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Envelopes" sheetId="2" state="visible" r:id="rId4"/>
    <sheet name="2. Group asks" sheetId="3" state="visible" r:id="rId5"/>
    <sheet name="3. Group returns" sheetId="4" state="visible" r:id="rId6"/>
    <sheet name="4. Challenge" sheetId="5" state="visible" r:id="rId7"/>
    <sheet name="5. Scenarios" sheetId="6" state="visible" r:id="rId8"/>
    <sheet name="6. Dashboard" sheetId="7" state="visible" r:id="rId9"/>
    <sheet name="7. Executive summary" sheetId="8" state="visible" r:id="rId10"/>
    <sheet name="8. Approved establishment" sheetId="9" state="visible" r:id="rId11"/>
    <sheet name="9. Group pages" sheetId="10" state="visible" r:id="rId12"/>
    <sheet name="Engine" sheetId="11" state="visible" r:id="rId13"/>
    <sheet name="Ref" sheetId="12" state="hidden" r:id="rId14"/>
  </sheets>
  <definedNames>
    <definedName function="false" hidden="false" localSheetId="1" name="_xlnm.Print_Titles" vbProcedure="false">'1. Envelopes'!$10:$10</definedName>
    <definedName function="false" hidden="false" localSheetId="2" name="_xlnm.Print_Titles" vbProcedure="false">'2. Group asks'!$5:$5</definedName>
    <definedName function="false" hidden="true" localSheetId="2" name="_xlnm._FilterDatabase" vbProcedure="false">'2. Group asks'!$A$5:$AA$2405</definedName>
    <definedName function="false" hidden="false" localSheetId="3" name="_xlnm.Print_Titles" vbProcedure="false">'3. Group returns'!$5:$5</definedName>
    <definedName function="false" hidden="false" localSheetId="4" name="_xlnm.Print_Titles" vbProcedure="false">'4. Challenge'!$5:$5</definedName>
    <definedName function="false" hidden="true" localSheetId="4" name="_xlnm._FilterDatabase" vbProcedure="false">'4. Challenge'!$A$5:$U$2405</definedName>
    <definedName function="false" hidden="false" localSheetId="8" name="_xlnm.Print_Titles" vbProcedure="false">'8. Approved establishment'!$5:$5</definedName>
    <definedName function="false" hidden="true" localSheetId="8" name="_xlnm._FilterDatabase" vbProcedure="false">'8. Approved establishment'!$A$5:$N$605</definedName>
    <definedName function="false" hidden="false" name="AttritionDefault" vbProcedure="false">Ref!$B$7</definedName>
    <definedName function="false" hidden="false" name="BankCostEnvelope" vbProcedure="false">'1. Envelopes'!$B$5</definedName>
    <definedName function="false" hidden="false" name="BankHeadEnvelope" vbProcedure="false">'1. Envelopes'!$B$6</definedName>
    <definedName function="false" hidden="false" name="BankSaudiTarget" vbProcedure="false">'1. Envelopes'!$B$7</definedName>
    <definedName function="false" hidden="false" name="BaseYear" vbProcedure="false">Ref!$B$6</definedName>
    <definedName function="false" hidden="false" name="BookCategory" vbProcedure="false">'2. Group asks'!$T$6:$T$2405</definedName>
    <definedName function="false" hidden="false" name="BookDivision" vbProcedure="false">'2. Group asks'!$C$6:$C$2405</definedName>
    <definedName function="false" hidden="false" name="BookDriver" vbProcedure="false">'2. Group asks'!$R$6:$R$2405</definedName>
    <definedName function="false" hidden="false" name="BookFamily" vbProcedure="false">'2. Group asks'!$I$6:$I$2405</definedName>
    <definedName function="false" hidden="false" name="BookGroup" vbProcedure="false">'2. Group asks'!$A$6:$A$2405</definedName>
    <definedName function="false" hidden="false" name="BookInYear" vbProcedure="false">'2. Group asks'!$Y$6:$Y$2405</definedName>
    <definedName function="false" hidden="false" name="BookKey" vbProcedure="false">'2. Group asks'!$Z$6:$Z$2405</definedName>
    <definedName function="false" hidden="false" name="BookLevel" vbProcedure="false">'2. Group asks'!$H$6:$H$2405</definedName>
    <definedName function="false" hidden="false" name="BookOneOff" vbProcedure="false">'2. Group asks'!$W$6:$W$2405</definedName>
    <definedName function="false" hidden="false" name="BookProblem" vbProcedure="false">'2. Group asks'!$AA$6:$AA$2405</definedName>
    <definedName function="false" hidden="false" name="BookQ1" vbProcedure="false">'2. Group asks'!$M$6:$M$2405</definedName>
    <definedName function="false" hidden="false" name="BookQ2" vbProcedure="false">'2. Group asks'!$N$6:$N$2405</definedName>
    <definedName function="false" hidden="false" name="BookQ3" vbProcedure="false">'2. Group asks'!$O$6:$O$2405</definedName>
    <definedName function="false" hidden="false" name="BookQ4" vbProcedure="false">'2. Group asks'!$P$6:$P$2405</definedName>
    <definedName function="false" hidden="false" name="BookRank" vbProcedure="false">'2. Group asks'!$U$6:$U$2405</definedName>
    <definedName function="false" hidden="false" name="BookRate" vbProcedure="false">'2. Group asks'!$V$6:$V$2405</definedName>
    <definedName function="false" hidden="false" name="BookRef" vbProcedure="false">'2. Group asks'!$B$6:$B$2405</definedName>
    <definedName function="false" hidden="false" name="BookRunRate" vbProcedure="false">'2. Group asks'!$X$6:$X$2405</definedName>
    <definedName function="false" hidden="false" name="BookTitle" vbProcedure="false">'2. Group asks'!$G$6:$G$2405</definedName>
    <definedName function="false" hidden="false" name="BookTotal" vbProcedure="false">'2. Group asks'!$L$6:$L$2405</definedName>
    <definedName function="false" hidden="false" name="BookUnit" vbProcedure="false">'2. Group asks'!$E$6:$E$2405</definedName>
    <definedName function="false" hidden="false" name="BookWorkerType" vbProcedure="false">'2. Group asks'!$J$6:$J$2405</definedName>
    <definedName function="false" hidden="false" name="CareerLevels" vbProcedure="false">Ref!$Q$45:$Q$50</definedName>
    <definedName function="false" hidden="false" name="CategoryList" vbProcedure="false">Ref!$M$45:$M$48</definedName>
    <definedName function="false" hidden="false" name="ChalCategory" vbProcedure="false">'4. Challenge'!$G$6:$G$2405</definedName>
    <definedName function="false" hidden="false" name="ChalDivision" vbProcedure="false">'4. Challenge'!$C$6:$C$2405</definedName>
    <definedName function="false" hidden="false" name="ChalEffective" vbProcedure="false">'4. Challenge'!$P$6:$P$2405</definedName>
    <definedName function="false" hidden="false" name="ChalGroup" vbProcedure="false">'4. Challenge'!$A$6:$A$2405</definedName>
    <definedName function="false" hidden="false" name="ChalInYear" vbProcedure="false">'4. Challenge'!$R$6:$R$2405</definedName>
    <definedName function="false" hidden="false" name="ChalLevel" vbProcedure="false">'4. Challenge'!$F$6:$F$2405</definedName>
    <definedName function="false" hidden="false" name="ChalRequested" vbProcedure="false">'4. Challenge'!$I$6:$I$2405</definedName>
    <definedName function="false" hidden="false" name="ChalRunRate" vbProcedure="false">'4. Challenge'!$S$6:$S$2405</definedName>
    <definedName function="false" hidden="false" name="ChalSeq" vbProcedure="false">'4. Challenge'!$U$6:$U$2405</definedName>
    <definedName function="false" hidden="false" name="ChalStart" vbProcedure="false">'4. Challenge'!$Q$6:$Q$2405</definedName>
    <definedName function="false" hidden="false" name="ChalTitle" vbProcedure="false">'4. Challenge'!$E$6:$E$2405</definedName>
    <definedName function="false" hidden="false" name="ChalUnit" vbProcedure="false">'4. Challenge'!$D$6:$D$2405</definedName>
    <definedName function="false" hidden="false" name="DecisionList" vbProcedure="false">Ref!$U$45:$U$48</definedName>
    <definedName function="false" hidden="false" name="DirectionList" vbProcedure="false">Ref!$E$45:$E$47</definedName>
    <definedName function="false" hidden="false" name="DispositionList" vbProcedure="false">Ref!$I$45:$I$47</definedName>
    <definedName function="false" hidden="false" name="DriverCategory" vbProcedure="false">Ref!$B$24:$B$42</definedName>
    <definedName function="false" hidden="false" name="DriverList" vbProcedure="false">Ref!$A$24:$A$42</definedName>
    <definedName function="false" hidden="false" name="DriverRank" vbProcedure="false">Ref!$C$24:$C$42</definedName>
    <definedName function="false" hidden="false" name="GosiOther" vbProcedure="false">Ref!$B$11</definedName>
    <definedName function="false" hidden="false" name="GosiSaudi" vbProcedure="false">Ref!$B$10</definedName>
    <definedName function="false" hidden="false" name="GroupList" vbProcedure="false">Ref!$W$45:$W$56</definedName>
    <definedName function="false" hidden="false" name="JobFamilies" vbProcedure="false">Ref!$S$45:$S$48</definedName>
    <definedName function="false" hidden="false" name="LadderLevels" vbProcedure="false">Ref!$K$45:$K$50</definedName>
    <definedName function="false" hidden="false" name="LeavingReasons" vbProcedure="false">Ref!$G$45:$G$49</definedName>
    <definedName function="false" hidden="false" name="LevelBasic" vbProcedure="false">Ref!$B$15:$B$20</definedName>
    <definedName function="false" hidden="false" name="LevelBonus" vbProcedure="false">Ref!$E$15:$E$20</definedName>
    <definedName function="false" hidden="false" name="LevelHousing" vbProcedure="false">Ref!$C$15:$C$20</definedName>
    <definedName function="false" hidden="false" name="LevelList" vbProcedure="false">Ref!$A$15:$A$20</definedName>
    <definedName function="false" hidden="false" name="LevelOneOff" vbProcedure="false">Ref!$F$15:$F$20</definedName>
    <definedName function="false" hidden="false" name="LevelTransport" vbProcedure="false">Ref!$D$15:$D$20</definedName>
    <definedName function="false" hidden="false" name="PlanYear" vbProcedure="false">Ref!$B$5</definedName>
    <definedName function="false" hidden="false" name="ProductivityDefault" vbProcedure="false">Ref!$B$8</definedName>
    <definedName function="false" hidden="false" name="QuarterList" vbProcedure="false">Ref!$A$45:$A$48</definedName>
    <definedName function="false" hidden="false" name="RetAsks" vbProcedure="false">'3. Group returns'!$E$6:$E$101</definedName>
    <definedName function="false" hidden="false" name="RetCash" vbProcedure="false">'3. Group returns'!$I$6:$I$101</definedName>
    <definedName function="false" hidden="false" name="RetCost" vbProcedure="false">'3. Group returns'!$H$6:$H$101</definedName>
    <definedName function="false" hidden="false" name="RetCurrent" vbProcedure="false">'3. Group returns'!$C$6:$C$101</definedName>
    <definedName function="false" hidden="false" name="RetDivision" vbProcedure="false">'3. Group returns'!$B$6:$B$101</definedName>
    <definedName function="false" hidden="false" name="RetExits" vbProcedure="false">'3. Group returns'!$D$6:$D$101</definedName>
    <definedName function="false" hidden="false" name="RetGroup" vbProcedure="false">'3. Group returns'!$A$6:$A$101</definedName>
    <definedName function="false" hidden="false" name="RetMandated" vbProcedure="false">'3. Group returns'!$G$6:$G$101</definedName>
    <definedName function="false" hidden="false" name="RetNew" vbProcedure="false">'3. Group returns'!$F$6:$F$101</definedName>
    <definedName function="false" hidden="false" name="SalaryInflation" vbProcedure="false">Ref!$B$9</definedName>
    <definedName function="false" hidden="false" name="WorkerTypes" vbProcedure="false">Ref!$C$45:$C$47</definedName>
    <definedName function="false" hidden="false" name="YesNo" vbProcedure="false">Ref!$O$45:$O$46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<sst xmlns="http://schemas.openxmlformats.org/spreadsheetml/2006/main" count="879" uniqueCount="383">
  <si>
    <t xml:space="preserve">2027 Capacity Exercise — consolidator</t>
  </si>
  <si>
    <t xml:space="preserve">For the central team. The order to work in, and what each sheet is for.</t>
  </si>
  <si>
    <t xml:space="preserve">The order to work in</t>
  </si>
  <si>
    <t xml:space="preserve">1. Envelopes</t>
  </si>
  <si>
    <t xml:space="preserve">Set the bank's ceilings and each group's share of them, and mark each return as it arrives. Everything else on this sheet fills itself.</t>
  </si>
  <si>
    <t xml:space="preserve">2. Group asks</t>
  </si>
  <si>
    <t xml:space="preserve">One band of 200 rows per group. Open the group's file, copy A6:R205 from its 4. Capacity asks sheet, and paste-special values into that group's band starting at column B. The band is exactly the size of the template, so a paste cannot spill into the next group. Everything from the Category column rightwards is recomputed here on the central rate card.</t>
  </si>
  <si>
    <t xml:space="preserve">3. Group returns</t>
  </si>
  <si>
    <t xml:space="preserve">The small block at the foot of each group's 5. My position sheet: what it has today, what it is giving up, how many of its seats have to be Saudi, and what its known leavers release in cash. Copy it in the same way. This is where the bridge gets its exits.</t>
  </si>
  <si>
    <t xml:space="preserve">4. Challenge</t>
  </si>
  <si>
    <t xml:space="preserve">Every line, requested against approved. Set a decision on each line; only 'Approve fewer' needs a number typed. Approved — not requested — is what rolls forward into every output.</t>
  </si>
  <si>
    <t xml:space="preserve">5. Scenarios</t>
  </si>
  <si>
    <t xml:space="preserve">Four cases, six levers each, computed side by side over the whole book. The ranking rule funds regulatory first and BAU last, so a tighter envelope shows you exactly which lines fall out.</t>
  </si>
  <si>
    <t xml:space="preserve">6. Dashboard</t>
  </si>
  <si>
    <t xml:space="preserve">The four analyses: the 2026→2027 establishment bridge, the group league table against envelope, demand by driver asked against approved, and how the cost phases across the year.</t>
  </si>
  <si>
    <t xml:space="preserve">7. Executive summary</t>
  </si>
  <si>
    <t xml:space="preserve">One page for the committee.</t>
  </si>
  <si>
    <t xml:space="preserve">8. Approved establishment</t>
  </si>
  <si>
    <t xml:space="preserve">The approved lines as a flat list, ready for Finance and recruitment.</t>
  </si>
  <si>
    <t xml:space="preserve">9. Group pages</t>
  </si>
  <si>
    <t xml:space="preserve">One printable page per group, for sending the answer back.</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</si>
  <si>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</si>
  <si>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</si>
  <si>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</si>
  <si>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</si>
  <si>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</si>
  <si>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</si>
  <si>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</si>
  <si>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to hold on to</t>
  </si>
  <si>
    <t xml:space="preserve">Every line is priced here on the central rate card, not on whatever the group typed. If a group's number and yours differ, it is the rate card that has moved, and the card on the hidden Ref sheet is the only place to change it.</t>
  </si>
  <si>
    <t xml:space="preserve">A line with no career level cannot be priced and costs nothing. That is deliberate — a missing level shows up as a dash rather than as a plausible wrong number — and the group's own check sheet blocks submission until every seat has one.</t>
  </si>
  <si>
    <t xml:space="preserve">The ranking rule is a starting point, not a decision. It funds regulatory work first and business as usual last; the Challenge sheet is where a human overrides it, and the reason column is what you will be asked for afterwards.</t>
  </si>
  <si>
    <t xml:space="preserve">Envelopes and receipts</t>
  </si>
  <si>
    <t xml:space="preserve">What the bank can afford, how it is split, and what has come back so far.</t>
  </si>
  <si>
    <t xml:space="preserve">Bank ceiling</t>
  </si>
  <si>
    <t xml:space="preserve">2027 cost envelope (SAR '000, run-rate)</t>
  </si>
  <si>
    <t xml:space="preserve">Illustrative: six per cent of the current pay bill.</t>
  </si>
  <si>
    <t xml:space="preserve">Net establishment growth allowed</t>
  </si>
  <si>
    <t xml:space="preserve">Illustrative: five per cent of the current establishment.</t>
  </si>
  <si>
    <t xml:space="preserve">Mandated-seat target</t>
  </si>
  <si>
    <t xml:space="preserve">Illustrative: two points above where the bank stands today.</t>
  </si>
  <si>
    <t xml:space="preserve">By group</t>
  </si>
  <si>
    <t xml:space="preserve">Blue cells are yours: the allocation, the attrition rate and the state as each return arrives.</t>
  </si>
  <si>
    <t xml:space="preserve">Group</t>
  </si>
  <si>
    <t xml:space="preserve">2026 approved</t>
  </si>
  <si>
    <t xml:space="preserve">Filled</t>
  </si>
  <si>
    <t xml:space="preserve">Vacant</t>
  </si>
  <si>
    <t xml:space="preserve">2026 cost</t>
  </si>
  <si>
    <t xml:space="preserve">Cost envelope</t>
  </si>
  <si>
    <t xml:space="preserve">Headcount envelope</t>
  </si>
  <si>
    <t xml:space="preserve">Mandated target</t>
  </si>
  <si>
    <t xml:space="preserve">Attrition rate</t>
  </si>
  <si>
    <t xml:space="preserve">State</t>
  </si>
  <si>
    <t xml:space="preserve">Paste asks into</t>
  </si>
  <si>
    <t xml:space="preserve">Paste return into</t>
  </si>
  <si>
    <t xml:space="preserve">Rows received</t>
  </si>
  <si>
    <t xml:space="preserve">Rows with a problem</t>
  </si>
  <si>
    <t xml:space="preserve">Requested asks</t>
  </si>
  <si>
    <t xml:space="preserve">Requested run-rate</t>
  </si>
  <si>
    <t xml:space="preserve">Exits</t>
  </si>
  <si>
    <t xml:space="preserve">Approved asks</t>
  </si>
  <si>
    <t xml:space="preserve">Approved run-rate</t>
  </si>
  <si>
    <t xml:space="preserve">Against envelope</t>
  </si>
  <si>
    <t xml:space="preserve">CEO Office</t>
  </si>
  <si>
    <t xml:space="preserve">Draft</t>
  </si>
  <si>
    <t xml:space="preserve">B6:S205</t>
  </si>
  <si>
    <t xml:space="preserve">B6:H13</t>
  </si>
  <si>
    <t xml:space="preserve">Compliance Group</t>
  </si>
  <si>
    <t xml:space="preserve">B206:S405</t>
  </si>
  <si>
    <t xml:space="preserve">B14:H21</t>
  </si>
  <si>
    <t xml:space="preserve">Corporate Banking Group</t>
  </si>
  <si>
    <t xml:space="preserve">B406:S605</t>
  </si>
  <si>
    <t xml:space="preserve">B22:H29</t>
  </si>
  <si>
    <t xml:space="preserve">Finance Group</t>
  </si>
  <si>
    <t xml:space="preserve">B606:S805</t>
  </si>
  <si>
    <t xml:space="preserve">B30:H37</t>
  </si>
  <si>
    <t xml:space="preserve">Human Resources Group</t>
  </si>
  <si>
    <t xml:space="preserve">B806:S1005</t>
  </si>
  <si>
    <t xml:space="preserve">B38:H45</t>
  </si>
  <si>
    <t xml:space="preserve">Internal Audit Group</t>
  </si>
  <si>
    <t xml:space="preserve">B1006:S1205</t>
  </si>
  <si>
    <t xml:space="preserve">B46:H53</t>
  </si>
  <si>
    <t xml:space="preserve">Legal Group</t>
  </si>
  <si>
    <t xml:space="preserve">B1206:S1405</t>
  </si>
  <si>
    <t xml:space="preserve">B54:H61</t>
  </si>
  <si>
    <t xml:space="preserve">Operations Group</t>
  </si>
  <si>
    <t xml:space="preserve">B1406:S1605</t>
  </si>
  <si>
    <t xml:space="preserve">B62:H69</t>
  </si>
  <si>
    <t xml:space="preserve">Retail Banking Group</t>
  </si>
  <si>
    <t xml:space="preserve">B1606:S1805</t>
  </si>
  <si>
    <t xml:space="preserve">B70:H77</t>
  </si>
  <si>
    <t xml:space="preserve">Risk Group</t>
  </si>
  <si>
    <t xml:space="preserve">B1806:S2005</t>
  </si>
  <si>
    <t xml:space="preserve">B78:H85</t>
  </si>
  <si>
    <t xml:space="preserve">Technology Group</t>
  </si>
  <si>
    <t xml:space="preserve">B2006:S2205</t>
  </si>
  <si>
    <t xml:space="preserve">B86:H93</t>
  </si>
  <si>
    <t xml:space="preserve">Treasury &amp; Investments Group</t>
  </si>
  <si>
    <t xml:space="preserve">B2206:S2405</t>
  </si>
  <si>
    <t xml:space="preserve">B94:H101</t>
  </si>
  <si>
    <t xml:space="preserve">Bank total</t>
  </si>
  <si>
    <t xml:space="preserve">Allocated against the ceiling</t>
  </si>
  <si>
    <t xml:space="preserve">Group asks</t>
  </si>
  <si>
    <t xml:space="preserve">One band of 200 rows per group. Copy A6:R205 from a group's 4. Capacity asks sheet and paste values into column B of that group's band. The computed columns on the right are recomputed centrally — leave them.</t>
  </si>
  <si>
    <t xml:space="preserve">Ref</t>
  </si>
  <si>
    <t xml:space="preserve">Division</t>
  </si>
  <si>
    <t xml:space="preserve">Department</t>
  </si>
  <si>
    <t xml:space="preserve">Unit</t>
  </si>
  <si>
    <t xml:space="preserve">Sub-Unit</t>
  </si>
  <si>
    <t xml:space="preserve">Job title</t>
  </si>
  <si>
    <t xml:space="preserve">Career Level</t>
  </si>
  <si>
    <t xml:space="preserve">Job Family</t>
  </si>
  <si>
    <t xml:space="preserve">Worker type</t>
  </si>
  <si>
    <t xml:space="preserve">Current Capacity</t>
  </si>
  <si>
    <t xml:space="preserve">New Asks</t>
  </si>
  <si>
    <t xml:space="preserve">Q1</t>
  </si>
  <si>
    <t xml:space="preserve">Q2</t>
  </si>
  <si>
    <t xml:space="preserve">Q3</t>
  </si>
  <si>
    <t xml:space="preserve">Q4</t>
  </si>
  <si>
    <t xml:space="preserve">Category (as sent)</t>
  </si>
  <si>
    <t xml:space="preserve">Driver</t>
  </si>
  <si>
    <t xml:space="preserve">Alternatives considered</t>
  </si>
  <si>
    <t xml:space="preserve">Category</t>
  </si>
  <si>
    <t xml:space="preserve">Rank</t>
  </si>
  <si>
    <t xml:space="preserve">Rate</t>
  </si>
  <si>
    <t xml:space="preserve">One-off</t>
  </si>
  <si>
    <t xml:space="preserve">Requested 2027 cost</t>
  </si>
  <si>
    <t xml:space="preserve">Sort key</t>
  </si>
  <si>
    <t xml:space="preserve">Problem</t>
  </si>
  <si>
    <t xml:space="preserve">Group returns</t>
  </si>
  <si>
    <t xml:space="preserve">The block at the foot of each group's 5. My position sheet, one band of 8 rows per group. This is where the bridge gets its exits and where the mandated-seat share comes from.</t>
  </si>
  <si>
    <t xml:space="preserve">New Capacity</t>
  </si>
  <si>
    <t xml:space="preserve">Mandated seats</t>
  </si>
  <si>
    <t xml:space="preserve">Run-rate cost</t>
  </si>
  <si>
    <t xml:space="preserve">2027 cash released</t>
  </si>
  <si>
    <t xml:space="preserve">Exits are the seats a group is giving up — the Reduce column on its own capacity sheet. They come out of the establishment before anything is added back, which is what makes the bridge balance. The cash column is what its known leavers release in the plan year, which is a different and smaller thing.</t>
  </si>
  <si>
    <t xml:space="preserve">Challenge</t>
  </si>
  <si>
    <t xml:space="preserve">Requested against approved, line by line. Set a decision on every line; only 'Approve fewer' needs a number. Approved is what rolls forward.</t>
  </si>
  <si>
    <t xml:space="preserve">Requested</t>
  </si>
  <si>
    <t xml:space="preserve">Requested start</t>
  </si>
  <si>
    <t xml:space="preserve">Decision</t>
  </si>
  <si>
    <t xml:space="preserve">Approved</t>
  </si>
  <si>
    <t xml:space="preserve">Approved start</t>
  </si>
  <si>
    <t xml:space="preserve">Reason</t>
  </si>
  <si>
    <t xml:space="preserve">Effective</t>
  </si>
  <si>
    <t xml:space="preserve">Effective start</t>
  </si>
  <si>
    <t xml:space="preserve">Approved 2027 cost</t>
  </si>
  <si>
    <t xml:space="preserve">Cost variance</t>
  </si>
  <si>
    <t xml:space="preserve">Approved line</t>
  </si>
  <si>
    <t xml:space="preserve">Scenarios</t>
  </si>
  <si>
    <t xml:space="preserve">Four cases over the same book of asks, computed side by side. Change a lever and every number below moves with it.</t>
  </si>
  <si>
    <t xml:space="preserve">The levers</t>
  </si>
  <si>
    <t xml:space="preserve">Lever</t>
  </si>
  <si>
    <t xml:space="preserve">Base</t>
  </si>
  <si>
    <t xml:space="preserve">Constrained</t>
  </si>
  <si>
    <t xml:space="preserve">Growth</t>
  </si>
  <si>
    <t xml:space="preserve">Custom</t>
  </si>
  <si>
    <t xml:space="preserve">What it does</t>
  </si>
  <si>
    <t xml:space="preserve">Demand multiplier</t>
  </si>
  <si>
    <t xml:space="preserve">Scales every requested position. 1.10 asks what a tenth more demand would cost.</t>
  </si>
  <si>
    <t xml:space="preserve">Share of envelope released</t>
  </si>
  <si>
    <t xml:space="preserve">How much of the bank envelope this case funds. The ranked cut falls where this runs out.</t>
  </si>
  <si>
    <t xml:space="preserve">Timing shift (quarters)</t>
  </si>
  <si>
    <t xml:space="preserve">Pushes every start back by this many quarters. It changes the cash, not the headcount — see the note below.</t>
  </si>
  <si>
    <t xml:space="preserve">Used for expected departures, not for the cut.</t>
  </si>
  <si>
    <t xml:space="preserve">Salary inflation</t>
  </si>
  <si>
    <t xml:space="preserve">Applied to the rate card for this case.</t>
  </si>
  <si>
    <t xml:space="preserve">Productivity multiplier</t>
  </si>
  <si>
    <t xml:space="preserve">1.0 takes the groups' own productivity assumption as given. 1.5 assumes half as much again lands, which shrinks the ask; 0.5 assumes half of it does not.</t>
  </si>
  <si>
    <t xml:space="preserve">What each case funds</t>
  </si>
  <si>
    <t xml:space="preserve">Measure</t>
  </si>
  <si>
    <t xml:space="preserve">Read it this way</t>
  </si>
  <si>
    <t xml:space="preserve">Positions requested (after the demand lever)</t>
  </si>
  <si>
    <t xml:space="preserve">What the groups asked for, moved by this case's demand assumption.</t>
  </si>
  <si>
    <t xml:space="preserve">Lines funded</t>
  </si>
  <si>
    <t xml:space="preserve">How many of the requested lines survive the ranked cut.</t>
  </si>
  <si>
    <t xml:space="preserve">Positions funded</t>
  </si>
  <si>
    <t xml:space="preserve">The number that matters: what the bank would hire.</t>
  </si>
  <si>
    <t xml:space="preserve">Run-rate cost funded (SAR '000)</t>
  </si>
  <si>
    <t xml:space="preserve">The full-year cost the bank carries. This is what the cut is made against.</t>
  </si>
  <si>
    <t xml:space="preserve">2027 cash cost of those (SAR '000)</t>
  </si>
  <si>
    <t xml:space="preserve">What the same positions cost in the plan year, at this case's start quarters.</t>
  </si>
  <si>
    <t xml:space="preserve">Envelope released (SAR '000)</t>
  </si>
  <si>
    <t xml:space="preserve">The ceiling this case is cut against.</t>
  </si>
  <si>
    <t xml:space="preserve">Positions not funded</t>
  </si>
  <si>
    <t xml:space="preserve">What falls out. Read it with the priority table below.</t>
  </si>
  <si>
    <t xml:space="preserve">Regulatory positions funded</t>
  </si>
  <si>
    <t xml:space="preserve">Regulatory work ranks first, so this should hold in every case.</t>
  </si>
  <si>
    <t xml:space="preserve">Closing establishment</t>
  </si>
  <si>
    <t xml:space="preserve">Opening establishment, less the seats the groups are giving up, plus what this case funds.</t>
  </si>
  <si>
    <t xml:space="preserve">Mandated share of it</t>
  </si>
  <si>
    <t xml:space="preserve">Seats the groups have marked as having to be Saudi, over the closing establishment. New positions carry no mandate yet, so this drifts down as the bank grows — that is the point of watching it.</t>
  </si>
  <si>
    <t xml:space="preserve">Against the headcount envelope</t>
  </si>
  <si>
    <t xml:space="preserve">Funded positions less exits.</t>
  </si>
  <si>
    <t xml:space="preserve">Expected departures at this rate</t>
  </si>
  <si>
    <t xml:space="preserve">Not part of the cut — a backfill is already a line in the book.</t>
  </si>
  <si>
    <t xml:space="preserve">The cut is made against run-rate cost, so pushing starts back a quarter does not buy a single extra position — it buys cash in 2027 and leaves the commitment where it was. Read the run-rate row and the cash row together; they answer different questions and only one of them is a saving.</t>
  </si>
  <si>
    <t xml:space="preserve">Funded positions by priority</t>
  </si>
  <si>
    <t xml:space="preserve">Priority</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</si>
  <si>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</si>
  <si>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</si>
  <si>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</si>
  <si>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</si>
  <si>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</si>
  <si>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</si>
  <si>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</si>
  <si>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</si>
  <si>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Funded run-rate cost by group (SAR '000)</t>
  </si>
  <si>
    <t xml:space="preserve">Dashboard</t>
  </si>
  <si>
    <t xml:space="preserve">The 2026 to 2027 bridge, the groups against their envelopes, demand by driver, and how the cost phases across the year.</t>
  </si>
  <si>
    <t xml:space="preserve">2026 to 2027 establishment bridge</t>
  </si>
  <si>
    <t xml:space="preserve">Approved seats, not people. A seat only leaves the establishment if a group is reducing it.</t>
  </si>
  <si>
    <t xml:space="preserve">Step</t>
  </si>
  <si>
    <t xml:space="preserve">Change</t>
  </si>
  <si>
    <t xml:space="preserve">Running total</t>
  </si>
  <si>
    <t xml:space="preserve">Bar</t>
  </si>
  <si>
    <t xml:space="preserve">Opening 2026 approved establishment</t>
  </si>
  <si>
    <t xml:space="preserve">less seats the groups are giving up</t>
  </si>
  <si>
    <t xml:space="preserve">plus positions approved</t>
  </si>
  <si>
    <t xml:space="preserve">Closing 2027 approved establishment</t>
  </si>
  <si>
    <t xml:space="preserve">Net establishment change against the bank envelope</t>
  </si>
  <si>
    <t xml:space="preserve">Mandated seats as a share of the closing establishment</t>
  </si>
  <si>
    <t xml:space="preserve">Groups against their envelopes</t>
  </si>
  <si>
    <t xml:space="preserve">Share of envelope</t>
  </si>
  <si>
    <t xml:space="preserve">Status</t>
  </si>
  <si>
    <t xml:space="preserve">Demand by driver — asked against approved</t>
  </si>
  <si>
    <t xml:space="preserve">Not funded</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</si>
  <si>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</si>
  <si>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</si>
  <si>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</si>
  <si>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</si>
  <si>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</si>
  <si>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</si>
  <si>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</si>
  <si>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</si>
  <si>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</si>
  <si>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</si>
  <si>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</si>
  <si>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</si>
  <si>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</si>
  <si>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</si>
  <si>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</si>
  <si>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</si>
  <si>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</si>
  <si>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</si>
  <si>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</si>
  <si>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</si>
  <si>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</si>
  <si>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</si>
  <si>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</si>
  <si>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How the approved 2027 cash cost phases</t>
  </si>
  <si>
    <t xml:space="preserve">Start quarter</t>
  </si>
  <si>
    <t xml:space="preserve">Total</t>
  </si>
  <si>
    <t xml:space="preserve">2027 capacity — executive summary</t>
  </si>
  <si>
    <t xml:space="preserve">One page. Every number on it comes from the approved column, not the ask.</t>
  </si>
  <si>
    <t xml:space="preserve">The decision in six numbers</t>
  </si>
  <si>
    <t xml:space="preserve">Positions requested by the groups</t>
  </si>
  <si>
    <t xml:space="preserve">Twelve submissions, priced centrally on one rate card.</t>
  </si>
  <si>
    <t xml:space="preserve">Positions approved</t>
  </si>
  <si>
    <t xml:space="preserve">What the challenge process left standing.</t>
  </si>
  <si>
    <t xml:space="preserve">Seats the groups are giving up</t>
  </si>
  <si>
    <t xml:space="preserve">The Reduce column on their own capacity sheets.</t>
  </si>
  <si>
    <t xml:space="preserve">Approved run-rate cost (SAR '000)</t>
  </si>
  <si>
    <t xml:space="preserve">The full-year cost the bank carries from these decisions.</t>
  </si>
  <si>
    <t xml:space="preserve">Against the bank cost envelope</t>
  </si>
  <si>
    <t xml:space="preserve">Positive is headroom; negative is the gap to close.</t>
  </si>
  <si>
    <t xml:space="preserve">Closing 2027 establishment</t>
  </si>
  <si>
    <t xml:space="preserve">Opening establishment, less the exits, plus what was approved.</t>
  </si>
  <si>
    <t xml:space="preserve">The four cases</t>
  </si>
  <si>
    <t xml:space="preserve">Case</t>
  </si>
  <si>
    <t xml:space="preserve">2027 cash cost (SAR '000)</t>
  </si>
  <si>
    <t xml:space="preserve">Where the money goes</t>
  </si>
  <si>
    <t xml:space="preserve">Share of approved cost</t>
  </si>
  <si>
    <t xml:space="preserve">Every figure on this page recalculates from the Challenge sheet. If a decision changes in the meeting, this page is right again the moment the cell is typed — there is nothing to refresh and nothing to rebuild.</t>
  </si>
  <si>
    <t xml:space="preserve">The rate card behind the cost is illustrative until Finance replaces it. It sits on the hidden Ref sheet, one row per career level, with basic, housing, transport, bonus and employer GOSI shown separately so a rate can be challenged without rebuilding the model.</t>
  </si>
  <si>
    <t xml:space="preserve">Approved 2027 establishment</t>
  </si>
  <si>
    <t xml:space="preserve">Every approved line, as a flat list for Finance and recruitment. It fills itself from the Challenge sheet as decisions are made.</t>
  </si>
  <si>
    <t xml:space="preserve">#</t>
  </si>
  <si>
    <t xml:space="preserve">Row</t>
  </si>
  <si>
    <t xml:space="preserve">2027 cash cost</t>
  </si>
  <si>
    <t xml:space="preserve">Run-rate</t>
  </si>
  <si>
    <t xml:space="preserve">Group pages</t>
  </si>
  <si>
    <t xml:space="preserve">One page per group, for sending the answer back. Print the sheet and every group gets its own sheet of paper.</t>
  </si>
  <si>
    <t xml:space="preserve">Approved 2027 capacity</t>
  </si>
  <si>
    <t xml:space="preserve">Positions requested</t>
  </si>
  <si>
    <t xml:space="preserve">Lines declined</t>
  </si>
  <si>
    <t xml:space="preserve">Seats given up</t>
  </si>
  <si>
    <t xml:space="preserve">Cost envelope (SAR '000)</t>
  </si>
  <si>
    <t xml:space="preserve">Against the envelope</t>
  </si>
  <si>
    <t xml:space="preserve">Approved by priority</t>
  </si>
  <si>
    <t xml:space="preserve">Approved by start quarter</t>
  </si>
  <si>
    <t xml:space="preserve">Positions</t>
  </si>
  <si>
    <t xml:space="preserve">Quarter</t>
  </si>
  <si>
    <t xml:space="preserve">Cash cost</t>
  </si>
  <si>
    <t xml:space="preserve">Approved is what CEO Office should now plan and recruit against. Anything declined can be brought back at the mid-year review with the volumes that have actually landed.</t>
  </si>
  <si>
    <t xml:space="preserve">Approved is what Compliance Group should now plan and recruit against. Anything declined can be brought back at the mid-year review with the volumes that have actually landed.</t>
  </si>
  <si>
    <t xml:space="preserve">Approved is what Corporate Banking Group should now plan and recruit against. Anything declined can be brought back at the mid-year review with the volumes that have actually landed.</t>
  </si>
  <si>
    <t xml:space="preserve">Approved is what Finance Group should now plan and recruit against. Anything declined can be brought back at the mid-year review with the volumes that have actually landed.</t>
  </si>
  <si>
    <t xml:space="preserve">Approved is what Human Resources Group should now plan and recruit against. Anything declined can be brought back at the mid-year review with the volumes that have actually landed.</t>
  </si>
  <si>
    <t xml:space="preserve">Approved is what Internal Audit Group should now plan and recruit against. Anything declined can be brought back at the mid-year review with the volumes that have actually landed.</t>
  </si>
  <si>
    <t xml:space="preserve">Approved is what Legal Group should now plan and recruit against. Anything declined can be brought back at the mid-year review with the volumes that have actually landed.</t>
  </si>
  <si>
    <t xml:space="preserve">Approved is what Operations Group should now plan and recruit against. Anything declined can be brought back at the mid-year review with the volumes that have actually landed.</t>
  </si>
  <si>
    <t xml:space="preserve">Approved is what Retail Banking Group should now plan and recruit against. Anything declined can be brought back at the mid-year review with the volumes that have actually landed.</t>
  </si>
  <si>
    <t xml:space="preserve">Approved is what Risk Group should now plan and recruit against. Anything declined can be brought back at the mid-year review with the volumes that have actually landed.</t>
  </si>
  <si>
    <t xml:space="preserve">Approved is what Technology Group should now plan and recruit against. Anything declined can be brought back at the mid-year review with the volumes that have actually landed.</t>
  </si>
  <si>
    <t xml:space="preserve">Approved is what Treasury &amp; Investments Group should now plan and recruit against. Anything declined can be brought back at the mid-year review with the volumes that have actually landed.</t>
  </si>
  <si>
    <t xml:space="preserve">Engine</t>
  </si>
  <si>
    <t xml:space="preserve">Working sheet. Every submitted line under all four cases. Nothing here is typed in, and nothing here needs reading.</t>
  </si>
  <si>
    <t xml:space="preserve">Base positions</t>
  </si>
  <si>
    <t xml:space="preserve">Base run-rate</t>
  </si>
  <si>
    <t xml:space="preserve">Base cumulative</t>
  </si>
  <si>
    <t xml:space="preserve">Base funded</t>
  </si>
  <si>
    <t xml:space="preserve">Base cash</t>
  </si>
  <si>
    <t xml:space="preserve">Constrained positions</t>
  </si>
  <si>
    <t xml:space="preserve">Constrained run-rate</t>
  </si>
  <si>
    <t xml:space="preserve">Constrained cumulative</t>
  </si>
  <si>
    <t xml:space="preserve">Constrained funded</t>
  </si>
  <si>
    <t xml:space="preserve">Constrained cash</t>
  </si>
  <si>
    <t xml:space="preserve">Growth positions</t>
  </si>
  <si>
    <t xml:space="preserve">Growth run-rate</t>
  </si>
  <si>
    <t xml:space="preserve">Growth cumulative</t>
  </si>
  <si>
    <t xml:space="preserve">Growth funded</t>
  </si>
  <si>
    <t xml:space="preserve">Growth cash</t>
  </si>
  <si>
    <t xml:space="preserve">Custom positions</t>
  </si>
  <si>
    <t xml:space="preserve">Custom run-rate</t>
  </si>
  <si>
    <t xml:space="preserve">Custom cumulative</t>
  </si>
  <si>
    <t xml:space="preserve">Custom funded</t>
  </si>
  <si>
    <t xml:space="preserve">Custom cash</t>
  </si>
  <si>
    <t xml:space="preserve">Reference data</t>
  </si>
  <si>
    <t xml:space="preserve">The same tables the groups were given. Do not edit mid-exercise.</t>
  </si>
  <si>
    <t xml:space="preserve">Settings</t>
  </si>
  <si>
    <t xml:space="preserve">Plan year</t>
  </si>
  <si>
    <t xml:space="preserve">Base year</t>
  </si>
  <si>
    <t xml:space="preserve">Attrition rate (bank default)</t>
  </si>
  <si>
    <t xml:space="preserve">Productivity uplift (bank default)</t>
  </si>
  <si>
    <t xml:space="preserve">Employer GOSI - Saudi</t>
  </si>
  <si>
    <t xml:space="preserve">Employer GOSI - non-Saudi</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</si>
  <si>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</si>
  <si>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</si>
  <si>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</si>
  <si>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</si>
  <si>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</si>
  <si>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</si>
  <si>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</si>
  <si>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</si>
  <si>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</si>
  <si>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Executive</t>
  </si>
  <si>
    <t xml:space="preserve">Senior Management</t>
  </si>
  <si>
    <t xml:space="preserve">Management</t>
  </si>
  <si>
    <t xml:space="preserve">Professional</t>
  </si>
  <si>
    <t xml:space="preserve">Officer</t>
  </si>
  <si>
    <t xml:space="preserve">Support</t>
  </si>
  <si>
    <t xml:space="preserve">Ask drivers</t>
  </si>
  <si>
    <t xml:space="preserve">WorkerTypes</t>
  </si>
  <si>
    <t xml:space="preserve">Direction</t>
  </si>
  <si>
    <t xml:space="preserve">LeavingReasons</t>
  </si>
  <si>
    <t xml:space="preserve">Disposition</t>
  </si>
  <si>
    <t xml:space="preserve">LadderLevels</t>
  </si>
  <si>
    <t xml:space="preserve">YesNo</t>
  </si>
  <si>
    <t xml:space="preserve">CareerLevels</t>
  </si>
  <si>
    <t xml:space="preserve">JobFamilies</t>
  </si>
  <si>
    <t xml:space="preserve">Permanent</t>
  </si>
  <si>
    <t xml:space="preserve">Grow</t>
  </si>
  <si>
    <t xml:space="preserve">Resignation</t>
  </si>
  <si>
    <t xml:space="preserve">Backfill</t>
  </si>
  <si>
    <t xml:space="preserve">Yes</t>
  </si>
  <si>
    <t xml:space="preserve">Approve as asked</t>
  </si>
  <si>
    <t xml:space="preserve">Insourced</t>
  </si>
  <si>
    <t xml:space="preserve">Hold</t>
  </si>
  <si>
    <t xml:space="preserve">Retirement</t>
  </si>
  <si>
    <t xml:space="preserve">Defer backfill</t>
  </si>
  <si>
    <t xml:space="preserve">No</t>
  </si>
  <si>
    <t xml:space="preserve">Leadership</t>
  </si>
  <si>
    <t xml:space="preserve">Approve fewer</t>
  </si>
  <si>
    <t xml:space="preserve">Outsourced</t>
  </si>
  <si>
    <t xml:space="preserve">Reduce</t>
  </si>
  <si>
    <t xml:space="preserve">End of contract</t>
  </si>
  <si>
    <t xml:space="preserve">Surrender to fund new asks</t>
  </si>
  <si>
    <t xml:space="preserve">Defer to a later quarter</t>
  </si>
  <si>
    <t xml:space="preserve">Internal transfer out</t>
  </si>
  <si>
    <t xml:space="preserve">Decline</t>
  </si>
  <si>
    <t xml:space="preserve">Sub-unit</t>
  </si>
  <si>
    <t xml:space="preserve">Section</t>
  </si>
</sst>
</file>

<file path=xl/styles.xml><?xml version="1.0" encoding="utf-8"?>
<styleSheet xmlns="http://schemas.openxmlformats.org/spreadsheetml/2006/main">
  <numFmts count="4">
    <numFmt numFmtId="164" formatCode="General"/>
    <numFmt numFmtId="165" formatCode="#,##0;\(#,##0\);\-"/>
    <numFmt numFmtId="166" formatCode="0.0%;\(0.0%\);\-"/>
    <numFmt numFmtId="167" formatCode="#,##0.0;\(#,##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8A5300"/>
      <name val="Arial"/>
      <family val="0"/>
      <charset val="1"/>
    </font>
    <font>
      <b val="true"/>
      <sz val="9"/>
      <color rgb="FFFFFFFF"/>
      <name val="Arial"/>
      <family val="0"/>
      <charset val="1"/>
    </font>
    <font>
      <b val="true"/>
      <sz val="10"/>
      <color rgb="FF24466B"/>
      <name val="Arial"/>
      <family val="0"/>
      <charset val="1"/>
    </font>
    <font>
      <b val="true"/>
      <sz val="9"/>
      <color rgb="FF24466B"/>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4"/>
      <color rgb="FF24466B"/>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4" fontId="10" fillId="0" borderId="0" xfId="0" applyFont="true" applyBorder="false" applyAlignment="true" applyProtection="false">
      <alignment horizontal="general" vertical="top"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16" fillId="4"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true">
      <alignment horizontal="general" vertical="bottom" textRotation="0" wrapText="false" indent="0" shrinkToFit="false"/>
      <protection locked="fals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5" fontId="11" fillId="4" borderId="0" xfId="0" applyFont="true" applyBorder="false" applyAlignment="false" applyProtection="false">
      <alignment horizontal="general" vertical="bottom" textRotation="0" wrapText="false" indent="0" shrinkToFit="false"/>
      <protection locked="true" hidden="false"/>
    </xf>
    <xf numFmtId="164" fontId="1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true">
      <alignment horizontal="general" vertical="bottom" textRotation="0" wrapText="false" indent="0" shrinkToFit="false"/>
      <protection locked="false" hidden="false"/>
    </xf>
    <xf numFmtId="165" fontId="9" fillId="4"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7" fontId="0" fillId="4"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20"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ont>
        <name val="Arial"/>
        <charset val="1"/>
        <family val="0"/>
        <b val="1"/>
        <color rgb="FFA4262C"/>
        <sz val="10"/>
      </font>
    </dxf>
    <dxf>
      <font>
        <name val="Arial"/>
        <charset val="1"/>
        <family val="0"/>
        <b val="1"/>
        <color rgb="FF8A5300"/>
        <sz val="10"/>
      </font>
    </dxf>
    <dxf>
      <fill>
        <patternFill patternType="solid">
          <fgColor rgb="FF24466B"/>
          <bgColor rgb="FF000000"/>
        </patternFill>
      </fill>
    </dxf>
    <dxf>
      <fill>
        <patternFill patternType="solid">
          <fgColor rgb="FFEDF1F6"/>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ill>
        <patternFill>
          <bgColor rgb="FFFDE7E9"/>
        </patternFill>
      </fill>
    </dxf>
    <dxf>
      <fill>
        <patternFill patternType="solid">
          <fgColor rgb="FF008000"/>
          <bgColor rgb="FF000000"/>
        </patternFill>
      </fill>
    </dxf>
    <dxf>
      <fill>
        <patternFill patternType="solid">
          <fgColor rgb="FF000000"/>
          <bgColor rgb="FF000000"/>
        </patternFill>
      </fill>
    </dxf>
    <dxf>
      <font>
        <name val="Arial"/>
        <charset val="1"/>
        <family val="0"/>
        <color rgb="FF1A6B45"/>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6FA8C7"/>
      <rgbColor rgb="FFC0504D"/>
      <rgbColor rgb="FFFFF7CC"/>
      <rgbColor rgb="FFEDF1F6"/>
      <rgbColor rgb="FF660066"/>
      <rgbColor rgb="FFFF8080"/>
      <rgbColor rgb="FF0066CC"/>
      <rgbColor rgb="FFC7D3E3"/>
      <rgbColor rgb="FF000080"/>
      <rgbColor rgb="FFFF00FF"/>
      <rgbColor rgb="FFFFFF00"/>
      <rgbColor rgb="FF00FFFF"/>
      <rgbColor rgb="FF800080"/>
      <rgbColor rgb="FF800000"/>
      <rgbColor rgb="FF008080"/>
      <rgbColor rgb="FF0000FF"/>
      <rgbColor rgb="FF00CCFF"/>
      <rgbColor rgb="FFCCFFFF"/>
      <rgbColor rgb="FFD6DCE4"/>
      <rgbColor rgb="FFFDE7E9"/>
      <rgbColor rgb="FF99CCFF"/>
      <rgbColor rgb="FFFF99CC"/>
      <rgbColor rgb="FFCC99FF"/>
      <rgbColor rgb="FFFFCC99"/>
      <rgbColor rgb="FF3E7CB1"/>
      <rgbColor rgb="FF4BACC6"/>
      <rgbColor rgb="FF9BBB59"/>
      <rgbColor rgb="FFFFCC00"/>
      <rgbColor rgb="FFFF9900"/>
      <rgbColor rgb="FFFF6600"/>
      <rgbColor rgb="FF8064A2"/>
      <rgbColor rgb="FF7B8694"/>
      <rgbColor rgb="FF003366"/>
      <rgbColor rgb="FF4F81BD"/>
      <rgbColor rgb="FF003300"/>
      <rgbColor rgb="FF4C5563"/>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Run-rate cost funded by case (SAR '000)</a:t>
            </a:r>
          </a:p>
        </c:rich>
      </c:tx>
      <c:overlay val="0"/>
      <c:spPr>
        <a:noFill/>
        <a:ln w="0">
          <a:noFill/>
        </a:ln>
      </c:spPr>
    </c:title>
    <c:autoTitleDeleted val="0"/>
    <c:plotArea>
      <c:barChart>
        <c:barDir val="col"/>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Scenarios'!$B$14:$E$14</c:f>
              <c:strCache>
                <c:ptCount val="4"/>
                <c:pt idx="0">
                  <c:v>Base</c:v>
                </c:pt>
                <c:pt idx="1">
                  <c:v>Constrained</c:v>
                </c:pt>
                <c:pt idx="2">
                  <c:v>Growth</c:v>
                </c:pt>
                <c:pt idx="3">
                  <c:v>Custom</c:v>
                </c:pt>
              </c:strCache>
            </c:strRef>
          </c:cat>
          <c:val>
            <c:numRef>
              <c:f>'5. Scenarios'!$B$18:$E$18</c:f>
              <c:numCache>
                <c:formatCode>#,##0;\(#,##0\);\-</c:formatCode>
                <c:ptCount val="4"/>
                <c:pt idx="0">
                  <c:v>0</c:v>
                </c:pt>
                <c:pt idx="1">
                  <c:v>0</c:v>
                </c:pt>
                <c:pt idx="2">
                  <c:v>0</c:v>
                </c:pt>
                <c:pt idx="3">
                  <c:v>0</c:v>
                </c:pt>
              </c:numCache>
            </c:numRef>
          </c:val>
        </c:ser>
        <c:gapWidth val="150"/>
        <c:overlap val="0"/>
        <c:axId val="97083809"/>
        <c:axId val="28327178"/>
      </c:barChart>
      <c:catAx>
        <c:axId val="970838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327178"/>
        <c:crosses val="autoZero"/>
        <c:auto val="1"/>
        <c:lblAlgn val="ctr"/>
        <c:lblOffset val="100"/>
        <c:noMultiLvlLbl val="0"/>
      </c:catAx>
      <c:valAx>
        <c:axId val="28327178"/>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08380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Funded positions by priority</a:t>
            </a:r>
          </a:p>
        </c:rich>
      </c:tx>
      <c:overlay val="0"/>
      <c:spPr>
        <a:noFill/>
        <a:ln w="0">
          <a:noFill/>
        </a:ln>
      </c:spPr>
    </c:title>
    <c:autoTitleDeleted val="0"/>
    <c:plotArea>
      <c:barChart>
        <c:barDir val="col"/>
        <c:grouping val="clustered"/>
        <c:varyColors val="0"/>
        <c:ser>
          <c:idx val="0"/>
          <c:order val="0"/>
          <c:tx>
            <c:strRef>
              <c:f>'5. Scenarios'!A31</c:f>
              <c:strCache>
                <c:ptCount val="1"/>
                <c:pt idx="0">
                  <c:v>Priority</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Scenarios'!$A$32:$A$35</c:f>
              <c:strCache>
                <c:ptCount val="4"/>
                <c:pt idx="0">
                  <c:v>1. Regulatory</c:v>
                </c:pt>
                <c:pt idx="1">
                  <c:v>2. Strategic</c:v>
                </c:pt>
                <c:pt idx="2">
                  <c:v>3. Control</c:v>
                </c:pt>
                <c:pt idx="3">
                  <c:v>4. BAU</c:v>
                </c:pt>
              </c:strCache>
            </c:strRef>
          </c:cat>
          <c:val>
            <c:numRef>
              <c:f>'5. Scenarios'!$A$32:$A$35</c:f>
              <c:numCache>
                <c:formatCode>General</c:formatCode>
                <c:ptCount val="4"/>
              </c:numCache>
            </c:numRef>
          </c:val>
        </c:ser>
        <c:ser>
          <c:idx val="1"/>
          <c:order val="1"/>
          <c:tx>
            <c:strRef>
              <c:f>'5. Scenarios'!B31</c:f>
              <c:strCache>
                <c:ptCount val="1"/>
                <c:pt idx="0">
                  <c:v>Base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Scenarios'!$A$32:$A$35</c:f>
              <c:strCache>
                <c:ptCount val="4"/>
                <c:pt idx="0">
                  <c:v>1. Regulatory</c:v>
                </c:pt>
                <c:pt idx="1">
                  <c:v>2. Strategic</c:v>
                </c:pt>
                <c:pt idx="2">
                  <c:v>3. Control</c:v>
                </c:pt>
                <c:pt idx="3">
                  <c:v>4. BAU</c:v>
                </c:pt>
              </c:strCache>
            </c:strRef>
          </c:cat>
          <c:val>
            <c:numRef>
              <c:f>'5. Scenarios'!$B$32:$B$35</c:f>
              <c:numCache>
                <c:formatCode>#,##0.0;\(#,##0.0\);\-</c:formatCode>
                <c:ptCount val="4"/>
                <c:pt idx="0">
                  <c:v>0</c:v>
                </c:pt>
                <c:pt idx="1">
                  <c:v>0</c:v>
                </c:pt>
                <c:pt idx="2">
                  <c:v>0</c:v>
                </c:pt>
                <c:pt idx="3">
                  <c:v>0</c:v>
                </c:pt>
              </c:numCache>
            </c:numRef>
          </c:val>
        </c:ser>
        <c:ser>
          <c:idx val="2"/>
          <c:order val="2"/>
          <c:tx>
            <c:strRef>
              <c:f>'5. Scenarios'!C31</c:f>
              <c:strCache>
                <c:ptCount val="1"/>
                <c:pt idx="0">
                  <c:v>Constrained</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Scenarios'!$A$32:$A$35</c:f>
              <c:strCache>
                <c:ptCount val="4"/>
                <c:pt idx="0">
                  <c:v>1. Regulatory</c:v>
                </c:pt>
                <c:pt idx="1">
                  <c:v>2. Strategic</c:v>
                </c:pt>
                <c:pt idx="2">
                  <c:v>3. Control</c:v>
                </c:pt>
                <c:pt idx="3">
                  <c:v>4. BAU</c:v>
                </c:pt>
              </c:strCache>
            </c:strRef>
          </c:cat>
          <c:val>
            <c:numRef>
              <c:f>'5. Scenarios'!$C$32:$C$35</c:f>
              <c:numCache>
                <c:formatCode>#,##0.0;\(#,##0.0\);\-</c:formatCode>
                <c:ptCount val="4"/>
                <c:pt idx="0">
                  <c:v>0</c:v>
                </c:pt>
                <c:pt idx="1">
                  <c:v>0</c:v>
                </c:pt>
                <c:pt idx="2">
                  <c:v>0</c:v>
                </c:pt>
                <c:pt idx="3">
                  <c:v>0</c:v>
                </c:pt>
              </c:numCache>
            </c:numRef>
          </c:val>
        </c:ser>
        <c:ser>
          <c:idx val="3"/>
          <c:order val="3"/>
          <c:tx>
            <c:strRef>
              <c:f>'5. Scenarios'!D31</c:f>
              <c:strCache>
                <c:ptCount val="1"/>
                <c:pt idx="0">
                  <c:v>Growth</c:v>
                </c:pt>
              </c:strCache>
            </c:strRef>
          </c:tx>
          <c:spPr>
            <a:solidFill>
              <a:srgbClr val="8064a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Scenarios'!$A$32:$A$35</c:f>
              <c:strCache>
                <c:ptCount val="4"/>
                <c:pt idx="0">
                  <c:v>1. Regulatory</c:v>
                </c:pt>
                <c:pt idx="1">
                  <c:v>2. Strategic</c:v>
                </c:pt>
                <c:pt idx="2">
                  <c:v>3. Control</c:v>
                </c:pt>
                <c:pt idx="3">
                  <c:v>4. BAU</c:v>
                </c:pt>
              </c:strCache>
            </c:strRef>
          </c:cat>
          <c:val>
            <c:numRef>
              <c:f>'5. Scenarios'!$D$32:$D$35</c:f>
              <c:numCache>
                <c:formatCode>#,##0.0;\(#,##0.0\);\-</c:formatCode>
                <c:ptCount val="4"/>
                <c:pt idx="0">
                  <c:v>0</c:v>
                </c:pt>
                <c:pt idx="1">
                  <c:v>0</c:v>
                </c:pt>
                <c:pt idx="2">
                  <c:v>0</c:v>
                </c:pt>
                <c:pt idx="3">
                  <c:v>0</c:v>
                </c:pt>
              </c:numCache>
            </c:numRef>
          </c:val>
        </c:ser>
        <c:ser>
          <c:idx val="4"/>
          <c:order val="4"/>
          <c:tx>
            <c:strRef>
              <c:f>'5. Scenarios'!E31</c:f>
              <c:strCache>
                <c:ptCount val="1"/>
                <c:pt idx="0">
                  <c:v>Custom</c:v>
                </c:pt>
              </c:strCache>
            </c:strRef>
          </c:tx>
          <c:spPr>
            <a:solidFill>
              <a:srgbClr val="4bacc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Scenarios'!$A$32:$A$35</c:f>
              <c:strCache>
                <c:ptCount val="4"/>
                <c:pt idx="0">
                  <c:v>1. Regulatory</c:v>
                </c:pt>
                <c:pt idx="1">
                  <c:v>2. Strategic</c:v>
                </c:pt>
                <c:pt idx="2">
                  <c:v>3. Control</c:v>
                </c:pt>
                <c:pt idx="3">
                  <c:v>4. BAU</c:v>
                </c:pt>
              </c:strCache>
            </c:strRef>
          </c:cat>
          <c:val>
            <c:numRef>
              <c:f>'5. Scenarios'!$E$32:$E$35</c:f>
              <c:numCache>
                <c:formatCode>#,##0.0;\(#,##0.0\);\-</c:formatCode>
                <c:ptCount val="4"/>
                <c:pt idx="0">
                  <c:v>0</c:v>
                </c:pt>
                <c:pt idx="1">
                  <c:v>0</c:v>
                </c:pt>
                <c:pt idx="2">
                  <c:v>0</c:v>
                </c:pt>
                <c:pt idx="3">
                  <c:v>0</c:v>
                </c:pt>
              </c:numCache>
            </c:numRef>
          </c:val>
        </c:ser>
        <c:gapWidth val="150"/>
        <c:overlap val="0"/>
        <c:axId val="6334311"/>
        <c:axId val="60591293"/>
      </c:barChart>
      <c:catAx>
        <c:axId val="63343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591293"/>
        <c:crosses val="autoZero"/>
        <c:auto val="1"/>
        <c:lblAlgn val="ctr"/>
        <c:lblOffset val="100"/>
        <c:noMultiLvlLbl val="0"/>
      </c:catAx>
      <c:valAx>
        <c:axId val="60591293"/>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3431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2026 to 2027 establishment</a:t>
            </a:r>
          </a:p>
        </c:rich>
      </c:tx>
      <c:overlay val="0"/>
      <c:spPr>
        <a:noFill/>
        <a:ln w="0">
          <a:noFill/>
        </a:ln>
      </c:spPr>
    </c:title>
    <c:autoTitleDeleted val="0"/>
    <c:plotArea>
      <c:barChart>
        <c:barDir val="col"/>
        <c:grouping val="stacked"/>
        <c:varyColors val="0"/>
        <c:ser>
          <c:idx val="0"/>
          <c:order val="0"/>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Dashboard'!$A$6:$A$9</c:f>
              <c:strCache>
                <c:ptCount val="4"/>
                <c:pt idx="0">
                  <c:v>Opening 2026 approved establishment</c:v>
                </c:pt>
                <c:pt idx="1">
                  <c:v>less seats the groups are giving up</c:v>
                </c:pt>
                <c:pt idx="2">
                  <c:v>plus positions approved</c:v>
                </c:pt>
                <c:pt idx="3">
                  <c:v>Closing 2027 approved establishment</c:v>
                </c:pt>
              </c:strCache>
            </c:strRef>
          </c:cat>
          <c:val>
            <c:numRef>
              <c:f>'6. Dashboard'!$D$6:$D$9</c:f>
              <c:numCache>
                <c:formatCode>#,##0.0;\(#,##0.0\);\-</c:formatCode>
                <c:ptCount val="4"/>
                <c:pt idx="0">
                  <c:v>0</c:v>
                </c:pt>
                <c:pt idx="1">
                  <c:v>2568</c:v>
                </c:pt>
                <c:pt idx="2">
                  <c:v>2568</c:v>
                </c:pt>
                <c:pt idx="3">
                  <c:v>0</c:v>
                </c:pt>
              </c:numCache>
            </c:numRef>
          </c:val>
        </c:ser>
        <c:ser>
          <c:idx val="1"/>
          <c:order val="1"/>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Dashboard'!$A$6:$A$9</c:f>
              <c:strCache>
                <c:ptCount val="4"/>
                <c:pt idx="0">
                  <c:v>Opening 2026 approved establishment</c:v>
                </c:pt>
                <c:pt idx="1">
                  <c:v>less seats the groups are giving up</c:v>
                </c:pt>
                <c:pt idx="2">
                  <c:v>plus positions approved</c:v>
                </c:pt>
                <c:pt idx="3">
                  <c:v>Closing 2027 approved establishment</c:v>
                </c:pt>
              </c:strCache>
            </c:strRef>
          </c:cat>
          <c:val>
            <c:numRef>
              <c:f>'6. Dashboard'!$E$6:$E$9</c:f>
              <c:numCache>
                <c:formatCode>#,##0.0;\(#,##0.0\);\-</c:formatCode>
                <c:ptCount val="4"/>
                <c:pt idx="0">
                  <c:v>2568</c:v>
                </c:pt>
                <c:pt idx="1">
                  <c:v>0</c:v>
                </c:pt>
                <c:pt idx="2">
                  <c:v>0</c:v>
                </c:pt>
                <c:pt idx="3">
                  <c:v>2568</c:v>
                </c:pt>
              </c:numCache>
            </c:numRef>
          </c:val>
        </c:ser>
        <c:gapWidth val="150"/>
        <c:overlap val="100"/>
        <c:axId val="38280784"/>
        <c:axId val="19338692"/>
      </c:barChart>
      <c:catAx>
        <c:axId val="382807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338692"/>
        <c:crosses val="autoZero"/>
        <c:auto val="1"/>
        <c:lblAlgn val="ctr"/>
        <c:lblOffset val="100"/>
        <c:noMultiLvlLbl val="0"/>
      </c:catAx>
      <c:valAx>
        <c:axId val="19338692"/>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28078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Approved 2027 run-rate against envelope (SAR '000)</a:t>
            </a:r>
          </a:p>
        </c:rich>
      </c:tx>
      <c:overlay val="0"/>
      <c:spPr>
        <a:noFill/>
        <a:ln w="0">
          <a:noFill/>
        </a:ln>
      </c:spPr>
    </c:title>
    <c:autoTitleDeleted val="0"/>
    <c:plotArea>
      <c:barChart>
        <c:barDir val="bar"/>
        <c:grouping val="clustered"/>
        <c:varyColors val="0"/>
        <c:ser>
          <c:idx val="0"/>
          <c:order val="0"/>
          <c:tx>
            <c:strRef>
              <c:f>'6. Dashboard'!D14</c:f>
              <c:strCache>
                <c:ptCount val="1"/>
                <c:pt idx="0">
                  <c:v>Approved run-rate</c:v>
                </c:pt>
              </c:strCache>
            </c:strRef>
          </c:tx>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Dashboard'!$A$15:$A$26</c:f>
              <c:strCache>
                <c:ptCount val="12"/>
                <c:pt idx="0">
                  <c:v>CEO Office</c:v>
                </c:pt>
                <c:pt idx="1">
                  <c:v>Compliance Group</c:v>
                </c:pt>
                <c:pt idx="2">
                  <c:v>Corporate Banking Group</c:v>
                </c:pt>
                <c:pt idx="3">
                  <c:v>Finance Group</c:v>
                </c:pt>
                <c:pt idx="4">
                  <c:v>Human Resources Group</c:v>
                </c:pt>
                <c:pt idx="5">
                  <c:v>Internal Audit Group</c:v>
                </c:pt>
                <c:pt idx="6">
                  <c:v>Legal Group</c:v>
                </c:pt>
                <c:pt idx="7">
                  <c:v>Operations Group</c:v>
                </c:pt>
                <c:pt idx="8">
                  <c:v>Retail Banking Group</c:v>
                </c:pt>
                <c:pt idx="9">
                  <c:v>Risk Group</c:v>
                </c:pt>
                <c:pt idx="10">
                  <c:v>Technology Group</c:v>
                </c:pt>
                <c:pt idx="11">
                  <c:v>Treasury &amp; Investments Group</c:v>
                </c:pt>
              </c:strCache>
            </c:strRef>
          </c:cat>
          <c:val>
            <c:numRef>
              <c:f>'6. Dashboard'!$D$15:$D$26</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'6. Dashboard'!E14</c:f>
              <c:strCache>
                <c:ptCount val="1"/>
                <c:pt idx="0">
                  <c:v>Cost envelope</c:v>
                </c:pt>
              </c:strCache>
            </c:strRef>
          </c:tx>
          <c:spPr>
            <a:solidFill>
              <a:srgbClr val="c7d3e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Dashboard'!$A$15:$A$26</c:f>
              <c:strCache>
                <c:ptCount val="12"/>
                <c:pt idx="0">
                  <c:v>CEO Office</c:v>
                </c:pt>
                <c:pt idx="1">
                  <c:v>Compliance Group</c:v>
                </c:pt>
                <c:pt idx="2">
                  <c:v>Corporate Banking Group</c:v>
                </c:pt>
                <c:pt idx="3">
                  <c:v>Finance Group</c:v>
                </c:pt>
                <c:pt idx="4">
                  <c:v>Human Resources Group</c:v>
                </c:pt>
                <c:pt idx="5">
                  <c:v>Internal Audit Group</c:v>
                </c:pt>
                <c:pt idx="6">
                  <c:v>Legal Group</c:v>
                </c:pt>
                <c:pt idx="7">
                  <c:v>Operations Group</c:v>
                </c:pt>
                <c:pt idx="8">
                  <c:v>Retail Banking Group</c:v>
                </c:pt>
                <c:pt idx="9">
                  <c:v>Risk Group</c:v>
                </c:pt>
                <c:pt idx="10">
                  <c:v>Technology Group</c:v>
                </c:pt>
                <c:pt idx="11">
                  <c:v>Treasury &amp; Investments Group</c:v>
                </c:pt>
              </c:strCache>
            </c:strRef>
          </c:cat>
          <c:val>
            <c:numRef>
              <c:f>'6. Dashboard'!$E$15:$E$26</c:f>
              <c:numCache>
                <c:formatCode>#,##0;\(#,##0\);\-</c:formatCode>
                <c:ptCount val="12"/>
                <c:pt idx="0">
                  <c:v>1048</c:v>
                </c:pt>
                <c:pt idx="1">
                  <c:v>1904</c:v>
                </c:pt>
                <c:pt idx="2">
                  <c:v>2786</c:v>
                </c:pt>
                <c:pt idx="3">
                  <c:v>2418</c:v>
                </c:pt>
                <c:pt idx="4">
                  <c:v>4175</c:v>
                </c:pt>
                <c:pt idx="5">
                  <c:v>1938</c:v>
                </c:pt>
                <c:pt idx="6">
                  <c:v>1905</c:v>
                </c:pt>
                <c:pt idx="7">
                  <c:v>3130</c:v>
                </c:pt>
                <c:pt idx="8">
                  <c:v>4832</c:v>
                </c:pt>
                <c:pt idx="9">
                  <c:v>4447</c:v>
                </c:pt>
                <c:pt idx="10">
                  <c:v>4928</c:v>
                </c:pt>
                <c:pt idx="11">
                  <c:v>1920</c:v>
                </c:pt>
              </c:numCache>
            </c:numRef>
          </c:val>
        </c:ser>
        <c:gapWidth val="150"/>
        <c:overlap val="0"/>
        <c:axId val="90653838"/>
        <c:axId val="19042162"/>
      </c:barChart>
      <c:catAx>
        <c:axId val="90653838"/>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042162"/>
        <c:crosses val="autoZero"/>
        <c:auto val="1"/>
        <c:lblAlgn val="ctr"/>
        <c:lblOffset val="100"/>
        <c:noMultiLvlLbl val="0"/>
      </c:catAx>
      <c:valAx>
        <c:axId val="1904216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653838"/>
        <c:crosses val="max"/>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Requested against approved, by driver</a:t>
            </a:r>
          </a:p>
        </c:rich>
      </c:tx>
      <c:overlay val="0"/>
      <c:spPr>
        <a:noFill/>
        <a:ln w="0">
          <a:noFill/>
        </a:ln>
      </c:spPr>
    </c:title>
    <c:autoTitleDeleted val="0"/>
    <c:plotArea>
      <c:barChart>
        <c:barDir val="bar"/>
        <c:grouping val="clustered"/>
        <c:varyColors val="0"/>
        <c:ser>
          <c:idx val="0"/>
          <c:order val="0"/>
          <c:tx>
            <c:strRef>
              <c:f>'6. Dashboard'!C29</c:f>
              <c:strCache>
                <c:ptCount val="1"/>
                <c:pt idx="0">
                  <c:v>Requested</c:v>
                </c:pt>
              </c:strCache>
            </c:strRef>
          </c:tx>
          <c:spPr>
            <a:solidFill>
              <a:srgbClr val="c7d3e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Dashboard'!$A$30:$A$48</c:f>
              <c:strCache>
                <c:ptCount val="19"/>
                <c:pt idx="0">
                  <c:v>SAMA regulatory requirement</c:v>
                </c:pt>
                <c:pt idx="1">
                  <c:v>New regulation implementation</c:v>
                </c:pt>
                <c:pt idx="2">
                  <c:v>Regulatory audit finding</c:v>
                </c:pt>
                <c:pt idx="3">
                  <c:v>Risk framework uplift</c:v>
                </c:pt>
                <c:pt idx="4">
                  <c:v>Volume growth - existing product</c:v>
                </c:pt>
                <c:pt idx="5">
                  <c:v>New product launch</c:v>
                </c:pt>
                <c:pt idx="6">
                  <c:v>Branch or channel expansion</c:v>
                </c:pt>
                <c:pt idx="7">
                  <c:v>Client coverage expansion</c:v>
                </c:pt>
                <c:pt idx="8">
                  <c:v>Automation enablement</c:v>
                </c:pt>
                <c:pt idx="9">
                  <c:v>Control gap closure</c:v>
                </c:pt>
                <c:pt idx="10">
                  <c:v>Internal audit finding</c:v>
                </c:pt>
                <c:pt idx="11">
                  <c:v>Business continuity / resilience</c:v>
                </c:pt>
                <c:pt idx="12">
                  <c:v>Backfill - resignation</c:v>
                </c:pt>
                <c:pt idx="13">
                  <c:v>Backfill - retirement</c:v>
                </c:pt>
                <c:pt idx="14">
                  <c:v>Backfill - internal move</c:v>
                </c:pt>
                <c:pt idx="15">
                  <c:v>Process centralisation</c:v>
                </c:pt>
                <c:pt idx="16">
                  <c:v>Insourcing from vendor</c:v>
                </c:pt>
                <c:pt idx="17">
                  <c:v>Service level improvement</c:v>
                </c:pt>
                <c:pt idx="18">
                  <c:v>Other - see note</c:v>
                </c:pt>
              </c:strCache>
            </c:strRef>
          </c:cat>
          <c:val>
            <c:numRef>
              <c:f>'6. Dashboard'!$C$30:$C$48</c:f>
              <c:numCache>
                <c:formatCode>#,##0.0;\(#,##0.0\);\-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ser>
        <c:ser>
          <c:idx val="1"/>
          <c:order val="1"/>
          <c:tx>
            <c:strRef>
              <c:f>'6. Dashboard'!D29</c:f>
              <c:strCache>
                <c:ptCount val="1"/>
                <c:pt idx="0">
                  <c:v>Approved</c:v>
                </c:pt>
              </c:strCache>
            </c:strRef>
          </c:tx>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Dashboard'!$A$30:$A$48</c:f>
              <c:strCache>
                <c:ptCount val="19"/>
                <c:pt idx="0">
                  <c:v>SAMA regulatory requirement</c:v>
                </c:pt>
                <c:pt idx="1">
                  <c:v>New regulation implementation</c:v>
                </c:pt>
                <c:pt idx="2">
                  <c:v>Regulatory audit finding</c:v>
                </c:pt>
                <c:pt idx="3">
                  <c:v>Risk framework uplift</c:v>
                </c:pt>
                <c:pt idx="4">
                  <c:v>Volume growth - existing product</c:v>
                </c:pt>
                <c:pt idx="5">
                  <c:v>New product launch</c:v>
                </c:pt>
                <c:pt idx="6">
                  <c:v>Branch or channel expansion</c:v>
                </c:pt>
                <c:pt idx="7">
                  <c:v>Client coverage expansion</c:v>
                </c:pt>
                <c:pt idx="8">
                  <c:v>Automation enablement</c:v>
                </c:pt>
                <c:pt idx="9">
                  <c:v>Control gap closure</c:v>
                </c:pt>
                <c:pt idx="10">
                  <c:v>Internal audit finding</c:v>
                </c:pt>
                <c:pt idx="11">
                  <c:v>Business continuity / resilience</c:v>
                </c:pt>
                <c:pt idx="12">
                  <c:v>Backfill - resignation</c:v>
                </c:pt>
                <c:pt idx="13">
                  <c:v>Backfill - retirement</c:v>
                </c:pt>
                <c:pt idx="14">
                  <c:v>Backfill - internal move</c:v>
                </c:pt>
                <c:pt idx="15">
                  <c:v>Process centralisation</c:v>
                </c:pt>
                <c:pt idx="16">
                  <c:v>Insourcing from vendor</c:v>
                </c:pt>
                <c:pt idx="17">
                  <c:v>Service level improvement</c:v>
                </c:pt>
                <c:pt idx="18">
                  <c:v>Other - see note</c:v>
                </c:pt>
              </c:strCache>
            </c:strRef>
          </c:cat>
          <c:val>
            <c:numRef>
              <c:f>'6. Dashboard'!$D$30:$D$48</c:f>
              <c:numCache>
                <c:formatCode>#,##0.0;\(#,##0.0\);\-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ser>
        <c:gapWidth val="150"/>
        <c:overlap val="0"/>
        <c:axId val="5486713"/>
        <c:axId val="59958049"/>
      </c:barChart>
      <c:catAx>
        <c:axId val="5486713"/>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958049"/>
        <c:crosses val="autoZero"/>
        <c:auto val="1"/>
        <c:lblAlgn val="ctr"/>
        <c:lblOffset val="100"/>
        <c:noMultiLvlLbl val="0"/>
      </c:catAx>
      <c:valAx>
        <c:axId val="59958049"/>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86713"/>
        <c:crosses val="max"/>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Approved 2027 cash cost by start quarter (SAR '000)</a:t>
            </a:r>
          </a:p>
        </c:rich>
      </c:tx>
      <c:overlay val="0"/>
      <c:spPr>
        <a:noFill/>
        <a:ln w="0">
          <a:noFill/>
        </a:ln>
      </c:spPr>
    </c:title>
    <c:autoTitleDeleted val="0"/>
    <c:plotArea>
      <c:barChart>
        <c:barDir val="col"/>
        <c:grouping val="stacked"/>
        <c:varyColors val="0"/>
        <c:ser>
          <c:idx val="0"/>
          <c:order val="0"/>
          <c:tx>
            <c:strRef>
              <c:f>'6. Dashboard'!B51</c:f>
              <c:strCache>
                <c:ptCount val="1"/>
                <c:pt idx="0">
                  <c:v>Regulatory</c:v>
                </c:pt>
              </c:strCache>
            </c:strRef>
          </c:tx>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Dashboard'!$A$52:$A$55</c:f>
              <c:strCache>
                <c:ptCount val="4"/>
                <c:pt idx="0">
                  <c:v>Q1</c:v>
                </c:pt>
                <c:pt idx="1">
                  <c:v>Q2</c:v>
                </c:pt>
                <c:pt idx="2">
                  <c:v>Q3</c:v>
                </c:pt>
                <c:pt idx="3">
                  <c:v>Q4</c:v>
                </c:pt>
              </c:strCache>
            </c:strRef>
          </c:cat>
          <c:val>
            <c:numRef>
              <c:f>'6. Dashboard'!$B$52:$B$55</c:f>
              <c:numCache>
                <c:formatCode>#,##0;\(#,##0\);\-</c:formatCode>
                <c:ptCount val="4"/>
                <c:pt idx="0">
                  <c:v>0</c:v>
                </c:pt>
                <c:pt idx="1">
                  <c:v>0</c:v>
                </c:pt>
                <c:pt idx="2">
                  <c:v>0</c:v>
                </c:pt>
                <c:pt idx="3">
                  <c:v>0</c:v>
                </c:pt>
              </c:numCache>
            </c:numRef>
          </c:val>
        </c:ser>
        <c:ser>
          <c:idx val="1"/>
          <c:order val="1"/>
          <c:tx>
            <c:strRef>
              <c:f>'6. Dashboard'!C51</c:f>
              <c:strCache>
                <c:ptCount val="1"/>
                <c:pt idx="0">
                  <c:v>Strategic</c:v>
                </c:pt>
              </c:strCache>
            </c:strRef>
          </c:tx>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Dashboard'!$A$52:$A$55</c:f>
              <c:strCache>
                <c:ptCount val="4"/>
                <c:pt idx="0">
                  <c:v>Q1</c:v>
                </c:pt>
                <c:pt idx="1">
                  <c:v>Q2</c:v>
                </c:pt>
                <c:pt idx="2">
                  <c:v>Q3</c:v>
                </c:pt>
                <c:pt idx="3">
                  <c:v>Q4</c:v>
                </c:pt>
              </c:strCache>
            </c:strRef>
          </c:cat>
          <c:val>
            <c:numRef>
              <c:f>'6. Dashboard'!$C$52:$C$55</c:f>
              <c:numCache>
                <c:formatCode>#,##0;\(#,##0\);\-</c:formatCode>
                <c:ptCount val="4"/>
                <c:pt idx="0">
                  <c:v>0</c:v>
                </c:pt>
                <c:pt idx="1">
                  <c:v>0</c:v>
                </c:pt>
                <c:pt idx="2">
                  <c:v>0</c:v>
                </c:pt>
                <c:pt idx="3">
                  <c:v>0</c:v>
                </c:pt>
              </c:numCache>
            </c:numRef>
          </c:val>
        </c:ser>
        <c:ser>
          <c:idx val="2"/>
          <c:order val="2"/>
          <c:tx>
            <c:strRef>
              <c:f>'6. Dashboard'!D51</c:f>
              <c:strCache>
                <c:ptCount val="1"/>
                <c:pt idx="0">
                  <c:v>Control</c:v>
                </c:pt>
              </c:strCache>
            </c:strRef>
          </c:tx>
          <c:spPr>
            <a:solidFill>
              <a:srgbClr val="6fa8c7"/>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Dashboard'!$A$52:$A$55</c:f>
              <c:strCache>
                <c:ptCount val="4"/>
                <c:pt idx="0">
                  <c:v>Q1</c:v>
                </c:pt>
                <c:pt idx="1">
                  <c:v>Q2</c:v>
                </c:pt>
                <c:pt idx="2">
                  <c:v>Q3</c:v>
                </c:pt>
                <c:pt idx="3">
                  <c:v>Q4</c:v>
                </c:pt>
              </c:strCache>
            </c:strRef>
          </c:cat>
          <c:val>
            <c:numRef>
              <c:f>'6. Dashboard'!$D$52:$D$55</c:f>
              <c:numCache>
                <c:formatCode>#,##0;\(#,##0\);\-</c:formatCode>
                <c:ptCount val="4"/>
                <c:pt idx="0">
                  <c:v>0</c:v>
                </c:pt>
                <c:pt idx="1">
                  <c:v>0</c:v>
                </c:pt>
                <c:pt idx="2">
                  <c:v>0</c:v>
                </c:pt>
                <c:pt idx="3">
                  <c:v>0</c:v>
                </c:pt>
              </c:numCache>
            </c:numRef>
          </c:val>
        </c:ser>
        <c:ser>
          <c:idx val="3"/>
          <c:order val="3"/>
          <c:tx>
            <c:strRef>
              <c:f>'6. Dashboard'!E51</c:f>
              <c:strCache>
                <c:ptCount val="1"/>
                <c:pt idx="0">
                  <c:v>BAU</c:v>
                </c:pt>
              </c:strCache>
            </c:strRef>
          </c:tx>
          <c:spPr>
            <a:solidFill>
              <a:srgbClr val="c7d3e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Dashboard'!$A$52:$A$55</c:f>
              <c:strCache>
                <c:ptCount val="4"/>
                <c:pt idx="0">
                  <c:v>Q1</c:v>
                </c:pt>
                <c:pt idx="1">
                  <c:v>Q2</c:v>
                </c:pt>
                <c:pt idx="2">
                  <c:v>Q3</c:v>
                </c:pt>
                <c:pt idx="3">
                  <c:v>Q4</c:v>
                </c:pt>
              </c:strCache>
            </c:strRef>
          </c:cat>
          <c:val>
            <c:numRef>
              <c:f>'6. Dashboard'!$E$52:$E$55</c:f>
              <c:numCache>
                <c:formatCode>#,##0;\(#,##0\);\-</c:formatCode>
                <c:ptCount val="4"/>
                <c:pt idx="0">
                  <c:v>0</c:v>
                </c:pt>
                <c:pt idx="1">
                  <c:v>0</c:v>
                </c:pt>
                <c:pt idx="2">
                  <c:v>0</c:v>
                </c:pt>
                <c:pt idx="3">
                  <c:v>0</c:v>
                </c:pt>
              </c:numCache>
            </c:numRef>
          </c:val>
        </c:ser>
        <c:gapWidth val="150"/>
        <c:overlap val="100"/>
        <c:axId val="62276509"/>
        <c:axId val="71485914"/>
      </c:barChart>
      <c:catAx>
        <c:axId val="622765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485914"/>
        <c:crosses val="autoZero"/>
        <c:auto val="1"/>
        <c:lblAlgn val="ctr"/>
        <c:lblOffset val="100"/>
        <c:noMultiLvlLbl val="0"/>
      </c:catAx>
      <c:valAx>
        <c:axId val="7148591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2765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5</xdr:row>
      <xdr:rowOff>0</xdr:rowOff>
    </xdr:from>
    <xdr:to>
      <xdr:col>14</xdr:col>
      <xdr:colOff>447840</xdr:colOff>
      <xdr:row>14</xdr:row>
      <xdr:rowOff>174600</xdr:rowOff>
    </xdr:to>
    <xdr:graphicFrame>
      <xdr:nvGraphicFramePr>
        <xdr:cNvPr id="0" name="Chart 1"/>
        <xdr:cNvGraphicFramePr/>
      </xdr:nvGraphicFramePr>
      <xdr:xfrm>
        <a:off x="15160680" y="12574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27</xdr:row>
      <xdr:rowOff>288360</xdr:rowOff>
    </xdr:from>
    <xdr:to>
      <xdr:col>14</xdr:col>
      <xdr:colOff>447840</xdr:colOff>
      <xdr:row>40</xdr:row>
      <xdr:rowOff>177120</xdr:rowOff>
    </xdr:to>
    <xdr:graphicFrame>
      <xdr:nvGraphicFramePr>
        <xdr:cNvPr id="1" name="Chart 2"/>
        <xdr:cNvGraphicFramePr/>
      </xdr:nvGraphicFramePr>
      <xdr:xfrm>
        <a:off x="15160680" y="69534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4</xdr:row>
      <xdr:rowOff>0</xdr:rowOff>
    </xdr:from>
    <xdr:to>
      <xdr:col>17</xdr:col>
      <xdr:colOff>408960</xdr:colOff>
      <xdr:row>17</xdr:row>
      <xdr:rowOff>21960</xdr:rowOff>
    </xdr:to>
    <xdr:graphicFrame>
      <xdr:nvGraphicFramePr>
        <xdr:cNvPr id="2" name="Chart 1"/>
        <xdr:cNvGraphicFramePr/>
      </xdr:nvGraphicFramePr>
      <xdr:xfrm>
        <a:off x="14271480" y="87624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0</xdr:rowOff>
    </xdr:from>
    <xdr:to>
      <xdr:col>17</xdr:col>
      <xdr:colOff>408960</xdr:colOff>
      <xdr:row>39</xdr:row>
      <xdr:rowOff>170640</xdr:rowOff>
    </xdr:to>
    <xdr:graphicFrame>
      <xdr:nvGraphicFramePr>
        <xdr:cNvPr id="3" name="Chart 2"/>
        <xdr:cNvGraphicFramePr/>
      </xdr:nvGraphicFramePr>
      <xdr:xfrm>
        <a:off x="14271480" y="4686480"/>
        <a:ext cx="647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44</xdr:row>
      <xdr:rowOff>0</xdr:rowOff>
    </xdr:from>
    <xdr:to>
      <xdr:col>17</xdr:col>
      <xdr:colOff>408960</xdr:colOff>
      <xdr:row>69</xdr:row>
      <xdr:rowOff>86400</xdr:rowOff>
    </xdr:to>
    <xdr:graphicFrame>
      <xdr:nvGraphicFramePr>
        <xdr:cNvPr id="4" name="Chart 3"/>
        <xdr:cNvGraphicFramePr/>
      </xdr:nvGraphicFramePr>
      <xdr:xfrm>
        <a:off x="14271480" y="9067680"/>
        <a:ext cx="6479640" cy="50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73</xdr:row>
      <xdr:rowOff>0</xdr:rowOff>
    </xdr:from>
    <xdr:to>
      <xdr:col>17</xdr:col>
      <xdr:colOff>408960</xdr:colOff>
      <xdr:row>90</xdr:row>
      <xdr:rowOff>1080</xdr:rowOff>
    </xdr:to>
    <xdr:graphicFrame>
      <xdr:nvGraphicFramePr>
        <xdr:cNvPr id="5" name="Chart 4"/>
        <xdr:cNvGraphicFramePr/>
      </xdr:nvGraphicFramePr>
      <xdr:xfrm>
        <a:off x="14271480" y="1478268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48" hidden="false" customHeight="true" outlineLevel="0" collapsed="false">
      <c r="A5" s="4" t="s">
        <v>3</v>
      </c>
      <c r="B5" s="5" t="s">
        <v>4</v>
      </c>
      <c r="C5" s="5"/>
      <c r="D5" s="5"/>
      <c r="E5" s="5"/>
      <c r="F5" s="5"/>
      <c r="G5" s="5"/>
      <c r="H5" s="5"/>
    </row>
    <row r="6" customFormat="false" ht="48" hidden="false" customHeight="true" outlineLevel="0" collapsed="false">
      <c r="A6" s="4" t="s">
        <v>5</v>
      </c>
      <c r="B6" s="5" t="s">
        <v>6</v>
      </c>
      <c r="C6" s="5"/>
      <c r="D6" s="5"/>
      <c r="E6" s="5"/>
      <c r="F6" s="5"/>
      <c r="G6" s="5"/>
      <c r="H6" s="5"/>
    </row>
    <row r="7" customFormat="false" ht="48" hidden="false" customHeight="true" outlineLevel="0" collapsed="false">
      <c r="A7" s="4" t="s">
        <v>7</v>
      </c>
      <c r="B7" s="5" t="s">
        <v>8</v>
      </c>
      <c r="C7" s="5"/>
      <c r="D7" s="5"/>
      <c r="E7" s="5"/>
      <c r="F7" s="5"/>
      <c r="G7" s="5"/>
      <c r="H7" s="5"/>
    </row>
    <row r="8" customFormat="false" ht="48" hidden="false" customHeight="true" outlineLevel="0" collapsed="false">
      <c r="A8" s="4" t="s">
        <v>9</v>
      </c>
      <c r="B8" s="5" t="s">
        <v>10</v>
      </c>
      <c r="C8" s="5"/>
      <c r="D8" s="5"/>
      <c r="E8" s="5"/>
      <c r="F8" s="5"/>
      <c r="G8" s="5"/>
      <c r="H8" s="5"/>
    </row>
    <row r="9" customFormat="false" ht="48" hidden="false" customHeight="true" outlineLevel="0" collapsed="false">
      <c r="A9" s="4" t="s">
        <v>11</v>
      </c>
      <c r="B9" s="5" t="s">
        <v>12</v>
      </c>
      <c r="C9" s="5"/>
      <c r="D9" s="5"/>
      <c r="E9" s="5"/>
      <c r="F9" s="5"/>
      <c r="G9" s="5"/>
      <c r="H9" s="5"/>
    </row>
    <row r="10" customFormat="false" ht="48" hidden="false" customHeight="true" outlineLevel="0" collapsed="false">
      <c r="A10" s="4" t="s">
        <v>13</v>
      </c>
      <c r="B10" s="5" t="s">
        <v>14</v>
      </c>
      <c r="C10" s="5"/>
      <c r="D10" s="5"/>
      <c r="E10" s="5"/>
      <c r="F10" s="5"/>
      <c r="G10" s="5"/>
      <c r="H10" s="5"/>
    </row>
    <row r="11" customFormat="false" ht="48" hidden="false" customHeight="true" outlineLevel="0" collapsed="false">
      <c r="A11" s="4" t="s">
        <v>15</v>
      </c>
      <c r="B11" s="5" t="s">
        <v>16</v>
      </c>
      <c r="C11" s="5"/>
      <c r="D11" s="5"/>
      <c r="E11" s="5"/>
      <c r="F11" s="5"/>
      <c r="G11" s="5"/>
      <c r="H11" s="5"/>
    </row>
    <row r="12" customFormat="false" ht="48" hidden="false" customHeight="true" outlineLevel="0" collapsed="false">
      <c r="A12" s="4" t="s">
        <v>17</v>
      </c>
      <c r="B12" s="5" t="s">
        <v>18</v>
      </c>
      <c r="C12" s="5"/>
      <c r="D12" s="5"/>
      <c r="E12" s="5"/>
      <c r="F12" s="5"/>
      <c r="G12" s="5"/>
      <c r="H12" s="5"/>
    </row>
    <row r="13" customFormat="false" ht="48" hidden="false" customHeight="true" outlineLevel="0" collapsed="false">
      <c r="A13" s="4" t="s">
        <v>19</v>
      </c>
      <c r="B13" s="5" t="s">
        <v>20</v>
      </c>
      <c r="C13" s="5"/>
      <c r="D13" s="5"/>
      <c r="E13" s="5"/>
      <c r="F13" s="5"/>
      <c r="G13" s="5"/>
      <c r="H13" s="5"/>
    </row>
    <row r="15" customFormat="false" ht="15" hidden="false" customHeight="false" outlineLevel="0" collapsed="false">
      <c r="A15" s="6" t="s">
        <v>21</v>
      </c>
    </row>
    <row r="16" customFormat="false" ht="15" hidden="false" customHeight="false" outlineLevel="0" collapsed="false">
      <c r="A16" s="7" t="s">
        <v>22</v>
      </c>
      <c r="B16" s="8" t="s">
        <v>23</v>
      </c>
      <c r="C16" s="8"/>
      <c r="D16" s="8"/>
      <c r="E16" s="8"/>
      <c r="F16" s="8"/>
      <c r="G16" s="8"/>
    </row>
    <row r="17" customFormat="false" ht="15" hidden="false" customHeight="false" outlineLevel="0" collapsed="false">
      <c r="A17" s="9" t="s">
        <v>24</v>
      </c>
      <c r="B17" s="8" t="s">
        <v>25</v>
      </c>
      <c r="C17" s="8"/>
      <c r="D17" s="8"/>
      <c r="E17" s="8"/>
      <c r="F17" s="8"/>
      <c r="G17" s="8"/>
    </row>
    <row r="18" customFormat="false" ht="15" hidden="false" customHeight="false" outlineLevel="0" collapsed="false">
      <c r="A18" s="10" t="s">
        <v>26</v>
      </c>
      <c r="B18" s="8" t="s">
        <v>27</v>
      </c>
      <c r="C18" s="8"/>
      <c r="D18" s="8"/>
      <c r="E18" s="8"/>
      <c r="F18" s="8"/>
      <c r="G18" s="8"/>
    </row>
    <row r="20" customFormat="false" ht="15" hidden="false" customHeight="false" outlineLevel="0" collapsed="false">
      <c r="A20" s="3" t="s">
        <v>28</v>
      </c>
    </row>
    <row r="21" customFormat="false" ht="25.5" hidden="false" customHeight="true" outlineLevel="0" collapsed="false">
      <c r="A21" s="11" t="s">
        <v>29</v>
      </c>
      <c r="B21" s="11"/>
      <c r="C21" s="11"/>
      <c r="D21" s="11"/>
      <c r="E21" s="11"/>
      <c r="F21" s="11"/>
      <c r="G21" s="11"/>
      <c r="H21" s="11"/>
    </row>
    <row r="22" customFormat="false" ht="25.5" hidden="false" customHeight="true" outlineLevel="0" collapsed="false">
      <c r="A22" s="11" t="s">
        <v>30</v>
      </c>
      <c r="B22" s="11"/>
      <c r="C22" s="11"/>
      <c r="D22" s="11"/>
      <c r="E22" s="11"/>
      <c r="F22" s="11"/>
      <c r="G22" s="11"/>
      <c r="H22" s="11"/>
    </row>
    <row r="23" customFormat="false" ht="25.5" hidden="false" customHeight="true" outlineLevel="0" collapsed="false">
      <c r="A23" s="11" t="s">
        <v>31</v>
      </c>
      <c r="B23" s="11"/>
      <c r="C23" s="11"/>
      <c r="D23" s="11"/>
      <c r="E23" s="11"/>
      <c r="F23" s="11"/>
      <c r="G23" s="11"/>
      <c r="H23" s="11"/>
    </row>
  </sheetData>
  <sheetProtection sheet="true" sort="false" autoFilter="false"/>
  <mergeCells count="16">
    <mergeCell ref="A2:J2"/>
    <mergeCell ref="B5:H5"/>
    <mergeCell ref="B6:H6"/>
    <mergeCell ref="B7:H7"/>
    <mergeCell ref="B8:H8"/>
    <mergeCell ref="B9:H9"/>
    <mergeCell ref="B10:H10"/>
    <mergeCell ref="B11:H11"/>
    <mergeCell ref="B12:H12"/>
    <mergeCell ref="B13:H13"/>
    <mergeCell ref="B16:G16"/>
    <mergeCell ref="B17:G17"/>
    <mergeCell ref="B18:G18"/>
    <mergeCell ref="A21:H21"/>
    <mergeCell ref="A22:H22"/>
    <mergeCell ref="A23:H23"/>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4" min="3" style="0" width="9"/>
    <col collapsed="false" customWidth="true" hidden="false" outlineLevel="0" max="7" min="5" style="0" width="13"/>
    <col collapsed="false" customWidth="true" hidden="false" outlineLevel="0" max="8" min="8" style="0" width="12"/>
    <col collapsed="false" customWidth="true" hidden="false" outlineLevel="0" max="9" min="9" style="0" width="11"/>
    <col collapsed="false" customWidth="true" hidden="false" outlineLevel="0" max="10" min="10" style="0" width="12"/>
    <col collapsed="false" customWidth="true" hidden="false" outlineLevel="0" max="12" min="11" style="0" width="15"/>
    <col collapsed="false" customWidth="true" hidden="false" outlineLevel="0" max="13" min="13" style="0" width="11"/>
    <col collapsed="false" customWidth="true" hidden="false" outlineLevel="0" max="15" min="14" style="0" width="12"/>
    <col collapsed="false" customWidth="true" hidden="false" outlineLevel="0" max="16" min="16" style="0" width="14"/>
    <col collapsed="false" customWidth="true" hidden="false" outlineLevel="0" max="17" min="17" style="0" width="9"/>
    <col collapsed="false" customWidth="true" hidden="false" outlineLevel="0" max="18" min="18" style="0" width="12"/>
    <col collapsed="false" customWidth="true" hidden="false" outlineLevel="0" max="19" min="19" style="0" width="14"/>
    <col collapsed="false" customWidth="true" hidden="false" outlineLevel="0" max="20" min="20" style="0" width="16"/>
  </cols>
  <sheetData>
    <row r="1" customFormat="false" ht="24" hidden="false" customHeight="true" outlineLevel="0" collapsed="false">
      <c r="A1" s="1" t="s">
        <v>32</v>
      </c>
    </row>
    <row r="2" customFormat="false" ht="15" hidden="false" customHeight="false" outlineLevel="0" collapsed="false">
      <c r="A2" s="2" t="s">
        <v>33</v>
      </c>
      <c r="B2" s="2"/>
      <c r="C2" s="2"/>
      <c r="D2" s="2"/>
      <c r="E2" s="2"/>
      <c r="F2" s="2"/>
      <c r="G2" s="2"/>
      <c r="H2" s="2"/>
      <c r="I2" s="2"/>
      <c r="J2" s="2"/>
    </row>
    <row r="4" customFormat="false" ht="15" hidden="false" customHeight="false" outlineLevel="0" collapsed="false">
      <c r="A4" s="3" t="s">
        <v>34</v>
      </c>
    </row>
    <row r="5" customFormat="false" ht="15" hidden="false" customHeight="false" outlineLevel="0" collapsed="false">
      <c r="A5" s="6" t="s">
        <v>35</v>
      </c>
      <c r="B5" s="12" t="n">
        <v>35431</v>
      </c>
      <c r="C5" s="13" t="s">
        <v>36</v>
      </c>
    </row>
    <row r="6" customFormat="false" ht="15" hidden="false" customHeight="false" outlineLevel="0" collapsed="false">
      <c r="A6" s="6" t="s">
        <v>37</v>
      </c>
      <c r="B6" s="12" t="n">
        <v>128</v>
      </c>
      <c r="C6" s="13" t="s">
        <v>38</v>
      </c>
    </row>
    <row r="7" customFormat="false" ht="15" hidden="false" customHeight="false" outlineLevel="0" collapsed="false">
      <c r="A7" s="6" t="s">
        <v>39</v>
      </c>
      <c r="B7" s="14" t="n">
        <v>0.65</v>
      </c>
      <c r="C7" s="13" t="s">
        <v>40</v>
      </c>
    </row>
    <row r="9" customFormat="false" ht="15" hidden="false" customHeight="false" outlineLevel="0" collapsed="false">
      <c r="A9" s="3" t="s">
        <v>41</v>
      </c>
      <c r="J9" s="15" t="s">
        <v>42</v>
      </c>
    </row>
    <row r="10" customFormat="false" ht="30" hidden="false" customHeight="true" outlineLevel="0" collapsed="false">
      <c r="A10" s="16" t="s">
        <v>43</v>
      </c>
      <c r="B10" s="16" t="s">
        <v>44</v>
      </c>
      <c r="C10" s="16" t="s">
        <v>45</v>
      </c>
      <c r="D10" s="16" t="s">
        <v>46</v>
      </c>
      <c r="E10" s="16" t="s">
        <v>47</v>
      </c>
      <c r="F10" s="16" t="s">
        <v>48</v>
      </c>
      <c r="G10" s="16" t="s">
        <v>49</v>
      </c>
      <c r="H10" s="16" t="s">
        <v>50</v>
      </c>
      <c r="I10" s="16" t="s">
        <v>51</v>
      </c>
      <c r="J10" s="16" t="s">
        <v>52</v>
      </c>
      <c r="K10" s="16" t="s">
        <v>53</v>
      </c>
      <c r="L10" s="16" t="s">
        <v>54</v>
      </c>
      <c r="M10" s="16" t="s">
        <v>55</v>
      </c>
      <c r="N10" s="16" t="s">
        <v>56</v>
      </c>
      <c r="O10" s="16" t="s">
        <v>57</v>
      </c>
      <c r="P10" s="16" t="s">
        <v>58</v>
      </c>
      <c r="Q10" s="16" t="s">
        <v>59</v>
      </c>
      <c r="R10" s="16" t="s">
        <v>60</v>
      </c>
      <c r="S10" s="16" t="s">
        <v>61</v>
      </c>
      <c r="T10" s="16" t="s">
        <v>62</v>
      </c>
    </row>
    <row r="11" customFormat="false" ht="15" hidden="false" customHeight="false" outlineLevel="0" collapsed="false">
      <c r="A11" s="17" t="s">
        <v>63</v>
      </c>
      <c r="B11" s="18" t="n">
        <v>70</v>
      </c>
      <c r="C11" s="18" t="n">
        <v>64</v>
      </c>
      <c r="D11" s="18" t="n">
        <v>6</v>
      </c>
      <c r="E11" s="18" t="n">
        <v>17467</v>
      </c>
      <c r="F11" s="12" t="n">
        <v>1048</v>
      </c>
      <c r="G11" s="12" t="n">
        <v>5</v>
      </c>
      <c r="H11" s="14" t="n">
        <v>0.75</v>
      </c>
      <c r="I11" s="14" t="n">
        <v>0.09</v>
      </c>
      <c r="J11" s="19" t="s">
        <v>64</v>
      </c>
      <c r="K11" s="20" t="s">
        <v>65</v>
      </c>
      <c r="L11" s="20" t="s">
        <v>66</v>
      </c>
      <c r="M11" s="18" t="n">
        <f aca="false">COUNTIFS('2. Group asks'!$A$6:$A$2405,"CEO Office",'2. Group asks'!$G$6:$G$2405,"&lt;&gt;")</f>
        <v>0</v>
      </c>
      <c r="N11" s="18" t="n">
        <f aca="false">COUNTIFS('2. Group asks'!$A$6:$A$2405,"CEO Office",'2. Group asks'!$AA$6:$AA$2405,"?*")</f>
        <v>0</v>
      </c>
      <c r="O11" s="21" t="n">
        <f aca="false">SUMIFS('2. Group asks'!$L$6:$L$2405,'2. Group asks'!$A$6:$A$2405,"CEO Office")</f>
        <v>0</v>
      </c>
      <c r="P11" s="18" t="n">
        <f aca="false">SUMIFS('2. Group asks'!$X$6:$X$2405,'2. Group asks'!$A$6:$A$2405,"CEO Office")</f>
        <v>0</v>
      </c>
      <c r="Q11" s="21" t="n">
        <f aca="false">SUMIFS('3. Group returns'!$D$6:$D$101,'3. Group returns'!$A$6:$A$101,"CEO Office")</f>
        <v>0</v>
      </c>
      <c r="R11" s="21" t="n">
        <f aca="false">SUMIFS('4. Challenge'!$P$6:$P$2405,'4. Challenge'!$A$6:$A$2405,"CEO Office")</f>
        <v>0</v>
      </c>
      <c r="S11" s="18" t="n">
        <f aca="false">SUMIFS('4. Challenge'!$S$6:$S$2405,'4. Challenge'!$A$6:$A$2405,"CEO Office")</f>
        <v>0</v>
      </c>
      <c r="T11" s="22" t="str">
        <f aca="false">IF($S11&lt;=$F11,"Within","Over by "&amp;TEXT($S11-$F11,"#,##0"))</f>
        <v>Within</v>
      </c>
    </row>
    <row r="12" customFormat="false" ht="15" hidden="false" customHeight="false" outlineLevel="0" collapsed="false">
      <c r="A12" s="17" t="s">
        <v>67</v>
      </c>
      <c r="B12" s="18" t="n">
        <v>135</v>
      </c>
      <c r="C12" s="18" t="n">
        <v>122</v>
      </c>
      <c r="D12" s="18" t="n">
        <v>13</v>
      </c>
      <c r="E12" s="18" t="n">
        <v>31736</v>
      </c>
      <c r="F12" s="12" t="n">
        <v>1904</v>
      </c>
      <c r="G12" s="12" t="n">
        <v>7</v>
      </c>
      <c r="H12" s="14" t="n">
        <v>0.63</v>
      </c>
      <c r="I12" s="14" t="n">
        <v>0.09</v>
      </c>
      <c r="J12" s="19" t="s">
        <v>64</v>
      </c>
      <c r="K12" s="20" t="s">
        <v>68</v>
      </c>
      <c r="L12" s="20" t="s">
        <v>69</v>
      </c>
      <c r="M12" s="18" t="n">
        <f aca="false">COUNTIFS('2. Group asks'!$A$6:$A$2405,"Compliance Group",'2. Group asks'!$G$6:$G$2405,"&lt;&gt;")</f>
        <v>0</v>
      </c>
      <c r="N12" s="18" t="n">
        <f aca="false">COUNTIFS('2. Group asks'!$A$6:$A$2405,"Compliance Group",'2. Group asks'!$AA$6:$AA$2405,"?*")</f>
        <v>0</v>
      </c>
      <c r="O12" s="21" t="n">
        <f aca="false">SUMIFS('2. Group asks'!$L$6:$L$2405,'2. Group asks'!$A$6:$A$2405,"Compliance Group")</f>
        <v>0</v>
      </c>
      <c r="P12" s="18" t="n">
        <f aca="false">SUMIFS('2. Group asks'!$X$6:$X$2405,'2. Group asks'!$A$6:$A$2405,"Compliance Group")</f>
        <v>0</v>
      </c>
      <c r="Q12" s="21" t="n">
        <f aca="false">SUMIFS('3. Group returns'!$D$6:$D$101,'3. Group returns'!$A$6:$A$101,"Compliance Group")</f>
        <v>0</v>
      </c>
      <c r="R12" s="21" t="n">
        <f aca="false">SUMIFS('4. Challenge'!$P$6:$P$2405,'4. Challenge'!$A$6:$A$2405,"Compliance Group")</f>
        <v>0</v>
      </c>
      <c r="S12" s="18" t="n">
        <f aca="false">SUMIFS('4. Challenge'!$S$6:$S$2405,'4. Challenge'!$A$6:$A$2405,"Compliance Group")</f>
        <v>0</v>
      </c>
      <c r="T12" s="22" t="str">
        <f aca="false">IF($S12&lt;=$F12,"Within","Over by "&amp;TEXT($S12-$F12,"#,##0"))</f>
        <v>Within</v>
      </c>
    </row>
    <row r="13" customFormat="false" ht="15" hidden="false" customHeight="false" outlineLevel="0" collapsed="false">
      <c r="A13" s="17" t="s">
        <v>70</v>
      </c>
      <c r="B13" s="18" t="n">
        <v>198</v>
      </c>
      <c r="C13" s="18" t="n">
        <v>169</v>
      </c>
      <c r="D13" s="18" t="n">
        <v>29</v>
      </c>
      <c r="E13" s="18" t="n">
        <v>46438</v>
      </c>
      <c r="F13" s="12" t="n">
        <v>2786</v>
      </c>
      <c r="G13" s="12" t="n">
        <v>10</v>
      </c>
      <c r="H13" s="14" t="n">
        <v>0.68</v>
      </c>
      <c r="I13" s="14" t="n">
        <v>0.09</v>
      </c>
      <c r="J13" s="19" t="s">
        <v>64</v>
      </c>
      <c r="K13" s="20" t="s">
        <v>71</v>
      </c>
      <c r="L13" s="20" t="s">
        <v>72</v>
      </c>
      <c r="M13" s="18" t="n">
        <f aca="false">COUNTIFS('2. Group asks'!$A$6:$A$2405,"Corporate Banking Group",'2. Group asks'!$G$6:$G$2405,"&lt;&gt;")</f>
        <v>0</v>
      </c>
      <c r="N13" s="18" t="n">
        <f aca="false">COUNTIFS('2. Group asks'!$A$6:$A$2405,"Corporate Banking Group",'2. Group asks'!$AA$6:$AA$2405,"?*")</f>
        <v>0</v>
      </c>
      <c r="O13" s="21" t="n">
        <f aca="false">SUMIFS('2. Group asks'!$L$6:$L$2405,'2. Group asks'!$A$6:$A$2405,"Corporate Banking Group")</f>
        <v>0</v>
      </c>
      <c r="P13" s="18" t="n">
        <f aca="false">SUMIFS('2. Group asks'!$X$6:$X$2405,'2. Group asks'!$A$6:$A$2405,"Corporate Banking Group")</f>
        <v>0</v>
      </c>
      <c r="Q13" s="21" t="n">
        <f aca="false">SUMIFS('3. Group returns'!$D$6:$D$101,'3. Group returns'!$A$6:$A$101,"Corporate Banking Group")</f>
        <v>0</v>
      </c>
      <c r="R13" s="21" t="n">
        <f aca="false">SUMIFS('4. Challenge'!$P$6:$P$2405,'4. Challenge'!$A$6:$A$2405,"Corporate Banking Group")</f>
        <v>0</v>
      </c>
      <c r="S13" s="18" t="n">
        <f aca="false">SUMIFS('4. Challenge'!$S$6:$S$2405,'4. Challenge'!$A$6:$A$2405,"Corporate Banking Group")</f>
        <v>0</v>
      </c>
      <c r="T13" s="22" t="str">
        <f aca="false">IF($S13&lt;=$F13,"Within","Over by "&amp;TEXT($S13-$F13,"#,##0"))</f>
        <v>Within</v>
      </c>
    </row>
    <row r="14" customFormat="false" ht="15" hidden="false" customHeight="false" outlineLevel="0" collapsed="false">
      <c r="A14" s="17" t="s">
        <v>73</v>
      </c>
      <c r="B14" s="18" t="n">
        <v>174</v>
      </c>
      <c r="C14" s="18" t="n">
        <v>157</v>
      </c>
      <c r="D14" s="18" t="n">
        <v>17</v>
      </c>
      <c r="E14" s="18" t="n">
        <v>40301</v>
      </c>
      <c r="F14" s="12" t="n">
        <v>2418</v>
      </c>
      <c r="G14" s="12" t="n">
        <v>9</v>
      </c>
      <c r="H14" s="14" t="n">
        <v>0.66</v>
      </c>
      <c r="I14" s="14" t="n">
        <v>0.09</v>
      </c>
      <c r="J14" s="19" t="s">
        <v>64</v>
      </c>
      <c r="K14" s="20" t="s">
        <v>74</v>
      </c>
      <c r="L14" s="20" t="s">
        <v>75</v>
      </c>
      <c r="M14" s="18" t="n">
        <f aca="false">COUNTIFS('2. Group asks'!$A$6:$A$2405,"Finance Group",'2. Group asks'!$G$6:$G$2405,"&lt;&gt;")</f>
        <v>0</v>
      </c>
      <c r="N14" s="18" t="n">
        <f aca="false">COUNTIFS('2. Group asks'!$A$6:$A$2405,"Finance Group",'2. Group asks'!$AA$6:$AA$2405,"?*")</f>
        <v>0</v>
      </c>
      <c r="O14" s="21" t="n">
        <f aca="false">SUMIFS('2. Group asks'!$L$6:$L$2405,'2. Group asks'!$A$6:$A$2405,"Finance Group")</f>
        <v>0</v>
      </c>
      <c r="P14" s="18" t="n">
        <f aca="false">SUMIFS('2. Group asks'!$X$6:$X$2405,'2. Group asks'!$A$6:$A$2405,"Finance Group")</f>
        <v>0</v>
      </c>
      <c r="Q14" s="21" t="n">
        <f aca="false">SUMIFS('3. Group returns'!$D$6:$D$101,'3. Group returns'!$A$6:$A$101,"Finance Group")</f>
        <v>0</v>
      </c>
      <c r="R14" s="21" t="n">
        <f aca="false">SUMIFS('4. Challenge'!$P$6:$P$2405,'4. Challenge'!$A$6:$A$2405,"Finance Group")</f>
        <v>0</v>
      </c>
      <c r="S14" s="18" t="n">
        <f aca="false">SUMIFS('4. Challenge'!$S$6:$S$2405,'4. Challenge'!$A$6:$A$2405,"Finance Group")</f>
        <v>0</v>
      </c>
      <c r="T14" s="22" t="str">
        <f aca="false">IF($S14&lt;=$F14,"Within","Over by "&amp;TEXT($S14-$F14,"#,##0"))</f>
        <v>Within</v>
      </c>
    </row>
    <row r="15" customFormat="false" ht="15" hidden="false" customHeight="false" outlineLevel="0" collapsed="false">
      <c r="A15" s="17" t="s">
        <v>76</v>
      </c>
      <c r="B15" s="18" t="n">
        <v>302</v>
      </c>
      <c r="C15" s="18" t="n">
        <v>282</v>
      </c>
      <c r="D15" s="18" t="n">
        <v>20</v>
      </c>
      <c r="E15" s="18" t="n">
        <v>69578</v>
      </c>
      <c r="F15" s="12" t="n">
        <v>4175</v>
      </c>
      <c r="G15" s="12" t="n">
        <v>15</v>
      </c>
      <c r="H15" s="14" t="n">
        <v>0.64</v>
      </c>
      <c r="I15" s="14" t="n">
        <v>0.09</v>
      </c>
      <c r="J15" s="19" t="s">
        <v>64</v>
      </c>
      <c r="K15" s="20" t="s">
        <v>77</v>
      </c>
      <c r="L15" s="20" t="s">
        <v>78</v>
      </c>
      <c r="M15" s="18" t="n">
        <f aca="false">COUNTIFS('2. Group asks'!$A$6:$A$2405,"Human Resources Group",'2. Group asks'!$G$6:$G$2405,"&lt;&gt;")</f>
        <v>0</v>
      </c>
      <c r="N15" s="18" t="n">
        <f aca="false">COUNTIFS('2. Group asks'!$A$6:$A$2405,"Human Resources Group",'2. Group asks'!$AA$6:$AA$2405,"?*")</f>
        <v>0</v>
      </c>
      <c r="O15" s="21" t="n">
        <f aca="false">SUMIFS('2. Group asks'!$L$6:$L$2405,'2. Group asks'!$A$6:$A$2405,"Human Resources Group")</f>
        <v>0</v>
      </c>
      <c r="P15" s="18" t="n">
        <f aca="false">SUMIFS('2. Group asks'!$X$6:$X$2405,'2. Group asks'!$A$6:$A$2405,"Human Resources Group")</f>
        <v>0</v>
      </c>
      <c r="Q15" s="21" t="n">
        <f aca="false">SUMIFS('3. Group returns'!$D$6:$D$101,'3. Group returns'!$A$6:$A$101,"Human Resources Group")</f>
        <v>0</v>
      </c>
      <c r="R15" s="21" t="n">
        <f aca="false">SUMIFS('4. Challenge'!$P$6:$P$2405,'4. Challenge'!$A$6:$A$2405,"Human Resources Group")</f>
        <v>0</v>
      </c>
      <c r="S15" s="18" t="n">
        <f aca="false">SUMIFS('4. Challenge'!$S$6:$S$2405,'4. Challenge'!$A$6:$A$2405,"Human Resources Group")</f>
        <v>0</v>
      </c>
      <c r="T15" s="22" t="str">
        <f aca="false">IF($S15&lt;=$F15,"Within","Over by "&amp;TEXT($S15-$F15,"#,##0"))</f>
        <v>Within</v>
      </c>
    </row>
    <row r="16" customFormat="false" ht="15" hidden="false" customHeight="false" outlineLevel="0" collapsed="false">
      <c r="A16" s="17" t="s">
        <v>79</v>
      </c>
      <c r="B16" s="18" t="n">
        <v>141</v>
      </c>
      <c r="C16" s="18" t="n">
        <v>131</v>
      </c>
      <c r="D16" s="18" t="n">
        <v>10</v>
      </c>
      <c r="E16" s="18" t="n">
        <v>32296</v>
      </c>
      <c r="F16" s="12" t="n">
        <v>1938</v>
      </c>
      <c r="G16" s="12" t="n">
        <v>7</v>
      </c>
      <c r="H16" s="14" t="n">
        <v>0.65</v>
      </c>
      <c r="I16" s="14" t="n">
        <v>0.09</v>
      </c>
      <c r="J16" s="19" t="s">
        <v>64</v>
      </c>
      <c r="K16" s="20" t="s">
        <v>80</v>
      </c>
      <c r="L16" s="20" t="s">
        <v>81</v>
      </c>
      <c r="M16" s="18" t="n">
        <f aca="false">COUNTIFS('2. Group asks'!$A$6:$A$2405,"Internal Audit Group",'2. Group asks'!$G$6:$G$2405,"&lt;&gt;")</f>
        <v>0</v>
      </c>
      <c r="N16" s="18" t="n">
        <f aca="false">COUNTIFS('2. Group asks'!$A$6:$A$2405,"Internal Audit Group",'2. Group asks'!$AA$6:$AA$2405,"?*")</f>
        <v>0</v>
      </c>
      <c r="O16" s="21" t="n">
        <f aca="false">SUMIFS('2. Group asks'!$L$6:$L$2405,'2. Group asks'!$A$6:$A$2405,"Internal Audit Group")</f>
        <v>0</v>
      </c>
      <c r="P16" s="18" t="n">
        <f aca="false">SUMIFS('2. Group asks'!$X$6:$X$2405,'2. Group asks'!$A$6:$A$2405,"Internal Audit Group")</f>
        <v>0</v>
      </c>
      <c r="Q16" s="21" t="n">
        <f aca="false">SUMIFS('3. Group returns'!$D$6:$D$101,'3. Group returns'!$A$6:$A$101,"Internal Audit Group")</f>
        <v>0</v>
      </c>
      <c r="R16" s="21" t="n">
        <f aca="false">SUMIFS('4. Challenge'!$P$6:$P$2405,'4. Challenge'!$A$6:$A$2405,"Internal Audit Group")</f>
        <v>0</v>
      </c>
      <c r="S16" s="18" t="n">
        <f aca="false">SUMIFS('4. Challenge'!$S$6:$S$2405,'4. Challenge'!$A$6:$A$2405,"Internal Audit Group")</f>
        <v>0</v>
      </c>
      <c r="T16" s="22" t="str">
        <f aca="false">IF($S16&lt;=$F16,"Within","Over by "&amp;TEXT($S16-$F16,"#,##0"))</f>
        <v>Within</v>
      </c>
    </row>
    <row r="17" customFormat="false" ht="15" hidden="false" customHeight="false" outlineLevel="0" collapsed="false">
      <c r="A17" s="17" t="s">
        <v>82</v>
      </c>
      <c r="B17" s="18" t="n">
        <v>137</v>
      </c>
      <c r="C17" s="18" t="n">
        <v>120</v>
      </c>
      <c r="D17" s="18" t="n">
        <v>17</v>
      </c>
      <c r="E17" s="18" t="n">
        <v>31750</v>
      </c>
      <c r="F17" s="12" t="n">
        <v>1905</v>
      </c>
      <c r="G17" s="12" t="n">
        <v>7</v>
      </c>
      <c r="H17" s="14" t="n">
        <v>0.65</v>
      </c>
      <c r="I17" s="14" t="n">
        <v>0.09</v>
      </c>
      <c r="J17" s="19" t="s">
        <v>64</v>
      </c>
      <c r="K17" s="20" t="s">
        <v>83</v>
      </c>
      <c r="L17" s="20" t="s">
        <v>84</v>
      </c>
      <c r="M17" s="18" t="n">
        <f aca="false">COUNTIFS('2. Group asks'!$A$6:$A$2405,"Legal Group",'2. Group asks'!$G$6:$G$2405,"&lt;&gt;")</f>
        <v>0</v>
      </c>
      <c r="N17" s="18" t="n">
        <f aca="false">COUNTIFS('2. Group asks'!$A$6:$A$2405,"Legal Group",'2. Group asks'!$AA$6:$AA$2405,"?*")</f>
        <v>0</v>
      </c>
      <c r="O17" s="21" t="n">
        <f aca="false">SUMIFS('2. Group asks'!$L$6:$L$2405,'2. Group asks'!$A$6:$A$2405,"Legal Group")</f>
        <v>0</v>
      </c>
      <c r="P17" s="18" t="n">
        <f aca="false">SUMIFS('2. Group asks'!$X$6:$X$2405,'2. Group asks'!$A$6:$A$2405,"Legal Group")</f>
        <v>0</v>
      </c>
      <c r="Q17" s="21" t="n">
        <f aca="false">SUMIFS('3. Group returns'!$D$6:$D$101,'3. Group returns'!$A$6:$A$101,"Legal Group")</f>
        <v>0</v>
      </c>
      <c r="R17" s="21" t="n">
        <f aca="false">SUMIFS('4. Challenge'!$P$6:$P$2405,'4. Challenge'!$A$6:$A$2405,"Legal Group")</f>
        <v>0</v>
      </c>
      <c r="S17" s="18" t="n">
        <f aca="false">SUMIFS('4. Challenge'!$S$6:$S$2405,'4. Challenge'!$A$6:$A$2405,"Legal Group")</f>
        <v>0</v>
      </c>
      <c r="T17" s="22" t="str">
        <f aca="false">IF($S17&lt;=$F17,"Within","Over by "&amp;TEXT($S17-$F17,"#,##0"))</f>
        <v>Within</v>
      </c>
    </row>
    <row r="18" customFormat="false" ht="15" hidden="false" customHeight="false" outlineLevel="0" collapsed="false">
      <c r="A18" s="17" t="s">
        <v>85</v>
      </c>
      <c r="B18" s="18" t="n">
        <v>228</v>
      </c>
      <c r="C18" s="18" t="n">
        <v>203</v>
      </c>
      <c r="D18" s="18" t="n">
        <v>25</v>
      </c>
      <c r="E18" s="18" t="n">
        <v>52166</v>
      </c>
      <c r="F18" s="12" t="n">
        <v>3130</v>
      </c>
      <c r="G18" s="12" t="n">
        <v>11</v>
      </c>
      <c r="H18" s="14" t="n">
        <v>0.66</v>
      </c>
      <c r="I18" s="14" t="n">
        <v>0.09</v>
      </c>
      <c r="J18" s="19" t="s">
        <v>64</v>
      </c>
      <c r="K18" s="20" t="s">
        <v>86</v>
      </c>
      <c r="L18" s="20" t="s">
        <v>87</v>
      </c>
      <c r="M18" s="18" t="n">
        <f aca="false">COUNTIFS('2. Group asks'!$A$6:$A$2405,"Operations Group",'2. Group asks'!$G$6:$G$2405,"&lt;&gt;")</f>
        <v>0</v>
      </c>
      <c r="N18" s="18" t="n">
        <f aca="false">COUNTIFS('2. Group asks'!$A$6:$A$2405,"Operations Group",'2. Group asks'!$AA$6:$AA$2405,"?*")</f>
        <v>0</v>
      </c>
      <c r="O18" s="21" t="n">
        <f aca="false">SUMIFS('2. Group asks'!$L$6:$L$2405,'2. Group asks'!$A$6:$A$2405,"Operations Group")</f>
        <v>0</v>
      </c>
      <c r="P18" s="18" t="n">
        <f aca="false">SUMIFS('2. Group asks'!$X$6:$X$2405,'2. Group asks'!$A$6:$A$2405,"Operations Group")</f>
        <v>0</v>
      </c>
      <c r="Q18" s="21" t="n">
        <f aca="false">SUMIFS('3. Group returns'!$D$6:$D$101,'3. Group returns'!$A$6:$A$101,"Operations Group")</f>
        <v>0</v>
      </c>
      <c r="R18" s="21" t="n">
        <f aca="false">SUMIFS('4. Challenge'!$P$6:$P$2405,'4. Challenge'!$A$6:$A$2405,"Operations Group")</f>
        <v>0</v>
      </c>
      <c r="S18" s="18" t="n">
        <f aca="false">SUMIFS('4. Challenge'!$S$6:$S$2405,'4. Challenge'!$A$6:$A$2405,"Operations Group")</f>
        <v>0</v>
      </c>
      <c r="T18" s="22" t="str">
        <f aca="false">IF($S18&lt;=$F18,"Within","Over by "&amp;TEXT($S18-$F18,"#,##0"))</f>
        <v>Within</v>
      </c>
    </row>
    <row r="19" customFormat="false" ht="15" hidden="false" customHeight="false" outlineLevel="0" collapsed="false">
      <c r="A19" s="17" t="s">
        <v>88</v>
      </c>
      <c r="B19" s="18" t="n">
        <v>360</v>
      </c>
      <c r="C19" s="18" t="n">
        <v>328</v>
      </c>
      <c r="D19" s="18" t="n">
        <v>32</v>
      </c>
      <c r="E19" s="18" t="n">
        <v>80538</v>
      </c>
      <c r="F19" s="12" t="n">
        <v>4832</v>
      </c>
      <c r="G19" s="12" t="n">
        <v>18</v>
      </c>
      <c r="H19" s="14" t="n">
        <v>0.59</v>
      </c>
      <c r="I19" s="14" t="n">
        <v>0.09</v>
      </c>
      <c r="J19" s="19" t="s">
        <v>64</v>
      </c>
      <c r="K19" s="20" t="s">
        <v>89</v>
      </c>
      <c r="L19" s="20" t="s">
        <v>90</v>
      </c>
      <c r="M19" s="18" t="n">
        <f aca="false">COUNTIFS('2. Group asks'!$A$6:$A$2405,"Retail Banking Group",'2. Group asks'!$G$6:$G$2405,"&lt;&gt;")</f>
        <v>0</v>
      </c>
      <c r="N19" s="18" t="n">
        <f aca="false">COUNTIFS('2. Group asks'!$A$6:$A$2405,"Retail Banking Group",'2. Group asks'!$AA$6:$AA$2405,"?*")</f>
        <v>0</v>
      </c>
      <c r="O19" s="21" t="n">
        <f aca="false">SUMIFS('2. Group asks'!$L$6:$L$2405,'2. Group asks'!$A$6:$A$2405,"Retail Banking Group")</f>
        <v>0</v>
      </c>
      <c r="P19" s="18" t="n">
        <f aca="false">SUMIFS('2. Group asks'!$X$6:$X$2405,'2. Group asks'!$A$6:$A$2405,"Retail Banking Group")</f>
        <v>0</v>
      </c>
      <c r="Q19" s="21" t="n">
        <f aca="false">SUMIFS('3. Group returns'!$D$6:$D$101,'3. Group returns'!$A$6:$A$101,"Retail Banking Group")</f>
        <v>0</v>
      </c>
      <c r="R19" s="21" t="n">
        <f aca="false">SUMIFS('4. Challenge'!$P$6:$P$2405,'4. Challenge'!$A$6:$A$2405,"Retail Banking Group")</f>
        <v>0</v>
      </c>
      <c r="S19" s="18" t="n">
        <f aca="false">SUMIFS('4. Challenge'!$S$6:$S$2405,'4. Challenge'!$A$6:$A$2405,"Retail Banking Group")</f>
        <v>0</v>
      </c>
      <c r="T19" s="22" t="str">
        <f aca="false">IF($S19&lt;=$F19,"Within","Over by "&amp;TEXT($S19-$F19,"#,##0"))</f>
        <v>Within</v>
      </c>
    </row>
    <row r="20" customFormat="false" ht="15" hidden="false" customHeight="false" outlineLevel="0" collapsed="false">
      <c r="A20" s="17" t="s">
        <v>91</v>
      </c>
      <c r="B20" s="18" t="n">
        <v>325</v>
      </c>
      <c r="C20" s="18" t="n">
        <v>290</v>
      </c>
      <c r="D20" s="18" t="n">
        <v>35</v>
      </c>
      <c r="E20" s="18" t="n">
        <v>74124</v>
      </c>
      <c r="F20" s="12" t="n">
        <v>4447</v>
      </c>
      <c r="G20" s="12" t="n">
        <v>16</v>
      </c>
      <c r="H20" s="14" t="n">
        <v>0.64</v>
      </c>
      <c r="I20" s="14" t="n">
        <v>0.09</v>
      </c>
      <c r="J20" s="19" t="s">
        <v>64</v>
      </c>
      <c r="K20" s="20" t="s">
        <v>92</v>
      </c>
      <c r="L20" s="20" t="s">
        <v>93</v>
      </c>
      <c r="M20" s="18" t="n">
        <f aca="false">COUNTIFS('2. Group asks'!$A$6:$A$2405,"Risk Group",'2. Group asks'!$G$6:$G$2405,"&lt;&gt;")</f>
        <v>0</v>
      </c>
      <c r="N20" s="18" t="n">
        <f aca="false">COUNTIFS('2. Group asks'!$A$6:$A$2405,"Risk Group",'2. Group asks'!$AA$6:$AA$2405,"?*")</f>
        <v>0</v>
      </c>
      <c r="O20" s="21" t="n">
        <f aca="false">SUMIFS('2. Group asks'!$L$6:$L$2405,'2. Group asks'!$A$6:$A$2405,"Risk Group")</f>
        <v>0</v>
      </c>
      <c r="P20" s="18" t="n">
        <f aca="false">SUMIFS('2. Group asks'!$X$6:$X$2405,'2. Group asks'!$A$6:$A$2405,"Risk Group")</f>
        <v>0</v>
      </c>
      <c r="Q20" s="21" t="n">
        <f aca="false">SUMIFS('3. Group returns'!$D$6:$D$101,'3. Group returns'!$A$6:$A$101,"Risk Group")</f>
        <v>0</v>
      </c>
      <c r="R20" s="21" t="n">
        <f aca="false">SUMIFS('4. Challenge'!$P$6:$P$2405,'4. Challenge'!$A$6:$A$2405,"Risk Group")</f>
        <v>0</v>
      </c>
      <c r="S20" s="18" t="n">
        <f aca="false">SUMIFS('4. Challenge'!$S$6:$S$2405,'4. Challenge'!$A$6:$A$2405,"Risk Group")</f>
        <v>0</v>
      </c>
      <c r="T20" s="22" t="str">
        <f aca="false">IF($S20&lt;=$F20,"Within","Over by "&amp;TEXT($S20-$F20,"#,##0"))</f>
        <v>Within</v>
      </c>
    </row>
    <row r="21" customFormat="false" ht="15" hidden="false" customHeight="false" outlineLevel="0" collapsed="false">
      <c r="A21" s="17" t="s">
        <v>94</v>
      </c>
      <c r="B21" s="18" t="n">
        <v>362</v>
      </c>
      <c r="C21" s="18" t="n">
        <v>325</v>
      </c>
      <c r="D21" s="18" t="n">
        <v>37</v>
      </c>
      <c r="E21" s="18" t="n">
        <v>82131</v>
      </c>
      <c r="F21" s="12" t="n">
        <v>4928</v>
      </c>
      <c r="G21" s="12" t="n">
        <v>18</v>
      </c>
      <c r="H21" s="14" t="n">
        <v>0.65</v>
      </c>
      <c r="I21" s="14" t="n">
        <v>0.09</v>
      </c>
      <c r="J21" s="19" t="s">
        <v>64</v>
      </c>
      <c r="K21" s="20" t="s">
        <v>95</v>
      </c>
      <c r="L21" s="20" t="s">
        <v>96</v>
      </c>
      <c r="M21" s="18" t="n">
        <f aca="false">COUNTIFS('2. Group asks'!$A$6:$A$2405,"Technology Group",'2. Group asks'!$G$6:$G$2405,"&lt;&gt;")</f>
        <v>0</v>
      </c>
      <c r="N21" s="18" t="n">
        <f aca="false">COUNTIFS('2. Group asks'!$A$6:$A$2405,"Technology Group",'2. Group asks'!$AA$6:$AA$2405,"?*")</f>
        <v>0</v>
      </c>
      <c r="O21" s="21" t="n">
        <f aca="false">SUMIFS('2. Group asks'!$L$6:$L$2405,'2. Group asks'!$A$6:$A$2405,"Technology Group")</f>
        <v>0</v>
      </c>
      <c r="P21" s="18" t="n">
        <f aca="false">SUMIFS('2. Group asks'!$X$6:$X$2405,'2. Group asks'!$A$6:$A$2405,"Technology Group")</f>
        <v>0</v>
      </c>
      <c r="Q21" s="21" t="n">
        <f aca="false">SUMIFS('3. Group returns'!$D$6:$D$101,'3. Group returns'!$A$6:$A$101,"Technology Group")</f>
        <v>0</v>
      </c>
      <c r="R21" s="21" t="n">
        <f aca="false">SUMIFS('4. Challenge'!$P$6:$P$2405,'4. Challenge'!$A$6:$A$2405,"Technology Group")</f>
        <v>0</v>
      </c>
      <c r="S21" s="18" t="n">
        <f aca="false">SUMIFS('4. Challenge'!$S$6:$S$2405,'4. Challenge'!$A$6:$A$2405,"Technology Group")</f>
        <v>0</v>
      </c>
      <c r="T21" s="22" t="str">
        <f aca="false">IF($S21&lt;=$F21,"Within","Over by "&amp;TEXT($S21-$F21,"#,##0"))</f>
        <v>Within</v>
      </c>
    </row>
    <row r="22" customFormat="false" ht="15" hidden="false" customHeight="false" outlineLevel="0" collapsed="false">
      <c r="A22" s="17" t="s">
        <v>97</v>
      </c>
      <c r="B22" s="18" t="n">
        <v>136</v>
      </c>
      <c r="C22" s="18" t="n">
        <v>122</v>
      </c>
      <c r="D22" s="18" t="n">
        <v>14</v>
      </c>
      <c r="E22" s="18" t="n">
        <v>31996</v>
      </c>
      <c r="F22" s="12" t="n">
        <v>1920</v>
      </c>
      <c r="G22" s="12" t="n">
        <v>7</v>
      </c>
      <c r="H22" s="14" t="n">
        <v>0.7</v>
      </c>
      <c r="I22" s="14" t="n">
        <v>0.09</v>
      </c>
      <c r="J22" s="19" t="s">
        <v>64</v>
      </c>
      <c r="K22" s="20" t="s">
        <v>98</v>
      </c>
      <c r="L22" s="20" t="s">
        <v>99</v>
      </c>
      <c r="M22" s="18" t="n">
        <f aca="false">COUNTIFS('2. Group asks'!$A$6:$A$2405,"Treasury &amp; Investments Group",'2. Group asks'!$G$6:$G$2405,"&lt;&gt;")</f>
        <v>0</v>
      </c>
      <c r="N22" s="18" t="n">
        <f aca="false">COUNTIFS('2. Group asks'!$A$6:$A$2405,"Treasury &amp; Investments Group",'2. Group asks'!$AA$6:$AA$2405,"?*")</f>
        <v>0</v>
      </c>
      <c r="O22" s="21" t="n">
        <f aca="false">SUMIFS('2. Group asks'!$L$6:$L$2405,'2. Group asks'!$A$6:$A$2405,"Treasury &amp; Investments Group")</f>
        <v>0</v>
      </c>
      <c r="P22" s="18" t="n">
        <f aca="false">SUMIFS('2. Group asks'!$X$6:$X$2405,'2. Group asks'!$A$6:$A$2405,"Treasury &amp; Investments Group")</f>
        <v>0</v>
      </c>
      <c r="Q22" s="21" t="n">
        <f aca="false">SUMIFS('3. Group returns'!$D$6:$D$101,'3. Group returns'!$A$6:$A$101,"Treasury &amp; Investments Group")</f>
        <v>0</v>
      </c>
      <c r="R22" s="21" t="n">
        <f aca="false">SUMIFS('4. Challenge'!$P$6:$P$2405,'4. Challenge'!$A$6:$A$2405,"Treasury &amp; Investments Group")</f>
        <v>0</v>
      </c>
      <c r="S22" s="18" t="n">
        <f aca="false">SUMIFS('4. Challenge'!$S$6:$S$2405,'4. Challenge'!$A$6:$A$2405,"Treasury &amp; Investments Group")</f>
        <v>0</v>
      </c>
      <c r="T22" s="22" t="str">
        <f aca="false">IF($S22&lt;=$F22,"Within","Over by "&amp;TEXT($S22-$F22,"#,##0"))</f>
        <v>Within</v>
      </c>
    </row>
    <row r="23" customFormat="false" ht="15" hidden="false" customHeight="false" outlineLevel="0" collapsed="false">
      <c r="A23" s="23" t="s">
        <v>100</v>
      </c>
      <c r="B23" s="24" t="n">
        <f aca="false">SUM(B11:B22)</f>
        <v>2568</v>
      </c>
      <c r="C23" s="24" t="n">
        <f aca="false">SUM(C11:C22)</f>
        <v>2313</v>
      </c>
      <c r="D23" s="24" t="n">
        <f aca="false">SUM(D11:D22)</f>
        <v>255</v>
      </c>
      <c r="E23" s="24" t="n">
        <f aca="false">SUM(E11:E22)</f>
        <v>590521</v>
      </c>
      <c r="F23" s="24" t="n">
        <f aca="false">SUM(F11:F22)</f>
        <v>35431</v>
      </c>
      <c r="G23" s="24" t="n">
        <f aca="false">SUM(G11:G22)</f>
        <v>130</v>
      </c>
      <c r="H23" s="25"/>
      <c r="I23" s="25"/>
      <c r="J23" s="25"/>
      <c r="K23" s="25"/>
      <c r="L23" s="25"/>
      <c r="M23" s="24" t="n">
        <f aca="false">SUM(M11:M22)</f>
        <v>0</v>
      </c>
      <c r="N23" s="24" t="n">
        <f aca="false">SUM(N11:N22)</f>
        <v>0</v>
      </c>
      <c r="O23" s="26" t="n">
        <f aca="false">SUM(O11:O22)</f>
        <v>0</v>
      </c>
      <c r="P23" s="24" t="n">
        <f aca="false">SUM(P11:P22)</f>
        <v>0</v>
      </c>
      <c r="Q23" s="26" t="n">
        <f aca="false">SUM(Q11:Q22)</f>
        <v>0</v>
      </c>
      <c r="R23" s="26" t="n">
        <f aca="false">SUM(R11:R22)</f>
        <v>0</v>
      </c>
      <c r="S23" s="24" t="n">
        <f aca="false">SUM(S11:S22)</f>
        <v>0</v>
      </c>
      <c r="T23" s="27" t="str">
        <f aca="false">IF($S23&lt;=BankCostEnvelope,"Within the bank envelope","Over the bank envelope by "&amp;TEXT($S23-BankCostEnvelope,"#,##0"))</f>
        <v>Within the bank envelope</v>
      </c>
    </row>
    <row r="25" customFormat="false" ht="15" hidden="false" customHeight="false" outlineLevel="0" collapsed="false">
      <c r="A25" s="6" t="s">
        <v>101</v>
      </c>
      <c r="B25" s="0" t="str">
        <f aca="false">IF(SUM($F$11:$F$22)&lt;=BankCostEnvelope,"Group cost envelopes fit inside the bank envelope","Group cost envelopes exceed the bank envelope by "&amp;TEXT(SUM($F$11:$F$22)-BankCostEnvelope,"#,##0"))</f>
        <v>Group cost envelopes fit inside the bank envelope</v>
      </c>
    </row>
  </sheetData>
  <sheetProtection sheet="true" sort="false" autoFilter="false"/>
  <mergeCells count="1">
    <mergeCell ref="A2:J2"/>
  </mergeCells>
  <conditionalFormatting sqref="T11:T22">
    <cfRule type="expression" priority="2" aboveAverage="0" equalAverage="0" bottom="0" percent="0" rank="0" text="" dxfId="0">
      <formula>LEFT($T11,4)="Over"</formula>
    </cfRule>
  </conditionalFormatting>
  <conditionalFormatting sqref="N11:N22">
    <cfRule type="cellIs" priority="3" operator="greaterThan" aboveAverage="0" equalAverage="0" bottom="0" percent="0" rank="0" text="" dxfId="1">
      <formula>0</formula>
    </cfRule>
  </conditionalFormatting>
  <dataValidations count="1">
    <dataValidation allowBlank="true" errorStyle="stop" operator="between" showDropDown="false" showErrorMessage="true" showInputMessage="false" sqref="J11:J22" type="list">
      <formula1>"Draft,Submitted,Challenged,Approved"</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24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6"/>
    <col collapsed="false" customWidth="true" hidden="false" outlineLevel="0" max="3" min="3" style="0" width="22"/>
    <col collapsed="false" customWidth="true" hidden="false" outlineLevel="0" max="5" min="4" style="0" width="24"/>
    <col collapsed="false" customWidth="true" hidden="false" outlineLevel="0" max="6" min="6" style="0" width="22"/>
    <col collapsed="false" customWidth="true" hidden="false" outlineLevel="0" max="7" min="7" style="0" width="28"/>
    <col collapsed="false" customWidth="true" hidden="false" outlineLevel="0" max="9" min="8" style="0" width="16"/>
    <col collapsed="false" customWidth="true" hidden="false" outlineLevel="0" max="11" min="10" style="0" width="13"/>
    <col collapsed="false" customWidth="true" hidden="false" outlineLevel="0" max="12" min="12" style="0" width="10"/>
    <col collapsed="false" customWidth="true" hidden="false" outlineLevel="0" max="16" min="13" style="0" width="7"/>
    <col collapsed="false" customWidth="true" hidden="false" outlineLevel="0" max="17" min="17" style="0" width="13"/>
    <col collapsed="false" customWidth="true" hidden="false" outlineLevel="0" max="18" min="18" style="0" width="26"/>
    <col collapsed="false" customWidth="true" hidden="false" outlineLevel="0" max="19" min="19" style="0" width="34"/>
    <col collapsed="false" customWidth="true" hidden="false" outlineLevel="0" max="20" min="20" style="0" width="13"/>
    <col collapsed="false" customWidth="true" hidden="false" outlineLevel="0" max="21" min="21" style="0" width="7"/>
    <col collapsed="false" customWidth="true" hidden="false" outlineLevel="0" max="22" min="22" style="0" width="12"/>
    <col collapsed="false" customWidth="true" hidden="false" outlineLevel="0" max="23" min="23" style="0" width="10"/>
    <col collapsed="false" customWidth="true" hidden="false" outlineLevel="0" max="25" min="24" style="0" width="15"/>
    <col collapsed="false" customWidth="true" hidden="false" outlineLevel="0" max="26" min="26" style="0" width="12"/>
    <col collapsed="false" customWidth="true" hidden="false" outlineLevel="0" max="27" min="27" style="0" width="34"/>
  </cols>
  <sheetData>
    <row r="1" customFormat="false" ht="24" hidden="false" customHeight="true" outlineLevel="0" collapsed="false">
      <c r="A1" s="1" t="s">
        <v>102</v>
      </c>
    </row>
    <row r="2" customFormat="false" ht="15" hidden="false" customHeight="false" outlineLevel="0" collapsed="false">
      <c r="A2" s="2" t="s">
        <v>103</v>
      </c>
      <c r="B2" s="2"/>
      <c r="C2" s="2"/>
      <c r="D2" s="2"/>
      <c r="E2" s="2"/>
      <c r="F2" s="2"/>
      <c r="G2" s="2"/>
      <c r="H2" s="2"/>
      <c r="I2" s="2"/>
      <c r="J2" s="2"/>
    </row>
    <row r="5" customFormat="false" ht="30" hidden="false" customHeight="true" outlineLevel="0" collapsed="false">
      <c r="A5" s="16" t="s">
        <v>43</v>
      </c>
      <c r="B5" s="16" t="s">
        <v>104</v>
      </c>
      <c r="C5" s="16" t="s">
        <v>105</v>
      </c>
      <c r="D5" s="16" t="s">
        <v>106</v>
      </c>
      <c r="E5" s="16" t="s">
        <v>107</v>
      </c>
      <c r="F5" s="16" t="s">
        <v>108</v>
      </c>
      <c r="G5" s="16" t="s">
        <v>109</v>
      </c>
      <c r="H5" s="16" t="s">
        <v>110</v>
      </c>
      <c r="I5" s="16" t="s">
        <v>111</v>
      </c>
      <c r="J5" s="16" t="s">
        <v>112</v>
      </c>
      <c r="K5" s="16" t="s">
        <v>113</v>
      </c>
      <c r="L5" s="16" t="s">
        <v>114</v>
      </c>
      <c r="M5" s="16" t="s">
        <v>115</v>
      </c>
      <c r="N5" s="16" t="s">
        <v>116</v>
      </c>
      <c r="O5" s="16" t="s">
        <v>117</v>
      </c>
      <c r="P5" s="16" t="s">
        <v>118</v>
      </c>
      <c r="Q5" s="16" t="s">
        <v>119</v>
      </c>
      <c r="R5" s="16" t="s">
        <v>120</v>
      </c>
      <c r="S5" s="16" t="s">
        <v>121</v>
      </c>
      <c r="T5" s="16" t="s">
        <v>122</v>
      </c>
      <c r="U5" s="16" t="s">
        <v>123</v>
      </c>
      <c r="V5" s="16" t="s">
        <v>124</v>
      </c>
      <c r="W5" s="16" t="s">
        <v>125</v>
      </c>
      <c r="X5" s="16" t="s">
        <v>58</v>
      </c>
      <c r="Y5" s="16" t="s">
        <v>126</v>
      </c>
      <c r="Z5" s="16" t="s">
        <v>127</v>
      </c>
      <c r="AA5" s="16" t="s">
        <v>128</v>
      </c>
    </row>
    <row r="6" customFormat="false" ht="15" hidden="false" customHeight="false" outlineLevel="0" collapsed="false">
      <c r="A6" s="28" t="str">
        <f aca="false">IF($G6="","","CEO Office")</f>
        <v/>
      </c>
      <c r="B6" s="29"/>
      <c r="C6" s="29"/>
      <c r="D6" s="29"/>
      <c r="E6" s="29"/>
      <c r="F6" s="29"/>
      <c r="G6" s="29"/>
      <c r="H6" s="29"/>
      <c r="I6" s="29"/>
      <c r="J6" s="29"/>
      <c r="K6" s="29"/>
      <c r="L6" s="29"/>
      <c r="M6" s="29"/>
      <c r="N6" s="29"/>
      <c r="O6" s="29"/>
      <c r="P6" s="29"/>
      <c r="Q6" s="29"/>
      <c r="R6" s="29"/>
      <c r="S6" s="29"/>
      <c r="T6" s="30" t="str">
        <f aca="false">IF($R6="","",IFERROR(INDEX(DriverCategory,MATCH($R6,DriverList,0)),"BAU"))</f>
        <v/>
      </c>
      <c r="U6" s="30" t="str">
        <f aca="false">IF($R6="","",IFERROR(INDEX(DriverRank,MATCH($R6,DriverList,0)),99))</f>
        <v/>
      </c>
      <c r="V6" s="31" t="n">
        <f aca="false">IF($H6="",0,IFERROR(INDEX(LevelBasic,MATCH($H6,LevelList,0))+INDEX(LevelHousing,MATCH($H6,LevelList,0))+INDEX(LevelTransport,MATCH($H6,LevelList,0))+INDEX(LevelBasic,MATCH($H6,LevelList,0))*INDEX(LevelBonus,MATCH($H6,LevelList,0))+(INDEX(LevelBasic,MATCH($H6,LevelList,0))+INDEX(LevelHousing,MATCH($H6,LevelList,0)))*GosiSaudi,0))</f>
        <v>0</v>
      </c>
      <c r="W6" s="31" t="n">
        <f aca="false">IFERROR(INDEX(LevelOneOff,MATCH($H6,LevelList,0)),0)</f>
        <v>0</v>
      </c>
      <c r="X6" s="31" t="str">
        <f aca="false">IF($G6="","",$V6*N($L6))</f>
        <v/>
      </c>
      <c r="Y6" s="31" t="str">
        <f aca="false">IF($G6="","",$V6*(N($M6)*1+N($N6)*0.75+N($O6)*0.5+N($P6)*0.25)+$W6*N($L6))</f>
        <v/>
      </c>
      <c r="Z6" s="31" t="str">
        <f aca="false">IF($G6="","",$U6*1000000+ROW())</f>
        <v/>
      </c>
      <c r="AA6" s="32" t="str">
        <f aca="false">IF($G6="","",MID(IF($C6="",", no division","")&amp;IF($E6="",", no unit","")&amp;IF($H6="",", no career level","")&amp;IF(N($L6)&lt;=0,", no quarter split","")&amp;IF($R6="",", no driver","")&amp;IF(AND($H6&lt;&gt;"",COUNTIF(CareerLevels,$H6)=0),", a career level that is not on the ladder","")&amp;IF(AND($R6&lt;&gt;"",COUNTIF(DriverList,$R6)=0),", a driver that is not on the list","")&amp;IF(ABS(N($L6)-(N($M6)+N($N6)+N($O6)+N($P6)))&gt;0.001,", a total that does not match its quarters",""),3,300))</f>
        <v/>
      </c>
    </row>
    <row r="7" customFormat="false" ht="15" hidden="false" customHeight="false" outlineLevel="0" collapsed="false">
      <c r="A7" s="33" t="str">
        <f aca="false">IF($G7="","","CEO Office")</f>
        <v/>
      </c>
      <c r="B7" s="19"/>
      <c r="C7" s="19"/>
      <c r="D7" s="19"/>
      <c r="E7" s="19"/>
      <c r="F7" s="19"/>
      <c r="G7" s="19"/>
      <c r="H7" s="19"/>
      <c r="I7" s="19"/>
      <c r="J7" s="19"/>
      <c r="K7" s="19"/>
      <c r="L7" s="19"/>
      <c r="M7" s="19"/>
      <c r="N7" s="19"/>
      <c r="O7" s="19"/>
      <c r="P7" s="19"/>
      <c r="Q7" s="19"/>
      <c r="R7" s="19"/>
      <c r="S7" s="19"/>
      <c r="T7" s="34" t="str">
        <f aca="false">IF($R7="","",IFERROR(INDEX(DriverCategory,MATCH($R7,DriverList,0)),"BAU"))</f>
        <v/>
      </c>
      <c r="U7" s="34" t="str">
        <f aca="false">IF($R7="","",IFERROR(INDEX(DriverRank,MATCH($R7,DriverList,0)),99))</f>
        <v/>
      </c>
      <c r="V7" s="35" t="n">
        <f aca="false">IF($H7="",0,IFERROR(INDEX(LevelBasic,MATCH($H7,LevelList,0))+INDEX(LevelHousing,MATCH($H7,LevelList,0))+INDEX(LevelTransport,MATCH($H7,LevelList,0))+INDEX(LevelBasic,MATCH($H7,LevelList,0))*INDEX(LevelBonus,MATCH($H7,LevelList,0))+(INDEX(LevelBasic,MATCH($H7,LevelList,0))+INDEX(LevelHousing,MATCH($H7,LevelList,0)))*GosiSaudi,0))</f>
        <v>0</v>
      </c>
      <c r="W7" s="35" t="n">
        <f aca="false">IFERROR(INDEX(LevelOneOff,MATCH($H7,LevelList,0)),0)</f>
        <v>0</v>
      </c>
      <c r="X7" s="35" t="str">
        <f aca="false">IF($G7="","",$V7*N($L7))</f>
        <v/>
      </c>
      <c r="Y7" s="35" t="str">
        <f aca="false">IF($G7="","",$V7*(N($M7)*1+N($N7)*0.75+N($O7)*0.5+N($P7)*0.25)+$W7*N($L7))</f>
        <v/>
      </c>
      <c r="Z7" s="35" t="str">
        <f aca="false">IF($G7="","",$U7*1000000+ROW())</f>
        <v/>
      </c>
      <c r="AA7" s="36" t="str">
        <f aca="false">IF($G7="","",MID(IF($C7="",", no division","")&amp;IF($E7="",", no unit","")&amp;IF($H7="",", no career level","")&amp;IF(N($L7)&lt;=0,", no quarter split","")&amp;IF($R7="",", no driver","")&amp;IF(AND($H7&lt;&gt;"",COUNTIF(CareerLevels,$H7)=0),", a career level that is not on the ladder","")&amp;IF(AND($R7&lt;&gt;"",COUNTIF(DriverList,$R7)=0),", a driver that is not on the list","")&amp;IF(ABS(N($L7)-(N($M7)+N($N7)+N($O7)+N($P7)))&gt;0.001,", a total that does not match its quarters",""),3,300))</f>
        <v/>
      </c>
    </row>
    <row r="8" customFormat="false" ht="15" hidden="false" customHeight="false" outlineLevel="0" collapsed="false">
      <c r="A8" s="33" t="str">
        <f aca="false">IF($G8="","","CEO Office")</f>
        <v/>
      </c>
      <c r="B8" s="19"/>
      <c r="C8" s="19"/>
      <c r="D8" s="19"/>
      <c r="E8" s="19"/>
      <c r="F8" s="19"/>
      <c r="G8" s="19"/>
      <c r="H8" s="19"/>
      <c r="I8" s="19"/>
      <c r="J8" s="19"/>
      <c r="K8" s="19"/>
      <c r="L8" s="19"/>
      <c r="M8" s="19"/>
      <c r="N8" s="19"/>
      <c r="O8" s="19"/>
      <c r="P8" s="19"/>
      <c r="Q8" s="19"/>
      <c r="R8" s="19"/>
      <c r="S8" s="19"/>
      <c r="T8" s="34" t="str">
        <f aca="false">IF($R8="","",IFERROR(INDEX(DriverCategory,MATCH($R8,DriverList,0)),"BAU"))</f>
        <v/>
      </c>
      <c r="U8" s="34" t="str">
        <f aca="false">IF($R8="","",IFERROR(INDEX(DriverRank,MATCH($R8,DriverList,0)),99))</f>
        <v/>
      </c>
      <c r="V8" s="35" t="n">
        <f aca="false">IF($H8="",0,IFERROR(INDEX(LevelBasic,MATCH($H8,LevelList,0))+INDEX(LevelHousing,MATCH($H8,LevelList,0))+INDEX(LevelTransport,MATCH($H8,LevelList,0))+INDEX(LevelBasic,MATCH($H8,LevelList,0))*INDEX(LevelBonus,MATCH($H8,LevelList,0))+(INDEX(LevelBasic,MATCH($H8,LevelList,0))+INDEX(LevelHousing,MATCH($H8,LevelList,0)))*GosiSaudi,0))</f>
        <v>0</v>
      </c>
      <c r="W8" s="35" t="n">
        <f aca="false">IFERROR(INDEX(LevelOneOff,MATCH($H8,LevelList,0)),0)</f>
        <v>0</v>
      </c>
      <c r="X8" s="35" t="str">
        <f aca="false">IF($G8="","",$V8*N($L8))</f>
        <v/>
      </c>
      <c r="Y8" s="35" t="str">
        <f aca="false">IF($G8="","",$V8*(N($M8)*1+N($N8)*0.75+N($O8)*0.5+N($P8)*0.25)+$W8*N($L8))</f>
        <v/>
      </c>
      <c r="Z8" s="35" t="str">
        <f aca="false">IF($G8="","",$U8*1000000+ROW())</f>
        <v/>
      </c>
      <c r="AA8" s="36" t="str">
        <f aca="false">IF($G8="","",MID(IF($C8="",", no division","")&amp;IF($E8="",", no unit","")&amp;IF($H8="",", no career level","")&amp;IF(N($L8)&lt;=0,", no quarter split","")&amp;IF($R8="",", no driver","")&amp;IF(AND($H8&lt;&gt;"",COUNTIF(CareerLevels,$H8)=0),", a career level that is not on the ladder","")&amp;IF(AND($R8&lt;&gt;"",COUNTIF(DriverList,$R8)=0),", a driver that is not on the list","")&amp;IF(ABS(N($L8)-(N($M8)+N($N8)+N($O8)+N($P8)))&gt;0.001,", a total that does not match its quarters",""),3,300))</f>
        <v/>
      </c>
    </row>
    <row r="9" customFormat="false" ht="15" hidden="false" customHeight="false" outlineLevel="0" collapsed="false">
      <c r="A9" s="33" t="str">
        <f aca="false">IF($G9="","","CEO Office")</f>
        <v/>
      </c>
      <c r="B9" s="19"/>
      <c r="C9" s="19"/>
      <c r="D9" s="19"/>
      <c r="E9" s="19"/>
      <c r="F9" s="19"/>
      <c r="G9" s="19"/>
      <c r="H9" s="19"/>
      <c r="I9" s="19"/>
      <c r="J9" s="19"/>
      <c r="K9" s="19"/>
      <c r="L9" s="19"/>
      <c r="M9" s="19"/>
      <c r="N9" s="19"/>
      <c r="O9" s="19"/>
      <c r="P9" s="19"/>
      <c r="Q9" s="19"/>
      <c r="R9" s="19"/>
      <c r="S9" s="19"/>
      <c r="T9" s="34" t="str">
        <f aca="false">IF($R9="","",IFERROR(INDEX(DriverCategory,MATCH($R9,DriverList,0)),"BAU"))</f>
        <v/>
      </c>
      <c r="U9" s="34" t="str">
        <f aca="false">IF($R9="","",IFERROR(INDEX(DriverRank,MATCH($R9,DriverList,0)),99))</f>
        <v/>
      </c>
      <c r="V9" s="35" t="n">
        <f aca="false">IF($H9="",0,IFERROR(INDEX(LevelBasic,MATCH($H9,LevelList,0))+INDEX(LevelHousing,MATCH($H9,LevelList,0))+INDEX(LevelTransport,MATCH($H9,LevelList,0))+INDEX(LevelBasic,MATCH($H9,LevelList,0))*INDEX(LevelBonus,MATCH($H9,LevelList,0))+(INDEX(LevelBasic,MATCH($H9,LevelList,0))+INDEX(LevelHousing,MATCH($H9,LevelList,0)))*GosiSaudi,0))</f>
        <v>0</v>
      </c>
      <c r="W9" s="35" t="n">
        <f aca="false">IFERROR(INDEX(LevelOneOff,MATCH($H9,LevelList,0)),0)</f>
        <v>0</v>
      </c>
      <c r="X9" s="35" t="str">
        <f aca="false">IF($G9="","",$V9*N($L9))</f>
        <v/>
      </c>
      <c r="Y9" s="35" t="str">
        <f aca="false">IF($G9="","",$V9*(N($M9)*1+N($N9)*0.75+N($O9)*0.5+N($P9)*0.25)+$W9*N($L9))</f>
        <v/>
      </c>
      <c r="Z9" s="35" t="str">
        <f aca="false">IF($G9="","",$U9*1000000+ROW())</f>
        <v/>
      </c>
      <c r="AA9" s="36" t="str">
        <f aca="false">IF($G9="","",MID(IF($C9="",", no division","")&amp;IF($E9="",", no unit","")&amp;IF($H9="",", no career level","")&amp;IF(N($L9)&lt;=0,", no quarter split","")&amp;IF($R9="",", no driver","")&amp;IF(AND($H9&lt;&gt;"",COUNTIF(CareerLevels,$H9)=0),", a career level that is not on the ladder","")&amp;IF(AND($R9&lt;&gt;"",COUNTIF(DriverList,$R9)=0),", a driver that is not on the list","")&amp;IF(ABS(N($L9)-(N($M9)+N($N9)+N($O9)+N($P9)))&gt;0.001,", a total that does not match its quarters",""),3,300))</f>
        <v/>
      </c>
    </row>
    <row r="10" customFormat="false" ht="15" hidden="false" customHeight="false" outlineLevel="0" collapsed="false">
      <c r="A10" s="33" t="str">
        <f aca="false">IF($G10="","","CEO Office")</f>
        <v/>
      </c>
      <c r="B10" s="19"/>
      <c r="C10" s="19"/>
      <c r="D10" s="19"/>
      <c r="E10" s="19"/>
      <c r="F10" s="19"/>
      <c r="G10" s="19"/>
      <c r="H10" s="19"/>
      <c r="I10" s="19"/>
      <c r="J10" s="19"/>
      <c r="K10" s="19"/>
      <c r="L10" s="19"/>
      <c r="M10" s="19"/>
      <c r="N10" s="19"/>
      <c r="O10" s="19"/>
      <c r="P10" s="19"/>
      <c r="Q10" s="19"/>
      <c r="R10" s="19"/>
      <c r="S10" s="19"/>
      <c r="T10" s="34" t="str">
        <f aca="false">IF($R10="","",IFERROR(INDEX(DriverCategory,MATCH($R10,DriverList,0)),"BAU"))</f>
        <v/>
      </c>
      <c r="U10" s="34" t="str">
        <f aca="false">IF($R10="","",IFERROR(INDEX(DriverRank,MATCH($R10,DriverList,0)),99))</f>
        <v/>
      </c>
      <c r="V10" s="35" t="n">
        <f aca="false">IF($H10="",0,IFERROR(INDEX(LevelBasic,MATCH($H10,LevelList,0))+INDEX(LevelHousing,MATCH($H10,LevelList,0))+INDEX(LevelTransport,MATCH($H10,LevelList,0))+INDEX(LevelBasic,MATCH($H10,LevelList,0))*INDEX(LevelBonus,MATCH($H10,LevelList,0))+(INDEX(LevelBasic,MATCH($H10,LevelList,0))+INDEX(LevelHousing,MATCH($H10,LevelList,0)))*GosiSaudi,0))</f>
        <v>0</v>
      </c>
      <c r="W10" s="35" t="n">
        <f aca="false">IFERROR(INDEX(LevelOneOff,MATCH($H10,LevelList,0)),0)</f>
        <v>0</v>
      </c>
      <c r="X10" s="35" t="str">
        <f aca="false">IF($G10="","",$V10*N($L10))</f>
        <v/>
      </c>
      <c r="Y10" s="35" t="str">
        <f aca="false">IF($G10="","",$V10*(N($M10)*1+N($N10)*0.75+N($O10)*0.5+N($P10)*0.25)+$W10*N($L10))</f>
        <v/>
      </c>
      <c r="Z10" s="35" t="str">
        <f aca="false">IF($G10="","",$U10*1000000+ROW())</f>
        <v/>
      </c>
      <c r="AA10" s="36" t="str">
        <f aca="false">IF($G10="","",MID(IF($C10="",", no division","")&amp;IF($E10="",", no unit","")&amp;IF($H10="",", no career level","")&amp;IF(N($L10)&lt;=0,", no quarter split","")&amp;IF($R10="",", no driver","")&amp;IF(AND($H10&lt;&gt;"",COUNTIF(CareerLevels,$H10)=0),", a career level that is not on the ladder","")&amp;IF(AND($R10&lt;&gt;"",COUNTIF(DriverList,$R10)=0),", a driver that is not on the list","")&amp;IF(ABS(N($L10)-(N($M10)+N($N10)+N($O10)+N($P10)))&gt;0.001,", a total that does not match its quarters",""),3,300))</f>
        <v/>
      </c>
    </row>
    <row r="11" customFormat="false" ht="15" hidden="false" customHeight="false" outlineLevel="0" collapsed="false">
      <c r="A11" s="33" t="str">
        <f aca="false">IF($G11="","","CEO Office")</f>
        <v/>
      </c>
      <c r="B11" s="19"/>
      <c r="C11" s="19"/>
      <c r="D11" s="19"/>
      <c r="E11" s="19"/>
      <c r="F11" s="19"/>
      <c r="G11" s="19"/>
      <c r="H11" s="19"/>
      <c r="I11" s="19"/>
      <c r="J11" s="19"/>
      <c r="K11" s="19"/>
      <c r="L11" s="19"/>
      <c r="M11" s="19"/>
      <c r="N11" s="19"/>
      <c r="O11" s="19"/>
      <c r="P11" s="19"/>
      <c r="Q11" s="19"/>
      <c r="R11" s="19"/>
      <c r="S11" s="19"/>
      <c r="T11" s="34" t="str">
        <f aca="false">IF($R11="","",IFERROR(INDEX(DriverCategory,MATCH($R11,DriverList,0)),"BAU"))</f>
        <v/>
      </c>
      <c r="U11" s="34" t="str">
        <f aca="false">IF($R11="","",IFERROR(INDEX(DriverRank,MATCH($R11,DriverList,0)),99))</f>
        <v/>
      </c>
      <c r="V11" s="35" t="n">
        <f aca="false">IF($H11="",0,IFERROR(INDEX(LevelBasic,MATCH($H11,LevelList,0))+INDEX(LevelHousing,MATCH($H11,LevelList,0))+INDEX(LevelTransport,MATCH($H11,LevelList,0))+INDEX(LevelBasic,MATCH($H11,LevelList,0))*INDEX(LevelBonus,MATCH($H11,LevelList,0))+(INDEX(LevelBasic,MATCH($H11,LevelList,0))+INDEX(LevelHousing,MATCH($H11,LevelList,0)))*GosiSaudi,0))</f>
        <v>0</v>
      </c>
      <c r="W11" s="35" t="n">
        <f aca="false">IFERROR(INDEX(LevelOneOff,MATCH($H11,LevelList,0)),0)</f>
        <v>0</v>
      </c>
      <c r="X11" s="35" t="str">
        <f aca="false">IF($G11="","",$V11*N($L11))</f>
        <v/>
      </c>
      <c r="Y11" s="35" t="str">
        <f aca="false">IF($G11="","",$V11*(N($M11)*1+N($N11)*0.75+N($O11)*0.5+N($P11)*0.25)+$W11*N($L11))</f>
        <v/>
      </c>
      <c r="Z11" s="35" t="str">
        <f aca="false">IF($G11="","",$U11*1000000+ROW())</f>
        <v/>
      </c>
      <c r="AA11" s="36" t="str">
        <f aca="false">IF($G11="","",MID(IF($C11="",", no division","")&amp;IF($E11="",", no unit","")&amp;IF($H11="",", no career level","")&amp;IF(N($L11)&lt;=0,", no quarter split","")&amp;IF($R11="",", no driver","")&amp;IF(AND($H11&lt;&gt;"",COUNTIF(CareerLevels,$H11)=0),", a career level that is not on the ladder","")&amp;IF(AND($R11&lt;&gt;"",COUNTIF(DriverList,$R11)=0),", a driver that is not on the list","")&amp;IF(ABS(N($L11)-(N($M11)+N($N11)+N($O11)+N($P11)))&gt;0.001,", a total that does not match its quarters",""),3,300))</f>
        <v/>
      </c>
    </row>
    <row r="12" customFormat="false" ht="15" hidden="false" customHeight="false" outlineLevel="0" collapsed="false">
      <c r="A12" s="33" t="str">
        <f aca="false">IF($G12="","","CEO Office")</f>
        <v/>
      </c>
      <c r="B12" s="19"/>
      <c r="C12" s="19"/>
      <c r="D12" s="19"/>
      <c r="E12" s="19"/>
      <c r="F12" s="19"/>
      <c r="G12" s="19"/>
      <c r="H12" s="19"/>
      <c r="I12" s="19"/>
      <c r="J12" s="19"/>
      <c r="K12" s="19"/>
      <c r="L12" s="19"/>
      <c r="M12" s="19"/>
      <c r="N12" s="19"/>
      <c r="O12" s="19"/>
      <c r="P12" s="19"/>
      <c r="Q12" s="19"/>
      <c r="R12" s="19"/>
      <c r="S12" s="19"/>
      <c r="T12" s="34" t="str">
        <f aca="false">IF($R12="","",IFERROR(INDEX(DriverCategory,MATCH($R12,DriverList,0)),"BAU"))</f>
        <v/>
      </c>
      <c r="U12" s="34" t="str">
        <f aca="false">IF($R12="","",IFERROR(INDEX(DriverRank,MATCH($R12,DriverList,0)),99))</f>
        <v/>
      </c>
      <c r="V12" s="35" t="n">
        <f aca="false">IF($H12="",0,IFERROR(INDEX(LevelBasic,MATCH($H12,LevelList,0))+INDEX(LevelHousing,MATCH($H12,LevelList,0))+INDEX(LevelTransport,MATCH($H12,LevelList,0))+INDEX(LevelBasic,MATCH($H12,LevelList,0))*INDEX(LevelBonus,MATCH($H12,LevelList,0))+(INDEX(LevelBasic,MATCH($H12,LevelList,0))+INDEX(LevelHousing,MATCH($H12,LevelList,0)))*GosiSaudi,0))</f>
        <v>0</v>
      </c>
      <c r="W12" s="35" t="n">
        <f aca="false">IFERROR(INDEX(LevelOneOff,MATCH($H12,LevelList,0)),0)</f>
        <v>0</v>
      </c>
      <c r="X12" s="35" t="str">
        <f aca="false">IF($G12="","",$V12*N($L12))</f>
        <v/>
      </c>
      <c r="Y12" s="35" t="str">
        <f aca="false">IF($G12="","",$V12*(N($M12)*1+N($N12)*0.75+N($O12)*0.5+N($P12)*0.25)+$W12*N($L12))</f>
        <v/>
      </c>
      <c r="Z12" s="35" t="str">
        <f aca="false">IF($G12="","",$U12*1000000+ROW())</f>
        <v/>
      </c>
      <c r="AA12" s="36" t="str">
        <f aca="false">IF($G12="","",MID(IF($C12="",", no division","")&amp;IF($E12="",", no unit","")&amp;IF($H12="",", no career level","")&amp;IF(N($L12)&lt;=0,", no quarter split","")&amp;IF($R12="",", no driver","")&amp;IF(AND($H12&lt;&gt;"",COUNTIF(CareerLevels,$H12)=0),", a career level that is not on the ladder","")&amp;IF(AND($R12&lt;&gt;"",COUNTIF(DriverList,$R12)=0),", a driver that is not on the list","")&amp;IF(ABS(N($L12)-(N($M12)+N($N12)+N($O12)+N($P12)))&gt;0.001,", a total that does not match its quarters",""),3,300))</f>
        <v/>
      </c>
    </row>
    <row r="13" customFormat="false" ht="15" hidden="false" customHeight="false" outlineLevel="0" collapsed="false">
      <c r="A13" s="33" t="str">
        <f aca="false">IF($G13="","","CEO Office")</f>
        <v/>
      </c>
      <c r="B13" s="19"/>
      <c r="C13" s="19"/>
      <c r="D13" s="19"/>
      <c r="E13" s="19"/>
      <c r="F13" s="19"/>
      <c r="G13" s="19"/>
      <c r="H13" s="19"/>
      <c r="I13" s="19"/>
      <c r="J13" s="19"/>
      <c r="K13" s="19"/>
      <c r="L13" s="19"/>
      <c r="M13" s="19"/>
      <c r="N13" s="19"/>
      <c r="O13" s="19"/>
      <c r="P13" s="19"/>
      <c r="Q13" s="19"/>
      <c r="R13" s="19"/>
      <c r="S13" s="19"/>
      <c r="T13" s="34" t="str">
        <f aca="false">IF($R13="","",IFERROR(INDEX(DriverCategory,MATCH($R13,DriverList,0)),"BAU"))</f>
        <v/>
      </c>
      <c r="U13" s="34" t="str">
        <f aca="false">IF($R13="","",IFERROR(INDEX(DriverRank,MATCH($R13,DriverList,0)),99))</f>
        <v/>
      </c>
      <c r="V13" s="35" t="n">
        <f aca="false">IF($H13="",0,IFERROR(INDEX(LevelBasic,MATCH($H13,LevelList,0))+INDEX(LevelHousing,MATCH($H13,LevelList,0))+INDEX(LevelTransport,MATCH($H13,LevelList,0))+INDEX(LevelBasic,MATCH($H13,LevelList,0))*INDEX(LevelBonus,MATCH($H13,LevelList,0))+(INDEX(LevelBasic,MATCH($H13,LevelList,0))+INDEX(LevelHousing,MATCH($H13,LevelList,0)))*GosiSaudi,0))</f>
        <v>0</v>
      </c>
      <c r="W13" s="35" t="n">
        <f aca="false">IFERROR(INDEX(LevelOneOff,MATCH($H13,LevelList,0)),0)</f>
        <v>0</v>
      </c>
      <c r="X13" s="35" t="str">
        <f aca="false">IF($G13="","",$V13*N($L13))</f>
        <v/>
      </c>
      <c r="Y13" s="35" t="str">
        <f aca="false">IF($G13="","",$V13*(N($M13)*1+N($N13)*0.75+N($O13)*0.5+N($P13)*0.25)+$W13*N($L13))</f>
        <v/>
      </c>
      <c r="Z13" s="35" t="str">
        <f aca="false">IF($G13="","",$U13*1000000+ROW())</f>
        <v/>
      </c>
      <c r="AA13" s="36" t="str">
        <f aca="false">IF($G13="","",MID(IF($C13="",", no division","")&amp;IF($E13="",", no unit","")&amp;IF($H13="",", no career level","")&amp;IF(N($L13)&lt;=0,", no quarter split","")&amp;IF($R13="",", no driver","")&amp;IF(AND($H13&lt;&gt;"",COUNTIF(CareerLevels,$H13)=0),", a career level that is not on the ladder","")&amp;IF(AND($R13&lt;&gt;"",COUNTIF(DriverList,$R13)=0),", a driver that is not on the list","")&amp;IF(ABS(N($L13)-(N($M13)+N($N13)+N($O13)+N($P13)))&gt;0.001,", a total that does not match its quarters",""),3,300))</f>
        <v/>
      </c>
    </row>
    <row r="14" customFormat="false" ht="15" hidden="false" customHeight="false" outlineLevel="0" collapsed="false">
      <c r="A14" s="33" t="str">
        <f aca="false">IF($G14="","","CEO Office")</f>
        <v/>
      </c>
      <c r="B14" s="19"/>
      <c r="C14" s="19"/>
      <c r="D14" s="19"/>
      <c r="E14" s="19"/>
      <c r="F14" s="19"/>
      <c r="G14" s="19"/>
      <c r="H14" s="19"/>
      <c r="I14" s="19"/>
      <c r="J14" s="19"/>
      <c r="K14" s="19"/>
      <c r="L14" s="19"/>
      <c r="M14" s="19"/>
      <c r="N14" s="19"/>
      <c r="O14" s="19"/>
      <c r="P14" s="19"/>
      <c r="Q14" s="19"/>
      <c r="R14" s="19"/>
      <c r="S14" s="19"/>
      <c r="T14" s="34" t="str">
        <f aca="false">IF($R14="","",IFERROR(INDEX(DriverCategory,MATCH($R14,DriverList,0)),"BAU"))</f>
        <v/>
      </c>
      <c r="U14" s="34" t="str">
        <f aca="false">IF($R14="","",IFERROR(INDEX(DriverRank,MATCH($R14,DriverList,0)),99))</f>
        <v/>
      </c>
      <c r="V14" s="35" t="n">
        <f aca="false">IF($H14="",0,IFERROR(INDEX(LevelBasic,MATCH($H14,LevelList,0))+INDEX(LevelHousing,MATCH($H14,LevelList,0))+INDEX(LevelTransport,MATCH($H14,LevelList,0))+INDEX(LevelBasic,MATCH($H14,LevelList,0))*INDEX(LevelBonus,MATCH($H14,LevelList,0))+(INDEX(LevelBasic,MATCH($H14,LevelList,0))+INDEX(LevelHousing,MATCH($H14,LevelList,0)))*GosiSaudi,0))</f>
        <v>0</v>
      </c>
      <c r="W14" s="35" t="n">
        <f aca="false">IFERROR(INDEX(LevelOneOff,MATCH($H14,LevelList,0)),0)</f>
        <v>0</v>
      </c>
      <c r="X14" s="35" t="str">
        <f aca="false">IF($G14="","",$V14*N($L14))</f>
        <v/>
      </c>
      <c r="Y14" s="35" t="str">
        <f aca="false">IF($G14="","",$V14*(N($M14)*1+N($N14)*0.75+N($O14)*0.5+N($P14)*0.25)+$W14*N($L14))</f>
        <v/>
      </c>
      <c r="Z14" s="35" t="str">
        <f aca="false">IF($G14="","",$U14*1000000+ROW())</f>
        <v/>
      </c>
      <c r="AA14" s="36" t="str">
        <f aca="false">IF($G14="","",MID(IF($C14="",", no division","")&amp;IF($E14="",", no unit","")&amp;IF($H14="",", no career level","")&amp;IF(N($L14)&lt;=0,", no quarter split","")&amp;IF($R14="",", no driver","")&amp;IF(AND($H14&lt;&gt;"",COUNTIF(CareerLevels,$H14)=0),", a career level that is not on the ladder","")&amp;IF(AND($R14&lt;&gt;"",COUNTIF(DriverList,$R14)=0),", a driver that is not on the list","")&amp;IF(ABS(N($L14)-(N($M14)+N($N14)+N($O14)+N($P14)))&gt;0.001,", a total that does not match its quarters",""),3,300))</f>
        <v/>
      </c>
    </row>
    <row r="15" customFormat="false" ht="15" hidden="false" customHeight="false" outlineLevel="0" collapsed="false">
      <c r="A15" s="33" t="str">
        <f aca="false">IF($G15="","","CEO Office")</f>
        <v/>
      </c>
      <c r="B15" s="19"/>
      <c r="C15" s="19"/>
      <c r="D15" s="19"/>
      <c r="E15" s="19"/>
      <c r="F15" s="19"/>
      <c r="G15" s="19"/>
      <c r="H15" s="19"/>
      <c r="I15" s="19"/>
      <c r="J15" s="19"/>
      <c r="K15" s="19"/>
      <c r="L15" s="19"/>
      <c r="M15" s="19"/>
      <c r="N15" s="19"/>
      <c r="O15" s="19"/>
      <c r="P15" s="19"/>
      <c r="Q15" s="19"/>
      <c r="R15" s="19"/>
      <c r="S15" s="19"/>
      <c r="T15" s="34" t="str">
        <f aca="false">IF($R15="","",IFERROR(INDEX(DriverCategory,MATCH($R15,DriverList,0)),"BAU"))</f>
        <v/>
      </c>
      <c r="U15" s="34" t="str">
        <f aca="false">IF($R15="","",IFERROR(INDEX(DriverRank,MATCH($R15,DriverList,0)),99))</f>
        <v/>
      </c>
      <c r="V15" s="35" t="n">
        <f aca="false">IF($H15="",0,IFERROR(INDEX(LevelBasic,MATCH($H15,LevelList,0))+INDEX(LevelHousing,MATCH($H15,LevelList,0))+INDEX(LevelTransport,MATCH($H15,LevelList,0))+INDEX(LevelBasic,MATCH($H15,LevelList,0))*INDEX(LevelBonus,MATCH($H15,LevelList,0))+(INDEX(LevelBasic,MATCH($H15,LevelList,0))+INDEX(LevelHousing,MATCH($H15,LevelList,0)))*GosiSaudi,0))</f>
        <v>0</v>
      </c>
      <c r="W15" s="35" t="n">
        <f aca="false">IFERROR(INDEX(LevelOneOff,MATCH($H15,LevelList,0)),0)</f>
        <v>0</v>
      </c>
      <c r="X15" s="35" t="str">
        <f aca="false">IF($G15="","",$V15*N($L15))</f>
        <v/>
      </c>
      <c r="Y15" s="35" t="str">
        <f aca="false">IF($G15="","",$V15*(N($M15)*1+N($N15)*0.75+N($O15)*0.5+N($P15)*0.25)+$W15*N($L15))</f>
        <v/>
      </c>
      <c r="Z15" s="35" t="str">
        <f aca="false">IF($G15="","",$U15*1000000+ROW())</f>
        <v/>
      </c>
      <c r="AA15" s="36" t="str">
        <f aca="false">IF($G15="","",MID(IF($C15="",", no division","")&amp;IF($E15="",", no unit","")&amp;IF($H15="",", no career level","")&amp;IF(N($L15)&lt;=0,", no quarter split","")&amp;IF($R15="",", no driver","")&amp;IF(AND($H15&lt;&gt;"",COUNTIF(CareerLevels,$H15)=0),", a career level that is not on the ladder","")&amp;IF(AND($R15&lt;&gt;"",COUNTIF(DriverList,$R15)=0),", a driver that is not on the list","")&amp;IF(ABS(N($L15)-(N($M15)+N($N15)+N($O15)+N($P15)))&gt;0.001,", a total that does not match its quarters",""),3,300))</f>
        <v/>
      </c>
    </row>
    <row r="16" customFormat="false" ht="15" hidden="false" customHeight="false" outlineLevel="0" collapsed="false">
      <c r="A16" s="33" t="str">
        <f aca="false">IF($G16="","","CEO Office")</f>
        <v/>
      </c>
      <c r="B16" s="19"/>
      <c r="C16" s="19"/>
      <c r="D16" s="19"/>
      <c r="E16" s="19"/>
      <c r="F16" s="19"/>
      <c r="G16" s="19"/>
      <c r="H16" s="19"/>
      <c r="I16" s="19"/>
      <c r="J16" s="19"/>
      <c r="K16" s="19"/>
      <c r="L16" s="19"/>
      <c r="M16" s="19"/>
      <c r="N16" s="19"/>
      <c r="O16" s="19"/>
      <c r="P16" s="19"/>
      <c r="Q16" s="19"/>
      <c r="R16" s="19"/>
      <c r="S16" s="19"/>
      <c r="T16" s="34" t="str">
        <f aca="false">IF($R16="","",IFERROR(INDEX(DriverCategory,MATCH($R16,DriverList,0)),"BAU"))</f>
        <v/>
      </c>
      <c r="U16" s="34" t="str">
        <f aca="false">IF($R16="","",IFERROR(INDEX(DriverRank,MATCH($R16,DriverList,0)),99))</f>
        <v/>
      </c>
      <c r="V16" s="35" t="n">
        <f aca="false">IF($H16="",0,IFERROR(INDEX(LevelBasic,MATCH($H16,LevelList,0))+INDEX(LevelHousing,MATCH($H16,LevelList,0))+INDEX(LevelTransport,MATCH($H16,LevelList,0))+INDEX(LevelBasic,MATCH($H16,LevelList,0))*INDEX(LevelBonus,MATCH($H16,LevelList,0))+(INDEX(LevelBasic,MATCH($H16,LevelList,0))+INDEX(LevelHousing,MATCH($H16,LevelList,0)))*GosiSaudi,0))</f>
        <v>0</v>
      </c>
      <c r="W16" s="35" t="n">
        <f aca="false">IFERROR(INDEX(LevelOneOff,MATCH($H16,LevelList,0)),0)</f>
        <v>0</v>
      </c>
      <c r="X16" s="35" t="str">
        <f aca="false">IF($G16="","",$V16*N($L16))</f>
        <v/>
      </c>
      <c r="Y16" s="35" t="str">
        <f aca="false">IF($G16="","",$V16*(N($M16)*1+N($N16)*0.75+N($O16)*0.5+N($P16)*0.25)+$W16*N($L16))</f>
        <v/>
      </c>
      <c r="Z16" s="35" t="str">
        <f aca="false">IF($G16="","",$U16*1000000+ROW())</f>
        <v/>
      </c>
      <c r="AA16" s="36" t="str">
        <f aca="false">IF($G16="","",MID(IF($C16="",", no division","")&amp;IF($E16="",", no unit","")&amp;IF($H16="",", no career level","")&amp;IF(N($L16)&lt;=0,", no quarter split","")&amp;IF($R16="",", no driver","")&amp;IF(AND($H16&lt;&gt;"",COUNTIF(CareerLevels,$H16)=0),", a career level that is not on the ladder","")&amp;IF(AND($R16&lt;&gt;"",COUNTIF(DriverList,$R16)=0),", a driver that is not on the list","")&amp;IF(ABS(N($L16)-(N($M16)+N($N16)+N($O16)+N($P16)))&gt;0.001,", a total that does not match its quarters",""),3,300))</f>
        <v/>
      </c>
    </row>
    <row r="17" customFormat="false" ht="15" hidden="false" customHeight="false" outlineLevel="0" collapsed="false">
      <c r="A17" s="33" t="str">
        <f aca="false">IF($G17="","","CEO Office")</f>
        <v/>
      </c>
      <c r="B17" s="19"/>
      <c r="C17" s="19"/>
      <c r="D17" s="19"/>
      <c r="E17" s="19"/>
      <c r="F17" s="19"/>
      <c r="G17" s="19"/>
      <c r="H17" s="19"/>
      <c r="I17" s="19"/>
      <c r="J17" s="19"/>
      <c r="K17" s="19"/>
      <c r="L17" s="19"/>
      <c r="M17" s="19"/>
      <c r="N17" s="19"/>
      <c r="O17" s="19"/>
      <c r="P17" s="19"/>
      <c r="Q17" s="19"/>
      <c r="R17" s="19"/>
      <c r="S17" s="19"/>
      <c r="T17" s="34" t="str">
        <f aca="false">IF($R17="","",IFERROR(INDEX(DriverCategory,MATCH($R17,DriverList,0)),"BAU"))</f>
        <v/>
      </c>
      <c r="U17" s="34" t="str">
        <f aca="false">IF($R17="","",IFERROR(INDEX(DriverRank,MATCH($R17,DriverList,0)),99))</f>
        <v/>
      </c>
      <c r="V17" s="35" t="n">
        <f aca="false">IF($H17="",0,IFERROR(INDEX(LevelBasic,MATCH($H17,LevelList,0))+INDEX(LevelHousing,MATCH($H17,LevelList,0))+INDEX(LevelTransport,MATCH($H17,LevelList,0))+INDEX(LevelBasic,MATCH($H17,LevelList,0))*INDEX(LevelBonus,MATCH($H17,LevelList,0))+(INDEX(LevelBasic,MATCH($H17,LevelList,0))+INDEX(LevelHousing,MATCH($H17,LevelList,0)))*GosiSaudi,0))</f>
        <v>0</v>
      </c>
      <c r="W17" s="35" t="n">
        <f aca="false">IFERROR(INDEX(LevelOneOff,MATCH($H17,LevelList,0)),0)</f>
        <v>0</v>
      </c>
      <c r="X17" s="35" t="str">
        <f aca="false">IF($G17="","",$V17*N($L17))</f>
        <v/>
      </c>
      <c r="Y17" s="35" t="str">
        <f aca="false">IF($G17="","",$V17*(N($M17)*1+N($N17)*0.75+N($O17)*0.5+N($P17)*0.25)+$W17*N($L17))</f>
        <v/>
      </c>
      <c r="Z17" s="35" t="str">
        <f aca="false">IF($G17="","",$U17*1000000+ROW())</f>
        <v/>
      </c>
      <c r="AA17" s="36" t="str">
        <f aca="false">IF($G17="","",MID(IF($C17="",", no division","")&amp;IF($E17="",", no unit","")&amp;IF($H17="",", no career level","")&amp;IF(N($L17)&lt;=0,", no quarter split","")&amp;IF($R17="",", no driver","")&amp;IF(AND($H17&lt;&gt;"",COUNTIF(CareerLevels,$H17)=0),", a career level that is not on the ladder","")&amp;IF(AND($R17&lt;&gt;"",COUNTIF(DriverList,$R17)=0),", a driver that is not on the list","")&amp;IF(ABS(N($L17)-(N($M17)+N($N17)+N($O17)+N($P17)))&gt;0.001,", a total that does not match its quarters",""),3,300))</f>
        <v/>
      </c>
    </row>
    <row r="18" customFormat="false" ht="15" hidden="false" customHeight="false" outlineLevel="0" collapsed="false">
      <c r="A18" s="33" t="str">
        <f aca="false">IF($G18="","","CEO Office")</f>
        <v/>
      </c>
      <c r="B18" s="19"/>
      <c r="C18" s="19"/>
      <c r="D18" s="19"/>
      <c r="E18" s="19"/>
      <c r="F18" s="19"/>
      <c r="G18" s="19"/>
      <c r="H18" s="19"/>
      <c r="I18" s="19"/>
      <c r="J18" s="19"/>
      <c r="K18" s="19"/>
      <c r="L18" s="19"/>
      <c r="M18" s="19"/>
      <c r="N18" s="19"/>
      <c r="O18" s="19"/>
      <c r="P18" s="19"/>
      <c r="Q18" s="19"/>
      <c r="R18" s="19"/>
      <c r="S18" s="19"/>
      <c r="T18" s="34" t="str">
        <f aca="false">IF($R18="","",IFERROR(INDEX(DriverCategory,MATCH($R18,DriverList,0)),"BAU"))</f>
        <v/>
      </c>
      <c r="U18" s="34" t="str">
        <f aca="false">IF($R18="","",IFERROR(INDEX(DriverRank,MATCH($R18,DriverList,0)),99))</f>
        <v/>
      </c>
      <c r="V18" s="35" t="n">
        <f aca="false">IF($H18="",0,IFERROR(INDEX(LevelBasic,MATCH($H18,LevelList,0))+INDEX(LevelHousing,MATCH($H18,LevelList,0))+INDEX(LevelTransport,MATCH($H18,LevelList,0))+INDEX(LevelBasic,MATCH($H18,LevelList,0))*INDEX(LevelBonus,MATCH($H18,LevelList,0))+(INDEX(LevelBasic,MATCH($H18,LevelList,0))+INDEX(LevelHousing,MATCH($H18,LevelList,0)))*GosiSaudi,0))</f>
        <v>0</v>
      </c>
      <c r="W18" s="35" t="n">
        <f aca="false">IFERROR(INDEX(LevelOneOff,MATCH($H18,LevelList,0)),0)</f>
        <v>0</v>
      </c>
      <c r="X18" s="35" t="str">
        <f aca="false">IF($G18="","",$V18*N($L18))</f>
        <v/>
      </c>
      <c r="Y18" s="35" t="str">
        <f aca="false">IF($G18="","",$V18*(N($M18)*1+N($N18)*0.75+N($O18)*0.5+N($P18)*0.25)+$W18*N($L18))</f>
        <v/>
      </c>
      <c r="Z18" s="35" t="str">
        <f aca="false">IF($G18="","",$U18*1000000+ROW())</f>
        <v/>
      </c>
      <c r="AA18" s="36" t="str">
        <f aca="false">IF($G18="","",MID(IF($C18="",", no division","")&amp;IF($E18="",", no unit","")&amp;IF($H18="",", no career level","")&amp;IF(N($L18)&lt;=0,", no quarter split","")&amp;IF($R18="",", no driver","")&amp;IF(AND($H18&lt;&gt;"",COUNTIF(CareerLevels,$H18)=0),", a career level that is not on the ladder","")&amp;IF(AND($R18&lt;&gt;"",COUNTIF(DriverList,$R18)=0),", a driver that is not on the list","")&amp;IF(ABS(N($L18)-(N($M18)+N($N18)+N($O18)+N($P18)))&gt;0.001,", a total that does not match its quarters",""),3,300))</f>
        <v/>
      </c>
    </row>
    <row r="19" customFormat="false" ht="15" hidden="false" customHeight="false" outlineLevel="0" collapsed="false">
      <c r="A19" s="33" t="str">
        <f aca="false">IF($G19="","","CEO Office")</f>
        <v/>
      </c>
      <c r="B19" s="19"/>
      <c r="C19" s="19"/>
      <c r="D19" s="19"/>
      <c r="E19" s="19"/>
      <c r="F19" s="19"/>
      <c r="G19" s="19"/>
      <c r="H19" s="19"/>
      <c r="I19" s="19"/>
      <c r="J19" s="19"/>
      <c r="K19" s="19"/>
      <c r="L19" s="19"/>
      <c r="M19" s="19"/>
      <c r="N19" s="19"/>
      <c r="O19" s="19"/>
      <c r="P19" s="19"/>
      <c r="Q19" s="19"/>
      <c r="R19" s="19"/>
      <c r="S19" s="19"/>
      <c r="T19" s="34" t="str">
        <f aca="false">IF($R19="","",IFERROR(INDEX(DriverCategory,MATCH($R19,DriverList,0)),"BAU"))</f>
        <v/>
      </c>
      <c r="U19" s="34" t="str">
        <f aca="false">IF($R19="","",IFERROR(INDEX(DriverRank,MATCH($R19,DriverList,0)),99))</f>
        <v/>
      </c>
      <c r="V19" s="35" t="n">
        <f aca="false">IF($H19="",0,IFERROR(INDEX(LevelBasic,MATCH($H19,LevelList,0))+INDEX(LevelHousing,MATCH($H19,LevelList,0))+INDEX(LevelTransport,MATCH($H19,LevelList,0))+INDEX(LevelBasic,MATCH($H19,LevelList,0))*INDEX(LevelBonus,MATCH($H19,LevelList,0))+(INDEX(LevelBasic,MATCH($H19,LevelList,0))+INDEX(LevelHousing,MATCH($H19,LevelList,0)))*GosiSaudi,0))</f>
        <v>0</v>
      </c>
      <c r="W19" s="35" t="n">
        <f aca="false">IFERROR(INDEX(LevelOneOff,MATCH($H19,LevelList,0)),0)</f>
        <v>0</v>
      </c>
      <c r="X19" s="35" t="str">
        <f aca="false">IF($G19="","",$V19*N($L19))</f>
        <v/>
      </c>
      <c r="Y19" s="35" t="str">
        <f aca="false">IF($G19="","",$V19*(N($M19)*1+N($N19)*0.75+N($O19)*0.5+N($P19)*0.25)+$W19*N($L19))</f>
        <v/>
      </c>
      <c r="Z19" s="35" t="str">
        <f aca="false">IF($G19="","",$U19*1000000+ROW())</f>
        <v/>
      </c>
      <c r="AA19" s="36" t="str">
        <f aca="false">IF($G19="","",MID(IF($C19="",", no division","")&amp;IF($E19="",", no unit","")&amp;IF($H19="",", no career level","")&amp;IF(N($L19)&lt;=0,", no quarter split","")&amp;IF($R19="",", no driver","")&amp;IF(AND($H19&lt;&gt;"",COUNTIF(CareerLevels,$H19)=0),", a career level that is not on the ladder","")&amp;IF(AND($R19&lt;&gt;"",COUNTIF(DriverList,$R19)=0),", a driver that is not on the list","")&amp;IF(ABS(N($L19)-(N($M19)+N($N19)+N($O19)+N($P19)))&gt;0.001,", a total that does not match its quarters",""),3,300))</f>
        <v/>
      </c>
    </row>
    <row r="20" customFormat="false" ht="15" hidden="false" customHeight="false" outlineLevel="0" collapsed="false">
      <c r="A20" s="33" t="str">
        <f aca="false">IF($G20="","","CEO Office")</f>
        <v/>
      </c>
      <c r="B20" s="19"/>
      <c r="C20" s="19"/>
      <c r="D20" s="19"/>
      <c r="E20" s="19"/>
      <c r="F20" s="19"/>
      <c r="G20" s="19"/>
      <c r="H20" s="19"/>
      <c r="I20" s="19"/>
      <c r="J20" s="19"/>
      <c r="K20" s="19"/>
      <c r="L20" s="19"/>
      <c r="M20" s="19"/>
      <c r="N20" s="19"/>
      <c r="O20" s="19"/>
      <c r="P20" s="19"/>
      <c r="Q20" s="19"/>
      <c r="R20" s="19"/>
      <c r="S20" s="19"/>
      <c r="T20" s="34" t="str">
        <f aca="false">IF($R20="","",IFERROR(INDEX(DriverCategory,MATCH($R20,DriverList,0)),"BAU"))</f>
        <v/>
      </c>
      <c r="U20" s="34" t="str">
        <f aca="false">IF($R20="","",IFERROR(INDEX(DriverRank,MATCH($R20,DriverList,0)),99))</f>
        <v/>
      </c>
      <c r="V20" s="35" t="n">
        <f aca="false">IF($H20="",0,IFERROR(INDEX(LevelBasic,MATCH($H20,LevelList,0))+INDEX(LevelHousing,MATCH($H20,LevelList,0))+INDEX(LevelTransport,MATCH($H20,LevelList,0))+INDEX(LevelBasic,MATCH($H20,LevelList,0))*INDEX(LevelBonus,MATCH($H20,LevelList,0))+(INDEX(LevelBasic,MATCH($H20,LevelList,0))+INDEX(LevelHousing,MATCH($H20,LevelList,0)))*GosiSaudi,0))</f>
        <v>0</v>
      </c>
      <c r="W20" s="35" t="n">
        <f aca="false">IFERROR(INDEX(LevelOneOff,MATCH($H20,LevelList,0)),0)</f>
        <v>0</v>
      </c>
      <c r="X20" s="35" t="str">
        <f aca="false">IF($G20="","",$V20*N($L20))</f>
        <v/>
      </c>
      <c r="Y20" s="35" t="str">
        <f aca="false">IF($G20="","",$V20*(N($M20)*1+N($N20)*0.75+N($O20)*0.5+N($P20)*0.25)+$W20*N($L20))</f>
        <v/>
      </c>
      <c r="Z20" s="35" t="str">
        <f aca="false">IF($G20="","",$U20*1000000+ROW())</f>
        <v/>
      </c>
      <c r="AA20" s="36" t="str">
        <f aca="false">IF($G20="","",MID(IF($C20="",", no division","")&amp;IF($E20="",", no unit","")&amp;IF($H20="",", no career level","")&amp;IF(N($L20)&lt;=0,", no quarter split","")&amp;IF($R20="",", no driver","")&amp;IF(AND($H20&lt;&gt;"",COUNTIF(CareerLevels,$H20)=0),", a career level that is not on the ladder","")&amp;IF(AND($R20&lt;&gt;"",COUNTIF(DriverList,$R20)=0),", a driver that is not on the list","")&amp;IF(ABS(N($L20)-(N($M20)+N($N20)+N($O20)+N($P20)))&gt;0.001,", a total that does not match its quarters",""),3,300))</f>
        <v/>
      </c>
    </row>
    <row r="21" customFormat="false" ht="15" hidden="false" customHeight="false" outlineLevel="0" collapsed="false">
      <c r="A21" s="33" t="str">
        <f aca="false">IF($G21="","","CEO Office")</f>
        <v/>
      </c>
      <c r="B21" s="19"/>
      <c r="C21" s="19"/>
      <c r="D21" s="19"/>
      <c r="E21" s="19"/>
      <c r="F21" s="19"/>
      <c r="G21" s="19"/>
      <c r="H21" s="19"/>
      <c r="I21" s="19"/>
      <c r="J21" s="19"/>
      <c r="K21" s="19"/>
      <c r="L21" s="19"/>
      <c r="M21" s="19"/>
      <c r="N21" s="19"/>
      <c r="O21" s="19"/>
      <c r="P21" s="19"/>
      <c r="Q21" s="19"/>
      <c r="R21" s="19"/>
      <c r="S21" s="19"/>
      <c r="T21" s="34" t="str">
        <f aca="false">IF($R21="","",IFERROR(INDEX(DriverCategory,MATCH($R21,DriverList,0)),"BAU"))</f>
        <v/>
      </c>
      <c r="U21" s="34" t="str">
        <f aca="false">IF($R21="","",IFERROR(INDEX(DriverRank,MATCH($R21,DriverList,0)),99))</f>
        <v/>
      </c>
      <c r="V21" s="35" t="n">
        <f aca="false">IF($H21="",0,IFERROR(INDEX(LevelBasic,MATCH($H21,LevelList,0))+INDEX(LevelHousing,MATCH($H21,LevelList,0))+INDEX(LevelTransport,MATCH($H21,LevelList,0))+INDEX(LevelBasic,MATCH($H21,LevelList,0))*INDEX(LevelBonus,MATCH($H21,LevelList,0))+(INDEX(LevelBasic,MATCH($H21,LevelList,0))+INDEX(LevelHousing,MATCH($H21,LevelList,0)))*GosiSaudi,0))</f>
        <v>0</v>
      </c>
      <c r="W21" s="35" t="n">
        <f aca="false">IFERROR(INDEX(LevelOneOff,MATCH($H21,LevelList,0)),0)</f>
        <v>0</v>
      </c>
      <c r="X21" s="35" t="str">
        <f aca="false">IF($G21="","",$V21*N($L21))</f>
        <v/>
      </c>
      <c r="Y21" s="35" t="str">
        <f aca="false">IF($G21="","",$V21*(N($M21)*1+N($N21)*0.75+N($O21)*0.5+N($P21)*0.25)+$W21*N($L21))</f>
        <v/>
      </c>
      <c r="Z21" s="35" t="str">
        <f aca="false">IF($G21="","",$U21*1000000+ROW())</f>
        <v/>
      </c>
      <c r="AA21" s="36" t="str">
        <f aca="false">IF($G21="","",MID(IF($C21="",", no division","")&amp;IF($E21="",", no unit","")&amp;IF($H21="",", no career level","")&amp;IF(N($L21)&lt;=0,", no quarter split","")&amp;IF($R21="",", no driver","")&amp;IF(AND($H21&lt;&gt;"",COUNTIF(CareerLevels,$H21)=0),", a career level that is not on the ladder","")&amp;IF(AND($R21&lt;&gt;"",COUNTIF(DriverList,$R21)=0),", a driver that is not on the list","")&amp;IF(ABS(N($L21)-(N($M21)+N($N21)+N($O21)+N($P21)))&gt;0.001,", a total that does not match its quarters",""),3,300))</f>
        <v/>
      </c>
    </row>
    <row r="22" customFormat="false" ht="15" hidden="false" customHeight="false" outlineLevel="0" collapsed="false">
      <c r="A22" s="33" t="str">
        <f aca="false">IF($G22="","","CEO Office")</f>
        <v/>
      </c>
      <c r="B22" s="19"/>
      <c r="C22" s="19"/>
      <c r="D22" s="19"/>
      <c r="E22" s="19"/>
      <c r="F22" s="19"/>
      <c r="G22" s="19"/>
      <c r="H22" s="19"/>
      <c r="I22" s="19"/>
      <c r="J22" s="19"/>
      <c r="K22" s="19"/>
      <c r="L22" s="19"/>
      <c r="M22" s="19"/>
      <c r="N22" s="19"/>
      <c r="O22" s="19"/>
      <c r="P22" s="19"/>
      <c r="Q22" s="19"/>
      <c r="R22" s="19"/>
      <c r="S22" s="19"/>
      <c r="T22" s="34" t="str">
        <f aca="false">IF($R22="","",IFERROR(INDEX(DriverCategory,MATCH($R22,DriverList,0)),"BAU"))</f>
        <v/>
      </c>
      <c r="U22" s="34" t="str">
        <f aca="false">IF($R22="","",IFERROR(INDEX(DriverRank,MATCH($R22,DriverList,0)),99))</f>
        <v/>
      </c>
      <c r="V22" s="35" t="n">
        <f aca="false">IF($H22="",0,IFERROR(INDEX(LevelBasic,MATCH($H22,LevelList,0))+INDEX(LevelHousing,MATCH($H22,LevelList,0))+INDEX(LevelTransport,MATCH($H22,LevelList,0))+INDEX(LevelBasic,MATCH($H22,LevelList,0))*INDEX(LevelBonus,MATCH($H22,LevelList,0))+(INDEX(LevelBasic,MATCH($H22,LevelList,0))+INDEX(LevelHousing,MATCH($H22,LevelList,0)))*GosiSaudi,0))</f>
        <v>0</v>
      </c>
      <c r="W22" s="35" t="n">
        <f aca="false">IFERROR(INDEX(LevelOneOff,MATCH($H22,LevelList,0)),0)</f>
        <v>0</v>
      </c>
      <c r="X22" s="35" t="str">
        <f aca="false">IF($G22="","",$V22*N($L22))</f>
        <v/>
      </c>
      <c r="Y22" s="35" t="str">
        <f aca="false">IF($G22="","",$V22*(N($M22)*1+N($N22)*0.75+N($O22)*0.5+N($P22)*0.25)+$W22*N($L22))</f>
        <v/>
      </c>
      <c r="Z22" s="35" t="str">
        <f aca="false">IF($G22="","",$U22*1000000+ROW())</f>
        <v/>
      </c>
      <c r="AA22" s="36" t="str">
        <f aca="false">IF($G22="","",MID(IF($C22="",", no division","")&amp;IF($E22="",", no unit","")&amp;IF($H22="",", no career level","")&amp;IF(N($L22)&lt;=0,", no quarter split","")&amp;IF($R22="",", no driver","")&amp;IF(AND($H22&lt;&gt;"",COUNTIF(CareerLevels,$H22)=0),", a career level that is not on the ladder","")&amp;IF(AND($R22&lt;&gt;"",COUNTIF(DriverList,$R22)=0),", a driver that is not on the list","")&amp;IF(ABS(N($L22)-(N($M22)+N($N22)+N($O22)+N($P22)))&gt;0.001,", a total that does not match its quarters",""),3,300))</f>
        <v/>
      </c>
    </row>
    <row r="23" customFormat="false" ht="15" hidden="false" customHeight="false" outlineLevel="0" collapsed="false">
      <c r="A23" s="33" t="str">
        <f aca="false">IF($G23="","","CEO Office")</f>
        <v/>
      </c>
      <c r="B23" s="19"/>
      <c r="C23" s="19"/>
      <c r="D23" s="19"/>
      <c r="E23" s="19"/>
      <c r="F23" s="19"/>
      <c r="G23" s="19"/>
      <c r="H23" s="19"/>
      <c r="I23" s="19"/>
      <c r="J23" s="19"/>
      <c r="K23" s="19"/>
      <c r="L23" s="19"/>
      <c r="M23" s="19"/>
      <c r="N23" s="19"/>
      <c r="O23" s="19"/>
      <c r="P23" s="19"/>
      <c r="Q23" s="19"/>
      <c r="R23" s="19"/>
      <c r="S23" s="19"/>
      <c r="T23" s="34" t="str">
        <f aca="false">IF($R23="","",IFERROR(INDEX(DriverCategory,MATCH($R23,DriverList,0)),"BAU"))</f>
        <v/>
      </c>
      <c r="U23" s="34" t="str">
        <f aca="false">IF($R23="","",IFERROR(INDEX(DriverRank,MATCH($R23,DriverList,0)),99))</f>
        <v/>
      </c>
      <c r="V23" s="35" t="n">
        <f aca="false">IF($H23="",0,IFERROR(INDEX(LevelBasic,MATCH($H23,LevelList,0))+INDEX(LevelHousing,MATCH($H23,LevelList,0))+INDEX(LevelTransport,MATCH($H23,LevelList,0))+INDEX(LevelBasic,MATCH($H23,LevelList,0))*INDEX(LevelBonus,MATCH($H23,LevelList,0))+(INDEX(LevelBasic,MATCH($H23,LevelList,0))+INDEX(LevelHousing,MATCH($H23,LevelList,0)))*GosiSaudi,0))</f>
        <v>0</v>
      </c>
      <c r="W23" s="35" t="n">
        <f aca="false">IFERROR(INDEX(LevelOneOff,MATCH($H23,LevelList,0)),0)</f>
        <v>0</v>
      </c>
      <c r="X23" s="35" t="str">
        <f aca="false">IF($G23="","",$V23*N($L23))</f>
        <v/>
      </c>
      <c r="Y23" s="35" t="str">
        <f aca="false">IF($G23="","",$V23*(N($M23)*1+N($N23)*0.75+N($O23)*0.5+N($P23)*0.25)+$W23*N($L23))</f>
        <v/>
      </c>
      <c r="Z23" s="35" t="str">
        <f aca="false">IF($G23="","",$U23*1000000+ROW())</f>
        <v/>
      </c>
      <c r="AA23" s="36" t="str">
        <f aca="false">IF($G23="","",MID(IF($C23="",", no division","")&amp;IF($E23="",", no unit","")&amp;IF($H23="",", no career level","")&amp;IF(N($L23)&lt;=0,", no quarter split","")&amp;IF($R23="",", no driver","")&amp;IF(AND($H23&lt;&gt;"",COUNTIF(CareerLevels,$H23)=0),", a career level that is not on the ladder","")&amp;IF(AND($R23&lt;&gt;"",COUNTIF(DriverList,$R23)=0),", a driver that is not on the list","")&amp;IF(ABS(N($L23)-(N($M23)+N($N23)+N($O23)+N($P23)))&gt;0.001,", a total that does not match its quarters",""),3,300))</f>
        <v/>
      </c>
    </row>
    <row r="24" customFormat="false" ht="15" hidden="false" customHeight="false" outlineLevel="0" collapsed="false">
      <c r="A24" s="33" t="str">
        <f aca="false">IF($G24="","","CEO Office")</f>
        <v/>
      </c>
      <c r="B24" s="19"/>
      <c r="C24" s="19"/>
      <c r="D24" s="19"/>
      <c r="E24" s="19"/>
      <c r="F24" s="19"/>
      <c r="G24" s="19"/>
      <c r="H24" s="19"/>
      <c r="I24" s="19"/>
      <c r="J24" s="19"/>
      <c r="K24" s="19"/>
      <c r="L24" s="19"/>
      <c r="M24" s="19"/>
      <c r="N24" s="19"/>
      <c r="O24" s="19"/>
      <c r="P24" s="19"/>
      <c r="Q24" s="19"/>
      <c r="R24" s="19"/>
      <c r="S24" s="19"/>
      <c r="T24" s="34" t="str">
        <f aca="false">IF($R24="","",IFERROR(INDEX(DriverCategory,MATCH($R24,DriverList,0)),"BAU"))</f>
        <v/>
      </c>
      <c r="U24" s="34" t="str">
        <f aca="false">IF($R24="","",IFERROR(INDEX(DriverRank,MATCH($R24,DriverList,0)),99))</f>
        <v/>
      </c>
      <c r="V24" s="35" t="n">
        <f aca="false">IF($H24="",0,IFERROR(INDEX(LevelBasic,MATCH($H24,LevelList,0))+INDEX(LevelHousing,MATCH($H24,LevelList,0))+INDEX(LevelTransport,MATCH($H24,LevelList,0))+INDEX(LevelBasic,MATCH($H24,LevelList,0))*INDEX(LevelBonus,MATCH($H24,LevelList,0))+(INDEX(LevelBasic,MATCH($H24,LevelList,0))+INDEX(LevelHousing,MATCH($H24,LevelList,0)))*GosiSaudi,0))</f>
        <v>0</v>
      </c>
      <c r="W24" s="35" t="n">
        <f aca="false">IFERROR(INDEX(LevelOneOff,MATCH($H24,LevelList,0)),0)</f>
        <v>0</v>
      </c>
      <c r="X24" s="35" t="str">
        <f aca="false">IF($G24="","",$V24*N($L24))</f>
        <v/>
      </c>
      <c r="Y24" s="35" t="str">
        <f aca="false">IF($G24="","",$V24*(N($M24)*1+N($N24)*0.75+N($O24)*0.5+N($P24)*0.25)+$W24*N($L24))</f>
        <v/>
      </c>
      <c r="Z24" s="35" t="str">
        <f aca="false">IF($G24="","",$U24*1000000+ROW())</f>
        <v/>
      </c>
      <c r="AA24" s="36" t="str">
        <f aca="false">IF($G24="","",MID(IF($C24="",", no division","")&amp;IF($E24="",", no unit","")&amp;IF($H24="",", no career level","")&amp;IF(N($L24)&lt;=0,", no quarter split","")&amp;IF($R24="",", no driver","")&amp;IF(AND($H24&lt;&gt;"",COUNTIF(CareerLevels,$H24)=0),", a career level that is not on the ladder","")&amp;IF(AND($R24&lt;&gt;"",COUNTIF(DriverList,$R24)=0),", a driver that is not on the list","")&amp;IF(ABS(N($L24)-(N($M24)+N($N24)+N($O24)+N($P24)))&gt;0.001,", a total that does not match its quarters",""),3,300))</f>
        <v/>
      </c>
    </row>
    <row r="25" customFormat="false" ht="15" hidden="false" customHeight="false" outlineLevel="0" collapsed="false">
      <c r="A25" s="33" t="str">
        <f aca="false">IF($G25="","","CEO Office")</f>
        <v/>
      </c>
      <c r="B25" s="19"/>
      <c r="C25" s="19"/>
      <c r="D25" s="19"/>
      <c r="E25" s="19"/>
      <c r="F25" s="19"/>
      <c r="G25" s="19"/>
      <c r="H25" s="19"/>
      <c r="I25" s="19"/>
      <c r="J25" s="19"/>
      <c r="K25" s="19"/>
      <c r="L25" s="19"/>
      <c r="M25" s="19"/>
      <c r="N25" s="19"/>
      <c r="O25" s="19"/>
      <c r="P25" s="19"/>
      <c r="Q25" s="19"/>
      <c r="R25" s="19"/>
      <c r="S25" s="19"/>
      <c r="T25" s="34" t="str">
        <f aca="false">IF($R25="","",IFERROR(INDEX(DriverCategory,MATCH($R25,DriverList,0)),"BAU"))</f>
        <v/>
      </c>
      <c r="U25" s="34" t="str">
        <f aca="false">IF($R25="","",IFERROR(INDEX(DriverRank,MATCH($R25,DriverList,0)),99))</f>
        <v/>
      </c>
      <c r="V25" s="35" t="n">
        <f aca="false">IF($H25="",0,IFERROR(INDEX(LevelBasic,MATCH($H25,LevelList,0))+INDEX(LevelHousing,MATCH($H25,LevelList,0))+INDEX(LevelTransport,MATCH($H25,LevelList,0))+INDEX(LevelBasic,MATCH($H25,LevelList,0))*INDEX(LevelBonus,MATCH($H25,LevelList,0))+(INDEX(LevelBasic,MATCH($H25,LevelList,0))+INDEX(LevelHousing,MATCH($H25,LevelList,0)))*GosiSaudi,0))</f>
        <v>0</v>
      </c>
      <c r="W25" s="35" t="n">
        <f aca="false">IFERROR(INDEX(LevelOneOff,MATCH($H25,LevelList,0)),0)</f>
        <v>0</v>
      </c>
      <c r="X25" s="35" t="str">
        <f aca="false">IF($G25="","",$V25*N($L25))</f>
        <v/>
      </c>
      <c r="Y25" s="35" t="str">
        <f aca="false">IF($G25="","",$V25*(N($M25)*1+N($N25)*0.75+N($O25)*0.5+N($P25)*0.25)+$W25*N($L25))</f>
        <v/>
      </c>
      <c r="Z25" s="35" t="str">
        <f aca="false">IF($G25="","",$U25*1000000+ROW())</f>
        <v/>
      </c>
      <c r="AA25" s="36" t="str">
        <f aca="false">IF($G25="","",MID(IF($C25="",", no division","")&amp;IF($E25="",", no unit","")&amp;IF($H25="",", no career level","")&amp;IF(N($L25)&lt;=0,", no quarter split","")&amp;IF($R25="",", no driver","")&amp;IF(AND($H25&lt;&gt;"",COUNTIF(CareerLevels,$H25)=0),", a career level that is not on the ladder","")&amp;IF(AND($R25&lt;&gt;"",COUNTIF(DriverList,$R25)=0),", a driver that is not on the list","")&amp;IF(ABS(N($L25)-(N($M25)+N($N25)+N($O25)+N($P25)))&gt;0.001,", a total that does not match its quarters",""),3,300))</f>
        <v/>
      </c>
    </row>
    <row r="26" customFormat="false" ht="15" hidden="false" customHeight="false" outlineLevel="0" collapsed="false">
      <c r="A26" s="33" t="str">
        <f aca="false">IF($G26="","","CEO Office")</f>
        <v/>
      </c>
      <c r="B26" s="19"/>
      <c r="C26" s="19"/>
      <c r="D26" s="19"/>
      <c r="E26" s="19"/>
      <c r="F26" s="19"/>
      <c r="G26" s="19"/>
      <c r="H26" s="19"/>
      <c r="I26" s="19"/>
      <c r="J26" s="19"/>
      <c r="K26" s="19"/>
      <c r="L26" s="19"/>
      <c r="M26" s="19"/>
      <c r="N26" s="19"/>
      <c r="O26" s="19"/>
      <c r="P26" s="19"/>
      <c r="Q26" s="19"/>
      <c r="R26" s="19"/>
      <c r="S26" s="19"/>
      <c r="T26" s="34" t="str">
        <f aca="false">IF($R26="","",IFERROR(INDEX(DriverCategory,MATCH($R26,DriverList,0)),"BAU"))</f>
        <v/>
      </c>
      <c r="U26" s="34" t="str">
        <f aca="false">IF($R26="","",IFERROR(INDEX(DriverRank,MATCH($R26,DriverList,0)),99))</f>
        <v/>
      </c>
      <c r="V26" s="35" t="n">
        <f aca="false">IF($H26="",0,IFERROR(INDEX(LevelBasic,MATCH($H26,LevelList,0))+INDEX(LevelHousing,MATCH($H26,LevelList,0))+INDEX(LevelTransport,MATCH($H26,LevelList,0))+INDEX(LevelBasic,MATCH($H26,LevelList,0))*INDEX(LevelBonus,MATCH($H26,LevelList,0))+(INDEX(LevelBasic,MATCH($H26,LevelList,0))+INDEX(LevelHousing,MATCH($H26,LevelList,0)))*GosiSaudi,0))</f>
        <v>0</v>
      </c>
      <c r="W26" s="35" t="n">
        <f aca="false">IFERROR(INDEX(LevelOneOff,MATCH($H26,LevelList,0)),0)</f>
        <v>0</v>
      </c>
      <c r="X26" s="35" t="str">
        <f aca="false">IF($G26="","",$V26*N($L26))</f>
        <v/>
      </c>
      <c r="Y26" s="35" t="str">
        <f aca="false">IF($G26="","",$V26*(N($M26)*1+N($N26)*0.75+N($O26)*0.5+N($P26)*0.25)+$W26*N($L26))</f>
        <v/>
      </c>
      <c r="Z26" s="35" t="str">
        <f aca="false">IF($G26="","",$U26*1000000+ROW())</f>
        <v/>
      </c>
      <c r="AA26" s="36" t="str">
        <f aca="false">IF($G26="","",MID(IF($C26="",", no division","")&amp;IF($E26="",", no unit","")&amp;IF($H26="",", no career level","")&amp;IF(N($L26)&lt;=0,", no quarter split","")&amp;IF($R26="",", no driver","")&amp;IF(AND($H26&lt;&gt;"",COUNTIF(CareerLevels,$H26)=0),", a career level that is not on the ladder","")&amp;IF(AND($R26&lt;&gt;"",COUNTIF(DriverList,$R26)=0),", a driver that is not on the list","")&amp;IF(ABS(N($L26)-(N($M26)+N($N26)+N($O26)+N($P26)))&gt;0.001,", a total that does not match its quarters",""),3,300))</f>
        <v/>
      </c>
    </row>
    <row r="27" customFormat="false" ht="15" hidden="false" customHeight="false" outlineLevel="0" collapsed="false">
      <c r="A27" s="33" t="str">
        <f aca="false">IF($G27="","","CEO Office")</f>
        <v/>
      </c>
      <c r="B27" s="19"/>
      <c r="C27" s="19"/>
      <c r="D27" s="19"/>
      <c r="E27" s="19"/>
      <c r="F27" s="19"/>
      <c r="G27" s="19"/>
      <c r="H27" s="19"/>
      <c r="I27" s="19"/>
      <c r="J27" s="19"/>
      <c r="K27" s="19"/>
      <c r="L27" s="19"/>
      <c r="M27" s="19"/>
      <c r="N27" s="19"/>
      <c r="O27" s="19"/>
      <c r="P27" s="19"/>
      <c r="Q27" s="19"/>
      <c r="R27" s="19"/>
      <c r="S27" s="19"/>
      <c r="T27" s="34" t="str">
        <f aca="false">IF($R27="","",IFERROR(INDEX(DriverCategory,MATCH($R27,DriverList,0)),"BAU"))</f>
        <v/>
      </c>
      <c r="U27" s="34" t="str">
        <f aca="false">IF($R27="","",IFERROR(INDEX(DriverRank,MATCH($R27,DriverList,0)),99))</f>
        <v/>
      </c>
      <c r="V27" s="35" t="n">
        <f aca="false">IF($H27="",0,IFERROR(INDEX(LevelBasic,MATCH($H27,LevelList,0))+INDEX(LevelHousing,MATCH($H27,LevelList,0))+INDEX(LevelTransport,MATCH($H27,LevelList,0))+INDEX(LevelBasic,MATCH($H27,LevelList,0))*INDEX(LevelBonus,MATCH($H27,LevelList,0))+(INDEX(LevelBasic,MATCH($H27,LevelList,0))+INDEX(LevelHousing,MATCH($H27,LevelList,0)))*GosiSaudi,0))</f>
        <v>0</v>
      </c>
      <c r="W27" s="35" t="n">
        <f aca="false">IFERROR(INDEX(LevelOneOff,MATCH($H27,LevelList,0)),0)</f>
        <v>0</v>
      </c>
      <c r="X27" s="35" t="str">
        <f aca="false">IF($G27="","",$V27*N($L27))</f>
        <v/>
      </c>
      <c r="Y27" s="35" t="str">
        <f aca="false">IF($G27="","",$V27*(N($M27)*1+N($N27)*0.75+N($O27)*0.5+N($P27)*0.25)+$W27*N($L27))</f>
        <v/>
      </c>
      <c r="Z27" s="35" t="str">
        <f aca="false">IF($G27="","",$U27*1000000+ROW())</f>
        <v/>
      </c>
      <c r="AA27" s="36" t="str">
        <f aca="false">IF($G27="","",MID(IF($C27="",", no division","")&amp;IF($E27="",", no unit","")&amp;IF($H27="",", no career level","")&amp;IF(N($L27)&lt;=0,", no quarter split","")&amp;IF($R27="",", no driver","")&amp;IF(AND($H27&lt;&gt;"",COUNTIF(CareerLevels,$H27)=0),", a career level that is not on the ladder","")&amp;IF(AND($R27&lt;&gt;"",COUNTIF(DriverList,$R27)=0),", a driver that is not on the list","")&amp;IF(ABS(N($L27)-(N($M27)+N($N27)+N($O27)+N($P27)))&gt;0.001,", a total that does not match its quarters",""),3,300))</f>
        <v/>
      </c>
    </row>
    <row r="28" customFormat="false" ht="15" hidden="false" customHeight="false" outlineLevel="0" collapsed="false">
      <c r="A28" s="33" t="str">
        <f aca="false">IF($G28="","","CEO Office")</f>
        <v/>
      </c>
      <c r="B28" s="19"/>
      <c r="C28" s="19"/>
      <c r="D28" s="19"/>
      <c r="E28" s="19"/>
      <c r="F28" s="19"/>
      <c r="G28" s="19"/>
      <c r="H28" s="19"/>
      <c r="I28" s="19"/>
      <c r="J28" s="19"/>
      <c r="K28" s="19"/>
      <c r="L28" s="19"/>
      <c r="M28" s="19"/>
      <c r="N28" s="19"/>
      <c r="O28" s="19"/>
      <c r="P28" s="19"/>
      <c r="Q28" s="19"/>
      <c r="R28" s="19"/>
      <c r="S28" s="19"/>
      <c r="T28" s="34" t="str">
        <f aca="false">IF($R28="","",IFERROR(INDEX(DriverCategory,MATCH($R28,DriverList,0)),"BAU"))</f>
        <v/>
      </c>
      <c r="U28" s="34" t="str">
        <f aca="false">IF($R28="","",IFERROR(INDEX(DriverRank,MATCH($R28,DriverList,0)),99))</f>
        <v/>
      </c>
      <c r="V28" s="35" t="n">
        <f aca="false">IF($H28="",0,IFERROR(INDEX(LevelBasic,MATCH($H28,LevelList,0))+INDEX(LevelHousing,MATCH($H28,LevelList,0))+INDEX(LevelTransport,MATCH($H28,LevelList,0))+INDEX(LevelBasic,MATCH($H28,LevelList,0))*INDEX(LevelBonus,MATCH($H28,LevelList,0))+(INDEX(LevelBasic,MATCH($H28,LevelList,0))+INDEX(LevelHousing,MATCH($H28,LevelList,0)))*GosiSaudi,0))</f>
        <v>0</v>
      </c>
      <c r="W28" s="35" t="n">
        <f aca="false">IFERROR(INDEX(LevelOneOff,MATCH($H28,LevelList,0)),0)</f>
        <v>0</v>
      </c>
      <c r="X28" s="35" t="str">
        <f aca="false">IF($G28="","",$V28*N($L28))</f>
        <v/>
      </c>
      <c r="Y28" s="35" t="str">
        <f aca="false">IF($G28="","",$V28*(N($M28)*1+N($N28)*0.75+N($O28)*0.5+N($P28)*0.25)+$W28*N($L28))</f>
        <v/>
      </c>
      <c r="Z28" s="35" t="str">
        <f aca="false">IF($G28="","",$U28*1000000+ROW())</f>
        <v/>
      </c>
      <c r="AA28" s="36" t="str">
        <f aca="false">IF($G28="","",MID(IF($C28="",", no division","")&amp;IF($E28="",", no unit","")&amp;IF($H28="",", no career level","")&amp;IF(N($L28)&lt;=0,", no quarter split","")&amp;IF($R28="",", no driver","")&amp;IF(AND($H28&lt;&gt;"",COUNTIF(CareerLevels,$H28)=0),", a career level that is not on the ladder","")&amp;IF(AND($R28&lt;&gt;"",COUNTIF(DriverList,$R28)=0),", a driver that is not on the list","")&amp;IF(ABS(N($L28)-(N($M28)+N($N28)+N($O28)+N($P28)))&gt;0.001,", a total that does not match its quarters",""),3,300))</f>
        <v/>
      </c>
    </row>
    <row r="29" customFormat="false" ht="15" hidden="false" customHeight="false" outlineLevel="0" collapsed="false">
      <c r="A29" s="33" t="str">
        <f aca="false">IF($G29="","","CEO Office")</f>
        <v/>
      </c>
      <c r="B29" s="19"/>
      <c r="C29" s="19"/>
      <c r="D29" s="19"/>
      <c r="E29" s="19"/>
      <c r="F29" s="19"/>
      <c r="G29" s="19"/>
      <c r="H29" s="19"/>
      <c r="I29" s="19"/>
      <c r="J29" s="19"/>
      <c r="K29" s="19"/>
      <c r="L29" s="19"/>
      <c r="M29" s="19"/>
      <c r="N29" s="19"/>
      <c r="O29" s="19"/>
      <c r="P29" s="19"/>
      <c r="Q29" s="19"/>
      <c r="R29" s="19"/>
      <c r="S29" s="19"/>
      <c r="T29" s="34" t="str">
        <f aca="false">IF($R29="","",IFERROR(INDEX(DriverCategory,MATCH($R29,DriverList,0)),"BAU"))</f>
        <v/>
      </c>
      <c r="U29" s="34" t="str">
        <f aca="false">IF($R29="","",IFERROR(INDEX(DriverRank,MATCH($R29,DriverList,0)),99))</f>
        <v/>
      </c>
      <c r="V29" s="35" t="n">
        <f aca="false">IF($H29="",0,IFERROR(INDEX(LevelBasic,MATCH($H29,LevelList,0))+INDEX(LevelHousing,MATCH($H29,LevelList,0))+INDEX(LevelTransport,MATCH($H29,LevelList,0))+INDEX(LevelBasic,MATCH($H29,LevelList,0))*INDEX(LevelBonus,MATCH($H29,LevelList,0))+(INDEX(LevelBasic,MATCH($H29,LevelList,0))+INDEX(LevelHousing,MATCH($H29,LevelList,0)))*GosiSaudi,0))</f>
        <v>0</v>
      </c>
      <c r="W29" s="35" t="n">
        <f aca="false">IFERROR(INDEX(LevelOneOff,MATCH($H29,LevelList,0)),0)</f>
        <v>0</v>
      </c>
      <c r="X29" s="35" t="str">
        <f aca="false">IF($G29="","",$V29*N($L29))</f>
        <v/>
      </c>
      <c r="Y29" s="35" t="str">
        <f aca="false">IF($G29="","",$V29*(N($M29)*1+N($N29)*0.75+N($O29)*0.5+N($P29)*0.25)+$W29*N($L29))</f>
        <v/>
      </c>
      <c r="Z29" s="35" t="str">
        <f aca="false">IF($G29="","",$U29*1000000+ROW())</f>
        <v/>
      </c>
      <c r="AA29" s="36" t="str">
        <f aca="false">IF($G29="","",MID(IF($C29="",", no division","")&amp;IF($E29="",", no unit","")&amp;IF($H29="",", no career level","")&amp;IF(N($L29)&lt;=0,", no quarter split","")&amp;IF($R29="",", no driver","")&amp;IF(AND($H29&lt;&gt;"",COUNTIF(CareerLevels,$H29)=0),", a career level that is not on the ladder","")&amp;IF(AND($R29&lt;&gt;"",COUNTIF(DriverList,$R29)=0),", a driver that is not on the list","")&amp;IF(ABS(N($L29)-(N($M29)+N($N29)+N($O29)+N($P29)))&gt;0.001,", a total that does not match its quarters",""),3,300))</f>
        <v/>
      </c>
    </row>
    <row r="30" customFormat="false" ht="15" hidden="false" customHeight="false" outlineLevel="0" collapsed="false">
      <c r="A30" s="33" t="str">
        <f aca="false">IF($G30="","","CEO Office")</f>
        <v/>
      </c>
      <c r="B30" s="19"/>
      <c r="C30" s="19"/>
      <c r="D30" s="19"/>
      <c r="E30" s="19"/>
      <c r="F30" s="19"/>
      <c r="G30" s="19"/>
      <c r="H30" s="19"/>
      <c r="I30" s="19"/>
      <c r="J30" s="19"/>
      <c r="K30" s="19"/>
      <c r="L30" s="19"/>
      <c r="M30" s="19"/>
      <c r="N30" s="19"/>
      <c r="O30" s="19"/>
      <c r="P30" s="19"/>
      <c r="Q30" s="19"/>
      <c r="R30" s="19"/>
      <c r="S30" s="19"/>
      <c r="T30" s="34" t="str">
        <f aca="false">IF($R30="","",IFERROR(INDEX(DriverCategory,MATCH($R30,DriverList,0)),"BAU"))</f>
        <v/>
      </c>
      <c r="U30" s="34" t="str">
        <f aca="false">IF($R30="","",IFERROR(INDEX(DriverRank,MATCH($R30,DriverList,0)),99))</f>
        <v/>
      </c>
      <c r="V30" s="35" t="n">
        <f aca="false">IF($H30="",0,IFERROR(INDEX(LevelBasic,MATCH($H30,LevelList,0))+INDEX(LevelHousing,MATCH($H30,LevelList,0))+INDEX(LevelTransport,MATCH($H30,LevelList,0))+INDEX(LevelBasic,MATCH($H30,LevelList,0))*INDEX(LevelBonus,MATCH($H30,LevelList,0))+(INDEX(LevelBasic,MATCH($H30,LevelList,0))+INDEX(LevelHousing,MATCH($H30,LevelList,0)))*GosiSaudi,0))</f>
        <v>0</v>
      </c>
      <c r="W30" s="35" t="n">
        <f aca="false">IFERROR(INDEX(LevelOneOff,MATCH($H30,LevelList,0)),0)</f>
        <v>0</v>
      </c>
      <c r="X30" s="35" t="str">
        <f aca="false">IF($G30="","",$V30*N($L30))</f>
        <v/>
      </c>
      <c r="Y30" s="35" t="str">
        <f aca="false">IF($G30="","",$V30*(N($M30)*1+N($N30)*0.75+N($O30)*0.5+N($P30)*0.25)+$W30*N($L30))</f>
        <v/>
      </c>
      <c r="Z30" s="35" t="str">
        <f aca="false">IF($G30="","",$U30*1000000+ROW())</f>
        <v/>
      </c>
      <c r="AA30" s="36" t="str">
        <f aca="false">IF($G30="","",MID(IF($C30="",", no division","")&amp;IF($E30="",", no unit","")&amp;IF($H30="",", no career level","")&amp;IF(N($L30)&lt;=0,", no quarter split","")&amp;IF($R30="",", no driver","")&amp;IF(AND($H30&lt;&gt;"",COUNTIF(CareerLevels,$H30)=0),", a career level that is not on the ladder","")&amp;IF(AND($R30&lt;&gt;"",COUNTIF(DriverList,$R30)=0),", a driver that is not on the list","")&amp;IF(ABS(N($L30)-(N($M30)+N($N30)+N($O30)+N($P30)))&gt;0.001,", a total that does not match its quarters",""),3,300))</f>
        <v/>
      </c>
    </row>
    <row r="31" customFormat="false" ht="15" hidden="false" customHeight="false" outlineLevel="0" collapsed="false">
      <c r="A31" s="33" t="str">
        <f aca="false">IF($G31="","","CEO Office")</f>
        <v/>
      </c>
      <c r="B31" s="19"/>
      <c r="C31" s="19"/>
      <c r="D31" s="19"/>
      <c r="E31" s="19"/>
      <c r="F31" s="19"/>
      <c r="G31" s="19"/>
      <c r="H31" s="19"/>
      <c r="I31" s="19"/>
      <c r="J31" s="19"/>
      <c r="K31" s="19"/>
      <c r="L31" s="19"/>
      <c r="M31" s="19"/>
      <c r="N31" s="19"/>
      <c r="O31" s="19"/>
      <c r="P31" s="19"/>
      <c r="Q31" s="19"/>
      <c r="R31" s="19"/>
      <c r="S31" s="19"/>
      <c r="T31" s="34" t="str">
        <f aca="false">IF($R31="","",IFERROR(INDEX(DriverCategory,MATCH($R31,DriverList,0)),"BAU"))</f>
        <v/>
      </c>
      <c r="U31" s="34" t="str">
        <f aca="false">IF($R31="","",IFERROR(INDEX(DriverRank,MATCH($R31,DriverList,0)),99))</f>
        <v/>
      </c>
      <c r="V31" s="35" t="n">
        <f aca="false">IF($H31="",0,IFERROR(INDEX(LevelBasic,MATCH($H31,LevelList,0))+INDEX(LevelHousing,MATCH($H31,LevelList,0))+INDEX(LevelTransport,MATCH($H31,LevelList,0))+INDEX(LevelBasic,MATCH($H31,LevelList,0))*INDEX(LevelBonus,MATCH($H31,LevelList,0))+(INDEX(LevelBasic,MATCH($H31,LevelList,0))+INDEX(LevelHousing,MATCH($H31,LevelList,0)))*GosiSaudi,0))</f>
        <v>0</v>
      </c>
      <c r="W31" s="35" t="n">
        <f aca="false">IFERROR(INDEX(LevelOneOff,MATCH($H31,LevelList,0)),0)</f>
        <v>0</v>
      </c>
      <c r="X31" s="35" t="str">
        <f aca="false">IF($G31="","",$V31*N($L31))</f>
        <v/>
      </c>
      <c r="Y31" s="35" t="str">
        <f aca="false">IF($G31="","",$V31*(N($M31)*1+N($N31)*0.75+N($O31)*0.5+N($P31)*0.25)+$W31*N($L31))</f>
        <v/>
      </c>
      <c r="Z31" s="35" t="str">
        <f aca="false">IF($G31="","",$U31*1000000+ROW())</f>
        <v/>
      </c>
      <c r="AA31" s="36" t="str">
        <f aca="false">IF($G31="","",MID(IF($C31="",", no division","")&amp;IF($E31="",", no unit","")&amp;IF($H31="",", no career level","")&amp;IF(N($L31)&lt;=0,", no quarter split","")&amp;IF($R31="",", no driver","")&amp;IF(AND($H31&lt;&gt;"",COUNTIF(CareerLevels,$H31)=0),", a career level that is not on the ladder","")&amp;IF(AND($R31&lt;&gt;"",COUNTIF(DriverList,$R31)=0),", a driver that is not on the list","")&amp;IF(ABS(N($L31)-(N($M31)+N($N31)+N($O31)+N($P31)))&gt;0.001,", a total that does not match its quarters",""),3,300))</f>
        <v/>
      </c>
    </row>
    <row r="32" customFormat="false" ht="15" hidden="false" customHeight="false" outlineLevel="0" collapsed="false">
      <c r="A32" s="33" t="str">
        <f aca="false">IF($G32="","","CEO Office")</f>
        <v/>
      </c>
      <c r="B32" s="19"/>
      <c r="C32" s="19"/>
      <c r="D32" s="19"/>
      <c r="E32" s="19"/>
      <c r="F32" s="19"/>
      <c r="G32" s="19"/>
      <c r="H32" s="19"/>
      <c r="I32" s="19"/>
      <c r="J32" s="19"/>
      <c r="K32" s="19"/>
      <c r="L32" s="19"/>
      <c r="M32" s="19"/>
      <c r="N32" s="19"/>
      <c r="O32" s="19"/>
      <c r="P32" s="19"/>
      <c r="Q32" s="19"/>
      <c r="R32" s="19"/>
      <c r="S32" s="19"/>
      <c r="T32" s="34" t="str">
        <f aca="false">IF($R32="","",IFERROR(INDEX(DriverCategory,MATCH($R32,DriverList,0)),"BAU"))</f>
        <v/>
      </c>
      <c r="U32" s="34" t="str">
        <f aca="false">IF($R32="","",IFERROR(INDEX(DriverRank,MATCH($R32,DriverList,0)),99))</f>
        <v/>
      </c>
      <c r="V32" s="35" t="n">
        <f aca="false">IF($H32="",0,IFERROR(INDEX(LevelBasic,MATCH($H32,LevelList,0))+INDEX(LevelHousing,MATCH($H32,LevelList,0))+INDEX(LevelTransport,MATCH($H32,LevelList,0))+INDEX(LevelBasic,MATCH($H32,LevelList,0))*INDEX(LevelBonus,MATCH($H32,LevelList,0))+(INDEX(LevelBasic,MATCH($H32,LevelList,0))+INDEX(LevelHousing,MATCH($H32,LevelList,0)))*GosiSaudi,0))</f>
        <v>0</v>
      </c>
      <c r="W32" s="35" t="n">
        <f aca="false">IFERROR(INDEX(LevelOneOff,MATCH($H32,LevelList,0)),0)</f>
        <v>0</v>
      </c>
      <c r="X32" s="35" t="str">
        <f aca="false">IF($G32="","",$V32*N($L32))</f>
        <v/>
      </c>
      <c r="Y32" s="35" t="str">
        <f aca="false">IF($G32="","",$V32*(N($M32)*1+N($N32)*0.75+N($O32)*0.5+N($P32)*0.25)+$W32*N($L32))</f>
        <v/>
      </c>
      <c r="Z32" s="35" t="str">
        <f aca="false">IF($G32="","",$U32*1000000+ROW())</f>
        <v/>
      </c>
      <c r="AA32" s="36" t="str">
        <f aca="false">IF($G32="","",MID(IF($C32="",", no division","")&amp;IF($E32="",", no unit","")&amp;IF($H32="",", no career level","")&amp;IF(N($L32)&lt;=0,", no quarter split","")&amp;IF($R32="",", no driver","")&amp;IF(AND($H32&lt;&gt;"",COUNTIF(CareerLevels,$H32)=0),", a career level that is not on the ladder","")&amp;IF(AND($R32&lt;&gt;"",COUNTIF(DriverList,$R32)=0),", a driver that is not on the list","")&amp;IF(ABS(N($L32)-(N($M32)+N($N32)+N($O32)+N($P32)))&gt;0.001,", a total that does not match its quarters",""),3,300))</f>
        <v/>
      </c>
    </row>
    <row r="33" customFormat="false" ht="15" hidden="false" customHeight="false" outlineLevel="0" collapsed="false">
      <c r="A33" s="33" t="str">
        <f aca="false">IF($G33="","","CEO Office")</f>
        <v/>
      </c>
      <c r="B33" s="19"/>
      <c r="C33" s="19"/>
      <c r="D33" s="19"/>
      <c r="E33" s="19"/>
      <c r="F33" s="19"/>
      <c r="G33" s="19"/>
      <c r="H33" s="19"/>
      <c r="I33" s="19"/>
      <c r="J33" s="19"/>
      <c r="K33" s="19"/>
      <c r="L33" s="19"/>
      <c r="M33" s="19"/>
      <c r="N33" s="19"/>
      <c r="O33" s="19"/>
      <c r="P33" s="19"/>
      <c r="Q33" s="19"/>
      <c r="R33" s="19"/>
      <c r="S33" s="19"/>
      <c r="T33" s="34" t="str">
        <f aca="false">IF($R33="","",IFERROR(INDEX(DriverCategory,MATCH($R33,DriverList,0)),"BAU"))</f>
        <v/>
      </c>
      <c r="U33" s="34" t="str">
        <f aca="false">IF($R33="","",IFERROR(INDEX(DriverRank,MATCH($R33,DriverList,0)),99))</f>
        <v/>
      </c>
      <c r="V33" s="35" t="n">
        <f aca="false">IF($H33="",0,IFERROR(INDEX(LevelBasic,MATCH($H33,LevelList,0))+INDEX(LevelHousing,MATCH($H33,LevelList,0))+INDEX(LevelTransport,MATCH($H33,LevelList,0))+INDEX(LevelBasic,MATCH($H33,LevelList,0))*INDEX(LevelBonus,MATCH($H33,LevelList,0))+(INDEX(LevelBasic,MATCH($H33,LevelList,0))+INDEX(LevelHousing,MATCH($H33,LevelList,0)))*GosiSaudi,0))</f>
        <v>0</v>
      </c>
      <c r="W33" s="35" t="n">
        <f aca="false">IFERROR(INDEX(LevelOneOff,MATCH($H33,LevelList,0)),0)</f>
        <v>0</v>
      </c>
      <c r="X33" s="35" t="str">
        <f aca="false">IF($G33="","",$V33*N($L33))</f>
        <v/>
      </c>
      <c r="Y33" s="35" t="str">
        <f aca="false">IF($G33="","",$V33*(N($M33)*1+N($N33)*0.75+N($O33)*0.5+N($P33)*0.25)+$W33*N($L33))</f>
        <v/>
      </c>
      <c r="Z33" s="35" t="str">
        <f aca="false">IF($G33="","",$U33*1000000+ROW())</f>
        <v/>
      </c>
      <c r="AA33" s="36" t="str">
        <f aca="false">IF($G33="","",MID(IF($C33="",", no division","")&amp;IF($E33="",", no unit","")&amp;IF($H33="",", no career level","")&amp;IF(N($L33)&lt;=0,", no quarter split","")&amp;IF($R33="",", no driver","")&amp;IF(AND($H33&lt;&gt;"",COUNTIF(CareerLevels,$H33)=0),", a career level that is not on the ladder","")&amp;IF(AND($R33&lt;&gt;"",COUNTIF(DriverList,$R33)=0),", a driver that is not on the list","")&amp;IF(ABS(N($L33)-(N($M33)+N($N33)+N($O33)+N($P33)))&gt;0.001,", a total that does not match its quarters",""),3,300))</f>
        <v/>
      </c>
    </row>
    <row r="34" customFormat="false" ht="15" hidden="false" customHeight="false" outlineLevel="0" collapsed="false">
      <c r="A34" s="33" t="str">
        <f aca="false">IF($G34="","","CEO Office")</f>
        <v/>
      </c>
      <c r="B34" s="19"/>
      <c r="C34" s="19"/>
      <c r="D34" s="19"/>
      <c r="E34" s="19"/>
      <c r="F34" s="19"/>
      <c r="G34" s="19"/>
      <c r="H34" s="19"/>
      <c r="I34" s="19"/>
      <c r="J34" s="19"/>
      <c r="K34" s="19"/>
      <c r="L34" s="19"/>
      <c r="M34" s="19"/>
      <c r="N34" s="19"/>
      <c r="O34" s="19"/>
      <c r="P34" s="19"/>
      <c r="Q34" s="19"/>
      <c r="R34" s="19"/>
      <c r="S34" s="19"/>
      <c r="T34" s="34" t="str">
        <f aca="false">IF($R34="","",IFERROR(INDEX(DriverCategory,MATCH($R34,DriverList,0)),"BAU"))</f>
        <v/>
      </c>
      <c r="U34" s="34" t="str">
        <f aca="false">IF($R34="","",IFERROR(INDEX(DriverRank,MATCH($R34,DriverList,0)),99))</f>
        <v/>
      </c>
      <c r="V34" s="35" t="n">
        <f aca="false">IF($H34="",0,IFERROR(INDEX(LevelBasic,MATCH($H34,LevelList,0))+INDEX(LevelHousing,MATCH($H34,LevelList,0))+INDEX(LevelTransport,MATCH($H34,LevelList,0))+INDEX(LevelBasic,MATCH($H34,LevelList,0))*INDEX(LevelBonus,MATCH($H34,LevelList,0))+(INDEX(LevelBasic,MATCH($H34,LevelList,0))+INDEX(LevelHousing,MATCH($H34,LevelList,0)))*GosiSaudi,0))</f>
        <v>0</v>
      </c>
      <c r="W34" s="35" t="n">
        <f aca="false">IFERROR(INDEX(LevelOneOff,MATCH($H34,LevelList,0)),0)</f>
        <v>0</v>
      </c>
      <c r="X34" s="35" t="str">
        <f aca="false">IF($G34="","",$V34*N($L34))</f>
        <v/>
      </c>
      <c r="Y34" s="35" t="str">
        <f aca="false">IF($G34="","",$V34*(N($M34)*1+N($N34)*0.75+N($O34)*0.5+N($P34)*0.25)+$W34*N($L34))</f>
        <v/>
      </c>
      <c r="Z34" s="35" t="str">
        <f aca="false">IF($G34="","",$U34*1000000+ROW())</f>
        <v/>
      </c>
      <c r="AA34" s="36" t="str">
        <f aca="false">IF($G34="","",MID(IF($C34="",", no division","")&amp;IF($E34="",", no unit","")&amp;IF($H34="",", no career level","")&amp;IF(N($L34)&lt;=0,", no quarter split","")&amp;IF($R34="",", no driver","")&amp;IF(AND($H34&lt;&gt;"",COUNTIF(CareerLevels,$H34)=0),", a career level that is not on the ladder","")&amp;IF(AND($R34&lt;&gt;"",COUNTIF(DriverList,$R34)=0),", a driver that is not on the list","")&amp;IF(ABS(N($L34)-(N($M34)+N($N34)+N($O34)+N($P34)))&gt;0.001,", a total that does not match its quarters",""),3,300))</f>
        <v/>
      </c>
    </row>
    <row r="35" customFormat="false" ht="15" hidden="false" customHeight="false" outlineLevel="0" collapsed="false">
      <c r="A35" s="33" t="str">
        <f aca="false">IF($G35="","","CEO Office")</f>
        <v/>
      </c>
      <c r="B35" s="19"/>
      <c r="C35" s="19"/>
      <c r="D35" s="19"/>
      <c r="E35" s="19"/>
      <c r="F35" s="19"/>
      <c r="G35" s="19"/>
      <c r="H35" s="19"/>
      <c r="I35" s="19"/>
      <c r="J35" s="19"/>
      <c r="K35" s="19"/>
      <c r="L35" s="19"/>
      <c r="M35" s="19"/>
      <c r="N35" s="19"/>
      <c r="O35" s="19"/>
      <c r="P35" s="19"/>
      <c r="Q35" s="19"/>
      <c r="R35" s="19"/>
      <c r="S35" s="19"/>
      <c r="T35" s="34" t="str">
        <f aca="false">IF($R35="","",IFERROR(INDEX(DriverCategory,MATCH($R35,DriverList,0)),"BAU"))</f>
        <v/>
      </c>
      <c r="U35" s="34" t="str">
        <f aca="false">IF($R35="","",IFERROR(INDEX(DriverRank,MATCH($R35,DriverList,0)),99))</f>
        <v/>
      </c>
      <c r="V35" s="35" t="n">
        <f aca="false">IF($H35="",0,IFERROR(INDEX(LevelBasic,MATCH($H35,LevelList,0))+INDEX(LevelHousing,MATCH($H35,LevelList,0))+INDEX(LevelTransport,MATCH($H35,LevelList,0))+INDEX(LevelBasic,MATCH($H35,LevelList,0))*INDEX(LevelBonus,MATCH($H35,LevelList,0))+(INDEX(LevelBasic,MATCH($H35,LevelList,0))+INDEX(LevelHousing,MATCH($H35,LevelList,0)))*GosiSaudi,0))</f>
        <v>0</v>
      </c>
      <c r="W35" s="35" t="n">
        <f aca="false">IFERROR(INDEX(LevelOneOff,MATCH($H35,LevelList,0)),0)</f>
        <v>0</v>
      </c>
      <c r="X35" s="35" t="str">
        <f aca="false">IF($G35="","",$V35*N($L35))</f>
        <v/>
      </c>
      <c r="Y35" s="35" t="str">
        <f aca="false">IF($G35="","",$V35*(N($M35)*1+N($N35)*0.75+N($O35)*0.5+N($P35)*0.25)+$W35*N($L35))</f>
        <v/>
      </c>
      <c r="Z35" s="35" t="str">
        <f aca="false">IF($G35="","",$U35*1000000+ROW())</f>
        <v/>
      </c>
      <c r="AA35" s="36" t="str">
        <f aca="false">IF($G35="","",MID(IF($C35="",", no division","")&amp;IF($E35="",", no unit","")&amp;IF($H35="",", no career level","")&amp;IF(N($L35)&lt;=0,", no quarter split","")&amp;IF($R35="",", no driver","")&amp;IF(AND($H35&lt;&gt;"",COUNTIF(CareerLevels,$H35)=0),", a career level that is not on the ladder","")&amp;IF(AND($R35&lt;&gt;"",COUNTIF(DriverList,$R35)=0),", a driver that is not on the list","")&amp;IF(ABS(N($L35)-(N($M35)+N($N35)+N($O35)+N($P35)))&gt;0.001,", a total that does not match its quarters",""),3,300))</f>
        <v/>
      </c>
    </row>
    <row r="36" customFormat="false" ht="15" hidden="false" customHeight="false" outlineLevel="0" collapsed="false">
      <c r="A36" s="33" t="str">
        <f aca="false">IF($G36="","","CEO Office")</f>
        <v/>
      </c>
      <c r="B36" s="19"/>
      <c r="C36" s="19"/>
      <c r="D36" s="19"/>
      <c r="E36" s="19"/>
      <c r="F36" s="19"/>
      <c r="G36" s="19"/>
      <c r="H36" s="19"/>
      <c r="I36" s="19"/>
      <c r="J36" s="19"/>
      <c r="K36" s="19"/>
      <c r="L36" s="19"/>
      <c r="M36" s="19"/>
      <c r="N36" s="19"/>
      <c r="O36" s="19"/>
      <c r="P36" s="19"/>
      <c r="Q36" s="19"/>
      <c r="R36" s="19"/>
      <c r="S36" s="19"/>
      <c r="T36" s="34" t="str">
        <f aca="false">IF($R36="","",IFERROR(INDEX(DriverCategory,MATCH($R36,DriverList,0)),"BAU"))</f>
        <v/>
      </c>
      <c r="U36" s="34" t="str">
        <f aca="false">IF($R36="","",IFERROR(INDEX(DriverRank,MATCH($R36,DriverList,0)),99))</f>
        <v/>
      </c>
      <c r="V36" s="35" t="n">
        <f aca="false">IF($H36="",0,IFERROR(INDEX(LevelBasic,MATCH($H36,LevelList,0))+INDEX(LevelHousing,MATCH($H36,LevelList,0))+INDEX(LevelTransport,MATCH($H36,LevelList,0))+INDEX(LevelBasic,MATCH($H36,LevelList,0))*INDEX(LevelBonus,MATCH($H36,LevelList,0))+(INDEX(LevelBasic,MATCH($H36,LevelList,0))+INDEX(LevelHousing,MATCH($H36,LevelList,0)))*GosiSaudi,0))</f>
        <v>0</v>
      </c>
      <c r="W36" s="35" t="n">
        <f aca="false">IFERROR(INDEX(LevelOneOff,MATCH($H36,LevelList,0)),0)</f>
        <v>0</v>
      </c>
      <c r="X36" s="35" t="str">
        <f aca="false">IF($G36="","",$V36*N($L36))</f>
        <v/>
      </c>
      <c r="Y36" s="35" t="str">
        <f aca="false">IF($G36="","",$V36*(N($M36)*1+N($N36)*0.75+N($O36)*0.5+N($P36)*0.25)+$W36*N($L36))</f>
        <v/>
      </c>
      <c r="Z36" s="35" t="str">
        <f aca="false">IF($G36="","",$U36*1000000+ROW())</f>
        <v/>
      </c>
      <c r="AA36" s="36" t="str">
        <f aca="false">IF($G36="","",MID(IF($C36="",", no division","")&amp;IF($E36="",", no unit","")&amp;IF($H36="",", no career level","")&amp;IF(N($L36)&lt;=0,", no quarter split","")&amp;IF($R36="",", no driver","")&amp;IF(AND($H36&lt;&gt;"",COUNTIF(CareerLevels,$H36)=0),", a career level that is not on the ladder","")&amp;IF(AND($R36&lt;&gt;"",COUNTIF(DriverList,$R36)=0),", a driver that is not on the list","")&amp;IF(ABS(N($L36)-(N($M36)+N($N36)+N($O36)+N($P36)))&gt;0.001,", a total that does not match its quarters",""),3,300))</f>
        <v/>
      </c>
    </row>
    <row r="37" customFormat="false" ht="15" hidden="false" customHeight="false" outlineLevel="0" collapsed="false">
      <c r="A37" s="33" t="str">
        <f aca="false">IF($G37="","","CEO Office")</f>
        <v/>
      </c>
      <c r="B37" s="19"/>
      <c r="C37" s="19"/>
      <c r="D37" s="19"/>
      <c r="E37" s="19"/>
      <c r="F37" s="19"/>
      <c r="G37" s="19"/>
      <c r="H37" s="19"/>
      <c r="I37" s="19"/>
      <c r="J37" s="19"/>
      <c r="K37" s="19"/>
      <c r="L37" s="19"/>
      <c r="M37" s="19"/>
      <c r="N37" s="19"/>
      <c r="O37" s="19"/>
      <c r="P37" s="19"/>
      <c r="Q37" s="19"/>
      <c r="R37" s="19"/>
      <c r="S37" s="19"/>
      <c r="T37" s="34" t="str">
        <f aca="false">IF($R37="","",IFERROR(INDEX(DriverCategory,MATCH($R37,DriverList,0)),"BAU"))</f>
        <v/>
      </c>
      <c r="U37" s="34" t="str">
        <f aca="false">IF($R37="","",IFERROR(INDEX(DriverRank,MATCH($R37,DriverList,0)),99))</f>
        <v/>
      </c>
      <c r="V37" s="35" t="n">
        <f aca="false">IF($H37="",0,IFERROR(INDEX(LevelBasic,MATCH($H37,LevelList,0))+INDEX(LevelHousing,MATCH($H37,LevelList,0))+INDEX(LevelTransport,MATCH($H37,LevelList,0))+INDEX(LevelBasic,MATCH($H37,LevelList,0))*INDEX(LevelBonus,MATCH($H37,LevelList,0))+(INDEX(LevelBasic,MATCH($H37,LevelList,0))+INDEX(LevelHousing,MATCH($H37,LevelList,0)))*GosiSaudi,0))</f>
        <v>0</v>
      </c>
      <c r="W37" s="35" t="n">
        <f aca="false">IFERROR(INDEX(LevelOneOff,MATCH($H37,LevelList,0)),0)</f>
        <v>0</v>
      </c>
      <c r="X37" s="35" t="str">
        <f aca="false">IF($G37="","",$V37*N($L37))</f>
        <v/>
      </c>
      <c r="Y37" s="35" t="str">
        <f aca="false">IF($G37="","",$V37*(N($M37)*1+N($N37)*0.75+N($O37)*0.5+N($P37)*0.25)+$W37*N($L37))</f>
        <v/>
      </c>
      <c r="Z37" s="35" t="str">
        <f aca="false">IF($G37="","",$U37*1000000+ROW())</f>
        <v/>
      </c>
      <c r="AA37" s="36" t="str">
        <f aca="false">IF($G37="","",MID(IF($C37="",", no division","")&amp;IF($E37="",", no unit","")&amp;IF($H37="",", no career level","")&amp;IF(N($L37)&lt;=0,", no quarter split","")&amp;IF($R37="",", no driver","")&amp;IF(AND($H37&lt;&gt;"",COUNTIF(CareerLevels,$H37)=0),", a career level that is not on the ladder","")&amp;IF(AND($R37&lt;&gt;"",COUNTIF(DriverList,$R37)=0),", a driver that is not on the list","")&amp;IF(ABS(N($L37)-(N($M37)+N($N37)+N($O37)+N($P37)))&gt;0.001,", a total that does not match its quarters",""),3,300))</f>
        <v/>
      </c>
    </row>
    <row r="38" customFormat="false" ht="15" hidden="false" customHeight="false" outlineLevel="0" collapsed="false">
      <c r="A38" s="33" t="str">
        <f aca="false">IF($G38="","","CEO Office")</f>
        <v/>
      </c>
      <c r="B38" s="19"/>
      <c r="C38" s="19"/>
      <c r="D38" s="19"/>
      <c r="E38" s="19"/>
      <c r="F38" s="19"/>
      <c r="G38" s="19"/>
      <c r="H38" s="19"/>
      <c r="I38" s="19"/>
      <c r="J38" s="19"/>
      <c r="K38" s="19"/>
      <c r="L38" s="19"/>
      <c r="M38" s="19"/>
      <c r="N38" s="19"/>
      <c r="O38" s="19"/>
      <c r="P38" s="19"/>
      <c r="Q38" s="19"/>
      <c r="R38" s="19"/>
      <c r="S38" s="19"/>
      <c r="T38" s="34" t="str">
        <f aca="false">IF($R38="","",IFERROR(INDEX(DriverCategory,MATCH($R38,DriverList,0)),"BAU"))</f>
        <v/>
      </c>
      <c r="U38" s="34" t="str">
        <f aca="false">IF($R38="","",IFERROR(INDEX(DriverRank,MATCH($R38,DriverList,0)),99))</f>
        <v/>
      </c>
      <c r="V38" s="35" t="n">
        <f aca="false">IF($H38="",0,IFERROR(INDEX(LevelBasic,MATCH($H38,LevelList,0))+INDEX(LevelHousing,MATCH($H38,LevelList,0))+INDEX(LevelTransport,MATCH($H38,LevelList,0))+INDEX(LevelBasic,MATCH($H38,LevelList,0))*INDEX(LevelBonus,MATCH($H38,LevelList,0))+(INDEX(LevelBasic,MATCH($H38,LevelList,0))+INDEX(LevelHousing,MATCH($H38,LevelList,0)))*GosiSaudi,0))</f>
        <v>0</v>
      </c>
      <c r="W38" s="35" t="n">
        <f aca="false">IFERROR(INDEX(LevelOneOff,MATCH($H38,LevelList,0)),0)</f>
        <v>0</v>
      </c>
      <c r="X38" s="35" t="str">
        <f aca="false">IF($G38="","",$V38*N($L38))</f>
        <v/>
      </c>
      <c r="Y38" s="35" t="str">
        <f aca="false">IF($G38="","",$V38*(N($M38)*1+N($N38)*0.75+N($O38)*0.5+N($P38)*0.25)+$W38*N($L38))</f>
        <v/>
      </c>
      <c r="Z38" s="35" t="str">
        <f aca="false">IF($G38="","",$U38*1000000+ROW())</f>
        <v/>
      </c>
      <c r="AA38" s="36" t="str">
        <f aca="false">IF($G38="","",MID(IF($C38="",", no division","")&amp;IF($E38="",", no unit","")&amp;IF($H38="",", no career level","")&amp;IF(N($L38)&lt;=0,", no quarter split","")&amp;IF($R38="",", no driver","")&amp;IF(AND($H38&lt;&gt;"",COUNTIF(CareerLevels,$H38)=0),", a career level that is not on the ladder","")&amp;IF(AND($R38&lt;&gt;"",COUNTIF(DriverList,$R38)=0),", a driver that is not on the list","")&amp;IF(ABS(N($L38)-(N($M38)+N($N38)+N($O38)+N($P38)))&gt;0.001,", a total that does not match its quarters",""),3,300))</f>
        <v/>
      </c>
    </row>
    <row r="39" customFormat="false" ht="15" hidden="false" customHeight="false" outlineLevel="0" collapsed="false">
      <c r="A39" s="33" t="str">
        <f aca="false">IF($G39="","","CEO Office")</f>
        <v/>
      </c>
      <c r="B39" s="19"/>
      <c r="C39" s="19"/>
      <c r="D39" s="19"/>
      <c r="E39" s="19"/>
      <c r="F39" s="19"/>
      <c r="G39" s="19"/>
      <c r="H39" s="19"/>
      <c r="I39" s="19"/>
      <c r="J39" s="19"/>
      <c r="K39" s="19"/>
      <c r="L39" s="19"/>
      <c r="M39" s="19"/>
      <c r="N39" s="19"/>
      <c r="O39" s="19"/>
      <c r="P39" s="19"/>
      <c r="Q39" s="19"/>
      <c r="R39" s="19"/>
      <c r="S39" s="19"/>
      <c r="T39" s="34" t="str">
        <f aca="false">IF($R39="","",IFERROR(INDEX(DriverCategory,MATCH($R39,DriverList,0)),"BAU"))</f>
        <v/>
      </c>
      <c r="U39" s="34" t="str">
        <f aca="false">IF($R39="","",IFERROR(INDEX(DriverRank,MATCH($R39,DriverList,0)),99))</f>
        <v/>
      </c>
      <c r="V39" s="35" t="n">
        <f aca="false">IF($H39="",0,IFERROR(INDEX(LevelBasic,MATCH($H39,LevelList,0))+INDEX(LevelHousing,MATCH($H39,LevelList,0))+INDEX(LevelTransport,MATCH($H39,LevelList,0))+INDEX(LevelBasic,MATCH($H39,LevelList,0))*INDEX(LevelBonus,MATCH($H39,LevelList,0))+(INDEX(LevelBasic,MATCH($H39,LevelList,0))+INDEX(LevelHousing,MATCH($H39,LevelList,0)))*GosiSaudi,0))</f>
        <v>0</v>
      </c>
      <c r="W39" s="35" t="n">
        <f aca="false">IFERROR(INDEX(LevelOneOff,MATCH($H39,LevelList,0)),0)</f>
        <v>0</v>
      </c>
      <c r="X39" s="35" t="str">
        <f aca="false">IF($G39="","",$V39*N($L39))</f>
        <v/>
      </c>
      <c r="Y39" s="35" t="str">
        <f aca="false">IF($G39="","",$V39*(N($M39)*1+N($N39)*0.75+N($O39)*0.5+N($P39)*0.25)+$W39*N($L39))</f>
        <v/>
      </c>
      <c r="Z39" s="35" t="str">
        <f aca="false">IF($G39="","",$U39*1000000+ROW())</f>
        <v/>
      </c>
      <c r="AA39" s="36" t="str">
        <f aca="false">IF($G39="","",MID(IF($C39="",", no division","")&amp;IF($E39="",", no unit","")&amp;IF($H39="",", no career level","")&amp;IF(N($L39)&lt;=0,", no quarter split","")&amp;IF($R39="",", no driver","")&amp;IF(AND($H39&lt;&gt;"",COUNTIF(CareerLevels,$H39)=0),", a career level that is not on the ladder","")&amp;IF(AND($R39&lt;&gt;"",COUNTIF(DriverList,$R39)=0),", a driver that is not on the list","")&amp;IF(ABS(N($L39)-(N($M39)+N($N39)+N($O39)+N($P39)))&gt;0.001,", a total that does not match its quarters",""),3,300))</f>
        <v/>
      </c>
    </row>
    <row r="40" customFormat="false" ht="15" hidden="false" customHeight="false" outlineLevel="0" collapsed="false">
      <c r="A40" s="33" t="str">
        <f aca="false">IF($G40="","","CEO Office")</f>
        <v/>
      </c>
      <c r="B40" s="19"/>
      <c r="C40" s="19"/>
      <c r="D40" s="19"/>
      <c r="E40" s="19"/>
      <c r="F40" s="19"/>
      <c r="G40" s="19"/>
      <c r="H40" s="19"/>
      <c r="I40" s="19"/>
      <c r="J40" s="19"/>
      <c r="K40" s="19"/>
      <c r="L40" s="19"/>
      <c r="M40" s="19"/>
      <c r="N40" s="19"/>
      <c r="O40" s="19"/>
      <c r="P40" s="19"/>
      <c r="Q40" s="19"/>
      <c r="R40" s="19"/>
      <c r="S40" s="19"/>
      <c r="T40" s="34" t="str">
        <f aca="false">IF($R40="","",IFERROR(INDEX(DriverCategory,MATCH($R40,DriverList,0)),"BAU"))</f>
        <v/>
      </c>
      <c r="U40" s="34" t="str">
        <f aca="false">IF($R40="","",IFERROR(INDEX(DriverRank,MATCH($R40,DriverList,0)),99))</f>
        <v/>
      </c>
      <c r="V40" s="35" t="n">
        <f aca="false">IF($H40="",0,IFERROR(INDEX(LevelBasic,MATCH($H40,LevelList,0))+INDEX(LevelHousing,MATCH($H40,LevelList,0))+INDEX(LevelTransport,MATCH($H40,LevelList,0))+INDEX(LevelBasic,MATCH($H40,LevelList,0))*INDEX(LevelBonus,MATCH($H40,LevelList,0))+(INDEX(LevelBasic,MATCH($H40,LevelList,0))+INDEX(LevelHousing,MATCH($H40,LevelList,0)))*GosiSaudi,0))</f>
        <v>0</v>
      </c>
      <c r="W40" s="35" t="n">
        <f aca="false">IFERROR(INDEX(LevelOneOff,MATCH($H40,LevelList,0)),0)</f>
        <v>0</v>
      </c>
      <c r="X40" s="35" t="str">
        <f aca="false">IF($G40="","",$V40*N($L40))</f>
        <v/>
      </c>
      <c r="Y40" s="35" t="str">
        <f aca="false">IF($G40="","",$V40*(N($M40)*1+N($N40)*0.75+N($O40)*0.5+N($P40)*0.25)+$W40*N($L40))</f>
        <v/>
      </c>
      <c r="Z40" s="35" t="str">
        <f aca="false">IF($G40="","",$U40*1000000+ROW())</f>
        <v/>
      </c>
      <c r="AA40" s="36" t="str">
        <f aca="false">IF($G40="","",MID(IF($C40="",", no division","")&amp;IF($E40="",", no unit","")&amp;IF($H40="",", no career level","")&amp;IF(N($L40)&lt;=0,", no quarter split","")&amp;IF($R40="",", no driver","")&amp;IF(AND($H40&lt;&gt;"",COUNTIF(CareerLevels,$H40)=0),", a career level that is not on the ladder","")&amp;IF(AND($R40&lt;&gt;"",COUNTIF(DriverList,$R40)=0),", a driver that is not on the list","")&amp;IF(ABS(N($L40)-(N($M40)+N($N40)+N($O40)+N($P40)))&gt;0.001,", a total that does not match its quarters",""),3,300))</f>
        <v/>
      </c>
    </row>
    <row r="41" customFormat="false" ht="15" hidden="false" customHeight="false" outlineLevel="0" collapsed="false">
      <c r="A41" s="33" t="str">
        <f aca="false">IF($G41="","","CEO Office")</f>
        <v/>
      </c>
      <c r="B41" s="19"/>
      <c r="C41" s="19"/>
      <c r="D41" s="19"/>
      <c r="E41" s="19"/>
      <c r="F41" s="19"/>
      <c r="G41" s="19"/>
      <c r="H41" s="19"/>
      <c r="I41" s="19"/>
      <c r="J41" s="19"/>
      <c r="K41" s="19"/>
      <c r="L41" s="19"/>
      <c r="M41" s="19"/>
      <c r="N41" s="19"/>
      <c r="O41" s="19"/>
      <c r="P41" s="19"/>
      <c r="Q41" s="19"/>
      <c r="R41" s="19"/>
      <c r="S41" s="19"/>
      <c r="T41" s="34" t="str">
        <f aca="false">IF($R41="","",IFERROR(INDEX(DriverCategory,MATCH($R41,DriverList,0)),"BAU"))</f>
        <v/>
      </c>
      <c r="U41" s="34" t="str">
        <f aca="false">IF($R41="","",IFERROR(INDEX(DriverRank,MATCH($R41,DriverList,0)),99))</f>
        <v/>
      </c>
      <c r="V41" s="35" t="n">
        <f aca="false">IF($H41="",0,IFERROR(INDEX(LevelBasic,MATCH($H41,LevelList,0))+INDEX(LevelHousing,MATCH($H41,LevelList,0))+INDEX(LevelTransport,MATCH($H41,LevelList,0))+INDEX(LevelBasic,MATCH($H41,LevelList,0))*INDEX(LevelBonus,MATCH($H41,LevelList,0))+(INDEX(LevelBasic,MATCH($H41,LevelList,0))+INDEX(LevelHousing,MATCH($H41,LevelList,0)))*GosiSaudi,0))</f>
        <v>0</v>
      </c>
      <c r="W41" s="35" t="n">
        <f aca="false">IFERROR(INDEX(LevelOneOff,MATCH($H41,LevelList,0)),0)</f>
        <v>0</v>
      </c>
      <c r="X41" s="35" t="str">
        <f aca="false">IF($G41="","",$V41*N($L41))</f>
        <v/>
      </c>
      <c r="Y41" s="35" t="str">
        <f aca="false">IF($G41="","",$V41*(N($M41)*1+N($N41)*0.75+N($O41)*0.5+N($P41)*0.25)+$W41*N($L41))</f>
        <v/>
      </c>
      <c r="Z41" s="35" t="str">
        <f aca="false">IF($G41="","",$U41*1000000+ROW())</f>
        <v/>
      </c>
      <c r="AA41" s="36" t="str">
        <f aca="false">IF($G41="","",MID(IF($C41="",", no division","")&amp;IF($E41="",", no unit","")&amp;IF($H41="",", no career level","")&amp;IF(N($L41)&lt;=0,", no quarter split","")&amp;IF($R41="",", no driver","")&amp;IF(AND($H41&lt;&gt;"",COUNTIF(CareerLevels,$H41)=0),", a career level that is not on the ladder","")&amp;IF(AND($R41&lt;&gt;"",COUNTIF(DriverList,$R41)=0),", a driver that is not on the list","")&amp;IF(ABS(N($L41)-(N($M41)+N($N41)+N($O41)+N($P41)))&gt;0.001,", a total that does not match its quarters",""),3,300))</f>
        <v/>
      </c>
    </row>
    <row r="42" customFormat="false" ht="15" hidden="false" customHeight="false" outlineLevel="0" collapsed="false">
      <c r="A42" s="33" t="str">
        <f aca="false">IF($G42="","","CEO Office")</f>
        <v/>
      </c>
      <c r="B42" s="19"/>
      <c r="C42" s="19"/>
      <c r="D42" s="19"/>
      <c r="E42" s="19"/>
      <c r="F42" s="19"/>
      <c r="G42" s="19"/>
      <c r="H42" s="19"/>
      <c r="I42" s="19"/>
      <c r="J42" s="19"/>
      <c r="K42" s="19"/>
      <c r="L42" s="19"/>
      <c r="M42" s="19"/>
      <c r="N42" s="19"/>
      <c r="O42" s="19"/>
      <c r="P42" s="19"/>
      <c r="Q42" s="19"/>
      <c r="R42" s="19"/>
      <c r="S42" s="19"/>
      <c r="T42" s="34" t="str">
        <f aca="false">IF($R42="","",IFERROR(INDEX(DriverCategory,MATCH($R42,DriverList,0)),"BAU"))</f>
        <v/>
      </c>
      <c r="U42" s="34" t="str">
        <f aca="false">IF($R42="","",IFERROR(INDEX(DriverRank,MATCH($R42,DriverList,0)),99))</f>
        <v/>
      </c>
      <c r="V42" s="35" t="n">
        <f aca="false">IF($H42="",0,IFERROR(INDEX(LevelBasic,MATCH($H42,LevelList,0))+INDEX(LevelHousing,MATCH($H42,LevelList,0))+INDEX(LevelTransport,MATCH($H42,LevelList,0))+INDEX(LevelBasic,MATCH($H42,LevelList,0))*INDEX(LevelBonus,MATCH($H42,LevelList,0))+(INDEX(LevelBasic,MATCH($H42,LevelList,0))+INDEX(LevelHousing,MATCH($H42,LevelList,0)))*GosiSaudi,0))</f>
        <v>0</v>
      </c>
      <c r="W42" s="35" t="n">
        <f aca="false">IFERROR(INDEX(LevelOneOff,MATCH($H42,LevelList,0)),0)</f>
        <v>0</v>
      </c>
      <c r="X42" s="35" t="str">
        <f aca="false">IF($G42="","",$V42*N($L42))</f>
        <v/>
      </c>
      <c r="Y42" s="35" t="str">
        <f aca="false">IF($G42="","",$V42*(N($M42)*1+N($N42)*0.75+N($O42)*0.5+N($P42)*0.25)+$W42*N($L42))</f>
        <v/>
      </c>
      <c r="Z42" s="35" t="str">
        <f aca="false">IF($G42="","",$U42*1000000+ROW())</f>
        <v/>
      </c>
      <c r="AA42" s="36" t="str">
        <f aca="false">IF($G42="","",MID(IF($C42="",", no division","")&amp;IF($E42="",", no unit","")&amp;IF($H42="",", no career level","")&amp;IF(N($L42)&lt;=0,", no quarter split","")&amp;IF($R42="",", no driver","")&amp;IF(AND($H42&lt;&gt;"",COUNTIF(CareerLevels,$H42)=0),", a career level that is not on the ladder","")&amp;IF(AND($R42&lt;&gt;"",COUNTIF(DriverList,$R42)=0),", a driver that is not on the list","")&amp;IF(ABS(N($L42)-(N($M42)+N($N42)+N($O42)+N($P42)))&gt;0.001,", a total that does not match its quarters",""),3,300))</f>
        <v/>
      </c>
    </row>
    <row r="43" customFormat="false" ht="15" hidden="false" customHeight="false" outlineLevel="0" collapsed="false">
      <c r="A43" s="33" t="str">
        <f aca="false">IF($G43="","","CEO Office")</f>
        <v/>
      </c>
      <c r="B43" s="19"/>
      <c r="C43" s="19"/>
      <c r="D43" s="19"/>
      <c r="E43" s="19"/>
      <c r="F43" s="19"/>
      <c r="G43" s="19"/>
      <c r="H43" s="19"/>
      <c r="I43" s="19"/>
      <c r="J43" s="19"/>
      <c r="K43" s="19"/>
      <c r="L43" s="19"/>
      <c r="M43" s="19"/>
      <c r="N43" s="19"/>
      <c r="O43" s="19"/>
      <c r="P43" s="19"/>
      <c r="Q43" s="19"/>
      <c r="R43" s="19"/>
      <c r="S43" s="19"/>
      <c r="T43" s="34" t="str">
        <f aca="false">IF($R43="","",IFERROR(INDEX(DriverCategory,MATCH($R43,DriverList,0)),"BAU"))</f>
        <v/>
      </c>
      <c r="U43" s="34" t="str">
        <f aca="false">IF($R43="","",IFERROR(INDEX(DriverRank,MATCH($R43,DriverList,0)),99))</f>
        <v/>
      </c>
      <c r="V43" s="35" t="n">
        <f aca="false">IF($H43="",0,IFERROR(INDEX(LevelBasic,MATCH($H43,LevelList,0))+INDEX(LevelHousing,MATCH($H43,LevelList,0))+INDEX(LevelTransport,MATCH($H43,LevelList,0))+INDEX(LevelBasic,MATCH($H43,LevelList,0))*INDEX(LevelBonus,MATCH($H43,LevelList,0))+(INDEX(LevelBasic,MATCH($H43,LevelList,0))+INDEX(LevelHousing,MATCH($H43,LevelList,0)))*GosiSaudi,0))</f>
        <v>0</v>
      </c>
      <c r="W43" s="35" t="n">
        <f aca="false">IFERROR(INDEX(LevelOneOff,MATCH($H43,LevelList,0)),0)</f>
        <v>0</v>
      </c>
      <c r="X43" s="35" t="str">
        <f aca="false">IF($G43="","",$V43*N($L43))</f>
        <v/>
      </c>
      <c r="Y43" s="35" t="str">
        <f aca="false">IF($G43="","",$V43*(N($M43)*1+N($N43)*0.75+N($O43)*0.5+N($P43)*0.25)+$W43*N($L43))</f>
        <v/>
      </c>
      <c r="Z43" s="35" t="str">
        <f aca="false">IF($G43="","",$U43*1000000+ROW())</f>
        <v/>
      </c>
      <c r="AA43" s="36" t="str">
        <f aca="false">IF($G43="","",MID(IF($C43="",", no division","")&amp;IF($E43="",", no unit","")&amp;IF($H43="",", no career level","")&amp;IF(N($L43)&lt;=0,", no quarter split","")&amp;IF($R43="",", no driver","")&amp;IF(AND($H43&lt;&gt;"",COUNTIF(CareerLevels,$H43)=0),", a career level that is not on the ladder","")&amp;IF(AND($R43&lt;&gt;"",COUNTIF(DriverList,$R43)=0),", a driver that is not on the list","")&amp;IF(ABS(N($L43)-(N($M43)+N($N43)+N($O43)+N($P43)))&gt;0.001,", a total that does not match its quarters",""),3,300))</f>
        <v/>
      </c>
    </row>
    <row r="44" customFormat="false" ht="15" hidden="false" customHeight="false" outlineLevel="0" collapsed="false">
      <c r="A44" s="33" t="str">
        <f aca="false">IF($G44="","","CEO Office")</f>
        <v/>
      </c>
      <c r="B44" s="19"/>
      <c r="C44" s="19"/>
      <c r="D44" s="19"/>
      <c r="E44" s="19"/>
      <c r="F44" s="19"/>
      <c r="G44" s="19"/>
      <c r="H44" s="19"/>
      <c r="I44" s="19"/>
      <c r="J44" s="19"/>
      <c r="K44" s="19"/>
      <c r="L44" s="19"/>
      <c r="M44" s="19"/>
      <c r="N44" s="19"/>
      <c r="O44" s="19"/>
      <c r="P44" s="19"/>
      <c r="Q44" s="19"/>
      <c r="R44" s="19"/>
      <c r="S44" s="19"/>
      <c r="T44" s="34" t="str">
        <f aca="false">IF($R44="","",IFERROR(INDEX(DriverCategory,MATCH($R44,DriverList,0)),"BAU"))</f>
        <v/>
      </c>
      <c r="U44" s="34" t="str">
        <f aca="false">IF($R44="","",IFERROR(INDEX(DriverRank,MATCH($R44,DriverList,0)),99))</f>
        <v/>
      </c>
      <c r="V44" s="35" t="n">
        <f aca="false">IF($H44="",0,IFERROR(INDEX(LevelBasic,MATCH($H44,LevelList,0))+INDEX(LevelHousing,MATCH($H44,LevelList,0))+INDEX(LevelTransport,MATCH($H44,LevelList,0))+INDEX(LevelBasic,MATCH($H44,LevelList,0))*INDEX(LevelBonus,MATCH($H44,LevelList,0))+(INDEX(LevelBasic,MATCH($H44,LevelList,0))+INDEX(LevelHousing,MATCH($H44,LevelList,0)))*GosiSaudi,0))</f>
        <v>0</v>
      </c>
      <c r="W44" s="35" t="n">
        <f aca="false">IFERROR(INDEX(LevelOneOff,MATCH($H44,LevelList,0)),0)</f>
        <v>0</v>
      </c>
      <c r="X44" s="35" t="str">
        <f aca="false">IF($G44="","",$V44*N($L44))</f>
        <v/>
      </c>
      <c r="Y44" s="35" t="str">
        <f aca="false">IF($G44="","",$V44*(N($M44)*1+N($N44)*0.75+N($O44)*0.5+N($P44)*0.25)+$W44*N($L44))</f>
        <v/>
      </c>
      <c r="Z44" s="35" t="str">
        <f aca="false">IF($G44="","",$U44*1000000+ROW())</f>
        <v/>
      </c>
      <c r="AA44" s="36" t="str">
        <f aca="false">IF($G44="","",MID(IF($C44="",", no division","")&amp;IF($E44="",", no unit","")&amp;IF($H44="",", no career level","")&amp;IF(N($L44)&lt;=0,", no quarter split","")&amp;IF($R44="",", no driver","")&amp;IF(AND($H44&lt;&gt;"",COUNTIF(CareerLevels,$H44)=0),", a career level that is not on the ladder","")&amp;IF(AND($R44&lt;&gt;"",COUNTIF(DriverList,$R44)=0),", a driver that is not on the list","")&amp;IF(ABS(N($L44)-(N($M44)+N($N44)+N($O44)+N($P44)))&gt;0.001,", a total that does not match its quarters",""),3,300))</f>
        <v/>
      </c>
    </row>
    <row r="45" customFormat="false" ht="15" hidden="false" customHeight="false" outlineLevel="0" collapsed="false">
      <c r="A45" s="33" t="str">
        <f aca="false">IF($G45="","","CEO Office")</f>
        <v/>
      </c>
      <c r="B45" s="19"/>
      <c r="C45" s="19"/>
      <c r="D45" s="19"/>
      <c r="E45" s="19"/>
      <c r="F45" s="19"/>
      <c r="G45" s="19"/>
      <c r="H45" s="19"/>
      <c r="I45" s="19"/>
      <c r="J45" s="19"/>
      <c r="K45" s="19"/>
      <c r="L45" s="19"/>
      <c r="M45" s="19"/>
      <c r="N45" s="19"/>
      <c r="O45" s="19"/>
      <c r="P45" s="19"/>
      <c r="Q45" s="19"/>
      <c r="R45" s="19"/>
      <c r="S45" s="19"/>
      <c r="T45" s="34" t="str">
        <f aca="false">IF($R45="","",IFERROR(INDEX(DriverCategory,MATCH($R45,DriverList,0)),"BAU"))</f>
        <v/>
      </c>
      <c r="U45" s="34" t="str">
        <f aca="false">IF($R45="","",IFERROR(INDEX(DriverRank,MATCH($R45,DriverList,0)),99))</f>
        <v/>
      </c>
      <c r="V45" s="35" t="n">
        <f aca="false">IF($H45="",0,IFERROR(INDEX(LevelBasic,MATCH($H45,LevelList,0))+INDEX(LevelHousing,MATCH($H45,LevelList,0))+INDEX(LevelTransport,MATCH($H45,LevelList,0))+INDEX(LevelBasic,MATCH($H45,LevelList,0))*INDEX(LevelBonus,MATCH($H45,LevelList,0))+(INDEX(LevelBasic,MATCH($H45,LevelList,0))+INDEX(LevelHousing,MATCH($H45,LevelList,0)))*GosiSaudi,0))</f>
        <v>0</v>
      </c>
      <c r="W45" s="35" t="n">
        <f aca="false">IFERROR(INDEX(LevelOneOff,MATCH($H45,LevelList,0)),0)</f>
        <v>0</v>
      </c>
      <c r="X45" s="35" t="str">
        <f aca="false">IF($G45="","",$V45*N($L45))</f>
        <v/>
      </c>
      <c r="Y45" s="35" t="str">
        <f aca="false">IF($G45="","",$V45*(N($M45)*1+N($N45)*0.75+N($O45)*0.5+N($P45)*0.25)+$W45*N($L45))</f>
        <v/>
      </c>
      <c r="Z45" s="35" t="str">
        <f aca="false">IF($G45="","",$U45*1000000+ROW())</f>
        <v/>
      </c>
      <c r="AA45" s="36" t="str">
        <f aca="false">IF($G45="","",MID(IF($C45="",", no division","")&amp;IF($E45="",", no unit","")&amp;IF($H45="",", no career level","")&amp;IF(N($L45)&lt;=0,", no quarter split","")&amp;IF($R45="",", no driver","")&amp;IF(AND($H45&lt;&gt;"",COUNTIF(CareerLevels,$H45)=0),", a career level that is not on the ladder","")&amp;IF(AND($R45&lt;&gt;"",COUNTIF(DriverList,$R45)=0),", a driver that is not on the list","")&amp;IF(ABS(N($L45)-(N($M45)+N($N45)+N($O45)+N($P45)))&gt;0.001,", a total that does not match its quarters",""),3,300))</f>
        <v/>
      </c>
    </row>
    <row r="46" customFormat="false" ht="15" hidden="false" customHeight="false" outlineLevel="0" collapsed="false">
      <c r="A46" s="33" t="str">
        <f aca="false">IF($G46="","","CEO Office")</f>
        <v/>
      </c>
      <c r="B46" s="19"/>
      <c r="C46" s="19"/>
      <c r="D46" s="19"/>
      <c r="E46" s="19"/>
      <c r="F46" s="19"/>
      <c r="G46" s="19"/>
      <c r="H46" s="19"/>
      <c r="I46" s="19"/>
      <c r="J46" s="19"/>
      <c r="K46" s="19"/>
      <c r="L46" s="19"/>
      <c r="M46" s="19"/>
      <c r="N46" s="19"/>
      <c r="O46" s="19"/>
      <c r="P46" s="19"/>
      <c r="Q46" s="19"/>
      <c r="R46" s="19"/>
      <c r="S46" s="19"/>
      <c r="T46" s="34" t="str">
        <f aca="false">IF($R46="","",IFERROR(INDEX(DriverCategory,MATCH($R46,DriverList,0)),"BAU"))</f>
        <v/>
      </c>
      <c r="U46" s="34" t="str">
        <f aca="false">IF($R46="","",IFERROR(INDEX(DriverRank,MATCH($R46,DriverList,0)),99))</f>
        <v/>
      </c>
      <c r="V46" s="35" t="n">
        <f aca="false">IF($H46="",0,IFERROR(INDEX(LevelBasic,MATCH($H46,LevelList,0))+INDEX(LevelHousing,MATCH($H46,LevelList,0))+INDEX(LevelTransport,MATCH($H46,LevelList,0))+INDEX(LevelBasic,MATCH($H46,LevelList,0))*INDEX(LevelBonus,MATCH($H46,LevelList,0))+(INDEX(LevelBasic,MATCH($H46,LevelList,0))+INDEX(LevelHousing,MATCH($H46,LevelList,0)))*GosiSaudi,0))</f>
        <v>0</v>
      </c>
      <c r="W46" s="35" t="n">
        <f aca="false">IFERROR(INDEX(LevelOneOff,MATCH($H46,LevelList,0)),0)</f>
        <v>0</v>
      </c>
      <c r="X46" s="35" t="str">
        <f aca="false">IF($G46="","",$V46*N($L46))</f>
        <v/>
      </c>
      <c r="Y46" s="35" t="str">
        <f aca="false">IF($G46="","",$V46*(N($M46)*1+N($N46)*0.75+N($O46)*0.5+N($P46)*0.25)+$W46*N($L46))</f>
        <v/>
      </c>
      <c r="Z46" s="35" t="str">
        <f aca="false">IF($G46="","",$U46*1000000+ROW())</f>
        <v/>
      </c>
      <c r="AA46" s="36" t="str">
        <f aca="false">IF($G46="","",MID(IF($C46="",", no division","")&amp;IF($E46="",", no unit","")&amp;IF($H46="",", no career level","")&amp;IF(N($L46)&lt;=0,", no quarter split","")&amp;IF($R46="",", no driver","")&amp;IF(AND($H46&lt;&gt;"",COUNTIF(CareerLevels,$H46)=0),", a career level that is not on the ladder","")&amp;IF(AND($R46&lt;&gt;"",COUNTIF(DriverList,$R46)=0),", a driver that is not on the list","")&amp;IF(ABS(N($L46)-(N($M46)+N($N46)+N($O46)+N($P46)))&gt;0.001,", a total that does not match its quarters",""),3,300))</f>
        <v/>
      </c>
    </row>
    <row r="47" customFormat="false" ht="15" hidden="false" customHeight="false" outlineLevel="0" collapsed="false">
      <c r="A47" s="33" t="str">
        <f aca="false">IF($G47="","","CEO Office")</f>
        <v/>
      </c>
      <c r="B47" s="19"/>
      <c r="C47" s="19"/>
      <c r="D47" s="19"/>
      <c r="E47" s="19"/>
      <c r="F47" s="19"/>
      <c r="G47" s="19"/>
      <c r="H47" s="19"/>
      <c r="I47" s="19"/>
      <c r="J47" s="19"/>
      <c r="K47" s="19"/>
      <c r="L47" s="19"/>
      <c r="M47" s="19"/>
      <c r="N47" s="19"/>
      <c r="O47" s="19"/>
      <c r="P47" s="19"/>
      <c r="Q47" s="19"/>
      <c r="R47" s="19"/>
      <c r="S47" s="19"/>
      <c r="T47" s="34" t="str">
        <f aca="false">IF($R47="","",IFERROR(INDEX(DriverCategory,MATCH($R47,DriverList,0)),"BAU"))</f>
        <v/>
      </c>
      <c r="U47" s="34" t="str">
        <f aca="false">IF($R47="","",IFERROR(INDEX(DriverRank,MATCH($R47,DriverList,0)),99))</f>
        <v/>
      </c>
      <c r="V47" s="35" t="n">
        <f aca="false">IF($H47="",0,IFERROR(INDEX(LevelBasic,MATCH($H47,LevelList,0))+INDEX(LevelHousing,MATCH($H47,LevelList,0))+INDEX(LevelTransport,MATCH($H47,LevelList,0))+INDEX(LevelBasic,MATCH($H47,LevelList,0))*INDEX(LevelBonus,MATCH($H47,LevelList,0))+(INDEX(LevelBasic,MATCH($H47,LevelList,0))+INDEX(LevelHousing,MATCH($H47,LevelList,0)))*GosiSaudi,0))</f>
        <v>0</v>
      </c>
      <c r="W47" s="35" t="n">
        <f aca="false">IFERROR(INDEX(LevelOneOff,MATCH($H47,LevelList,0)),0)</f>
        <v>0</v>
      </c>
      <c r="X47" s="35" t="str">
        <f aca="false">IF($G47="","",$V47*N($L47))</f>
        <v/>
      </c>
      <c r="Y47" s="35" t="str">
        <f aca="false">IF($G47="","",$V47*(N($M47)*1+N($N47)*0.75+N($O47)*0.5+N($P47)*0.25)+$W47*N($L47))</f>
        <v/>
      </c>
      <c r="Z47" s="35" t="str">
        <f aca="false">IF($G47="","",$U47*1000000+ROW())</f>
        <v/>
      </c>
      <c r="AA47" s="36" t="str">
        <f aca="false">IF($G47="","",MID(IF($C47="",", no division","")&amp;IF($E47="",", no unit","")&amp;IF($H47="",", no career level","")&amp;IF(N($L47)&lt;=0,", no quarter split","")&amp;IF($R47="",", no driver","")&amp;IF(AND($H47&lt;&gt;"",COUNTIF(CareerLevels,$H47)=0),", a career level that is not on the ladder","")&amp;IF(AND($R47&lt;&gt;"",COUNTIF(DriverList,$R47)=0),", a driver that is not on the list","")&amp;IF(ABS(N($L47)-(N($M47)+N($N47)+N($O47)+N($P47)))&gt;0.001,", a total that does not match its quarters",""),3,300))</f>
        <v/>
      </c>
    </row>
    <row r="48" customFormat="false" ht="15" hidden="false" customHeight="false" outlineLevel="0" collapsed="false">
      <c r="A48" s="33" t="str">
        <f aca="false">IF($G48="","","CEO Office")</f>
        <v/>
      </c>
      <c r="B48" s="19"/>
      <c r="C48" s="19"/>
      <c r="D48" s="19"/>
      <c r="E48" s="19"/>
      <c r="F48" s="19"/>
      <c r="G48" s="19"/>
      <c r="H48" s="19"/>
      <c r="I48" s="19"/>
      <c r="J48" s="19"/>
      <c r="K48" s="19"/>
      <c r="L48" s="19"/>
      <c r="M48" s="19"/>
      <c r="N48" s="19"/>
      <c r="O48" s="19"/>
      <c r="P48" s="19"/>
      <c r="Q48" s="19"/>
      <c r="R48" s="19"/>
      <c r="S48" s="19"/>
      <c r="T48" s="34" t="str">
        <f aca="false">IF($R48="","",IFERROR(INDEX(DriverCategory,MATCH($R48,DriverList,0)),"BAU"))</f>
        <v/>
      </c>
      <c r="U48" s="34" t="str">
        <f aca="false">IF($R48="","",IFERROR(INDEX(DriverRank,MATCH($R48,DriverList,0)),99))</f>
        <v/>
      </c>
      <c r="V48" s="35" t="n">
        <f aca="false">IF($H48="",0,IFERROR(INDEX(LevelBasic,MATCH($H48,LevelList,0))+INDEX(LevelHousing,MATCH($H48,LevelList,0))+INDEX(LevelTransport,MATCH($H48,LevelList,0))+INDEX(LevelBasic,MATCH($H48,LevelList,0))*INDEX(LevelBonus,MATCH($H48,LevelList,0))+(INDEX(LevelBasic,MATCH($H48,LevelList,0))+INDEX(LevelHousing,MATCH($H48,LevelList,0)))*GosiSaudi,0))</f>
        <v>0</v>
      </c>
      <c r="W48" s="35" t="n">
        <f aca="false">IFERROR(INDEX(LevelOneOff,MATCH($H48,LevelList,0)),0)</f>
        <v>0</v>
      </c>
      <c r="X48" s="35" t="str">
        <f aca="false">IF($G48="","",$V48*N($L48))</f>
        <v/>
      </c>
      <c r="Y48" s="35" t="str">
        <f aca="false">IF($G48="","",$V48*(N($M48)*1+N($N48)*0.75+N($O48)*0.5+N($P48)*0.25)+$W48*N($L48))</f>
        <v/>
      </c>
      <c r="Z48" s="35" t="str">
        <f aca="false">IF($G48="","",$U48*1000000+ROW())</f>
        <v/>
      </c>
      <c r="AA48" s="36" t="str">
        <f aca="false">IF($G48="","",MID(IF($C48="",", no division","")&amp;IF($E48="",", no unit","")&amp;IF($H48="",", no career level","")&amp;IF(N($L48)&lt;=0,", no quarter split","")&amp;IF($R48="",", no driver","")&amp;IF(AND($H48&lt;&gt;"",COUNTIF(CareerLevels,$H48)=0),", a career level that is not on the ladder","")&amp;IF(AND($R48&lt;&gt;"",COUNTIF(DriverList,$R48)=0),", a driver that is not on the list","")&amp;IF(ABS(N($L48)-(N($M48)+N($N48)+N($O48)+N($P48)))&gt;0.001,", a total that does not match its quarters",""),3,300))</f>
        <v/>
      </c>
    </row>
    <row r="49" customFormat="false" ht="15" hidden="false" customHeight="false" outlineLevel="0" collapsed="false">
      <c r="A49" s="33" t="str">
        <f aca="false">IF($G49="","","CEO Office")</f>
        <v/>
      </c>
      <c r="B49" s="19"/>
      <c r="C49" s="19"/>
      <c r="D49" s="19"/>
      <c r="E49" s="19"/>
      <c r="F49" s="19"/>
      <c r="G49" s="19"/>
      <c r="H49" s="19"/>
      <c r="I49" s="19"/>
      <c r="J49" s="19"/>
      <c r="K49" s="19"/>
      <c r="L49" s="19"/>
      <c r="M49" s="19"/>
      <c r="N49" s="19"/>
      <c r="O49" s="19"/>
      <c r="P49" s="19"/>
      <c r="Q49" s="19"/>
      <c r="R49" s="19"/>
      <c r="S49" s="19"/>
      <c r="T49" s="34" t="str">
        <f aca="false">IF($R49="","",IFERROR(INDEX(DriverCategory,MATCH($R49,DriverList,0)),"BAU"))</f>
        <v/>
      </c>
      <c r="U49" s="34" t="str">
        <f aca="false">IF($R49="","",IFERROR(INDEX(DriverRank,MATCH($R49,DriverList,0)),99))</f>
        <v/>
      </c>
      <c r="V49" s="35" t="n">
        <f aca="false">IF($H49="",0,IFERROR(INDEX(LevelBasic,MATCH($H49,LevelList,0))+INDEX(LevelHousing,MATCH($H49,LevelList,0))+INDEX(LevelTransport,MATCH($H49,LevelList,0))+INDEX(LevelBasic,MATCH($H49,LevelList,0))*INDEX(LevelBonus,MATCH($H49,LevelList,0))+(INDEX(LevelBasic,MATCH($H49,LevelList,0))+INDEX(LevelHousing,MATCH($H49,LevelList,0)))*GosiSaudi,0))</f>
        <v>0</v>
      </c>
      <c r="W49" s="35" t="n">
        <f aca="false">IFERROR(INDEX(LevelOneOff,MATCH($H49,LevelList,0)),0)</f>
        <v>0</v>
      </c>
      <c r="X49" s="35" t="str">
        <f aca="false">IF($G49="","",$V49*N($L49))</f>
        <v/>
      </c>
      <c r="Y49" s="35" t="str">
        <f aca="false">IF($G49="","",$V49*(N($M49)*1+N($N49)*0.75+N($O49)*0.5+N($P49)*0.25)+$W49*N($L49))</f>
        <v/>
      </c>
      <c r="Z49" s="35" t="str">
        <f aca="false">IF($G49="","",$U49*1000000+ROW())</f>
        <v/>
      </c>
      <c r="AA49" s="36" t="str">
        <f aca="false">IF($G49="","",MID(IF($C49="",", no division","")&amp;IF($E49="",", no unit","")&amp;IF($H49="",", no career level","")&amp;IF(N($L49)&lt;=0,", no quarter split","")&amp;IF($R49="",", no driver","")&amp;IF(AND($H49&lt;&gt;"",COUNTIF(CareerLevels,$H49)=0),", a career level that is not on the ladder","")&amp;IF(AND($R49&lt;&gt;"",COUNTIF(DriverList,$R49)=0),", a driver that is not on the list","")&amp;IF(ABS(N($L49)-(N($M49)+N($N49)+N($O49)+N($P49)))&gt;0.001,", a total that does not match its quarters",""),3,300))</f>
        <v/>
      </c>
    </row>
    <row r="50" customFormat="false" ht="15" hidden="false" customHeight="false" outlineLevel="0" collapsed="false">
      <c r="A50" s="33" t="str">
        <f aca="false">IF($G50="","","CEO Office")</f>
        <v/>
      </c>
      <c r="B50" s="19"/>
      <c r="C50" s="19"/>
      <c r="D50" s="19"/>
      <c r="E50" s="19"/>
      <c r="F50" s="19"/>
      <c r="G50" s="19"/>
      <c r="H50" s="19"/>
      <c r="I50" s="19"/>
      <c r="J50" s="19"/>
      <c r="K50" s="19"/>
      <c r="L50" s="19"/>
      <c r="M50" s="19"/>
      <c r="N50" s="19"/>
      <c r="O50" s="19"/>
      <c r="P50" s="19"/>
      <c r="Q50" s="19"/>
      <c r="R50" s="19"/>
      <c r="S50" s="19"/>
      <c r="T50" s="34" t="str">
        <f aca="false">IF($R50="","",IFERROR(INDEX(DriverCategory,MATCH($R50,DriverList,0)),"BAU"))</f>
        <v/>
      </c>
      <c r="U50" s="34" t="str">
        <f aca="false">IF($R50="","",IFERROR(INDEX(DriverRank,MATCH($R50,DriverList,0)),99))</f>
        <v/>
      </c>
      <c r="V50" s="35" t="n">
        <f aca="false">IF($H50="",0,IFERROR(INDEX(LevelBasic,MATCH($H50,LevelList,0))+INDEX(LevelHousing,MATCH($H50,LevelList,0))+INDEX(LevelTransport,MATCH($H50,LevelList,0))+INDEX(LevelBasic,MATCH($H50,LevelList,0))*INDEX(LevelBonus,MATCH($H50,LevelList,0))+(INDEX(LevelBasic,MATCH($H50,LevelList,0))+INDEX(LevelHousing,MATCH($H50,LevelList,0)))*GosiSaudi,0))</f>
        <v>0</v>
      </c>
      <c r="W50" s="35" t="n">
        <f aca="false">IFERROR(INDEX(LevelOneOff,MATCH($H50,LevelList,0)),0)</f>
        <v>0</v>
      </c>
      <c r="X50" s="35" t="str">
        <f aca="false">IF($G50="","",$V50*N($L50))</f>
        <v/>
      </c>
      <c r="Y50" s="35" t="str">
        <f aca="false">IF($G50="","",$V50*(N($M50)*1+N($N50)*0.75+N($O50)*0.5+N($P50)*0.25)+$W50*N($L50))</f>
        <v/>
      </c>
      <c r="Z50" s="35" t="str">
        <f aca="false">IF($G50="","",$U50*1000000+ROW())</f>
        <v/>
      </c>
      <c r="AA50" s="36" t="str">
        <f aca="false">IF($G50="","",MID(IF($C50="",", no division","")&amp;IF($E50="",", no unit","")&amp;IF($H50="",", no career level","")&amp;IF(N($L50)&lt;=0,", no quarter split","")&amp;IF($R50="",", no driver","")&amp;IF(AND($H50&lt;&gt;"",COUNTIF(CareerLevels,$H50)=0),", a career level that is not on the ladder","")&amp;IF(AND($R50&lt;&gt;"",COUNTIF(DriverList,$R50)=0),", a driver that is not on the list","")&amp;IF(ABS(N($L50)-(N($M50)+N($N50)+N($O50)+N($P50)))&gt;0.001,", a total that does not match its quarters",""),3,300))</f>
        <v/>
      </c>
    </row>
    <row r="51" customFormat="false" ht="15" hidden="false" customHeight="false" outlineLevel="0" collapsed="false">
      <c r="A51" s="33" t="str">
        <f aca="false">IF($G51="","","CEO Office")</f>
        <v/>
      </c>
      <c r="B51" s="19"/>
      <c r="C51" s="19"/>
      <c r="D51" s="19"/>
      <c r="E51" s="19"/>
      <c r="F51" s="19"/>
      <c r="G51" s="19"/>
      <c r="H51" s="19"/>
      <c r="I51" s="19"/>
      <c r="J51" s="19"/>
      <c r="K51" s="19"/>
      <c r="L51" s="19"/>
      <c r="M51" s="19"/>
      <c r="N51" s="19"/>
      <c r="O51" s="19"/>
      <c r="P51" s="19"/>
      <c r="Q51" s="19"/>
      <c r="R51" s="19"/>
      <c r="S51" s="19"/>
      <c r="T51" s="34" t="str">
        <f aca="false">IF($R51="","",IFERROR(INDEX(DriverCategory,MATCH($R51,DriverList,0)),"BAU"))</f>
        <v/>
      </c>
      <c r="U51" s="34" t="str">
        <f aca="false">IF($R51="","",IFERROR(INDEX(DriverRank,MATCH($R51,DriverList,0)),99))</f>
        <v/>
      </c>
      <c r="V51" s="35" t="n">
        <f aca="false">IF($H51="",0,IFERROR(INDEX(LevelBasic,MATCH($H51,LevelList,0))+INDEX(LevelHousing,MATCH($H51,LevelList,0))+INDEX(LevelTransport,MATCH($H51,LevelList,0))+INDEX(LevelBasic,MATCH($H51,LevelList,0))*INDEX(LevelBonus,MATCH($H51,LevelList,0))+(INDEX(LevelBasic,MATCH($H51,LevelList,0))+INDEX(LevelHousing,MATCH($H51,LevelList,0)))*GosiSaudi,0))</f>
        <v>0</v>
      </c>
      <c r="W51" s="35" t="n">
        <f aca="false">IFERROR(INDEX(LevelOneOff,MATCH($H51,LevelList,0)),0)</f>
        <v>0</v>
      </c>
      <c r="X51" s="35" t="str">
        <f aca="false">IF($G51="","",$V51*N($L51))</f>
        <v/>
      </c>
      <c r="Y51" s="35" t="str">
        <f aca="false">IF($G51="","",$V51*(N($M51)*1+N($N51)*0.75+N($O51)*0.5+N($P51)*0.25)+$W51*N($L51))</f>
        <v/>
      </c>
      <c r="Z51" s="35" t="str">
        <f aca="false">IF($G51="","",$U51*1000000+ROW())</f>
        <v/>
      </c>
      <c r="AA51" s="36" t="str">
        <f aca="false">IF($G51="","",MID(IF($C51="",", no division","")&amp;IF($E51="",", no unit","")&amp;IF($H51="",", no career level","")&amp;IF(N($L51)&lt;=0,", no quarter split","")&amp;IF($R51="",", no driver","")&amp;IF(AND($H51&lt;&gt;"",COUNTIF(CareerLevels,$H51)=0),", a career level that is not on the ladder","")&amp;IF(AND($R51&lt;&gt;"",COUNTIF(DriverList,$R51)=0),", a driver that is not on the list","")&amp;IF(ABS(N($L51)-(N($M51)+N($N51)+N($O51)+N($P51)))&gt;0.001,", a total that does not match its quarters",""),3,300))</f>
        <v/>
      </c>
    </row>
    <row r="52" customFormat="false" ht="15" hidden="false" customHeight="false" outlineLevel="0" collapsed="false">
      <c r="A52" s="33" t="str">
        <f aca="false">IF($G52="","","CEO Office")</f>
        <v/>
      </c>
      <c r="B52" s="19"/>
      <c r="C52" s="19"/>
      <c r="D52" s="19"/>
      <c r="E52" s="19"/>
      <c r="F52" s="19"/>
      <c r="G52" s="19"/>
      <c r="H52" s="19"/>
      <c r="I52" s="19"/>
      <c r="J52" s="19"/>
      <c r="K52" s="19"/>
      <c r="L52" s="19"/>
      <c r="M52" s="19"/>
      <c r="N52" s="19"/>
      <c r="O52" s="19"/>
      <c r="P52" s="19"/>
      <c r="Q52" s="19"/>
      <c r="R52" s="19"/>
      <c r="S52" s="19"/>
      <c r="T52" s="34" t="str">
        <f aca="false">IF($R52="","",IFERROR(INDEX(DriverCategory,MATCH($R52,DriverList,0)),"BAU"))</f>
        <v/>
      </c>
      <c r="U52" s="34" t="str">
        <f aca="false">IF($R52="","",IFERROR(INDEX(DriverRank,MATCH($R52,DriverList,0)),99))</f>
        <v/>
      </c>
      <c r="V52" s="35" t="n">
        <f aca="false">IF($H52="",0,IFERROR(INDEX(LevelBasic,MATCH($H52,LevelList,0))+INDEX(LevelHousing,MATCH($H52,LevelList,0))+INDEX(LevelTransport,MATCH($H52,LevelList,0))+INDEX(LevelBasic,MATCH($H52,LevelList,0))*INDEX(LevelBonus,MATCH($H52,LevelList,0))+(INDEX(LevelBasic,MATCH($H52,LevelList,0))+INDEX(LevelHousing,MATCH($H52,LevelList,0)))*GosiSaudi,0))</f>
        <v>0</v>
      </c>
      <c r="W52" s="35" t="n">
        <f aca="false">IFERROR(INDEX(LevelOneOff,MATCH($H52,LevelList,0)),0)</f>
        <v>0</v>
      </c>
      <c r="X52" s="35" t="str">
        <f aca="false">IF($G52="","",$V52*N($L52))</f>
        <v/>
      </c>
      <c r="Y52" s="35" t="str">
        <f aca="false">IF($G52="","",$V52*(N($M52)*1+N($N52)*0.75+N($O52)*0.5+N($P52)*0.25)+$W52*N($L52))</f>
        <v/>
      </c>
      <c r="Z52" s="35" t="str">
        <f aca="false">IF($G52="","",$U52*1000000+ROW())</f>
        <v/>
      </c>
      <c r="AA52" s="36" t="str">
        <f aca="false">IF($G52="","",MID(IF($C52="",", no division","")&amp;IF($E52="",", no unit","")&amp;IF($H52="",", no career level","")&amp;IF(N($L52)&lt;=0,", no quarter split","")&amp;IF($R52="",", no driver","")&amp;IF(AND($H52&lt;&gt;"",COUNTIF(CareerLevels,$H52)=0),", a career level that is not on the ladder","")&amp;IF(AND($R52&lt;&gt;"",COUNTIF(DriverList,$R52)=0),", a driver that is not on the list","")&amp;IF(ABS(N($L52)-(N($M52)+N($N52)+N($O52)+N($P52)))&gt;0.001,", a total that does not match its quarters",""),3,300))</f>
        <v/>
      </c>
    </row>
    <row r="53" customFormat="false" ht="15" hidden="false" customHeight="false" outlineLevel="0" collapsed="false">
      <c r="A53" s="33" t="str">
        <f aca="false">IF($G53="","","CEO Office")</f>
        <v/>
      </c>
      <c r="B53" s="19"/>
      <c r="C53" s="19"/>
      <c r="D53" s="19"/>
      <c r="E53" s="19"/>
      <c r="F53" s="19"/>
      <c r="G53" s="19"/>
      <c r="H53" s="19"/>
      <c r="I53" s="19"/>
      <c r="J53" s="19"/>
      <c r="K53" s="19"/>
      <c r="L53" s="19"/>
      <c r="M53" s="19"/>
      <c r="N53" s="19"/>
      <c r="O53" s="19"/>
      <c r="P53" s="19"/>
      <c r="Q53" s="19"/>
      <c r="R53" s="19"/>
      <c r="S53" s="19"/>
      <c r="T53" s="34" t="str">
        <f aca="false">IF($R53="","",IFERROR(INDEX(DriverCategory,MATCH($R53,DriverList,0)),"BAU"))</f>
        <v/>
      </c>
      <c r="U53" s="34" t="str">
        <f aca="false">IF($R53="","",IFERROR(INDEX(DriverRank,MATCH($R53,DriverList,0)),99))</f>
        <v/>
      </c>
      <c r="V53" s="35" t="n">
        <f aca="false">IF($H53="",0,IFERROR(INDEX(LevelBasic,MATCH($H53,LevelList,0))+INDEX(LevelHousing,MATCH($H53,LevelList,0))+INDEX(LevelTransport,MATCH($H53,LevelList,0))+INDEX(LevelBasic,MATCH($H53,LevelList,0))*INDEX(LevelBonus,MATCH($H53,LevelList,0))+(INDEX(LevelBasic,MATCH($H53,LevelList,0))+INDEX(LevelHousing,MATCH($H53,LevelList,0)))*GosiSaudi,0))</f>
        <v>0</v>
      </c>
      <c r="W53" s="35" t="n">
        <f aca="false">IFERROR(INDEX(LevelOneOff,MATCH($H53,LevelList,0)),0)</f>
        <v>0</v>
      </c>
      <c r="X53" s="35" t="str">
        <f aca="false">IF($G53="","",$V53*N($L53))</f>
        <v/>
      </c>
      <c r="Y53" s="35" t="str">
        <f aca="false">IF($G53="","",$V53*(N($M53)*1+N($N53)*0.75+N($O53)*0.5+N($P53)*0.25)+$W53*N($L53))</f>
        <v/>
      </c>
      <c r="Z53" s="35" t="str">
        <f aca="false">IF($G53="","",$U53*1000000+ROW())</f>
        <v/>
      </c>
      <c r="AA53" s="36" t="str">
        <f aca="false">IF($G53="","",MID(IF($C53="",", no division","")&amp;IF($E53="",", no unit","")&amp;IF($H53="",", no career level","")&amp;IF(N($L53)&lt;=0,", no quarter split","")&amp;IF($R53="",", no driver","")&amp;IF(AND($H53&lt;&gt;"",COUNTIF(CareerLevels,$H53)=0),", a career level that is not on the ladder","")&amp;IF(AND($R53&lt;&gt;"",COUNTIF(DriverList,$R53)=0),", a driver that is not on the list","")&amp;IF(ABS(N($L53)-(N($M53)+N($N53)+N($O53)+N($P53)))&gt;0.001,", a total that does not match its quarters",""),3,300))</f>
        <v/>
      </c>
    </row>
    <row r="54" customFormat="false" ht="15" hidden="false" customHeight="false" outlineLevel="0" collapsed="false">
      <c r="A54" s="33" t="str">
        <f aca="false">IF($G54="","","CEO Office")</f>
        <v/>
      </c>
      <c r="B54" s="19"/>
      <c r="C54" s="19"/>
      <c r="D54" s="19"/>
      <c r="E54" s="19"/>
      <c r="F54" s="19"/>
      <c r="G54" s="19"/>
      <c r="H54" s="19"/>
      <c r="I54" s="19"/>
      <c r="J54" s="19"/>
      <c r="K54" s="19"/>
      <c r="L54" s="19"/>
      <c r="M54" s="19"/>
      <c r="N54" s="19"/>
      <c r="O54" s="19"/>
      <c r="P54" s="19"/>
      <c r="Q54" s="19"/>
      <c r="R54" s="19"/>
      <c r="S54" s="19"/>
      <c r="T54" s="34" t="str">
        <f aca="false">IF($R54="","",IFERROR(INDEX(DriverCategory,MATCH($R54,DriverList,0)),"BAU"))</f>
        <v/>
      </c>
      <c r="U54" s="34" t="str">
        <f aca="false">IF($R54="","",IFERROR(INDEX(DriverRank,MATCH($R54,DriverList,0)),99))</f>
        <v/>
      </c>
      <c r="V54" s="35" t="n">
        <f aca="false">IF($H54="",0,IFERROR(INDEX(LevelBasic,MATCH($H54,LevelList,0))+INDEX(LevelHousing,MATCH($H54,LevelList,0))+INDEX(LevelTransport,MATCH($H54,LevelList,0))+INDEX(LevelBasic,MATCH($H54,LevelList,0))*INDEX(LevelBonus,MATCH($H54,LevelList,0))+(INDEX(LevelBasic,MATCH($H54,LevelList,0))+INDEX(LevelHousing,MATCH($H54,LevelList,0)))*GosiSaudi,0))</f>
        <v>0</v>
      </c>
      <c r="W54" s="35" t="n">
        <f aca="false">IFERROR(INDEX(LevelOneOff,MATCH($H54,LevelList,0)),0)</f>
        <v>0</v>
      </c>
      <c r="X54" s="35" t="str">
        <f aca="false">IF($G54="","",$V54*N($L54))</f>
        <v/>
      </c>
      <c r="Y54" s="35" t="str">
        <f aca="false">IF($G54="","",$V54*(N($M54)*1+N($N54)*0.75+N($O54)*0.5+N($P54)*0.25)+$W54*N($L54))</f>
        <v/>
      </c>
      <c r="Z54" s="35" t="str">
        <f aca="false">IF($G54="","",$U54*1000000+ROW())</f>
        <v/>
      </c>
      <c r="AA54" s="36" t="str">
        <f aca="false">IF($G54="","",MID(IF($C54="",", no division","")&amp;IF($E54="",", no unit","")&amp;IF($H54="",", no career level","")&amp;IF(N($L54)&lt;=0,", no quarter split","")&amp;IF($R54="",", no driver","")&amp;IF(AND($H54&lt;&gt;"",COUNTIF(CareerLevels,$H54)=0),", a career level that is not on the ladder","")&amp;IF(AND($R54&lt;&gt;"",COUNTIF(DriverList,$R54)=0),", a driver that is not on the list","")&amp;IF(ABS(N($L54)-(N($M54)+N($N54)+N($O54)+N($P54)))&gt;0.001,", a total that does not match its quarters",""),3,300))</f>
        <v/>
      </c>
    </row>
    <row r="55" customFormat="false" ht="15" hidden="false" customHeight="false" outlineLevel="0" collapsed="false">
      <c r="A55" s="33" t="str">
        <f aca="false">IF($G55="","","CEO Office")</f>
        <v/>
      </c>
      <c r="B55" s="19"/>
      <c r="C55" s="19"/>
      <c r="D55" s="19"/>
      <c r="E55" s="19"/>
      <c r="F55" s="19"/>
      <c r="G55" s="19"/>
      <c r="H55" s="19"/>
      <c r="I55" s="19"/>
      <c r="J55" s="19"/>
      <c r="K55" s="19"/>
      <c r="L55" s="19"/>
      <c r="M55" s="19"/>
      <c r="N55" s="19"/>
      <c r="O55" s="19"/>
      <c r="P55" s="19"/>
      <c r="Q55" s="19"/>
      <c r="R55" s="19"/>
      <c r="S55" s="19"/>
      <c r="T55" s="34" t="str">
        <f aca="false">IF($R55="","",IFERROR(INDEX(DriverCategory,MATCH($R55,DriverList,0)),"BAU"))</f>
        <v/>
      </c>
      <c r="U55" s="34" t="str">
        <f aca="false">IF($R55="","",IFERROR(INDEX(DriverRank,MATCH($R55,DriverList,0)),99))</f>
        <v/>
      </c>
      <c r="V55" s="35" t="n">
        <f aca="false">IF($H55="",0,IFERROR(INDEX(LevelBasic,MATCH($H55,LevelList,0))+INDEX(LevelHousing,MATCH($H55,LevelList,0))+INDEX(LevelTransport,MATCH($H55,LevelList,0))+INDEX(LevelBasic,MATCH($H55,LevelList,0))*INDEX(LevelBonus,MATCH($H55,LevelList,0))+(INDEX(LevelBasic,MATCH($H55,LevelList,0))+INDEX(LevelHousing,MATCH($H55,LevelList,0)))*GosiSaudi,0))</f>
        <v>0</v>
      </c>
      <c r="W55" s="35" t="n">
        <f aca="false">IFERROR(INDEX(LevelOneOff,MATCH($H55,LevelList,0)),0)</f>
        <v>0</v>
      </c>
      <c r="X55" s="35" t="str">
        <f aca="false">IF($G55="","",$V55*N($L55))</f>
        <v/>
      </c>
      <c r="Y55" s="35" t="str">
        <f aca="false">IF($G55="","",$V55*(N($M55)*1+N($N55)*0.75+N($O55)*0.5+N($P55)*0.25)+$W55*N($L55))</f>
        <v/>
      </c>
      <c r="Z55" s="35" t="str">
        <f aca="false">IF($G55="","",$U55*1000000+ROW())</f>
        <v/>
      </c>
      <c r="AA55" s="36" t="str">
        <f aca="false">IF($G55="","",MID(IF($C55="",", no division","")&amp;IF($E55="",", no unit","")&amp;IF($H55="",", no career level","")&amp;IF(N($L55)&lt;=0,", no quarter split","")&amp;IF($R55="",", no driver","")&amp;IF(AND($H55&lt;&gt;"",COUNTIF(CareerLevels,$H55)=0),", a career level that is not on the ladder","")&amp;IF(AND($R55&lt;&gt;"",COUNTIF(DriverList,$R55)=0),", a driver that is not on the list","")&amp;IF(ABS(N($L55)-(N($M55)+N($N55)+N($O55)+N($P55)))&gt;0.001,", a total that does not match its quarters",""),3,300))</f>
        <v/>
      </c>
    </row>
    <row r="56" customFormat="false" ht="15" hidden="false" customHeight="false" outlineLevel="0" collapsed="false">
      <c r="A56" s="33" t="str">
        <f aca="false">IF($G56="","","CEO Office")</f>
        <v/>
      </c>
      <c r="B56" s="19"/>
      <c r="C56" s="19"/>
      <c r="D56" s="19"/>
      <c r="E56" s="19"/>
      <c r="F56" s="19"/>
      <c r="G56" s="19"/>
      <c r="H56" s="19"/>
      <c r="I56" s="19"/>
      <c r="J56" s="19"/>
      <c r="K56" s="19"/>
      <c r="L56" s="19"/>
      <c r="M56" s="19"/>
      <c r="N56" s="19"/>
      <c r="O56" s="19"/>
      <c r="P56" s="19"/>
      <c r="Q56" s="19"/>
      <c r="R56" s="19"/>
      <c r="S56" s="19"/>
      <c r="T56" s="34" t="str">
        <f aca="false">IF($R56="","",IFERROR(INDEX(DriverCategory,MATCH($R56,DriverList,0)),"BAU"))</f>
        <v/>
      </c>
      <c r="U56" s="34" t="str">
        <f aca="false">IF($R56="","",IFERROR(INDEX(DriverRank,MATCH($R56,DriverList,0)),99))</f>
        <v/>
      </c>
      <c r="V56" s="35" t="n">
        <f aca="false">IF($H56="",0,IFERROR(INDEX(LevelBasic,MATCH($H56,LevelList,0))+INDEX(LevelHousing,MATCH($H56,LevelList,0))+INDEX(LevelTransport,MATCH($H56,LevelList,0))+INDEX(LevelBasic,MATCH($H56,LevelList,0))*INDEX(LevelBonus,MATCH($H56,LevelList,0))+(INDEX(LevelBasic,MATCH($H56,LevelList,0))+INDEX(LevelHousing,MATCH($H56,LevelList,0)))*GosiSaudi,0))</f>
        <v>0</v>
      </c>
      <c r="W56" s="35" t="n">
        <f aca="false">IFERROR(INDEX(LevelOneOff,MATCH($H56,LevelList,0)),0)</f>
        <v>0</v>
      </c>
      <c r="X56" s="35" t="str">
        <f aca="false">IF($G56="","",$V56*N($L56))</f>
        <v/>
      </c>
      <c r="Y56" s="35" t="str">
        <f aca="false">IF($G56="","",$V56*(N($M56)*1+N($N56)*0.75+N($O56)*0.5+N($P56)*0.25)+$W56*N($L56))</f>
        <v/>
      </c>
      <c r="Z56" s="35" t="str">
        <f aca="false">IF($G56="","",$U56*1000000+ROW())</f>
        <v/>
      </c>
      <c r="AA56" s="36" t="str">
        <f aca="false">IF($G56="","",MID(IF($C56="",", no division","")&amp;IF($E56="",", no unit","")&amp;IF($H56="",", no career level","")&amp;IF(N($L56)&lt;=0,", no quarter split","")&amp;IF($R56="",", no driver","")&amp;IF(AND($H56&lt;&gt;"",COUNTIF(CareerLevels,$H56)=0),", a career level that is not on the ladder","")&amp;IF(AND($R56&lt;&gt;"",COUNTIF(DriverList,$R56)=0),", a driver that is not on the list","")&amp;IF(ABS(N($L56)-(N($M56)+N($N56)+N($O56)+N($P56)))&gt;0.001,", a total that does not match its quarters",""),3,300))</f>
        <v/>
      </c>
    </row>
    <row r="57" customFormat="false" ht="15" hidden="false" customHeight="false" outlineLevel="0" collapsed="false">
      <c r="A57" s="33" t="str">
        <f aca="false">IF($G57="","","CEO Office")</f>
        <v/>
      </c>
      <c r="B57" s="19"/>
      <c r="C57" s="19"/>
      <c r="D57" s="19"/>
      <c r="E57" s="19"/>
      <c r="F57" s="19"/>
      <c r="G57" s="19"/>
      <c r="H57" s="19"/>
      <c r="I57" s="19"/>
      <c r="J57" s="19"/>
      <c r="K57" s="19"/>
      <c r="L57" s="19"/>
      <c r="M57" s="19"/>
      <c r="N57" s="19"/>
      <c r="O57" s="19"/>
      <c r="P57" s="19"/>
      <c r="Q57" s="19"/>
      <c r="R57" s="19"/>
      <c r="S57" s="19"/>
      <c r="T57" s="34" t="str">
        <f aca="false">IF($R57="","",IFERROR(INDEX(DriverCategory,MATCH($R57,DriverList,0)),"BAU"))</f>
        <v/>
      </c>
      <c r="U57" s="34" t="str">
        <f aca="false">IF($R57="","",IFERROR(INDEX(DriverRank,MATCH($R57,DriverList,0)),99))</f>
        <v/>
      </c>
      <c r="V57" s="35" t="n">
        <f aca="false">IF($H57="",0,IFERROR(INDEX(LevelBasic,MATCH($H57,LevelList,0))+INDEX(LevelHousing,MATCH($H57,LevelList,0))+INDEX(LevelTransport,MATCH($H57,LevelList,0))+INDEX(LevelBasic,MATCH($H57,LevelList,0))*INDEX(LevelBonus,MATCH($H57,LevelList,0))+(INDEX(LevelBasic,MATCH($H57,LevelList,0))+INDEX(LevelHousing,MATCH($H57,LevelList,0)))*GosiSaudi,0))</f>
        <v>0</v>
      </c>
      <c r="W57" s="35" t="n">
        <f aca="false">IFERROR(INDEX(LevelOneOff,MATCH($H57,LevelList,0)),0)</f>
        <v>0</v>
      </c>
      <c r="X57" s="35" t="str">
        <f aca="false">IF($G57="","",$V57*N($L57))</f>
        <v/>
      </c>
      <c r="Y57" s="35" t="str">
        <f aca="false">IF($G57="","",$V57*(N($M57)*1+N($N57)*0.75+N($O57)*0.5+N($P57)*0.25)+$W57*N($L57))</f>
        <v/>
      </c>
      <c r="Z57" s="35" t="str">
        <f aca="false">IF($G57="","",$U57*1000000+ROW())</f>
        <v/>
      </c>
      <c r="AA57" s="36" t="str">
        <f aca="false">IF($G57="","",MID(IF($C57="",", no division","")&amp;IF($E57="",", no unit","")&amp;IF($H57="",", no career level","")&amp;IF(N($L57)&lt;=0,", no quarter split","")&amp;IF($R57="",", no driver","")&amp;IF(AND($H57&lt;&gt;"",COUNTIF(CareerLevels,$H57)=0),", a career level that is not on the ladder","")&amp;IF(AND($R57&lt;&gt;"",COUNTIF(DriverList,$R57)=0),", a driver that is not on the list","")&amp;IF(ABS(N($L57)-(N($M57)+N($N57)+N($O57)+N($P57)))&gt;0.001,", a total that does not match its quarters",""),3,300))</f>
        <v/>
      </c>
    </row>
    <row r="58" customFormat="false" ht="15" hidden="false" customHeight="false" outlineLevel="0" collapsed="false">
      <c r="A58" s="33" t="str">
        <f aca="false">IF($G58="","","CEO Office")</f>
        <v/>
      </c>
      <c r="B58" s="19"/>
      <c r="C58" s="19"/>
      <c r="D58" s="19"/>
      <c r="E58" s="19"/>
      <c r="F58" s="19"/>
      <c r="G58" s="19"/>
      <c r="H58" s="19"/>
      <c r="I58" s="19"/>
      <c r="J58" s="19"/>
      <c r="K58" s="19"/>
      <c r="L58" s="19"/>
      <c r="M58" s="19"/>
      <c r="N58" s="19"/>
      <c r="O58" s="19"/>
      <c r="P58" s="19"/>
      <c r="Q58" s="19"/>
      <c r="R58" s="19"/>
      <c r="S58" s="19"/>
      <c r="T58" s="34" t="str">
        <f aca="false">IF($R58="","",IFERROR(INDEX(DriverCategory,MATCH($R58,DriverList,0)),"BAU"))</f>
        <v/>
      </c>
      <c r="U58" s="34" t="str">
        <f aca="false">IF($R58="","",IFERROR(INDEX(DriverRank,MATCH($R58,DriverList,0)),99))</f>
        <v/>
      </c>
      <c r="V58" s="35" t="n">
        <f aca="false">IF($H58="",0,IFERROR(INDEX(LevelBasic,MATCH($H58,LevelList,0))+INDEX(LevelHousing,MATCH($H58,LevelList,0))+INDEX(LevelTransport,MATCH($H58,LevelList,0))+INDEX(LevelBasic,MATCH($H58,LevelList,0))*INDEX(LevelBonus,MATCH($H58,LevelList,0))+(INDEX(LevelBasic,MATCH($H58,LevelList,0))+INDEX(LevelHousing,MATCH($H58,LevelList,0)))*GosiSaudi,0))</f>
        <v>0</v>
      </c>
      <c r="W58" s="35" t="n">
        <f aca="false">IFERROR(INDEX(LevelOneOff,MATCH($H58,LevelList,0)),0)</f>
        <v>0</v>
      </c>
      <c r="X58" s="35" t="str">
        <f aca="false">IF($G58="","",$V58*N($L58))</f>
        <v/>
      </c>
      <c r="Y58" s="35" t="str">
        <f aca="false">IF($G58="","",$V58*(N($M58)*1+N($N58)*0.75+N($O58)*0.5+N($P58)*0.25)+$W58*N($L58))</f>
        <v/>
      </c>
      <c r="Z58" s="35" t="str">
        <f aca="false">IF($G58="","",$U58*1000000+ROW())</f>
        <v/>
      </c>
      <c r="AA58" s="36" t="str">
        <f aca="false">IF($G58="","",MID(IF($C58="",", no division","")&amp;IF($E58="",", no unit","")&amp;IF($H58="",", no career level","")&amp;IF(N($L58)&lt;=0,", no quarter split","")&amp;IF($R58="",", no driver","")&amp;IF(AND($H58&lt;&gt;"",COUNTIF(CareerLevels,$H58)=0),", a career level that is not on the ladder","")&amp;IF(AND($R58&lt;&gt;"",COUNTIF(DriverList,$R58)=0),", a driver that is not on the list","")&amp;IF(ABS(N($L58)-(N($M58)+N($N58)+N($O58)+N($P58)))&gt;0.001,", a total that does not match its quarters",""),3,300))</f>
        <v/>
      </c>
    </row>
    <row r="59" customFormat="false" ht="15" hidden="false" customHeight="false" outlineLevel="0" collapsed="false">
      <c r="A59" s="33" t="str">
        <f aca="false">IF($G59="","","CEO Office")</f>
        <v/>
      </c>
      <c r="B59" s="19"/>
      <c r="C59" s="19"/>
      <c r="D59" s="19"/>
      <c r="E59" s="19"/>
      <c r="F59" s="19"/>
      <c r="G59" s="19"/>
      <c r="H59" s="19"/>
      <c r="I59" s="19"/>
      <c r="J59" s="19"/>
      <c r="K59" s="19"/>
      <c r="L59" s="19"/>
      <c r="M59" s="19"/>
      <c r="N59" s="19"/>
      <c r="O59" s="19"/>
      <c r="P59" s="19"/>
      <c r="Q59" s="19"/>
      <c r="R59" s="19"/>
      <c r="S59" s="19"/>
      <c r="T59" s="34" t="str">
        <f aca="false">IF($R59="","",IFERROR(INDEX(DriverCategory,MATCH($R59,DriverList,0)),"BAU"))</f>
        <v/>
      </c>
      <c r="U59" s="34" t="str">
        <f aca="false">IF($R59="","",IFERROR(INDEX(DriverRank,MATCH($R59,DriverList,0)),99))</f>
        <v/>
      </c>
      <c r="V59" s="35" t="n">
        <f aca="false">IF($H59="",0,IFERROR(INDEX(LevelBasic,MATCH($H59,LevelList,0))+INDEX(LevelHousing,MATCH($H59,LevelList,0))+INDEX(LevelTransport,MATCH($H59,LevelList,0))+INDEX(LevelBasic,MATCH($H59,LevelList,0))*INDEX(LevelBonus,MATCH($H59,LevelList,0))+(INDEX(LevelBasic,MATCH($H59,LevelList,0))+INDEX(LevelHousing,MATCH($H59,LevelList,0)))*GosiSaudi,0))</f>
        <v>0</v>
      </c>
      <c r="W59" s="35" t="n">
        <f aca="false">IFERROR(INDEX(LevelOneOff,MATCH($H59,LevelList,0)),0)</f>
        <v>0</v>
      </c>
      <c r="X59" s="35" t="str">
        <f aca="false">IF($G59="","",$V59*N($L59))</f>
        <v/>
      </c>
      <c r="Y59" s="35" t="str">
        <f aca="false">IF($G59="","",$V59*(N($M59)*1+N($N59)*0.75+N($O59)*0.5+N($P59)*0.25)+$W59*N($L59))</f>
        <v/>
      </c>
      <c r="Z59" s="35" t="str">
        <f aca="false">IF($G59="","",$U59*1000000+ROW())</f>
        <v/>
      </c>
      <c r="AA59" s="36" t="str">
        <f aca="false">IF($G59="","",MID(IF($C59="",", no division","")&amp;IF($E59="",", no unit","")&amp;IF($H59="",", no career level","")&amp;IF(N($L59)&lt;=0,", no quarter split","")&amp;IF($R59="",", no driver","")&amp;IF(AND($H59&lt;&gt;"",COUNTIF(CareerLevels,$H59)=0),", a career level that is not on the ladder","")&amp;IF(AND($R59&lt;&gt;"",COUNTIF(DriverList,$R59)=0),", a driver that is not on the list","")&amp;IF(ABS(N($L59)-(N($M59)+N($N59)+N($O59)+N($P59)))&gt;0.001,", a total that does not match its quarters",""),3,300))</f>
        <v/>
      </c>
    </row>
    <row r="60" customFormat="false" ht="15" hidden="false" customHeight="false" outlineLevel="0" collapsed="false">
      <c r="A60" s="33" t="str">
        <f aca="false">IF($G60="","","CEO Office")</f>
        <v/>
      </c>
      <c r="B60" s="19"/>
      <c r="C60" s="19"/>
      <c r="D60" s="19"/>
      <c r="E60" s="19"/>
      <c r="F60" s="19"/>
      <c r="G60" s="19"/>
      <c r="H60" s="19"/>
      <c r="I60" s="19"/>
      <c r="J60" s="19"/>
      <c r="K60" s="19"/>
      <c r="L60" s="19"/>
      <c r="M60" s="19"/>
      <c r="N60" s="19"/>
      <c r="O60" s="19"/>
      <c r="P60" s="19"/>
      <c r="Q60" s="19"/>
      <c r="R60" s="19"/>
      <c r="S60" s="19"/>
      <c r="T60" s="34" t="str">
        <f aca="false">IF($R60="","",IFERROR(INDEX(DriverCategory,MATCH($R60,DriverList,0)),"BAU"))</f>
        <v/>
      </c>
      <c r="U60" s="34" t="str">
        <f aca="false">IF($R60="","",IFERROR(INDEX(DriverRank,MATCH($R60,DriverList,0)),99))</f>
        <v/>
      </c>
      <c r="V60" s="35" t="n">
        <f aca="false">IF($H60="",0,IFERROR(INDEX(LevelBasic,MATCH($H60,LevelList,0))+INDEX(LevelHousing,MATCH($H60,LevelList,0))+INDEX(LevelTransport,MATCH($H60,LevelList,0))+INDEX(LevelBasic,MATCH($H60,LevelList,0))*INDEX(LevelBonus,MATCH($H60,LevelList,0))+(INDEX(LevelBasic,MATCH($H60,LevelList,0))+INDEX(LevelHousing,MATCH($H60,LevelList,0)))*GosiSaudi,0))</f>
        <v>0</v>
      </c>
      <c r="W60" s="35" t="n">
        <f aca="false">IFERROR(INDEX(LevelOneOff,MATCH($H60,LevelList,0)),0)</f>
        <v>0</v>
      </c>
      <c r="X60" s="35" t="str">
        <f aca="false">IF($G60="","",$V60*N($L60))</f>
        <v/>
      </c>
      <c r="Y60" s="35" t="str">
        <f aca="false">IF($G60="","",$V60*(N($M60)*1+N($N60)*0.75+N($O60)*0.5+N($P60)*0.25)+$W60*N($L60))</f>
        <v/>
      </c>
      <c r="Z60" s="35" t="str">
        <f aca="false">IF($G60="","",$U60*1000000+ROW())</f>
        <v/>
      </c>
      <c r="AA60" s="36" t="str">
        <f aca="false">IF($G60="","",MID(IF($C60="",", no division","")&amp;IF($E60="",", no unit","")&amp;IF($H60="",", no career level","")&amp;IF(N($L60)&lt;=0,", no quarter split","")&amp;IF($R60="",", no driver","")&amp;IF(AND($H60&lt;&gt;"",COUNTIF(CareerLevels,$H60)=0),", a career level that is not on the ladder","")&amp;IF(AND($R60&lt;&gt;"",COUNTIF(DriverList,$R60)=0),", a driver that is not on the list","")&amp;IF(ABS(N($L60)-(N($M60)+N($N60)+N($O60)+N($P60)))&gt;0.001,", a total that does not match its quarters",""),3,300))</f>
        <v/>
      </c>
    </row>
    <row r="61" customFormat="false" ht="15" hidden="false" customHeight="false" outlineLevel="0" collapsed="false">
      <c r="A61" s="33" t="str">
        <f aca="false">IF($G61="","","CEO Office")</f>
        <v/>
      </c>
      <c r="B61" s="19"/>
      <c r="C61" s="19"/>
      <c r="D61" s="19"/>
      <c r="E61" s="19"/>
      <c r="F61" s="19"/>
      <c r="G61" s="19"/>
      <c r="H61" s="19"/>
      <c r="I61" s="19"/>
      <c r="J61" s="19"/>
      <c r="K61" s="19"/>
      <c r="L61" s="19"/>
      <c r="M61" s="19"/>
      <c r="N61" s="19"/>
      <c r="O61" s="19"/>
      <c r="P61" s="19"/>
      <c r="Q61" s="19"/>
      <c r="R61" s="19"/>
      <c r="S61" s="19"/>
      <c r="T61" s="34" t="str">
        <f aca="false">IF($R61="","",IFERROR(INDEX(DriverCategory,MATCH($R61,DriverList,0)),"BAU"))</f>
        <v/>
      </c>
      <c r="U61" s="34" t="str">
        <f aca="false">IF($R61="","",IFERROR(INDEX(DriverRank,MATCH($R61,DriverList,0)),99))</f>
        <v/>
      </c>
      <c r="V61" s="35" t="n">
        <f aca="false">IF($H61="",0,IFERROR(INDEX(LevelBasic,MATCH($H61,LevelList,0))+INDEX(LevelHousing,MATCH($H61,LevelList,0))+INDEX(LevelTransport,MATCH($H61,LevelList,0))+INDEX(LevelBasic,MATCH($H61,LevelList,0))*INDEX(LevelBonus,MATCH($H61,LevelList,0))+(INDEX(LevelBasic,MATCH($H61,LevelList,0))+INDEX(LevelHousing,MATCH($H61,LevelList,0)))*GosiSaudi,0))</f>
        <v>0</v>
      </c>
      <c r="W61" s="35" t="n">
        <f aca="false">IFERROR(INDEX(LevelOneOff,MATCH($H61,LevelList,0)),0)</f>
        <v>0</v>
      </c>
      <c r="X61" s="35" t="str">
        <f aca="false">IF($G61="","",$V61*N($L61))</f>
        <v/>
      </c>
      <c r="Y61" s="35" t="str">
        <f aca="false">IF($G61="","",$V61*(N($M61)*1+N($N61)*0.75+N($O61)*0.5+N($P61)*0.25)+$W61*N($L61))</f>
        <v/>
      </c>
      <c r="Z61" s="35" t="str">
        <f aca="false">IF($G61="","",$U61*1000000+ROW())</f>
        <v/>
      </c>
      <c r="AA61" s="36" t="str">
        <f aca="false">IF($G61="","",MID(IF($C61="",", no division","")&amp;IF($E61="",", no unit","")&amp;IF($H61="",", no career level","")&amp;IF(N($L61)&lt;=0,", no quarter split","")&amp;IF($R61="",", no driver","")&amp;IF(AND($H61&lt;&gt;"",COUNTIF(CareerLevels,$H61)=0),", a career level that is not on the ladder","")&amp;IF(AND($R61&lt;&gt;"",COUNTIF(DriverList,$R61)=0),", a driver that is not on the list","")&amp;IF(ABS(N($L61)-(N($M61)+N($N61)+N($O61)+N($P61)))&gt;0.001,", a total that does not match its quarters",""),3,300))</f>
        <v/>
      </c>
    </row>
    <row r="62" customFormat="false" ht="15" hidden="false" customHeight="false" outlineLevel="0" collapsed="false">
      <c r="A62" s="33" t="str">
        <f aca="false">IF($G62="","","CEO Office")</f>
        <v/>
      </c>
      <c r="B62" s="19"/>
      <c r="C62" s="19"/>
      <c r="D62" s="19"/>
      <c r="E62" s="19"/>
      <c r="F62" s="19"/>
      <c r="G62" s="19"/>
      <c r="H62" s="19"/>
      <c r="I62" s="19"/>
      <c r="J62" s="19"/>
      <c r="K62" s="19"/>
      <c r="L62" s="19"/>
      <c r="M62" s="19"/>
      <c r="N62" s="19"/>
      <c r="O62" s="19"/>
      <c r="P62" s="19"/>
      <c r="Q62" s="19"/>
      <c r="R62" s="19"/>
      <c r="S62" s="19"/>
      <c r="T62" s="34" t="str">
        <f aca="false">IF($R62="","",IFERROR(INDEX(DriverCategory,MATCH($R62,DriverList,0)),"BAU"))</f>
        <v/>
      </c>
      <c r="U62" s="34" t="str">
        <f aca="false">IF($R62="","",IFERROR(INDEX(DriverRank,MATCH($R62,DriverList,0)),99))</f>
        <v/>
      </c>
      <c r="V62" s="35" t="n">
        <f aca="false">IF($H62="",0,IFERROR(INDEX(LevelBasic,MATCH($H62,LevelList,0))+INDEX(LevelHousing,MATCH($H62,LevelList,0))+INDEX(LevelTransport,MATCH($H62,LevelList,0))+INDEX(LevelBasic,MATCH($H62,LevelList,0))*INDEX(LevelBonus,MATCH($H62,LevelList,0))+(INDEX(LevelBasic,MATCH($H62,LevelList,0))+INDEX(LevelHousing,MATCH($H62,LevelList,0)))*GosiSaudi,0))</f>
        <v>0</v>
      </c>
      <c r="W62" s="35" t="n">
        <f aca="false">IFERROR(INDEX(LevelOneOff,MATCH($H62,LevelList,0)),0)</f>
        <v>0</v>
      </c>
      <c r="X62" s="35" t="str">
        <f aca="false">IF($G62="","",$V62*N($L62))</f>
        <v/>
      </c>
      <c r="Y62" s="35" t="str">
        <f aca="false">IF($G62="","",$V62*(N($M62)*1+N($N62)*0.75+N($O62)*0.5+N($P62)*0.25)+$W62*N($L62))</f>
        <v/>
      </c>
      <c r="Z62" s="35" t="str">
        <f aca="false">IF($G62="","",$U62*1000000+ROW())</f>
        <v/>
      </c>
      <c r="AA62" s="36" t="str">
        <f aca="false">IF($G62="","",MID(IF($C62="",", no division","")&amp;IF($E62="",", no unit","")&amp;IF($H62="",", no career level","")&amp;IF(N($L62)&lt;=0,", no quarter split","")&amp;IF($R62="",", no driver","")&amp;IF(AND($H62&lt;&gt;"",COUNTIF(CareerLevels,$H62)=0),", a career level that is not on the ladder","")&amp;IF(AND($R62&lt;&gt;"",COUNTIF(DriverList,$R62)=0),", a driver that is not on the list","")&amp;IF(ABS(N($L62)-(N($M62)+N($N62)+N($O62)+N($P62)))&gt;0.001,", a total that does not match its quarters",""),3,300))</f>
        <v/>
      </c>
    </row>
    <row r="63" customFormat="false" ht="15" hidden="false" customHeight="false" outlineLevel="0" collapsed="false">
      <c r="A63" s="33" t="str">
        <f aca="false">IF($G63="","","CEO Office")</f>
        <v/>
      </c>
      <c r="B63" s="19"/>
      <c r="C63" s="19"/>
      <c r="D63" s="19"/>
      <c r="E63" s="19"/>
      <c r="F63" s="19"/>
      <c r="G63" s="19"/>
      <c r="H63" s="19"/>
      <c r="I63" s="19"/>
      <c r="J63" s="19"/>
      <c r="K63" s="19"/>
      <c r="L63" s="19"/>
      <c r="M63" s="19"/>
      <c r="N63" s="19"/>
      <c r="O63" s="19"/>
      <c r="P63" s="19"/>
      <c r="Q63" s="19"/>
      <c r="R63" s="19"/>
      <c r="S63" s="19"/>
      <c r="T63" s="34" t="str">
        <f aca="false">IF($R63="","",IFERROR(INDEX(DriverCategory,MATCH($R63,DriverList,0)),"BAU"))</f>
        <v/>
      </c>
      <c r="U63" s="34" t="str">
        <f aca="false">IF($R63="","",IFERROR(INDEX(DriverRank,MATCH($R63,DriverList,0)),99))</f>
        <v/>
      </c>
      <c r="V63" s="35" t="n">
        <f aca="false">IF($H63="",0,IFERROR(INDEX(LevelBasic,MATCH($H63,LevelList,0))+INDEX(LevelHousing,MATCH($H63,LevelList,0))+INDEX(LevelTransport,MATCH($H63,LevelList,0))+INDEX(LevelBasic,MATCH($H63,LevelList,0))*INDEX(LevelBonus,MATCH($H63,LevelList,0))+(INDEX(LevelBasic,MATCH($H63,LevelList,0))+INDEX(LevelHousing,MATCH($H63,LevelList,0)))*GosiSaudi,0))</f>
        <v>0</v>
      </c>
      <c r="W63" s="35" t="n">
        <f aca="false">IFERROR(INDEX(LevelOneOff,MATCH($H63,LevelList,0)),0)</f>
        <v>0</v>
      </c>
      <c r="X63" s="35" t="str">
        <f aca="false">IF($G63="","",$V63*N($L63))</f>
        <v/>
      </c>
      <c r="Y63" s="35" t="str">
        <f aca="false">IF($G63="","",$V63*(N($M63)*1+N($N63)*0.75+N($O63)*0.5+N($P63)*0.25)+$W63*N($L63))</f>
        <v/>
      </c>
      <c r="Z63" s="35" t="str">
        <f aca="false">IF($G63="","",$U63*1000000+ROW())</f>
        <v/>
      </c>
      <c r="AA63" s="36" t="str">
        <f aca="false">IF($G63="","",MID(IF($C63="",", no division","")&amp;IF($E63="",", no unit","")&amp;IF($H63="",", no career level","")&amp;IF(N($L63)&lt;=0,", no quarter split","")&amp;IF($R63="",", no driver","")&amp;IF(AND($H63&lt;&gt;"",COUNTIF(CareerLevels,$H63)=0),", a career level that is not on the ladder","")&amp;IF(AND($R63&lt;&gt;"",COUNTIF(DriverList,$R63)=0),", a driver that is not on the list","")&amp;IF(ABS(N($L63)-(N($M63)+N($N63)+N($O63)+N($P63)))&gt;0.001,", a total that does not match its quarters",""),3,300))</f>
        <v/>
      </c>
    </row>
    <row r="64" customFormat="false" ht="15" hidden="false" customHeight="false" outlineLevel="0" collapsed="false">
      <c r="A64" s="33" t="str">
        <f aca="false">IF($G64="","","CEO Office")</f>
        <v/>
      </c>
      <c r="B64" s="19"/>
      <c r="C64" s="19"/>
      <c r="D64" s="19"/>
      <c r="E64" s="19"/>
      <c r="F64" s="19"/>
      <c r="G64" s="19"/>
      <c r="H64" s="19"/>
      <c r="I64" s="19"/>
      <c r="J64" s="19"/>
      <c r="K64" s="19"/>
      <c r="L64" s="19"/>
      <c r="M64" s="19"/>
      <c r="N64" s="19"/>
      <c r="O64" s="19"/>
      <c r="P64" s="19"/>
      <c r="Q64" s="19"/>
      <c r="R64" s="19"/>
      <c r="S64" s="19"/>
      <c r="T64" s="34" t="str">
        <f aca="false">IF($R64="","",IFERROR(INDEX(DriverCategory,MATCH($R64,DriverList,0)),"BAU"))</f>
        <v/>
      </c>
      <c r="U64" s="34" t="str">
        <f aca="false">IF($R64="","",IFERROR(INDEX(DriverRank,MATCH($R64,DriverList,0)),99))</f>
        <v/>
      </c>
      <c r="V64" s="35" t="n">
        <f aca="false">IF($H64="",0,IFERROR(INDEX(LevelBasic,MATCH($H64,LevelList,0))+INDEX(LevelHousing,MATCH($H64,LevelList,0))+INDEX(LevelTransport,MATCH($H64,LevelList,0))+INDEX(LevelBasic,MATCH($H64,LevelList,0))*INDEX(LevelBonus,MATCH($H64,LevelList,0))+(INDEX(LevelBasic,MATCH($H64,LevelList,0))+INDEX(LevelHousing,MATCH($H64,LevelList,0)))*GosiSaudi,0))</f>
        <v>0</v>
      </c>
      <c r="W64" s="35" t="n">
        <f aca="false">IFERROR(INDEX(LevelOneOff,MATCH($H64,LevelList,0)),0)</f>
        <v>0</v>
      </c>
      <c r="X64" s="35" t="str">
        <f aca="false">IF($G64="","",$V64*N($L64))</f>
        <v/>
      </c>
      <c r="Y64" s="35" t="str">
        <f aca="false">IF($G64="","",$V64*(N($M64)*1+N($N64)*0.75+N($O64)*0.5+N($P64)*0.25)+$W64*N($L64))</f>
        <v/>
      </c>
      <c r="Z64" s="35" t="str">
        <f aca="false">IF($G64="","",$U64*1000000+ROW())</f>
        <v/>
      </c>
      <c r="AA64" s="36" t="str">
        <f aca="false">IF($G64="","",MID(IF($C64="",", no division","")&amp;IF($E64="",", no unit","")&amp;IF($H64="",", no career level","")&amp;IF(N($L64)&lt;=0,", no quarter split","")&amp;IF($R64="",", no driver","")&amp;IF(AND($H64&lt;&gt;"",COUNTIF(CareerLevels,$H64)=0),", a career level that is not on the ladder","")&amp;IF(AND($R64&lt;&gt;"",COUNTIF(DriverList,$R64)=0),", a driver that is not on the list","")&amp;IF(ABS(N($L64)-(N($M64)+N($N64)+N($O64)+N($P64)))&gt;0.001,", a total that does not match its quarters",""),3,300))</f>
        <v/>
      </c>
    </row>
    <row r="65" customFormat="false" ht="15" hidden="false" customHeight="false" outlineLevel="0" collapsed="false">
      <c r="A65" s="33" t="str">
        <f aca="false">IF($G65="","","CEO Office")</f>
        <v/>
      </c>
      <c r="B65" s="19"/>
      <c r="C65" s="19"/>
      <c r="D65" s="19"/>
      <c r="E65" s="19"/>
      <c r="F65" s="19"/>
      <c r="G65" s="19"/>
      <c r="H65" s="19"/>
      <c r="I65" s="19"/>
      <c r="J65" s="19"/>
      <c r="K65" s="19"/>
      <c r="L65" s="19"/>
      <c r="M65" s="19"/>
      <c r="N65" s="19"/>
      <c r="O65" s="19"/>
      <c r="P65" s="19"/>
      <c r="Q65" s="19"/>
      <c r="R65" s="19"/>
      <c r="S65" s="19"/>
      <c r="T65" s="34" t="str">
        <f aca="false">IF($R65="","",IFERROR(INDEX(DriverCategory,MATCH($R65,DriverList,0)),"BAU"))</f>
        <v/>
      </c>
      <c r="U65" s="34" t="str">
        <f aca="false">IF($R65="","",IFERROR(INDEX(DriverRank,MATCH($R65,DriverList,0)),99))</f>
        <v/>
      </c>
      <c r="V65" s="35" t="n">
        <f aca="false">IF($H65="",0,IFERROR(INDEX(LevelBasic,MATCH($H65,LevelList,0))+INDEX(LevelHousing,MATCH($H65,LevelList,0))+INDEX(LevelTransport,MATCH($H65,LevelList,0))+INDEX(LevelBasic,MATCH($H65,LevelList,0))*INDEX(LevelBonus,MATCH($H65,LevelList,0))+(INDEX(LevelBasic,MATCH($H65,LevelList,0))+INDEX(LevelHousing,MATCH($H65,LevelList,0)))*GosiSaudi,0))</f>
        <v>0</v>
      </c>
      <c r="W65" s="35" t="n">
        <f aca="false">IFERROR(INDEX(LevelOneOff,MATCH($H65,LevelList,0)),0)</f>
        <v>0</v>
      </c>
      <c r="X65" s="35" t="str">
        <f aca="false">IF($G65="","",$V65*N($L65))</f>
        <v/>
      </c>
      <c r="Y65" s="35" t="str">
        <f aca="false">IF($G65="","",$V65*(N($M65)*1+N($N65)*0.75+N($O65)*0.5+N($P65)*0.25)+$W65*N($L65))</f>
        <v/>
      </c>
      <c r="Z65" s="35" t="str">
        <f aca="false">IF($G65="","",$U65*1000000+ROW())</f>
        <v/>
      </c>
      <c r="AA65" s="36" t="str">
        <f aca="false">IF($G65="","",MID(IF($C65="",", no division","")&amp;IF($E65="",", no unit","")&amp;IF($H65="",", no career level","")&amp;IF(N($L65)&lt;=0,", no quarter split","")&amp;IF($R65="",", no driver","")&amp;IF(AND($H65&lt;&gt;"",COUNTIF(CareerLevels,$H65)=0),", a career level that is not on the ladder","")&amp;IF(AND($R65&lt;&gt;"",COUNTIF(DriverList,$R65)=0),", a driver that is not on the list","")&amp;IF(ABS(N($L65)-(N($M65)+N($N65)+N($O65)+N($P65)))&gt;0.001,", a total that does not match its quarters",""),3,300))</f>
        <v/>
      </c>
    </row>
    <row r="66" customFormat="false" ht="15" hidden="false" customHeight="false" outlineLevel="0" collapsed="false">
      <c r="A66" s="33" t="str">
        <f aca="false">IF($G66="","","CEO Office")</f>
        <v/>
      </c>
      <c r="B66" s="19"/>
      <c r="C66" s="19"/>
      <c r="D66" s="19"/>
      <c r="E66" s="19"/>
      <c r="F66" s="19"/>
      <c r="G66" s="19"/>
      <c r="H66" s="19"/>
      <c r="I66" s="19"/>
      <c r="J66" s="19"/>
      <c r="K66" s="19"/>
      <c r="L66" s="19"/>
      <c r="M66" s="19"/>
      <c r="N66" s="19"/>
      <c r="O66" s="19"/>
      <c r="P66" s="19"/>
      <c r="Q66" s="19"/>
      <c r="R66" s="19"/>
      <c r="S66" s="19"/>
      <c r="T66" s="34" t="str">
        <f aca="false">IF($R66="","",IFERROR(INDEX(DriverCategory,MATCH($R66,DriverList,0)),"BAU"))</f>
        <v/>
      </c>
      <c r="U66" s="34" t="str">
        <f aca="false">IF($R66="","",IFERROR(INDEX(DriverRank,MATCH($R66,DriverList,0)),99))</f>
        <v/>
      </c>
      <c r="V66" s="35" t="n">
        <f aca="false">IF($H66="",0,IFERROR(INDEX(LevelBasic,MATCH($H66,LevelList,0))+INDEX(LevelHousing,MATCH($H66,LevelList,0))+INDEX(LevelTransport,MATCH($H66,LevelList,0))+INDEX(LevelBasic,MATCH($H66,LevelList,0))*INDEX(LevelBonus,MATCH($H66,LevelList,0))+(INDEX(LevelBasic,MATCH($H66,LevelList,0))+INDEX(LevelHousing,MATCH($H66,LevelList,0)))*GosiSaudi,0))</f>
        <v>0</v>
      </c>
      <c r="W66" s="35" t="n">
        <f aca="false">IFERROR(INDEX(LevelOneOff,MATCH($H66,LevelList,0)),0)</f>
        <v>0</v>
      </c>
      <c r="X66" s="35" t="str">
        <f aca="false">IF($G66="","",$V66*N($L66))</f>
        <v/>
      </c>
      <c r="Y66" s="35" t="str">
        <f aca="false">IF($G66="","",$V66*(N($M66)*1+N($N66)*0.75+N($O66)*0.5+N($P66)*0.25)+$W66*N($L66))</f>
        <v/>
      </c>
      <c r="Z66" s="35" t="str">
        <f aca="false">IF($G66="","",$U66*1000000+ROW())</f>
        <v/>
      </c>
      <c r="AA66" s="36" t="str">
        <f aca="false">IF($G66="","",MID(IF($C66="",", no division","")&amp;IF($E66="",", no unit","")&amp;IF($H66="",", no career level","")&amp;IF(N($L66)&lt;=0,", no quarter split","")&amp;IF($R66="",", no driver","")&amp;IF(AND($H66&lt;&gt;"",COUNTIF(CareerLevels,$H66)=0),", a career level that is not on the ladder","")&amp;IF(AND($R66&lt;&gt;"",COUNTIF(DriverList,$R66)=0),", a driver that is not on the list","")&amp;IF(ABS(N($L66)-(N($M66)+N($N66)+N($O66)+N($P66)))&gt;0.001,", a total that does not match its quarters",""),3,300))</f>
        <v/>
      </c>
    </row>
    <row r="67" customFormat="false" ht="15" hidden="false" customHeight="false" outlineLevel="0" collapsed="false">
      <c r="A67" s="33" t="str">
        <f aca="false">IF($G67="","","CEO Office")</f>
        <v/>
      </c>
      <c r="B67" s="19"/>
      <c r="C67" s="19"/>
      <c r="D67" s="19"/>
      <c r="E67" s="19"/>
      <c r="F67" s="19"/>
      <c r="G67" s="19"/>
      <c r="H67" s="19"/>
      <c r="I67" s="19"/>
      <c r="J67" s="19"/>
      <c r="K67" s="19"/>
      <c r="L67" s="19"/>
      <c r="M67" s="19"/>
      <c r="N67" s="19"/>
      <c r="O67" s="19"/>
      <c r="P67" s="19"/>
      <c r="Q67" s="19"/>
      <c r="R67" s="19"/>
      <c r="S67" s="19"/>
      <c r="T67" s="34" t="str">
        <f aca="false">IF($R67="","",IFERROR(INDEX(DriverCategory,MATCH($R67,DriverList,0)),"BAU"))</f>
        <v/>
      </c>
      <c r="U67" s="34" t="str">
        <f aca="false">IF($R67="","",IFERROR(INDEX(DriverRank,MATCH($R67,DriverList,0)),99))</f>
        <v/>
      </c>
      <c r="V67" s="35" t="n">
        <f aca="false">IF($H67="",0,IFERROR(INDEX(LevelBasic,MATCH($H67,LevelList,0))+INDEX(LevelHousing,MATCH($H67,LevelList,0))+INDEX(LevelTransport,MATCH($H67,LevelList,0))+INDEX(LevelBasic,MATCH($H67,LevelList,0))*INDEX(LevelBonus,MATCH($H67,LevelList,0))+(INDEX(LevelBasic,MATCH($H67,LevelList,0))+INDEX(LevelHousing,MATCH($H67,LevelList,0)))*GosiSaudi,0))</f>
        <v>0</v>
      </c>
      <c r="W67" s="35" t="n">
        <f aca="false">IFERROR(INDEX(LevelOneOff,MATCH($H67,LevelList,0)),0)</f>
        <v>0</v>
      </c>
      <c r="X67" s="35" t="str">
        <f aca="false">IF($G67="","",$V67*N($L67))</f>
        <v/>
      </c>
      <c r="Y67" s="35" t="str">
        <f aca="false">IF($G67="","",$V67*(N($M67)*1+N($N67)*0.75+N($O67)*0.5+N($P67)*0.25)+$W67*N($L67))</f>
        <v/>
      </c>
      <c r="Z67" s="35" t="str">
        <f aca="false">IF($G67="","",$U67*1000000+ROW())</f>
        <v/>
      </c>
      <c r="AA67" s="36" t="str">
        <f aca="false">IF($G67="","",MID(IF($C67="",", no division","")&amp;IF($E67="",", no unit","")&amp;IF($H67="",", no career level","")&amp;IF(N($L67)&lt;=0,", no quarter split","")&amp;IF($R67="",", no driver","")&amp;IF(AND($H67&lt;&gt;"",COUNTIF(CareerLevels,$H67)=0),", a career level that is not on the ladder","")&amp;IF(AND($R67&lt;&gt;"",COUNTIF(DriverList,$R67)=0),", a driver that is not on the list","")&amp;IF(ABS(N($L67)-(N($M67)+N($N67)+N($O67)+N($P67)))&gt;0.001,", a total that does not match its quarters",""),3,300))</f>
        <v/>
      </c>
    </row>
    <row r="68" customFormat="false" ht="15" hidden="false" customHeight="false" outlineLevel="0" collapsed="false">
      <c r="A68" s="33" t="str">
        <f aca="false">IF($G68="","","CEO Office")</f>
        <v/>
      </c>
      <c r="B68" s="19"/>
      <c r="C68" s="19"/>
      <c r="D68" s="19"/>
      <c r="E68" s="19"/>
      <c r="F68" s="19"/>
      <c r="G68" s="19"/>
      <c r="H68" s="19"/>
      <c r="I68" s="19"/>
      <c r="J68" s="19"/>
      <c r="K68" s="19"/>
      <c r="L68" s="19"/>
      <c r="M68" s="19"/>
      <c r="N68" s="19"/>
      <c r="O68" s="19"/>
      <c r="P68" s="19"/>
      <c r="Q68" s="19"/>
      <c r="R68" s="19"/>
      <c r="S68" s="19"/>
      <c r="T68" s="34" t="str">
        <f aca="false">IF($R68="","",IFERROR(INDEX(DriverCategory,MATCH($R68,DriverList,0)),"BAU"))</f>
        <v/>
      </c>
      <c r="U68" s="34" t="str">
        <f aca="false">IF($R68="","",IFERROR(INDEX(DriverRank,MATCH($R68,DriverList,0)),99))</f>
        <v/>
      </c>
      <c r="V68" s="35" t="n">
        <f aca="false">IF($H68="",0,IFERROR(INDEX(LevelBasic,MATCH($H68,LevelList,0))+INDEX(LevelHousing,MATCH($H68,LevelList,0))+INDEX(LevelTransport,MATCH($H68,LevelList,0))+INDEX(LevelBasic,MATCH($H68,LevelList,0))*INDEX(LevelBonus,MATCH($H68,LevelList,0))+(INDEX(LevelBasic,MATCH($H68,LevelList,0))+INDEX(LevelHousing,MATCH($H68,LevelList,0)))*GosiSaudi,0))</f>
        <v>0</v>
      </c>
      <c r="W68" s="35" t="n">
        <f aca="false">IFERROR(INDEX(LevelOneOff,MATCH($H68,LevelList,0)),0)</f>
        <v>0</v>
      </c>
      <c r="X68" s="35" t="str">
        <f aca="false">IF($G68="","",$V68*N($L68))</f>
        <v/>
      </c>
      <c r="Y68" s="35" t="str">
        <f aca="false">IF($G68="","",$V68*(N($M68)*1+N($N68)*0.75+N($O68)*0.5+N($P68)*0.25)+$W68*N($L68))</f>
        <v/>
      </c>
      <c r="Z68" s="35" t="str">
        <f aca="false">IF($G68="","",$U68*1000000+ROW())</f>
        <v/>
      </c>
      <c r="AA68" s="36" t="str">
        <f aca="false">IF($G68="","",MID(IF($C68="",", no division","")&amp;IF($E68="",", no unit","")&amp;IF($H68="",", no career level","")&amp;IF(N($L68)&lt;=0,", no quarter split","")&amp;IF($R68="",", no driver","")&amp;IF(AND($H68&lt;&gt;"",COUNTIF(CareerLevels,$H68)=0),", a career level that is not on the ladder","")&amp;IF(AND($R68&lt;&gt;"",COUNTIF(DriverList,$R68)=0),", a driver that is not on the list","")&amp;IF(ABS(N($L68)-(N($M68)+N($N68)+N($O68)+N($P68)))&gt;0.001,", a total that does not match its quarters",""),3,300))</f>
        <v/>
      </c>
    </row>
    <row r="69" customFormat="false" ht="15" hidden="false" customHeight="false" outlineLevel="0" collapsed="false">
      <c r="A69" s="33" t="str">
        <f aca="false">IF($G69="","","CEO Office")</f>
        <v/>
      </c>
      <c r="B69" s="19"/>
      <c r="C69" s="19"/>
      <c r="D69" s="19"/>
      <c r="E69" s="19"/>
      <c r="F69" s="19"/>
      <c r="G69" s="19"/>
      <c r="H69" s="19"/>
      <c r="I69" s="19"/>
      <c r="J69" s="19"/>
      <c r="K69" s="19"/>
      <c r="L69" s="19"/>
      <c r="M69" s="19"/>
      <c r="N69" s="19"/>
      <c r="O69" s="19"/>
      <c r="P69" s="19"/>
      <c r="Q69" s="19"/>
      <c r="R69" s="19"/>
      <c r="S69" s="19"/>
      <c r="T69" s="34" t="str">
        <f aca="false">IF($R69="","",IFERROR(INDEX(DriverCategory,MATCH($R69,DriverList,0)),"BAU"))</f>
        <v/>
      </c>
      <c r="U69" s="34" t="str">
        <f aca="false">IF($R69="","",IFERROR(INDEX(DriverRank,MATCH($R69,DriverList,0)),99))</f>
        <v/>
      </c>
      <c r="V69" s="35" t="n">
        <f aca="false">IF($H69="",0,IFERROR(INDEX(LevelBasic,MATCH($H69,LevelList,0))+INDEX(LevelHousing,MATCH($H69,LevelList,0))+INDEX(LevelTransport,MATCH($H69,LevelList,0))+INDEX(LevelBasic,MATCH($H69,LevelList,0))*INDEX(LevelBonus,MATCH($H69,LevelList,0))+(INDEX(LevelBasic,MATCH($H69,LevelList,0))+INDEX(LevelHousing,MATCH($H69,LevelList,0)))*GosiSaudi,0))</f>
        <v>0</v>
      </c>
      <c r="W69" s="35" t="n">
        <f aca="false">IFERROR(INDEX(LevelOneOff,MATCH($H69,LevelList,0)),0)</f>
        <v>0</v>
      </c>
      <c r="X69" s="35" t="str">
        <f aca="false">IF($G69="","",$V69*N($L69))</f>
        <v/>
      </c>
      <c r="Y69" s="35" t="str">
        <f aca="false">IF($G69="","",$V69*(N($M69)*1+N($N69)*0.75+N($O69)*0.5+N($P69)*0.25)+$W69*N($L69))</f>
        <v/>
      </c>
      <c r="Z69" s="35" t="str">
        <f aca="false">IF($G69="","",$U69*1000000+ROW())</f>
        <v/>
      </c>
      <c r="AA69" s="36" t="str">
        <f aca="false">IF($G69="","",MID(IF($C69="",", no division","")&amp;IF($E69="",", no unit","")&amp;IF($H69="",", no career level","")&amp;IF(N($L69)&lt;=0,", no quarter split","")&amp;IF($R69="",", no driver","")&amp;IF(AND($H69&lt;&gt;"",COUNTIF(CareerLevels,$H69)=0),", a career level that is not on the ladder","")&amp;IF(AND($R69&lt;&gt;"",COUNTIF(DriverList,$R69)=0),", a driver that is not on the list","")&amp;IF(ABS(N($L69)-(N($M69)+N($N69)+N($O69)+N($P69)))&gt;0.001,", a total that does not match its quarters",""),3,300))</f>
        <v/>
      </c>
    </row>
    <row r="70" customFormat="false" ht="15" hidden="false" customHeight="false" outlineLevel="0" collapsed="false">
      <c r="A70" s="33" t="str">
        <f aca="false">IF($G70="","","CEO Office")</f>
        <v/>
      </c>
      <c r="B70" s="19"/>
      <c r="C70" s="19"/>
      <c r="D70" s="19"/>
      <c r="E70" s="19"/>
      <c r="F70" s="19"/>
      <c r="G70" s="19"/>
      <c r="H70" s="19"/>
      <c r="I70" s="19"/>
      <c r="J70" s="19"/>
      <c r="K70" s="19"/>
      <c r="L70" s="19"/>
      <c r="M70" s="19"/>
      <c r="N70" s="19"/>
      <c r="O70" s="19"/>
      <c r="P70" s="19"/>
      <c r="Q70" s="19"/>
      <c r="R70" s="19"/>
      <c r="S70" s="19"/>
      <c r="T70" s="34" t="str">
        <f aca="false">IF($R70="","",IFERROR(INDEX(DriverCategory,MATCH($R70,DriverList,0)),"BAU"))</f>
        <v/>
      </c>
      <c r="U70" s="34" t="str">
        <f aca="false">IF($R70="","",IFERROR(INDEX(DriverRank,MATCH($R70,DriverList,0)),99))</f>
        <v/>
      </c>
      <c r="V70" s="35" t="n">
        <f aca="false">IF($H70="",0,IFERROR(INDEX(LevelBasic,MATCH($H70,LevelList,0))+INDEX(LevelHousing,MATCH($H70,LevelList,0))+INDEX(LevelTransport,MATCH($H70,LevelList,0))+INDEX(LevelBasic,MATCH($H70,LevelList,0))*INDEX(LevelBonus,MATCH($H70,LevelList,0))+(INDEX(LevelBasic,MATCH($H70,LevelList,0))+INDEX(LevelHousing,MATCH($H70,LevelList,0)))*GosiSaudi,0))</f>
        <v>0</v>
      </c>
      <c r="W70" s="35" t="n">
        <f aca="false">IFERROR(INDEX(LevelOneOff,MATCH($H70,LevelList,0)),0)</f>
        <v>0</v>
      </c>
      <c r="X70" s="35" t="str">
        <f aca="false">IF($G70="","",$V70*N($L70))</f>
        <v/>
      </c>
      <c r="Y70" s="35" t="str">
        <f aca="false">IF($G70="","",$V70*(N($M70)*1+N($N70)*0.75+N($O70)*0.5+N($P70)*0.25)+$W70*N($L70))</f>
        <v/>
      </c>
      <c r="Z70" s="35" t="str">
        <f aca="false">IF($G70="","",$U70*1000000+ROW())</f>
        <v/>
      </c>
      <c r="AA70" s="36" t="str">
        <f aca="false">IF($G70="","",MID(IF($C70="",", no division","")&amp;IF($E70="",", no unit","")&amp;IF($H70="",", no career level","")&amp;IF(N($L70)&lt;=0,", no quarter split","")&amp;IF($R70="",", no driver","")&amp;IF(AND($H70&lt;&gt;"",COUNTIF(CareerLevels,$H70)=0),", a career level that is not on the ladder","")&amp;IF(AND($R70&lt;&gt;"",COUNTIF(DriverList,$R70)=0),", a driver that is not on the list","")&amp;IF(ABS(N($L70)-(N($M70)+N($N70)+N($O70)+N($P70)))&gt;0.001,", a total that does not match its quarters",""),3,300))</f>
        <v/>
      </c>
    </row>
    <row r="71" customFormat="false" ht="15" hidden="false" customHeight="false" outlineLevel="0" collapsed="false">
      <c r="A71" s="33" t="str">
        <f aca="false">IF($G71="","","CEO Office")</f>
        <v/>
      </c>
      <c r="B71" s="19"/>
      <c r="C71" s="19"/>
      <c r="D71" s="19"/>
      <c r="E71" s="19"/>
      <c r="F71" s="19"/>
      <c r="G71" s="19"/>
      <c r="H71" s="19"/>
      <c r="I71" s="19"/>
      <c r="J71" s="19"/>
      <c r="K71" s="19"/>
      <c r="L71" s="19"/>
      <c r="M71" s="19"/>
      <c r="N71" s="19"/>
      <c r="O71" s="19"/>
      <c r="P71" s="19"/>
      <c r="Q71" s="19"/>
      <c r="R71" s="19"/>
      <c r="S71" s="19"/>
      <c r="T71" s="34" t="str">
        <f aca="false">IF($R71="","",IFERROR(INDEX(DriverCategory,MATCH($R71,DriverList,0)),"BAU"))</f>
        <v/>
      </c>
      <c r="U71" s="34" t="str">
        <f aca="false">IF($R71="","",IFERROR(INDEX(DriverRank,MATCH($R71,DriverList,0)),99))</f>
        <v/>
      </c>
      <c r="V71" s="35" t="n">
        <f aca="false">IF($H71="",0,IFERROR(INDEX(LevelBasic,MATCH($H71,LevelList,0))+INDEX(LevelHousing,MATCH($H71,LevelList,0))+INDEX(LevelTransport,MATCH($H71,LevelList,0))+INDEX(LevelBasic,MATCH($H71,LevelList,0))*INDEX(LevelBonus,MATCH($H71,LevelList,0))+(INDEX(LevelBasic,MATCH($H71,LevelList,0))+INDEX(LevelHousing,MATCH($H71,LevelList,0)))*GosiSaudi,0))</f>
        <v>0</v>
      </c>
      <c r="W71" s="35" t="n">
        <f aca="false">IFERROR(INDEX(LevelOneOff,MATCH($H71,LevelList,0)),0)</f>
        <v>0</v>
      </c>
      <c r="X71" s="35" t="str">
        <f aca="false">IF($G71="","",$V71*N($L71))</f>
        <v/>
      </c>
      <c r="Y71" s="35" t="str">
        <f aca="false">IF($G71="","",$V71*(N($M71)*1+N($N71)*0.75+N($O71)*0.5+N($P71)*0.25)+$W71*N($L71))</f>
        <v/>
      </c>
      <c r="Z71" s="35" t="str">
        <f aca="false">IF($G71="","",$U71*1000000+ROW())</f>
        <v/>
      </c>
      <c r="AA71" s="36" t="str">
        <f aca="false">IF($G71="","",MID(IF($C71="",", no division","")&amp;IF($E71="",", no unit","")&amp;IF($H71="",", no career level","")&amp;IF(N($L71)&lt;=0,", no quarter split","")&amp;IF($R71="",", no driver","")&amp;IF(AND($H71&lt;&gt;"",COUNTIF(CareerLevels,$H71)=0),", a career level that is not on the ladder","")&amp;IF(AND($R71&lt;&gt;"",COUNTIF(DriverList,$R71)=0),", a driver that is not on the list","")&amp;IF(ABS(N($L71)-(N($M71)+N($N71)+N($O71)+N($P71)))&gt;0.001,", a total that does not match its quarters",""),3,300))</f>
        <v/>
      </c>
    </row>
    <row r="72" customFormat="false" ht="15" hidden="false" customHeight="false" outlineLevel="0" collapsed="false">
      <c r="A72" s="33" t="str">
        <f aca="false">IF($G72="","","CEO Office")</f>
        <v/>
      </c>
      <c r="B72" s="19"/>
      <c r="C72" s="19"/>
      <c r="D72" s="19"/>
      <c r="E72" s="19"/>
      <c r="F72" s="19"/>
      <c r="G72" s="19"/>
      <c r="H72" s="19"/>
      <c r="I72" s="19"/>
      <c r="J72" s="19"/>
      <c r="K72" s="19"/>
      <c r="L72" s="19"/>
      <c r="M72" s="19"/>
      <c r="N72" s="19"/>
      <c r="O72" s="19"/>
      <c r="P72" s="19"/>
      <c r="Q72" s="19"/>
      <c r="R72" s="19"/>
      <c r="S72" s="19"/>
      <c r="T72" s="34" t="str">
        <f aca="false">IF($R72="","",IFERROR(INDEX(DriverCategory,MATCH($R72,DriverList,0)),"BAU"))</f>
        <v/>
      </c>
      <c r="U72" s="34" t="str">
        <f aca="false">IF($R72="","",IFERROR(INDEX(DriverRank,MATCH($R72,DriverList,0)),99))</f>
        <v/>
      </c>
      <c r="V72" s="35" t="n">
        <f aca="false">IF($H72="",0,IFERROR(INDEX(LevelBasic,MATCH($H72,LevelList,0))+INDEX(LevelHousing,MATCH($H72,LevelList,0))+INDEX(LevelTransport,MATCH($H72,LevelList,0))+INDEX(LevelBasic,MATCH($H72,LevelList,0))*INDEX(LevelBonus,MATCH($H72,LevelList,0))+(INDEX(LevelBasic,MATCH($H72,LevelList,0))+INDEX(LevelHousing,MATCH($H72,LevelList,0)))*GosiSaudi,0))</f>
        <v>0</v>
      </c>
      <c r="W72" s="35" t="n">
        <f aca="false">IFERROR(INDEX(LevelOneOff,MATCH($H72,LevelList,0)),0)</f>
        <v>0</v>
      </c>
      <c r="X72" s="35" t="str">
        <f aca="false">IF($G72="","",$V72*N($L72))</f>
        <v/>
      </c>
      <c r="Y72" s="35" t="str">
        <f aca="false">IF($G72="","",$V72*(N($M72)*1+N($N72)*0.75+N($O72)*0.5+N($P72)*0.25)+$W72*N($L72))</f>
        <v/>
      </c>
      <c r="Z72" s="35" t="str">
        <f aca="false">IF($G72="","",$U72*1000000+ROW())</f>
        <v/>
      </c>
      <c r="AA72" s="36" t="str">
        <f aca="false">IF($G72="","",MID(IF($C72="",", no division","")&amp;IF($E72="",", no unit","")&amp;IF($H72="",", no career level","")&amp;IF(N($L72)&lt;=0,", no quarter split","")&amp;IF($R72="",", no driver","")&amp;IF(AND($H72&lt;&gt;"",COUNTIF(CareerLevels,$H72)=0),", a career level that is not on the ladder","")&amp;IF(AND($R72&lt;&gt;"",COUNTIF(DriverList,$R72)=0),", a driver that is not on the list","")&amp;IF(ABS(N($L72)-(N($M72)+N($N72)+N($O72)+N($P72)))&gt;0.001,", a total that does not match its quarters",""),3,300))</f>
        <v/>
      </c>
    </row>
    <row r="73" customFormat="false" ht="15" hidden="false" customHeight="false" outlineLevel="0" collapsed="false">
      <c r="A73" s="33" t="str">
        <f aca="false">IF($G73="","","CEO Office")</f>
        <v/>
      </c>
      <c r="B73" s="19"/>
      <c r="C73" s="19"/>
      <c r="D73" s="19"/>
      <c r="E73" s="19"/>
      <c r="F73" s="19"/>
      <c r="G73" s="19"/>
      <c r="H73" s="19"/>
      <c r="I73" s="19"/>
      <c r="J73" s="19"/>
      <c r="K73" s="19"/>
      <c r="L73" s="19"/>
      <c r="M73" s="19"/>
      <c r="N73" s="19"/>
      <c r="O73" s="19"/>
      <c r="P73" s="19"/>
      <c r="Q73" s="19"/>
      <c r="R73" s="19"/>
      <c r="S73" s="19"/>
      <c r="T73" s="34" t="str">
        <f aca="false">IF($R73="","",IFERROR(INDEX(DriverCategory,MATCH($R73,DriverList,0)),"BAU"))</f>
        <v/>
      </c>
      <c r="U73" s="34" t="str">
        <f aca="false">IF($R73="","",IFERROR(INDEX(DriverRank,MATCH($R73,DriverList,0)),99))</f>
        <v/>
      </c>
      <c r="V73" s="35" t="n">
        <f aca="false">IF($H73="",0,IFERROR(INDEX(LevelBasic,MATCH($H73,LevelList,0))+INDEX(LevelHousing,MATCH($H73,LevelList,0))+INDEX(LevelTransport,MATCH($H73,LevelList,0))+INDEX(LevelBasic,MATCH($H73,LevelList,0))*INDEX(LevelBonus,MATCH($H73,LevelList,0))+(INDEX(LevelBasic,MATCH($H73,LevelList,0))+INDEX(LevelHousing,MATCH($H73,LevelList,0)))*GosiSaudi,0))</f>
        <v>0</v>
      </c>
      <c r="W73" s="35" t="n">
        <f aca="false">IFERROR(INDEX(LevelOneOff,MATCH($H73,LevelList,0)),0)</f>
        <v>0</v>
      </c>
      <c r="X73" s="35" t="str">
        <f aca="false">IF($G73="","",$V73*N($L73))</f>
        <v/>
      </c>
      <c r="Y73" s="35" t="str">
        <f aca="false">IF($G73="","",$V73*(N($M73)*1+N($N73)*0.75+N($O73)*0.5+N($P73)*0.25)+$W73*N($L73))</f>
        <v/>
      </c>
      <c r="Z73" s="35" t="str">
        <f aca="false">IF($G73="","",$U73*1000000+ROW())</f>
        <v/>
      </c>
      <c r="AA73" s="36" t="str">
        <f aca="false">IF($G73="","",MID(IF($C73="",", no division","")&amp;IF($E73="",", no unit","")&amp;IF($H73="",", no career level","")&amp;IF(N($L73)&lt;=0,", no quarter split","")&amp;IF($R73="",", no driver","")&amp;IF(AND($H73&lt;&gt;"",COUNTIF(CareerLevels,$H73)=0),", a career level that is not on the ladder","")&amp;IF(AND($R73&lt;&gt;"",COUNTIF(DriverList,$R73)=0),", a driver that is not on the list","")&amp;IF(ABS(N($L73)-(N($M73)+N($N73)+N($O73)+N($P73)))&gt;0.001,", a total that does not match its quarters",""),3,300))</f>
        <v/>
      </c>
    </row>
    <row r="74" customFormat="false" ht="15" hidden="false" customHeight="false" outlineLevel="0" collapsed="false">
      <c r="A74" s="33" t="str">
        <f aca="false">IF($G74="","","CEO Office")</f>
        <v/>
      </c>
      <c r="B74" s="19"/>
      <c r="C74" s="19"/>
      <c r="D74" s="19"/>
      <c r="E74" s="19"/>
      <c r="F74" s="19"/>
      <c r="G74" s="19"/>
      <c r="H74" s="19"/>
      <c r="I74" s="19"/>
      <c r="J74" s="19"/>
      <c r="K74" s="19"/>
      <c r="L74" s="19"/>
      <c r="M74" s="19"/>
      <c r="N74" s="19"/>
      <c r="O74" s="19"/>
      <c r="P74" s="19"/>
      <c r="Q74" s="19"/>
      <c r="R74" s="19"/>
      <c r="S74" s="19"/>
      <c r="T74" s="34" t="str">
        <f aca="false">IF($R74="","",IFERROR(INDEX(DriverCategory,MATCH($R74,DriverList,0)),"BAU"))</f>
        <v/>
      </c>
      <c r="U74" s="34" t="str">
        <f aca="false">IF($R74="","",IFERROR(INDEX(DriverRank,MATCH($R74,DriverList,0)),99))</f>
        <v/>
      </c>
      <c r="V74" s="35" t="n">
        <f aca="false">IF($H74="",0,IFERROR(INDEX(LevelBasic,MATCH($H74,LevelList,0))+INDEX(LevelHousing,MATCH($H74,LevelList,0))+INDEX(LevelTransport,MATCH($H74,LevelList,0))+INDEX(LevelBasic,MATCH($H74,LevelList,0))*INDEX(LevelBonus,MATCH($H74,LevelList,0))+(INDEX(LevelBasic,MATCH($H74,LevelList,0))+INDEX(LevelHousing,MATCH($H74,LevelList,0)))*GosiSaudi,0))</f>
        <v>0</v>
      </c>
      <c r="W74" s="35" t="n">
        <f aca="false">IFERROR(INDEX(LevelOneOff,MATCH($H74,LevelList,0)),0)</f>
        <v>0</v>
      </c>
      <c r="X74" s="35" t="str">
        <f aca="false">IF($G74="","",$V74*N($L74))</f>
        <v/>
      </c>
      <c r="Y74" s="35" t="str">
        <f aca="false">IF($G74="","",$V74*(N($M74)*1+N($N74)*0.75+N($O74)*0.5+N($P74)*0.25)+$W74*N($L74))</f>
        <v/>
      </c>
      <c r="Z74" s="35" t="str">
        <f aca="false">IF($G74="","",$U74*1000000+ROW())</f>
        <v/>
      </c>
      <c r="AA74" s="36" t="str">
        <f aca="false">IF($G74="","",MID(IF($C74="",", no division","")&amp;IF($E74="",", no unit","")&amp;IF($H74="",", no career level","")&amp;IF(N($L74)&lt;=0,", no quarter split","")&amp;IF($R74="",", no driver","")&amp;IF(AND($H74&lt;&gt;"",COUNTIF(CareerLevels,$H74)=0),", a career level that is not on the ladder","")&amp;IF(AND($R74&lt;&gt;"",COUNTIF(DriverList,$R74)=0),", a driver that is not on the list","")&amp;IF(ABS(N($L74)-(N($M74)+N($N74)+N($O74)+N($P74)))&gt;0.001,", a total that does not match its quarters",""),3,300))</f>
        <v/>
      </c>
    </row>
    <row r="75" customFormat="false" ht="15" hidden="false" customHeight="false" outlineLevel="0" collapsed="false">
      <c r="A75" s="33" t="str">
        <f aca="false">IF($G75="","","CEO Office")</f>
        <v/>
      </c>
      <c r="B75" s="19"/>
      <c r="C75" s="19"/>
      <c r="D75" s="19"/>
      <c r="E75" s="19"/>
      <c r="F75" s="19"/>
      <c r="G75" s="19"/>
      <c r="H75" s="19"/>
      <c r="I75" s="19"/>
      <c r="J75" s="19"/>
      <c r="K75" s="19"/>
      <c r="L75" s="19"/>
      <c r="M75" s="19"/>
      <c r="N75" s="19"/>
      <c r="O75" s="19"/>
      <c r="P75" s="19"/>
      <c r="Q75" s="19"/>
      <c r="R75" s="19"/>
      <c r="S75" s="19"/>
      <c r="T75" s="34" t="str">
        <f aca="false">IF($R75="","",IFERROR(INDEX(DriverCategory,MATCH($R75,DriverList,0)),"BAU"))</f>
        <v/>
      </c>
      <c r="U75" s="34" t="str">
        <f aca="false">IF($R75="","",IFERROR(INDEX(DriverRank,MATCH($R75,DriverList,0)),99))</f>
        <v/>
      </c>
      <c r="V75" s="35" t="n">
        <f aca="false">IF($H75="",0,IFERROR(INDEX(LevelBasic,MATCH($H75,LevelList,0))+INDEX(LevelHousing,MATCH($H75,LevelList,0))+INDEX(LevelTransport,MATCH($H75,LevelList,0))+INDEX(LevelBasic,MATCH($H75,LevelList,0))*INDEX(LevelBonus,MATCH($H75,LevelList,0))+(INDEX(LevelBasic,MATCH($H75,LevelList,0))+INDEX(LevelHousing,MATCH($H75,LevelList,0)))*GosiSaudi,0))</f>
        <v>0</v>
      </c>
      <c r="W75" s="35" t="n">
        <f aca="false">IFERROR(INDEX(LevelOneOff,MATCH($H75,LevelList,0)),0)</f>
        <v>0</v>
      </c>
      <c r="X75" s="35" t="str">
        <f aca="false">IF($G75="","",$V75*N($L75))</f>
        <v/>
      </c>
      <c r="Y75" s="35" t="str">
        <f aca="false">IF($G75="","",$V75*(N($M75)*1+N($N75)*0.75+N($O75)*0.5+N($P75)*0.25)+$W75*N($L75))</f>
        <v/>
      </c>
      <c r="Z75" s="35" t="str">
        <f aca="false">IF($G75="","",$U75*1000000+ROW())</f>
        <v/>
      </c>
      <c r="AA75" s="36" t="str">
        <f aca="false">IF($G75="","",MID(IF($C75="",", no division","")&amp;IF($E75="",", no unit","")&amp;IF($H75="",", no career level","")&amp;IF(N($L75)&lt;=0,", no quarter split","")&amp;IF($R75="",", no driver","")&amp;IF(AND($H75&lt;&gt;"",COUNTIF(CareerLevels,$H75)=0),", a career level that is not on the ladder","")&amp;IF(AND($R75&lt;&gt;"",COUNTIF(DriverList,$R75)=0),", a driver that is not on the list","")&amp;IF(ABS(N($L75)-(N($M75)+N($N75)+N($O75)+N($P75)))&gt;0.001,", a total that does not match its quarters",""),3,300))</f>
        <v/>
      </c>
    </row>
    <row r="76" customFormat="false" ht="15" hidden="false" customHeight="false" outlineLevel="0" collapsed="false">
      <c r="A76" s="33" t="str">
        <f aca="false">IF($G76="","","CEO Office")</f>
        <v/>
      </c>
      <c r="B76" s="19"/>
      <c r="C76" s="19"/>
      <c r="D76" s="19"/>
      <c r="E76" s="19"/>
      <c r="F76" s="19"/>
      <c r="G76" s="19"/>
      <c r="H76" s="19"/>
      <c r="I76" s="19"/>
      <c r="J76" s="19"/>
      <c r="K76" s="19"/>
      <c r="L76" s="19"/>
      <c r="M76" s="19"/>
      <c r="N76" s="19"/>
      <c r="O76" s="19"/>
      <c r="P76" s="19"/>
      <c r="Q76" s="19"/>
      <c r="R76" s="19"/>
      <c r="S76" s="19"/>
      <c r="T76" s="34" t="str">
        <f aca="false">IF($R76="","",IFERROR(INDEX(DriverCategory,MATCH($R76,DriverList,0)),"BAU"))</f>
        <v/>
      </c>
      <c r="U76" s="34" t="str">
        <f aca="false">IF($R76="","",IFERROR(INDEX(DriverRank,MATCH($R76,DriverList,0)),99))</f>
        <v/>
      </c>
      <c r="V76" s="35" t="n">
        <f aca="false">IF($H76="",0,IFERROR(INDEX(LevelBasic,MATCH($H76,LevelList,0))+INDEX(LevelHousing,MATCH($H76,LevelList,0))+INDEX(LevelTransport,MATCH($H76,LevelList,0))+INDEX(LevelBasic,MATCH($H76,LevelList,0))*INDEX(LevelBonus,MATCH($H76,LevelList,0))+(INDEX(LevelBasic,MATCH($H76,LevelList,0))+INDEX(LevelHousing,MATCH($H76,LevelList,0)))*GosiSaudi,0))</f>
        <v>0</v>
      </c>
      <c r="W76" s="35" t="n">
        <f aca="false">IFERROR(INDEX(LevelOneOff,MATCH($H76,LevelList,0)),0)</f>
        <v>0</v>
      </c>
      <c r="X76" s="35" t="str">
        <f aca="false">IF($G76="","",$V76*N($L76))</f>
        <v/>
      </c>
      <c r="Y76" s="35" t="str">
        <f aca="false">IF($G76="","",$V76*(N($M76)*1+N($N76)*0.75+N($O76)*0.5+N($P76)*0.25)+$W76*N($L76))</f>
        <v/>
      </c>
      <c r="Z76" s="35" t="str">
        <f aca="false">IF($G76="","",$U76*1000000+ROW())</f>
        <v/>
      </c>
      <c r="AA76" s="36" t="str">
        <f aca="false">IF($G76="","",MID(IF($C76="",", no division","")&amp;IF($E76="",", no unit","")&amp;IF($H76="",", no career level","")&amp;IF(N($L76)&lt;=0,", no quarter split","")&amp;IF($R76="",", no driver","")&amp;IF(AND($H76&lt;&gt;"",COUNTIF(CareerLevels,$H76)=0),", a career level that is not on the ladder","")&amp;IF(AND($R76&lt;&gt;"",COUNTIF(DriverList,$R76)=0),", a driver that is not on the list","")&amp;IF(ABS(N($L76)-(N($M76)+N($N76)+N($O76)+N($P76)))&gt;0.001,", a total that does not match its quarters",""),3,300))</f>
        <v/>
      </c>
    </row>
    <row r="77" customFormat="false" ht="15" hidden="false" customHeight="false" outlineLevel="0" collapsed="false">
      <c r="A77" s="33" t="str">
        <f aca="false">IF($G77="","","CEO Office")</f>
        <v/>
      </c>
      <c r="B77" s="19"/>
      <c r="C77" s="19"/>
      <c r="D77" s="19"/>
      <c r="E77" s="19"/>
      <c r="F77" s="19"/>
      <c r="G77" s="19"/>
      <c r="H77" s="19"/>
      <c r="I77" s="19"/>
      <c r="J77" s="19"/>
      <c r="K77" s="19"/>
      <c r="L77" s="19"/>
      <c r="M77" s="19"/>
      <c r="N77" s="19"/>
      <c r="O77" s="19"/>
      <c r="P77" s="19"/>
      <c r="Q77" s="19"/>
      <c r="R77" s="19"/>
      <c r="S77" s="19"/>
      <c r="T77" s="34" t="str">
        <f aca="false">IF($R77="","",IFERROR(INDEX(DriverCategory,MATCH($R77,DriverList,0)),"BAU"))</f>
        <v/>
      </c>
      <c r="U77" s="34" t="str">
        <f aca="false">IF($R77="","",IFERROR(INDEX(DriverRank,MATCH($R77,DriverList,0)),99))</f>
        <v/>
      </c>
      <c r="V77" s="35" t="n">
        <f aca="false">IF($H77="",0,IFERROR(INDEX(LevelBasic,MATCH($H77,LevelList,0))+INDEX(LevelHousing,MATCH($H77,LevelList,0))+INDEX(LevelTransport,MATCH($H77,LevelList,0))+INDEX(LevelBasic,MATCH($H77,LevelList,0))*INDEX(LevelBonus,MATCH($H77,LevelList,0))+(INDEX(LevelBasic,MATCH($H77,LevelList,0))+INDEX(LevelHousing,MATCH($H77,LevelList,0)))*GosiSaudi,0))</f>
        <v>0</v>
      </c>
      <c r="W77" s="35" t="n">
        <f aca="false">IFERROR(INDEX(LevelOneOff,MATCH($H77,LevelList,0)),0)</f>
        <v>0</v>
      </c>
      <c r="X77" s="35" t="str">
        <f aca="false">IF($G77="","",$V77*N($L77))</f>
        <v/>
      </c>
      <c r="Y77" s="35" t="str">
        <f aca="false">IF($G77="","",$V77*(N($M77)*1+N($N77)*0.75+N($O77)*0.5+N($P77)*0.25)+$W77*N($L77))</f>
        <v/>
      </c>
      <c r="Z77" s="35" t="str">
        <f aca="false">IF($G77="","",$U77*1000000+ROW())</f>
        <v/>
      </c>
      <c r="AA77" s="36" t="str">
        <f aca="false">IF($G77="","",MID(IF($C77="",", no division","")&amp;IF($E77="",", no unit","")&amp;IF($H77="",", no career level","")&amp;IF(N($L77)&lt;=0,", no quarter split","")&amp;IF($R77="",", no driver","")&amp;IF(AND($H77&lt;&gt;"",COUNTIF(CareerLevels,$H77)=0),", a career level that is not on the ladder","")&amp;IF(AND($R77&lt;&gt;"",COUNTIF(DriverList,$R77)=0),", a driver that is not on the list","")&amp;IF(ABS(N($L77)-(N($M77)+N($N77)+N($O77)+N($P77)))&gt;0.001,", a total that does not match its quarters",""),3,300))</f>
        <v/>
      </c>
    </row>
    <row r="78" customFormat="false" ht="15" hidden="false" customHeight="false" outlineLevel="0" collapsed="false">
      <c r="A78" s="33" t="str">
        <f aca="false">IF($G78="","","CEO Office")</f>
        <v/>
      </c>
      <c r="B78" s="19"/>
      <c r="C78" s="19"/>
      <c r="D78" s="19"/>
      <c r="E78" s="19"/>
      <c r="F78" s="19"/>
      <c r="G78" s="19"/>
      <c r="H78" s="19"/>
      <c r="I78" s="19"/>
      <c r="J78" s="19"/>
      <c r="K78" s="19"/>
      <c r="L78" s="19"/>
      <c r="M78" s="19"/>
      <c r="N78" s="19"/>
      <c r="O78" s="19"/>
      <c r="P78" s="19"/>
      <c r="Q78" s="19"/>
      <c r="R78" s="19"/>
      <c r="S78" s="19"/>
      <c r="T78" s="34" t="str">
        <f aca="false">IF($R78="","",IFERROR(INDEX(DriverCategory,MATCH($R78,DriverList,0)),"BAU"))</f>
        <v/>
      </c>
      <c r="U78" s="34" t="str">
        <f aca="false">IF($R78="","",IFERROR(INDEX(DriverRank,MATCH($R78,DriverList,0)),99))</f>
        <v/>
      </c>
      <c r="V78" s="35" t="n">
        <f aca="false">IF($H78="",0,IFERROR(INDEX(LevelBasic,MATCH($H78,LevelList,0))+INDEX(LevelHousing,MATCH($H78,LevelList,0))+INDEX(LevelTransport,MATCH($H78,LevelList,0))+INDEX(LevelBasic,MATCH($H78,LevelList,0))*INDEX(LevelBonus,MATCH($H78,LevelList,0))+(INDEX(LevelBasic,MATCH($H78,LevelList,0))+INDEX(LevelHousing,MATCH($H78,LevelList,0)))*GosiSaudi,0))</f>
        <v>0</v>
      </c>
      <c r="W78" s="35" t="n">
        <f aca="false">IFERROR(INDEX(LevelOneOff,MATCH($H78,LevelList,0)),0)</f>
        <v>0</v>
      </c>
      <c r="X78" s="35" t="str">
        <f aca="false">IF($G78="","",$V78*N($L78))</f>
        <v/>
      </c>
      <c r="Y78" s="35" t="str">
        <f aca="false">IF($G78="","",$V78*(N($M78)*1+N($N78)*0.75+N($O78)*0.5+N($P78)*0.25)+$W78*N($L78))</f>
        <v/>
      </c>
      <c r="Z78" s="35" t="str">
        <f aca="false">IF($G78="","",$U78*1000000+ROW())</f>
        <v/>
      </c>
      <c r="AA78" s="36" t="str">
        <f aca="false">IF($G78="","",MID(IF($C78="",", no division","")&amp;IF($E78="",", no unit","")&amp;IF($H78="",", no career level","")&amp;IF(N($L78)&lt;=0,", no quarter split","")&amp;IF($R78="",", no driver","")&amp;IF(AND($H78&lt;&gt;"",COUNTIF(CareerLevels,$H78)=0),", a career level that is not on the ladder","")&amp;IF(AND($R78&lt;&gt;"",COUNTIF(DriverList,$R78)=0),", a driver that is not on the list","")&amp;IF(ABS(N($L78)-(N($M78)+N($N78)+N($O78)+N($P78)))&gt;0.001,", a total that does not match its quarters",""),3,300))</f>
        <v/>
      </c>
    </row>
    <row r="79" customFormat="false" ht="15" hidden="false" customHeight="false" outlineLevel="0" collapsed="false">
      <c r="A79" s="33" t="str">
        <f aca="false">IF($G79="","","CEO Office")</f>
        <v/>
      </c>
      <c r="B79" s="19"/>
      <c r="C79" s="19"/>
      <c r="D79" s="19"/>
      <c r="E79" s="19"/>
      <c r="F79" s="19"/>
      <c r="G79" s="19"/>
      <c r="H79" s="19"/>
      <c r="I79" s="19"/>
      <c r="J79" s="19"/>
      <c r="K79" s="19"/>
      <c r="L79" s="19"/>
      <c r="M79" s="19"/>
      <c r="N79" s="19"/>
      <c r="O79" s="19"/>
      <c r="P79" s="19"/>
      <c r="Q79" s="19"/>
      <c r="R79" s="19"/>
      <c r="S79" s="19"/>
      <c r="T79" s="34" t="str">
        <f aca="false">IF($R79="","",IFERROR(INDEX(DriverCategory,MATCH($R79,DriverList,0)),"BAU"))</f>
        <v/>
      </c>
      <c r="U79" s="34" t="str">
        <f aca="false">IF($R79="","",IFERROR(INDEX(DriverRank,MATCH($R79,DriverList,0)),99))</f>
        <v/>
      </c>
      <c r="V79" s="35" t="n">
        <f aca="false">IF($H79="",0,IFERROR(INDEX(LevelBasic,MATCH($H79,LevelList,0))+INDEX(LevelHousing,MATCH($H79,LevelList,0))+INDEX(LevelTransport,MATCH($H79,LevelList,0))+INDEX(LevelBasic,MATCH($H79,LevelList,0))*INDEX(LevelBonus,MATCH($H79,LevelList,0))+(INDEX(LevelBasic,MATCH($H79,LevelList,0))+INDEX(LevelHousing,MATCH($H79,LevelList,0)))*GosiSaudi,0))</f>
        <v>0</v>
      </c>
      <c r="W79" s="35" t="n">
        <f aca="false">IFERROR(INDEX(LevelOneOff,MATCH($H79,LevelList,0)),0)</f>
        <v>0</v>
      </c>
      <c r="X79" s="35" t="str">
        <f aca="false">IF($G79="","",$V79*N($L79))</f>
        <v/>
      </c>
      <c r="Y79" s="35" t="str">
        <f aca="false">IF($G79="","",$V79*(N($M79)*1+N($N79)*0.75+N($O79)*0.5+N($P79)*0.25)+$W79*N($L79))</f>
        <v/>
      </c>
      <c r="Z79" s="35" t="str">
        <f aca="false">IF($G79="","",$U79*1000000+ROW())</f>
        <v/>
      </c>
      <c r="AA79" s="36" t="str">
        <f aca="false">IF($G79="","",MID(IF($C79="",", no division","")&amp;IF($E79="",", no unit","")&amp;IF($H79="",", no career level","")&amp;IF(N($L79)&lt;=0,", no quarter split","")&amp;IF($R79="",", no driver","")&amp;IF(AND($H79&lt;&gt;"",COUNTIF(CareerLevels,$H79)=0),", a career level that is not on the ladder","")&amp;IF(AND($R79&lt;&gt;"",COUNTIF(DriverList,$R79)=0),", a driver that is not on the list","")&amp;IF(ABS(N($L79)-(N($M79)+N($N79)+N($O79)+N($P79)))&gt;0.001,", a total that does not match its quarters",""),3,300))</f>
        <v/>
      </c>
    </row>
    <row r="80" customFormat="false" ht="15" hidden="false" customHeight="false" outlineLevel="0" collapsed="false">
      <c r="A80" s="33" t="str">
        <f aca="false">IF($G80="","","CEO Office")</f>
        <v/>
      </c>
      <c r="B80" s="19"/>
      <c r="C80" s="19"/>
      <c r="D80" s="19"/>
      <c r="E80" s="19"/>
      <c r="F80" s="19"/>
      <c r="G80" s="19"/>
      <c r="H80" s="19"/>
      <c r="I80" s="19"/>
      <c r="J80" s="19"/>
      <c r="K80" s="19"/>
      <c r="L80" s="19"/>
      <c r="M80" s="19"/>
      <c r="N80" s="19"/>
      <c r="O80" s="19"/>
      <c r="P80" s="19"/>
      <c r="Q80" s="19"/>
      <c r="R80" s="19"/>
      <c r="S80" s="19"/>
      <c r="T80" s="34" t="str">
        <f aca="false">IF($R80="","",IFERROR(INDEX(DriverCategory,MATCH($R80,DriverList,0)),"BAU"))</f>
        <v/>
      </c>
      <c r="U80" s="34" t="str">
        <f aca="false">IF($R80="","",IFERROR(INDEX(DriverRank,MATCH($R80,DriverList,0)),99))</f>
        <v/>
      </c>
      <c r="V80" s="35" t="n">
        <f aca="false">IF($H80="",0,IFERROR(INDEX(LevelBasic,MATCH($H80,LevelList,0))+INDEX(LevelHousing,MATCH($H80,LevelList,0))+INDEX(LevelTransport,MATCH($H80,LevelList,0))+INDEX(LevelBasic,MATCH($H80,LevelList,0))*INDEX(LevelBonus,MATCH($H80,LevelList,0))+(INDEX(LevelBasic,MATCH($H80,LevelList,0))+INDEX(LevelHousing,MATCH($H80,LevelList,0)))*GosiSaudi,0))</f>
        <v>0</v>
      </c>
      <c r="W80" s="35" t="n">
        <f aca="false">IFERROR(INDEX(LevelOneOff,MATCH($H80,LevelList,0)),0)</f>
        <v>0</v>
      </c>
      <c r="X80" s="35" t="str">
        <f aca="false">IF($G80="","",$V80*N($L80))</f>
        <v/>
      </c>
      <c r="Y80" s="35" t="str">
        <f aca="false">IF($G80="","",$V80*(N($M80)*1+N($N80)*0.75+N($O80)*0.5+N($P80)*0.25)+$W80*N($L80))</f>
        <v/>
      </c>
      <c r="Z80" s="35" t="str">
        <f aca="false">IF($G80="","",$U80*1000000+ROW())</f>
        <v/>
      </c>
      <c r="AA80" s="36" t="str">
        <f aca="false">IF($G80="","",MID(IF($C80="",", no division","")&amp;IF($E80="",", no unit","")&amp;IF($H80="",", no career level","")&amp;IF(N($L80)&lt;=0,", no quarter split","")&amp;IF($R80="",", no driver","")&amp;IF(AND($H80&lt;&gt;"",COUNTIF(CareerLevels,$H80)=0),", a career level that is not on the ladder","")&amp;IF(AND($R80&lt;&gt;"",COUNTIF(DriverList,$R80)=0),", a driver that is not on the list","")&amp;IF(ABS(N($L80)-(N($M80)+N($N80)+N($O80)+N($P80)))&gt;0.001,", a total that does not match its quarters",""),3,300))</f>
        <v/>
      </c>
    </row>
    <row r="81" customFormat="false" ht="15" hidden="false" customHeight="false" outlineLevel="0" collapsed="false">
      <c r="A81" s="33" t="str">
        <f aca="false">IF($G81="","","CEO Office")</f>
        <v/>
      </c>
      <c r="B81" s="19"/>
      <c r="C81" s="19"/>
      <c r="D81" s="19"/>
      <c r="E81" s="19"/>
      <c r="F81" s="19"/>
      <c r="G81" s="19"/>
      <c r="H81" s="19"/>
      <c r="I81" s="19"/>
      <c r="J81" s="19"/>
      <c r="K81" s="19"/>
      <c r="L81" s="19"/>
      <c r="M81" s="19"/>
      <c r="N81" s="19"/>
      <c r="O81" s="19"/>
      <c r="P81" s="19"/>
      <c r="Q81" s="19"/>
      <c r="R81" s="19"/>
      <c r="S81" s="19"/>
      <c r="T81" s="34" t="str">
        <f aca="false">IF($R81="","",IFERROR(INDEX(DriverCategory,MATCH($R81,DriverList,0)),"BAU"))</f>
        <v/>
      </c>
      <c r="U81" s="34" t="str">
        <f aca="false">IF($R81="","",IFERROR(INDEX(DriverRank,MATCH($R81,DriverList,0)),99))</f>
        <v/>
      </c>
      <c r="V81" s="35" t="n">
        <f aca="false">IF($H81="",0,IFERROR(INDEX(LevelBasic,MATCH($H81,LevelList,0))+INDEX(LevelHousing,MATCH($H81,LevelList,0))+INDEX(LevelTransport,MATCH($H81,LevelList,0))+INDEX(LevelBasic,MATCH($H81,LevelList,0))*INDEX(LevelBonus,MATCH($H81,LevelList,0))+(INDEX(LevelBasic,MATCH($H81,LevelList,0))+INDEX(LevelHousing,MATCH($H81,LevelList,0)))*GosiSaudi,0))</f>
        <v>0</v>
      </c>
      <c r="W81" s="35" t="n">
        <f aca="false">IFERROR(INDEX(LevelOneOff,MATCH($H81,LevelList,0)),0)</f>
        <v>0</v>
      </c>
      <c r="X81" s="35" t="str">
        <f aca="false">IF($G81="","",$V81*N($L81))</f>
        <v/>
      </c>
      <c r="Y81" s="35" t="str">
        <f aca="false">IF($G81="","",$V81*(N($M81)*1+N($N81)*0.75+N($O81)*0.5+N($P81)*0.25)+$W81*N($L81))</f>
        <v/>
      </c>
      <c r="Z81" s="35" t="str">
        <f aca="false">IF($G81="","",$U81*1000000+ROW())</f>
        <v/>
      </c>
      <c r="AA81" s="36" t="str">
        <f aca="false">IF($G81="","",MID(IF($C81="",", no division","")&amp;IF($E81="",", no unit","")&amp;IF($H81="",", no career level","")&amp;IF(N($L81)&lt;=0,", no quarter split","")&amp;IF($R81="",", no driver","")&amp;IF(AND($H81&lt;&gt;"",COUNTIF(CareerLevels,$H81)=0),", a career level that is not on the ladder","")&amp;IF(AND($R81&lt;&gt;"",COUNTIF(DriverList,$R81)=0),", a driver that is not on the list","")&amp;IF(ABS(N($L81)-(N($M81)+N($N81)+N($O81)+N($P81)))&gt;0.001,", a total that does not match its quarters",""),3,300))</f>
        <v/>
      </c>
    </row>
    <row r="82" customFormat="false" ht="15" hidden="false" customHeight="false" outlineLevel="0" collapsed="false">
      <c r="A82" s="33" t="str">
        <f aca="false">IF($G82="","","CEO Office")</f>
        <v/>
      </c>
      <c r="B82" s="19"/>
      <c r="C82" s="19"/>
      <c r="D82" s="19"/>
      <c r="E82" s="19"/>
      <c r="F82" s="19"/>
      <c r="G82" s="19"/>
      <c r="H82" s="19"/>
      <c r="I82" s="19"/>
      <c r="J82" s="19"/>
      <c r="K82" s="19"/>
      <c r="L82" s="19"/>
      <c r="M82" s="19"/>
      <c r="N82" s="19"/>
      <c r="O82" s="19"/>
      <c r="P82" s="19"/>
      <c r="Q82" s="19"/>
      <c r="R82" s="19"/>
      <c r="S82" s="19"/>
      <c r="T82" s="34" t="str">
        <f aca="false">IF($R82="","",IFERROR(INDEX(DriverCategory,MATCH($R82,DriverList,0)),"BAU"))</f>
        <v/>
      </c>
      <c r="U82" s="34" t="str">
        <f aca="false">IF($R82="","",IFERROR(INDEX(DriverRank,MATCH($R82,DriverList,0)),99))</f>
        <v/>
      </c>
      <c r="V82" s="35" t="n">
        <f aca="false">IF($H82="",0,IFERROR(INDEX(LevelBasic,MATCH($H82,LevelList,0))+INDEX(LevelHousing,MATCH($H82,LevelList,0))+INDEX(LevelTransport,MATCH($H82,LevelList,0))+INDEX(LevelBasic,MATCH($H82,LevelList,0))*INDEX(LevelBonus,MATCH($H82,LevelList,0))+(INDEX(LevelBasic,MATCH($H82,LevelList,0))+INDEX(LevelHousing,MATCH($H82,LevelList,0)))*GosiSaudi,0))</f>
        <v>0</v>
      </c>
      <c r="W82" s="35" t="n">
        <f aca="false">IFERROR(INDEX(LevelOneOff,MATCH($H82,LevelList,0)),0)</f>
        <v>0</v>
      </c>
      <c r="X82" s="35" t="str">
        <f aca="false">IF($G82="","",$V82*N($L82))</f>
        <v/>
      </c>
      <c r="Y82" s="35" t="str">
        <f aca="false">IF($G82="","",$V82*(N($M82)*1+N($N82)*0.75+N($O82)*0.5+N($P82)*0.25)+$W82*N($L82))</f>
        <v/>
      </c>
      <c r="Z82" s="35" t="str">
        <f aca="false">IF($G82="","",$U82*1000000+ROW())</f>
        <v/>
      </c>
      <c r="AA82" s="36" t="str">
        <f aca="false">IF($G82="","",MID(IF($C82="",", no division","")&amp;IF($E82="",", no unit","")&amp;IF($H82="",", no career level","")&amp;IF(N($L82)&lt;=0,", no quarter split","")&amp;IF($R82="",", no driver","")&amp;IF(AND($H82&lt;&gt;"",COUNTIF(CareerLevels,$H82)=0),", a career level that is not on the ladder","")&amp;IF(AND($R82&lt;&gt;"",COUNTIF(DriverList,$R82)=0),", a driver that is not on the list","")&amp;IF(ABS(N($L82)-(N($M82)+N($N82)+N($O82)+N($P82)))&gt;0.001,", a total that does not match its quarters",""),3,300))</f>
        <v/>
      </c>
    </row>
    <row r="83" customFormat="false" ht="15" hidden="false" customHeight="false" outlineLevel="0" collapsed="false">
      <c r="A83" s="33" t="str">
        <f aca="false">IF($G83="","","CEO Office")</f>
        <v/>
      </c>
      <c r="B83" s="19"/>
      <c r="C83" s="19"/>
      <c r="D83" s="19"/>
      <c r="E83" s="19"/>
      <c r="F83" s="19"/>
      <c r="G83" s="19"/>
      <c r="H83" s="19"/>
      <c r="I83" s="19"/>
      <c r="J83" s="19"/>
      <c r="K83" s="19"/>
      <c r="L83" s="19"/>
      <c r="M83" s="19"/>
      <c r="N83" s="19"/>
      <c r="O83" s="19"/>
      <c r="P83" s="19"/>
      <c r="Q83" s="19"/>
      <c r="R83" s="19"/>
      <c r="S83" s="19"/>
      <c r="T83" s="34" t="str">
        <f aca="false">IF($R83="","",IFERROR(INDEX(DriverCategory,MATCH($R83,DriverList,0)),"BAU"))</f>
        <v/>
      </c>
      <c r="U83" s="34" t="str">
        <f aca="false">IF($R83="","",IFERROR(INDEX(DriverRank,MATCH($R83,DriverList,0)),99))</f>
        <v/>
      </c>
      <c r="V83" s="35" t="n">
        <f aca="false">IF($H83="",0,IFERROR(INDEX(LevelBasic,MATCH($H83,LevelList,0))+INDEX(LevelHousing,MATCH($H83,LevelList,0))+INDEX(LevelTransport,MATCH($H83,LevelList,0))+INDEX(LevelBasic,MATCH($H83,LevelList,0))*INDEX(LevelBonus,MATCH($H83,LevelList,0))+(INDEX(LevelBasic,MATCH($H83,LevelList,0))+INDEX(LevelHousing,MATCH($H83,LevelList,0)))*GosiSaudi,0))</f>
        <v>0</v>
      </c>
      <c r="W83" s="35" t="n">
        <f aca="false">IFERROR(INDEX(LevelOneOff,MATCH($H83,LevelList,0)),0)</f>
        <v>0</v>
      </c>
      <c r="X83" s="35" t="str">
        <f aca="false">IF($G83="","",$V83*N($L83))</f>
        <v/>
      </c>
      <c r="Y83" s="35" t="str">
        <f aca="false">IF($G83="","",$V83*(N($M83)*1+N($N83)*0.75+N($O83)*0.5+N($P83)*0.25)+$W83*N($L83))</f>
        <v/>
      </c>
      <c r="Z83" s="35" t="str">
        <f aca="false">IF($G83="","",$U83*1000000+ROW())</f>
        <v/>
      </c>
      <c r="AA83" s="36" t="str">
        <f aca="false">IF($G83="","",MID(IF($C83="",", no division","")&amp;IF($E83="",", no unit","")&amp;IF($H83="",", no career level","")&amp;IF(N($L83)&lt;=0,", no quarter split","")&amp;IF($R83="",", no driver","")&amp;IF(AND($H83&lt;&gt;"",COUNTIF(CareerLevels,$H83)=0),", a career level that is not on the ladder","")&amp;IF(AND($R83&lt;&gt;"",COUNTIF(DriverList,$R83)=0),", a driver that is not on the list","")&amp;IF(ABS(N($L83)-(N($M83)+N($N83)+N($O83)+N($P83)))&gt;0.001,", a total that does not match its quarters",""),3,300))</f>
        <v/>
      </c>
    </row>
    <row r="84" customFormat="false" ht="15" hidden="false" customHeight="false" outlineLevel="0" collapsed="false">
      <c r="A84" s="33" t="str">
        <f aca="false">IF($G84="","","CEO Office")</f>
        <v/>
      </c>
      <c r="B84" s="19"/>
      <c r="C84" s="19"/>
      <c r="D84" s="19"/>
      <c r="E84" s="19"/>
      <c r="F84" s="19"/>
      <c r="G84" s="19"/>
      <c r="H84" s="19"/>
      <c r="I84" s="19"/>
      <c r="J84" s="19"/>
      <c r="K84" s="19"/>
      <c r="L84" s="19"/>
      <c r="M84" s="19"/>
      <c r="N84" s="19"/>
      <c r="O84" s="19"/>
      <c r="P84" s="19"/>
      <c r="Q84" s="19"/>
      <c r="R84" s="19"/>
      <c r="S84" s="19"/>
      <c r="T84" s="34" t="str">
        <f aca="false">IF($R84="","",IFERROR(INDEX(DriverCategory,MATCH($R84,DriverList,0)),"BAU"))</f>
        <v/>
      </c>
      <c r="U84" s="34" t="str">
        <f aca="false">IF($R84="","",IFERROR(INDEX(DriverRank,MATCH($R84,DriverList,0)),99))</f>
        <v/>
      </c>
      <c r="V84" s="35" t="n">
        <f aca="false">IF($H84="",0,IFERROR(INDEX(LevelBasic,MATCH($H84,LevelList,0))+INDEX(LevelHousing,MATCH($H84,LevelList,0))+INDEX(LevelTransport,MATCH($H84,LevelList,0))+INDEX(LevelBasic,MATCH($H84,LevelList,0))*INDEX(LevelBonus,MATCH($H84,LevelList,0))+(INDEX(LevelBasic,MATCH($H84,LevelList,0))+INDEX(LevelHousing,MATCH($H84,LevelList,0)))*GosiSaudi,0))</f>
        <v>0</v>
      </c>
      <c r="W84" s="35" t="n">
        <f aca="false">IFERROR(INDEX(LevelOneOff,MATCH($H84,LevelList,0)),0)</f>
        <v>0</v>
      </c>
      <c r="X84" s="35" t="str">
        <f aca="false">IF($G84="","",$V84*N($L84))</f>
        <v/>
      </c>
      <c r="Y84" s="35" t="str">
        <f aca="false">IF($G84="","",$V84*(N($M84)*1+N($N84)*0.75+N($O84)*0.5+N($P84)*0.25)+$W84*N($L84))</f>
        <v/>
      </c>
      <c r="Z84" s="35" t="str">
        <f aca="false">IF($G84="","",$U84*1000000+ROW())</f>
        <v/>
      </c>
      <c r="AA84" s="36" t="str">
        <f aca="false">IF($G84="","",MID(IF($C84="",", no division","")&amp;IF($E84="",", no unit","")&amp;IF($H84="",", no career level","")&amp;IF(N($L84)&lt;=0,", no quarter split","")&amp;IF($R84="",", no driver","")&amp;IF(AND($H84&lt;&gt;"",COUNTIF(CareerLevels,$H84)=0),", a career level that is not on the ladder","")&amp;IF(AND($R84&lt;&gt;"",COUNTIF(DriverList,$R84)=0),", a driver that is not on the list","")&amp;IF(ABS(N($L84)-(N($M84)+N($N84)+N($O84)+N($P84)))&gt;0.001,", a total that does not match its quarters",""),3,300))</f>
        <v/>
      </c>
    </row>
    <row r="85" customFormat="false" ht="15" hidden="false" customHeight="false" outlineLevel="0" collapsed="false">
      <c r="A85" s="33" t="str">
        <f aca="false">IF($G85="","","CEO Office")</f>
        <v/>
      </c>
      <c r="B85" s="19"/>
      <c r="C85" s="19"/>
      <c r="D85" s="19"/>
      <c r="E85" s="19"/>
      <c r="F85" s="19"/>
      <c r="G85" s="19"/>
      <c r="H85" s="19"/>
      <c r="I85" s="19"/>
      <c r="J85" s="19"/>
      <c r="K85" s="19"/>
      <c r="L85" s="19"/>
      <c r="M85" s="19"/>
      <c r="N85" s="19"/>
      <c r="O85" s="19"/>
      <c r="P85" s="19"/>
      <c r="Q85" s="19"/>
      <c r="R85" s="19"/>
      <c r="S85" s="19"/>
      <c r="T85" s="34" t="str">
        <f aca="false">IF($R85="","",IFERROR(INDEX(DriverCategory,MATCH($R85,DriverList,0)),"BAU"))</f>
        <v/>
      </c>
      <c r="U85" s="34" t="str">
        <f aca="false">IF($R85="","",IFERROR(INDEX(DriverRank,MATCH($R85,DriverList,0)),99))</f>
        <v/>
      </c>
      <c r="V85" s="35" t="n">
        <f aca="false">IF($H85="",0,IFERROR(INDEX(LevelBasic,MATCH($H85,LevelList,0))+INDEX(LevelHousing,MATCH($H85,LevelList,0))+INDEX(LevelTransport,MATCH($H85,LevelList,0))+INDEX(LevelBasic,MATCH($H85,LevelList,0))*INDEX(LevelBonus,MATCH($H85,LevelList,0))+(INDEX(LevelBasic,MATCH($H85,LevelList,0))+INDEX(LevelHousing,MATCH($H85,LevelList,0)))*GosiSaudi,0))</f>
        <v>0</v>
      </c>
      <c r="W85" s="35" t="n">
        <f aca="false">IFERROR(INDEX(LevelOneOff,MATCH($H85,LevelList,0)),0)</f>
        <v>0</v>
      </c>
      <c r="X85" s="35" t="str">
        <f aca="false">IF($G85="","",$V85*N($L85))</f>
        <v/>
      </c>
      <c r="Y85" s="35" t="str">
        <f aca="false">IF($G85="","",$V85*(N($M85)*1+N($N85)*0.75+N($O85)*0.5+N($P85)*0.25)+$W85*N($L85))</f>
        <v/>
      </c>
      <c r="Z85" s="35" t="str">
        <f aca="false">IF($G85="","",$U85*1000000+ROW())</f>
        <v/>
      </c>
      <c r="AA85" s="36" t="str">
        <f aca="false">IF($G85="","",MID(IF($C85="",", no division","")&amp;IF($E85="",", no unit","")&amp;IF($H85="",", no career level","")&amp;IF(N($L85)&lt;=0,", no quarter split","")&amp;IF($R85="",", no driver","")&amp;IF(AND($H85&lt;&gt;"",COUNTIF(CareerLevels,$H85)=0),", a career level that is not on the ladder","")&amp;IF(AND($R85&lt;&gt;"",COUNTIF(DriverList,$R85)=0),", a driver that is not on the list","")&amp;IF(ABS(N($L85)-(N($M85)+N($N85)+N($O85)+N($P85)))&gt;0.001,", a total that does not match its quarters",""),3,300))</f>
        <v/>
      </c>
    </row>
    <row r="86" customFormat="false" ht="15" hidden="false" customHeight="false" outlineLevel="0" collapsed="false">
      <c r="A86" s="33" t="str">
        <f aca="false">IF($G86="","","CEO Office")</f>
        <v/>
      </c>
      <c r="B86" s="19"/>
      <c r="C86" s="19"/>
      <c r="D86" s="19"/>
      <c r="E86" s="19"/>
      <c r="F86" s="19"/>
      <c r="G86" s="19"/>
      <c r="H86" s="19"/>
      <c r="I86" s="19"/>
      <c r="J86" s="19"/>
      <c r="K86" s="19"/>
      <c r="L86" s="19"/>
      <c r="M86" s="19"/>
      <c r="N86" s="19"/>
      <c r="O86" s="19"/>
      <c r="P86" s="19"/>
      <c r="Q86" s="19"/>
      <c r="R86" s="19"/>
      <c r="S86" s="19"/>
      <c r="T86" s="34" t="str">
        <f aca="false">IF($R86="","",IFERROR(INDEX(DriverCategory,MATCH($R86,DriverList,0)),"BAU"))</f>
        <v/>
      </c>
      <c r="U86" s="34" t="str">
        <f aca="false">IF($R86="","",IFERROR(INDEX(DriverRank,MATCH($R86,DriverList,0)),99))</f>
        <v/>
      </c>
      <c r="V86" s="35" t="n">
        <f aca="false">IF($H86="",0,IFERROR(INDEX(LevelBasic,MATCH($H86,LevelList,0))+INDEX(LevelHousing,MATCH($H86,LevelList,0))+INDEX(LevelTransport,MATCH($H86,LevelList,0))+INDEX(LevelBasic,MATCH($H86,LevelList,0))*INDEX(LevelBonus,MATCH($H86,LevelList,0))+(INDEX(LevelBasic,MATCH($H86,LevelList,0))+INDEX(LevelHousing,MATCH($H86,LevelList,0)))*GosiSaudi,0))</f>
        <v>0</v>
      </c>
      <c r="W86" s="35" t="n">
        <f aca="false">IFERROR(INDEX(LevelOneOff,MATCH($H86,LevelList,0)),0)</f>
        <v>0</v>
      </c>
      <c r="X86" s="35" t="str">
        <f aca="false">IF($G86="","",$V86*N($L86))</f>
        <v/>
      </c>
      <c r="Y86" s="35" t="str">
        <f aca="false">IF($G86="","",$V86*(N($M86)*1+N($N86)*0.75+N($O86)*0.5+N($P86)*0.25)+$W86*N($L86))</f>
        <v/>
      </c>
      <c r="Z86" s="35" t="str">
        <f aca="false">IF($G86="","",$U86*1000000+ROW())</f>
        <v/>
      </c>
      <c r="AA86" s="36" t="str">
        <f aca="false">IF($G86="","",MID(IF($C86="",", no division","")&amp;IF($E86="",", no unit","")&amp;IF($H86="",", no career level","")&amp;IF(N($L86)&lt;=0,", no quarter split","")&amp;IF($R86="",", no driver","")&amp;IF(AND($H86&lt;&gt;"",COUNTIF(CareerLevels,$H86)=0),", a career level that is not on the ladder","")&amp;IF(AND($R86&lt;&gt;"",COUNTIF(DriverList,$R86)=0),", a driver that is not on the list","")&amp;IF(ABS(N($L86)-(N($M86)+N($N86)+N($O86)+N($P86)))&gt;0.001,", a total that does not match its quarters",""),3,300))</f>
        <v/>
      </c>
    </row>
    <row r="87" customFormat="false" ht="15" hidden="false" customHeight="false" outlineLevel="0" collapsed="false">
      <c r="A87" s="33" t="str">
        <f aca="false">IF($G87="","","CEO Office")</f>
        <v/>
      </c>
      <c r="B87" s="19"/>
      <c r="C87" s="19"/>
      <c r="D87" s="19"/>
      <c r="E87" s="19"/>
      <c r="F87" s="19"/>
      <c r="G87" s="19"/>
      <c r="H87" s="19"/>
      <c r="I87" s="19"/>
      <c r="J87" s="19"/>
      <c r="K87" s="19"/>
      <c r="L87" s="19"/>
      <c r="M87" s="19"/>
      <c r="N87" s="19"/>
      <c r="O87" s="19"/>
      <c r="P87" s="19"/>
      <c r="Q87" s="19"/>
      <c r="R87" s="19"/>
      <c r="S87" s="19"/>
      <c r="T87" s="34" t="str">
        <f aca="false">IF($R87="","",IFERROR(INDEX(DriverCategory,MATCH($R87,DriverList,0)),"BAU"))</f>
        <v/>
      </c>
      <c r="U87" s="34" t="str">
        <f aca="false">IF($R87="","",IFERROR(INDEX(DriverRank,MATCH($R87,DriverList,0)),99))</f>
        <v/>
      </c>
      <c r="V87" s="35" t="n">
        <f aca="false">IF($H87="",0,IFERROR(INDEX(LevelBasic,MATCH($H87,LevelList,0))+INDEX(LevelHousing,MATCH($H87,LevelList,0))+INDEX(LevelTransport,MATCH($H87,LevelList,0))+INDEX(LevelBasic,MATCH($H87,LevelList,0))*INDEX(LevelBonus,MATCH($H87,LevelList,0))+(INDEX(LevelBasic,MATCH($H87,LevelList,0))+INDEX(LevelHousing,MATCH($H87,LevelList,0)))*GosiSaudi,0))</f>
        <v>0</v>
      </c>
      <c r="W87" s="35" t="n">
        <f aca="false">IFERROR(INDEX(LevelOneOff,MATCH($H87,LevelList,0)),0)</f>
        <v>0</v>
      </c>
      <c r="X87" s="35" t="str">
        <f aca="false">IF($G87="","",$V87*N($L87))</f>
        <v/>
      </c>
      <c r="Y87" s="35" t="str">
        <f aca="false">IF($G87="","",$V87*(N($M87)*1+N($N87)*0.75+N($O87)*0.5+N($P87)*0.25)+$W87*N($L87))</f>
        <v/>
      </c>
      <c r="Z87" s="35" t="str">
        <f aca="false">IF($G87="","",$U87*1000000+ROW())</f>
        <v/>
      </c>
      <c r="AA87" s="36" t="str">
        <f aca="false">IF($G87="","",MID(IF($C87="",", no division","")&amp;IF($E87="",", no unit","")&amp;IF($H87="",", no career level","")&amp;IF(N($L87)&lt;=0,", no quarter split","")&amp;IF($R87="",", no driver","")&amp;IF(AND($H87&lt;&gt;"",COUNTIF(CareerLevels,$H87)=0),", a career level that is not on the ladder","")&amp;IF(AND($R87&lt;&gt;"",COUNTIF(DriverList,$R87)=0),", a driver that is not on the list","")&amp;IF(ABS(N($L87)-(N($M87)+N($N87)+N($O87)+N($P87)))&gt;0.001,", a total that does not match its quarters",""),3,300))</f>
        <v/>
      </c>
    </row>
    <row r="88" customFormat="false" ht="15" hidden="false" customHeight="false" outlineLevel="0" collapsed="false">
      <c r="A88" s="33" t="str">
        <f aca="false">IF($G88="","","CEO Office")</f>
        <v/>
      </c>
      <c r="B88" s="19"/>
      <c r="C88" s="19"/>
      <c r="D88" s="19"/>
      <c r="E88" s="19"/>
      <c r="F88" s="19"/>
      <c r="G88" s="19"/>
      <c r="H88" s="19"/>
      <c r="I88" s="19"/>
      <c r="J88" s="19"/>
      <c r="K88" s="19"/>
      <c r="L88" s="19"/>
      <c r="M88" s="19"/>
      <c r="N88" s="19"/>
      <c r="O88" s="19"/>
      <c r="P88" s="19"/>
      <c r="Q88" s="19"/>
      <c r="R88" s="19"/>
      <c r="S88" s="19"/>
      <c r="T88" s="34" t="str">
        <f aca="false">IF($R88="","",IFERROR(INDEX(DriverCategory,MATCH($R88,DriverList,0)),"BAU"))</f>
        <v/>
      </c>
      <c r="U88" s="34" t="str">
        <f aca="false">IF($R88="","",IFERROR(INDEX(DriverRank,MATCH($R88,DriverList,0)),99))</f>
        <v/>
      </c>
      <c r="V88" s="35" t="n">
        <f aca="false">IF($H88="",0,IFERROR(INDEX(LevelBasic,MATCH($H88,LevelList,0))+INDEX(LevelHousing,MATCH($H88,LevelList,0))+INDEX(LevelTransport,MATCH($H88,LevelList,0))+INDEX(LevelBasic,MATCH($H88,LevelList,0))*INDEX(LevelBonus,MATCH($H88,LevelList,0))+(INDEX(LevelBasic,MATCH($H88,LevelList,0))+INDEX(LevelHousing,MATCH($H88,LevelList,0)))*GosiSaudi,0))</f>
        <v>0</v>
      </c>
      <c r="W88" s="35" t="n">
        <f aca="false">IFERROR(INDEX(LevelOneOff,MATCH($H88,LevelList,0)),0)</f>
        <v>0</v>
      </c>
      <c r="X88" s="35" t="str">
        <f aca="false">IF($G88="","",$V88*N($L88))</f>
        <v/>
      </c>
      <c r="Y88" s="35" t="str">
        <f aca="false">IF($G88="","",$V88*(N($M88)*1+N($N88)*0.75+N($O88)*0.5+N($P88)*0.25)+$W88*N($L88))</f>
        <v/>
      </c>
      <c r="Z88" s="35" t="str">
        <f aca="false">IF($G88="","",$U88*1000000+ROW())</f>
        <v/>
      </c>
      <c r="AA88" s="36" t="str">
        <f aca="false">IF($G88="","",MID(IF($C88="",", no division","")&amp;IF($E88="",", no unit","")&amp;IF($H88="",", no career level","")&amp;IF(N($L88)&lt;=0,", no quarter split","")&amp;IF($R88="",", no driver","")&amp;IF(AND($H88&lt;&gt;"",COUNTIF(CareerLevels,$H88)=0),", a career level that is not on the ladder","")&amp;IF(AND($R88&lt;&gt;"",COUNTIF(DriverList,$R88)=0),", a driver that is not on the list","")&amp;IF(ABS(N($L88)-(N($M88)+N($N88)+N($O88)+N($P88)))&gt;0.001,", a total that does not match its quarters",""),3,300))</f>
        <v/>
      </c>
    </row>
    <row r="89" customFormat="false" ht="15" hidden="false" customHeight="false" outlineLevel="0" collapsed="false">
      <c r="A89" s="33" t="str">
        <f aca="false">IF($G89="","","CEO Office")</f>
        <v/>
      </c>
      <c r="B89" s="19"/>
      <c r="C89" s="19"/>
      <c r="D89" s="19"/>
      <c r="E89" s="19"/>
      <c r="F89" s="19"/>
      <c r="G89" s="19"/>
      <c r="H89" s="19"/>
      <c r="I89" s="19"/>
      <c r="J89" s="19"/>
      <c r="K89" s="19"/>
      <c r="L89" s="19"/>
      <c r="M89" s="19"/>
      <c r="N89" s="19"/>
      <c r="O89" s="19"/>
      <c r="P89" s="19"/>
      <c r="Q89" s="19"/>
      <c r="R89" s="19"/>
      <c r="S89" s="19"/>
      <c r="T89" s="34" t="str">
        <f aca="false">IF($R89="","",IFERROR(INDEX(DriverCategory,MATCH($R89,DriverList,0)),"BAU"))</f>
        <v/>
      </c>
      <c r="U89" s="34" t="str">
        <f aca="false">IF($R89="","",IFERROR(INDEX(DriverRank,MATCH($R89,DriverList,0)),99))</f>
        <v/>
      </c>
      <c r="V89" s="35" t="n">
        <f aca="false">IF($H89="",0,IFERROR(INDEX(LevelBasic,MATCH($H89,LevelList,0))+INDEX(LevelHousing,MATCH($H89,LevelList,0))+INDEX(LevelTransport,MATCH($H89,LevelList,0))+INDEX(LevelBasic,MATCH($H89,LevelList,0))*INDEX(LevelBonus,MATCH($H89,LevelList,0))+(INDEX(LevelBasic,MATCH($H89,LevelList,0))+INDEX(LevelHousing,MATCH($H89,LevelList,0)))*GosiSaudi,0))</f>
        <v>0</v>
      </c>
      <c r="W89" s="35" t="n">
        <f aca="false">IFERROR(INDEX(LevelOneOff,MATCH($H89,LevelList,0)),0)</f>
        <v>0</v>
      </c>
      <c r="X89" s="35" t="str">
        <f aca="false">IF($G89="","",$V89*N($L89))</f>
        <v/>
      </c>
      <c r="Y89" s="35" t="str">
        <f aca="false">IF($G89="","",$V89*(N($M89)*1+N($N89)*0.75+N($O89)*0.5+N($P89)*0.25)+$W89*N($L89))</f>
        <v/>
      </c>
      <c r="Z89" s="35" t="str">
        <f aca="false">IF($G89="","",$U89*1000000+ROW())</f>
        <v/>
      </c>
      <c r="AA89" s="36" t="str">
        <f aca="false">IF($G89="","",MID(IF($C89="",", no division","")&amp;IF($E89="",", no unit","")&amp;IF($H89="",", no career level","")&amp;IF(N($L89)&lt;=0,", no quarter split","")&amp;IF($R89="",", no driver","")&amp;IF(AND($H89&lt;&gt;"",COUNTIF(CareerLevels,$H89)=0),", a career level that is not on the ladder","")&amp;IF(AND($R89&lt;&gt;"",COUNTIF(DriverList,$R89)=0),", a driver that is not on the list","")&amp;IF(ABS(N($L89)-(N($M89)+N($N89)+N($O89)+N($P89)))&gt;0.001,", a total that does not match its quarters",""),3,300))</f>
        <v/>
      </c>
    </row>
    <row r="90" customFormat="false" ht="15" hidden="false" customHeight="false" outlineLevel="0" collapsed="false">
      <c r="A90" s="33" t="str">
        <f aca="false">IF($G90="","","CEO Office")</f>
        <v/>
      </c>
      <c r="B90" s="19"/>
      <c r="C90" s="19"/>
      <c r="D90" s="19"/>
      <c r="E90" s="19"/>
      <c r="F90" s="19"/>
      <c r="G90" s="19"/>
      <c r="H90" s="19"/>
      <c r="I90" s="19"/>
      <c r="J90" s="19"/>
      <c r="K90" s="19"/>
      <c r="L90" s="19"/>
      <c r="M90" s="19"/>
      <c r="N90" s="19"/>
      <c r="O90" s="19"/>
      <c r="P90" s="19"/>
      <c r="Q90" s="19"/>
      <c r="R90" s="19"/>
      <c r="S90" s="19"/>
      <c r="T90" s="34" t="str">
        <f aca="false">IF($R90="","",IFERROR(INDEX(DriverCategory,MATCH($R90,DriverList,0)),"BAU"))</f>
        <v/>
      </c>
      <c r="U90" s="34" t="str">
        <f aca="false">IF($R90="","",IFERROR(INDEX(DriverRank,MATCH($R90,DriverList,0)),99))</f>
        <v/>
      </c>
      <c r="V90" s="35" t="n">
        <f aca="false">IF($H90="",0,IFERROR(INDEX(LevelBasic,MATCH($H90,LevelList,0))+INDEX(LevelHousing,MATCH($H90,LevelList,0))+INDEX(LevelTransport,MATCH($H90,LevelList,0))+INDEX(LevelBasic,MATCH($H90,LevelList,0))*INDEX(LevelBonus,MATCH($H90,LevelList,0))+(INDEX(LevelBasic,MATCH($H90,LevelList,0))+INDEX(LevelHousing,MATCH($H90,LevelList,0)))*GosiSaudi,0))</f>
        <v>0</v>
      </c>
      <c r="W90" s="35" t="n">
        <f aca="false">IFERROR(INDEX(LevelOneOff,MATCH($H90,LevelList,0)),0)</f>
        <v>0</v>
      </c>
      <c r="X90" s="35" t="str">
        <f aca="false">IF($G90="","",$V90*N($L90))</f>
        <v/>
      </c>
      <c r="Y90" s="35" t="str">
        <f aca="false">IF($G90="","",$V90*(N($M90)*1+N($N90)*0.75+N($O90)*0.5+N($P90)*0.25)+$W90*N($L90))</f>
        <v/>
      </c>
      <c r="Z90" s="35" t="str">
        <f aca="false">IF($G90="","",$U90*1000000+ROW())</f>
        <v/>
      </c>
      <c r="AA90" s="36" t="str">
        <f aca="false">IF($G90="","",MID(IF($C90="",", no division","")&amp;IF($E90="",", no unit","")&amp;IF($H90="",", no career level","")&amp;IF(N($L90)&lt;=0,", no quarter split","")&amp;IF($R90="",", no driver","")&amp;IF(AND($H90&lt;&gt;"",COUNTIF(CareerLevels,$H90)=0),", a career level that is not on the ladder","")&amp;IF(AND($R90&lt;&gt;"",COUNTIF(DriverList,$R90)=0),", a driver that is not on the list","")&amp;IF(ABS(N($L90)-(N($M90)+N($N90)+N($O90)+N($P90)))&gt;0.001,", a total that does not match its quarters",""),3,300))</f>
        <v/>
      </c>
    </row>
    <row r="91" customFormat="false" ht="15" hidden="false" customHeight="false" outlineLevel="0" collapsed="false">
      <c r="A91" s="33" t="str">
        <f aca="false">IF($G91="","","CEO Office")</f>
        <v/>
      </c>
      <c r="B91" s="19"/>
      <c r="C91" s="19"/>
      <c r="D91" s="19"/>
      <c r="E91" s="19"/>
      <c r="F91" s="19"/>
      <c r="G91" s="19"/>
      <c r="H91" s="19"/>
      <c r="I91" s="19"/>
      <c r="J91" s="19"/>
      <c r="K91" s="19"/>
      <c r="L91" s="19"/>
      <c r="M91" s="19"/>
      <c r="N91" s="19"/>
      <c r="O91" s="19"/>
      <c r="P91" s="19"/>
      <c r="Q91" s="19"/>
      <c r="R91" s="19"/>
      <c r="S91" s="19"/>
      <c r="T91" s="34" t="str">
        <f aca="false">IF($R91="","",IFERROR(INDEX(DriverCategory,MATCH($R91,DriverList,0)),"BAU"))</f>
        <v/>
      </c>
      <c r="U91" s="34" t="str">
        <f aca="false">IF($R91="","",IFERROR(INDEX(DriverRank,MATCH($R91,DriverList,0)),99))</f>
        <v/>
      </c>
      <c r="V91" s="35" t="n">
        <f aca="false">IF($H91="",0,IFERROR(INDEX(LevelBasic,MATCH($H91,LevelList,0))+INDEX(LevelHousing,MATCH($H91,LevelList,0))+INDEX(LevelTransport,MATCH($H91,LevelList,0))+INDEX(LevelBasic,MATCH($H91,LevelList,0))*INDEX(LevelBonus,MATCH($H91,LevelList,0))+(INDEX(LevelBasic,MATCH($H91,LevelList,0))+INDEX(LevelHousing,MATCH($H91,LevelList,0)))*GosiSaudi,0))</f>
        <v>0</v>
      </c>
      <c r="W91" s="35" t="n">
        <f aca="false">IFERROR(INDEX(LevelOneOff,MATCH($H91,LevelList,0)),0)</f>
        <v>0</v>
      </c>
      <c r="X91" s="35" t="str">
        <f aca="false">IF($G91="","",$V91*N($L91))</f>
        <v/>
      </c>
      <c r="Y91" s="35" t="str">
        <f aca="false">IF($G91="","",$V91*(N($M91)*1+N($N91)*0.75+N($O91)*0.5+N($P91)*0.25)+$W91*N($L91))</f>
        <v/>
      </c>
      <c r="Z91" s="35" t="str">
        <f aca="false">IF($G91="","",$U91*1000000+ROW())</f>
        <v/>
      </c>
      <c r="AA91" s="36" t="str">
        <f aca="false">IF($G91="","",MID(IF($C91="",", no division","")&amp;IF($E91="",", no unit","")&amp;IF($H91="",", no career level","")&amp;IF(N($L91)&lt;=0,", no quarter split","")&amp;IF($R91="",", no driver","")&amp;IF(AND($H91&lt;&gt;"",COUNTIF(CareerLevels,$H91)=0),", a career level that is not on the ladder","")&amp;IF(AND($R91&lt;&gt;"",COUNTIF(DriverList,$R91)=0),", a driver that is not on the list","")&amp;IF(ABS(N($L91)-(N($M91)+N($N91)+N($O91)+N($P91)))&gt;0.001,", a total that does not match its quarters",""),3,300))</f>
        <v/>
      </c>
    </row>
    <row r="92" customFormat="false" ht="15" hidden="false" customHeight="false" outlineLevel="0" collapsed="false">
      <c r="A92" s="33" t="str">
        <f aca="false">IF($G92="","","CEO Office")</f>
        <v/>
      </c>
      <c r="B92" s="19"/>
      <c r="C92" s="19"/>
      <c r="D92" s="19"/>
      <c r="E92" s="19"/>
      <c r="F92" s="19"/>
      <c r="G92" s="19"/>
      <c r="H92" s="19"/>
      <c r="I92" s="19"/>
      <c r="J92" s="19"/>
      <c r="K92" s="19"/>
      <c r="L92" s="19"/>
      <c r="M92" s="19"/>
      <c r="N92" s="19"/>
      <c r="O92" s="19"/>
      <c r="P92" s="19"/>
      <c r="Q92" s="19"/>
      <c r="R92" s="19"/>
      <c r="S92" s="19"/>
      <c r="T92" s="34" t="str">
        <f aca="false">IF($R92="","",IFERROR(INDEX(DriverCategory,MATCH($R92,DriverList,0)),"BAU"))</f>
        <v/>
      </c>
      <c r="U92" s="34" t="str">
        <f aca="false">IF($R92="","",IFERROR(INDEX(DriverRank,MATCH($R92,DriverList,0)),99))</f>
        <v/>
      </c>
      <c r="V92" s="35" t="n">
        <f aca="false">IF($H92="",0,IFERROR(INDEX(LevelBasic,MATCH($H92,LevelList,0))+INDEX(LevelHousing,MATCH($H92,LevelList,0))+INDEX(LevelTransport,MATCH($H92,LevelList,0))+INDEX(LevelBasic,MATCH($H92,LevelList,0))*INDEX(LevelBonus,MATCH($H92,LevelList,0))+(INDEX(LevelBasic,MATCH($H92,LevelList,0))+INDEX(LevelHousing,MATCH($H92,LevelList,0)))*GosiSaudi,0))</f>
        <v>0</v>
      </c>
      <c r="W92" s="35" t="n">
        <f aca="false">IFERROR(INDEX(LevelOneOff,MATCH($H92,LevelList,0)),0)</f>
        <v>0</v>
      </c>
      <c r="X92" s="35" t="str">
        <f aca="false">IF($G92="","",$V92*N($L92))</f>
        <v/>
      </c>
      <c r="Y92" s="35" t="str">
        <f aca="false">IF($G92="","",$V92*(N($M92)*1+N($N92)*0.75+N($O92)*0.5+N($P92)*0.25)+$W92*N($L92))</f>
        <v/>
      </c>
      <c r="Z92" s="35" t="str">
        <f aca="false">IF($G92="","",$U92*1000000+ROW())</f>
        <v/>
      </c>
      <c r="AA92" s="36" t="str">
        <f aca="false">IF($G92="","",MID(IF($C92="",", no division","")&amp;IF($E92="",", no unit","")&amp;IF($H92="",", no career level","")&amp;IF(N($L92)&lt;=0,", no quarter split","")&amp;IF($R92="",", no driver","")&amp;IF(AND($H92&lt;&gt;"",COUNTIF(CareerLevels,$H92)=0),", a career level that is not on the ladder","")&amp;IF(AND($R92&lt;&gt;"",COUNTIF(DriverList,$R92)=0),", a driver that is not on the list","")&amp;IF(ABS(N($L92)-(N($M92)+N($N92)+N($O92)+N($P92)))&gt;0.001,", a total that does not match its quarters",""),3,300))</f>
        <v/>
      </c>
    </row>
    <row r="93" customFormat="false" ht="15" hidden="false" customHeight="false" outlineLevel="0" collapsed="false">
      <c r="A93" s="33" t="str">
        <f aca="false">IF($G93="","","CEO Office")</f>
        <v/>
      </c>
      <c r="B93" s="19"/>
      <c r="C93" s="19"/>
      <c r="D93" s="19"/>
      <c r="E93" s="19"/>
      <c r="F93" s="19"/>
      <c r="G93" s="19"/>
      <c r="H93" s="19"/>
      <c r="I93" s="19"/>
      <c r="J93" s="19"/>
      <c r="K93" s="19"/>
      <c r="L93" s="19"/>
      <c r="M93" s="19"/>
      <c r="N93" s="19"/>
      <c r="O93" s="19"/>
      <c r="P93" s="19"/>
      <c r="Q93" s="19"/>
      <c r="R93" s="19"/>
      <c r="S93" s="19"/>
      <c r="T93" s="34" t="str">
        <f aca="false">IF($R93="","",IFERROR(INDEX(DriverCategory,MATCH($R93,DriverList,0)),"BAU"))</f>
        <v/>
      </c>
      <c r="U93" s="34" t="str">
        <f aca="false">IF($R93="","",IFERROR(INDEX(DriverRank,MATCH($R93,DriverList,0)),99))</f>
        <v/>
      </c>
      <c r="V93" s="35" t="n">
        <f aca="false">IF($H93="",0,IFERROR(INDEX(LevelBasic,MATCH($H93,LevelList,0))+INDEX(LevelHousing,MATCH($H93,LevelList,0))+INDEX(LevelTransport,MATCH($H93,LevelList,0))+INDEX(LevelBasic,MATCH($H93,LevelList,0))*INDEX(LevelBonus,MATCH($H93,LevelList,0))+(INDEX(LevelBasic,MATCH($H93,LevelList,0))+INDEX(LevelHousing,MATCH($H93,LevelList,0)))*GosiSaudi,0))</f>
        <v>0</v>
      </c>
      <c r="W93" s="35" t="n">
        <f aca="false">IFERROR(INDEX(LevelOneOff,MATCH($H93,LevelList,0)),0)</f>
        <v>0</v>
      </c>
      <c r="X93" s="35" t="str">
        <f aca="false">IF($G93="","",$V93*N($L93))</f>
        <v/>
      </c>
      <c r="Y93" s="35" t="str">
        <f aca="false">IF($G93="","",$V93*(N($M93)*1+N($N93)*0.75+N($O93)*0.5+N($P93)*0.25)+$W93*N($L93))</f>
        <v/>
      </c>
      <c r="Z93" s="35" t="str">
        <f aca="false">IF($G93="","",$U93*1000000+ROW())</f>
        <v/>
      </c>
      <c r="AA93" s="36" t="str">
        <f aca="false">IF($G93="","",MID(IF($C93="",", no division","")&amp;IF($E93="",", no unit","")&amp;IF($H93="",", no career level","")&amp;IF(N($L93)&lt;=0,", no quarter split","")&amp;IF($R93="",", no driver","")&amp;IF(AND($H93&lt;&gt;"",COUNTIF(CareerLevels,$H93)=0),", a career level that is not on the ladder","")&amp;IF(AND($R93&lt;&gt;"",COUNTIF(DriverList,$R93)=0),", a driver that is not on the list","")&amp;IF(ABS(N($L93)-(N($M93)+N($N93)+N($O93)+N($P93)))&gt;0.001,", a total that does not match its quarters",""),3,300))</f>
        <v/>
      </c>
    </row>
    <row r="94" customFormat="false" ht="15" hidden="false" customHeight="false" outlineLevel="0" collapsed="false">
      <c r="A94" s="33" t="str">
        <f aca="false">IF($G94="","","CEO Office")</f>
        <v/>
      </c>
      <c r="B94" s="19"/>
      <c r="C94" s="19"/>
      <c r="D94" s="19"/>
      <c r="E94" s="19"/>
      <c r="F94" s="19"/>
      <c r="G94" s="19"/>
      <c r="H94" s="19"/>
      <c r="I94" s="19"/>
      <c r="J94" s="19"/>
      <c r="K94" s="19"/>
      <c r="L94" s="19"/>
      <c r="M94" s="19"/>
      <c r="N94" s="19"/>
      <c r="O94" s="19"/>
      <c r="P94" s="19"/>
      <c r="Q94" s="19"/>
      <c r="R94" s="19"/>
      <c r="S94" s="19"/>
      <c r="T94" s="34" t="str">
        <f aca="false">IF($R94="","",IFERROR(INDEX(DriverCategory,MATCH($R94,DriverList,0)),"BAU"))</f>
        <v/>
      </c>
      <c r="U94" s="34" t="str">
        <f aca="false">IF($R94="","",IFERROR(INDEX(DriverRank,MATCH($R94,DriverList,0)),99))</f>
        <v/>
      </c>
      <c r="V94" s="35" t="n">
        <f aca="false">IF($H94="",0,IFERROR(INDEX(LevelBasic,MATCH($H94,LevelList,0))+INDEX(LevelHousing,MATCH($H94,LevelList,0))+INDEX(LevelTransport,MATCH($H94,LevelList,0))+INDEX(LevelBasic,MATCH($H94,LevelList,0))*INDEX(LevelBonus,MATCH($H94,LevelList,0))+(INDEX(LevelBasic,MATCH($H94,LevelList,0))+INDEX(LevelHousing,MATCH($H94,LevelList,0)))*GosiSaudi,0))</f>
        <v>0</v>
      </c>
      <c r="W94" s="35" t="n">
        <f aca="false">IFERROR(INDEX(LevelOneOff,MATCH($H94,LevelList,0)),0)</f>
        <v>0</v>
      </c>
      <c r="X94" s="35" t="str">
        <f aca="false">IF($G94="","",$V94*N($L94))</f>
        <v/>
      </c>
      <c r="Y94" s="35" t="str">
        <f aca="false">IF($G94="","",$V94*(N($M94)*1+N($N94)*0.75+N($O94)*0.5+N($P94)*0.25)+$W94*N($L94))</f>
        <v/>
      </c>
      <c r="Z94" s="35" t="str">
        <f aca="false">IF($G94="","",$U94*1000000+ROW())</f>
        <v/>
      </c>
      <c r="AA94" s="36" t="str">
        <f aca="false">IF($G94="","",MID(IF($C94="",", no division","")&amp;IF($E94="",", no unit","")&amp;IF($H94="",", no career level","")&amp;IF(N($L94)&lt;=0,", no quarter split","")&amp;IF($R94="",", no driver","")&amp;IF(AND($H94&lt;&gt;"",COUNTIF(CareerLevels,$H94)=0),", a career level that is not on the ladder","")&amp;IF(AND($R94&lt;&gt;"",COUNTIF(DriverList,$R94)=0),", a driver that is not on the list","")&amp;IF(ABS(N($L94)-(N($M94)+N($N94)+N($O94)+N($P94)))&gt;0.001,", a total that does not match its quarters",""),3,300))</f>
        <v/>
      </c>
    </row>
    <row r="95" customFormat="false" ht="15" hidden="false" customHeight="false" outlineLevel="0" collapsed="false">
      <c r="A95" s="33" t="str">
        <f aca="false">IF($G95="","","CEO Office")</f>
        <v/>
      </c>
      <c r="B95" s="19"/>
      <c r="C95" s="19"/>
      <c r="D95" s="19"/>
      <c r="E95" s="19"/>
      <c r="F95" s="19"/>
      <c r="G95" s="19"/>
      <c r="H95" s="19"/>
      <c r="I95" s="19"/>
      <c r="J95" s="19"/>
      <c r="K95" s="19"/>
      <c r="L95" s="19"/>
      <c r="M95" s="19"/>
      <c r="N95" s="19"/>
      <c r="O95" s="19"/>
      <c r="P95" s="19"/>
      <c r="Q95" s="19"/>
      <c r="R95" s="19"/>
      <c r="S95" s="19"/>
      <c r="T95" s="34" t="str">
        <f aca="false">IF($R95="","",IFERROR(INDEX(DriverCategory,MATCH($R95,DriverList,0)),"BAU"))</f>
        <v/>
      </c>
      <c r="U95" s="34" t="str">
        <f aca="false">IF($R95="","",IFERROR(INDEX(DriverRank,MATCH($R95,DriverList,0)),99))</f>
        <v/>
      </c>
      <c r="V95" s="35" t="n">
        <f aca="false">IF($H95="",0,IFERROR(INDEX(LevelBasic,MATCH($H95,LevelList,0))+INDEX(LevelHousing,MATCH($H95,LevelList,0))+INDEX(LevelTransport,MATCH($H95,LevelList,0))+INDEX(LevelBasic,MATCH($H95,LevelList,0))*INDEX(LevelBonus,MATCH($H95,LevelList,0))+(INDEX(LevelBasic,MATCH($H95,LevelList,0))+INDEX(LevelHousing,MATCH($H95,LevelList,0)))*GosiSaudi,0))</f>
        <v>0</v>
      </c>
      <c r="W95" s="35" t="n">
        <f aca="false">IFERROR(INDEX(LevelOneOff,MATCH($H95,LevelList,0)),0)</f>
        <v>0</v>
      </c>
      <c r="X95" s="35" t="str">
        <f aca="false">IF($G95="","",$V95*N($L95))</f>
        <v/>
      </c>
      <c r="Y95" s="35" t="str">
        <f aca="false">IF($G95="","",$V95*(N($M95)*1+N($N95)*0.75+N($O95)*0.5+N($P95)*0.25)+$W95*N($L95))</f>
        <v/>
      </c>
      <c r="Z95" s="35" t="str">
        <f aca="false">IF($G95="","",$U95*1000000+ROW())</f>
        <v/>
      </c>
      <c r="AA95" s="36" t="str">
        <f aca="false">IF($G95="","",MID(IF($C95="",", no division","")&amp;IF($E95="",", no unit","")&amp;IF($H95="",", no career level","")&amp;IF(N($L95)&lt;=0,", no quarter split","")&amp;IF($R95="",", no driver","")&amp;IF(AND($H95&lt;&gt;"",COUNTIF(CareerLevels,$H95)=0),", a career level that is not on the ladder","")&amp;IF(AND($R95&lt;&gt;"",COUNTIF(DriverList,$R95)=0),", a driver that is not on the list","")&amp;IF(ABS(N($L95)-(N($M95)+N($N95)+N($O95)+N($P95)))&gt;0.001,", a total that does not match its quarters",""),3,300))</f>
        <v/>
      </c>
    </row>
    <row r="96" customFormat="false" ht="15" hidden="false" customHeight="false" outlineLevel="0" collapsed="false">
      <c r="A96" s="33" t="str">
        <f aca="false">IF($G96="","","CEO Office")</f>
        <v/>
      </c>
      <c r="B96" s="19"/>
      <c r="C96" s="19"/>
      <c r="D96" s="19"/>
      <c r="E96" s="19"/>
      <c r="F96" s="19"/>
      <c r="G96" s="19"/>
      <c r="H96" s="19"/>
      <c r="I96" s="19"/>
      <c r="J96" s="19"/>
      <c r="K96" s="19"/>
      <c r="L96" s="19"/>
      <c r="M96" s="19"/>
      <c r="N96" s="19"/>
      <c r="O96" s="19"/>
      <c r="P96" s="19"/>
      <c r="Q96" s="19"/>
      <c r="R96" s="19"/>
      <c r="S96" s="19"/>
      <c r="T96" s="34" t="str">
        <f aca="false">IF($R96="","",IFERROR(INDEX(DriverCategory,MATCH($R96,DriverList,0)),"BAU"))</f>
        <v/>
      </c>
      <c r="U96" s="34" t="str">
        <f aca="false">IF($R96="","",IFERROR(INDEX(DriverRank,MATCH($R96,DriverList,0)),99))</f>
        <v/>
      </c>
      <c r="V96" s="35" t="n">
        <f aca="false">IF($H96="",0,IFERROR(INDEX(LevelBasic,MATCH($H96,LevelList,0))+INDEX(LevelHousing,MATCH($H96,LevelList,0))+INDEX(LevelTransport,MATCH($H96,LevelList,0))+INDEX(LevelBasic,MATCH($H96,LevelList,0))*INDEX(LevelBonus,MATCH($H96,LevelList,0))+(INDEX(LevelBasic,MATCH($H96,LevelList,0))+INDEX(LevelHousing,MATCH($H96,LevelList,0)))*GosiSaudi,0))</f>
        <v>0</v>
      </c>
      <c r="W96" s="35" t="n">
        <f aca="false">IFERROR(INDEX(LevelOneOff,MATCH($H96,LevelList,0)),0)</f>
        <v>0</v>
      </c>
      <c r="X96" s="35" t="str">
        <f aca="false">IF($G96="","",$V96*N($L96))</f>
        <v/>
      </c>
      <c r="Y96" s="35" t="str">
        <f aca="false">IF($G96="","",$V96*(N($M96)*1+N($N96)*0.75+N($O96)*0.5+N($P96)*0.25)+$W96*N($L96))</f>
        <v/>
      </c>
      <c r="Z96" s="35" t="str">
        <f aca="false">IF($G96="","",$U96*1000000+ROW())</f>
        <v/>
      </c>
      <c r="AA96" s="36" t="str">
        <f aca="false">IF($G96="","",MID(IF($C96="",", no division","")&amp;IF($E96="",", no unit","")&amp;IF($H96="",", no career level","")&amp;IF(N($L96)&lt;=0,", no quarter split","")&amp;IF($R96="",", no driver","")&amp;IF(AND($H96&lt;&gt;"",COUNTIF(CareerLevels,$H96)=0),", a career level that is not on the ladder","")&amp;IF(AND($R96&lt;&gt;"",COUNTIF(DriverList,$R96)=0),", a driver that is not on the list","")&amp;IF(ABS(N($L96)-(N($M96)+N($N96)+N($O96)+N($P96)))&gt;0.001,", a total that does not match its quarters",""),3,300))</f>
        <v/>
      </c>
    </row>
    <row r="97" customFormat="false" ht="15" hidden="false" customHeight="false" outlineLevel="0" collapsed="false">
      <c r="A97" s="33" t="str">
        <f aca="false">IF($G97="","","CEO Office")</f>
        <v/>
      </c>
      <c r="B97" s="19"/>
      <c r="C97" s="19"/>
      <c r="D97" s="19"/>
      <c r="E97" s="19"/>
      <c r="F97" s="19"/>
      <c r="G97" s="19"/>
      <c r="H97" s="19"/>
      <c r="I97" s="19"/>
      <c r="J97" s="19"/>
      <c r="K97" s="19"/>
      <c r="L97" s="19"/>
      <c r="M97" s="19"/>
      <c r="N97" s="19"/>
      <c r="O97" s="19"/>
      <c r="P97" s="19"/>
      <c r="Q97" s="19"/>
      <c r="R97" s="19"/>
      <c r="S97" s="19"/>
      <c r="T97" s="34" t="str">
        <f aca="false">IF($R97="","",IFERROR(INDEX(DriverCategory,MATCH($R97,DriverList,0)),"BAU"))</f>
        <v/>
      </c>
      <c r="U97" s="34" t="str">
        <f aca="false">IF($R97="","",IFERROR(INDEX(DriverRank,MATCH($R97,DriverList,0)),99))</f>
        <v/>
      </c>
      <c r="V97" s="35" t="n">
        <f aca="false">IF($H97="",0,IFERROR(INDEX(LevelBasic,MATCH($H97,LevelList,0))+INDEX(LevelHousing,MATCH($H97,LevelList,0))+INDEX(LevelTransport,MATCH($H97,LevelList,0))+INDEX(LevelBasic,MATCH($H97,LevelList,0))*INDEX(LevelBonus,MATCH($H97,LevelList,0))+(INDEX(LevelBasic,MATCH($H97,LevelList,0))+INDEX(LevelHousing,MATCH($H97,LevelList,0)))*GosiSaudi,0))</f>
        <v>0</v>
      </c>
      <c r="W97" s="35" t="n">
        <f aca="false">IFERROR(INDEX(LevelOneOff,MATCH($H97,LevelList,0)),0)</f>
        <v>0</v>
      </c>
      <c r="X97" s="35" t="str">
        <f aca="false">IF($G97="","",$V97*N($L97))</f>
        <v/>
      </c>
      <c r="Y97" s="35" t="str">
        <f aca="false">IF($G97="","",$V97*(N($M97)*1+N($N97)*0.75+N($O97)*0.5+N($P97)*0.25)+$W97*N($L97))</f>
        <v/>
      </c>
      <c r="Z97" s="35" t="str">
        <f aca="false">IF($G97="","",$U97*1000000+ROW())</f>
        <v/>
      </c>
      <c r="AA97" s="36" t="str">
        <f aca="false">IF($G97="","",MID(IF($C97="",", no division","")&amp;IF($E97="",", no unit","")&amp;IF($H97="",", no career level","")&amp;IF(N($L97)&lt;=0,", no quarter split","")&amp;IF($R97="",", no driver","")&amp;IF(AND($H97&lt;&gt;"",COUNTIF(CareerLevels,$H97)=0),", a career level that is not on the ladder","")&amp;IF(AND($R97&lt;&gt;"",COUNTIF(DriverList,$R97)=0),", a driver that is not on the list","")&amp;IF(ABS(N($L97)-(N($M97)+N($N97)+N($O97)+N($P97)))&gt;0.001,", a total that does not match its quarters",""),3,300))</f>
        <v/>
      </c>
    </row>
    <row r="98" customFormat="false" ht="15" hidden="false" customHeight="false" outlineLevel="0" collapsed="false">
      <c r="A98" s="33" t="str">
        <f aca="false">IF($G98="","","CEO Office")</f>
        <v/>
      </c>
      <c r="B98" s="19"/>
      <c r="C98" s="19"/>
      <c r="D98" s="19"/>
      <c r="E98" s="19"/>
      <c r="F98" s="19"/>
      <c r="G98" s="19"/>
      <c r="H98" s="19"/>
      <c r="I98" s="19"/>
      <c r="J98" s="19"/>
      <c r="K98" s="19"/>
      <c r="L98" s="19"/>
      <c r="M98" s="19"/>
      <c r="N98" s="19"/>
      <c r="O98" s="19"/>
      <c r="P98" s="19"/>
      <c r="Q98" s="19"/>
      <c r="R98" s="19"/>
      <c r="S98" s="19"/>
      <c r="T98" s="34" t="str">
        <f aca="false">IF($R98="","",IFERROR(INDEX(DriverCategory,MATCH($R98,DriverList,0)),"BAU"))</f>
        <v/>
      </c>
      <c r="U98" s="34" t="str">
        <f aca="false">IF($R98="","",IFERROR(INDEX(DriverRank,MATCH($R98,DriverList,0)),99))</f>
        <v/>
      </c>
      <c r="V98" s="35" t="n">
        <f aca="false">IF($H98="",0,IFERROR(INDEX(LevelBasic,MATCH($H98,LevelList,0))+INDEX(LevelHousing,MATCH($H98,LevelList,0))+INDEX(LevelTransport,MATCH($H98,LevelList,0))+INDEX(LevelBasic,MATCH($H98,LevelList,0))*INDEX(LevelBonus,MATCH($H98,LevelList,0))+(INDEX(LevelBasic,MATCH($H98,LevelList,0))+INDEX(LevelHousing,MATCH($H98,LevelList,0)))*GosiSaudi,0))</f>
        <v>0</v>
      </c>
      <c r="W98" s="35" t="n">
        <f aca="false">IFERROR(INDEX(LevelOneOff,MATCH($H98,LevelList,0)),0)</f>
        <v>0</v>
      </c>
      <c r="X98" s="35" t="str">
        <f aca="false">IF($G98="","",$V98*N($L98))</f>
        <v/>
      </c>
      <c r="Y98" s="35" t="str">
        <f aca="false">IF($G98="","",$V98*(N($M98)*1+N($N98)*0.75+N($O98)*0.5+N($P98)*0.25)+$W98*N($L98))</f>
        <v/>
      </c>
      <c r="Z98" s="35" t="str">
        <f aca="false">IF($G98="","",$U98*1000000+ROW())</f>
        <v/>
      </c>
      <c r="AA98" s="36" t="str">
        <f aca="false">IF($G98="","",MID(IF($C98="",", no division","")&amp;IF($E98="",", no unit","")&amp;IF($H98="",", no career level","")&amp;IF(N($L98)&lt;=0,", no quarter split","")&amp;IF($R98="",", no driver","")&amp;IF(AND($H98&lt;&gt;"",COUNTIF(CareerLevels,$H98)=0),", a career level that is not on the ladder","")&amp;IF(AND($R98&lt;&gt;"",COUNTIF(DriverList,$R98)=0),", a driver that is not on the list","")&amp;IF(ABS(N($L98)-(N($M98)+N($N98)+N($O98)+N($P98)))&gt;0.001,", a total that does not match its quarters",""),3,300))</f>
        <v/>
      </c>
    </row>
    <row r="99" customFormat="false" ht="15" hidden="false" customHeight="false" outlineLevel="0" collapsed="false">
      <c r="A99" s="33" t="str">
        <f aca="false">IF($G99="","","CEO Office")</f>
        <v/>
      </c>
      <c r="B99" s="19"/>
      <c r="C99" s="19"/>
      <c r="D99" s="19"/>
      <c r="E99" s="19"/>
      <c r="F99" s="19"/>
      <c r="G99" s="19"/>
      <c r="H99" s="19"/>
      <c r="I99" s="19"/>
      <c r="J99" s="19"/>
      <c r="K99" s="19"/>
      <c r="L99" s="19"/>
      <c r="M99" s="19"/>
      <c r="N99" s="19"/>
      <c r="O99" s="19"/>
      <c r="P99" s="19"/>
      <c r="Q99" s="19"/>
      <c r="R99" s="19"/>
      <c r="S99" s="19"/>
      <c r="T99" s="34" t="str">
        <f aca="false">IF($R99="","",IFERROR(INDEX(DriverCategory,MATCH($R99,DriverList,0)),"BAU"))</f>
        <v/>
      </c>
      <c r="U99" s="34" t="str">
        <f aca="false">IF($R99="","",IFERROR(INDEX(DriverRank,MATCH($R99,DriverList,0)),99))</f>
        <v/>
      </c>
      <c r="V99" s="35" t="n">
        <f aca="false">IF($H99="",0,IFERROR(INDEX(LevelBasic,MATCH($H99,LevelList,0))+INDEX(LevelHousing,MATCH($H99,LevelList,0))+INDEX(LevelTransport,MATCH($H99,LevelList,0))+INDEX(LevelBasic,MATCH($H99,LevelList,0))*INDEX(LevelBonus,MATCH($H99,LevelList,0))+(INDEX(LevelBasic,MATCH($H99,LevelList,0))+INDEX(LevelHousing,MATCH($H99,LevelList,0)))*GosiSaudi,0))</f>
        <v>0</v>
      </c>
      <c r="W99" s="35" t="n">
        <f aca="false">IFERROR(INDEX(LevelOneOff,MATCH($H99,LevelList,0)),0)</f>
        <v>0</v>
      </c>
      <c r="X99" s="35" t="str">
        <f aca="false">IF($G99="","",$V99*N($L99))</f>
        <v/>
      </c>
      <c r="Y99" s="35" t="str">
        <f aca="false">IF($G99="","",$V99*(N($M99)*1+N($N99)*0.75+N($O99)*0.5+N($P99)*0.25)+$W99*N($L99))</f>
        <v/>
      </c>
      <c r="Z99" s="35" t="str">
        <f aca="false">IF($G99="","",$U99*1000000+ROW())</f>
        <v/>
      </c>
      <c r="AA99" s="36" t="str">
        <f aca="false">IF($G99="","",MID(IF($C99="",", no division","")&amp;IF($E99="",", no unit","")&amp;IF($H99="",", no career level","")&amp;IF(N($L99)&lt;=0,", no quarter split","")&amp;IF($R99="",", no driver","")&amp;IF(AND($H99&lt;&gt;"",COUNTIF(CareerLevels,$H99)=0),", a career level that is not on the ladder","")&amp;IF(AND($R99&lt;&gt;"",COUNTIF(DriverList,$R99)=0),", a driver that is not on the list","")&amp;IF(ABS(N($L99)-(N($M99)+N($N99)+N($O99)+N($P99)))&gt;0.001,", a total that does not match its quarters",""),3,300))</f>
        <v/>
      </c>
    </row>
    <row r="100" customFormat="false" ht="15" hidden="false" customHeight="false" outlineLevel="0" collapsed="false">
      <c r="A100" s="33" t="str">
        <f aca="false">IF($G100="","","CEO Office")</f>
        <v/>
      </c>
      <c r="B100" s="19"/>
      <c r="C100" s="19"/>
      <c r="D100" s="19"/>
      <c r="E100" s="19"/>
      <c r="F100" s="19"/>
      <c r="G100" s="19"/>
      <c r="H100" s="19"/>
      <c r="I100" s="19"/>
      <c r="J100" s="19"/>
      <c r="K100" s="19"/>
      <c r="L100" s="19"/>
      <c r="M100" s="19"/>
      <c r="N100" s="19"/>
      <c r="O100" s="19"/>
      <c r="P100" s="19"/>
      <c r="Q100" s="19"/>
      <c r="R100" s="19"/>
      <c r="S100" s="19"/>
      <c r="T100" s="34" t="str">
        <f aca="false">IF($R100="","",IFERROR(INDEX(DriverCategory,MATCH($R100,DriverList,0)),"BAU"))</f>
        <v/>
      </c>
      <c r="U100" s="34" t="str">
        <f aca="false">IF($R100="","",IFERROR(INDEX(DriverRank,MATCH($R100,DriverList,0)),99))</f>
        <v/>
      </c>
      <c r="V100" s="35" t="n">
        <f aca="false">IF($H100="",0,IFERROR(INDEX(LevelBasic,MATCH($H100,LevelList,0))+INDEX(LevelHousing,MATCH($H100,LevelList,0))+INDEX(LevelTransport,MATCH($H100,LevelList,0))+INDEX(LevelBasic,MATCH($H100,LevelList,0))*INDEX(LevelBonus,MATCH($H100,LevelList,0))+(INDEX(LevelBasic,MATCH($H100,LevelList,0))+INDEX(LevelHousing,MATCH($H100,LevelList,0)))*GosiSaudi,0))</f>
        <v>0</v>
      </c>
      <c r="W100" s="35" t="n">
        <f aca="false">IFERROR(INDEX(LevelOneOff,MATCH($H100,LevelList,0)),0)</f>
        <v>0</v>
      </c>
      <c r="X100" s="35" t="str">
        <f aca="false">IF($G100="","",$V100*N($L100))</f>
        <v/>
      </c>
      <c r="Y100" s="35" t="str">
        <f aca="false">IF($G100="","",$V100*(N($M100)*1+N($N100)*0.75+N($O100)*0.5+N($P100)*0.25)+$W100*N($L100))</f>
        <v/>
      </c>
      <c r="Z100" s="35" t="str">
        <f aca="false">IF($G100="","",$U100*1000000+ROW())</f>
        <v/>
      </c>
      <c r="AA100" s="36" t="str">
        <f aca="false">IF($G100="","",MID(IF($C100="",", no division","")&amp;IF($E100="",", no unit","")&amp;IF($H100="",", no career level","")&amp;IF(N($L100)&lt;=0,", no quarter split","")&amp;IF($R100="",", no driver","")&amp;IF(AND($H100&lt;&gt;"",COUNTIF(CareerLevels,$H100)=0),", a career level that is not on the ladder","")&amp;IF(AND($R100&lt;&gt;"",COUNTIF(DriverList,$R100)=0),", a driver that is not on the list","")&amp;IF(ABS(N($L100)-(N($M100)+N($N100)+N($O100)+N($P100)))&gt;0.001,", a total that does not match its quarters",""),3,300))</f>
        <v/>
      </c>
    </row>
    <row r="101" customFormat="false" ht="15" hidden="false" customHeight="false" outlineLevel="0" collapsed="false">
      <c r="A101" s="33" t="str">
        <f aca="false">IF($G101="","","CEO Office")</f>
        <v/>
      </c>
      <c r="B101" s="19"/>
      <c r="C101" s="19"/>
      <c r="D101" s="19"/>
      <c r="E101" s="19"/>
      <c r="F101" s="19"/>
      <c r="G101" s="19"/>
      <c r="H101" s="19"/>
      <c r="I101" s="19"/>
      <c r="J101" s="19"/>
      <c r="K101" s="19"/>
      <c r="L101" s="19"/>
      <c r="M101" s="19"/>
      <c r="N101" s="19"/>
      <c r="O101" s="19"/>
      <c r="P101" s="19"/>
      <c r="Q101" s="19"/>
      <c r="R101" s="19"/>
      <c r="S101" s="19"/>
      <c r="T101" s="34" t="str">
        <f aca="false">IF($R101="","",IFERROR(INDEX(DriverCategory,MATCH($R101,DriverList,0)),"BAU"))</f>
        <v/>
      </c>
      <c r="U101" s="34" t="str">
        <f aca="false">IF($R101="","",IFERROR(INDEX(DriverRank,MATCH($R101,DriverList,0)),99))</f>
        <v/>
      </c>
      <c r="V101" s="35" t="n">
        <f aca="false">IF($H101="",0,IFERROR(INDEX(LevelBasic,MATCH($H101,LevelList,0))+INDEX(LevelHousing,MATCH($H101,LevelList,0))+INDEX(LevelTransport,MATCH($H101,LevelList,0))+INDEX(LevelBasic,MATCH($H101,LevelList,0))*INDEX(LevelBonus,MATCH($H101,LevelList,0))+(INDEX(LevelBasic,MATCH($H101,LevelList,0))+INDEX(LevelHousing,MATCH($H101,LevelList,0)))*GosiSaudi,0))</f>
        <v>0</v>
      </c>
      <c r="W101" s="35" t="n">
        <f aca="false">IFERROR(INDEX(LevelOneOff,MATCH($H101,LevelList,0)),0)</f>
        <v>0</v>
      </c>
      <c r="X101" s="35" t="str">
        <f aca="false">IF($G101="","",$V101*N($L101))</f>
        <v/>
      </c>
      <c r="Y101" s="35" t="str">
        <f aca="false">IF($G101="","",$V101*(N($M101)*1+N($N101)*0.75+N($O101)*0.5+N($P101)*0.25)+$W101*N($L101))</f>
        <v/>
      </c>
      <c r="Z101" s="35" t="str">
        <f aca="false">IF($G101="","",$U101*1000000+ROW())</f>
        <v/>
      </c>
      <c r="AA101" s="36" t="str">
        <f aca="false">IF($G101="","",MID(IF($C101="",", no division","")&amp;IF($E101="",", no unit","")&amp;IF($H101="",", no career level","")&amp;IF(N($L101)&lt;=0,", no quarter split","")&amp;IF($R101="",", no driver","")&amp;IF(AND($H101&lt;&gt;"",COUNTIF(CareerLevels,$H101)=0),", a career level that is not on the ladder","")&amp;IF(AND($R101&lt;&gt;"",COUNTIF(DriverList,$R101)=0),", a driver that is not on the list","")&amp;IF(ABS(N($L101)-(N($M101)+N($N101)+N($O101)+N($P101)))&gt;0.001,", a total that does not match its quarters",""),3,300))</f>
        <v/>
      </c>
    </row>
    <row r="102" customFormat="false" ht="15" hidden="false" customHeight="false" outlineLevel="0" collapsed="false">
      <c r="A102" s="33" t="str">
        <f aca="false">IF($G102="","","CEO Office")</f>
        <v/>
      </c>
      <c r="B102" s="19"/>
      <c r="C102" s="19"/>
      <c r="D102" s="19"/>
      <c r="E102" s="19"/>
      <c r="F102" s="19"/>
      <c r="G102" s="19"/>
      <c r="H102" s="19"/>
      <c r="I102" s="19"/>
      <c r="J102" s="19"/>
      <c r="K102" s="19"/>
      <c r="L102" s="19"/>
      <c r="M102" s="19"/>
      <c r="N102" s="19"/>
      <c r="O102" s="19"/>
      <c r="P102" s="19"/>
      <c r="Q102" s="19"/>
      <c r="R102" s="19"/>
      <c r="S102" s="19"/>
      <c r="T102" s="34" t="str">
        <f aca="false">IF($R102="","",IFERROR(INDEX(DriverCategory,MATCH($R102,DriverList,0)),"BAU"))</f>
        <v/>
      </c>
      <c r="U102" s="34" t="str">
        <f aca="false">IF($R102="","",IFERROR(INDEX(DriverRank,MATCH($R102,DriverList,0)),99))</f>
        <v/>
      </c>
      <c r="V102" s="35" t="n">
        <f aca="false">IF($H102="",0,IFERROR(INDEX(LevelBasic,MATCH($H102,LevelList,0))+INDEX(LevelHousing,MATCH($H102,LevelList,0))+INDEX(LevelTransport,MATCH($H102,LevelList,0))+INDEX(LevelBasic,MATCH($H102,LevelList,0))*INDEX(LevelBonus,MATCH($H102,LevelList,0))+(INDEX(LevelBasic,MATCH($H102,LevelList,0))+INDEX(LevelHousing,MATCH($H102,LevelList,0)))*GosiSaudi,0))</f>
        <v>0</v>
      </c>
      <c r="W102" s="35" t="n">
        <f aca="false">IFERROR(INDEX(LevelOneOff,MATCH($H102,LevelList,0)),0)</f>
        <v>0</v>
      </c>
      <c r="X102" s="35" t="str">
        <f aca="false">IF($G102="","",$V102*N($L102))</f>
        <v/>
      </c>
      <c r="Y102" s="35" t="str">
        <f aca="false">IF($G102="","",$V102*(N($M102)*1+N($N102)*0.75+N($O102)*0.5+N($P102)*0.25)+$W102*N($L102))</f>
        <v/>
      </c>
      <c r="Z102" s="35" t="str">
        <f aca="false">IF($G102="","",$U102*1000000+ROW())</f>
        <v/>
      </c>
      <c r="AA102" s="36" t="str">
        <f aca="false">IF($G102="","",MID(IF($C102="",", no division","")&amp;IF($E102="",", no unit","")&amp;IF($H102="",", no career level","")&amp;IF(N($L102)&lt;=0,", no quarter split","")&amp;IF($R102="",", no driver","")&amp;IF(AND($H102&lt;&gt;"",COUNTIF(CareerLevels,$H102)=0),", a career level that is not on the ladder","")&amp;IF(AND($R102&lt;&gt;"",COUNTIF(DriverList,$R102)=0),", a driver that is not on the list","")&amp;IF(ABS(N($L102)-(N($M102)+N($N102)+N($O102)+N($P102)))&gt;0.001,", a total that does not match its quarters",""),3,300))</f>
        <v/>
      </c>
    </row>
    <row r="103" customFormat="false" ht="15" hidden="false" customHeight="false" outlineLevel="0" collapsed="false">
      <c r="A103" s="33" t="str">
        <f aca="false">IF($G103="","","CEO Office")</f>
        <v/>
      </c>
      <c r="B103" s="19"/>
      <c r="C103" s="19"/>
      <c r="D103" s="19"/>
      <c r="E103" s="19"/>
      <c r="F103" s="19"/>
      <c r="G103" s="19"/>
      <c r="H103" s="19"/>
      <c r="I103" s="19"/>
      <c r="J103" s="19"/>
      <c r="K103" s="19"/>
      <c r="L103" s="19"/>
      <c r="M103" s="19"/>
      <c r="N103" s="19"/>
      <c r="O103" s="19"/>
      <c r="P103" s="19"/>
      <c r="Q103" s="19"/>
      <c r="R103" s="19"/>
      <c r="S103" s="19"/>
      <c r="T103" s="34" t="str">
        <f aca="false">IF($R103="","",IFERROR(INDEX(DriverCategory,MATCH($R103,DriverList,0)),"BAU"))</f>
        <v/>
      </c>
      <c r="U103" s="34" t="str">
        <f aca="false">IF($R103="","",IFERROR(INDEX(DriverRank,MATCH($R103,DriverList,0)),99))</f>
        <v/>
      </c>
      <c r="V103" s="35" t="n">
        <f aca="false">IF($H103="",0,IFERROR(INDEX(LevelBasic,MATCH($H103,LevelList,0))+INDEX(LevelHousing,MATCH($H103,LevelList,0))+INDEX(LevelTransport,MATCH($H103,LevelList,0))+INDEX(LevelBasic,MATCH($H103,LevelList,0))*INDEX(LevelBonus,MATCH($H103,LevelList,0))+(INDEX(LevelBasic,MATCH($H103,LevelList,0))+INDEX(LevelHousing,MATCH($H103,LevelList,0)))*GosiSaudi,0))</f>
        <v>0</v>
      </c>
      <c r="W103" s="35" t="n">
        <f aca="false">IFERROR(INDEX(LevelOneOff,MATCH($H103,LevelList,0)),0)</f>
        <v>0</v>
      </c>
      <c r="X103" s="35" t="str">
        <f aca="false">IF($G103="","",$V103*N($L103))</f>
        <v/>
      </c>
      <c r="Y103" s="35" t="str">
        <f aca="false">IF($G103="","",$V103*(N($M103)*1+N($N103)*0.75+N($O103)*0.5+N($P103)*0.25)+$W103*N($L103))</f>
        <v/>
      </c>
      <c r="Z103" s="35" t="str">
        <f aca="false">IF($G103="","",$U103*1000000+ROW())</f>
        <v/>
      </c>
      <c r="AA103" s="36" t="str">
        <f aca="false">IF($G103="","",MID(IF($C103="",", no division","")&amp;IF($E103="",", no unit","")&amp;IF($H103="",", no career level","")&amp;IF(N($L103)&lt;=0,", no quarter split","")&amp;IF($R103="",", no driver","")&amp;IF(AND($H103&lt;&gt;"",COUNTIF(CareerLevels,$H103)=0),", a career level that is not on the ladder","")&amp;IF(AND($R103&lt;&gt;"",COUNTIF(DriverList,$R103)=0),", a driver that is not on the list","")&amp;IF(ABS(N($L103)-(N($M103)+N($N103)+N($O103)+N($P103)))&gt;0.001,", a total that does not match its quarters",""),3,300))</f>
        <v/>
      </c>
    </row>
    <row r="104" customFormat="false" ht="15" hidden="false" customHeight="false" outlineLevel="0" collapsed="false">
      <c r="A104" s="33" t="str">
        <f aca="false">IF($G104="","","CEO Office")</f>
        <v/>
      </c>
      <c r="B104" s="19"/>
      <c r="C104" s="19"/>
      <c r="D104" s="19"/>
      <c r="E104" s="19"/>
      <c r="F104" s="19"/>
      <c r="G104" s="19"/>
      <c r="H104" s="19"/>
      <c r="I104" s="19"/>
      <c r="J104" s="19"/>
      <c r="K104" s="19"/>
      <c r="L104" s="19"/>
      <c r="M104" s="19"/>
      <c r="N104" s="19"/>
      <c r="O104" s="19"/>
      <c r="P104" s="19"/>
      <c r="Q104" s="19"/>
      <c r="R104" s="19"/>
      <c r="S104" s="19"/>
      <c r="T104" s="34" t="str">
        <f aca="false">IF($R104="","",IFERROR(INDEX(DriverCategory,MATCH($R104,DriverList,0)),"BAU"))</f>
        <v/>
      </c>
      <c r="U104" s="34" t="str">
        <f aca="false">IF($R104="","",IFERROR(INDEX(DriverRank,MATCH($R104,DriverList,0)),99))</f>
        <v/>
      </c>
      <c r="V104" s="35" t="n">
        <f aca="false">IF($H104="",0,IFERROR(INDEX(LevelBasic,MATCH($H104,LevelList,0))+INDEX(LevelHousing,MATCH($H104,LevelList,0))+INDEX(LevelTransport,MATCH($H104,LevelList,0))+INDEX(LevelBasic,MATCH($H104,LevelList,0))*INDEX(LevelBonus,MATCH($H104,LevelList,0))+(INDEX(LevelBasic,MATCH($H104,LevelList,0))+INDEX(LevelHousing,MATCH($H104,LevelList,0)))*GosiSaudi,0))</f>
        <v>0</v>
      </c>
      <c r="W104" s="35" t="n">
        <f aca="false">IFERROR(INDEX(LevelOneOff,MATCH($H104,LevelList,0)),0)</f>
        <v>0</v>
      </c>
      <c r="X104" s="35" t="str">
        <f aca="false">IF($G104="","",$V104*N($L104))</f>
        <v/>
      </c>
      <c r="Y104" s="35" t="str">
        <f aca="false">IF($G104="","",$V104*(N($M104)*1+N($N104)*0.75+N($O104)*0.5+N($P104)*0.25)+$W104*N($L104))</f>
        <v/>
      </c>
      <c r="Z104" s="35" t="str">
        <f aca="false">IF($G104="","",$U104*1000000+ROW())</f>
        <v/>
      </c>
      <c r="AA104" s="36" t="str">
        <f aca="false">IF($G104="","",MID(IF($C104="",", no division","")&amp;IF($E104="",", no unit","")&amp;IF($H104="",", no career level","")&amp;IF(N($L104)&lt;=0,", no quarter split","")&amp;IF($R104="",", no driver","")&amp;IF(AND($H104&lt;&gt;"",COUNTIF(CareerLevels,$H104)=0),", a career level that is not on the ladder","")&amp;IF(AND($R104&lt;&gt;"",COUNTIF(DriverList,$R104)=0),", a driver that is not on the list","")&amp;IF(ABS(N($L104)-(N($M104)+N($N104)+N($O104)+N($P104)))&gt;0.001,", a total that does not match its quarters",""),3,300))</f>
        <v/>
      </c>
    </row>
    <row r="105" customFormat="false" ht="15" hidden="false" customHeight="false" outlineLevel="0" collapsed="false">
      <c r="A105" s="33" t="str">
        <f aca="false">IF($G105="","","CEO Office")</f>
        <v/>
      </c>
      <c r="B105" s="19"/>
      <c r="C105" s="19"/>
      <c r="D105" s="19"/>
      <c r="E105" s="19"/>
      <c r="F105" s="19"/>
      <c r="G105" s="19"/>
      <c r="H105" s="19"/>
      <c r="I105" s="19"/>
      <c r="J105" s="19"/>
      <c r="K105" s="19"/>
      <c r="L105" s="19"/>
      <c r="M105" s="19"/>
      <c r="N105" s="19"/>
      <c r="O105" s="19"/>
      <c r="P105" s="19"/>
      <c r="Q105" s="19"/>
      <c r="R105" s="19"/>
      <c r="S105" s="19"/>
      <c r="T105" s="34" t="str">
        <f aca="false">IF($R105="","",IFERROR(INDEX(DriverCategory,MATCH($R105,DriverList,0)),"BAU"))</f>
        <v/>
      </c>
      <c r="U105" s="34" t="str">
        <f aca="false">IF($R105="","",IFERROR(INDEX(DriverRank,MATCH($R105,DriverList,0)),99))</f>
        <v/>
      </c>
      <c r="V105" s="35" t="n">
        <f aca="false">IF($H105="",0,IFERROR(INDEX(LevelBasic,MATCH($H105,LevelList,0))+INDEX(LevelHousing,MATCH($H105,LevelList,0))+INDEX(LevelTransport,MATCH($H105,LevelList,0))+INDEX(LevelBasic,MATCH($H105,LevelList,0))*INDEX(LevelBonus,MATCH($H105,LevelList,0))+(INDEX(LevelBasic,MATCH($H105,LevelList,0))+INDEX(LevelHousing,MATCH($H105,LevelList,0)))*GosiSaudi,0))</f>
        <v>0</v>
      </c>
      <c r="W105" s="35" t="n">
        <f aca="false">IFERROR(INDEX(LevelOneOff,MATCH($H105,LevelList,0)),0)</f>
        <v>0</v>
      </c>
      <c r="X105" s="35" t="str">
        <f aca="false">IF($G105="","",$V105*N($L105))</f>
        <v/>
      </c>
      <c r="Y105" s="35" t="str">
        <f aca="false">IF($G105="","",$V105*(N($M105)*1+N($N105)*0.75+N($O105)*0.5+N($P105)*0.25)+$W105*N($L105))</f>
        <v/>
      </c>
      <c r="Z105" s="35" t="str">
        <f aca="false">IF($G105="","",$U105*1000000+ROW())</f>
        <v/>
      </c>
      <c r="AA105" s="36" t="str">
        <f aca="false">IF($G105="","",MID(IF($C105="",", no division","")&amp;IF($E105="",", no unit","")&amp;IF($H105="",", no career level","")&amp;IF(N($L105)&lt;=0,", no quarter split","")&amp;IF($R105="",", no driver","")&amp;IF(AND($H105&lt;&gt;"",COUNTIF(CareerLevels,$H105)=0),", a career level that is not on the ladder","")&amp;IF(AND($R105&lt;&gt;"",COUNTIF(DriverList,$R105)=0),", a driver that is not on the list","")&amp;IF(ABS(N($L105)-(N($M105)+N($N105)+N($O105)+N($P105)))&gt;0.001,", a total that does not match its quarters",""),3,300))</f>
        <v/>
      </c>
    </row>
    <row r="106" customFormat="false" ht="15" hidden="false" customHeight="false" outlineLevel="0" collapsed="false">
      <c r="A106" s="33" t="str">
        <f aca="false">IF($G106="","","CEO Office")</f>
        <v/>
      </c>
      <c r="B106" s="19"/>
      <c r="C106" s="19"/>
      <c r="D106" s="19"/>
      <c r="E106" s="19"/>
      <c r="F106" s="19"/>
      <c r="G106" s="19"/>
      <c r="H106" s="19"/>
      <c r="I106" s="19"/>
      <c r="J106" s="19"/>
      <c r="K106" s="19"/>
      <c r="L106" s="19"/>
      <c r="M106" s="19"/>
      <c r="N106" s="19"/>
      <c r="O106" s="19"/>
      <c r="P106" s="19"/>
      <c r="Q106" s="19"/>
      <c r="R106" s="19"/>
      <c r="S106" s="19"/>
      <c r="T106" s="34" t="str">
        <f aca="false">IF($R106="","",IFERROR(INDEX(DriverCategory,MATCH($R106,DriverList,0)),"BAU"))</f>
        <v/>
      </c>
      <c r="U106" s="34" t="str">
        <f aca="false">IF($R106="","",IFERROR(INDEX(DriverRank,MATCH($R106,DriverList,0)),99))</f>
        <v/>
      </c>
      <c r="V106" s="35" t="n">
        <f aca="false">IF($H106="",0,IFERROR(INDEX(LevelBasic,MATCH($H106,LevelList,0))+INDEX(LevelHousing,MATCH($H106,LevelList,0))+INDEX(LevelTransport,MATCH($H106,LevelList,0))+INDEX(LevelBasic,MATCH($H106,LevelList,0))*INDEX(LevelBonus,MATCH($H106,LevelList,0))+(INDEX(LevelBasic,MATCH($H106,LevelList,0))+INDEX(LevelHousing,MATCH($H106,LevelList,0)))*GosiSaudi,0))</f>
        <v>0</v>
      </c>
      <c r="W106" s="35" t="n">
        <f aca="false">IFERROR(INDEX(LevelOneOff,MATCH($H106,LevelList,0)),0)</f>
        <v>0</v>
      </c>
      <c r="X106" s="35" t="str">
        <f aca="false">IF($G106="","",$V106*N($L106))</f>
        <v/>
      </c>
      <c r="Y106" s="35" t="str">
        <f aca="false">IF($G106="","",$V106*(N($M106)*1+N($N106)*0.75+N($O106)*0.5+N($P106)*0.25)+$W106*N($L106))</f>
        <v/>
      </c>
      <c r="Z106" s="35" t="str">
        <f aca="false">IF($G106="","",$U106*1000000+ROW())</f>
        <v/>
      </c>
      <c r="AA106" s="36" t="str">
        <f aca="false">IF($G106="","",MID(IF($C106="",", no division","")&amp;IF($E106="",", no unit","")&amp;IF($H106="",", no career level","")&amp;IF(N($L106)&lt;=0,", no quarter split","")&amp;IF($R106="",", no driver","")&amp;IF(AND($H106&lt;&gt;"",COUNTIF(CareerLevels,$H106)=0),", a career level that is not on the ladder","")&amp;IF(AND($R106&lt;&gt;"",COUNTIF(DriverList,$R106)=0),", a driver that is not on the list","")&amp;IF(ABS(N($L106)-(N($M106)+N($N106)+N($O106)+N($P106)))&gt;0.001,", a total that does not match its quarters",""),3,300))</f>
        <v/>
      </c>
    </row>
    <row r="107" customFormat="false" ht="15" hidden="false" customHeight="false" outlineLevel="0" collapsed="false">
      <c r="A107" s="33" t="str">
        <f aca="false">IF($G107="","","CEO Office")</f>
        <v/>
      </c>
      <c r="B107" s="19"/>
      <c r="C107" s="19"/>
      <c r="D107" s="19"/>
      <c r="E107" s="19"/>
      <c r="F107" s="19"/>
      <c r="G107" s="19"/>
      <c r="H107" s="19"/>
      <c r="I107" s="19"/>
      <c r="J107" s="19"/>
      <c r="K107" s="19"/>
      <c r="L107" s="19"/>
      <c r="M107" s="19"/>
      <c r="N107" s="19"/>
      <c r="O107" s="19"/>
      <c r="P107" s="19"/>
      <c r="Q107" s="19"/>
      <c r="R107" s="19"/>
      <c r="S107" s="19"/>
      <c r="T107" s="34" t="str">
        <f aca="false">IF($R107="","",IFERROR(INDEX(DriverCategory,MATCH($R107,DriverList,0)),"BAU"))</f>
        <v/>
      </c>
      <c r="U107" s="34" t="str">
        <f aca="false">IF($R107="","",IFERROR(INDEX(DriverRank,MATCH($R107,DriverList,0)),99))</f>
        <v/>
      </c>
      <c r="V107" s="35" t="n">
        <f aca="false">IF($H107="",0,IFERROR(INDEX(LevelBasic,MATCH($H107,LevelList,0))+INDEX(LevelHousing,MATCH($H107,LevelList,0))+INDEX(LevelTransport,MATCH($H107,LevelList,0))+INDEX(LevelBasic,MATCH($H107,LevelList,0))*INDEX(LevelBonus,MATCH($H107,LevelList,0))+(INDEX(LevelBasic,MATCH($H107,LevelList,0))+INDEX(LevelHousing,MATCH($H107,LevelList,0)))*GosiSaudi,0))</f>
        <v>0</v>
      </c>
      <c r="W107" s="35" t="n">
        <f aca="false">IFERROR(INDEX(LevelOneOff,MATCH($H107,LevelList,0)),0)</f>
        <v>0</v>
      </c>
      <c r="X107" s="35" t="str">
        <f aca="false">IF($G107="","",$V107*N($L107))</f>
        <v/>
      </c>
      <c r="Y107" s="35" t="str">
        <f aca="false">IF($G107="","",$V107*(N($M107)*1+N($N107)*0.75+N($O107)*0.5+N($P107)*0.25)+$W107*N($L107))</f>
        <v/>
      </c>
      <c r="Z107" s="35" t="str">
        <f aca="false">IF($G107="","",$U107*1000000+ROW())</f>
        <v/>
      </c>
      <c r="AA107" s="36" t="str">
        <f aca="false">IF($G107="","",MID(IF($C107="",", no division","")&amp;IF($E107="",", no unit","")&amp;IF($H107="",", no career level","")&amp;IF(N($L107)&lt;=0,", no quarter split","")&amp;IF($R107="",", no driver","")&amp;IF(AND($H107&lt;&gt;"",COUNTIF(CareerLevels,$H107)=0),", a career level that is not on the ladder","")&amp;IF(AND($R107&lt;&gt;"",COUNTIF(DriverList,$R107)=0),", a driver that is not on the list","")&amp;IF(ABS(N($L107)-(N($M107)+N($N107)+N($O107)+N($P107)))&gt;0.001,", a total that does not match its quarters",""),3,300))</f>
        <v/>
      </c>
    </row>
    <row r="108" customFormat="false" ht="15" hidden="false" customHeight="false" outlineLevel="0" collapsed="false">
      <c r="A108" s="33" t="str">
        <f aca="false">IF($G108="","","CEO Office")</f>
        <v/>
      </c>
      <c r="B108" s="19"/>
      <c r="C108" s="19"/>
      <c r="D108" s="19"/>
      <c r="E108" s="19"/>
      <c r="F108" s="19"/>
      <c r="G108" s="19"/>
      <c r="H108" s="19"/>
      <c r="I108" s="19"/>
      <c r="J108" s="19"/>
      <c r="K108" s="19"/>
      <c r="L108" s="19"/>
      <c r="M108" s="19"/>
      <c r="N108" s="19"/>
      <c r="O108" s="19"/>
      <c r="P108" s="19"/>
      <c r="Q108" s="19"/>
      <c r="R108" s="19"/>
      <c r="S108" s="19"/>
      <c r="T108" s="34" t="str">
        <f aca="false">IF($R108="","",IFERROR(INDEX(DriverCategory,MATCH($R108,DriverList,0)),"BAU"))</f>
        <v/>
      </c>
      <c r="U108" s="34" t="str">
        <f aca="false">IF($R108="","",IFERROR(INDEX(DriverRank,MATCH($R108,DriverList,0)),99))</f>
        <v/>
      </c>
      <c r="V108" s="35" t="n">
        <f aca="false">IF($H108="",0,IFERROR(INDEX(LevelBasic,MATCH($H108,LevelList,0))+INDEX(LevelHousing,MATCH($H108,LevelList,0))+INDEX(LevelTransport,MATCH($H108,LevelList,0))+INDEX(LevelBasic,MATCH($H108,LevelList,0))*INDEX(LevelBonus,MATCH($H108,LevelList,0))+(INDEX(LevelBasic,MATCH($H108,LevelList,0))+INDEX(LevelHousing,MATCH($H108,LevelList,0)))*GosiSaudi,0))</f>
        <v>0</v>
      </c>
      <c r="W108" s="35" t="n">
        <f aca="false">IFERROR(INDEX(LevelOneOff,MATCH($H108,LevelList,0)),0)</f>
        <v>0</v>
      </c>
      <c r="X108" s="35" t="str">
        <f aca="false">IF($G108="","",$V108*N($L108))</f>
        <v/>
      </c>
      <c r="Y108" s="35" t="str">
        <f aca="false">IF($G108="","",$V108*(N($M108)*1+N($N108)*0.75+N($O108)*0.5+N($P108)*0.25)+$W108*N($L108))</f>
        <v/>
      </c>
      <c r="Z108" s="35" t="str">
        <f aca="false">IF($G108="","",$U108*1000000+ROW())</f>
        <v/>
      </c>
      <c r="AA108" s="36" t="str">
        <f aca="false">IF($G108="","",MID(IF($C108="",", no division","")&amp;IF($E108="",", no unit","")&amp;IF($H108="",", no career level","")&amp;IF(N($L108)&lt;=0,", no quarter split","")&amp;IF($R108="",", no driver","")&amp;IF(AND($H108&lt;&gt;"",COUNTIF(CareerLevels,$H108)=0),", a career level that is not on the ladder","")&amp;IF(AND($R108&lt;&gt;"",COUNTIF(DriverList,$R108)=0),", a driver that is not on the list","")&amp;IF(ABS(N($L108)-(N($M108)+N($N108)+N($O108)+N($P108)))&gt;0.001,", a total that does not match its quarters",""),3,300))</f>
        <v/>
      </c>
    </row>
    <row r="109" customFormat="false" ht="15" hidden="false" customHeight="false" outlineLevel="0" collapsed="false">
      <c r="A109" s="33" t="str">
        <f aca="false">IF($G109="","","CEO Office")</f>
        <v/>
      </c>
      <c r="B109" s="19"/>
      <c r="C109" s="19"/>
      <c r="D109" s="19"/>
      <c r="E109" s="19"/>
      <c r="F109" s="19"/>
      <c r="G109" s="19"/>
      <c r="H109" s="19"/>
      <c r="I109" s="19"/>
      <c r="J109" s="19"/>
      <c r="K109" s="19"/>
      <c r="L109" s="19"/>
      <c r="M109" s="19"/>
      <c r="N109" s="19"/>
      <c r="O109" s="19"/>
      <c r="P109" s="19"/>
      <c r="Q109" s="19"/>
      <c r="R109" s="19"/>
      <c r="S109" s="19"/>
      <c r="T109" s="34" t="str">
        <f aca="false">IF($R109="","",IFERROR(INDEX(DriverCategory,MATCH($R109,DriverList,0)),"BAU"))</f>
        <v/>
      </c>
      <c r="U109" s="34" t="str">
        <f aca="false">IF($R109="","",IFERROR(INDEX(DriverRank,MATCH($R109,DriverList,0)),99))</f>
        <v/>
      </c>
      <c r="V109" s="35" t="n">
        <f aca="false">IF($H109="",0,IFERROR(INDEX(LevelBasic,MATCH($H109,LevelList,0))+INDEX(LevelHousing,MATCH($H109,LevelList,0))+INDEX(LevelTransport,MATCH($H109,LevelList,0))+INDEX(LevelBasic,MATCH($H109,LevelList,0))*INDEX(LevelBonus,MATCH($H109,LevelList,0))+(INDEX(LevelBasic,MATCH($H109,LevelList,0))+INDEX(LevelHousing,MATCH($H109,LevelList,0)))*GosiSaudi,0))</f>
        <v>0</v>
      </c>
      <c r="W109" s="35" t="n">
        <f aca="false">IFERROR(INDEX(LevelOneOff,MATCH($H109,LevelList,0)),0)</f>
        <v>0</v>
      </c>
      <c r="X109" s="35" t="str">
        <f aca="false">IF($G109="","",$V109*N($L109))</f>
        <v/>
      </c>
      <c r="Y109" s="35" t="str">
        <f aca="false">IF($G109="","",$V109*(N($M109)*1+N($N109)*0.75+N($O109)*0.5+N($P109)*0.25)+$W109*N($L109))</f>
        <v/>
      </c>
      <c r="Z109" s="35" t="str">
        <f aca="false">IF($G109="","",$U109*1000000+ROW())</f>
        <v/>
      </c>
      <c r="AA109" s="36" t="str">
        <f aca="false">IF($G109="","",MID(IF($C109="",", no division","")&amp;IF($E109="",", no unit","")&amp;IF($H109="",", no career level","")&amp;IF(N($L109)&lt;=0,", no quarter split","")&amp;IF($R109="",", no driver","")&amp;IF(AND($H109&lt;&gt;"",COUNTIF(CareerLevels,$H109)=0),", a career level that is not on the ladder","")&amp;IF(AND($R109&lt;&gt;"",COUNTIF(DriverList,$R109)=0),", a driver that is not on the list","")&amp;IF(ABS(N($L109)-(N($M109)+N($N109)+N($O109)+N($P109)))&gt;0.001,", a total that does not match its quarters",""),3,300))</f>
        <v/>
      </c>
    </row>
    <row r="110" customFormat="false" ht="15" hidden="false" customHeight="false" outlineLevel="0" collapsed="false">
      <c r="A110" s="33" t="str">
        <f aca="false">IF($G110="","","CEO Office")</f>
        <v/>
      </c>
      <c r="B110" s="19"/>
      <c r="C110" s="19"/>
      <c r="D110" s="19"/>
      <c r="E110" s="19"/>
      <c r="F110" s="19"/>
      <c r="G110" s="19"/>
      <c r="H110" s="19"/>
      <c r="I110" s="19"/>
      <c r="J110" s="19"/>
      <c r="K110" s="19"/>
      <c r="L110" s="19"/>
      <c r="M110" s="19"/>
      <c r="N110" s="19"/>
      <c r="O110" s="19"/>
      <c r="P110" s="19"/>
      <c r="Q110" s="19"/>
      <c r="R110" s="19"/>
      <c r="S110" s="19"/>
      <c r="T110" s="34" t="str">
        <f aca="false">IF($R110="","",IFERROR(INDEX(DriverCategory,MATCH($R110,DriverList,0)),"BAU"))</f>
        <v/>
      </c>
      <c r="U110" s="34" t="str">
        <f aca="false">IF($R110="","",IFERROR(INDEX(DriverRank,MATCH($R110,DriverList,0)),99))</f>
        <v/>
      </c>
      <c r="V110" s="35" t="n">
        <f aca="false">IF($H110="",0,IFERROR(INDEX(LevelBasic,MATCH($H110,LevelList,0))+INDEX(LevelHousing,MATCH($H110,LevelList,0))+INDEX(LevelTransport,MATCH($H110,LevelList,0))+INDEX(LevelBasic,MATCH($H110,LevelList,0))*INDEX(LevelBonus,MATCH($H110,LevelList,0))+(INDEX(LevelBasic,MATCH($H110,LevelList,0))+INDEX(LevelHousing,MATCH($H110,LevelList,0)))*GosiSaudi,0))</f>
        <v>0</v>
      </c>
      <c r="W110" s="35" t="n">
        <f aca="false">IFERROR(INDEX(LevelOneOff,MATCH($H110,LevelList,0)),0)</f>
        <v>0</v>
      </c>
      <c r="X110" s="35" t="str">
        <f aca="false">IF($G110="","",$V110*N($L110))</f>
        <v/>
      </c>
      <c r="Y110" s="35" t="str">
        <f aca="false">IF($G110="","",$V110*(N($M110)*1+N($N110)*0.75+N($O110)*0.5+N($P110)*0.25)+$W110*N($L110))</f>
        <v/>
      </c>
      <c r="Z110" s="35" t="str">
        <f aca="false">IF($G110="","",$U110*1000000+ROW())</f>
        <v/>
      </c>
      <c r="AA110" s="36" t="str">
        <f aca="false">IF($G110="","",MID(IF($C110="",", no division","")&amp;IF($E110="",", no unit","")&amp;IF($H110="",", no career level","")&amp;IF(N($L110)&lt;=0,", no quarter split","")&amp;IF($R110="",", no driver","")&amp;IF(AND($H110&lt;&gt;"",COUNTIF(CareerLevels,$H110)=0),", a career level that is not on the ladder","")&amp;IF(AND($R110&lt;&gt;"",COUNTIF(DriverList,$R110)=0),", a driver that is not on the list","")&amp;IF(ABS(N($L110)-(N($M110)+N($N110)+N($O110)+N($P110)))&gt;0.001,", a total that does not match its quarters",""),3,300))</f>
        <v/>
      </c>
    </row>
    <row r="111" customFormat="false" ht="15" hidden="false" customHeight="false" outlineLevel="0" collapsed="false">
      <c r="A111" s="33" t="str">
        <f aca="false">IF($G111="","","CEO Office")</f>
        <v/>
      </c>
      <c r="B111" s="19"/>
      <c r="C111" s="19"/>
      <c r="D111" s="19"/>
      <c r="E111" s="19"/>
      <c r="F111" s="19"/>
      <c r="G111" s="19"/>
      <c r="H111" s="19"/>
      <c r="I111" s="19"/>
      <c r="J111" s="19"/>
      <c r="K111" s="19"/>
      <c r="L111" s="19"/>
      <c r="M111" s="19"/>
      <c r="N111" s="19"/>
      <c r="O111" s="19"/>
      <c r="P111" s="19"/>
      <c r="Q111" s="19"/>
      <c r="R111" s="19"/>
      <c r="S111" s="19"/>
      <c r="T111" s="34" t="str">
        <f aca="false">IF($R111="","",IFERROR(INDEX(DriverCategory,MATCH($R111,DriverList,0)),"BAU"))</f>
        <v/>
      </c>
      <c r="U111" s="34" t="str">
        <f aca="false">IF($R111="","",IFERROR(INDEX(DriverRank,MATCH($R111,DriverList,0)),99))</f>
        <v/>
      </c>
      <c r="V111" s="35" t="n">
        <f aca="false">IF($H111="",0,IFERROR(INDEX(LevelBasic,MATCH($H111,LevelList,0))+INDEX(LevelHousing,MATCH($H111,LevelList,0))+INDEX(LevelTransport,MATCH($H111,LevelList,0))+INDEX(LevelBasic,MATCH($H111,LevelList,0))*INDEX(LevelBonus,MATCH($H111,LevelList,0))+(INDEX(LevelBasic,MATCH($H111,LevelList,0))+INDEX(LevelHousing,MATCH($H111,LevelList,0)))*GosiSaudi,0))</f>
        <v>0</v>
      </c>
      <c r="W111" s="35" t="n">
        <f aca="false">IFERROR(INDEX(LevelOneOff,MATCH($H111,LevelList,0)),0)</f>
        <v>0</v>
      </c>
      <c r="X111" s="35" t="str">
        <f aca="false">IF($G111="","",$V111*N($L111))</f>
        <v/>
      </c>
      <c r="Y111" s="35" t="str">
        <f aca="false">IF($G111="","",$V111*(N($M111)*1+N($N111)*0.75+N($O111)*0.5+N($P111)*0.25)+$W111*N($L111))</f>
        <v/>
      </c>
      <c r="Z111" s="35" t="str">
        <f aca="false">IF($G111="","",$U111*1000000+ROW())</f>
        <v/>
      </c>
      <c r="AA111" s="36" t="str">
        <f aca="false">IF($G111="","",MID(IF($C111="",", no division","")&amp;IF($E111="",", no unit","")&amp;IF($H111="",", no career level","")&amp;IF(N($L111)&lt;=0,", no quarter split","")&amp;IF($R111="",", no driver","")&amp;IF(AND($H111&lt;&gt;"",COUNTIF(CareerLevels,$H111)=0),", a career level that is not on the ladder","")&amp;IF(AND($R111&lt;&gt;"",COUNTIF(DriverList,$R111)=0),", a driver that is not on the list","")&amp;IF(ABS(N($L111)-(N($M111)+N($N111)+N($O111)+N($P111)))&gt;0.001,", a total that does not match its quarters",""),3,300))</f>
        <v/>
      </c>
    </row>
    <row r="112" customFormat="false" ht="15" hidden="false" customHeight="false" outlineLevel="0" collapsed="false">
      <c r="A112" s="33" t="str">
        <f aca="false">IF($G112="","","CEO Office")</f>
        <v/>
      </c>
      <c r="B112" s="19"/>
      <c r="C112" s="19"/>
      <c r="D112" s="19"/>
      <c r="E112" s="19"/>
      <c r="F112" s="19"/>
      <c r="G112" s="19"/>
      <c r="H112" s="19"/>
      <c r="I112" s="19"/>
      <c r="J112" s="19"/>
      <c r="K112" s="19"/>
      <c r="L112" s="19"/>
      <c r="M112" s="19"/>
      <c r="N112" s="19"/>
      <c r="O112" s="19"/>
      <c r="P112" s="19"/>
      <c r="Q112" s="19"/>
      <c r="R112" s="19"/>
      <c r="S112" s="19"/>
      <c r="T112" s="34" t="str">
        <f aca="false">IF($R112="","",IFERROR(INDEX(DriverCategory,MATCH($R112,DriverList,0)),"BAU"))</f>
        <v/>
      </c>
      <c r="U112" s="34" t="str">
        <f aca="false">IF($R112="","",IFERROR(INDEX(DriverRank,MATCH($R112,DriverList,0)),99))</f>
        <v/>
      </c>
      <c r="V112" s="35" t="n">
        <f aca="false">IF($H112="",0,IFERROR(INDEX(LevelBasic,MATCH($H112,LevelList,0))+INDEX(LevelHousing,MATCH($H112,LevelList,0))+INDEX(LevelTransport,MATCH($H112,LevelList,0))+INDEX(LevelBasic,MATCH($H112,LevelList,0))*INDEX(LevelBonus,MATCH($H112,LevelList,0))+(INDEX(LevelBasic,MATCH($H112,LevelList,0))+INDEX(LevelHousing,MATCH($H112,LevelList,0)))*GosiSaudi,0))</f>
        <v>0</v>
      </c>
      <c r="W112" s="35" t="n">
        <f aca="false">IFERROR(INDEX(LevelOneOff,MATCH($H112,LevelList,0)),0)</f>
        <v>0</v>
      </c>
      <c r="X112" s="35" t="str">
        <f aca="false">IF($G112="","",$V112*N($L112))</f>
        <v/>
      </c>
      <c r="Y112" s="35" t="str">
        <f aca="false">IF($G112="","",$V112*(N($M112)*1+N($N112)*0.75+N($O112)*0.5+N($P112)*0.25)+$W112*N($L112))</f>
        <v/>
      </c>
      <c r="Z112" s="35" t="str">
        <f aca="false">IF($G112="","",$U112*1000000+ROW())</f>
        <v/>
      </c>
      <c r="AA112" s="36" t="str">
        <f aca="false">IF($G112="","",MID(IF($C112="",", no division","")&amp;IF($E112="",", no unit","")&amp;IF($H112="",", no career level","")&amp;IF(N($L112)&lt;=0,", no quarter split","")&amp;IF($R112="",", no driver","")&amp;IF(AND($H112&lt;&gt;"",COUNTIF(CareerLevels,$H112)=0),", a career level that is not on the ladder","")&amp;IF(AND($R112&lt;&gt;"",COUNTIF(DriverList,$R112)=0),", a driver that is not on the list","")&amp;IF(ABS(N($L112)-(N($M112)+N($N112)+N($O112)+N($P112)))&gt;0.001,", a total that does not match its quarters",""),3,300))</f>
        <v/>
      </c>
    </row>
    <row r="113" customFormat="false" ht="15" hidden="false" customHeight="false" outlineLevel="0" collapsed="false">
      <c r="A113" s="33" t="str">
        <f aca="false">IF($G113="","","CEO Office")</f>
        <v/>
      </c>
      <c r="B113" s="19"/>
      <c r="C113" s="19"/>
      <c r="D113" s="19"/>
      <c r="E113" s="19"/>
      <c r="F113" s="19"/>
      <c r="G113" s="19"/>
      <c r="H113" s="19"/>
      <c r="I113" s="19"/>
      <c r="J113" s="19"/>
      <c r="K113" s="19"/>
      <c r="L113" s="19"/>
      <c r="M113" s="19"/>
      <c r="N113" s="19"/>
      <c r="O113" s="19"/>
      <c r="P113" s="19"/>
      <c r="Q113" s="19"/>
      <c r="R113" s="19"/>
      <c r="S113" s="19"/>
      <c r="T113" s="34" t="str">
        <f aca="false">IF($R113="","",IFERROR(INDEX(DriverCategory,MATCH($R113,DriverList,0)),"BAU"))</f>
        <v/>
      </c>
      <c r="U113" s="34" t="str">
        <f aca="false">IF($R113="","",IFERROR(INDEX(DriverRank,MATCH($R113,DriverList,0)),99))</f>
        <v/>
      </c>
      <c r="V113" s="35" t="n">
        <f aca="false">IF($H113="",0,IFERROR(INDEX(LevelBasic,MATCH($H113,LevelList,0))+INDEX(LevelHousing,MATCH($H113,LevelList,0))+INDEX(LevelTransport,MATCH($H113,LevelList,0))+INDEX(LevelBasic,MATCH($H113,LevelList,0))*INDEX(LevelBonus,MATCH($H113,LevelList,0))+(INDEX(LevelBasic,MATCH($H113,LevelList,0))+INDEX(LevelHousing,MATCH($H113,LevelList,0)))*GosiSaudi,0))</f>
        <v>0</v>
      </c>
      <c r="W113" s="35" t="n">
        <f aca="false">IFERROR(INDEX(LevelOneOff,MATCH($H113,LevelList,0)),0)</f>
        <v>0</v>
      </c>
      <c r="X113" s="35" t="str">
        <f aca="false">IF($G113="","",$V113*N($L113))</f>
        <v/>
      </c>
      <c r="Y113" s="35" t="str">
        <f aca="false">IF($G113="","",$V113*(N($M113)*1+N($N113)*0.75+N($O113)*0.5+N($P113)*0.25)+$W113*N($L113))</f>
        <v/>
      </c>
      <c r="Z113" s="35" t="str">
        <f aca="false">IF($G113="","",$U113*1000000+ROW())</f>
        <v/>
      </c>
      <c r="AA113" s="36" t="str">
        <f aca="false">IF($G113="","",MID(IF($C113="",", no division","")&amp;IF($E113="",", no unit","")&amp;IF($H113="",", no career level","")&amp;IF(N($L113)&lt;=0,", no quarter split","")&amp;IF($R113="",", no driver","")&amp;IF(AND($H113&lt;&gt;"",COUNTIF(CareerLevels,$H113)=0),", a career level that is not on the ladder","")&amp;IF(AND($R113&lt;&gt;"",COUNTIF(DriverList,$R113)=0),", a driver that is not on the list","")&amp;IF(ABS(N($L113)-(N($M113)+N($N113)+N($O113)+N($P113)))&gt;0.001,", a total that does not match its quarters",""),3,300))</f>
        <v/>
      </c>
    </row>
    <row r="114" customFormat="false" ht="15" hidden="false" customHeight="false" outlineLevel="0" collapsed="false">
      <c r="A114" s="33" t="str">
        <f aca="false">IF($G114="","","CEO Office")</f>
        <v/>
      </c>
      <c r="B114" s="19"/>
      <c r="C114" s="19"/>
      <c r="D114" s="19"/>
      <c r="E114" s="19"/>
      <c r="F114" s="19"/>
      <c r="G114" s="19"/>
      <c r="H114" s="19"/>
      <c r="I114" s="19"/>
      <c r="J114" s="19"/>
      <c r="K114" s="19"/>
      <c r="L114" s="19"/>
      <c r="M114" s="19"/>
      <c r="N114" s="19"/>
      <c r="O114" s="19"/>
      <c r="P114" s="19"/>
      <c r="Q114" s="19"/>
      <c r="R114" s="19"/>
      <c r="S114" s="19"/>
      <c r="T114" s="34" t="str">
        <f aca="false">IF($R114="","",IFERROR(INDEX(DriverCategory,MATCH($R114,DriverList,0)),"BAU"))</f>
        <v/>
      </c>
      <c r="U114" s="34" t="str">
        <f aca="false">IF($R114="","",IFERROR(INDEX(DriverRank,MATCH($R114,DriverList,0)),99))</f>
        <v/>
      </c>
      <c r="V114" s="35" t="n">
        <f aca="false">IF($H114="",0,IFERROR(INDEX(LevelBasic,MATCH($H114,LevelList,0))+INDEX(LevelHousing,MATCH($H114,LevelList,0))+INDEX(LevelTransport,MATCH($H114,LevelList,0))+INDEX(LevelBasic,MATCH($H114,LevelList,0))*INDEX(LevelBonus,MATCH($H114,LevelList,0))+(INDEX(LevelBasic,MATCH($H114,LevelList,0))+INDEX(LevelHousing,MATCH($H114,LevelList,0)))*GosiSaudi,0))</f>
        <v>0</v>
      </c>
      <c r="W114" s="35" t="n">
        <f aca="false">IFERROR(INDEX(LevelOneOff,MATCH($H114,LevelList,0)),0)</f>
        <v>0</v>
      </c>
      <c r="X114" s="35" t="str">
        <f aca="false">IF($G114="","",$V114*N($L114))</f>
        <v/>
      </c>
      <c r="Y114" s="35" t="str">
        <f aca="false">IF($G114="","",$V114*(N($M114)*1+N($N114)*0.75+N($O114)*0.5+N($P114)*0.25)+$W114*N($L114))</f>
        <v/>
      </c>
      <c r="Z114" s="35" t="str">
        <f aca="false">IF($G114="","",$U114*1000000+ROW())</f>
        <v/>
      </c>
      <c r="AA114" s="36" t="str">
        <f aca="false">IF($G114="","",MID(IF($C114="",", no division","")&amp;IF($E114="",", no unit","")&amp;IF($H114="",", no career level","")&amp;IF(N($L114)&lt;=0,", no quarter split","")&amp;IF($R114="",", no driver","")&amp;IF(AND($H114&lt;&gt;"",COUNTIF(CareerLevels,$H114)=0),", a career level that is not on the ladder","")&amp;IF(AND($R114&lt;&gt;"",COUNTIF(DriverList,$R114)=0),", a driver that is not on the list","")&amp;IF(ABS(N($L114)-(N($M114)+N($N114)+N($O114)+N($P114)))&gt;0.001,", a total that does not match its quarters",""),3,300))</f>
        <v/>
      </c>
    </row>
    <row r="115" customFormat="false" ht="15" hidden="false" customHeight="false" outlineLevel="0" collapsed="false">
      <c r="A115" s="33" t="str">
        <f aca="false">IF($G115="","","CEO Office")</f>
        <v/>
      </c>
      <c r="B115" s="19"/>
      <c r="C115" s="19"/>
      <c r="D115" s="19"/>
      <c r="E115" s="19"/>
      <c r="F115" s="19"/>
      <c r="G115" s="19"/>
      <c r="H115" s="19"/>
      <c r="I115" s="19"/>
      <c r="J115" s="19"/>
      <c r="K115" s="19"/>
      <c r="L115" s="19"/>
      <c r="M115" s="19"/>
      <c r="N115" s="19"/>
      <c r="O115" s="19"/>
      <c r="P115" s="19"/>
      <c r="Q115" s="19"/>
      <c r="R115" s="19"/>
      <c r="S115" s="19"/>
      <c r="T115" s="34" t="str">
        <f aca="false">IF($R115="","",IFERROR(INDEX(DriverCategory,MATCH($R115,DriverList,0)),"BAU"))</f>
        <v/>
      </c>
      <c r="U115" s="34" t="str">
        <f aca="false">IF($R115="","",IFERROR(INDEX(DriverRank,MATCH($R115,DriverList,0)),99))</f>
        <v/>
      </c>
      <c r="V115" s="35" t="n">
        <f aca="false">IF($H115="",0,IFERROR(INDEX(LevelBasic,MATCH($H115,LevelList,0))+INDEX(LevelHousing,MATCH($H115,LevelList,0))+INDEX(LevelTransport,MATCH($H115,LevelList,0))+INDEX(LevelBasic,MATCH($H115,LevelList,0))*INDEX(LevelBonus,MATCH($H115,LevelList,0))+(INDEX(LevelBasic,MATCH($H115,LevelList,0))+INDEX(LevelHousing,MATCH($H115,LevelList,0)))*GosiSaudi,0))</f>
        <v>0</v>
      </c>
      <c r="W115" s="35" t="n">
        <f aca="false">IFERROR(INDEX(LevelOneOff,MATCH($H115,LevelList,0)),0)</f>
        <v>0</v>
      </c>
      <c r="X115" s="35" t="str">
        <f aca="false">IF($G115="","",$V115*N($L115))</f>
        <v/>
      </c>
      <c r="Y115" s="35" t="str">
        <f aca="false">IF($G115="","",$V115*(N($M115)*1+N($N115)*0.75+N($O115)*0.5+N($P115)*0.25)+$W115*N($L115))</f>
        <v/>
      </c>
      <c r="Z115" s="35" t="str">
        <f aca="false">IF($G115="","",$U115*1000000+ROW())</f>
        <v/>
      </c>
      <c r="AA115" s="36" t="str">
        <f aca="false">IF($G115="","",MID(IF($C115="",", no division","")&amp;IF($E115="",", no unit","")&amp;IF($H115="",", no career level","")&amp;IF(N($L115)&lt;=0,", no quarter split","")&amp;IF($R115="",", no driver","")&amp;IF(AND($H115&lt;&gt;"",COUNTIF(CareerLevels,$H115)=0),", a career level that is not on the ladder","")&amp;IF(AND($R115&lt;&gt;"",COUNTIF(DriverList,$R115)=0),", a driver that is not on the list","")&amp;IF(ABS(N($L115)-(N($M115)+N($N115)+N($O115)+N($P115)))&gt;0.001,", a total that does not match its quarters",""),3,300))</f>
        <v/>
      </c>
    </row>
    <row r="116" customFormat="false" ht="15" hidden="false" customHeight="false" outlineLevel="0" collapsed="false">
      <c r="A116" s="33" t="str">
        <f aca="false">IF($G116="","","CEO Office")</f>
        <v/>
      </c>
      <c r="B116" s="19"/>
      <c r="C116" s="19"/>
      <c r="D116" s="19"/>
      <c r="E116" s="19"/>
      <c r="F116" s="19"/>
      <c r="G116" s="19"/>
      <c r="H116" s="19"/>
      <c r="I116" s="19"/>
      <c r="J116" s="19"/>
      <c r="K116" s="19"/>
      <c r="L116" s="19"/>
      <c r="M116" s="19"/>
      <c r="N116" s="19"/>
      <c r="O116" s="19"/>
      <c r="P116" s="19"/>
      <c r="Q116" s="19"/>
      <c r="R116" s="19"/>
      <c r="S116" s="19"/>
      <c r="T116" s="34" t="str">
        <f aca="false">IF($R116="","",IFERROR(INDEX(DriverCategory,MATCH($R116,DriverList,0)),"BAU"))</f>
        <v/>
      </c>
      <c r="U116" s="34" t="str">
        <f aca="false">IF($R116="","",IFERROR(INDEX(DriverRank,MATCH($R116,DriverList,0)),99))</f>
        <v/>
      </c>
      <c r="V116" s="35" t="n">
        <f aca="false">IF($H116="",0,IFERROR(INDEX(LevelBasic,MATCH($H116,LevelList,0))+INDEX(LevelHousing,MATCH($H116,LevelList,0))+INDEX(LevelTransport,MATCH($H116,LevelList,0))+INDEX(LevelBasic,MATCH($H116,LevelList,0))*INDEX(LevelBonus,MATCH($H116,LevelList,0))+(INDEX(LevelBasic,MATCH($H116,LevelList,0))+INDEX(LevelHousing,MATCH($H116,LevelList,0)))*GosiSaudi,0))</f>
        <v>0</v>
      </c>
      <c r="W116" s="35" t="n">
        <f aca="false">IFERROR(INDEX(LevelOneOff,MATCH($H116,LevelList,0)),0)</f>
        <v>0</v>
      </c>
      <c r="X116" s="35" t="str">
        <f aca="false">IF($G116="","",$V116*N($L116))</f>
        <v/>
      </c>
      <c r="Y116" s="35" t="str">
        <f aca="false">IF($G116="","",$V116*(N($M116)*1+N($N116)*0.75+N($O116)*0.5+N($P116)*0.25)+$W116*N($L116))</f>
        <v/>
      </c>
      <c r="Z116" s="35" t="str">
        <f aca="false">IF($G116="","",$U116*1000000+ROW())</f>
        <v/>
      </c>
      <c r="AA116" s="36" t="str">
        <f aca="false">IF($G116="","",MID(IF($C116="",", no division","")&amp;IF($E116="",", no unit","")&amp;IF($H116="",", no career level","")&amp;IF(N($L116)&lt;=0,", no quarter split","")&amp;IF($R116="",", no driver","")&amp;IF(AND($H116&lt;&gt;"",COUNTIF(CareerLevels,$H116)=0),", a career level that is not on the ladder","")&amp;IF(AND($R116&lt;&gt;"",COUNTIF(DriverList,$R116)=0),", a driver that is not on the list","")&amp;IF(ABS(N($L116)-(N($M116)+N($N116)+N($O116)+N($P116)))&gt;0.001,", a total that does not match its quarters",""),3,300))</f>
        <v/>
      </c>
    </row>
    <row r="117" customFormat="false" ht="15" hidden="false" customHeight="false" outlineLevel="0" collapsed="false">
      <c r="A117" s="33" t="str">
        <f aca="false">IF($G117="","","CEO Office")</f>
        <v/>
      </c>
      <c r="B117" s="19"/>
      <c r="C117" s="19"/>
      <c r="D117" s="19"/>
      <c r="E117" s="19"/>
      <c r="F117" s="19"/>
      <c r="G117" s="19"/>
      <c r="H117" s="19"/>
      <c r="I117" s="19"/>
      <c r="J117" s="19"/>
      <c r="K117" s="19"/>
      <c r="L117" s="19"/>
      <c r="M117" s="19"/>
      <c r="N117" s="19"/>
      <c r="O117" s="19"/>
      <c r="P117" s="19"/>
      <c r="Q117" s="19"/>
      <c r="R117" s="19"/>
      <c r="S117" s="19"/>
      <c r="T117" s="34" t="str">
        <f aca="false">IF($R117="","",IFERROR(INDEX(DriverCategory,MATCH($R117,DriverList,0)),"BAU"))</f>
        <v/>
      </c>
      <c r="U117" s="34" t="str">
        <f aca="false">IF($R117="","",IFERROR(INDEX(DriverRank,MATCH($R117,DriverList,0)),99))</f>
        <v/>
      </c>
      <c r="V117" s="35" t="n">
        <f aca="false">IF($H117="",0,IFERROR(INDEX(LevelBasic,MATCH($H117,LevelList,0))+INDEX(LevelHousing,MATCH($H117,LevelList,0))+INDEX(LevelTransport,MATCH($H117,LevelList,0))+INDEX(LevelBasic,MATCH($H117,LevelList,0))*INDEX(LevelBonus,MATCH($H117,LevelList,0))+(INDEX(LevelBasic,MATCH($H117,LevelList,0))+INDEX(LevelHousing,MATCH($H117,LevelList,0)))*GosiSaudi,0))</f>
        <v>0</v>
      </c>
      <c r="W117" s="35" t="n">
        <f aca="false">IFERROR(INDEX(LevelOneOff,MATCH($H117,LevelList,0)),0)</f>
        <v>0</v>
      </c>
      <c r="X117" s="35" t="str">
        <f aca="false">IF($G117="","",$V117*N($L117))</f>
        <v/>
      </c>
      <c r="Y117" s="35" t="str">
        <f aca="false">IF($G117="","",$V117*(N($M117)*1+N($N117)*0.75+N($O117)*0.5+N($P117)*0.25)+$W117*N($L117))</f>
        <v/>
      </c>
      <c r="Z117" s="35" t="str">
        <f aca="false">IF($G117="","",$U117*1000000+ROW())</f>
        <v/>
      </c>
      <c r="AA117" s="36" t="str">
        <f aca="false">IF($G117="","",MID(IF($C117="",", no division","")&amp;IF($E117="",", no unit","")&amp;IF($H117="",", no career level","")&amp;IF(N($L117)&lt;=0,", no quarter split","")&amp;IF($R117="",", no driver","")&amp;IF(AND($H117&lt;&gt;"",COUNTIF(CareerLevels,$H117)=0),", a career level that is not on the ladder","")&amp;IF(AND($R117&lt;&gt;"",COUNTIF(DriverList,$R117)=0),", a driver that is not on the list","")&amp;IF(ABS(N($L117)-(N($M117)+N($N117)+N($O117)+N($P117)))&gt;0.001,", a total that does not match its quarters",""),3,300))</f>
        <v/>
      </c>
    </row>
    <row r="118" customFormat="false" ht="15" hidden="false" customHeight="false" outlineLevel="0" collapsed="false">
      <c r="A118" s="33" t="str">
        <f aca="false">IF($G118="","","CEO Office")</f>
        <v/>
      </c>
      <c r="B118" s="19"/>
      <c r="C118" s="19"/>
      <c r="D118" s="19"/>
      <c r="E118" s="19"/>
      <c r="F118" s="19"/>
      <c r="G118" s="19"/>
      <c r="H118" s="19"/>
      <c r="I118" s="19"/>
      <c r="J118" s="19"/>
      <c r="K118" s="19"/>
      <c r="L118" s="19"/>
      <c r="M118" s="19"/>
      <c r="N118" s="19"/>
      <c r="O118" s="19"/>
      <c r="P118" s="19"/>
      <c r="Q118" s="19"/>
      <c r="R118" s="19"/>
      <c r="S118" s="19"/>
      <c r="T118" s="34" t="str">
        <f aca="false">IF($R118="","",IFERROR(INDEX(DriverCategory,MATCH($R118,DriverList,0)),"BAU"))</f>
        <v/>
      </c>
      <c r="U118" s="34" t="str">
        <f aca="false">IF($R118="","",IFERROR(INDEX(DriverRank,MATCH($R118,DriverList,0)),99))</f>
        <v/>
      </c>
      <c r="V118" s="35" t="n">
        <f aca="false">IF($H118="",0,IFERROR(INDEX(LevelBasic,MATCH($H118,LevelList,0))+INDEX(LevelHousing,MATCH($H118,LevelList,0))+INDEX(LevelTransport,MATCH($H118,LevelList,0))+INDEX(LevelBasic,MATCH($H118,LevelList,0))*INDEX(LevelBonus,MATCH($H118,LevelList,0))+(INDEX(LevelBasic,MATCH($H118,LevelList,0))+INDEX(LevelHousing,MATCH($H118,LevelList,0)))*GosiSaudi,0))</f>
        <v>0</v>
      </c>
      <c r="W118" s="35" t="n">
        <f aca="false">IFERROR(INDEX(LevelOneOff,MATCH($H118,LevelList,0)),0)</f>
        <v>0</v>
      </c>
      <c r="X118" s="35" t="str">
        <f aca="false">IF($G118="","",$V118*N($L118))</f>
        <v/>
      </c>
      <c r="Y118" s="35" t="str">
        <f aca="false">IF($G118="","",$V118*(N($M118)*1+N($N118)*0.75+N($O118)*0.5+N($P118)*0.25)+$W118*N($L118))</f>
        <v/>
      </c>
      <c r="Z118" s="35" t="str">
        <f aca="false">IF($G118="","",$U118*1000000+ROW())</f>
        <v/>
      </c>
      <c r="AA118" s="36" t="str">
        <f aca="false">IF($G118="","",MID(IF($C118="",", no division","")&amp;IF($E118="",", no unit","")&amp;IF($H118="",", no career level","")&amp;IF(N($L118)&lt;=0,", no quarter split","")&amp;IF($R118="",", no driver","")&amp;IF(AND($H118&lt;&gt;"",COUNTIF(CareerLevels,$H118)=0),", a career level that is not on the ladder","")&amp;IF(AND($R118&lt;&gt;"",COUNTIF(DriverList,$R118)=0),", a driver that is not on the list","")&amp;IF(ABS(N($L118)-(N($M118)+N($N118)+N($O118)+N($P118)))&gt;0.001,", a total that does not match its quarters",""),3,300))</f>
        <v/>
      </c>
    </row>
    <row r="119" customFormat="false" ht="15" hidden="false" customHeight="false" outlineLevel="0" collapsed="false">
      <c r="A119" s="33" t="str">
        <f aca="false">IF($G119="","","CEO Office")</f>
        <v/>
      </c>
      <c r="B119" s="19"/>
      <c r="C119" s="19"/>
      <c r="D119" s="19"/>
      <c r="E119" s="19"/>
      <c r="F119" s="19"/>
      <c r="G119" s="19"/>
      <c r="H119" s="19"/>
      <c r="I119" s="19"/>
      <c r="J119" s="19"/>
      <c r="K119" s="19"/>
      <c r="L119" s="19"/>
      <c r="M119" s="19"/>
      <c r="N119" s="19"/>
      <c r="O119" s="19"/>
      <c r="P119" s="19"/>
      <c r="Q119" s="19"/>
      <c r="R119" s="19"/>
      <c r="S119" s="19"/>
      <c r="T119" s="34" t="str">
        <f aca="false">IF($R119="","",IFERROR(INDEX(DriverCategory,MATCH($R119,DriverList,0)),"BAU"))</f>
        <v/>
      </c>
      <c r="U119" s="34" t="str">
        <f aca="false">IF($R119="","",IFERROR(INDEX(DriverRank,MATCH($R119,DriverList,0)),99))</f>
        <v/>
      </c>
      <c r="V119" s="35" t="n">
        <f aca="false">IF($H119="",0,IFERROR(INDEX(LevelBasic,MATCH($H119,LevelList,0))+INDEX(LevelHousing,MATCH($H119,LevelList,0))+INDEX(LevelTransport,MATCH($H119,LevelList,0))+INDEX(LevelBasic,MATCH($H119,LevelList,0))*INDEX(LevelBonus,MATCH($H119,LevelList,0))+(INDEX(LevelBasic,MATCH($H119,LevelList,0))+INDEX(LevelHousing,MATCH($H119,LevelList,0)))*GosiSaudi,0))</f>
        <v>0</v>
      </c>
      <c r="W119" s="35" t="n">
        <f aca="false">IFERROR(INDEX(LevelOneOff,MATCH($H119,LevelList,0)),0)</f>
        <v>0</v>
      </c>
      <c r="X119" s="35" t="str">
        <f aca="false">IF($G119="","",$V119*N($L119))</f>
        <v/>
      </c>
      <c r="Y119" s="35" t="str">
        <f aca="false">IF($G119="","",$V119*(N($M119)*1+N($N119)*0.75+N($O119)*0.5+N($P119)*0.25)+$W119*N($L119))</f>
        <v/>
      </c>
      <c r="Z119" s="35" t="str">
        <f aca="false">IF($G119="","",$U119*1000000+ROW())</f>
        <v/>
      </c>
      <c r="AA119" s="36" t="str">
        <f aca="false">IF($G119="","",MID(IF($C119="",", no division","")&amp;IF($E119="",", no unit","")&amp;IF($H119="",", no career level","")&amp;IF(N($L119)&lt;=0,", no quarter split","")&amp;IF($R119="",", no driver","")&amp;IF(AND($H119&lt;&gt;"",COUNTIF(CareerLevels,$H119)=0),", a career level that is not on the ladder","")&amp;IF(AND($R119&lt;&gt;"",COUNTIF(DriverList,$R119)=0),", a driver that is not on the list","")&amp;IF(ABS(N($L119)-(N($M119)+N($N119)+N($O119)+N($P119)))&gt;0.001,", a total that does not match its quarters",""),3,300))</f>
        <v/>
      </c>
    </row>
    <row r="120" customFormat="false" ht="15" hidden="false" customHeight="false" outlineLevel="0" collapsed="false">
      <c r="A120" s="33" t="str">
        <f aca="false">IF($G120="","","CEO Office")</f>
        <v/>
      </c>
      <c r="B120" s="19"/>
      <c r="C120" s="19"/>
      <c r="D120" s="19"/>
      <c r="E120" s="19"/>
      <c r="F120" s="19"/>
      <c r="G120" s="19"/>
      <c r="H120" s="19"/>
      <c r="I120" s="19"/>
      <c r="J120" s="19"/>
      <c r="K120" s="19"/>
      <c r="L120" s="19"/>
      <c r="M120" s="19"/>
      <c r="N120" s="19"/>
      <c r="O120" s="19"/>
      <c r="P120" s="19"/>
      <c r="Q120" s="19"/>
      <c r="R120" s="19"/>
      <c r="S120" s="19"/>
      <c r="T120" s="34" t="str">
        <f aca="false">IF($R120="","",IFERROR(INDEX(DriverCategory,MATCH($R120,DriverList,0)),"BAU"))</f>
        <v/>
      </c>
      <c r="U120" s="34" t="str">
        <f aca="false">IF($R120="","",IFERROR(INDEX(DriverRank,MATCH($R120,DriverList,0)),99))</f>
        <v/>
      </c>
      <c r="V120" s="35" t="n">
        <f aca="false">IF($H120="",0,IFERROR(INDEX(LevelBasic,MATCH($H120,LevelList,0))+INDEX(LevelHousing,MATCH($H120,LevelList,0))+INDEX(LevelTransport,MATCH($H120,LevelList,0))+INDEX(LevelBasic,MATCH($H120,LevelList,0))*INDEX(LevelBonus,MATCH($H120,LevelList,0))+(INDEX(LevelBasic,MATCH($H120,LevelList,0))+INDEX(LevelHousing,MATCH($H120,LevelList,0)))*GosiSaudi,0))</f>
        <v>0</v>
      </c>
      <c r="W120" s="35" t="n">
        <f aca="false">IFERROR(INDEX(LevelOneOff,MATCH($H120,LevelList,0)),0)</f>
        <v>0</v>
      </c>
      <c r="X120" s="35" t="str">
        <f aca="false">IF($G120="","",$V120*N($L120))</f>
        <v/>
      </c>
      <c r="Y120" s="35" t="str">
        <f aca="false">IF($G120="","",$V120*(N($M120)*1+N($N120)*0.75+N($O120)*0.5+N($P120)*0.25)+$W120*N($L120))</f>
        <v/>
      </c>
      <c r="Z120" s="35" t="str">
        <f aca="false">IF($G120="","",$U120*1000000+ROW())</f>
        <v/>
      </c>
      <c r="AA120" s="36" t="str">
        <f aca="false">IF($G120="","",MID(IF($C120="",", no division","")&amp;IF($E120="",", no unit","")&amp;IF($H120="",", no career level","")&amp;IF(N($L120)&lt;=0,", no quarter split","")&amp;IF($R120="",", no driver","")&amp;IF(AND($H120&lt;&gt;"",COUNTIF(CareerLevels,$H120)=0),", a career level that is not on the ladder","")&amp;IF(AND($R120&lt;&gt;"",COUNTIF(DriverList,$R120)=0),", a driver that is not on the list","")&amp;IF(ABS(N($L120)-(N($M120)+N($N120)+N($O120)+N($P120)))&gt;0.001,", a total that does not match its quarters",""),3,300))</f>
        <v/>
      </c>
    </row>
    <row r="121" customFormat="false" ht="15" hidden="false" customHeight="false" outlineLevel="0" collapsed="false">
      <c r="A121" s="33" t="str">
        <f aca="false">IF($G121="","","CEO Office")</f>
        <v/>
      </c>
      <c r="B121" s="19"/>
      <c r="C121" s="19"/>
      <c r="D121" s="19"/>
      <c r="E121" s="19"/>
      <c r="F121" s="19"/>
      <c r="G121" s="19"/>
      <c r="H121" s="19"/>
      <c r="I121" s="19"/>
      <c r="J121" s="19"/>
      <c r="K121" s="19"/>
      <c r="L121" s="19"/>
      <c r="M121" s="19"/>
      <c r="N121" s="19"/>
      <c r="O121" s="19"/>
      <c r="P121" s="19"/>
      <c r="Q121" s="19"/>
      <c r="R121" s="19"/>
      <c r="S121" s="19"/>
      <c r="T121" s="34" t="str">
        <f aca="false">IF($R121="","",IFERROR(INDEX(DriverCategory,MATCH($R121,DriverList,0)),"BAU"))</f>
        <v/>
      </c>
      <c r="U121" s="34" t="str">
        <f aca="false">IF($R121="","",IFERROR(INDEX(DriverRank,MATCH($R121,DriverList,0)),99))</f>
        <v/>
      </c>
      <c r="V121" s="35" t="n">
        <f aca="false">IF($H121="",0,IFERROR(INDEX(LevelBasic,MATCH($H121,LevelList,0))+INDEX(LevelHousing,MATCH($H121,LevelList,0))+INDEX(LevelTransport,MATCH($H121,LevelList,0))+INDEX(LevelBasic,MATCH($H121,LevelList,0))*INDEX(LevelBonus,MATCH($H121,LevelList,0))+(INDEX(LevelBasic,MATCH($H121,LevelList,0))+INDEX(LevelHousing,MATCH($H121,LevelList,0)))*GosiSaudi,0))</f>
        <v>0</v>
      </c>
      <c r="W121" s="35" t="n">
        <f aca="false">IFERROR(INDEX(LevelOneOff,MATCH($H121,LevelList,0)),0)</f>
        <v>0</v>
      </c>
      <c r="X121" s="35" t="str">
        <f aca="false">IF($G121="","",$V121*N($L121))</f>
        <v/>
      </c>
      <c r="Y121" s="35" t="str">
        <f aca="false">IF($G121="","",$V121*(N($M121)*1+N($N121)*0.75+N($O121)*0.5+N($P121)*0.25)+$W121*N($L121))</f>
        <v/>
      </c>
      <c r="Z121" s="35" t="str">
        <f aca="false">IF($G121="","",$U121*1000000+ROW())</f>
        <v/>
      </c>
      <c r="AA121" s="36" t="str">
        <f aca="false">IF($G121="","",MID(IF($C121="",", no division","")&amp;IF($E121="",", no unit","")&amp;IF($H121="",", no career level","")&amp;IF(N($L121)&lt;=0,", no quarter split","")&amp;IF($R121="",", no driver","")&amp;IF(AND($H121&lt;&gt;"",COUNTIF(CareerLevels,$H121)=0),", a career level that is not on the ladder","")&amp;IF(AND($R121&lt;&gt;"",COUNTIF(DriverList,$R121)=0),", a driver that is not on the list","")&amp;IF(ABS(N($L121)-(N($M121)+N($N121)+N($O121)+N($P121)))&gt;0.001,", a total that does not match its quarters",""),3,300))</f>
        <v/>
      </c>
    </row>
    <row r="122" customFormat="false" ht="15" hidden="false" customHeight="false" outlineLevel="0" collapsed="false">
      <c r="A122" s="33" t="str">
        <f aca="false">IF($G122="","","CEO Office")</f>
        <v/>
      </c>
      <c r="B122" s="19"/>
      <c r="C122" s="19"/>
      <c r="D122" s="19"/>
      <c r="E122" s="19"/>
      <c r="F122" s="19"/>
      <c r="G122" s="19"/>
      <c r="H122" s="19"/>
      <c r="I122" s="19"/>
      <c r="J122" s="19"/>
      <c r="K122" s="19"/>
      <c r="L122" s="19"/>
      <c r="M122" s="19"/>
      <c r="N122" s="19"/>
      <c r="O122" s="19"/>
      <c r="P122" s="19"/>
      <c r="Q122" s="19"/>
      <c r="R122" s="19"/>
      <c r="S122" s="19"/>
      <c r="T122" s="34" t="str">
        <f aca="false">IF($R122="","",IFERROR(INDEX(DriverCategory,MATCH($R122,DriverList,0)),"BAU"))</f>
        <v/>
      </c>
      <c r="U122" s="34" t="str">
        <f aca="false">IF($R122="","",IFERROR(INDEX(DriverRank,MATCH($R122,DriverList,0)),99))</f>
        <v/>
      </c>
      <c r="V122" s="35" t="n">
        <f aca="false">IF($H122="",0,IFERROR(INDEX(LevelBasic,MATCH($H122,LevelList,0))+INDEX(LevelHousing,MATCH($H122,LevelList,0))+INDEX(LevelTransport,MATCH($H122,LevelList,0))+INDEX(LevelBasic,MATCH($H122,LevelList,0))*INDEX(LevelBonus,MATCH($H122,LevelList,0))+(INDEX(LevelBasic,MATCH($H122,LevelList,0))+INDEX(LevelHousing,MATCH($H122,LevelList,0)))*GosiSaudi,0))</f>
        <v>0</v>
      </c>
      <c r="W122" s="35" t="n">
        <f aca="false">IFERROR(INDEX(LevelOneOff,MATCH($H122,LevelList,0)),0)</f>
        <v>0</v>
      </c>
      <c r="X122" s="35" t="str">
        <f aca="false">IF($G122="","",$V122*N($L122))</f>
        <v/>
      </c>
      <c r="Y122" s="35" t="str">
        <f aca="false">IF($G122="","",$V122*(N($M122)*1+N($N122)*0.75+N($O122)*0.5+N($P122)*0.25)+$W122*N($L122))</f>
        <v/>
      </c>
      <c r="Z122" s="35" t="str">
        <f aca="false">IF($G122="","",$U122*1000000+ROW())</f>
        <v/>
      </c>
      <c r="AA122" s="36" t="str">
        <f aca="false">IF($G122="","",MID(IF($C122="",", no division","")&amp;IF($E122="",", no unit","")&amp;IF($H122="",", no career level","")&amp;IF(N($L122)&lt;=0,", no quarter split","")&amp;IF($R122="",", no driver","")&amp;IF(AND($H122&lt;&gt;"",COUNTIF(CareerLevels,$H122)=0),", a career level that is not on the ladder","")&amp;IF(AND($R122&lt;&gt;"",COUNTIF(DriverList,$R122)=0),", a driver that is not on the list","")&amp;IF(ABS(N($L122)-(N($M122)+N($N122)+N($O122)+N($P122)))&gt;0.001,", a total that does not match its quarters",""),3,300))</f>
        <v/>
      </c>
    </row>
    <row r="123" customFormat="false" ht="15" hidden="false" customHeight="false" outlineLevel="0" collapsed="false">
      <c r="A123" s="33" t="str">
        <f aca="false">IF($G123="","","CEO Office")</f>
        <v/>
      </c>
      <c r="B123" s="19"/>
      <c r="C123" s="19"/>
      <c r="D123" s="19"/>
      <c r="E123" s="19"/>
      <c r="F123" s="19"/>
      <c r="G123" s="19"/>
      <c r="H123" s="19"/>
      <c r="I123" s="19"/>
      <c r="J123" s="19"/>
      <c r="K123" s="19"/>
      <c r="L123" s="19"/>
      <c r="M123" s="19"/>
      <c r="N123" s="19"/>
      <c r="O123" s="19"/>
      <c r="P123" s="19"/>
      <c r="Q123" s="19"/>
      <c r="R123" s="19"/>
      <c r="S123" s="19"/>
      <c r="T123" s="34" t="str">
        <f aca="false">IF($R123="","",IFERROR(INDEX(DriverCategory,MATCH($R123,DriverList,0)),"BAU"))</f>
        <v/>
      </c>
      <c r="U123" s="34" t="str">
        <f aca="false">IF($R123="","",IFERROR(INDEX(DriverRank,MATCH($R123,DriverList,0)),99))</f>
        <v/>
      </c>
      <c r="V123" s="35" t="n">
        <f aca="false">IF($H123="",0,IFERROR(INDEX(LevelBasic,MATCH($H123,LevelList,0))+INDEX(LevelHousing,MATCH($H123,LevelList,0))+INDEX(LevelTransport,MATCH($H123,LevelList,0))+INDEX(LevelBasic,MATCH($H123,LevelList,0))*INDEX(LevelBonus,MATCH($H123,LevelList,0))+(INDEX(LevelBasic,MATCH($H123,LevelList,0))+INDEX(LevelHousing,MATCH($H123,LevelList,0)))*GosiSaudi,0))</f>
        <v>0</v>
      </c>
      <c r="W123" s="35" t="n">
        <f aca="false">IFERROR(INDEX(LevelOneOff,MATCH($H123,LevelList,0)),0)</f>
        <v>0</v>
      </c>
      <c r="X123" s="35" t="str">
        <f aca="false">IF($G123="","",$V123*N($L123))</f>
        <v/>
      </c>
      <c r="Y123" s="35" t="str">
        <f aca="false">IF($G123="","",$V123*(N($M123)*1+N($N123)*0.75+N($O123)*0.5+N($P123)*0.25)+$W123*N($L123))</f>
        <v/>
      </c>
      <c r="Z123" s="35" t="str">
        <f aca="false">IF($G123="","",$U123*1000000+ROW())</f>
        <v/>
      </c>
      <c r="AA123" s="36" t="str">
        <f aca="false">IF($G123="","",MID(IF($C123="",", no division","")&amp;IF($E123="",", no unit","")&amp;IF($H123="",", no career level","")&amp;IF(N($L123)&lt;=0,", no quarter split","")&amp;IF($R123="",", no driver","")&amp;IF(AND($H123&lt;&gt;"",COUNTIF(CareerLevels,$H123)=0),", a career level that is not on the ladder","")&amp;IF(AND($R123&lt;&gt;"",COUNTIF(DriverList,$R123)=0),", a driver that is not on the list","")&amp;IF(ABS(N($L123)-(N($M123)+N($N123)+N($O123)+N($P123)))&gt;0.001,", a total that does not match its quarters",""),3,300))</f>
        <v/>
      </c>
    </row>
    <row r="124" customFormat="false" ht="15" hidden="false" customHeight="false" outlineLevel="0" collapsed="false">
      <c r="A124" s="33" t="str">
        <f aca="false">IF($G124="","","CEO Office")</f>
        <v/>
      </c>
      <c r="B124" s="19"/>
      <c r="C124" s="19"/>
      <c r="D124" s="19"/>
      <c r="E124" s="19"/>
      <c r="F124" s="19"/>
      <c r="G124" s="19"/>
      <c r="H124" s="19"/>
      <c r="I124" s="19"/>
      <c r="J124" s="19"/>
      <c r="K124" s="19"/>
      <c r="L124" s="19"/>
      <c r="M124" s="19"/>
      <c r="N124" s="19"/>
      <c r="O124" s="19"/>
      <c r="P124" s="19"/>
      <c r="Q124" s="19"/>
      <c r="R124" s="19"/>
      <c r="S124" s="19"/>
      <c r="T124" s="34" t="str">
        <f aca="false">IF($R124="","",IFERROR(INDEX(DriverCategory,MATCH($R124,DriverList,0)),"BAU"))</f>
        <v/>
      </c>
      <c r="U124" s="34" t="str">
        <f aca="false">IF($R124="","",IFERROR(INDEX(DriverRank,MATCH($R124,DriverList,0)),99))</f>
        <v/>
      </c>
      <c r="V124" s="35" t="n">
        <f aca="false">IF($H124="",0,IFERROR(INDEX(LevelBasic,MATCH($H124,LevelList,0))+INDEX(LevelHousing,MATCH($H124,LevelList,0))+INDEX(LevelTransport,MATCH($H124,LevelList,0))+INDEX(LevelBasic,MATCH($H124,LevelList,0))*INDEX(LevelBonus,MATCH($H124,LevelList,0))+(INDEX(LevelBasic,MATCH($H124,LevelList,0))+INDEX(LevelHousing,MATCH($H124,LevelList,0)))*GosiSaudi,0))</f>
        <v>0</v>
      </c>
      <c r="W124" s="35" t="n">
        <f aca="false">IFERROR(INDEX(LevelOneOff,MATCH($H124,LevelList,0)),0)</f>
        <v>0</v>
      </c>
      <c r="X124" s="35" t="str">
        <f aca="false">IF($G124="","",$V124*N($L124))</f>
        <v/>
      </c>
      <c r="Y124" s="35" t="str">
        <f aca="false">IF($G124="","",$V124*(N($M124)*1+N($N124)*0.75+N($O124)*0.5+N($P124)*0.25)+$W124*N($L124))</f>
        <v/>
      </c>
      <c r="Z124" s="35" t="str">
        <f aca="false">IF($G124="","",$U124*1000000+ROW())</f>
        <v/>
      </c>
      <c r="AA124" s="36" t="str">
        <f aca="false">IF($G124="","",MID(IF($C124="",", no division","")&amp;IF($E124="",", no unit","")&amp;IF($H124="",", no career level","")&amp;IF(N($L124)&lt;=0,", no quarter split","")&amp;IF($R124="",", no driver","")&amp;IF(AND($H124&lt;&gt;"",COUNTIF(CareerLevels,$H124)=0),", a career level that is not on the ladder","")&amp;IF(AND($R124&lt;&gt;"",COUNTIF(DriverList,$R124)=0),", a driver that is not on the list","")&amp;IF(ABS(N($L124)-(N($M124)+N($N124)+N($O124)+N($P124)))&gt;0.001,", a total that does not match its quarters",""),3,300))</f>
        <v/>
      </c>
    </row>
    <row r="125" customFormat="false" ht="15" hidden="false" customHeight="false" outlineLevel="0" collapsed="false">
      <c r="A125" s="33" t="str">
        <f aca="false">IF($G125="","","CEO Office")</f>
        <v/>
      </c>
      <c r="B125" s="19"/>
      <c r="C125" s="19"/>
      <c r="D125" s="19"/>
      <c r="E125" s="19"/>
      <c r="F125" s="19"/>
      <c r="G125" s="19"/>
      <c r="H125" s="19"/>
      <c r="I125" s="19"/>
      <c r="J125" s="19"/>
      <c r="K125" s="19"/>
      <c r="L125" s="19"/>
      <c r="M125" s="19"/>
      <c r="N125" s="19"/>
      <c r="O125" s="19"/>
      <c r="P125" s="19"/>
      <c r="Q125" s="19"/>
      <c r="R125" s="19"/>
      <c r="S125" s="19"/>
      <c r="T125" s="34" t="str">
        <f aca="false">IF($R125="","",IFERROR(INDEX(DriverCategory,MATCH($R125,DriverList,0)),"BAU"))</f>
        <v/>
      </c>
      <c r="U125" s="34" t="str">
        <f aca="false">IF($R125="","",IFERROR(INDEX(DriverRank,MATCH($R125,DriverList,0)),99))</f>
        <v/>
      </c>
      <c r="V125" s="35" t="n">
        <f aca="false">IF($H125="",0,IFERROR(INDEX(LevelBasic,MATCH($H125,LevelList,0))+INDEX(LevelHousing,MATCH($H125,LevelList,0))+INDEX(LevelTransport,MATCH($H125,LevelList,0))+INDEX(LevelBasic,MATCH($H125,LevelList,0))*INDEX(LevelBonus,MATCH($H125,LevelList,0))+(INDEX(LevelBasic,MATCH($H125,LevelList,0))+INDEX(LevelHousing,MATCH($H125,LevelList,0)))*GosiSaudi,0))</f>
        <v>0</v>
      </c>
      <c r="W125" s="35" t="n">
        <f aca="false">IFERROR(INDEX(LevelOneOff,MATCH($H125,LevelList,0)),0)</f>
        <v>0</v>
      </c>
      <c r="X125" s="35" t="str">
        <f aca="false">IF($G125="","",$V125*N($L125))</f>
        <v/>
      </c>
      <c r="Y125" s="35" t="str">
        <f aca="false">IF($G125="","",$V125*(N($M125)*1+N($N125)*0.75+N($O125)*0.5+N($P125)*0.25)+$W125*N($L125))</f>
        <v/>
      </c>
      <c r="Z125" s="35" t="str">
        <f aca="false">IF($G125="","",$U125*1000000+ROW())</f>
        <v/>
      </c>
      <c r="AA125" s="36" t="str">
        <f aca="false">IF($G125="","",MID(IF($C125="",", no division","")&amp;IF($E125="",", no unit","")&amp;IF($H125="",", no career level","")&amp;IF(N($L125)&lt;=0,", no quarter split","")&amp;IF($R125="",", no driver","")&amp;IF(AND($H125&lt;&gt;"",COUNTIF(CareerLevels,$H125)=0),", a career level that is not on the ladder","")&amp;IF(AND($R125&lt;&gt;"",COUNTIF(DriverList,$R125)=0),", a driver that is not on the list","")&amp;IF(ABS(N($L125)-(N($M125)+N($N125)+N($O125)+N($P125)))&gt;0.001,", a total that does not match its quarters",""),3,300))</f>
        <v/>
      </c>
    </row>
    <row r="126" customFormat="false" ht="15" hidden="false" customHeight="false" outlineLevel="0" collapsed="false">
      <c r="A126" s="33" t="str">
        <f aca="false">IF($G126="","","CEO Office")</f>
        <v/>
      </c>
      <c r="B126" s="19"/>
      <c r="C126" s="19"/>
      <c r="D126" s="19"/>
      <c r="E126" s="19"/>
      <c r="F126" s="19"/>
      <c r="G126" s="19"/>
      <c r="H126" s="19"/>
      <c r="I126" s="19"/>
      <c r="J126" s="19"/>
      <c r="K126" s="19"/>
      <c r="L126" s="19"/>
      <c r="M126" s="19"/>
      <c r="N126" s="19"/>
      <c r="O126" s="19"/>
      <c r="P126" s="19"/>
      <c r="Q126" s="19"/>
      <c r="R126" s="19"/>
      <c r="S126" s="19"/>
      <c r="T126" s="34" t="str">
        <f aca="false">IF($R126="","",IFERROR(INDEX(DriverCategory,MATCH($R126,DriverList,0)),"BAU"))</f>
        <v/>
      </c>
      <c r="U126" s="34" t="str">
        <f aca="false">IF($R126="","",IFERROR(INDEX(DriverRank,MATCH($R126,DriverList,0)),99))</f>
        <v/>
      </c>
      <c r="V126" s="35" t="n">
        <f aca="false">IF($H126="",0,IFERROR(INDEX(LevelBasic,MATCH($H126,LevelList,0))+INDEX(LevelHousing,MATCH($H126,LevelList,0))+INDEX(LevelTransport,MATCH($H126,LevelList,0))+INDEX(LevelBasic,MATCH($H126,LevelList,0))*INDEX(LevelBonus,MATCH($H126,LevelList,0))+(INDEX(LevelBasic,MATCH($H126,LevelList,0))+INDEX(LevelHousing,MATCH($H126,LevelList,0)))*GosiSaudi,0))</f>
        <v>0</v>
      </c>
      <c r="W126" s="35" t="n">
        <f aca="false">IFERROR(INDEX(LevelOneOff,MATCH($H126,LevelList,0)),0)</f>
        <v>0</v>
      </c>
      <c r="X126" s="35" t="str">
        <f aca="false">IF($G126="","",$V126*N($L126))</f>
        <v/>
      </c>
      <c r="Y126" s="35" t="str">
        <f aca="false">IF($G126="","",$V126*(N($M126)*1+N($N126)*0.75+N($O126)*0.5+N($P126)*0.25)+$W126*N($L126))</f>
        <v/>
      </c>
      <c r="Z126" s="35" t="str">
        <f aca="false">IF($G126="","",$U126*1000000+ROW())</f>
        <v/>
      </c>
      <c r="AA126" s="36" t="str">
        <f aca="false">IF($G126="","",MID(IF($C126="",", no division","")&amp;IF($E126="",", no unit","")&amp;IF($H126="",", no career level","")&amp;IF(N($L126)&lt;=0,", no quarter split","")&amp;IF($R126="",", no driver","")&amp;IF(AND($H126&lt;&gt;"",COUNTIF(CareerLevels,$H126)=0),", a career level that is not on the ladder","")&amp;IF(AND($R126&lt;&gt;"",COUNTIF(DriverList,$R126)=0),", a driver that is not on the list","")&amp;IF(ABS(N($L126)-(N($M126)+N($N126)+N($O126)+N($P126)))&gt;0.001,", a total that does not match its quarters",""),3,300))</f>
        <v/>
      </c>
    </row>
    <row r="127" customFormat="false" ht="15" hidden="false" customHeight="false" outlineLevel="0" collapsed="false">
      <c r="A127" s="33" t="str">
        <f aca="false">IF($G127="","","CEO Office")</f>
        <v/>
      </c>
      <c r="B127" s="19"/>
      <c r="C127" s="19"/>
      <c r="D127" s="19"/>
      <c r="E127" s="19"/>
      <c r="F127" s="19"/>
      <c r="G127" s="19"/>
      <c r="H127" s="19"/>
      <c r="I127" s="19"/>
      <c r="J127" s="19"/>
      <c r="K127" s="19"/>
      <c r="L127" s="19"/>
      <c r="M127" s="19"/>
      <c r="N127" s="19"/>
      <c r="O127" s="19"/>
      <c r="P127" s="19"/>
      <c r="Q127" s="19"/>
      <c r="R127" s="19"/>
      <c r="S127" s="19"/>
      <c r="T127" s="34" t="str">
        <f aca="false">IF($R127="","",IFERROR(INDEX(DriverCategory,MATCH($R127,DriverList,0)),"BAU"))</f>
        <v/>
      </c>
      <c r="U127" s="34" t="str">
        <f aca="false">IF($R127="","",IFERROR(INDEX(DriverRank,MATCH($R127,DriverList,0)),99))</f>
        <v/>
      </c>
      <c r="V127" s="35" t="n">
        <f aca="false">IF($H127="",0,IFERROR(INDEX(LevelBasic,MATCH($H127,LevelList,0))+INDEX(LevelHousing,MATCH($H127,LevelList,0))+INDEX(LevelTransport,MATCH($H127,LevelList,0))+INDEX(LevelBasic,MATCH($H127,LevelList,0))*INDEX(LevelBonus,MATCH($H127,LevelList,0))+(INDEX(LevelBasic,MATCH($H127,LevelList,0))+INDEX(LevelHousing,MATCH($H127,LevelList,0)))*GosiSaudi,0))</f>
        <v>0</v>
      </c>
      <c r="W127" s="35" t="n">
        <f aca="false">IFERROR(INDEX(LevelOneOff,MATCH($H127,LevelList,0)),0)</f>
        <v>0</v>
      </c>
      <c r="X127" s="35" t="str">
        <f aca="false">IF($G127="","",$V127*N($L127))</f>
        <v/>
      </c>
      <c r="Y127" s="35" t="str">
        <f aca="false">IF($G127="","",$V127*(N($M127)*1+N($N127)*0.75+N($O127)*0.5+N($P127)*0.25)+$W127*N($L127))</f>
        <v/>
      </c>
      <c r="Z127" s="35" t="str">
        <f aca="false">IF($G127="","",$U127*1000000+ROW())</f>
        <v/>
      </c>
      <c r="AA127" s="36" t="str">
        <f aca="false">IF($G127="","",MID(IF($C127="",", no division","")&amp;IF($E127="",", no unit","")&amp;IF($H127="",", no career level","")&amp;IF(N($L127)&lt;=0,", no quarter split","")&amp;IF($R127="",", no driver","")&amp;IF(AND($H127&lt;&gt;"",COUNTIF(CareerLevels,$H127)=0),", a career level that is not on the ladder","")&amp;IF(AND($R127&lt;&gt;"",COUNTIF(DriverList,$R127)=0),", a driver that is not on the list","")&amp;IF(ABS(N($L127)-(N($M127)+N($N127)+N($O127)+N($P127)))&gt;0.001,", a total that does not match its quarters",""),3,300))</f>
        <v/>
      </c>
    </row>
    <row r="128" customFormat="false" ht="15" hidden="false" customHeight="false" outlineLevel="0" collapsed="false">
      <c r="A128" s="33" t="str">
        <f aca="false">IF($G128="","","CEO Office")</f>
        <v/>
      </c>
      <c r="B128" s="19"/>
      <c r="C128" s="19"/>
      <c r="D128" s="19"/>
      <c r="E128" s="19"/>
      <c r="F128" s="19"/>
      <c r="G128" s="19"/>
      <c r="H128" s="19"/>
      <c r="I128" s="19"/>
      <c r="J128" s="19"/>
      <c r="K128" s="19"/>
      <c r="L128" s="19"/>
      <c r="M128" s="19"/>
      <c r="N128" s="19"/>
      <c r="O128" s="19"/>
      <c r="P128" s="19"/>
      <c r="Q128" s="19"/>
      <c r="R128" s="19"/>
      <c r="S128" s="19"/>
      <c r="T128" s="34" t="str">
        <f aca="false">IF($R128="","",IFERROR(INDEX(DriverCategory,MATCH($R128,DriverList,0)),"BAU"))</f>
        <v/>
      </c>
      <c r="U128" s="34" t="str">
        <f aca="false">IF($R128="","",IFERROR(INDEX(DriverRank,MATCH($R128,DriverList,0)),99))</f>
        <v/>
      </c>
      <c r="V128" s="35" t="n">
        <f aca="false">IF($H128="",0,IFERROR(INDEX(LevelBasic,MATCH($H128,LevelList,0))+INDEX(LevelHousing,MATCH($H128,LevelList,0))+INDEX(LevelTransport,MATCH($H128,LevelList,0))+INDEX(LevelBasic,MATCH($H128,LevelList,0))*INDEX(LevelBonus,MATCH($H128,LevelList,0))+(INDEX(LevelBasic,MATCH($H128,LevelList,0))+INDEX(LevelHousing,MATCH($H128,LevelList,0)))*GosiSaudi,0))</f>
        <v>0</v>
      </c>
      <c r="W128" s="35" t="n">
        <f aca="false">IFERROR(INDEX(LevelOneOff,MATCH($H128,LevelList,0)),0)</f>
        <v>0</v>
      </c>
      <c r="X128" s="35" t="str">
        <f aca="false">IF($G128="","",$V128*N($L128))</f>
        <v/>
      </c>
      <c r="Y128" s="35" t="str">
        <f aca="false">IF($G128="","",$V128*(N($M128)*1+N($N128)*0.75+N($O128)*0.5+N($P128)*0.25)+$W128*N($L128))</f>
        <v/>
      </c>
      <c r="Z128" s="35" t="str">
        <f aca="false">IF($G128="","",$U128*1000000+ROW())</f>
        <v/>
      </c>
      <c r="AA128" s="36" t="str">
        <f aca="false">IF($G128="","",MID(IF($C128="",", no division","")&amp;IF($E128="",", no unit","")&amp;IF($H128="",", no career level","")&amp;IF(N($L128)&lt;=0,", no quarter split","")&amp;IF($R128="",", no driver","")&amp;IF(AND($H128&lt;&gt;"",COUNTIF(CareerLevels,$H128)=0),", a career level that is not on the ladder","")&amp;IF(AND($R128&lt;&gt;"",COUNTIF(DriverList,$R128)=0),", a driver that is not on the list","")&amp;IF(ABS(N($L128)-(N($M128)+N($N128)+N($O128)+N($P128)))&gt;0.001,", a total that does not match its quarters",""),3,300))</f>
        <v/>
      </c>
    </row>
    <row r="129" customFormat="false" ht="15" hidden="false" customHeight="false" outlineLevel="0" collapsed="false">
      <c r="A129" s="33" t="str">
        <f aca="false">IF($G129="","","CEO Office")</f>
        <v/>
      </c>
      <c r="B129" s="19"/>
      <c r="C129" s="19"/>
      <c r="D129" s="19"/>
      <c r="E129" s="19"/>
      <c r="F129" s="19"/>
      <c r="G129" s="19"/>
      <c r="H129" s="19"/>
      <c r="I129" s="19"/>
      <c r="J129" s="19"/>
      <c r="K129" s="19"/>
      <c r="L129" s="19"/>
      <c r="M129" s="19"/>
      <c r="N129" s="19"/>
      <c r="O129" s="19"/>
      <c r="P129" s="19"/>
      <c r="Q129" s="19"/>
      <c r="R129" s="19"/>
      <c r="S129" s="19"/>
      <c r="T129" s="34" t="str">
        <f aca="false">IF($R129="","",IFERROR(INDEX(DriverCategory,MATCH($R129,DriverList,0)),"BAU"))</f>
        <v/>
      </c>
      <c r="U129" s="34" t="str">
        <f aca="false">IF($R129="","",IFERROR(INDEX(DriverRank,MATCH($R129,DriverList,0)),99))</f>
        <v/>
      </c>
      <c r="V129" s="35" t="n">
        <f aca="false">IF($H129="",0,IFERROR(INDEX(LevelBasic,MATCH($H129,LevelList,0))+INDEX(LevelHousing,MATCH($H129,LevelList,0))+INDEX(LevelTransport,MATCH($H129,LevelList,0))+INDEX(LevelBasic,MATCH($H129,LevelList,0))*INDEX(LevelBonus,MATCH($H129,LevelList,0))+(INDEX(LevelBasic,MATCH($H129,LevelList,0))+INDEX(LevelHousing,MATCH($H129,LevelList,0)))*GosiSaudi,0))</f>
        <v>0</v>
      </c>
      <c r="W129" s="35" t="n">
        <f aca="false">IFERROR(INDEX(LevelOneOff,MATCH($H129,LevelList,0)),0)</f>
        <v>0</v>
      </c>
      <c r="X129" s="35" t="str">
        <f aca="false">IF($G129="","",$V129*N($L129))</f>
        <v/>
      </c>
      <c r="Y129" s="35" t="str">
        <f aca="false">IF($G129="","",$V129*(N($M129)*1+N($N129)*0.75+N($O129)*0.5+N($P129)*0.25)+$W129*N($L129))</f>
        <v/>
      </c>
      <c r="Z129" s="35" t="str">
        <f aca="false">IF($G129="","",$U129*1000000+ROW())</f>
        <v/>
      </c>
      <c r="AA129" s="36" t="str">
        <f aca="false">IF($G129="","",MID(IF($C129="",", no division","")&amp;IF($E129="",", no unit","")&amp;IF($H129="",", no career level","")&amp;IF(N($L129)&lt;=0,", no quarter split","")&amp;IF($R129="",", no driver","")&amp;IF(AND($H129&lt;&gt;"",COUNTIF(CareerLevels,$H129)=0),", a career level that is not on the ladder","")&amp;IF(AND($R129&lt;&gt;"",COUNTIF(DriverList,$R129)=0),", a driver that is not on the list","")&amp;IF(ABS(N($L129)-(N($M129)+N($N129)+N($O129)+N($P129)))&gt;0.001,", a total that does not match its quarters",""),3,300))</f>
        <v/>
      </c>
    </row>
    <row r="130" customFormat="false" ht="15" hidden="false" customHeight="false" outlineLevel="0" collapsed="false">
      <c r="A130" s="33" t="str">
        <f aca="false">IF($G130="","","CEO Office")</f>
        <v/>
      </c>
      <c r="B130" s="19"/>
      <c r="C130" s="19"/>
      <c r="D130" s="19"/>
      <c r="E130" s="19"/>
      <c r="F130" s="19"/>
      <c r="G130" s="19"/>
      <c r="H130" s="19"/>
      <c r="I130" s="19"/>
      <c r="J130" s="19"/>
      <c r="K130" s="19"/>
      <c r="L130" s="19"/>
      <c r="M130" s="19"/>
      <c r="N130" s="19"/>
      <c r="O130" s="19"/>
      <c r="P130" s="19"/>
      <c r="Q130" s="19"/>
      <c r="R130" s="19"/>
      <c r="S130" s="19"/>
      <c r="T130" s="34" t="str">
        <f aca="false">IF($R130="","",IFERROR(INDEX(DriverCategory,MATCH($R130,DriverList,0)),"BAU"))</f>
        <v/>
      </c>
      <c r="U130" s="34" t="str">
        <f aca="false">IF($R130="","",IFERROR(INDEX(DriverRank,MATCH($R130,DriverList,0)),99))</f>
        <v/>
      </c>
      <c r="V130" s="35" t="n">
        <f aca="false">IF($H130="",0,IFERROR(INDEX(LevelBasic,MATCH($H130,LevelList,0))+INDEX(LevelHousing,MATCH($H130,LevelList,0))+INDEX(LevelTransport,MATCH($H130,LevelList,0))+INDEX(LevelBasic,MATCH($H130,LevelList,0))*INDEX(LevelBonus,MATCH($H130,LevelList,0))+(INDEX(LevelBasic,MATCH($H130,LevelList,0))+INDEX(LevelHousing,MATCH($H130,LevelList,0)))*GosiSaudi,0))</f>
        <v>0</v>
      </c>
      <c r="W130" s="35" t="n">
        <f aca="false">IFERROR(INDEX(LevelOneOff,MATCH($H130,LevelList,0)),0)</f>
        <v>0</v>
      </c>
      <c r="X130" s="35" t="str">
        <f aca="false">IF($G130="","",$V130*N($L130))</f>
        <v/>
      </c>
      <c r="Y130" s="35" t="str">
        <f aca="false">IF($G130="","",$V130*(N($M130)*1+N($N130)*0.75+N($O130)*0.5+N($P130)*0.25)+$W130*N($L130))</f>
        <v/>
      </c>
      <c r="Z130" s="35" t="str">
        <f aca="false">IF($G130="","",$U130*1000000+ROW())</f>
        <v/>
      </c>
      <c r="AA130" s="36" t="str">
        <f aca="false">IF($G130="","",MID(IF($C130="",", no division","")&amp;IF($E130="",", no unit","")&amp;IF($H130="",", no career level","")&amp;IF(N($L130)&lt;=0,", no quarter split","")&amp;IF($R130="",", no driver","")&amp;IF(AND($H130&lt;&gt;"",COUNTIF(CareerLevels,$H130)=0),", a career level that is not on the ladder","")&amp;IF(AND($R130&lt;&gt;"",COUNTIF(DriverList,$R130)=0),", a driver that is not on the list","")&amp;IF(ABS(N($L130)-(N($M130)+N($N130)+N($O130)+N($P130)))&gt;0.001,", a total that does not match its quarters",""),3,300))</f>
        <v/>
      </c>
    </row>
    <row r="131" customFormat="false" ht="15" hidden="false" customHeight="false" outlineLevel="0" collapsed="false">
      <c r="A131" s="33" t="str">
        <f aca="false">IF($G131="","","CEO Office")</f>
        <v/>
      </c>
      <c r="B131" s="19"/>
      <c r="C131" s="19"/>
      <c r="D131" s="19"/>
      <c r="E131" s="19"/>
      <c r="F131" s="19"/>
      <c r="G131" s="19"/>
      <c r="H131" s="19"/>
      <c r="I131" s="19"/>
      <c r="J131" s="19"/>
      <c r="K131" s="19"/>
      <c r="L131" s="19"/>
      <c r="M131" s="19"/>
      <c r="N131" s="19"/>
      <c r="O131" s="19"/>
      <c r="P131" s="19"/>
      <c r="Q131" s="19"/>
      <c r="R131" s="19"/>
      <c r="S131" s="19"/>
      <c r="T131" s="34" t="str">
        <f aca="false">IF($R131="","",IFERROR(INDEX(DriverCategory,MATCH($R131,DriverList,0)),"BAU"))</f>
        <v/>
      </c>
      <c r="U131" s="34" t="str">
        <f aca="false">IF($R131="","",IFERROR(INDEX(DriverRank,MATCH($R131,DriverList,0)),99))</f>
        <v/>
      </c>
      <c r="V131" s="35" t="n">
        <f aca="false">IF($H131="",0,IFERROR(INDEX(LevelBasic,MATCH($H131,LevelList,0))+INDEX(LevelHousing,MATCH($H131,LevelList,0))+INDEX(LevelTransport,MATCH($H131,LevelList,0))+INDEX(LevelBasic,MATCH($H131,LevelList,0))*INDEX(LevelBonus,MATCH($H131,LevelList,0))+(INDEX(LevelBasic,MATCH($H131,LevelList,0))+INDEX(LevelHousing,MATCH($H131,LevelList,0)))*GosiSaudi,0))</f>
        <v>0</v>
      </c>
      <c r="W131" s="35" t="n">
        <f aca="false">IFERROR(INDEX(LevelOneOff,MATCH($H131,LevelList,0)),0)</f>
        <v>0</v>
      </c>
      <c r="X131" s="35" t="str">
        <f aca="false">IF($G131="","",$V131*N($L131))</f>
        <v/>
      </c>
      <c r="Y131" s="35" t="str">
        <f aca="false">IF($G131="","",$V131*(N($M131)*1+N($N131)*0.75+N($O131)*0.5+N($P131)*0.25)+$W131*N($L131))</f>
        <v/>
      </c>
      <c r="Z131" s="35" t="str">
        <f aca="false">IF($G131="","",$U131*1000000+ROW())</f>
        <v/>
      </c>
      <c r="AA131" s="36" t="str">
        <f aca="false">IF($G131="","",MID(IF($C131="",", no division","")&amp;IF($E131="",", no unit","")&amp;IF($H131="",", no career level","")&amp;IF(N($L131)&lt;=0,", no quarter split","")&amp;IF($R131="",", no driver","")&amp;IF(AND($H131&lt;&gt;"",COUNTIF(CareerLevels,$H131)=0),", a career level that is not on the ladder","")&amp;IF(AND($R131&lt;&gt;"",COUNTIF(DriverList,$R131)=0),", a driver that is not on the list","")&amp;IF(ABS(N($L131)-(N($M131)+N($N131)+N($O131)+N($P131)))&gt;0.001,", a total that does not match its quarters",""),3,300))</f>
        <v/>
      </c>
    </row>
    <row r="132" customFormat="false" ht="15" hidden="false" customHeight="false" outlineLevel="0" collapsed="false">
      <c r="A132" s="33" t="str">
        <f aca="false">IF($G132="","","CEO Office")</f>
        <v/>
      </c>
      <c r="B132" s="19"/>
      <c r="C132" s="19"/>
      <c r="D132" s="19"/>
      <c r="E132" s="19"/>
      <c r="F132" s="19"/>
      <c r="G132" s="19"/>
      <c r="H132" s="19"/>
      <c r="I132" s="19"/>
      <c r="J132" s="19"/>
      <c r="K132" s="19"/>
      <c r="L132" s="19"/>
      <c r="M132" s="19"/>
      <c r="N132" s="19"/>
      <c r="O132" s="19"/>
      <c r="P132" s="19"/>
      <c r="Q132" s="19"/>
      <c r="R132" s="19"/>
      <c r="S132" s="19"/>
      <c r="T132" s="34" t="str">
        <f aca="false">IF($R132="","",IFERROR(INDEX(DriverCategory,MATCH($R132,DriverList,0)),"BAU"))</f>
        <v/>
      </c>
      <c r="U132" s="34" t="str">
        <f aca="false">IF($R132="","",IFERROR(INDEX(DriverRank,MATCH($R132,DriverList,0)),99))</f>
        <v/>
      </c>
      <c r="V132" s="35" t="n">
        <f aca="false">IF($H132="",0,IFERROR(INDEX(LevelBasic,MATCH($H132,LevelList,0))+INDEX(LevelHousing,MATCH($H132,LevelList,0))+INDEX(LevelTransport,MATCH($H132,LevelList,0))+INDEX(LevelBasic,MATCH($H132,LevelList,0))*INDEX(LevelBonus,MATCH($H132,LevelList,0))+(INDEX(LevelBasic,MATCH($H132,LevelList,0))+INDEX(LevelHousing,MATCH($H132,LevelList,0)))*GosiSaudi,0))</f>
        <v>0</v>
      </c>
      <c r="W132" s="35" t="n">
        <f aca="false">IFERROR(INDEX(LevelOneOff,MATCH($H132,LevelList,0)),0)</f>
        <v>0</v>
      </c>
      <c r="X132" s="35" t="str">
        <f aca="false">IF($G132="","",$V132*N($L132))</f>
        <v/>
      </c>
      <c r="Y132" s="35" t="str">
        <f aca="false">IF($G132="","",$V132*(N($M132)*1+N($N132)*0.75+N($O132)*0.5+N($P132)*0.25)+$W132*N($L132))</f>
        <v/>
      </c>
      <c r="Z132" s="35" t="str">
        <f aca="false">IF($G132="","",$U132*1000000+ROW())</f>
        <v/>
      </c>
      <c r="AA132" s="36" t="str">
        <f aca="false">IF($G132="","",MID(IF($C132="",", no division","")&amp;IF($E132="",", no unit","")&amp;IF($H132="",", no career level","")&amp;IF(N($L132)&lt;=0,", no quarter split","")&amp;IF($R132="",", no driver","")&amp;IF(AND($H132&lt;&gt;"",COUNTIF(CareerLevels,$H132)=0),", a career level that is not on the ladder","")&amp;IF(AND($R132&lt;&gt;"",COUNTIF(DriverList,$R132)=0),", a driver that is not on the list","")&amp;IF(ABS(N($L132)-(N($M132)+N($N132)+N($O132)+N($P132)))&gt;0.001,", a total that does not match its quarters",""),3,300))</f>
        <v/>
      </c>
    </row>
    <row r="133" customFormat="false" ht="15" hidden="false" customHeight="false" outlineLevel="0" collapsed="false">
      <c r="A133" s="33" t="str">
        <f aca="false">IF($G133="","","CEO Office")</f>
        <v/>
      </c>
      <c r="B133" s="19"/>
      <c r="C133" s="19"/>
      <c r="D133" s="19"/>
      <c r="E133" s="19"/>
      <c r="F133" s="19"/>
      <c r="G133" s="19"/>
      <c r="H133" s="19"/>
      <c r="I133" s="19"/>
      <c r="J133" s="19"/>
      <c r="K133" s="19"/>
      <c r="L133" s="19"/>
      <c r="M133" s="19"/>
      <c r="N133" s="19"/>
      <c r="O133" s="19"/>
      <c r="P133" s="19"/>
      <c r="Q133" s="19"/>
      <c r="R133" s="19"/>
      <c r="S133" s="19"/>
      <c r="T133" s="34" t="str">
        <f aca="false">IF($R133="","",IFERROR(INDEX(DriverCategory,MATCH($R133,DriverList,0)),"BAU"))</f>
        <v/>
      </c>
      <c r="U133" s="34" t="str">
        <f aca="false">IF($R133="","",IFERROR(INDEX(DriverRank,MATCH($R133,DriverList,0)),99))</f>
        <v/>
      </c>
      <c r="V133" s="35" t="n">
        <f aca="false">IF($H133="",0,IFERROR(INDEX(LevelBasic,MATCH($H133,LevelList,0))+INDEX(LevelHousing,MATCH($H133,LevelList,0))+INDEX(LevelTransport,MATCH($H133,LevelList,0))+INDEX(LevelBasic,MATCH($H133,LevelList,0))*INDEX(LevelBonus,MATCH($H133,LevelList,0))+(INDEX(LevelBasic,MATCH($H133,LevelList,0))+INDEX(LevelHousing,MATCH($H133,LevelList,0)))*GosiSaudi,0))</f>
        <v>0</v>
      </c>
      <c r="W133" s="35" t="n">
        <f aca="false">IFERROR(INDEX(LevelOneOff,MATCH($H133,LevelList,0)),0)</f>
        <v>0</v>
      </c>
      <c r="X133" s="35" t="str">
        <f aca="false">IF($G133="","",$V133*N($L133))</f>
        <v/>
      </c>
      <c r="Y133" s="35" t="str">
        <f aca="false">IF($G133="","",$V133*(N($M133)*1+N($N133)*0.75+N($O133)*0.5+N($P133)*0.25)+$W133*N($L133))</f>
        <v/>
      </c>
      <c r="Z133" s="35" t="str">
        <f aca="false">IF($G133="","",$U133*1000000+ROW())</f>
        <v/>
      </c>
      <c r="AA133" s="36" t="str">
        <f aca="false">IF($G133="","",MID(IF($C133="",", no division","")&amp;IF($E133="",", no unit","")&amp;IF($H133="",", no career level","")&amp;IF(N($L133)&lt;=0,", no quarter split","")&amp;IF($R133="",", no driver","")&amp;IF(AND($H133&lt;&gt;"",COUNTIF(CareerLevels,$H133)=0),", a career level that is not on the ladder","")&amp;IF(AND($R133&lt;&gt;"",COUNTIF(DriverList,$R133)=0),", a driver that is not on the list","")&amp;IF(ABS(N($L133)-(N($M133)+N($N133)+N($O133)+N($P133)))&gt;0.001,", a total that does not match its quarters",""),3,300))</f>
        <v/>
      </c>
    </row>
    <row r="134" customFormat="false" ht="15" hidden="false" customHeight="false" outlineLevel="0" collapsed="false">
      <c r="A134" s="33" t="str">
        <f aca="false">IF($G134="","","CEO Office")</f>
        <v/>
      </c>
      <c r="B134" s="19"/>
      <c r="C134" s="19"/>
      <c r="D134" s="19"/>
      <c r="E134" s="19"/>
      <c r="F134" s="19"/>
      <c r="G134" s="19"/>
      <c r="H134" s="19"/>
      <c r="I134" s="19"/>
      <c r="J134" s="19"/>
      <c r="K134" s="19"/>
      <c r="L134" s="19"/>
      <c r="M134" s="19"/>
      <c r="N134" s="19"/>
      <c r="O134" s="19"/>
      <c r="P134" s="19"/>
      <c r="Q134" s="19"/>
      <c r="R134" s="19"/>
      <c r="S134" s="19"/>
      <c r="T134" s="34" t="str">
        <f aca="false">IF($R134="","",IFERROR(INDEX(DriverCategory,MATCH($R134,DriverList,0)),"BAU"))</f>
        <v/>
      </c>
      <c r="U134" s="34" t="str">
        <f aca="false">IF($R134="","",IFERROR(INDEX(DriverRank,MATCH($R134,DriverList,0)),99))</f>
        <v/>
      </c>
      <c r="V134" s="35" t="n">
        <f aca="false">IF($H134="",0,IFERROR(INDEX(LevelBasic,MATCH($H134,LevelList,0))+INDEX(LevelHousing,MATCH($H134,LevelList,0))+INDEX(LevelTransport,MATCH($H134,LevelList,0))+INDEX(LevelBasic,MATCH($H134,LevelList,0))*INDEX(LevelBonus,MATCH($H134,LevelList,0))+(INDEX(LevelBasic,MATCH($H134,LevelList,0))+INDEX(LevelHousing,MATCH($H134,LevelList,0)))*GosiSaudi,0))</f>
        <v>0</v>
      </c>
      <c r="W134" s="35" t="n">
        <f aca="false">IFERROR(INDEX(LevelOneOff,MATCH($H134,LevelList,0)),0)</f>
        <v>0</v>
      </c>
      <c r="X134" s="35" t="str">
        <f aca="false">IF($G134="","",$V134*N($L134))</f>
        <v/>
      </c>
      <c r="Y134" s="35" t="str">
        <f aca="false">IF($G134="","",$V134*(N($M134)*1+N($N134)*0.75+N($O134)*0.5+N($P134)*0.25)+$W134*N($L134))</f>
        <v/>
      </c>
      <c r="Z134" s="35" t="str">
        <f aca="false">IF($G134="","",$U134*1000000+ROW())</f>
        <v/>
      </c>
      <c r="AA134" s="36" t="str">
        <f aca="false">IF($G134="","",MID(IF($C134="",", no division","")&amp;IF($E134="",", no unit","")&amp;IF($H134="",", no career level","")&amp;IF(N($L134)&lt;=0,", no quarter split","")&amp;IF($R134="",", no driver","")&amp;IF(AND($H134&lt;&gt;"",COUNTIF(CareerLevels,$H134)=0),", a career level that is not on the ladder","")&amp;IF(AND($R134&lt;&gt;"",COUNTIF(DriverList,$R134)=0),", a driver that is not on the list","")&amp;IF(ABS(N($L134)-(N($M134)+N($N134)+N($O134)+N($P134)))&gt;0.001,", a total that does not match its quarters",""),3,300))</f>
        <v/>
      </c>
    </row>
    <row r="135" customFormat="false" ht="15" hidden="false" customHeight="false" outlineLevel="0" collapsed="false">
      <c r="A135" s="33" t="str">
        <f aca="false">IF($G135="","","CEO Office")</f>
        <v/>
      </c>
      <c r="B135" s="19"/>
      <c r="C135" s="19"/>
      <c r="D135" s="19"/>
      <c r="E135" s="19"/>
      <c r="F135" s="19"/>
      <c r="G135" s="19"/>
      <c r="H135" s="19"/>
      <c r="I135" s="19"/>
      <c r="J135" s="19"/>
      <c r="K135" s="19"/>
      <c r="L135" s="19"/>
      <c r="M135" s="19"/>
      <c r="N135" s="19"/>
      <c r="O135" s="19"/>
      <c r="P135" s="19"/>
      <c r="Q135" s="19"/>
      <c r="R135" s="19"/>
      <c r="S135" s="19"/>
      <c r="T135" s="34" t="str">
        <f aca="false">IF($R135="","",IFERROR(INDEX(DriverCategory,MATCH($R135,DriverList,0)),"BAU"))</f>
        <v/>
      </c>
      <c r="U135" s="34" t="str">
        <f aca="false">IF($R135="","",IFERROR(INDEX(DriverRank,MATCH($R135,DriverList,0)),99))</f>
        <v/>
      </c>
      <c r="V135" s="35" t="n">
        <f aca="false">IF($H135="",0,IFERROR(INDEX(LevelBasic,MATCH($H135,LevelList,0))+INDEX(LevelHousing,MATCH($H135,LevelList,0))+INDEX(LevelTransport,MATCH($H135,LevelList,0))+INDEX(LevelBasic,MATCH($H135,LevelList,0))*INDEX(LevelBonus,MATCH($H135,LevelList,0))+(INDEX(LevelBasic,MATCH($H135,LevelList,0))+INDEX(LevelHousing,MATCH($H135,LevelList,0)))*GosiSaudi,0))</f>
        <v>0</v>
      </c>
      <c r="W135" s="35" t="n">
        <f aca="false">IFERROR(INDEX(LevelOneOff,MATCH($H135,LevelList,0)),0)</f>
        <v>0</v>
      </c>
      <c r="X135" s="35" t="str">
        <f aca="false">IF($G135="","",$V135*N($L135))</f>
        <v/>
      </c>
      <c r="Y135" s="35" t="str">
        <f aca="false">IF($G135="","",$V135*(N($M135)*1+N($N135)*0.75+N($O135)*0.5+N($P135)*0.25)+$W135*N($L135))</f>
        <v/>
      </c>
      <c r="Z135" s="35" t="str">
        <f aca="false">IF($G135="","",$U135*1000000+ROW())</f>
        <v/>
      </c>
      <c r="AA135" s="36" t="str">
        <f aca="false">IF($G135="","",MID(IF($C135="",", no division","")&amp;IF($E135="",", no unit","")&amp;IF($H135="",", no career level","")&amp;IF(N($L135)&lt;=0,", no quarter split","")&amp;IF($R135="",", no driver","")&amp;IF(AND($H135&lt;&gt;"",COUNTIF(CareerLevels,$H135)=0),", a career level that is not on the ladder","")&amp;IF(AND($R135&lt;&gt;"",COUNTIF(DriverList,$R135)=0),", a driver that is not on the list","")&amp;IF(ABS(N($L135)-(N($M135)+N($N135)+N($O135)+N($P135)))&gt;0.001,", a total that does not match its quarters",""),3,300))</f>
        <v/>
      </c>
    </row>
    <row r="136" customFormat="false" ht="15" hidden="false" customHeight="false" outlineLevel="0" collapsed="false">
      <c r="A136" s="33" t="str">
        <f aca="false">IF($G136="","","CEO Office")</f>
        <v/>
      </c>
      <c r="B136" s="19"/>
      <c r="C136" s="19"/>
      <c r="D136" s="19"/>
      <c r="E136" s="19"/>
      <c r="F136" s="19"/>
      <c r="G136" s="19"/>
      <c r="H136" s="19"/>
      <c r="I136" s="19"/>
      <c r="J136" s="19"/>
      <c r="K136" s="19"/>
      <c r="L136" s="19"/>
      <c r="M136" s="19"/>
      <c r="N136" s="19"/>
      <c r="O136" s="19"/>
      <c r="P136" s="19"/>
      <c r="Q136" s="19"/>
      <c r="R136" s="19"/>
      <c r="S136" s="19"/>
      <c r="T136" s="34" t="str">
        <f aca="false">IF($R136="","",IFERROR(INDEX(DriverCategory,MATCH($R136,DriverList,0)),"BAU"))</f>
        <v/>
      </c>
      <c r="U136" s="34" t="str">
        <f aca="false">IF($R136="","",IFERROR(INDEX(DriverRank,MATCH($R136,DriverList,0)),99))</f>
        <v/>
      </c>
      <c r="V136" s="35" t="n">
        <f aca="false">IF($H136="",0,IFERROR(INDEX(LevelBasic,MATCH($H136,LevelList,0))+INDEX(LevelHousing,MATCH($H136,LevelList,0))+INDEX(LevelTransport,MATCH($H136,LevelList,0))+INDEX(LevelBasic,MATCH($H136,LevelList,0))*INDEX(LevelBonus,MATCH($H136,LevelList,0))+(INDEX(LevelBasic,MATCH($H136,LevelList,0))+INDEX(LevelHousing,MATCH($H136,LevelList,0)))*GosiSaudi,0))</f>
        <v>0</v>
      </c>
      <c r="W136" s="35" t="n">
        <f aca="false">IFERROR(INDEX(LevelOneOff,MATCH($H136,LevelList,0)),0)</f>
        <v>0</v>
      </c>
      <c r="X136" s="35" t="str">
        <f aca="false">IF($G136="","",$V136*N($L136))</f>
        <v/>
      </c>
      <c r="Y136" s="35" t="str">
        <f aca="false">IF($G136="","",$V136*(N($M136)*1+N($N136)*0.75+N($O136)*0.5+N($P136)*0.25)+$W136*N($L136))</f>
        <v/>
      </c>
      <c r="Z136" s="35" t="str">
        <f aca="false">IF($G136="","",$U136*1000000+ROW())</f>
        <v/>
      </c>
      <c r="AA136" s="36" t="str">
        <f aca="false">IF($G136="","",MID(IF($C136="",", no division","")&amp;IF($E136="",", no unit","")&amp;IF($H136="",", no career level","")&amp;IF(N($L136)&lt;=0,", no quarter split","")&amp;IF($R136="",", no driver","")&amp;IF(AND($H136&lt;&gt;"",COUNTIF(CareerLevels,$H136)=0),", a career level that is not on the ladder","")&amp;IF(AND($R136&lt;&gt;"",COUNTIF(DriverList,$R136)=0),", a driver that is not on the list","")&amp;IF(ABS(N($L136)-(N($M136)+N($N136)+N($O136)+N($P136)))&gt;0.001,", a total that does not match its quarters",""),3,300))</f>
        <v/>
      </c>
    </row>
    <row r="137" customFormat="false" ht="15" hidden="false" customHeight="false" outlineLevel="0" collapsed="false">
      <c r="A137" s="33" t="str">
        <f aca="false">IF($G137="","","CEO Office")</f>
        <v/>
      </c>
      <c r="B137" s="19"/>
      <c r="C137" s="19"/>
      <c r="D137" s="19"/>
      <c r="E137" s="19"/>
      <c r="F137" s="19"/>
      <c r="G137" s="19"/>
      <c r="H137" s="19"/>
      <c r="I137" s="19"/>
      <c r="J137" s="19"/>
      <c r="K137" s="19"/>
      <c r="L137" s="19"/>
      <c r="M137" s="19"/>
      <c r="N137" s="19"/>
      <c r="O137" s="19"/>
      <c r="P137" s="19"/>
      <c r="Q137" s="19"/>
      <c r="R137" s="19"/>
      <c r="S137" s="19"/>
      <c r="T137" s="34" t="str">
        <f aca="false">IF($R137="","",IFERROR(INDEX(DriverCategory,MATCH($R137,DriverList,0)),"BAU"))</f>
        <v/>
      </c>
      <c r="U137" s="34" t="str">
        <f aca="false">IF($R137="","",IFERROR(INDEX(DriverRank,MATCH($R137,DriverList,0)),99))</f>
        <v/>
      </c>
      <c r="V137" s="35" t="n">
        <f aca="false">IF($H137="",0,IFERROR(INDEX(LevelBasic,MATCH($H137,LevelList,0))+INDEX(LevelHousing,MATCH($H137,LevelList,0))+INDEX(LevelTransport,MATCH($H137,LevelList,0))+INDEX(LevelBasic,MATCH($H137,LevelList,0))*INDEX(LevelBonus,MATCH($H137,LevelList,0))+(INDEX(LevelBasic,MATCH($H137,LevelList,0))+INDEX(LevelHousing,MATCH($H137,LevelList,0)))*GosiSaudi,0))</f>
        <v>0</v>
      </c>
      <c r="W137" s="35" t="n">
        <f aca="false">IFERROR(INDEX(LevelOneOff,MATCH($H137,LevelList,0)),0)</f>
        <v>0</v>
      </c>
      <c r="X137" s="35" t="str">
        <f aca="false">IF($G137="","",$V137*N($L137))</f>
        <v/>
      </c>
      <c r="Y137" s="35" t="str">
        <f aca="false">IF($G137="","",$V137*(N($M137)*1+N($N137)*0.75+N($O137)*0.5+N($P137)*0.25)+$W137*N($L137))</f>
        <v/>
      </c>
      <c r="Z137" s="35" t="str">
        <f aca="false">IF($G137="","",$U137*1000000+ROW())</f>
        <v/>
      </c>
      <c r="AA137" s="36" t="str">
        <f aca="false">IF($G137="","",MID(IF($C137="",", no division","")&amp;IF($E137="",", no unit","")&amp;IF($H137="",", no career level","")&amp;IF(N($L137)&lt;=0,", no quarter split","")&amp;IF($R137="",", no driver","")&amp;IF(AND($H137&lt;&gt;"",COUNTIF(CareerLevels,$H137)=0),", a career level that is not on the ladder","")&amp;IF(AND($R137&lt;&gt;"",COUNTIF(DriverList,$R137)=0),", a driver that is not on the list","")&amp;IF(ABS(N($L137)-(N($M137)+N($N137)+N($O137)+N($P137)))&gt;0.001,", a total that does not match its quarters",""),3,300))</f>
        <v/>
      </c>
    </row>
    <row r="138" customFormat="false" ht="15" hidden="false" customHeight="false" outlineLevel="0" collapsed="false">
      <c r="A138" s="33" t="str">
        <f aca="false">IF($G138="","","CEO Office")</f>
        <v/>
      </c>
      <c r="B138" s="19"/>
      <c r="C138" s="19"/>
      <c r="D138" s="19"/>
      <c r="E138" s="19"/>
      <c r="F138" s="19"/>
      <c r="G138" s="19"/>
      <c r="H138" s="19"/>
      <c r="I138" s="19"/>
      <c r="J138" s="19"/>
      <c r="K138" s="19"/>
      <c r="L138" s="19"/>
      <c r="M138" s="19"/>
      <c r="N138" s="19"/>
      <c r="O138" s="19"/>
      <c r="P138" s="19"/>
      <c r="Q138" s="19"/>
      <c r="R138" s="19"/>
      <c r="S138" s="19"/>
      <c r="T138" s="34" t="str">
        <f aca="false">IF($R138="","",IFERROR(INDEX(DriverCategory,MATCH($R138,DriverList,0)),"BAU"))</f>
        <v/>
      </c>
      <c r="U138" s="34" t="str">
        <f aca="false">IF($R138="","",IFERROR(INDEX(DriverRank,MATCH($R138,DriverList,0)),99))</f>
        <v/>
      </c>
      <c r="V138" s="35" t="n">
        <f aca="false">IF($H138="",0,IFERROR(INDEX(LevelBasic,MATCH($H138,LevelList,0))+INDEX(LevelHousing,MATCH($H138,LevelList,0))+INDEX(LevelTransport,MATCH($H138,LevelList,0))+INDEX(LevelBasic,MATCH($H138,LevelList,0))*INDEX(LevelBonus,MATCH($H138,LevelList,0))+(INDEX(LevelBasic,MATCH($H138,LevelList,0))+INDEX(LevelHousing,MATCH($H138,LevelList,0)))*GosiSaudi,0))</f>
        <v>0</v>
      </c>
      <c r="W138" s="35" t="n">
        <f aca="false">IFERROR(INDEX(LevelOneOff,MATCH($H138,LevelList,0)),0)</f>
        <v>0</v>
      </c>
      <c r="X138" s="35" t="str">
        <f aca="false">IF($G138="","",$V138*N($L138))</f>
        <v/>
      </c>
      <c r="Y138" s="35" t="str">
        <f aca="false">IF($G138="","",$V138*(N($M138)*1+N($N138)*0.75+N($O138)*0.5+N($P138)*0.25)+$W138*N($L138))</f>
        <v/>
      </c>
      <c r="Z138" s="35" t="str">
        <f aca="false">IF($G138="","",$U138*1000000+ROW())</f>
        <v/>
      </c>
      <c r="AA138" s="36" t="str">
        <f aca="false">IF($G138="","",MID(IF($C138="",", no division","")&amp;IF($E138="",", no unit","")&amp;IF($H138="",", no career level","")&amp;IF(N($L138)&lt;=0,", no quarter split","")&amp;IF($R138="",", no driver","")&amp;IF(AND($H138&lt;&gt;"",COUNTIF(CareerLevels,$H138)=0),", a career level that is not on the ladder","")&amp;IF(AND($R138&lt;&gt;"",COUNTIF(DriverList,$R138)=0),", a driver that is not on the list","")&amp;IF(ABS(N($L138)-(N($M138)+N($N138)+N($O138)+N($P138)))&gt;0.001,", a total that does not match its quarters",""),3,300))</f>
        <v/>
      </c>
    </row>
    <row r="139" customFormat="false" ht="15" hidden="false" customHeight="false" outlineLevel="0" collapsed="false">
      <c r="A139" s="33" t="str">
        <f aca="false">IF($G139="","","CEO Office")</f>
        <v/>
      </c>
      <c r="B139" s="19"/>
      <c r="C139" s="19"/>
      <c r="D139" s="19"/>
      <c r="E139" s="19"/>
      <c r="F139" s="19"/>
      <c r="G139" s="19"/>
      <c r="H139" s="19"/>
      <c r="I139" s="19"/>
      <c r="J139" s="19"/>
      <c r="K139" s="19"/>
      <c r="L139" s="19"/>
      <c r="M139" s="19"/>
      <c r="N139" s="19"/>
      <c r="O139" s="19"/>
      <c r="P139" s="19"/>
      <c r="Q139" s="19"/>
      <c r="R139" s="19"/>
      <c r="S139" s="19"/>
      <c r="T139" s="34" t="str">
        <f aca="false">IF($R139="","",IFERROR(INDEX(DriverCategory,MATCH($R139,DriverList,0)),"BAU"))</f>
        <v/>
      </c>
      <c r="U139" s="34" t="str">
        <f aca="false">IF($R139="","",IFERROR(INDEX(DriverRank,MATCH($R139,DriverList,0)),99))</f>
        <v/>
      </c>
      <c r="V139" s="35" t="n">
        <f aca="false">IF($H139="",0,IFERROR(INDEX(LevelBasic,MATCH($H139,LevelList,0))+INDEX(LevelHousing,MATCH($H139,LevelList,0))+INDEX(LevelTransport,MATCH($H139,LevelList,0))+INDEX(LevelBasic,MATCH($H139,LevelList,0))*INDEX(LevelBonus,MATCH($H139,LevelList,0))+(INDEX(LevelBasic,MATCH($H139,LevelList,0))+INDEX(LevelHousing,MATCH($H139,LevelList,0)))*GosiSaudi,0))</f>
        <v>0</v>
      </c>
      <c r="W139" s="35" t="n">
        <f aca="false">IFERROR(INDEX(LevelOneOff,MATCH($H139,LevelList,0)),0)</f>
        <v>0</v>
      </c>
      <c r="X139" s="35" t="str">
        <f aca="false">IF($G139="","",$V139*N($L139))</f>
        <v/>
      </c>
      <c r="Y139" s="35" t="str">
        <f aca="false">IF($G139="","",$V139*(N($M139)*1+N($N139)*0.75+N($O139)*0.5+N($P139)*0.25)+$W139*N($L139))</f>
        <v/>
      </c>
      <c r="Z139" s="35" t="str">
        <f aca="false">IF($G139="","",$U139*1000000+ROW())</f>
        <v/>
      </c>
      <c r="AA139" s="36" t="str">
        <f aca="false">IF($G139="","",MID(IF($C139="",", no division","")&amp;IF($E139="",", no unit","")&amp;IF($H139="",", no career level","")&amp;IF(N($L139)&lt;=0,", no quarter split","")&amp;IF($R139="",", no driver","")&amp;IF(AND($H139&lt;&gt;"",COUNTIF(CareerLevels,$H139)=0),", a career level that is not on the ladder","")&amp;IF(AND($R139&lt;&gt;"",COUNTIF(DriverList,$R139)=0),", a driver that is not on the list","")&amp;IF(ABS(N($L139)-(N($M139)+N($N139)+N($O139)+N($P139)))&gt;0.001,", a total that does not match its quarters",""),3,300))</f>
        <v/>
      </c>
    </row>
    <row r="140" customFormat="false" ht="15" hidden="false" customHeight="false" outlineLevel="0" collapsed="false">
      <c r="A140" s="33" t="str">
        <f aca="false">IF($G140="","","CEO Office")</f>
        <v/>
      </c>
      <c r="B140" s="19"/>
      <c r="C140" s="19"/>
      <c r="D140" s="19"/>
      <c r="E140" s="19"/>
      <c r="F140" s="19"/>
      <c r="G140" s="19"/>
      <c r="H140" s="19"/>
      <c r="I140" s="19"/>
      <c r="J140" s="19"/>
      <c r="K140" s="19"/>
      <c r="L140" s="19"/>
      <c r="M140" s="19"/>
      <c r="N140" s="19"/>
      <c r="O140" s="19"/>
      <c r="P140" s="19"/>
      <c r="Q140" s="19"/>
      <c r="R140" s="19"/>
      <c r="S140" s="19"/>
      <c r="T140" s="34" t="str">
        <f aca="false">IF($R140="","",IFERROR(INDEX(DriverCategory,MATCH($R140,DriverList,0)),"BAU"))</f>
        <v/>
      </c>
      <c r="U140" s="34" t="str">
        <f aca="false">IF($R140="","",IFERROR(INDEX(DriverRank,MATCH($R140,DriverList,0)),99))</f>
        <v/>
      </c>
      <c r="V140" s="35" t="n">
        <f aca="false">IF($H140="",0,IFERROR(INDEX(LevelBasic,MATCH($H140,LevelList,0))+INDEX(LevelHousing,MATCH($H140,LevelList,0))+INDEX(LevelTransport,MATCH($H140,LevelList,0))+INDEX(LevelBasic,MATCH($H140,LevelList,0))*INDEX(LevelBonus,MATCH($H140,LevelList,0))+(INDEX(LevelBasic,MATCH($H140,LevelList,0))+INDEX(LevelHousing,MATCH($H140,LevelList,0)))*GosiSaudi,0))</f>
        <v>0</v>
      </c>
      <c r="W140" s="35" t="n">
        <f aca="false">IFERROR(INDEX(LevelOneOff,MATCH($H140,LevelList,0)),0)</f>
        <v>0</v>
      </c>
      <c r="X140" s="35" t="str">
        <f aca="false">IF($G140="","",$V140*N($L140))</f>
        <v/>
      </c>
      <c r="Y140" s="35" t="str">
        <f aca="false">IF($G140="","",$V140*(N($M140)*1+N($N140)*0.75+N($O140)*0.5+N($P140)*0.25)+$W140*N($L140))</f>
        <v/>
      </c>
      <c r="Z140" s="35" t="str">
        <f aca="false">IF($G140="","",$U140*1000000+ROW())</f>
        <v/>
      </c>
      <c r="AA140" s="36" t="str">
        <f aca="false">IF($G140="","",MID(IF($C140="",", no division","")&amp;IF($E140="",", no unit","")&amp;IF($H140="",", no career level","")&amp;IF(N($L140)&lt;=0,", no quarter split","")&amp;IF($R140="",", no driver","")&amp;IF(AND($H140&lt;&gt;"",COUNTIF(CareerLevels,$H140)=0),", a career level that is not on the ladder","")&amp;IF(AND($R140&lt;&gt;"",COUNTIF(DriverList,$R140)=0),", a driver that is not on the list","")&amp;IF(ABS(N($L140)-(N($M140)+N($N140)+N($O140)+N($P140)))&gt;0.001,", a total that does not match its quarters",""),3,300))</f>
        <v/>
      </c>
    </row>
    <row r="141" customFormat="false" ht="15" hidden="false" customHeight="false" outlineLevel="0" collapsed="false">
      <c r="A141" s="33" t="str">
        <f aca="false">IF($G141="","","CEO Office")</f>
        <v/>
      </c>
      <c r="B141" s="19"/>
      <c r="C141" s="19"/>
      <c r="D141" s="19"/>
      <c r="E141" s="19"/>
      <c r="F141" s="19"/>
      <c r="G141" s="19"/>
      <c r="H141" s="19"/>
      <c r="I141" s="19"/>
      <c r="J141" s="19"/>
      <c r="K141" s="19"/>
      <c r="L141" s="19"/>
      <c r="M141" s="19"/>
      <c r="N141" s="19"/>
      <c r="O141" s="19"/>
      <c r="P141" s="19"/>
      <c r="Q141" s="19"/>
      <c r="R141" s="19"/>
      <c r="S141" s="19"/>
      <c r="T141" s="34" t="str">
        <f aca="false">IF($R141="","",IFERROR(INDEX(DriverCategory,MATCH($R141,DriverList,0)),"BAU"))</f>
        <v/>
      </c>
      <c r="U141" s="34" t="str">
        <f aca="false">IF($R141="","",IFERROR(INDEX(DriverRank,MATCH($R141,DriverList,0)),99))</f>
        <v/>
      </c>
      <c r="V141" s="35" t="n">
        <f aca="false">IF($H141="",0,IFERROR(INDEX(LevelBasic,MATCH($H141,LevelList,0))+INDEX(LevelHousing,MATCH($H141,LevelList,0))+INDEX(LevelTransport,MATCH($H141,LevelList,0))+INDEX(LevelBasic,MATCH($H141,LevelList,0))*INDEX(LevelBonus,MATCH($H141,LevelList,0))+(INDEX(LevelBasic,MATCH($H141,LevelList,0))+INDEX(LevelHousing,MATCH($H141,LevelList,0)))*GosiSaudi,0))</f>
        <v>0</v>
      </c>
      <c r="W141" s="35" t="n">
        <f aca="false">IFERROR(INDEX(LevelOneOff,MATCH($H141,LevelList,0)),0)</f>
        <v>0</v>
      </c>
      <c r="X141" s="35" t="str">
        <f aca="false">IF($G141="","",$V141*N($L141))</f>
        <v/>
      </c>
      <c r="Y141" s="35" t="str">
        <f aca="false">IF($G141="","",$V141*(N($M141)*1+N($N141)*0.75+N($O141)*0.5+N($P141)*0.25)+$W141*N($L141))</f>
        <v/>
      </c>
      <c r="Z141" s="35" t="str">
        <f aca="false">IF($G141="","",$U141*1000000+ROW())</f>
        <v/>
      </c>
      <c r="AA141" s="36" t="str">
        <f aca="false">IF($G141="","",MID(IF($C141="",", no division","")&amp;IF($E141="",", no unit","")&amp;IF($H141="",", no career level","")&amp;IF(N($L141)&lt;=0,", no quarter split","")&amp;IF($R141="",", no driver","")&amp;IF(AND($H141&lt;&gt;"",COUNTIF(CareerLevels,$H141)=0),", a career level that is not on the ladder","")&amp;IF(AND($R141&lt;&gt;"",COUNTIF(DriverList,$R141)=0),", a driver that is not on the list","")&amp;IF(ABS(N($L141)-(N($M141)+N($N141)+N($O141)+N($P141)))&gt;0.001,", a total that does not match its quarters",""),3,300))</f>
        <v/>
      </c>
    </row>
    <row r="142" customFormat="false" ht="15" hidden="false" customHeight="false" outlineLevel="0" collapsed="false">
      <c r="A142" s="33" t="str">
        <f aca="false">IF($G142="","","CEO Office")</f>
        <v/>
      </c>
      <c r="B142" s="19"/>
      <c r="C142" s="19"/>
      <c r="D142" s="19"/>
      <c r="E142" s="19"/>
      <c r="F142" s="19"/>
      <c r="G142" s="19"/>
      <c r="H142" s="19"/>
      <c r="I142" s="19"/>
      <c r="J142" s="19"/>
      <c r="K142" s="19"/>
      <c r="L142" s="19"/>
      <c r="M142" s="19"/>
      <c r="N142" s="19"/>
      <c r="O142" s="19"/>
      <c r="P142" s="19"/>
      <c r="Q142" s="19"/>
      <c r="R142" s="19"/>
      <c r="S142" s="19"/>
      <c r="T142" s="34" t="str">
        <f aca="false">IF($R142="","",IFERROR(INDEX(DriverCategory,MATCH($R142,DriverList,0)),"BAU"))</f>
        <v/>
      </c>
      <c r="U142" s="34" t="str">
        <f aca="false">IF($R142="","",IFERROR(INDEX(DriverRank,MATCH($R142,DriverList,0)),99))</f>
        <v/>
      </c>
      <c r="V142" s="35" t="n">
        <f aca="false">IF($H142="",0,IFERROR(INDEX(LevelBasic,MATCH($H142,LevelList,0))+INDEX(LevelHousing,MATCH($H142,LevelList,0))+INDEX(LevelTransport,MATCH($H142,LevelList,0))+INDEX(LevelBasic,MATCH($H142,LevelList,0))*INDEX(LevelBonus,MATCH($H142,LevelList,0))+(INDEX(LevelBasic,MATCH($H142,LevelList,0))+INDEX(LevelHousing,MATCH($H142,LevelList,0)))*GosiSaudi,0))</f>
        <v>0</v>
      </c>
      <c r="W142" s="35" t="n">
        <f aca="false">IFERROR(INDEX(LevelOneOff,MATCH($H142,LevelList,0)),0)</f>
        <v>0</v>
      </c>
      <c r="X142" s="35" t="str">
        <f aca="false">IF($G142="","",$V142*N($L142))</f>
        <v/>
      </c>
      <c r="Y142" s="35" t="str">
        <f aca="false">IF($G142="","",$V142*(N($M142)*1+N($N142)*0.75+N($O142)*0.5+N($P142)*0.25)+$W142*N($L142))</f>
        <v/>
      </c>
      <c r="Z142" s="35" t="str">
        <f aca="false">IF($G142="","",$U142*1000000+ROW())</f>
        <v/>
      </c>
      <c r="AA142" s="36" t="str">
        <f aca="false">IF($G142="","",MID(IF($C142="",", no division","")&amp;IF($E142="",", no unit","")&amp;IF($H142="",", no career level","")&amp;IF(N($L142)&lt;=0,", no quarter split","")&amp;IF($R142="",", no driver","")&amp;IF(AND($H142&lt;&gt;"",COUNTIF(CareerLevels,$H142)=0),", a career level that is not on the ladder","")&amp;IF(AND($R142&lt;&gt;"",COUNTIF(DriverList,$R142)=0),", a driver that is not on the list","")&amp;IF(ABS(N($L142)-(N($M142)+N($N142)+N($O142)+N($P142)))&gt;0.001,", a total that does not match its quarters",""),3,300))</f>
        <v/>
      </c>
    </row>
    <row r="143" customFormat="false" ht="15" hidden="false" customHeight="false" outlineLevel="0" collapsed="false">
      <c r="A143" s="33" t="str">
        <f aca="false">IF($G143="","","CEO Office")</f>
        <v/>
      </c>
      <c r="B143" s="19"/>
      <c r="C143" s="19"/>
      <c r="D143" s="19"/>
      <c r="E143" s="19"/>
      <c r="F143" s="19"/>
      <c r="G143" s="19"/>
      <c r="H143" s="19"/>
      <c r="I143" s="19"/>
      <c r="J143" s="19"/>
      <c r="K143" s="19"/>
      <c r="L143" s="19"/>
      <c r="M143" s="19"/>
      <c r="N143" s="19"/>
      <c r="O143" s="19"/>
      <c r="P143" s="19"/>
      <c r="Q143" s="19"/>
      <c r="R143" s="19"/>
      <c r="S143" s="19"/>
      <c r="T143" s="34" t="str">
        <f aca="false">IF($R143="","",IFERROR(INDEX(DriverCategory,MATCH($R143,DriverList,0)),"BAU"))</f>
        <v/>
      </c>
      <c r="U143" s="34" t="str">
        <f aca="false">IF($R143="","",IFERROR(INDEX(DriverRank,MATCH($R143,DriverList,0)),99))</f>
        <v/>
      </c>
      <c r="V143" s="35" t="n">
        <f aca="false">IF($H143="",0,IFERROR(INDEX(LevelBasic,MATCH($H143,LevelList,0))+INDEX(LevelHousing,MATCH($H143,LevelList,0))+INDEX(LevelTransport,MATCH($H143,LevelList,0))+INDEX(LevelBasic,MATCH($H143,LevelList,0))*INDEX(LevelBonus,MATCH($H143,LevelList,0))+(INDEX(LevelBasic,MATCH($H143,LevelList,0))+INDEX(LevelHousing,MATCH($H143,LevelList,0)))*GosiSaudi,0))</f>
        <v>0</v>
      </c>
      <c r="W143" s="35" t="n">
        <f aca="false">IFERROR(INDEX(LevelOneOff,MATCH($H143,LevelList,0)),0)</f>
        <v>0</v>
      </c>
      <c r="X143" s="35" t="str">
        <f aca="false">IF($G143="","",$V143*N($L143))</f>
        <v/>
      </c>
      <c r="Y143" s="35" t="str">
        <f aca="false">IF($G143="","",$V143*(N($M143)*1+N($N143)*0.75+N($O143)*0.5+N($P143)*0.25)+$W143*N($L143))</f>
        <v/>
      </c>
      <c r="Z143" s="35" t="str">
        <f aca="false">IF($G143="","",$U143*1000000+ROW())</f>
        <v/>
      </c>
      <c r="AA143" s="36" t="str">
        <f aca="false">IF($G143="","",MID(IF($C143="",", no division","")&amp;IF($E143="",", no unit","")&amp;IF($H143="",", no career level","")&amp;IF(N($L143)&lt;=0,", no quarter split","")&amp;IF($R143="",", no driver","")&amp;IF(AND($H143&lt;&gt;"",COUNTIF(CareerLevels,$H143)=0),", a career level that is not on the ladder","")&amp;IF(AND($R143&lt;&gt;"",COUNTIF(DriverList,$R143)=0),", a driver that is not on the list","")&amp;IF(ABS(N($L143)-(N($M143)+N($N143)+N($O143)+N($P143)))&gt;0.001,", a total that does not match its quarters",""),3,300))</f>
        <v/>
      </c>
    </row>
    <row r="144" customFormat="false" ht="15" hidden="false" customHeight="false" outlineLevel="0" collapsed="false">
      <c r="A144" s="33" t="str">
        <f aca="false">IF($G144="","","CEO Office")</f>
        <v/>
      </c>
      <c r="B144" s="19"/>
      <c r="C144" s="19"/>
      <c r="D144" s="19"/>
      <c r="E144" s="19"/>
      <c r="F144" s="19"/>
      <c r="G144" s="19"/>
      <c r="H144" s="19"/>
      <c r="I144" s="19"/>
      <c r="J144" s="19"/>
      <c r="K144" s="19"/>
      <c r="L144" s="19"/>
      <c r="M144" s="19"/>
      <c r="N144" s="19"/>
      <c r="O144" s="19"/>
      <c r="P144" s="19"/>
      <c r="Q144" s="19"/>
      <c r="R144" s="19"/>
      <c r="S144" s="19"/>
      <c r="T144" s="34" t="str">
        <f aca="false">IF($R144="","",IFERROR(INDEX(DriverCategory,MATCH($R144,DriverList,0)),"BAU"))</f>
        <v/>
      </c>
      <c r="U144" s="34" t="str">
        <f aca="false">IF($R144="","",IFERROR(INDEX(DriverRank,MATCH($R144,DriverList,0)),99))</f>
        <v/>
      </c>
      <c r="V144" s="35" t="n">
        <f aca="false">IF($H144="",0,IFERROR(INDEX(LevelBasic,MATCH($H144,LevelList,0))+INDEX(LevelHousing,MATCH($H144,LevelList,0))+INDEX(LevelTransport,MATCH($H144,LevelList,0))+INDEX(LevelBasic,MATCH($H144,LevelList,0))*INDEX(LevelBonus,MATCH($H144,LevelList,0))+(INDEX(LevelBasic,MATCH($H144,LevelList,0))+INDEX(LevelHousing,MATCH($H144,LevelList,0)))*GosiSaudi,0))</f>
        <v>0</v>
      </c>
      <c r="W144" s="35" t="n">
        <f aca="false">IFERROR(INDEX(LevelOneOff,MATCH($H144,LevelList,0)),0)</f>
        <v>0</v>
      </c>
      <c r="X144" s="35" t="str">
        <f aca="false">IF($G144="","",$V144*N($L144))</f>
        <v/>
      </c>
      <c r="Y144" s="35" t="str">
        <f aca="false">IF($G144="","",$V144*(N($M144)*1+N($N144)*0.75+N($O144)*0.5+N($P144)*0.25)+$W144*N($L144))</f>
        <v/>
      </c>
      <c r="Z144" s="35" t="str">
        <f aca="false">IF($G144="","",$U144*1000000+ROW())</f>
        <v/>
      </c>
      <c r="AA144" s="36" t="str">
        <f aca="false">IF($G144="","",MID(IF($C144="",", no division","")&amp;IF($E144="",", no unit","")&amp;IF($H144="",", no career level","")&amp;IF(N($L144)&lt;=0,", no quarter split","")&amp;IF($R144="",", no driver","")&amp;IF(AND($H144&lt;&gt;"",COUNTIF(CareerLevels,$H144)=0),", a career level that is not on the ladder","")&amp;IF(AND($R144&lt;&gt;"",COUNTIF(DriverList,$R144)=0),", a driver that is not on the list","")&amp;IF(ABS(N($L144)-(N($M144)+N($N144)+N($O144)+N($P144)))&gt;0.001,", a total that does not match its quarters",""),3,300))</f>
        <v/>
      </c>
    </row>
    <row r="145" customFormat="false" ht="15" hidden="false" customHeight="false" outlineLevel="0" collapsed="false">
      <c r="A145" s="33" t="str">
        <f aca="false">IF($G145="","","CEO Office")</f>
        <v/>
      </c>
      <c r="B145" s="19"/>
      <c r="C145" s="19"/>
      <c r="D145" s="19"/>
      <c r="E145" s="19"/>
      <c r="F145" s="19"/>
      <c r="G145" s="19"/>
      <c r="H145" s="19"/>
      <c r="I145" s="19"/>
      <c r="J145" s="19"/>
      <c r="K145" s="19"/>
      <c r="L145" s="19"/>
      <c r="M145" s="19"/>
      <c r="N145" s="19"/>
      <c r="O145" s="19"/>
      <c r="P145" s="19"/>
      <c r="Q145" s="19"/>
      <c r="R145" s="19"/>
      <c r="S145" s="19"/>
      <c r="T145" s="34" t="str">
        <f aca="false">IF($R145="","",IFERROR(INDEX(DriverCategory,MATCH($R145,DriverList,0)),"BAU"))</f>
        <v/>
      </c>
      <c r="U145" s="34" t="str">
        <f aca="false">IF($R145="","",IFERROR(INDEX(DriverRank,MATCH($R145,DriverList,0)),99))</f>
        <v/>
      </c>
      <c r="V145" s="35" t="n">
        <f aca="false">IF($H145="",0,IFERROR(INDEX(LevelBasic,MATCH($H145,LevelList,0))+INDEX(LevelHousing,MATCH($H145,LevelList,0))+INDEX(LevelTransport,MATCH($H145,LevelList,0))+INDEX(LevelBasic,MATCH($H145,LevelList,0))*INDEX(LevelBonus,MATCH($H145,LevelList,0))+(INDEX(LevelBasic,MATCH($H145,LevelList,0))+INDEX(LevelHousing,MATCH($H145,LevelList,0)))*GosiSaudi,0))</f>
        <v>0</v>
      </c>
      <c r="W145" s="35" t="n">
        <f aca="false">IFERROR(INDEX(LevelOneOff,MATCH($H145,LevelList,0)),0)</f>
        <v>0</v>
      </c>
      <c r="X145" s="35" t="str">
        <f aca="false">IF($G145="","",$V145*N($L145))</f>
        <v/>
      </c>
      <c r="Y145" s="35" t="str">
        <f aca="false">IF($G145="","",$V145*(N($M145)*1+N($N145)*0.75+N($O145)*0.5+N($P145)*0.25)+$W145*N($L145))</f>
        <v/>
      </c>
      <c r="Z145" s="35" t="str">
        <f aca="false">IF($G145="","",$U145*1000000+ROW())</f>
        <v/>
      </c>
      <c r="AA145" s="36" t="str">
        <f aca="false">IF($G145="","",MID(IF($C145="",", no division","")&amp;IF($E145="",", no unit","")&amp;IF($H145="",", no career level","")&amp;IF(N($L145)&lt;=0,", no quarter split","")&amp;IF($R145="",", no driver","")&amp;IF(AND($H145&lt;&gt;"",COUNTIF(CareerLevels,$H145)=0),", a career level that is not on the ladder","")&amp;IF(AND($R145&lt;&gt;"",COUNTIF(DriverList,$R145)=0),", a driver that is not on the list","")&amp;IF(ABS(N($L145)-(N($M145)+N($N145)+N($O145)+N($P145)))&gt;0.001,", a total that does not match its quarters",""),3,300))</f>
        <v/>
      </c>
    </row>
    <row r="146" customFormat="false" ht="15" hidden="false" customHeight="false" outlineLevel="0" collapsed="false">
      <c r="A146" s="33" t="str">
        <f aca="false">IF($G146="","","CEO Office")</f>
        <v/>
      </c>
      <c r="B146" s="19"/>
      <c r="C146" s="19"/>
      <c r="D146" s="19"/>
      <c r="E146" s="19"/>
      <c r="F146" s="19"/>
      <c r="G146" s="19"/>
      <c r="H146" s="19"/>
      <c r="I146" s="19"/>
      <c r="J146" s="19"/>
      <c r="K146" s="19"/>
      <c r="L146" s="19"/>
      <c r="M146" s="19"/>
      <c r="N146" s="19"/>
      <c r="O146" s="19"/>
      <c r="P146" s="19"/>
      <c r="Q146" s="19"/>
      <c r="R146" s="19"/>
      <c r="S146" s="19"/>
      <c r="T146" s="34" t="str">
        <f aca="false">IF($R146="","",IFERROR(INDEX(DriverCategory,MATCH($R146,DriverList,0)),"BAU"))</f>
        <v/>
      </c>
      <c r="U146" s="34" t="str">
        <f aca="false">IF($R146="","",IFERROR(INDEX(DriverRank,MATCH($R146,DriverList,0)),99))</f>
        <v/>
      </c>
      <c r="V146" s="35" t="n">
        <f aca="false">IF($H146="",0,IFERROR(INDEX(LevelBasic,MATCH($H146,LevelList,0))+INDEX(LevelHousing,MATCH($H146,LevelList,0))+INDEX(LevelTransport,MATCH($H146,LevelList,0))+INDEX(LevelBasic,MATCH($H146,LevelList,0))*INDEX(LevelBonus,MATCH($H146,LevelList,0))+(INDEX(LevelBasic,MATCH($H146,LevelList,0))+INDEX(LevelHousing,MATCH($H146,LevelList,0)))*GosiSaudi,0))</f>
        <v>0</v>
      </c>
      <c r="W146" s="35" t="n">
        <f aca="false">IFERROR(INDEX(LevelOneOff,MATCH($H146,LevelList,0)),0)</f>
        <v>0</v>
      </c>
      <c r="X146" s="35" t="str">
        <f aca="false">IF($G146="","",$V146*N($L146))</f>
        <v/>
      </c>
      <c r="Y146" s="35" t="str">
        <f aca="false">IF($G146="","",$V146*(N($M146)*1+N($N146)*0.75+N($O146)*0.5+N($P146)*0.25)+$W146*N($L146))</f>
        <v/>
      </c>
      <c r="Z146" s="35" t="str">
        <f aca="false">IF($G146="","",$U146*1000000+ROW())</f>
        <v/>
      </c>
      <c r="AA146" s="36" t="str">
        <f aca="false">IF($G146="","",MID(IF($C146="",", no division","")&amp;IF($E146="",", no unit","")&amp;IF($H146="",", no career level","")&amp;IF(N($L146)&lt;=0,", no quarter split","")&amp;IF($R146="",", no driver","")&amp;IF(AND($H146&lt;&gt;"",COUNTIF(CareerLevels,$H146)=0),", a career level that is not on the ladder","")&amp;IF(AND($R146&lt;&gt;"",COUNTIF(DriverList,$R146)=0),", a driver that is not on the list","")&amp;IF(ABS(N($L146)-(N($M146)+N($N146)+N($O146)+N($P146)))&gt;0.001,", a total that does not match its quarters",""),3,300))</f>
        <v/>
      </c>
    </row>
    <row r="147" customFormat="false" ht="15" hidden="false" customHeight="false" outlineLevel="0" collapsed="false">
      <c r="A147" s="33" t="str">
        <f aca="false">IF($G147="","","CEO Office")</f>
        <v/>
      </c>
      <c r="B147" s="19"/>
      <c r="C147" s="19"/>
      <c r="D147" s="19"/>
      <c r="E147" s="19"/>
      <c r="F147" s="19"/>
      <c r="G147" s="19"/>
      <c r="H147" s="19"/>
      <c r="I147" s="19"/>
      <c r="J147" s="19"/>
      <c r="K147" s="19"/>
      <c r="L147" s="19"/>
      <c r="M147" s="19"/>
      <c r="N147" s="19"/>
      <c r="O147" s="19"/>
      <c r="P147" s="19"/>
      <c r="Q147" s="19"/>
      <c r="R147" s="19"/>
      <c r="S147" s="19"/>
      <c r="T147" s="34" t="str">
        <f aca="false">IF($R147="","",IFERROR(INDEX(DriverCategory,MATCH($R147,DriverList,0)),"BAU"))</f>
        <v/>
      </c>
      <c r="U147" s="34" t="str">
        <f aca="false">IF($R147="","",IFERROR(INDEX(DriverRank,MATCH($R147,DriverList,0)),99))</f>
        <v/>
      </c>
      <c r="V147" s="35" t="n">
        <f aca="false">IF($H147="",0,IFERROR(INDEX(LevelBasic,MATCH($H147,LevelList,0))+INDEX(LevelHousing,MATCH($H147,LevelList,0))+INDEX(LevelTransport,MATCH($H147,LevelList,0))+INDEX(LevelBasic,MATCH($H147,LevelList,0))*INDEX(LevelBonus,MATCH($H147,LevelList,0))+(INDEX(LevelBasic,MATCH($H147,LevelList,0))+INDEX(LevelHousing,MATCH($H147,LevelList,0)))*GosiSaudi,0))</f>
        <v>0</v>
      </c>
      <c r="W147" s="35" t="n">
        <f aca="false">IFERROR(INDEX(LevelOneOff,MATCH($H147,LevelList,0)),0)</f>
        <v>0</v>
      </c>
      <c r="X147" s="35" t="str">
        <f aca="false">IF($G147="","",$V147*N($L147))</f>
        <v/>
      </c>
      <c r="Y147" s="35" t="str">
        <f aca="false">IF($G147="","",$V147*(N($M147)*1+N($N147)*0.75+N($O147)*0.5+N($P147)*0.25)+$W147*N($L147))</f>
        <v/>
      </c>
      <c r="Z147" s="35" t="str">
        <f aca="false">IF($G147="","",$U147*1000000+ROW())</f>
        <v/>
      </c>
      <c r="AA147" s="36" t="str">
        <f aca="false">IF($G147="","",MID(IF($C147="",", no division","")&amp;IF($E147="",", no unit","")&amp;IF($H147="",", no career level","")&amp;IF(N($L147)&lt;=0,", no quarter split","")&amp;IF($R147="",", no driver","")&amp;IF(AND($H147&lt;&gt;"",COUNTIF(CareerLevels,$H147)=0),", a career level that is not on the ladder","")&amp;IF(AND($R147&lt;&gt;"",COUNTIF(DriverList,$R147)=0),", a driver that is not on the list","")&amp;IF(ABS(N($L147)-(N($M147)+N($N147)+N($O147)+N($P147)))&gt;0.001,", a total that does not match its quarters",""),3,300))</f>
        <v/>
      </c>
    </row>
    <row r="148" customFormat="false" ht="15" hidden="false" customHeight="false" outlineLevel="0" collapsed="false">
      <c r="A148" s="33" t="str">
        <f aca="false">IF($G148="","","CEO Office")</f>
        <v/>
      </c>
      <c r="B148" s="19"/>
      <c r="C148" s="19"/>
      <c r="D148" s="19"/>
      <c r="E148" s="19"/>
      <c r="F148" s="19"/>
      <c r="G148" s="19"/>
      <c r="H148" s="19"/>
      <c r="I148" s="19"/>
      <c r="J148" s="19"/>
      <c r="K148" s="19"/>
      <c r="L148" s="19"/>
      <c r="M148" s="19"/>
      <c r="N148" s="19"/>
      <c r="O148" s="19"/>
      <c r="P148" s="19"/>
      <c r="Q148" s="19"/>
      <c r="R148" s="19"/>
      <c r="S148" s="19"/>
      <c r="T148" s="34" t="str">
        <f aca="false">IF($R148="","",IFERROR(INDEX(DriverCategory,MATCH($R148,DriverList,0)),"BAU"))</f>
        <v/>
      </c>
      <c r="U148" s="34" t="str">
        <f aca="false">IF($R148="","",IFERROR(INDEX(DriverRank,MATCH($R148,DriverList,0)),99))</f>
        <v/>
      </c>
      <c r="V148" s="35" t="n">
        <f aca="false">IF($H148="",0,IFERROR(INDEX(LevelBasic,MATCH($H148,LevelList,0))+INDEX(LevelHousing,MATCH($H148,LevelList,0))+INDEX(LevelTransport,MATCH($H148,LevelList,0))+INDEX(LevelBasic,MATCH($H148,LevelList,0))*INDEX(LevelBonus,MATCH($H148,LevelList,0))+(INDEX(LevelBasic,MATCH($H148,LevelList,0))+INDEX(LevelHousing,MATCH($H148,LevelList,0)))*GosiSaudi,0))</f>
        <v>0</v>
      </c>
      <c r="W148" s="35" t="n">
        <f aca="false">IFERROR(INDEX(LevelOneOff,MATCH($H148,LevelList,0)),0)</f>
        <v>0</v>
      </c>
      <c r="X148" s="35" t="str">
        <f aca="false">IF($G148="","",$V148*N($L148))</f>
        <v/>
      </c>
      <c r="Y148" s="35" t="str">
        <f aca="false">IF($G148="","",$V148*(N($M148)*1+N($N148)*0.75+N($O148)*0.5+N($P148)*0.25)+$W148*N($L148))</f>
        <v/>
      </c>
      <c r="Z148" s="35" t="str">
        <f aca="false">IF($G148="","",$U148*1000000+ROW())</f>
        <v/>
      </c>
      <c r="AA148" s="36" t="str">
        <f aca="false">IF($G148="","",MID(IF($C148="",", no division","")&amp;IF($E148="",", no unit","")&amp;IF($H148="",", no career level","")&amp;IF(N($L148)&lt;=0,", no quarter split","")&amp;IF($R148="",", no driver","")&amp;IF(AND($H148&lt;&gt;"",COUNTIF(CareerLevels,$H148)=0),", a career level that is not on the ladder","")&amp;IF(AND($R148&lt;&gt;"",COUNTIF(DriverList,$R148)=0),", a driver that is not on the list","")&amp;IF(ABS(N($L148)-(N($M148)+N($N148)+N($O148)+N($P148)))&gt;0.001,", a total that does not match its quarters",""),3,300))</f>
        <v/>
      </c>
    </row>
    <row r="149" customFormat="false" ht="15" hidden="false" customHeight="false" outlineLevel="0" collapsed="false">
      <c r="A149" s="33" t="str">
        <f aca="false">IF($G149="","","CEO Office")</f>
        <v/>
      </c>
      <c r="B149" s="19"/>
      <c r="C149" s="19"/>
      <c r="D149" s="19"/>
      <c r="E149" s="19"/>
      <c r="F149" s="19"/>
      <c r="G149" s="19"/>
      <c r="H149" s="19"/>
      <c r="I149" s="19"/>
      <c r="J149" s="19"/>
      <c r="K149" s="19"/>
      <c r="L149" s="19"/>
      <c r="M149" s="19"/>
      <c r="N149" s="19"/>
      <c r="O149" s="19"/>
      <c r="P149" s="19"/>
      <c r="Q149" s="19"/>
      <c r="R149" s="19"/>
      <c r="S149" s="19"/>
      <c r="T149" s="34" t="str">
        <f aca="false">IF($R149="","",IFERROR(INDEX(DriverCategory,MATCH($R149,DriverList,0)),"BAU"))</f>
        <v/>
      </c>
      <c r="U149" s="34" t="str">
        <f aca="false">IF($R149="","",IFERROR(INDEX(DriverRank,MATCH($R149,DriverList,0)),99))</f>
        <v/>
      </c>
      <c r="V149" s="35" t="n">
        <f aca="false">IF($H149="",0,IFERROR(INDEX(LevelBasic,MATCH($H149,LevelList,0))+INDEX(LevelHousing,MATCH($H149,LevelList,0))+INDEX(LevelTransport,MATCH($H149,LevelList,0))+INDEX(LevelBasic,MATCH($H149,LevelList,0))*INDEX(LevelBonus,MATCH($H149,LevelList,0))+(INDEX(LevelBasic,MATCH($H149,LevelList,0))+INDEX(LevelHousing,MATCH($H149,LevelList,0)))*GosiSaudi,0))</f>
        <v>0</v>
      </c>
      <c r="W149" s="35" t="n">
        <f aca="false">IFERROR(INDEX(LevelOneOff,MATCH($H149,LevelList,0)),0)</f>
        <v>0</v>
      </c>
      <c r="X149" s="35" t="str">
        <f aca="false">IF($G149="","",$V149*N($L149))</f>
        <v/>
      </c>
      <c r="Y149" s="35" t="str">
        <f aca="false">IF($G149="","",$V149*(N($M149)*1+N($N149)*0.75+N($O149)*0.5+N($P149)*0.25)+$W149*N($L149))</f>
        <v/>
      </c>
      <c r="Z149" s="35" t="str">
        <f aca="false">IF($G149="","",$U149*1000000+ROW())</f>
        <v/>
      </c>
      <c r="AA149" s="36" t="str">
        <f aca="false">IF($G149="","",MID(IF($C149="",", no division","")&amp;IF($E149="",", no unit","")&amp;IF($H149="",", no career level","")&amp;IF(N($L149)&lt;=0,", no quarter split","")&amp;IF($R149="",", no driver","")&amp;IF(AND($H149&lt;&gt;"",COUNTIF(CareerLevels,$H149)=0),", a career level that is not on the ladder","")&amp;IF(AND($R149&lt;&gt;"",COUNTIF(DriverList,$R149)=0),", a driver that is not on the list","")&amp;IF(ABS(N($L149)-(N($M149)+N($N149)+N($O149)+N($P149)))&gt;0.001,", a total that does not match its quarters",""),3,300))</f>
        <v/>
      </c>
    </row>
    <row r="150" customFormat="false" ht="15" hidden="false" customHeight="false" outlineLevel="0" collapsed="false">
      <c r="A150" s="33" t="str">
        <f aca="false">IF($G150="","","CEO Office")</f>
        <v/>
      </c>
      <c r="B150" s="19"/>
      <c r="C150" s="19"/>
      <c r="D150" s="19"/>
      <c r="E150" s="19"/>
      <c r="F150" s="19"/>
      <c r="G150" s="19"/>
      <c r="H150" s="19"/>
      <c r="I150" s="19"/>
      <c r="J150" s="19"/>
      <c r="K150" s="19"/>
      <c r="L150" s="19"/>
      <c r="M150" s="19"/>
      <c r="N150" s="19"/>
      <c r="O150" s="19"/>
      <c r="P150" s="19"/>
      <c r="Q150" s="19"/>
      <c r="R150" s="19"/>
      <c r="S150" s="19"/>
      <c r="T150" s="34" t="str">
        <f aca="false">IF($R150="","",IFERROR(INDEX(DriverCategory,MATCH($R150,DriverList,0)),"BAU"))</f>
        <v/>
      </c>
      <c r="U150" s="34" t="str">
        <f aca="false">IF($R150="","",IFERROR(INDEX(DriverRank,MATCH($R150,DriverList,0)),99))</f>
        <v/>
      </c>
      <c r="V150" s="35" t="n">
        <f aca="false">IF($H150="",0,IFERROR(INDEX(LevelBasic,MATCH($H150,LevelList,0))+INDEX(LevelHousing,MATCH($H150,LevelList,0))+INDEX(LevelTransport,MATCH($H150,LevelList,0))+INDEX(LevelBasic,MATCH($H150,LevelList,0))*INDEX(LevelBonus,MATCH($H150,LevelList,0))+(INDEX(LevelBasic,MATCH($H150,LevelList,0))+INDEX(LevelHousing,MATCH($H150,LevelList,0)))*GosiSaudi,0))</f>
        <v>0</v>
      </c>
      <c r="W150" s="35" t="n">
        <f aca="false">IFERROR(INDEX(LevelOneOff,MATCH($H150,LevelList,0)),0)</f>
        <v>0</v>
      </c>
      <c r="X150" s="35" t="str">
        <f aca="false">IF($G150="","",$V150*N($L150))</f>
        <v/>
      </c>
      <c r="Y150" s="35" t="str">
        <f aca="false">IF($G150="","",$V150*(N($M150)*1+N($N150)*0.75+N($O150)*0.5+N($P150)*0.25)+$W150*N($L150))</f>
        <v/>
      </c>
      <c r="Z150" s="35" t="str">
        <f aca="false">IF($G150="","",$U150*1000000+ROW())</f>
        <v/>
      </c>
      <c r="AA150" s="36" t="str">
        <f aca="false">IF($G150="","",MID(IF($C150="",", no division","")&amp;IF($E150="",", no unit","")&amp;IF($H150="",", no career level","")&amp;IF(N($L150)&lt;=0,", no quarter split","")&amp;IF($R150="",", no driver","")&amp;IF(AND($H150&lt;&gt;"",COUNTIF(CareerLevels,$H150)=0),", a career level that is not on the ladder","")&amp;IF(AND($R150&lt;&gt;"",COUNTIF(DriverList,$R150)=0),", a driver that is not on the list","")&amp;IF(ABS(N($L150)-(N($M150)+N($N150)+N($O150)+N($P150)))&gt;0.001,", a total that does not match its quarters",""),3,300))</f>
        <v/>
      </c>
    </row>
    <row r="151" customFormat="false" ht="15" hidden="false" customHeight="false" outlineLevel="0" collapsed="false">
      <c r="A151" s="33" t="str">
        <f aca="false">IF($G151="","","CEO Office")</f>
        <v/>
      </c>
      <c r="B151" s="19"/>
      <c r="C151" s="19"/>
      <c r="D151" s="19"/>
      <c r="E151" s="19"/>
      <c r="F151" s="19"/>
      <c r="G151" s="19"/>
      <c r="H151" s="19"/>
      <c r="I151" s="19"/>
      <c r="J151" s="19"/>
      <c r="K151" s="19"/>
      <c r="L151" s="19"/>
      <c r="M151" s="19"/>
      <c r="N151" s="19"/>
      <c r="O151" s="19"/>
      <c r="P151" s="19"/>
      <c r="Q151" s="19"/>
      <c r="R151" s="19"/>
      <c r="S151" s="19"/>
      <c r="T151" s="34" t="str">
        <f aca="false">IF($R151="","",IFERROR(INDEX(DriverCategory,MATCH($R151,DriverList,0)),"BAU"))</f>
        <v/>
      </c>
      <c r="U151" s="34" t="str">
        <f aca="false">IF($R151="","",IFERROR(INDEX(DriverRank,MATCH($R151,DriverList,0)),99))</f>
        <v/>
      </c>
      <c r="V151" s="35" t="n">
        <f aca="false">IF($H151="",0,IFERROR(INDEX(LevelBasic,MATCH($H151,LevelList,0))+INDEX(LevelHousing,MATCH($H151,LevelList,0))+INDEX(LevelTransport,MATCH($H151,LevelList,0))+INDEX(LevelBasic,MATCH($H151,LevelList,0))*INDEX(LevelBonus,MATCH($H151,LevelList,0))+(INDEX(LevelBasic,MATCH($H151,LevelList,0))+INDEX(LevelHousing,MATCH($H151,LevelList,0)))*GosiSaudi,0))</f>
        <v>0</v>
      </c>
      <c r="W151" s="35" t="n">
        <f aca="false">IFERROR(INDEX(LevelOneOff,MATCH($H151,LevelList,0)),0)</f>
        <v>0</v>
      </c>
      <c r="X151" s="35" t="str">
        <f aca="false">IF($G151="","",$V151*N($L151))</f>
        <v/>
      </c>
      <c r="Y151" s="35" t="str">
        <f aca="false">IF($G151="","",$V151*(N($M151)*1+N($N151)*0.75+N($O151)*0.5+N($P151)*0.25)+$W151*N($L151))</f>
        <v/>
      </c>
      <c r="Z151" s="35" t="str">
        <f aca="false">IF($G151="","",$U151*1000000+ROW())</f>
        <v/>
      </c>
      <c r="AA151" s="36" t="str">
        <f aca="false">IF($G151="","",MID(IF($C151="",", no division","")&amp;IF($E151="",", no unit","")&amp;IF($H151="",", no career level","")&amp;IF(N($L151)&lt;=0,", no quarter split","")&amp;IF($R151="",", no driver","")&amp;IF(AND($H151&lt;&gt;"",COUNTIF(CareerLevels,$H151)=0),", a career level that is not on the ladder","")&amp;IF(AND($R151&lt;&gt;"",COUNTIF(DriverList,$R151)=0),", a driver that is not on the list","")&amp;IF(ABS(N($L151)-(N($M151)+N($N151)+N($O151)+N($P151)))&gt;0.001,", a total that does not match its quarters",""),3,300))</f>
        <v/>
      </c>
    </row>
    <row r="152" customFormat="false" ht="15" hidden="false" customHeight="false" outlineLevel="0" collapsed="false">
      <c r="A152" s="33" t="str">
        <f aca="false">IF($G152="","","CEO Office")</f>
        <v/>
      </c>
      <c r="B152" s="19"/>
      <c r="C152" s="19"/>
      <c r="D152" s="19"/>
      <c r="E152" s="19"/>
      <c r="F152" s="19"/>
      <c r="G152" s="19"/>
      <c r="H152" s="19"/>
      <c r="I152" s="19"/>
      <c r="J152" s="19"/>
      <c r="K152" s="19"/>
      <c r="L152" s="19"/>
      <c r="M152" s="19"/>
      <c r="N152" s="19"/>
      <c r="O152" s="19"/>
      <c r="P152" s="19"/>
      <c r="Q152" s="19"/>
      <c r="R152" s="19"/>
      <c r="S152" s="19"/>
      <c r="T152" s="34" t="str">
        <f aca="false">IF($R152="","",IFERROR(INDEX(DriverCategory,MATCH($R152,DriverList,0)),"BAU"))</f>
        <v/>
      </c>
      <c r="U152" s="34" t="str">
        <f aca="false">IF($R152="","",IFERROR(INDEX(DriverRank,MATCH($R152,DriverList,0)),99))</f>
        <v/>
      </c>
      <c r="V152" s="35" t="n">
        <f aca="false">IF($H152="",0,IFERROR(INDEX(LevelBasic,MATCH($H152,LevelList,0))+INDEX(LevelHousing,MATCH($H152,LevelList,0))+INDEX(LevelTransport,MATCH($H152,LevelList,0))+INDEX(LevelBasic,MATCH($H152,LevelList,0))*INDEX(LevelBonus,MATCH($H152,LevelList,0))+(INDEX(LevelBasic,MATCH($H152,LevelList,0))+INDEX(LevelHousing,MATCH($H152,LevelList,0)))*GosiSaudi,0))</f>
        <v>0</v>
      </c>
      <c r="W152" s="35" t="n">
        <f aca="false">IFERROR(INDEX(LevelOneOff,MATCH($H152,LevelList,0)),0)</f>
        <v>0</v>
      </c>
      <c r="X152" s="35" t="str">
        <f aca="false">IF($G152="","",$V152*N($L152))</f>
        <v/>
      </c>
      <c r="Y152" s="35" t="str">
        <f aca="false">IF($G152="","",$V152*(N($M152)*1+N($N152)*0.75+N($O152)*0.5+N($P152)*0.25)+$W152*N($L152))</f>
        <v/>
      </c>
      <c r="Z152" s="35" t="str">
        <f aca="false">IF($G152="","",$U152*1000000+ROW())</f>
        <v/>
      </c>
      <c r="AA152" s="36" t="str">
        <f aca="false">IF($G152="","",MID(IF($C152="",", no division","")&amp;IF($E152="",", no unit","")&amp;IF($H152="",", no career level","")&amp;IF(N($L152)&lt;=0,", no quarter split","")&amp;IF($R152="",", no driver","")&amp;IF(AND($H152&lt;&gt;"",COUNTIF(CareerLevels,$H152)=0),", a career level that is not on the ladder","")&amp;IF(AND($R152&lt;&gt;"",COUNTIF(DriverList,$R152)=0),", a driver that is not on the list","")&amp;IF(ABS(N($L152)-(N($M152)+N($N152)+N($O152)+N($P152)))&gt;0.001,", a total that does not match its quarters",""),3,300))</f>
        <v/>
      </c>
    </row>
    <row r="153" customFormat="false" ht="15" hidden="false" customHeight="false" outlineLevel="0" collapsed="false">
      <c r="A153" s="33" t="str">
        <f aca="false">IF($G153="","","CEO Office")</f>
        <v/>
      </c>
      <c r="B153" s="19"/>
      <c r="C153" s="19"/>
      <c r="D153" s="19"/>
      <c r="E153" s="19"/>
      <c r="F153" s="19"/>
      <c r="G153" s="19"/>
      <c r="H153" s="19"/>
      <c r="I153" s="19"/>
      <c r="J153" s="19"/>
      <c r="K153" s="19"/>
      <c r="L153" s="19"/>
      <c r="M153" s="19"/>
      <c r="N153" s="19"/>
      <c r="O153" s="19"/>
      <c r="P153" s="19"/>
      <c r="Q153" s="19"/>
      <c r="R153" s="19"/>
      <c r="S153" s="19"/>
      <c r="T153" s="34" t="str">
        <f aca="false">IF($R153="","",IFERROR(INDEX(DriverCategory,MATCH($R153,DriverList,0)),"BAU"))</f>
        <v/>
      </c>
      <c r="U153" s="34" t="str">
        <f aca="false">IF($R153="","",IFERROR(INDEX(DriverRank,MATCH($R153,DriverList,0)),99))</f>
        <v/>
      </c>
      <c r="V153" s="35" t="n">
        <f aca="false">IF($H153="",0,IFERROR(INDEX(LevelBasic,MATCH($H153,LevelList,0))+INDEX(LevelHousing,MATCH($H153,LevelList,0))+INDEX(LevelTransport,MATCH($H153,LevelList,0))+INDEX(LevelBasic,MATCH($H153,LevelList,0))*INDEX(LevelBonus,MATCH($H153,LevelList,0))+(INDEX(LevelBasic,MATCH($H153,LevelList,0))+INDEX(LevelHousing,MATCH($H153,LevelList,0)))*GosiSaudi,0))</f>
        <v>0</v>
      </c>
      <c r="W153" s="35" t="n">
        <f aca="false">IFERROR(INDEX(LevelOneOff,MATCH($H153,LevelList,0)),0)</f>
        <v>0</v>
      </c>
      <c r="X153" s="35" t="str">
        <f aca="false">IF($G153="","",$V153*N($L153))</f>
        <v/>
      </c>
      <c r="Y153" s="35" t="str">
        <f aca="false">IF($G153="","",$V153*(N($M153)*1+N($N153)*0.75+N($O153)*0.5+N($P153)*0.25)+$W153*N($L153))</f>
        <v/>
      </c>
      <c r="Z153" s="35" t="str">
        <f aca="false">IF($G153="","",$U153*1000000+ROW())</f>
        <v/>
      </c>
      <c r="AA153" s="36" t="str">
        <f aca="false">IF($G153="","",MID(IF($C153="",", no division","")&amp;IF($E153="",", no unit","")&amp;IF($H153="",", no career level","")&amp;IF(N($L153)&lt;=0,", no quarter split","")&amp;IF($R153="",", no driver","")&amp;IF(AND($H153&lt;&gt;"",COUNTIF(CareerLevels,$H153)=0),", a career level that is not on the ladder","")&amp;IF(AND($R153&lt;&gt;"",COUNTIF(DriverList,$R153)=0),", a driver that is not on the list","")&amp;IF(ABS(N($L153)-(N($M153)+N($N153)+N($O153)+N($P153)))&gt;0.001,", a total that does not match its quarters",""),3,300))</f>
        <v/>
      </c>
    </row>
    <row r="154" customFormat="false" ht="15" hidden="false" customHeight="false" outlineLevel="0" collapsed="false">
      <c r="A154" s="33" t="str">
        <f aca="false">IF($G154="","","CEO Office")</f>
        <v/>
      </c>
      <c r="B154" s="19"/>
      <c r="C154" s="19"/>
      <c r="D154" s="19"/>
      <c r="E154" s="19"/>
      <c r="F154" s="19"/>
      <c r="G154" s="19"/>
      <c r="H154" s="19"/>
      <c r="I154" s="19"/>
      <c r="J154" s="19"/>
      <c r="K154" s="19"/>
      <c r="L154" s="19"/>
      <c r="M154" s="19"/>
      <c r="N154" s="19"/>
      <c r="O154" s="19"/>
      <c r="P154" s="19"/>
      <c r="Q154" s="19"/>
      <c r="R154" s="19"/>
      <c r="S154" s="19"/>
      <c r="T154" s="34" t="str">
        <f aca="false">IF($R154="","",IFERROR(INDEX(DriverCategory,MATCH($R154,DriverList,0)),"BAU"))</f>
        <v/>
      </c>
      <c r="U154" s="34" t="str">
        <f aca="false">IF($R154="","",IFERROR(INDEX(DriverRank,MATCH($R154,DriverList,0)),99))</f>
        <v/>
      </c>
      <c r="V154" s="35" t="n">
        <f aca="false">IF($H154="",0,IFERROR(INDEX(LevelBasic,MATCH($H154,LevelList,0))+INDEX(LevelHousing,MATCH($H154,LevelList,0))+INDEX(LevelTransport,MATCH($H154,LevelList,0))+INDEX(LevelBasic,MATCH($H154,LevelList,0))*INDEX(LevelBonus,MATCH($H154,LevelList,0))+(INDEX(LevelBasic,MATCH($H154,LevelList,0))+INDEX(LevelHousing,MATCH($H154,LevelList,0)))*GosiSaudi,0))</f>
        <v>0</v>
      </c>
      <c r="W154" s="35" t="n">
        <f aca="false">IFERROR(INDEX(LevelOneOff,MATCH($H154,LevelList,0)),0)</f>
        <v>0</v>
      </c>
      <c r="X154" s="35" t="str">
        <f aca="false">IF($G154="","",$V154*N($L154))</f>
        <v/>
      </c>
      <c r="Y154" s="35" t="str">
        <f aca="false">IF($G154="","",$V154*(N($M154)*1+N($N154)*0.75+N($O154)*0.5+N($P154)*0.25)+$W154*N($L154))</f>
        <v/>
      </c>
      <c r="Z154" s="35" t="str">
        <f aca="false">IF($G154="","",$U154*1000000+ROW())</f>
        <v/>
      </c>
      <c r="AA154" s="36" t="str">
        <f aca="false">IF($G154="","",MID(IF($C154="",", no division","")&amp;IF($E154="",", no unit","")&amp;IF($H154="",", no career level","")&amp;IF(N($L154)&lt;=0,", no quarter split","")&amp;IF($R154="",", no driver","")&amp;IF(AND($H154&lt;&gt;"",COUNTIF(CareerLevels,$H154)=0),", a career level that is not on the ladder","")&amp;IF(AND($R154&lt;&gt;"",COUNTIF(DriverList,$R154)=0),", a driver that is not on the list","")&amp;IF(ABS(N($L154)-(N($M154)+N($N154)+N($O154)+N($P154)))&gt;0.001,", a total that does not match its quarters",""),3,300))</f>
        <v/>
      </c>
    </row>
    <row r="155" customFormat="false" ht="15" hidden="false" customHeight="false" outlineLevel="0" collapsed="false">
      <c r="A155" s="33" t="str">
        <f aca="false">IF($G155="","","CEO Office")</f>
        <v/>
      </c>
      <c r="B155" s="19"/>
      <c r="C155" s="19"/>
      <c r="D155" s="19"/>
      <c r="E155" s="19"/>
      <c r="F155" s="19"/>
      <c r="G155" s="19"/>
      <c r="H155" s="19"/>
      <c r="I155" s="19"/>
      <c r="J155" s="19"/>
      <c r="K155" s="19"/>
      <c r="L155" s="19"/>
      <c r="M155" s="19"/>
      <c r="N155" s="19"/>
      <c r="O155" s="19"/>
      <c r="P155" s="19"/>
      <c r="Q155" s="19"/>
      <c r="R155" s="19"/>
      <c r="S155" s="19"/>
      <c r="T155" s="34" t="str">
        <f aca="false">IF($R155="","",IFERROR(INDEX(DriverCategory,MATCH($R155,DriverList,0)),"BAU"))</f>
        <v/>
      </c>
      <c r="U155" s="34" t="str">
        <f aca="false">IF($R155="","",IFERROR(INDEX(DriverRank,MATCH($R155,DriverList,0)),99))</f>
        <v/>
      </c>
      <c r="V155" s="35" t="n">
        <f aca="false">IF($H155="",0,IFERROR(INDEX(LevelBasic,MATCH($H155,LevelList,0))+INDEX(LevelHousing,MATCH($H155,LevelList,0))+INDEX(LevelTransport,MATCH($H155,LevelList,0))+INDEX(LevelBasic,MATCH($H155,LevelList,0))*INDEX(LevelBonus,MATCH($H155,LevelList,0))+(INDEX(LevelBasic,MATCH($H155,LevelList,0))+INDEX(LevelHousing,MATCH($H155,LevelList,0)))*GosiSaudi,0))</f>
        <v>0</v>
      </c>
      <c r="W155" s="35" t="n">
        <f aca="false">IFERROR(INDEX(LevelOneOff,MATCH($H155,LevelList,0)),0)</f>
        <v>0</v>
      </c>
      <c r="X155" s="35" t="str">
        <f aca="false">IF($G155="","",$V155*N($L155))</f>
        <v/>
      </c>
      <c r="Y155" s="35" t="str">
        <f aca="false">IF($G155="","",$V155*(N($M155)*1+N($N155)*0.75+N($O155)*0.5+N($P155)*0.25)+$W155*N($L155))</f>
        <v/>
      </c>
      <c r="Z155" s="35" t="str">
        <f aca="false">IF($G155="","",$U155*1000000+ROW())</f>
        <v/>
      </c>
      <c r="AA155" s="36" t="str">
        <f aca="false">IF($G155="","",MID(IF($C155="",", no division","")&amp;IF($E155="",", no unit","")&amp;IF($H155="",", no career level","")&amp;IF(N($L155)&lt;=0,", no quarter split","")&amp;IF($R155="",", no driver","")&amp;IF(AND($H155&lt;&gt;"",COUNTIF(CareerLevels,$H155)=0),", a career level that is not on the ladder","")&amp;IF(AND($R155&lt;&gt;"",COUNTIF(DriverList,$R155)=0),", a driver that is not on the list","")&amp;IF(ABS(N($L155)-(N($M155)+N($N155)+N($O155)+N($P155)))&gt;0.001,", a total that does not match its quarters",""),3,300))</f>
        <v/>
      </c>
    </row>
    <row r="156" customFormat="false" ht="15" hidden="false" customHeight="false" outlineLevel="0" collapsed="false">
      <c r="A156" s="33" t="str">
        <f aca="false">IF($G156="","","CEO Office")</f>
        <v/>
      </c>
      <c r="B156" s="19"/>
      <c r="C156" s="19"/>
      <c r="D156" s="19"/>
      <c r="E156" s="19"/>
      <c r="F156" s="19"/>
      <c r="G156" s="19"/>
      <c r="H156" s="19"/>
      <c r="I156" s="19"/>
      <c r="J156" s="19"/>
      <c r="K156" s="19"/>
      <c r="L156" s="19"/>
      <c r="M156" s="19"/>
      <c r="N156" s="19"/>
      <c r="O156" s="19"/>
      <c r="P156" s="19"/>
      <c r="Q156" s="19"/>
      <c r="R156" s="19"/>
      <c r="S156" s="19"/>
      <c r="T156" s="34" t="str">
        <f aca="false">IF($R156="","",IFERROR(INDEX(DriverCategory,MATCH($R156,DriverList,0)),"BAU"))</f>
        <v/>
      </c>
      <c r="U156" s="34" t="str">
        <f aca="false">IF($R156="","",IFERROR(INDEX(DriverRank,MATCH($R156,DriverList,0)),99))</f>
        <v/>
      </c>
      <c r="V156" s="35" t="n">
        <f aca="false">IF($H156="",0,IFERROR(INDEX(LevelBasic,MATCH($H156,LevelList,0))+INDEX(LevelHousing,MATCH($H156,LevelList,0))+INDEX(LevelTransport,MATCH($H156,LevelList,0))+INDEX(LevelBasic,MATCH($H156,LevelList,0))*INDEX(LevelBonus,MATCH($H156,LevelList,0))+(INDEX(LevelBasic,MATCH($H156,LevelList,0))+INDEX(LevelHousing,MATCH($H156,LevelList,0)))*GosiSaudi,0))</f>
        <v>0</v>
      </c>
      <c r="W156" s="35" t="n">
        <f aca="false">IFERROR(INDEX(LevelOneOff,MATCH($H156,LevelList,0)),0)</f>
        <v>0</v>
      </c>
      <c r="X156" s="35" t="str">
        <f aca="false">IF($G156="","",$V156*N($L156))</f>
        <v/>
      </c>
      <c r="Y156" s="35" t="str">
        <f aca="false">IF($G156="","",$V156*(N($M156)*1+N($N156)*0.75+N($O156)*0.5+N($P156)*0.25)+$W156*N($L156))</f>
        <v/>
      </c>
      <c r="Z156" s="35" t="str">
        <f aca="false">IF($G156="","",$U156*1000000+ROW())</f>
        <v/>
      </c>
      <c r="AA156" s="36" t="str">
        <f aca="false">IF($G156="","",MID(IF($C156="",", no division","")&amp;IF($E156="",", no unit","")&amp;IF($H156="",", no career level","")&amp;IF(N($L156)&lt;=0,", no quarter split","")&amp;IF($R156="",", no driver","")&amp;IF(AND($H156&lt;&gt;"",COUNTIF(CareerLevels,$H156)=0),", a career level that is not on the ladder","")&amp;IF(AND($R156&lt;&gt;"",COUNTIF(DriverList,$R156)=0),", a driver that is not on the list","")&amp;IF(ABS(N($L156)-(N($M156)+N($N156)+N($O156)+N($P156)))&gt;0.001,", a total that does not match its quarters",""),3,300))</f>
        <v/>
      </c>
    </row>
    <row r="157" customFormat="false" ht="15" hidden="false" customHeight="false" outlineLevel="0" collapsed="false">
      <c r="A157" s="33" t="str">
        <f aca="false">IF($G157="","","CEO Office")</f>
        <v/>
      </c>
      <c r="B157" s="19"/>
      <c r="C157" s="19"/>
      <c r="D157" s="19"/>
      <c r="E157" s="19"/>
      <c r="F157" s="19"/>
      <c r="G157" s="19"/>
      <c r="H157" s="19"/>
      <c r="I157" s="19"/>
      <c r="J157" s="19"/>
      <c r="K157" s="19"/>
      <c r="L157" s="19"/>
      <c r="M157" s="19"/>
      <c r="N157" s="19"/>
      <c r="O157" s="19"/>
      <c r="P157" s="19"/>
      <c r="Q157" s="19"/>
      <c r="R157" s="19"/>
      <c r="S157" s="19"/>
      <c r="T157" s="34" t="str">
        <f aca="false">IF($R157="","",IFERROR(INDEX(DriverCategory,MATCH($R157,DriverList,0)),"BAU"))</f>
        <v/>
      </c>
      <c r="U157" s="34" t="str">
        <f aca="false">IF($R157="","",IFERROR(INDEX(DriverRank,MATCH($R157,DriverList,0)),99))</f>
        <v/>
      </c>
      <c r="V157" s="35" t="n">
        <f aca="false">IF($H157="",0,IFERROR(INDEX(LevelBasic,MATCH($H157,LevelList,0))+INDEX(LevelHousing,MATCH($H157,LevelList,0))+INDEX(LevelTransport,MATCH($H157,LevelList,0))+INDEX(LevelBasic,MATCH($H157,LevelList,0))*INDEX(LevelBonus,MATCH($H157,LevelList,0))+(INDEX(LevelBasic,MATCH($H157,LevelList,0))+INDEX(LevelHousing,MATCH($H157,LevelList,0)))*GosiSaudi,0))</f>
        <v>0</v>
      </c>
      <c r="W157" s="35" t="n">
        <f aca="false">IFERROR(INDEX(LevelOneOff,MATCH($H157,LevelList,0)),0)</f>
        <v>0</v>
      </c>
      <c r="X157" s="35" t="str">
        <f aca="false">IF($G157="","",$V157*N($L157))</f>
        <v/>
      </c>
      <c r="Y157" s="35" t="str">
        <f aca="false">IF($G157="","",$V157*(N($M157)*1+N($N157)*0.75+N($O157)*0.5+N($P157)*0.25)+$W157*N($L157))</f>
        <v/>
      </c>
      <c r="Z157" s="35" t="str">
        <f aca="false">IF($G157="","",$U157*1000000+ROW())</f>
        <v/>
      </c>
      <c r="AA157" s="36" t="str">
        <f aca="false">IF($G157="","",MID(IF($C157="",", no division","")&amp;IF($E157="",", no unit","")&amp;IF($H157="",", no career level","")&amp;IF(N($L157)&lt;=0,", no quarter split","")&amp;IF($R157="",", no driver","")&amp;IF(AND($H157&lt;&gt;"",COUNTIF(CareerLevels,$H157)=0),", a career level that is not on the ladder","")&amp;IF(AND($R157&lt;&gt;"",COUNTIF(DriverList,$R157)=0),", a driver that is not on the list","")&amp;IF(ABS(N($L157)-(N($M157)+N($N157)+N($O157)+N($P157)))&gt;0.001,", a total that does not match its quarters",""),3,300))</f>
        <v/>
      </c>
    </row>
    <row r="158" customFormat="false" ht="15" hidden="false" customHeight="false" outlineLevel="0" collapsed="false">
      <c r="A158" s="33" t="str">
        <f aca="false">IF($G158="","","CEO Office")</f>
        <v/>
      </c>
      <c r="B158" s="19"/>
      <c r="C158" s="19"/>
      <c r="D158" s="19"/>
      <c r="E158" s="19"/>
      <c r="F158" s="19"/>
      <c r="G158" s="19"/>
      <c r="H158" s="19"/>
      <c r="I158" s="19"/>
      <c r="J158" s="19"/>
      <c r="K158" s="19"/>
      <c r="L158" s="19"/>
      <c r="M158" s="19"/>
      <c r="N158" s="19"/>
      <c r="O158" s="19"/>
      <c r="P158" s="19"/>
      <c r="Q158" s="19"/>
      <c r="R158" s="19"/>
      <c r="S158" s="19"/>
      <c r="T158" s="34" t="str">
        <f aca="false">IF($R158="","",IFERROR(INDEX(DriverCategory,MATCH($R158,DriverList,0)),"BAU"))</f>
        <v/>
      </c>
      <c r="U158" s="34" t="str">
        <f aca="false">IF($R158="","",IFERROR(INDEX(DriverRank,MATCH($R158,DriverList,0)),99))</f>
        <v/>
      </c>
      <c r="V158" s="35" t="n">
        <f aca="false">IF($H158="",0,IFERROR(INDEX(LevelBasic,MATCH($H158,LevelList,0))+INDEX(LevelHousing,MATCH($H158,LevelList,0))+INDEX(LevelTransport,MATCH($H158,LevelList,0))+INDEX(LevelBasic,MATCH($H158,LevelList,0))*INDEX(LevelBonus,MATCH($H158,LevelList,0))+(INDEX(LevelBasic,MATCH($H158,LevelList,0))+INDEX(LevelHousing,MATCH($H158,LevelList,0)))*GosiSaudi,0))</f>
        <v>0</v>
      </c>
      <c r="W158" s="35" t="n">
        <f aca="false">IFERROR(INDEX(LevelOneOff,MATCH($H158,LevelList,0)),0)</f>
        <v>0</v>
      </c>
      <c r="X158" s="35" t="str">
        <f aca="false">IF($G158="","",$V158*N($L158))</f>
        <v/>
      </c>
      <c r="Y158" s="35" t="str">
        <f aca="false">IF($G158="","",$V158*(N($M158)*1+N($N158)*0.75+N($O158)*0.5+N($P158)*0.25)+$W158*N($L158))</f>
        <v/>
      </c>
      <c r="Z158" s="35" t="str">
        <f aca="false">IF($G158="","",$U158*1000000+ROW())</f>
        <v/>
      </c>
      <c r="AA158" s="36" t="str">
        <f aca="false">IF($G158="","",MID(IF($C158="",", no division","")&amp;IF($E158="",", no unit","")&amp;IF($H158="",", no career level","")&amp;IF(N($L158)&lt;=0,", no quarter split","")&amp;IF($R158="",", no driver","")&amp;IF(AND($H158&lt;&gt;"",COUNTIF(CareerLevels,$H158)=0),", a career level that is not on the ladder","")&amp;IF(AND($R158&lt;&gt;"",COUNTIF(DriverList,$R158)=0),", a driver that is not on the list","")&amp;IF(ABS(N($L158)-(N($M158)+N($N158)+N($O158)+N($P158)))&gt;0.001,", a total that does not match its quarters",""),3,300))</f>
        <v/>
      </c>
    </row>
    <row r="159" customFormat="false" ht="15" hidden="false" customHeight="false" outlineLevel="0" collapsed="false">
      <c r="A159" s="33" t="str">
        <f aca="false">IF($G159="","","CEO Office")</f>
        <v/>
      </c>
      <c r="B159" s="19"/>
      <c r="C159" s="19"/>
      <c r="D159" s="19"/>
      <c r="E159" s="19"/>
      <c r="F159" s="19"/>
      <c r="G159" s="19"/>
      <c r="H159" s="19"/>
      <c r="I159" s="19"/>
      <c r="J159" s="19"/>
      <c r="K159" s="19"/>
      <c r="L159" s="19"/>
      <c r="M159" s="19"/>
      <c r="N159" s="19"/>
      <c r="O159" s="19"/>
      <c r="P159" s="19"/>
      <c r="Q159" s="19"/>
      <c r="R159" s="19"/>
      <c r="S159" s="19"/>
      <c r="T159" s="34" t="str">
        <f aca="false">IF($R159="","",IFERROR(INDEX(DriverCategory,MATCH($R159,DriverList,0)),"BAU"))</f>
        <v/>
      </c>
      <c r="U159" s="34" t="str">
        <f aca="false">IF($R159="","",IFERROR(INDEX(DriverRank,MATCH($R159,DriverList,0)),99))</f>
        <v/>
      </c>
      <c r="V159" s="35" t="n">
        <f aca="false">IF($H159="",0,IFERROR(INDEX(LevelBasic,MATCH($H159,LevelList,0))+INDEX(LevelHousing,MATCH($H159,LevelList,0))+INDEX(LevelTransport,MATCH($H159,LevelList,0))+INDEX(LevelBasic,MATCH($H159,LevelList,0))*INDEX(LevelBonus,MATCH($H159,LevelList,0))+(INDEX(LevelBasic,MATCH($H159,LevelList,0))+INDEX(LevelHousing,MATCH($H159,LevelList,0)))*GosiSaudi,0))</f>
        <v>0</v>
      </c>
      <c r="W159" s="35" t="n">
        <f aca="false">IFERROR(INDEX(LevelOneOff,MATCH($H159,LevelList,0)),0)</f>
        <v>0</v>
      </c>
      <c r="X159" s="35" t="str">
        <f aca="false">IF($G159="","",$V159*N($L159))</f>
        <v/>
      </c>
      <c r="Y159" s="35" t="str">
        <f aca="false">IF($G159="","",$V159*(N($M159)*1+N($N159)*0.75+N($O159)*0.5+N($P159)*0.25)+$W159*N($L159))</f>
        <v/>
      </c>
      <c r="Z159" s="35" t="str">
        <f aca="false">IF($G159="","",$U159*1000000+ROW())</f>
        <v/>
      </c>
      <c r="AA159" s="36" t="str">
        <f aca="false">IF($G159="","",MID(IF($C159="",", no division","")&amp;IF($E159="",", no unit","")&amp;IF($H159="",", no career level","")&amp;IF(N($L159)&lt;=0,", no quarter split","")&amp;IF($R159="",", no driver","")&amp;IF(AND($H159&lt;&gt;"",COUNTIF(CareerLevels,$H159)=0),", a career level that is not on the ladder","")&amp;IF(AND($R159&lt;&gt;"",COUNTIF(DriverList,$R159)=0),", a driver that is not on the list","")&amp;IF(ABS(N($L159)-(N($M159)+N($N159)+N($O159)+N($P159)))&gt;0.001,", a total that does not match its quarters",""),3,300))</f>
        <v/>
      </c>
    </row>
    <row r="160" customFormat="false" ht="15" hidden="false" customHeight="false" outlineLevel="0" collapsed="false">
      <c r="A160" s="33" t="str">
        <f aca="false">IF($G160="","","CEO Office")</f>
        <v/>
      </c>
      <c r="B160" s="19"/>
      <c r="C160" s="19"/>
      <c r="D160" s="19"/>
      <c r="E160" s="19"/>
      <c r="F160" s="19"/>
      <c r="G160" s="19"/>
      <c r="H160" s="19"/>
      <c r="I160" s="19"/>
      <c r="J160" s="19"/>
      <c r="K160" s="19"/>
      <c r="L160" s="19"/>
      <c r="M160" s="19"/>
      <c r="N160" s="19"/>
      <c r="O160" s="19"/>
      <c r="P160" s="19"/>
      <c r="Q160" s="19"/>
      <c r="R160" s="19"/>
      <c r="S160" s="19"/>
      <c r="T160" s="34" t="str">
        <f aca="false">IF($R160="","",IFERROR(INDEX(DriverCategory,MATCH($R160,DriverList,0)),"BAU"))</f>
        <v/>
      </c>
      <c r="U160" s="34" t="str">
        <f aca="false">IF($R160="","",IFERROR(INDEX(DriverRank,MATCH($R160,DriverList,0)),99))</f>
        <v/>
      </c>
      <c r="V160" s="35" t="n">
        <f aca="false">IF($H160="",0,IFERROR(INDEX(LevelBasic,MATCH($H160,LevelList,0))+INDEX(LevelHousing,MATCH($H160,LevelList,0))+INDEX(LevelTransport,MATCH($H160,LevelList,0))+INDEX(LevelBasic,MATCH($H160,LevelList,0))*INDEX(LevelBonus,MATCH($H160,LevelList,0))+(INDEX(LevelBasic,MATCH($H160,LevelList,0))+INDEX(LevelHousing,MATCH($H160,LevelList,0)))*GosiSaudi,0))</f>
        <v>0</v>
      </c>
      <c r="W160" s="35" t="n">
        <f aca="false">IFERROR(INDEX(LevelOneOff,MATCH($H160,LevelList,0)),0)</f>
        <v>0</v>
      </c>
      <c r="X160" s="35" t="str">
        <f aca="false">IF($G160="","",$V160*N($L160))</f>
        <v/>
      </c>
      <c r="Y160" s="35" t="str">
        <f aca="false">IF($G160="","",$V160*(N($M160)*1+N($N160)*0.75+N($O160)*0.5+N($P160)*0.25)+$W160*N($L160))</f>
        <v/>
      </c>
      <c r="Z160" s="35" t="str">
        <f aca="false">IF($G160="","",$U160*1000000+ROW())</f>
        <v/>
      </c>
      <c r="AA160" s="36" t="str">
        <f aca="false">IF($G160="","",MID(IF($C160="",", no division","")&amp;IF($E160="",", no unit","")&amp;IF($H160="",", no career level","")&amp;IF(N($L160)&lt;=0,", no quarter split","")&amp;IF($R160="",", no driver","")&amp;IF(AND($H160&lt;&gt;"",COUNTIF(CareerLevels,$H160)=0),", a career level that is not on the ladder","")&amp;IF(AND($R160&lt;&gt;"",COUNTIF(DriverList,$R160)=0),", a driver that is not on the list","")&amp;IF(ABS(N($L160)-(N($M160)+N($N160)+N($O160)+N($P160)))&gt;0.001,", a total that does not match its quarters",""),3,300))</f>
        <v/>
      </c>
    </row>
    <row r="161" customFormat="false" ht="15" hidden="false" customHeight="false" outlineLevel="0" collapsed="false">
      <c r="A161" s="33" t="str">
        <f aca="false">IF($G161="","","CEO Office")</f>
        <v/>
      </c>
      <c r="B161" s="19"/>
      <c r="C161" s="19"/>
      <c r="D161" s="19"/>
      <c r="E161" s="19"/>
      <c r="F161" s="19"/>
      <c r="G161" s="19"/>
      <c r="H161" s="19"/>
      <c r="I161" s="19"/>
      <c r="J161" s="19"/>
      <c r="K161" s="19"/>
      <c r="L161" s="19"/>
      <c r="M161" s="19"/>
      <c r="N161" s="19"/>
      <c r="O161" s="19"/>
      <c r="P161" s="19"/>
      <c r="Q161" s="19"/>
      <c r="R161" s="19"/>
      <c r="S161" s="19"/>
      <c r="T161" s="34" t="str">
        <f aca="false">IF($R161="","",IFERROR(INDEX(DriverCategory,MATCH($R161,DriverList,0)),"BAU"))</f>
        <v/>
      </c>
      <c r="U161" s="34" t="str">
        <f aca="false">IF($R161="","",IFERROR(INDEX(DriverRank,MATCH($R161,DriverList,0)),99))</f>
        <v/>
      </c>
      <c r="V161" s="35" t="n">
        <f aca="false">IF($H161="",0,IFERROR(INDEX(LevelBasic,MATCH($H161,LevelList,0))+INDEX(LevelHousing,MATCH($H161,LevelList,0))+INDEX(LevelTransport,MATCH($H161,LevelList,0))+INDEX(LevelBasic,MATCH($H161,LevelList,0))*INDEX(LevelBonus,MATCH($H161,LevelList,0))+(INDEX(LevelBasic,MATCH($H161,LevelList,0))+INDEX(LevelHousing,MATCH($H161,LevelList,0)))*GosiSaudi,0))</f>
        <v>0</v>
      </c>
      <c r="W161" s="35" t="n">
        <f aca="false">IFERROR(INDEX(LevelOneOff,MATCH($H161,LevelList,0)),0)</f>
        <v>0</v>
      </c>
      <c r="X161" s="35" t="str">
        <f aca="false">IF($G161="","",$V161*N($L161))</f>
        <v/>
      </c>
      <c r="Y161" s="35" t="str">
        <f aca="false">IF($G161="","",$V161*(N($M161)*1+N($N161)*0.75+N($O161)*0.5+N($P161)*0.25)+$W161*N($L161))</f>
        <v/>
      </c>
      <c r="Z161" s="35" t="str">
        <f aca="false">IF($G161="","",$U161*1000000+ROW())</f>
        <v/>
      </c>
      <c r="AA161" s="36" t="str">
        <f aca="false">IF($G161="","",MID(IF($C161="",", no division","")&amp;IF($E161="",", no unit","")&amp;IF($H161="",", no career level","")&amp;IF(N($L161)&lt;=0,", no quarter split","")&amp;IF($R161="",", no driver","")&amp;IF(AND($H161&lt;&gt;"",COUNTIF(CareerLevels,$H161)=0),", a career level that is not on the ladder","")&amp;IF(AND($R161&lt;&gt;"",COUNTIF(DriverList,$R161)=0),", a driver that is not on the list","")&amp;IF(ABS(N($L161)-(N($M161)+N($N161)+N($O161)+N($P161)))&gt;0.001,", a total that does not match its quarters",""),3,300))</f>
        <v/>
      </c>
    </row>
    <row r="162" customFormat="false" ht="15" hidden="false" customHeight="false" outlineLevel="0" collapsed="false">
      <c r="A162" s="33" t="str">
        <f aca="false">IF($G162="","","CEO Office")</f>
        <v/>
      </c>
      <c r="B162" s="19"/>
      <c r="C162" s="19"/>
      <c r="D162" s="19"/>
      <c r="E162" s="19"/>
      <c r="F162" s="19"/>
      <c r="G162" s="19"/>
      <c r="H162" s="19"/>
      <c r="I162" s="19"/>
      <c r="J162" s="19"/>
      <c r="K162" s="19"/>
      <c r="L162" s="19"/>
      <c r="M162" s="19"/>
      <c r="N162" s="19"/>
      <c r="O162" s="19"/>
      <c r="P162" s="19"/>
      <c r="Q162" s="19"/>
      <c r="R162" s="19"/>
      <c r="S162" s="19"/>
      <c r="T162" s="34" t="str">
        <f aca="false">IF($R162="","",IFERROR(INDEX(DriverCategory,MATCH($R162,DriverList,0)),"BAU"))</f>
        <v/>
      </c>
      <c r="U162" s="34" t="str">
        <f aca="false">IF($R162="","",IFERROR(INDEX(DriverRank,MATCH($R162,DriverList,0)),99))</f>
        <v/>
      </c>
      <c r="V162" s="35" t="n">
        <f aca="false">IF($H162="",0,IFERROR(INDEX(LevelBasic,MATCH($H162,LevelList,0))+INDEX(LevelHousing,MATCH($H162,LevelList,0))+INDEX(LevelTransport,MATCH($H162,LevelList,0))+INDEX(LevelBasic,MATCH($H162,LevelList,0))*INDEX(LevelBonus,MATCH($H162,LevelList,0))+(INDEX(LevelBasic,MATCH($H162,LevelList,0))+INDEX(LevelHousing,MATCH($H162,LevelList,0)))*GosiSaudi,0))</f>
        <v>0</v>
      </c>
      <c r="W162" s="35" t="n">
        <f aca="false">IFERROR(INDEX(LevelOneOff,MATCH($H162,LevelList,0)),0)</f>
        <v>0</v>
      </c>
      <c r="X162" s="35" t="str">
        <f aca="false">IF($G162="","",$V162*N($L162))</f>
        <v/>
      </c>
      <c r="Y162" s="35" t="str">
        <f aca="false">IF($G162="","",$V162*(N($M162)*1+N($N162)*0.75+N($O162)*0.5+N($P162)*0.25)+$W162*N($L162))</f>
        <v/>
      </c>
      <c r="Z162" s="35" t="str">
        <f aca="false">IF($G162="","",$U162*1000000+ROW())</f>
        <v/>
      </c>
      <c r="AA162" s="36" t="str">
        <f aca="false">IF($G162="","",MID(IF($C162="",", no division","")&amp;IF($E162="",", no unit","")&amp;IF($H162="",", no career level","")&amp;IF(N($L162)&lt;=0,", no quarter split","")&amp;IF($R162="",", no driver","")&amp;IF(AND($H162&lt;&gt;"",COUNTIF(CareerLevels,$H162)=0),", a career level that is not on the ladder","")&amp;IF(AND($R162&lt;&gt;"",COUNTIF(DriverList,$R162)=0),", a driver that is not on the list","")&amp;IF(ABS(N($L162)-(N($M162)+N($N162)+N($O162)+N($P162)))&gt;0.001,", a total that does not match its quarters",""),3,300))</f>
        <v/>
      </c>
    </row>
    <row r="163" customFormat="false" ht="15" hidden="false" customHeight="false" outlineLevel="0" collapsed="false">
      <c r="A163" s="33" t="str">
        <f aca="false">IF($G163="","","CEO Office")</f>
        <v/>
      </c>
      <c r="B163" s="19"/>
      <c r="C163" s="19"/>
      <c r="D163" s="19"/>
      <c r="E163" s="19"/>
      <c r="F163" s="19"/>
      <c r="G163" s="19"/>
      <c r="H163" s="19"/>
      <c r="I163" s="19"/>
      <c r="J163" s="19"/>
      <c r="K163" s="19"/>
      <c r="L163" s="19"/>
      <c r="M163" s="19"/>
      <c r="N163" s="19"/>
      <c r="O163" s="19"/>
      <c r="P163" s="19"/>
      <c r="Q163" s="19"/>
      <c r="R163" s="19"/>
      <c r="S163" s="19"/>
      <c r="T163" s="34" t="str">
        <f aca="false">IF($R163="","",IFERROR(INDEX(DriverCategory,MATCH($R163,DriverList,0)),"BAU"))</f>
        <v/>
      </c>
      <c r="U163" s="34" t="str">
        <f aca="false">IF($R163="","",IFERROR(INDEX(DriverRank,MATCH($R163,DriverList,0)),99))</f>
        <v/>
      </c>
      <c r="V163" s="35" t="n">
        <f aca="false">IF($H163="",0,IFERROR(INDEX(LevelBasic,MATCH($H163,LevelList,0))+INDEX(LevelHousing,MATCH($H163,LevelList,0))+INDEX(LevelTransport,MATCH($H163,LevelList,0))+INDEX(LevelBasic,MATCH($H163,LevelList,0))*INDEX(LevelBonus,MATCH($H163,LevelList,0))+(INDEX(LevelBasic,MATCH($H163,LevelList,0))+INDEX(LevelHousing,MATCH($H163,LevelList,0)))*GosiSaudi,0))</f>
        <v>0</v>
      </c>
      <c r="W163" s="35" t="n">
        <f aca="false">IFERROR(INDEX(LevelOneOff,MATCH($H163,LevelList,0)),0)</f>
        <v>0</v>
      </c>
      <c r="X163" s="35" t="str">
        <f aca="false">IF($G163="","",$V163*N($L163))</f>
        <v/>
      </c>
      <c r="Y163" s="35" t="str">
        <f aca="false">IF($G163="","",$V163*(N($M163)*1+N($N163)*0.75+N($O163)*0.5+N($P163)*0.25)+$W163*N($L163))</f>
        <v/>
      </c>
      <c r="Z163" s="35" t="str">
        <f aca="false">IF($G163="","",$U163*1000000+ROW())</f>
        <v/>
      </c>
      <c r="AA163" s="36" t="str">
        <f aca="false">IF($G163="","",MID(IF($C163="",", no division","")&amp;IF($E163="",", no unit","")&amp;IF($H163="",", no career level","")&amp;IF(N($L163)&lt;=0,", no quarter split","")&amp;IF($R163="",", no driver","")&amp;IF(AND($H163&lt;&gt;"",COUNTIF(CareerLevels,$H163)=0),", a career level that is not on the ladder","")&amp;IF(AND($R163&lt;&gt;"",COUNTIF(DriverList,$R163)=0),", a driver that is not on the list","")&amp;IF(ABS(N($L163)-(N($M163)+N($N163)+N($O163)+N($P163)))&gt;0.001,", a total that does not match its quarters",""),3,300))</f>
        <v/>
      </c>
    </row>
    <row r="164" customFormat="false" ht="15" hidden="false" customHeight="false" outlineLevel="0" collapsed="false">
      <c r="A164" s="33" t="str">
        <f aca="false">IF($G164="","","CEO Office")</f>
        <v/>
      </c>
      <c r="B164" s="19"/>
      <c r="C164" s="19"/>
      <c r="D164" s="19"/>
      <c r="E164" s="19"/>
      <c r="F164" s="19"/>
      <c r="G164" s="19"/>
      <c r="H164" s="19"/>
      <c r="I164" s="19"/>
      <c r="J164" s="19"/>
      <c r="K164" s="19"/>
      <c r="L164" s="19"/>
      <c r="M164" s="19"/>
      <c r="N164" s="19"/>
      <c r="O164" s="19"/>
      <c r="P164" s="19"/>
      <c r="Q164" s="19"/>
      <c r="R164" s="19"/>
      <c r="S164" s="19"/>
      <c r="T164" s="34" t="str">
        <f aca="false">IF($R164="","",IFERROR(INDEX(DriverCategory,MATCH($R164,DriverList,0)),"BAU"))</f>
        <v/>
      </c>
      <c r="U164" s="34" t="str">
        <f aca="false">IF($R164="","",IFERROR(INDEX(DriverRank,MATCH($R164,DriverList,0)),99))</f>
        <v/>
      </c>
      <c r="V164" s="35" t="n">
        <f aca="false">IF($H164="",0,IFERROR(INDEX(LevelBasic,MATCH($H164,LevelList,0))+INDEX(LevelHousing,MATCH($H164,LevelList,0))+INDEX(LevelTransport,MATCH($H164,LevelList,0))+INDEX(LevelBasic,MATCH($H164,LevelList,0))*INDEX(LevelBonus,MATCH($H164,LevelList,0))+(INDEX(LevelBasic,MATCH($H164,LevelList,0))+INDEX(LevelHousing,MATCH($H164,LevelList,0)))*GosiSaudi,0))</f>
        <v>0</v>
      </c>
      <c r="W164" s="35" t="n">
        <f aca="false">IFERROR(INDEX(LevelOneOff,MATCH($H164,LevelList,0)),0)</f>
        <v>0</v>
      </c>
      <c r="X164" s="35" t="str">
        <f aca="false">IF($G164="","",$V164*N($L164))</f>
        <v/>
      </c>
      <c r="Y164" s="35" t="str">
        <f aca="false">IF($G164="","",$V164*(N($M164)*1+N($N164)*0.75+N($O164)*0.5+N($P164)*0.25)+$W164*N($L164))</f>
        <v/>
      </c>
      <c r="Z164" s="35" t="str">
        <f aca="false">IF($G164="","",$U164*1000000+ROW())</f>
        <v/>
      </c>
      <c r="AA164" s="36" t="str">
        <f aca="false">IF($G164="","",MID(IF($C164="",", no division","")&amp;IF($E164="",", no unit","")&amp;IF($H164="",", no career level","")&amp;IF(N($L164)&lt;=0,", no quarter split","")&amp;IF($R164="",", no driver","")&amp;IF(AND($H164&lt;&gt;"",COUNTIF(CareerLevels,$H164)=0),", a career level that is not on the ladder","")&amp;IF(AND($R164&lt;&gt;"",COUNTIF(DriverList,$R164)=0),", a driver that is not on the list","")&amp;IF(ABS(N($L164)-(N($M164)+N($N164)+N($O164)+N($P164)))&gt;0.001,", a total that does not match its quarters",""),3,300))</f>
        <v/>
      </c>
    </row>
    <row r="165" customFormat="false" ht="15" hidden="false" customHeight="false" outlineLevel="0" collapsed="false">
      <c r="A165" s="33" t="str">
        <f aca="false">IF($G165="","","CEO Office")</f>
        <v/>
      </c>
      <c r="B165" s="19"/>
      <c r="C165" s="19"/>
      <c r="D165" s="19"/>
      <c r="E165" s="19"/>
      <c r="F165" s="19"/>
      <c r="G165" s="19"/>
      <c r="H165" s="19"/>
      <c r="I165" s="19"/>
      <c r="J165" s="19"/>
      <c r="K165" s="19"/>
      <c r="L165" s="19"/>
      <c r="M165" s="19"/>
      <c r="N165" s="19"/>
      <c r="O165" s="19"/>
      <c r="P165" s="19"/>
      <c r="Q165" s="19"/>
      <c r="R165" s="19"/>
      <c r="S165" s="19"/>
      <c r="T165" s="34" t="str">
        <f aca="false">IF($R165="","",IFERROR(INDEX(DriverCategory,MATCH($R165,DriverList,0)),"BAU"))</f>
        <v/>
      </c>
      <c r="U165" s="34" t="str">
        <f aca="false">IF($R165="","",IFERROR(INDEX(DriverRank,MATCH($R165,DriverList,0)),99))</f>
        <v/>
      </c>
      <c r="V165" s="35" t="n">
        <f aca="false">IF($H165="",0,IFERROR(INDEX(LevelBasic,MATCH($H165,LevelList,0))+INDEX(LevelHousing,MATCH($H165,LevelList,0))+INDEX(LevelTransport,MATCH($H165,LevelList,0))+INDEX(LevelBasic,MATCH($H165,LevelList,0))*INDEX(LevelBonus,MATCH($H165,LevelList,0))+(INDEX(LevelBasic,MATCH($H165,LevelList,0))+INDEX(LevelHousing,MATCH($H165,LevelList,0)))*GosiSaudi,0))</f>
        <v>0</v>
      </c>
      <c r="W165" s="35" t="n">
        <f aca="false">IFERROR(INDEX(LevelOneOff,MATCH($H165,LevelList,0)),0)</f>
        <v>0</v>
      </c>
      <c r="X165" s="35" t="str">
        <f aca="false">IF($G165="","",$V165*N($L165))</f>
        <v/>
      </c>
      <c r="Y165" s="35" t="str">
        <f aca="false">IF($G165="","",$V165*(N($M165)*1+N($N165)*0.75+N($O165)*0.5+N($P165)*0.25)+$W165*N($L165))</f>
        <v/>
      </c>
      <c r="Z165" s="35" t="str">
        <f aca="false">IF($G165="","",$U165*1000000+ROW())</f>
        <v/>
      </c>
      <c r="AA165" s="36" t="str">
        <f aca="false">IF($G165="","",MID(IF($C165="",", no division","")&amp;IF($E165="",", no unit","")&amp;IF($H165="",", no career level","")&amp;IF(N($L165)&lt;=0,", no quarter split","")&amp;IF($R165="",", no driver","")&amp;IF(AND($H165&lt;&gt;"",COUNTIF(CareerLevels,$H165)=0),", a career level that is not on the ladder","")&amp;IF(AND($R165&lt;&gt;"",COUNTIF(DriverList,$R165)=0),", a driver that is not on the list","")&amp;IF(ABS(N($L165)-(N($M165)+N($N165)+N($O165)+N($P165)))&gt;0.001,", a total that does not match its quarters",""),3,300))</f>
        <v/>
      </c>
    </row>
    <row r="166" customFormat="false" ht="15" hidden="false" customHeight="false" outlineLevel="0" collapsed="false">
      <c r="A166" s="33" t="str">
        <f aca="false">IF($G166="","","CEO Office")</f>
        <v/>
      </c>
      <c r="B166" s="19"/>
      <c r="C166" s="19"/>
      <c r="D166" s="19"/>
      <c r="E166" s="19"/>
      <c r="F166" s="19"/>
      <c r="G166" s="19"/>
      <c r="H166" s="19"/>
      <c r="I166" s="19"/>
      <c r="J166" s="19"/>
      <c r="K166" s="19"/>
      <c r="L166" s="19"/>
      <c r="M166" s="19"/>
      <c r="N166" s="19"/>
      <c r="O166" s="19"/>
      <c r="P166" s="19"/>
      <c r="Q166" s="19"/>
      <c r="R166" s="19"/>
      <c r="S166" s="19"/>
      <c r="T166" s="34" t="str">
        <f aca="false">IF($R166="","",IFERROR(INDEX(DriverCategory,MATCH($R166,DriverList,0)),"BAU"))</f>
        <v/>
      </c>
      <c r="U166" s="34" t="str">
        <f aca="false">IF($R166="","",IFERROR(INDEX(DriverRank,MATCH($R166,DriverList,0)),99))</f>
        <v/>
      </c>
      <c r="V166" s="35" t="n">
        <f aca="false">IF($H166="",0,IFERROR(INDEX(LevelBasic,MATCH($H166,LevelList,0))+INDEX(LevelHousing,MATCH($H166,LevelList,0))+INDEX(LevelTransport,MATCH($H166,LevelList,0))+INDEX(LevelBasic,MATCH($H166,LevelList,0))*INDEX(LevelBonus,MATCH($H166,LevelList,0))+(INDEX(LevelBasic,MATCH($H166,LevelList,0))+INDEX(LevelHousing,MATCH($H166,LevelList,0)))*GosiSaudi,0))</f>
        <v>0</v>
      </c>
      <c r="W166" s="35" t="n">
        <f aca="false">IFERROR(INDEX(LevelOneOff,MATCH($H166,LevelList,0)),0)</f>
        <v>0</v>
      </c>
      <c r="X166" s="35" t="str">
        <f aca="false">IF($G166="","",$V166*N($L166))</f>
        <v/>
      </c>
      <c r="Y166" s="35" t="str">
        <f aca="false">IF($G166="","",$V166*(N($M166)*1+N($N166)*0.75+N($O166)*0.5+N($P166)*0.25)+$W166*N($L166))</f>
        <v/>
      </c>
      <c r="Z166" s="35" t="str">
        <f aca="false">IF($G166="","",$U166*1000000+ROW())</f>
        <v/>
      </c>
      <c r="AA166" s="36" t="str">
        <f aca="false">IF($G166="","",MID(IF($C166="",", no division","")&amp;IF($E166="",", no unit","")&amp;IF($H166="",", no career level","")&amp;IF(N($L166)&lt;=0,", no quarter split","")&amp;IF($R166="",", no driver","")&amp;IF(AND($H166&lt;&gt;"",COUNTIF(CareerLevels,$H166)=0),", a career level that is not on the ladder","")&amp;IF(AND($R166&lt;&gt;"",COUNTIF(DriverList,$R166)=0),", a driver that is not on the list","")&amp;IF(ABS(N($L166)-(N($M166)+N($N166)+N($O166)+N($P166)))&gt;0.001,", a total that does not match its quarters",""),3,300))</f>
        <v/>
      </c>
    </row>
    <row r="167" customFormat="false" ht="15" hidden="false" customHeight="false" outlineLevel="0" collapsed="false">
      <c r="A167" s="33" t="str">
        <f aca="false">IF($G167="","","CEO Office")</f>
        <v/>
      </c>
      <c r="B167" s="19"/>
      <c r="C167" s="19"/>
      <c r="D167" s="19"/>
      <c r="E167" s="19"/>
      <c r="F167" s="19"/>
      <c r="G167" s="19"/>
      <c r="H167" s="19"/>
      <c r="I167" s="19"/>
      <c r="J167" s="19"/>
      <c r="K167" s="19"/>
      <c r="L167" s="19"/>
      <c r="M167" s="19"/>
      <c r="N167" s="19"/>
      <c r="O167" s="19"/>
      <c r="P167" s="19"/>
      <c r="Q167" s="19"/>
      <c r="R167" s="19"/>
      <c r="S167" s="19"/>
      <c r="T167" s="34" t="str">
        <f aca="false">IF($R167="","",IFERROR(INDEX(DriverCategory,MATCH($R167,DriverList,0)),"BAU"))</f>
        <v/>
      </c>
      <c r="U167" s="34" t="str">
        <f aca="false">IF($R167="","",IFERROR(INDEX(DriverRank,MATCH($R167,DriverList,0)),99))</f>
        <v/>
      </c>
      <c r="V167" s="35" t="n">
        <f aca="false">IF($H167="",0,IFERROR(INDEX(LevelBasic,MATCH($H167,LevelList,0))+INDEX(LevelHousing,MATCH($H167,LevelList,0))+INDEX(LevelTransport,MATCH($H167,LevelList,0))+INDEX(LevelBasic,MATCH($H167,LevelList,0))*INDEX(LevelBonus,MATCH($H167,LevelList,0))+(INDEX(LevelBasic,MATCH($H167,LevelList,0))+INDEX(LevelHousing,MATCH($H167,LevelList,0)))*GosiSaudi,0))</f>
        <v>0</v>
      </c>
      <c r="W167" s="35" t="n">
        <f aca="false">IFERROR(INDEX(LevelOneOff,MATCH($H167,LevelList,0)),0)</f>
        <v>0</v>
      </c>
      <c r="X167" s="35" t="str">
        <f aca="false">IF($G167="","",$V167*N($L167))</f>
        <v/>
      </c>
      <c r="Y167" s="35" t="str">
        <f aca="false">IF($G167="","",$V167*(N($M167)*1+N($N167)*0.75+N($O167)*0.5+N($P167)*0.25)+$W167*N($L167))</f>
        <v/>
      </c>
      <c r="Z167" s="35" t="str">
        <f aca="false">IF($G167="","",$U167*1000000+ROW())</f>
        <v/>
      </c>
      <c r="AA167" s="36" t="str">
        <f aca="false">IF($G167="","",MID(IF($C167="",", no division","")&amp;IF($E167="",", no unit","")&amp;IF($H167="",", no career level","")&amp;IF(N($L167)&lt;=0,", no quarter split","")&amp;IF($R167="",", no driver","")&amp;IF(AND($H167&lt;&gt;"",COUNTIF(CareerLevels,$H167)=0),", a career level that is not on the ladder","")&amp;IF(AND($R167&lt;&gt;"",COUNTIF(DriverList,$R167)=0),", a driver that is not on the list","")&amp;IF(ABS(N($L167)-(N($M167)+N($N167)+N($O167)+N($P167)))&gt;0.001,", a total that does not match its quarters",""),3,300))</f>
        <v/>
      </c>
    </row>
    <row r="168" customFormat="false" ht="15" hidden="false" customHeight="false" outlineLevel="0" collapsed="false">
      <c r="A168" s="33" t="str">
        <f aca="false">IF($G168="","","CEO Office")</f>
        <v/>
      </c>
      <c r="B168" s="19"/>
      <c r="C168" s="19"/>
      <c r="D168" s="19"/>
      <c r="E168" s="19"/>
      <c r="F168" s="19"/>
      <c r="G168" s="19"/>
      <c r="H168" s="19"/>
      <c r="I168" s="19"/>
      <c r="J168" s="19"/>
      <c r="K168" s="19"/>
      <c r="L168" s="19"/>
      <c r="M168" s="19"/>
      <c r="N168" s="19"/>
      <c r="O168" s="19"/>
      <c r="P168" s="19"/>
      <c r="Q168" s="19"/>
      <c r="R168" s="19"/>
      <c r="S168" s="19"/>
      <c r="T168" s="34" t="str">
        <f aca="false">IF($R168="","",IFERROR(INDEX(DriverCategory,MATCH($R168,DriverList,0)),"BAU"))</f>
        <v/>
      </c>
      <c r="U168" s="34" t="str">
        <f aca="false">IF($R168="","",IFERROR(INDEX(DriverRank,MATCH($R168,DriverList,0)),99))</f>
        <v/>
      </c>
      <c r="V168" s="35" t="n">
        <f aca="false">IF($H168="",0,IFERROR(INDEX(LevelBasic,MATCH($H168,LevelList,0))+INDEX(LevelHousing,MATCH($H168,LevelList,0))+INDEX(LevelTransport,MATCH($H168,LevelList,0))+INDEX(LevelBasic,MATCH($H168,LevelList,0))*INDEX(LevelBonus,MATCH($H168,LevelList,0))+(INDEX(LevelBasic,MATCH($H168,LevelList,0))+INDEX(LevelHousing,MATCH($H168,LevelList,0)))*GosiSaudi,0))</f>
        <v>0</v>
      </c>
      <c r="W168" s="35" t="n">
        <f aca="false">IFERROR(INDEX(LevelOneOff,MATCH($H168,LevelList,0)),0)</f>
        <v>0</v>
      </c>
      <c r="X168" s="35" t="str">
        <f aca="false">IF($G168="","",$V168*N($L168))</f>
        <v/>
      </c>
      <c r="Y168" s="35" t="str">
        <f aca="false">IF($G168="","",$V168*(N($M168)*1+N($N168)*0.75+N($O168)*0.5+N($P168)*0.25)+$W168*N($L168))</f>
        <v/>
      </c>
      <c r="Z168" s="35" t="str">
        <f aca="false">IF($G168="","",$U168*1000000+ROW())</f>
        <v/>
      </c>
      <c r="AA168" s="36" t="str">
        <f aca="false">IF($G168="","",MID(IF($C168="",", no division","")&amp;IF($E168="",", no unit","")&amp;IF($H168="",", no career level","")&amp;IF(N($L168)&lt;=0,", no quarter split","")&amp;IF($R168="",", no driver","")&amp;IF(AND($H168&lt;&gt;"",COUNTIF(CareerLevels,$H168)=0),", a career level that is not on the ladder","")&amp;IF(AND($R168&lt;&gt;"",COUNTIF(DriverList,$R168)=0),", a driver that is not on the list","")&amp;IF(ABS(N($L168)-(N($M168)+N($N168)+N($O168)+N($P168)))&gt;0.001,", a total that does not match its quarters",""),3,300))</f>
        <v/>
      </c>
    </row>
    <row r="169" customFormat="false" ht="15" hidden="false" customHeight="false" outlineLevel="0" collapsed="false">
      <c r="A169" s="33" t="str">
        <f aca="false">IF($G169="","","CEO Office")</f>
        <v/>
      </c>
      <c r="B169" s="19"/>
      <c r="C169" s="19"/>
      <c r="D169" s="19"/>
      <c r="E169" s="19"/>
      <c r="F169" s="19"/>
      <c r="G169" s="19"/>
      <c r="H169" s="19"/>
      <c r="I169" s="19"/>
      <c r="J169" s="19"/>
      <c r="K169" s="19"/>
      <c r="L169" s="19"/>
      <c r="M169" s="19"/>
      <c r="N169" s="19"/>
      <c r="O169" s="19"/>
      <c r="P169" s="19"/>
      <c r="Q169" s="19"/>
      <c r="R169" s="19"/>
      <c r="S169" s="19"/>
      <c r="T169" s="34" t="str">
        <f aca="false">IF($R169="","",IFERROR(INDEX(DriverCategory,MATCH($R169,DriverList,0)),"BAU"))</f>
        <v/>
      </c>
      <c r="U169" s="34" t="str">
        <f aca="false">IF($R169="","",IFERROR(INDEX(DriverRank,MATCH($R169,DriverList,0)),99))</f>
        <v/>
      </c>
      <c r="V169" s="35" t="n">
        <f aca="false">IF($H169="",0,IFERROR(INDEX(LevelBasic,MATCH($H169,LevelList,0))+INDEX(LevelHousing,MATCH($H169,LevelList,0))+INDEX(LevelTransport,MATCH($H169,LevelList,0))+INDEX(LevelBasic,MATCH($H169,LevelList,0))*INDEX(LevelBonus,MATCH($H169,LevelList,0))+(INDEX(LevelBasic,MATCH($H169,LevelList,0))+INDEX(LevelHousing,MATCH($H169,LevelList,0)))*GosiSaudi,0))</f>
        <v>0</v>
      </c>
      <c r="W169" s="35" t="n">
        <f aca="false">IFERROR(INDEX(LevelOneOff,MATCH($H169,LevelList,0)),0)</f>
        <v>0</v>
      </c>
      <c r="X169" s="35" t="str">
        <f aca="false">IF($G169="","",$V169*N($L169))</f>
        <v/>
      </c>
      <c r="Y169" s="35" t="str">
        <f aca="false">IF($G169="","",$V169*(N($M169)*1+N($N169)*0.75+N($O169)*0.5+N($P169)*0.25)+$W169*N($L169))</f>
        <v/>
      </c>
      <c r="Z169" s="35" t="str">
        <f aca="false">IF($G169="","",$U169*1000000+ROW())</f>
        <v/>
      </c>
      <c r="AA169" s="36" t="str">
        <f aca="false">IF($G169="","",MID(IF($C169="",", no division","")&amp;IF($E169="",", no unit","")&amp;IF($H169="",", no career level","")&amp;IF(N($L169)&lt;=0,", no quarter split","")&amp;IF($R169="",", no driver","")&amp;IF(AND($H169&lt;&gt;"",COUNTIF(CareerLevels,$H169)=0),", a career level that is not on the ladder","")&amp;IF(AND($R169&lt;&gt;"",COUNTIF(DriverList,$R169)=0),", a driver that is not on the list","")&amp;IF(ABS(N($L169)-(N($M169)+N($N169)+N($O169)+N($P169)))&gt;0.001,", a total that does not match its quarters",""),3,300))</f>
        <v/>
      </c>
    </row>
    <row r="170" customFormat="false" ht="15" hidden="false" customHeight="false" outlineLevel="0" collapsed="false">
      <c r="A170" s="33" t="str">
        <f aca="false">IF($G170="","","CEO Office")</f>
        <v/>
      </c>
      <c r="B170" s="19"/>
      <c r="C170" s="19"/>
      <c r="D170" s="19"/>
      <c r="E170" s="19"/>
      <c r="F170" s="19"/>
      <c r="G170" s="19"/>
      <c r="H170" s="19"/>
      <c r="I170" s="19"/>
      <c r="J170" s="19"/>
      <c r="K170" s="19"/>
      <c r="L170" s="19"/>
      <c r="M170" s="19"/>
      <c r="N170" s="19"/>
      <c r="O170" s="19"/>
      <c r="P170" s="19"/>
      <c r="Q170" s="19"/>
      <c r="R170" s="19"/>
      <c r="S170" s="19"/>
      <c r="T170" s="34" t="str">
        <f aca="false">IF($R170="","",IFERROR(INDEX(DriverCategory,MATCH($R170,DriverList,0)),"BAU"))</f>
        <v/>
      </c>
      <c r="U170" s="34" t="str">
        <f aca="false">IF($R170="","",IFERROR(INDEX(DriverRank,MATCH($R170,DriverList,0)),99))</f>
        <v/>
      </c>
      <c r="V170" s="35" t="n">
        <f aca="false">IF($H170="",0,IFERROR(INDEX(LevelBasic,MATCH($H170,LevelList,0))+INDEX(LevelHousing,MATCH($H170,LevelList,0))+INDEX(LevelTransport,MATCH($H170,LevelList,0))+INDEX(LevelBasic,MATCH($H170,LevelList,0))*INDEX(LevelBonus,MATCH($H170,LevelList,0))+(INDEX(LevelBasic,MATCH($H170,LevelList,0))+INDEX(LevelHousing,MATCH($H170,LevelList,0)))*GosiSaudi,0))</f>
        <v>0</v>
      </c>
      <c r="W170" s="35" t="n">
        <f aca="false">IFERROR(INDEX(LevelOneOff,MATCH($H170,LevelList,0)),0)</f>
        <v>0</v>
      </c>
      <c r="X170" s="35" t="str">
        <f aca="false">IF($G170="","",$V170*N($L170))</f>
        <v/>
      </c>
      <c r="Y170" s="35" t="str">
        <f aca="false">IF($G170="","",$V170*(N($M170)*1+N($N170)*0.75+N($O170)*0.5+N($P170)*0.25)+$W170*N($L170))</f>
        <v/>
      </c>
      <c r="Z170" s="35" t="str">
        <f aca="false">IF($G170="","",$U170*1000000+ROW())</f>
        <v/>
      </c>
      <c r="AA170" s="36" t="str">
        <f aca="false">IF($G170="","",MID(IF($C170="",", no division","")&amp;IF($E170="",", no unit","")&amp;IF($H170="",", no career level","")&amp;IF(N($L170)&lt;=0,", no quarter split","")&amp;IF($R170="",", no driver","")&amp;IF(AND($H170&lt;&gt;"",COUNTIF(CareerLevels,$H170)=0),", a career level that is not on the ladder","")&amp;IF(AND($R170&lt;&gt;"",COUNTIF(DriverList,$R170)=0),", a driver that is not on the list","")&amp;IF(ABS(N($L170)-(N($M170)+N($N170)+N($O170)+N($P170)))&gt;0.001,", a total that does not match its quarters",""),3,300))</f>
        <v/>
      </c>
    </row>
    <row r="171" customFormat="false" ht="15" hidden="false" customHeight="false" outlineLevel="0" collapsed="false">
      <c r="A171" s="33" t="str">
        <f aca="false">IF($G171="","","CEO Office")</f>
        <v/>
      </c>
      <c r="B171" s="19"/>
      <c r="C171" s="19"/>
      <c r="D171" s="19"/>
      <c r="E171" s="19"/>
      <c r="F171" s="19"/>
      <c r="G171" s="19"/>
      <c r="H171" s="19"/>
      <c r="I171" s="19"/>
      <c r="J171" s="19"/>
      <c r="K171" s="19"/>
      <c r="L171" s="19"/>
      <c r="M171" s="19"/>
      <c r="N171" s="19"/>
      <c r="O171" s="19"/>
      <c r="P171" s="19"/>
      <c r="Q171" s="19"/>
      <c r="R171" s="19"/>
      <c r="S171" s="19"/>
      <c r="T171" s="34" t="str">
        <f aca="false">IF($R171="","",IFERROR(INDEX(DriverCategory,MATCH($R171,DriverList,0)),"BAU"))</f>
        <v/>
      </c>
      <c r="U171" s="34" t="str">
        <f aca="false">IF($R171="","",IFERROR(INDEX(DriverRank,MATCH($R171,DriverList,0)),99))</f>
        <v/>
      </c>
      <c r="V171" s="35" t="n">
        <f aca="false">IF($H171="",0,IFERROR(INDEX(LevelBasic,MATCH($H171,LevelList,0))+INDEX(LevelHousing,MATCH($H171,LevelList,0))+INDEX(LevelTransport,MATCH($H171,LevelList,0))+INDEX(LevelBasic,MATCH($H171,LevelList,0))*INDEX(LevelBonus,MATCH($H171,LevelList,0))+(INDEX(LevelBasic,MATCH($H171,LevelList,0))+INDEX(LevelHousing,MATCH($H171,LevelList,0)))*GosiSaudi,0))</f>
        <v>0</v>
      </c>
      <c r="W171" s="35" t="n">
        <f aca="false">IFERROR(INDEX(LevelOneOff,MATCH($H171,LevelList,0)),0)</f>
        <v>0</v>
      </c>
      <c r="X171" s="35" t="str">
        <f aca="false">IF($G171="","",$V171*N($L171))</f>
        <v/>
      </c>
      <c r="Y171" s="35" t="str">
        <f aca="false">IF($G171="","",$V171*(N($M171)*1+N($N171)*0.75+N($O171)*0.5+N($P171)*0.25)+$W171*N($L171))</f>
        <v/>
      </c>
      <c r="Z171" s="35" t="str">
        <f aca="false">IF($G171="","",$U171*1000000+ROW())</f>
        <v/>
      </c>
      <c r="AA171" s="36" t="str">
        <f aca="false">IF($G171="","",MID(IF($C171="",", no division","")&amp;IF($E171="",", no unit","")&amp;IF($H171="",", no career level","")&amp;IF(N($L171)&lt;=0,", no quarter split","")&amp;IF($R171="",", no driver","")&amp;IF(AND($H171&lt;&gt;"",COUNTIF(CareerLevels,$H171)=0),", a career level that is not on the ladder","")&amp;IF(AND($R171&lt;&gt;"",COUNTIF(DriverList,$R171)=0),", a driver that is not on the list","")&amp;IF(ABS(N($L171)-(N($M171)+N($N171)+N($O171)+N($P171)))&gt;0.001,", a total that does not match its quarters",""),3,300))</f>
        <v/>
      </c>
    </row>
    <row r="172" customFormat="false" ht="15" hidden="false" customHeight="false" outlineLevel="0" collapsed="false">
      <c r="A172" s="33" t="str">
        <f aca="false">IF($G172="","","CEO Office")</f>
        <v/>
      </c>
      <c r="B172" s="19"/>
      <c r="C172" s="19"/>
      <c r="D172" s="19"/>
      <c r="E172" s="19"/>
      <c r="F172" s="19"/>
      <c r="G172" s="19"/>
      <c r="H172" s="19"/>
      <c r="I172" s="19"/>
      <c r="J172" s="19"/>
      <c r="K172" s="19"/>
      <c r="L172" s="19"/>
      <c r="M172" s="19"/>
      <c r="N172" s="19"/>
      <c r="O172" s="19"/>
      <c r="P172" s="19"/>
      <c r="Q172" s="19"/>
      <c r="R172" s="19"/>
      <c r="S172" s="19"/>
      <c r="T172" s="34" t="str">
        <f aca="false">IF($R172="","",IFERROR(INDEX(DriverCategory,MATCH($R172,DriverList,0)),"BAU"))</f>
        <v/>
      </c>
      <c r="U172" s="34" t="str">
        <f aca="false">IF($R172="","",IFERROR(INDEX(DriverRank,MATCH($R172,DriverList,0)),99))</f>
        <v/>
      </c>
      <c r="V172" s="35" t="n">
        <f aca="false">IF($H172="",0,IFERROR(INDEX(LevelBasic,MATCH($H172,LevelList,0))+INDEX(LevelHousing,MATCH($H172,LevelList,0))+INDEX(LevelTransport,MATCH($H172,LevelList,0))+INDEX(LevelBasic,MATCH($H172,LevelList,0))*INDEX(LevelBonus,MATCH($H172,LevelList,0))+(INDEX(LevelBasic,MATCH($H172,LevelList,0))+INDEX(LevelHousing,MATCH($H172,LevelList,0)))*GosiSaudi,0))</f>
        <v>0</v>
      </c>
      <c r="W172" s="35" t="n">
        <f aca="false">IFERROR(INDEX(LevelOneOff,MATCH($H172,LevelList,0)),0)</f>
        <v>0</v>
      </c>
      <c r="X172" s="35" t="str">
        <f aca="false">IF($G172="","",$V172*N($L172))</f>
        <v/>
      </c>
      <c r="Y172" s="35" t="str">
        <f aca="false">IF($G172="","",$V172*(N($M172)*1+N($N172)*0.75+N($O172)*0.5+N($P172)*0.25)+$W172*N($L172))</f>
        <v/>
      </c>
      <c r="Z172" s="35" t="str">
        <f aca="false">IF($G172="","",$U172*1000000+ROW())</f>
        <v/>
      </c>
      <c r="AA172" s="36" t="str">
        <f aca="false">IF($G172="","",MID(IF($C172="",", no division","")&amp;IF($E172="",", no unit","")&amp;IF($H172="",", no career level","")&amp;IF(N($L172)&lt;=0,", no quarter split","")&amp;IF($R172="",", no driver","")&amp;IF(AND($H172&lt;&gt;"",COUNTIF(CareerLevels,$H172)=0),", a career level that is not on the ladder","")&amp;IF(AND($R172&lt;&gt;"",COUNTIF(DriverList,$R172)=0),", a driver that is not on the list","")&amp;IF(ABS(N($L172)-(N($M172)+N($N172)+N($O172)+N($P172)))&gt;0.001,", a total that does not match its quarters",""),3,300))</f>
        <v/>
      </c>
    </row>
    <row r="173" customFormat="false" ht="15" hidden="false" customHeight="false" outlineLevel="0" collapsed="false">
      <c r="A173" s="33" t="str">
        <f aca="false">IF($G173="","","CEO Office")</f>
        <v/>
      </c>
      <c r="B173" s="19"/>
      <c r="C173" s="19"/>
      <c r="D173" s="19"/>
      <c r="E173" s="19"/>
      <c r="F173" s="19"/>
      <c r="G173" s="19"/>
      <c r="H173" s="19"/>
      <c r="I173" s="19"/>
      <c r="J173" s="19"/>
      <c r="K173" s="19"/>
      <c r="L173" s="19"/>
      <c r="M173" s="19"/>
      <c r="N173" s="19"/>
      <c r="O173" s="19"/>
      <c r="P173" s="19"/>
      <c r="Q173" s="19"/>
      <c r="R173" s="19"/>
      <c r="S173" s="19"/>
      <c r="T173" s="34" t="str">
        <f aca="false">IF($R173="","",IFERROR(INDEX(DriverCategory,MATCH($R173,DriverList,0)),"BAU"))</f>
        <v/>
      </c>
      <c r="U173" s="34" t="str">
        <f aca="false">IF($R173="","",IFERROR(INDEX(DriverRank,MATCH($R173,DriverList,0)),99))</f>
        <v/>
      </c>
      <c r="V173" s="35" t="n">
        <f aca="false">IF($H173="",0,IFERROR(INDEX(LevelBasic,MATCH($H173,LevelList,0))+INDEX(LevelHousing,MATCH($H173,LevelList,0))+INDEX(LevelTransport,MATCH($H173,LevelList,0))+INDEX(LevelBasic,MATCH($H173,LevelList,0))*INDEX(LevelBonus,MATCH($H173,LevelList,0))+(INDEX(LevelBasic,MATCH($H173,LevelList,0))+INDEX(LevelHousing,MATCH($H173,LevelList,0)))*GosiSaudi,0))</f>
        <v>0</v>
      </c>
      <c r="W173" s="35" t="n">
        <f aca="false">IFERROR(INDEX(LevelOneOff,MATCH($H173,LevelList,0)),0)</f>
        <v>0</v>
      </c>
      <c r="X173" s="35" t="str">
        <f aca="false">IF($G173="","",$V173*N($L173))</f>
        <v/>
      </c>
      <c r="Y173" s="35" t="str">
        <f aca="false">IF($G173="","",$V173*(N($M173)*1+N($N173)*0.75+N($O173)*0.5+N($P173)*0.25)+$W173*N($L173))</f>
        <v/>
      </c>
      <c r="Z173" s="35" t="str">
        <f aca="false">IF($G173="","",$U173*1000000+ROW())</f>
        <v/>
      </c>
      <c r="AA173" s="36" t="str">
        <f aca="false">IF($G173="","",MID(IF($C173="",", no division","")&amp;IF($E173="",", no unit","")&amp;IF($H173="",", no career level","")&amp;IF(N($L173)&lt;=0,", no quarter split","")&amp;IF($R173="",", no driver","")&amp;IF(AND($H173&lt;&gt;"",COUNTIF(CareerLevels,$H173)=0),", a career level that is not on the ladder","")&amp;IF(AND($R173&lt;&gt;"",COUNTIF(DriverList,$R173)=0),", a driver that is not on the list","")&amp;IF(ABS(N($L173)-(N($M173)+N($N173)+N($O173)+N($P173)))&gt;0.001,", a total that does not match its quarters",""),3,300))</f>
        <v/>
      </c>
    </row>
    <row r="174" customFormat="false" ht="15" hidden="false" customHeight="false" outlineLevel="0" collapsed="false">
      <c r="A174" s="33" t="str">
        <f aca="false">IF($G174="","","CEO Office")</f>
        <v/>
      </c>
      <c r="B174" s="19"/>
      <c r="C174" s="19"/>
      <c r="D174" s="19"/>
      <c r="E174" s="19"/>
      <c r="F174" s="19"/>
      <c r="G174" s="19"/>
      <c r="H174" s="19"/>
      <c r="I174" s="19"/>
      <c r="J174" s="19"/>
      <c r="K174" s="19"/>
      <c r="L174" s="19"/>
      <c r="M174" s="19"/>
      <c r="N174" s="19"/>
      <c r="O174" s="19"/>
      <c r="P174" s="19"/>
      <c r="Q174" s="19"/>
      <c r="R174" s="19"/>
      <c r="S174" s="19"/>
      <c r="T174" s="34" t="str">
        <f aca="false">IF($R174="","",IFERROR(INDEX(DriverCategory,MATCH($R174,DriverList,0)),"BAU"))</f>
        <v/>
      </c>
      <c r="U174" s="34" t="str">
        <f aca="false">IF($R174="","",IFERROR(INDEX(DriverRank,MATCH($R174,DriverList,0)),99))</f>
        <v/>
      </c>
      <c r="V174" s="35" t="n">
        <f aca="false">IF($H174="",0,IFERROR(INDEX(LevelBasic,MATCH($H174,LevelList,0))+INDEX(LevelHousing,MATCH($H174,LevelList,0))+INDEX(LevelTransport,MATCH($H174,LevelList,0))+INDEX(LevelBasic,MATCH($H174,LevelList,0))*INDEX(LevelBonus,MATCH($H174,LevelList,0))+(INDEX(LevelBasic,MATCH($H174,LevelList,0))+INDEX(LevelHousing,MATCH($H174,LevelList,0)))*GosiSaudi,0))</f>
        <v>0</v>
      </c>
      <c r="W174" s="35" t="n">
        <f aca="false">IFERROR(INDEX(LevelOneOff,MATCH($H174,LevelList,0)),0)</f>
        <v>0</v>
      </c>
      <c r="X174" s="35" t="str">
        <f aca="false">IF($G174="","",$V174*N($L174))</f>
        <v/>
      </c>
      <c r="Y174" s="35" t="str">
        <f aca="false">IF($G174="","",$V174*(N($M174)*1+N($N174)*0.75+N($O174)*0.5+N($P174)*0.25)+$W174*N($L174))</f>
        <v/>
      </c>
      <c r="Z174" s="35" t="str">
        <f aca="false">IF($G174="","",$U174*1000000+ROW())</f>
        <v/>
      </c>
      <c r="AA174" s="36" t="str">
        <f aca="false">IF($G174="","",MID(IF($C174="",", no division","")&amp;IF($E174="",", no unit","")&amp;IF($H174="",", no career level","")&amp;IF(N($L174)&lt;=0,", no quarter split","")&amp;IF($R174="",", no driver","")&amp;IF(AND($H174&lt;&gt;"",COUNTIF(CareerLevels,$H174)=0),", a career level that is not on the ladder","")&amp;IF(AND($R174&lt;&gt;"",COUNTIF(DriverList,$R174)=0),", a driver that is not on the list","")&amp;IF(ABS(N($L174)-(N($M174)+N($N174)+N($O174)+N($P174)))&gt;0.001,", a total that does not match its quarters",""),3,300))</f>
        <v/>
      </c>
    </row>
    <row r="175" customFormat="false" ht="15" hidden="false" customHeight="false" outlineLevel="0" collapsed="false">
      <c r="A175" s="33" t="str">
        <f aca="false">IF($G175="","","CEO Office")</f>
        <v/>
      </c>
      <c r="B175" s="19"/>
      <c r="C175" s="19"/>
      <c r="D175" s="19"/>
      <c r="E175" s="19"/>
      <c r="F175" s="19"/>
      <c r="G175" s="19"/>
      <c r="H175" s="19"/>
      <c r="I175" s="19"/>
      <c r="J175" s="19"/>
      <c r="K175" s="19"/>
      <c r="L175" s="19"/>
      <c r="M175" s="19"/>
      <c r="N175" s="19"/>
      <c r="O175" s="19"/>
      <c r="P175" s="19"/>
      <c r="Q175" s="19"/>
      <c r="R175" s="19"/>
      <c r="S175" s="19"/>
      <c r="T175" s="34" t="str">
        <f aca="false">IF($R175="","",IFERROR(INDEX(DriverCategory,MATCH($R175,DriverList,0)),"BAU"))</f>
        <v/>
      </c>
      <c r="U175" s="34" t="str">
        <f aca="false">IF($R175="","",IFERROR(INDEX(DriverRank,MATCH($R175,DriverList,0)),99))</f>
        <v/>
      </c>
      <c r="V175" s="35" t="n">
        <f aca="false">IF($H175="",0,IFERROR(INDEX(LevelBasic,MATCH($H175,LevelList,0))+INDEX(LevelHousing,MATCH($H175,LevelList,0))+INDEX(LevelTransport,MATCH($H175,LevelList,0))+INDEX(LevelBasic,MATCH($H175,LevelList,0))*INDEX(LevelBonus,MATCH($H175,LevelList,0))+(INDEX(LevelBasic,MATCH($H175,LevelList,0))+INDEX(LevelHousing,MATCH($H175,LevelList,0)))*GosiSaudi,0))</f>
        <v>0</v>
      </c>
      <c r="W175" s="35" t="n">
        <f aca="false">IFERROR(INDEX(LevelOneOff,MATCH($H175,LevelList,0)),0)</f>
        <v>0</v>
      </c>
      <c r="X175" s="35" t="str">
        <f aca="false">IF($G175="","",$V175*N($L175))</f>
        <v/>
      </c>
      <c r="Y175" s="35" t="str">
        <f aca="false">IF($G175="","",$V175*(N($M175)*1+N($N175)*0.75+N($O175)*0.5+N($P175)*0.25)+$W175*N($L175))</f>
        <v/>
      </c>
      <c r="Z175" s="35" t="str">
        <f aca="false">IF($G175="","",$U175*1000000+ROW())</f>
        <v/>
      </c>
      <c r="AA175" s="36" t="str">
        <f aca="false">IF($G175="","",MID(IF($C175="",", no division","")&amp;IF($E175="",", no unit","")&amp;IF($H175="",", no career level","")&amp;IF(N($L175)&lt;=0,", no quarter split","")&amp;IF($R175="",", no driver","")&amp;IF(AND($H175&lt;&gt;"",COUNTIF(CareerLevels,$H175)=0),", a career level that is not on the ladder","")&amp;IF(AND($R175&lt;&gt;"",COUNTIF(DriverList,$R175)=0),", a driver that is not on the list","")&amp;IF(ABS(N($L175)-(N($M175)+N($N175)+N($O175)+N($P175)))&gt;0.001,", a total that does not match its quarters",""),3,300))</f>
        <v/>
      </c>
    </row>
    <row r="176" customFormat="false" ht="15" hidden="false" customHeight="false" outlineLevel="0" collapsed="false">
      <c r="A176" s="33" t="str">
        <f aca="false">IF($G176="","","CEO Office")</f>
        <v/>
      </c>
      <c r="B176" s="19"/>
      <c r="C176" s="19"/>
      <c r="D176" s="19"/>
      <c r="E176" s="19"/>
      <c r="F176" s="19"/>
      <c r="G176" s="19"/>
      <c r="H176" s="19"/>
      <c r="I176" s="19"/>
      <c r="J176" s="19"/>
      <c r="K176" s="19"/>
      <c r="L176" s="19"/>
      <c r="M176" s="19"/>
      <c r="N176" s="19"/>
      <c r="O176" s="19"/>
      <c r="P176" s="19"/>
      <c r="Q176" s="19"/>
      <c r="R176" s="19"/>
      <c r="S176" s="19"/>
      <c r="T176" s="34" t="str">
        <f aca="false">IF($R176="","",IFERROR(INDEX(DriverCategory,MATCH($R176,DriverList,0)),"BAU"))</f>
        <v/>
      </c>
      <c r="U176" s="34" t="str">
        <f aca="false">IF($R176="","",IFERROR(INDEX(DriverRank,MATCH($R176,DriverList,0)),99))</f>
        <v/>
      </c>
      <c r="V176" s="35" t="n">
        <f aca="false">IF($H176="",0,IFERROR(INDEX(LevelBasic,MATCH($H176,LevelList,0))+INDEX(LevelHousing,MATCH($H176,LevelList,0))+INDEX(LevelTransport,MATCH($H176,LevelList,0))+INDEX(LevelBasic,MATCH($H176,LevelList,0))*INDEX(LevelBonus,MATCH($H176,LevelList,0))+(INDEX(LevelBasic,MATCH($H176,LevelList,0))+INDEX(LevelHousing,MATCH($H176,LevelList,0)))*GosiSaudi,0))</f>
        <v>0</v>
      </c>
      <c r="W176" s="35" t="n">
        <f aca="false">IFERROR(INDEX(LevelOneOff,MATCH($H176,LevelList,0)),0)</f>
        <v>0</v>
      </c>
      <c r="X176" s="35" t="str">
        <f aca="false">IF($G176="","",$V176*N($L176))</f>
        <v/>
      </c>
      <c r="Y176" s="35" t="str">
        <f aca="false">IF($G176="","",$V176*(N($M176)*1+N($N176)*0.75+N($O176)*0.5+N($P176)*0.25)+$W176*N($L176))</f>
        <v/>
      </c>
      <c r="Z176" s="35" t="str">
        <f aca="false">IF($G176="","",$U176*1000000+ROW())</f>
        <v/>
      </c>
      <c r="AA176" s="36" t="str">
        <f aca="false">IF($G176="","",MID(IF($C176="",", no division","")&amp;IF($E176="",", no unit","")&amp;IF($H176="",", no career level","")&amp;IF(N($L176)&lt;=0,", no quarter split","")&amp;IF($R176="",", no driver","")&amp;IF(AND($H176&lt;&gt;"",COUNTIF(CareerLevels,$H176)=0),", a career level that is not on the ladder","")&amp;IF(AND($R176&lt;&gt;"",COUNTIF(DriverList,$R176)=0),", a driver that is not on the list","")&amp;IF(ABS(N($L176)-(N($M176)+N($N176)+N($O176)+N($P176)))&gt;0.001,", a total that does not match its quarters",""),3,300))</f>
        <v/>
      </c>
    </row>
    <row r="177" customFormat="false" ht="15" hidden="false" customHeight="false" outlineLevel="0" collapsed="false">
      <c r="A177" s="33" t="str">
        <f aca="false">IF($G177="","","CEO Office")</f>
        <v/>
      </c>
      <c r="B177" s="19"/>
      <c r="C177" s="19"/>
      <c r="D177" s="19"/>
      <c r="E177" s="19"/>
      <c r="F177" s="19"/>
      <c r="G177" s="19"/>
      <c r="H177" s="19"/>
      <c r="I177" s="19"/>
      <c r="J177" s="19"/>
      <c r="K177" s="19"/>
      <c r="L177" s="19"/>
      <c r="M177" s="19"/>
      <c r="N177" s="19"/>
      <c r="O177" s="19"/>
      <c r="P177" s="19"/>
      <c r="Q177" s="19"/>
      <c r="R177" s="19"/>
      <c r="S177" s="19"/>
      <c r="T177" s="34" t="str">
        <f aca="false">IF($R177="","",IFERROR(INDEX(DriverCategory,MATCH($R177,DriverList,0)),"BAU"))</f>
        <v/>
      </c>
      <c r="U177" s="34" t="str">
        <f aca="false">IF($R177="","",IFERROR(INDEX(DriverRank,MATCH($R177,DriverList,0)),99))</f>
        <v/>
      </c>
      <c r="V177" s="35" t="n">
        <f aca="false">IF($H177="",0,IFERROR(INDEX(LevelBasic,MATCH($H177,LevelList,0))+INDEX(LevelHousing,MATCH($H177,LevelList,0))+INDEX(LevelTransport,MATCH($H177,LevelList,0))+INDEX(LevelBasic,MATCH($H177,LevelList,0))*INDEX(LevelBonus,MATCH($H177,LevelList,0))+(INDEX(LevelBasic,MATCH($H177,LevelList,0))+INDEX(LevelHousing,MATCH($H177,LevelList,0)))*GosiSaudi,0))</f>
        <v>0</v>
      </c>
      <c r="W177" s="35" t="n">
        <f aca="false">IFERROR(INDEX(LevelOneOff,MATCH($H177,LevelList,0)),0)</f>
        <v>0</v>
      </c>
      <c r="X177" s="35" t="str">
        <f aca="false">IF($G177="","",$V177*N($L177))</f>
        <v/>
      </c>
      <c r="Y177" s="35" t="str">
        <f aca="false">IF($G177="","",$V177*(N($M177)*1+N($N177)*0.75+N($O177)*0.5+N($P177)*0.25)+$W177*N($L177))</f>
        <v/>
      </c>
      <c r="Z177" s="35" t="str">
        <f aca="false">IF($G177="","",$U177*1000000+ROW())</f>
        <v/>
      </c>
      <c r="AA177" s="36" t="str">
        <f aca="false">IF($G177="","",MID(IF($C177="",", no division","")&amp;IF($E177="",", no unit","")&amp;IF($H177="",", no career level","")&amp;IF(N($L177)&lt;=0,", no quarter split","")&amp;IF($R177="",", no driver","")&amp;IF(AND($H177&lt;&gt;"",COUNTIF(CareerLevels,$H177)=0),", a career level that is not on the ladder","")&amp;IF(AND($R177&lt;&gt;"",COUNTIF(DriverList,$R177)=0),", a driver that is not on the list","")&amp;IF(ABS(N($L177)-(N($M177)+N($N177)+N($O177)+N($P177)))&gt;0.001,", a total that does not match its quarters",""),3,300))</f>
        <v/>
      </c>
    </row>
    <row r="178" customFormat="false" ht="15" hidden="false" customHeight="false" outlineLevel="0" collapsed="false">
      <c r="A178" s="33" t="str">
        <f aca="false">IF($G178="","","CEO Office")</f>
        <v/>
      </c>
      <c r="B178" s="19"/>
      <c r="C178" s="19"/>
      <c r="D178" s="19"/>
      <c r="E178" s="19"/>
      <c r="F178" s="19"/>
      <c r="G178" s="19"/>
      <c r="H178" s="19"/>
      <c r="I178" s="19"/>
      <c r="J178" s="19"/>
      <c r="K178" s="19"/>
      <c r="L178" s="19"/>
      <c r="M178" s="19"/>
      <c r="N178" s="19"/>
      <c r="O178" s="19"/>
      <c r="P178" s="19"/>
      <c r="Q178" s="19"/>
      <c r="R178" s="19"/>
      <c r="S178" s="19"/>
      <c r="T178" s="34" t="str">
        <f aca="false">IF($R178="","",IFERROR(INDEX(DriverCategory,MATCH($R178,DriverList,0)),"BAU"))</f>
        <v/>
      </c>
      <c r="U178" s="34" t="str">
        <f aca="false">IF($R178="","",IFERROR(INDEX(DriverRank,MATCH($R178,DriverList,0)),99))</f>
        <v/>
      </c>
      <c r="V178" s="35" t="n">
        <f aca="false">IF($H178="",0,IFERROR(INDEX(LevelBasic,MATCH($H178,LevelList,0))+INDEX(LevelHousing,MATCH($H178,LevelList,0))+INDEX(LevelTransport,MATCH($H178,LevelList,0))+INDEX(LevelBasic,MATCH($H178,LevelList,0))*INDEX(LevelBonus,MATCH($H178,LevelList,0))+(INDEX(LevelBasic,MATCH($H178,LevelList,0))+INDEX(LevelHousing,MATCH($H178,LevelList,0)))*GosiSaudi,0))</f>
        <v>0</v>
      </c>
      <c r="W178" s="35" t="n">
        <f aca="false">IFERROR(INDEX(LevelOneOff,MATCH($H178,LevelList,0)),0)</f>
        <v>0</v>
      </c>
      <c r="X178" s="35" t="str">
        <f aca="false">IF($G178="","",$V178*N($L178))</f>
        <v/>
      </c>
      <c r="Y178" s="35" t="str">
        <f aca="false">IF($G178="","",$V178*(N($M178)*1+N($N178)*0.75+N($O178)*0.5+N($P178)*0.25)+$W178*N($L178))</f>
        <v/>
      </c>
      <c r="Z178" s="35" t="str">
        <f aca="false">IF($G178="","",$U178*1000000+ROW())</f>
        <v/>
      </c>
      <c r="AA178" s="36" t="str">
        <f aca="false">IF($G178="","",MID(IF($C178="",", no division","")&amp;IF($E178="",", no unit","")&amp;IF($H178="",", no career level","")&amp;IF(N($L178)&lt;=0,", no quarter split","")&amp;IF($R178="",", no driver","")&amp;IF(AND($H178&lt;&gt;"",COUNTIF(CareerLevels,$H178)=0),", a career level that is not on the ladder","")&amp;IF(AND($R178&lt;&gt;"",COUNTIF(DriverList,$R178)=0),", a driver that is not on the list","")&amp;IF(ABS(N($L178)-(N($M178)+N($N178)+N($O178)+N($P178)))&gt;0.001,", a total that does not match its quarters",""),3,300))</f>
        <v/>
      </c>
    </row>
    <row r="179" customFormat="false" ht="15" hidden="false" customHeight="false" outlineLevel="0" collapsed="false">
      <c r="A179" s="33" t="str">
        <f aca="false">IF($G179="","","CEO Office")</f>
        <v/>
      </c>
      <c r="B179" s="19"/>
      <c r="C179" s="19"/>
      <c r="D179" s="19"/>
      <c r="E179" s="19"/>
      <c r="F179" s="19"/>
      <c r="G179" s="19"/>
      <c r="H179" s="19"/>
      <c r="I179" s="19"/>
      <c r="J179" s="19"/>
      <c r="K179" s="19"/>
      <c r="L179" s="19"/>
      <c r="M179" s="19"/>
      <c r="N179" s="19"/>
      <c r="O179" s="19"/>
      <c r="P179" s="19"/>
      <c r="Q179" s="19"/>
      <c r="R179" s="19"/>
      <c r="S179" s="19"/>
      <c r="T179" s="34" t="str">
        <f aca="false">IF($R179="","",IFERROR(INDEX(DriverCategory,MATCH($R179,DriverList,0)),"BAU"))</f>
        <v/>
      </c>
      <c r="U179" s="34" t="str">
        <f aca="false">IF($R179="","",IFERROR(INDEX(DriverRank,MATCH($R179,DriverList,0)),99))</f>
        <v/>
      </c>
      <c r="V179" s="35" t="n">
        <f aca="false">IF($H179="",0,IFERROR(INDEX(LevelBasic,MATCH($H179,LevelList,0))+INDEX(LevelHousing,MATCH($H179,LevelList,0))+INDEX(LevelTransport,MATCH($H179,LevelList,0))+INDEX(LevelBasic,MATCH($H179,LevelList,0))*INDEX(LevelBonus,MATCH($H179,LevelList,0))+(INDEX(LevelBasic,MATCH($H179,LevelList,0))+INDEX(LevelHousing,MATCH($H179,LevelList,0)))*GosiSaudi,0))</f>
        <v>0</v>
      </c>
      <c r="W179" s="35" t="n">
        <f aca="false">IFERROR(INDEX(LevelOneOff,MATCH($H179,LevelList,0)),0)</f>
        <v>0</v>
      </c>
      <c r="X179" s="35" t="str">
        <f aca="false">IF($G179="","",$V179*N($L179))</f>
        <v/>
      </c>
      <c r="Y179" s="35" t="str">
        <f aca="false">IF($G179="","",$V179*(N($M179)*1+N($N179)*0.75+N($O179)*0.5+N($P179)*0.25)+$W179*N($L179))</f>
        <v/>
      </c>
      <c r="Z179" s="35" t="str">
        <f aca="false">IF($G179="","",$U179*1000000+ROW())</f>
        <v/>
      </c>
      <c r="AA179" s="36" t="str">
        <f aca="false">IF($G179="","",MID(IF($C179="",", no division","")&amp;IF($E179="",", no unit","")&amp;IF($H179="",", no career level","")&amp;IF(N($L179)&lt;=0,", no quarter split","")&amp;IF($R179="",", no driver","")&amp;IF(AND($H179&lt;&gt;"",COUNTIF(CareerLevels,$H179)=0),", a career level that is not on the ladder","")&amp;IF(AND($R179&lt;&gt;"",COUNTIF(DriverList,$R179)=0),", a driver that is not on the list","")&amp;IF(ABS(N($L179)-(N($M179)+N($N179)+N($O179)+N($P179)))&gt;0.001,", a total that does not match its quarters",""),3,300))</f>
        <v/>
      </c>
    </row>
    <row r="180" customFormat="false" ht="15" hidden="false" customHeight="false" outlineLevel="0" collapsed="false">
      <c r="A180" s="33" t="str">
        <f aca="false">IF($G180="","","CEO Office")</f>
        <v/>
      </c>
      <c r="B180" s="19"/>
      <c r="C180" s="19"/>
      <c r="D180" s="19"/>
      <c r="E180" s="19"/>
      <c r="F180" s="19"/>
      <c r="G180" s="19"/>
      <c r="H180" s="19"/>
      <c r="I180" s="19"/>
      <c r="J180" s="19"/>
      <c r="K180" s="19"/>
      <c r="L180" s="19"/>
      <c r="M180" s="19"/>
      <c r="N180" s="19"/>
      <c r="O180" s="19"/>
      <c r="P180" s="19"/>
      <c r="Q180" s="19"/>
      <c r="R180" s="19"/>
      <c r="S180" s="19"/>
      <c r="T180" s="34" t="str">
        <f aca="false">IF($R180="","",IFERROR(INDEX(DriverCategory,MATCH($R180,DriverList,0)),"BAU"))</f>
        <v/>
      </c>
      <c r="U180" s="34" t="str">
        <f aca="false">IF($R180="","",IFERROR(INDEX(DriverRank,MATCH($R180,DriverList,0)),99))</f>
        <v/>
      </c>
      <c r="V180" s="35" t="n">
        <f aca="false">IF($H180="",0,IFERROR(INDEX(LevelBasic,MATCH($H180,LevelList,0))+INDEX(LevelHousing,MATCH($H180,LevelList,0))+INDEX(LevelTransport,MATCH($H180,LevelList,0))+INDEX(LevelBasic,MATCH($H180,LevelList,0))*INDEX(LevelBonus,MATCH($H180,LevelList,0))+(INDEX(LevelBasic,MATCH($H180,LevelList,0))+INDEX(LevelHousing,MATCH($H180,LevelList,0)))*GosiSaudi,0))</f>
        <v>0</v>
      </c>
      <c r="W180" s="35" t="n">
        <f aca="false">IFERROR(INDEX(LevelOneOff,MATCH($H180,LevelList,0)),0)</f>
        <v>0</v>
      </c>
      <c r="X180" s="35" t="str">
        <f aca="false">IF($G180="","",$V180*N($L180))</f>
        <v/>
      </c>
      <c r="Y180" s="35" t="str">
        <f aca="false">IF($G180="","",$V180*(N($M180)*1+N($N180)*0.75+N($O180)*0.5+N($P180)*0.25)+$W180*N($L180))</f>
        <v/>
      </c>
      <c r="Z180" s="35" t="str">
        <f aca="false">IF($G180="","",$U180*1000000+ROW())</f>
        <v/>
      </c>
      <c r="AA180" s="36" t="str">
        <f aca="false">IF($G180="","",MID(IF($C180="",", no division","")&amp;IF($E180="",", no unit","")&amp;IF($H180="",", no career level","")&amp;IF(N($L180)&lt;=0,", no quarter split","")&amp;IF($R180="",", no driver","")&amp;IF(AND($H180&lt;&gt;"",COUNTIF(CareerLevels,$H180)=0),", a career level that is not on the ladder","")&amp;IF(AND($R180&lt;&gt;"",COUNTIF(DriverList,$R180)=0),", a driver that is not on the list","")&amp;IF(ABS(N($L180)-(N($M180)+N($N180)+N($O180)+N($P180)))&gt;0.001,", a total that does not match its quarters",""),3,300))</f>
        <v/>
      </c>
    </row>
    <row r="181" customFormat="false" ht="15" hidden="false" customHeight="false" outlineLevel="0" collapsed="false">
      <c r="A181" s="33" t="str">
        <f aca="false">IF($G181="","","CEO Office")</f>
        <v/>
      </c>
      <c r="B181" s="19"/>
      <c r="C181" s="19"/>
      <c r="D181" s="19"/>
      <c r="E181" s="19"/>
      <c r="F181" s="19"/>
      <c r="G181" s="19"/>
      <c r="H181" s="19"/>
      <c r="I181" s="19"/>
      <c r="J181" s="19"/>
      <c r="K181" s="19"/>
      <c r="L181" s="19"/>
      <c r="M181" s="19"/>
      <c r="N181" s="19"/>
      <c r="O181" s="19"/>
      <c r="P181" s="19"/>
      <c r="Q181" s="19"/>
      <c r="R181" s="19"/>
      <c r="S181" s="19"/>
      <c r="T181" s="34" t="str">
        <f aca="false">IF($R181="","",IFERROR(INDEX(DriverCategory,MATCH($R181,DriverList,0)),"BAU"))</f>
        <v/>
      </c>
      <c r="U181" s="34" t="str">
        <f aca="false">IF($R181="","",IFERROR(INDEX(DriverRank,MATCH($R181,DriverList,0)),99))</f>
        <v/>
      </c>
      <c r="V181" s="35" t="n">
        <f aca="false">IF($H181="",0,IFERROR(INDEX(LevelBasic,MATCH($H181,LevelList,0))+INDEX(LevelHousing,MATCH($H181,LevelList,0))+INDEX(LevelTransport,MATCH($H181,LevelList,0))+INDEX(LevelBasic,MATCH($H181,LevelList,0))*INDEX(LevelBonus,MATCH($H181,LevelList,0))+(INDEX(LevelBasic,MATCH($H181,LevelList,0))+INDEX(LevelHousing,MATCH($H181,LevelList,0)))*GosiSaudi,0))</f>
        <v>0</v>
      </c>
      <c r="W181" s="35" t="n">
        <f aca="false">IFERROR(INDEX(LevelOneOff,MATCH($H181,LevelList,0)),0)</f>
        <v>0</v>
      </c>
      <c r="X181" s="35" t="str">
        <f aca="false">IF($G181="","",$V181*N($L181))</f>
        <v/>
      </c>
      <c r="Y181" s="35" t="str">
        <f aca="false">IF($G181="","",$V181*(N($M181)*1+N($N181)*0.75+N($O181)*0.5+N($P181)*0.25)+$W181*N($L181))</f>
        <v/>
      </c>
      <c r="Z181" s="35" t="str">
        <f aca="false">IF($G181="","",$U181*1000000+ROW())</f>
        <v/>
      </c>
      <c r="AA181" s="36" t="str">
        <f aca="false">IF($G181="","",MID(IF($C181="",", no division","")&amp;IF($E181="",", no unit","")&amp;IF($H181="",", no career level","")&amp;IF(N($L181)&lt;=0,", no quarter split","")&amp;IF($R181="",", no driver","")&amp;IF(AND($H181&lt;&gt;"",COUNTIF(CareerLevels,$H181)=0),", a career level that is not on the ladder","")&amp;IF(AND($R181&lt;&gt;"",COUNTIF(DriverList,$R181)=0),", a driver that is not on the list","")&amp;IF(ABS(N($L181)-(N($M181)+N($N181)+N($O181)+N($P181)))&gt;0.001,", a total that does not match its quarters",""),3,300))</f>
        <v/>
      </c>
    </row>
    <row r="182" customFormat="false" ht="15" hidden="false" customHeight="false" outlineLevel="0" collapsed="false">
      <c r="A182" s="33" t="str">
        <f aca="false">IF($G182="","","CEO Office")</f>
        <v/>
      </c>
      <c r="B182" s="19"/>
      <c r="C182" s="19"/>
      <c r="D182" s="19"/>
      <c r="E182" s="19"/>
      <c r="F182" s="19"/>
      <c r="G182" s="19"/>
      <c r="H182" s="19"/>
      <c r="I182" s="19"/>
      <c r="J182" s="19"/>
      <c r="K182" s="19"/>
      <c r="L182" s="19"/>
      <c r="M182" s="19"/>
      <c r="N182" s="19"/>
      <c r="O182" s="19"/>
      <c r="P182" s="19"/>
      <c r="Q182" s="19"/>
      <c r="R182" s="19"/>
      <c r="S182" s="19"/>
      <c r="T182" s="34" t="str">
        <f aca="false">IF($R182="","",IFERROR(INDEX(DriverCategory,MATCH($R182,DriverList,0)),"BAU"))</f>
        <v/>
      </c>
      <c r="U182" s="34" t="str">
        <f aca="false">IF($R182="","",IFERROR(INDEX(DriverRank,MATCH($R182,DriverList,0)),99))</f>
        <v/>
      </c>
      <c r="V182" s="35" t="n">
        <f aca="false">IF($H182="",0,IFERROR(INDEX(LevelBasic,MATCH($H182,LevelList,0))+INDEX(LevelHousing,MATCH($H182,LevelList,0))+INDEX(LevelTransport,MATCH($H182,LevelList,0))+INDEX(LevelBasic,MATCH($H182,LevelList,0))*INDEX(LevelBonus,MATCH($H182,LevelList,0))+(INDEX(LevelBasic,MATCH($H182,LevelList,0))+INDEX(LevelHousing,MATCH($H182,LevelList,0)))*GosiSaudi,0))</f>
        <v>0</v>
      </c>
      <c r="W182" s="35" t="n">
        <f aca="false">IFERROR(INDEX(LevelOneOff,MATCH($H182,LevelList,0)),0)</f>
        <v>0</v>
      </c>
      <c r="X182" s="35" t="str">
        <f aca="false">IF($G182="","",$V182*N($L182))</f>
        <v/>
      </c>
      <c r="Y182" s="35" t="str">
        <f aca="false">IF($G182="","",$V182*(N($M182)*1+N($N182)*0.75+N($O182)*0.5+N($P182)*0.25)+$W182*N($L182))</f>
        <v/>
      </c>
      <c r="Z182" s="35" t="str">
        <f aca="false">IF($G182="","",$U182*1000000+ROW())</f>
        <v/>
      </c>
      <c r="AA182" s="36" t="str">
        <f aca="false">IF($G182="","",MID(IF($C182="",", no division","")&amp;IF($E182="",", no unit","")&amp;IF($H182="",", no career level","")&amp;IF(N($L182)&lt;=0,", no quarter split","")&amp;IF($R182="",", no driver","")&amp;IF(AND($H182&lt;&gt;"",COUNTIF(CareerLevels,$H182)=0),", a career level that is not on the ladder","")&amp;IF(AND($R182&lt;&gt;"",COUNTIF(DriverList,$R182)=0),", a driver that is not on the list","")&amp;IF(ABS(N($L182)-(N($M182)+N($N182)+N($O182)+N($P182)))&gt;0.001,", a total that does not match its quarters",""),3,300))</f>
        <v/>
      </c>
    </row>
    <row r="183" customFormat="false" ht="15" hidden="false" customHeight="false" outlineLevel="0" collapsed="false">
      <c r="A183" s="33" t="str">
        <f aca="false">IF($G183="","","CEO Office")</f>
        <v/>
      </c>
      <c r="B183" s="19"/>
      <c r="C183" s="19"/>
      <c r="D183" s="19"/>
      <c r="E183" s="19"/>
      <c r="F183" s="19"/>
      <c r="G183" s="19"/>
      <c r="H183" s="19"/>
      <c r="I183" s="19"/>
      <c r="J183" s="19"/>
      <c r="K183" s="19"/>
      <c r="L183" s="19"/>
      <c r="M183" s="19"/>
      <c r="N183" s="19"/>
      <c r="O183" s="19"/>
      <c r="P183" s="19"/>
      <c r="Q183" s="19"/>
      <c r="R183" s="19"/>
      <c r="S183" s="19"/>
      <c r="T183" s="34" t="str">
        <f aca="false">IF($R183="","",IFERROR(INDEX(DriverCategory,MATCH($R183,DriverList,0)),"BAU"))</f>
        <v/>
      </c>
      <c r="U183" s="34" t="str">
        <f aca="false">IF($R183="","",IFERROR(INDEX(DriverRank,MATCH($R183,DriverList,0)),99))</f>
        <v/>
      </c>
      <c r="V183" s="35" t="n">
        <f aca="false">IF($H183="",0,IFERROR(INDEX(LevelBasic,MATCH($H183,LevelList,0))+INDEX(LevelHousing,MATCH($H183,LevelList,0))+INDEX(LevelTransport,MATCH($H183,LevelList,0))+INDEX(LevelBasic,MATCH($H183,LevelList,0))*INDEX(LevelBonus,MATCH($H183,LevelList,0))+(INDEX(LevelBasic,MATCH($H183,LevelList,0))+INDEX(LevelHousing,MATCH($H183,LevelList,0)))*GosiSaudi,0))</f>
        <v>0</v>
      </c>
      <c r="W183" s="35" t="n">
        <f aca="false">IFERROR(INDEX(LevelOneOff,MATCH($H183,LevelList,0)),0)</f>
        <v>0</v>
      </c>
      <c r="X183" s="35" t="str">
        <f aca="false">IF($G183="","",$V183*N($L183))</f>
        <v/>
      </c>
      <c r="Y183" s="35" t="str">
        <f aca="false">IF($G183="","",$V183*(N($M183)*1+N($N183)*0.75+N($O183)*0.5+N($P183)*0.25)+$W183*N($L183))</f>
        <v/>
      </c>
      <c r="Z183" s="35" t="str">
        <f aca="false">IF($G183="","",$U183*1000000+ROW())</f>
        <v/>
      </c>
      <c r="AA183" s="36" t="str">
        <f aca="false">IF($G183="","",MID(IF($C183="",", no division","")&amp;IF($E183="",", no unit","")&amp;IF($H183="",", no career level","")&amp;IF(N($L183)&lt;=0,", no quarter split","")&amp;IF($R183="",", no driver","")&amp;IF(AND($H183&lt;&gt;"",COUNTIF(CareerLevels,$H183)=0),", a career level that is not on the ladder","")&amp;IF(AND($R183&lt;&gt;"",COUNTIF(DriverList,$R183)=0),", a driver that is not on the list","")&amp;IF(ABS(N($L183)-(N($M183)+N($N183)+N($O183)+N($P183)))&gt;0.001,", a total that does not match its quarters",""),3,300))</f>
        <v/>
      </c>
    </row>
    <row r="184" customFormat="false" ht="15" hidden="false" customHeight="false" outlineLevel="0" collapsed="false">
      <c r="A184" s="33" t="str">
        <f aca="false">IF($G184="","","CEO Office")</f>
        <v/>
      </c>
      <c r="B184" s="19"/>
      <c r="C184" s="19"/>
      <c r="D184" s="19"/>
      <c r="E184" s="19"/>
      <c r="F184" s="19"/>
      <c r="G184" s="19"/>
      <c r="H184" s="19"/>
      <c r="I184" s="19"/>
      <c r="J184" s="19"/>
      <c r="K184" s="19"/>
      <c r="L184" s="19"/>
      <c r="M184" s="19"/>
      <c r="N184" s="19"/>
      <c r="O184" s="19"/>
      <c r="P184" s="19"/>
      <c r="Q184" s="19"/>
      <c r="R184" s="19"/>
      <c r="S184" s="19"/>
      <c r="T184" s="34" t="str">
        <f aca="false">IF($R184="","",IFERROR(INDEX(DriverCategory,MATCH($R184,DriverList,0)),"BAU"))</f>
        <v/>
      </c>
      <c r="U184" s="34" t="str">
        <f aca="false">IF($R184="","",IFERROR(INDEX(DriverRank,MATCH($R184,DriverList,0)),99))</f>
        <v/>
      </c>
      <c r="V184" s="35" t="n">
        <f aca="false">IF($H184="",0,IFERROR(INDEX(LevelBasic,MATCH($H184,LevelList,0))+INDEX(LevelHousing,MATCH($H184,LevelList,0))+INDEX(LevelTransport,MATCH($H184,LevelList,0))+INDEX(LevelBasic,MATCH($H184,LevelList,0))*INDEX(LevelBonus,MATCH($H184,LevelList,0))+(INDEX(LevelBasic,MATCH($H184,LevelList,0))+INDEX(LevelHousing,MATCH($H184,LevelList,0)))*GosiSaudi,0))</f>
        <v>0</v>
      </c>
      <c r="W184" s="35" t="n">
        <f aca="false">IFERROR(INDEX(LevelOneOff,MATCH($H184,LevelList,0)),0)</f>
        <v>0</v>
      </c>
      <c r="X184" s="35" t="str">
        <f aca="false">IF($G184="","",$V184*N($L184))</f>
        <v/>
      </c>
      <c r="Y184" s="35" t="str">
        <f aca="false">IF($G184="","",$V184*(N($M184)*1+N($N184)*0.75+N($O184)*0.5+N($P184)*0.25)+$W184*N($L184))</f>
        <v/>
      </c>
      <c r="Z184" s="35" t="str">
        <f aca="false">IF($G184="","",$U184*1000000+ROW())</f>
        <v/>
      </c>
      <c r="AA184" s="36" t="str">
        <f aca="false">IF($G184="","",MID(IF($C184="",", no division","")&amp;IF($E184="",", no unit","")&amp;IF($H184="",", no career level","")&amp;IF(N($L184)&lt;=0,", no quarter split","")&amp;IF($R184="",", no driver","")&amp;IF(AND($H184&lt;&gt;"",COUNTIF(CareerLevels,$H184)=0),", a career level that is not on the ladder","")&amp;IF(AND($R184&lt;&gt;"",COUNTIF(DriverList,$R184)=0),", a driver that is not on the list","")&amp;IF(ABS(N($L184)-(N($M184)+N($N184)+N($O184)+N($P184)))&gt;0.001,", a total that does not match its quarters",""),3,300))</f>
        <v/>
      </c>
    </row>
    <row r="185" customFormat="false" ht="15" hidden="false" customHeight="false" outlineLevel="0" collapsed="false">
      <c r="A185" s="33" t="str">
        <f aca="false">IF($G185="","","CEO Office")</f>
        <v/>
      </c>
      <c r="B185" s="19"/>
      <c r="C185" s="19"/>
      <c r="D185" s="19"/>
      <c r="E185" s="19"/>
      <c r="F185" s="19"/>
      <c r="G185" s="19"/>
      <c r="H185" s="19"/>
      <c r="I185" s="19"/>
      <c r="J185" s="19"/>
      <c r="K185" s="19"/>
      <c r="L185" s="19"/>
      <c r="M185" s="19"/>
      <c r="N185" s="19"/>
      <c r="O185" s="19"/>
      <c r="P185" s="19"/>
      <c r="Q185" s="19"/>
      <c r="R185" s="19"/>
      <c r="S185" s="19"/>
      <c r="T185" s="34" t="str">
        <f aca="false">IF($R185="","",IFERROR(INDEX(DriverCategory,MATCH($R185,DriverList,0)),"BAU"))</f>
        <v/>
      </c>
      <c r="U185" s="34" t="str">
        <f aca="false">IF($R185="","",IFERROR(INDEX(DriverRank,MATCH($R185,DriverList,0)),99))</f>
        <v/>
      </c>
      <c r="V185" s="35" t="n">
        <f aca="false">IF($H185="",0,IFERROR(INDEX(LevelBasic,MATCH($H185,LevelList,0))+INDEX(LevelHousing,MATCH($H185,LevelList,0))+INDEX(LevelTransport,MATCH($H185,LevelList,0))+INDEX(LevelBasic,MATCH($H185,LevelList,0))*INDEX(LevelBonus,MATCH($H185,LevelList,0))+(INDEX(LevelBasic,MATCH($H185,LevelList,0))+INDEX(LevelHousing,MATCH($H185,LevelList,0)))*GosiSaudi,0))</f>
        <v>0</v>
      </c>
      <c r="W185" s="35" t="n">
        <f aca="false">IFERROR(INDEX(LevelOneOff,MATCH($H185,LevelList,0)),0)</f>
        <v>0</v>
      </c>
      <c r="X185" s="35" t="str">
        <f aca="false">IF($G185="","",$V185*N($L185))</f>
        <v/>
      </c>
      <c r="Y185" s="35" t="str">
        <f aca="false">IF($G185="","",$V185*(N($M185)*1+N($N185)*0.75+N($O185)*0.5+N($P185)*0.25)+$W185*N($L185))</f>
        <v/>
      </c>
      <c r="Z185" s="35" t="str">
        <f aca="false">IF($G185="","",$U185*1000000+ROW())</f>
        <v/>
      </c>
      <c r="AA185" s="36" t="str">
        <f aca="false">IF($G185="","",MID(IF($C185="",", no division","")&amp;IF($E185="",", no unit","")&amp;IF($H185="",", no career level","")&amp;IF(N($L185)&lt;=0,", no quarter split","")&amp;IF($R185="",", no driver","")&amp;IF(AND($H185&lt;&gt;"",COUNTIF(CareerLevels,$H185)=0),", a career level that is not on the ladder","")&amp;IF(AND($R185&lt;&gt;"",COUNTIF(DriverList,$R185)=0),", a driver that is not on the list","")&amp;IF(ABS(N($L185)-(N($M185)+N($N185)+N($O185)+N($P185)))&gt;0.001,", a total that does not match its quarters",""),3,300))</f>
        <v/>
      </c>
    </row>
    <row r="186" customFormat="false" ht="15" hidden="false" customHeight="false" outlineLevel="0" collapsed="false">
      <c r="A186" s="33" t="str">
        <f aca="false">IF($G186="","","CEO Office")</f>
        <v/>
      </c>
      <c r="B186" s="19"/>
      <c r="C186" s="19"/>
      <c r="D186" s="19"/>
      <c r="E186" s="19"/>
      <c r="F186" s="19"/>
      <c r="G186" s="19"/>
      <c r="H186" s="19"/>
      <c r="I186" s="19"/>
      <c r="J186" s="19"/>
      <c r="K186" s="19"/>
      <c r="L186" s="19"/>
      <c r="M186" s="19"/>
      <c r="N186" s="19"/>
      <c r="O186" s="19"/>
      <c r="P186" s="19"/>
      <c r="Q186" s="19"/>
      <c r="R186" s="19"/>
      <c r="S186" s="19"/>
      <c r="T186" s="34" t="str">
        <f aca="false">IF($R186="","",IFERROR(INDEX(DriverCategory,MATCH($R186,DriverList,0)),"BAU"))</f>
        <v/>
      </c>
      <c r="U186" s="34" t="str">
        <f aca="false">IF($R186="","",IFERROR(INDEX(DriverRank,MATCH($R186,DriverList,0)),99))</f>
        <v/>
      </c>
      <c r="V186" s="35" t="n">
        <f aca="false">IF($H186="",0,IFERROR(INDEX(LevelBasic,MATCH($H186,LevelList,0))+INDEX(LevelHousing,MATCH($H186,LevelList,0))+INDEX(LevelTransport,MATCH($H186,LevelList,0))+INDEX(LevelBasic,MATCH($H186,LevelList,0))*INDEX(LevelBonus,MATCH($H186,LevelList,0))+(INDEX(LevelBasic,MATCH($H186,LevelList,0))+INDEX(LevelHousing,MATCH($H186,LevelList,0)))*GosiSaudi,0))</f>
        <v>0</v>
      </c>
      <c r="W186" s="35" t="n">
        <f aca="false">IFERROR(INDEX(LevelOneOff,MATCH($H186,LevelList,0)),0)</f>
        <v>0</v>
      </c>
      <c r="X186" s="35" t="str">
        <f aca="false">IF($G186="","",$V186*N($L186))</f>
        <v/>
      </c>
      <c r="Y186" s="35" t="str">
        <f aca="false">IF($G186="","",$V186*(N($M186)*1+N($N186)*0.75+N($O186)*0.5+N($P186)*0.25)+$W186*N($L186))</f>
        <v/>
      </c>
      <c r="Z186" s="35" t="str">
        <f aca="false">IF($G186="","",$U186*1000000+ROW())</f>
        <v/>
      </c>
      <c r="AA186" s="36" t="str">
        <f aca="false">IF($G186="","",MID(IF($C186="",", no division","")&amp;IF($E186="",", no unit","")&amp;IF($H186="",", no career level","")&amp;IF(N($L186)&lt;=0,", no quarter split","")&amp;IF($R186="",", no driver","")&amp;IF(AND($H186&lt;&gt;"",COUNTIF(CareerLevels,$H186)=0),", a career level that is not on the ladder","")&amp;IF(AND($R186&lt;&gt;"",COUNTIF(DriverList,$R186)=0),", a driver that is not on the list","")&amp;IF(ABS(N($L186)-(N($M186)+N($N186)+N($O186)+N($P186)))&gt;0.001,", a total that does not match its quarters",""),3,300))</f>
        <v/>
      </c>
    </row>
    <row r="187" customFormat="false" ht="15" hidden="false" customHeight="false" outlineLevel="0" collapsed="false">
      <c r="A187" s="33" t="str">
        <f aca="false">IF($G187="","","CEO Office")</f>
        <v/>
      </c>
      <c r="B187" s="19"/>
      <c r="C187" s="19"/>
      <c r="D187" s="19"/>
      <c r="E187" s="19"/>
      <c r="F187" s="19"/>
      <c r="G187" s="19"/>
      <c r="H187" s="19"/>
      <c r="I187" s="19"/>
      <c r="J187" s="19"/>
      <c r="K187" s="19"/>
      <c r="L187" s="19"/>
      <c r="M187" s="19"/>
      <c r="N187" s="19"/>
      <c r="O187" s="19"/>
      <c r="P187" s="19"/>
      <c r="Q187" s="19"/>
      <c r="R187" s="19"/>
      <c r="S187" s="19"/>
      <c r="T187" s="34" t="str">
        <f aca="false">IF($R187="","",IFERROR(INDEX(DriverCategory,MATCH($R187,DriverList,0)),"BAU"))</f>
        <v/>
      </c>
      <c r="U187" s="34" t="str">
        <f aca="false">IF($R187="","",IFERROR(INDEX(DriverRank,MATCH($R187,DriverList,0)),99))</f>
        <v/>
      </c>
      <c r="V187" s="35" t="n">
        <f aca="false">IF($H187="",0,IFERROR(INDEX(LevelBasic,MATCH($H187,LevelList,0))+INDEX(LevelHousing,MATCH($H187,LevelList,0))+INDEX(LevelTransport,MATCH($H187,LevelList,0))+INDEX(LevelBasic,MATCH($H187,LevelList,0))*INDEX(LevelBonus,MATCH($H187,LevelList,0))+(INDEX(LevelBasic,MATCH($H187,LevelList,0))+INDEX(LevelHousing,MATCH($H187,LevelList,0)))*GosiSaudi,0))</f>
        <v>0</v>
      </c>
      <c r="W187" s="35" t="n">
        <f aca="false">IFERROR(INDEX(LevelOneOff,MATCH($H187,LevelList,0)),0)</f>
        <v>0</v>
      </c>
      <c r="X187" s="35" t="str">
        <f aca="false">IF($G187="","",$V187*N($L187))</f>
        <v/>
      </c>
      <c r="Y187" s="35" t="str">
        <f aca="false">IF($G187="","",$V187*(N($M187)*1+N($N187)*0.75+N($O187)*0.5+N($P187)*0.25)+$W187*N($L187))</f>
        <v/>
      </c>
      <c r="Z187" s="35" t="str">
        <f aca="false">IF($G187="","",$U187*1000000+ROW())</f>
        <v/>
      </c>
      <c r="AA187" s="36" t="str">
        <f aca="false">IF($G187="","",MID(IF($C187="",", no division","")&amp;IF($E187="",", no unit","")&amp;IF($H187="",", no career level","")&amp;IF(N($L187)&lt;=0,", no quarter split","")&amp;IF($R187="",", no driver","")&amp;IF(AND($H187&lt;&gt;"",COUNTIF(CareerLevels,$H187)=0),", a career level that is not on the ladder","")&amp;IF(AND($R187&lt;&gt;"",COUNTIF(DriverList,$R187)=0),", a driver that is not on the list","")&amp;IF(ABS(N($L187)-(N($M187)+N($N187)+N($O187)+N($P187)))&gt;0.001,", a total that does not match its quarters",""),3,300))</f>
        <v/>
      </c>
    </row>
    <row r="188" customFormat="false" ht="15" hidden="false" customHeight="false" outlineLevel="0" collapsed="false">
      <c r="A188" s="33" t="str">
        <f aca="false">IF($G188="","","CEO Office")</f>
        <v/>
      </c>
      <c r="B188" s="19"/>
      <c r="C188" s="19"/>
      <c r="D188" s="19"/>
      <c r="E188" s="19"/>
      <c r="F188" s="19"/>
      <c r="G188" s="19"/>
      <c r="H188" s="19"/>
      <c r="I188" s="19"/>
      <c r="J188" s="19"/>
      <c r="K188" s="19"/>
      <c r="L188" s="19"/>
      <c r="M188" s="19"/>
      <c r="N188" s="19"/>
      <c r="O188" s="19"/>
      <c r="P188" s="19"/>
      <c r="Q188" s="19"/>
      <c r="R188" s="19"/>
      <c r="S188" s="19"/>
      <c r="T188" s="34" t="str">
        <f aca="false">IF($R188="","",IFERROR(INDEX(DriverCategory,MATCH($R188,DriverList,0)),"BAU"))</f>
        <v/>
      </c>
      <c r="U188" s="34" t="str">
        <f aca="false">IF($R188="","",IFERROR(INDEX(DriverRank,MATCH($R188,DriverList,0)),99))</f>
        <v/>
      </c>
      <c r="V188" s="35" t="n">
        <f aca="false">IF($H188="",0,IFERROR(INDEX(LevelBasic,MATCH($H188,LevelList,0))+INDEX(LevelHousing,MATCH($H188,LevelList,0))+INDEX(LevelTransport,MATCH($H188,LevelList,0))+INDEX(LevelBasic,MATCH($H188,LevelList,0))*INDEX(LevelBonus,MATCH($H188,LevelList,0))+(INDEX(LevelBasic,MATCH($H188,LevelList,0))+INDEX(LevelHousing,MATCH($H188,LevelList,0)))*GosiSaudi,0))</f>
        <v>0</v>
      </c>
      <c r="W188" s="35" t="n">
        <f aca="false">IFERROR(INDEX(LevelOneOff,MATCH($H188,LevelList,0)),0)</f>
        <v>0</v>
      </c>
      <c r="X188" s="35" t="str">
        <f aca="false">IF($G188="","",$V188*N($L188))</f>
        <v/>
      </c>
      <c r="Y188" s="35" t="str">
        <f aca="false">IF($G188="","",$V188*(N($M188)*1+N($N188)*0.75+N($O188)*0.5+N($P188)*0.25)+$W188*N($L188))</f>
        <v/>
      </c>
      <c r="Z188" s="35" t="str">
        <f aca="false">IF($G188="","",$U188*1000000+ROW())</f>
        <v/>
      </c>
      <c r="AA188" s="36" t="str">
        <f aca="false">IF($G188="","",MID(IF($C188="",", no division","")&amp;IF($E188="",", no unit","")&amp;IF($H188="",", no career level","")&amp;IF(N($L188)&lt;=0,", no quarter split","")&amp;IF($R188="",", no driver","")&amp;IF(AND($H188&lt;&gt;"",COUNTIF(CareerLevels,$H188)=0),", a career level that is not on the ladder","")&amp;IF(AND($R188&lt;&gt;"",COUNTIF(DriverList,$R188)=0),", a driver that is not on the list","")&amp;IF(ABS(N($L188)-(N($M188)+N($N188)+N($O188)+N($P188)))&gt;0.001,", a total that does not match its quarters",""),3,300))</f>
        <v/>
      </c>
    </row>
    <row r="189" customFormat="false" ht="15" hidden="false" customHeight="false" outlineLevel="0" collapsed="false">
      <c r="A189" s="33" t="str">
        <f aca="false">IF($G189="","","CEO Office")</f>
        <v/>
      </c>
      <c r="B189" s="19"/>
      <c r="C189" s="19"/>
      <c r="D189" s="19"/>
      <c r="E189" s="19"/>
      <c r="F189" s="19"/>
      <c r="G189" s="19"/>
      <c r="H189" s="19"/>
      <c r="I189" s="19"/>
      <c r="J189" s="19"/>
      <c r="K189" s="19"/>
      <c r="L189" s="19"/>
      <c r="M189" s="19"/>
      <c r="N189" s="19"/>
      <c r="O189" s="19"/>
      <c r="P189" s="19"/>
      <c r="Q189" s="19"/>
      <c r="R189" s="19"/>
      <c r="S189" s="19"/>
      <c r="T189" s="34" t="str">
        <f aca="false">IF($R189="","",IFERROR(INDEX(DriverCategory,MATCH($R189,DriverList,0)),"BAU"))</f>
        <v/>
      </c>
      <c r="U189" s="34" t="str">
        <f aca="false">IF($R189="","",IFERROR(INDEX(DriverRank,MATCH($R189,DriverList,0)),99))</f>
        <v/>
      </c>
      <c r="V189" s="35" t="n">
        <f aca="false">IF($H189="",0,IFERROR(INDEX(LevelBasic,MATCH($H189,LevelList,0))+INDEX(LevelHousing,MATCH($H189,LevelList,0))+INDEX(LevelTransport,MATCH($H189,LevelList,0))+INDEX(LevelBasic,MATCH($H189,LevelList,0))*INDEX(LevelBonus,MATCH($H189,LevelList,0))+(INDEX(LevelBasic,MATCH($H189,LevelList,0))+INDEX(LevelHousing,MATCH($H189,LevelList,0)))*GosiSaudi,0))</f>
        <v>0</v>
      </c>
      <c r="W189" s="35" t="n">
        <f aca="false">IFERROR(INDEX(LevelOneOff,MATCH($H189,LevelList,0)),0)</f>
        <v>0</v>
      </c>
      <c r="X189" s="35" t="str">
        <f aca="false">IF($G189="","",$V189*N($L189))</f>
        <v/>
      </c>
      <c r="Y189" s="35" t="str">
        <f aca="false">IF($G189="","",$V189*(N($M189)*1+N($N189)*0.75+N($O189)*0.5+N($P189)*0.25)+$W189*N($L189))</f>
        <v/>
      </c>
      <c r="Z189" s="35" t="str">
        <f aca="false">IF($G189="","",$U189*1000000+ROW())</f>
        <v/>
      </c>
      <c r="AA189" s="36" t="str">
        <f aca="false">IF($G189="","",MID(IF($C189="",", no division","")&amp;IF($E189="",", no unit","")&amp;IF($H189="",", no career level","")&amp;IF(N($L189)&lt;=0,", no quarter split","")&amp;IF($R189="",", no driver","")&amp;IF(AND($H189&lt;&gt;"",COUNTIF(CareerLevels,$H189)=0),", a career level that is not on the ladder","")&amp;IF(AND($R189&lt;&gt;"",COUNTIF(DriverList,$R189)=0),", a driver that is not on the list","")&amp;IF(ABS(N($L189)-(N($M189)+N($N189)+N($O189)+N($P189)))&gt;0.001,", a total that does not match its quarters",""),3,300))</f>
        <v/>
      </c>
    </row>
    <row r="190" customFormat="false" ht="15" hidden="false" customHeight="false" outlineLevel="0" collapsed="false">
      <c r="A190" s="33" t="str">
        <f aca="false">IF($G190="","","CEO Office")</f>
        <v/>
      </c>
      <c r="B190" s="19"/>
      <c r="C190" s="19"/>
      <c r="D190" s="19"/>
      <c r="E190" s="19"/>
      <c r="F190" s="19"/>
      <c r="G190" s="19"/>
      <c r="H190" s="19"/>
      <c r="I190" s="19"/>
      <c r="J190" s="19"/>
      <c r="K190" s="19"/>
      <c r="L190" s="19"/>
      <c r="M190" s="19"/>
      <c r="N190" s="19"/>
      <c r="O190" s="19"/>
      <c r="P190" s="19"/>
      <c r="Q190" s="19"/>
      <c r="R190" s="19"/>
      <c r="S190" s="19"/>
      <c r="T190" s="34" t="str">
        <f aca="false">IF($R190="","",IFERROR(INDEX(DriverCategory,MATCH($R190,DriverList,0)),"BAU"))</f>
        <v/>
      </c>
      <c r="U190" s="34" t="str">
        <f aca="false">IF($R190="","",IFERROR(INDEX(DriverRank,MATCH($R190,DriverList,0)),99))</f>
        <v/>
      </c>
      <c r="V190" s="35" t="n">
        <f aca="false">IF($H190="",0,IFERROR(INDEX(LevelBasic,MATCH($H190,LevelList,0))+INDEX(LevelHousing,MATCH($H190,LevelList,0))+INDEX(LevelTransport,MATCH($H190,LevelList,0))+INDEX(LevelBasic,MATCH($H190,LevelList,0))*INDEX(LevelBonus,MATCH($H190,LevelList,0))+(INDEX(LevelBasic,MATCH($H190,LevelList,0))+INDEX(LevelHousing,MATCH($H190,LevelList,0)))*GosiSaudi,0))</f>
        <v>0</v>
      </c>
      <c r="W190" s="35" t="n">
        <f aca="false">IFERROR(INDEX(LevelOneOff,MATCH($H190,LevelList,0)),0)</f>
        <v>0</v>
      </c>
      <c r="X190" s="35" t="str">
        <f aca="false">IF($G190="","",$V190*N($L190))</f>
        <v/>
      </c>
      <c r="Y190" s="35" t="str">
        <f aca="false">IF($G190="","",$V190*(N($M190)*1+N($N190)*0.75+N($O190)*0.5+N($P190)*0.25)+$W190*N($L190))</f>
        <v/>
      </c>
      <c r="Z190" s="35" t="str">
        <f aca="false">IF($G190="","",$U190*1000000+ROW())</f>
        <v/>
      </c>
      <c r="AA190" s="36" t="str">
        <f aca="false">IF($G190="","",MID(IF($C190="",", no division","")&amp;IF($E190="",", no unit","")&amp;IF($H190="",", no career level","")&amp;IF(N($L190)&lt;=0,", no quarter split","")&amp;IF($R190="",", no driver","")&amp;IF(AND($H190&lt;&gt;"",COUNTIF(CareerLevels,$H190)=0),", a career level that is not on the ladder","")&amp;IF(AND($R190&lt;&gt;"",COUNTIF(DriverList,$R190)=0),", a driver that is not on the list","")&amp;IF(ABS(N($L190)-(N($M190)+N($N190)+N($O190)+N($P190)))&gt;0.001,", a total that does not match its quarters",""),3,300))</f>
        <v/>
      </c>
    </row>
    <row r="191" customFormat="false" ht="15" hidden="false" customHeight="false" outlineLevel="0" collapsed="false">
      <c r="A191" s="33" t="str">
        <f aca="false">IF($G191="","","CEO Office")</f>
        <v/>
      </c>
      <c r="B191" s="19"/>
      <c r="C191" s="19"/>
      <c r="D191" s="19"/>
      <c r="E191" s="19"/>
      <c r="F191" s="19"/>
      <c r="G191" s="19"/>
      <c r="H191" s="19"/>
      <c r="I191" s="19"/>
      <c r="J191" s="19"/>
      <c r="K191" s="19"/>
      <c r="L191" s="19"/>
      <c r="M191" s="19"/>
      <c r="N191" s="19"/>
      <c r="O191" s="19"/>
      <c r="P191" s="19"/>
      <c r="Q191" s="19"/>
      <c r="R191" s="19"/>
      <c r="S191" s="19"/>
      <c r="T191" s="34" t="str">
        <f aca="false">IF($R191="","",IFERROR(INDEX(DriverCategory,MATCH($R191,DriverList,0)),"BAU"))</f>
        <v/>
      </c>
      <c r="U191" s="34" t="str">
        <f aca="false">IF($R191="","",IFERROR(INDEX(DriverRank,MATCH($R191,DriverList,0)),99))</f>
        <v/>
      </c>
      <c r="V191" s="35" t="n">
        <f aca="false">IF($H191="",0,IFERROR(INDEX(LevelBasic,MATCH($H191,LevelList,0))+INDEX(LevelHousing,MATCH($H191,LevelList,0))+INDEX(LevelTransport,MATCH($H191,LevelList,0))+INDEX(LevelBasic,MATCH($H191,LevelList,0))*INDEX(LevelBonus,MATCH($H191,LevelList,0))+(INDEX(LevelBasic,MATCH($H191,LevelList,0))+INDEX(LevelHousing,MATCH($H191,LevelList,0)))*GosiSaudi,0))</f>
        <v>0</v>
      </c>
      <c r="W191" s="35" t="n">
        <f aca="false">IFERROR(INDEX(LevelOneOff,MATCH($H191,LevelList,0)),0)</f>
        <v>0</v>
      </c>
      <c r="X191" s="35" t="str">
        <f aca="false">IF($G191="","",$V191*N($L191))</f>
        <v/>
      </c>
      <c r="Y191" s="35" t="str">
        <f aca="false">IF($G191="","",$V191*(N($M191)*1+N($N191)*0.75+N($O191)*0.5+N($P191)*0.25)+$W191*N($L191))</f>
        <v/>
      </c>
      <c r="Z191" s="35" t="str">
        <f aca="false">IF($G191="","",$U191*1000000+ROW())</f>
        <v/>
      </c>
      <c r="AA191" s="36" t="str">
        <f aca="false">IF($G191="","",MID(IF($C191="",", no division","")&amp;IF($E191="",", no unit","")&amp;IF($H191="",", no career level","")&amp;IF(N($L191)&lt;=0,", no quarter split","")&amp;IF($R191="",", no driver","")&amp;IF(AND($H191&lt;&gt;"",COUNTIF(CareerLevels,$H191)=0),", a career level that is not on the ladder","")&amp;IF(AND($R191&lt;&gt;"",COUNTIF(DriverList,$R191)=0),", a driver that is not on the list","")&amp;IF(ABS(N($L191)-(N($M191)+N($N191)+N($O191)+N($P191)))&gt;0.001,", a total that does not match its quarters",""),3,300))</f>
        <v/>
      </c>
    </row>
    <row r="192" customFormat="false" ht="15" hidden="false" customHeight="false" outlineLevel="0" collapsed="false">
      <c r="A192" s="33" t="str">
        <f aca="false">IF($G192="","","CEO Office")</f>
        <v/>
      </c>
      <c r="B192" s="19"/>
      <c r="C192" s="19"/>
      <c r="D192" s="19"/>
      <c r="E192" s="19"/>
      <c r="F192" s="19"/>
      <c r="G192" s="19"/>
      <c r="H192" s="19"/>
      <c r="I192" s="19"/>
      <c r="J192" s="19"/>
      <c r="K192" s="19"/>
      <c r="L192" s="19"/>
      <c r="M192" s="19"/>
      <c r="N192" s="19"/>
      <c r="O192" s="19"/>
      <c r="P192" s="19"/>
      <c r="Q192" s="19"/>
      <c r="R192" s="19"/>
      <c r="S192" s="19"/>
      <c r="T192" s="34" t="str">
        <f aca="false">IF($R192="","",IFERROR(INDEX(DriverCategory,MATCH($R192,DriverList,0)),"BAU"))</f>
        <v/>
      </c>
      <c r="U192" s="34" t="str">
        <f aca="false">IF($R192="","",IFERROR(INDEX(DriverRank,MATCH($R192,DriverList,0)),99))</f>
        <v/>
      </c>
      <c r="V192" s="35" t="n">
        <f aca="false">IF($H192="",0,IFERROR(INDEX(LevelBasic,MATCH($H192,LevelList,0))+INDEX(LevelHousing,MATCH($H192,LevelList,0))+INDEX(LevelTransport,MATCH($H192,LevelList,0))+INDEX(LevelBasic,MATCH($H192,LevelList,0))*INDEX(LevelBonus,MATCH($H192,LevelList,0))+(INDEX(LevelBasic,MATCH($H192,LevelList,0))+INDEX(LevelHousing,MATCH($H192,LevelList,0)))*GosiSaudi,0))</f>
        <v>0</v>
      </c>
      <c r="W192" s="35" t="n">
        <f aca="false">IFERROR(INDEX(LevelOneOff,MATCH($H192,LevelList,0)),0)</f>
        <v>0</v>
      </c>
      <c r="X192" s="35" t="str">
        <f aca="false">IF($G192="","",$V192*N($L192))</f>
        <v/>
      </c>
      <c r="Y192" s="35" t="str">
        <f aca="false">IF($G192="","",$V192*(N($M192)*1+N($N192)*0.75+N($O192)*0.5+N($P192)*0.25)+$W192*N($L192))</f>
        <v/>
      </c>
      <c r="Z192" s="35" t="str">
        <f aca="false">IF($G192="","",$U192*1000000+ROW())</f>
        <v/>
      </c>
      <c r="AA192" s="36" t="str">
        <f aca="false">IF($G192="","",MID(IF($C192="",", no division","")&amp;IF($E192="",", no unit","")&amp;IF($H192="",", no career level","")&amp;IF(N($L192)&lt;=0,", no quarter split","")&amp;IF($R192="",", no driver","")&amp;IF(AND($H192&lt;&gt;"",COUNTIF(CareerLevels,$H192)=0),", a career level that is not on the ladder","")&amp;IF(AND($R192&lt;&gt;"",COUNTIF(DriverList,$R192)=0),", a driver that is not on the list","")&amp;IF(ABS(N($L192)-(N($M192)+N($N192)+N($O192)+N($P192)))&gt;0.001,", a total that does not match its quarters",""),3,300))</f>
        <v/>
      </c>
    </row>
    <row r="193" customFormat="false" ht="15" hidden="false" customHeight="false" outlineLevel="0" collapsed="false">
      <c r="A193" s="33" t="str">
        <f aca="false">IF($G193="","","CEO Office")</f>
        <v/>
      </c>
      <c r="B193" s="19"/>
      <c r="C193" s="19"/>
      <c r="D193" s="19"/>
      <c r="E193" s="19"/>
      <c r="F193" s="19"/>
      <c r="G193" s="19"/>
      <c r="H193" s="19"/>
      <c r="I193" s="19"/>
      <c r="J193" s="19"/>
      <c r="K193" s="19"/>
      <c r="L193" s="19"/>
      <c r="M193" s="19"/>
      <c r="N193" s="19"/>
      <c r="O193" s="19"/>
      <c r="P193" s="19"/>
      <c r="Q193" s="19"/>
      <c r="R193" s="19"/>
      <c r="S193" s="19"/>
      <c r="T193" s="34" t="str">
        <f aca="false">IF($R193="","",IFERROR(INDEX(DriverCategory,MATCH($R193,DriverList,0)),"BAU"))</f>
        <v/>
      </c>
      <c r="U193" s="34" t="str">
        <f aca="false">IF($R193="","",IFERROR(INDEX(DriverRank,MATCH($R193,DriverList,0)),99))</f>
        <v/>
      </c>
      <c r="V193" s="35" t="n">
        <f aca="false">IF($H193="",0,IFERROR(INDEX(LevelBasic,MATCH($H193,LevelList,0))+INDEX(LevelHousing,MATCH($H193,LevelList,0))+INDEX(LevelTransport,MATCH($H193,LevelList,0))+INDEX(LevelBasic,MATCH($H193,LevelList,0))*INDEX(LevelBonus,MATCH($H193,LevelList,0))+(INDEX(LevelBasic,MATCH($H193,LevelList,0))+INDEX(LevelHousing,MATCH($H193,LevelList,0)))*GosiSaudi,0))</f>
        <v>0</v>
      </c>
      <c r="W193" s="35" t="n">
        <f aca="false">IFERROR(INDEX(LevelOneOff,MATCH($H193,LevelList,0)),0)</f>
        <v>0</v>
      </c>
      <c r="X193" s="35" t="str">
        <f aca="false">IF($G193="","",$V193*N($L193))</f>
        <v/>
      </c>
      <c r="Y193" s="35" t="str">
        <f aca="false">IF($G193="","",$V193*(N($M193)*1+N($N193)*0.75+N($O193)*0.5+N($P193)*0.25)+$W193*N($L193))</f>
        <v/>
      </c>
      <c r="Z193" s="35" t="str">
        <f aca="false">IF($G193="","",$U193*1000000+ROW())</f>
        <v/>
      </c>
      <c r="AA193" s="36" t="str">
        <f aca="false">IF($G193="","",MID(IF($C193="",", no division","")&amp;IF($E193="",", no unit","")&amp;IF($H193="",", no career level","")&amp;IF(N($L193)&lt;=0,", no quarter split","")&amp;IF($R193="",", no driver","")&amp;IF(AND($H193&lt;&gt;"",COUNTIF(CareerLevels,$H193)=0),", a career level that is not on the ladder","")&amp;IF(AND($R193&lt;&gt;"",COUNTIF(DriverList,$R193)=0),", a driver that is not on the list","")&amp;IF(ABS(N($L193)-(N($M193)+N($N193)+N($O193)+N($P193)))&gt;0.001,", a total that does not match its quarters",""),3,300))</f>
        <v/>
      </c>
    </row>
    <row r="194" customFormat="false" ht="15" hidden="false" customHeight="false" outlineLevel="0" collapsed="false">
      <c r="A194" s="33" t="str">
        <f aca="false">IF($G194="","","CEO Office")</f>
        <v/>
      </c>
      <c r="B194" s="19"/>
      <c r="C194" s="19"/>
      <c r="D194" s="19"/>
      <c r="E194" s="19"/>
      <c r="F194" s="19"/>
      <c r="G194" s="19"/>
      <c r="H194" s="19"/>
      <c r="I194" s="19"/>
      <c r="J194" s="19"/>
      <c r="K194" s="19"/>
      <c r="L194" s="19"/>
      <c r="M194" s="19"/>
      <c r="N194" s="19"/>
      <c r="O194" s="19"/>
      <c r="P194" s="19"/>
      <c r="Q194" s="19"/>
      <c r="R194" s="19"/>
      <c r="S194" s="19"/>
      <c r="T194" s="34" t="str">
        <f aca="false">IF($R194="","",IFERROR(INDEX(DriverCategory,MATCH($R194,DriverList,0)),"BAU"))</f>
        <v/>
      </c>
      <c r="U194" s="34" t="str">
        <f aca="false">IF($R194="","",IFERROR(INDEX(DriverRank,MATCH($R194,DriverList,0)),99))</f>
        <v/>
      </c>
      <c r="V194" s="35" t="n">
        <f aca="false">IF($H194="",0,IFERROR(INDEX(LevelBasic,MATCH($H194,LevelList,0))+INDEX(LevelHousing,MATCH($H194,LevelList,0))+INDEX(LevelTransport,MATCH($H194,LevelList,0))+INDEX(LevelBasic,MATCH($H194,LevelList,0))*INDEX(LevelBonus,MATCH($H194,LevelList,0))+(INDEX(LevelBasic,MATCH($H194,LevelList,0))+INDEX(LevelHousing,MATCH($H194,LevelList,0)))*GosiSaudi,0))</f>
        <v>0</v>
      </c>
      <c r="W194" s="35" t="n">
        <f aca="false">IFERROR(INDEX(LevelOneOff,MATCH($H194,LevelList,0)),0)</f>
        <v>0</v>
      </c>
      <c r="X194" s="35" t="str">
        <f aca="false">IF($G194="","",$V194*N($L194))</f>
        <v/>
      </c>
      <c r="Y194" s="35" t="str">
        <f aca="false">IF($G194="","",$V194*(N($M194)*1+N($N194)*0.75+N($O194)*0.5+N($P194)*0.25)+$W194*N($L194))</f>
        <v/>
      </c>
      <c r="Z194" s="35" t="str">
        <f aca="false">IF($G194="","",$U194*1000000+ROW())</f>
        <v/>
      </c>
      <c r="AA194" s="36" t="str">
        <f aca="false">IF($G194="","",MID(IF($C194="",", no division","")&amp;IF($E194="",", no unit","")&amp;IF($H194="",", no career level","")&amp;IF(N($L194)&lt;=0,", no quarter split","")&amp;IF($R194="",", no driver","")&amp;IF(AND($H194&lt;&gt;"",COUNTIF(CareerLevels,$H194)=0),", a career level that is not on the ladder","")&amp;IF(AND($R194&lt;&gt;"",COUNTIF(DriverList,$R194)=0),", a driver that is not on the list","")&amp;IF(ABS(N($L194)-(N($M194)+N($N194)+N($O194)+N($P194)))&gt;0.001,", a total that does not match its quarters",""),3,300))</f>
        <v/>
      </c>
    </row>
    <row r="195" customFormat="false" ht="15" hidden="false" customHeight="false" outlineLevel="0" collapsed="false">
      <c r="A195" s="33" t="str">
        <f aca="false">IF($G195="","","CEO Office")</f>
        <v/>
      </c>
      <c r="B195" s="19"/>
      <c r="C195" s="19"/>
      <c r="D195" s="19"/>
      <c r="E195" s="19"/>
      <c r="F195" s="19"/>
      <c r="G195" s="19"/>
      <c r="H195" s="19"/>
      <c r="I195" s="19"/>
      <c r="J195" s="19"/>
      <c r="K195" s="19"/>
      <c r="L195" s="19"/>
      <c r="M195" s="19"/>
      <c r="N195" s="19"/>
      <c r="O195" s="19"/>
      <c r="P195" s="19"/>
      <c r="Q195" s="19"/>
      <c r="R195" s="19"/>
      <c r="S195" s="19"/>
      <c r="T195" s="34" t="str">
        <f aca="false">IF($R195="","",IFERROR(INDEX(DriverCategory,MATCH($R195,DriverList,0)),"BAU"))</f>
        <v/>
      </c>
      <c r="U195" s="34" t="str">
        <f aca="false">IF($R195="","",IFERROR(INDEX(DriverRank,MATCH($R195,DriverList,0)),99))</f>
        <v/>
      </c>
      <c r="V195" s="35" t="n">
        <f aca="false">IF($H195="",0,IFERROR(INDEX(LevelBasic,MATCH($H195,LevelList,0))+INDEX(LevelHousing,MATCH($H195,LevelList,0))+INDEX(LevelTransport,MATCH($H195,LevelList,0))+INDEX(LevelBasic,MATCH($H195,LevelList,0))*INDEX(LevelBonus,MATCH($H195,LevelList,0))+(INDEX(LevelBasic,MATCH($H195,LevelList,0))+INDEX(LevelHousing,MATCH($H195,LevelList,0)))*GosiSaudi,0))</f>
        <v>0</v>
      </c>
      <c r="W195" s="35" t="n">
        <f aca="false">IFERROR(INDEX(LevelOneOff,MATCH($H195,LevelList,0)),0)</f>
        <v>0</v>
      </c>
      <c r="X195" s="35" t="str">
        <f aca="false">IF($G195="","",$V195*N($L195))</f>
        <v/>
      </c>
      <c r="Y195" s="35" t="str">
        <f aca="false">IF($G195="","",$V195*(N($M195)*1+N($N195)*0.75+N($O195)*0.5+N($P195)*0.25)+$W195*N($L195))</f>
        <v/>
      </c>
      <c r="Z195" s="35" t="str">
        <f aca="false">IF($G195="","",$U195*1000000+ROW())</f>
        <v/>
      </c>
      <c r="AA195" s="36" t="str">
        <f aca="false">IF($G195="","",MID(IF($C195="",", no division","")&amp;IF($E195="",", no unit","")&amp;IF($H195="",", no career level","")&amp;IF(N($L195)&lt;=0,", no quarter split","")&amp;IF($R195="",", no driver","")&amp;IF(AND($H195&lt;&gt;"",COUNTIF(CareerLevels,$H195)=0),", a career level that is not on the ladder","")&amp;IF(AND($R195&lt;&gt;"",COUNTIF(DriverList,$R195)=0),", a driver that is not on the list","")&amp;IF(ABS(N($L195)-(N($M195)+N($N195)+N($O195)+N($P195)))&gt;0.001,", a total that does not match its quarters",""),3,300))</f>
        <v/>
      </c>
    </row>
    <row r="196" customFormat="false" ht="15" hidden="false" customHeight="false" outlineLevel="0" collapsed="false">
      <c r="A196" s="33" t="str">
        <f aca="false">IF($G196="","","CEO Office")</f>
        <v/>
      </c>
      <c r="B196" s="19"/>
      <c r="C196" s="19"/>
      <c r="D196" s="19"/>
      <c r="E196" s="19"/>
      <c r="F196" s="19"/>
      <c r="G196" s="19"/>
      <c r="H196" s="19"/>
      <c r="I196" s="19"/>
      <c r="J196" s="19"/>
      <c r="K196" s="19"/>
      <c r="L196" s="19"/>
      <c r="M196" s="19"/>
      <c r="N196" s="19"/>
      <c r="O196" s="19"/>
      <c r="P196" s="19"/>
      <c r="Q196" s="19"/>
      <c r="R196" s="19"/>
      <c r="S196" s="19"/>
      <c r="T196" s="34" t="str">
        <f aca="false">IF($R196="","",IFERROR(INDEX(DriverCategory,MATCH($R196,DriverList,0)),"BAU"))</f>
        <v/>
      </c>
      <c r="U196" s="34" t="str">
        <f aca="false">IF($R196="","",IFERROR(INDEX(DriverRank,MATCH($R196,DriverList,0)),99))</f>
        <v/>
      </c>
      <c r="V196" s="35" t="n">
        <f aca="false">IF($H196="",0,IFERROR(INDEX(LevelBasic,MATCH($H196,LevelList,0))+INDEX(LevelHousing,MATCH($H196,LevelList,0))+INDEX(LevelTransport,MATCH($H196,LevelList,0))+INDEX(LevelBasic,MATCH($H196,LevelList,0))*INDEX(LevelBonus,MATCH($H196,LevelList,0))+(INDEX(LevelBasic,MATCH($H196,LevelList,0))+INDEX(LevelHousing,MATCH($H196,LevelList,0)))*GosiSaudi,0))</f>
        <v>0</v>
      </c>
      <c r="W196" s="35" t="n">
        <f aca="false">IFERROR(INDEX(LevelOneOff,MATCH($H196,LevelList,0)),0)</f>
        <v>0</v>
      </c>
      <c r="X196" s="35" t="str">
        <f aca="false">IF($G196="","",$V196*N($L196))</f>
        <v/>
      </c>
      <c r="Y196" s="35" t="str">
        <f aca="false">IF($G196="","",$V196*(N($M196)*1+N($N196)*0.75+N($O196)*0.5+N($P196)*0.25)+$W196*N($L196))</f>
        <v/>
      </c>
      <c r="Z196" s="35" t="str">
        <f aca="false">IF($G196="","",$U196*1000000+ROW())</f>
        <v/>
      </c>
      <c r="AA196" s="36" t="str">
        <f aca="false">IF($G196="","",MID(IF($C196="",", no division","")&amp;IF($E196="",", no unit","")&amp;IF($H196="",", no career level","")&amp;IF(N($L196)&lt;=0,", no quarter split","")&amp;IF($R196="",", no driver","")&amp;IF(AND($H196&lt;&gt;"",COUNTIF(CareerLevels,$H196)=0),", a career level that is not on the ladder","")&amp;IF(AND($R196&lt;&gt;"",COUNTIF(DriverList,$R196)=0),", a driver that is not on the list","")&amp;IF(ABS(N($L196)-(N($M196)+N($N196)+N($O196)+N($P196)))&gt;0.001,", a total that does not match its quarters",""),3,300))</f>
        <v/>
      </c>
    </row>
    <row r="197" customFormat="false" ht="15" hidden="false" customHeight="false" outlineLevel="0" collapsed="false">
      <c r="A197" s="33" t="str">
        <f aca="false">IF($G197="","","CEO Office")</f>
        <v/>
      </c>
      <c r="B197" s="19"/>
      <c r="C197" s="19"/>
      <c r="D197" s="19"/>
      <c r="E197" s="19"/>
      <c r="F197" s="19"/>
      <c r="G197" s="19"/>
      <c r="H197" s="19"/>
      <c r="I197" s="19"/>
      <c r="J197" s="19"/>
      <c r="K197" s="19"/>
      <c r="L197" s="19"/>
      <c r="M197" s="19"/>
      <c r="N197" s="19"/>
      <c r="O197" s="19"/>
      <c r="P197" s="19"/>
      <c r="Q197" s="19"/>
      <c r="R197" s="19"/>
      <c r="S197" s="19"/>
      <c r="T197" s="34" t="str">
        <f aca="false">IF($R197="","",IFERROR(INDEX(DriverCategory,MATCH($R197,DriverList,0)),"BAU"))</f>
        <v/>
      </c>
      <c r="U197" s="34" t="str">
        <f aca="false">IF($R197="","",IFERROR(INDEX(DriverRank,MATCH($R197,DriverList,0)),99))</f>
        <v/>
      </c>
      <c r="V197" s="35" t="n">
        <f aca="false">IF($H197="",0,IFERROR(INDEX(LevelBasic,MATCH($H197,LevelList,0))+INDEX(LevelHousing,MATCH($H197,LevelList,0))+INDEX(LevelTransport,MATCH($H197,LevelList,0))+INDEX(LevelBasic,MATCH($H197,LevelList,0))*INDEX(LevelBonus,MATCH($H197,LevelList,0))+(INDEX(LevelBasic,MATCH($H197,LevelList,0))+INDEX(LevelHousing,MATCH($H197,LevelList,0)))*GosiSaudi,0))</f>
        <v>0</v>
      </c>
      <c r="W197" s="35" t="n">
        <f aca="false">IFERROR(INDEX(LevelOneOff,MATCH($H197,LevelList,0)),0)</f>
        <v>0</v>
      </c>
      <c r="X197" s="35" t="str">
        <f aca="false">IF($G197="","",$V197*N($L197))</f>
        <v/>
      </c>
      <c r="Y197" s="35" t="str">
        <f aca="false">IF($G197="","",$V197*(N($M197)*1+N($N197)*0.75+N($O197)*0.5+N($P197)*0.25)+$W197*N($L197))</f>
        <v/>
      </c>
      <c r="Z197" s="35" t="str">
        <f aca="false">IF($G197="","",$U197*1000000+ROW())</f>
        <v/>
      </c>
      <c r="AA197" s="36" t="str">
        <f aca="false">IF($G197="","",MID(IF($C197="",", no division","")&amp;IF($E197="",", no unit","")&amp;IF($H197="",", no career level","")&amp;IF(N($L197)&lt;=0,", no quarter split","")&amp;IF($R197="",", no driver","")&amp;IF(AND($H197&lt;&gt;"",COUNTIF(CareerLevels,$H197)=0),", a career level that is not on the ladder","")&amp;IF(AND($R197&lt;&gt;"",COUNTIF(DriverList,$R197)=0),", a driver that is not on the list","")&amp;IF(ABS(N($L197)-(N($M197)+N($N197)+N($O197)+N($P197)))&gt;0.001,", a total that does not match its quarters",""),3,300))</f>
        <v/>
      </c>
    </row>
    <row r="198" customFormat="false" ht="15" hidden="false" customHeight="false" outlineLevel="0" collapsed="false">
      <c r="A198" s="33" t="str">
        <f aca="false">IF($G198="","","CEO Office")</f>
        <v/>
      </c>
      <c r="B198" s="19"/>
      <c r="C198" s="19"/>
      <c r="D198" s="19"/>
      <c r="E198" s="19"/>
      <c r="F198" s="19"/>
      <c r="G198" s="19"/>
      <c r="H198" s="19"/>
      <c r="I198" s="19"/>
      <c r="J198" s="19"/>
      <c r="K198" s="19"/>
      <c r="L198" s="19"/>
      <c r="M198" s="19"/>
      <c r="N198" s="19"/>
      <c r="O198" s="19"/>
      <c r="P198" s="19"/>
      <c r="Q198" s="19"/>
      <c r="R198" s="19"/>
      <c r="S198" s="19"/>
      <c r="T198" s="34" t="str">
        <f aca="false">IF($R198="","",IFERROR(INDEX(DriverCategory,MATCH($R198,DriverList,0)),"BAU"))</f>
        <v/>
      </c>
      <c r="U198" s="34" t="str">
        <f aca="false">IF($R198="","",IFERROR(INDEX(DriverRank,MATCH($R198,DriverList,0)),99))</f>
        <v/>
      </c>
      <c r="V198" s="35" t="n">
        <f aca="false">IF($H198="",0,IFERROR(INDEX(LevelBasic,MATCH($H198,LevelList,0))+INDEX(LevelHousing,MATCH($H198,LevelList,0))+INDEX(LevelTransport,MATCH($H198,LevelList,0))+INDEX(LevelBasic,MATCH($H198,LevelList,0))*INDEX(LevelBonus,MATCH($H198,LevelList,0))+(INDEX(LevelBasic,MATCH($H198,LevelList,0))+INDEX(LevelHousing,MATCH($H198,LevelList,0)))*GosiSaudi,0))</f>
        <v>0</v>
      </c>
      <c r="W198" s="35" t="n">
        <f aca="false">IFERROR(INDEX(LevelOneOff,MATCH($H198,LevelList,0)),0)</f>
        <v>0</v>
      </c>
      <c r="X198" s="35" t="str">
        <f aca="false">IF($G198="","",$V198*N($L198))</f>
        <v/>
      </c>
      <c r="Y198" s="35" t="str">
        <f aca="false">IF($G198="","",$V198*(N($M198)*1+N($N198)*0.75+N($O198)*0.5+N($P198)*0.25)+$W198*N($L198))</f>
        <v/>
      </c>
      <c r="Z198" s="35" t="str">
        <f aca="false">IF($G198="","",$U198*1000000+ROW())</f>
        <v/>
      </c>
      <c r="AA198" s="36" t="str">
        <f aca="false">IF($G198="","",MID(IF($C198="",", no division","")&amp;IF($E198="",", no unit","")&amp;IF($H198="",", no career level","")&amp;IF(N($L198)&lt;=0,", no quarter split","")&amp;IF($R198="",", no driver","")&amp;IF(AND($H198&lt;&gt;"",COUNTIF(CareerLevels,$H198)=0),", a career level that is not on the ladder","")&amp;IF(AND($R198&lt;&gt;"",COUNTIF(DriverList,$R198)=0),", a driver that is not on the list","")&amp;IF(ABS(N($L198)-(N($M198)+N($N198)+N($O198)+N($P198)))&gt;0.001,", a total that does not match its quarters",""),3,300))</f>
        <v/>
      </c>
    </row>
    <row r="199" customFormat="false" ht="15" hidden="false" customHeight="false" outlineLevel="0" collapsed="false">
      <c r="A199" s="33" t="str">
        <f aca="false">IF($G199="","","CEO Office")</f>
        <v/>
      </c>
      <c r="B199" s="19"/>
      <c r="C199" s="19"/>
      <c r="D199" s="19"/>
      <c r="E199" s="19"/>
      <c r="F199" s="19"/>
      <c r="G199" s="19"/>
      <c r="H199" s="19"/>
      <c r="I199" s="19"/>
      <c r="J199" s="19"/>
      <c r="K199" s="19"/>
      <c r="L199" s="19"/>
      <c r="M199" s="19"/>
      <c r="N199" s="19"/>
      <c r="O199" s="19"/>
      <c r="P199" s="19"/>
      <c r="Q199" s="19"/>
      <c r="R199" s="19"/>
      <c r="S199" s="19"/>
      <c r="T199" s="34" t="str">
        <f aca="false">IF($R199="","",IFERROR(INDEX(DriverCategory,MATCH($R199,DriverList,0)),"BAU"))</f>
        <v/>
      </c>
      <c r="U199" s="34" t="str">
        <f aca="false">IF($R199="","",IFERROR(INDEX(DriverRank,MATCH($R199,DriverList,0)),99))</f>
        <v/>
      </c>
      <c r="V199" s="35" t="n">
        <f aca="false">IF($H199="",0,IFERROR(INDEX(LevelBasic,MATCH($H199,LevelList,0))+INDEX(LevelHousing,MATCH($H199,LevelList,0))+INDEX(LevelTransport,MATCH($H199,LevelList,0))+INDEX(LevelBasic,MATCH($H199,LevelList,0))*INDEX(LevelBonus,MATCH($H199,LevelList,0))+(INDEX(LevelBasic,MATCH($H199,LevelList,0))+INDEX(LevelHousing,MATCH($H199,LevelList,0)))*GosiSaudi,0))</f>
        <v>0</v>
      </c>
      <c r="W199" s="35" t="n">
        <f aca="false">IFERROR(INDEX(LevelOneOff,MATCH($H199,LevelList,0)),0)</f>
        <v>0</v>
      </c>
      <c r="X199" s="35" t="str">
        <f aca="false">IF($G199="","",$V199*N($L199))</f>
        <v/>
      </c>
      <c r="Y199" s="35" t="str">
        <f aca="false">IF($G199="","",$V199*(N($M199)*1+N($N199)*0.75+N($O199)*0.5+N($P199)*0.25)+$W199*N($L199))</f>
        <v/>
      </c>
      <c r="Z199" s="35" t="str">
        <f aca="false">IF($G199="","",$U199*1000000+ROW())</f>
        <v/>
      </c>
      <c r="AA199" s="36" t="str">
        <f aca="false">IF($G199="","",MID(IF($C199="",", no division","")&amp;IF($E199="",", no unit","")&amp;IF($H199="",", no career level","")&amp;IF(N($L199)&lt;=0,", no quarter split","")&amp;IF($R199="",", no driver","")&amp;IF(AND($H199&lt;&gt;"",COUNTIF(CareerLevels,$H199)=0),", a career level that is not on the ladder","")&amp;IF(AND($R199&lt;&gt;"",COUNTIF(DriverList,$R199)=0),", a driver that is not on the list","")&amp;IF(ABS(N($L199)-(N($M199)+N($N199)+N($O199)+N($P199)))&gt;0.001,", a total that does not match its quarters",""),3,300))</f>
        <v/>
      </c>
    </row>
    <row r="200" customFormat="false" ht="15" hidden="false" customHeight="false" outlineLevel="0" collapsed="false">
      <c r="A200" s="33" t="str">
        <f aca="false">IF($G200="","","CEO Office")</f>
        <v/>
      </c>
      <c r="B200" s="19"/>
      <c r="C200" s="19"/>
      <c r="D200" s="19"/>
      <c r="E200" s="19"/>
      <c r="F200" s="19"/>
      <c r="G200" s="19"/>
      <c r="H200" s="19"/>
      <c r="I200" s="19"/>
      <c r="J200" s="19"/>
      <c r="K200" s="19"/>
      <c r="L200" s="19"/>
      <c r="M200" s="19"/>
      <c r="N200" s="19"/>
      <c r="O200" s="19"/>
      <c r="P200" s="19"/>
      <c r="Q200" s="19"/>
      <c r="R200" s="19"/>
      <c r="S200" s="19"/>
      <c r="T200" s="34" t="str">
        <f aca="false">IF($R200="","",IFERROR(INDEX(DriverCategory,MATCH($R200,DriverList,0)),"BAU"))</f>
        <v/>
      </c>
      <c r="U200" s="34" t="str">
        <f aca="false">IF($R200="","",IFERROR(INDEX(DriverRank,MATCH($R200,DriverList,0)),99))</f>
        <v/>
      </c>
      <c r="V200" s="35" t="n">
        <f aca="false">IF($H200="",0,IFERROR(INDEX(LevelBasic,MATCH($H200,LevelList,0))+INDEX(LevelHousing,MATCH($H200,LevelList,0))+INDEX(LevelTransport,MATCH($H200,LevelList,0))+INDEX(LevelBasic,MATCH($H200,LevelList,0))*INDEX(LevelBonus,MATCH($H200,LevelList,0))+(INDEX(LevelBasic,MATCH($H200,LevelList,0))+INDEX(LevelHousing,MATCH($H200,LevelList,0)))*GosiSaudi,0))</f>
        <v>0</v>
      </c>
      <c r="W200" s="35" t="n">
        <f aca="false">IFERROR(INDEX(LevelOneOff,MATCH($H200,LevelList,0)),0)</f>
        <v>0</v>
      </c>
      <c r="X200" s="35" t="str">
        <f aca="false">IF($G200="","",$V200*N($L200))</f>
        <v/>
      </c>
      <c r="Y200" s="35" t="str">
        <f aca="false">IF($G200="","",$V200*(N($M200)*1+N($N200)*0.75+N($O200)*0.5+N($P200)*0.25)+$W200*N($L200))</f>
        <v/>
      </c>
      <c r="Z200" s="35" t="str">
        <f aca="false">IF($G200="","",$U200*1000000+ROW())</f>
        <v/>
      </c>
      <c r="AA200" s="36" t="str">
        <f aca="false">IF($G200="","",MID(IF($C200="",", no division","")&amp;IF($E200="",", no unit","")&amp;IF($H200="",", no career level","")&amp;IF(N($L200)&lt;=0,", no quarter split","")&amp;IF($R200="",", no driver","")&amp;IF(AND($H200&lt;&gt;"",COUNTIF(CareerLevels,$H200)=0),", a career level that is not on the ladder","")&amp;IF(AND($R200&lt;&gt;"",COUNTIF(DriverList,$R200)=0),", a driver that is not on the list","")&amp;IF(ABS(N($L200)-(N($M200)+N($N200)+N($O200)+N($P200)))&gt;0.001,", a total that does not match its quarters",""),3,300))</f>
        <v/>
      </c>
    </row>
    <row r="201" customFormat="false" ht="15" hidden="false" customHeight="false" outlineLevel="0" collapsed="false">
      <c r="A201" s="33" t="str">
        <f aca="false">IF($G201="","","CEO Office")</f>
        <v/>
      </c>
      <c r="B201" s="19"/>
      <c r="C201" s="19"/>
      <c r="D201" s="19"/>
      <c r="E201" s="19"/>
      <c r="F201" s="19"/>
      <c r="G201" s="19"/>
      <c r="H201" s="19"/>
      <c r="I201" s="19"/>
      <c r="J201" s="19"/>
      <c r="K201" s="19"/>
      <c r="L201" s="19"/>
      <c r="M201" s="19"/>
      <c r="N201" s="19"/>
      <c r="O201" s="19"/>
      <c r="P201" s="19"/>
      <c r="Q201" s="19"/>
      <c r="R201" s="19"/>
      <c r="S201" s="19"/>
      <c r="T201" s="34" t="str">
        <f aca="false">IF($R201="","",IFERROR(INDEX(DriverCategory,MATCH($R201,DriverList,0)),"BAU"))</f>
        <v/>
      </c>
      <c r="U201" s="34" t="str">
        <f aca="false">IF($R201="","",IFERROR(INDEX(DriverRank,MATCH($R201,DriverList,0)),99))</f>
        <v/>
      </c>
      <c r="V201" s="35" t="n">
        <f aca="false">IF($H201="",0,IFERROR(INDEX(LevelBasic,MATCH($H201,LevelList,0))+INDEX(LevelHousing,MATCH($H201,LevelList,0))+INDEX(LevelTransport,MATCH($H201,LevelList,0))+INDEX(LevelBasic,MATCH($H201,LevelList,0))*INDEX(LevelBonus,MATCH($H201,LevelList,0))+(INDEX(LevelBasic,MATCH($H201,LevelList,0))+INDEX(LevelHousing,MATCH($H201,LevelList,0)))*GosiSaudi,0))</f>
        <v>0</v>
      </c>
      <c r="W201" s="35" t="n">
        <f aca="false">IFERROR(INDEX(LevelOneOff,MATCH($H201,LevelList,0)),0)</f>
        <v>0</v>
      </c>
      <c r="X201" s="35" t="str">
        <f aca="false">IF($G201="","",$V201*N($L201))</f>
        <v/>
      </c>
      <c r="Y201" s="35" t="str">
        <f aca="false">IF($G201="","",$V201*(N($M201)*1+N($N201)*0.75+N($O201)*0.5+N($P201)*0.25)+$W201*N($L201))</f>
        <v/>
      </c>
      <c r="Z201" s="35" t="str">
        <f aca="false">IF($G201="","",$U201*1000000+ROW())</f>
        <v/>
      </c>
      <c r="AA201" s="36" t="str">
        <f aca="false">IF($G201="","",MID(IF($C201="",", no division","")&amp;IF($E201="",", no unit","")&amp;IF($H201="",", no career level","")&amp;IF(N($L201)&lt;=0,", no quarter split","")&amp;IF($R201="",", no driver","")&amp;IF(AND($H201&lt;&gt;"",COUNTIF(CareerLevels,$H201)=0),", a career level that is not on the ladder","")&amp;IF(AND($R201&lt;&gt;"",COUNTIF(DriverList,$R201)=0),", a driver that is not on the list","")&amp;IF(ABS(N($L201)-(N($M201)+N($N201)+N($O201)+N($P201)))&gt;0.001,", a total that does not match its quarters",""),3,300))</f>
        <v/>
      </c>
    </row>
    <row r="202" customFormat="false" ht="15" hidden="false" customHeight="false" outlineLevel="0" collapsed="false">
      <c r="A202" s="33" t="str">
        <f aca="false">IF($G202="","","CEO Office")</f>
        <v/>
      </c>
      <c r="B202" s="19"/>
      <c r="C202" s="19"/>
      <c r="D202" s="19"/>
      <c r="E202" s="19"/>
      <c r="F202" s="19"/>
      <c r="G202" s="19"/>
      <c r="H202" s="19"/>
      <c r="I202" s="19"/>
      <c r="J202" s="19"/>
      <c r="K202" s="19"/>
      <c r="L202" s="19"/>
      <c r="M202" s="19"/>
      <c r="N202" s="19"/>
      <c r="O202" s="19"/>
      <c r="P202" s="19"/>
      <c r="Q202" s="19"/>
      <c r="R202" s="19"/>
      <c r="S202" s="19"/>
      <c r="T202" s="34" t="str">
        <f aca="false">IF($R202="","",IFERROR(INDEX(DriverCategory,MATCH($R202,DriverList,0)),"BAU"))</f>
        <v/>
      </c>
      <c r="U202" s="34" t="str">
        <f aca="false">IF($R202="","",IFERROR(INDEX(DriverRank,MATCH($R202,DriverList,0)),99))</f>
        <v/>
      </c>
      <c r="V202" s="35" t="n">
        <f aca="false">IF($H202="",0,IFERROR(INDEX(LevelBasic,MATCH($H202,LevelList,0))+INDEX(LevelHousing,MATCH($H202,LevelList,0))+INDEX(LevelTransport,MATCH($H202,LevelList,0))+INDEX(LevelBasic,MATCH($H202,LevelList,0))*INDEX(LevelBonus,MATCH($H202,LevelList,0))+(INDEX(LevelBasic,MATCH($H202,LevelList,0))+INDEX(LevelHousing,MATCH($H202,LevelList,0)))*GosiSaudi,0))</f>
        <v>0</v>
      </c>
      <c r="W202" s="35" t="n">
        <f aca="false">IFERROR(INDEX(LevelOneOff,MATCH($H202,LevelList,0)),0)</f>
        <v>0</v>
      </c>
      <c r="X202" s="35" t="str">
        <f aca="false">IF($G202="","",$V202*N($L202))</f>
        <v/>
      </c>
      <c r="Y202" s="35" t="str">
        <f aca="false">IF($G202="","",$V202*(N($M202)*1+N($N202)*0.75+N($O202)*0.5+N($P202)*0.25)+$W202*N($L202))</f>
        <v/>
      </c>
      <c r="Z202" s="35" t="str">
        <f aca="false">IF($G202="","",$U202*1000000+ROW())</f>
        <v/>
      </c>
      <c r="AA202" s="36" t="str">
        <f aca="false">IF($G202="","",MID(IF($C202="",", no division","")&amp;IF($E202="",", no unit","")&amp;IF($H202="",", no career level","")&amp;IF(N($L202)&lt;=0,", no quarter split","")&amp;IF($R202="",", no driver","")&amp;IF(AND($H202&lt;&gt;"",COUNTIF(CareerLevels,$H202)=0),", a career level that is not on the ladder","")&amp;IF(AND($R202&lt;&gt;"",COUNTIF(DriverList,$R202)=0),", a driver that is not on the list","")&amp;IF(ABS(N($L202)-(N($M202)+N($N202)+N($O202)+N($P202)))&gt;0.001,", a total that does not match its quarters",""),3,300))</f>
        <v/>
      </c>
    </row>
    <row r="203" customFormat="false" ht="15" hidden="false" customHeight="false" outlineLevel="0" collapsed="false">
      <c r="A203" s="33" t="str">
        <f aca="false">IF($G203="","","CEO Office")</f>
        <v/>
      </c>
      <c r="B203" s="19"/>
      <c r="C203" s="19"/>
      <c r="D203" s="19"/>
      <c r="E203" s="19"/>
      <c r="F203" s="19"/>
      <c r="G203" s="19"/>
      <c r="H203" s="19"/>
      <c r="I203" s="19"/>
      <c r="J203" s="19"/>
      <c r="K203" s="19"/>
      <c r="L203" s="19"/>
      <c r="M203" s="19"/>
      <c r="N203" s="19"/>
      <c r="O203" s="19"/>
      <c r="P203" s="19"/>
      <c r="Q203" s="19"/>
      <c r="R203" s="19"/>
      <c r="S203" s="19"/>
      <c r="T203" s="34" t="str">
        <f aca="false">IF($R203="","",IFERROR(INDEX(DriverCategory,MATCH($R203,DriverList,0)),"BAU"))</f>
        <v/>
      </c>
      <c r="U203" s="34" t="str">
        <f aca="false">IF($R203="","",IFERROR(INDEX(DriverRank,MATCH($R203,DriverList,0)),99))</f>
        <v/>
      </c>
      <c r="V203" s="35" t="n">
        <f aca="false">IF($H203="",0,IFERROR(INDEX(LevelBasic,MATCH($H203,LevelList,0))+INDEX(LevelHousing,MATCH($H203,LevelList,0))+INDEX(LevelTransport,MATCH($H203,LevelList,0))+INDEX(LevelBasic,MATCH($H203,LevelList,0))*INDEX(LevelBonus,MATCH($H203,LevelList,0))+(INDEX(LevelBasic,MATCH($H203,LevelList,0))+INDEX(LevelHousing,MATCH($H203,LevelList,0)))*GosiSaudi,0))</f>
        <v>0</v>
      </c>
      <c r="W203" s="35" t="n">
        <f aca="false">IFERROR(INDEX(LevelOneOff,MATCH($H203,LevelList,0)),0)</f>
        <v>0</v>
      </c>
      <c r="X203" s="35" t="str">
        <f aca="false">IF($G203="","",$V203*N($L203))</f>
        <v/>
      </c>
      <c r="Y203" s="35" t="str">
        <f aca="false">IF($G203="","",$V203*(N($M203)*1+N($N203)*0.75+N($O203)*0.5+N($P203)*0.25)+$W203*N($L203))</f>
        <v/>
      </c>
      <c r="Z203" s="35" t="str">
        <f aca="false">IF($G203="","",$U203*1000000+ROW())</f>
        <v/>
      </c>
      <c r="AA203" s="36" t="str">
        <f aca="false">IF($G203="","",MID(IF($C203="",", no division","")&amp;IF($E203="",", no unit","")&amp;IF($H203="",", no career level","")&amp;IF(N($L203)&lt;=0,", no quarter split","")&amp;IF($R203="",", no driver","")&amp;IF(AND($H203&lt;&gt;"",COUNTIF(CareerLevels,$H203)=0),", a career level that is not on the ladder","")&amp;IF(AND($R203&lt;&gt;"",COUNTIF(DriverList,$R203)=0),", a driver that is not on the list","")&amp;IF(ABS(N($L203)-(N($M203)+N($N203)+N($O203)+N($P203)))&gt;0.001,", a total that does not match its quarters",""),3,300))</f>
        <v/>
      </c>
    </row>
    <row r="204" customFormat="false" ht="15" hidden="false" customHeight="false" outlineLevel="0" collapsed="false">
      <c r="A204" s="33" t="str">
        <f aca="false">IF($G204="","","CEO Office")</f>
        <v/>
      </c>
      <c r="B204" s="19"/>
      <c r="C204" s="19"/>
      <c r="D204" s="19"/>
      <c r="E204" s="19"/>
      <c r="F204" s="19"/>
      <c r="G204" s="19"/>
      <c r="H204" s="19"/>
      <c r="I204" s="19"/>
      <c r="J204" s="19"/>
      <c r="K204" s="19"/>
      <c r="L204" s="19"/>
      <c r="M204" s="19"/>
      <c r="N204" s="19"/>
      <c r="O204" s="19"/>
      <c r="P204" s="19"/>
      <c r="Q204" s="19"/>
      <c r="R204" s="19"/>
      <c r="S204" s="19"/>
      <c r="T204" s="34" t="str">
        <f aca="false">IF($R204="","",IFERROR(INDEX(DriverCategory,MATCH($R204,DriverList,0)),"BAU"))</f>
        <v/>
      </c>
      <c r="U204" s="34" t="str">
        <f aca="false">IF($R204="","",IFERROR(INDEX(DriverRank,MATCH($R204,DriverList,0)),99))</f>
        <v/>
      </c>
      <c r="V204" s="35" t="n">
        <f aca="false">IF($H204="",0,IFERROR(INDEX(LevelBasic,MATCH($H204,LevelList,0))+INDEX(LevelHousing,MATCH($H204,LevelList,0))+INDEX(LevelTransport,MATCH($H204,LevelList,0))+INDEX(LevelBasic,MATCH($H204,LevelList,0))*INDEX(LevelBonus,MATCH($H204,LevelList,0))+(INDEX(LevelBasic,MATCH($H204,LevelList,0))+INDEX(LevelHousing,MATCH($H204,LevelList,0)))*GosiSaudi,0))</f>
        <v>0</v>
      </c>
      <c r="W204" s="35" t="n">
        <f aca="false">IFERROR(INDEX(LevelOneOff,MATCH($H204,LevelList,0)),0)</f>
        <v>0</v>
      </c>
      <c r="X204" s="35" t="str">
        <f aca="false">IF($G204="","",$V204*N($L204))</f>
        <v/>
      </c>
      <c r="Y204" s="35" t="str">
        <f aca="false">IF($G204="","",$V204*(N($M204)*1+N($N204)*0.75+N($O204)*0.5+N($P204)*0.25)+$W204*N($L204))</f>
        <v/>
      </c>
      <c r="Z204" s="35" t="str">
        <f aca="false">IF($G204="","",$U204*1000000+ROW())</f>
        <v/>
      </c>
      <c r="AA204" s="36" t="str">
        <f aca="false">IF($G204="","",MID(IF($C204="",", no division","")&amp;IF($E204="",", no unit","")&amp;IF($H204="",", no career level","")&amp;IF(N($L204)&lt;=0,", no quarter split","")&amp;IF($R204="",", no driver","")&amp;IF(AND($H204&lt;&gt;"",COUNTIF(CareerLevels,$H204)=0),", a career level that is not on the ladder","")&amp;IF(AND($R204&lt;&gt;"",COUNTIF(DriverList,$R204)=0),", a driver that is not on the list","")&amp;IF(ABS(N($L204)-(N($M204)+N($N204)+N($O204)+N($P204)))&gt;0.001,", a total that does not match its quarters",""),3,300))</f>
        <v/>
      </c>
    </row>
    <row r="205" customFormat="false" ht="15" hidden="false" customHeight="false" outlineLevel="0" collapsed="false">
      <c r="A205" s="33" t="str">
        <f aca="false">IF($G205="","","CEO Office")</f>
        <v/>
      </c>
      <c r="B205" s="19"/>
      <c r="C205" s="19"/>
      <c r="D205" s="19"/>
      <c r="E205" s="19"/>
      <c r="F205" s="19"/>
      <c r="G205" s="19"/>
      <c r="H205" s="19"/>
      <c r="I205" s="19"/>
      <c r="J205" s="19"/>
      <c r="K205" s="19"/>
      <c r="L205" s="19"/>
      <c r="M205" s="19"/>
      <c r="N205" s="19"/>
      <c r="O205" s="19"/>
      <c r="P205" s="19"/>
      <c r="Q205" s="19"/>
      <c r="R205" s="19"/>
      <c r="S205" s="19"/>
      <c r="T205" s="34" t="str">
        <f aca="false">IF($R205="","",IFERROR(INDEX(DriverCategory,MATCH($R205,DriverList,0)),"BAU"))</f>
        <v/>
      </c>
      <c r="U205" s="34" t="str">
        <f aca="false">IF($R205="","",IFERROR(INDEX(DriverRank,MATCH($R205,DriverList,0)),99))</f>
        <v/>
      </c>
      <c r="V205" s="35" t="n">
        <f aca="false">IF($H205="",0,IFERROR(INDEX(LevelBasic,MATCH($H205,LevelList,0))+INDEX(LevelHousing,MATCH($H205,LevelList,0))+INDEX(LevelTransport,MATCH($H205,LevelList,0))+INDEX(LevelBasic,MATCH($H205,LevelList,0))*INDEX(LevelBonus,MATCH($H205,LevelList,0))+(INDEX(LevelBasic,MATCH($H205,LevelList,0))+INDEX(LevelHousing,MATCH($H205,LevelList,0)))*GosiSaudi,0))</f>
        <v>0</v>
      </c>
      <c r="W205" s="35" t="n">
        <f aca="false">IFERROR(INDEX(LevelOneOff,MATCH($H205,LevelList,0)),0)</f>
        <v>0</v>
      </c>
      <c r="X205" s="35" t="str">
        <f aca="false">IF($G205="","",$V205*N($L205))</f>
        <v/>
      </c>
      <c r="Y205" s="35" t="str">
        <f aca="false">IF($G205="","",$V205*(N($M205)*1+N($N205)*0.75+N($O205)*0.5+N($P205)*0.25)+$W205*N($L205))</f>
        <v/>
      </c>
      <c r="Z205" s="35" t="str">
        <f aca="false">IF($G205="","",$U205*1000000+ROW())</f>
        <v/>
      </c>
      <c r="AA205" s="36" t="str">
        <f aca="false">IF($G205="","",MID(IF($C205="",", no division","")&amp;IF($E205="",", no unit","")&amp;IF($H205="",", no career level","")&amp;IF(N($L205)&lt;=0,", no quarter split","")&amp;IF($R205="",", no driver","")&amp;IF(AND($H205&lt;&gt;"",COUNTIF(CareerLevels,$H205)=0),", a career level that is not on the ladder","")&amp;IF(AND($R205&lt;&gt;"",COUNTIF(DriverList,$R205)=0),", a driver that is not on the list","")&amp;IF(ABS(N($L205)-(N($M205)+N($N205)+N($O205)+N($P205)))&gt;0.001,", a total that does not match its quarters",""),3,300))</f>
        <v/>
      </c>
    </row>
    <row r="206" customFormat="false" ht="15" hidden="false" customHeight="false" outlineLevel="0" collapsed="false">
      <c r="A206" s="28" t="str">
        <f aca="false">IF($G206="","","Compliance Group")</f>
        <v/>
      </c>
      <c r="B206" s="29"/>
      <c r="C206" s="29"/>
      <c r="D206" s="29"/>
      <c r="E206" s="29"/>
      <c r="F206" s="29"/>
      <c r="G206" s="29"/>
      <c r="H206" s="29"/>
      <c r="I206" s="29"/>
      <c r="J206" s="29"/>
      <c r="K206" s="29"/>
      <c r="L206" s="29"/>
      <c r="M206" s="29"/>
      <c r="N206" s="29"/>
      <c r="O206" s="29"/>
      <c r="P206" s="29"/>
      <c r="Q206" s="29"/>
      <c r="R206" s="29"/>
      <c r="S206" s="29"/>
      <c r="T206" s="30" t="str">
        <f aca="false">IF($R206="","",IFERROR(INDEX(DriverCategory,MATCH($R206,DriverList,0)),"BAU"))</f>
        <v/>
      </c>
      <c r="U206" s="30" t="str">
        <f aca="false">IF($R206="","",IFERROR(INDEX(DriverRank,MATCH($R206,DriverList,0)),99))</f>
        <v/>
      </c>
      <c r="V206" s="31" t="n">
        <f aca="false">IF($H206="",0,IFERROR(INDEX(LevelBasic,MATCH($H206,LevelList,0))+INDEX(LevelHousing,MATCH($H206,LevelList,0))+INDEX(LevelTransport,MATCH($H206,LevelList,0))+INDEX(LevelBasic,MATCH($H206,LevelList,0))*INDEX(LevelBonus,MATCH($H206,LevelList,0))+(INDEX(LevelBasic,MATCH($H206,LevelList,0))+INDEX(LevelHousing,MATCH($H206,LevelList,0)))*GosiSaudi,0))</f>
        <v>0</v>
      </c>
      <c r="W206" s="31" t="n">
        <f aca="false">IFERROR(INDEX(LevelOneOff,MATCH($H206,LevelList,0)),0)</f>
        <v>0</v>
      </c>
      <c r="X206" s="31" t="str">
        <f aca="false">IF($G206="","",$V206*N($L206))</f>
        <v/>
      </c>
      <c r="Y206" s="31" t="str">
        <f aca="false">IF($G206="","",$V206*(N($M206)*1+N($N206)*0.75+N($O206)*0.5+N($P206)*0.25)+$W206*N($L206))</f>
        <v/>
      </c>
      <c r="Z206" s="31" t="str">
        <f aca="false">IF($G206="","",$U206*1000000+ROW())</f>
        <v/>
      </c>
      <c r="AA206" s="32" t="str">
        <f aca="false">IF($G206="","",MID(IF($C206="",", no division","")&amp;IF($E206="",", no unit","")&amp;IF($H206="",", no career level","")&amp;IF(N($L206)&lt;=0,", no quarter split","")&amp;IF($R206="",", no driver","")&amp;IF(AND($H206&lt;&gt;"",COUNTIF(CareerLevels,$H206)=0),", a career level that is not on the ladder","")&amp;IF(AND($R206&lt;&gt;"",COUNTIF(DriverList,$R206)=0),", a driver that is not on the list","")&amp;IF(ABS(N($L206)-(N($M206)+N($N206)+N($O206)+N($P206)))&gt;0.001,", a total that does not match its quarters",""),3,300))</f>
        <v/>
      </c>
    </row>
    <row r="207" customFormat="false" ht="15" hidden="false" customHeight="false" outlineLevel="0" collapsed="false">
      <c r="A207" s="33" t="str">
        <f aca="false">IF($G207="","","Compliance Group")</f>
        <v/>
      </c>
      <c r="B207" s="19"/>
      <c r="C207" s="19"/>
      <c r="D207" s="19"/>
      <c r="E207" s="19"/>
      <c r="F207" s="19"/>
      <c r="G207" s="19"/>
      <c r="H207" s="19"/>
      <c r="I207" s="19"/>
      <c r="J207" s="19"/>
      <c r="K207" s="19"/>
      <c r="L207" s="19"/>
      <c r="M207" s="19"/>
      <c r="N207" s="19"/>
      <c r="O207" s="19"/>
      <c r="P207" s="19"/>
      <c r="Q207" s="19"/>
      <c r="R207" s="19"/>
      <c r="S207" s="19"/>
      <c r="T207" s="34" t="str">
        <f aca="false">IF($R207="","",IFERROR(INDEX(DriverCategory,MATCH($R207,DriverList,0)),"BAU"))</f>
        <v/>
      </c>
      <c r="U207" s="34" t="str">
        <f aca="false">IF($R207="","",IFERROR(INDEX(DriverRank,MATCH($R207,DriverList,0)),99))</f>
        <v/>
      </c>
      <c r="V207" s="35" t="n">
        <f aca="false">IF($H207="",0,IFERROR(INDEX(LevelBasic,MATCH($H207,LevelList,0))+INDEX(LevelHousing,MATCH($H207,LevelList,0))+INDEX(LevelTransport,MATCH($H207,LevelList,0))+INDEX(LevelBasic,MATCH($H207,LevelList,0))*INDEX(LevelBonus,MATCH($H207,LevelList,0))+(INDEX(LevelBasic,MATCH($H207,LevelList,0))+INDEX(LevelHousing,MATCH($H207,LevelList,0)))*GosiSaudi,0))</f>
        <v>0</v>
      </c>
      <c r="W207" s="35" t="n">
        <f aca="false">IFERROR(INDEX(LevelOneOff,MATCH($H207,LevelList,0)),0)</f>
        <v>0</v>
      </c>
      <c r="X207" s="35" t="str">
        <f aca="false">IF($G207="","",$V207*N($L207))</f>
        <v/>
      </c>
      <c r="Y207" s="35" t="str">
        <f aca="false">IF($G207="","",$V207*(N($M207)*1+N($N207)*0.75+N($O207)*0.5+N($P207)*0.25)+$W207*N($L207))</f>
        <v/>
      </c>
      <c r="Z207" s="35" t="str">
        <f aca="false">IF($G207="","",$U207*1000000+ROW())</f>
        <v/>
      </c>
      <c r="AA207" s="36" t="str">
        <f aca="false">IF($G207="","",MID(IF($C207="",", no division","")&amp;IF($E207="",", no unit","")&amp;IF($H207="",", no career level","")&amp;IF(N($L207)&lt;=0,", no quarter split","")&amp;IF($R207="",", no driver","")&amp;IF(AND($H207&lt;&gt;"",COUNTIF(CareerLevels,$H207)=0),", a career level that is not on the ladder","")&amp;IF(AND($R207&lt;&gt;"",COUNTIF(DriverList,$R207)=0),", a driver that is not on the list","")&amp;IF(ABS(N($L207)-(N($M207)+N($N207)+N($O207)+N($P207)))&gt;0.001,", a total that does not match its quarters",""),3,300))</f>
        <v/>
      </c>
    </row>
    <row r="208" customFormat="false" ht="15" hidden="false" customHeight="false" outlineLevel="0" collapsed="false">
      <c r="A208" s="33" t="str">
        <f aca="false">IF($G208="","","Compliance Group")</f>
        <v/>
      </c>
      <c r="B208" s="19"/>
      <c r="C208" s="19"/>
      <c r="D208" s="19"/>
      <c r="E208" s="19"/>
      <c r="F208" s="19"/>
      <c r="G208" s="19"/>
      <c r="H208" s="19"/>
      <c r="I208" s="19"/>
      <c r="J208" s="19"/>
      <c r="K208" s="19"/>
      <c r="L208" s="19"/>
      <c r="M208" s="19"/>
      <c r="N208" s="19"/>
      <c r="O208" s="19"/>
      <c r="P208" s="19"/>
      <c r="Q208" s="19"/>
      <c r="R208" s="19"/>
      <c r="S208" s="19"/>
      <c r="T208" s="34" t="str">
        <f aca="false">IF($R208="","",IFERROR(INDEX(DriverCategory,MATCH($R208,DriverList,0)),"BAU"))</f>
        <v/>
      </c>
      <c r="U208" s="34" t="str">
        <f aca="false">IF($R208="","",IFERROR(INDEX(DriverRank,MATCH($R208,DriverList,0)),99))</f>
        <v/>
      </c>
      <c r="V208" s="35" t="n">
        <f aca="false">IF($H208="",0,IFERROR(INDEX(LevelBasic,MATCH($H208,LevelList,0))+INDEX(LevelHousing,MATCH($H208,LevelList,0))+INDEX(LevelTransport,MATCH($H208,LevelList,0))+INDEX(LevelBasic,MATCH($H208,LevelList,0))*INDEX(LevelBonus,MATCH($H208,LevelList,0))+(INDEX(LevelBasic,MATCH($H208,LevelList,0))+INDEX(LevelHousing,MATCH($H208,LevelList,0)))*GosiSaudi,0))</f>
        <v>0</v>
      </c>
      <c r="W208" s="35" t="n">
        <f aca="false">IFERROR(INDEX(LevelOneOff,MATCH($H208,LevelList,0)),0)</f>
        <v>0</v>
      </c>
      <c r="X208" s="35" t="str">
        <f aca="false">IF($G208="","",$V208*N($L208))</f>
        <v/>
      </c>
      <c r="Y208" s="35" t="str">
        <f aca="false">IF($G208="","",$V208*(N($M208)*1+N($N208)*0.75+N($O208)*0.5+N($P208)*0.25)+$W208*N($L208))</f>
        <v/>
      </c>
      <c r="Z208" s="35" t="str">
        <f aca="false">IF($G208="","",$U208*1000000+ROW())</f>
        <v/>
      </c>
      <c r="AA208" s="36" t="str">
        <f aca="false">IF($G208="","",MID(IF($C208="",", no division","")&amp;IF($E208="",", no unit","")&amp;IF($H208="",", no career level","")&amp;IF(N($L208)&lt;=0,", no quarter split","")&amp;IF($R208="",", no driver","")&amp;IF(AND($H208&lt;&gt;"",COUNTIF(CareerLevels,$H208)=0),", a career level that is not on the ladder","")&amp;IF(AND($R208&lt;&gt;"",COUNTIF(DriverList,$R208)=0),", a driver that is not on the list","")&amp;IF(ABS(N($L208)-(N($M208)+N($N208)+N($O208)+N($P208)))&gt;0.001,", a total that does not match its quarters",""),3,300))</f>
        <v/>
      </c>
    </row>
    <row r="209" customFormat="false" ht="15" hidden="false" customHeight="false" outlineLevel="0" collapsed="false">
      <c r="A209" s="33" t="str">
        <f aca="false">IF($G209="","","Compliance Group")</f>
        <v/>
      </c>
      <c r="B209" s="19"/>
      <c r="C209" s="19"/>
      <c r="D209" s="19"/>
      <c r="E209" s="19"/>
      <c r="F209" s="19"/>
      <c r="G209" s="19"/>
      <c r="H209" s="19"/>
      <c r="I209" s="19"/>
      <c r="J209" s="19"/>
      <c r="K209" s="19"/>
      <c r="L209" s="19"/>
      <c r="M209" s="19"/>
      <c r="N209" s="19"/>
      <c r="O209" s="19"/>
      <c r="P209" s="19"/>
      <c r="Q209" s="19"/>
      <c r="R209" s="19"/>
      <c r="S209" s="19"/>
      <c r="T209" s="34" t="str">
        <f aca="false">IF($R209="","",IFERROR(INDEX(DriverCategory,MATCH($R209,DriverList,0)),"BAU"))</f>
        <v/>
      </c>
      <c r="U209" s="34" t="str">
        <f aca="false">IF($R209="","",IFERROR(INDEX(DriverRank,MATCH($R209,DriverList,0)),99))</f>
        <v/>
      </c>
      <c r="V209" s="35" t="n">
        <f aca="false">IF($H209="",0,IFERROR(INDEX(LevelBasic,MATCH($H209,LevelList,0))+INDEX(LevelHousing,MATCH($H209,LevelList,0))+INDEX(LevelTransport,MATCH($H209,LevelList,0))+INDEX(LevelBasic,MATCH($H209,LevelList,0))*INDEX(LevelBonus,MATCH($H209,LevelList,0))+(INDEX(LevelBasic,MATCH($H209,LevelList,0))+INDEX(LevelHousing,MATCH($H209,LevelList,0)))*GosiSaudi,0))</f>
        <v>0</v>
      </c>
      <c r="W209" s="35" t="n">
        <f aca="false">IFERROR(INDEX(LevelOneOff,MATCH($H209,LevelList,0)),0)</f>
        <v>0</v>
      </c>
      <c r="X209" s="35" t="str">
        <f aca="false">IF($G209="","",$V209*N($L209))</f>
        <v/>
      </c>
      <c r="Y209" s="35" t="str">
        <f aca="false">IF($G209="","",$V209*(N($M209)*1+N($N209)*0.75+N($O209)*0.5+N($P209)*0.25)+$W209*N($L209))</f>
        <v/>
      </c>
      <c r="Z209" s="35" t="str">
        <f aca="false">IF($G209="","",$U209*1000000+ROW())</f>
        <v/>
      </c>
      <c r="AA209" s="36" t="str">
        <f aca="false">IF($G209="","",MID(IF($C209="",", no division","")&amp;IF($E209="",", no unit","")&amp;IF($H209="",", no career level","")&amp;IF(N($L209)&lt;=0,", no quarter split","")&amp;IF($R209="",", no driver","")&amp;IF(AND($H209&lt;&gt;"",COUNTIF(CareerLevels,$H209)=0),", a career level that is not on the ladder","")&amp;IF(AND($R209&lt;&gt;"",COUNTIF(DriverList,$R209)=0),", a driver that is not on the list","")&amp;IF(ABS(N($L209)-(N($M209)+N($N209)+N($O209)+N($P209)))&gt;0.001,", a total that does not match its quarters",""),3,300))</f>
        <v/>
      </c>
    </row>
    <row r="210" customFormat="false" ht="15" hidden="false" customHeight="false" outlineLevel="0" collapsed="false">
      <c r="A210" s="33" t="str">
        <f aca="false">IF($G210="","","Compliance Group")</f>
        <v/>
      </c>
      <c r="B210" s="19"/>
      <c r="C210" s="19"/>
      <c r="D210" s="19"/>
      <c r="E210" s="19"/>
      <c r="F210" s="19"/>
      <c r="G210" s="19"/>
      <c r="H210" s="19"/>
      <c r="I210" s="19"/>
      <c r="J210" s="19"/>
      <c r="K210" s="19"/>
      <c r="L210" s="19"/>
      <c r="M210" s="19"/>
      <c r="N210" s="19"/>
      <c r="O210" s="19"/>
      <c r="P210" s="19"/>
      <c r="Q210" s="19"/>
      <c r="R210" s="19"/>
      <c r="S210" s="19"/>
      <c r="T210" s="34" t="str">
        <f aca="false">IF($R210="","",IFERROR(INDEX(DriverCategory,MATCH($R210,DriverList,0)),"BAU"))</f>
        <v/>
      </c>
      <c r="U210" s="34" t="str">
        <f aca="false">IF($R210="","",IFERROR(INDEX(DriverRank,MATCH($R210,DriverList,0)),99))</f>
        <v/>
      </c>
      <c r="V210" s="35" t="n">
        <f aca="false">IF($H210="",0,IFERROR(INDEX(LevelBasic,MATCH($H210,LevelList,0))+INDEX(LevelHousing,MATCH($H210,LevelList,0))+INDEX(LevelTransport,MATCH($H210,LevelList,0))+INDEX(LevelBasic,MATCH($H210,LevelList,0))*INDEX(LevelBonus,MATCH($H210,LevelList,0))+(INDEX(LevelBasic,MATCH($H210,LevelList,0))+INDEX(LevelHousing,MATCH($H210,LevelList,0)))*GosiSaudi,0))</f>
        <v>0</v>
      </c>
      <c r="W210" s="35" t="n">
        <f aca="false">IFERROR(INDEX(LevelOneOff,MATCH($H210,LevelList,0)),0)</f>
        <v>0</v>
      </c>
      <c r="X210" s="35" t="str">
        <f aca="false">IF($G210="","",$V210*N($L210))</f>
        <v/>
      </c>
      <c r="Y210" s="35" t="str">
        <f aca="false">IF($G210="","",$V210*(N($M210)*1+N($N210)*0.75+N($O210)*0.5+N($P210)*0.25)+$W210*N($L210))</f>
        <v/>
      </c>
      <c r="Z210" s="35" t="str">
        <f aca="false">IF($G210="","",$U210*1000000+ROW())</f>
        <v/>
      </c>
      <c r="AA210" s="36" t="str">
        <f aca="false">IF($G210="","",MID(IF($C210="",", no division","")&amp;IF($E210="",", no unit","")&amp;IF($H210="",", no career level","")&amp;IF(N($L210)&lt;=0,", no quarter split","")&amp;IF($R210="",", no driver","")&amp;IF(AND($H210&lt;&gt;"",COUNTIF(CareerLevels,$H210)=0),", a career level that is not on the ladder","")&amp;IF(AND($R210&lt;&gt;"",COUNTIF(DriverList,$R210)=0),", a driver that is not on the list","")&amp;IF(ABS(N($L210)-(N($M210)+N($N210)+N($O210)+N($P210)))&gt;0.001,", a total that does not match its quarters",""),3,300))</f>
        <v/>
      </c>
    </row>
    <row r="211" customFormat="false" ht="15" hidden="false" customHeight="false" outlineLevel="0" collapsed="false">
      <c r="A211" s="33" t="str">
        <f aca="false">IF($G211="","","Compliance Group")</f>
        <v/>
      </c>
      <c r="B211" s="19"/>
      <c r="C211" s="19"/>
      <c r="D211" s="19"/>
      <c r="E211" s="19"/>
      <c r="F211" s="19"/>
      <c r="G211" s="19"/>
      <c r="H211" s="19"/>
      <c r="I211" s="19"/>
      <c r="J211" s="19"/>
      <c r="K211" s="19"/>
      <c r="L211" s="19"/>
      <c r="M211" s="19"/>
      <c r="N211" s="19"/>
      <c r="O211" s="19"/>
      <c r="P211" s="19"/>
      <c r="Q211" s="19"/>
      <c r="R211" s="19"/>
      <c r="S211" s="19"/>
      <c r="T211" s="34" t="str">
        <f aca="false">IF($R211="","",IFERROR(INDEX(DriverCategory,MATCH($R211,DriverList,0)),"BAU"))</f>
        <v/>
      </c>
      <c r="U211" s="34" t="str">
        <f aca="false">IF($R211="","",IFERROR(INDEX(DriverRank,MATCH($R211,DriverList,0)),99))</f>
        <v/>
      </c>
      <c r="V211" s="35" t="n">
        <f aca="false">IF($H211="",0,IFERROR(INDEX(LevelBasic,MATCH($H211,LevelList,0))+INDEX(LevelHousing,MATCH($H211,LevelList,0))+INDEX(LevelTransport,MATCH($H211,LevelList,0))+INDEX(LevelBasic,MATCH($H211,LevelList,0))*INDEX(LevelBonus,MATCH($H211,LevelList,0))+(INDEX(LevelBasic,MATCH($H211,LevelList,0))+INDEX(LevelHousing,MATCH($H211,LevelList,0)))*GosiSaudi,0))</f>
        <v>0</v>
      </c>
      <c r="W211" s="35" t="n">
        <f aca="false">IFERROR(INDEX(LevelOneOff,MATCH($H211,LevelList,0)),0)</f>
        <v>0</v>
      </c>
      <c r="X211" s="35" t="str">
        <f aca="false">IF($G211="","",$V211*N($L211))</f>
        <v/>
      </c>
      <c r="Y211" s="35" t="str">
        <f aca="false">IF($G211="","",$V211*(N($M211)*1+N($N211)*0.75+N($O211)*0.5+N($P211)*0.25)+$W211*N($L211))</f>
        <v/>
      </c>
      <c r="Z211" s="35" t="str">
        <f aca="false">IF($G211="","",$U211*1000000+ROW())</f>
        <v/>
      </c>
      <c r="AA211" s="36" t="str">
        <f aca="false">IF($G211="","",MID(IF($C211="",", no division","")&amp;IF($E211="",", no unit","")&amp;IF($H211="",", no career level","")&amp;IF(N($L211)&lt;=0,", no quarter split","")&amp;IF($R211="",", no driver","")&amp;IF(AND($H211&lt;&gt;"",COUNTIF(CareerLevels,$H211)=0),", a career level that is not on the ladder","")&amp;IF(AND($R211&lt;&gt;"",COUNTIF(DriverList,$R211)=0),", a driver that is not on the list","")&amp;IF(ABS(N($L211)-(N($M211)+N($N211)+N($O211)+N($P211)))&gt;0.001,", a total that does not match its quarters",""),3,300))</f>
        <v/>
      </c>
    </row>
    <row r="212" customFormat="false" ht="15" hidden="false" customHeight="false" outlineLevel="0" collapsed="false">
      <c r="A212" s="33" t="str">
        <f aca="false">IF($G212="","","Compliance Group")</f>
        <v/>
      </c>
      <c r="B212" s="19"/>
      <c r="C212" s="19"/>
      <c r="D212" s="19"/>
      <c r="E212" s="19"/>
      <c r="F212" s="19"/>
      <c r="G212" s="19"/>
      <c r="H212" s="19"/>
      <c r="I212" s="19"/>
      <c r="J212" s="19"/>
      <c r="K212" s="19"/>
      <c r="L212" s="19"/>
      <c r="M212" s="19"/>
      <c r="N212" s="19"/>
      <c r="O212" s="19"/>
      <c r="P212" s="19"/>
      <c r="Q212" s="19"/>
      <c r="R212" s="19"/>
      <c r="S212" s="19"/>
      <c r="T212" s="34" t="str">
        <f aca="false">IF($R212="","",IFERROR(INDEX(DriverCategory,MATCH($R212,DriverList,0)),"BAU"))</f>
        <v/>
      </c>
      <c r="U212" s="34" t="str">
        <f aca="false">IF($R212="","",IFERROR(INDEX(DriverRank,MATCH($R212,DriverList,0)),99))</f>
        <v/>
      </c>
      <c r="V212" s="35" t="n">
        <f aca="false">IF($H212="",0,IFERROR(INDEX(LevelBasic,MATCH($H212,LevelList,0))+INDEX(LevelHousing,MATCH($H212,LevelList,0))+INDEX(LevelTransport,MATCH($H212,LevelList,0))+INDEX(LevelBasic,MATCH($H212,LevelList,0))*INDEX(LevelBonus,MATCH($H212,LevelList,0))+(INDEX(LevelBasic,MATCH($H212,LevelList,0))+INDEX(LevelHousing,MATCH($H212,LevelList,0)))*GosiSaudi,0))</f>
        <v>0</v>
      </c>
      <c r="W212" s="35" t="n">
        <f aca="false">IFERROR(INDEX(LevelOneOff,MATCH($H212,LevelList,0)),0)</f>
        <v>0</v>
      </c>
      <c r="X212" s="35" t="str">
        <f aca="false">IF($G212="","",$V212*N($L212))</f>
        <v/>
      </c>
      <c r="Y212" s="35" t="str">
        <f aca="false">IF($G212="","",$V212*(N($M212)*1+N($N212)*0.75+N($O212)*0.5+N($P212)*0.25)+$W212*N($L212))</f>
        <v/>
      </c>
      <c r="Z212" s="35" t="str">
        <f aca="false">IF($G212="","",$U212*1000000+ROW())</f>
        <v/>
      </c>
      <c r="AA212" s="36" t="str">
        <f aca="false">IF($G212="","",MID(IF($C212="",", no division","")&amp;IF($E212="",", no unit","")&amp;IF($H212="",", no career level","")&amp;IF(N($L212)&lt;=0,", no quarter split","")&amp;IF($R212="",", no driver","")&amp;IF(AND($H212&lt;&gt;"",COUNTIF(CareerLevels,$H212)=0),", a career level that is not on the ladder","")&amp;IF(AND($R212&lt;&gt;"",COUNTIF(DriverList,$R212)=0),", a driver that is not on the list","")&amp;IF(ABS(N($L212)-(N($M212)+N($N212)+N($O212)+N($P212)))&gt;0.001,", a total that does not match its quarters",""),3,300))</f>
        <v/>
      </c>
    </row>
    <row r="213" customFormat="false" ht="15" hidden="false" customHeight="false" outlineLevel="0" collapsed="false">
      <c r="A213" s="33" t="str">
        <f aca="false">IF($G213="","","Compliance Group")</f>
        <v/>
      </c>
      <c r="B213" s="19"/>
      <c r="C213" s="19"/>
      <c r="D213" s="19"/>
      <c r="E213" s="19"/>
      <c r="F213" s="19"/>
      <c r="G213" s="19"/>
      <c r="H213" s="19"/>
      <c r="I213" s="19"/>
      <c r="J213" s="19"/>
      <c r="K213" s="19"/>
      <c r="L213" s="19"/>
      <c r="M213" s="19"/>
      <c r="N213" s="19"/>
      <c r="O213" s="19"/>
      <c r="P213" s="19"/>
      <c r="Q213" s="19"/>
      <c r="R213" s="19"/>
      <c r="S213" s="19"/>
      <c r="T213" s="34" t="str">
        <f aca="false">IF($R213="","",IFERROR(INDEX(DriverCategory,MATCH($R213,DriverList,0)),"BAU"))</f>
        <v/>
      </c>
      <c r="U213" s="34" t="str">
        <f aca="false">IF($R213="","",IFERROR(INDEX(DriverRank,MATCH($R213,DriverList,0)),99))</f>
        <v/>
      </c>
      <c r="V213" s="35" t="n">
        <f aca="false">IF($H213="",0,IFERROR(INDEX(LevelBasic,MATCH($H213,LevelList,0))+INDEX(LevelHousing,MATCH($H213,LevelList,0))+INDEX(LevelTransport,MATCH($H213,LevelList,0))+INDEX(LevelBasic,MATCH($H213,LevelList,0))*INDEX(LevelBonus,MATCH($H213,LevelList,0))+(INDEX(LevelBasic,MATCH($H213,LevelList,0))+INDEX(LevelHousing,MATCH($H213,LevelList,0)))*GosiSaudi,0))</f>
        <v>0</v>
      </c>
      <c r="W213" s="35" t="n">
        <f aca="false">IFERROR(INDEX(LevelOneOff,MATCH($H213,LevelList,0)),0)</f>
        <v>0</v>
      </c>
      <c r="X213" s="35" t="str">
        <f aca="false">IF($G213="","",$V213*N($L213))</f>
        <v/>
      </c>
      <c r="Y213" s="35" t="str">
        <f aca="false">IF($G213="","",$V213*(N($M213)*1+N($N213)*0.75+N($O213)*0.5+N($P213)*0.25)+$W213*N($L213))</f>
        <v/>
      </c>
      <c r="Z213" s="35" t="str">
        <f aca="false">IF($G213="","",$U213*1000000+ROW())</f>
        <v/>
      </c>
      <c r="AA213" s="36" t="str">
        <f aca="false">IF($G213="","",MID(IF($C213="",", no division","")&amp;IF($E213="",", no unit","")&amp;IF($H213="",", no career level","")&amp;IF(N($L213)&lt;=0,", no quarter split","")&amp;IF($R213="",", no driver","")&amp;IF(AND($H213&lt;&gt;"",COUNTIF(CareerLevels,$H213)=0),", a career level that is not on the ladder","")&amp;IF(AND($R213&lt;&gt;"",COUNTIF(DriverList,$R213)=0),", a driver that is not on the list","")&amp;IF(ABS(N($L213)-(N($M213)+N($N213)+N($O213)+N($P213)))&gt;0.001,", a total that does not match its quarters",""),3,300))</f>
        <v/>
      </c>
    </row>
    <row r="214" customFormat="false" ht="15" hidden="false" customHeight="false" outlineLevel="0" collapsed="false">
      <c r="A214" s="33" t="str">
        <f aca="false">IF($G214="","","Compliance Group")</f>
        <v/>
      </c>
      <c r="B214" s="19"/>
      <c r="C214" s="19"/>
      <c r="D214" s="19"/>
      <c r="E214" s="19"/>
      <c r="F214" s="19"/>
      <c r="G214" s="19"/>
      <c r="H214" s="19"/>
      <c r="I214" s="19"/>
      <c r="J214" s="19"/>
      <c r="K214" s="19"/>
      <c r="L214" s="19"/>
      <c r="M214" s="19"/>
      <c r="N214" s="19"/>
      <c r="O214" s="19"/>
      <c r="P214" s="19"/>
      <c r="Q214" s="19"/>
      <c r="R214" s="19"/>
      <c r="S214" s="19"/>
      <c r="T214" s="34" t="str">
        <f aca="false">IF($R214="","",IFERROR(INDEX(DriverCategory,MATCH($R214,DriverList,0)),"BAU"))</f>
        <v/>
      </c>
      <c r="U214" s="34" t="str">
        <f aca="false">IF($R214="","",IFERROR(INDEX(DriverRank,MATCH($R214,DriverList,0)),99))</f>
        <v/>
      </c>
      <c r="V214" s="35" t="n">
        <f aca="false">IF($H214="",0,IFERROR(INDEX(LevelBasic,MATCH($H214,LevelList,0))+INDEX(LevelHousing,MATCH($H214,LevelList,0))+INDEX(LevelTransport,MATCH($H214,LevelList,0))+INDEX(LevelBasic,MATCH($H214,LevelList,0))*INDEX(LevelBonus,MATCH($H214,LevelList,0))+(INDEX(LevelBasic,MATCH($H214,LevelList,0))+INDEX(LevelHousing,MATCH($H214,LevelList,0)))*GosiSaudi,0))</f>
        <v>0</v>
      </c>
      <c r="W214" s="35" t="n">
        <f aca="false">IFERROR(INDEX(LevelOneOff,MATCH($H214,LevelList,0)),0)</f>
        <v>0</v>
      </c>
      <c r="X214" s="35" t="str">
        <f aca="false">IF($G214="","",$V214*N($L214))</f>
        <v/>
      </c>
      <c r="Y214" s="35" t="str">
        <f aca="false">IF($G214="","",$V214*(N($M214)*1+N($N214)*0.75+N($O214)*0.5+N($P214)*0.25)+$W214*N($L214))</f>
        <v/>
      </c>
      <c r="Z214" s="35" t="str">
        <f aca="false">IF($G214="","",$U214*1000000+ROW())</f>
        <v/>
      </c>
      <c r="AA214" s="36" t="str">
        <f aca="false">IF($G214="","",MID(IF($C214="",", no division","")&amp;IF($E214="",", no unit","")&amp;IF($H214="",", no career level","")&amp;IF(N($L214)&lt;=0,", no quarter split","")&amp;IF($R214="",", no driver","")&amp;IF(AND($H214&lt;&gt;"",COUNTIF(CareerLevels,$H214)=0),", a career level that is not on the ladder","")&amp;IF(AND($R214&lt;&gt;"",COUNTIF(DriverList,$R214)=0),", a driver that is not on the list","")&amp;IF(ABS(N($L214)-(N($M214)+N($N214)+N($O214)+N($P214)))&gt;0.001,", a total that does not match its quarters",""),3,300))</f>
        <v/>
      </c>
    </row>
    <row r="215" customFormat="false" ht="15" hidden="false" customHeight="false" outlineLevel="0" collapsed="false">
      <c r="A215" s="33" t="str">
        <f aca="false">IF($G215="","","Compliance Group")</f>
        <v/>
      </c>
      <c r="B215" s="19"/>
      <c r="C215" s="19"/>
      <c r="D215" s="19"/>
      <c r="E215" s="19"/>
      <c r="F215" s="19"/>
      <c r="G215" s="19"/>
      <c r="H215" s="19"/>
      <c r="I215" s="19"/>
      <c r="J215" s="19"/>
      <c r="K215" s="19"/>
      <c r="L215" s="19"/>
      <c r="M215" s="19"/>
      <c r="N215" s="19"/>
      <c r="O215" s="19"/>
      <c r="P215" s="19"/>
      <c r="Q215" s="19"/>
      <c r="R215" s="19"/>
      <c r="S215" s="19"/>
      <c r="T215" s="34" t="str">
        <f aca="false">IF($R215="","",IFERROR(INDEX(DriverCategory,MATCH($R215,DriverList,0)),"BAU"))</f>
        <v/>
      </c>
      <c r="U215" s="34" t="str">
        <f aca="false">IF($R215="","",IFERROR(INDEX(DriverRank,MATCH($R215,DriverList,0)),99))</f>
        <v/>
      </c>
      <c r="V215" s="35" t="n">
        <f aca="false">IF($H215="",0,IFERROR(INDEX(LevelBasic,MATCH($H215,LevelList,0))+INDEX(LevelHousing,MATCH($H215,LevelList,0))+INDEX(LevelTransport,MATCH($H215,LevelList,0))+INDEX(LevelBasic,MATCH($H215,LevelList,0))*INDEX(LevelBonus,MATCH($H215,LevelList,0))+(INDEX(LevelBasic,MATCH($H215,LevelList,0))+INDEX(LevelHousing,MATCH($H215,LevelList,0)))*GosiSaudi,0))</f>
        <v>0</v>
      </c>
      <c r="W215" s="35" t="n">
        <f aca="false">IFERROR(INDEX(LevelOneOff,MATCH($H215,LevelList,0)),0)</f>
        <v>0</v>
      </c>
      <c r="X215" s="35" t="str">
        <f aca="false">IF($G215="","",$V215*N($L215))</f>
        <v/>
      </c>
      <c r="Y215" s="35" t="str">
        <f aca="false">IF($G215="","",$V215*(N($M215)*1+N($N215)*0.75+N($O215)*0.5+N($P215)*0.25)+$W215*N($L215))</f>
        <v/>
      </c>
      <c r="Z215" s="35" t="str">
        <f aca="false">IF($G215="","",$U215*1000000+ROW())</f>
        <v/>
      </c>
      <c r="AA215" s="36" t="str">
        <f aca="false">IF($G215="","",MID(IF($C215="",", no division","")&amp;IF($E215="",", no unit","")&amp;IF($H215="",", no career level","")&amp;IF(N($L215)&lt;=0,", no quarter split","")&amp;IF($R215="",", no driver","")&amp;IF(AND($H215&lt;&gt;"",COUNTIF(CareerLevels,$H215)=0),", a career level that is not on the ladder","")&amp;IF(AND($R215&lt;&gt;"",COUNTIF(DriverList,$R215)=0),", a driver that is not on the list","")&amp;IF(ABS(N($L215)-(N($M215)+N($N215)+N($O215)+N($P215)))&gt;0.001,", a total that does not match its quarters",""),3,300))</f>
        <v/>
      </c>
    </row>
    <row r="216" customFormat="false" ht="15" hidden="false" customHeight="false" outlineLevel="0" collapsed="false">
      <c r="A216" s="33" t="str">
        <f aca="false">IF($G216="","","Compliance Group")</f>
        <v/>
      </c>
      <c r="B216" s="19"/>
      <c r="C216" s="19"/>
      <c r="D216" s="19"/>
      <c r="E216" s="19"/>
      <c r="F216" s="19"/>
      <c r="G216" s="19"/>
      <c r="H216" s="19"/>
      <c r="I216" s="19"/>
      <c r="J216" s="19"/>
      <c r="K216" s="19"/>
      <c r="L216" s="19"/>
      <c r="M216" s="19"/>
      <c r="N216" s="19"/>
      <c r="O216" s="19"/>
      <c r="P216" s="19"/>
      <c r="Q216" s="19"/>
      <c r="R216" s="19"/>
      <c r="S216" s="19"/>
      <c r="T216" s="34" t="str">
        <f aca="false">IF($R216="","",IFERROR(INDEX(DriverCategory,MATCH($R216,DriverList,0)),"BAU"))</f>
        <v/>
      </c>
      <c r="U216" s="34" t="str">
        <f aca="false">IF($R216="","",IFERROR(INDEX(DriverRank,MATCH($R216,DriverList,0)),99))</f>
        <v/>
      </c>
      <c r="V216" s="35" t="n">
        <f aca="false">IF($H216="",0,IFERROR(INDEX(LevelBasic,MATCH($H216,LevelList,0))+INDEX(LevelHousing,MATCH($H216,LevelList,0))+INDEX(LevelTransport,MATCH($H216,LevelList,0))+INDEX(LevelBasic,MATCH($H216,LevelList,0))*INDEX(LevelBonus,MATCH($H216,LevelList,0))+(INDEX(LevelBasic,MATCH($H216,LevelList,0))+INDEX(LevelHousing,MATCH($H216,LevelList,0)))*GosiSaudi,0))</f>
        <v>0</v>
      </c>
      <c r="W216" s="35" t="n">
        <f aca="false">IFERROR(INDEX(LevelOneOff,MATCH($H216,LevelList,0)),0)</f>
        <v>0</v>
      </c>
      <c r="X216" s="35" t="str">
        <f aca="false">IF($G216="","",$V216*N($L216))</f>
        <v/>
      </c>
      <c r="Y216" s="35" t="str">
        <f aca="false">IF($G216="","",$V216*(N($M216)*1+N($N216)*0.75+N($O216)*0.5+N($P216)*0.25)+$W216*N($L216))</f>
        <v/>
      </c>
      <c r="Z216" s="35" t="str">
        <f aca="false">IF($G216="","",$U216*1000000+ROW())</f>
        <v/>
      </c>
      <c r="AA216" s="36" t="str">
        <f aca="false">IF($G216="","",MID(IF($C216="",", no division","")&amp;IF($E216="",", no unit","")&amp;IF($H216="",", no career level","")&amp;IF(N($L216)&lt;=0,", no quarter split","")&amp;IF($R216="",", no driver","")&amp;IF(AND($H216&lt;&gt;"",COUNTIF(CareerLevels,$H216)=0),", a career level that is not on the ladder","")&amp;IF(AND($R216&lt;&gt;"",COUNTIF(DriverList,$R216)=0),", a driver that is not on the list","")&amp;IF(ABS(N($L216)-(N($M216)+N($N216)+N($O216)+N($P216)))&gt;0.001,", a total that does not match its quarters",""),3,300))</f>
        <v/>
      </c>
    </row>
    <row r="217" customFormat="false" ht="15" hidden="false" customHeight="false" outlineLevel="0" collapsed="false">
      <c r="A217" s="33" t="str">
        <f aca="false">IF($G217="","","Compliance Group")</f>
        <v/>
      </c>
      <c r="B217" s="19"/>
      <c r="C217" s="19"/>
      <c r="D217" s="19"/>
      <c r="E217" s="19"/>
      <c r="F217" s="19"/>
      <c r="G217" s="19"/>
      <c r="H217" s="19"/>
      <c r="I217" s="19"/>
      <c r="J217" s="19"/>
      <c r="K217" s="19"/>
      <c r="L217" s="19"/>
      <c r="M217" s="19"/>
      <c r="N217" s="19"/>
      <c r="O217" s="19"/>
      <c r="P217" s="19"/>
      <c r="Q217" s="19"/>
      <c r="R217" s="19"/>
      <c r="S217" s="19"/>
      <c r="T217" s="34" t="str">
        <f aca="false">IF($R217="","",IFERROR(INDEX(DriverCategory,MATCH($R217,DriverList,0)),"BAU"))</f>
        <v/>
      </c>
      <c r="U217" s="34" t="str">
        <f aca="false">IF($R217="","",IFERROR(INDEX(DriverRank,MATCH($R217,DriverList,0)),99))</f>
        <v/>
      </c>
      <c r="V217" s="35" t="n">
        <f aca="false">IF($H217="",0,IFERROR(INDEX(LevelBasic,MATCH($H217,LevelList,0))+INDEX(LevelHousing,MATCH($H217,LevelList,0))+INDEX(LevelTransport,MATCH($H217,LevelList,0))+INDEX(LevelBasic,MATCH($H217,LevelList,0))*INDEX(LevelBonus,MATCH($H217,LevelList,0))+(INDEX(LevelBasic,MATCH($H217,LevelList,0))+INDEX(LevelHousing,MATCH($H217,LevelList,0)))*GosiSaudi,0))</f>
        <v>0</v>
      </c>
      <c r="W217" s="35" t="n">
        <f aca="false">IFERROR(INDEX(LevelOneOff,MATCH($H217,LevelList,0)),0)</f>
        <v>0</v>
      </c>
      <c r="X217" s="35" t="str">
        <f aca="false">IF($G217="","",$V217*N($L217))</f>
        <v/>
      </c>
      <c r="Y217" s="35" t="str">
        <f aca="false">IF($G217="","",$V217*(N($M217)*1+N($N217)*0.75+N($O217)*0.5+N($P217)*0.25)+$W217*N($L217))</f>
        <v/>
      </c>
      <c r="Z217" s="35" t="str">
        <f aca="false">IF($G217="","",$U217*1000000+ROW())</f>
        <v/>
      </c>
      <c r="AA217" s="36" t="str">
        <f aca="false">IF($G217="","",MID(IF($C217="",", no division","")&amp;IF($E217="",", no unit","")&amp;IF($H217="",", no career level","")&amp;IF(N($L217)&lt;=0,", no quarter split","")&amp;IF($R217="",", no driver","")&amp;IF(AND($H217&lt;&gt;"",COUNTIF(CareerLevels,$H217)=0),", a career level that is not on the ladder","")&amp;IF(AND($R217&lt;&gt;"",COUNTIF(DriverList,$R217)=0),", a driver that is not on the list","")&amp;IF(ABS(N($L217)-(N($M217)+N($N217)+N($O217)+N($P217)))&gt;0.001,", a total that does not match its quarters",""),3,300))</f>
        <v/>
      </c>
    </row>
    <row r="218" customFormat="false" ht="15" hidden="false" customHeight="false" outlineLevel="0" collapsed="false">
      <c r="A218" s="33" t="str">
        <f aca="false">IF($G218="","","Compliance Group")</f>
        <v/>
      </c>
      <c r="B218" s="19"/>
      <c r="C218" s="19"/>
      <c r="D218" s="19"/>
      <c r="E218" s="19"/>
      <c r="F218" s="19"/>
      <c r="G218" s="19"/>
      <c r="H218" s="19"/>
      <c r="I218" s="19"/>
      <c r="J218" s="19"/>
      <c r="K218" s="19"/>
      <c r="L218" s="19"/>
      <c r="M218" s="19"/>
      <c r="N218" s="19"/>
      <c r="O218" s="19"/>
      <c r="P218" s="19"/>
      <c r="Q218" s="19"/>
      <c r="R218" s="19"/>
      <c r="S218" s="19"/>
      <c r="T218" s="34" t="str">
        <f aca="false">IF($R218="","",IFERROR(INDEX(DriverCategory,MATCH($R218,DriverList,0)),"BAU"))</f>
        <v/>
      </c>
      <c r="U218" s="34" t="str">
        <f aca="false">IF($R218="","",IFERROR(INDEX(DriverRank,MATCH($R218,DriverList,0)),99))</f>
        <v/>
      </c>
      <c r="V218" s="35" t="n">
        <f aca="false">IF($H218="",0,IFERROR(INDEX(LevelBasic,MATCH($H218,LevelList,0))+INDEX(LevelHousing,MATCH($H218,LevelList,0))+INDEX(LevelTransport,MATCH($H218,LevelList,0))+INDEX(LevelBasic,MATCH($H218,LevelList,0))*INDEX(LevelBonus,MATCH($H218,LevelList,0))+(INDEX(LevelBasic,MATCH($H218,LevelList,0))+INDEX(LevelHousing,MATCH($H218,LevelList,0)))*GosiSaudi,0))</f>
        <v>0</v>
      </c>
      <c r="W218" s="35" t="n">
        <f aca="false">IFERROR(INDEX(LevelOneOff,MATCH($H218,LevelList,0)),0)</f>
        <v>0</v>
      </c>
      <c r="X218" s="35" t="str">
        <f aca="false">IF($G218="","",$V218*N($L218))</f>
        <v/>
      </c>
      <c r="Y218" s="35" t="str">
        <f aca="false">IF($G218="","",$V218*(N($M218)*1+N($N218)*0.75+N($O218)*0.5+N($P218)*0.25)+$W218*N($L218))</f>
        <v/>
      </c>
      <c r="Z218" s="35" t="str">
        <f aca="false">IF($G218="","",$U218*1000000+ROW())</f>
        <v/>
      </c>
      <c r="AA218" s="36" t="str">
        <f aca="false">IF($G218="","",MID(IF($C218="",", no division","")&amp;IF($E218="",", no unit","")&amp;IF($H218="",", no career level","")&amp;IF(N($L218)&lt;=0,", no quarter split","")&amp;IF($R218="",", no driver","")&amp;IF(AND($H218&lt;&gt;"",COUNTIF(CareerLevels,$H218)=0),", a career level that is not on the ladder","")&amp;IF(AND($R218&lt;&gt;"",COUNTIF(DriverList,$R218)=0),", a driver that is not on the list","")&amp;IF(ABS(N($L218)-(N($M218)+N($N218)+N($O218)+N($P218)))&gt;0.001,", a total that does not match its quarters",""),3,300))</f>
        <v/>
      </c>
    </row>
    <row r="219" customFormat="false" ht="15" hidden="false" customHeight="false" outlineLevel="0" collapsed="false">
      <c r="A219" s="33" t="str">
        <f aca="false">IF($G219="","","Compliance Group")</f>
        <v/>
      </c>
      <c r="B219" s="19"/>
      <c r="C219" s="19"/>
      <c r="D219" s="19"/>
      <c r="E219" s="19"/>
      <c r="F219" s="19"/>
      <c r="G219" s="19"/>
      <c r="H219" s="19"/>
      <c r="I219" s="19"/>
      <c r="J219" s="19"/>
      <c r="K219" s="19"/>
      <c r="L219" s="19"/>
      <c r="M219" s="19"/>
      <c r="N219" s="19"/>
      <c r="O219" s="19"/>
      <c r="P219" s="19"/>
      <c r="Q219" s="19"/>
      <c r="R219" s="19"/>
      <c r="S219" s="19"/>
      <c r="T219" s="34" t="str">
        <f aca="false">IF($R219="","",IFERROR(INDEX(DriverCategory,MATCH($R219,DriverList,0)),"BAU"))</f>
        <v/>
      </c>
      <c r="U219" s="34" t="str">
        <f aca="false">IF($R219="","",IFERROR(INDEX(DriverRank,MATCH($R219,DriverList,0)),99))</f>
        <v/>
      </c>
      <c r="V219" s="35" t="n">
        <f aca="false">IF($H219="",0,IFERROR(INDEX(LevelBasic,MATCH($H219,LevelList,0))+INDEX(LevelHousing,MATCH($H219,LevelList,0))+INDEX(LevelTransport,MATCH($H219,LevelList,0))+INDEX(LevelBasic,MATCH($H219,LevelList,0))*INDEX(LevelBonus,MATCH($H219,LevelList,0))+(INDEX(LevelBasic,MATCH($H219,LevelList,0))+INDEX(LevelHousing,MATCH($H219,LevelList,0)))*GosiSaudi,0))</f>
        <v>0</v>
      </c>
      <c r="W219" s="35" t="n">
        <f aca="false">IFERROR(INDEX(LevelOneOff,MATCH($H219,LevelList,0)),0)</f>
        <v>0</v>
      </c>
      <c r="X219" s="35" t="str">
        <f aca="false">IF($G219="","",$V219*N($L219))</f>
        <v/>
      </c>
      <c r="Y219" s="35" t="str">
        <f aca="false">IF($G219="","",$V219*(N($M219)*1+N($N219)*0.75+N($O219)*0.5+N($P219)*0.25)+$W219*N($L219))</f>
        <v/>
      </c>
      <c r="Z219" s="35" t="str">
        <f aca="false">IF($G219="","",$U219*1000000+ROW())</f>
        <v/>
      </c>
      <c r="AA219" s="36" t="str">
        <f aca="false">IF($G219="","",MID(IF($C219="",", no division","")&amp;IF($E219="",", no unit","")&amp;IF($H219="",", no career level","")&amp;IF(N($L219)&lt;=0,", no quarter split","")&amp;IF($R219="",", no driver","")&amp;IF(AND($H219&lt;&gt;"",COUNTIF(CareerLevels,$H219)=0),", a career level that is not on the ladder","")&amp;IF(AND($R219&lt;&gt;"",COUNTIF(DriverList,$R219)=0),", a driver that is not on the list","")&amp;IF(ABS(N($L219)-(N($M219)+N($N219)+N($O219)+N($P219)))&gt;0.001,", a total that does not match its quarters",""),3,300))</f>
        <v/>
      </c>
    </row>
    <row r="220" customFormat="false" ht="15" hidden="false" customHeight="false" outlineLevel="0" collapsed="false">
      <c r="A220" s="33" t="str">
        <f aca="false">IF($G220="","","Compliance Group")</f>
        <v/>
      </c>
      <c r="B220" s="19"/>
      <c r="C220" s="19"/>
      <c r="D220" s="19"/>
      <c r="E220" s="19"/>
      <c r="F220" s="19"/>
      <c r="G220" s="19"/>
      <c r="H220" s="19"/>
      <c r="I220" s="19"/>
      <c r="J220" s="19"/>
      <c r="K220" s="19"/>
      <c r="L220" s="19"/>
      <c r="M220" s="19"/>
      <c r="N220" s="19"/>
      <c r="O220" s="19"/>
      <c r="P220" s="19"/>
      <c r="Q220" s="19"/>
      <c r="R220" s="19"/>
      <c r="S220" s="19"/>
      <c r="T220" s="34" t="str">
        <f aca="false">IF($R220="","",IFERROR(INDEX(DriverCategory,MATCH($R220,DriverList,0)),"BAU"))</f>
        <v/>
      </c>
      <c r="U220" s="34" t="str">
        <f aca="false">IF($R220="","",IFERROR(INDEX(DriverRank,MATCH($R220,DriverList,0)),99))</f>
        <v/>
      </c>
      <c r="V220" s="35" t="n">
        <f aca="false">IF($H220="",0,IFERROR(INDEX(LevelBasic,MATCH($H220,LevelList,0))+INDEX(LevelHousing,MATCH($H220,LevelList,0))+INDEX(LevelTransport,MATCH($H220,LevelList,0))+INDEX(LevelBasic,MATCH($H220,LevelList,0))*INDEX(LevelBonus,MATCH($H220,LevelList,0))+(INDEX(LevelBasic,MATCH($H220,LevelList,0))+INDEX(LevelHousing,MATCH($H220,LevelList,0)))*GosiSaudi,0))</f>
        <v>0</v>
      </c>
      <c r="W220" s="35" t="n">
        <f aca="false">IFERROR(INDEX(LevelOneOff,MATCH($H220,LevelList,0)),0)</f>
        <v>0</v>
      </c>
      <c r="X220" s="35" t="str">
        <f aca="false">IF($G220="","",$V220*N($L220))</f>
        <v/>
      </c>
      <c r="Y220" s="35" t="str">
        <f aca="false">IF($G220="","",$V220*(N($M220)*1+N($N220)*0.75+N($O220)*0.5+N($P220)*0.25)+$W220*N($L220))</f>
        <v/>
      </c>
      <c r="Z220" s="35" t="str">
        <f aca="false">IF($G220="","",$U220*1000000+ROW())</f>
        <v/>
      </c>
      <c r="AA220" s="36" t="str">
        <f aca="false">IF($G220="","",MID(IF($C220="",", no division","")&amp;IF($E220="",", no unit","")&amp;IF($H220="",", no career level","")&amp;IF(N($L220)&lt;=0,", no quarter split","")&amp;IF($R220="",", no driver","")&amp;IF(AND($H220&lt;&gt;"",COUNTIF(CareerLevels,$H220)=0),", a career level that is not on the ladder","")&amp;IF(AND($R220&lt;&gt;"",COUNTIF(DriverList,$R220)=0),", a driver that is not on the list","")&amp;IF(ABS(N($L220)-(N($M220)+N($N220)+N($O220)+N($P220)))&gt;0.001,", a total that does not match its quarters",""),3,300))</f>
        <v/>
      </c>
    </row>
    <row r="221" customFormat="false" ht="15" hidden="false" customHeight="false" outlineLevel="0" collapsed="false">
      <c r="A221" s="33" t="str">
        <f aca="false">IF($G221="","","Compliance Group")</f>
        <v/>
      </c>
      <c r="B221" s="19"/>
      <c r="C221" s="19"/>
      <c r="D221" s="19"/>
      <c r="E221" s="19"/>
      <c r="F221" s="19"/>
      <c r="G221" s="19"/>
      <c r="H221" s="19"/>
      <c r="I221" s="19"/>
      <c r="J221" s="19"/>
      <c r="K221" s="19"/>
      <c r="L221" s="19"/>
      <c r="M221" s="19"/>
      <c r="N221" s="19"/>
      <c r="O221" s="19"/>
      <c r="P221" s="19"/>
      <c r="Q221" s="19"/>
      <c r="R221" s="19"/>
      <c r="S221" s="19"/>
      <c r="T221" s="34" t="str">
        <f aca="false">IF($R221="","",IFERROR(INDEX(DriverCategory,MATCH($R221,DriverList,0)),"BAU"))</f>
        <v/>
      </c>
      <c r="U221" s="34" t="str">
        <f aca="false">IF($R221="","",IFERROR(INDEX(DriverRank,MATCH($R221,DriverList,0)),99))</f>
        <v/>
      </c>
      <c r="V221" s="35" t="n">
        <f aca="false">IF($H221="",0,IFERROR(INDEX(LevelBasic,MATCH($H221,LevelList,0))+INDEX(LevelHousing,MATCH($H221,LevelList,0))+INDEX(LevelTransport,MATCH($H221,LevelList,0))+INDEX(LevelBasic,MATCH($H221,LevelList,0))*INDEX(LevelBonus,MATCH($H221,LevelList,0))+(INDEX(LevelBasic,MATCH($H221,LevelList,0))+INDEX(LevelHousing,MATCH($H221,LevelList,0)))*GosiSaudi,0))</f>
        <v>0</v>
      </c>
      <c r="W221" s="35" t="n">
        <f aca="false">IFERROR(INDEX(LevelOneOff,MATCH($H221,LevelList,0)),0)</f>
        <v>0</v>
      </c>
      <c r="X221" s="35" t="str">
        <f aca="false">IF($G221="","",$V221*N($L221))</f>
        <v/>
      </c>
      <c r="Y221" s="35" t="str">
        <f aca="false">IF($G221="","",$V221*(N($M221)*1+N($N221)*0.75+N($O221)*0.5+N($P221)*0.25)+$W221*N($L221))</f>
        <v/>
      </c>
      <c r="Z221" s="35" t="str">
        <f aca="false">IF($G221="","",$U221*1000000+ROW())</f>
        <v/>
      </c>
      <c r="AA221" s="36" t="str">
        <f aca="false">IF($G221="","",MID(IF($C221="",", no division","")&amp;IF($E221="",", no unit","")&amp;IF($H221="",", no career level","")&amp;IF(N($L221)&lt;=0,", no quarter split","")&amp;IF($R221="",", no driver","")&amp;IF(AND($H221&lt;&gt;"",COUNTIF(CareerLevels,$H221)=0),", a career level that is not on the ladder","")&amp;IF(AND($R221&lt;&gt;"",COUNTIF(DriverList,$R221)=0),", a driver that is not on the list","")&amp;IF(ABS(N($L221)-(N($M221)+N($N221)+N($O221)+N($P221)))&gt;0.001,", a total that does not match its quarters",""),3,300))</f>
        <v/>
      </c>
    </row>
    <row r="222" customFormat="false" ht="15" hidden="false" customHeight="false" outlineLevel="0" collapsed="false">
      <c r="A222" s="33" t="str">
        <f aca="false">IF($G222="","","Compliance Group")</f>
        <v/>
      </c>
      <c r="B222" s="19"/>
      <c r="C222" s="19"/>
      <c r="D222" s="19"/>
      <c r="E222" s="19"/>
      <c r="F222" s="19"/>
      <c r="G222" s="19"/>
      <c r="H222" s="19"/>
      <c r="I222" s="19"/>
      <c r="J222" s="19"/>
      <c r="K222" s="19"/>
      <c r="L222" s="19"/>
      <c r="M222" s="19"/>
      <c r="N222" s="19"/>
      <c r="O222" s="19"/>
      <c r="P222" s="19"/>
      <c r="Q222" s="19"/>
      <c r="R222" s="19"/>
      <c r="S222" s="19"/>
      <c r="T222" s="34" t="str">
        <f aca="false">IF($R222="","",IFERROR(INDEX(DriverCategory,MATCH($R222,DriverList,0)),"BAU"))</f>
        <v/>
      </c>
      <c r="U222" s="34" t="str">
        <f aca="false">IF($R222="","",IFERROR(INDEX(DriverRank,MATCH($R222,DriverList,0)),99))</f>
        <v/>
      </c>
      <c r="V222" s="35" t="n">
        <f aca="false">IF($H222="",0,IFERROR(INDEX(LevelBasic,MATCH($H222,LevelList,0))+INDEX(LevelHousing,MATCH($H222,LevelList,0))+INDEX(LevelTransport,MATCH($H222,LevelList,0))+INDEX(LevelBasic,MATCH($H222,LevelList,0))*INDEX(LevelBonus,MATCH($H222,LevelList,0))+(INDEX(LevelBasic,MATCH($H222,LevelList,0))+INDEX(LevelHousing,MATCH($H222,LevelList,0)))*GosiSaudi,0))</f>
        <v>0</v>
      </c>
      <c r="W222" s="35" t="n">
        <f aca="false">IFERROR(INDEX(LevelOneOff,MATCH($H222,LevelList,0)),0)</f>
        <v>0</v>
      </c>
      <c r="X222" s="35" t="str">
        <f aca="false">IF($G222="","",$V222*N($L222))</f>
        <v/>
      </c>
      <c r="Y222" s="35" t="str">
        <f aca="false">IF($G222="","",$V222*(N($M222)*1+N($N222)*0.75+N($O222)*0.5+N($P222)*0.25)+$W222*N($L222))</f>
        <v/>
      </c>
      <c r="Z222" s="35" t="str">
        <f aca="false">IF($G222="","",$U222*1000000+ROW())</f>
        <v/>
      </c>
      <c r="AA222" s="36" t="str">
        <f aca="false">IF($G222="","",MID(IF($C222="",", no division","")&amp;IF($E222="",", no unit","")&amp;IF($H222="",", no career level","")&amp;IF(N($L222)&lt;=0,", no quarter split","")&amp;IF($R222="",", no driver","")&amp;IF(AND($H222&lt;&gt;"",COUNTIF(CareerLevels,$H222)=0),", a career level that is not on the ladder","")&amp;IF(AND($R222&lt;&gt;"",COUNTIF(DriverList,$R222)=0),", a driver that is not on the list","")&amp;IF(ABS(N($L222)-(N($M222)+N($N222)+N($O222)+N($P222)))&gt;0.001,", a total that does not match its quarters",""),3,300))</f>
        <v/>
      </c>
    </row>
    <row r="223" customFormat="false" ht="15" hidden="false" customHeight="false" outlineLevel="0" collapsed="false">
      <c r="A223" s="33" t="str">
        <f aca="false">IF($G223="","","Compliance Group")</f>
        <v/>
      </c>
      <c r="B223" s="19"/>
      <c r="C223" s="19"/>
      <c r="D223" s="19"/>
      <c r="E223" s="19"/>
      <c r="F223" s="19"/>
      <c r="G223" s="19"/>
      <c r="H223" s="19"/>
      <c r="I223" s="19"/>
      <c r="J223" s="19"/>
      <c r="K223" s="19"/>
      <c r="L223" s="19"/>
      <c r="M223" s="19"/>
      <c r="N223" s="19"/>
      <c r="O223" s="19"/>
      <c r="P223" s="19"/>
      <c r="Q223" s="19"/>
      <c r="R223" s="19"/>
      <c r="S223" s="19"/>
      <c r="T223" s="34" t="str">
        <f aca="false">IF($R223="","",IFERROR(INDEX(DriverCategory,MATCH($R223,DriverList,0)),"BAU"))</f>
        <v/>
      </c>
      <c r="U223" s="34" t="str">
        <f aca="false">IF($R223="","",IFERROR(INDEX(DriverRank,MATCH($R223,DriverList,0)),99))</f>
        <v/>
      </c>
      <c r="V223" s="35" t="n">
        <f aca="false">IF($H223="",0,IFERROR(INDEX(LevelBasic,MATCH($H223,LevelList,0))+INDEX(LevelHousing,MATCH($H223,LevelList,0))+INDEX(LevelTransport,MATCH($H223,LevelList,0))+INDEX(LevelBasic,MATCH($H223,LevelList,0))*INDEX(LevelBonus,MATCH($H223,LevelList,0))+(INDEX(LevelBasic,MATCH($H223,LevelList,0))+INDEX(LevelHousing,MATCH($H223,LevelList,0)))*GosiSaudi,0))</f>
        <v>0</v>
      </c>
      <c r="W223" s="35" t="n">
        <f aca="false">IFERROR(INDEX(LevelOneOff,MATCH($H223,LevelList,0)),0)</f>
        <v>0</v>
      </c>
      <c r="X223" s="35" t="str">
        <f aca="false">IF($G223="","",$V223*N($L223))</f>
        <v/>
      </c>
      <c r="Y223" s="35" t="str">
        <f aca="false">IF($G223="","",$V223*(N($M223)*1+N($N223)*0.75+N($O223)*0.5+N($P223)*0.25)+$W223*N($L223))</f>
        <v/>
      </c>
      <c r="Z223" s="35" t="str">
        <f aca="false">IF($G223="","",$U223*1000000+ROW())</f>
        <v/>
      </c>
      <c r="AA223" s="36" t="str">
        <f aca="false">IF($G223="","",MID(IF($C223="",", no division","")&amp;IF($E223="",", no unit","")&amp;IF($H223="",", no career level","")&amp;IF(N($L223)&lt;=0,", no quarter split","")&amp;IF($R223="",", no driver","")&amp;IF(AND($H223&lt;&gt;"",COUNTIF(CareerLevels,$H223)=0),", a career level that is not on the ladder","")&amp;IF(AND($R223&lt;&gt;"",COUNTIF(DriverList,$R223)=0),", a driver that is not on the list","")&amp;IF(ABS(N($L223)-(N($M223)+N($N223)+N($O223)+N($P223)))&gt;0.001,", a total that does not match its quarters",""),3,300))</f>
        <v/>
      </c>
    </row>
    <row r="224" customFormat="false" ht="15" hidden="false" customHeight="false" outlineLevel="0" collapsed="false">
      <c r="A224" s="33" t="str">
        <f aca="false">IF($G224="","","Compliance Group")</f>
        <v/>
      </c>
      <c r="B224" s="19"/>
      <c r="C224" s="19"/>
      <c r="D224" s="19"/>
      <c r="E224" s="19"/>
      <c r="F224" s="19"/>
      <c r="G224" s="19"/>
      <c r="H224" s="19"/>
      <c r="I224" s="19"/>
      <c r="J224" s="19"/>
      <c r="K224" s="19"/>
      <c r="L224" s="19"/>
      <c r="M224" s="19"/>
      <c r="N224" s="19"/>
      <c r="O224" s="19"/>
      <c r="P224" s="19"/>
      <c r="Q224" s="19"/>
      <c r="R224" s="19"/>
      <c r="S224" s="19"/>
      <c r="T224" s="34" t="str">
        <f aca="false">IF($R224="","",IFERROR(INDEX(DriverCategory,MATCH($R224,DriverList,0)),"BAU"))</f>
        <v/>
      </c>
      <c r="U224" s="34" t="str">
        <f aca="false">IF($R224="","",IFERROR(INDEX(DriverRank,MATCH($R224,DriverList,0)),99))</f>
        <v/>
      </c>
      <c r="V224" s="35" t="n">
        <f aca="false">IF($H224="",0,IFERROR(INDEX(LevelBasic,MATCH($H224,LevelList,0))+INDEX(LevelHousing,MATCH($H224,LevelList,0))+INDEX(LevelTransport,MATCH($H224,LevelList,0))+INDEX(LevelBasic,MATCH($H224,LevelList,0))*INDEX(LevelBonus,MATCH($H224,LevelList,0))+(INDEX(LevelBasic,MATCH($H224,LevelList,0))+INDEX(LevelHousing,MATCH($H224,LevelList,0)))*GosiSaudi,0))</f>
        <v>0</v>
      </c>
      <c r="W224" s="35" t="n">
        <f aca="false">IFERROR(INDEX(LevelOneOff,MATCH($H224,LevelList,0)),0)</f>
        <v>0</v>
      </c>
      <c r="X224" s="35" t="str">
        <f aca="false">IF($G224="","",$V224*N($L224))</f>
        <v/>
      </c>
      <c r="Y224" s="35" t="str">
        <f aca="false">IF($G224="","",$V224*(N($M224)*1+N($N224)*0.75+N($O224)*0.5+N($P224)*0.25)+$W224*N($L224))</f>
        <v/>
      </c>
      <c r="Z224" s="35" t="str">
        <f aca="false">IF($G224="","",$U224*1000000+ROW())</f>
        <v/>
      </c>
      <c r="AA224" s="36" t="str">
        <f aca="false">IF($G224="","",MID(IF($C224="",", no division","")&amp;IF($E224="",", no unit","")&amp;IF($H224="",", no career level","")&amp;IF(N($L224)&lt;=0,", no quarter split","")&amp;IF($R224="",", no driver","")&amp;IF(AND($H224&lt;&gt;"",COUNTIF(CareerLevels,$H224)=0),", a career level that is not on the ladder","")&amp;IF(AND($R224&lt;&gt;"",COUNTIF(DriverList,$R224)=0),", a driver that is not on the list","")&amp;IF(ABS(N($L224)-(N($M224)+N($N224)+N($O224)+N($P224)))&gt;0.001,", a total that does not match its quarters",""),3,300))</f>
        <v/>
      </c>
    </row>
    <row r="225" customFormat="false" ht="15" hidden="false" customHeight="false" outlineLevel="0" collapsed="false">
      <c r="A225" s="33" t="str">
        <f aca="false">IF($G225="","","Compliance Group")</f>
        <v/>
      </c>
      <c r="B225" s="19"/>
      <c r="C225" s="19"/>
      <c r="D225" s="19"/>
      <c r="E225" s="19"/>
      <c r="F225" s="19"/>
      <c r="G225" s="19"/>
      <c r="H225" s="19"/>
      <c r="I225" s="19"/>
      <c r="J225" s="19"/>
      <c r="K225" s="19"/>
      <c r="L225" s="19"/>
      <c r="M225" s="19"/>
      <c r="N225" s="19"/>
      <c r="O225" s="19"/>
      <c r="P225" s="19"/>
      <c r="Q225" s="19"/>
      <c r="R225" s="19"/>
      <c r="S225" s="19"/>
      <c r="T225" s="34" t="str">
        <f aca="false">IF($R225="","",IFERROR(INDEX(DriverCategory,MATCH($R225,DriverList,0)),"BAU"))</f>
        <v/>
      </c>
      <c r="U225" s="34" t="str">
        <f aca="false">IF($R225="","",IFERROR(INDEX(DriverRank,MATCH($R225,DriverList,0)),99))</f>
        <v/>
      </c>
      <c r="V225" s="35" t="n">
        <f aca="false">IF($H225="",0,IFERROR(INDEX(LevelBasic,MATCH($H225,LevelList,0))+INDEX(LevelHousing,MATCH($H225,LevelList,0))+INDEX(LevelTransport,MATCH($H225,LevelList,0))+INDEX(LevelBasic,MATCH($H225,LevelList,0))*INDEX(LevelBonus,MATCH($H225,LevelList,0))+(INDEX(LevelBasic,MATCH($H225,LevelList,0))+INDEX(LevelHousing,MATCH($H225,LevelList,0)))*GosiSaudi,0))</f>
        <v>0</v>
      </c>
      <c r="W225" s="35" t="n">
        <f aca="false">IFERROR(INDEX(LevelOneOff,MATCH($H225,LevelList,0)),0)</f>
        <v>0</v>
      </c>
      <c r="X225" s="35" t="str">
        <f aca="false">IF($G225="","",$V225*N($L225))</f>
        <v/>
      </c>
      <c r="Y225" s="35" t="str">
        <f aca="false">IF($G225="","",$V225*(N($M225)*1+N($N225)*0.75+N($O225)*0.5+N($P225)*0.25)+$W225*N($L225))</f>
        <v/>
      </c>
      <c r="Z225" s="35" t="str">
        <f aca="false">IF($G225="","",$U225*1000000+ROW())</f>
        <v/>
      </c>
      <c r="AA225" s="36" t="str">
        <f aca="false">IF($G225="","",MID(IF($C225="",", no division","")&amp;IF($E225="",", no unit","")&amp;IF($H225="",", no career level","")&amp;IF(N($L225)&lt;=0,", no quarter split","")&amp;IF($R225="",", no driver","")&amp;IF(AND($H225&lt;&gt;"",COUNTIF(CareerLevels,$H225)=0),", a career level that is not on the ladder","")&amp;IF(AND($R225&lt;&gt;"",COUNTIF(DriverList,$R225)=0),", a driver that is not on the list","")&amp;IF(ABS(N($L225)-(N($M225)+N($N225)+N($O225)+N($P225)))&gt;0.001,", a total that does not match its quarters",""),3,300))</f>
        <v/>
      </c>
    </row>
    <row r="226" customFormat="false" ht="15" hidden="false" customHeight="false" outlineLevel="0" collapsed="false">
      <c r="A226" s="33" t="str">
        <f aca="false">IF($G226="","","Compliance Group")</f>
        <v/>
      </c>
      <c r="B226" s="19"/>
      <c r="C226" s="19"/>
      <c r="D226" s="19"/>
      <c r="E226" s="19"/>
      <c r="F226" s="19"/>
      <c r="G226" s="19"/>
      <c r="H226" s="19"/>
      <c r="I226" s="19"/>
      <c r="J226" s="19"/>
      <c r="K226" s="19"/>
      <c r="L226" s="19"/>
      <c r="M226" s="19"/>
      <c r="N226" s="19"/>
      <c r="O226" s="19"/>
      <c r="P226" s="19"/>
      <c r="Q226" s="19"/>
      <c r="R226" s="19"/>
      <c r="S226" s="19"/>
      <c r="T226" s="34" t="str">
        <f aca="false">IF($R226="","",IFERROR(INDEX(DriverCategory,MATCH($R226,DriverList,0)),"BAU"))</f>
        <v/>
      </c>
      <c r="U226" s="34" t="str">
        <f aca="false">IF($R226="","",IFERROR(INDEX(DriverRank,MATCH($R226,DriverList,0)),99))</f>
        <v/>
      </c>
      <c r="V226" s="35" t="n">
        <f aca="false">IF($H226="",0,IFERROR(INDEX(LevelBasic,MATCH($H226,LevelList,0))+INDEX(LevelHousing,MATCH($H226,LevelList,0))+INDEX(LevelTransport,MATCH($H226,LevelList,0))+INDEX(LevelBasic,MATCH($H226,LevelList,0))*INDEX(LevelBonus,MATCH($H226,LevelList,0))+(INDEX(LevelBasic,MATCH($H226,LevelList,0))+INDEX(LevelHousing,MATCH($H226,LevelList,0)))*GosiSaudi,0))</f>
        <v>0</v>
      </c>
      <c r="W226" s="35" t="n">
        <f aca="false">IFERROR(INDEX(LevelOneOff,MATCH($H226,LevelList,0)),0)</f>
        <v>0</v>
      </c>
      <c r="X226" s="35" t="str">
        <f aca="false">IF($G226="","",$V226*N($L226))</f>
        <v/>
      </c>
      <c r="Y226" s="35" t="str">
        <f aca="false">IF($G226="","",$V226*(N($M226)*1+N($N226)*0.75+N($O226)*0.5+N($P226)*0.25)+$W226*N($L226))</f>
        <v/>
      </c>
      <c r="Z226" s="35" t="str">
        <f aca="false">IF($G226="","",$U226*1000000+ROW())</f>
        <v/>
      </c>
      <c r="AA226" s="36" t="str">
        <f aca="false">IF($G226="","",MID(IF($C226="",", no division","")&amp;IF($E226="",", no unit","")&amp;IF($H226="",", no career level","")&amp;IF(N($L226)&lt;=0,", no quarter split","")&amp;IF($R226="",", no driver","")&amp;IF(AND($H226&lt;&gt;"",COUNTIF(CareerLevels,$H226)=0),", a career level that is not on the ladder","")&amp;IF(AND($R226&lt;&gt;"",COUNTIF(DriverList,$R226)=0),", a driver that is not on the list","")&amp;IF(ABS(N($L226)-(N($M226)+N($N226)+N($O226)+N($P226)))&gt;0.001,", a total that does not match its quarters",""),3,300))</f>
        <v/>
      </c>
    </row>
    <row r="227" customFormat="false" ht="15" hidden="false" customHeight="false" outlineLevel="0" collapsed="false">
      <c r="A227" s="33" t="str">
        <f aca="false">IF($G227="","","Compliance Group")</f>
        <v/>
      </c>
      <c r="B227" s="19"/>
      <c r="C227" s="19"/>
      <c r="D227" s="19"/>
      <c r="E227" s="19"/>
      <c r="F227" s="19"/>
      <c r="G227" s="19"/>
      <c r="H227" s="19"/>
      <c r="I227" s="19"/>
      <c r="J227" s="19"/>
      <c r="K227" s="19"/>
      <c r="L227" s="19"/>
      <c r="M227" s="19"/>
      <c r="N227" s="19"/>
      <c r="O227" s="19"/>
      <c r="P227" s="19"/>
      <c r="Q227" s="19"/>
      <c r="R227" s="19"/>
      <c r="S227" s="19"/>
      <c r="T227" s="34" t="str">
        <f aca="false">IF($R227="","",IFERROR(INDEX(DriverCategory,MATCH($R227,DriverList,0)),"BAU"))</f>
        <v/>
      </c>
      <c r="U227" s="34" t="str">
        <f aca="false">IF($R227="","",IFERROR(INDEX(DriverRank,MATCH($R227,DriverList,0)),99))</f>
        <v/>
      </c>
      <c r="V227" s="35" t="n">
        <f aca="false">IF($H227="",0,IFERROR(INDEX(LevelBasic,MATCH($H227,LevelList,0))+INDEX(LevelHousing,MATCH($H227,LevelList,0))+INDEX(LevelTransport,MATCH($H227,LevelList,0))+INDEX(LevelBasic,MATCH($H227,LevelList,0))*INDEX(LevelBonus,MATCH($H227,LevelList,0))+(INDEX(LevelBasic,MATCH($H227,LevelList,0))+INDEX(LevelHousing,MATCH($H227,LevelList,0)))*GosiSaudi,0))</f>
        <v>0</v>
      </c>
      <c r="W227" s="35" t="n">
        <f aca="false">IFERROR(INDEX(LevelOneOff,MATCH($H227,LevelList,0)),0)</f>
        <v>0</v>
      </c>
      <c r="X227" s="35" t="str">
        <f aca="false">IF($G227="","",$V227*N($L227))</f>
        <v/>
      </c>
      <c r="Y227" s="35" t="str">
        <f aca="false">IF($G227="","",$V227*(N($M227)*1+N($N227)*0.75+N($O227)*0.5+N($P227)*0.25)+$W227*N($L227))</f>
        <v/>
      </c>
      <c r="Z227" s="35" t="str">
        <f aca="false">IF($G227="","",$U227*1000000+ROW())</f>
        <v/>
      </c>
      <c r="AA227" s="36" t="str">
        <f aca="false">IF($G227="","",MID(IF($C227="",", no division","")&amp;IF($E227="",", no unit","")&amp;IF($H227="",", no career level","")&amp;IF(N($L227)&lt;=0,", no quarter split","")&amp;IF($R227="",", no driver","")&amp;IF(AND($H227&lt;&gt;"",COUNTIF(CareerLevels,$H227)=0),", a career level that is not on the ladder","")&amp;IF(AND($R227&lt;&gt;"",COUNTIF(DriverList,$R227)=0),", a driver that is not on the list","")&amp;IF(ABS(N($L227)-(N($M227)+N($N227)+N($O227)+N($P227)))&gt;0.001,", a total that does not match its quarters",""),3,300))</f>
        <v/>
      </c>
    </row>
    <row r="228" customFormat="false" ht="15" hidden="false" customHeight="false" outlineLevel="0" collapsed="false">
      <c r="A228" s="33" t="str">
        <f aca="false">IF($G228="","","Compliance Group")</f>
        <v/>
      </c>
      <c r="B228" s="19"/>
      <c r="C228" s="19"/>
      <c r="D228" s="19"/>
      <c r="E228" s="19"/>
      <c r="F228" s="19"/>
      <c r="G228" s="19"/>
      <c r="H228" s="19"/>
      <c r="I228" s="19"/>
      <c r="J228" s="19"/>
      <c r="K228" s="19"/>
      <c r="L228" s="19"/>
      <c r="M228" s="19"/>
      <c r="N228" s="19"/>
      <c r="O228" s="19"/>
      <c r="P228" s="19"/>
      <c r="Q228" s="19"/>
      <c r="R228" s="19"/>
      <c r="S228" s="19"/>
      <c r="T228" s="34" t="str">
        <f aca="false">IF($R228="","",IFERROR(INDEX(DriverCategory,MATCH($R228,DriverList,0)),"BAU"))</f>
        <v/>
      </c>
      <c r="U228" s="34" t="str">
        <f aca="false">IF($R228="","",IFERROR(INDEX(DriverRank,MATCH($R228,DriverList,0)),99))</f>
        <v/>
      </c>
      <c r="V228" s="35" t="n">
        <f aca="false">IF($H228="",0,IFERROR(INDEX(LevelBasic,MATCH($H228,LevelList,0))+INDEX(LevelHousing,MATCH($H228,LevelList,0))+INDEX(LevelTransport,MATCH($H228,LevelList,0))+INDEX(LevelBasic,MATCH($H228,LevelList,0))*INDEX(LevelBonus,MATCH($H228,LevelList,0))+(INDEX(LevelBasic,MATCH($H228,LevelList,0))+INDEX(LevelHousing,MATCH($H228,LevelList,0)))*GosiSaudi,0))</f>
        <v>0</v>
      </c>
      <c r="W228" s="35" t="n">
        <f aca="false">IFERROR(INDEX(LevelOneOff,MATCH($H228,LevelList,0)),0)</f>
        <v>0</v>
      </c>
      <c r="X228" s="35" t="str">
        <f aca="false">IF($G228="","",$V228*N($L228))</f>
        <v/>
      </c>
      <c r="Y228" s="35" t="str">
        <f aca="false">IF($G228="","",$V228*(N($M228)*1+N($N228)*0.75+N($O228)*0.5+N($P228)*0.25)+$W228*N($L228))</f>
        <v/>
      </c>
      <c r="Z228" s="35" t="str">
        <f aca="false">IF($G228="","",$U228*1000000+ROW())</f>
        <v/>
      </c>
      <c r="AA228" s="36" t="str">
        <f aca="false">IF($G228="","",MID(IF($C228="",", no division","")&amp;IF($E228="",", no unit","")&amp;IF($H228="",", no career level","")&amp;IF(N($L228)&lt;=0,", no quarter split","")&amp;IF($R228="",", no driver","")&amp;IF(AND($H228&lt;&gt;"",COUNTIF(CareerLevels,$H228)=0),", a career level that is not on the ladder","")&amp;IF(AND($R228&lt;&gt;"",COUNTIF(DriverList,$R228)=0),", a driver that is not on the list","")&amp;IF(ABS(N($L228)-(N($M228)+N($N228)+N($O228)+N($P228)))&gt;0.001,", a total that does not match its quarters",""),3,300))</f>
        <v/>
      </c>
    </row>
    <row r="229" customFormat="false" ht="15" hidden="false" customHeight="false" outlineLevel="0" collapsed="false">
      <c r="A229" s="33" t="str">
        <f aca="false">IF($G229="","","Compliance Group")</f>
        <v/>
      </c>
      <c r="B229" s="19"/>
      <c r="C229" s="19"/>
      <c r="D229" s="19"/>
      <c r="E229" s="19"/>
      <c r="F229" s="19"/>
      <c r="G229" s="19"/>
      <c r="H229" s="19"/>
      <c r="I229" s="19"/>
      <c r="J229" s="19"/>
      <c r="K229" s="19"/>
      <c r="L229" s="19"/>
      <c r="M229" s="19"/>
      <c r="N229" s="19"/>
      <c r="O229" s="19"/>
      <c r="P229" s="19"/>
      <c r="Q229" s="19"/>
      <c r="R229" s="19"/>
      <c r="S229" s="19"/>
      <c r="T229" s="34" t="str">
        <f aca="false">IF($R229="","",IFERROR(INDEX(DriverCategory,MATCH($R229,DriverList,0)),"BAU"))</f>
        <v/>
      </c>
      <c r="U229" s="34" t="str">
        <f aca="false">IF($R229="","",IFERROR(INDEX(DriverRank,MATCH($R229,DriverList,0)),99))</f>
        <v/>
      </c>
      <c r="V229" s="35" t="n">
        <f aca="false">IF($H229="",0,IFERROR(INDEX(LevelBasic,MATCH($H229,LevelList,0))+INDEX(LevelHousing,MATCH($H229,LevelList,0))+INDEX(LevelTransport,MATCH($H229,LevelList,0))+INDEX(LevelBasic,MATCH($H229,LevelList,0))*INDEX(LevelBonus,MATCH($H229,LevelList,0))+(INDEX(LevelBasic,MATCH($H229,LevelList,0))+INDEX(LevelHousing,MATCH($H229,LevelList,0)))*GosiSaudi,0))</f>
        <v>0</v>
      </c>
      <c r="W229" s="35" t="n">
        <f aca="false">IFERROR(INDEX(LevelOneOff,MATCH($H229,LevelList,0)),0)</f>
        <v>0</v>
      </c>
      <c r="X229" s="35" t="str">
        <f aca="false">IF($G229="","",$V229*N($L229))</f>
        <v/>
      </c>
      <c r="Y229" s="35" t="str">
        <f aca="false">IF($G229="","",$V229*(N($M229)*1+N($N229)*0.75+N($O229)*0.5+N($P229)*0.25)+$W229*N($L229))</f>
        <v/>
      </c>
      <c r="Z229" s="35" t="str">
        <f aca="false">IF($G229="","",$U229*1000000+ROW())</f>
        <v/>
      </c>
      <c r="AA229" s="36" t="str">
        <f aca="false">IF($G229="","",MID(IF($C229="",", no division","")&amp;IF($E229="",", no unit","")&amp;IF($H229="",", no career level","")&amp;IF(N($L229)&lt;=0,", no quarter split","")&amp;IF($R229="",", no driver","")&amp;IF(AND($H229&lt;&gt;"",COUNTIF(CareerLevels,$H229)=0),", a career level that is not on the ladder","")&amp;IF(AND($R229&lt;&gt;"",COUNTIF(DriverList,$R229)=0),", a driver that is not on the list","")&amp;IF(ABS(N($L229)-(N($M229)+N($N229)+N($O229)+N($P229)))&gt;0.001,", a total that does not match its quarters",""),3,300))</f>
        <v/>
      </c>
    </row>
    <row r="230" customFormat="false" ht="15" hidden="false" customHeight="false" outlineLevel="0" collapsed="false">
      <c r="A230" s="33" t="str">
        <f aca="false">IF($G230="","","Compliance Group")</f>
        <v/>
      </c>
      <c r="B230" s="19"/>
      <c r="C230" s="19"/>
      <c r="D230" s="19"/>
      <c r="E230" s="19"/>
      <c r="F230" s="19"/>
      <c r="G230" s="19"/>
      <c r="H230" s="19"/>
      <c r="I230" s="19"/>
      <c r="J230" s="19"/>
      <c r="K230" s="19"/>
      <c r="L230" s="19"/>
      <c r="M230" s="19"/>
      <c r="N230" s="19"/>
      <c r="O230" s="19"/>
      <c r="P230" s="19"/>
      <c r="Q230" s="19"/>
      <c r="R230" s="19"/>
      <c r="S230" s="19"/>
      <c r="T230" s="34" t="str">
        <f aca="false">IF($R230="","",IFERROR(INDEX(DriverCategory,MATCH($R230,DriverList,0)),"BAU"))</f>
        <v/>
      </c>
      <c r="U230" s="34" t="str">
        <f aca="false">IF($R230="","",IFERROR(INDEX(DriverRank,MATCH($R230,DriverList,0)),99))</f>
        <v/>
      </c>
      <c r="V230" s="35" t="n">
        <f aca="false">IF($H230="",0,IFERROR(INDEX(LevelBasic,MATCH($H230,LevelList,0))+INDEX(LevelHousing,MATCH($H230,LevelList,0))+INDEX(LevelTransport,MATCH($H230,LevelList,0))+INDEX(LevelBasic,MATCH($H230,LevelList,0))*INDEX(LevelBonus,MATCH($H230,LevelList,0))+(INDEX(LevelBasic,MATCH($H230,LevelList,0))+INDEX(LevelHousing,MATCH($H230,LevelList,0)))*GosiSaudi,0))</f>
        <v>0</v>
      </c>
      <c r="W230" s="35" t="n">
        <f aca="false">IFERROR(INDEX(LevelOneOff,MATCH($H230,LevelList,0)),0)</f>
        <v>0</v>
      </c>
      <c r="X230" s="35" t="str">
        <f aca="false">IF($G230="","",$V230*N($L230))</f>
        <v/>
      </c>
      <c r="Y230" s="35" t="str">
        <f aca="false">IF($G230="","",$V230*(N($M230)*1+N($N230)*0.75+N($O230)*0.5+N($P230)*0.25)+$W230*N($L230))</f>
        <v/>
      </c>
      <c r="Z230" s="35" t="str">
        <f aca="false">IF($G230="","",$U230*1000000+ROW())</f>
        <v/>
      </c>
      <c r="AA230" s="36" t="str">
        <f aca="false">IF($G230="","",MID(IF($C230="",", no division","")&amp;IF($E230="",", no unit","")&amp;IF($H230="",", no career level","")&amp;IF(N($L230)&lt;=0,", no quarter split","")&amp;IF($R230="",", no driver","")&amp;IF(AND($H230&lt;&gt;"",COUNTIF(CareerLevels,$H230)=0),", a career level that is not on the ladder","")&amp;IF(AND($R230&lt;&gt;"",COUNTIF(DriverList,$R230)=0),", a driver that is not on the list","")&amp;IF(ABS(N($L230)-(N($M230)+N($N230)+N($O230)+N($P230)))&gt;0.001,", a total that does not match its quarters",""),3,300))</f>
        <v/>
      </c>
    </row>
    <row r="231" customFormat="false" ht="15" hidden="false" customHeight="false" outlineLevel="0" collapsed="false">
      <c r="A231" s="33" t="str">
        <f aca="false">IF($G231="","","Compliance Group")</f>
        <v/>
      </c>
      <c r="B231" s="19"/>
      <c r="C231" s="19"/>
      <c r="D231" s="19"/>
      <c r="E231" s="19"/>
      <c r="F231" s="19"/>
      <c r="G231" s="19"/>
      <c r="H231" s="19"/>
      <c r="I231" s="19"/>
      <c r="J231" s="19"/>
      <c r="K231" s="19"/>
      <c r="L231" s="19"/>
      <c r="M231" s="19"/>
      <c r="N231" s="19"/>
      <c r="O231" s="19"/>
      <c r="P231" s="19"/>
      <c r="Q231" s="19"/>
      <c r="R231" s="19"/>
      <c r="S231" s="19"/>
      <c r="T231" s="34" t="str">
        <f aca="false">IF($R231="","",IFERROR(INDEX(DriverCategory,MATCH($R231,DriverList,0)),"BAU"))</f>
        <v/>
      </c>
      <c r="U231" s="34" t="str">
        <f aca="false">IF($R231="","",IFERROR(INDEX(DriverRank,MATCH($R231,DriverList,0)),99))</f>
        <v/>
      </c>
      <c r="V231" s="35" t="n">
        <f aca="false">IF($H231="",0,IFERROR(INDEX(LevelBasic,MATCH($H231,LevelList,0))+INDEX(LevelHousing,MATCH($H231,LevelList,0))+INDEX(LevelTransport,MATCH($H231,LevelList,0))+INDEX(LevelBasic,MATCH($H231,LevelList,0))*INDEX(LevelBonus,MATCH($H231,LevelList,0))+(INDEX(LevelBasic,MATCH($H231,LevelList,0))+INDEX(LevelHousing,MATCH($H231,LevelList,0)))*GosiSaudi,0))</f>
        <v>0</v>
      </c>
      <c r="W231" s="35" t="n">
        <f aca="false">IFERROR(INDEX(LevelOneOff,MATCH($H231,LevelList,0)),0)</f>
        <v>0</v>
      </c>
      <c r="X231" s="35" t="str">
        <f aca="false">IF($G231="","",$V231*N($L231))</f>
        <v/>
      </c>
      <c r="Y231" s="35" t="str">
        <f aca="false">IF($G231="","",$V231*(N($M231)*1+N($N231)*0.75+N($O231)*0.5+N($P231)*0.25)+$W231*N($L231))</f>
        <v/>
      </c>
      <c r="Z231" s="35" t="str">
        <f aca="false">IF($G231="","",$U231*1000000+ROW())</f>
        <v/>
      </c>
      <c r="AA231" s="36" t="str">
        <f aca="false">IF($G231="","",MID(IF($C231="",", no division","")&amp;IF($E231="",", no unit","")&amp;IF($H231="",", no career level","")&amp;IF(N($L231)&lt;=0,", no quarter split","")&amp;IF($R231="",", no driver","")&amp;IF(AND($H231&lt;&gt;"",COUNTIF(CareerLevels,$H231)=0),", a career level that is not on the ladder","")&amp;IF(AND($R231&lt;&gt;"",COUNTIF(DriverList,$R231)=0),", a driver that is not on the list","")&amp;IF(ABS(N($L231)-(N($M231)+N($N231)+N($O231)+N($P231)))&gt;0.001,", a total that does not match its quarters",""),3,300))</f>
        <v/>
      </c>
    </row>
    <row r="232" customFormat="false" ht="15" hidden="false" customHeight="false" outlineLevel="0" collapsed="false">
      <c r="A232" s="33" t="str">
        <f aca="false">IF($G232="","","Compliance Group")</f>
        <v/>
      </c>
      <c r="B232" s="19"/>
      <c r="C232" s="19"/>
      <c r="D232" s="19"/>
      <c r="E232" s="19"/>
      <c r="F232" s="19"/>
      <c r="G232" s="19"/>
      <c r="H232" s="19"/>
      <c r="I232" s="19"/>
      <c r="J232" s="19"/>
      <c r="K232" s="19"/>
      <c r="L232" s="19"/>
      <c r="M232" s="19"/>
      <c r="N232" s="19"/>
      <c r="O232" s="19"/>
      <c r="P232" s="19"/>
      <c r="Q232" s="19"/>
      <c r="R232" s="19"/>
      <c r="S232" s="19"/>
      <c r="T232" s="34" t="str">
        <f aca="false">IF($R232="","",IFERROR(INDEX(DriverCategory,MATCH($R232,DriverList,0)),"BAU"))</f>
        <v/>
      </c>
      <c r="U232" s="34" t="str">
        <f aca="false">IF($R232="","",IFERROR(INDEX(DriverRank,MATCH($R232,DriverList,0)),99))</f>
        <v/>
      </c>
      <c r="V232" s="35" t="n">
        <f aca="false">IF($H232="",0,IFERROR(INDEX(LevelBasic,MATCH($H232,LevelList,0))+INDEX(LevelHousing,MATCH($H232,LevelList,0))+INDEX(LevelTransport,MATCH($H232,LevelList,0))+INDEX(LevelBasic,MATCH($H232,LevelList,0))*INDEX(LevelBonus,MATCH($H232,LevelList,0))+(INDEX(LevelBasic,MATCH($H232,LevelList,0))+INDEX(LevelHousing,MATCH($H232,LevelList,0)))*GosiSaudi,0))</f>
        <v>0</v>
      </c>
      <c r="W232" s="35" t="n">
        <f aca="false">IFERROR(INDEX(LevelOneOff,MATCH($H232,LevelList,0)),0)</f>
        <v>0</v>
      </c>
      <c r="X232" s="35" t="str">
        <f aca="false">IF($G232="","",$V232*N($L232))</f>
        <v/>
      </c>
      <c r="Y232" s="35" t="str">
        <f aca="false">IF($G232="","",$V232*(N($M232)*1+N($N232)*0.75+N($O232)*0.5+N($P232)*0.25)+$W232*N($L232))</f>
        <v/>
      </c>
      <c r="Z232" s="35" t="str">
        <f aca="false">IF($G232="","",$U232*1000000+ROW())</f>
        <v/>
      </c>
      <c r="AA232" s="36" t="str">
        <f aca="false">IF($G232="","",MID(IF($C232="",", no division","")&amp;IF($E232="",", no unit","")&amp;IF($H232="",", no career level","")&amp;IF(N($L232)&lt;=0,", no quarter split","")&amp;IF($R232="",", no driver","")&amp;IF(AND($H232&lt;&gt;"",COUNTIF(CareerLevels,$H232)=0),", a career level that is not on the ladder","")&amp;IF(AND($R232&lt;&gt;"",COUNTIF(DriverList,$R232)=0),", a driver that is not on the list","")&amp;IF(ABS(N($L232)-(N($M232)+N($N232)+N($O232)+N($P232)))&gt;0.001,", a total that does not match its quarters",""),3,300))</f>
        <v/>
      </c>
    </row>
    <row r="233" customFormat="false" ht="15" hidden="false" customHeight="false" outlineLevel="0" collapsed="false">
      <c r="A233" s="33" t="str">
        <f aca="false">IF($G233="","","Compliance Group")</f>
        <v/>
      </c>
      <c r="B233" s="19"/>
      <c r="C233" s="19"/>
      <c r="D233" s="19"/>
      <c r="E233" s="19"/>
      <c r="F233" s="19"/>
      <c r="G233" s="19"/>
      <c r="H233" s="19"/>
      <c r="I233" s="19"/>
      <c r="J233" s="19"/>
      <c r="K233" s="19"/>
      <c r="L233" s="19"/>
      <c r="M233" s="19"/>
      <c r="N233" s="19"/>
      <c r="O233" s="19"/>
      <c r="P233" s="19"/>
      <c r="Q233" s="19"/>
      <c r="R233" s="19"/>
      <c r="S233" s="19"/>
      <c r="T233" s="34" t="str">
        <f aca="false">IF($R233="","",IFERROR(INDEX(DriverCategory,MATCH($R233,DriverList,0)),"BAU"))</f>
        <v/>
      </c>
      <c r="U233" s="34" t="str">
        <f aca="false">IF($R233="","",IFERROR(INDEX(DriverRank,MATCH($R233,DriverList,0)),99))</f>
        <v/>
      </c>
      <c r="V233" s="35" t="n">
        <f aca="false">IF($H233="",0,IFERROR(INDEX(LevelBasic,MATCH($H233,LevelList,0))+INDEX(LevelHousing,MATCH($H233,LevelList,0))+INDEX(LevelTransport,MATCH($H233,LevelList,0))+INDEX(LevelBasic,MATCH($H233,LevelList,0))*INDEX(LevelBonus,MATCH($H233,LevelList,0))+(INDEX(LevelBasic,MATCH($H233,LevelList,0))+INDEX(LevelHousing,MATCH($H233,LevelList,0)))*GosiSaudi,0))</f>
        <v>0</v>
      </c>
      <c r="W233" s="35" t="n">
        <f aca="false">IFERROR(INDEX(LevelOneOff,MATCH($H233,LevelList,0)),0)</f>
        <v>0</v>
      </c>
      <c r="X233" s="35" t="str">
        <f aca="false">IF($G233="","",$V233*N($L233))</f>
        <v/>
      </c>
      <c r="Y233" s="35" t="str">
        <f aca="false">IF($G233="","",$V233*(N($M233)*1+N($N233)*0.75+N($O233)*0.5+N($P233)*0.25)+$W233*N($L233))</f>
        <v/>
      </c>
      <c r="Z233" s="35" t="str">
        <f aca="false">IF($G233="","",$U233*1000000+ROW())</f>
        <v/>
      </c>
      <c r="AA233" s="36" t="str">
        <f aca="false">IF($G233="","",MID(IF($C233="",", no division","")&amp;IF($E233="",", no unit","")&amp;IF($H233="",", no career level","")&amp;IF(N($L233)&lt;=0,", no quarter split","")&amp;IF($R233="",", no driver","")&amp;IF(AND($H233&lt;&gt;"",COUNTIF(CareerLevels,$H233)=0),", a career level that is not on the ladder","")&amp;IF(AND($R233&lt;&gt;"",COUNTIF(DriverList,$R233)=0),", a driver that is not on the list","")&amp;IF(ABS(N($L233)-(N($M233)+N($N233)+N($O233)+N($P233)))&gt;0.001,", a total that does not match its quarters",""),3,300))</f>
        <v/>
      </c>
    </row>
    <row r="234" customFormat="false" ht="15" hidden="false" customHeight="false" outlineLevel="0" collapsed="false">
      <c r="A234" s="33" t="str">
        <f aca="false">IF($G234="","","Compliance Group")</f>
        <v/>
      </c>
      <c r="B234" s="19"/>
      <c r="C234" s="19"/>
      <c r="D234" s="19"/>
      <c r="E234" s="19"/>
      <c r="F234" s="19"/>
      <c r="G234" s="19"/>
      <c r="H234" s="19"/>
      <c r="I234" s="19"/>
      <c r="J234" s="19"/>
      <c r="K234" s="19"/>
      <c r="L234" s="19"/>
      <c r="M234" s="19"/>
      <c r="N234" s="19"/>
      <c r="O234" s="19"/>
      <c r="P234" s="19"/>
      <c r="Q234" s="19"/>
      <c r="R234" s="19"/>
      <c r="S234" s="19"/>
      <c r="T234" s="34" t="str">
        <f aca="false">IF($R234="","",IFERROR(INDEX(DriverCategory,MATCH($R234,DriverList,0)),"BAU"))</f>
        <v/>
      </c>
      <c r="U234" s="34" t="str">
        <f aca="false">IF($R234="","",IFERROR(INDEX(DriverRank,MATCH($R234,DriverList,0)),99))</f>
        <v/>
      </c>
      <c r="V234" s="35" t="n">
        <f aca="false">IF($H234="",0,IFERROR(INDEX(LevelBasic,MATCH($H234,LevelList,0))+INDEX(LevelHousing,MATCH($H234,LevelList,0))+INDEX(LevelTransport,MATCH($H234,LevelList,0))+INDEX(LevelBasic,MATCH($H234,LevelList,0))*INDEX(LevelBonus,MATCH($H234,LevelList,0))+(INDEX(LevelBasic,MATCH($H234,LevelList,0))+INDEX(LevelHousing,MATCH($H234,LevelList,0)))*GosiSaudi,0))</f>
        <v>0</v>
      </c>
      <c r="W234" s="35" t="n">
        <f aca="false">IFERROR(INDEX(LevelOneOff,MATCH($H234,LevelList,0)),0)</f>
        <v>0</v>
      </c>
      <c r="X234" s="35" t="str">
        <f aca="false">IF($G234="","",$V234*N($L234))</f>
        <v/>
      </c>
      <c r="Y234" s="35" t="str">
        <f aca="false">IF($G234="","",$V234*(N($M234)*1+N($N234)*0.75+N($O234)*0.5+N($P234)*0.25)+$W234*N($L234))</f>
        <v/>
      </c>
      <c r="Z234" s="35" t="str">
        <f aca="false">IF($G234="","",$U234*1000000+ROW())</f>
        <v/>
      </c>
      <c r="AA234" s="36" t="str">
        <f aca="false">IF($G234="","",MID(IF($C234="",", no division","")&amp;IF($E234="",", no unit","")&amp;IF($H234="",", no career level","")&amp;IF(N($L234)&lt;=0,", no quarter split","")&amp;IF($R234="",", no driver","")&amp;IF(AND($H234&lt;&gt;"",COUNTIF(CareerLevels,$H234)=0),", a career level that is not on the ladder","")&amp;IF(AND($R234&lt;&gt;"",COUNTIF(DriverList,$R234)=0),", a driver that is not on the list","")&amp;IF(ABS(N($L234)-(N($M234)+N($N234)+N($O234)+N($P234)))&gt;0.001,", a total that does not match its quarters",""),3,300))</f>
        <v/>
      </c>
    </row>
    <row r="235" customFormat="false" ht="15" hidden="false" customHeight="false" outlineLevel="0" collapsed="false">
      <c r="A235" s="33" t="str">
        <f aca="false">IF($G235="","","Compliance Group")</f>
        <v/>
      </c>
      <c r="B235" s="19"/>
      <c r="C235" s="19"/>
      <c r="D235" s="19"/>
      <c r="E235" s="19"/>
      <c r="F235" s="19"/>
      <c r="G235" s="19"/>
      <c r="H235" s="19"/>
      <c r="I235" s="19"/>
      <c r="J235" s="19"/>
      <c r="K235" s="19"/>
      <c r="L235" s="19"/>
      <c r="M235" s="19"/>
      <c r="N235" s="19"/>
      <c r="O235" s="19"/>
      <c r="P235" s="19"/>
      <c r="Q235" s="19"/>
      <c r="R235" s="19"/>
      <c r="S235" s="19"/>
      <c r="T235" s="34" t="str">
        <f aca="false">IF($R235="","",IFERROR(INDEX(DriverCategory,MATCH($R235,DriverList,0)),"BAU"))</f>
        <v/>
      </c>
      <c r="U235" s="34" t="str">
        <f aca="false">IF($R235="","",IFERROR(INDEX(DriverRank,MATCH($R235,DriverList,0)),99))</f>
        <v/>
      </c>
      <c r="V235" s="35" t="n">
        <f aca="false">IF($H235="",0,IFERROR(INDEX(LevelBasic,MATCH($H235,LevelList,0))+INDEX(LevelHousing,MATCH($H235,LevelList,0))+INDEX(LevelTransport,MATCH($H235,LevelList,0))+INDEX(LevelBasic,MATCH($H235,LevelList,0))*INDEX(LevelBonus,MATCH($H235,LevelList,0))+(INDEX(LevelBasic,MATCH($H235,LevelList,0))+INDEX(LevelHousing,MATCH($H235,LevelList,0)))*GosiSaudi,0))</f>
        <v>0</v>
      </c>
      <c r="W235" s="35" t="n">
        <f aca="false">IFERROR(INDEX(LevelOneOff,MATCH($H235,LevelList,0)),0)</f>
        <v>0</v>
      </c>
      <c r="X235" s="35" t="str">
        <f aca="false">IF($G235="","",$V235*N($L235))</f>
        <v/>
      </c>
      <c r="Y235" s="35" t="str">
        <f aca="false">IF($G235="","",$V235*(N($M235)*1+N($N235)*0.75+N($O235)*0.5+N($P235)*0.25)+$W235*N($L235))</f>
        <v/>
      </c>
      <c r="Z235" s="35" t="str">
        <f aca="false">IF($G235="","",$U235*1000000+ROW())</f>
        <v/>
      </c>
      <c r="AA235" s="36" t="str">
        <f aca="false">IF($G235="","",MID(IF($C235="",", no division","")&amp;IF($E235="",", no unit","")&amp;IF($H235="",", no career level","")&amp;IF(N($L235)&lt;=0,", no quarter split","")&amp;IF($R235="",", no driver","")&amp;IF(AND($H235&lt;&gt;"",COUNTIF(CareerLevels,$H235)=0),", a career level that is not on the ladder","")&amp;IF(AND($R235&lt;&gt;"",COUNTIF(DriverList,$R235)=0),", a driver that is not on the list","")&amp;IF(ABS(N($L235)-(N($M235)+N($N235)+N($O235)+N($P235)))&gt;0.001,", a total that does not match its quarters",""),3,300))</f>
        <v/>
      </c>
    </row>
    <row r="236" customFormat="false" ht="15" hidden="false" customHeight="false" outlineLevel="0" collapsed="false">
      <c r="A236" s="33" t="str">
        <f aca="false">IF($G236="","","Compliance Group")</f>
        <v/>
      </c>
      <c r="B236" s="19"/>
      <c r="C236" s="19"/>
      <c r="D236" s="19"/>
      <c r="E236" s="19"/>
      <c r="F236" s="19"/>
      <c r="G236" s="19"/>
      <c r="H236" s="19"/>
      <c r="I236" s="19"/>
      <c r="J236" s="19"/>
      <c r="K236" s="19"/>
      <c r="L236" s="19"/>
      <c r="M236" s="19"/>
      <c r="N236" s="19"/>
      <c r="O236" s="19"/>
      <c r="P236" s="19"/>
      <c r="Q236" s="19"/>
      <c r="R236" s="19"/>
      <c r="S236" s="19"/>
      <c r="T236" s="34" t="str">
        <f aca="false">IF($R236="","",IFERROR(INDEX(DriverCategory,MATCH($R236,DriverList,0)),"BAU"))</f>
        <v/>
      </c>
      <c r="U236" s="34" t="str">
        <f aca="false">IF($R236="","",IFERROR(INDEX(DriverRank,MATCH($R236,DriverList,0)),99))</f>
        <v/>
      </c>
      <c r="V236" s="35" t="n">
        <f aca="false">IF($H236="",0,IFERROR(INDEX(LevelBasic,MATCH($H236,LevelList,0))+INDEX(LevelHousing,MATCH($H236,LevelList,0))+INDEX(LevelTransport,MATCH($H236,LevelList,0))+INDEX(LevelBasic,MATCH($H236,LevelList,0))*INDEX(LevelBonus,MATCH($H236,LevelList,0))+(INDEX(LevelBasic,MATCH($H236,LevelList,0))+INDEX(LevelHousing,MATCH($H236,LevelList,0)))*GosiSaudi,0))</f>
        <v>0</v>
      </c>
      <c r="W236" s="35" t="n">
        <f aca="false">IFERROR(INDEX(LevelOneOff,MATCH($H236,LevelList,0)),0)</f>
        <v>0</v>
      </c>
      <c r="X236" s="35" t="str">
        <f aca="false">IF($G236="","",$V236*N($L236))</f>
        <v/>
      </c>
      <c r="Y236" s="35" t="str">
        <f aca="false">IF($G236="","",$V236*(N($M236)*1+N($N236)*0.75+N($O236)*0.5+N($P236)*0.25)+$W236*N($L236))</f>
        <v/>
      </c>
      <c r="Z236" s="35" t="str">
        <f aca="false">IF($G236="","",$U236*1000000+ROW())</f>
        <v/>
      </c>
      <c r="AA236" s="36" t="str">
        <f aca="false">IF($G236="","",MID(IF($C236="",", no division","")&amp;IF($E236="",", no unit","")&amp;IF($H236="",", no career level","")&amp;IF(N($L236)&lt;=0,", no quarter split","")&amp;IF($R236="",", no driver","")&amp;IF(AND($H236&lt;&gt;"",COUNTIF(CareerLevels,$H236)=0),", a career level that is not on the ladder","")&amp;IF(AND($R236&lt;&gt;"",COUNTIF(DriverList,$R236)=0),", a driver that is not on the list","")&amp;IF(ABS(N($L236)-(N($M236)+N($N236)+N($O236)+N($P236)))&gt;0.001,", a total that does not match its quarters",""),3,300))</f>
        <v/>
      </c>
    </row>
    <row r="237" customFormat="false" ht="15" hidden="false" customHeight="false" outlineLevel="0" collapsed="false">
      <c r="A237" s="33" t="str">
        <f aca="false">IF($G237="","","Compliance Group")</f>
        <v/>
      </c>
      <c r="B237" s="19"/>
      <c r="C237" s="19"/>
      <c r="D237" s="19"/>
      <c r="E237" s="19"/>
      <c r="F237" s="19"/>
      <c r="G237" s="19"/>
      <c r="H237" s="19"/>
      <c r="I237" s="19"/>
      <c r="J237" s="19"/>
      <c r="K237" s="19"/>
      <c r="L237" s="19"/>
      <c r="M237" s="19"/>
      <c r="N237" s="19"/>
      <c r="O237" s="19"/>
      <c r="P237" s="19"/>
      <c r="Q237" s="19"/>
      <c r="R237" s="19"/>
      <c r="S237" s="19"/>
      <c r="T237" s="34" t="str">
        <f aca="false">IF($R237="","",IFERROR(INDEX(DriverCategory,MATCH($R237,DriverList,0)),"BAU"))</f>
        <v/>
      </c>
      <c r="U237" s="34" t="str">
        <f aca="false">IF($R237="","",IFERROR(INDEX(DriverRank,MATCH($R237,DriverList,0)),99))</f>
        <v/>
      </c>
      <c r="V237" s="35" t="n">
        <f aca="false">IF($H237="",0,IFERROR(INDEX(LevelBasic,MATCH($H237,LevelList,0))+INDEX(LevelHousing,MATCH($H237,LevelList,0))+INDEX(LevelTransport,MATCH($H237,LevelList,0))+INDEX(LevelBasic,MATCH($H237,LevelList,0))*INDEX(LevelBonus,MATCH($H237,LevelList,0))+(INDEX(LevelBasic,MATCH($H237,LevelList,0))+INDEX(LevelHousing,MATCH($H237,LevelList,0)))*GosiSaudi,0))</f>
        <v>0</v>
      </c>
      <c r="W237" s="35" t="n">
        <f aca="false">IFERROR(INDEX(LevelOneOff,MATCH($H237,LevelList,0)),0)</f>
        <v>0</v>
      </c>
      <c r="X237" s="35" t="str">
        <f aca="false">IF($G237="","",$V237*N($L237))</f>
        <v/>
      </c>
      <c r="Y237" s="35" t="str">
        <f aca="false">IF($G237="","",$V237*(N($M237)*1+N($N237)*0.75+N($O237)*0.5+N($P237)*0.25)+$W237*N($L237))</f>
        <v/>
      </c>
      <c r="Z237" s="35" t="str">
        <f aca="false">IF($G237="","",$U237*1000000+ROW())</f>
        <v/>
      </c>
      <c r="AA237" s="36" t="str">
        <f aca="false">IF($G237="","",MID(IF($C237="",", no division","")&amp;IF($E237="",", no unit","")&amp;IF($H237="",", no career level","")&amp;IF(N($L237)&lt;=0,", no quarter split","")&amp;IF($R237="",", no driver","")&amp;IF(AND($H237&lt;&gt;"",COUNTIF(CareerLevels,$H237)=0),", a career level that is not on the ladder","")&amp;IF(AND($R237&lt;&gt;"",COUNTIF(DriverList,$R237)=0),", a driver that is not on the list","")&amp;IF(ABS(N($L237)-(N($M237)+N($N237)+N($O237)+N($P237)))&gt;0.001,", a total that does not match its quarters",""),3,300))</f>
        <v/>
      </c>
    </row>
    <row r="238" customFormat="false" ht="15" hidden="false" customHeight="false" outlineLevel="0" collapsed="false">
      <c r="A238" s="33" t="str">
        <f aca="false">IF($G238="","","Compliance Group")</f>
        <v/>
      </c>
      <c r="B238" s="19"/>
      <c r="C238" s="19"/>
      <c r="D238" s="19"/>
      <c r="E238" s="19"/>
      <c r="F238" s="19"/>
      <c r="G238" s="19"/>
      <c r="H238" s="19"/>
      <c r="I238" s="19"/>
      <c r="J238" s="19"/>
      <c r="K238" s="19"/>
      <c r="L238" s="19"/>
      <c r="M238" s="19"/>
      <c r="N238" s="19"/>
      <c r="O238" s="19"/>
      <c r="P238" s="19"/>
      <c r="Q238" s="19"/>
      <c r="R238" s="19"/>
      <c r="S238" s="19"/>
      <c r="T238" s="34" t="str">
        <f aca="false">IF($R238="","",IFERROR(INDEX(DriverCategory,MATCH($R238,DriverList,0)),"BAU"))</f>
        <v/>
      </c>
      <c r="U238" s="34" t="str">
        <f aca="false">IF($R238="","",IFERROR(INDEX(DriverRank,MATCH($R238,DriverList,0)),99))</f>
        <v/>
      </c>
      <c r="V238" s="35" t="n">
        <f aca="false">IF($H238="",0,IFERROR(INDEX(LevelBasic,MATCH($H238,LevelList,0))+INDEX(LevelHousing,MATCH($H238,LevelList,0))+INDEX(LevelTransport,MATCH($H238,LevelList,0))+INDEX(LevelBasic,MATCH($H238,LevelList,0))*INDEX(LevelBonus,MATCH($H238,LevelList,0))+(INDEX(LevelBasic,MATCH($H238,LevelList,0))+INDEX(LevelHousing,MATCH($H238,LevelList,0)))*GosiSaudi,0))</f>
        <v>0</v>
      </c>
      <c r="W238" s="35" t="n">
        <f aca="false">IFERROR(INDEX(LevelOneOff,MATCH($H238,LevelList,0)),0)</f>
        <v>0</v>
      </c>
      <c r="X238" s="35" t="str">
        <f aca="false">IF($G238="","",$V238*N($L238))</f>
        <v/>
      </c>
      <c r="Y238" s="35" t="str">
        <f aca="false">IF($G238="","",$V238*(N($M238)*1+N($N238)*0.75+N($O238)*0.5+N($P238)*0.25)+$W238*N($L238))</f>
        <v/>
      </c>
      <c r="Z238" s="35" t="str">
        <f aca="false">IF($G238="","",$U238*1000000+ROW())</f>
        <v/>
      </c>
      <c r="AA238" s="36" t="str">
        <f aca="false">IF($G238="","",MID(IF($C238="",", no division","")&amp;IF($E238="",", no unit","")&amp;IF($H238="",", no career level","")&amp;IF(N($L238)&lt;=0,", no quarter split","")&amp;IF($R238="",", no driver","")&amp;IF(AND($H238&lt;&gt;"",COUNTIF(CareerLevels,$H238)=0),", a career level that is not on the ladder","")&amp;IF(AND($R238&lt;&gt;"",COUNTIF(DriverList,$R238)=0),", a driver that is not on the list","")&amp;IF(ABS(N($L238)-(N($M238)+N($N238)+N($O238)+N($P238)))&gt;0.001,", a total that does not match its quarters",""),3,300))</f>
        <v/>
      </c>
    </row>
    <row r="239" customFormat="false" ht="15" hidden="false" customHeight="false" outlineLevel="0" collapsed="false">
      <c r="A239" s="33" t="str">
        <f aca="false">IF($G239="","","Compliance Group")</f>
        <v/>
      </c>
      <c r="B239" s="19"/>
      <c r="C239" s="19"/>
      <c r="D239" s="19"/>
      <c r="E239" s="19"/>
      <c r="F239" s="19"/>
      <c r="G239" s="19"/>
      <c r="H239" s="19"/>
      <c r="I239" s="19"/>
      <c r="J239" s="19"/>
      <c r="K239" s="19"/>
      <c r="L239" s="19"/>
      <c r="M239" s="19"/>
      <c r="N239" s="19"/>
      <c r="O239" s="19"/>
      <c r="P239" s="19"/>
      <c r="Q239" s="19"/>
      <c r="R239" s="19"/>
      <c r="S239" s="19"/>
      <c r="T239" s="34" t="str">
        <f aca="false">IF($R239="","",IFERROR(INDEX(DriverCategory,MATCH($R239,DriverList,0)),"BAU"))</f>
        <v/>
      </c>
      <c r="U239" s="34" t="str">
        <f aca="false">IF($R239="","",IFERROR(INDEX(DriverRank,MATCH($R239,DriverList,0)),99))</f>
        <v/>
      </c>
      <c r="V239" s="35" t="n">
        <f aca="false">IF($H239="",0,IFERROR(INDEX(LevelBasic,MATCH($H239,LevelList,0))+INDEX(LevelHousing,MATCH($H239,LevelList,0))+INDEX(LevelTransport,MATCH($H239,LevelList,0))+INDEX(LevelBasic,MATCH($H239,LevelList,0))*INDEX(LevelBonus,MATCH($H239,LevelList,0))+(INDEX(LevelBasic,MATCH($H239,LevelList,0))+INDEX(LevelHousing,MATCH($H239,LevelList,0)))*GosiSaudi,0))</f>
        <v>0</v>
      </c>
      <c r="W239" s="35" t="n">
        <f aca="false">IFERROR(INDEX(LevelOneOff,MATCH($H239,LevelList,0)),0)</f>
        <v>0</v>
      </c>
      <c r="X239" s="35" t="str">
        <f aca="false">IF($G239="","",$V239*N($L239))</f>
        <v/>
      </c>
      <c r="Y239" s="35" t="str">
        <f aca="false">IF($G239="","",$V239*(N($M239)*1+N($N239)*0.75+N($O239)*0.5+N($P239)*0.25)+$W239*N($L239))</f>
        <v/>
      </c>
      <c r="Z239" s="35" t="str">
        <f aca="false">IF($G239="","",$U239*1000000+ROW())</f>
        <v/>
      </c>
      <c r="AA239" s="36" t="str">
        <f aca="false">IF($G239="","",MID(IF($C239="",", no division","")&amp;IF($E239="",", no unit","")&amp;IF($H239="",", no career level","")&amp;IF(N($L239)&lt;=0,", no quarter split","")&amp;IF($R239="",", no driver","")&amp;IF(AND($H239&lt;&gt;"",COUNTIF(CareerLevels,$H239)=0),", a career level that is not on the ladder","")&amp;IF(AND($R239&lt;&gt;"",COUNTIF(DriverList,$R239)=0),", a driver that is not on the list","")&amp;IF(ABS(N($L239)-(N($M239)+N($N239)+N($O239)+N($P239)))&gt;0.001,", a total that does not match its quarters",""),3,300))</f>
        <v/>
      </c>
    </row>
    <row r="240" customFormat="false" ht="15" hidden="false" customHeight="false" outlineLevel="0" collapsed="false">
      <c r="A240" s="33" t="str">
        <f aca="false">IF($G240="","","Compliance Group")</f>
        <v/>
      </c>
      <c r="B240" s="19"/>
      <c r="C240" s="19"/>
      <c r="D240" s="19"/>
      <c r="E240" s="19"/>
      <c r="F240" s="19"/>
      <c r="G240" s="19"/>
      <c r="H240" s="19"/>
      <c r="I240" s="19"/>
      <c r="J240" s="19"/>
      <c r="K240" s="19"/>
      <c r="L240" s="19"/>
      <c r="M240" s="19"/>
      <c r="N240" s="19"/>
      <c r="O240" s="19"/>
      <c r="P240" s="19"/>
      <c r="Q240" s="19"/>
      <c r="R240" s="19"/>
      <c r="S240" s="19"/>
      <c r="T240" s="34" t="str">
        <f aca="false">IF($R240="","",IFERROR(INDEX(DriverCategory,MATCH($R240,DriverList,0)),"BAU"))</f>
        <v/>
      </c>
      <c r="U240" s="34" t="str">
        <f aca="false">IF($R240="","",IFERROR(INDEX(DriverRank,MATCH($R240,DriverList,0)),99))</f>
        <v/>
      </c>
      <c r="V240" s="35" t="n">
        <f aca="false">IF($H240="",0,IFERROR(INDEX(LevelBasic,MATCH($H240,LevelList,0))+INDEX(LevelHousing,MATCH($H240,LevelList,0))+INDEX(LevelTransport,MATCH($H240,LevelList,0))+INDEX(LevelBasic,MATCH($H240,LevelList,0))*INDEX(LevelBonus,MATCH($H240,LevelList,0))+(INDEX(LevelBasic,MATCH($H240,LevelList,0))+INDEX(LevelHousing,MATCH($H240,LevelList,0)))*GosiSaudi,0))</f>
        <v>0</v>
      </c>
      <c r="W240" s="35" t="n">
        <f aca="false">IFERROR(INDEX(LevelOneOff,MATCH($H240,LevelList,0)),0)</f>
        <v>0</v>
      </c>
      <c r="X240" s="35" t="str">
        <f aca="false">IF($G240="","",$V240*N($L240))</f>
        <v/>
      </c>
      <c r="Y240" s="35" t="str">
        <f aca="false">IF($G240="","",$V240*(N($M240)*1+N($N240)*0.75+N($O240)*0.5+N($P240)*0.25)+$W240*N($L240))</f>
        <v/>
      </c>
      <c r="Z240" s="35" t="str">
        <f aca="false">IF($G240="","",$U240*1000000+ROW())</f>
        <v/>
      </c>
      <c r="AA240" s="36" t="str">
        <f aca="false">IF($G240="","",MID(IF($C240="",", no division","")&amp;IF($E240="",", no unit","")&amp;IF($H240="",", no career level","")&amp;IF(N($L240)&lt;=0,", no quarter split","")&amp;IF($R240="",", no driver","")&amp;IF(AND($H240&lt;&gt;"",COUNTIF(CareerLevels,$H240)=0),", a career level that is not on the ladder","")&amp;IF(AND($R240&lt;&gt;"",COUNTIF(DriverList,$R240)=0),", a driver that is not on the list","")&amp;IF(ABS(N($L240)-(N($M240)+N($N240)+N($O240)+N($P240)))&gt;0.001,", a total that does not match its quarters",""),3,300))</f>
        <v/>
      </c>
    </row>
    <row r="241" customFormat="false" ht="15" hidden="false" customHeight="false" outlineLevel="0" collapsed="false">
      <c r="A241" s="33" t="str">
        <f aca="false">IF($G241="","","Compliance Group")</f>
        <v/>
      </c>
      <c r="B241" s="19"/>
      <c r="C241" s="19"/>
      <c r="D241" s="19"/>
      <c r="E241" s="19"/>
      <c r="F241" s="19"/>
      <c r="G241" s="19"/>
      <c r="H241" s="19"/>
      <c r="I241" s="19"/>
      <c r="J241" s="19"/>
      <c r="K241" s="19"/>
      <c r="L241" s="19"/>
      <c r="M241" s="19"/>
      <c r="N241" s="19"/>
      <c r="O241" s="19"/>
      <c r="P241" s="19"/>
      <c r="Q241" s="19"/>
      <c r="R241" s="19"/>
      <c r="S241" s="19"/>
      <c r="T241" s="34" t="str">
        <f aca="false">IF($R241="","",IFERROR(INDEX(DriverCategory,MATCH($R241,DriverList,0)),"BAU"))</f>
        <v/>
      </c>
      <c r="U241" s="34" t="str">
        <f aca="false">IF($R241="","",IFERROR(INDEX(DriverRank,MATCH($R241,DriverList,0)),99))</f>
        <v/>
      </c>
      <c r="V241" s="35" t="n">
        <f aca="false">IF($H241="",0,IFERROR(INDEX(LevelBasic,MATCH($H241,LevelList,0))+INDEX(LevelHousing,MATCH($H241,LevelList,0))+INDEX(LevelTransport,MATCH($H241,LevelList,0))+INDEX(LevelBasic,MATCH($H241,LevelList,0))*INDEX(LevelBonus,MATCH($H241,LevelList,0))+(INDEX(LevelBasic,MATCH($H241,LevelList,0))+INDEX(LevelHousing,MATCH($H241,LevelList,0)))*GosiSaudi,0))</f>
        <v>0</v>
      </c>
      <c r="W241" s="35" t="n">
        <f aca="false">IFERROR(INDEX(LevelOneOff,MATCH($H241,LevelList,0)),0)</f>
        <v>0</v>
      </c>
      <c r="X241" s="35" t="str">
        <f aca="false">IF($G241="","",$V241*N($L241))</f>
        <v/>
      </c>
      <c r="Y241" s="35" t="str">
        <f aca="false">IF($G241="","",$V241*(N($M241)*1+N($N241)*0.75+N($O241)*0.5+N($P241)*0.25)+$W241*N($L241))</f>
        <v/>
      </c>
      <c r="Z241" s="35" t="str">
        <f aca="false">IF($G241="","",$U241*1000000+ROW())</f>
        <v/>
      </c>
      <c r="AA241" s="36" t="str">
        <f aca="false">IF($G241="","",MID(IF($C241="",", no division","")&amp;IF($E241="",", no unit","")&amp;IF($H241="",", no career level","")&amp;IF(N($L241)&lt;=0,", no quarter split","")&amp;IF($R241="",", no driver","")&amp;IF(AND($H241&lt;&gt;"",COUNTIF(CareerLevels,$H241)=0),", a career level that is not on the ladder","")&amp;IF(AND($R241&lt;&gt;"",COUNTIF(DriverList,$R241)=0),", a driver that is not on the list","")&amp;IF(ABS(N($L241)-(N($M241)+N($N241)+N($O241)+N($P241)))&gt;0.001,", a total that does not match its quarters",""),3,300))</f>
        <v/>
      </c>
    </row>
    <row r="242" customFormat="false" ht="15" hidden="false" customHeight="false" outlineLevel="0" collapsed="false">
      <c r="A242" s="33" t="str">
        <f aca="false">IF($G242="","","Compliance Group")</f>
        <v/>
      </c>
      <c r="B242" s="19"/>
      <c r="C242" s="19"/>
      <c r="D242" s="19"/>
      <c r="E242" s="19"/>
      <c r="F242" s="19"/>
      <c r="G242" s="19"/>
      <c r="H242" s="19"/>
      <c r="I242" s="19"/>
      <c r="J242" s="19"/>
      <c r="K242" s="19"/>
      <c r="L242" s="19"/>
      <c r="M242" s="19"/>
      <c r="N242" s="19"/>
      <c r="O242" s="19"/>
      <c r="P242" s="19"/>
      <c r="Q242" s="19"/>
      <c r="R242" s="19"/>
      <c r="S242" s="19"/>
      <c r="T242" s="34" t="str">
        <f aca="false">IF($R242="","",IFERROR(INDEX(DriverCategory,MATCH($R242,DriverList,0)),"BAU"))</f>
        <v/>
      </c>
      <c r="U242" s="34" t="str">
        <f aca="false">IF($R242="","",IFERROR(INDEX(DriverRank,MATCH($R242,DriverList,0)),99))</f>
        <v/>
      </c>
      <c r="V242" s="35" t="n">
        <f aca="false">IF($H242="",0,IFERROR(INDEX(LevelBasic,MATCH($H242,LevelList,0))+INDEX(LevelHousing,MATCH($H242,LevelList,0))+INDEX(LevelTransport,MATCH($H242,LevelList,0))+INDEX(LevelBasic,MATCH($H242,LevelList,0))*INDEX(LevelBonus,MATCH($H242,LevelList,0))+(INDEX(LevelBasic,MATCH($H242,LevelList,0))+INDEX(LevelHousing,MATCH($H242,LevelList,0)))*GosiSaudi,0))</f>
        <v>0</v>
      </c>
      <c r="W242" s="35" t="n">
        <f aca="false">IFERROR(INDEX(LevelOneOff,MATCH($H242,LevelList,0)),0)</f>
        <v>0</v>
      </c>
      <c r="X242" s="35" t="str">
        <f aca="false">IF($G242="","",$V242*N($L242))</f>
        <v/>
      </c>
      <c r="Y242" s="35" t="str">
        <f aca="false">IF($G242="","",$V242*(N($M242)*1+N($N242)*0.75+N($O242)*0.5+N($P242)*0.25)+$W242*N($L242))</f>
        <v/>
      </c>
      <c r="Z242" s="35" t="str">
        <f aca="false">IF($G242="","",$U242*1000000+ROW())</f>
        <v/>
      </c>
      <c r="AA242" s="36" t="str">
        <f aca="false">IF($G242="","",MID(IF($C242="",", no division","")&amp;IF($E242="",", no unit","")&amp;IF($H242="",", no career level","")&amp;IF(N($L242)&lt;=0,", no quarter split","")&amp;IF($R242="",", no driver","")&amp;IF(AND($H242&lt;&gt;"",COUNTIF(CareerLevels,$H242)=0),", a career level that is not on the ladder","")&amp;IF(AND($R242&lt;&gt;"",COUNTIF(DriverList,$R242)=0),", a driver that is not on the list","")&amp;IF(ABS(N($L242)-(N($M242)+N($N242)+N($O242)+N($P242)))&gt;0.001,", a total that does not match its quarters",""),3,300))</f>
        <v/>
      </c>
    </row>
    <row r="243" customFormat="false" ht="15" hidden="false" customHeight="false" outlineLevel="0" collapsed="false">
      <c r="A243" s="33" t="str">
        <f aca="false">IF($G243="","","Compliance Group")</f>
        <v/>
      </c>
      <c r="B243" s="19"/>
      <c r="C243" s="19"/>
      <c r="D243" s="19"/>
      <c r="E243" s="19"/>
      <c r="F243" s="19"/>
      <c r="G243" s="19"/>
      <c r="H243" s="19"/>
      <c r="I243" s="19"/>
      <c r="J243" s="19"/>
      <c r="K243" s="19"/>
      <c r="L243" s="19"/>
      <c r="M243" s="19"/>
      <c r="N243" s="19"/>
      <c r="O243" s="19"/>
      <c r="P243" s="19"/>
      <c r="Q243" s="19"/>
      <c r="R243" s="19"/>
      <c r="S243" s="19"/>
      <c r="T243" s="34" t="str">
        <f aca="false">IF($R243="","",IFERROR(INDEX(DriverCategory,MATCH($R243,DriverList,0)),"BAU"))</f>
        <v/>
      </c>
      <c r="U243" s="34" t="str">
        <f aca="false">IF($R243="","",IFERROR(INDEX(DriverRank,MATCH($R243,DriverList,0)),99))</f>
        <v/>
      </c>
      <c r="V243" s="35" t="n">
        <f aca="false">IF($H243="",0,IFERROR(INDEX(LevelBasic,MATCH($H243,LevelList,0))+INDEX(LevelHousing,MATCH($H243,LevelList,0))+INDEX(LevelTransport,MATCH($H243,LevelList,0))+INDEX(LevelBasic,MATCH($H243,LevelList,0))*INDEX(LevelBonus,MATCH($H243,LevelList,0))+(INDEX(LevelBasic,MATCH($H243,LevelList,0))+INDEX(LevelHousing,MATCH($H243,LevelList,0)))*GosiSaudi,0))</f>
        <v>0</v>
      </c>
      <c r="W243" s="35" t="n">
        <f aca="false">IFERROR(INDEX(LevelOneOff,MATCH($H243,LevelList,0)),0)</f>
        <v>0</v>
      </c>
      <c r="X243" s="35" t="str">
        <f aca="false">IF($G243="","",$V243*N($L243))</f>
        <v/>
      </c>
      <c r="Y243" s="35" t="str">
        <f aca="false">IF($G243="","",$V243*(N($M243)*1+N($N243)*0.75+N($O243)*0.5+N($P243)*0.25)+$W243*N($L243))</f>
        <v/>
      </c>
      <c r="Z243" s="35" t="str">
        <f aca="false">IF($G243="","",$U243*1000000+ROW())</f>
        <v/>
      </c>
      <c r="AA243" s="36" t="str">
        <f aca="false">IF($G243="","",MID(IF($C243="",", no division","")&amp;IF($E243="",", no unit","")&amp;IF($H243="",", no career level","")&amp;IF(N($L243)&lt;=0,", no quarter split","")&amp;IF($R243="",", no driver","")&amp;IF(AND($H243&lt;&gt;"",COUNTIF(CareerLevels,$H243)=0),", a career level that is not on the ladder","")&amp;IF(AND($R243&lt;&gt;"",COUNTIF(DriverList,$R243)=0),", a driver that is not on the list","")&amp;IF(ABS(N($L243)-(N($M243)+N($N243)+N($O243)+N($P243)))&gt;0.001,", a total that does not match its quarters",""),3,300))</f>
        <v/>
      </c>
    </row>
    <row r="244" customFormat="false" ht="15" hidden="false" customHeight="false" outlineLevel="0" collapsed="false">
      <c r="A244" s="33" t="str">
        <f aca="false">IF($G244="","","Compliance Group")</f>
        <v/>
      </c>
      <c r="B244" s="19"/>
      <c r="C244" s="19"/>
      <c r="D244" s="19"/>
      <c r="E244" s="19"/>
      <c r="F244" s="19"/>
      <c r="G244" s="19"/>
      <c r="H244" s="19"/>
      <c r="I244" s="19"/>
      <c r="J244" s="19"/>
      <c r="K244" s="19"/>
      <c r="L244" s="19"/>
      <c r="M244" s="19"/>
      <c r="N244" s="19"/>
      <c r="O244" s="19"/>
      <c r="P244" s="19"/>
      <c r="Q244" s="19"/>
      <c r="R244" s="19"/>
      <c r="S244" s="19"/>
      <c r="T244" s="34" t="str">
        <f aca="false">IF($R244="","",IFERROR(INDEX(DriverCategory,MATCH($R244,DriverList,0)),"BAU"))</f>
        <v/>
      </c>
      <c r="U244" s="34" t="str">
        <f aca="false">IF($R244="","",IFERROR(INDEX(DriverRank,MATCH($R244,DriverList,0)),99))</f>
        <v/>
      </c>
      <c r="V244" s="35" t="n">
        <f aca="false">IF($H244="",0,IFERROR(INDEX(LevelBasic,MATCH($H244,LevelList,0))+INDEX(LevelHousing,MATCH($H244,LevelList,0))+INDEX(LevelTransport,MATCH($H244,LevelList,0))+INDEX(LevelBasic,MATCH($H244,LevelList,0))*INDEX(LevelBonus,MATCH($H244,LevelList,0))+(INDEX(LevelBasic,MATCH($H244,LevelList,0))+INDEX(LevelHousing,MATCH($H244,LevelList,0)))*GosiSaudi,0))</f>
        <v>0</v>
      </c>
      <c r="W244" s="35" t="n">
        <f aca="false">IFERROR(INDEX(LevelOneOff,MATCH($H244,LevelList,0)),0)</f>
        <v>0</v>
      </c>
      <c r="X244" s="35" t="str">
        <f aca="false">IF($G244="","",$V244*N($L244))</f>
        <v/>
      </c>
      <c r="Y244" s="35" t="str">
        <f aca="false">IF($G244="","",$V244*(N($M244)*1+N($N244)*0.75+N($O244)*0.5+N($P244)*0.25)+$W244*N($L244))</f>
        <v/>
      </c>
      <c r="Z244" s="35" t="str">
        <f aca="false">IF($G244="","",$U244*1000000+ROW())</f>
        <v/>
      </c>
      <c r="AA244" s="36" t="str">
        <f aca="false">IF($G244="","",MID(IF($C244="",", no division","")&amp;IF($E244="",", no unit","")&amp;IF($H244="",", no career level","")&amp;IF(N($L244)&lt;=0,", no quarter split","")&amp;IF($R244="",", no driver","")&amp;IF(AND($H244&lt;&gt;"",COUNTIF(CareerLevels,$H244)=0),", a career level that is not on the ladder","")&amp;IF(AND($R244&lt;&gt;"",COUNTIF(DriverList,$R244)=0),", a driver that is not on the list","")&amp;IF(ABS(N($L244)-(N($M244)+N($N244)+N($O244)+N($P244)))&gt;0.001,", a total that does not match its quarters",""),3,300))</f>
        <v/>
      </c>
    </row>
    <row r="245" customFormat="false" ht="15" hidden="false" customHeight="false" outlineLevel="0" collapsed="false">
      <c r="A245" s="33" t="str">
        <f aca="false">IF($G245="","","Compliance Group")</f>
        <v/>
      </c>
      <c r="B245" s="19"/>
      <c r="C245" s="19"/>
      <c r="D245" s="19"/>
      <c r="E245" s="19"/>
      <c r="F245" s="19"/>
      <c r="G245" s="19"/>
      <c r="H245" s="19"/>
      <c r="I245" s="19"/>
      <c r="J245" s="19"/>
      <c r="K245" s="19"/>
      <c r="L245" s="19"/>
      <c r="M245" s="19"/>
      <c r="N245" s="19"/>
      <c r="O245" s="19"/>
      <c r="P245" s="19"/>
      <c r="Q245" s="19"/>
      <c r="R245" s="19"/>
      <c r="S245" s="19"/>
      <c r="T245" s="34" t="str">
        <f aca="false">IF($R245="","",IFERROR(INDEX(DriverCategory,MATCH($R245,DriverList,0)),"BAU"))</f>
        <v/>
      </c>
      <c r="U245" s="34" t="str">
        <f aca="false">IF($R245="","",IFERROR(INDEX(DriverRank,MATCH($R245,DriverList,0)),99))</f>
        <v/>
      </c>
      <c r="V245" s="35" t="n">
        <f aca="false">IF($H245="",0,IFERROR(INDEX(LevelBasic,MATCH($H245,LevelList,0))+INDEX(LevelHousing,MATCH($H245,LevelList,0))+INDEX(LevelTransport,MATCH($H245,LevelList,0))+INDEX(LevelBasic,MATCH($H245,LevelList,0))*INDEX(LevelBonus,MATCH($H245,LevelList,0))+(INDEX(LevelBasic,MATCH($H245,LevelList,0))+INDEX(LevelHousing,MATCH($H245,LevelList,0)))*GosiSaudi,0))</f>
        <v>0</v>
      </c>
      <c r="W245" s="35" t="n">
        <f aca="false">IFERROR(INDEX(LevelOneOff,MATCH($H245,LevelList,0)),0)</f>
        <v>0</v>
      </c>
      <c r="X245" s="35" t="str">
        <f aca="false">IF($G245="","",$V245*N($L245))</f>
        <v/>
      </c>
      <c r="Y245" s="35" t="str">
        <f aca="false">IF($G245="","",$V245*(N($M245)*1+N($N245)*0.75+N($O245)*0.5+N($P245)*0.25)+$W245*N($L245))</f>
        <v/>
      </c>
      <c r="Z245" s="35" t="str">
        <f aca="false">IF($G245="","",$U245*1000000+ROW())</f>
        <v/>
      </c>
      <c r="AA245" s="36" t="str">
        <f aca="false">IF($G245="","",MID(IF($C245="",", no division","")&amp;IF($E245="",", no unit","")&amp;IF($H245="",", no career level","")&amp;IF(N($L245)&lt;=0,", no quarter split","")&amp;IF($R245="",", no driver","")&amp;IF(AND($H245&lt;&gt;"",COUNTIF(CareerLevels,$H245)=0),", a career level that is not on the ladder","")&amp;IF(AND($R245&lt;&gt;"",COUNTIF(DriverList,$R245)=0),", a driver that is not on the list","")&amp;IF(ABS(N($L245)-(N($M245)+N($N245)+N($O245)+N($P245)))&gt;0.001,", a total that does not match its quarters",""),3,300))</f>
        <v/>
      </c>
    </row>
    <row r="246" customFormat="false" ht="15" hidden="false" customHeight="false" outlineLevel="0" collapsed="false">
      <c r="A246" s="33" t="str">
        <f aca="false">IF($G246="","","Compliance Group")</f>
        <v/>
      </c>
      <c r="B246" s="19"/>
      <c r="C246" s="19"/>
      <c r="D246" s="19"/>
      <c r="E246" s="19"/>
      <c r="F246" s="19"/>
      <c r="G246" s="19"/>
      <c r="H246" s="19"/>
      <c r="I246" s="19"/>
      <c r="J246" s="19"/>
      <c r="K246" s="19"/>
      <c r="L246" s="19"/>
      <c r="M246" s="19"/>
      <c r="N246" s="19"/>
      <c r="O246" s="19"/>
      <c r="P246" s="19"/>
      <c r="Q246" s="19"/>
      <c r="R246" s="19"/>
      <c r="S246" s="19"/>
      <c r="T246" s="34" t="str">
        <f aca="false">IF($R246="","",IFERROR(INDEX(DriverCategory,MATCH($R246,DriverList,0)),"BAU"))</f>
        <v/>
      </c>
      <c r="U246" s="34" t="str">
        <f aca="false">IF($R246="","",IFERROR(INDEX(DriverRank,MATCH($R246,DriverList,0)),99))</f>
        <v/>
      </c>
      <c r="V246" s="35" t="n">
        <f aca="false">IF($H246="",0,IFERROR(INDEX(LevelBasic,MATCH($H246,LevelList,0))+INDEX(LevelHousing,MATCH($H246,LevelList,0))+INDEX(LevelTransport,MATCH($H246,LevelList,0))+INDEX(LevelBasic,MATCH($H246,LevelList,0))*INDEX(LevelBonus,MATCH($H246,LevelList,0))+(INDEX(LevelBasic,MATCH($H246,LevelList,0))+INDEX(LevelHousing,MATCH($H246,LevelList,0)))*GosiSaudi,0))</f>
        <v>0</v>
      </c>
      <c r="W246" s="35" t="n">
        <f aca="false">IFERROR(INDEX(LevelOneOff,MATCH($H246,LevelList,0)),0)</f>
        <v>0</v>
      </c>
      <c r="X246" s="35" t="str">
        <f aca="false">IF($G246="","",$V246*N($L246))</f>
        <v/>
      </c>
      <c r="Y246" s="35" t="str">
        <f aca="false">IF($G246="","",$V246*(N($M246)*1+N($N246)*0.75+N($O246)*0.5+N($P246)*0.25)+$W246*N($L246))</f>
        <v/>
      </c>
      <c r="Z246" s="35" t="str">
        <f aca="false">IF($G246="","",$U246*1000000+ROW())</f>
        <v/>
      </c>
      <c r="AA246" s="36" t="str">
        <f aca="false">IF($G246="","",MID(IF($C246="",", no division","")&amp;IF($E246="",", no unit","")&amp;IF($H246="",", no career level","")&amp;IF(N($L246)&lt;=0,", no quarter split","")&amp;IF($R246="",", no driver","")&amp;IF(AND($H246&lt;&gt;"",COUNTIF(CareerLevels,$H246)=0),", a career level that is not on the ladder","")&amp;IF(AND($R246&lt;&gt;"",COUNTIF(DriverList,$R246)=0),", a driver that is not on the list","")&amp;IF(ABS(N($L246)-(N($M246)+N($N246)+N($O246)+N($P246)))&gt;0.001,", a total that does not match its quarters",""),3,300))</f>
        <v/>
      </c>
    </row>
    <row r="247" customFormat="false" ht="15" hidden="false" customHeight="false" outlineLevel="0" collapsed="false">
      <c r="A247" s="33" t="str">
        <f aca="false">IF($G247="","","Compliance Group")</f>
        <v/>
      </c>
      <c r="B247" s="19"/>
      <c r="C247" s="19"/>
      <c r="D247" s="19"/>
      <c r="E247" s="19"/>
      <c r="F247" s="19"/>
      <c r="G247" s="19"/>
      <c r="H247" s="19"/>
      <c r="I247" s="19"/>
      <c r="J247" s="19"/>
      <c r="K247" s="19"/>
      <c r="L247" s="19"/>
      <c r="M247" s="19"/>
      <c r="N247" s="19"/>
      <c r="O247" s="19"/>
      <c r="P247" s="19"/>
      <c r="Q247" s="19"/>
      <c r="R247" s="19"/>
      <c r="S247" s="19"/>
      <c r="T247" s="34" t="str">
        <f aca="false">IF($R247="","",IFERROR(INDEX(DriverCategory,MATCH($R247,DriverList,0)),"BAU"))</f>
        <v/>
      </c>
      <c r="U247" s="34" t="str">
        <f aca="false">IF($R247="","",IFERROR(INDEX(DriverRank,MATCH($R247,DriverList,0)),99))</f>
        <v/>
      </c>
      <c r="V247" s="35" t="n">
        <f aca="false">IF($H247="",0,IFERROR(INDEX(LevelBasic,MATCH($H247,LevelList,0))+INDEX(LevelHousing,MATCH($H247,LevelList,0))+INDEX(LevelTransport,MATCH($H247,LevelList,0))+INDEX(LevelBasic,MATCH($H247,LevelList,0))*INDEX(LevelBonus,MATCH($H247,LevelList,0))+(INDEX(LevelBasic,MATCH($H247,LevelList,0))+INDEX(LevelHousing,MATCH($H247,LevelList,0)))*GosiSaudi,0))</f>
        <v>0</v>
      </c>
      <c r="W247" s="35" t="n">
        <f aca="false">IFERROR(INDEX(LevelOneOff,MATCH($H247,LevelList,0)),0)</f>
        <v>0</v>
      </c>
      <c r="X247" s="35" t="str">
        <f aca="false">IF($G247="","",$V247*N($L247))</f>
        <v/>
      </c>
      <c r="Y247" s="35" t="str">
        <f aca="false">IF($G247="","",$V247*(N($M247)*1+N($N247)*0.75+N($O247)*0.5+N($P247)*0.25)+$W247*N($L247))</f>
        <v/>
      </c>
      <c r="Z247" s="35" t="str">
        <f aca="false">IF($G247="","",$U247*1000000+ROW())</f>
        <v/>
      </c>
      <c r="AA247" s="36" t="str">
        <f aca="false">IF($G247="","",MID(IF($C247="",", no division","")&amp;IF($E247="",", no unit","")&amp;IF($H247="",", no career level","")&amp;IF(N($L247)&lt;=0,", no quarter split","")&amp;IF($R247="",", no driver","")&amp;IF(AND($H247&lt;&gt;"",COUNTIF(CareerLevels,$H247)=0),", a career level that is not on the ladder","")&amp;IF(AND($R247&lt;&gt;"",COUNTIF(DriverList,$R247)=0),", a driver that is not on the list","")&amp;IF(ABS(N($L247)-(N($M247)+N($N247)+N($O247)+N($P247)))&gt;0.001,", a total that does not match its quarters",""),3,300))</f>
        <v/>
      </c>
    </row>
    <row r="248" customFormat="false" ht="15" hidden="false" customHeight="false" outlineLevel="0" collapsed="false">
      <c r="A248" s="33" t="str">
        <f aca="false">IF($G248="","","Compliance Group")</f>
        <v/>
      </c>
      <c r="B248" s="19"/>
      <c r="C248" s="19"/>
      <c r="D248" s="19"/>
      <c r="E248" s="19"/>
      <c r="F248" s="19"/>
      <c r="G248" s="19"/>
      <c r="H248" s="19"/>
      <c r="I248" s="19"/>
      <c r="J248" s="19"/>
      <c r="K248" s="19"/>
      <c r="L248" s="19"/>
      <c r="M248" s="19"/>
      <c r="N248" s="19"/>
      <c r="O248" s="19"/>
      <c r="P248" s="19"/>
      <c r="Q248" s="19"/>
      <c r="R248" s="19"/>
      <c r="S248" s="19"/>
      <c r="T248" s="34" t="str">
        <f aca="false">IF($R248="","",IFERROR(INDEX(DriverCategory,MATCH($R248,DriverList,0)),"BAU"))</f>
        <v/>
      </c>
      <c r="U248" s="34" t="str">
        <f aca="false">IF($R248="","",IFERROR(INDEX(DriverRank,MATCH($R248,DriverList,0)),99))</f>
        <v/>
      </c>
      <c r="V248" s="35" t="n">
        <f aca="false">IF($H248="",0,IFERROR(INDEX(LevelBasic,MATCH($H248,LevelList,0))+INDEX(LevelHousing,MATCH($H248,LevelList,0))+INDEX(LevelTransport,MATCH($H248,LevelList,0))+INDEX(LevelBasic,MATCH($H248,LevelList,0))*INDEX(LevelBonus,MATCH($H248,LevelList,0))+(INDEX(LevelBasic,MATCH($H248,LevelList,0))+INDEX(LevelHousing,MATCH($H248,LevelList,0)))*GosiSaudi,0))</f>
        <v>0</v>
      </c>
      <c r="W248" s="35" t="n">
        <f aca="false">IFERROR(INDEX(LevelOneOff,MATCH($H248,LevelList,0)),0)</f>
        <v>0</v>
      </c>
      <c r="X248" s="35" t="str">
        <f aca="false">IF($G248="","",$V248*N($L248))</f>
        <v/>
      </c>
      <c r="Y248" s="35" t="str">
        <f aca="false">IF($G248="","",$V248*(N($M248)*1+N($N248)*0.75+N($O248)*0.5+N($P248)*0.25)+$W248*N($L248))</f>
        <v/>
      </c>
      <c r="Z248" s="35" t="str">
        <f aca="false">IF($G248="","",$U248*1000000+ROW())</f>
        <v/>
      </c>
      <c r="AA248" s="36" t="str">
        <f aca="false">IF($G248="","",MID(IF($C248="",", no division","")&amp;IF($E248="",", no unit","")&amp;IF($H248="",", no career level","")&amp;IF(N($L248)&lt;=0,", no quarter split","")&amp;IF($R248="",", no driver","")&amp;IF(AND($H248&lt;&gt;"",COUNTIF(CareerLevels,$H248)=0),", a career level that is not on the ladder","")&amp;IF(AND($R248&lt;&gt;"",COUNTIF(DriverList,$R248)=0),", a driver that is not on the list","")&amp;IF(ABS(N($L248)-(N($M248)+N($N248)+N($O248)+N($P248)))&gt;0.001,", a total that does not match its quarters",""),3,300))</f>
        <v/>
      </c>
    </row>
    <row r="249" customFormat="false" ht="15" hidden="false" customHeight="false" outlineLevel="0" collapsed="false">
      <c r="A249" s="33" t="str">
        <f aca="false">IF($G249="","","Compliance Group")</f>
        <v/>
      </c>
      <c r="B249" s="19"/>
      <c r="C249" s="19"/>
      <c r="D249" s="19"/>
      <c r="E249" s="19"/>
      <c r="F249" s="19"/>
      <c r="G249" s="19"/>
      <c r="H249" s="19"/>
      <c r="I249" s="19"/>
      <c r="J249" s="19"/>
      <c r="K249" s="19"/>
      <c r="L249" s="19"/>
      <c r="M249" s="19"/>
      <c r="N249" s="19"/>
      <c r="O249" s="19"/>
      <c r="P249" s="19"/>
      <c r="Q249" s="19"/>
      <c r="R249" s="19"/>
      <c r="S249" s="19"/>
      <c r="T249" s="34" t="str">
        <f aca="false">IF($R249="","",IFERROR(INDEX(DriverCategory,MATCH($R249,DriverList,0)),"BAU"))</f>
        <v/>
      </c>
      <c r="U249" s="34" t="str">
        <f aca="false">IF($R249="","",IFERROR(INDEX(DriverRank,MATCH($R249,DriverList,0)),99))</f>
        <v/>
      </c>
      <c r="V249" s="35" t="n">
        <f aca="false">IF($H249="",0,IFERROR(INDEX(LevelBasic,MATCH($H249,LevelList,0))+INDEX(LevelHousing,MATCH($H249,LevelList,0))+INDEX(LevelTransport,MATCH($H249,LevelList,0))+INDEX(LevelBasic,MATCH($H249,LevelList,0))*INDEX(LevelBonus,MATCH($H249,LevelList,0))+(INDEX(LevelBasic,MATCH($H249,LevelList,0))+INDEX(LevelHousing,MATCH($H249,LevelList,0)))*GosiSaudi,0))</f>
        <v>0</v>
      </c>
      <c r="W249" s="35" t="n">
        <f aca="false">IFERROR(INDEX(LevelOneOff,MATCH($H249,LevelList,0)),0)</f>
        <v>0</v>
      </c>
      <c r="X249" s="35" t="str">
        <f aca="false">IF($G249="","",$V249*N($L249))</f>
        <v/>
      </c>
      <c r="Y249" s="35" t="str">
        <f aca="false">IF($G249="","",$V249*(N($M249)*1+N($N249)*0.75+N($O249)*0.5+N($P249)*0.25)+$W249*N($L249))</f>
        <v/>
      </c>
      <c r="Z249" s="35" t="str">
        <f aca="false">IF($G249="","",$U249*1000000+ROW())</f>
        <v/>
      </c>
      <c r="AA249" s="36" t="str">
        <f aca="false">IF($G249="","",MID(IF($C249="",", no division","")&amp;IF($E249="",", no unit","")&amp;IF($H249="",", no career level","")&amp;IF(N($L249)&lt;=0,", no quarter split","")&amp;IF($R249="",", no driver","")&amp;IF(AND($H249&lt;&gt;"",COUNTIF(CareerLevels,$H249)=0),", a career level that is not on the ladder","")&amp;IF(AND($R249&lt;&gt;"",COUNTIF(DriverList,$R249)=0),", a driver that is not on the list","")&amp;IF(ABS(N($L249)-(N($M249)+N($N249)+N($O249)+N($P249)))&gt;0.001,", a total that does not match its quarters",""),3,300))</f>
        <v/>
      </c>
    </row>
    <row r="250" customFormat="false" ht="15" hidden="false" customHeight="false" outlineLevel="0" collapsed="false">
      <c r="A250" s="33" t="str">
        <f aca="false">IF($G250="","","Compliance Group")</f>
        <v/>
      </c>
      <c r="B250" s="19"/>
      <c r="C250" s="19"/>
      <c r="D250" s="19"/>
      <c r="E250" s="19"/>
      <c r="F250" s="19"/>
      <c r="G250" s="19"/>
      <c r="H250" s="19"/>
      <c r="I250" s="19"/>
      <c r="J250" s="19"/>
      <c r="K250" s="19"/>
      <c r="L250" s="19"/>
      <c r="M250" s="19"/>
      <c r="N250" s="19"/>
      <c r="O250" s="19"/>
      <c r="P250" s="19"/>
      <c r="Q250" s="19"/>
      <c r="R250" s="19"/>
      <c r="S250" s="19"/>
      <c r="T250" s="34" t="str">
        <f aca="false">IF($R250="","",IFERROR(INDEX(DriverCategory,MATCH($R250,DriverList,0)),"BAU"))</f>
        <v/>
      </c>
      <c r="U250" s="34" t="str">
        <f aca="false">IF($R250="","",IFERROR(INDEX(DriverRank,MATCH($R250,DriverList,0)),99))</f>
        <v/>
      </c>
      <c r="V250" s="35" t="n">
        <f aca="false">IF($H250="",0,IFERROR(INDEX(LevelBasic,MATCH($H250,LevelList,0))+INDEX(LevelHousing,MATCH($H250,LevelList,0))+INDEX(LevelTransport,MATCH($H250,LevelList,0))+INDEX(LevelBasic,MATCH($H250,LevelList,0))*INDEX(LevelBonus,MATCH($H250,LevelList,0))+(INDEX(LevelBasic,MATCH($H250,LevelList,0))+INDEX(LevelHousing,MATCH($H250,LevelList,0)))*GosiSaudi,0))</f>
        <v>0</v>
      </c>
      <c r="W250" s="35" t="n">
        <f aca="false">IFERROR(INDEX(LevelOneOff,MATCH($H250,LevelList,0)),0)</f>
        <v>0</v>
      </c>
      <c r="X250" s="35" t="str">
        <f aca="false">IF($G250="","",$V250*N($L250))</f>
        <v/>
      </c>
      <c r="Y250" s="35" t="str">
        <f aca="false">IF($G250="","",$V250*(N($M250)*1+N($N250)*0.75+N($O250)*0.5+N($P250)*0.25)+$W250*N($L250))</f>
        <v/>
      </c>
      <c r="Z250" s="35" t="str">
        <f aca="false">IF($G250="","",$U250*1000000+ROW())</f>
        <v/>
      </c>
      <c r="AA250" s="36" t="str">
        <f aca="false">IF($G250="","",MID(IF($C250="",", no division","")&amp;IF($E250="",", no unit","")&amp;IF($H250="",", no career level","")&amp;IF(N($L250)&lt;=0,", no quarter split","")&amp;IF($R250="",", no driver","")&amp;IF(AND($H250&lt;&gt;"",COUNTIF(CareerLevels,$H250)=0),", a career level that is not on the ladder","")&amp;IF(AND($R250&lt;&gt;"",COUNTIF(DriverList,$R250)=0),", a driver that is not on the list","")&amp;IF(ABS(N($L250)-(N($M250)+N($N250)+N($O250)+N($P250)))&gt;0.001,", a total that does not match its quarters",""),3,300))</f>
        <v/>
      </c>
    </row>
    <row r="251" customFormat="false" ht="15" hidden="false" customHeight="false" outlineLevel="0" collapsed="false">
      <c r="A251" s="33" t="str">
        <f aca="false">IF($G251="","","Compliance Group")</f>
        <v/>
      </c>
      <c r="B251" s="19"/>
      <c r="C251" s="19"/>
      <c r="D251" s="19"/>
      <c r="E251" s="19"/>
      <c r="F251" s="19"/>
      <c r="G251" s="19"/>
      <c r="H251" s="19"/>
      <c r="I251" s="19"/>
      <c r="J251" s="19"/>
      <c r="K251" s="19"/>
      <c r="L251" s="19"/>
      <c r="M251" s="19"/>
      <c r="N251" s="19"/>
      <c r="O251" s="19"/>
      <c r="P251" s="19"/>
      <c r="Q251" s="19"/>
      <c r="R251" s="19"/>
      <c r="S251" s="19"/>
      <c r="T251" s="34" t="str">
        <f aca="false">IF($R251="","",IFERROR(INDEX(DriverCategory,MATCH($R251,DriverList,0)),"BAU"))</f>
        <v/>
      </c>
      <c r="U251" s="34" t="str">
        <f aca="false">IF($R251="","",IFERROR(INDEX(DriverRank,MATCH($R251,DriverList,0)),99))</f>
        <v/>
      </c>
      <c r="V251" s="35" t="n">
        <f aca="false">IF($H251="",0,IFERROR(INDEX(LevelBasic,MATCH($H251,LevelList,0))+INDEX(LevelHousing,MATCH($H251,LevelList,0))+INDEX(LevelTransport,MATCH($H251,LevelList,0))+INDEX(LevelBasic,MATCH($H251,LevelList,0))*INDEX(LevelBonus,MATCH($H251,LevelList,0))+(INDEX(LevelBasic,MATCH($H251,LevelList,0))+INDEX(LevelHousing,MATCH($H251,LevelList,0)))*GosiSaudi,0))</f>
        <v>0</v>
      </c>
      <c r="W251" s="35" t="n">
        <f aca="false">IFERROR(INDEX(LevelOneOff,MATCH($H251,LevelList,0)),0)</f>
        <v>0</v>
      </c>
      <c r="X251" s="35" t="str">
        <f aca="false">IF($G251="","",$V251*N($L251))</f>
        <v/>
      </c>
      <c r="Y251" s="35" t="str">
        <f aca="false">IF($G251="","",$V251*(N($M251)*1+N($N251)*0.75+N($O251)*0.5+N($P251)*0.25)+$W251*N($L251))</f>
        <v/>
      </c>
      <c r="Z251" s="35" t="str">
        <f aca="false">IF($G251="","",$U251*1000000+ROW())</f>
        <v/>
      </c>
      <c r="AA251" s="36" t="str">
        <f aca="false">IF($G251="","",MID(IF($C251="",", no division","")&amp;IF($E251="",", no unit","")&amp;IF($H251="",", no career level","")&amp;IF(N($L251)&lt;=0,", no quarter split","")&amp;IF($R251="",", no driver","")&amp;IF(AND($H251&lt;&gt;"",COUNTIF(CareerLevels,$H251)=0),", a career level that is not on the ladder","")&amp;IF(AND($R251&lt;&gt;"",COUNTIF(DriverList,$R251)=0),", a driver that is not on the list","")&amp;IF(ABS(N($L251)-(N($M251)+N($N251)+N($O251)+N($P251)))&gt;0.001,", a total that does not match its quarters",""),3,300))</f>
        <v/>
      </c>
    </row>
    <row r="252" customFormat="false" ht="15" hidden="false" customHeight="false" outlineLevel="0" collapsed="false">
      <c r="A252" s="33" t="str">
        <f aca="false">IF($G252="","","Compliance Group")</f>
        <v/>
      </c>
      <c r="B252" s="19"/>
      <c r="C252" s="19"/>
      <c r="D252" s="19"/>
      <c r="E252" s="19"/>
      <c r="F252" s="19"/>
      <c r="G252" s="19"/>
      <c r="H252" s="19"/>
      <c r="I252" s="19"/>
      <c r="J252" s="19"/>
      <c r="K252" s="19"/>
      <c r="L252" s="19"/>
      <c r="M252" s="19"/>
      <c r="N252" s="19"/>
      <c r="O252" s="19"/>
      <c r="P252" s="19"/>
      <c r="Q252" s="19"/>
      <c r="R252" s="19"/>
      <c r="S252" s="19"/>
      <c r="T252" s="34" t="str">
        <f aca="false">IF($R252="","",IFERROR(INDEX(DriverCategory,MATCH($R252,DriverList,0)),"BAU"))</f>
        <v/>
      </c>
      <c r="U252" s="34" t="str">
        <f aca="false">IF($R252="","",IFERROR(INDEX(DriverRank,MATCH($R252,DriverList,0)),99))</f>
        <v/>
      </c>
      <c r="V252" s="35" t="n">
        <f aca="false">IF($H252="",0,IFERROR(INDEX(LevelBasic,MATCH($H252,LevelList,0))+INDEX(LevelHousing,MATCH($H252,LevelList,0))+INDEX(LevelTransport,MATCH($H252,LevelList,0))+INDEX(LevelBasic,MATCH($H252,LevelList,0))*INDEX(LevelBonus,MATCH($H252,LevelList,0))+(INDEX(LevelBasic,MATCH($H252,LevelList,0))+INDEX(LevelHousing,MATCH($H252,LevelList,0)))*GosiSaudi,0))</f>
        <v>0</v>
      </c>
      <c r="W252" s="35" t="n">
        <f aca="false">IFERROR(INDEX(LevelOneOff,MATCH($H252,LevelList,0)),0)</f>
        <v>0</v>
      </c>
      <c r="X252" s="35" t="str">
        <f aca="false">IF($G252="","",$V252*N($L252))</f>
        <v/>
      </c>
      <c r="Y252" s="35" t="str">
        <f aca="false">IF($G252="","",$V252*(N($M252)*1+N($N252)*0.75+N($O252)*0.5+N($P252)*0.25)+$W252*N($L252))</f>
        <v/>
      </c>
      <c r="Z252" s="35" t="str">
        <f aca="false">IF($G252="","",$U252*1000000+ROW())</f>
        <v/>
      </c>
      <c r="AA252" s="36" t="str">
        <f aca="false">IF($G252="","",MID(IF($C252="",", no division","")&amp;IF($E252="",", no unit","")&amp;IF($H252="",", no career level","")&amp;IF(N($L252)&lt;=0,", no quarter split","")&amp;IF($R252="",", no driver","")&amp;IF(AND($H252&lt;&gt;"",COUNTIF(CareerLevels,$H252)=0),", a career level that is not on the ladder","")&amp;IF(AND($R252&lt;&gt;"",COUNTIF(DriverList,$R252)=0),", a driver that is not on the list","")&amp;IF(ABS(N($L252)-(N($M252)+N($N252)+N($O252)+N($P252)))&gt;0.001,", a total that does not match its quarters",""),3,300))</f>
        <v/>
      </c>
    </row>
    <row r="253" customFormat="false" ht="15" hidden="false" customHeight="false" outlineLevel="0" collapsed="false">
      <c r="A253" s="33" t="str">
        <f aca="false">IF($G253="","","Compliance Group")</f>
        <v/>
      </c>
      <c r="B253" s="19"/>
      <c r="C253" s="19"/>
      <c r="D253" s="19"/>
      <c r="E253" s="19"/>
      <c r="F253" s="19"/>
      <c r="G253" s="19"/>
      <c r="H253" s="19"/>
      <c r="I253" s="19"/>
      <c r="J253" s="19"/>
      <c r="K253" s="19"/>
      <c r="L253" s="19"/>
      <c r="M253" s="19"/>
      <c r="N253" s="19"/>
      <c r="O253" s="19"/>
      <c r="P253" s="19"/>
      <c r="Q253" s="19"/>
      <c r="R253" s="19"/>
      <c r="S253" s="19"/>
      <c r="T253" s="34" t="str">
        <f aca="false">IF($R253="","",IFERROR(INDEX(DriverCategory,MATCH($R253,DriverList,0)),"BAU"))</f>
        <v/>
      </c>
      <c r="U253" s="34" t="str">
        <f aca="false">IF($R253="","",IFERROR(INDEX(DriverRank,MATCH($R253,DriverList,0)),99))</f>
        <v/>
      </c>
      <c r="V253" s="35" t="n">
        <f aca="false">IF($H253="",0,IFERROR(INDEX(LevelBasic,MATCH($H253,LevelList,0))+INDEX(LevelHousing,MATCH($H253,LevelList,0))+INDEX(LevelTransport,MATCH($H253,LevelList,0))+INDEX(LevelBasic,MATCH($H253,LevelList,0))*INDEX(LevelBonus,MATCH($H253,LevelList,0))+(INDEX(LevelBasic,MATCH($H253,LevelList,0))+INDEX(LevelHousing,MATCH($H253,LevelList,0)))*GosiSaudi,0))</f>
        <v>0</v>
      </c>
      <c r="W253" s="35" t="n">
        <f aca="false">IFERROR(INDEX(LevelOneOff,MATCH($H253,LevelList,0)),0)</f>
        <v>0</v>
      </c>
      <c r="X253" s="35" t="str">
        <f aca="false">IF($G253="","",$V253*N($L253))</f>
        <v/>
      </c>
      <c r="Y253" s="35" t="str">
        <f aca="false">IF($G253="","",$V253*(N($M253)*1+N($N253)*0.75+N($O253)*0.5+N($P253)*0.25)+$W253*N($L253))</f>
        <v/>
      </c>
      <c r="Z253" s="35" t="str">
        <f aca="false">IF($G253="","",$U253*1000000+ROW())</f>
        <v/>
      </c>
      <c r="AA253" s="36" t="str">
        <f aca="false">IF($G253="","",MID(IF($C253="",", no division","")&amp;IF($E253="",", no unit","")&amp;IF($H253="",", no career level","")&amp;IF(N($L253)&lt;=0,", no quarter split","")&amp;IF($R253="",", no driver","")&amp;IF(AND($H253&lt;&gt;"",COUNTIF(CareerLevels,$H253)=0),", a career level that is not on the ladder","")&amp;IF(AND($R253&lt;&gt;"",COUNTIF(DriverList,$R253)=0),", a driver that is not on the list","")&amp;IF(ABS(N($L253)-(N($M253)+N($N253)+N($O253)+N($P253)))&gt;0.001,", a total that does not match its quarters",""),3,300))</f>
        <v/>
      </c>
    </row>
    <row r="254" customFormat="false" ht="15" hidden="false" customHeight="false" outlineLevel="0" collapsed="false">
      <c r="A254" s="33" t="str">
        <f aca="false">IF($G254="","","Compliance Group")</f>
        <v/>
      </c>
      <c r="B254" s="19"/>
      <c r="C254" s="19"/>
      <c r="D254" s="19"/>
      <c r="E254" s="19"/>
      <c r="F254" s="19"/>
      <c r="G254" s="19"/>
      <c r="H254" s="19"/>
      <c r="I254" s="19"/>
      <c r="J254" s="19"/>
      <c r="K254" s="19"/>
      <c r="L254" s="19"/>
      <c r="M254" s="19"/>
      <c r="N254" s="19"/>
      <c r="O254" s="19"/>
      <c r="P254" s="19"/>
      <c r="Q254" s="19"/>
      <c r="R254" s="19"/>
      <c r="S254" s="19"/>
      <c r="T254" s="34" t="str">
        <f aca="false">IF($R254="","",IFERROR(INDEX(DriverCategory,MATCH($R254,DriverList,0)),"BAU"))</f>
        <v/>
      </c>
      <c r="U254" s="34" t="str">
        <f aca="false">IF($R254="","",IFERROR(INDEX(DriverRank,MATCH($R254,DriverList,0)),99))</f>
        <v/>
      </c>
      <c r="V254" s="35" t="n">
        <f aca="false">IF($H254="",0,IFERROR(INDEX(LevelBasic,MATCH($H254,LevelList,0))+INDEX(LevelHousing,MATCH($H254,LevelList,0))+INDEX(LevelTransport,MATCH($H254,LevelList,0))+INDEX(LevelBasic,MATCH($H254,LevelList,0))*INDEX(LevelBonus,MATCH($H254,LevelList,0))+(INDEX(LevelBasic,MATCH($H254,LevelList,0))+INDEX(LevelHousing,MATCH($H254,LevelList,0)))*GosiSaudi,0))</f>
        <v>0</v>
      </c>
      <c r="W254" s="35" t="n">
        <f aca="false">IFERROR(INDEX(LevelOneOff,MATCH($H254,LevelList,0)),0)</f>
        <v>0</v>
      </c>
      <c r="X254" s="35" t="str">
        <f aca="false">IF($G254="","",$V254*N($L254))</f>
        <v/>
      </c>
      <c r="Y254" s="35" t="str">
        <f aca="false">IF($G254="","",$V254*(N($M254)*1+N($N254)*0.75+N($O254)*0.5+N($P254)*0.25)+$W254*N($L254))</f>
        <v/>
      </c>
      <c r="Z254" s="35" t="str">
        <f aca="false">IF($G254="","",$U254*1000000+ROW())</f>
        <v/>
      </c>
      <c r="AA254" s="36" t="str">
        <f aca="false">IF($G254="","",MID(IF($C254="",", no division","")&amp;IF($E254="",", no unit","")&amp;IF($H254="",", no career level","")&amp;IF(N($L254)&lt;=0,", no quarter split","")&amp;IF($R254="",", no driver","")&amp;IF(AND($H254&lt;&gt;"",COUNTIF(CareerLevels,$H254)=0),", a career level that is not on the ladder","")&amp;IF(AND($R254&lt;&gt;"",COUNTIF(DriverList,$R254)=0),", a driver that is not on the list","")&amp;IF(ABS(N($L254)-(N($M254)+N($N254)+N($O254)+N($P254)))&gt;0.001,", a total that does not match its quarters",""),3,300))</f>
        <v/>
      </c>
    </row>
    <row r="255" customFormat="false" ht="15" hidden="false" customHeight="false" outlineLevel="0" collapsed="false">
      <c r="A255" s="33" t="str">
        <f aca="false">IF($G255="","","Compliance Group")</f>
        <v/>
      </c>
      <c r="B255" s="19"/>
      <c r="C255" s="19"/>
      <c r="D255" s="19"/>
      <c r="E255" s="19"/>
      <c r="F255" s="19"/>
      <c r="G255" s="19"/>
      <c r="H255" s="19"/>
      <c r="I255" s="19"/>
      <c r="J255" s="19"/>
      <c r="K255" s="19"/>
      <c r="L255" s="19"/>
      <c r="M255" s="19"/>
      <c r="N255" s="19"/>
      <c r="O255" s="19"/>
      <c r="P255" s="19"/>
      <c r="Q255" s="19"/>
      <c r="R255" s="19"/>
      <c r="S255" s="19"/>
      <c r="T255" s="34" t="str">
        <f aca="false">IF($R255="","",IFERROR(INDEX(DriverCategory,MATCH($R255,DriverList,0)),"BAU"))</f>
        <v/>
      </c>
      <c r="U255" s="34" t="str">
        <f aca="false">IF($R255="","",IFERROR(INDEX(DriverRank,MATCH($R255,DriverList,0)),99))</f>
        <v/>
      </c>
      <c r="V255" s="35" t="n">
        <f aca="false">IF($H255="",0,IFERROR(INDEX(LevelBasic,MATCH($H255,LevelList,0))+INDEX(LevelHousing,MATCH($H255,LevelList,0))+INDEX(LevelTransport,MATCH($H255,LevelList,0))+INDEX(LevelBasic,MATCH($H255,LevelList,0))*INDEX(LevelBonus,MATCH($H255,LevelList,0))+(INDEX(LevelBasic,MATCH($H255,LevelList,0))+INDEX(LevelHousing,MATCH($H255,LevelList,0)))*GosiSaudi,0))</f>
        <v>0</v>
      </c>
      <c r="W255" s="35" t="n">
        <f aca="false">IFERROR(INDEX(LevelOneOff,MATCH($H255,LevelList,0)),0)</f>
        <v>0</v>
      </c>
      <c r="X255" s="35" t="str">
        <f aca="false">IF($G255="","",$V255*N($L255))</f>
        <v/>
      </c>
      <c r="Y255" s="35" t="str">
        <f aca="false">IF($G255="","",$V255*(N($M255)*1+N($N255)*0.75+N($O255)*0.5+N($P255)*0.25)+$W255*N($L255))</f>
        <v/>
      </c>
      <c r="Z255" s="35" t="str">
        <f aca="false">IF($G255="","",$U255*1000000+ROW())</f>
        <v/>
      </c>
      <c r="AA255" s="36" t="str">
        <f aca="false">IF($G255="","",MID(IF($C255="",", no division","")&amp;IF($E255="",", no unit","")&amp;IF($H255="",", no career level","")&amp;IF(N($L255)&lt;=0,", no quarter split","")&amp;IF($R255="",", no driver","")&amp;IF(AND($H255&lt;&gt;"",COUNTIF(CareerLevels,$H255)=0),", a career level that is not on the ladder","")&amp;IF(AND($R255&lt;&gt;"",COUNTIF(DriverList,$R255)=0),", a driver that is not on the list","")&amp;IF(ABS(N($L255)-(N($M255)+N($N255)+N($O255)+N($P255)))&gt;0.001,", a total that does not match its quarters",""),3,300))</f>
        <v/>
      </c>
    </row>
    <row r="256" customFormat="false" ht="15" hidden="false" customHeight="false" outlineLevel="0" collapsed="false">
      <c r="A256" s="33" t="str">
        <f aca="false">IF($G256="","","Compliance Group")</f>
        <v/>
      </c>
      <c r="B256" s="19"/>
      <c r="C256" s="19"/>
      <c r="D256" s="19"/>
      <c r="E256" s="19"/>
      <c r="F256" s="19"/>
      <c r="G256" s="19"/>
      <c r="H256" s="19"/>
      <c r="I256" s="19"/>
      <c r="J256" s="19"/>
      <c r="K256" s="19"/>
      <c r="L256" s="19"/>
      <c r="M256" s="19"/>
      <c r="N256" s="19"/>
      <c r="O256" s="19"/>
      <c r="P256" s="19"/>
      <c r="Q256" s="19"/>
      <c r="R256" s="19"/>
      <c r="S256" s="19"/>
      <c r="T256" s="34" t="str">
        <f aca="false">IF($R256="","",IFERROR(INDEX(DriverCategory,MATCH($R256,DriverList,0)),"BAU"))</f>
        <v/>
      </c>
      <c r="U256" s="34" t="str">
        <f aca="false">IF($R256="","",IFERROR(INDEX(DriverRank,MATCH($R256,DriverList,0)),99))</f>
        <v/>
      </c>
      <c r="V256" s="35" t="n">
        <f aca="false">IF($H256="",0,IFERROR(INDEX(LevelBasic,MATCH($H256,LevelList,0))+INDEX(LevelHousing,MATCH($H256,LevelList,0))+INDEX(LevelTransport,MATCH($H256,LevelList,0))+INDEX(LevelBasic,MATCH($H256,LevelList,0))*INDEX(LevelBonus,MATCH($H256,LevelList,0))+(INDEX(LevelBasic,MATCH($H256,LevelList,0))+INDEX(LevelHousing,MATCH($H256,LevelList,0)))*GosiSaudi,0))</f>
        <v>0</v>
      </c>
      <c r="W256" s="35" t="n">
        <f aca="false">IFERROR(INDEX(LevelOneOff,MATCH($H256,LevelList,0)),0)</f>
        <v>0</v>
      </c>
      <c r="X256" s="35" t="str">
        <f aca="false">IF($G256="","",$V256*N($L256))</f>
        <v/>
      </c>
      <c r="Y256" s="35" t="str">
        <f aca="false">IF($G256="","",$V256*(N($M256)*1+N($N256)*0.75+N($O256)*0.5+N($P256)*0.25)+$W256*N($L256))</f>
        <v/>
      </c>
      <c r="Z256" s="35" t="str">
        <f aca="false">IF($G256="","",$U256*1000000+ROW())</f>
        <v/>
      </c>
      <c r="AA256" s="36" t="str">
        <f aca="false">IF($G256="","",MID(IF($C256="",", no division","")&amp;IF($E256="",", no unit","")&amp;IF($H256="",", no career level","")&amp;IF(N($L256)&lt;=0,", no quarter split","")&amp;IF($R256="",", no driver","")&amp;IF(AND($H256&lt;&gt;"",COUNTIF(CareerLevels,$H256)=0),", a career level that is not on the ladder","")&amp;IF(AND($R256&lt;&gt;"",COUNTIF(DriverList,$R256)=0),", a driver that is not on the list","")&amp;IF(ABS(N($L256)-(N($M256)+N($N256)+N($O256)+N($P256)))&gt;0.001,", a total that does not match its quarters",""),3,300))</f>
        <v/>
      </c>
    </row>
    <row r="257" customFormat="false" ht="15" hidden="false" customHeight="false" outlineLevel="0" collapsed="false">
      <c r="A257" s="33" t="str">
        <f aca="false">IF($G257="","","Compliance Group")</f>
        <v/>
      </c>
      <c r="B257" s="19"/>
      <c r="C257" s="19"/>
      <c r="D257" s="19"/>
      <c r="E257" s="19"/>
      <c r="F257" s="19"/>
      <c r="G257" s="19"/>
      <c r="H257" s="19"/>
      <c r="I257" s="19"/>
      <c r="J257" s="19"/>
      <c r="K257" s="19"/>
      <c r="L257" s="19"/>
      <c r="M257" s="19"/>
      <c r="N257" s="19"/>
      <c r="O257" s="19"/>
      <c r="P257" s="19"/>
      <c r="Q257" s="19"/>
      <c r="R257" s="19"/>
      <c r="S257" s="19"/>
      <c r="T257" s="34" t="str">
        <f aca="false">IF($R257="","",IFERROR(INDEX(DriverCategory,MATCH($R257,DriverList,0)),"BAU"))</f>
        <v/>
      </c>
      <c r="U257" s="34" t="str">
        <f aca="false">IF($R257="","",IFERROR(INDEX(DriverRank,MATCH($R257,DriverList,0)),99))</f>
        <v/>
      </c>
      <c r="V257" s="35" t="n">
        <f aca="false">IF($H257="",0,IFERROR(INDEX(LevelBasic,MATCH($H257,LevelList,0))+INDEX(LevelHousing,MATCH($H257,LevelList,0))+INDEX(LevelTransport,MATCH($H257,LevelList,0))+INDEX(LevelBasic,MATCH($H257,LevelList,0))*INDEX(LevelBonus,MATCH($H257,LevelList,0))+(INDEX(LevelBasic,MATCH($H257,LevelList,0))+INDEX(LevelHousing,MATCH($H257,LevelList,0)))*GosiSaudi,0))</f>
        <v>0</v>
      </c>
      <c r="W257" s="35" t="n">
        <f aca="false">IFERROR(INDEX(LevelOneOff,MATCH($H257,LevelList,0)),0)</f>
        <v>0</v>
      </c>
      <c r="X257" s="35" t="str">
        <f aca="false">IF($G257="","",$V257*N($L257))</f>
        <v/>
      </c>
      <c r="Y257" s="35" t="str">
        <f aca="false">IF($G257="","",$V257*(N($M257)*1+N($N257)*0.75+N($O257)*0.5+N($P257)*0.25)+$W257*N($L257))</f>
        <v/>
      </c>
      <c r="Z257" s="35" t="str">
        <f aca="false">IF($G257="","",$U257*1000000+ROW())</f>
        <v/>
      </c>
      <c r="AA257" s="36" t="str">
        <f aca="false">IF($G257="","",MID(IF($C257="",", no division","")&amp;IF($E257="",", no unit","")&amp;IF($H257="",", no career level","")&amp;IF(N($L257)&lt;=0,", no quarter split","")&amp;IF($R257="",", no driver","")&amp;IF(AND($H257&lt;&gt;"",COUNTIF(CareerLevels,$H257)=0),", a career level that is not on the ladder","")&amp;IF(AND($R257&lt;&gt;"",COUNTIF(DriverList,$R257)=0),", a driver that is not on the list","")&amp;IF(ABS(N($L257)-(N($M257)+N($N257)+N($O257)+N($P257)))&gt;0.001,", a total that does not match its quarters",""),3,300))</f>
        <v/>
      </c>
    </row>
    <row r="258" customFormat="false" ht="15" hidden="false" customHeight="false" outlineLevel="0" collapsed="false">
      <c r="A258" s="33" t="str">
        <f aca="false">IF($G258="","","Compliance Group")</f>
        <v/>
      </c>
      <c r="B258" s="19"/>
      <c r="C258" s="19"/>
      <c r="D258" s="19"/>
      <c r="E258" s="19"/>
      <c r="F258" s="19"/>
      <c r="G258" s="19"/>
      <c r="H258" s="19"/>
      <c r="I258" s="19"/>
      <c r="J258" s="19"/>
      <c r="K258" s="19"/>
      <c r="L258" s="19"/>
      <c r="M258" s="19"/>
      <c r="N258" s="19"/>
      <c r="O258" s="19"/>
      <c r="P258" s="19"/>
      <c r="Q258" s="19"/>
      <c r="R258" s="19"/>
      <c r="S258" s="19"/>
      <c r="T258" s="34" t="str">
        <f aca="false">IF($R258="","",IFERROR(INDEX(DriverCategory,MATCH($R258,DriverList,0)),"BAU"))</f>
        <v/>
      </c>
      <c r="U258" s="34" t="str">
        <f aca="false">IF($R258="","",IFERROR(INDEX(DriverRank,MATCH($R258,DriverList,0)),99))</f>
        <v/>
      </c>
      <c r="V258" s="35" t="n">
        <f aca="false">IF($H258="",0,IFERROR(INDEX(LevelBasic,MATCH($H258,LevelList,0))+INDEX(LevelHousing,MATCH($H258,LevelList,0))+INDEX(LevelTransport,MATCH($H258,LevelList,0))+INDEX(LevelBasic,MATCH($H258,LevelList,0))*INDEX(LevelBonus,MATCH($H258,LevelList,0))+(INDEX(LevelBasic,MATCH($H258,LevelList,0))+INDEX(LevelHousing,MATCH($H258,LevelList,0)))*GosiSaudi,0))</f>
        <v>0</v>
      </c>
      <c r="W258" s="35" t="n">
        <f aca="false">IFERROR(INDEX(LevelOneOff,MATCH($H258,LevelList,0)),0)</f>
        <v>0</v>
      </c>
      <c r="X258" s="35" t="str">
        <f aca="false">IF($G258="","",$V258*N($L258))</f>
        <v/>
      </c>
      <c r="Y258" s="35" t="str">
        <f aca="false">IF($G258="","",$V258*(N($M258)*1+N($N258)*0.75+N($O258)*0.5+N($P258)*0.25)+$W258*N($L258))</f>
        <v/>
      </c>
      <c r="Z258" s="35" t="str">
        <f aca="false">IF($G258="","",$U258*1000000+ROW())</f>
        <v/>
      </c>
      <c r="AA258" s="36" t="str">
        <f aca="false">IF($G258="","",MID(IF($C258="",", no division","")&amp;IF($E258="",", no unit","")&amp;IF($H258="",", no career level","")&amp;IF(N($L258)&lt;=0,", no quarter split","")&amp;IF($R258="",", no driver","")&amp;IF(AND($H258&lt;&gt;"",COUNTIF(CareerLevels,$H258)=0),", a career level that is not on the ladder","")&amp;IF(AND($R258&lt;&gt;"",COUNTIF(DriverList,$R258)=0),", a driver that is not on the list","")&amp;IF(ABS(N($L258)-(N($M258)+N($N258)+N($O258)+N($P258)))&gt;0.001,", a total that does not match its quarters",""),3,300))</f>
        <v/>
      </c>
    </row>
    <row r="259" customFormat="false" ht="15" hidden="false" customHeight="false" outlineLevel="0" collapsed="false">
      <c r="A259" s="33" t="str">
        <f aca="false">IF($G259="","","Compliance Group")</f>
        <v/>
      </c>
      <c r="B259" s="19"/>
      <c r="C259" s="19"/>
      <c r="D259" s="19"/>
      <c r="E259" s="19"/>
      <c r="F259" s="19"/>
      <c r="G259" s="19"/>
      <c r="H259" s="19"/>
      <c r="I259" s="19"/>
      <c r="J259" s="19"/>
      <c r="K259" s="19"/>
      <c r="L259" s="19"/>
      <c r="M259" s="19"/>
      <c r="N259" s="19"/>
      <c r="O259" s="19"/>
      <c r="P259" s="19"/>
      <c r="Q259" s="19"/>
      <c r="R259" s="19"/>
      <c r="S259" s="19"/>
      <c r="T259" s="34" t="str">
        <f aca="false">IF($R259="","",IFERROR(INDEX(DriverCategory,MATCH($R259,DriverList,0)),"BAU"))</f>
        <v/>
      </c>
      <c r="U259" s="34" t="str">
        <f aca="false">IF($R259="","",IFERROR(INDEX(DriverRank,MATCH($R259,DriverList,0)),99))</f>
        <v/>
      </c>
      <c r="V259" s="35" t="n">
        <f aca="false">IF($H259="",0,IFERROR(INDEX(LevelBasic,MATCH($H259,LevelList,0))+INDEX(LevelHousing,MATCH($H259,LevelList,0))+INDEX(LevelTransport,MATCH($H259,LevelList,0))+INDEX(LevelBasic,MATCH($H259,LevelList,0))*INDEX(LevelBonus,MATCH($H259,LevelList,0))+(INDEX(LevelBasic,MATCH($H259,LevelList,0))+INDEX(LevelHousing,MATCH($H259,LevelList,0)))*GosiSaudi,0))</f>
        <v>0</v>
      </c>
      <c r="W259" s="35" t="n">
        <f aca="false">IFERROR(INDEX(LevelOneOff,MATCH($H259,LevelList,0)),0)</f>
        <v>0</v>
      </c>
      <c r="X259" s="35" t="str">
        <f aca="false">IF($G259="","",$V259*N($L259))</f>
        <v/>
      </c>
      <c r="Y259" s="35" t="str">
        <f aca="false">IF($G259="","",$V259*(N($M259)*1+N($N259)*0.75+N($O259)*0.5+N($P259)*0.25)+$W259*N($L259))</f>
        <v/>
      </c>
      <c r="Z259" s="35" t="str">
        <f aca="false">IF($G259="","",$U259*1000000+ROW())</f>
        <v/>
      </c>
      <c r="AA259" s="36" t="str">
        <f aca="false">IF($G259="","",MID(IF($C259="",", no division","")&amp;IF($E259="",", no unit","")&amp;IF($H259="",", no career level","")&amp;IF(N($L259)&lt;=0,", no quarter split","")&amp;IF($R259="",", no driver","")&amp;IF(AND($H259&lt;&gt;"",COUNTIF(CareerLevels,$H259)=0),", a career level that is not on the ladder","")&amp;IF(AND($R259&lt;&gt;"",COUNTIF(DriverList,$R259)=0),", a driver that is not on the list","")&amp;IF(ABS(N($L259)-(N($M259)+N($N259)+N($O259)+N($P259)))&gt;0.001,", a total that does not match its quarters",""),3,300))</f>
        <v/>
      </c>
    </row>
    <row r="260" customFormat="false" ht="15" hidden="false" customHeight="false" outlineLevel="0" collapsed="false">
      <c r="A260" s="33" t="str">
        <f aca="false">IF($G260="","","Compliance Group")</f>
        <v/>
      </c>
      <c r="B260" s="19"/>
      <c r="C260" s="19"/>
      <c r="D260" s="19"/>
      <c r="E260" s="19"/>
      <c r="F260" s="19"/>
      <c r="G260" s="19"/>
      <c r="H260" s="19"/>
      <c r="I260" s="19"/>
      <c r="J260" s="19"/>
      <c r="K260" s="19"/>
      <c r="L260" s="19"/>
      <c r="M260" s="19"/>
      <c r="N260" s="19"/>
      <c r="O260" s="19"/>
      <c r="P260" s="19"/>
      <c r="Q260" s="19"/>
      <c r="R260" s="19"/>
      <c r="S260" s="19"/>
      <c r="T260" s="34" t="str">
        <f aca="false">IF($R260="","",IFERROR(INDEX(DriverCategory,MATCH($R260,DriverList,0)),"BAU"))</f>
        <v/>
      </c>
      <c r="U260" s="34" t="str">
        <f aca="false">IF($R260="","",IFERROR(INDEX(DriverRank,MATCH($R260,DriverList,0)),99))</f>
        <v/>
      </c>
      <c r="V260" s="35" t="n">
        <f aca="false">IF($H260="",0,IFERROR(INDEX(LevelBasic,MATCH($H260,LevelList,0))+INDEX(LevelHousing,MATCH($H260,LevelList,0))+INDEX(LevelTransport,MATCH($H260,LevelList,0))+INDEX(LevelBasic,MATCH($H260,LevelList,0))*INDEX(LevelBonus,MATCH($H260,LevelList,0))+(INDEX(LevelBasic,MATCH($H260,LevelList,0))+INDEX(LevelHousing,MATCH($H260,LevelList,0)))*GosiSaudi,0))</f>
        <v>0</v>
      </c>
      <c r="W260" s="35" t="n">
        <f aca="false">IFERROR(INDEX(LevelOneOff,MATCH($H260,LevelList,0)),0)</f>
        <v>0</v>
      </c>
      <c r="X260" s="35" t="str">
        <f aca="false">IF($G260="","",$V260*N($L260))</f>
        <v/>
      </c>
      <c r="Y260" s="35" t="str">
        <f aca="false">IF($G260="","",$V260*(N($M260)*1+N($N260)*0.75+N($O260)*0.5+N($P260)*0.25)+$W260*N($L260))</f>
        <v/>
      </c>
      <c r="Z260" s="35" t="str">
        <f aca="false">IF($G260="","",$U260*1000000+ROW())</f>
        <v/>
      </c>
      <c r="AA260" s="36" t="str">
        <f aca="false">IF($G260="","",MID(IF($C260="",", no division","")&amp;IF($E260="",", no unit","")&amp;IF($H260="",", no career level","")&amp;IF(N($L260)&lt;=0,", no quarter split","")&amp;IF($R260="",", no driver","")&amp;IF(AND($H260&lt;&gt;"",COUNTIF(CareerLevels,$H260)=0),", a career level that is not on the ladder","")&amp;IF(AND($R260&lt;&gt;"",COUNTIF(DriverList,$R260)=0),", a driver that is not on the list","")&amp;IF(ABS(N($L260)-(N($M260)+N($N260)+N($O260)+N($P260)))&gt;0.001,", a total that does not match its quarters",""),3,300))</f>
        <v/>
      </c>
    </row>
    <row r="261" customFormat="false" ht="15" hidden="false" customHeight="false" outlineLevel="0" collapsed="false">
      <c r="A261" s="33" t="str">
        <f aca="false">IF($G261="","","Compliance Group")</f>
        <v/>
      </c>
      <c r="B261" s="19"/>
      <c r="C261" s="19"/>
      <c r="D261" s="19"/>
      <c r="E261" s="19"/>
      <c r="F261" s="19"/>
      <c r="G261" s="19"/>
      <c r="H261" s="19"/>
      <c r="I261" s="19"/>
      <c r="J261" s="19"/>
      <c r="K261" s="19"/>
      <c r="L261" s="19"/>
      <c r="M261" s="19"/>
      <c r="N261" s="19"/>
      <c r="O261" s="19"/>
      <c r="P261" s="19"/>
      <c r="Q261" s="19"/>
      <c r="R261" s="19"/>
      <c r="S261" s="19"/>
      <c r="T261" s="34" t="str">
        <f aca="false">IF($R261="","",IFERROR(INDEX(DriverCategory,MATCH($R261,DriverList,0)),"BAU"))</f>
        <v/>
      </c>
      <c r="U261" s="34" t="str">
        <f aca="false">IF($R261="","",IFERROR(INDEX(DriverRank,MATCH($R261,DriverList,0)),99))</f>
        <v/>
      </c>
      <c r="V261" s="35" t="n">
        <f aca="false">IF($H261="",0,IFERROR(INDEX(LevelBasic,MATCH($H261,LevelList,0))+INDEX(LevelHousing,MATCH($H261,LevelList,0))+INDEX(LevelTransport,MATCH($H261,LevelList,0))+INDEX(LevelBasic,MATCH($H261,LevelList,0))*INDEX(LevelBonus,MATCH($H261,LevelList,0))+(INDEX(LevelBasic,MATCH($H261,LevelList,0))+INDEX(LevelHousing,MATCH($H261,LevelList,0)))*GosiSaudi,0))</f>
        <v>0</v>
      </c>
      <c r="W261" s="35" t="n">
        <f aca="false">IFERROR(INDEX(LevelOneOff,MATCH($H261,LevelList,0)),0)</f>
        <v>0</v>
      </c>
      <c r="X261" s="35" t="str">
        <f aca="false">IF($G261="","",$V261*N($L261))</f>
        <v/>
      </c>
      <c r="Y261" s="35" t="str">
        <f aca="false">IF($G261="","",$V261*(N($M261)*1+N($N261)*0.75+N($O261)*0.5+N($P261)*0.25)+$W261*N($L261))</f>
        <v/>
      </c>
      <c r="Z261" s="35" t="str">
        <f aca="false">IF($G261="","",$U261*1000000+ROW())</f>
        <v/>
      </c>
      <c r="AA261" s="36" t="str">
        <f aca="false">IF($G261="","",MID(IF($C261="",", no division","")&amp;IF($E261="",", no unit","")&amp;IF($H261="",", no career level","")&amp;IF(N($L261)&lt;=0,", no quarter split","")&amp;IF($R261="",", no driver","")&amp;IF(AND($H261&lt;&gt;"",COUNTIF(CareerLevels,$H261)=0),", a career level that is not on the ladder","")&amp;IF(AND($R261&lt;&gt;"",COUNTIF(DriverList,$R261)=0),", a driver that is not on the list","")&amp;IF(ABS(N($L261)-(N($M261)+N($N261)+N($O261)+N($P261)))&gt;0.001,", a total that does not match its quarters",""),3,300))</f>
        <v/>
      </c>
    </row>
    <row r="262" customFormat="false" ht="15" hidden="false" customHeight="false" outlineLevel="0" collapsed="false">
      <c r="A262" s="33" t="str">
        <f aca="false">IF($G262="","","Compliance Group")</f>
        <v/>
      </c>
      <c r="B262" s="19"/>
      <c r="C262" s="19"/>
      <c r="D262" s="19"/>
      <c r="E262" s="19"/>
      <c r="F262" s="19"/>
      <c r="G262" s="19"/>
      <c r="H262" s="19"/>
      <c r="I262" s="19"/>
      <c r="J262" s="19"/>
      <c r="K262" s="19"/>
      <c r="L262" s="19"/>
      <c r="M262" s="19"/>
      <c r="N262" s="19"/>
      <c r="O262" s="19"/>
      <c r="P262" s="19"/>
      <c r="Q262" s="19"/>
      <c r="R262" s="19"/>
      <c r="S262" s="19"/>
      <c r="T262" s="34" t="str">
        <f aca="false">IF($R262="","",IFERROR(INDEX(DriverCategory,MATCH($R262,DriverList,0)),"BAU"))</f>
        <v/>
      </c>
      <c r="U262" s="34" t="str">
        <f aca="false">IF($R262="","",IFERROR(INDEX(DriverRank,MATCH($R262,DriverList,0)),99))</f>
        <v/>
      </c>
      <c r="V262" s="35" t="n">
        <f aca="false">IF($H262="",0,IFERROR(INDEX(LevelBasic,MATCH($H262,LevelList,0))+INDEX(LevelHousing,MATCH($H262,LevelList,0))+INDEX(LevelTransport,MATCH($H262,LevelList,0))+INDEX(LevelBasic,MATCH($H262,LevelList,0))*INDEX(LevelBonus,MATCH($H262,LevelList,0))+(INDEX(LevelBasic,MATCH($H262,LevelList,0))+INDEX(LevelHousing,MATCH($H262,LevelList,0)))*GosiSaudi,0))</f>
        <v>0</v>
      </c>
      <c r="W262" s="35" t="n">
        <f aca="false">IFERROR(INDEX(LevelOneOff,MATCH($H262,LevelList,0)),0)</f>
        <v>0</v>
      </c>
      <c r="X262" s="35" t="str">
        <f aca="false">IF($G262="","",$V262*N($L262))</f>
        <v/>
      </c>
      <c r="Y262" s="35" t="str">
        <f aca="false">IF($G262="","",$V262*(N($M262)*1+N($N262)*0.75+N($O262)*0.5+N($P262)*0.25)+$W262*N($L262))</f>
        <v/>
      </c>
      <c r="Z262" s="35" t="str">
        <f aca="false">IF($G262="","",$U262*1000000+ROW())</f>
        <v/>
      </c>
      <c r="AA262" s="36" t="str">
        <f aca="false">IF($G262="","",MID(IF($C262="",", no division","")&amp;IF($E262="",", no unit","")&amp;IF($H262="",", no career level","")&amp;IF(N($L262)&lt;=0,", no quarter split","")&amp;IF($R262="",", no driver","")&amp;IF(AND($H262&lt;&gt;"",COUNTIF(CareerLevels,$H262)=0),", a career level that is not on the ladder","")&amp;IF(AND($R262&lt;&gt;"",COUNTIF(DriverList,$R262)=0),", a driver that is not on the list","")&amp;IF(ABS(N($L262)-(N($M262)+N($N262)+N($O262)+N($P262)))&gt;0.001,", a total that does not match its quarters",""),3,300))</f>
        <v/>
      </c>
    </row>
    <row r="263" customFormat="false" ht="15" hidden="false" customHeight="false" outlineLevel="0" collapsed="false">
      <c r="A263" s="33" t="str">
        <f aca="false">IF($G263="","","Compliance Group")</f>
        <v/>
      </c>
      <c r="B263" s="19"/>
      <c r="C263" s="19"/>
      <c r="D263" s="19"/>
      <c r="E263" s="19"/>
      <c r="F263" s="19"/>
      <c r="G263" s="19"/>
      <c r="H263" s="19"/>
      <c r="I263" s="19"/>
      <c r="J263" s="19"/>
      <c r="K263" s="19"/>
      <c r="L263" s="19"/>
      <c r="M263" s="19"/>
      <c r="N263" s="19"/>
      <c r="O263" s="19"/>
      <c r="P263" s="19"/>
      <c r="Q263" s="19"/>
      <c r="R263" s="19"/>
      <c r="S263" s="19"/>
      <c r="T263" s="34" t="str">
        <f aca="false">IF($R263="","",IFERROR(INDEX(DriverCategory,MATCH($R263,DriverList,0)),"BAU"))</f>
        <v/>
      </c>
      <c r="U263" s="34" t="str">
        <f aca="false">IF($R263="","",IFERROR(INDEX(DriverRank,MATCH($R263,DriverList,0)),99))</f>
        <v/>
      </c>
      <c r="V263" s="35" t="n">
        <f aca="false">IF($H263="",0,IFERROR(INDEX(LevelBasic,MATCH($H263,LevelList,0))+INDEX(LevelHousing,MATCH($H263,LevelList,0))+INDEX(LevelTransport,MATCH($H263,LevelList,0))+INDEX(LevelBasic,MATCH($H263,LevelList,0))*INDEX(LevelBonus,MATCH($H263,LevelList,0))+(INDEX(LevelBasic,MATCH($H263,LevelList,0))+INDEX(LevelHousing,MATCH($H263,LevelList,0)))*GosiSaudi,0))</f>
        <v>0</v>
      </c>
      <c r="W263" s="35" t="n">
        <f aca="false">IFERROR(INDEX(LevelOneOff,MATCH($H263,LevelList,0)),0)</f>
        <v>0</v>
      </c>
      <c r="X263" s="35" t="str">
        <f aca="false">IF($G263="","",$V263*N($L263))</f>
        <v/>
      </c>
      <c r="Y263" s="35" t="str">
        <f aca="false">IF($G263="","",$V263*(N($M263)*1+N($N263)*0.75+N($O263)*0.5+N($P263)*0.25)+$W263*N($L263))</f>
        <v/>
      </c>
      <c r="Z263" s="35" t="str">
        <f aca="false">IF($G263="","",$U263*1000000+ROW())</f>
        <v/>
      </c>
      <c r="AA263" s="36" t="str">
        <f aca="false">IF($G263="","",MID(IF($C263="",", no division","")&amp;IF($E263="",", no unit","")&amp;IF($H263="",", no career level","")&amp;IF(N($L263)&lt;=0,", no quarter split","")&amp;IF($R263="",", no driver","")&amp;IF(AND($H263&lt;&gt;"",COUNTIF(CareerLevels,$H263)=0),", a career level that is not on the ladder","")&amp;IF(AND($R263&lt;&gt;"",COUNTIF(DriverList,$R263)=0),", a driver that is not on the list","")&amp;IF(ABS(N($L263)-(N($M263)+N($N263)+N($O263)+N($P263)))&gt;0.001,", a total that does not match its quarters",""),3,300))</f>
        <v/>
      </c>
    </row>
    <row r="264" customFormat="false" ht="15" hidden="false" customHeight="false" outlineLevel="0" collapsed="false">
      <c r="A264" s="33" t="str">
        <f aca="false">IF($G264="","","Compliance Group")</f>
        <v/>
      </c>
      <c r="B264" s="19"/>
      <c r="C264" s="19"/>
      <c r="D264" s="19"/>
      <c r="E264" s="19"/>
      <c r="F264" s="19"/>
      <c r="G264" s="19"/>
      <c r="H264" s="19"/>
      <c r="I264" s="19"/>
      <c r="J264" s="19"/>
      <c r="K264" s="19"/>
      <c r="L264" s="19"/>
      <c r="M264" s="19"/>
      <c r="N264" s="19"/>
      <c r="O264" s="19"/>
      <c r="P264" s="19"/>
      <c r="Q264" s="19"/>
      <c r="R264" s="19"/>
      <c r="S264" s="19"/>
      <c r="T264" s="34" t="str">
        <f aca="false">IF($R264="","",IFERROR(INDEX(DriverCategory,MATCH($R264,DriverList,0)),"BAU"))</f>
        <v/>
      </c>
      <c r="U264" s="34" t="str">
        <f aca="false">IF($R264="","",IFERROR(INDEX(DriverRank,MATCH($R264,DriverList,0)),99))</f>
        <v/>
      </c>
      <c r="V264" s="35" t="n">
        <f aca="false">IF($H264="",0,IFERROR(INDEX(LevelBasic,MATCH($H264,LevelList,0))+INDEX(LevelHousing,MATCH($H264,LevelList,0))+INDEX(LevelTransport,MATCH($H264,LevelList,0))+INDEX(LevelBasic,MATCH($H264,LevelList,0))*INDEX(LevelBonus,MATCH($H264,LevelList,0))+(INDEX(LevelBasic,MATCH($H264,LevelList,0))+INDEX(LevelHousing,MATCH($H264,LevelList,0)))*GosiSaudi,0))</f>
        <v>0</v>
      </c>
      <c r="W264" s="35" t="n">
        <f aca="false">IFERROR(INDEX(LevelOneOff,MATCH($H264,LevelList,0)),0)</f>
        <v>0</v>
      </c>
      <c r="X264" s="35" t="str">
        <f aca="false">IF($G264="","",$V264*N($L264))</f>
        <v/>
      </c>
      <c r="Y264" s="35" t="str">
        <f aca="false">IF($G264="","",$V264*(N($M264)*1+N($N264)*0.75+N($O264)*0.5+N($P264)*0.25)+$W264*N($L264))</f>
        <v/>
      </c>
      <c r="Z264" s="35" t="str">
        <f aca="false">IF($G264="","",$U264*1000000+ROW())</f>
        <v/>
      </c>
      <c r="AA264" s="36" t="str">
        <f aca="false">IF($G264="","",MID(IF($C264="",", no division","")&amp;IF($E264="",", no unit","")&amp;IF($H264="",", no career level","")&amp;IF(N($L264)&lt;=0,", no quarter split","")&amp;IF($R264="",", no driver","")&amp;IF(AND($H264&lt;&gt;"",COUNTIF(CareerLevels,$H264)=0),", a career level that is not on the ladder","")&amp;IF(AND($R264&lt;&gt;"",COUNTIF(DriverList,$R264)=0),", a driver that is not on the list","")&amp;IF(ABS(N($L264)-(N($M264)+N($N264)+N($O264)+N($P264)))&gt;0.001,", a total that does not match its quarters",""),3,300))</f>
        <v/>
      </c>
    </row>
    <row r="265" customFormat="false" ht="15" hidden="false" customHeight="false" outlineLevel="0" collapsed="false">
      <c r="A265" s="33" t="str">
        <f aca="false">IF($G265="","","Compliance Group")</f>
        <v/>
      </c>
      <c r="B265" s="19"/>
      <c r="C265" s="19"/>
      <c r="D265" s="19"/>
      <c r="E265" s="19"/>
      <c r="F265" s="19"/>
      <c r="G265" s="19"/>
      <c r="H265" s="19"/>
      <c r="I265" s="19"/>
      <c r="J265" s="19"/>
      <c r="K265" s="19"/>
      <c r="L265" s="19"/>
      <c r="M265" s="19"/>
      <c r="N265" s="19"/>
      <c r="O265" s="19"/>
      <c r="P265" s="19"/>
      <c r="Q265" s="19"/>
      <c r="R265" s="19"/>
      <c r="S265" s="19"/>
      <c r="T265" s="34" t="str">
        <f aca="false">IF($R265="","",IFERROR(INDEX(DriverCategory,MATCH($R265,DriverList,0)),"BAU"))</f>
        <v/>
      </c>
      <c r="U265" s="34" t="str">
        <f aca="false">IF($R265="","",IFERROR(INDEX(DriverRank,MATCH($R265,DriverList,0)),99))</f>
        <v/>
      </c>
      <c r="V265" s="35" t="n">
        <f aca="false">IF($H265="",0,IFERROR(INDEX(LevelBasic,MATCH($H265,LevelList,0))+INDEX(LevelHousing,MATCH($H265,LevelList,0))+INDEX(LevelTransport,MATCH($H265,LevelList,0))+INDEX(LevelBasic,MATCH($H265,LevelList,0))*INDEX(LevelBonus,MATCH($H265,LevelList,0))+(INDEX(LevelBasic,MATCH($H265,LevelList,0))+INDEX(LevelHousing,MATCH($H265,LevelList,0)))*GosiSaudi,0))</f>
        <v>0</v>
      </c>
      <c r="W265" s="35" t="n">
        <f aca="false">IFERROR(INDEX(LevelOneOff,MATCH($H265,LevelList,0)),0)</f>
        <v>0</v>
      </c>
      <c r="X265" s="35" t="str">
        <f aca="false">IF($G265="","",$V265*N($L265))</f>
        <v/>
      </c>
      <c r="Y265" s="35" t="str">
        <f aca="false">IF($G265="","",$V265*(N($M265)*1+N($N265)*0.75+N($O265)*0.5+N($P265)*0.25)+$W265*N($L265))</f>
        <v/>
      </c>
      <c r="Z265" s="35" t="str">
        <f aca="false">IF($G265="","",$U265*1000000+ROW())</f>
        <v/>
      </c>
      <c r="AA265" s="36" t="str">
        <f aca="false">IF($G265="","",MID(IF($C265="",", no division","")&amp;IF($E265="",", no unit","")&amp;IF($H265="",", no career level","")&amp;IF(N($L265)&lt;=0,", no quarter split","")&amp;IF($R265="",", no driver","")&amp;IF(AND($H265&lt;&gt;"",COUNTIF(CareerLevels,$H265)=0),", a career level that is not on the ladder","")&amp;IF(AND($R265&lt;&gt;"",COUNTIF(DriverList,$R265)=0),", a driver that is not on the list","")&amp;IF(ABS(N($L265)-(N($M265)+N($N265)+N($O265)+N($P265)))&gt;0.001,", a total that does not match its quarters",""),3,300))</f>
        <v/>
      </c>
    </row>
    <row r="266" customFormat="false" ht="15" hidden="false" customHeight="false" outlineLevel="0" collapsed="false">
      <c r="A266" s="33" t="str">
        <f aca="false">IF($G266="","","Compliance Group")</f>
        <v/>
      </c>
      <c r="B266" s="19"/>
      <c r="C266" s="19"/>
      <c r="D266" s="19"/>
      <c r="E266" s="19"/>
      <c r="F266" s="19"/>
      <c r="G266" s="19"/>
      <c r="H266" s="19"/>
      <c r="I266" s="19"/>
      <c r="J266" s="19"/>
      <c r="K266" s="19"/>
      <c r="L266" s="19"/>
      <c r="M266" s="19"/>
      <c r="N266" s="19"/>
      <c r="O266" s="19"/>
      <c r="P266" s="19"/>
      <c r="Q266" s="19"/>
      <c r="R266" s="19"/>
      <c r="S266" s="19"/>
      <c r="T266" s="34" t="str">
        <f aca="false">IF($R266="","",IFERROR(INDEX(DriverCategory,MATCH($R266,DriverList,0)),"BAU"))</f>
        <v/>
      </c>
      <c r="U266" s="34" t="str">
        <f aca="false">IF($R266="","",IFERROR(INDEX(DriverRank,MATCH($R266,DriverList,0)),99))</f>
        <v/>
      </c>
      <c r="V266" s="35" t="n">
        <f aca="false">IF($H266="",0,IFERROR(INDEX(LevelBasic,MATCH($H266,LevelList,0))+INDEX(LevelHousing,MATCH($H266,LevelList,0))+INDEX(LevelTransport,MATCH($H266,LevelList,0))+INDEX(LevelBasic,MATCH($H266,LevelList,0))*INDEX(LevelBonus,MATCH($H266,LevelList,0))+(INDEX(LevelBasic,MATCH($H266,LevelList,0))+INDEX(LevelHousing,MATCH($H266,LevelList,0)))*GosiSaudi,0))</f>
        <v>0</v>
      </c>
      <c r="W266" s="35" t="n">
        <f aca="false">IFERROR(INDEX(LevelOneOff,MATCH($H266,LevelList,0)),0)</f>
        <v>0</v>
      </c>
      <c r="X266" s="35" t="str">
        <f aca="false">IF($G266="","",$V266*N($L266))</f>
        <v/>
      </c>
      <c r="Y266" s="35" t="str">
        <f aca="false">IF($G266="","",$V266*(N($M266)*1+N($N266)*0.75+N($O266)*0.5+N($P266)*0.25)+$W266*N($L266))</f>
        <v/>
      </c>
      <c r="Z266" s="35" t="str">
        <f aca="false">IF($G266="","",$U266*1000000+ROW())</f>
        <v/>
      </c>
      <c r="AA266" s="36" t="str">
        <f aca="false">IF($G266="","",MID(IF($C266="",", no division","")&amp;IF($E266="",", no unit","")&amp;IF($H266="",", no career level","")&amp;IF(N($L266)&lt;=0,", no quarter split","")&amp;IF($R266="",", no driver","")&amp;IF(AND($H266&lt;&gt;"",COUNTIF(CareerLevels,$H266)=0),", a career level that is not on the ladder","")&amp;IF(AND($R266&lt;&gt;"",COUNTIF(DriverList,$R266)=0),", a driver that is not on the list","")&amp;IF(ABS(N($L266)-(N($M266)+N($N266)+N($O266)+N($P266)))&gt;0.001,", a total that does not match its quarters",""),3,300))</f>
        <v/>
      </c>
    </row>
    <row r="267" customFormat="false" ht="15" hidden="false" customHeight="false" outlineLevel="0" collapsed="false">
      <c r="A267" s="33" t="str">
        <f aca="false">IF($G267="","","Compliance Group")</f>
        <v/>
      </c>
      <c r="B267" s="19"/>
      <c r="C267" s="19"/>
      <c r="D267" s="19"/>
      <c r="E267" s="19"/>
      <c r="F267" s="19"/>
      <c r="G267" s="19"/>
      <c r="H267" s="19"/>
      <c r="I267" s="19"/>
      <c r="J267" s="19"/>
      <c r="K267" s="19"/>
      <c r="L267" s="19"/>
      <c r="M267" s="19"/>
      <c r="N267" s="19"/>
      <c r="O267" s="19"/>
      <c r="P267" s="19"/>
      <c r="Q267" s="19"/>
      <c r="R267" s="19"/>
      <c r="S267" s="19"/>
      <c r="T267" s="34" t="str">
        <f aca="false">IF($R267="","",IFERROR(INDEX(DriverCategory,MATCH($R267,DriverList,0)),"BAU"))</f>
        <v/>
      </c>
      <c r="U267" s="34" t="str">
        <f aca="false">IF($R267="","",IFERROR(INDEX(DriverRank,MATCH($R267,DriverList,0)),99))</f>
        <v/>
      </c>
      <c r="V267" s="35" t="n">
        <f aca="false">IF($H267="",0,IFERROR(INDEX(LevelBasic,MATCH($H267,LevelList,0))+INDEX(LevelHousing,MATCH($H267,LevelList,0))+INDEX(LevelTransport,MATCH($H267,LevelList,0))+INDEX(LevelBasic,MATCH($H267,LevelList,0))*INDEX(LevelBonus,MATCH($H267,LevelList,0))+(INDEX(LevelBasic,MATCH($H267,LevelList,0))+INDEX(LevelHousing,MATCH($H267,LevelList,0)))*GosiSaudi,0))</f>
        <v>0</v>
      </c>
      <c r="W267" s="35" t="n">
        <f aca="false">IFERROR(INDEX(LevelOneOff,MATCH($H267,LevelList,0)),0)</f>
        <v>0</v>
      </c>
      <c r="X267" s="35" t="str">
        <f aca="false">IF($G267="","",$V267*N($L267))</f>
        <v/>
      </c>
      <c r="Y267" s="35" t="str">
        <f aca="false">IF($G267="","",$V267*(N($M267)*1+N($N267)*0.75+N($O267)*0.5+N($P267)*0.25)+$W267*N($L267))</f>
        <v/>
      </c>
      <c r="Z267" s="35" t="str">
        <f aca="false">IF($G267="","",$U267*1000000+ROW())</f>
        <v/>
      </c>
      <c r="AA267" s="36" t="str">
        <f aca="false">IF($G267="","",MID(IF($C267="",", no division","")&amp;IF($E267="",", no unit","")&amp;IF($H267="",", no career level","")&amp;IF(N($L267)&lt;=0,", no quarter split","")&amp;IF($R267="",", no driver","")&amp;IF(AND($H267&lt;&gt;"",COUNTIF(CareerLevels,$H267)=0),", a career level that is not on the ladder","")&amp;IF(AND($R267&lt;&gt;"",COUNTIF(DriverList,$R267)=0),", a driver that is not on the list","")&amp;IF(ABS(N($L267)-(N($M267)+N($N267)+N($O267)+N($P267)))&gt;0.001,", a total that does not match its quarters",""),3,300))</f>
        <v/>
      </c>
    </row>
    <row r="268" customFormat="false" ht="15" hidden="false" customHeight="false" outlineLevel="0" collapsed="false">
      <c r="A268" s="33" t="str">
        <f aca="false">IF($G268="","","Compliance Group")</f>
        <v/>
      </c>
      <c r="B268" s="19"/>
      <c r="C268" s="19"/>
      <c r="D268" s="19"/>
      <c r="E268" s="19"/>
      <c r="F268" s="19"/>
      <c r="G268" s="19"/>
      <c r="H268" s="19"/>
      <c r="I268" s="19"/>
      <c r="J268" s="19"/>
      <c r="K268" s="19"/>
      <c r="L268" s="19"/>
      <c r="M268" s="19"/>
      <c r="N268" s="19"/>
      <c r="O268" s="19"/>
      <c r="P268" s="19"/>
      <c r="Q268" s="19"/>
      <c r="R268" s="19"/>
      <c r="S268" s="19"/>
      <c r="T268" s="34" t="str">
        <f aca="false">IF($R268="","",IFERROR(INDEX(DriverCategory,MATCH($R268,DriverList,0)),"BAU"))</f>
        <v/>
      </c>
      <c r="U268" s="34" t="str">
        <f aca="false">IF($R268="","",IFERROR(INDEX(DriverRank,MATCH($R268,DriverList,0)),99))</f>
        <v/>
      </c>
      <c r="V268" s="35" t="n">
        <f aca="false">IF($H268="",0,IFERROR(INDEX(LevelBasic,MATCH($H268,LevelList,0))+INDEX(LevelHousing,MATCH($H268,LevelList,0))+INDEX(LevelTransport,MATCH($H268,LevelList,0))+INDEX(LevelBasic,MATCH($H268,LevelList,0))*INDEX(LevelBonus,MATCH($H268,LevelList,0))+(INDEX(LevelBasic,MATCH($H268,LevelList,0))+INDEX(LevelHousing,MATCH($H268,LevelList,0)))*GosiSaudi,0))</f>
        <v>0</v>
      </c>
      <c r="W268" s="35" t="n">
        <f aca="false">IFERROR(INDEX(LevelOneOff,MATCH($H268,LevelList,0)),0)</f>
        <v>0</v>
      </c>
      <c r="X268" s="35" t="str">
        <f aca="false">IF($G268="","",$V268*N($L268))</f>
        <v/>
      </c>
      <c r="Y268" s="35" t="str">
        <f aca="false">IF($G268="","",$V268*(N($M268)*1+N($N268)*0.75+N($O268)*0.5+N($P268)*0.25)+$W268*N($L268))</f>
        <v/>
      </c>
      <c r="Z268" s="35" t="str">
        <f aca="false">IF($G268="","",$U268*1000000+ROW())</f>
        <v/>
      </c>
      <c r="AA268" s="36" t="str">
        <f aca="false">IF($G268="","",MID(IF($C268="",", no division","")&amp;IF($E268="",", no unit","")&amp;IF($H268="",", no career level","")&amp;IF(N($L268)&lt;=0,", no quarter split","")&amp;IF($R268="",", no driver","")&amp;IF(AND($H268&lt;&gt;"",COUNTIF(CareerLevels,$H268)=0),", a career level that is not on the ladder","")&amp;IF(AND($R268&lt;&gt;"",COUNTIF(DriverList,$R268)=0),", a driver that is not on the list","")&amp;IF(ABS(N($L268)-(N($M268)+N($N268)+N($O268)+N($P268)))&gt;0.001,", a total that does not match its quarters",""),3,300))</f>
        <v/>
      </c>
    </row>
    <row r="269" customFormat="false" ht="15" hidden="false" customHeight="false" outlineLevel="0" collapsed="false">
      <c r="A269" s="33" t="str">
        <f aca="false">IF($G269="","","Compliance Group")</f>
        <v/>
      </c>
      <c r="B269" s="19"/>
      <c r="C269" s="19"/>
      <c r="D269" s="19"/>
      <c r="E269" s="19"/>
      <c r="F269" s="19"/>
      <c r="G269" s="19"/>
      <c r="H269" s="19"/>
      <c r="I269" s="19"/>
      <c r="J269" s="19"/>
      <c r="K269" s="19"/>
      <c r="L269" s="19"/>
      <c r="M269" s="19"/>
      <c r="N269" s="19"/>
      <c r="O269" s="19"/>
      <c r="P269" s="19"/>
      <c r="Q269" s="19"/>
      <c r="R269" s="19"/>
      <c r="S269" s="19"/>
      <c r="T269" s="34" t="str">
        <f aca="false">IF($R269="","",IFERROR(INDEX(DriverCategory,MATCH($R269,DriverList,0)),"BAU"))</f>
        <v/>
      </c>
      <c r="U269" s="34" t="str">
        <f aca="false">IF($R269="","",IFERROR(INDEX(DriverRank,MATCH($R269,DriverList,0)),99))</f>
        <v/>
      </c>
      <c r="V269" s="35" t="n">
        <f aca="false">IF($H269="",0,IFERROR(INDEX(LevelBasic,MATCH($H269,LevelList,0))+INDEX(LevelHousing,MATCH($H269,LevelList,0))+INDEX(LevelTransport,MATCH($H269,LevelList,0))+INDEX(LevelBasic,MATCH($H269,LevelList,0))*INDEX(LevelBonus,MATCH($H269,LevelList,0))+(INDEX(LevelBasic,MATCH($H269,LevelList,0))+INDEX(LevelHousing,MATCH($H269,LevelList,0)))*GosiSaudi,0))</f>
        <v>0</v>
      </c>
      <c r="W269" s="35" t="n">
        <f aca="false">IFERROR(INDEX(LevelOneOff,MATCH($H269,LevelList,0)),0)</f>
        <v>0</v>
      </c>
      <c r="X269" s="35" t="str">
        <f aca="false">IF($G269="","",$V269*N($L269))</f>
        <v/>
      </c>
      <c r="Y269" s="35" t="str">
        <f aca="false">IF($G269="","",$V269*(N($M269)*1+N($N269)*0.75+N($O269)*0.5+N($P269)*0.25)+$W269*N($L269))</f>
        <v/>
      </c>
      <c r="Z269" s="35" t="str">
        <f aca="false">IF($G269="","",$U269*1000000+ROW())</f>
        <v/>
      </c>
      <c r="AA269" s="36" t="str">
        <f aca="false">IF($G269="","",MID(IF($C269="",", no division","")&amp;IF($E269="",", no unit","")&amp;IF($H269="",", no career level","")&amp;IF(N($L269)&lt;=0,", no quarter split","")&amp;IF($R269="",", no driver","")&amp;IF(AND($H269&lt;&gt;"",COUNTIF(CareerLevels,$H269)=0),", a career level that is not on the ladder","")&amp;IF(AND($R269&lt;&gt;"",COUNTIF(DriverList,$R269)=0),", a driver that is not on the list","")&amp;IF(ABS(N($L269)-(N($M269)+N($N269)+N($O269)+N($P269)))&gt;0.001,", a total that does not match its quarters",""),3,300))</f>
        <v/>
      </c>
    </row>
    <row r="270" customFormat="false" ht="15" hidden="false" customHeight="false" outlineLevel="0" collapsed="false">
      <c r="A270" s="33" t="str">
        <f aca="false">IF($G270="","","Compliance Group")</f>
        <v/>
      </c>
      <c r="B270" s="19"/>
      <c r="C270" s="19"/>
      <c r="D270" s="19"/>
      <c r="E270" s="19"/>
      <c r="F270" s="19"/>
      <c r="G270" s="19"/>
      <c r="H270" s="19"/>
      <c r="I270" s="19"/>
      <c r="J270" s="19"/>
      <c r="K270" s="19"/>
      <c r="L270" s="19"/>
      <c r="M270" s="19"/>
      <c r="N270" s="19"/>
      <c r="O270" s="19"/>
      <c r="P270" s="19"/>
      <c r="Q270" s="19"/>
      <c r="R270" s="19"/>
      <c r="S270" s="19"/>
      <c r="T270" s="34" t="str">
        <f aca="false">IF($R270="","",IFERROR(INDEX(DriverCategory,MATCH($R270,DriverList,0)),"BAU"))</f>
        <v/>
      </c>
      <c r="U270" s="34" t="str">
        <f aca="false">IF($R270="","",IFERROR(INDEX(DriverRank,MATCH($R270,DriverList,0)),99))</f>
        <v/>
      </c>
      <c r="V270" s="35" t="n">
        <f aca="false">IF($H270="",0,IFERROR(INDEX(LevelBasic,MATCH($H270,LevelList,0))+INDEX(LevelHousing,MATCH($H270,LevelList,0))+INDEX(LevelTransport,MATCH($H270,LevelList,0))+INDEX(LevelBasic,MATCH($H270,LevelList,0))*INDEX(LevelBonus,MATCH($H270,LevelList,0))+(INDEX(LevelBasic,MATCH($H270,LevelList,0))+INDEX(LevelHousing,MATCH($H270,LevelList,0)))*GosiSaudi,0))</f>
        <v>0</v>
      </c>
      <c r="W270" s="35" t="n">
        <f aca="false">IFERROR(INDEX(LevelOneOff,MATCH($H270,LevelList,0)),0)</f>
        <v>0</v>
      </c>
      <c r="X270" s="35" t="str">
        <f aca="false">IF($G270="","",$V270*N($L270))</f>
        <v/>
      </c>
      <c r="Y270" s="35" t="str">
        <f aca="false">IF($G270="","",$V270*(N($M270)*1+N($N270)*0.75+N($O270)*0.5+N($P270)*0.25)+$W270*N($L270))</f>
        <v/>
      </c>
      <c r="Z270" s="35" t="str">
        <f aca="false">IF($G270="","",$U270*1000000+ROW())</f>
        <v/>
      </c>
      <c r="AA270" s="36" t="str">
        <f aca="false">IF($G270="","",MID(IF($C270="",", no division","")&amp;IF($E270="",", no unit","")&amp;IF($H270="",", no career level","")&amp;IF(N($L270)&lt;=0,", no quarter split","")&amp;IF($R270="",", no driver","")&amp;IF(AND($H270&lt;&gt;"",COUNTIF(CareerLevels,$H270)=0),", a career level that is not on the ladder","")&amp;IF(AND($R270&lt;&gt;"",COUNTIF(DriverList,$R270)=0),", a driver that is not on the list","")&amp;IF(ABS(N($L270)-(N($M270)+N($N270)+N($O270)+N($P270)))&gt;0.001,", a total that does not match its quarters",""),3,300))</f>
        <v/>
      </c>
    </row>
    <row r="271" customFormat="false" ht="15" hidden="false" customHeight="false" outlineLevel="0" collapsed="false">
      <c r="A271" s="33" t="str">
        <f aca="false">IF($G271="","","Compliance Group")</f>
        <v/>
      </c>
      <c r="B271" s="19"/>
      <c r="C271" s="19"/>
      <c r="D271" s="19"/>
      <c r="E271" s="19"/>
      <c r="F271" s="19"/>
      <c r="G271" s="19"/>
      <c r="H271" s="19"/>
      <c r="I271" s="19"/>
      <c r="J271" s="19"/>
      <c r="K271" s="19"/>
      <c r="L271" s="19"/>
      <c r="M271" s="19"/>
      <c r="N271" s="19"/>
      <c r="O271" s="19"/>
      <c r="P271" s="19"/>
      <c r="Q271" s="19"/>
      <c r="R271" s="19"/>
      <c r="S271" s="19"/>
      <c r="T271" s="34" t="str">
        <f aca="false">IF($R271="","",IFERROR(INDEX(DriverCategory,MATCH($R271,DriverList,0)),"BAU"))</f>
        <v/>
      </c>
      <c r="U271" s="34" t="str">
        <f aca="false">IF($R271="","",IFERROR(INDEX(DriverRank,MATCH($R271,DriverList,0)),99))</f>
        <v/>
      </c>
      <c r="V271" s="35" t="n">
        <f aca="false">IF($H271="",0,IFERROR(INDEX(LevelBasic,MATCH($H271,LevelList,0))+INDEX(LevelHousing,MATCH($H271,LevelList,0))+INDEX(LevelTransport,MATCH($H271,LevelList,0))+INDEX(LevelBasic,MATCH($H271,LevelList,0))*INDEX(LevelBonus,MATCH($H271,LevelList,0))+(INDEX(LevelBasic,MATCH($H271,LevelList,0))+INDEX(LevelHousing,MATCH($H271,LevelList,0)))*GosiSaudi,0))</f>
        <v>0</v>
      </c>
      <c r="W271" s="35" t="n">
        <f aca="false">IFERROR(INDEX(LevelOneOff,MATCH($H271,LevelList,0)),0)</f>
        <v>0</v>
      </c>
      <c r="X271" s="35" t="str">
        <f aca="false">IF($G271="","",$V271*N($L271))</f>
        <v/>
      </c>
      <c r="Y271" s="35" t="str">
        <f aca="false">IF($G271="","",$V271*(N($M271)*1+N($N271)*0.75+N($O271)*0.5+N($P271)*0.25)+$W271*N($L271))</f>
        <v/>
      </c>
      <c r="Z271" s="35" t="str">
        <f aca="false">IF($G271="","",$U271*1000000+ROW())</f>
        <v/>
      </c>
      <c r="AA271" s="36" t="str">
        <f aca="false">IF($G271="","",MID(IF($C271="",", no division","")&amp;IF($E271="",", no unit","")&amp;IF($H271="",", no career level","")&amp;IF(N($L271)&lt;=0,", no quarter split","")&amp;IF($R271="",", no driver","")&amp;IF(AND($H271&lt;&gt;"",COUNTIF(CareerLevels,$H271)=0),", a career level that is not on the ladder","")&amp;IF(AND($R271&lt;&gt;"",COUNTIF(DriverList,$R271)=0),", a driver that is not on the list","")&amp;IF(ABS(N($L271)-(N($M271)+N($N271)+N($O271)+N($P271)))&gt;0.001,", a total that does not match its quarters",""),3,300))</f>
        <v/>
      </c>
    </row>
    <row r="272" customFormat="false" ht="15" hidden="false" customHeight="false" outlineLevel="0" collapsed="false">
      <c r="A272" s="33" t="str">
        <f aca="false">IF($G272="","","Compliance Group")</f>
        <v/>
      </c>
      <c r="B272" s="19"/>
      <c r="C272" s="19"/>
      <c r="D272" s="19"/>
      <c r="E272" s="19"/>
      <c r="F272" s="19"/>
      <c r="G272" s="19"/>
      <c r="H272" s="19"/>
      <c r="I272" s="19"/>
      <c r="J272" s="19"/>
      <c r="K272" s="19"/>
      <c r="L272" s="19"/>
      <c r="M272" s="19"/>
      <c r="N272" s="19"/>
      <c r="O272" s="19"/>
      <c r="P272" s="19"/>
      <c r="Q272" s="19"/>
      <c r="R272" s="19"/>
      <c r="S272" s="19"/>
      <c r="T272" s="34" t="str">
        <f aca="false">IF($R272="","",IFERROR(INDEX(DriverCategory,MATCH($R272,DriverList,0)),"BAU"))</f>
        <v/>
      </c>
      <c r="U272" s="34" t="str">
        <f aca="false">IF($R272="","",IFERROR(INDEX(DriverRank,MATCH($R272,DriverList,0)),99))</f>
        <v/>
      </c>
      <c r="V272" s="35" t="n">
        <f aca="false">IF($H272="",0,IFERROR(INDEX(LevelBasic,MATCH($H272,LevelList,0))+INDEX(LevelHousing,MATCH($H272,LevelList,0))+INDEX(LevelTransport,MATCH($H272,LevelList,0))+INDEX(LevelBasic,MATCH($H272,LevelList,0))*INDEX(LevelBonus,MATCH($H272,LevelList,0))+(INDEX(LevelBasic,MATCH($H272,LevelList,0))+INDEX(LevelHousing,MATCH($H272,LevelList,0)))*GosiSaudi,0))</f>
        <v>0</v>
      </c>
      <c r="W272" s="35" t="n">
        <f aca="false">IFERROR(INDEX(LevelOneOff,MATCH($H272,LevelList,0)),0)</f>
        <v>0</v>
      </c>
      <c r="X272" s="35" t="str">
        <f aca="false">IF($G272="","",$V272*N($L272))</f>
        <v/>
      </c>
      <c r="Y272" s="35" t="str">
        <f aca="false">IF($G272="","",$V272*(N($M272)*1+N($N272)*0.75+N($O272)*0.5+N($P272)*0.25)+$W272*N($L272))</f>
        <v/>
      </c>
      <c r="Z272" s="35" t="str">
        <f aca="false">IF($G272="","",$U272*1000000+ROW())</f>
        <v/>
      </c>
      <c r="AA272" s="36" t="str">
        <f aca="false">IF($G272="","",MID(IF($C272="",", no division","")&amp;IF($E272="",", no unit","")&amp;IF($H272="",", no career level","")&amp;IF(N($L272)&lt;=0,", no quarter split","")&amp;IF($R272="",", no driver","")&amp;IF(AND($H272&lt;&gt;"",COUNTIF(CareerLevels,$H272)=0),", a career level that is not on the ladder","")&amp;IF(AND($R272&lt;&gt;"",COUNTIF(DriverList,$R272)=0),", a driver that is not on the list","")&amp;IF(ABS(N($L272)-(N($M272)+N($N272)+N($O272)+N($P272)))&gt;0.001,", a total that does not match its quarters",""),3,300))</f>
        <v/>
      </c>
    </row>
    <row r="273" customFormat="false" ht="15" hidden="false" customHeight="false" outlineLevel="0" collapsed="false">
      <c r="A273" s="33" t="str">
        <f aca="false">IF($G273="","","Compliance Group")</f>
        <v/>
      </c>
      <c r="B273" s="19"/>
      <c r="C273" s="19"/>
      <c r="D273" s="19"/>
      <c r="E273" s="19"/>
      <c r="F273" s="19"/>
      <c r="G273" s="19"/>
      <c r="H273" s="19"/>
      <c r="I273" s="19"/>
      <c r="J273" s="19"/>
      <c r="K273" s="19"/>
      <c r="L273" s="19"/>
      <c r="M273" s="19"/>
      <c r="N273" s="19"/>
      <c r="O273" s="19"/>
      <c r="P273" s="19"/>
      <c r="Q273" s="19"/>
      <c r="R273" s="19"/>
      <c r="S273" s="19"/>
      <c r="T273" s="34" t="str">
        <f aca="false">IF($R273="","",IFERROR(INDEX(DriverCategory,MATCH($R273,DriverList,0)),"BAU"))</f>
        <v/>
      </c>
      <c r="U273" s="34" t="str">
        <f aca="false">IF($R273="","",IFERROR(INDEX(DriverRank,MATCH($R273,DriverList,0)),99))</f>
        <v/>
      </c>
      <c r="V273" s="35" t="n">
        <f aca="false">IF($H273="",0,IFERROR(INDEX(LevelBasic,MATCH($H273,LevelList,0))+INDEX(LevelHousing,MATCH($H273,LevelList,0))+INDEX(LevelTransport,MATCH($H273,LevelList,0))+INDEX(LevelBasic,MATCH($H273,LevelList,0))*INDEX(LevelBonus,MATCH($H273,LevelList,0))+(INDEX(LevelBasic,MATCH($H273,LevelList,0))+INDEX(LevelHousing,MATCH($H273,LevelList,0)))*GosiSaudi,0))</f>
        <v>0</v>
      </c>
      <c r="W273" s="35" t="n">
        <f aca="false">IFERROR(INDEX(LevelOneOff,MATCH($H273,LevelList,0)),0)</f>
        <v>0</v>
      </c>
      <c r="X273" s="35" t="str">
        <f aca="false">IF($G273="","",$V273*N($L273))</f>
        <v/>
      </c>
      <c r="Y273" s="35" t="str">
        <f aca="false">IF($G273="","",$V273*(N($M273)*1+N($N273)*0.75+N($O273)*0.5+N($P273)*0.25)+$W273*N($L273))</f>
        <v/>
      </c>
      <c r="Z273" s="35" t="str">
        <f aca="false">IF($G273="","",$U273*1000000+ROW())</f>
        <v/>
      </c>
      <c r="AA273" s="36" t="str">
        <f aca="false">IF($G273="","",MID(IF($C273="",", no division","")&amp;IF($E273="",", no unit","")&amp;IF($H273="",", no career level","")&amp;IF(N($L273)&lt;=0,", no quarter split","")&amp;IF($R273="",", no driver","")&amp;IF(AND($H273&lt;&gt;"",COUNTIF(CareerLevels,$H273)=0),", a career level that is not on the ladder","")&amp;IF(AND($R273&lt;&gt;"",COUNTIF(DriverList,$R273)=0),", a driver that is not on the list","")&amp;IF(ABS(N($L273)-(N($M273)+N($N273)+N($O273)+N($P273)))&gt;0.001,", a total that does not match its quarters",""),3,300))</f>
        <v/>
      </c>
    </row>
    <row r="274" customFormat="false" ht="15" hidden="false" customHeight="false" outlineLevel="0" collapsed="false">
      <c r="A274" s="33" t="str">
        <f aca="false">IF($G274="","","Compliance Group")</f>
        <v/>
      </c>
      <c r="B274" s="19"/>
      <c r="C274" s="19"/>
      <c r="D274" s="19"/>
      <c r="E274" s="19"/>
      <c r="F274" s="19"/>
      <c r="G274" s="19"/>
      <c r="H274" s="19"/>
      <c r="I274" s="19"/>
      <c r="J274" s="19"/>
      <c r="K274" s="19"/>
      <c r="L274" s="19"/>
      <c r="M274" s="19"/>
      <c r="N274" s="19"/>
      <c r="O274" s="19"/>
      <c r="P274" s="19"/>
      <c r="Q274" s="19"/>
      <c r="R274" s="19"/>
      <c r="S274" s="19"/>
      <c r="T274" s="34" t="str">
        <f aca="false">IF($R274="","",IFERROR(INDEX(DriverCategory,MATCH($R274,DriverList,0)),"BAU"))</f>
        <v/>
      </c>
      <c r="U274" s="34" t="str">
        <f aca="false">IF($R274="","",IFERROR(INDEX(DriverRank,MATCH($R274,DriverList,0)),99))</f>
        <v/>
      </c>
      <c r="V274" s="35" t="n">
        <f aca="false">IF($H274="",0,IFERROR(INDEX(LevelBasic,MATCH($H274,LevelList,0))+INDEX(LevelHousing,MATCH($H274,LevelList,0))+INDEX(LevelTransport,MATCH($H274,LevelList,0))+INDEX(LevelBasic,MATCH($H274,LevelList,0))*INDEX(LevelBonus,MATCH($H274,LevelList,0))+(INDEX(LevelBasic,MATCH($H274,LevelList,0))+INDEX(LevelHousing,MATCH($H274,LevelList,0)))*GosiSaudi,0))</f>
        <v>0</v>
      </c>
      <c r="W274" s="35" t="n">
        <f aca="false">IFERROR(INDEX(LevelOneOff,MATCH($H274,LevelList,0)),0)</f>
        <v>0</v>
      </c>
      <c r="X274" s="35" t="str">
        <f aca="false">IF($G274="","",$V274*N($L274))</f>
        <v/>
      </c>
      <c r="Y274" s="35" t="str">
        <f aca="false">IF($G274="","",$V274*(N($M274)*1+N($N274)*0.75+N($O274)*0.5+N($P274)*0.25)+$W274*N($L274))</f>
        <v/>
      </c>
      <c r="Z274" s="35" t="str">
        <f aca="false">IF($G274="","",$U274*1000000+ROW())</f>
        <v/>
      </c>
      <c r="AA274" s="36" t="str">
        <f aca="false">IF($G274="","",MID(IF($C274="",", no division","")&amp;IF($E274="",", no unit","")&amp;IF($H274="",", no career level","")&amp;IF(N($L274)&lt;=0,", no quarter split","")&amp;IF($R274="",", no driver","")&amp;IF(AND($H274&lt;&gt;"",COUNTIF(CareerLevels,$H274)=0),", a career level that is not on the ladder","")&amp;IF(AND($R274&lt;&gt;"",COUNTIF(DriverList,$R274)=0),", a driver that is not on the list","")&amp;IF(ABS(N($L274)-(N($M274)+N($N274)+N($O274)+N($P274)))&gt;0.001,", a total that does not match its quarters",""),3,300))</f>
        <v/>
      </c>
    </row>
    <row r="275" customFormat="false" ht="15" hidden="false" customHeight="false" outlineLevel="0" collapsed="false">
      <c r="A275" s="33" t="str">
        <f aca="false">IF($G275="","","Compliance Group")</f>
        <v/>
      </c>
      <c r="B275" s="19"/>
      <c r="C275" s="19"/>
      <c r="D275" s="19"/>
      <c r="E275" s="19"/>
      <c r="F275" s="19"/>
      <c r="G275" s="19"/>
      <c r="H275" s="19"/>
      <c r="I275" s="19"/>
      <c r="J275" s="19"/>
      <c r="K275" s="19"/>
      <c r="L275" s="19"/>
      <c r="M275" s="19"/>
      <c r="N275" s="19"/>
      <c r="O275" s="19"/>
      <c r="P275" s="19"/>
      <c r="Q275" s="19"/>
      <c r="R275" s="19"/>
      <c r="S275" s="19"/>
      <c r="T275" s="34" t="str">
        <f aca="false">IF($R275="","",IFERROR(INDEX(DriverCategory,MATCH($R275,DriverList,0)),"BAU"))</f>
        <v/>
      </c>
      <c r="U275" s="34" t="str">
        <f aca="false">IF($R275="","",IFERROR(INDEX(DriverRank,MATCH($R275,DriverList,0)),99))</f>
        <v/>
      </c>
      <c r="V275" s="35" t="n">
        <f aca="false">IF($H275="",0,IFERROR(INDEX(LevelBasic,MATCH($H275,LevelList,0))+INDEX(LevelHousing,MATCH($H275,LevelList,0))+INDEX(LevelTransport,MATCH($H275,LevelList,0))+INDEX(LevelBasic,MATCH($H275,LevelList,0))*INDEX(LevelBonus,MATCH($H275,LevelList,0))+(INDEX(LevelBasic,MATCH($H275,LevelList,0))+INDEX(LevelHousing,MATCH($H275,LevelList,0)))*GosiSaudi,0))</f>
        <v>0</v>
      </c>
      <c r="W275" s="35" t="n">
        <f aca="false">IFERROR(INDEX(LevelOneOff,MATCH($H275,LevelList,0)),0)</f>
        <v>0</v>
      </c>
      <c r="X275" s="35" t="str">
        <f aca="false">IF($G275="","",$V275*N($L275))</f>
        <v/>
      </c>
      <c r="Y275" s="35" t="str">
        <f aca="false">IF($G275="","",$V275*(N($M275)*1+N($N275)*0.75+N($O275)*0.5+N($P275)*0.25)+$W275*N($L275))</f>
        <v/>
      </c>
      <c r="Z275" s="35" t="str">
        <f aca="false">IF($G275="","",$U275*1000000+ROW())</f>
        <v/>
      </c>
      <c r="AA275" s="36" t="str">
        <f aca="false">IF($G275="","",MID(IF($C275="",", no division","")&amp;IF($E275="",", no unit","")&amp;IF($H275="",", no career level","")&amp;IF(N($L275)&lt;=0,", no quarter split","")&amp;IF($R275="",", no driver","")&amp;IF(AND($H275&lt;&gt;"",COUNTIF(CareerLevels,$H275)=0),", a career level that is not on the ladder","")&amp;IF(AND($R275&lt;&gt;"",COUNTIF(DriverList,$R275)=0),", a driver that is not on the list","")&amp;IF(ABS(N($L275)-(N($M275)+N($N275)+N($O275)+N($P275)))&gt;0.001,", a total that does not match its quarters",""),3,300))</f>
        <v/>
      </c>
    </row>
    <row r="276" customFormat="false" ht="15" hidden="false" customHeight="false" outlineLevel="0" collapsed="false">
      <c r="A276" s="33" t="str">
        <f aca="false">IF($G276="","","Compliance Group")</f>
        <v/>
      </c>
      <c r="B276" s="19"/>
      <c r="C276" s="19"/>
      <c r="D276" s="19"/>
      <c r="E276" s="19"/>
      <c r="F276" s="19"/>
      <c r="G276" s="19"/>
      <c r="H276" s="19"/>
      <c r="I276" s="19"/>
      <c r="J276" s="19"/>
      <c r="K276" s="19"/>
      <c r="L276" s="19"/>
      <c r="M276" s="19"/>
      <c r="N276" s="19"/>
      <c r="O276" s="19"/>
      <c r="P276" s="19"/>
      <c r="Q276" s="19"/>
      <c r="R276" s="19"/>
      <c r="S276" s="19"/>
      <c r="T276" s="34" t="str">
        <f aca="false">IF($R276="","",IFERROR(INDEX(DriverCategory,MATCH($R276,DriverList,0)),"BAU"))</f>
        <v/>
      </c>
      <c r="U276" s="34" t="str">
        <f aca="false">IF($R276="","",IFERROR(INDEX(DriverRank,MATCH($R276,DriverList,0)),99))</f>
        <v/>
      </c>
      <c r="V276" s="35" t="n">
        <f aca="false">IF($H276="",0,IFERROR(INDEX(LevelBasic,MATCH($H276,LevelList,0))+INDEX(LevelHousing,MATCH($H276,LevelList,0))+INDEX(LevelTransport,MATCH($H276,LevelList,0))+INDEX(LevelBasic,MATCH($H276,LevelList,0))*INDEX(LevelBonus,MATCH($H276,LevelList,0))+(INDEX(LevelBasic,MATCH($H276,LevelList,0))+INDEX(LevelHousing,MATCH($H276,LevelList,0)))*GosiSaudi,0))</f>
        <v>0</v>
      </c>
      <c r="W276" s="35" t="n">
        <f aca="false">IFERROR(INDEX(LevelOneOff,MATCH($H276,LevelList,0)),0)</f>
        <v>0</v>
      </c>
      <c r="X276" s="35" t="str">
        <f aca="false">IF($G276="","",$V276*N($L276))</f>
        <v/>
      </c>
      <c r="Y276" s="35" t="str">
        <f aca="false">IF($G276="","",$V276*(N($M276)*1+N($N276)*0.75+N($O276)*0.5+N($P276)*0.25)+$W276*N($L276))</f>
        <v/>
      </c>
      <c r="Z276" s="35" t="str">
        <f aca="false">IF($G276="","",$U276*1000000+ROW())</f>
        <v/>
      </c>
      <c r="AA276" s="36" t="str">
        <f aca="false">IF($G276="","",MID(IF($C276="",", no division","")&amp;IF($E276="",", no unit","")&amp;IF($H276="",", no career level","")&amp;IF(N($L276)&lt;=0,", no quarter split","")&amp;IF($R276="",", no driver","")&amp;IF(AND($H276&lt;&gt;"",COUNTIF(CareerLevels,$H276)=0),", a career level that is not on the ladder","")&amp;IF(AND($R276&lt;&gt;"",COUNTIF(DriverList,$R276)=0),", a driver that is not on the list","")&amp;IF(ABS(N($L276)-(N($M276)+N($N276)+N($O276)+N($P276)))&gt;0.001,", a total that does not match its quarters",""),3,300))</f>
        <v/>
      </c>
    </row>
    <row r="277" customFormat="false" ht="15" hidden="false" customHeight="false" outlineLevel="0" collapsed="false">
      <c r="A277" s="33" t="str">
        <f aca="false">IF($G277="","","Compliance Group")</f>
        <v/>
      </c>
      <c r="B277" s="19"/>
      <c r="C277" s="19"/>
      <c r="D277" s="19"/>
      <c r="E277" s="19"/>
      <c r="F277" s="19"/>
      <c r="G277" s="19"/>
      <c r="H277" s="19"/>
      <c r="I277" s="19"/>
      <c r="J277" s="19"/>
      <c r="K277" s="19"/>
      <c r="L277" s="19"/>
      <c r="M277" s="19"/>
      <c r="N277" s="19"/>
      <c r="O277" s="19"/>
      <c r="P277" s="19"/>
      <c r="Q277" s="19"/>
      <c r="R277" s="19"/>
      <c r="S277" s="19"/>
      <c r="T277" s="34" t="str">
        <f aca="false">IF($R277="","",IFERROR(INDEX(DriverCategory,MATCH($R277,DriverList,0)),"BAU"))</f>
        <v/>
      </c>
      <c r="U277" s="34" t="str">
        <f aca="false">IF($R277="","",IFERROR(INDEX(DriverRank,MATCH($R277,DriverList,0)),99))</f>
        <v/>
      </c>
      <c r="V277" s="35" t="n">
        <f aca="false">IF($H277="",0,IFERROR(INDEX(LevelBasic,MATCH($H277,LevelList,0))+INDEX(LevelHousing,MATCH($H277,LevelList,0))+INDEX(LevelTransport,MATCH($H277,LevelList,0))+INDEX(LevelBasic,MATCH($H277,LevelList,0))*INDEX(LevelBonus,MATCH($H277,LevelList,0))+(INDEX(LevelBasic,MATCH($H277,LevelList,0))+INDEX(LevelHousing,MATCH($H277,LevelList,0)))*GosiSaudi,0))</f>
        <v>0</v>
      </c>
      <c r="W277" s="35" t="n">
        <f aca="false">IFERROR(INDEX(LevelOneOff,MATCH($H277,LevelList,0)),0)</f>
        <v>0</v>
      </c>
      <c r="X277" s="35" t="str">
        <f aca="false">IF($G277="","",$V277*N($L277))</f>
        <v/>
      </c>
      <c r="Y277" s="35" t="str">
        <f aca="false">IF($G277="","",$V277*(N($M277)*1+N($N277)*0.75+N($O277)*0.5+N($P277)*0.25)+$W277*N($L277))</f>
        <v/>
      </c>
      <c r="Z277" s="35" t="str">
        <f aca="false">IF($G277="","",$U277*1000000+ROW())</f>
        <v/>
      </c>
      <c r="AA277" s="36" t="str">
        <f aca="false">IF($G277="","",MID(IF($C277="",", no division","")&amp;IF($E277="",", no unit","")&amp;IF($H277="",", no career level","")&amp;IF(N($L277)&lt;=0,", no quarter split","")&amp;IF($R277="",", no driver","")&amp;IF(AND($H277&lt;&gt;"",COUNTIF(CareerLevels,$H277)=0),", a career level that is not on the ladder","")&amp;IF(AND($R277&lt;&gt;"",COUNTIF(DriverList,$R277)=0),", a driver that is not on the list","")&amp;IF(ABS(N($L277)-(N($M277)+N($N277)+N($O277)+N($P277)))&gt;0.001,", a total that does not match its quarters",""),3,300))</f>
        <v/>
      </c>
    </row>
    <row r="278" customFormat="false" ht="15" hidden="false" customHeight="false" outlineLevel="0" collapsed="false">
      <c r="A278" s="33" t="str">
        <f aca="false">IF($G278="","","Compliance Group")</f>
        <v/>
      </c>
      <c r="B278" s="19"/>
      <c r="C278" s="19"/>
      <c r="D278" s="19"/>
      <c r="E278" s="19"/>
      <c r="F278" s="19"/>
      <c r="G278" s="19"/>
      <c r="H278" s="19"/>
      <c r="I278" s="19"/>
      <c r="J278" s="19"/>
      <c r="K278" s="19"/>
      <c r="L278" s="19"/>
      <c r="M278" s="19"/>
      <c r="N278" s="19"/>
      <c r="O278" s="19"/>
      <c r="P278" s="19"/>
      <c r="Q278" s="19"/>
      <c r="R278" s="19"/>
      <c r="S278" s="19"/>
      <c r="T278" s="34" t="str">
        <f aca="false">IF($R278="","",IFERROR(INDEX(DriverCategory,MATCH($R278,DriverList,0)),"BAU"))</f>
        <v/>
      </c>
      <c r="U278" s="34" t="str">
        <f aca="false">IF($R278="","",IFERROR(INDEX(DriverRank,MATCH($R278,DriverList,0)),99))</f>
        <v/>
      </c>
      <c r="V278" s="35" t="n">
        <f aca="false">IF($H278="",0,IFERROR(INDEX(LevelBasic,MATCH($H278,LevelList,0))+INDEX(LevelHousing,MATCH($H278,LevelList,0))+INDEX(LevelTransport,MATCH($H278,LevelList,0))+INDEX(LevelBasic,MATCH($H278,LevelList,0))*INDEX(LevelBonus,MATCH($H278,LevelList,0))+(INDEX(LevelBasic,MATCH($H278,LevelList,0))+INDEX(LevelHousing,MATCH($H278,LevelList,0)))*GosiSaudi,0))</f>
        <v>0</v>
      </c>
      <c r="W278" s="35" t="n">
        <f aca="false">IFERROR(INDEX(LevelOneOff,MATCH($H278,LevelList,0)),0)</f>
        <v>0</v>
      </c>
      <c r="X278" s="35" t="str">
        <f aca="false">IF($G278="","",$V278*N($L278))</f>
        <v/>
      </c>
      <c r="Y278" s="35" t="str">
        <f aca="false">IF($G278="","",$V278*(N($M278)*1+N($N278)*0.75+N($O278)*0.5+N($P278)*0.25)+$W278*N($L278))</f>
        <v/>
      </c>
      <c r="Z278" s="35" t="str">
        <f aca="false">IF($G278="","",$U278*1000000+ROW())</f>
        <v/>
      </c>
      <c r="AA278" s="36" t="str">
        <f aca="false">IF($G278="","",MID(IF($C278="",", no division","")&amp;IF($E278="",", no unit","")&amp;IF($H278="",", no career level","")&amp;IF(N($L278)&lt;=0,", no quarter split","")&amp;IF($R278="",", no driver","")&amp;IF(AND($H278&lt;&gt;"",COUNTIF(CareerLevels,$H278)=0),", a career level that is not on the ladder","")&amp;IF(AND($R278&lt;&gt;"",COUNTIF(DriverList,$R278)=0),", a driver that is not on the list","")&amp;IF(ABS(N($L278)-(N($M278)+N($N278)+N($O278)+N($P278)))&gt;0.001,", a total that does not match its quarters",""),3,300))</f>
        <v/>
      </c>
    </row>
    <row r="279" customFormat="false" ht="15" hidden="false" customHeight="false" outlineLevel="0" collapsed="false">
      <c r="A279" s="33" t="str">
        <f aca="false">IF($G279="","","Compliance Group")</f>
        <v/>
      </c>
      <c r="B279" s="19"/>
      <c r="C279" s="19"/>
      <c r="D279" s="19"/>
      <c r="E279" s="19"/>
      <c r="F279" s="19"/>
      <c r="G279" s="19"/>
      <c r="H279" s="19"/>
      <c r="I279" s="19"/>
      <c r="J279" s="19"/>
      <c r="K279" s="19"/>
      <c r="L279" s="19"/>
      <c r="M279" s="19"/>
      <c r="N279" s="19"/>
      <c r="O279" s="19"/>
      <c r="P279" s="19"/>
      <c r="Q279" s="19"/>
      <c r="R279" s="19"/>
      <c r="S279" s="19"/>
      <c r="T279" s="34" t="str">
        <f aca="false">IF($R279="","",IFERROR(INDEX(DriverCategory,MATCH($R279,DriverList,0)),"BAU"))</f>
        <v/>
      </c>
      <c r="U279" s="34" t="str">
        <f aca="false">IF($R279="","",IFERROR(INDEX(DriverRank,MATCH($R279,DriverList,0)),99))</f>
        <v/>
      </c>
      <c r="V279" s="35" t="n">
        <f aca="false">IF($H279="",0,IFERROR(INDEX(LevelBasic,MATCH($H279,LevelList,0))+INDEX(LevelHousing,MATCH($H279,LevelList,0))+INDEX(LevelTransport,MATCH($H279,LevelList,0))+INDEX(LevelBasic,MATCH($H279,LevelList,0))*INDEX(LevelBonus,MATCH($H279,LevelList,0))+(INDEX(LevelBasic,MATCH($H279,LevelList,0))+INDEX(LevelHousing,MATCH($H279,LevelList,0)))*GosiSaudi,0))</f>
        <v>0</v>
      </c>
      <c r="W279" s="35" t="n">
        <f aca="false">IFERROR(INDEX(LevelOneOff,MATCH($H279,LevelList,0)),0)</f>
        <v>0</v>
      </c>
      <c r="X279" s="35" t="str">
        <f aca="false">IF($G279="","",$V279*N($L279))</f>
        <v/>
      </c>
      <c r="Y279" s="35" t="str">
        <f aca="false">IF($G279="","",$V279*(N($M279)*1+N($N279)*0.75+N($O279)*0.5+N($P279)*0.25)+$W279*N($L279))</f>
        <v/>
      </c>
      <c r="Z279" s="35" t="str">
        <f aca="false">IF($G279="","",$U279*1000000+ROW())</f>
        <v/>
      </c>
      <c r="AA279" s="36" t="str">
        <f aca="false">IF($G279="","",MID(IF($C279="",", no division","")&amp;IF($E279="",", no unit","")&amp;IF($H279="",", no career level","")&amp;IF(N($L279)&lt;=0,", no quarter split","")&amp;IF($R279="",", no driver","")&amp;IF(AND($H279&lt;&gt;"",COUNTIF(CareerLevels,$H279)=0),", a career level that is not on the ladder","")&amp;IF(AND($R279&lt;&gt;"",COUNTIF(DriverList,$R279)=0),", a driver that is not on the list","")&amp;IF(ABS(N($L279)-(N($M279)+N($N279)+N($O279)+N($P279)))&gt;0.001,", a total that does not match its quarters",""),3,300))</f>
        <v/>
      </c>
    </row>
    <row r="280" customFormat="false" ht="15" hidden="false" customHeight="false" outlineLevel="0" collapsed="false">
      <c r="A280" s="33" t="str">
        <f aca="false">IF($G280="","","Compliance Group")</f>
        <v/>
      </c>
      <c r="B280" s="19"/>
      <c r="C280" s="19"/>
      <c r="D280" s="19"/>
      <c r="E280" s="19"/>
      <c r="F280" s="19"/>
      <c r="G280" s="19"/>
      <c r="H280" s="19"/>
      <c r="I280" s="19"/>
      <c r="J280" s="19"/>
      <c r="K280" s="19"/>
      <c r="L280" s="19"/>
      <c r="M280" s="19"/>
      <c r="N280" s="19"/>
      <c r="O280" s="19"/>
      <c r="P280" s="19"/>
      <c r="Q280" s="19"/>
      <c r="R280" s="19"/>
      <c r="S280" s="19"/>
      <c r="T280" s="34" t="str">
        <f aca="false">IF($R280="","",IFERROR(INDEX(DriverCategory,MATCH($R280,DriverList,0)),"BAU"))</f>
        <v/>
      </c>
      <c r="U280" s="34" t="str">
        <f aca="false">IF($R280="","",IFERROR(INDEX(DriverRank,MATCH($R280,DriverList,0)),99))</f>
        <v/>
      </c>
      <c r="V280" s="35" t="n">
        <f aca="false">IF($H280="",0,IFERROR(INDEX(LevelBasic,MATCH($H280,LevelList,0))+INDEX(LevelHousing,MATCH($H280,LevelList,0))+INDEX(LevelTransport,MATCH($H280,LevelList,0))+INDEX(LevelBasic,MATCH($H280,LevelList,0))*INDEX(LevelBonus,MATCH($H280,LevelList,0))+(INDEX(LevelBasic,MATCH($H280,LevelList,0))+INDEX(LevelHousing,MATCH($H280,LevelList,0)))*GosiSaudi,0))</f>
        <v>0</v>
      </c>
      <c r="W280" s="35" t="n">
        <f aca="false">IFERROR(INDEX(LevelOneOff,MATCH($H280,LevelList,0)),0)</f>
        <v>0</v>
      </c>
      <c r="X280" s="35" t="str">
        <f aca="false">IF($G280="","",$V280*N($L280))</f>
        <v/>
      </c>
      <c r="Y280" s="35" t="str">
        <f aca="false">IF($G280="","",$V280*(N($M280)*1+N($N280)*0.75+N($O280)*0.5+N($P280)*0.25)+$W280*N($L280))</f>
        <v/>
      </c>
      <c r="Z280" s="35" t="str">
        <f aca="false">IF($G280="","",$U280*1000000+ROW())</f>
        <v/>
      </c>
      <c r="AA280" s="36" t="str">
        <f aca="false">IF($G280="","",MID(IF($C280="",", no division","")&amp;IF($E280="",", no unit","")&amp;IF($H280="",", no career level","")&amp;IF(N($L280)&lt;=0,", no quarter split","")&amp;IF($R280="",", no driver","")&amp;IF(AND($H280&lt;&gt;"",COUNTIF(CareerLevels,$H280)=0),", a career level that is not on the ladder","")&amp;IF(AND($R280&lt;&gt;"",COUNTIF(DriverList,$R280)=0),", a driver that is not on the list","")&amp;IF(ABS(N($L280)-(N($M280)+N($N280)+N($O280)+N($P280)))&gt;0.001,", a total that does not match its quarters",""),3,300))</f>
        <v/>
      </c>
    </row>
    <row r="281" customFormat="false" ht="15" hidden="false" customHeight="false" outlineLevel="0" collapsed="false">
      <c r="A281" s="33" t="str">
        <f aca="false">IF($G281="","","Compliance Group")</f>
        <v/>
      </c>
      <c r="B281" s="19"/>
      <c r="C281" s="19"/>
      <c r="D281" s="19"/>
      <c r="E281" s="19"/>
      <c r="F281" s="19"/>
      <c r="G281" s="19"/>
      <c r="H281" s="19"/>
      <c r="I281" s="19"/>
      <c r="J281" s="19"/>
      <c r="K281" s="19"/>
      <c r="L281" s="19"/>
      <c r="M281" s="19"/>
      <c r="N281" s="19"/>
      <c r="O281" s="19"/>
      <c r="P281" s="19"/>
      <c r="Q281" s="19"/>
      <c r="R281" s="19"/>
      <c r="S281" s="19"/>
      <c r="T281" s="34" t="str">
        <f aca="false">IF($R281="","",IFERROR(INDEX(DriverCategory,MATCH($R281,DriverList,0)),"BAU"))</f>
        <v/>
      </c>
      <c r="U281" s="34" t="str">
        <f aca="false">IF($R281="","",IFERROR(INDEX(DriverRank,MATCH($R281,DriverList,0)),99))</f>
        <v/>
      </c>
      <c r="V281" s="35" t="n">
        <f aca="false">IF($H281="",0,IFERROR(INDEX(LevelBasic,MATCH($H281,LevelList,0))+INDEX(LevelHousing,MATCH($H281,LevelList,0))+INDEX(LevelTransport,MATCH($H281,LevelList,0))+INDEX(LevelBasic,MATCH($H281,LevelList,0))*INDEX(LevelBonus,MATCH($H281,LevelList,0))+(INDEX(LevelBasic,MATCH($H281,LevelList,0))+INDEX(LevelHousing,MATCH($H281,LevelList,0)))*GosiSaudi,0))</f>
        <v>0</v>
      </c>
      <c r="W281" s="35" t="n">
        <f aca="false">IFERROR(INDEX(LevelOneOff,MATCH($H281,LevelList,0)),0)</f>
        <v>0</v>
      </c>
      <c r="X281" s="35" t="str">
        <f aca="false">IF($G281="","",$V281*N($L281))</f>
        <v/>
      </c>
      <c r="Y281" s="35" t="str">
        <f aca="false">IF($G281="","",$V281*(N($M281)*1+N($N281)*0.75+N($O281)*0.5+N($P281)*0.25)+$W281*N($L281))</f>
        <v/>
      </c>
      <c r="Z281" s="35" t="str">
        <f aca="false">IF($G281="","",$U281*1000000+ROW())</f>
        <v/>
      </c>
      <c r="AA281" s="36" t="str">
        <f aca="false">IF($G281="","",MID(IF($C281="",", no division","")&amp;IF($E281="",", no unit","")&amp;IF($H281="",", no career level","")&amp;IF(N($L281)&lt;=0,", no quarter split","")&amp;IF($R281="",", no driver","")&amp;IF(AND($H281&lt;&gt;"",COUNTIF(CareerLevels,$H281)=0),", a career level that is not on the ladder","")&amp;IF(AND($R281&lt;&gt;"",COUNTIF(DriverList,$R281)=0),", a driver that is not on the list","")&amp;IF(ABS(N($L281)-(N($M281)+N($N281)+N($O281)+N($P281)))&gt;0.001,", a total that does not match its quarters",""),3,300))</f>
        <v/>
      </c>
    </row>
    <row r="282" customFormat="false" ht="15" hidden="false" customHeight="false" outlineLevel="0" collapsed="false">
      <c r="A282" s="33" t="str">
        <f aca="false">IF($G282="","","Compliance Group")</f>
        <v/>
      </c>
      <c r="B282" s="19"/>
      <c r="C282" s="19"/>
      <c r="D282" s="19"/>
      <c r="E282" s="19"/>
      <c r="F282" s="19"/>
      <c r="G282" s="19"/>
      <c r="H282" s="19"/>
      <c r="I282" s="19"/>
      <c r="J282" s="19"/>
      <c r="K282" s="19"/>
      <c r="L282" s="19"/>
      <c r="M282" s="19"/>
      <c r="N282" s="19"/>
      <c r="O282" s="19"/>
      <c r="P282" s="19"/>
      <c r="Q282" s="19"/>
      <c r="R282" s="19"/>
      <c r="S282" s="19"/>
      <c r="T282" s="34" t="str">
        <f aca="false">IF($R282="","",IFERROR(INDEX(DriverCategory,MATCH($R282,DriverList,0)),"BAU"))</f>
        <v/>
      </c>
      <c r="U282" s="34" t="str">
        <f aca="false">IF($R282="","",IFERROR(INDEX(DriverRank,MATCH($R282,DriverList,0)),99))</f>
        <v/>
      </c>
      <c r="V282" s="35" t="n">
        <f aca="false">IF($H282="",0,IFERROR(INDEX(LevelBasic,MATCH($H282,LevelList,0))+INDEX(LevelHousing,MATCH($H282,LevelList,0))+INDEX(LevelTransport,MATCH($H282,LevelList,0))+INDEX(LevelBasic,MATCH($H282,LevelList,0))*INDEX(LevelBonus,MATCH($H282,LevelList,0))+(INDEX(LevelBasic,MATCH($H282,LevelList,0))+INDEX(LevelHousing,MATCH($H282,LevelList,0)))*GosiSaudi,0))</f>
        <v>0</v>
      </c>
      <c r="W282" s="35" t="n">
        <f aca="false">IFERROR(INDEX(LevelOneOff,MATCH($H282,LevelList,0)),0)</f>
        <v>0</v>
      </c>
      <c r="X282" s="35" t="str">
        <f aca="false">IF($G282="","",$V282*N($L282))</f>
        <v/>
      </c>
      <c r="Y282" s="35" t="str">
        <f aca="false">IF($G282="","",$V282*(N($M282)*1+N($N282)*0.75+N($O282)*0.5+N($P282)*0.25)+$W282*N($L282))</f>
        <v/>
      </c>
      <c r="Z282" s="35" t="str">
        <f aca="false">IF($G282="","",$U282*1000000+ROW())</f>
        <v/>
      </c>
      <c r="AA282" s="36" t="str">
        <f aca="false">IF($G282="","",MID(IF($C282="",", no division","")&amp;IF($E282="",", no unit","")&amp;IF($H282="",", no career level","")&amp;IF(N($L282)&lt;=0,", no quarter split","")&amp;IF($R282="",", no driver","")&amp;IF(AND($H282&lt;&gt;"",COUNTIF(CareerLevels,$H282)=0),", a career level that is not on the ladder","")&amp;IF(AND($R282&lt;&gt;"",COUNTIF(DriverList,$R282)=0),", a driver that is not on the list","")&amp;IF(ABS(N($L282)-(N($M282)+N($N282)+N($O282)+N($P282)))&gt;0.001,", a total that does not match its quarters",""),3,300))</f>
        <v/>
      </c>
    </row>
    <row r="283" customFormat="false" ht="15" hidden="false" customHeight="false" outlineLevel="0" collapsed="false">
      <c r="A283" s="33" t="str">
        <f aca="false">IF($G283="","","Compliance Group")</f>
        <v/>
      </c>
      <c r="B283" s="19"/>
      <c r="C283" s="19"/>
      <c r="D283" s="19"/>
      <c r="E283" s="19"/>
      <c r="F283" s="19"/>
      <c r="G283" s="19"/>
      <c r="H283" s="19"/>
      <c r="I283" s="19"/>
      <c r="J283" s="19"/>
      <c r="K283" s="19"/>
      <c r="L283" s="19"/>
      <c r="M283" s="19"/>
      <c r="N283" s="19"/>
      <c r="O283" s="19"/>
      <c r="P283" s="19"/>
      <c r="Q283" s="19"/>
      <c r="R283" s="19"/>
      <c r="S283" s="19"/>
      <c r="T283" s="34" t="str">
        <f aca="false">IF($R283="","",IFERROR(INDEX(DriverCategory,MATCH($R283,DriverList,0)),"BAU"))</f>
        <v/>
      </c>
      <c r="U283" s="34" t="str">
        <f aca="false">IF($R283="","",IFERROR(INDEX(DriverRank,MATCH($R283,DriverList,0)),99))</f>
        <v/>
      </c>
      <c r="V283" s="35" t="n">
        <f aca="false">IF($H283="",0,IFERROR(INDEX(LevelBasic,MATCH($H283,LevelList,0))+INDEX(LevelHousing,MATCH($H283,LevelList,0))+INDEX(LevelTransport,MATCH($H283,LevelList,0))+INDEX(LevelBasic,MATCH($H283,LevelList,0))*INDEX(LevelBonus,MATCH($H283,LevelList,0))+(INDEX(LevelBasic,MATCH($H283,LevelList,0))+INDEX(LevelHousing,MATCH($H283,LevelList,0)))*GosiSaudi,0))</f>
        <v>0</v>
      </c>
      <c r="W283" s="35" t="n">
        <f aca="false">IFERROR(INDEX(LevelOneOff,MATCH($H283,LevelList,0)),0)</f>
        <v>0</v>
      </c>
      <c r="X283" s="35" t="str">
        <f aca="false">IF($G283="","",$V283*N($L283))</f>
        <v/>
      </c>
      <c r="Y283" s="35" t="str">
        <f aca="false">IF($G283="","",$V283*(N($M283)*1+N($N283)*0.75+N($O283)*0.5+N($P283)*0.25)+$W283*N($L283))</f>
        <v/>
      </c>
      <c r="Z283" s="35" t="str">
        <f aca="false">IF($G283="","",$U283*1000000+ROW())</f>
        <v/>
      </c>
      <c r="AA283" s="36" t="str">
        <f aca="false">IF($G283="","",MID(IF($C283="",", no division","")&amp;IF($E283="",", no unit","")&amp;IF($H283="",", no career level","")&amp;IF(N($L283)&lt;=0,", no quarter split","")&amp;IF($R283="",", no driver","")&amp;IF(AND($H283&lt;&gt;"",COUNTIF(CareerLevels,$H283)=0),", a career level that is not on the ladder","")&amp;IF(AND($R283&lt;&gt;"",COUNTIF(DriverList,$R283)=0),", a driver that is not on the list","")&amp;IF(ABS(N($L283)-(N($M283)+N($N283)+N($O283)+N($P283)))&gt;0.001,", a total that does not match its quarters",""),3,300))</f>
        <v/>
      </c>
    </row>
    <row r="284" customFormat="false" ht="15" hidden="false" customHeight="false" outlineLevel="0" collapsed="false">
      <c r="A284" s="33" t="str">
        <f aca="false">IF($G284="","","Compliance Group")</f>
        <v/>
      </c>
      <c r="B284" s="19"/>
      <c r="C284" s="19"/>
      <c r="D284" s="19"/>
      <c r="E284" s="19"/>
      <c r="F284" s="19"/>
      <c r="G284" s="19"/>
      <c r="H284" s="19"/>
      <c r="I284" s="19"/>
      <c r="J284" s="19"/>
      <c r="K284" s="19"/>
      <c r="L284" s="19"/>
      <c r="M284" s="19"/>
      <c r="N284" s="19"/>
      <c r="O284" s="19"/>
      <c r="P284" s="19"/>
      <c r="Q284" s="19"/>
      <c r="R284" s="19"/>
      <c r="S284" s="19"/>
      <c r="T284" s="34" t="str">
        <f aca="false">IF($R284="","",IFERROR(INDEX(DriverCategory,MATCH($R284,DriverList,0)),"BAU"))</f>
        <v/>
      </c>
      <c r="U284" s="34" t="str">
        <f aca="false">IF($R284="","",IFERROR(INDEX(DriverRank,MATCH($R284,DriverList,0)),99))</f>
        <v/>
      </c>
      <c r="V284" s="35" t="n">
        <f aca="false">IF($H284="",0,IFERROR(INDEX(LevelBasic,MATCH($H284,LevelList,0))+INDEX(LevelHousing,MATCH($H284,LevelList,0))+INDEX(LevelTransport,MATCH($H284,LevelList,0))+INDEX(LevelBasic,MATCH($H284,LevelList,0))*INDEX(LevelBonus,MATCH($H284,LevelList,0))+(INDEX(LevelBasic,MATCH($H284,LevelList,0))+INDEX(LevelHousing,MATCH($H284,LevelList,0)))*GosiSaudi,0))</f>
        <v>0</v>
      </c>
      <c r="W284" s="35" t="n">
        <f aca="false">IFERROR(INDEX(LevelOneOff,MATCH($H284,LevelList,0)),0)</f>
        <v>0</v>
      </c>
      <c r="X284" s="35" t="str">
        <f aca="false">IF($G284="","",$V284*N($L284))</f>
        <v/>
      </c>
      <c r="Y284" s="35" t="str">
        <f aca="false">IF($G284="","",$V284*(N($M284)*1+N($N284)*0.75+N($O284)*0.5+N($P284)*0.25)+$W284*N($L284))</f>
        <v/>
      </c>
      <c r="Z284" s="35" t="str">
        <f aca="false">IF($G284="","",$U284*1000000+ROW())</f>
        <v/>
      </c>
      <c r="AA284" s="36" t="str">
        <f aca="false">IF($G284="","",MID(IF($C284="",", no division","")&amp;IF($E284="",", no unit","")&amp;IF($H284="",", no career level","")&amp;IF(N($L284)&lt;=0,", no quarter split","")&amp;IF($R284="",", no driver","")&amp;IF(AND($H284&lt;&gt;"",COUNTIF(CareerLevels,$H284)=0),", a career level that is not on the ladder","")&amp;IF(AND($R284&lt;&gt;"",COUNTIF(DriverList,$R284)=0),", a driver that is not on the list","")&amp;IF(ABS(N($L284)-(N($M284)+N($N284)+N($O284)+N($P284)))&gt;0.001,", a total that does not match its quarters",""),3,300))</f>
        <v/>
      </c>
    </row>
    <row r="285" customFormat="false" ht="15" hidden="false" customHeight="false" outlineLevel="0" collapsed="false">
      <c r="A285" s="33" t="str">
        <f aca="false">IF($G285="","","Compliance Group")</f>
        <v/>
      </c>
      <c r="B285" s="19"/>
      <c r="C285" s="19"/>
      <c r="D285" s="19"/>
      <c r="E285" s="19"/>
      <c r="F285" s="19"/>
      <c r="G285" s="19"/>
      <c r="H285" s="19"/>
      <c r="I285" s="19"/>
      <c r="J285" s="19"/>
      <c r="K285" s="19"/>
      <c r="L285" s="19"/>
      <c r="M285" s="19"/>
      <c r="N285" s="19"/>
      <c r="O285" s="19"/>
      <c r="P285" s="19"/>
      <c r="Q285" s="19"/>
      <c r="R285" s="19"/>
      <c r="S285" s="19"/>
      <c r="T285" s="34" t="str">
        <f aca="false">IF($R285="","",IFERROR(INDEX(DriverCategory,MATCH($R285,DriverList,0)),"BAU"))</f>
        <v/>
      </c>
      <c r="U285" s="34" t="str">
        <f aca="false">IF($R285="","",IFERROR(INDEX(DriverRank,MATCH($R285,DriverList,0)),99))</f>
        <v/>
      </c>
      <c r="V285" s="35" t="n">
        <f aca="false">IF($H285="",0,IFERROR(INDEX(LevelBasic,MATCH($H285,LevelList,0))+INDEX(LevelHousing,MATCH($H285,LevelList,0))+INDEX(LevelTransport,MATCH($H285,LevelList,0))+INDEX(LevelBasic,MATCH($H285,LevelList,0))*INDEX(LevelBonus,MATCH($H285,LevelList,0))+(INDEX(LevelBasic,MATCH($H285,LevelList,0))+INDEX(LevelHousing,MATCH($H285,LevelList,0)))*GosiSaudi,0))</f>
        <v>0</v>
      </c>
      <c r="W285" s="35" t="n">
        <f aca="false">IFERROR(INDEX(LevelOneOff,MATCH($H285,LevelList,0)),0)</f>
        <v>0</v>
      </c>
      <c r="X285" s="35" t="str">
        <f aca="false">IF($G285="","",$V285*N($L285))</f>
        <v/>
      </c>
      <c r="Y285" s="35" t="str">
        <f aca="false">IF($G285="","",$V285*(N($M285)*1+N($N285)*0.75+N($O285)*0.5+N($P285)*0.25)+$W285*N($L285))</f>
        <v/>
      </c>
      <c r="Z285" s="35" t="str">
        <f aca="false">IF($G285="","",$U285*1000000+ROW())</f>
        <v/>
      </c>
      <c r="AA285" s="36" t="str">
        <f aca="false">IF($G285="","",MID(IF($C285="",", no division","")&amp;IF($E285="",", no unit","")&amp;IF($H285="",", no career level","")&amp;IF(N($L285)&lt;=0,", no quarter split","")&amp;IF($R285="",", no driver","")&amp;IF(AND($H285&lt;&gt;"",COUNTIF(CareerLevels,$H285)=0),", a career level that is not on the ladder","")&amp;IF(AND($R285&lt;&gt;"",COUNTIF(DriverList,$R285)=0),", a driver that is not on the list","")&amp;IF(ABS(N($L285)-(N($M285)+N($N285)+N($O285)+N($P285)))&gt;0.001,", a total that does not match its quarters",""),3,300))</f>
        <v/>
      </c>
    </row>
    <row r="286" customFormat="false" ht="15" hidden="false" customHeight="false" outlineLevel="0" collapsed="false">
      <c r="A286" s="33" t="str">
        <f aca="false">IF($G286="","","Compliance Group")</f>
        <v/>
      </c>
      <c r="B286" s="19"/>
      <c r="C286" s="19"/>
      <c r="D286" s="19"/>
      <c r="E286" s="19"/>
      <c r="F286" s="19"/>
      <c r="G286" s="19"/>
      <c r="H286" s="19"/>
      <c r="I286" s="19"/>
      <c r="J286" s="19"/>
      <c r="K286" s="19"/>
      <c r="L286" s="19"/>
      <c r="M286" s="19"/>
      <c r="N286" s="19"/>
      <c r="O286" s="19"/>
      <c r="P286" s="19"/>
      <c r="Q286" s="19"/>
      <c r="R286" s="19"/>
      <c r="S286" s="19"/>
      <c r="T286" s="34" t="str">
        <f aca="false">IF($R286="","",IFERROR(INDEX(DriverCategory,MATCH($R286,DriverList,0)),"BAU"))</f>
        <v/>
      </c>
      <c r="U286" s="34" t="str">
        <f aca="false">IF($R286="","",IFERROR(INDEX(DriverRank,MATCH($R286,DriverList,0)),99))</f>
        <v/>
      </c>
      <c r="V286" s="35" t="n">
        <f aca="false">IF($H286="",0,IFERROR(INDEX(LevelBasic,MATCH($H286,LevelList,0))+INDEX(LevelHousing,MATCH($H286,LevelList,0))+INDEX(LevelTransport,MATCH($H286,LevelList,0))+INDEX(LevelBasic,MATCH($H286,LevelList,0))*INDEX(LevelBonus,MATCH($H286,LevelList,0))+(INDEX(LevelBasic,MATCH($H286,LevelList,0))+INDEX(LevelHousing,MATCH($H286,LevelList,0)))*GosiSaudi,0))</f>
        <v>0</v>
      </c>
      <c r="W286" s="35" t="n">
        <f aca="false">IFERROR(INDEX(LevelOneOff,MATCH($H286,LevelList,0)),0)</f>
        <v>0</v>
      </c>
      <c r="X286" s="35" t="str">
        <f aca="false">IF($G286="","",$V286*N($L286))</f>
        <v/>
      </c>
      <c r="Y286" s="35" t="str">
        <f aca="false">IF($G286="","",$V286*(N($M286)*1+N($N286)*0.75+N($O286)*0.5+N($P286)*0.25)+$W286*N($L286))</f>
        <v/>
      </c>
      <c r="Z286" s="35" t="str">
        <f aca="false">IF($G286="","",$U286*1000000+ROW())</f>
        <v/>
      </c>
      <c r="AA286" s="36" t="str">
        <f aca="false">IF($G286="","",MID(IF($C286="",", no division","")&amp;IF($E286="",", no unit","")&amp;IF($H286="",", no career level","")&amp;IF(N($L286)&lt;=0,", no quarter split","")&amp;IF($R286="",", no driver","")&amp;IF(AND($H286&lt;&gt;"",COUNTIF(CareerLevels,$H286)=0),", a career level that is not on the ladder","")&amp;IF(AND($R286&lt;&gt;"",COUNTIF(DriverList,$R286)=0),", a driver that is not on the list","")&amp;IF(ABS(N($L286)-(N($M286)+N($N286)+N($O286)+N($P286)))&gt;0.001,", a total that does not match its quarters",""),3,300))</f>
        <v/>
      </c>
    </row>
    <row r="287" customFormat="false" ht="15" hidden="false" customHeight="false" outlineLevel="0" collapsed="false">
      <c r="A287" s="33" t="str">
        <f aca="false">IF($G287="","","Compliance Group")</f>
        <v/>
      </c>
      <c r="B287" s="19"/>
      <c r="C287" s="19"/>
      <c r="D287" s="19"/>
      <c r="E287" s="19"/>
      <c r="F287" s="19"/>
      <c r="G287" s="19"/>
      <c r="H287" s="19"/>
      <c r="I287" s="19"/>
      <c r="J287" s="19"/>
      <c r="K287" s="19"/>
      <c r="L287" s="19"/>
      <c r="M287" s="19"/>
      <c r="N287" s="19"/>
      <c r="O287" s="19"/>
      <c r="P287" s="19"/>
      <c r="Q287" s="19"/>
      <c r="R287" s="19"/>
      <c r="S287" s="19"/>
      <c r="T287" s="34" t="str">
        <f aca="false">IF($R287="","",IFERROR(INDEX(DriverCategory,MATCH($R287,DriverList,0)),"BAU"))</f>
        <v/>
      </c>
      <c r="U287" s="34" t="str">
        <f aca="false">IF($R287="","",IFERROR(INDEX(DriverRank,MATCH($R287,DriverList,0)),99))</f>
        <v/>
      </c>
      <c r="V287" s="35" t="n">
        <f aca="false">IF($H287="",0,IFERROR(INDEX(LevelBasic,MATCH($H287,LevelList,0))+INDEX(LevelHousing,MATCH($H287,LevelList,0))+INDEX(LevelTransport,MATCH($H287,LevelList,0))+INDEX(LevelBasic,MATCH($H287,LevelList,0))*INDEX(LevelBonus,MATCH($H287,LevelList,0))+(INDEX(LevelBasic,MATCH($H287,LevelList,0))+INDEX(LevelHousing,MATCH($H287,LevelList,0)))*GosiSaudi,0))</f>
        <v>0</v>
      </c>
      <c r="W287" s="35" t="n">
        <f aca="false">IFERROR(INDEX(LevelOneOff,MATCH($H287,LevelList,0)),0)</f>
        <v>0</v>
      </c>
      <c r="X287" s="35" t="str">
        <f aca="false">IF($G287="","",$V287*N($L287))</f>
        <v/>
      </c>
      <c r="Y287" s="35" t="str">
        <f aca="false">IF($G287="","",$V287*(N($M287)*1+N($N287)*0.75+N($O287)*0.5+N($P287)*0.25)+$W287*N($L287))</f>
        <v/>
      </c>
      <c r="Z287" s="35" t="str">
        <f aca="false">IF($G287="","",$U287*1000000+ROW())</f>
        <v/>
      </c>
      <c r="AA287" s="36" t="str">
        <f aca="false">IF($G287="","",MID(IF($C287="",", no division","")&amp;IF($E287="",", no unit","")&amp;IF($H287="",", no career level","")&amp;IF(N($L287)&lt;=0,", no quarter split","")&amp;IF($R287="",", no driver","")&amp;IF(AND($H287&lt;&gt;"",COUNTIF(CareerLevels,$H287)=0),", a career level that is not on the ladder","")&amp;IF(AND($R287&lt;&gt;"",COUNTIF(DriverList,$R287)=0),", a driver that is not on the list","")&amp;IF(ABS(N($L287)-(N($M287)+N($N287)+N($O287)+N($P287)))&gt;0.001,", a total that does not match its quarters",""),3,300))</f>
        <v/>
      </c>
    </row>
    <row r="288" customFormat="false" ht="15" hidden="false" customHeight="false" outlineLevel="0" collapsed="false">
      <c r="A288" s="33" t="str">
        <f aca="false">IF($G288="","","Compliance Group")</f>
        <v/>
      </c>
      <c r="B288" s="19"/>
      <c r="C288" s="19"/>
      <c r="D288" s="19"/>
      <c r="E288" s="19"/>
      <c r="F288" s="19"/>
      <c r="G288" s="19"/>
      <c r="H288" s="19"/>
      <c r="I288" s="19"/>
      <c r="J288" s="19"/>
      <c r="K288" s="19"/>
      <c r="L288" s="19"/>
      <c r="M288" s="19"/>
      <c r="N288" s="19"/>
      <c r="O288" s="19"/>
      <c r="P288" s="19"/>
      <c r="Q288" s="19"/>
      <c r="R288" s="19"/>
      <c r="S288" s="19"/>
      <c r="T288" s="34" t="str">
        <f aca="false">IF($R288="","",IFERROR(INDEX(DriverCategory,MATCH($R288,DriverList,0)),"BAU"))</f>
        <v/>
      </c>
      <c r="U288" s="34" t="str">
        <f aca="false">IF($R288="","",IFERROR(INDEX(DriverRank,MATCH($R288,DriverList,0)),99))</f>
        <v/>
      </c>
      <c r="V288" s="35" t="n">
        <f aca="false">IF($H288="",0,IFERROR(INDEX(LevelBasic,MATCH($H288,LevelList,0))+INDEX(LevelHousing,MATCH($H288,LevelList,0))+INDEX(LevelTransport,MATCH($H288,LevelList,0))+INDEX(LevelBasic,MATCH($H288,LevelList,0))*INDEX(LevelBonus,MATCH($H288,LevelList,0))+(INDEX(LevelBasic,MATCH($H288,LevelList,0))+INDEX(LevelHousing,MATCH($H288,LevelList,0)))*GosiSaudi,0))</f>
        <v>0</v>
      </c>
      <c r="W288" s="35" t="n">
        <f aca="false">IFERROR(INDEX(LevelOneOff,MATCH($H288,LevelList,0)),0)</f>
        <v>0</v>
      </c>
      <c r="X288" s="35" t="str">
        <f aca="false">IF($G288="","",$V288*N($L288))</f>
        <v/>
      </c>
      <c r="Y288" s="35" t="str">
        <f aca="false">IF($G288="","",$V288*(N($M288)*1+N($N288)*0.75+N($O288)*0.5+N($P288)*0.25)+$W288*N($L288))</f>
        <v/>
      </c>
      <c r="Z288" s="35" t="str">
        <f aca="false">IF($G288="","",$U288*1000000+ROW())</f>
        <v/>
      </c>
      <c r="AA288" s="36" t="str">
        <f aca="false">IF($G288="","",MID(IF($C288="",", no division","")&amp;IF($E288="",", no unit","")&amp;IF($H288="",", no career level","")&amp;IF(N($L288)&lt;=0,", no quarter split","")&amp;IF($R288="",", no driver","")&amp;IF(AND($H288&lt;&gt;"",COUNTIF(CareerLevels,$H288)=0),", a career level that is not on the ladder","")&amp;IF(AND($R288&lt;&gt;"",COUNTIF(DriverList,$R288)=0),", a driver that is not on the list","")&amp;IF(ABS(N($L288)-(N($M288)+N($N288)+N($O288)+N($P288)))&gt;0.001,", a total that does not match its quarters",""),3,300))</f>
        <v/>
      </c>
    </row>
    <row r="289" customFormat="false" ht="15" hidden="false" customHeight="false" outlineLevel="0" collapsed="false">
      <c r="A289" s="33" t="str">
        <f aca="false">IF($G289="","","Compliance Group")</f>
        <v/>
      </c>
      <c r="B289" s="19"/>
      <c r="C289" s="19"/>
      <c r="D289" s="19"/>
      <c r="E289" s="19"/>
      <c r="F289" s="19"/>
      <c r="G289" s="19"/>
      <c r="H289" s="19"/>
      <c r="I289" s="19"/>
      <c r="J289" s="19"/>
      <c r="K289" s="19"/>
      <c r="L289" s="19"/>
      <c r="M289" s="19"/>
      <c r="N289" s="19"/>
      <c r="O289" s="19"/>
      <c r="P289" s="19"/>
      <c r="Q289" s="19"/>
      <c r="R289" s="19"/>
      <c r="S289" s="19"/>
      <c r="T289" s="34" t="str">
        <f aca="false">IF($R289="","",IFERROR(INDEX(DriverCategory,MATCH($R289,DriverList,0)),"BAU"))</f>
        <v/>
      </c>
      <c r="U289" s="34" t="str">
        <f aca="false">IF($R289="","",IFERROR(INDEX(DriverRank,MATCH($R289,DriverList,0)),99))</f>
        <v/>
      </c>
      <c r="V289" s="35" t="n">
        <f aca="false">IF($H289="",0,IFERROR(INDEX(LevelBasic,MATCH($H289,LevelList,0))+INDEX(LevelHousing,MATCH($H289,LevelList,0))+INDEX(LevelTransport,MATCH($H289,LevelList,0))+INDEX(LevelBasic,MATCH($H289,LevelList,0))*INDEX(LevelBonus,MATCH($H289,LevelList,0))+(INDEX(LevelBasic,MATCH($H289,LevelList,0))+INDEX(LevelHousing,MATCH($H289,LevelList,0)))*GosiSaudi,0))</f>
        <v>0</v>
      </c>
      <c r="W289" s="35" t="n">
        <f aca="false">IFERROR(INDEX(LevelOneOff,MATCH($H289,LevelList,0)),0)</f>
        <v>0</v>
      </c>
      <c r="X289" s="35" t="str">
        <f aca="false">IF($G289="","",$V289*N($L289))</f>
        <v/>
      </c>
      <c r="Y289" s="35" t="str">
        <f aca="false">IF($G289="","",$V289*(N($M289)*1+N($N289)*0.75+N($O289)*0.5+N($P289)*0.25)+$W289*N($L289))</f>
        <v/>
      </c>
      <c r="Z289" s="35" t="str">
        <f aca="false">IF($G289="","",$U289*1000000+ROW())</f>
        <v/>
      </c>
      <c r="AA289" s="36" t="str">
        <f aca="false">IF($G289="","",MID(IF($C289="",", no division","")&amp;IF($E289="",", no unit","")&amp;IF($H289="",", no career level","")&amp;IF(N($L289)&lt;=0,", no quarter split","")&amp;IF($R289="",", no driver","")&amp;IF(AND($H289&lt;&gt;"",COUNTIF(CareerLevels,$H289)=0),", a career level that is not on the ladder","")&amp;IF(AND($R289&lt;&gt;"",COUNTIF(DriverList,$R289)=0),", a driver that is not on the list","")&amp;IF(ABS(N($L289)-(N($M289)+N($N289)+N($O289)+N($P289)))&gt;0.001,", a total that does not match its quarters",""),3,300))</f>
        <v/>
      </c>
    </row>
    <row r="290" customFormat="false" ht="15" hidden="false" customHeight="false" outlineLevel="0" collapsed="false">
      <c r="A290" s="33" t="str">
        <f aca="false">IF($G290="","","Compliance Group")</f>
        <v/>
      </c>
      <c r="B290" s="19"/>
      <c r="C290" s="19"/>
      <c r="D290" s="19"/>
      <c r="E290" s="19"/>
      <c r="F290" s="19"/>
      <c r="G290" s="19"/>
      <c r="H290" s="19"/>
      <c r="I290" s="19"/>
      <c r="J290" s="19"/>
      <c r="K290" s="19"/>
      <c r="L290" s="19"/>
      <c r="M290" s="19"/>
      <c r="N290" s="19"/>
      <c r="O290" s="19"/>
      <c r="P290" s="19"/>
      <c r="Q290" s="19"/>
      <c r="R290" s="19"/>
      <c r="S290" s="19"/>
      <c r="T290" s="34" t="str">
        <f aca="false">IF($R290="","",IFERROR(INDEX(DriverCategory,MATCH($R290,DriverList,0)),"BAU"))</f>
        <v/>
      </c>
      <c r="U290" s="34" t="str">
        <f aca="false">IF($R290="","",IFERROR(INDEX(DriverRank,MATCH($R290,DriverList,0)),99))</f>
        <v/>
      </c>
      <c r="V290" s="35" t="n">
        <f aca="false">IF($H290="",0,IFERROR(INDEX(LevelBasic,MATCH($H290,LevelList,0))+INDEX(LevelHousing,MATCH($H290,LevelList,0))+INDEX(LevelTransport,MATCH($H290,LevelList,0))+INDEX(LevelBasic,MATCH($H290,LevelList,0))*INDEX(LevelBonus,MATCH($H290,LevelList,0))+(INDEX(LevelBasic,MATCH($H290,LevelList,0))+INDEX(LevelHousing,MATCH($H290,LevelList,0)))*GosiSaudi,0))</f>
        <v>0</v>
      </c>
      <c r="W290" s="35" t="n">
        <f aca="false">IFERROR(INDEX(LevelOneOff,MATCH($H290,LevelList,0)),0)</f>
        <v>0</v>
      </c>
      <c r="X290" s="35" t="str">
        <f aca="false">IF($G290="","",$V290*N($L290))</f>
        <v/>
      </c>
      <c r="Y290" s="35" t="str">
        <f aca="false">IF($G290="","",$V290*(N($M290)*1+N($N290)*0.75+N($O290)*0.5+N($P290)*0.25)+$W290*N($L290))</f>
        <v/>
      </c>
      <c r="Z290" s="35" t="str">
        <f aca="false">IF($G290="","",$U290*1000000+ROW())</f>
        <v/>
      </c>
      <c r="AA290" s="36" t="str">
        <f aca="false">IF($G290="","",MID(IF($C290="",", no division","")&amp;IF($E290="",", no unit","")&amp;IF($H290="",", no career level","")&amp;IF(N($L290)&lt;=0,", no quarter split","")&amp;IF($R290="",", no driver","")&amp;IF(AND($H290&lt;&gt;"",COUNTIF(CareerLevels,$H290)=0),", a career level that is not on the ladder","")&amp;IF(AND($R290&lt;&gt;"",COUNTIF(DriverList,$R290)=0),", a driver that is not on the list","")&amp;IF(ABS(N($L290)-(N($M290)+N($N290)+N($O290)+N($P290)))&gt;0.001,", a total that does not match its quarters",""),3,300))</f>
        <v/>
      </c>
    </row>
    <row r="291" customFormat="false" ht="15" hidden="false" customHeight="false" outlineLevel="0" collapsed="false">
      <c r="A291" s="33" t="str">
        <f aca="false">IF($G291="","","Compliance Group")</f>
        <v/>
      </c>
      <c r="B291" s="19"/>
      <c r="C291" s="19"/>
      <c r="D291" s="19"/>
      <c r="E291" s="19"/>
      <c r="F291" s="19"/>
      <c r="G291" s="19"/>
      <c r="H291" s="19"/>
      <c r="I291" s="19"/>
      <c r="J291" s="19"/>
      <c r="K291" s="19"/>
      <c r="L291" s="19"/>
      <c r="M291" s="19"/>
      <c r="N291" s="19"/>
      <c r="O291" s="19"/>
      <c r="P291" s="19"/>
      <c r="Q291" s="19"/>
      <c r="R291" s="19"/>
      <c r="S291" s="19"/>
      <c r="T291" s="34" t="str">
        <f aca="false">IF($R291="","",IFERROR(INDEX(DriverCategory,MATCH($R291,DriverList,0)),"BAU"))</f>
        <v/>
      </c>
      <c r="U291" s="34" t="str">
        <f aca="false">IF($R291="","",IFERROR(INDEX(DriverRank,MATCH($R291,DriverList,0)),99))</f>
        <v/>
      </c>
      <c r="V291" s="35" t="n">
        <f aca="false">IF($H291="",0,IFERROR(INDEX(LevelBasic,MATCH($H291,LevelList,0))+INDEX(LevelHousing,MATCH($H291,LevelList,0))+INDEX(LevelTransport,MATCH($H291,LevelList,0))+INDEX(LevelBasic,MATCH($H291,LevelList,0))*INDEX(LevelBonus,MATCH($H291,LevelList,0))+(INDEX(LevelBasic,MATCH($H291,LevelList,0))+INDEX(LevelHousing,MATCH($H291,LevelList,0)))*GosiSaudi,0))</f>
        <v>0</v>
      </c>
      <c r="W291" s="35" t="n">
        <f aca="false">IFERROR(INDEX(LevelOneOff,MATCH($H291,LevelList,0)),0)</f>
        <v>0</v>
      </c>
      <c r="X291" s="35" t="str">
        <f aca="false">IF($G291="","",$V291*N($L291))</f>
        <v/>
      </c>
      <c r="Y291" s="35" t="str">
        <f aca="false">IF($G291="","",$V291*(N($M291)*1+N($N291)*0.75+N($O291)*0.5+N($P291)*0.25)+$W291*N($L291))</f>
        <v/>
      </c>
      <c r="Z291" s="35" t="str">
        <f aca="false">IF($G291="","",$U291*1000000+ROW())</f>
        <v/>
      </c>
      <c r="AA291" s="36" t="str">
        <f aca="false">IF($G291="","",MID(IF($C291="",", no division","")&amp;IF($E291="",", no unit","")&amp;IF($H291="",", no career level","")&amp;IF(N($L291)&lt;=0,", no quarter split","")&amp;IF($R291="",", no driver","")&amp;IF(AND($H291&lt;&gt;"",COUNTIF(CareerLevels,$H291)=0),", a career level that is not on the ladder","")&amp;IF(AND($R291&lt;&gt;"",COUNTIF(DriverList,$R291)=0),", a driver that is not on the list","")&amp;IF(ABS(N($L291)-(N($M291)+N($N291)+N($O291)+N($P291)))&gt;0.001,", a total that does not match its quarters",""),3,300))</f>
        <v/>
      </c>
    </row>
    <row r="292" customFormat="false" ht="15" hidden="false" customHeight="false" outlineLevel="0" collapsed="false">
      <c r="A292" s="33" t="str">
        <f aca="false">IF($G292="","","Compliance Group")</f>
        <v/>
      </c>
      <c r="B292" s="19"/>
      <c r="C292" s="19"/>
      <c r="D292" s="19"/>
      <c r="E292" s="19"/>
      <c r="F292" s="19"/>
      <c r="G292" s="19"/>
      <c r="H292" s="19"/>
      <c r="I292" s="19"/>
      <c r="J292" s="19"/>
      <c r="K292" s="19"/>
      <c r="L292" s="19"/>
      <c r="M292" s="19"/>
      <c r="N292" s="19"/>
      <c r="O292" s="19"/>
      <c r="P292" s="19"/>
      <c r="Q292" s="19"/>
      <c r="R292" s="19"/>
      <c r="S292" s="19"/>
      <c r="T292" s="34" t="str">
        <f aca="false">IF($R292="","",IFERROR(INDEX(DriverCategory,MATCH($R292,DriverList,0)),"BAU"))</f>
        <v/>
      </c>
      <c r="U292" s="34" t="str">
        <f aca="false">IF($R292="","",IFERROR(INDEX(DriverRank,MATCH($R292,DriverList,0)),99))</f>
        <v/>
      </c>
      <c r="V292" s="35" t="n">
        <f aca="false">IF($H292="",0,IFERROR(INDEX(LevelBasic,MATCH($H292,LevelList,0))+INDEX(LevelHousing,MATCH($H292,LevelList,0))+INDEX(LevelTransport,MATCH($H292,LevelList,0))+INDEX(LevelBasic,MATCH($H292,LevelList,0))*INDEX(LevelBonus,MATCH($H292,LevelList,0))+(INDEX(LevelBasic,MATCH($H292,LevelList,0))+INDEX(LevelHousing,MATCH($H292,LevelList,0)))*GosiSaudi,0))</f>
        <v>0</v>
      </c>
      <c r="W292" s="35" t="n">
        <f aca="false">IFERROR(INDEX(LevelOneOff,MATCH($H292,LevelList,0)),0)</f>
        <v>0</v>
      </c>
      <c r="X292" s="35" t="str">
        <f aca="false">IF($G292="","",$V292*N($L292))</f>
        <v/>
      </c>
      <c r="Y292" s="35" t="str">
        <f aca="false">IF($G292="","",$V292*(N($M292)*1+N($N292)*0.75+N($O292)*0.5+N($P292)*0.25)+$W292*N($L292))</f>
        <v/>
      </c>
      <c r="Z292" s="35" t="str">
        <f aca="false">IF($G292="","",$U292*1000000+ROW())</f>
        <v/>
      </c>
      <c r="AA292" s="36" t="str">
        <f aca="false">IF($G292="","",MID(IF($C292="",", no division","")&amp;IF($E292="",", no unit","")&amp;IF($H292="",", no career level","")&amp;IF(N($L292)&lt;=0,", no quarter split","")&amp;IF($R292="",", no driver","")&amp;IF(AND($H292&lt;&gt;"",COUNTIF(CareerLevels,$H292)=0),", a career level that is not on the ladder","")&amp;IF(AND($R292&lt;&gt;"",COUNTIF(DriverList,$R292)=0),", a driver that is not on the list","")&amp;IF(ABS(N($L292)-(N($M292)+N($N292)+N($O292)+N($P292)))&gt;0.001,", a total that does not match its quarters",""),3,300))</f>
        <v/>
      </c>
    </row>
    <row r="293" customFormat="false" ht="15" hidden="false" customHeight="false" outlineLevel="0" collapsed="false">
      <c r="A293" s="33" t="str">
        <f aca="false">IF($G293="","","Compliance Group")</f>
        <v/>
      </c>
      <c r="B293" s="19"/>
      <c r="C293" s="19"/>
      <c r="D293" s="19"/>
      <c r="E293" s="19"/>
      <c r="F293" s="19"/>
      <c r="G293" s="19"/>
      <c r="H293" s="19"/>
      <c r="I293" s="19"/>
      <c r="J293" s="19"/>
      <c r="K293" s="19"/>
      <c r="L293" s="19"/>
      <c r="M293" s="19"/>
      <c r="N293" s="19"/>
      <c r="O293" s="19"/>
      <c r="P293" s="19"/>
      <c r="Q293" s="19"/>
      <c r="R293" s="19"/>
      <c r="S293" s="19"/>
      <c r="T293" s="34" t="str">
        <f aca="false">IF($R293="","",IFERROR(INDEX(DriverCategory,MATCH($R293,DriverList,0)),"BAU"))</f>
        <v/>
      </c>
      <c r="U293" s="34" t="str">
        <f aca="false">IF($R293="","",IFERROR(INDEX(DriverRank,MATCH($R293,DriverList,0)),99))</f>
        <v/>
      </c>
      <c r="V293" s="35" t="n">
        <f aca="false">IF($H293="",0,IFERROR(INDEX(LevelBasic,MATCH($H293,LevelList,0))+INDEX(LevelHousing,MATCH($H293,LevelList,0))+INDEX(LevelTransport,MATCH($H293,LevelList,0))+INDEX(LevelBasic,MATCH($H293,LevelList,0))*INDEX(LevelBonus,MATCH($H293,LevelList,0))+(INDEX(LevelBasic,MATCH($H293,LevelList,0))+INDEX(LevelHousing,MATCH($H293,LevelList,0)))*GosiSaudi,0))</f>
        <v>0</v>
      </c>
      <c r="W293" s="35" t="n">
        <f aca="false">IFERROR(INDEX(LevelOneOff,MATCH($H293,LevelList,0)),0)</f>
        <v>0</v>
      </c>
      <c r="X293" s="35" t="str">
        <f aca="false">IF($G293="","",$V293*N($L293))</f>
        <v/>
      </c>
      <c r="Y293" s="35" t="str">
        <f aca="false">IF($G293="","",$V293*(N($M293)*1+N($N293)*0.75+N($O293)*0.5+N($P293)*0.25)+$W293*N($L293))</f>
        <v/>
      </c>
      <c r="Z293" s="35" t="str">
        <f aca="false">IF($G293="","",$U293*1000000+ROW())</f>
        <v/>
      </c>
      <c r="AA293" s="36" t="str">
        <f aca="false">IF($G293="","",MID(IF($C293="",", no division","")&amp;IF($E293="",", no unit","")&amp;IF($H293="",", no career level","")&amp;IF(N($L293)&lt;=0,", no quarter split","")&amp;IF($R293="",", no driver","")&amp;IF(AND($H293&lt;&gt;"",COUNTIF(CareerLevels,$H293)=0),", a career level that is not on the ladder","")&amp;IF(AND($R293&lt;&gt;"",COUNTIF(DriverList,$R293)=0),", a driver that is not on the list","")&amp;IF(ABS(N($L293)-(N($M293)+N($N293)+N($O293)+N($P293)))&gt;0.001,", a total that does not match its quarters",""),3,300))</f>
        <v/>
      </c>
    </row>
    <row r="294" customFormat="false" ht="15" hidden="false" customHeight="false" outlineLevel="0" collapsed="false">
      <c r="A294" s="33" t="str">
        <f aca="false">IF($G294="","","Compliance Group")</f>
        <v/>
      </c>
      <c r="B294" s="19"/>
      <c r="C294" s="19"/>
      <c r="D294" s="19"/>
      <c r="E294" s="19"/>
      <c r="F294" s="19"/>
      <c r="G294" s="19"/>
      <c r="H294" s="19"/>
      <c r="I294" s="19"/>
      <c r="J294" s="19"/>
      <c r="K294" s="19"/>
      <c r="L294" s="19"/>
      <c r="M294" s="19"/>
      <c r="N294" s="19"/>
      <c r="O294" s="19"/>
      <c r="P294" s="19"/>
      <c r="Q294" s="19"/>
      <c r="R294" s="19"/>
      <c r="S294" s="19"/>
      <c r="T294" s="34" t="str">
        <f aca="false">IF($R294="","",IFERROR(INDEX(DriverCategory,MATCH($R294,DriverList,0)),"BAU"))</f>
        <v/>
      </c>
      <c r="U294" s="34" t="str">
        <f aca="false">IF($R294="","",IFERROR(INDEX(DriverRank,MATCH($R294,DriverList,0)),99))</f>
        <v/>
      </c>
      <c r="V294" s="35" t="n">
        <f aca="false">IF($H294="",0,IFERROR(INDEX(LevelBasic,MATCH($H294,LevelList,0))+INDEX(LevelHousing,MATCH($H294,LevelList,0))+INDEX(LevelTransport,MATCH($H294,LevelList,0))+INDEX(LevelBasic,MATCH($H294,LevelList,0))*INDEX(LevelBonus,MATCH($H294,LevelList,0))+(INDEX(LevelBasic,MATCH($H294,LevelList,0))+INDEX(LevelHousing,MATCH($H294,LevelList,0)))*GosiSaudi,0))</f>
        <v>0</v>
      </c>
      <c r="W294" s="35" t="n">
        <f aca="false">IFERROR(INDEX(LevelOneOff,MATCH($H294,LevelList,0)),0)</f>
        <v>0</v>
      </c>
      <c r="X294" s="35" t="str">
        <f aca="false">IF($G294="","",$V294*N($L294))</f>
        <v/>
      </c>
      <c r="Y294" s="35" t="str">
        <f aca="false">IF($G294="","",$V294*(N($M294)*1+N($N294)*0.75+N($O294)*0.5+N($P294)*0.25)+$W294*N($L294))</f>
        <v/>
      </c>
      <c r="Z294" s="35" t="str">
        <f aca="false">IF($G294="","",$U294*1000000+ROW())</f>
        <v/>
      </c>
      <c r="AA294" s="36" t="str">
        <f aca="false">IF($G294="","",MID(IF($C294="",", no division","")&amp;IF($E294="",", no unit","")&amp;IF($H294="",", no career level","")&amp;IF(N($L294)&lt;=0,", no quarter split","")&amp;IF($R294="",", no driver","")&amp;IF(AND($H294&lt;&gt;"",COUNTIF(CareerLevels,$H294)=0),", a career level that is not on the ladder","")&amp;IF(AND($R294&lt;&gt;"",COUNTIF(DriverList,$R294)=0),", a driver that is not on the list","")&amp;IF(ABS(N($L294)-(N($M294)+N($N294)+N($O294)+N($P294)))&gt;0.001,", a total that does not match its quarters",""),3,300))</f>
        <v/>
      </c>
    </row>
    <row r="295" customFormat="false" ht="15" hidden="false" customHeight="false" outlineLevel="0" collapsed="false">
      <c r="A295" s="33" t="str">
        <f aca="false">IF($G295="","","Compliance Group")</f>
        <v/>
      </c>
      <c r="B295" s="19"/>
      <c r="C295" s="19"/>
      <c r="D295" s="19"/>
      <c r="E295" s="19"/>
      <c r="F295" s="19"/>
      <c r="G295" s="19"/>
      <c r="H295" s="19"/>
      <c r="I295" s="19"/>
      <c r="J295" s="19"/>
      <c r="K295" s="19"/>
      <c r="L295" s="19"/>
      <c r="M295" s="19"/>
      <c r="N295" s="19"/>
      <c r="O295" s="19"/>
      <c r="P295" s="19"/>
      <c r="Q295" s="19"/>
      <c r="R295" s="19"/>
      <c r="S295" s="19"/>
      <c r="T295" s="34" t="str">
        <f aca="false">IF($R295="","",IFERROR(INDEX(DriverCategory,MATCH($R295,DriverList,0)),"BAU"))</f>
        <v/>
      </c>
      <c r="U295" s="34" t="str">
        <f aca="false">IF($R295="","",IFERROR(INDEX(DriverRank,MATCH($R295,DriverList,0)),99))</f>
        <v/>
      </c>
      <c r="V295" s="35" t="n">
        <f aca="false">IF($H295="",0,IFERROR(INDEX(LevelBasic,MATCH($H295,LevelList,0))+INDEX(LevelHousing,MATCH($H295,LevelList,0))+INDEX(LevelTransport,MATCH($H295,LevelList,0))+INDEX(LevelBasic,MATCH($H295,LevelList,0))*INDEX(LevelBonus,MATCH($H295,LevelList,0))+(INDEX(LevelBasic,MATCH($H295,LevelList,0))+INDEX(LevelHousing,MATCH($H295,LevelList,0)))*GosiSaudi,0))</f>
        <v>0</v>
      </c>
      <c r="W295" s="35" t="n">
        <f aca="false">IFERROR(INDEX(LevelOneOff,MATCH($H295,LevelList,0)),0)</f>
        <v>0</v>
      </c>
      <c r="X295" s="35" t="str">
        <f aca="false">IF($G295="","",$V295*N($L295))</f>
        <v/>
      </c>
      <c r="Y295" s="35" t="str">
        <f aca="false">IF($G295="","",$V295*(N($M295)*1+N($N295)*0.75+N($O295)*0.5+N($P295)*0.25)+$W295*N($L295))</f>
        <v/>
      </c>
      <c r="Z295" s="35" t="str">
        <f aca="false">IF($G295="","",$U295*1000000+ROW())</f>
        <v/>
      </c>
      <c r="AA295" s="36" t="str">
        <f aca="false">IF($G295="","",MID(IF($C295="",", no division","")&amp;IF($E295="",", no unit","")&amp;IF($H295="",", no career level","")&amp;IF(N($L295)&lt;=0,", no quarter split","")&amp;IF($R295="",", no driver","")&amp;IF(AND($H295&lt;&gt;"",COUNTIF(CareerLevels,$H295)=0),", a career level that is not on the ladder","")&amp;IF(AND($R295&lt;&gt;"",COUNTIF(DriverList,$R295)=0),", a driver that is not on the list","")&amp;IF(ABS(N($L295)-(N($M295)+N($N295)+N($O295)+N($P295)))&gt;0.001,", a total that does not match its quarters",""),3,300))</f>
        <v/>
      </c>
    </row>
    <row r="296" customFormat="false" ht="15" hidden="false" customHeight="false" outlineLevel="0" collapsed="false">
      <c r="A296" s="33" t="str">
        <f aca="false">IF($G296="","","Compliance Group")</f>
        <v/>
      </c>
      <c r="B296" s="19"/>
      <c r="C296" s="19"/>
      <c r="D296" s="19"/>
      <c r="E296" s="19"/>
      <c r="F296" s="19"/>
      <c r="G296" s="19"/>
      <c r="H296" s="19"/>
      <c r="I296" s="19"/>
      <c r="J296" s="19"/>
      <c r="K296" s="19"/>
      <c r="L296" s="19"/>
      <c r="M296" s="19"/>
      <c r="N296" s="19"/>
      <c r="O296" s="19"/>
      <c r="P296" s="19"/>
      <c r="Q296" s="19"/>
      <c r="R296" s="19"/>
      <c r="S296" s="19"/>
      <c r="T296" s="34" t="str">
        <f aca="false">IF($R296="","",IFERROR(INDEX(DriverCategory,MATCH($R296,DriverList,0)),"BAU"))</f>
        <v/>
      </c>
      <c r="U296" s="34" t="str">
        <f aca="false">IF($R296="","",IFERROR(INDEX(DriverRank,MATCH($R296,DriverList,0)),99))</f>
        <v/>
      </c>
      <c r="V296" s="35" t="n">
        <f aca="false">IF($H296="",0,IFERROR(INDEX(LevelBasic,MATCH($H296,LevelList,0))+INDEX(LevelHousing,MATCH($H296,LevelList,0))+INDEX(LevelTransport,MATCH($H296,LevelList,0))+INDEX(LevelBasic,MATCH($H296,LevelList,0))*INDEX(LevelBonus,MATCH($H296,LevelList,0))+(INDEX(LevelBasic,MATCH($H296,LevelList,0))+INDEX(LevelHousing,MATCH($H296,LevelList,0)))*GosiSaudi,0))</f>
        <v>0</v>
      </c>
      <c r="W296" s="35" t="n">
        <f aca="false">IFERROR(INDEX(LevelOneOff,MATCH($H296,LevelList,0)),0)</f>
        <v>0</v>
      </c>
      <c r="X296" s="35" t="str">
        <f aca="false">IF($G296="","",$V296*N($L296))</f>
        <v/>
      </c>
      <c r="Y296" s="35" t="str">
        <f aca="false">IF($G296="","",$V296*(N($M296)*1+N($N296)*0.75+N($O296)*0.5+N($P296)*0.25)+$W296*N($L296))</f>
        <v/>
      </c>
      <c r="Z296" s="35" t="str">
        <f aca="false">IF($G296="","",$U296*1000000+ROW())</f>
        <v/>
      </c>
      <c r="AA296" s="36" t="str">
        <f aca="false">IF($G296="","",MID(IF($C296="",", no division","")&amp;IF($E296="",", no unit","")&amp;IF($H296="",", no career level","")&amp;IF(N($L296)&lt;=0,", no quarter split","")&amp;IF($R296="",", no driver","")&amp;IF(AND($H296&lt;&gt;"",COUNTIF(CareerLevels,$H296)=0),", a career level that is not on the ladder","")&amp;IF(AND($R296&lt;&gt;"",COUNTIF(DriverList,$R296)=0),", a driver that is not on the list","")&amp;IF(ABS(N($L296)-(N($M296)+N($N296)+N($O296)+N($P296)))&gt;0.001,", a total that does not match its quarters",""),3,300))</f>
        <v/>
      </c>
    </row>
    <row r="297" customFormat="false" ht="15" hidden="false" customHeight="false" outlineLevel="0" collapsed="false">
      <c r="A297" s="33" t="str">
        <f aca="false">IF($G297="","","Compliance Group")</f>
        <v/>
      </c>
      <c r="B297" s="19"/>
      <c r="C297" s="19"/>
      <c r="D297" s="19"/>
      <c r="E297" s="19"/>
      <c r="F297" s="19"/>
      <c r="G297" s="19"/>
      <c r="H297" s="19"/>
      <c r="I297" s="19"/>
      <c r="J297" s="19"/>
      <c r="K297" s="19"/>
      <c r="L297" s="19"/>
      <c r="M297" s="19"/>
      <c r="N297" s="19"/>
      <c r="O297" s="19"/>
      <c r="P297" s="19"/>
      <c r="Q297" s="19"/>
      <c r="R297" s="19"/>
      <c r="S297" s="19"/>
      <c r="T297" s="34" t="str">
        <f aca="false">IF($R297="","",IFERROR(INDEX(DriverCategory,MATCH($R297,DriverList,0)),"BAU"))</f>
        <v/>
      </c>
      <c r="U297" s="34" t="str">
        <f aca="false">IF($R297="","",IFERROR(INDEX(DriverRank,MATCH($R297,DriverList,0)),99))</f>
        <v/>
      </c>
      <c r="V297" s="35" t="n">
        <f aca="false">IF($H297="",0,IFERROR(INDEX(LevelBasic,MATCH($H297,LevelList,0))+INDEX(LevelHousing,MATCH($H297,LevelList,0))+INDEX(LevelTransport,MATCH($H297,LevelList,0))+INDEX(LevelBasic,MATCH($H297,LevelList,0))*INDEX(LevelBonus,MATCH($H297,LevelList,0))+(INDEX(LevelBasic,MATCH($H297,LevelList,0))+INDEX(LevelHousing,MATCH($H297,LevelList,0)))*GosiSaudi,0))</f>
        <v>0</v>
      </c>
      <c r="W297" s="35" t="n">
        <f aca="false">IFERROR(INDEX(LevelOneOff,MATCH($H297,LevelList,0)),0)</f>
        <v>0</v>
      </c>
      <c r="X297" s="35" t="str">
        <f aca="false">IF($G297="","",$V297*N($L297))</f>
        <v/>
      </c>
      <c r="Y297" s="35" t="str">
        <f aca="false">IF($G297="","",$V297*(N($M297)*1+N($N297)*0.75+N($O297)*0.5+N($P297)*0.25)+$W297*N($L297))</f>
        <v/>
      </c>
      <c r="Z297" s="35" t="str">
        <f aca="false">IF($G297="","",$U297*1000000+ROW())</f>
        <v/>
      </c>
      <c r="AA297" s="36" t="str">
        <f aca="false">IF($G297="","",MID(IF($C297="",", no division","")&amp;IF($E297="",", no unit","")&amp;IF($H297="",", no career level","")&amp;IF(N($L297)&lt;=0,", no quarter split","")&amp;IF($R297="",", no driver","")&amp;IF(AND($H297&lt;&gt;"",COUNTIF(CareerLevels,$H297)=0),", a career level that is not on the ladder","")&amp;IF(AND($R297&lt;&gt;"",COUNTIF(DriverList,$R297)=0),", a driver that is not on the list","")&amp;IF(ABS(N($L297)-(N($M297)+N($N297)+N($O297)+N($P297)))&gt;0.001,", a total that does not match its quarters",""),3,300))</f>
        <v/>
      </c>
    </row>
    <row r="298" customFormat="false" ht="15" hidden="false" customHeight="false" outlineLevel="0" collapsed="false">
      <c r="A298" s="33" t="str">
        <f aca="false">IF($G298="","","Compliance Group")</f>
        <v/>
      </c>
      <c r="B298" s="19"/>
      <c r="C298" s="19"/>
      <c r="D298" s="19"/>
      <c r="E298" s="19"/>
      <c r="F298" s="19"/>
      <c r="G298" s="19"/>
      <c r="H298" s="19"/>
      <c r="I298" s="19"/>
      <c r="J298" s="19"/>
      <c r="K298" s="19"/>
      <c r="L298" s="19"/>
      <c r="M298" s="19"/>
      <c r="N298" s="19"/>
      <c r="O298" s="19"/>
      <c r="P298" s="19"/>
      <c r="Q298" s="19"/>
      <c r="R298" s="19"/>
      <c r="S298" s="19"/>
      <c r="T298" s="34" t="str">
        <f aca="false">IF($R298="","",IFERROR(INDEX(DriverCategory,MATCH($R298,DriverList,0)),"BAU"))</f>
        <v/>
      </c>
      <c r="U298" s="34" t="str">
        <f aca="false">IF($R298="","",IFERROR(INDEX(DriverRank,MATCH($R298,DriverList,0)),99))</f>
        <v/>
      </c>
      <c r="V298" s="35" t="n">
        <f aca="false">IF($H298="",0,IFERROR(INDEX(LevelBasic,MATCH($H298,LevelList,0))+INDEX(LevelHousing,MATCH($H298,LevelList,0))+INDEX(LevelTransport,MATCH($H298,LevelList,0))+INDEX(LevelBasic,MATCH($H298,LevelList,0))*INDEX(LevelBonus,MATCH($H298,LevelList,0))+(INDEX(LevelBasic,MATCH($H298,LevelList,0))+INDEX(LevelHousing,MATCH($H298,LevelList,0)))*GosiSaudi,0))</f>
        <v>0</v>
      </c>
      <c r="W298" s="35" t="n">
        <f aca="false">IFERROR(INDEX(LevelOneOff,MATCH($H298,LevelList,0)),0)</f>
        <v>0</v>
      </c>
      <c r="X298" s="35" t="str">
        <f aca="false">IF($G298="","",$V298*N($L298))</f>
        <v/>
      </c>
      <c r="Y298" s="35" t="str">
        <f aca="false">IF($G298="","",$V298*(N($M298)*1+N($N298)*0.75+N($O298)*0.5+N($P298)*0.25)+$W298*N($L298))</f>
        <v/>
      </c>
      <c r="Z298" s="35" t="str">
        <f aca="false">IF($G298="","",$U298*1000000+ROW())</f>
        <v/>
      </c>
      <c r="AA298" s="36" t="str">
        <f aca="false">IF($G298="","",MID(IF($C298="",", no division","")&amp;IF($E298="",", no unit","")&amp;IF($H298="",", no career level","")&amp;IF(N($L298)&lt;=0,", no quarter split","")&amp;IF($R298="",", no driver","")&amp;IF(AND($H298&lt;&gt;"",COUNTIF(CareerLevels,$H298)=0),", a career level that is not on the ladder","")&amp;IF(AND($R298&lt;&gt;"",COUNTIF(DriverList,$R298)=0),", a driver that is not on the list","")&amp;IF(ABS(N($L298)-(N($M298)+N($N298)+N($O298)+N($P298)))&gt;0.001,", a total that does not match its quarters",""),3,300))</f>
        <v/>
      </c>
    </row>
    <row r="299" customFormat="false" ht="15" hidden="false" customHeight="false" outlineLevel="0" collapsed="false">
      <c r="A299" s="33" t="str">
        <f aca="false">IF($G299="","","Compliance Group")</f>
        <v/>
      </c>
      <c r="B299" s="19"/>
      <c r="C299" s="19"/>
      <c r="D299" s="19"/>
      <c r="E299" s="19"/>
      <c r="F299" s="19"/>
      <c r="G299" s="19"/>
      <c r="H299" s="19"/>
      <c r="I299" s="19"/>
      <c r="J299" s="19"/>
      <c r="K299" s="19"/>
      <c r="L299" s="19"/>
      <c r="M299" s="19"/>
      <c r="N299" s="19"/>
      <c r="O299" s="19"/>
      <c r="P299" s="19"/>
      <c r="Q299" s="19"/>
      <c r="R299" s="19"/>
      <c r="S299" s="19"/>
      <c r="T299" s="34" t="str">
        <f aca="false">IF($R299="","",IFERROR(INDEX(DriverCategory,MATCH($R299,DriverList,0)),"BAU"))</f>
        <v/>
      </c>
      <c r="U299" s="34" t="str">
        <f aca="false">IF($R299="","",IFERROR(INDEX(DriverRank,MATCH($R299,DriverList,0)),99))</f>
        <v/>
      </c>
      <c r="V299" s="35" t="n">
        <f aca="false">IF($H299="",0,IFERROR(INDEX(LevelBasic,MATCH($H299,LevelList,0))+INDEX(LevelHousing,MATCH($H299,LevelList,0))+INDEX(LevelTransport,MATCH($H299,LevelList,0))+INDEX(LevelBasic,MATCH($H299,LevelList,0))*INDEX(LevelBonus,MATCH($H299,LevelList,0))+(INDEX(LevelBasic,MATCH($H299,LevelList,0))+INDEX(LevelHousing,MATCH($H299,LevelList,0)))*GosiSaudi,0))</f>
        <v>0</v>
      </c>
      <c r="W299" s="35" t="n">
        <f aca="false">IFERROR(INDEX(LevelOneOff,MATCH($H299,LevelList,0)),0)</f>
        <v>0</v>
      </c>
      <c r="X299" s="35" t="str">
        <f aca="false">IF($G299="","",$V299*N($L299))</f>
        <v/>
      </c>
      <c r="Y299" s="35" t="str">
        <f aca="false">IF($G299="","",$V299*(N($M299)*1+N($N299)*0.75+N($O299)*0.5+N($P299)*0.25)+$W299*N($L299))</f>
        <v/>
      </c>
      <c r="Z299" s="35" t="str">
        <f aca="false">IF($G299="","",$U299*1000000+ROW())</f>
        <v/>
      </c>
      <c r="AA299" s="36" t="str">
        <f aca="false">IF($G299="","",MID(IF($C299="",", no division","")&amp;IF($E299="",", no unit","")&amp;IF($H299="",", no career level","")&amp;IF(N($L299)&lt;=0,", no quarter split","")&amp;IF($R299="",", no driver","")&amp;IF(AND($H299&lt;&gt;"",COUNTIF(CareerLevels,$H299)=0),", a career level that is not on the ladder","")&amp;IF(AND($R299&lt;&gt;"",COUNTIF(DriverList,$R299)=0),", a driver that is not on the list","")&amp;IF(ABS(N($L299)-(N($M299)+N($N299)+N($O299)+N($P299)))&gt;0.001,", a total that does not match its quarters",""),3,300))</f>
        <v/>
      </c>
    </row>
    <row r="300" customFormat="false" ht="15" hidden="false" customHeight="false" outlineLevel="0" collapsed="false">
      <c r="A300" s="33" t="str">
        <f aca="false">IF($G300="","","Compliance Group")</f>
        <v/>
      </c>
      <c r="B300" s="19"/>
      <c r="C300" s="19"/>
      <c r="D300" s="19"/>
      <c r="E300" s="19"/>
      <c r="F300" s="19"/>
      <c r="G300" s="19"/>
      <c r="H300" s="19"/>
      <c r="I300" s="19"/>
      <c r="J300" s="19"/>
      <c r="K300" s="19"/>
      <c r="L300" s="19"/>
      <c r="M300" s="19"/>
      <c r="N300" s="19"/>
      <c r="O300" s="19"/>
      <c r="P300" s="19"/>
      <c r="Q300" s="19"/>
      <c r="R300" s="19"/>
      <c r="S300" s="19"/>
      <c r="T300" s="34" t="str">
        <f aca="false">IF($R300="","",IFERROR(INDEX(DriverCategory,MATCH($R300,DriverList,0)),"BAU"))</f>
        <v/>
      </c>
      <c r="U300" s="34" t="str">
        <f aca="false">IF($R300="","",IFERROR(INDEX(DriverRank,MATCH($R300,DriverList,0)),99))</f>
        <v/>
      </c>
      <c r="V300" s="35" t="n">
        <f aca="false">IF($H300="",0,IFERROR(INDEX(LevelBasic,MATCH($H300,LevelList,0))+INDEX(LevelHousing,MATCH($H300,LevelList,0))+INDEX(LevelTransport,MATCH($H300,LevelList,0))+INDEX(LevelBasic,MATCH($H300,LevelList,0))*INDEX(LevelBonus,MATCH($H300,LevelList,0))+(INDEX(LevelBasic,MATCH($H300,LevelList,0))+INDEX(LevelHousing,MATCH($H300,LevelList,0)))*GosiSaudi,0))</f>
        <v>0</v>
      </c>
      <c r="W300" s="35" t="n">
        <f aca="false">IFERROR(INDEX(LevelOneOff,MATCH($H300,LevelList,0)),0)</f>
        <v>0</v>
      </c>
      <c r="X300" s="35" t="str">
        <f aca="false">IF($G300="","",$V300*N($L300))</f>
        <v/>
      </c>
      <c r="Y300" s="35" t="str">
        <f aca="false">IF($G300="","",$V300*(N($M300)*1+N($N300)*0.75+N($O300)*0.5+N($P300)*0.25)+$W300*N($L300))</f>
        <v/>
      </c>
      <c r="Z300" s="35" t="str">
        <f aca="false">IF($G300="","",$U300*1000000+ROW())</f>
        <v/>
      </c>
      <c r="AA300" s="36" t="str">
        <f aca="false">IF($G300="","",MID(IF($C300="",", no division","")&amp;IF($E300="",", no unit","")&amp;IF($H300="",", no career level","")&amp;IF(N($L300)&lt;=0,", no quarter split","")&amp;IF($R300="",", no driver","")&amp;IF(AND($H300&lt;&gt;"",COUNTIF(CareerLevels,$H300)=0),", a career level that is not on the ladder","")&amp;IF(AND($R300&lt;&gt;"",COUNTIF(DriverList,$R300)=0),", a driver that is not on the list","")&amp;IF(ABS(N($L300)-(N($M300)+N($N300)+N($O300)+N($P300)))&gt;0.001,", a total that does not match its quarters",""),3,300))</f>
        <v/>
      </c>
    </row>
    <row r="301" customFormat="false" ht="15" hidden="false" customHeight="false" outlineLevel="0" collapsed="false">
      <c r="A301" s="33" t="str">
        <f aca="false">IF($G301="","","Compliance Group")</f>
        <v/>
      </c>
      <c r="B301" s="19"/>
      <c r="C301" s="19"/>
      <c r="D301" s="19"/>
      <c r="E301" s="19"/>
      <c r="F301" s="19"/>
      <c r="G301" s="19"/>
      <c r="H301" s="19"/>
      <c r="I301" s="19"/>
      <c r="J301" s="19"/>
      <c r="K301" s="19"/>
      <c r="L301" s="19"/>
      <c r="M301" s="19"/>
      <c r="N301" s="19"/>
      <c r="O301" s="19"/>
      <c r="P301" s="19"/>
      <c r="Q301" s="19"/>
      <c r="R301" s="19"/>
      <c r="S301" s="19"/>
      <c r="T301" s="34" t="str">
        <f aca="false">IF($R301="","",IFERROR(INDEX(DriverCategory,MATCH($R301,DriverList,0)),"BAU"))</f>
        <v/>
      </c>
      <c r="U301" s="34" t="str">
        <f aca="false">IF($R301="","",IFERROR(INDEX(DriverRank,MATCH($R301,DriverList,0)),99))</f>
        <v/>
      </c>
      <c r="V301" s="35" t="n">
        <f aca="false">IF($H301="",0,IFERROR(INDEX(LevelBasic,MATCH($H301,LevelList,0))+INDEX(LevelHousing,MATCH($H301,LevelList,0))+INDEX(LevelTransport,MATCH($H301,LevelList,0))+INDEX(LevelBasic,MATCH($H301,LevelList,0))*INDEX(LevelBonus,MATCH($H301,LevelList,0))+(INDEX(LevelBasic,MATCH($H301,LevelList,0))+INDEX(LevelHousing,MATCH($H301,LevelList,0)))*GosiSaudi,0))</f>
        <v>0</v>
      </c>
      <c r="W301" s="35" t="n">
        <f aca="false">IFERROR(INDEX(LevelOneOff,MATCH($H301,LevelList,0)),0)</f>
        <v>0</v>
      </c>
      <c r="X301" s="35" t="str">
        <f aca="false">IF($G301="","",$V301*N($L301))</f>
        <v/>
      </c>
      <c r="Y301" s="35" t="str">
        <f aca="false">IF($G301="","",$V301*(N($M301)*1+N($N301)*0.75+N($O301)*0.5+N($P301)*0.25)+$W301*N($L301))</f>
        <v/>
      </c>
      <c r="Z301" s="35" t="str">
        <f aca="false">IF($G301="","",$U301*1000000+ROW())</f>
        <v/>
      </c>
      <c r="AA301" s="36" t="str">
        <f aca="false">IF($G301="","",MID(IF($C301="",", no division","")&amp;IF($E301="",", no unit","")&amp;IF($H301="",", no career level","")&amp;IF(N($L301)&lt;=0,", no quarter split","")&amp;IF($R301="",", no driver","")&amp;IF(AND($H301&lt;&gt;"",COUNTIF(CareerLevels,$H301)=0),", a career level that is not on the ladder","")&amp;IF(AND($R301&lt;&gt;"",COUNTIF(DriverList,$R301)=0),", a driver that is not on the list","")&amp;IF(ABS(N($L301)-(N($M301)+N($N301)+N($O301)+N($P301)))&gt;0.001,", a total that does not match its quarters",""),3,300))</f>
        <v/>
      </c>
    </row>
    <row r="302" customFormat="false" ht="15" hidden="false" customHeight="false" outlineLevel="0" collapsed="false">
      <c r="A302" s="33" t="str">
        <f aca="false">IF($G302="","","Compliance Group")</f>
        <v/>
      </c>
      <c r="B302" s="19"/>
      <c r="C302" s="19"/>
      <c r="D302" s="19"/>
      <c r="E302" s="19"/>
      <c r="F302" s="19"/>
      <c r="G302" s="19"/>
      <c r="H302" s="19"/>
      <c r="I302" s="19"/>
      <c r="J302" s="19"/>
      <c r="K302" s="19"/>
      <c r="L302" s="19"/>
      <c r="M302" s="19"/>
      <c r="N302" s="19"/>
      <c r="O302" s="19"/>
      <c r="P302" s="19"/>
      <c r="Q302" s="19"/>
      <c r="R302" s="19"/>
      <c r="S302" s="19"/>
      <c r="T302" s="34" t="str">
        <f aca="false">IF($R302="","",IFERROR(INDEX(DriverCategory,MATCH($R302,DriverList,0)),"BAU"))</f>
        <v/>
      </c>
      <c r="U302" s="34" t="str">
        <f aca="false">IF($R302="","",IFERROR(INDEX(DriverRank,MATCH($R302,DriverList,0)),99))</f>
        <v/>
      </c>
      <c r="V302" s="35" t="n">
        <f aca="false">IF($H302="",0,IFERROR(INDEX(LevelBasic,MATCH($H302,LevelList,0))+INDEX(LevelHousing,MATCH($H302,LevelList,0))+INDEX(LevelTransport,MATCH($H302,LevelList,0))+INDEX(LevelBasic,MATCH($H302,LevelList,0))*INDEX(LevelBonus,MATCH($H302,LevelList,0))+(INDEX(LevelBasic,MATCH($H302,LevelList,0))+INDEX(LevelHousing,MATCH($H302,LevelList,0)))*GosiSaudi,0))</f>
        <v>0</v>
      </c>
      <c r="W302" s="35" t="n">
        <f aca="false">IFERROR(INDEX(LevelOneOff,MATCH($H302,LevelList,0)),0)</f>
        <v>0</v>
      </c>
      <c r="X302" s="35" t="str">
        <f aca="false">IF($G302="","",$V302*N($L302))</f>
        <v/>
      </c>
      <c r="Y302" s="35" t="str">
        <f aca="false">IF($G302="","",$V302*(N($M302)*1+N($N302)*0.75+N($O302)*0.5+N($P302)*0.25)+$W302*N($L302))</f>
        <v/>
      </c>
      <c r="Z302" s="35" t="str">
        <f aca="false">IF($G302="","",$U302*1000000+ROW())</f>
        <v/>
      </c>
      <c r="AA302" s="36" t="str">
        <f aca="false">IF($G302="","",MID(IF($C302="",", no division","")&amp;IF($E302="",", no unit","")&amp;IF($H302="",", no career level","")&amp;IF(N($L302)&lt;=0,", no quarter split","")&amp;IF($R302="",", no driver","")&amp;IF(AND($H302&lt;&gt;"",COUNTIF(CareerLevels,$H302)=0),", a career level that is not on the ladder","")&amp;IF(AND($R302&lt;&gt;"",COUNTIF(DriverList,$R302)=0),", a driver that is not on the list","")&amp;IF(ABS(N($L302)-(N($M302)+N($N302)+N($O302)+N($P302)))&gt;0.001,", a total that does not match its quarters",""),3,300))</f>
        <v/>
      </c>
    </row>
    <row r="303" customFormat="false" ht="15" hidden="false" customHeight="false" outlineLevel="0" collapsed="false">
      <c r="A303" s="33" t="str">
        <f aca="false">IF($G303="","","Compliance Group")</f>
        <v/>
      </c>
      <c r="B303" s="19"/>
      <c r="C303" s="19"/>
      <c r="D303" s="19"/>
      <c r="E303" s="19"/>
      <c r="F303" s="19"/>
      <c r="G303" s="19"/>
      <c r="H303" s="19"/>
      <c r="I303" s="19"/>
      <c r="J303" s="19"/>
      <c r="K303" s="19"/>
      <c r="L303" s="19"/>
      <c r="M303" s="19"/>
      <c r="N303" s="19"/>
      <c r="O303" s="19"/>
      <c r="P303" s="19"/>
      <c r="Q303" s="19"/>
      <c r="R303" s="19"/>
      <c r="S303" s="19"/>
      <c r="T303" s="34" t="str">
        <f aca="false">IF($R303="","",IFERROR(INDEX(DriverCategory,MATCH($R303,DriverList,0)),"BAU"))</f>
        <v/>
      </c>
      <c r="U303" s="34" t="str">
        <f aca="false">IF($R303="","",IFERROR(INDEX(DriverRank,MATCH($R303,DriverList,0)),99))</f>
        <v/>
      </c>
      <c r="V303" s="35" t="n">
        <f aca="false">IF($H303="",0,IFERROR(INDEX(LevelBasic,MATCH($H303,LevelList,0))+INDEX(LevelHousing,MATCH($H303,LevelList,0))+INDEX(LevelTransport,MATCH($H303,LevelList,0))+INDEX(LevelBasic,MATCH($H303,LevelList,0))*INDEX(LevelBonus,MATCH($H303,LevelList,0))+(INDEX(LevelBasic,MATCH($H303,LevelList,0))+INDEX(LevelHousing,MATCH($H303,LevelList,0)))*GosiSaudi,0))</f>
        <v>0</v>
      </c>
      <c r="W303" s="35" t="n">
        <f aca="false">IFERROR(INDEX(LevelOneOff,MATCH($H303,LevelList,0)),0)</f>
        <v>0</v>
      </c>
      <c r="X303" s="35" t="str">
        <f aca="false">IF($G303="","",$V303*N($L303))</f>
        <v/>
      </c>
      <c r="Y303" s="35" t="str">
        <f aca="false">IF($G303="","",$V303*(N($M303)*1+N($N303)*0.75+N($O303)*0.5+N($P303)*0.25)+$W303*N($L303))</f>
        <v/>
      </c>
      <c r="Z303" s="35" t="str">
        <f aca="false">IF($G303="","",$U303*1000000+ROW())</f>
        <v/>
      </c>
      <c r="AA303" s="36" t="str">
        <f aca="false">IF($G303="","",MID(IF($C303="",", no division","")&amp;IF($E303="",", no unit","")&amp;IF($H303="",", no career level","")&amp;IF(N($L303)&lt;=0,", no quarter split","")&amp;IF($R303="",", no driver","")&amp;IF(AND($H303&lt;&gt;"",COUNTIF(CareerLevels,$H303)=0),", a career level that is not on the ladder","")&amp;IF(AND($R303&lt;&gt;"",COUNTIF(DriverList,$R303)=0),", a driver that is not on the list","")&amp;IF(ABS(N($L303)-(N($M303)+N($N303)+N($O303)+N($P303)))&gt;0.001,", a total that does not match its quarters",""),3,300))</f>
        <v/>
      </c>
    </row>
    <row r="304" customFormat="false" ht="15" hidden="false" customHeight="false" outlineLevel="0" collapsed="false">
      <c r="A304" s="33" t="str">
        <f aca="false">IF($G304="","","Compliance Group")</f>
        <v/>
      </c>
      <c r="B304" s="19"/>
      <c r="C304" s="19"/>
      <c r="D304" s="19"/>
      <c r="E304" s="19"/>
      <c r="F304" s="19"/>
      <c r="G304" s="19"/>
      <c r="H304" s="19"/>
      <c r="I304" s="19"/>
      <c r="J304" s="19"/>
      <c r="K304" s="19"/>
      <c r="L304" s="19"/>
      <c r="M304" s="19"/>
      <c r="N304" s="19"/>
      <c r="O304" s="19"/>
      <c r="P304" s="19"/>
      <c r="Q304" s="19"/>
      <c r="R304" s="19"/>
      <c r="S304" s="19"/>
      <c r="T304" s="34" t="str">
        <f aca="false">IF($R304="","",IFERROR(INDEX(DriverCategory,MATCH($R304,DriverList,0)),"BAU"))</f>
        <v/>
      </c>
      <c r="U304" s="34" t="str">
        <f aca="false">IF($R304="","",IFERROR(INDEX(DriverRank,MATCH($R304,DriverList,0)),99))</f>
        <v/>
      </c>
      <c r="V304" s="35" t="n">
        <f aca="false">IF($H304="",0,IFERROR(INDEX(LevelBasic,MATCH($H304,LevelList,0))+INDEX(LevelHousing,MATCH($H304,LevelList,0))+INDEX(LevelTransport,MATCH($H304,LevelList,0))+INDEX(LevelBasic,MATCH($H304,LevelList,0))*INDEX(LevelBonus,MATCH($H304,LevelList,0))+(INDEX(LevelBasic,MATCH($H304,LevelList,0))+INDEX(LevelHousing,MATCH($H304,LevelList,0)))*GosiSaudi,0))</f>
        <v>0</v>
      </c>
      <c r="W304" s="35" t="n">
        <f aca="false">IFERROR(INDEX(LevelOneOff,MATCH($H304,LevelList,0)),0)</f>
        <v>0</v>
      </c>
      <c r="X304" s="35" t="str">
        <f aca="false">IF($G304="","",$V304*N($L304))</f>
        <v/>
      </c>
      <c r="Y304" s="35" t="str">
        <f aca="false">IF($G304="","",$V304*(N($M304)*1+N($N304)*0.75+N($O304)*0.5+N($P304)*0.25)+$W304*N($L304))</f>
        <v/>
      </c>
      <c r="Z304" s="35" t="str">
        <f aca="false">IF($G304="","",$U304*1000000+ROW())</f>
        <v/>
      </c>
      <c r="AA304" s="36" t="str">
        <f aca="false">IF($G304="","",MID(IF($C304="",", no division","")&amp;IF($E304="",", no unit","")&amp;IF($H304="",", no career level","")&amp;IF(N($L304)&lt;=0,", no quarter split","")&amp;IF($R304="",", no driver","")&amp;IF(AND($H304&lt;&gt;"",COUNTIF(CareerLevels,$H304)=0),", a career level that is not on the ladder","")&amp;IF(AND($R304&lt;&gt;"",COUNTIF(DriverList,$R304)=0),", a driver that is not on the list","")&amp;IF(ABS(N($L304)-(N($M304)+N($N304)+N($O304)+N($P304)))&gt;0.001,", a total that does not match its quarters",""),3,300))</f>
        <v/>
      </c>
    </row>
    <row r="305" customFormat="false" ht="15" hidden="false" customHeight="false" outlineLevel="0" collapsed="false">
      <c r="A305" s="33" t="str">
        <f aca="false">IF($G305="","","Compliance Group")</f>
        <v/>
      </c>
      <c r="B305" s="19"/>
      <c r="C305" s="19"/>
      <c r="D305" s="19"/>
      <c r="E305" s="19"/>
      <c r="F305" s="19"/>
      <c r="G305" s="19"/>
      <c r="H305" s="19"/>
      <c r="I305" s="19"/>
      <c r="J305" s="19"/>
      <c r="K305" s="19"/>
      <c r="L305" s="19"/>
      <c r="M305" s="19"/>
      <c r="N305" s="19"/>
      <c r="O305" s="19"/>
      <c r="P305" s="19"/>
      <c r="Q305" s="19"/>
      <c r="R305" s="19"/>
      <c r="S305" s="19"/>
      <c r="T305" s="34" t="str">
        <f aca="false">IF($R305="","",IFERROR(INDEX(DriverCategory,MATCH($R305,DriverList,0)),"BAU"))</f>
        <v/>
      </c>
      <c r="U305" s="34" t="str">
        <f aca="false">IF($R305="","",IFERROR(INDEX(DriverRank,MATCH($R305,DriverList,0)),99))</f>
        <v/>
      </c>
      <c r="V305" s="35" t="n">
        <f aca="false">IF($H305="",0,IFERROR(INDEX(LevelBasic,MATCH($H305,LevelList,0))+INDEX(LevelHousing,MATCH($H305,LevelList,0))+INDEX(LevelTransport,MATCH($H305,LevelList,0))+INDEX(LevelBasic,MATCH($H305,LevelList,0))*INDEX(LevelBonus,MATCH($H305,LevelList,0))+(INDEX(LevelBasic,MATCH($H305,LevelList,0))+INDEX(LevelHousing,MATCH($H305,LevelList,0)))*GosiSaudi,0))</f>
        <v>0</v>
      </c>
      <c r="W305" s="35" t="n">
        <f aca="false">IFERROR(INDEX(LevelOneOff,MATCH($H305,LevelList,0)),0)</f>
        <v>0</v>
      </c>
      <c r="X305" s="35" t="str">
        <f aca="false">IF($G305="","",$V305*N($L305))</f>
        <v/>
      </c>
      <c r="Y305" s="35" t="str">
        <f aca="false">IF($G305="","",$V305*(N($M305)*1+N($N305)*0.75+N($O305)*0.5+N($P305)*0.25)+$W305*N($L305))</f>
        <v/>
      </c>
      <c r="Z305" s="35" t="str">
        <f aca="false">IF($G305="","",$U305*1000000+ROW())</f>
        <v/>
      </c>
      <c r="AA305" s="36" t="str">
        <f aca="false">IF($G305="","",MID(IF($C305="",", no division","")&amp;IF($E305="",", no unit","")&amp;IF($H305="",", no career level","")&amp;IF(N($L305)&lt;=0,", no quarter split","")&amp;IF($R305="",", no driver","")&amp;IF(AND($H305&lt;&gt;"",COUNTIF(CareerLevels,$H305)=0),", a career level that is not on the ladder","")&amp;IF(AND($R305&lt;&gt;"",COUNTIF(DriverList,$R305)=0),", a driver that is not on the list","")&amp;IF(ABS(N($L305)-(N($M305)+N($N305)+N($O305)+N($P305)))&gt;0.001,", a total that does not match its quarters",""),3,300))</f>
        <v/>
      </c>
    </row>
    <row r="306" customFormat="false" ht="15" hidden="false" customHeight="false" outlineLevel="0" collapsed="false">
      <c r="A306" s="33" t="str">
        <f aca="false">IF($G306="","","Compliance Group")</f>
        <v/>
      </c>
      <c r="B306" s="19"/>
      <c r="C306" s="19"/>
      <c r="D306" s="19"/>
      <c r="E306" s="19"/>
      <c r="F306" s="19"/>
      <c r="G306" s="19"/>
      <c r="H306" s="19"/>
      <c r="I306" s="19"/>
      <c r="J306" s="19"/>
      <c r="K306" s="19"/>
      <c r="L306" s="19"/>
      <c r="M306" s="19"/>
      <c r="N306" s="19"/>
      <c r="O306" s="19"/>
      <c r="P306" s="19"/>
      <c r="Q306" s="19"/>
      <c r="R306" s="19"/>
      <c r="S306" s="19"/>
      <c r="T306" s="34" t="str">
        <f aca="false">IF($R306="","",IFERROR(INDEX(DriverCategory,MATCH($R306,DriverList,0)),"BAU"))</f>
        <v/>
      </c>
      <c r="U306" s="34" t="str">
        <f aca="false">IF($R306="","",IFERROR(INDEX(DriverRank,MATCH($R306,DriverList,0)),99))</f>
        <v/>
      </c>
      <c r="V306" s="35" t="n">
        <f aca="false">IF($H306="",0,IFERROR(INDEX(LevelBasic,MATCH($H306,LevelList,0))+INDEX(LevelHousing,MATCH($H306,LevelList,0))+INDEX(LevelTransport,MATCH($H306,LevelList,0))+INDEX(LevelBasic,MATCH($H306,LevelList,0))*INDEX(LevelBonus,MATCH($H306,LevelList,0))+(INDEX(LevelBasic,MATCH($H306,LevelList,0))+INDEX(LevelHousing,MATCH($H306,LevelList,0)))*GosiSaudi,0))</f>
        <v>0</v>
      </c>
      <c r="W306" s="35" t="n">
        <f aca="false">IFERROR(INDEX(LevelOneOff,MATCH($H306,LevelList,0)),0)</f>
        <v>0</v>
      </c>
      <c r="X306" s="35" t="str">
        <f aca="false">IF($G306="","",$V306*N($L306))</f>
        <v/>
      </c>
      <c r="Y306" s="35" t="str">
        <f aca="false">IF($G306="","",$V306*(N($M306)*1+N($N306)*0.75+N($O306)*0.5+N($P306)*0.25)+$W306*N($L306))</f>
        <v/>
      </c>
      <c r="Z306" s="35" t="str">
        <f aca="false">IF($G306="","",$U306*1000000+ROW())</f>
        <v/>
      </c>
      <c r="AA306" s="36" t="str">
        <f aca="false">IF($G306="","",MID(IF($C306="",", no division","")&amp;IF($E306="",", no unit","")&amp;IF($H306="",", no career level","")&amp;IF(N($L306)&lt;=0,", no quarter split","")&amp;IF($R306="",", no driver","")&amp;IF(AND($H306&lt;&gt;"",COUNTIF(CareerLevels,$H306)=0),", a career level that is not on the ladder","")&amp;IF(AND($R306&lt;&gt;"",COUNTIF(DriverList,$R306)=0),", a driver that is not on the list","")&amp;IF(ABS(N($L306)-(N($M306)+N($N306)+N($O306)+N($P306)))&gt;0.001,", a total that does not match its quarters",""),3,300))</f>
        <v/>
      </c>
    </row>
    <row r="307" customFormat="false" ht="15" hidden="false" customHeight="false" outlineLevel="0" collapsed="false">
      <c r="A307" s="33" t="str">
        <f aca="false">IF($G307="","","Compliance Group")</f>
        <v/>
      </c>
      <c r="B307" s="19"/>
      <c r="C307" s="19"/>
      <c r="D307" s="19"/>
      <c r="E307" s="19"/>
      <c r="F307" s="19"/>
      <c r="G307" s="19"/>
      <c r="H307" s="19"/>
      <c r="I307" s="19"/>
      <c r="J307" s="19"/>
      <c r="K307" s="19"/>
      <c r="L307" s="19"/>
      <c r="M307" s="19"/>
      <c r="N307" s="19"/>
      <c r="O307" s="19"/>
      <c r="P307" s="19"/>
      <c r="Q307" s="19"/>
      <c r="R307" s="19"/>
      <c r="S307" s="19"/>
      <c r="T307" s="34" t="str">
        <f aca="false">IF($R307="","",IFERROR(INDEX(DriverCategory,MATCH($R307,DriverList,0)),"BAU"))</f>
        <v/>
      </c>
      <c r="U307" s="34" t="str">
        <f aca="false">IF($R307="","",IFERROR(INDEX(DriverRank,MATCH($R307,DriverList,0)),99))</f>
        <v/>
      </c>
      <c r="V307" s="35" t="n">
        <f aca="false">IF($H307="",0,IFERROR(INDEX(LevelBasic,MATCH($H307,LevelList,0))+INDEX(LevelHousing,MATCH($H307,LevelList,0))+INDEX(LevelTransport,MATCH($H307,LevelList,0))+INDEX(LevelBasic,MATCH($H307,LevelList,0))*INDEX(LevelBonus,MATCH($H307,LevelList,0))+(INDEX(LevelBasic,MATCH($H307,LevelList,0))+INDEX(LevelHousing,MATCH($H307,LevelList,0)))*GosiSaudi,0))</f>
        <v>0</v>
      </c>
      <c r="W307" s="35" t="n">
        <f aca="false">IFERROR(INDEX(LevelOneOff,MATCH($H307,LevelList,0)),0)</f>
        <v>0</v>
      </c>
      <c r="X307" s="35" t="str">
        <f aca="false">IF($G307="","",$V307*N($L307))</f>
        <v/>
      </c>
      <c r="Y307" s="35" t="str">
        <f aca="false">IF($G307="","",$V307*(N($M307)*1+N($N307)*0.75+N($O307)*0.5+N($P307)*0.25)+$W307*N($L307))</f>
        <v/>
      </c>
      <c r="Z307" s="35" t="str">
        <f aca="false">IF($G307="","",$U307*1000000+ROW())</f>
        <v/>
      </c>
      <c r="AA307" s="36" t="str">
        <f aca="false">IF($G307="","",MID(IF($C307="",", no division","")&amp;IF($E307="",", no unit","")&amp;IF($H307="",", no career level","")&amp;IF(N($L307)&lt;=0,", no quarter split","")&amp;IF($R307="",", no driver","")&amp;IF(AND($H307&lt;&gt;"",COUNTIF(CareerLevels,$H307)=0),", a career level that is not on the ladder","")&amp;IF(AND($R307&lt;&gt;"",COUNTIF(DriverList,$R307)=0),", a driver that is not on the list","")&amp;IF(ABS(N($L307)-(N($M307)+N($N307)+N($O307)+N($P307)))&gt;0.001,", a total that does not match its quarters",""),3,300))</f>
        <v/>
      </c>
    </row>
    <row r="308" customFormat="false" ht="15" hidden="false" customHeight="false" outlineLevel="0" collapsed="false">
      <c r="A308" s="33" t="str">
        <f aca="false">IF($G308="","","Compliance Group")</f>
        <v/>
      </c>
      <c r="B308" s="19"/>
      <c r="C308" s="19"/>
      <c r="D308" s="19"/>
      <c r="E308" s="19"/>
      <c r="F308" s="19"/>
      <c r="G308" s="19"/>
      <c r="H308" s="19"/>
      <c r="I308" s="19"/>
      <c r="J308" s="19"/>
      <c r="K308" s="19"/>
      <c r="L308" s="19"/>
      <c r="M308" s="19"/>
      <c r="N308" s="19"/>
      <c r="O308" s="19"/>
      <c r="P308" s="19"/>
      <c r="Q308" s="19"/>
      <c r="R308" s="19"/>
      <c r="S308" s="19"/>
      <c r="T308" s="34" t="str">
        <f aca="false">IF($R308="","",IFERROR(INDEX(DriverCategory,MATCH($R308,DriverList,0)),"BAU"))</f>
        <v/>
      </c>
      <c r="U308" s="34" t="str">
        <f aca="false">IF($R308="","",IFERROR(INDEX(DriverRank,MATCH($R308,DriverList,0)),99))</f>
        <v/>
      </c>
      <c r="V308" s="35" t="n">
        <f aca="false">IF($H308="",0,IFERROR(INDEX(LevelBasic,MATCH($H308,LevelList,0))+INDEX(LevelHousing,MATCH($H308,LevelList,0))+INDEX(LevelTransport,MATCH($H308,LevelList,0))+INDEX(LevelBasic,MATCH($H308,LevelList,0))*INDEX(LevelBonus,MATCH($H308,LevelList,0))+(INDEX(LevelBasic,MATCH($H308,LevelList,0))+INDEX(LevelHousing,MATCH($H308,LevelList,0)))*GosiSaudi,0))</f>
        <v>0</v>
      </c>
      <c r="W308" s="35" t="n">
        <f aca="false">IFERROR(INDEX(LevelOneOff,MATCH($H308,LevelList,0)),0)</f>
        <v>0</v>
      </c>
      <c r="X308" s="35" t="str">
        <f aca="false">IF($G308="","",$V308*N($L308))</f>
        <v/>
      </c>
      <c r="Y308" s="35" t="str">
        <f aca="false">IF($G308="","",$V308*(N($M308)*1+N($N308)*0.75+N($O308)*0.5+N($P308)*0.25)+$W308*N($L308))</f>
        <v/>
      </c>
      <c r="Z308" s="35" t="str">
        <f aca="false">IF($G308="","",$U308*1000000+ROW())</f>
        <v/>
      </c>
      <c r="AA308" s="36" t="str">
        <f aca="false">IF($G308="","",MID(IF($C308="",", no division","")&amp;IF($E308="",", no unit","")&amp;IF($H308="",", no career level","")&amp;IF(N($L308)&lt;=0,", no quarter split","")&amp;IF($R308="",", no driver","")&amp;IF(AND($H308&lt;&gt;"",COUNTIF(CareerLevels,$H308)=0),", a career level that is not on the ladder","")&amp;IF(AND($R308&lt;&gt;"",COUNTIF(DriverList,$R308)=0),", a driver that is not on the list","")&amp;IF(ABS(N($L308)-(N($M308)+N($N308)+N($O308)+N($P308)))&gt;0.001,", a total that does not match its quarters",""),3,300))</f>
        <v/>
      </c>
    </row>
    <row r="309" customFormat="false" ht="15" hidden="false" customHeight="false" outlineLevel="0" collapsed="false">
      <c r="A309" s="33" t="str">
        <f aca="false">IF($G309="","","Compliance Group")</f>
        <v/>
      </c>
      <c r="B309" s="19"/>
      <c r="C309" s="19"/>
      <c r="D309" s="19"/>
      <c r="E309" s="19"/>
      <c r="F309" s="19"/>
      <c r="G309" s="19"/>
      <c r="H309" s="19"/>
      <c r="I309" s="19"/>
      <c r="J309" s="19"/>
      <c r="K309" s="19"/>
      <c r="L309" s="19"/>
      <c r="M309" s="19"/>
      <c r="N309" s="19"/>
      <c r="O309" s="19"/>
      <c r="P309" s="19"/>
      <c r="Q309" s="19"/>
      <c r="R309" s="19"/>
      <c r="S309" s="19"/>
      <c r="T309" s="34" t="str">
        <f aca="false">IF($R309="","",IFERROR(INDEX(DriverCategory,MATCH($R309,DriverList,0)),"BAU"))</f>
        <v/>
      </c>
      <c r="U309" s="34" t="str">
        <f aca="false">IF($R309="","",IFERROR(INDEX(DriverRank,MATCH($R309,DriverList,0)),99))</f>
        <v/>
      </c>
      <c r="V309" s="35" t="n">
        <f aca="false">IF($H309="",0,IFERROR(INDEX(LevelBasic,MATCH($H309,LevelList,0))+INDEX(LevelHousing,MATCH($H309,LevelList,0))+INDEX(LevelTransport,MATCH($H309,LevelList,0))+INDEX(LevelBasic,MATCH($H309,LevelList,0))*INDEX(LevelBonus,MATCH($H309,LevelList,0))+(INDEX(LevelBasic,MATCH($H309,LevelList,0))+INDEX(LevelHousing,MATCH($H309,LevelList,0)))*GosiSaudi,0))</f>
        <v>0</v>
      </c>
      <c r="W309" s="35" t="n">
        <f aca="false">IFERROR(INDEX(LevelOneOff,MATCH($H309,LevelList,0)),0)</f>
        <v>0</v>
      </c>
      <c r="X309" s="35" t="str">
        <f aca="false">IF($G309="","",$V309*N($L309))</f>
        <v/>
      </c>
      <c r="Y309" s="35" t="str">
        <f aca="false">IF($G309="","",$V309*(N($M309)*1+N($N309)*0.75+N($O309)*0.5+N($P309)*0.25)+$W309*N($L309))</f>
        <v/>
      </c>
      <c r="Z309" s="35" t="str">
        <f aca="false">IF($G309="","",$U309*1000000+ROW())</f>
        <v/>
      </c>
      <c r="AA309" s="36" t="str">
        <f aca="false">IF($G309="","",MID(IF($C309="",", no division","")&amp;IF($E309="",", no unit","")&amp;IF($H309="",", no career level","")&amp;IF(N($L309)&lt;=0,", no quarter split","")&amp;IF($R309="",", no driver","")&amp;IF(AND($H309&lt;&gt;"",COUNTIF(CareerLevels,$H309)=0),", a career level that is not on the ladder","")&amp;IF(AND($R309&lt;&gt;"",COUNTIF(DriverList,$R309)=0),", a driver that is not on the list","")&amp;IF(ABS(N($L309)-(N($M309)+N($N309)+N($O309)+N($P309)))&gt;0.001,", a total that does not match its quarters",""),3,300))</f>
        <v/>
      </c>
    </row>
    <row r="310" customFormat="false" ht="15" hidden="false" customHeight="false" outlineLevel="0" collapsed="false">
      <c r="A310" s="33" t="str">
        <f aca="false">IF($G310="","","Compliance Group")</f>
        <v/>
      </c>
      <c r="B310" s="19"/>
      <c r="C310" s="19"/>
      <c r="D310" s="19"/>
      <c r="E310" s="19"/>
      <c r="F310" s="19"/>
      <c r="G310" s="19"/>
      <c r="H310" s="19"/>
      <c r="I310" s="19"/>
      <c r="J310" s="19"/>
      <c r="K310" s="19"/>
      <c r="L310" s="19"/>
      <c r="M310" s="19"/>
      <c r="N310" s="19"/>
      <c r="O310" s="19"/>
      <c r="P310" s="19"/>
      <c r="Q310" s="19"/>
      <c r="R310" s="19"/>
      <c r="S310" s="19"/>
      <c r="T310" s="34" t="str">
        <f aca="false">IF($R310="","",IFERROR(INDEX(DriverCategory,MATCH($R310,DriverList,0)),"BAU"))</f>
        <v/>
      </c>
      <c r="U310" s="34" t="str">
        <f aca="false">IF($R310="","",IFERROR(INDEX(DriverRank,MATCH($R310,DriverList,0)),99))</f>
        <v/>
      </c>
      <c r="V310" s="35" t="n">
        <f aca="false">IF($H310="",0,IFERROR(INDEX(LevelBasic,MATCH($H310,LevelList,0))+INDEX(LevelHousing,MATCH($H310,LevelList,0))+INDEX(LevelTransport,MATCH($H310,LevelList,0))+INDEX(LevelBasic,MATCH($H310,LevelList,0))*INDEX(LevelBonus,MATCH($H310,LevelList,0))+(INDEX(LevelBasic,MATCH($H310,LevelList,0))+INDEX(LevelHousing,MATCH($H310,LevelList,0)))*GosiSaudi,0))</f>
        <v>0</v>
      </c>
      <c r="W310" s="35" t="n">
        <f aca="false">IFERROR(INDEX(LevelOneOff,MATCH($H310,LevelList,0)),0)</f>
        <v>0</v>
      </c>
      <c r="X310" s="35" t="str">
        <f aca="false">IF($G310="","",$V310*N($L310))</f>
        <v/>
      </c>
      <c r="Y310" s="35" t="str">
        <f aca="false">IF($G310="","",$V310*(N($M310)*1+N($N310)*0.75+N($O310)*0.5+N($P310)*0.25)+$W310*N($L310))</f>
        <v/>
      </c>
      <c r="Z310" s="35" t="str">
        <f aca="false">IF($G310="","",$U310*1000000+ROW())</f>
        <v/>
      </c>
      <c r="AA310" s="36" t="str">
        <f aca="false">IF($G310="","",MID(IF($C310="",", no division","")&amp;IF($E310="",", no unit","")&amp;IF($H310="",", no career level","")&amp;IF(N($L310)&lt;=0,", no quarter split","")&amp;IF($R310="",", no driver","")&amp;IF(AND($H310&lt;&gt;"",COUNTIF(CareerLevels,$H310)=0),", a career level that is not on the ladder","")&amp;IF(AND($R310&lt;&gt;"",COUNTIF(DriverList,$R310)=0),", a driver that is not on the list","")&amp;IF(ABS(N($L310)-(N($M310)+N($N310)+N($O310)+N($P310)))&gt;0.001,", a total that does not match its quarters",""),3,300))</f>
        <v/>
      </c>
    </row>
    <row r="311" customFormat="false" ht="15" hidden="false" customHeight="false" outlineLevel="0" collapsed="false">
      <c r="A311" s="33" t="str">
        <f aca="false">IF($G311="","","Compliance Group")</f>
        <v/>
      </c>
      <c r="B311" s="19"/>
      <c r="C311" s="19"/>
      <c r="D311" s="19"/>
      <c r="E311" s="19"/>
      <c r="F311" s="19"/>
      <c r="G311" s="19"/>
      <c r="H311" s="19"/>
      <c r="I311" s="19"/>
      <c r="J311" s="19"/>
      <c r="K311" s="19"/>
      <c r="L311" s="19"/>
      <c r="M311" s="19"/>
      <c r="N311" s="19"/>
      <c r="O311" s="19"/>
      <c r="P311" s="19"/>
      <c r="Q311" s="19"/>
      <c r="R311" s="19"/>
      <c r="S311" s="19"/>
      <c r="T311" s="34" t="str">
        <f aca="false">IF($R311="","",IFERROR(INDEX(DriverCategory,MATCH($R311,DriverList,0)),"BAU"))</f>
        <v/>
      </c>
      <c r="U311" s="34" t="str">
        <f aca="false">IF($R311="","",IFERROR(INDEX(DriverRank,MATCH($R311,DriverList,0)),99))</f>
        <v/>
      </c>
      <c r="V311" s="35" t="n">
        <f aca="false">IF($H311="",0,IFERROR(INDEX(LevelBasic,MATCH($H311,LevelList,0))+INDEX(LevelHousing,MATCH($H311,LevelList,0))+INDEX(LevelTransport,MATCH($H311,LevelList,0))+INDEX(LevelBasic,MATCH($H311,LevelList,0))*INDEX(LevelBonus,MATCH($H311,LevelList,0))+(INDEX(LevelBasic,MATCH($H311,LevelList,0))+INDEX(LevelHousing,MATCH($H311,LevelList,0)))*GosiSaudi,0))</f>
        <v>0</v>
      </c>
      <c r="W311" s="35" t="n">
        <f aca="false">IFERROR(INDEX(LevelOneOff,MATCH($H311,LevelList,0)),0)</f>
        <v>0</v>
      </c>
      <c r="X311" s="35" t="str">
        <f aca="false">IF($G311="","",$V311*N($L311))</f>
        <v/>
      </c>
      <c r="Y311" s="35" t="str">
        <f aca="false">IF($G311="","",$V311*(N($M311)*1+N($N311)*0.75+N($O311)*0.5+N($P311)*0.25)+$W311*N($L311))</f>
        <v/>
      </c>
      <c r="Z311" s="35" t="str">
        <f aca="false">IF($G311="","",$U311*1000000+ROW())</f>
        <v/>
      </c>
      <c r="AA311" s="36" t="str">
        <f aca="false">IF($G311="","",MID(IF($C311="",", no division","")&amp;IF($E311="",", no unit","")&amp;IF($H311="",", no career level","")&amp;IF(N($L311)&lt;=0,", no quarter split","")&amp;IF($R311="",", no driver","")&amp;IF(AND($H311&lt;&gt;"",COUNTIF(CareerLevels,$H311)=0),", a career level that is not on the ladder","")&amp;IF(AND($R311&lt;&gt;"",COUNTIF(DriverList,$R311)=0),", a driver that is not on the list","")&amp;IF(ABS(N($L311)-(N($M311)+N($N311)+N($O311)+N($P311)))&gt;0.001,", a total that does not match its quarters",""),3,300))</f>
        <v/>
      </c>
    </row>
    <row r="312" customFormat="false" ht="15" hidden="false" customHeight="false" outlineLevel="0" collapsed="false">
      <c r="A312" s="33" t="str">
        <f aca="false">IF($G312="","","Compliance Group")</f>
        <v/>
      </c>
      <c r="B312" s="19"/>
      <c r="C312" s="19"/>
      <c r="D312" s="19"/>
      <c r="E312" s="19"/>
      <c r="F312" s="19"/>
      <c r="G312" s="19"/>
      <c r="H312" s="19"/>
      <c r="I312" s="19"/>
      <c r="J312" s="19"/>
      <c r="K312" s="19"/>
      <c r="L312" s="19"/>
      <c r="M312" s="19"/>
      <c r="N312" s="19"/>
      <c r="O312" s="19"/>
      <c r="P312" s="19"/>
      <c r="Q312" s="19"/>
      <c r="R312" s="19"/>
      <c r="S312" s="19"/>
      <c r="T312" s="34" t="str">
        <f aca="false">IF($R312="","",IFERROR(INDEX(DriverCategory,MATCH($R312,DriverList,0)),"BAU"))</f>
        <v/>
      </c>
      <c r="U312" s="34" t="str">
        <f aca="false">IF($R312="","",IFERROR(INDEX(DriverRank,MATCH($R312,DriverList,0)),99))</f>
        <v/>
      </c>
      <c r="V312" s="35" t="n">
        <f aca="false">IF($H312="",0,IFERROR(INDEX(LevelBasic,MATCH($H312,LevelList,0))+INDEX(LevelHousing,MATCH($H312,LevelList,0))+INDEX(LevelTransport,MATCH($H312,LevelList,0))+INDEX(LevelBasic,MATCH($H312,LevelList,0))*INDEX(LevelBonus,MATCH($H312,LevelList,0))+(INDEX(LevelBasic,MATCH($H312,LevelList,0))+INDEX(LevelHousing,MATCH($H312,LevelList,0)))*GosiSaudi,0))</f>
        <v>0</v>
      </c>
      <c r="W312" s="35" t="n">
        <f aca="false">IFERROR(INDEX(LevelOneOff,MATCH($H312,LevelList,0)),0)</f>
        <v>0</v>
      </c>
      <c r="X312" s="35" t="str">
        <f aca="false">IF($G312="","",$V312*N($L312))</f>
        <v/>
      </c>
      <c r="Y312" s="35" t="str">
        <f aca="false">IF($G312="","",$V312*(N($M312)*1+N($N312)*0.75+N($O312)*0.5+N($P312)*0.25)+$W312*N($L312))</f>
        <v/>
      </c>
      <c r="Z312" s="35" t="str">
        <f aca="false">IF($G312="","",$U312*1000000+ROW())</f>
        <v/>
      </c>
      <c r="AA312" s="36" t="str">
        <f aca="false">IF($G312="","",MID(IF($C312="",", no division","")&amp;IF($E312="",", no unit","")&amp;IF($H312="",", no career level","")&amp;IF(N($L312)&lt;=0,", no quarter split","")&amp;IF($R312="",", no driver","")&amp;IF(AND($H312&lt;&gt;"",COUNTIF(CareerLevels,$H312)=0),", a career level that is not on the ladder","")&amp;IF(AND($R312&lt;&gt;"",COUNTIF(DriverList,$R312)=0),", a driver that is not on the list","")&amp;IF(ABS(N($L312)-(N($M312)+N($N312)+N($O312)+N($P312)))&gt;0.001,", a total that does not match its quarters",""),3,300))</f>
        <v/>
      </c>
    </row>
    <row r="313" customFormat="false" ht="15" hidden="false" customHeight="false" outlineLevel="0" collapsed="false">
      <c r="A313" s="33" t="str">
        <f aca="false">IF($G313="","","Compliance Group")</f>
        <v/>
      </c>
      <c r="B313" s="19"/>
      <c r="C313" s="19"/>
      <c r="D313" s="19"/>
      <c r="E313" s="19"/>
      <c r="F313" s="19"/>
      <c r="G313" s="19"/>
      <c r="H313" s="19"/>
      <c r="I313" s="19"/>
      <c r="J313" s="19"/>
      <c r="K313" s="19"/>
      <c r="L313" s="19"/>
      <c r="M313" s="19"/>
      <c r="N313" s="19"/>
      <c r="O313" s="19"/>
      <c r="P313" s="19"/>
      <c r="Q313" s="19"/>
      <c r="R313" s="19"/>
      <c r="S313" s="19"/>
      <c r="T313" s="34" t="str">
        <f aca="false">IF($R313="","",IFERROR(INDEX(DriverCategory,MATCH($R313,DriverList,0)),"BAU"))</f>
        <v/>
      </c>
      <c r="U313" s="34" t="str">
        <f aca="false">IF($R313="","",IFERROR(INDEX(DriverRank,MATCH($R313,DriverList,0)),99))</f>
        <v/>
      </c>
      <c r="V313" s="35" t="n">
        <f aca="false">IF($H313="",0,IFERROR(INDEX(LevelBasic,MATCH($H313,LevelList,0))+INDEX(LevelHousing,MATCH($H313,LevelList,0))+INDEX(LevelTransport,MATCH($H313,LevelList,0))+INDEX(LevelBasic,MATCH($H313,LevelList,0))*INDEX(LevelBonus,MATCH($H313,LevelList,0))+(INDEX(LevelBasic,MATCH($H313,LevelList,0))+INDEX(LevelHousing,MATCH($H313,LevelList,0)))*GosiSaudi,0))</f>
        <v>0</v>
      </c>
      <c r="W313" s="35" t="n">
        <f aca="false">IFERROR(INDEX(LevelOneOff,MATCH($H313,LevelList,0)),0)</f>
        <v>0</v>
      </c>
      <c r="X313" s="35" t="str">
        <f aca="false">IF($G313="","",$V313*N($L313))</f>
        <v/>
      </c>
      <c r="Y313" s="35" t="str">
        <f aca="false">IF($G313="","",$V313*(N($M313)*1+N($N313)*0.75+N($O313)*0.5+N($P313)*0.25)+$W313*N($L313))</f>
        <v/>
      </c>
      <c r="Z313" s="35" t="str">
        <f aca="false">IF($G313="","",$U313*1000000+ROW())</f>
        <v/>
      </c>
      <c r="AA313" s="36" t="str">
        <f aca="false">IF($G313="","",MID(IF($C313="",", no division","")&amp;IF($E313="",", no unit","")&amp;IF($H313="",", no career level","")&amp;IF(N($L313)&lt;=0,", no quarter split","")&amp;IF($R313="",", no driver","")&amp;IF(AND($H313&lt;&gt;"",COUNTIF(CareerLevels,$H313)=0),", a career level that is not on the ladder","")&amp;IF(AND($R313&lt;&gt;"",COUNTIF(DriverList,$R313)=0),", a driver that is not on the list","")&amp;IF(ABS(N($L313)-(N($M313)+N($N313)+N($O313)+N($P313)))&gt;0.001,", a total that does not match its quarters",""),3,300))</f>
        <v/>
      </c>
    </row>
    <row r="314" customFormat="false" ht="15" hidden="false" customHeight="false" outlineLevel="0" collapsed="false">
      <c r="A314" s="33" t="str">
        <f aca="false">IF($G314="","","Compliance Group")</f>
        <v/>
      </c>
      <c r="B314" s="19"/>
      <c r="C314" s="19"/>
      <c r="D314" s="19"/>
      <c r="E314" s="19"/>
      <c r="F314" s="19"/>
      <c r="G314" s="19"/>
      <c r="H314" s="19"/>
      <c r="I314" s="19"/>
      <c r="J314" s="19"/>
      <c r="K314" s="19"/>
      <c r="L314" s="19"/>
      <c r="M314" s="19"/>
      <c r="N314" s="19"/>
      <c r="O314" s="19"/>
      <c r="P314" s="19"/>
      <c r="Q314" s="19"/>
      <c r="R314" s="19"/>
      <c r="S314" s="19"/>
      <c r="T314" s="34" t="str">
        <f aca="false">IF($R314="","",IFERROR(INDEX(DriverCategory,MATCH($R314,DriverList,0)),"BAU"))</f>
        <v/>
      </c>
      <c r="U314" s="34" t="str">
        <f aca="false">IF($R314="","",IFERROR(INDEX(DriverRank,MATCH($R314,DriverList,0)),99))</f>
        <v/>
      </c>
      <c r="V314" s="35" t="n">
        <f aca="false">IF($H314="",0,IFERROR(INDEX(LevelBasic,MATCH($H314,LevelList,0))+INDEX(LevelHousing,MATCH($H314,LevelList,0))+INDEX(LevelTransport,MATCH($H314,LevelList,0))+INDEX(LevelBasic,MATCH($H314,LevelList,0))*INDEX(LevelBonus,MATCH($H314,LevelList,0))+(INDEX(LevelBasic,MATCH($H314,LevelList,0))+INDEX(LevelHousing,MATCH($H314,LevelList,0)))*GosiSaudi,0))</f>
        <v>0</v>
      </c>
      <c r="W314" s="35" t="n">
        <f aca="false">IFERROR(INDEX(LevelOneOff,MATCH($H314,LevelList,0)),0)</f>
        <v>0</v>
      </c>
      <c r="X314" s="35" t="str">
        <f aca="false">IF($G314="","",$V314*N($L314))</f>
        <v/>
      </c>
      <c r="Y314" s="35" t="str">
        <f aca="false">IF($G314="","",$V314*(N($M314)*1+N($N314)*0.75+N($O314)*0.5+N($P314)*0.25)+$W314*N($L314))</f>
        <v/>
      </c>
      <c r="Z314" s="35" t="str">
        <f aca="false">IF($G314="","",$U314*1000000+ROW())</f>
        <v/>
      </c>
      <c r="AA314" s="36" t="str">
        <f aca="false">IF($G314="","",MID(IF($C314="",", no division","")&amp;IF($E314="",", no unit","")&amp;IF($H314="",", no career level","")&amp;IF(N($L314)&lt;=0,", no quarter split","")&amp;IF($R314="",", no driver","")&amp;IF(AND($H314&lt;&gt;"",COUNTIF(CareerLevels,$H314)=0),", a career level that is not on the ladder","")&amp;IF(AND($R314&lt;&gt;"",COUNTIF(DriverList,$R314)=0),", a driver that is not on the list","")&amp;IF(ABS(N($L314)-(N($M314)+N($N314)+N($O314)+N($P314)))&gt;0.001,", a total that does not match its quarters",""),3,300))</f>
        <v/>
      </c>
    </row>
    <row r="315" customFormat="false" ht="15" hidden="false" customHeight="false" outlineLevel="0" collapsed="false">
      <c r="A315" s="33" t="str">
        <f aca="false">IF($G315="","","Compliance Group")</f>
        <v/>
      </c>
      <c r="B315" s="19"/>
      <c r="C315" s="19"/>
      <c r="D315" s="19"/>
      <c r="E315" s="19"/>
      <c r="F315" s="19"/>
      <c r="G315" s="19"/>
      <c r="H315" s="19"/>
      <c r="I315" s="19"/>
      <c r="J315" s="19"/>
      <c r="K315" s="19"/>
      <c r="L315" s="19"/>
      <c r="M315" s="19"/>
      <c r="N315" s="19"/>
      <c r="O315" s="19"/>
      <c r="P315" s="19"/>
      <c r="Q315" s="19"/>
      <c r="R315" s="19"/>
      <c r="S315" s="19"/>
      <c r="T315" s="34" t="str">
        <f aca="false">IF($R315="","",IFERROR(INDEX(DriverCategory,MATCH($R315,DriverList,0)),"BAU"))</f>
        <v/>
      </c>
      <c r="U315" s="34" t="str">
        <f aca="false">IF($R315="","",IFERROR(INDEX(DriverRank,MATCH($R315,DriverList,0)),99))</f>
        <v/>
      </c>
      <c r="V315" s="35" t="n">
        <f aca="false">IF($H315="",0,IFERROR(INDEX(LevelBasic,MATCH($H315,LevelList,0))+INDEX(LevelHousing,MATCH($H315,LevelList,0))+INDEX(LevelTransport,MATCH($H315,LevelList,0))+INDEX(LevelBasic,MATCH($H315,LevelList,0))*INDEX(LevelBonus,MATCH($H315,LevelList,0))+(INDEX(LevelBasic,MATCH($H315,LevelList,0))+INDEX(LevelHousing,MATCH($H315,LevelList,0)))*GosiSaudi,0))</f>
        <v>0</v>
      </c>
      <c r="W315" s="35" t="n">
        <f aca="false">IFERROR(INDEX(LevelOneOff,MATCH($H315,LevelList,0)),0)</f>
        <v>0</v>
      </c>
      <c r="X315" s="35" t="str">
        <f aca="false">IF($G315="","",$V315*N($L315))</f>
        <v/>
      </c>
      <c r="Y315" s="35" t="str">
        <f aca="false">IF($G315="","",$V315*(N($M315)*1+N($N315)*0.75+N($O315)*0.5+N($P315)*0.25)+$W315*N($L315))</f>
        <v/>
      </c>
      <c r="Z315" s="35" t="str">
        <f aca="false">IF($G315="","",$U315*1000000+ROW())</f>
        <v/>
      </c>
      <c r="AA315" s="36" t="str">
        <f aca="false">IF($G315="","",MID(IF($C315="",", no division","")&amp;IF($E315="",", no unit","")&amp;IF($H315="",", no career level","")&amp;IF(N($L315)&lt;=0,", no quarter split","")&amp;IF($R315="",", no driver","")&amp;IF(AND($H315&lt;&gt;"",COUNTIF(CareerLevels,$H315)=0),", a career level that is not on the ladder","")&amp;IF(AND($R315&lt;&gt;"",COUNTIF(DriverList,$R315)=0),", a driver that is not on the list","")&amp;IF(ABS(N($L315)-(N($M315)+N($N315)+N($O315)+N($P315)))&gt;0.001,", a total that does not match its quarters",""),3,300))</f>
        <v/>
      </c>
    </row>
    <row r="316" customFormat="false" ht="15" hidden="false" customHeight="false" outlineLevel="0" collapsed="false">
      <c r="A316" s="33" t="str">
        <f aca="false">IF($G316="","","Compliance Group")</f>
        <v/>
      </c>
      <c r="B316" s="19"/>
      <c r="C316" s="19"/>
      <c r="D316" s="19"/>
      <c r="E316" s="19"/>
      <c r="F316" s="19"/>
      <c r="G316" s="19"/>
      <c r="H316" s="19"/>
      <c r="I316" s="19"/>
      <c r="J316" s="19"/>
      <c r="K316" s="19"/>
      <c r="L316" s="19"/>
      <c r="M316" s="19"/>
      <c r="N316" s="19"/>
      <c r="O316" s="19"/>
      <c r="P316" s="19"/>
      <c r="Q316" s="19"/>
      <c r="R316" s="19"/>
      <c r="S316" s="19"/>
      <c r="T316" s="34" t="str">
        <f aca="false">IF($R316="","",IFERROR(INDEX(DriverCategory,MATCH($R316,DriverList,0)),"BAU"))</f>
        <v/>
      </c>
      <c r="U316" s="34" t="str">
        <f aca="false">IF($R316="","",IFERROR(INDEX(DriverRank,MATCH($R316,DriverList,0)),99))</f>
        <v/>
      </c>
      <c r="V316" s="35" t="n">
        <f aca="false">IF($H316="",0,IFERROR(INDEX(LevelBasic,MATCH($H316,LevelList,0))+INDEX(LevelHousing,MATCH($H316,LevelList,0))+INDEX(LevelTransport,MATCH($H316,LevelList,0))+INDEX(LevelBasic,MATCH($H316,LevelList,0))*INDEX(LevelBonus,MATCH($H316,LevelList,0))+(INDEX(LevelBasic,MATCH($H316,LevelList,0))+INDEX(LevelHousing,MATCH($H316,LevelList,0)))*GosiSaudi,0))</f>
        <v>0</v>
      </c>
      <c r="W316" s="35" t="n">
        <f aca="false">IFERROR(INDEX(LevelOneOff,MATCH($H316,LevelList,0)),0)</f>
        <v>0</v>
      </c>
      <c r="X316" s="35" t="str">
        <f aca="false">IF($G316="","",$V316*N($L316))</f>
        <v/>
      </c>
      <c r="Y316" s="35" t="str">
        <f aca="false">IF($G316="","",$V316*(N($M316)*1+N($N316)*0.75+N($O316)*0.5+N($P316)*0.25)+$W316*N($L316))</f>
        <v/>
      </c>
      <c r="Z316" s="35" t="str">
        <f aca="false">IF($G316="","",$U316*1000000+ROW())</f>
        <v/>
      </c>
      <c r="AA316" s="36" t="str">
        <f aca="false">IF($G316="","",MID(IF($C316="",", no division","")&amp;IF($E316="",", no unit","")&amp;IF($H316="",", no career level","")&amp;IF(N($L316)&lt;=0,", no quarter split","")&amp;IF($R316="",", no driver","")&amp;IF(AND($H316&lt;&gt;"",COUNTIF(CareerLevels,$H316)=0),", a career level that is not on the ladder","")&amp;IF(AND($R316&lt;&gt;"",COUNTIF(DriverList,$R316)=0),", a driver that is not on the list","")&amp;IF(ABS(N($L316)-(N($M316)+N($N316)+N($O316)+N($P316)))&gt;0.001,", a total that does not match its quarters",""),3,300))</f>
        <v/>
      </c>
    </row>
    <row r="317" customFormat="false" ht="15" hidden="false" customHeight="false" outlineLevel="0" collapsed="false">
      <c r="A317" s="33" t="str">
        <f aca="false">IF($G317="","","Compliance Group")</f>
        <v/>
      </c>
      <c r="B317" s="19"/>
      <c r="C317" s="19"/>
      <c r="D317" s="19"/>
      <c r="E317" s="19"/>
      <c r="F317" s="19"/>
      <c r="G317" s="19"/>
      <c r="H317" s="19"/>
      <c r="I317" s="19"/>
      <c r="J317" s="19"/>
      <c r="K317" s="19"/>
      <c r="L317" s="19"/>
      <c r="M317" s="19"/>
      <c r="N317" s="19"/>
      <c r="O317" s="19"/>
      <c r="P317" s="19"/>
      <c r="Q317" s="19"/>
      <c r="R317" s="19"/>
      <c r="S317" s="19"/>
      <c r="T317" s="34" t="str">
        <f aca="false">IF($R317="","",IFERROR(INDEX(DriverCategory,MATCH($R317,DriverList,0)),"BAU"))</f>
        <v/>
      </c>
      <c r="U317" s="34" t="str">
        <f aca="false">IF($R317="","",IFERROR(INDEX(DriverRank,MATCH($R317,DriverList,0)),99))</f>
        <v/>
      </c>
      <c r="V317" s="35" t="n">
        <f aca="false">IF($H317="",0,IFERROR(INDEX(LevelBasic,MATCH($H317,LevelList,0))+INDEX(LevelHousing,MATCH($H317,LevelList,0))+INDEX(LevelTransport,MATCH($H317,LevelList,0))+INDEX(LevelBasic,MATCH($H317,LevelList,0))*INDEX(LevelBonus,MATCH($H317,LevelList,0))+(INDEX(LevelBasic,MATCH($H317,LevelList,0))+INDEX(LevelHousing,MATCH($H317,LevelList,0)))*GosiSaudi,0))</f>
        <v>0</v>
      </c>
      <c r="W317" s="35" t="n">
        <f aca="false">IFERROR(INDEX(LevelOneOff,MATCH($H317,LevelList,0)),0)</f>
        <v>0</v>
      </c>
      <c r="X317" s="35" t="str">
        <f aca="false">IF($G317="","",$V317*N($L317))</f>
        <v/>
      </c>
      <c r="Y317" s="35" t="str">
        <f aca="false">IF($G317="","",$V317*(N($M317)*1+N($N317)*0.75+N($O317)*0.5+N($P317)*0.25)+$W317*N($L317))</f>
        <v/>
      </c>
      <c r="Z317" s="35" t="str">
        <f aca="false">IF($G317="","",$U317*1000000+ROW())</f>
        <v/>
      </c>
      <c r="AA317" s="36" t="str">
        <f aca="false">IF($G317="","",MID(IF($C317="",", no division","")&amp;IF($E317="",", no unit","")&amp;IF($H317="",", no career level","")&amp;IF(N($L317)&lt;=0,", no quarter split","")&amp;IF($R317="",", no driver","")&amp;IF(AND($H317&lt;&gt;"",COUNTIF(CareerLevels,$H317)=0),", a career level that is not on the ladder","")&amp;IF(AND($R317&lt;&gt;"",COUNTIF(DriverList,$R317)=0),", a driver that is not on the list","")&amp;IF(ABS(N($L317)-(N($M317)+N($N317)+N($O317)+N($P317)))&gt;0.001,", a total that does not match its quarters",""),3,300))</f>
        <v/>
      </c>
    </row>
    <row r="318" customFormat="false" ht="15" hidden="false" customHeight="false" outlineLevel="0" collapsed="false">
      <c r="A318" s="33" t="str">
        <f aca="false">IF($G318="","","Compliance Group")</f>
        <v/>
      </c>
      <c r="B318" s="19"/>
      <c r="C318" s="19"/>
      <c r="D318" s="19"/>
      <c r="E318" s="19"/>
      <c r="F318" s="19"/>
      <c r="G318" s="19"/>
      <c r="H318" s="19"/>
      <c r="I318" s="19"/>
      <c r="J318" s="19"/>
      <c r="K318" s="19"/>
      <c r="L318" s="19"/>
      <c r="M318" s="19"/>
      <c r="N318" s="19"/>
      <c r="O318" s="19"/>
      <c r="P318" s="19"/>
      <c r="Q318" s="19"/>
      <c r="R318" s="19"/>
      <c r="S318" s="19"/>
      <c r="T318" s="34" t="str">
        <f aca="false">IF($R318="","",IFERROR(INDEX(DriverCategory,MATCH($R318,DriverList,0)),"BAU"))</f>
        <v/>
      </c>
      <c r="U318" s="34" t="str">
        <f aca="false">IF($R318="","",IFERROR(INDEX(DriverRank,MATCH($R318,DriverList,0)),99))</f>
        <v/>
      </c>
      <c r="V318" s="35" t="n">
        <f aca="false">IF($H318="",0,IFERROR(INDEX(LevelBasic,MATCH($H318,LevelList,0))+INDEX(LevelHousing,MATCH($H318,LevelList,0))+INDEX(LevelTransport,MATCH($H318,LevelList,0))+INDEX(LevelBasic,MATCH($H318,LevelList,0))*INDEX(LevelBonus,MATCH($H318,LevelList,0))+(INDEX(LevelBasic,MATCH($H318,LevelList,0))+INDEX(LevelHousing,MATCH($H318,LevelList,0)))*GosiSaudi,0))</f>
        <v>0</v>
      </c>
      <c r="W318" s="35" t="n">
        <f aca="false">IFERROR(INDEX(LevelOneOff,MATCH($H318,LevelList,0)),0)</f>
        <v>0</v>
      </c>
      <c r="X318" s="35" t="str">
        <f aca="false">IF($G318="","",$V318*N($L318))</f>
        <v/>
      </c>
      <c r="Y318" s="35" t="str">
        <f aca="false">IF($G318="","",$V318*(N($M318)*1+N($N318)*0.75+N($O318)*0.5+N($P318)*0.25)+$W318*N($L318))</f>
        <v/>
      </c>
      <c r="Z318" s="35" t="str">
        <f aca="false">IF($G318="","",$U318*1000000+ROW())</f>
        <v/>
      </c>
      <c r="AA318" s="36" t="str">
        <f aca="false">IF($G318="","",MID(IF($C318="",", no division","")&amp;IF($E318="",", no unit","")&amp;IF($H318="",", no career level","")&amp;IF(N($L318)&lt;=0,", no quarter split","")&amp;IF($R318="",", no driver","")&amp;IF(AND($H318&lt;&gt;"",COUNTIF(CareerLevels,$H318)=0),", a career level that is not on the ladder","")&amp;IF(AND($R318&lt;&gt;"",COUNTIF(DriverList,$R318)=0),", a driver that is not on the list","")&amp;IF(ABS(N($L318)-(N($M318)+N($N318)+N($O318)+N($P318)))&gt;0.001,", a total that does not match its quarters",""),3,300))</f>
        <v/>
      </c>
    </row>
    <row r="319" customFormat="false" ht="15" hidden="false" customHeight="false" outlineLevel="0" collapsed="false">
      <c r="A319" s="33" t="str">
        <f aca="false">IF($G319="","","Compliance Group")</f>
        <v/>
      </c>
      <c r="B319" s="19"/>
      <c r="C319" s="19"/>
      <c r="D319" s="19"/>
      <c r="E319" s="19"/>
      <c r="F319" s="19"/>
      <c r="G319" s="19"/>
      <c r="H319" s="19"/>
      <c r="I319" s="19"/>
      <c r="J319" s="19"/>
      <c r="K319" s="19"/>
      <c r="L319" s="19"/>
      <c r="M319" s="19"/>
      <c r="N319" s="19"/>
      <c r="O319" s="19"/>
      <c r="P319" s="19"/>
      <c r="Q319" s="19"/>
      <c r="R319" s="19"/>
      <c r="S319" s="19"/>
      <c r="T319" s="34" t="str">
        <f aca="false">IF($R319="","",IFERROR(INDEX(DriverCategory,MATCH($R319,DriverList,0)),"BAU"))</f>
        <v/>
      </c>
      <c r="U319" s="34" t="str">
        <f aca="false">IF($R319="","",IFERROR(INDEX(DriverRank,MATCH($R319,DriverList,0)),99))</f>
        <v/>
      </c>
      <c r="V319" s="35" t="n">
        <f aca="false">IF($H319="",0,IFERROR(INDEX(LevelBasic,MATCH($H319,LevelList,0))+INDEX(LevelHousing,MATCH($H319,LevelList,0))+INDEX(LevelTransport,MATCH($H319,LevelList,0))+INDEX(LevelBasic,MATCH($H319,LevelList,0))*INDEX(LevelBonus,MATCH($H319,LevelList,0))+(INDEX(LevelBasic,MATCH($H319,LevelList,0))+INDEX(LevelHousing,MATCH($H319,LevelList,0)))*GosiSaudi,0))</f>
        <v>0</v>
      </c>
      <c r="W319" s="35" t="n">
        <f aca="false">IFERROR(INDEX(LevelOneOff,MATCH($H319,LevelList,0)),0)</f>
        <v>0</v>
      </c>
      <c r="X319" s="35" t="str">
        <f aca="false">IF($G319="","",$V319*N($L319))</f>
        <v/>
      </c>
      <c r="Y319" s="35" t="str">
        <f aca="false">IF($G319="","",$V319*(N($M319)*1+N($N319)*0.75+N($O319)*0.5+N($P319)*0.25)+$W319*N($L319))</f>
        <v/>
      </c>
      <c r="Z319" s="35" t="str">
        <f aca="false">IF($G319="","",$U319*1000000+ROW())</f>
        <v/>
      </c>
      <c r="AA319" s="36" t="str">
        <f aca="false">IF($G319="","",MID(IF($C319="",", no division","")&amp;IF($E319="",", no unit","")&amp;IF($H319="",", no career level","")&amp;IF(N($L319)&lt;=0,", no quarter split","")&amp;IF($R319="",", no driver","")&amp;IF(AND($H319&lt;&gt;"",COUNTIF(CareerLevels,$H319)=0),", a career level that is not on the ladder","")&amp;IF(AND($R319&lt;&gt;"",COUNTIF(DriverList,$R319)=0),", a driver that is not on the list","")&amp;IF(ABS(N($L319)-(N($M319)+N($N319)+N($O319)+N($P319)))&gt;0.001,", a total that does not match its quarters",""),3,300))</f>
        <v/>
      </c>
    </row>
    <row r="320" customFormat="false" ht="15" hidden="false" customHeight="false" outlineLevel="0" collapsed="false">
      <c r="A320" s="33" t="str">
        <f aca="false">IF($G320="","","Compliance Group")</f>
        <v/>
      </c>
      <c r="B320" s="19"/>
      <c r="C320" s="19"/>
      <c r="D320" s="19"/>
      <c r="E320" s="19"/>
      <c r="F320" s="19"/>
      <c r="G320" s="19"/>
      <c r="H320" s="19"/>
      <c r="I320" s="19"/>
      <c r="J320" s="19"/>
      <c r="K320" s="19"/>
      <c r="L320" s="19"/>
      <c r="M320" s="19"/>
      <c r="N320" s="19"/>
      <c r="O320" s="19"/>
      <c r="P320" s="19"/>
      <c r="Q320" s="19"/>
      <c r="R320" s="19"/>
      <c r="S320" s="19"/>
      <c r="T320" s="34" t="str">
        <f aca="false">IF($R320="","",IFERROR(INDEX(DriverCategory,MATCH($R320,DriverList,0)),"BAU"))</f>
        <v/>
      </c>
      <c r="U320" s="34" t="str">
        <f aca="false">IF($R320="","",IFERROR(INDEX(DriverRank,MATCH($R320,DriverList,0)),99))</f>
        <v/>
      </c>
      <c r="V320" s="35" t="n">
        <f aca="false">IF($H320="",0,IFERROR(INDEX(LevelBasic,MATCH($H320,LevelList,0))+INDEX(LevelHousing,MATCH($H320,LevelList,0))+INDEX(LevelTransport,MATCH($H320,LevelList,0))+INDEX(LevelBasic,MATCH($H320,LevelList,0))*INDEX(LevelBonus,MATCH($H320,LevelList,0))+(INDEX(LevelBasic,MATCH($H320,LevelList,0))+INDEX(LevelHousing,MATCH($H320,LevelList,0)))*GosiSaudi,0))</f>
        <v>0</v>
      </c>
      <c r="W320" s="35" t="n">
        <f aca="false">IFERROR(INDEX(LevelOneOff,MATCH($H320,LevelList,0)),0)</f>
        <v>0</v>
      </c>
      <c r="X320" s="35" t="str">
        <f aca="false">IF($G320="","",$V320*N($L320))</f>
        <v/>
      </c>
      <c r="Y320" s="35" t="str">
        <f aca="false">IF($G320="","",$V320*(N($M320)*1+N($N320)*0.75+N($O320)*0.5+N($P320)*0.25)+$W320*N($L320))</f>
        <v/>
      </c>
      <c r="Z320" s="35" t="str">
        <f aca="false">IF($G320="","",$U320*1000000+ROW())</f>
        <v/>
      </c>
      <c r="AA320" s="36" t="str">
        <f aca="false">IF($G320="","",MID(IF($C320="",", no division","")&amp;IF($E320="",", no unit","")&amp;IF($H320="",", no career level","")&amp;IF(N($L320)&lt;=0,", no quarter split","")&amp;IF($R320="",", no driver","")&amp;IF(AND($H320&lt;&gt;"",COUNTIF(CareerLevels,$H320)=0),", a career level that is not on the ladder","")&amp;IF(AND($R320&lt;&gt;"",COUNTIF(DriverList,$R320)=0),", a driver that is not on the list","")&amp;IF(ABS(N($L320)-(N($M320)+N($N320)+N($O320)+N($P320)))&gt;0.001,", a total that does not match its quarters",""),3,300))</f>
        <v/>
      </c>
    </row>
    <row r="321" customFormat="false" ht="15" hidden="false" customHeight="false" outlineLevel="0" collapsed="false">
      <c r="A321" s="33" t="str">
        <f aca="false">IF($G321="","","Compliance Group")</f>
        <v/>
      </c>
      <c r="B321" s="19"/>
      <c r="C321" s="19"/>
      <c r="D321" s="19"/>
      <c r="E321" s="19"/>
      <c r="F321" s="19"/>
      <c r="G321" s="19"/>
      <c r="H321" s="19"/>
      <c r="I321" s="19"/>
      <c r="J321" s="19"/>
      <c r="K321" s="19"/>
      <c r="L321" s="19"/>
      <c r="M321" s="19"/>
      <c r="N321" s="19"/>
      <c r="O321" s="19"/>
      <c r="P321" s="19"/>
      <c r="Q321" s="19"/>
      <c r="R321" s="19"/>
      <c r="S321" s="19"/>
      <c r="T321" s="34" t="str">
        <f aca="false">IF($R321="","",IFERROR(INDEX(DriverCategory,MATCH($R321,DriverList,0)),"BAU"))</f>
        <v/>
      </c>
      <c r="U321" s="34" t="str">
        <f aca="false">IF($R321="","",IFERROR(INDEX(DriverRank,MATCH($R321,DriverList,0)),99))</f>
        <v/>
      </c>
      <c r="V321" s="35" t="n">
        <f aca="false">IF($H321="",0,IFERROR(INDEX(LevelBasic,MATCH($H321,LevelList,0))+INDEX(LevelHousing,MATCH($H321,LevelList,0))+INDEX(LevelTransport,MATCH($H321,LevelList,0))+INDEX(LevelBasic,MATCH($H321,LevelList,0))*INDEX(LevelBonus,MATCH($H321,LevelList,0))+(INDEX(LevelBasic,MATCH($H321,LevelList,0))+INDEX(LevelHousing,MATCH($H321,LevelList,0)))*GosiSaudi,0))</f>
        <v>0</v>
      </c>
      <c r="W321" s="35" t="n">
        <f aca="false">IFERROR(INDEX(LevelOneOff,MATCH($H321,LevelList,0)),0)</f>
        <v>0</v>
      </c>
      <c r="X321" s="35" t="str">
        <f aca="false">IF($G321="","",$V321*N($L321))</f>
        <v/>
      </c>
      <c r="Y321" s="35" t="str">
        <f aca="false">IF($G321="","",$V321*(N($M321)*1+N($N321)*0.75+N($O321)*0.5+N($P321)*0.25)+$W321*N($L321))</f>
        <v/>
      </c>
      <c r="Z321" s="35" t="str">
        <f aca="false">IF($G321="","",$U321*1000000+ROW())</f>
        <v/>
      </c>
      <c r="AA321" s="36" t="str">
        <f aca="false">IF($G321="","",MID(IF($C321="",", no division","")&amp;IF($E321="",", no unit","")&amp;IF($H321="",", no career level","")&amp;IF(N($L321)&lt;=0,", no quarter split","")&amp;IF($R321="",", no driver","")&amp;IF(AND($H321&lt;&gt;"",COUNTIF(CareerLevels,$H321)=0),", a career level that is not on the ladder","")&amp;IF(AND($R321&lt;&gt;"",COUNTIF(DriverList,$R321)=0),", a driver that is not on the list","")&amp;IF(ABS(N($L321)-(N($M321)+N($N321)+N($O321)+N($P321)))&gt;0.001,", a total that does not match its quarters",""),3,300))</f>
        <v/>
      </c>
    </row>
    <row r="322" customFormat="false" ht="15" hidden="false" customHeight="false" outlineLevel="0" collapsed="false">
      <c r="A322" s="33" t="str">
        <f aca="false">IF($G322="","","Compliance Group")</f>
        <v/>
      </c>
      <c r="B322" s="19"/>
      <c r="C322" s="19"/>
      <c r="D322" s="19"/>
      <c r="E322" s="19"/>
      <c r="F322" s="19"/>
      <c r="G322" s="19"/>
      <c r="H322" s="19"/>
      <c r="I322" s="19"/>
      <c r="J322" s="19"/>
      <c r="K322" s="19"/>
      <c r="L322" s="19"/>
      <c r="M322" s="19"/>
      <c r="N322" s="19"/>
      <c r="O322" s="19"/>
      <c r="P322" s="19"/>
      <c r="Q322" s="19"/>
      <c r="R322" s="19"/>
      <c r="S322" s="19"/>
      <c r="T322" s="34" t="str">
        <f aca="false">IF($R322="","",IFERROR(INDEX(DriverCategory,MATCH($R322,DriverList,0)),"BAU"))</f>
        <v/>
      </c>
      <c r="U322" s="34" t="str">
        <f aca="false">IF($R322="","",IFERROR(INDEX(DriverRank,MATCH($R322,DriverList,0)),99))</f>
        <v/>
      </c>
      <c r="V322" s="35" t="n">
        <f aca="false">IF($H322="",0,IFERROR(INDEX(LevelBasic,MATCH($H322,LevelList,0))+INDEX(LevelHousing,MATCH($H322,LevelList,0))+INDEX(LevelTransport,MATCH($H322,LevelList,0))+INDEX(LevelBasic,MATCH($H322,LevelList,0))*INDEX(LevelBonus,MATCH($H322,LevelList,0))+(INDEX(LevelBasic,MATCH($H322,LevelList,0))+INDEX(LevelHousing,MATCH($H322,LevelList,0)))*GosiSaudi,0))</f>
        <v>0</v>
      </c>
      <c r="W322" s="35" t="n">
        <f aca="false">IFERROR(INDEX(LevelOneOff,MATCH($H322,LevelList,0)),0)</f>
        <v>0</v>
      </c>
      <c r="X322" s="35" t="str">
        <f aca="false">IF($G322="","",$V322*N($L322))</f>
        <v/>
      </c>
      <c r="Y322" s="35" t="str">
        <f aca="false">IF($G322="","",$V322*(N($M322)*1+N($N322)*0.75+N($O322)*0.5+N($P322)*0.25)+$W322*N($L322))</f>
        <v/>
      </c>
      <c r="Z322" s="35" t="str">
        <f aca="false">IF($G322="","",$U322*1000000+ROW())</f>
        <v/>
      </c>
      <c r="AA322" s="36" t="str">
        <f aca="false">IF($G322="","",MID(IF($C322="",", no division","")&amp;IF($E322="",", no unit","")&amp;IF($H322="",", no career level","")&amp;IF(N($L322)&lt;=0,", no quarter split","")&amp;IF($R322="",", no driver","")&amp;IF(AND($H322&lt;&gt;"",COUNTIF(CareerLevels,$H322)=0),", a career level that is not on the ladder","")&amp;IF(AND($R322&lt;&gt;"",COUNTIF(DriverList,$R322)=0),", a driver that is not on the list","")&amp;IF(ABS(N($L322)-(N($M322)+N($N322)+N($O322)+N($P322)))&gt;0.001,", a total that does not match its quarters",""),3,300))</f>
        <v/>
      </c>
    </row>
    <row r="323" customFormat="false" ht="15" hidden="false" customHeight="false" outlineLevel="0" collapsed="false">
      <c r="A323" s="33" t="str">
        <f aca="false">IF($G323="","","Compliance Group")</f>
        <v/>
      </c>
      <c r="B323" s="19"/>
      <c r="C323" s="19"/>
      <c r="D323" s="19"/>
      <c r="E323" s="19"/>
      <c r="F323" s="19"/>
      <c r="G323" s="19"/>
      <c r="H323" s="19"/>
      <c r="I323" s="19"/>
      <c r="J323" s="19"/>
      <c r="K323" s="19"/>
      <c r="L323" s="19"/>
      <c r="M323" s="19"/>
      <c r="N323" s="19"/>
      <c r="O323" s="19"/>
      <c r="P323" s="19"/>
      <c r="Q323" s="19"/>
      <c r="R323" s="19"/>
      <c r="S323" s="19"/>
      <c r="T323" s="34" t="str">
        <f aca="false">IF($R323="","",IFERROR(INDEX(DriverCategory,MATCH($R323,DriverList,0)),"BAU"))</f>
        <v/>
      </c>
      <c r="U323" s="34" t="str">
        <f aca="false">IF($R323="","",IFERROR(INDEX(DriverRank,MATCH($R323,DriverList,0)),99))</f>
        <v/>
      </c>
      <c r="V323" s="35" t="n">
        <f aca="false">IF($H323="",0,IFERROR(INDEX(LevelBasic,MATCH($H323,LevelList,0))+INDEX(LevelHousing,MATCH($H323,LevelList,0))+INDEX(LevelTransport,MATCH($H323,LevelList,0))+INDEX(LevelBasic,MATCH($H323,LevelList,0))*INDEX(LevelBonus,MATCH($H323,LevelList,0))+(INDEX(LevelBasic,MATCH($H323,LevelList,0))+INDEX(LevelHousing,MATCH($H323,LevelList,0)))*GosiSaudi,0))</f>
        <v>0</v>
      </c>
      <c r="W323" s="35" t="n">
        <f aca="false">IFERROR(INDEX(LevelOneOff,MATCH($H323,LevelList,0)),0)</f>
        <v>0</v>
      </c>
      <c r="X323" s="35" t="str">
        <f aca="false">IF($G323="","",$V323*N($L323))</f>
        <v/>
      </c>
      <c r="Y323" s="35" t="str">
        <f aca="false">IF($G323="","",$V323*(N($M323)*1+N($N323)*0.75+N($O323)*0.5+N($P323)*0.25)+$W323*N($L323))</f>
        <v/>
      </c>
      <c r="Z323" s="35" t="str">
        <f aca="false">IF($G323="","",$U323*1000000+ROW())</f>
        <v/>
      </c>
      <c r="AA323" s="36" t="str">
        <f aca="false">IF($G323="","",MID(IF($C323="",", no division","")&amp;IF($E323="",", no unit","")&amp;IF($H323="",", no career level","")&amp;IF(N($L323)&lt;=0,", no quarter split","")&amp;IF($R323="",", no driver","")&amp;IF(AND($H323&lt;&gt;"",COUNTIF(CareerLevels,$H323)=0),", a career level that is not on the ladder","")&amp;IF(AND($R323&lt;&gt;"",COUNTIF(DriverList,$R323)=0),", a driver that is not on the list","")&amp;IF(ABS(N($L323)-(N($M323)+N($N323)+N($O323)+N($P323)))&gt;0.001,", a total that does not match its quarters",""),3,300))</f>
        <v/>
      </c>
    </row>
    <row r="324" customFormat="false" ht="15" hidden="false" customHeight="false" outlineLevel="0" collapsed="false">
      <c r="A324" s="33" t="str">
        <f aca="false">IF($G324="","","Compliance Group")</f>
        <v/>
      </c>
      <c r="B324" s="19"/>
      <c r="C324" s="19"/>
      <c r="D324" s="19"/>
      <c r="E324" s="19"/>
      <c r="F324" s="19"/>
      <c r="G324" s="19"/>
      <c r="H324" s="19"/>
      <c r="I324" s="19"/>
      <c r="J324" s="19"/>
      <c r="K324" s="19"/>
      <c r="L324" s="19"/>
      <c r="M324" s="19"/>
      <c r="N324" s="19"/>
      <c r="O324" s="19"/>
      <c r="P324" s="19"/>
      <c r="Q324" s="19"/>
      <c r="R324" s="19"/>
      <c r="S324" s="19"/>
      <c r="T324" s="34" t="str">
        <f aca="false">IF($R324="","",IFERROR(INDEX(DriverCategory,MATCH($R324,DriverList,0)),"BAU"))</f>
        <v/>
      </c>
      <c r="U324" s="34" t="str">
        <f aca="false">IF($R324="","",IFERROR(INDEX(DriverRank,MATCH($R324,DriverList,0)),99))</f>
        <v/>
      </c>
      <c r="V324" s="35" t="n">
        <f aca="false">IF($H324="",0,IFERROR(INDEX(LevelBasic,MATCH($H324,LevelList,0))+INDEX(LevelHousing,MATCH($H324,LevelList,0))+INDEX(LevelTransport,MATCH($H324,LevelList,0))+INDEX(LevelBasic,MATCH($H324,LevelList,0))*INDEX(LevelBonus,MATCH($H324,LevelList,0))+(INDEX(LevelBasic,MATCH($H324,LevelList,0))+INDEX(LevelHousing,MATCH($H324,LevelList,0)))*GosiSaudi,0))</f>
        <v>0</v>
      </c>
      <c r="W324" s="35" t="n">
        <f aca="false">IFERROR(INDEX(LevelOneOff,MATCH($H324,LevelList,0)),0)</f>
        <v>0</v>
      </c>
      <c r="X324" s="35" t="str">
        <f aca="false">IF($G324="","",$V324*N($L324))</f>
        <v/>
      </c>
      <c r="Y324" s="35" t="str">
        <f aca="false">IF($G324="","",$V324*(N($M324)*1+N($N324)*0.75+N($O324)*0.5+N($P324)*0.25)+$W324*N($L324))</f>
        <v/>
      </c>
      <c r="Z324" s="35" t="str">
        <f aca="false">IF($G324="","",$U324*1000000+ROW())</f>
        <v/>
      </c>
      <c r="AA324" s="36" t="str">
        <f aca="false">IF($G324="","",MID(IF($C324="",", no division","")&amp;IF($E324="",", no unit","")&amp;IF($H324="",", no career level","")&amp;IF(N($L324)&lt;=0,", no quarter split","")&amp;IF($R324="",", no driver","")&amp;IF(AND($H324&lt;&gt;"",COUNTIF(CareerLevels,$H324)=0),", a career level that is not on the ladder","")&amp;IF(AND($R324&lt;&gt;"",COUNTIF(DriverList,$R324)=0),", a driver that is not on the list","")&amp;IF(ABS(N($L324)-(N($M324)+N($N324)+N($O324)+N($P324)))&gt;0.001,", a total that does not match its quarters",""),3,300))</f>
        <v/>
      </c>
    </row>
    <row r="325" customFormat="false" ht="15" hidden="false" customHeight="false" outlineLevel="0" collapsed="false">
      <c r="A325" s="33" t="str">
        <f aca="false">IF($G325="","","Compliance Group")</f>
        <v/>
      </c>
      <c r="B325" s="19"/>
      <c r="C325" s="19"/>
      <c r="D325" s="19"/>
      <c r="E325" s="19"/>
      <c r="F325" s="19"/>
      <c r="G325" s="19"/>
      <c r="H325" s="19"/>
      <c r="I325" s="19"/>
      <c r="J325" s="19"/>
      <c r="K325" s="19"/>
      <c r="L325" s="19"/>
      <c r="M325" s="19"/>
      <c r="N325" s="19"/>
      <c r="O325" s="19"/>
      <c r="P325" s="19"/>
      <c r="Q325" s="19"/>
      <c r="R325" s="19"/>
      <c r="S325" s="19"/>
      <c r="T325" s="34" t="str">
        <f aca="false">IF($R325="","",IFERROR(INDEX(DriverCategory,MATCH($R325,DriverList,0)),"BAU"))</f>
        <v/>
      </c>
      <c r="U325" s="34" t="str">
        <f aca="false">IF($R325="","",IFERROR(INDEX(DriverRank,MATCH($R325,DriverList,0)),99))</f>
        <v/>
      </c>
      <c r="V325" s="35" t="n">
        <f aca="false">IF($H325="",0,IFERROR(INDEX(LevelBasic,MATCH($H325,LevelList,0))+INDEX(LevelHousing,MATCH($H325,LevelList,0))+INDEX(LevelTransport,MATCH($H325,LevelList,0))+INDEX(LevelBasic,MATCH($H325,LevelList,0))*INDEX(LevelBonus,MATCH($H325,LevelList,0))+(INDEX(LevelBasic,MATCH($H325,LevelList,0))+INDEX(LevelHousing,MATCH($H325,LevelList,0)))*GosiSaudi,0))</f>
        <v>0</v>
      </c>
      <c r="W325" s="35" t="n">
        <f aca="false">IFERROR(INDEX(LevelOneOff,MATCH($H325,LevelList,0)),0)</f>
        <v>0</v>
      </c>
      <c r="X325" s="35" t="str">
        <f aca="false">IF($G325="","",$V325*N($L325))</f>
        <v/>
      </c>
      <c r="Y325" s="35" t="str">
        <f aca="false">IF($G325="","",$V325*(N($M325)*1+N($N325)*0.75+N($O325)*0.5+N($P325)*0.25)+$W325*N($L325))</f>
        <v/>
      </c>
      <c r="Z325" s="35" t="str">
        <f aca="false">IF($G325="","",$U325*1000000+ROW())</f>
        <v/>
      </c>
      <c r="AA325" s="36" t="str">
        <f aca="false">IF($G325="","",MID(IF($C325="",", no division","")&amp;IF($E325="",", no unit","")&amp;IF($H325="",", no career level","")&amp;IF(N($L325)&lt;=0,", no quarter split","")&amp;IF($R325="",", no driver","")&amp;IF(AND($H325&lt;&gt;"",COUNTIF(CareerLevels,$H325)=0),", a career level that is not on the ladder","")&amp;IF(AND($R325&lt;&gt;"",COUNTIF(DriverList,$R325)=0),", a driver that is not on the list","")&amp;IF(ABS(N($L325)-(N($M325)+N($N325)+N($O325)+N($P325)))&gt;0.001,", a total that does not match its quarters",""),3,300))</f>
        <v/>
      </c>
    </row>
    <row r="326" customFormat="false" ht="15" hidden="false" customHeight="false" outlineLevel="0" collapsed="false">
      <c r="A326" s="33" t="str">
        <f aca="false">IF($G326="","","Compliance Group")</f>
        <v/>
      </c>
      <c r="B326" s="19"/>
      <c r="C326" s="19"/>
      <c r="D326" s="19"/>
      <c r="E326" s="19"/>
      <c r="F326" s="19"/>
      <c r="G326" s="19"/>
      <c r="H326" s="19"/>
      <c r="I326" s="19"/>
      <c r="J326" s="19"/>
      <c r="K326" s="19"/>
      <c r="L326" s="19"/>
      <c r="M326" s="19"/>
      <c r="N326" s="19"/>
      <c r="O326" s="19"/>
      <c r="P326" s="19"/>
      <c r="Q326" s="19"/>
      <c r="R326" s="19"/>
      <c r="S326" s="19"/>
      <c r="T326" s="34" t="str">
        <f aca="false">IF($R326="","",IFERROR(INDEX(DriverCategory,MATCH($R326,DriverList,0)),"BAU"))</f>
        <v/>
      </c>
      <c r="U326" s="34" t="str">
        <f aca="false">IF($R326="","",IFERROR(INDEX(DriverRank,MATCH($R326,DriverList,0)),99))</f>
        <v/>
      </c>
      <c r="V326" s="35" t="n">
        <f aca="false">IF($H326="",0,IFERROR(INDEX(LevelBasic,MATCH($H326,LevelList,0))+INDEX(LevelHousing,MATCH($H326,LevelList,0))+INDEX(LevelTransport,MATCH($H326,LevelList,0))+INDEX(LevelBasic,MATCH($H326,LevelList,0))*INDEX(LevelBonus,MATCH($H326,LevelList,0))+(INDEX(LevelBasic,MATCH($H326,LevelList,0))+INDEX(LevelHousing,MATCH($H326,LevelList,0)))*GosiSaudi,0))</f>
        <v>0</v>
      </c>
      <c r="W326" s="35" t="n">
        <f aca="false">IFERROR(INDEX(LevelOneOff,MATCH($H326,LevelList,0)),0)</f>
        <v>0</v>
      </c>
      <c r="X326" s="35" t="str">
        <f aca="false">IF($G326="","",$V326*N($L326))</f>
        <v/>
      </c>
      <c r="Y326" s="35" t="str">
        <f aca="false">IF($G326="","",$V326*(N($M326)*1+N($N326)*0.75+N($O326)*0.5+N($P326)*0.25)+$W326*N($L326))</f>
        <v/>
      </c>
      <c r="Z326" s="35" t="str">
        <f aca="false">IF($G326="","",$U326*1000000+ROW())</f>
        <v/>
      </c>
      <c r="AA326" s="36" t="str">
        <f aca="false">IF($G326="","",MID(IF($C326="",", no division","")&amp;IF($E326="",", no unit","")&amp;IF($H326="",", no career level","")&amp;IF(N($L326)&lt;=0,", no quarter split","")&amp;IF($R326="",", no driver","")&amp;IF(AND($H326&lt;&gt;"",COUNTIF(CareerLevels,$H326)=0),", a career level that is not on the ladder","")&amp;IF(AND($R326&lt;&gt;"",COUNTIF(DriverList,$R326)=0),", a driver that is not on the list","")&amp;IF(ABS(N($L326)-(N($M326)+N($N326)+N($O326)+N($P326)))&gt;0.001,", a total that does not match its quarters",""),3,300))</f>
        <v/>
      </c>
    </row>
    <row r="327" customFormat="false" ht="15" hidden="false" customHeight="false" outlineLevel="0" collapsed="false">
      <c r="A327" s="33" t="str">
        <f aca="false">IF($G327="","","Compliance Group")</f>
        <v/>
      </c>
      <c r="B327" s="19"/>
      <c r="C327" s="19"/>
      <c r="D327" s="19"/>
      <c r="E327" s="19"/>
      <c r="F327" s="19"/>
      <c r="G327" s="19"/>
      <c r="H327" s="19"/>
      <c r="I327" s="19"/>
      <c r="J327" s="19"/>
      <c r="K327" s="19"/>
      <c r="L327" s="19"/>
      <c r="M327" s="19"/>
      <c r="N327" s="19"/>
      <c r="O327" s="19"/>
      <c r="P327" s="19"/>
      <c r="Q327" s="19"/>
      <c r="R327" s="19"/>
      <c r="S327" s="19"/>
      <c r="T327" s="34" t="str">
        <f aca="false">IF($R327="","",IFERROR(INDEX(DriverCategory,MATCH($R327,DriverList,0)),"BAU"))</f>
        <v/>
      </c>
      <c r="U327" s="34" t="str">
        <f aca="false">IF($R327="","",IFERROR(INDEX(DriverRank,MATCH($R327,DriverList,0)),99))</f>
        <v/>
      </c>
      <c r="V327" s="35" t="n">
        <f aca="false">IF($H327="",0,IFERROR(INDEX(LevelBasic,MATCH($H327,LevelList,0))+INDEX(LevelHousing,MATCH($H327,LevelList,0))+INDEX(LevelTransport,MATCH($H327,LevelList,0))+INDEX(LevelBasic,MATCH($H327,LevelList,0))*INDEX(LevelBonus,MATCH($H327,LevelList,0))+(INDEX(LevelBasic,MATCH($H327,LevelList,0))+INDEX(LevelHousing,MATCH($H327,LevelList,0)))*GosiSaudi,0))</f>
        <v>0</v>
      </c>
      <c r="W327" s="35" t="n">
        <f aca="false">IFERROR(INDEX(LevelOneOff,MATCH($H327,LevelList,0)),0)</f>
        <v>0</v>
      </c>
      <c r="X327" s="35" t="str">
        <f aca="false">IF($G327="","",$V327*N($L327))</f>
        <v/>
      </c>
      <c r="Y327" s="35" t="str">
        <f aca="false">IF($G327="","",$V327*(N($M327)*1+N($N327)*0.75+N($O327)*0.5+N($P327)*0.25)+$W327*N($L327))</f>
        <v/>
      </c>
      <c r="Z327" s="35" t="str">
        <f aca="false">IF($G327="","",$U327*1000000+ROW())</f>
        <v/>
      </c>
      <c r="AA327" s="36" t="str">
        <f aca="false">IF($G327="","",MID(IF($C327="",", no division","")&amp;IF($E327="",", no unit","")&amp;IF($H327="",", no career level","")&amp;IF(N($L327)&lt;=0,", no quarter split","")&amp;IF($R327="",", no driver","")&amp;IF(AND($H327&lt;&gt;"",COUNTIF(CareerLevels,$H327)=0),", a career level that is not on the ladder","")&amp;IF(AND($R327&lt;&gt;"",COUNTIF(DriverList,$R327)=0),", a driver that is not on the list","")&amp;IF(ABS(N($L327)-(N($M327)+N($N327)+N($O327)+N($P327)))&gt;0.001,", a total that does not match its quarters",""),3,300))</f>
        <v/>
      </c>
    </row>
    <row r="328" customFormat="false" ht="15" hidden="false" customHeight="false" outlineLevel="0" collapsed="false">
      <c r="A328" s="33" t="str">
        <f aca="false">IF($G328="","","Compliance Group")</f>
        <v/>
      </c>
      <c r="B328" s="19"/>
      <c r="C328" s="19"/>
      <c r="D328" s="19"/>
      <c r="E328" s="19"/>
      <c r="F328" s="19"/>
      <c r="G328" s="19"/>
      <c r="H328" s="19"/>
      <c r="I328" s="19"/>
      <c r="J328" s="19"/>
      <c r="K328" s="19"/>
      <c r="L328" s="19"/>
      <c r="M328" s="19"/>
      <c r="N328" s="19"/>
      <c r="O328" s="19"/>
      <c r="P328" s="19"/>
      <c r="Q328" s="19"/>
      <c r="R328" s="19"/>
      <c r="S328" s="19"/>
      <c r="T328" s="34" t="str">
        <f aca="false">IF($R328="","",IFERROR(INDEX(DriverCategory,MATCH($R328,DriverList,0)),"BAU"))</f>
        <v/>
      </c>
      <c r="U328" s="34" t="str">
        <f aca="false">IF($R328="","",IFERROR(INDEX(DriverRank,MATCH($R328,DriverList,0)),99))</f>
        <v/>
      </c>
      <c r="V328" s="35" t="n">
        <f aca="false">IF($H328="",0,IFERROR(INDEX(LevelBasic,MATCH($H328,LevelList,0))+INDEX(LevelHousing,MATCH($H328,LevelList,0))+INDEX(LevelTransport,MATCH($H328,LevelList,0))+INDEX(LevelBasic,MATCH($H328,LevelList,0))*INDEX(LevelBonus,MATCH($H328,LevelList,0))+(INDEX(LevelBasic,MATCH($H328,LevelList,0))+INDEX(LevelHousing,MATCH($H328,LevelList,0)))*GosiSaudi,0))</f>
        <v>0</v>
      </c>
      <c r="W328" s="35" t="n">
        <f aca="false">IFERROR(INDEX(LevelOneOff,MATCH($H328,LevelList,0)),0)</f>
        <v>0</v>
      </c>
      <c r="X328" s="35" t="str">
        <f aca="false">IF($G328="","",$V328*N($L328))</f>
        <v/>
      </c>
      <c r="Y328" s="35" t="str">
        <f aca="false">IF($G328="","",$V328*(N($M328)*1+N($N328)*0.75+N($O328)*0.5+N($P328)*0.25)+$W328*N($L328))</f>
        <v/>
      </c>
      <c r="Z328" s="35" t="str">
        <f aca="false">IF($G328="","",$U328*1000000+ROW())</f>
        <v/>
      </c>
      <c r="AA328" s="36" t="str">
        <f aca="false">IF($G328="","",MID(IF($C328="",", no division","")&amp;IF($E328="",", no unit","")&amp;IF($H328="",", no career level","")&amp;IF(N($L328)&lt;=0,", no quarter split","")&amp;IF($R328="",", no driver","")&amp;IF(AND($H328&lt;&gt;"",COUNTIF(CareerLevels,$H328)=0),", a career level that is not on the ladder","")&amp;IF(AND($R328&lt;&gt;"",COUNTIF(DriverList,$R328)=0),", a driver that is not on the list","")&amp;IF(ABS(N($L328)-(N($M328)+N($N328)+N($O328)+N($P328)))&gt;0.001,", a total that does not match its quarters",""),3,300))</f>
        <v/>
      </c>
    </row>
    <row r="329" customFormat="false" ht="15" hidden="false" customHeight="false" outlineLevel="0" collapsed="false">
      <c r="A329" s="33" t="str">
        <f aca="false">IF($G329="","","Compliance Group")</f>
        <v/>
      </c>
      <c r="B329" s="19"/>
      <c r="C329" s="19"/>
      <c r="D329" s="19"/>
      <c r="E329" s="19"/>
      <c r="F329" s="19"/>
      <c r="G329" s="19"/>
      <c r="H329" s="19"/>
      <c r="I329" s="19"/>
      <c r="J329" s="19"/>
      <c r="K329" s="19"/>
      <c r="L329" s="19"/>
      <c r="M329" s="19"/>
      <c r="N329" s="19"/>
      <c r="O329" s="19"/>
      <c r="P329" s="19"/>
      <c r="Q329" s="19"/>
      <c r="R329" s="19"/>
      <c r="S329" s="19"/>
      <c r="T329" s="34" t="str">
        <f aca="false">IF($R329="","",IFERROR(INDEX(DriverCategory,MATCH($R329,DriverList,0)),"BAU"))</f>
        <v/>
      </c>
      <c r="U329" s="34" t="str">
        <f aca="false">IF($R329="","",IFERROR(INDEX(DriverRank,MATCH($R329,DriverList,0)),99))</f>
        <v/>
      </c>
      <c r="V329" s="35" t="n">
        <f aca="false">IF($H329="",0,IFERROR(INDEX(LevelBasic,MATCH($H329,LevelList,0))+INDEX(LevelHousing,MATCH($H329,LevelList,0))+INDEX(LevelTransport,MATCH($H329,LevelList,0))+INDEX(LevelBasic,MATCH($H329,LevelList,0))*INDEX(LevelBonus,MATCH($H329,LevelList,0))+(INDEX(LevelBasic,MATCH($H329,LevelList,0))+INDEX(LevelHousing,MATCH($H329,LevelList,0)))*GosiSaudi,0))</f>
        <v>0</v>
      </c>
      <c r="W329" s="35" t="n">
        <f aca="false">IFERROR(INDEX(LevelOneOff,MATCH($H329,LevelList,0)),0)</f>
        <v>0</v>
      </c>
      <c r="X329" s="35" t="str">
        <f aca="false">IF($G329="","",$V329*N($L329))</f>
        <v/>
      </c>
      <c r="Y329" s="35" t="str">
        <f aca="false">IF($G329="","",$V329*(N($M329)*1+N($N329)*0.75+N($O329)*0.5+N($P329)*0.25)+$W329*N($L329))</f>
        <v/>
      </c>
      <c r="Z329" s="35" t="str">
        <f aca="false">IF($G329="","",$U329*1000000+ROW())</f>
        <v/>
      </c>
      <c r="AA329" s="36" t="str">
        <f aca="false">IF($G329="","",MID(IF($C329="",", no division","")&amp;IF($E329="",", no unit","")&amp;IF($H329="",", no career level","")&amp;IF(N($L329)&lt;=0,", no quarter split","")&amp;IF($R329="",", no driver","")&amp;IF(AND($H329&lt;&gt;"",COUNTIF(CareerLevels,$H329)=0),", a career level that is not on the ladder","")&amp;IF(AND($R329&lt;&gt;"",COUNTIF(DriverList,$R329)=0),", a driver that is not on the list","")&amp;IF(ABS(N($L329)-(N($M329)+N($N329)+N($O329)+N($P329)))&gt;0.001,", a total that does not match its quarters",""),3,300))</f>
        <v/>
      </c>
    </row>
    <row r="330" customFormat="false" ht="15" hidden="false" customHeight="false" outlineLevel="0" collapsed="false">
      <c r="A330" s="33" t="str">
        <f aca="false">IF($G330="","","Compliance Group")</f>
        <v/>
      </c>
      <c r="B330" s="19"/>
      <c r="C330" s="19"/>
      <c r="D330" s="19"/>
      <c r="E330" s="19"/>
      <c r="F330" s="19"/>
      <c r="G330" s="19"/>
      <c r="H330" s="19"/>
      <c r="I330" s="19"/>
      <c r="J330" s="19"/>
      <c r="K330" s="19"/>
      <c r="L330" s="19"/>
      <c r="M330" s="19"/>
      <c r="N330" s="19"/>
      <c r="O330" s="19"/>
      <c r="P330" s="19"/>
      <c r="Q330" s="19"/>
      <c r="R330" s="19"/>
      <c r="S330" s="19"/>
      <c r="T330" s="34" t="str">
        <f aca="false">IF($R330="","",IFERROR(INDEX(DriverCategory,MATCH($R330,DriverList,0)),"BAU"))</f>
        <v/>
      </c>
      <c r="U330" s="34" t="str">
        <f aca="false">IF($R330="","",IFERROR(INDEX(DriverRank,MATCH($R330,DriverList,0)),99))</f>
        <v/>
      </c>
      <c r="V330" s="35" t="n">
        <f aca="false">IF($H330="",0,IFERROR(INDEX(LevelBasic,MATCH($H330,LevelList,0))+INDEX(LevelHousing,MATCH($H330,LevelList,0))+INDEX(LevelTransport,MATCH($H330,LevelList,0))+INDEX(LevelBasic,MATCH($H330,LevelList,0))*INDEX(LevelBonus,MATCH($H330,LevelList,0))+(INDEX(LevelBasic,MATCH($H330,LevelList,0))+INDEX(LevelHousing,MATCH($H330,LevelList,0)))*GosiSaudi,0))</f>
        <v>0</v>
      </c>
      <c r="W330" s="35" t="n">
        <f aca="false">IFERROR(INDEX(LevelOneOff,MATCH($H330,LevelList,0)),0)</f>
        <v>0</v>
      </c>
      <c r="X330" s="35" t="str">
        <f aca="false">IF($G330="","",$V330*N($L330))</f>
        <v/>
      </c>
      <c r="Y330" s="35" t="str">
        <f aca="false">IF($G330="","",$V330*(N($M330)*1+N($N330)*0.75+N($O330)*0.5+N($P330)*0.25)+$W330*N($L330))</f>
        <v/>
      </c>
      <c r="Z330" s="35" t="str">
        <f aca="false">IF($G330="","",$U330*1000000+ROW())</f>
        <v/>
      </c>
      <c r="AA330" s="36" t="str">
        <f aca="false">IF($G330="","",MID(IF($C330="",", no division","")&amp;IF($E330="",", no unit","")&amp;IF($H330="",", no career level","")&amp;IF(N($L330)&lt;=0,", no quarter split","")&amp;IF($R330="",", no driver","")&amp;IF(AND($H330&lt;&gt;"",COUNTIF(CareerLevels,$H330)=0),", a career level that is not on the ladder","")&amp;IF(AND($R330&lt;&gt;"",COUNTIF(DriverList,$R330)=0),", a driver that is not on the list","")&amp;IF(ABS(N($L330)-(N($M330)+N($N330)+N($O330)+N($P330)))&gt;0.001,", a total that does not match its quarters",""),3,300))</f>
        <v/>
      </c>
    </row>
    <row r="331" customFormat="false" ht="15" hidden="false" customHeight="false" outlineLevel="0" collapsed="false">
      <c r="A331" s="33" t="str">
        <f aca="false">IF($G331="","","Compliance Group")</f>
        <v/>
      </c>
      <c r="B331" s="19"/>
      <c r="C331" s="19"/>
      <c r="D331" s="19"/>
      <c r="E331" s="19"/>
      <c r="F331" s="19"/>
      <c r="G331" s="19"/>
      <c r="H331" s="19"/>
      <c r="I331" s="19"/>
      <c r="J331" s="19"/>
      <c r="K331" s="19"/>
      <c r="L331" s="19"/>
      <c r="M331" s="19"/>
      <c r="N331" s="19"/>
      <c r="O331" s="19"/>
      <c r="P331" s="19"/>
      <c r="Q331" s="19"/>
      <c r="R331" s="19"/>
      <c r="S331" s="19"/>
      <c r="T331" s="34" t="str">
        <f aca="false">IF($R331="","",IFERROR(INDEX(DriverCategory,MATCH($R331,DriverList,0)),"BAU"))</f>
        <v/>
      </c>
      <c r="U331" s="34" t="str">
        <f aca="false">IF($R331="","",IFERROR(INDEX(DriverRank,MATCH($R331,DriverList,0)),99))</f>
        <v/>
      </c>
      <c r="V331" s="35" t="n">
        <f aca="false">IF($H331="",0,IFERROR(INDEX(LevelBasic,MATCH($H331,LevelList,0))+INDEX(LevelHousing,MATCH($H331,LevelList,0))+INDEX(LevelTransport,MATCH($H331,LevelList,0))+INDEX(LevelBasic,MATCH($H331,LevelList,0))*INDEX(LevelBonus,MATCH($H331,LevelList,0))+(INDEX(LevelBasic,MATCH($H331,LevelList,0))+INDEX(LevelHousing,MATCH($H331,LevelList,0)))*GosiSaudi,0))</f>
        <v>0</v>
      </c>
      <c r="W331" s="35" t="n">
        <f aca="false">IFERROR(INDEX(LevelOneOff,MATCH($H331,LevelList,0)),0)</f>
        <v>0</v>
      </c>
      <c r="X331" s="35" t="str">
        <f aca="false">IF($G331="","",$V331*N($L331))</f>
        <v/>
      </c>
      <c r="Y331" s="35" t="str">
        <f aca="false">IF($G331="","",$V331*(N($M331)*1+N($N331)*0.75+N($O331)*0.5+N($P331)*0.25)+$W331*N($L331))</f>
        <v/>
      </c>
      <c r="Z331" s="35" t="str">
        <f aca="false">IF($G331="","",$U331*1000000+ROW())</f>
        <v/>
      </c>
      <c r="AA331" s="36" t="str">
        <f aca="false">IF($G331="","",MID(IF($C331="",", no division","")&amp;IF($E331="",", no unit","")&amp;IF($H331="",", no career level","")&amp;IF(N($L331)&lt;=0,", no quarter split","")&amp;IF($R331="",", no driver","")&amp;IF(AND($H331&lt;&gt;"",COUNTIF(CareerLevels,$H331)=0),", a career level that is not on the ladder","")&amp;IF(AND($R331&lt;&gt;"",COUNTIF(DriverList,$R331)=0),", a driver that is not on the list","")&amp;IF(ABS(N($L331)-(N($M331)+N($N331)+N($O331)+N($P331)))&gt;0.001,", a total that does not match its quarters",""),3,300))</f>
        <v/>
      </c>
    </row>
    <row r="332" customFormat="false" ht="15" hidden="false" customHeight="false" outlineLevel="0" collapsed="false">
      <c r="A332" s="33" t="str">
        <f aca="false">IF($G332="","","Compliance Group")</f>
        <v/>
      </c>
      <c r="B332" s="19"/>
      <c r="C332" s="19"/>
      <c r="D332" s="19"/>
      <c r="E332" s="19"/>
      <c r="F332" s="19"/>
      <c r="G332" s="19"/>
      <c r="H332" s="19"/>
      <c r="I332" s="19"/>
      <c r="J332" s="19"/>
      <c r="K332" s="19"/>
      <c r="L332" s="19"/>
      <c r="M332" s="19"/>
      <c r="N332" s="19"/>
      <c r="O332" s="19"/>
      <c r="P332" s="19"/>
      <c r="Q332" s="19"/>
      <c r="R332" s="19"/>
      <c r="S332" s="19"/>
      <c r="T332" s="34" t="str">
        <f aca="false">IF($R332="","",IFERROR(INDEX(DriverCategory,MATCH($R332,DriverList,0)),"BAU"))</f>
        <v/>
      </c>
      <c r="U332" s="34" t="str">
        <f aca="false">IF($R332="","",IFERROR(INDEX(DriverRank,MATCH($R332,DriverList,0)),99))</f>
        <v/>
      </c>
      <c r="V332" s="35" t="n">
        <f aca="false">IF($H332="",0,IFERROR(INDEX(LevelBasic,MATCH($H332,LevelList,0))+INDEX(LevelHousing,MATCH($H332,LevelList,0))+INDEX(LevelTransport,MATCH($H332,LevelList,0))+INDEX(LevelBasic,MATCH($H332,LevelList,0))*INDEX(LevelBonus,MATCH($H332,LevelList,0))+(INDEX(LevelBasic,MATCH($H332,LevelList,0))+INDEX(LevelHousing,MATCH($H332,LevelList,0)))*GosiSaudi,0))</f>
        <v>0</v>
      </c>
      <c r="W332" s="35" t="n">
        <f aca="false">IFERROR(INDEX(LevelOneOff,MATCH($H332,LevelList,0)),0)</f>
        <v>0</v>
      </c>
      <c r="X332" s="35" t="str">
        <f aca="false">IF($G332="","",$V332*N($L332))</f>
        <v/>
      </c>
      <c r="Y332" s="35" t="str">
        <f aca="false">IF($G332="","",$V332*(N($M332)*1+N($N332)*0.75+N($O332)*0.5+N($P332)*0.25)+$W332*N($L332))</f>
        <v/>
      </c>
      <c r="Z332" s="35" t="str">
        <f aca="false">IF($G332="","",$U332*1000000+ROW())</f>
        <v/>
      </c>
      <c r="AA332" s="36" t="str">
        <f aca="false">IF($G332="","",MID(IF($C332="",", no division","")&amp;IF($E332="",", no unit","")&amp;IF($H332="",", no career level","")&amp;IF(N($L332)&lt;=0,", no quarter split","")&amp;IF($R332="",", no driver","")&amp;IF(AND($H332&lt;&gt;"",COUNTIF(CareerLevels,$H332)=0),", a career level that is not on the ladder","")&amp;IF(AND($R332&lt;&gt;"",COUNTIF(DriverList,$R332)=0),", a driver that is not on the list","")&amp;IF(ABS(N($L332)-(N($M332)+N($N332)+N($O332)+N($P332)))&gt;0.001,", a total that does not match its quarters",""),3,300))</f>
        <v/>
      </c>
    </row>
    <row r="333" customFormat="false" ht="15" hidden="false" customHeight="false" outlineLevel="0" collapsed="false">
      <c r="A333" s="33" t="str">
        <f aca="false">IF($G333="","","Compliance Group")</f>
        <v/>
      </c>
      <c r="B333" s="19"/>
      <c r="C333" s="19"/>
      <c r="D333" s="19"/>
      <c r="E333" s="19"/>
      <c r="F333" s="19"/>
      <c r="G333" s="19"/>
      <c r="H333" s="19"/>
      <c r="I333" s="19"/>
      <c r="J333" s="19"/>
      <c r="K333" s="19"/>
      <c r="L333" s="19"/>
      <c r="M333" s="19"/>
      <c r="N333" s="19"/>
      <c r="O333" s="19"/>
      <c r="P333" s="19"/>
      <c r="Q333" s="19"/>
      <c r="R333" s="19"/>
      <c r="S333" s="19"/>
      <c r="T333" s="34" t="str">
        <f aca="false">IF($R333="","",IFERROR(INDEX(DriverCategory,MATCH($R333,DriverList,0)),"BAU"))</f>
        <v/>
      </c>
      <c r="U333" s="34" t="str">
        <f aca="false">IF($R333="","",IFERROR(INDEX(DriverRank,MATCH($R333,DriverList,0)),99))</f>
        <v/>
      </c>
      <c r="V333" s="35" t="n">
        <f aca="false">IF($H333="",0,IFERROR(INDEX(LevelBasic,MATCH($H333,LevelList,0))+INDEX(LevelHousing,MATCH($H333,LevelList,0))+INDEX(LevelTransport,MATCH($H333,LevelList,0))+INDEX(LevelBasic,MATCH($H333,LevelList,0))*INDEX(LevelBonus,MATCH($H333,LevelList,0))+(INDEX(LevelBasic,MATCH($H333,LevelList,0))+INDEX(LevelHousing,MATCH($H333,LevelList,0)))*GosiSaudi,0))</f>
        <v>0</v>
      </c>
      <c r="W333" s="35" t="n">
        <f aca="false">IFERROR(INDEX(LevelOneOff,MATCH($H333,LevelList,0)),0)</f>
        <v>0</v>
      </c>
      <c r="X333" s="35" t="str">
        <f aca="false">IF($G333="","",$V333*N($L333))</f>
        <v/>
      </c>
      <c r="Y333" s="35" t="str">
        <f aca="false">IF($G333="","",$V333*(N($M333)*1+N($N333)*0.75+N($O333)*0.5+N($P333)*0.25)+$W333*N($L333))</f>
        <v/>
      </c>
      <c r="Z333" s="35" t="str">
        <f aca="false">IF($G333="","",$U333*1000000+ROW())</f>
        <v/>
      </c>
      <c r="AA333" s="36" t="str">
        <f aca="false">IF($G333="","",MID(IF($C333="",", no division","")&amp;IF($E333="",", no unit","")&amp;IF($H333="",", no career level","")&amp;IF(N($L333)&lt;=0,", no quarter split","")&amp;IF($R333="",", no driver","")&amp;IF(AND($H333&lt;&gt;"",COUNTIF(CareerLevels,$H333)=0),", a career level that is not on the ladder","")&amp;IF(AND($R333&lt;&gt;"",COUNTIF(DriverList,$R333)=0),", a driver that is not on the list","")&amp;IF(ABS(N($L333)-(N($M333)+N($N333)+N($O333)+N($P333)))&gt;0.001,", a total that does not match its quarters",""),3,300))</f>
        <v/>
      </c>
    </row>
    <row r="334" customFormat="false" ht="15" hidden="false" customHeight="false" outlineLevel="0" collapsed="false">
      <c r="A334" s="33" t="str">
        <f aca="false">IF($G334="","","Compliance Group")</f>
        <v/>
      </c>
      <c r="B334" s="19"/>
      <c r="C334" s="19"/>
      <c r="D334" s="19"/>
      <c r="E334" s="19"/>
      <c r="F334" s="19"/>
      <c r="G334" s="19"/>
      <c r="H334" s="19"/>
      <c r="I334" s="19"/>
      <c r="J334" s="19"/>
      <c r="K334" s="19"/>
      <c r="L334" s="19"/>
      <c r="M334" s="19"/>
      <c r="N334" s="19"/>
      <c r="O334" s="19"/>
      <c r="P334" s="19"/>
      <c r="Q334" s="19"/>
      <c r="R334" s="19"/>
      <c r="S334" s="19"/>
      <c r="T334" s="34" t="str">
        <f aca="false">IF($R334="","",IFERROR(INDEX(DriverCategory,MATCH($R334,DriverList,0)),"BAU"))</f>
        <v/>
      </c>
      <c r="U334" s="34" t="str">
        <f aca="false">IF($R334="","",IFERROR(INDEX(DriverRank,MATCH($R334,DriverList,0)),99))</f>
        <v/>
      </c>
      <c r="V334" s="35" t="n">
        <f aca="false">IF($H334="",0,IFERROR(INDEX(LevelBasic,MATCH($H334,LevelList,0))+INDEX(LevelHousing,MATCH($H334,LevelList,0))+INDEX(LevelTransport,MATCH($H334,LevelList,0))+INDEX(LevelBasic,MATCH($H334,LevelList,0))*INDEX(LevelBonus,MATCH($H334,LevelList,0))+(INDEX(LevelBasic,MATCH($H334,LevelList,0))+INDEX(LevelHousing,MATCH($H334,LevelList,0)))*GosiSaudi,0))</f>
        <v>0</v>
      </c>
      <c r="W334" s="35" t="n">
        <f aca="false">IFERROR(INDEX(LevelOneOff,MATCH($H334,LevelList,0)),0)</f>
        <v>0</v>
      </c>
      <c r="X334" s="35" t="str">
        <f aca="false">IF($G334="","",$V334*N($L334))</f>
        <v/>
      </c>
      <c r="Y334" s="35" t="str">
        <f aca="false">IF($G334="","",$V334*(N($M334)*1+N($N334)*0.75+N($O334)*0.5+N($P334)*0.25)+$W334*N($L334))</f>
        <v/>
      </c>
      <c r="Z334" s="35" t="str">
        <f aca="false">IF($G334="","",$U334*1000000+ROW())</f>
        <v/>
      </c>
      <c r="AA334" s="36" t="str">
        <f aca="false">IF($G334="","",MID(IF($C334="",", no division","")&amp;IF($E334="",", no unit","")&amp;IF($H334="",", no career level","")&amp;IF(N($L334)&lt;=0,", no quarter split","")&amp;IF($R334="",", no driver","")&amp;IF(AND($H334&lt;&gt;"",COUNTIF(CareerLevels,$H334)=0),", a career level that is not on the ladder","")&amp;IF(AND($R334&lt;&gt;"",COUNTIF(DriverList,$R334)=0),", a driver that is not on the list","")&amp;IF(ABS(N($L334)-(N($M334)+N($N334)+N($O334)+N($P334)))&gt;0.001,", a total that does not match its quarters",""),3,300))</f>
        <v/>
      </c>
    </row>
    <row r="335" customFormat="false" ht="15" hidden="false" customHeight="false" outlineLevel="0" collapsed="false">
      <c r="A335" s="33" t="str">
        <f aca="false">IF($G335="","","Compliance Group")</f>
        <v/>
      </c>
      <c r="B335" s="19"/>
      <c r="C335" s="19"/>
      <c r="D335" s="19"/>
      <c r="E335" s="19"/>
      <c r="F335" s="19"/>
      <c r="G335" s="19"/>
      <c r="H335" s="19"/>
      <c r="I335" s="19"/>
      <c r="J335" s="19"/>
      <c r="K335" s="19"/>
      <c r="L335" s="19"/>
      <c r="M335" s="19"/>
      <c r="N335" s="19"/>
      <c r="O335" s="19"/>
      <c r="P335" s="19"/>
      <c r="Q335" s="19"/>
      <c r="R335" s="19"/>
      <c r="S335" s="19"/>
      <c r="T335" s="34" t="str">
        <f aca="false">IF($R335="","",IFERROR(INDEX(DriverCategory,MATCH($R335,DriverList,0)),"BAU"))</f>
        <v/>
      </c>
      <c r="U335" s="34" t="str">
        <f aca="false">IF($R335="","",IFERROR(INDEX(DriverRank,MATCH($R335,DriverList,0)),99))</f>
        <v/>
      </c>
      <c r="V335" s="35" t="n">
        <f aca="false">IF($H335="",0,IFERROR(INDEX(LevelBasic,MATCH($H335,LevelList,0))+INDEX(LevelHousing,MATCH($H335,LevelList,0))+INDEX(LevelTransport,MATCH($H335,LevelList,0))+INDEX(LevelBasic,MATCH($H335,LevelList,0))*INDEX(LevelBonus,MATCH($H335,LevelList,0))+(INDEX(LevelBasic,MATCH($H335,LevelList,0))+INDEX(LevelHousing,MATCH($H335,LevelList,0)))*GosiSaudi,0))</f>
        <v>0</v>
      </c>
      <c r="W335" s="35" t="n">
        <f aca="false">IFERROR(INDEX(LevelOneOff,MATCH($H335,LevelList,0)),0)</f>
        <v>0</v>
      </c>
      <c r="X335" s="35" t="str">
        <f aca="false">IF($G335="","",$V335*N($L335))</f>
        <v/>
      </c>
      <c r="Y335" s="35" t="str">
        <f aca="false">IF($G335="","",$V335*(N($M335)*1+N($N335)*0.75+N($O335)*0.5+N($P335)*0.25)+$W335*N($L335))</f>
        <v/>
      </c>
      <c r="Z335" s="35" t="str">
        <f aca="false">IF($G335="","",$U335*1000000+ROW())</f>
        <v/>
      </c>
      <c r="AA335" s="36" t="str">
        <f aca="false">IF($G335="","",MID(IF($C335="",", no division","")&amp;IF($E335="",", no unit","")&amp;IF($H335="",", no career level","")&amp;IF(N($L335)&lt;=0,", no quarter split","")&amp;IF($R335="",", no driver","")&amp;IF(AND($H335&lt;&gt;"",COUNTIF(CareerLevels,$H335)=0),", a career level that is not on the ladder","")&amp;IF(AND($R335&lt;&gt;"",COUNTIF(DriverList,$R335)=0),", a driver that is not on the list","")&amp;IF(ABS(N($L335)-(N($M335)+N($N335)+N($O335)+N($P335)))&gt;0.001,", a total that does not match its quarters",""),3,300))</f>
        <v/>
      </c>
    </row>
    <row r="336" customFormat="false" ht="15" hidden="false" customHeight="false" outlineLevel="0" collapsed="false">
      <c r="A336" s="33" t="str">
        <f aca="false">IF($G336="","","Compliance Group")</f>
        <v/>
      </c>
      <c r="B336" s="19"/>
      <c r="C336" s="19"/>
      <c r="D336" s="19"/>
      <c r="E336" s="19"/>
      <c r="F336" s="19"/>
      <c r="G336" s="19"/>
      <c r="H336" s="19"/>
      <c r="I336" s="19"/>
      <c r="J336" s="19"/>
      <c r="K336" s="19"/>
      <c r="L336" s="19"/>
      <c r="M336" s="19"/>
      <c r="N336" s="19"/>
      <c r="O336" s="19"/>
      <c r="P336" s="19"/>
      <c r="Q336" s="19"/>
      <c r="R336" s="19"/>
      <c r="S336" s="19"/>
      <c r="T336" s="34" t="str">
        <f aca="false">IF($R336="","",IFERROR(INDEX(DriverCategory,MATCH($R336,DriverList,0)),"BAU"))</f>
        <v/>
      </c>
      <c r="U336" s="34" t="str">
        <f aca="false">IF($R336="","",IFERROR(INDEX(DriverRank,MATCH($R336,DriverList,0)),99))</f>
        <v/>
      </c>
      <c r="V336" s="35" t="n">
        <f aca="false">IF($H336="",0,IFERROR(INDEX(LevelBasic,MATCH($H336,LevelList,0))+INDEX(LevelHousing,MATCH($H336,LevelList,0))+INDEX(LevelTransport,MATCH($H336,LevelList,0))+INDEX(LevelBasic,MATCH($H336,LevelList,0))*INDEX(LevelBonus,MATCH($H336,LevelList,0))+(INDEX(LevelBasic,MATCH($H336,LevelList,0))+INDEX(LevelHousing,MATCH($H336,LevelList,0)))*GosiSaudi,0))</f>
        <v>0</v>
      </c>
      <c r="W336" s="35" t="n">
        <f aca="false">IFERROR(INDEX(LevelOneOff,MATCH($H336,LevelList,0)),0)</f>
        <v>0</v>
      </c>
      <c r="X336" s="35" t="str">
        <f aca="false">IF($G336="","",$V336*N($L336))</f>
        <v/>
      </c>
      <c r="Y336" s="35" t="str">
        <f aca="false">IF($G336="","",$V336*(N($M336)*1+N($N336)*0.75+N($O336)*0.5+N($P336)*0.25)+$W336*N($L336))</f>
        <v/>
      </c>
      <c r="Z336" s="35" t="str">
        <f aca="false">IF($G336="","",$U336*1000000+ROW())</f>
        <v/>
      </c>
      <c r="AA336" s="36" t="str">
        <f aca="false">IF($G336="","",MID(IF($C336="",", no division","")&amp;IF($E336="",", no unit","")&amp;IF($H336="",", no career level","")&amp;IF(N($L336)&lt;=0,", no quarter split","")&amp;IF($R336="",", no driver","")&amp;IF(AND($H336&lt;&gt;"",COUNTIF(CareerLevels,$H336)=0),", a career level that is not on the ladder","")&amp;IF(AND($R336&lt;&gt;"",COUNTIF(DriverList,$R336)=0),", a driver that is not on the list","")&amp;IF(ABS(N($L336)-(N($M336)+N($N336)+N($O336)+N($P336)))&gt;0.001,", a total that does not match its quarters",""),3,300))</f>
        <v/>
      </c>
    </row>
    <row r="337" customFormat="false" ht="15" hidden="false" customHeight="false" outlineLevel="0" collapsed="false">
      <c r="A337" s="33" t="str">
        <f aca="false">IF($G337="","","Compliance Group")</f>
        <v/>
      </c>
      <c r="B337" s="19"/>
      <c r="C337" s="19"/>
      <c r="D337" s="19"/>
      <c r="E337" s="19"/>
      <c r="F337" s="19"/>
      <c r="G337" s="19"/>
      <c r="H337" s="19"/>
      <c r="I337" s="19"/>
      <c r="J337" s="19"/>
      <c r="K337" s="19"/>
      <c r="L337" s="19"/>
      <c r="M337" s="19"/>
      <c r="N337" s="19"/>
      <c r="O337" s="19"/>
      <c r="P337" s="19"/>
      <c r="Q337" s="19"/>
      <c r="R337" s="19"/>
      <c r="S337" s="19"/>
      <c r="T337" s="34" t="str">
        <f aca="false">IF($R337="","",IFERROR(INDEX(DriverCategory,MATCH($R337,DriverList,0)),"BAU"))</f>
        <v/>
      </c>
      <c r="U337" s="34" t="str">
        <f aca="false">IF($R337="","",IFERROR(INDEX(DriverRank,MATCH($R337,DriverList,0)),99))</f>
        <v/>
      </c>
      <c r="V337" s="35" t="n">
        <f aca="false">IF($H337="",0,IFERROR(INDEX(LevelBasic,MATCH($H337,LevelList,0))+INDEX(LevelHousing,MATCH($H337,LevelList,0))+INDEX(LevelTransport,MATCH($H337,LevelList,0))+INDEX(LevelBasic,MATCH($H337,LevelList,0))*INDEX(LevelBonus,MATCH($H337,LevelList,0))+(INDEX(LevelBasic,MATCH($H337,LevelList,0))+INDEX(LevelHousing,MATCH($H337,LevelList,0)))*GosiSaudi,0))</f>
        <v>0</v>
      </c>
      <c r="W337" s="35" t="n">
        <f aca="false">IFERROR(INDEX(LevelOneOff,MATCH($H337,LevelList,0)),0)</f>
        <v>0</v>
      </c>
      <c r="X337" s="35" t="str">
        <f aca="false">IF($G337="","",$V337*N($L337))</f>
        <v/>
      </c>
      <c r="Y337" s="35" t="str">
        <f aca="false">IF($G337="","",$V337*(N($M337)*1+N($N337)*0.75+N($O337)*0.5+N($P337)*0.25)+$W337*N($L337))</f>
        <v/>
      </c>
      <c r="Z337" s="35" t="str">
        <f aca="false">IF($G337="","",$U337*1000000+ROW())</f>
        <v/>
      </c>
      <c r="AA337" s="36" t="str">
        <f aca="false">IF($G337="","",MID(IF($C337="",", no division","")&amp;IF($E337="",", no unit","")&amp;IF($H337="",", no career level","")&amp;IF(N($L337)&lt;=0,", no quarter split","")&amp;IF($R337="",", no driver","")&amp;IF(AND($H337&lt;&gt;"",COUNTIF(CareerLevels,$H337)=0),", a career level that is not on the ladder","")&amp;IF(AND($R337&lt;&gt;"",COUNTIF(DriverList,$R337)=0),", a driver that is not on the list","")&amp;IF(ABS(N($L337)-(N($M337)+N($N337)+N($O337)+N($P337)))&gt;0.001,", a total that does not match its quarters",""),3,300))</f>
        <v/>
      </c>
    </row>
    <row r="338" customFormat="false" ht="15" hidden="false" customHeight="false" outlineLevel="0" collapsed="false">
      <c r="A338" s="33" t="str">
        <f aca="false">IF($G338="","","Compliance Group")</f>
        <v/>
      </c>
      <c r="B338" s="19"/>
      <c r="C338" s="19"/>
      <c r="D338" s="19"/>
      <c r="E338" s="19"/>
      <c r="F338" s="19"/>
      <c r="G338" s="19"/>
      <c r="H338" s="19"/>
      <c r="I338" s="19"/>
      <c r="J338" s="19"/>
      <c r="K338" s="19"/>
      <c r="L338" s="19"/>
      <c r="M338" s="19"/>
      <c r="N338" s="19"/>
      <c r="O338" s="19"/>
      <c r="P338" s="19"/>
      <c r="Q338" s="19"/>
      <c r="R338" s="19"/>
      <c r="S338" s="19"/>
      <c r="T338" s="34" t="str">
        <f aca="false">IF($R338="","",IFERROR(INDEX(DriverCategory,MATCH($R338,DriverList,0)),"BAU"))</f>
        <v/>
      </c>
      <c r="U338" s="34" t="str">
        <f aca="false">IF($R338="","",IFERROR(INDEX(DriverRank,MATCH($R338,DriverList,0)),99))</f>
        <v/>
      </c>
      <c r="V338" s="35" t="n">
        <f aca="false">IF($H338="",0,IFERROR(INDEX(LevelBasic,MATCH($H338,LevelList,0))+INDEX(LevelHousing,MATCH($H338,LevelList,0))+INDEX(LevelTransport,MATCH($H338,LevelList,0))+INDEX(LevelBasic,MATCH($H338,LevelList,0))*INDEX(LevelBonus,MATCH($H338,LevelList,0))+(INDEX(LevelBasic,MATCH($H338,LevelList,0))+INDEX(LevelHousing,MATCH($H338,LevelList,0)))*GosiSaudi,0))</f>
        <v>0</v>
      </c>
      <c r="W338" s="35" t="n">
        <f aca="false">IFERROR(INDEX(LevelOneOff,MATCH($H338,LevelList,0)),0)</f>
        <v>0</v>
      </c>
      <c r="X338" s="35" t="str">
        <f aca="false">IF($G338="","",$V338*N($L338))</f>
        <v/>
      </c>
      <c r="Y338" s="35" t="str">
        <f aca="false">IF($G338="","",$V338*(N($M338)*1+N($N338)*0.75+N($O338)*0.5+N($P338)*0.25)+$W338*N($L338))</f>
        <v/>
      </c>
      <c r="Z338" s="35" t="str">
        <f aca="false">IF($G338="","",$U338*1000000+ROW())</f>
        <v/>
      </c>
      <c r="AA338" s="36" t="str">
        <f aca="false">IF($G338="","",MID(IF($C338="",", no division","")&amp;IF($E338="",", no unit","")&amp;IF($H338="",", no career level","")&amp;IF(N($L338)&lt;=0,", no quarter split","")&amp;IF($R338="",", no driver","")&amp;IF(AND($H338&lt;&gt;"",COUNTIF(CareerLevels,$H338)=0),", a career level that is not on the ladder","")&amp;IF(AND($R338&lt;&gt;"",COUNTIF(DriverList,$R338)=0),", a driver that is not on the list","")&amp;IF(ABS(N($L338)-(N($M338)+N($N338)+N($O338)+N($P338)))&gt;0.001,", a total that does not match its quarters",""),3,300))</f>
        <v/>
      </c>
    </row>
    <row r="339" customFormat="false" ht="15" hidden="false" customHeight="false" outlineLevel="0" collapsed="false">
      <c r="A339" s="33" t="str">
        <f aca="false">IF($G339="","","Compliance Group")</f>
        <v/>
      </c>
      <c r="B339" s="19"/>
      <c r="C339" s="19"/>
      <c r="D339" s="19"/>
      <c r="E339" s="19"/>
      <c r="F339" s="19"/>
      <c r="G339" s="19"/>
      <c r="H339" s="19"/>
      <c r="I339" s="19"/>
      <c r="J339" s="19"/>
      <c r="K339" s="19"/>
      <c r="L339" s="19"/>
      <c r="M339" s="19"/>
      <c r="N339" s="19"/>
      <c r="O339" s="19"/>
      <c r="P339" s="19"/>
      <c r="Q339" s="19"/>
      <c r="R339" s="19"/>
      <c r="S339" s="19"/>
      <c r="T339" s="34" t="str">
        <f aca="false">IF($R339="","",IFERROR(INDEX(DriverCategory,MATCH($R339,DriverList,0)),"BAU"))</f>
        <v/>
      </c>
      <c r="U339" s="34" t="str">
        <f aca="false">IF($R339="","",IFERROR(INDEX(DriverRank,MATCH($R339,DriverList,0)),99))</f>
        <v/>
      </c>
      <c r="V339" s="35" t="n">
        <f aca="false">IF($H339="",0,IFERROR(INDEX(LevelBasic,MATCH($H339,LevelList,0))+INDEX(LevelHousing,MATCH($H339,LevelList,0))+INDEX(LevelTransport,MATCH($H339,LevelList,0))+INDEX(LevelBasic,MATCH($H339,LevelList,0))*INDEX(LevelBonus,MATCH($H339,LevelList,0))+(INDEX(LevelBasic,MATCH($H339,LevelList,0))+INDEX(LevelHousing,MATCH($H339,LevelList,0)))*GosiSaudi,0))</f>
        <v>0</v>
      </c>
      <c r="W339" s="35" t="n">
        <f aca="false">IFERROR(INDEX(LevelOneOff,MATCH($H339,LevelList,0)),0)</f>
        <v>0</v>
      </c>
      <c r="X339" s="35" t="str">
        <f aca="false">IF($G339="","",$V339*N($L339))</f>
        <v/>
      </c>
      <c r="Y339" s="35" t="str">
        <f aca="false">IF($G339="","",$V339*(N($M339)*1+N($N339)*0.75+N($O339)*0.5+N($P339)*0.25)+$W339*N($L339))</f>
        <v/>
      </c>
      <c r="Z339" s="35" t="str">
        <f aca="false">IF($G339="","",$U339*1000000+ROW())</f>
        <v/>
      </c>
      <c r="AA339" s="36" t="str">
        <f aca="false">IF($G339="","",MID(IF($C339="",", no division","")&amp;IF($E339="",", no unit","")&amp;IF($H339="",", no career level","")&amp;IF(N($L339)&lt;=0,", no quarter split","")&amp;IF($R339="",", no driver","")&amp;IF(AND($H339&lt;&gt;"",COUNTIF(CareerLevels,$H339)=0),", a career level that is not on the ladder","")&amp;IF(AND($R339&lt;&gt;"",COUNTIF(DriverList,$R339)=0),", a driver that is not on the list","")&amp;IF(ABS(N($L339)-(N($M339)+N($N339)+N($O339)+N($P339)))&gt;0.001,", a total that does not match its quarters",""),3,300))</f>
        <v/>
      </c>
    </row>
    <row r="340" customFormat="false" ht="15" hidden="false" customHeight="false" outlineLevel="0" collapsed="false">
      <c r="A340" s="33" t="str">
        <f aca="false">IF($G340="","","Compliance Group")</f>
        <v/>
      </c>
      <c r="B340" s="19"/>
      <c r="C340" s="19"/>
      <c r="D340" s="19"/>
      <c r="E340" s="19"/>
      <c r="F340" s="19"/>
      <c r="G340" s="19"/>
      <c r="H340" s="19"/>
      <c r="I340" s="19"/>
      <c r="J340" s="19"/>
      <c r="K340" s="19"/>
      <c r="L340" s="19"/>
      <c r="M340" s="19"/>
      <c r="N340" s="19"/>
      <c r="O340" s="19"/>
      <c r="P340" s="19"/>
      <c r="Q340" s="19"/>
      <c r="R340" s="19"/>
      <c r="S340" s="19"/>
      <c r="T340" s="34" t="str">
        <f aca="false">IF($R340="","",IFERROR(INDEX(DriverCategory,MATCH($R340,DriverList,0)),"BAU"))</f>
        <v/>
      </c>
      <c r="U340" s="34" t="str">
        <f aca="false">IF($R340="","",IFERROR(INDEX(DriverRank,MATCH($R340,DriverList,0)),99))</f>
        <v/>
      </c>
      <c r="V340" s="35" t="n">
        <f aca="false">IF($H340="",0,IFERROR(INDEX(LevelBasic,MATCH($H340,LevelList,0))+INDEX(LevelHousing,MATCH($H340,LevelList,0))+INDEX(LevelTransport,MATCH($H340,LevelList,0))+INDEX(LevelBasic,MATCH($H340,LevelList,0))*INDEX(LevelBonus,MATCH($H340,LevelList,0))+(INDEX(LevelBasic,MATCH($H340,LevelList,0))+INDEX(LevelHousing,MATCH($H340,LevelList,0)))*GosiSaudi,0))</f>
        <v>0</v>
      </c>
      <c r="W340" s="35" t="n">
        <f aca="false">IFERROR(INDEX(LevelOneOff,MATCH($H340,LevelList,0)),0)</f>
        <v>0</v>
      </c>
      <c r="X340" s="35" t="str">
        <f aca="false">IF($G340="","",$V340*N($L340))</f>
        <v/>
      </c>
      <c r="Y340" s="35" t="str">
        <f aca="false">IF($G340="","",$V340*(N($M340)*1+N($N340)*0.75+N($O340)*0.5+N($P340)*0.25)+$W340*N($L340))</f>
        <v/>
      </c>
      <c r="Z340" s="35" t="str">
        <f aca="false">IF($G340="","",$U340*1000000+ROW())</f>
        <v/>
      </c>
      <c r="AA340" s="36" t="str">
        <f aca="false">IF($G340="","",MID(IF($C340="",", no division","")&amp;IF($E340="",", no unit","")&amp;IF($H340="",", no career level","")&amp;IF(N($L340)&lt;=0,", no quarter split","")&amp;IF($R340="",", no driver","")&amp;IF(AND($H340&lt;&gt;"",COUNTIF(CareerLevels,$H340)=0),", a career level that is not on the ladder","")&amp;IF(AND($R340&lt;&gt;"",COUNTIF(DriverList,$R340)=0),", a driver that is not on the list","")&amp;IF(ABS(N($L340)-(N($M340)+N($N340)+N($O340)+N($P340)))&gt;0.001,", a total that does not match its quarters",""),3,300))</f>
        <v/>
      </c>
    </row>
    <row r="341" customFormat="false" ht="15" hidden="false" customHeight="false" outlineLevel="0" collapsed="false">
      <c r="A341" s="33" t="str">
        <f aca="false">IF($G341="","","Compliance Group")</f>
        <v/>
      </c>
      <c r="B341" s="19"/>
      <c r="C341" s="19"/>
      <c r="D341" s="19"/>
      <c r="E341" s="19"/>
      <c r="F341" s="19"/>
      <c r="G341" s="19"/>
      <c r="H341" s="19"/>
      <c r="I341" s="19"/>
      <c r="J341" s="19"/>
      <c r="K341" s="19"/>
      <c r="L341" s="19"/>
      <c r="M341" s="19"/>
      <c r="N341" s="19"/>
      <c r="O341" s="19"/>
      <c r="P341" s="19"/>
      <c r="Q341" s="19"/>
      <c r="R341" s="19"/>
      <c r="S341" s="19"/>
      <c r="T341" s="34" t="str">
        <f aca="false">IF($R341="","",IFERROR(INDEX(DriverCategory,MATCH($R341,DriverList,0)),"BAU"))</f>
        <v/>
      </c>
      <c r="U341" s="34" t="str">
        <f aca="false">IF($R341="","",IFERROR(INDEX(DriverRank,MATCH($R341,DriverList,0)),99))</f>
        <v/>
      </c>
      <c r="V341" s="35" t="n">
        <f aca="false">IF($H341="",0,IFERROR(INDEX(LevelBasic,MATCH($H341,LevelList,0))+INDEX(LevelHousing,MATCH($H341,LevelList,0))+INDEX(LevelTransport,MATCH($H341,LevelList,0))+INDEX(LevelBasic,MATCH($H341,LevelList,0))*INDEX(LevelBonus,MATCH($H341,LevelList,0))+(INDEX(LevelBasic,MATCH($H341,LevelList,0))+INDEX(LevelHousing,MATCH($H341,LevelList,0)))*GosiSaudi,0))</f>
        <v>0</v>
      </c>
      <c r="W341" s="35" t="n">
        <f aca="false">IFERROR(INDEX(LevelOneOff,MATCH($H341,LevelList,0)),0)</f>
        <v>0</v>
      </c>
      <c r="X341" s="35" t="str">
        <f aca="false">IF($G341="","",$V341*N($L341))</f>
        <v/>
      </c>
      <c r="Y341" s="35" t="str">
        <f aca="false">IF($G341="","",$V341*(N($M341)*1+N($N341)*0.75+N($O341)*0.5+N($P341)*0.25)+$W341*N($L341))</f>
        <v/>
      </c>
      <c r="Z341" s="35" t="str">
        <f aca="false">IF($G341="","",$U341*1000000+ROW())</f>
        <v/>
      </c>
      <c r="AA341" s="36" t="str">
        <f aca="false">IF($G341="","",MID(IF($C341="",", no division","")&amp;IF($E341="",", no unit","")&amp;IF($H341="",", no career level","")&amp;IF(N($L341)&lt;=0,", no quarter split","")&amp;IF($R341="",", no driver","")&amp;IF(AND($H341&lt;&gt;"",COUNTIF(CareerLevels,$H341)=0),", a career level that is not on the ladder","")&amp;IF(AND($R341&lt;&gt;"",COUNTIF(DriverList,$R341)=0),", a driver that is not on the list","")&amp;IF(ABS(N($L341)-(N($M341)+N($N341)+N($O341)+N($P341)))&gt;0.001,", a total that does not match its quarters",""),3,300))</f>
        <v/>
      </c>
    </row>
    <row r="342" customFormat="false" ht="15" hidden="false" customHeight="false" outlineLevel="0" collapsed="false">
      <c r="A342" s="33" t="str">
        <f aca="false">IF($G342="","","Compliance Group")</f>
        <v/>
      </c>
      <c r="B342" s="19"/>
      <c r="C342" s="19"/>
      <c r="D342" s="19"/>
      <c r="E342" s="19"/>
      <c r="F342" s="19"/>
      <c r="G342" s="19"/>
      <c r="H342" s="19"/>
      <c r="I342" s="19"/>
      <c r="J342" s="19"/>
      <c r="K342" s="19"/>
      <c r="L342" s="19"/>
      <c r="M342" s="19"/>
      <c r="N342" s="19"/>
      <c r="O342" s="19"/>
      <c r="P342" s="19"/>
      <c r="Q342" s="19"/>
      <c r="R342" s="19"/>
      <c r="S342" s="19"/>
      <c r="T342" s="34" t="str">
        <f aca="false">IF($R342="","",IFERROR(INDEX(DriverCategory,MATCH($R342,DriverList,0)),"BAU"))</f>
        <v/>
      </c>
      <c r="U342" s="34" t="str">
        <f aca="false">IF($R342="","",IFERROR(INDEX(DriverRank,MATCH($R342,DriverList,0)),99))</f>
        <v/>
      </c>
      <c r="V342" s="35" t="n">
        <f aca="false">IF($H342="",0,IFERROR(INDEX(LevelBasic,MATCH($H342,LevelList,0))+INDEX(LevelHousing,MATCH($H342,LevelList,0))+INDEX(LevelTransport,MATCH($H342,LevelList,0))+INDEX(LevelBasic,MATCH($H342,LevelList,0))*INDEX(LevelBonus,MATCH($H342,LevelList,0))+(INDEX(LevelBasic,MATCH($H342,LevelList,0))+INDEX(LevelHousing,MATCH($H342,LevelList,0)))*GosiSaudi,0))</f>
        <v>0</v>
      </c>
      <c r="W342" s="35" t="n">
        <f aca="false">IFERROR(INDEX(LevelOneOff,MATCH($H342,LevelList,0)),0)</f>
        <v>0</v>
      </c>
      <c r="X342" s="35" t="str">
        <f aca="false">IF($G342="","",$V342*N($L342))</f>
        <v/>
      </c>
      <c r="Y342" s="35" t="str">
        <f aca="false">IF($G342="","",$V342*(N($M342)*1+N($N342)*0.75+N($O342)*0.5+N($P342)*0.25)+$W342*N($L342))</f>
        <v/>
      </c>
      <c r="Z342" s="35" t="str">
        <f aca="false">IF($G342="","",$U342*1000000+ROW())</f>
        <v/>
      </c>
      <c r="AA342" s="36" t="str">
        <f aca="false">IF($G342="","",MID(IF($C342="",", no division","")&amp;IF($E342="",", no unit","")&amp;IF($H342="",", no career level","")&amp;IF(N($L342)&lt;=0,", no quarter split","")&amp;IF($R342="",", no driver","")&amp;IF(AND($H342&lt;&gt;"",COUNTIF(CareerLevels,$H342)=0),", a career level that is not on the ladder","")&amp;IF(AND($R342&lt;&gt;"",COUNTIF(DriverList,$R342)=0),", a driver that is not on the list","")&amp;IF(ABS(N($L342)-(N($M342)+N($N342)+N($O342)+N($P342)))&gt;0.001,", a total that does not match its quarters",""),3,300))</f>
        <v/>
      </c>
    </row>
    <row r="343" customFormat="false" ht="15" hidden="false" customHeight="false" outlineLevel="0" collapsed="false">
      <c r="A343" s="33" t="str">
        <f aca="false">IF($G343="","","Compliance Group")</f>
        <v/>
      </c>
      <c r="B343" s="19"/>
      <c r="C343" s="19"/>
      <c r="D343" s="19"/>
      <c r="E343" s="19"/>
      <c r="F343" s="19"/>
      <c r="G343" s="19"/>
      <c r="H343" s="19"/>
      <c r="I343" s="19"/>
      <c r="J343" s="19"/>
      <c r="K343" s="19"/>
      <c r="L343" s="19"/>
      <c r="M343" s="19"/>
      <c r="N343" s="19"/>
      <c r="O343" s="19"/>
      <c r="P343" s="19"/>
      <c r="Q343" s="19"/>
      <c r="R343" s="19"/>
      <c r="S343" s="19"/>
      <c r="T343" s="34" t="str">
        <f aca="false">IF($R343="","",IFERROR(INDEX(DriverCategory,MATCH($R343,DriverList,0)),"BAU"))</f>
        <v/>
      </c>
      <c r="U343" s="34" t="str">
        <f aca="false">IF($R343="","",IFERROR(INDEX(DriverRank,MATCH($R343,DriverList,0)),99))</f>
        <v/>
      </c>
      <c r="V343" s="35" t="n">
        <f aca="false">IF($H343="",0,IFERROR(INDEX(LevelBasic,MATCH($H343,LevelList,0))+INDEX(LevelHousing,MATCH($H343,LevelList,0))+INDEX(LevelTransport,MATCH($H343,LevelList,0))+INDEX(LevelBasic,MATCH($H343,LevelList,0))*INDEX(LevelBonus,MATCH($H343,LevelList,0))+(INDEX(LevelBasic,MATCH($H343,LevelList,0))+INDEX(LevelHousing,MATCH($H343,LevelList,0)))*GosiSaudi,0))</f>
        <v>0</v>
      </c>
      <c r="W343" s="35" t="n">
        <f aca="false">IFERROR(INDEX(LevelOneOff,MATCH($H343,LevelList,0)),0)</f>
        <v>0</v>
      </c>
      <c r="X343" s="35" t="str">
        <f aca="false">IF($G343="","",$V343*N($L343))</f>
        <v/>
      </c>
      <c r="Y343" s="35" t="str">
        <f aca="false">IF($G343="","",$V343*(N($M343)*1+N($N343)*0.75+N($O343)*0.5+N($P343)*0.25)+$W343*N($L343))</f>
        <v/>
      </c>
      <c r="Z343" s="35" t="str">
        <f aca="false">IF($G343="","",$U343*1000000+ROW())</f>
        <v/>
      </c>
      <c r="AA343" s="36" t="str">
        <f aca="false">IF($G343="","",MID(IF($C343="",", no division","")&amp;IF($E343="",", no unit","")&amp;IF($H343="",", no career level","")&amp;IF(N($L343)&lt;=0,", no quarter split","")&amp;IF($R343="",", no driver","")&amp;IF(AND($H343&lt;&gt;"",COUNTIF(CareerLevels,$H343)=0),", a career level that is not on the ladder","")&amp;IF(AND($R343&lt;&gt;"",COUNTIF(DriverList,$R343)=0),", a driver that is not on the list","")&amp;IF(ABS(N($L343)-(N($M343)+N($N343)+N($O343)+N($P343)))&gt;0.001,", a total that does not match its quarters",""),3,300))</f>
        <v/>
      </c>
    </row>
    <row r="344" customFormat="false" ht="15" hidden="false" customHeight="false" outlineLevel="0" collapsed="false">
      <c r="A344" s="33" t="str">
        <f aca="false">IF($G344="","","Compliance Group")</f>
        <v/>
      </c>
      <c r="B344" s="19"/>
      <c r="C344" s="19"/>
      <c r="D344" s="19"/>
      <c r="E344" s="19"/>
      <c r="F344" s="19"/>
      <c r="G344" s="19"/>
      <c r="H344" s="19"/>
      <c r="I344" s="19"/>
      <c r="J344" s="19"/>
      <c r="K344" s="19"/>
      <c r="L344" s="19"/>
      <c r="M344" s="19"/>
      <c r="N344" s="19"/>
      <c r="O344" s="19"/>
      <c r="P344" s="19"/>
      <c r="Q344" s="19"/>
      <c r="R344" s="19"/>
      <c r="S344" s="19"/>
      <c r="T344" s="34" t="str">
        <f aca="false">IF($R344="","",IFERROR(INDEX(DriverCategory,MATCH($R344,DriverList,0)),"BAU"))</f>
        <v/>
      </c>
      <c r="U344" s="34" t="str">
        <f aca="false">IF($R344="","",IFERROR(INDEX(DriverRank,MATCH($R344,DriverList,0)),99))</f>
        <v/>
      </c>
      <c r="V344" s="35" t="n">
        <f aca="false">IF($H344="",0,IFERROR(INDEX(LevelBasic,MATCH($H344,LevelList,0))+INDEX(LevelHousing,MATCH($H344,LevelList,0))+INDEX(LevelTransport,MATCH($H344,LevelList,0))+INDEX(LevelBasic,MATCH($H344,LevelList,0))*INDEX(LevelBonus,MATCH($H344,LevelList,0))+(INDEX(LevelBasic,MATCH($H344,LevelList,0))+INDEX(LevelHousing,MATCH($H344,LevelList,0)))*GosiSaudi,0))</f>
        <v>0</v>
      </c>
      <c r="W344" s="35" t="n">
        <f aca="false">IFERROR(INDEX(LevelOneOff,MATCH($H344,LevelList,0)),0)</f>
        <v>0</v>
      </c>
      <c r="X344" s="35" t="str">
        <f aca="false">IF($G344="","",$V344*N($L344))</f>
        <v/>
      </c>
      <c r="Y344" s="35" t="str">
        <f aca="false">IF($G344="","",$V344*(N($M344)*1+N($N344)*0.75+N($O344)*0.5+N($P344)*0.25)+$W344*N($L344))</f>
        <v/>
      </c>
      <c r="Z344" s="35" t="str">
        <f aca="false">IF($G344="","",$U344*1000000+ROW())</f>
        <v/>
      </c>
      <c r="AA344" s="36" t="str">
        <f aca="false">IF($G344="","",MID(IF($C344="",", no division","")&amp;IF($E344="",", no unit","")&amp;IF($H344="",", no career level","")&amp;IF(N($L344)&lt;=0,", no quarter split","")&amp;IF($R344="",", no driver","")&amp;IF(AND($H344&lt;&gt;"",COUNTIF(CareerLevels,$H344)=0),", a career level that is not on the ladder","")&amp;IF(AND($R344&lt;&gt;"",COUNTIF(DriverList,$R344)=0),", a driver that is not on the list","")&amp;IF(ABS(N($L344)-(N($M344)+N($N344)+N($O344)+N($P344)))&gt;0.001,", a total that does not match its quarters",""),3,300))</f>
        <v/>
      </c>
    </row>
    <row r="345" customFormat="false" ht="15" hidden="false" customHeight="false" outlineLevel="0" collapsed="false">
      <c r="A345" s="33" t="str">
        <f aca="false">IF($G345="","","Compliance Group")</f>
        <v/>
      </c>
      <c r="B345" s="19"/>
      <c r="C345" s="19"/>
      <c r="D345" s="19"/>
      <c r="E345" s="19"/>
      <c r="F345" s="19"/>
      <c r="G345" s="19"/>
      <c r="H345" s="19"/>
      <c r="I345" s="19"/>
      <c r="J345" s="19"/>
      <c r="K345" s="19"/>
      <c r="L345" s="19"/>
      <c r="M345" s="19"/>
      <c r="N345" s="19"/>
      <c r="O345" s="19"/>
      <c r="P345" s="19"/>
      <c r="Q345" s="19"/>
      <c r="R345" s="19"/>
      <c r="S345" s="19"/>
      <c r="T345" s="34" t="str">
        <f aca="false">IF($R345="","",IFERROR(INDEX(DriverCategory,MATCH($R345,DriverList,0)),"BAU"))</f>
        <v/>
      </c>
      <c r="U345" s="34" t="str">
        <f aca="false">IF($R345="","",IFERROR(INDEX(DriverRank,MATCH($R345,DriverList,0)),99))</f>
        <v/>
      </c>
      <c r="V345" s="35" t="n">
        <f aca="false">IF($H345="",0,IFERROR(INDEX(LevelBasic,MATCH($H345,LevelList,0))+INDEX(LevelHousing,MATCH($H345,LevelList,0))+INDEX(LevelTransport,MATCH($H345,LevelList,0))+INDEX(LevelBasic,MATCH($H345,LevelList,0))*INDEX(LevelBonus,MATCH($H345,LevelList,0))+(INDEX(LevelBasic,MATCH($H345,LevelList,0))+INDEX(LevelHousing,MATCH($H345,LevelList,0)))*GosiSaudi,0))</f>
        <v>0</v>
      </c>
      <c r="W345" s="35" t="n">
        <f aca="false">IFERROR(INDEX(LevelOneOff,MATCH($H345,LevelList,0)),0)</f>
        <v>0</v>
      </c>
      <c r="X345" s="35" t="str">
        <f aca="false">IF($G345="","",$V345*N($L345))</f>
        <v/>
      </c>
      <c r="Y345" s="35" t="str">
        <f aca="false">IF($G345="","",$V345*(N($M345)*1+N($N345)*0.75+N($O345)*0.5+N($P345)*0.25)+$W345*N($L345))</f>
        <v/>
      </c>
      <c r="Z345" s="35" t="str">
        <f aca="false">IF($G345="","",$U345*1000000+ROW())</f>
        <v/>
      </c>
      <c r="AA345" s="36" t="str">
        <f aca="false">IF($G345="","",MID(IF($C345="",", no division","")&amp;IF($E345="",", no unit","")&amp;IF($H345="",", no career level","")&amp;IF(N($L345)&lt;=0,", no quarter split","")&amp;IF($R345="",", no driver","")&amp;IF(AND($H345&lt;&gt;"",COUNTIF(CareerLevels,$H345)=0),", a career level that is not on the ladder","")&amp;IF(AND($R345&lt;&gt;"",COUNTIF(DriverList,$R345)=0),", a driver that is not on the list","")&amp;IF(ABS(N($L345)-(N($M345)+N($N345)+N($O345)+N($P345)))&gt;0.001,", a total that does not match its quarters",""),3,300))</f>
        <v/>
      </c>
    </row>
    <row r="346" customFormat="false" ht="15" hidden="false" customHeight="false" outlineLevel="0" collapsed="false">
      <c r="A346" s="33" t="str">
        <f aca="false">IF($G346="","","Compliance Group")</f>
        <v/>
      </c>
      <c r="B346" s="19"/>
      <c r="C346" s="19"/>
      <c r="D346" s="19"/>
      <c r="E346" s="19"/>
      <c r="F346" s="19"/>
      <c r="G346" s="19"/>
      <c r="H346" s="19"/>
      <c r="I346" s="19"/>
      <c r="J346" s="19"/>
      <c r="K346" s="19"/>
      <c r="L346" s="19"/>
      <c r="M346" s="19"/>
      <c r="N346" s="19"/>
      <c r="O346" s="19"/>
      <c r="P346" s="19"/>
      <c r="Q346" s="19"/>
      <c r="R346" s="19"/>
      <c r="S346" s="19"/>
      <c r="T346" s="34" t="str">
        <f aca="false">IF($R346="","",IFERROR(INDEX(DriverCategory,MATCH($R346,DriverList,0)),"BAU"))</f>
        <v/>
      </c>
      <c r="U346" s="34" t="str">
        <f aca="false">IF($R346="","",IFERROR(INDEX(DriverRank,MATCH($R346,DriverList,0)),99))</f>
        <v/>
      </c>
      <c r="V346" s="35" t="n">
        <f aca="false">IF($H346="",0,IFERROR(INDEX(LevelBasic,MATCH($H346,LevelList,0))+INDEX(LevelHousing,MATCH($H346,LevelList,0))+INDEX(LevelTransport,MATCH($H346,LevelList,0))+INDEX(LevelBasic,MATCH($H346,LevelList,0))*INDEX(LevelBonus,MATCH($H346,LevelList,0))+(INDEX(LevelBasic,MATCH($H346,LevelList,0))+INDEX(LevelHousing,MATCH($H346,LevelList,0)))*GosiSaudi,0))</f>
        <v>0</v>
      </c>
      <c r="W346" s="35" t="n">
        <f aca="false">IFERROR(INDEX(LevelOneOff,MATCH($H346,LevelList,0)),0)</f>
        <v>0</v>
      </c>
      <c r="X346" s="35" t="str">
        <f aca="false">IF($G346="","",$V346*N($L346))</f>
        <v/>
      </c>
      <c r="Y346" s="35" t="str">
        <f aca="false">IF($G346="","",$V346*(N($M346)*1+N($N346)*0.75+N($O346)*0.5+N($P346)*0.25)+$W346*N($L346))</f>
        <v/>
      </c>
      <c r="Z346" s="35" t="str">
        <f aca="false">IF($G346="","",$U346*1000000+ROW())</f>
        <v/>
      </c>
      <c r="AA346" s="36" t="str">
        <f aca="false">IF($G346="","",MID(IF($C346="",", no division","")&amp;IF($E346="",", no unit","")&amp;IF($H346="",", no career level","")&amp;IF(N($L346)&lt;=0,", no quarter split","")&amp;IF($R346="",", no driver","")&amp;IF(AND($H346&lt;&gt;"",COUNTIF(CareerLevels,$H346)=0),", a career level that is not on the ladder","")&amp;IF(AND($R346&lt;&gt;"",COUNTIF(DriverList,$R346)=0),", a driver that is not on the list","")&amp;IF(ABS(N($L346)-(N($M346)+N($N346)+N($O346)+N($P346)))&gt;0.001,", a total that does not match its quarters",""),3,300))</f>
        <v/>
      </c>
    </row>
    <row r="347" customFormat="false" ht="15" hidden="false" customHeight="false" outlineLevel="0" collapsed="false">
      <c r="A347" s="33" t="str">
        <f aca="false">IF($G347="","","Compliance Group")</f>
        <v/>
      </c>
      <c r="B347" s="19"/>
      <c r="C347" s="19"/>
      <c r="D347" s="19"/>
      <c r="E347" s="19"/>
      <c r="F347" s="19"/>
      <c r="G347" s="19"/>
      <c r="H347" s="19"/>
      <c r="I347" s="19"/>
      <c r="J347" s="19"/>
      <c r="K347" s="19"/>
      <c r="L347" s="19"/>
      <c r="M347" s="19"/>
      <c r="N347" s="19"/>
      <c r="O347" s="19"/>
      <c r="P347" s="19"/>
      <c r="Q347" s="19"/>
      <c r="R347" s="19"/>
      <c r="S347" s="19"/>
      <c r="T347" s="34" t="str">
        <f aca="false">IF($R347="","",IFERROR(INDEX(DriverCategory,MATCH($R347,DriverList,0)),"BAU"))</f>
        <v/>
      </c>
      <c r="U347" s="34" t="str">
        <f aca="false">IF($R347="","",IFERROR(INDEX(DriverRank,MATCH($R347,DriverList,0)),99))</f>
        <v/>
      </c>
      <c r="V347" s="35" t="n">
        <f aca="false">IF($H347="",0,IFERROR(INDEX(LevelBasic,MATCH($H347,LevelList,0))+INDEX(LevelHousing,MATCH($H347,LevelList,0))+INDEX(LevelTransport,MATCH($H347,LevelList,0))+INDEX(LevelBasic,MATCH($H347,LevelList,0))*INDEX(LevelBonus,MATCH($H347,LevelList,0))+(INDEX(LevelBasic,MATCH($H347,LevelList,0))+INDEX(LevelHousing,MATCH($H347,LevelList,0)))*GosiSaudi,0))</f>
        <v>0</v>
      </c>
      <c r="W347" s="35" t="n">
        <f aca="false">IFERROR(INDEX(LevelOneOff,MATCH($H347,LevelList,0)),0)</f>
        <v>0</v>
      </c>
      <c r="X347" s="35" t="str">
        <f aca="false">IF($G347="","",$V347*N($L347))</f>
        <v/>
      </c>
      <c r="Y347" s="35" t="str">
        <f aca="false">IF($G347="","",$V347*(N($M347)*1+N($N347)*0.75+N($O347)*0.5+N($P347)*0.25)+$W347*N($L347))</f>
        <v/>
      </c>
      <c r="Z347" s="35" t="str">
        <f aca="false">IF($G347="","",$U347*1000000+ROW())</f>
        <v/>
      </c>
      <c r="AA347" s="36" t="str">
        <f aca="false">IF($G347="","",MID(IF($C347="",", no division","")&amp;IF($E347="",", no unit","")&amp;IF($H347="",", no career level","")&amp;IF(N($L347)&lt;=0,", no quarter split","")&amp;IF($R347="",", no driver","")&amp;IF(AND($H347&lt;&gt;"",COUNTIF(CareerLevels,$H347)=0),", a career level that is not on the ladder","")&amp;IF(AND($R347&lt;&gt;"",COUNTIF(DriverList,$R347)=0),", a driver that is not on the list","")&amp;IF(ABS(N($L347)-(N($M347)+N($N347)+N($O347)+N($P347)))&gt;0.001,", a total that does not match its quarters",""),3,300))</f>
        <v/>
      </c>
    </row>
    <row r="348" customFormat="false" ht="15" hidden="false" customHeight="false" outlineLevel="0" collapsed="false">
      <c r="A348" s="33" t="str">
        <f aca="false">IF($G348="","","Compliance Group")</f>
        <v/>
      </c>
      <c r="B348" s="19"/>
      <c r="C348" s="19"/>
      <c r="D348" s="19"/>
      <c r="E348" s="19"/>
      <c r="F348" s="19"/>
      <c r="G348" s="19"/>
      <c r="H348" s="19"/>
      <c r="I348" s="19"/>
      <c r="J348" s="19"/>
      <c r="K348" s="19"/>
      <c r="L348" s="19"/>
      <c r="M348" s="19"/>
      <c r="N348" s="19"/>
      <c r="O348" s="19"/>
      <c r="P348" s="19"/>
      <c r="Q348" s="19"/>
      <c r="R348" s="19"/>
      <c r="S348" s="19"/>
      <c r="T348" s="34" t="str">
        <f aca="false">IF($R348="","",IFERROR(INDEX(DriverCategory,MATCH($R348,DriverList,0)),"BAU"))</f>
        <v/>
      </c>
      <c r="U348" s="34" t="str">
        <f aca="false">IF($R348="","",IFERROR(INDEX(DriverRank,MATCH($R348,DriverList,0)),99))</f>
        <v/>
      </c>
      <c r="V348" s="35" t="n">
        <f aca="false">IF($H348="",0,IFERROR(INDEX(LevelBasic,MATCH($H348,LevelList,0))+INDEX(LevelHousing,MATCH($H348,LevelList,0))+INDEX(LevelTransport,MATCH($H348,LevelList,0))+INDEX(LevelBasic,MATCH($H348,LevelList,0))*INDEX(LevelBonus,MATCH($H348,LevelList,0))+(INDEX(LevelBasic,MATCH($H348,LevelList,0))+INDEX(LevelHousing,MATCH($H348,LevelList,0)))*GosiSaudi,0))</f>
        <v>0</v>
      </c>
      <c r="W348" s="35" t="n">
        <f aca="false">IFERROR(INDEX(LevelOneOff,MATCH($H348,LevelList,0)),0)</f>
        <v>0</v>
      </c>
      <c r="X348" s="35" t="str">
        <f aca="false">IF($G348="","",$V348*N($L348))</f>
        <v/>
      </c>
      <c r="Y348" s="35" t="str">
        <f aca="false">IF($G348="","",$V348*(N($M348)*1+N($N348)*0.75+N($O348)*0.5+N($P348)*0.25)+$W348*N($L348))</f>
        <v/>
      </c>
      <c r="Z348" s="35" t="str">
        <f aca="false">IF($G348="","",$U348*1000000+ROW())</f>
        <v/>
      </c>
      <c r="AA348" s="36" t="str">
        <f aca="false">IF($G348="","",MID(IF($C348="",", no division","")&amp;IF($E348="",", no unit","")&amp;IF($H348="",", no career level","")&amp;IF(N($L348)&lt;=0,", no quarter split","")&amp;IF($R348="",", no driver","")&amp;IF(AND($H348&lt;&gt;"",COUNTIF(CareerLevels,$H348)=0),", a career level that is not on the ladder","")&amp;IF(AND($R348&lt;&gt;"",COUNTIF(DriverList,$R348)=0),", a driver that is not on the list","")&amp;IF(ABS(N($L348)-(N($M348)+N($N348)+N($O348)+N($P348)))&gt;0.001,", a total that does not match its quarters",""),3,300))</f>
        <v/>
      </c>
    </row>
    <row r="349" customFormat="false" ht="15" hidden="false" customHeight="false" outlineLevel="0" collapsed="false">
      <c r="A349" s="33" t="str">
        <f aca="false">IF($G349="","","Compliance Group")</f>
        <v/>
      </c>
      <c r="B349" s="19"/>
      <c r="C349" s="19"/>
      <c r="D349" s="19"/>
      <c r="E349" s="19"/>
      <c r="F349" s="19"/>
      <c r="G349" s="19"/>
      <c r="H349" s="19"/>
      <c r="I349" s="19"/>
      <c r="J349" s="19"/>
      <c r="K349" s="19"/>
      <c r="L349" s="19"/>
      <c r="M349" s="19"/>
      <c r="N349" s="19"/>
      <c r="O349" s="19"/>
      <c r="P349" s="19"/>
      <c r="Q349" s="19"/>
      <c r="R349" s="19"/>
      <c r="S349" s="19"/>
      <c r="T349" s="34" t="str">
        <f aca="false">IF($R349="","",IFERROR(INDEX(DriverCategory,MATCH($R349,DriverList,0)),"BAU"))</f>
        <v/>
      </c>
      <c r="U349" s="34" t="str">
        <f aca="false">IF($R349="","",IFERROR(INDEX(DriverRank,MATCH($R349,DriverList,0)),99))</f>
        <v/>
      </c>
      <c r="V349" s="35" t="n">
        <f aca="false">IF($H349="",0,IFERROR(INDEX(LevelBasic,MATCH($H349,LevelList,0))+INDEX(LevelHousing,MATCH($H349,LevelList,0))+INDEX(LevelTransport,MATCH($H349,LevelList,0))+INDEX(LevelBasic,MATCH($H349,LevelList,0))*INDEX(LevelBonus,MATCH($H349,LevelList,0))+(INDEX(LevelBasic,MATCH($H349,LevelList,0))+INDEX(LevelHousing,MATCH($H349,LevelList,0)))*GosiSaudi,0))</f>
        <v>0</v>
      </c>
      <c r="W349" s="35" t="n">
        <f aca="false">IFERROR(INDEX(LevelOneOff,MATCH($H349,LevelList,0)),0)</f>
        <v>0</v>
      </c>
      <c r="X349" s="35" t="str">
        <f aca="false">IF($G349="","",$V349*N($L349))</f>
        <v/>
      </c>
      <c r="Y349" s="35" t="str">
        <f aca="false">IF($G349="","",$V349*(N($M349)*1+N($N349)*0.75+N($O349)*0.5+N($P349)*0.25)+$W349*N($L349))</f>
        <v/>
      </c>
      <c r="Z349" s="35" t="str">
        <f aca="false">IF($G349="","",$U349*1000000+ROW())</f>
        <v/>
      </c>
      <c r="AA349" s="36" t="str">
        <f aca="false">IF($G349="","",MID(IF($C349="",", no division","")&amp;IF($E349="",", no unit","")&amp;IF($H349="",", no career level","")&amp;IF(N($L349)&lt;=0,", no quarter split","")&amp;IF($R349="",", no driver","")&amp;IF(AND($H349&lt;&gt;"",COUNTIF(CareerLevels,$H349)=0),", a career level that is not on the ladder","")&amp;IF(AND($R349&lt;&gt;"",COUNTIF(DriverList,$R349)=0),", a driver that is not on the list","")&amp;IF(ABS(N($L349)-(N($M349)+N($N349)+N($O349)+N($P349)))&gt;0.001,", a total that does not match its quarters",""),3,300))</f>
        <v/>
      </c>
    </row>
    <row r="350" customFormat="false" ht="15" hidden="false" customHeight="false" outlineLevel="0" collapsed="false">
      <c r="A350" s="33" t="str">
        <f aca="false">IF($G350="","","Compliance Group")</f>
        <v/>
      </c>
      <c r="B350" s="19"/>
      <c r="C350" s="19"/>
      <c r="D350" s="19"/>
      <c r="E350" s="19"/>
      <c r="F350" s="19"/>
      <c r="G350" s="19"/>
      <c r="H350" s="19"/>
      <c r="I350" s="19"/>
      <c r="J350" s="19"/>
      <c r="K350" s="19"/>
      <c r="L350" s="19"/>
      <c r="M350" s="19"/>
      <c r="N350" s="19"/>
      <c r="O350" s="19"/>
      <c r="P350" s="19"/>
      <c r="Q350" s="19"/>
      <c r="R350" s="19"/>
      <c r="S350" s="19"/>
      <c r="T350" s="34" t="str">
        <f aca="false">IF($R350="","",IFERROR(INDEX(DriverCategory,MATCH($R350,DriverList,0)),"BAU"))</f>
        <v/>
      </c>
      <c r="U350" s="34" t="str">
        <f aca="false">IF($R350="","",IFERROR(INDEX(DriverRank,MATCH($R350,DriverList,0)),99))</f>
        <v/>
      </c>
      <c r="V350" s="35" t="n">
        <f aca="false">IF($H350="",0,IFERROR(INDEX(LevelBasic,MATCH($H350,LevelList,0))+INDEX(LevelHousing,MATCH($H350,LevelList,0))+INDEX(LevelTransport,MATCH($H350,LevelList,0))+INDEX(LevelBasic,MATCH($H350,LevelList,0))*INDEX(LevelBonus,MATCH($H350,LevelList,0))+(INDEX(LevelBasic,MATCH($H350,LevelList,0))+INDEX(LevelHousing,MATCH($H350,LevelList,0)))*GosiSaudi,0))</f>
        <v>0</v>
      </c>
      <c r="W350" s="35" t="n">
        <f aca="false">IFERROR(INDEX(LevelOneOff,MATCH($H350,LevelList,0)),0)</f>
        <v>0</v>
      </c>
      <c r="X350" s="35" t="str">
        <f aca="false">IF($G350="","",$V350*N($L350))</f>
        <v/>
      </c>
      <c r="Y350" s="35" t="str">
        <f aca="false">IF($G350="","",$V350*(N($M350)*1+N($N350)*0.75+N($O350)*0.5+N($P350)*0.25)+$W350*N($L350))</f>
        <v/>
      </c>
      <c r="Z350" s="35" t="str">
        <f aca="false">IF($G350="","",$U350*1000000+ROW())</f>
        <v/>
      </c>
      <c r="AA350" s="36" t="str">
        <f aca="false">IF($G350="","",MID(IF($C350="",", no division","")&amp;IF($E350="",", no unit","")&amp;IF($H350="",", no career level","")&amp;IF(N($L350)&lt;=0,", no quarter split","")&amp;IF($R350="",", no driver","")&amp;IF(AND($H350&lt;&gt;"",COUNTIF(CareerLevels,$H350)=0),", a career level that is not on the ladder","")&amp;IF(AND($R350&lt;&gt;"",COUNTIF(DriverList,$R350)=0),", a driver that is not on the list","")&amp;IF(ABS(N($L350)-(N($M350)+N($N350)+N($O350)+N($P350)))&gt;0.001,", a total that does not match its quarters",""),3,300))</f>
        <v/>
      </c>
    </row>
    <row r="351" customFormat="false" ht="15" hidden="false" customHeight="false" outlineLevel="0" collapsed="false">
      <c r="A351" s="33" t="str">
        <f aca="false">IF($G351="","","Compliance Group")</f>
        <v/>
      </c>
      <c r="B351" s="19"/>
      <c r="C351" s="19"/>
      <c r="D351" s="19"/>
      <c r="E351" s="19"/>
      <c r="F351" s="19"/>
      <c r="G351" s="19"/>
      <c r="H351" s="19"/>
      <c r="I351" s="19"/>
      <c r="J351" s="19"/>
      <c r="K351" s="19"/>
      <c r="L351" s="19"/>
      <c r="M351" s="19"/>
      <c r="N351" s="19"/>
      <c r="O351" s="19"/>
      <c r="P351" s="19"/>
      <c r="Q351" s="19"/>
      <c r="R351" s="19"/>
      <c r="S351" s="19"/>
      <c r="T351" s="34" t="str">
        <f aca="false">IF($R351="","",IFERROR(INDEX(DriverCategory,MATCH($R351,DriverList,0)),"BAU"))</f>
        <v/>
      </c>
      <c r="U351" s="34" t="str">
        <f aca="false">IF($R351="","",IFERROR(INDEX(DriverRank,MATCH($R351,DriverList,0)),99))</f>
        <v/>
      </c>
      <c r="V351" s="35" t="n">
        <f aca="false">IF($H351="",0,IFERROR(INDEX(LevelBasic,MATCH($H351,LevelList,0))+INDEX(LevelHousing,MATCH($H351,LevelList,0))+INDEX(LevelTransport,MATCH($H351,LevelList,0))+INDEX(LevelBasic,MATCH($H351,LevelList,0))*INDEX(LevelBonus,MATCH($H351,LevelList,0))+(INDEX(LevelBasic,MATCH($H351,LevelList,0))+INDEX(LevelHousing,MATCH($H351,LevelList,0)))*GosiSaudi,0))</f>
        <v>0</v>
      </c>
      <c r="W351" s="35" t="n">
        <f aca="false">IFERROR(INDEX(LevelOneOff,MATCH($H351,LevelList,0)),0)</f>
        <v>0</v>
      </c>
      <c r="X351" s="35" t="str">
        <f aca="false">IF($G351="","",$V351*N($L351))</f>
        <v/>
      </c>
      <c r="Y351" s="35" t="str">
        <f aca="false">IF($G351="","",$V351*(N($M351)*1+N($N351)*0.75+N($O351)*0.5+N($P351)*0.25)+$W351*N($L351))</f>
        <v/>
      </c>
      <c r="Z351" s="35" t="str">
        <f aca="false">IF($G351="","",$U351*1000000+ROW())</f>
        <v/>
      </c>
      <c r="AA351" s="36" t="str">
        <f aca="false">IF($G351="","",MID(IF($C351="",", no division","")&amp;IF($E351="",", no unit","")&amp;IF($H351="",", no career level","")&amp;IF(N($L351)&lt;=0,", no quarter split","")&amp;IF($R351="",", no driver","")&amp;IF(AND($H351&lt;&gt;"",COUNTIF(CareerLevels,$H351)=0),", a career level that is not on the ladder","")&amp;IF(AND($R351&lt;&gt;"",COUNTIF(DriverList,$R351)=0),", a driver that is not on the list","")&amp;IF(ABS(N($L351)-(N($M351)+N($N351)+N($O351)+N($P351)))&gt;0.001,", a total that does not match its quarters",""),3,300))</f>
        <v/>
      </c>
    </row>
    <row r="352" customFormat="false" ht="15" hidden="false" customHeight="false" outlineLevel="0" collapsed="false">
      <c r="A352" s="33" t="str">
        <f aca="false">IF($G352="","","Compliance Group")</f>
        <v/>
      </c>
      <c r="B352" s="19"/>
      <c r="C352" s="19"/>
      <c r="D352" s="19"/>
      <c r="E352" s="19"/>
      <c r="F352" s="19"/>
      <c r="G352" s="19"/>
      <c r="H352" s="19"/>
      <c r="I352" s="19"/>
      <c r="J352" s="19"/>
      <c r="K352" s="19"/>
      <c r="L352" s="19"/>
      <c r="M352" s="19"/>
      <c r="N352" s="19"/>
      <c r="O352" s="19"/>
      <c r="P352" s="19"/>
      <c r="Q352" s="19"/>
      <c r="R352" s="19"/>
      <c r="S352" s="19"/>
      <c r="T352" s="34" t="str">
        <f aca="false">IF($R352="","",IFERROR(INDEX(DriverCategory,MATCH($R352,DriverList,0)),"BAU"))</f>
        <v/>
      </c>
      <c r="U352" s="34" t="str">
        <f aca="false">IF($R352="","",IFERROR(INDEX(DriverRank,MATCH($R352,DriverList,0)),99))</f>
        <v/>
      </c>
      <c r="V352" s="35" t="n">
        <f aca="false">IF($H352="",0,IFERROR(INDEX(LevelBasic,MATCH($H352,LevelList,0))+INDEX(LevelHousing,MATCH($H352,LevelList,0))+INDEX(LevelTransport,MATCH($H352,LevelList,0))+INDEX(LevelBasic,MATCH($H352,LevelList,0))*INDEX(LevelBonus,MATCH($H352,LevelList,0))+(INDEX(LevelBasic,MATCH($H352,LevelList,0))+INDEX(LevelHousing,MATCH($H352,LevelList,0)))*GosiSaudi,0))</f>
        <v>0</v>
      </c>
      <c r="W352" s="35" t="n">
        <f aca="false">IFERROR(INDEX(LevelOneOff,MATCH($H352,LevelList,0)),0)</f>
        <v>0</v>
      </c>
      <c r="X352" s="35" t="str">
        <f aca="false">IF($G352="","",$V352*N($L352))</f>
        <v/>
      </c>
      <c r="Y352" s="35" t="str">
        <f aca="false">IF($G352="","",$V352*(N($M352)*1+N($N352)*0.75+N($O352)*0.5+N($P352)*0.25)+$W352*N($L352))</f>
        <v/>
      </c>
      <c r="Z352" s="35" t="str">
        <f aca="false">IF($G352="","",$U352*1000000+ROW())</f>
        <v/>
      </c>
      <c r="AA352" s="36" t="str">
        <f aca="false">IF($G352="","",MID(IF($C352="",", no division","")&amp;IF($E352="",", no unit","")&amp;IF($H352="",", no career level","")&amp;IF(N($L352)&lt;=0,", no quarter split","")&amp;IF($R352="",", no driver","")&amp;IF(AND($H352&lt;&gt;"",COUNTIF(CareerLevels,$H352)=0),", a career level that is not on the ladder","")&amp;IF(AND($R352&lt;&gt;"",COUNTIF(DriverList,$R352)=0),", a driver that is not on the list","")&amp;IF(ABS(N($L352)-(N($M352)+N($N352)+N($O352)+N($P352)))&gt;0.001,", a total that does not match its quarters",""),3,300))</f>
        <v/>
      </c>
    </row>
    <row r="353" customFormat="false" ht="15" hidden="false" customHeight="false" outlineLevel="0" collapsed="false">
      <c r="A353" s="33" t="str">
        <f aca="false">IF($G353="","","Compliance Group")</f>
        <v/>
      </c>
      <c r="B353" s="19"/>
      <c r="C353" s="19"/>
      <c r="D353" s="19"/>
      <c r="E353" s="19"/>
      <c r="F353" s="19"/>
      <c r="G353" s="19"/>
      <c r="H353" s="19"/>
      <c r="I353" s="19"/>
      <c r="J353" s="19"/>
      <c r="K353" s="19"/>
      <c r="L353" s="19"/>
      <c r="M353" s="19"/>
      <c r="N353" s="19"/>
      <c r="O353" s="19"/>
      <c r="P353" s="19"/>
      <c r="Q353" s="19"/>
      <c r="R353" s="19"/>
      <c r="S353" s="19"/>
      <c r="T353" s="34" t="str">
        <f aca="false">IF($R353="","",IFERROR(INDEX(DriverCategory,MATCH($R353,DriverList,0)),"BAU"))</f>
        <v/>
      </c>
      <c r="U353" s="34" t="str">
        <f aca="false">IF($R353="","",IFERROR(INDEX(DriverRank,MATCH($R353,DriverList,0)),99))</f>
        <v/>
      </c>
      <c r="V353" s="35" t="n">
        <f aca="false">IF($H353="",0,IFERROR(INDEX(LevelBasic,MATCH($H353,LevelList,0))+INDEX(LevelHousing,MATCH($H353,LevelList,0))+INDEX(LevelTransport,MATCH($H353,LevelList,0))+INDEX(LevelBasic,MATCH($H353,LevelList,0))*INDEX(LevelBonus,MATCH($H353,LevelList,0))+(INDEX(LevelBasic,MATCH($H353,LevelList,0))+INDEX(LevelHousing,MATCH($H353,LevelList,0)))*GosiSaudi,0))</f>
        <v>0</v>
      </c>
      <c r="W353" s="35" t="n">
        <f aca="false">IFERROR(INDEX(LevelOneOff,MATCH($H353,LevelList,0)),0)</f>
        <v>0</v>
      </c>
      <c r="X353" s="35" t="str">
        <f aca="false">IF($G353="","",$V353*N($L353))</f>
        <v/>
      </c>
      <c r="Y353" s="35" t="str">
        <f aca="false">IF($G353="","",$V353*(N($M353)*1+N($N353)*0.75+N($O353)*0.5+N($P353)*0.25)+$W353*N($L353))</f>
        <v/>
      </c>
      <c r="Z353" s="35" t="str">
        <f aca="false">IF($G353="","",$U353*1000000+ROW())</f>
        <v/>
      </c>
      <c r="AA353" s="36" t="str">
        <f aca="false">IF($G353="","",MID(IF($C353="",", no division","")&amp;IF($E353="",", no unit","")&amp;IF($H353="",", no career level","")&amp;IF(N($L353)&lt;=0,", no quarter split","")&amp;IF($R353="",", no driver","")&amp;IF(AND($H353&lt;&gt;"",COUNTIF(CareerLevels,$H353)=0),", a career level that is not on the ladder","")&amp;IF(AND($R353&lt;&gt;"",COUNTIF(DriverList,$R353)=0),", a driver that is not on the list","")&amp;IF(ABS(N($L353)-(N($M353)+N($N353)+N($O353)+N($P353)))&gt;0.001,", a total that does not match its quarters",""),3,300))</f>
        <v/>
      </c>
    </row>
    <row r="354" customFormat="false" ht="15" hidden="false" customHeight="false" outlineLevel="0" collapsed="false">
      <c r="A354" s="33" t="str">
        <f aca="false">IF($G354="","","Compliance Group")</f>
        <v/>
      </c>
      <c r="B354" s="19"/>
      <c r="C354" s="19"/>
      <c r="D354" s="19"/>
      <c r="E354" s="19"/>
      <c r="F354" s="19"/>
      <c r="G354" s="19"/>
      <c r="H354" s="19"/>
      <c r="I354" s="19"/>
      <c r="J354" s="19"/>
      <c r="K354" s="19"/>
      <c r="L354" s="19"/>
      <c r="M354" s="19"/>
      <c r="N354" s="19"/>
      <c r="O354" s="19"/>
      <c r="P354" s="19"/>
      <c r="Q354" s="19"/>
      <c r="R354" s="19"/>
      <c r="S354" s="19"/>
      <c r="T354" s="34" t="str">
        <f aca="false">IF($R354="","",IFERROR(INDEX(DriverCategory,MATCH($R354,DriverList,0)),"BAU"))</f>
        <v/>
      </c>
      <c r="U354" s="34" t="str">
        <f aca="false">IF($R354="","",IFERROR(INDEX(DriverRank,MATCH($R354,DriverList,0)),99))</f>
        <v/>
      </c>
      <c r="V354" s="35" t="n">
        <f aca="false">IF($H354="",0,IFERROR(INDEX(LevelBasic,MATCH($H354,LevelList,0))+INDEX(LevelHousing,MATCH($H354,LevelList,0))+INDEX(LevelTransport,MATCH($H354,LevelList,0))+INDEX(LevelBasic,MATCH($H354,LevelList,0))*INDEX(LevelBonus,MATCH($H354,LevelList,0))+(INDEX(LevelBasic,MATCH($H354,LevelList,0))+INDEX(LevelHousing,MATCH($H354,LevelList,0)))*GosiSaudi,0))</f>
        <v>0</v>
      </c>
      <c r="W354" s="35" t="n">
        <f aca="false">IFERROR(INDEX(LevelOneOff,MATCH($H354,LevelList,0)),0)</f>
        <v>0</v>
      </c>
      <c r="X354" s="35" t="str">
        <f aca="false">IF($G354="","",$V354*N($L354))</f>
        <v/>
      </c>
      <c r="Y354" s="35" t="str">
        <f aca="false">IF($G354="","",$V354*(N($M354)*1+N($N354)*0.75+N($O354)*0.5+N($P354)*0.25)+$W354*N($L354))</f>
        <v/>
      </c>
      <c r="Z354" s="35" t="str">
        <f aca="false">IF($G354="","",$U354*1000000+ROW())</f>
        <v/>
      </c>
      <c r="AA354" s="36" t="str">
        <f aca="false">IF($G354="","",MID(IF($C354="",", no division","")&amp;IF($E354="",", no unit","")&amp;IF($H354="",", no career level","")&amp;IF(N($L354)&lt;=0,", no quarter split","")&amp;IF($R354="",", no driver","")&amp;IF(AND($H354&lt;&gt;"",COUNTIF(CareerLevels,$H354)=0),", a career level that is not on the ladder","")&amp;IF(AND($R354&lt;&gt;"",COUNTIF(DriverList,$R354)=0),", a driver that is not on the list","")&amp;IF(ABS(N($L354)-(N($M354)+N($N354)+N($O354)+N($P354)))&gt;0.001,", a total that does not match its quarters",""),3,300))</f>
        <v/>
      </c>
    </row>
    <row r="355" customFormat="false" ht="15" hidden="false" customHeight="false" outlineLevel="0" collapsed="false">
      <c r="A355" s="33" t="str">
        <f aca="false">IF($G355="","","Compliance Group")</f>
        <v/>
      </c>
      <c r="B355" s="19"/>
      <c r="C355" s="19"/>
      <c r="D355" s="19"/>
      <c r="E355" s="19"/>
      <c r="F355" s="19"/>
      <c r="G355" s="19"/>
      <c r="H355" s="19"/>
      <c r="I355" s="19"/>
      <c r="J355" s="19"/>
      <c r="K355" s="19"/>
      <c r="L355" s="19"/>
      <c r="M355" s="19"/>
      <c r="N355" s="19"/>
      <c r="O355" s="19"/>
      <c r="P355" s="19"/>
      <c r="Q355" s="19"/>
      <c r="R355" s="19"/>
      <c r="S355" s="19"/>
      <c r="T355" s="34" t="str">
        <f aca="false">IF($R355="","",IFERROR(INDEX(DriverCategory,MATCH($R355,DriverList,0)),"BAU"))</f>
        <v/>
      </c>
      <c r="U355" s="34" t="str">
        <f aca="false">IF($R355="","",IFERROR(INDEX(DriverRank,MATCH($R355,DriverList,0)),99))</f>
        <v/>
      </c>
      <c r="V355" s="35" t="n">
        <f aca="false">IF($H355="",0,IFERROR(INDEX(LevelBasic,MATCH($H355,LevelList,0))+INDEX(LevelHousing,MATCH($H355,LevelList,0))+INDEX(LevelTransport,MATCH($H355,LevelList,0))+INDEX(LevelBasic,MATCH($H355,LevelList,0))*INDEX(LevelBonus,MATCH($H355,LevelList,0))+(INDEX(LevelBasic,MATCH($H355,LevelList,0))+INDEX(LevelHousing,MATCH($H355,LevelList,0)))*GosiSaudi,0))</f>
        <v>0</v>
      </c>
      <c r="W355" s="35" t="n">
        <f aca="false">IFERROR(INDEX(LevelOneOff,MATCH($H355,LevelList,0)),0)</f>
        <v>0</v>
      </c>
      <c r="X355" s="35" t="str">
        <f aca="false">IF($G355="","",$V355*N($L355))</f>
        <v/>
      </c>
      <c r="Y355" s="35" t="str">
        <f aca="false">IF($G355="","",$V355*(N($M355)*1+N($N355)*0.75+N($O355)*0.5+N($P355)*0.25)+$W355*N($L355))</f>
        <v/>
      </c>
      <c r="Z355" s="35" t="str">
        <f aca="false">IF($G355="","",$U355*1000000+ROW())</f>
        <v/>
      </c>
      <c r="AA355" s="36" t="str">
        <f aca="false">IF($G355="","",MID(IF($C355="",", no division","")&amp;IF($E355="",", no unit","")&amp;IF($H355="",", no career level","")&amp;IF(N($L355)&lt;=0,", no quarter split","")&amp;IF($R355="",", no driver","")&amp;IF(AND($H355&lt;&gt;"",COUNTIF(CareerLevels,$H355)=0),", a career level that is not on the ladder","")&amp;IF(AND($R355&lt;&gt;"",COUNTIF(DriverList,$R355)=0),", a driver that is not on the list","")&amp;IF(ABS(N($L355)-(N($M355)+N($N355)+N($O355)+N($P355)))&gt;0.001,", a total that does not match its quarters",""),3,300))</f>
        <v/>
      </c>
    </row>
    <row r="356" customFormat="false" ht="15" hidden="false" customHeight="false" outlineLevel="0" collapsed="false">
      <c r="A356" s="33" t="str">
        <f aca="false">IF($G356="","","Compliance Group")</f>
        <v/>
      </c>
      <c r="B356" s="19"/>
      <c r="C356" s="19"/>
      <c r="D356" s="19"/>
      <c r="E356" s="19"/>
      <c r="F356" s="19"/>
      <c r="G356" s="19"/>
      <c r="H356" s="19"/>
      <c r="I356" s="19"/>
      <c r="J356" s="19"/>
      <c r="K356" s="19"/>
      <c r="L356" s="19"/>
      <c r="M356" s="19"/>
      <c r="N356" s="19"/>
      <c r="O356" s="19"/>
      <c r="P356" s="19"/>
      <c r="Q356" s="19"/>
      <c r="R356" s="19"/>
      <c r="S356" s="19"/>
      <c r="T356" s="34" t="str">
        <f aca="false">IF($R356="","",IFERROR(INDEX(DriverCategory,MATCH($R356,DriverList,0)),"BAU"))</f>
        <v/>
      </c>
      <c r="U356" s="34" t="str">
        <f aca="false">IF($R356="","",IFERROR(INDEX(DriverRank,MATCH($R356,DriverList,0)),99))</f>
        <v/>
      </c>
      <c r="V356" s="35" t="n">
        <f aca="false">IF($H356="",0,IFERROR(INDEX(LevelBasic,MATCH($H356,LevelList,0))+INDEX(LevelHousing,MATCH($H356,LevelList,0))+INDEX(LevelTransport,MATCH($H356,LevelList,0))+INDEX(LevelBasic,MATCH($H356,LevelList,0))*INDEX(LevelBonus,MATCH($H356,LevelList,0))+(INDEX(LevelBasic,MATCH($H356,LevelList,0))+INDEX(LevelHousing,MATCH($H356,LevelList,0)))*GosiSaudi,0))</f>
        <v>0</v>
      </c>
      <c r="W356" s="35" t="n">
        <f aca="false">IFERROR(INDEX(LevelOneOff,MATCH($H356,LevelList,0)),0)</f>
        <v>0</v>
      </c>
      <c r="X356" s="35" t="str">
        <f aca="false">IF($G356="","",$V356*N($L356))</f>
        <v/>
      </c>
      <c r="Y356" s="35" t="str">
        <f aca="false">IF($G356="","",$V356*(N($M356)*1+N($N356)*0.75+N($O356)*0.5+N($P356)*0.25)+$W356*N($L356))</f>
        <v/>
      </c>
      <c r="Z356" s="35" t="str">
        <f aca="false">IF($G356="","",$U356*1000000+ROW())</f>
        <v/>
      </c>
      <c r="AA356" s="36" t="str">
        <f aca="false">IF($G356="","",MID(IF($C356="",", no division","")&amp;IF($E356="",", no unit","")&amp;IF($H356="",", no career level","")&amp;IF(N($L356)&lt;=0,", no quarter split","")&amp;IF($R356="",", no driver","")&amp;IF(AND($H356&lt;&gt;"",COUNTIF(CareerLevels,$H356)=0),", a career level that is not on the ladder","")&amp;IF(AND($R356&lt;&gt;"",COUNTIF(DriverList,$R356)=0),", a driver that is not on the list","")&amp;IF(ABS(N($L356)-(N($M356)+N($N356)+N($O356)+N($P356)))&gt;0.001,", a total that does not match its quarters",""),3,300))</f>
        <v/>
      </c>
    </row>
    <row r="357" customFormat="false" ht="15" hidden="false" customHeight="false" outlineLevel="0" collapsed="false">
      <c r="A357" s="33" t="str">
        <f aca="false">IF($G357="","","Compliance Group")</f>
        <v/>
      </c>
      <c r="B357" s="19"/>
      <c r="C357" s="19"/>
      <c r="D357" s="19"/>
      <c r="E357" s="19"/>
      <c r="F357" s="19"/>
      <c r="G357" s="19"/>
      <c r="H357" s="19"/>
      <c r="I357" s="19"/>
      <c r="J357" s="19"/>
      <c r="K357" s="19"/>
      <c r="L357" s="19"/>
      <c r="M357" s="19"/>
      <c r="N357" s="19"/>
      <c r="O357" s="19"/>
      <c r="P357" s="19"/>
      <c r="Q357" s="19"/>
      <c r="R357" s="19"/>
      <c r="S357" s="19"/>
      <c r="T357" s="34" t="str">
        <f aca="false">IF($R357="","",IFERROR(INDEX(DriverCategory,MATCH($R357,DriverList,0)),"BAU"))</f>
        <v/>
      </c>
      <c r="U357" s="34" t="str">
        <f aca="false">IF($R357="","",IFERROR(INDEX(DriverRank,MATCH($R357,DriverList,0)),99))</f>
        <v/>
      </c>
      <c r="V357" s="35" t="n">
        <f aca="false">IF($H357="",0,IFERROR(INDEX(LevelBasic,MATCH($H357,LevelList,0))+INDEX(LevelHousing,MATCH($H357,LevelList,0))+INDEX(LevelTransport,MATCH($H357,LevelList,0))+INDEX(LevelBasic,MATCH($H357,LevelList,0))*INDEX(LevelBonus,MATCH($H357,LevelList,0))+(INDEX(LevelBasic,MATCH($H357,LevelList,0))+INDEX(LevelHousing,MATCH($H357,LevelList,0)))*GosiSaudi,0))</f>
        <v>0</v>
      </c>
      <c r="W357" s="35" t="n">
        <f aca="false">IFERROR(INDEX(LevelOneOff,MATCH($H357,LevelList,0)),0)</f>
        <v>0</v>
      </c>
      <c r="X357" s="35" t="str">
        <f aca="false">IF($G357="","",$V357*N($L357))</f>
        <v/>
      </c>
      <c r="Y357" s="35" t="str">
        <f aca="false">IF($G357="","",$V357*(N($M357)*1+N($N357)*0.75+N($O357)*0.5+N($P357)*0.25)+$W357*N($L357))</f>
        <v/>
      </c>
      <c r="Z357" s="35" t="str">
        <f aca="false">IF($G357="","",$U357*1000000+ROW())</f>
        <v/>
      </c>
      <c r="AA357" s="36" t="str">
        <f aca="false">IF($G357="","",MID(IF($C357="",", no division","")&amp;IF($E357="",", no unit","")&amp;IF($H357="",", no career level","")&amp;IF(N($L357)&lt;=0,", no quarter split","")&amp;IF($R357="",", no driver","")&amp;IF(AND($H357&lt;&gt;"",COUNTIF(CareerLevels,$H357)=0),", a career level that is not on the ladder","")&amp;IF(AND($R357&lt;&gt;"",COUNTIF(DriverList,$R357)=0),", a driver that is not on the list","")&amp;IF(ABS(N($L357)-(N($M357)+N($N357)+N($O357)+N($P357)))&gt;0.001,", a total that does not match its quarters",""),3,300))</f>
        <v/>
      </c>
    </row>
    <row r="358" customFormat="false" ht="15" hidden="false" customHeight="false" outlineLevel="0" collapsed="false">
      <c r="A358" s="33" t="str">
        <f aca="false">IF($G358="","","Compliance Group")</f>
        <v/>
      </c>
      <c r="B358" s="19"/>
      <c r="C358" s="19"/>
      <c r="D358" s="19"/>
      <c r="E358" s="19"/>
      <c r="F358" s="19"/>
      <c r="G358" s="19"/>
      <c r="H358" s="19"/>
      <c r="I358" s="19"/>
      <c r="J358" s="19"/>
      <c r="K358" s="19"/>
      <c r="L358" s="19"/>
      <c r="M358" s="19"/>
      <c r="N358" s="19"/>
      <c r="O358" s="19"/>
      <c r="P358" s="19"/>
      <c r="Q358" s="19"/>
      <c r="R358" s="19"/>
      <c r="S358" s="19"/>
      <c r="T358" s="34" t="str">
        <f aca="false">IF($R358="","",IFERROR(INDEX(DriverCategory,MATCH($R358,DriverList,0)),"BAU"))</f>
        <v/>
      </c>
      <c r="U358" s="34" t="str">
        <f aca="false">IF($R358="","",IFERROR(INDEX(DriverRank,MATCH($R358,DriverList,0)),99))</f>
        <v/>
      </c>
      <c r="V358" s="35" t="n">
        <f aca="false">IF($H358="",0,IFERROR(INDEX(LevelBasic,MATCH($H358,LevelList,0))+INDEX(LevelHousing,MATCH($H358,LevelList,0))+INDEX(LevelTransport,MATCH($H358,LevelList,0))+INDEX(LevelBasic,MATCH($H358,LevelList,0))*INDEX(LevelBonus,MATCH($H358,LevelList,0))+(INDEX(LevelBasic,MATCH($H358,LevelList,0))+INDEX(LevelHousing,MATCH($H358,LevelList,0)))*GosiSaudi,0))</f>
        <v>0</v>
      </c>
      <c r="W358" s="35" t="n">
        <f aca="false">IFERROR(INDEX(LevelOneOff,MATCH($H358,LevelList,0)),0)</f>
        <v>0</v>
      </c>
      <c r="X358" s="35" t="str">
        <f aca="false">IF($G358="","",$V358*N($L358))</f>
        <v/>
      </c>
      <c r="Y358" s="35" t="str">
        <f aca="false">IF($G358="","",$V358*(N($M358)*1+N($N358)*0.75+N($O358)*0.5+N($P358)*0.25)+$W358*N($L358))</f>
        <v/>
      </c>
      <c r="Z358" s="35" t="str">
        <f aca="false">IF($G358="","",$U358*1000000+ROW())</f>
        <v/>
      </c>
      <c r="AA358" s="36" t="str">
        <f aca="false">IF($G358="","",MID(IF($C358="",", no division","")&amp;IF($E358="",", no unit","")&amp;IF($H358="",", no career level","")&amp;IF(N($L358)&lt;=0,", no quarter split","")&amp;IF($R358="",", no driver","")&amp;IF(AND($H358&lt;&gt;"",COUNTIF(CareerLevels,$H358)=0),", a career level that is not on the ladder","")&amp;IF(AND($R358&lt;&gt;"",COUNTIF(DriverList,$R358)=0),", a driver that is not on the list","")&amp;IF(ABS(N($L358)-(N($M358)+N($N358)+N($O358)+N($P358)))&gt;0.001,", a total that does not match its quarters",""),3,300))</f>
        <v/>
      </c>
    </row>
    <row r="359" customFormat="false" ht="15" hidden="false" customHeight="false" outlineLevel="0" collapsed="false">
      <c r="A359" s="33" t="str">
        <f aca="false">IF($G359="","","Compliance Group")</f>
        <v/>
      </c>
      <c r="B359" s="19"/>
      <c r="C359" s="19"/>
      <c r="D359" s="19"/>
      <c r="E359" s="19"/>
      <c r="F359" s="19"/>
      <c r="G359" s="19"/>
      <c r="H359" s="19"/>
      <c r="I359" s="19"/>
      <c r="J359" s="19"/>
      <c r="K359" s="19"/>
      <c r="L359" s="19"/>
      <c r="M359" s="19"/>
      <c r="N359" s="19"/>
      <c r="O359" s="19"/>
      <c r="P359" s="19"/>
      <c r="Q359" s="19"/>
      <c r="R359" s="19"/>
      <c r="S359" s="19"/>
      <c r="T359" s="34" t="str">
        <f aca="false">IF($R359="","",IFERROR(INDEX(DriverCategory,MATCH($R359,DriverList,0)),"BAU"))</f>
        <v/>
      </c>
      <c r="U359" s="34" t="str">
        <f aca="false">IF($R359="","",IFERROR(INDEX(DriverRank,MATCH($R359,DriverList,0)),99))</f>
        <v/>
      </c>
      <c r="V359" s="35" t="n">
        <f aca="false">IF($H359="",0,IFERROR(INDEX(LevelBasic,MATCH($H359,LevelList,0))+INDEX(LevelHousing,MATCH($H359,LevelList,0))+INDEX(LevelTransport,MATCH($H359,LevelList,0))+INDEX(LevelBasic,MATCH($H359,LevelList,0))*INDEX(LevelBonus,MATCH($H359,LevelList,0))+(INDEX(LevelBasic,MATCH($H359,LevelList,0))+INDEX(LevelHousing,MATCH($H359,LevelList,0)))*GosiSaudi,0))</f>
        <v>0</v>
      </c>
      <c r="W359" s="35" t="n">
        <f aca="false">IFERROR(INDEX(LevelOneOff,MATCH($H359,LevelList,0)),0)</f>
        <v>0</v>
      </c>
      <c r="X359" s="35" t="str">
        <f aca="false">IF($G359="","",$V359*N($L359))</f>
        <v/>
      </c>
      <c r="Y359" s="35" t="str">
        <f aca="false">IF($G359="","",$V359*(N($M359)*1+N($N359)*0.75+N($O359)*0.5+N($P359)*0.25)+$W359*N($L359))</f>
        <v/>
      </c>
      <c r="Z359" s="35" t="str">
        <f aca="false">IF($G359="","",$U359*1000000+ROW())</f>
        <v/>
      </c>
      <c r="AA359" s="36" t="str">
        <f aca="false">IF($G359="","",MID(IF($C359="",", no division","")&amp;IF($E359="",", no unit","")&amp;IF($H359="",", no career level","")&amp;IF(N($L359)&lt;=0,", no quarter split","")&amp;IF($R359="",", no driver","")&amp;IF(AND($H359&lt;&gt;"",COUNTIF(CareerLevels,$H359)=0),", a career level that is not on the ladder","")&amp;IF(AND($R359&lt;&gt;"",COUNTIF(DriverList,$R359)=0),", a driver that is not on the list","")&amp;IF(ABS(N($L359)-(N($M359)+N($N359)+N($O359)+N($P359)))&gt;0.001,", a total that does not match its quarters",""),3,300))</f>
        <v/>
      </c>
    </row>
    <row r="360" customFormat="false" ht="15" hidden="false" customHeight="false" outlineLevel="0" collapsed="false">
      <c r="A360" s="33" t="str">
        <f aca="false">IF($G360="","","Compliance Group")</f>
        <v/>
      </c>
      <c r="B360" s="19"/>
      <c r="C360" s="19"/>
      <c r="D360" s="19"/>
      <c r="E360" s="19"/>
      <c r="F360" s="19"/>
      <c r="G360" s="19"/>
      <c r="H360" s="19"/>
      <c r="I360" s="19"/>
      <c r="J360" s="19"/>
      <c r="K360" s="19"/>
      <c r="L360" s="19"/>
      <c r="M360" s="19"/>
      <c r="N360" s="19"/>
      <c r="O360" s="19"/>
      <c r="P360" s="19"/>
      <c r="Q360" s="19"/>
      <c r="R360" s="19"/>
      <c r="S360" s="19"/>
      <c r="T360" s="34" t="str">
        <f aca="false">IF($R360="","",IFERROR(INDEX(DriverCategory,MATCH($R360,DriverList,0)),"BAU"))</f>
        <v/>
      </c>
      <c r="U360" s="34" t="str">
        <f aca="false">IF($R360="","",IFERROR(INDEX(DriverRank,MATCH($R360,DriverList,0)),99))</f>
        <v/>
      </c>
      <c r="V360" s="35" t="n">
        <f aca="false">IF($H360="",0,IFERROR(INDEX(LevelBasic,MATCH($H360,LevelList,0))+INDEX(LevelHousing,MATCH($H360,LevelList,0))+INDEX(LevelTransport,MATCH($H360,LevelList,0))+INDEX(LevelBasic,MATCH($H360,LevelList,0))*INDEX(LevelBonus,MATCH($H360,LevelList,0))+(INDEX(LevelBasic,MATCH($H360,LevelList,0))+INDEX(LevelHousing,MATCH($H360,LevelList,0)))*GosiSaudi,0))</f>
        <v>0</v>
      </c>
      <c r="W360" s="35" t="n">
        <f aca="false">IFERROR(INDEX(LevelOneOff,MATCH($H360,LevelList,0)),0)</f>
        <v>0</v>
      </c>
      <c r="X360" s="35" t="str">
        <f aca="false">IF($G360="","",$V360*N($L360))</f>
        <v/>
      </c>
      <c r="Y360" s="35" t="str">
        <f aca="false">IF($G360="","",$V360*(N($M360)*1+N($N360)*0.75+N($O360)*0.5+N($P360)*0.25)+$W360*N($L360))</f>
        <v/>
      </c>
      <c r="Z360" s="35" t="str">
        <f aca="false">IF($G360="","",$U360*1000000+ROW())</f>
        <v/>
      </c>
      <c r="AA360" s="36" t="str">
        <f aca="false">IF($G360="","",MID(IF($C360="",", no division","")&amp;IF($E360="",", no unit","")&amp;IF($H360="",", no career level","")&amp;IF(N($L360)&lt;=0,", no quarter split","")&amp;IF($R360="",", no driver","")&amp;IF(AND($H360&lt;&gt;"",COUNTIF(CareerLevels,$H360)=0),", a career level that is not on the ladder","")&amp;IF(AND($R360&lt;&gt;"",COUNTIF(DriverList,$R360)=0),", a driver that is not on the list","")&amp;IF(ABS(N($L360)-(N($M360)+N($N360)+N($O360)+N($P360)))&gt;0.001,", a total that does not match its quarters",""),3,300))</f>
        <v/>
      </c>
    </row>
    <row r="361" customFormat="false" ht="15" hidden="false" customHeight="false" outlineLevel="0" collapsed="false">
      <c r="A361" s="33" t="str">
        <f aca="false">IF($G361="","","Compliance Group")</f>
        <v/>
      </c>
      <c r="B361" s="19"/>
      <c r="C361" s="19"/>
      <c r="D361" s="19"/>
      <c r="E361" s="19"/>
      <c r="F361" s="19"/>
      <c r="G361" s="19"/>
      <c r="H361" s="19"/>
      <c r="I361" s="19"/>
      <c r="J361" s="19"/>
      <c r="K361" s="19"/>
      <c r="L361" s="19"/>
      <c r="M361" s="19"/>
      <c r="N361" s="19"/>
      <c r="O361" s="19"/>
      <c r="P361" s="19"/>
      <c r="Q361" s="19"/>
      <c r="R361" s="19"/>
      <c r="S361" s="19"/>
      <c r="T361" s="34" t="str">
        <f aca="false">IF($R361="","",IFERROR(INDEX(DriverCategory,MATCH($R361,DriverList,0)),"BAU"))</f>
        <v/>
      </c>
      <c r="U361" s="34" t="str">
        <f aca="false">IF($R361="","",IFERROR(INDEX(DriverRank,MATCH($R361,DriverList,0)),99))</f>
        <v/>
      </c>
      <c r="V361" s="35" t="n">
        <f aca="false">IF($H361="",0,IFERROR(INDEX(LevelBasic,MATCH($H361,LevelList,0))+INDEX(LevelHousing,MATCH($H361,LevelList,0))+INDEX(LevelTransport,MATCH($H361,LevelList,0))+INDEX(LevelBasic,MATCH($H361,LevelList,0))*INDEX(LevelBonus,MATCH($H361,LevelList,0))+(INDEX(LevelBasic,MATCH($H361,LevelList,0))+INDEX(LevelHousing,MATCH($H361,LevelList,0)))*GosiSaudi,0))</f>
        <v>0</v>
      </c>
      <c r="W361" s="35" t="n">
        <f aca="false">IFERROR(INDEX(LevelOneOff,MATCH($H361,LevelList,0)),0)</f>
        <v>0</v>
      </c>
      <c r="X361" s="35" t="str">
        <f aca="false">IF($G361="","",$V361*N($L361))</f>
        <v/>
      </c>
      <c r="Y361" s="35" t="str">
        <f aca="false">IF($G361="","",$V361*(N($M361)*1+N($N361)*0.75+N($O361)*0.5+N($P361)*0.25)+$W361*N($L361))</f>
        <v/>
      </c>
      <c r="Z361" s="35" t="str">
        <f aca="false">IF($G361="","",$U361*1000000+ROW())</f>
        <v/>
      </c>
      <c r="AA361" s="36" t="str">
        <f aca="false">IF($G361="","",MID(IF($C361="",", no division","")&amp;IF($E361="",", no unit","")&amp;IF($H361="",", no career level","")&amp;IF(N($L361)&lt;=0,", no quarter split","")&amp;IF($R361="",", no driver","")&amp;IF(AND($H361&lt;&gt;"",COUNTIF(CareerLevels,$H361)=0),", a career level that is not on the ladder","")&amp;IF(AND($R361&lt;&gt;"",COUNTIF(DriverList,$R361)=0),", a driver that is not on the list","")&amp;IF(ABS(N($L361)-(N($M361)+N($N361)+N($O361)+N($P361)))&gt;0.001,", a total that does not match its quarters",""),3,300))</f>
        <v/>
      </c>
    </row>
    <row r="362" customFormat="false" ht="15" hidden="false" customHeight="false" outlineLevel="0" collapsed="false">
      <c r="A362" s="33" t="str">
        <f aca="false">IF($G362="","","Compliance Group")</f>
        <v/>
      </c>
      <c r="B362" s="19"/>
      <c r="C362" s="19"/>
      <c r="D362" s="19"/>
      <c r="E362" s="19"/>
      <c r="F362" s="19"/>
      <c r="G362" s="19"/>
      <c r="H362" s="19"/>
      <c r="I362" s="19"/>
      <c r="J362" s="19"/>
      <c r="K362" s="19"/>
      <c r="L362" s="19"/>
      <c r="M362" s="19"/>
      <c r="N362" s="19"/>
      <c r="O362" s="19"/>
      <c r="P362" s="19"/>
      <c r="Q362" s="19"/>
      <c r="R362" s="19"/>
      <c r="S362" s="19"/>
      <c r="T362" s="34" t="str">
        <f aca="false">IF($R362="","",IFERROR(INDEX(DriverCategory,MATCH($R362,DriverList,0)),"BAU"))</f>
        <v/>
      </c>
      <c r="U362" s="34" t="str">
        <f aca="false">IF($R362="","",IFERROR(INDEX(DriverRank,MATCH($R362,DriverList,0)),99))</f>
        <v/>
      </c>
      <c r="V362" s="35" t="n">
        <f aca="false">IF($H362="",0,IFERROR(INDEX(LevelBasic,MATCH($H362,LevelList,0))+INDEX(LevelHousing,MATCH($H362,LevelList,0))+INDEX(LevelTransport,MATCH($H362,LevelList,0))+INDEX(LevelBasic,MATCH($H362,LevelList,0))*INDEX(LevelBonus,MATCH($H362,LevelList,0))+(INDEX(LevelBasic,MATCH($H362,LevelList,0))+INDEX(LevelHousing,MATCH($H362,LevelList,0)))*GosiSaudi,0))</f>
        <v>0</v>
      </c>
      <c r="W362" s="35" t="n">
        <f aca="false">IFERROR(INDEX(LevelOneOff,MATCH($H362,LevelList,0)),0)</f>
        <v>0</v>
      </c>
      <c r="X362" s="35" t="str">
        <f aca="false">IF($G362="","",$V362*N($L362))</f>
        <v/>
      </c>
      <c r="Y362" s="35" t="str">
        <f aca="false">IF($G362="","",$V362*(N($M362)*1+N($N362)*0.75+N($O362)*0.5+N($P362)*0.25)+$W362*N($L362))</f>
        <v/>
      </c>
      <c r="Z362" s="35" t="str">
        <f aca="false">IF($G362="","",$U362*1000000+ROW())</f>
        <v/>
      </c>
      <c r="AA362" s="36" t="str">
        <f aca="false">IF($G362="","",MID(IF($C362="",", no division","")&amp;IF($E362="",", no unit","")&amp;IF($H362="",", no career level","")&amp;IF(N($L362)&lt;=0,", no quarter split","")&amp;IF($R362="",", no driver","")&amp;IF(AND($H362&lt;&gt;"",COUNTIF(CareerLevels,$H362)=0),", a career level that is not on the ladder","")&amp;IF(AND($R362&lt;&gt;"",COUNTIF(DriverList,$R362)=0),", a driver that is not on the list","")&amp;IF(ABS(N($L362)-(N($M362)+N($N362)+N($O362)+N($P362)))&gt;0.001,", a total that does not match its quarters",""),3,300))</f>
        <v/>
      </c>
    </row>
    <row r="363" customFormat="false" ht="15" hidden="false" customHeight="false" outlineLevel="0" collapsed="false">
      <c r="A363" s="33" t="str">
        <f aca="false">IF($G363="","","Compliance Group")</f>
        <v/>
      </c>
      <c r="B363" s="19"/>
      <c r="C363" s="19"/>
      <c r="D363" s="19"/>
      <c r="E363" s="19"/>
      <c r="F363" s="19"/>
      <c r="G363" s="19"/>
      <c r="H363" s="19"/>
      <c r="I363" s="19"/>
      <c r="J363" s="19"/>
      <c r="K363" s="19"/>
      <c r="L363" s="19"/>
      <c r="M363" s="19"/>
      <c r="N363" s="19"/>
      <c r="O363" s="19"/>
      <c r="P363" s="19"/>
      <c r="Q363" s="19"/>
      <c r="R363" s="19"/>
      <c r="S363" s="19"/>
      <c r="T363" s="34" t="str">
        <f aca="false">IF($R363="","",IFERROR(INDEX(DriverCategory,MATCH($R363,DriverList,0)),"BAU"))</f>
        <v/>
      </c>
      <c r="U363" s="34" t="str">
        <f aca="false">IF($R363="","",IFERROR(INDEX(DriverRank,MATCH($R363,DriverList,0)),99))</f>
        <v/>
      </c>
      <c r="V363" s="35" t="n">
        <f aca="false">IF($H363="",0,IFERROR(INDEX(LevelBasic,MATCH($H363,LevelList,0))+INDEX(LevelHousing,MATCH($H363,LevelList,0))+INDEX(LevelTransport,MATCH($H363,LevelList,0))+INDEX(LevelBasic,MATCH($H363,LevelList,0))*INDEX(LevelBonus,MATCH($H363,LevelList,0))+(INDEX(LevelBasic,MATCH($H363,LevelList,0))+INDEX(LevelHousing,MATCH($H363,LevelList,0)))*GosiSaudi,0))</f>
        <v>0</v>
      </c>
      <c r="W363" s="35" t="n">
        <f aca="false">IFERROR(INDEX(LevelOneOff,MATCH($H363,LevelList,0)),0)</f>
        <v>0</v>
      </c>
      <c r="X363" s="35" t="str">
        <f aca="false">IF($G363="","",$V363*N($L363))</f>
        <v/>
      </c>
      <c r="Y363" s="35" t="str">
        <f aca="false">IF($G363="","",$V363*(N($M363)*1+N($N363)*0.75+N($O363)*0.5+N($P363)*0.25)+$W363*N($L363))</f>
        <v/>
      </c>
      <c r="Z363" s="35" t="str">
        <f aca="false">IF($G363="","",$U363*1000000+ROW())</f>
        <v/>
      </c>
      <c r="AA363" s="36" t="str">
        <f aca="false">IF($G363="","",MID(IF($C363="",", no division","")&amp;IF($E363="",", no unit","")&amp;IF($H363="",", no career level","")&amp;IF(N($L363)&lt;=0,", no quarter split","")&amp;IF($R363="",", no driver","")&amp;IF(AND($H363&lt;&gt;"",COUNTIF(CareerLevels,$H363)=0),", a career level that is not on the ladder","")&amp;IF(AND($R363&lt;&gt;"",COUNTIF(DriverList,$R363)=0),", a driver that is not on the list","")&amp;IF(ABS(N($L363)-(N($M363)+N($N363)+N($O363)+N($P363)))&gt;0.001,", a total that does not match its quarters",""),3,300))</f>
        <v/>
      </c>
    </row>
    <row r="364" customFormat="false" ht="15" hidden="false" customHeight="false" outlineLevel="0" collapsed="false">
      <c r="A364" s="33" t="str">
        <f aca="false">IF($G364="","","Compliance Group")</f>
        <v/>
      </c>
      <c r="B364" s="19"/>
      <c r="C364" s="19"/>
      <c r="D364" s="19"/>
      <c r="E364" s="19"/>
      <c r="F364" s="19"/>
      <c r="G364" s="19"/>
      <c r="H364" s="19"/>
      <c r="I364" s="19"/>
      <c r="J364" s="19"/>
      <c r="K364" s="19"/>
      <c r="L364" s="19"/>
      <c r="M364" s="19"/>
      <c r="N364" s="19"/>
      <c r="O364" s="19"/>
      <c r="P364" s="19"/>
      <c r="Q364" s="19"/>
      <c r="R364" s="19"/>
      <c r="S364" s="19"/>
      <c r="T364" s="34" t="str">
        <f aca="false">IF($R364="","",IFERROR(INDEX(DriverCategory,MATCH($R364,DriverList,0)),"BAU"))</f>
        <v/>
      </c>
      <c r="U364" s="34" t="str">
        <f aca="false">IF($R364="","",IFERROR(INDEX(DriverRank,MATCH($R364,DriverList,0)),99))</f>
        <v/>
      </c>
      <c r="V364" s="35" t="n">
        <f aca="false">IF($H364="",0,IFERROR(INDEX(LevelBasic,MATCH($H364,LevelList,0))+INDEX(LevelHousing,MATCH($H364,LevelList,0))+INDEX(LevelTransport,MATCH($H364,LevelList,0))+INDEX(LevelBasic,MATCH($H364,LevelList,0))*INDEX(LevelBonus,MATCH($H364,LevelList,0))+(INDEX(LevelBasic,MATCH($H364,LevelList,0))+INDEX(LevelHousing,MATCH($H364,LevelList,0)))*GosiSaudi,0))</f>
        <v>0</v>
      </c>
      <c r="W364" s="35" t="n">
        <f aca="false">IFERROR(INDEX(LevelOneOff,MATCH($H364,LevelList,0)),0)</f>
        <v>0</v>
      </c>
      <c r="X364" s="35" t="str">
        <f aca="false">IF($G364="","",$V364*N($L364))</f>
        <v/>
      </c>
      <c r="Y364" s="35" t="str">
        <f aca="false">IF($G364="","",$V364*(N($M364)*1+N($N364)*0.75+N($O364)*0.5+N($P364)*0.25)+$W364*N($L364))</f>
        <v/>
      </c>
      <c r="Z364" s="35" t="str">
        <f aca="false">IF($G364="","",$U364*1000000+ROW())</f>
        <v/>
      </c>
      <c r="AA364" s="36" t="str">
        <f aca="false">IF($G364="","",MID(IF($C364="",", no division","")&amp;IF($E364="",", no unit","")&amp;IF($H364="",", no career level","")&amp;IF(N($L364)&lt;=0,", no quarter split","")&amp;IF($R364="",", no driver","")&amp;IF(AND($H364&lt;&gt;"",COUNTIF(CareerLevels,$H364)=0),", a career level that is not on the ladder","")&amp;IF(AND($R364&lt;&gt;"",COUNTIF(DriverList,$R364)=0),", a driver that is not on the list","")&amp;IF(ABS(N($L364)-(N($M364)+N($N364)+N($O364)+N($P364)))&gt;0.001,", a total that does not match its quarters",""),3,300))</f>
        <v/>
      </c>
    </row>
    <row r="365" customFormat="false" ht="15" hidden="false" customHeight="false" outlineLevel="0" collapsed="false">
      <c r="A365" s="33" t="str">
        <f aca="false">IF($G365="","","Compliance Group")</f>
        <v/>
      </c>
      <c r="B365" s="19"/>
      <c r="C365" s="19"/>
      <c r="D365" s="19"/>
      <c r="E365" s="19"/>
      <c r="F365" s="19"/>
      <c r="G365" s="19"/>
      <c r="H365" s="19"/>
      <c r="I365" s="19"/>
      <c r="J365" s="19"/>
      <c r="K365" s="19"/>
      <c r="L365" s="19"/>
      <c r="M365" s="19"/>
      <c r="N365" s="19"/>
      <c r="O365" s="19"/>
      <c r="P365" s="19"/>
      <c r="Q365" s="19"/>
      <c r="R365" s="19"/>
      <c r="S365" s="19"/>
      <c r="T365" s="34" t="str">
        <f aca="false">IF($R365="","",IFERROR(INDEX(DriverCategory,MATCH($R365,DriverList,0)),"BAU"))</f>
        <v/>
      </c>
      <c r="U365" s="34" t="str">
        <f aca="false">IF($R365="","",IFERROR(INDEX(DriverRank,MATCH($R365,DriverList,0)),99))</f>
        <v/>
      </c>
      <c r="V365" s="35" t="n">
        <f aca="false">IF($H365="",0,IFERROR(INDEX(LevelBasic,MATCH($H365,LevelList,0))+INDEX(LevelHousing,MATCH($H365,LevelList,0))+INDEX(LevelTransport,MATCH($H365,LevelList,0))+INDEX(LevelBasic,MATCH($H365,LevelList,0))*INDEX(LevelBonus,MATCH($H365,LevelList,0))+(INDEX(LevelBasic,MATCH($H365,LevelList,0))+INDEX(LevelHousing,MATCH($H365,LevelList,0)))*GosiSaudi,0))</f>
        <v>0</v>
      </c>
      <c r="W365" s="35" t="n">
        <f aca="false">IFERROR(INDEX(LevelOneOff,MATCH($H365,LevelList,0)),0)</f>
        <v>0</v>
      </c>
      <c r="X365" s="35" t="str">
        <f aca="false">IF($G365="","",$V365*N($L365))</f>
        <v/>
      </c>
      <c r="Y365" s="35" t="str">
        <f aca="false">IF($G365="","",$V365*(N($M365)*1+N($N365)*0.75+N($O365)*0.5+N($P365)*0.25)+$W365*N($L365))</f>
        <v/>
      </c>
      <c r="Z365" s="35" t="str">
        <f aca="false">IF($G365="","",$U365*1000000+ROW())</f>
        <v/>
      </c>
      <c r="AA365" s="36" t="str">
        <f aca="false">IF($G365="","",MID(IF($C365="",", no division","")&amp;IF($E365="",", no unit","")&amp;IF($H365="",", no career level","")&amp;IF(N($L365)&lt;=0,", no quarter split","")&amp;IF($R365="",", no driver","")&amp;IF(AND($H365&lt;&gt;"",COUNTIF(CareerLevels,$H365)=0),", a career level that is not on the ladder","")&amp;IF(AND($R365&lt;&gt;"",COUNTIF(DriverList,$R365)=0),", a driver that is not on the list","")&amp;IF(ABS(N($L365)-(N($M365)+N($N365)+N($O365)+N($P365)))&gt;0.001,", a total that does not match its quarters",""),3,300))</f>
        <v/>
      </c>
    </row>
    <row r="366" customFormat="false" ht="15" hidden="false" customHeight="false" outlineLevel="0" collapsed="false">
      <c r="A366" s="33" t="str">
        <f aca="false">IF($G366="","","Compliance Group")</f>
        <v/>
      </c>
      <c r="B366" s="19"/>
      <c r="C366" s="19"/>
      <c r="D366" s="19"/>
      <c r="E366" s="19"/>
      <c r="F366" s="19"/>
      <c r="G366" s="19"/>
      <c r="H366" s="19"/>
      <c r="I366" s="19"/>
      <c r="J366" s="19"/>
      <c r="K366" s="19"/>
      <c r="L366" s="19"/>
      <c r="M366" s="19"/>
      <c r="N366" s="19"/>
      <c r="O366" s="19"/>
      <c r="P366" s="19"/>
      <c r="Q366" s="19"/>
      <c r="R366" s="19"/>
      <c r="S366" s="19"/>
      <c r="T366" s="34" t="str">
        <f aca="false">IF($R366="","",IFERROR(INDEX(DriverCategory,MATCH($R366,DriverList,0)),"BAU"))</f>
        <v/>
      </c>
      <c r="U366" s="34" t="str">
        <f aca="false">IF($R366="","",IFERROR(INDEX(DriverRank,MATCH($R366,DriverList,0)),99))</f>
        <v/>
      </c>
      <c r="V366" s="35" t="n">
        <f aca="false">IF($H366="",0,IFERROR(INDEX(LevelBasic,MATCH($H366,LevelList,0))+INDEX(LevelHousing,MATCH($H366,LevelList,0))+INDEX(LevelTransport,MATCH($H366,LevelList,0))+INDEX(LevelBasic,MATCH($H366,LevelList,0))*INDEX(LevelBonus,MATCH($H366,LevelList,0))+(INDEX(LevelBasic,MATCH($H366,LevelList,0))+INDEX(LevelHousing,MATCH($H366,LevelList,0)))*GosiSaudi,0))</f>
        <v>0</v>
      </c>
      <c r="W366" s="35" t="n">
        <f aca="false">IFERROR(INDEX(LevelOneOff,MATCH($H366,LevelList,0)),0)</f>
        <v>0</v>
      </c>
      <c r="X366" s="35" t="str">
        <f aca="false">IF($G366="","",$V366*N($L366))</f>
        <v/>
      </c>
      <c r="Y366" s="35" t="str">
        <f aca="false">IF($G366="","",$V366*(N($M366)*1+N($N366)*0.75+N($O366)*0.5+N($P366)*0.25)+$W366*N($L366))</f>
        <v/>
      </c>
      <c r="Z366" s="35" t="str">
        <f aca="false">IF($G366="","",$U366*1000000+ROW())</f>
        <v/>
      </c>
      <c r="AA366" s="36" t="str">
        <f aca="false">IF($G366="","",MID(IF($C366="",", no division","")&amp;IF($E366="",", no unit","")&amp;IF($H366="",", no career level","")&amp;IF(N($L366)&lt;=0,", no quarter split","")&amp;IF($R366="",", no driver","")&amp;IF(AND($H366&lt;&gt;"",COUNTIF(CareerLevels,$H366)=0),", a career level that is not on the ladder","")&amp;IF(AND($R366&lt;&gt;"",COUNTIF(DriverList,$R366)=0),", a driver that is not on the list","")&amp;IF(ABS(N($L366)-(N($M366)+N($N366)+N($O366)+N($P366)))&gt;0.001,", a total that does not match its quarters",""),3,300))</f>
        <v/>
      </c>
    </row>
    <row r="367" customFormat="false" ht="15" hidden="false" customHeight="false" outlineLevel="0" collapsed="false">
      <c r="A367" s="33" t="str">
        <f aca="false">IF($G367="","","Compliance Group")</f>
        <v/>
      </c>
      <c r="B367" s="19"/>
      <c r="C367" s="19"/>
      <c r="D367" s="19"/>
      <c r="E367" s="19"/>
      <c r="F367" s="19"/>
      <c r="G367" s="19"/>
      <c r="H367" s="19"/>
      <c r="I367" s="19"/>
      <c r="J367" s="19"/>
      <c r="K367" s="19"/>
      <c r="L367" s="19"/>
      <c r="M367" s="19"/>
      <c r="N367" s="19"/>
      <c r="O367" s="19"/>
      <c r="P367" s="19"/>
      <c r="Q367" s="19"/>
      <c r="R367" s="19"/>
      <c r="S367" s="19"/>
      <c r="T367" s="34" t="str">
        <f aca="false">IF($R367="","",IFERROR(INDEX(DriverCategory,MATCH($R367,DriverList,0)),"BAU"))</f>
        <v/>
      </c>
      <c r="U367" s="34" t="str">
        <f aca="false">IF($R367="","",IFERROR(INDEX(DriverRank,MATCH($R367,DriverList,0)),99))</f>
        <v/>
      </c>
      <c r="V367" s="35" t="n">
        <f aca="false">IF($H367="",0,IFERROR(INDEX(LevelBasic,MATCH($H367,LevelList,0))+INDEX(LevelHousing,MATCH($H367,LevelList,0))+INDEX(LevelTransport,MATCH($H367,LevelList,0))+INDEX(LevelBasic,MATCH($H367,LevelList,0))*INDEX(LevelBonus,MATCH($H367,LevelList,0))+(INDEX(LevelBasic,MATCH($H367,LevelList,0))+INDEX(LevelHousing,MATCH($H367,LevelList,0)))*GosiSaudi,0))</f>
        <v>0</v>
      </c>
      <c r="W367" s="35" t="n">
        <f aca="false">IFERROR(INDEX(LevelOneOff,MATCH($H367,LevelList,0)),0)</f>
        <v>0</v>
      </c>
      <c r="X367" s="35" t="str">
        <f aca="false">IF($G367="","",$V367*N($L367))</f>
        <v/>
      </c>
      <c r="Y367" s="35" t="str">
        <f aca="false">IF($G367="","",$V367*(N($M367)*1+N($N367)*0.75+N($O367)*0.5+N($P367)*0.25)+$W367*N($L367))</f>
        <v/>
      </c>
      <c r="Z367" s="35" t="str">
        <f aca="false">IF($G367="","",$U367*1000000+ROW())</f>
        <v/>
      </c>
      <c r="AA367" s="36" t="str">
        <f aca="false">IF($G367="","",MID(IF($C367="",", no division","")&amp;IF($E367="",", no unit","")&amp;IF($H367="",", no career level","")&amp;IF(N($L367)&lt;=0,", no quarter split","")&amp;IF($R367="",", no driver","")&amp;IF(AND($H367&lt;&gt;"",COUNTIF(CareerLevels,$H367)=0),", a career level that is not on the ladder","")&amp;IF(AND($R367&lt;&gt;"",COUNTIF(DriverList,$R367)=0),", a driver that is not on the list","")&amp;IF(ABS(N($L367)-(N($M367)+N($N367)+N($O367)+N($P367)))&gt;0.001,", a total that does not match its quarters",""),3,300))</f>
        <v/>
      </c>
    </row>
    <row r="368" customFormat="false" ht="15" hidden="false" customHeight="false" outlineLevel="0" collapsed="false">
      <c r="A368" s="33" t="str">
        <f aca="false">IF($G368="","","Compliance Group")</f>
        <v/>
      </c>
      <c r="B368" s="19"/>
      <c r="C368" s="19"/>
      <c r="D368" s="19"/>
      <c r="E368" s="19"/>
      <c r="F368" s="19"/>
      <c r="G368" s="19"/>
      <c r="H368" s="19"/>
      <c r="I368" s="19"/>
      <c r="J368" s="19"/>
      <c r="K368" s="19"/>
      <c r="L368" s="19"/>
      <c r="M368" s="19"/>
      <c r="N368" s="19"/>
      <c r="O368" s="19"/>
      <c r="P368" s="19"/>
      <c r="Q368" s="19"/>
      <c r="R368" s="19"/>
      <c r="S368" s="19"/>
      <c r="T368" s="34" t="str">
        <f aca="false">IF($R368="","",IFERROR(INDEX(DriverCategory,MATCH($R368,DriverList,0)),"BAU"))</f>
        <v/>
      </c>
      <c r="U368" s="34" t="str">
        <f aca="false">IF($R368="","",IFERROR(INDEX(DriverRank,MATCH($R368,DriverList,0)),99))</f>
        <v/>
      </c>
      <c r="V368" s="35" t="n">
        <f aca="false">IF($H368="",0,IFERROR(INDEX(LevelBasic,MATCH($H368,LevelList,0))+INDEX(LevelHousing,MATCH($H368,LevelList,0))+INDEX(LevelTransport,MATCH($H368,LevelList,0))+INDEX(LevelBasic,MATCH($H368,LevelList,0))*INDEX(LevelBonus,MATCH($H368,LevelList,0))+(INDEX(LevelBasic,MATCH($H368,LevelList,0))+INDEX(LevelHousing,MATCH($H368,LevelList,0)))*GosiSaudi,0))</f>
        <v>0</v>
      </c>
      <c r="W368" s="35" t="n">
        <f aca="false">IFERROR(INDEX(LevelOneOff,MATCH($H368,LevelList,0)),0)</f>
        <v>0</v>
      </c>
      <c r="X368" s="35" t="str">
        <f aca="false">IF($G368="","",$V368*N($L368))</f>
        <v/>
      </c>
      <c r="Y368" s="35" t="str">
        <f aca="false">IF($G368="","",$V368*(N($M368)*1+N($N368)*0.75+N($O368)*0.5+N($P368)*0.25)+$W368*N($L368))</f>
        <v/>
      </c>
      <c r="Z368" s="35" t="str">
        <f aca="false">IF($G368="","",$U368*1000000+ROW())</f>
        <v/>
      </c>
      <c r="AA368" s="36" t="str">
        <f aca="false">IF($G368="","",MID(IF($C368="",", no division","")&amp;IF($E368="",", no unit","")&amp;IF($H368="",", no career level","")&amp;IF(N($L368)&lt;=0,", no quarter split","")&amp;IF($R368="",", no driver","")&amp;IF(AND($H368&lt;&gt;"",COUNTIF(CareerLevels,$H368)=0),", a career level that is not on the ladder","")&amp;IF(AND($R368&lt;&gt;"",COUNTIF(DriverList,$R368)=0),", a driver that is not on the list","")&amp;IF(ABS(N($L368)-(N($M368)+N($N368)+N($O368)+N($P368)))&gt;0.001,", a total that does not match its quarters",""),3,300))</f>
        <v/>
      </c>
    </row>
    <row r="369" customFormat="false" ht="15" hidden="false" customHeight="false" outlineLevel="0" collapsed="false">
      <c r="A369" s="33" t="str">
        <f aca="false">IF($G369="","","Compliance Group")</f>
        <v/>
      </c>
      <c r="B369" s="19"/>
      <c r="C369" s="19"/>
      <c r="D369" s="19"/>
      <c r="E369" s="19"/>
      <c r="F369" s="19"/>
      <c r="G369" s="19"/>
      <c r="H369" s="19"/>
      <c r="I369" s="19"/>
      <c r="J369" s="19"/>
      <c r="K369" s="19"/>
      <c r="L369" s="19"/>
      <c r="M369" s="19"/>
      <c r="N369" s="19"/>
      <c r="O369" s="19"/>
      <c r="P369" s="19"/>
      <c r="Q369" s="19"/>
      <c r="R369" s="19"/>
      <c r="S369" s="19"/>
      <c r="T369" s="34" t="str">
        <f aca="false">IF($R369="","",IFERROR(INDEX(DriverCategory,MATCH($R369,DriverList,0)),"BAU"))</f>
        <v/>
      </c>
      <c r="U369" s="34" t="str">
        <f aca="false">IF($R369="","",IFERROR(INDEX(DriverRank,MATCH($R369,DriverList,0)),99))</f>
        <v/>
      </c>
      <c r="V369" s="35" t="n">
        <f aca="false">IF($H369="",0,IFERROR(INDEX(LevelBasic,MATCH($H369,LevelList,0))+INDEX(LevelHousing,MATCH($H369,LevelList,0))+INDEX(LevelTransport,MATCH($H369,LevelList,0))+INDEX(LevelBasic,MATCH($H369,LevelList,0))*INDEX(LevelBonus,MATCH($H369,LevelList,0))+(INDEX(LevelBasic,MATCH($H369,LevelList,0))+INDEX(LevelHousing,MATCH($H369,LevelList,0)))*GosiSaudi,0))</f>
        <v>0</v>
      </c>
      <c r="W369" s="35" t="n">
        <f aca="false">IFERROR(INDEX(LevelOneOff,MATCH($H369,LevelList,0)),0)</f>
        <v>0</v>
      </c>
      <c r="X369" s="35" t="str">
        <f aca="false">IF($G369="","",$V369*N($L369))</f>
        <v/>
      </c>
      <c r="Y369" s="35" t="str">
        <f aca="false">IF($G369="","",$V369*(N($M369)*1+N($N369)*0.75+N($O369)*0.5+N($P369)*0.25)+$W369*N($L369))</f>
        <v/>
      </c>
      <c r="Z369" s="35" t="str">
        <f aca="false">IF($G369="","",$U369*1000000+ROW())</f>
        <v/>
      </c>
      <c r="AA369" s="36" t="str">
        <f aca="false">IF($G369="","",MID(IF($C369="",", no division","")&amp;IF($E369="",", no unit","")&amp;IF($H369="",", no career level","")&amp;IF(N($L369)&lt;=0,", no quarter split","")&amp;IF($R369="",", no driver","")&amp;IF(AND($H369&lt;&gt;"",COUNTIF(CareerLevels,$H369)=0),", a career level that is not on the ladder","")&amp;IF(AND($R369&lt;&gt;"",COUNTIF(DriverList,$R369)=0),", a driver that is not on the list","")&amp;IF(ABS(N($L369)-(N($M369)+N($N369)+N($O369)+N($P369)))&gt;0.001,", a total that does not match its quarters",""),3,300))</f>
        <v/>
      </c>
    </row>
    <row r="370" customFormat="false" ht="15" hidden="false" customHeight="false" outlineLevel="0" collapsed="false">
      <c r="A370" s="33" t="str">
        <f aca="false">IF($G370="","","Compliance Group")</f>
        <v/>
      </c>
      <c r="B370" s="19"/>
      <c r="C370" s="19"/>
      <c r="D370" s="19"/>
      <c r="E370" s="19"/>
      <c r="F370" s="19"/>
      <c r="G370" s="19"/>
      <c r="H370" s="19"/>
      <c r="I370" s="19"/>
      <c r="J370" s="19"/>
      <c r="K370" s="19"/>
      <c r="L370" s="19"/>
      <c r="M370" s="19"/>
      <c r="N370" s="19"/>
      <c r="O370" s="19"/>
      <c r="P370" s="19"/>
      <c r="Q370" s="19"/>
      <c r="R370" s="19"/>
      <c r="S370" s="19"/>
      <c r="T370" s="34" t="str">
        <f aca="false">IF($R370="","",IFERROR(INDEX(DriverCategory,MATCH($R370,DriverList,0)),"BAU"))</f>
        <v/>
      </c>
      <c r="U370" s="34" t="str">
        <f aca="false">IF($R370="","",IFERROR(INDEX(DriverRank,MATCH($R370,DriverList,0)),99))</f>
        <v/>
      </c>
      <c r="V370" s="35" t="n">
        <f aca="false">IF($H370="",0,IFERROR(INDEX(LevelBasic,MATCH($H370,LevelList,0))+INDEX(LevelHousing,MATCH($H370,LevelList,0))+INDEX(LevelTransport,MATCH($H370,LevelList,0))+INDEX(LevelBasic,MATCH($H370,LevelList,0))*INDEX(LevelBonus,MATCH($H370,LevelList,0))+(INDEX(LevelBasic,MATCH($H370,LevelList,0))+INDEX(LevelHousing,MATCH($H370,LevelList,0)))*GosiSaudi,0))</f>
        <v>0</v>
      </c>
      <c r="W370" s="35" t="n">
        <f aca="false">IFERROR(INDEX(LevelOneOff,MATCH($H370,LevelList,0)),0)</f>
        <v>0</v>
      </c>
      <c r="X370" s="35" t="str">
        <f aca="false">IF($G370="","",$V370*N($L370))</f>
        <v/>
      </c>
      <c r="Y370" s="35" t="str">
        <f aca="false">IF($G370="","",$V370*(N($M370)*1+N($N370)*0.75+N($O370)*0.5+N($P370)*0.25)+$W370*N($L370))</f>
        <v/>
      </c>
      <c r="Z370" s="35" t="str">
        <f aca="false">IF($G370="","",$U370*1000000+ROW())</f>
        <v/>
      </c>
      <c r="AA370" s="36" t="str">
        <f aca="false">IF($G370="","",MID(IF($C370="",", no division","")&amp;IF($E370="",", no unit","")&amp;IF($H370="",", no career level","")&amp;IF(N($L370)&lt;=0,", no quarter split","")&amp;IF($R370="",", no driver","")&amp;IF(AND($H370&lt;&gt;"",COUNTIF(CareerLevels,$H370)=0),", a career level that is not on the ladder","")&amp;IF(AND($R370&lt;&gt;"",COUNTIF(DriverList,$R370)=0),", a driver that is not on the list","")&amp;IF(ABS(N($L370)-(N($M370)+N($N370)+N($O370)+N($P370)))&gt;0.001,", a total that does not match its quarters",""),3,300))</f>
        <v/>
      </c>
    </row>
    <row r="371" customFormat="false" ht="15" hidden="false" customHeight="false" outlineLevel="0" collapsed="false">
      <c r="A371" s="33" t="str">
        <f aca="false">IF($G371="","","Compliance Group")</f>
        <v/>
      </c>
      <c r="B371" s="19"/>
      <c r="C371" s="19"/>
      <c r="D371" s="19"/>
      <c r="E371" s="19"/>
      <c r="F371" s="19"/>
      <c r="G371" s="19"/>
      <c r="H371" s="19"/>
      <c r="I371" s="19"/>
      <c r="J371" s="19"/>
      <c r="K371" s="19"/>
      <c r="L371" s="19"/>
      <c r="M371" s="19"/>
      <c r="N371" s="19"/>
      <c r="O371" s="19"/>
      <c r="P371" s="19"/>
      <c r="Q371" s="19"/>
      <c r="R371" s="19"/>
      <c r="S371" s="19"/>
      <c r="T371" s="34" t="str">
        <f aca="false">IF($R371="","",IFERROR(INDEX(DriverCategory,MATCH($R371,DriverList,0)),"BAU"))</f>
        <v/>
      </c>
      <c r="U371" s="34" t="str">
        <f aca="false">IF($R371="","",IFERROR(INDEX(DriverRank,MATCH($R371,DriverList,0)),99))</f>
        <v/>
      </c>
      <c r="V371" s="35" t="n">
        <f aca="false">IF($H371="",0,IFERROR(INDEX(LevelBasic,MATCH($H371,LevelList,0))+INDEX(LevelHousing,MATCH($H371,LevelList,0))+INDEX(LevelTransport,MATCH($H371,LevelList,0))+INDEX(LevelBasic,MATCH($H371,LevelList,0))*INDEX(LevelBonus,MATCH($H371,LevelList,0))+(INDEX(LevelBasic,MATCH($H371,LevelList,0))+INDEX(LevelHousing,MATCH($H371,LevelList,0)))*GosiSaudi,0))</f>
        <v>0</v>
      </c>
      <c r="W371" s="35" t="n">
        <f aca="false">IFERROR(INDEX(LevelOneOff,MATCH($H371,LevelList,0)),0)</f>
        <v>0</v>
      </c>
      <c r="X371" s="35" t="str">
        <f aca="false">IF($G371="","",$V371*N($L371))</f>
        <v/>
      </c>
      <c r="Y371" s="35" t="str">
        <f aca="false">IF($G371="","",$V371*(N($M371)*1+N($N371)*0.75+N($O371)*0.5+N($P371)*0.25)+$W371*N($L371))</f>
        <v/>
      </c>
      <c r="Z371" s="35" t="str">
        <f aca="false">IF($G371="","",$U371*1000000+ROW())</f>
        <v/>
      </c>
      <c r="AA371" s="36" t="str">
        <f aca="false">IF($G371="","",MID(IF($C371="",", no division","")&amp;IF($E371="",", no unit","")&amp;IF($H371="",", no career level","")&amp;IF(N($L371)&lt;=0,", no quarter split","")&amp;IF($R371="",", no driver","")&amp;IF(AND($H371&lt;&gt;"",COUNTIF(CareerLevels,$H371)=0),", a career level that is not on the ladder","")&amp;IF(AND($R371&lt;&gt;"",COUNTIF(DriverList,$R371)=0),", a driver that is not on the list","")&amp;IF(ABS(N($L371)-(N($M371)+N($N371)+N($O371)+N($P371)))&gt;0.001,", a total that does not match its quarters",""),3,300))</f>
        <v/>
      </c>
    </row>
    <row r="372" customFormat="false" ht="15" hidden="false" customHeight="false" outlineLevel="0" collapsed="false">
      <c r="A372" s="33" t="str">
        <f aca="false">IF($G372="","","Compliance Group")</f>
        <v/>
      </c>
      <c r="B372" s="19"/>
      <c r="C372" s="19"/>
      <c r="D372" s="19"/>
      <c r="E372" s="19"/>
      <c r="F372" s="19"/>
      <c r="G372" s="19"/>
      <c r="H372" s="19"/>
      <c r="I372" s="19"/>
      <c r="J372" s="19"/>
      <c r="K372" s="19"/>
      <c r="L372" s="19"/>
      <c r="M372" s="19"/>
      <c r="N372" s="19"/>
      <c r="O372" s="19"/>
      <c r="P372" s="19"/>
      <c r="Q372" s="19"/>
      <c r="R372" s="19"/>
      <c r="S372" s="19"/>
      <c r="T372" s="34" t="str">
        <f aca="false">IF($R372="","",IFERROR(INDEX(DriverCategory,MATCH($R372,DriverList,0)),"BAU"))</f>
        <v/>
      </c>
      <c r="U372" s="34" t="str">
        <f aca="false">IF($R372="","",IFERROR(INDEX(DriverRank,MATCH($R372,DriverList,0)),99))</f>
        <v/>
      </c>
      <c r="V372" s="35" t="n">
        <f aca="false">IF($H372="",0,IFERROR(INDEX(LevelBasic,MATCH($H372,LevelList,0))+INDEX(LevelHousing,MATCH($H372,LevelList,0))+INDEX(LevelTransport,MATCH($H372,LevelList,0))+INDEX(LevelBasic,MATCH($H372,LevelList,0))*INDEX(LevelBonus,MATCH($H372,LevelList,0))+(INDEX(LevelBasic,MATCH($H372,LevelList,0))+INDEX(LevelHousing,MATCH($H372,LevelList,0)))*GosiSaudi,0))</f>
        <v>0</v>
      </c>
      <c r="W372" s="35" t="n">
        <f aca="false">IFERROR(INDEX(LevelOneOff,MATCH($H372,LevelList,0)),0)</f>
        <v>0</v>
      </c>
      <c r="X372" s="35" t="str">
        <f aca="false">IF($G372="","",$V372*N($L372))</f>
        <v/>
      </c>
      <c r="Y372" s="35" t="str">
        <f aca="false">IF($G372="","",$V372*(N($M372)*1+N($N372)*0.75+N($O372)*0.5+N($P372)*0.25)+$W372*N($L372))</f>
        <v/>
      </c>
      <c r="Z372" s="35" t="str">
        <f aca="false">IF($G372="","",$U372*1000000+ROW())</f>
        <v/>
      </c>
      <c r="AA372" s="36" t="str">
        <f aca="false">IF($G372="","",MID(IF($C372="",", no division","")&amp;IF($E372="",", no unit","")&amp;IF($H372="",", no career level","")&amp;IF(N($L372)&lt;=0,", no quarter split","")&amp;IF($R372="",", no driver","")&amp;IF(AND($H372&lt;&gt;"",COUNTIF(CareerLevels,$H372)=0),", a career level that is not on the ladder","")&amp;IF(AND($R372&lt;&gt;"",COUNTIF(DriverList,$R372)=0),", a driver that is not on the list","")&amp;IF(ABS(N($L372)-(N($M372)+N($N372)+N($O372)+N($P372)))&gt;0.001,", a total that does not match its quarters",""),3,300))</f>
        <v/>
      </c>
    </row>
    <row r="373" customFormat="false" ht="15" hidden="false" customHeight="false" outlineLevel="0" collapsed="false">
      <c r="A373" s="33" t="str">
        <f aca="false">IF($G373="","","Compliance Group")</f>
        <v/>
      </c>
      <c r="B373" s="19"/>
      <c r="C373" s="19"/>
      <c r="D373" s="19"/>
      <c r="E373" s="19"/>
      <c r="F373" s="19"/>
      <c r="G373" s="19"/>
      <c r="H373" s="19"/>
      <c r="I373" s="19"/>
      <c r="J373" s="19"/>
      <c r="K373" s="19"/>
      <c r="L373" s="19"/>
      <c r="M373" s="19"/>
      <c r="N373" s="19"/>
      <c r="O373" s="19"/>
      <c r="P373" s="19"/>
      <c r="Q373" s="19"/>
      <c r="R373" s="19"/>
      <c r="S373" s="19"/>
      <c r="T373" s="34" t="str">
        <f aca="false">IF($R373="","",IFERROR(INDEX(DriverCategory,MATCH($R373,DriverList,0)),"BAU"))</f>
        <v/>
      </c>
      <c r="U373" s="34" t="str">
        <f aca="false">IF($R373="","",IFERROR(INDEX(DriverRank,MATCH($R373,DriverList,0)),99))</f>
        <v/>
      </c>
      <c r="V373" s="35" t="n">
        <f aca="false">IF($H373="",0,IFERROR(INDEX(LevelBasic,MATCH($H373,LevelList,0))+INDEX(LevelHousing,MATCH($H373,LevelList,0))+INDEX(LevelTransport,MATCH($H373,LevelList,0))+INDEX(LevelBasic,MATCH($H373,LevelList,0))*INDEX(LevelBonus,MATCH($H373,LevelList,0))+(INDEX(LevelBasic,MATCH($H373,LevelList,0))+INDEX(LevelHousing,MATCH($H373,LevelList,0)))*GosiSaudi,0))</f>
        <v>0</v>
      </c>
      <c r="W373" s="35" t="n">
        <f aca="false">IFERROR(INDEX(LevelOneOff,MATCH($H373,LevelList,0)),0)</f>
        <v>0</v>
      </c>
      <c r="X373" s="35" t="str">
        <f aca="false">IF($G373="","",$V373*N($L373))</f>
        <v/>
      </c>
      <c r="Y373" s="35" t="str">
        <f aca="false">IF($G373="","",$V373*(N($M373)*1+N($N373)*0.75+N($O373)*0.5+N($P373)*0.25)+$W373*N($L373))</f>
        <v/>
      </c>
      <c r="Z373" s="35" t="str">
        <f aca="false">IF($G373="","",$U373*1000000+ROW())</f>
        <v/>
      </c>
      <c r="AA373" s="36" t="str">
        <f aca="false">IF($G373="","",MID(IF($C373="",", no division","")&amp;IF($E373="",", no unit","")&amp;IF($H373="",", no career level","")&amp;IF(N($L373)&lt;=0,", no quarter split","")&amp;IF($R373="",", no driver","")&amp;IF(AND($H373&lt;&gt;"",COUNTIF(CareerLevels,$H373)=0),", a career level that is not on the ladder","")&amp;IF(AND($R373&lt;&gt;"",COUNTIF(DriverList,$R373)=0),", a driver that is not on the list","")&amp;IF(ABS(N($L373)-(N($M373)+N($N373)+N($O373)+N($P373)))&gt;0.001,", a total that does not match its quarters",""),3,300))</f>
        <v/>
      </c>
    </row>
    <row r="374" customFormat="false" ht="15" hidden="false" customHeight="false" outlineLevel="0" collapsed="false">
      <c r="A374" s="33" t="str">
        <f aca="false">IF($G374="","","Compliance Group")</f>
        <v/>
      </c>
      <c r="B374" s="19"/>
      <c r="C374" s="19"/>
      <c r="D374" s="19"/>
      <c r="E374" s="19"/>
      <c r="F374" s="19"/>
      <c r="G374" s="19"/>
      <c r="H374" s="19"/>
      <c r="I374" s="19"/>
      <c r="J374" s="19"/>
      <c r="K374" s="19"/>
      <c r="L374" s="19"/>
      <c r="M374" s="19"/>
      <c r="N374" s="19"/>
      <c r="O374" s="19"/>
      <c r="P374" s="19"/>
      <c r="Q374" s="19"/>
      <c r="R374" s="19"/>
      <c r="S374" s="19"/>
      <c r="T374" s="34" t="str">
        <f aca="false">IF($R374="","",IFERROR(INDEX(DriverCategory,MATCH($R374,DriverList,0)),"BAU"))</f>
        <v/>
      </c>
      <c r="U374" s="34" t="str">
        <f aca="false">IF($R374="","",IFERROR(INDEX(DriverRank,MATCH($R374,DriverList,0)),99))</f>
        <v/>
      </c>
      <c r="V374" s="35" t="n">
        <f aca="false">IF($H374="",0,IFERROR(INDEX(LevelBasic,MATCH($H374,LevelList,0))+INDEX(LevelHousing,MATCH($H374,LevelList,0))+INDEX(LevelTransport,MATCH($H374,LevelList,0))+INDEX(LevelBasic,MATCH($H374,LevelList,0))*INDEX(LevelBonus,MATCH($H374,LevelList,0))+(INDEX(LevelBasic,MATCH($H374,LevelList,0))+INDEX(LevelHousing,MATCH($H374,LevelList,0)))*GosiSaudi,0))</f>
        <v>0</v>
      </c>
      <c r="W374" s="35" t="n">
        <f aca="false">IFERROR(INDEX(LevelOneOff,MATCH($H374,LevelList,0)),0)</f>
        <v>0</v>
      </c>
      <c r="X374" s="35" t="str">
        <f aca="false">IF($G374="","",$V374*N($L374))</f>
        <v/>
      </c>
      <c r="Y374" s="35" t="str">
        <f aca="false">IF($G374="","",$V374*(N($M374)*1+N($N374)*0.75+N($O374)*0.5+N($P374)*0.25)+$W374*N($L374))</f>
        <v/>
      </c>
      <c r="Z374" s="35" t="str">
        <f aca="false">IF($G374="","",$U374*1000000+ROW())</f>
        <v/>
      </c>
      <c r="AA374" s="36" t="str">
        <f aca="false">IF($G374="","",MID(IF($C374="",", no division","")&amp;IF($E374="",", no unit","")&amp;IF($H374="",", no career level","")&amp;IF(N($L374)&lt;=0,", no quarter split","")&amp;IF($R374="",", no driver","")&amp;IF(AND($H374&lt;&gt;"",COUNTIF(CareerLevels,$H374)=0),", a career level that is not on the ladder","")&amp;IF(AND($R374&lt;&gt;"",COUNTIF(DriverList,$R374)=0),", a driver that is not on the list","")&amp;IF(ABS(N($L374)-(N($M374)+N($N374)+N($O374)+N($P374)))&gt;0.001,", a total that does not match its quarters",""),3,300))</f>
        <v/>
      </c>
    </row>
    <row r="375" customFormat="false" ht="15" hidden="false" customHeight="false" outlineLevel="0" collapsed="false">
      <c r="A375" s="33" t="str">
        <f aca="false">IF($G375="","","Compliance Group")</f>
        <v/>
      </c>
      <c r="B375" s="19"/>
      <c r="C375" s="19"/>
      <c r="D375" s="19"/>
      <c r="E375" s="19"/>
      <c r="F375" s="19"/>
      <c r="G375" s="19"/>
      <c r="H375" s="19"/>
      <c r="I375" s="19"/>
      <c r="J375" s="19"/>
      <c r="K375" s="19"/>
      <c r="L375" s="19"/>
      <c r="M375" s="19"/>
      <c r="N375" s="19"/>
      <c r="O375" s="19"/>
      <c r="P375" s="19"/>
      <c r="Q375" s="19"/>
      <c r="R375" s="19"/>
      <c r="S375" s="19"/>
      <c r="T375" s="34" t="str">
        <f aca="false">IF($R375="","",IFERROR(INDEX(DriverCategory,MATCH($R375,DriverList,0)),"BAU"))</f>
        <v/>
      </c>
      <c r="U375" s="34" t="str">
        <f aca="false">IF($R375="","",IFERROR(INDEX(DriverRank,MATCH($R375,DriverList,0)),99))</f>
        <v/>
      </c>
      <c r="V375" s="35" t="n">
        <f aca="false">IF($H375="",0,IFERROR(INDEX(LevelBasic,MATCH($H375,LevelList,0))+INDEX(LevelHousing,MATCH($H375,LevelList,0))+INDEX(LevelTransport,MATCH($H375,LevelList,0))+INDEX(LevelBasic,MATCH($H375,LevelList,0))*INDEX(LevelBonus,MATCH($H375,LevelList,0))+(INDEX(LevelBasic,MATCH($H375,LevelList,0))+INDEX(LevelHousing,MATCH($H375,LevelList,0)))*GosiSaudi,0))</f>
        <v>0</v>
      </c>
      <c r="W375" s="35" t="n">
        <f aca="false">IFERROR(INDEX(LevelOneOff,MATCH($H375,LevelList,0)),0)</f>
        <v>0</v>
      </c>
      <c r="X375" s="35" t="str">
        <f aca="false">IF($G375="","",$V375*N($L375))</f>
        <v/>
      </c>
      <c r="Y375" s="35" t="str">
        <f aca="false">IF($G375="","",$V375*(N($M375)*1+N($N375)*0.75+N($O375)*0.5+N($P375)*0.25)+$W375*N($L375))</f>
        <v/>
      </c>
      <c r="Z375" s="35" t="str">
        <f aca="false">IF($G375="","",$U375*1000000+ROW())</f>
        <v/>
      </c>
      <c r="AA375" s="36" t="str">
        <f aca="false">IF($G375="","",MID(IF($C375="",", no division","")&amp;IF($E375="",", no unit","")&amp;IF($H375="",", no career level","")&amp;IF(N($L375)&lt;=0,", no quarter split","")&amp;IF($R375="",", no driver","")&amp;IF(AND($H375&lt;&gt;"",COUNTIF(CareerLevels,$H375)=0),", a career level that is not on the ladder","")&amp;IF(AND($R375&lt;&gt;"",COUNTIF(DriverList,$R375)=0),", a driver that is not on the list","")&amp;IF(ABS(N($L375)-(N($M375)+N($N375)+N($O375)+N($P375)))&gt;0.001,", a total that does not match its quarters",""),3,300))</f>
        <v/>
      </c>
    </row>
    <row r="376" customFormat="false" ht="15" hidden="false" customHeight="false" outlineLevel="0" collapsed="false">
      <c r="A376" s="33" t="str">
        <f aca="false">IF($G376="","","Compliance Group")</f>
        <v/>
      </c>
      <c r="B376" s="19"/>
      <c r="C376" s="19"/>
      <c r="D376" s="19"/>
      <c r="E376" s="19"/>
      <c r="F376" s="19"/>
      <c r="G376" s="19"/>
      <c r="H376" s="19"/>
      <c r="I376" s="19"/>
      <c r="J376" s="19"/>
      <c r="K376" s="19"/>
      <c r="L376" s="19"/>
      <c r="M376" s="19"/>
      <c r="N376" s="19"/>
      <c r="O376" s="19"/>
      <c r="P376" s="19"/>
      <c r="Q376" s="19"/>
      <c r="R376" s="19"/>
      <c r="S376" s="19"/>
      <c r="T376" s="34" t="str">
        <f aca="false">IF($R376="","",IFERROR(INDEX(DriverCategory,MATCH($R376,DriverList,0)),"BAU"))</f>
        <v/>
      </c>
      <c r="U376" s="34" t="str">
        <f aca="false">IF($R376="","",IFERROR(INDEX(DriverRank,MATCH($R376,DriverList,0)),99))</f>
        <v/>
      </c>
      <c r="V376" s="35" t="n">
        <f aca="false">IF($H376="",0,IFERROR(INDEX(LevelBasic,MATCH($H376,LevelList,0))+INDEX(LevelHousing,MATCH($H376,LevelList,0))+INDEX(LevelTransport,MATCH($H376,LevelList,0))+INDEX(LevelBasic,MATCH($H376,LevelList,0))*INDEX(LevelBonus,MATCH($H376,LevelList,0))+(INDEX(LevelBasic,MATCH($H376,LevelList,0))+INDEX(LevelHousing,MATCH($H376,LevelList,0)))*GosiSaudi,0))</f>
        <v>0</v>
      </c>
      <c r="W376" s="35" t="n">
        <f aca="false">IFERROR(INDEX(LevelOneOff,MATCH($H376,LevelList,0)),0)</f>
        <v>0</v>
      </c>
      <c r="X376" s="35" t="str">
        <f aca="false">IF($G376="","",$V376*N($L376))</f>
        <v/>
      </c>
      <c r="Y376" s="35" t="str">
        <f aca="false">IF($G376="","",$V376*(N($M376)*1+N($N376)*0.75+N($O376)*0.5+N($P376)*0.25)+$W376*N($L376))</f>
        <v/>
      </c>
      <c r="Z376" s="35" t="str">
        <f aca="false">IF($G376="","",$U376*1000000+ROW())</f>
        <v/>
      </c>
      <c r="AA376" s="36" t="str">
        <f aca="false">IF($G376="","",MID(IF($C376="",", no division","")&amp;IF($E376="",", no unit","")&amp;IF($H376="",", no career level","")&amp;IF(N($L376)&lt;=0,", no quarter split","")&amp;IF($R376="",", no driver","")&amp;IF(AND($H376&lt;&gt;"",COUNTIF(CareerLevels,$H376)=0),", a career level that is not on the ladder","")&amp;IF(AND($R376&lt;&gt;"",COUNTIF(DriverList,$R376)=0),", a driver that is not on the list","")&amp;IF(ABS(N($L376)-(N($M376)+N($N376)+N($O376)+N($P376)))&gt;0.001,", a total that does not match its quarters",""),3,300))</f>
        <v/>
      </c>
    </row>
    <row r="377" customFormat="false" ht="15" hidden="false" customHeight="false" outlineLevel="0" collapsed="false">
      <c r="A377" s="33" t="str">
        <f aca="false">IF($G377="","","Compliance Group")</f>
        <v/>
      </c>
      <c r="B377" s="19"/>
      <c r="C377" s="19"/>
      <c r="D377" s="19"/>
      <c r="E377" s="19"/>
      <c r="F377" s="19"/>
      <c r="G377" s="19"/>
      <c r="H377" s="19"/>
      <c r="I377" s="19"/>
      <c r="J377" s="19"/>
      <c r="K377" s="19"/>
      <c r="L377" s="19"/>
      <c r="M377" s="19"/>
      <c r="N377" s="19"/>
      <c r="O377" s="19"/>
      <c r="P377" s="19"/>
      <c r="Q377" s="19"/>
      <c r="R377" s="19"/>
      <c r="S377" s="19"/>
      <c r="T377" s="34" t="str">
        <f aca="false">IF($R377="","",IFERROR(INDEX(DriverCategory,MATCH($R377,DriverList,0)),"BAU"))</f>
        <v/>
      </c>
      <c r="U377" s="34" t="str">
        <f aca="false">IF($R377="","",IFERROR(INDEX(DriverRank,MATCH($R377,DriverList,0)),99))</f>
        <v/>
      </c>
      <c r="V377" s="35" t="n">
        <f aca="false">IF($H377="",0,IFERROR(INDEX(LevelBasic,MATCH($H377,LevelList,0))+INDEX(LevelHousing,MATCH($H377,LevelList,0))+INDEX(LevelTransport,MATCH($H377,LevelList,0))+INDEX(LevelBasic,MATCH($H377,LevelList,0))*INDEX(LevelBonus,MATCH($H377,LevelList,0))+(INDEX(LevelBasic,MATCH($H377,LevelList,0))+INDEX(LevelHousing,MATCH($H377,LevelList,0)))*GosiSaudi,0))</f>
        <v>0</v>
      </c>
      <c r="W377" s="35" t="n">
        <f aca="false">IFERROR(INDEX(LevelOneOff,MATCH($H377,LevelList,0)),0)</f>
        <v>0</v>
      </c>
      <c r="X377" s="35" t="str">
        <f aca="false">IF($G377="","",$V377*N($L377))</f>
        <v/>
      </c>
      <c r="Y377" s="35" t="str">
        <f aca="false">IF($G377="","",$V377*(N($M377)*1+N($N377)*0.75+N($O377)*0.5+N($P377)*0.25)+$W377*N($L377))</f>
        <v/>
      </c>
      <c r="Z377" s="35" t="str">
        <f aca="false">IF($G377="","",$U377*1000000+ROW())</f>
        <v/>
      </c>
      <c r="AA377" s="36" t="str">
        <f aca="false">IF($G377="","",MID(IF($C377="",", no division","")&amp;IF($E377="",", no unit","")&amp;IF($H377="",", no career level","")&amp;IF(N($L377)&lt;=0,", no quarter split","")&amp;IF($R377="",", no driver","")&amp;IF(AND($H377&lt;&gt;"",COUNTIF(CareerLevels,$H377)=0),", a career level that is not on the ladder","")&amp;IF(AND($R377&lt;&gt;"",COUNTIF(DriverList,$R377)=0),", a driver that is not on the list","")&amp;IF(ABS(N($L377)-(N($M377)+N($N377)+N($O377)+N($P377)))&gt;0.001,", a total that does not match its quarters",""),3,300))</f>
        <v/>
      </c>
    </row>
    <row r="378" customFormat="false" ht="15" hidden="false" customHeight="false" outlineLevel="0" collapsed="false">
      <c r="A378" s="33" t="str">
        <f aca="false">IF($G378="","","Compliance Group")</f>
        <v/>
      </c>
      <c r="B378" s="19"/>
      <c r="C378" s="19"/>
      <c r="D378" s="19"/>
      <c r="E378" s="19"/>
      <c r="F378" s="19"/>
      <c r="G378" s="19"/>
      <c r="H378" s="19"/>
      <c r="I378" s="19"/>
      <c r="J378" s="19"/>
      <c r="K378" s="19"/>
      <c r="L378" s="19"/>
      <c r="M378" s="19"/>
      <c r="N378" s="19"/>
      <c r="O378" s="19"/>
      <c r="P378" s="19"/>
      <c r="Q378" s="19"/>
      <c r="R378" s="19"/>
      <c r="S378" s="19"/>
      <c r="T378" s="34" t="str">
        <f aca="false">IF($R378="","",IFERROR(INDEX(DriverCategory,MATCH($R378,DriverList,0)),"BAU"))</f>
        <v/>
      </c>
      <c r="U378" s="34" t="str">
        <f aca="false">IF($R378="","",IFERROR(INDEX(DriverRank,MATCH($R378,DriverList,0)),99))</f>
        <v/>
      </c>
      <c r="V378" s="35" t="n">
        <f aca="false">IF($H378="",0,IFERROR(INDEX(LevelBasic,MATCH($H378,LevelList,0))+INDEX(LevelHousing,MATCH($H378,LevelList,0))+INDEX(LevelTransport,MATCH($H378,LevelList,0))+INDEX(LevelBasic,MATCH($H378,LevelList,0))*INDEX(LevelBonus,MATCH($H378,LevelList,0))+(INDEX(LevelBasic,MATCH($H378,LevelList,0))+INDEX(LevelHousing,MATCH($H378,LevelList,0)))*GosiSaudi,0))</f>
        <v>0</v>
      </c>
      <c r="W378" s="35" t="n">
        <f aca="false">IFERROR(INDEX(LevelOneOff,MATCH($H378,LevelList,0)),0)</f>
        <v>0</v>
      </c>
      <c r="X378" s="35" t="str">
        <f aca="false">IF($G378="","",$V378*N($L378))</f>
        <v/>
      </c>
      <c r="Y378" s="35" t="str">
        <f aca="false">IF($G378="","",$V378*(N($M378)*1+N($N378)*0.75+N($O378)*0.5+N($P378)*0.25)+$W378*N($L378))</f>
        <v/>
      </c>
      <c r="Z378" s="35" t="str">
        <f aca="false">IF($G378="","",$U378*1000000+ROW())</f>
        <v/>
      </c>
      <c r="AA378" s="36" t="str">
        <f aca="false">IF($G378="","",MID(IF($C378="",", no division","")&amp;IF($E378="",", no unit","")&amp;IF($H378="",", no career level","")&amp;IF(N($L378)&lt;=0,", no quarter split","")&amp;IF($R378="",", no driver","")&amp;IF(AND($H378&lt;&gt;"",COUNTIF(CareerLevels,$H378)=0),", a career level that is not on the ladder","")&amp;IF(AND($R378&lt;&gt;"",COUNTIF(DriverList,$R378)=0),", a driver that is not on the list","")&amp;IF(ABS(N($L378)-(N($M378)+N($N378)+N($O378)+N($P378)))&gt;0.001,", a total that does not match its quarters",""),3,300))</f>
        <v/>
      </c>
    </row>
    <row r="379" customFormat="false" ht="15" hidden="false" customHeight="false" outlineLevel="0" collapsed="false">
      <c r="A379" s="33" t="str">
        <f aca="false">IF($G379="","","Compliance Group")</f>
        <v/>
      </c>
      <c r="B379" s="19"/>
      <c r="C379" s="19"/>
      <c r="D379" s="19"/>
      <c r="E379" s="19"/>
      <c r="F379" s="19"/>
      <c r="G379" s="19"/>
      <c r="H379" s="19"/>
      <c r="I379" s="19"/>
      <c r="J379" s="19"/>
      <c r="K379" s="19"/>
      <c r="L379" s="19"/>
      <c r="M379" s="19"/>
      <c r="N379" s="19"/>
      <c r="O379" s="19"/>
      <c r="P379" s="19"/>
      <c r="Q379" s="19"/>
      <c r="R379" s="19"/>
      <c r="S379" s="19"/>
      <c r="T379" s="34" t="str">
        <f aca="false">IF($R379="","",IFERROR(INDEX(DriverCategory,MATCH($R379,DriverList,0)),"BAU"))</f>
        <v/>
      </c>
      <c r="U379" s="34" t="str">
        <f aca="false">IF($R379="","",IFERROR(INDEX(DriverRank,MATCH($R379,DriverList,0)),99))</f>
        <v/>
      </c>
      <c r="V379" s="35" t="n">
        <f aca="false">IF($H379="",0,IFERROR(INDEX(LevelBasic,MATCH($H379,LevelList,0))+INDEX(LevelHousing,MATCH($H379,LevelList,0))+INDEX(LevelTransport,MATCH($H379,LevelList,0))+INDEX(LevelBasic,MATCH($H379,LevelList,0))*INDEX(LevelBonus,MATCH($H379,LevelList,0))+(INDEX(LevelBasic,MATCH($H379,LevelList,0))+INDEX(LevelHousing,MATCH($H379,LevelList,0)))*GosiSaudi,0))</f>
        <v>0</v>
      </c>
      <c r="W379" s="35" t="n">
        <f aca="false">IFERROR(INDEX(LevelOneOff,MATCH($H379,LevelList,0)),0)</f>
        <v>0</v>
      </c>
      <c r="X379" s="35" t="str">
        <f aca="false">IF($G379="","",$V379*N($L379))</f>
        <v/>
      </c>
      <c r="Y379" s="35" t="str">
        <f aca="false">IF($G379="","",$V379*(N($M379)*1+N($N379)*0.75+N($O379)*0.5+N($P379)*0.25)+$W379*N($L379))</f>
        <v/>
      </c>
      <c r="Z379" s="35" t="str">
        <f aca="false">IF($G379="","",$U379*1000000+ROW())</f>
        <v/>
      </c>
      <c r="AA379" s="36" t="str">
        <f aca="false">IF($G379="","",MID(IF($C379="",", no division","")&amp;IF($E379="",", no unit","")&amp;IF($H379="",", no career level","")&amp;IF(N($L379)&lt;=0,", no quarter split","")&amp;IF($R379="",", no driver","")&amp;IF(AND($H379&lt;&gt;"",COUNTIF(CareerLevels,$H379)=0),", a career level that is not on the ladder","")&amp;IF(AND($R379&lt;&gt;"",COUNTIF(DriverList,$R379)=0),", a driver that is not on the list","")&amp;IF(ABS(N($L379)-(N($M379)+N($N379)+N($O379)+N($P379)))&gt;0.001,", a total that does not match its quarters",""),3,300))</f>
        <v/>
      </c>
    </row>
    <row r="380" customFormat="false" ht="15" hidden="false" customHeight="false" outlineLevel="0" collapsed="false">
      <c r="A380" s="33" t="str">
        <f aca="false">IF($G380="","","Compliance Group")</f>
        <v/>
      </c>
      <c r="B380" s="19"/>
      <c r="C380" s="19"/>
      <c r="D380" s="19"/>
      <c r="E380" s="19"/>
      <c r="F380" s="19"/>
      <c r="G380" s="19"/>
      <c r="H380" s="19"/>
      <c r="I380" s="19"/>
      <c r="J380" s="19"/>
      <c r="K380" s="19"/>
      <c r="L380" s="19"/>
      <c r="M380" s="19"/>
      <c r="N380" s="19"/>
      <c r="O380" s="19"/>
      <c r="P380" s="19"/>
      <c r="Q380" s="19"/>
      <c r="R380" s="19"/>
      <c r="S380" s="19"/>
      <c r="T380" s="34" t="str">
        <f aca="false">IF($R380="","",IFERROR(INDEX(DriverCategory,MATCH($R380,DriverList,0)),"BAU"))</f>
        <v/>
      </c>
      <c r="U380" s="34" t="str">
        <f aca="false">IF($R380="","",IFERROR(INDEX(DriverRank,MATCH($R380,DriverList,0)),99))</f>
        <v/>
      </c>
      <c r="V380" s="35" t="n">
        <f aca="false">IF($H380="",0,IFERROR(INDEX(LevelBasic,MATCH($H380,LevelList,0))+INDEX(LevelHousing,MATCH($H380,LevelList,0))+INDEX(LevelTransport,MATCH($H380,LevelList,0))+INDEX(LevelBasic,MATCH($H380,LevelList,0))*INDEX(LevelBonus,MATCH($H380,LevelList,0))+(INDEX(LevelBasic,MATCH($H380,LevelList,0))+INDEX(LevelHousing,MATCH($H380,LevelList,0)))*GosiSaudi,0))</f>
        <v>0</v>
      </c>
      <c r="W380" s="35" t="n">
        <f aca="false">IFERROR(INDEX(LevelOneOff,MATCH($H380,LevelList,0)),0)</f>
        <v>0</v>
      </c>
      <c r="X380" s="35" t="str">
        <f aca="false">IF($G380="","",$V380*N($L380))</f>
        <v/>
      </c>
      <c r="Y380" s="35" t="str">
        <f aca="false">IF($G380="","",$V380*(N($M380)*1+N($N380)*0.75+N($O380)*0.5+N($P380)*0.25)+$W380*N($L380))</f>
        <v/>
      </c>
      <c r="Z380" s="35" t="str">
        <f aca="false">IF($G380="","",$U380*1000000+ROW())</f>
        <v/>
      </c>
      <c r="AA380" s="36" t="str">
        <f aca="false">IF($G380="","",MID(IF($C380="",", no division","")&amp;IF($E380="",", no unit","")&amp;IF($H380="",", no career level","")&amp;IF(N($L380)&lt;=0,", no quarter split","")&amp;IF($R380="",", no driver","")&amp;IF(AND($H380&lt;&gt;"",COUNTIF(CareerLevels,$H380)=0),", a career level that is not on the ladder","")&amp;IF(AND($R380&lt;&gt;"",COUNTIF(DriverList,$R380)=0),", a driver that is not on the list","")&amp;IF(ABS(N($L380)-(N($M380)+N($N380)+N($O380)+N($P380)))&gt;0.001,", a total that does not match its quarters",""),3,300))</f>
        <v/>
      </c>
    </row>
    <row r="381" customFormat="false" ht="15" hidden="false" customHeight="false" outlineLevel="0" collapsed="false">
      <c r="A381" s="33" t="str">
        <f aca="false">IF($G381="","","Compliance Group")</f>
        <v/>
      </c>
      <c r="B381" s="19"/>
      <c r="C381" s="19"/>
      <c r="D381" s="19"/>
      <c r="E381" s="19"/>
      <c r="F381" s="19"/>
      <c r="G381" s="19"/>
      <c r="H381" s="19"/>
      <c r="I381" s="19"/>
      <c r="J381" s="19"/>
      <c r="K381" s="19"/>
      <c r="L381" s="19"/>
      <c r="M381" s="19"/>
      <c r="N381" s="19"/>
      <c r="O381" s="19"/>
      <c r="P381" s="19"/>
      <c r="Q381" s="19"/>
      <c r="R381" s="19"/>
      <c r="S381" s="19"/>
      <c r="T381" s="34" t="str">
        <f aca="false">IF($R381="","",IFERROR(INDEX(DriverCategory,MATCH($R381,DriverList,0)),"BAU"))</f>
        <v/>
      </c>
      <c r="U381" s="34" t="str">
        <f aca="false">IF($R381="","",IFERROR(INDEX(DriverRank,MATCH($R381,DriverList,0)),99))</f>
        <v/>
      </c>
      <c r="V381" s="35" t="n">
        <f aca="false">IF($H381="",0,IFERROR(INDEX(LevelBasic,MATCH($H381,LevelList,0))+INDEX(LevelHousing,MATCH($H381,LevelList,0))+INDEX(LevelTransport,MATCH($H381,LevelList,0))+INDEX(LevelBasic,MATCH($H381,LevelList,0))*INDEX(LevelBonus,MATCH($H381,LevelList,0))+(INDEX(LevelBasic,MATCH($H381,LevelList,0))+INDEX(LevelHousing,MATCH($H381,LevelList,0)))*GosiSaudi,0))</f>
        <v>0</v>
      </c>
      <c r="W381" s="35" t="n">
        <f aca="false">IFERROR(INDEX(LevelOneOff,MATCH($H381,LevelList,0)),0)</f>
        <v>0</v>
      </c>
      <c r="X381" s="35" t="str">
        <f aca="false">IF($G381="","",$V381*N($L381))</f>
        <v/>
      </c>
      <c r="Y381" s="35" t="str">
        <f aca="false">IF($G381="","",$V381*(N($M381)*1+N($N381)*0.75+N($O381)*0.5+N($P381)*0.25)+$W381*N($L381))</f>
        <v/>
      </c>
      <c r="Z381" s="35" t="str">
        <f aca="false">IF($G381="","",$U381*1000000+ROW())</f>
        <v/>
      </c>
      <c r="AA381" s="36" t="str">
        <f aca="false">IF($G381="","",MID(IF($C381="",", no division","")&amp;IF($E381="",", no unit","")&amp;IF($H381="",", no career level","")&amp;IF(N($L381)&lt;=0,", no quarter split","")&amp;IF($R381="",", no driver","")&amp;IF(AND($H381&lt;&gt;"",COUNTIF(CareerLevels,$H381)=0),", a career level that is not on the ladder","")&amp;IF(AND($R381&lt;&gt;"",COUNTIF(DriverList,$R381)=0),", a driver that is not on the list","")&amp;IF(ABS(N($L381)-(N($M381)+N($N381)+N($O381)+N($P381)))&gt;0.001,", a total that does not match its quarters",""),3,300))</f>
        <v/>
      </c>
    </row>
    <row r="382" customFormat="false" ht="15" hidden="false" customHeight="false" outlineLevel="0" collapsed="false">
      <c r="A382" s="33" t="str">
        <f aca="false">IF($G382="","","Compliance Group")</f>
        <v/>
      </c>
      <c r="B382" s="19"/>
      <c r="C382" s="19"/>
      <c r="D382" s="19"/>
      <c r="E382" s="19"/>
      <c r="F382" s="19"/>
      <c r="G382" s="19"/>
      <c r="H382" s="19"/>
      <c r="I382" s="19"/>
      <c r="J382" s="19"/>
      <c r="K382" s="19"/>
      <c r="L382" s="19"/>
      <c r="M382" s="19"/>
      <c r="N382" s="19"/>
      <c r="O382" s="19"/>
      <c r="P382" s="19"/>
      <c r="Q382" s="19"/>
      <c r="R382" s="19"/>
      <c r="S382" s="19"/>
      <c r="T382" s="34" t="str">
        <f aca="false">IF($R382="","",IFERROR(INDEX(DriverCategory,MATCH($R382,DriverList,0)),"BAU"))</f>
        <v/>
      </c>
      <c r="U382" s="34" t="str">
        <f aca="false">IF($R382="","",IFERROR(INDEX(DriverRank,MATCH($R382,DriverList,0)),99))</f>
        <v/>
      </c>
      <c r="V382" s="35" t="n">
        <f aca="false">IF($H382="",0,IFERROR(INDEX(LevelBasic,MATCH($H382,LevelList,0))+INDEX(LevelHousing,MATCH($H382,LevelList,0))+INDEX(LevelTransport,MATCH($H382,LevelList,0))+INDEX(LevelBasic,MATCH($H382,LevelList,0))*INDEX(LevelBonus,MATCH($H382,LevelList,0))+(INDEX(LevelBasic,MATCH($H382,LevelList,0))+INDEX(LevelHousing,MATCH($H382,LevelList,0)))*GosiSaudi,0))</f>
        <v>0</v>
      </c>
      <c r="W382" s="35" t="n">
        <f aca="false">IFERROR(INDEX(LevelOneOff,MATCH($H382,LevelList,0)),0)</f>
        <v>0</v>
      </c>
      <c r="X382" s="35" t="str">
        <f aca="false">IF($G382="","",$V382*N($L382))</f>
        <v/>
      </c>
      <c r="Y382" s="35" t="str">
        <f aca="false">IF($G382="","",$V382*(N($M382)*1+N($N382)*0.75+N($O382)*0.5+N($P382)*0.25)+$W382*N($L382))</f>
        <v/>
      </c>
      <c r="Z382" s="35" t="str">
        <f aca="false">IF($G382="","",$U382*1000000+ROW())</f>
        <v/>
      </c>
      <c r="AA382" s="36" t="str">
        <f aca="false">IF($G382="","",MID(IF($C382="",", no division","")&amp;IF($E382="",", no unit","")&amp;IF($H382="",", no career level","")&amp;IF(N($L382)&lt;=0,", no quarter split","")&amp;IF($R382="",", no driver","")&amp;IF(AND($H382&lt;&gt;"",COUNTIF(CareerLevels,$H382)=0),", a career level that is not on the ladder","")&amp;IF(AND($R382&lt;&gt;"",COUNTIF(DriverList,$R382)=0),", a driver that is not on the list","")&amp;IF(ABS(N($L382)-(N($M382)+N($N382)+N($O382)+N($P382)))&gt;0.001,", a total that does not match its quarters",""),3,300))</f>
        <v/>
      </c>
    </row>
    <row r="383" customFormat="false" ht="15" hidden="false" customHeight="false" outlineLevel="0" collapsed="false">
      <c r="A383" s="33" t="str">
        <f aca="false">IF($G383="","","Compliance Group")</f>
        <v/>
      </c>
      <c r="B383" s="19"/>
      <c r="C383" s="19"/>
      <c r="D383" s="19"/>
      <c r="E383" s="19"/>
      <c r="F383" s="19"/>
      <c r="G383" s="19"/>
      <c r="H383" s="19"/>
      <c r="I383" s="19"/>
      <c r="J383" s="19"/>
      <c r="K383" s="19"/>
      <c r="L383" s="19"/>
      <c r="M383" s="19"/>
      <c r="N383" s="19"/>
      <c r="O383" s="19"/>
      <c r="P383" s="19"/>
      <c r="Q383" s="19"/>
      <c r="R383" s="19"/>
      <c r="S383" s="19"/>
      <c r="T383" s="34" t="str">
        <f aca="false">IF($R383="","",IFERROR(INDEX(DriverCategory,MATCH($R383,DriverList,0)),"BAU"))</f>
        <v/>
      </c>
      <c r="U383" s="34" t="str">
        <f aca="false">IF($R383="","",IFERROR(INDEX(DriverRank,MATCH($R383,DriverList,0)),99))</f>
        <v/>
      </c>
      <c r="V383" s="35" t="n">
        <f aca="false">IF($H383="",0,IFERROR(INDEX(LevelBasic,MATCH($H383,LevelList,0))+INDEX(LevelHousing,MATCH($H383,LevelList,0))+INDEX(LevelTransport,MATCH($H383,LevelList,0))+INDEX(LevelBasic,MATCH($H383,LevelList,0))*INDEX(LevelBonus,MATCH($H383,LevelList,0))+(INDEX(LevelBasic,MATCH($H383,LevelList,0))+INDEX(LevelHousing,MATCH($H383,LevelList,0)))*GosiSaudi,0))</f>
        <v>0</v>
      </c>
      <c r="W383" s="35" t="n">
        <f aca="false">IFERROR(INDEX(LevelOneOff,MATCH($H383,LevelList,0)),0)</f>
        <v>0</v>
      </c>
      <c r="X383" s="35" t="str">
        <f aca="false">IF($G383="","",$V383*N($L383))</f>
        <v/>
      </c>
      <c r="Y383" s="35" t="str">
        <f aca="false">IF($G383="","",$V383*(N($M383)*1+N($N383)*0.75+N($O383)*0.5+N($P383)*0.25)+$W383*N($L383))</f>
        <v/>
      </c>
      <c r="Z383" s="35" t="str">
        <f aca="false">IF($G383="","",$U383*1000000+ROW())</f>
        <v/>
      </c>
      <c r="AA383" s="36" t="str">
        <f aca="false">IF($G383="","",MID(IF($C383="",", no division","")&amp;IF($E383="",", no unit","")&amp;IF($H383="",", no career level","")&amp;IF(N($L383)&lt;=0,", no quarter split","")&amp;IF($R383="",", no driver","")&amp;IF(AND($H383&lt;&gt;"",COUNTIF(CareerLevels,$H383)=0),", a career level that is not on the ladder","")&amp;IF(AND($R383&lt;&gt;"",COUNTIF(DriverList,$R383)=0),", a driver that is not on the list","")&amp;IF(ABS(N($L383)-(N($M383)+N($N383)+N($O383)+N($P383)))&gt;0.001,", a total that does not match its quarters",""),3,300))</f>
        <v/>
      </c>
    </row>
    <row r="384" customFormat="false" ht="15" hidden="false" customHeight="false" outlineLevel="0" collapsed="false">
      <c r="A384" s="33" t="str">
        <f aca="false">IF($G384="","","Compliance Group")</f>
        <v/>
      </c>
      <c r="B384" s="19"/>
      <c r="C384" s="19"/>
      <c r="D384" s="19"/>
      <c r="E384" s="19"/>
      <c r="F384" s="19"/>
      <c r="G384" s="19"/>
      <c r="H384" s="19"/>
      <c r="I384" s="19"/>
      <c r="J384" s="19"/>
      <c r="K384" s="19"/>
      <c r="L384" s="19"/>
      <c r="M384" s="19"/>
      <c r="N384" s="19"/>
      <c r="O384" s="19"/>
      <c r="P384" s="19"/>
      <c r="Q384" s="19"/>
      <c r="R384" s="19"/>
      <c r="S384" s="19"/>
      <c r="T384" s="34" t="str">
        <f aca="false">IF($R384="","",IFERROR(INDEX(DriverCategory,MATCH($R384,DriverList,0)),"BAU"))</f>
        <v/>
      </c>
      <c r="U384" s="34" t="str">
        <f aca="false">IF($R384="","",IFERROR(INDEX(DriverRank,MATCH($R384,DriverList,0)),99))</f>
        <v/>
      </c>
      <c r="V384" s="35" t="n">
        <f aca="false">IF($H384="",0,IFERROR(INDEX(LevelBasic,MATCH($H384,LevelList,0))+INDEX(LevelHousing,MATCH($H384,LevelList,0))+INDEX(LevelTransport,MATCH($H384,LevelList,0))+INDEX(LevelBasic,MATCH($H384,LevelList,0))*INDEX(LevelBonus,MATCH($H384,LevelList,0))+(INDEX(LevelBasic,MATCH($H384,LevelList,0))+INDEX(LevelHousing,MATCH($H384,LevelList,0)))*GosiSaudi,0))</f>
        <v>0</v>
      </c>
      <c r="W384" s="35" t="n">
        <f aca="false">IFERROR(INDEX(LevelOneOff,MATCH($H384,LevelList,0)),0)</f>
        <v>0</v>
      </c>
      <c r="X384" s="35" t="str">
        <f aca="false">IF($G384="","",$V384*N($L384))</f>
        <v/>
      </c>
      <c r="Y384" s="35" t="str">
        <f aca="false">IF($G384="","",$V384*(N($M384)*1+N($N384)*0.75+N($O384)*0.5+N($P384)*0.25)+$W384*N($L384))</f>
        <v/>
      </c>
      <c r="Z384" s="35" t="str">
        <f aca="false">IF($G384="","",$U384*1000000+ROW())</f>
        <v/>
      </c>
      <c r="AA384" s="36" t="str">
        <f aca="false">IF($G384="","",MID(IF($C384="",", no division","")&amp;IF($E384="",", no unit","")&amp;IF($H384="",", no career level","")&amp;IF(N($L384)&lt;=0,", no quarter split","")&amp;IF($R384="",", no driver","")&amp;IF(AND($H384&lt;&gt;"",COUNTIF(CareerLevels,$H384)=0),", a career level that is not on the ladder","")&amp;IF(AND($R384&lt;&gt;"",COUNTIF(DriverList,$R384)=0),", a driver that is not on the list","")&amp;IF(ABS(N($L384)-(N($M384)+N($N384)+N($O384)+N($P384)))&gt;0.001,", a total that does not match its quarters",""),3,300))</f>
        <v/>
      </c>
    </row>
    <row r="385" customFormat="false" ht="15" hidden="false" customHeight="false" outlineLevel="0" collapsed="false">
      <c r="A385" s="33" t="str">
        <f aca="false">IF($G385="","","Compliance Group")</f>
        <v/>
      </c>
      <c r="B385" s="19"/>
      <c r="C385" s="19"/>
      <c r="D385" s="19"/>
      <c r="E385" s="19"/>
      <c r="F385" s="19"/>
      <c r="G385" s="19"/>
      <c r="H385" s="19"/>
      <c r="I385" s="19"/>
      <c r="J385" s="19"/>
      <c r="K385" s="19"/>
      <c r="L385" s="19"/>
      <c r="M385" s="19"/>
      <c r="N385" s="19"/>
      <c r="O385" s="19"/>
      <c r="P385" s="19"/>
      <c r="Q385" s="19"/>
      <c r="R385" s="19"/>
      <c r="S385" s="19"/>
      <c r="T385" s="34" t="str">
        <f aca="false">IF($R385="","",IFERROR(INDEX(DriverCategory,MATCH($R385,DriverList,0)),"BAU"))</f>
        <v/>
      </c>
      <c r="U385" s="34" t="str">
        <f aca="false">IF($R385="","",IFERROR(INDEX(DriverRank,MATCH($R385,DriverList,0)),99))</f>
        <v/>
      </c>
      <c r="V385" s="35" t="n">
        <f aca="false">IF($H385="",0,IFERROR(INDEX(LevelBasic,MATCH($H385,LevelList,0))+INDEX(LevelHousing,MATCH($H385,LevelList,0))+INDEX(LevelTransport,MATCH($H385,LevelList,0))+INDEX(LevelBasic,MATCH($H385,LevelList,0))*INDEX(LevelBonus,MATCH($H385,LevelList,0))+(INDEX(LevelBasic,MATCH($H385,LevelList,0))+INDEX(LevelHousing,MATCH($H385,LevelList,0)))*GosiSaudi,0))</f>
        <v>0</v>
      </c>
      <c r="W385" s="35" t="n">
        <f aca="false">IFERROR(INDEX(LevelOneOff,MATCH($H385,LevelList,0)),0)</f>
        <v>0</v>
      </c>
      <c r="X385" s="35" t="str">
        <f aca="false">IF($G385="","",$V385*N($L385))</f>
        <v/>
      </c>
      <c r="Y385" s="35" t="str">
        <f aca="false">IF($G385="","",$V385*(N($M385)*1+N($N385)*0.75+N($O385)*0.5+N($P385)*0.25)+$W385*N($L385))</f>
        <v/>
      </c>
      <c r="Z385" s="35" t="str">
        <f aca="false">IF($G385="","",$U385*1000000+ROW())</f>
        <v/>
      </c>
      <c r="AA385" s="36" t="str">
        <f aca="false">IF($G385="","",MID(IF($C385="",", no division","")&amp;IF($E385="",", no unit","")&amp;IF($H385="",", no career level","")&amp;IF(N($L385)&lt;=0,", no quarter split","")&amp;IF($R385="",", no driver","")&amp;IF(AND($H385&lt;&gt;"",COUNTIF(CareerLevels,$H385)=0),", a career level that is not on the ladder","")&amp;IF(AND($R385&lt;&gt;"",COUNTIF(DriverList,$R385)=0),", a driver that is not on the list","")&amp;IF(ABS(N($L385)-(N($M385)+N($N385)+N($O385)+N($P385)))&gt;0.001,", a total that does not match its quarters",""),3,300))</f>
        <v/>
      </c>
    </row>
    <row r="386" customFormat="false" ht="15" hidden="false" customHeight="false" outlineLevel="0" collapsed="false">
      <c r="A386" s="33" t="str">
        <f aca="false">IF($G386="","","Compliance Group")</f>
        <v/>
      </c>
      <c r="B386" s="19"/>
      <c r="C386" s="19"/>
      <c r="D386" s="19"/>
      <c r="E386" s="19"/>
      <c r="F386" s="19"/>
      <c r="G386" s="19"/>
      <c r="H386" s="19"/>
      <c r="I386" s="19"/>
      <c r="J386" s="19"/>
      <c r="K386" s="19"/>
      <c r="L386" s="19"/>
      <c r="M386" s="19"/>
      <c r="N386" s="19"/>
      <c r="O386" s="19"/>
      <c r="P386" s="19"/>
      <c r="Q386" s="19"/>
      <c r="R386" s="19"/>
      <c r="S386" s="19"/>
      <c r="T386" s="34" t="str">
        <f aca="false">IF($R386="","",IFERROR(INDEX(DriverCategory,MATCH($R386,DriverList,0)),"BAU"))</f>
        <v/>
      </c>
      <c r="U386" s="34" t="str">
        <f aca="false">IF($R386="","",IFERROR(INDEX(DriverRank,MATCH($R386,DriverList,0)),99))</f>
        <v/>
      </c>
      <c r="V386" s="35" t="n">
        <f aca="false">IF($H386="",0,IFERROR(INDEX(LevelBasic,MATCH($H386,LevelList,0))+INDEX(LevelHousing,MATCH($H386,LevelList,0))+INDEX(LevelTransport,MATCH($H386,LevelList,0))+INDEX(LevelBasic,MATCH($H386,LevelList,0))*INDEX(LevelBonus,MATCH($H386,LevelList,0))+(INDEX(LevelBasic,MATCH($H386,LevelList,0))+INDEX(LevelHousing,MATCH($H386,LevelList,0)))*GosiSaudi,0))</f>
        <v>0</v>
      </c>
      <c r="W386" s="35" t="n">
        <f aca="false">IFERROR(INDEX(LevelOneOff,MATCH($H386,LevelList,0)),0)</f>
        <v>0</v>
      </c>
      <c r="X386" s="35" t="str">
        <f aca="false">IF($G386="","",$V386*N($L386))</f>
        <v/>
      </c>
      <c r="Y386" s="35" t="str">
        <f aca="false">IF($G386="","",$V386*(N($M386)*1+N($N386)*0.75+N($O386)*0.5+N($P386)*0.25)+$W386*N($L386))</f>
        <v/>
      </c>
      <c r="Z386" s="35" t="str">
        <f aca="false">IF($G386="","",$U386*1000000+ROW())</f>
        <v/>
      </c>
      <c r="AA386" s="36" t="str">
        <f aca="false">IF($G386="","",MID(IF($C386="",", no division","")&amp;IF($E386="",", no unit","")&amp;IF($H386="",", no career level","")&amp;IF(N($L386)&lt;=0,", no quarter split","")&amp;IF($R386="",", no driver","")&amp;IF(AND($H386&lt;&gt;"",COUNTIF(CareerLevels,$H386)=0),", a career level that is not on the ladder","")&amp;IF(AND($R386&lt;&gt;"",COUNTIF(DriverList,$R386)=0),", a driver that is not on the list","")&amp;IF(ABS(N($L386)-(N($M386)+N($N386)+N($O386)+N($P386)))&gt;0.001,", a total that does not match its quarters",""),3,300))</f>
        <v/>
      </c>
    </row>
    <row r="387" customFormat="false" ht="15" hidden="false" customHeight="false" outlineLevel="0" collapsed="false">
      <c r="A387" s="33" t="str">
        <f aca="false">IF($G387="","","Compliance Group")</f>
        <v/>
      </c>
      <c r="B387" s="19"/>
      <c r="C387" s="19"/>
      <c r="D387" s="19"/>
      <c r="E387" s="19"/>
      <c r="F387" s="19"/>
      <c r="G387" s="19"/>
      <c r="H387" s="19"/>
      <c r="I387" s="19"/>
      <c r="J387" s="19"/>
      <c r="K387" s="19"/>
      <c r="L387" s="19"/>
      <c r="M387" s="19"/>
      <c r="N387" s="19"/>
      <c r="O387" s="19"/>
      <c r="P387" s="19"/>
      <c r="Q387" s="19"/>
      <c r="R387" s="19"/>
      <c r="S387" s="19"/>
      <c r="T387" s="34" t="str">
        <f aca="false">IF($R387="","",IFERROR(INDEX(DriverCategory,MATCH($R387,DriverList,0)),"BAU"))</f>
        <v/>
      </c>
      <c r="U387" s="34" t="str">
        <f aca="false">IF($R387="","",IFERROR(INDEX(DriverRank,MATCH($R387,DriverList,0)),99))</f>
        <v/>
      </c>
      <c r="V387" s="35" t="n">
        <f aca="false">IF($H387="",0,IFERROR(INDEX(LevelBasic,MATCH($H387,LevelList,0))+INDEX(LevelHousing,MATCH($H387,LevelList,0))+INDEX(LevelTransport,MATCH($H387,LevelList,0))+INDEX(LevelBasic,MATCH($H387,LevelList,0))*INDEX(LevelBonus,MATCH($H387,LevelList,0))+(INDEX(LevelBasic,MATCH($H387,LevelList,0))+INDEX(LevelHousing,MATCH($H387,LevelList,0)))*GosiSaudi,0))</f>
        <v>0</v>
      </c>
      <c r="W387" s="35" t="n">
        <f aca="false">IFERROR(INDEX(LevelOneOff,MATCH($H387,LevelList,0)),0)</f>
        <v>0</v>
      </c>
      <c r="X387" s="35" t="str">
        <f aca="false">IF($G387="","",$V387*N($L387))</f>
        <v/>
      </c>
      <c r="Y387" s="35" t="str">
        <f aca="false">IF($G387="","",$V387*(N($M387)*1+N($N387)*0.75+N($O387)*0.5+N($P387)*0.25)+$W387*N($L387))</f>
        <v/>
      </c>
      <c r="Z387" s="35" t="str">
        <f aca="false">IF($G387="","",$U387*1000000+ROW())</f>
        <v/>
      </c>
      <c r="AA387" s="36" t="str">
        <f aca="false">IF($G387="","",MID(IF($C387="",", no division","")&amp;IF($E387="",", no unit","")&amp;IF($H387="",", no career level","")&amp;IF(N($L387)&lt;=0,", no quarter split","")&amp;IF($R387="",", no driver","")&amp;IF(AND($H387&lt;&gt;"",COUNTIF(CareerLevels,$H387)=0),", a career level that is not on the ladder","")&amp;IF(AND($R387&lt;&gt;"",COUNTIF(DriverList,$R387)=0),", a driver that is not on the list","")&amp;IF(ABS(N($L387)-(N($M387)+N($N387)+N($O387)+N($P387)))&gt;0.001,", a total that does not match its quarters",""),3,300))</f>
        <v/>
      </c>
    </row>
    <row r="388" customFormat="false" ht="15" hidden="false" customHeight="false" outlineLevel="0" collapsed="false">
      <c r="A388" s="33" t="str">
        <f aca="false">IF($G388="","","Compliance Group")</f>
        <v/>
      </c>
      <c r="B388" s="19"/>
      <c r="C388" s="19"/>
      <c r="D388" s="19"/>
      <c r="E388" s="19"/>
      <c r="F388" s="19"/>
      <c r="G388" s="19"/>
      <c r="H388" s="19"/>
      <c r="I388" s="19"/>
      <c r="J388" s="19"/>
      <c r="K388" s="19"/>
      <c r="L388" s="19"/>
      <c r="M388" s="19"/>
      <c r="N388" s="19"/>
      <c r="O388" s="19"/>
      <c r="P388" s="19"/>
      <c r="Q388" s="19"/>
      <c r="R388" s="19"/>
      <c r="S388" s="19"/>
      <c r="T388" s="34" t="str">
        <f aca="false">IF($R388="","",IFERROR(INDEX(DriverCategory,MATCH($R388,DriverList,0)),"BAU"))</f>
        <v/>
      </c>
      <c r="U388" s="34" t="str">
        <f aca="false">IF($R388="","",IFERROR(INDEX(DriverRank,MATCH($R388,DriverList,0)),99))</f>
        <v/>
      </c>
      <c r="V388" s="35" t="n">
        <f aca="false">IF($H388="",0,IFERROR(INDEX(LevelBasic,MATCH($H388,LevelList,0))+INDEX(LevelHousing,MATCH($H388,LevelList,0))+INDEX(LevelTransport,MATCH($H388,LevelList,0))+INDEX(LevelBasic,MATCH($H388,LevelList,0))*INDEX(LevelBonus,MATCH($H388,LevelList,0))+(INDEX(LevelBasic,MATCH($H388,LevelList,0))+INDEX(LevelHousing,MATCH($H388,LevelList,0)))*GosiSaudi,0))</f>
        <v>0</v>
      </c>
      <c r="W388" s="35" t="n">
        <f aca="false">IFERROR(INDEX(LevelOneOff,MATCH($H388,LevelList,0)),0)</f>
        <v>0</v>
      </c>
      <c r="X388" s="35" t="str">
        <f aca="false">IF($G388="","",$V388*N($L388))</f>
        <v/>
      </c>
      <c r="Y388" s="35" t="str">
        <f aca="false">IF($G388="","",$V388*(N($M388)*1+N($N388)*0.75+N($O388)*0.5+N($P388)*0.25)+$W388*N($L388))</f>
        <v/>
      </c>
      <c r="Z388" s="35" t="str">
        <f aca="false">IF($G388="","",$U388*1000000+ROW())</f>
        <v/>
      </c>
      <c r="AA388" s="36" t="str">
        <f aca="false">IF($G388="","",MID(IF($C388="",", no division","")&amp;IF($E388="",", no unit","")&amp;IF($H388="",", no career level","")&amp;IF(N($L388)&lt;=0,", no quarter split","")&amp;IF($R388="",", no driver","")&amp;IF(AND($H388&lt;&gt;"",COUNTIF(CareerLevels,$H388)=0),", a career level that is not on the ladder","")&amp;IF(AND($R388&lt;&gt;"",COUNTIF(DriverList,$R388)=0),", a driver that is not on the list","")&amp;IF(ABS(N($L388)-(N($M388)+N($N388)+N($O388)+N($P388)))&gt;0.001,", a total that does not match its quarters",""),3,300))</f>
        <v/>
      </c>
    </row>
    <row r="389" customFormat="false" ht="15" hidden="false" customHeight="false" outlineLevel="0" collapsed="false">
      <c r="A389" s="33" t="str">
        <f aca="false">IF($G389="","","Compliance Group")</f>
        <v/>
      </c>
      <c r="B389" s="19"/>
      <c r="C389" s="19"/>
      <c r="D389" s="19"/>
      <c r="E389" s="19"/>
      <c r="F389" s="19"/>
      <c r="G389" s="19"/>
      <c r="H389" s="19"/>
      <c r="I389" s="19"/>
      <c r="J389" s="19"/>
      <c r="K389" s="19"/>
      <c r="L389" s="19"/>
      <c r="M389" s="19"/>
      <c r="N389" s="19"/>
      <c r="O389" s="19"/>
      <c r="P389" s="19"/>
      <c r="Q389" s="19"/>
      <c r="R389" s="19"/>
      <c r="S389" s="19"/>
      <c r="T389" s="34" t="str">
        <f aca="false">IF($R389="","",IFERROR(INDEX(DriverCategory,MATCH($R389,DriverList,0)),"BAU"))</f>
        <v/>
      </c>
      <c r="U389" s="34" t="str">
        <f aca="false">IF($R389="","",IFERROR(INDEX(DriverRank,MATCH($R389,DriverList,0)),99))</f>
        <v/>
      </c>
      <c r="V389" s="35" t="n">
        <f aca="false">IF($H389="",0,IFERROR(INDEX(LevelBasic,MATCH($H389,LevelList,0))+INDEX(LevelHousing,MATCH($H389,LevelList,0))+INDEX(LevelTransport,MATCH($H389,LevelList,0))+INDEX(LevelBasic,MATCH($H389,LevelList,0))*INDEX(LevelBonus,MATCH($H389,LevelList,0))+(INDEX(LevelBasic,MATCH($H389,LevelList,0))+INDEX(LevelHousing,MATCH($H389,LevelList,0)))*GosiSaudi,0))</f>
        <v>0</v>
      </c>
      <c r="W389" s="35" t="n">
        <f aca="false">IFERROR(INDEX(LevelOneOff,MATCH($H389,LevelList,0)),0)</f>
        <v>0</v>
      </c>
      <c r="X389" s="35" t="str">
        <f aca="false">IF($G389="","",$V389*N($L389))</f>
        <v/>
      </c>
      <c r="Y389" s="35" t="str">
        <f aca="false">IF($G389="","",$V389*(N($M389)*1+N($N389)*0.75+N($O389)*0.5+N($P389)*0.25)+$W389*N($L389))</f>
        <v/>
      </c>
      <c r="Z389" s="35" t="str">
        <f aca="false">IF($G389="","",$U389*1000000+ROW())</f>
        <v/>
      </c>
      <c r="AA389" s="36" t="str">
        <f aca="false">IF($G389="","",MID(IF($C389="",", no division","")&amp;IF($E389="",", no unit","")&amp;IF($H389="",", no career level","")&amp;IF(N($L389)&lt;=0,", no quarter split","")&amp;IF($R389="",", no driver","")&amp;IF(AND($H389&lt;&gt;"",COUNTIF(CareerLevels,$H389)=0),", a career level that is not on the ladder","")&amp;IF(AND($R389&lt;&gt;"",COUNTIF(DriverList,$R389)=0),", a driver that is not on the list","")&amp;IF(ABS(N($L389)-(N($M389)+N($N389)+N($O389)+N($P389)))&gt;0.001,", a total that does not match its quarters",""),3,300))</f>
        <v/>
      </c>
    </row>
    <row r="390" customFormat="false" ht="15" hidden="false" customHeight="false" outlineLevel="0" collapsed="false">
      <c r="A390" s="33" t="str">
        <f aca="false">IF($G390="","","Compliance Group")</f>
        <v/>
      </c>
      <c r="B390" s="19"/>
      <c r="C390" s="19"/>
      <c r="D390" s="19"/>
      <c r="E390" s="19"/>
      <c r="F390" s="19"/>
      <c r="G390" s="19"/>
      <c r="H390" s="19"/>
      <c r="I390" s="19"/>
      <c r="J390" s="19"/>
      <c r="K390" s="19"/>
      <c r="L390" s="19"/>
      <c r="M390" s="19"/>
      <c r="N390" s="19"/>
      <c r="O390" s="19"/>
      <c r="P390" s="19"/>
      <c r="Q390" s="19"/>
      <c r="R390" s="19"/>
      <c r="S390" s="19"/>
      <c r="T390" s="34" t="str">
        <f aca="false">IF($R390="","",IFERROR(INDEX(DriverCategory,MATCH($R390,DriverList,0)),"BAU"))</f>
        <v/>
      </c>
      <c r="U390" s="34" t="str">
        <f aca="false">IF($R390="","",IFERROR(INDEX(DriverRank,MATCH($R390,DriverList,0)),99))</f>
        <v/>
      </c>
      <c r="V390" s="35" t="n">
        <f aca="false">IF($H390="",0,IFERROR(INDEX(LevelBasic,MATCH($H390,LevelList,0))+INDEX(LevelHousing,MATCH($H390,LevelList,0))+INDEX(LevelTransport,MATCH($H390,LevelList,0))+INDEX(LevelBasic,MATCH($H390,LevelList,0))*INDEX(LevelBonus,MATCH($H390,LevelList,0))+(INDEX(LevelBasic,MATCH($H390,LevelList,0))+INDEX(LevelHousing,MATCH($H390,LevelList,0)))*GosiSaudi,0))</f>
        <v>0</v>
      </c>
      <c r="W390" s="35" t="n">
        <f aca="false">IFERROR(INDEX(LevelOneOff,MATCH($H390,LevelList,0)),0)</f>
        <v>0</v>
      </c>
      <c r="X390" s="35" t="str">
        <f aca="false">IF($G390="","",$V390*N($L390))</f>
        <v/>
      </c>
      <c r="Y390" s="35" t="str">
        <f aca="false">IF($G390="","",$V390*(N($M390)*1+N($N390)*0.75+N($O390)*0.5+N($P390)*0.25)+$W390*N($L390))</f>
        <v/>
      </c>
      <c r="Z390" s="35" t="str">
        <f aca="false">IF($G390="","",$U390*1000000+ROW())</f>
        <v/>
      </c>
      <c r="AA390" s="36" t="str">
        <f aca="false">IF($G390="","",MID(IF($C390="",", no division","")&amp;IF($E390="",", no unit","")&amp;IF($H390="",", no career level","")&amp;IF(N($L390)&lt;=0,", no quarter split","")&amp;IF($R390="",", no driver","")&amp;IF(AND($H390&lt;&gt;"",COUNTIF(CareerLevels,$H390)=0),", a career level that is not on the ladder","")&amp;IF(AND($R390&lt;&gt;"",COUNTIF(DriverList,$R390)=0),", a driver that is not on the list","")&amp;IF(ABS(N($L390)-(N($M390)+N($N390)+N($O390)+N($P390)))&gt;0.001,", a total that does not match its quarters",""),3,300))</f>
        <v/>
      </c>
    </row>
    <row r="391" customFormat="false" ht="15" hidden="false" customHeight="false" outlineLevel="0" collapsed="false">
      <c r="A391" s="33" t="str">
        <f aca="false">IF($G391="","","Compliance Group")</f>
        <v/>
      </c>
      <c r="B391" s="19"/>
      <c r="C391" s="19"/>
      <c r="D391" s="19"/>
      <c r="E391" s="19"/>
      <c r="F391" s="19"/>
      <c r="G391" s="19"/>
      <c r="H391" s="19"/>
      <c r="I391" s="19"/>
      <c r="J391" s="19"/>
      <c r="K391" s="19"/>
      <c r="L391" s="19"/>
      <c r="M391" s="19"/>
      <c r="N391" s="19"/>
      <c r="O391" s="19"/>
      <c r="P391" s="19"/>
      <c r="Q391" s="19"/>
      <c r="R391" s="19"/>
      <c r="S391" s="19"/>
      <c r="T391" s="34" t="str">
        <f aca="false">IF($R391="","",IFERROR(INDEX(DriverCategory,MATCH($R391,DriverList,0)),"BAU"))</f>
        <v/>
      </c>
      <c r="U391" s="34" t="str">
        <f aca="false">IF($R391="","",IFERROR(INDEX(DriverRank,MATCH($R391,DriverList,0)),99))</f>
        <v/>
      </c>
      <c r="V391" s="35" t="n">
        <f aca="false">IF($H391="",0,IFERROR(INDEX(LevelBasic,MATCH($H391,LevelList,0))+INDEX(LevelHousing,MATCH($H391,LevelList,0))+INDEX(LevelTransport,MATCH($H391,LevelList,0))+INDEX(LevelBasic,MATCH($H391,LevelList,0))*INDEX(LevelBonus,MATCH($H391,LevelList,0))+(INDEX(LevelBasic,MATCH($H391,LevelList,0))+INDEX(LevelHousing,MATCH($H391,LevelList,0)))*GosiSaudi,0))</f>
        <v>0</v>
      </c>
      <c r="W391" s="35" t="n">
        <f aca="false">IFERROR(INDEX(LevelOneOff,MATCH($H391,LevelList,0)),0)</f>
        <v>0</v>
      </c>
      <c r="X391" s="35" t="str">
        <f aca="false">IF($G391="","",$V391*N($L391))</f>
        <v/>
      </c>
      <c r="Y391" s="35" t="str">
        <f aca="false">IF($G391="","",$V391*(N($M391)*1+N($N391)*0.75+N($O391)*0.5+N($P391)*0.25)+$W391*N($L391))</f>
        <v/>
      </c>
      <c r="Z391" s="35" t="str">
        <f aca="false">IF($G391="","",$U391*1000000+ROW())</f>
        <v/>
      </c>
      <c r="AA391" s="36" t="str">
        <f aca="false">IF($G391="","",MID(IF($C391="",", no division","")&amp;IF($E391="",", no unit","")&amp;IF($H391="",", no career level","")&amp;IF(N($L391)&lt;=0,", no quarter split","")&amp;IF($R391="",", no driver","")&amp;IF(AND($H391&lt;&gt;"",COUNTIF(CareerLevels,$H391)=0),", a career level that is not on the ladder","")&amp;IF(AND($R391&lt;&gt;"",COUNTIF(DriverList,$R391)=0),", a driver that is not on the list","")&amp;IF(ABS(N($L391)-(N($M391)+N($N391)+N($O391)+N($P391)))&gt;0.001,", a total that does not match its quarters",""),3,300))</f>
        <v/>
      </c>
    </row>
    <row r="392" customFormat="false" ht="15" hidden="false" customHeight="false" outlineLevel="0" collapsed="false">
      <c r="A392" s="33" t="str">
        <f aca="false">IF($G392="","","Compliance Group")</f>
        <v/>
      </c>
      <c r="B392" s="19"/>
      <c r="C392" s="19"/>
      <c r="D392" s="19"/>
      <c r="E392" s="19"/>
      <c r="F392" s="19"/>
      <c r="G392" s="19"/>
      <c r="H392" s="19"/>
      <c r="I392" s="19"/>
      <c r="J392" s="19"/>
      <c r="K392" s="19"/>
      <c r="L392" s="19"/>
      <c r="M392" s="19"/>
      <c r="N392" s="19"/>
      <c r="O392" s="19"/>
      <c r="P392" s="19"/>
      <c r="Q392" s="19"/>
      <c r="R392" s="19"/>
      <c r="S392" s="19"/>
      <c r="T392" s="34" t="str">
        <f aca="false">IF($R392="","",IFERROR(INDEX(DriverCategory,MATCH($R392,DriverList,0)),"BAU"))</f>
        <v/>
      </c>
      <c r="U392" s="34" t="str">
        <f aca="false">IF($R392="","",IFERROR(INDEX(DriverRank,MATCH($R392,DriverList,0)),99))</f>
        <v/>
      </c>
      <c r="V392" s="35" t="n">
        <f aca="false">IF($H392="",0,IFERROR(INDEX(LevelBasic,MATCH($H392,LevelList,0))+INDEX(LevelHousing,MATCH($H392,LevelList,0))+INDEX(LevelTransport,MATCH($H392,LevelList,0))+INDEX(LevelBasic,MATCH($H392,LevelList,0))*INDEX(LevelBonus,MATCH($H392,LevelList,0))+(INDEX(LevelBasic,MATCH($H392,LevelList,0))+INDEX(LevelHousing,MATCH($H392,LevelList,0)))*GosiSaudi,0))</f>
        <v>0</v>
      </c>
      <c r="W392" s="35" t="n">
        <f aca="false">IFERROR(INDEX(LevelOneOff,MATCH($H392,LevelList,0)),0)</f>
        <v>0</v>
      </c>
      <c r="X392" s="35" t="str">
        <f aca="false">IF($G392="","",$V392*N($L392))</f>
        <v/>
      </c>
      <c r="Y392" s="35" t="str">
        <f aca="false">IF($G392="","",$V392*(N($M392)*1+N($N392)*0.75+N($O392)*0.5+N($P392)*0.25)+$W392*N($L392))</f>
        <v/>
      </c>
      <c r="Z392" s="35" t="str">
        <f aca="false">IF($G392="","",$U392*1000000+ROW())</f>
        <v/>
      </c>
      <c r="AA392" s="36" t="str">
        <f aca="false">IF($G392="","",MID(IF($C392="",", no division","")&amp;IF($E392="",", no unit","")&amp;IF($H392="",", no career level","")&amp;IF(N($L392)&lt;=0,", no quarter split","")&amp;IF($R392="",", no driver","")&amp;IF(AND($H392&lt;&gt;"",COUNTIF(CareerLevels,$H392)=0),", a career level that is not on the ladder","")&amp;IF(AND($R392&lt;&gt;"",COUNTIF(DriverList,$R392)=0),", a driver that is not on the list","")&amp;IF(ABS(N($L392)-(N($M392)+N($N392)+N($O392)+N($P392)))&gt;0.001,", a total that does not match its quarters",""),3,300))</f>
        <v/>
      </c>
    </row>
    <row r="393" customFormat="false" ht="15" hidden="false" customHeight="false" outlineLevel="0" collapsed="false">
      <c r="A393" s="33" t="str">
        <f aca="false">IF($G393="","","Compliance Group")</f>
        <v/>
      </c>
      <c r="B393" s="19"/>
      <c r="C393" s="19"/>
      <c r="D393" s="19"/>
      <c r="E393" s="19"/>
      <c r="F393" s="19"/>
      <c r="G393" s="19"/>
      <c r="H393" s="19"/>
      <c r="I393" s="19"/>
      <c r="J393" s="19"/>
      <c r="K393" s="19"/>
      <c r="L393" s="19"/>
      <c r="M393" s="19"/>
      <c r="N393" s="19"/>
      <c r="O393" s="19"/>
      <c r="P393" s="19"/>
      <c r="Q393" s="19"/>
      <c r="R393" s="19"/>
      <c r="S393" s="19"/>
      <c r="T393" s="34" t="str">
        <f aca="false">IF($R393="","",IFERROR(INDEX(DriverCategory,MATCH($R393,DriverList,0)),"BAU"))</f>
        <v/>
      </c>
      <c r="U393" s="34" t="str">
        <f aca="false">IF($R393="","",IFERROR(INDEX(DriverRank,MATCH($R393,DriverList,0)),99))</f>
        <v/>
      </c>
      <c r="V393" s="35" t="n">
        <f aca="false">IF($H393="",0,IFERROR(INDEX(LevelBasic,MATCH($H393,LevelList,0))+INDEX(LevelHousing,MATCH($H393,LevelList,0))+INDEX(LevelTransport,MATCH($H393,LevelList,0))+INDEX(LevelBasic,MATCH($H393,LevelList,0))*INDEX(LevelBonus,MATCH($H393,LevelList,0))+(INDEX(LevelBasic,MATCH($H393,LevelList,0))+INDEX(LevelHousing,MATCH($H393,LevelList,0)))*GosiSaudi,0))</f>
        <v>0</v>
      </c>
      <c r="W393" s="35" t="n">
        <f aca="false">IFERROR(INDEX(LevelOneOff,MATCH($H393,LevelList,0)),0)</f>
        <v>0</v>
      </c>
      <c r="X393" s="35" t="str">
        <f aca="false">IF($G393="","",$V393*N($L393))</f>
        <v/>
      </c>
      <c r="Y393" s="35" t="str">
        <f aca="false">IF($G393="","",$V393*(N($M393)*1+N($N393)*0.75+N($O393)*0.5+N($P393)*0.25)+$W393*N($L393))</f>
        <v/>
      </c>
      <c r="Z393" s="35" t="str">
        <f aca="false">IF($G393="","",$U393*1000000+ROW())</f>
        <v/>
      </c>
      <c r="AA393" s="36" t="str">
        <f aca="false">IF($G393="","",MID(IF($C393="",", no division","")&amp;IF($E393="",", no unit","")&amp;IF($H393="",", no career level","")&amp;IF(N($L393)&lt;=0,", no quarter split","")&amp;IF($R393="",", no driver","")&amp;IF(AND($H393&lt;&gt;"",COUNTIF(CareerLevels,$H393)=0),", a career level that is not on the ladder","")&amp;IF(AND($R393&lt;&gt;"",COUNTIF(DriverList,$R393)=0),", a driver that is not on the list","")&amp;IF(ABS(N($L393)-(N($M393)+N($N393)+N($O393)+N($P393)))&gt;0.001,", a total that does not match its quarters",""),3,300))</f>
        <v/>
      </c>
    </row>
    <row r="394" customFormat="false" ht="15" hidden="false" customHeight="false" outlineLevel="0" collapsed="false">
      <c r="A394" s="33" t="str">
        <f aca="false">IF($G394="","","Compliance Group")</f>
        <v/>
      </c>
      <c r="B394" s="19"/>
      <c r="C394" s="19"/>
      <c r="D394" s="19"/>
      <c r="E394" s="19"/>
      <c r="F394" s="19"/>
      <c r="G394" s="19"/>
      <c r="H394" s="19"/>
      <c r="I394" s="19"/>
      <c r="J394" s="19"/>
      <c r="K394" s="19"/>
      <c r="L394" s="19"/>
      <c r="M394" s="19"/>
      <c r="N394" s="19"/>
      <c r="O394" s="19"/>
      <c r="P394" s="19"/>
      <c r="Q394" s="19"/>
      <c r="R394" s="19"/>
      <c r="S394" s="19"/>
      <c r="T394" s="34" t="str">
        <f aca="false">IF($R394="","",IFERROR(INDEX(DriverCategory,MATCH($R394,DriverList,0)),"BAU"))</f>
        <v/>
      </c>
      <c r="U394" s="34" t="str">
        <f aca="false">IF($R394="","",IFERROR(INDEX(DriverRank,MATCH($R394,DriverList,0)),99))</f>
        <v/>
      </c>
      <c r="V394" s="35" t="n">
        <f aca="false">IF($H394="",0,IFERROR(INDEX(LevelBasic,MATCH($H394,LevelList,0))+INDEX(LevelHousing,MATCH($H394,LevelList,0))+INDEX(LevelTransport,MATCH($H394,LevelList,0))+INDEX(LevelBasic,MATCH($H394,LevelList,0))*INDEX(LevelBonus,MATCH($H394,LevelList,0))+(INDEX(LevelBasic,MATCH($H394,LevelList,0))+INDEX(LevelHousing,MATCH($H394,LevelList,0)))*GosiSaudi,0))</f>
        <v>0</v>
      </c>
      <c r="W394" s="35" t="n">
        <f aca="false">IFERROR(INDEX(LevelOneOff,MATCH($H394,LevelList,0)),0)</f>
        <v>0</v>
      </c>
      <c r="X394" s="35" t="str">
        <f aca="false">IF($G394="","",$V394*N($L394))</f>
        <v/>
      </c>
      <c r="Y394" s="35" t="str">
        <f aca="false">IF($G394="","",$V394*(N($M394)*1+N($N394)*0.75+N($O394)*0.5+N($P394)*0.25)+$W394*N($L394))</f>
        <v/>
      </c>
      <c r="Z394" s="35" t="str">
        <f aca="false">IF($G394="","",$U394*1000000+ROW())</f>
        <v/>
      </c>
      <c r="AA394" s="36" t="str">
        <f aca="false">IF($G394="","",MID(IF($C394="",", no division","")&amp;IF($E394="",", no unit","")&amp;IF($H394="",", no career level","")&amp;IF(N($L394)&lt;=0,", no quarter split","")&amp;IF($R394="",", no driver","")&amp;IF(AND($H394&lt;&gt;"",COUNTIF(CareerLevels,$H394)=0),", a career level that is not on the ladder","")&amp;IF(AND($R394&lt;&gt;"",COUNTIF(DriverList,$R394)=0),", a driver that is not on the list","")&amp;IF(ABS(N($L394)-(N($M394)+N($N394)+N($O394)+N($P394)))&gt;0.001,", a total that does not match its quarters",""),3,300))</f>
        <v/>
      </c>
    </row>
    <row r="395" customFormat="false" ht="15" hidden="false" customHeight="false" outlineLevel="0" collapsed="false">
      <c r="A395" s="33" t="str">
        <f aca="false">IF($G395="","","Compliance Group")</f>
        <v/>
      </c>
      <c r="B395" s="19"/>
      <c r="C395" s="19"/>
      <c r="D395" s="19"/>
      <c r="E395" s="19"/>
      <c r="F395" s="19"/>
      <c r="G395" s="19"/>
      <c r="H395" s="19"/>
      <c r="I395" s="19"/>
      <c r="J395" s="19"/>
      <c r="K395" s="19"/>
      <c r="L395" s="19"/>
      <c r="M395" s="19"/>
      <c r="N395" s="19"/>
      <c r="O395" s="19"/>
      <c r="P395" s="19"/>
      <c r="Q395" s="19"/>
      <c r="R395" s="19"/>
      <c r="S395" s="19"/>
      <c r="T395" s="34" t="str">
        <f aca="false">IF($R395="","",IFERROR(INDEX(DriverCategory,MATCH($R395,DriverList,0)),"BAU"))</f>
        <v/>
      </c>
      <c r="U395" s="34" t="str">
        <f aca="false">IF($R395="","",IFERROR(INDEX(DriverRank,MATCH($R395,DriverList,0)),99))</f>
        <v/>
      </c>
      <c r="V395" s="35" t="n">
        <f aca="false">IF($H395="",0,IFERROR(INDEX(LevelBasic,MATCH($H395,LevelList,0))+INDEX(LevelHousing,MATCH($H395,LevelList,0))+INDEX(LevelTransport,MATCH($H395,LevelList,0))+INDEX(LevelBasic,MATCH($H395,LevelList,0))*INDEX(LevelBonus,MATCH($H395,LevelList,0))+(INDEX(LevelBasic,MATCH($H395,LevelList,0))+INDEX(LevelHousing,MATCH($H395,LevelList,0)))*GosiSaudi,0))</f>
        <v>0</v>
      </c>
      <c r="W395" s="35" t="n">
        <f aca="false">IFERROR(INDEX(LevelOneOff,MATCH($H395,LevelList,0)),0)</f>
        <v>0</v>
      </c>
      <c r="X395" s="35" t="str">
        <f aca="false">IF($G395="","",$V395*N($L395))</f>
        <v/>
      </c>
      <c r="Y395" s="35" t="str">
        <f aca="false">IF($G395="","",$V395*(N($M395)*1+N($N395)*0.75+N($O395)*0.5+N($P395)*0.25)+$W395*N($L395))</f>
        <v/>
      </c>
      <c r="Z395" s="35" t="str">
        <f aca="false">IF($G395="","",$U395*1000000+ROW())</f>
        <v/>
      </c>
      <c r="AA395" s="36" t="str">
        <f aca="false">IF($G395="","",MID(IF($C395="",", no division","")&amp;IF($E395="",", no unit","")&amp;IF($H395="",", no career level","")&amp;IF(N($L395)&lt;=0,", no quarter split","")&amp;IF($R395="",", no driver","")&amp;IF(AND($H395&lt;&gt;"",COUNTIF(CareerLevels,$H395)=0),", a career level that is not on the ladder","")&amp;IF(AND($R395&lt;&gt;"",COUNTIF(DriverList,$R395)=0),", a driver that is not on the list","")&amp;IF(ABS(N($L395)-(N($M395)+N($N395)+N($O395)+N($P395)))&gt;0.001,", a total that does not match its quarters",""),3,300))</f>
        <v/>
      </c>
    </row>
    <row r="396" customFormat="false" ht="15" hidden="false" customHeight="false" outlineLevel="0" collapsed="false">
      <c r="A396" s="33" t="str">
        <f aca="false">IF($G396="","","Compliance Group")</f>
        <v/>
      </c>
      <c r="B396" s="19"/>
      <c r="C396" s="19"/>
      <c r="D396" s="19"/>
      <c r="E396" s="19"/>
      <c r="F396" s="19"/>
      <c r="G396" s="19"/>
      <c r="H396" s="19"/>
      <c r="I396" s="19"/>
      <c r="J396" s="19"/>
      <c r="K396" s="19"/>
      <c r="L396" s="19"/>
      <c r="M396" s="19"/>
      <c r="N396" s="19"/>
      <c r="O396" s="19"/>
      <c r="P396" s="19"/>
      <c r="Q396" s="19"/>
      <c r="R396" s="19"/>
      <c r="S396" s="19"/>
      <c r="T396" s="34" t="str">
        <f aca="false">IF($R396="","",IFERROR(INDEX(DriverCategory,MATCH($R396,DriverList,0)),"BAU"))</f>
        <v/>
      </c>
      <c r="U396" s="34" t="str">
        <f aca="false">IF($R396="","",IFERROR(INDEX(DriverRank,MATCH($R396,DriverList,0)),99))</f>
        <v/>
      </c>
      <c r="V396" s="35" t="n">
        <f aca="false">IF($H396="",0,IFERROR(INDEX(LevelBasic,MATCH($H396,LevelList,0))+INDEX(LevelHousing,MATCH($H396,LevelList,0))+INDEX(LevelTransport,MATCH($H396,LevelList,0))+INDEX(LevelBasic,MATCH($H396,LevelList,0))*INDEX(LevelBonus,MATCH($H396,LevelList,0))+(INDEX(LevelBasic,MATCH($H396,LevelList,0))+INDEX(LevelHousing,MATCH($H396,LevelList,0)))*GosiSaudi,0))</f>
        <v>0</v>
      </c>
      <c r="W396" s="35" t="n">
        <f aca="false">IFERROR(INDEX(LevelOneOff,MATCH($H396,LevelList,0)),0)</f>
        <v>0</v>
      </c>
      <c r="X396" s="35" t="str">
        <f aca="false">IF($G396="","",$V396*N($L396))</f>
        <v/>
      </c>
      <c r="Y396" s="35" t="str">
        <f aca="false">IF($G396="","",$V396*(N($M396)*1+N($N396)*0.75+N($O396)*0.5+N($P396)*0.25)+$W396*N($L396))</f>
        <v/>
      </c>
      <c r="Z396" s="35" t="str">
        <f aca="false">IF($G396="","",$U396*1000000+ROW())</f>
        <v/>
      </c>
      <c r="AA396" s="36" t="str">
        <f aca="false">IF($G396="","",MID(IF($C396="",", no division","")&amp;IF($E396="",", no unit","")&amp;IF($H396="",", no career level","")&amp;IF(N($L396)&lt;=0,", no quarter split","")&amp;IF($R396="",", no driver","")&amp;IF(AND($H396&lt;&gt;"",COUNTIF(CareerLevels,$H396)=0),", a career level that is not on the ladder","")&amp;IF(AND($R396&lt;&gt;"",COUNTIF(DriverList,$R396)=0),", a driver that is not on the list","")&amp;IF(ABS(N($L396)-(N($M396)+N($N396)+N($O396)+N($P396)))&gt;0.001,", a total that does not match its quarters",""),3,300))</f>
        <v/>
      </c>
    </row>
    <row r="397" customFormat="false" ht="15" hidden="false" customHeight="false" outlineLevel="0" collapsed="false">
      <c r="A397" s="33" t="str">
        <f aca="false">IF($G397="","","Compliance Group")</f>
        <v/>
      </c>
      <c r="B397" s="19"/>
      <c r="C397" s="19"/>
      <c r="D397" s="19"/>
      <c r="E397" s="19"/>
      <c r="F397" s="19"/>
      <c r="G397" s="19"/>
      <c r="H397" s="19"/>
      <c r="I397" s="19"/>
      <c r="J397" s="19"/>
      <c r="K397" s="19"/>
      <c r="L397" s="19"/>
      <c r="M397" s="19"/>
      <c r="N397" s="19"/>
      <c r="O397" s="19"/>
      <c r="P397" s="19"/>
      <c r="Q397" s="19"/>
      <c r="R397" s="19"/>
      <c r="S397" s="19"/>
      <c r="T397" s="34" t="str">
        <f aca="false">IF($R397="","",IFERROR(INDEX(DriverCategory,MATCH($R397,DriverList,0)),"BAU"))</f>
        <v/>
      </c>
      <c r="U397" s="34" t="str">
        <f aca="false">IF($R397="","",IFERROR(INDEX(DriverRank,MATCH($R397,DriverList,0)),99))</f>
        <v/>
      </c>
      <c r="V397" s="35" t="n">
        <f aca="false">IF($H397="",0,IFERROR(INDEX(LevelBasic,MATCH($H397,LevelList,0))+INDEX(LevelHousing,MATCH($H397,LevelList,0))+INDEX(LevelTransport,MATCH($H397,LevelList,0))+INDEX(LevelBasic,MATCH($H397,LevelList,0))*INDEX(LevelBonus,MATCH($H397,LevelList,0))+(INDEX(LevelBasic,MATCH($H397,LevelList,0))+INDEX(LevelHousing,MATCH($H397,LevelList,0)))*GosiSaudi,0))</f>
        <v>0</v>
      </c>
      <c r="W397" s="35" t="n">
        <f aca="false">IFERROR(INDEX(LevelOneOff,MATCH($H397,LevelList,0)),0)</f>
        <v>0</v>
      </c>
      <c r="X397" s="35" t="str">
        <f aca="false">IF($G397="","",$V397*N($L397))</f>
        <v/>
      </c>
      <c r="Y397" s="35" t="str">
        <f aca="false">IF($G397="","",$V397*(N($M397)*1+N($N397)*0.75+N($O397)*0.5+N($P397)*0.25)+$W397*N($L397))</f>
        <v/>
      </c>
      <c r="Z397" s="35" t="str">
        <f aca="false">IF($G397="","",$U397*1000000+ROW())</f>
        <v/>
      </c>
      <c r="AA397" s="36" t="str">
        <f aca="false">IF($G397="","",MID(IF($C397="",", no division","")&amp;IF($E397="",", no unit","")&amp;IF($H397="",", no career level","")&amp;IF(N($L397)&lt;=0,", no quarter split","")&amp;IF($R397="",", no driver","")&amp;IF(AND($H397&lt;&gt;"",COUNTIF(CareerLevels,$H397)=0),", a career level that is not on the ladder","")&amp;IF(AND($R397&lt;&gt;"",COUNTIF(DriverList,$R397)=0),", a driver that is not on the list","")&amp;IF(ABS(N($L397)-(N($M397)+N($N397)+N($O397)+N($P397)))&gt;0.001,", a total that does not match its quarters",""),3,300))</f>
        <v/>
      </c>
    </row>
    <row r="398" customFormat="false" ht="15" hidden="false" customHeight="false" outlineLevel="0" collapsed="false">
      <c r="A398" s="33" t="str">
        <f aca="false">IF($G398="","","Compliance Group")</f>
        <v/>
      </c>
      <c r="B398" s="19"/>
      <c r="C398" s="19"/>
      <c r="D398" s="19"/>
      <c r="E398" s="19"/>
      <c r="F398" s="19"/>
      <c r="G398" s="19"/>
      <c r="H398" s="19"/>
      <c r="I398" s="19"/>
      <c r="J398" s="19"/>
      <c r="K398" s="19"/>
      <c r="L398" s="19"/>
      <c r="M398" s="19"/>
      <c r="N398" s="19"/>
      <c r="O398" s="19"/>
      <c r="P398" s="19"/>
      <c r="Q398" s="19"/>
      <c r="R398" s="19"/>
      <c r="S398" s="19"/>
      <c r="T398" s="34" t="str">
        <f aca="false">IF($R398="","",IFERROR(INDEX(DriverCategory,MATCH($R398,DriverList,0)),"BAU"))</f>
        <v/>
      </c>
      <c r="U398" s="34" t="str">
        <f aca="false">IF($R398="","",IFERROR(INDEX(DriverRank,MATCH($R398,DriverList,0)),99))</f>
        <v/>
      </c>
      <c r="V398" s="35" t="n">
        <f aca="false">IF($H398="",0,IFERROR(INDEX(LevelBasic,MATCH($H398,LevelList,0))+INDEX(LevelHousing,MATCH($H398,LevelList,0))+INDEX(LevelTransport,MATCH($H398,LevelList,0))+INDEX(LevelBasic,MATCH($H398,LevelList,0))*INDEX(LevelBonus,MATCH($H398,LevelList,0))+(INDEX(LevelBasic,MATCH($H398,LevelList,0))+INDEX(LevelHousing,MATCH($H398,LevelList,0)))*GosiSaudi,0))</f>
        <v>0</v>
      </c>
      <c r="W398" s="35" t="n">
        <f aca="false">IFERROR(INDEX(LevelOneOff,MATCH($H398,LevelList,0)),0)</f>
        <v>0</v>
      </c>
      <c r="X398" s="35" t="str">
        <f aca="false">IF($G398="","",$V398*N($L398))</f>
        <v/>
      </c>
      <c r="Y398" s="35" t="str">
        <f aca="false">IF($G398="","",$V398*(N($M398)*1+N($N398)*0.75+N($O398)*0.5+N($P398)*0.25)+$W398*N($L398))</f>
        <v/>
      </c>
      <c r="Z398" s="35" t="str">
        <f aca="false">IF($G398="","",$U398*1000000+ROW())</f>
        <v/>
      </c>
      <c r="AA398" s="36" t="str">
        <f aca="false">IF($G398="","",MID(IF($C398="",", no division","")&amp;IF($E398="",", no unit","")&amp;IF($H398="",", no career level","")&amp;IF(N($L398)&lt;=0,", no quarter split","")&amp;IF($R398="",", no driver","")&amp;IF(AND($H398&lt;&gt;"",COUNTIF(CareerLevels,$H398)=0),", a career level that is not on the ladder","")&amp;IF(AND($R398&lt;&gt;"",COUNTIF(DriverList,$R398)=0),", a driver that is not on the list","")&amp;IF(ABS(N($L398)-(N($M398)+N($N398)+N($O398)+N($P398)))&gt;0.001,", a total that does not match its quarters",""),3,300))</f>
        <v/>
      </c>
    </row>
    <row r="399" customFormat="false" ht="15" hidden="false" customHeight="false" outlineLevel="0" collapsed="false">
      <c r="A399" s="33" t="str">
        <f aca="false">IF($G399="","","Compliance Group")</f>
        <v/>
      </c>
      <c r="B399" s="19"/>
      <c r="C399" s="19"/>
      <c r="D399" s="19"/>
      <c r="E399" s="19"/>
      <c r="F399" s="19"/>
      <c r="G399" s="19"/>
      <c r="H399" s="19"/>
      <c r="I399" s="19"/>
      <c r="J399" s="19"/>
      <c r="K399" s="19"/>
      <c r="L399" s="19"/>
      <c r="M399" s="19"/>
      <c r="N399" s="19"/>
      <c r="O399" s="19"/>
      <c r="P399" s="19"/>
      <c r="Q399" s="19"/>
      <c r="R399" s="19"/>
      <c r="S399" s="19"/>
      <c r="T399" s="34" t="str">
        <f aca="false">IF($R399="","",IFERROR(INDEX(DriverCategory,MATCH($R399,DriverList,0)),"BAU"))</f>
        <v/>
      </c>
      <c r="U399" s="34" t="str">
        <f aca="false">IF($R399="","",IFERROR(INDEX(DriverRank,MATCH($R399,DriverList,0)),99))</f>
        <v/>
      </c>
      <c r="V399" s="35" t="n">
        <f aca="false">IF($H399="",0,IFERROR(INDEX(LevelBasic,MATCH($H399,LevelList,0))+INDEX(LevelHousing,MATCH($H399,LevelList,0))+INDEX(LevelTransport,MATCH($H399,LevelList,0))+INDEX(LevelBasic,MATCH($H399,LevelList,0))*INDEX(LevelBonus,MATCH($H399,LevelList,0))+(INDEX(LevelBasic,MATCH($H399,LevelList,0))+INDEX(LevelHousing,MATCH($H399,LevelList,0)))*GosiSaudi,0))</f>
        <v>0</v>
      </c>
      <c r="W399" s="35" t="n">
        <f aca="false">IFERROR(INDEX(LevelOneOff,MATCH($H399,LevelList,0)),0)</f>
        <v>0</v>
      </c>
      <c r="X399" s="35" t="str">
        <f aca="false">IF($G399="","",$V399*N($L399))</f>
        <v/>
      </c>
      <c r="Y399" s="35" t="str">
        <f aca="false">IF($G399="","",$V399*(N($M399)*1+N($N399)*0.75+N($O399)*0.5+N($P399)*0.25)+$W399*N($L399))</f>
        <v/>
      </c>
      <c r="Z399" s="35" t="str">
        <f aca="false">IF($G399="","",$U399*1000000+ROW())</f>
        <v/>
      </c>
      <c r="AA399" s="36" t="str">
        <f aca="false">IF($G399="","",MID(IF($C399="",", no division","")&amp;IF($E399="",", no unit","")&amp;IF($H399="",", no career level","")&amp;IF(N($L399)&lt;=0,", no quarter split","")&amp;IF($R399="",", no driver","")&amp;IF(AND($H399&lt;&gt;"",COUNTIF(CareerLevels,$H399)=0),", a career level that is not on the ladder","")&amp;IF(AND($R399&lt;&gt;"",COUNTIF(DriverList,$R399)=0),", a driver that is not on the list","")&amp;IF(ABS(N($L399)-(N($M399)+N($N399)+N($O399)+N($P399)))&gt;0.001,", a total that does not match its quarters",""),3,300))</f>
        <v/>
      </c>
    </row>
    <row r="400" customFormat="false" ht="15" hidden="false" customHeight="false" outlineLevel="0" collapsed="false">
      <c r="A400" s="33" t="str">
        <f aca="false">IF($G400="","","Compliance Group")</f>
        <v/>
      </c>
      <c r="B400" s="19"/>
      <c r="C400" s="19"/>
      <c r="D400" s="19"/>
      <c r="E400" s="19"/>
      <c r="F400" s="19"/>
      <c r="G400" s="19"/>
      <c r="H400" s="19"/>
      <c r="I400" s="19"/>
      <c r="J400" s="19"/>
      <c r="K400" s="19"/>
      <c r="L400" s="19"/>
      <c r="M400" s="19"/>
      <c r="N400" s="19"/>
      <c r="O400" s="19"/>
      <c r="P400" s="19"/>
      <c r="Q400" s="19"/>
      <c r="R400" s="19"/>
      <c r="S400" s="19"/>
      <c r="T400" s="34" t="str">
        <f aca="false">IF($R400="","",IFERROR(INDEX(DriverCategory,MATCH($R400,DriverList,0)),"BAU"))</f>
        <v/>
      </c>
      <c r="U400" s="34" t="str">
        <f aca="false">IF($R400="","",IFERROR(INDEX(DriverRank,MATCH($R400,DriverList,0)),99))</f>
        <v/>
      </c>
      <c r="V400" s="35" t="n">
        <f aca="false">IF($H400="",0,IFERROR(INDEX(LevelBasic,MATCH($H400,LevelList,0))+INDEX(LevelHousing,MATCH($H400,LevelList,0))+INDEX(LevelTransport,MATCH($H400,LevelList,0))+INDEX(LevelBasic,MATCH($H400,LevelList,0))*INDEX(LevelBonus,MATCH($H400,LevelList,0))+(INDEX(LevelBasic,MATCH($H400,LevelList,0))+INDEX(LevelHousing,MATCH($H400,LevelList,0)))*GosiSaudi,0))</f>
        <v>0</v>
      </c>
      <c r="W400" s="35" t="n">
        <f aca="false">IFERROR(INDEX(LevelOneOff,MATCH($H400,LevelList,0)),0)</f>
        <v>0</v>
      </c>
      <c r="X400" s="35" t="str">
        <f aca="false">IF($G400="","",$V400*N($L400))</f>
        <v/>
      </c>
      <c r="Y400" s="35" t="str">
        <f aca="false">IF($G400="","",$V400*(N($M400)*1+N($N400)*0.75+N($O400)*0.5+N($P400)*0.25)+$W400*N($L400))</f>
        <v/>
      </c>
      <c r="Z400" s="35" t="str">
        <f aca="false">IF($G400="","",$U400*1000000+ROW())</f>
        <v/>
      </c>
      <c r="AA400" s="36" t="str">
        <f aca="false">IF($G400="","",MID(IF($C400="",", no division","")&amp;IF($E400="",", no unit","")&amp;IF($H400="",", no career level","")&amp;IF(N($L400)&lt;=0,", no quarter split","")&amp;IF($R400="",", no driver","")&amp;IF(AND($H400&lt;&gt;"",COUNTIF(CareerLevels,$H400)=0),", a career level that is not on the ladder","")&amp;IF(AND($R400&lt;&gt;"",COUNTIF(DriverList,$R400)=0),", a driver that is not on the list","")&amp;IF(ABS(N($L400)-(N($M400)+N($N400)+N($O400)+N($P400)))&gt;0.001,", a total that does not match its quarters",""),3,300))</f>
        <v/>
      </c>
    </row>
    <row r="401" customFormat="false" ht="15" hidden="false" customHeight="false" outlineLevel="0" collapsed="false">
      <c r="A401" s="33" t="str">
        <f aca="false">IF($G401="","","Compliance Group")</f>
        <v/>
      </c>
      <c r="B401" s="19"/>
      <c r="C401" s="19"/>
      <c r="D401" s="19"/>
      <c r="E401" s="19"/>
      <c r="F401" s="19"/>
      <c r="G401" s="19"/>
      <c r="H401" s="19"/>
      <c r="I401" s="19"/>
      <c r="J401" s="19"/>
      <c r="K401" s="19"/>
      <c r="L401" s="19"/>
      <c r="M401" s="19"/>
      <c r="N401" s="19"/>
      <c r="O401" s="19"/>
      <c r="P401" s="19"/>
      <c r="Q401" s="19"/>
      <c r="R401" s="19"/>
      <c r="S401" s="19"/>
      <c r="T401" s="34" t="str">
        <f aca="false">IF($R401="","",IFERROR(INDEX(DriverCategory,MATCH($R401,DriverList,0)),"BAU"))</f>
        <v/>
      </c>
      <c r="U401" s="34" t="str">
        <f aca="false">IF($R401="","",IFERROR(INDEX(DriverRank,MATCH($R401,DriverList,0)),99))</f>
        <v/>
      </c>
      <c r="V401" s="35" t="n">
        <f aca="false">IF($H401="",0,IFERROR(INDEX(LevelBasic,MATCH($H401,LevelList,0))+INDEX(LevelHousing,MATCH($H401,LevelList,0))+INDEX(LevelTransport,MATCH($H401,LevelList,0))+INDEX(LevelBasic,MATCH($H401,LevelList,0))*INDEX(LevelBonus,MATCH($H401,LevelList,0))+(INDEX(LevelBasic,MATCH($H401,LevelList,0))+INDEX(LevelHousing,MATCH($H401,LevelList,0)))*GosiSaudi,0))</f>
        <v>0</v>
      </c>
      <c r="W401" s="35" t="n">
        <f aca="false">IFERROR(INDEX(LevelOneOff,MATCH($H401,LevelList,0)),0)</f>
        <v>0</v>
      </c>
      <c r="X401" s="35" t="str">
        <f aca="false">IF($G401="","",$V401*N($L401))</f>
        <v/>
      </c>
      <c r="Y401" s="35" t="str">
        <f aca="false">IF($G401="","",$V401*(N($M401)*1+N($N401)*0.75+N($O401)*0.5+N($P401)*0.25)+$W401*N($L401))</f>
        <v/>
      </c>
      <c r="Z401" s="35" t="str">
        <f aca="false">IF($G401="","",$U401*1000000+ROW())</f>
        <v/>
      </c>
      <c r="AA401" s="36" t="str">
        <f aca="false">IF($G401="","",MID(IF($C401="",", no division","")&amp;IF($E401="",", no unit","")&amp;IF($H401="",", no career level","")&amp;IF(N($L401)&lt;=0,", no quarter split","")&amp;IF($R401="",", no driver","")&amp;IF(AND($H401&lt;&gt;"",COUNTIF(CareerLevels,$H401)=0),", a career level that is not on the ladder","")&amp;IF(AND($R401&lt;&gt;"",COUNTIF(DriverList,$R401)=0),", a driver that is not on the list","")&amp;IF(ABS(N($L401)-(N($M401)+N($N401)+N($O401)+N($P401)))&gt;0.001,", a total that does not match its quarters",""),3,300))</f>
        <v/>
      </c>
    </row>
    <row r="402" customFormat="false" ht="15" hidden="false" customHeight="false" outlineLevel="0" collapsed="false">
      <c r="A402" s="33" t="str">
        <f aca="false">IF($G402="","","Compliance Group")</f>
        <v/>
      </c>
      <c r="B402" s="19"/>
      <c r="C402" s="19"/>
      <c r="D402" s="19"/>
      <c r="E402" s="19"/>
      <c r="F402" s="19"/>
      <c r="G402" s="19"/>
      <c r="H402" s="19"/>
      <c r="I402" s="19"/>
      <c r="J402" s="19"/>
      <c r="K402" s="19"/>
      <c r="L402" s="19"/>
      <c r="M402" s="19"/>
      <c r="N402" s="19"/>
      <c r="O402" s="19"/>
      <c r="P402" s="19"/>
      <c r="Q402" s="19"/>
      <c r="R402" s="19"/>
      <c r="S402" s="19"/>
      <c r="T402" s="34" t="str">
        <f aca="false">IF($R402="","",IFERROR(INDEX(DriverCategory,MATCH($R402,DriverList,0)),"BAU"))</f>
        <v/>
      </c>
      <c r="U402" s="34" t="str">
        <f aca="false">IF($R402="","",IFERROR(INDEX(DriverRank,MATCH($R402,DriverList,0)),99))</f>
        <v/>
      </c>
      <c r="V402" s="35" t="n">
        <f aca="false">IF($H402="",0,IFERROR(INDEX(LevelBasic,MATCH($H402,LevelList,0))+INDEX(LevelHousing,MATCH($H402,LevelList,0))+INDEX(LevelTransport,MATCH($H402,LevelList,0))+INDEX(LevelBasic,MATCH($H402,LevelList,0))*INDEX(LevelBonus,MATCH($H402,LevelList,0))+(INDEX(LevelBasic,MATCH($H402,LevelList,0))+INDEX(LevelHousing,MATCH($H402,LevelList,0)))*GosiSaudi,0))</f>
        <v>0</v>
      </c>
      <c r="W402" s="35" t="n">
        <f aca="false">IFERROR(INDEX(LevelOneOff,MATCH($H402,LevelList,0)),0)</f>
        <v>0</v>
      </c>
      <c r="X402" s="35" t="str">
        <f aca="false">IF($G402="","",$V402*N($L402))</f>
        <v/>
      </c>
      <c r="Y402" s="35" t="str">
        <f aca="false">IF($G402="","",$V402*(N($M402)*1+N($N402)*0.75+N($O402)*0.5+N($P402)*0.25)+$W402*N($L402))</f>
        <v/>
      </c>
      <c r="Z402" s="35" t="str">
        <f aca="false">IF($G402="","",$U402*1000000+ROW())</f>
        <v/>
      </c>
      <c r="AA402" s="36" t="str">
        <f aca="false">IF($G402="","",MID(IF($C402="",", no division","")&amp;IF($E402="",", no unit","")&amp;IF($H402="",", no career level","")&amp;IF(N($L402)&lt;=0,", no quarter split","")&amp;IF($R402="",", no driver","")&amp;IF(AND($H402&lt;&gt;"",COUNTIF(CareerLevels,$H402)=0),", a career level that is not on the ladder","")&amp;IF(AND($R402&lt;&gt;"",COUNTIF(DriverList,$R402)=0),", a driver that is not on the list","")&amp;IF(ABS(N($L402)-(N($M402)+N($N402)+N($O402)+N($P402)))&gt;0.001,", a total that does not match its quarters",""),3,300))</f>
        <v/>
      </c>
    </row>
    <row r="403" customFormat="false" ht="15" hidden="false" customHeight="false" outlineLevel="0" collapsed="false">
      <c r="A403" s="33" t="str">
        <f aca="false">IF($G403="","","Compliance Group")</f>
        <v/>
      </c>
      <c r="B403" s="19"/>
      <c r="C403" s="19"/>
      <c r="D403" s="19"/>
      <c r="E403" s="19"/>
      <c r="F403" s="19"/>
      <c r="G403" s="19"/>
      <c r="H403" s="19"/>
      <c r="I403" s="19"/>
      <c r="J403" s="19"/>
      <c r="K403" s="19"/>
      <c r="L403" s="19"/>
      <c r="M403" s="19"/>
      <c r="N403" s="19"/>
      <c r="O403" s="19"/>
      <c r="P403" s="19"/>
      <c r="Q403" s="19"/>
      <c r="R403" s="19"/>
      <c r="S403" s="19"/>
      <c r="T403" s="34" t="str">
        <f aca="false">IF($R403="","",IFERROR(INDEX(DriverCategory,MATCH($R403,DriverList,0)),"BAU"))</f>
        <v/>
      </c>
      <c r="U403" s="34" t="str">
        <f aca="false">IF($R403="","",IFERROR(INDEX(DriverRank,MATCH($R403,DriverList,0)),99))</f>
        <v/>
      </c>
      <c r="V403" s="35" t="n">
        <f aca="false">IF($H403="",0,IFERROR(INDEX(LevelBasic,MATCH($H403,LevelList,0))+INDEX(LevelHousing,MATCH($H403,LevelList,0))+INDEX(LevelTransport,MATCH($H403,LevelList,0))+INDEX(LevelBasic,MATCH($H403,LevelList,0))*INDEX(LevelBonus,MATCH($H403,LevelList,0))+(INDEX(LevelBasic,MATCH($H403,LevelList,0))+INDEX(LevelHousing,MATCH($H403,LevelList,0)))*GosiSaudi,0))</f>
        <v>0</v>
      </c>
      <c r="W403" s="35" t="n">
        <f aca="false">IFERROR(INDEX(LevelOneOff,MATCH($H403,LevelList,0)),0)</f>
        <v>0</v>
      </c>
      <c r="X403" s="35" t="str">
        <f aca="false">IF($G403="","",$V403*N($L403))</f>
        <v/>
      </c>
      <c r="Y403" s="35" t="str">
        <f aca="false">IF($G403="","",$V403*(N($M403)*1+N($N403)*0.75+N($O403)*0.5+N($P403)*0.25)+$W403*N($L403))</f>
        <v/>
      </c>
      <c r="Z403" s="35" t="str">
        <f aca="false">IF($G403="","",$U403*1000000+ROW())</f>
        <v/>
      </c>
      <c r="AA403" s="36" t="str">
        <f aca="false">IF($G403="","",MID(IF($C403="",", no division","")&amp;IF($E403="",", no unit","")&amp;IF($H403="",", no career level","")&amp;IF(N($L403)&lt;=0,", no quarter split","")&amp;IF($R403="",", no driver","")&amp;IF(AND($H403&lt;&gt;"",COUNTIF(CareerLevels,$H403)=0),", a career level that is not on the ladder","")&amp;IF(AND($R403&lt;&gt;"",COUNTIF(DriverList,$R403)=0),", a driver that is not on the list","")&amp;IF(ABS(N($L403)-(N($M403)+N($N403)+N($O403)+N($P403)))&gt;0.001,", a total that does not match its quarters",""),3,300))</f>
        <v/>
      </c>
    </row>
    <row r="404" customFormat="false" ht="15" hidden="false" customHeight="false" outlineLevel="0" collapsed="false">
      <c r="A404" s="33" t="str">
        <f aca="false">IF($G404="","","Compliance Group")</f>
        <v/>
      </c>
      <c r="B404" s="19"/>
      <c r="C404" s="19"/>
      <c r="D404" s="19"/>
      <c r="E404" s="19"/>
      <c r="F404" s="19"/>
      <c r="G404" s="19"/>
      <c r="H404" s="19"/>
      <c r="I404" s="19"/>
      <c r="J404" s="19"/>
      <c r="K404" s="19"/>
      <c r="L404" s="19"/>
      <c r="M404" s="19"/>
      <c r="N404" s="19"/>
      <c r="O404" s="19"/>
      <c r="P404" s="19"/>
      <c r="Q404" s="19"/>
      <c r="R404" s="19"/>
      <c r="S404" s="19"/>
      <c r="T404" s="34" t="str">
        <f aca="false">IF($R404="","",IFERROR(INDEX(DriverCategory,MATCH($R404,DriverList,0)),"BAU"))</f>
        <v/>
      </c>
      <c r="U404" s="34" t="str">
        <f aca="false">IF($R404="","",IFERROR(INDEX(DriverRank,MATCH($R404,DriverList,0)),99))</f>
        <v/>
      </c>
      <c r="V404" s="35" t="n">
        <f aca="false">IF($H404="",0,IFERROR(INDEX(LevelBasic,MATCH($H404,LevelList,0))+INDEX(LevelHousing,MATCH($H404,LevelList,0))+INDEX(LevelTransport,MATCH($H404,LevelList,0))+INDEX(LevelBasic,MATCH($H404,LevelList,0))*INDEX(LevelBonus,MATCH($H404,LevelList,0))+(INDEX(LevelBasic,MATCH($H404,LevelList,0))+INDEX(LevelHousing,MATCH($H404,LevelList,0)))*GosiSaudi,0))</f>
        <v>0</v>
      </c>
      <c r="W404" s="35" t="n">
        <f aca="false">IFERROR(INDEX(LevelOneOff,MATCH($H404,LevelList,0)),0)</f>
        <v>0</v>
      </c>
      <c r="X404" s="35" t="str">
        <f aca="false">IF($G404="","",$V404*N($L404))</f>
        <v/>
      </c>
      <c r="Y404" s="35" t="str">
        <f aca="false">IF($G404="","",$V404*(N($M404)*1+N($N404)*0.75+N($O404)*0.5+N($P404)*0.25)+$W404*N($L404))</f>
        <v/>
      </c>
      <c r="Z404" s="35" t="str">
        <f aca="false">IF($G404="","",$U404*1000000+ROW())</f>
        <v/>
      </c>
      <c r="AA404" s="36" t="str">
        <f aca="false">IF($G404="","",MID(IF($C404="",", no division","")&amp;IF($E404="",", no unit","")&amp;IF($H404="",", no career level","")&amp;IF(N($L404)&lt;=0,", no quarter split","")&amp;IF($R404="",", no driver","")&amp;IF(AND($H404&lt;&gt;"",COUNTIF(CareerLevels,$H404)=0),", a career level that is not on the ladder","")&amp;IF(AND($R404&lt;&gt;"",COUNTIF(DriverList,$R404)=0),", a driver that is not on the list","")&amp;IF(ABS(N($L404)-(N($M404)+N($N404)+N($O404)+N($P404)))&gt;0.001,", a total that does not match its quarters",""),3,300))</f>
        <v/>
      </c>
    </row>
    <row r="405" customFormat="false" ht="15" hidden="false" customHeight="false" outlineLevel="0" collapsed="false">
      <c r="A405" s="33" t="str">
        <f aca="false">IF($G405="","","Compliance Group")</f>
        <v/>
      </c>
      <c r="B405" s="19"/>
      <c r="C405" s="19"/>
      <c r="D405" s="19"/>
      <c r="E405" s="19"/>
      <c r="F405" s="19"/>
      <c r="G405" s="19"/>
      <c r="H405" s="19"/>
      <c r="I405" s="19"/>
      <c r="J405" s="19"/>
      <c r="K405" s="19"/>
      <c r="L405" s="19"/>
      <c r="M405" s="19"/>
      <c r="N405" s="19"/>
      <c r="O405" s="19"/>
      <c r="P405" s="19"/>
      <c r="Q405" s="19"/>
      <c r="R405" s="19"/>
      <c r="S405" s="19"/>
      <c r="T405" s="34" t="str">
        <f aca="false">IF($R405="","",IFERROR(INDEX(DriverCategory,MATCH($R405,DriverList,0)),"BAU"))</f>
        <v/>
      </c>
      <c r="U405" s="34" t="str">
        <f aca="false">IF($R405="","",IFERROR(INDEX(DriverRank,MATCH($R405,DriverList,0)),99))</f>
        <v/>
      </c>
      <c r="V405" s="35" t="n">
        <f aca="false">IF($H405="",0,IFERROR(INDEX(LevelBasic,MATCH($H405,LevelList,0))+INDEX(LevelHousing,MATCH($H405,LevelList,0))+INDEX(LevelTransport,MATCH($H405,LevelList,0))+INDEX(LevelBasic,MATCH($H405,LevelList,0))*INDEX(LevelBonus,MATCH($H405,LevelList,0))+(INDEX(LevelBasic,MATCH($H405,LevelList,0))+INDEX(LevelHousing,MATCH($H405,LevelList,0)))*GosiSaudi,0))</f>
        <v>0</v>
      </c>
      <c r="W405" s="35" t="n">
        <f aca="false">IFERROR(INDEX(LevelOneOff,MATCH($H405,LevelList,0)),0)</f>
        <v>0</v>
      </c>
      <c r="X405" s="35" t="str">
        <f aca="false">IF($G405="","",$V405*N($L405))</f>
        <v/>
      </c>
      <c r="Y405" s="35" t="str">
        <f aca="false">IF($G405="","",$V405*(N($M405)*1+N($N405)*0.75+N($O405)*0.5+N($P405)*0.25)+$W405*N($L405))</f>
        <v/>
      </c>
      <c r="Z405" s="35" t="str">
        <f aca="false">IF($G405="","",$U405*1000000+ROW())</f>
        <v/>
      </c>
      <c r="AA405" s="36" t="str">
        <f aca="false">IF($G405="","",MID(IF($C405="",", no division","")&amp;IF($E405="",", no unit","")&amp;IF($H405="",", no career level","")&amp;IF(N($L405)&lt;=0,", no quarter split","")&amp;IF($R405="",", no driver","")&amp;IF(AND($H405&lt;&gt;"",COUNTIF(CareerLevels,$H405)=0),", a career level that is not on the ladder","")&amp;IF(AND($R405&lt;&gt;"",COUNTIF(DriverList,$R405)=0),", a driver that is not on the list","")&amp;IF(ABS(N($L405)-(N($M405)+N($N405)+N($O405)+N($P405)))&gt;0.001,", a total that does not match its quarters",""),3,300))</f>
        <v/>
      </c>
    </row>
    <row r="406" customFormat="false" ht="15" hidden="false" customHeight="false" outlineLevel="0" collapsed="false">
      <c r="A406" s="28" t="str">
        <f aca="false">IF($G406="","","Corporate Banking Group")</f>
        <v/>
      </c>
      <c r="B406" s="29"/>
      <c r="C406" s="29"/>
      <c r="D406" s="29"/>
      <c r="E406" s="29"/>
      <c r="F406" s="29"/>
      <c r="G406" s="29"/>
      <c r="H406" s="29"/>
      <c r="I406" s="29"/>
      <c r="J406" s="29"/>
      <c r="K406" s="29"/>
      <c r="L406" s="29"/>
      <c r="M406" s="29"/>
      <c r="N406" s="29"/>
      <c r="O406" s="29"/>
      <c r="P406" s="29"/>
      <c r="Q406" s="29"/>
      <c r="R406" s="29"/>
      <c r="S406" s="29"/>
      <c r="T406" s="30" t="str">
        <f aca="false">IF($R406="","",IFERROR(INDEX(DriverCategory,MATCH($R406,DriverList,0)),"BAU"))</f>
        <v/>
      </c>
      <c r="U406" s="30" t="str">
        <f aca="false">IF($R406="","",IFERROR(INDEX(DriverRank,MATCH($R406,DriverList,0)),99))</f>
        <v/>
      </c>
      <c r="V406" s="31" t="n">
        <f aca="false">IF($H406="",0,IFERROR(INDEX(LevelBasic,MATCH($H406,LevelList,0))+INDEX(LevelHousing,MATCH($H406,LevelList,0))+INDEX(LevelTransport,MATCH($H406,LevelList,0))+INDEX(LevelBasic,MATCH($H406,LevelList,0))*INDEX(LevelBonus,MATCH($H406,LevelList,0))+(INDEX(LevelBasic,MATCH($H406,LevelList,0))+INDEX(LevelHousing,MATCH($H406,LevelList,0)))*GosiSaudi,0))</f>
        <v>0</v>
      </c>
      <c r="W406" s="31" t="n">
        <f aca="false">IFERROR(INDEX(LevelOneOff,MATCH($H406,LevelList,0)),0)</f>
        <v>0</v>
      </c>
      <c r="X406" s="31" t="str">
        <f aca="false">IF($G406="","",$V406*N($L406))</f>
        <v/>
      </c>
      <c r="Y406" s="31" t="str">
        <f aca="false">IF($G406="","",$V406*(N($M406)*1+N($N406)*0.75+N($O406)*0.5+N($P406)*0.25)+$W406*N($L406))</f>
        <v/>
      </c>
      <c r="Z406" s="31" t="str">
        <f aca="false">IF($G406="","",$U406*1000000+ROW())</f>
        <v/>
      </c>
      <c r="AA406" s="32" t="str">
        <f aca="false">IF($G406="","",MID(IF($C406="",", no division","")&amp;IF($E406="",", no unit","")&amp;IF($H406="",", no career level","")&amp;IF(N($L406)&lt;=0,", no quarter split","")&amp;IF($R406="",", no driver","")&amp;IF(AND($H406&lt;&gt;"",COUNTIF(CareerLevels,$H406)=0),", a career level that is not on the ladder","")&amp;IF(AND($R406&lt;&gt;"",COUNTIF(DriverList,$R406)=0),", a driver that is not on the list","")&amp;IF(ABS(N($L406)-(N($M406)+N($N406)+N($O406)+N($P406)))&gt;0.001,", a total that does not match its quarters",""),3,300))</f>
        <v/>
      </c>
    </row>
    <row r="407" customFormat="false" ht="15" hidden="false" customHeight="false" outlineLevel="0" collapsed="false">
      <c r="A407" s="33" t="str">
        <f aca="false">IF($G407="","","Corporate Banking Group")</f>
        <v/>
      </c>
      <c r="B407" s="19"/>
      <c r="C407" s="19"/>
      <c r="D407" s="19"/>
      <c r="E407" s="19"/>
      <c r="F407" s="19"/>
      <c r="G407" s="19"/>
      <c r="H407" s="19"/>
      <c r="I407" s="19"/>
      <c r="J407" s="19"/>
      <c r="K407" s="19"/>
      <c r="L407" s="19"/>
      <c r="M407" s="19"/>
      <c r="N407" s="19"/>
      <c r="O407" s="19"/>
      <c r="P407" s="19"/>
      <c r="Q407" s="19"/>
      <c r="R407" s="19"/>
      <c r="S407" s="19"/>
      <c r="T407" s="34" t="str">
        <f aca="false">IF($R407="","",IFERROR(INDEX(DriverCategory,MATCH($R407,DriverList,0)),"BAU"))</f>
        <v/>
      </c>
      <c r="U407" s="34" t="str">
        <f aca="false">IF($R407="","",IFERROR(INDEX(DriverRank,MATCH($R407,DriverList,0)),99))</f>
        <v/>
      </c>
      <c r="V407" s="35" t="n">
        <f aca="false">IF($H407="",0,IFERROR(INDEX(LevelBasic,MATCH($H407,LevelList,0))+INDEX(LevelHousing,MATCH($H407,LevelList,0))+INDEX(LevelTransport,MATCH($H407,LevelList,0))+INDEX(LevelBasic,MATCH($H407,LevelList,0))*INDEX(LevelBonus,MATCH($H407,LevelList,0))+(INDEX(LevelBasic,MATCH($H407,LevelList,0))+INDEX(LevelHousing,MATCH($H407,LevelList,0)))*GosiSaudi,0))</f>
        <v>0</v>
      </c>
      <c r="W407" s="35" t="n">
        <f aca="false">IFERROR(INDEX(LevelOneOff,MATCH($H407,LevelList,0)),0)</f>
        <v>0</v>
      </c>
      <c r="X407" s="35" t="str">
        <f aca="false">IF($G407="","",$V407*N($L407))</f>
        <v/>
      </c>
      <c r="Y407" s="35" t="str">
        <f aca="false">IF($G407="","",$V407*(N($M407)*1+N($N407)*0.75+N($O407)*0.5+N($P407)*0.25)+$W407*N($L407))</f>
        <v/>
      </c>
      <c r="Z407" s="35" t="str">
        <f aca="false">IF($G407="","",$U407*1000000+ROW())</f>
        <v/>
      </c>
      <c r="AA407" s="36" t="str">
        <f aca="false">IF($G407="","",MID(IF($C407="",", no division","")&amp;IF($E407="",", no unit","")&amp;IF($H407="",", no career level","")&amp;IF(N($L407)&lt;=0,", no quarter split","")&amp;IF($R407="",", no driver","")&amp;IF(AND($H407&lt;&gt;"",COUNTIF(CareerLevels,$H407)=0),", a career level that is not on the ladder","")&amp;IF(AND($R407&lt;&gt;"",COUNTIF(DriverList,$R407)=0),", a driver that is not on the list","")&amp;IF(ABS(N($L407)-(N($M407)+N($N407)+N($O407)+N($P407)))&gt;0.001,", a total that does not match its quarters",""),3,300))</f>
        <v/>
      </c>
    </row>
    <row r="408" customFormat="false" ht="15" hidden="false" customHeight="false" outlineLevel="0" collapsed="false">
      <c r="A408" s="33" t="str">
        <f aca="false">IF($G408="","","Corporate Banking Group")</f>
        <v/>
      </c>
      <c r="B408" s="19"/>
      <c r="C408" s="19"/>
      <c r="D408" s="19"/>
      <c r="E408" s="19"/>
      <c r="F408" s="19"/>
      <c r="G408" s="19"/>
      <c r="H408" s="19"/>
      <c r="I408" s="19"/>
      <c r="J408" s="19"/>
      <c r="K408" s="19"/>
      <c r="L408" s="19"/>
      <c r="M408" s="19"/>
      <c r="N408" s="19"/>
      <c r="O408" s="19"/>
      <c r="P408" s="19"/>
      <c r="Q408" s="19"/>
      <c r="R408" s="19"/>
      <c r="S408" s="19"/>
      <c r="T408" s="34" t="str">
        <f aca="false">IF($R408="","",IFERROR(INDEX(DriverCategory,MATCH($R408,DriverList,0)),"BAU"))</f>
        <v/>
      </c>
      <c r="U408" s="34" t="str">
        <f aca="false">IF($R408="","",IFERROR(INDEX(DriverRank,MATCH($R408,DriverList,0)),99))</f>
        <v/>
      </c>
      <c r="V408" s="35" t="n">
        <f aca="false">IF($H408="",0,IFERROR(INDEX(LevelBasic,MATCH($H408,LevelList,0))+INDEX(LevelHousing,MATCH($H408,LevelList,0))+INDEX(LevelTransport,MATCH($H408,LevelList,0))+INDEX(LevelBasic,MATCH($H408,LevelList,0))*INDEX(LevelBonus,MATCH($H408,LevelList,0))+(INDEX(LevelBasic,MATCH($H408,LevelList,0))+INDEX(LevelHousing,MATCH($H408,LevelList,0)))*GosiSaudi,0))</f>
        <v>0</v>
      </c>
      <c r="W408" s="35" t="n">
        <f aca="false">IFERROR(INDEX(LevelOneOff,MATCH($H408,LevelList,0)),0)</f>
        <v>0</v>
      </c>
      <c r="X408" s="35" t="str">
        <f aca="false">IF($G408="","",$V408*N($L408))</f>
        <v/>
      </c>
      <c r="Y408" s="35" t="str">
        <f aca="false">IF($G408="","",$V408*(N($M408)*1+N($N408)*0.75+N($O408)*0.5+N($P408)*0.25)+$W408*N($L408))</f>
        <v/>
      </c>
      <c r="Z408" s="35" t="str">
        <f aca="false">IF($G408="","",$U408*1000000+ROW())</f>
        <v/>
      </c>
      <c r="AA408" s="36" t="str">
        <f aca="false">IF($G408="","",MID(IF($C408="",", no division","")&amp;IF($E408="",", no unit","")&amp;IF($H408="",", no career level","")&amp;IF(N($L408)&lt;=0,", no quarter split","")&amp;IF($R408="",", no driver","")&amp;IF(AND($H408&lt;&gt;"",COUNTIF(CareerLevels,$H408)=0),", a career level that is not on the ladder","")&amp;IF(AND($R408&lt;&gt;"",COUNTIF(DriverList,$R408)=0),", a driver that is not on the list","")&amp;IF(ABS(N($L408)-(N($M408)+N($N408)+N($O408)+N($P408)))&gt;0.001,", a total that does not match its quarters",""),3,300))</f>
        <v/>
      </c>
    </row>
    <row r="409" customFormat="false" ht="15" hidden="false" customHeight="false" outlineLevel="0" collapsed="false">
      <c r="A409" s="33" t="str">
        <f aca="false">IF($G409="","","Corporate Banking Group")</f>
        <v/>
      </c>
      <c r="B409" s="19"/>
      <c r="C409" s="19"/>
      <c r="D409" s="19"/>
      <c r="E409" s="19"/>
      <c r="F409" s="19"/>
      <c r="G409" s="19"/>
      <c r="H409" s="19"/>
      <c r="I409" s="19"/>
      <c r="J409" s="19"/>
      <c r="K409" s="19"/>
      <c r="L409" s="19"/>
      <c r="M409" s="19"/>
      <c r="N409" s="19"/>
      <c r="O409" s="19"/>
      <c r="P409" s="19"/>
      <c r="Q409" s="19"/>
      <c r="R409" s="19"/>
      <c r="S409" s="19"/>
      <c r="T409" s="34" t="str">
        <f aca="false">IF($R409="","",IFERROR(INDEX(DriverCategory,MATCH($R409,DriverList,0)),"BAU"))</f>
        <v/>
      </c>
      <c r="U409" s="34" t="str">
        <f aca="false">IF($R409="","",IFERROR(INDEX(DriverRank,MATCH($R409,DriverList,0)),99))</f>
        <v/>
      </c>
      <c r="V409" s="35" t="n">
        <f aca="false">IF($H409="",0,IFERROR(INDEX(LevelBasic,MATCH($H409,LevelList,0))+INDEX(LevelHousing,MATCH($H409,LevelList,0))+INDEX(LevelTransport,MATCH($H409,LevelList,0))+INDEX(LevelBasic,MATCH($H409,LevelList,0))*INDEX(LevelBonus,MATCH($H409,LevelList,0))+(INDEX(LevelBasic,MATCH($H409,LevelList,0))+INDEX(LevelHousing,MATCH($H409,LevelList,0)))*GosiSaudi,0))</f>
        <v>0</v>
      </c>
      <c r="W409" s="35" t="n">
        <f aca="false">IFERROR(INDEX(LevelOneOff,MATCH($H409,LevelList,0)),0)</f>
        <v>0</v>
      </c>
      <c r="X409" s="35" t="str">
        <f aca="false">IF($G409="","",$V409*N($L409))</f>
        <v/>
      </c>
      <c r="Y409" s="35" t="str">
        <f aca="false">IF($G409="","",$V409*(N($M409)*1+N($N409)*0.75+N($O409)*0.5+N($P409)*0.25)+$W409*N($L409))</f>
        <v/>
      </c>
      <c r="Z409" s="35" t="str">
        <f aca="false">IF($G409="","",$U409*1000000+ROW())</f>
        <v/>
      </c>
      <c r="AA409" s="36" t="str">
        <f aca="false">IF($G409="","",MID(IF($C409="",", no division","")&amp;IF($E409="",", no unit","")&amp;IF($H409="",", no career level","")&amp;IF(N($L409)&lt;=0,", no quarter split","")&amp;IF($R409="",", no driver","")&amp;IF(AND($H409&lt;&gt;"",COUNTIF(CareerLevels,$H409)=0),", a career level that is not on the ladder","")&amp;IF(AND($R409&lt;&gt;"",COUNTIF(DriverList,$R409)=0),", a driver that is not on the list","")&amp;IF(ABS(N($L409)-(N($M409)+N($N409)+N($O409)+N($P409)))&gt;0.001,", a total that does not match its quarters",""),3,300))</f>
        <v/>
      </c>
    </row>
    <row r="410" customFormat="false" ht="15" hidden="false" customHeight="false" outlineLevel="0" collapsed="false">
      <c r="A410" s="33" t="str">
        <f aca="false">IF($G410="","","Corporate Banking Group")</f>
        <v/>
      </c>
      <c r="B410" s="19"/>
      <c r="C410" s="19"/>
      <c r="D410" s="19"/>
      <c r="E410" s="19"/>
      <c r="F410" s="19"/>
      <c r="G410" s="19"/>
      <c r="H410" s="19"/>
      <c r="I410" s="19"/>
      <c r="J410" s="19"/>
      <c r="K410" s="19"/>
      <c r="L410" s="19"/>
      <c r="M410" s="19"/>
      <c r="N410" s="19"/>
      <c r="O410" s="19"/>
      <c r="P410" s="19"/>
      <c r="Q410" s="19"/>
      <c r="R410" s="19"/>
      <c r="S410" s="19"/>
      <c r="T410" s="34" t="str">
        <f aca="false">IF($R410="","",IFERROR(INDEX(DriverCategory,MATCH($R410,DriverList,0)),"BAU"))</f>
        <v/>
      </c>
      <c r="U410" s="34" t="str">
        <f aca="false">IF($R410="","",IFERROR(INDEX(DriverRank,MATCH($R410,DriverList,0)),99))</f>
        <v/>
      </c>
      <c r="V410" s="35" t="n">
        <f aca="false">IF($H410="",0,IFERROR(INDEX(LevelBasic,MATCH($H410,LevelList,0))+INDEX(LevelHousing,MATCH($H410,LevelList,0))+INDEX(LevelTransport,MATCH($H410,LevelList,0))+INDEX(LevelBasic,MATCH($H410,LevelList,0))*INDEX(LevelBonus,MATCH($H410,LevelList,0))+(INDEX(LevelBasic,MATCH($H410,LevelList,0))+INDEX(LevelHousing,MATCH($H410,LevelList,0)))*GosiSaudi,0))</f>
        <v>0</v>
      </c>
      <c r="W410" s="35" t="n">
        <f aca="false">IFERROR(INDEX(LevelOneOff,MATCH($H410,LevelList,0)),0)</f>
        <v>0</v>
      </c>
      <c r="X410" s="35" t="str">
        <f aca="false">IF($G410="","",$V410*N($L410))</f>
        <v/>
      </c>
      <c r="Y410" s="35" t="str">
        <f aca="false">IF($G410="","",$V410*(N($M410)*1+N($N410)*0.75+N($O410)*0.5+N($P410)*0.25)+$W410*N($L410))</f>
        <v/>
      </c>
      <c r="Z410" s="35" t="str">
        <f aca="false">IF($G410="","",$U410*1000000+ROW())</f>
        <v/>
      </c>
      <c r="AA410" s="36" t="str">
        <f aca="false">IF($G410="","",MID(IF($C410="",", no division","")&amp;IF($E410="",", no unit","")&amp;IF($H410="",", no career level","")&amp;IF(N($L410)&lt;=0,", no quarter split","")&amp;IF($R410="",", no driver","")&amp;IF(AND($H410&lt;&gt;"",COUNTIF(CareerLevels,$H410)=0),", a career level that is not on the ladder","")&amp;IF(AND($R410&lt;&gt;"",COUNTIF(DriverList,$R410)=0),", a driver that is not on the list","")&amp;IF(ABS(N($L410)-(N($M410)+N($N410)+N($O410)+N($P410)))&gt;0.001,", a total that does not match its quarters",""),3,300))</f>
        <v/>
      </c>
    </row>
    <row r="411" customFormat="false" ht="15" hidden="false" customHeight="false" outlineLevel="0" collapsed="false">
      <c r="A411" s="33" t="str">
        <f aca="false">IF($G411="","","Corporate Banking Group")</f>
        <v/>
      </c>
      <c r="B411" s="19"/>
      <c r="C411" s="19"/>
      <c r="D411" s="19"/>
      <c r="E411" s="19"/>
      <c r="F411" s="19"/>
      <c r="G411" s="19"/>
      <c r="H411" s="19"/>
      <c r="I411" s="19"/>
      <c r="J411" s="19"/>
      <c r="K411" s="19"/>
      <c r="L411" s="19"/>
      <c r="M411" s="19"/>
      <c r="N411" s="19"/>
      <c r="O411" s="19"/>
      <c r="P411" s="19"/>
      <c r="Q411" s="19"/>
      <c r="R411" s="19"/>
      <c r="S411" s="19"/>
      <c r="T411" s="34" t="str">
        <f aca="false">IF($R411="","",IFERROR(INDEX(DriverCategory,MATCH($R411,DriverList,0)),"BAU"))</f>
        <v/>
      </c>
      <c r="U411" s="34" t="str">
        <f aca="false">IF($R411="","",IFERROR(INDEX(DriverRank,MATCH($R411,DriverList,0)),99))</f>
        <v/>
      </c>
      <c r="V411" s="35" t="n">
        <f aca="false">IF($H411="",0,IFERROR(INDEX(LevelBasic,MATCH($H411,LevelList,0))+INDEX(LevelHousing,MATCH($H411,LevelList,0))+INDEX(LevelTransport,MATCH($H411,LevelList,0))+INDEX(LevelBasic,MATCH($H411,LevelList,0))*INDEX(LevelBonus,MATCH($H411,LevelList,0))+(INDEX(LevelBasic,MATCH($H411,LevelList,0))+INDEX(LevelHousing,MATCH($H411,LevelList,0)))*GosiSaudi,0))</f>
        <v>0</v>
      </c>
      <c r="W411" s="35" t="n">
        <f aca="false">IFERROR(INDEX(LevelOneOff,MATCH($H411,LevelList,0)),0)</f>
        <v>0</v>
      </c>
      <c r="X411" s="35" t="str">
        <f aca="false">IF($G411="","",$V411*N($L411))</f>
        <v/>
      </c>
      <c r="Y411" s="35" t="str">
        <f aca="false">IF($G411="","",$V411*(N($M411)*1+N($N411)*0.75+N($O411)*0.5+N($P411)*0.25)+$W411*N($L411))</f>
        <v/>
      </c>
      <c r="Z411" s="35" t="str">
        <f aca="false">IF($G411="","",$U411*1000000+ROW())</f>
        <v/>
      </c>
      <c r="AA411" s="36" t="str">
        <f aca="false">IF($G411="","",MID(IF($C411="",", no division","")&amp;IF($E411="",", no unit","")&amp;IF($H411="",", no career level","")&amp;IF(N($L411)&lt;=0,", no quarter split","")&amp;IF($R411="",", no driver","")&amp;IF(AND($H411&lt;&gt;"",COUNTIF(CareerLevels,$H411)=0),", a career level that is not on the ladder","")&amp;IF(AND($R411&lt;&gt;"",COUNTIF(DriverList,$R411)=0),", a driver that is not on the list","")&amp;IF(ABS(N($L411)-(N($M411)+N($N411)+N($O411)+N($P411)))&gt;0.001,", a total that does not match its quarters",""),3,300))</f>
        <v/>
      </c>
    </row>
    <row r="412" customFormat="false" ht="15" hidden="false" customHeight="false" outlineLevel="0" collapsed="false">
      <c r="A412" s="33" t="str">
        <f aca="false">IF($G412="","","Corporate Banking Group")</f>
        <v/>
      </c>
      <c r="B412" s="19"/>
      <c r="C412" s="19"/>
      <c r="D412" s="19"/>
      <c r="E412" s="19"/>
      <c r="F412" s="19"/>
      <c r="G412" s="19"/>
      <c r="H412" s="19"/>
      <c r="I412" s="19"/>
      <c r="J412" s="19"/>
      <c r="K412" s="19"/>
      <c r="L412" s="19"/>
      <c r="M412" s="19"/>
      <c r="N412" s="19"/>
      <c r="O412" s="19"/>
      <c r="P412" s="19"/>
      <c r="Q412" s="19"/>
      <c r="R412" s="19"/>
      <c r="S412" s="19"/>
      <c r="T412" s="34" t="str">
        <f aca="false">IF($R412="","",IFERROR(INDEX(DriverCategory,MATCH($R412,DriverList,0)),"BAU"))</f>
        <v/>
      </c>
      <c r="U412" s="34" t="str">
        <f aca="false">IF($R412="","",IFERROR(INDEX(DriverRank,MATCH($R412,DriverList,0)),99))</f>
        <v/>
      </c>
      <c r="V412" s="35" t="n">
        <f aca="false">IF($H412="",0,IFERROR(INDEX(LevelBasic,MATCH($H412,LevelList,0))+INDEX(LevelHousing,MATCH($H412,LevelList,0))+INDEX(LevelTransport,MATCH($H412,LevelList,0))+INDEX(LevelBasic,MATCH($H412,LevelList,0))*INDEX(LevelBonus,MATCH($H412,LevelList,0))+(INDEX(LevelBasic,MATCH($H412,LevelList,0))+INDEX(LevelHousing,MATCH($H412,LevelList,0)))*GosiSaudi,0))</f>
        <v>0</v>
      </c>
      <c r="W412" s="35" t="n">
        <f aca="false">IFERROR(INDEX(LevelOneOff,MATCH($H412,LevelList,0)),0)</f>
        <v>0</v>
      </c>
      <c r="X412" s="35" t="str">
        <f aca="false">IF($G412="","",$V412*N($L412))</f>
        <v/>
      </c>
      <c r="Y412" s="35" t="str">
        <f aca="false">IF($G412="","",$V412*(N($M412)*1+N($N412)*0.75+N($O412)*0.5+N($P412)*0.25)+$W412*N($L412))</f>
        <v/>
      </c>
      <c r="Z412" s="35" t="str">
        <f aca="false">IF($G412="","",$U412*1000000+ROW())</f>
        <v/>
      </c>
      <c r="AA412" s="36" t="str">
        <f aca="false">IF($G412="","",MID(IF($C412="",", no division","")&amp;IF($E412="",", no unit","")&amp;IF($H412="",", no career level","")&amp;IF(N($L412)&lt;=0,", no quarter split","")&amp;IF($R412="",", no driver","")&amp;IF(AND($H412&lt;&gt;"",COUNTIF(CareerLevels,$H412)=0),", a career level that is not on the ladder","")&amp;IF(AND($R412&lt;&gt;"",COUNTIF(DriverList,$R412)=0),", a driver that is not on the list","")&amp;IF(ABS(N($L412)-(N($M412)+N($N412)+N($O412)+N($P412)))&gt;0.001,", a total that does not match its quarters",""),3,300))</f>
        <v/>
      </c>
    </row>
    <row r="413" customFormat="false" ht="15" hidden="false" customHeight="false" outlineLevel="0" collapsed="false">
      <c r="A413" s="33" t="str">
        <f aca="false">IF($G413="","","Corporate Banking Group")</f>
        <v/>
      </c>
      <c r="B413" s="19"/>
      <c r="C413" s="19"/>
      <c r="D413" s="19"/>
      <c r="E413" s="19"/>
      <c r="F413" s="19"/>
      <c r="G413" s="19"/>
      <c r="H413" s="19"/>
      <c r="I413" s="19"/>
      <c r="J413" s="19"/>
      <c r="K413" s="19"/>
      <c r="L413" s="19"/>
      <c r="M413" s="19"/>
      <c r="N413" s="19"/>
      <c r="O413" s="19"/>
      <c r="P413" s="19"/>
      <c r="Q413" s="19"/>
      <c r="R413" s="19"/>
      <c r="S413" s="19"/>
      <c r="T413" s="34" t="str">
        <f aca="false">IF($R413="","",IFERROR(INDEX(DriverCategory,MATCH($R413,DriverList,0)),"BAU"))</f>
        <v/>
      </c>
      <c r="U413" s="34" t="str">
        <f aca="false">IF($R413="","",IFERROR(INDEX(DriverRank,MATCH($R413,DriverList,0)),99))</f>
        <v/>
      </c>
      <c r="V413" s="35" t="n">
        <f aca="false">IF($H413="",0,IFERROR(INDEX(LevelBasic,MATCH($H413,LevelList,0))+INDEX(LevelHousing,MATCH($H413,LevelList,0))+INDEX(LevelTransport,MATCH($H413,LevelList,0))+INDEX(LevelBasic,MATCH($H413,LevelList,0))*INDEX(LevelBonus,MATCH($H413,LevelList,0))+(INDEX(LevelBasic,MATCH($H413,LevelList,0))+INDEX(LevelHousing,MATCH($H413,LevelList,0)))*GosiSaudi,0))</f>
        <v>0</v>
      </c>
      <c r="W413" s="35" t="n">
        <f aca="false">IFERROR(INDEX(LevelOneOff,MATCH($H413,LevelList,0)),0)</f>
        <v>0</v>
      </c>
      <c r="X413" s="35" t="str">
        <f aca="false">IF($G413="","",$V413*N($L413))</f>
        <v/>
      </c>
      <c r="Y413" s="35" t="str">
        <f aca="false">IF($G413="","",$V413*(N($M413)*1+N($N413)*0.75+N($O413)*0.5+N($P413)*0.25)+$W413*N($L413))</f>
        <v/>
      </c>
      <c r="Z413" s="35" t="str">
        <f aca="false">IF($G413="","",$U413*1000000+ROW())</f>
        <v/>
      </c>
      <c r="AA413" s="36" t="str">
        <f aca="false">IF($G413="","",MID(IF($C413="",", no division","")&amp;IF($E413="",", no unit","")&amp;IF($H413="",", no career level","")&amp;IF(N($L413)&lt;=0,", no quarter split","")&amp;IF($R413="",", no driver","")&amp;IF(AND($H413&lt;&gt;"",COUNTIF(CareerLevels,$H413)=0),", a career level that is not on the ladder","")&amp;IF(AND($R413&lt;&gt;"",COUNTIF(DriverList,$R413)=0),", a driver that is not on the list","")&amp;IF(ABS(N($L413)-(N($M413)+N($N413)+N($O413)+N($P413)))&gt;0.001,", a total that does not match its quarters",""),3,300))</f>
        <v/>
      </c>
    </row>
    <row r="414" customFormat="false" ht="15" hidden="false" customHeight="false" outlineLevel="0" collapsed="false">
      <c r="A414" s="33" t="str">
        <f aca="false">IF($G414="","","Corporate Banking Group")</f>
        <v/>
      </c>
      <c r="B414" s="19"/>
      <c r="C414" s="19"/>
      <c r="D414" s="19"/>
      <c r="E414" s="19"/>
      <c r="F414" s="19"/>
      <c r="G414" s="19"/>
      <c r="H414" s="19"/>
      <c r="I414" s="19"/>
      <c r="J414" s="19"/>
      <c r="K414" s="19"/>
      <c r="L414" s="19"/>
      <c r="M414" s="19"/>
      <c r="N414" s="19"/>
      <c r="O414" s="19"/>
      <c r="P414" s="19"/>
      <c r="Q414" s="19"/>
      <c r="R414" s="19"/>
      <c r="S414" s="19"/>
      <c r="T414" s="34" t="str">
        <f aca="false">IF($R414="","",IFERROR(INDEX(DriverCategory,MATCH($R414,DriverList,0)),"BAU"))</f>
        <v/>
      </c>
      <c r="U414" s="34" t="str">
        <f aca="false">IF($R414="","",IFERROR(INDEX(DriverRank,MATCH($R414,DriverList,0)),99))</f>
        <v/>
      </c>
      <c r="V414" s="35" t="n">
        <f aca="false">IF($H414="",0,IFERROR(INDEX(LevelBasic,MATCH($H414,LevelList,0))+INDEX(LevelHousing,MATCH($H414,LevelList,0))+INDEX(LevelTransport,MATCH($H414,LevelList,0))+INDEX(LevelBasic,MATCH($H414,LevelList,0))*INDEX(LevelBonus,MATCH($H414,LevelList,0))+(INDEX(LevelBasic,MATCH($H414,LevelList,0))+INDEX(LevelHousing,MATCH($H414,LevelList,0)))*GosiSaudi,0))</f>
        <v>0</v>
      </c>
      <c r="W414" s="35" t="n">
        <f aca="false">IFERROR(INDEX(LevelOneOff,MATCH($H414,LevelList,0)),0)</f>
        <v>0</v>
      </c>
      <c r="X414" s="35" t="str">
        <f aca="false">IF($G414="","",$V414*N($L414))</f>
        <v/>
      </c>
      <c r="Y414" s="35" t="str">
        <f aca="false">IF($G414="","",$V414*(N($M414)*1+N($N414)*0.75+N($O414)*0.5+N($P414)*0.25)+$W414*N($L414))</f>
        <v/>
      </c>
      <c r="Z414" s="35" t="str">
        <f aca="false">IF($G414="","",$U414*1000000+ROW())</f>
        <v/>
      </c>
      <c r="AA414" s="36" t="str">
        <f aca="false">IF($G414="","",MID(IF($C414="",", no division","")&amp;IF($E414="",", no unit","")&amp;IF($H414="",", no career level","")&amp;IF(N($L414)&lt;=0,", no quarter split","")&amp;IF($R414="",", no driver","")&amp;IF(AND($H414&lt;&gt;"",COUNTIF(CareerLevels,$H414)=0),", a career level that is not on the ladder","")&amp;IF(AND($R414&lt;&gt;"",COUNTIF(DriverList,$R414)=0),", a driver that is not on the list","")&amp;IF(ABS(N($L414)-(N($M414)+N($N414)+N($O414)+N($P414)))&gt;0.001,", a total that does not match its quarters",""),3,300))</f>
        <v/>
      </c>
    </row>
    <row r="415" customFormat="false" ht="15" hidden="false" customHeight="false" outlineLevel="0" collapsed="false">
      <c r="A415" s="33" t="str">
        <f aca="false">IF($G415="","","Corporate Banking Group")</f>
        <v/>
      </c>
      <c r="B415" s="19"/>
      <c r="C415" s="19"/>
      <c r="D415" s="19"/>
      <c r="E415" s="19"/>
      <c r="F415" s="19"/>
      <c r="G415" s="19"/>
      <c r="H415" s="19"/>
      <c r="I415" s="19"/>
      <c r="J415" s="19"/>
      <c r="K415" s="19"/>
      <c r="L415" s="19"/>
      <c r="M415" s="19"/>
      <c r="N415" s="19"/>
      <c r="O415" s="19"/>
      <c r="P415" s="19"/>
      <c r="Q415" s="19"/>
      <c r="R415" s="19"/>
      <c r="S415" s="19"/>
      <c r="T415" s="34" t="str">
        <f aca="false">IF($R415="","",IFERROR(INDEX(DriverCategory,MATCH($R415,DriverList,0)),"BAU"))</f>
        <v/>
      </c>
      <c r="U415" s="34" t="str">
        <f aca="false">IF($R415="","",IFERROR(INDEX(DriverRank,MATCH($R415,DriverList,0)),99))</f>
        <v/>
      </c>
      <c r="V415" s="35" t="n">
        <f aca="false">IF($H415="",0,IFERROR(INDEX(LevelBasic,MATCH($H415,LevelList,0))+INDEX(LevelHousing,MATCH($H415,LevelList,0))+INDEX(LevelTransport,MATCH($H415,LevelList,0))+INDEX(LevelBasic,MATCH($H415,LevelList,0))*INDEX(LevelBonus,MATCH($H415,LevelList,0))+(INDEX(LevelBasic,MATCH($H415,LevelList,0))+INDEX(LevelHousing,MATCH($H415,LevelList,0)))*GosiSaudi,0))</f>
        <v>0</v>
      </c>
      <c r="W415" s="35" t="n">
        <f aca="false">IFERROR(INDEX(LevelOneOff,MATCH($H415,LevelList,0)),0)</f>
        <v>0</v>
      </c>
      <c r="X415" s="35" t="str">
        <f aca="false">IF($G415="","",$V415*N($L415))</f>
        <v/>
      </c>
      <c r="Y415" s="35" t="str">
        <f aca="false">IF($G415="","",$V415*(N($M415)*1+N($N415)*0.75+N($O415)*0.5+N($P415)*0.25)+$W415*N($L415))</f>
        <v/>
      </c>
      <c r="Z415" s="35" t="str">
        <f aca="false">IF($G415="","",$U415*1000000+ROW())</f>
        <v/>
      </c>
      <c r="AA415" s="36" t="str">
        <f aca="false">IF($G415="","",MID(IF($C415="",", no division","")&amp;IF($E415="",", no unit","")&amp;IF($H415="",", no career level","")&amp;IF(N($L415)&lt;=0,", no quarter split","")&amp;IF($R415="",", no driver","")&amp;IF(AND($H415&lt;&gt;"",COUNTIF(CareerLevels,$H415)=0),", a career level that is not on the ladder","")&amp;IF(AND($R415&lt;&gt;"",COUNTIF(DriverList,$R415)=0),", a driver that is not on the list","")&amp;IF(ABS(N($L415)-(N($M415)+N($N415)+N($O415)+N($P415)))&gt;0.001,", a total that does not match its quarters",""),3,300))</f>
        <v/>
      </c>
    </row>
    <row r="416" customFormat="false" ht="15" hidden="false" customHeight="false" outlineLevel="0" collapsed="false">
      <c r="A416" s="33" t="str">
        <f aca="false">IF($G416="","","Corporate Banking Group")</f>
        <v/>
      </c>
      <c r="B416" s="19"/>
      <c r="C416" s="19"/>
      <c r="D416" s="19"/>
      <c r="E416" s="19"/>
      <c r="F416" s="19"/>
      <c r="G416" s="19"/>
      <c r="H416" s="19"/>
      <c r="I416" s="19"/>
      <c r="J416" s="19"/>
      <c r="K416" s="19"/>
      <c r="L416" s="19"/>
      <c r="M416" s="19"/>
      <c r="N416" s="19"/>
      <c r="O416" s="19"/>
      <c r="P416" s="19"/>
      <c r="Q416" s="19"/>
      <c r="R416" s="19"/>
      <c r="S416" s="19"/>
      <c r="T416" s="34" t="str">
        <f aca="false">IF($R416="","",IFERROR(INDEX(DriverCategory,MATCH($R416,DriverList,0)),"BAU"))</f>
        <v/>
      </c>
      <c r="U416" s="34" t="str">
        <f aca="false">IF($R416="","",IFERROR(INDEX(DriverRank,MATCH($R416,DriverList,0)),99))</f>
        <v/>
      </c>
      <c r="V416" s="35" t="n">
        <f aca="false">IF($H416="",0,IFERROR(INDEX(LevelBasic,MATCH($H416,LevelList,0))+INDEX(LevelHousing,MATCH($H416,LevelList,0))+INDEX(LevelTransport,MATCH($H416,LevelList,0))+INDEX(LevelBasic,MATCH($H416,LevelList,0))*INDEX(LevelBonus,MATCH($H416,LevelList,0))+(INDEX(LevelBasic,MATCH($H416,LevelList,0))+INDEX(LevelHousing,MATCH($H416,LevelList,0)))*GosiSaudi,0))</f>
        <v>0</v>
      </c>
      <c r="W416" s="35" t="n">
        <f aca="false">IFERROR(INDEX(LevelOneOff,MATCH($H416,LevelList,0)),0)</f>
        <v>0</v>
      </c>
      <c r="X416" s="35" t="str">
        <f aca="false">IF($G416="","",$V416*N($L416))</f>
        <v/>
      </c>
      <c r="Y416" s="35" t="str">
        <f aca="false">IF($G416="","",$V416*(N($M416)*1+N($N416)*0.75+N($O416)*0.5+N($P416)*0.25)+$W416*N($L416))</f>
        <v/>
      </c>
      <c r="Z416" s="35" t="str">
        <f aca="false">IF($G416="","",$U416*1000000+ROW())</f>
        <v/>
      </c>
      <c r="AA416" s="36" t="str">
        <f aca="false">IF($G416="","",MID(IF($C416="",", no division","")&amp;IF($E416="",", no unit","")&amp;IF($H416="",", no career level","")&amp;IF(N($L416)&lt;=0,", no quarter split","")&amp;IF($R416="",", no driver","")&amp;IF(AND($H416&lt;&gt;"",COUNTIF(CareerLevels,$H416)=0),", a career level that is not on the ladder","")&amp;IF(AND($R416&lt;&gt;"",COUNTIF(DriverList,$R416)=0),", a driver that is not on the list","")&amp;IF(ABS(N($L416)-(N($M416)+N($N416)+N($O416)+N($P416)))&gt;0.001,", a total that does not match its quarters",""),3,300))</f>
        <v/>
      </c>
    </row>
    <row r="417" customFormat="false" ht="15" hidden="false" customHeight="false" outlineLevel="0" collapsed="false">
      <c r="A417" s="33" t="str">
        <f aca="false">IF($G417="","","Corporate Banking Group")</f>
        <v/>
      </c>
      <c r="B417" s="19"/>
      <c r="C417" s="19"/>
      <c r="D417" s="19"/>
      <c r="E417" s="19"/>
      <c r="F417" s="19"/>
      <c r="G417" s="19"/>
      <c r="H417" s="19"/>
      <c r="I417" s="19"/>
      <c r="J417" s="19"/>
      <c r="K417" s="19"/>
      <c r="L417" s="19"/>
      <c r="M417" s="19"/>
      <c r="N417" s="19"/>
      <c r="O417" s="19"/>
      <c r="P417" s="19"/>
      <c r="Q417" s="19"/>
      <c r="R417" s="19"/>
      <c r="S417" s="19"/>
      <c r="T417" s="34" t="str">
        <f aca="false">IF($R417="","",IFERROR(INDEX(DriverCategory,MATCH($R417,DriverList,0)),"BAU"))</f>
        <v/>
      </c>
      <c r="U417" s="34" t="str">
        <f aca="false">IF($R417="","",IFERROR(INDEX(DriverRank,MATCH($R417,DriverList,0)),99))</f>
        <v/>
      </c>
      <c r="V417" s="35" t="n">
        <f aca="false">IF($H417="",0,IFERROR(INDEX(LevelBasic,MATCH($H417,LevelList,0))+INDEX(LevelHousing,MATCH($H417,LevelList,0))+INDEX(LevelTransport,MATCH($H417,LevelList,0))+INDEX(LevelBasic,MATCH($H417,LevelList,0))*INDEX(LevelBonus,MATCH($H417,LevelList,0))+(INDEX(LevelBasic,MATCH($H417,LevelList,0))+INDEX(LevelHousing,MATCH($H417,LevelList,0)))*GosiSaudi,0))</f>
        <v>0</v>
      </c>
      <c r="W417" s="35" t="n">
        <f aca="false">IFERROR(INDEX(LevelOneOff,MATCH($H417,LevelList,0)),0)</f>
        <v>0</v>
      </c>
      <c r="X417" s="35" t="str">
        <f aca="false">IF($G417="","",$V417*N($L417))</f>
        <v/>
      </c>
      <c r="Y417" s="35" t="str">
        <f aca="false">IF($G417="","",$V417*(N($M417)*1+N($N417)*0.75+N($O417)*0.5+N($P417)*0.25)+$W417*N($L417))</f>
        <v/>
      </c>
      <c r="Z417" s="35" t="str">
        <f aca="false">IF($G417="","",$U417*1000000+ROW())</f>
        <v/>
      </c>
      <c r="AA417" s="36" t="str">
        <f aca="false">IF($G417="","",MID(IF($C417="",", no division","")&amp;IF($E417="",", no unit","")&amp;IF($H417="",", no career level","")&amp;IF(N($L417)&lt;=0,", no quarter split","")&amp;IF($R417="",", no driver","")&amp;IF(AND($H417&lt;&gt;"",COUNTIF(CareerLevels,$H417)=0),", a career level that is not on the ladder","")&amp;IF(AND($R417&lt;&gt;"",COUNTIF(DriverList,$R417)=0),", a driver that is not on the list","")&amp;IF(ABS(N($L417)-(N($M417)+N($N417)+N($O417)+N($P417)))&gt;0.001,", a total that does not match its quarters",""),3,300))</f>
        <v/>
      </c>
    </row>
    <row r="418" customFormat="false" ht="15" hidden="false" customHeight="false" outlineLevel="0" collapsed="false">
      <c r="A418" s="33" t="str">
        <f aca="false">IF($G418="","","Corporate Banking Group")</f>
        <v/>
      </c>
      <c r="B418" s="19"/>
      <c r="C418" s="19"/>
      <c r="D418" s="19"/>
      <c r="E418" s="19"/>
      <c r="F418" s="19"/>
      <c r="G418" s="19"/>
      <c r="H418" s="19"/>
      <c r="I418" s="19"/>
      <c r="J418" s="19"/>
      <c r="K418" s="19"/>
      <c r="L418" s="19"/>
      <c r="M418" s="19"/>
      <c r="N418" s="19"/>
      <c r="O418" s="19"/>
      <c r="P418" s="19"/>
      <c r="Q418" s="19"/>
      <c r="R418" s="19"/>
      <c r="S418" s="19"/>
      <c r="T418" s="34" t="str">
        <f aca="false">IF($R418="","",IFERROR(INDEX(DriverCategory,MATCH($R418,DriverList,0)),"BAU"))</f>
        <v/>
      </c>
      <c r="U418" s="34" t="str">
        <f aca="false">IF($R418="","",IFERROR(INDEX(DriverRank,MATCH($R418,DriverList,0)),99))</f>
        <v/>
      </c>
      <c r="V418" s="35" t="n">
        <f aca="false">IF($H418="",0,IFERROR(INDEX(LevelBasic,MATCH($H418,LevelList,0))+INDEX(LevelHousing,MATCH($H418,LevelList,0))+INDEX(LevelTransport,MATCH($H418,LevelList,0))+INDEX(LevelBasic,MATCH($H418,LevelList,0))*INDEX(LevelBonus,MATCH($H418,LevelList,0))+(INDEX(LevelBasic,MATCH($H418,LevelList,0))+INDEX(LevelHousing,MATCH($H418,LevelList,0)))*GosiSaudi,0))</f>
        <v>0</v>
      </c>
      <c r="W418" s="35" t="n">
        <f aca="false">IFERROR(INDEX(LevelOneOff,MATCH($H418,LevelList,0)),0)</f>
        <v>0</v>
      </c>
      <c r="X418" s="35" t="str">
        <f aca="false">IF($G418="","",$V418*N($L418))</f>
        <v/>
      </c>
      <c r="Y418" s="35" t="str">
        <f aca="false">IF($G418="","",$V418*(N($M418)*1+N($N418)*0.75+N($O418)*0.5+N($P418)*0.25)+$W418*N($L418))</f>
        <v/>
      </c>
      <c r="Z418" s="35" t="str">
        <f aca="false">IF($G418="","",$U418*1000000+ROW())</f>
        <v/>
      </c>
      <c r="AA418" s="36" t="str">
        <f aca="false">IF($G418="","",MID(IF($C418="",", no division","")&amp;IF($E418="",", no unit","")&amp;IF($H418="",", no career level","")&amp;IF(N($L418)&lt;=0,", no quarter split","")&amp;IF($R418="",", no driver","")&amp;IF(AND($H418&lt;&gt;"",COUNTIF(CareerLevels,$H418)=0),", a career level that is not on the ladder","")&amp;IF(AND($R418&lt;&gt;"",COUNTIF(DriverList,$R418)=0),", a driver that is not on the list","")&amp;IF(ABS(N($L418)-(N($M418)+N($N418)+N($O418)+N($P418)))&gt;0.001,", a total that does not match its quarters",""),3,300))</f>
        <v/>
      </c>
    </row>
    <row r="419" customFormat="false" ht="15" hidden="false" customHeight="false" outlineLevel="0" collapsed="false">
      <c r="A419" s="33" t="str">
        <f aca="false">IF($G419="","","Corporate Banking Group")</f>
        <v/>
      </c>
      <c r="B419" s="19"/>
      <c r="C419" s="19"/>
      <c r="D419" s="19"/>
      <c r="E419" s="19"/>
      <c r="F419" s="19"/>
      <c r="G419" s="19"/>
      <c r="H419" s="19"/>
      <c r="I419" s="19"/>
      <c r="J419" s="19"/>
      <c r="K419" s="19"/>
      <c r="L419" s="19"/>
      <c r="M419" s="19"/>
      <c r="N419" s="19"/>
      <c r="O419" s="19"/>
      <c r="P419" s="19"/>
      <c r="Q419" s="19"/>
      <c r="R419" s="19"/>
      <c r="S419" s="19"/>
      <c r="T419" s="34" t="str">
        <f aca="false">IF($R419="","",IFERROR(INDEX(DriverCategory,MATCH($R419,DriverList,0)),"BAU"))</f>
        <v/>
      </c>
      <c r="U419" s="34" t="str">
        <f aca="false">IF($R419="","",IFERROR(INDEX(DriverRank,MATCH($R419,DriverList,0)),99))</f>
        <v/>
      </c>
      <c r="V419" s="35" t="n">
        <f aca="false">IF($H419="",0,IFERROR(INDEX(LevelBasic,MATCH($H419,LevelList,0))+INDEX(LevelHousing,MATCH($H419,LevelList,0))+INDEX(LevelTransport,MATCH($H419,LevelList,0))+INDEX(LevelBasic,MATCH($H419,LevelList,0))*INDEX(LevelBonus,MATCH($H419,LevelList,0))+(INDEX(LevelBasic,MATCH($H419,LevelList,0))+INDEX(LevelHousing,MATCH($H419,LevelList,0)))*GosiSaudi,0))</f>
        <v>0</v>
      </c>
      <c r="W419" s="35" t="n">
        <f aca="false">IFERROR(INDEX(LevelOneOff,MATCH($H419,LevelList,0)),0)</f>
        <v>0</v>
      </c>
      <c r="X419" s="35" t="str">
        <f aca="false">IF($G419="","",$V419*N($L419))</f>
        <v/>
      </c>
      <c r="Y419" s="35" t="str">
        <f aca="false">IF($G419="","",$V419*(N($M419)*1+N($N419)*0.75+N($O419)*0.5+N($P419)*0.25)+$W419*N($L419))</f>
        <v/>
      </c>
      <c r="Z419" s="35" t="str">
        <f aca="false">IF($G419="","",$U419*1000000+ROW())</f>
        <v/>
      </c>
      <c r="AA419" s="36" t="str">
        <f aca="false">IF($G419="","",MID(IF($C419="",", no division","")&amp;IF($E419="",", no unit","")&amp;IF($H419="",", no career level","")&amp;IF(N($L419)&lt;=0,", no quarter split","")&amp;IF($R419="",", no driver","")&amp;IF(AND($H419&lt;&gt;"",COUNTIF(CareerLevels,$H419)=0),", a career level that is not on the ladder","")&amp;IF(AND($R419&lt;&gt;"",COUNTIF(DriverList,$R419)=0),", a driver that is not on the list","")&amp;IF(ABS(N($L419)-(N($M419)+N($N419)+N($O419)+N($P419)))&gt;0.001,", a total that does not match its quarters",""),3,300))</f>
        <v/>
      </c>
    </row>
    <row r="420" customFormat="false" ht="15" hidden="false" customHeight="false" outlineLevel="0" collapsed="false">
      <c r="A420" s="33" t="str">
        <f aca="false">IF($G420="","","Corporate Banking Group")</f>
        <v/>
      </c>
      <c r="B420" s="19"/>
      <c r="C420" s="19"/>
      <c r="D420" s="19"/>
      <c r="E420" s="19"/>
      <c r="F420" s="19"/>
      <c r="G420" s="19"/>
      <c r="H420" s="19"/>
      <c r="I420" s="19"/>
      <c r="J420" s="19"/>
      <c r="K420" s="19"/>
      <c r="L420" s="19"/>
      <c r="M420" s="19"/>
      <c r="N420" s="19"/>
      <c r="O420" s="19"/>
      <c r="P420" s="19"/>
      <c r="Q420" s="19"/>
      <c r="R420" s="19"/>
      <c r="S420" s="19"/>
      <c r="T420" s="34" t="str">
        <f aca="false">IF($R420="","",IFERROR(INDEX(DriverCategory,MATCH($R420,DriverList,0)),"BAU"))</f>
        <v/>
      </c>
      <c r="U420" s="34" t="str">
        <f aca="false">IF($R420="","",IFERROR(INDEX(DriverRank,MATCH($R420,DriverList,0)),99))</f>
        <v/>
      </c>
      <c r="V420" s="35" t="n">
        <f aca="false">IF($H420="",0,IFERROR(INDEX(LevelBasic,MATCH($H420,LevelList,0))+INDEX(LevelHousing,MATCH($H420,LevelList,0))+INDEX(LevelTransport,MATCH($H420,LevelList,0))+INDEX(LevelBasic,MATCH($H420,LevelList,0))*INDEX(LevelBonus,MATCH($H420,LevelList,0))+(INDEX(LevelBasic,MATCH($H420,LevelList,0))+INDEX(LevelHousing,MATCH($H420,LevelList,0)))*GosiSaudi,0))</f>
        <v>0</v>
      </c>
      <c r="W420" s="35" t="n">
        <f aca="false">IFERROR(INDEX(LevelOneOff,MATCH($H420,LevelList,0)),0)</f>
        <v>0</v>
      </c>
      <c r="X420" s="35" t="str">
        <f aca="false">IF($G420="","",$V420*N($L420))</f>
        <v/>
      </c>
      <c r="Y420" s="35" t="str">
        <f aca="false">IF($G420="","",$V420*(N($M420)*1+N($N420)*0.75+N($O420)*0.5+N($P420)*0.25)+$W420*N($L420))</f>
        <v/>
      </c>
      <c r="Z420" s="35" t="str">
        <f aca="false">IF($G420="","",$U420*1000000+ROW())</f>
        <v/>
      </c>
      <c r="AA420" s="36" t="str">
        <f aca="false">IF($G420="","",MID(IF($C420="",", no division","")&amp;IF($E420="",", no unit","")&amp;IF($H420="",", no career level","")&amp;IF(N($L420)&lt;=0,", no quarter split","")&amp;IF($R420="",", no driver","")&amp;IF(AND($H420&lt;&gt;"",COUNTIF(CareerLevels,$H420)=0),", a career level that is not on the ladder","")&amp;IF(AND($R420&lt;&gt;"",COUNTIF(DriverList,$R420)=0),", a driver that is not on the list","")&amp;IF(ABS(N($L420)-(N($M420)+N($N420)+N($O420)+N($P420)))&gt;0.001,", a total that does not match its quarters",""),3,300))</f>
        <v/>
      </c>
    </row>
    <row r="421" customFormat="false" ht="15" hidden="false" customHeight="false" outlineLevel="0" collapsed="false">
      <c r="A421" s="33" t="str">
        <f aca="false">IF($G421="","","Corporate Banking Group")</f>
        <v/>
      </c>
      <c r="B421" s="19"/>
      <c r="C421" s="19"/>
      <c r="D421" s="19"/>
      <c r="E421" s="19"/>
      <c r="F421" s="19"/>
      <c r="G421" s="19"/>
      <c r="H421" s="19"/>
      <c r="I421" s="19"/>
      <c r="J421" s="19"/>
      <c r="K421" s="19"/>
      <c r="L421" s="19"/>
      <c r="M421" s="19"/>
      <c r="N421" s="19"/>
      <c r="O421" s="19"/>
      <c r="P421" s="19"/>
      <c r="Q421" s="19"/>
      <c r="R421" s="19"/>
      <c r="S421" s="19"/>
      <c r="T421" s="34" t="str">
        <f aca="false">IF($R421="","",IFERROR(INDEX(DriverCategory,MATCH($R421,DriverList,0)),"BAU"))</f>
        <v/>
      </c>
      <c r="U421" s="34" t="str">
        <f aca="false">IF($R421="","",IFERROR(INDEX(DriverRank,MATCH($R421,DriverList,0)),99))</f>
        <v/>
      </c>
      <c r="V421" s="35" t="n">
        <f aca="false">IF($H421="",0,IFERROR(INDEX(LevelBasic,MATCH($H421,LevelList,0))+INDEX(LevelHousing,MATCH($H421,LevelList,0))+INDEX(LevelTransport,MATCH($H421,LevelList,0))+INDEX(LevelBasic,MATCH($H421,LevelList,0))*INDEX(LevelBonus,MATCH($H421,LevelList,0))+(INDEX(LevelBasic,MATCH($H421,LevelList,0))+INDEX(LevelHousing,MATCH($H421,LevelList,0)))*GosiSaudi,0))</f>
        <v>0</v>
      </c>
      <c r="W421" s="35" t="n">
        <f aca="false">IFERROR(INDEX(LevelOneOff,MATCH($H421,LevelList,0)),0)</f>
        <v>0</v>
      </c>
      <c r="X421" s="35" t="str">
        <f aca="false">IF($G421="","",$V421*N($L421))</f>
        <v/>
      </c>
      <c r="Y421" s="35" t="str">
        <f aca="false">IF($G421="","",$V421*(N($M421)*1+N($N421)*0.75+N($O421)*0.5+N($P421)*0.25)+$W421*N($L421))</f>
        <v/>
      </c>
      <c r="Z421" s="35" t="str">
        <f aca="false">IF($G421="","",$U421*1000000+ROW())</f>
        <v/>
      </c>
      <c r="AA421" s="36" t="str">
        <f aca="false">IF($G421="","",MID(IF($C421="",", no division","")&amp;IF($E421="",", no unit","")&amp;IF($H421="",", no career level","")&amp;IF(N($L421)&lt;=0,", no quarter split","")&amp;IF($R421="",", no driver","")&amp;IF(AND($H421&lt;&gt;"",COUNTIF(CareerLevels,$H421)=0),", a career level that is not on the ladder","")&amp;IF(AND($R421&lt;&gt;"",COUNTIF(DriverList,$R421)=0),", a driver that is not on the list","")&amp;IF(ABS(N($L421)-(N($M421)+N($N421)+N($O421)+N($P421)))&gt;0.001,", a total that does not match its quarters",""),3,300))</f>
        <v/>
      </c>
    </row>
    <row r="422" customFormat="false" ht="15" hidden="false" customHeight="false" outlineLevel="0" collapsed="false">
      <c r="A422" s="33" t="str">
        <f aca="false">IF($G422="","","Corporate Banking Group")</f>
        <v/>
      </c>
      <c r="B422" s="19"/>
      <c r="C422" s="19"/>
      <c r="D422" s="19"/>
      <c r="E422" s="19"/>
      <c r="F422" s="19"/>
      <c r="G422" s="19"/>
      <c r="H422" s="19"/>
      <c r="I422" s="19"/>
      <c r="J422" s="19"/>
      <c r="K422" s="19"/>
      <c r="L422" s="19"/>
      <c r="M422" s="19"/>
      <c r="N422" s="19"/>
      <c r="O422" s="19"/>
      <c r="P422" s="19"/>
      <c r="Q422" s="19"/>
      <c r="R422" s="19"/>
      <c r="S422" s="19"/>
      <c r="T422" s="34" t="str">
        <f aca="false">IF($R422="","",IFERROR(INDEX(DriverCategory,MATCH($R422,DriverList,0)),"BAU"))</f>
        <v/>
      </c>
      <c r="U422" s="34" t="str">
        <f aca="false">IF($R422="","",IFERROR(INDEX(DriverRank,MATCH($R422,DriverList,0)),99))</f>
        <v/>
      </c>
      <c r="V422" s="35" t="n">
        <f aca="false">IF($H422="",0,IFERROR(INDEX(LevelBasic,MATCH($H422,LevelList,0))+INDEX(LevelHousing,MATCH($H422,LevelList,0))+INDEX(LevelTransport,MATCH($H422,LevelList,0))+INDEX(LevelBasic,MATCH($H422,LevelList,0))*INDEX(LevelBonus,MATCH($H422,LevelList,0))+(INDEX(LevelBasic,MATCH($H422,LevelList,0))+INDEX(LevelHousing,MATCH($H422,LevelList,0)))*GosiSaudi,0))</f>
        <v>0</v>
      </c>
      <c r="W422" s="35" t="n">
        <f aca="false">IFERROR(INDEX(LevelOneOff,MATCH($H422,LevelList,0)),0)</f>
        <v>0</v>
      </c>
      <c r="X422" s="35" t="str">
        <f aca="false">IF($G422="","",$V422*N($L422))</f>
        <v/>
      </c>
      <c r="Y422" s="35" t="str">
        <f aca="false">IF($G422="","",$V422*(N($M422)*1+N($N422)*0.75+N($O422)*0.5+N($P422)*0.25)+$W422*N($L422))</f>
        <v/>
      </c>
      <c r="Z422" s="35" t="str">
        <f aca="false">IF($G422="","",$U422*1000000+ROW())</f>
        <v/>
      </c>
      <c r="AA422" s="36" t="str">
        <f aca="false">IF($G422="","",MID(IF($C422="",", no division","")&amp;IF($E422="",", no unit","")&amp;IF($H422="",", no career level","")&amp;IF(N($L422)&lt;=0,", no quarter split","")&amp;IF($R422="",", no driver","")&amp;IF(AND($H422&lt;&gt;"",COUNTIF(CareerLevels,$H422)=0),", a career level that is not on the ladder","")&amp;IF(AND($R422&lt;&gt;"",COUNTIF(DriverList,$R422)=0),", a driver that is not on the list","")&amp;IF(ABS(N($L422)-(N($M422)+N($N422)+N($O422)+N($P422)))&gt;0.001,", a total that does not match its quarters",""),3,300))</f>
        <v/>
      </c>
    </row>
    <row r="423" customFormat="false" ht="15" hidden="false" customHeight="false" outlineLevel="0" collapsed="false">
      <c r="A423" s="33" t="str">
        <f aca="false">IF($G423="","","Corporate Banking Group")</f>
        <v/>
      </c>
      <c r="B423" s="19"/>
      <c r="C423" s="19"/>
      <c r="D423" s="19"/>
      <c r="E423" s="19"/>
      <c r="F423" s="19"/>
      <c r="G423" s="19"/>
      <c r="H423" s="19"/>
      <c r="I423" s="19"/>
      <c r="J423" s="19"/>
      <c r="K423" s="19"/>
      <c r="L423" s="19"/>
      <c r="M423" s="19"/>
      <c r="N423" s="19"/>
      <c r="O423" s="19"/>
      <c r="P423" s="19"/>
      <c r="Q423" s="19"/>
      <c r="R423" s="19"/>
      <c r="S423" s="19"/>
      <c r="T423" s="34" t="str">
        <f aca="false">IF($R423="","",IFERROR(INDEX(DriverCategory,MATCH($R423,DriverList,0)),"BAU"))</f>
        <v/>
      </c>
      <c r="U423" s="34" t="str">
        <f aca="false">IF($R423="","",IFERROR(INDEX(DriverRank,MATCH($R423,DriverList,0)),99))</f>
        <v/>
      </c>
      <c r="V423" s="35" t="n">
        <f aca="false">IF($H423="",0,IFERROR(INDEX(LevelBasic,MATCH($H423,LevelList,0))+INDEX(LevelHousing,MATCH($H423,LevelList,0))+INDEX(LevelTransport,MATCH($H423,LevelList,0))+INDEX(LevelBasic,MATCH($H423,LevelList,0))*INDEX(LevelBonus,MATCH($H423,LevelList,0))+(INDEX(LevelBasic,MATCH($H423,LevelList,0))+INDEX(LevelHousing,MATCH($H423,LevelList,0)))*GosiSaudi,0))</f>
        <v>0</v>
      </c>
      <c r="W423" s="35" t="n">
        <f aca="false">IFERROR(INDEX(LevelOneOff,MATCH($H423,LevelList,0)),0)</f>
        <v>0</v>
      </c>
      <c r="X423" s="35" t="str">
        <f aca="false">IF($G423="","",$V423*N($L423))</f>
        <v/>
      </c>
      <c r="Y423" s="35" t="str">
        <f aca="false">IF($G423="","",$V423*(N($M423)*1+N($N423)*0.75+N($O423)*0.5+N($P423)*0.25)+$W423*N($L423))</f>
        <v/>
      </c>
      <c r="Z423" s="35" t="str">
        <f aca="false">IF($G423="","",$U423*1000000+ROW())</f>
        <v/>
      </c>
      <c r="AA423" s="36" t="str">
        <f aca="false">IF($G423="","",MID(IF($C423="",", no division","")&amp;IF($E423="",", no unit","")&amp;IF($H423="",", no career level","")&amp;IF(N($L423)&lt;=0,", no quarter split","")&amp;IF($R423="",", no driver","")&amp;IF(AND($H423&lt;&gt;"",COUNTIF(CareerLevels,$H423)=0),", a career level that is not on the ladder","")&amp;IF(AND($R423&lt;&gt;"",COUNTIF(DriverList,$R423)=0),", a driver that is not on the list","")&amp;IF(ABS(N($L423)-(N($M423)+N($N423)+N($O423)+N($P423)))&gt;0.001,", a total that does not match its quarters",""),3,300))</f>
        <v/>
      </c>
    </row>
    <row r="424" customFormat="false" ht="15" hidden="false" customHeight="false" outlineLevel="0" collapsed="false">
      <c r="A424" s="33" t="str">
        <f aca="false">IF($G424="","","Corporate Banking Group")</f>
        <v/>
      </c>
      <c r="B424" s="19"/>
      <c r="C424" s="19"/>
      <c r="D424" s="19"/>
      <c r="E424" s="19"/>
      <c r="F424" s="19"/>
      <c r="G424" s="19"/>
      <c r="H424" s="19"/>
      <c r="I424" s="19"/>
      <c r="J424" s="19"/>
      <c r="K424" s="19"/>
      <c r="L424" s="19"/>
      <c r="M424" s="19"/>
      <c r="N424" s="19"/>
      <c r="O424" s="19"/>
      <c r="P424" s="19"/>
      <c r="Q424" s="19"/>
      <c r="R424" s="19"/>
      <c r="S424" s="19"/>
      <c r="T424" s="34" t="str">
        <f aca="false">IF($R424="","",IFERROR(INDEX(DriverCategory,MATCH($R424,DriverList,0)),"BAU"))</f>
        <v/>
      </c>
      <c r="U424" s="34" t="str">
        <f aca="false">IF($R424="","",IFERROR(INDEX(DriverRank,MATCH($R424,DriverList,0)),99))</f>
        <v/>
      </c>
      <c r="V424" s="35" t="n">
        <f aca="false">IF($H424="",0,IFERROR(INDEX(LevelBasic,MATCH($H424,LevelList,0))+INDEX(LevelHousing,MATCH($H424,LevelList,0))+INDEX(LevelTransport,MATCH($H424,LevelList,0))+INDEX(LevelBasic,MATCH($H424,LevelList,0))*INDEX(LevelBonus,MATCH($H424,LevelList,0))+(INDEX(LevelBasic,MATCH($H424,LevelList,0))+INDEX(LevelHousing,MATCH($H424,LevelList,0)))*GosiSaudi,0))</f>
        <v>0</v>
      </c>
      <c r="W424" s="35" t="n">
        <f aca="false">IFERROR(INDEX(LevelOneOff,MATCH($H424,LevelList,0)),0)</f>
        <v>0</v>
      </c>
      <c r="X424" s="35" t="str">
        <f aca="false">IF($G424="","",$V424*N($L424))</f>
        <v/>
      </c>
      <c r="Y424" s="35" t="str">
        <f aca="false">IF($G424="","",$V424*(N($M424)*1+N($N424)*0.75+N($O424)*0.5+N($P424)*0.25)+$W424*N($L424))</f>
        <v/>
      </c>
      <c r="Z424" s="35" t="str">
        <f aca="false">IF($G424="","",$U424*1000000+ROW())</f>
        <v/>
      </c>
      <c r="AA424" s="36" t="str">
        <f aca="false">IF($G424="","",MID(IF($C424="",", no division","")&amp;IF($E424="",", no unit","")&amp;IF($H424="",", no career level","")&amp;IF(N($L424)&lt;=0,", no quarter split","")&amp;IF($R424="",", no driver","")&amp;IF(AND($H424&lt;&gt;"",COUNTIF(CareerLevels,$H424)=0),", a career level that is not on the ladder","")&amp;IF(AND($R424&lt;&gt;"",COUNTIF(DriverList,$R424)=0),", a driver that is not on the list","")&amp;IF(ABS(N($L424)-(N($M424)+N($N424)+N($O424)+N($P424)))&gt;0.001,", a total that does not match its quarters",""),3,300))</f>
        <v/>
      </c>
    </row>
    <row r="425" customFormat="false" ht="15" hidden="false" customHeight="false" outlineLevel="0" collapsed="false">
      <c r="A425" s="33" t="str">
        <f aca="false">IF($G425="","","Corporate Banking Group")</f>
        <v/>
      </c>
      <c r="B425" s="19"/>
      <c r="C425" s="19"/>
      <c r="D425" s="19"/>
      <c r="E425" s="19"/>
      <c r="F425" s="19"/>
      <c r="G425" s="19"/>
      <c r="H425" s="19"/>
      <c r="I425" s="19"/>
      <c r="J425" s="19"/>
      <c r="K425" s="19"/>
      <c r="L425" s="19"/>
      <c r="M425" s="19"/>
      <c r="N425" s="19"/>
      <c r="O425" s="19"/>
      <c r="P425" s="19"/>
      <c r="Q425" s="19"/>
      <c r="R425" s="19"/>
      <c r="S425" s="19"/>
      <c r="T425" s="34" t="str">
        <f aca="false">IF($R425="","",IFERROR(INDEX(DriverCategory,MATCH($R425,DriverList,0)),"BAU"))</f>
        <v/>
      </c>
      <c r="U425" s="34" t="str">
        <f aca="false">IF($R425="","",IFERROR(INDEX(DriverRank,MATCH($R425,DriverList,0)),99))</f>
        <v/>
      </c>
      <c r="V425" s="35" t="n">
        <f aca="false">IF($H425="",0,IFERROR(INDEX(LevelBasic,MATCH($H425,LevelList,0))+INDEX(LevelHousing,MATCH($H425,LevelList,0))+INDEX(LevelTransport,MATCH($H425,LevelList,0))+INDEX(LevelBasic,MATCH($H425,LevelList,0))*INDEX(LevelBonus,MATCH($H425,LevelList,0))+(INDEX(LevelBasic,MATCH($H425,LevelList,0))+INDEX(LevelHousing,MATCH($H425,LevelList,0)))*GosiSaudi,0))</f>
        <v>0</v>
      </c>
      <c r="W425" s="35" t="n">
        <f aca="false">IFERROR(INDEX(LevelOneOff,MATCH($H425,LevelList,0)),0)</f>
        <v>0</v>
      </c>
      <c r="X425" s="35" t="str">
        <f aca="false">IF($G425="","",$V425*N($L425))</f>
        <v/>
      </c>
      <c r="Y425" s="35" t="str">
        <f aca="false">IF($G425="","",$V425*(N($M425)*1+N($N425)*0.75+N($O425)*0.5+N($P425)*0.25)+$W425*N($L425))</f>
        <v/>
      </c>
      <c r="Z425" s="35" t="str">
        <f aca="false">IF($G425="","",$U425*1000000+ROW())</f>
        <v/>
      </c>
      <c r="AA425" s="36" t="str">
        <f aca="false">IF($G425="","",MID(IF($C425="",", no division","")&amp;IF($E425="",", no unit","")&amp;IF($H425="",", no career level","")&amp;IF(N($L425)&lt;=0,", no quarter split","")&amp;IF($R425="",", no driver","")&amp;IF(AND($H425&lt;&gt;"",COUNTIF(CareerLevels,$H425)=0),", a career level that is not on the ladder","")&amp;IF(AND($R425&lt;&gt;"",COUNTIF(DriverList,$R425)=0),", a driver that is not on the list","")&amp;IF(ABS(N($L425)-(N($M425)+N($N425)+N($O425)+N($P425)))&gt;0.001,", a total that does not match its quarters",""),3,300))</f>
        <v/>
      </c>
    </row>
    <row r="426" customFormat="false" ht="15" hidden="false" customHeight="false" outlineLevel="0" collapsed="false">
      <c r="A426" s="33" t="str">
        <f aca="false">IF($G426="","","Corporate Banking Group")</f>
        <v/>
      </c>
      <c r="B426" s="19"/>
      <c r="C426" s="19"/>
      <c r="D426" s="19"/>
      <c r="E426" s="19"/>
      <c r="F426" s="19"/>
      <c r="G426" s="19"/>
      <c r="H426" s="19"/>
      <c r="I426" s="19"/>
      <c r="J426" s="19"/>
      <c r="K426" s="19"/>
      <c r="L426" s="19"/>
      <c r="M426" s="19"/>
      <c r="N426" s="19"/>
      <c r="O426" s="19"/>
      <c r="P426" s="19"/>
      <c r="Q426" s="19"/>
      <c r="R426" s="19"/>
      <c r="S426" s="19"/>
      <c r="T426" s="34" t="str">
        <f aca="false">IF($R426="","",IFERROR(INDEX(DriverCategory,MATCH($R426,DriverList,0)),"BAU"))</f>
        <v/>
      </c>
      <c r="U426" s="34" t="str">
        <f aca="false">IF($R426="","",IFERROR(INDEX(DriverRank,MATCH($R426,DriverList,0)),99))</f>
        <v/>
      </c>
      <c r="V426" s="35" t="n">
        <f aca="false">IF($H426="",0,IFERROR(INDEX(LevelBasic,MATCH($H426,LevelList,0))+INDEX(LevelHousing,MATCH($H426,LevelList,0))+INDEX(LevelTransport,MATCH($H426,LevelList,0))+INDEX(LevelBasic,MATCH($H426,LevelList,0))*INDEX(LevelBonus,MATCH($H426,LevelList,0))+(INDEX(LevelBasic,MATCH($H426,LevelList,0))+INDEX(LevelHousing,MATCH($H426,LevelList,0)))*GosiSaudi,0))</f>
        <v>0</v>
      </c>
      <c r="W426" s="35" t="n">
        <f aca="false">IFERROR(INDEX(LevelOneOff,MATCH($H426,LevelList,0)),0)</f>
        <v>0</v>
      </c>
      <c r="X426" s="35" t="str">
        <f aca="false">IF($G426="","",$V426*N($L426))</f>
        <v/>
      </c>
      <c r="Y426" s="35" t="str">
        <f aca="false">IF($G426="","",$V426*(N($M426)*1+N($N426)*0.75+N($O426)*0.5+N($P426)*0.25)+$W426*N($L426))</f>
        <v/>
      </c>
      <c r="Z426" s="35" t="str">
        <f aca="false">IF($G426="","",$U426*1000000+ROW())</f>
        <v/>
      </c>
      <c r="AA426" s="36" t="str">
        <f aca="false">IF($G426="","",MID(IF($C426="",", no division","")&amp;IF($E426="",", no unit","")&amp;IF($H426="",", no career level","")&amp;IF(N($L426)&lt;=0,", no quarter split","")&amp;IF($R426="",", no driver","")&amp;IF(AND($H426&lt;&gt;"",COUNTIF(CareerLevels,$H426)=0),", a career level that is not on the ladder","")&amp;IF(AND($R426&lt;&gt;"",COUNTIF(DriverList,$R426)=0),", a driver that is not on the list","")&amp;IF(ABS(N($L426)-(N($M426)+N($N426)+N($O426)+N($P426)))&gt;0.001,", a total that does not match its quarters",""),3,300))</f>
        <v/>
      </c>
    </row>
    <row r="427" customFormat="false" ht="15" hidden="false" customHeight="false" outlineLevel="0" collapsed="false">
      <c r="A427" s="33" t="str">
        <f aca="false">IF($G427="","","Corporate Banking Group")</f>
        <v/>
      </c>
      <c r="B427" s="19"/>
      <c r="C427" s="19"/>
      <c r="D427" s="19"/>
      <c r="E427" s="19"/>
      <c r="F427" s="19"/>
      <c r="G427" s="19"/>
      <c r="H427" s="19"/>
      <c r="I427" s="19"/>
      <c r="J427" s="19"/>
      <c r="K427" s="19"/>
      <c r="L427" s="19"/>
      <c r="M427" s="19"/>
      <c r="N427" s="19"/>
      <c r="O427" s="19"/>
      <c r="P427" s="19"/>
      <c r="Q427" s="19"/>
      <c r="R427" s="19"/>
      <c r="S427" s="19"/>
      <c r="T427" s="34" t="str">
        <f aca="false">IF($R427="","",IFERROR(INDEX(DriverCategory,MATCH($R427,DriverList,0)),"BAU"))</f>
        <v/>
      </c>
      <c r="U427" s="34" t="str">
        <f aca="false">IF($R427="","",IFERROR(INDEX(DriverRank,MATCH($R427,DriverList,0)),99))</f>
        <v/>
      </c>
      <c r="V427" s="35" t="n">
        <f aca="false">IF($H427="",0,IFERROR(INDEX(LevelBasic,MATCH($H427,LevelList,0))+INDEX(LevelHousing,MATCH($H427,LevelList,0))+INDEX(LevelTransport,MATCH($H427,LevelList,0))+INDEX(LevelBasic,MATCH($H427,LevelList,0))*INDEX(LevelBonus,MATCH($H427,LevelList,0))+(INDEX(LevelBasic,MATCH($H427,LevelList,0))+INDEX(LevelHousing,MATCH($H427,LevelList,0)))*GosiSaudi,0))</f>
        <v>0</v>
      </c>
      <c r="W427" s="35" t="n">
        <f aca="false">IFERROR(INDEX(LevelOneOff,MATCH($H427,LevelList,0)),0)</f>
        <v>0</v>
      </c>
      <c r="X427" s="35" t="str">
        <f aca="false">IF($G427="","",$V427*N($L427))</f>
        <v/>
      </c>
      <c r="Y427" s="35" t="str">
        <f aca="false">IF($G427="","",$V427*(N($M427)*1+N($N427)*0.75+N($O427)*0.5+N($P427)*0.25)+$W427*N($L427))</f>
        <v/>
      </c>
      <c r="Z427" s="35" t="str">
        <f aca="false">IF($G427="","",$U427*1000000+ROW())</f>
        <v/>
      </c>
      <c r="AA427" s="36" t="str">
        <f aca="false">IF($G427="","",MID(IF($C427="",", no division","")&amp;IF($E427="",", no unit","")&amp;IF($H427="",", no career level","")&amp;IF(N($L427)&lt;=0,", no quarter split","")&amp;IF($R427="",", no driver","")&amp;IF(AND($H427&lt;&gt;"",COUNTIF(CareerLevels,$H427)=0),", a career level that is not on the ladder","")&amp;IF(AND($R427&lt;&gt;"",COUNTIF(DriverList,$R427)=0),", a driver that is not on the list","")&amp;IF(ABS(N($L427)-(N($M427)+N($N427)+N($O427)+N($P427)))&gt;0.001,", a total that does not match its quarters",""),3,300))</f>
        <v/>
      </c>
    </row>
    <row r="428" customFormat="false" ht="15" hidden="false" customHeight="false" outlineLevel="0" collapsed="false">
      <c r="A428" s="33" t="str">
        <f aca="false">IF($G428="","","Corporate Banking Group")</f>
        <v/>
      </c>
      <c r="B428" s="19"/>
      <c r="C428" s="19"/>
      <c r="D428" s="19"/>
      <c r="E428" s="19"/>
      <c r="F428" s="19"/>
      <c r="G428" s="19"/>
      <c r="H428" s="19"/>
      <c r="I428" s="19"/>
      <c r="J428" s="19"/>
      <c r="K428" s="19"/>
      <c r="L428" s="19"/>
      <c r="M428" s="19"/>
      <c r="N428" s="19"/>
      <c r="O428" s="19"/>
      <c r="P428" s="19"/>
      <c r="Q428" s="19"/>
      <c r="R428" s="19"/>
      <c r="S428" s="19"/>
      <c r="T428" s="34" t="str">
        <f aca="false">IF($R428="","",IFERROR(INDEX(DriverCategory,MATCH($R428,DriverList,0)),"BAU"))</f>
        <v/>
      </c>
      <c r="U428" s="34" t="str">
        <f aca="false">IF($R428="","",IFERROR(INDEX(DriverRank,MATCH($R428,DriverList,0)),99))</f>
        <v/>
      </c>
      <c r="V428" s="35" t="n">
        <f aca="false">IF($H428="",0,IFERROR(INDEX(LevelBasic,MATCH($H428,LevelList,0))+INDEX(LevelHousing,MATCH($H428,LevelList,0))+INDEX(LevelTransport,MATCH($H428,LevelList,0))+INDEX(LevelBasic,MATCH($H428,LevelList,0))*INDEX(LevelBonus,MATCH($H428,LevelList,0))+(INDEX(LevelBasic,MATCH($H428,LevelList,0))+INDEX(LevelHousing,MATCH($H428,LevelList,0)))*GosiSaudi,0))</f>
        <v>0</v>
      </c>
      <c r="W428" s="35" t="n">
        <f aca="false">IFERROR(INDEX(LevelOneOff,MATCH($H428,LevelList,0)),0)</f>
        <v>0</v>
      </c>
      <c r="X428" s="35" t="str">
        <f aca="false">IF($G428="","",$V428*N($L428))</f>
        <v/>
      </c>
      <c r="Y428" s="35" t="str">
        <f aca="false">IF($G428="","",$V428*(N($M428)*1+N($N428)*0.75+N($O428)*0.5+N($P428)*0.25)+$W428*N($L428))</f>
        <v/>
      </c>
      <c r="Z428" s="35" t="str">
        <f aca="false">IF($G428="","",$U428*1000000+ROW())</f>
        <v/>
      </c>
      <c r="AA428" s="36" t="str">
        <f aca="false">IF($G428="","",MID(IF($C428="",", no division","")&amp;IF($E428="",", no unit","")&amp;IF($H428="",", no career level","")&amp;IF(N($L428)&lt;=0,", no quarter split","")&amp;IF($R428="",", no driver","")&amp;IF(AND($H428&lt;&gt;"",COUNTIF(CareerLevels,$H428)=0),", a career level that is not on the ladder","")&amp;IF(AND($R428&lt;&gt;"",COUNTIF(DriverList,$R428)=0),", a driver that is not on the list","")&amp;IF(ABS(N($L428)-(N($M428)+N($N428)+N($O428)+N($P428)))&gt;0.001,", a total that does not match its quarters",""),3,300))</f>
        <v/>
      </c>
    </row>
    <row r="429" customFormat="false" ht="15" hidden="false" customHeight="false" outlineLevel="0" collapsed="false">
      <c r="A429" s="33" t="str">
        <f aca="false">IF($G429="","","Corporate Banking Group")</f>
        <v/>
      </c>
      <c r="B429" s="19"/>
      <c r="C429" s="19"/>
      <c r="D429" s="19"/>
      <c r="E429" s="19"/>
      <c r="F429" s="19"/>
      <c r="G429" s="19"/>
      <c r="H429" s="19"/>
      <c r="I429" s="19"/>
      <c r="J429" s="19"/>
      <c r="K429" s="19"/>
      <c r="L429" s="19"/>
      <c r="M429" s="19"/>
      <c r="N429" s="19"/>
      <c r="O429" s="19"/>
      <c r="P429" s="19"/>
      <c r="Q429" s="19"/>
      <c r="R429" s="19"/>
      <c r="S429" s="19"/>
      <c r="T429" s="34" t="str">
        <f aca="false">IF($R429="","",IFERROR(INDEX(DriverCategory,MATCH($R429,DriverList,0)),"BAU"))</f>
        <v/>
      </c>
      <c r="U429" s="34" t="str">
        <f aca="false">IF($R429="","",IFERROR(INDEX(DriverRank,MATCH($R429,DriverList,0)),99))</f>
        <v/>
      </c>
      <c r="V429" s="35" t="n">
        <f aca="false">IF($H429="",0,IFERROR(INDEX(LevelBasic,MATCH($H429,LevelList,0))+INDEX(LevelHousing,MATCH($H429,LevelList,0))+INDEX(LevelTransport,MATCH($H429,LevelList,0))+INDEX(LevelBasic,MATCH($H429,LevelList,0))*INDEX(LevelBonus,MATCH($H429,LevelList,0))+(INDEX(LevelBasic,MATCH($H429,LevelList,0))+INDEX(LevelHousing,MATCH($H429,LevelList,0)))*GosiSaudi,0))</f>
        <v>0</v>
      </c>
      <c r="W429" s="35" t="n">
        <f aca="false">IFERROR(INDEX(LevelOneOff,MATCH($H429,LevelList,0)),0)</f>
        <v>0</v>
      </c>
      <c r="X429" s="35" t="str">
        <f aca="false">IF($G429="","",$V429*N($L429))</f>
        <v/>
      </c>
      <c r="Y429" s="35" t="str">
        <f aca="false">IF($G429="","",$V429*(N($M429)*1+N($N429)*0.75+N($O429)*0.5+N($P429)*0.25)+$W429*N($L429))</f>
        <v/>
      </c>
      <c r="Z429" s="35" t="str">
        <f aca="false">IF($G429="","",$U429*1000000+ROW())</f>
        <v/>
      </c>
      <c r="AA429" s="36" t="str">
        <f aca="false">IF($G429="","",MID(IF($C429="",", no division","")&amp;IF($E429="",", no unit","")&amp;IF($H429="",", no career level","")&amp;IF(N($L429)&lt;=0,", no quarter split","")&amp;IF($R429="",", no driver","")&amp;IF(AND($H429&lt;&gt;"",COUNTIF(CareerLevels,$H429)=0),", a career level that is not on the ladder","")&amp;IF(AND($R429&lt;&gt;"",COUNTIF(DriverList,$R429)=0),", a driver that is not on the list","")&amp;IF(ABS(N($L429)-(N($M429)+N($N429)+N($O429)+N($P429)))&gt;0.001,", a total that does not match its quarters",""),3,300))</f>
        <v/>
      </c>
    </row>
    <row r="430" customFormat="false" ht="15" hidden="false" customHeight="false" outlineLevel="0" collapsed="false">
      <c r="A430" s="33" t="str">
        <f aca="false">IF($G430="","","Corporate Banking Group")</f>
        <v/>
      </c>
      <c r="B430" s="19"/>
      <c r="C430" s="19"/>
      <c r="D430" s="19"/>
      <c r="E430" s="19"/>
      <c r="F430" s="19"/>
      <c r="G430" s="19"/>
      <c r="H430" s="19"/>
      <c r="I430" s="19"/>
      <c r="J430" s="19"/>
      <c r="K430" s="19"/>
      <c r="L430" s="19"/>
      <c r="M430" s="19"/>
      <c r="N430" s="19"/>
      <c r="O430" s="19"/>
      <c r="P430" s="19"/>
      <c r="Q430" s="19"/>
      <c r="R430" s="19"/>
      <c r="S430" s="19"/>
      <c r="T430" s="34" t="str">
        <f aca="false">IF($R430="","",IFERROR(INDEX(DriverCategory,MATCH($R430,DriverList,0)),"BAU"))</f>
        <v/>
      </c>
      <c r="U430" s="34" t="str">
        <f aca="false">IF($R430="","",IFERROR(INDEX(DriverRank,MATCH($R430,DriverList,0)),99))</f>
        <v/>
      </c>
      <c r="V430" s="35" t="n">
        <f aca="false">IF($H430="",0,IFERROR(INDEX(LevelBasic,MATCH($H430,LevelList,0))+INDEX(LevelHousing,MATCH($H430,LevelList,0))+INDEX(LevelTransport,MATCH($H430,LevelList,0))+INDEX(LevelBasic,MATCH($H430,LevelList,0))*INDEX(LevelBonus,MATCH($H430,LevelList,0))+(INDEX(LevelBasic,MATCH($H430,LevelList,0))+INDEX(LevelHousing,MATCH($H430,LevelList,0)))*GosiSaudi,0))</f>
        <v>0</v>
      </c>
      <c r="W430" s="35" t="n">
        <f aca="false">IFERROR(INDEX(LevelOneOff,MATCH($H430,LevelList,0)),0)</f>
        <v>0</v>
      </c>
      <c r="X430" s="35" t="str">
        <f aca="false">IF($G430="","",$V430*N($L430))</f>
        <v/>
      </c>
      <c r="Y430" s="35" t="str">
        <f aca="false">IF($G430="","",$V430*(N($M430)*1+N($N430)*0.75+N($O430)*0.5+N($P430)*0.25)+$W430*N($L430))</f>
        <v/>
      </c>
      <c r="Z430" s="35" t="str">
        <f aca="false">IF($G430="","",$U430*1000000+ROW())</f>
        <v/>
      </c>
      <c r="AA430" s="36" t="str">
        <f aca="false">IF($G430="","",MID(IF($C430="",", no division","")&amp;IF($E430="",", no unit","")&amp;IF($H430="",", no career level","")&amp;IF(N($L430)&lt;=0,", no quarter split","")&amp;IF($R430="",", no driver","")&amp;IF(AND($H430&lt;&gt;"",COUNTIF(CareerLevels,$H430)=0),", a career level that is not on the ladder","")&amp;IF(AND($R430&lt;&gt;"",COUNTIF(DriverList,$R430)=0),", a driver that is not on the list","")&amp;IF(ABS(N($L430)-(N($M430)+N($N430)+N($O430)+N($P430)))&gt;0.001,", a total that does not match its quarters",""),3,300))</f>
        <v/>
      </c>
    </row>
    <row r="431" customFormat="false" ht="15" hidden="false" customHeight="false" outlineLevel="0" collapsed="false">
      <c r="A431" s="33" t="str">
        <f aca="false">IF($G431="","","Corporate Banking Group")</f>
        <v/>
      </c>
      <c r="B431" s="19"/>
      <c r="C431" s="19"/>
      <c r="D431" s="19"/>
      <c r="E431" s="19"/>
      <c r="F431" s="19"/>
      <c r="G431" s="19"/>
      <c r="H431" s="19"/>
      <c r="I431" s="19"/>
      <c r="J431" s="19"/>
      <c r="K431" s="19"/>
      <c r="L431" s="19"/>
      <c r="M431" s="19"/>
      <c r="N431" s="19"/>
      <c r="O431" s="19"/>
      <c r="P431" s="19"/>
      <c r="Q431" s="19"/>
      <c r="R431" s="19"/>
      <c r="S431" s="19"/>
      <c r="T431" s="34" t="str">
        <f aca="false">IF($R431="","",IFERROR(INDEX(DriverCategory,MATCH($R431,DriverList,0)),"BAU"))</f>
        <v/>
      </c>
      <c r="U431" s="34" t="str">
        <f aca="false">IF($R431="","",IFERROR(INDEX(DriverRank,MATCH($R431,DriverList,0)),99))</f>
        <v/>
      </c>
      <c r="V431" s="35" t="n">
        <f aca="false">IF($H431="",0,IFERROR(INDEX(LevelBasic,MATCH($H431,LevelList,0))+INDEX(LevelHousing,MATCH($H431,LevelList,0))+INDEX(LevelTransport,MATCH($H431,LevelList,0))+INDEX(LevelBasic,MATCH($H431,LevelList,0))*INDEX(LevelBonus,MATCH($H431,LevelList,0))+(INDEX(LevelBasic,MATCH($H431,LevelList,0))+INDEX(LevelHousing,MATCH($H431,LevelList,0)))*GosiSaudi,0))</f>
        <v>0</v>
      </c>
      <c r="W431" s="35" t="n">
        <f aca="false">IFERROR(INDEX(LevelOneOff,MATCH($H431,LevelList,0)),0)</f>
        <v>0</v>
      </c>
      <c r="X431" s="35" t="str">
        <f aca="false">IF($G431="","",$V431*N($L431))</f>
        <v/>
      </c>
      <c r="Y431" s="35" t="str">
        <f aca="false">IF($G431="","",$V431*(N($M431)*1+N($N431)*0.75+N($O431)*0.5+N($P431)*0.25)+$W431*N($L431))</f>
        <v/>
      </c>
      <c r="Z431" s="35" t="str">
        <f aca="false">IF($G431="","",$U431*1000000+ROW())</f>
        <v/>
      </c>
      <c r="AA431" s="36" t="str">
        <f aca="false">IF($G431="","",MID(IF($C431="",", no division","")&amp;IF($E431="",", no unit","")&amp;IF($H431="",", no career level","")&amp;IF(N($L431)&lt;=0,", no quarter split","")&amp;IF($R431="",", no driver","")&amp;IF(AND($H431&lt;&gt;"",COUNTIF(CareerLevels,$H431)=0),", a career level that is not on the ladder","")&amp;IF(AND($R431&lt;&gt;"",COUNTIF(DriverList,$R431)=0),", a driver that is not on the list","")&amp;IF(ABS(N($L431)-(N($M431)+N($N431)+N($O431)+N($P431)))&gt;0.001,", a total that does not match its quarters",""),3,300))</f>
        <v/>
      </c>
    </row>
    <row r="432" customFormat="false" ht="15" hidden="false" customHeight="false" outlineLevel="0" collapsed="false">
      <c r="A432" s="33" t="str">
        <f aca="false">IF($G432="","","Corporate Banking Group")</f>
        <v/>
      </c>
      <c r="B432" s="19"/>
      <c r="C432" s="19"/>
      <c r="D432" s="19"/>
      <c r="E432" s="19"/>
      <c r="F432" s="19"/>
      <c r="G432" s="19"/>
      <c r="H432" s="19"/>
      <c r="I432" s="19"/>
      <c r="J432" s="19"/>
      <c r="K432" s="19"/>
      <c r="L432" s="19"/>
      <c r="M432" s="19"/>
      <c r="N432" s="19"/>
      <c r="O432" s="19"/>
      <c r="P432" s="19"/>
      <c r="Q432" s="19"/>
      <c r="R432" s="19"/>
      <c r="S432" s="19"/>
      <c r="T432" s="34" t="str">
        <f aca="false">IF($R432="","",IFERROR(INDEX(DriverCategory,MATCH($R432,DriverList,0)),"BAU"))</f>
        <v/>
      </c>
      <c r="U432" s="34" t="str">
        <f aca="false">IF($R432="","",IFERROR(INDEX(DriverRank,MATCH($R432,DriverList,0)),99))</f>
        <v/>
      </c>
      <c r="V432" s="35" t="n">
        <f aca="false">IF($H432="",0,IFERROR(INDEX(LevelBasic,MATCH($H432,LevelList,0))+INDEX(LevelHousing,MATCH($H432,LevelList,0))+INDEX(LevelTransport,MATCH($H432,LevelList,0))+INDEX(LevelBasic,MATCH($H432,LevelList,0))*INDEX(LevelBonus,MATCH($H432,LevelList,0))+(INDEX(LevelBasic,MATCH($H432,LevelList,0))+INDEX(LevelHousing,MATCH($H432,LevelList,0)))*GosiSaudi,0))</f>
        <v>0</v>
      </c>
      <c r="W432" s="35" t="n">
        <f aca="false">IFERROR(INDEX(LevelOneOff,MATCH($H432,LevelList,0)),0)</f>
        <v>0</v>
      </c>
      <c r="X432" s="35" t="str">
        <f aca="false">IF($G432="","",$V432*N($L432))</f>
        <v/>
      </c>
      <c r="Y432" s="35" t="str">
        <f aca="false">IF($G432="","",$V432*(N($M432)*1+N($N432)*0.75+N($O432)*0.5+N($P432)*0.25)+$W432*N($L432))</f>
        <v/>
      </c>
      <c r="Z432" s="35" t="str">
        <f aca="false">IF($G432="","",$U432*1000000+ROW())</f>
        <v/>
      </c>
      <c r="AA432" s="36" t="str">
        <f aca="false">IF($G432="","",MID(IF($C432="",", no division","")&amp;IF($E432="",", no unit","")&amp;IF($H432="",", no career level","")&amp;IF(N($L432)&lt;=0,", no quarter split","")&amp;IF($R432="",", no driver","")&amp;IF(AND($H432&lt;&gt;"",COUNTIF(CareerLevels,$H432)=0),", a career level that is not on the ladder","")&amp;IF(AND($R432&lt;&gt;"",COUNTIF(DriverList,$R432)=0),", a driver that is not on the list","")&amp;IF(ABS(N($L432)-(N($M432)+N($N432)+N($O432)+N($P432)))&gt;0.001,", a total that does not match its quarters",""),3,300))</f>
        <v/>
      </c>
    </row>
    <row r="433" customFormat="false" ht="15" hidden="false" customHeight="false" outlineLevel="0" collapsed="false">
      <c r="A433" s="33" t="str">
        <f aca="false">IF($G433="","","Corporate Banking Group")</f>
        <v/>
      </c>
      <c r="B433" s="19"/>
      <c r="C433" s="19"/>
      <c r="D433" s="19"/>
      <c r="E433" s="19"/>
      <c r="F433" s="19"/>
      <c r="G433" s="19"/>
      <c r="H433" s="19"/>
      <c r="I433" s="19"/>
      <c r="J433" s="19"/>
      <c r="K433" s="19"/>
      <c r="L433" s="19"/>
      <c r="M433" s="19"/>
      <c r="N433" s="19"/>
      <c r="O433" s="19"/>
      <c r="P433" s="19"/>
      <c r="Q433" s="19"/>
      <c r="R433" s="19"/>
      <c r="S433" s="19"/>
      <c r="T433" s="34" t="str">
        <f aca="false">IF($R433="","",IFERROR(INDEX(DriverCategory,MATCH($R433,DriverList,0)),"BAU"))</f>
        <v/>
      </c>
      <c r="U433" s="34" t="str">
        <f aca="false">IF($R433="","",IFERROR(INDEX(DriverRank,MATCH($R433,DriverList,0)),99))</f>
        <v/>
      </c>
      <c r="V433" s="35" t="n">
        <f aca="false">IF($H433="",0,IFERROR(INDEX(LevelBasic,MATCH($H433,LevelList,0))+INDEX(LevelHousing,MATCH($H433,LevelList,0))+INDEX(LevelTransport,MATCH($H433,LevelList,0))+INDEX(LevelBasic,MATCH($H433,LevelList,0))*INDEX(LevelBonus,MATCH($H433,LevelList,0))+(INDEX(LevelBasic,MATCH($H433,LevelList,0))+INDEX(LevelHousing,MATCH($H433,LevelList,0)))*GosiSaudi,0))</f>
        <v>0</v>
      </c>
      <c r="W433" s="35" t="n">
        <f aca="false">IFERROR(INDEX(LevelOneOff,MATCH($H433,LevelList,0)),0)</f>
        <v>0</v>
      </c>
      <c r="X433" s="35" t="str">
        <f aca="false">IF($G433="","",$V433*N($L433))</f>
        <v/>
      </c>
      <c r="Y433" s="35" t="str">
        <f aca="false">IF($G433="","",$V433*(N($M433)*1+N($N433)*0.75+N($O433)*0.5+N($P433)*0.25)+$W433*N($L433))</f>
        <v/>
      </c>
      <c r="Z433" s="35" t="str">
        <f aca="false">IF($G433="","",$U433*1000000+ROW())</f>
        <v/>
      </c>
      <c r="AA433" s="36" t="str">
        <f aca="false">IF($G433="","",MID(IF($C433="",", no division","")&amp;IF($E433="",", no unit","")&amp;IF($H433="",", no career level","")&amp;IF(N($L433)&lt;=0,", no quarter split","")&amp;IF($R433="",", no driver","")&amp;IF(AND($H433&lt;&gt;"",COUNTIF(CareerLevels,$H433)=0),", a career level that is not on the ladder","")&amp;IF(AND($R433&lt;&gt;"",COUNTIF(DriverList,$R433)=0),", a driver that is not on the list","")&amp;IF(ABS(N($L433)-(N($M433)+N($N433)+N($O433)+N($P433)))&gt;0.001,", a total that does not match its quarters",""),3,300))</f>
        <v/>
      </c>
    </row>
    <row r="434" customFormat="false" ht="15" hidden="false" customHeight="false" outlineLevel="0" collapsed="false">
      <c r="A434" s="33" t="str">
        <f aca="false">IF($G434="","","Corporate Banking Group")</f>
        <v/>
      </c>
      <c r="B434" s="19"/>
      <c r="C434" s="19"/>
      <c r="D434" s="19"/>
      <c r="E434" s="19"/>
      <c r="F434" s="19"/>
      <c r="G434" s="19"/>
      <c r="H434" s="19"/>
      <c r="I434" s="19"/>
      <c r="J434" s="19"/>
      <c r="K434" s="19"/>
      <c r="L434" s="19"/>
      <c r="M434" s="19"/>
      <c r="N434" s="19"/>
      <c r="O434" s="19"/>
      <c r="P434" s="19"/>
      <c r="Q434" s="19"/>
      <c r="R434" s="19"/>
      <c r="S434" s="19"/>
      <c r="T434" s="34" t="str">
        <f aca="false">IF($R434="","",IFERROR(INDEX(DriverCategory,MATCH($R434,DriverList,0)),"BAU"))</f>
        <v/>
      </c>
      <c r="U434" s="34" t="str">
        <f aca="false">IF($R434="","",IFERROR(INDEX(DriverRank,MATCH($R434,DriverList,0)),99))</f>
        <v/>
      </c>
      <c r="V434" s="35" t="n">
        <f aca="false">IF($H434="",0,IFERROR(INDEX(LevelBasic,MATCH($H434,LevelList,0))+INDEX(LevelHousing,MATCH($H434,LevelList,0))+INDEX(LevelTransport,MATCH($H434,LevelList,0))+INDEX(LevelBasic,MATCH($H434,LevelList,0))*INDEX(LevelBonus,MATCH($H434,LevelList,0))+(INDEX(LevelBasic,MATCH($H434,LevelList,0))+INDEX(LevelHousing,MATCH($H434,LevelList,0)))*GosiSaudi,0))</f>
        <v>0</v>
      </c>
      <c r="W434" s="35" t="n">
        <f aca="false">IFERROR(INDEX(LevelOneOff,MATCH($H434,LevelList,0)),0)</f>
        <v>0</v>
      </c>
      <c r="X434" s="35" t="str">
        <f aca="false">IF($G434="","",$V434*N($L434))</f>
        <v/>
      </c>
      <c r="Y434" s="35" t="str">
        <f aca="false">IF($G434="","",$V434*(N($M434)*1+N($N434)*0.75+N($O434)*0.5+N($P434)*0.25)+$W434*N($L434))</f>
        <v/>
      </c>
      <c r="Z434" s="35" t="str">
        <f aca="false">IF($G434="","",$U434*1000000+ROW())</f>
        <v/>
      </c>
      <c r="AA434" s="36" t="str">
        <f aca="false">IF($G434="","",MID(IF($C434="",", no division","")&amp;IF($E434="",", no unit","")&amp;IF($H434="",", no career level","")&amp;IF(N($L434)&lt;=0,", no quarter split","")&amp;IF($R434="",", no driver","")&amp;IF(AND($H434&lt;&gt;"",COUNTIF(CareerLevels,$H434)=0),", a career level that is not on the ladder","")&amp;IF(AND($R434&lt;&gt;"",COUNTIF(DriverList,$R434)=0),", a driver that is not on the list","")&amp;IF(ABS(N($L434)-(N($M434)+N($N434)+N($O434)+N($P434)))&gt;0.001,", a total that does not match its quarters",""),3,300))</f>
        <v/>
      </c>
    </row>
    <row r="435" customFormat="false" ht="15" hidden="false" customHeight="false" outlineLevel="0" collapsed="false">
      <c r="A435" s="33" t="str">
        <f aca="false">IF($G435="","","Corporate Banking Group")</f>
        <v/>
      </c>
      <c r="B435" s="19"/>
      <c r="C435" s="19"/>
      <c r="D435" s="19"/>
      <c r="E435" s="19"/>
      <c r="F435" s="19"/>
      <c r="G435" s="19"/>
      <c r="H435" s="19"/>
      <c r="I435" s="19"/>
      <c r="J435" s="19"/>
      <c r="K435" s="19"/>
      <c r="L435" s="19"/>
      <c r="M435" s="19"/>
      <c r="N435" s="19"/>
      <c r="O435" s="19"/>
      <c r="P435" s="19"/>
      <c r="Q435" s="19"/>
      <c r="R435" s="19"/>
      <c r="S435" s="19"/>
      <c r="T435" s="34" t="str">
        <f aca="false">IF($R435="","",IFERROR(INDEX(DriverCategory,MATCH($R435,DriverList,0)),"BAU"))</f>
        <v/>
      </c>
      <c r="U435" s="34" t="str">
        <f aca="false">IF($R435="","",IFERROR(INDEX(DriverRank,MATCH($R435,DriverList,0)),99))</f>
        <v/>
      </c>
      <c r="V435" s="35" t="n">
        <f aca="false">IF($H435="",0,IFERROR(INDEX(LevelBasic,MATCH($H435,LevelList,0))+INDEX(LevelHousing,MATCH($H435,LevelList,0))+INDEX(LevelTransport,MATCH($H435,LevelList,0))+INDEX(LevelBasic,MATCH($H435,LevelList,0))*INDEX(LevelBonus,MATCH($H435,LevelList,0))+(INDEX(LevelBasic,MATCH($H435,LevelList,0))+INDEX(LevelHousing,MATCH($H435,LevelList,0)))*GosiSaudi,0))</f>
        <v>0</v>
      </c>
      <c r="W435" s="35" t="n">
        <f aca="false">IFERROR(INDEX(LevelOneOff,MATCH($H435,LevelList,0)),0)</f>
        <v>0</v>
      </c>
      <c r="X435" s="35" t="str">
        <f aca="false">IF($G435="","",$V435*N($L435))</f>
        <v/>
      </c>
      <c r="Y435" s="35" t="str">
        <f aca="false">IF($G435="","",$V435*(N($M435)*1+N($N435)*0.75+N($O435)*0.5+N($P435)*0.25)+$W435*N($L435))</f>
        <v/>
      </c>
      <c r="Z435" s="35" t="str">
        <f aca="false">IF($G435="","",$U435*1000000+ROW())</f>
        <v/>
      </c>
      <c r="AA435" s="36" t="str">
        <f aca="false">IF($G435="","",MID(IF($C435="",", no division","")&amp;IF($E435="",", no unit","")&amp;IF($H435="",", no career level","")&amp;IF(N($L435)&lt;=0,", no quarter split","")&amp;IF($R435="",", no driver","")&amp;IF(AND($H435&lt;&gt;"",COUNTIF(CareerLevels,$H435)=0),", a career level that is not on the ladder","")&amp;IF(AND($R435&lt;&gt;"",COUNTIF(DriverList,$R435)=0),", a driver that is not on the list","")&amp;IF(ABS(N($L435)-(N($M435)+N($N435)+N($O435)+N($P435)))&gt;0.001,", a total that does not match its quarters",""),3,300))</f>
        <v/>
      </c>
    </row>
    <row r="436" customFormat="false" ht="15" hidden="false" customHeight="false" outlineLevel="0" collapsed="false">
      <c r="A436" s="33" t="str">
        <f aca="false">IF($G436="","","Corporate Banking Group")</f>
        <v/>
      </c>
      <c r="B436" s="19"/>
      <c r="C436" s="19"/>
      <c r="D436" s="19"/>
      <c r="E436" s="19"/>
      <c r="F436" s="19"/>
      <c r="G436" s="19"/>
      <c r="H436" s="19"/>
      <c r="I436" s="19"/>
      <c r="J436" s="19"/>
      <c r="K436" s="19"/>
      <c r="L436" s="19"/>
      <c r="M436" s="19"/>
      <c r="N436" s="19"/>
      <c r="O436" s="19"/>
      <c r="P436" s="19"/>
      <c r="Q436" s="19"/>
      <c r="R436" s="19"/>
      <c r="S436" s="19"/>
      <c r="T436" s="34" t="str">
        <f aca="false">IF($R436="","",IFERROR(INDEX(DriverCategory,MATCH($R436,DriverList,0)),"BAU"))</f>
        <v/>
      </c>
      <c r="U436" s="34" t="str">
        <f aca="false">IF($R436="","",IFERROR(INDEX(DriverRank,MATCH($R436,DriverList,0)),99))</f>
        <v/>
      </c>
      <c r="V436" s="35" t="n">
        <f aca="false">IF($H436="",0,IFERROR(INDEX(LevelBasic,MATCH($H436,LevelList,0))+INDEX(LevelHousing,MATCH($H436,LevelList,0))+INDEX(LevelTransport,MATCH($H436,LevelList,0))+INDEX(LevelBasic,MATCH($H436,LevelList,0))*INDEX(LevelBonus,MATCH($H436,LevelList,0))+(INDEX(LevelBasic,MATCH($H436,LevelList,0))+INDEX(LevelHousing,MATCH($H436,LevelList,0)))*GosiSaudi,0))</f>
        <v>0</v>
      </c>
      <c r="W436" s="35" t="n">
        <f aca="false">IFERROR(INDEX(LevelOneOff,MATCH($H436,LevelList,0)),0)</f>
        <v>0</v>
      </c>
      <c r="X436" s="35" t="str">
        <f aca="false">IF($G436="","",$V436*N($L436))</f>
        <v/>
      </c>
      <c r="Y436" s="35" t="str">
        <f aca="false">IF($G436="","",$V436*(N($M436)*1+N($N436)*0.75+N($O436)*0.5+N($P436)*0.25)+$W436*N($L436))</f>
        <v/>
      </c>
      <c r="Z436" s="35" t="str">
        <f aca="false">IF($G436="","",$U436*1000000+ROW())</f>
        <v/>
      </c>
      <c r="AA436" s="36" t="str">
        <f aca="false">IF($G436="","",MID(IF($C436="",", no division","")&amp;IF($E436="",", no unit","")&amp;IF($H436="",", no career level","")&amp;IF(N($L436)&lt;=0,", no quarter split","")&amp;IF($R436="",", no driver","")&amp;IF(AND($H436&lt;&gt;"",COUNTIF(CareerLevels,$H436)=0),", a career level that is not on the ladder","")&amp;IF(AND($R436&lt;&gt;"",COUNTIF(DriverList,$R436)=0),", a driver that is not on the list","")&amp;IF(ABS(N($L436)-(N($M436)+N($N436)+N($O436)+N($P436)))&gt;0.001,", a total that does not match its quarters",""),3,300))</f>
        <v/>
      </c>
    </row>
    <row r="437" customFormat="false" ht="15" hidden="false" customHeight="false" outlineLevel="0" collapsed="false">
      <c r="A437" s="33" t="str">
        <f aca="false">IF($G437="","","Corporate Banking Group")</f>
        <v/>
      </c>
      <c r="B437" s="19"/>
      <c r="C437" s="19"/>
      <c r="D437" s="19"/>
      <c r="E437" s="19"/>
      <c r="F437" s="19"/>
      <c r="G437" s="19"/>
      <c r="H437" s="19"/>
      <c r="I437" s="19"/>
      <c r="J437" s="19"/>
      <c r="K437" s="19"/>
      <c r="L437" s="19"/>
      <c r="M437" s="19"/>
      <c r="N437" s="19"/>
      <c r="O437" s="19"/>
      <c r="P437" s="19"/>
      <c r="Q437" s="19"/>
      <c r="R437" s="19"/>
      <c r="S437" s="19"/>
      <c r="T437" s="34" t="str">
        <f aca="false">IF($R437="","",IFERROR(INDEX(DriverCategory,MATCH($R437,DriverList,0)),"BAU"))</f>
        <v/>
      </c>
      <c r="U437" s="34" t="str">
        <f aca="false">IF($R437="","",IFERROR(INDEX(DriverRank,MATCH($R437,DriverList,0)),99))</f>
        <v/>
      </c>
      <c r="V437" s="35" t="n">
        <f aca="false">IF($H437="",0,IFERROR(INDEX(LevelBasic,MATCH($H437,LevelList,0))+INDEX(LevelHousing,MATCH($H437,LevelList,0))+INDEX(LevelTransport,MATCH($H437,LevelList,0))+INDEX(LevelBasic,MATCH($H437,LevelList,0))*INDEX(LevelBonus,MATCH($H437,LevelList,0))+(INDEX(LevelBasic,MATCH($H437,LevelList,0))+INDEX(LevelHousing,MATCH($H437,LevelList,0)))*GosiSaudi,0))</f>
        <v>0</v>
      </c>
      <c r="W437" s="35" t="n">
        <f aca="false">IFERROR(INDEX(LevelOneOff,MATCH($H437,LevelList,0)),0)</f>
        <v>0</v>
      </c>
      <c r="X437" s="35" t="str">
        <f aca="false">IF($G437="","",$V437*N($L437))</f>
        <v/>
      </c>
      <c r="Y437" s="35" t="str">
        <f aca="false">IF($G437="","",$V437*(N($M437)*1+N($N437)*0.75+N($O437)*0.5+N($P437)*0.25)+$W437*N($L437))</f>
        <v/>
      </c>
      <c r="Z437" s="35" t="str">
        <f aca="false">IF($G437="","",$U437*1000000+ROW())</f>
        <v/>
      </c>
      <c r="AA437" s="36" t="str">
        <f aca="false">IF($G437="","",MID(IF($C437="",", no division","")&amp;IF($E437="",", no unit","")&amp;IF($H437="",", no career level","")&amp;IF(N($L437)&lt;=0,", no quarter split","")&amp;IF($R437="",", no driver","")&amp;IF(AND($H437&lt;&gt;"",COUNTIF(CareerLevels,$H437)=0),", a career level that is not on the ladder","")&amp;IF(AND($R437&lt;&gt;"",COUNTIF(DriverList,$R437)=0),", a driver that is not on the list","")&amp;IF(ABS(N($L437)-(N($M437)+N($N437)+N($O437)+N($P437)))&gt;0.001,", a total that does not match its quarters",""),3,300))</f>
        <v/>
      </c>
    </row>
    <row r="438" customFormat="false" ht="15" hidden="false" customHeight="false" outlineLevel="0" collapsed="false">
      <c r="A438" s="33" t="str">
        <f aca="false">IF($G438="","","Corporate Banking Group")</f>
        <v/>
      </c>
      <c r="B438" s="19"/>
      <c r="C438" s="19"/>
      <c r="D438" s="19"/>
      <c r="E438" s="19"/>
      <c r="F438" s="19"/>
      <c r="G438" s="19"/>
      <c r="H438" s="19"/>
      <c r="I438" s="19"/>
      <c r="J438" s="19"/>
      <c r="K438" s="19"/>
      <c r="L438" s="19"/>
      <c r="M438" s="19"/>
      <c r="N438" s="19"/>
      <c r="O438" s="19"/>
      <c r="P438" s="19"/>
      <c r="Q438" s="19"/>
      <c r="R438" s="19"/>
      <c r="S438" s="19"/>
      <c r="T438" s="34" t="str">
        <f aca="false">IF($R438="","",IFERROR(INDEX(DriverCategory,MATCH($R438,DriverList,0)),"BAU"))</f>
        <v/>
      </c>
      <c r="U438" s="34" t="str">
        <f aca="false">IF($R438="","",IFERROR(INDEX(DriverRank,MATCH($R438,DriverList,0)),99))</f>
        <v/>
      </c>
      <c r="V438" s="35" t="n">
        <f aca="false">IF($H438="",0,IFERROR(INDEX(LevelBasic,MATCH($H438,LevelList,0))+INDEX(LevelHousing,MATCH($H438,LevelList,0))+INDEX(LevelTransport,MATCH($H438,LevelList,0))+INDEX(LevelBasic,MATCH($H438,LevelList,0))*INDEX(LevelBonus,MATCH($H438,LevelList,0))+(INDEX(LevelBasic,MATCH($H438,LevelList,0))+INDEX(LevelHousing,MATCH($H438,LevelList,0)))*GosiSaudi,0))</f>
        <v>0</v>
      </c>
      <c r="W438" s="35" t="n">
        <f aca="false">IFERROR(INDEX(LevelOneOff,MATCH($H438,LevelList,0)),0)</f>
        <v>0</v>
      </c>
      <c r="X438" s="35" t="str">
        <f aca="false">IF($G438="","",$V438*N($L438))</f>
        <v/>
      </c>
      <c r="Y438" s="35" t="str">
        <f aca="false">IF($G438="","",$V438*(N($M438)*1+N($N438)*0.75+N($O438)*0.5+N($P438)*0.25)+$W438*N($L438))</f>
        <v/>
      </c>
      <c r="Z438" s="35" t="str">
        <f aca="false">IF($G438="","",$U438*1000000+ROW())</f>
        <v/>
      </c>
      <c r="AA438" s="36" t="str">
        <f aca="false">IF($G438="","",MID(IF($C438="",", no division","")&amp;IF($E438="",", no unit","")&amp;IF($H438="",", no career level","")&amp;IF(N($L438)&lt;=0,", no quarter split","")&amp;IF($R438="",", no driver","")&amp;IF(AND($H438&lt;&gt;"",COUNTIF(CareerLevels,$H438)=0),", a career level that is not on the ladder","")&amp;IF(AND($R438&lt;&gt;"",COUNTIF(DriverList,$R438)=0),", a driver that is not on the list","")&amp;IF(ABS(N($L438)-(N($M438)+N($N438)+N($O438)+N($P438)))&gt;0.001,", a total that does not match its quarters",""),3,300))</f>
        <v/>
      </c>
    </row>
    <row r="439" customFormat="false" ht="15" hidden="false" customHeight="false" outlineLevel="0" collapsed="false">
      <c r="A439" s="33" t="str">
        <f aca="false">IF($G439="","","Corporate Banking Group")</f>
        <v/>
      </c>
      <c r="B439" s="19"/>
      <c r="C439" s="19"/>
      <c r="D439" s="19"/>
      <c r="E439" s="19"/>
      <c r="F439" s="19"/>
      <c r="G439" s="19"/>
      <c r="H439" s="19"/>
      <c r="I439" s="19"/>
      <c r="J439" s="19"/>
      <c r="K439" s="19"/>
      <c r="L439" s="19"/>
      <c r="M439" s="19"/>
      <c r="N439" s="19"/>
      <c r="O439" s="19"/>
      <c r="P439" s="19"/>
      <c r="Q439" s="19"/>
      <c r="R439" s="19"/>
      <c r="S439" s="19"/>
      <c r="T439" s="34" t="str">
        <f aca="false">IF($R439="","",IFERROR(INDEX(DriverCategory,MATCH($R439,DriverList,0)),"BAU"))</f>
        <v/>
      </c>
      <c r="U439" s="34" t="str">
        <f aca="false">IF($R439="","",IFERROR(INDEX(DriverRank,MATCH($R439,DriverList,0)),99))</f>
        <v/>
      </c>
      <c r="V439" s="35" t="n">
        <f aca="false">IF($H439="",0,IFERROR(INDEX(LevelBasic,MATCH($H439,LevelList,0))+INDEX(LevelHousing,MATCH($H439,LevelList,0))+INDEX(LevelTransport,MATCH($H439,LevelList,0))+INDEX(LevelBasic,MATCH($H439,LevelList,0))*INDEX(LevelBonus,MATCH($H439,LevelList,0))+(INDEX(LevelBasic,MATCH($H439,LevelList,0))+INDEX(LevelHousing,MATCH($H439,LevelList,0)))*GosiSaudi,0))</f>
        <v>0</v>
      </c>
      <c r="W439" s="35" t="n">
        <f aca="false">IFERROR(INDEX(LevelOneOff,MATCH($H439,LevelList,0)),0)</f>
        <v>0</v>
      </c>
      <c r="X439" s="35" t="str">
        <f aca="false">IF($G439="","",$V439*N($L439))</f>
        <v/>
      </c>
      <c r="Y439" s="35" t="str">
        <f aca="false">IF($G439="","",$V439*(N($M439)*1+N($N439)*0.75+N($O439)*0.5+N($P439)*0.25)+$W439*N($L439))</f>
        <v/>
      </c>
      <c r="Z439" s="35" t="str">
        <f aca="false">IF($G439="","",$U439*1000000+ROW())</f>
        <v/>
      </c>
      <c r="AA439" s="36" t="str">
        <f aca="false">IF($G439="","",MID(IF($C439="",", no division","")&amp;IF($E439="",", no unit","")&amp;IF($H439="",", no career level","")&amp;IF(N($L439)&lt;=0,", no quarter split","")&amp;IF($R439="",", no driver","")&amp;IF(AND($H439&lt;&gt;"",COUNTIF(CareerLevels,$H439)=0),", a career level that is not on the ladder","")&amp;IF(AND($R439&lt;&gt;"",COUNTIF(DriverList,$R439)=0),", a driver that is not on the list","")&amp;IF(ABS(N($L439)-(N($M439)+N($N439)+N($O439)+N($P439)))&gt;0.001,", a total that does not match its quarters",""),3,300))</f>
        <v/>
      </c>
    </row>
    <row r="440" customFormat="false" ht="15" hidden="false" customHeight="false" outlineLevel="0" collapsed="false">
      <c r="A440" s="33" t="str">
        <f aca="false">IF($G440="","","Corporate Banking Group")</f>
        <v/>
      </c>
      <c r="B440" s="19"/>
      <c r="C440" s="19"/>
      <c r="D440" s="19"/>
      <c r="E440" s="19"/>
      <c r="F440" s="19"/>
      <c r="G440" s="19"/>
      <c r="H440" s="19"/>
      <c r="I440" s="19"/>
      <c r="J440" s="19"/>
      <c r="K440" s="19"/>
      <c r="L440" s="19"/>
      <c r="M440" s="19"/>
      <c r="N440" s="19"/>
      <c r="O440" s="19"/>
      <c r="P440" s="19"/>
      <c r="Q440" s="19"/>
      <c r="R440" s="19"/>
      <c r="S440" s="19"/>
      <c r="T440" s="34" t="str">
        <f aca="false">IF($R440="","",IFERROR(INDEX(DriverCategory,MATCH($R440,DriverList,0)),"BAU"))</f>
        <v/>
      </c>
      <c r="U440" s="34" t="str">
        <f aca="false">IF($R440="","",IFERROR(INDEX(DriverRank,MATCH($R440,DriverList,0)),99))</f>
        <v/>
      </c>
      <c r="V440" s="35" t="n">
        <f aca="false">IF($H440="",0,IFERROR(INDEX(LevelBasic,MATCH($H440,LevelList,0))+INDEX(LevelHousing,MATCH($H440,LevelList,0))+INDEX(LevelTransport,MATCH($H440,LevelList,0))+INDEX(LevelBasic,MATCH($H440,LevelList,0))*INDEX(LevelBonus,MATCH($H440,LevelList,0))+(INDEX(LevelBasic,MATCH($H440,LevelList,0))+INDEX(LevelHousing,MATCH($H440,LevelList,0)))*GosiSaudi,0))</f>
        <v>0</v>
      </c>
      <c r="W440" s="35" t="n">
        <f aca="false">IFERROR(INDEX(LevelOneOff,MATCH($H440,LevelList,0)),0)</f>
        <v>0</v>
      </c>
      <c r="X440" s="35" t="str">
        <f aca="false">IF($G440="","",$V440*N($L440))</f>
        <v/>
      </c>
      <c r="Y440" s="35" t="str">
        <f aca="false">IF($G440="","",$V440*(N($M440)*1+N($N440)*0.75+N($O440)*0.5+N($P440)*0.25)+$W440*N($L440))</f>
        <v/>
      </c>
      <c r="Z440" s="35" t="str">
        <f aca="false">IF($G440="","",$U440*1000000+ROW())</f>
        <v/>
      </c>
      <c r="AA440" s="36" t="str">
        <f aca="false">IF($G440="","",MID(IF($C440="",", no division","")&amp;IF($E440="",", no unit","")&amp;IF($H440="",", no career level","")&amp;IF(N($L440)&lt;=0,", no quarter split","")&amp;IF($R440="",", no driver","")&amp;IF(AND($H440&lt;&gt;"",COUNTIF(CareerLevels,$H440)=0),", a career level that is not on the ladder","")&amp;IF(AND($R440&lt;&gt;"",COUNTIF(DriverList,$R440)=0),", a driver that is not on the list","")&amp;IF(ABS(N($L440)-(N($M440)+N($N440)+N($O440)+N($P440)))&gt;0.001,", a total that does not match its quarters",""),3,300))</f>
        <v/>
      </c>
    </row>
    <row r="441" customFormat="false" ht="15" hidden="false" customHeight="false" outlineLevel="0" collapsed="false">
      <c r="A441" s="33" t="str">
        <f aca="false">IF($G441="","","Corporate Banking Group")</f>
        <v/>
      </c>
      <c r="B441" s="19"/>
      <c r="C441" s="19"/>
      <c r="D441" s="19"/>
      <c r="E441" s="19"/>
      <c r="F441" s="19"/>
      <c r="G441" s="19"/>
      <c r="H441" s="19"/>
      <c r="I441" s="19"/>
      <c r="J441" s="19"/>
      <c r="K441" s="19"/>
      <c r="L441" s="19"/>
      <c r="M441" s="19"/>
      <c r="N441" s="19"/>
      <c r="O441" s="19"/>
      <c r="P441" s="19"/>
      <c r="Q441" s="19"/>
      <c r="R441" s="19"/>
      <c r="S441" s="19"/>
      <c r="T441" s="34" t="str">
        <f aca="false">IF($R441="","",IFERROR(INDEX(DriverCategory,MATCH($R441,DriverList,0)),"BAU"))</f>
        <v/>
      </c>
      <c r="U441" s="34" t="str">
        <f aca="false">IF($R441="","",IFERROR(INDEX(DriverRank,MATCH($R441,DriverList,0)),99))</f>
        <v/>
      </c>
      <c r="V441" s="35" t="n">
        <f aca="false">IF($H441="",0,IFERROR(INDEX(LevelBasic,MATCH($H441,LevelList,0))+INDEX(LevelHousing,MATCH($H441,LevelList,0))+INDEX(LevelTransport,MATCH($H441,LevelList,0))+INDEX(LevelBasic,MATCH($H441,LevelList,0))*INDEX(LevelBonus,MATCH($H441,LevelList,0))+(INDEX(LevelBasic,MATCH($H441,LevelList,0))+INDEX(LevelHousing,MATCH($H441,LevelList,0)))*GosiSaudi,0))</f>
        <v>0</v>
      </c>
      <c r="W441" s="35" t="n">
        <f aca="false">IFERROR(INDEX(LevelOneOff,MATCH($H441,LevelList,0)),0)</f>
        <v>0</v>
      </c>
      <c r="X441" s="35" t="str">
        <f aca="false">IF($G441="","",$V441*N($L441))</f>
        <v/>
      </c>
      <c r="Y441" s="35" t="str">
        <f aca="false">IF($G441="","",$V441*(N($M441)*1+N($N441)*0.75+N($O441)*0.5+N($P441)*0.25)+$W441*N($L441))</f>
        <v/>
      </c>
      <c r="Z441" s="35" t="str">
        <f aca="false">IF($G441="","",$U441*1000000+ROW())</f>
        <v/>
      </c>
      <c r="AA441" s="36" t="str">
        <f aca="false">IF($G441="","",MID(IF($C441="",", no division","")&amp;IF($E441="",", no unit","")&amp;IF($H441="",", no career level","")&amp;IF(N($L441)&lt;=0,", no quarter split","")&amp;IF($R441="",", no driver","")&amp;IF(AND($H441&lt;&gt;"",COUNTIF(CareerLevels,$H441)=0),", a career level that is not on the ladder","")&amp;IF(AND($R441&lt;&gt;"",COUNTIF(DriverList,$R441)=0),", a driver that is not on the list","")&amp;IF(ABS(N($L441)-(N($M441)+N($N441)+N($O441)+N($P441)))&gt;0.001,", a total that does not match its quarters",""),3,300))</f>
        <v/>
      </c>
    </row>
    <row r="442" customFormat="false" ht="15" hidden="false" customHeight="false" outlineLevel="0" collapsed="false">
      <c r="A442" s="33" t="str">
        <f aca="false">IF($G442="","","Corporate Banking Group")</f>
        <v/>
      </c>
      <c r="B442" s="19"/>
      <c r="C442" s="19"/>
      <c r="D442" s="19"/>
      <c r="E442" s="19"/>
      <c r="F442" s="19"/>
      <c r="G442" s="19"/>
      <c r="H442" s="19"/>
      <c r="I442" s="19"/>
      <c r="J442" s="19"/>
      <c r="K442" s="19"/>
      <c r="L442" s="19"/>
      <c r="M442" s="19"/>
      <c r="N442" s="19"/>
      <c r="O442" s="19"/>
      <c r="P442" s="19"/>
      <c r="Q442" s="19"/>
      <c r="R442" s="19"/>
      <c r="S442" s="19"/>
      <c r="T442" s="34" t="str">
        <f aca="false">IF($R442="","",IFERROR(INDEX(DriverCategory,MATCH($R442,DriverList,0)),"BAU"))</f>
        <v/>
      </c>
      <c r="U442" s="34" t="str">
        <f aca="false">IF($R442="","",IFERROR(INDEX(DriverRank,MATCH($R442,DriverList,0)),99))</f>
        <v/>
      </c>
      <c r="V442" s="35" t="n">
        <f aca="false">IF($H442="",0,IFERROR(INDEX(LevelBasic,MATCH($H442,LevelList,0))+INDEX(LevelHousing,MATCH($H442,LevelList,0))+INDEX(LevelTransport,MATCH($H442,LevelList,0))+INDEX(LevelBasic,MATCH($H442,LevelList,0))*INDEX(LevelBonus,MATCH($H442,LevelList,0))+(INDEX(LevelBasic,MATCH($H442,LevelList,0))+INDEX(LevelHousing,MATCH($H442,LevelList,0)))*GosiSaudi,0))</f>
        <v>0</v>
      </c>
      <c r="W442" s="35" t="n">
        <f aca="false">IFERROR(INDEX(LevelOneOff,MATCH($H442,LevelList,0)),0)</f>
        <v>0</v>
      </c>
      <c r="X442" s="35" t="str">
        <f aca="false">IF($G442="","",$V442*N($L442))</f>
        <v/>
      </c>
      <c r="Y442" s="35" t="str">
        <f aca="false">IF($G442="","",$V442*(N($M442)*1+N($N442)*0.75+N($O442)*0.5+N($P442)*0.25)+$W442*N($L442))</f>
        <v/>
      </c>
      <c r="Z442" s="35" t="str">
        <f aca="false">IF($G442="","",$U442*1000000+ROW())</f>
        <v/>
      </c>
      <c r="AA442" s="36" t="str">
        <f aca="false">IF($G442="","",MID(IF($C442="",", no division","")&amp;IF($E442="",", no unit","")&amp;IF($H442="",", no career level","")&amp;IF(N($L442)&lt;=0,", no quarter split","")&amp;IF($R442="",", no driver","")&amp;IF(AND($H442&lt;&gt;"",COUNTIF(CareerLevels,$H442)=0),", a career level that is not on the ladder","")&amp;IF(AND($R442&lt;&gt;"",COUNTIF(DriverList,$R442)=0),", a driver that is not on the list","")&amp;IF(ABS(N($L442)-(N($M442)+N($N442)+N($O442)+N($P442)))&gt;0.001,", a total that does not match its quarters",""),3,300))</f>
        <v/>
      </c>
    </row>
    <row r="443" customFormat="false" ht="15" hidden="false" customHeight="false" outlineLevel="0" collapsed="false">
      <c r="A443" s="33" t="str">
        <f aca="false">IF($G443="","","Corporate Banking Group")</f>
        <v/>
      </c>
      <c r="B443" s="19"/>
      <c r="C443" s="19"/>
      <c r="D443" s="19"/>
      <c r="E443" s="19"/>
      <c r="F443" s="19"/>
      <c r="G443" s="19"/>
      <c r="H443" s="19"/>
      <c r="I443" s="19"/>
      <c r="J443" s="19"/>
      <c r="K443" s="19"/>
      <c r="L443" s="19"/>
      <c r="M443" s="19"/>
      <c r="N443" s="19"/>
      <c r="O443" s="19"/>
      <c r="P443" s="19"/>
      <c r="Q443" s="19"/>
      <c r="R443" s="19"/>
      <c r="S443" s="19"/>
      <c r="T443" s="34" t="str">
        <f aca="false">IF($R443="","",IFERROR(INDEX(DriverCategory,MATCH($R443,DriverList,0)),"BAU"))</f>
        <v/>
      </c>
      <c r="U443" s="34" t="str">
        <f aca="false">IF($R443="","",IFERROR(INDEX(DriverRank,MATCH($R443,DriverList,0)),99))</f>
        <v/>
      </c>
      <c r="V443" s="35" t="n">
        <f aca="false">IF($H443="",0,IFERROR(INDEX(LevelBasic,MATCH($H443,LevelList,0))+INDEX(LevelHousing,MATCH($H443,LevelList,0))+INDEX(LevelTransport,MATCH($H443,LevelList,0))+INDEX(LevelBasic,MATCH($H443,LevelList,0))*INDEX(LevelBonus,MATCH($H443,LevelList,0))+(INDEX(LevelBasic,MATCH($H443,LevelList,0))+INDEX(LevelHousing,MATCH($H443,LevelList,0)))*GosiSaudi,0))</f>
        <v>0</v>
      </c>
      <c r="W443" s="35" t="n">
        <f aca="false">IFERROR(INDEX(LevelOneOff,MATCH($H443,LevelList,0)),0)</f>
        <v>0</v>
      </c>
      <c r="X443" s="35" t="str">
        <f aca="false">IF($G443="","",$V443*N($L443))</f>
        <v/>
      </c>
      <c r="Y443" s="35" t="str">
        <f aca="false">IF($G443="","",$V443*(N($M443)*1+N($N443)*0.75+N($O443)*0.5+N($P443)*0.25)+$W443*N($L443))</f>
        <v/>
      </c>
      <c r="Z443" s="35" t="str">
        <f aca="false">IF($G443="","",$U443*1000000+ROW())</f>
        <v/>
      </c>
      <c r="AA443" s="36" t="str">
        <f aca="false">IF($G443="","",MID(IF($C443="",", no division","")&amp;IF($E443="",", no unit","")&amp;IF($H443="",", no career level","")&amp;IF(N($L443)&lt;=0,", no quarter split","")&amp;IF($R443="",", no driver","")&amp;IF(AND($H443&lt;&gt;"",COUNTIF(CareerLevels,$H443)=0),", a career level that is not on the ladder","")&amp;IF(AND($R443&lt;&gt;"",COUNTIF(DriverList,$R443)=0),", a driver that is not on the list","")&amp;IF(ABS(N($L443)-(N($M443)+N($N443)+N($O443)+N($P443)))&gt;0.001,", a total that does not match its quarters",""),3,300))</f>
        <v/>
      </c>
    </row>
    <row r="444" customFormat="false" ht="15" hidden="false" customHeight="false" outlineLevel="0" collapsed="false">
      <c r="A444" s="33" t="str">
        <f aca="false">IF($G444="","","Corporate Banking Group")</f>
        <v/>
      </c>
      <c r="B444" s="19"/>
      <c r="C444" s="19"/>
      <c r="D444" s="19"/>
      <c r="E444" s="19"/>
      <c r="F444" s="19"/>
      <c r="G444" s="19"/>
      <c r="H444" s="19"/>
      <c r="I444" s="19"/>
      <c r="J444" s="19"/>
      <c r="K444" s="19"/>
      <c r="L444" s="19"/>
      <c r="M444" s="19"/>
      <c r="N444" s="19"/>
      <c r="O444" s="19"/>
      <c r="P444" s="19"/>
      <c r="Q444" s="19"/>
      <c r="R444" s="19"/>
      <c r="S444" s="19"/>
      <c r="T444" s="34" t="str">
        <f aca="false">IF($R444="","",IFERROR(INDEX(DriverCategory,MATCH($R444,DriverList,0)),"BAU"))</f>
        <v/>
      </c>
      <c r="U444" s="34" t="str">
        <f aca="false">IF($R444="","",IFERROR(INDEX(DriverRank,MATCH($R444,DriverList,0)),99))</f>
        <v/>
      </c>
      <c r="V444" s="35" t="n">
        <f aca="false">IF($H444="",0,IFERROR(INDEX(LevelBasic,MATCH($H444,LevelList,0))+INDEX(LevelHousing,MATCH($H444,LevelList,0))+INDEX(LevelTransport,MATCH($H444,LevelList,0))+INDEX(LevelBasic,MATCH($H444,LevelList,0))*INDEX(LevelBonus,MATCH($H444,LevelList,0))+(INDEX(LevelBasic,MATCH($H444,LevelList,0))+INDEX(LevelHousing,MATCH($H444,LevelList,0)))*GosiSaudi,0))</f>
        <v>0</v>
      </c>
      <c r="W444" s="35" t="n">
        <f aca="false">IFERROR(INDEX(LevelOneOff,MATCH($H444,LevelList,0)),0)</f>
        <v>0</v>
      </c>
      <c r="X444" s="35" t="str">
        <f aca="false">IF($G444="","",$V444*N($L444))</f>
        <v/>
      </c>
      <c r="Y444" s="35" t="str">
        <f aca="false">IF($G444="","",$V444*(N($M444)*1+N($N444)*0.75+N($O444)*0.5+N($P444)*0.25)+$W444*N($L444))</f>
        <v/>
      </c>
      <c r="Z444" s="35" t="str">
        <f aca="false">IF($G444="","",$U444*1000000+ROW())</f>
        <v/>
      </c>
      <c r="AA444" s="36" t="str">
        <f aca="false">IF($G444="","",MID(IF($C444="",", no division","")&amp;IF($E444="",", no unit","")&amp;IF($H444="",", no career level","")&amp;IF(N($L444)&lt;=0,", no quarter split","")&amp;IF($R444="",", no driver","")&amp;IF(AND($H444&lt;&gt;"",COUNTIF(CareerLevels,$H444)=0),", a career level that is not on the ladder","")&amp;IF(AND($R444&lt;&gt;"",COUNTIF(DriverList,$R444)=0),", a driver that is not on the list","")&amp;IF(ABS(N($L444)-(N($M444)+N($N444)+N($O444)+N($P444)))&gt;0.001,", a total that does not match its quarters",""),3,300))</f>
        <v/>
      </c>
    </row>
    <row r="445" customFormat="false" ht="15" hidden="false" customHeight="false" outlineLevel="0" collapsed="false">
      <c r="A445" s="33" t="str">
        <f aca="false">IF($G445="","","Corporate Banking Group")</f>
        <v/>
      </c>
      <c r="B445" s="19"/>
      <c r="C445" s="19"/>
      <c r="D445" s="19"/>
      <c r="E445" s="19"/>
      <c r="F445" s="19"/>
      <c r="G445" s="19"/>
      <c r="H445" s="19"/>
      <c r="I445" s="19"/>
      <c r="J445" s="19"/>
      <c r="K445" s="19"/>
      <c r="L445" s="19"/>
      <c r="M445" s="19"/>
      <c r="N445" s="19"/>
      <c r="O445" s="19"/>
      <c r="P445" s="19"/>
      <c r="Q445" s="19"/>
      <c r="R445" s="19"/>
      <c r="S445" s="19"/>
      <c r="T445" s="34" t="str">
        <f aca="false">IF($R445="","",IFERROR(INDEX(DriverCategory,MATCH($R445,DriverList,0)),"BAU"))</f>
        <v/>
      </c>
      <c r="U445" s="34" t="str">
        <f aca="false">IF($R445="","",IFERROR(INDEX(DriverRank,MATCH($R445,DriverList,0)),99))</f>
        <v/>
      </c>
      <c r="V445" s="35" t="n">
        <f aca="false">IF($H445="",0,IFERROR(INDEX(LevelBasic,MATCH($H445,LevelList,0))+INDEX(LevelHousing,MATCH($H445,LevelList,0))+INDEX(LevelTransport,MATCH($H445,LevelList,0))+INDEX(LevelBasic,MATCH($H445,LevelList,0))*INDEX(LevelBonus,MATCH($H445,LevelList,0))+(INDEX(LevelBasic,MATCH($H445,LevelList,0))+INDEX(LevelHousing,MATCH($H445,LevelList,0)))*GosiSaudi,0))</f>
        <v>0</v>
      </c>
      <c r="W445" s="35" t="n">
        <f aca="false">IFERROR(INDEX(LevelOneOff,MATCH($H445,LevelList,0)),0)</f>
        <v>0</v>
      </c>
      <c r="X445" s="35" t="str">
        <f aca="false">IF($G445="","",$V445*N($L445))</f>
        <v/>
      </c>
      <c r="Y445" s="35" t="str">
        <f aca="false">IF($G445="","",$V445*(N($M445)*1+N($N445)*0.75+N($O445)*0.5+N($P445)*0.25)+$W445*N($L445))</f>
        <v/>
      </c>
      <c r="Z445" s="35" t="str">
        <f aca="false">IF($G445="","",$U445*1000000+ROW())</f>
        <v/>
      </c>
      <c r="AA445" s="36" t="str">
        <f aca="false">IF($G445="","",MID(IF($C445="",", no division","")&amp;IF($E445="",", no unit","")&amp;IF($H445="",", no career level","")&amp;IF(N($L445)&lt;=0,", no quarter split","")&amp;IF($R445="",", no driver","")&amp;IF(AND($H445&lt;&gt;"",COUNTIF(CareerLevels,$H445)=0),", a career level that is not on the ladder","")&amp;IF(AND($R445&lt;&gt;"",COUNTIF(DriverList,$R445)=0),", a driver that is not on the list","")&amp;IF(ABS(N($L445)-(N($M445)+N($N445)+N($O445)+N($P445)))&gt;0.001,", a total that does not match its quarters",""),3,300))</f>
        <v/>
      </c>
    </row>
    <row r="446" customFormat="false" ht="15" hidden="false" customHeight="false" outlineLevel="0" collapsed="false">
      <c r="A446" s="33" t="str">
        <f aca="false">IF($G446="","","Corporate Banking Group")</f>
        <v/>
      </c>
      <c r="B446" s="19"/>
      <c r="C446" s="19"/>
      <c r="D446" s="19"/>
      <c r="E446" s="19"/>
      <c r="F446" s="19"/>
      <c r="G446" s="19"/>
      <c r="H446" s="19"/>
      <c r="I446" s="19"/>
      <c r="J446" s="19"/>
      <c r="K446" s="19"/>
      <c r="L446" s="19"/>
      <c r="M446" s="19"/>
      <c r="N446" s="19"/>
      <c r="O446" s="19"/>
      <c r="P446" s="19"/>
      <c r="Q446" s="19"/>
      <c r="R446" s="19"/>
      <c r="S446" s="19"/>
      <c r="T446" s="34" t="str">
        <f aca="false">IF($R446="","",IFERROR(INDEX(DriverCategory,MATCH($R446,DriverList,0)),"BAU"))</f>
        <v/>
      </c>
      <c r="U446" s="34" t="str">
        <f aca="false">IF($R446="","",IFERROR(INDEX(DriverRank,MATCH($R446,DriverList,0)),99))</f>
        <v/>
      </c>
      <c r="V446" s="35" t="n">
        <f aca="false">IF($H446="",0,IFERROR(INDEX(LevelBasic,MATCH($H446,LevelList,0))+INDEX(LevelHousing,MATCH($H446,LevelList,0))+INDEX(LevelTransport,MATCH($H446,LevelList,0))+INDEX(LevelBasic,MATCH($H446,LevelList,0))*INDEX(LevelBonus,MATCH($H446,LevelList,0))+(INDEX(LevelBasic,MATCH($H446,LevelList,0))+INDEX(LevelHousing,MATCH($H446,LevelList,0)))*GosiSaudi,0))</f>
        <v>0</v>
      </c>
      <c r="W446" s="35" t="n">
        <f aca="false">IFERROR(INDEX(LevelOneOff,MATCH($H446,LevelList,0)),0)</f>
        <v>0</v>
      </c>
      <c r="X446" s="35" t="str">
        <f aca="false">IF($G446="","",$V446*N($L446))</f>
        <v/>
      </c>
      <c r="Y446" s="35" t="str">
        <f aca="false">IF($G446="","",$V446*(N($M446)*1+N($N446)*0.75+N($O446)*0.5+N($P446)*0.25)+$W446*N($L446))</f>
        <v/>
      </c>
      <c r="Z446" s="35" t="str">
        <f aca="false">IF($G446="","",$U446*1000000+ROW())</f>
        <v/>
      </c>
      <c r="AA446" s="36" t="str">
        <f aca="false">IF($G446="","",MID(IF($C446="",", no division","")&amp;IF($E446="",", no unit","")&amp;IF($H446="",", no career level","")&amp;IF(N($L446)&lt;=0,", no quarter split","")&amp;IF($R446="",", no driver","")&amp;IF(AND($H446&lt;&gt;"",COUNTIF(CareerLevels,$H446)=0),", a career level that is not on the ladder","")&amp;IF(AND($R446&lt;&gt;"",COUNTIF(DriverList,$R446)=0),", a driver that is not on the list","")&amp;IF(ABS(N($L446)-(N($M446)+N($N446)+N($O446)+N($P446)))&gt;0.001,", a total that does not match its quarters",""),3,300))</f>
        <v/>
      </c>
    </row>
    <row r="447" customFormat="false" ht="15" hidden="false" customHeight="false" outlineLevel="0" collapsed="false">
      <c r="A447" s="33" t="str">
        <f aca="false">IF($G447="","","Corporate Banking Group")</f>
        <v/>
      </c>
      <c r="B447" s="19"/>
      <c r="C447" s="19"/>
      <c r="D447" s="19"/>
      <c r="E447" s="19"/>
      <c r="F447" s="19"/>
      <c r="G447" s="19"/>
      <c r="H447" s="19"/>
      <c r="I447" s="19"/>
      <c r="J447" s="19"/>
      <c r="K447" s="19"/>
      <c r="L447" s="19"/>
      <c r="M447" s="19"/>
      <c r="N447" s="19"/>
      <c r="O447" s="19"/>
      <c r="P447" s="19"/>
      <c r="Q447" s="19"/>
      <c r="R447" s="19"/>
      <c r="S447" s="19"/>
      <c r="T447" s="34" t="str">
        <f aca="false">IF($R447="","",IFERROR(INDEX(DriverCategory,MATCH($R447,DriverList,0)),"BAU"))</f>
        <v/>
      </c>
      <c r="U447" s="34" t="str">
        <f aca="false">IF($R447="","",IFERROR(INDEX(DriverRank,MATCH($R447,DriverList,0)),99))</f>
        <v/>
      </c>
      <c r="V447" s="35" t="n">
        <f aca="false">IF($H447="",0,IFERROR(INDEX(LevelBasic,MATCH($H447,LevelList,0))+INDEX(LevelHousing,MATCH($H447,LevelList,0))+INDEX(LevelTransport,MATCH($H447,LevelList,0))+INDEX(LevelBasic,MATCH($H447,LevelList,0))*INDEX(LevelBonus,MATCH($H447,LevelList,0))+(INDEX(LevelBasic,MATCH($H447,LevelList,0))+INDEX(LevelHousing,MATCH($H447,LevelList,0)))*GosiSaudi,0))</f>
        <v>0</v>
      </c>
      <c r="W447" s="35" t="n">
        <f aca="false">IFERROR(INDEX(LevelOneOff,MATCH($H447,LevelList,0)),0)</f>
        <v>0</v>
      </c>
      <c r="X447" s="35" t="str">
        <f aca="false">IF($G447="","",$V447*N($L447))</f>
        <v/>
      </c>
      <c r="Y447" s="35" t="str">
        <f aca="false">IF($G447="","",$V447*(N($M447)*1+N($N447)*0.75+N($O447)*0.5+N($P447)*0.25)+$W447*N($L447))</f>
        <v/>
      </c>
      <c r="Z447" s="35" t="str">
        <f aca="false">IF($G447="","",$U447*1000000+ROW())</f>
        <v/>
      </c>
      <c r="AA447" s="36" t="str">
        <f aca="false">IF($G447="","",MID(IF($C447="",", no division","")&amp;IF($E447="",", no unit","")&amp;IF($H447="",", no career level","")&amp;IF(N($L447)&lt;=0,", no quarter split","")&amp;IF($R447="",", no driver","")&amp;IF(AND($H447&lt;&gt;"",COUNTIF(CareerLevels,$H447)=0),", a career level that is not on the ladder","")&amp;IF(AND($R447&lt;&gt;"",COUNTIF(DriverList,$R447)=0),", a driver that is not on the list","")&amp;IF(ABS(N($L447)-(N($M447)+N($N447)+N($O447)+N($P447)))&gt;0.001,", a total that does not match its quarters",""),3,300))</f>
        <v/>
      </c>
    </row>
    <row r="448" customFormat="false" ht="15" hidden="false" customHeight="false" outlineLevel="0" collapsed="false">
      <c r="A448" s="33" t="str">
        <f aca="false">IF($G448="","","Corporate Banking Group")</f>
        <v/>
      </c>
      <c r="B448" s="19"/>
      <c r="C448" s="19"/>
      <c r="D448" s="19"/>
      <c r="E448" s="19"/>
      <c r="F448" s="19"/>
      <c r="G448" s="19"/>
      <c r="H448" s="19"/>
      <c r="I448" s="19"/>
      <c r="J448" s="19"/>
      <c r="K448" s="19"/>
      <c r="L448" s="19"/>
      <c r="M448" s="19"/>
      <c r="N448" s="19"/>
      <c r="O448" s="19"/>
      <c r="P448" s="19"/>
      <c r="Q448" s="19"/>
      <c r="R448" s="19"/>
      <c r="S448" s="19"/>
      <c r="T448" s="34" t="str">
        <f aca="false">IF($R448="","",IFERROR(INDEX(DriverCategory,MATCH($R448,DriverList,0)),"BAU"))</f>
        <v/>
      </c>
      <c r="U448" s="34" t="str">
        <f aca="false">IF($R448="","",IFERROR(INDEX(DriverRank,MATCH($R448,DriverList,0)),99))</f>
        <v/>
      </c>
      <c r="V448" s="35" t="n">
        <f aca="false">IF($H448="",0,IFERROR(INDEX(LevelBasic,MATCH($H448,LevelList,0))+INDEX(LevelHousing,MATCH($H448,LevelList,0))+INDEX(LevelTransport,MATCH($H448,LevelList,0))+INDEX(LevelBasic,MATCH($H448,LevelList,0))*INDEX(LevelBonus,MATCH($H448,LevelList,0))+(INDEX(LevelBasic,MATCH($H448,LevelList,0))+INDEX(LevelHousing,MATCH($H448,LevelList,0)))*GosiSaudi,0))</f>
        <v>0</v>
      </c>
      <c r="W448" s="35" t="n">
        <f aca="false">IFERROR(INDEX(LevelOneOff,MATCH($H448,LevelList,0)),0)</f>
        <v>0</v>
      </c>
      <c r="X448" s="35" t="str">
        <f aca="false">IF($G448="","",$V448*N($L448))</f>
        <v/>
      </c>
      <c r="Y448" s="35" t="str">
        <f aca="false">IF($G448="","",$V448*(N($M448)*1+N($N448)*0.75+N($O448)*0.5+N($P448)*0.25)+$W448*N($L448))</f>
        <v/>
      </c>
      <c r="Z448" s="35" t="str">
        <f aca="false">IF($G448="","",$U448*1000000+ROW())</f>
        <v/>
      </c>
      <c r="AA448" s="36" t="str">
        <f aca="false">IF($G448="","",MID(IF($C448="",", no division","")&amp;IF($E448="",", no unit","")&amp;IF($H448="",", no career level","")&amp;IF(N($L448)&lt;=0,", no quarter split","")&amp;IF($R448="",", no driver","")&amp;IF(AND($H448&lt;&gt;"",COUNTIF(CareerLevels,$H448)=0),", a career level that is not on the ladder","")&amp;IF(AND($R448&lt;&gt;"",COUNTIF(DriverList,$R448)=0),", a driver that is not on the list","")&amp;IF(ABS(N($L448)-(N($M448)+N($N448)+N($O448)+N($P448)))&gt;0.001,", a total that does not match its quarters",""),3,300))</f>
        <v/>
      </c>
    </row>
    <row r="449" customFormat="false" ht="15" hidden="false" customHeight="false" outlineLevel="0" collapsed="false">
      <c r="A449" s="33" t="str">
        <f aca="false">IF($G449="","","Corporate Banking Group")</f>
        <v/>
      </c>
      <c r="B449" s="19"/>
      <c r="C449" s="19"/>
      <c r="D449" s="19"/>
      <c r="E449" s="19"/>
      <c r="F449" s="19"/>
      <c r="G449" s="19"/>
      <c r="H449" s="19"/>
      <c r="I449" s="19"/>
      <c r="J449" s="19"/>
      <c r="K449" s="19"/>
      <c r="L449" s="19"/>
      <c r="M449" s="19"/>
      <c r="N449" s="19"/>
      <c r="O449" s="19"/>
      <c r="P449" s="19"/>
      <c r="Q449" s="19"/>
      <c r="R449" s="19"/>
      <c r="S449" s="19"/>
      <c r="T449" s="34" t="str">
        <f aca="false">IF($R449="","",IFERROR(INDEX(DriverCategory,MATCH($R449,DriverList,0)),"BAU"))</f>
        <v/>
      </c>
      <c r="U449" s="34" t="str">
        <f aca="false">IF($R449="","",IFERROR(INDEX(DriverRank,MATCH($R449,DriverList,0)),99))</f>
        <v/>
      </c>
      <c r="V449" s="35" t="n">
        <f aca="false">IF($H449="",0,IFERROR(INDEX(LevelBasic,MATCH($H449,LevelList,0))+INDEX(LevelHousing,MATCH($H449,LevelList,0))+INDEX(LevelTransport,MATCH($H449,LevelList,0))+INDEX(LevelBasic,MATCH($H449,LevelList,0))*INDEX(LevelBonus,MATCH($H449,LevelList,0))+(INDEX(LevelBasic,MATCH($H449,LevelList,0))+INDEX(LevelHousing,MATCH($H449,LevelList,0)))*GosiSaudi,0))</f>
        <v>0</v>
      </c>
      <c r="W449" s="35" t="n">
        <f aca="false">IFERROR(INDEX(LevelOneOff,MATCH($H449,LevelList,0)),0)</f>
        <v>0</v>
      </c>
      <c r="X449" s="35" t="str">
        <f aca="false">IF($G449="","",$V449*N($L449))</f>
        <v/>
      </c>
      <c r="Y449" s="35" t="str">
        <f aca="false">IF($G449="","",$V449*(N($M449)*1+N($N449)*0.75+N($O449)*0.5+N($P449)*0.25)+$W449*N($L449))</f>
        <v/>
      </c>
      <c r="Z449" s="35" t="str">
        <f aca="false">IF($G449="","",$U449*1000000+ROW())</f>
        <v/>
      </c>
      <c r="AA449" s="36" t="str">
        <f aca="false">IF($G449="","",MID(IF($C449="",", no division","")&amp;IF($E449="",", no unit","")&amp;IF($H449="",", no career level","")&amp;IF(N($L449)&lt;=0,", no quarter split","")&amp;IF($R449="",", no driver","")&amp;IF(AND($H449&lt;&gt;"",COUNTIF(CareerLevels,$H449)=0),", a career level that is not on the ladder","")&amp;IF(AND($R449&lt;&gt;"",COUNTIF(DriverList,$R449)=0),", a driver that is not on the list","")&amp;IF(ABS(N($L449)-(N($M449)+N($N449)+N($O449)+N($P449)))&gt;0.001,", a total that does not match its quarters",""),3,300))</f>
        <v/>
      </c>
    </row>
    <row r="450" customFormat="false" ht="15" hidden="false" customHeight="false" outlineLevel="0" collapsed="false">
      <c r="A450" s="33" t="str">
        <f aca="false">IF($G450="","","Corporate Banking Group")</f>
        <v/>
      </c>
      <c r="B450" s="19"/>
      <c r="C450" s="19"/>
      <c r="D450" s="19"/>
      <c r="E450" s="19"/>
      <c r="F450" s="19"/>
      <c r="G450" s="19"/>
      <c r="H450" s="19"/>
      <c r="I450" s="19"/>
      <c r="J450" s="19"/>
      <c r="K450" s="19"/>
      <c r="L450" s="19"/>
      <c r="M450" s="19"/>
      <c r="N450" s="19"/>
      <c r="O450" s="19"/>
      <c r="P450" s="19"/>
      <c r="Q450" s="19"/>
      <c r="R450" s="19"/>
      <c r="S450" s="19"/>
      <c r="T450" s="34" t="str">
        <f aca="false">IF($R450="","",IFERROR(INDEX(DriverCategory,MATCH($R450,DriverList,0)),"BAU"))</f>
        <v/>
      </c>
      <c r="U450" s="34" t="str">
        <f aca="false">IF($R450="","",IFERROR(INDEX(DriverRank,MATCH($R450,DriverList,0)),99))</f>
        <v/>
      </c>
      <c r="V450" s="35" t="n">
        <f aca="false">IF($H450="",0,IFERROR(INDEX(LevelBasic,MATCH($H450,LevelList,0))+INDEX(LevelHousing,MATCH($H450,LevelList,0))+INDEX(LevelTransport,MATCH($H450,LevelList,0))+INDEX(LevelBasic,MATCH($H450,LevelList,0))*INDEX(LevelBonus,MATCH($H450,LevelList,0))+(INDEX(LevelBasic,MATCH($H450,LevelList,0))+INDEX(LevelHousing,MATCH($H450,LevelList,0)))*GosiSaudi,0))</f>
        <v>0</v>
      </c>
      <c r="W450" s="35" t="n">
        <f aca="false">IFERROR(INDEX(LevelOneOff,MATCH($H450,LevelList,0)),0)</f>
        <v>0</v>
      </c>
      <c r="X450" s="35" t="str">
        <f aca="false">IF($G450="","",$V450*N($L450))</f>
        <v/>
      </c>
      <c r="Y450" s="35" t="str">
        <f aca="false">IF($G450="","",$V450*(N($M450)*1+N($N450)*0.75+N($O450)*0.5+N($P450)*0.25)+$W450*N($L450))</f>
        <v/>
      </c>
      <c r="Z450" s="35" t="str">
        <f aca="false">IF($G450="","",$U450*1000000+ROW())</f>
        <v/>
      </c>
      <c r="AA450" s="36" t="str">
        <f aca="false">IF($G450="","",MID(IF($C450="",", no division","")&amp;IF($E450="",", no unit","")&amp;IF($H450="",", no career level","")&amp;IF(N($L450)&lt;=0,", no quarter split","")&amp;IF($R450="",", no driver","")&amp;IF(AND($H450&lt;&gt;"",COUNTIF(CareerLevels,$H450)=0),", a career level that is not on the ladder","")&amp;IF(AND($R450&lt;&gt;"",COUNTIF(DriverList,$R450)=0),", a driver that is not on the list","")&amp;IF(ABS(N($L450)-(N($M450)+N($N450)+N($O450)+N($P450)))&gt;0.001,", a total that does not match its quarters",""),3,300))</f>
        <v/>
      </c>
    </row>
    <row r="451" customFormat="false" ht="15" hidden="false" customHeight="false" outlineLevel="0" collapsed="false">
      <c r="A451" s="33" t="str">
        <f aca="false">IF($G451="","","Corporate Banking Group")</f>
        <v/>
      </c>
      <c r="B451" s="19"/>
      <c r="C451" s="19"/>
      <c r="D451" s="19"/>
      <c r="E451" s="19"/>
      <c r="F451" s="19"/>
      <c r="G451" s="19"/>
      <c r="H451" s="19"/>
      <c r="I451" s="19"/>
      <c r="J451" s="19"/>
      <c r="K451" s="19"/>
      <c r="L451" s="19"/>
      <c r="M451" s="19"/>
      <c r="N451" s="19"/>
      <c r="O451" s="19"/>
      <c r="P451" s="19"/>
      <c r="Q451" s="19"/>
      <c r="R451" s="19"/>
      <c r="S451" s="19"/>
      <c r="T451" s="34" t="str">
        <f aca="false">IF($R451="","",IFERROR(INDEX(DriverCategory,MATCH($R451,DriverList,0)),"BAU"))</f>
        <v/>
      </c>
      <c r="U451" s="34" t="str">
        <f aca="false">IF($R451="","",IFERROR(INDEX(DriverRank,MATCH($R451,DriverList,0)),99))</f>
        <v/>
      </c>
      <c r="V451" s="35" t="n">
        <f aca="false">IF($H451="",0,IFERROR(INDEX(LevelBasic,MATCH($H451,LevelList,0))+INDEX(LevelHousing,MATCH($H451,LevelList,0))+INDEX(LevelTransport,MATCH($H451,LevelList,0))+INDEX(LevelBasic,MATCH($H451,LevelList,0))*INDEX(LevelBonus,MATCH($H451,LevelList,0))+(INDEX(LevelBasic,MATCH($H451,LevelList,0))+INDEX(LevelHousing,MATCH($H451,LevelList,0)))*GosiSaudi,0))</f>
        <v>0</v>
      </c>
      <c r="W451" s="35" t="n">
        <f aca="false">IFERROR(INDEX(LevelOneOff,MATCH($H451,LevelList,0)),0)</f>
        <v>0</v>
      </c>
      <c r="X451" s="35" t="str">
        <f aca="false">IF($G451="","",$V451*N($L451))</f>
        <v/>
      </c>
      <c r="Y451" s="35" t="str">
        <f aca="false">IF($G451="","",$V451*(N($M451)*1+N($N451)*0.75+N($O451)*0.5+N($P451)*0.25)+$W451*N($L451))</f>
        <v/>
      </c>
      <c r="Z451" s="35" t="str">
        <f aca="false">IF($G451="","",$U451*1000000+ROW())</f>
        <v/>
      </c>
      <c r="AA451" s="36" t="str">
        <f aca="false">IF($G451="","",MID(IF($C451="",", no division","")&amp;IF($E451="",", no unit","")&amp;IF($H451="",", no career level","")&amp;IF(N($L451)&lt;=0,", no quarter split","")&amp;IF($R451="",", no driver","")&amp;IF(AND($H451&lt;&gt;"",COUNTIF(CareerLevels,$H451)=0),", a career level that is not on the ladder","")&amp;IF(AND($R451&lt;&gt;"",COUNTIF(DriverList,$R451)=0),", a driver that is not on the list","")&amp;IF(ABS(N($L451)-(N($M451)+N($N451)+N($O451)+N($P451)))&gt;0.001,", a total that does not match its quarters",""),3,300))</f>
        <v/>
      </c>
    </row>
    <row r="452" customFormat="false" ht="15" hidden="false" customHeight="false" outlineLevel="0" collapsed="false">
      <c r="A452" s="33" t="str">
        <f aca="false">IF($G452="","","Corporate Banking Group")</f>
        <v/>
      </c>
      <c r="B452" s="19"/>
      <c r="C452" s="19"/>
      <c r="D452" s="19"/>
      <c r="E452" s="19"/>
      <c r="F452" s="19"/>
      <c r="G452" s="19"/>
      <c r="H452" s="19"/>
      <c r="I452" s="19"/>
      <c r="J452" s="19"/>
      <c r="K452" s="19"/>
      <c r="L452" s="19"/>
      <c r="M452" s="19"/>
      <c r="N452" s="19"/>
      <c r="O452" s="19"/>
      <c r="P452" s="19"/>
      <c r="Q452" s="19"/>
      <c r="R452" s="19"/>
      <c r="S452" s="19"/>
      <c r="T452" s="34" t="str">
        <f aca="false">IF($R452="","",IFERROR(INDEX(DriverCategory,MATCH($R452,DriverList,0)),"BAU"))</f>
        <v/>
      </c>
      <c r="U452" s="34" t="str">
        <f aca="false">IF($R452="","",IFERROR(INDEX(DriverRank,MATCH($R452,DriverList,0)),99))</f>
        <v/>
      </c>
      <c r="V452" s="35" t="n">
        <f aca="false">IF($H452="",0,IFERROR(INDEX(LevelBasic,MATCH($H452,LevelList,0))+INDEX(LevelHousing,MATCH($H452,LevelList,0))+INDEX(LevelTransport,MATCH($H452,LevelList,0))+INDEX(LevelBasic,MATCH($H452,LevelList,0))*INDEX(LevelBonus,MATCH($H452,LevelList,0))+(INDEX(LevelBasic,MATCH($H452,LevelList,0))+INDEX(LevelHousing,MATCH($H452,LevelList,0)))*GosiSaudi,0))</f>
        <v>0</v>
      </c>
      <c r="W452" s="35" t="n">
        <f aca="false">IFERROR(INDEX(LevelOneOff,MATCH($H452,LevelList,0)),0)</f>
        <v>0</v>
      </c>
      <c r="X452" s="35" t="str">
        <f aca="false">IF($G452="","",$V452*N($L452))</f>
        <v/>
      </c>
      <c r="Y452" s="35" t="str">
        <f aca="false">IF($G452="","",$V452*(N($M452)*1+N($N452)*0.75+N($O452)*0.5+N($P452)*0.25)+$W452*N($L452))</f>
        <v/>
      </c>
      <c r="Z452" s="35" t="str">
        <f aca="false">IF($G452="","",$U452*1000000+ROW())</f>
        <v/>
      </c>
      <c r="AA452" s="36" t="str">
        <f aca="false">IF($G452="","",MID(IF($C452="",", no division","")&amp;IF($E452="",", no unit","")&amp;IF($H452="",", no career level","")&amp;IF(N($L452)&lt;=0,", no quarter split","")&amp;IF($R452="",", no driver","")&amp;IF(AND($H452&lt;&gt;"",COUNTIF(CareerLevels,$H452)=0),", a career level that is not on the ladder","")&amp;IF(AND($R452&lt;&gt;"",COUNTIF(DriverList,$R452)=0),", a driver that is not on the list","")&amp;IF(ABS(N($L452)-(N($M452)+N($N452)+N($O452)+N($P452)))&gt;0.001,", a total that does not match its quarters",""),3,300))</f>
        <v/>
      </c>
    </row>
    <row r="453" customFormat="false" ht="15" hidden="false" customHeight="false" outlineLevel="0" collapsed="false">
      <c r="A453" s="33" t="str">
        <f aca="false">IF($G453="","","Corporate Banking Group")</f>
        <v/>
      </c>
      <c r="B453" s="19"/>
      <c r="C453" s="19"/>
      <c r="D453" s="19"/>
      <c r="E453" s="19"/>
      <c r="F453" s="19"/>
      <c r="G453" s="19"/>
      <c r="H453" s="19"/>
      <c r="I453" s="19"/>
      <c r="J453" s="19"/>
      <c r="K453" s="19"/>
      <c r="L453" s="19"/>
      <c r="M453" s="19"/>
      <c r="N453" s="19"/>
      <c r="O453" s="19"/>
      <c r="P453" s="19"/>
      <c r="Q453" s="19"/>
      <c r="R453" s="19"/>
      <c r="S453" s="19"/>
      <c r="T453" s="34" t="str">
        <f aca="false">IF($R453="","",IFERROR(INDEX(DriverCategory,MATCH($R453,DriverList,0)),"BAU"))</f>
        <v/>
      </c>
      <c r="U453" s="34" t="str">
        <f aca="false">IF($R453="","",IFERROR(INDEX(DriverRank,MATCH($R453,DriverList,0)),99))</f>
        <v/>
      </c>
      <c r="V453" s="35" t="n">
        <f aca="false">IF($H453="",0,IFERROR(INDEX(LevelBasic,MATCH($H453,LevelList,0))+INDEX(LevelHousing,MATCH($H453,LevelList,0))+INDEX(LevelTransport,MATCH($H453,LevelList,0))+INDEX(LevelBasic,MATCH($H453,LevelList,0))*INDEX(LevelBonus,MATCH($H453,LevelList,0))+(INDEX(LevelBasic,MATCH($H453,LevelList,0))+INDEX(LevelHousing,MATCH($H453,LevelList,0)))*GosiSaudi,0))</f>
        <v>0</v>
      </c>
      <c r="W453" s="35" t="n">
        <f aca="false">IFERROR(INDEX(LevelOneOff,MATCH($H453,LevelList,0)),0)</f>
        <v>0</v>
      </c>
      <c r="X453" s="35" t="str">
        <f aca="false">IF($G453="","",$V453*N($L453))</f>
        <v/>
      </c>
      <c r="Y453" s="35" t="str">
        <f aca="false">IF($G453="","",$V453*(N($M453)*1+N($N453)*0.75+N($O453)*0.5+N($P453)*0.25)+$W453*N($L453))</f>
        <v/>
      </c>
      <c r="Z453" s="35" t="str">
        <f aca="false">IF($G453="","",$U453*1000000+ROW())</f>
        <v/>
      </c>
      <c r="AA453" s="36" t="str">
        <f aca="false">IF($G453="","",MID(IF($C453="",", no division","")&amp;IF($E453="",", no unit","")&amp;IF($H453="",", no career level","")&amp;IF(N($L453)&lt;=0,", no quarter split","")&amp;IF($R453="",", no driver","")&amp;IF(AND($H453&lt;&gt;"",COUNTIF(CareerLevels,$H453)=0),", a career level that is not on the ladder","")&amp;IF(AND($R453&lt;&gt;"",COUNTIF(DriverList,$R453)=0),", a driver that is not on the list","")&amp;IF(ABS(N($L453)-(N($M453)+N($N453)+N($O453)+N($P453)))&gt;0.001,", a total that does not match its quarters",""),3,300))</f>
        <v/>
      </c>
    </row>
    <row r="454" customFormat="false" ht="15" hidden="false" customHeight="false" outlineLevel="0" collapsed="false">
      <c r="A454" s="33" t="str">
        <f aca="false">IF($G454="","","Corporate Banking Group")</f>
        <v/>
      </c>
      <c r="B454" s="19"/>
      <c r="C454" s="19"/>
      <c r="D454" s="19"/>
      <c r="E454" s="19"/>
      <c r="F454" s="19"/>
      <c r="G454" s="19"/>
      <c r="H454" s="19"/>
      <c r="I454" s="19"/>
      <c r="J454" s="19"/>
      <c r="K454" s="19"/>
      <c r="L454" s="19"/>
      <c r="M454" s="19"/>
      <c r="N454" s="19"/>
      <c r="O454" s="19"/>
      <c r="P454" s="19"/>
      <c r="Q454" s="19"/>
      <c r="R454" s="19"/>
      <c r="S454" s="19"/>
      <c r="T454" s="34" t="str">
        <f aca="false">IF($R454="","",IFERROR(INDEX(DriverCategory,MATCH($R454,DriverList,0)),"BAU"))</f>
        <v/>
      </c>
      <c r="U454" s="34" t="str">
        <f aca="false">IF($R454="","",IFERROR(INDEX(DriverRank,MATCH($R454,DriverList,0)),99))</f>
        <v/>
      </c>
      <c r="V454" s="35" t="n">
        <f aca="false">IF($H454="",0,IFERROR(INDEX(LevelBasic,MATCH($H454,LevelList,0))+INDEX(LevelHousing,MATCH($H454,LevelList,0))+INDEX(LevelTransport,MATCH($H454,LevelList,0))+INDEX(LevelBasic,MATCH($H454,LevelList,0))*INDEX(LevelBonus,MATCH($H454,LevelList,0))+(INDEX(LevelBasic,MATCH($H454,LevelList,0))+INDEX(LevelHousing,MATCH($H454,LevelList,0)))*GosiSaudi,0))</f>
        <v>0</v>
      </c>
      <c r="W454" s="35" t="n">
        <f aca="false">IFERROR(INDEX(LevelOneOff,MATCH($H454,LevelList,0)),0)</f>
        <v>0</v>
      </c>
      <c r="X454" s="35" t="str">
        <f aca="false">IF($G454="","",$V454*N($L454))</f>
        <v/>
      </c>
      <c r="Y454" s="35" t="str">
        <f aca="false">IF($G454="","",$V454*(N($M454)*1+N($N454)*0.75+N($O454)*0.5+N($P454)*0.25)+$W454*N($L454))</f>
        <v/>
      </c>
      <c r="Z454" s="35" t="str">
        <f aca="false">IF($G454="","",$U454*1000000+ROW())</f>
        <v/>
      </c>
      <c r="AA454" s="36" t="str">
        <f aca="false">IF($G454="","",MID(IF($C454="",", no division","")&amp;IF($E454="",", no unit","")&amp;IF($H454="",", no career level","")&amp;IF(N($L454)&lt;=0,", no quarter split","")&amp;IF($R454="",", no driver","")&amp;IF(AND($H454&lt;&gt;"",COUNTIF(CareerLevels,$H454)=0),", a career level that is not on the ladder","")&amp;IF(AND($R454&lt;&gt;"",COUNTIF(DriverList,$R454)=0),", a driver that is not on the list","")&amp;IF(ABS(N($L454)-(N($M454)+N($N454)+N($O454)+N($P454)))&gt;0.001,", a total that does not match its quarters",""),3,300))</f>
        <v/>
      </c>
    </row>
    <row r="455" customFormat="false" ht="15" hidden="false" customHeight="false" outlineLevel="0" collapsed="false">
      <c r="A455" s="33" t="str">
        <f aca="false">IF($G455="","","Corporate Banking Group")</f>
        <v/>
      </c>
      <c r="B455" s="19"/>
      <c r="C455" s="19"/>
      <c r="D455" s="19"/>
      <c r="E455" s="19"/>
      <c r="F455" s="19"/>
      <c r="G455" s="19"/>
      <c r="H455" s="19"/>
      <c r="I455" s="19"/>
      <c r="J455" s="19"/>
      <c r="K455" s="19"/>
      <c r="L455" s="19"/>
      <c r="M455" s="19"/>
      <c r="N455" s="19"/>
      <c r="O455" s="19"/>
      <c r="P455" s="19"/>
      <c r="Q455" s="19"/>
      <c r="R455" s="19"/>
      <c r="S455" s="19"/>
      <c r="T455" s="34" t="str">
        <f aca="false">IF($R455="","",IFERROR(INDEX(DriverCategory,MATCH($R455,DriverList,0)),"BAU"))</f>
        <v/>
      </c>
      <c r="U455" s="34" t="str">
        <f aca="false">IF($R455="","",IFERROR(INDEX(DriverRank,MATCH($R455,DriverList,0)),99))</f>
        <v/>
      </c>
      <c r="V455" s="35" t="n">
        <f aca="false">IF($H455="",0,IFERROR(INDEX(LevelBasic,MATCH($H455,LevelList,0))+INDEX(LevelHousing,MATCH($H455,LevelList,0))+INDEX(LevelTransport,MATCH($H455,LevelList,0))+INDEX(LevelBasic,MATCH($H455,LevelList,0))*INDEX(LevelBonus,MATCH($H455,LevelList,0))+(INDEX(LevelBasic,MATCH($H455,LevelList,0))+INDEX(LevelHousing,MATCH($H455,LevelList,0)))*GosiSaudi,0))</f>
        <v>0</v>
      </c>
      <c r="W455" s="35" t="n">
        <f aca="false">IFERROR(INDEX(LevelOneOff,MATCH($H455,LevelList,0)),0)</f>
        <v>0</v>
      </c>
      <c r="X455" s="35" t="str">
        <f aca="false">IF($G455="","",$V455*N($L455))</f>
        <v/>
      </c>
      <c r="Y455" s="35" t="str">
        <f aca="false">IF($G455="","",$V455*(N($M455)*1+N($N455)*0.75+N($O455)*0.5+N($P455)*0.25)+$W455*N($L455))</f>
        <v/>
      </c>
      <c r="Z455" s="35" t="str">
        <f aca="false">IF($G455="","",$U455*1000000+ROW())</f>
        <v/>
      </c>
      <c r="AA455" s="36" t="str">
        <f aca="false">IF($G455="","",MID(IF($C455="",", no division","")&amp;IF($E455="",", no unit","")&amp;IF($H455="",", no career level","")&amp;IF(N($L455)&lt;=0,", no quarter split","")&amp;IF($R455="",", no driver","")&amp;IF(AND($H455&lt;&gt;"",COUNTIF(CareerLevels,$H455)=0),", a career level that is not on the ladder","")&amp;IF(AND($R455&lt;&gt;"",COUNTIF(DriverList,$R455)=0),", a driver that is not on the list","")&amp;IF(ABS(N($L455)-(N($M455)+N($N455)+N($O455)+N($P455)))&gt;0.001,", a total that does not match its quarters",""),3,300))</f>
        <v/>
      </c>
    </row>
    <row r="456" customFormat="false" ht="15" hidden="false" customHeight="false" outlineLevel="0" collapsed="false">
      <c r="A456" s="33" t="str">
        <f aca="false">IF($G456="","","Corporate Banking Group")</f>
        <v/>
      </c>
      <c r="B456" s="19"/>
      <c r="C456" s="19"/>
      <c r="D456" s="19"/>
      <c r="E456" s="19"/>
      <c r="F456" s="19"/>
      <c r="G456" s="19"/>
      <c r="H456" s="19"/>
      <c r="I456" s="19"/>
      <c r="J456" s="19"/>
      <c r="K456" s="19"/>
      <c r="L456" s="19"/>
      <c r="M456" s="19"/>
      <c r="N456" s="19"/>
      <c r="O456" s="19"/>
      <c r="P456" s="19"/>
      <c r="Q456" s="19"/>
      <c r="R456" s="19"/>
      <c r="S456" s="19"/>
      <c r="T456" s="34" t="str">
        <f aca="false">IF($R456="","",IFERROR(INDEX(DriverCategory,MATCH($R456,DriverList,0)),"BAU"))</f>
        <v/>
      </c>
      <c r="U456" s="34" t="str">
        <f aca="false">IF($R456="","",IFERROR(INDEX(DriverRank,MATCH($R456,DriverList,0)),99))</f>
        <v/>
      </c>
      <c r="V456" s="35" t="n">
        <f aca="false">IF($H456="",0,IFERROR(INDEX(LevelBasic,MATCH($H456,LevelList,0))+INDEX(LevelHousing,MATCH($H456,LevelList,0))+INDEX(LevelTransport,MATCH($H456,LevelList,0))+INDEX(LevelBasic,MATCH($H456,LevelList,0))*INDEX(LevelBonus,MATCH($H456,LevelList,0))+(INDEX(LevelBasic,MATCH($H456,LevelList,0))+INDEX(LevelHousing,MATCH($H456,LevelList,0)))*GosiSaudi,0))</f>
        <v>0</v>
      </c>
      <c r="W456" s="35" t="n">
        <f aca="false">IFERROR(INDEX(LevelOneOff,MATCH($H456,LevelList,0)),0)</f>
        <v>0</v>
      </c>
      <c r="X456" s="35" t="str">
        <f aca="false">IF($G456="","",$V456*N($L456))</f>
        <v/>
      </c>
      <c r="Y456" s="35" t="str">
        <f aca="false">IF($G456="","",$V456*(N($M456)*1+N($N456)*0.75+N($O456)*0.5+N($P456)*0.25)+$W456*N($L456))</f>
        <v/>
      </c>
      <c r="Z456" s="35" t="str">
        <f aca="false">IF($G456="","",$U456*1000000+ROW())</f>
        <v/>
      </c>
      <c r="AA456" s="36" t="str">
        <f aca="false">IF($G456="","",MID(IF($C456="",", no division","")&amp;IF($E456="",", no unit","")&amp;IF($H456="",", no career level","")&amp;IF(N($L456)&lt;=0,", no quarter split","")&amp;IF($R456="",", no driver","")&amp;IF(AND($H456&lt;&gt;"",COUNTIF(CareerLevels,$H456)=0),", a career level that is not on the ladder","")&amp;IF(AND($R456&lt;&gt;"",COUNTIF(DriverList,$R456)=0),", a driver that is not on the list","")&amp;IF(ABS(N($L456)-(N($M456)+N($N456)+N($O456)+N($P456)))&gt;0.001,", a total that does not match its quarters",""),3,300))</f>
        <v/>
      </c>
    </row>
    <row r="457" customFormat="false" ht="15" hidden="false" customHeight="false" outlineLevel="0" collapsed="false">
      <c r="A457" s="33" t="str">
        <f aca="false">IF($G457="","","Corporate Banking Group")</f>
        <v/>
      </c>
      <c r="B457" s="19"/>
      <c r="C457" s="19"/>
      <c r="D457" s="19"/>
      <c r="E457" s="19"/>
      <c r="F457" s="19"/>
      <c r="G457" s="19"/>
      <c r="H457" s="19"/>
      <c r="I457" s="19"/>
      <c r="J457" s="19"/>
      <c r="K457" s="19"/>
      <c r="L457" s="19"/>
      <c r="M457" s="19"/>
      <c r="N457" s="19"/>
      <c r="O457" s="19"/>
      <c r="P457" s="19"/>
      <c r="Q457" s="19"/>
      <c r="R457" s="19"/>
      <c r="S457" s="19"/>
      <c r="T457" s="34" t="str">
        <f aca="false">IF($R457="","",IFERROR(INDEX(DriverCategory,MATCH($R457,DriverList,0)),"BAU"))</f>
        <v/>
      </c>
      <c r="U457" s="34" t="str">
        <f aca="false">IF($R457="","",IFERROR(INDEX(DriverRank,MATCH($R457,DriverList,0)),99))</f>
        <v/>
      </c>
      <c r="V457" s="35" t="n">
        <f aca="false">IF($H457="",0,IFERROR(INDEX(LevelBasic,MATCH($H457,LevelList,0))+INDEX(LevelHousing,MATCH($H457,LevelList,0))+INDEX(LevelTransport,MATCH($H457,LevelList,0))+INDEX(LevelBasic,MATCH($H457,LevelList,0))*INDEX(LevelBonus,MATCH($H457,LevelList,0))+(INDEX(LevelBasic,MATCH($H457,LevelList,0))+INDEX(LevelHousing,MATCH($H457,LevelList,0)))*GosiSaudi,0))</f>
        <v>0</v>
      </c>
      <c r="W457" s="35" t="n">
        <f aca="false">IFERROR(INDEX(LevelOneOff,MATCH($H457,LevelList,0)),0)</f>
        <v>0</v>
      </c>
      <c r="X457" s="35" t="str">
        <f aca="false">IF($G457="","",$V457*N($L457))</f>
        <v/>
      </c>
      <c r="Y457" s="35" t="str">
        <f aca="false">IF($G457="","",$V457*(N($M457)*1+N($N457)*0.75+N($O457)*0.5+N($P457)*0.25)+$W457*N($L457))</f>
        <v/>
      </c>
      <c r="Z457" s="35" t="str">
        <f aca="false">IF($G457="","",$U457*1000000+ROW())</f>
        <v/>
      </c>
      <c r="AA457" s="36" t="str">
        <f aca="false">IF($G457="","",MID(IF($C457="",", no division","")&amp;IF($E457="",", no unit","")&amp;IF($H457="",", no career level","")&amp;IF(N($L457)&lt;=0,", no quarter split","")&amp;IF($R457="",", no driver","")&amp;IF(AND($H457&lt;&gt;"",COUNTIF(CareerLevels,$H457)=0),", a career level that is not on the ladder","")&amp;IF(AND($R457&lt;&gt;"",COUNTIF(DriverList,$R457)=0),", a driver that is not on the list","")&amp;IF(ABS(N($L457)-(N($M457)+N($N457)+N($O457)+N($P457)))&gt;0.001,", a total that does not match its quarters",""),3,300))</f>
        <v/>
      </c>
    </row>
    <row r="458" customFormat="false" ht="15" hidden="false" customHeight="false" outlineLevel="0" collapsed="false">
      <c r="A458" s="33" t="str">
        <f aca="false">IF($G458="","","Corporate Banking Group")</f>
        <v/>
      </c>
      <c r="B458" s="19"/>
      <c r="C458" s="19"/>
      <c r="D458" s="19"/>
      <c r="E458" s="19"/>
      <c r="F458" s="19"/>
      <c r="G458" s="19"/>
      <c r="H458" s="19"/>
      <c r="I458" s="19"/>
      <c r="J458" s="19"/>
      <c r="K458" s="19"/>
      <c r="L458" s="19"/>
      <c r="M458" s="19"/>
      <c r="N458" s="19"/>
      <c r="O458" s="19"/>
      <c r="P458" s="19"/>
      <c r="Q458" s="19"/>
      <c r="R458" s="19"/>
      <c r="S458" s="19"/>
      <c r="T458" s="34" t="str">
        <f aca="false">IF($R458="","",IFERROR(INDEX(DriverCategory,MATCH($R458,DriverList,0)),"BAU"))</f>
        <v/>
      </c>
      <c r="U458" s="34" t="str">
        <f aca="false">IF($R458="","",IFERROR(INDEX(DriverRank,MATCH($R458,DriverList,0)),99))</f>
        <v/>
      </c>
      <c r="V458" s="35" t="n">
        <f aca="false">IF($H458="",0,IFERROR(INDEX(LevelBasic,MATCH($H458,LevelList,0))+INDEX(LevelHousing,MATCH($H458,LevelList,0))+INDEX(LevelTransport,MATCH($H458,LevelList,0))+INDEX(LevelBasic,MATCH($H458,LevelList,0))*INDEX(LevelBonus,MATCH($H458,LevelList,0))+(INDEX(LevelBasic,MATCH($H458,LevelList,0))+INDEX(LevelHousing,MATCH($H458,LevelList,0)))*GosiSaudi,0))</f>
        <v>0</v>
      </c>
      <c r="W458" s="35" t="n">
        <f aca="false">IFERROR(INDEX(LevelOneOff,MATCH($H458,LevelList,0)),0)</f>
        <v>0</v>
      </c>
      <c r="X458" s="35" t="str">
        <f aca="false">IF($G458="","",$V458*N($L458))</f>
        <v/>
      </c>
      <c r="Y458" s="35" t="str">
        <f aca="false">IF($G458="","",$V458*(N($M458)*1+N($N458)*0.75+N($O458)*0.5+N($P458)*0.25)+$W458*N($L458))</f>
        <v/>
      </c>
      <c r="Z458" s="35" t="str">
        <f aca="false">IF($G458="","",$U458*1000000+ROW())</f>
        <v/>
      </c>
      <c r="AA458" s="36" t="str">
        <f aca="false">IF($G458="","",MID(IF($C458="",", no division","")&amp;IF($E458="",", no unit","")&amp;IF($H458="",", no career level","")&amp;IF(N($L458)&lt;=0,", no quarter split","")&amp;IF($R458="",", no driver","")&amp;IF(AND($H458&lt;&gt;"",COUNTIF(CareerLevels,$H458)=0),", a career level that is not on the ladder","")&amp;IF(AND($R458&lt;&gt;"",COUNTIF(DriverList,$R458)=0),", a driver that is not on the list","")&amp;IF(ABS(N($L458)-(N($M458)+N($N458)+N($O458)+N($P458)))&gt;0.001,", a total that does not match its quarters",""),3,300))</f>
        <v/>
      </c>
    </row>
    <row r="459" customFormat="false" ht="15" hidden="false" customHeight="false" outlineLevel="0" collapsed="false">
      <c r="A459" s="33" t="str">
        <f aca="false">IF($G459="","","Corporate Banking Group")</f>
        <v/>
      </c>
      <c r="B459" s="19"/>
      <c r="C459" s="19"/>
      <c r="D459" s="19"/>
      <c r="E459" s="19"/>
      <c r="F459" s="19"/>
      <c r="G459" s="19"/>
      <c r="H459" s="19"/>
      <c r="I459" s="19"/>
      <c r="J459" s="19"/>
      <c r="K459" s="19"/>
      <c r="L459" s="19"/>
      <c r="M459" s="19"/>
      <c r="N459" s="19"/>
      <c r="O459" s="19"/>
      <c r="P459" s="19"/>
      <c r="Q459" s="19"/>
      <c r="R459" s="19"/>
      <c r="S459" s="19"/>
      <c r="T459" s="34" t="str">
        <f aca="false">IF($R459="","",IFERROR(INDEX(DriverCategory,MATCH($R459,DriverList,0)),"BAU"))</f>
        <v/>
      </c>
      <c r="U459" s="34" t="str">
        <f aca="false">IF($R459="","",IFERROR(INDEX(DriverRank,MATCH($R459,DriverList,0)),99))</f>
        <v/>
      </c>
      <c r="V459" s="35" t="n">
        <f aca="false">IF($H459="",0,IFERROR(INDEX(LevelBasic,MATCH($H459,LevelList,0))+INDEX(LevelHousing,MATCH($H459,LevelList,0))+INDEX(LevelTransport,MATCH($H459,LevelList,0))+INDEX(LevelBasic,MATCH($H459,LevelList,0))*INDEX(LevelBonus,MATCH($H459,LevelList,0))+(INDEX(LevelBasic,MATCH($H459,LevelList,0))+INDEX(LevelHousing,MATCH($H459,LevelList,0)))*GosiSaudi,0))</f>
        <v>0</v>
      </c>
      <c r="W459" s="35" t="n">
        <f aca="false">IFERROR(INDEX(LevelOneOff,MATCH($H459,LevelList,0)),0)</f>
        <v>0</v>
      </c>
      <c r="X459" s="35" t="str">
        <f aca="false">IF($G459="","",$V459*N($L459))</f>
        <v/>
      </c>
      <c r="Y459" s="35" t="str">
        <f aca="false">IF($G459="","",$V459*(N($M459)*1+N($N459)*0.75+N($O459)*0.5+N($P459)*0.25)+$W459*N($L459))</f>
        <v/>
      </c>
      <c r="Z459" s="35" t="str">
        <f aca="false">IF($G459="","",$U459*1000000+ROW())</f>
        <v/>
      </c>
      <c r="AA459" s="36" t="str">
        <f aca="false">IF($G459="","",MID(IF($C459="",", no division","")&amp;IF($E459="",", no unit","")&amp;IF($H459="",", no career level","")&amp;IF(N($L459)&lt;=0,", no quarter split","")&amp;IF($R459="",", no driver","")&amp;IF(AND($H459&lt;&gt;"",COUNTIF(CareerLevels,$H459)=0),", a career level that is not on the ladder","")&amp;IF(AND($R459&lt;&gt;"",COUNTIF(DriverList,$R459)=0),", a driver that is not on the list","")&amp;IF(ABS(N($L459)-(N($M459)+N($N459)+N($O459)+N($P459)))&gt;0.001,", a total that does not match its quarters",""),3,300))</f>
        <v/>
      </c>
    </row>
    <row r="460" customFormat="false" ht="15" hidden="false" customHeight="false" outlineLevel="0" collapsed="false">
      <c r="A460" s="33" t="str">
        <f aca="false">IF($G460="","","Corporate Banking Group")</f>
        <v/>
      </c>
      <c r="B460" s="19"/>
      <c r="C460" s="19"/>
      <c r="D460" s="19"/>
      <c r="E460" s="19"/>
      <c r="F460" s="19"/>
      <c r="G460" s="19"/>
      <c r="H460" s="19"/>
      <c r="I460" s="19"/>
      <c r="J460" s="19"/>
      <c r="K460" s="19"/>
      <c r="L460" s="19"/>
      <c r="M460" s="19"/>
      <c r="N460" s="19"/>
      <c r="O460" s="19"/>
      <c r="P460" s="19"/>
      <c r="Q460" s="19"/>
      <c r="R460" s="19"/>
      <c r="S460" s="19"/>
      <c r="T460" s="34" t="str">
        <f aca="false">IF($R460="","",IFERROR(INDEX(DriverCategory,MATCH($R460,DriverList,0)),"BAU"))</f>
        <v/>
      </c>
      <c r="U460" s="34" t="str">
        <f aca="false">IF($R460="","",IFERROR(INDEX(DriverRank,MATCH($R460,DriverList,0)),99))</f>
        <v/>
      </c>
      <c r="V460" s="35" t="n">
        <f aca="false">IF($H460="",0,IFERROR(INDEX(LevelBasic,MATCH($H460,LevelList,0))+INDEX(LevelHousing,MATCH($H460,LevelList,0))+INDEX(LevelTransport,MATCH($H460,LevelList,0))+INDEX(LevelBasic,MATCH($H460,LevelList,0))*INDEX(LevelBonus,MATCH($H460,LevelList,0))+(INDEX(LevelBasic,MATCH($H460,LevelList,0))+INDEX(LevelHousing,MATCH($H460,LevelList,0)))*GosiSaudi,0))</f>
        <v>0</v>
      </c>
      <c r="W460" s="35" t="n">
        <f aca="false">IFERROR(INDEX(LevelOneOff,MATCH($H460,LevelList,0)),0)</f>
        <v>0</v>
      </c>
      <c r="X460" s="35" t="str">
        <f aca="false">IF($G460="","",$V460*N($L460))</f>
        <v/>
      </c>
      <c r="Y460" s="35" t="str">
        <f aca="false">IF($G460="","",$V460*(N($M460)*1+N($N460)*0.75+N($O460)*0.5+N($P460)*0.25)+$W460*N($L460))</f>
        <v/>
      </c>
      <c r="Z460" s="35" t="str">
        <f aca="false">IF($G460="","",$U460*1000000+ROW())</f>
        <v/>
      </c>
      <c r="AA460" s="36" t="str">
        <f aca="false">IF($G460="","",MID(IF($C460="",", no division","")&amp;IF($E460="",", no unit","")&amp;IF($H460="",", no career level","")&amp;IF(N($L460)&lt;=0,", no quarter split","")&amp;IF($R460="",", no driver","")&amp;IF(AND($H460&lt;&gt;"",COUNTIF(CareerLevels,$H460)=0),", a career level that is not on the ladder","")&amp;IF(AND($R460&lt;&gt;"",COUNTIF(DriverList,$R460)=0),", a driver that is not on the list","")&amp;IF(ABS(N($L460)-(N($M460)+N($N460)+N($O460)+N($P460)))&gt;0.001,", a total that does not match its quarters",""),3,300))</f>
        <v/>
      </c>
    </row>
    <row r="461" customFormat="false" ht="15" hidden="false" customHeight="false" outlineLevel="0" collapsed="false">
      <c r="A461" s="33" t="str">
        <f aca="false">IF($G461="","","Corporate Banking Group")</f>
        <v/>
      </c>
      <c r="B461" s="19"/>
      <c r="C461" s="19"/>
      <c r="D461" s="19"/>
      <c r="E461" s="19"/>
      <c r="F461" s="19"/>
      <c r="G461" s="19"/>
      <c r="H461" s="19"/>
      <c r="I461" s="19"/>
      <c r="J461" s="19"/>
      <c r="K461" s="19"/>
      <c r="L461" s="19"/>
      <c r="M461" s="19"/>
      <c r="N461" s="19"/>
      <c r="O461" s="19"/>
      <c r="P461" s="19"/>
      <c r="Q461" s="19"/>
      <c r="R461" s="19"/>
      <c r="S461" s="19"/>
      <c r="T461" s="34" t="str">
        <f aca="false">IF($R461="","",IFERROR(INDEX(DriverCategory,MATCH($R461,DriverList,0)),"BAU"))</f>
        <v/>
      </c>
      <c r="U461" s="34" t="str">
        <f aca="false">IF($R461="","",IFERROR(INDEX(DriverRank,MATCH($R461,DriverList,0)),99))</f>
        <v/>
      </c>
      <c r="V461" s="35" t="n">
        <f aca="false">IF($H461="",0,IFERROR(INDEX(LevelBasic,MATCH($H461,LevelList,0))+INDEX(LevelHousing,MATCH($H461,LevelList,0))+INDEX(LevelTransport,MATCH($H461,LevelList,0))+INDEX(LevelBasic,MATCH($H461,LevelList,0))*INDEX(LevelBonus,MATCH($H461,LevelList,0))+(INDEX(LevelBasic,MATCH($H461,LevelList,0))+INDEX(LevelHousing,MATCH($H461,LevelList,0)))*GosiSaudi,0))</f>
        <v>0</v>
      </c>
      <c r="W461" s="35" t="n">
        <f aca="false">IFERROR(INDEX(LevelOneOff,MATCH($H461,LevelList,0)),0)</f>
        <v>0</v>
      </c>
      <c r="X461" s="35" t="str">
        <f aca="false">IF($G461="","",$V461*N($L461))</f>
        <v/>
      </c>
      <c r="Y461" s="35" t="str">
        <f aca="false">IF($G461="","",$V461*(N($M461)*1+N($N461)*0.75+N($O461)*0.5+N($P461)*0.25)+$W461*N($L461))</f>
        <v/>
      </c>
      <c r="Z461" s="35" t="str">
        <f aca="false">IF($G461="","",$U461*1000000+ROW())</f>
        <v/>
      </c>
      <c r="AA461" s="36" t="str">
        <f aca="false">IF($G461="","",MID(IF($C461="",", no division","")&amp;IF($E461="",", no unit","")&amp;IF($H461="",", no career level","")&amp;IF(N($L461)&lt;=0,", no quarter split","")&amp;IF($R461="",", no driver","")&amp;IF(AND($H461&lt;&gt;"",COUNTIF(CareerLevels,$H461)=0),", a career level that is not on the ladder","")&amp;IF(AND($R461&lt;&gt;"",COUNTIF(DriverList,$R461)=0),", a driver that is not on the list","")&amp;IF(ABS(N($L461)-(N($M461)+N($N461)+N($O461)+N($P461)))&gt;0.001,", a total that does not match its quarters",""),3,300))</f>
        <v/>
      </c>
    </row>
    <row r="462" customFormat="false" ht="15" hidden="false" customHeight="false" outlineLevel="0" collapsed="false">
      <c r="A462" s="33" t="str">
        <f aca="false">IF($G462="","","Corporate Banking Group")</f>
        <v/>
      </c>
      <c r="B462" s="19"/>
      <c r="C462" s="19"/>
      <c r="D462" s="19"/>
      <c r="E462" s="19"/>
      <c r="F462" s="19"/>
      <c r="G462" s="19"/>
      <c r="H462" s="19"/>
      <c r="I462" s="19"/>
      <c r="J462" s="19"/>
      <c r="K462" s="19"/>
      <c r="L462" s="19"/>
      <c r="M462" s="19"/>
      <c r="N462" s="19"/>
      <c r="O462" s="19"/>
      <c r="P462" s="19"/>
      <c r="Q462" s="19"/>
      <c r="R462" s="19"/>
      <c r="S462" s="19"/>
      <c r="T462" s="34" t="str">
        <f aca="false">IF($R462="","",IFERROR(INDEX(DriverCategory,MATCH($R462,DriverList,0)),"BAU"))</f>
        <v/>
      </c>
      <c r="U462" s="34" t="str">
        <f aca="false">IF($R462="","",IFERROR(INDEX(DriverRank,MATCH($R462,DriverList,0)),99))</f>
        <v/>
      </c>
      <c r="V462" s="35" t="n">
        <f aca="false">IF($H462="",0,IFERROR(INDEX(LevelBasic,MATCH($H462,LevelList,0))+INDEX(LevelHousing,MATCH($H462,LevelList,0))+INDEX(LevelTransport,MATCH($H462,LevelList,0))+INDEX(LevelBasic,MATCH($H462,LevelList,0))*INDEX(LevelBonus,MATCH($H462,LevelList,0))+(INDEX(LevelBasic,MATCH($H462,LevelList,0))+INDEX(LevelHousing,MATCH($H462,LevelList,0)))*GosiSaudi,0))</f>
        <v>0</v>
      </c>
      <c r="W462" s="35" t="n">
        <f aca="false">IFERROR(INDEX(LevelOneOff,MATCH($H462,LevelList,0)),0)</f>
        <v>0</v>
      </c>
      <c r="X462" s="35" t="str">
        <f aca="false">IF($G462="","",$V462*N($L462))</f>
        <v/>
      </c>
      <c r="Y462" s="35" t="str">
        <f aca="false">IF($G462="","",$V462*(N($M462)*1+N($N462)*0.75+N($O462)*0.5+N($P462)*0.25)+$W462*N($L462))</f>
        <v/>
      </c>
      <c r="Z462" s="35" t="str">
        <f aca="false">IF($G462="","",$U462*1000000+ROW())</f>
        <v/>
      </c>
      <c r="AA462" s="36" t="str">
        <f aca="false">IF($G462="","",MID(IF($C462="",", no division","")&amp;IF($E462="",", no unit","")&amp;IF($H462="",", no career level","")&amp;IF(N($L462)&lt;=0,", no quarter split","")&amp;IF($R462="",", no driver","")&amp;IF(AND($H462&lt;&gt;"",COUNTIF(CareerLevels,$H462)=0),", a career level that is not on the ladder","")&amp;IF(AND($R462&lt;&gt;"",COUNTIF(DriverList,$R462)=0),", a driver that is not on the list","")&amp;IF(ABS(N($L462)-(N($M462)+N($N462)+N($O462)+N($P462)))&gt;0.001,", a total that does not match its quarters",""),3,300))</f>
        <v/>
      </c>
    </row>
    <row r="463" customFormat="false" ht="15" hidden="false" customHeight="false" outlineLevel="0" collapsed="false">
      <c r="A463" s="33" t="str">
        <f aca="false">IF($G463="","","Corporate Banking Group")</f>
        <v/>
      </c>
      <c r="B463" s="19"/>
      <c r="C463" s="19"/>
      <c r="D463" s="19"/>
      <c r="E463" s="19"/>
      <c r="F463" s="19"/>
      <c r="G463" s="19"/>
      <c r="H463" s="19"/>
      <c r="I463" s="19"/>
      <c r="J463" s="19"/>
      <c r="K463" s="19"/>
      <c r="L463" s="19"/>
      <c r="M463" s="19"/>
      <c r="N463" s="19"/>
      <c r="O463" s="19"/>
      <c r="P463" s="19"/>
      <c r="Q463" s="19"/>
      <c r="R463" s="19"/>
      <c r="S463" s="19"/>
      <c r="T463" s="34" t="str">
        <f aca="false">IF($R463="","",IFERROR(INDEX(DriverCategory,MATCH($R463,DriverList,0)),"BAU"))</f>
        <v/>
      </c>
      <c r="U463" s="34" t="str">
        <f aca="false">IF($R463="","",IFERROR(INDEX(DriverRank,MATCH($R463,DriverList,0)),99))</f>
        <v/>
      </c>
      <c r="V463" s="35" t="n">
        <f aca="false">IF($H463="",0,IFERROR(INDEX(LevelBasic,MATCH($H463,LevelList,0))+INDEX(LevelHousing,MATCH($H463,LevelList,0))+INDEX(LevelTransport,MATCH($H463,LevelList,0))+INDEX(LevelBasic,MATCH($H463,LevelList,0))*INDEX(LevelBonus,MATCH($H463,LevelList,0))+(INDEX(LevelBasic,MATCH($H463,LevelList,0))+INDEX(LevelHousing,MATCH($H463,LevelList,0)))*GosiSaudi,0))</f>
        <v>0</v>
      </c>
      <c r="W463" s="35" t="n">
        <f aca="false">IFERROR(INDEX(LevelOneOff,MATCH($H463,LevelList,0)),0)</f>
        <v>0</v>
      </c>
      <c r="X463" s="35" t="str">
        <f aca="false">IF($G463="","",$V463*N($L463))</f>
        <v/>
      </c>
      <c r="Y463" s="35" t="str">
        <f aca="false">IF($G463="","",$V463*(N($M463)*1+N($N463)*0.75+N($O463)*0.5+N($P463)*0.25)+$W463*N($L463))</f>
        <v/>
      </c>
      <c r="Z463" s="35" t="str">
        <f aca="false">IF($G463="","",$U463*1000000+ROW())</f>
        <v/>
      </c>
      <c r="AA463" s="36" t="str">
        <f aca="false">IF($G463="","",MID(IF($C463="",", no division","")&amp;IF($E463="",", no unit","")&amp;IF($H463="",", no career level","")&amp;IF(N($L463)&lt;=0,", no quarter split","")&amp;IF($R463="",", no driver","")&amp;IF(AND($H463&lt;&gt;"",COUNTIF(CareerLevels,$H463)=0),", a career level that is not on the ladder","")&amp;IF(AND($R463&lt;&gt;"",COUNTIF(DriverList,$R463)=0),", a driver that is not on the list","")&amp;IF(ABS(N($L463)-(N($M463)+N($N463)+N($O463)+N($P463)))&gt;0.001,", a total that does not match its quarters",""),3,300))</f>
        <v/>
      </c>
    </row>
    <row r="464" customFormat="false" ht="15" hidden="false" customHeight="false" outlineLevel="0" collapsed="false">
      <c r="A464" s="33" t="str">
        <f aca="false">IF($G464="","","Corporate Banking Group")</f>
        <v/>
      </c>
      <c r="B464" s="19"/>
      <c r="C464" s="19"/>
      <c r="D464" s="19"/>
      <c r="E464" s="19"/>
      <c r="F464" s="19"/>
      <c r="G464" s="19"/>
      <c r="H464" s="19"/>
      <c r="I464" s="19"/>
      <c r="J464" s="19"/>
      <c r="K464" s="19"/>
      <c r="L464" s="19"/>
      <c r="M464" s="19"/>
      <c r="N464" s="19"/>
      <c r="O464" s="19"/>
      <c r="P464" s="19"/>
      <c r="Q464" s="19"/>
      <c r="R464" s="19"/>
      <c r="S464" s="19"/>
      <c r="T464" s="34" t="str">
        <f aca="false">IF($R464="","",IFERROR(INDEX(DriverCategory,MATCH($R464,DriverList,0)),"BAU"))</f>
        <v/>
      </c>
      <c r="U464" s="34" t="str">
        <f aca="false">IF($R464="","",IFERROR(INDEX(DriverRank,MATCH($R464,DriverList,0)),99))</f>
        <v/>
      </c>
      <c r="V464" s="35" t="n">
        <f aca="false">IF($H464="",0,IFERROR(INDEX(LevelBasic,MATCH($H464,LevelList,0))+INDEX(LevelHousing,MATCH($H464,LevelList,0))+INDEX(LevelTransport,MATCH($H464,LevelList,0))+INDEX(LevelBasic,MATCH($H464,LevelList,0))*INDEX(LevelBonus,MATCH($H464,LevelList,0))+(INDEX(LevelBasic,MATCH($H464,LevelList,0))+INDEX(LevelHousing,MATCH($H464,LevelList,0)))*GosiSaudi,0))</f>
        <v>0</v>
      </c>
      <c r="W464" s="35" t="n">
        <f aca="false">IFERROR(INDEX(LevelOneOff,MATCH($H464,LevelList,0)),0)</f>
        <v>0</v>
      </c>
      <c r="X464" s="35" t="str">
        <f aca="false">IF($G464="","",$V464*N($L464))</f>
        <v/>
      </c>
      <c r="Y464" s="35" t="str">
        <f aca="false">IF($G464="","",$V464*(N($M464)*1+N($N464)*0.75+N($O464)*0.5+N($P464)*0.25)+$W464*N($L464))</f>
        <v/>
      </c>
      <c r="Z464" s="35" t="str">
        <f aca="false">IF($G464="","",$U464*1000000+ROW())</f>
        <v/>
      </c>
      <c r="AA464" s="36" t="str">
        <f aca="false">IF($G464="","",MID(IF($C464="",", no division","")&amp;IF($E464="",", no unit","")&amp;IF($H464="",", no career level","")&amp;IF(N($L464)&lt;=0,", no quarter split","")&amp;IF($R464="",", no driver","")&amp;IF(AND($H464&lt;&gt;"",COUNTIF(CareerLevels,$H464)=0),", a career level that is not on the ladder","")&amp;IF(AND($R464&lt;&gt;"",COUNTIF(DriverList,$R464)=0),", a driver that is not on the list","")&amp;IF(ABS(N($L464)-(N($M464)+N($N464)+N($O464)+N($P464)))&gt;0.001,", a total that does not match its quarters",""),3,300))</f>
        <v/>
      </c>
    </row>
    <row r="465" customFormat="false" ht="15" hidden="false" customHeight="false" outlineLevel="0" collapsed="false">
      <c r="A465" s="33" t="str">
        <f aca="false">IF($G465="","","Corporate Banking Group")</f>
        <v/>
      </c>
      <c r="B465" s="19"/>
      <c r="C465" s="19"/>
      <c r="D465" s="19"/>
      <c r="E465" s="19"/>
      <c r="F465" s="19"/>
      <c r="G465" s="19"/>
      <c r="H465" s="19"/>
      <c r="I465" s="19"/>
      <c r="J465" s="19"/>
      <c r="K465" s="19"/>
      <c r="L465" s="19"/>
      <c r="M465" s="19"/>
      <c r="N465" s="19"/>
      <c r="O465" s="19"/>
      <c r="P465" s="19"/>
      <c r="Q465" s="19"/>
      <c r="R465" s="19"/>
      <c r="S465" s="19"/>
      <c r="T465" s="34" t="str">
        <f aca="false">IF($R465="","",IFERROR(INDEX(DriverCategory,MATCH($R465,DriverList,0)),"BAU"))</f>
        <v/>
      </c>
      <c r="U465" s="34" t="str">
        <f aca="false">IF($R465="","",IFERROR(INDEX(DriverRank,MATCH($R465,DriverList,0)),99))</f>
        <v/>
      </c>
      <c r="V465" s="35" t="n">
        <f aca="false">IF($H465="",0,IFERROR(INDEX(LevelBasic,MATCH($H465,LevelList,0))+INDEX(LevelHousing,MATCH($H465,LevelList,0))+INDEX(LevelTransport,MATCH($H465,LevelList,0))+INDEX(LevelBasic,MATCH($H465,LevelList,0))*INDEX(LevelBonus,MATCH($H465,LevelList,0))+(INDEX(LevelBasic,MATCH($H465,LevelList,0))+INDEX(LevelHousing,MATCH($H465,LevelList,0)))*GosiSaudi,0))</f>
        <v>0</v>
      </c>
      <c r="W465" s="35" t="n">
        <f aca="false">IFERROR(INDEX(LevelOneOff,MATCH($H465,LevelList,0)),0)</f>
        <v>0</v>
      </c>
      <c r="X465" s="35" t="str">
        <f aca="false">IF($G465="","",$V465*N($L465))</f>
        <v/>
      </c>
      <c r="Y465" s="35" t="str">
        <f aca="false">IF($G465="","",$V465*(N($M465)*1+N($N465)*0.75+N($O465)*0.5+N($P465)*0.25)+$W465*N($L465))</f>
        <v/>
      </c>
      <c r="Z465" s="35" t="str">
        <f aca="false">IF($G465="","",$U465*1000000+ROW())</f>
        <v/>
      </c>
      <c r="AA465" s="36" t="str">
        <f aca="false">IF($G465="","",MID(IF($C465="",", no division","")&amp;IF($E465="",", no unit","")&amp;IF($H465="",", no career level","")&amp;IF(N($L465)&lt;=0,", no quarter split","")&amp;IF($R465="",", no driver","")&amp;IF(AND($H465&lt;&gt;"",COUNTIF(CareerLevels,$H465)=0),", a career level that is not on the ladder","")&amp;IF(AND($R465&lt;&gt;"",COUNTIF(DriverList,$R465)=0),", a driver that is not on the list","")&amp;IF(ABS(N($L465)-(N($M465)+N($N465)+N($O465)+N($P465)))&gt;0.001,", a total that does not match its quarters",""),3,300))</f>
        <v/>
      </c>
    </row>
    <row r="466" customFormat="false" ht="15" hidden="false" customHeight="false" outlineLevel="0" collapsed="false">
      <c r="A466" s="33" t="str">
        <f aca="false">IF($G466="","","Corporate Banking Group")</f>
        <v/>
      </c>
      <c r="B466" s="19"/>
      <c r="C466" s="19"/>
      <c r="D466" s="19"/>
      <c r="E466" s="19"/>
      <c r="F466" s="19"/>
      <c r="G466" s="19"/>
      <c r="H466" s="19"/>
      <c r="I466" s="19"/>
      <c r="J466" s="19"/>
      <c r="K466" s="19"/>
      <c r="L466" s="19"/>
      <c r="M466" s="19"/>
      <c r="N466" s="19"/>
      <c r="O466" s="19"/>
      <c r="P466" s="19"/>
      <c r="Q466" s="19"/>
      <c r="R466" s="19"/>
      <c r="S466" s="19"/>
      <c r="T466" s="34" t="str">
        <f aca="false">IF($R466="","",IFERROR(INDEX(DriverCategory,MATCH($R466,DriverList,0)),"BAU"))</f>
        <v/>
      </c>
      <c r="U466" s="34" t="str">
        <f aca="false">IF($R466="","",IFERROR(INDEX(DriverRank,MATCH($R466,DriverList,0)),99))</f>
        <v/>
      </c>
      <c r="V466" s="35" t="n">
        <f aca="false">IF($H466="",0,IFERROR(INDEX(LevelBasic,MATCH($H466,LevelList,0))+INDEX(LevelHousing,MATCH($H466,LevelList,0))+INDEX(LevelTransport,MATCH($H466,LevelList,0))+INDEX(LevelBasic,MATCH($H466,LevelList,0))*INDEX(LevelBonus,MATCH($H466,LevelList,0))+(INDEX(LevelBasic,MATCH($H466,LevelList,0))+INDEX(LevelHousing,MATCH($H466,LevelList,0)))*GosiSaudi,0))</f>
        <v>0</v>
      </c>
      <c r="W466" s="35" t="n">
        <f aca="false">IFERROR(INDEX(LevelOneOff,MATCH($H466,LevelList,0)),0)</f>
        <v>0</v>
      </c>
      <c r="X466" s="35" t="str">
        <f aca="false">IF($G466="","",$V466*N($L466))</f>
        <v/>
      </c>
      <c r="Y466" s="35" t="str">
        <f aca="false">IF($G466="","",$V466*(N($M466)*1+N($N466)*0.75+N($O466)*0.5+N($P466)*0.25)+$W466*N($L466))</f>
        <v/>
      </c>
      <c r="Z466" s="35" t="str">
        <f aca="false">IF($G466="","",$U466*1000000+ROW())</f>
        <v/>
      </c>
      <c r="AA466" s="36" t="str">
        <f aca="false">IF($G466="","",MID(IF($C466="",", no division","")&amp;IF($E466="",", no unit","")&amp;IF($H466="",", no career level","")&amp;IF(N($L466)&lt;=0,", no quarter split","")&amp;IF($R466="",", no driver","")&amp;IF(AND($H466&lt;&gt;"",COUNTIF(CareerLevels,$H466)=0),", a career level that is not on the ladder","")&amp;IF(AND($R466&lt;&gt;"",COUNTIF(DriverList,$R466)=0),", a driver that is not on the list","")&amp;IF(ABS(N($L466)-(N($M466)+N($N466)+N($O466)+N($P466)))&gt;0.001,", a total that does not match its quarters",""),3,300))</f>
        <v/>
      </c>
    </row>
    <row r="467" customFormat="false" ht="15" hidden="false" customHeight="false" outlineLevel="0" collapsed="false">
      <c r="A467" s="33" t="str">
        <f aca="false">IF($G467="","","Corporate Banking Group")</f>
        <v/>
      </c>
      <c r="B467" s="19"/>
      <c r="C467" s="19"/>
      <c r="D467" s="19"/>
      <c r="E467" s="19"/>
      <c r="F467" s="19"/>
      <c r="G467" s="19"/>
      <c r="H467" s="19"/>
      <c r="I467" s="19"/>
      <c r="J467" s="19"/>
      <c r="K467" s="19"/>
      <c r="L467" s="19"/>
      <c r="M467" s="19"/>
      <c r="N467" s="19"/>
      <c r="O467" s="19"/>
      <c r="P467" s="19"/>
      <c r="Q467" s="19"/>
      <c r="R467" s="19"/>
      <c r="S467" s="19"/>
      <c r="T467" s="34" t="str">
        <f aca="false">IF($R467="","",IFERROR(INDEX(DriverCategory,MATCH($R467,DriverList,0)),"BAU"))</f>
        <v/>
      </c>
      <c r="U467" s="34" t="str">
        <f aca="false">IF($R467="","",IFERROR(INDEX(DriverRank,MATCH($R467,DriverList,0)),99))</f>
        <v/>
      </c>
      <c r="V467" s="35" t="n">
        <f aca="false">IF($H467="",0,IFERROR(INDEX(LevelBasic,MATCH($H467,LevelList,0))+INDEX(LevelHousing,MATCH($H467,LevelList,0))+INDEX(LevelTransport,MATCH($H467,LevelList,0))+INDEX(LevelBasic,MATCH($H467,LevelList,0))*INDEX(LevelBonus,MATCH($H467,LevelList,0))+(INDEX(LevelBasic,MATCH($H467,LevelList,0))+INDEX(LevelHousing,MATCH($H467,LevelList,0)))*GosiSaudi,0))</f>
        <v>0</v>
      </c>
      <c r="W467" s="35" t="n">
        <f aca="false">IFERROR(INDEX(LevelOneOff,MATCH($H467,LevelList,0)),0)</f>
        <v>0</v>
      </c>
      <c r="X467" s="35" t="str">
        <f aca="false">IF($G467="","",$V467*N($L467))</f>
        <v/>
      </c>
      <c r="Y467" s="35" t="str">
        <f aca="false">IF($G467="","",$V467*(N($M467)*1+N($N467)*0.75+N($O467)*0.5+N($P467)*0.25)+$W467*N($L467))</f>
        <v/>
      </c>
      <c r="Z467" s="35" t="str">
        <f aca="false">IF($G467="","",$U467*1000000+ROW())</f>
        <v/>
      </c>
      <c r="AA467" s="36" t="str">
        <f aca="false">IF($G467="","",MID(IF($C467="",", no division","")&amp;IF($E467="",", no unit","")&amp;IF($H467="",", no career level","")&amp;IF(N($L467)&lt;=0,", no quarter split","")&amp;IF($R467="",", no driver","")&amp;IF(AND($H467&lt;&gt;"",COUNTIF(CareerLevels,$H467)=0),", a career level that is not on the ladder","")&amp;IF(AND($R467&lt;&gt;"",COUNTIF(DriverList,$R467)=0),", a driver that is not on the list","")&amp;IF(ABS(N($L467)-(N($M467)+N($N467)+N($O467)+N($P467)))&gt;0.001,", a total that does not match its quarters",""),3,300))</f>
        <v/>
      </c>
    </row>
    <row r="468" customFormat="false" ht="15" hidden="false" customHeight="false" outlineLevel="0" collapsed="false">
      <c r="A468" s="33" t="str">
        <f aca="false">IF($G468="","","Corporate Banking Group")</f>
        <v/>
      </c>
      <c r="B468" s="19"/>
      <c r="C468" s="19"/>
      <c r="D468" s="19"/>
      <c r="E468" s="19"/>
      <c r="F468" s="19"/>
      <c r="G468" s="19"/>
      <c r="H468" s="19"/>
      <c r="I468" s="19"/>
      <c r="J468" s="19"/>
      <c r="K468" s="19"/>
      <c r="L468" s="19"/>
      <c r="M468" s="19"/>
      <c r="N468" s="19"/>
      <c r="O468" s="19"/>
      <c r="P468" s="19"/>
      <c r="Q468" s="19"/>
      <c r="R468" s="19"/>
      <c r="S468" s="19"/>
      <c r="T468" s="34" t="str">
        <f aca="false">IF($R468="","",IFERROR(INDEX(DriverCategory,MATCH($R468,DriverList,0)),"BAU"))</f>
        <v/>
      </c>
      <c r="U468" s="34" t="str">
        <f aca="false">IF($R468="","",IFERROR(INDEX(DriverRank,MATCH($R468,DriverList,0)),99))</f>
        <v/>
      </c>
      <c r="V468" s="35" t="n">
        <f aca="false">IF($H468="",0,IFERROR(INDEX(LevelBasic,MATCH($H468,LevelList,0))+INDEX(LevelHousing,MATCH($H468,LevelList,0))+INDEX(LevelTransport,MATCH($H468,LevelList,0))+INDEX(LevelBasic,MATCH($H468,LevelList,0))*INDEX(LevelBonus,MATCH($H468,LevelList,0))+(INDEX(LevelBasic,MATCH($H468,LevelList,0))+INDEX(LevelHousing,MATCH($H468,LevelList,0)))*GosiSaudi,0))</f>
        <v>0</v>
      </c>
      <c r="W468" s="35" t="n">
        <f aca="false">IFERROR(INDEX(LevelOneOff,MATCH($H468,LevelList,0)),0)</f>
        <v>0</v>
      </c>
      <c r="X468" s="35" t="str">
        <f aca="false">IF($G468="","",$V468*N($L468))</f>
        <v/>
      </c>
      <c r="Y468" s="35" t="str">
        <f aca="false">IF($G468="","",$V468*(N($M468)*1+N($N468)*0.75+N($O468)*0.5+N($P468)*0.25)+$W468*N($L468))</f>
        <v/>
      </c>
      <c r="Z468" s="35" t="str">
        <f aca="false">IF($G468="","",$U468*1000000+ROW())</f>
        <v/>
      </c>
      <c r="AA468" s="36" t="str">
        <f aca="false">IF($G468="","",MID(IF($C468="",", no division","")&amp;IF($E468="",", no unit","")&amp;IF($H468="",", no career level","")&amp;IF(N($L468)&lt;=0,", no quarter split","")&amp;IF($R468="",", no driver","")&amp;IF(AND($H468&lt;&gt;"",COUNTIF(CareerLevels,$H468)=0),", a career level that is not on the ladder","")&amp;IF(AND($R468&lt;&gt;"",COUNTIF(DriverList,$R468)=0),", a driver that is not on the list","")&amp;IF(ABS(N($L468)-(N($M468)+N($N468)+N($O468)+N($P468)))&gt;0.001,", a total that does not match its quarters",""),3,300))</f>
        <v/>
      </c>
    </row>
    <row r="469" customFormat="false" ht="15" hidden="false" customHeight="false" outlineLevel="0" collapsed="false">
      <c r="A469" s="33" t="str">
        <f aca="false">IF($G469="","","Corporate Banking Group")</f>
        <v/>
      </c>
      <c r="B469" s="19"/>
      <c r="C469" s="19"/>
      <c r="D469" s="19"/>
      <c r="E469" s="19"/>
      <c r="F469" s="19"/>
      <c r="G469" s="19"/>
      <c r="H469" s="19"/>
      <c r="I469" s="19"/>
      <c r="J469" s="19"/>
      <c r="K469" s="19"/>
      <c r="L469" s="19"/>
      <c r="M469" s="19"/>
      <c r="N469" s="19"/>
      <c r="O469" s="19"/>
      <c r="P469" s="19"/>
      <c r="Q469" s="19"/>
      <c r="R469" s="19"/>
      <c r="S469" s="19"/>
      <c r="T469" s="34" t="str">
        <f aca="false">IF($R469="","",IFERROR(INDEX(DriverCategory,MATCH($R469,DriverList,0)),"BAU"))</f>
        <v/>
      </c>
      <c r="U469" s="34" t="str">
        <f aca="false">IF($R469="","",IFERROR(INDEX(DriverRank,MATCH($R469,DriverList,0)),99))</f>
        <v/>
      </c>
      <c r="V469" s="35" t="n">
        <f aca="false">IF($H469="",0,IFERROR(INDEX(LevelBasic,MATCH($H469,LevelList,0))+INDEX(LevelHousing,MATCH($H469,LevelList,0))+INDEX(LevelTransport,MATCH($H469,LevelList,0))+INDEX(LevelBasic,MATCH($H469,LevelList,0))*INDEX(LevelBonus,MATCH($H469,LevelList,0))+(INDEX(LevelBasic,MATCH($H469,LevelList,0))+INDEX(LevelHousing,MATCH($H469,LevelList,0)))*GosiSaudi,0))</f>
        <v>0</v>
      </c>
      <c r="W469" s="35" t="n">
        <f aca="false">IFERROR(INDEX(LevelOneOff,MATCH($H469,LevelList,0)),0)</f>
        <v>0</v>
      </c>
      <c r="X469" s="35" t="str">
        <f aca="false">IF($G469="","",$V469*N($L469))</f>
        <v/>
      </c>
      <c r="Y469" s="35" t="str">
        <f aca="false">IF($G469="","",$V469*(N($M469)*1+N($N469)*0.75+N($O469)*0.5+N($P469)*0.25)+$W469*N($L469))</f>
        <v/>
      </c>
      <c r="Z469" s="35" t="str">
        <f aca="false">IF($G469="","",$U469*1000000+ROW())</f>
        <v/>
      </c>
      <c r="AA469" s="36" t="str">
        <f aca="false">IF($G469="","",MID(IF($C469="",", no division","")&amp;IF($E469="",", no unit","")&amp;IF($H469="",", no career level","")&amp;IF(N($L469)&lt;=0,", no quarter split","")&amp;IF($R469="",", no driver","")&amp;IF(AND($H469&lt;&gt;"",COUNTIF(CareerLevels,$H469)=0),", a career level that is not on the ladder","")&amp;IF(AND($R469&lt;&gt;"",COUNTIF(DriverList,$R469)=0),", a driver that is not on the list","")&amp;IF(ABS(N($L469)-(N($M469)+N($N469)+N($O469)+N($P469)))&gt;0.001,", a total that does not match its quarters",""),3,300))</f>
        <v/>
      </c>
    </row>
    <row r="470" customFormat="false" ht="15" hidden="false" customHeight="false" outlineLevel="0" collapsed="false">
      <c r="A470" s="33" t="str">
        <f aca="false">IF($G470="","","Corporate Banking Group")</f>
        <v/>
      </c>
      <c r="B470" s="19"/>
      <c r="C470" s="19"/>
      <c r="D470" s="19"/>
      <c r="E470" s="19"/>
      <c r="F470" s="19"/>
      <c r="G470" s="19"/>
      <c r="H470" s="19"/>
      <c r="I470" s="19"/>
      <c r="J470" s="19"/>
      <c r="K470" s="19"/>
      <c r="L470" s="19"/>
      <c r="M470" s="19"/>
      <c r="N470" s="19"/>
      <c r="O470" s="19"/>
      <c r="P470" s="19"/>
      <c r="Q470" s="19"/>
      <c r="R470" s="19"/>
      <c r="S470" s="19"/>
      <c r="T470" s="34" t="str">
        <f aca="false">IF($R470="","",IFERROR(INDEX(DriverCategory,MATCH($R470,DriverList,0)),"BAU"))</f>
        <v/>
      </c>
      <c r="U470" s="34" t="str">
        <f aca="false">IF($R470="","",IFERROR(INDEX(DriverRank,MATCH($R470,DriverList,0)),99))</f>
        <v/>
      </c>
      <c r="V470" s="35" t="n">
        <f aca="false">IF($H470="",0,IFERROR(INDEX(LevelBasic,MATCH($H470,LevelList,0))+INDEX(LevelHousing,MATCH($H470,LevelList,0))+INDEX(LevelTransport,MATCH($H470,LevelList,0))+INDEX(LevelBasic,MATCH($H470,LevelList,0))*INDEX(LevelBonus,MATCH($H470,LevelList,0))+(INDEX(LevelBasic,MATCH($H470,LevelList,0))+INDEX(LevelHousing,MATCH($H470,LevelList,0)))*GosiSaudi,0))</f>
        <v>0</v>
      </c>
      <c r="W470" s="35" t="n">
        <f aca="false">IFERROR(INDEX(LevelOneOff,MATCH($H470,LevelList,0)),0)</f>
        <v>0</v>
      </c>
      <c r="X470" s="35" t="str">
        <f aca="false">IF($G470="","",$V470*N($L470))</f>
        <v/>
      </c>
      <c r="Y470" s="35" t="str">
        <f aca="false">IF($G470="","",$V470*(N($M470)*1+N($N470)*0.75+N($O470)*0.5+N($P470)*0.25)+$W470*N($L470))</f>
        <v/>
      </c>
      <c r="Z470" s="35" t="str">
        <f aca="false">IF($G470="","",$U470*1000000+ROW())</f>
        <v/>
      </c>
      <c r="AA470" s="36" t="str">
        <f aca="false">IF($G470="","",MID(IF($C470="",", no division","")&amp;IF($E470="",", no unit","")&amp;IF($H470="",", no career level","")&amp;IF(N($L470)&lt;=0,", no quarter split","")&amp;IF($R470="",", no driver","")&amp;IF(AND($H470&lt;&gt;"",COUNTIF(CareerLevels,$H470)=0),", a career level that is not on the ladder","")&amp;IF(AND($R470&lt;&gt;"",COUNTIF(DriverList,$R470)=0),", a driver that is not on the list","")&amp;IF(ABS(N($L470)-(N($M470)+N($N470)+N($O470)+N($P470)))&gt;0.001,", a total that does not match its quarters",""),3,300))</f>
        <v/>
      </c>
    </row>
    <row r="471" customFormat="false" ht="15" hidden="false" customHeight="false" outlineLevel="0" collapsed="false">
      <c r="A471" s="33" t="str">
        <f aca="false">IF($G471="","","Corporate Banking Group")</f>
        <v/>
      </c>
      <c r="B471" s="19"/>
      <c r="C471" s="19"/>
      <c r="D471" s="19"/>
      <c r="E471" s="19"/>
      <c r="F471" s="19"/>
      <c r="G471" s="19"/>
      <c r="H471" s="19"/>
      <c r="I471" s="19"/>
      <c r="J471" s="19"/>
      <c r="K471" s="19"/>
      <c r="L471" s="19"/>
      <c r="M471" s="19"/>
      <c r="N471" s="19"/>
      <c r="O471" s="19"/>
      <c r="P471" s="19"/>
      <c r="Q471" s="19"/>
      <c r="R471" s="19"/>
      <c r="S471" s="19"/>
      <c r="T471" s="34" t="str">
        <f aca="false">IF($R471="","",IFERROR(INDEX(DriverCategory,MATCH($R471,DriverList,0)),"BAU"))</f>
        <v/>
      </c>
      <c r="U471" s="34" t="str">
        <f aca="false">IF($R471="","",IFERROR(INDEX(DriverRank,MATCH($R471,DriverList,0)),99))</f>
        <v/>
      </c>
      <c r="V471" s="35" t="n">
        <f aca="false">IF($H471="",0,IFERROR(INDEX(LevelBasic,MATCH($H471,LevelList,0))+INDEX(LevelHousing,MATCH($H471,LevelList,0))+INDEX(LevelTransport,MATCH($H471,LevelList,0))+INDEX(LevelBasic,MATCH($H471,LevelList,0))*INDEX(LevelBonus,MATCH($H471,LevelList,0))+(INDEX(LevelBasic,MATCH($H471,LevelList,0))+INDEX(LevelHousing,MATCH($H471,LevelList,0)))*GosiSaudi,0))</f>
        <v>0</v>
      </c>
      <c r="W471" s="35" t="n">
        <f aca="false">IFERROR(INDEX(LevelOneOff,MATCH($H471,LevelList,0)),0)</f>
        <v>0</v>
      </c>
      <c r="X471" s="35" t="str">
        <f aca="false">IF($G471="","",$V471*N($L471))</f>
        <v/>
      </c>
      <c r="Y471" s="35" t="str">
        <f aca="false">IF($G471="","",$V471*(N($M471)*1+N($N471)*0.75+N($O471)*0.5+N($P471)*0.25)+$W471*N($L471))</f>
        <v/>
      </c>
      <c r="Z471" s="35" t="str">
        <f aca="false">IF($G471="","",$U471*1000000+ROW())</f>
        <v/>
      </c>
      <c r="AA471" s="36" t="str">
        <f aca="false">IF($G471="","",MID(IF($C471="",", no division","")&amp;IF($E471="",", no unit","")&amp;IF($H471="",", no career level","")&amp;IF(N($L471)&lt;=0,", no quarter split","")&amp;IF($R471="",", no driver","")&amp;IF(AND($H471&lt;&gt;"",COUNTIF(CareerLevels,$H471)=0),", a career level that is not on the ladder","")&amp;IF(AND($R471&lt;&gt;"",COUNTIF(DriverList,$R471)=0),", a driver that is not on the list","")&amp;IF(ABS(N($L471)-(N($M471)+N($N471)+N($O471)+N($P471)))&gt;0.001,", a total that does not match its quarters",""),3,300))</f>
        <v/>
      </c>
    </row>
    <row r="472" customFormat="false" ht="15" hidden="false" customHeight="false" outlineLevel="0" collapsed="false">
      <c r="A472" s="33" t="str">
        <f aca="false">IF($G472="","","Corporate Banking Group")</f>
        <v/>
      </c>
      <c r="B472" s="19"/>
      <c r="C472" s="19"/>
      <c r="D472" s="19"/>
      <c r="E472" s="19"/>
      <c r="F472" s="19"/>
      <c r="G472" s="19"/>
      <c r="H472" s="19"/>
      <c r="I472" s="19"/>
      <c r="J472" s="19"/>
      <c r="K472" s="19"/>
      <c r="L472" s="19"/>
      <c r="M472" s="19"/>
      <c r="N472" s="19"/>
      <c r="O472" s="19"/>
      <c r="P472" s="19"/>
      <c r="Q472" s="19"/>
      <c r="R472" s="19"/>
      <c r="S472" s="19"/>
      <c r="T472" s="34" t="str">
        <f aca="false">IF($R472="","",IFERROR(INDEX(DriverCategory,MATCH($R472,DriverList,0)),"BAU"))</f>
        <v/>
      </c>
      <c r="U472" s="34" t="str">
        <f aca="false">IF($R472="","",IFERROR(INDEX(DriverRank,MATCH($R472,DriverList,0)),99))</f>
        <v/>
      </c>
      <c r="V472" s="35" t="n">
        <f aca="false">IF($H472="",0,IFERROR(INDEX(LevelBasic,MATCH($H472,LevelList,0))+INDEX(LevelHousing,MATCH($H472,LevelList,0))+INDEX(LevelTransport,MATCH($H472,LevelList,0))+INDEX(LevelBasic,MATCH($H472,LevelList,0))*INDEX(LevelBonus,MATCH($H472,LevelList,0))+(INDEX(LevelBasic,MATCH($H472,LevelList,0))+INDEX(LevelHousing,MATCH($H472,LevelList,0)))*GosiSaudi,0))</f>
        <v>0</v>
      </c>
      <c r="W472" s="35" t="n">
        <f aca="false">IFERROR(INDEX(LevelOneOff,MATCH($H472,LevelList,0)),0)</f>
        <v>0</v>
      </c>
      <c r="X472" s="35" t="str">
        <f aca="false">IF($G472="","",$V472*N($L472))</f>
        <v/>
      </c>
      <c r="Y472" s="35" t="str">
        <f aca="false">IF($G472="","",$V472*(N($M472)*1+N($N472)*0.75+N($O472)*0.5+N($P472)*0.25)+$W472*N($L472))</f>
        <v/>
      </c>
      <c r="Z472" s="35" t="str">
        <f aca="false">IF($G472="","",$U472*1000000+ROW())</f>
        <v/>
      </c>
      <c r="AA472" s="36" t="str">
        <f aca="false">IF($G472="","",MID(IF($C472="",", no division","")&amp;IF($E472="",", no unit","")&amp;IF($H472="",", no career level","")&amp;IF(N($L472)&lt;=0,", no quarter split","")&amp;IF($R472="",", no driver","")&amp;IF(AND($H472&lt;&gt;"",COUNTIF(CareerLevels,$H472)=0),", a career level that is not on the ladder","")&amp;IF(AND($R472&lt;&gt;"",COUNTIF(DriverList,$R472)=0),", a driver that is not on the list","")&amp;IF(ABS(N($L472)-(N($M472)+N($N472)+N($O472)+N($P472)))&gt;0.001,", a total that does not match its quarters",""),3,300))</f>
        <v/>
      </c>
    </row>
    <row r="473" customFormat="false" ht="15" hidden="false" customHeight="false" outlineLevel="0" collapsed="false">
      <c r="A473" s="33" t="str">
        <f aca="false">IF($G473="","","Corporate Banking Group")</f>
        <v/>
      </c>
      <c r="B473" s="19"/>
      <c r="C473" s="19"/>
      <c r="D473" s="19"/>
      <c r="E473" s="19"/>
      <c r="F473" s="19"/>
      <c r="G473" s="19"/>
      <c r="H473" s="19"/>
      <c r="I473" s="19"/>
      <c r="J473" s="19"/>
      <c r="K473" s="19"/>
      <c r="L473" s="19"/>
      <c r="M473" s="19"/>
      <c r="N473" s="19"/>
      <c r="O473" s="19"/>
      <c r="P473" s="19"/>
      <c r="Q473" s="19"/>
      <c r="R473" s="19"/>
      <c r="S473" s="19"/>
      <c r="T473" s="34" t="str">
        <f aca="false">IF($R473="","",IFERROR(INDEX(DriverCategory,MATCH($R473,DriverList,0)),"BAU"))</f>
        <v/>
      </c>
      <c r="U473" s="34" t="str">
        <f aca="false">IF($R473="","",IFERROR(INDEX(DriverRank,MATCH($R473,DriverList,0)),99))</f>
        <v/>
      </c>
      <c r="V473" s="35" t="n">
        <f aca="false">IF($H473="",0,IFERROR(INDEX(LevelBasic,MATCH($H473,LevelList,0))+INDEX(LevelHousing,MATCH($H473,LevelList,0))+INDEX(LevelTransport,MATCH($H473,LevelList,0))+INDEX(LevelBasic,MATCH($H473,LevelList,0))*INDEX(LevelBonus,MATCH($H473,LevelList,0))+(INDEX(LevelBasic,MATCH($H473,LevelList,0))+INDEX(LevelHousing,MATCH($H473,LevelList,0)))*GosiSaudi,0))</f>
        <v>0</v>
      </c>
      <c r="W473" s="35" t="n">
        <f aca="false">IFERROR(INDEX(LevelOneOff,MATCH($H473,LevelList,0)),0)</f>
        <v>0</v>
      </c>
      <c r="X473" s="35" t="str">
        <f aca="false">IF($G473="","",$V473*N($L473))</f>
        <v/>
      </c>
      <c r="Y473" s="35" t="str">
        <f aca="false">IF($G473="","",$V473*(N($M473)*1+N($N473)*0.75+N($O473)*0.5+N($P473)*0.25)+$W473*N($L473))</f>
        <v/>
      </c>
      <c r="Z473" s="35" t="str">
        <f aca="false">IF($G473="","",$U473*1000000+ROW())</f>
        <v/>
      </c>
      <c r="AA473" s="36" t="str">
        <f aca="false">IF($G473="","",MID(IF($C473="",", no division","")&amp;IF($E473="",", no unit","")&amp;IF($H473="",", no career level","")&amp;IF(N($L473)&lt;=0,", no quarter split","")&amp;IF($R473="",", no driver","")&amp;IF(AND($H473&lt;&gt;"",COUNTIF(CareerLevels,$H473)=0),", a career level that is not on the ladder","")&amp;IF(AND($R473&lt;&gt;"",COUNTIF(DriverList,$R473)=0),", a driver that is not on the list","")&amp;IF(ABS(N($L473)-(N($M473)+N($N473)+N($O473)+N($P473)))&gt;0.001,", a total that does not match its quarters",""),3,300))</f>
        <v/>
      </c>
    </row>
    <row r="474" customFormat="false" ht="15" hidden="false" customHeight="false" outlineLevel="0" collapsed="false">
      <c r="A474" s="33" t="str">
        <f aca="false">IF($G474="","","Corporate Banking Group")</f>
        <v/>
      </c>
      <c r="B474" s="19"/>
      <c r="C474" s="19"/>
      <c r="D474" s="19"/>
      <c r="E474" s="19"/>
      <c r="F474" s="19"/>
      <c r="G474" s="19"/>
      <c r="H474" s="19"/>
      <c r="I474" s="19"/>
      <c r="J474" s="19"/>
      <c r="K474" s="19"/>
      <c r="L474" s="19"/>
      <c r="M474" s="19"/>
      <c r="N474" s="19"/>
      <c r="O474" s="19"/>
      <c r="P474" s="19"/>
      <c r="Q474" s="19"/>
      <c r="R474" s="19"/>
      <c r="S474" s="19"/>
      <c r="T474" s="34" t="str">
        <f aca="false">IF($R474="","",IFERROR(INDEX(DriverCategory,MATCH($R474,DriverList,0)),"BAU"))</f>
        <v/>
      </c>
      <c r="U474" s="34" t="str">
        <f aca="false">IF($R474="","",IFERROR(INDEX(DriverRank,MATCH($R474,DriverList,0)),99))</f>
        <v/>
      </c>
      <c r="V474" s="35" t="n">
        <f aca="false">IF($H474="",0,IFERROR(INDEX(LevelBasic,MATCH($H474,LevelList,0))+INDEX(LevelHousing,MATCH($H474,LevelList,0))+INDEX(LevelTransport,MATCH($H474,LevelList,0))+INDEX(LevelBasic,MATCH($H474,LevelList,0))*INDEX(LevelBonus,MATCH($H474,LevelList,0))+(INDEX(LevelBasic,MATCH($H474,LevelList,0))+INDEX(LevelHousing,MATCH($H474,LevelList,0)))*GosiSaudi,0))</f>
        <v>0</v>
      </c>
      <c r="W474" s="35" t="n">
        <f aca="false">IFERROR(INDEX(LevelOneOff,MATCH($H474,LevelList,0)),0)</f>
        <v>0</v>
      </c>
      <c r="X474" s="35" t="str">
        <f aca="false">IF($G474="","",$V474*N($L474))</f>
        <v/>
      </c>
      <c r="Y474" s="35" t="str">
        <f aca="false">IF($G474="","",$V474*(N($M474)*1+N($N474)*0.75+N($O474)*0.5+N($P474)*0.25)+$W474*N($L474))</f>
        <v/>
      </c>
      <c r="Z474" s="35" t="str">
        <f aca="false">IF($G474="","",$U474*1000000+ROW())</f>
        <v/>
      </c>
      <c r="AA474" s="36" t="str">
        <f aca="false">IF($G474="","",MID(IF($C474="",", no division","")&amp;IF($E474="",", no unit","")&amp;IF($H474="",", no career level","")&amp;IF(N($L474)&lt;=0,", no quarter split","")&amp;IF($R474="",", no driver","")&amp;IF(AND($H474&lt;&gt;"",COUNTIF(CareerLevels,$H474)=0),", a career level that is not on the ladder","")&amp;IF(AND($R474&lt;&gt;"",COUNTIF(DriverList,$R474)=0),", a driver that is not on the list","")&amp;IF(ABS(N($L474)-(N($M474)+N($N474)+N($O474)+N($P474)))&gt;0.001,", a total that does not match its quarters",""),3,300))</f>
        <v/>
      </c>
    </row>
    <row r="475" customFormat="false" ht="15" hidden="false" customHeight="false" outlineLevel="0" collapsed="false">
      <c r="A475" s="33" t="str">
        <f aca="false">IF($G475="","","Corporate Banking Group")</f>
        <v/>
      </c>
      <c r="B475" s="19"/>
      <c r="C475" s="19"/>
      <c r="D475" s="19"/>
      <c r="E475" s="19"/>
      <c r="F475" s="19"/>
      <c r="G475" s="19"/>
      <c r="H475" s="19"/>
      <c r="I475" s="19"/>
      <c r="J475" s="19"/>
      <c r="K475" s="19"/>
      <c r="L475" s="19"/>
      <c r="M475" s="19"/>
      <c r="N475" s="19"/>
      <c r="O475" s="19"/>
      <c r="P475" s="19"/>
      <c r="Q475" s="19"/>
      <c r="R475" s="19"/>
      <c r="S475" s="19"/>
      <c r="T475" s="34" t="str">
        <f aca="false">IF($R475="","",IFERROR(INDEX(DriverCategory,MATCH($R475,DriverList,0)),"BAU"))</f>
        <v/>
      </c>
      <c r="U475" s="34" t="str">
        <f aca="false">IF($R475="","",IFERROR(INDEX(DriverRank,MATCH($R475,DriverList,0)),99))</f>
        <v/>
      </c>
      <c r="V475" s="35" t="n">
        <f aca="false">IF($H475="",0,IFERROR(INDEX(LevelBasic,MATCH($H475,LevelList,0))+INDEX(LevelHousing,MATCH($H475,LevelList,0))+INDEX(LevelTransport,MATCH($H475,LevelList,0))+INDEX(LevelBasic,MATCH($H475,LevelList,0))*INDEX(LevelBonus,MATCH($H475,LevelList,0))+(INDEX(LevelBasic,MATCH($H475,LevelList,0))+INDEX(LevelHousing,MATCH($H475,LevelList,0)))*GosiSaudi,0))</f>
        <v>0</v>
      </c>
      <c r="W475" s="35" t="n">
        <f aca="false">IFERROR(INDEX(LevelOneOff,MATCH($H475,LevelList,0)),0)</f>
        <v>0</v>
      </c>
      <c r="X475" s="35" t="str">
        <f aca="false">IF($G475="","",$V475*N($L475))</f>
        <v/>
      </c>
      <c r="Y475" s="35" t="str">
        <f aca="false">IF($G475="","",$V475*(N($M475)*1+N($N475)*0.75+N($O475)*0.5+N($P475)*0.25)+$W475*N($L475))</f>
        <v/>
      </c>
      <c r="Z475" s="35" t="str">
        <f aca="false">IF($G475="","",$U475*1000000+ROW())</f>
        <v/>
      </c>
      <c r="AA475" s="36" t="str">
        <f aca="false">IF($G475="","",MID(IF($C475="",", no division","")&amp;IF($E475="",", no unit","")&amp;IF($H475="",", no career level","")&amp;IF(N($L475)&lt;=0,", no quarter split","")&amp;IF($R475="",", no driver","")&amp;IF(AND($H475&lt;&gt;"",COUNTIF(CareerLevels,$H475)=0),", a career level that is not on the ladder","")&amp;IF(AND($R475&lt;&gt;"",COUNTIF(DriverList,$R475)=0),", a driver that is not on the list","")&amp;IF(ABS(N($L475)-(N($M475)+N($N475)+N($O475)+N($P475)))&gt;0.001,", a total that does not match its quarters",""),3,300))</f>
        <v/>
      </c>
    </row>
    <row r="476" customFormat="false" ht="15" hidden="false" customHeight="false" outlineLevel="0" collapsed="false">
      <c r="A476" s="33" t="str">
        <f aca="false">IF($G476="","","Corporate Banking Group")</f>
        <v/>
      </c>
      <c r="B476" s="19"/>
      <c r="C476" s="19"/>
      <c r="D476" s="19"/>
      <c r="E476" s="19"/>
      <c r="F476" s="19"/>
      <c r="G476" s="19"/>
      <c r="H476" s="19"/>
      <c r="I476" s="19"/>
      <c r="J476" s="19"/>
      <c r="K476" s="19"/>
      <c r="L476" s="19"/>
      <c r="M476" s="19"/>
      <c r="N476" s="19"/>
      <c r="O476" s="19"/>
      <c r="P476" s="19"/>
      <c r="Q476" s="19"/>
      <c r="R476" s="19"/>
      <c r="S476" s="19"/>
      <c r="T476" s="34" t="str">
        <f aca="false">IF($R476="","",IFERROR(INDEX(DriverCategory,MATCH($R476,DriverList,0)),"BAU"))</f>
        <v/>
      </c>
      <c r="U476" s="34" t="str">
        <f aca="false">IF($R476="","",IFERROR(INDEX(DriverRank,MATCH($R476,DriverList,0)),99))</f>
        <v/>
      </c>
      <c r="V476" s="35" t="n">
        <f aca="false">IF($H476="",0,IFERROR(INDEX(LevelBasic,MATCH($H476,LevelList,0))+INDEX(LevelHousing,MATCH($H476,LevelList,0))+INDEX(LevelTransport,MATCH($H476,LevelList,0))+INDEX(LevelBasic,MATCH($H476,LevelList,0))*INDEX(LevelBonus,MATCH($H476,LevelList,0))+(INDEX(LevelBasic,MATCH($H476,LevelList,0))+INDEX(LevelHousing,MATCH($H476,LevelList,0)))*GosiSaudi,0))</f>
        <v>0</v>
      </c>
      <c r="W476" s="35" t="n">
        <f aca="false">IFERROR(INDEX(LevelOneOff,MATCH($H476,LevelList,0)),0)</f>
        <v>0</v>
      </c>
      <c r="X476" s="35" t="str">
        <f aca="false">IF($G476="","",$V476*N($L476))</f>
        <v/>
      </c>
      <c r="Y476" s="35" t="str">
        <f aca="false">IF($G476="","",$V476*(N($M476)*1+N($N476)*0.75+N($O476)*0.5+N($P476)*0.25)+$W476*N($L476))</f>
        <v/>
      </c>
      <c r="Z476" s="35" t="str">
        <f aca="false">IF($G476="","",$U476*1000000+ROW())</f>
        <v/>
      </c>
      <c r="AA476" s="36" t="str">
        <f aca="false">IF($G476="","",MID(IF($C476="",", no division","")&amp;IF($E476="",", no unit","")&amp;IF($H476="",", no career level","")&amp;IF(N($L476)&lt;=0,", no quarter split","")&amp;IF($R476="",", no driver","")&amp;IF(AND($H476&lt;&gt;"",COUNTIF(CareerLevels,$H476)=0),", a career level that is not on the ladder","")&amp;IF(AND($R476&lt;&gt;"",COUNTIF(DriverList,$R476)=0),", a driver that is not on the list","")&amp;IF(ABS(N($L476)-(N($M476)+N($N476)+N($O476)+N($P476)))&gt;0.001,", a total that does not match its quarters",""),3,300))</f>
        <v/>
      </c>
    </row>
    <row r="477" customFormat="false" ht="15" hidden="false" customHeight="false" outlineLevel="0" collapsed="false">
      <c r="A477" s="33" t="str">
        <f aca="false">IF($G477="","","Corporate Banking Group")</f>
        <v/>
      </c>
      <c r="B477" s="19"/>
      <c r="C477" s="19"/>
      <c r="D477" s="19"/>
      <c r="E477" s="19"/>
      <c r="F477" s="19"/>
      <c r="G477" s="19"/>
      <c r="H477" s="19"/>
      <c r="I477" s="19"/>
      <c r="J477" s="19"/>
      <c r="K477" s="19"/>
      <c r="L477" s="19"/>
      <c r="M477" s="19"/>
      <c r="N477" s="19"/>
      <c r="O477" s="19"/>
      <c r="P477" s="19"/>
      <c r="Q477" s="19"/>
      <c r="R477" s="19"/>
      <c r="S477" s="19"/>
      <c r="T477" s="34" t="str">
        <f aca="false">IF($R477="","",IFERROR(INDEX(DriverCategory,MATCH($R477,DriverList,0)),"BAU"))</f>
        <v/>
      </c>
      <c r="U477" s="34" t="str">
        <f aca="false">IF($R477="","",IFERROR(INDEX(DriverRank,MATCH($R477,DriverList,0)),99))</f>
        <v/>
      </c>
      <c r="V477" s="35" t="n">
        <f aca="false">IF($H477="",0,IFERROR(INDEX(LevelBasic,MATCH($H477,LevelList,0))+INDEX(LevelHousing,MATCH($H477,LevelList,0))+INDEX(LevelTransport,MATCH($H477,LevelList,0))+INDEX(LevelBasic,MATCH($H477,LevelList,0))*INDEX(LevelBonus,MATCH($H477,LevelList,0))+(INDEX(LevelBasic,MATCH($H477,LevelList,0))+INDEX(LevelHousing,MATCH($H477,LevelList,0)))*GosiSaudi,0))</f>
        <v>0</v>
      </c>
      <c r="W477" s="35" t="n">
        <f aca="false">IFERROR(INDEX(LevelOneOff,MATCH($H477,LevelList,0)),0)</f>
        <v>0</v>
      </c>
      <c r="X477" s="35" t="str">
        <f aca="false">IF($G477="","",$V477*N($L477))</f>
        <v/>
      </c>
      <c r="Y477" s="35" t="str">
        <f aca="false">IF($G477="","",$V477*(N($M477)*1+N($N477)*0.75+N($O477)*0.5+N($P477)*0.25)+$W477*N($L477))</f>
        <v/>
      </c>
      <c r="Z477" s="35" t="str">
        <f aca="false">IF($G477="","",$U477*1000000+ROW())</f>
        <v/>
      </c>
      <c r="AA477" s="36" t="str">
        <f aca="false">IF($G477="","",MID(IF($C477="",", no division","")&amp;IF($E477="",", no unit","")&amp;IF($H477="",", no career level","")&amp;IF(N($L477)&lt;=0,", no quarter split","")&amp;IF($R477="",", no driver","")&amp;IF(AND($H477&lt;&gt;"",COUNTIF(CareerLevels,$H477)=0),", a career level that is not on the ladder","")&amp;IF(AND($R477&lt;&gt;"",COUNTIF(DriverList,$R477)=0),", a driver that is not on the list","")&amp;IF(ABS(N($L477)-(N($M477)+N($N477)+N($O477)+N($P477)))&gt;0.001,", a total that does not match its quarters",""),3,300))</f>
        <v/>
      </c>
    </row>
    <row r="478" customFormat="false" ht="15" hidden="false" customHeight="false" outlineLevel="0" collapsed="false">
      <c r="A478" s="33" t="str">
        <f aca="false">IF($G478="","","Corporate Banking Group")</f>
        <v/>
      </c>
      <c r="B478" s="19"/>
      <c r="C478" s="19"/>
      <c r="D478" s="19"/>
      <c r="E478" s="19"/>
      <c r="F478" s="19"/>
      <c r="G478" s="19"/>
      <c r="H478" s="19"/>
      <c r="I478" s="19"/>
      <c r="J478" s="19"/>
      <c r="K478" s="19"/>
      <c r="L478" s="19"/>
      <c r="M478" s="19"/>
      <c r="N478" s="19"/>
      <c r="O478" s="19"/>
      <c r="P478" s="19"/>
      <c r="Q478" s="19"/>
      <c r="R478" s="19"/>
      <c r="S478" s="19"/>
      <c r="T478" s="34" t="str">
        <f aca="false">IF($R478="","",IFERROR(INDEX(DriverCategory,MATCH($R478,DriverList,0)),"BAU"))</f>
        <v/>
      </c>
      <c r="U478" s="34" t="str">
        <f aca="false">IF($R478="","",IFERROR(INDEX(DriverRank,MATCH($R478,DriverList,0)),99))</f>
        <v/>
      </c>
      <c r="V478" s="35" t="n">
        <f aca="false">IF($H478="",0,IFERROR(INDEX(LevelBasic,MATCH($H478,LevelList,0))+INDEX(LevelHousing,MATCH($H478,LevelList,0))+INDEX(LevelTransport,MATCH($H478,LevelList,0))+INDEX(LevelBasic,MATCH($H478,LevelList,0))*INDEX(LevelBonus,MATCH($H478,LevelList,0))+(INDEX(LevelBasic,MATCH($H478,LevelList,0))+INDEX(LevelHousing,MATCH($H478,LevelList,0)))*GosiSaudi,0))</f>
        <v>0</v>
      </c>
      <c r="W478" s="35" t="n">
        <f aca="false">IFERROR(INDEX(LevelOneOff,MATCH($H478,LevelList,0)),0)</f>
        <v>0</v>
      </c>
      <c r="X478" s="35" t="str">
        <f aca="false">IF($G478="","",$V478*N($L478))</f>
        <v/>
      </c>
      <c r="Y478" s="35" t="str">
        <f aca="false">IF($G478="","",$V478*(N($M478)*1+N($N478)*0.75+N($O478)*0.5+N($P478)*0.25)+$W478*N($L478))</f>
        <v/>
      </c>
      <c r="Z478" s="35" t="str">
        <f aca="false">IF($G478="","",$U478*1000000+ROW())</f>
        <v/>
      </c>
      <c r="AA478" s="36" t="str">
        <f aca="false">IF($G478="","",MID(IF($C478="",", no division","")&amp;IF($E478="",", no unit","")&amp;IF($H478="",", no career level","")&amp;IF(N($L478)&lt;=0,", no quarter split","")&amp;IF($R478="",", no driver","")&amp;IF(AND($H478&lt;&gt;"",COUNTIF(CareerLevels,$H478)=0),", a career level that is not on the ladder","")&amp;IF(AND($R478&lt;&gt;"",COUNTIF(DriverList,$R478)=0),", a driver that is not on the list","")&amp;IF(ABS(N($L478)-(N($M478)+N($N478)+N($O478)+N($P478)))&gt;0.001,", a total that does not match its quarters",""),3,300))</f>
        <v/>
      </c>
    </row>
    <row r="479" customFormat="false" ht="15" hidden="false" customHeight="false" outlineLevel="0" collapsed="false">
      <c r="A479" s="33" t="str">
        <f aca="false">IF($G479="","","Corporate Banking Group")</f>
        <v/>
      </c>
      <c r="B479" s="19"/>
      <c r="C479" s="19"/>
      <c r="D479" s="19"/>
      <c r="E479" s="19"/>
      <c r="F479" s="19"/>
      <c r="G479" s="19"/>
      <c r="H479" s="19"/>
      <c r="I479" s="19"/>
      <c r="J479" s="19"/>
      <c r="K479" s="19"/>
      <c r="L479" s="19"/>
      <c r="M479" s="19"/>
      <c r="N479" s="19"/>
      <c r="O479" s="19"/>
      <c r="P479" s="19"/>
      <c r="Q479" s="19"/>
      <c r="R479" s="19"/>
      <c r="S479" s="19"/>
      <c r="T479" s="34" t="str">
        <f aca="false">IF($R479="","",IFERROR(INDEX(DriverCategory,MATCH($R479,DriverList,0)),"BAU"))</f>
        <v/>
      </c>
      <c r="U479" s="34" t="str">
        <f aca="false">IF($R479="","",IFERROR(INDEX(DriverRank,MATCH($R479,DriverList,0)),99))</f>
        <v/>
      </c>
      <c r="V479" s="35" t="n">
        <f aca="false">IF($H479="",0,IFERROR(INDEX(LevelBasic,MATCH($H479,LevelList,0))+INDEX(LevelHousing,MATCH($H479,LevelList,0))+INDEX(LevelTransport,MATCH($H479,LevelList,0))+INDEX(LevelBasic,MATCH($H479,LevelList,0))*INDEX(LevelBonus,MATCH($H479,LevelList,0))+(INDEX(LevelBasic,MATCH($H479,LevelList,0))+INDEX(LevelHousing,MATCH($H479,LevelList,0)))*GosiSaudi,0))</f>
        <v>0</v>
      </c>
      <c r="W479" s="35" t="n">
        <f aca="false">IFERROR(INDEX(LevelOneOff,MATCH($H479,LevelList,0)),0)</f>
        <v>0</v>
      </c>
      <c r="X479" s="35" t="str">
        <f aca="false">IF($G479="","",$V479*N($L479))</f>
        <v/>
      </c>
      <c r="Y479" s="35" t="str">
        <f aca="false">IF($G479="","",$V479*(N($M479)*1+N($N479)*0.75+N($O479)*0.5+N($P479)*0.25)+$W479*N($L479))</f>
        <v/>
      </c>
      <c r="Z479" s="35" t="str">
        <f aca="false">IF($G479="","",$U479*1000000+ROW())</f>
        <v/>
      </c>
      <c r="AA479" s="36" t="str">
        <f aca="false">IF($G479="","",MID(IF($C479="",", no division","")&amp;IF($E479="",", no unit","")&amp;IF($H479="",", no career level","")&amp;IF(N($L479)&lt;=0,", no quarter split","")&amp;IF($R479="",", no driver","")&amp;IF(AND($H479&lt;&gt;"",COUNTIF(CareerLevels,$H479)=0),", a career level that is not on the ladder","")&amp;IF(AND($R479&lt;&gt;"",COUNTIF(DriverList,$R479)=0),", a driver that is not on the list","")&amp;IF(ABS(N($L479)-(N($M479)+N($N479)+N($O479)+N($P479)))&gt;0.001,", a total that does not match its quarters",""),3,300))</f>
        <v/>
      </c>
    </row>
    <row r="480" customFormat="false" ht="15" hidden="false" customHeight="false" outlineLevel="0" collapsed="false">
      <c r="A480" s="33" t="str">
        <f aca="false">IF($G480="","","Corporate Banking Group")</f>
        <v/>
      </c>
      <c r="B480" s="19"/>
      <c r="C480" s="19"/>
      <c r="D480" s="19"/>
      <c r="E480" s="19"/>
      <c r="F480" s="19"/>
      <c r="G480" s="19"/>
      <c r="H480" s="19"/>
      <c r="I480" s="19"/>
      <c r="J480" s="19"/>
      <c r="K480" s="19"/>
      <c r="L480" s="19"/>
      <c r="M480" s="19"/>
      <c r="N480" s="19"/>
      <c r="O480" s="19"/>
      <c r="P480" s="19"/>
      <c r="Q480" s="19"/>
      <c r="R480" s="19"/>
      <c r="S480" s="19"/>
      <c r="T480" s="34" t="str">
        <f aca="false">IF($R480="","",IFERROR(INDEX(DriverCategory,MATCH($R480,DriverList,0)),"BAU"))</f>
        <v/>
      </c>
      <c r="U480" s="34" t="str">
        <f aca="false">IF($R480="","",IFERROR(INDEX(DriverRank,MATCH($R480,DriverList,0)),99))</f>
        <v/>
      </c>
      <c r="V480" s="35" t="n">
        <f aca="false">IF($H480="",0,IFERROR(INDEX(LevelBasic,MATCH($H480,LevelList,0))+INDEX(LevelHousing,MATCH($H480,LevelList,0))+INDEX(LevelTransport,MATCH($H480,LevelList,0))+INDEX(LevelBasic,MATCH($H480,LevelList,0))*INDEX(LevelBonus,MATCH($H480,LevelList,0))+(INDEX(LevelBasic,MATCH($H480,LevelList,0))+INDEX(LevelHousing,MATCH($H480,LevelList,0)))*GosiSaudi,0))</f>
        <v>0</v>
      </c>
      <c r="W480" s="35" t="n">
        <f aca="false">IFERROR(INDEX(LevelOneOff,MATCH($H480,LevelList,0)),0)</f>
        <v>0</v>
      </c>
      <c r="X480" s="35" t="str">
        <f aca="false">IF($G480="","",$V480*N($L480))</f>
        <v/>
      </c>
      <c r="Y480" s="35" t="str">
        <f aca="false">IF($G480="","",$V480*(N($M480)*1+N($N480)*0.75+N($O480)*0.5+N($P480)*0.25)+$W480*N($L480))</f>
        <v/>
      </c>
      <c r="Z480" s="35" t="str">
        <f aca="false">IF($G480="","",$U480*1000000+ROW())</f>
        <v/>
      </c>
      <c r="AA480" s="36" t="str">
        <f aca="false">IF($G480="","",MID(IF($C480="",", no division","")&amp;IF($E480="",", no unit","")&amp;IF($H480="",", no career level","")&amp;IF(N($L480)&lt;=0,", no quarter split","")&amp;IF($R480="",", no driver","")&amp;IF(AND($H480&lt;&gt;"",COUNTIF(CareerLevels,$H480)=0),", a career level that is not on the ladder","")&amp;IF(AND($R480&lt;&gt;"",COUNTIF(DriverList,$R480)=0),", a driver that is not on the list","")&amp;IF(ABS(N($L480)-(N($M480)+N($N480)+N($O480)+N($P480)))&gt;0.001,", a total that does not match its quarters",""),3,300))</f>
        <v/>
      </c>
    </row>
    <row r="481" customFormat="false" ht="15" hidden="false" customHeight="false" outlineLevel="0" collapsed="false">
      <c r="A481" s="33" t="str">
        <f aca="false">IF($G481="","","Corporate Banking Group")</f>
        <v/>
      </c>
      <c r="B481" s="19"/>
      <c r="C481" s="19"/>
      <c r="D481" s="19"/>
      <c r="E481" s="19"/>
      <c r="F481" s="19"/>
      <c r="G481" s="19"/>
      <c r="H481" s="19"/>
      <c r="I481" s="19"/>
      <c r="J481" s="19"/>
      <c r="K481" s="19"/>
      <c r="L481" s="19"/>
      <c r="M481" s="19"/>
      <c r="N481" s="19"/>
      <c r="O481" s="19"/>
      <c r="P481" s="19"/>
      <c r="Q481" s="19"/>
      <c r="R481" s="19"/>
      <c r="S481" s="19"/>
      <c r="T481" s="34" t="str">
        <f aca="false">IF($R481="","",IFERROR(INDEX(DriverCategory,MATCH($R481,DriverList,0)),"BAU"))</f>
        <v/>
      </c>
      <c r="U481" s="34" t="str">
        <f aca="false">IF($R481="","",IFERROR(INDEX(DriverRank,MATCH($R481,DriverList,0)),99))</f>
        <v/>
      </c>
      <c r="V481" s="35" t="n">
        <f aca="false">IF($H481="",0,IFERROR(INDEX(LevelBasic,MATCH($H481,LevelList,0))+INDEX(LevelHousing,MATCH($H481,LevelList,0))+INDEX(LevelTransport,MATCH($H481,LevelList,0))+INDEX(LevelBasic,MATCH($H481,LevelList,0))*INDEX(LevelBonus,MATCH($H481,LevelList,0))+(INDEX(LevelBasic,MATCH($H481,LevelList,0))+INDEX(LevelHousing,MATCH($H481,LevelList,0)))*GosiSaudi,0))</f>
        <v>0</v>
      </c>
      <c r="W481" s="35" t="n">
        <f aca="false">IFERROR(INDEX(LevelOneOff,MATCH($H481,LevelList,0)),0)</f>
        <v>0</v>
      </c>
      <c r="X481" s="35" t="str">
        <f aca="false">IF($G481="","",$V481*N($L481))</f>
        <v/>
      </c>
      <c r="Y481" s="35" t="str">
        <f aca="false">IF($G481="","",$V481*(N($M481)*1+N($N481)*0.75+N($O481)*0.5+N($P481)*0.25)+$W481*N($L481))</f>
        <v/>
      </c>
      <c r="Z481" s="35" t="str">
        <f aca="false">IF($G481="","",$U481*1000000+ROW())</f>
        <v/>
      </c>
      <c r="AA481" s="36" t="str">
        <f aca="false">IF($G481="","",MID(IF($C481="",", no division","")&amp;IF($E481="",", no unit","")&amp;IF($H481="",", no career level","")&amp;IF(N($L481)&lt;=0,", no quarter split","")&amp;IF($R481="",", no driver","")&amp;IF(AND($H481&lt;&gt;"",COUNTIF(CareerLevels,$H481)=0),", a career level that is not on the ladder","")&amp;IF(AND($R481&lt;&gt;"",COUNTIF(DriverList,$R481)=0),", a driver that is not on the list","")&amp;IF(ABS(N($L481)-(N($M481)+N($N481)+N($O481)+N($P481)))&gt;0.001,", a total that does not match its quarters",""),3,300))</f>
        <v/>
      </c>
    </row>
    <row r="482" customFormat="false" ht="15" hidden="false" customHeight="false" outlineLevel="0" collapsed="false">
      <c r="A482" s="33" t="str">
        <f aca="false">IF($G482="","","Corporate Banking Group")</f>
        <v/>
      </c>
      <c r="B482" s="19"/>
      <c r="C482" s="19"/>
      <c r="D482" s="19"/>
      <c r="E482" s="19"/>
      <c r="F482" s="19"/>
      <c r="G482" s="19"/>
      <c r="H482" s="19"/>
      <c r="I482" s="19"/>
      <c r="J482" s="19"/>
      <c r="K482" s="19"/>
      <c r="L482" s="19"/>
      <c r="M482" s="19"/>
      <c r="N482" s="19"/>
      <c r="O482" s="19"/>
      <c r="P482" s="19"/>
      <c r="Q482" s="19"/>
      <c r="R482" s="19"/>
      <c r="S482" s="19"/>
      <c r="T482" s="34" t="str">
        <f aca="false">IF($R482="","",IFERROR(INDEX(DriverCategory,MATCH($R482,DriverList,0)),"BAU"))</f>
        <v/>
      </c>
      <c r="U482" s="34" t="str">
        <f aca="false">IF($R482="","",IFERROR(INDEX(DriverRank,MATCH($R482,DriverList,0)),99))</f>
        <v/>
      </c>
      <c r="V482" s="35" t="n">
        <f aca="false">IF($H482="",0,IFERROR(INDEX(LevelBasic,MATCH($H482,LevelList,0))+INDEX(LevelHousing,MATCH($H482,LevelList,0))+INDEX(LevelTransport,MATCH($H482,LevelList,0))+INDEX(LevelBasic,MATCH($H482,LevelList,0))*INDEX(LevelBonus,MATCH($H482,LevelList,0))+(INDEX(LevelBasic,MATCH($H482,LevelList,0))+INDEX(LevelHousing,MATCH($H482,LevelList,0)))*GosiSaudi,0))</f>
        <v>0</v>
      </c>
      <c r="W482" s="35" t="n">
        <f aca="false">IFERROR(INDEX(LevelOneOff,MATCH($H482,LevelList,0)),0)</f>
        <v>0</v>
      </c>
      <c r="X482" s="35" t="str">
        <f aca="false">IF($G482="","",$V482*N($L482))</f>
        <v/>
      </c>
      <c r="Y482" s="35" t="str">
        <f aca="false">IF($G482="","",$V482*(N($M482)*1+N($N482)*0.75+N($O482)*0.5+N($P482)*0.25)+$W482*N($L482))</f>
        <v/>
      </c>
      <c r="Z482" s="35" t="str">
        <f aca="false">IF($G482="","",$U482*1000000+ROW())</f>
        <v/>
      </c>
      <c r="AA482" s="36" t="str">
        <f aca="false">IF($G482="","",MID(IF($C482="",", no division","")&amp;IF($E482="",", no unit","")&amp;IF($H482="",", no career level","")&amp;IF(N($L482)&lt;=0,", no quarter split","")&amp;IF($R482="",", no driver","")&amp;IF(AND($H482&lt;&gt;"",COUNTIF(CareerLevels,$H482)=0),", a career level that is not on the ladder","")&amp;IF(AND($R482&lt;&gt;"",COUNTIF(DriverList,$R482)=0),", a driver that is not on the list","")&amp;IF(ABS(N($L482)-(N($M482)+N($N482)+N($O482)+N($P482)))&gt;0.001,", a total that does not match its quarters",""),3,300))</f>
        <v/>
      </c>
    </row>
    <row r="483" customFormat="false" ht="15" hidden="false" customHeight="false" outlineLevel="0" collapsed="false">
      <c r="A483" s="33" t="str">
        <f aca="false">IF($G483="","","Corporate Banking Group")</f>
        <v/>
      </c>
      <c r="B483" s="19"/>
      <c r="C483" s="19"/>
      <c r="D483" s="19"/>
      <c r="E483" s="19"/>
      <c r="F483" s="19"/>
      <c r="G483" s="19"/>
      <c r="H483" s="19"/>
      <c r="I483" s="19"/>
      <c r="J483" s="19"/>
      <c r="K483" s="19"/>
      <c r="L483" s="19"/>
      <c r="M483" s="19"/>
      <c r="N483" s="19"/>
      <c r="O483" s="19"/>
      <c r="P483" s="19"/>
      <c r="Q483" s="19"/>
      <c r="R483" s="19"/>
      <c r="S483" s="19"/>
      <c r="T483" s="34" t="str">
        <f aca="false">IF($R483="","",IFERROR(INDEX(DriverCategory,MATCH($R483,DriverList,0)),"BAU"))</f>
        <v/>
      </c>
      <c r="U483" s="34" t="str">
        <f aca="false">IF($R483="","",IFERROR(INDEX(DriverRank,MATCH($R483,DriverList,0)),99))</f>
        <v/>
      </c>
      <c r="V483" s="35" t="n">
        <f aca="false">IF($H483="",0,IFERROR(INDEX(LevelBasic,MATCH($H483,LevelList,0))+INDEX(LevelHousing,MATCH($H483,LevelList,0))+INDEX(LevelTransport,MATCH($H483,LevelList,0))+INDEX(LevelBasic,MATCH($H483,LevelList,0))*INDEX(LevelBonus,MATCH($H483,LevelList,0))+(INDEX(LevelBasic,MATCH($H483,LevelList,0))+INDEX(LevelHousing,MATCH($H483,LevelList,0)))*GosiSaudi,0))</f>
        <v>0</v>
      </c>
      <c r="W483" s="35" t="n">
        <f aca="false">IFERROR(INDEX(LevelOneOff,MATCH($H483,LevelList,0)),0)</f>
        <v>0</v>
      </c>
      <c r="X483" s="35" t="str">
        <f aca="false">IF($G483="","",$V483*N($L483))</f>
        <v/>
      </c>
      <c r="Y483" s="35" t="str">
        <f aca="false">IF($G483="","",$V483*(N($M483)*1+N($N483)*0.75+N($O483)*0.5+N($P483)*0.25)+$W483*N($L483))</f>
        <v/>
      </c>
      <c r="Z483" s="35" t="str">
        <f aca="false">IF($G483="","",$U483*1000000+ROW())</f>
        <v/>
      </c>
      <c r="AA483" s="36" t="str">
        <f aca="false">IF($G483="","",MID(IF($C483="",", no division","")&amp;IF($E483="",", no unit","")&amp;IF($H483="",", no career level","")&amp;IF(N($L483)&lt;=0,", no quarter split","")&amp;IF($R483="",", no driver","")&amp;IF(AND($H483&lt;&gt;"",COUNTIF(CareerLevels,$H483)=0),", a career level that is not on the ladder","")&amp;IF(AND($R483&lt;&gt;"",COUNTIF(DriverList,$R483)=0),", a driver that is not on the list","")&amp;IF(ABS(N($L483)-(N($M483)+N($N483)+N($O483)+N($P483)))&gt;0.001,", a total that does not match its quarters",""),3,300))</f>
        <v/>
      </c>
    </row>
    <row r="484" customFormat="false" ht="15" hidden="false" customHeight="false" outlineLevel="0" collapsed="false">
      <c r="A484" s="33" t="str">
        <f aca="false">IF($G484="","","Corporate Banking Group")</f>
        <v/>
      </c>
      <c r="B484" s="19"/>
      <c r="C484" s="19"/>
      <c r="D484" s="19"/>
      <c r="E484" s="19"/>
      <c r="F484" s="19"/>
      <c r="G484" s="19"/>
      <c r="H484" s="19"/>
      <c r="I484" s="19"/>
      <c r="J484" s="19"/>
      <c r="K484" s="19"/>
      <c r="L484" s="19"/>
      <c r="M484" s="19"/>
      <c r="N484" s="19"/>
      <c r="O484" s="19"/>
      <c r="P484" s="19"/>
      <c r="Q484" s="19"/>
      <c r="R484" s="19"/>
      <c r="S484" s="19"/>
      <c r="T484" s="34" t="str">
        <f aca="false">IF($R484="","",IFERROR(INDEX(DriverCategory,MATCH($R484,DriverList,0)),"BAU"))</f>
        <v/>
      </c>
      <c r="U484" s="34" t="str">
        <f aca="false">IF($R484="","",IFERROR(INDEX(DriverRank,MATCH($R484,DriverList,0)),99))</f>
        <v/>
      </c>
      <c r="V484" s="35" t="n">
        <f aca="false">IF($H484="",0,IFERROR(INDEX(LevelBasic,MATCH($H484,LevelList,0))+INDEX(LevelHousing,MATCH($H484,LevelList,0))+INDEX(LevelTransport,MATCH($H484,LevelList,0))+INDEX(LevelBasic,MATCH($H484,LevelList,0))*INDEX(LevelBonus,MATCH($H484,LevelList,0))+(INDEX(LevelBasic,MATCH($H484,LevelList,0))+INDEX(LevelHousing,MATCH($H484,LevelList,0)))*GosiSaudi,0))</f>
        <v>0</v>
      </c>
      <c r="W484" s="35" t="n">
        <f aca="false">IFERROR(INDEX(LevelOneOff,MATCH($H484,LevelList,0)),0)</f>
        <v>0</v>
      </c>
      <c r="X484" s="35" t="str">
        <f aca="false">IF($G484="","",$V484*N($L484))</f>
        <v/>
      </c>
      <c r="Y484" s="35" t="str">
        <f aca="false">IF($G484="","",$V484*(N($M484)*1+N($N484)*0.75+N($O484)*0.5+N($P484)*0.25)+$W484*N($L484))</f>
        <v/>
      </c>
      <c r="Z484" s="35" t="str">
        <f aca="false">IF($G484="","",$U484*1000000+ROW())</f>
        <v/>
      </c>
      <c r="AA484" s="36" t="str">
        <f aca="false">IF($G484="","",MID(IF($C484="",", no division","")&amp;IF($E484="",", no unit","")&amp;IF($H484="",", no career level","")&amp;IF(N($L484)&lt;=0,", no quarter split","")&amp;IF($R484="",", no driver","")&amp;IF(AND($H484&lt;&gt;"",COUNTIF(CareerLevels,$H484)=0),", a career level that is not on the ladder","")&amp;IF(AND($R484&lt;&gt;"",COUNTIF(DriverList,$R484)=0),", a driver that is not on the list","")&amp;IF(ABS(N($L484)-(N($M484)+N($N484)+N($O484)+N($P484)))&gt;0.001,", a total that does not match its quarters",""),3,300))</f>
        <v/>
      </c>
    </row>
    <row r="485" customFormat="false" ht="15" hidden="false" customHeight="false" outlineLevel="0" collapsed="false">
      <c r="A485" s="33" t="str">
        <f aca="false">IF($G485="","","Corporate Banking Group")</f>
        <v/>
      </c>
      <c r="B485" s="19"/>
      <c r="C485" s="19"/>
      <c r="D485" s="19"/>
      <c r="E485" s="19"/>
      <c r="F485" s="19"/>
      <c r="G485" s="19"/>
      <c r="H485" s="19"/>
      <c r="I485" s="19"/>
      <c r="J485" s="19"/>
      <c r="K485" s="19"/>
      <c r="L485" s="19"/>
      <c r="M485" s="19"/>
      <c r="N485" s="19"/>
      <c r="O485" s="19"/>
      <c r="P485" s="19"/>
      <c r="Q485" s="19"/>
      <c r="R485" s="19"/>
      <c r="S485" s="19"/>
      <c r="T485" s="34" t="str">
        <f aca="false">IF($R485="","",IFERROR(INDEX(DriverCategory,MATCH($R485,DriverList,0)),"BAU"))</f>
        <v/>
      </c>
      <c r="U485" s="34" t="str">
        <f aca="false">IF($R485="","",IFERROR(INDEX(DriverRank,MATCH($R485,DriverList,0)),99))</f>
        <v/>
      </c>
      <c r="V485" s="35" t="n">
        <f aca="false">IF($H485="",0,IFERROR(INDEX(LevelBasic,MATCH($H485,LevelList,0))+INDEX(LevelHousing,MATCH($H485,LevelList,0))+INDEX(LevelTransport,MATCH($H485,LevelList,0))+INDEX(LevelBasic,MATCH($H485,LevelList,0))*INDEX(LevelBonus,MATCH($H485,LevelList,0))+(INDEX(LevelBasic,MATCH($H485,LevelList,0))+INDEX(LevelHousing,MATCH($H485,LevelList,0)))*GosiSaudi,0))</f>
        <v>0</v>
      </c>
      <c r="W485" s="35" t="n">
        <f aca="false">IFERROR(INDEX(LevelOneOff,MATCH($H485,LevelList,0)),0)</f>
        <v>0</v>
      </c>
      <c r="X485" s="35" t="str">
        <f aca="false">IF($G485="","",$V485*N($L485))</f>
        <v/>
      </c>
      <c r="Y485" s="35" t="str">
        <f aca="false">IF($G485="","",$V485*(N($M485)*1+N($N485)*0.75+N($O485)*0.5+N($P485)*0.25)+$W485*N($L485))</f>
        <v/>
      </c>
      <c r="Z485" s="35" t="str">
        <f aca="false">IF($G485="","",$U485*1000000+ROW())</f>
        <v/>
      </c>
      <c r="AA485" s="36" t="str">
        <f aca="false">IF($G485="","",MID(IF($C485="",", no division","")&amp;IF($E485="",", no unit","")&amp;IF($H485="",", no career level","")&amp;IF(N($L485)&lt;=0,", no quarter split","")&amp;IF($R485="",", no driver","")&amp;IF(AND($H485&lt;&gt;"",COUNTIF(CareerLevels,$H485)=0),", a career level that is not on the ladder","")&amp;IF(AND($R485&lt;&gt;"",COUNTIF(DriverList,$R485)=0),", a driver that is not on the list","")&amp;IF(ABS(N($L485)-(N($M485)+N($N485)+N($O485)+N($P485)))&gt;0.001,", a total that does not match its quarters",""),3,300))</f>
        <v/>
      </c>
    </row>
    <row r="486" customFormat="false" ht="15" hidden="false" customHeight="false" outlineLevel="0" collapsed="false">
      <c r="A486" s="33" t="str">
        <f aca="false">IF($G486="","","Corporate Banking Group")</f>
        <v/>
      </c>
      <c r="B486" s="19"/>
      <c r="C486" s="19"/>
      <c r="D486" s="19"/>
      <c r="E486" s="19"/>
      <c r="F486" s="19"/>
      <c r="G486" s="19"/>
      <c r="H486" s="19"/>
      <c r="I486" s="19"/>
      <c r="J486" s="19"/>
      <c r="K486" s="19"/>
      <c r="L486" s="19"/>
      <c r="M486" s="19"/>
      <c r="N486" s="19"/>
      <c r="O486" s="19"/>
      <c r="P486" s="19"/>
      <c r="Q486" s="19"/>
      <c r="R486" s="19"/>
      <c r="S486" s="19"/>
      <c r="T486" s="34" t="str">
        <f aca="false">IF($R486="","",IFERROR(INDEX(DriverCategory,MATCH($R486,DriverList,0)),"BAU"))</f>
        <v/>
      </c>
      <c r="U486" s="34" t="str">
        <f aca="false">IF($R486="","",IFERROR(INDEX(DriverRank,MATCH($R486,DriverList,0)),99))</f>
        <v/>
      </c>
      <c r="V486" s="35" t="n">
        <f aca="false">IF($H486="",0,IFERROR(INDEX(LevelBasic,MATCH($H486,LevelList,0))+INDEX(LevelHousing,MATCH($H486,LevelList,0))+INDEX(LevelTransport,MATCH($H486,LevelList,0))+INDEX(LevelBasic,MATCH($H486,LevelList,0))*INDEX(LevelBonus,MATCH($H486,LevelList,0))+(INDEX(LevelBasic,MATCH($H486,LevelList,0))+INDEX(LevelHousing,MATCH($H486,LevelList,0)))*GosiSaudi,0))</f>
        <v>0</v>
      </c>
      <c r="W486" s="35" t="n">
        <f aca="false">IFERROR(INDEX(LevelOneOff,MATCH($H486,LevelList,0)),0)</f>
        <v>0</v>
      </c>
      <c r="X486" s="35" t="str">
        <f aca="false">IF($G486="","",$V486*N($L486))</f>
        <v/>
      </c>
      <c r="Y486" s="35" t="str">
        <f aca="false">IF($G486="","",$V486*(N($M486)*1+N($N486)*0.75+N($O486)*0.5+N($P486)*0.25)+$W486*N($L486))</f>
        <v/>
      </c>
      <c r="Z486" s="35" t="str">
        <f aca="false">IF($G486="","",$U486*1000000+ROW())</f>
        <v/>
      </c>
      <c r="AA486" s="36" t="str">
        <f aca="false">IF($G486="","",MID(IF($C486="",", no division","")&amp;IF($E486="",", no unit","")&amp;IF($H486="",", no career level","")&amp;IF(N($L486)&lt;=0,", no quarter split","")&amp;IF($R486="",", no driver","")&amp;IF(AND($H486&lt;&gt;"",COUNTIF(CareerLevels,$H486)=0),", a career level that is not on the ladder","")&amp;IF(AND($R486&lt;&gt;"",COUNTIF(DriverList,$R486)=0),", a driver that is not on the list","")&amp;IF(ABS(N($L486)-(N($M486)+N($N486)+N($O486)+N($P486)))&gt;0.001,", a total that does not match its quarters",""),3,300))</f>
        <v/>
      </c>
    </row>
    <row r="487" customFormat="false" ht="15" hidden="false" customHeight="false" outlineLevel="0" collapsed="false">
      <c r="A487" s="33" t="str">
        <f aca="false">IF($G487="","","Corporate Banking Group")</f>
        <v/>
      </c>
      <c r="B487" s="19"/>
      <c r="C487" s="19"/>
      <c r="D487" s="19"/>
      <c r="E487" s="19"/>
      <c r="F487" s="19"/>
      <c r="G487" s="19"/>
      <c r="H487" s="19"/>
      <c r="I487" s="19"/>
      <c r="J487" s="19"/>
      <c r="K487" s="19"/>
      <c r="L487" s="19"/>
      <c r="M487" s="19"/>
      <c r="N487" s="19"/>
      <c r="O487" s="19"/>
      <c r="P487" s="19"/>
      <c r="Q487" s="19"/>
      <c r="R487" s="19"/>
      <c r="S487" s="19"/>
      <c r="T487" s="34" t="str">
        <f aca="false">IF($R487="","",IFERROR(INDEX(DriverCategory,MATCH($R487,DriverList,0)),"BAU"))</f>
        <v/>
      </c>
      <c r="U487" s="34" t="str">
        <f aca="false">IF($R487="","",IFERROR(INDEX(DriverRank,MATCH($R487,DriverList,0)),99))</f>
        <v/>
      </c>
      <c r="V487" s="35" t="n">
        <f aca="false">IF($H487="",0,IFERROR(INDEX(LevelBasic,MATCH($H487,LevelList,0))+INDEX(LevelHousing,MATCH($H487,LevelList,0))+INDEX(LevelTransport,MATCH($H487,LevelList,0))+INDEX(LevelBasic,MATCH($H487,LevelList,0))*INDEX(LevelBonus,MATCH($H487,LevelList,0))+(INDEX(LevelBasic,MATCH($H487,LevelList,0))+INDEX(LevelHousing,MATCH($H487,LevelList,0)))*GosiSaudi,0))</f>
        <v>0</v>
      </c>
      <c r="W487" s="35" t="n">
        <f aca="false">IFERROR(INDEX(LevelOneOff,MATCH($H487,LevelList,0)),0)</f>
        <v>0</v>
      </c>
      <c r="X487" s="35" t="str">
        <f aca="false">IF($G487="","",$V487*N($L487))</f>
        <v/>
      </c>
      <c r="Y487" s="35" t="str">
        <f aca="false">IF($G487="","",$V487*(N($M487)*1+N($N487)*0.75+N($O487)*0.5+N($P487)*0.25)+$W487*N($L487))</f>
        <v/>
      </c>
      <c r="Z487" s="35" t="str">
        <f aca="false">IF($G487="","",$U487*1000000+ROW())</f>
        <v/>
      </c>
      <c r="AA487" s="36" t="str">
        <f aca="false">IF($G487="","",MID(IF($C487="",", no division","")&amp;IF($E487="",", no unit","")&amp;IF($H487="",", no career level","")&amp;IF(N($L487)&lt;=0,", no quarter split","")&amp;IF($R487="",", no driver","")&amp;IF(AND($H487&lt;&gt;"",COUNTIF(CareerLevels,$H487)=0),", a career level that is not on the ladder","")&amp;IF(AND($R487&lt;&gt;"",COUNTIF(DriverList,$R487)=0),", a driver that is not on the list","")&amp;IF(ABS(N($L487)-(N($M487)+N($N487)+N($O487)+N($P487)))&gt;0.001,", a total that does not match its quarters",""),3,300))</f>
        <v/>
      </c>
    </row>
    <row r="488" customFormat="false" ht="15" hidden="false" customHeight="false" outlineLevel="0" collapsed="false">
      <c r="A488" s="33" t="str">
        <f aca="false">IF($G488="","","Corporate Banking Group")</f>
        <v/>
      </c>
      <c r="B488" s="19"/>
      <c r="C488" s="19"/>
      <c r="D488" s="19"/>
      <c r="E488" s="19"/>
      <c r="F488" s="19"/>
      <c r="G488" s="19"/>
      <c r="H488" s="19"/>
      <c r="I488" s="19"/>
      <c r="J488" s="19"/>
      <c r="K488" s="19"/>
      <c r="L488" s="19"/>
      <c r="M488" s="19"/>
      <c r="N488" s="19"/>
      <c r="O488" s="19"/>
      <c r="P488" s="19"/>
      <c r="Q488" s="19"/>
      <c r="R488" s="19"/>
      <c r="S488" s="19"/>
      <c r="T488" s="34" t="str">
        <f aca="false">IF($R488="","",IFERROR(INDEX(DriverCategory,MATCH($R488,DriverList,0)),"BAU"))</f>
        <v/>
      </c>
      <c r="U488" s="34" t="str">
        <f aca="false">IF($R488="","",IFERROR(INDEX(DriverRank,MATCH($R488,DriverList,0)),99))</f>
        <v/>
      </c>
      <c r="V488" s="35" t="n">
        <f aca="false">IF($H488="",0,IFERROR(INDEX(LevelBasic,MATCH($H488,LevelList,0))+INDEX(LevelHousing,MATCH($H488,LevelList,0))+INDEX(LevelTransport,MATCH($H488,LevelList,0))+INDEX(LevelBasic,MATCH($H488,LevelList,0))*INDEX(LevelBonus,MATCH($H488,LevelList,0))+(INDEX(LevelBasic,MATCH($H488,LevelList,0))+INDEX(LevelHousing,MATCH($H488,LevelList,0)))*GosiSaudi,0))</f>
        <v>0</v>
      </c>
      <c r="W488" s="35" t="n">
        <f aca="false">IFERROR(INDEX(LevelOneOff,MATCH($H488,LevelList,0)),0)</f>
        <v>0</v>
      </c>
      <c r="X488" s="35" t="str">
        <f aca="false">IF($G488="","",$V488*N($L488))</f>
        <v/>
      </c>
      <c r="Y488" s="35" t="str">
        <f aca="false">IF($G488="","",$V488*(N($M488)*1+N($N488)*0.75+N($O488)*0.5+N($P488)*0.25)+$W488*N($L488))</f>
        <v/>
      </c>
      <c r="Z488" s="35" t="str">
        <f aca="false">IF($G488="","",$U488*1000000+ROW())</f>
        <v/>
      </c>
      <c r="AA488" s="36" t="str">
        <f aca="false">IF($G488="","",MID(IF($C488="",", no division","")&amp;IF($E488="",", no unit","")&amp;IF($H488="",", no career level","")&amp;IF(N($L488)&lt;=0,", no quarter split","")&amp;IF($R488="",", no driver","")&amp;IF(AND($H488&lt;&gt;"",COUNTIF(CareerLevels,$H488)=0),", a career level that is not on the ladder","")&amp;IF(AND($R488&lt;&gt;"",COUNTIF(DriverList,$R488)=0),", a driver that is not on the list","")&amp;IF(ABS(N($L488)-(N($M488)+N($N488)+N($O488)+N($P488)))&gt;0.001,", a total that does not match its quarters",""),3,300))</f>
        <v/>
      </c>
    </row>
    <row r="489" customFormat="false" ht="15" hidden="false" customHeight="false" outlineLevel="0" collapsed="false">
      <c r="A489" s="33" t="str">
        <f aca="false">IF($G489="","","Corporate Banking Group")</f>
        <v/>
      </c>
      <c r="B489" s="19"/>
      <c r="C489" s="19"/>
      <c r="D489" s="19"/>
      <c r="E489" s="19"/>
      <c r="F489" s="19"/>
      <c r="G489" s="19"/>
      <c r="H489" s="19"/>
      <c r="I489" s="19"/>
      <c r="J489" s="19"/>
      <c r="K489" s="19"/>
      <c r="L489" s="19"/>
      <c r="M489" s="19"/>
      <c r="N489" s="19"/>
      <c r="O489" s="19"/>
      <c r="P489" s="19"/>
      <c r="Q489" s="19"/>
      <c r="R489" s="19"/>
      <c r="S489" s="19"/>
      <c r="T489" s="34" t="str">
        <f aca="false">IF($R489="","",IFERROR(INDEX(DriverCategory,MATCH($R489,DriverList,0)),"BAU"))</f>
        <v/>
      </c>
      <c r="U489" s="34" t="str">
        <f aca="false">IF($R489="","",IFERROR(INDEX(DriverRank,MATCH($R489,DriverList,0)),99))</f>
        <v/>
      </c>
      <c r="V489" s="35" t="n">
        <f aca="false">IF($H489="",0,IFERROR(INDEX(LevelBasic,MATCH($H489,LevelList,0))+INDEX(LevelHousing,MATCH($H489,LevelList,0))+INDEX(LevelTransport,MATCH($H489,LevelList,0))+INDEX(LevelBasic,MATCH($H489,LevelList,0))*INDEX(LevelBonus,MATCH($H489,LevelList,0))+(INDEX(LevelBasic,MATCH($H489,LevelList,0))+INDEX(LevelHousing,MATCH($H489,LevelList,0)))*GosiSaudi,0))</f>
        <v>0</v>
      </c>
      <c r="W489" s="35" t="n">
        <f aca="false">IFERROR(INDEX(LevelOneOff,MATCH($H489,LevelList,0)),0)</f>
        <v>0</v>
      </c>
      <c r="X489" s="35" t="str">
        <f aca="false">IF($G489="","",$V489*N($L489))</f>
        <v/>
      </c>
      <c r="Y489" s="35" t="str">
        <f aca="false">IF($G489="","",$V489*(N($M489)*1+N($N489)*0.75+N($O489)*0.5+N($P489)*0.25)+$W489*N($L489))</f>
        <v/>
      </c>
      <c r="Z489" s="35" t="str">
        <f aca="false">IF($G489="","",$U489*1000000+ROW())</f>
        <v/>
      </c>
      <c r="AA489" s="36" t="str">
        <f aca="false">IF($G489="","",MID(IF($C489="",", no division","")&amp;IF($E489="",", no unit","")&amp;IF($H489="",", no career level","")&amp;IF(N($L489)&lt;=0,", no quarter split","")&amp;IF($R489="",", no driver","")&amp;IF(AND($H489&lt;&gt;"",COUNTIF(CareerLevels,$H489)=0),", a career level that is not on the ladder","")&amp;IF(AND($R489&lt;&gt;"",COUNTIF(DriverList,$R489)=0),", a driver that is not on the list","")&amp;IF(ABS(N($L489)-(N($M489)+N($N489)+N($O489)+N($P489)))&gt;0.001,", a total that does not match its quarters",""),3,300))</f>
        <v/>
      </c>
    </row>
    <row r="490" customFormat="false" ht="15" hidden="false" customHeight="false" outlineLevel="0" collapsed="false">
      <c r="A490" s="33" t="str">
        <f aca="false">IF($G490="","","Corporate Banking Group")</f>
        <v/>
      </c>
      <c r="B490" s="19"/>
      <c r="C490" s="19"/>
      <c r="D490" s="19"/>
      <c r="E490" s="19"/>
      <c r="F490" s="19"/>
      <c r="G490" s="19"/>
      <c r="H490" s="19"/>
      <c r="I490" s="19"/>
      <c r="J490" s="19"/>
      <c r="K490" s="19"/>
      <c r="L490" s="19"/>
      <c r="M490" s="19"/>
      <c r="N490" s="19"/>
      <c r="O490" s="19"/>
      <c r="P490" s="19"/>
      <c r="Q490" s="19"/>
      <c r="R490" s="19"/>
      <c r="S490" s="19"/>
      <c r="T490" s="34" t="str">
        <f aca="false">IF($R490="","",IFERROR(INDEX(DriverCategory,MATCH($R490,DriverList,0)),"BAU"))</f>
        <v/>
      </c>
      <c r="U490" s="34" t="str">
        <f aca="false">IF($R490="","",IFERROR(INDEX(DriverRank,MATCH($R490,DriverList,0)),99))</f>
        <v/>
      </c>
      <c r="V490" s="35" t="n">
        <f aca="false">IF($H490="",0,IFERROR(INDEX(LevelBasic,MATCH($H490,LevelList,0))+INDEX(LevelHousing,MATCH($H490,LevelList,0))+INDEX(LevelTransport,MATCH($H490,LevelList,0))+INDEX(LevelBasic,MATCH($H490,LevelList,0))*INDEX(LevelBonus,MATCH($H490,LevelList,0))+(INDEX(LevelBasic,MATCH($H490,LevelList,0))+INDEX(LevelHousing,MATCH($H490,LevelList,0)))*GosiSaudi,0))</f>
        <v>0</v>
      </c>
      <c r="W490" s="35" t="n">
        <f aca="false">IFERROR(INDEX(LevelOneOff,MATCH($H490,LevelList,0)),0)</f>
        <v>0</v>
      </c>
      <c r="X490" s="35" t="str">
        <f aca="false">IF($G490="","",$V490*N($L490))</f>
        <v/>
      </c>
      <c r="Y490" s="35" t="str">
        <f aca="false">IF($G490="","",$V490*(N($M490)*1+N($N490)*0.75+N($O490)*0.5+N($P490)*0.25)+$W490*N($L490))</f>
        <v/>
      </c>
      <c r="Z490" s="35" t="str">
        <f aca="false">IF($G490="","",$U490*1000000+ROW())</f>
        <v/>
      </c>
      <c r="AA490" s="36" t="str">
        <f aca="false">IF($G490="","",MID(IF($C490="",", no division","")&amp;IF($E490="",", no unit","")&amp;IF($H490="",", no career level","")&amp;IF(N($L490)&lt;=0,", no quarter split","")&amp;IF($R490="",", no driver","")&amp;IF(AND($H490&lt;&gt;"",COUNTIF(CareerLevels,$H490)=0),", a career level that is not on the ladder","")&amp;IF(AND($R490&lt;&gt;"",COUNTIF(DriverList,$R490)=0),", a driver that is not on the list","")&amp;IF(ABS(N($L490)-(N($M490)+N($N490)+N($O490)+N($P490)))&gt;0.001,", a total that does not match its quarters",""),3,300))</f>
        <v/>
      </c>
    </row>
    <row r="491" customFormat="false" ht="15" hidden="false" customHeight="false" outlineLevel="0" collapsed="false">
      <c r="A491" s="33" t="str">
        <f aca="false">IF($G491="","","Corporate Banking Group")</f>
        <v/>
      </c>
      <c r="B491" s="19"/>
      <c r="C491" s="19"/>
      <c r="D491" s="19"/>
      <c r="E491" s="19"/>
      <c r="F491" s="19"/>
      <c r="G491" s="19"/>
      <c r="H491" s="19"/>
      <c r="I491" s="19"/>
      <c r="J491" s="19"/>
      <c r="K491" s="19"/>
      <c r="L491" s="19"/>
      <c r="M491" s="19"/>
      <c r="N491" s="19"/>
      <c r="O491" s="19"/>
      <c r="P491" s="19"/>
      <c r="Q491" s="19"/>
      <c r="R491" s="19"/>
      <c r="S491" s="19"/>
      <c r="T491" s="34" t="str">
        <f aca="false">IF($R491="","",IFERROR(INDEX(DriverCategory,MATCH($R491,DriverList,0)),"BAU"))</f>
        <v/>
      </c>
      <c r="U491" s="34" t="str">
        <f aca="false">IF($R491="","",IFERROR(INDEX(DriverRank,MATCH($R491,DriverList,0)),99))</f>
        <v/>
      </c>
      <c r="V491" s="35" t="n">
        <f aca="false">IF($H491="",0,IFERROR(INDEX(LevelBasic,MATCH($H491,LevelList,0))+INDEX(LevelHousing,MATCH($H491,LevelList,0))+INDEX(LevelTransport,MATCH($H491,LevelList,0))+INDEX(LevelBasic,MATCH($H491,LevelList,0))*INDEX(LevelBonus,MATCH($H491,LevelList,0))+(INDEX(LevelBasic,MATCH($H491,LevelList,0))+INDEX(LevelHousing,MATCH($H491,LevelList,0)))*GosiSaudi,0))</f>
        <v>0</v>
      </c>
      <c r="W491" s="35" t="n">
        <f aca="false">IFERROR(INDEX(LevelOneOff,MATCH($H491,LevelList,0)),0)</f>
        <v>0</v>
      </c>
      <c r="X491" s="35" t="str">
        <f aca="false">IF($G491="","",$V491*N($L491))</f>
        <v/>
      </c>
      <c r="Y491" s="35" t="str">
        <f aca="false">IF($G491="","",$V491*(N($M491)*1+N($N491)*0.75+N($O491)*0.5+N($P491)*0.25)+$W491*N($L491))</f>
        <v/>
      </c>
      <c r="Z491" s="35" t="str">
        <f aca="false">IF($G491="","",$U491*1000000+ROW())</f>
        <v/>
      </c>
      <c r="AA491" s="36" t="str">
        <f aca="false">IF($G491="","",MID(IF($C491="",", no division","")&amp;IF($E491="",", no unit","")&amp;IF($H491="",", no career level","")&amp;IF(N($L491)&lt;=0,", no quarter split","")&amp;IF($R491="",", no driver","")&amp;IF(AND($H491&lt;&gt;"",COUNTIF(CareerLevels,$H491)=0),", a career level that is not on the ladder","")&amp;IF(AND($R491&lt;&gt;"",COUNTIF(DriverList,$R491)=0),", a driver that is not on the list","")&amp;IF(ABS(N($L491)-(N($M491)+N($N491)+N($O491)+N($P491)))&gt;0.001,", a total that does not match its quarters",""),3,300))</f>
        <v/>
      </c>
    </row>
    <row r="492" customFormat="false" ht="15" hidden="false" customHeight="false" outlineLevel="0" collapsed="false">
      <c r="A492" s="33" t="str">
        <f aca="false">IF($G492="","","Corporate Banking Group")</f>
        <v/>
      </c>
      <c r="B492" s="19"/>
      <c r="C492" s="19"/>
      <c r="D492" s="19"/>
      <c r="E492" s="19"/>
      <c r="F492" s="19"/>
      <c r="G492" s="19"/>
      <c r="H492" s="19"/>
      <c r="I492" s="19"/>
      <c r="J492" s="19"/>
      <c r="K492" s="19"/>
      <c r="L492" s="19"/>
      <c r="M492" s="19"/>
      <c r="N492" s="19"/>
      <c r="O492" s="19"/>
      <c r="P492" s="19"/>
      <c r="Q492" s="19"/>
      <c r="R492" s="19"/>
      <c r="S492" s="19"/>
      <c r="T492" s="34" t="str">
        <f aca="false">IF($R492="","",IFERROR(INDEX(DriverCategory,MATCH($R492,DriverList,0)),"BAU"))</f>
        <v/>
      </c>
      <c r="U492" s="34" t="str">
        <f aca="false">IF($R492="","",IFERROR(INDEX(DriverRank,MATCH($R492,DriverList,0)),99))</f>
        <v/>
      </c>
      <c r="V492" s="35" t="n">
        <f aca="false">IF($H492="",0,IFERROR(INDEX(LevelBasic,MATCH($H492,LevelList,0))+INDEX(LevelHousing,MATCH($H492,LevelList,0))+INDEX(LevelTransport,MATCH($H492,LevelList,0))+INDEX(LevelBasic,MATCH($H492,LevelList,0))*INDEX(LevelBonus,MATCH($H492,LevelList,0))+(INDEX(LevelBasic,MATCH($H492,LevelList,0))+INDEX(LevelHousing,MATCH($H492,LevelList,0)))*GosiSaudi,0))</f>
        <v>0</v>
      </c>
      <c r="W492" s="35" t="n">
        <f aca="false">IFERROR(INDEX(LevelOneOff,MATCH($H492,LevelList,0)),0)</f>
        <v>0</v>
      </c>
      <c r="X492" s="35" t="str">
        <f aca="false">IF($G492="","",$V492*N($L492))</f>
        <v/>
      </c>
      <c r="Y492" s="35" t="str">
        <f aca="false">IF($G492="","",$V492*(N($M492)*1+N($N492)*0.75+N($O492)*0.5+N($P492)*0.25)+$W492*N($L492))</f>
        <v/>
      </c>
      <c r="Z492" s="35" t="str">
        <f aca="false">IF($G492="","",$U492*1000000+ROW())</f>
        <v/>
      </c>
      <c r="AA492" s="36" t="str">
        <f aca="false">IF($G492="","",MID(IF($C492="",", no division","")&amp;IF($E492="",", no unit","")&amp;IF($H492="",", no career level","")&amp;IF(N($L492)&lt;=0,", no quarter split","")&amp;IF($R492="",", no driver","")&amp;IF(AND($H492&lt;&gt;"",COUNTIF(CareerLevels,$H492)=0),", a career level that is not on the ladder","")&amp;IF(AND($R492&lt;&gt;"",COUNTIF(DriverList,$R492)=0),", a driver that is not on the list","")&amp;IF(ABS(N($L492)-(N($M492)+N($N492)+N($O492)+N($P492)))&gt;0.001,", a total that does not match its quarters",""),3,300))</f>
        <v/>
      </c>
    </row>
    <row r="493" customFormat="false" ht="15" hidden="false" customHeight="false" outlineLevel="0" collapsed="false">
      <c r="A493" s="33" t="str">
        <f aca="false">IF($G493="","","Corporate Banking Group")</f>
        <v/>
      </c>
      <c r="B493" s="19"/>
      <c r="C493" s="19"/>
      <c r="D493" s="19"/>
      <c r="E493" s="19"/>
      <c r="F493" s="19"/>
      <c r="G493" s="19"/>
      <c r="H493" s="19"/>
      <c r="I493" s="19"/>
      <c r="J493" s="19"/>
      <c r="K493" s="19"/>
      <c r="L493" s="19"/>
      <c r="M493" s="19"/>
      <c r="N493" s="19"/>
      <c r="O493" s="19"/>
      <c r="P493" s="19"/>
      <c r="Q493" s="19"/>
      <c r="R493" s="19"/>
      <c r="S493" s="19"/>
      <c r="T493" s="34" t="str">
        <f aca="false">IF($R493="","",IFERROR(INDEX(DriverCategory,MATCH($R493,DriverList,0)),"BAU"))</f>
        <v/>
      </c>
      <c r="U493" s="34" t="str">
        <f aca="false">IF($R493="","",IFERROR(INDEX(DriverRank,MATCH($R493,DriverList,0)),99))</f>
        <v/>
      </c>
      <c r="V493" s="35" t="n">
        <f aca="false">IF($H493="",0,IFERROR(INDEX(LevelBasic,MATCH($H493,LevelList,0))+INDEX(LevelHousing,MATCH($H493,LevelList,0))+INDEX(LevelTransport,MATCH($H493,LevelList,0))+INDEX(LevelBasic,MATCH($H493,LevelList,0))*INDEX(LevelBonus,MATCH($H493,LevelList,0))+(INDEX(LevelBasic,MATCH($H493,LevelList,0))+INDEX(LevelHousing,MATCH($H493,LevelList,0)))*GosiSaudi,0))</f>
        <v>0</v>
      </c>
      <c r="W493" s="35" t="n">
        <f aca="false">IFERROR(INDEX(LevelOneOff,MATCH($H493,LevelList,0)),0)</f>
        <v>0</v>
      </c>
      <c r="X493" s="35" t="str">
        <f aca="false">IF($G493="","",$V493*N($L493))</f>
        <v/>
      </c>
      <c r="Y493" s="35" t="str">
        <f aca="false">IF($G493="","",$V493*(N($M493)*1+N($N493)*0.75+N($O493)*0.5+N($P493)*0.25)+$W493*N($L493))</f>
        <v/>
      </c>
      <c r="Z493" s="35" t="str">
        <f aca="false">IF($G493="","",$U493*1000000+ROW())</f>
        <v/>
      </c>
      <c r="AA493" s="36" t="str">
        <f aca="false">IF($G493="","",MID(IF($C493="",", no division","")&amp;IF($E493="",", no unit","")&amp;IF($H493="",", no career level","")&amp;IF(N($L493)&lt;=0,", no quarter split","")&amp;IF($R493="",", no driver","")&amp;IF(AND($H493&lt;&gt;"",COUNTIF(CareerLevels,$H493)=0),", a career level that is not on the ladder","")&amp;IF(AND($R493&lt;&gt;"",COUNTIF(DriverList,$R493)=0),", a driver that is not on the list","")&amp;IF(ABS(N($L493)-(N($M493)+N($N493)+N($O493)+N($P493)))&gt;0.001,", a total that does not match its quarters",""),3,300))</f>
        <v/>
      </c>
    </row>
    <row r="494" customFormat="false" ht="15" hidden="false" customHeight="false" outlineLevel="0" collapsed="false">
      <c r="A494" s="33" t="str">
        <f aca="false">IF($G494="","","Corporate Banking Group")</f>
        <v/>
      </c>
      <c r="B494" s="19"/>
      <c r="C494" s="19"/>
      <c r="D494" s="19"/>
      <c r="E494" s="19"/>
      <c r="F494" s="19"/>
      <c r="G494" s="19"/>
      <c r="H494" s="19"/>
      <c r="I494" s="19"/>
      <c r="J494" s="19"/>
      <c r="K494" s="19"/>
      <c r="L494" s="19"/>
      <c r="M494" s="19"/>
      <c r="N494" s="19"/>
      <c r="O494" s="19"/>
      <c r="P494" s="19"/>
      <c r="Q494" s="19"/>
      <c r="R494" s="19"/>
      <c r="S494" s="19"/>
      <c r="T494" s="34" t="str">
        <f aca="false">IF($R494="","",IFERROR(INDEX(DriverCategory,MATCH($R494,DriverList,0)),"BAU"))</f>
        <v/>
      </c>
      <c r="U494" s="34" t="str">
        <f aca="false">IF($R494="","",IFERROR(INDEX(DriverRank,MATCH($R494,DriverList,0)),99))</f>
        <v/>
      </c>
      <c r="V494" s="35" t="n">
        <f aca="false">IF($H494="",0,IFERROR(INDEX(LevelBasic,MATCH($H494,LevelList,0))+INDEX(LevelHousing,MATCH($H494,LevelList,0))+INDEX(LevelTransport,MATCH($H494,LevelList,0))+INDEX(LevelBasic,MATCH($H494,LevelList,0))*INDEX(LevelBonus,MATCH($H494,LevelList,0))+(INDEX(LevelBasic,MATCH($H494,LevelList,0))+INDEX(LevelHousing,MATCH($H494,LevelList,0)))*GosiSaudi,0))</f>
        <v>0</v>
      </c>
      <c r="W494" s="35" t="n">
        <f aca="false">IFERROR(INDEX(LevelOneOff,MATCH($H494,LevelList,0)),0)</f>
        <v>0</v>
      </c>
      <c r="X494" s="35" t="str">
        <f aca="false">IF($G494="","",$V494*N($L494))</f>
        <v/>
      </c>
      <c r="Y494" s="35" t="str">
        <f aca="false">IF($G494="","",$V494*(N($M494)*1+N($N494)*0.75+N($O494)*0.5+N($P494)*0.25)+$W494*N($L494))</f>
        <v/>
      </c>
      <c r="Z494" s="35" t="str">
        <f aca="false">IF($G494="","",$U494*1000000+ROW())</f>
        <v/>
      </c>
      <c r="AA494" s="36" t="str">
        <f aca="false">IF($G494="","",MID(IF($C494="",", no division","")&amp;IF($E494="",", no unit","")&amp;IF($H494="",", no career level","")&amp;IF(N($L494)&lt;=0,", no quarter split","")&amp;IF($R494="",", no driver","")&amp;IF(AND($H494&lt;&gt;"",COUNTIF(CareerLevels,$H494)=0),", a career level that is not on the ladder","")&amp;IF(AND($R494&lt;&gt;"",COUNTIF(DriverList,$R494)=0),", a driver that is not on the list","")&amp;IF(ABS(N($L494)-(N($M494)+N($N494)+N($O494)+N($P494)))&gt;0.001,", a total that does not match its quarters",""),3,300))</f>
        <v/>
      </c>
    </row>
    <row r="495" customFormat="false" ht="15" hidden="false" customHeight="false" outlineLevel="0" collapsed="false">
      <c r="A495" s="33" t="str">
        <f aca="false">IF($G495="","","Corporate Banking Group")</f>
        <v/>
      </c>
      <c r="B495" s="19"/>
      <c r="C495" s="19"/>
      <c r="D495" s="19"/>
      <c r="E495" s="19"/>
      <c r="F495" s="19"/>
      <c r="G495" s="19"/>
      <c r="H495" s="19"/>
      <c r="I495" s="19"/>
      <c r="J495" s="19"/>
      <c r="K495" s="19"/>
      <c r="L495" s="19"/>
      <c r="M495" s="19"/>
      <c r="N495" s="19"/>
      <c r="O495" s="19"/>
      <c r="P495" s="19"/>
      <c r="Q495" s="19"/>
      <c r="R495" s="19"/>
      <c r="S495" s="19"/>
      <c r="T495" s="34" t="str">
        <f aca="false">IF($R495="","",IFERROR(INDEX(DriverCategory,MATCH($R495,DriverList,0)),"BAU"))</f>
        <v/>
      </c>
      <c r="U495" s="34" t="str">
        <f aca="false">IF($R495="","",IFERROR(INDEX(DriverRank,MATCH($R495,DriverList,0)),99))</f>
        <v/>
      </c>
      <c r="V495" s="35" t="n">
        <f aca="false">IF($H495="",0,IFERROR(INDEX(LevelBasic,MATCH($H495,LevelList,0))+INDEX(LevelHousing,MATCH($H495,LevelList,0))+INDEX(LevelTransport,MATCH($H495,LevelList,0))+INDEX(LevelBasic,MATCH($H495,LevelList,0))*INDEX(LevelBonus,MATCH($H495,LevelList,0))+(INDEX(LevelBasic,MATCH($H495,LevelList,0))+INDEX(LevelHousing,MATCH($H495,LevelList,0)))*GosiSaudi,0))</f>
        <v>0</v>
      </c>
      <c r="W495" s="35" t="n">
        <f aca="false">IFERROR(INDEX(LevelOneOff,MATCH($H495,LevelList,0)),0)</f>
        <v>0</v>
      </c>
      <c r="X495" s="35" t="str">
        <f aca="false">IF($G495="","",$V495*N($L495))</f>
        <v/>
      </c>
      <c r="Y495" s="35" t="str">
        <f aca="false">IF($G495="","",$V495*(N($M495)*1+N($N495)*0.75+N($O495)*0.5+N($P495)*0.25)+$W495*N($L495))</f>
        <v/>
      </c>
      <c r="Z495" s="35" t="str">
        <f aca="false">IF($G495="","",$U495*1000000+ROW())</f>
        <v/>
      </c>
      <c r="AA495" s="36" t="str">
        <f aca="false">IF($G495="","",MID(IF($C495="",", no division","")&amp;IF($E495="",", no unit","")&amp;IF($H495="",", no career level","")&amp;IF(N($L495)&lt;=0,", no quarter split","")&amp;IF($R495="",", no driver","")&amp;IF(AND($H495&lt;&gt;"",COUNTIF(CareerLevels,$H495)=0),", a career level that is not on the ladder","")&amp;IF(AND($R495&lt;&gt;"",COUNTIF(DriverList,$R495)=0),", a driver that is not on the list","")&amp;IF(ABS(N($L495)-(N($M495)+N($N495)+N($O495)+N($P495)))&gt;0.001,", a total that does not match its quarters",""),3,300))</f>
        <v/>
      </c>
    </row>
    <row r="496" customFormat="false" ht="15" hidden="false" customHeight="false" outlineLevel="0" collapsed="false">
      <c r="A496" s="33" t="str">
        <f aca="false">IF($G496="","","Corporate Banking Group")</f>
        <v/>
      </c>
      <c r="B496" s="19"/>
      <c r="C496" s="19"/>
      <c r="D496" s="19"/>
      <c r="E496" s="19"/>
      <c r="F496" s="19"/>
      <c r="G496" s="19"/>
      <c r="H496" s="19"/>
      <c r="I496" s="19"/>
      <c r="J496" s="19"/>
      <c r="K496" s="19"/>
      <c r="L496" s="19"/>
      <c r="M496" s="19"/>
      <c r="N496" s="19"/>
      <c r="O496" s="19"/>
      <c r="P496" s="19"/>
      <c r="Q496" s="19"/>
      <c r="R496" s="19"/>
      <c r="S496" s="19"/>
      <c r="T496" s="34" t="str">
        <f aca="false">IF($R496="","",IFERROR(INDEX(DriverCategory,MATCH($R496,DriverList,0)),"BAU"))</f>
        <v/>
      </c>
      <c r="U496" s="34" t="str">
        <f aca="false">IF($R496="","",IFERROR(INDEX(DriverRank,MATCH($R496,DriverList,0)),99))</f>
        <v/>
      </c>
      <c r="V496" s="35" t="n">
        <f aca="false">IF($H496="",0,IFERROR(INDEX(LevelBasic,MATCH($H496,LevelList,0))+INDEX(LevelHousing,MATCH($H496,LevelList,0))+INDEX(LevelTransport,MATCH($H496,LevelList,0))+INDEX(LevelBasic,MATCH($H496,LevelList,0))*INDEX(LevelBonus,MATCH($H496,LevelList,0))+(INDEX(LevelBasic,MATCH($H496,LevelList,0))+INDEX(LevelHousing,MATCH($H496,LevelList,0)))*GosiSaudi,0))</f>
        <v>0</v>
      </c>
      <c r="W496" s="35" t="n">
        <f aca="false">IFERROR(INDEX(LevelOneOff,MATCH($H496,LevelList,0)),0)</f>
        <v>0</v>
      </c>
      <c r="X496" s="35" t="str">
        <f aca="false">IF($G496="","",$V496*N($L496))</f>
        <v/>
      </c>
      <c r="Y496" s="35" t="str">
        <f aca="false">IF($G496="","",$V496*(N($M496)*1+N($N496)*0.75+N($O496)*0.5+N($P496)*0.25)+$W496*N($L496))</f>
        <v/>
      </c>
      <c r="Z496" s="35" t="str">
        <f aca="false">IF($G496="","",$U496*1000000+ROW())</f>
        <v/>
      </c>
      <c r="AA496" s="36" t="str">
        <f aca="false">IF($G496="","",MID(IF($C496="",", no division","")&amp;IF($E496="",", no unit","")&amp;IF($H496="",", no career level","")&amp;IF(N($L496)&lt;=0,", no quarter split","")&amp;IF($R496="",", no driver","")&amp;IF(AND($H496&lt;&gt;"",COUNTIF(CareerLevels,$H496)=0),", a career level that is not on the ladder","")&amp;IF(AND($R496&lt;&gt;"",COUNTIF(DriverList,$R496)=0),", a driver that is not on the list","")&amp;IF(ABS(N($L496)-(N($M496)+N($N496)+N($O496)+N($P496)))&gt;0.001,", a total that does not match its quarters",""),3,300))</f>
        <v/>
      </c>
    </row>
    <row r="497" customFormat="false" ht="15" hidden="false" customHeight="false" outlineLevel="0" collapsed="false">
      <c r="A497" s="33" t="str">
        <f aca="false">IF($G497="","","Corporate Banking Group")</f>
        <v/>
      </c>
      <c r="B497" s="19"/>
      <c r="C497" s="19"/>
      <c r="D497" s="19"/>
      <c r="E497" s="19"/>
      <c r="F497" s="19"/>
      <c r="G497" s="19"/>
      <c r="H497" s="19"/>
      <c r="I497" s="19"/>
      <c r="J497" s="19"/>
      <c r="K497" s="19"/>
      <c r="L497" s="19"/>
      <c r="M497" s="19"/>
      <c r="N497" s="19"/>
      <c r="O497" s="19"/>
      <c r="P497" s="19"/>
      <c r="Q497" s="19"/>
      <c r="R497" s="19"/>
      <c r="S497" s="19"/>
      <c r="T497" s="34" t="str">
        <f aca="false">IF($R497="","",IFERROR(INDEX(DriverCategory,MATCH($R497,DriverList,0)),"BAU"))</f>
        <v/>
      </c>
      <c r="U497" s="34" t="str">
        <f aca="false">IF($R497="","",IFERROR(INDEX(DriverRank,MATCH($R497,DriverList,0)),99))</f>
        <v/>
      </c>
      <c r="V497" s="35" t="n">
        <f aca="false">IF($H497="",0,IFERROR(INDEX(LevelBasic,MATCH($H497,LevelList,0))+INDEX(LevelHousing,MATCH($H497,LevelList,0))+INDEX(LevelTransport,MATCH($H497,LevelList,0))+INDEX(LevelBasic,MATCH($H497,LevelList,0))*INDEX(LevelBonus,MATCH($H497,LevelList,0))+(INDEX(LevelBasic,MATCH($H497,LevelList,0))+INDEX(LevelHousing,MATCH($H497,LevelList,0)))*GosiSaudi,0))</f>
        <v>0</v>
      </c>
      <c r="W497" s="35" t="n">
        <f aca="false">IFERROR(INDEX(LevelOneOff,MATCH($H497,LevelList,0)),0)</f>
        <v>0</v>
      </c>
      <c r="X497" s="35" t="str">
        <f aca="false">IF($G497="","",$V497*N($L497))</f>
        <v/>
      </c>
      <c r="Y497" s="35" t="str">
        <f aca="false">IF($G497="","",$V497*(N($M497)*1+N($N497)*0.75+N($O497)*0.5+N($P497)*0.25)+$W497*N($L497))</f>
        <v/>
      </c>
      <c r="Z497" s="35" t="str">
        <f aca="false">IF($G497="","",$U497*1000000+ROW())</f>
        <v/>
      </c>
      <c r="AA497" s="36" t="str">
        <f aca="false">IF($G497="","",MID(IF($C497="",", no division","")&amp;IF($E497="",", no unit","")&amp;IF($H497="",", no career level","")&amp;IF(N($L497)&lt;=0,", no quarter split","")&amp;IF($R497="",", no driver","")&amp;IF(AND($H497&lt;&gt;"",COUNTIF(CareerLevels,$H497)=0),", a career level that is not on the ladder","")&amp;IF(AND($R497&lt;&gt;"",COUNTIF(DriverList,$R497)=0),", a driver that is not on the list","")&amp;IF(ABS(N($L497)-(N($M497)+N($N497)+N($O497)+N($P497)))&gt;0.001,", a total that does not match its quarters",""),3,300))</f>
        <v/>
      </c>
    </row>
    <row r="498" customFormat="false" ht="15" hidden="false" customHeight="false" outlineLevel="0" collapsed="false">
      <c r="A498" s="33" t="str">
        <f aca="false">IF($G498="","","Corporate Banking Group")</f>
        <v/>
      </c>
      <c r="B498" s="19"/>
      <c r="C498" s="19"/>
      <c r="D498" s="19"/>
      <c r="E498" s="19"/>
      <c r="F498" s="19"/>
      <c r="G498" s="19"/>
      <c r="H498" s="19"/>
      <c r="I498" s="19"/>
      <c r="J498" s="19"/>
      <c r="K498" s="19"/>
      <c r="L498" s="19"/>
      <c r="M498" s="19"/>
      <c r="N498" s="19"/>
      <c r="O498" s="19"/>
      <c r="P498" s="19"/>
      <c r="Q498" s="19"/>
      <c r="R498" s="19"/>
      <c r="S498" s="19"/>
      <c r="T498" s="34" t="str">
        <f aca="false">IF($R498="","",IFERROR(INDEX(DriverCategory,MATCH($R498,DriverList,0)),"BAU"))</f>
        <v/>
      </c>
      <c r="U498" s="34" t="str">
        <f aca="false">IF($R498="","",IFERROR(INDEX(DriverRank,MATCH($R498,DriverList,0)),99))</f>
        <v/>
      </c>
      <c r="V498" s="35" t="n">
        <f aca="false">IF($H498="",0,IFERROR(INDEX(LevelBasic,MATCH($H498,LevelList,0))+INDEX(LevelHousing,MATCH($H498,LevelList,0))+INDEX(LevelTransport,MATCH($H498,LevelList,0))+INDEX(LevelBasic,MATCH($H498,LevelList,0))*INDEX(LevelBonus,MATCH($H498,LevelList,0))+(INDEX(LevelBasic,MATCH($H498,LevelList,0))+INDEX(LevelHousing,MATCH($H498,LevelList,0)))*GosiSaudi,0))</f>
        <v>0</v>
      </c>
      <c r="W498" s="35" t="n">
        <f aca="false">IFERROR(INDEX(LevelOneOff,MATCH($H498,LevelList,0)),0)</f>
        <v>0</v>
      </c>
      <c r="X498" s="35" t="str">
        <f aca="false">IF($G498="","",$V498*N($L498))</f>
        <v/>
      </c>
      <c r="Y498" s="35" t="str">
        <f aca="false">IF($G498="","",$V498*(N($M498)*1+N($N498)*0.75+N($O498)*0.5+N($P498)*0.25)+$W498*N($L498))</f>
        <v/>
      </c>
      <c r="Z498" s="35" t="str">
        <f aca="false">IF($G498="","",$U498*1000000+ROW())</f>
        <v/>
      </c>
      <c r="AA498" s="36" t="str">
        <f aca="false">IF($G498="","",MID(IF($C498="",", no division","")&amp;IF($E498="",", no unit","")&amp;IF($H498="",", no career level","")&amp;IF(N($L498)&lt;=0,", no quarter split","")&amp;IF($R498="",", no driver","")&amp;IF(AND($H498&lt;&gt;"",COUNTIF(CareerLevels,$H498)=0),", a career level that is not on the ladder","")&amp;IF(AND($R498&lt;&gt;"",COUNTIF(DriverList,$R498)=0),", a driver that is not on the list","")&amp;IF(ABS(N($L498)-(N($M498)+N($N498)+N($O498)+N($P498)))&gt;0.001,", a total that does not match its quarters",""),3,300))</f>
        <v/>
      </c>
    </row>
    <row r="499" customFormat="false" ht="15" hidden="false" customHeight="false" outlineLevel="0" collapsed="false">
      <c r="A499" s="33" t="str">
        <f aca="false">IF($G499="","","Corporate Banking Group")</f>
        <v/>
      </c>
      <c r="B499" s="19"/>
      <c r="C499" s="19"/>
      <c r="D499" s="19"/>
      <c r="E499" s="19"/>
      <c r="F499" s="19"/>
      <c r="G499" s="19"/>
      <c r="H499" s="19"/>
      <c r="I499" s="19"/>
      <c r="J499" s="19"/>
      <c r="K499" s="19"/>
      <c r="L499" s="19"/>
      <c r="M499" s="19"/>
      <c r="N499" s="19"/>
      <c r="O499" s="19"/>
      <c r="P499" s="19"/>
      <c r="Q499" s="19"/>
      <c r="R499" s="19"/>
      <c r="S499" s="19"/>
      <c r="T499" s="34" t="str">
        <f aca="false">IF($R499="","",IFERROR(INDEX(DriverCategory,MATCH($R499,DriverList,0)),"BAU"))</f>
        <v/>
      </c>
      <c r="U499" s="34" t="str">
        <f aca="false">IF($R499="","",IFERROR(INDEX(DriverRank,MATCH($R499,DriverList,0)),99))</f>
        <v/>
      </c>
      <c r="V499" s="35" t="n">
        <f aca="false">IF($H499="",0,IFERROR(INDEX(LevelBasic,MATCH($H499,LevelList,0))+INDEX(LevelHousing,MATCH($H499,LevelList,0))+INDEX(LevelTransport,MATCH($H499,LevelList,0))+INDEX(LevelBasic,MATCH($H499,LevelList,0))*INDEX(LevelBonus,MATCH($H499,LevelList,0))+(INDEX(LevelBasic,MATCH($H499,LevelList,0))+INDEX(LevelHousing,MATCH($H499,LevelList,0)))*GosiSaudi,0))</f>
        <v>0</v>
      </c>
      <c r="W499" s="35" t="n">
        <f aca="false">IFERROR(INDEX(LevelOneOff,MATCH($H499,LevelList,0)),0)</f>
        <v>0</v>
      </c>
      <c r="X499" s="35" t="str">
        <f aca="false">IF($G499="","",$V499*N($L499))</f>
        <v/>
      </c>
      <c r="Y499" s="35" t="str">
        <f aca="false">IF($G499="","",$V499*(N($M499)*1+N($N499)*0.75+N($O499)*0.5+N($P499)*0.25)+$W499*N($L499))</f>
        <v/>
      </c>
      <c r="Z499" s="35" t="str">
        <f aca="false">IF($G499="","",$U499*1000000+ROW())</f>
        <v/>
      </c>
      <c r="AA499" s="36" t="str">
        <f aca="false">IF($G499="","",MID(IF($C499="",", no division","")&amp;IF($E499="",", no unit","")&amp;IF($H499="",", no career level","")&amp;IF(N($L499)&lt;=0,", no quarter split","")&amp;IF($R499="",", no driver","")&amp;IF(AND($H499&lt;&gt;"",COUNTIF(CareerLevels,$H499)=0),", a career level that is not on the ladder","")&amp;IF(AND($R499&lt;&gt;"",COUNTIF(DriverList,$R499)=0),", a driver that is not on the list","")&amp;IF(ABS(N($L499)-(N($M499)+N($N499)+N($O499)+N($P499)))&gt;0.001,", a total that does not match its quarters",""),3,300))</f>
        <v/>
      </c>
    </row>
    <row r="500" customFormat="false" ht="15" hidden="false" customHeight="false" outlineLevel="0" collapsed="false">
      <c r="A500" s="33" t="str">
        <f aca="false">IF($G500="","","Corporate Banking Group")</f>
        <v/>
      </c>
      <c r="B500" s="19"/>
      <c r="C500" s="19"/>
      <c r="D500" s="19"/>
      <c r="E500" s="19"/>
      <c r="F500" s="19"/>
      <c r="G500" s="19"/>
      <c r="H500" s="19"/>
      <c r="I500" s="19"/>
      <c r="J500" s="19"/>
      <c r="K500" s="19"/>
      <c r="L500" s="19"/>
      <c r="M500" s="19"/>
      <c r="N500" s="19"/>
      <c r="O500" s="19"/>
      <c r="P500" s="19"/>
      <c r="Q500" s="19"/>
      <c r="R500" s="19"/>
      <c r="S500" s="19"/>
      <c r="T500" s="34" t="str">
        <f aca="false">IF($R500="","",IFERROR(INDEX(DriverCategory,MATCH($R500,DriverList,0)),"BAU"))</f>
        <v/>
      </c>
      <c r="U500" s="34" t="str">
        <f aca="false">IF($R500="","",IFERROR(INDEX(DriverRank,MATCH($R500,DriverList,0)),99))</f>
        <v/>
      </c>
      <c r="V500" s="35" t="n">
        <f aca="false">IF($H500="",0,IFERROR(INDEX(LevelBasic,MATCH($H500,LevelList,0))+INDEX(LevelHousing,MATCH($H500,LevelList,0))+INDEX(LevelTransport,MATCH($H500,LevelList,0))+INDEX(LevelBasic,MATCH($H500,LevelList,0))*INDEX(LevelBonus,MATCH($H500,LevelList,0))+(INDEX(LevelBasic,MATCH($H500,LevelList,0))+INDEX(LevelHousing,MATCH($H500,LevelList,0)))*GosiSaudi,0))</f>
        <v>0</v>
      </c>
      <c r="W500" s="35" t="n">
        <f aca="false">IFERROR(INDEX(LevelOneOff,MATCH($H500,LevelList,0)),0)</f>
        <v>0</v>
      </c>
      <c r="X500" s="35" t="str">
        <f aca="false">IF($G500="","",$V500*N($L500))</f>
        <v/>
      </c>
      <c r="Y500" s="35" t="str">
        <f aca="false">IF($G500="","",$V500*(N($M500)*1+N($N500)*0.75+N($O500)*0.5+N($P500)*0.25)+$W500*N($L500))</f>
        <v/>
      </c>
      <c r="Z500" s="35" t="str">
        <f aca="false">IF($G500="","",$U500*1000000+ROW())</f>
        <v/>
      </c>
      <c r="AA500" s="36" t="str">
        <f aca="false">IF($G500="","",MID(IF($C500="",", no division","")&amp;IF($E500="",", no unit","")&amp;IF($H500="",", no career level","")&amp;IF(N($L500)&lt;=0,", no quarter split","")&amp;IF($R500="",", no driver","")&amp;IF(AND($H500&lt;&gt;"",COUNTIF(CareerLevels,$H500)=0),", a career level that is not on the ladder","")&amp;IF(AND($R500&lt;&gt;"",COUNTIF(DriverList,$R500)=0),", a driver that is not on the list","")&amp;IF(ABS(N($L500)-(N($M500)+N($N500)+N($O500)+N($P500)))&gt;0.001,", a total that does not match its quarters",""),3,300))</f>
        <v/>
      </c>
    </row>
    <row r="501" customFormat="false" ht="15" hidden="false" customHeight="false" outlineLevel="0" collapsed="false">
      <c r="A501" s="33" t="str">
        <f aca="false">IF($G501="","","Corporate Banking Group")</f>
        <v/>
      </c>
      <c r="B501" s="19"/>
      <c r="C501" s="19"/>
      <c r="D501" s="19"/>
      <c r="E501" s="19"/>
      <c r="F501" s="19"/>
      <c r="G501" s="19"/>
      <c r="H501" s="19"/>
      <c r="I501" s="19"/>
      <c r="J501" s="19"/>
      <c r="K501" s="19"/>
      <c r="L501" s="19"/>
      <c r="M501" s="19"/>
      <c r="N501" s="19"/>
      <c r="O501" s="19"/>
      <c r="P501" s="19"/>
      <c r="Q501" s="19"/>
      <c r="R501" s="19"/>
      <c r="S501" s="19"/>
      <c r="T501" s="34" t="str">
        <f aca="false">IF($R501="","",IFERROR(INDEX(DriverCategory,MATCH($R501,DriverList,0)),"BAU"))</f>
        <v/>
      </c>
      <c r="U501" s="34" t="str">
        <f aca="false">IF($R501="","",IFERROR(INDEX(DriverRank,MATCH($R501,DriverList,0)),99))</f>
        <v/>
      </c>
      <c r="V501" s="35" t="n">
        <f aca="false">IF($H501="",0,IFERROR(INDEX(LevelBasic,MATCH($H501,LevelList,0))+INDEX(LevelHousing,MATCH($H501,LevelList,0))+INDEX(LevelTransport,MATCH($H501,LevelList,0))+INDEX(LevelBasic,MATCH($H501,LevelList,0))*INDEX(LevelBonus,MATCH($H501,LevelList,0))+(INDEX(LevelBasic,MATCH($H501,LevelList,0))+INDEX(LevelHousing,MATCH($H501,LevelList,0)))*GosiSaudi,0))</f>
        <v>0</v>
      </c>
      <c r="W501" s="35" t="n">
        <f aca="false">IFERROR(INDEX(LevelOneOff,MATCH($H501,LevelList,0)),0)</f>
        <v>0</v>
      </c>
      <c r="X501" s="35" t="str">
        <f aca="false">IF($G501="","",$V501*N($L501))</f>
        <v/>
      </c>
      <c r="Y501" s="35" t="str">
        <f aca="false">IF($G501="","",$V501*(N($M501)*1+N($N501)*0.75+N($O501)*0.5+N($P501)*0.25)+$W501*N($L501))</f>
        <v/>
      </c>
      <c r="Z501" s="35" t="str">
        <f aca="false">IF($G501="","",$U501*1000000+ROW())</f>
        <v/>
      </c>
      <c r="AA501" s="36" t="str">
        <f aca="false">IF($G501="","",MID(IF($C501="",", no division","")&amp;IF($E501="",", no unit","")&amp;IF($H501="",", no career level","")&amp;IF(N($L501)&lt;=0,", no quarter split","")&amp;IF($R501="",", no driver","")&amp;IF(AND($H501&lt;&gt;"",COUNTIF(CareerLevels,$H501)=0),", a career level that is not on the ladder","")&amp;IF(AND($R501&lt;&gt;"",COUNTIF(DriverList,$R501)=0),", a driver that is not on the list","")&amp;IF(ABS(N($L501)-(N($M501)+N($N501)+N($O501)+N($P501)))&gt;0.001,", a total that does not match its quarters",""),3,300))</f>
        <v/>
      </c>
    </row>
    <row r="502" customFormat="false" ht="15" hidden="false" customHeight="false" outlineLevel="0" collapsed="false">
      <c r="A502" s="33" t="str">
        <f aca="false">IF($G502="","","Corporate Banking Group")</f>
        <v/>
      </c>
      <c r="B502" s="19"/>
      <c r="C502" s="19"/>
      <c r="D502" s="19"/>
      <c r="E502" s="19"/>
      <c r="F502" s="19"/>
      <c r="G502" s="19"/>
      <c r="H502" s="19"/>
      <c r="I502" s="19"/>
      <c r="J502" s="19"/>
      <c r="K502" s="19"/>
      <c r="L502" s="19"/>
      <c r="M502" s="19"/>
      <c r="N502" s="19"/>
      <c r="O502" s="19"/>
      <c r="P502" s="19"/>
      <c r="Q502" s="19"/>
      <c r="R502" s="19"/>
      <c r="S502" s="19"/>
      <c r="T502" s="34" t="str">
        <f aca="false">IF($R502="","",IFERROR(INDEX(DriverCategory,MATCH($R502,DriverList,0)),"BAU"))</f>
        <v/>
      </c>
      <c r="U502" s="34" t="str">
        <f aca="false">IF($R502="","",IFERROR(INDEX(DriverRank,MATCH($R502,DriverList,0)),99))</f>
        <v/>
      </c>
      <c r="V502" s="35" t="n">
        <f aca="false">IF($H502="",0,IFERROR(INDEX(LevelBasic,MATCH($H502,LevelList,0))+INDEX(LevelHousing,MATCH($H502,LevelList,0))+INDEX(LevelTransport,MATCH($H502,LevelList,0))+INDEX(LevelBasic,MATCH($H502,LevelList,0))*INDEX(LevelBonus,MATCH($H502,LevelList,0))+(INDEX(LevelBasic,MATCH($H502,LevelList,0))+INDEX(LevelHousing,MATCH($H502,LevelList,0)))*GosiSaudi,0))</f>
        <v>0</v>
      </c>
      <c r="W502" s="35" t="n">
        <f aca="false">IFERROR(INDEX(LevelOneOff,MATCH($H502,LevelList,0)),0)</f>
        <v>0</v>
      </c>
      <c r="X502" s="35" t="str">
        <f aca="false">IF($G502="","",$V502*N($L502))</f>
        <v/>
      </c>
      <c r="Y502" s="35" t="str">
        <f aca="false">IF($G502="","",$V502*(N($M502)*1+N($N502)*0.75+N($O502)*0.5+N($P502)*0.25)+$W502*N($L502))</f>
        <v/>
      </c>
      <c r="Z502" s="35" t="str">
        <f aca="false">IF($G502="","",$U502*1000000+ROW())</f>
        <v/>
      </c>
      <c r="AA502" s="36" t="str">
        <f aca="false">IF($G502="","",MID(IF($C502="",", no division","")&amp;IF($E502="",", no unit","")&amp;IF($H502="",", no career level","")&amp;IF(N($L502)&lt;=0,", no quarter split","")&amp;IF($R502="",", no driver","")&amp;IF(AND($H502&lt;&gt;"",COUNTIF(CareerLevels,$H502)=0),", a career level that is not on the ladder","")&amp;IF(AND($R502&lt;&gt;"",COUNTIF(DriverList,$R502)=0),", a driver that is not on the list","")&amp;IF(ABS(N($L502)-(N($M502)+N($N502)+N($O502)+N($P502)))&gt;0.001,", a total that does not match its quarters",""),3,300))</f>
        <v/>
      </c>
    </row>
    <row r="503" customFormat="false" ht="15" hidden="false" customHeight="false" outlineLevel="0" collapsed="false">
      <c r="A503" s="33" t="str">
        <f aca="false">IF($G503="","","Corporate Banking Group")</f>
        <v/>
      </c>
      <c r="B503" s="19"/>
      <c r="C503" s="19"/>
      <c r="D503" s="19"/>
      <c r="E503" s="19"/>
      <c r="F503" s="19"/>
      <c r="G503" s="19"/>
      <c r="H503" s="19"/>
      <c r="I503" s="19"/>
      <c r="J503" s="19"/>
      <c r="K503" s="19"/>
      <c r="L503" s="19"/>
      <c r="M503" s="19"/>
      <c r="N503" s="19"/>
      <c r="O503" s="19"/>
      <c r="P503" s="19"/>
      <c r="Q503" s="19"/>
      <c r="R503" s="19"/>
      <c r="S503" s="19"/>
      <c r="T503" s="34" t="str">
        <f aca="false">IF($R503="","",IFERROR(INDEX(DriverCategory,MATCH($R503,DriverList,0)),"BAU"))</f>
        <v/>
      </c>
      <c r="U503" s="34" t="str">
        <f aca="false">IF($R503="","",IFERROR(INDEX(DriverRank,MATCH($R503,DriverList,0)),99))</f>
        <v/>
      </c>
      <c r="V503" s="35" t="n">
        <f aca="false">IF($H503="",0,IFERROR(INDEX(LevelBasic,MATCH($H503,LevelList,0))+INDEX(LevelHousing,MATCH($H503,LevelList,0))+INDEX(LevelTransport,MATCH($H503,LevelList,0))+INDEX(LevelBasic,MATCH($H503,LevelList,0))*INDEX(LevelBonus,MATCH($H503,LevelList,0))+(INDEX(LevelBasic,MATCH($H503,LevelList,0))+INDEX(LevelHousing,MATCH($H503,LevelList,0)))*GosiSaudi,0))</f>
        <v>0</v>
      </c>
      <c r="W503" s="35" t="n">
        <f aca="false">IFERROR(INDEX(LevelOneOff,MATCH($H503,LevelList,0)),0)</f>
        <v>0</v>
      </c>
      <c r="X503" s="35" t="str">
        <f aca="false">IF($G503="","",$V503*N($L503))</f>
        <v/>
      </c>
      <c r="Y503" s="35" t="str">
        <f aca="false">IF($G503="","",$V503*(N($M503)*1+N($N503)*0.75+N($O503)*0.5+N($P503)*0.25)+$W503*N($L503))</f>
        <v/>
      </c>
      <c r="Z503" s="35" t="str">
        <f aca="false">IF($G503="","",$U503*1000000+ROW())</f>
        <v/>
      </c>
      <c r="AA503" s="36" t="str">
        <f aca="false">IF($G503="","",MID(IF($C503="",", no division","")&amp;IF($E503="",", no unit","")&amp;IF($H503="",", no career level","")&amp;IF(N($L503)&lt;=0,", no quarter split","")&amp;IF($R503="",", no driver","")&amp;IF(AND($H503&lt;&gt;"",COUNTIF(CareerLevels,$H503)=0),", a career level that is not on the ladder","")&amp;IF(AND($R503&lt;&gt;"",COUNTIF(DriverList,$R503)=0),", a driver that is not on the list","")&amp;IF(ABS(N($L503)-(N($M503)+N($N503)+N($O503)+N($P503)))&gt;0.001,", a total that does not match its quarters",""),3,300))</f>
        <v/>
      </c>
    </row>
    <row r="504" customFormat="false" ht="15" hidden="false" customHeight="false" outlineLevel="0" collapsed="false">
      <c r="A504" s="33" t="str">
        <f aca="false">IF($G504="","","Corporate Banking Group")</f>
        <v/>
      </c>
      <c r="B504" s="19"/>
      <c r="C504" s="19"/>
      <c r="D504" s="19"/>
      <c r="E504" s="19"/>
      <c r="F504" s="19"/>
      <c r="G504" s="19"/>
      <c r="H504" s="19"/>
      <c r="I504" s="19"/>
      <c r="J504" s="19"/>
      <c r="K504" s="19"/>
      <c r="L504" s="19"/>
      <c r="M504" s="19"/>
      <c r="N504" s="19"/>
      <c r="O504" s="19"/>
      <c r="P504" s="19"/>
      <c r="Q504" s="19"/>
      <c r="R504" s="19"/>
      <c r="S504" s="19"/>
      <c r="T504" s="34" t="str">
        <f aca="false">IF($R504="","",IFERROR(INDEX(DriverCategory,MATCH($R504,DriverList,0)),"BAU"))</f>
        <v/>
      </c>
      <c r="U504" s="34" t="str">
        <f aca="false">IF($R504="","",IFERROR(INDEX(DriverRank,MATCH($R504,DriverList,0)),99))</f>
        <v/>
      </c>
      <c r="V504" s="35" t="n">
        <f aca="false">IF($H504="",0,IFERROR(INDEX(LevelBasic,MATCH($H504,LevelList,0))+INDEX(LevelHousing,MATCH($H504,LevelList,0))+INDEX(LevelTransport,MATCH($H504,LevelList,0))+INDEX(LevelBasic,MATCH($H504,LevelList,0))*INDEX(LevelBonus,MATCH($H504,LevelList,0))+(INDEX(LevelBasic,MATCH($H504,LevelList,0))+INDEX(LevelHousing,MATCH($H504,LevelList,0)))*GosiSaudi,0))</f>
        <v>0</v>
      </c>
      <c r="W504" s="35" t="n">
        <f aca="false">IFERROR(INDEX(LevelOneOff,MATCH($H504,LevelList,0)),0)</f>
        <v>0</v>
      </c>
      <c r="X504" s="35" t="str">
        <f aca="false">IF($G504="","",$V504*N($L504))</f>
        <v/>
      </c>
      <c r="Y504" s="35" t="str">
        <f aca="false">IF($G504="","",$V504*(N($M504)*1+N($N504)*0.75+N($O504)*0.5+N($P504)*0.25)+$W504*N($L504))</f>
        <v/>
      </c>
      <c r="Z504" s="35" t="str">
        <f aca="false">IF($G504="","",$U504*1000000+ROW())</f>
        <v/>
      </c>
      <c r="AA504" s="36" t="str">
        <f aca="false">IF($G504="","",MID(IF($C504="",", no division","")&amp;IF($E504="",", no unit","")&amp;IF($H504="",", no career level","")&amp;IF(N($L504)&lt;=0,", no quarter split","")&amp;IF($R504="",", no driver","")&amp;IF(AND($H504&lt;&gt;"",COUNTIF(CareerLevels,$H504)=0),", a career level that is not on the ladder","")&amp;IF(AND($R504&lt;&gt;"",COUNTIF(DriverList,$R504)=0),", a driver that is not on the list","")&amp;IF(ABS(N($L504)-(N($M504)+N($N504)+N($O504)+N($P504)))&gt;0.001,", a total that does not match its quarters",""),3,300))</f>
        <v/>
      </c>
    </row>
    <row r="505" customFormat="false" ht="15" hidden="false" customHeight="false" outlineLevel="0" collapsed="false">
      <c r="A505" s="33" t="str">
        <f aca="false">IF($G505="","","Corporate Banking Group")</f>
        <v/>
      </c>
      <c r="B505" s="19"/>
      <c r="C505" s="19"/>
      <c r="D505" s="19"/>
      <c r="E505" s="19"/>
      <c r="F505" s="19"/>
      <c r="G505" s="19"/>
      <c r="H505" s="19"/>
      <c r="I505" s="19"/>
      <c r="J505" s="19"/>
      <c r="K505" s="19"/>
      <c r="L505" s="19"/>
      <c r="M505" s="19"/>
      <c r="N505" s="19"/>
      <c r="O505" s="19"/>
      <c r="P505" s="19"/>
      <c r="Q505" s="19"/>
      <c r="R505" s="19"/>
      <c r="S505" s="19"/>
      <c r="T505" s="34" t="str">
        <f aca="false">IF($R505="","",IFERROR(INDEX(DriverCategory,MATCH($R505,DriverList,0)),"BAU"))</f>
        <v/>
      </c>
      <c r="U505" s="34" t="str">
        <f aca="false">IF($R505="","",IFERROR(INDEX(DriverRank,MATCH($R505,DriverList,0)),99))</f>
        <v/>
      </c>
      <c r="V505" s="35" t="n">
        <f aca="false">IF($H505="",0,IFERROR(INDEX(LevelBasic,MATCH($H505,LevelList,0))+INDEX(LevelHousing,MATCH($H505,LevelList,0))+INDEX(LevelTransport,MATCH($H505,LevelList,0))+INDEX(LevelBasic,MATCH($H505,LevelList,0))*INDEX(LevelBonus,MATCH($H505,LevelList,0))+(INDEX(LevelBasic,MATCH($H505,LevelList,0))+INDEX(LevelHousing,MATCH($H505,LevelList,0)))*GosiSaudi,0))</f>
        <v>0</v>
      </c>
      <c r="W505" s="35" t="n">
        <f aca="false">IFERROR(INDEX(LevelOneOff,MATCH($H505,LevelList,0)),0)</f>
        <v>0</v>
      </c>
      <c r="X505" s="35" t="str">
        <f aca="false">IF($G505="","",$V505*N($L505))</f>
        <v/>
      </c>
      <c r="Y505" s="35" t="str">
        <f aca="false">IF($G505="","",$V505*(N($M505)*1+N($N505)*0.75+N($O505)*0.5+N($P505)*0.25)+$W505*N($L505))</f>
        <v/>
      </c>
      <c r="Z505" s="35" t="str">
        <f aca="false">IF($G505="","",$U505*1000000+ROW())</f>
        <v/>
      </c>
      <c r="AA505" s="36" t="str">
        <f aca="false">IF($G505="","",MID(IF($C505="",", no division","")&amp;IF($E505="",", no unit","")&amp;IF($H505="",", no career level","")&amp;IF(N($L505)&lt;=0,", no quarter split","")&amp;IF($R505="",", no driver","")&amp;IF(AND($H505&lt;&gt;"",COUNTIF(CareerLevels,$H505)=0),", a career level that is not on the ladder","")&amp;IF(AND($R505&lt;&gt;"",COUNTIF(DriverList,$R505)=0),", a driver that is not on the list","")&amp;IF(ABS(N($L505)-(N($M505)+N($N505)+N($O505)+N($P505)))&gt;0.001,", a total that does not match its quarters",""),3,300))</f>
        <v/>
      </c>
    </row>
    <row r="506" customFormat="false" ht="15" hidden="false" customHeight="false" outlineLevel="0" collapsed="false">
      <c r="A506" s="33" t="str">
        <f aca="false">IF($G506="","","Corporate Banking Group")</f>
        <v/>
      </c>
      <c r="B506" s="19"/>
      <c r="C506" s="19"/>
      <c r="D506" s="19"/>
      <c r="E506" s="19"/>
      <c r="F506" s="19"/>
      <c r="G506" s="19"/>
      <c r="H506" s="19"/>
      <c r="I506" s="19"/>
      <c r="J506" s="19"/>
      <c r="K506" s="19"/>
      <c r="L506" s="19"/>
      <c r="M506" s="19"/>
      <c r="N506" s="19"/>
      <c r="O506" s="19"/>
      <c r="P506" s="19"/>
      <c r="Q506" s="19"/>
      <c r="R506" s="19"/>
      <c r="S506" s="19"/>
      <c r="T506" s="34" t="str">
        <f aca="false">IF($R506="","",IFERROR(INDEX(DriverCategory,MATCH($R506,DriverList,0)),"BAU"))</f>
        <v/>
      </c>
      <c r="U506" s="34" t="str">
        <f aca="false">IF($R506="","",IFERROR(INDEX(DriverRank,MATCH($R506,DriverList,0)),99))</f>
        <v/>
      </c>
      <c r="V506" s="35" t="n">
        <f aca="false">IF($H506="",0,IFERROR(INDEX(LevelBasic,MATCH($H506,LevelList,0))+INDEX(LevelHousing,MATCH($H506,LevelList,0))+INDEX(LevelTransport,MATCH($H506,LevelList,0))+INDEX(LevelBasic,MATCH($H506,LevelList,0))*INDEX(LevelBonus,MATCH($H506,LevelList,0))+(INDEX(LevelBasic,MATCH($H506,LevelList,0))+INDEX(LevelHousing,MATCH($H506,LevelList,0)))*GosiSaudi,0))</f>
        <v>0</v>
      </c>
      <c r="W506" s="35" t="n">
        <f aca="false">IFERROR(INDEX(LevelOneOff,MATCH($H506,LevelList,0)),0)</f>
        <v>0</v>
      </c>
      <c r="X506" s="35" t="str">
        <f aca="false">IF($G506="","",$V506*N($L506))</f>
        <v/>
      </c>
      <c r="Y506" s="35" t="str">
        <f aca="false">IF($G506="","",$V506*(N($M506)*1+N($N506)*0.75+N($O506)*0.5+N($P506)*0.25)+$W506*N($L506))</f>
        <v/>
      </c>
      <c r="Z506" s="35" t="str">
        <f aca="false">IF($G506="","",$U506*1000000+ROW())</f>
        <v/>
      </c>
      <c r="AA506" s="36" t="str">
        <f aca="false">IF($G506="","",MID(IF($C506="",", no division","")&amp;IF($E506="",", no unit","")&amp;IF($H506="",", no career level","")&amp;IF(N($L506)&lt;=0,", no quarter split","")&amp;IF($R506="",", no driver","")&amp;IF(AND($H506&lt;&gt;"",COUNTIF(CareerLevels,$H506)=0),", a career level that is not on the ladder","")&amp;IF(AND($R506&lt;&gt;"",COUNTIF(DriverList,$R506)=0),", a driver that is not on the list","")&amp;IF(ABS(N($L506)-(N($M506)+N($N506)+N($O506)+N($P506)))&gt;0.001,", a total that does not match its quarters",""),3,300))</f>
        <v/>
      </c>
    </row>
    <row r="507" customFormat="false" ht="15" hidden="false" customHeight="false" outlineLevel="0" collapsed="false">
      <c r="A507" s="33" t="str">
        <f aca="false">IF($G507="","","Corporate Banking Group")</f>
        <v/>
      </c>
      <c r="B507" s="19"/>
      <c r="C507" s="19"/>
      <c r="D507" s="19"/>
      <c r="E507" s="19"/>
      <c r="F507" s="19"/>
      <c r="G507" s="19"/>
      <c r="H507" s="19"/>
      <c r="I507" s="19"/>
      <c r="J507" s="19"/>
      <c r="K507" s="19"/>
      <c r="L507" s="19"/>
      <c r="M507" s="19"/>
      <c r="N507" s="19"/>
      <c r="O507" s="19"/>
      <c r="P507" s="19"/>
      <c r="Q507" s="19"/>
      <c r="R507" s="19"/>
      <c r="S507" s="19"/>
      <c r="T507" s="34" t="str">
        <f aca="false">IF($R507="","",IFERROR(INDEX(DriverCategory,MATCH($R507,DriverList,0)),"BAU"))</f>
        <v/>
      </c>
      <c r="U507" s="34" t="str">
        <f aca="false">IF($R507="","",IFERROR(INDEX(DriverRank,MATCH($R507,DriverList,0)),99))</f>
        <v/>
      </c>
      <c r="V507" s="35" t="n">
        <f aca="false">IF($H507="",0,IFERROR(INDEX(LevelBasic,MATCH($H507,LevelList,0))+INDEX(LevelHousing,MATCH($H507,LevelList,0))+INDEX(LevelTransport,MATCH($H507,LevelList,0))+INDEX(LevelBasic,MATCH($H507,LevelList,0))*INDEX(LevelBonus,MATCH($H507,LevelList,0))+(INDEX(LevelBasic,MATCH($H507,LevelList,0))+INDEX(LevelHousing,MATCH($H507,LevelList,0)))*GosiSaudi,0))</f>
        <v>0</v>
      </c>
      <c r="W507" s="35" t="n">
        <f aca="false">IFERROR(INDEX(LevelOneOff,MATCH($H507,LevelList,0)),0)</f>
        <v>0</v>
      </c>
      <c r="X507" s="35" t="str">
        <f aca="false">IF($G507="","",$V507*N($L507))</f>
        <v/>
      </c>
      <c r="Y507" s="35" t="str">
        <f aca="false">IF($G507="","",$V507*(N($M507)*1+N($N507)*0.75+N($O507)*0.5+N($P507)*0.25)+$W507*N($L507))</f>
        <v/>
      </c>
      <c r="Z507" s="35" t="str">
        <f aca="false">IF($G507="","",$U507*1000000+ROW())</f>
        <v/>
      </c>
      <c r="AA507" s="36" t="str">
        <f aca="false">IF($G507="","",MID(IF($C507="",", no division","")&amp;IF($E507="",", no unit","")&amp;IF($H507="",", no career level","")&amp;IF(N($L507)&lt;=0,", no quarter split","")&amp;IF($R507="",", no driver","")&amp;IF(AND($H507&lt;&gt;"",COUNTIF(CareerLevels,$H507)=0),", a career level that is not on the ladder","")&amp;IF(AND($R507&lt;&gt;"",COUNTIF(DriverList,$R507)=0),", a driver that is not on the list","")&amp;IF(ABS(N($L507)-(N($M507)+N($N507)+N($O507)+N($P507)))&gt;0.001,", a total that does not match its quarters",""),3,300))</f>
        <v/>
      </c>
    </row>
    <row r="508" customFormat="false" ht="15" hidden="false" customHeight="false" outlineLevel="0" collapsed="false">
      <c r="A508" s="33" t="str">
        <f aca="false">IF($G508="","","Corporate Banking Group")</f>
        <v/>
      </c>
      <c r="B508" s="19"/>
      <c r="C508" s="19"/>
      <c r="D508" s="19"/>
      <c r="E508" s="19"/>
      <c r="F508" s="19"/>
      <c r="G508" s="19"/>
      <c r="H508" s="19"/>
      <c r="I508" s="19"/>
      <c r="J508" s="19"/>
      <c r="K508" s="19"/>
      <c r="L508" s="19"/>
      <c r="M508" s="19"/>
      <c r="N508" s="19"/>
      <c r="O508" s="19"/>
      <c r="P508" s="19"/>
      <c r="Q508" s="19"/>
      <c r="R508" s="19"/>
      <c r="S508" s="19"/>
      <c r="T508" s="34" t="str">
        <f aca="false">IF($R508="","",IFERROR(INDEX(DriverCategory,MATCH($R508,DriverList,0)),"BAU"))</f>
        <v/>
      </c>
      <c r="U508" s="34" t="str">
        <f aca="false">IF($R508="","",IFERROR(INDEX(DriverRank,MATCH($R508,DriverList,0)),99))</f>
        <v/>
      </c>
      <c r="V508" s="35" t="n">
        <f aca="false">IF($H508="",0,IFERROR(INDEX(LevelBasic,MATCH($H508,LevelList,0))+INDEX(LevelHousing,MATCH($H508,LevelList,0))+INDEX(LevelTransport,MATCH($H508,LevelList,0))+INDEX(LevelBasic,MATCH($H508,LevelList,0))*INDEX(LevelBonus,MATCH($H508,LevelList,0))+(INDEX(LevelBasic,MATCH($H508,LevelList,0))+INDEX(LevelHousing,MATCH($H508,LevelList,0)))*GosiSaudi,0))</f>
        <v>0</v>
      </c>
      <c r="W508" s="35" t="n">
        <f aca="false">IFERROR(INDEX(LevelOneOff,MATCH($H508,LevelList,0)),0)</f>
        <v>0</v>
      </c>
      <c r="X508" s="35" t="str">
        <f aca="false">IF($G508="","",$V508*N($L508))</f>
        <v/>
      </c>
      <c r="Y508" s="35" t="str">
        <f aca="false">IF($G508="","",$V508*(N($M508)*1+N($N508)*0.75+N($O508)*0.5+N($P508)*0.25)+$W508*N($L508))</f>
        <v/>
      </c>
      <c r="Z508" s="35" t="str">
        <f aca="false">IF($G508="","",$U508*1000000+ROW())</f>
        <v/>
      </c>
      <c r="AA508" s="36" t="str">
        <f aca="false">IF($G508="","",MID(IF($C508="",", no division","")&amp;IF($E508="",", no unit","")&amp;IF($H508="",", no career level","")&amp;IF(N($L508)&lt;=0,", no quarter split","")&amp;IF($R508="",", no driver","")&amp;IF(AND($H508&lt;&gt;"",COUNTIF(CareerLevels,$H508)=0),", a career level that is not on the ladder","")&amp;IF(AND($R508&lt;&gt;"",COUNTIF(DriverList,$R508)=0),", a driver that is not on the list","")&amp;IF(ABS(N($L508)-(N($M508)+N($N508)+N($O508)+N($P508)))&gt;0.001,", a total that does not match its quarters",""),3,300))</f>
        <v/>
      </c>
    </row>
    <row r="509" customFormat="false" ht="15" hidden="false" customHeight="false" outlineLevel="0" collapsed="false">
      <c r="A509" s="33" t="str">
        <f aca="false">IF($G509="","","Corporate Banking Group")</f>
        <v/>
      </c>
      <c r="B509" s="19"/>
      <c r="C509" s="19"/>
      <c r="D509" s="19"/>
      <c r="E509" s="19"/>
      <c r="F509" s="19"/>
      <c r="G509" s="19"/>
      <c r="H509" s="19"/>
      <c r="I509" s="19"/>
      <c r="J509" s="19"/>
      <c r="K509" s="19"/>
      <c r="L509" s="19"/>
      <c r="M509" s="19"/>
      <c r="N509" s="19"/>
      <c r="O509" s="19"/>
      <c r="P509" s="19"/>
      <c r="Q509" s="19"/>
      <c r="R509" s="19"/>
      <c r="S509" s="19"/>
      <c r="T509" s="34" t="str">
        <f aca="false">IF($R509="","",IFERROR(INDEX(DriverCategory,MATCH($R509,DriverList,0)),"BAU"))</f>
        <v/>
      </c>
      <c r="U509" s="34" t="str">
        <f aca="false">IF($R509="","",IFERROR(INDEX(DriverRank,MATCH($R509,DriverList,0)),99))</f>
        <v/>
      </c>
      <c r="V509" s="35" t="n">
        <f aca="false">IF($H509="",0,IFERROR(INDEX(LevelBasic,MATCH($H509,LevelList,0))+INDEX(LevelHousing,MATCH($H509,LevelList,0))+INDEX(LevelTransport,MATCH($H509,LevelList,0))+INDEX(LevelBasic,MATCH($H509,LevelList,0))*INDEX(LevelBonus,MATCH($H509,LevelList,0))+(INDEX(LevelBasic,MATCH($H509,LevelList,0))+INDEX(LevelHousing,MATCH($H509,LevelList,0)))*GosiSaudi,0))</f>
        <v>0</v>
      </c>
      <c r="W509" s="35" t="n">
        <f aca="false">IFERROR(INDEX(LevelOneOff,MATCH($H509,LevelList,0)),0)</f>
        <v>0</v>
      </c>
      <c r="X509" s="35" t="str">
        <f aca="false">IF($G509="","",$V509*N($L509))</f>
        <v/>
      </c>
      <c r="Y509" s="35" t="str">
        <f aca="false">IF($G509="","",$V509*(N($M509)*1+N($N509)*0.75+N($O509)*0.5+N($P509)*0.25)+$W509*N($L509))</f>
        <v/>
      </c>
      <c r="Z509" s="35" t="str">
        <f aca="false">IF($G509="","",$U509*1000000+ROW())</f>
        <v/>
      </c>
      <c r="AA509" s="36" t="str">
        <f aca="false">IF($G509="","",MID(IF($C509="",", no division","")&amp;IF($E509="",", no unit","")&amp;IF($H509="",", no career level","")&amp;IF(N($L509)&lt;=0,", no quarter split","")&amp;IF($R509="",", no driver","")&amp;IF(AND($H509&lt;&gt;"",COUNTIF(CareerLevels,$H509)=0),", a career level that is not on the ladder","")&amp;IF(AND($R509&lt;&gt;"",COUNTIF(DriverList,$R509)=0),", a driver that is not on the list","")&amp;IF(ABS(N($L509)-(N($M509)+N($N509)+N($O509)+N($P509)))&gt;0.001,", a total that does not match its quarters",""),3,300))</f>
        <v/>
      </c>
    </row>
    <row r="510" customFormat="false" ht="15" hidden="false" customHeight="false" outlineLevel="0" collapsed="false">
      <c r="A510" s="33" t="str">
        <f aca="false">IF($G510="","","Corporate Banking Group")</f>
        <v/>
      </c>
      <c r="B510" s="19"/>
      <c r="C510" s="19"/>
      <c r="D510" s="19"/>
      <c r="E510" s="19"/>
      <c r="F510" s="19"/>
      <c r="G510" s="19"/>
      <c r="H510" s="19"/>
      <c r="I510" s="19"/>
      <c r="J510" s="19"/>
      <c r="K510" s="19"/>
      <c r="L510" s="19"/>
      <c r="M510" s="19"/>
      <c r="N510" s="19"/>
      <c r="O510" s="19"/>
      <c r="P510" s="19"/>
      <c r="Q510" s="19"/>
      <c r="R510" s="19"/>
      <c r="S510" s="19"/>
      <c r="T510" s="34" t="str">
        <f aca="false">IF($R510="","",IFERROR(INDEX(DriverCategory,MATCH($R510,DriverList,0)),"BAU"))</f>
        <v/>
      </c>
      <c r="U510" s="34" t="str">
        <f aca="false">IF($R510="","",IFERROR(INDEX(DriverRank,MATCH($R510,DriverList,0)),99))</f>
        <v/>
      </c>
      <c r="V510" s="35" t="n">
        <f aca="false">IF($H510="",0,IFERROR(INDEX(LevelBasic,MATCH($H510,LevelList,0))+INDEX(LevelHousing,MATCH($H510,LevelList,0))+INDEX(LevelTransport,MATCH($H510,LevelList,0))+INDEX(LevelBasic,MATCH($H510,LevelList,0))*INDEX(LevelBonus,MATCH($H510,LevelList,0))+(INDEX(LevelBasic,MATCH($H510,LevelList,0))+INDEX(LevelHousing,MATCH($H510,LevelList,0)))*GosiSaudi,0))</f>
        <v>0</v>
      </c>
      <c r="W510" s="35" t="n">
        <f aca="false">IFERROR(INDEX(LevelOneOff,MATCH($H510,LevelList,0)),0)</f>
        <v>0</v>
      </c>
      <c r="X510" s="35" t="str">
        <f aca="false">IF($G510="","",$V510*N($L510))</f>
        <v/>
      </c>
      <c r="Y510" s="35" t="str">
        <f aca="false">IF($G510="","",$V510*(N($M510)*1+N($N510)*0.75+N($O510)*0.5+N($P510)*0.25)+$W510*N($L510))</f>
        <v/>
      </c>
      <c r="Z510" s="35" t="str">
        <f aca="false">IF($G510="","",$U510*1000000+ROW())</f>
        <v/>
      </c>
      <c r="AA510" s="36" t="str">
        <f aca="false">IF($G510="","",MID(IF($C510="",", no division","")&amp;IF($E510="",", no unit","")&amp;IF($H510="",", no career level","")&amp;IF(N($L510)&lt;=0,", no quarter split","")&amp;IF($R510="",", no driver","")&amp;IF(AND($H510&lt;&gt;"",COUNTIF(CareerLevels,$H510)=0),", a career level that is not on the ladder","")&amp;IF(AND($R510&lt;&gt;"",COUNTIF(DriverList,$R510)=0),", a driver that is not on the list","")&amp;IF(ABS(N($L510)-(N($M510)+N($N510)+N($O510)+N($P510)))&gt;0.001,", a total that does not match its quarters",""),3,300))</f>
        <v/>
      </c>
    </row>
    <row r="511" customFormat="false" ht="15" hidden="false" customHeight="false" outlineLevel="0" collapsed="false">
      <c r="A511" s="33" t="str">
        <f aca="false">IF($G511="","","Corporate Banking Group")</f>
        <v/>
      </c>
      <c r="B511" s="19"/>
      <c r="C511" s="19"/>
      <c r="D511" s="19"/>
      <c r="E511" s="19"/>
      <c r="F511" s="19"/>
      <c r="G511" s="19"/>
      <c r="H511" s="19"/>
      <c r="I511" s="19"/>
      <c r="J511" s="19"/>
      <c r="K511" s="19"/>
      <c r="L511" s="19"/>
      <c r="M511" s="19"/>
      <c r="N511" s="19"/>
      <c r="O511" s="19"/>
      <c r="P511" s="19"/>
      <c r="Q511" s="19"/>
      <c r="R511" s="19"/>
      <c r="S511" s="19"/>
      <c r="T511" s="34" t="str">
        <f aca="false">IF($R511="","",IFERROR(INDEX(DriverCategory,MATCH($R511,DriverList,0)),"BAU"))</f>
        <v/>
      </c>
      <c r="U511" s="34" t="str">
        <f aca="false">IF($R511="","",IFERROR(INDEX(DriverRank,MATCH($R511,DriverList,0)),99))</f>
        <v/>
      </c>
      <c r="V511" s="35" t="n">
        <f aca="false">IF($H511="",0,IFERROR(INDEX(LevelBasic,MATCH($H511,LevelList,0))+INDEX(LevelHousing,MATCH($H511,LevelList,0))+INDEX(LevelTransport,MATCH($H511,LevelList,0))+INDEX(LevelBasic,MATCH($H511,LevelList,0))*INDEX(LevelBonus,MATCH($H511,LevelList,0))+(INDEX(LevelBasic,MATCH($H511,LevelList,0))+INDEX(LevelHousing,MATCH($H511,LevelList,0)))*GosiSaudi,0))</f>
        <v>0</v>
      </c>
      <c r="W511" s="35" t="n">
        <f aca="false">IFERROR(INDEX(LevelOneOff,MATCH($H511,LevelList,0)),0)</f>
        <v>0</v>
      </c>
      <c r="X511" s="35" t="str">
        <f aca="false">IF($G511="","",$V511*N($L511))</f>
        <v/>
      </c>
      <c r="Y511" s="35" t="str">
        <f aca="false">IF($G511="","",$V511*(N($M511)*1+N($N511)*0.75+N($O511)*0.5+N($P511)*0.25)+$W511*N($L511))</f>
        <v/>
      </c>
      <c r="Z511" s="35" t="str">
        <f aca="false">IF($G511="","",$U511*1000000+ROW())</f>
        <v/>
      </c>
      <c r="AA511" s="36" t="str">
        <f aca="false">IF($G511="","",MID(IF($C511="",", no division","")&amp;IF($E511="",", no unit","")&amp;IF($H511="",", no career level","")&amp;IF(N($L511)&lt;=0,", no quarter split","")&amp;IF($R511="",", no driver","")&amp;IF(AND($H511&lt;&gt;"",COUNTIF(CareerLevels,$H511)=0),", a career level that is not on the ladder","")&amp;IF(AND($R511&lt;&gt;"",COUNTIF(DriverList,$R511)=0),", a driver that is not on the list","")&amp;IF(ABS(N($L511)-(N($M511)+N($N511)+N($O511)+N($P511)))&gt;0.001,", a total that does not match its quarters",""),3,300))</f>
        <v/>
      </c>
    </row>
    <row r="512" customFormat="false" ht="15" hidden="false" customHeight="false" outlineLevel="0" collapsed="false">
      <c r="A512" s="33" t="str">
        <f aca="false">IF($G512="","","Corporate Banking Group")</f>
        <v/>
      </c>
      <c r="B512" s="19"/>
      <c r="C512" s="19"/>
      <c r="D512" s="19"/>
      <c r="E512" s="19"/>
      <c r="F512" s="19"/>
      <c r="G512" s="19"/>
      <c r="H512" s="19"/>
      <c r="I512" s="19"/>
      <c r="J512" s="19"/>
      <c r="K512" s="19"/>
      <c r="L512" s="19"/>
      <c r="M512" s="19"/>
      <c r="N512" s="19"/>
      <c r="O512" s="19"/>
      <c r="P512" s="19"/>
      <c r="Q512" s="19"/>
      <c r="R512" s="19"/>
      <c r="S512" s="19"/>
      <c r="T512" s="34" t="str">
        <f aca="false">IF($R512="","",IFERROR(INDEX(DriverCategory,MATCH($R512,DriverList,0)),"BAU"))</f>
        <v/>
      </c>
      <c r="U512" s="34" t="str">
        <f aca="false">IF($R512="","",IFERROR(INDEX(DriverRank,MATCH($R512,DriverList,0)),99))</f>
        <v/>
      </c>
      <c r="V512" s="35" t="n">
        <f aca="false">IF($H512="",0,IFERROR(INDEX(LevelBasic,MATCH($H512,LevelList,0))+INDEX(LevelHousing,MATCH($H512,LevelList,0))+INDEX(LevelTransport,MATCH($H512,LevelList,0))+INDEX(LevelBasic,MATCH($H512,LevelList,0))*INDEX(LevelBonus,MATCH($H512,LevelList,0))+(INDEX(LevelBasic,MATCH($H512,LevelList,0))+INDEX(LevelHousing,MATCH($H512,LevelList,0)))*GosiSaudi,0))</f>
        <v>0</v>
      </c>
      <c r="W512" s="35" t="n">
        <f aca="false">IFERROR(INDEX(LevelOneOff,MATCH($H512,LevelList,0)),0)</f>
        <v>0</v>
      </c>
      <c r="X512" s="35" t="str">
        <f aca="false">IF($G512="","",$V512*N($L512))</f>
        <v/>
      </c>
      <c r="Y512" s="35" t="str">
        <f aca="false">IF($G512="","",$V512*(N($M512)*1+N($N512)*0.75+N($O512)*0.5+N($P512)*0.25)+$W512*N($L512))</f>
        <v/>
      </c>
      <c r="Z512" s="35" t="str">
        <f aca="false">IF($G512="","",$U512*1000000+ROW())</f>
        <v/>
      </c>
      <c r="AA512" s="36" t="str">
        <f aca="false">IF($G512="","",MID(IF($C512="",", no division","")&amp;IF($E512="",", no unit","")&amp;IF($H512="",", no career level","")&amp;IF(N($L512)&lt;=0,", no quarter split","")&amp;IF($R512="",", no driver","")&amp;IF(AND($H512&lt;&gt;"",COUNTIF(CareerLevels,$H512)=0),", a career level that is not on the ladder","")&amp;IF(AND($R512&lt;&gt;"",COUNTIF(DriverList,$R512)=0),", a driver that is not on the list","")&amp;IF(ABS(N($L512)-(N($M512)+N($N512)+N($O512)+N($P512)))&gt;0.001,", a total that does not match its quarters",""),3,300))</f>
        <v/>
      </c>
    </row>
    <row r="513" customFormat="false" ht="15" hidden="false" customHeight="false" outlineLevel="0" collapsed="false">
      <c r="A513" s="33" t="str">
        <f aca="false">IF($G513="","","Corporate Banking Group")</f>
        <v/>
      </c>
      <c r="B513" s="19"/>
      <c r="C513" s="19"/>
      <c r="D513" s="19"/>
      <c r="E513" s="19"/>
      <c r="F513" s="19"/>
      <c r="G513" s="19"/>
      <c r="H513" s="19"/>
      <c r="I513" s="19"/>
      <c r="J513" s="19"/>
      <c r="K513" s="19"/>
      <c r="L513" s="19"/>
      <c r="M513" s="19"/>
      <c r="N513" s="19"/>
      <c r="O513" s="19"/>
      <c r="P513" s="19"/>
      <c r="Q513" s="19"/>
      <c r="R513" s="19"/>
      <c r="S513" s="19"/>
      <c r="T513" s="34" t="str">
        <f aca="false">IF($R513="","",IFERROR(INDEX(DriverCategory,MATCH($R513,DriverList,0)),"BAU"))</f>
        <v/>
      </c>
      <c r="U513" s="34" t="str">
        <f aca="false">IF($R513="","",IFERROR(INDEX(DriverRank,MATCH($R513,DriverList,0)),99))</f>
        <v/>
      </c>
      <c r="V513" s="35" t="n">
        <f aca="false">IF($H513="",0,IFERROR(INDEX(LevelBasic,MATCH($H513,LevelList,0))+INDEX(LevelHousing,MATCH($H513,LevelList,0))+INDEX(LevelTransport,MATCH($H513,LevelList,0))+INDEX(LevelBasic,MATCH($H513,LevelList,0))*INDEX(LevelBonus,MATCH($H513,LevelList,0))+(INDEX(LevelBasic,MATCH($H513,LevelList,0))+INDEX(LevelHousing,MATCH($H513,LevelList,0)))*GosiSaudi,0))</f>
        <v>0</v>
      </c>
      <c r="W513" s="35" t="n">
        <f aca="false">IFERROR(INDEX(LevelOneOff,MATCH($H513,LevelList,0)),0)</f>
        <v>0</v>
      </c>
      <c r="X513" s="35" t="str">
        <f aca="false">IF($G513="","",$V513*N($L513))</f>
        <v/>
      </c>
      <c r="Y513" s="35" t="str">
        <f aca="false">IF($G513="","",$V513*(N($M513)*1+N($N513)*0.75+N($O513)*0.5+N($P513)*0.25)+$W513*N($L513))</f>
        <v/>
      </c>
      <c r="Z513" s="35" t="str">
        <f aca="false">IF($G513="","",$U513*1000000+ROW())</f>
        <v/>
      </c>
      <c r="AA513" s="36" t="str">
        <f aca="false">IF($G513="","",MID(IF($C513="",", no division","")&amp;IF($E513="",", no unit","")&amp;IF($H513="",", no career level","")&amp;IF(N($L513)&lt;=0,", no quarter split","")&amp;IF($R513="",", no driver","")&amp;IF(AND($H513&lt;&gt;"",COUNTIF(CareerLevels,$H513)=0),", a career level that is not on the ladder","")&amp;IF(AND($R513&lt;&gt;"",COUNTIF(DriverList,$R513)=0),", a driver that is not on the list","")&amp;IF(ABS(N($L513)-(N($M513)+N($N513)+N($O513)+N($P513)))&gt;0.001,", a total that does not match its quarters",""),3,300))</f>
        <v/>
      </c>
    </row>
    <row r="514" customFormat="false" ht="15" hidden="false" customHeight="false" outlineLevel="0" collapsed="false">
      <c r="A514" s="33" t="str">
        <f aca="false">IF($G514="","","Corporate Banking Group")</f>
        <v/>
      </c>
      <c r="B514" s="19"/>
      <c r="C514" s="19"/>
      <c r="D514" s="19"/>
      <c r="E514" s="19"/>
      <c r="F514" s="19"/>
      <c r="G514" s="19"/>
      <c r="H514" s="19"/>
      <c r="I514" s="19"/>
      <c r="J514" s="19"/>
      <c r="K514" s="19"/>
      <c r="L514" s="19"/>
      <c r="M514" s="19"/>
      <c r="N514" s="19"/>
      <c r="O514" s="19"/>
      <c r="P514" s="19"/>
      <c r="Q514" s="19"/>
      <c r="R514" s="19"/>
      <c r="S514" s="19"/>
      <c r="T514" s="34" t="str">
        <f aca="false">IF($R514="","",IFERROR(INDEX(DriverCategory,MATCH($R514,DriverList,0)),"BAU"))</f>
        <v/>
      </c>
      <c r="U514" s="34" t="str">
        <f aca="false">IF($R514="","",IFERROR(INDEX(DriverRank,MATCH($R514,DriverList,0)),99))</f>
        <v/>
      </c>
      <c r="V514" s="35" t="n">
        <f aca="false">IF($H514="",0,IFERROR(INDEX(LevelBasic,MATCH($H514,LevelList,0))+INDEX(LevelHousing,MATCH($H514,LevelList,0))+INDEX(LevelTransport,MATCH($H514,LevelList,0))+INDEX(LevelBasic,MATCH($H514,LevelList,0))*INDEX(LevelBonus,MATCH($H514,LevelList,0))+(INDEX(LevelBasic,MATCH($H514,LevelList,0))+INDEX(LevelHousing,MATCH($H514,LevelList,0)))*GosiSaudi,0))</f>
        <v>0</v>
      </c>
      <c r="W514" s="35" t="n">
        <f aca="false">IFERROR(INDEX(LevelOneOff,MATCH($H514,LevelList,0)),0)</f>
        <v>0</v>
      </c>
      <c r="X514" s="35" t="str">
        <f aca="false">IF($G514="","",$V514*N($L514))</f>
        <v/>
      </c>
      <c r="Y514" s="35" t="str">
        <f aca="false">IF($G514="","",$V514*(N($M514)*1+N($N514)*0.75+N($O514)*0.5+N($P514)*0.25)+$W514*N($L514))</f>
        <v/>
      </c>
      <c r="Z514" s="35" t="str">
        <f aca="false">IF($G514="","",$U514*1000000+ROW())</f>
        <v/>
      </c>
      <c r="AA514" s="36" t="str">
        <f aca="false">IF($G514="","",MID(IF($C514="",", no division","")&amp;IF($E514="",", no unit","")&amp;IF($H514="",", no career level","")&amp;IF(N($L514)&lt;=0,", no quarter split","")&amp;IF($R514="",", no driver","")&amp;IF(AND($H514&lt;&gt;"",COUNTIF(CareerLevels,$H514)=0),", a career level that is not on the ladder","")&amp;IF(AND($R514&lt;&gt;"",COUNTIF(DriverList,$R514)=0),", a driver that is not on the list","")&amp;IF(ABS(N($L514)-(N($M514)+N($N514)+N($O514)+N($P514)))&gt;0.001,", a total that does not match its quarters",""),3,300))</f>
        <v/>
      </c>
    </row>
    <row r="515" customFormat="false" ht="15" hidden="false" customHeight="false" outlineLevel="0" collapsed="false">
      <c r="A515" s="33" t="str">
        <f aca="false">IF($G515="","","Corporate Banking Group")</f>
        <v/>
      </c>
      <c r="B515" s="19"/>
      <c r="C515" s="19"/>
      <c r="D515" s="19"/>
      <c r="E515" s="19"/>
      <c r="F515" s="19"/>
      <c r="G515" s="19"/>
      <c r="H515" s="19"/>
      <c r="I515" s="19"/>
      <c r="J515" s="19"/>
      <c r="K515" s="19"/>
      <c r="L515" s="19"/>
      <c r="M515" s="19"/>
      <c r="N515" s="19"/>
      <c r="O515" s="19"/>
      <c r="P515" s="19"/>
      <c r="Q515" s="19"/>
      <c r="R515" s="19"/>
      <c r="S515" s="19"/>
      <c r="T515" s="34" t="str">
        <f aca="false">IF($R515="","",IFERROR(INDEX(DriverCategory,MATCH($R515,DriverList,0)),"BAU"))</f>
        <v/>
      </c>
      <c r="U515" s="34" t="str">
        <f aca="false">IF($R515="","",IFERROR(INDEX(DriverRank,MATCH($R515,DriverList,0)),99))</f>
        <v/>
      </c>
      <c r="V515" s="35" t="n">
        <f aca="false">IF($H515="",0,IFERROR(INDEX(LevelBasic,MATCH($H515,LevelList,0))+INDEX(LevelHousing,MATCH($H515,LevelList,0))+INDEX(LevelTransport,MATCH($H515,LevelList,0))+INDEX(LevelBasic,MATCH($H515,LevelList,0))*INDEX(LevelBonus,MATCH($H515,LevelList,0))+(INDEX(LevelBasic,MATCH($H515,LevelList,0))+INDEX(LevelHousing,MATCH($H515,LevelList,0)))*GosiSaudi,0))</f>
        <v>0</v>
      </c>
      <c r="W515" s="35" t="n">
        <f aca="false">IFERROR(INDEX(LevelOneOff,MATCH($H515,LevelList,0)),0)</f>
        <v>0</v>
      </c>
      <c r="X515" s="35" t="str">
        <f aca="false">IF($G515="","",$V515*N($L515))</f>
        <v/>
      </c>
      <c r="Y515" s="35" t="str">
        <f aca="false">IF($G515="","",$V515*(N($M515)*1+N($N515)*0.75+N($O515)*0.5+N($P515)*0.25)+$W515*N($L515))</f>
        <v/>
      </c>
      <c r="Z515" s="35" t="str">
        <f aca="false">IF($G515="","",$U515*1000000+ROW())</f>
        <v/>
      </c>
      <c r="AA515" s="36" t="str">
        <f aca="false">IF($G515="","",MID(IF($C515="",", no division","")&amp;IF($E515="",", no unit","")&amp;IF($H515="",", no career level","")&amp;IF(N($L515)&lt;=0,", no quarter split","")&amp;IF($R515="",", no driver","")&amp;IF(AND($H515&lt;&gt;"",COUNTIF(CareerLevels,$H515)=0),", a career level that is not on the ladder","")&amp;IF(AND($R515&lt;&gt;"",COUNTIF(DriverList,$R515)=0),", a driver that is not on the list","")&amp;IF(ABS(N($L515)-(N($M515)+N($N515)+N($O515)+N($P515)))&gt;0.001,", a total that does not match its quarters",""),3,300))</f>
        <v/>
      </c>
    </row>
    <row r="516" customFormat="false" ht="15" hidden="false" customHeight="false" outlineLevel="0" collapsed="false">
      <c r="A516" s="33" t="str">
        <f aca="false">IF($G516="","","Corporate Banking Group")</f>
        <v/>
      </c>
      <c r="B516" s="19"/>
      <c r="C516" s="19"/>
      <c r="D516" s="19"/>
      <c r="E516" s="19"/>
      <c r="F516" s="19"/>
      <c r="G516" s="19"/>
      <c r="H516" s="19"/>
      <c r="I516" s="19"/>
      <c r="J516" s="19"/>
      <c r="K516" s="19"/>
      <c r="L516" s="19"/>
      <c r="M516" s="19"/>
      <c r="N516" s="19"/>
      <c r="O516" s="19"/>
      <c r="P516" s="19"/>
      <c r="Q516" s="19"/>
      <c r="R516" s="19"/>
      <c r="S516" s="19"/>
      <c r="T516" s="34" t="str">
        <f aca="false">IF($R516="","",IFERROR(INDEX(DriverCategory,MATCH($R516,DriverList,0)),"BAU"))</f>
        <v/>
      </c>
      <c r="U516" s="34" t="str">
        <f aca="false">IF($R516="","",IFERROR(INDEX(DriverRank,MATCH($R516,DriverList,0)),99))</f>
        <v/>
      </c>
      <c r="V516" s="35" t="n">
        <f aca="false">IF($H516="",0,IFERROR(INDEX(LevelBasic,MATCH($H516,LevelList,0))+INDEX(LevelHousing,MATCH($H516,LevelList,0))+INDEX(LevelTransport,MATCH($H516,LevelList,0))+INDEX(LevelBasic,MATCH($H516,LevelList,0))*INDEX(LevelBonus,MATCH($H516,LevelList,0))+(INDEX(LevelBasic,MATCH($H516,LevelList,0))+INDEX(LevelHousing,MATCH($H516,LevelList,0)))*GosiSaudi,0))</f>
        <v>0</v>
      </c>
      <c r="W516" s="35" t="n">
        <f aca="false">IFERROR(INDEX(LevelOneOff,MATCH($H516,LevelList,0)),0)</f>
        <v>0</v>
      </c>
      <c r="X516" s="35" t="str">
        <f aca="false">IF($G516="","",$V516*N($L516))</f>
        <v/>
      </c>
      <c r="Y516" s="35" t="str">
        <f aca="false">IF($G516="","",$V516*(N($M516)*1+N($N516)*0.75+N($O516)*0.5+N($P516)*0.25)+$W516*N($L516))</f>
        <v/>
      </c>
      <c r="Z516" s="35" t="str">
        <f aca="false">IF($G516="","",$U516*1000000+ROW())</f>
        <v/>
      </c>
      <c r="AA516" s="36" t="str">
        <f aca="false">IF($G516="","",MID(IF($C516="",", no division","")&amp;IF($E516="",", no unit","")&amp;IF($H516="",", no career level","")&amp;IF(N($L516)&lt;=0,", no quarter split","")&amp;IF($R516="",", no driver","")&amp;IF(AND($H516&lt;&gt;"",COUNTIF(CareerLevels,$H516)=0),", a career level that is not on the ladder","")&amp;IF(AND($R516&lt;&gt;"",COUNTIF(DriverList,$R516)=0),", a driver that is not on the list","")&amp;IF(ABS(N($L516)-(N($M516)+N($N516)+N($O516)+N($P516)))&gt;0.001,", a total that does not match its quarters",""),3,300))</f>
        <v/>
      </c>
    </row>
    <row r="517" customFormat="false" ht="15" hidden="false" customHeight="false" outlineLevel="0" collapsed="false">
      <c r="A517" s="33" t="str">
        <f aca="false">IF($G517="","","Corporate Banking Group")</f>
        <v/>
      </c>
      <c r="B517" s="19"/>
      <c r="C517" s="19"/>
      <c r="D517" s="19"/>
      <c r="E517" s="19"/>
      <c r="F517" s="19"/>
      <c r="G517" s="19"/>
      <c r="H517" s="19"/>
      <c r="I517" s="19"/>
      <c r="J517" s="19"/>
      <c r="K517" s="19"/>
      <c r="L517" s="19"/>
      <c r="M517" s="19"/>
      <c r="N517" s="19"/>
      <c r="O517" s="19"/>
      <c r="P517" s="19"/>
      <c r="Q517" s="19"/>
      <c r="R517" s="19"/>
      <c r="S517" s="19"/>
      <c r="T517" s="34" t="str">
        <f aca="false">IF($R517="","",IFERROR(INDEX(DriverCategory,MATCH($R517,DriverList,0)),"BAU"))</f>
        <v/>
      </c>
      <c r="U517" s="34" t="str">
        <f aca="false">IF($R517="","",IFERROR(INDEX(DriverRank,MATCH($R517,DriverList,0)),99))</f>
        <v/>
      </c>
      <c r="V517" s="35" t="n">
        <f aca="false">IF($H517="",0,IFERROR(INDEX(LevelBasic,MATCH($H517,LevelList,0))+INDEX(LevelHousing,MATCH($H517,LevelList,0))+INDEX(LevelTransport,MATCH($H517,LevelList,0))+INDEX(LevelBasic,MATCH($H517,LevelList,0))*INDEX(LevelBonus,MATCH($H517,LevelList,0))+(INDEX(LevelBasic,MATCH($H517,LevelList,0))+INDEX(LevelHousing,MATCH($H517,LevelList,0)))*GosiSaudi,0))</f>
        <v>0</v>
      </c>
      <c r="W517" s="35" t="n">
        <f aca="false">IFERROR(INDEX(LevelOneOff,MATCH($H517,LevelList,0)),0)</f>
        <v>0</v>
      </c>
      <c r="X517" s="35" t="str">
        <f aca="false">IF($G517="","",$V517*N($L517))</f>
        <v/>
      </c>
      <c r="Y517" s="35" t="str">
        <f aca="false">IF($G517="","",$V517*(N($M517)*1+N($N517)*0.75+N($O517)*0.5+N($P517)*0.25)+$W517*N($L517))</f>
        <v/>
      </c>
      <c r="Z517" s="35" t="str">
        <f aca="false">IF($G517="","",$U517*1000000+ROW())</f>
        <v/>
      </c>
      <c r="AA517" s="36" t="str">
        <f aca="false">IF($G517="","",MID(IF($C517="",", no division","")&amp;IF($E517="",", no unit","")&amp;IF($H517="",", no career level","")&amp;IF(N($L517)&lt;=0,", no quarter split","")&amp;IF($R517="",", no driver","")&amp;IF(AND($H517&lt;&gt;"",COUNTIF(CareerLevels,$H517)=0),", a career level that is not on the ladder","")&amp;IF(AND($R517&lt;&gt;"",COUNTIF(DriverList,$R517)=0),", a driver that is not on the list","")&amp;IF(ABS(N($L517)-(N($M517)+N($N517)+N($O517)+N($P517)))&gt;0.001,", a total that does not match its quarters",""),3,300))</f>
        <v/>
      </c>
    </row>
    <row r="518" customFormat="false" ht="15" hidden="false" customHeight="false" outlineLevel="0" collapsed="false">
      <c r="A518" s="33" t="str">
        <f aca="false">IF($G518="","","Corporate Banking Group")</f>
        <v/>
      </c>
      <c r="B518" s="19"/>
      <c r="C518" s="19"/>
      <c r="D518" s="19"/>
      <c r="E518" s="19"/>
      <c r="F518" s="19"/>
      <c r="G518" s="19"/>
      <c r="H518" s="19"/>
      <c r="I518" s="19"/>
      <c r="J518" s="19"/>
      <c r="K518" s="19"/>
      <c r="L518" s="19"/>
      <c r="M518" s="19"/>
      <c r="N518" s="19"/>
      <c r="O518" s="19"/>
      <c r="P518" s="19"/>
      <c r="Q518" s="19"/>
      <c r="R518" s="19"/>
      <c r="S518" s="19"/>
      <c r="T518" s="34" t="str">
        <f aca="false">IF($R518="","",IFERROR(INDEX(DriverCategory,MATCH($R518,DriverList,0)),"BAU"))</f>
        <v/>
      </c>
      <c r="U518" s="34" t="str">
        <f aca="false">IF($R518="","",IFERROR(INDEX(DriverRank,MATCH($R518,DriverList,0)),99))</f>
        <v/>
      </c>
      <c r="V518" s="35" t="n">
        <f aca="false">IF($H518="",0,IFERROR(INDEX(LevelBasic,MATCH($H518,LevelList,0))+INDEX(LevelHousing,MATCH($H518,LevelList,0))+INDEX(LevelTransport,MATCH($H518,LevelList,0))+INDEX(LevelBasic,MATCH($H518,LevelList,0))*INDEX(LevelBonus,MATCH($H518,LevelList,0))+(INDEX(LevelBasic,MATCH($H518,LevelList,0))+INDEX(LevelHousing,MATCH($H518,LevelList,0)))*GosiSaudi,0))</f>
        <v>0</v>
      </c>
      <c r="W518" s="35" t="n">
        <f aca="false">IFERROR(INDEX(LevelOneOff,MATCH($H518,LevelList,0)),0)</f>
        <v>0</v>
      </c>
      <c r="X518" s="35" t="str">
        <f aca="false">IF($G518="","",$V518*N($L518))</f>
        <v/>
      </c>
      <c r="Y518" s="35" t="str">
        <f aca="false">IF($G518="","",$V518*(N($M518)*1+N($N518)*0.75+N($O518)*0.5+N($P518)*0.25)+$W518*N($L518))</f>
        <v/>
      </c>
      <c r="Z518" s="35" t="str">
        <f aca="false">IF($G518="","",$U518*1000000+ROW())</f>
        <v/>
      </c>
      <c r="AA518" s="36" t="str">
        <f aca="false">IF($G518="","",MID(IF($C518="",", no division","")&amp;IF($E518="",", no unit","")&amp;IF($H518="",", no career level","")&amp;IF(N($L518)&lt;=0,", no quarter split","")&amp;IF($R518="",", no driver","")&amp;IF(AND($H518&lt;&gt;"",COUNTIF(CareerLevels,$H518)=0),", a career level that is not on the ladder","")&amp;IF(AND($R518&lt;&gt;"",COUNTIF(DriverList,$R518)=0),", a driver that is not on the list","")&amp;IF(ABS(N($L518)-(N($M518)+N($N518)+N($O518)+N($P518)))&gt;0.001,", a total that does not match its quarters",""),3,300))</f>
        <v/>
      </c>
    </row>
    <row r="519" customFormat="false" ht="15" hidden="false" customHeight="false" outlineLevel="0" collapsed="false">
      <c r="A519" s="33" t="str">
        <f aca="false">IF($G519="","","Corporate Banking Group")</f>
        <v/>
      </c>
      <c r="B519" s="19"/>
      <c r="C519" s="19"/>
      <c r="D519" s="19"/>
      <c r="E519" s="19"/>
      <c r="F519" s="19"/>
      <c r="G519" s="19"/>
      <c r="H519" s="19"/>
      <c r="I519" s="19"/>
      <c r="J519" s="19"/>
      <c r="K519" s="19"/>
      <c r="L519" s="19"/>
      <c r="M519" s="19"/>
      <c r="N519" s="19"/>
      <c r="O519" s="19"/>
      <c r="P519" s="19"/>
      <c r="Q519" s="19"/>
      <c r="R519" s="19"/>
      <c r="S519" s="19"/>
      <c r="T519" s="34" t="str">
        <f aca="false">IF($R519="","",IFERROR(INDEX(DriverCategory,MATCH($R519,DriverList,0)),"BAU"))</f>
        <v/>
      </c>
      <c r="U519" s="34" t="str">
        <f aca="false">IF($R519="","",IFERROR(INDEX(DriverRank,MATCH($R519,DriverList,0)),99))</f>
        <v/>
      </c>
      <c r="V519" s="35" t="n">
        <f aca="false">IF($H519="",0,IFERROR(INDEX(LevelBasic,MATCH($H519,LevelList,0))+INDEX(LevelHousing,MATCH($H519,LevelList,0))+INDEX(LevelTransport,MATCH($H519,LevelList,0))+INDEX(LevelBasic,MATCH($H519,LevelList,0))*INDEX(LevelBonus,MATCH($H519,LevelList,0))+(INDEX(LevelBasic,MATCH($H519,LevelList,0))+INDEX(LevelHousing,MATCH($H519,LevelList,0)))*GosiSaudi,0))</f>
        <v>0</v>
      </c>
      <c r="W519" s="35" t="n">
        <f aca="false">IFERROR(INDEX(LevelOneOff,MATCH($H519,LevelList,0)),0)</f>
        <v>0</v>
      </c>
      <c r="X519" s="35" t="str">
        <f aca="false">IF($G519="","",$V519*N($L519))</f>
        <v/>
      </c>
      <c r="Y519" s="35" t="str">
        <f aca="false">IF($G519="","",$V519*(N($M519)*1+N($N519)*0.75+N($O519)*0.5+N($P519)*0.25)+$W519*N($L519))</f>
        <v/>
      </c>
      <c r="Z519" s="35" t="str">
        <f aca="false">IF($G519="","",$U519*1000000+ROW())</f>
        <v/>
      </c>
      <c r="AA519" s="36" t="str">
        <f aca="false">IF($G519="","",MID(IF($C519="",", no division","")&amp;IF($E519="",", no unit","")&amp;IF($H519="",", no career level","")&amp;IF(N($L519)&lt;=0,", no quarter split","")&amp;IF($R519="",", no driver","")&amp;IF(AND($H519&lt;&gt;"",COUNTIF(CareerLevels,$H519)=0),", a career level that is not on the ladder","")&amp;IF(AND($R519&lt;&gt;"",COUNTIF(DriverList,$R519)=0),", a driver that is not on the list","")&amp;IF(ABS(N($L519)-(N($M519)+N($N519)+N($O519)+N($P519)))&gt;0.001,", a total that does not match its quarters",""),3,300))</f>
        <v/>
      </c>
    </row>
    <row r="520" customFormat="false" ht="15" hidden="false" customHeight="false" outlineLevel="0" collapsed="false">
      <c r="A520" s="33" t="str">
        <f aca="false">IF($G520="","","Corporate Banking Group")</f>
        <v/>
      </c>
      <c r="B520" s="19"/>
      <c r="C520" s="19"/>
      <c r="D520" s="19"/>
      <c r="E520" s="19"/>
      <c r="F520" s="19"/>
      <c r="G520" s="19"/>
      <c r="H520" s="19"/>
      <c r="I520" s="19"/>
      <c r="J520" s="19"/>
      <c r="K520" s="19"/>
      <c r="L520" s="19"/>
      <c r="M520" s="19"/>
      <c r="N520" s="19"/>
      <c r="O520" s="19"/>
      <c r="P520" s="19"/>
      <c r="Q520" s="19"/>
      <c r="R520" s="19"/>
      <c r="S520" s="19"/>
      <c r="T520" s="34" t="str">
        <f aca="false">IF($R520="","",IFERROR(INDEX(DriverCategory,MATCH($R520,DriverList,0)),"BAU"))</f>
        <v/>
      </c>
      <c r="U520" s="34" t="str">
        <f aca="false">IF($R520="","",IFERROR(INDEX(DriverRank,MATCH($R520,DriverList,0)),99))</f>
        <v/>
      </c>
      <c r="V520" s="35" t="n">
        <f aca="false">IF($H520="",0,IFERROR(INDEX(LevelBasic,MATCH($H520,LevelList,0))+INDEX(LevelHousing,MATCH($H520,LevelList,0))+INDEX(LevelTransport,MATCH($H520,LevelList,0))+INDEX(LevelBasic,MATCH($H520,LevelList,0))*INDEX(LevelBonus,MATCH($H520,LevelList,0))+(INDEX(LevelBasic,MATCH($H520,LevelList,0))+INDEX(LevelHousing,MATCH($H520,LevelList,0)))*GosiSaudi,0))</f>
        <v>0</v>
      </c>
      <c r="W520" s="35" t="n">
        <f aca="false">IFERROR(INDEX(LevelOneOff,MATCH($H520,LevelList,0)),0)</f>
        <v>0</v>
      </c>
      <c r="X520" s="35" t="str">
        <f aca="false">IF($G520="","",$V520*N($L520))</f>
        <v/>
      </c>
      <c r="Y520" s="35" t="str">
        <f aca="false">IF($G520="","",$V520*(N($M520)*1+N($N520)*0.75+N($O520)*0.5+N($P520)*0.25)+$W520*N($L520))</f>
        <v/>
      </c>
      <c r="Z520" s="35" t="str">
        <f aca="false">IF($G520="","",$U520*1000000+ROW())</f>
        <v/>
      </c>
      <c r="AA520" s="36" t="str">
        <f aca="false">IF($G520="","",MID(IF($C520="",", no division","")&amp;IF($E520="",", no unit","")&amp;IF($H520="",", no career level","")&amp;IF(N($L520)&lt;=0,", no quarter split","")&amp;IF($R520="",", no driver","")&amp;IF(AND($H520&lt;&gt;"",COUNTIF(CareerLevels,$H520)=0),", a career level that is not on the ladder","")&amp;IF(AND($R520&lt;&gt;"",COUNTIF(DriverList,$R520)=0),", a driver that is not on the list","")&amp;IF(ABS(N($L520)-(N($M520)+N($N520)+N($O520)+N($P520)))&gt;0.001,", a total that does not match its quarters",""),3,300))</f>
        <v/>
      </c>
    </row>
    <row r="521" customFormat="false" ht="15" hidden="false" customHeight="false" outlineLevel="0" collapsed="false">
      <c r="A521" s="33" t="str">
        <f aca="false">IF($G521="","","Corporate Banking Group")</f>
        <v/>
      </c>
      <c r="B521" s="19"/>
      <c r="C521" s="19"/>
      <c r="D521" s="19"/>
      <c r="E521" s="19"/>
      <c r="F521" s="19"/>
      <c r="G521" s="19"/>
      <c r="H521" s="19"/>
      <c r="I521" s="19"/>
      <c r="J521" s="19"/>
      <c r="K521" s="19"/>
      <c r="L521" s="19"/>
      <c r="M521" s="19"/>
      <c r="N521" s="19"/>
      <c r="O521" s="19"/>
      <c r="P521" s="19"/>
      <c r="Q521" s="19"/>
      <c r="R521" s="19"/>
      <c r="S521" s="19"/>
      <c r="T521" s="34" t="str">
        <f aca="false">IF($R521="","",IFERROR(INDEX(DriverCategory,MATCH($R521,DriverList,0)),"BAU"))</f>
        <v/>
      </c>
      <c r="U521" s="34" t="str">
        <f aca="false">IF($R521="","",IFERROR(INDEX(DriverRank,MATCH($R521,DriverList,0)),99))</f>
        <v/>
      </c>
      <c r="V521" s="35" t="n">
        <f aca="false">IF($H521="",0,IFERROR(INDEX(LevelBasic,MATCH($H521,LevelList,0))+INDEX(LevelHousing,MATCH($H521,LevelList,0))+INDEX(LevelTransport,MATCH($H521,LevelList,0))+INDEX(LevelBasic,MATCH($H521,LevelList,0))*INDEX(LevelBonus,MATCH($H521,LevelList,0))+(INDEX(LevelBasic,MATCH($H521,LevelList,0))+INDEX(LevelHousing,MATCH($H521,LevelList,0)))*GosiSaudi,0))</f>
        <v>0</v>
      </c>
      <c r="W521" s="35" t="n">
        <f aca="false">IFERROR(INDEX(LevelOneOff,MATCH($H521,LevelList,0)),0)</f>
        <v>0</v>
      </c>
      <c r="X521" s="35" t="str">
        <f aca="false">IF($G521="","",$V521*N($L521))</f>
        <v/>
      </c>
      <c r="Y521" s="35" t="str">
        <f aca="false">IF($G521="","",$V521*(N($M521)*1+N($N521)*0.75+N($O521)*0.5+N($P521)*0.25)+$W521*N($L521))</f>
        <v/>
      </c>
      <c r="Z521" s="35" t="str">
        <f aca="false">IF($G521="","",$U521*1000000+ROW())</f>
        <v/>
      </c>
      <c r="AA521" s="36" t="str">
        <f aca="false">IF($G521="","",MID(IF($C521="",", no division","")&amp;IF($E521="",", no unit","")&amp;IF($H521="",", no career level","")&amp;IF(N($L521)&lt;=0,", no quarter split","")&amp;IF($R521="",", no driver","")&amp;IF(AND($H521&lt;&gt;"",COUNTIF(CareerLevels,$H521)=0),", a career level that is not on the ladder","")&amp;IF(AND($R521&lt;&gt;"",COUNTIF(DriverList,$R521)=0),", a driver that is not on the list","")&amp;IF(ABS(N($L521)-(N($M521)+N($N521)+N($O521)+N($P521)))&gt;0.001,", a total that does not match its quarters",""),3,300))</f>
        <v/>
      </c>
    </row>
    <row r="522" customFormat="false" ht="15" hidden="false" customHeight="false" outlineLevel="0" collapsed="false">
      <c r="A522" s="33" t="str">
        <f aca="false">IF($G522="","","Corporate Banking Group")</f>
        <v/>
      </c>
      <c r="B522" s="19"/>
      <c r="C522" s="19"/>
      <c r="D522" s="19"/>
      <c r="E522" s="19"/>
      <c r="F522" s="19"/>
      <c r="G522" s="19"/>
      <c r="H522" s="19"/>
      <c r="I522" s="19"/>
      <c r="J522" s="19"/>
      <c r="K522" s="19"/>
      <c r="L522" s="19"/>
      <c r="M522" s="19"/>
      <c r="N522" s="19"/>
      <c r="O522" s="19"/>
      <c r="P522" s="19"/>
      <c r="Q522" s="19"/>
      <c r="R522" s="19"/>
      <c r="S522" s="19"/>
      <c r="T522" s="34" t="str">
        <f aca="false">IF($R522="","",IFERROR(INDEX(DriverCategory,MATCH($R522,DriverList,0)),"BAU"))</f>
        <v/>
      </c>
      <c r="U522" s="34" t="str">
        <f aca="false">IF($R522="","",IFERROR(INDEX(DriverRank,MATCH($R522,DriverList,0)),99))</f>
        <v/>
      </c>
      <c r="V522" s="35" t="n">
        <f aca="false">IF($H522="",0,IFERROR(INDEX(LevelBasic,MATCH($H522,LevelList,0))+INDEX(LevelHousing,MATCH($H522,LevelList,0))+INDEX(LevelTransport,MATCH($H522,LevelList,0))+INDEX(LevelBasic,MATCH($H522,LevelList,0))*INDEX(LevelBonus,MATCH($H522,LevelList,0))+(INDEX(LevelBasic,MATCH($H522,LevelList,0))+INDEX(LevelHousing,MATCH($H522,LevelList,0)))*GosiSaudi,0))</f>
        <v>0</v>
      </c>
      <c r="W522" s="35" t="n">
        <f aca="false">IFERROR(INDEX(LevelOneOff,MATCH($H522,LevelList,0)),0)</f>
        <v>0</v>
      </c>
      <c r="X522" s="35" t="str">
        <f aca="false">IF($G522="","",$V522*N($L522))</f>
        <v/>
      </c>
      <c r="Y522" s="35" t="str">
        <f aca="false">IF($G522="","",$V522*(N($M522)*1+N($N522)*0.75+N($O522)*0.5+N($P522)*0.25)+$W522*N($L522))</f>
        <v/>
      </c>
      <c r="Z522" s="35" t="str">
        <f aca="false">IF($G522="","",$U522*1000000+ROW())</f>
        <v/>
      </c>
      <c r="AA522" s="36" t="str">
        <f aca="false">IF($G522="","",MID(IF($C522="",", no division","")&amp;IF($E522="",", no unit","")&amp;IF($H522="",", no career level","")&amp;IF(N($L522)&lt;=0,", no quarter split","")&amp;IF($R522="",", no driver","")&amp;IF(AND($H522&lt;&gt;"",COUNTIF(CareerLevels,$H522)=0),", a career level that is not on the ladder","")&amp;IF(AND($R522&lt;&gt;"",COUNTIF(DriverList,$R522)=0),", a driver that is not on the list","")&amp;IF(ABS(N($L522)-(N($M522)+N($N522)+N($O522)+N($P522)))&gt;0.001,", a total that does not match its quarters",""),3,300))</f>
        <v/>
      </c>
    </row>
    <row r="523" customFormat="false" ht="15" hidden="false" customHeight="false" outlineLevel="0" collapsed="false">
      <c r="A523" s="33" t="str">
        <f aca="false">IF($G523="","","Corporate Banking Group")</f>
        <v/>
      </c>
      <c r="B523" s="19"/>
      <c r="C523" s="19"/>
      <c r="D523" s="19"/>
      <c r="E523" s="19"/>
      <c r="F523" s="19"/>
      <c r="G523" s="19"/>
      <c r="H523" s="19"/>
      <c r="I523" s="19"/>
      <c r="J523" s="19"/>
      <c r="K523" s="19"/>
      <c r="L523" s="19"/>
      <c r="M523" s="19"/>
      <c r="N523" s="19"/>
      <c r="O523" s="19"/>
      <c r="P523" s="19"/>
      <c r="Q523" s="19"/>
      <c r="R523" s="19"/>
      <c r="S523" s="19"/>
      <c r="T523" s="34" t="str">
        <f aca="false">IF($R523="","",IFERROR(INDEX(DriverCategory,MATCH($R523,DriverList,0)),"BAU"))</f>
        <v/>
      </c>
      <c r="U523" s="34" t="str">
        <f aca="false">IF($R523="","",IFERROR(INDEX(DriverRank,MATCH($R523,DriverList,0)),99))</f>
        <v/>
      </c>
      <c r="V523" s="35" t="n">
        <f aca="false">IF($H523="",0,IFERROR(INDEX(LevelBasic,MATCH($H523,LevelList,0))+INDEX(LevelHousing,MATCH($H523,LevelList,0))+INDEX(LevelTransport,MATCH($H523,LevelList,0))+INDEX(LevelBasic,MATCH($H523,LevelList,0))*INDEX(LevelBonus,MATCH($H523,LevelList,0))+(INDEX(LevelBasic,MATCH($H523,LevelList,0))+INDEX(LevelHousing,MATCH($H523,LevelList,0)))*GosiSaudi,0))</f>
        <v>0</v>
      </c>
      <c r="W523" s="35" t="n">
        <f aca="false">IFERROR(INDEX(LevelOneOff,MATCH($H523,LevelList,0)),0)</f>
        <v>0</v>
      </c>
      <c r="X523" s="35" t="str">
        <f aca="false">IF($G523="","",$V523*N($L523))</f>
        <v/>
      </c>
      <c r="Y523" s="35" t="str">
        <f aca="false">IF($G523="","",$V523*(N($M523)*1+N($N523)*0.75+N($O523)*0.5+N($P523)*0.25)+$W523*N($L523))</f>
        <v/>
      </c>
      <c r="Z523" s="35" t="str">
        <f aca="false">IF($G523="","",$U523*1000000+ROW())</f>
        <v/>
      </c>
      <c r="AA523" s="36" t="str">
        <f aca="false">IF($G523="","",MID(IF($C523="",", no division","")&amp;IF($E523="",", no unit","")&amp;IF($H523="",", no career level","")&amp;IF(N($L523)&lt;=0,", no quarter split","")&amp;IF($R523="",", no driver","")&amp;IF(AND($H523&lt;&gt;"",COUNTIF(CareerLevels,$H523)=0),", a career level that is not on the ladder","")&amp;IF(AND($R523&lt;&gt;"",COUNTIF(DriverList,$R523)=0),", a driver that is not on the list","")&amp;IF(ABS(N($L523)-(N($M523)+N($N523)+N($O523)+N($P523)))&gt;0.001,", a total that does not match its quarters",""),3,300))</f>
        <v/>
      </c>
    </row>
    <row r="524" customFormat="false" ht="15" hidden="false" customHeight="false" outlineLevel="0" collapsed="false">
      <c r="A524" s="33" t="str">
        <f aca="false">IF($G524="","","Corporate Banking Group")</f>
        <v/>
      </c>
      <c r="B524" s="19"/>
      <c r="C524" s="19"/>
      <c r="D524" s="19"/>
      <c r="E524" s="19"/>
      <c r="F524" s="19"/>
      <c r="G524" s="19"/>
      <c r="H524" s="19"/>
      <c r="I524" s="19"/>
      <c r="J524" s="19"/>
      <c r="K524" s="19"/>
      <c r="L524" s="19"/>
      <c r="M524" s="19"/>
      <c r="N524" s="19"/>
      <c r="O524" s="19"/>
      <c r="P524" s="19"/>
      <c r="Q524" s="19"/>
      <c r="R524" s="19"/>
      <c r="S524" s="19"/>
      <c r="T524" s="34" t="str">
        <f aca="false">IF($R524="","",IFERROR(INDEX(DriverCategory,MATCH($R524,DriverList,0)),"BAU"))</f>
        <v/>
      </c>
      <c r="U524" s="34" t="str">
        <f aca="false">IF($R524="","",IFERROR(INDEX(DriverRank,MATCH($R524,DriverList,0)),99))</f>
        <v/>
      </c>
      <c r="V524" s="35" t="n">
        <f aca="false">IF($H524="",0,IFERROR(INDEX(LevelBasic,MATCH($H524,LevelList,0))+INDEX(LevelHousing,MATCH($H524,LevelList,0))+INDEX(LevelTransport,MATCH($H524,LevelList,0))+INDEX(LevelBasic,MATCH($H524,LevelList,0))*INDEX(LevelBonus,MATCH($H524,LevelList,0))+(INDEX(LevelBasic,MATCH($H524,LevelList,0))+INDEX(LevelHousing,MATCH($H524,LevelList,0)))*GosiSaudi,0))</f>
        <v>0</v>
      </c>
      <c r="W524" s="35" t="n">
        <f aca="false">IFERROR(INDEX(LevelOneOff,MATCH($H524,LevelList,0)),0)</f>
        <v>0</v>
      </c>
      <c r="X524" s="35" t="str">
        <f aca="false">IF($G524="","",$V524*N($L524))</f>
        <v/>
      </c>
      <c r="Y524" s="35" t="str">
        <f aca="false">IF($G524="","",$V524*(N($M524)*1+N($N524)*0.75+N($O524)*0.5+N($P524)*0.25)+$W524*N($L524))</f>
        <v/>
      </c>
      <c r="Z524" s="35" t="str">
        <f aca="false">IF($G524="","",$U524*1000000+ROW())</f>
        <v/>
      </c>
      <c r="AA524" s="36" t="str">
        <f aca="false">IF($G524="","",MID(IF($C524="",", no division","")&amp;IF($E524="",", no unit","")&amp;IF($H524="",", no career level","")&amp;IF(N($L524)&lt;=0,", no quarter split","")&amp;IF($R524="",", no driver","")&amp;IF(AND($H524&lt;&gt;"",COUNTIF(CareerLevels,$H524)=0),", a career level that is not on the ladder","")&amp;IF(AND($R524&lt;&gt;"",COUNTIF(DriverList,$R524)=0),", a driver that is not on the list","")&amp;IF(ABS(N($L524)-(N($M524)+N($N524)+N($O524)+N($P524)))&gt;0.001,", a total that does not match its quarters",""),3,300))</f>
        <v/>
      </c>
    </row>
    <row r="525" customFormat="false" ht="15" hidden="false" customHeight="false" outlineLevel="0" collapsed="false">
      <c r="A525" s="33" t="str">
        <f aca="false">IF($G525="","","Corporate Banking Group")</f>
        <v/>
      </c>
      <c r="B525" s="19"/>
      <c r="C525" s="19"/>
      <c r="D525" s="19"/>
      <c r="E525" s="19"/>
      <c r="F525" s="19"/>
      <c r="G525" s="19"/>
      <c r="H525" s="19"/>
      <c r="I525" s="19"/>
      <c r="J525" s="19"/>
      <c r="K525" s="19"/>
      <c r="L525" s="19"/>
      <c r="M525" s="19"/>
      <c r="N525" s="19"/>
      <c r="O525" s="19"/>
      <c r="P525" s="19"/>
      <c r="Q525" s="19"/>
      <c r="R525" s="19"/>
      <c r="S525" s="19"/>
      <c r="T525" s="34" t="str">
        <f aca="false">IF($R525="","",IFERROR(INDEX(DriverCategory,MATCH($R525,DriverList,0)),"BAU"))</f>
        <v/>
      </c>
      <c r="U525" s="34" t="str">
        <f aca="false">IF($R525="","",IFERROR(INDEX(DriverRank,MATCH($R525,DriverList,0)),99))</f>
        <v/>
      </c>
      <c r="V525" s="35" t="n">
        <f aca="false">IF($H525="",0,IFERROR(INDEX(LevelBasic,MATCH($H525,LevelList,0))+INDEX(LevelHousing,MATCH($H525,LevelList,0))+INDEX(LevelTransport,MATCH($H525,LevelList,0))+INDEX(LevelBasic,MATCH($H525,LevelList,0))*INDEX(LevelBonus,MATCH($H525,LevelList,0))+(INDEX(LevelBasic,MATCH($H525,LevelList,0))+INDEX(LevelHousing,MATCH($H525,LevelList,0)))*GosiSaudi,0))</f>
        <v>0</v>
      </c>
      <c r="W525" s="35" t="n">
        <f aca="false">IFERROR(INDEX(LevelOneOff,MATCH($H525,LevelList,0)),0)</f>
        <v>0</v>
      </c>
      <c r="X525" s="35" t="str">
        <f aca="false">IF($G525="","",$V525*N($L525))</f>
        <v/>
      </c>
      <c r="Y525" s="35" t="str">
        <f aca="false">IF($G525="","",$V525*(N($M525)*1+N($N525)*0.75+N($O525)*0.5+N($P525)*0.25)+$W525*N($L525))</f>
        <v/>
      </c>
      <c r="Z525" s="35" t="str">
        <f aca="false">IF($G525="","",$U525*1000000+ROW())</f>
        <v/>
      </c>
      <c r="AA525" s="36" t="str">
        <f aca="false">IF($G525="","",MID(IF($C525="",", no division","")&amp;IF($E525="",", no unit","")&amp;IF($H525="",", no career level","")&amp;IF(N($L525)&lt;=0,", no quarter split","")&amp;IF($R525="",", no driver","")&amp;IF(AND($H525&lt;&gt;"",COUNTIF(CareerLevels,$H525)=0),", a career level that is not on the ladder","")&amp;IF(AND($R525&lt;&gt;"",COUNTIF(DriverList,$R525)=0),", a driver that is not on the list","")&amp;IF(ABS(N($L525)-(N($M525)+N($N525)+N($O525)+N($P525)))&gt;0.001,", a total that does not match its quarters",""),3,300))</f>
        <v/>
      </c>
    </row>
    <row r="526" customFormat="false" ht="15" hidden="false" customHeight="false" outlineLevel="0" collapsed="false">
      <c r="A526" s="33" t="str">
        <f aca="false">IF($G526="","","Corporate Banking Group")</f>
        <v/>
      </c>
      <c r="B526" s="19"/>
      <c r="C526" s="19"/>
      <c r="D526" s="19"/>
      <c r="E526" s="19"/>
      <c r="F526" s="19"/>
      <c r="G526" s="19"/>
      <c r="H526" s="19"/>
      <c r="I526" s="19"/>
      <c r="J526" s="19"/>
      <c r="K526" s="19"/>
      <c r="L526" s="19"/>
      <c r="M526" s="19"/>
      <c r="N526" s="19"/>
      <c r="O526" s="19"/>
      <c r="P526" s="19"/>
      <c r="Q526" s="19"/>
      <c r="R526" s="19"/>
      <c r="S526" s="19"/>
      <c r="T526" s="34" t="str">
        <f aca="false">IF($R526="","",IFERROR(INDEX(DriverCategory,MATCH($R526,DriverList,0)),"BAU"))</f>
        <v/>
      </c>
      <c r="U526" s="34" t="str">
        <f aca="false">IF($R526="","",IFERROR(INDEX(DriverRank,MATCH($R526,DriverList,0)),99))</f>
        <v/>
      </c>
      <c r="V526" s="35" t="n">
        <f aca="false">IF($H526="",0,IFERROR(INDEX(LevelBasic,MATCH($H526,LevelList,0))+INDEX(LevelHousing,MATCH($H526,LevelList,0))+INDEX(LevelTransport,MATCH($H526,LevelList,0))+INDEX(LevelBasic,MATCH($H526,LevelList,0))*INDEX(LevelBonus,MATCH($H526,LevelList,0))+(INDEX(LevelBasic,MATCH($H526,LevelList,0))+INDEX(LevelHousing,MATCH($H526,LevelList,0)))*GosiSaudi,0))</f>
        <v>0</v>
      </c>
      <c r="W526" s="35" t="n">
        <f aca="false">IFERROR(INDEX(LevelOneOff,MATCH($H526,LevelList,0)),0)</f>
        <v>0</v>
      </c>
      <c r="X526" s="35" t="str">
        <f aca="false">IF($G526="","",$V526*N($L526))</f>
        <v/>
      </c>
      <c r="Y526" s="35" t="str">
        <f aca="false">IF($G526="","",$V526*(N($M526)*1+N($N526)*0.75+N($O526)*0.5+N($P526)*0.25)+$W526*N($L526))</f>
        <v/>
      </c>
      <c r="Z526" s="35" t="str">
        <f aca="false">IF($G526="","",$U526*1000000+ROW())</f>
        <v/>
      </c>
      <c r="AA526" s="36" t="str">
        <f aca="false">IF($G526="","",MID(IF($C526="",", no division","")&amp;IF($E526="",", no unit","")&amp;IF($H526="",", no career level","")&amp;IF(N($L526)&lt;=0,", no quarter split","")&amp;IF($R526="",", no driver","")&amp;IF(AND($H526&lt;&gt;"",COUNTIF(CareerLevels,$H526)=0),", a career level that is not on the ladder","")&amp;IF(AND($R526&lt;&gt;"",COUNTIF(DriverList,$R526)=0),", a driver that is not on the list","")&amp;IF(ABS(N($L526)-(N($M526)+N($N526)+N($O526)+N($P526)))&gt;0.001,", a total that does not match its quarters",""),3,300))</f>
        <v/>
      </c>
    </row>
    <row r="527" customFormat="false" ht="15" hidden="false" customHeight="false" outlineLevel="0" collapsed="false">
      <c r="A527" s="33" t="str">
        <f aca="false">IF($G527="","","Corporate Banking Group")</f>
        <v/>
      </c>
      <c r="B527" s="19"/>
      <c r="C527" s="19"/>
      <c r="D527" s="19"/>
      <c r="E527" s="19"/>
      <c r="F527" s="19"/>
      <c r="G527" s="19"/>
      <c r="H527" s="19"/>
      <c r="I527" s="19"/>
      <c r="J527" s="19"/>
      <c r="K527" s="19"/>
      <c r="L527" s="19"/>
      <c r="M527" s="19"/>
      <c r="N527" s="19"/>
      <c r="O527" s="19"/>
      <c r="P527" s="19"/>
      <c r="Q527" s="19"/>
      <c r="R527" s="19"/>
      <c r="S527" s="19"/>
      <c r="T527" s="34" t="str">
        <f aca="false">IF($R527="","",IFERROR(INDEX(DriverCategory,MATCH($R527,DriverList,0)),"BAU"))</f>
        <v/>
      </c>
      <c r="U527" s="34" t="str">
        <f aca="false">IF($R527="","",IFERROR(INDEX(DriverRank,MATCH($R527,DriverList,0)),99))</f>
        <v/>
      </c>
      <c r="V527" s="35" t="n">
        <f aca="false">IF($H527="",0,IFERROR(INDEX(LevelBasic,MATCH($H527,LevelList,0))+INDEX(LevelHousing,MATCH($H527,LevelList,0))+INDEX(LevelTransport,MATCH($H527,LevelList,0))+INDEX(LevelBasic,MATCH($H527,LevelList,0))*INDEX(LevelBonus,MATCH($H527,LevelList,0))+(INDEX(LevelBasic,MATCH($H527,LevelList,0))+INDEX(LevelHousing,MATCH($H527,LevelList,0)))*GosiSaudi,0))</f>
        <v>0</v>
      </c>
      <c r="W527" s="35" t="n">
        <f aca="false">IFERROR(INDEX(LevelOneOff,MATCH($H527,LevelList,0)),0)</f>
        <v>0</v>
      </c>
      <c r="X527" s="35" t="str">
        <f aca="false">IF($G527="","",$V527*N($L527))</f>
        <v/>
      </c>
      <c r="Y527" s="35" t="str">
        <f aca="false">IF($G527="","",$V527*(N($M527)*1+N($N527)*0.75+N($O527)*0.5+N($P527)*0.25)+$W527*N($L527))</f>
        <v/>
      </c>
      <c r="Z527" s="35" t="str">
        <f aca="false">IF($G527="","",$U527*1000000+ROW())</f>
        <v/>
      </c>
      <c r="AA527" s="36" t="str">
        <f aca="false">IF($G527="","",MID(IF($C527="",", no division","")&amp;IF($E527="",", no unit","")&amp;IF($H527="",", no career level","")&amp;IF(N($L527)&lt;=0,", no quarter split","")&amp;IF($R527="",", no driver","")&amp;IF(AND($H527&lt;&gt;"",COUNTIF(CareerLevels,$H527)=0),", a career level that is not on the ladder","")&amp;IF(AND($R527&lt;&gt;"",COUNTIF(DriverList,$R527)=0),", a driver that is not on the list","")&amp;IF(ABS(N($L527)-(N($M527)+N($N527)+N($O527)+N($P527)))&gt;0.001,", a total that does not match its quarters",""),3,300))</f>
        <v/>
      </c>
    </row>
    <row r="528" customFormat="false" ht="15" hidden="false" customHeight="false" outlineLevel="0" collapsed="false">
      <c r="A528" s="33" t="str">
        <f aca="false">IF($G528="","","Corporate Banking Group")</f>
        <v/>
      </c>
      <c r="B528" s="19"/>
      <c r="C528" s="19"/>
      <c r="D528" s="19"/>
      <c r="E528" s="19"/>
      <c r="F528" s="19"/>
      <c r="G528" s="19"/>
      <c r="H528" s="19"/>
      <c r="I528" s="19"/>
      <c r="J528" s="19"/>
      <c r="K528" s="19"/>
      <c r="L528" s="19"/>
      <c r="M528" s="19"/>
      <c r="N528" s="19"/>
      <c r="O528" s="19"/>
      <c r="P528" s="19"/>
      <c r="Q528" s="19"/>
      <c r="R528" s="19"/>
      <c r="S528" s="19"/>
      <c r="T528" s="34" t="str">
        <f aca="false">IF($R528="","",IFERROR(INDEX(DriverCategory,MATCH($R528,DriverList,0)),"BAU"))</f>
        <v/>
      </c>
      <c r="U528" s="34" t="str">
        <f aca="false">IF($R528="","",IFERROR(INDEX(DriverRank,MATCH($R528,DriverList,0)),99))</f>
        <v/>
      </c>
      <c r="V528" s="35" t="n">
        <f aca="false">IF($H528="",0,IFERROR(INDEX(LevelBasic,MATCH($H528,LevelList,0))+INDEX(LevelHousing,MATCH($H528,LevelList,0))+INDEX(LevelTransport,MATCH($H528,LevelList,0))+INDEX(LevelBasic,MATCH($H528,LevelList,0))*INDEX(LevelBonus,MATCH($H528,LevelList,0))+(INDEX(LevelBasic,MATCH($H528,LevelList,0))+INDEX(LevelHousing,MATCH($H528,LevelList,0)))*GosiSaudi,0))</f>
        <v>0</v>
      </c>
      <c r="W528" s="35" t="n">
        <f aca="false">IFERROR(INDEX(LevelOneOff,MATCH($H528,LevelList,0)),0)</f>
        <v>0</v>
      </c>
      <c r="X528" s="35" t="str">
        <f aca="false">IF($G528="","",$V528*N($L528))</f>
        <v/>
      </c>
      <c r="Y528" s="35" t="str">
        <f aca="false">IF($G528="","",$V528*(N($M528)*1+N($N528)*0.75+N($O528)*0.5+N($P528)*0.25)+$W528*N($L528))</f>
        <v/>
      </c>
      <c r="Z528" s="35" t="str">
        <f aca="false">IF($G528="","",$U528*1000000+ROW())</f>
        <v/>
      </c>
      <c r="AA528" s="36" t="str">
        <f aca="false">IF($G528="","",MID(IF($C528="",", no division","")&amp;IF($E528="",", no unit","")&amp;IF($H528="",", no career level","")&amp;IF(N($L528)&lt;=0,", no quarter split","")&amp;IF($R528="",", no driver","")&amp;IF(AND($H528&lt;&gt;"",COUNTIF(CareerLevels,$H528)=0),", a career level that is not on the ladder","")&amp;IF(AND($R528&lt;&gt;"",COUNTIF(DriverList,$R528)=0),", a driver that is not on the list","")&amp;IF(ABS(N($L528)-(N($M528)+N($N528)+N($O528)+N($P528)))&gt;0.001,", a total that does not match its quarters",""),3,300))</f>
        <v/>
      </c>
    </row>
    <row r="529" customFormat="false" ht="15" hidden="false" customHeight="false" outlineLevel="0" collapsed="false">
      <c r="A529" s="33" t="str">
        <f aca="false">IF($G529="","","Corporate Banking Group")</f>
        <v/>
      </c>
      <c r="B529" s="19"/>
      <c r="C529" s="19"/>
      <c r="D529" s="19"/>
      <c r="E529" s="19"/>
      <c r="F529" s="19"/>
      <c r="G529" s="19"/>
      <c r="H529" s="19"/>
      <c r="I529" s="19"/>
      <c r="J529" s="19"/>
      <c r="K529" s="19"/>
      <c r="L529" s="19"/>
      <c r="M529" s="19"/>
      <c r="N529" s="19"/>
      <c r="O529" s="19"/>
      <c r="P529" s="19"/>
      <c r="Q529" s="19"/>
      <c r="R529" s="19"/>
      <c r="S529" s="19"/>
      <c r="T529" s="34" t="str">
        <f aca="false">IF($R529="","",IFERROR(INDEX(DriverCategory,MATCH($R529,DriverList,0)),"BAU"))</f>
        <v/>
      </c>
      <c r="U529" s="34" t="str">
        <f aca="false">IF($R529="","",IFERROR(INDEX(DriverRank,MATCH($R529,DriverList,0)),99))</f>
        <v/>
      </c>
      <c r="V529" s="35" t="n">
        <f aca="false">IF($H529="",0,IFERROR(INDEX(LevelBasic,MATCH($H529,LevelList,0))+INDEX(LevelHousing,MATCH($H529,LevelList,0))+INDEX(LevelTransport,MATCH($H529,LevelList,0))+INDEX(LevelBasic,MATCH($H529,LevelList,0))*INDEX(LevelBonus,MATCH($H529,LevelList,0))+(INDEX(LevelBasic,MATCH($H529,LevelList,0))+INDEX(LevelHousing,MATCH($H529,LevelList,0)))*GosiSaudi,0))</f>
        <v>0</v>
      </c>
      <c r="W529" s="35" t="n">
        <f aca="false">IFERROR(INDEX(LevelOneOff,MATCH($H529,LevelList,0)),0)</f>
        <v>0</v>
      </c>
      <c r="X529" s="35" t="str">
        <f aca="false">IF($G529="","",$V529*N($L529))</f>
        <v/>
      </c>
      <c r="Y529" s="35" t="str">
        <f aca="false">IF($G529="","",$V529*(N($M529)*1+N($N529)*0.75+N($O529)*0.5+N($P529)*0.25)+$W529*N($L529))</f>
        <v/>
      </c>
      <c r="Z529" s="35" t="str">
        <f aca="false">IF($G529="","",$U529*1000000+ROW())</f>
        <v/>
      </c>
      <c r="AA529" s="36" t="str">
        <f aca="false">IF($G529="","",MID(IF($C529="",", no division","")&amp;IF($E529="",", no unit","")&amp;IF($H529="",", no career level","")&amp;IF(N($L529)&lt;=0,", no quarter split","")&amp;IF($R529="",", no driver","")&amp;IF(AND($H529&lt;&gt;"",COUNTIF(CareerLevels,$H529)=0),", a career level that is not on the ladder","")&amp;IF(AND($R529&lt;&gt;"",COUNTIF(DriverList,$R529)=0),", a driver that is not on the list","")&amp;IF(ABS(N($L529)-(N($M529)+N($N529)+N($O529)+N($P529)))&gt;0.001,", a total that does not match its quarters",""),3,300))</f>
        <v/>
      </c>
    </row>
    <row r="530" customFormat="false" ht="15" hidden="false" customHeight="false" outlineLevel="0" collapsed="false">
      <c r="A530" s="33" t="str">
        <f aca="false">IF($G530="","","Corporate Banking Group")</f>
        <v/>
      </c>
      <c r="B530" s="19"/>
      <c r="C530" s="19"/>
      <c r="D530" s="19"/>
      <c r="E530" s="19"/>
      <c r="F530" s="19"/>
      <c r="G530" s="19"/>
      <c r="H530" s="19"/>
      <c r="I530" s="19"/>
      <c r="J530" s="19"/>
      <c r="K530" s="19"/>
      <c r="L530" s="19"/>
      <c r="M530" s="19"/>
      <c r="N530" s="19"/>
      <c r="O530" s="19"/>
      <c r="P530" s="19"/>
      <c r="Q530" s="19"/>
      <c r="R530" s="19"/>
      <c r="S530" s="19"/>
      <c r="T530" s="34" t="str">
        <f aca="false">IF($R530="","",IFERROR(INDEX(DriverCategory,MATCH($R530,DriverList,0)),"BAU"))</f>
        <v/>
      </c>
      <c r="U530" s="34" t="str">
        <f aca="false">IF($R530="","",IFERROR(INDEX(DriverRank,MATCH($R530,DriverList,0)),99))</f>
        <v/>
      </c>
      <c r="V530" s="35" t="n">
        <f aca="false">IF($H530="",0,IFERROR(INDEX(LevelBasic,MATCH($H530,LevelList,0))+INDEX(LevelHousing,MATCH($H530,LevelList,0))+INDEX(LevelTransport,MATCH($H530,LevelList,0))+INDEX(LevelBasic,MATCH($H530,LevelList,0))*INDEX(LevelBonus,MATCH($H530,LevelList,0))+(INDEX(LevelBasic,MATCH($H530,LevelList,0))+INDEX(LevelHousing,MATCH($H530,LevelList,0)))*GosiSaudi,0))</f>
        <v>0</v>
      </c>
      <c r="W530" s="35" t="n">
        <f aca="false">IFERROR(INDEX(LevelOneOff,MATCH($H530,LevelList,0)),0)</f>
        <v>0</v>
      </c>
      <c r="X530" s="35" t="str">
        <f aca="false">IF($G530="","",$V530*N($L530))</f>
        <v/>
      </c>
      <c r="Y530" s="35" t="str">
        <f aca="false">IF($G530="","",$V530*(N($M530)*1+N($N530)*0.75+N($O530)*0.5+N($P530)*0.25)+$W530*N($L530))</f>
        <v/>
      </c>
      <c r="Z530" s="35" t="str">
        <f aca="false">IF($G530="","",$U530*1000000+ROW())</f>
        <v/>
      </c>
      <c r="AA530" s="36" t="str">
        <f aca="false">IF($G530="","",MID(IF($C530="",", no division","")&amp;IF($E530="",", no unit","")&amp;IF($H530="",", no career level","")&amp;IF(N($L530)&lt;=0,", no quarter split","")&amp;IF($R530="",", no driver","")&amp;IF(AND($H530&lt;&gt;"",COUNTIF(CareerLevels,$H530)=0),", a career level that is not on the ladder","")&amp;IF(AND($R530&lt;&gt;"",COUNTIF(DriverList,$R530)=0),", a driver that is not on the list","")&amp;IF(ABS(N($L530)-(N($M530)+N($N530)+N($O530)+N($P530)))&gt;0.001,", a total that does not match its quarters",""),3,300))</f>
        <v/>
      </c>
    </row>
    <row r="531" customFormat="false" ht="15" hidden="false" customHeight="false" outlineLevel="0" collapsed="false">
      <c r="A531" s="33" t="str">
        <f aca="false">IF($G531="","","Corporate Banking Group")</f>
        <v/>
      </c>
      <c r="B531" s="19"/>
      <c r="C531" s="19"/>
      <c r="D531" s="19"/>
      <c r="E531" s="19"/>
      <c r="F531" s="19"/>
      <c r="G531" s="19"/>
      <c r="H531" s="19"/>
      <c r="I531" s="19"/>
      <c r="J531" s="19"/>
      <c r="K531" s="19"/>
      <c r="L531" s="19"/>
      <c r="M531" s="19"/>
      <c r="N531" s="19"/>
      <c r="O531" s="19"/>
      <c r="P531" s="19"/>
      <c r="Q531" s="19"/>
      <c r="R531" s="19"/>
      <c r="S531" s="19"/>
      <c r="T531" s="34" t="str">
        <f aca="false">IF($R531="","",IFERROR(INDEX(DriverCategory,MATCH($R531,DriverList,0)),"BAU"))</f>
        <v/>
      </c>
      <c r="U531" s="34" t="str">
        <f aca="false">IF($R531="","",IFERROR(INDEX(DriverRank,MATCH($R531,DriverList,0)),99))</f>
        <v/>
      </c>
      <c r="V531" s="35" t="n">
        <f aca="false">IF($H531="",0,IFERROR(INDEX(LevelBasic,MATCH($H531,LevelList,0))+INDEX(LevelHousing,MATCH($H531,LevelList,0))+INDEX(LevelTransport,MATCH($H531,LevelList,0))+INDEX(LevelBasic,MATCH($H531,LevelList,0))*INDEX(LevelBonus,MATCH($H531,LevelList,0))+(INDEX(LevelBasic,MATCH($H531,LevelList,0))+INDEX(LevelHousing,MATCH($H531,LevelList,0)))*GosiSaudi,0))</f>
        <v>0</v>
      </c>
      <c r="W531" s="35" t="n">
        <f aca="false">IFERROR(INDEX(LevelOneOff,MATCH($H531,LevelList,0)),0)</f>
        <v>0</v>
      </c>
      <c r="X531" s="35" t="str">
        <f aca="false">IF($G531="","",$V531*N($L531))</f>
        <v/>
      </c>
      <c r="Y531" s="35" t="str">
        <f aca="false">IF($G531="","",$V531*(N($M531)*1+N($N531)*0.75+N($O531)*0.5+N($P531)*0.25)+$W531*N($L531))</f>
        <v/>
      </c>
      <c r="Z531" s="35" t="str">
        <f aca="false">IF($G531="","",$U531*1000000+ROW())</f>
        <v/>
      </c>
      <c r="AA531" s="36" t="str">
        <f aca="false">IF($G531="","",MID(IF($C531="",", no division","")&amp;IF($E531="",", no unit","")&amp;IF($H531="",", no career level","")&amp;IF(N($L531)&lt;=0,", no quarter split","")&amp;IF($R531="",", no driver","")&amp;IF(AND($H531&lt;&gt;"",COUNTIF(CareerLevels,$H531)=0),", a career level that is not on the ladder","")&amp;IF(AND($R531&lt;&gt;"",COUNTIF(DriverList,$R531)=0),", a driver that is not on the list","")&amp;IF(ABS(N($L531)-(N($M531)+N($N531)+N($O531)+N($P531)))&gt;0.001,", a total that does not match its quarters",""),3,300))</f>
        <v/>
      </c>
    </row>
    <row r="532" customFormat="false" ht="15" hidden="false" customHeight="false" outlineLevel="0" collapsed="false">
      <c r="A532" s="33" t="str">
        <f aca="false">IF($G532="","","Corporate Banking Group")</f>
        <v/>
      </c>
      <c r="B532" s="19"/>
      <c r="C532" s="19"/>
      <c r="D532" s="19"/>
      <c r="E532" s="19"/>
      <c r="F532" s="19"/>
      <c r="G532" s="19"/>
      <c r="H532" s="19"/>
      <c r="I532" s="19"/>
      <c r="J532" s="19"/>
      <c r="K532" s="19"/>
      <c r="L532" s="19"/>
      <c r="M532" s="19"/>
      <c r="N532" s="19"/>
      <c r="O532" s="19"/>
      <c r="P532" s="19"/>
      <c r="Q532" s="19"/>
      <c r="R532" s="19"/>
      <c r="S532" s="19"/>
      <c r="T532" s="34" t="str">
        <f aca="false">IF($R532="","",IFERROR(INDEX(DriverCategory,MATCH($R532,DriverList,0)),"BAU"))</f>
        <v/>
      </c>
      <c r="U532" s="34" t="str">
        <f aca="false">IF($R532="","",IFERROR(INDEX(DriverRank,MATCH($R532,DriverList,0)),99))</f>
        <v/>
      </c>
      <c r="V532" s="35" t="n">
        <f aca="false">IF($H532="",0,IFERROR(INDEX(LevelBasic,MATCH($H532,LevelList,0))+INDEX(LevelHousing,MATCH($H532,LevelList,0))+INDEX(LevelTransport,MATCH($H532,LevelList,0))+INDEX(LevelBasic,MATCH($H532,LevelList,0))*INDEX(LevelBonus,MATCH($H532,LevelList,0))+(INDEX(LevelBasic,MATCH($H532,LevelList,0))+INDEX(LevelHousing,MATCH($H532,LevelList,0)))*GosiSaudi,0))</f>
        <v>0</v>
      </c>
      <c r="W532" s="35" t="n">
        <f aca="false">IFERROR(INDEX(LevelOneOff,MATCH($H532,LevelList,0)),0)</f>
        <v>0</v>
      </c>
      <c r="X532" s="35" t="str">
        <f aca="false">IF($G532="","",$V532*N($L532))</f>
        <v/>
      </c>
      <c r="Y532" s="35" t="str">
        <f aca="false">IF($G532="","",$V532*(N($M532)*1+N($N532)*0.75+N($O532)*0.5+N($P532)*0.25)+$W532*N($L532))</f>
        <v/>
      </c>
      <c r="Z532" s="35" t="str">
        <f aca="false">IF($G532="","",$U532*1000000+ROW())</f>
        <v/>
      </c>
      <c r="AA532" s="36" t="str">
        <f aca="false">IF($G532="","",MID(IF($C532="",", no division","")&amp;IF($E532="",", no unit","")&amp;IF($H532="",", no career level","")&amp;IF(N($L532)&lt;=0,", no quarter split","")&amp;IF($R532="",", no driver","")&amp;IF(AND($H532&lt;&gt;"",COUNTIF(CareerLevels,$H532)=0),", a career level that is not on the ladder","")&amp;IF(AND($R532&lt;&gt;"",COUNTIF(DriverList,$R532)=0),", a driver that is not on the list","")&amp;IF(ABS(N($L532)-(N($M532)+N($N532)+N($O532)+N($P532)))&gt;0.001,", a total that does not match its quarters",""),3,300))</f>
        <v/>
      </c>
    </row>
    <row r="533" customFormat="false" ht="15" hidden="false" customHeight="false" outlineLevel="0" collapsed="false">
      <c r="A533" s="33" t="str">
        <f aca="false">IF($G533="","","Corporate Banking Group")</f>
        <v/>
      </c>
      <c r="B533" s="19"/>
      <c r="C533" s="19"/>
      <c r="D533" s="19"/>
      <c r="E533" s="19"/>
      <c r="F533" s="19"/>
      <c r="G533" s="19"/>
      <c r="H533" s="19"/>
      <c r="I533" s="19"/>
      <c r="J533" s="19"/>
      <c r="K533" s="19"/>
      <c r="L533" s="19"/>
      <c r="M533" s="19"/>
      <c r="N533" s="19"/>
      <c r="O533" s="19"/>
      <c r="P533" s="19"/>
      <c r="Q533" s="19"/>
      <c r="R533" s="19"/>
      <c r="S533" s="19"/>
      <c r="T533" s="34" t="str">
        <f aca="false">IF($R533="","",IFERROR(INDEX(DriverCategory,MATCH($R533,DriverList,0)),"BAU"))</f>
        <v/>
      </c>
      <c r="U533" s="34" t="str">
        <f aca="false">IF($R533="","",IFERROR(INDEX(DriverRank,MATCH($R533,DriverList,0)),99))</f>
        <v/>
      </c>
      <c r="V533" s="35" t="n">
        <f aca="false">IF($H533="",0,IFERROR(INDEX(LevelBasic,MATCH($H533,LevelList,0))+INDEX(LevelHousing,MATCH($H533,LevelList,0))+INDEX(LevelTransport,MATCH($H533,LevelList,0))+INDEX(LevelBasic,MATCH($H533,LevelList,0))*INDEX(LevelBonus,MATCH($H533,LevelList,0))+(INDEX(LevelBasic,MATCH($H533,LevelList,0))+INDEX(LevelHousing,MATCH($H533,LevelList,0)))*GosiSaudi,0))</f>
        <v>0</v>
      </c>
      <c r="W533" s="35" t="n">
        <f aca="false">IFERROR(INDEX(LevelOneOff,MATCH($H533,LevelList,0)),0)</f>
        <v>0</v>
      </c>
      <c r="X533" s="35" t="str">
        <f aca="false">IF($G533="","",$V533*N($L533))</f>
        <v/>
      </c>
      <c r="Y533" s="35" t="str">
        <f aca="false">IF($G533="","",$V533*(N($M533)*1+N($N533)*0.75+N($O533)*0.5+N($P533)*0.25)+$W533*N($L533))</f>
        <v/>
      </c>
      <c r="Z533" s="35" t="str">
        <f aca="false">IF($G533="","",$U533*1000000+ROW())</f>
        <v/>
      </c>
      <c r="AA533" s="36" t="str">
        <f aca="false">IF($G533="","",MID(IF($C533="",", no division","")&amp;IF($E533="",", no unit","")&amp;IF($H533="",", no career level","")&amp;IF(N($L533)&lt;=0,", no quarter split","")&amp;IF($R533="",", no driver","")&amp;IF(AND($H533&lt;&gt;"",COUNTIF(CareerLevels,$H533)=0),", a career level that is not on the ladder","")&amp;IF(AND($R533&lt;&gt;"",COUNTIF(DriverList,$R533)=0),", a driver that is not on the list","")&amp;IF(ABS(N($L533)-(N($M533)+N($N533)+N($O533)+N($P533)))&gt;0.001,", a total that does not match its quarters",""),3,300))</f>
        <v/>
      </c>
    </row>
    <row r="534" customFormat="false" ht="15" hidden="false" customHeight="false" outlineLevel="0" collapsed="false">
      <c r="A534" s="33" t="str">
        <f aca="false">IF($G534="","","Corporate Banking Group")</f>
        <v/>
      </c>
      <c r="B534" s="19"/>
      <c r="C534" s="19"/>
      <c r="D534" s="19"/>
      <c r="E534" s="19"/>
      <c r="F534" s="19"/>
      <c r="G534" s="19"/>
      <c r="H534" s="19"/>
      <c r="I534" s="19"/>
      <c r="J534" s="19"/>
      <c r="K534" s="19"/>
      <c r="L534" s="19"/>
      <c r="M534" s="19"/>
      <c r="N534" s="19"/>
      <c r="O534" s="19"/>
      <c r="P534" s="19"/>
      <c r="Q534" s="19"/>
      <c r="R534" s="19"/>
      <c r="S534" s="19"/>
      <c r="T534" s="34" t="str">
        <f aca="false">IF($R534="","",IFERROR(INDEX(DriverCategory,MATCH($R534,DriverList,0)),"BAU"))</f>
        <v/>
      </c>
      <c r="U534" s="34" t="str">
        <f aca="false">IF($R534="","",IFERROR(INDEX(DriverRank,MATCH($R534,DriverList,0)),99))</f>
        <v/>
      </c>
      <c r="V534" s="35" t="n">
        <f aca="false">IF($H534="",0,IFERROR(INDEX(LevelBasic,MATCH($H534,LevelList,0))+INDEX(LevelHousing,MATCH($H534,LevelList,0))+INDEX(LevelTransport,MATCH($H534,LevelList,0))+INDEX(LevelBasic,MATCH($H534,LevelList,0))*INDEX(LevelBonus,MATCH($H534,LevelList,0))+(INDEX(LevelBasic,MATCH($H534,LevelList,0))+INDEX(LevelHousing,MATCH($H534,LevelList,0)))*GosiSaudi,0))</f>
        <v>0</v>
      </c>
      <c r="W534" s="35" t="n">
        <f aca="false">IFERROR(INDEX(LevelOneOff,MATCH($H534,LevelList,0)),0)</f>
        <v>0</v>
      </c>
      <c r="X534" s="35" t="str">
        <f aca="false">IF($G534="","",$V534*N($L534))</f>
        <v/>
      </c>
      <c r="Y534" s="35" t="str">
        <f aca="false">IF($G534="","",$V534*(N($M534)*1+N($N534)*0.75+N($O534)*0.5+N($P534)*0.25)+$W534*N($L534))</f>
        <v/>
      </c>
      <c r="Z534" s="35" t="str">
        <f aca="false">IF($G534="","",$U534*1000000+ROW())</f>
        <v/>
      </c>
      <c r="AA534" s="36" t="str">
        <f aca="false">IF($G534="","",MID(IF($C534="",", no division","")&amp;IF($E534="",", no unit","")&amp;IF($H534="",", no career level","")&amp;IF(N($L534)&lt;=0,", no quarter split","")&amp;IF($R534="",", no driver","")&amp;IF(AND($H534&lt;&gt;"",COUNTIF(CareerLevels,$H534)=0),", a career level that is not on the ladder","")&amp;IF(AND($R534&lt;&gt;"",COUNTIF(DriverList,$R534)=0),", a driver that is not on the list","")&amp;IF(ABS(N($L534)-(N($M534)+N($N534)+N($O534)+N($P534)))&gt;0.001,", a total that does not match its quarters",""),3,300))</f>
        <v/>
      </c>
    </row>
    <row r="535" customFormat="false" ht="15" hidden="false" customHeight="false" outlineLevel="0" collapsed="false">
      <c r="A535" s="33" t="str">
        <f aca="false">IF($G535="","","Corporate Banking Group")</f>
        <v/>
      </c>
      <c r="B535" s="19"/>
      <c r="C535" s="19"/>
      <c r="D535" s="19"/>
      <c r="E535" s="19"/>
      <c r="F535" s="19"/>
      <c r="G535" s="19"/>
      <c r="H535" s="19"/>
      <c r="I535" s="19"/>
      <c r="J535" s="19"/>
      <c r="K535" s="19"/>
      <c r="L535" s="19"/>
      <c r="M535" s="19"/>
      <c r="N535" s="19"/>
      <c r="O535" s="19"/>
      <c r="P535" s="19"/>
      <c r="Q535" s="19"/>
      <c r="R535" s="19"/>
      <c r="S535" s="19"/>
      <c r="T535" s="34" t="str">
        <f aca="false">IF($R535="","",IFERROR(INDEX(DriverCategory,MATCH($R535,DriverList,0)),"BAU"))</f>
        <v/>
      </c>
      <c r="U535" s="34" t="str">
        <f aca="false">IF($R535="","",IFERROR(INDEX(DriverRank,MATCH($R535,DriverList,0)),99))</f>
        <v/>
      </c>
      <c r="V535" s="35" t="n">
        <f aca="false">IF($H535="",0,IFERROR(INDEX(LevelBasic,MATCH($H535,LevelList,0))+INDEX(LevelHousing,MATCH($H535,LevelList,0))+INDEX(LevelTransport,MATCH($H535,LevelList,0))+INDEX(LevelBasic,MATCH($H535,LevelList,0))*INDEX(LevelBonus,MATCH($H535,LevelList,0))+(INDEX(LevelBasic,MATCH($H535,LevelList,0))+INDEX(LevelHousing,MATCH($H535,LevelList,0)))*GosiSaudi,0))</f>
        <v>0</v>
      </c>
      <c r="W535" s="35" t="n">
        <f aca="false">IFERROR(INDEX(LevelOneOff,MATCH($H535,LevelList,0)),0)</f>
        <v>0</v>
      </c>
      <c r="X535" s="35" t="str">
        <f aca="false">IF($G535="","",$V535*N($L535))</f>
        <v/>
      </c>
      <c r="Y535" s="35" t="str">
        <f aca="false">IF($G535="","",$V535*(N($M535)*1+N($N535)*0.75+N($O535)*0.5+N($P535)*0.25)+$W535*N($L535))</f>
        <v/>
      </c>
      <c r="Z535" s="35" t="str">
        <f aca="false">IF($G535="","",$U535*1000000+ROW())</f>
        <v/>
      </c>
      <c r="AA535" s="36" t="str">
        <f aca="false">IF($G535="","",MID(IF($C535="",", no division","")&amp;IF($E535="",", no unit","")&amp;IF($H535="",", no career level","")&amp;IF(N($L535)&lt;=0,", no quarter split","")&amp;IF($R535="",", no driver","")&amp;IF(AND($H535&lt;&gt;"",COUNTIF(CareerLevels,$H535)=0),", a career level that is not on the ladder","")&amp;IF(AND($R535&lt;&gt;"",COUNTIF(DriverList,$R535)=0),", a driver that is not on the list","")&amp;IF(ABS(N($L535)-(N($M535)+N($N535)+N($O535)+N($P535)))&gt;0.001,", a total that does not match its quarters",""),3,300))</f>
        <v/>
      </c>
    </row>
    <row r="536" customFormat="false" ht="15" hidden="false" customHeight="false" outlineLevel="0" collapsed="false">
      <c r="A536" s="33" t="str">
        <f aca="false">IF($G536="","","Corporate Banking Group")</f>
        <v/>
      </c>
      <c r="B536" s="19"/>
      <c r="C536" s="19"/>
      <c r="D536" s="19"/>
      <c r="E536" s="19"/>
      <c r="F536" s="19"/>
      <c r="G536" s="19"/>
      <c r="H536" s="19"/>
      <c r="I536" s="19"/>
      <c r="J536" s="19"/>
      <c r="K536" s="19"/>
      <c r="L536" s="19"/>
      <c r="M536" s="19"/>
      <c r="N536" s="19"/>
      <c r="O536" s="19"/>
      <c r="P536" s="19"/>
      <c r="Q536" s="19"/>
      <c r="R536" s="19"/>
      <c r="S536" s="19"/>
      <c r="T536" s="34" t="str">
        <f aca="false">IF($R536="","",IFERROR(INDEX(DriverCategory,MATCH($R536,DriverList,0)),"BAU"))</f>
        <v/>
      </c>
      <c r="U536" s="34" t="str">
        <f aca="false">IF($R536="","",IFERROR(INDEX(DriverRank,MATCH($R536,DriverList,0)),99))</f>
        <v/>
      </c>
      <c r="V536" s="35" t="n">
        <f aca="false">IF($H536="",0,IFERROR(INDEX(LevelBasic,MATCH($H536,LevelList,0))+INDEX(LevelHousing,MATCH($H536,LevelList,0))+INDEX(LevelTransport,MATCH($H536,LevelList,0))+INDEX(LevelBasic,MATCH($H536,LevelList,0))*INDEX(LevelBonus,MATCH($H536,LevelList,0))+(INDEX(LevelBasic,MATCH($H536,LevelList,0))+INDEX(LevelHousing,MATCH($H536,LevelList,0)))*GosiSaudi,0))</f>
        <v>0</v>
      </c>
      <c r="W536" s="35" t="n">
        <f aca="false">IFERROR(INDEX(LevelOneOff,MATCH($H536,LevelList,0)),0)</f>
        <v>0</v>
      </c>
      <c r="X536" s="35" t="str">
        <f aca="false">IF($G536="","",$V536*N($L536))</f>
        <v/>
      </c>
      <c r="Y536" s="35" t="str">
        <f aca="false">IF($G536="","",$V536*(N($M536)*1+N($N536)*0.75+N($O536)*0.5+N($P536)*0.25)+$W536*N($L536))</f>
        <v/>
      </c>
      <c r="Z536" s="35" t="str">
        <f aca="false">IF($G536="","",$U536*1000000+ROW())</f>
        <v/>
      </c>
      <c r="AA536" s="36" t="str">
        <f aca="false">IF($G536="","",MID(IF($C536="",", no division","")&amp;IF($E536="",", no unit","")&amp;IF($H536="",", no career level","")&amp;IF(N($L536)&lt;=0,", no quarter split","")&amp;IF($R536="",", no driver","")&amp;IF(AND($H536&lt;&gt;"",COUNTIF(CareerLevels,$H536)=0),", a career level that is not on the ladder","")&amp;IF(AND($R536&lt;&gt;"",COUNTIF(DriverList,$R536)=0),", a driver that is not on the list","")&amp;IF(ABS(N($L536)-(N($M536)+N($N536)+N($O536)+N($P536)))&gt;0.001,", a total that does not match its quarters",""),3,300))</f>
        <v/>
      </c>
    </row>
    <row r="537" customFormat="false" ht="15" hidden="false" customHeight="false" outlineLevel="0" collapsed="false">
      <c r="A537" s="33" t="str">
        <f aca="false">IF($G537="","","Corporate Banking Group")</f>
        <v/>
      </c>
      <c r="B537" s="19"/>
      <c r="C537" s="19"/>
      <c r="D537" s="19"/>
      <c r="E537" s="19"/>
      <c r="F537" s="19"/>
      <c r="G537" s="19"/>
      <c r="H537" s="19"/>
      <c r="I537" s="19"/>
      <c r="J537" s="19"/>
      <c r="K537" s="19"/>
      <c r="L537" s="19"/>
      <c r="M537" s="19"/>
      <c r="N537" s="19"/>
      <c r="O537" s="19"/>
      <c r="P537" s="19"/>
      <c r="Q537" s="19"/>
      <c r="R537" s="19"/>
      <c r="S537" s="19"/>
      <c r="T537" s="34" t="str">
        <f aca="false">IF($R537="","",IFERROR(INDEX(DriverCategory,MATCH($R537,DriverList,0)),"BAU"))</f>
        <v/>
      </c>
      <c r="U537" s="34" t="str">
        <f aca="false">IF($R537="","",IFERROR(INDEX(DriverRank,MATCH($R537,DriverList,0)),99))</f>
        <v/>
      </c>
      <c r="V537" s="35" t="n">
        <f aca="false">IF($H537="",0,IFERROR(INDEX(LevelBasic,MATCH($H537,LevelList,0))+INDEX(LevelHousing,MATCH($H537,LevelList,0))+INDEX(LevelTransport,MATCH($H537,LevelList,0))+INDEX(LevelBasic,MATCH($H537,LevelList,0))*INDEX(LevelBonus,MATCH($H537,LevelList,0))+(INDEX(LevelBasic,MATCH($H537,LevelList,0))+INDEX(LevelHousing,MATCH($H537,LevelList,0)))*GosiSaudi,0))</f>
        <v>0</v>
      </c>
      <c r="W537" s="35" t="n">
        <f aca="false">IFERROR(INDEX(LevelOneOff,MATCH($H537,LevelList,0)),0)</f>
        <v>0</v>
      </c>
      <c r="X537" s="35" t="str">
        <f aca="false">IF($G537="","",$V537*N($L537))</f>
        <v/>
      </c>
      <c r="Y537" s="35" t="str">
        <f aca="false">IF($G537="","",$V537*(N($M537)*1+N($N537)*0.75+N($O537)*0.5+N($P537)*0.25)+$W537*N($L537))</f>
        <v/>
      </c>
      <c r="Z537" s="35" t="str">
        <f aca="false">IF($G537="","",$U537*1000000+ROW())</f>
        <v/>
      </c>
      <c r="AA537" s="36" t="str">
        <f aca="false">IF($G537="","",MID(IF($C537="",", no division","")&amp;IF($E537="",", no unit","")&amp;IF($H537="",", no career level","")&amp;IF(N($L537)&lt;=0,", no quarter split","")&amp;IF($R537="",", no driver","")&amp;IF(AND($H537&lt;&gt;"",COUNTIF(CareerLevels,$H537)=0),", a career level that is not on the ladder","")&amp;IF(AND($R537&lt;&gt;"",COUNTIF(DriverList,$R537)=0),", a driver that is not on the list","")&amp;IF(ABS(N($L537)-(N($M537)+N($N537)+N($O537)+N($P537)))&gt;0.001,", a total that does not match its quarters",""),3,300))</f>
        <v/>
      </c>
    </row>
    <row r="538" customFormat="false" ht="15" hidden="false" customHeight="false" outlineLevel="0" collapsed="false">
      <c r="A538" s="33" t="str">
        <f aca="false">IF($G538="","","Corporate Banking Group")</f>
        <v/>
      </c>
      <c r="B538" s="19"/>
      <c r="C538" s="19"/>
      <c r="D538" s="19"/>
      <c r="E538" s="19"/>
      <c r="F538" s="19"/>
      <c r="G538" s="19"/>
      <c r="H538" s="19"/>
      <c r="I538" s="19"/>
      <c r="J538" s="19"/>
      <c r="K538" s="19"/>
      <c r="L538" s="19"/>
      <c r="M538" s="19"/>
      <c r="N538" s="19"/>
      <c r="O538" s="19"/>
      <c r="P538" s="19"/>
      <c r="Q538" s="19"/>
      <c r="R538" s="19"/>
      <c r="S538" s="19"/>
      <c r="T538" s="34" t="str">
        <f aca="false">IF($R538="","",IFERROR(INDEX(DriverCategory,MATCH($R538,DriverList,0)),"BAU"))</f>
        <v/>
      </c>
      <c r="U538" s="34" t="str">
        <f aca="false">IF($R538="","",IFERROR(INDEX(DriverRank,MATCH($R538,DriverList,0)),99))</f>
        <v/>
      </c>
      <c r="V538" s="35" t="n">
        <f aca="false">IF($H538="",0,IFERROR(INDEX(LevelBasic,MATCH($H538,LevelList,0))+INDEX(LevelHousing,MATCH($H538,LevelList,0))+INDEX(LevelTransport,MATCH($H538,LevelList,0))+INDEX(LevelBasic,MATCH($H538,LevelList,0))*INDEX(LevelBonus,MATCH($H538,LevelList,0))+(INDEX(LevelBasic,MATCH($H538,LevelList,0))+INDEX(LevelHousing,MATCH($H538,LevelList,0)))*GosiSaudi,0))</f>
        <v>0</v>
      </c>
      <c r="W538" s="35" t="n">
        <f aca="false">IFERROR(INDEX(LevelOneOff,MATCH($H538,LevelList,0)),0)</f>
        <v>0</v>
      </c>
      <c r="X538" s="35" t="str">
        <f aca="false">IF($G538="","",$V538*N($L538))</f>
        <v/>
      </c>
      <c r="Y538" s="35" t="str">
        <f aca="false">IF($G538="","",$V538*(N($M538)*1+N($N538)*0.75+N($O538)*0.5+N($P538)*0.25)+$W538*N($L538))</f>
        <v/>
      </c>
      <c r="Z538" s="35" t="str">
        <f aca="false">IF($G538="","",$U538*1000000+ROW())</f>
        <v/>
      </c>
      <c r="AA538" s="36" t="str">
        <f aca="false">IF($G538="","",MID(IF($C538="",", no division","")&amp;IF($E538="",", no unit","")&amp;IF($H538="",", no career level","")&amp;IF(N($L538)&lt;=0,", no quarter split","")&amp;IF($R538="",", no driver","")&amp;IF(AND($H538&lt;&gt;"",COUNTIF(CareerLevels,$H538)=0),", a career level that is not on the ladder","")&amp;IF(AND($R538&lt;&gt;"",COUNTIF(DriverList,$R538)=0),", a driver that is not on the list","")&amp;IF(ABS(N($L538)-(N($M538)+N($N538)+N($O538)+N($P538)))&gt;0.001,", a total that does not match its quarters",""),3,300))</f>
        <v/>
      </c>
    </row>
    <row r="539" customFormat="false" ht="15" hidden="false" customHeight="false" outlineLevel="0" collapsed="false">
      <c r="A539" s="33" t="str">
        <f aca="false">IF($G539="","","Corporate Banking Group")</f>
        <v/>
      </c>
      <c r="B539" s="19"/>
      <c r="C539" s="19"/>
      <c r="D539" s="19"/>
      <c r="E539" s="19"/>
      <c r="F539" s="19"/>
      <c r="G539" s="19"/>
      <c r="H539" s="19"/>
      <c r="I539" s="19"/>
      <c r="J539" s="19"/>
      <c r="K539" s="19"/>
      <c r="L539" s="19"/>
      <c r="M539" s="19"/>
      <c r="N539" s="19"/>
      <c r="O539" s="19"/>
      <c r="P539" s="19"/>
      <c r="Q539" s="19"/>
      <c r="R539" s="19"/>
      <c r="S539" s="19"/>
      <c r="T539" s="34" t="str">
        <f aca="false">IF($R539="","",IFERROR(INDEX(DriverCategory,MATCH($R539,DriverList,0)),"BAU"))</f>
        <v/>
      </c>
      <c r="U539" s="34" t="str">
        <f aca="false">IF($R539="","",IFERROR(INDEX(DriverRank,MATCH($R539,DriverList,0)),99))</f>
        <v/>
      </c>
      <c r="V539" s="35" t="n">
        <f aca="false">IF($H539="",0,IFERROR(INDEX(LevelBasic,MATCH($H539,LevelList,0))+INDEX(LevelHousing,MATCH($H539,LevelList,0))+INDEX(LevelTransport,MATCH($H539,LevelList,0))+INDEX(LevelBasic,MATCH($H539,LevelList,0))*INDEX(LevelBonus,MATCH($H539,LevelList,0))+(INDEX(LevelBasic,MATCH($H539,LevelList,0))+INDEX(LevelHousing,MATCH($H539,LevelList,0)))*GosiSaudi,0))</f>
        <v>0</v>
      </c>
      <c r="W539" s="35" t="n">
        <f aca="false">IFERROR(INDEX(LevelOneOff,MATCH($H539,LevelList,0)),0)</f>
        <v>0</v>
      </c>
      <c r="X539" s="35" t="str">
        <f aca="false">IF($G539="","",$V539*N($L539))</f>
        <v/>
      </c>
      <c r="Y539" s="35" t="str">
        <f aca="false">IF($G539="","",$V539*(N($M539)*1+N($N539)*0.75+N($O539)*0.5+N($P539)*0.25)+$W539*N($L539))</f>
        <v/>
      </c>
      <c r="Z539" s="35" t="str">
        <f aca="false">IF($G539="","",$U539*1000000+ROW())</f>
        <v/>
      </c>
      <c r="AA539" s="36" t="str">
        <f aca="false">IF($G539="","",MID(IF($C539="",", no division","")&amp;IF($E539="",", no unit","")&amp;IF($H539="",", no career level","")&amp;IF(N($L539)&lt;=0,", no quarter split","")&amp;IF($R539="",", no driver","")&amp;IF(AND($H539&lt;&gt;"",COUNTIF(CareerLevels,$H539)=0),", a career level that is not on the ladder","")&amp;IF(AND($R539&lt;&gt;"",COUNTIF(DriverList,$R539)=0),", a driver that is not on the list","")&amp;IF(ABS(N($L539)-(N($M539)+N($N539)+N($O539)+N($P539)))&gt;0.001,", a total that does not match its quarters",""),3,300))</f>
        <v/>
      </c>
    </row>
    <row r="540" customFormat="false" ht="15" hidden="false" customHeight="false" outlineLevel="0" collapsed="false">
      <c r="A540" s="33" t="str">
        <f aca="false">IF($G540="","","Corporate Banking Group")</f>
        <v/>
      </c>
      <c r="B540" s="19"/>
      <c r="C540" s="19"/>
      <c r="D540" s="19"/>
      <c r="E540" s="19"/>
      <c r="F540" s="19"/>
      <c r="G540" s="19"/>
      <c r="H540" s="19"/>
      <c r="I540" s="19"/>
      <c r="J540" s="19"/>
      <c r="K540" s="19"/>
      <c r="L540" s="19"/>
      <c r="M540" s="19"/>
      <c r="N540" s="19"/>
      <c r="O540" s="19"/>
      <c r="P540" s="19"/>
      <c r="Q540" s="19"/>
      <c r="R540" s="19"/>
      <c r="S540" s="19"/>
      <c r="T540" s="34" t="str">
        <f aca="false">IF($R540="","",IFERROR(INDEX(DriverCategory,MATCH($R540,DriverList,0)),"BAU"))</f>
        <v/>
      </c>
      <c r="U540" s="34" t="str">
        <f aca="false">IF($R540="","",IFERROR(INDEX(DriverRank,MATCH($R540,DriverList,0)),99))</f>
        <v/>
      </c>
      <c r="V540" s="35" t="n">
        <f aca="false">IF($H540="",0,IFERROR(INDEX(LevelBasic,MATCH($H540,LevelList,0))+INDEX(LevelHousing,MATCH($H540,LevelList,0))+INDEX(LevelTransport,MATCH($H540,LevelList,0))+INDEX(LevelBasic,MATCH($H540,LevelList,0))*INDEX(LevelBonus,MATCH($H540,LevelList,0))+(INDEX(LevelBasic,MATCH($H540,LevelList,0))+INDEX(LevelHousing,MATCH($H540,LevelList,0)))*GosiSaudi,0))</f>
        <v>0</v>
      </c>
      <c r="W540" s="35" t="n">
        <f aca="false">IFERROR(INDEX(LevelOneOff,MATCH($H540,LevelList,0)),0)</f>
        <v>0</v>
      </c>
      <c r="X540" s="35" t="str">
        <f aca="false">IF($G540="","",$V540*N($L540))</f>
        <v/>
      </c>
      <c r="Y540" s="35" t="str">
        <f aca="false">IF($G540="","",$V540*(N($M540)*1+N($N540)*0.75+N($O540)*0.5+N($P540)*0.25)+$W540*N($L540))</f>
        <v/>
      </c>
      <c r="Z540" s="35" t="str">
        <f aca="false">IF($G540="","",$U540*1000000+ROW())</f>
        <v/>
      </c>
      <c r="AA540" s="36" t="str">
        <f aca="false">IF($G540="","",MID(IF($C540="",", no division","")&amp;IF($E540="",", no unit","")&amp;IF($H540="",", no career level","")&amp;IF(N($L540)&lt;=0,", no quarter split","")&amp;IF($R540="",", no driver","")&amp;IF(AND($H540&lt;&gt;"",COUNTIF(CareerLevels,$H540)=0),", a career level that is not on the ladder","")&amp;IF(AND($R540&lt;&gt;"",COUNTIF(DriverList,$R540)=0),", a driver that is not on the list","")&amp;IF(ABS(N($L540)-(N($M540)+N($N540)+N($O540)+N($P540)))&gt;0.001,", a total that does not match its quarters",""),3,300))</f>
        <v/>
      </c>
    </row>
    <row r="541" customFormat="false" ht="15" hidden="false" customHeight="false" outlineLevel="0" collapsed="false">
      <c r="A541" s="33" t="str">
        <f aca="false">IF($G541="","","Corporate Banking Group")</f>
        <v/>
      </c>
      <c r="B541" s="19"/>
      <c r="C541" s="19"/>
      <c r="D541" s="19"/>
      <c r="E541" s="19"/>
      <c r="F541" s="19"/>
      <c r="G541" s="19"/>
      <c r="H541" s="19"/>
      <c r="I541" s="19"/>
      <c r="J541" s="19"/>
      <c r="K541" s="19"/>
      <c r="L541" s="19"/>
      <c r="M541" s="19"/>
      <c r="N541" s="19"/>
      <c r="O541" s="19"/>
      <c r="P541" s="19"/>
      <c r="Q541" s="19"/>
      <c r="R541" s="19"/>
      <c r="S541" s="19"/>
      <c r="T541" s="34" t="str">
        <f aca="false">IF($R541="","",IFERROR(INDEX(DriverCategory,MATCH($R541,DriverList,0)),"BAU"))</f>
        <v/>
      </c>
      <c r="U541" s="34" t="str">
        <f aca="false">IF($R541="","",IFERROR(INDEX(DriverRank,MATCH($R541,DriverList,0)),99))</f>
        <v/>
      </c>
      <c r="V541" s="35" t="n">
        <f aca="false">IF($H541="",0,IFERROR(INDEX(LevelBasic,MATCH($H541,LevelList,0))+INDEX(LevelHousing,MATCH($H541,LevelList,0))+INDEX(LevelTransport,MATCH($H541,LevelList,0))+INDEX(LevelBasic,MATCH($H541,LevelList,0))*INDEX(LevelBonus,MATCH($H541,LevelList,0))+(INDEX(LevelBasic,MATCH($H541,LevelList,0))+INDEX(LevelHousing,MATCH($H541,LevelList,0)))*GosiSaudi,0))</f>
        <v>0</v>
      </c>
      <c r="W541" s="35" t="n">
        <f aca="false">IFERROR(INDEX(LevelOneOff,MATCH($H541,LevelList,0)),0)</f>
        <v>0</v>
      </c>
      <c r="X541" s="35" t="str">
        <f aca="false">IF($G541="","",$V541*N($L541))</f>
        <v/>
      </c>
      <c r="Y541" s="35" t="str">
        <f aca="false">IF($G541="","",$V541*(N($M541)*1+N($N541)*0.75+N($O541)*0.5+N($P541)*0.25)+$W541*N($L541))</f>
        <v/>
      </c>
      <c r="Z541" s="35" t="str">
        <f aca="false">IF($G541="","",$U541*1000000+ROW())</f>
        <v/>
      </c>
      <c r="AA541" s="36" t="str">
        <f aca="false">IF($G541="","",MID(IF($C541="",", no division","")&amp;IF($E541="",", no unit","")&amp;IF($H541="",", no career level","")&amp;IF(N($L541)&lt;=0,", no quarter split","")&amp;IF($R541="",", no driver","")&amp;IF(AND($H541&lt;&gt;"",COUNTIF(CareerLevels,$H541)=0),", a career level that is not on the ladder","")&amp;IF(AND($R541&lt;&gt;"",COUNTIF(DriverList,$R541)=0),", a driver that is not on the list","")&amp;IF(ABS(N($L541)-(N($M541)+N($N541)+N($O541)+N($P541)))&gt;0.001,", a total that does not match its quarters",""),3,300))</f>
        <v/>
      </c>
    </row>
    <row r="542" customFormat="false" ht="15" hidden="false" customHeight="false" outlineLevel="0" collapsed="false">
      <c r="A542" s="33" t="str">
        <f aca="false">IF($G542="","","Corporate Banking Group")</f>
        <v/>
      </c>
      <c r="B542" s="19"/>
      <c r="C542" s="19"/>
      <c r="D542" s="19"/>
      <c r="E542" s="19"/>
      <c r="F542" s="19"/>
      <c r="G542" s="19"/>
      <c r="H542" s="19"/>
      <c r="I542" s="19"/>
      <c r="J542" s="19"/>
      <c r="K542" s="19"/>
      <c r="L542" s="19"/>
      <c r="M542" s="19"/>
      <c r="N542" s="19"/>
      <c r="O542" s="19"/>
      <c r="P542" s="19"/>
      <c r="Q542" s="19"/>
      <c r="R542" s="19"/>
      <c r="S542" s="19"/>
      <c r="T542" s="34" t="str">
        <f aca="false">IF($R542="","",IFERROR(INDEX(DriverCategory,MATCH($R542,DriverList,0)),"BAU"))</f>
        <v/>
      </c>
      <c r="U542" s="34" t="str">
        <f aca="false">IF($R542="","",IFERROR(INDEX(DriverRank,MATCH($R542,DriverList,0)),99))</f>
        <v/>
      </c>
      <c r="V542" s="35" t="n">
        <f aca="false">IF($H542="",0,IFERROR(INDEX(LevelBasic,MATCH($H542,LevelList,0))+INDEX(LevelHousing,MATCH($H542,LevelList,0))+INDEX(LevelTransport,MATCH($H542,LevelList,0))+INDEX(LevelBasic,MATCH($H542,LevelList,0))*INDEX(LevelBonus,MATCH($H542,LevelList,0))+(INDEX(LevelBasic,MATCH($H542,LevelList,0))+INDEX(LevelHousing,MATCH($H542,LevelList,0)))*GosiSaudi,0))</f>
        <v>0</v>
      </c>
      <c r="W542" s="35" t="n">
        <f aca="false">IFERROR(INDEX(LevelOneOff,MATCH($H542,LevelList,0)),0)</f>
        <v>0</v>
      </c>
      <c r="X542" s="35" t="str">
        <f aca="false">IF($G542="","",$V542*N($L542))</f>
        <v/>
      </c>
      <c r="Y542" s="35" t="str">
        <f aca="false">IF($G542="","",$V542*(N($M542)*1+N($N542)*0.75+N($O542)*0.5+N($P542)*0.25)+$W542*N($L542))</f>
        <v/>
      </c>
      <c r="Z542" s="35" t="str">
        <f aca="false">IF($G542="","",$U542*1000000+ROW())</f>
        <v/>
      </c>
      <c r="AA542" s="36" t="str">
        <f aca="false">IF($G542="","",MID(IF($C542="",", no division","")&amp;IF($E542="",", no unit","")&amp;IF($H542="",", no career level","")&amp;IF(N($L542)&lt;=0,", no quarter split","")&amp;IF($R542="",", no driver","")&amp;IF(AND($H542&lt;&gt;"",COUNTIF(CareerLevels,$H542)=0),", a career level that is not on the ladder","")&amp;IF(AND($R542&lt;&gt;"",COUNTIF(DriverList,$R542)=0),", a driver that is not on the list","")&amp;IF(ABS(N($L542)-(N($M542)+N($N542)+N($O542)+N($P542)))&gt;0.001,", a total that does not match its quarters",""),3,300))</f>
        <v/>
      </c>
    </row>
    <row r="543" customFormat="false" ht="15" hidden="false" customHeight="false" outlineLevel="0" collapsed="false">
      <c r="A543" s="33" t="str">
        <f aca="false">IF($G543="","","Corporate Banking Group")</f>
        <v/>
      </c>
      <c r="B543" s="19"/>
      <c r="C543" s="19"/>
      <c r="D543" s="19"/>
      <c r="E543" s="19"/>
      <c r="F543" s="19"/>
      <c r="G543" s="19"/>
      <c r="H543" s="19"/>
      <c r="I543" s="19"/>
      <c r="J543" s="19"/>
      <c r="K543" s="19"/>
      <c r="L543" s="19"/>
      <c r="M543" s="19"/>
      <c r="N543" s="19"/>
      <c r="O543" s="19"/>
      <c r="P543" s="19"/>
      <c r="Q543" s="19"/>
      <c r="R543" s="19"/>
      <c r="S543" s="19"/>
      <c r="T543" s="34" t="str">
        <f aca="false">IF($R543="","",IFERROR(INDEX(DriverCategory,MATCH($R543,DriverList,0)),"BAU"))</f>
        <v/>
      </c>
      <c r="U543" s="34" t="str">
        <f aca="false">IF($R543="","",IFERROR(INDEX(DriverRank,MATCH($R543,DriverList,0)),99))</f>
        <v/>
      </c>
      <c r="V543" s="35" t="n">
        <f aca="false">IF($H543="",0,IFERROR(INDEX(LevelBasic,MATCH($H543,LevelList,0))+INDEX(LevelHousing,MATCH($H543,LevelList,0))+INDEX(LevelTransport,MATCH($H543,LevelList,0))+INDEX(LevelBasic,MATCH($H543,LevelList,0))*INDEX(LevelBonus,MATCH($H543,LevelList,0))+(INDEX(LevelBasic,MATCH($H543,LevelList,0))+INDEX(LevelHousing,MATCH($H543,LevelList,0)))*GosiSaudi,0))</f>
        <v>0</v>
      </c>
      <c r="W543" s="35" t="n">
        <f aca="false">IFERROR(INDEX(LevelOneOff,MATCH($H543,LevelList,0)),0)</f>
        <v>0</v>
      </c>
      <c r="X543" s="35" t="str">
        <f aca="false">IF($G543="","",$V543*N($L543))</f>
        <v/>
      </c>
      <c r="Y543" s="35" t="str">
        <f aca="false">IF($G543="","",$V543*(N($M543)*1+N($N543)*0.75+N($O543)*0.5+N($P543)*0.25)+$W543*N($L543))</f>
        <v/>
      </c>
      <c r="Z543" s="35" t="str">
        <f aca="false">IF($G543="","",$U543*1000000+ROW())</f>
        <v/>
      </c>
      <c r="AA543" s="36" t="str">
        <f aca="false">IF($G543="","",MID(IF($C543="",", no division","")&amp;IF($E543="",", no unit","")&amp;IF($H543="",", no career level","")&amp;IF(N($L543)&lt;=0,", no quarter split","")&amp;IF($R543="",", no driver","")&amp;IF(AND($H543&lt;&gt;"",COUNTIF(CareerLevels,$H543)=0),", a career level that is not on the ladder","")&amp;IF(AND($R543&lt;&gt;"",COUNTIF(DriverList,$R543)=0),", a driver that is not on the list","")&amp;IF(ABS(N($L543)-(N($M543)+N($N543)+N($O543)+N($P543)))&gt;0.001,", a total that does not match its quarters",""),3,300))</f>
        <v/>
      </c>
    </row>
    <row r="544" customFormat="false" ht="15" hidden="false" customHeight="false" outlineLevel="0" collapsed="false">
      <c r="A544" s="33" t="str">
        <f aca="false">IF($G544="","","Corporate Banking Group")</f>
        <v/>
      </c>
      <c r="B544" s="19"/>
      <c r="C544" s="19"/>
      <c r="D544" s="19"/>
      <c r="E544" s="19"/>
      <c r="F544" s="19"/>
      <c r="G544" s="19"/>
      <c r="H544" s="19"/>
      <c r="I544" s="19"/>
      <c r="J544" s="19"/>
      <c r="K544" s="19"/>
      <c r="L544" s="19"/>
      <c r="M544" s="19"/>
      <c r="N544" s="19"/>
      <c r="O544" s="19"/>
      <c r="P544" s="19"/>
      <c r="Q544" s="19"/>
      <c r="R544" s="19"/>
      <c r="S544" s="19"/>
      <c r="T544" s="34" t="str">
        <f aca="false">IF($R544="","",IFERROR(INDEX(DriverCategory,MATCH($R544,DriverList,0)),"BAU"))</f>
        <v/>
      </c>
      <c r="U544" s="34" t="str">
        <f aca="false">IF($R544="","",IFERROR(INDEX(DriverRank,MATCH($R544,DriverList,0)),99))</f>
        <v/>
      </c>
      <c r="V544" s="35" t="n">
        <f aca="false">IF($H544="",0,IFERROR(INDEX(LevelBasic,MATCH($H544,LevelList,0))+INDEX(LevelHousing,MATCH($H544,LevelList,0))+INDEX(LevelTransport,MATCH($H544,LevelList,0))+INDEX(LevelBasic,MATCH($H544,LevelList,0))*INDEX(LevelBonus,MATCH($H544,LevelList,0))+(INDEX(LevelBasic,MATCH($H544,LevelList,0))+INDEX(LevelHousing,MATCH($H544,LevelList,0)))*GosiSaudi,0))</f>
        <v>0</v>
      </c>
      <c r="W544" s="35" t="n">
        <f aca="false">IFERROR(INDEX(LevelOneOff,MATCH($H544,LevelList,0)),0)</f>
        <v>0</v>
      </c>
      <c r="X544" s="35" t="str">
        <f aca="false">IF($G544="","",$V544*N($L544))</f>
        <v/>
      </c>
      <c r="Y544" s="35" t="str">
        <f aca="false">IF($G544="","",$V544*(N($M544)*1+N($N544)*0.75+N($O544)*0.5+N($P544)*0.25)+$W544*N($L544))</f>
        <v/>
      </c>
      <c r="Z544" s="35" t="str">
        <f aca="false">IF($G544="","",$U544*1000000+ROW())</f>
        <v/>
      </c>
      <c r="AA544" s="36" t="str">
        <f aca="false">IF($G544="","",MID(IF($C544="",", no division","")&amp;IF($E544="",", no unit","")&amp;IF($H544="",", no career level","")&amp;IF(N($L544)&lt;=0,", no quarter split","")&amp;IF($R544="",", no driver","")&amp;IF(AND($H544&lt;&gt;"",COUNTIF(CareerLevels,$H544)=0),", a career level that is not on the ladder","")&amp;IF(AND($R544&lt;&gt;"",COUNTIF(DriverList,$R544)=0),", a driver that is not on the list","")&amp;IF(ABS(N($L544)-(N($M544)+N($N544)+N($O544)+N($P544)))&gt;0.001,", a total that does not match its quarters",""),3,300))</f>
        <v/>
      </c>
    </row>
    <row r="545" customFormat="false" ht="15" hidden="false" customHeight="false" outlineLevel="0" collapsed="false">
      <c r="A545" s="33" t="str">
        <f aca="false">IF($G545="","","Corporate Banking Group")</f>
        <v/>
      </c>
      <c r="B545" s="19"/>
      <c r="C545" s="19"/>
      <c r="D545" s="19"/>
      <c r="E545" s="19"/>
      <c r="F545" s="19"/>
      <c r="G545" s="19"/>
      <c r="H545" s="19"/>
      <c r="I545" s="19"/>
      <c r="J545" s="19"/>
      <c r="K545" s="19"/>
      <c r="L545" s="19"/>
      <c r="M545" s="19"/>
      <c r="N545" s="19"/>
      <c r="O545" s="19"/>
      <c r="P545" s="19"/>
      <c r="Q545" s="19"/>
      <c r="R545" s="19"/>
      <c r="S545" s="19"/>
      <c r="T545" s="34" t="str">
        <f aca="false">IF($R545="","",IFERROR(INDEX(DriverCategory,MATCH($R545,DriverList,0)),"BAU"))</f>
        <v/>
      </c>
      <c r="U545" s="34" t="str">
        <f aca="false">IF($R545="","",IFERROR(INDEX(DriverRank,MATCH($R545,DriverList,0)),99))</f>
        <v/>
      </c>
      <c r="V545" s="35" t="n">
        <f aca="false">IF($H545="",0,IFERROR(INDEX(LevelBasic,MATCH($H545,LevelList,0))+INDEX(LevelHousing,MATCH($H545,LevelList,0))+INDEX(LevelTransport,MATCH($H545,LevelList,0))+INDEX(LevelBasic,MATCH($H545,LevelList,0))*INDEX(LevelBonus,MATCH($H545,LevelList,0))+(INDEX(LevelBasic,MATCH($H545,LevelList,0))+INDEX(LevelHousing,MATCH($H545,LevelList,0)))*GosiSaudi,0))</f>
        <v>0</v>
      </c>
      <c r="W545" s="35" t="n">
        <f aca="false">IFERROR(INDEX(LevelOneOff,MATCH($H545,LevelList,0)),0)</f>
        <v>0</v>
      </c>
      <c r="X545" s="35" t="str">
        <f aca="false">IF($G545="","",$V545*N($L545))</f>
        <v/>
      </c>
      <c r="Y545" s="35" t="str">
        <f aca="false">IF($G545="","",$V545*(N($M545)*1+N($N545)*0.75+N($O545)*0.5+N($P545)*0.25)+$W545*N($L545))</f>
        <v/>
      </c>
      <c r="Z545" s="35" t="str">
        <f aca="false">IF($G545="","",$U545*1000000+ROW())</f>
        <v/>
      </c>
      <c r="AA545" s="36" t="str">
        <f aca="false">IF($G545="","",MID(IF($C545="",", no division","")&amp;IF($E545="",", no unit","")&amp;IF($H545="",", no career level","")&amp;IF(N($L545)&lt;=0,", no quarter split","")&amp;IF($R545="",", no driver","")&amp;IF(AND($H545&lt;&gt;"",COUNTIF(CareerLevels,$H545)=0),", a career level that is not on the ladder","")&amp;IF(AND($R545&lt;&gt;"",COUNTIF(DriverList,$R545)=0),", a driver that is not on the list","")&amp;IF(ABS(N($L545)-(N($M545)+N($N545)+N($O545)+N($P545)))&gt;0.001,", a total that does not match its quarters",""),3,300))</f>
        <v/>
      </c>
    </row>
    <row r="546" customFormat="false" ht="15" hidden="false" customHeight="false" outlineLevel="0" collapsed="false">
      <c r="A546" s="33" t="str">
        <f aca="false">IF($G546="","","Corporate Banking Group")</f>
        <v/>
      </c>
      <c r="B546" s="19"/>
      <c r="C546" s="19"/>
      <c r="D546" s="19"/>
      <c r="E546" s="19"/>
      <c r="F546" s="19"/>
      <c r="G546" s="19"/>
      <c r="H546" s="19"/>
      <c r="I546" s="19"/>
      <c r="J546" s="19"/>
      <c r="K546" s="19"/>
      <c r="L546" s="19"/>
      <c r="M546" s="19"/>
      <c r="N546" s="19"/>
      <c r="O546" s="19"/>
      <c r="P546" s="19"/>
      <c r="Q546" s="19"/>
      <c r="R546" s="19"/>
      <c r="S546" s="19"/>
      <c r="T546" s="34" t="str">
        <f aca="false">IF($R546="","",IFERROR(INDEX(DriverCategory,MATCH($R546,DriverList,0)),"BAU"))</f>
        <v/>
      </c>
      <c r="U546" s="34" t="str">
        <f aca="false">IF($R546="","",IFERROR(INDEX(DriverRank,MATCH($R546,DriverList,0)),99))</f>
        <v/>
      </c>
      <c r="V546" s="35" t="n">
        <f aca="false">IF($H546="",0,IFERROR(INDEX(LevelBasic,MATCH($H546,LevelList,0))+INDEX(LevelHousing,MATCH($H546,LevelList,0))+INDEX(LevelTransport,MATCH($H546,LevelList,0))+INDEX(LevelBasic,MATCH($H546,LevelList,0))*INDEX(LevelBonus,MATCH($H546,LevelList,0))+(INDEX(LevelBasic,MATCH($H546,LevelList,0))+INDEX(LevelHousing,MATCH($H546,LevelList,0)))*GosiSaudi,0))</f>
        <v>0</v>
      </c>
      <c r="W546" s="35" t="n">
        <f aca="false">IFERROR(INDEX(LevelOneOff,MATCH($H546,LevelList,0)),0)</f>
        <v>0</v>
      </c>
      <c r="X546" s="35" t="str">
        <f aca="false">IF($G546="","",$V546*N($L546))</f>
        <v/>
      </c>
      <c r="Y546" s="35" t="str">
        <f aca="false">IF($G546="","",$V546*(N($M546)*1+N($N546)*0.75+N($O546)*0.5+N($P546)*0.25)+$W546*N($L546))</f>
        <v/>
      </c>
      <c r="Z546" s="35" t="str">
        <f aca="false">IF($G546="","",$U546*1000000+ROW())</f>
        <v/>
      </c>
      <c r="AA546" s="36" t="str">
        <f aca="false">IF($G546="","",MID(IF($C546="",", no division","")&amp;IF($E546="",", no unit","")&amp;IF($H546="",", no career level","")&amp;IF(N($L546)&lt;=0,", no quarter split","")&amp;IF($R546="",", no driver","")&amp;IF(AND($H546&lt;&gt;"",COUNTIF(CareerLevels,$H546)=0),", a career level that is not on the ladder","")&amp;IF(AND($R546&lt;&gt;"",COUNTIF(DriverList,$R546)=0),", a driver that is not on the list","")&amp;IF(ABS(N($L546)-(N($M546)+N($N546)+N($O546)+N($P546)))&gt;0.001,", a total that does not match its quarters",""),3,300))</f>
        <v/>
      </c>
    </row>
    <row r="547" customFormat="false" ht="15" hidden="false" customHeight="false" outlineLevel="0" collapsed="false">
      <c r="A547" s="33" t="str">
        <f aca="false">IF($G547="","","Corporate Banking Group")</f>
        <v/>
      </c>
      <c r="B547" s="19"/>
      <c r="C547" s="19"/>
      <c r="D547" s="19"/>
      <c r="E547" s="19"/>
      <c r="F547" s="19"/>
      <c r="G547" s="19"/>
      <c r="H547" s="19"/>
      <c r="I547" s="19"/>
      <c r="J547" s="19"/>
      <c r="K547" s="19"/>
      <c r="L547" s="19"/>
      <c r="M547" s="19"/>
      <c r="N547" s="19"/>
      <c r="O547" s="19"/>
      <c r="P547" s="19"/>
      <c r="Q547" s="19"/>
      <c r="R547" s="19"/>
      <c r="S547" s="19"/>
      <c r="T547" s="34" t="str">
        <f aca="false">IF($R547="","",IFERROR(INDEX(DriverCategory,MATCH($R547,DriverList,0)),"BAU"))</f>
        <v/>
      </c>
      <c r="U547" s="34" t="str">
        <f aca="false">IF($R547="","",IFERROR(INDEX(DriverRank,MATCH($R547,DriverList,0)),99))</f>
        <v/>
      </c>
      <c r="V547" s="35" t="n">
        <f aca="false">IF($H547="",0,IFERROR(INDEX(LevelBasic,MATCH($H547,LevelList,0))+INDEX(LevelHousing,MATCH($H547,LevelList,0))+INDEX(LevelTransport,MATCH($H547,LevelList,0))+INDEX(LevelBasic,MATCH($H547,LevelList,0))*INDEX(LevelBonus,MATCH($H547,LevelList,0))+(INDEX(LevelBasic,MATCH($H547,LevelList,0))+INDEX(LevelHousing,MATCH($H547,LevelList,0)))*GosiSaudi,0))</f>
        <v>0</v>
      </c>
      <c r="W547" s="35" t="n">
        <f aca="false">IFERROR(INDEX(LevelOneOff,MATCH($H547,LevelList,0)),0)</f>
        <v>0</v>
      </c>
      <c r="X547" s="35" t="str">
        <f aca="false">IF($G547="","",$V547*N($L547))</f>
        <v/>
      </c>
      <c r="Y547" s="35" t="str">
        <f aca="false">IF($G547="","",$V547*(N($M547)*1+N($N547)*0.75+N($O547)*0.5+N($P547)*0.25)+$W547*N($L547))</f>
        <v/>
      </c>
      <c r="Z547" s="35" t="str">
        <f aca="false">IF($G547="","",$U547*1000000+ROW())</f>
        <v/>
      </c>
      <c r="AA547" s="36" t="str">
        <f aca="false">IF($G547="","",MID(IF($C547="",", no division","")&amp;IF($E547="",", no unit","")&amp;IF($H547="",", no career level","")&amp;IF(N($L547)&lt;=0,", no quarter split","")&amp;IF($R547="",", no driver","")&amp;IF(AND($H547&lt;&gt;"",COUNTIF(CareerLevels,$H547)=0),", a career level that is not on the ladder","")&amp;IF(AND($R547&lt;&gt;"",COUNTIF(DriverList,$R547)=0),", a driver that is not on the list","")&amp;IF(ABS(N($L547)-(N($M547)+N($N547)+N($O547)+N($P547)))&gt;0.001,", a total that does not match its quarters",""),3,300))</f>
        <v/>
      </c>
    </row>
    <row r="548" customFormat="false" ht="15" hidden="false" customHeight="false" outlineLevel="0" collapsed="false">
      <c r="A548" s="33" t="str">
        <f aca="false">IF($G548="","","Corporate Banking Group")</f>
        <v/>
      </c>
      <c r="B548" s="19"/>
      <c r="C548" s="19"/>
      <c r="D548" s="19"/>
      <c r="E548" s="19"/>
      <c r="F548" s="19"/>
      <c r="G548" s="19"/>
      <c r="H548" s="19"/>
      <c r="I548" s="19"/>
      <c r="J548" s="19"/>
      <c r="K548" s="19"/>
      <c r="L548" s="19"/>
      <c r="M548" s="19"/>
      <c r="N548" s="19"/>
      <c r="O548" s="19"/>
      <c r="P548" s="19"/>
      <c r="Q548" s="19"/>
      <c r="R548" s="19"/>
      <c r="S548" s="19"/>
      <c r="T548" s="34" t="str">
        <f aca="false">IF($R548="","",IFERROR(INDEX(DriverCategory,MATCH($R548,DriverList,0)),"BAU"))</f>
        <v/>
      </c>
      <c r="U548" s="34" t="str">
        <f aca="false">IF($R548="","",IFERROR(INDEX(DriverRank,MATCH($R548,DriverList,0)),99))</f>
        <v/>
      </c>
      <c r="V548" s="35" t="n">
        <f aca="false">IF($H548="",0,IFERROR(INDEX(LevelBasic,MATCH($H548,LevelList,0))+INDEX(LevelHousing,MATCH($H548,LevelList,0))+INDEX(LevelTransport,MATCH($H548,LevelList,0))+INDEX(LevelBasic,MATCH($H548,LevelList,0))*INDEX(LevelBonus,MATCH($H548,LevelList,0))+(INDEX(LevelBasic,MATCH($H548,LevelList,0))+INDEX(LevelHousing,MATCH($H548,LevelList,0)))*GosiSaudi,0))</f>
        <v>0</v>
      </c>
      <c r="W548" s="35" t="n">
        <f aca="false">IFERROR(INDEX(LevelOneOff,MATCH($H548,LevelList,0)),0)</f>
        <v>0</v>
      </c>
      <c r="X548" s="35" t="str">
        <f aca="false">IF($G548="","",$V548*N($L548))</f>
        <v/>
      </c>
      <c r="Y548" s="35" t="str">
        <f aca="false">IF($G548="","",$V548*(N($M548)*1+N($N548)*0.75+N($O548)*0.5+N($P548)*0.25)+$W548*N($L548))</f>
        <v/>
      </c>
      <c r="Z548" s="35" t="str">
        <f aca="false">IF($G548="","",$U548*1000000+ROW())</f>
        <v/>
      </c>
      <c r="AA548" s="36" t="str">
        <f aca="false">IF($G548="","",MID(IF($C548="",", no division","")&amp;IF($E548="",", no unit","")&amp;IF($H548="",", no career level","")&amp;IF(N($L548)&lt;=0,", no quarter split","")&amp;IF($R548="",", no driver","")&amp;IF(AND($H548&lt;&gt;"",COUNTIF(CareerLevels,$H548)=0),", a career level that is not on the ladder","")&amp;IF(AND($R548&lt;&gt;"",COUNTIF(DriverList,$R548)=0),", a driver that is not on the list","")&amp;IF(ABS(N($L548)-(N($M548)+N($N548)+N($O548)+N($P548)))&gt;0.001,", a total that does not match its quarters",""),3,300))</f>
        <v/>
      </c>
    </row>
    <row r="549" customFormat="false" ht="15" hidden="false" customHeight="false" outlineLevel="0" collapsed="false">
      <c r="A549" s="33" t="str">
        <f aca="false">IF($G549="","","Corporate Banking Group")</f>
        <v/>
      </c>
      <c r="B549" s="19"/>
      <c r="C549" s="19"/>
      <c r="D549" s="19"/>
      <c r="E549" s="19"/>
      <c r="F549" s="19"/>
      <c r="G549" s="19"/>
      <c r="H549" s="19"/>
      <c r="I549" s="19"/>
      <c r="J549" s="19"/>
      <c r="K549" s="19"/>
      <c r="L549" s="19"/>
      <c r="M549" s="19"/>
      <c r="N549" s="19"/>
      <c r="O549" s="19"/>
      <c r="P549" s="19"/>
      <c r="Q549" s="19"/>
      <c r="R549" s="19"/>
      <c r="S549" s="19"/>
      <c r="T549" s="34" t="str">
        <f aca="false">IF($R549="","",IFERROR(INDEX(DriverCategory,MATCH($R549,DriverList,0)),"BAU"))</f>
        <v/>
      </c>
      <c r="U549" s="34" t="str">
        <f aca="false">IF($R549="","",IFERROR(INDEX(DriverRank,MATCH($R549,DriverList,0)),99))</f>
        <v/>
      </c>
      <c r="V549" s="35" t="n">
        <f aca="false">IF($H549="",0,IFERROR(INDEX(LevelBasic,MATCH($H549,LevelList,0))+INDEX(LevelHousing,MATCH($H549,LevelList,0))+INDEX(LevelTransport,MATCH($H549,LevelList,0))+INDEX(LevelBasic,MATCH($H549,LevelList,0))*INDEX(LevelBonus,MATCH($H549,LevelList,0))+(INDEX(LevelBasic,MATCH($H549,LevelList,0))+INDEX(LevelHousing,MATCH($H549,LevelList,0)))*GosiSaudi,0))</f>
        <v>0</v>
      </c>
      <c r="W549" s="35" t="n">
        <f aca="false">IFERROR(INDEX(LevelOneOff,MATCH($H549,LevelList,0)),0)</f>
        <v>0</v>
      </c>
      <c r="X549" s="35" t="str">
        <f aca="false">IF($G549="","",$V549*N($L549))</f>
        <v/>
      </c>
      <c r="Y549" s="35" t="str">
        <f aca="false">IF($G549="","",$V549*(N($M549)*1+N($N549)*0.75+N($O549)*0.5+N($P549)*0.25)+$W549*N($L549))</f>
        <v/>
      </c>
      <c r="Z549" s="35" t="str">
        <f aca="false">IF($G549="","",$U549*1000000+ROW())</f>
        <v/>
      </c>
      <c r="AA549" s="36" t="str">
        <f aca="false">IF($G549="","",MID(IF($C549="",", no division","")&amp;IF($E549="",", no unit","")&amp;IF($H549="",", no career level","")&amp;IF(N($L549)&lt;=0,", no quarter split","")&amp;IF($R549="",", no driver","")&amp;IF(AND($H549&lt;&gt;"",COUNTIF(CareerLevels,$H549)=0),", a career level that is not on the ladder","")&amp;IF(AND($R549&lt;&gt;"",COUNTIF(DriverList,$R549)=0),", a driver that is not on the list","")&amp;IF(ABS(N($L549)-(N($M549)+N($N549)+N($O549)+N($P549)))&gt;0.001,", a total that does not match its quarters",""),3,300))</f>
        <v/>
      </c>
    </row>
    <row r="550" customFormat="false" ht="15" hidden="false" customHeight="false" outlineLevel="0" collapsed="false">
      <c r="A550" s="33" t="str">
        <f aca="false">IF($G550="","","Corporate Banking Group")</f>
        <v/>
      </c>
      <c r="B550" s="19"/>
      <c r="C550" s="19"/>
      <c r="D550" s="19"/>
      <c r="E550" s="19"/>
      <c r="F550" s="19"/>
      <c r="G550" s="19"/>
      <c r="H550" s="19"/>
      <c r="I550" s="19"/>
      <c r="J550" s="19"/>
      <c r="K550" s="19"/>
      <c r="L550" s="19"/>
      <c r="M550" s="19"/>
      <c r="N550" s="19"/>
      <c r="O550" s="19"/>
      <c r="P550" s="19"/>
      <c r="Q550" s="19"/>
      <c r="R550" s="19"/>
      <c r="S550" s="19"/>
      <c r="T550" s="34" t="str">
        <f aca="false">IF($R550="","",IFERROR(INDEX(DriverCategory,MATCH($R550,DriverList,0)),"BAU"))</f>
        <v/>
      </c>
      <c r="U550" s="34" t="str">
        <f aca="false">IF($R550="","",IFERROR(INDEX(DriverRank,MATCH($R550,DriverList,0)),99))</f>
        <v/>
      </c>
      <c r="V550" s="35" t="n">
        <f aca="false">IF($H550="",0,IFERROR(INDEX(LevelBasic,MATCH($H550,LevelList,0))+INDEX(LevelHousing,MATCH($H550,LevelList,0))+INDEX(LevelTransport,MATCH($H550,LevelList,0))+INDEX(LevelBasic,MATCH($H550,LevelList,0))*INDEX(LevelBonus,MATCH($H550,LevelList,0))+(INDEX(LevelBasic,MATCH($H550,LevelList,0))+INDEX(LevelHousing,MATCH($H550,LevelList,0)))*GosiSaudi,0))</f>
        <v>0</v>
      </c>
      <c r="W550" s="35" t="n">
        <f aca="false">IFERROR(INDEX(LevelOneOff,MATCH($H550,LevelList,0)),0)</f>
        <v>0</v>
      </c>
      <c r="X550" s="35" t="str">
        <f aca="false">IF($G550="","",$V550*N($L550))</f>
        <v/>
      </c>
      <c r="Y550" s="35" t="str">
        <f aca="false">IF($G550="","",$V550*(N($M550)*1+N($N550)*0.75+N($O550)*0.5+N($P550)*0.25)+$W550*N($L550))</f>
        <v/>
      </c>
      <c r="Z550" s="35" t="str">
        <f aca="false">IF($G550="","",$U550*1000000+ROW())</f>
        <v/>
      </c>
      <c r="AA550" s="36" t="str">
        <f aca="false">IF($G550="","",MID(IF($C550="",", no division","")&amp;IF($E550="",", no unit","")&amp;IF($H550="",", no career level","")&amp;IF(N($L550)&lt;=0,", no quarter split","")&amp;IF($R550="",", no driver","")&amp;IF(AND($H550&lt;&gt;"",COUNTIF(CareerLevels,$H550)=0),", a career level that is not on the ladder","")&amp;IF(AND($R550&lt;&gt;"",COUNTIF(DriverList,$R550)=0),", a driver that is not on the list","")&amp;IF(ABS(N($L550)-(N($M550)+N($N550)+N($O550)+N($P550)))&gt;0.001,", a total that does not match its quarters",""),3,300))</f>
        <v/>
      </c>
    </row>
    <row r="551" customFormat="false" ht="15" hidden="false" customHeight="false" outlineLevel="0" collapsed="false">
      <c r="A551" s="33" t="str">
        <f aca="false">IF($G551="","","Corporate Banking Group")</f>
        <v/>
      </c>
      <c r="B551" s="19"/>
      <c r="C551" s="19"/>
      <c r="D551" s="19"/>
      <c r="E551" s="19"/>
      <c r="F551" s="19"/>
      <c r="G551" s="19"/>
      <c r="H551" s="19"/>
      <c r="I551" s="19"/>
      <c r="J551" s="19"/>
      <c r="K551" s="19"/>
      <c r="L551" s="19"/>
      <c r="M551" s="19"/>
      <c r="N551" s="19"/>
      <c r="O551" s="19"/>
      <c r="P551" s="19"/>
      <c r="Q551" s="19"/>
      <c r="R551" s="19"/>
      <c r="S551" s="19"/>
      <c r="T551" s="34" t="str">
        <f aca="false">IF($R551="","",IFERROR(INDEX(DriverCategory,MATCH($R551,DriverList,0)),"BAU"))</f>
        <v/>
      </c>
      <c r="U551" s="34" t="str">
        <f aca="false">IF($R551="","",IFERROR(INDEX(DriverRank,MATCH($R551,DriverList,0)),99))</f>
        <v/>
      </c>
      <c r="V551" s="35" t="n">
        <f aca="false">IF($H551="",0,IFERROR(INDEX(LevelBasic,MATCH($H551,LevelList,0))+INDEX(LevelHousing,MATCH($H551,LevelList,0))+INDEX(LevelTransport,MATCH($H551,LevelList,0))+INDEX(LevelBasic,MATCH($H551,LevelList,0))*INDEX(LevelBonus,MATCH($H551,LevelList,0))+(INDEX(LevelBasic,MATCH($H551,LevelList,0))+INDEX(LevelHousing,MATCH($H551,LevelList,0)))*GosiSaudi,0))</f>
        <v>0</v>
      </c>
      <c r="W551" s="35" t="n">
        <f aca="false">IFERROR(INDEX(LevelOneOff,MATCH($H551,LevelList,0)),0)</f>
        <v>0</v>
      </c>
      <c r="X551" s="35" t="str">
        <f aca="false">IF($G551="","",$V551*N($L551))</f>
        <v/>
      </c>
      <c r="Y551" s="35" t="str">
        <f aca="false">IF($G551="","",$V551*(N($M551)*1+N($N551)*0.75+N($O551)*0.5+N($P551)*0.25)+$W551*N($L551))</f>
        <v/>
      </c>
      <c r="Z551" s="35" t="str">
        <f aca="false">IF($G551="","",$U551*1000000+ROW())</f>
        <v/>
      </c>
      <c r="AA551" s="36" t="str">
        <f aca="false">IF($G551="","",MID(IF($C551="",", no division","")&amp;IF($E551="",", no unit","")&amp;IF($H551="",", no career level","")&amp;IF(N($L551)&lt;=0,", no quarter split","")&amp;IF($R551="",", no driver","")&amp;IF(AND($H551&lt;&gt;"",COUNTIF(CareerLevels,$H551)=0),", a career level that is not on the ladder","")&amp;IF(AND($R551&lt;&gt;"",COUNTIF(DriverList,$R551)=0),", a driver that is not on the list","")&amp;IF(ABS(N($L551)-(N($M551)+N($N551)+N($O551)+N($P551)))&gt;0.001,", a total that does not match its quarters",""),3,300))</f>
        <v/>
      </c>
    </row>
    <row r="552" customFormat="false" ht="15" hidden="false" customHeight="false" outlineLevel="0" collapsed="false">
      <c r="A552" s="33" t="str">
        <f aca="false">IF($G552="","","Corporate Banking Group")</f>
        <v/>
      </c>
      <c r="B552" s="19"/>
      <c r="C552" s="19"/>
      <c r="D552" s="19"/>
      <c r="E552" s="19"/>
      <c r="F552" s="19"/>
      <c r="G552" s="19"/>
      <c r="H552" s="19"/>
      <c r="I552" s="19"/>
      <c r="J552" s="19"/>
      <c r="K552" s="19"/>
      <c r="L552" s="19"/>
      <c r="M552" s="19"/>
      <c r="N552" s="19"/>
      <c r="O552" s="19"/>
      <c r="P552" s="19"/>
      <c r="Q552" s="19"/>
      <c r="R552" s="19"/>
      <c r="S552" s="19"/>
      <c r="T552" s="34" t="str">
        <f aca="false">IF($R552="","",IFERROR(INDEX(DriverCategory,MATCH($R552,DriverList,0)),"BAU"))</f>
        <v/>
      </c>
      <c r="U552" s="34" t="str">
        <f aca="false">IF($R552="","",IFERROR(INDEX(DriverRank,MATCH($R552,DriverList,0)),99))</f>
        <v/>
      </c>
      <c r="V552" s="35" t="n">
        <f aca="false">IF($H552="",0,IFERROR(INDEX(LevelBasic,MATCH($H552,LevelList,0))+INDEX(LevelHousing,MATCH($H552,LevelList,0))+INDEX(LevelTransport,MATCH($H552,LevelList,0))+INDEX(LevelBasic,MATCH($H552,LevelList,0))*INDEX(LevelBonus,MATCH($H552,LevelList,0))+(INDEX(LevelBasic,MATCH($H552,LevelList,0))+INDEX(LevelHousing,MATCH($H552,LevelList,0)))*GosiSaudi,0))</f>
        <v>0</v>
      </c>
      <c r="W552" s="35" t="n">
        <f aca="false">IFERROR(INDEX(LevelOneOff,MATCH($H552,LevelList,0)),0)</f>
        <v>0</v>
      </c>
      <c r="X552" s="35" t="str">
        <f aca="false">IF($G552="","",$V552*N($L552))</f>
        <v/>
      </c>
      <c r="Y552" s="35" t="str">
        <f aca="false">IF($G552="","",$V552*(N($M552)*1+N($N552)*0.75+N($O552)*0.5+N($P552)*0.25)+$W552*N($L552))</f>
        <v/>
      </c>
      <c r="Z552" s="35" t="str">
        <f aca="false">IF($G552="","",$U552*1000000+ROW())</f>
        <v/>
      </c>
      <c r="AA552" s="36" t="str">
        <f aca="false">IF($G552="","",MID(IF($C552="",", no division","")&amp;IF($E552="",", no unit","")&amp;IF($H552="",", no career level","")&amp;IF(N($L552)&lt;=0,", no quarter split","")&amp;IF($R552="",", no driver","")&amp;IF(AND($H552&lt;&gt;"",COUNTIF(CareerLevels,$H552)=0),", a career level that is not on the ladder","")&amp;IF(AND($R552&lt;&gt;"",COUNTIF(DriverList,$R552)=0),", a driver that is not on the list","")&amp;IF(ABS(N($L552)-(N($M552)+N($N552)+N($O552)+N($P552)))&gt;0.001,", a total that does not match its quarters",""),3,300))</f>
        <v/>
      </c>
    </row>
    <row r="553" customFormat="false" ht="15" hidden="false" customHeight="false" outlineLevel="0" collapsed="false">
      <c r="A553" s="33" t="str">
        <f aca="false">IF($G553="","","Corporate Banking Group")</f>
        <v/>
      </c>
      <c r="B553" s="19"/>
      <c r="C553" s="19"/>
      <c r="D553" s="19"/>
      <c r="E553" s="19"/>
      <c r="F553" s="19"/>
      <c r="G553" s="19"/>
      <c r="H553" s="19"/>
      <c r="I553" s="19"/>
      <c r="J553" s="19"/>
      <c r="K553" s="19"/>
      <c r="L553" s="19"/>
      <c r="M553" s="19"/>
      <c r="N553" s="19"/>
      <c r="O553" s="19"/>
      <c r="P553" s="19"/>
      <c r="Q553" s="19"/>
      <c r="R553" s="19"/>
      <c r="S553" s="19"/>
      <c r="T553" s="34" t="str">
        <f aca="false">IF($R553="","",IFERROR(INDEX(DriverCategory,MATCH($R553,DriverList,0)),"BAU"))</f>
        <v/>
      </c>
      <c r="U553" s="34" t="str">
        <f aca="false">IF($R553="","",IFERROR(INDEX(DriverRank,MATCH($R553,DriverList,0)),99))</f>
        <v/>
      </c>
      <c r="V553" s="35" t="n">
        <f aca="false">IF($H553="",0,IFERROR(INDEX(LevelBasic,MATCH($H553,LevelList,0))+INDEX(LevelHousing,MATCH($H553,LevelList,0))+INDEX(LevelTransport,MATCH($H553,LevelList,0))+INDEX(LevelBasic,MATCH($H553,LevelList,0))*INDEX(LevelBonus,MATCH($H553,LevelList,0))+(INDEX(LevelBasic,MATCH($H553,LevelList,0))+INDEX(LevelHousing,MATCH($H553,LevelList,0)))*GosiSaudi,0))</f>
        <v>0</v>
      </c>
      <c r="W553" s="35" t="n">
        <f aca="false">IFERROR(INDEX(LevelOneOff,MATCH($H553,LevelList,0)),0)</f>
        <v>0</v>
      </c>
      <c r="X553" s="35" t="str">
        <f aca="false">IF($G553="","",$V553*N($L553))</f>
        <v/>
      </c>
      <c r="Y553" s="35" t="str">
        <f aca="false">IF($G553="","",$V553*(N($M553)*1+N($N553)*0.75+N($O553)*0.5+N($P553)*0.25)+$W553*N($L553))</f>
        <v/>
      </c>
      <c r="Z553" s="35" t="str">
        <f aca="false">IF($G553="","",$U553*1000000+ROW())</f>
        <v/>
      </c>
      <c r="AA553" s="36" t="str">
        <f aca="false">IF($G553="","",MID(IF($C553="",", no division","")&amp;IF($E553="",", no unit","")&amp;IF($H553="",", no career level","")&amp;IF(N($L553)&lt;=0,", no quarter split","")&amp;IF($R553="",", no driver","")&amp;IF(AND($H553&lt;&gt;"",COUNTIF(CareerLevels,$H553)=0),", a career level that is not on the ladder","")&amp;IF(AND($R553&lt;&gt;"",COUNTIF(DriverList,$R553)=0),", a driver that is not on the list","")&amp;IF(ABS(N($L553)-(N($M553)+N($N553)+N($O553)+N($P553)))&gt;0.001,", a total that does not match its quarters",""),3,300))</f>
        <v/>
      </c>
    </row>
    <row r="554" customFormat="false" ht="15" hidden="false" customHeight="false" outlineLevel="0" collapsed="false">
      <c r="A554" s="33" t="str">
        <f aca="false">IF($G554="","","Corporate Banking Group")</f>
        <v/>
      </c>
      <c r="B554" s="19"/>
      <c r="C554" s="19"/>
      <c r="D554" s="19"/>
      <c r="E554" s="19"/>
      <c r="F554" s="19"/>
      <c r="G554" s="19"/>
      <c r="H554" s="19"/>
      <c r="I554" s="19"/>
      <c r="J554" s="19"/>
      <c r="K554" s="19"/>
      <c r="L554" s="19"/>
      <c r="M554" s="19"/>
      <c r="N554" s="19"/>
      <c r="O554" s="19"/>
      <c r="P554" s="19"/>
      <c r="Q554" s="19"/>
      <c r="R554" s="19"/>
      <c r="S554" s="19"/>
      <c r="T554" s="34" t="str">
        <f aca="false">IF($R554="","",IFERROR(INDEX(DriverCategory,MATCH($R554,DriverList,0)),"BAU"))</f>
        <v/>
      </c>
      <c r="U554" s="34" t="str">
        <f aca="false">IF($R554="","",IFERROR(INDEX(DriverRank,MATCH($R554,DriverList,0)),99))</f>
        <v/>
      </c>
      <c r="V554" s="35" t="n">
        <f aca="false">IF($H554="",0,IFERROR(INDEX(LevelBasic,MATCH($H554,LevelList,0))+INDEX(LevelHousing,MATCH($H554,LevelList,0))+INDEX(LevelTransport,MATCH($H554,LevelList,0))+INDEX(LevelBasic,MATCH($H554,LevelList,0))*INDEX(LevelBonus,MATCH($H554,LevelList,0))+(INDEX(LevelBasic,MATCH($H554,LevelList,0))+INDEX(LevelHousing,MATCH($H554,LevelList,0)))*GosiSaudi,0))</f>
        <v>0</v>
      </c>
      <c r="W554" s="35" t="n">
        <f aca="false">IFERROR(INDEX(LevelOneOff,MATCH($H554,LevelList,0)),0)</f>
        <v>0</v>
      </c>
      <c r="X554" s="35" t="str">
        <f aca="false">IF($G554="","",$V554*N($L554))</f>
        <v/>
      </c>
      <c r="Y554" s="35" t="str">
        <f aca="false">IF($G554="","",$V554*(N($M554)*1+N($N554)*0.75+N($O554)*0.5+N($P554)*0.25)+$W554*N($L554))</f>
        <v/>
      </c>
      <c r="Z554" s="35" t="str">
        <f aca="false">IF($G554="","",$U554*1000000+ROW())</f>
        <v/>
      </c>
      <c r="AA554" s="36" t="str">
        <f aca="false">IF($G554="","",MID(IF($C554="",", no division","")&amp;IF($E554="",", no unit","")&amp;IF($H554="",", no career level","")&amp;IF(N($L554)&lt;=0,", no quarter split","")&amp;IF($R554="",", no driver","")&amp;IF(AND($H554&lt;&gt;"",COUNTIF(CareerLevels,$H554)=0),", a career level that is not on the ladder","")&amp;IF(AND($R554&lt;&gt;"",COUNTIF(DriverList,$R554)=0),", a driver that is not on the list","")&amp;IF(ABS(N($L554)-(N($M554)+N($N554)+N($O554)+N($P554)))&gt;0.001,", a total that does not match its quarters",""),3,300))</f>
        <v/>
      </c>
    </row>
    <row r="555" customFormat="false" ht="15" hidden="false" customHeight="false" outlineLevel="0" collapsed="false">
      <c r="A555" s="33" t="str">
        <f aca="false">IF($G555="","","Corporate Banking Group")</f>
        <v/>
      </c>
      <c r="B555" s="19"/>
      <c r="C555" s="19"/>
      <c r="D555" s="19"/>
      <c r="E555" s="19"/>
      <c r="F555" s="19"/>
      <c r="G555" s="19"/>
      <c r="H555" s="19"/>
      <c r="I555" s="19"/>
      <c r="J555" s="19"/>
      <c r="K555" s="19"/>
      <c r="L555" s="19"/>
      <c r="M555" s="19"/>
      <c r="N555" s="19"/>
      <c r="O555" s="19"/>
      <c r="P555" s="19"/>
      <c r="Q555" s="19"/>
      <c r="R555" s="19"/>
      <c r="S555" s="19"/>
      <c r="T555" s="34" t="str">
        <f aca="false">IF($R555="","",IFERROR(INDEX(DriverCategory,MATCH($R555,DriverList,0)),"BAU"))</f>
        <v/>
      </c>
      <c r="U555" s="34" t="str">
        <f aca="false">IF($R555="","",IFERROR(INDEX(DriverRank,MATCH($R555,DriverList,0)),99))</f>
        <v/>
      </c>
      <c r="V555" s="35" t="n">
        <f aca="false">IF($H555="",0,IFERROR(INDEX(LevelBasic,MATCH($H555,LevelList,0))+INDEX(LevelHousing,MATCH($H555,LevelList,0))+INDEX(LevelTransport,MATCH($H555,LevelList,0))+INDEX(LevelBasic,MATCH($H555,LevelList,0))*INDEX(LevelBonus,MATCH($H555,LevelList,0))+(INDEX(LevelBasic,MATCH($H555,LevelList,0))+INDEX(LevelHousing,MATCH($H555,LevelList,0)))*GosiSaudi,0))</f>
        <v>0</v>
      </c>
      <c r="W555" s="35" t="n">
        <f aca="false">IFERROR(INDEX(LevelOneOff,MATCH($H555,LevelList,0)),0)</f>
        <v>0</v>
      </c>
      <c r="X555" s="35" t="str">
        <f aca="false">IF($G555="","",$V555*N($L555))</f>
        <v/>
      </c>
      <c r="Y555" s="35" t="str">
        <f aca="false">IF($G555="","",$V555*(N($M555)*1+N($N555)*0.75+N($O555)*0.5+N($P555)*0.25)+$W555*N($L555))</f>
        <v/>
      </c>
      <c r="Z555" s="35" t="str">
        <f aca="false">IF($G555="","",$U555*1000000+ROW())</f>
        <v/>
      </c>
      <c r="AA555" s="36" t="str">
        <f aca="false">IF($G555="","",MID(IF($C555="",", no division","")&amp;IF($E555="",", no unit","")&amp;IF($H555="",", no career level","")&amp;IF(N($L555)&lt;=0,", no quarter split","")&amp;IF($R555="",", no driver","")&amp;IF(AND($H555&lt;&gt;"",COUNTIF(CareerLevels,$H555)=0),", a career level that is not on the ladder","")&amp;IF(AND($R555&lt;&gt;"",COUNTIF(DriverList,$R555)=0),", a driver that is not on the list","")&amp;IF(ABS(N($L555)-(N($M555)+N($N555)+N($O555)+N($P555)))&gt;0.001,", a total that does not match its quarters",""),3,300))</f>
        <v/>
      </c>
    </row>
    <row r="556" customFormat="false" ht="15" hidden="false" customHeight="false" outlineLevel="0" collapsed="false">
      <c r="A556" s="33" t="str">
        <f aca="false">IF($G556="","","Corporate Banking Group")</f>
        <v/>
      </c>
      <c r="B556" s="19"/>
      <c r="C556" s="19"/>
      <c r="D556" s="19"/>
      <c r="E556" s="19"/>
      <c r="F556" s="19"/>
      <c r="G556" s="19"/>
      <c r="H556" s="19"/>
      <c r="I556" s="19"/>
      <c r="J556" s="19"/>
      <c r="K556" s="19"/>
      <c r="L556" s="19"/>
      <c r="M556" s="19"/>
      <c r="N556" s="19"/>
      <c r="O556" s="19"/>
      <c r="P556" s="19"/>
      <c r="Q556" s="19"/>
      <c r="R556" s="19"/>
      <c r="S556" s="19"/>
      <c r="T556" s="34" t="str">
        <f aca="false">IF($R556="","",IFERROR(INDEX(DriverCategory,MATCH($R556,DriverList,0)),"BAU"))</f>
        <v/>
      </c>
      <c r="U556" s="34" t="str">
        <f aca="false">IF($R556="","",IFERROR(INDEX(DriverRank,MATCH($R556,DriverList,0)),99))</f>
        <v/>
      </c>
      <c r="V556" s="35" t="n">
        <f aca="false">IF($H556="",0,IFERROR(INDEX(LevelBasic,MATCH($H556,LevelList,0))+INDEX(LevelHousing,MATCH($H556,LevelList,0))+INDEX(LevelTransport,MATCH($H556,LevelList,0))+INDEX(LevelBasic,MATCH($H556,LevelList,0))*INDEX(LevelBonus,MATCH($H556,LevelList,0))+(INDEX(LevelBasic,MATCH($H556,LevelList,0))+INDEX(LevelHousing,MATCH($H556,LevelList,0)))*GosiSaudi,0))</f>
        <v>0</v>
      </c>
      <c r="W556" s="35" t="n">
        <f aca="false">IFERROR(INDEX(LevelOneOff,MATCH($H556,LevelList,0)),0)</f>
        <v>0</v>
      </c>
      <c r="X556" s="35" t="str">
        <f aca="false">IF($G556="","",$V556*N($L556))</f>
        <v/>
      </c>
      <c r="Y556" s="35" t="str">
        <f aca="false">IF($G556="","",$V556*(N($M556)*1+N($N556)*0.75+N($O556)*0.5+N($P556)*0.25)+$W556*N($L556))</f>
        <v/>
      </c>
      <c r="Z556" s="35" t="str">
        <f aca="false">IF($G556="","",$U556*1000000+ROW())</f>
        <v/>
      </c>
      <c r="AA556" s="36" t="str">
        <f aca="false">IF($G556="","",MID(IF($C556="",", no division","")&amp;IF($E556="",", no unit","")&amp;IF($H556="",", no career level","")&amp;IF(N($L556)&lt;=0,", no quarter split","")&amp;IF($R556="",", no driver","")&amp;IF(AND($H556&lt;&gt;"",COUNTIF(CareerLevels,$H556)=0),", a career level that is not on the ladder","")&amp;IF(AND($R556&lt;&gt;"",COUNTIF(DriverList,$R556)=0),", a driver that is not on the list","")&amp;IF(ABS(N($L556)-(N($M556)+N($N556)+N($O556)+N($P556)))&gt;0.001,", a total that does not match its quarters",""),3,300))</f>
        <v/>
      </c>
    </row>
    <row r="557" customFormat="false" ht="15" hidden="false" customHeight="false" outlineLevel="0" collapsed="false">
      <c r="A557" s="33" t="str">
        <f aca="false">IF($G557="","","Corporate Banking Group")</f>
        <v/>
      </c>
      <c r="B557" s="19"/>
      <c r="C557" s="19"/>
      <c r="D557" s="19"/>
      <c r="E557" s="19"/>
      <c r="F557" s="19"/>
      <c r="G557" s="19"/>
      <c r="H557" s="19"/>
      <c r="I557" s="19"/>
      <c r="J557" s="19"/>
      <c r="K557" s="19"/>
      <c r="L557" s="19"/>
      <c r="M557" s="19"/>
      <c r="N557" s="19"/>
      <c r="O557" s="19"/>
      <c r="P557" s="19"/>
      <c r="Q557" s="19"/>
      <c r="R557" s="19"/>
      <c r="S557" s="19"/>
      <c r="T557" s="34" t="str">
        <f aca="false">IF($R557="","",IFERROR(INDEX(DriverCategory,MATCH($R557,DriverList,0)),"BAU"))</f>
        <v/>
      </c>
      <c r="U557" s="34" t="str">
        <f aca="false">IF($R557="","",IFERROR(INDEX(DriverRank,MATCH($R557,DriverList,0)),99))</f>
        <v/>
      </c>
      <c r="V557" s="35" t="n">
        <f aca="false">IF($H557="",0,IFERROR(INDEX(LevelBasic,MATCH($H557,LevelList,0))+INDEX(LevelHousing,MATCH($H557,LevelList,0))+INDEX(LevelTransport,MATCH($H557,LevelList,0))+INDEX(LevelBasic,MATCH($H557,LevelList,0))*INDEX(LevelBonus,MATCH($H557,LevelList,0))+(INDEX(LevelBasic,MATCH($H557,LevelList,0))+INDEX(LevelHousing,MATCH($H557,LevelList,0)))*GosiSaudi,0))</f>
        <v>0</v>
      </c>
      <c r="W557" s="35" t="n">
        <f aca="false">IFERROR(INDEX(LevelOneOff,MATCH($H557,LevelList,0)),0)</f>
        <v>0</v>
      </c>
      <c r="X557" s="35" t="str">
        <f aca="false">IF($G557="","",$V557*N($L557))</f>
        <v/>
      </c>
      <c r="Y557" s="35" t="str">
        <f aca="false">IF($G557="","",$V557*(N($M557)*1+N($N557)*0.75+N($O557)*0.5+N($P557)*0.25)+$W557*N($L557))</f>
        <v/>
      </c>
      <c r="Z557" s="35" t="str">
        <f aca="false">IF($G557="","",$U557*1000000+ROW())</f>
        <v/>
      </c>
      <c r="AA557" s="36" t="str">
        <f aca="false">IF($G557="","",MID(IF($C557="",", no division","")&amp;IF($E557="",", no unit","")&amp;IF($H557="",", no career level","")&amp;IF(N($L557)&lt;=0,", no quarter split","")&amp;IF($R557="",", no driver","")&amp;IF(AND($H557&lt;&gt;"",COUNTIF(CareerLevels,$H557)=0),", a career level that is not on the ladder","")&amp;IF(AND($R557&lt;&gt;"",COUNTIF(DriverList,$R557)=0),", a driver that is not on the list","")&amp;IF(ABS(N($L557)-(N($M557)+N($N557)+N($O557)+N($P557)))&gt;0.001,", a total that does not match its quarters",""),3,300))</f>
        <v/>
      </c>
    </row>
    <row r="558" customFormat="false" ht="15" hidden="false" customHeight="false" outlineLevel="0" collapsed="false">
      <c r="A558" s="33" t="str">
        <f aca="false">IF($G558="","","Corporate Banking Group")</f>
        <v/>
      </c>
      <c r="B558" s="19"/>
      <c r="C558" s="19"/>
      <c r="D558" s="19"/>
      <c r="E558" s="19"/>
      <c r="F558" s="19"/>
      <c r="G558" s="19"/>
      <c r="H558" s="19"/>
      <c r="I558" s="19"/>
      <c r="J558" s="19"/>
      <c r="K558" s="19"/>
      <c r="L558" s="19"/>
      <c r="M558" s="19"/>
      <c r="N558" s="19"/>
      <c r="O558" s="19"/>
      <c r="P558" s="19"/>
      <c r="Q558" s="19"/>
      <c r="R558" s="19"/>
      <c r="S558" s="19"/>
      <c r="T558" s="34" t="str">
        <f aca="false">IF($R558="","",IFERROR(INDEX(DriverCategory,MATCH($R558,DriverList,0)),"BAU"))</f>
        <v/>
      </c>
      <c r="U558" s="34" t="str">
        <f aca="false">IF($R558="","",IFERROR(INDEX(DriverRank,MATCH($R558,DriverList,0)),99))</f>
        <v/>
      </c>
      <c r="V558" s="35" t="n">
        <f aca="false">IF($H558="",0,IFERROR(INDEX(LevelBasic,MATCH($H558,LevelList,0))+INDEX(LevelHousing,MATCH($H558,LevelList,0))+INDEX(LevelTransport,MATCH($H558,LevelList,0))+INDEX(LevelBasic,MATCH($H558,LevelList,0))*INDEX(LevelBonus,MATCH($H558,LevelList,0))+(INDEX(LevelBasic,MATCH($H558,LevelList,0))+INDEX(LevelHousing,MATCH($H558,LevelList,0)))*GosiSaudi,0))</f>
        <v>0</v>
      </c>
      <c r="W558" s="35" t="n">
        <f aca="false">IFERROR(INDEX(LevelOneOff,MATCH($H558,LevelList,0)),0)</f>
        <v>0</v>
      </c>
      <c r="X558" s="35" t="str">
        <f aca="false">IF($G558="","",$V558*N($L558))</f>
        <v/>
      </c>
      <c r="Y558" s="35" t="str">
        <f aca="false">IF($G558="","",$V558*(N($M558)*1+N($N558)*0.75+N($O558)*0.5+N($P558)*0.25)+$W558*N($L558))</f>
        <v/>
      </c>
      <c r="Z558" s="35" t="str">
        <f aca="false">IF($G558="","",$U558*1000000+ROW())</f>
        <v/>
      </c>
      <c r="AA558" s="36" t="str">
        <f aca="false">IF($G558="","",MID(IF($C558="",", no division","")&amp;IF($E558="",", no unit","")&amp;IF($H558="",", no career level","")&amp;IF(N($L558)&lt;=0,", no quarter split","")&amp;IF($R558="",", no driver","")&amp;IF(AND($H558&lt;&gt;"",COUNTIF(CareerLevels,$H558)=0),", a career level that is not on the ladder","")&amp;IF(AND($R558&lt;&gt;"",COUNTIF(DriverList,$R558)=0),", a driver that is not on the list","")&amp;IF(ABS(N($L558)-(N($M558)+N($N558)+N($O558)+N($P558)))&gt;0.001,", a total that does not match its quarters",""),3,300))</f>
        <v/>
      </c>
    </row>
    <row r="559" customFormat="false" ht="15" hidden="false" customHeight="false" outlineLevel="0" collapsed="false">
      <c r="A559" s="33" t="str">
        <f aca="false">IF($G559="","","Corporate Banking Group")</f>
        <v/>
      </c>
      <c r="B559" s="19"/>
      <c r="C559" s="19"/>
      <c r="D559" s="19"/>
      <c r="E559" s="19"/>
      <c r="F559" s="19"/>
      <c r="G559" s="19"/>
      <c r="H559" s="19"/>
      <c r="I559" s="19"/>
      <c r="J559" s="19"/>
      <c r="K559" s="19"/>
      <c r="L559" s="19"/>
      <c r="M559" s="19"/>
      <c r="N559" s="19"/>
      <c r="O559" s="19"/>
      <c r="P559" s="19"/>
      <c r="Q559" s="19"/>
      <c r="R559" s="19"/>
      <c r="S559" s="19"/>
      <c r="T559" s="34" t="str">
        <f aca="false">IF($R559="","",IFERROR(INDEX(DriverCategory,MATCH($R559,DriverList,0)),"BAU"))</f>
        <v/>
      </c>
      <c r="U559" s="34" t="str">
        <f aca="false">IF($R559="","",IFERROR(INDEX(DriverRank,MATCH($R559,DriverList,0)),99))</f>
        <v/>
      </c>
      <c r="V559" s="35" t="n">
        <f aca="false">IF($H559="",0,IFERROR(INDEX(LevelBasic,MATCH($H559,LevelList,0))+INDEX(LevelHousing,MATCH($H559,LevelList,0))+INDEX(LevelTransport,MATCH($H559,LevelList,0))+INDEX(LevelBasic,MATCH($H559,LevelList,0))*INDEX(LevelBonus,MATCH($H559,LevelList,0))+(INDEX(LevelBasic,MATCH($H559,LevelList,0))+INDEX(LevelHousing,MATCH($H559,LevelList,0)))*GosiSaudi,0))</f>
        <v>0</v>
      </c>
      <c r="W559" s="35" t="n">
        <f aca="false">IFERROR(INDEX(LevelOneOff,MATCH($H559,LevelList,0)),0)</f>
        <v>0</v>
      </c>
      <c r="X559" s="35" t="str">
        <f aca="false">IF($G559="","",$V559*N($L559))</f>
        <v/>
      </c>
      <c r="Y559" s="35" t="str">
        <f aca="false">IF($G559="","",$V559*(N($M559)*1+N($N559)*0.75+N($O559)*0.5+N($P559)*0.25)+$W559*N($L559))</f>
        <v/>
      </c>
      <c r="Z559" s="35" t="str">
        <f aca="false">IF($G559="","",$U559*1000000+ROW())</f>
        <v/>
      </c>
      <c r="AA559" s="36" t="str">
        <f aca="false">IF($G559="","",MID(IF($C559="",", no division","")&amp;IF($E559="",", no unit","")&amp;IF($H559="",", no career level","")&amp;IF(N($L559)&lt;=0,", no quarter split","")&amp;IF($R559="",", no driver","")&amp;IF(AND($H559&lt;&gt;"",COUNTIF(CareerLevels,$H559)=0),", a career level that is not on the ladder","")&amp;IF(AND($R559&lt;&gt;"",COUNTIF(DriverList,$R559)=0),", a driver that is not on the list","")&amp;IF(ABS(N($L559)-(N($M559)+N($N559)+N($O559)+N($P559)))&gt;0.001,", a total that does not match its quarters",""),3,300))</f>
        <v/>
      </c>
    </row>
    <row r="560" customFormat="false" ht="15" hidden="false" customHeight="false" outlineLevel="0" collapsed="false">
      <c r="A560" s="33" t="str">
        <f aca="false">IF($G560="","","Corporate Banking Group")</f>
        <v/>
      </c>
      <c r="B560" s="19"/>
      <c r="C560" s="19"/>
      <c r="D560" s="19"/>
      <c r="E560" s="19"/>
      <c r="F560" s="19"/>
      <c r="G560" s="19"/>
      <c r="H560" s="19"/>
      <c r="I560" s="19"/>
      <c r="J560" s="19"/>
      <c r="K560" s="19"/>
      <c r="L560" s="19"/>
      <c r="M560" s="19"/>
      <c r="N560" s="19"/>
      <c r="O560" s="19"/>
      <c r="P560" s="19"/>
      <c r="Q560" s="19"/>
      <c r="R560" s="19"/>
      <c r="S560" s="19"/>
      <c r="T560" s="34" t="str">
        <f aca="false">IF($R560="","",IFERROR(INDEX(DriverCategory,MATCH($R560,DriverList,0)),"BAU"))</f>
        <v/>
      </c>
      <c r="U560" s="34" t="str">
        <f aca="false">IF($R560="","",IFERROR(INDEX(DriverRank,MATCH($R560,DriverList,0)),99))</f>
        <v/>
      </c>
      <c r="V560" s="35" t="n">
        <f aca="false">IF($H560="",0,IFERROR(INDEX(LevelBasic,MATCH($H560,LevelList,0))+INDEX(LevelHousing,MATCH($H560,LevelList,0))+INDEX(LevelTransport,MATCH($H560,LevelList,0))+INDEX(LevelBasic,MATCH($H560,LevelList,0))*INDEX(LevelBonus,MATCH($H560,LevelList,0))+(INDEX(LevelBasic,MATCH($H560,LevelList,0))+INDEX(LevelHousing,MATCH($H560,LevelList,0)))*GosiSaudi,0))</f>
        <v>0</v>
      </c>
      <c r="W560" s="35" t="n">
        <f aca="false">IFERROR(INDEX(LevelOneOff,MATCH($H560,LevelList,0)),0)</f>
        <v>0</v>
      </c>
      <c r="X560" s="35" t="str">
        <f aca="false">IF($G560="","",$V560*N($L560))</f>
        <v/>
      </c>
      <c r="Y560" s="35" t="str">
        <f aca="false">IF($G560="","",$V560*(N($M560)*1+N($N560)*0.75+N($O560)*0.5+N($P560)*0.25)+$W560*N($L560))</f>
        <v/>
      </c>
      <c r="Z560" s="35" t="str">
        <f aca="false">IF($G560="","",$U560*1000000+ROW())</f>
        <v/>
      </c>
      <c r="AA560" s="36" t="str">
        <f aca="false">IF($G560="","",MID(IF($C560="",", no division","")&amp;IF($E560="",", no unit","")&amp;IF($H560="",", no career level","")&amp;IF(N($L560)&lt;=0,", no quarter split","")&amp;IF($R560="",", no driver","")&amp;IF(AND($H560&lt;&gt;"",COUNTIF(CareerLevels,$H560)=0),", a career level that is not on the ladder","")&amp;IF(AND($R560&lt;&gt;"",COUNTIF(DriverList,$R560)=0),", a driver that is not on the list","")&amp;IF(ABS(N($L560)-(N($M560)+N($N560)+N($O560)+N($P560)))&gt;0.001,", a total that does not match its quarters",""),3,300))</f>
        <v/>
      </c>
    </row>
    <row r="561" customFormat="false" ht="15" hidden="false" customHeight="false" outlineLevel="0" collapsed="false">
      <c r="A561" s="33" t="str">
        <f aca="false">IF($G561="","","Corporate Banking Group")</f>
        <v/>
      </c>
      <c r="B561" s="19"/>
      <c r="C561" s="19"/>
      <c r="D561" s="19"/>
      <c r="E561" s="19"/>
      <c r="F561" s="19"/>
      <c r="G561" s="19"/>
      <c r="H561" s="19"/>
      <c r="I561" s="19"/>
      <c r="J561" s="19"/>
      <c r="K561" s="19"/>
      <c r="L561" s="19"/>
      <c r="M561" s="19"/>
      <c r="N561" s="19"/>
      <c r="O561" s="19"/>
      <c r="P561" s="19"/>
      <c r="Q561" s="19"/>
      <c r="R561" s="19"/>
      <c r="S561" s="19"/>
      <c r="T561" s="34" t="str">
        <f aca="false">IF($R561="","",IFERROR(INDEX(DriverCategory,MATCH($R561,DriverList,0)),"BAU"))</f>
        <v/>
      </c>
      <c r="U561" s="34" t="str">
        <f aca="false">IF($R561="","",IFERROR(INDEX(DriverRank,MATCH($R561,DriverList,0)),99))</f>
        <v/>
      </c>
      <c r="V561" s="35" t="n">
        <f aca="false">IF($H561="",0,IFERROR(INDEX(LevelBasic,MATCH($H561,LevelList,0))+INDEX(LevelHousing,MATCH($H561,LevelList,0))+INDEX(LevelTransport,MATCH($H561,LevelList,0))+INDEX(LevelBasic,MATCH($H561,LevelList,0))*INDEX(LevelBonus,MATCH($H561,LevelList,0))+(INDEX(LevelBasic,MATCH($H561,LevelList,0))+INDEX(LevelHousing,MATCH($H561,LevelList,0)))*GosiSaudi,0))</f>
        <v>0</v>
      </c>
      <c r="W561" s="35" t="n">
        <f aca="false">IFERROR(INDEX(LevelOneOff,MATCH($H561,LevelList,0)),0)</f>
        <v>0</v>
      </c>
      <c r="X561" s="35" t="str">
        <f aca="false">IF($G561="","",$V561*N($L561))</f>
        <v/>
      </c>
      <c r="Y561" s="35" t="str">
        <f aca="false">IF($G561="","",$V561*(N($M561)*1+N($N561)*0.75+N($O561)*0.5+N($P561)*0.25)+$W561*N($L561))</f>
        <v/>
      </c>
      <c r="Z561" s="35" t="str">
        <f aca="false">IF($G561="","",$U561*1000000+ROW())</f>
        <v/>
      </c>
      <c r="AA561" s="36" t="str">
        <f aca="false">IF($G561="","",MID(IF($C561="",", no division","")&amp;IF($E561="",", no unit","")&amp;IF($H561="",", no career level","")&amp;IF(N($L561)&lt;=0,", no quarter split","")&amp;IF($R561="",", no driver","")&amp;IF(AND($H561&lt;&gt;"",COUNTIF(CareerLevels,$H561)=0),", a career level that is not on the ladder","")&amp;IF(AND($R561&lt;&gt;"",COUNTIF(DriverList,$R561)=0),", a driver that is not on the list","")&amp;IF(ABS(N($L561)-(N($M561)+N($N561)+N($O561)+N($P561)))&gt;0.001,", a total that does not match its quarters",""),3,300))</f>
        <v/>
      </c>
    </row>
    <row r="562" customFormat="false" ht="15" hidden="false" customHeight="false" outlineLevel="0" collapsed="false">
      <c r="A562" s="33" t="str">
        <f aca="false">IF($G562="","","Corporate Banking Group")</f>
        <v/>
      </c>
      <c r="B562" s="19"/>
      <c r="C562" s="19"/>
      <c r="D562" s="19"/>
      <c r="E562" s="19"/>
      <c r="F562" s="19"/>
      <c r="G562" s="19"/>
      <c r="H562" s="19"/>
      <c r="I562" s="19"/>
      <c r="J562" s="19"/>
      <c r="K562" s="19"/>
      <c r="L562" s="19"/>
      <c r="M562" s="19"/>
      <c r="N562" s="19"/>
      <c r="O562" s="19"/>
      <c r="P562" s="19"/>
      <c r="Q562" s="19"/>
      <c r="R562" s="19"/>
      <c r="S562" s="19"/>
      <c r="T562" s="34" t="str">
        <f aca="false">IF($R562="","",IFERROR(INDEX(DriverCategory,MATCH($R562,DriverList,0)),"BAU"))</f>
        <v/>
      </c>
      <c r="U562" s="34" t="str">
        <f aca="false">IF($R562="","",IFERROR(INDEX(DriverRank,MATCH($R562,DriverList,0)),99))</f>
        <v/>
      </c>
      <c r="V562" s="35" t="n">
        <f aca="false">IF($H562="",0,IFERROR(INDEX(LevelBasic,MATCH($H562,LevelList,0))+INDEX(LevelHousing,MATCH($H562,LevelList,0))+INDEX(LevelTransport,MATCH($H562,LevelList,0))+INDEX(LevelBasic,MATCH($H562,LevelList,0))*INDEX(LevelBonus,MATCH($H562,LevelList,0))+(INDEX(LevelBasic,MATCH($H562,LevelList,0))+INDEX(LevelHousing,MATCH($H562,LevelList,0)))*GosiSaudi,0))</f>
        <v>0</v>
      </c>
      <c r="W562" s="35" t="n">
        <f aca="false">IFERROR(INDEX(LevelOneOff,MATCH($H562,LevelList,0)),0)</f>
        <v>0</v>
      </c>
      <c r="X562" s="35" t="str">
        <f aca="false">IF($G562="","",$V562*N($L562))</f>
        <v/>
      </c>
      <c r="Y562" s="35" t="str">
        <f aca="false">IF($G562="","",$V562*(N($M562)*1+N($N562)*0.75+N($O562)*0.5+N($P562)*0.25)+$W562*N($L562))</f>
        <v/>
      </c>
      <c r="Z562" s="35" t="str">
        <f aca="false">IF($G562="","",$U562*1000000+ROW())</f>
        <v/>
      </c>
      <c r="AA562" s="36" t="str">
        <f aca="false">IF($G562="","",MID(IF($C562="",", no division","")&amp;IF($E562="",", no unit","")&amp;IF($H562="",", no career level","")&amp;IF(N($L562)&lt;=0,", no quarter split","")&amp;IF($R562="",", no driver","")&amp;IF(AND($H562&lt;&gt;"",COUNTIF(CareerLevels,$H562)=0),", a career level that is not on the ladder","")&amp;IF(AND($R562&lt;&gt;"",COUNTIF(DriverList,$R562)=0),", a driver that is not on the list","")&amp;IF(ABS(N($L562)-(N($M562)+N($N562)+N($O562)+N($P562)))&gt;0.001,", a total that does not match its quarters",""),3,300))</f>
        <v/>
      </c>
    </row>
    <row r="563" customFormat="false" ht="15" hidden="false" customHeight="false" outlineLevel="0" collapsed="false">
      <c r="A563" s="33" t="str">
        <f aca="false">IF($G563="","","Corporate Banking Group")</f>
        <v/>
      </c>
      <c r="B563" s="19"/>
      <c r="C563" s="19"/>
      <c r="D563" s="19"/>
      <c r="E563" s="19"/>
      <c r="F563" s="19"/>
      <c r="G563" s="19"/>
      <c r="H563" s="19"/>
      <c r="I563" s="19"/>
      <c r="J563" s="19"/>
      <c r="K563" s="19"/>
      <c r="L563" s="19"/>
      <c r="M563" s="19"/>
      <c r="N563" s="19"/>
      <c r="O563" s="19"/>
      <c r="P563" s="19"/>
      <c r="Q563" s="19"/>
      <c r="R563" s="19"/>
      <c r="S563" s="19"/>
      <c r="T563" s="34" t="str">
        <f aca="false">IF($R563="","",IFERROR(INDEX(DriverCategory,MATCH($R563,DriverList,0)),"BAU"))</f>
        <v/>
      </c>
      <c r="U563" s="34" t="str">
        <f aca="false">IF($R563="","",IFERROR(INDEX(DriverRank,MATCH($R563,DriverList,0)),99))</f>
        <v/>
      </c>
      <c r="V563" s="35" t="n">
        <f aca="false">IF($H563="",0,IFERROR(INDEX(LevelBasic,MATCH($H563,LevelList,0))+INDEX(LevelHousing,MATCH($H563,LevelList,0))+INDEX(LevelTransport,MATCH($H563,LevelList,0))+INDEX(LevelBasic,MATCH($H563,LevelList,0))*INDEX(LevelBonus,MATCH($H563,LevelList,0))+(INDEX(LevelBasic,MATCH($H563,LevelList,0))+INDEX(LevelHousing,MATCH($H563,LevelList,0)))*GosiSaudi,0))</f>
        <v>0</v>
      </c>
      <c r="W563" s="35" t="n">
        <f aca="false">IFERROR(INDEX(LevelOneOff,MATCH($H563,LevelList,0)),0)</f>
        <v>0</v>
      </c>
      <c r="X563" s="35" t="str">
        <f aca="false">IF($G563="","",$V563*N($L563))</f>
        <v/>
      </c>
      <c r="Y563" s="35" t="str">
        <f aca="false">IF($G563="","",$V563*(N($M563)*1+N($N563)*0.75+N($O563)*0.5+N($P563)*0.25)+$W563*N($L563))</f>
        <v/>
      </c>
      <c r="Z563" s="35" t="str">
        <f aca="false">IF($G563="","",$U563*1000000+ROW())</f>
        <v/>
      </c>
      <c r="AA563" s="36" t="str">
        <f aca="false">IF($G563="","",MID(IF($C563="",", no division","")&amp;IF($E563="",", no unit","")&amp;IF($H563="",", no career level","")&amp;IF(N($L563)&lt;=0,", no quarter split","")&amp;IF($R563="",", no driver","")&amp;IF(AND($H563&lt;&gt;"",COUNTIF(CareerLevels,$H563)=0),", a career level that is not on the ladder","")&amp;IF(AND($R563&lt;&gt;"",COUNTIF(DriverList,$R563)=0),", a driver that is not on the list","")&amp;IF(ABS(N($L563)-(N($M563)+N($N563)+N($O563)+N($P563)))&gt;0.001,", a total that does not match its quarters",""),3,300))</f>
        <v/>
      </c>
    </row>
    <row r="564" customFormat="false" ht="15" hidden="false" customHeight="false" outlineLevel="0" collapsed="false">
      <c r="A564" s="33" t="str">
        <f aca="false">IF($G564="","","Corporate Banking Group")</f>
        <v/>
      </c>
      <c r="B564" s="19"/>
      <c r="C564" s="19"/>
      <c r="D564" s="19"/>
      <c r="E564" s="19"/>
      <c r="F564" s="19"/>
      <c r="G564" s="19"/>
      <c r="H564" s="19"/>
      <c r="I564" s="19"/>
      <c r="J564" s="19"/>
      <c r="K564" s="19"/>
      <c r="L564" s="19"/>
      <c r="M564" s="19"/>
      <c r="N564" s="19"/>
      <c r="O564" s="19"/>
      <c r="P564" s="19"/>
      <c r="Q564" s="19"/>
      <c r="R564" s="19"/>
      <c r="S564" s="19"/>
      <c r="T564" s="34" t="str">
        <f aca="false">IF($R564="","",IFERROR(INDEX(DriverCategory,MATCH($R564,DriverList,0)),"BAU"))</f>
        <v/>
      </c>
      <c r="U564" s="34" t="str">
        <f aca="false">IF($R564="","",IFERROR(INDEX(DriverRank,MATCH($R564,DriverList,0)),99))</f>
        <v/>
      </c>
      <c r="V564" s="35" t="n">
        <f aca="false">IF($H564="",0,IFERROR(INDEX(LevelBasic,MATCH($H564,LevelList,0))+INDEX(LevelHousing,MATCH($H564,LevelList,0))+INDEX(LevelTransport,MATCH($H564,LevelList,0))+INDEX(LevelBasic,MATCH($H564,LevelList,0))*INDEX(LevelBonus,MATCH($H564,LevelList,0))+(INDEX(LevelBasic,MATCH($H564,LevelList,0))+INDEX(LevelHousing,MATCH($H564,LevelList,0)))*GosiSaudi,0))</f>
        <v>0</v>
      </c>
      <c r="W564" s="35" t="n">
        <f aca="false">IFERROR(INDEX(LevelOneOff,MATCH($H564,LevelList,0)),0)</f>
        <v>0</v>
      </c>
      <c r="X564" s="35" t="str">
        <f aca="false">IF($G564="","",$V564*N($L564))</f>
        <v/>
      </c>
      <c r="Y564" s="35" t="str">
        <f aca="false">IF($G564="","",$V564*(N($M564)*1+N($N564)*0.75+N($O564)*0.5+N($P564)*0.25)+$W564*N($L564))</f>
        <v/>
      </c>
      <c r="Z564" s="35" t="str">
        <f aca="false">IF($G564="","",$U564*1000000+ROW())</f>
        <v/>
      </c>
      <c r="AA564" s="36" t="str">
        <f aca="false">IF($G564="","",MID(IF($C564="",", no division","")&amp;IF($E564="",", no unit","")&amp;IF($H564="",", no career level","")&amp;IF(N($L564)&lt;=0,", no quarter split","")&amp;IF($R564="",", no driver","")&amp;IF(AND($H564&lt;&gt;"",COUNTIF(CareerLevels,$H564)=0),", a career level that is not on the ladder","")&amp;IF(AND($R564&lt;&gt;"",COUNTIF(DriverList,$R564)=0),", a driver that is not on the list","")&amp;IF(ABS(N($L564)-(N($M564)+N($N564)+N($O564)+N($P564)))&gt;0.001,", a total that does not match its quarters",""),3,300))</f>
        <v/>
      </c>
    </row>
    <row r="565" customFormat="false" ht="15" hidden="false" customHeight="false" outlineLevel="0" collapsed="false">
      <c r="A565" s="33" t="str">
        <f aca="false">IF($G565="","","Corporate Banking Group")</f>
        <v/>
      </c>
      <c r="B565" s="19"/>
      <c r="C565" s="19"/>
      <c r="D565" s="19"/>
      <c r="E565" s="19"/>
      <c r="F565" s="19"/>
      <c r="G565" s="19"/>
      <c r="H565" s="19"/>
      <c r="I565" s="19"/>
      <c r="J565" s="19"/>
      <c r="K565" s="19"/>
      <c r="L565" s="19"/>
      <c r="M565" s="19"/>
      <c r="N565" s="19"/>
      <c r="O565" s="19"/>
      <c r="P565" s="19"/>
      <c r="Q565" s="19"/>
      <c r="R565" s="19"/>
      <c r="S565" s="19"/>
      <c r="T565" s="34" t="str">
        <f aca="false">IF($R565="","",IFERROR(INDEX(DriverCategory,MATCH($R565,DriverList,0)),"BAU"))</f>
        <v/>
      </c>
      <c r="U565" s="34" t="str">
        <f aca="false">IF($R565="","",IFERROR(INDEX(DriverRank,MATCH($R565,DriverList,0)),99))</f>
        <v/>
      </c>
      <c r="V565" s="35" t="n">
        <f aca="false">IF($H565="",0,IFERROR(INDEX(LevelBasic,MATCH($H565,LevelList,0))+INDEX(LevelHousing,MATCH($H565,LevelList,0))+INDEX(LevelTransport,MATCH($H565,LevelList,0))+INDEX(LevelBasic,MATCH($H565,LevelList,0))*INDEX(LevelBonus,MATCH($H565,LevelList,0))+(INDEX(LevelBasic,MATCH($H565,LevelList,0))+INDEX(LevelHousing,MATCH($H565,LevelList,0)))*GosiSaudi,0))</f>
        <v>0</v>
      </c>
      <c r="W565" s="35" t="n">
        <f aca="false">IFERROR(INDEX(LevelOneOff,MATCH($H565,LevelList,0)),0)</f>
        <v>0</v>
      </c>
      <c r="X565" s="35" t="str">
        <f aca="false">IF($G565="","",$V565*N($L565))</f>
        <v/>
      </c>
      <c r="Y565" s="35" t="str">
        <f aca="false">IF($G565="","",$V565*(N($M565)*1+N($N565)*0.75+N($O565)*0.5+N($P565)*0.25)+$W565*N($L565))</f>
        <v/>
      </c>
      <c r="Z565" s="35" t="str">
        <f aca="false">IF($G565="","",$U565*1000000+ROW())</f>
        <v/>
      </c>
      <c r="AA565" s="36" t="str">
        <f aca="false">IF($G565="","",MID(IF($C565="",", no division","")&amp;IF($E565="",", no unit","")&amp;IF($H565="",", no career level","")&amp;IF(N($L565)&lt;=0,", no quarter split","")&amp;IF($R565="",", no driver","")&amp;IF(AND($H565&lt;&gt;"",COUNTIF(CareerLevels,$H565)=0),", a career level that is not on the ladder","")&amp;IF(AND($R565&lt;&gt;"",COUNTIF(DriverList,$R565)=0),", a driver that is not on the list","")&amp;IF(ABS(N($L565)-(N($M565)+N($N565)+N($O565)+N($P565)))&gt;0.001,", a total that does not match its quarters",""),3,300))</f>
        <v/>
      </c>
    </row>
    <row r="566" customFormat="false" ht="15" hidden="false" customHeight="false" outlineLevel="0" collapsed="false">
      <c r="A566" s="33" t="str">
        <f aca="false">IF($G566="","","Corporate Banking Group")</f>
        <v/>
      </c>
      <c r="B566" s="19"/>
      <c r="C566" s="19"/>
      <c r="D566" s="19"/>
      <c r="E566" s="19"/>
      <c r="F566" s="19"/>
      <c r="G566" s="19"/>
      <c r="H566" s="19"/>
      <c r="I566" s="19"/>
      <c r="J566" s="19"/>
      <c r="K566" s="19"/>
      <c r="L566" s="19"/>
      <c r="M566" s="19"/>
      <c r="N566" s="19"/>
      <c r="O566" s="19"/>
      <c r="P566" s="19"/>
      <c r="Q566" s="19"/>
      <c r="R566" s="19"/>
      <c r="S566" s="19"/>
      <c r="T566" s="34" t="str">
        <f aca="false">IF($R566="","",IFERROR(INDEX(DriverCategory,MATCH($R566,DriverList,0)),"BAU"))</f>
        <v/>
      </c>
      <c r="U566" s="34" t="str">
        <f aca="false">IF($R566="","",IFERROR(INDEX(DriverRank,MATCH($R566,DriverList,0)),99))</f>
        <v/>
      </c>
      <c r="V566" s="35" t="n">
        <f aca="false">IF($H566="",0,IFERROR(INDEX(LevelBasic,MATCH($H566,LevelList,0))+INDEX(LevelHousing,MATCH($H566,LevelList,0))+INDEX(LevelTransport,MATCH($H566,LevelList,0))+INDEX(LevelBasic,MATCH($H566,LevelList,0))*INDEX(LevelBonus,MATCH($H566,LevelList,0))+(INDEX(LevelBasic,MATCH($H566,LevelList,0))+INDEX(LevelHousing,MATCH($H566,LevelList,0)))*GosiSaudi,0))</f>
        <v>0</v>
      </c>
      <c r="W566" s="35" t="n">
        <f aca="false">IFERROR(INDEX(LevelOneOff,MATCH($H566,LevelList,0)),0)</f>
        <v>0</v>
      </c>
      <c r="X566" s="35" t="str">
        <f aca="false">IF($G566="","",$V566*N($L566))</f>
        <v/>
      </c>
      <c r="Y566" s="35" t="str">
        <f aca="false">IF($G566="","",$V566*(N($M566)*1+N($N566)*0.75+N($O566)*0.5+N($P566)*0.25)+$W566*N($L566))</f>
        <v/>
      </c>
      <c r="Z566" s="35" t="str">
        <f aca="false">IF($G566="","",$U566*1000000+ROW())</f>
        <v/>
      </c>
      <c r="AA566" s="36" t="str">
        <f aca="false">IF($G566="","",MID(IF($C566="",", no division","")&amp;IF($E566="",", no unit","")&amp;IF($H566="",", no career level","")&amp;IF(N($L566)&lt;=0,", no quarter split","")&amp;IF($R566="",", no driver","")&amp;IF(AND($H566&lt;&gt;"",COUNTIF(CareerLevels,$H566)=0),", a career level that is not on the ladder","")&amp;IF(AND($R566&lt;&gt;"",COUNTIF(DriverList,$R566)=0),", a driver that is not on the list","")&amp;IF(ABS(N($L566)-(N($M566)+N($N566)+N($O566)+N($P566)))&gt;0.001,", a total that does not match its quarters",""),3,300))</f>
        <v/>
      </c>
    </row>
    <row r="567" customFormat="false" ht="15" hidden="false" customHeight="false" outlineLevel="0" collapsed="false">
      <c r="A567" s="33" t="str">
        <f aca="false">IF($G567="","","Corporate Banking Group")</f>
        <v/>
      </c>
      <c r="B567" s="19"/>
      <c r="C567" s="19"/>
      <c r="D567" s="19"/>
      <c r="E567" s="19"/>
      <c r="F567" s="19"/>
      <c r="G567" s="19"/>
      <c r="H567" s="19"/>
      <c r="I567" s="19"/>
      <c r="J567" s="19"/>
      <c r="K567" s="19"/>
      <c r="L567" s="19"/>
      <c r="M567" s="19"/>
      <c r="N567" s="19"/>
      <c r="O567" s="19"/>
      <c r="P567" s="19"/>
      <c r="Q567" s="19"/>
      <c r="R567" s="19"/>
      <c r="S567" s="19"/>
      <c r="T567" s="34" t="str">
        <f aca="false">IF($R567="","",IFERROR(INDEX(DriverCategory,MATCH($R567,DriverList,0)),"BAU"))</f>
        <v/>
      </c>
      <c r="U567" s="34" t="str">
        <f aca="false">IF($R567="","",IFERROR(INDEX(DriverRank,MATCH($R567,DriverList,0)),99))</f>
        <v/>
      </c>
      <c r="V567" s="35" t="n">
        <f aca="false">IF($H567="",0,IFERROR(INDEX(LevelBasic,MATCH($H567,LevelList,0))+INDEX(LevelHousing,MATCH($H567,LevelList,0))+INDEX(LevelTransport,MATCH($H567,LevelList,0))+INDEX(LevelBasic,MATCH($H567,LevelList,0))*INDEX(LevelBonus,MATCH($H567,LevelList,0))+(INDEX(LevelBasic,MATCH($H567,LevelList,0))+INDEX(LevelHousing,MATCH($H567,LevelList,0)))*GosiSaudi,0))</f>
        <v>0</v>
      </c>
      <c r="W567" s="35" t="n">
        <f aca="false">IFERROR(INDEX(LevelOneOff,MATCH($H567,LevelList,0)),0)</f>
        <v>0</v>
      </c>
      <c r="X567" s="35" t="str">
        <f aca="false">IF($G567="","",$V567*N($L567))</f>
        <v/>
      </c>
      <c r="Y567" s="35" t="str">
        <f aca="false">IF($G567="","",$V567*(N($M567)*1+N($N567)*0.75+N($O567)*0.5+N($P567)*0.25)+$W567*N($L567))</f>
        <v/>
      </c>
      <c r="Z567" s="35" t="str">
        <f aca="false">IF($G567="","",$U567*1000000+ROW())</f>
        <v/>
      </c>
      <c r="AA567" s="36" t="str">
        <f aca="false">IF($G567="","",MID(IF($C567="",", no division","")&amp;IF($E567="",", no unit","")&amp;IF($H567="",", no career level","")&amp;IF(N($L567)&lt;=0,", no quarter split","")&amp;IF($R567="",", no driver","")&amp;IF(AND($H567&lt;&gt;"",COUNTIF(CareerLevels,$H567)=0),", a career level that is not on the ladder","")&amp;IF(AND($R567&lt;&gt;"",COUNTIF(DriverList,$R567)=0),", a driver that is not on the list","")&amp;IF(ABS(N($L567)-(N($M567)+N($N567)+N($O567)+N($P567)))&gt;0.001,", a total that does not match its quarters",""),3,300))</f>
        <v/>
      </c>
    </row>
    <row r="568" customFormat="false" ht="15" hidden="false" customHeight="false" outlineLevel="0" collapsed="false">
      <c r="A568" s="33" t="str">
        <f aca="false">IF($G568="","","Corporate Banking Group")</f>
        <v/>
      </c>
      <c r="B568" s="19"/>
      <c r="C568" s="19"/>
      <c r="D568" s="19"/>
      <c r="E568" s="19"/>
      <c r="F568" s="19"/>
      <c r="G568" s="19"/>
      <c r="H568" s="19"/>
      <c r="I568" s="19"/>
      <c r="J568" s="19"/>
      <c r="K568" s="19"/>
      <c r="L568" s="19"/>
      <c r="M568" s="19"/>
      <c r="N568" s="19"/>
      <c r="O568" s="19"/>
      <c r="P568" s="19"/>
      <c r="Q568" s="19"/>
      <c r="R568" s="19"/>
      <c r="S568" s="19"/>
      <c r="T568" s="34" t="str">
        <f aca="false">IF($R568="","",IFERROR(INDEX(DriverCategory,MATCH($R568,DriverList,0)),"BAU"))</f>
        <v/>
      </c>
      <c r="U568" s="34" t="str">
        <f aca="false">IF($R568="","",IFERROR(INDEX(DriverRank,MATCH($R568,DriverList,0)),99))</f>
        <v/>
      </c>
      <c r="V568" s="35" t="n">
        <f aca="false">IF($H568="",0,IFERROR(INDEX(LevelBasic,MATCH($H568,LevelList,0))+INDEX(LevelHousing,MATCH($H568,LevelList,0))+INDEX(LevelTransport,MATCH($H568,LevelList,0))+INDEX(LevelBasic,MATCH($H568,LevelList,0))*INDEX(LevelBonus,MATCH($H568,LevelList,0))+(INDEX(LevelBasic,MATCH($H568,LevelList,0))+INDEX(LevelHousing,MATCH($H568,LevelList,0)))*GosiSaudi,0))</f>
        <v>0</v>
      </c>
      <c r="W568" s="35" t="n">
        <f aca="false">IFERROR(INDEX(LevelOneOff,MATCH($H568,LevelList,0)),0)</f>
        <v>0</v>
      </c>
      <c r="X568" s="35" t="str">
        <f aca="false">IF($G568="","",$V568*N($L568))</f>
        <v/>
      </c>
      <c r="Y568" s="35" t="str">
        <f aca="false">IF($G568="","",$V568*(N($M568)*1+N($N568)*0.75+N($O568)*0.5+N($P568)*0.25)+$W568*N($L568))</f>
        <v/>
      </c>
      <c r="Z568" s="35" t="str">
        <f aca="false">IF($G568="","",$U568*1000000+ROW())</f>
        <v/>
      </c>
      <c r="AA568" s="36" t="str">
        <f aca="false">IF($G568="","",MID(IF($C568="",", no division","")&amp;IF($E568="",", no unit","")&amp;IF($H568="",", no career level","")&amp;IF(N($L568)&lt;=0,", no quarter split","")&amp;IF($R568="",", no driver","")&amp;IF(AND($H568&lt;&gt;"",COUNTIF(CareerLevels,$H568)=0),", a career level that is not on the ladder","")&amp;IF(AND($R568&lt;&gt;"",COUNTIF(DriverList,$R568)=0),", a driver that is not on the list","")&amp;IF(ABS(N($L568)-(N($M568)+N($N568)+N($O568)+N($P568)))&gt;0.001,", a total that does not match its quarters",""),3,300))</f>
        <v/>
      </c>
    </row>
    <row r="569" customFormat="false" ht="15" hidden="false" customHeight="false" outlineLevel="0" collapsed="false">
      <c r="A569" s="33" t="str">
        <f aca="false">IF($G569="","","Corporate Banking Group")</f>
        <v/>
      </c>
      <c r="B569" s="19"/>
      <c r="C569" s="19"/>
      <c r="D569" s="19"/>
      <c r="E569" s="19"/>
      <c r="F569" s="19"/>
      <c r="G569" s="19"/>
      <c r="H569" s="19"/>
      <c r="I569" s="19"/>
      <c r="J569" s="19"/>
      <c r="K569" s="19"/>
      <c r="L569" s="19"/>
      <c r="M569" s="19"/>
      <c r="N569" s="19"/>
      <c r="O569" s="19"/>
      <c r="P569" s="19"/>
      <c r="Q569" s="19"/>
      <c r="R569" s="19"/>
      <c r="S569" s="19"/>
      <c r="T569" s="34" t="str">
        <f aca="false">IF($R569="","",IFERROR(INDEX(DriverCategory,MATCH($R569,DriverList,0)),"BAU"))</f>
        <v/>
      </c>
      <c r="U569" s="34" t="str">
        <f aca="false">IF($R569="","",IFERROR(INDEX(DriverRank,MATCH($R569,DriverList,0)),99))</f>
        <v/>
      </c>
      <c r="V569" s="35" t="n">
        <f aca="false">IF($H569="",0,IFERROR(INDEX(LevelBasic,MATCH($H569,LevelList,0))+INDEX(LevelHousing,MATCH($H569,LevelList,0))+INDEX(LevelTransport,MATCH($H569,LevelList,0))+INDEX(LevelBasic,MATCH($H569,LevelList,0))*INDEX(LevelBonus,MATCH($H569,LevelList,0))+(INDEX(LevelBasic,MATCH($H569,LevelList,0))+INDEX(LevelHousing,MATCH($H569,LevelList,0)))*GosiSaudi,0))</f>
        <v>0</v>
      </c>
      <c r="W569" s="35" t="n">
        <f aca="false">IFERROR(INDEX(LevelOneOff,MATCH($H569,LevelList,0)),0)</f>
        <v>0</v>
      </c>
      <c r="X569" s="35" t="str">
        <f aca="false">IF($G569="","",$V569*N($L569))</f>
        <v/>
      </c>
      <c r="Y569" s="35" t="str">
        <f aca="false">IF($G569="","",$V569*(N($M569)*1+N($N569)*0.75+N($O569)*0.5+N($P569)*0.25)+$W569*N($L569))</f>
        <v/>
      </c>
      <c r="Z569" s="35" t="str">
        <f aca="false">IF($G569="","",$U569*1000000+ROW())</f>
        <v/>
      </c>
      <c r="AA569" s="36" t="str">
        <f aca="false">IF($G569="","",MID(IF($C569="",", no division","")&amp;IF($E569="",", no unit","")&amp;IF($H569="",", no career level","")&amp;IF(N($L569)&lt;=0,", no quarter split","")&amp;IF($R569="",", no driver","")&amp;IF(AND($H569&lt;&gt;"",COUNTIF(CareerLevels,$H569)=0),", a career level that is not on the ladder","")&amp;IF(AND($R569&lt;&gt;"",COUNTIF(DriverList,$R569)=0),", a driver that is not on the list","")&amp;IF(ABS(N($L569)-(N($M569)+N($N569)+N($O569)+N($P569)))&gt;0.001,", a total that does not match its quarters",""),3,300))</f>
        <v/>
      </c>
    </row>
    <row r="570" customFormat="false" ht="15" hidden="false" customHeight="false" outlineLevel="0" collapsed="false">
      <c r="A570" s="33" t="str">
        <f aca="false">IF($G570="","","Corporate Banking Group")</f>
        <v/>
      </c>
      <c r="B570" s="19"/>
      <c r="C570" s="19"/>
      <c r="D570" s="19"/>
      <c r="E570" s="19"/>
      <c r="F570" s="19"/>
      <c r="G570" s="19"/>
      <c r="H570" s="19"/>
      <c r="I570" s="19"/>
      <c r="J570" s="19"/>
      <c r="K570" s="19"/>
      <c r="L570" s="19"/>
      <c r="M570" s="19"/>
      <c r="N570" s="19"/>
      <c r="O570" s="19"/>
      <c r="P570" s="19"/>
      <c r="Q570" s="19"/>
      <c r="R570" s="19"/>
      <c r="S570" s="19"/>
      <c r="T570" s="34" t="str">
        <f aca="false">IF($R570="","",IFERROR(INDEX(DriverCategory,MATCH($R570,DriverList,0)),"BAU"))</f>
        <v/>
      </c>
      <c r="U570" s="34" t="str">
        <f aca="false">IF($R570="","",IFERROR(INDEX(DriverRank,MATCH($R570,DriverList,0)),99))</f>
        <v/>
      </c>
      <c r="V570" s="35" t="n">
        <f aca="false">IF($H570="",0,IFERROR(INDEX(LevelBasic,MATCH($H570,LevelList,0))+INDEX(LevelHousing,MATCH($H570,LevelList,0))+INDEX(LevelTransport,MATCH($H570,LevelList,0))+INDEX(LevelBasic,MATCH($H570,LevelList,0))*INDEX(LevelBonus,MATCH($H570,LevelList,0))+(INDEX(LevelBasic,MATCH($H570,LevelList,0))+INDEX(LevelHousing,MATCH($H570,LevelList,0)))*GosiSaudi,0))</f>
        <v>0</v>
      </c>
      <c r="W570" s="35" t="n">
        <f aca="false">IFERROR(INDEX(LevelOneOff,MATCH($H570,LevelList,0)),0)</f>
        <v>0</v>
      </c>
      <c r="X570" s="35" t="str">
        <f aca="false">IF($G570="","",$V570*N($L570))</f>
        <v/>
      </c>
      <c r="Y570" s="35" t="str">
        <f aca="false">IF($G570="","",$V570*(N($M570)*1+N($N570)*0.75+N($O570)*0.5+N($P570)*0.25)+$W570*N($L570))</f>
        <v/>
      </c>
      <c r="Z570" s="35" t="str">
        <f aca="false">IF($G570="","",$U570*1000000+ROW())</f>
        <v/>
      </c>
      <c r="AA570" s="36" t="str">
        <f aca="false">IF($G570="","",MID(IF($C570="",", no division","")&amp;IF($E570="",", no unit","")&amp;IF($H570="",", no career level","")&amp;IF(N($L570)&lt;=0,", no quarter split","")&amp;IF($R570="",", no driver","")&amp;IF(AND($H570&lt;&gt;"",COUNTIF(CareerLevels,$H570)=0),", a career level that is not on the ladder","")&amp;IF(AND($R570&lt;&gt;"",COUNTIF(DriverList,$R570)=0),", a driver that is not on the list","")&amp;IF(ABS(N($L570)-(N($M570)+N($N570)+N($O570)+N($P570)))&gt;0.001,", a total that does not match its quarters",""),3,300))</f>
        <v/>
      </c>
    </row>
    <row r="571" customFormat="false" ht="15" hidden="false" customHeight="false" outlineLevel="0" collapsed="false">
      <c r="A571" s="33" t="str">
        <f aca="false">IF($G571="","","Corporate Banking Group")</f>
        <v/>
      </c>
      <c r="B571" s="19"/>
      <c r="C571" s="19"/>
      <c r="D571" s="19"/>
      <c r="E571" s="19"/>
      <c r="F571" s="19"/>
      <c r="G571" s="19"/>
      <c r="H571" s="19"/>
      <c r="I571" s="19"/>
      <c r="J571" s="19"/>
      <c r="K571" s="19"/>
      <c r="L571" s="19"/>
      <c r="M571" s="19"/>
      <c r="N571" s="19"/>
      <c r="O571" s="19"/>
      <c r="P571" s="19"/>
      <c r="Q571" s="19"/>
      <c r="R571" s="19"/>
      <c r="S571" s="19"/>
      <c r="T571" s="34" t="str">
        <f aca="false">IF($R571="","",IFERROR(INDEX(DriverCategory,MATCH($R571,DriverList,0)),"BAU"))</f>
        <v/>
      </c>
      <c r="U571" s="34" t="str">
        <f aca="false">IF($R571="","",IFERROR(INDEX(DriverRank,MATCH($R571,DriverList,0)),99))</f>
        <v/>
      </c>
      <c r="V571" s="35" t="n">
        <f aca="false">IF($H571="",0,IFERROR(INDEX(LevelBasic,MATCH($H571,LevelList,0))+INDEX(LevelHousing,MATCH($H571,LevelList,0))+INDEX(LevelTransport,MATCH($H571,LevelList,0))+INDEX(LevelBasic,MATCH($H571,LevelList,0))*INDEX(LevelBonus,MATCH($H571,LevelList,0))+(INDEX(LevelBasic,MATCH($H571,LevelList,0))+INDEX(LevelHousing,MATCH($H571,LevelList,0)))*GosiSaudi,0))</f>
        <v>0</v>
      </c>
      <c r="W571" s="35" t="n">
        <f aca="false">IFERROR(INDEX(LevelOneOff,MATCH($H571,LevelList,0)),0)</f>
        <v>0</v>
      </c>
      <c r="X571" s="35" t="str">
        <f aca="false">IF($G571="","",$V571*N($L571))</f>
        <v/>
      </c>
      <c r="Y571" s="35" t="str">
        <f aca="false">IF($G571="","",$V571*(N($M571)*1+N($N571)*0.75+N($O571)*0.5+N($P571)*0.25)+$W571*N($L571))</f>
        <v/>
      </c>
      <c r="Z571" s="35" t="str">
        <f aca="false">IF($G571="","",$U571*1000000+ROW())</f>
        <v/>
      </c>
      <c r="AA571" s="36" t="str">
        <f aca="false">IF($G571="","",MID(IF($C571="",", no division","")&amp;IF($E571="",", no unit","")&amp;IF($H571="",", no career level","")&amp;IF(N($L571)&lt;=0,", no quarter split","")&amp;IF($R571="",", no driver","")&amp;IF(AND($H571&lt;&gt;"",COUNTIF(CareerLevels,$H571)=0),", a career level that is not on the ladder","")&amp;IF(AND($R571&lt;&gt;"",COUNTIF(DriverList,$R571)=0),", a driver that is not on the list","")&amp;IF(ABS(N($L571)-(N($M571)+N($N571)+N($O571)+N($P571)))&gt;0.001,", a total that does not match its quarters",""),3,300))</f>
        <v/>
      </c>
    </row>
    <row r="572" customFormat="false" ht="15" hidden="false" customHeight="false" outlineLevel="0" collapsed="false">
      <c r="A572" s="33" t="str">
        <f aca="false">IF($G572="","","Corporate Banking Group")</f>
        <v/>
      </c>
      <c r="B572" s="19"/>
      <c r="C572" s="19"/>
      <c r="D572" s="19"/>
      <c r="E572" s="19"/>
      <c r="F572" s="19"/>
      <c r="G572" s="19"/>
      <c r="H572" s="19"/>
      <c r="I572" s="19"/>
      <c r="J572" s="19"/>
      <c r="K572" s="19"/>
      <c r="L572" s="19"/>
      <c r="M572" s="19"/>
      <c r="N572" s="19"/>
      <c r="O572" s="19"/>
      <c r="P572" s="19"/>
      <c r="Q572" s="19"/>
      <c r="R572" s="19"/>
      <c r="S572" s="19"/>
      <c r="T572" s="34" t="str">
        <f aca="false">IF($R572="","",IFERROR(INDEX(DriverCategory,MATCH($R572,DriverList,0)),"BAU"))</f>
        <v/>
      </c>
      <c r="U572" s="34" t="str">
        <f aca="false">IF($R572="","",IFERROR(INDEX(DriverRank,MATCH($R572,DriverList,0)),99))</f>
        <v/>
      </c>
      <c r="V572" s="35" t="n">
        <f aca="false">IF($H572="",0,IFERROR(INDEX(LevelBasic,MATCH($H572,LevelList,0))+INDEX(LevelHousing,MATCH($H572,LevelList,0))+INDEX(LevelTransport,MATCH($H572,LevelList,0))+INDEX(LevelBasic,MATCH($H572,LevelList,0))*INDEX(LevelBonus,MATCH($H572,LevelList,0))+(INDEX(LevelBasic,MATCH($H572,LevelList,0))+INDEX(LevelHousing,MATCH($H572,LevelList,0)))*GosiSaudi,0))</f>
        <v>0</v>
      </c>
      <c r="W572" s="35" t="n">
        <f aca="false">IFERROR(INDEX(LevelOneOff,MATCH($H572,LevelList,0)),0)</f>
        <v>0</v>
      </c>
      <c r="X572" s="35" t="str">
        <f aca="false">IF($G572="","",$V572*N($L572))</f>
        <v/>
      </c>
      <c r="Y572" s="35" t="str">
        <f aca="false">IF($G572="","",$V572*(N($M572)*1+N($N572)*0.75+N($O572)*0.5+N($P572)*0.25)+$W572*N($L572))</f>
        <v/>
      </c>
      <c r="Z572" s="35" t="str">
        <f aca="false">IF($G572="","",$U572*1000000+ROW())</f>
        <v/>
      </c>
      <c r="AA572" s="36" t="str">
        <f aca="false">IF($G572="","",MID(IF($C572="",", no division","")&amp;IF($E572="",", no unit","")&amp;IF($H572="",", no career level","")&amp;IF(N($L572)&lt;=0,", no quarter split","")&amp;IF($R572="",", no driver","")&amp;IF(AND($H572&lt;&gt;"",COUNTIF(CareerLevels,$H572)=0),", a career level that is not on the ladder","")&amp;IF(AND($R572&lt;&gt;"",COUNTIF(DriverList,$R572)=0),", a driver that is not on the list","")&amp;IF(ABS(N($L572)-(N($M572)+N($N572)+N($O572)+N($P572)))&gt;0.001,", a total that does not match its quarters",""),3,300))</f>
        <v/>
      </c>
    </row>
    <row r="573" customFormat="false" ht="15" hidden="false" customHeight="false" outlineLevel="0" collapsed="false">
      <c r="A573" s="33" t="str">
        <f aca="false">IF($G573="","","Corporate Banking Group")</f>
        <v/>
      </c>
      <c r="B573" s="19"/>
      <c r="C573" s="19"/>
      <c r="D573" s="19"/>
      <c r="E573" s="19"/>
      <c r="F573" s="19"/>
      <c r="G573" s="19"/>
      <c r="H573" s="19"/>
      <c r="I573" s="19"/>
      <c r="J573" s="19"/>
      <c r="K573" s="19"/>
      <c r="L573" s="19"/>
      <c r="M573" s="19"/>
      <c r="N573" s="19"/>
      <c r="O573" s="19"/>
      <c r="P573" s="19"/>
      <c r="Q573" s="19"/>
      <c r="R573" s="19"/>
      <c r="S573" s="19"/>
      <c r="T573" s="34" t="str">
        <f aca="false">IF($R573="","",IFERROR(INDEX(DriverCategory,MATCH($R573,DriverList,0)),"BAU"))</f>
        <v/>
      </c>
      <c r="U573" s="34" t="str">
        <f aca="false">IF($R573="","",IFERROR(INDEX(DriverRank,MATCH($R573,DriverList,0)),99))</f>
        <v/>
      </c>
      <c r="V573" s="35" t="n">
        <f aca="false">IF($H573="",0,IFERROR(INDEX(LevelBasic,MATCH($H573,LevelList,0))+INDEX(LevelHousing,MATCH($H573,LevelList,0))+INDEX(LevelTransport,MATCH($H573,LevelList,0))+INDEX(LevelBasic,MATCH($H573,LevelList,0))*INDEX(LevelBonus,MATCH($H573,LevelList,0))+(INDEX(LevelBasic,MATCH($H573,LevelList,0))+INDEX(LevelHousing,MATCH($H573,LevelList,0)))*GosiSaudi,0))</f>
        <v>0</v>
      </c>
      <c r="W573" s="35" t="n">
        <f aca="false">IFERROR(INDEX(LevelOneOff,MATCH($H573,LevelList,0)),0)</f>
        <v>0</v>
      </c>
      <c r="X573" s="35" t="str">
        <f aca="false">IF($G573="","",$V573*N($L573))</f>
        <v/>
      </c>
      <c r="Y573" s="35" t="str">
        <f aca="false">IF($G573="","",$V573*(N($M573)*1+N($N573)*0.75+N($O573)*0.5+N($P573)*0.25)+$W573*N($L573))</f>
        <v/>
      </c>
      <c r="Z573" s="35" t="str">
        <f aca="false">IF($G573="","",$U573*1000000+ROW())</f>
        <v/>
      </c>
      <c r="AA573" s="36" t="str">
        <f aca="false">IF($G573="","",MID(IF($C573="",", no division","")&amp;IF($E573="",", no unit","")&amp;IF($H573="",", no career level","")&amp;IF(N($L573)&lt;=0,", no quarter split","")&amp;IF($R573="",", no driver","")&amp;IF(AND($H573&lt;&gt;"",COUNTIF(CareerLevels,$H573)=0),", a career level that is not on the ladder","")&amp;IF(AND($R573&lt;&gt;"",COUNTIF(DriverList,$R573)=0),", a driver that is not on the list","")&amp;IF(ABS(N($L573)-(N($M573)+N($N573)+N($O573)+N($P573)))&gt;0.001,", a total that does not match its quarters",""),3,300))</f>
        <v/>
      </c>
    </row>
    <row r="574" customFormat="false" ht="15" hidden="false" customHeight="false" outlineLevel="0" collapsed="false">
      <c r="A574" s="33" t="str">
        <f aca="false">IF($G574="","","Corporate Banking Group")</f>
        <v/>
      </c>
      <c r="B574" s="19"/>
      <c r="C574" s="19"/>
      <c r="D574" s="19"/>
      <c r="E574" s="19"/>
      <c r="F574" s="19"/>
      <c r="G574" s="19"/>
      <c r="H574" s="19"/>
      <c r="I574" s="19"/>
      <c r="J574" s="19"/>
      <c r="K574" s="19"/>
      <c r="L574" s="19"/>
      <c r="M574" s="19"/>
      <c r="N574" s="19"/>
      <c r="O574" s="19"/>
      <c r="P574" s="19"/>
      <c r="Q574" s="19"/>
      <c r="R574" s="19"/>
      <c r="S574" s="19"/>
      <c r="T574" s="34" t="str">
        <f aca="false">IF($R574="","",IFERROR(INDEX(DriverCategory,MATCH($R574,DriverList,0)),"BAU"))</f>
        <v/>
      </c>
      <c r="U574" s="34" t="str">
        <f aca="false">IF($R574="","",IFERROR(INDEX(DriverRank,MATCH($R574,DriverList,0)),99))</f>
        <v/>
      </c>
      <c r="V574" s="35" t="n">
        <f aca="false">IF($H574="",0,IFERROR(INDEX(LevelBasic,MATCH($H574,LevelList,0))+INDEX(LevelHousing,MATCH($H574,LevelList,0))+INDEX(LevelTransport,MATCH($H574,LevelList,0))+INDEX(LevelBasic,MATCH($H574,LevelList,0))*INDEX(LevelBonus,MATCH($H574,LevelList,0))+(INDEX(LevelBasic,MATCH($H574,LevelList,0))+INDEX(LevelHousing,MATCH($H574,LevelList,0)))*GosiSaudi,0))</f>
        <v>0</v>
      </c>
      <c r="W574" s="35" t="n">
        <f aca="false">IFERROR(INDEX(LevelOneOff,MATCH($H574,LevelList,0)),0)</f>
        <v>0</v>
      </c>
      <c r="X574" s="35" t="str">
        <f aca="false">IF($G574="","",$V574*N($L574))</f>
        <v/>
      </c>
      <c r="Y574" s="35" t="str">
        <f aca="false">IF($G574="","",$V574*(N($M574)*1+N($N574)*0.75+N($O574)*0.5+N($P574)*0.25)+$W574*N($L574))</f>
        <v/>
      </c>
      <c r="Z574" s="35" t="str">
        <f aca="false">IF($G574="","",$U574*1000000+ROW())</f>
        <v/>
      </c>
      <c r="AA574" s="36" t="str">
        <f aca="false">IF($G574="","",MID(IF($C574="",", no division","")&amp;IF($E574="",", no unit","")&amp;IF($H574="",", no career level","")&amp;IF(N($L574)&lt;=0,", no quarter split","")&amp;IF($R574="",", no driver","")&amp;IF(AND($H574&lt;&gt;"",COUNTIF(CareerLevels,$H574)=0),", a career level that is not on the ladder","")&amp;IF(AND($R574&lt;&gt;"",COUNTIF(DriverList,$R574)=0),", a driver that is not on the list","")&amp;IF(ABS(N($L574)-(N($M574)+N($N574)+N($O574)+N($P574)))&gt;0.001,", a total that does not match its quarters",""),3,300))</f>
        <v/>
      </c>
    </row>
    <row r="575" customFormat="false" ht="15" hidden="false" customHeight="false" outlineLevel="0" collapsed="false">
      <c r="A575" s="33" t="str">
        <f aca="false">IF($G575="","","Corporate Banking Group")</f>
        <v/>
      </c>
      <c r="B575" s="19"/>
      <c r="C575" s="19"/>
      <c r="D575" s="19"/>
      <c r="E575" s="19"/>
      <c r="F575" s="19"/>
      <c r="G575" s="19"/>
      <c r="H575" s="19"/>
      <c r="I575" s="19"/>
      <c r="J575" s="19"/>
      <c r="K575" s="19"/>
      <c r="L575" s="19"/>
      <c r="M575" s="19"/>
      <c r="N575" s="19"/>
      <c r="O575" s="19"/>
      <c r="P575" s="19"/>
      <c r="Q575" s="19"/>
      <c r="R575" s="19"/>
      <c r="S575" s="19"/>
      <c r="T575" s="34" t="str">
        <f aca="false">IF($R575="","",IFERROR(INDEX(DriverCategory,MATCH($R575,DriverList,0)),"BAU"))</f>
        <v/>
      </c>
      <c r="U575" s="34" t="str">
        <f aca="false">IF($R575="","",IFERROR(INDEX(DriverRank,MATCH($R575,DriverList,0)),99))</f>
        <v/>
      </c>
      <c r="V575" s="35" t="n">
        <f aca="false">IF($H575="",0,IFERROR(INDEX(LevelBasic,MATCH($H575,LevelList,0))+INDEX(LevelHousing,MATCH($H575,LevelList,0))+INDEX(LevelTransport,MATCH($H575,LevelList,0))+INDEX(LevelBasic,MATCH($H575,LevelList,0))*INDEX(LevelBonus,MATCH($H575,LevelList,0))+(INDEX(LevelBasic,MATCH($H575,LevelList,0))+INDEX(LevelHousing,MATCH($H575,LevelList,0)))*GosiSaudi,0))</f>
        <v>0</v>
      </c>
      <c r="W575" s="35" t="n">
        <f aca="false">IFERROR(INDEX(LevelOneOff,MATCH($H575,LevelList,0)),0)</f>
        <v>0</v>
      </c>
      <c r="X575" s="35" t="str">
        <f aca="false">IF($G575="","",$V575*N($L575))</f>
        <v/>
      </c>
      <c r="Y575" s="35" t="str">
        <f aca="false">IF($G575="","",$V575*(N($M575)*1+N($N575)*0.75+N($O575)*0.5+N($P575)*0.25)+$W575*N($L575))</f>
        <v/>
      </c>
      <c r="Z575" s="35" t="str">
        <f aca="false">IF($G575="","",$U575*1000000+ROW())</f>
        <v/>
      </c>
      <c r="AA575" s="36" t="str">
        <f aca="false">IF($G575="","",MID(IF($C575="",", no division","")&amp;IF($E575="",", no unit","")&amp;IF($H575="",", no career level","")&amp;IF(N($L575)&lt;=0,", no quarter split","")&amp;IF($R575="",", no driver","")&amp;IF(AND($H575&lt;&gt;"",COUNTIF(CareerLevels,$H575)=0),", a career level that is not on the ladder","")&amp;IF(AND($R575&lt;&gt;"",COUNTIF(DriverList,$R575)=0),", a driver that is not on the list","")&amp;IF(ABS(N($L575)-(N($M575)+N($N575)+N($O575)+N($P575)))&gt;0.001,", a total that does not match its quarters",""),3,300))</f>
        <v/>
      </c>
    </row>
    <row r="576" customFormat="false" ht="15" hidden="false" customHeight="false" outlineLevel="0" collapsed="false">
      <c r="A576" s="33" t="str">
        <f aca="false">IF($G576="","","Corporate Banking Group")</f>
        <v/>
      </c>
      <c r="B576" s="19"/>
      <c r="C576" s="19"/>
      <c r="D576" s="19"/>
      <c r="E576" s="19"/>
      <c r="F576" s="19"/>
      <c r="G576" s="19"/>
      <c r="H576" s="19"/>
      <c r="I576" s="19"/>
      <c r="J576" s="19"/>
      <c r="K576" s="19"/>
      <c r="L576" s="19"/>
      <c r="M576" s="19"/>
      <c r="N576" s="19"/>
      <c r="O576" s="19"/>
      <c r="P576" s="19"/>
      <c r="Q576" s="19"/>
      <c r="R576" s="19"/>
      <c r="S576" s="19"/>
      <c r="T576" s="34" t="str">
        <f aca="false">IF($R576="","",IFERROR(INDEX(DriverCategory,MATCH($R576,DriverList,0)),"BAU"))</f>
        <v/>
      </c>
      <c r="U576" s="34" t="str">
        <f aca="false">IF($R576="","",IFERROR(INDEX(DriverRank,MATCH($R576,DriverList,0)),99))</f>
        <v/>
      </c>
      <c r="V576" s="35" t="n">
        <f aca="false">IF($H576="",0,IFERROR(INDEX(LevelBasic,MATCH($H576,LevelList,0))+INDEX(LevelHousing,MATCH($H576,LevelList,0))+INDEX(LevelTransport,MATCH($H576,LevelList,0))+INDEX(LevelBasic,MATCH($H576,LevelList,0))*INDEX(LevelBonus,MATCH($H576,LevelList,0))+(INDEX(LevelBasic,MATCH($H576,LevelList,0))+INDEX(LevelHousing,MATCH($H576,LevelList,0)))*GosiSaudi,0))</f>
        <v>0</v>
      </c>
      <c r="W576" s="35" t="n">
        <f aca="false">IFERROR(INDEX(LevelOneOff,MATCH($H576,LevelList,0)),0)</f>
        <v>0</v>
      </c>
      <c r="X576" s="35" t="str">
        <f aca="false">IF($G576="","",$V576*N($L576))</f>
        <v/>
      </c>
      <c r="Y576" s="35" t="str">
        <f aca="false">IF($G576="","",$V576*(N($M576)*1+N($N576)*0.75+N($O576)*0.5+N($P576)*0.25)+$W576*N($L576))</f>
        <v/>
      </c>
      <c r="Z576" s="35" t="str">
        <f aca="false">IF($G576="","",$U576*1000000+ROW())</f>
        <v/>
      </c>
      <c r="AA576" s="36" t="str">
        <f aca="false">IF($G576="","",MID(IF($C576="",", no division","")&amp;IF($E576="",", no unit","")&amp;IF($H576="",", no career level","")&amp;IF(N($L576)&lt;=0,", no quarter split","")&amp;IF($R576="",", no driver","")&amp;IF(AND($H576&lt;&gt;"",COUNTIF(CareerLevels,$H576)=0),", a career level that is not on the ladder","")&amp;IF(AND($R576&lt;&gt;"",COUNTIF(DriverList,$R576)=0),", a driver that is not on the list","")&amp;IF(ABS(N($L576)-(N($M576)+N($N576)+N($O576)+N($P576)))&gt;0.001,", a total that does not match its quarters",""),3,300))</f>
        <v/>
      </c>
    </row>
    <row r="577" customFormat="false" ht="15" hidden="false" customHeight="false" outlineLevel="0" collapsed="false">
      <c r="A577" s="33" t="str">
        <f aca="false">IF($G577="","","Corporate Banking Group")</f>
        <v/>
      </c>
      <c r="B577" s="19"/>
      <c r="C577" s="19"/>
      <c r="D577" s="19"/>
      <c r="E577" s="19"/>
      <c r="F577" s="19"/>
      <c r="G577" s="19"/>
      <c r="H577" s="19"/>
      <c r="I577" s="19"/>
      <c r="J577" s="19"/>
      <c r="K577" s="19"/>
      <c r="L577" s="19"/>
      <c r="M577" s="19"/>
      <c r="N577" s="19"/>
      <c r="O577" s="19"/>
      <c r="P577" s="19"/>
      <c r="Q577" s="19"/>
      <c r="R577" s="19"/>
      <c r="S577" s="19"/>
      <c r="T577" s="34" t="str">
        <f aca="false">IF($R577="","",IFERROR(INDEX(DriverCategory,MATCH($R577,DriverList,0)),"BAU"))</f>
        <v/>
      </c>
      <c r="U577" s="34" t="str">
        <f aca="false">IF($R577="","",IFERROR(INDEX(DriverRank,MATCH($R577,DriverList,0)),99))</f>
        <v/>
      </c>
      <c r="V577" s="35" t="n">
        <f aca="false">IF($H577="",0,IFERROR(INDEX(LevelBasic,MATCH($H577,LevelList,0))+INDEX(LevelHousing,MATCH($H577,LevelList,0))+INDEX(LevelTransport,MATCH($H577,LevelList,0))+INDEX(LevelBasic,MATCH($H577,LevelList,0))*INDEX(LevelBonus,MATCH($H577,LevelList,0))+(INDEX(LevelBasic,MATCH($H577,LevelList,0))+INDEX(LevelHousing,MATCH($H577,LevelList,0)))*GosiSaudi,0))</f>
        <v>0</v>
      </c>
      <c r="W577" s="35" t="n">
        <f aca="false">IFERROR(INDEX(LevelOneOff,MATCH($H577,LevelList,0)),0)</f>
        <v>0</v>
      </c>
      <c r="X577" s="35" t="str">
        <f aca="false">IF($G577="","",$V577*N($L577))</f>
        <v/>
      </c>
      <c r="Y577" s="35" t="str">
        <f aca="false">IF($G577="","",$V577*(N($M577)*1+N($N577)*0.75+N($O577)*0.5+N($P577)*0.25)+$W577*N($L577))</f>
        <v/>
      </c>
      <c r="Z577" s="35" t="str">
        <f aca="false">IF($G577="","",$U577*1000000+ROW())</f>
        <v/>
      </c>
      <c r="AA577" s="36" t="str">
        <f aca="false">IF($G577="","",MID(IF($C577="",", no division","")&amp;IF($E577="",", no unit","")&amp;IF($H577="",", no career level","")&amp;IF(N($L577)&lt;=0,", no quarter split","")&amp;IF($R577="",", no driver","")&amp;IF(AND($H577&lt;&gt;"",COUNTIF(CareerLevels,$H577)=0),", a career level that is not on the ladder","")&amp;IF(AND($R577&lt;&gt;"",COUNTIF(DriverList,$R577)=0),", a driver that is not on the list","")&amp;IF(ABS(N($L577)-(N($M577)+N($N577)+N($O577)+N($P577)))&gt;0.001,", a total that does not match its quarters",""),3,300))</f>
        <v/>
      </c>
    </row>
    <row r="578" customFormat="false" ht="15" hidden="false" customHeight="false" outlineLevel="0" collapsed="false">
      <c r="A578" s="33" t="str">
        <f aca="false">IF($G578="","","Corporate Banking Group")</f>
        <v/>
      </c>
      <c r="B578" s="19"/>
      <c r="C578" s="19"/>
      <c r="D578" s="19"/>
      <c r="E578" s="19"/>
      <c r="F578" s="19"/>
      <c r="G578" s="19"/>
      <c r="H578" s="19"/>
      <c r="I578" s="19"/>
      <c r="J578" s="19"/>
      <c r="K578" s="19"/>
      <c r="L578" s="19"/>
      <c r="M578" s="19"/>
      <c r="N578" s="19"/>
      <c r="O578" s="19"/>
      <c r="P578" s="19"/>
      <c r="Q578" s="19"/>
      <c r="R578" s="19"/>
      <c r="S578" s="19"/>
      <c r="T578" s="34" t="str">
        <f aca="false">IF($R578="","",IFERROR(INDEX(DriverCategory,MATCH($R578,DriverList,0)),"BAU"))</f>
        <v/>
      </c>
      <c r="U578" s="34" t="str">
        <f aca="false">IF($R578="","",IFERROR(INDEX(DriverRank,MATCH($R578,DriverList,0)),99))</f>
        <v/>
      </c>
      <c r="V578" s="35" t="n">
        <f aca="false">IF($H578="",0,IFERROR(INDEX(LevelBasic,MATCH($H578,LevelList,0))+INDEX(LevelHousing,MATCH($H578,LevelList,0))+INDEX(LevelTransport,MATCH($H578,LevelList,0))+INDEX(LevelBasic,MATCH($H578,LevelList,0))*INDEX(LevelBonus,MATCH($H578,LevelList,0))+(INDEX(LevelBasic,MATCH($H578,LevelList,0))+INDEX(LevelHousing,MATCH($H578,LevelList,0)))*GosiSaudi,0))</f>
        <v>0</v>
      </c>
      <c r="W578" s="35" t="n">
        <f aca="false">IFERROR(INDEX(LevelOneOff,MATCH($H578,LevelList,0)),0)</f>
        <v>0</v>
      </c>
      <c r="X578" s="35" t="str">
        <f aca="false">IF($G578="","",$V578*N($L578))</f>
        <v/>
      </c>
      <c r="Y578" s="35" t="str">
        <f aca="false">IF($G578="","",$V578*(N($M578)*1+N($N578)*0.75+N($O578)*0.5+N($P578)*0.25)+$W578*N($L578))</f>
        <v/>
      </c>
      <c r="Z578" s="35" t="str">
        <f aca="false">IF($G578="","",$U578*1000000+ROW())</f>
        <v/>
      </c>
      <c r="AA578" s="36" t="str">
        <f aca="false">IF($G578="","",MID(IF($C578="",", no division","")&amp;IF($E578="",", no unit","")&amp;IF($H578="",", no career level","")&amp;IF(N($L578)&lt;=0,", no quarter split","")&amp;IF($R578="",", no driver","")&amp;IF(AND($H578&lt;&gt;"",COUNTIF(CareerLevels,$H578)=0),", a career level that is not on the ladder","")&amp;IF(AND($R578&lt;&gt;"",COUNTIF(DriverList,$R578)=0),", a driver that is not on the list","")&amp;IF(ABS(N($L578)-(N($M578)+N($N578)+N($O578)+N($P578)))&gt;0.001,", a total that does not match its quarters",""),3,300))</f>
        <v/>
      </c>
    </row>
    <row r="579" customFormat="false" ht="15" hidden="false" customHeight="false" outlineLevel="0" collapsed="false">
      <c r="A579" s="33" t="str">
        <f aca="false">IF($G579="","","Corporate Banking Group")</f>
        <v/>
      </c>
      <c r="B579" s="19"/>
      <c r="C579" s="19"/>
      <c r="D579" s="19"/>
      <c r="E579" s="19"/>
      <c r="F579" s="19"/>
      <c r="G579" s="19"/>
      <c r="H579" s="19"/>
      <c r="I579" s="19"/>
      <c r="J579" s="19"/>
      <c r="K579" s="19"/>
      <c r="L579" s="19"/>
      <c r="M579" s="19"/>
      <c r="N579" s="19"/>
      <c r="O579" s="19"/>
      <c r="P579" s="19"/>
      <c r="Q579" s="19"/>
      <c r="R579" s="19"/>
      <c r="S579" s="19"/>
      <c r="T579" s="34" t="str">
        <f aca="false">IF($R579="","",IFERROR(INDEX(DriverCategory,MATCH($R579,DriverList,0)),"BAU"))</f>
        <v/>
      </c>
      <c r="U579" s="34" t="str">
        <f aca="false">IF($R579="","",IFERROR(INDEX(DriverRank,MATCH($R579,DriverList,0)),99))</f>
        <v/>
      </c>
      <c r="V579" s="35" t="n">
        <f aca="false">IF($H579="",0,IFERROR(INDEX(LevelBasic,MATCH($H579,LevelList,0))+INDEX(LevelHousing,MATCH($H579,LevelList,0))+INDEX(LevelTransport,MATCH($H579,LevelList,0))+INDEX(LevelBasic,MATCH($H579,LevelList,0))*INDEX(LevelBonus,MATCH($H579,LevelList,0))+(INDEX(LevelBasic,MATCH($H579,LevelList,0))+INDEX(LevelHousing,MATCH($H579,LevelList,0)))*GosiSaudi,0))</f>
        <v>0</v>
      </c>
      <c r="W579" s="35" t="n">
        <f aca="false">IFERROR(INDEX(LevelOneOff,MATCH($H579,LevelList,0)),0)</f>
        <v>0</v>
      </c>
      <c r="X579" s="35" t="str">
        <f aca="false">IF($G579="","",$V579*N($L579))</f>
        <v/>
      </c>
      <c r="Y579" s="35" t="str">
        <f aca="false">IF($G579="","",$V579*(N($M579)*1+N($N579)*0.75+N($O579)*0.5+N($P579)*0.25)+$W579*N($L579))</f>
        <v/>
      </c>
      <c r="Z579" s="35" t="str">
        <f aca="false">IF($G579="","",$U579*1000000+ROW())</f>
        <v/>
      </c>
      <c r="AA579" s="36" t="str">
        <f aca="false">IF($G579="","",MID(IF($C579="",", no division","")&amp;IF($E579="",", no unit","")&amp;IF($H579="",", no career level","")&amp;IF(N($L579)&lt;=0,", no quarter split","")&amp;IF($R579="",", no driver","")&amp;IF(AND($H579&lt;&gt;"",COUNTIF(CareerLevels,$H579)=0),", a career level that is not on the ladder","")&amp;IF(AND($R579&lt;&gt;"",COUNTIF(DriverList,$R579)=0),", a driver that is not on the list","")&amp;IF(ABS(N($L579)-(N($M579)+N($N579)+N($O579)+N($P579)))&gt;0.001,", a total that does not match its quarters",""),3,300))</f>
        <v/>
      </c>
    </row>
    <row r="580" customFormat="false" ht="15" hidden="false" customHeight="false" outlineLevel="0" collapsed="false">
      <c r="A580" s="33" t="str">
        <f aca="false">IF($G580="","","Corporate Banking Group")</f>
        <v/>
      </c>
      <c r="B580" s="19"/>
      <c r="C580" s="19"/>
      <c r="D580" s="19"/>
      <c r="E580" s="19"/>
      <c r="F580" s="19"/>
      <c r="G580" s="19"/>
      <c r="H580" s="19"/>
      <c r="I580" s="19"/>
      <c r="J580" s="19"/>
      <c r="K580" s="19"/>
      <c r="L580" s="19"/>
      <c r="M580" s="19"/>
      <c r="N580" s="19"/>
      <c r="O580" s="19"/>
      <c r="P580" s="19"/>
      <c r="Q580" s="19"/>
      <c r="R580" s="19"/>
      <c r="S580" s="19"/>
      <c r="T580" s="34" t="str">
        <f aca="false">IF($R580="","",IFERROR(INDEX(DriverCategory,MATCH($R580,DriverList,0)),"BAU"))</f>
        <v/>
      </c>
      <c r="U580" s="34" t="str">
        <f aca="false">IF($R580="","",IFERROR(INDEX(DriverRank,MATCH($R580,DriverList,0)),99))</f>
        <v/>
      </c>
      <c r="V580" s="35" t="n">
        <f aca="false">IF($H580="",0,IFERROR(INDEX(LevelBasic,MATCH($H580,LevelList,0))+INDEX(LevelHousing,MATCH($H580,LevelList,0))+INDEX(LevelTransport,MATCH($H580,LevelList,0))+INDEX(LevelBasic,MATCH($H580,LevelList,0))*INDEX(LevelBonus,MATCH($H580,LevelList,0))+(INDEX(LevelBasic,MATCH($H580,LevelList,0))+INDEX(LevelHousing,MATCH($H580,LevelList,0)))*GosiSaudi,0))</f>
        <v>0</v>
      </c>
      <c r="W580" s="35" t="n">
        <f aca="false">IFERROR(INDEX(LevelOneOff,MATCH($H580,LevelList,0)),0)</f>
        <v>0</v>
      </c>
      <c r="X580" s="35" t="str">
        <f aca="false">IF($G580="","",$V580*N($L580))</f>
        <v/>
      </c>
      <c r="Y580" s="35" t="str">
        <f aca="false">IF($G580="","",$V580*(N($M580)*1+N($N580)*0.75+N($O580)*0.5+N($P580)*0.25)+$W580*N($L580))</f>
        <v/>
      </c>
      <c r="Z580" s="35" t="str">
        <f aca="false">IF($G580="","",$U580*1000000+ROW())</f>
        <v/>
      </c>
      <c r="AA580" s="36" t="str">
        <f aca="false">IF($G580="","",MID(IF($C580="",", no division","")&amp;IF($E580="",", no unit","")&amp;IF($H580="",", no career level","")&amp;IF(N($L580)&lt;=0,", no quarter split","")&amp;IF($R580="",", no driver","")&amp;IF(AND($H580&lt;&gt;"",COUNTIF(CareerLevels,$H580)=0),", a career level that is not on the ladder","")&amp;IF(AND($R580&lt;&gt;"",COUNTIF(DriverList,$R580)=0),", a driver that is not on the list","")&amp;IF(ABS(N($L580)-(N($M580)+N($N580)+N($O580)+N($P580)))&gt;0.001,", a total that does not match its quarters",""),3,300))</f>
        <v/>
      </c>
    </row>
    <row r="581" customFormat="false" ht="15" hidden="false" customHeight="false" outlineLevel="0" collapsed="false">
      <c r="A581" s="33" t="str">
        <f aca="false">IF($G581="","","Corporate Banking Group")</f>
        <v/>
      </c>
      <c r="B581" s="19"/>
      <c r="C581" s="19"/>
      <c r="D581" s="19"/>
      <c r="E581" s="19"/>
      <c r="F581" s="19"/>
      <c r="G581" s="19"/>
      <c r="H581" s="19"/>
      <c r="I581" s="19"/>
      <c r="J581" s="19"/>
      <c r="K581" s="19"/>
      <c r="L581" s="19"/>
      <c r="M581" s="19"/>
      <c r="N581" s="19"/>
      <c r="O581" s="19"/>
      <c r="P581" s="19"/>
      <c r="Q581" s="19"/>
      <c r="R581" s="19"/>
      <c r="S581" s="19"/>
      <c r="T581" s="34" t="str">
        <f aca="false">IF($R581="","",IFERROR(INDEX(DriverCategory,MATCH($R581,DriverList,0)),"BAU"))</f>
        <v/>
      </c>
      <c r="U581" s="34" t="str">
        <f aca="false">IF($R581="","",IFERROR(INDEX(DriverRank,MATCH($R581,DriverList,0)),99))</f>
        <v/>
      </c>
      <c r="V581" s="35" t="n">
        <f aca="false">IF($H581="",0,IFERROR(INDEX(LevelBasic,MATCH($H581,LevelList,0))+INDEX(LevelHousing,MATCH($H581,LevelList,0))+INDEX(LevelTransport,MATCH($H581,LevelList,0))+INDEX(LevelBasic,MATCH($H581,LevelList,0))*INDEX(LevelBonus,MATCH($H581,LevelList,0))+(INDEX(LevelBasic,MATCH($H581,LevelList,0))+INDEX(LevelHousing,MATCH($H581,LevelList,0)))*GosiSaudi,0))</f>
        <v>0</v>
      </c>
      <c r="W581" s="35" t="n">
        <f aca="false">IFERROR(INDEX(LevelOneOff,MATCH($H581,LevelList,0)),0)</f>
        <v>0</v>
      </c>
      <c r="X581" s="35" t="str">
        <f aca="false">IF($G581="","",$V581*N($L581))</f>
        <v/>
      </c>
      <c r="Y581" s="35" t="str">
        <f aca="false">IF($G581="","",$V581*(N($M581)*1+N($N581)*0.75+N($O581)*0.5+N($P581)*0.25)+$W581*N($L581))</f>
        <v/>
      </c>
      <c r="Z581" s="35" t="str">
        <f aca="false">IF($G581="","",$U581*1000000+ROW())</f>
        <v/>
      </c>
      <c r="AA581" s="36" t="str">
        <f aca="false">IF($G581="","",MID(IF($C581="",", no division","")&amp;IF($E581="",", no unit","")&amp;IF($H581="",", no career level","")&amp;IF(N($L581)&lt;=0,", no quarter split","")&amp;IF($R581="",", no driver","")&amp;IF(AND($H581&lt;&gt;"",COUNTIF(CareerLevels,$H581)=0),", a career level that is not on the ladder","")&amp;IF(AND($R581&lt;&gt;"",COUNTIF(DriverList,$R581)=0),", a driver that is not on the list","")&amp;IF(ABS(N($L581)-(N($M581)+N($N581)+N($O581)+N($P581)))&gt;0.001,", a total that does not match its quarters",""),3,300))</f>
        <v/>
      </c>
    </row>
    <row r="582" customFormat="false" ht="15" hidden="false" customHeight="false" outlineLevel="0" collapsed="false">
      <c r="A582" s="33" t="str">
        <f aca="false">IF($G582="","","Corporate Banking Group")</f>
        <v/>
      </c>
      <c r="B582" s="19"/>
      <c r="C582" s="19"/>
      <c r="D582" s="19"/>
      <c r="E582" s="19"/>
      <c r="F582" s="19"/>
      <c r="G582" s="19"/>
      <c r="H582" s="19"/>
      <c r="I582" s="19"/>
      <c r="J582" s="19"/>
      <c r="K582" s="19"/>
      <c r="L582" s="19"/>
      <c r="M582" s="19"/>
      <c r="N582" s="19"/>
      <c r="O582" s="19"/>
      <c r="P582" s="19"/>
      <c r="Q582" s="19"/>
      <c r="R582" s="19"/>
      <c r="S582" s="19"/>
      <c r="T582" s="34" t="str">
        <f aca="false">IF($R582="","",IFERROR(INDEX(DriverCategory,MATCH($R582,DriverList,0)),"BAU"))</f>
        <v/>
      </c>
      <c r="U582" s="34" t="str">
        <f aca="false">IF($R582="","",IFERROR(INDEX(DriverRank,MATCH($R582,DriverList,0)),99))</f>
        <v/>
      </c>
      <c r="V582" s="35" t="n">
        <f aca="false">IF($H582="",0,IFERROR(INDEX(LevelBasic,MATCH($H582,LevelList,0))+INDEX(LevelHousing,MATCH($H582,LevelList,0))+INDEX(LevelTransport,MATCH($H582,LevelList,0))+INDEX(LevelBasic,MATCH($H582,LevelList,0))*INDEX(LevelBonus,MATCH($H582,LevelList,0))+(INDEX(LevelBasic,MATCH($H582,LevelList,0))+INDEX(LevelHousing,MATCH($H582,LevelList,0)))*GosiSaudi,0))</f>
        <v>0</v>
      </c>
      <c r="W582" s="35" t="n">
        <f aca="false">IFERROR(INDEX(LevelOneOff,MATCH($H582,LevelList,0)),0)</f>
        <v>0</v>
      </c>
      <c r="X582" s="35" t="str">
        <f aca="false">IF($G582="","",$V582*N($L582))</f>
        <v/>
      </c>
      <c r="Y582" s="35" t="str">
        <f aca="false">IF($G582="","",$V582*(N($M582)*1+N($N582)*0.75+N($O582)*0.5+N($P582)*0.25)+$W582*N($L582))</f>
        <v/>
      </c>
      <c r="Z582" s="35" t="str">
        <f aca="false">IF($G582="","",$U582*1000000+ROW())</f>
        <v/>
      </c>
      <c r="AA582" s="36" t="str">
        <f aca="false">IF($G582="","",MID(IF($C582="",", no division","")&amp;IF($E582="",", no unit","")&amp;IF($H582="",", no career level","")&amp;IF(N($L582)&lt;=0,", no quarter split","")&amp;IF($R582="",", no driver","")&amp;IF(AND($H582&lt;&gt;"",COUNTIF(CareerLevels,$H582)=0),", a career level that is not on the ladder","")&amp;IF(AND($R582&lt;&gt;"",COUNTIF(DriverList,$R582)=0),", a driver that is not on the list","")&amp;IF(ABS(N($L582)-(N($M582)+N($N582)+N($O582)+N($P582)))&gt;0.001,", a total that does not match its quarters",""),3,300))</f>
        <v/>
      </c>
    </row>
    <row r="583" customFormat="false" ht="15" hidden="false" customHeight="false" outlineLevel="0" collapsed="false">
      <c r="A583" s="33" t="str">
        <f aca="false">IF($G583="","","Corporate Banking Group")</f>
        <v/>
      </c>
      <c r="B583" s="19"/>
      <c r="C583" s="19"/>
      <c r="D583" s="19"/>
      <c r="E583" s="19"/>
      <c r="F583" s="19"/>
      <c r="G583" s="19"/>
      <c r="H583" s="19"/>
      <c r="I583" s="19"/>
      <c r="J583" s="19"/>
      <c r="K583" s="19"/>
      <c r="L583" s="19"/>
      <c r="M583" s="19"/>
      <c r="N583" s="19"/>
      <c r="O583" s="19"/>
      <c r="P583" s="19"/>
      <c r="Q583" s="19"/>
      <c r="R583" s="19"/>
      <c r="S583" s="19"/>
      <c r="T583" s="34" t="str">
        <f aca="false">IF($R583="","",IFERROR(INDEX(DriverCategory,MATCH($R583,DriverList,0)),"BAU"))</f>
        <v/>
      </c>
      <c r="U583" s="34" t="str">
        <f aca="false">IF($R583="","",IFERROR(INDEX(DriverRank,MATCH($R583,DriverList,0)),99))</f>
        <v/>
      </c>
      <c r="V583" s="35" t="n">
        <f aca="false">IF($H583="",0,IFERROR(INDEX(LevelBasic,MATCH($H583,LevelList,0))+INDEX(LevelHousing,MATCH($H583,LevelList,0))+INDEX(LevelTransport,MATCH($H583,LevelList,0))+INDEX(LevelBasic,MATCH($H583,LevelList,0))*INDEX(LevelBonus,MATCH($H583,LevelList,0))+(INDEX(LevelBasic,MATCH($H583,LevelList,0))+INDEX(LevelHousing,MATCH($H583,LevelList,0)))*GosiSaudi,0))</f>
        <v>0</v>
      </c>
      <c r="W583" s="35" t="n">
        <f aca="false">IFERROR(INDEX(LevelOneOff,MATCH($H583,LevelList,0)),0)</f>
        <v>0</v>
      </c>
      <c r="X583" s="35" t="str">
        <f aca="false">IF($G583="","",$V583*N($L583))</f>
        <v/>
      </c>
      <c r="Y583" s="35" t="str">
        <f aca="false">IF($G583="","",$V583*(N($M583)*1+N($N583)*0.75+N($O583)*0.5+N($P583)*0.25)+$W583*N($L583))</f>
        <v/>
      </c>
      <c r="Z583" s="35" t="str">
        <f aca="false">IF($G583="","",$U583*1000000+ROW())</f>
        <v/>
      </c>
      <c r="AA583" s="36" t="str">
        <f aca="false">IF($G583="","",MID(IF($C583="",", no division","")&amp;IF($E583="",", no unit","")&amp;IF($H583="",", no career level","")&amp;IF(N($L583)&lt;=0,", no quarter split","")&amp;IF($R583="",", no driver","")&amp;IF(AND($H583&lt;&gt;"",COUNTIF(CareerLevels,$H583)=0),", a career level that is not on the ladder","")&amp;IF(AND($R583&lt;&gt;"",COUNTIF(DriverList,$R583)=0),", a driver that is not on the list","")&amp;IF(ABS(N($L583)-(N($M583)+N($N583)+N($O583)+N($P583)))&gt;0.001,", a total that does not match its quarters",""),3,300))</f>
        <v/>
      </c>
    </row>
    <row r="584" customFormat="false" ht="15" hidden="false" customHeight="false" outlineLevel="0" collapsed="false">
      <c r="A584" s="33" t="str">
        <f aca="false">IF($G584="","","Corporate Banking Group")</f>
        <v/>
      </c>
      <c r="B584" s="19"/>
      <c r="C584" s="19"/>
      <c r="D584" s="19"/>
      <c r="E584" s="19"/>
      <c r="F584" s="19"/>
      <c r="G584" s="19"/>
      <c r="H584" s="19"/>
      <c r="I584" s="19"/>
      <c r="J584" s="19"/>
      <c r="K584" s="19"/>
      <c r="L584" s="19"/>
      <c r="M584" s="19"/>
      <c r="N584" s="19"/>
      <c r="O584" s="19"/>
      <c r="P584" s="19"/>
      <c r="Q584" s="19"/>
      <c r="R584" s="19"/>
      <c r="S584" s="19"/>
      <c r="T584" s="34" t="str">
        <f aca="false">IF($R584="","",IFERROR(INDEX(DriverCategory,MATCH($R584,DriverList,0)),"BAU"))</f>
        <v/>
      </c>
      <c r="U584" s="34" t="str">
        <f aca="false">IF($R584="","",IFERROR(INDEX(DriverRank,MATCH($R584,DriverList,0)),99))</f>
        <v/>
      </c>
      <c r="V584" s="35" t="n">
        <f aca="false">IF($H584="",0,IFERROR(INDEX(LevelBasic,MATCH($H584,LevelList,0))+INDEX(LevelHousing,MATCH($H584,LevelList,0))+INDEX(LevelTransport,MATCH($H584,LevelList,0))+INDEX(LevelBasic,MATCH($H584,LevelList,0))*INDEX(LevelBonus,MATCH($H584,LevelList,0))+(INDEX(LevelBasic,MATCH($H584,LevelList,0))+INDEX(LevelHousing,MATCH($H584,LevelList,0)))*GosiSaudi,0))</f>
        <v>0</v>
      </c>
      <c r="W584" s="35" t="n">
        <f aca="false">IFERROR(INDEX(LevelOneOff,MATCH($H584,LevelList,0)),0)</f>
        <v>0</v>
      </c>
      <c r="X584" s="35" t="str">
        <f aca="false">IF($G584="","",$V584*N($L584))</f>
        <v/>
      </c>
      <c r="Y584" s="35" t="str">
        <f aca="false">IF($G584="","",$V584*(N($M584)*1+N($N584)*0.75+N($O584)*0.5+N($P584)*0.25)+$W584*N($L584))</f>
        <v/>
      </c>
      <c r="Z584" s="35" t="str">
        <f aca="false">IF($G584="","",$U584*1000000+ROW())</f>
        <v/>
      </c>
      <c r="AA584" s="36" t="str">
        <f aca="false">IF($G584="","",MID(IF($C584="",", no division","")&amp;IF($E584="",", no unit","")&amp;IF($H584="",", no career level","")&amp;IF(N($L584)&lt;=0,", no quarter split","")&amp;IF($R584="",", no driver","")&amp;IF(AND($H584&lt;&gt;"",COUNTIF(CareerLevels,$H584)=0),", a career level that is not on the ladder","")&amp;IF(AND($R584&lt;&gt;"",COUNTIF(DriverList,$R584)=0),", a driver that is not on the list","")&amp;IF(ABS(N($L584)-(N($M584)+N($N584)+N($O584)+N($P584)))&gt;0.001,", a total that does not match its quarters",""),3,300))</f>
        <v/>
      </c>
    </row>
    <row r="585" customFormat="false" ht="15" hidden="false" customHeight="false" outlineLevel="0" collapsed="false">
      <c r="A585" s="33" t="str">
        <f aca="false">IF($G585="","","Corporate Banking Group")</f>
        <v/>
      </c>
      <c r="B585" s="19"/>
      <c r="C585" s="19"/>
      <c r="D585" s="19"/>
      <c r="E585" s="19"/>
      <c r="F585" s="19"/>
      <c r="G585" s="19"/>
      <c r="H585" s="19"/>
      <c r="I585" s="19"/>
      <c r="J585" s="19"/>
      <c r="K585" s="19"/>
      <c r="L585" s="19"/>
      <c r="M585" s="19"/>
      <c r="N585" s="19"/>
      <c r="O585" s="19"/>
      <c r="P585" s="19"/>
      <c r="Q585" s="19"/>
      <c r="R585" s="19"/>
      <c r="S585" s="19"/>
      <c r="T585" s="34" t="str">
        <f aca="false">IF($R585="","",IFERROR(INDEX(DriverCategory,MATCH($R585,DriverList,0)),"BAU"))</f>
        <v/>
      </c>
      <c r="U585" s="34" t="str">
        <f aca="false">IF($R585="","",IFERROR(INDEX(DriverRank,MATCH($R585,DriverList,0)),99))</f>
        <v/>
      </c>
      <c r="V585" s="35" t="n">
        <f aca="false">IF($H585="",0,IFERROR(INDEX(LevelBasic,MATCH($H585,LevelList,0))+INDEX(LevelHousing,MATCH($H585,LevelList,0))+INDEX(LevelTransport,MATCH($H585,LevelList,0))+INDEX(LevelBasic,MATCH($H585,LevelList,0))*INDEX(LevelBonus,MATCH($H585,LevelList,0))+(INDEX(LevelBasic,MATCH($H585,LevelList,0))+INDEX(LevelHousing,MATCH($H585,LevelList,0)))*GosiSaudi,0))</f>
        <v>0</v>
      </c>
      <c r="W585" s="35" t="n">
        <f aca="false">IFERROR(INDEX(LevelOneOff,MATCH($H585,LevelList,0)),0)</f>
        <v>0</v>
      </c>
      <c r="X585" s="35" t="str">
        <f aca="false">IF($G585="","",$V585*N($L585))</f>
        <v/>
      </c>
      <c r="Y585" s="35" t="str">
        <f aca="false">IF($G585="","",$V585*(N($M585)*1+N($N585)*0.75+N($O585)*0.5+N($P585)*0.25)+$W585*N($L585))</f>
        <v/>
      </c>
      <c r="Z585" s="35" t="str">
        <f aca="false">IF($G585="","",$U585*1000000+ROW())</f>
        <v/>
      </c>
      <c r="AA585" s="36" t="str">
        <f aca="false">IF($G585="","",MID(IF($C585="",", no division","")&amp;IF($E585="",", no unit","")&amp;IF($H585="",", no career level","")&amp;IF(N($L585)&lt;=0,", no quarter split","")&amp;IF($R585="",", no driver","")&amp;IF(AND($H585&lt;&gt;"",COUNTIF(CareerLevels,$H585)=0),", a career level that is not on the ladder","")&amp;IF(AND($R585&lt;&gt;"",COUNTIF(DriverList,$R585)=0),", a driver that is not on the list","")&amp;IF(ABS(N($L585)-(N($M585)+N($N585)+N($O585)+N($P585)))&gt;0.001,", a total that does not match its quarters",""),3,300))</f>
        <v/>
      </c>
    </row>
    <row r="586" customFormat="false" ht="15" hidden="false" customHeight="false" outlineLevel="0" collapsed="false">
      <c r="A586" s="33" t="str">
        <f aca="false">IF($G586="","","Corporate Banking Group")</f>
        <v/>
      </c>
      <c r="B586" s="19"/>
      <c r="C586" s="19"/>
      <c r="D586" s="19"/>
      <c r="E586" s="19"/>
      <c r="F586" s="19"/>
      <c r="G586" s="19"/>
      <c r="H586" s="19"/>
      <c r="I586" s="19"/>
      <c r="J586" s="19"/>
      <c r="K586" s="19"/>
      <c r="L586" s="19"/>
      <c r="M586" s="19"/>
      <c r="N586" s="19"/>
      <c r="O586" s="19"/>
      <c r="P586" s="19"/>
      <c r="Q586" s="19"/>
      <c r="R586" s="19"/>
      <c r="S586" s="19"/>
      <c r="T586" s="34" t="str">
        <f aca="false">IF($R586="","",IFERROR(INDEX(DriverCategory,MATCH($R586,DriverList,0)),"BAU"))</f>
        <v/>
      </c>
      <c r="U586" s="34" t="str">
        <f aca="false">IF($R586="","",IFERROR(INDEX(DriverRank,MATCH($R586,DriverList,0)),99))</f>
        <v/>
      </c>
      <c r="V586" s="35" t="n">
        <f aca="false">IF($H586="",0,IFERROR(INDEX(LevelBasic,MATCH($H586,LevelList,0))+INDEX(LevelHousing,MATCH($H586,LevelList,0))+INDEX(LevelTransport,MATCH($H586,LevelList,0))+INDEX(LevelBasic,MATCH($H586,LevelList,0))*INDEX(LevelBonus,MATCH($H586,LevelList,0))+(INDEX(LevelBasic,MATCH($H586,LevelList,0))+INDEX(LevelHousing,MATCH($H586,LevelList,0)))*GosiSaudi,0))</f>
        <v>0</v>
      </c>
      <c r="W586" s="35" t="n">
        <f aca="false">IFERROR(INDEX(LevelOneOff,MATCH($H586,LevelList,0)),0)</f>
        <v>0</v>
      </c>
      <c r="X586" s="35" t="str">
        <f aca="false">IF($G586="","",$V586*N($L586))</f>
        <v/>
      </c>
      <c r="Y586" s="35" t="str">
        <f aca="false">IF($G586="","",$V586*(N($M586)*1+N($N586)*0.75+N($O586)*0.5+N($P586)*0.25)+$W586*N($L586))</f>
        <v/>
      </c>
      <c r="Z586" s="35" t="str">
        <f aca="false">IF($G586="","",$U586*1000000+ROW())</f>
        <v/>
      </c>
      <c r="AA586" s="36" t="str">
        <f aca="false">IF($G586="","",MID(IF($C586="",", no division","")&amp;IF($E586="",", no unit","")&amp;IF($H586="",", no career level","")&amp;IF(N($L586)&lt;=0,", no quarter split","")&amp;IF($R586="",", no driver","")&amp;IF(AND($H586&lt;&gt;"",COUNTIF(CareerLevels,$H586)=0),", a career level that is not on the ladder","")&amp;IF(AND($R586&lt;&gt;"",COUNTIF(DriverList,$R586)=0),", a driver that is not on the list","")&amp;IF(ABS(N($L586)-(N($M586)+N($N586)+N($O586)+N($P586)))&gt;0.001,", a total that does not match its quarters",""),3,300))</f>
        <v/>
      </c>
    </row>
    <row r="587" customFormat="false" ht="15" hidden="false" customHeight="false" outlineLevel="0" collapsed="false">
      <c r="A587" s="33" t="str">
        <f aca="false">IF($G587="","","Corporate Banking Group")</f>
        <v/>
      </c>
      <c r="B587" s="19"/>
      <c r="C587" s="19"/>
      <c r="D587" s="19"/>
      <c r="E587" s="19"/>
      <c r="F587" s="19"/>
      <c r="G587" s="19"/>
      <c r="H587" s="19"/>
      <c r="I587" s="19"/>
      <c r="J587" s="19"/>
      <c r="K587" s="19"/>
      <c r="L587" s="19"/>
      <c r="M587" s="19"/>
      <c r="N587" s="19"/>
      <c r="O587" s="19"/>
      <c r="P587" s="19"/>
      <c r="Q587" s="19"/>
      <c r="R587" s="19"/>
      <c r="S587" s="19"/>
      <c r="T587" s="34" t="str">
        <f aca="false">IF($R587="","",IFERROR(INDEX(DriverCategory,MATCH($R587,DriverList,0)),"BAU"))</f>
        <v/>
      </c>
      <c r="U587" s="34" t="str">
        <f aca="false">IF($R587="","",IFERROR(INDEX(DriverRank,MATCH($R587,DriverList,0)),99))</f>
        <v/>
      </c>
      <c r="V587" s="35" t="n">
        <f aca="false">IF($H587="",0,IFERROR(INDEX(LevelBasic,MATCH($H587,LevelList,0))+INDEX(LevelHousing,MATCH($H587,LevelList,0))+INDEX(LevelTransport,MATCH($H587,LevelList,0))+INDEX(LevelBasic,MATCH($H587,LevelList,0))*INDEX(LevelBonus,MATCH($H587,LevelList,0))+(INDEX(LevelBasic,MATCH($H587,LevelList,0))+INDEX(LevelHousing,MATCH($H587,LevelList,0)))*GosiSaudi,0))</f>
        <v>0</v>
      </c>
      <c r="W587" s="35" t="n">
        <f aca="false">IFERROR(INDEX(LevelOneOff,MATCH($H587,LevelList,0)),0)</f>
        <v>0</v>
      </c>
      <c r="X587" s="35" t="str">
        <f aca="false">IF($G587="","",$V587*N($L587))</f>
        <v/>
      </c>
      <c r="Y587" s="35" t="str">
        <f aca="false">IF($G587="","",$V587*(N($M587)*1+N($N587)*0.75+N($O587)*0.5+N($P587)*0.25)+$W587*N($L587))</f>
        <v/>
      </c>
      <c r="Z587" s="35" t="str">
        <f aca="false">IF($G587="","",$U587*1000000+ROW())</f>
        <v/>
      </c>
      <c r="AA587" s="36" t="str">
        <f aca="false">IF($G587="","",MID(IF($C587="",", no division","")&amp;IF($E587="",", no unit","")&amp;IF($H587="",", no career level","")&amp;IF(N($L587)&lt;=0,", no quarter split","")&amp;IF($R587="",", no driver","")&amp;IF(AND($H587&lt;&gt;"",COUNTIF(CareerLevels,$H587)=0),", a career level that is not on the ladder","")&amp;IF(AND($R587&lt;&gt;"",COUNTIF(DriverList,$R587)=0),", a driver that is not on the list","")&amp;IF(ABS(N($L587)-(N($M587)+N($N587)+N($O587)+N($P587)))&gt;0.001,", a total that does not match its quarters",""),3,300))</f>
        <v/>
      </c>
    </row>
    <row r="588" customFormat="false" ht="15" hidden="false" customHeight="false" outlineLevel="0" collapsed="false">
      <c r="A588" s="33" t="str">
        <f aca="false">IF($G588="","","Corporate Banking Group")</f>
        <v/>
      </c>
      <c r="B588" s="19"/>
      <c r="C588" s="19"/>
      <c r="D588" s="19"/>
      <c r="E588" s="19"/>
      <c r="F588" s="19"/>
      <c r="G588" s="19"/>
      <c r="H588" s="19"/>
      <c r="I588" s="19"/>
      <c r="J588" s="19"/>
      <c r="K588" s="19"/>
      <c r="L588" s="19"/>
      <c r="M588" s="19"/>
      <c r="N588" s="19"/>
      <c r="O588" s="19"/>
      <c r="P588" s="19"/>
      <c r="Q588" s="19"/>
      <c r="R588" s="19"/>
      <c r="S588" s="19"/>
      <c r="T588" s="34" t="str">
        <f aca="false">IF($R588="","",IFERROR(INDEX(DriverCategory,MATCH($R588,DriverList,0)),"BAU"))</f>
        <v/>
      </c>
      <c r="U588" s="34" t="str">
        <f aca="false">IF($R588="","",IFERROR(INDEX(DriverRank,MATCH($R588,DriverList,0)),99))</f>
        <v/>
      </c>
      <c r="V588" s="35" t="n">
        <f aca="false">IF($H588="",0,IFERROR(INDEX(LevelBasic,MATCH($H588,LevelList,0))+INDEX(LevelHousing,MATCH($H588,LevelList,0))+INDEX(LevelTransport,MATCH($H588,LevelList,0))+INDEX(LevelBasic,MATCH($H588,LevelList,0))*INDEX(LevelBonus,MATCH($H588,LevelList,0))+(INDEX(LevelBasic,MATCH($H588,LevelList,0))+INDEX(LevelHousing,MATCH($H588,LevelList,0)))*GosiSaudi,0))</f>
        <v>0</v>
      </c>
      <c r="W588" s="35" t="n">
        <f aca="false">IFERROR(INDEX(LevelOneOff,MATCH($H588,LevelList,0)),0)</f>
        <v>0</v>
      </c>
      <c r="X588" s="35" t="str">
        <f aca="false">IF($G588="","",$V588*N($L588))</f>
        <v/>
      </c>
      <c r="Y588" s="35" t="str">
        <f aca="false">IF($G588="","",$V588*(N($M588)*1+N($N588)*0.75+N($O588)*0.5+N($P588)*0.25)+$W588*N($L588))</f>
        <v/>
      </c>
      <c r="Z588" s="35" t="str">
        <f aca="false">IF($G588="","",$U588*1000000+ROW())</f>
        <v/>
      </c>
      <c r="AA588" s="36" t="str">
        <f aca="false">IF($G588="","",MID(IF($C588="",", no division","")&amp;IF($E588="",", no unit","")&amp;IF($H588="",", no career level","")&amp;IF(N($L588)&lt;=0,", no quarter split","")&amp;IF($R588="",", no driver","")&amp;IF(AND($H588&lt;&gt;"",COUNTIF(CareerLevels,$H588)=0),", a career level that is not on the ladder","")&amp;IF(AND($R588&lt;&gt;"",COUNTIF(DriverList,$R588)=0),", a driver that is not on the list","")&amp;IF(ABS(N($L588)-(N($M588)+N($N588)+N($O588)+N($P588)))&gt;0.001,", a total that does not match its quarters",""),3,300))</f>
        <v/>
      </c>
    </row>
    <row r="589" customFormat="false" ht="15" hidden="false" customHeight="false" outlineLevel="0" collapsed="false">
      <c r="A589" s="33" t="str">
        <f aca="false">IF($G589="","","Corporate Banking Group")</f>
        <v/>
      </c>
      <c r="B589" s="19"/>
      <c r="C589" s="19"/>
      <c r="D589" s="19"/>
      <c r="E589" s="19"/>
      <c r="F589" s="19"/>
      <c r="G589" s="19"/>
      <c r="H589" s="19"/>
      <c r="I589" s="19"/>
      <c r="J589" s="19"/>
      <c r="K589" s="19"/>
      <c r="L589" s="19"/>
      <c r="M589" s="19"/>
      <c r="N589" s="19"/>
      <c r="O589" s="19"/>
      <c r="P589" s="19"/>
      <c r="Q589" s="19"/>
      <c r="R589" s="19"/>
      <c r="S589" s="19"/>
      <c r="T589" s="34" t="str">
        <f aca="false">IF($R589="","",IFERROR(INDEX(DriverCategory,MATCH($R589,DriverList,0)),"BAU"))</f>
        <v/>
      </c>
      <c r="U589" s="34" t="str">
        <f aca="false">IF($R589="","",IFERROR(INDEX(DriverRank,MATCH($R589,DriverList,0)),99))</f>
        <v/>
      </c>
      <c r="V589" s="35" t="n">
        <f aca="false">IF($H589="",0,IFERROR(INDEX(LevelBasic,MATCH($H589,LevelList,0))+INDEX(LevelHousing,MATCH($H589,LevelList,0))+INDEX(LevelTransport,MATCH($H589,LevelList,0))+INDEX(LevelBasic,MATCH($H589,LevelList,0))*INDEX(LevelBonus,MATCH($H589,LevelList,0))+(INDEX(LevelBasic,MATCH($H589,LevelList,0))+INDEX(LevelHousing,MATCH($H589,LevelList,0)))*GosiSaudi,0))</f>
        <v>0</v>
      </c>
      <c r="W589" s="35" t="n">
        <f aca="false">IFERROR(INDEX(LevelOneOff,MATCH($H589,LevelList,0)),0)</f>
        <v>0</v>
      </c>
      <c r="X589" s="35" t="str">
        <f aca="false">IF($G589="","",$V589*N($L589))</f>
        <v/>
      </c>
      <c r="Y589" s="35" t="str">
        <f aca="false">IF($G589="","",$V589*(N($M589)*1+N($N589)*0.75+N($O589)*0.5+N($P589)*0.25)+$W589*N($L589))</f>
        <v/>
      </c>
      <c r="Z589" s="35" t="str">
        <f aca="false">IF($G589="","",$U589*1000000+ROW())</f>
        <v/>
      </c>
      <c r="AA589" s="36" t="str">
        <f aca="false">IF($G589="","",MID(IF($C589="",", no division","")&amp;IF($E589="",", no unit","")&amp;IF($H589="",", no career level","")&amp;IF(N($L589)&lt;=0,", no quarter split","")&amp;IF($R589="",", no driver","")&amp;IF(AND($H589&lt;&gt;"",COUNTIF(CareerLevels,$H589)=0),", a career level that is not on the ladder","")&amp;IF(AND($R589&lt;&gt;"",COUNTIF(DriverList,$R589)=0),", a driver that is not on the list","")&amp;IF(ABS(N($L589)-(N($M589)+N($N589)+N($O589)+N($P589)))&gt;0.001,", a total that does not match its quarters",""),3,300))</f>
        <v/>
      </c>
    </row>
    <row r="590" customFormat="false" ht="15" hidden="false" customHeight="false" outlineLevel="0" collapsed="false">
      <c r="A590" s="33" t="str">
        <f aca="false">IF($G590="","","Corporate Banking Group")</f>
        <v/>
      </c>
      <c r="B590" s="19"/>
      <c r="C590" s="19"/>
      <c r="D590" s="19"/>
      <c r="E590" s="19"/>
      <c r="F590" s="19"/>
      <c r="G590" s="19"/>
      <c r="H590" s="19"/>
      <c r="I590" s="19"/>
      <c r="J590" s="19"/>
      <c r="K590" s="19"/>
      <c r="L590" s="19"/>
      <c r="M590" s="19"/>
      <c r="N590" s="19"/>
      <c r="O590" s="19"/>
      <c r="P590" s="19"/>
      <c r="Q590" s="19"/>
      <c r="R590" s="19"/>
      <c r="S590" s="19"/>
      <c r="T590" s="34" t="str">
        <f aca="false">IF($R590="","",IFERROR(INDEX(DriverCategory,MATCH($R590,DriverList,0)),"BAU"))</f>
        <v/>
      </c>
      <c r="U590" s="34" t="str">
        <f aca="false">IF($R590="","",IFERROR(INDEX(DriverRank,MATCH($R590,DriverList,0)),99))</f>
        <v/>
      </c>
      <c r="V590" s="35" t="n">
        <f aca="false">IF($H590="",0,IFERROR(INDEX(LevelBasic,MATCH($H590,LevelList,0))+INDEX(LevelHousing,MATCH($H590,LevelList,0))+INDEX(LevelTransport,MATCH($H590,LevelList,0))+INDEX(LevelBasic,MATCH($H590,LevelList,0))*INDEX(LevelBonus,MATCH($H590,LevelList,0))+(INDEX(LevelBasic,MATCH($H590,LevelList,0))+INDEX(LevelHousing,MATCH($H590,LevelList,0)))*GosiSaudi,0))</f>
        <v>0</v>
      </c>
      <c r="W590" s="35" t="n">
        <f aca="false">IFERROR(INDEX(LevelOneOff,MATCH($H590,LevelList,0)),0)</f>
        <v>0</v>
      </c>
      <c r="X590" s="35" t="str">
        <f aca="false">IF($G590="","",$V590*N($L590))</f>
        <v/>
      </c>
      <c r="Y590" s="35" t="str">
        <f aca="false">IF($G590="","",$V590*(N($M590)*1+N($N590)*0.75+N($O590)*0.5+N($P590)*0.25)+$W590*N($L590))</f>
        <v/>
      </c>
      <c r="Z590" s="35" t="str">
        <f aca="false">IF($G590="","",$U590*1000000+ROW())</f>
        <v/>
      </c>
      <c r="AA590" s="36" t="str">
        <f aca="false">IF($G590="","",MID(IF($C590="",", no division","")&amp;IF($E590="",", no unit","")&amp;IF($H590="",", no career level","")&amp;IF(N($L590)&lt;=0,", no quarter split","")&amp;IF($R590="",", no driver","")&amp;IF(AND($H590&lt;&gt;"",COUNTIF(CareerLevels,$H590)=0),", a career level that is not on the ladder","")&amp;IF(AND($R590&lt;&gt;"",COUNTIF(DriverList,$R590)=0),", a driver that is not on the list","")&amp;IF(ABS(N($L590)-(N($M590)+N($N590)+N($O590)+N($P590)))&gt;0.001,", a total that does not match its quarters",""),3,300))</f>
        <v/>
      </c>
    </row>
    <row r="591" customFormat="false" ht="15" hidden="false" customHeight="false" outlineLevel="0" collapsed="false">
      <c r="A591" s="33" t="str">
        <f aca="false">IF($G591="","","Corporate Banking Group")</f>
        <v/>
      </c>
      <c r="B591" s="19"/>
      <c r="C591" s="19"/>
      <c r="D591" s="19"/>
      <c r="E591" s="19"/>
      <c r="F591" s="19"/>
      <c r="G591" s="19"/>
      <c r="H591" s="19"/>
      <c r="I591" s="19"/>
      <c r="J591" s="19"/>
      <c r="K591" s="19"/>
      <c r="L591" s="19"/>
      <c r="M591" s="19"/>
      <c r="N591" s="19"/>
      <c r="O591" s="19"/>
      <c r="P591" s="19"/>
      <c r="Q591" s="19"/>
      <c r="R591" s="19"/>
      <c r="S591" s="19"/>
      <c r="T591" s="34" t="str">
        <f aca="false">IF($R591="","",IFERROR(INDEX(DriverCategory,MATCH($R591,DriverList,0)),"BAU"))</f>
        <v/>
      </c>
      <c r="U591" s="34" t="str">
        <f aca="false">IF($R591="","",IFERROR(INDEX(DriverRank,MATCH($R591,DriverList,0)),99))</f>
        <v/>
      </c>
      <c r="V591" s="35" t="n">
        <f aca="false">IF($H591="",0,IFERROR(INDEX(LevelBasic,MATCH($H591,LevelList,0))+INDEX(LevelHousing,MATCH($H591,LevelList,0))+INDEX(LevelTransport,MATCH($H591,LevelList,0))+INDEX(LevelBasic,MATCH($H591,LevelList,0))*INDEX(LevelBonus,MATCH($H591,LevelList,0))+(INDEX(LevelBasic,MATCH($H591,LevelList,0))+INDEX(LevelHousing,MATCH($H591,LevelList,0)))*GosiSaudi,0))</f>
        <v>0</v>
      </c>
      <c r="W591" s="35" t="n">
        <f aca="false">IFERROR(INDEX(LevelOneOff,MATCH($H591,LevelList,0)),0)</f>
        <v>0</v>
      </c>
      <c r="X591" s="35" t="str">
        <f aca="false">IF($G591="","",$V591*N($L591))</f>
        <v/>
      </c>
      <c r="Y591" s="35" t="str">
        <f aca="false">IF($G591="","",$V591*(N($M591)*1+N($N591)*0.75+N($O591)*0.5+N($P591)*0.25)+$W591*N($L591))</f>
        <v/>
      </c>
      <c r="Z591" s="35" t="str">
        <f aca="false">IF($G591="","",$U591*1000000+ROW())</f>
        <v/>
      </c>
      <c r="AA591" s="36" t="str">
        <f aca="false">IF($G591="","",MID(IF($C591="",", no division","")&amp;IF($E591="",", no unit","")&amp;IF($H591="",", no career level","")&amp;IF(N($L591)&lt;=0,", no quarter split","")&amp;IF($R591="",", no driver","")&amp;IF(AND($H591&lt;&gt;"",COUNTIF(CareerLevels,$H591)=0),", a career level that is not on the ladder","")&amp;IF(AND($R591&lt;&gt;"",COUNTIF(DriverList,$R591)=0),", a driver that is not on the list","")&amp;IF(ABS(N($L591)-(N($M591)+N($N591)+N($O591)+N($P591)))&gt;0.001,", a total that does not match its quarters",""),3,300))</f>
        <v/>
      </c>
    </row>
    <row r="592" customFormat="false" ht="15" hidden="false" customHeight="false" outlineLevel="0" collapsed="false">
      <c r="A592" s="33" t="str">
        <f aca="false">IF($G592="","","Corporate Banking Group")</f>
        <v/>
      </c>
      <c r="B592" s="19"/>
      <c r="C592" s="19"/>
      <c r="D592" s="19"/>
      <c r="E592" s="19"/>
      <c r="F592" s="19"/>
      <c r="G592" s="19"/>
      <c r="H592" s="19"/>
      <c r="I592" s="19"/>
      <c r="J592" s="19"/>
      <c r="K592" s="19"/>
      <c r="L592" s="19"/>
      <c r="M592" s="19"/>
      <c r="N592" s="19"/>
      <c r="O592" s="19"/>
      <c r="P592" s="19"/>
      <c r="Q592" s="19"/>
      <c r="R592" s="19"/>
      <c r="S592" s="19"/>
      <c r="T592" s="34" t="str">
        <f aca="false">IF($R592="","",IFERROR(INDEX(DriverCategory,MATCH($R592,DriverList,0)),"BAU"))</f>
        <v/>
      </c>
      <c r="U592" s="34" t="str">
        <f aca="false">IF($R592="","",IFERROR(INDEX(DriverRank,MATCH($R592,DriverList,0)),99))</f>
        <v/>
      </c>
      <c r="V592" s="35" t="n">
        <f aca="false">IF($H592="",0,IFERROR(INDEX(LevelBasic,MATCH($H592,LevelList,0))+INDEX(LevelHousing,MATCH($H592,LevelList,0))+INDEX(LevelTransport,MATCH($H592,LevelList,0))+INDEX(LevelBasic,MATCH($H592,LevelList,0))*INDEX(LevelBonus,MATCH($H592,LevelList,0))+(INDEX(LevelBasic,MATCH($H592,LevelList,0))+INDEX(LevelHousing,MATCH($H592,LevelList,0)))*GosiSaudi,0))</f>
        <v>0</v>
      </c>
      <c r="W592" s="35" t="n">
        <f aca="false">IFERROR(INDEX(LevelOneOff,MATCH($H592,LevelList,0)),0)</f>
        <v>0</v>
      </c>
      <c r="X592" s="35" t="str">
        <f aca="false">IF($G592="","",$V592*N($L592))</f>
        <v/>
      </c>
      <c r="Y592" s="35" t="str">
        <f aca="false">IF($G592="","",$V592*(N($M592)*1+N($N592)*0.75+N($O592)*0.5+N($P592)*0.25)+$W592*N($L592))</f>
        <v/>
      </c>
      <c r="Z592" s="35" t="str">
        <f aca="false">IF($G592="","",$U592*1000000+ROW())</f>
        <v/>
      </c>
      <c r="AA592" s="36" t="str">
        <f aca="false">IF($G592="","",MID(IF($C592="",", no division","")&amp;IF($E592="",", no unit","")&amp;IF($H592="",", no career level","")&amp;IF(N($L592)&lt;=0,", no quarter split","")&amp;IF($R592="",", no driver","")&amp;IF(AND($H592&lt;&gt;"",COUNTIF(CareerLevels,$H592)=0),", a career level that is not on the ladder","")&amp;IF(AND($R592&lt;&gt;"",COUNTIF(DriverList,$R592)=0),", a driver that is not on the list","")&amp;IF(ABS(N($L592)-(N($M592)+N($N592)+N($O592)+N($P592)))&gt;0.001,", a total that does not match its quarters",""),3,300))</f>
        <v/>
      </c>
    </row>
    <row r="593" customFormat="false" ht="15" hidden="false" customHeight="false" outlineLevel="0" collapsed="false">
      <c r="A593" s="33" t="str">
        <f aca="false">IF($G593="","","Corporate Banking Group")</f>
        <v/>
      </c>
      <c r="B593" s="19"/>
      <c r="C593" s="19"/>
      <c r="D593" s="19"/>
      <c r="E593" s="19"/>
      <c r="F593" s="19"/>
      <c r="G593" s="19"/>
      <c r="H593" s="19"/>
      <c r="I593" s="19"/>
      <c r="J593" s="19"/>
      <c r="K593" s="19"/>
      <c r="L593" s="19"/>
      <c r="M593" s="19"/>
      <c r="N593" s="19"/>
      <c r="O593" s="19"/>
      <c r="P593" s="19"/>
      <c r="Q593" s="19"/>
      <c r="R593" s="19"/>
      <c r="S593" s="19"/>
      <c r="T593" s="34" t="str">
        <f aca="false">IF($R593="","",IFERROR(INDEX(DriverCategory,MATCH($R593,DriverList,0)),"BAU"))</f>
        <v/>
      </c>
      <c r="U593" s="34" t="str">
        <f aca="false">IF($R593="","",IFERROR(INDEX(DriverRank,MATCH($R593,DriverList,0)),99))</f>
        <v/>
      </c>
      <c r="V593" s="35" t="n">
        <f aca="false">IF($H593="",0,IFERROR(INDEX(LevelBasic,MATCH($H593,LevelList,0))+INDEX(LevelHousing,MATCH($H593,LevelList,0))+INDEX(LevelTransport,MATCH($H593,LevelList,0))+INDEX(LevelBasic,MATCH($H593,LevelList,0))*INDEX(LevelBonus,MATCH($H593,LevelList,0))+(INDEX(LevelBasic,MATCH($H593,LevelList,0))+INDEX(LevelHousing,MATCH($H593,LevelList,0)))*GosiSaudi,0))</f>
        <v>0</v>
      </c>
      <c r="W593" s="35" t="n">
        <f aca="false">IFERROR(INDEX(LevelOneOff,MATCH($H593,LevelList,0)),0)</f>
        <v>0</v>
      </c>
      <c r="X593" s="35" t="str">
        <f aca="false">IF($G593="","",$V593*N($L593))</f>
        <v/>
      </c>
      <c r="Y593" s="35" t="str">
        <f aca="false">IF($G593="","",$V593*(N($M593)*1+N($N593)*0.75+N($O593)*0.5+N($P593)*0.25)+$W593*N($L593))</f>
        <v/>
      </c>
      <c r="Z593" s="35" t="str">
        <f aca="false">IF($G593="","",$U593*1000000+ROW())</f>
        <v/>
      </c>
      <c r="AA593" s="36" t="str">
        <f aca="false">IF($G593="","",MID(IF($C593="",", no division","")&amp;IF($E593="",", no unit","")&amp;IF($H593="",", no career level","")&amp;IF(N($L593)&lt;=0,", no quarter split","")&amp;IF($R593="",", no driver","")&amp;IF(AND($H593&lt;&gt;"",COUNTIF(CareerLevels,$H593)=0),", a career level that is not on the ladder","")&amp;IF(AND($R593&lt;&gt;"",COUNTIF(DriverList,$R593)=0),", a driver that is not on the list","")&amp;IF(ABS(N($L593)-(N($M593)+N($N593)+N($O593)+N($P593)))&gt;0.001,", a total that does not match its quarters",""),3,300))</f>
        <v/>
      </c>
    </row>
    <row r="594" customFormat="false" ht="15" hidden="false" customHeight="false" outlineLevel="0" collapsed="false">
      <c r="A594" s="33" t="str">
        <f aca="false">IF($G594="","","Corporate Banking Group")</f>
        <v/>
      </c>
      <c r="B594" s="19"/>
      <c r="C594" s="19"/>
      <c r="D594" s="19"/>
      <c r="E594" s="19"/>
      <c r="F594" s="19"/>
      <c r="G594" s="19"/>
      <c r="H594" s="19"/>
      <c r="I594" s="19"/>
      <c r="J594" s="19"/>
      <c r="K594" s="19"/>
      <c r="L594" s="19"/>
      <c r="M594" s="19"/>
      <c r="N594" s="19"/>
      <c r="O594" s="19"/>
      <c r="P594" s="19"/>
      <c r="Q594" s="19"/>
      <c r="R594" s="19"/>
      <c r="S594" s="19"/>
      <c r="T594" s="34" t="str">
        <f aca="false">IF($R594="","",IFERROR(INDEX(DriverCategory,MATCH($R594,DriverList,0)),"BAU"))</f>
        <v/>
      </c>
      <c r="U594" s="34" t="str">
        <f aca="false">IF($R594="","",IFERROR(INDEX(DriverRank,MATCH($R594,DriverList,0)),99))</f>
        <v/>
      </c>
      <c r="V594" s="35" t="n">
        <f aca="false">IF($H594="",0,IFERROR(INDEX(LevelBasic,MATCH($H594,LevelList,0))+INDEX(LevelHousing,MATCH($H594,LevelList,0))+INDEX(LevelTransport,MATCH($H594,LevelList,0))+INDEX(LevelBasic,MATCH($H594,LevelList,0))*INDEX(LevelBonus,MATCH($H594,LevelList,0))+(INDEX(LevelBasic,MATCH($H594,LevelList,0))+INDEX(LevelHousing,MATCH($H594,LevelList,0)))*GosiSaudi,0))</f>
        <v>0</v>
      </c>
      <c r="W594" s="35" t="n">
        <f aca="false">IFERROR(INDEX(LevelOneOff,MATCH($H594,LevelList,0)),0)</f>
        <v>0</v>
      </c>
      <c r="X594" s="35" t="str">
        <f aca="false">IF($G594="","",$V594*N($L594))</f>
        <v/>
      </c>
      <c r="Y594" s="35" t="str">
        <f aca="false">IF($G594="","",$V594*(N($M594)*1+N($N594)*0.75+N($O594)*0.5+N($P594)*0.25)+$W594*N($L594))</f>
        <v/>
      </c>
      <c r="Z594" s="35" t="str">
        <f aca="false">IF($G594="","",$U594*1000000+ROW())</f>
        <v/>
      </c>
      <c r="AA594" s="36" t="str">
        <f aca="false">IF($G594="","",MID(IF($C594="",", no division","")&amp;IF($E594="",", no unit","")&amp;IF($H594="",", no career level","")&amp;IF(N($L594)&lt;=0,", no quarter split","")&amp;IF($R594="",", no driver","")&amp;IF(AND($H594&lt;&gt;"",COUNTIF(CareerLevels,$H594)=0),", a career level that is not on the ladder","")&amp;IF(AND($R594&lt;&gt;"",COUNTIF(DriverList,$R594)=0),", a driver that is not on the list","")&amp;IF(ABS(N($L594)-(N($M594)+N($N594)+N($O594)+N($P594)))&gt;0.001,", a total that does not match its quarters",""),3,300))</f>
        <v/>
      </c>
    </row>
    <row r="595" customFormat="false" ht="15" hidden="false" customHeight="false" outlineLevel="0" collapsed="false">
      <c r="A595" s="33" t="str">
        <f aca="false">IF($G595="","","Corporate Banking Group")</f>
        <v/>
      </c>
      <c r="B595" s="19"/>
      <c r="C595" s="19"/>
      <c r="D595" s="19"/>
      <c r="E595" s="19"/>
      <c r="F595" s="19"/>
      <c r="G595" s="19"/>
      <c r="H595" s="19"/>
      <c r="I595" s="19"/>
      <c r="J595" s="19"/>
      <c r="K595" s="19"/>
      <c r="L595" s="19"/>
      <c r="M595" s="19"/>
      <c r="N595" s="19"/>
      <c r="O595" s="19"/>
      <c r="P595" s="19"/>
      <c r="Q595" s="19"/>
      <c r="R595" s="19"/>
      <c r="S595" s="19"/>
      <c r="T595" s="34" t="str">
        <f aca="false">IF($R595="","",IFERROR(INDEX(DriverCategory,MATCH($R595,DriverList,0)),"BAU"))</f>
        <v/>
      </c>
      <c r="U595" s="34" t="str">
        <f aca="false">IF($R595="","",IFERROR(INDEX(DriverRank,MATCH($R595,DriverList,0)),99))</f>
        <v/>
      </c>
      <c r="V595" s="35" t="n">
        <f aca="false">IF($H595="",0,IFERROR(INDEX(LevelBasic,MATCH($H595,LevelList,0))+INDEX(LevelHousing,MATCH($H595,LevelList,0))+INDEX(LevelTransport,MATCH($H595,LevelList,0))+INDEX(LevelBasic,MATCH($H595,LevelList,0))*INDEX(LevelBonus,MATCH($H595,LevelList,0))+(INDEX(LevelBasic,MATCH($H595,LevelList,0))+INDEX(LevelHousing,MATCH($H595,LevelList,0)))*GosiSaudi,0))</f>
        <v>0</v>
      </c>
      <c r="W595" s="35" t="n">
        <f aca="false">IFERROR(INDEX(LevelOneOff,MATCH($H595,LevelList,0)),0)</f>
        <v>0</v>
      </c>
      <c r="X595" s="35" t="str">
        <f aca="false">IF($G595="","",$V595*N($L595))</f>
        <v/>
      </c>
      <c r="Y595" s="35" t="str">
        <f aca="false">IF($G595="","",$V595*(N($M595)*1+N($N595)*0.75+N($O595)*0.5+N($P595)*0.25)+$W595*N($L595))</f>
        <v/>
      </c>
      <c r="Z595" s="35" t="str">
        <f aca="false">IF($G595="","",$U595*1000000+ROW())</f>
        <v/>
      </c>
      <c r="AA595" s="36" t="str">
        <f aca="false">IF($G595="","",MID(IF($C595="",", no division","")&amp;IF($E595="",", no unit","")&amp;IF($H595="",", no career level","")&amp;IF(N($L595)&lt;=0,", no quarter split","")&amp;IF($R595="",", no driver","")&amp;IF(AND($H595&lt;&gt;"",COUNTIF(CareerLevels,$H595)=0),", a career level that is not on the ladder","")&amp;IF(AND($R595&lt;&gt;"",COUNTIF(DriverList,$R595)=0),", a driver that is not on the list","")&amp;IF(ABS(N($L595)-(N($M595)+N($N595)+N($O595)+N($P595)))&gt;0.001,", a total that does not match its quarters",""),3,300))</f>
        <v/>
      </c>
    </row>
    <row r="596" customFormat="false" ht="15" hidden="false" customHeight="false" outlineLevel="0" collapsed="false">
      <c r="A596" s="33" t="str">
        <f aca="false">IF($G596="","","Corporate Banking Group")</f>
        <v/>
      </c>
      <c r="B596" s="19"/>
      <c r="C596" s="19"/>
      <c r="D596" s="19"/>
      <c r="E596" s="19"/>
      <c r="F596" s="19"/>
      <c r="G596" s="19"/>
      <c r="H596" s="19"/>
      <c r="I596" s="19"/>
      <c r="J596" s="19"/>
      <c r="K596" s="19"/>
      <c r="L596" s="19"/>
      <c r="M596" s="19"/>
      <c r="N596" s="19"/>
      <c r="O596" s="19"/>
      <c r="P596" s="19"/>
      <c r="Q596" s="19"/>
      <c r="R596" s="19"/>
      <c r="S596" s="19"/>
      <c r="T596" s="34" t="str">
        <f aca="false">IF($R596="","",IFERROR(INDEX(DriverCategory,MATCH($R596,DriverList,0)),"BAU"))</f>
        <v/>
      </c>
      <c r="U596" s="34" t="str">
        <f aca="false">IF($R596="","",IFERROR(INDEX(DriverRank,MATCH($R596,DriverList,0)),99))</f>
        <v/>
      </c>
      <c r="V596" s="35" t="n">
        <f aca="false">IF($H596="",0,IFERROR(INDEX(LevelBasic,MATCH($H596,LevelList,0))+INDEX(LevelHousing,MATCH($H596,LevelList,0))+INDEX(LevelTransport,MATCH($H596,LevelList,0))+INDEX(LevelBasic,MATCH($H596,LevelList,0))*INDEX(LevelBonus,MATCH($H596,LevelList,0))+(INDEX(LevelBasic,MATCH($H596,LevelList,0))+INDEX(LevelHousing,MATCH($H596,LevelList,0)))*GosiSaudi,0))</f>
        <v>0</v>
      </c>
      <c r="W596" s="35" t="n">
        <f aca="false">IFERROR(INDEX(LevelOneOff,MATCH($H596,LevelList,0)),0)</f>
        <v>0</v>
      </c>
      <c r="X596" s="35" t="str">
        <f aca="false">IF($G596="","",$V596*N($L596))</f>
        <v/>
      </c>
      <c r="Y596" s="35" t="str">
        <f aca="false">IF($G596="","",$V596*(N($M596)*1+N($N596)*0.75+N($O596)*0.5+N($P596)*0.25)+$W596*N($L596))</f>
        <v/>
      </c>
      <c r="Z596" s="35" t="str">
        <f aca="false">IF($G596="","",$U596*1000000+ROW())</f>
        <v/>
      </c>
      <c r="AA596" s="36" t="str">
        <f aca="false">IF($G596="","",MID(IF($C596="",", no division","")&amp;IF($E596="",", no unit","")&amp;IF($H596="",", no career level","")&amp;IF(N($L596)&lt;=0,", no quarter split","")&amp;IF($R596="",", no driver","")&amp;IF(AND($H596&lt;&gt;"",COUNTIF(CareerLevels,$H596)=0),", a career level that is not on the ladder","")&amp;IF(AND($R596&lt;&gt;"",COUNTIF(DriverList,$R596)=0),", a driver that is not on the list","")&amp;IF(ABS(N($L596)-(N($M596)+N($N596)+N($O596)+N($P596)))&gt;0.001,", a total that does not match its quarters",""),3,300))</f>
        <v/>
      </c>
    </row>
    <row r="597" customFormat="false" ht="15" hidden="false" customHeight="false" outlineLevel="0" collapsed="false">
      <c r="A597" s="33" t="str">
        <f aca="false">IF($G597="","","Corporate Banking Group")</f>
        <v/>
      </c>
      <c r="B597" s="19"/>
      <c r="C597" s="19"/>
      <c r="D597" s="19"/>
      <c r="E597" s="19"/>
      <c r="F597" s="19"/>
      <c r="G597" s="19"/>
      <c r="H597" s="19"/>
      <c r="I597" s="19"/>
      <c r="J597" s="19"/>
      <c r="K597" s="19"/>
      <c r="L597" s="19"/>
      <c r="M597" s="19"/>
      <c r="N597" s="19"/>
      <c r="O597" s="19"/>
      <c r="P597" s="19"/>
      <c r="Q597" s="19"/>
      <c r="R597" s="19"/>
      <c r="S597" s="19"/>
      <c r="T597" s="34" t="str">
        <f aca="false">IF($R597="","",IFERROR(INDEX(DriverCategory,MATCH($R597,DriverList,0)),"BAU"))</f>
        <v/>
      </c>
      <c r="U597" s="34" t="str">
        <f aca="false">IF($R597="","",IFERROR(INDEX(DriverRank,MATCH($R597,DriverList,0)),99))</f>
        <v/>
      </c>
      <c r="V597" s="35" t="n">
        <f aca="false">IF($H597="",0,IFERROR(INDEX(LevelBasic,MATCH($H597,LevelList,0))+INDEX(LevelHousing,MATCH($H597,LevelList,0))+INDEX(LevelTransport,MATCH($H597,LevelList,0))+INDEX(LevelBasic,MATCH($H597,LevelList,0))*INDEX(LevelBonus,MATCH($H597,LevelList,0))+(INDEX(LevelBasic,MATCH($H597,LevelList,0))+INDEX(LevelHousing,MATCH($H597,LevelList,0)))*GosiSaudi,0))</f>
        <v>0</v>
      </c>
      <c r="W597" s="35" t="n">
        <f aca="false">IFERROR(INDEX(LevelOneOff,MATCH($H597,LevelList,0)),0)</f>
        <v>0</v>
      </c>
      <c r="X597" s="35" t="str">
        <f aca="false">IF($G597="","",$V597*N($L597))</f>
        <v/>
      </c>
      <c r="Y597" s="35" t="str">
        <f aca="false">IF($G597="","",$V597*(N($M597)*1+N($N597)*0.75+N($O597)*0.5+N($P597)*0.25)+$W597*N($L597))</f>
        <v/>
      </c>
      <c r="Z597" s="35" t="str">
        <f aca="false">IF($G597="","",$U597*1000000+ROW())</f>
        <v/>
      </c>
      <c r="AA597" s="36" t="str">
        <f aca="false">IF($G597="","",MID(IF($C597="",", no division","")&amp;IF($E597="",", no unit","")&amp;IF($H597="",", no career level","")&amp;IF(N($L597)&lt;=0,", no quarter split","")&amp;IF($R597="",", no driver","")&amp;IF(AND($H597&lt;&gt;"",COUNTIF(CareerLevels,$H597)=0),", a career level that is not on the ladder","")&amp;IF(AND($R597&lt;&gt;"",COUNTIF(DriverList,$R597)=0),", a driver that is not on the list","")&amp;IF(ABS(N($L597)-(N($M597)+N($N597)+N($O597)+N($P597)))&gt;0.001,", a total that does not match its quarters",""),3,300))</f>
        <v/>
      </c>
    </row>
    <row r="598" customFormat="false" ht="15" hidden="false" customHeight="false" outlineLevel="0" collapsed="false">
      <c r="A598" s="33" t="str">
        <f aca="false">IF($G598="","","Corporate Banking Group")</f>
        <v/>
      </c>
      <c r="B598" s="19"/>
      <c r="C598" s="19"/>
      <c r="D598" s="19"/>
      <c r="E598" s="19"/>
      <c r="F598" s="19"/>
      <c r="G598" s="19"/>
      <c r="H598" s="19"/>
      <c r="I598" s="19"/>
      <c r="J598" s="19"/>
      <c r="K598" s="19"/>
      <c r="L598" s="19"/>
      <c r="M598" s="19"/>
      <c r="N598" s="19"/>
      <c r="O598" s="19"/>
      <c r="P598" s="19"/>
      <c r="Q598" s="19"/>
      <c r="R598" s="19"/>
      <c r="S598" s="19"/>
      <c r="T598" s="34" t="str">
        <f aca="false">IF($R598="","",IFERROR(INDEX(DriverCategory,MATCH($R598,DriverList,0)),"BAU"))</f>
        <v/>
      </c>
      <c r="U598" s="34" t="str">
        <f aca="false">IF($R598="","",IFERROR(INDEX(DriverRank,MATCH($R598,DriverList,0)),99))</f>
        <v/>
      </c>
      <c r="V598" s="35" t="n">
        <f aca="false">IF($H598="",0,IFERROR(INDEX(LevelBasic,MATCH($H598,LevelList,0))+INDEX(LevelHousing,MATCH($H598,LevelList,0))+INDEX(LevelTransport,MATCH($H598,LevelList,0))+INDEX(LevelBasic,MATCH($H598,LevelList,0))*INDEX(LevelBonus,MATCH($H598,LevelList,0))+(INDEX(LevelBasic,MATCH($H598,LevelList,0))+INDEX(LevelHousing,MATCH($H598,LevelList,0)))*GosiSaudi,0))</f>
        <v>0</v>
      </c>
      <c r="W598" s="35" t="n">
        <f aca="false">IFERROR(INDEX(LevelOneOff,MATCH($H598,LevelList,0)),0)</f>
        <v>0</v>
      </c>
      <c r="X598" s="35" t="str">
        <f aca="false">IF($G598="","",$V598*N($L598))</f>
        <v/>
      </c>
      <c r="Y598" s="35" t="str">
        <f aca="false">IF($G598="","",$V598*(N($M598)*1+N($N598)*0.75+N($O598)*0.5+N($P598)*0.25)+$W598*N($L598))</f>
        <v/>
      </c>
      <c r="Z598" s="35" t="str">
        <f aca="false">IF($G598="","",$U598*1000000+ROW())</f>
        <v/>
      </c>
      <c r="AA598" s="36" t="str">
        <f aca="false">IF($G598="","",MID(IF($C598="",", no division","")&amp;IF($E598="",", no unit","")&amp;IF($H598="",", no career level","")&amp;IF(N($L598)&lt;=0,", no quarter split","")&amp;IF($R598="",", no driver","")&amp;IF(AND($H598&lt;&gt;"",COUNTIF(CareerLevels,$H598)=0),", a career level that is not on the ladder","")&amp;IF(AND($R598&lt;&gt;"",COUNTIF(DriverList,$R598)=0),", a driver that is not on the list","")&amp;IF(ABS(N($L598)-(N($M598)+N($N598)+N($O598)+N($P598)))&gt;0.001,", a total that does not match its quarters",""),3,300))</f>
        <v/>
      </c>
    </row>
    <row r="599" customFormat="false" ht="15" hidden="false" customHeight="false" outlineLevel="0" collapsed="false">
      <c r="A599" s="33" t="str">
        <f aca="false">IF($G599="","","Corporate Banking Group")</f>
        <v/>
      </c>
      <c r="B599" s="19"/>
      <c r="C599" s="19"/>
      <c r="D599" s="19"/>
      <c r="E599" s="19"/>
      <c r="F599" s="19"/>
      <c r="G599" s="19"/>
      <c r="H599" s="19"/>
      <c r="I599" s="19"/>
      <c r="J599" s="19"/>
      <c r="K599" s="19"/>
      <c r="L599" s="19"/>
      <c r="M599" s="19"/>
      <c r="N599" s="19"/>
      <c r="O599" s="19"/>
      <c r="P599" s="19"/>
      <c r="Q599" s="19"/>
      <c r="R599" s="19"/>
      <c r="S599" s="19"/>
      <c r="T599" s="34" t="str">
        <f aca="false">IF($R599="","",IFERROR(INDEX(DriverCategory,MATCH($R599,DriverList,0)),"BAU"))</f>
        <v/>
      </c>
      <c r="U599" s="34" t="str">
        <f aca="false">IF($R599="","",IFERROR(INDEX(DriverRank,MATCH($R599,DriverList,0)),99))</f>
        <v/>
      </c>
      <c r="V599" s="35" t="n">
        <f aca="false">IF($H599="",0,IFERROR(INDEX(LevelBasic,MATCH($H599,LevelList,0))+INDEX(LevelHousing,MATCH($H599,LevelList,0))+INDEX(LevelTransport,MATCH($H599,LevelList,0))+INDEX(LevelBasic,MATCH($H599,LevelList,0))*INDEX(LevelBonus,MATCH($H599,LevelList,0))+(INDEX(LevelBasic,MATCH($H599,LevelList,0))+INDEX(LevelHousing,MATCH($H599,LevelList,0)))*GosiSaudi,0))</f>
        <v>0</v>
      </c>
      <c r="W599" s="35" t="n">
        <f aca="false">IFERROR(INDEX(LevelOneOff,MATCH($H599,LevelList,0)),0)</f>
        <v>0</v>
      </c>
      <c r="X599" s="35" t="str">
        <f aca="false">IF($G599="","",$V599*N($L599))</f>
        <v/>
      </c>
      <c r="Y599" s="35" t="str">
        <f aca="false">IF($G599="","",$V599*(N($M599)*1+N($N599)*0.75+N($O599)*0.5+N($P599)*0.25)+$W599*N($L599))</f>
        <v/>
      </c>
      <c r="Z599" s="35" t="str">
        <f aca="false">IF($G599="","",$U599*1000000+ROW())</f>
        <v/>
      </c>
      <c r="AA599" s="36" t="str">
        <f aca="false">IF($G599="","",MID(IF($C599="",", no division","")&amp;IF($E599="",", no unit","")&amp;IF($H599="",", no career level","")&amp;IF(N($L599)&lt;=0,", no quarter split","")&amp;IF($R599="",", no driver","")&amp;IF(AND($H599&lt;&gt;"",COUNTIF(CareerLevels,$H599)=0),", a career level that is not on the ladder","")&amp;IF(AND($R599&lt;&gt;"",COUNTIF(DriverList,$R599)=0),", a driver that is not on the list","")&amp;IF(ABS(N($L599)-(N($M599)+N($N599)+N($O599)+N($P599)))&gt;0.001,", a total that does not match its quarters",""),3,300))</f>
        <v/>
      </c>
    </row>
    <row r="600" customFormat="false" ht="15" hidden="false" customHeight="false" outlineLevel="0" collapsed="false">
      <c r="A600" s="33" t="str">
        <f aca="false">IF($G600="","","Corporate Banking Group")</f>
        <v/>
      </c>
      <c r="B600" s="19"/>
      <c r="C600" s="19"/>
      <c r="D600" s="19"/>
      <c r="E600" s="19"/>
      <c r="F600" s="19"/>
      <c r="G600" s="19"/>
      <c r="H600" s="19"/>
      <c r="I600" s="19"/>
      <c r="J600" s="19"/>
      <c r="K600" s="19"/>
      <c r="L600" s="19"/>
      <c r="M600" s="19"/>
      <c r="N600" s="19"/>
      <c r="O600" s="19"/>
      <c r="P600" s="19"/>
      <c r="Q600" s="19"/>
      <c r="R600" s="19"/>
      <c r="S600" s="19"/>
      <c r="T600" s="34" t="str">
        <f aca="false">IF($R600="","",IFERROR(INDEX(DriverCategory,MATCH($R600,DriverList,0)),"BAU"))</f>
        <v/>
      </c>
      <c r="U600" s="34" t="str">
        <f aca="false">IF($R600="","",IFERROR(INDEX(DriverRank,MATCH($R600,DriverList,0)),99))</f>
        <v/>
      </c>
      <c r="V600" s="35" t="n">
        <f aca="false">IF($H600="",0,IFERROR(INDEX(LevelBasic,MATCH($H600,LevelList,0))+INDEX(LevelHousing,MATCH($H600,LevelList,0))+INDEX(LevelTransport,MATCH($H600,LevelList,0))+INDEX(LevelBasic,MATCH($H600,LevelList,0))*INDEX(LevelBonus,MATCH($H600,LevelList,0))+(INDEX(LevelBasic,MATCH($H600,LevelList,0))+INDEX(LevelHousing,MATCH($H600,LevelList,0)))*GosiSaudi,0))</f>
        <v>0</v>
      </c>
      <c r="W600" s="35" t="n">
        <f aca="false">IFERROR(INDEX(LevelOneOff,MATCH($H600,LevelList,0)),0)</f>
        <v>0</v>
      </c>
      <c r="X600" s="35" t="str">
        <f aca="false">IF($G600="","",$V600*N($L600))</f>
        <v/>
      </c>
      <c r="Y600" s="35" t="str">
        <f aca="false">IF($G600="","",$V600*(N($M600)*1+N($N600)*0.75+N($O600)*0.5+N($P600)*0.25)+$W600*N($L600))</f>
        <v/>
      </c>
      <c r="Z600" s="35" t="str">
        <f aca="false">IF($G600="","",$U600*1000000+ROW())</f>
        <v/>
      </c>
      <c r="AA600" s="36" t="str">
        <f aca="false">IF($G600="","",MID(IF($C600="",", no division","")&amp;IF($E600="",", no unit","")&amp;IF($H600="",", no career level","")&amp;IF(N($L600)&lt;=0,", no quarter split","")&amp;IF($R600="",", no driver","")&amp;IF(AND($H600&lt;&gt;"",COUNTIF(CareerLevels,$H600)=0),", a career level that is not on the ladder","")&amp;IF(AND($R600&lt;&gt;"",COUNTIF(DriverList,$R600)=0),", a driver that is not on the list","")&amp;IF(ABS(N($L600)-(N($M600)+N($N600)+N($O600)+N($P600)))&gt;0.001,", a total that does not match its quarters",""),3,300))</f>
        <v/>
      </c>
    </row>
    <row r="601" customFormat="false" ht="15" hidden="false" customHeight="false" outlineLevel="0" collapsed="false">
      <c r="A601" s="33" t="str">
        <f aca="false">IF($G601="","","Corporate Banking Group")</f>
        <v/>
      </c>
      <c r="B601" s="19"/>
      <c r="C601" s="19"/>
      <c r="D601" s="19"/>
      <c r="E601" s="19"/>
      <c r="F601" s="19"/>
      <c r="G601" s="19"/>
      <c r="H601" s="19"/>
      <c r="I601" s="19"/>
      <c r="J601" s="19"/>
      <c r="K601" s="19"/>
      <c r="L601" s="19"/>
      <c r="M601" s="19"/>
      <c r="N601" s="19"/>
      <c r="O601" s="19"/>
      <c r="P601" s="19"/>
      <c r="Q601" s="19"/>
      <c r="R601" s="19"/>
      <c r="S601" s="19"/>
      <c r="T601" s="34" t="str">
        <f aca="false">IF($R601="","",IFERROR(INDEX(DriverCategory,MATCH($R601,DriverList,0)),"BAU"))</f>
        <v/>
      </c>
      <c r="U601" s="34" t="str">
        <f aca="false">IF($R601="","",IFERROR(INDEX(DriverRank,MATCH($R601,DriverList,0)),99))</f>
        <v/>
      </c>
      <c r="V601" s="35" t="n">
        <f aca="false">IF($H601="",0,IFERROR(INDEX(LevelBasic,MATCH($H601,LevelList,0))+INDEX(LevelHousing,MATCH($H601,LevelList,0))+INDEX(LevelTransport,MATCH($H601,LevelList,0))+INDEX(LevelBasic,MATCH($H601,LevelList,0))*INDEX(LevelBonus,MATCH($H601,LevelList,0))+(INDEX(LevelBasic,MATCH($H601,LevelList,0))+INDEX(LevelHousing,MATCH($H601,LevelList,0)))*GosiSaudi,0))</f>
        <v>0</v>
      </c>
      <c r="W601" s="35" t="n">
        <f aca="false">IFERROR(INDEX(LevelOneOff,MATCH($H601,LevelList,0)),0)</f>
        <v>0</v>
      </c>
      <c r="X601" s="35" t="str">
        <f aca="false">IF($G601="","",$V601*N($L601))</f>
        <v/>
      </c>
      <c r="Y601" s="35" t="str">
        <f aca="false">IF($G601="","",$V601*(N($M601)*1+N($N601)*0.75+N($O601)*0.5+N($P601)*0.25)+$W601*N($L601))</f>
        <v/>
      </c>
      <c r="Z601" s="35" t="str">
        <f aca="false">IF($G601="","",$U601*1000000+ROW())</f>
        <v/>
      </c>
      <c r="AA601" s="36" t="str">
        <f aca="false">IF($G601="","",MID(IF($C601="",", no division","")&amp;IF($E601="",", no unit","")&amp;IF($H601="",", no career level","")&amp;IF(N($L601)&lt;=0,", no quarter split","")&amp;IF($R601="",", no driver","")&amp;IF(AND($H601&lt;&gt;"",COUNTIF(CareerLevels,$H601)=0),", a career level that is not on the ladder","")&amp;IF(AND($R601&lt;&gt;"",COUNTIF(DriverList,$R601)=0),", a driver that is not on the list","")&amp;IF(ABS(N($L601)-(N($M601)+N($N601)+N($O601)+N($P601)))&gt;0.001,", a total that does not match its quarters",""),3,300))</f>
        <v/>
      </c>
    </row>
    <row r="602" customFormat="false" ht="15" hidden="false" customHeight="false" outlineLevel="0" collapsed="false">
      <c r="A602" s="33" t="str">
        <f aca="false">IF($G602="","","Corporate Banking Group")</f>
        <v/>
      </c>
      <c r="B602" s="19"/>
      <c r="C602" s="19"/>
      <c r="D602" s="19"/>
      <c r="E602" s="19"/>
      <c r="F602" s="19"/>
      <c r="G602" s="19"/>
      <c r="H602" s="19"/>
      <c r="I602" s="19"/>
      <c r="J602" s="19"/>
      <c r="K602" s="19"/>
      <c r="L602" s="19"/>
      <c r="M602" s="19"/>
      <c r="N602" s="19"/>
      <c r="O602" s="19"/>
      <c r="P602" s="19"/>
      <c r="Q602" s="19"/>
      <c r="R602" s="19"/>
      <c r="S602" s="19"/>
      <c r="T602" s="34" t="str">
        <f aca="false">IF($R602="","",IFERROR(INDEX(DriverCategory,MATCH($R602,DriverList,0)),"BAU"))</f>
        <v/>
      </c>
      <c r="U602" s="34" t="str">
        <f aca="false">IF($R602="","",IFERROR(INDEX(DriverRank,MATCH($R602,DriverList,0)),99))</f>
        <v/>
      </c>
      <c r="V602" s="35" t="n">
        <f aca="false">IF($H602="",0,IFERROR(INDEX(LevelBasic,MATCH($H602,LevelList,0))+INDEX(LevelHousing,MATCH($H602,LevelList,0))+INDEX(LevelTransport,MATCH($H602,LevelList,0))+INDEX(LevelBasic,MATCH($H602,LevelList,0))*INDEX(LevelBonus,MATCH($H602,LevelList,0))+(INDEX(LevelBasic,MATCH($H602,LevelList,0))+INDEX(LevelHousing,MATCH($H602,LevelList,0)))*GosiSaudi,0))</f>
        <v>0</v>
      </c>
      <c r="W602" s="35" t="n">
        <f aca="false">IFERROR(INDEX(LevelOneOff,MATCH($H602,LevelList,0)),0)</f>
        <v>0</v>
      </c>
      <c r="X602" s="35" t="str">
        <f aca="false">IF($G602="","",$V602*N($L602))</f>
        <v/>
      </c>
      <c r="Y602" s="35" t="str">
        <f aca="false">IF($G602="","",$V602*(N($M602)*1+N($N602)*0.75+N($O602)*0.5+N($P602)*0.25)+$W602*N($L602))</f>
        <v/>
      </c>
      <c r="Z602" s="35" t="str">
        <f aca="false">IF($G602="","",$U602*1000000+ROW())</f>
        <v/>
      </c>
      <c r="AA602" s="36" t="str">
        <f aca="false">IF($G602="","",MID(IF($C602="",", no division","")&amp;IF($E602="",", no unit","")&amp;IF($H602="",", no career level","")&amp;IF(N($L602)&lt;=0,", no quarter split","")&amp;IF($R602="",", no driver","")&amp;IF(AND($H602&lt;&gt;"",COUNTIF(CareerLevels,$H602)=0),", a career level that is not on the ladder","")&amp;IF(AND($R602&lt;&gt;"",COUNTIF(DriverList,$R602)=0),", a driver that is not on the list","")&amp;IF(ABS(N($L602)-(N($M602)+N($N602)+N($O602)+N($P602)))&gt;0.001,", a total that does not match its quarters",""),3,300))</f>
        <v/>
      </c>
    </row>
    <row r="603" customFormat="false" ht="15" hidden="false" customHeight="false" outlineLevel="0" collapsed="false">
      <c r="A603" s="33" t="str">
        <f aca="false">IF($G603="","","Corporate Banking Group")</f>
        <v/>
      </c>
      <c r="B603" s="19"/>
      <c r="C603" s="19"/>
      <c r="D603" s="19"/>
      <c r="E603" s="19"/>
      <c r="F603" s="19"/>
      <c r="G603" s="19"/>
      <c r="H603" s="19"/>
      <c r="I603" s="19"/>
      <c r="J603" s="19"/>
      <c r="K603" s="19"/>
      <c r="L603" s="19"/>
      <c r="M603" s="19"/>
      <c r="N603" s="19"/>
      <c r="O603" s="19"/>
      <c r="P603" s="19"/>
      <c r="Q603" s="19"/>
      <c r="R603" s="19"/>
      <c r="S603" s="19"/>
      <c r="T603" s="34" t="str">
        <f aca="false">IF($R603="","",IFERROR(INDEX(DriverCategory,MATCH($R603,DriverList,0)),"BAU"))</f>
        <v/>
      </c>
      <c r="U603" s="34" t="str">
        <f aca="false">IF($R603="","",IFERROR(INDEX(DriverRank,MATCH($R603,DriverList,0)),99))</f>
        <v/>
      </c>
      <c r="V603" s="35" t="n">
        <f aca="false">IF($H603="",0,IFERROR(INDEX(LevelBasic,MATCH($H603,LevelList,0))+INDEX(LevelHousing,MATCH($H603,LevelList,0))+INDEX(LevelTransport,MATCH($H603,LevelList,0))+INDEX(LevelBasic,MATCH($H603,LevelList,0))*INDEX(LevelBonus,MATCH($H603,LevelList,0))+(INDEX(LevelBasic,MATCH($H603,LevelList,0))+INDEX(LevelHousing,MATCH($H603,LevelList,0)))*GosiSaudi,0))</f>
        <v>0</v>
      </c>
      <c r="W603" s="35" t="n">
        <f aca="false">IFERROR(INDEX(LevelOneOff,MATCH($H603,LevelList,0)),0)</f>
        <v>0</v>
      </c>
      <c r="X603" s="35" t="str">
        <f aca="false">IF($G603="","",$V603*N($L603))</f>
        <v/>
      </c>
      <c r="Y603" s="35" t="str">
        <f aca="false">IF($G603="","",$V603*(N($M603)*1+N($N603)*0.75+N($O603)*0.5+N($P603)*0.25)+$W603*N($L603))</f>
        <v/>
      </c>
      <c r="Z603" s="35" t="str">
        <f aca="false">IF($G603="","",$U603*1000000+ROW())</f>
        <v/>
      </c>
      <c r="AA603" s="36" t="str">
        <f aca="false">IF($G603="","",MID(IF($C603="",", no division","")&amp;IF($E603="",", no unit","")&amp;IF($H603="",", no career level","")&amp;IF(N($L603)&lt;=0,", no quarter split","")&amp;IF($R603="",", no driver","")&amp;IF(AND($H603&lt;&gt;"",COUNTIF(CareerLevels,$H603)=0),", a career level that is not on the ladder","")&amp;IF(AND($R603&lt;&gt;"",COUNTIF(DriverList,$R603)=0),", a driver that is not on the list","")&amp;IF(ABS(N($L603)-(N($M603)+N($N603)+N($O603)+N($P603)))&gt;0.001,", a total that does not match its quarters",""),3,300))</f>
        <v/>
      </c>
    </row>
    <row r="604" customFormat="false" ht="15" hidden="false" customHeight="false" outlineLevel="0" collapsed="false">
      <c r="A604" s="33" t="str">
        <f aca="false">IF($G604="","","Corporate Banking Group")</f>
        <v/>
      </c>
      <c r="B604" s="19"/>
      <c r="C604" s="19"/>
      <c r="D604" s="19"/>
      <c r="E604" s="19"/>
      <c r="F604" s="19"/>
      <c r="G604" s="19"/>
      <c r="H604" s="19"/>
      <c r="I604" s="19"/>
      <c r="J604" s="19"/>
      <c r="K604" s="19"/>
      <c r="L604" s="19"/>
      <c r="M604" s="19"/>
      <c r="N604" s="19"/>
      <c r="O604" s="19"/>
      <c r="P604" s="19"/>
      <c r="Q604" s="19"/>
      <c r="R604" s="19"/>
      <c r="S604" s="19"/>
      <c r="T604" s="34" t="str">
        <f aca="false">IF($R604="","",IFERROR(INDEX(DriverCategory,MATCH($R604,DriverList,0)),"BAU"))</f>
        <v/>
      </c>
      <c r="U604" s="34" t="str">
        <f aca="false">IF($R604="","",IFERROR(INDEX(DriverRank,MATCH($R604,DriverList,0)),99))</f>
        <v/>
      </c>
      <c r="V604" s="35" t="n">
        <f aca="false">IF($H604="",0,IFERROR(INDEX(LevelBasic,MATCH($H604,LevelList,0))+INDEX(LevelHousing,MATCH($H604,LevelList,0))+INDEX(LevelTransport,MATCH($H604,LevelList,0))+INDEX(LevelBasic,MATCH($H604,LevelList,0))*INDEX(LevelBonus,MATCH($H604,LevelList,0))+(INDEX(LevelBasic,MATCH($H604,LevelList,0))+INDEX(LevelHousing,MATCH($H604,LevelList,0)))*GosiSaudi,0))</f>
        <v>0</v>
      </c>
      <c r="W604" s="35" t="n">
        <f aca="false">IFERROR(INDEX(LevelOneOff,MATCH($H604,LevelList,0)),0)</f>
        <v>0</v>
      </c>
      <c r="X604" s="35" t="str">
        <f aca="false">IF($G604="","",$V604*N($L604))</f>
        <v/>
      </c>
      <c r="Y604" s="35" t="str">
        <f aca="false">IF($G604="","",$V604*(N($M604)*1+N($N604)*0.75+N($O604)*0.5+N($P604)*0.25)+$W604*N($L604))</f>
        <v/>
      </c>
      <c r="Z604" s="35" t="str">
        <f aca="false">IF($G604="","",$U604*1000000+ROW())</f>
        <v/>
      </c>
      <c r="AA604" s="36" t="str">
        <f aca="false">IF($G604="","",MID(IF($C604="",", no division","")&amp;IF($E604="",", no unit","")&amp;IF($H604="",", no career level","")&amp;IF(N($L604)&lt;=0,", no quarter split","")&amp;IF($R604="",", no driver","")&amp;IF(AND($H604&lt;&gt;"",COUNTIF(CareerLevels,$H604)=0),", a career level that is not on the ladder","")&amp;IF(AND($R604&lt;&gt;"",COUNTIF(DriverList,$R604)=0),", a driver that is not on the list","")&amp;IF(ABS(N($L604)-(N($M604)+N($N604)+N($O604)+N($P604)))&gt;0.001,", a total that does not match its quarters",""),3,300))</f>
        <v/>
      </c>
    </row>
    <row r="605" customFormat="false" ht="15" hidden="false" customHeight="false" outlineLevel="0" collapsed="false">
      <c r="A605" s="33" t="str">
        <f aca="false">IF($G605="","","Corporate Banking Group")</f>
        <v/>
      </c>
      <c r="B605" s="19"/>
      <c r="C605" s="19"/>
      <c r="D605" s="19"/>
      <c r="E605" s="19"/>
      <c r="F605" s="19"/>
      <c r="G605" s="19"/>
      <c r="H605" s="19"/>
      <c r="I605" s="19"/>
      <c r="J605" s="19"/>
      <c r="K605" s="19"/>
      <c r="L605" s="19"/>
      <c r="M605" s="19"/>
      <c r="N605" s="19"/>
      <c r="O605" s="19"/>
      <c r="P605" s="19"/>
      <c r="Q605" s="19"/>
      <c r="R605" s="19"/>
      <c r="S605" s="19"/>
      <c r="T605" s="34" t="str">
        <f aca="false">IF($R605="","",IFERROR(INDEX(DriverCategory,MATCH($R605,DriverList,0)),"BAU"))</f>
        <v/>
      </c>
      <c r="U605" s="34" t="str">
        <f aca="false">IF($R605="","",IFERROR(INDEX(DriverRank,MATCH($R605,DriverList,0)),99))</f>
        <v/>
      </c>
      <c r="V605" s="35" t="n">
        <f aca="false">IF($H605="",0,IFERROR(INDEX(LevelBasic,MATCH($H605,LevelList,0))+INDEX(LevelHousing,MATCH($H605,LevelList,0))+INDEX(LevelTransport,MATCH($H605,LevelList,0))+INDEX(LevelBasic,MATCH($H605,LevelList,0))*INDEX(LevelBonus,MATCH($H605,LevelList,0))+(INDEX(LevelBasic,MATCH($H605,LevelList,0))+INDEX(LevelHousing,MATCH($H605,LevelList,0)))*GosiSaudi,0))</f>
        <v>0</v>
      </c>
      <c r="W605" s="35" t="n">
        <f aca="false">IFERROR(INDEX(LevelOneOff,MATCH($H605,LevelList,0)),0)</f>
        <v>0</v>
      </c>
      <c r="X605" s="35" t="str">
        <f aca="false">IF($G605="","",$V605*N($L605))</f>
        <v/>
      </c>
      <c r="Y605" s="35" t="str">
        <f aca="false">IF($G605="","",$V605*(N($M605)*1+N($N605)*0.75+N($O605)*0.5+N($P605)*0.25)+$W605*N($L605))</f>
        <v/>
      </c>
      <c r="Z605" s="35" t="str">
        <f aca="false">IF($G605="","",$U605*1000000+ROW())</f>
        <v/>
      </c>
      <c r="AA605" s="36" t="str">
        <f aca="false">IF($G605="","",MID(IF($C605="",", no division","")&amp;IF($E605="",", no unit","")&amp;IF($H605="",", no career level","")&amp;IF(N($L605)&lt;=0,", no quarter split","")&amp;IF($R605="",", no driver","")&amp;IF(AND($H605&lt;&gt;"",COUNTIF(CareerLevels,$H605)=0),", a career level that is not on the ladder","")&amp;IF(AND($R605&lt;&gt;"",COUNTIF(DriverList,$R605)=0),", a driver that is not on the list","")&amp;IF(ABS(N($L605)-(N($M605)+N($N605)+N($O605)+N($P605)))&gt;0.001,", a total that does not match its quarters",""),3,300))</f>
        <v/>
      </c>
    </row>
    <row r="606" customFormat="false" ht="15" hidden="false" customHeight="false" outlineLevel="0" collapsed="false">
      <c r="A606" s="28" t="str">
        <f aca="false">IF($G606="","","Finance Group")</f>
        <v/>
      </c>
      <c r="B606" s="29"/>
      <c r="C606" s="29"/>
      <c r="D606" s="29"/>
      <c r="E606" s="29"/>
      <c r="F606" s="29"/>
      <c r="G606" s="29"/>
      <c r="H606" s="29"/>
      <c r="I606" s="29"/>
      <c r="J606" s="29"/>
      <c r="K606" s="29"/>
      <c r="L606" s="29"/>
      <c r="M606" s="29"/>
      <c r="N606" s="29"/>
      <c r="O606" s="29"/>
      <c r="P606" s="29"/>
      <c r="Q606" s="29"/>
      <c r="R606" s="29"/>
      <c r="S606" s="29"/>
      <c r="T606" s="30" t="str">
        <f aca="false">IF($R606="","",IFERROR(INDEX(DriverCategory,MATCH($R606,DriverList,0)),"BAU"))</f>
        <v/>
      </c>
      <c r="U606" s="30" t="str">
        <f aca="false">IF($R606="","",IFERROR(INDEX(DriverRank,MATCH($R606,DriverList,0)),99))</f>
        <v/>
      </c>
      <c r="V606" s="31" t="n">
        <f aca="false">IF($H606="",0,IFERROR(INDEX(LevelBasic,MATCH($H606,LevelList,0))+INDEX(LevelHousing,MATCH($H606,LevelList,0))+INDEX(LevelTransport,MATCH($H606,LevelList,0))+INDEX(LevelBasic,MATCH($H606,LevelList,0))*INDEX(LevelBonus,MATCH($H606,LevelList,0))+(INDEX(LevelBasic,MATCH($H606,LevelList,0))+INDEX(LevelHousing,MATCH($H606,LevelList,0)))*GosiSaudi,0))</f>
        <v>0</v>
      </c>
      <c r="W606" s="31" t="n">
        <f aca="false">IFERROR(INDEX(LevelOneOff,MATCH($H606,LevelList,0)),0)</f>
        <v>0</v>
      </c>
      <c r="X606" s="31" t="str">
        <f aca="false">IF($G606="","",$V606*N($L606))</f>
        <v/>
      </c>
      <c r="Y606" s="31" t="str">
        <f aca="false">IF($G606="","",$V606*(N($M606)*1+N($N606)*0.75+N($O606)*0.5+N($P606)*0.25)+$W606*N($L606))</f>
        <v/>
      </c>
      <c r="Z606" s="31" t="str">
        <f aca="false">IF($G606="","",$U606*1000000+ROW())</f>
        <v/>
      </c>
      <c r="AA606" s="32" t="str">
        <f aca="false">IF($G606="","",MID(IF($C606="",", no division","")&amp;IF($E606="",", no unit","")&amp;IF($H606="",", no career level","")&amp;IF(N($L606)&lt;=0,", no quarter split","")&amp;IF($R606="",", no driver","")&amp;IF(AND($H606&lt;&gt;"",COUNTIF(CareerLevels,$H606)=0),", a career level that is not on the ladder","")&amp;IF(AND($R606&lt;&gt;"",COUNTIF(DriverList,$R606)=0),", a driver that is not on the list","")&amp;IF(ABS(N($L606)-(N($M606)+N($N606)+N($O606)+N($P606)))&gt;0.001,", a total that does not match its quarters",""),3,300))</f>
        <v/>
      </c>
    </row>
    <row r="607" customFormat="false" ht="15" hidden="false" customHeight="false" outlineLevel="0" collapsed="false">
      <c r="A607" s="33" t="str">
        <f aca="false">IF($G607="","","Finance Group")</f>
        <v/>
      </c>
      <c r="B607" s="19"/>
      <c r="C607" s="19"/>
      <c r="D607" s="19"/>
      <c r="E607" s="19"/>
      <c r="F607" s="19"/>
      <c r="G607" s="19"/>
      <c r="H607" s="19"/>
      <c r="I607" s="19"/>
      <c r="J607" s="19"/>
      <c r="K607" s="19"/>
      <c r="L607" s="19"/>
      <c r="M607" s="19"/>
      <c r="N607" s="19"/>
      <c r="O607" s="19"/>
      <c r="P607" s="19"/>
      <c r="Q607" s="19"/>
      <c r="R607" s="19"/>
      <c r="S607" s="19"/>
      <c r="T607" s="34" t="str">
        <f aca="false">IF($R607="","",IFERROR(INDEX(DriverCategory,MATCH($R607,DriverList,0)),"BAU"))</f>
        <v/>
      </c>
      <c r="U607" s="34" t="str">
        <f aca="false">IF($R607="","",IFERROR(INDEX(DriverRank,MATCH($R607,DriverList,0)),99))</f>
        <v/>
      </c>
      <c r="V607" s="35" t="n">
        <f aca="false">IF($H607="",0,IFERROR(INDEX(LevelBasic,MATCH($H607,LevelList,0))+INDEX(LevelHousing,MATCH($H607,LevelList,0))+INDEX(LevelTransport,MATCH($H607,LevelList,0))+INDEX(LevelBasic,MATCH($H607,LevelList,0))*INDEX(LevelBonus,MATCH($H607,LevelList,0))+(INDEX(LevelBasic,MATCH($H607,LevelList,0))+INDEX(LevelHousing,MATCH($H607,LevelList,0)))*GosiSaudi,0))</f>
        <v>0</v>
      </c>
      <c r="W607" s="35" t="n">
        <f aca="false">IFERROR(INDEX(LevelOneOff,MATCH($H607,LevelList,0)),0)</f>
        <v>0</v>
      </c>
      <c r="X607" s="35" t="str">
        <f aca="false">IF($G607="","",$V607*N($L607))</f>
        <v/>
      </c>
      <c r="Y607" s="35" t="str">
        <f aca="false">IF($G607="","",$V607*(N($M607)*1+N($N607)*0.75+N($O607)*0.5+N($P607)*0.25)+$W607*N($L607))</f>
        <v/>
      </c>
      <c r="Z607" s="35" t="str">
        <f aca="false">IF($G607="","",$U607*1000000+ROW())</f>
        <v/>
      </c>
      <c r="AA607" s="36" t="str">
        <f aca="false">IF($G607="","",MID(IF($C607="",", no division","")&amp;IF($E607="",", no unit","")&amp;IF($H607="",", no career level","")&amp;IF(N($L607)&lt;=0,", no quarter split","")&amp;IF($R607="",", no driver","")&amp;IF(AND($H607&lt;&gt;"",COUNTIF(CareerLevels,$H607)=0),", a career level that is not on the ladder","")&amp;IF(AND($R607&lt;&gt;"",COUNTIF(DriverList,$R607)=0),", a driver that is not on the list","")&amp;IF(ABS(N($L607)-(N($M607)+N($N607)+N($O607)+N($P607)))&gt;0.001,", a total that does not match its quarters",""),3,300))</f>
        <v/>
      </c>
    </row>
    <row r="608" customFormat="false" ht="15" hidden="false" customHeight="false" outlineLevel="0" collapsed="false">
      <c r="A608" s="33" t="str">
        <f aca="false">IF($G608="","","Finance Group")</f>
        <v/>
      </c>
      <c r="B608" s="19"/>
      <c r="C608" s="19"/>
      <c r="D608" s="19"/>
      <c r="E608" s="19"/>
      <c r="F608" s="19"/>
      <c r="G608" s="19"/>
      <c r="H608" s="19"/>
      <c r="I608" s="19"/>
      <c r="J608" s="19"/>
      <c r="K608" s="19"/>
      <c r="L608" s="19"/>
      <c r="M608" s="19"/>
      <c r="N608" s="19"/>
      <c r="O608" s="19"/>
      <c r="P608" s="19"/>
      <c r="Q608" s="19"/>
      <c r="R608" s="19"/>
      <c r="S608" s="19"/>
      <c r="T608" s="34" t="str">
        <f aca="false">IF($R608="","",IFERROR(INDEX(DriverCategory,MATCH($R608,DriverList,0)),"BAU"))</f>
        <v/>
      </c>
      <c r="U608" s="34" t="str">
        <f aca="false">IF($R608="","",IFERROR(INDEX(DriverRank,MATCH($R608,DriverList,0)),99))</f>
        <v/>
      </c>
      <c r="V608" s="35" t="n">
        <f aca="false">IF($H608="",0,IFERROR(INDEX(LevelBasic,MATCH($H608,LevelList,0))+INDEX(LevelHousing,MATCH($H608,LevelList,0))+INDEX(LevelTransport,MATCH($H608,LevelList,0))+INDEX(LevelBasic,MATCH($H608,LevelList,0))*INDEX(LevelBonus,MATCH($H608,LevelList,0))+(INDEX(LevelBasic,MATCH($H608,LevelList,0))+INDEX(LevelHousing,MATCH($H608,LevelList,0)))*GosiSaudi,0))</f>
        <v>0</v>
      </c>
      <c r="W608" s="35" t="n">
        <f aca="false">IFERROR(INDEX(LevelOneOff,MATCH($H608,LevelList,0)),0)</f>
        <v>0</v>
      </c>
      <c r="X608" s="35" t="str">
        <f aca="false">IF($G608="","",$V608*N($L608))</f>
        <v/>
      </c>
      <c r="Y608" s="35" t="str">
        <f aca="false">IF($G608="","",$V608*(N($M608)*1+N($N608)*0.75+N($O608)*0.5+N($P608)*0.25)+$W608*N($L608))</f>
        <v/>
      </c>
      <c r="Z608" s="35" t="str">
        <f aca="false">IF($G608="","",$U608*1000000+ROW())</f>
        <v/>
      </c>
      <c r="AA608" s="36" t="str">
        <f aca="false">IF($G608="","",MID(IF($C608="",", no division","")&amp;IF($E608="",", no unit","")&amp;IF($H608="",", no career level","")&amp;IF(N($L608)&lt;=0,", no quarter split","")&amp;IF($R608="",", no driver","")&amp;IF(AND($H608&lt;&gt;"",COUNTIF(CareerLevels,$H608)=0),", a career level that is not on the ladder","")&amp;IF(AND($R608&lt;&gt;"",COUNTIF(DriverList,$R608)=0),", a driver that is not on the list","")&amp;IF(ABS(N($L608)-(N($M608)+N($N608)+N($O608)+N($P608)))&gt;0.001,", a total that does not match its quarters",""),3,300))</f>
        <v/>
      </c>
    </row>
    <row r="609" customFormat="false" ht="15" hidden="false" customHeight="false" outlineLevel="0" collapsed="false">
      <c r="A609" s="33" t="str">
        <f aca="false">IF($G609="","","Finance Group")</f>
        <v/>
      </c>
      <c r="B609" s="19"/>
      <c r="C609" s="19"/>
      <c r="D609" s="19"/>
      <c r="E609" s="19"/>
      <c r="F609" s="19"/>
      <c r="G609" s="19"/>
      <c r="H609" s="19"/>
      <c r="I609" s="19"/>
      <c r="J609" s="19"/>
      <c r="K609" s="19"/>
      <c r="L609" s="19"/>
      <c r="M609" s="19"/>
      <c r="N609" s="19"/>
      <c r="O609" s="19"/>
      <c r="P609" s="19"/>
      <c r="Q609" s="19"/>
      <c r="R609" s="19"/>
      <c r="S609" s="19"/>
      <c r="T609" s="34" t="str">
        <f aca="false">IF($R609="","",IFERROR(INDEX(DriverCategory,MATCH($R609,DriverList,0)),"BAU"))</f>
        <v/>
      </c>
      <c r="U609" s="34" t="str">
        <f aca="false">IF($R609="","",IFERROR(INDEX(DriverRank,MATCH($R609,DriverList,0)),99))</f>
        <v/>
      </c>
      <c r="V609" s="35" t="n">
        <f aca="false">IF($H609="",0,IFERROR(INDEX(LevelBasic,MATCH($H609,LevelList,0))+INDEX(LevelHousing,MATCH($H609,LevelList,0))+INDEX(LevelTransport,MATCH($H609,LevelList,0))+INDEX(LevelBasic,MATCH($H609,LevelList,0))*INDEX(LevelBonus,MATCH($H609,LevelList,0))+(INDEX(LevelBasic,MATCH($H609,LevelList,0))+INDEX(LevelHousing,MATCH($H609,LevelList,0)))*GosiSaudi,0))</f>
        <v>0</v>
      </c>
      <c r="W609" s="35" t="n">
        <f aca="false">IFERROR(INDEX(LevelOneOff,MATCH($H609,LevelList,0)),0)</f>
        <v>0</v>
      </c>
      <c r="X609" s="35" t="str">
        <f aca="false">IF($G609="","",$V609*N($L609))</f>
        <v/>
      </c>
      <c r="Y609" s="35" t="str">
        <f aca="false">IF($G609="","",$V609*(N($M609)*1+N($N609)*0.75+N($O609)*0.5+N($P609)*0.25)+$W609*N($L609))</f>
        <v/>
      </c>
      <c r="Z609" s="35" t="str">
        <f aca="false">IF($G609="","",$U609*1000000+ROW())</f>
        <v/>
      </c>
      <c r="AA609" s="36" t="str">
        <f aca="false">IF($G609="","",MID(IF($C609="",", no division","")&amp;IF($E609="",", no unit","")&amp;IF($H609="",", no career level","")&amp;IF(N($L609)&lt;=0,", no quarter split","")&amp;IF($R609="",", no driver","")&amp;IF(AND($H609&lt;&gt;"",COUNTIF(CareerLevels,$H609)=0),", a career level that is not on the ladder","")&amp;IF(AND($R609&lt;&gt;"",COUNTIF(DriverList,$R609)=0),", a driver that is not on the list","")&amp;IF(ABS(N($L609)-(N($M609)+N($N609)+N($O609)+N($P609)))&gt;0.001,", a total that does not match its quarters",""),3,300))</f>
        <v/>
      </c>
    </row>
    <row r="610" customFormat="false" ht="15" hidden="false" customHeight="false" outlineLevel="0" collapsed="false">
      <c r="A610" s="33" t="str">
        <f aca="false">IF($G610="","","Finance Group")</f>
        <v/>
      </c>
      <c r="B610" s="19"/>
      <c r="C610" s="19"/>
      <c r="D610" s="19"/>
      <c r="E610" s="19"/>
      <c r="F610" s="19"/>
      <c r="G610" s="19"/>
      <c r="H610" s="19"/>
      <c r="I610" s="19"/>
      <c r="J610" s="19"/>
      <c r="K610" s="19"/>
      <c r="L610" s="19"/>
      <c r="M610" s="19"/>
      <c r="N610" s="19"/>
      <c r="O610" s="19"/>
      <c r="P610" s="19"/>
      <c r="Q610" s="19"/>
      <c r="R610" s="19"/>
      <c r="S610" s="19"/>
      <c r="T610" s="34" t="str">
        <f aca="false">IF($R610="","",IFERROR(INDEX(DriverCategory,MATCH($R610,DriverList,0)),"BAU"))</f>
        <v/>
      </c>
      <c r="U610" s="34" t="str">
        <f aca="false">IF($R610="","",IFERROR(INDEX(DriverRank,MATCH($R610,DriverList,0)),99))</f>
        <v/>
      </c>
      <c r="V610" s="35" t="n">
        <f aca="false">IF($H610="",0,IFERROR(INDEX(LevelBasic,MATCH($H610,LevelList,0))+INDEX(LevelHousing,MATCH($H610,LevelList,0))+INDEX(LevelTransport,MATCH($H610,LevelList,0))+INDEX(LevelBasic,MATCH($H610,LevelList,0))*INDEX(LevelBonus,MATCH($H610,LevelList,0))+(INDEX(LevelBasic,MATCH($H610,LevelList,0))+INDEX(LevelHousing,MATCH($H610,LevelList,0)))*GosiSaudi,0))</f>
        <v>0</v>
      </c>
      <c r="W610" s="35" t="n">
        <f aca="false">IFERROR(INDEX(LevelOneOff,MATCH($H610,LevelList,0)),0)</f>
        <v>0</v>
      </c>
      <c r="X610" s="35" t="str">
        <f aca="false">IF($G610="","",$V610*N($L610))</f>
        <v/>
      </c>
      <c r="Y610" s="35" t="str">
        <f aca="false">IF($G610="","",$V610*(N($M610)*1+N($N610)*0.75+N($O610)*0.5+N($P610)*0.25)+$W610*N($L610))</f>
        <v/>
      </c>
      <c r="Z610" s="35" t="str">
        <f aca="false">IF($G610="","",$U610*1000000+ROW())</f>
        <v/>
      </c>
      <c r="AA610" s="36" t="str">
        <f aca="false">IF($G610="","",MID(IF($C610="",", no division","")&amp;IF($E610="",", no unit","")&amp;IF($H610="",", no career level","")&amp;IF(N($L610)&lt;=0,", no quarter split","")&amp;IF($R610="",", no driver","")&amp;IF(AND($H610&lt;&gt;"",COUNTIF(CareerLevels,$H610)=0),", a career level that is not on the ladder","")&amp;IF(AND($R610&lt;&gt;"",COUNTIF(DriverList,$R610)=0),", a driver that is not on the list","")&amp;IF(ABS(N($L610)-(N($M610)+N($N610)+N($O610)+N($P610)))&gt;0.001,", a total that does not match its quarters",""),3,300))</f>
        <v/>
      </c>
    </row>
    <row r="611" customFormat="false" ht="15" hidden="false" customHeight="false" outlineLevel="0" collapsed="false">
      <c r="A611" s="33" t="str">
        <f aca="false">IF($G611="","","Finance Group")</f>
        <v/>
      </c>
      <c r="B611" s="19"/>
      <c r="C611" s="19"/>
      <c r="D611" s="19"/>
      <c r="E611" s="19"/>
      <c r="F611" s="19"/>
      <c r="G611" s="19"/>
      <c r="H611" s="19"/>
      <c r="I611" s="19"/>
      <c r="J611" s="19"/>
      <c r="K611" s="19"/>
      <c r="L611" s="19"/>
      <c r="M611" s="19"/>
      <c r="N611" s="19"/>
      <c r="O611" s="19"/>
      <c r="P611" s="19"/>
      <c r="Q611" s="19"/>
      <c r="R611" s="19"/>
      <c r="S611" s="19"/>
      <c r="T611" s="34" t="str">
        <f aca="false">IF($R611="","",IFERROR(INDEX(DriverCategory,MATCH($R611,DriverList,0)),"BAU"))</f>
        <v/>
      </c>
      <c r="U611" s="34" t="str">
        <f aca="false">IF($R611="","",IFERROR(INDEX(DriverRank,MATCH($R611,DriverList,0)),99))</f>
        <v/>
      </c>
      <c r="V611" s="35" t="n">
        <f aca="false">IF($H611="",0,IFERROR(INDEX(LevelBasic,MATCH($H611,LevelList,0))+INDEX(LevelHousing,MATCH($H611,LevelList,0))+INDEX(LevelTransport,MATCH($H611,LevelList,0))+INDEX(LevelBasic,MATCH($H611,LevelList,0))*INDEX(LevelBonus,MATCH($H611,LevelList,0))+(INDEX(LevelBasic,MATCH($H611,LevelList,0))+INDEX(LevelHousing,MATCH($H611,LevelList,0)))*GosiSaudi,0))</f>
        <v>0</v>
      </c>
      <c r="W611" s="35" t="n">
        <f aca="false">IFERROR(INDEX(LevelOneOff,MATCH($H611,LevelList,0)),0)</f>
        <v>0</v>
      </c>
      <c r="X611" s="35" t="str">
        <f aca="false">IF($G611="","",$V611*N($L611))</f>
        <v/>
      </c>
      <c r="Y611" s="35" t="str">
        <f aca="false">IF($G611="","",$V611*(N($M611)*1+N($N611)*0.75+N($O611)*0.5+N($P611)*0.25)+$W611*N($L611))</f>
        <v/>
      </c>
      <c r="Z611" s="35" t="str">
        <f aca="false">IF($G611="","",$U611*1000000+ROW())</f>
        <v/>
      </c>
      <c r="AA611" s="36" t="str">
        <f aca="false">IF($G611="","",MID(IF($C611="",", no division","")&amp;IF($E611="",", no unit","")&amp;IF($H611="",", no career level","")&amp;IF(N($L611)&lt;=0,", no quarter split","")&amp;IF($R611="",", no driver","")&amp;IF(AND($H611&lt;&gt;"",COUNTIF(CareerLevels,$H611)=0),", a career level that is not on the ladder","")&amp;IF(AND($R611&lt;&gt;"",COUNTIF(DriverList,$R611)=0),", a driver that is not on the list","")&amp;IF(ABS(N($L611)-(N($M611)+N($N611)+N($O611)+N($P611)))&gt;0.001,", a total that does not match its quarters",""),3,300))</f>
        <v/>
      </c>
    </row>
    <row r="612" customFormat="false" ht="15" hidden="false" customHeight="false" outlineLevel="0" collapsed="false">
      <c r="A612" s="33" t="str">
        <f aca="false">IF($G612="","","Finance Group")</f>
        <v/>
      </c>
      <c r="B612" s="19"/>
      <c r="C612" s="19"/>
      <c r="D612" s="19"/>
      <c r="E612" s="19"/>
      <c r="F612" s="19"/>
      <c r="G612" s="19"/>
      <c r="H612" s="19"/>
      <c r="I612" s="19"/>
      <c r="J612" s="19"/>
      <c r="K612" s="19"/>
      <c r="L612" s="19"/>
      <c r="M612" s="19"/>
      <c r="N612" s="19"/>
      <c r="O612" s="19"/>
      <c r="P612" s="19"/>
      <c r="Q612" s="19"/>
      <c r="R612" s="19"/>
      <c r="S612" s="19"/>
      <c r="T612" s="34" t="str">
        <f aca="false">IF($R612="","",IFERROR(INDEX(DriverCategory,MATCH($R612,DriverList,0)),"BAU"))</f>
        <v/>
      </c>
      <c r="U612" s="34" t="str">
        <f aca="false">IF($R612="","",IFERROR(INDEX(DriverRank,MATCH($R612,DriverList,0)),99))</f>
        <v/>
      </c>
      <c r="V612" s="35" t="n">
        <f aca="false">IF($H612="",0,IFERROR(INDEX(LevelBasic,MATCH($H612,LevelList,0))+INDEX(LevelHousing,MATCH($H612,LevelList,0))+INDEX(LevelTransport,MATCH($H612,LevelList,0))+INDEX(LevelBasic,MATCH($H612,LevelList,0))*INDEX(LevelBonus,MATCH($H612,LevelList,0))+(INDEX(LevelBasic,MATCH($H612,LevelList,0))+INDEX(LevelHousing,MATCH($H612,LevelList,0)))*GosiSaudi,0))</f>
        <v>0</v>
      </c>
      <c r="W612" s="35" t="n">
        <f aca="false">IFERROR(INDEX(LevelOneOff,MATCH($H612,LevelList,0)),0)</f>
        <v>0</v>
      </c>
      <c r="X612" s="35" t="str">
        <f aca="false">IF($G612="","",$V612*N($L612))</f>
        <v/>
      </c>
      <c r="Y612" s="35" t="str">
        <f aca="false">IF($G612="","",$V612*(N($M612)*1+N($N612)*0.75+N($O612)*0.5+N($P612)*0.25)+$W612*N($L612))</f>
        <v/>
      </c>
      <c r="Z612" s="35" t="str">
        <f aca="false">IF($G612="","",$U612*1000000+ROW())</f>
        <v/>
      </c>
      <c r="AA612" s="36" t="str">
        <f aca="false">IF($G612="","",MID(IF($C612="",", no division","")&amp;IF($E612="",", no unit","")&amp;IF($H612="",", no career level","")&amp;IF(N($L612)&lt;=0,", no quarter split","")&amp;IF($R612="",", no driver","")&amp;IF(AND($H612&lt;&gt;"",COUNTIF(CareerLevels,$H612)=0),", a career level that is not on the ladder","")&amp;IF(AND($R612&lt;&gt;"",COUNTIF(DriverList,$R612)=0),", a driver that is not on the list","")&amp;IF(ABS(N($L612)-(N($M612)+N($N612)+N($O612)+N($P612)))&gt;0.001,", a total that does not match its quarters",""),3,300))</f>
        <v/>
      </c>
    </row>
    <row r="613" customFormat="false" ht="15" hidden="false" customHeight="false" outlineLevel="0" collapsed="false">
      <c r="A613" s="33" t="str">
        <f aca="false">IF($G613="","","Finance Group")</f>
        <v/>
      </c>
      <c r="B613" s="19"/>
      <c r="C613" s="19"/>
      <c r="D613" s="19"/>
      <c r="E613" s="19"/>
      <c r="F613" s="19"/>
      <c r="G613" s="19"/>
      <c r="H613" s="19"/>
      <c r="I613" s="19"/>
      <c r="J613" s="19"/>
      <c r="K613" s="19"/>
      <c r="L613" s="19"/>
      <c r="M613" s="19"/>
      <c r="N613" s="19"/>
      <c r="O613" s="19"/>
      <c r="P613" s="19"/>
      <c r="Q613" s="19"/>
      <c r="R613" s="19"/>
      <c r="S613" s="19"/>
      <c r="T613" s="34" t="str">
        <f aca="false">IF($R613="","",IFERROR(INDEX(DriverCategory,MATCH($R613,DriverList,0)),"BAU"))</f>
        <v/>
      </c>
      <c r="U613" s="34" t="str">
        <f aca="false">IF($R613="","",IFERROR(INDEX(DriverRank,MATCH($R613,DriverList,0)),99))</f>
        <v/>
      </c>
      <c r="V613" s="35" t="n">
        <f aca="false">IF($H613="",0,IFERROR(INDEX(LevelBasic,MATCH($H613,LevelList,0))+INDEX(LevelHousing,MATCH($H613,LevelList,0))+INDEX(LevelTransport,MATCH($H613,LevelList,0))+INDEX(LevelBasic,MATCH($H613,LevelList,0))*INDEX(LevelBonus,MATCH($H613,LevelList,0))+(INDEX(LevelBasic,MATCH($H613,LevelList,0))+INDEX(LevelHousing,MATCH($H613,LevelList,0)))*GosiSaudi,0))</f>
        <v>0</v>
      </c>
      <c r="W613" s="35" t="n">
        <f aca="false">IFERROR(INDEX(LevelOneOff,MATCH($H613,LevelList,0)),0)</f>
        <v>0</v>
      </c>
      <c r="X613" s="35" t="str">
        <f aca="false">IF($G613="","",$V613*N($L613))</f>
        <v/>
      </c>
      <c r="Y613" s="35" t="str">
        <f aca="false">IF($G613="","",$V613*(N($M613)*1+N($N613)*0.75+N($O613)*0.5+N($P613)*0.25)+$W613*N($L613))</f>
        <v/>
      </c>
      <c r="Z613" s="35" t="str">
        <f aca="false">IF($G613="","",$U613*1000000+ROW())</f>
        <v/>
      </c>
      <c r="AA613" s="36" t="str">
        <f aca="false">IF($G613="","",MID(IF($C613="",", no division","")&amp;IF($E613="",", no unit","")&amp;IF($H613="",", no career level","")&amp;IF(N($L613)&lt;=0,", no quarter split","")&amp;IF($R613="",", no driver","")&amp;IF(AND($H613&lt;&gt;"",COUNTIF(CareerLevels,$H613)=0),", a career level that is not on the ladder","")&amp;IF(AND($R613&lt;&gt;"",COUNTIF(DriverList,$R613)=0),", a driver that is not on the list","")&amp;IF(ABS(N($L613)-(N($M613)+N($N613)+N($O613)+N($P613)))&gt;0.001,", a total that does not match its quarters",""),3,300))</f>
        <v/>
      </c>
    </row>
    <row r="614" customFormat="false" ht="15" hidden="false" customHeight="false" outlineLevel="0" collapsed="false">
      <c r="A614" s="33" t="str">
        <f aca="false">IF($G614="","","Finance Group")</f>
        <v/>
      </c>
      <c r="B614" s="19"/>
      <c r="C614" s="19"/>
      <c r="D614" s="19"/>
      <c r="E614" s="19"/>
      <c r="F614" s="19"/>
      <c r="G614" s="19"/>
      <c r="H614" s="19"/>
      <c r="I614" s="19"/>
      <c r="J614" s="19"/>
      <c r="K614" s="19"/>
      <c r="L614" s="19"/>
      <c r="M614" s="19"/>
      <c r="N614" s="19"/>
      <c r="O614" s="19"/>
      <c r="P614" s="19"/>
      <c r="Q614" s="19"/>
      <c r="R614" s="19"/>
      <c r="S614" s="19"/>
      <c r="T614" s="34" t="str">
        <f aca="false">IF($R614="","",IFERROR(INDEX(DriverCategory,MATCH($R614,DriverList,0)),"BAU"))</f>
        <v/>
      </c>
      <c r="U614" s="34" t="str">
        <f aca="false">IF($R614="","",IFERROR(INDEX(DriverRank,MATCH($R614,DriverList,0)),99))</f>
        <v/>
      </c>
      <c r="V614" s="35" t="n">
        <f aca="false">IF($H614="",0,IFERROR(INDEX(LevelBasic,MATCH($H614,LevelList,0))+INDEX(LevelHousing,MATCH($H614,LevelList,0))+INDEX(LevelTransport,MATCH($H614,LevelList,0))+INDEX(LevelBasic,MATCH($H614,LevelList,0))*INDEX(LevelBonus,MATCH($H614,LevelList,0))+(INDEX(LevelBasic,MATCH($H614,LevelList,0))+INDEX(LevelHousing,MATCH($H614,LevelList,0)))*GosiSaudi,0))</f>
        <v>0</v>
      </c>
      <c r="W614" s="35" t="n">
        <f aca="false">IFERROR(INDEX(LevelOneOff,MATCH($H614,LevelList,0)),0)</f>
        <v>0</v>
      </c>
      <c r="X614" s="35" t="str">
        <f aca="false">IF($G614="","",$V614*N($L614))</f>
        <v/>
      </c>
      <c r="Y614" s="35" t="str">
        <f aca="false">IF($G614="","",$V614*(N($M614)*1+N($N614)*0.75+N($O614)*0.5+N($P614)*0.25)+$W614*N($L614))</f>
        <v/>
      </c>
      <c r="Z614" s="35" t="str">
        <f aca="false">IF($G614="","",$U614*1000000+ROW())</f>
        <v/>
      </c>
      <c r="AA614" s="36" t="str">
        <f aca="false">IF($G614="","",MID(IF($C614="",", no division","")&amp;IF($E614="",", no unit","")&amp;IF($H614="",", no career level","")&amp;IF(N($L614)&lt;=0,", no quarter split","")&amp;IF($R614="",", no driver","")&amp;IF(AND($H614&lt;&gt;"",COUNTIF(CareerLevels,$H614)=0),", a career level that is not on the ladder","")&amp;IF(AND($R614&lt;&gt;"",COUNTIF(DriverList,$R614)=0),", a driver that is not on the list","")&amp;IF(ABS(N($L614)-(N($M614)+N($N614)+N($O614)+N($P614)))&gt;0.001,", a total that does not match its quarters",""),3,300))</f>
        <v/>
      </c>
    </row>
    <row r="615" customFormat="false" ht="15" hidden="false" customHeight="false" outlineLevel="0" collapsed="false">
      <c r="A615" s="33" t="str">
        <f aca="false">IF($G615="","","Finance Group")</f>
        <v/>
      </c>
      <c r="B615" s="19"/>
      <c r="C615" s="19"/>
      <c r="D615" s="19"/>
      <c r="E615" s="19"/>
      <c r="F615" s="19"/>
      <c r="G615" s="19"/>
      <c r="H615" s="19"/>
      <c r="I615" s="19"/>
      <c r="J615" s="19"/>
      <c r="K615" s="19"/>
      <c r="L615" s="19"/>
      <c r="M615" s="19"/>
      <c r="N615" s="19"/>
      <c r="O615" s="19"/>
      <c r="P615" s="19"/>
      <c r="Q615" s="19"/>
      <c r="R615" s="19"/>
      <c r="S615" s="19"/>
      <c r="T615" s="34" t="str">
        <f aca="false">IF($R615="","",IFERROR(INDEX(DriverCategory,MATCH($R615,DriverList,0)),"BAU"))</f>
        <v/>
      </c>
      <c r="U615" s="34" t="str">
        <f aca="false">IF($R615="","",IFERROR(INDEX(DriverRank,MATCH($R615,DriverList,0)),99))</f>
        <v/>
      </c>
      <c r="V615" s="35" t="n">
        <f aca="false">IF($H615="",0,IFERROR(INDEX(LevelBasic,MATCH($H615,LevelList,0))+INDEX(LevelHousing,MATCH($H615,LevelList,0))+INDEX(LevelTransport,MATCH($H615,LevelList,0))+INDEX(LevelBasic,MATCH($H615,LevelList,0))*INDEX(LevelBonus,MATCH($H615,LevelList,0))+(INDEX(LevelBasic,MATCH($H615,LevelList,0))+INDEX(LevelHousing,MATCH($H615,LevelList,0)))*GosiSaudi,0))</f>
        <v>0</v>
      </c>
      <c r="W615" s="35" t="n">
        <f aca="false">IFERROR(INDEX(LevelOneOff,MATCH($H615,LevelList,0)),0)</f>
        <v>0</v>
      </c>
      <c r="X615" s="35" t="str">
        <f aca="false">IF($G615="","",$V615*N($L615))</f>
        <v/>
      </c>
      <c r="Y615" s="35" t="str">
        <f aca="false">IF($G615="","",$V615*(N($M615)*1+N($N615)*0.75+N($O615)*0.5+N($P615)*0.25)+$W615*N($L615))</f>
        <v/>
      </c>
      <c r="Z615" s="35" t="str">
        <f aca="false">IF($G615="","",$U615*1000000+ROW())</f>
        <v/>
      </c>
      <c r="AA615" s="36" t="str">
        <f aca="false">IF($G615="","",MID(IF($C615="",", no division","")&amp;IF($E615="",", no unit","")&amp;IF($H615="",", no career level","")&amp;IF(N($L615)&lt;=0,", no quarter split","")&amp;IF($R615="",", no driver","")&amp;IF(AND($H615&lt;&gt;"",COUNTIF(CareerLevels,$H615)=0),", a career level that is not on the ladder","")&amp;IF(AND($R615&lt;&gt;"",COUNTIF(DriverList,$R615)=0),", a driver that is not on the list","")&amp;IF(ABS(N($L615)-(N($M615)+N($N615)+N($O615)+N($P615)))&gt;0.001,", a total that does not match its quarters",""),3,300))</f>
        <v/>
      </c>
    </row>
    <row r="616" customFormat="false" ht="15" hidden="false" customHeight="false" outlineLevel="0" collapsed="false">
      <c r="A616" s="33" t="str">
        <f aca="false">IF($G616="","","Finance Group")</f>
        <v/>
      </c>
      <c r="B616" s="19"/>
      <c r="C616" s="19"/>
      <c r="D616" s="19"/>
      <c r="E616" s="19"/>
      <c r="F616" s="19"/>
      <c r="G616" s="19"/>
      <c r="H616" s="19"/>
      <c r="I616" s="19"/>
      <c r="J616" s="19"/>
      <c r="K616" s="19"/>
      <c r="L616" s="19"/>
      <c r="M616" s="19"/>
      <c r="N616" s="19"/>
      <c r="O616" s="19"/>
      <c r="P616" s="19"/>
      <c r="Q616" s="19"/>
      <c r="R616" s="19"/>
      <c r="S616" s="19"/>
      <c r="T616" s="34" t="str">
        <f aca="false">IF($R616="","",IFERROR(INDEX(DriverCategory,MATCH($R616,DriverList,0)),"BAU"))</f>
        <v/>
      </c>
      <c r="U616" s="34" t="str">
        <f aca="false">IF($R616="","",IFERROR(INDEX(DriverRank,MATCH($R616,DriverList,0)),99))</f>
        <v/>
      </c>
      <c r="V616" s="35" t="n">
        <f aca="false">IF($H616="",0,IFERROR(INDEX(LevelBasic,MATCH($H616,LevelList,0))+INDEX(LevelHousing,MATCH($H616,LevelList,0))+INDEX(LevelTransport,MATCH($H616,LevelList,0))+INDEX(LevelBasic,MATCH($H616,LevelList,0))*INDEX(LevelBonus,MATCH($H616,LevelList,0))+(INDEX(LevelBasic,MATCH($H616,LevelList,0))+INDEX(LevelHousing,MATCH($H616,LevelList,0)))*GosiSaudi,0))</f>
        <v>0</v>
      </c>
      <c r="W616" s="35" t="n">
        <f aca="false">IFERROR(INDEX(LevelOneOff,MATCH($H616,LevelList,0)),0)</f>
        <v>0</v>
      </c>
      <c r="X616" s="35" t="str">
        <f aca="false">IF($G616="","",$V616*N($L616))</f>
        <v/>
      </c>
      <c r="Y616" s="35" t="str">
        <f aca="false">IF($G616="","",$V616*(N($M616)*1+N($N616)*0.75+N($O616)*0.5+N($P616)*0.25)+$W616*N($L616))</f>
        <v/>
      </c>
      <c r="Z616" s="35" t="str">
        <f aca="false">IF($G616="","",$U616*1000000+ROW())</f>
        <v/>
      </c>
      <c r="AA616" s="36" t="str">
        <f aca="false">IF($G616="","",MID(IF($C616="",", no division","")&amp;IF($E616="",", no unit","")&amp;IF($H616="",", no career level","")&amp;IF(N($L616)&lt;=0,", no quarter split","")&amp;IF($R616="",", no driver","")&amp;IF(AND($H616&lt;&gt;"",COUNTIF(CareerLevels,$H616)=0),", a career level that is not on the ladder","")&amp;IF(AND($R616&lt;&gt;"",COUNTIF(DriverList,$R616)=0),", a driver that is not on the list","")&amp;IF(ABS(N($L616)-(N($M616)+N($N616)+N($O616)+N($P616)))&gt;0.001,", a total that does not match its quarters",""),3,300))</f>
        <v/>
      </c>
    </row>
    <row r="617" customFormat="false" ht="15" hidden="false" customHeight="false" outlineLevel="0" collapsed="false">
      <c r="A617" s="33" t="str">
        <f aca="false">IF($G617="","","Finance Group")</f>
        <v/>
      </c>
      <c r="B617" s="19"/>
      <c r="C617" s="19"/>
      <c r="D617" s="19"/>
      <c r="E617" s="19"/>
      <c r="F617" s="19"/>
      <c r="G617" s="19"/>
      <c r="H617" s="19"/>
      <c r="I617" s="19"/>
      <c r="J617" s="19"/>
      <c r="K617" s="19"/>
      <c r="L617" s="19"/>
      <c r="M617" s="19"/>
      <c r="N617" s="19"/>
      <c r="O617" s="19"/>
      <c r="P617" s="19"/>
      <c r="Q617" s="19"/>
      <c r="R617" s="19"/>
      <c r="S617" s="19"/>
      <c r="T617" s="34" t="str">
        <f aca="false">IF($R617="","",IFERROR(INDEX(DriverCategory,MATCH($R617,DriverList,0)),"BAU"))</f>
        <v/>
      </c>
      <c r="U617" s="34" t="str">
        <f aca="false">IF($R617="","",IFERROR(INDEX(DriverRank,MATCH($R617,DriverList,0)),99))</f>
        <v/>
      </c>
      <c r="V617" s="35" t="n">
        <f aca="false">IF($H617="",0,IFERROR(INDEX(LevelBasic,MATCH($H617,LevelList,0))+INDEX(LevelHousing,MATCH($H617,LevelList,0))+INDEX(LevelTransport,MATCH($H617,LevelList,0))+INDEX(LevelBasic,MATCH($H617,LevelList,0))*INDEX(LevelBonus,MATCH($H617,LevelList,0))+(INDEX(LevelBasic,MATCH($H617,LevelList,0))+INDEX(LevelHousing,MATCH($H617,LevelList,0)))*GosiSaudi,0))</f>
        <v>0</v>
      </c>
      <c r="W617" s="35" t="n">
        <f aca="false">IFERROR(INDEX(LevelOneOff,MATCH($H617,LevelList,0)),0)</f>
        <v>0</v>
      </c>
      <c r="X617" s="35" t="str">
        <f aca="false">IF($G617="","",$V617*N($L617))</f>
        <v/>
      </c>
      <c r="Y617" s="35" t="str">
        <f aca="false">IF($G617="","",$V617*(N($M617)*1+N($N617)*0.75+N($O617)*0.5+N($P617)*0.25)+$W617*N($L617))</f>
        <v/>
      </c>
      <c r="Z617" s="35" t="str">
        <f aca="false">IF($G617="","",$U617*1000000+ROW())</f>
        <v/>
      </c>
      <c r="AA617" s="36" t="str">
        <f aca="false">IF($G617="","",MID(IF($C617="",", no division","")&amp;IF($E617="",", no unit","")&amp;IF($H617="",", no career level","")&amp;IF(N($L617)&lt;=0,", no quarter split","")&amp;IF($R617="",", no driver","")&amp;IF(AND($H617&lt;&gt;"",COUNTIF(CareerLevels,$H617)=0),", a career level that is not on the ladder","")&amp;IF(AND($R617&lt;&gt;"",COUNTIF(DriverList,$R617)=0),", a driver that is not on the list","")&amp;IF(ABS(N($L617)-(N($M617)+N($N617)+N($O617)+N($P617)))&gt;0.001,", a total that does not match its quarters",""),3,300))</f>
        <v/>
      </c>
    </row>
    <row r="618" customFormat="false" ht="15" hidden="false" customHeight="false" outlineLevel="0" collapsed="false">
      <c r="A618" s="33" t="str">
        <f aca="false">IF($G618="","","Finance Group")</f>
        <v/>
      </c>
      <c r="B618" s="19"/>
      <c r="C618" s="19"/>
      <c r="D618" s="19"/>
      <c r="E618" s="19"/>
      <c r="F618" s="19"/>
      <c r="G618" s="19"/>
      <c r="H618" s="19"/>
      <c r="I618" s="19"/>
      <c r="J618" s="19"/>
      <c r="K618" s="19"/>
      <c r="L618" s="19"/>
      <c r="M618" s="19"/>
      <c r="N618" s="19"/>
      <c r="O618" s="19"/>
      <c r="P618" s="19"/>
      <c r="Q618" s="19"/>
      <c r="R618" s="19"/>
      <c r="S618" s="19"/>
      <c r="T618" s="34" t="str">
        <f aca="false">IF($R618="","",IFERROR(INDEX(DriverCategory,MATCH($R618,DriverList,0)),"BAU"))</f>
        <v/>
      </c>
      <c r="U618" s="34" t="str">
        <f aca="false">IF($R618="","",IFERROR(INDEX(DriverRank,MATCH($R618,DriverList,0)),99))</f>
        <v/>
      </c>
      <c r="V618" s="35" t="n">
        <f aca="false">IF($H618="",0,IFERROR(INDEX(LevelBasic,MATCH($H618,LevelList,0))+INDEX(LevelHousing,MATCH($H618,LevelList,0))+INDEX(LevelTransport,MATCH($H618,LevelList,0))+INDEX(LevelBasic,MATCH($H618,LevelList,0))*INDEX(LevelBonus,MATCH($H618,LevelList,0))+(INDEX(LevelBasic,MATCH($H618,LevelList,0))+INDEX(LevelHousing,MATCH($H618,LevelList,0)))*GosiSaudi,0))</f>
        <v>0</v>
      </c>
      <c r="W618" s="35" t="n">
        <f aca="false">IFERROR(INDEX(LevelOneOff,MATCH($H618,LevelList,0)),0)</f>
        <v>0</v>
      </c>
      <c r="X618" s="35" t="str">
        <f aca="false">IF($G618="","",$V618*N($L618))</f>
        <v/>
      </c>
      <c r="Y618" s="35" t="str">
        <f aca="false">IF($G618="","",$V618*(N($M618)*1+N($N618)*0.75+N($O618)*0.5+N($P618)*0.25)+$W618*N($L618))</f>
        <v/>
      </c>
      <c r="Z618" s="35" t="str">
        <f aca="false">IF($G618="","",$U618*1000000+ROW())</f>
        <v/>
      </c>
      <c r="AA618" s="36" t="str">
        <f aca="false">IF($G618="","",MID(IF($C618="",", no division","")&amp;IF($E618="",", no unit","")&amp;IF($H618="",", no career level","")&amp;IF(N($L618)&lt;=0,", no quarter split","")&amp;IF($R618="",", no driver","")&amp;IF(AND($H618&lt;&gt;"",COUNTIF(CareerLevels,$H618)=0),", a career level that is not on the ladder","")&amp;IF(AND($R618&lt;&gt;"",COUNTIF(DriverList,$R618)=0),", a driver that is not on the list","")&amp;IF(ABS(N($L618)-(N($M618)+N($N618)+N($O618)+N($P618)))&gt;0.001,", a total that does not match its quarters",""),3,300))</f>
        <v/>
      </c>
    </row>
    <row r="619" customFormat="false" ht="15" hidden="false" customHeight="false" outlineLevel="0" collapsed="false">
      <c r="A619" s="33" t="str">
        <f aca="false">IF($G619="","","Finance Group")</f>
        <v/>
      </c>
      <c r="B619" s="19"/>
      <c r="C619" s="19"/>
      <c r="D619" s="19"/>
      <c r="E619" s="19"/>
      <c r="F619" s="19"/>
      <c r="G619" s="19"/>
      <c r="H619" s="19"/>
      <c r="I619" s="19"/>
      <c r="J619" s="19"/>
      <c r="K619" s="19"/>
      <c r="L619" s="19"/>
      <c r="M619" s="19"/>
      <c r="N619" s="19"/>
      <c r="O619" s="19"/>
      <c r="P619" s="19"/>
      <c r="Q619" s="19"/>
      <c r="R619" s="19"/>
      <c r="S619" s="19"/>
      <c r="T619" s="34" t="str">
        <f aca="false">IF($R619="","",IFERROR(INDEX(DriverCategory,MATCH($R619,DriverList,0)),"BAU"))</f>
        <v/>
      </c>
      <c r="U619" s="34" t="str">
        <f aca="false">IF($R619="","",IFERROR(INDEX(DriverRank,MATCH($R619,DriverList,0)),99))</f>
        <v/>
      </c>
      <c r="V619" s="35" t="n">
        <f aca="false">IF($H619="",0,IFERROR(INDEX(LevelBasic,MATCH($H619,LevelList,0))+INDEX(LevelHousing,MATCH($H619,LevelList,0))+INDEX(LevelTransport,MATCH($H619,LevelList,0))+INDEX(LevelBasic,MATCH($H619,LevelList,0))*INDEX(LevelBonus,MATCH($H619,LevelList,0))+(INDEX(LevelBasic,MATCH($H619,LevelList,0))+INDEX(LevelHousing,MATCH($H619,LevelList,0)))*GosiSaudi,0))</f>
        <v>0</v>
      </c>
      <c r="W619" s="35" t="n">
        <f aca="false">IFERROR(INDEX(LevelOneOff,MATCH($H619,LevelList,0)),0)</f>
        <v>0</v>
      </c>
      <c r="X619" s="35" t="str">
        <f aca="false">IF($G619="","",$V619*N($L619))</f>
        <v/>
      </c>
      <c r="Y619" s="35" t="str">
        <f aca="false">IF($G619="","",$V619*(N($M619)*1+N($N619)*0.75+N($O619)*0.5+N($P619)*0.25)+$W619*N($L619))</f>
        <v/>
      </c>
      <c r="Z619" s="35" t="str">
        <f aca="false">IF($G619="","",$U619*1000000+ROW())</f>
        <v/>
      </c>
      <c r="AA619" s="36" t="str">
        <f aca="false">IF($G619="","",MID(IF($C619="",", no division","")&amp;IF($E619="",", no unit","")&amp;IF($H619="",", no career level","")&amp;IF(N($L619)&lt;=0,", no quarter split","")&amp;IF($R619="",", no driver","")&amp;IF(AND($H619&lt;&gt;"",COUNTIF(CareerLevels,$H619)=0),", a career level that is not on the ladder","")&amp;IF(AND($R619&lt;&gt;"",COUNTIF(DriverList,$R619)=0),", a driver that is not on the list","")&amp;IF(ABS(N($L619)-(N($M619)+N($N619)+N($O619)+N($P619)))&gt;0.001,", a total that does not match its quarters",""),3,300))</f>
        <v/>
      </c>
    </row>
    <row r="620" customFormat="false" ht="15" hidden="false" customHeight="false" outlineLevel="0" collapsed="false">
      <c r="A620" s="33" t="str">
        <f aca="false">IF($G620="","","Finance Group")</f>
        <v/>
      </c>
      <c r="B620" s="19"/>
      <c r="C620" s="19"/>
      <c r="D620" s="19"/>
      <c r="E620" s="19"/>
      <c r="F620" s="19"/>
      <c r="G620" s="19"/>
      <c r="H620" s="19"/>
      <c r="I620" s="19"/>
      <c r="J620" s="19"/>
      <c r="K620" s="19"/>
      <c r="L620" s="19"/>
      <c r="M620" s="19"/>
      <c r="N620" s="19"/>
      <c r="O620" s="19"/>
      <c r="P620" s="19"/>
      <c r="Q620" s="19"/>
      <c r="R620" s="19"/>
      <c r="S620" s="19"/>
      <c r="T620" s="34" t="str">
        <f aca="false">IF($R620="","",IFERROR(INDEX(DriverCategory,MATCH($R620,DriverList,0)),"BAU"))</f>
        <v/>
      </c>
      <c r="U620" s="34" t="str">
        <f aca="false">IF($R620="","",IFERROR(INDEX(DriverRank,MATCH($R620,DriverList,0)),99))</f>
        <v/>
      </c>
      <c r="V620" s="35" t="n">
        <f aca="false">IF($H620="",0,IFERROR(INDEX(LevelBasic,MATCH($H620,LevelList,0))+INDEX(LevelHousing,MATCH($H620,LevelList,0))+INDEX(LevelTransport,MATCH($H620,LevelList,0))+INDEX(LevelBasic,MATCH($H620,LevelList,0))*INDEX(LevelBonus,MATCH($H620,LevelList,0))+(INDEX(LevelBasic,MATCH($H620,LevelList,0))+INDEX(LevelHousing,MATCH($H620,LevelList,0)))*GosiSaudi,0))</f>
        <v>0</v>
      </c>
      <c r="W620" s="35" t="n">
        <f aca="false">IFERROR(INDEX(LevelOneOff,MATCH($H620,LevelList,0)),0)</f>
        <v>0</v>
      </c>
      <c r="X620" s="35" t="str">
        <f aca="false">IF($G620="","",$V620*N($L620))</f>
        <v/>
      </c>
      <c r="Y620" s="35" t="str">
        <f aca="false">IF($G620="","",$V620*(N($M620)*1+N($N620)*0.75+N($O620)*0.5+N($P620)*0.25)+$W620*N($L620))</f>
        <v/>
      </c>
      <c r="Z620" s="35" t="str">
        <f aca="false">IF($G620="","",$U620*1000000+ROW())</f>
        <v/>
      </c>
      <c r="AA620" s="36" t="str">
        <f aca="false">IF($G620="","",MID(IF($C620="",", no division","")&amp;IF($E620="",", no unit","")&amp;IF($H620="",", no career level","")&amp;IF(N($L620)&lt;=0,", no quarter split","")&amp;IF($R620="",", no driver","")&amp;IF(AND($H620&lt;&gt;"",COUNTIF(CareerLevels,$H620)=0),", a career level that is not on the ladder","")&amp;IF(AND($R620&lt;&gt;"",COUNTIF(DriverList,$R620)=0),", a driver that is not on the list","")&amp;IF(ABS(N($L620)-(N($M620)+N($N620)+N($O620)+N($P620)))&gt;0.001,", a total that does not match its quarters",""),3,300))</f>
        <v/>
      </c>
    </row>
    <row r="621" customFormat="false" ht="15" hidden="false" customHeight="false" outlineLevel="0" collapsed="false">
      <c r="A621" s="33" t="str">
        <f aca="false">IF($G621="","","Finance Group")</f>
        <v/>
      </c>
      <c r="B621" s="19"/>
      <c r="C621" s="19"/>
      <c r="D621" s="19"/>
      <c r="E621" s="19"/>
      <c r="F621" s="19"/>
      <c r="G621" s="19"/>
      <c r="H621" s="19"/>
      <c r="I621" s="19"/>
      <c r="J621" s="19"/>
      <c r="K621" s="19"/>
      <c r="L621" s="19"/>
      <c r="M621" s="19"/>
      <c r="N621" s="19"/>
      <c r="O621" s="19"/>
      <c r="P621" s="19"/>
      <c r="Q621" s="19"/>
      <c r="R621" s="19"/>
      <c r="S621" s="19"/>
      <c r="T621" s="34" t="str">
        <f aca="false">IF($R621="","",IFERROR(INDEX(DriverCategory,MATCH($R621,DriverList,0)),"BAU"))</f>
        <v/>
      </c>
      <c r="U621" s="34" t="str">
        <f aca="false">IF($R621="","",IFERROR(INDEX(DriverRank,MATCH($R621,DriverList,0)),99))</f>
        <v/>
      </c>
      <c r="V621" s="35" t="n">
        <f aca="false">IF($H621="",0,IFERROR(INDEX(LevelBasic,MATCH($H621,LevelList,0))+INDEX(LevelHousing,MATCH($H621,LevelList,0))+INDEX(LevelTransport,MATCH($H621,LevelList,0))+INDEX(LevelBasic,MATCH($H621,LevelList,0))*INDEX(LevelBonus,MATCH($H621,LevelList,0))+(INDEX(LevelBasic,MATCH($H621,LevelList,0))+INDEX(LevelHousing,MATCH($H621,LevelList,0)))*GosiSaudi,0))</f>
        <v>0</v>
      </c>
      <c r="W621" s="35" t="n">
        <f aca="false">IFERROR(INDEX(LevelOneOff,MATCH($H621,LevelList,0)),0)</f>
        <v>0</v>
      </c>
      <c r="X621" s="35" t="str">
        <f aca="false">IF($G621="","",$V621*N($L621))</f>
        <v/>
      </c>
      <c r="Y621" s="35" t="str">
        <f aca="false">IF($G621="","",$V621*(N($M621)*1+N($N621)*0.75+N($O621)*0.5+N($P621)*0.25)+$W621*N($L621))</f>
        <v/>
      </c>
      <c r="Z621" s="35" t="str">
        <f aca="false">IF($G621="","",$U621*1000000+ROW())</f>
        <v/>
      </c>
      <c r="AA621" s="36" t="str">
        <f aca="false">IF($G621="","",MID(IF($C621="",", no division","")&amp;IF($E621="",", no unit","")&amp;IF($H621="",", no career level","")&amp;IF(N($L621)&lt;=0,", no quarter split","")&amp;IF($R621="",", no driver","")&amp;IF(AND($H621&lt;&gt;"",COUNTIF(CareerLevels,$H621)=0),", a career level that is not on the ladder","")&amp;IF(AND($R621&lt;&gt;"",COUNTIF(DriverList,$R621)=0),", a driver that is not on the list","")&amp;IF(ABS(N($L621)-(N($M621)+N($N621)+N($O621)+N($P621)))&gt;0.001,", a total that does not match its quarters",""),3,300))</f>
        <v/>
      </c>
    </row>
    <row r="622" customFormat="false" ht="15" hidden="false" customHeight="false" outlineLevel="0" collapsed="false">
      <c r="A622" s="33" t="str">
        <f aca="false">IF($G622="","","Finance Group")</f>
        <v/>
      </c>
      <c r="B622" s="19"/>
      <c r="C622" s="19"/>
      <c r="D622" s="19"/>
      <c r="E622" s="19"/>
      <c r="F622" s="19"/>
      <c r="G622" s="19"/>
      <c r="H622" s="19"/>
      <c r="I622" s="19"/>
      <c r="J622" s="19"/>
      <c r="K622" s="19"/>
      <c r="L622" s="19"/>
      <c r="M622" s="19"/>
      <c r="N622" s="19"/>
      <c r="O622" s="19"/>
      <c r="P622" s="19"/>
      <c r="Q622" s="19"/>
      <c r="R622" s="19"/>
      <c r="S622" s="19"/>
      <c r="T622" s="34" t="str">
        <f aca="false">IF($R622="","",IFERROR(INDEX(DriverCategory,MATCH($R622,DriverList,0)),"BAU"))</f>
        <v/>
      </c>
      <c r="U622" s="34" t="str">
        <f aca="false">IF($R622="","",IFERROR(INDEX(DriverRank,MATCH($R622,DriverList,0)),99))</f>
        <v/>
      </c>
      <c r="V622" s="35" t="n">
        <f aca="false">IF($H622="",0,IFERROR(INDEX(LevelBasic,MATCH($H622,LevelList,0))+INDEX(LevelHousing,MATCH($H622,LevelList,0))+INDEX(LevelTransport,MATCH($H622,LevelList,0))+INDEX(LevelBasic,MATCH($H622,LevelList,0))*INDEX(LevelBonus,MATCH($H622,LevelList,0))+(INDEX(LevelBasic,MATCH($H622,LevelList,0))+INDEX(LevelHousing,MATCH($H622,LevelList,0)))*GosiSaudi,0))</f>
        <v>0</v>
      </c>
      <c r="W622" s="35" t="n">
        <f aca="false">IFERROR(INDEX(LevelOneOff,MATCH($H622,LevelList,0)),0)</f>
        <v>0</v>
      </c>
      <c r="X622" s="35" t="str">
        <f aca="false">IF($G622="","",$V622*N($L622))</f>
        <v/>
      </c>
      <c r="Y622" s="35" t="str">
        <f aca="false">IF($G622="","",$V622*(N($M622)*1+N($N622)*0.75+N($O622)*0.5+N($P622)*0.25)+$W622*N($L622))</f>
        <v/>
      </c>
      <c r="Z622" s="35" t="str">
        <f aca="false">IF($G622="","",$U622*1000000+ROW())</f>
        <v/>
      </c>
      <c r="AA622" s="36" t="str">
        <f aca="false">IF($G622="","",MID(IF($C622="",", no division","")&amp;IF($E622="",", no unit","")&amp;IF($H622="",", no career level","")&amp;IF(N($L622)&lt;=0,", no quarter split","")&amp;IF($R622="",", no driver","")&amp;IF(AND($H622&lt;&gt;"",COUNTIF(CareerLevels,$H622)=0),", a career level that is not on the ladder","")&amp;IF(AND($R622&lt;&gt;"",COUNTIF(DriverList,$R622)=0),", a driver that is not on the list","")&amp;IF(ABS(N($L622)-(N($M622)+N($N622)+N($O622)+N($P622)))&gt;0.001,", a total that does not match its quarters",""),3,300))</f>
        <v/>
      </c>
    </row>
    <row r="623" customFormat="false" ht="15" hidden="false" customHeight="false" outlineLevel="0" collapsed="false">
      <c r="A623" s="33" t="str">
        <f aca="false">IF($G623="","","Finance Group")</f>
        <v/>
      </c>
      <c r="B623" s="19"/>
      <c r="C623" s="19"/>
      <c r="D623" s="19"/>
      <c r="E623" s="19"/>
      <c r="F623" s="19"/>
      <c r="G623" s="19"/>
      <c r="H623" s="19"/>
      <c r="I623" s="19"/>
      <c r="J623" s="19"/>
      <c r="K623" s="19"/>
      <c r="L623" s="19"/>
      <c r="M623" s="19"/>
      <c r="N623" s="19"/>
      <c r="O623" s="19"/>
      <c r="P623" s="19"/>
      <c r="Q623" s="19"/>
      <c r="R623" s="19"/>
      <c r="S623" s="19"/>
      <c r="T623" s="34" t="str">
        <f aca="false">IF($R623="","",IFERROR(INDEX(DriverCategory,MATCH($R623,DriverList,0)),"BAU"))</f>
        <v/>
      </c>
      <c r="U623" s="34" t="str">
        <f aca="false">IF($R623="","",IFERROR(INDEX(DriverRank,MATCH($R623,DriverList,0)),99))</f>
        <v/>
      </c>
      <c r="V623" s="35" t="n">
        <f aca="false">IF($H623="",0,IFERROR(INDEX(LevelBasic,MATCH($H623,LevelList,0))+INDEX(LevelHousing,MATCH($H623,LevelList,0))+INDEX(LevelTransport,MATCH($H623,LevelList,0))+INDEX(LevelBasic,MATCH($H623,LevelList,0))*INDEX(LevelBonus,MATCH($H623,LevelList,0))+(INDEX(LevelBasic,MATCH($H623,LevelList,0))+INDEX(LevelHousing,MATCH($H623,LevelList,0)))*GosiSaudi,0))</f>
        <v>0</v>
      </c>
      <c r="W623" s="35" t="n">
        <f aca="false">IFERROR(INDEX(LevelOneOff,MATCH($H623,LevelList,0)),0)</f>
        <v>0</v>
      </c>
      <c r="X623" s="35" t="str">
        <f aca="false">IF($G623="","",$V623*N($L623))</f>
        <v/>
      </c>
      <c r="Y623" s="35" t="str">
        <f aca="false">IF($G623="","",$V623*(N($M623)*1+N($N623)*0.75+N($O623)*0.5+N($P623)*0.25)+$W623*N($L623))</f>
        <v/>
      </c>
      <c r="Z623" s="35" t="str">
        <f aca="false">IF($G623="","",$U623*1000000+ROW())</f>
        <v/>
      </c>
      <c r="AA623" s="36" t="str">
        <f aca="false">IF($G623="","",MID(IF($C623="",", no division","")&amp;IF($E623="",", no unit","")&amp;IF($H623="",", no career level","")&amp;IF(N($L623)&lt;=0,", no quarter split","")&amp;IF($R623="",", no driver","")&amp;IF(AND($H623&lt;&gt;"",COUNTIF(CareerLevels,$H623)=0),", a career level that is not on the ladder","")&amp;IF(AND($R623&lt;&gt;"",COUNTIF(DriverList,$R623)=0),", a driver that is not on the list","")&amp;IF(ABS(N($L623)-(N($M623)+N($N623)+N($O623)+N($P623)))&gt;0.001,", a total that does not match its quarters",""),3,300))</f>
        <v/>
      </c>
    </row>
    <row r="624" customFormat="false" ht="15" hidden="false" customHeight="false" outlineLevel="0" collapsed="false">
      <c r="A624" s="33" t="str">
        <f aca="false">IF($G624="","","Finance Group")</f>
        <v/>
      </c>
      <c r="B624" s="19"/>
      <c r="C624" s="19"/>
      <c r="D624" s="19"/>
      <c r="E624" s="19"/>
      <c r="F624" s="19"/>
      <c r="G624" s="19"/>
      <c r="H624" s="19"/>
      <c r="I624" s="19"/>
      <c r="J624" s="19"/>
      <c r="K624" s="19"/>
      <c r="L624" s="19"/>
      <c r="M624" s="19"/>
      <c r="N624" s="19"/>
      <c r="O624" s="19"/>
      <c r="P624" s="19"/>
      <c r="Q624" s="19"/>
      <c r="R624" s="19"/>
      <c r="S624" s="19"/>
      <c r="T624" s="34" t="str">
        <f aca="false">IF($R624="","",IFERROR(INDEX(DriverCategory,MATCH($R624,DriverList,0)),"BAU"))</f>
        <v/>
      </c>
      <c r="U624" s="34" t="str">
        <f aca="false">IF($R624="","",IFERROR(INDEX(DriverRank,MATCH($R624,DriverList,0)),99))</f>
        <v/>
      </c>
      <c r="V624" s="35" t="n">
        <f aca="false">IF($H624="",0,IFERROR(INDEX(LevelBasic,MATCH($H624,LevelList,0))+INDEX(LevelHousing,MATCH($H624,LevelList,0))+INDEX(LevelTransport,MATCH($H624,LevelList,0))+INDEX(LevelBasic,MATCH($H624,LevelList,0))*INDEX(LevelBonus,MATCH($H624,LevelList,0))+(INDEX(LevelBasic,MATCH($H624,LevelList,0))+INDEX(LevelHousing,MATCH($H624,LevelList,0)))*GosiSaudi,0))</f>
        <v>0</v>
      </c>
      <c r="W624" s="35" t="n">
        <f aca="false">IFERROR(INDEX(LevelOneOff,MATCH($H624,LevelList,0)),0)</f>
        <v>0</v>
      </c>
      <c r="X624" s="35" t="str">
        <f aca="false">IF($G624="","",$V624*N($L624))</f>
        <v/>
      </c>
      <c r="Y624" s="35" t="str">
        <f aca="false">IF($G624="","",$V624*(N($M624)*1+N($N624)*0.75+N($O624)*0.5+N($P624)*0.25)+$W624*N($L624))</f>
        <v/>
      </c>
      <c r="Z624" s="35" t="str">
        <f aca="false">IF($G624="","",$U624*1000000+ROW())</f>
        <v/>
      </c>
      <c r="AA624" s="36" t="str">
        <f aca="false">IF($G624="","",MID(IF($C624="",", no division","")&amp;IF($E624="",", no unit","")&amp;IF($H624="",", no career level","")&amp;IF(N($L624)&lt;=0,", no quarter split","")&amp;IF($R624="",", no driver","")&amp;IF(AND($H624&lt;&gt;"",COUNTIF(CareerLevels,$H624)=0),", a career level that is not on the ladder","")&amp;IF(AND($R624&lt;&gt;"",COUNTIF(DriverList,$R624)=0),", a driver that is not on the list","")&amp;IF(ABS(N($L624)-(N($M624)+N($N624)+N($O624)+N($P624)))&gt;0.001,", a total that does not match its quarters",""),3,300))</f>
        <v/>
      </c>
    </row>
    <row r="625" customFormat="false" ht="15" hidden="false" customHeight="false" outlineLevel="0" collapsed="false">
      <c r="A625" s="33" t="str">
        <f aca="false">IF($G625="","","Finance Group")</f>
        <v/>
      </c>
      <c r="B625" s="19"/>
      <c r="C625" s="19"/>
      <c r="D625" s="19"/>
      <c r="E625" s="19"/>
      <c r="F625" s="19"/>
      <c r="G625" s="19"/>
      <c r="H625" s="19"/>
      <c r="I625" s="19"/>
      <c r="J625" s="19"/>
      <c r="K625" s="19"/>
      <c r="L625" s="19"/>
      <c r="M625" s="19"/>
      <c r="N625" s="19"/>
      <c r="O625" s="19"/>
      <c r="P625" s="19"/>
      <c r="Q625" s="19"/>
      <c r="R625" s="19"/>
      <c r="S625" s="19"/>
      <c r="T625" s="34" t="str">
        <f aca="false">IF($R625="","",IFERROR(INDEX(DriverCategory,MATCH($R625,DriverList,0)),"BAU"))</f>
        <v/>
      </c>
      <c r="U625" s="34" t="str">
        <f aca="false">IF($R625="","",IFERROR(INDEX(DriverRank,MATCH($R625,DriverList,0)),99))</f>
        <v/>
      </c>
      <c r="V625" s="35" t="n">
        <f aca="false">IF($H625="",0,IFERROR(INDEX(LevelBasic,MATCH($H625,LevelList,0))+INDEX(LevelHousing,MATCH($H625,LevelList,0))+INDEX(LevelTransport,MATCH($H625,LevelList,0))+INDEX(LevelBasic,MATCH($H625,LevelList,0))*INDEX(LevelBonus,MATCH($H625,LevelList,0))+(INDEX(LevelBasic,MATCH($H625,LevelList,0))+INDEX(LevelHousing,MATCH($H625,LevelList,0)))*GosiSaudi,0))</f>
        <v>0</v>
      </c>
      <c r="W625" s="35" t="n">
        <f aca="false">IFERROR(INDEX(LevelOneOff,MATCH($H625,LevelList,0)),0)</f>
        <v>0</v>
      </c>
      <c r="X625" s="35" t="str">
        <f aca="false">IF($G625="","",$V625*N($L625))</f>
        <v/>
      </c>
      <c r="Y625" s="35" t="str">
        <f aca="false">IF($G625="","",$V625*(N($M625)*1+N($N625)*0.75+N($O625)*0.5+N($P625)*0.25)+$W625*N($L625))</f>
        <v/>
      </c>
      <c r="Z625" s="35" t="str">
        <f aca="false">IF($G625="","",$U625*1000000+ROW())</f>
        <v/>
      </c>
      <c r="AA625" s="36" t="str">
        <f aca="false">IF($G625="","",MID(IF($C625="",", no division","")&amp;IF($E625="",", no unit","")&amp;IF($H625="",", no career level","")&amp;IF(N($L625)&lt;=0,", no quarter split","")&amp;IF($R625="",", no driver","")&amp;IF(AND($H625&lt;&gt;"",COUNTIF(CareerLevels,$H625)=0),", a career level that is not on the ladder","")&amp;IF(AND($R625&lt;&gt;"",COUNTIF(DriverList,$R625)=0),", a driver that is not on the list","")&amp;IF(ABS(N($L625)-(N($M625)+N($N625)+N($O625)+N($P625)))&gt;0.001,", a total that does not match its quarters",""),3,300))</f>
        <v/>
      </c>
    </row>
    <row r="626" customFormat="false" ht="15" hidden="false" customHeight="false" outlineLevel="0" collapsed="false">
      <c r="A626" s="33" t="str">
        <f aca="false">IF($G626="","","Finance Group")</f>
        <v/>
      </c>
      <c r="B626" s="19"/>
      <c r="C626" s="19"/>
      <c r="D626" s="19"/>
      <c r="E626" s="19"/>
      <c r="F626" s="19"/>
      <c r="G626" s="19"/>
      <c r="H626" s="19"/>
      <c r="I626" s="19"/>
      <c r="J626" s="19"/>
      <c r="K626" s="19"/>
      <c r="L626" s="19"/>
      <c r="M626" s="19"/>
      <c r="N626" s="19"/>
      <c r="O626" s="19"/>
      <c r="P626" s="19"/>
      <c r="Q626" s="19"/>
      <c r="R626" s="19"/>
      <c r="S626" s="19"/>
      <c r="T626" s="34" t="str">
        <f aca="false">IF($R626="","",IFERROR(INDEX(DriverCategory,MATCH($R626,DriverList,0)),"BAU"))</f>
        <v/>
      </c>
      <c r="U626" s="34" t="str">
        <f aca="false">IF($R626="","",IFERROR(INDEX(DriverRank,MATCH($R626,DriverList,0)),99))</f>
        <v/>
      </c>
      <c r="V626" s="35" t="n">
        <f aca="false">IF($H626="",0,IFERROR(INDEX(LevelBasic,MATCH($H626,LevelList,0))+INDEX(LevelHousing,MATCH($H626,LevelList,0))+INDEX(LevelTransport,MATCH($H626,LevelList,0))+INDEX(LevelBasic,MATCH($H626,LevelList,0))*INDEX(LevelBonus,MATCH($H626,LevelList,0))+(INDEX(LevelBasic,MATCH($H626,LevelList,0))+INDEX(LevelHousing,MATCH($H626,LevelList,0)))*GosiSaudi,0))</f>
        <v>0</v>
      </c>
      <c r="W626" s="35" t="n">
        <f aca="false">IFERROR(INDEX(LevelOneOff,MATCH($H626,LevelList,0)),0)</f>
        <v>0</v>
      </c>
      <c r="X626" s="35" t="str">
        <f aca="false">IF($G626="","",$V626*N($L626))</f>
        <v/>
      </c>
      <c r="Y626" s="35" t="str">
        <f aca="false">IF($G626="","",$V626*(N($M626)*1+N($N626)*0.75+N($O626)*0.5+N($P626)*0.25)+$W626*N($L626))</f>
        <v/>
      </c>
      <c r="Z626" s="35" t="str">
        <f aca="false">IF($G626="","",$U626*1000000+ROW())</f>
        <v/>
      </c>
      <c r="AA626" s="36" t="str">
        <f aca="false">IF($G626="","",MID(IF($C626="",", no division","")&amp;IF($E626="",", no unit","")&amp;IF($H626="",", no career level","")&amp;IF(N($L626)&lt;=0,", no quarter split","")&amp;IF($R626="",", no driver","")&amp;IF(AND($H626&lt;&gt;"",COUNTIF(CareerLevels,$H626)=0),", a career level that is not on the ladder","")&amp;IF(AND($R626&lt;&gt;"",COUNTIF(DriverList,$R626)=0),", a driver that is not on the list","")&amp;IF(ABS(N($L626)-(N($M626)+N($N626)+N($O626)+N($P626)))&gt;0.001,", a total that does not match its quarters",""),3,300))</f>
        <v/>
      </c>
    </row>
    <row r="627" customFormat="false" ht="15" hidden="false" customHeight="false" outlineLevel="0" collapsed="false">
      <c r="A627" s="33" t="str">
        <f aca="false">IF($G627="","","Finance Group")</f>
        <v/>
      </c>
      <c r="B627" s="19"/>
      <c r="C627" s="19"/>
      <c r="D627" s="19"/>
      <c r="E627" s="19"/>
      <c r="F627" s="19"/>
      <c r="G627" s="19"/>
      <c r="H627" s="19"/>
      <c r="I627" s="19"/>
      <c r="J627" s="19"/>
      <c r="K627" s="19"/>
      <c r="L627" s="19"/>
      <c r="M627" s="19"/>
      <c r="N627" s="19"/>
      <c r="O627" s="19"/>
      <c r="P627" s="19"/>
      <c r="Q627" s="19"/>
      <c r="R627" s="19"/>
      <c r="S627" s="19"/>
      <c r="T627" s="34" t="str">
        <f aca="false">IF($R627="","",IFERROR(INDEX(DriverCategory,MATCH($R627,DriverList,0)),"BAU"))</f>
        <v/>
      </c>
      <c r="U627" s="34" t="str">
        <f aca="false">IF($R627="","",IFERROR(INDEX(DriverRank,MATCH($R627,DriverList,0)),99))</f>
        <v/>
      </c>
      <c r="V627" s="35" t="n">
        <f aca="false">IF($H627="",0,IFERROR(INDEX(LevelBasic,MATCH($H627,LevelList,0))+INDEX(LevelHousing,MATCH($H627,LevelList,0))+INDEX(LevelTransport,MATCH($H627,LevelList,0))+INDEX(LevelBasic,MATCH($H627,LevelList,0))*INDEX(LevelBonus,MATCH($H627,LevelList,0))+(INDEX(LevelBasic,MATCH($H627,LevelList,0))+INDEX(LevelHousing,MATCH($H627,LevelList,0)))*GosiSaudi,0))</f>
        <v>0</v>
      </c>
      <c r="W627" s="35" t="n">
        <f aca="false">IFERROR(INDEX(LevelOneOff,MATCH($H627,LevelList,0)),0)</f>
        <v>0</v>
      </c>
      <c r="X627" s="35" t="str">
        <f aca="false">IF($G627="","",$V627*N($L627))</f>
        <v/>
      </c>
      <c r="Y627" s="35" t="str">
        <f aca="false">IF($G627="","",$V627*(N($M627)*1+N($N627)*0.75+N($O627)*0.5+N($P627)*0.25)+$W627*N($L627))</f>
        <v/>
      </c>
      <c r="Z627" s="35" t="str">
        <f aca="false">IF($G627="","",$U627*1000000+ROW())</f>
        <v/>
      </c>
      <c r="AA627" s="36" t="str">
        <f aca="false">IF($G627="","",MID(IF($C627="",", no division","")&amp;IF($E627="",", no unit","")&amp;IF($H627="",", no career level","")&amp;IF(N($L627)&lt;=0,", no quarter split","")&amp;IF($R627="",", no driver","")&amp;IF(AND($H627&lt;&gt;"",COUNTIF(CareerLevels,$H627)=0),", a career level that is not on the ladder","")&amp;IF(AND($R627&lt;&gt;"",COUNTIF(DriverList,$R627)=0),", a driver that is not on the list","")&amp;IF(ABS(N($L627)-(N($M627)+N($N627)+N($O627)+N($P627)))&gt;0.001,", a total that does not match its quarters",""),3,300))</f>
        <v/>
      </c>
    </row>
    <row r="628" customFormat="false" ht="15" hidden="false" customHeight="false" outlineLevel="0" collapsed="false">
      <c r="A628" s="33" t="str">
        <f aca="false">IF($G628="","","Finance Group")</f>
        <v/>
      </c>
      <c r="B628" s="19"/>
      <c r="C628" s="19"/>
      <c r="D628" s="19"/>
      <c r="E628" s="19"/>
      <c r="F628" s="19"/>
      <c r="G628" s="19"/>
      <c r="H628" s="19"/>
      <c r="I628" s="19"/>
      <c r="J628" s="19"/>
      <c r="K628" s="19"/>
      <c r="L628" s="19"/>
      <c r="M628" s="19"/>
      <c r="N628" s="19"/>
      <c r="O628" s="19"/>
      <c r="P628" s="19"/>
      <c r="Q628" s="19"/>
      <c r="R628" s="19"/>
      <c r="S628" s="19"/>
      <c r="T628" s="34" t="str">
        <f aca="false">IF($R628="","",IFERROR(INDEX(DriverCategory,MATCH($R628,DriverList,0)),"BAU"))</f>
        <v/>
      </c>
      <c r="U628" s="34" t="str">
        <f aca="false">IF($R628="","",IFERROR(INDEX(DriverRank,MATCH($R628,DriverList,0)),99))</f>
        <v/>
      </c>
      <c r="V628" s="35" t="n">
        <f aca="false">IF($H628="",0,IFERROR(INDEX(LevelBasic,MATCH($H628,LevelList,0))+INDEX(LevelHousing,MATCH($H628,LevelList,0))+INDEX(LevelTransport,MATCH($H628,LevelList,0))+INDEX(LevelBasic,MATCH($H628,LevelList,0))*INDEX(LevelBonus,MATCH($H628,LevelList,0))+(INDEX(LevelBasic,MATCH($H628,LevelList,0))+INDEX(LevelHousing,MATCH($H628,LevelList,0)))*GosiSaudi,0))</f>
        <v>0</v>
      </c>
      <c r="W628" s="35" t="n">
        <f aca="false">IFERROR(INDEX(LevelOneOff,MATCH($H628,LevelList,0)),0)</f>
        <v>0</v>
      </c>
      <c r="X628" s="35" t="str">
        <f aca="false">IF($G628="","",$V628*N($L628))</f>
        <v/>
      </c>
      <c r="Y628" s="35" t="str">
        <f aca="false">IF($G628="","",$V628*(N($M628)*1+N($N628)*0.75+N($O628)*0.5+N($P628)*0.25)+$W628*N($L628))</f>
        <v/>
      </c>
      <c r="Z628" s="35" t="str">
        <f aca="false">IF($G628="","",$U628*1000000+ROW())</f>
        <v/>
      </c>
      <c r="AA628" s="36" t="str">
        <f aca="false">IF($G628="","",MID(IF($C628="",", no division","")&amp;IF($E628="",", no unit","")&amp;IF($H628="",", no career level","")&amp;IF(N($L628)&lt;=0,", no quarter split","")&amp;IF($R628="",", no driver","")&amp;IF(AND($H628&lt;&gt;"",COUNTIF(CareerLevels,$H628)=0),", a career level that is not on the ladder","")&amp;IF(AND($R628&lt;&gt;"",COUNTIF(DriverList,$R628)=0),", a driver that is not on the list","")&amp;IF(ABS(N($L628)-(N($M628)+N($N628)+N($O628)+N($P628)))&gt;0.001,", a total that does not match its quarters",""),3,300))</f>
        <v/>
      </c>
    </row>
    <row r="629" customFormat="false" ht="15" hidden="false" customHeight="false" outlineLevel="0" collapsed="false">
      <c r="A629" s="33" t="str">
        <f aca="false">IF($G629="","","Finance Group")</f>
        <v/>
      </c>
      <c r="B629" s="19"/>
      <c r="C629" s="19"/>
      <c r="D629" s="19"/>
      <c r="E629" s="19"/>
      <c r="F629" s="19"/>
      <c r="G629" s="19"/>
      <c r="H629" s="19"/>
      <c r="I629" s="19"/>
      <c r="J629" s="19"/>
      <c r="K629" s="19"/>
      <c r="L629" s="19"/>
      <c r="M629" s="19"/>
      <c r="N629" s="19"/>
      <c r="O629" s="19"/>
      <c r="P629" s="19"/>
      <c r="Q629" s="19"/>
      <c r="R629" s="19"/>
      <c r="S629" s="19"/>
      <c r="T629" s="34" t="str">
        <f aca="false">IF($R629="","",IFERROR(INDEX(DriverCategory,MATCH($R629,DriverList,0)),"BAU"))</f>
        <v/>
      </c>
      <c r="U629" s="34" t="str">
        <f aca="false">IF($R629="","",IFERROR(INDEX(DriverRank,MATCH($R629,DriverList,0)),99))</f>
        <v/>
      </c>
      <c r="V629" s="35" t="n">
        <f aca="false">IF($H629="",0,IFERROR(INDEX(LevelBasic,MATCH($H629,LevelList,0))+INDEX(LevelHousing,MATCH($H629,LevelList,0))+INDEX(LevelTransport,MATCH($H629,LevelList,0))+INDEX(LevelBasic,MATCH($H629,LevelList,0))*INDEX(LevelBonus,MATCH($H629,LevelList,0))+(INDEX(LevelBasic,MATCH($H629,LevelList,0))+INDEX(LevelHousing,MATCH($H629,LevelList,0)))*GosiSaudi,0))</f>
        <v>0</v>
      </c>
      <c r="W629" s="35" t="n">
        <f aca="false">IFERROR(INDEX(LevelOneOff,MATCH($H629,LevelList,0)),0)</f>
        <v>0</v>
      </c>
      <c r="X629" s="35" t="str">
        <f aca="false">IF($G629="","",$V629*N($L629))</f>
        <v/>
      </c>
      <c r="Y629" s="35" t="str">
        <f aca="false">IF($G629="","",$V629*(N($M629)*1+N($N629)*0.75+N($O629)*0.5+N($P629)*0.25)+$W629*N($L629))</f>
        <v/>
      </c>
      <c r="Z629" s="35" t="str">
        <f aca="false">IF($G629="","",$U629*1000000+ROW())</f>
        <v/>
      </c>
      <c r="AA629" s="36" t="str">
        <f aca="false">IF($G629="","",MID(IF($C629="",", no division","")&amp;IF($E629="",", no unit","")&amp;IF($H629="",", no career level","")&amp;IF(N($L629)&lt;=0,", no quarter split","")&amp;IF($R629="",", no driver","")&amp;IF(AND($H629&lt;&gt;"",COUNTIF(CareerLevels,$H629)=0),", a career level that is not on the ladder","")&amp;IF(AND($R629&lt;&gt;"",COUNTIF(DriverList,$R629)=0),", a driver that is not on the list","")&amp;IF(ABS(N($L629)-(N($M629)+N($N629)+N($O629)+N($P629)))&gt;0.001,", a total that does not match its quarters",""),3,300))</f>
        <v/>
      </c>
    </row>
    <row r="630" customFormat="false" ht="15" hidden="false" customHeight="false" outlineLevel="0" collapsed="false">
      <c r="A630" s="33" t="str">
        <f aca="false">IF($G630="","","Finance Group")</f>
        <v/>
      </c>
      <c r="B630" s="19"/>
      <c r="C630" s="19"/>
      <c r="D630" s="19"/>
      <c r="E630" s="19"/>
      <c r="F630" s="19"/>
      <c r="G630" s="19"/>
      <c r="H630" s="19"/>
      <c r="I630" s="19"/>
      <c r="J630" s="19"/>
      <c r="K630" s="19"/>
      <c r="L630" s="19"/>
      <c r="M630" s="19"/>
      <c r="N630" s="19"/>
      <c r="O630" s="19"/>
      <c r="P630" s="19"/>
      <c r="Q630" s="19"/>
      <c r="R630" s="19"/>
      <c r="S630" s="19"/>
      <c r="T630" s="34" t="str">
        <f aca="false">IF($R630="","",IFERROR(INDEX(DriverCategory,MATCH($R630,DriverList,0)),"BAU"))</f>
        <v/>
      </c>
      <c r="U630" s="34" t="str">
        <f aca="false">IF($R630="","",IFERROR(INDEX(DriverRank,MATCH($R630,DriverList,0)),99))</f>
        <v/>
      </c>
      <c r="V630" s="35" t="n">
        <f aca="false">IF($H630="",0,IFERROR(INDEX(LevelBasic,MATCH($H630,LevelList,0))+INDEX(LevelHousing,MATCH($H630,LevelList,0))+INDEX(LevelTransport,MATCH($H630,LevelList,0))+INDEX(LevelBasic,MATCH($H630,LevelList,0))*INDEX(LevelBonus,MATCH($H630,LevelList,0))+(INDEX(LevelBasic,MATCH($H630,LevelList,0))+INDEX(LevelHousing,MATCH($H630,LevelList,0)))*GosiSaudi,0))</f>
        <v>0</v>
      </c>
      <c r="W630" s="35" t="n">
        <f aca="false">IFERROR(INDEX(LevelOneOff,MATCH($H630,LevelList,0)),0)</f>
        <v>0</v>
      </c>
      <c r="X630" s="35" t="str">
        <f aca="false">IF($G630="","",$V630*N($L630))</f>
        <v/>
      </c>
      <c r="Y630" s="35" t="str">
        <f aca="false">IF($G630="","",$V630*(N($M630)*1+N($N630)*0.75+N($O630)*0.5+N($P630)*0.25)+$W630*N($L630))</f>
        <v/>
      </c>
      <c r="Z630" s="35" t="str">
        <f aca="false">IF($G630="","",$U630*1000000+ROW())</f>
        <v/>
      </c>
      <c r="AA630" s="36" t="str">
        <f aca="false">IF($G630="","",MID(IF($C630="",", no division","")&amp;IF($E630="",", no unit","")&amp;IF($H630="",", no career level","")&amp;IF(N($L630)&lt;=0,", no quarter split","")&amp;IF($R630="",", no driver","")&amp;IF(AND($H630&lt;&gt;"",COUNTIF(CareerLevels,$H630)=0),", a career level that is not on the ladder","")&amp;IF(AND($R630&lt;&gt;"",COUNTIF(DriverList,$R630)=0),", a driver that is not on the list","")&amp;IF(ABS(N($L630)-(N($M630)+N($N630)+N($O630)+N($P630)))&gt;0.001,", a total that does not match its quarters",""),3,300))</f>
        <v/>
      </c>
    </row>
    <row r="631" customFormat="false" ht="15" hidden="false" customHeight="false" outlineLevel="0" collapsed="false">
      <c r="A631" s="33" t="str">
        <f aca="false">IF($G631="","","Finance Group")</f>
        <v/>
      </c>
      <c r="B631" s="19"/>
      <c r="C631" s="19"/>
      <c r="D631" s="19"/>
      <c r="E631" s="19"/>
      <c r="F631" s="19"/>
      <c r="G631" s="19"/>
      <c r="H631" s="19"/>
      <c r="I631" s="19"/>
      <c r="J631" s="19"/>
      <c r="K631" s="19"/>
      <c r="L631" s="19"/>
      <c r="M631" s="19"/>
      <c r="N631" s="19"/>
      <c r="O631" s="19"/>
      <c r="P631" s="19"/>
      <c r="Q631" s="19"/>
      <c r="R631" s="19"/>
      <c r="S631" s="19"/>
      <c r="T631" s="34" t="str">
        <f aca="false">IF($R631="","",IFERROR(INDEX(DriverCategory,MATCH($R631,DriverList,0)),"BAU"))</f>
        <v/>
      </c>
      <c r="U631" s="34" t="str">
        <f aca="false">IF($R631="","",IFERROR(INDEX(DriverRank,MATCH($R631,DriverList,0)),99))</f>
        <v/>
      </c>
      <c r="V631" s="35" t="n">
        <f aca="false">IF($H631="",0,IFERROR(INDEX(LevelBasic,MATCH($H631,LevelList,0))+INDEX(LevelHousing,MATCH($H631,LevelList,0))+INDEX(LevelTransport,MATCH($H631,LevelList,0))+INDEX(LevelBasic,MATCH($H631,LevelList,0))*INDEX(LevelBonus,MATCH($H631,LevelList,0))+(INDEX(LevelBasic,MATCH($H631,LevelList,0))+INDEX(LevelHousing,MATCH($H631,LevelList,0)))*GosiSaudi,0))</f>
        <v>0</v>
      </c>
      <c r="W631" s="35" t="n">
        <f aca="false">IFERROR(INDEX(LevelOneOff,MATCH($H631,LevelList,0)),0)</f>
        <v>0</v>
      </c>
      <c r="X631" s="35" t="str">
        <f aca="false">IF($G631="","",$V631*N($L631))</f>
        <v/>
      </c>
      <c r="Y631" s="35" t="str">
        <f aca="false">IF($G631="","",$V631*(N($M631)*1+N($N631)*0.75+N($O631)*0.5+N($P631)*0.25)+$W631*N($L631))</f>
        <v/>
      </c>
      <c r="Z631" s="35" t="str">
        <f aca="false">IF($G631="","",$U631*1000000+ROW())</f>
        <v/>
      </c>
      <c r="AA631" s="36" t="str">
        <f aca="false">IF($G631="","",MID(IF($C631="",", no division","")&amp;IF($E631="",", no unit","")&amp;IF($H631="",", no career level","")&amp;IF(N($L631)&lt;=0,", no quarter split","")&amp;IF($R631="",", no driver","")&amp;IF(AND($H631&lt;&gt;"",COUNTIF(CareerLevels,$H631)=0),", a career level that is not on the ladder","")&amp;IF(AND($R631&lt;&gt;"",COUNTIF(DriverList,$R631)=0),", a driver that is not on the list","")&amp;IF(ABS(N($L631)-(N($M631)+N($N631)+N($O631)+N($P631)))&gt;0.001,", a total that does not match its quarters",""),3,300))</f>
        <v/>
      </c>
    </row>
    <row r="632" customFormat="false" ht="15" hidden="false" customHeight="false" outlineLevel="0" collapsed="false">
      <c r="A632" s="33" t="str">
        <f aca="false">IF($G632="","","Finance Group")</f>
        <v/>
      </c>
      <c r="B632" s="19"/>
      <c r="C632" s="19"/>
      <c r="D632" s="19"/>
      <c r="E632" s="19"/>
      <c r="F632" s="19"/>
      <c r="G632" s="19"/>
      <c r="H632" s="19"/>
      <c r="I632" s="19"/>
      <c r="J632" s="19"/>
      <c r="K632" s="19"/>
      <c r="L632" s="19"/>
      <c r="M632" s="19"/>
      <c r="N632" s="19"/>
      <c r="O632" s="19"/>
      <c r="P632" s="19"/>
      <c r="Q632" s="19"/>
      <c r="R632" s="19"/>
      <c r="S632" s="19"/>
      <c r="T632" s="34" t="str">
        <f aca="false">IF($R632="","",IFERROR(INDEX(DriverCategory,MATCH($R632,DriverList,0)),"BAU"))</f>
        <v/>
      </c>
      <c r="U632" s="34" t="str">
        <f aca="false">IF($R632="","",IFERROR(INDEX(DriverRank,MATCH($R632,DriverList,0)),99))</f>
        <v/>
      </c>
      <c r="V632" s="35" t="n">
        <f aca="false">IF($H632="",0,IFERROR(INDEX(LevelBasic,MATCH($H632,LevelList,0))+INDEX(LevelHousing,MATCH($H632,LevelList,0))+INDEX(LevelTransport,MATCH($H632,LevelList,0))+INDEX(LevelBasic,MATCH($H632,LevelList,0))*INDEX(LevelBonus,MATCH($H632,LevelList,0))+(INDEX(LevelBasic,MATCH($H632,LevelList,0))+INDEX(LevelHousing,MATCH($H632,LevelList,0)))*GosiSaudi,0))</f>
        <v>0</v>
      </c>
      <c r="W632" s="35" t="n">
        <f aca="false">IFERROR(INDEX(LevelOneOff,MATCH($H632,LevelList,0)),0)</f>
        <v>0</v>
      </c>
      <c r="X632" s="35" t="str">
        <f aca="false">IF($G632="","",$V632*N($L632))</f>
        <v/>
      </c>
      <c r="Y632" s="35" t="str">
        <f aca="false">IF($G632="","",$V632*(N($M632)*1+N($N632)*0.75+N($O632)*0.5+N($P632)*0.25)+$W632*N($L632))</f>
        <v/>
      </c>
      <c r="Z632" s="35" t="str">
        <f aca="false">IF($G632="","",$U632*1000000+ROW())</f>
        <v/>
      </c>
      <c r="AA632" s="36" t="str">
        <f aca="false">IF($G632="","",MID(IF($C632="",", no division","")&amp;IF($E632="",", no unit","")&amp;IF($H632="",", no career level","")&amp;IF(N($L632)&lt;=0,", no quarter split","")&amp;IF($R632="",", no driver","")&amp;IF(AND($H632&lt;&gt;"",COUNTIF(CareerLevels,$H632)=0),", a career level that is not on the ladder","")&amp;IF(AND($R632&lt;&gt;"",COUNTIF(DriverList,$R632)=0),", a driver that is not on the list","")&amp;IF(ABS(N($L632)-(N($M632)+N($N632)+N($O632)+N($P632)))&gt;0.001,", a total that does not match its quarters",""),3,300))</f>
        <v/>
      </c>
    </row>
    <row r="633" customFormat="false" ht="15" hidden="false" customHeight="false" outlineLevel="0" collapsed="false">
      <c r="A633" s="33" t="str">
        <f aca="false">IF($G633="","","Finance Group")</f>
        <v/>
      </c>
      <c r="B633" s="19"/>
      <c r="C633" s="19"/>
      <c r="D633" s="19"/>
      <c r="E633" s="19"/>
      <c r="F633" s="19"/>
      <c r="G633" s="19"/>
      <c r="H633" s="19"/>
      <c r="I633" s="19"/>
      <c r="J633" s="19"/>
      <c r="K633" s="19"/>
      <c r="L633" s="19"/>
      <c r="M633" s="19"/>
      <c r="N633" s="19"/>
      <c r="O633" s="19"/>
      <c r="P633" s="19"/>
      <c r="Q633" s="19"/>
      <c r="R633" s="19"/>
      <c r="S633" s="19"/>
      <c r="T633" s="34" t="str">
        <f aca="false">IF($R633="","",IFERROR(INDEX(DriverCategory,MATCH($R633,DriverList,0)),"BAU"))</f>
        <v/>
      </c>
      <c r="U633" s="34" t="str">
        <f aca="false">IF($R633="","",IFERROR(INDEX(DriverRank,MATCH($R633,DriverList,0)),99))</f>
        <v/>
      </c>
      <c r="V633" s="35" t="n">
        <f aca="false">IF($H633="",0,IFERROR(INDEX(LevelBasic,MATCH($H633,LevelList,0))+INDEX(LevelHousing,MATCH($H633,LevelList,0))+INDEX(LevelTransport,MATCH($H633,LevelList,0))+INDEX(LevelBasic,MATCH($H633,LevelList,0))*INDEX(LevelBonus,MATCH($H633,LevelList,0))+(INDEX(LevelBasic,MATCH($H633,LevelList,0))+INDEX(LevelHousing,MATCH($H633,LevelList,0)))*GosiSaudi,0))</f>
        <v>0</v>
      </c>
      <c r="W633" s="35" t="n">
        <f aca="false">IFERROR(INDEX(LevelOneOff,MATCH($H633,LevelList,0)),0)</f>
        <v>0</v>
      </c>
      <c r="X633" s="35" t="str">
        <f aca="false">IF($G633="","",$V633*N($L633))</f>
        <v/>
      </c>
      <c r="Y633" s="35" t="str">
        <f aca="false">IF($G633="","",$V633*(N($M633)*1+N($N633)*0.75+N($O633)*0.5+N($P633)*0.25)+$W633*N($L633))</f>
        <v/>
      </c>
      <c r="Z633" s="35" t="str">
        <f aca="false">IF($G633="","",$U633*1000000+ROW())</f>
        <v/>
      </c>
      <c r="AA633" s="36" t="str">
        <f aca="false">IF($G633="","",MID(IF($C633="",", no division","")&amp;IF($E633="",", no unit","")&amp;IF($H633="",", no career level","")&amp;IF(N($L633)&lt;=0,", no quarter split","")&amp;IF($R633="",", no driver","")&amp;IF(AND($H633&lt;&gt;"",COUNTIF(CareerLevels,$H633)=0),", a career level that is not on the ladder","")&amp;IF(AND($R633&lt;&gt;"",COUNTIF(DriverList,$R633)=0),", a driver that is not on the list","")&amp;IF(ABS(N($L633)-(N($M633)+N($N633)+N($O633)+N($P633)))&gt;0.001,", a total that does not match its quarters",""),3,300))</f>
        <v/>
      </c>
    </row>
    <row r="634" customFormat="false" ht="15" hidden="false" customHeight="false" outlineLevel="0" collapsed="false">
      <c r="A634" s="33" t="str">
        <f aca="false">IF($G634="","","Finance Group")</f>
        <v/>
      </c>
      <c r="B634" s="19"/>
      <c r="C634" s="19"/>
      <c r="D634" s="19"/>
      <c r="E634" s="19"/>
      <c r="F634" s="19"/>
      <c r="G634" s="19"/>
      <c r="H634" s="19"/>
      <c r="I634" s="19"/>
      <c r="J634" s="19"/>
      <c r="K634" s="19"/>
      <c r="L634" s="19"/>
      <c r="M634" s="19"/>
      <c r="N634" s="19"/>
      <c r="O634" s="19"/>
      <c r="P634" s="19"/>
      <c r="Q634" s="19"/>
      <c r="R634" s="19"/>
      <c r="S634" s="19"/>
      <c r="T634" s="34" t="str">
        <f aca="false">IF($R634="","",IFERROR(INDEX(DriverCategory,MATCH($R634,DriverList,0)),"BAU"))</f>
        <v/>
      </c>
      <c r="U634" s="34" t="str">
        <f aca="false">IF($R634="","",IFERROR(INDEX(DriverRank,MATCH($R634,DriverList,0)),99))</f>
        <v/>
      </c>
      <c r="V634" s="35" t="n">
        <f aca="false">IF($H634="",0,IFERROR(INDEX(LevelBasic,MATCH($H634,LevelList,0))+INDEX(LevelHousing,MATCH($H634,LevelList,0))+INDEX(LevelTransport,MATCH($H634,LevelList,0))+INDEX(LevelBasic,MATCH($H634,LevelList,0))*INDEX(LevelBonus,MATCH($H634,LevelList,0))+(INDEX(LevelBasic,MATCH($H634,LevelList,0))+INDEX(LevelHousing,MATCH($H634,LevelList,0)))*GosiSaudi,0))</f>
        <v>0</v>
      </c>
      <c r="W634" s="35" t="n">
        <f aca="false">IFERROR(INDEX(LevelOneOff,MATCH($H634,LevelList,0)),0)</f>
        <v>0</v>
      </c>
      <c r="X634" s="35" t="str">
        <f aca="false">IF($G634="","",$V634*N($L634))</f>
        <v/>
      </c>
      <c r="Y634" s="35" t="str">
        <f aca="false">IF($G634="","",$V634*(N($M634)*1+N($N634)*0.75+N($O634)*0.5+N($P634)*0.25)+$W634*N($L634))</f>
        <v/>
      </c>
      <c r="Z634" s="35" t="str">
        <f aca="false">IF($G634="","",$U634*1000000+ROW())</f>
        <v/>
      </c>
      <c r="AA634" s="36" t="str">
        <f aca="false">IF($G634="","",MID(IF($C634="",", no division","")&amp;IF($E634="",", no unit","")&amp;IF($H634="",", no career level","")&amp;IF(N($L634)&lt;=0,", no quarter split","")&amp;IF($R634="",", no driver","")&amp;IF(AND($H634&lt;&gt;"",COUNTIF(CareerLevels,$H634)=0),", a career level that is not on the ladder","")&amp;IF(AND($R634&lt;&gt;"",COUNTIF(DriverList,$R634)=0),", a driver that is not on the list","")&amp;IF(ABS(N($L634)-(N($M634)+N($N634)+N($O634)+N($P634)))&gt;0.001,", a total that does not match its quarters",""),3,300))</f>
        <v/>
      </c>
    </row>
    <row r="635" customFormat="false" ht="15" hidden="false" customHeight="false" outlineLevel="0" collapsed="false">
      <c r="A635" s="33" t="str">
        <f aca="false">IF($G635="","","Finance Group")</f>
        <v/>
      </c>
      <c r="B635" s="19"/>
      <c r="C635" s="19"/>
      <c r="D635" s="19"/>
      <c r="E635" s="19"/>
      <c r="F635" s="19"/>
      <c r="G635" s="19"/>
      <c r="H635" s="19"/>
      <c r="I635" s="19"/>
      <c r="J635" s="19"/>
      <c r="K635" s="19"/>
      <c r="L635" s="19"/>
      <c r="M635" s="19"/>
      <c r="N635" s="19"/>
      <c r="O635" s="19"/>
      <c r="P635" s="19"/>
      <c r="Q635" s="19"/>
      <c r="R635" s="19"/>
      <c r="S635" s="19"/>
      <c r="T635" s="34" t="str">
        <f aca="false">IF($R635="","",IFERROR(INDEX(DriverCategory,MATCH($R635,DriverList,0)),"BAU"))</f>
        <v/>
      </c>
      <c r="U635" s="34" t="str">
        <f aca="false">IF($R635="","",IFERROR(INDEX(DriverRank,MATCH($R635,DriverList,0)),99))</f>
        <v/>
      </c>
      <c r="V635" s="35" t="n">
        <f aca="false">IF($H635="",0,IFERROR(INDEX(LevelBasic,MATCH($H635,LevelList,0))+INDEX(LevelHousing,MATCH($H635,LevelList,0))+INDEX(LevelTransport,MATCH($H635,LevelList,0))+INDEX(LevelBasic,MATCH($H635,LevelList,0))*INDEX(LevelBonus,MATCH($H635,LevelList,0))+(INDEX(LevelBasic,MATCH($H635,LevelList,0))+INDEX(LevelHousing,MATCH($H635,LevelList,0)))*GosiSaudi,0))</f>
        <v>0</v>
      </c>
      <c r="W635" s="35" t="n">
        <f aca="false">IFERROR(INDEX(LevelOneOff,MATCH($H635,LevelList,0)),0)</f>
        <v>0</v>
      </c>
      <c r="X635" s="35" t="str">
        <f aca="false">IF($G635="","",$V635*N($L635))</f>
        <v/>
      </c>
      <c r="Y635" s="35" t="str">
        <f aca="false">IF($G635="","",$V635*(N($M635)*1+N($N635)*0.75+N($O635)*0.5+N($P635)*0.25)+$W635*N($L635))</f>
        <v/>
      </c>
      <c r="Z635" s="35" t="str">
        <f aca="false">IF($G635="","",$U635*1000000+ROW())</f>
        <v/>
      </c>
      <c r="AA635" s="36" t="str">
        <f aca="false">IF($G635="","",MID(IF($C635="",", no division","")&amp;IF($E635="",", no unit","")&amp;IF($H635="",", no career level","")&amp;IF(N($L635)&lt;=0,", no quarter split","")&amp;IF($R635="",", no driver","")&amp;IF(AND($H635&lt;&gt;"",COUNTIF(CareerLevels,$H635)=0),", a career level that is not on the ladder","")&amp;IF(AND($R635&lt;&gt;"",COUNTIF(DriverList,$R635)=0),", a driver that is not on the list","")&amp;IF(ABS(N($L635)-(N($M635)+N($N635)+N($O635)+N($P635)))&gt;0.001,", a total that does not match its quarters",""),3,300))</f>
        <v/>
      </c>
    </row>
    <row r="636" customFormat="false" ht="15" hidden="false" customHeight="false" outlineLevel="0" collapsed="false">
      <c r="A636" s="33" t="str">
        <f aca="false">IF($G636="","","Finance Group")</f>
        <v/>
      </c>
      <c r="B636" s="19"/>
      <c r="C636" s="19"/>
      <c r="D636" s="19"/>
      <c r="E636" s="19"/>
      <c r="F636" s="19"/>
      <c r="G636" s="19"/>
      <c r="H636" s="19"/>
      <c r="I636" s="19"/>
      <c r="J636" s="19"/>
      <c r="K636" s="19"/>
      <c r="L636" s="19"/>
      <c r="M636" s="19"/>
      <c r="N636" s="19"/>
      <c r="O636" s="19"/>
      <c r="P636" s="19"/>
      <c r="Q636" s="19"/>
      <c r="R636" s="19"/>
      <c r="S636" s="19"/>
      <c r="T636" s="34" t="str">
        <f aca="false">IF($R636="","",IFERROR(INDEX(DriverCategory,MATCH($R636,DriverList,0)),"BAU"))</f>
        <v/>
      </c>
      <c r="U636" s="34" t="str">
        <f aca="false">IF($R636="","",IFERROR(INDEX(DriverRank,MATCH($R636,DriverList,0)),99))</f>
        <v/>
      </c>
      <c r="V636" s="35" t="n">
        <f aca="false">IF($H636="",0,IFERROR(INDEX(LevelBasic,MATCH($H636,LevelList,0))+INDEX(LevelHousing,MATCH($H636,LevelList,0))+INDEX(LevelTransport,MATCH($H636,LevelList,0))+INDEX(LevelBasic,MATCH($H636,LevelList,0))*INDEX(LevelBonus,MATCH($H636,LevelList,0))+(INDEX(LevelBasic,MATCH($H636,LevelList,0))+INDEX(LevelHousing,MATCH($H636,LevelList,0)))*GosiSaudi,0))</f>
        <v>0</v>
      </c>
      <c r="W636" s="35" t="n">
        <f aca="false">IFERROR(INDEX(LevelOneOff,MATCH($H636,LevelList,0)),0)</f>
        <v>0</v>
      </c>
      <c r="X636" s="35" t="str">
        <f aca="false">IF($G636="","",$V636*N($L636))</f>
        <v/>
      </c>
      <c r="Y636" s="35" t="str">
        <f aca="false">IF($G636="","",$V636*(N($M636)*1+N($N636)*0.75+N($O636)*0.5+N($P636)*0.25)+$W636*N($L636))</f>
        <v/>
      </c>
      <c r="Z636" s="35" t="str">
        <f aca="false">IF($G636="","",$U636*1000000+ROW())</f>
        <v/>
      </c>
      <c r="AA636" s="36" t="str">
        <f aca="false">IF($G636="","",MID(IF($C636="",", no division","")&amp;IF($E636="",", no unit","")&amp;IF($H636="",", no career level","")&amp;IF(N($L636)&lt;=0,", no quarter split","")&amp;IF($R636="",", no driver","")&amp;IF(AND($H636&lt;&gt;"",COUNTIF(CareerLevels,$H636)=0),", a career level that is not on the ladder","")&amp;IF(AND($R636&lt;&gt;"",COUNTIF(DriverList,$R636)=0),", a driver that is not on the list","")&amp;IF(ABS(N($L636)-(N($M636)+N($N636)+N($O636)+N($P636)))&gt;0.001,", a total that does not match its quarters",""),3,300))</f>
        <v/>
      </c>
    </row>
    <row r="637" customFormat="false" ht="15" hidden="false" customHeight="false" outlineLevel="0" collapsed="false">
      <c r="A637" s="33" t="str">
        <f aca="false">IF($G637="","","Finance Group")</f>
        <v/>
      </c>
      <c r="B637" s="19"/>
      <c r="C637" s="19"/>
      <c r="D637" s="19"/>
      <c r="E637" s="19"/>
      <c r="F637" s="19"/>
      <c r="G637" s="19"/>
      <c r="H637" s="19"/>
      <c r="I637" s="19"/>
      <c r="J637" s="19"/>
      <c r="K637" s="19"/>
      <c r="L637" s="19"/>
      <c r="M637" s="19"/>
      <c r="N637" s="19"/>
      <c r="O637" s="19"/>
      <c r="P637" s="19"/>
      <c r="Q637" s="19"/>
      <c r="R637" s="19"/>
      <c r="S637" s="19"/>
      <c r="T637" s="34" t="str">
        <f aca="false">IF($R637="","",IFERROR(INDEX(DriverCategory,MATCH($R637,DriverList,0)),"BAU"))</f>
        <v/>
      </c>
      <c r="U637" s="34" t="str">
        <f aca="false">IF($R637="","",IFERROR(INDEX(DriverRank,MATCH($R637,DriverList,0)),99))</f>
        <v/>
      </c>
      <c r="V637" s="35" t="n">
        <f aca="false">IF($H637="",0,IFERROR(INDEX(LevelBasic,MATCH($H637,LevelList,0))+INDEX(LevelHousing,MATCH($H637,LevelList,0))+INDEX(LevelTransport,MATCH($H637,LevelList,0))+INDEX(LevelBasic,MATCH($H637,LevelList,0))*INDEX(LevelBonus,MATCH($H637,LevelList,0))+(INDEX(LevelBasic,MATCH($H637,LevelList,0))+INDEX(LevelHousing,MATCH($H637,LevelList,0)))*GosiSaudi,0))</f>
        <v>0</v>
      </c>
      <c r="W637" s="35" t="n">
        <f aca="false">IFERROR(INDEX(LevelOneOff,MATCH($H637,LevelList,0)),0)</f>
        <v>0</v>
      </c>
      <c r="X637" s="35" t="str">
        <f aca="false">IF($G637="","",$V637*N($L637))</f>
        <v/>
      </c>
      <c r="Y637" s="35" t="str">
        <f aca="false">IF($G637="","",$V637*(N($M637)*1+N($N637)*0.75+N($O637)*0.5+N($P637)*0.25)+$W637*N($L637))</f>
        <v/>
      </c>
      <c r="Z637" s="35" t="str">
        <f aca="false">IF($G637="","",$U637*1000000+ROW())</f>
        <v/>
      </c>
      <c r="AA637" s="36" t="str">
        <f aca="false">IF($G637="","",MID(IF($C637="",", no division","")&amp;IF($E637="",", no unit","")&amp;IF($H637="",", no career level","")&amp;IF(N($L637)&lt;=0,", no quarter split","")&amp;IF($R637="",", no driver","")&amp;IF(AND($H637&lt;&gt;"",COUNTIF(CareerLevels,$H637)=0),", a career level that is not on the ladder","")&amp;IF(AND($R637&lt;&gt;"",COUNTIF(DriverList,$R637)=0),", a driver that is not on the list","")&amp;IF(ABS(N($L637)-(N($M637)+N($N637)+N($O637)+N($P637)))&gt;0.001,", a total that does not match its quarters",""),3,300))</f>
        <v/>
      </c>
    </row>
    <row r="638" customFormat="false" ht="15" hidden="false" customHeight="false" outlineLevel="0" collapsed="false">
      <c r="A638" s="33" t="str">
        <f aca="false">IF($G638="","","Finance Group")</f>
        <v/>
      </c>
      <c r="B638" s="19"/>
      <c r="C638" s="19"/>
      <c r="D638" s="19"/>
      <c r="E638" s="19"/>
      <c r="F638" s="19"/>
      <c r="G638" s="19"/>
      <c r="H638" s="19"/>
      <c r="I638" s="19"/>
      <c r="J638" s="19"/>
      <c r="K638" s="19"/>
      <c r="L638" s="19"/>
      <c r="M638" s="19"/>
      <c r="N638" s="19"/>
      <c r="O638" s="19"/>
      <c r="P638" s="19"/>
      <c r="Q638" s="19"/>
      <c r="R638" s="19"/>
      <c r="S638" s="19"/>
      <c r="T638" s="34" t="str">
        <f aca="false">IF($R638="","",IFERROR(INDEX(DriverCategory,MATCH($R638,DriverList,0)),"BAU"))</f>
        <v/>
      </c>
      <c r="U638" s="34" t="str">
        <f aca="false">IF($R638="","",IFERROR(INDEX(DriverRank,MATCH($R638,DriverList,0)),99))</f>
        <v/>
      </c>
      <c r="V638" s="35" t="n">
        <f aca="false">IF($H638="",0,IFERROR(INDEX(LevelBasic,MATCH($H638,LevelList,0))+INDEX(LevelHousing,MATCH($H638,LevelList,0))+INDEX(LevelTransport,MATCH($H638,LevelList,0))+INDEX(LevelBasic,MATCH($H638,LevelList,0))*INDEX(LevelBonus,MATCH($H638,LevelList,0))+(INDEX(LevelBasic,MATCH($H638,LevelList,0))+INDEX(LevelHousing,MATCH($H638,LevelList,0)))*GosiSaudi,0))</f>
        <v>0</v>
      </c>
      <c r="W638" s="35" t="n">
        <f aca="false">IFERROR(INDEX(LevelOneOff,MATCH($H638,LevelList,0)),0)</f>
        <v>0</v>
      </c>
      <c r="X638" s="35" t="str">
        <f aca="false">IF($G638="","",$V638*N($L638))</f>
        <v/>
      </c>
      <c r="Y638" s="35" t="str">
        <f aca="false">IF($G638="","",$V638*(N($M638)*1+N($N638)*0.75+N($O638)*0.5+N($P638)*0.25)+$W638*N($L638))</f>
        <v/>
      </c>
      <c r="Z638" s="35" t="str">
        <f aca="false">IF($G638="","",$U638*1000000+ROW())</f>
        <v/>
      </c>
      <c r="AA638" s="36" t="str">
        <f aca="false">IF($G638="","",MID(IF($C638="",", no division","")&amp;IF($E638="",", no unit","")&amp;IF($H638="",", no career level","")&amp;IF(N($L638)&lt;=0,", no quarter split","")&amp;IF($R638="",", no driver","")&amp;IF(AND($H638&lt;&gt;"",COUNTIF(CareerLevels,$H638)=0),", a career level that is not on the ladder","")&amp;IF(AND($R638&lt;&gt;"",COUNTIF(DriverList,$R638)=0),", a driver that is not on the list","")&amp;IF(ABS(N($L638)-(N($M638)+N($N638)+N($O638)+N($P638)))&gt;0.001,", a total that does not match its quarters",""),3,300))</f>
        <v/>
      </c>
    </row>
    <row r="639" customFormat="false" ht="15" hidden="false" customHeight="false" outlineLevel="0" collapsed="false">
      <c r="A639" s="33" t="str">
        <f aca="false">IF($G639="","","Finance Group")</f>
        <v/>
      </c>
      <c r="B639" s="19"/>
      <c r="C639" s="19"/>
      <c r="D639" s="19"/>
      <c r="E639" s="19"/>
      <c r="F639" s="19"/>
      <c r="G639" s="19"/>
      <c r="H639" s="19"/>
      <c r="I639" s="19"/>
      <c r="J639" s="19"/>
      <c r="K639" s="19"/>
      <c r="L639" s="19"/>
      <c r="M639" s="19"/>
      <c r="N639" s="19"/>
      <c r="O639" s="19"/>
      <c r="P639" s="19"/>
      <c r="Q639" s="19"/>
      <c r="R639" s="19"/>
      <c r="S639" s="19"/>
      <c r="T639" s="34" t="str">
        <f aca="false">IF($R639="","",IFERROR(INDEX(DriverCategory,MATCH($R639,DriverList,0)),"BAU"))</f>
        <v/>
      </c>
      <c r="U639" s="34" t="str">
        <f aca="false">IF($R639="","",IFERROR(INDEX(DriverRank,MATCH($R639,DriverList,0)),99))</f>
        <v/>
      </c>
      <c r="V639" s="35" t="n">
        <f aca="false">IF($H639="",0,IFERROR(INDEX(LevelBasic,MATCH($H639,LevelList,0))+INDEX(LevelHousing,MATCH($H639,LevelList,0))+INDEX(LevelTransport,MATCH($H639,LevelList,0))+INDEX(LevelBasic,MATCH($H639,LevelList,0))*INDEX(LevelBonus,MATCH($H639,LevelList,0))+(INDEX(LevelBasic,MATCH($H639,LevelList,0))+INDEX(LevelHousing,MATCH($H639,LevelList,0)))*GosiSaudi,0))</f>
        <v>0</v>
      </c>
      <c r="W639" s="35" t="n">
        <f aca="false">IFERROR(INDEX(LevelOneOff,MATCH($H639,LevelList,0)),0)</f>
        <v>0</v>
      </c>
      <c r="X639" s="35" t="str">
        <f aca="false">IF($G639="","",$V639*N($L639))</f>
        <v/>
      </c>
      <c r="Y639" s="35" t="str">
        <f aca="false">IF($G639="","",$V639*(N($M639)*1+N($N639)*0.75+N($O639)*0.5+N($P639)*0.25)+$W639*N($L639))</f>
        <v/>
      </c>
      <c r="Z639" s="35" t="str">
        <f aca="false">IF($G639="","",$U639*1000000+ROW())</f>
        <v/>
      </c>
      <c r="AA639" s="36" t="str">
        <f aca="false">IF($G639="","",MID(IF($C639="",", no division","")&amp;IF($E639="",", no unit","")&amp;IF($H639="",", no career level","")&amp;IF(N($L639)&lt;=0,", no quarter split","")&amp;IF($R639="",", no driver","")&amp;IF(AND($H639&lt;&gt;"",COUNTIF(CareerLevels,$H639)=0),", a career level that is not on the ladder","")&amp;IF(AND($R639&lt;&gt;"",COUNTIF(DriverList,$R639)=0),", a driver that is not on the list","")&amp;IF(ABS(N($L639)-(N($M639)+N($N639)+N($O639)+N($P639)))&gt;0.001,", a total that does not match its quarters",""),3,300))</f>
        <v/>
      </c>
    </row>
    <row r="640" customFormat="false" ht="15" hidden="false" customHeight="false" outlineLevel="0" collapsed="false">
      <c r="A640" s="33" t="str">
        <f aca="false">IF($G640="","","Finance Group")</f>
        <v/>
      </c>
      <c r="B640" s="19"/>
      <c r="C640" s="19"/>
      <c r="D640" s="19"/>
      <c r="E640" s="19"/>
      <c r="F640" s="19"/>
      <c r="G640" s="19"/>
      <c r="H640" s="19"/>
      <c r="I640" s="19"/>
      <c r="J640" s="19"/>
      <c r="K640" s="19"/>
      <c r="L640" s="19"/>
      <c r="M640" s="19"/>
      <c r="N640" s="19"/>
      <c r="O640" s="19"/>
      <c r="P640" s="19"/>
      <c r="Q640" s="19"/>
      <c r="R640" s="19"/>
      <c r="S640" s="19"/>
      <c r="T640" s="34" t="str">
        <f aca="false">IF($R640="","",IFERROR(INDEX(DriverCategory,MATCH($R640,DriverList,0)),"BAU"))</f>
        <v/>
      </c>
      <c r="U640" s="34" t="str">
        <f aca="false">IF($R640="","",IFERROR(INDEX(DriverRank,MATCH($R640,DriverList,0)),99))</f>
        <v/>
      </c>
      <c r="V640" s="35" t="n">
        <f aca="false">IF($H640="",0,IFERROR(INDEX(LevelBasic,MATCH($H640,LevelList,0))+INDEX(LevelHousing,MATCH($H640,LevelList,0))+INDEX(LevelTransport,MATCH($H640,LevelList,0))+INDEX(LevelBasic,MATCH($H640,LevelList,0))*INDEX(LevelBonus,MATCH($H640,LevelList,0))+(INDEX(LevelBasic,MATCH($H640,LevelList,0))+INDEX(LevelHousing,MATCH($H640,LevelList,0)))*GosiSaudi,0))</f>
        <v>0</v>
      </c>
      <c r="W640" s="35" t="n">
        <f aca="false">IFERROR(INDEX(LevelOneOff,MATCH($H640,LevelList,0)),0)</f>
        <v>0</v>
      </c>
      <c r="X640" s="35" t="str">
        <f aca="false">IF($G640="","",$V640*N($L640))</f>
        <v/>
      </c>
      <c r="Y640" s="35" t="str">
        <f aca="false">IF($G640="","",$V640*(N($M640)*1+N($N640)*0.75+N($O640)*0.5+N($P640)*0.25)+$W640*N($L640))</f>
        <v/>
      </c>
      <c r="Z640" s="35" t="str">
        <f aca="false">IF($G640="","",$U640*1000000+ROW())</f>
        <v/>
      </c>
      <c r="AA640" s="36" t="str">
        <f aca="false">IF($G640="","",MID(IF($C640="",", no division","")&amp;IF($E640="",", no unit","")&amp;IF($H640="",", no career level","")&amp;IF(N($L640)&lt;=0,", no quarter split","")&amp;IF($R640="",", no driver","")&amp;IF(AND($H640&lt;&gt;"",COUNTIF(CareerLevels,$H640)=0),", a career level that is not on the ladder","")&amp;IF(AND($R640&lt;&gt;"",COUNTIF(DriverList,$R640)=0),", a driver that is not on the list","")&amp;IF(ABS(N($L640)-(N($M640)+N($N640)+N($O640)+N($P640)))&gt;0.001,", a total that does not match its quarters",""),3,300))</f>
        <v/>
      </c>
    </row>
    <row r="641" customFormat="false" ht="15" hidden="false" customHeight="false" outlineLevel="0" collapsed="false">
      <c r="A641" s="33" t="str">
        <f aca="false">IF($G641="","","Finance Group")</f>
        <v/>
      </c>
      <c r="B641" s="19"/>
      <c r="C641" s="19"/>
      <c r="D641" s="19"/>
      <c r="E641" s="19"/>
      <c r="F641" s="19"/>
      <c r="G641" s="19"/>
      <c r="H641" s="19"/>
      <c r="I641" s="19"/>
      <c r="J641" s="19"/>
      <c r="K641" s="19"/>
      <c r="L641" s="19"/>
      <c r="M641" s="19"/>
      <c r="N641" s="19"/>
      <c r="O641" s="19"/>
      <c r="P641" s="19"/>
      <c r="Q641" s="19"/>
      <c r="R641" s="19"/>
      <c r="S641" s="19"/>
      <c r="T641" s="34" t="str">
        <f aca="false">IF($R641="","",IFERROR(INDEX(DriverCategory,MATCH($R641,DriverList,0)),"BAU"))</f>
        <v/>
      </c>
      <c r="U641" s="34" t="str">
        <f aca="false">IF($R641="","",IFERROR(INDEX(DriverRank,MATCH($R641,DriverList,0)),99))</f>
        <v/>
      </c>
      <c r="V641" s="35" t="n">
        <f aca="false">IF($H641="",0,IFERROR(INDEX(LevelBasic,MATCH($H641,LevelList,0))+INDEX(LevelHousing,MATCH($H641,LevelList,0))+INDEX(LevelTransport,MATCH($H641,LevelList,0))+INDEX(LevelBasic,MATCH($H641,LevelList,0))*INDEX(LevelBonus,MATCH($H641,LevelList,0))+(INDEX(LevelBasic,MATCH($H641,LevelList,0))+INDEX(LevelHousing,MATCH($H641,LevelList,0)))*GosiSaudi,0))</f>
        <v>0</v>
      </c>
      <c r="W641" s="35" t="n">
        <f aca="false">IFERROR(INDEX(LevelOneOff,MATCH($H641,LevelList,0)),0)</f>
        <v>0</v>
      </c>
      <c r="X641" s="35" t="str">
        <f aca="false">IF($G641="","",$V641*N($L641))</f>
        <v/>
      </c>
      <c r="Y641" s="35" t="str">
        <f aca="false">IF($G641="","",$V641*(N($M641)*1+N($N641)*0.75+N($O641)*0.5+N($P641)*0.25)+$W641*N($L641))</f>
        <v/>
      </c>
      <c r="Z641" s="35" t="str">
        <f aca="false">IF($G641="","",$U641*1000000+ROW())</f>
        <v/>
      </c>
      <c r="AA641" s="36" t="str">
        <f aca="false">IF($G641="","",MID(IF($C641="",", no division","")&amp;IF($E641="",", no unit","")&amp;IF($H641="",", no career level","")&amp;IF(N($L641)&lt;=0,", no quarter split","")&amp;IF($R641="",", no driver","")&amp;IF(AND($H641&lt;&gt;"",COUNTIF(CareerLevels,$H641)=0),", a career level that is not on the ladder","")&amp;IF(AND($R641&lt;&gt;"",COUNTIF(DriverList,$R641)=0),", a driver that is not on the list","")&amp;IF(ABS(N($L641)-(N($M641)+N($N641)+N($O641)+N($P641)))&gt;0.001,", a total that does not match its quarters",""),3,300))</f>
        <v/>
      </c>
    </row>
    <row r="642" customFormat="false" ht="15" hidden="false" customHeight="false" outlineLevel="0" collapsed="false">
      <c r="A642" s="33" t="str">
        <f aca="false">IF($G642="","","Finance Group")</f>
        <v/>
      </c>
      <c r="B642" s="19"/>
      <c r="C642" s="19"/>
      <c r="D642" s="19"/>
      <c r="E642" s="19"/>
      <c r="F642" s="19"/>
      <c r="G642" s="19"/>
      <c r="H642" s="19"/>
      <c r="I642" s="19"/>
      <c r="J642" s="19"/>
      <c r="K642" s="19"/>
      <c r="L642" s="19"/>
      <c r="M642" s="19"/>
      <c r="N642" s="19"/>
      <c r="O642" s="19"/>
      <c r="P642" s="19"/>
      <c r="Q642" s="19"/>
      <c r="R642" s="19"/>
      <c r="S642" s="19"/>
      <c r="T642" s="34" t="str">
        <f aca="false">IF($R642="","",IFERROR(INDEX(DriverCategory,MATCH($R642,DriverList,0)),"BAU"))</f>
        <v/>
      </c>
      <c r="U642" s="34" t="str">
        <f aca="false">IF($R642="","",IFERROR(INDEX(DriverRank,MATCH($R642,DriverList,0)),99))</f>
        <v/>
      </c>
      <c r="V642" s="35" t="n">
        <f aca="false">IF($H642="",0,IFERROR(INDEX(LevelBasic,MATCH($H642,LevelList,0))+INDEX(LevelHousing,MATCH($H642,LevelList,0))+INDEX(LevelTransport,MATCH($H642,LevelList,0))+INDEX(LevelBasic,MATCH($H642,LevelList,0))*INDEX(LevelBonus,MATCH($H642,LevelList,0))+(INDEX(LevelBasic,MATCH($H642,LevelList,0))+INDEX(LevelHousing,MATCH($H642,LevelList,0)))*GosiSaudi,0))</f>
        <v>0</v>
      </c>
      <c r="W642" s="35" t="n">
        <f aca="false">IFERROR(INDEX(LevelOneOff,MATCH($H642,LevelList,0)),0)</f>
        <v>0</v>
      </c>
      <c r="X642" s="35" t="str">
        <f aca="false">IF($G642="","",$V642*N($L642))</f>
        <v/>
      </c>
      <c r="Y642" s="35" t="str">
        <f aca="false">IF($G642="","",$V642*(N($M642)*1+N($N642)*0.75+N($O642)*0.5+N($P642)*0.25)+$W642*N($L642))</f>
        <v/>
      </c>
      <c r="Z642" s="35" t="str">
        <f aca="false">IF($G642="","",$U642*1000000+ROW())</f>
        <v/>
      </c>
      <c r="AA642" s="36" t="str">
        <f aca="false">IF($G642="","",MID(IF($C642="",", no division","")&amp;IF($E642="",", no unit","")&amp;IF($H642="",", no career level","")&amp;IF(N($L642)&lt;=0,", no quarter split","")&amp;IF($R642="",", no driver","")&amp;IF(AND($H642&lt;&gt;"",COUNTIF(CareerLevels,$H642)=0),", a career level that is not on the ladder","")&amp;IF(AND($R642&lt;&gt;"",COUNTIF(DriverList,$R642)=0),", a driver that is not on the list","")&amp;IF(ABS(N($L642)-(N($M642)+N($N642)+N($O642)+N($P642)))&gt;0.001,", a total that does not match its quarters",""),3,300))</f>
        <v/>
      </c>
    </row>
    <row r="643" customFormat="false" ht="15" hidden="false" customHeight="false" outlineLevel="0" collapsed="false">
      <c r="A643" s="33" t="str">
        <f aca="false">IF($G643="","","Finance Group")</f>
        <v/>
      </c>
      <c r="B643" s="19"/>
      <c r="C643" s="19"/>
      <c r="D643" s="19"/>
      <c r="E643" s="19"/>
      <c r="F643" s="19"/>
      <c r="G643" s="19"/>
      <c r="H643" s="19"/>
      <c r="I643" s="19"/>
      <c r="J643" s="19"/>
      <c r="K643" s="19"/>
      <c r="L643" s="19"/>
      <c r="M643" s="19"/>
      <c r="N643" s="19"/>
      <c r="O643" s="19"/>
      <c r="P643" s="19"/>
      <c r="Q643" s="19"/>
      <c r="R643" s="19"/>
      <c r="S643" s="19"/>
      <c r="T643" s="34" t="str">
        <f aca="false">IF($R643="","",IFERROR(INDEX(DriverCategory,MATCH($R643,DriverList,0)),"BAU"))</f>
        <v/>
      </c>
      <c r="U643" s="34" t="str">
        <f aca="false">IF($R643="","",IFERROR(INDEX(DriverRank,MATCH($R643,DriverList,0)),99))</f>
        <v/>
      </c>
      <c r="V643" s="35" t="n">
        <f aca="false">IF($H643="",0,IFERROR(INDEX(LevelBasic,MATCH($H643,LevelList,0))+INDEX(LevelHousing,MATCH($H643,LevelList,0))+INDEX(LevelTransport,MATCH($H643,LevelList,0))+INDEX(LevelBasic,MATCH($H643,LevelList,0))*INDEX(LevelBonus,MATCH($H643,LevelList,0))+(INDEX(LevelBasic,MATCH($H643,LevelList,0))+INDEX(LevelHousing,MATCH($H643,LevelList,0)))*GosiSaudi,0))</f>
        <v>0</v>
      </c>
      <c r="W643" s="35" t="n">
        <f aca="false">IFERROR(INDEX(LevelOneOff,MATCH($H643,LevelList,0)),0)</f>
        <v>0</v>
      </c>
      <c r="X643" s="35" t="str">
        <f aca="false">IF($G643="","",$V643*N($L643))</f>
        <v/>
      </c>
      <c r="Y643" s="35" t="str">
        <f aca="false">IF($G643="","",$V643*(N($M643)*1+N($N643)*0.75+N($O643)*0.5+N($P643)*0.25)+$W643*N($L643))</f>
        <v/>
      </c>
      <c r="Z643" s="35" t="str">
        <f aca="false">IF($G643="","",$U643*1000000+ROW())</f>
        <v/>
      </c>
      <c r="AA643" s="36" t="str">
        <f aca="false">IF($G643="","",MID(IF($C643="",", no division","")&amp;IF($E643="",", no unit","")&amp;IF($H643="",", no career level","")&amp;IF(N($L643)&lt;=0,", no quarter split","")&amp;IF($R643="",", no driver","")&amp;IF(AND($H643&lt;&gt;"",COUNTIF(CareerLevels,$H643)=0),", a career level that is not on the ladder","")&amp;IF(AND($R643&lt;&gt;"",COUNTIF(DriverList,$R643)=0),", a driver that is not on the list","")&amp;IF(ABS(N($L643)-(N($M643)+N($N643)+N($O643)+N($P643)))&gt;0.001,", a total that does not match its quarters",""),3,300))</f>
        <v/>
      </c>
    </row>
    <row r="644" customFormat="false" ht="15" hidden="false" customHeight="false" outlineLevel="0" collapsed="false">
      <c r="A644" s="33" t="str">
        <f aca="false">IF($G644="","","Finance Group")</f>
        <v/>
      </c>
      <c r="B644" s="19"/>
      <c r="C644" s="19"/>
      <c r="D644" s="19"/>
      <c r="E644" s="19"/>
      <c r="F644" s="19"/>
      <c r="G644" s="19"/>
      <c r="H644" s="19"/>
      <c r="I644" s="19"/>
      <c r="J644" s="19"/>
      <c r="K644" s="19"/>
      <c r="L644" s="19"/>
      <c r="M644" s="19"/>
      <c r="N644" s="19"/>
      <c r="O644" s="19"/>
      <c r="P644" s="19"/>
      <c r="Q644" s="19"/>
      <c r="R644" s="19"/>
      <c r="S644" s="19"/>
      <c r="T644" s="34" t="str">
        <f aca="false">IF($R644="","",IFERROR(INDEX(DriverCategory,MATCH($R644,DriverList,0)),"BAU"))</f>
        <v/>
      </c>
      <c r="U644" s="34" t="str">
        <f aca="false">IF($R644="","",IFERROR(INDEX(DriverRank,MATCH($R644,DriverList,0)),99))</f>
        <v/>
      </c>
      <c r="V644" s="35" t="n">
        <f aca="false">IF($H644="",0,IFERROR(INDEX(LevelBasic,MATCH($H644,LevelList,0))+INDEX(LevelHousing,MATCH($H644,LevelList,0))+INDEX(LevelTransport,MATCH($H644,LevelList,0))+INDEX(LevelBasic,MATCH($H644,LevelList,0))*INDEX(LevelBonus,MATCH($H644,LevelList,0))+(INDEX(LevelBasic,MATCH($H644,LevelList,0))+INDEX(LevelHousing,MATCH($H644,LevelList,0)))*GosiSaudi,0))</f>
        <v>0</v>
      </c>
      <c r="W644" s="35" t="n">
        <f aca="false">IFERROR(INDEX(LevelOneOff,MATCH($H644,LevelList,0)),0)</f>
        <v>0</v>
      </c>
      <c r="X644" s="35" t="str">
        <f aca="false">IF($G644="","",$V644*N($L644))</f>
        <v/>
      </c>
      <c r="Y644" s="35" t="str">
        <f aca="false">IF($G644="","",$V644*(N($M644)*1+N($N644)*0.75+N($O644)*0.5+N($P644)*0.25)+$W644*N($L644))</f>
        <v/>
      </c>
      <c r="Z644" s="35" t="str">
        <f aca="false">IF($G644="","",$U644*1000000+ROW())</f>
        <v/>
      </c>
      <c r="AA644" s="36" t="str">
        <f aca="false">IF($G644="","",MID(IF($C644="",", no division","")&amp;IF($E644="",", no unit","")&amp;IF($H644="",", no career level","")&amp;IF(N($L644)&lt;=0,", no quarter split","")&amp;IF($R644="",", no driver","")&amp;IF(AND($H644&lt;&gt;"",COUNTIF(CareerLevels,$H644)=0),", a career level that is not on the ladder","")&amp;IF(AND($R644&lt;&gt;"",COUNTIF(DriverList,$R644)=0),", a driver that is not on the list","")&amp;IF(ABS(N($L644)-(N($M644)+N($N644)+N($O644)+N($P644)))&gt;0.001,", a total that does not match its quarters",""),3,300))</f>
        <v/>
      </c>
    </row>
    <row r="645" customFormat="false" ht="15" hidden="false" customHeight="false" outlineLevel="0" collapsed="false">
      <c r="A645" s="33" t="str">
        <f aca="false">IF($G645="","","Finance Group")</f>
        <v/>
      </c>
      <c r="B645" s="19"/>
      <c r="C645" s="19"/>
      <c r="D645" s="19"/>
      <c r="E645" s="19"/>
      <c r="F645" s="19"/>
      <c r="G645" s="19"/>
      <c r="H645" s="19"/>
      <c r="I645" s="19"/>
      <c r="J645" s="19"/>
      <c r="K645" s="19"/>
      <c r="L645" s="19"/>
      <c r="M645" s="19"/>
      <c r="N645" s="19"/>
      <c r="O645" s="19"/>
      <c r="P645" s="19"/>
      <c r="Q645" s="19"/>
      <c r="R645" s="19"/>
      <c r="S645" s="19"/>
      <c r="T645" s="34" t="str">
        <f aca="false">IF($R645="","",IFERROR(INDEX(DriverCategory,MATCH($R645,DriverList,0)),"BAU"))</f>
        <v/>
      </c>
      <c r="U645" s="34" t="str">
        <f aca="false">IF($R645="","",IFERROR(INDEX(DriverRank,MATCH($R645,DriverList,0)),99))</f>
        <v/>
      </c>
      <c r="V645" s="35" t="n">
        <f aca="false">IF($H645="",0,IFERROR(INDEX(LevelBasic,MATCH($H645,LevelList,0))+INDEX(LevelHousing,MATCH($H645,LevelList,0))+INDEX(LevelTransport,MATCH($H645,LevelList,0))+INDEX(LevelBasic,MATCH($H645,LevelList,0))*INDEX(LevelBonus,MATCH($H645,LevelList,0))+(INDEX(LevelBasic,MATCH($H645,LevelList,0))+INDEX(LevelHousing,MATCH($H645,LevelList,0)))*GosiSaudi,0))</f>
        <v>0</v>
      </c>
      <c r="W645" s="35" t="n">
        <f aca="false">IFERROR(INDEX(LevelOneOff,MATCH($H645,LevelList,0)),0)</f>
        <v>0</v>
      </c>
      <c r="X645" s="35" t="str">
        <f aca="false">IF($G645="","",$V645*N($L645))</f>
        <v/>
      </c>
      <c r="Y645" s="35" t="str">
        <f aca="false">IF($G645="","",$V645*(N($M645)*1+N($N645)*0.75+N($O645)*0.5+N($P645)*0.25)+$W645*N($L645))</f>
        <v/>
      </c>
      <c r="Z645" s="35" t="str">
        <f aca="false">IF($G645="","",$U645*1000000+ROW())</f>
        <v/>
      </c>
      <c r="AA645" s="36" t="str">
        <f aca="false">IF($G645="","",MID(IF($C645="",", no division","")&amp;IF($E645="",", no unit","")&amp;IF($H645="",", no career level","")&amp;IF(N($L645)&lt;=0,", no quarter split","")&amp;IF($R645="",", no driver","")&amp;IF(AND($H645&lt;&gt;"",COUNTIF(CareerLevels,$H645)=0),", a career level that is not on the ladder","")&amp;IF(AND($R645&lt;&gt;"",COUNTIF(DriverList,$R645)=0),", a driver that is not on the list","")&amp;IF(ABS(N($L645)-(N($M645)+N($N645)+N($O645)+N($P645)))&gt;0.001,", a total that does not match its quarters",""),3,300))</f>
        <v/>
      </c>
    </row>
    <row r="646" customFormat="false" ht="15" hidden="false" customHeight="false" outlineLevel="0" collapsed="false">
      <c r="A646" s="33" t="str">
        <f aca="false">IF($G646="","","Finance Group")</f>
        <v/>
      </c>
      <c r="B646" s="19"/>
      <c r="C646" s="19"/>
      <c r="D646" s="19"/>
      <c r="E646" s="19"/>
      <c r="F646" s="19"/>
      <c r="G646" s="19"/>
      <c r="H646" s="19"/>
      <c r="I646" s="19"/>
      <c r="J646" s="19"/>
      <c r="K646" s="19"/>
      <c r="L646" s="19"/>
      <c r="M646" s="19"/>
      <c r="N646" s="19"/>
      <c r="O646" s="19"/>
      <c r="P646" s="19"/>
      <c r="Q646" s="19"/>
      <c r="R646" s="19"/>
      <c r="S646" s="19"/>
      <c r="T646" s="34" t="str">
        <f aca="false">IF($R646="","",IFERROR(INDEX(DriverCategory,MATCH($R646,DriverList,0)),"BAU"))</f>
        <v/>
      </c>
      <c r="U646" s="34" t="str">
        <f aca="false">IF($R646="","",IFERROR(INDEX(DriverRank,MATCH($R646,DriverList,0)),99))</f>
        <v/>
      </c>
      <c r="V646" s="35" t="n">
        <f aca="false">IF($H646="",0,IFERROR(INDEX(LevelBasic,MATCH($H646,LevelList,0))+INDEX(LevelHousing,MATCH($H646,LevelList,0))+INDEX(LevelTransport,MATCH($H646,LevelList,0))+INDEX(LevelBasic,MATCH($H646,LevelList,0))*INDEX(LevelBonus,MATCH($H646,LevelList,0))+(INDEX(LevelBasic,MATCH($H646,LevelList,0))+INDEX(LevelHousing,MATCH($H646,LevelList,0)))*GosiSaudi,0))</f>
        <v>0</v>
      </c>
      <c r="W646" s="35" t="n">
        <f aca="false">IFERROR(INDEX(LevelOneOff,MATCH($H646,LevelList,0)),0)</f>
        <v>0</v>
      </c>
      <c r="X646" s="35" t="str">
        <f aca="false">IF($G646="","",$V646*N($L646))</f>
        <v/>
      </c>
      <c r="Y646" s="35" t="str">
        <f aca="false">IF($G646="","",$V646*(N($M646)*1+N($N646)*0.75+N($O646)*0.5+N($P646)*0.25)+$W646*N($L646))</f>
        <v/>
      </c>
      <c r="Z646" s="35" t="str">
        <f aca="false">IF($G646="","",$U646*1000000+ROW())</f>
        <v/>
      </c>
      <c r="AA646" s="36" t="str">
        <f aca="false">IF($G646="","",MID(IF($C646="",", no division","")&amp;IF($E646="",", no unit","")&amp;IF($H646="",", no career level","")&amp;IF(N($L646)&lt;=0,", no quarter split","")&amp;IF($R646="",", no driver","")&amp;IF(AND($H646&lt;&gt;"",COUNTIF(CareerLevels,$H646)=0),", a career level that is not on the ladder","")&amp;IF(AND($R646&lt;&gt;"",COUNTIF(DriverList,$R646)=0),", a driver that is not on the list","")&amp;IF(ABS(N($L646)-(N($M646)+N($N646)+N($O646)+N($P646)))&gt;0.001,", a total that does not match its quarters",""),3,300))</f>
        <v/>
      </c>
    </row>
    <row r="647" customFormat="false" ht="15" hidden="false" customHeight="false" outlineLevel="0" collapsed="false">
      <c r="A647" s="33" t="str">
        <f aca="false">IF($G647="","","Finance Group")</f>
        <v/>
      </c>
      <c r="B647" s="19"/>
      <c r="C647" s="19"/>
      <c r="D647" s="19"/>
      <c r="E647" s="19"/>
      <c r="F647" s="19"/>
      <c r="G647" s="19"/>
      <c r="H647" s="19"/>
      <c r="I647" s="19"/>
      <c r="J647" s="19"/>
      <c r="K647" s="19"/>
      <c r="L647" s="19"/>
      <c r="M647" s="19"/>
      <c r="N647" s="19"/>
      <c r="O647" s="19"/>
      <c r="P647" s="19"/>
      <c r="Q647" s="19"/>
      <c r="R647" s="19"/>
      <c r="S647" s="19"/>
      <c r="T647" s="34" t="str">
        <f aca="false">IF($R647="","",IFERROR(INDEX(DriverCategory,MATCH($R647,DriverList,0)),"BAU"))</f>
        <v/>
      </c>
      <c r="U647" s="34" t="str">
        <f aca="false">IF($R647="","",IFERROR(INDEX(DriverRank,MATCH($R647,DriverList,0)),99))</f>
        <v/>
      </c>
      <c r="V647" s="35" t="n">
        <f aca="false">IF($H647="",0,IFERROR(INDEX(LevelBasic,MATCH($H647,LevelList,0))+INDEX(LevelHousing,MATCH($H647,LevelList,0))+INDEX(LevelTransport,MATCH($H647,LevelList,0))+INDEX(LevelBasic,MATCH($H647,LevelList,0))*INDEX(LevelBonus,MATCH($H647,LevelList,0))+(INDEX(LevelBasic,MATCH($H647,LevelList,0))+INDEX(LevelHousing,MATCH($H647,LevelList,0)))*GosiSaudi,0))</f>
        <v>0</v>
      </c>
      <c r="W647" s="35" t="n">
        <f aca="false">IFERROR(INDEX(LevelOneOff,MATCH($H647,LevelList,0)),0)</f>
        <v>0</v>
      </c>
      <c r="X647" s="35" t="str">
        <f aca="false">IF($G647="","",$V647*N($L647))</f>
        <v/>
      </c>
      <c r="Y647" s="35" t="str">
        <f aca="false">IF($G647="","",$V647*(N($M647)*1+N($N647)*0.75+N($O647)*0.5+N($P647)*0.25)+$W647*N($L647))</f>
        <v/>
      </c>
      <c r="Z647" s="35" t="str">
        <f aca="false">IF($G647="","",$U647*1000000+ROW())</f>
        <v/>
      </c>
      <c r="AA647" s="36" t="str">
        <f aca="false">IF($G647="","",MID(IF($C647="",", no division","")&amp;IF($E647="",", no unit","")&amp;IF($H647="",", no career level","")&amp;IF(N($L647)&lt;=0,", no quarter split","")&amp;IF($R647="",", no driver","")&amp;IF(AND($H647&lt;&gt;"",COUNTIF(CareerLevels,$H647)=0),", a career level that is not on the ladder","")&amp;IF(AND($R647&lt;&gt;"",COUNTIF(DriverList,$R647)=0),", a driver that is not on the list","")&amp;IF(ABS(N($L647)-(N($M647)+N($N647)+N($O647)+N($P647)))&gt;0.001,", a total that does not match its quarters",""),3,300))</f>
        <v/>
      </c>
    </row>
    <row r="648" customFormat="false" ht="15" hidden="false" customHeight="false" outlineLevel="0" collapsed="false">
      <c r="A648" s="33" t="str">
        <f aca="false">IF($G648="","","Finance Group")</f>
        <v/>
      </c>
      <c r="B648" s="19"/>
      <c r="C648" s="19"/>
      <c r="D648" s="19"/>
      <c r="E648" s="19"/>
      <c r="F648" s="19"/>
      <c r="G648" s="19"/>
      <c r="H648" s="19"/>
      <c r="I648" s="19"/>
      <c r="J648" s="19"/>
      <c r="K648" s="19"/>
      <c r="L648" s="19"/>
      <c r="M648" s="19"/>
      <c r="N648" s="19"/>
      <c r="O648" s="19"/>
      <c r="P648" s="19"/>
      <c r="Q648" s="19"/>
      <c r="R648" s="19"/>
      <c r="S648" s="19"/>
      <c r="T648" s="34" t="str">
        <f aca="false">IF($R648="","",IFERROR(INDEX(DriverCategory,MATCH($R648,DriverList,0)),"BAU"))</f>
        <v/>
      </c>
      <c r="U648" s="34" t="str">
        <f aca="false">IF($R648="","",IFERROR(INDEX(DriverRank,MATCH($R648,DriverList,0)),99))</f>
        <v/>
      </c>
      <c r="V648" s="35" t="n">
        <f aca="false">IF($H648="",0,IFERROR(INDEX(LevelBasic,MATCH($H648,LevelList,0))+INDEX(LevelHousing,MATCH($H648,LevelList,0))+INDEX(LevelTransport,MATCH($H648,LevelList,0))+INDEX(LevelBasic,MATCH($H648,LevelList,0))*INDEX(LevelBonus,MATCH($H648,LevelList,0))+(INDEX(LevelBasic,MATCH($H648,LevelList,0))+INDEX(LevelHousing,MATCH($H648,LevelList,0)))*GosiSaudi,0))</f>
        <v>0</v>
      </c>
      <c r="W648" s="35" t="n">
        <f aca="false">IFERROR(INDEX(LevelOneOff,MATCH($H648,LevelList,0)),0)</f>
        <v>0</v>
      </c>
      <c r="X648" s="35" t="str">
        <f aca="false">IF($G648="","",$V648*N($L648))</f>
        <v/>
      </c>
      <c r="Y648" s="35" t="str">
        <f aca="false">IF($G648="","",$V648*(N($M648)*1+N($N648)*0.75+N($O648)*0.5+N($P648)*0.25)+$W648*N($L648))</f>
        <v/>
      </c>
      <c r="Z648" s="35" t="str">
        <f aca="false">IF($G648="","",$U648*1000000+ROW())</f>
        <v/>
      </c>
      <c r="AA648" s="36" t="str">
        <f aca="false">IF($G648="","",MID(IF($C648="",", no division","")&amp;IF($E648="",", no unit","")&amp;IF($H648="",", no career level","")&amp;IF(N($L648)&lt;=0,", no quarter split","")&amp;IF($R648="",", no driver","")&amp;IF(AND($H648&lt;&gt;"",COUNTIF(CareerLevels,$H648)=0),", a career level that is not on the ladder","")&amp;IF(AND($R648&lt;&gt;"",COUNTIF(DriverList,$R648)=0),", a driver that is not on the list","")&amp;IF(ABS(N($L648)-(N($M648)+N($N648)+N($O648)+N($P648)))&gt;0.001,", a total that does not match its quarters",""),3,300))</f>
        <v/>
      </c>
    </row>
    <row r="649" customFormat="false" ht="15" hidden="false" customHeight="false" outlineLevel="0" collapsed="false">
      <c r="A649" s="33" t="str">
        <f aca="false">IF($G649="","","Finance Group")</f>
        <v/>
      </c>
      <c r="B649" s="19"/>
      <c r="C649" s="19"/>
      <c r="D649" s="19"/>
      <c r="E649" s="19"/>
      <c r="F649" s="19"/>
      <c r="G649" s="19"/>
      <c r="H649" s="19"/>
      <c r="I649" s="19"/>
      <c r="J649" s="19"/>
      <c r="K649" s="19"/>
      <c r="L649" s="19"/>
      <c r="M649" s="19"/>
      <c r="N649" s="19"/>
      <c r="O649" s="19"/>
      <c r="P649" s="19"/>
      <c r="Q649" s="19"/>
      <c r="R649" s="19"/>
      <c r="S649" s="19"/>
      <c r="T649" s="34" t="str">
        <f aca="false">IF($R649="","",IFERROR(INDEX(DriverCategory,MATCH($R649,DriverList,0)),"BAU"))</f>
        <v/>
      </c>
      <c r="U649" s="34" t="str">
        <f aca="false">IF($R649="","",IFERROR(INDEX(DriverRank,MATCH($R649,DriverList,0)),99))</f>
        <v/>
      </c>
      <c r="V649" s="35" t="n">
        <f aca="false">IF($H649="",0,IFERROR(INDEX(LevelBasic,MATCH($H649,LevelList,0))+INDEX(LevelHousing,MATCH($H649,LevelList,0))+INDEX(LevelTransport,MATCH($H649,LevelList,0))+INDEX(LevelBasic,MATCH($H649,LevelList,0))*INDEX(LevelBonus,MATCH($H649,LevelList,0))+(INDEX(LevelBasic,MATCH($H649,LevelList,0))+INDEX(LevelHousing,MATCH($H649,LevelList,0)))*GosiSaudi,0))</f>
        <v>0</v>
      </c>
      <c r="W649" s="35" t="n">
        <f aca="false">IFERROR(INDEX(LevelOneOff,MATCH($H649,LevelList,0)),0)</f>
        <v>0</v>
      </c>
      <c r="X649" s="35" t="str">
        <f aca="false">IF($G649="","",$V649*N($L649))</f>
        <v/>
      </c>
      <c r="Y649" s="35" t="str">
        <f aca="false">IF($G649="","",$V649*(N($M649)*1+N($N649)*0.75+N($O649)*0.5+N($P649)*0.25)+$W649*N($L649))</f>
        <v/>
      </c>
      <c r="Z649" s="35" t="str">
        <f aca="false">IF($G649="","",$U649*1000000+ROW())</f>
        <v/>
      </c>
      <c r="AA649" s="36" t="str">
        <f aca="false">IF($G649="","",MID(IF($C649="",", no division","")&amp;IF($E649="",", no unit","")&amp;IF($H649="",", no career level","")&amp;IF(N($L649)&lt;=0,", no quarter split","")&amp;IF($R649="",", no driver","")&amp;IF(AND($H649&lt;&gt;"",COUNTIF(CareerLevels,$H649)=0),", a career level that is not on the ladder","")&amp;IF(AND($R649&lt;&gt;"",COUNTIF(DriverList,$R649)=0),", a driver that is not on the list","")&amp;IF(ABS(N($L649)-(N($M649)+N($N649)+N($O649)+N($P649)))&gt;0.001,", a total that does not match its quarters",""),3,300))</f>
        <v/>
      </c>
    </row>
    <row r="650" customFormat="false" ht="15" hidden="false" customHeight="false" outlineLevel="0" collapsed="false">
      <c r="A650" s="33" t="str">
        <f aca="false">IF($G650="","","Finance Group")</f>
        <v/>
      </c>
      <c r="B650" s="19"/>
      <c r="C650" s="19"/>
      <c r="D650" s="19"/>
      <c r="E650" s="19"/>
      <c r="F650" s="19"/>
      <c r="G650" s="19"/>
      <c r="H650" s="19"/>
      <c r="I650" s="19"/>
      <c r="J650" s="19"/>
      <c r="K650" s="19"/>
      <c r="L650" s="19"/>
      <c r="M650" s="19"/>
      <c r="N650" s="19"/>
      <c r="O650" s="19"/>
      <c r="P650" s="19"/>
      <c r="Q650" s="19"/>
      <c r="R650" s="19"/>
      <c r="S650" s="19"/>
      <c r="T650" s="34" t="str">
        <f aca="false">IF($R650="","",IFERROR(INDEX(DriverCategory,MATCH($R650,DriverList,0)),"BAU"))</f>
        <v/>
      </c>
      <c r="U650" s="34" t="str">
        <f aca="false">IF($R650="","",IFERROR(INDEX(DriverRank,MATCH($R650,DriverList,0)),99))</f>
        <v/>
      </c>
      <c r="V650" s="35" t="n">
        <f aca="false">IF($H650="",0,IFERROR(INDEX(LevelBasic,MATCH($H650,LevelList,0))+INDEX(LevelHousing,MATCH($H650,LevelList,0))+INDEX(LevelTransport,MATCH($H650,LevelList,0))+INDEX(LevelBasic,MATCH($H650,LevelList,0))*INDEX(LevelBonus,MATCH($H650,LevelList,0))+(INDEX(LevelBasic,MATCH($H650,LevelList,0))+INDEX(LevelHousing,MATCH($H650,LevelList,0)))*GosiSaudi,0))</f>
        <v>0</v>
      </c>
      <c r="W650" s="35" t="n">
        <f aca="false">IFERROR(INDEX(LevelOneOff,MATCH($H650,LevelList,0)),0)</f>
        <v>0</v>
      </c>
      <c r="X650" s="35" t="str">
        <f aca="false">IF($G650="","",$V650*N($L650))</f>
        <v/>
      </c>
      <c r="Y650" s="35" t="str">
        <f aca="false">IF($G650="","",$V650*(N($M650)*1+N($N650)*0.75+N($O650)*0.5+N($P650)*0.25)+$W650*N($L650))</f>
        <v/>
      </c>
      <c r="Z650" s="35" t="str">
        <f aca="false">IF($G650="","",$U650*1000000+ROW())</f>
        <v/>
      </c>
      <c r="AA650" s="36" t="str">
        <f aca="false">IF($G650="","",MID(IF($C650="",", no division","")&amp;IF($E650="",", no unit","")&amp;IF($H650="",", no career level","")&amp;IF(N($L650)&lt;=0,", no quarter split","")&amp;IF($R650="",", no driver","")&amp;IF(AND($H650&lt;&gt;"",COUNTIF(CareerLevels,$H650)=0),", a career level that is not on the ladder","")&amp;IF(AND($R650&lt;&gt;"",COUNTIF(DriverList,$R650)=0),", a driver that is not on the list","")&amp;IF(ABS(N($L650)-(N($M650)+N($N650)+N($O650)+N($P650)))&gt;0.001,", a total that does not match its quarters",""),3,300))</f>
        <v/>
      </c>
    </row>
    <row r="651" customFormat="false" ht="15" hidden="false" customHeight="false" outlineLevel="0" collapsed="false">
      <c r="A651" s="33" t="str">
        <f aca="false">IF($G651="","","Finance Group")</f>
        <v/>
      </c>
      <c r="B651" s="19"/>
      <c r="C651" s="19"/>
      <c r="D651" s="19"/>
      <c r="E651" s="19"/>
      <c r="F651" s="19"/>
      <c r="G651" s="19"/>
      <c r="H651" s="19"/>
      <c r="I651" s="19"/>
      <c r="J651" s="19"/>
      <c r="K651" s="19"/>
      <c r="L651" s="19"/>
      <c r="M651" s="19"/>
      <c r="N651" s="19"/>
      <c r="O651" s="19"/>
      <c r="P651" s="19"/>
      <c r="Q651" s="19"/>
      <c r="R651" s="19"/>
      <c r="S651" s="19"/>
      <c r="T651" s="34" t="str">
        <f aca="false">IF($R651="","",IFERROR(INDEX(DriverCategory,MATCH($R651,DriverList,0)),"BAU"))</f>
        <v/>
      </c>
      <c r="U651" s="34" t="str">
        <f aca="false">IF($R651="","",IFERROR(INDEX(DriverRank,MATCH($R651,DriverList,0)),99))</f>
        <v/>
      </c>
      <c r="V651" s="35" t="n">
        <f aca="false">IF($H651="",0,IFERROR(INDEX(LevelBasic,MATCH($H651,LevelList,0))+INDEX(LevelHousing,MATCH($H651,LevelList,0))+INDEX(LevelTransport,MATCH($H651,LevelList,0))+INDEX(LevelBasic,MATCH($H651,LevelList,0))*INDEX(LevelBonus,MATCH($H651,LevelList,0))+(INDEX(LevelBasic,MATCH($H651,LevelList,0))+INDEX(LevelHousing,MATCH($H651,LevelList,0)))*GosiSaudi,0))</f>
        <v>0</v>
      </c>
      <c r="W651" s="35" t="n">
        <f aca="false">IFERROR(INDEX(LevelOneOff,MATCH($H651,LevelList,0)),0)</f>
        <v>0</v>
      </c>
      <c r="X651" s="35" t="str">
        <f aca="false">IF($G651="","",$V651*N($L651))</f>
        <v/>
      </c>
      <c r="Y651" s="35" t="str">
        <f aca="false">IF($G651="","",$V651*(N($M651)*1+N($N651)*0.75+N($O651)*0.5+N($P651)*0.25)+$W651*N($L651))</f>
        <v/>
      </c>
      <c r="Z651" s="35" t="str">
        <f aca="false">IF($G651="","",$U651*1000000+ROW())</f>
        <v/>
      </c>
      <c r="AA651" s="36" t="str">
        <f aca="false">IF($G651="","",MID(IF($C651="",", no division","")&amp;IF($E651="",", no unit","")&amp;IF($H651="",", no career level","")&amp;IF(N($L651)&lt;=0,", no quarter split","")&amp;IF($R651="",", no driver","")&amp;IF(AND($H651&lt;&gt;"",COUNTIF(CareerLevels,$H651)=0),", a career level that is not on the ladder","")&amp;IF(AND($R651&lt;&gt;"",COUNTIF(DriverList,$R651)=0),", a driver that is not on the list","")&amp;IF(ABS(N($L651)-(N($M651)+N($N651)+N($O651)+N($P651)))&gt;0.001,", a total that does not match its quarters",""),3,300))</f>
        <v/>
      </c>
    </row>
    <row r="652" customFormat="false" ht="15" hidden="false" customHeight="false" outlineLevel="0" collapsed="false">
      <c r="A652" s="33" t="str">
        <f aca="false">IF($G652="","","Finance Group")</f>
        <v/>
      </c>
      <c r="B652" s="19"/>
      <c r="C652" s="19"/>
      <c r="D652" s="19"/>
      <c r="E652" s="19"/>
      <c r="F652" s="19"/>
      <c r="G652" s="19"/>
      <c r="H652" s="19"/>
      <c r="I652" s="19"/>
      <c r="J652" s="19"/>
      <c r="K652" s="19"/>
      <c r="L652" s="19"/>
      <c r="M652" s="19"/>
      <c r="N652" s="19"/>
      <c r="O652" s="19"/>
      <c r="P652" s="19"/>
      <c r="Q652" s="19"/>
      <c r="R652" s="19"/>
      <c r="S652" s="19"/>
      <c r="T652" s="34" t="str">
        <f aca="false">IF($R652="","",IFERROR(INDEX(DriverCategory,MATCH($R652,DriverList,0)),"BAU"))</f>
        <v/>
      </c>
      <c r="U652" s="34" t="str">
        <f aca="false">IF($R652="","",IFERROR(INDEX(DriverRank,MATCH($R652,DriverList,0)),99))</f>
        <v/>
      </c>
      <c r="V652" s="35" t="n">
        <f aca="false">IF($H652="",0,IFERROR(INDEX(LevelBasic,MATCH($H652,LevelList,0))+INDEX(LevelHousing,MATCH($H652,LevelList,0))+INDEX(LevelTransport,MATCH($H652,LevelList,0))+INDEX(LevelBasic,MATCH($H652,LevelList,0))*INDEX(LevelBonus,MATCH($H652,LevelList,0))+(INDEX(LevelBasic,MATCH($H652,LevelList,0))+INDEX(LevelHousing,MATCH($H652,LevelList,0)))*GosiSaudi,0))</f>
        <v>0</v>
      </c>
      <c r="W652" s="35" t="n">
        <f aca="false">IFERROR(INDEX(LevelOneOff,MATCH($H652,LevelList,0)),0)</f>
        <v>0</v>
      </c>
      <c r="X652" s="35" t="str">
        <f aca="false">IF($G652="","",$V652*N($L652))</f>
        <v/>
      </c>
      <c r="Y652" s="35" t="str">
        <f aca="false">IF($G652="","",$V652*(N($M652)*1+N($N652)*0.75+N($O652)*0.5+N($P652)*0.25)+$W652*N($L652))</f>
        <v/>
      </c>
      <c r="Z652" s="35" t="str">
        <f aca="false">IF($G652="","",$U652*1000000+ROW())</f>
        <v/>
      </c>
      <c r="AA652" s="36" t="str">
        <f aca="false">IF($G652="","",MID(IF($C652="",", no division","")&amp;IF($E652="",", no unit","")&amp;IF($H652="",", no career level","")&amp;IF(N($L652)&lt;=0,", no quarter split","")&amp;IF($R652="",", no driver","")&amp;IF(AND($H652&lt;&gt;"",COUNTIF(CareerLevels,$H652)=0),", a career level that is not on the ladder","")&amp;IF(AND($R652&lt;&gt;"",COUNTIF(DriverList,$R652)=0),", a driver that is not on the list","")&amp;IF(ABS(N($L652)-(N($M652)+N($N652)+N($O652)+N($P652)))&gt;0.001,", a total that does not match its quarters",""),3,300))</f>
        <v/>
      </c>
    </row>
    <row r="653" customFormat="false" ht="15" hidden="false" customHeight="false" outlineLevel="0" collapsed="false">
      <c r="A653" s="33" t="str">
        <f aca="false">IF($G653="","","Finance Group")</f>
        <v/>
      </c>
      <c r="B653" s="19"/>
      <c r="C653" s="19"/>
      <c r="D653" s="19"/>
      <c r="E653" s="19"/>
      <c r="F653" s="19"/>
      <c r="G653" s="19"/>
      <c r="H653" s="19"/>
      <c r="I653" s="19"/>
      <c r="J653" s="19"/>
      <c r="K653" s="19"/>
      <c r="L653" s="19"/>
      <c r="M653" s="19"/>
      <c r="N653" s="19"/>
      <c r="O653" s="19"/>
      <c r="P653" s="19"/>
      <c r="Q653" s="19"/>
      <c r="R653" s="19"/>
      <c r="S653" s="19"/>
      <c r="T653" s="34" t="str">
        <f aca="false">IF($R653="","",IFERROR(INDEX(DriverCategory,MATCH($R653,DriverList,0)),"BAU"))</f>
        <v/>
      </c>
      <c r="U653" s="34" t="str">
        <f aca="false">IF($R653="","",IFERROR(INDEX(DriverRank,MATCH($R653,DriverList,0)),99))</f>
        <v/>
      </c>
      <c r="V653" s="35" t="n">
        <f aca="false">IF($H653="",0,IFERROR(INDEX(LevelBasic,MATCH($H653,LevelList,0))+INDEX(LevelHousing,MATCH($H653,LevelList,0))+INDEX(LevelTransport,MATCH($H653,LevelList,0))+INDEX(LevelBasic,MATCH($H653,LevelList,0))*INDEX(LevelBonus,MATCH($H653,LevelList,0))+(INDEX(LevelBasic,MATCH($H653,LevelList,0))+INDEX(LevelHousing,MATCH($H653,LevelList,0)))*GosiSaudi,0))</f>
        <v>0</v>
      </c>
      <c r="W653" s="35" t="n">
        <f aca="false">IFERROR(INDEX(LevelOneOff,MATCH($H653,LevelList,0)),0)</f>
        <v>0</v>
      </c>
      <c r="X653" s="35" t="str">
        <f aca="false">IF($G653="","",$V653*N($L653))</f>
        <v/>
      </c>
      <c r="Y653" s="35" t="str">
        <f aca="false">IF($G653="","",$V653*(N($M653)*1+N($N653)*0.75+N($O653)*0.5+N($P653)*0.25)+$W653*N($L653))</f>
        <v/>
      </c>
      <c r="Z653" s="35" t="str">
        <f aca="false">IF($G653="","",$U653*1000000+ROW())</f>
        <v/>
      </c>
      <c r="AA653" s="36" t="str">
        <f aca="false">IF($G653="","",MID(IF($C653="",", no division","")&amp;IF($E653="",", no unit","")&amp;IF($H653="",", no career level","")&amp;IF(N($L653)&lt;=0,", no quarter split","")&amp;IF($R653="",", no driver","")&amp;IF(AND($H653&lt;&gt;"",COUNTIF(CareerLevels,$H653)=0),", a career level that is not on the ladder","")&amp;IF(AND($R653&lt;&gt;"",COUNTIF(DriverList,$R653)=0),", a driver that is not on the list","")&amp;IF(ABS(N($L653)-(N($M653)+N($N653)+N($O653)+N($P653)))&gt;0.001,", a total that does not match its quarters",""),3,300))</f>
        <v/>
      </c>
    </row>
    <row r="654" customFormat="false" ht="15" hidden="false" customHeight="false" outlineLevel="0" collapsed="false">
      <c r="A654" s="33" t="str">
        <f aca="false">IF($G654="","","Finance Group")</f>
        <v/>
      </c>
      <c r="B654" s="19"/>
      <c r="C654" s="19"/>
      <c r="D654" s="19"/>
      <c r="E654" s="19"/>
      <c r="F654" s="19"/>
      <c r="G654" s="19"/>
      <c r="H654" s="19"/>
      <c r="I654" s="19"/>
      <c r="J654" s="19"/>
      <c r="K654" s="19"/>
      <c r="L654" s="19"/>
      <c r="M654" s="19"/>
      <c r="N654" s="19"/>
      <c r="O654" s="19"/>
      <c r="P654" s="19"/>
      <c r="Q654" s="19"/>
      <c r="R654" s="19"/>
      <c r="S654" s="19"/>
      <c r="T654" s="34" t="str">
        <f aca="false">IF($R654="","",IFERROR(INDEX(DriverCategory,MATCH($R654,DriverList,0)),"BAU"))</f>
        <v/>
      </c>
      <c r="U654" s="34" t="str">
        <f aca="false">IF($R654="","",IFERROR(INDEX(DriverRank,MATCH($R654,DriverList,0)),99))</f>
        <v/>
      </c>
      <c r="V654" s="35" t="n">
        <f aca="false">IF($H654="",0,IFERROR(INDEX(LevelBasic,MATCH($H654,LevelList,0))+INDEX(LevelHousing,MATCH($H654,LevelList,0))+INDEX(LevelTransport,MATCH($H654,LevelList,0))+INDEX(LevelBasic,MATCH($H654,LevelList,0))*INDEX(LevelBonus,MATCH($H654,LevelList,0))+(INDEX(LevelBasic,MATCH($H654,LevelList,0))+INDEX(LevelHousing,MATCH($H654,LevelList,0)))*GosiSaudi,0))</f>
        <v>0</v>
      </c>
      <c r="W654" s="35" t="n">
        <f aca="false">IFERROR(INDEX(LevelOneOff,MATCH($H654,LevelList,0)),0)</f>
        <v>0</v>
      </c>
      <c r="X654" s="35" t="str">
        <f aca="false">IF($G654="","",$V654*N($L654))</f>
        <v/>
      </c>
      <c r="Y654" s="35" t="str">
        <f aca="false">IF($G654="","",$V654*(N($M654)*1+N($N654)*0.75+N($O654)*0.5+N($P654)*0.25)+$W654*N($L654))</f>
        <v/>
      </c>
      <c r="Z654" s="35" t="str">
        <f aca="false">IF($G654="","",$U654*1000000+ROW())</f>
        <v/>
      </c>
      <c r="AA654" s="36" t="str">
        <f aca="false">IF($G654="","",MID(IF($C654="",", no division","")&amp;IF($E654="",", no unit","")&amp;IF($H654="",", no career level","")&amp;IF(N($L654)&lt;=0,", no quarter split","")&amp;IF($R654="",", no driver","")&amp;IF(AND($H654&lt;&gt;"",COUNTIF(CareerLevels,$H654)=0),", a career level that is not on the ladder","")&amp;IF(AND($R654&lt;&gt;"",COUNTIF(DriverList,$R654)=0),", a driver that is not on the list","")&amp;IF(ABS(N($L654)-(N($M654)+N($N654)+N($O654)+N($P654)))&gt;0.001,", a total that does not match its quarters",""),3,300))</f>
        <v/>
      </c>
    </row>
    <row r="655" customFormat="false" ht="15" hidden="false" customHeight="false" outlineLevel="0" collapsed="false">
      <c r="A655" s="33" t="str">
        <f aca="false">IF($G655="","","Finance Group")</f>
        <v/>
      </c>
      <c r="B655" s="19"/>
      <c r="C655" s="19"/>
      <c r="D655" s="19"/>
      <c r="E655" s="19"/>
      <c r="F655" s="19"/>
      <c r="G655" s="19"/>
      <c r="H655" s="19"/>
      <c r="I655" s="19"/>
      <c r="J655" s="19"/>
      <c r="K655" s="19"/>
      <c r="L655" s="19"/>
      <c r="M655" s="19"/>
      <c r="N655" s="19"/>
      <c r="O655" s="19"/>
      <c r="P655" s="19"/>
      <c r="Q655" s="19"/>
      <c r="R655" s="19"/>
      <c r="S655" s="19"/>
      <c r="T655" s="34" t="str">
        <f aca="false">IF($R655="","",IFERROR(INDEX(DriverCategory,MATCH($R655,DriverList,0)),"BAU"))</f>
        <v/>
      </c>
      <c r="U655" s="34" t="str">
        <f aca="false">IF($R655="","",IFERROR(INDEX(DriverRank,MATCH($R655,DriverList,0)),99))</f>
        <v/>
      </c>
      <c r="V655" s="35" t="n">
        <f aca="false">IF($H655="",0,IFERROR(INDEX(LevelBasic,MATCH($H655,LevelList,0))+INDEX(LevelHousing,MATCH($H655,LevelList,0))+INDEX(LevelTransport,MATCH($H655,LevelList,0))+INDEX(LevelBasic,MATCH($H655,LevelList,0))*INDEX(LevelBonus,MATCH($H655,LevelList,0))+(INDEX(LevelBasic,MATCH($H655,LevelList,0))+INDEX(LevelHousing,MATCH($H655,LevelList,0)))*GosiSaudi,0))</f>
        <v>0</v>
      </c>
      <c r="W655" s="35" t="n">
        <f aca="false">IFERROR(INDEX(LevelOneOff,MATCH($H655,LevelList,0)),0)</f>
        <v>0</v>
      </c>
      <c r="X655" s="35" t="str">
        <f aca="false">IF($G655="","",$V655*N($L655))</f>
        <v/>
      </c>
      <c r="Y655" s="35" t="str">
        <f aca="false">IF($G655="","",$V655*(N($M655)*1+N($N655)*0.75+N($O655)*0.5+N($P655)*0.25)+$W655*N($L655))</f>
        <v/>
      </c>
      <c r="Z655" s="35" t="str">
        <f aca="false">IF($G655="","",$U655*1000000+ROW())</f>
        <v/>
      </c>
      <c r="AA655" s="36" t="str">
        <f aca="false">IF($G655="","",MID(IF($C655="",", no division","")&amp;IF($E655="",", no unit","")&amp;IF($H655="",", no career level","")&amp;IF(N($L655)&lt;=0,", no quarter split","")&amp;IF($R655="",", no driver","")&amp;IF(AND($H655&lt;&gt;"",COUNTIF(CareerLevels,$H655)=0),", a career level that is not on the ladder","")&amp;IF(AND($R655&lt;&gt;"",COUNTIF(DriverList,$R655)=0),", a driver that is not on the list","")&amp;IF(ABS(N($L655)-(N($M655)+N($N655)+N($O655)+N($P655)))&gt;0.001,", a total that does not match its quarters",""),3,300))</f>
        <v/>
      </c>
    </row>
    <row r="656" customFormat="false" ht="15" hidden="false" customHeight="false" outlineLevel="0" collapsed="false">
      <c r="A656" s="33" t="str">
        <f aca="false">IF($G656="","","Finance Group")</f>
        <v/>
      </c>
      <c r="B656" s="19"/>
      <c r="C656" s="19"/>
      <c r="D656" s="19"/>
      <c r="E656" s="19"/>
      <c r="F656" s="19"/>
      <c r="G656" s="19"/>
      <c r="H656" s="19"/>
      <c r="I656" s="19"/>
      <c r="J656" s="19"/>
      <c r="K656" s="19"/>
      <c r="L656" s="19"/>
      <c r="M656" s="19"/>
      <c r="N656" s="19"/>
      <c r="O656" s="19"/>
      <c r="P656" s="19"/>
      <c r="Q656" s="19"/>
      <c r="R656" s="19"/>
      <c r="S656" s="19"/>
      <c r="T656" s="34" t="str">
        <f aca="false">IF($R656="","",IFERROR(INDEX(DriverCategory,MATCH($R656,DriverList,0)),"BAU"))</f>
        <v/>
      </c>
      <c r="U656" s="34" t="str">
        <f aca="false">IF($R656="","",IFERROR(INDEX(DriverRank,MATCH($R656,DriverList,0)),99))</f>
        <v/>
      </c>
      <c r="V656" s="35" t="n">
        <f aca="false">IF($H656="",0,IFERROR(INDEX(LevelBasic,MATCH($H656,LevelList,0))+INDEX(LevelHousing,MATCH($H656,LevelList,0))+INDEX(LevelTransport,MATCH($H656,LevelList,0))+INDEX(LevelBasic,MATCH($H656,LevelList,0))*INDEX(LevelBonus,MATCH($H656,LevelList,0))+(INDEX(LevelBasic,MATCH($H656,LevelList,0))+INDEX(LevelHousing,MATCH($H656,LevelList,0)))*GosiSaudi,0))</f>
        <v>0</v>
      </c>
      <c r="W656" s="35" t="n">
        <f aca="false">IFERROR(INDEX(LevelOneOff,MATCH($H656,LevelList,0)),0)</f>
        <v>0</v>
      </c>
      <c r="X656" s="35" t="str">
        <f aca="false">IF($G656="","",$V656*N($L656))</f>
        <v/>
      </c>
      <c r="Y656" s="35" t="str">
        <f aca="false">IF($G656="","",$V656*(N($M656)*1+N($N656)*0.75+N($O656)*0.5+N($P656)*0.25)+$W656*N($L656))</f>
        <v/>
      </c>
      <c r="Z656" s="35" t="str">
        <f aca="false">IF($G656="","",$U656*1000000+ROW())</f>
        <v/>
      </c>
      <c r="AA656" s="36" t="str">
        <f aca="false">IF($G656="","",MID(IF($C656="",", no division","")&amp;IF($E656="",", no unit","")&amp;IF($H656="",", no career level","")&amp;IF(N($L656)&lt;=0,", no quarter split","")&amp;IF($R656="",", no driver","")&amp;IF(AND($H656&lt;&gt;"",COUNTIF(CareerLevels,$H656)=0),", a career level that is not on the ladder","")&amp;IF(AND($R656&lt;&gt;"",COUNTIF(DriverList,$R656)=0),", a driver that is not on the list","")&amp;IF(ABS(N($L656)-(N($M656)+N($N656)+N($O656)+N($P656)))&gt;0.001,", a total that does not match its quarters",""),3,300))</f>
        <v/>
      </c>
    </row>
    <row r="657" customFormat="false" ht="15" hidden="false" customHeight="false" outlineLevel="0" collapsed="false">
      <c r="A657" s="33" t="str">
        <f aca="false">IF($G657="","","Finance Group")</f>
        <v/>
      </c>
      <c r="B657" s="19"/>
      <c r="C657" s="19"/>
      <c r="D657" s="19"/>
      <c r="E657" s="19"/>
      <c r="F657" s="19"/>
      <c r="G657" s="19"/>
      <c r="H657" s="19"/>
      <c r="I657" s="19"/>
      <c r="J657" s="19"/>
      <c r="K657" s="19"/>
      <c r="L657" s="19"/>
      <c r="M657" s="19"/>
      <c r="N657" s="19"/>
      <c r="O657" s="19"/>
      <c r="P657" s="19"/>
      <c r="Q657" s="19"/>
      <c r="R657" s="19"/>
      <c r="S657" s="19"/>
      <c r="T657" s="34" t="str">
        <f aca="false">IF($R657="","",IFERROR(INDEX(DriverCategory,MATCH($R657,DriverList,0)),"BAU"))</f>
        <v/>
      </c>
      <c r="U657" s="34" t="str">
        <f aca="false">IF($R657="","",IFERROR(INDEX(DriverRank,MATCH($R657,DriverList,0)),99))</f>
        <v/>
      </c>
      <c r="V657" s="35" t="n">
        <f aca="false">IF($H657="",0,IFERROR(INDEX(LevelBasic,MATCH($H657,LevelList,0))+INDEX(LevelHousing,MATCH($H657,LevelList,0))+INDEX(LevelTransport,MATCH($H657,LevelList,0))+INDEX(LevelBasic,MATCH($H657,LevelList,0))*INDEX(LevelBonus,MATCH($H657,LevelList,0))+(INDEX(LevelBasic,MATCH($H657,LevelList,0))+INDEX(LevelHousing,MATCH($H657,LevelList,0)))*GosiSaudi,0))</f>
        <v>0</v>
      </c>
      <c r="W657" s="35" t="n">
        <f aca="false">IFERROR(INDEX(LevelOneOff,MATCH($H657,LevelList,0)),0)</f>
        <v>0</v>
      </c>
      <c r="X657" s="35" t="str">
        <f aca="false">IF($G657="","",$V657*N($L657))</f>
        <v/>
      </c>
      <c r="Y657" s="35" t="str">
        <f aca="false">IF($G657="","",$V657*(N($M657)*1+N($N657)*0.75+N($O657)*0.5+N($P657)*0.25)+$W657*N($L657))</f>
        <v/>
      </c>
      <c r="Z657" s="35" t="str">
        <f aca="false">IF($G657="","",$U657*1000000+ROW())</f>
        <v/>
      </c>
      <c r="AA657" s="36" t="str">
        <f aca="false">IF($G657="","",MID(IF($C657="",", no division","")&amp;IF($E657="",", no unit","")&amp;IF($H657="",", no career level","")&amp;IF(N($L657)&lt;=0,", no quarter split","")&amp;IF($R657="",", no driver","")&amp;IF(AND($H657&lt;&gt;"",COUNTIF(CareerLevels,$H657)=0),", a career level that is not on the ladder","")&amp;IF(AND($R657&lt;&gt;"",COUNTIF(DriverList,$R657)=0),", a driver that is not on the list","")&amp;IF(ABS(N($L657)-(N($M657)+N($N657)+N($O657)+N($P657)))&gt;0.001,", a total that does not match its quarters",""),3,300))</f>
        <v/>
      </c>
    </row>
    <row r="658" customFormat="false" ht="15" hidden="false" customHeight="false" outlineLevel="0" collapsed="false">
      <c r="A658" s="33" t="str">
        <f aca="false">IF($G658="","","Finance Group")</f>
        <v/>
      </c>
      <c r="B658" s="19"/>
      <c r="C658" s="19"/>
      <c r="D658" s="19"/>
      <c r="E658" s="19"/>
      <c r="F658" s="19"/>
      <c r="G658" s="19"/>
      <c r="H658" s="19"/>
      <c r="I658" s="19"/>
      <c r="J658" s="19"/>
      <c r="K658" s="19"/>
      <c r="L658" s="19"/>
      <c r="M658" s="19"/>
      <c r="N658" s="19"/>
      <c r="O658" s="19"/>
      <c r="P658" s="19"/>
      <c r="Q658" s="19"/>
      <c r="R658" s="19"/>
      <c r="S658" s="19"/>
      <c r="T658" s="34" t="str">
        <f aca="false">IF($R658="","",IFERROR(INDEX(DriverCategory,MATCH($R658,DriverList,0)),"BAU"))</f>
        <v/>
      </c>
      <c r="U658" s="34" t="str">
        <f aca="false">IF($R658="","",IFERROR(INDEX(DriverRank,MATCH($R658,DriverList,0)),99))</f>
        <v/>
      </c>
      <c r="V658" s="35" t="n">
        <f aca="false">IF($H658="",0,IFERROR(INDEX(LevelBasic,MATCH($H658,LevelList,0))+INDEX(LevelHousing,MATCH($H658,LevelList,0))+INDEX(LevelTransport,MATCH($H658,LevelList,0))+INDEX(LevelBasic,MATCH($H658,LevelList,0))*INDEX(LevelBonus,MATCH($H658,LevelList,0))+(INDEX(LevelBasic,MATCH($H658,LevelList,0))+INDEX(LevelHousing,MATCH($H658,LevelList,0)))*GosiSaudi,0))</f>
        <v>0</v>
      </c>
      <c r="W658" s="35" t="n">
        <f aca="false">IFERROR(INDEX(LevelOneOff,MATCH($H658,LevelList,0)),0)</f>
        <v>0</v>
      </c>
      <c r="X658" s="35" t="str">
        <f aca="false">IF($G658="","",$V658*N($L658))</f>
        <v/>
      </c>
      <c r="Y658" s="35" t="str">
        <f aca="false">IF($G658="","",$V658*(N($M658)*1+N($N658)*0.75+N($O658)*0.5+N($P658)*0.25)+$W658*N($L658))</f>
        <v/>
      </c>
      <c r="Z658" s="35" t="str">
        <f aca="false">IF($G658="","",$U658*1000000+ROW())</f>
        <v/>
      </c>
      <c r="AA658" s="36" t="str">
        <f aca="false">IF($G658="","",MID(IF($C658="",", no division","")&amp;IF($E658="",", no unit","")&amp;IF($H658="",", no career level","")&amp;IF(N($L658)&lt;=0,", no quarter split","")&amp;IF($R658="",", no driver","")&amp;IF(AND($H658&lt;&gt;"",COUNTIF(CareerLevels,$H658)=0),", a career level that is not on the ladder","")&amp;IF(AND($R658&lt;&gt;"",COUNTIF(DriverList,$R658)=0),", a driver that is not on the list","")&amp;IF(ABS(N($L658)-(N($M658)+N($N658)+N($O658)+N($P658)))&gt;0.001,", a total that does not match its quarters",""),3,300))</f>
        <v/>
      </c>
    </row>
    <row r="659" customFormat="false" ht="15" hidden="false" customHeight="false" outlineLevel="0" collapsed="false">
      <c r="A659" s="33" t="str">
        <f aca="false">IF($G659="","","Finance Group")</f>
        <v/>
      </c>
      <c r="B659" s="19"/>
      <c r="C659" s="19"/>
      <c r="D659" s="19"/>
      <c r="E659" s="19"/>
      <c r="F659" s="19"/>
      <c r="G659" s="19"/>
      <c r="H659" s="19"/>
      <c r="I659" s="19"/>
      <c r="J659" s="19"/>
      <c r="K659" s="19"/>
      <c r="L659" s="19"/>
      <c r="M659" s="19"/>
      <c r="N659" s="19"/>
      <c r="O659" s="19"/>
      <c r="P659" s="19"/>
      <c r="Q659" s="19"/>
      <c r="R659" s="19"/>
      <c r="S659" s="19"/>
      <c r="T659" s="34" t="str">
        <f aca="false">IF($R659="","",IFERROR(INDEX(DriverCategory,MATCH($R659,DriverList,0)),"BAU"))</f>
        <v/>
      </c>
      <c r="U659" s="34" t="str">
        <f aca="false">IF($R659="","",IFERROR(INDEX(DriverRank,MATCH($R659,DriverList,0)),99))</f>
        <v/>
      </c>
      <c r="V659" s="35" t="n">
        <f aca="false">IF($H659="",0,IFERROR(INDEX(LevelBasic,MATCH($H659,LevelList,0))+INDEX(LevelHousing,MATCH($H659,LevelList,0))+INDEX(LevelTransport,MATCH($H659,LevelList,0))+INDEX(LevelBasic,MATCH($H659,LevelList,0))*INDEX(LevelBonus,MATCH($H659,LevelList,0))+(INDEX(LevelBasic,MATCH($H659,LevelList,0))+INDEX(LevelHousing,MATCH($H659,LevelList,0)))*GosiSaudi,0))</f>
        <v>0</v>
      </c>
      <c r="W659" s="35" t="n">
        <f aca="false">IFERROR(INDEX(LevelOneOff,MATCH($H659,LevelList,0)),0)</f>
        <v>0</v>
      </c>
      <c r="X659" s="35" t="str">
        <f aca="false">IF($G659="","",$V659*N($L659))</f>
        <v/>
      </c>
      <c r="Y659" s="35" t="str">
        <f aca="false">IF($G659="","",$V659*(N($M659)*1+N($N659)*0.75+N($O659)*0.5+N($P659)*0.25)+$W659*N($L659))</f>
        <v/>
      </c>
      <c r="Z659" s="35" t="str">
        <f aca="false">IF($G659="","",$U659*1000000+ROW())</f>
        <v/>
      </c>
      <c r="AA659" s="36" t="str">
        <f aca="false">IF($G659="","",MID(IF($C659="",", no division","")&amp;IF($E659="",", no unit","")&amp;IF($H659="",", no career level","")&amp;IF(N($L659)&lt;=0,", no quarter split","")&amp;IF($R659="",", no driver","")&amp;IF(AND($H659&lt;&gt;"",COUNTIF(CareerLevels,$H659)=0),", a career level that is not on the ladder","")&amp;IF(AND($R659&lt;&gt;"",COUNTIF(DriverList,$R659)=0),", a driver that is not on the list","")&amp;IF(ABS(N($L659)-(N($M659)+N($N659)+N($O659)+N($P659)))&gt;0.001,", a total that does not match its quarters",""),3,300))</f>
        <v/>
      </c>
    </row>
    <row r="660" customFormat="false" ht="15" hidden="false" customHeight="false" outlineLevel="0" collapsed="false">
      <c r="A660" s="33" t="str">
        <f aca="false">IF($G660="","","Finance Group")</f>
        <v/>
      </c>
      <c r="B660" s="19"/>
      <c r="C660" s="19"/>
      <c r="D660" s="19"/>
      <c r="E660" s="19"/>
      <c r="F660" s="19"/>
      <c r="G660" s="19"/>
      <c r="H660" s="19"/>
      <c r="I660" s="19"/>
      <c r="J660" s="19"/>
      <c r="K660" s="19"/>
      <c r="L660" s="19"/>
      <c r="M660" s="19"/>
      <c r="N660" s="19"/>
      <c r="O660" s="19"/>
      <c r="P660" s="19"/>
      <c r="Q660" s="19"/>
      <c r="R660" s="19"/>
      <c r="S660" s="19"/>
      <c r="T660" s="34" t="str">
        <f aca="false">IF($R660="","",IFERROR(INDEX(DriverCategory,MATCH($R660,DriverList,0)),"BAU"))</f>
        <v/>
      </c>
      <c r="U660" s="34" t="str">
        <f aca="false">IF($R660="","",IFERROR(INDEX(DriverRank,MATCH($R660,DriverList,0)),99))</f>
        <v/>
      </c>
      <c r="V660" s="35" t="n">
        <f aca="false">IF($H660="",0,IFERROR(INDEX(LevelBasic,MATCH($H660,LevelList,0))+INDEX(LevelHousing,MATCH($H660,LevelList,0))+INDEX(LevelTransport,MATCH($H660,LevelList,0))+INDEX(LevelBasic,MATCH($H660,LevelList,0))*INDEX(LevelBonus,MATCH($H660,LevelList,0))+(INDEX(LevelBasic,MATCH($H660,LevelList,0))+INDEX(LevelHousing,MATCH($H660,LevelList,0)))*GosiSaudi,0))</f>
        <v>0</v>
      </c>
      <c r="W660" s="35" t="n">
        <f aca="false">IFERROR(INDEX(LevelOneOff,MATCH($H660,LevelList,0)),0)</f>
        <v>0</v>
      </c>
      <c r="X660" s="35" t="str">
        <f aca="false">IF($G660="","",$V660*N($L660))</f>
        <v/>
      </c>
      <c r="Y660" s="35" t="str">
        <f aca="false">IF($G660="","",$V660*(N($M660)*1+N($N660)*0.75+N($O660)*0.5+N($P660)*0.25)+$W660*N($L660))</f>
        <v/>
      </c>
      <c r="Z660" s="35" t="str">
        <f aca="false">IF($G660="","",$U660*1000000+ROW())</f>
        <v/>
      </c>
      <c r="AA660" s="36" t="str">
        <f aca="false">IF($G660="","",MID(IF($C660="",", no division","")&amp;IF($E660="",", no unit","")&amp;IF($H660="",", no career level","")&amp;IF(N($L660)&lt;=0,", no quarter split","")&amp;IF($R660="",", no driver","")&amp;IF(AND($H660&lt;&gt;"",COUNTIF(CareerLevels,$H660)=0),", a career level that is not on the ladder","")&amp;IF(AND($R660&lt;&gt;"",COUNTIF(DriverList,$R660)=0),", a driver that is not on the list","")&amp;IF(ABS(N($L660)-(N($M660)+N($N660)+N($O660)+N($P660)))&gt;0.001,", a total that does not match its quarters",""),3,300))</f>
        <v/>
      </c>
    </row>
    <row r="661" customFormat="false" ht="15" hidden="false" customHeight="false" outlineLevel="0" collapsed="false">
      <c r="A661" s="33" t="str">
        <f aca="false">IF($G661="","","Finance Group")</f>
        <v/>
      </c>
      <c r="B661" s="19"/>
      <c r="C661" s="19"/>
      <c r="D661" s="19"/>
      <c r="E661" s="19"/>
      <c r="F661" s="19"/>
      <c r="G661" s="19"/>
      <c r="H661" s="19"/>
      <c r="I661" s="19"/>
      <c r="J661" s="19"/>
      <c r="K661" s="19"/>
      <c r="L661" s="19"/>
      <c r="M661" s="19"/>
      <c r="N661" s="19"/>
      <c r="O661" s="19"/>
      <c r="P661" s="19"/>
      <c r="Q661" s="19"/>
      <c r="R661" s="19"/>
      <c r="S661" s="19"/>
      <c r="T661" s="34" t="str">
        <f aca="false">IF($R661="","",IFERROR(INDEX(DriverCategory,MATCH($R661,DriverList,0)),"BAU"))</f>
        <v/>
      </c>
      <c r="U661" s="34" t="str">
        <f aca="false">IF($R661="","",IFERROR(INDEX(DriverRank,MATCH($R661,DriverList,0)),99))</f>
        <v/>
      </c>
      <c r="V661" s="35" t="n">
        <f aca="false">IF($H661="",0,IFERROR(INDEX(LevelBasic,MATCH($H661,LevelList,0))+INDEX(LevelHousing,MATCH($H661,LevelList,0))+INDEX(LevelTransport,MATCH($H661,LevelList,0))+INDEX(LevelBasic,MATCH($H661,LevelList,0))*INDEX(LevelBonus,MATCH($H661,LevelList,0))+(INDEX(LevelBasic,MATCH($H661,LevelList,0))+INDEX(LevelHousing,MATCH($H661,LevelList,0)))*GosiSaudi,0))</f>
        <v>0</v>
      </c>
      <c r="W661" s="35" t="n">
        <f aca="false">IFERROR(INDEX(LevelOneOff,MATCH($H661,LevelList,0)),0)</f>
        <v>0</v>
      </c>
      <c r="X661" s="35" t="str">
        <f aca="false">IF($G661="","",$V661*N($L661))</f>
        <v/>
      </c>
      <c r="Y661" s="35" t="str">
        <f aca="false">IF($G661="","",$V661*(N($M661)*1+N($N661)*0.75+N($O661)*0.5+N($P661)*0.25)+$W661*N($L661))</f>
        <v/>
      </c>
      <c r="Z661" s="35" t="str">
        <f aca="false">IF($G661="","",$U661*1000000+ROW())</f>
        <v/>
      </c>
      <c r="AA661" s="36" t="str">
        <f aca="false">IF($G661="","",MID(IF($C661="",", no division","")&amp;IF($E661="",", no unit","")&amp;IF($H661="",", no career level","")&amp;IF(N($L661)&lt;=0,", no quarter split","")&amp;IF($R661="",", no driver","")&amp;IF(AND($H661&lt;&gt;"",COUNTIF(CareerLevels,$H661)=0),", a career level that is not on the ladder","")&amp;IF(AND($R661&lt;&gt;"",COUNTIF(DriverList,$R661)=0),", a driver that is not on the list","")&amp;IF(ABS(N($L661)-(N($M661)+N($N661)+N($O661)+N($P661)))&gt;0.001,", a total that does not match its quarters",""),3,300))</f>
        <v/>
      </c>
    </row>
    <row r="662" customFormat="false" ht="15" hidden="false" customHeight="false" outlineLevel="0" collapsed="false">
      <c r="A662" s="33" t="str">
        <f aca="false">IF($G662="","","Finance Group")</f>
        <v/>
      </c>
      <c r="B662" s="19"/>
      <c r="C662" s="19"/>
      <c r="D662" s="19"/>
      <c r="E662" s="19"/>
      <c r="F662" s="19"/>
      <c r="G662" s="19"/>
      <c r="H662" s="19"/>
      <c r="I662" s="19"/>
      <c r="J662" s="19"/>
      <c r="K662" s="19"/>
      <c r="L662" s="19"/>
      <c r="M662" s="19"/>
      <c r="N662" s="19"/>
      <c r="O662" s="19"/>
      <c r="P662" s="19"/>
      <c r="Q662" s="19"/>
      <c r="R662" s="19"/>
      <c r="S662" s="19"/>
      <c r="T662" s="34" t="str">
        <f aca="false">IF($R662="","",IFERROR(INDEX(DriverCategory,MATCH($R662,DriverList,0)),"BAU"))</f>
        <v/>
      </c>
      <c r="U662" s="34" t="str">
        <f aca="false">IF($R662="","",IFERROR(INDEX(DriverRank,MATCH($R662,DriverList,0)),99))</f>
        <v/>
      </c>
      <c r="V662" s="35" t="n">
        <f aca="false">IF($H662="",0,IFERROR(INDEX(LevelBasic,MATCH($H662,LevelList,0))+INDEX(LevelHousing,MATCH($H662,LevelList,0))+INDEX(LevelTransport,MATCH($H662,LevelList,0))+INDEX(LevelBasic,MATCH($H662,LevelList,0))*INDEX(LevelBonus,MATCH($H662,LevelList,0))+(INDEX(LevelBasic,MATCH($H662,LevelList,0))+INDEX(LevelHousing,MATCH($H662,LevelList,0)))*GosiSaudi,0))</f>
        <v>0</v>
      </c>
      <c r="W662" s="35" t="n">
        <f aca="false">IFERROR(INDEX(LevelOneOff,MATCH($H662,LevelList,0)),0)</f>
        <v>0</v>
      </c>
      <c r="X662" s="35" t="str">
        <f aca="false">IF($G662="","",$V662*N($L662))</f>
        <v/>
      </c>
      <c r="Y662" s="35" t="str">
        <f aca="false">IF($G662="","",$V662*(N($M662)*1+N($N662)*0.75+N($O662)*0.5+N($P662)*0.25)+$W662*N($L662))</f>
        <v/>
      </c>
      <c r="Z662" s="35" t="str">
        <f aca="false">IF($G662="","",$U662*1000000+ROW())</f>
        <v/>
      </c>
      <c r="AA662" s="36" t="str">
        <f aca="false">IF($G662="","",MID(IF($C662="",", no division","")&amp;IF($E662="",", no unit","")&amp;IF($H662="",", no career level","")&amp;IF(N($L662)&lt;=0,", no quarter split","")&amp;IF($R662="",", no driver","")&amp;IF(AND($H662&lt;&gt;"",COUNTIF(CareerLevels,$H662)=0),", a career level that is not on the ladder","")&amp;IF(AND($R662&lt;&gt;"",COUNTIF(DriverList,$R662)=0),", a driver that is not on the list","")&amp;IF(ABS(N($L662)-(N($M662)+N($N662)+N($O662)+N($P662)))&gt;0.001,", a total that does not match its quarters",""),3,300))</f>
        <v/>
      </c>
    </row>
    <row r="663" customFormat="false" ht="15" hidden="false" customHeight="false" outlineLevel="0" collapsed="false">
      <c r="A663" s="33" t="str">
        <f aca="false">IF($G663="","","Finance Group")</f>
        <v/>
      </c>
      <c r="B663" s="19"/>
      <c r="C663" s="19"/>
      <c r="D663" s="19"/>
      <c r="E663" s="19"/>
      <c r="F663" s="19"/>
      <c r="G663" s="19"/>
      <c r="H663" s="19"/>
      <c r="I663" s="19"/>
      <c r="J663" s="19"/>
      <c r="K663" s="19"/>
      <c r="L663" s="19"/>
      <c r="M663" s="19"/>
      <c r="N663" s="19"/>
      <c r="O663" s="19"/>
      <c r="P663" s="19"/>
      <c r="Q663" s="19"/>
      <c r="R663" s="19"/>
      <c r="S663" s="19"/>
      <c r="T663" s="34" t="str">
        <f aca="false">IF($R663="","",IFERROR(INDEX(DriverCategory,MATCH($R663,DriverList,0)),"BAU"))</f>
        <v/>
      </c>
      <c r="U663" s="34" t="str">
        <f aca="false">IF($R663="","",IFERROR(INDEX(DriverRank,MATCH($R663,DriverList,0)),99))</f>
        <v/>
      </c>
      <c r="V663" s="35" t="n">
        <f aca="false">IF($H663="",0,IFERROR(INDEX(LevelBasic,MATCH($H663,LevelList,0))+INDEX(LevelHousing,MATCH($H663,LevelList,0))+INDEX(LevelTransport,MATCH($H663,LevelList,0))+INDEX(LevelBasic,MATCH($H663,LevelList,0))*INDEX(LevelBonus,MATCH($H663,LevelList,0))+(INDEX(LevelBasic,MATCH($H663,LevelList,0))+INDEX(LevelHousing,MATCH($H663,LevelList,0)))*GosiSaudi,0))</f>
        <v>0</v>
      </c>
      <c r="W663" s="35" t="n">
        <f aca="false">IFERROR(INDEX(LevelOneOff,MATCH($H663,LevelList,0)),0)</f>
        <v>0</v>
      </c>
      <c r="X663" s="35" t="str">
        <f aca="false">IF($G663="","",$V663*N($L663))</f>
        <v/>
      </c>
      <c r="Y663" s="35" t="str">
        <f aca="false">IF($G663="","",$V663*(N($M663)*1+N($N663)*0.75+N($O663)*0.5+N($P663)*0.25)+$W663*N($L663))</f>
        <v/>
      </c>
      <c r="Z663" s="35" t="str">
        <f aca="false">IF($G663="","",$U663*1000000+ROW())</f>
        <v/>
      </c>
      <c r="AA663" s="36" t="str">
        <f aca="false">IF($G663="","",MID(IF($C663="",", no division","")&amp;IF($E663="",", no unit","")&amp;IF($H663="",", no career level","")&amp;IF(N($L663)&lt;=0,", no quarter split","")&amp;IF($R663="",", no driver","")&amp;IF(AND($H663&lt;&gt;"",COUNTIF(CareerLevels,$H663)=0),", a career level that is not on the ladder","")&amp;IF(AND($R663&lt;&gt;"",COUNTIF(DriverList,$R663)=0),", a driver that is not on the list","")&amp;IF(ABS(N($L663)-(N($M663)+N($N663)+N($O663)+N($P663)))&gt;0.001,", a total that does not match its quarters",""),3,300))</f>
        <v/>
      </c>
    </row>
    <row r="664" customFormat="false" ht="15" hidden="false" customHeight="false" outlineLevel="0" collapsed="false">
      <c r="A664" s="33" t="str">
        <f aca="false">IF($G664="","","Finance Group")</f>
        <v/>
      </c>
      <c r="B664" s="19"/>
      <c r="C664" s="19"/>
      <c r="D664" s="19"/>
      <c r="E664" s="19"/>
      <c r="F664" s="19"/>
      <c r="G664" s="19"/>
      <c r="H664" s="19"/>
      <c r="I664" s="19"/>
      <c r="J664" s="19"/>
      <c r="K664" s="19"/>
      <c r="L664" s="19"/>
      <c r="M664" s="19"/>
      <c r="N664" s="19"/>
      <c r="O664" s="19"/>
      <c r="P664" s="19"/>
      <c r="Q664" s="19"/>
      <c r="R664" s="19"/>
      <c r="S664" s="19"/>
      <c r="T664" s="34" t="str">
        <f aca="false">IF($R664="","",IFERROR(INDEX(DriverCategory,MATCH($R664,DriverList,0)),"BAU"))</f>
        <v/>
      </c>
      <c r="U664" s="34" t="str">
        <f aca="false">IF($R664="","",IFERROR(INDEX(DriverRank,MATCH($R664,DriverList,0)),99))</f>
        <v/>
      </c>
      <c r="V664" s="35" t="n">
        <f aca="false">IF($H664="",0,IFERROR(INDEX(LevelBasic,MATCH($H664,LevelList,0))+INDEX(LevelHousing,MATCH($H664,LevelList,0))+INDEX(LevelTransport,MATCH($H664,LevelList,0))+INDEX(LevelBasic,MATCH($H664,LevelList,0))*INDEX(LevelBonus,MATCH($H664,LevelList,0))+(INDEX(LevelBasic,MATCH($H664,LevelList,0))+INDEX(LevelHousing,MATCH($H664,LevelList,0)))*GosiSaudi,0))</f>
        <v>0</v>
      </c>
      <c r="W664" s="35" t="n">
        <f aca="false">IFERROR(INDEX(LevelOneOff,MATCH($H664,LevelList,0)),0)</f>
        <v>0</v>
      </c>
      <c r="X664" s="35" t="str">
        <f aca="false">IF($G664="","",$V664*N($L664))</f>
        <v/>
      </c>
      <c r="Y664" s="35" t="str">
        <f aca="false">IF($G664="","",$V664*(N($M664)*1+N($N664)*0.75+N($O664)*0.5+N($P664)*0.25)+$W664*N($L664))</f>
        <v/>
      </c>
      <c r="Z664" s="35" t="str">
        <f aca="false">IF($G664="","",$U664*1000000+ROW())</f>
        <v/>
      </c>
      <c r="AA664" s="36" t="str">
        <f aca="false">IF($G664="","",MID(IF($C664="",", no division","")&amp;IF($E664="",", no unit","")&amp;IF($H664="",", no career level","")&amp;IF(N($L664)&lt;=0,", no quarter split","")&amp;IF($R664="",", no driver","")&amp;IF(AND($H664&lt;&gt;"",COUNTIF(CareerLevels,$H664)=0),", a career level that is not on the ladder","")&amp;IF(AND($R664&lt;&gt;"",COUNTIF(DriverList,$R664)=0),", a driver that is not on the list","")&amp;IF(ABS(N($L664)-(N($M664)+N($N664)+N($O664)+N($P664)))&gt;0.001,", a total that does not match its quarters",""),3,300))</f>
        <v/>
      </c>
    </row>
    <row r="665" customFormat="false" ht="15" hidden="false" customHeight="false" outlineLevel="0" collapsed="false">
      <c r="A665" s="33" t="str">
        <f aca="false">IF($G665="","","Finance Group")</f>
        <v/>
      </c>
      <c r="B665" s="19"/>
      <c r="C665" s="19"/>
      <c r="D665" s="19"/>
      <c r="E665" s="19"/>
      <c r="F665" s="19"/>
      <c r="G665" s="19"/>
      <c r="H665" s="19"/>
      <c r="I665" s="19"/>
      <c r="J665" s="19"/>
      <c r="K665" s="19"/>
      <c r="L665" s="19"/>
      <c r="M665" s="19"/>
      <c r="N665" s="19"/>
      <c r="O665" s="19"/>
      <c r="P665" s="19"/>
      <c r="Q665" s="19"/>
      <c r="R665" s="19"/>
      <c r="S665" s="19"/>
      <c r="T665" s="34" t="str">
        <f aca="false">IF($R665="","",IFERROR(INDEX(DriverCategory,MATCH($R665,DriverList,0)),"BAU"))</f>
        <v/>
      </c>
      <c r="U665" s="34" t="str">
        <f aca="false">IF($R665="","",IFERROR(INDEX(DriverRank,MATCH($R665,DriverList,0)),99))</f>
        <v/>
      </c>
      <c r="V665" s="35" t="n">
        <f aca="false">IF($H665="",0,IFERROR(INDEX(LevelBasic,MATCH($H665,LevelList,0))+INDEX(LevelHousing,MATCH($H665,LevelList,0))+INDEX(LevelTransport,MATCH($H665,LevelList,0))+INDEX(LevelBasic,MATCH($H665,LevelList,0))*INDEX(LevelBonus,MATCH($H665,LevelList,0))+(INDEX(LevelBasic,MATCH($H665,LevelList,0))+INDEX(LevelHousing,MATCH($H665,LevelList,0)))*GosiSaudi,0))</f>
        <v>0</v>
      </c>
      <c r="W665" s="35" t="n">
        <f aca="false">IFERROR(INDEX(LevelOneOff,MATCH($H665,LevelList,0)),0)</f>
        <v>0</v>
      </c>
      <c r="X665" s="35" t="str">
        <f aca="false">IF($G665="","",$V665*N($L665))</f>
        <v/>
      </c>
      <c r="Y665" s="35" t="str">
        <f aca="false">IF($G665="","",$V665*(N($M665)*1+N($N665)*0.75+N($O665)*0.5+N($P665)*0.25)+$W665*N($L665))</f>
        <v/>
      </c>
      <c r="Z665" s="35" t="str">
        <f aca="false">IF($G665="","",$U665*1000000+ROW())</f>
        <v/>
      </c>
      <c r="AA665" s="36" t="str">
        <f aca="false">IF($G665="","",MID(IF($C665="",", no division","")&amp;IF($E665="",", no unit","")&amp;IF($H665="",", no career level","")&amp;IF(N($L665)&lt;=0,", no quarter split","")&amp;IF($R665="",", no driver","")&amp;IF(AND($H665&lt;&gt;"",COUNTIF(CareerLevels,$H665)=0),", a career level that is not on the ladder","")&amp;IF(AND($R665&lt;&gt;"",COUNTIF(DriverList,$R665)=0),", a driver that is not on the list","")&amp;IF(ABS(N($L665)-(N($M665)+N($N665)+N($O665)+N($P665)))&gt;0.001,", a total that does not match its quarters",""),3,300))</f>
        <v/>
      </c>
    </row>
    <row r="666" customFormat="false" ht="15" hidden="false" customHeight="false" outlineLevel="0" collapsed="false">
      <c r="A666" s="33" t="str">
        <f aca="false">IF($G666="","","Finance Group")</f>
        <v/>
      </c>
      <c r="B666" s="19"/>
      <c r="C666" s="19"/>
      <c r="D666" s="19"/>
      <c r="E666" s="19"/>
      <c r="F666" s="19"/>
      <c r="G666" s="19"/>
      <c r="H666" s="19"/>
      <c r="I666" s="19"/>
      <c r="J666" s="19"/>
      <c r="K666" s="19"/>
      <c r="L666" s="19"/>
      <c r="M666" s="19"/>
      <c r="N666" s="19"/>
      <c r="O666" s="19"/>
      <c r="P666" s="19"/>
      <c r="Q666" s="19"/>
      <c r="R666" s="19"/>
      <c r="S666" s="19"/>
      <c r="T666" s="34" t="str">
        <f aca="false">IF($R666="","",IFERROR(INDEX(DriverCategory,MATCH($R666,DriverList,0)),"BAU"))</f>
        <v/>
      </c>
      <c r="U666" s="34" t="str">
        <f aca="false">IF($R666="","",IFERROR(INDEX(DriverRank,MATCH($R666,DriverList,0)),99))</f>
        <v/>
      </c>
      <c r="V666" s="35" t="n">
        <f aca="false">IF($H666="",0,IFERROR(INDEX(LevelBasic,MATCH($H666,LevelList,0))+INDEX(LevelHousing,MATCH($H666,LevelList,0))+INDEX(LevelTransport,MATCH($H666,LevelList,0))+INDEX(LevelBasic,MATCH($H666,LevelList,0))*INDEX(LevelBonus,MATCH($H666,LevelList,0))+(INDEX(LevelBasic,MATCH($H666,LevelList,0))+INDEX(LevelHousing,MATCH($H666,LevelList,0)))*GosiSaudi,0))</f>
        <v>0</v>
      </c>
      <c r="W666" s="35" t="n">
        <f aca="false">IFERROR(INDEX(LevelOneOff,MATCH($H666,LevelList,0)),0)</f>
        <v>0</v>
      </c>
      <c r="X666" s="35" t="str">
        <f aca="false">IF($G666="","",$V666*N($L666))</f>
        <v/>
      </c>
      <c r="Y666" s="35" t="str">
        <f aca="false">IF($G666="","",$V666*(N($M666)*1+N($N666)*0.75+N($O666)*0.5+N($P666)*0.25)+$W666*N($L666))</f>
        <v/>
      </c>
      <c r="Z666" s="35" t="str">
        <f aca="false">IF($G666="","",$U666*1000000+ROW())</f>
        <v/>
      </c>
      <c r="AA666" s="36" t="str">
        <f aca="false">IF($G666="","",MID(IF($C666="",", no division","")&amp;IF($E666="",", no unit","")&amp;IF($H666="",", no career level","")&amp;IF(N($L666)&lt;=0,", no quarter split","")&amp;IF($R666="",", no driver","")&amp;IF(AND($H666&lt;&gt;"",COUNTIF(CareerLevels,$H666)=0),", a career level that is not on the ladder","")&amp;IF(AND($R666&lt;&gt;"",COUNTIF(DriverList,$R666)=0),", a driver that is not on the list","")&amp;IF(ABS(N($L666)-(N($M666)+N($N666)+N($O666)+N($P666)))&gt;0.001,", a total that does not match its quarters",""),3,300))</f>
        <v/>
      </c>
    </row>
    <row r="667" customFormat="false" ht="15" hidden="false" customHeight="false" outlineLevel="0" collapsed="false">
      <c r="A667" s="33" t="str">
        <f aca="false">IF($G667="","","Finance Group")</f>
        <v/>
      </c>
      <c r="B667" s="19"/>
      <c r="C667" s="19"/>
      <c r="D667" s="19"/>
      <c r="E667" s="19"/>
      <c r="F667" s="19"/>
      <c r="G667" s="19"/>
      <c r="H667" s="19"/>
      <c r="I667" s="19"/>
      <c r="J667" s="19"/>
      <c r="K667" s="19"/>
      <c r="L667" s="19"/>
      <c r="M667" s="19"/>
      <c r="N667" s="19"/>
      <c r="O667" s="19"/>
      <c r="P667" s="19"/>
      <c r="Q667" s="19"/>
      <c r="R667" s="19"/>
      <c r="S667" s="19"/>
      <c r="T667" s="34" t="str">
        <f aca="false">IF($R667="","",IFERROR(INDEX(DriverCategory,MATCH($R667,DriverList,0)),"BAU"))</f>
        <v/>
      </c>
      <c r="U667" s="34" t="str">
        <f aca="false">IF($R667="","",IFERROR(INDEX(DriverRank,MATCH($R667,DriverList,0)),99))</f>
        <v/>
      </c>
      <c r="V667" s="35" t="n">
        <f aca="false">IF($H667="",0,IFERROR(INDEX(LevelBasic,MATCH($H667,LevelList,0))+INDEX(LevelHousing,MATCH($H667,LevelList,0))+INDEX(LevelTransport,MATCH($H667,LevelList,0))+INDEX(LevelBasic,MATCH($H667,LevelList,0))*INDEX(LevelBonus,MATCH($H667,LevelList,0))+(INDEX(LevelBasic,MATCH($H667,LevelList,0))+INDEX(LevelHousing,MATCH($H667,LevelList,0)))*GosiSaudi,0))</f>
        <v>0</v>
      </c>
      <c r="W667" s="35" t="n">
        <f aca="false">IFERROR(INDEX(LevelOneOff,MATCH($H667,LevelList,0)),0)</f>
        <v>0</v>
      </c>
      <c r="X667" s="35" t="str">
        <f aca="false">IF($G667="","",$V667*N($L667))</f>
        <v/>
      </c>
      <c r="Y667" s="35" t="str">
        <f aca="false">IF($G667="","",$V667*(N($M667)*1+N($N667)*0.75+N($O667)*0.5+N($P667)*0.25)+$W667*N($L667))</f>
        <v/>
      </c>
      <c r="Z667" s="35" t="str">
        <f aca="false">IF($G667="","",$U667*1000000+ROW())</f>
        <v/>
      </c>
      <c r="AA667" s="36" t="str">
        <f aca="false">IF($G667="","",MID(IF($C667="",", no division","")&amp;IF($E667="",", no unit","")&amp;IF($H667="",", no career level","")&amp;IF(N($L667)&lt;=0,", no quarter split","")&amp;IF($R667="",", no driver","")&amp;IF(AND($H667&lt;&gt;"",COUNTIF(CareerLevels,$H667)=0),", a career level that is not on the ladder","")&amp;IF(AND($R667&lt;&gt;"",COUNTIF(DriverList,$R667)=0),", a driver that is not on the list","")&amp;IF(ABS(N($L667)-(N($M667)+N($N667)+N($O667)+N($P667)))&gt;0.001,", a total that does not match its quarters",""),3,300))</f>
        <v/>
      </c>
    </row>
    <row r="668" customFormat="false" ht="15" hidden="false" customHeight="false" outlineLevel="0" collapsed="false">
      <c r="A668" s="33" t="str">
        <f aca="false">IF($G668="","","Finance Group")</f>
        <v/>
      </c>
      <c r="B668" s="19"/>
      <c r="C668" s="19"/>
      <c r="D668" s="19"/>
      <c r="E668" s="19"/>
      <c r="F668" s="19"/>
      <c r="G668" s="19"/>
      <c r="H668" s="19"/>
      <c r="I668" s="19"/>
      <c r="J668" s="19"/>
      <c r="K668" s="19"/>
      <c r="L668" s="19"/>
      <c r="M668" s="19"/>
      <c r="N668" s="19"/>
      <c r="O668" s="19"/>
      <c r="P668" s="19"/>
      <c r="Q668" s="19"/>
      <c r="R668" s="19"/>
      <c r="S668" s="19"/>
      <c r="T668" s="34" t="str">
        <f aca="false">IF($R668="","",IFERROR(INDEX(DriverCategory,MATCH($R668,DriverList,0)),"BAU"))</f>
        <v/>
      </c>
      <c r="U668" s="34" t="str">
        <f aca="false">IF($R668="","",IFERROR(INDEX(DriverRank,MATCH($R668,DriverList,0)),99))</f>
        <v/>
      </c>
      <c r="V668" s="35" t="n">
        <f aca="false">IF($H668="",0,IFERROR(INDEX(LevelBasic,MATCH($H668,LevelList,0))+INDEX(LevelHousing,MATCH($H668,LevelList,0))+INDEX(LevelTransport,MATCH($H668,LevelList,0))+INDEX(LevelBasic,MATCH($H668,LevelList,0))*INDEX(LevelBonus,MATCH($H668,LevelList,0))+(INDEX(LevelBasic,MATCH($H668,LevelList,0))+INDEX(LevelHousing,MATCH($H668,LevelList,0)))*GosiSaudi,0))</f>
        <v>0</v>
      </c>
      <c r="W668" s="35" t="n">
        <f aca="false">IFERROR(INDEX(LevelOneOff,MATCH($H668,LevelList,0)),0)</f>
        <v>0</v>
      </c>
      <c r="X668" s="35" t="str">
        <f aca="false">IF($G668="","",$V668*N($L668))</f>
        <v/>
      </c>
      <c r="Y668" s="35" t="str">
        <f aca="false">IF($G668="","",$V668*(N($M668)*1+N($N668)*0.75+N($O668)*0.5+N($P668)*0.25)+$W668*N($L668))</f>
        <v/>
      </c>
      <c r="Z668" s="35" t="str">
        <f aca="false">IF($G668="","",$U668*1000000+ROW())</f>
        <v/>
      </c>
      <c r="AA668" s="36" t="str">
        <f aca="false">IF($G668="","",MID(IF($C668="",", no division","")&amp;IF($E668="",", no unit","")&amp;IF($H668="",", no career level","")&amp;IF(N($L668)&lt;=0,", no quarter split","")&amp;IF($R668="",", no driver","")&amp;IF(AND($H668&lt;&gt;"",COUNTIF(CareerLevels,$H668)=0),", a career level that is not on the ladder","")&amp;IF(AND($R668&lt;&gt;"",COUNTIF(DriverList,$R668)=0),", a driver that is not on the list","")&amp;IF(ABS(N($L668)-(N($M668)+N($N668)+N($O668)+N($P668)))&gt;0.001,", a total that does not match its quarters",""),3,300))</f>
        <v/>
      </c>
    </row>
    <row r="669" customFormat="false" ht="15" hidden="false" customHeight="false" outlineLevel="0" collapsed="false">
      <c r="A669" s="33" t="str">
        <f aca="false">IF($G669="","","Finance Group")</f>
        <v/>
      </c>
      <c r="B669" s="19"/>
      <c r="C669" s="19"/>
      <c r="D669" s="19"/>
      <c r="E669" s="19"/>
      <c r="F669" s="19"/>
      <c r="G669" s="19"/>
      <c r="H669" s="19"/>
      <c r="I669" s="19"/>
      <c r="J669" s="19"/>
      <c r="K669" s="19"/>
      <c r="L669" s="19"/>
      <c r="M669" s="19"/>
      <c r="N669" s="19"/>
      <c r="O669" s="19"/>
      <c r="P669" s="19"/>
      <c r="Q669" s="19"/>
      <c r="R669" s="19"/>
      <c r="S669" s="19"/>
      <c r="T669" s="34" t="str">
        <f aca="false">IF($R669="","",IFERROR(INDEX(DriverCategory,MATCH($R669,DriverList,0)),"BAU"))</f>
        <v/>
      </c>
      <c r="U669" s="34" t="str">
        <f aca="false">IF($R669="","",IFERROR(INDEX(DriverRank,MATCH($R669,DriverList,0)),99))</f>
        <v/>
      </c>
      <c r="V669" s="35" t="n">
        <f aca="false">IF($H669="",0,IFERROR(INDEX(LevelBasic,MATCH($H669,LevelList,0))+INDEX(LevelHousing,MATCH($H669,LevelList,0))+INDEX(LevelTransport,MATCH($H669,LevelList,0))+INDEX(LevelBasic,MATCH($H669,LevelList,0))*INDEX(LevelBonus,MATCH($H669,LevelList,0))+(INDEX(LevelBasic,MATCH($H669,LevelList,0))+INDEX(LevelHousing,MATCH($H669,LevelList,0)))*GosiSaudi,0))</f>
        <v>0</v>
      </c>
      <c r="W669" s="35" t="n">
        <f aca="false">IFERROR(INDEX(LevelOneOff,MATCH($H669,LevelList,0)),0)</f>
        <v>0</v>
      </c>
      <c r="X669" s="35" t="str">
        <f aca="false">IF($G669="","",$V669*N($L669))</f>
        <v/>
      </c>
      <c r="Y669" s="35" t="str">
        <f aca="false">IF($G669="","",$V669*(N($M669)*1+N($N669)*0.75+N($O669)*0.5+N($P669)*0.25)+$W669*N($L669))</f>
        <v/>
      </c>
      <c r="Z669" s="35" t="str">
        <f aca="false">IF($G669="","",$U669*1000000+ROW())</f>
        <v/>
      </c>
      <c r="AA669" s="36" t="str">
        <f aca="false">IF($G669="","",MID(IF($C669="",", no division","")&amp;IF($E669="",", no unit","")&amp;IF($H669="",", no career level","")&amp;IF(N($L669)&lt;=0,", no quarter split","")&amp;IF($R669="",", no driver","")&amp;IF(AND($H669&lt;&gt;"",COUNTIF(CareerLevels,$H669)=0),", a career level that is not on the ladder","")&amp;IF(AND($R669&lt;&gt;"",COUNTIF(DriverList,$R669)=0),", a driver that is not on the list","")&amp;IF(ABS(N($L669)-(N($M669)+N($N669)+N($O669)+N($P669)))&gt;0.001,", a total that does not match its quarters",""),3,300))</f>
        <v/>
      </c>
    </row>
    <row r="670" customFormat="false" ht="15" hidden="false" customHeight="false" outlineLevel="0" collapsed="false">
      <c r="A670" s="33" t="str">
        <f aca="false">IF($G670="","","Finance Group")</f>
        <v/>
      </c>
      <c r="B670" s="19"/>
      <c r="C670" s="19"/>
      <c r="D670" s="19"/>
      <c r="E670" s="19"/>
      <c r="F670" s="19"/>
      <c r="G670" s="19"/>
      <c r="H670" s="19"/>
      <c r="I670" s="19"/>
      <c r="J670" s="19"/>
      <c r="K670" s="19"/>
      <c r="L670" s="19"/>
      <c r="M670" s="19"/>
      <c r="N670" s="19"/>
      <c r="O670" s="19"/>
      <c r="P670" s="19"/>
      <c r="Q670" s="19"/>
      <c r="R670" s="19"/>
      <c r="S670" s="19"/>
      <c r="T670" s="34" t="str">
        <f aca="false">IF($R670="","",IFERROR(INDEX(DriverCategory,MATCH($R670,DriverList,0)),"BAU"))</f>
        <v/>
      </c>
      <c r="U670" s="34" t="str">
        <f aca="false">IF($R670="","",IFERROR(INDEX(DriverRank,MATCH($R670,DriverList,0)),99))</f>
        <v/>
      </c>
      <c r="V670" s="35" t="n">
        <f aca="false">IF($H670="",0,IFERROR(INDEX(LevelBasic,MATCH($H670,LevelList,0))+INDEX(LevelHousing,MATCH($H670,LevelList,0))+INDEX(LevelTransport,MATCH($H670,LevelList,0))+INDEX(LevelBasic,MATCH($H670,LevelList,0))*INDEX(LevelBonus,MATCH($H670,LevelList,0))+(INDEX(LevelBasic,MATCH($H670,LevelList,0))+INDEX(LevelHousing,MATCH($H670,LevelList,0)))*GosiSaudi,0))</f>
        <v>0</v>
      </c>
      <c r="W670" s="35" t="n">
        <f aca="false">IFERROR(INDEX(LevelOneOff,MATCH($H670,LevelList,0)),0)</f>
        <v>0</v>
      </c>
      <c r="X670" s="35" t="str">
        <f aca="false">IF($G670="","",$V670*N($L670))</f>
        <v/>
      </c>
      <c r="Y670" s="35" t="str">
        <f aca="false">IF($G670="","",$V670*(N($M670)*1+N($N670)*0.75+N($O670)*0.5+N($P670)*0.25)+$W670*N($L670))</f>
        <v/>
      </c>
      <c r="Z670" s="35" t="str">
        <f aca="false">IF($G670="","",$U670*1000000+ROW())</f>
        <v/>
      </c>
      <c r="AA670" s="36" t="str">
        <f aca="false">IF($G670="","",MID(IF($C670="",", no division","")&amp;IF($E670="",", no unit","")&amp;IF($H670="",", no career level","")&amp;IF(N($L670)&lt;=0,", no quarter split","")&amp;IF($R670="",", no driver","")&amp;IF(AND($H670&lt;&gt;"",COUNTIF(CareerLevels,$H670)=0),", a career level that is not on the ladder","")&amp;IF(AND($R670&lt;&gt;"",COUNTIF(DriverList,$R670)=0),", a driver that is not on the list","")&amp;IF(ABS(N($L670)-(N($M670)+N($N670)+N($O670)+N($P670)))&gt;0.001,", a total that does not match its quarters",""),3,300))</f>
        <v/>
      </c>
    </row>
    <row r="671" customFormat="false" ht="15" hidden="false" customHeight="false" outlineLevel="0" collapsed="false">
      <c r="A671" s="33" t="str">
        <f aca="false">IF($G671="","","Finance Group")</f>
        <v/>
      </c>
      <c r="B671" s="19"/>
      <c r="C671" s="19"/>
      <c r="D671" s="19"/>
      <c r="E671" s="19"/>
      <c r="F671" s="19"/>
      <c r="G671" s="19"/>
      <c r="H671" s="19"/>
      <c r="I671" s="19"/>
      <c r="J671" s="19"/>
      <c r="K671" s="19"/>
      <c r="L671" s="19"/>
      <c r="M671" s="19"/>
      <c r="N671" s="19"/>
      <c r="O671" s="19"/>
      <c r="P671" s="19"/>
      <c r="Q671" s="19"/>
      <c r="R671" s="19"/>
      <c r="S671" s="19"/>
      <c r="T671" s="34" t="str">
        <f aca="false">IF($R671="","",IFERROR(INDEX(DriverCategory,MATCH($R671,DriverList,0)),"BAU"))</f>
        <v/>
      </c>
      <c r="U671" s="34" t="str">
        <f aca="false">IF($R671="","",IFERROR(INDEX(DriverRank,MATCH($R671,DriverList,0)),99))</f>
        <v/>
      </c>
      <c r="V671" s="35" t="n">
        <f aca="false">IF($H671="",0,IFERROR(INDEX(LevelBasic,MATCH($H671,LevelList,0))+INDEX(LevelHousing,MATCH($H671,LevelList,0))+INDEX(LevelTransport,MATCH($H671,LevelList,0))+INDEX(LevelBasic,MATCH($H671,LevelList,0))*INDEX(LevelBonus,MATCH($H671,LevelList,0))+(INDEX(LevelBasic,MATCH($H671,LevelList,0))+INDEX(LevelHousing,MATCH($H671,LevelList,0)))*GosiSaudi,0))</f>
        <v>0</v>
      </c>
      <c r="W671" s="35" t="n">
        <f aca="false">IFERROR(INDEX(LevelOneOff,MATCH($H671,LevelList,0)),0)</f>
        <v>0</v>
      </c>
      <c r="X671" s="35" t="str">
        <f aca="false">IF($G671="","",$V671*N($L671))</f>
        <v/>
      </c>
      <c r="Y671" s="35" t="str">
        <f aca="false">IF($G671="","",$V671*(N($M671)*1+N($N671)*0.75+N($O671)*0.5+N($P671)*0.25)+$W671*N($L671))</f>
        <v/>
      </c>
      <c r="Z671" s="35" t="str">
        <f aca="false">IF($G671="","",$U671*1000000+ROW())</f>
        <v/>
      </c>
      <c r="AA671" s="36" t="str">
        <f aca="false">IF($G671="","",MID(IF($C671="",", no division","")&amp;IF($E671="",", no unit","")&amp;IF($H671="",", no career level","")&amp;IF(N($L671)&lt;=0,", no quarter split","")&amp;IF($R671="",", no driver","")&amp;IF(AND($H671&lt;&gt;"",COUNTIF(CareerLevels,$H671)=0),", a career level that is not on the ladder","")&amp;IF(AND($R671&lt;&gt;"",COUNTIF(DriverList,$R671)=0),", a driver that is not on the list","")&amp;IF(ABS(N($L671)-(N($M671)+N($N671)+N($O671)+N($P671)))&gt;0.001,", a total that does not match its quarters",""),3,300))</f>
        <v/>
      </c>
    </row>
    <row r="672" customFormat="false" ht="15" hidden="false" customHeight="false" outlineLevel="0" collapsed="false">
      <c r="A672" s="33" t="str">
        <f aca="false">IF($G672="","","Finance Group")</f>
        <v/>
      </c>
      <c r="B672" s="19"/>
      <c r="C672" s="19"/>
      <c r="D672" s="19"/>
      <c r="E672" s="19"/>
      <c r="F672" s="19"/>
      <c r="G672" s="19"/>
      <c r="H672" s="19"/>
      <c r="I672" s="19"/>
      <c r="J672" s="19"/>
      <c r="K672" s="19"/>
      <c r="L672" s="19"/>
      <c r="M672" s="19"/>
      <c r="N672" s="19"/>
      <c r="O672" s="19"/>
      <c r="P672" s="19"/>
      <c r="Q672" s="19"/>
      <c r="R672" s="19"/>
      <c r="S672" s="19"/>
      <c r="T672" s="34" t="str">
        <f aca="false">IF($R672="","",IFERROR(INDEX(DriverCategory,MATCH($R672,DriverList,0)),"BAU"))</f>
        <v/>
      </c>
      <c r="U672" s="34" t="str">
        <f aca="false">IF($R672="","",IFERROR(INDEX(DriverRank,MATCH($R672,DriverList,0)),99))</f>
        <v/>
      </c>
      <c r="V672" s="35" t="n">
        <f aca="false">IF($H672="",0,IFERROR(INDEX(LevelBasic,MATCH($H672,LevelList,0))+INDEX(LevelHousing,MATCH($H672,LevelList,0))+INDEX(LevelTransport,MATCH($H672,LevelList,0))+INDEX(LevelBasic,MATCH($H672,LevelList,0))*INDEX(LevelBonus,MATCH($H672,LevelList,0))+(INDEX(LevelBasic,MATCH($H672,LevelList,0))+INDEX(LevelHousing,MATCH($H672,LevelList,0)))*GosiSaudi,0))</f>
        <v>0</v>
      </c>
      <c r="W672" s="35" t="n">
        <f aca="false">IFERROR(INDEX(LevelOneOff,MATCH($H672,LevelList,0)),0)</f>
        <v>0</v>
      </c>
      <c r="X672" s="35" t="str">
        <f aca="false">IF($G672="","",$V672*N($L672))</f>
        <v/>
      </c>
      <c r="Y672" s="35" t="str">
        <f aca="false">IF($G672="","",$V672*(N($M672)*1+N($N672)*0.75+N($O672)*0.5+N($P672)*0.25)+$W672*N($L672))</f>
        <v/>
      </c>
      <c r="Z672" s="35" t="str">
        <f aca="false">IF($G672="","",$U672*1000000+ROW())</f>
        <v/>
      </c>
      <c r="AA672" s="36" t="str">
        <f aca="false">IF($G672="","",MID(IF($C672="",", no division","")&amp;IF($E672="",", no unit","")&amp;IF($H672="",", no career level","")&amp;IF(N($L672)&lt;=0,", no quarter split","")&amp;IF($R672="",", no driver","")&amp;IF(AND($H672&lt;&gt;"",COUNTIF(CareerLevels,$H672)=0),", a career level that is not on the ladder","")&amp;IF(AND($R672&lt;&gt;"",COUNTIF(DriverList,$R672)=0),", a driver that is not on the list","")&amp;IF(ABS(N($L672)-(N($M672)+N($N672)+N($O672)+N($P672)))&gt;0.001,", a total that does not match its quarters",""),3,300))</f>
        <v/>
      </c>
    </row>
    <row r="673" customFormat="false" ht="15" hidden="false" customHeight="false" outlineLevel="0" collapsed="false">
      <c r="A673" s="33" t="str">
        <f aca="false">IF($G673="","","Finance Group")</f>
        <v/>
      </c>
      <c r="B673" s="19"/>
      <c r="C673" s="19"/>
      <c r="D673" s="19"/>
      <c r="E673" s="19"/>
      <c r="F673" s="19"/>
      <c r="G673" s="19"/>
      <c r="H673" s="19"/>
      <c r="I673" s="19"/>
      <c r="J673" s="19"/>
      <c r="K673" s="19"/>
      <c r="L673" s="19"/>
      <c r="M673" s="19"/>
      <c r="N673" s="19"/>
      <c r="O673" s="19"/>
      <c r="P673" s="19"/>
      <c r="Q673" s="19"/>
      <c r="R673" s="19"/>
      <c r="S673" s="19"/>
      <c r="T673" s="34" t="str">
        <f aca="false">IF($R673="","",IFERROR(INDEX(DriverCategory,MATCH($R673,DriverList,0)),"BAU"))</f>
        <v/>
      </c>
      <c r="U673" s="34" t="str">
        <f aca="false">IF($R673="","",IFERROR(INDEX(DriverRank,MATCH($R673,DriverList,0)),99))</f>
        <v/>
      </c>
      <c r="V673" s="35" t="n">
        <f aca="false">IF($H673="",0,IFERROR(INDEX(LevelBasic,MATCH($H673,LevelList,0))+INDEX(LevelHousing,MATCH($H673,LevelList,0))+INDEX(LevelTransport,MATCH($H673,LevelList,0))+INDEX(LevelBasic,MATCH($H673,LevelList,0))*INDEX(LevelBonus,MATCH($H673,LevelList,0))+(INDEX(LevelBasic,MATCH($H673,LevelList,0))+INDEX(LevelHousing,MATCH($H673,LevelList,0)))*GosiSaudi,0))</f>
        <v>0</v>
      </c>
      <c r="W673" s="35" t="n">
        <f aca="false">IFERROR(INDEX(LevelOneOff,MATCH($H673,LevelList,0)),0)</f>
        <v>0</v>
      </c>
      <c r="X673" s="35" t="str">
        <f aca="false">IF($G673="","",$V673*N($L673))</f>
        <v/>
      </c>
      <c r="Y673" s="35" t="str">
        <f aca="false">IF($G673="","",$V673*(N($M673)*1+N($N673)*0.75+N($O673)*0.5+N($P673)*0.25)+$W673*N($L673))</f>
        <v/>
      </c>
      <c r="Z673" s="35" t="str">
        <f aca="false">IF($G673="","",$U673*1000000+ROW())</f>
        <v/>
      </c>
      <c r="AA673" s="36" t="str">
        <f aca="false">IF($G673="","",MID(IF($C673="",", no division","")&amp;IF($E673="",", no unit","")&amp;IF($H673="",", no career level","")&amp;IF(N($L673)&lt;=0,", no quarter split","")&amp;IF($R673="",", no driver","")&amp;IF(AND($H673&lt;&gt;"",COUNTIF(CareerLevels,$H673)=0),", a career level that is not on the ladder","")&amp;IF(AND($R673&lt;&gt;"",COUNTIF(DriverList,$R673)=0),", a driver that is not on the list","")&amp;IF(ABS(N($L673)-(N($M673)+N($N673)+N($O673)+N($P673)))&gt;0.001,", a total that does not match its quarters",""),3,300))</f>
        <v/>
      </c>
    </row>
    <row r="674" customFormat="false" ht="15" hidden="false" customHeight="false" outlineLevel="0" collapsed="false">
      <c r="A674" s="33" t="str">
        <f aca="false">IF($G674="","","Finance Group")</f>
        <v/>
      </c>
      <c r="B674" s="19"/>
      <c r="C674" s="19"/>
      <c r="D674" s="19"/>
      <c r="E674" s="19"/>
      <c r="F674" s="19"/>
      <c r="G674" s="19"/>
      <c r="H674" s="19"/>
      <c r="I674" s="19"/>
      <c r="J674" s="19"/>
      <c r="K674" s="19"/>
      <c r="L674" s="19"/>
      <c r="M674" s="19"/>
      <c r="N674" s="19"/>
      <c r="O674" s="19"/>
      <c r="P674" s="19"/>
      <c r="Q674" s="19"/>
      <c r="R674" s="19"/>
      <c r="S674" s="19"/>
      <c r="T674" s="34" t="str">
        <f aca="false">IF($R674="","",IFERROR(INDEX(DriverCategory,MATCH($R674,DriverList,0)),"BAU"))</f>
        <v/>
      </c>
      <c r="U674" s="34" t="str">
        <f aca="false">IF($R674="","",IFERROR(INDEX(DriverRank,MATCH($R674,DriverList,0)),99))</f>
        <v/>
      </c>
      <c r="V674" s="35" t="n">
        <f aca="false">IF($H674="",0,IFERROR(INDEX(LevelBasic,MATCH($H674,LevelList,0))+INDEX(LevelHousing,MATCH($H674,LevelList,0))+INDEX(LevelTransport,MATCH($H674,LevelList,0))+INDEX(LevelBasic,MATCH($H674,LevelList,0))*INDEX(LevelBonus,MATCH($H674,LevelList,0))+(INDEX(LevelBasic,MATCH($H674,LevelList,0))+INDEX(LevelHousing,MATCH($H674,LevelList,0)))*GosiSaudi,0))</f>
        <v>0</v>
      </c>
      <c r="W674" s="35" t="n">
        <f aca="false">IFERROR(INDEX(LevelOneOff,MATCH($H674,LevelList,0)),0)</f>
        <v>0</v>
      </c>
      <c r="X674" s="35" t="str">
        <f aca="false">IF($G674="","",$V674*N($L674))</f>
        <v/>
      </c>
      <c r="Y674" s="35" t="str">
        <f aca="false">IF($G674="","",$V674*(N($M674)*1+N($N674)*0.75+N($O674)*0.5+N($P674)*0.25)+$W674*N($L674))</f>
        <v/>
      </c>
      <c r="Z674" s="35" t="str">
        <f aca="false">IF($G674="","",$U674*1000000+ROW())</f>
        <v/>
      </c>
      <c r="AA674" s="36" t="str">
        <f aca="false">IF($G674="","",MID(IF($C674="",", no division","")&amp;IF($E674="",", no unit","")&amp;IF($H674="",", no career level","")&amp;IF(N($L674)&lt;=0,", no quarter split","")&amp;IF($R674="",", no driver","")&amp;IF(AND($H674&lt;&gt;"",COUNTIF(CareerLevels,$H674)=0),", a career level that is not on the ladder","")&amp;IF(AND($R674&lt;&gt;"",COUNTIF(DriverList,$R674)=0),", a driver that is not on the list","")&amp;IF(ABS(N($L674)-(N($M674)+N($N674)+N($O674)+N($P674)))&gt;0.001,", a total that does not match its quarters",""),3,300))</f>
        <v/>
      </c>
    </row>
    <row r="675" customFormat="false" ht="15" hidden="false" customHeight="false" outlineLevel="0" collapsed="false">
      <c r="A675" s="33" t="str">
        <f aca="false">IF($G675="","","Finance Group")</f>
        <v/>
      </c>
      <c r="B675" s="19"/>
      <c r="C675" s="19"/>
      <c r="D675" s="19"/>
      <c r="E675" s="19"/>
      <c r="F675" s="19"/>
      <c r="G675" s="19"/>
      <c r="H675" s="19"/>
      <c r="I675" s="19"/>
      <c r="J675" s="19"/>
      <c r="K675" s="19"/>
      <c r="L675" s="19"/>
      <c r="M675" s="19"/>
      <c r="N675" s="19"/>
      <c r="O675" s="19"/>
      <c r="P675" s="19"/>
      <c r="Q675" s="19"/>
      <c r="R675" s="19"/>
      <c r="S675" s="19"/>
      <c r="T675" s="34" t="str">
        <f aca="false">IF($R675="","",IFERROR(INDEX(DriverCategory,MATCH($R675,DriverList,0)),"BAU"))</f>
        <v/>
      </c>
      <c r="U675" s="34" t="str">
        <f aca="false">IF($R675="","",IFERROR(INDEX(DriverRank,MATCH($R675,DriverList,0)),99))</f>
        <v/>
      </c>
      <c r="V675" s="35" t="n">
        <f aca="false">IF($H675="",0,IFERROR(INDEX(LevelBasic,MATCH($H675,LevelList,0))+INDEX(LevelHousing,MATCH($H675,LevelList,0))+INDEX(LevelTransport,MATCH($H675,LevelList,0))+INDEX(LevelBasic,MATCH($H675,LevelList,0))*INDEX(LevelBonus,MATCH($H675,LevelList,0))+(INDEX(LevelBasic,MATCH($H675,LevelList,0))+INDEX(LevelHousing,MATCH($H675,LevelList,0)))*GosiSaudi,0))</f>
        <v>0</v>
      </c>
      <c r="W675" s="35" t="n">
        <f aca="false">IFERROR(INDEX(LevelOneOff,MATCH($H675,LevelList,0)),0)</f>
        <v>0</v>
      </c>
      <c r="X675" s="35" t="str">
        <f aca="false">IF($G675="","",$V675*N($L675))</f>
        <v/>
      </c>
      <c r="Y675" s="35" t="str">
        <f aca="false">IF($G675="","",$V675*(N($M675)*1+N($N675)*0.75+N($O675)*0.5+N($P675)*0.25)+$W675*N($L675))</f>
        <v/>
      </c>
      <c r="Z675" s="35" t="str">
        <f aca="false">IF($G675="","",$U675*1000000+ROW())</f>
        <v/>
      </c>
      <c r="AA675" s="36" t="str">
        <f aca="false">IF($G675="","",MID(IF($C675="",", no division","")&amp;IF($E675="",", no unit","")&amp;IF($H675="",", no career level","")&amp;IF(N($L675)&lt;=0,", no quarter split","")&amp;IF($R675="",", no driver","")&amp;IF(AND($H675&lt;&gt;"",COUNTIF(CareerLevels,$H675)=0),", a career level that is not on the ladder","")&amp;IF(AND($R675&lt;&gt;"",COUNTIF(DriverList,$R675)=0),", a driver that is not on the list","")&amp;IF(ABS(N($L675)-(N($M675)+N($N675)+N($O675)+N($P675)))&gt;0.001,", a total that does not match its quarters",""),3,300))</f>
        <v/>
      </c>
    </row>
    <row r="676" customFormat="false" ht="15" hidden="false" customHeight="false" outlineLevel="0" collapsed="false">
      <c r="A676" s="33" t="str">
        <f aca="false">IF($G676="","","Finance Group")</f>
        <v/>
      </c>
      <c r="B676" s="19"/>
      <c r="C676" s="19"/>
      <c r="D676" s="19"/>
      <c r="E676" s="19"/>
      <c r="F676" s="19"/>
      <c r="G676" s="19"/>
      <c r="H676" s="19"/>
      <c r="I676" s="19"/>
      <c r="J676" s="19"/>
      <c r="K676" s="19"/>
      <c r="L676" s="19"/>
      <c r="M676" s="19"/>
      <c r="N676" s="19"/>
      <c r="O676" s="19"/>
      <c r="P676" s="19"/>
      <c r="Q676" s="19"/>
      <c r="R676" s="19"/>
      <c r="S676" s="19"/>
      <c r="T676" s="34" t="str">
        <f aca="false">IF($R676="","",IFERROR(INDEX(DriverCategory,MATCH($R676,DriverList,0)),"BAU"))</f>
        <v/>
      </c>
      <c r="U676" s="34" t="str">
        <f aca="false">IF($R676="","",IFERROR(INDEX(DriverRank,MATCH($R676,DriverList,0)),99))</f>
        <v/>
      </c>
      <c r="V676" s="35" t="n">
        <f aca="false">IF($H676="",0,IFERROR(INDEX(LevelBasic,MATCH($H676,LevelList,0))+INDEX(LevelHousing,MATCH($H676,LevelList,0))+INDEX(LevelTransport,MATCH($H676,LevelList,0))+INDEX(LevelBasic,MATCH($H676,LevelList,0))*INDEX(LevelBonus,MATCH($H676,LevelList,0))+(INDEX(LevelBasic,MATCH($H676,LevelList,0))+INDEX(LevelHousing,MATCH($H676,LevelList,0)))*GosiSaudi,0))</f>
        <v>0</v>
      </c>
      <c r="W676" s="35" t="n">
        <f aca="false">IFERROR(INDEX(LevelOneOff,MATCH($H676,LevelList,0)),0)</f>
        <v>0</v>
      </c>
      <c r="X676" s="35" t="str">
        <f aca="false">IF($G676="","",$V676*N($L676))</f>
        <v/>
      </c>
      <c r="Y676" s="35" t="str">
        <f aca="false">IF($G676="","",$V676*(N($M676)*1+N($N676)*0.75+N($O676)*0.5+N($P676)*0.25)+$W676*N($L676))</f>
        <v/>
      </c>
      <c r="Z676" s="35" t="str">
        <f aca="false">IF($G676="","",$U676*1000000+ROW())</f>
        <v/>
      </c>
      <c r="AA676" s="36" t="str">
        <f aca="false">IF($G676="","",MID(IF($C676="",", no division","")&amp;IF($E676="",", no unit","")&amp;IF($H676="",", no career level","")&amp;IF(N($L676)&lt;=0,", no quarter split","")&amp;IF($R676="",", no driver","")&amp;IF(AND($H676&lt;&gt;"",COUNTIF(CareerLevels,$H676)=0),", a career level that is not on the ladder","")&amp;IF(AND($R676&lt;&gt;"",COUNTIF(DriverList,$R676)=0),", a driver that is not on the list","")&amp;IF(ABS(N($L676)-(N($M676)+N($N676)+N($O676)+N($P676)))&gt;0.001,", a total that does not match its quarters",""),3,300))</f>
        <v/>
      </c>
    </row>
    <row r="677" customFormat="false" ht="15" hidden="false" customHeight="false" outlineLevel="0" collapsed="false">
      <c r="A677" s="33" t="str">
        <f aca="false">IF($G677="","","Finance Group")</f>
        <v/>
      </c>
      <c r="B677" s="19"/>
      <c r="C677" s="19"/>
      <c r="D677" s="19"/>
      <c r="E677" s="19"/>
      <c r="F677" s="19"/>
      <c r="G677" s="19"/>
      <c r="H677" s="19"/>
      <c r="I677" s="19"/>
      <c r="J677" s="19"/>
      <c r="K677" s="19"/>
      <c r="L677" s="19"/>
      <c r="M677" s="19"/>
      <c r="N677" s="19"/>
      <c r="O677" s="19"/>
      <c r="P677" s="19"/>
      <c r="Q677" s="19"/>
      <c r="R677" s="19"/>
      <c r="S677" s="19"/>
      <c r="T677" s="34" t="str">
        <f aca="false">IF($R677="","",IFERROR(INDEX(DriverCategory,MATCH($R677,DriverList,0)),"BAU"))</f>
        <v/>
      </c>
      <c r="U677" s="34" t="str">
        <f aca="false">IF($R677="","",IFERROR(INDEX(DriverRank,MATCH($R677,DriverList,0)),99))</f>
        <v/>
      </c>
      <c r="V677" s="35" t="n">
        <f aca="false">IF($H677="",0,IFERROR(INDEX(LevelBasic,MATCH($H677,LevelList,0))+INDEX(LevelHousing,MATCH($H677,LevelList,0))+INDEX(LevelTransport,MATCH($H677,LevelList,0))+INDEX(LevelBasic,MATCH($H677,LevelList,0))*INDEX(LevelBonus,MATCH($H677,LevelList,0))+(INDEX(LevelBasic,MATCH($H677,LevelList,0))+INDEX(LevelHousing,MATCH($H677,LevelList,0)))*GosiSaudi,0))</f>
        <v>0</v>
      </c>
      <c r="W677" s="35" t="n">
        <f aca="false">IFERROR(INDEX(LevelOneOff,MATCH($H677,LevelList,0)),0)</f>
        <v>0</v>
      </c>
      <c r="X677" s="35" t="str">
        <f aca="false">IF($G677="","",$V677*N($L677))</f>
        <v/>
      </c>
      <c r="Y677" s="35" t="str">
        <f aca="false">IF($G677="","",$V677*(N($M677)*1+N($N677)*0.75+N($O677)*0.5+N($P677)*0.25)+$W677*N($L677))</f>
        <v/>
      </c>
      <c r="Z677" s="35" t="str">
        <f aca="false">IF($G677="","",$U677*1000000+ROW())</f>
        <v/>
      </c>
      <c r="AA677" s="36" t="str">
        <f aca="false">IF($G677="","",MID(IF($C677="",", no division","")&amp;IF($E677="",", no unit","")&amp;IF($H677="",", no career level","")&amp;IF(N($L677)&lt;=0,", no quarter split","")&amp;IF($R677="",", no driver","")&amp;IF(AND($H677&lt;&gt;"",COUNTIF(CareerLevels,$H677)=0),", a career level that is not on the ladder","")&amp;IF(AND($R677&lt;&gt;"",COUNTIF(DriverList,$R677)=0),", a driver that is not on the list","")&amp;IF(ABS(N($L677)-(N($M677)+N($N677)+N($O677)+N($P677)))&gt;0.001,", a total that does not match its quarters",""),3,300))</f>
        <v/>
      </c>
    </row>
    <row r="678" customFormat="false" ht="15" hidden="false" customHeight="false" outlineLevel="0" collapsed="false">
      <c r="A678" s="33" t="str">
        <f aca="false">IF($G678="","","Finance Group")</f>
        <v/>
      </c>
      <c r="B678" s="19"/>
      <c r="C678" s="19"/>
      <c r="D678" s="19"/>
      <c r="E678" s="19"/>
      <c r="F678" s="19"/>
      <c r="G678" s="19"/>
      <c r="H678" s="19"/>
      <c r="I678" s="19"/>
      <c r="J678" s="19"/>
      <c r="K678" s="19"/>
      <c r="L678" s="19"/>
      <c r="M678" s="19"/>
      <c r="N678" s="19"/>
      <c r="O678" s="19"/>
      <c r="P678" s="19"/>
      <c r="Q678" s="19"/>
      <c r="R678" s="19"/>
      <c r="S678" s="19"/>
      <c r="T678" s="34" t="str">
        <f aca="false">IF($R678="","",IFERROR(INDEX(DriverCategory,MATCH($R678,DriverList,0)),"BAU"))</f>
        <v/>
      </c>
      <c r="U678" s="34" t="str">
        <f aca="false">IF($R678="","",IFERROR(INDEX(DriverRank,MATCH($R678,DriverList,0)),99))</f>
        <v/>
      </c>
      <c r="V678" s="35" t="n">
        <f aca="false">IF($H678="",0,IFERROR(INDEX(LevelBasic,MATCH($H678,LevelList,0))+INDEX(LevelHousing,MATCH($H678,LevelList,0))+INDEX(LevelTransport,MATCH($H678,LevelList,0))+INDEX(LevelBasic,MATCH($H678,LevelList,0))*INDEX(LevelBonus,MATCH($H678,LevelList,0))+(INDEX(LevelBasic,MATCH($H678,LevelList,0))+INDEX(LevelHousing,MATCH($H678,LevelList,0)))*GosiSaudi,0))</f>
        <v>0</v>
      </c>
      <c r="W678" s="35" t="n">
        <f aca="false">IFERROR(INDEX(LevelOneOff,MATCH($H678,LevelList,0)),0)</f>
        <v>0</v>
      </c>
      <c r="X678" s="35" t="str">
        <f aca="false">IF($G678="","",$V678*N($L678))</f>
        <v/>
      </c>
      <c r="Y678" s="35" t="str">
        <f aca="false">IF($G678="","",$V678*(N($M678)*1+N($N678)*0.75+N($O678)*0.5+N($P678)*0.25)+$W678*N($L678))</f>
        <v/>
      </c>
      <c r="Z678" s="35" t="str">
        <f aca="false">IF($G678="","",$U678*1000000+ROW())</f>
        <v/>
      </c>
      <c r="AA678" s="36" t="str">
        <f aca="false">IF($G678="","",MID(IF($C678="",", no division","")&amp;IF($E678="",", no unit","")&amp;IF($H678="",", no career level","")&amp;IF(N($L678)&lt;=0,", no quarter split","")&amp;IF($R678="",", no driver","")&amp;IF(AND($H678&lt;&gt;"",COUNTIF(CareerLevels,$H678)=0),", a career level that is not on the ladder","")&amp;IF(AND($R678&lt;&gt;"",COUNTIF(DriverList,$R678)=0),", a driver that is not on the list","")&amp;IF(ABS(N($L678)-(N($M678)+N($N678)+N($O678)+N($P678)))&gt;0.001,", a total that does not match its quarters",""),3,300))</f>
        <v/>
      </c>
    </row>
    <row r="679" customFormat="false" ht="15" hidden="false" customHeight="false" outlineLevel="0" collapsed="false">
      <c r="A679" s="33" t="str">
        <f aca="false">IF($G679="","","Finance Group")</f>
        <v/>
      </c>
      <c r="B679" s="19"/>
      <c r="C679" s="19"/>
      <c r="D679" s="19"/>
      <c r="E679" s="19"/>
      <c r="F679" s="19"/>
      <c r="G679" s="19"/>
      <c r="H679" s="19"/>
      <c r="I679" s="19"/>
      <c r="J679" s="19"/>
      <c r="K679" s="19"/>
      <c r="L679" s="19"/>
      <c r="M679" s="19"/>
      <c r="N679" s="19"/>
      <c r="O679" s="19"/>
      <c r="P679" s="19"/>
      <c r="Q679" s="19"/>
      <c r="R679" s="19"/>
      <c r="S679" s="19"/>
      <c r="T679" s="34" t="str">
        <f aca="false">IF($R679="","",IFERROR(INDEX(DriverCategory,MATCH($R679,DriverList,0)),"BAU"))</f>
        <v/>
      </c>
      <c r="U679" s="34" t="str">
        <f aca="false">IF($R679="","",IFERROR(INDEX(DriverRank,MATCH($R679,DriverList,0)),99))</f>
        <v/>
      </c>
      <c r="V679" s="35" t="n">
        <f aca="false">IF($H679="",0,IFERROR(INDEX(LevelBasic,MATCH($H679,LevelList,0))+INDEX(LevelHousing,MATCH($H679,LevelList,0))+INDEX(LevelTransport,MATCH($H679,LevelList,0))+INDEX(LevelBasic,MATCH($H679,LevelList,0))*INDEX(LevelBonus,MATCH($H679,LevelList,0))+(INDEX(LevelBasic,MATCH($H679,LevelList,0))+INDEX(LevelHousing,MATCH($H679,LevelList,0)))*GosiSaudi,0))</f>
        <v>0</v>
      </c>
      <c r="W679" s="35" t="n">
        <f aca="false">IFERROR(INDEX(LevelOneOff,MATCH($H679,LevelList,0)),0)</f>
        <v>0</v>
      </c>
      <c r="X679" s="35" t="str">
        <f aca="false">IF($G679="","",$V679*N($L679))</f>
        <v/>
      </c>
      <c r="Y679" s="35" t="str">
        <f aca="false">IF($G679="","",$V679*(N($M679)*1+N($N679)*0.75+N($O679)*0.5+N($P679)*0.25)+$W679*N($L679))</f>
        <v/>
      </c>
      <c r="Z679" s="35" t="str">
        <f aca="false">IF($G679="","",$U679*1000000+ROW())</f>
        <v/>
      </c>
      <c r="AA679" s="36" t="str">
        <f aca="false">IF($G679="","",MID(IF($C679="",", no division","")&amp;IF($E679="",", no unit","")&amp;IF($H679="",", no career level","")&amp;IF(N($L679)&lt;=0,", no quarter split","")&amp;IF($R679="",", no driver","")&amp;IF(AND($H679&lt;&gt;"",COUNTIF(CareerLevels,$H679)=0),", a career level that is not on the ladder","")&amp;IF(AND($R679&lt;&gt;"",COUNTIF(DriverList,$R679)=0),", a driver that is not on the list","")&amp;IF(ABS(N($L679)-(N($M679)+N($N679)+N($O679)+N($P679)))&gt;0.001,", a total that does not match its quarters",""),3,300))</f>
        <v/>
      </c>
    </row>
    <row r="680" customFormat="false" ht="15" hidden="false" customHeight="false" outlineLevel="0" collapsed="false">
      <c r="A680" s="33" t="str">
        <f aca="false">IF($G680="","","Finance Group")</f>
        <v/>
      </c>
      <c r="B680" s="19"/>
      <c r="C680" s="19"/>
      <c r="D680" s="19"/>
      <c r="E680" s="19"/>
      <c r="F680" s="19"/>
      <c r="G680" s="19"/>
      <c r="H680" s="19"/>
      <c r="I680" s="19"/>
      <c r="J680" s="19"/>
      <c r="K680" s="19"/>
      <c r="L680" s="19"/>
      <c r="M680" s="19"/>
      <c r="N680" s="19"/>
      <c r="O680" s="19"/>
      <c r="P680" s="19"/>
      <c r="Q680" s="19"/>
      <c r="R680" s="19"/>
      <c r="S680" s="19"/>
      <c r="T680" s="34" t="str">
        <f aca="false">IF($R680="","",IFERROR(INDEX(DriverCategory,MATCH($R680,DriverList,0)),"BAU"))</f>
        <v/>
      </c>
      <c r="U680" s="34" t="str">
        <f aca="false">IF($R680="","",IFERROR(INDEX(DriverRank,MATCH($R680,DriverList,0)),99))</f>
        <v/>
      </c>
      <c r="V680" s="35" t="n">
        <f aca="false">IF($H680="",0,IFERROR(INDEX(LevelBasic,MATCH($H680,LevelList,0))+INDEX(LevelHousing,MATCH($H680,LevelList,0))+INDEX(LevelTransport,MATCH($H680,LevelList,0))+INDEX(LevelBasic,MATCH($H680,LevelList,0))*INDEX(LevelBonus,MATCH($H680,LevelList,0))+(INDEX(LevelBasic,MATCH($H680,LevelList,0))+INDEX(LevelHousing,MATCH($H680,LevelList,0)))*GosiSaudi,0))</f>
        <v>0</v>
      </c>
      <c r="W680" s="35" t="n">
        <f aca="false">IFERROR(INDEX(LevelOneOff,MATCH($H680,LevelList,0)),0)</f>
        <v>0</v>
      </c>
      <c r="X680" s="35" t="str">
        <f aca="false">IF($G680="","",$V680*N($L680))</f>
        <v/>
      </c>
      <c r="Y680" s="35" t="str">
        <f aca="false">IF($G680="","",$V680*(N($M680)*1+N($N680)*0.75+N($O680)*0.5+N($P680)*0.25)+$W680*N($L680))</f>
        <v/>
      </c>
      <c r="Z680" s="35" t="str">
        <f aca="false">IF($G680="","",$U680*1000000+ROW())</f>
        <v/>
      </c>
      <c r="AA680" s="36" t="str">
        <f aca="false">IF($G680="","",MID(IF($C680="",", no division","")&amp;IF($E680="",", no unit","")&amp;IF($H680="",", no career level","")&amp;IF(N($L680)&lt;=0,", no quarter split","")&amp;IF($R680="",", no driver","")&amp;IF(AND($H680&lt;&gt;"",COUNTIF(CareerLevels,$H680)=0),", a career level that is not on the ladder","")&amp;IF(AND($R680&lt;&gt;"",COUNTIF(DriverList,$R680)=0),", a driver that is not on the list","")&amp;IF(ABS(N($L680)-(N($M680)+N($N680)+N($O680)+N($P680)))&gt;0.001,", a total that does not match its quarters",""),3,300))</f>
        <v/>
      </c>
    </row>
    <row r="681" customFormat="false" ht="15" hidden="false" customHeight="false" outlineLevel="0" collapsed="false">
      <c r="A681" s="33" t="str">
        <f aca="false">IF($G681="","","Finance Group")</f>
        <v/>
      </c>
      <c r="B681" s="19"/>
      <c r="C681" s="19"/>
      <c r="D681" s="19"/>
      <c r="E681" s="19"/>
      <c r="F681" s="19"/>
      <c r="G681" s="19"/>
      <c r="H681" s="19"/>
      <c r="I681" s="19"/>
      <c r="J681" s="19"/>
      <c r="K681" s="19"/>
      <c r="L681" s="19"/>
      <c r="M681" s="19"/>
      <c r="N681" s="19"/>
      <c r="O681" s="19"/>
      <c r="P681" s="19"/>
      <c r="Q681" s="19"/>
      <c r="R681" s="19"/>
      <c r="S681" s="19"/>
      <c r="T681" s="34" t="str">
        <f aca="false">IF($R681="","",IFERROR(INDEX(DriverCategory,MATCH($R681,DriverList,0)),"BAU"))</f>
        <v/>
      </c>
      <c r="U681" s="34" t="str">
        <f aca="false">IF($R681="","",IFERROR(INDEX(DriverRank,MATCH($R681,DriverList,0)),99))</f>
        <v/>
      </c>
      <c r="V681" s="35" t="n">
        <f aca="false">IF($H681="",0,IFERROR(INDEX(LevelBasic,MATCH($H681,LevelList,0))+INDEX(LevelHousing,MATCH($H681,LevelList,0))+INDEX(LevelTransport,MATCH($H681,LevelList,0))+INDEX(LevelBasic,MATCH($H681,LevelList,0))*INDEX(LevelBonus,MATCH($H681,LevelList,0))+(INDEX(LevelBasic,MATCH($H681,LevelList,0))+INDEX(LevelHousing,MATCH($H681,LevelList,0)))*GosiSaudi,0))</f>
        <v>0</v>
      </c>
      <c r="W681" s="35" t="n">
        <f aca="false">IFERROR(INDEX(LevelOneOff,MATCH($H681,LevelList,0)),0)</f>
        <v>0</v>
      </c>
      <c r="X681" s="35" t="str">
        <f aca="false">IF($G681="","",$V681*N($L681))</f>
        <v/>
      </c>
      <c r="Y681" s="35" t="str">
        <f aca="false">IF($G681="","",$V681*(N($M681)*1+N($N681)*0.75+N($O681)*0.5+N($P681)*0.25)+$W681*N($L681))</f>
        <v/>
      </c>
      <c r="Z681" s="35" t="str">
        <f aca="false">IF($G681="","",$U681*1000000+ROW())</f>
        <v/>
      </c>
      <c r="AA681" s="36" t="str">
        <f aca="false">IF($G681="","",MID(IF($C681="",", no division","")&amp;IF($E681="",", no unit","")&amp;IF($H681="",", no career level","")&amp;IF(N($L681)&lt;=0,", no quarter split","")&amp;IF($R681="",", no driver","")&amp;IF(AND($H681&lt;&gt;"",COUNTIF(CareerLevels,$H681)=0),", a career level that is not on the ladder","")&amp;IF(AND($R681&lt;&gt;"",COUNTIF(DriverList,$R681)=0),", a driver that is not on the list","")&amp;IF(ABS(N($L681)-(N($M681)+N($N681)+N($O681)+N($P681)))&gt;0.001,", a total that does not match its quarters",""),3,300))</f>
        <v/>
      </c>
    </row>
    <row r="682" customFormat="false" ht="15" hidden="false" customHeight="false" outlineLevel="0" collapsed="false">
      <c r="A682" s="33" t="str">
        <f aca="false">IF($G682="","","Finance Group")</f>
        <v/>
      </c>
      <c r="B682" s="19"/>
      <c r="C682" s="19"/>
      <c r="D682" s="19"/>
      <c r="E682" s="19"/>
      <c r="F682" s="19"/>
      <c r="G682" s="19"/>
      <c r="H682" s="19"/>
      <c r="I682" s="19"/>
      <c r="J682" s="19"/>
      <c r="K682" s="19"/>
      <c r="L682" s="19"/>
      <c r="M682" s="19"/>
      <c r="N682" s="19"/>
      <c r="O682" s="19"/>
      <c r="P682" s="19"/>
      <c r="Q682" s="19"/>
      <c r="R682" s="19"/>
      <c r="S682" s="19"/>
      <c r="T682" s="34" t="str">
        <f aca="false">IF($R682="","",IFERROR(INDEX(DriverCategory,MATCH($R682,DriverList,0)),"BAU"))</f>
        <v/>
      </c>
      <c r="U682" s="34" t="str">
        <f aca="false">IF($R682="","",IFERROR(INDEX(DriverRank,MATCH($R682,DriverList,0)),99))</f>
        <v/>
      </c>
      <c r="V682" s="35" t="n">
        <f aca="false">IF($H682="",0,IFERROR(INDEX(LevelBasic,MATCH($H682,LevelList,0))+INDEX(LevelHousing,MATCH($H682,LevelList,0))+INDEX(LevelTransport,MATCH($H682,LevelList,0))+INDEX(LevelBasic,MATCH($H682,LevelList,0))*INDEX(LevelBonus,MATCH($H682,LevelList,0))+(INDEX(LevelBasic,MATCH($H682,LevelList,0))+INDEX(LevelHousing,MATCH($H682,LevelList,0)))*GosiSaudi,0))</f>
        <v>0</v>
      </c>
      <c r="W682" s="35" t="n">
        <f aca="false">IFERROR(INDEX(LevelOneOff,MATCH($H682,LevelList,0)),0)</f>
        <v>0</v>
      </c>
      <c r="X682" s="35" t="str">
        <f aca="false">IF($G682="","",$V682*N($L682))</f>
        <v/>
      </c>
      <c r="Y682" s="35" t="str">
        <f aca="false">IF($G682="","",$V682*(N($M682)*1+N($N682)*0.75+N($O682)*0.5+N($P682)*0.25)+$W682*N($L682))</f>
        <v/>
      </c>
      <c r="Z682" s="35" t="str">
        <f aca="false">IF($G682="","",$U682*1000000+ROW())</f>
        <v/>
      </c>
      <c r="AA682" s="36" t="str">
        <f aca="false">IF($G682="","",MID(IF($C682="",", no division","")&amp;IF($E682="",", no unit","")&amp;IF($H682="",", no career level","")&amp;IF(N($L682)&lt;=0,", no quarter split","")&amp;IF($R682="",", no driver","")&amp;IF(AND($H682&lt;&gt;"",COUNTIF(CareerLevels,$H682)=0),", a career level that is not on the ladder","")&amp;IF(AND($R682&lt;&gt;"",COUNTIF(DriverList,$R682)=0),", a driver that is not on the list","")&amp;IF(ABS(N($L682)-(N($M682)+N($N682)+N($O682)+N($P682)))&gt;0.001,", a total that does not match its quarters",""),3,300))</f>
        <v/>
      </c>
    </row>
    <row r="683" customFormat="false" ht="15" hidden="false" customHeight="false" outlineLevel="0" collapsed="false">
      <c r="A683" s="33" t="str">
        <f aca="false">IF($G683="","","Finance Group")</f>
        <v/>
      </c>
      <c r="B683" s="19"/>
      <c r="C683" s="19"/>
      <c r="D683" s="19"/>
      <c r="E683" s="19"/>
      <c r="F683" s="19"/>
      <c r="G683" s="19"/>
      <c r="H683" s="19"/>
      <c r="I683" s="19"/>
      <c r="J683" s="19"/>
      <c r="K683" s="19"/>
      <c r="L683" s="19"/>
      <c r="M683" s="19"/>
      <c r="N683" s="19"/>
      <c r="O683" s="19"/>
      <c r="P683" s="19"/>
      <c r="Q683" s="19"/>
      <c r="R683" s="19"/>
      <c r="S683" s="19"/>
      <c r="T683" s="34" t="str">
        <f aca="false">IF($R683="","",IFERROR(INDEX(DriverCategory,MATCH($R683,DriverList,0)),"BAU"))</f>
        <v/>
      </c>
      <c r="U683" s="34" t="str">
        <f aca="false">IF($R683="","",IFERROR(INDEX(DriverRank,MATCH($R683,DriverList,0)),99))</f>
        <v/>
      </c>
      <c r="V683" s="35" t="n">
        <f aca="false">IF($H683="",0,IFERROR(INDEX(LevelBasic,MATCH($H683,LevelList,0))+INDEX(LevelHousing,MATCH($H683,LevelList,0))+INDEX(LevelTransport,MATCH($H683,LevelList,0))+INDEX(LevelBasic,MATCH($H683,LevelList,0))*INDEX(LevelBonus,MATCH($H683,LevelList,0))+(INDEX(LevelBasic,MATCH($H683,LevelList,0))+INDEX(LevelHousing,MATCH($H683,LevelList,0)))*GosiSaudi,0))</f>
        <v>0</v>
      </c>
      <c r="W683" s="35" t="n">
        <f aca="false">IFERROR(INDEX(LevelOneOff,MATCH($H683,LevelList,0)),0)</f>
        <v>0</v>
      </c>
      <c r="X683" s="35" t="str">
        <f aca="false">IF($G683="","",$V683*N($L683))</f>
        <v/>
      </c>
      <c r="Y683" s="35" t="str">
        <f aca="false">IF($G683="","",$V683*(N($M683)*1+N($N683)*0.75+N($O683)*0.5+N($P683)*0.25)+$W683*N($L683))</f>
        <v/>
      </c>
      <c r="Z683" s="35" t="str">
        <f aca="false">IF($G683="","",$U683*1000000+ROW())</f>
        <v/>
      </c>
      <c r="AA683" s="36" t="str">
        <f aca="false">IF($G683="","",MID(IF($C683="",", no division","")&amp;IF($E683="",", no unit","")&amp;IF($H683="",", no career level","")&amp;IF(N($L683)&lt;=0,", no quarter split","")&amp;IF($R683="",", no driver","")&amp;IF(AND($H683&lt;&gt;"",COUNTIF(CareerLevels,$H683)=0),", a career level that is not on the ladder","")&amp;IF(AND($R683&lt;&gt;"",COUNTIF(DriverList,$R683)=0),", a driver that is not on the list","")&amp;IF(ABS(N($L683)-(N($M683)+N($N683)+N($O683)+N($P683)))&gt;0.001,", a total that does not match its quarters",""),3,300))</f>
        <v/>
      </c>
    </row>
    <row r="684" customFormat="false" ht="15" hidden="false" customHeight="false" outlineLevel="0" collapsed="false">
      <c r="A684" s="33" t="str">
        <f aca="false">IF($G684="","","Finance Group")</f>
        <v/>
      </c>
      <c r="B684" s="19"/>
      <c r="C684" s="19"/>
      <c r="D684" s="19"/>
      <c r="E684" s="19"/>
      <c r="F684" s="19"/>
      <c r="G684" s="19"/>
      <c r="H684" s="19"/>
      <c r="I684" s="19"/>
      <c r="J684" s="19"/>
      <c r="K684" s="19"/>
      <c r="L684" s="19"/>
      <c r="M684" s="19"/>
      <c r="N684" s="19"/>
      <c r="O684" s="19"/>
      <c r="P684" s="19"/>
      <c r="Q684" s="19"/>
      <c r="R684" s="19"/>
      <c r="S684" s="19"/>
      <c r="T684" s="34" t="str">
        <f aca="false">IF($R684="","",IFERROR(INDEX(DriverCategory,MATCH($R684,DriverList,0)),"BAU"))</f>
        <v/>
      </c>
      <c r="U684" s="34" t="str">
        <f aca="false">IF($R684="","",IFERROR(INDEX(DriverRank,MATCH($R684,DriverList,0)),99))</f>
        <v/>
      </c>
      <c r="V684" s="35" t="n">
        <f aca="false">IF($H684="",0,IFERROR(INDEX(LevelBasic,MATCH($H684,LevelList,0))+INDEX(LevelHousing,MATCH($H684,LevelList,0))+INDEX(LevelTransport,MATCH($H684,LevelList,0))+INDEX(LevelBasic,MATCH($H684,LevelList,0))*INDEX(LevelBonus,MATCH($H684,LevelList,0))+(INDEX(LevelBasic,MATCH($H684,LevelList,0))+INDEX(LevelHousing,MATCH($H684,LevelList,0)))*GosiSaudi,0))</f>
        <v>0</v>
      </c>
      <c r="W684" s="35" t="n">
        <f aca="false">IFERROR(INDEX(LevelOneOff,MATCH($H684,LevelList,0)),0)</f>
        <v>0</v>
      </c>
      <c r="X684" s="35" t="str">
        <f aca="false">IF($G684="","",$V684*N($L684))</f>
        <v/>
      </c>
      <c r="Y684" s="35" t="str">
        <f aca="false">IF($G684="","",$V684*(N($M684)*1+N($N684)*0.75+N($O684)*0.5+N($P684)*0.25)+$W684*N($L684))</f>
        <v/>
      </c>
      <c r="Z684" s="35" t="str">
        <f aca="false">IF($G684="","",$U684*1000000+ROW())</f>
        <v/>
      </c>
      <c r="AA684" s="36" t="str">
        <f aca="false">IF($G684="","",MID(IF($C684="",", no division","")&amp;IF($E684="",", no unit","")&amp;IF($H684="",", no career level","")&amp;IF(N($L684)&lt;=0,", no quarter split","")&amp;IF($R684="",", no driver","")&amp;IF(AND($H684&lt;&gt;"",COUNTIF(CareerLevels,$H684)=0),", a career level that is not on the ladder","")&amp;IF(AND($R684&lt;&gt;"",COUNTIF(DriverList,$R684)=0),", a driver that is not on the list","")&amp;IF(ABS(N($L684)-(N($M684)+N($N684)+N($O684)+N($P684)))&gt;0.001,", a total that does not match its quarters",""),3,300))</f>
        <v/>
      </c>
    </row>
    <row r="685" customFormat="false" ht="15" hidden="false" customHeight="false" outlineLevel="0" collapsed="false">
      <c r="A685" s="33" t="str">
        <f aca="false">IF($G685="","","Finance Group")</f>
        <v/>
      </c>
      <c r="B685" s="19"/>
      <c r="C685" s="19"/>
      <c r="D685" s="19"/>
      <c r="E685" s="19"/>
      <c r="F685" s="19"/>
      <c r="G685" s="19"/>
      <c r="H685" s="19"/>
      <c r="I685" s="19"/>
      <c r="J685" s="19"/>
      <c r="K685" s="19"/>
      <c r="L685" s="19"/>
      <c r="M685" s="19"/>
      <c r="N685" s="19"/>
      <c r="O685" s="19"/>
      <c r="P685" s="19"/>
      <c r="Q685" s="19"/>
      <c r="R685" s="19"/>
      <c r="S685" s="19"/>
      <c r="T685" s="34" t="str">
        <f aca="false">IF($R685="","",IFERROR(INDEX(DriverCategory,MATCH($R685,DriverList,0)),"BAU"))</f>
        <v/>
      </c>
      <c r="U685" s="34" t="str">
        <f aca="false">IF($R685="","",IFERROR(INDEX(DriverRank,MATCH($R685,DriverList,0)),99))</f>
        <v/>
      </c>
      <c r="V685" s="35" t="n">
        <f aca="false">IF($H685="",0,IFERROR(INDEX(LevelBasic,MATCH($H685,LevelList,0))+INDEX(LevelHousing,MATCH($H685,LevelList,0))+INDEX(LevelTransport,MATCH($H685,LevelList,0))+INDEX(LevelBasic,MATCH($H685,LevelList,0))*INDEX(LevelBonus,MATCH($H685,LevelList,0))+(INDEX(LevelBasic,MATCH($H685,LevelList,0))+INDEX(LevelHousing,MATCH($H685,LevelList,0)))*GosiSaudi,0))</f>
        <v>0</v>
      </c>
      <c r="W685" s="35" t="n">
        <f aca="false">IFERROR(INDEX(LevelOneOff,MATCH($H685,LevelList,0)),0)</f>
        <v>0</v>
      </c>
      <c r="X685" s="35" t="str">
        <f aca="false">IF($G685="","",$V685*N($L685))</f>
        <v/>
      </c>
      <c r="Y685" s="35" t="str">
        <f aca="false">IF($G685="","",$V685*(N($M685)*1+N($N685)*0.75+N($O685)*0.5+N($P685)*0.25)+$W685*N($L685))</f>
        <v/>
      </c>
      <c r="Z685" s="35" t="str">
        <f aca="false">IF($G685="","",$U685*1000000+ROW())</f>
        <v/>
      </c>
      <c r="AA685" s="36" t="str">
        <f aca="false">IF($G685="","",MID(IF($C685="",", no division","")&amp;IF($E685="",", no unit","")&amp;IF($H685="",", no career level","")&amp;IF(N($L685)&lt;=0,", no quarter split","")&amp;IF($R685="",", no driver","")&amp;IF(AND($H685&lt;&gt;"",COUNTIF(CareerLevels,$H685)=0),", a career level that is not on the ladder","")&amp;IF(AND($R685&lt;&gt;"",COUNTIF(DriverList,$R685)=0),", a driver that is not on the list","")&amp;IF(ABS(N($L685)-(N($M685)+N($N685)+N($O685)+N($P685)))&gt;0.001,", a total that does not match its quarters",""),3,300))</f>
        <v/>
      </c>
    </row>
    <row r="686" customFormat="false" ht="15" hidden="false" customHeight="false" outlineLevel="0" collapsed="false">
      <c r="A686" s="33" t="str">
        <f aca="false">IF($G686="","","Finance Group")</f>
        <v/>
      </c>
      <c r="B686" s="19"/>
      <c r="C686" s="19"/>
      <c r="D686" s="19"/>
      <c r="E686" s="19"/>
      <c r="F686" s="19"/>
      <c r="G686" s="19"/>
      <c r="H686" s="19"/>
      <c r="I686" s="19"/>
      <c r="J686" s="19"/>
      <c r="K686" s="19"/>
      <c r="L686" s="19"/>
      <c r="M686" s="19"/>
      <c r="N686" s="19"/>
      <c r="O686" s="19"/>
      <c r="P686" s="19"/>
      <c r="Q686" s="19"/>
      <c r="R686" s="19"/>
      <c r="S686" s="19"/>
      <c r="T686" s="34" t="str">
        <f aca="false">IF($R686="","",IFERROR(INDEX(DriverCategory,MATCH($R686,DriverList,0)),"BAU"))</f>
        <v/>
      </c>
      <c r="U686" s="34" t="str">
        <f aca="false">IF($R686="","",IFERROR(INDEX(DriverRank,MATCH($R686,DriverList,0)),99))</f>
        <v/>
      </c>
      <c r="V686" s="35" t="n">
        <f aca="false">IF($H686="",0,IFERROR(INDEX(LevelBasic,MATCH($H686,LevelList,0))+INDEX(LevelHousing,MATCH($H686,LevelList,0))+INDEX(LevelTransport,MATCH($H686,LevelList,0))+INDEX(LevelBasic,MATCH($H686,LevelList,0))*INDEX(LevelBonus,MATCH($H686,LevelList,0))+(INDEX(LevelBasic,MATCH($H686,LevelList,0))+INDEX(LevelHousing,MATCH($H686,LevelList,0)))*GosiSaudi,0))</f>
        <v>0</v>
      </c>
      <c r="W686" s="35" t="n">
        <f aca="false">IFERROR(INDEX(LevelOneOff,MATCH($H686,LevelList,0)),0)</f>
        <v>0</v>
      </c>
      <c r="X686" s="35" t="str">
        <f aca="false">IF($G686="","",$V686*N($L686))</f>
        <v/>
      </c>
      <c r="Y686" s="35" t="str">
        <f aca="false">IF($G686="","",$V686*(N($M686)*1+N($N686)*0.75+N($O686)*0.5+N($P686)*0.25)+$W686*N($L686))</f>
        <v/>
      </c>
      <c r="Z686" s="35" t="str">
        <f aca="false">IF($G686="","",$U686*1000000+ROW())</f>
        <v/>
      </c>
      <c r="AA686" s="36" t="str">
        <f aca="false">IF($G686="","",MID(IF($C686="",", no division","")&amp;IF($E686="",", no unit","")&amp;IF($H686="",", no career level","")&amp;IF(N($L686)&lt;=0,", no quarter split","")&amp;IF($R686="",", no driver","")&amp;IF(AND($H686&lt;&gt;"",COUNTIF(CareerLevels,$H686)=0),", a career level that is not on the ladder","")&amp;IF(AND($R686&lt;&gt;"",COUNTIF(DriverList,$R686)=0),", a driver that is not on the list","")&amp;IF(ABS(N($L686)-(N($M686)+N($N686)+N($O686)+N($P686)))&gt;0.001,", a total that does not match its quarters",""),3,300))</f>
        <v/>
      </c>
    </row>
    <row r="687" customFormat="false" ht="15" hidden="false" customHeight="false" outlineLevel="0" collapsed="false">
      <c r="A687" s="33" t="str">
        <f aca="false">IF($G687="","","Finance Group")</f>
        <v/>
      </c>
      <c r="B687" s="19"/>
      <c r="C687" s="19"/>
      <c r="D687" s="19"/>
      <c r="E687" s="19"/>
      <c r="F687" s="19"/>
      <c r="G687" s="19"/>
      <c r="H687" s="19"/>
      <c r="I687" s="19"/>
      <c r="J687" s="19"/>
      <c r="K687" s="19"/>
      <c r="L687" s="19"/>
      <c r="M687" s="19"/>
      <c r="N687" s="19"/>
      <c r="O687" s="19"/>
      <c r="P687" s="19"/>
      <c r="Q687" s="19"/>
      <c r="R687" s="19"/>
      <c r="S687" s="19"/>
      <c r="T687" s="34" t="str">
        <f aca="false">IF($R687="","",IFERROR(INDEX(DriverCategory,MATCH($R687,DriverList,0)),"BAU"))</f>
        <v/>
      </c>
      <c r="U687" s="34" t="str">
        <f aca="false">IF($R687="","",IFERROR(INDEX(DriverRank,MATCH($R687,DriverList,0)),99))</f>
        <v/>
      </c>
      <c r="V687" s="35" t="n">
        <f aca="false">IF($H687="",0,IFERROR(INDEX(LevelBasic,MATCH($H687,LevelList,0))+INDEX(LevelHousing,MATCH($H687,LevelList,0))+INDEX(LevelTransport,MATCH($H687,LevelList,0))+INDEX(LevelBasic,MATCH($H687,LevelList,0))*INDEX(LevelBonus,MATCH($H687,LevelList,0))+(INDEX(LevelBasic,MATCH($H687,LevelList,0))+INDEX(LevelHousing,MATCH($H687,LevelList,0)))*GosiSaudi,0))</f>
        <v>0</v>
      </c>
      <c r="W687" s="35" t="n">
        <f aca="false">IFERROR(INDEX(LevelOneOff,MATCH($H687,LevelList,0)),0)</f>
        <v>0</v>
      </c>
      <c r="X687" s="35" t="str">
        <f aca="false">IF($G687="","",$V687*N($L687))</f>
        <v/>
      </c>
      <c r="Y687" s="35" t="str">
        <f aca="false">IF($G687="","",$V687*(N($M687)*1+N($N687)*0.75+N($O687)*0.5+N($P687)*0.25)+$W687*N($L687))</f>
        <v/>
      </c>
      <c r="Z687" s="35" t="str">
        <f aca="false">IF($G687="","",$U687*1000000+ROW())</f>
        <v/>
      </c>
      <c r="AA687" s="36" t="str">
        <f aca="false">IF($G687="","",MID(IF($C687="",", no division","")&amp;IF($E687="",", no unit","")&amp;IF($H687="",", no career level","")&amp;IF(N($L687)&lt;=0,", no quarter split","")&amp;IF($R687="",", no driver","")&amp;IF(AND($H687&lt;&gt;"",COUNTIF(CareerLevels,$H687)=0),", a career level that is not on the ladder","")&amp;IF(AND($R687&lt;&gt;"",COUNTIF(DriverList,$R687)=0),", a driver that is not on the list","")&amp;IF(ABS(N($L687)-(N($M687)+N($N687)+N($O687)+N($P687)))&gt;0.001,", a total that does not match its quarters",""),3,300))</f>
        <v/>
      </c>
    </row>
    <row r="688" customFormat="false" ht="15" hidden="false" customHeight="false" outlineLevel="0" collapsed="false">
      <c r="A688" s="33" t="str">
        <f aca="false">IF($G688="","","Finance Group")</f>
        <v/>
      </c>
      <c r="B688" s="19"/>
      <c r="C688" s="19"/>
      <c r="D688" s="19"/>
      <c r="E688" s="19"/>
      <c r="F688" s="19"/>
      <c r="G688" s="19"/>
      <c r="H688" s="19"/>
      <c r="I688" s="19"/>
      <c r="J688" s="19"/>
      <c r="K688" s="19"/>
      <c r="L688" s="19"/>
      <c r="M688" s="19"/>
      <c r="N688" s="19"/>
      <c r="O688" s="19"/>
      <c r="P688" s="19"/>
      <c r="Q688" s="19"/>
      <c r="R688" s="19"/>
      <c r="S688" s="19"/>
      <c r="T688" s="34" t="str">
        <f aca="false">IF($R688="","",IFERROR(INDEX(DriverCategory,MATCH($R688,DriverList,0)),"BAU"))</f>
        <v/>
      </c>
      <c r="U688" s="34" t="str">
        <f aca="false">IF($R688="","",IFERROR(INDEX(DriverRank,MATCH($R688,DriverList,0)),99))</f>
        <v/>
      </c>
      <c r="V688" s="35" t="n">
        <f aca="false">IF($H688="",0,IFERROR(INDEX(LevelBasic,MATCH($H688,LevelList,0))+INDEX(LevelHousing,MATCH($H688,LevelList,0))+INDEX(LevelTransport,MATCH($H688,LevelList,0))+INDEX(LevelBasic,MATCH($H688,LevelList,0))*INDEX(LevelBonus,MATCH($H688,LevelList,0))+(INDEX(LevelBasic,MATCH($H688,LevelList,0))+INDEX(LevelHousing,MATCH($H688,LevelList,0)))*GosiSaudi,0))</f>
        <v>0</v>
      </c>
      <c r="W688" s="35" t="n">
        <f aca="false">IFERROR(INDEX(LevelOneOff,MATCH($H688,LevelList,0)),0)</f>
        <v>0</v>
      </c>
      <c r="X688" s="35" t="str">
        <f aca="false">IF($G688="","",$V688*N($L688))</f>
        <v/>
      </c>
      <c r="Y688" s="35" t="str">
        <f aca="false">IF($G688="","",$V688*(N($M688)*1+N($N688)*0.75+N($O688)*0.5+N($P688)*0.25)+$W688*N($L688))</f>
        <v/>
      </c>
      <c r="Z688" s="35" t="str">
        <f aca="false">IF($G688="","",$U688*1000000+ROW())</f>
        <v/>
      </c>
      <c r="AA688" s="36" t="str">
        <f aca="false">IF($G688="","",MID(IF($C688="",", no division","")&amp;IF($E688="",", no unit","")&amp;IF($H688="",", no career level","")&amp;IF(N($L688)&lt;=0,", no quarter split","")&amp;IF($R688="",", no driver","")&amp;IF(AND($H688&lt;&gt;"",COUNTIF(CareerLevels,$H688)=0),", a career level that is not on the ladder","")&amp;IF(AND($R688&lt;&gt;"",COUNTIF(DriverList,$R688)=0),", a driver that is not on the list","")&amp;IF(ABS(N($L688)-(N($M688)+N($N688)+N($O688)+N($P688)))&gt;0.001,", a total that does not match its quarters",""),3,300))</f>
        <v/>
      </c>
    </row>
    <row r="689" customFormat="false" ht="15" hidden="false" customHeight="false" outlineLevel="0" collapsed="false">
      <c r="A689" s="33" t="str">
        <f aca="false">IF($G689="","","Finance Group")</f>
        <v/>
      </c>
      <c r="B689" s="19"/>
      <c r="C689" s="19"/>
      <c r="D689" s="19"/>
      <c r="E689" s="19"/>
      <c r="F689" s="19"/>
      <c r="G689" s="19"/>
      <c r="H689" s="19"/>
      <c r="I689" s="19"/>
      <c r="J689" s="19"/>
      <c r="K689" s="19"/>
      <c r="L689" s="19"/>
      <c r="M689" s="19"/>
      <c r="N689" s="19"/>
      <c r="O689" s="19"/>
      <c r="P689" s="19"/>
      <c r="Q689" s="19"/>
      <c r="R689" s="19"/>
      <c r="S689" s="19"/>
      <c r="T689" s="34" t="str">
        <f aca="false">IF($R689="","",IFERROR(INDEX(DriverCategory,MATCH($R689,DriverList,0)),"BAU"))</f>
        <v/>
      </c>
      <c r="U689" s="34" t="str">
        <f aca="false">IF($R689="","",IFERROR(INDEX(DriverRank,MATCH($R689,DriverList,0)),99))</f>
        <v/>
      </c>
      <c r="V689" s="35" t="n">
        <f aca="false">IF($H689="",0,IFERROR(INDEX(LevelBasic,MATCH($H689,LevelList,0))+INDEX(LevelHousing,MATCH($H689,LevelList,0))+INDEX(LevelTransport,MATCH($H689,LevelList,0))+INDEX(LevelBasic,MATCH($H689,LevelList,0))*INDEX(LevelBonus,MATCH($H689,LevelList,0))+(INDEX(LevelBasic,MATCH($H689,LevelList,0))+INDEX(LevelHousing,MATCH($H689,LevelList,0)))*GosiSaudi,0))</f>
        <v>0</v>
      </c>
      <c r="W689" s="35" t="n">
        <f aca="false">IFERROR(INDEX(LevelOneOff,MATCH($H689,LevelList,0)),0)</f>
        <v>0</v>
      </c>
      <c r="X689" s="35" t="str">
        <f aca="false">IF($G689="","",$V689*N($L689))</f>
        <v/>
      </c>
      <c r="Y689" s="35" t="str">
        <f aca="false">IF($G689="","",$V689*(N($M689)*1+N($N689)*0.75+N($O689)*0.5+N($P689)*0.25)+$W689*N($L689))</f>
        <v/>
      </c>
      <c r="Z689" s="35" t="str">
        <f aca="false">IF($G689="","",$U689*1000000+ROW())</f>
        <v/>
      </c>
      <c r="AA689" s="36" t="str">
        <f aca="false">IF($G689="","",MID(IF($C689="",", no division","")&amp;IF($E689="",", no unit","")&amp;IF($H689="",", no career level","")&amp;IF(N($L689)&lt;=0,", no quarter split","")&amp;IF($R689="",", no driver","")&amp;IF(AND($H689&lt;&gt;"",COUNTIF(CareerLevels,$H689)=0),", a career level that is not on the ladder","")&amp;IF(AND($R689&lt;&gt;"",COUNTIF(DriverList,$R689)=0),", a driver that is not on the list","")&amp;IF(ABS(N($L689)-(N($M689)+N($N689)+N($O689)+N($P689)))&gt;0.001,", a total that does not match its quarters",""),3,300))</f>
        <v/>
      </c>
    </row>
    <row r="690" customFormat="false" ht="15" hidden="false" customHeight="false" outlineLevel="0" collapsed="false">
      <c r="A690" s="33" t="str">
        <f aca="false">IF($G690="","","Finance Group")</f>
        <v/>
      </c>
      <c r="B690" s="19"/>
      <c r="C690" s="19"/>
      <c r="D690" s="19"/>
      <c r="E690" s="19"/>
      <c r="F690" s="19"/>
      <c r="G690" s="19"/>
      <c r="H690" s="19"/>
      <c r="I690" s="19"/>
      <c r="J690" s="19"/>
      <c r="K690" s="19"/>
      <c r="L690" s="19"/>
      <c r="M690" s="19"/>
      <c r="N690" s="19"/>
      <c r="O690" s="19"/>
      <c r="P690" s="19"/>
      <c r="Q690" s="19"/>
      <c r="R690" s="19"/>
      <c r="S690" s="19"/>
      <c r="T690" s="34" t="str">
        <f aca="false">IF($R690="","",IFERROR(INDEX(DriverCategory,MATCH($R690,DriverList,0)),"BAU"))</f>
        <v/>
      </c>
      <c r="U690" s="34" t="str">
        <f aca="false">IF($R690="","",IFERROR(INDEX(DriverRank,MATCH($R690,DriverList,0)),99))</f>
        <v/>
      </c>
      <c r="V690" s="35" t="n">
        <f aca="false">IF($H690="",0,IFERROR(INDEX(LevelBasic,MATCH($H690,LevelList,0))+INDEX(LevelHousing,MATCH($H690,LevelList,0))+INDEX(LevelTransport,MATCH($H690,LevelList,0))+INDEX(LevelBasic,MATCH($H690,LevelList,0))*INDEX(LevelBonus,MATCH($H690,LevelList,0))+(INDEX(LevelBasic,MATCH($H690,LevelList,0))+INDEX(LevelHousing,MATCH($H690,LevelList,0)))*GosiSaudi,0))</f>
        <v>0</v>
      </c>
      <c r="W690" s="35" t="n">
        <f aca="false">IFERROR(INDEX(LevelOneOff,MATCH($H690,LevelList,0)),0)</f>
        <v>0</v>
      </c>
      <c r="X690" s="35" t="str">
        <f aca="false">IF($G690="","",$V690*N($L690))</f>
        <v/>
      </c>
      <c r="Y690" s="35" t="str">
        <f aca="false">IF($G690="","",$V690*(N($M690)*1+N($N690)*0.75+N($O690)*0.5+N($P690)*0.25)+$W690*N($L690))</f>
        <v/>
      </c>
      <c r="Z690" s="35" t="str">
        <f aca="false">IF($G690="","",$U690*1000000+ROW())</f>
        <v/>
      </c>
      <c r="AA690" s="36" t="str">
        <f aca="false">IF($G690="","",MID(IF($C690="",", no division","")&amp;IF($E690="",", no unit","")&amp;IF($H690="",", no career level","")&amp;IF(N($L690)&lt;=0,", no quarter split","")&amp;IF($R690="",", no driver","")&amp;IF(AND($H690&lt;&gt;"",COUNTIF(CareerLevels,$H690)=0),", a career level that is not on the ladder","")&amp;IF(AND($R690&lt;&gt;"",COUNTIF(DriverList,$R690)=0),", a driver that is not on the list","")&amp;IF(ABS(N($L690)-(N($M690)+N($N690)+N($O690)+N($P690)))&gt;0.001,", a total that does not match its quarters",""),3,300))</f>
        <v/>
      </c>
    </row>
    <row r="691" customFormat="false" ht="15" hidden="false" customHeight="false" outlineLevel="0" collapsed="false">
      <c r="A691" s="33" t="str">
        <f aca="false">IF($G691="","","Finance Group")</f>
        <v/>
      </c>
      <c r="B691" s="19"/>
      <c r="C691" s="19"/>
      <c r="D691" s="19"/>
      <c r="E691" s="19"/>
      <c r="F691" s="19"/>
      <c r="G691" s="19"/>
      <c r="H691" s="19"/>
      <c r="I691" s="19"/>
      <c r="J691" s="19"/>
      <c r="K691" s="19"/>
      <c r="L691" s="19"/>
      <c r="M691" s="19"/>
      <c r="N691" s="19"/>
      <c r="O691" s="19"/>
      <c r="P691" s="19"/>
      <c r="Q691" s="19"/>
      <c r="R691" s="19"/>
      <c r="S691" s="19"/>
      <c r="T691" s="34" t="str">
        <f aca="false">IF($R691="","",IFERROR(INDEX(DriverCategory,MATCH($R691,DriverList,0)),"BAU"))</f>
        <v/>
      </c>
      <c r="U691" s="34" t="str">
        <f aca="false">IF($R691="","",IFERROR(INDEX(DriverRank,MATCH($R691,DriverList,0)),99))</f>
        <v/>
      </c>
      <c r="V691" s="35" t="n">
        <f aca="false">IF($H691="",0,IFERROR(INDEX(LevelBasic,MATCH($H691,LevelList,0))+INDEX(LevelHousing,MATCH($H691,LevelList,0))+INDEX(LevelTransport,MATCH($H691,LevelList,0))+INDEX(LevelBasic,MATCH($H691,LevelList,0))*INDEX(LevelBonus,MATCH($H691,LevelList,0))+(INDEX(LevelBasic,MATCH($H691,LevelList,0))+INDEX(LevelHousing,MATCH($H691,LevelList,0)))*GosiSaudi,0))</f>
        <v>0</v>
      </c>
      <c r="W691" s="35" t="n">
        <f aca="false">IFERROR(INDEX(LevelOneOff,MATCH($H691,LevelList,0)),0)</f>
        <v>0</v>
      </c>
      <c r="X691" s="35" t="str">
        <f aca="false">IF($G691="","",$V691*N($L691))</f>
        <v/>
      </c>
      <c r="Y691" s="35" t="str">
        <f aca="false">IF($G691="","",$V691*(N($M691)*1+N($N691)*0.75+N($O691)*0.5+N($P691)*0.25)+$W691*N($L691))</f>
        <v/>
      </c>
      <c r="Z691" s="35" t="str">
        <f aca="false">IF($G691="","",$U691*1000000+ROW())</f>
        <v/>
      </c>
      <c r="AA691" s="36" t="str">
        <f aca="false">IF($G691="","",MID(IF($C691="",", no division","")&amp;IF($E691="",", no unit","")&amp;IF($H691="",", no career level","")&amp;IF(N($L691)&lt;=0,", no quarter split","")&amp;IF($R691="",", no driver","")&amp;IF(AND($H691&lt;&gt;"",COUNTIF(CareerLevels,$H691)=0),", a career level that is not on the ladder","")&amp;IF(AND($R691&lt;&gt;"",COUNTIF(DriverList,$R691)=0),", a driver that is not on the list","")&amp;IF(ABS(N($L691)-(N($M691)+N($N691)+N($O691)+N($P691)))&gt;0.001,", a total that does not match its quarters",""),3,300))</f>
        <v/>
      </c>
    </row>
    <row r="692" customFormat="false" ht="15" hidden="false" customHeight="false" outlineLevel="0" collapsed="false">
      <c r="A692" s="33" t="str">
        <f aca="false">IF($G692="","","Finance Group")</f>
        <v/>
      </c>
      <c r="B692" s="19"/>
      <c r="C692" s="19"/>
      <c r="D692" s="19"/>
      <c r="E692" s="19"/>
      <c r="F692" s="19"/>
      <c r="G692" s="19"/>
      <c r="H692" s="19"/>
      <c r="I692" s="19"/>
      <c r="J692" s="19"/>
      <c r="K692" s="19"/>
      <c r="L692" s="19"/>
      <c r="M692" s="19"/>
      <c r="N692" s="19"/>
      <c r="O692" s="19"/>
      <c r="P692" s="19"/>
      <c r="Q692" s="19"/>
      <c r="R692" s="19"/>
      <c r="S692" s="19"/>
      <c r="T692" s="34" t="str">
        <f aca="false">IF($R692="","",IFERROR(INDEX(DriverCategory,MATCH($R692,DriverList,0)),"BAU"))</f>
        <v/>
      </c>
      <c r="U692" s="34" t="str">
        <f aca="false">IF($R692="","",IFERROR(INDEX(DriverRank,MATCH($R692,DriverList,0)),99))</f>
        <v/>
      </c>
      <c r="V692" s="35" t="n">
        <f aca="false">IF($H692="",0,IFERROR(INDEX(LevelBasic,MATCH($H692,LevelList,0))+INDEX(LevelHousing,MATCH($H692,LevelList,0))+INDEX(LevelTransport,MATCH($H692,LevelList,0))+INDEX(LevelBasic,MATCH($H692,LevelList,0))*INDEX(LevelBonus,MATCH($H692,LevelList,0))+(INDEX(LevelBasic,MATCH($H692,LevelList,0))+INDEX(LevelHousing,MATCH($H692,LevelList,0)))*GosiSaudi,0))</f>
        <v>0</v>
      </c>
      <c r="W692" s="35" t="n">
        <f aca="false">IFERROR(INDEX(LevelOneOff,MATCH($H692,LevelList,0)),0)</f>
        <v>0</v>
      </c>
      <c r="X692" s="35" t="str">
        <f aca="false">IF($G692="","",$V692*N($L692))</f>
        <v/>
      </c>
      <c r="Y692" s="35" t="str">
        <f aca="false">IF($G692="","",$V692*(N($M692)*1+N($N692)*0.75+N($O692)*0.5+N($P692)*0.25)+$W692*N($L692))</f>
        <v/>
      </c>
      <c r="Z692" s="35" t="str">
        <f aca="false">IF($G692="","",$U692*1000000+ROW())</f>
        <v/>
      </c>
      <c r="AA692" s="36" t="str">
        <f aca="false">IF($G692="","",MID(IF($C692="",", no division","")&amp;IF($E692="",", no unit","")&amp;IF($H692="",", no career level","")&amp;IF(N($L692)&lt;=0,", no quarter split","")&amp;IF($R692="",", no driver","")&amp;IF(AND($H692&lt;&gt;"",COUNTIF(CareerLevels,$H692)=0),", a career level that is not on the ladder","")&amp;IF(AND($R692&lt;&gt;"",COUNTIF(DriverList,$R692)=0),", a driver that is not on the list","")&amp;IF(ABS(N($L692)-(N($M692)+N($N692)+N($O692)+N($P692)))&gt;0.001,", a total that does not match its quarters",""),3,300))</f>
        <v/>
      </c>
    </row>
    <row r="693" customFormat="false" ht="15" hidden="false" customHeight="false" outlineLevel="0" collapsed="false">
      <c r="A693" s="33" t="str">
        <f aca="false">IF($G693="","","Finance Group")</f>
        <v/>
      </c>
      <c r="B693" s="19"/>
      <c r="C693" s="19"/>
      <c r="D693" s="19"/>
      <c r="E693" s="19"/>
      <c r="F693" s="19"/>
      <c r="G693" s="19"/>
      <c r="H693" s="19"/>
      <c r="I693" s="19"/>
      <c r="J693" s="19"/>
      <c r="K693" s="19"/>
      <c r="L693" s="19"/>
      <c r="M693" s="19"/>
      <c r="N693" s="19"/>
      <c r="O693" s="19"/>
      <c r="P693" s="19"/>
      <c r="Q693" s="19"/>
      <c r="R693" s="19"/>
      <c r="S693" s="19"/>
      <c r="T693" s="34" t="str">
        <f aca="false">IF($R693="","",IFERROR(INDEX(DriverCategory,MATCH($R693,DriverList,0)),"BAU"))</f>
        <v/>
      </c>
      <c r="U693" s="34" t="str">
        <f aca="false">IF($R693="","",IFERROR(INDEX(DriverRank,MATCH($R693,DriverList,0)),99))</f>
        <v/>
      </c>
      <c r="V693" s="35" t="n">
        <f aca="false">IF($H693="",0,IFERROR(INDEX(LevelBasic,MATCH($H693,LevelList,0))+INDEX(LevelHousing,MATCH($H693,LevelList,0))+INDEX(LevelTransport,MATCH($H693,LevelList,0))+INDEX(LevelBasic,MATCH($H693,LevelList,0))*INDEX(LevelBonus,MATCH($H693,LevelList,0))+(INDEX(LevelBasic,MATCH($H693,LevelList,0))+INDEX(LevelHousing,MATCH($H693,LevelList,0)))*GosiSaudi,0))</f>
        <v>0</v>
      </c>
      <c r="W693" s="35" t="n">
        <f aca="false">IFERROR(INDEX(LevelOneOff,MATCH($H693,LevelList,0)),0)</f>
        <v>0</v>
      </c>
      <c r="X693" s="35" t="str">
        <f aca="false">IF($G693="","",$V693*N($L693))</f>
        <v/>
      </c>
      <c r="Y693" s="35" t="str">
        <f aca="false">IF($G693="","",$V693*(N($M693)*1+N($N693)*0.75+N($O693)*0.5+N($P693)*0.25)+$W693*N($L693))</f>
        <v/>
      </c>
      <c r="Z693" s="35" t="str">
        <f aca="false">IF($G693="","",$U693*1000000+ROW())</f>
        <v/>
      </c>
      <c r="AA693" s="36" t="str">
        <f aca="false">IF($G693="","",MID(IF($C693="",", no division","")&amp;IF($E693="",", no unit","")&amp;IF($H693="",", no career level","")&amp;IF(N($L693)&lt;=0,", no quarter split","")&amp;IF($R693="",", no driver","")&amp;IF(AND($H693&lt;&gt;"",COUNTIF(CareerLevels,$H693)=0),", a career level that is not on the ladder","")&amp;IF(AND($R693&lt;&gt;"",COUNTIF(DriverList,$R693)=0),", a driver that is not on the list","")&amp;IF(ABS(N($L693)-(N($M693)+N($N693)+N($O693)+N($P693)))&gt;0.001,", a total that does not match its quarters",""),3,300))</f>
        <v/>
      </c>
    </row>
    <row r="694" customFormat="false" ht="15" hidden="false" customHeight="false" outlineLevel="0" collapsed="false">
      <c r="A694" s="33" t="str">
        <f aca="false">IF($G694="","","Finance Group")</f>
        <v/>
      </c>
      <c r="B694" s="19"/>
      <c r="C694" s="19"/>
      <c r="D694" s="19"/>
      <c r="E694" s="19"/>
      <c r="F694" s="19"/>
      <c r="G694" s="19"/>
      <c r="H694" s="19"/>
      <c r="I694" s="19"/>
      <c r="J694" s="19"/>
      <c r="K694" s="19"/>
      <c r="L694" s="19"/>
      <c r="M694" s="19"/>
      <c r="N694" s="19"/>
      <c r="O694" s="19"/>
      <c r="P694" s="19"/>
      <c r="Q694" s="19"/>
      <c r="R694" s="19"/>
      <c r="S694" s="19"/>
      <c r="T694" s="34" t="str">
        <f aca="false">IF($R694="","",IFERROR(INDEX(DriverCategory,MATCH($R694,DriverList,0)),"BAU"))</f>
        <v/>
      </c>
      <c r="U694" s="34" t="str">
        <f aca="false">IF($R694="","",IFERROR(INDEX(DriverRank,MATCH($R694,DriverList,0)),99))</f>
        <v/>
      </c>
      <c r="V694" s="35" t="n">
        <f aca="false">IF($H694="",0,IFERROR(INDEX(LevelBasic,MATCH($H694,LevelList,0))+INDEX(LevelHousing,MATCH($H694,LevelList,0))+INDEX(LevelTransport,MATCH($H694,LevelList,0))+INDEX(LevelBasic,MATCH($H694,LevelList,0))*INDEX(LevelBonus,MATCH($H694,LevelList,0))+(INDEX(LevelBasic,MATCH($H694,LevelList,0))+INDEX(LevelHousing,MATCH($H694,LevelList,0)))*GosiSaudi,0))</f>
        <v>0</v>
      </c>
      <c r="W694" s="35" t="n">
        <f aca="false">IFERROR(INDEX(LevelOneOff,MATCH($H694,LevelList,0)),0)</f>
        <v>0</v>
      </c>
      <c r="X694" s="35" t="str">
        <f aca="false">IF($G694="","",$V694*N($L694))</f>
        <v/>
      </c>
      <c r="Y694" s="35" t="str">
        <f aca="false">IF($G694="","",$V694*(N($M694)*1+N($N694)*0.75+N($O694)*0.5+N($P694)*0.25)+$W694*N($L694))</f>
        <v/>
      </c>
      <c r="Z694" s="35" t="str">
        <f aca="false">IF($G694="","",$U694*1000000+ROW())</f>
        <v/>
      </c>
      <c r="AA694" s="36" t="str">
        <f aca="false">IF($G694="","",MID(IF($C694="",", no division","")&amp;IF($E694="",", no unit","")&amp;IF($H694="",", no career level","")&amp;IF(N($L694)&lt;=0,", no quarter split","")&amp;IF($R694="",", no driver","")&amp;IF(AND($H694&lt;&gt;"",COUNTIF(CareerLevels,$H694)=0),", a career level that is not on the ladder","")&amp;IF(AND($R694&lt;&gt;"",COUNTIF(DriverList,$R694)=0),", a driver that is not on the list","")&amp;IF(ABS(N($L694)-(N($M694)+N($N694)+N($O694)+N($P694)))&gt;0.001,", a total that does not match its quarters",""),3,300))</f>
        <v/>
      </c>
    </row>
    <row r="695" customFormat="false" ht="15" hidden="false" customHeight="false" outlineLevel="0" collapsed="false">
      <c r="A695" s="33" t="str">
        <f aca="false">IF($G695="","","Finance Group")</f>
        <v/>
      </c>
      <c r="B695" s="19"/>
      <c r="C695" s="19"/>
      <c r="D695" s="19"/>
      <c r="E695" s="19"/>
      <c r="F695" s="19"/>
      <c r="G695" s="19"/>
      <c r="H695" s="19"/>
      <c r="I695" s="19"/>
      <c r="J695" s="19"/>
      <c r="K695" s="19"/>
      <c r="L695" s="19"/>
      <c r="M695" s="19"/>
      <c r="N695" s="19"/>
      <c r="O695" s="19"/>
      <c r="P695" s="19"/>
      <c r="Q695" s="19"/>
      <c r="R695" s="19"/>
      <c r="S695" s="19"/>
      <c r="T695" s="34" t="str">
        <f aca="false">IF($R695="","",IFERROR(INDEX(DriverCategory,MATCH($R695,DriverList,0)),"BAU"))</f>
        <v/>
      </c>
      <c r="U695" s="34" t="str">
        <f aca="false">IF($R695="","",IFERROR(INDEX(DriverRank,MATCH($R695,DriverList,0)),99))</f>
        <v/>
      </c>
      <c r="V695" s="35" t="n">
        <f aca="false">IF($H695="",0,IFERROR(INDEX(LevelBasic,MATCH($H695,LevelList,0))+INDEX(LevelHousing,MATCH($H695,LevelList,0))+INDEX(LevelTransport,MATCH($H695,LevelList,0))+INDEX(LevelBasic,MATCH($H695,LevelList,0))*INDEX(LevelBonus,MATCH($H695,LevelList,0))+(INDEX(LevelBasic,MATCH($H695,LevelList,0))+INDEX(LevelHousing,MATCH($H695,LevelList,0)))*GosiSaudi,0))</f>
        <v>0</v>
      </c>
      <c r="W695" s="35" t="n">
        <f aca="false">IFERROR(INDEX(LevelOneOff,MATCH($H695,LevelList,0)),0)</f>
        <v>0</v>
      </c>
      <c r="X695" s="35" t="str">
        <f aca="false">IF($G695="","",$V695*N($L695))</f>
        <v/>
      </c>
      <c r="Y695" s="35" t="str">
        <f aca="false">IF($G695="","",$V695*(N($M695)*1+N($N695)*0.75+N($O695)*0.5+N($P695)*0.25)+$W695*N($L695))</f>
        <v/>
      </c>
      <c r="Z695" s="35" t="str">
        <f aca="false">IF($G695="","",$U695*1000000+ROW())</f>
        <v/>
      </c>
      <c r="AA695" s="36" t="str">
        <f aca="false">IF($G695="","",MID(IF($C695="",", no division","")&amp;IF($E695="",", no unit","")&amp;IF($H695="",", no career level","")&amp;IF(N($L695)&lt;=0,", no quarter split","")&amp;IF($R695="",", no driver","")&amp;IF(AND($H695&lt;&gt;"",COUNTIF(CareerLevels,$H695)=0),", a career level that is not on the ladder","")&amp;IF(AND($R695&lt;&gt;"",COUNTIF(DriverList,$R695)=0),", a driver that is not on the list","")&amp;IF(ABS(N($L695)-(N($M695)+N($N695)+N($O695)+N($P695)))&gt;0.001,", a total that does not match its quarters",""),3,300))</f>
        <v/>
      </c>
    </row>
    <row r="696" customFormat="false" ht="15" hidden="false" customHeight="false" outlineLevel="0" collapsed="false">
      <c r="A696" s="33" t="str">
        <f aca="false">IF($G696="","","Finance Group")</f>
        <v/>
      </c>
      <c r="B696" s="19"/>
      <c r="C696" s="19"/>
      <c r="D696" s="19"/>
      <c r="E696" s="19"/>
      <c r="F696" s="19"/>
      <c r="G696" s="19"/>
      <c r="H696" s="19"/>
      <c r="I696" s="19"/>
      <c r="J696" s="19"/>
      <c r="K696" s="19"/>
      <c r="L696" s="19"/>
      <c r="M696" s="19"/>
      <c r="N696" s="19"/>
      <c r="O696" s="19"/>
      <c r="P696" s="19"/>
      <c r="Q696" s="19"/>
      <c r="R696" s="19"/>
      <c r="S696" s="19"/>
      <c r="T696" s="34" t="str">
        <f aca="false">IF($R696="","",IFERROR(INDEX(DriverCategory,MATCH($R696,DriverList,0)),"BAU"))</f>
        <v/>
      </c>
      <c r="U696" s="34" t="str">
        <f aca="false">IF($R696="","",IFERROR(INDEX(DriverRank,MATCH($R696,DriverList,0)),99))</f>
        <v/>
      </c>
      <c r="V696" s="35" t="n">
        <f aca="false">IF($H696="",0,IFERROR(INDEX(LevelBasic,MATCH($H696,LevelList,0))+INDEX(LevelHousing,MATCH($H696,LevelList,0))+INDEX(LevelTransport,MATCH($H696,LevelList,0))+INDEX(LevelBasic,MATCH($H696,LevelList,0))*INDEX(LevelBonus,MATCH($H696,LevelList,0))+(INDEX(LevelBasic,MATCH($H696,LevelList,0))+INDEX(LevelHousing,MATCH($H696,LevelList,0)))*GosiSaudi,0))</f>
        <v>0</v>
      </c>
      <c r="W696" s="35" t="n">
        <f aca="false">IFERROR(INDEX(LevelOneOff,MATCH($H696,LevelList,0)),0)</f>
        <v>0</v>
      </c>
      <c r="X696" s="35" t="str">
        <f aca="false">IF($G696="","",$V696*N($L696))</f>
        <v/>
      </c>
      <c r="Y696" s="35" t="str">
        <f aca="false">IF($G696="","",$V696*(N($M696)*1+N($N696)*0.75+N($O696)*0.5+N($P696)*0.25)+$W696*N($L696))</f>
        <v/>
      </c>
      <c r="Z696" s="35" t="str">
        <f aca="false">IF($G696="","",$U696*1000000+ROW())</f>
        <v/>
      </c>
      <c r="AA696" s="36" t="str">
        <f aca="false">IF($G696="","",MID(IF($C696="",", no division","")&amp;IF($E696="",", no unit","")&amp;IF($H696="",", no career level","")&amp;IF(N($L696)&lt;=0,", no quarter split","")&amp;IF($R696="",", no driver","")&amp;IF(AND($H696&lt;&gt;"",COUNTIF(CareerLevels,$H696)=0),", a career level that is not on the ladder","")&amp;IF(AND($R696&lt;&gt;"",COUNTIF(DriverList,$R696)=0),", a driver that is not on the list","")&amp;IF(ABS(N($L696)-(N($M696)+N($N696)+N($O696)+N($P696)))&gt;0.001,", a total that does not match its quarters",""),3,300))</f>
        <v/>
      </c>
    </row>
    <row r="697" customFormat="false" ht="15" hidden="false" customHeight="false" outlineLevel="0" collapsed="false">
      <c r="A697" s="33" t="str">
        <f aca="false">IF($G697="","","Finance Group")</f>
        <v/>
      </c>
      <c r="B697" s="19"/>
      <c r="C697" s="19"/>
      <c r="D697" s="19"/>
      <c r="E697" s="19"/>
      <c r="F697" s="19"/>
      <c r="G697" s="19"/>
      <c r="H697" s="19"/>
      <c r="I697" s="19"/>
      <c r="J697" s="19"/>
      <c r="K697" s="19"/>
      <c r="L697" s="19"/>
      <c r="M697" s="19"/>
      <c r="N697" s="19"/>
      <c r="O697" s="19"/>
      <c r="P697" s="19"/>
      <c r="Q697" s="19"/>
      <c r="R697" s="19"/>
      <c r="S697" s="19"/>
      <c r="T697" s="34" t="str">
        <f aca="false">IF($R697="","",IFERROR(INDEX(DriverCategory,MATCH($R697,DriverList,0)),"BAU"))</f>
        <v/>
      </c>
      <c r="U697" s="34" t="str">
        <f aca="false">IF($R697="","",IFERROR(INDEX(DriverRank,MATCH($R697,DriverList,0)),99))</f>
        <v/>
      </c>
      <c r="V697" s="35" t="n">
        <f aca="false">IF($H697="",0,IFERROR(INDEX(LevelBasic,MATCH($H697,LevelList,0))+INDEX(LevelHousing,MATCH($H697,LevelList,0))+INDEX(LevelTransport,MATCH($H697,LevelList,0))+INDEX(LevelBasic,MATCH($H697,LevelList,0))*INDEX(LevelBonus,MATCH($H697,LevelList,0))+(INDEX(LevelBasic,MATCH($H697,LevelList,0))+INDEX(LevelHousing,MATCH($H697,LevelList,0)))*GosiSaudi,0))</f>
        <v>0</v>
      </c>
      <c r="W697" s="35" t="n">
        <f aca="false">IFERROR(INDEX(LevelOneOff,MATCH($H697,LevelList,0)),0)</f>
        <v>0</v>
      </c>
      <c r="X697" s="35" t="str">
        <f aca="false">IF($G697="","",$V697*N($L697))</f>
        <v/>
      </c>
      <c r="Y697" s="35" t="str">
        <f aca="false">IF($G697="","",$V697*(N($M697)*1+N($N697)*0.75+N($O697)*0.5+N($P697)*0.25)+$W697*N($L697))</f>
        <v/>
      </c>
      <c r="Z697" s="35" t="str">
        <f aca="false">IF($G697="","",$U697*1000000+ROW())</f>
        <v/>
      </c>
      <c r="AA697" s="36" t="str">
        <f aca="false">IF($G697="","",MID(IF($C697="",", no division","")&amp;IF($E697="",", no unit","")&amp;IF($H697="",", no career level","")&amp;IF(N($L697)&lt;=0,", no quarter split","")&amp;IF($R697="",", no driver","")&amp;IF(AND($H697&lt;&gt;"",COUNTIF(CareerLevels,$H697)=0),", a career level that is not on the ladder","")&amp;IF(AND($R697&lt;&gt;"",COUNTIF(DriverList,$R697)=0),", a driver that is not on the list","")&amp;IF(ABS(N($L697)-(N($M697)+N($N697)+N($O697)+N($P697)))&gt;0.001,", a total that does not match its quarters",""),3,300))</f>
        <v/>
      </c>
    </row>
    <row r="698" customFormat="false" ht="15" hidden="false" customHeight="false" outlineLevel="0" collapsed="false">
      <c r="A698" s="33" t="str">
        <f aca="false">IF($G698="","","Finance Group")</f>
        <v/>
      </c>
      <c r="B698" s="19"/>
      <c r="C698" s="19"/>
      <c r="D698" s="19"/>
      <c r="E698" s="19"/>
      <c r="F698" s="19"/>
      <c r="G698" s="19"/>
      <c r="H698" s="19"/>
      <c r="I698" s="19"/>
      <c r="J698" s="19"/>
      <c r="K698" s="19"/>
      <c r="L698" s="19"/>
      <c r="M698" s="19"/>
      <c r="N698" s="19"/>
      <c r="O698" s="19"/>
      <c r="P698" s="19"/>
      <c r="Q698" s="19"/>
      <c r="R698" s="19"/>
      <c r="S698" s="19"/>
      <c r="T698" s="34" t="str">
        <f aca="false">IF($R698="","",IFERROR(INDEX(DriverCategory,MATCH($R698,DriverList,0)),"BAU"))</f>
        <v/>
      </c>
      <c r="U698" s="34" t="str">
        <f aca="false">IF($R698="","",IFERROR(INDEX(DriverRank,MATCH($R698,DriverList,0)),99))</f>
        <v/>
      </c>
      <c r="V698" s="35" t="n">
        <f aca="false">IF($H698="",0,IFERROR(INDEX(LevelBasic,MATCH($H698,LevelList,0))+INDEX(LevelHousing,MATCH($H698,LevelList,0))+INDEX(LevelTransport,MATCH($H698,LevelList,0))+INDEX(LevelBasic,MATCH($H698,LevelList,0))*INDEX(LevelBonus,MATCH($H698,LevelList,0))+(INDEX(LevelBasic,MATCH($H698,LevelList,0))+INDEX(LevelHousing,MATCH($H698,LevelList,0)))*GosiSaudi,0))</f>
        <v>0</v>
      </c>
      <c r="W698" s="35" t="n">
        <f aca="false">IFERROR(INDEX(LevelOneOff,MATCH($H698,LevelList,0)),0)</f>
        <v>0</v>
      </c>
      <c r="X698" s="35" t="str">
        <f aca="false">IF($G698="","",$V698*N($L698))</f>
        <v/>
      </c>
      <c r="Y698" s="35" t="str">
        <f aca="false">IF($G698="","",$V698*(N($M698)*1+N($N698)*0.75+N($O698)*0.5+N($P698)*0.25)+$W698*N($L698))</f>
        <v/>
      </c>
      <c r="Z698" s="35" t="str">
        <f aca="false">IF($G698="","",$U698*1000000+ROW())</f>
        <v/>
      </c>
      <c r="AA698" s="36" t="str">
        <f aca="false">IF($G698="","",MID(IF($C698="",", no division","")&amp;IF($E698="",", no unit","")&amp;IF($H698="",", no career level","")&amp;IF(N($L698)&lt;=0,", no quarter split","")&amp;IF($R698="",", no driver","")&amp;IF(AND($H698&lt;&gt;"",COUNTIF(CareerLevels,$H698)=0),", a career level that is not on the ladder","")&amp;IF(AND($R698&lt;&gt;"",COUNTIF(DriverList,$R698)=0),", a driver that is not on the list","")&amp;IF(ABS(N($L698)-(N($M698)+N($N698)+N($O698)+N($P698)))&gt;0.001,", a total that does not match its quarters",""),3,300))</f>
        <v/>
      </c>
    </row>
    <row r="699" customFormat="false" ht="15" hidden="false" customHeight="false" outlineLevel="0" collapsed="false">
      <c r="A699" s="33" t="str">
        <f aca="false">IF($G699="","","Finance Group")</f>
        <v/>
      </c>
      <c r="B699" s="19"/>
      <c r="C699" s="19"/>
      <c r="D699" s="19"/>
      <c r="E699" s="19"/>
      <c r="F699" s="19"/>
      <c r="G699" s="19"/>
      <c r="H699" s="19"/>
      <c r="I699" s="19"/>
      <c r="J699" s="19"/>
      <c r="K699" s="19"/>
      <c r="L699" s="19"/>
      <c r="M699" s="19"/>
      <c r="N699" s="19"/>
      <c r="O699" s="19"/>
      <c r="P699" s="19"/>
      <c r="Q699" s="19"/>
      <c r="R699" s="19"/>
      <c r="S699" s="19"/>
      <c r="T699" s="34" t="str">
        <f aca="false">IF($R699="","",IFERROR(INDEX(DriverCategory,MATCH($R699,DriverList,0)),"BAU"))</f>
        <v/>
      </c>
      <c r="U699" s="34" t="str">
        <f aca="false">IF($R699="","",IFERROR(INDEX(DriverRank,MATCH($R699,DriverList,0)),99))</f>
        <v/>
      </c>
      <c r="V699" s="35" t="n">
        <f aca="false">IF($H699="",0,IFERROR(INDEX(LevelBasic,MATCH($H699,LevelList,0))+INDEX(LevelHousing,MATCH($H699,LevelList,0))+INDEX(LevelTransport,MATCH($H699,LevelList,0))+INDEX(LevelBasic,MATCH($H699,LevelList,0))*INDEX(LevelBonus,MATCH($H699,LevelList,0))+(INDEX(LevelBasic,MATCH($H699,LevelList,0))+INDEX(LevelHousing,MATCH($H699,LevelList,0)))*GosiSaudi,0))</f>
        <v>0</v>
      </c>
      <c r="W699" s="35" t="n">
        <f aca="false">IFERROR(INDEX(LevelOneOff,MATCH($H699,LevelList,0)),0)</f>
        <v>0</v>
      </c>
      <c r="X699" s="35" t="str">
        <f aca="false">IF($G699="","",$V699*N($L699))</f>
        <v/>
      </c>
      <c r="Y699" s="35" t="str">
        <f aca="false">IF($G699="","",$V699*(N($M699)*1+N($N699)*0.75+N($O699)*0.5+N($P699)*0.25)+$W699*N($L699))</f>
        <v/>
      </c>
      <c r="Z699" s="35" t="str">
        <f aca="false">IF($G699="","",$U699*1000000+ROW())</f>
        <v/>
      </c>
      <c r="AA699" s="36" t="str">
        <f aca="false">IF($G699="","",MID(IF($C699="",", no division","")&amp;IF($E699="",", no unit","")&amp;IF($H699="",", no career level","")&amp;IF(N($L699)&lt;=0,", no quarter split","")&amp;IF($R699="",", no driver","")&amp;IF(AND($H699&lt;&gt;"",COUNTIF(CareerLevels,$H699)=0),", a career level that is not on the ladder","")&amp;IF(AND($R699&lt;&gt;"",COUNTIF(DriverList,$R699)=0),", a driver that is not on the list","")&amp;IF(ABS(N($L699)-(N($M699)+N($N699)+N($O699)+N($P699)))&gt;0.001,", a total that does not match its quarters",""),3,300))</f>
        <v/>
      </c>
    </row>
    <row r="700" customFormat="false" ht="15" hidden="false" customHeight="false" outlineLevel="0" collapsed="false">
      <c r="A700" s="33" t="str">
        <f aca="false">IF($G700="","","Finance Group")</f>
        <v/>
      </c>
      <c r="B700" s="19"/>
      <c r="C700" s="19"/>
      <c r="D700" s="19"/>
      <c r="E700" s="19"/>
      <c r="F700" s="19"/>
      <c r="G700" s="19"/>
      <c r="H700" s="19"/>
      <c r="I700" s="19"/>
      <c r="J700" s="19"/>
      <c r="K700" s="19"/>
      <c r="L700" s="19"/>
      <c r="M700" s="19"/>
      <c r="N700" s="19"/>
      <c r="O700" s="19"/>
      <c r="P700" s="19"/>
      <c r="Q700" s="19"/>
      <c r="R700" s="19"/>
      <c r="S700" s="19"/>
      <c r="T700" s="34" t="str">
        <f aca="false">IF($R700="","",IFERROR(INDEX(DriverCategory,MATCH($R700,DriverList,0)),"BAU"))</f>
        <v/>
      </c>
      <c r="U700" s="34" t="str">
        <f aca="false">IF($R700="","",IFERROR(INDEX(DriverRank,MATCH($R700,DriverList,0)),99))</f>
        <v/>
      </c>
      <c r="V700" s="35" t="n">
        <f aca="false">IF($H700="",0,IFERROR(INDEX(LevelBasic,MATCH($H700,LevelList,0))+INDEX(LevelHousing,MATCH($H700,LevelList,0))+INDEX(LevelTransport,MATCH($H700,LevelList,0))+INDEX(LevelBasic,MATCH($H700,LevelList,0))*INDEX(LevelBonus,MATCH($H700,LevelList,0))+(INDEX(LevelBasic,MATCH($H700,LevelList,0))+INDEX(LevelHousing,MATCH($H700,LevelList,0)))*GosiSaudi,0))</f>
        <v>0</v>
      </c>
      <c r="W700" s="35" t="n">
        <f aca="false">IFERROR(INDEX(LevelOneOff,MATCH($H700,LevelList,0)),0)</f>
        <v>0</v>
      </c>
      <c r="X700" s="35" t="str">
        <f aca="false">IF($G700="","",$V700*N($L700))</f>
        <v/>
      </c>
      <c r="Y700" s="35" t="str">
        <f aca="false">IF($G700="","",$V700*(N($M700)*1+N($N700)*0.75+N($O700)*0.5+N($P700)*0.25)+$W700*N($L700))</f>
        <v/>
      </c>
      <c r="Z700" s="35" t="str">
        <f aca="false">IF($G700="","",$U700*1000000+ROW())</f>
        <v/>
      </c>
      <c r="AA700" s="36" t="str">
        <f aca="false">IF($G700="","",MID(IF($C700="",", no division","")&amp;IF($E700="",", no unit","")&amp;IF($H700="",", no career level","")&amp;IF(N($L700)&lt;=0,", no quarter split","")&amp;IF($R700="",", no driver","")&amp;IF(AND($H700&lt;&gt;"",COUNTIF(CareerLevels,$H700)=0),", a career level that is not on the ladder","")&amp;IF(AND($R700&lt;&gt;"",COUNTIF(DriverList,$R700)=0),", a driver that is not on the list","")&amp;IF(ABS(N($L700)-(N($M700)+N($N700)+N($O700)+N($P700)))&gt;0.001,", a total that does not match its quarters",""),3,300))</f>
        <v/>
      </c>
    </row>
    <row r="701" customFormat="false" ht="15" hidden="false" customHeight="false" outlineLevel="0" collapsed="false">
      <c r="A701" s="33" t="str">
        <f aca="false">IF($G701="","","Finance Group")</f>
        <v/>
      </c>
      <c r="B701" s="19"/>
      <c r="C701" s="19"/>
      <c r="D701" s="19"/>
      <c r="E701" s="19"/>
      <c r="F701" s="19"/>
      <c r="G701" s="19"/>
      <c r="H701" s="19"/>
      <c r="I701" s="19"/>
      <c r="J701" s="19"/>
      <c r="K701" s="19"/>
      <c r="L701" s="19"/>
      <c r="M701" s="19"/>
      <c r="N701" s="19"/>
      <c r="O701" s="19"/>
      <c r="P701" s="19"/>
      <c r="Q701" s="19"/>
      <c r="R701" s="19"/>
      <c r="S701" s="19"/>
      <c r="T701" s="34" t="str">
        <f aca="false">IF($R701="","",IFERROR(INDEX(DriverCategory,MATCH($R701,DriverList,0)),"BAU"))</f>
        <v/>
      </c>
      <c r="U701" s="34" t="str">
        <f aca="false">IF($R701="","",IFERROR(INDEX(DriverRank,MATCH($R701,DriverList,0)),99))</f>
        <v/>
      </c>
      <c r="V701" s="35" t="n">
        <f aca="false">IF($H701="",0,IFERROR(INDEX(LevelBasic,MATCH($H701,LevelList,0))+INDEX(LevelHousing,MATCH($H701,LevelList,0))+INDEX(LevelTransport,MATCH($H701,LevelList,0))+INDEX(LevelBasic,MATCH($H701,LevelList,0))*INDEX(LevelBonus,MATCH($H701,LevelList,0))+(INDEX(LevelBasic,MATCH($H701,LevelList,0))+INDEX(LevelHousing,MATCH($H701,LevelList,0)))*GosiSaudi,0))</f>
        <v>0</v>
      </c>
      <c r="W701" s="35" t="n">
        <f aca="false">IFERROR(INDEX(LevelOneOff,MATCH($H701,LevelList,0)),0)</f>
        <v>0</v>
      </c>
      <c r="X701" s="35" t="str">
        <f aca="false">IF($G701="","",$V701*N($L701))</f>
        <v/>
      </c>
      <c r="Y701" s="35" t="str">
        <f aca="false">IF($G701="","",$V701*(N($M701)*1+N($N701)*0.75+N($O701)*0.5+N($P701)*0.25)+$W701*N($L701))</f>
        <v/>
      </c>
      <c r="Z701" s="35" t="str">
        <f aca="false">IF($G701="","",$U701*1000000+ROW())</f>
        <v/>
      </c>
      <c r="AA701" s="36" t="str">
        <f aca="false">IF($G701="","",MID(IF($C701="",", no division","")&amp;IF($E701="",", no unit","")&amp;IF($H701="",", no career level","")&amp;IF(N($L701)&lt;=0,", no quarter split","")&amp;IF($R701="",", no driver","")&amp;IF(AND($H701&lt;&gt;"",COUNTIF(CareerLevels,$H701)=0),", a career level that is not on the ladder","")&amp;IF(AND($R701&lt;&gt;"",COUNTIF(DriverList,$R701)=0),", a driver that is not on the list","")&amp;IF(ABS(N($L701)-(N($M701)+N($N701)+N($O701)+N($P701)))&gt;0.001,", a total that does not match its quarters",""),3,300))</f>
        <v/>
      </c>
    </row>
    <row r="702" customFormat="false" ht="15" hidden="false" customHeight="false" outlineLevel="0" collapsed="false">
      <c r="A702" s="33" t="str">
        <f aca="false">IF($G702="","","Finance Group")</f>
        <v/>
      </c>
      <c r="B702" s="19"/>
      <c r="C702" s="19"/>
      <c r="D702" s="19"/>
      <c r="E702" s="19"/>
      <c r="F702" s="19"/>
      <c r="G702" s="19"/>
      <c r="H702" s="19"/>
      <c r="I702" s="19"/>
      <c r="J702" s="19"/>
      <c r="K702" s="19"/>
      <c r="L702" s="19"/>
      <c r="M702" s="19"/>
      <c r="N702" s="19"/>
      <c r="O702" s="19"/>
      <c r="P702" s="19"/>
      <c r="Q702" s="19"/>
      <c r="R702" s="19"/>
      <c r="S702" s="19"/>
      <c r="T702" s="34" t="str">
        <f aca="false">IF($R702="","",IFERROR(INDEX(DriverCategory,MATCH($R702,DriverList,0)),"BAU"))</f>
        <v/>
      </c>
      <c r="U702" s="34" t="str">
        <f aca="false">IF($R702="","",IFERROR(INDEX(DriverRank,MATCH($R702,DriverList,0)),99))</f>
        <v/>
      </c>
      <c r="V702" s="35" t="n">
        <f aca="false">IF($H702="",0,IFERROR(INDEX(LevelBasic,MATCH($H702,LevelList,0))+INDEX(LevelHousing,MATCH($H702,LevelList,0))+INDEX(LevelTransport,MATCH($H702,LevelList,0))+INDEX(LevelBasic,MATCH($H702,LevelList,0))*INDEX(LevelBonus,MATCH($H702,LevelList,0))+(INDEX(LevelBasic,MATCH($H702,LevelList,0))+INDEX(LevelHousing,MATCH($H702,LevelList,0)))*GosiSaudi,0))</f>
        <v>0</v>
      </c>
      <c r="W702" s="35" t="n">
        <f aca="false">IFERROR(INDEX(LevelOneOff,MATCH($H702,LevelList,0)),0)</f>
        <v>0</v>
      </c>
      <c r="X702" s="35" t="str">
        <f aca="false">IF($G702="","",$V702*N($L702))</f>
        <v/>
      </c>
      <c r="Y702" s="35" t="str">
        <f aca="false">IF($G702="","",$V702*(N($M702)*1+N($N702)*0.75+N($O702)*0.5+N($P702)*0.25)+$W702*N($L702))</f>
        <v/>
      </c>
      <c r="Z702" s="35" t="str">
        <f aca="false">IF($G702="","",$U702*1000000+ROW())</f>
        <v/>
      </c>
      <c r="AA702" s="36" t="str">
        <f aca="false">IF($G702="","",MID(IF($C702="",", no division","")&amp;IF($E702="",", no unit","")&amp;IF($H702="",", no career level","")&amp;IF(N($L702)&lt;=0,", no quarter split","")&amp;IF($R702="",", no driver","")&amp;IF(AND($H702&lt;&gt;"",COUNTIF(CareerLevels,$H702)=0),", a career level that is not on the ladder","")&amp;IF(AND($R702&lt;&gt;"",COUNTIF(DriverList,$R702)=0),", a driver that is not on the list","")&amp;IF(ABS(N($L702)-(N($M702)+N($N702)+N($O702)+N($P702)))&gt;0.001,", a total that does not match its quarters",""),3,300))</f>
        <v/>
      </c>
    </row>
    <row r="703" customFormat="false" ht="15" hidden="false" customHeight="false" outlineLevel="0" collapsed="false">
      <c r="A703" s="33" t="str">
        <f aca="false">IF($G703="","","Finance Group")</f>
        <v/>
      </c>
      <c r="B703" s="19"/>
      <c r="C703" s="19"/>
      <c r="D703" s="19"/>
      <c r="E703" s="19"/>
      <c r="F703" s="19"/>
      <c r="G703" s="19"/>
      <c r="H703" s="19"/>
      <c r="I703" s="19"/>
      <c r="J703" s="19"/>
      <c r="K703" s="19"/>
      <c r="L703" s="19"/>
      <c r="M703" s="19"/>
      <c r="N703" s="19"/>
      <c r="O703" s="19"/>
      <c r="P703" s="19"/>
      <c r="Q703" s="19"/>
      <c r="R703" s="19"/>
      <c r="S703" s="19"/>
      <c r="T703" s="34" t="str">
        <f aca="false">IF($R703="","",IFERROR(INDEX(DriverCategory,MATCH($R703,DriverList,0)),"BAU"))</f>
        <v/>
      </c>
      <c r="U703" s="34" t="str">
        <f aca="false">IF($R703="","",IFERROR(INDEX(DriverRank,MATCH($R703,DriverList,0)),99))</f>
        <v/>
      </c>
      <c r="V703" s="35" t="n">
        <f aca="false">IF($H703="",0,IFERROR(INDEX(LevelBasic,MATCH($H703,LevelList,0))+INDEX(LevelHousing,MATCH($H703,LevelList,0))+INDEX(LevelTransport,MATCH($H703,LevelList,0))+INDEX(LevelBasic,MATCH($H703,LevelList,0))*INDEX(LevelBonus,MATCH($H703,LevelList,0))+(INDEX(LevelBasic,MATCH($H703,LevelList,0))+INDEX(LevelHousing,MATCH($H703,LevelList,0)))*GosiSaudi,0))</f>
        <v>0</v>
      </c>
      <c r="W703" s="35" t="n">
        <f aca="false">IFERROR(INDEX(LevelOneOff,MATCH($H703,LevelList,0)),0)</f>
        <v>0</v>
      </c>
      <c r="X703" s="35" t="str">
        <f aca="false">IF($G703="","",$V703*N($L703))</f>
        <v/>
      </c>
      <c r="Y703" s="35" t="str">
        <f aca="false">IF($G703="","",$V703*(N($M703)*1+N($N703)*0.75+N($O703)*0.5+N($P703)*0.25)+$W703*N($L703))</f>
        <v/>
      </c>
      <c r="Z703" s="35" t="str">
        <f aca="false">IF($G703="","",$U703*1000000+ROW())</f>
        <v/>
      </c>
      <c r="AA703" s="36" t="str">
        <f aca="false">IF($G703="","",MID(IF($C703="",", no division","")&amp;IF($E703="",", no unit","")&amp;IF($H703="",", no career level","")&amp;IF(N($L703)&lt;=0,", no quarter split","")&amp;IF($R703="",", no driver","")&amp;IF(AND($H703&lt;&gt;"",COUNTIF(CareerLevels,$H703)=0),", a career level that is not on the ladder","")&amp;IF(AND($R703&lt;&gt;"",COUNTIF(DriverList,$R703)=0),", a driver that is not on the list","")&amp;IF(ABS(N($L703)-(N($M703)+N($N703)+N($O703)+N($P703)))&gt;0.001,", a total that does not match its quarters",""),3,300))</f>
        <v/>
      </c>
    </row>
    <row r="704" customFormat="false" ht="15" hidden="false" customHeight="false" outlineLevel="0" collapsed="false">
      <c r="A704" s="33" t="str">
        <f aca="false">IF($G704="","","Finance Group")</f>
        <v/>
      </c>
      <c r="B704" s="19"/>
      <c r="C704" s="19"/>
      <c r="D704" s="19"/>
      <c r="E704" s="19"/>
      <c r="F704" s="19"/>
      <c r="G704" s="19"/>
      <c r="H704" s="19"/>
      <c r="I704" s="19"/>
      <c r="J704" s="19"/>
      <c r="K704" s="19"/>
      <c r="L704" s="19"/>
      <c r="M704" s="19"/>
      <c r="N704" s="19"/>
      <c r="O704" s="19"/>
      <c r="P704" s="19"/>
      <c r="Q704" s="19"/>
      <c r="R704" s="19"/>
      <c r="S704" s="19"/>
      <c r="T704" s="34" t="str">
        <f aca="false">IF($R704="","",IFERROR(INDEX(DriverCategory,MATCH($R704,DriverList,0)),"BAU"))</f>
        <v/>
      </c>
      <c r="U704" s="34" t="str">
        <f aca="false">IF($R704="","",IFERROR(INDEX(DriverRank,MATCH($R704,DriverList,0)),99))</f>
        <v/>
      </c>
      <c r="V704" s="35" t="n">
        <f aca="false">IF($H704="",0,IFERROR(INDEX(LevelBasic,MATCH($H704,LevelList,0))+INDEX(LevelHousing,MATCH($H704,LevelList,0))+INDEX(LevelTransport,MATCH($H704,LevelList,0))+INDEX(LevelBasic,MATCH($H704,LevelList,0))*INDEX(LevelBonus,MATCH($H704,LevelList,0))+(INDEX(LevelBasic,MATCH($H704,LevelList,0))+INDEX(LevelHousing,MATCH($H704,LevelList,0)))*GosiSaudi,0))</f>
        <v>0</v>
      </c>
      <c r="W704" s="35" t="n">
        <f aca="false">IFERROR(INDEX(LevelOneOff,MATCH($H704,LevelList,0)),0)</f>
        <v>0</v>
      </c>
      <c r="X704" s="35" t="str">
        <f aca="false">IF($G704="","",$V704*N($L704))</f>
        <v/>
      </c>
      <c r="Y704" s="35" t="str">
        <f aca="false">IF($G704="","",$V704*(N($M704)*1+N($N704)*0.75+N($O704)*0.5+N($P704)*0.25)+$W704*N($L704))</f>
        <v/>
      </c>
      <c r="Z704" s="35" t="str">
        <f aca="false">IF($G704="","",$U704*1000000+ROW())</f>
        <v/>
      </c>
      <c r="AA704" s="36" t="str">
        <f aca="false">IF($G704="","",MID(IF($C704="",", no division","")&amp;IF($E704="",", no unit","")&amp;IF($H704="",", no career level","")&amp;IF(N($L704)&lt;=0,", no quarter split","")&amp;IF($R704="",", no driver","")&amp;IF(AND($H704&lt;&gt;"",COUNTIF(CareerLevels,$H704)=0),", a career level that is not on the ladder","")&amp;IF(AND($R704&lt;&gt;"",COUNTIF(DriverList,$R704)=0),", a driver that is not on the list","")&amp;IF(ABS(N($L704)-(N($M704)+N($N704)+N($O704)+N($P704)))&gt;0.001,", a total that does not match its quarters",""),3,300))</f>
        <v/>
      </c>
    </row>
    <row r="705" customFormat="false" ht="15" hidden="false" customHeight="false" outlineLevel="0" collapsed="false">
      <c r="A705" s="33" t="str">
        <f aca="false">IF($G705="","","Finance Group")</f>
        <v/>
      </c>
      <c r="B705" s="19"/>
      <c r="C705" s="19"/>
      <c r="D705" s="19"/>
      <c r="E705" s="19"/>
      <c r="F705" s="19"/>
      <c r="G705" s="19"/>
      <c r="H705" s="19"/>
      <c r="I705" s="19"/>
      <c r="J705" s="19"/>
      <c r="K705" s="19"/>
      <c r="L705" s="19"/>
      <c r="M705" s="19"/>
      <c r="N705" s="19"/>
      <c r="O705" s="19"/>
      <c r="P705" s="19"/>
      <c r="Q705" s="19"/>
      <c r="R705" s="19"/>
      <c r="S705" s="19"/>
      <c r="T705" s="34" t="str">
        <f aca="false">IF($R705="","",IFERROR(INDEX(DriverCategory,MATCH($R705,DriverList,0)),"BAU"))</f>
        <v/>
      </c>
      <c r="U705" s="34" t="str">
        <f aca="false">IF($R705="","",IFERROR(INDEX(DriverRank,MATCH($R705,DriverList,0)),99))</f>
        <v/>
      </c>
      <c r="V705" s="35" t="n">
        <f aca="false">IF($H705="",0,IFERROR(INDEX(LevelBasic,MATCH($H705,LevelList,0))+INDEX(LevelHousing,MATCH($H705,LevelList,0))+INDEX(LevelTransport,MATCH($H705,LevelList,0))+INDEX(LevelBasic,MATCH($H705,LevelList,0))*INDEX(LevelBonus,MATCH($H705,LevelList,0))+(INDEX(LevelBasic,MATCH($H705,LevelList,0))+INDEX(LevelHousing,MATCH($H705,LevelList,0)))*GosiSaudi,0))</f>
        <v>0</v>
      </c>
      <c r="W705" s="35" t="n">
        <f aca="false">IFERROR(INDEX(LevelOneOff,MATCH($H705,LevelList,0)),0)</f>
        <v>0</v>
      </c>
      <c r="X705" s="35" t="str">
        <f aca="false">IF($G705="","",$V705*N($L705))</f>
        <v/>
      </c>
      <c r="Y705" s="35" t="str">
        <f aca="false">IF($G705="","",$V705*(N($M705)*1+N($N705)*0.75+N($O705)*0.5+N($P705)*0.25)+$W705*N($L705))</f>
        <v/>
      </c>
      <c r="Z705" s="35" t="str">
        <f aca="false">IF($G705="","",$U705*1000000+ROW())</f>
        <v/>
      </c>
      <c r="AA705" s="36" t="str">
        <f aca="false">IF($G705="","",MID(IF($C705="",", no division","")&amp;IF($E705="",", no unit","")&amp;IF($H705="",", no career level","")&amp;IF(N($L705)&lt;=0,", no quarter split","")&amp;IF($R705="",", no driver","")&amp;IF(AND($H705&lt;&gt;"",COUNTIF(CareerLevels,$H705)=0),", a career level that is not on the ladder","")&amp;IF(AND($R705&lt;&gt;"",COUNTIF(DriverList,$R705)=0),", a driver that is not on the list","")&amp;IF(ABS(N($L705)-(N($M705)+N($N705)+N($O705)+N($P705)))&gt;0.001,", a total that does not match its quarters",""),3,300))</f>
        <v/>
      </c>
    </row>
    <row r="706" customFormat="false" ht="15" hidden="false" customHeight="false" outlineLevel="0" collapsed="false">
      <c r="A706" s="33" t="str">
        <f aca="false">IF($G706="","","Finance Group")</f>
        <v/>
      </c>
      <c r="B706" s="19"/>
      <c r="C706" s="19"/>
      <c r="D706" s="19"/>
      <c r="E706" s="19"/>
      <c r="F706" s="19"/>
      <c r="G706" s="19"/>
      <c r="H706" s="19"/>
      <c r="I706" s="19"/>
      <c r="J706" s="19"/>
      <c r="K706" s="19"/>
      <c r="L706" s="19"/>
      <c r="M706" s="19"/>
      <c r="N706" s="19"/>
      <c r="O706" s="19"/>
      <c r="P706" s="19"/>
      <c r="Q706" s="19"/>
      <c r="R706" s="19"/>
      <c r="S706" s="19"/>
      <c r="T706" s="34" t="str">
        <f aca="false">IF($R706="","",IFERROR(INDEX(DriverCategory,MATCH($R706,DriverList,0)),"BAU"))</f>
        <v/>
      </c>
      <c r="U706" s="34" t="str">
        <f aca="false">IF($R706="","",IFERROR(INDEX(DriverRank,MATCH($R706,DriverList,0)),99))</f>
        <v/>
      </c>
      <c r="V706" s="35" t="n">
        <f aca="false">IF($H706="",0,IFERROR(INDEX(LevelBasic,MATCH($H706,LevelList,0))+INDEX(LevelHousing,MATCH($H706,LevelList,0))+INDEX(LevelTransport,MATCH($H706,LevelList,0))+INDEX(LevelBasic,MATCH($H706,LevelList,0))*INDEX(LevelBonus,MATCH($H706,LevelList,0))+(INDEX(LevelBasic,MATCH($H706,LevelList,0))+INDEX(LevelHousing,MATCH($H706,LevelList,0)))*GosiSaudi,0))</f>
        <v>0</v>
      </c>
      <c r="W706" s="35" t="n">
        <f aca="false">IFERROR(INDEX(LevelOneOff,MATCH($H706,LevelList,0)),0)</f>
        <v>0</v>
      </c>
      <c r="X706" s="35" t="str">
        <f aca="false">IF($G706="","",$V706*N($L706))</f>
        <v/>
      </c>
      <c r="Y706" s="35" t="str">
        <f aca="false">IF($G706="","",$V706*(N($M706)*1+N($N706)*0.75+N($O706)*0.5+N($P706)*0.25)+$W706*N($L706))</f>
        <v/>
      </c>
      <c r="Z706" s="35" t="str">
        <f aca="false">IF($G706="","",$U706*1000000+ROW())</f>
        <v/>
      </c>
      <c r="AA706" s="36" t="str">
        <f aca="false">IF($G706="","",MID(IF($C706="",", no division","")&amp;IF($E706="",", no unit","")&amp;IF($H706="",", no career level","")&amp;IF(N($L706)&lt;=0,", no quarter split","")&amp;IF($R706="",", no driver","")&amp;IF(AND($H706&lt;&gt;"",COUNTIF(CareerLevels,$H706)=0),", a career level that is not on the ladder","")&amp;IF(AND($R706&lt;&gt;"",COUNTIF(DriverList,$R706)=0),", a driver that is not on the list","")&amp;IF(ABS(N($L706)-(N($M706)+N($N706)+N($O706)+N($P706)))&gt;0.001,", a total that does not match its quarters",""),3,300))</f>
        <v/>
      </c>
    </row>
    <row r="707" customFormat="false" ht="15" hidden="false" customHeight="false" outlineLevel="0" collapsed="false">
      <c r="A707" s="33" t="str">
        <f aca="false">IF($G707="","","Finance Group")</f>
        <v/>
      </c>
      <c r="B707" s="19"/>
      <c r="C707" s="19"/>
      <c r="D707" s="19"/>
      <c r="E707" s="19"/>
      <c r="F707" s="19"/>
      <c r="G707" s="19"/>
      <c r="H707" s="19"/>
      <c r="I707" s="19"/>
      <c r="J707" s="19"/>
      <c r="K707" s="19"/>
      <c r="L707" s="19"/>
      <c r="M707" s="19"/>
      <c r="N707" s="19"/>
      <c r="O707" s="19"/>
      <c r="P707" s="19"/>
      <c r="Q707" s="19"/>
      <c r="R707" s="19"/>
      <c r="S707" s="19"/>
      <c r="T707" s="34" t="str">
        <f aca="false">IF($R707="","",IFERROR(INDEX(DriverCategory,MATCH($R707,DriverList,0)),"BAU"))</f>
        <v/>
      </c>
      <c r="U707" s="34" t="str">
        <f aca="false">IF($R707="","",IFERROR(INDEX(DriverRank,MATCH($R707,DriverList,0)),99))</f>
        <v/>
      </c>
      <c r="V707" s="35" t="n">
        <f aca="false">IF($H707="",0,IFERROR(INDEX(LevelBasic,MATCH($H707,LevelList,0))+INDEX(LevelHousing,MATCH($H707,LevelList,0))+INDEX(LevelTransport,MATCH($H707,LevelList,0))+INDEX(LevelBasic,MATCH($H707,LevelList,0))*INDEX(LevelBonus,MATCH($H707,LevelList,0))+(INDEX(LevelBasic,MATCH($H707,LevelList,0))+INDEX(LevelHousing,MATCH($H707,LevelList,0)))*GosiSaudi,0))</f>
        <v>0</v>
      </c>
      <c r="W707" s="35" t="n">
        <f aca="false">IFERROR(INDEX(LevelOneOff,MATCH($H707,LevelList,0)),0)</f>
        <v>0</v>
      </c>
      <c r="X707" s="35" t="str">
        <f aca="false">IF($G707="","",$V707*N($L707))</f>
        <v/>
      </c>
      <c r="Y707" s="35" t="str">
        <f aca="false">IF($G707="","",$V707*(N($M707)*1+N($N707)*0.75+N($O707)*0.5+N($P707)*0.25)+$W707*N($L707))</f>
        <v/>
      </c>
      <c r="Z707" s="35" t="str">
        <f aca="false">IF($G707="","",$U707*1000000+ROW())</f>
        <v/>
      </c>
      <c r="AA707" s="36" t="str">
        <f aca="false">IF($G707="","",MID(IF($C707="",", no division","")&amp;IF($E707="",", no unit","")&amp;IF($H707="",", no career level","")&amp;IF(N($L707)&lt;=0,", no quarter split","")&amp;IF($R707="",", no driver","")&amp;IF(AND($H707&lt;&gt;"",COUNTIF(CareerLevels,$H707)=0),", a career level that is not on the ladder","")&amp;IF(AND($R707&lt;&gt;"",COUNTIF(DriverList,$R707)=0),", a driver that is not on the list","")&amp;IF(ABS(N($L707)-(N($M707)+N($N707)+N($O707)+N($P707)))&gt;0.001,", a total that does not match its quarters",""),3,300))</f>
        <v/>
      </c>
    </row>
    <row r="708" customFormat="false" ht="15" hidden="false" customHeight="false" outlineLevel="0" collapsed="false">
      <c r="A708" s="33" t="str">
        <f aca="false">IF($G708="","","Finance Group")</f>
        <v/>
      </c>
      <c r="B708" s="19"/>
      <c r="C708" s="19"/>
      <c r="D708" s="19"/>
      <c r="E708" s="19"/>
      <c r="F708" s="19"/>
      <c r="G708" s="19"/>
      <c r="H708" s="19"/>
      <c r="I708" s="19"/>
      <c r="J708" s="19"/>
      <c r="K708" s="19"/>
      <c r="L708" s="19"/>
      <c r="M708" s="19"/>
      <c r="N708" s="19"/>
      <c r="O708" s="19"/>
      <c r="P708" s="19"/>
      <c r="Q708" s="19"/>
      <c r="R708" s="19"/>
      <c r="S708" s="19"/>
      <c r="T708" s="34" t="str">
        <f aca="false">IF($R708="","",IFERROR(INDEX(DriverCategory,MATCH($R708,DriverList,0)),"BAU"))</f>
        <v/>
      </c>
      <c r="U708" s="34" t="str">
        <f aca="false">IF($R708="","",IFERROR(INDEX(DriverRank,MATCH($R708,DriverList,0)),99))</f>
        <v/>
      </c>
      <c r="V708" s="35" t="n">
        <f aca="false">IF($H708="",0,IFERROR(INDEX(LevelBasic,MATCH($H708,LevelList,0))+INDEX(LevelHousing,MATCH($H708,LevelList,0))+INDEX(LevelTransport,MATCH($H708,LevelList,0))+INDEX(LevelBasic,MATCH($H708,LevelList,0))*INDEX(LevelBonus,MATCH($H708,LevelList,0))+(INDEX(LevelBasic,MATCH($H708,LevelList,0))+INDEX(LevelHousing,MATCH($H708,LevelList,0)))*GosiSaudi,0))</f>
        <v>0</v>
      </c>
      <c r="W708" s="35" t="n">
        <f aca="false">IFERROR(INDEX(LevelOneOff,MATCH($H708,LevelList,0)),0)</f>
        <v>0</v>
      </c>
      <c r="X708" s="35" t="str">
        <f aca="false">IF($G708="","",$V708*N($L708))</f>
        <v/>
      </c>
      <c r="Y708" s="35" t="str">
        <f aca="false">IF($G708="","",$V708*(N($M708)*1+N($N708)*0.75+N($O708)*0.5+N($P708)*0.25)+$W708*N($L708))</f>
        <v/>
      </c>
      <c r="Z708" s="35" t="str">
        <f aca="false">IF($G708="","",$U708*1000000+ROW())</f>
        <v/>
      </c>
      <c r="AA708" s="36" t="str">
        <f aca="false">IF($G708="","",MID(IF($C708="",", no division","")&amp;IF($E708="",", no unit","")&amp;IF($H708="",", no career level","")&amp;IF(N($L708)&lt;=0,", no quarter split","")&amp;IF($R708="",", no driver","")&amp;IF(AND($H708&lt;&gt;"",COUNTIF(CareerLevels,$H708)=0),", a career level that is not on the ladder","")&amp;IF(AND($R708&lt;&gt;"",COUNTIF(DriverList,$R708)=0),", a driver that is not on the list","")&amp;IF(ABS(N($L708)-(N($M708)+N($N708)+N($O708)+N($P708)))&gt;0.001,", a total that does not match its quarters",""),3,300))</f>
        <v/>
      </c>
    </row>
    <row r="709" customFormat="false" ht="15" hidden="false" customHeight="false" outlineLevel="0" collapsed="false">
      <c r="A709" s="33" t="str">
        <f aca="false">IF($G709="","","Finance Group")</f>
        <v/>
      </c>
      <c r="B709" s="19"/>
      <c r="C709" s="19"/>
      <c r="D709" s="19"/>
      <c r="E709" s="19"/>
      <c r="F709" s="19"/>
      <c r="G709" s="19"/>
      <c r="H709" s="19"/>
      <c r="I709" s="19"/>
      <c r="J709" s="19"/>
      <c r="K709" s="19"/>
      <c r="L709" s="19"/>
      <c r="M709" s="19"/>
      <c r="N709" s="19"/>
      <c r="O709" s="19"/>
      <c r="P709" s="19"/>
      <c r="Q709" s="19"/>
      <c r="R709" s="19"/>
      <c r="S709" s="19"/>
      <c r="T709" s="34" t="str">
        <f aca="false">IF($R709="","",IFERROR(INDEX(DriverCategory,MATCH($R709,DriverList,0)),"BAU"))</f>
        <v/>
      </c>
      <c r="U709" s="34" t="str">
        <f aca="false">IF($R709="","",IFERROR(INDEX(DriverRank,MATCH($R709,DriverList,0)),99))</f>
        <v/>
      </c>
      <c r="V709" s="35" t="n">
        <f aca="false">IF($H709="",0,IFERROR(INDEX(LevelBasic,MATCH($H709,LevelList,0))+INDEX(LevelHousing,MATCH($H709,LevelList,0))+INDEX(LevelTransport,MATCH($H709,LevelList,0))+INDEX(LevelBasic,MATCH($H709,LevelList,0))*INDEX(LevelBonus,MATCH($H709,LevelList,0))+(INDEX(LevelBasic,MATCH($H709,LevelList,0))+INDEX(LevelHousing,MATCH($H709,LevelList,0)))*GosiSaudi,0))</f>
        <v>0</v>
      </c>
      <c r="W709" s="35" t="n">
        <f aca="false">IFERROR(INDEX(LevelOneOff,MATCH($H709,LevelList,0)),0)</f>
        <v>0</v>
      </c>
      <c r="X709" s="35" t="str">
        <f aca="false">IF($G709="","",$V709*N($L709))</f>
        <v/>
      </c>
      <c r="Y709" s="35" t="str">
        <f aca="false">IF($G709="","",$V709*(N($M709)*1+N($N709)*0.75+N($O709)*0.5+N($P709)*0.25)+$W709*N($L709))</f>
        <v/>
      </c>
      <c r="Z709" s="35" t="str">
        <f aca="false">IF($G709="","",$U709*1000000+ROW())</f>
        <v/>
      </c>
      <c r="AA709" s="36" t="str">
        <f aca="false">IF($G709="","",MID(IF($C709="",", no division","")&amp;IF($E709="",", no unit","")&amp;IF($H709="",", no career level","")&amp;IF(N($L709)&lt;=0,", no quarter split","")&amp;IF($R709="",", no driver","")&amp;IF(AND($H709&lt;&gt;"",COUNTIF(CareerLevels,$H709)=0),", a career level that is not on the ladder","")&amp;IF(AND($R709&lt;&gt;"",COUNTIF(DriverList,$R709)=0),", a driver that is not on the list","")&amp;IF(ABS(N($L709)-(N($M709)+N($N709)+N($O709)+N($P709)))&gt;0.001,", a total that does not match its quarters",""),3,300))</f>
        <v/>
      </c>
    </row>
    <row r="710" customFormat="false" ht="15" hidden="false" customHeight="false" outlineLevel="0" collapsed="false">
      <c r="A710" s="33" t="str">
        <f aca="false">IF($G710="","","Finance Group")</f>
        <v/>
      </c>
      <c r="B710" s="19"/>
      <c r="C710" s="19"/>
      <c r="D710" s="19"/>
      <c r="E710" s="19"/>
      <c r="F710" s="19"/>
      <c r="G710" s="19"/>
      <c r="H710" s="19"/>
      <c r="I710" s="19"/>
      <c r="J710" s="19"/>
      <c r="K710" s="19"/>
      <c r="L710" s="19"/>
      <c r="M710" s="19"/>
      <c r="N710" s="19"/>
      <c r="O710" s="19"/>
      <c r="P710" s="19"/>
      <c r="Q710" s="19"/>
      <c r="R710" s="19"/>
      <c r="S710" s="19"/>
      <c r="T710" s="34" t="str">
        <f aca="false">IF($R710="","",IFERROR(INDEX(DriverCategory,MATCH($R710,DriverList,0)),"BAU"))</f>
        <v/>
      </c>
      <c r="U710" s="34" t="str">
        <f aca="false">IF($R710="","",IFERROR(INDEX(DriverRank,MATCH($R710,DriverList,0)),99))</f>
        <v/>
      </c>
      <c r="V710" s="35" t="n">
        <f aca="false">IF($H710="",0,IFERROR(INDEX(LevelBasic,MATCH($H710,LevelList,0))+INDEX(LevelHousing,MATCH($H710,LevelList,0))+INDEX(LevelTransport,MATCH($H710,LevelList,0))+INDEX(LevelBasic,MATCH($H710,LevelList,0))*INDEX(LevelBonus,MATCH($H710,LevelList,0))+(INDEX(LevelBasic,MATCH($H710,LevelList,0))+INDEX(LevelHousing,MATCH($H710,LevelList,0)))*GosiSaudi,0))</f>
        <v>0</v>
      </c>
      <c r="W710" s="35" t="n">
        <f aca="false">IFERROR(INDEX(LevelOneOff,MATCH($H710,LevelList,0)),0)</f>
        <v>0</v>
      </c>
      <c r="X710" s="35" t="str">
        <f aca="false">IF($G710="","",$V710*N($L710))</f>
        <v/>
      </c>
      <c r="Y710" s="35" t="str">
        <f aca="false">IF($G710="","",$V710*(N($M710)*1+N($N710)*0.75+N($O710)*0.5+N($P710)*0.25)+$W710*N($L710))</f>
        <v/>
      </c>
      <c r="Z710" s="35" t="str">
        <f aca="false">IF($G710="","",$U710*1000000+ROW())</f>
        <v/>
      </c>
      <c r="AA710" s="36" t="str">
        <f aca="false">IF($G710="","",MID(IF($C710="",", no division","")&amp;IF($E710="",", no unit","")&amp;IF($H710="",", no career level","")&amp;IF(N($L710)&lt;=0,", no quarter split","")&amp;IF($R710="",", no driver","")&amp;IF(AND($H710&lt;&gt;"",COUNTIF(CareerLevels,$H710)=0),", a career level that is not on the ladder","")&amp;IF(AND($R710&lt;&gt;"",COUNTIF(DriverList,$R710)=0),", a driver that is not on the list","")&amp;IF(ABS(N($L710)-(N($M710)+N($N710)+N($O710)+N($P710)))&gt;0.001,", a total that does not match its quarters",""),3,300))</f>
        <v/>
      </c>
    </row>
    <row r="711" customFormat="false" ht="15" hidden="false" customHeight="false" outlineLevel="0" collapsed="false">
      <c r="A711" s="33" t="str">
        <f aca="false">IF($G711="","","Finance Group")</f>
        <v/>
      </c>
      <c r="B711" s="19"/>
      <c r="C711" s="19"/>
      <c r="D711" s="19"/>
      <c r="E711" s="19"/>
      <c r="F711" s="19"/>
      <c r="G711" s="19"/>
      <c r="H711" s="19"/>
      <c r="I711" s="19"/>
      <c r="J711" s="19"/>
      <c r="K711" s="19"/>
      <c r="L711" s="19"/>
      <c r="M711" s="19"/>
      <c r="N711" s="19"/>
      <c r="O711" s="19"/>
      <c r="P711" s="19"/>
      <c r="Q711" s="19"/>
      <c r="R711" s="19"/>
      <c r="S711" s="19"/>
      <c r="T711" s="34" t="str">
        <f aca="false">IF($R711="","",IFERROR(INDEX(DriverCategory,MATCH($R711,DriverList,0)),"BAU"))</f>
        <v/>
      </c>
      <c r="U711" s="34" t="str">
        <f aca="false">IF($R711="","",IFERROR(INDEX(DriverRank,MATCH($R711,DriverList,0)),99))</f>
        <v/>
      </c>
      <c r="V711" s="35" t="n">
        <f aca="false">IF($H711="",0,IFERROR(INDEX(LevelBasic,MATCH($H711,LevelList,0))+INDEX(LevelHousing,MATCH($H711,LevelList,0))+INDEX(LevelTransport,MATCH($H711,LevelList,0))+INDEX(LevelBasic,MATCH($H711,LevelList,0))*INDEX(LevelBonus,MATCH($H711,LevelList,0))+(INDEX(LevelBasic,MATCH($H711,LevelList,0))+INDEX(LevelHousing,MATCH($H711,LevelList,0)))*GosiSaudi,0))</f>
        <v>0</v>
      </c>
      <c r="W711" s="35" t="n">
        <f aca="false">IFERROR(INDEX(LevelOneOff,MATCH($H711,LevelList,0)),0)</f>
        <v>0</v>
      </c>
      <c r="X711" s="35" t="str">
        <f aca="false">IF($G711="","",$V711*N($L711))</f>
        <v/>
      </c>
      <c r="Y711" s="35" t="str">
        <f aca="false">IF($G711="","",$V711*(N($M711)*1+N($N711)*0.75+N($O711)*0.5+N($P711)*0.25)+$W711*N($L711))</f>
        <v/>
      </c>
      <c r="Z711" s="35" t="str">
        <f aca="false">IF($G711="","",$U711*1000000+ROW())</f>
        <v/>
      </c>
      <c r="AA711" s="36" t="str">
        <f aca="false">IF($G711="","",MID(IF($C711="",", no division","")&amp;IF($E711="",", no unit","")&amp;IF($H711="",", no career level","")&amp;IF(N($L711)&lt;=0,", no quarter split","")&amp;IF($R711="",", no driver","")&amp;IF(AND($H711&lt;&gt;"",COUNTIF(CareerLevels,$H711)=0),", a career level that is not on the ladder","")&amp;IF(AND($R711&lt;&gt;"",COUNTIF(DriverList,$R711)=0),", a driver that is not on the list","")&amp;IF(ABS(N($L711)-(N($M711)+N($N711)+N($O711)+N($P711)))&gt;0.001,", a total that does not match its quarters",""),3,300))</f>
        <v/>
      </c>
    </row>
    <row r="712" customFormat="false" ht="15" hidden="false" customHeight="false" outlineLevel="0" collapsed="false">
      <c r="A712" s="33" t="str">
        <f aca="false">IF($G712="","","Finance Group")</f>
        <v/>
      </c>
      <c r="B712" s="19"/>
      <c r="C712" s="19"/>
      <c r="D712" s="19"/>
      <c r="E712" s="19"/>
      <c r="F712" s="19"/>
      <c r="G712" s="19"/>
      <c r="H712" s="19"/>
      <c r="I712" s="19"/>
      <c r="J712" s="19"/>
      <c r="K712" s="19"/>
      <c r="L712" s="19"/>
      <c r="M712" s="19"/>
      <c r="N712" s="19"/>
      <c r="O712" s="19"/>
      <c r="P712" s="19"/>
      <c r="Q712" s="19"/>
      <c r="R712" s="19"/>
      <c r="S712" s="19"/>
      <c r="T712" s="34" t="str">
        <f aca="false">IF($R712="","",IFERROR(INDEX(DriverCategory,MATCH($R712,DriverList,0)),"BAU"))</f>
        <v/>
      </c>
      <c r="U712" s="34" t="str">
        <f aca="false">IF($R712="","",IFERROR(INDEX(DriverRank,MATCH($R712,DriverList,0)),99))</f>
        <v/>
      </c>
      <c r="V712" s="35" t="n">
        <f aca="false">IF($H712="",0,IFERROR(INDEX(LevelBasic,MATCH($H712,LevelList,0))+INDEX(LevelHousing,MATCH($H712,LevelList,0))+INDEX(LevelTransport,MATCH($H712,LevelList,0))+INDEX(LevelBasic,MATCH($H712,LevelList,0))*INDEX(LevelBonus,MATCH($H712,LevelList,0))+(INDEX(LevelBasic,MATCH($H712,LevelList,0))+INDEX(LevelHousing,MATCH($H712,LevelList,0)))*GosiSaudi,0))</f>
        <v>0</v>
      </c>
      <c r="W712" s="35" t="n">
        <f aca="false">IFERROR(INDEX(LevelOneOff,MATCH($H712,LevelList,0)),0)</f>
        <v>0</v>
      </c>
      <c r="X712" s="35" t="str">
        <f aca="false">IF($G712="","",$V712*N($L712))</f>
        <v/>
      </c>
      <c r="Y712" s="35" t="str">
        <f aca="false">IF($G712="","",$V712*(N($M712)*1+N($N712)*0.75+N($O712)*0.5+N($P712)*0.25)+$W712*N($L712))</f>
        <v/>
      </c>
      <c r="Z712" s="35" t="str">
        <f aca="false">IF($G712="","",$U712*1000000+ROW())</f>
        <v/>
      </c>
      <c r="AA712" s="36" t="str">
        <f aca="false">IF($G712="","",MID(IF($C712="",", no division","")&amp;IF($E712="",", no unit","")&amp;IF($H712="",", no career level","")&amp;IF(N($L712)&lt;=0,", no quarter split","")&amp;IF($R712="",", no driver","")&amp;IF(AND($H712&lt;&gt;"",COUNTIF(CareerLevels,$H712)=0),", a career level that is not on the ladder","")&amp;IF(AND($R712&lt;&gt;"",COUNTIF(DriverList,$R712)=0),", a driver that is not on the list","")&amp;IF(ABS(N($L712)-(N($M712)+N($N712)+N($O712)+N($P712)))&gt;0.001,", a total that does not match its quarters",""),3,300))</f>
        <v/>
      </c>
    </row>
    <row r="713" customFormat="false" ht="15" hidden="false" customHeight="false" outlineLevel="0" collapsed="false">
      <c r="A713" s="33" t="str">
        <f aca="false">IF($G713="","","Finance Group")</f>
        <v/>
      </c>
      <c r="B713" s="19"/>
      <c r="C713" s="19"/>
      <c r="D713" s="19"/>
      <c r="E713" s="19"/>
      <c r="F713" s="19"/>
      <c r="G713" s="19"/>
      <c r="H713" s="19"/>
      <c r="I713" s="19"/>
      <c r="J713" s="19"/>
      <c r="K713" s="19"/>
      <c r="L713" s="19"/>
      <c r="M713" s="19"/>
      <c r="N713" s="19"/>
      <c r="O713" s="19"/>
      <c r="P713" s="19"/>
      <c r="Q713" s="19"/>
      <c r="R713" s="19"/>
      <c r="S713" s="19"/>
      <c r="T713" s="34" t="str">
        <f aca="false">IF($R713="","",IFERROR(INDEX(DriverCategory,MATCH($R713,DriverList,0)),"BAU"))</f>
        <v/>
      </c>
      <c r="U713" s="34" t="str">
        <f aca="false">IF($R713="","",IFERROR(INDEX(DriverRank,MATCH($R713,DriverList,0)),99))</f>
        <v/>
      </c>
      <c r="V713" s="35" t="n">
        <f aca="false">IF($H713="",0,IFERROR(INDEX(LevelBasic,MATCH($H713,LevelList,0))+INDEX(LevelHousing,MATCH($H713,LevelList,0))+INDEX(LevelTransport,MATCH($H713,LevelList,0))+INDEX(LevelBasic,MATCH($H713,LevelList,0))*INDEX(LevelBonus,MATCH($H713,LevelList,0))+(INDEX(LevelBasic,MATCH($H713,LevelList,0))+INDEX(LevelHousing,MATCH($H713,LevelList,0)))*GosiSaudi,0))</f>
        <v>0</v>
      </c>
      <c r="W713" s="35" t="n">
        <f aca="false">IFERROR(INDEX(LevelOneOff,MATCH($H713,LevelList,0)),0)</f>
        <v>0</v>
      </c>
      <c r="X713" s="35" t="str">
        <f aca="false">IF($G713="","",$V713*N($L713))</f>
        <v/>
      </c>
      <c r="Y713" s="35" t="str">
        <f aca="false">IF($G713="","",$V713*(N($M713)*1+N($N713)*0.75+N($O713)*0.5+N($P713)*0.25)+$W713*N($L713))</f>
        <v/>
      </c>
      <c r="Z713" s="35" t="str">
        <f aca="false">IF($G713="","",$U713*1000000+ROW())</f>
        <v/>
      </c>
      <c r="AA713" s="36" t="str">
        <f aca="false">IF($G713="","",MID(IF($C713="",", no division","")&amp;IF($E713="",", no unit","")&amp;IF($H713="",", no career level","")&amp;IF(N($L713)&lt;=0,", no quarter split","")&amp;IF($R713="",", no driver","")&amp;IF(AND($H713&lt;&gt;"",COUNTIF(CareerLevels,$H713)=0),", a career level that is not on the ladder","")&amp;IF(AND($R713&lt;&gt;"",COUNTIF(DriverList,$R713)=0),", a driver that is not on the list","")&amp;IF(ABS(N($L713)-(N($M713)+N($N713)+N($O713)+N($P713)))&gt;0.001,", a total that does not match its quarters",""),3,300))</f>
        <v/>
      </c>
    </row>
    <row r="714" customFormat="false" ht="15" hidden="false" customHeight="false" outlineLevel="0" collapsed="false">
      <c r="A714" s="33" t="str">
        <f aca="false">IF($G714="","","Finance Group")</f>
        <v/>
      </c>
      <c r="B714" s="19"/>
      <c r="C714" s="19"/>
      <c r="D714" s="19"/>
      <c r="E714" s="19"/>
      <c r="F714" s="19"/>
      <c r="G714" s="19"/>
      <c r="H714" s="19"/>
      <c r="I714" s="19"/>
      <c r="J714" s="19"/>
      <c r="K714" s="19"/>
      <c r="L714" s="19"/>
      <c r="M714" s="19"/>
      <c r="N714" s="19"/>
      <c r="O714" s="19"/>
      <c r="P714" s="19"/>
      <c r="Q714" s="19"/>
      <c r="R714" s="19"/>
      <c r="S714" s="19"/>
      <c r="T714" s="34" t="str">
        <f aca="false">IF($R714="","",IFERROR(INDEX(DriverCategory,MATCH($R714,DriverList,0)),"BAU"))</f>
        <v/>
      </c>
      <c r="U714" s="34" t="str">
        <f aca="false">IF($R714="","",IFERROR(INDEX(DriverRank,MATCH($R714,DriverList,0)),99))</f>
        <v/>
      </c>
      <c r="V714" s="35" t="n">
        <f aca="false">IF($H714="",0,IFERROR(INDEX(LevelBasic,MATCH($H714,LevelList,0))+INDEX(LevelHousing,MATCH($H714,LevelList,0))+INDEX(LevelTransport,MATCH($H714,LevelList,0))+INDEX(LevelBasic,MATCH($H714,LevelList,0))*INDEX(LevelBonus,MATCH($H714,LevelList,0))+(INDEX(LevelBasic,MATCH($H714,LevelList,0))+INDEX(LevelHousing,MATCH($H714,LevelList,0)))*GosiSaudi,0))</f>
        <v>0</v>
      </c>
      <c r="W714" s="35" t="n">
        <f aca="false">IFERROR(INDEX(LevelOneOff,MATCH($H714,LevelList,0)),0)</f>
        <v>0</v>
      </c>
      <c r="X714" s="35" t="str">
        <f aca="false">IF($G714="","",$V714*N($L714))</f>
        <v/>
      </c>
      <c r="Y714" s="35" t="str">
        <f aca="false">IF($G714="","",$V714*(N($M714)*1+N($N714)*0.75+N($O714)*0.5+N($P714)*0.25)+$W714*N($L714))</f>
        <v/>
      </c>
      <c r="Z714" s="35" t="str">
        <f aca="false">IF($G714="","",$U714*1000000+ROW())</f>
        <v/>
      </c>
      <c r="AA714" s="36" t="str">
        <f aca="false">IF($G714="","",MID(IF($C714="",", no division","")&amp;IF($E714="",", no unit","")&amp;IF($H714="",", no career level","")&amp;IF(N($L714)&lt;=0,", no quarter split","")&amp;IF($R714="",", no driver","")&amp;IF(AND($H714&lt;&gt;"",COUNTIF(CareerLevels,$H714)=0),", a career level that is not on the ladder","")&amp;IF(AND($R714&lt;&gt;"",COUNTIF(DriverList,$R714)=0),", a driver that is not on the list","")&amp;IF(ABS(N($L714)-(N($M714)+N($N714)+N($O714)+N($P714)))&gt;0.001,", a total that does not match its quarters",""),3,300))</f>
        <v/>
      </c>
    </row>
    <row r="715" customFormat="false" ht="15" hidden="false" customHeight="false" outlineLevel="0" collapsed="false">
      <c r="A715" s="33" t="str">
        <f aca="false">IF($G715="","","Finance Group")</f>
        <v/>
      </c>
      <c r="B715" s="19"/>
      <c r="C715" s="19"/>
      <c r="D715" s="19"/>
      <c r="E715" s="19"/>
      <c r="F715" s="19"/>
      <c r="G715" s="19"/>
      <c r="H715" s="19"/>
      <c r="I715" s="19"/>
      <c r="J715" s="19"/>
      <c r="K715" s="19"/>
      <c r="L715" s="19"/>
      <c r="M715" s="19"/>
      <c r="N715" s="19"/>
      <c r="O715" s="19"/>
      <c r="P715" s="19"/>
      <c r="Q715" s="19"/>
      <c r="R715" s="19"/>
      <c r="S715" s="19"/>
      <c r="T715" s="34" t="str">
        <f aca="false">IF($R715="","",IFERROR(INDEX(DriverCategory,MATCH($R715,DriverList,0)),"BAU"))</f>
        <v/>
      </c>
      <c r="U715" s="34" t="str">
        <f aca="false">IF($R715="","",IFERROR(INDEX(DriverRank,MATCH($R715,DriverList,0)),99))</f>
        <v/>
      </c>
      <c r="V715" s="35" t="n">
        <f aca="false">IF($H715="",0,IFERROR(INDEX(LevelBasic,MATCH($H715,LevelList,0))+INDEX(LevelHousing,MATCH($H715,LevelList,0))+INDEX(LevelTransport,MATCH($H715,LevelList,0))+INDEX(LevelBasic,MATCH($H715,LevelList,0))*INDEX(LevelBonus,MATCH($H715,LevelList,0))+(INDEX(LevelBasic,MATCH($H715,LevelList,0))+INDEX(LevelHousing,MATCH($H715,LevelList,0)))*GosiSaudi,0))</f>
        <v>0</v>
      </c>
      <c r="W715" s="35" t="n">
        <f aca="false">IFERROR(INDEX(LevelOneOff,MATCH($H715,LevelList,0)),0)</f>
        <v>0</v>
      </c>
      <c r="X715" s="35" t="str">
        <f aca="false">IF($G715="","",$V715*N($L715))</f>
        <v/>
      </c>
      <c r="Y715" s="35" t="str">
        <f aca="false">IF($G715="","",$V715*(N($M715)*1+N($N715)*0.75+N($O715)*0.5+N($P715)*0.25)+$W715*N($L715))</f>
        <v/>
      </c>
      <c r="Z715" s="35" t="str">
        <f aca="false">IF($G715="","",$U715*1000000+ROW())</f>
        <v/>
      </c>
      <c r="AA715" s="36" t="str">
        <f aca="false">IF($G715="","",MID(IF($C715="",", no division","")&amp;IF($E715="",", no unit","")&amp;IF($H715="",", no career level","")&amp;IF(N($L715)&lt;=0,", no quarter split","")&amp;IF($R715="",", no driver","")&amp;IF(AND($H715&lt;&gt;"",COUNTIF(CareerLevels,$H715)=0),", a career level that is not on the ladder","")&amp;IF(AND($R715&lt;&gt;"",COUNTIF(DriverList,$R715)=0),", a driver that is not on the list","")&amp;IF(ABS(N($L715)-(N($M715)+N($N715)+N($O715)+N($P715)))&gt;0.001,", a total that does not match its quarters",""),3,300))</f>
        <v/>
      </c>
    </row>
    <row r="716" customFormat="false" ht="15" hidden="false" customHeight="false" outlineLevel="0" collapsed="false">
      <c r="A716" s="33" t="str">
        <f aca="false">IF($G716="","","Finance Group")</f>
        <v/>
      </c>
      <c r="B716" s="19"/>
      <c r="C716" s="19"/>
      <c r="D716" s="19"/>
      <c r="E716" s="19"/>
      <c r="F716" s="19"/>
      <c r="G716" s="19"/>
      <c r="H716" s="19"/>
      <c r="I716" s="19"/>
      <c r="J716" s="19"/>
      <c r="K716" s="19"/>
      <c r="L716" s="19"/>
      <c r="M716" s="19"/>
      <c r="N716" s="19"/>
      <c r="O716" s="19"/>
      <c r="P716" s="19"/>
      <c r="Q716" s="19"/>
      <c r="R716" s="19"/>
      <c r="S716" s="19"/>
      <c r="T716" s="34" t="str">
        <f aca="false">IF($R716="","",IFERROR(INDEX(DriverCategory,MATCH($R716,DriverList,0)),"BAU"))</f>
        <v/>
      </c>
      <c r="U716" s="34" t="str">
        <f aca="false">IF($R716="","",IFERROR(INDEX(DriverRank,MATCH($R716,DriverList,0)),99))</f>
        <v/>
      </c>
      <c r="V716" s="35" t="n">
        <f aca="false">IF($H716="",0,IFERROR(INDEX(LevelBasic,MATCH($H716,LevelList,0))+INDEX(LevelHousing,MATCH($H716,LevelList,0))+INDEX(LevelTransport,MATCH($H716,LevelList,0))+INDEX(LevelBasic,MATCH($H716,LevelList,0))*INDEX(LevelBonus,MATCH($H716,LevelList,0))+(INDEX(LevelBasic,MATCH($H716,LevelList,0))+INDEX(LevelHousing,MATCH($H716,LevelList,0)))*GosiSaudi,0))</f>
        <v>0</v>
      </c>
      <c r="W716" s="35" t="n">
        <f aca="false">IFERROR(INDEX(LevelOneOff,MATCH($H716,LevelList,0)),0)</f>
        <v>0</v>
      </c>
      <c r="X716" s="35" t="str">
        <f aca="false">IF($G716="","",$V716*N($L716))</f>
        <v/>
      </c>
      <c r="Y716" s="35" t="str">
        <f aca="false">IF($G716="","",$V716*(N($M716)*1+N($N716)*0.75+N($O716)*0.5+N($P716)*0.25)+$W716*N($L716))</f>
        <v/>
      </c>
      <c r="Z716" s="35" t="str">
        <f aca="false">IF($G716="","",$U716*1000000+ROW())</f>
        <v/>
      </c>
      <c r="AA716" s="36" t="str">
        <f aca="false">IF($G716="","",MID(IF($C716="",", no division","")&amp;IF($E716="",", no unit","")&amp;IF($H716="",", no career level","")&amp;IF(N($L716)&lt;=0,", no quarter split","")&amp;IF($R716="",", no driver","")&amp;IF(AND($H716&lt;&gt;"",COUNTIF(CareerLevels,$H716)=0),", a career level that is not on the ladder","")&amp;IF(AND($R716&lt;&gt;"",COUNTIF(DriverList,$R716)=0),", a driver that is not on the list","")&amp;IF(ABS(N($L716)-(N($M716)+N($N716)+N($O716)+N($P716)))&gt;0.001,", a total that does not match its quarters",""),3,300))</f>
        <v/>
      </c>
    </row>
    <row r="717" customFormat="false" ht="15" hidden="false" customHeight="false" outlineLevel="0" collapsed="false">
      <c r="A717" s="33" t="str">
        <f aca="false">IF($G717="","","Finance Group")</f>
        <v/>
      </c>
      <c r="B717" s="19"/>
      <c r="C717" s="19"/>
      <c r="D717" s="19"/>
      <c r="E717" s="19"/>
      <c r="F717" s="19"/>
      <c r="G717" s="19"/>
      <c r="H717" s="19"/>
      <c r="I717" s="19"/>
      <c r="J717" s="19"/>
      <c r="K717" s="19"/>
      <c r="L717" s="19"/>
      <c r="M717" s="19"/>
      <c r="N717" s="19"/>
      <c r="O717" s="19"/>
      <c r="P717" s="19"/>
      <c r="Q717" s="19"/>
      <c r="R717" s="19"/>
      <c r="S717" s="19"/>
      <c r="T717" s="34" t="str">
        <f aca="false">IF($R717="","",IFERROR(INDEX(DriverCategory,MATCH($R717,DriverList,0)),"BAU"))</f>
        <v/>
      </c>
      <c r="U717" s="34" t="str">
        <f aca="false">IF($R717="","",IFERROR(INDEX(DriverRank,MATCH($R717,DriverList,0)),99))</f>
        <v/>
      </c>
      <c r="V717" s="35" t="n">
        <f aca="false">IF($H717="",0,IFERROR(INDEX(LevelBasic,MATCH($H717,LevelList,0))+INDEX(LevelHousing,MATCH($H717,LevelList,0))+INDEX(LevelTransport,MATCH($H717,LevelList,0))+INDEX(LevelBasic,MATCH($H717,LevelList,0))*INDEX(LevelBonus,MATCH($H717,LevelList,0))+(INDEX(LevelBasic,MATCH($H717,LevelList,0))+INDEX(LevelHousing,MATCH($H717,LevelList,0)))*GosiSaudi,0))</f>
        <v>0</v>
      </c>
      <c r="W717" s="35" t="n">
        <f aca="false">IFERROR(INDEX(LevelOneOff,MATCH($H717,LevelList,0)),0)</f>
        <v>0</v>
      </c>
      <c r="X717" s="35" t="str">
        <f aca="false">IF($G717="","",$V717*N($L717))</f>
        <v/>
      </c>
      <c r="Y717" s="35" t="str">
        <f aca="false">IF($G717="","",$V717*(N($M717)*1+N($N717)*0.75+N($O717)*0.5+N($P717)*0.25)+$W717*N($L717))</f>
        <v/>
      </c>
      <c r="Z717" s="35" t="str">
        <f aca="false">IF($G717="","",$U717*1000000+ROW())</f>
        <v/>
      </c>
      <c r="AA717" s="36" t="str">
        <f aca="false">IF($G717="","",MID(IF($C717="",", no division","")&amp;IF($E717="",", no unit","")&amp;IF($H717="",", no career level","")&amp;IF(N($L717)&lt;=0,", no quarter split","")&amp;IF($R717="",", no driver","")&amp;IF(AND($H717&lt;&gt;"",COUNTIF(CareerLevels,$H717)=0),", a career level that is not on the ladder","")&amp;IF(AND($R717&lt;&gt;"",COUNTIF(DriverList,$R717)=0),", a driver that is not on the list","")&amp;IF(ABS(N($L717)-(N($M717)+N($N717)+N($O717)+N($P717)))&gt;0.001,", a total that does not match its quarters",""),3,300))</f>
        <v/>
      </c>
    </row>
    <row r="718" customFormat="false" ht="15" hidden="false" customHeight="false" outlineLevel="0" collapsed="false">
      <c r="A718" s="33" t="str">
        <f aca="false">IF($G718="","","Finance Group")</f>
        <v/>
      </c>
      <c r="B718" s="19"/>
      <c r="C718" s="19"/>
      <c r="D718" s="19"/>
      <c r="E718" s="19"/>
      <c r="F718" s="19"/>
      <c r="G718" s="19"/>
      <c r="H718" s="19"/>
      <c r="I718" s="19"/>
      <c r="J718" s="19"/>
      <c r="K718" s="19"/>
      <c r="L718" s="19"/>
      <c r="M718" s="19"/>
      <c r="N718" s="19"/>
      <c r="O718" s="19"/>
      <c r="P718" s="19"/>
      <c r="Q718" s="19"/>
      <c r="R718" s="19"/>
      <c r="S718" s="19"/>
      <c r="T718" s="34" t="str">
        <f aca="false">IF($R718="","",IFERROR(INDEX(DriverCategory,MATCH($R718,DriverList,0)),"BAU"))</f>
        <v/>
      </c>
      <c r="U718" s="34" t="str">
        <f aca="false">IF($R718="","",IFERROR(INDEX(DriverRank,MATCH($R718,DriverList,0)),99))</f>
        <v/>
      </c>
      <c r="V718" s="35" t="n">
        <f aca="false">IF($H718="",0,IFERROR(INDEX(LevelBasic,MATCH($H718,LevelList,0))+INDEX(LevelHousing,MATCH($H718,LevelList,0))+INDEX(LevelTransport,MATCH($H718,LevelList,0))+INDEX(LevelBasic,MATCH($H718,LevelList,0))*INDEX(LevelBonus,MATCH($H718,LevelList,0))+(INDEX(LevelBasic,MATCH($H718,LevelList,0))+INDEX(LevelHousing,MATCH($H718,LevelList,0)))*GosiSaudi,0))</f>
        <v>0</v>
      </c>
      <c r="W718" s="35" t="n">
        <f aca="false">IFERROR(INDEX(LevelOneOff,MATCH($H718,LevelList,0)),0)</f>
        <v>0</v>
      </c>
      <c r="X718" s="35" t="str">
        <f aca="false">IF($G718="","",$V718*N($L718))</f>
        <v/>
      </c>
      <c r="Y718" s="35" t="str">
        <f aca="false">IF($G718="","",$V718*(N($M718)*1+N($N718)*0.75+N($O718)*0.5+N($P718)*0.25)+$W718*N($L718))</f>
        <v/>
      </c>
      <c r="Z718" s="35" t="str">
        <f aca="false">IF($G718="","",$U718*1000000+ROW())</f>
        <v/>
      </c>
      <c r="AA718" s="36" t="str">
        <f aca="false">IF($G718="","",MID(IF($C718="",", no division","")&amp;IF($E718="",", no unit","")&amp;IF($H718="",", no career level","")&amp;IF(N($L718)&lt;=0,", no quarter split","")&amp;IF($R718="",", no driver","")&amp;IF(AND($H718&lt;&gt;"",COUNTIF(CareerLevels,$H718)=0),", a career level that is not on the ladder","")&amp;IF(AND($R718&lt;&gt;"",COUNTIF(DriverList,$R718)=0),", a driver that is not on the list","")&amp;IF(ABS(N($L718)-(N($M718)+N($N718)+N($O718)+N($P718)))&gt;0.001,", a total that does not match its quarters",""),3,300))</f>
        <v/>
      </c>
    </row>
    <row r="719" customFormat="false" ht="15" hidden="false" customHeight="false" outlineLevel="0" collapsed="false">
      <c r="A719" s="33" t="str">
        <f aca="false">IF($G719="","","Finance Group")</f>
        <v/>
      </c>
      <c r="B719" s="19"/>
      <c r="C719" s="19"/>
      <c r="D719" s="19"/>
      <c r="E719" s="19"/>
      <c r="F719" s="19"/>
      <c r="G719" s="19"/>
      <c r="H719" s="19"/>
      <c r="I719" s="19"/>
      <c r="J719" s="19"/>
      <c r="K719" s="19"/>
      <c r="L719" s="19"/>
      <c r="M719" s="19"/>
      <c r="N719" s="19"/>
      <c r="O719" s="19"/>
      <c r="P719" s="19"/>
      <c r="Q719" s="19"/>
      <c r="R719" s="19"/>
      <c r="S719" s="19"/>
      <c r="T719" s="34" t="str">
        <f aca="false">IF($R719="","",IFERROR(INDEX(DriverCategory,MATCH($R719,DriverList,0)),"BAU"))</f>
        <v/>
      </c>
      <c r="U719" s="34" t="str">
        <f aca="false">IF($R719="","",IFERROR(INDEX(DriverRank,MATCH($R719,DriverList,0)),99))</f>
        <v/>
      </c>
      <c r="V719" s="35" t="n">
        <f aca="false">IF($H719="",0,IFERROR(INDEX(LevelBasic,MATCH($H719,LevelList,0))+INDEX(LevelHousing,MATCH($H719,LevelList,0))+INDEX(LevelTransport,MATCH($H719,LevelList,0))+INDEX(LevelBasic,MATCH($H719,LevelList,0))*INDEX(LevelBonus,MATCH($H719,LevelList,0))+(INDEX(LevelBasic,MATCH($H719,LevelList,0))+INDEX(LevelHousing,MATCH($H719,LevelList,0)))*GosiSaudi,0))</f>
        <v>0</v>
      </c>
      <c r="W719" s="35" t="n">
        <f aca="false">IFERROR(INDEX(LevelOneOff,MATCH($H719,LevelList,0)),0)</f>
        <v>0</v>
      </c>
      <c r="X719" s="35" t="str">
        <f aca="false">IF($G719="","",$V719*N($L719))</f>
        <v/>
      </c>
      <c r="Y719" s="35" t="str">
        <f aca="false">IF($G719="","",$V719*(N($M719)*1+N($N719)*0.75+N($O719)*0.5+N($P719)*0.25)+$W719*N($L719))</f>
        <v/>
      </c>
      <c r="Z719" s="35" t="str">
        <f aca="false">IF($G719="","",$U719*1000000+ROW())</f>
        <v/>
      </c>
      <c r="AA719" s="36" t="str">
        <f aca="false">IF($G719="","",MID(IF($C719="",", no division","")&amp;IF($E719="",", no unit","")&amp;IF($H719="",", no career level","")&amp;IF(N($L719)&lt;=0,", no quarter split","")&amp;IF($R719="",", no driver","")&amp;IF(AND($H719&lt;&gt;"",COUNTIF(CareerLevels,$H719)=0),", a career level that is not on the ladder","")&amp;IF(AND($R719&lt;&gt;"",COUNTIF(DriverList,$R719)=0),", a driver that is not on the list","")&amp;IF(ABS(N($L719)-(N($M719)+N($N719)+N($O719)+N($P719)))&gt;0.001,", a total that does not match its quarters",""),3,300))</f>
        <v/>
      </c>
    </row>
    <row r="720" customFormat="false" ht="15" hidden="false" customHeight="false" outlineLevel="0" collapsed="false">
      <c r="A720" s="33" t="str">
        <f aca="false">IF($G720="","","Finance Group")</f>
        <v/>
      </c>
      <c r="B720" s="19"/>
      <c r="C720" s="19"/>
      <c r="D720" s="19"/>
      <c r="E720" s="19"/>
      <c r="F720" s="19"/>
      <c r="G720" s="19"/>
      <c r="H720" s="19"/>
      <c r="I720" s="19"/>
      <c r="J720" s="19"/>
      <c r="K720" s="19"/>
      <c r="L720" s="19"/>
      <c r="M720" s="19"/>
      <c r="N720" s="19"/>
      <c r="O720" s="19"/>
      <c r="P720" s="19"/>
      <c r="Q720" s="19"/>
      <c r="R720" s="19"/>
      <c r="S720" s="19"/>
      <c r="T720" s="34" t="str">
        <f aca="false">IF($R720="","",IFERROR(INDEX(DriverCategory,MATCH($R720,DriverList,0)),"BAU"))</f>
        <v/>
      </c>
      <c r="U720" s="34" t="str">
        <f aca="false">IF($R720="","",IFERROR(INDEX(DriverRank,MATCH($R720,DriverList,0)),99))</f>
        <v/>
      </c>
      <c r="V720" s="35" t="n">
        <f aca="false">IF($H720="",0,IFERROR(INDEX(LevelBasic,MATCH($H720,LevelList,0))+INDEX(LevelHousing,MATCH($H720,LevelList,0))+INDEX(LevelTransport,MATCH($H720,LevelList,0))+INDEX(LevelBasic,MATCH($H720,LevelList,0))*INDEX(LevelBonus,MATCH($H720,LevelList,0))+(INDEX(LevelBasic,MATCH($H720,LevelList,0))+INDEX(LevelHousing,MATCH($H720,LevelList,0)))*GosiSaudi,0))</f>
        <v>0</v>
      </c>
      <c r="W720" s="35" t="n">
        <f aca="false">IFERROR(INDEX(LevelOneOff,MATCH($H720,LevelList,0)),0)</f>
        <v>0</v>
      </c>
      <c r="X720" s="35" t="str">
        <f aca="false">IF($G720="","",$V720*N($L720))</f>
        <v/>
      </c>
      <c r="Y720" s="35" t="str">
        <f aca="false">IF($G720="","",$V720*(N($M720)*1+N($N720)*0.75+N($O720)*0.5+N($P720)*0.25)+$W720*N($L720))</f>
        <v/>
      </c>
      <c r="Z720" s="35" t="str">
        <f aca="false">IF($G720="","",$U720*1000000+ROW())</f>
        <v/>
      </c>
      <c r="AA720" s="36" t="str">
        <f aca="false">IF($G720="","",MID(IF($C720="",", no division","")&amp;IF($E720="",", no unit","")&amp;IF($H720="",", no career level","")&amp;IF(N($L720)&lt;=0,", no quarter split","")&amp;IF($R720="",", no driver","")&amp;IF(AND($H720&lt;&gt;"",COUNTIF(CareerLevels,$H720)=0),", a career level that is not on the ladder","")&amp;IF(AND($R720&lt;&gt;"",COUNTIF(DriverList,$R720)=0),", a driver that is not on the list","")&amp;IF(ABS(N($L720)-(N($M720)+N($N720)+N($O720)+N($P720)))&gt;0.001,", a total that does not match its quarters",""),3,300))</f>
        <v/>
      </c>
    </row>
    <row r="721" customFormat="false" ht="15" hidden="false" customHeight="false" outlineLevel="0" collapsed="false">
      <c r="A721" s="33" t="str">
        <f aca="false">IF($G721="","","Finance Group")</f>
        <v/>
      </c>
      <c r="B721" s="19"/>
      <c r="C721" s="19"/>
      <c r="D721" s="19"/>
      <c r="E721" s="19"/>
      <c r="F721" s="19"/>
      <c r="G721" s="19"/>
      <c r="H721" s="19"/>
      <c r="I721" s="19"/>
      <c r="J721" s="19"/>
      <c r="K721" s="19"/>
      <c r="L721" s="19"/>
      <c r="M721" s="19"/>
      <c r="N721" s="19"/>
      <c r="O721" s="19"/>
      <c r="P721" s="19"/>
      <c r="Q721" s="19"/>
      <c r="R721" s="19"/>
      <c r="S721" s="19"/>
      <c r="T721" s="34" t="str">
        <f aca="false">IF($R721="","",IFERROR(INDEX(DriverCategory,MATCH($R721,DriverList,0)),"BAU"))</f>
        <v/>
      </c>
      <c r="U721" s="34" t="str">
        <f aca="false">IF($R721="","",IFERROR(INDEX(DriverRank,MATCH($R721,DriverList,0)),99))</f>
        <v/>
      </c>
      <c r="V721" s="35" t="n">
        <f aca="false">IF($H721="",0,IFERROR(INDEX(LevelBasic,MATCH($H721,LevelList,0))+INDEX(LevelHousing,MATCH($H721,LevelList,0))+INDEX(LevelTransport,MATCH($H721,LevelList,0))+INDEX(LevelBasic,MATCH($H721,LevelList,0))*INDEX(LevelBonus,MATCH($H721,LevelList,0))+(INDEX(LevelBasic,MATCH($H721,LevelList,0))+INDEX(LevelHousing,MATCH($H721,LevelList,0)))*GosiSaudi,0))</f>
        <v>0</v>
      </c>
      <c r="W721" s="35" t="n">
        <f aca="false">IFERROR(INDEX(LevelOneOff,MATCH($H721,LevelList,0)),0)</f>
        <v>0</v>
      </c>
      <c r="X721" s="35" t="str">
        <f aca="false">IF($G721="","",$V721*N($L721))</f>
        <v/>
      </c>
      <c r="Y721" s="35" t="str">
        <f aca="false">IF($G721="","",$V721*(N($M721)*1+N($N721)*0.75+N($O721)*0.5+N($P721)*0.25)+$W721*N($L721))</f>
        <v/>
      </c>
      <c r="Z721" s="35" t="str">
        <f aca="false">IF($G721="","",$U721*1000000+ROW())</f>
        <v/>
      </c>
      <c r="AA721" s="36" t="str">
        <f aca="false">IF($G721="","",MID(IF($C721="",", no division","")&amp;IF($E721="",", no unit","")&amp;IF($H721="",", no career level","")&amp;IF(N($L721)&lt;=0,", no quarter split","")&amp;IF($R721="",", no driver","")&amp;IF(AND($H721&lt;&gt;"",COUNTIF(CareerLevels,$H721)=0),", a career level that is not on the ladder","")&amp;IF(AND($R721&lt;&gt;"",COUNTIF(DriverList,$R721)=0),", a driver that is not on the list","")&amp;IF(ABS(N($L721)-(N($M721)+N($N721)+N($O721)+N($P721)))&gt;0.001,", a total that does not match its quarters",""),3,300))</f>
        <v/>
      </c>
    </row>
    <row r="722" customFormat="false" ht="15" hidden="false" customHeight="false" outlineLevel="0" collapsed="false">
      <c r="A722" s="33" t="str">
        <f aca="false">IF($G722="","","Finance Group")</f>
        <v/>
      </c>
      <c r="B722" s="19"/>
      <c r="C722" s="19"/>
      <c r="D722" s="19"/>
      <c r="E722" s="19"/>
      <c r="F722" s="19"/>
      <c r="G722" s="19"/>
      <c r="H722" s="19"/>
      <c r="I722" s="19"/>
      <c r="J722" s="19"/>
      <c r="K722" s="19"/>
      <c r="L722" s="19"/>
      <c r="M722" s="19"/>
      <c r="N722" s="19"/>
      <c r="O722" s="19"/>
      <c r="P722" s="19"/>
      <c r="Q722" s="19"/>
      <c r="R722" s="19"/>
      <c r="S722" s="19"/>
      <c r="T722" s="34" t="str">
        <f aca="false">IF($R722="","",IFERROR(INDEX(DriverCategory,MATCH($R722,DriverList,0)),"BAU"))</f>
        <v/>
      </c>
      <c r="U722" s="34" t="str">
        <f aca="false">IF($R722="","",IFERROR(INDEX(DriverRank,MATCH($R722,DriverList,0)),99))</f>
        <v/>
      </c>
      <c r="V722" s="35" t="n">
        <f aca="false">IF($H722="",0,IFERROR(INDEX(LevelBasic,MATCH($H722,LevelList,0))+INDEX(LevelHousing,MATCH($H722,LevelList,0))+INDEX(LevelTransport,MATCH($H722,LevelList,0))+INDEX(LevelBasic,MATCH($H722,LevelList,0))*INDEX(LevelBonus,MATCH($H722,LevelList,0))+(INDEX(LevelBasic,MATCH($H722,LevelList,0))+INDEX(LevelHousing,MATCH($H722,LevelList,0)))*GosiSaudi,0))</f>
        <v>0</v>
      </c>
      <c r="W722" s="35" t="n">
        <f aca="false">IFERROR(INDEX(LevelOneOff,MATCH($H722,LevelList,0)),0)</f>
        <v>0</v>
      </c>
      <c r="X722" s="35" t="str">
        <f aca="false">IF($G722="","",$V722*N($L722))</f>
        <v/>
      </c>
      <c r="Y722" s="35" t="str">
        <f aca="false">IF($G722="","",$V722*(N($M722)*1+N($N722)*0.75+N($O722)*0.5+N($P722)*0.25)+$W722*N($L722))</f>
        <v/>
      </c>
      <c r="Z722" s="35" t="str">
        <f aca="false">IF($G722="","",$U722*1000000+ROW())</f>
        <v/>
      </c>
      <c r="AA722" s="36" t="str">
        <f aca="false">IF($G722="","",MID(IF($C722="",", no division","")&amp;IF($E722="",", no unit","")&amp;IF($H722="",", no career level","")&amp;IF(N($L722)&lt;=0,", no quarter split","")&amp;IF($R722="",", no driver","")&amp;IF(AND($H722&lt;&gt;"",COUNTIF(CareerLevels,$H722)=0),", a career level that is not on the ladder","")&amp;IF(AND($R722&lt;&gt;"",COUNTIF(DriverList,$R722)=0),", a driver that is not on the list","")&amp;IF(ABS(N($L722)-(N($M722)+N($N722)+N($O722)+N($P722)))&gt;0.001,", a total that does not match its quarters",""),3,300))</f>
        <v/>
      </c>
    </row>
    <row r="723" customFormat="false" ht="15" hidden="false" customHeight="false" outlineLevel="0" collapsed="false">
      <c r="A723" s="33" t="str">
        <f aca="false">IF($G723="","","Finance Group")</f>
        <v/>
      </c>
      <c r="B723" s="19"/>
      <c r="C723" s="19"/>
      <c r="D723" s="19"/>
      <c r="E723" s="19"/>
      <c r="F723" s="19"/>
      <c r="G723" s="19"/>
      <c r="H723" s="19"/>
      <c r="I723" s="19"/>
      <c r="J723" s="19"/>
      <c r="K723" s="19"/>
      <c r="L723" s="19"/>
      <c r="M723" s="19"/>
      <c r="N723" s="19"/>
      <c r="O723" s="19"/>
      <c r="P723" s="19"/>
      <c r="Q723" s="19"/>
      <c r="R723" s="19"/>
      <c r="S723" s="19"/>
      <c r="T723" s="34" t="str">
        <f aca="false">IF($R723="","",IFERROR(INDEX(DriverCategory,MATCH($R723,DriverList,0)),"BAU"))</f>
        <v/>
      </c>
      <c r="U723" s="34" t="str">
        <f aca="false">IF($R723="","",IFERROR(INDEX(DriverRank,MATCH($R723,DriverList,0)),99))</f>
        <v/>
      </c>
      <c r="V723" s="35" t="n">
        <f aca="false">IF($H723="",0,IFERROR(INDEX(LevelBasic,MATCH($H723,LevelList,0))+INDEX(LevelHousing,MATCH($H723,LevelList,0))+INDEX(LevelTransport,MATCH($H723,LevelList,0))+INDEX(LevelBasic,MATCH($H723,LevelList,0))*INDEX(LevelBonus,MATCH($H723,LevelList,0))+(INDEX(LevelBasic,MATCH($H723,LevelList,0))+INDEX(LevelHousing,MATCH($H723,LevelList,0)))*GosiSaudi,0))</f>
        <v>0</v>
      </c>
      <c r="W723" s="35" t="n">
        <f aca="false">IFERROR(INDEX(LevelOneOff,MATCH($H723,LevelList,0)),0)</f>
        <v>0</v>
      </c>
      <c r="X723" s="35" t="str">
        <f aca="false">IF($G723="","",$V723*N($L723))</f>
        <v/>
      </c>
      <c r="Y723" s="35" t="str">
        <f aca="false">IF($G723="","",$V723*(N($M723)*1+N($N723)*0.75+N($O723)*0.5+N($P723)*0.25)+$W723*N($L723))</f>
        <v/>
      </c>
      <c r="Z723" s="35" t="str">
        <f aca="false">IF($G723="","",$U723*1000000+ROW())</f>
        <v/>
      </c>
      <c r="AA723" s="36" t="str">
        <f aca="false">IF($G723="","",MID(IF($C723="",", no division","")&amp;IF($E723="",", no unit","")&amp;IF($H723="",", no career level","")&amp;IF(N($L723)&lt;=0,", no quarter split","")&amp;IF($R723="",", no driver","")&amp;IF(AND($H723&lt;&gt;"",COUNTIF(CareerLevels,$H723)=0),", a career level that is not on the ladder","")&amp;IF(AND($R723&lt;&gt;"",COUNTIF(DriverList,$R723)=0),", a driver that is not on the list","")&amp;IF(ABS(N($L723)-(N($M723)+N($N723)+N($O723)+N($P723)))&gt;0.001,", a total that does not match its quarters",""),3,300))</f>
        <v/>
      </c>
    </row>
    <row r="724" customFormat="false" ht="15" hidden="false" customHeight="false" outlineLevel="0" collapsed="false">
      <c r="A724" s="33" t="str">
        <f aca="false">IF($G724="","","Finance Group")</f>
        <v/>
      </c>
      <c r="B724" s="19"/>
      <c r="C724" s="19"/>
      <c r="D724" s="19"/>
      <c r="E724" s="19"/>
      <c r="F724" s="19"/>
      <c r="G724" s="19"/>
      <c r="H724" s="19"/>
      <c r="I724" s="19"/>
      <c r="J724" s="19"/>
      <c r="K724" s="19"/>
      <c r="L724" s="19"/>
      <c r="M724" s="19"/>
      <c r="N724" s="19"/>
      <c r="O724" s="19"/>
      <c r="P724" s="19"/>
      <c r="Q724" s="19"/>
      <c r="R724" s="19"/>
      <c r="S724" s="19"/>
      <c r="T724" s="34" t="str">
        <f aca="false">IF($R724="","",IFERROR(INDEX(DriverCategory,MATCH($R724,DriverList,0)),"BAU"))</f>
        <v/>
      </c>
      <c r="U724" s="34" t="str">
        <f aca="false">IF($R724="","",IFERROR(INDEX(DriverRank,MATCH($R724,DriverList,0)),99))</f>
        <v/>
      </c>
      <c r="V724" s="35" t="n">
        <f aca="false">IF($H724="",0,IFERROR(INDEX(LevelBasic,MATCH($H724,LevelList,0))+INDEX(LevelHousing,MATCH($H724,LevelList,0))+INDEX(LevelTransport,MATCH($H724,LevelList,0))+INDEX(LevelBasic,MATCH($H724,LevelList,0))*INDEX(LevelBonus,MATCH($H724,LevelList,0))+(INDEX(LevelBasic,MATCH($H724,LevelList,0))+INDEX(LevelHousing,MATCH($H724,LevelList,0)))*GosiSaudi,0))</f>
        <v>0</v>
      </c>
      <c r="W724" s="35" t="n">
        <f aca="false">IFERROR(INDEX(LevelOneOff,MATCH($H724,LevelList,0)),0)</f>
        <v>0</v>
      </c>
      <c r="X724" s="35" t="str">
        <f aca="false">IF($G724="","",$V724*N($L724))</f>
        <v/>
      </c>
      <c r="Y724" s="35" t="str">
        <f aca="false">IF($G724="","",$V724*(N($M724)*1+N($N724)*0.75+N($O724)*0.5+N($P724)*0.25)+$W724*N($L724))</f>
        <v/>
      </c>
      <c r="Z724" s="35" t="str">
        <f aca="false">IF($G724="","",$U724*1000000+ROW())</f>
        <v/>
      </c>
      <c r="AA724" s="36" t="str">
        <f aca="false">IF($G724="","",MID(IF($C724="",", no division","")&amp;IF($E724="",", no unit","")&amp;IF($H724="",", no career level","")&amp;IF(N($L724)&lt;=0,", no quarter split","")&amp;IF($R724="",", no driver","")&amp;IF(AND($H724&lt;&gt;"",COUNTIF(CareerLevels,$H724)=0),", a career level that is not on the ladder","")&amp;IF(AND($R724&lt;&gt;"",COUNTIF(DriverList,$R724)=0),", a driver that is not on the list","")&amp;IF(ABS(N($L724)-(N($M724)+N($N724)+N($O724)+N($P724)))&gt;0.001,", a total that does not match its quarters",""),3,300))</f>
        <v/>
      </c>
    </row>
    <row r="725" customFormat="false" ht="15" hidden="false" customHeight="false" outlineLevel="0" collapsed="false">
      <c r="A725" s="33" t="str">
        <f aca="false">IF($G725="","","Finance Group")</f>
        <v/>
      </c>
      <c r="B725" s="19"/>
      <c r="C725" s="19"/>
      <c r="D725" s="19"/>
      <c r="E725" s="19"/>
      <c r="F725" s="19"/>
      <c r="G725" s="19"/>
      <c r="H725" s="19"/>
      <c r="I725" s="19"/>
      <c r="J725" s="19"/>
      <c r="K725" s="19"/>
      <c r="L725" s="19"/>
      <c r="M725" s="19"/>
      <c r="N725" s="19"/>
      <c r="O725" s="19"/>
      <c r="P725" s="19"/>
      <c r="Q725" s="19"/>
      <c r="R725" s="19"/>
      <c r="S725" s="19"/>
      <c r="T725" s="34" t="str">
        <f aca="false">IF($R725="","",IFERROR(INDEX(DriverCategory,MATCH($R725,DriverList,0)),"BAU"))</f>
        <v/>
      </c>
      <c r="U725" s="34" t="str">
        <f aca="false">IF($R725="","",IFERROR(INDEX(DriverRank,MATCH($R725,DriverList,0)),99))</f>
        <v/>
      </c>
      <c r="V725" s="35" t="n">
        <f aca="false">IF($H725="",0,IFERROR(INDEX(LevelBasic,MATCH($H725,LevelList,0))+INDEX(LevelHousing,MATCH($H725,LevelList,0))+INDEX(LevelTransport,MATCH($H725,LevelList,0))+INDEX(LevelBasic,MATCH($H725,LevelList,0))*INDEX(LevelBonus,MATCH($H725,LevelList,0))+(INDEX(LevelBasic,MATCH($H725,LevelList,0))+INDEX(LevelHousing,MATCH($H725,LevelList,0)))*GosiSaudi,0))</f>
        <v>0</v>
      </c>
      <c r="W725" s="35" t="n">
        <f aca="false">IFERROR(INDEX(LevelOneOff,MATCH($H725,LevelList,0)),0)</f>
        <v>0</v>
      </c>
      <c r="X725" s="35" t="str">
        <f aca="false">IF($G725="","",$V725*N($L725))</f>
        <v/>
      </c>
      <c r="Y725" s="35" t="str">
        <f aca="false">IF($G725="","",$V725*(N($M725)*1+N($N725)*0.75+N($O725)*0.5+N($P725)*0.25)+$W725*N($L725))</f>
        <v/>
      </c>
      <c r="Z725" s="35" t="str">
        <f aca="false">IF($G725="","",$U725*1000000+ROW())</f>
        <v/>
      </c>
      <c r="AA725" s="36" t="str">
        <f aca="false">IF($G725="","",MID(IF($C725="",", no division","")&amp;IF($E725="",", no unit","")&amp;IF($H725="",", no career level","")&amp;IF(N($L725)&lt;=0,", no quarter split","")&amp;IF($R725="",", no driver","")&amp;IF(AND($H725&lt;&gt;"",COUNTIF(CareerLevels,$H725)=0),", a career level that is not on the ladder","")&amp;IF(AND($R725&lt;&gt;"",COUNTIF(DriverList,$R725)=0),", a driver that is not on the list","")&amp;IF(ABS(N($L725)-(N($M725)+N($N725)+N($O725)+N($P725)))&gt;0.001,", a total that does not match its quarters",""),3,300))</f>
        <v/>
      </c>
    </row>
    <row r="726" customFormat="false" ht="15" hidden="false" customHeight="false" outlineLevel="0" collapsed="false">
      <c r="A726" s="33" t="str">
        <f aca="false">IF($G726="","","Finance Group")</f>
        <v/>
      </c>
      <c r="B726" s="19"/>
      <c r="C726" s="19"/>
      <c r="D726" s="19"/>
      <c r="E726" s="19"/>
      <c r="F726" s="19"/>
      <c r="G726" s="19"/>
      <c r="H726" s="19"/>
      <c r="I726" s="19"/>
      <c r="J726" s="19"/>
      <c r="K726" s="19"/>
      <c r="L726" s="19"/>
      <c r="M726" s="19"/>
      <c r="N726" s="19"/>
      <c r="O726" s="19"/>
      <c r="P726" s="19"/>
      <c r="Q726" s="19"/>
      <c r="R726" s="19"/>
      <c r="S726" s="19"/>
      <c r="T726" s="34" t="str">
        <f aca="false">IF($R726="","",IFERROR(INDEX(DriverCategory,MATCH($R726,DriverList,0)),"BAU"))</f>
        <v/>
      </c>
      <c r="U726" s="34" t="str">
        <f aca="false">IF($R726="","",IFERROR(INDEX(DriverRank,MATCH($R726,DriverList,0)),99))</f>
        <v/>
      </c>
      <c r="V726" s="35" t="n">
        <f aca="false">IF($H726="",0,IFERROR(INDEX(LevelBasic,MATCH($H726,LevelList,0))+INDEX(LevelHousing,MATCH($H726,LevelList,0))+INDEX(LevelTransport,MATCH($H726,LevelList,0))+INDEX(LevelBasic,MATCH($H726,LevelList,0))*INDEX(LevelBonus,MATCH($H726,LevelList,0))+(INDEX(LevelBasic,MATCH($H726,LevelList,0))+INDEX(LevelHousing,MATCH($H726,LevelList,0)))*GosiSaudi,0))</f>
        <v>0</v>
      </c>
      <c r="W726" s="35" t="n">
        <f aca="false">IFERROR(INDEX(LevelOneOff,MATCH($H726,LevelList,0)),0)</f>
        <v>0</v>
      </c>
      <c r="X726" s="35" t="str">
        <f aca="false">IF($G726="","",$V726*N($L726))</f>
        <v/>
      </c>
      <c r="Y726" s="35" t="str">
        <f aca="false">IF($G726="","",$V726*(N($M726)*1+N($N726)*0.75+N($O726)*0.5+N($P726)*0.25)+$W726*N($L726))</f>
        <v/>
      </c>
      <c r="Z726" s="35" t="str">
        <f aca="false">IF($G726="","",$U726*1000000+ROW())</f>
        <v/>
      </c>
      <c r="AA726" s="36" t="str">
        <f aca="false">IF($G726="","",MID(IF($C726="",", no division","")&amp;IF($E726="",", no unit","")&amp;IF($H726="",", no career level","")&amp;IF(N($L726)&lt;=0,", no quarter split","")&amp;IF($R726="",", no driver","")&amp;IF(AND($H726&lt;&gt;"",COUNTIF(CareerLevels,$H726)=0),", a career level that is not on the ladder","")&amp;IF(AND($R726&lt;&gt;"",COUNTIF(DriverList,$R726)=0),", a driver that is not on the list","")&amp;IF(ABS(N($L726)-(N($M726)+N($N726)+N($O726)+N($P726)))&gt;0.001,", a total that does not match its quarters",""),3,300))</f>
        <v/>
      </c>
    </row>
    <row r="727" customFormat="false" ht="15" hidden="false" customHeight="false" outlineLevel="0" collapsed="false">
      <c r="A727" s="33" t="str">
        <f aca="false">IF($G727="","","Finance Group")</f>
        <v/>
      </c>
      <c r="B727" s="19"/>
      <c r="C727" s="19"/>
      <c r="D727" s="19"/>
      <c r="E727" s="19"/>
      <c r="F727" s="19"/>
      <c r="G727" s="19"/>
      <c r="H727" s="19"/>
      <c r="I727" s="19"/>
      <c r="J727" s="19"/>
      <c r="K727" s="19"/>
      <c r="L727" s="19"/>
      <c r="M727" s="19"/>
      <c r="N727" s="19"/>
      <c r="O727" s="19"/>
      <c r="P727" s="19"/>
      <c r="Q727" s="19"/>
      <c r="R727" s="19"/>
      <c r="S727" s="19"/>
      <c r="T727" s="34" t="str">
        <f aca="false">IF($R727="","",IFERROR(INDEX(DriverCategory,MATCH($R727,DriverList,0)),"BAU"))</f>
        <v/>
      </c>
      <c r="U727" s="34" t="str">
        <f aca="false">IF($R727="","",IFERROR(INDEX(DriverRank,MATCH($R727,DriverList,0)),99))</f>
        <v/>
      </c>
      <c r="V727" s="35" t="n">
        <f aca="false">IF($H727="",0,IFERROR(INDEX(LevelBasic,MATCH($H727,LevelList,0))+INDEX(LevelHousing,MATCH($H727,LevelList,0))+INDEX(LevelTransport,MATCH($H727,LevelList,0))+INDEX(LevelBasic,MATCH($H727,LevelList,0))*INDEX(LevelBonus,MATCH($H727,LevelList,0))+(INDEX(LevelBasic,MATCH($H727,LevelList,0))+INDEX(LevelHousing,MATCH($H727,LevelList,0)))*GosiSaudi,0))</f>
        <v>0</v>
      </c>
      <c r="W727" s="35" t="n">
        <f aca="false">IFERROR(INDEX(LevelOneOff,MATCH($H727,LevelList,0)),0)</f>
        <v>0</v>
      </c>
      <c r="X727" s="35" t="str">
        <f aca="false">IF($G727="","",$V727*N($L727))</f>
        <v/>
      </c>
      <c r="Y727" s="35" t="str">
        <f aca="false">IF($G727="","",$V727*(N($M727)*1+N($N727)*0.75+N($O727)*0.5+N($P727)*0.25)+$W727*N($L727))</f>
        <v/>
      </c>
      <c r="Z727" s="35" t="str">
        <f aca="false">IF($G727="","",$U727*1000000+ROW())</f>
        <v/>
      </c>
      <c r="AA727" s="36" t="str">
        <f aca="false">IF($G727="","",MID(IF($C727="",", no division","")&amp;IF($E727="",", no unit","")&amp;IF($H727="",", no career level","")&amp;IF(N($L727)&lt;=0,", no quarter split","")&amp;IF($R727="",", no driver","")&amp;IF(AND($H727&lt;&gt;"",COUNTIF(CareerLevels,$H727)=0),", a career level that is not on the ladder","")&amp;IF(AND($R727&lt;&gt;"",COUNTIF(DriverList,$R727)=0),", a driver that is not on the list","")&amp;IF(ABS(N($L727)-(N($M727)+N($N727)+N($O727)+N($P727)))&gt;0.001,", a total that does not match its quarters",""),3,300))</f>
        <v/>
      </c>
    </row>
    <row r="728" customFormat="false" ht="15" hidden="false" customHeight="false" outlineLevel="0" collapsed="false">
      <c r="A728" s="33" t="str">
        <f aca="false">IF($G728="","","Finance Group")</f>
        <v/>
      </c>
      <c r="B728" s="19"/>
      <c r="C728" s="19"/>
      <c r="D728" s="19"/>
      <c r="E728" s="19"/>
      <c r="F728" s="19"/>
      <c r="G728" s="19"/>
      <c r="H728" s="19"/>
      <c r="I728" s="19"/>
      <c r="J728" s="19"/>
      <c r="K728" s="19"/>
      <c r="L728" s="19"/>
      <c r="M728" s="19"/>
      <c r="N728" s="19"/>
      <c r="O728" s="19"/>
      <c r="P728" s="19"/>
      <c r="Q728" s="19"/>
      <c r="R728" s="19"/>
      <c r="S728" s="19"/>
      <c r="T728" s="34" t="str">
        <f aca="false">IF($R728="","",IFERROR(INDEX(DriverCategory,MATCH($R728,DriverList,0)),"BAU"))</f>
        <v/>
      </c>
      <c r="U728" s="34" t="str">
        <f aca="false">IF($R728="","",IFERROR(INDEX(DriverRank,MATCH($R728,DriverList,0)),99))</f>
        <v/>
      </c>
      <c r="V728" s="35" t="n">
        <f aca="false">IF($H728="",0,IFERROR(INDEX(LevelBasic,MATCH($H728,LevelList,0))+INDEX(LevelHousing,MATCH($H728,LevelList,0))+INDEX(LevelTransport,MATCH($H728,LevelList,0))+INDEX(LevelBasic,MATCH($H728,LevelList,0))*INDEX(LevelBonus,MATCH($H728,LevelList,0))+(INDEX(LevelBasic,MATCH($H728,LevelList,0))+INDEX(LevelHousing,MATCH($H728,LevelList,0)))*GosiSaudi,0))</f>
        <v>0</v>
      </c>
      <c r="W728" s="35" t="n">
        <f aca="false">IFERROR(INDEX(LevelOneOff,MATCH($H728,LevelList,0)),0)</f>
        <v>0</v>
      </c>
      <c r="X728" s="35" t="str">
        <f aca="false">IF($G728="","",$V728*N($L728))</f>
        <v/>
      </c>
      <c r="Y728" s="35" t="str">
        <f aca="false">IF($G728="","",$V728*(N($M728)*1+N($N728)*0.75+N($O728)*0.5+N($P728)*0.25)+$W728*N($L728))</f>
        <v/>
      </c>
      <c r="Z728" s="35" t="str">
        <f aca="false">IF($G728="","",$U728*1000000+ROW())</f>
        <v/>
      </c>
      <c r="AA728" s="36" t="str">
        <f aca="false">IF($G728="","",MID(IF($C728="",", no division","")&amp;IF($E728="",", no unit","")&amp;IF($H728="",", no career level","")&amp;IF(N($L728)&lt;=0,", no quarter split","")&amp;IF($R728="",", no driver","")&amp;IF(AND($H728&lt;&gt;"",COUNTIF(CareerLevels,$H728)=0),", a career level that is not on the ladder","")&amp;IF(AND($R728&lt;&gt;"",COUNTIF(DriverList,$R728)=0),", a driver that is not on the list","")&amp;IF(ABS(N($L728)-(N($M728)+N($N728)+N($O728)+N($P728)))&gt;0.001,", a total that does not match its quarters",""),3,300))</f>
        <v/>
      </c>
    </row>
    <row r="729" customFormat="false" ht="15" hidden="false" customHeight="false" outlineLevel="0" collapsed="false">
      <c r="A729" s="33" t="str">
        <f aca="false">IF($G729="","","Finance Group")</f>
        <v/>
      </c>
      <c r="B729" s="19"/>
      <c r="C729" s="19"/>
      <c r="D729" s="19"/>
      <c r="E729" s="19"/>
      <c r="F729" s="19"/>
      <c r="G729" s="19"/>
      <c r="H729" s="19"/>
      <c r="I729" s="19"/>
      <c r="J729" s="19"/>
      <c r="K729" s="19"/>
      <c r="L729" s="19"/>
      <c r="M729" s="19"/>
      <c r="N729" s="19"/>
      <c r="O729" s="19"/>
      <c r="P729" s="19"/>
      <c r="Q729" s="19"/>
      <c r="R729" s="19"/>
      <c r="S729" s="19"/>
      <c r="T729" s="34" t="str">
        <f aca="false">IF($R729="","",IFERROR(INDEX(DriverCategory,MATCH($R729,DriverList,0)),"BAU"))</f>
        <v/>
      </c>
      <c r="U729" s="34" t="str">
        <f aca="false">IF($R729="","",IFERROR(INDEX(DriverRank,MATCH($R729,DriverList,0)),99))</f>
        <v/>
      </c>
      <c r="V729" s="35" t="n">
        <f aca="false">IF($H729="",0,IFERROR(INDEX(LevelBasic,MATCH($H729,LevelList,0))+INDEX(LevelHousing,MATCH($H729,LevelList,0))+INDEX(LevelTransport,MATCH($H729,LevelList,0))+INDEX(LevelBasic,MATCH($H729,LevelList,0))*INDEX(LevelBonus,MATCH($H729,LevelList,0))+(INDEX(LevelBasic,MATCH($H729,LevelList,0))+INDEX(LevelHousing,MATCH($H729,LevelList,0)))*GosiSaudi,0))</f>
        <v>0</v>
      </c>
      <c r="W729" s="35" t="n">
        <f aca="false">IFERROR(INDEX(LevelOneOff,MATCH($H729,LevelList,0)),0)</f>
        <v>0</v>
      </c>
      <c r="X729" s="35" t="str">
        <f aca="false">IF($G729="","",$V729*N($L729))</f>
        <v/>
      </c>
      <c r="Y729" s="35" t="str">
        <f aca="false">IF($G729="","",$V729*(N($M729)*1+N($N729)*0.75+N($O729)*0.5+N($P729)*0.25)+$W729*N($L729))</f>
        <v/>
      </c>
      <c r="Z729" s="35" t="str">
        <f aca="false">IF($G729="","",$U729*1000000+ROW())</f>
        <v/>
      </c>
      <c r="AA729" s="36" t="str">
        <f aca="false">IF($G729="","",MID(IF($C729="",", no division","")&amp;IF($E729="",", no unit","")&amp;IF($H729="",", no career level","")&amp;IF(N($L729)&lt;=0,", no quarter split","")&amp;IF($R729="",", no driver","")&amp;IF(AND($H729&lt;&gt;"",COUNTIF(CareerLevels,$H729)=0),", a career level that is not on the ladder","")&amp;IF(AND($R729&lt;&gt;"",COUNTIF(DriverList,$R729)=0),", a driver that is not on the list","")&amp;IF(ABS(N($L729)-(N($M729)+N($N729)+N($O729)+N($P729)))&gt;0.001,", a total that does not match its quarters",""),3,300))</f>
        <v/>
      </c>
    </row>
    <row r="730" customFormat="false" ht="15" hidden="false" customHeight="false" outlineLevel="0" collapsed="false">
      <c r="A730" s="33" t="str">
        <f aca="false">IF($G730="","","Finance Group")</f>
        <v/>
      </c>
      <c r="B730" s="19"/>
      <c r="C730" s="19"/>
      <c r="D730" s="19"/>
      <c r="E730" s="19"/>
      <c r="F730" s="19"/>
      <c r="G730" s="19"/>
      <c r="H730" s="19"/>
      <c r="I730" s="19"/>
      <c r="J730" s="19"/>
      <c r="K730" s="19"/>
      <c r="L730" s="19"/>
      <c r="M730" s="19"/>
      <c r="N730" s="19"/>
      <c r="O730" s="19"/>
      <c r="P730" s="19"/>
      <c r="Q730" s="19"/>
      <c r="R730" s="19"/>
      <c r="S730" s="19"/>
      <c r="T730" s="34" t="str">
        <f aca="false">IF($R730="","",IFERROR(INDEX(DriverCategory,MATCH($R730,DriverList,0)),"BAU"))</f>
        <v/>
      </c>
      <c r="U730" s="34" t="str">
        <f aca="false">IF($R730="","",IFERROR(INDEX(DriverRank,MATCH($R730,DriverList,0)),99))</f>
        <v/>
      </c>
      <c r="V730" s="35" t="n">
        <f aca="false">IF($H730="",0,IFERROR(INDEX(LevelBasic,MATCH($H730,LevelList,0))+INDEX(LevelHousing,MATCH($H730,LevelList,0))+INDEX(LevelTransport,MATCH($H730,LevelList,0))+INDEX(LevelBasic,MATCH($H730,LevelList,0))*INDEX(LevelBonus,MATCH($H730,LevelList,0))+(INDEX(LevelBasic,MATCH($H730,LevelList,0))+INDEX(LevelHousing,MATCH($H730,LevelList,0)))*GosiSaudi,0))</f>
        <v>0</v>
      </c>
      <c r="W730" s="35" t="n">
        <f aca="false">IFERROR(INDEX(LevelOneOff,MATCH($H730,LevelList,0)),0)</f>
        <v>0</v>
      </c>
      <c r="X730" s="35" t="str">
        <f aca="false">IF($G730="","",$V730*N($L730))</f>
        <v/>
      </c>
      <c r="Y730" s="35" t="str">
        <f aca="false">IF($G730="","",$V730*(N($M730)*1+N($N730)*0.75+N($O730)*0.5+N($P730)*0.25)+$W730*N($L730))</f>
        <v/>
      </c>
      <c r="Z730" s="35" t="str">
        <f aca="false">IF($G730="","",$U730*1000000+ROW())</f>
        <v/>
      </c>
      <c r="AA730" s="36" t="str">
        <f aca="false">IF($G730="","",MID(IF($C730="",", no division","")&amp;IF($E730="",", no unit","")&amp;IF($H730="",", no career level","")&amp;IF(N($L730)&lt;=0,", no quarter split","")&amp;IF($R730="",", no driver","")&amp;IF(AND($H730&lt;&gt;"",COUNTIF(CareerLevels,$H730)=0),", a career level that is not on the ladder","")&amp;IF(AND($R730&lt;&gt;"",COUNTIF(DriverList,$R730)=0),", a driver that is not on the list","")&amp;IF(ABS(N($L730)-(N($M730)+N($N730)+N($O730)+N($P730)))&gt;0.001,", a total that does not match its quarters",""),3,300))</f>
        <v/>
      </c>
    </row>
    <row r="731" customFormat="false" ht="15" hidden="false" customHeight="false" outlineLevel="0" collapsed="false">
      <c r="A731" s="33" t="str">
        <f aca="false">IF($G731="","","Finance Group")</f>
        <v/>
      </c>
      <c r="B731" s="19"/>
      <c r="C731" s="19"/>
      <c r="D731" s="19"/>
      <c r="E731" s="19"/>
      <c r="F731" s="19"/>
      <c r="G731" s="19"/>
      <c r="H731" s="19"/>
      <c r="I731" s="19"/>
      <c r="J731" s="19"/>
      <c r="K731" s="19"/>
      <c r="L731" s="19"/>
      <c r="M731" s="19"/>
      <c r="N731" s="19"/>
      <c r="O731" s="19"/>
      <c r="P731" s="19"/>
      <c r="Q731" s="19"/>
      <c r="R731" s="19"/>
      <c r="S731" s="19"/>
      <c r="T731" s="34" t="str">
        <f aca="false">IF($R731="","",IFERROR(INDEX(DriverCategory,MATCH($R731,DriverList,0)),"BAU"))</f>
        <v/>
      </c>
      <c r="U731" s="34" t="str">
        <f aca="false">IF($R731="","",IFERROR(INDEX(DriverRank,MATCH($R731,DriverList,0)),99))</f>
        <v/>
      </c>
      <c r="V731" s="35" t="n">
        <f aca="false">IF($H731="",0,IFERROR(INDEX(LevelBasic,MATCH($H731,LevelList,0))+INDEX(LevelHousing,MATCH($H731,LevelList,0))+INDEX(LevelTransport,MATCH($H731,LevelList,0))+INDEX(LevelBasic,MATCH($H731,LevelList,0))*INDEX(LevelBonus,MATCH($H731,LevelList,0))+(INDEX(LevelBasic,MATCH($H731,LevelList,0))+INDEX(LevelHousing,MATCH($H731,LevelList,0)))*GosiSaudi,0))</f>
        <v>0</v>
      </c>
      <c r="W731" s="35" t="n">
        <f aca="false">IFERROR(INDEX(LevelOneOff,MATCH($H731,LevelList,0)),0)</f>
        <v>0</v>
      </c>
      <c r="X731" s="35" t="str">
        <f aca="false">IF($G731="","",$V731*N($L731))</f>
        <v/>
      </c>
      <c r="Y731" s="35" t="str">
        <f aca="false">IF($G731="","",$V731*(N($M731)*1+N($N731)*0.75+N($O731)*0.5+N($P731)*0.25)+$W731*N($L731))</f>
        <v/>
      </c>
      <c r="Z731" s="35" t="str">
        <f aca="false">IF($G731="","",$U731*1000000+ROW())</f>
        <v/>
      </c>
      <c r="AA731" s="36" t="str">
        <f aca="false">IF($G731="","",MID(IF($C731="",", no division","")&amp;IF($E731="",", no unit","")&amp;IF($H731="",", no career level","")&amp;IF(N($L731)&lt;=0,", no quarter split","")&amp;IF($R731="",", no driver","")&amp;IF(AND($H731&lt;&gt;"",COUNTIF(CareerLevels,$H731)=0),", a career level that is not on the ladder","")&amp;IF(AND($R731&lt;&gt;"",COUNTIF(DriverList,$R731)=0),", a driver that is not on the list","")&amp;IF(ABS(N($L731)-(N($M731)+N($N731)+N($O731)+N($P731)))&gt;0.001,", a total that does not match its quarters",""),3,300))</f>
        <v/>
      </c>
    </row>
    <row r="732" customFormat="false" ht="15" hidden="false" customHeight="false" outlineLevel="0" collapsed="false">
      <c r="A732" s="33" t="str">
        <f aca="false">IF($G732="","","Finance Group")</f>
        <v/>
      </c>
      <c r="B732" s="19"/>
      <c r="C732" s="19"/>
      <c r="D732" s="19"/>
      <c r="E732" s="19"/>
      <c r="F732" s="19"/>
      <c r="G732" s="19"/>
      <c r="H732" s="19"/>
      <c r="I732" s="19"/>
      <c r="J732" s="19"/>
      <c r="K732" s="19"/>
      <c r="L732" s="19"/>
      <c r="M732" s="19"/>
      <c r="N732" s="19"/>
      <c r="O732" s="19"/>
      <c r="P732" s="19"/>
      <c r="Q732" s="19"/>
      <c r="R732" s="19"/>
      <c r="S732" s="19"/>
      <c r="T732" s="34" t="str">
        <f aca="false">IF($R732="","",IFERROR(INDEX(DriverCategory,MATCH($R732,DriverList,0)),"BAU"))</f>
        <v/>
      </c>
      <c r="U732" s="34" t="str">
        <f aca="false">IF($R732="","",IFERROR(INDEX(DriverRank,MATCH($R732,DriverList,0)),99))</f>
        <v/>
      </c>
      <c r="V732" s="35" t="n">
        <f aca="false">IF($H732="",0,IFERROR(INDEX(LevelBasic,MATCH($H732,LevelList,0))+INDEX(LevelHousing,MATCH($H732,LevelList,0))+INDEX(LevelTransport,MATCH($H732,LevelList,0))+INDEX(LevelBasic,MATCH($H732,LevelList,0))*INDEX(LevelBonus,MATCH($H732,LevelList,0))+(INDEX(LevelBasic,MATCH($H732,LevelList,0))+INDEX(LevelHousing,MATCH($H732,LevelList,0)))*GosiSaudi,0))</f>
        <v>0</v>
      </c>
      <c r="W732" s="35" t="n">
        <f aca="false">IFERROR(INDEX(LevelOneOff,MATCH($H732,LevelList,0)),0)</f>
        <v>0</v>
      </c>
      <c r="X732" s="35" t="str">
        <f aca="false">IF($G732="","",$V732*N($L732))</f>
        <v/>
      </c>
      <c r="Y732" s="35" t="str">
        <f aca="false">IF($G732="","",$V732*(N($M732)*1+N($N732)*0.75+N($O732)*0.5+N($P732)*0.25)+$W732*N($L732))</f>
        <v/>
      </c>
      <c r="Z732" s="35" t="str">
        <f aca="false">IF($G732="","",$U732*1000000+ROW())</f>
        <v/>
      </c>
      <c r="AA732" s="36" t="str">
        <f aca="false">IF($G732="","",MID(IF($C732="",", no division","")&amp;IF($E732="",", no unit","")&amp;IF($H732="",", no career level","")&amp;IF(N($L732)&lt;=0,", no quarter split","")&amp;IF($R732="",", no driver","")&amp;IF(AND($H732&lt;&gt;"",COUNTIF(CareerLevels,$H732)=0),", a career level that is not on the ladder","")&amp;IF(AND($R732&lt;&gt;"",COUNTIF(DriverList,$R732)=0),", a driver that is not on the list","")&amp;IF(ABS(N($L732)-(N($M732)+N($N732)+N($O732)+N($P732)))&gt;0.001,", a total that does not match its quarters",""),3,300))</f>
        <v/>
      </c>
    </row>
    <row r="733" customFormat="false" ht="15" hidden="false" customHeight="false" outlineLevel="0" collapsed="false">
      <c r="A733" s="33" t="str">
        <f aca="false">IF($G733="","","Finance Group")</f>
        <v/>
      </c>
      <c r="B733" s="19"/>
      <c r="C733" s="19"/>
      <c r="D733" s="19"/>
      <c r="E733" s="19"/>
      <c r="F733" s="19"/>
      <c r="G733" s="19"/>
      <c r="H733" s="19"/>
      <c r="I733" s="19"/>
      <c r="J733" s="19"/>
      <c r="K733" s="19"/>
      <c r="L733" s="19"/>
      <c r="M733" s="19"/>
      <c r="N733" s="19"/>
      <c r="O733" s="19"/>
      <c r="P733" s="19"/>
      <c r="Q733" s="19"/>
      <c r="R733" s="19"/>
      <c r="S733" s="19"/>
      <c r="T733" s="34" t="str">
        <f aca="false">IF($R733="","",IFERROR(INDEX(DriverCategory,MATCH($R733,DriverList,0)),"BAU"))</f>
        <v/>
      </c>
      <c r="U733" s="34" t="str">
        <f aca="false">IF($R733="","",IFERROR(INDEX(DriverRank,MATCH($R733,DriverList,0)),99))</f>
        <v/>
      </c>
      <c r="V733" s="35" t="n">
        <f aca="false">IF($H733="",0,IFERROR(INDEX(LevelBasic,MATCH($H733,LevelList,0))+INDEX(LevelHousing,MATCH($H733,LevelList,0))+INDEX(LevelTransport,MATCH($H733,LevelList,0))+INDEX(LevelBasic,MATCH($H733,LevelList,0))*INDEX(LevelBonus,MATCH($H733,LevelList,0))+(INDEX(LevelBasic,MATCH($H733,LevelList,0))+INDEX(LevelHousing,MATCH($H733,LevelList,0)))*GosiSaudi,0))</f>
        <v>0</v>
      </c>
      <c r="W733" s="35" t="n">
        <f aca="false">IFERROR(INDEX(LevelOneOff,MATCH($H733,LevelList,0)),0)</f>
        <v>0</v>
      </c>
      <c r="X733" s="35" t="str">
        <f aca="false">IF($G733="","",$V733*N($L733))</f>
        <v/>
      </c>
      <c r="Y733" s="35" t="str">
        <f aca="false">IF($G733="","",$V733*(N($M733)*1+N($N733)*0.75+N($O733)*0.5+N($P733)*0.25)+$W733*N($L733))</f>
        <v/>
      </c>
      <c r="Z733" s="35" t="str">
        <f aca="false">IF($G733="","",$U733*1000000+ROW())</f>
        <v/>
      </c>
      <c r="AA733" s="36" t="str">
        <f aca="false">IF($G733="","",MID(IF($C733="",", no division","")&amp;IF($E733="",", no unit","")&amp;IF($H733="",", no career level","")&amp;IF(N($L733)&lt;=0,", no quarter split","")&amp;IF($R733="",", no driver","")&amp;IF(AND($H733&lt;&gt;"",COUNTIF(CareerLevels,$H733)=0),", a career level that is not on the ladder","")&amp;IF(AND($R733&lt;&gt;"",COUNTIF(DriverList,$R733)=0),", a driver that is not on the list","")&amp;IF(ABS(N($L733)-(N($M733)+N($N733)+N($O733)+N($P733)))&gt;0.001,", a total that does not match its quarters",""),3,300))</f>
        <v/>
      </c>
    </row>
    <row r="734" customFormat="false" ht="15" hidden="false" customHeight="false" outlineLevel="0" collapsed="false">
      <c r="A734" s="33" t="str">
        <f aca="false">IF($G734="","","Finance Group")</f>
        <v/>
      </c>
      <c r="B734" s="19"/>
      <c r="C734" s="19"/>
      <c r="D734" s="19"/>
      <c r="E734" s="19"/>
      <c r="F734" s="19"/>
      <c r="G734" s="19"/>
      <c r="H734" s="19"/>
      <c r="I734" s="19"/>
      <c r="J734" s="19"/>
      <c r="K734" s="19"/>
      <c r="L734" s="19"/>
      <c r="M734" s="19"/>
      <c r="N734" s="19"/>
      <c r="O734" s="19"/>
      <c r="P734" s="19"/>
      <c r="Q734" s="19"/>
      <c r="R734" s="19"/>
      <c r="S734" s="19"/>
      <c r="T734" s="34" t="str">
        <f aca="false">IF($R734="","",IFERROR(INDEX(DriverCategory,MATCH($R734,DriverList,0)),"BAU"))</f>
        <v/>
      </c>
      <c r="U734" s="34" t="str">
        <f aca="false">IF($R734="","",IFERROR(INDEX(DriverRank,MATCH($R734,DriverList,0)),99))</f>
        <v/>
      </c>
      <c r="V734" s="35" t="n">
        <f aca="false">IF($H734="",0,IFERROR(INDEX(LevelBasic,MATCH($H734,LevelList,0))+INDEX(LevelHousing,MATCH($H734,LevelList,0))+INDEX(LevelTransport,MATCH($H734,LevelList,0))+INDEX(LevelBasic,MATCH($H734,LevelList,0))*INDEX(LevelBonus,MATCH($H734,LevelList,0))+(INDEX(LevelBasic,MATCH($H734,LevelList,0))+INDEX(LevelHousing,MATCH($H734,LevelList,0)))*GosiSaudi,0))</f>
        <v>0</v>
      </c>
      <c r="W734" s="35" t="n">
        <f aca="false">IFERROR(INDEX(LevelOneOff,MATCH($H734,LevelList,0)),0)</f>
        <v>0</v>
      </c>
      <c r="X734" s="35" t="str">
        <f aca="false">IF($G734="","",$V734*N($L734))</f>
        <v/>
      </c>
      <c r="Y734" s="35" t="str">
        <f aca="false">IF($G734="","",$V734*(N($M734)*1+N($N734)*0.75+N($O734)*0.5+N($P734)*0.25)+$W734*N($L734))</f>
        <v/>
      </c>
      <c r="Z734" s="35" t="str">
        <f aca="false">IF($G734="","",$U734*1000000+ROW())</f>
        <v/>
      </c>
      <c r="AA734" s="36" t="str">
        <f aca="false">IF($G734="","",MID(IF($C734="",", no division","")&amp;IF($E734="",", no unit","")&amp;IF($H734="",", no career level","")&amp;IF(N($L734)&lt;=0,", no quarter split","")&amp;IF($R734="",", no driver","")&amp;IF(AND($H734&lt;&gt;"",COUNTIF(CareerLevels,$H734)=0),", a career level that is not on the ladder","")&amp;IF(AND($R734&lt;&gt;"",COUNTIF(DriverList,$R734)=0),", a driver that is not on the list","")&amp;IF(ABS(N($L734)-(N($M734)+N($N734)+N($O734)+N($P734)))&gt;0.001,", a total that does not match its quarters",""),3,300))</f>
        <v/>
      </c>
    </row>
    <row r="735" customFormat="false" ht="15" hidden="false" customHeight="false" outlineLevel="0" collapsed="false">
      <c r="A735" s="33" t="str">
        <f aca="false">IF($G735="","","Finance Group")</f>
        <v/>
      </c>
      <c r="B735" s="19"/>
      <c r="C735" s="19"/>
      <c r="D735" s="19"/>
      <c r="E735" s="19"/>
      <c r="F735" s="19"/>
      <c r="G735" s="19"/>
      <c r="H735" s="19"/>
      <c r="I735" s="19"/>
      <c r="J735" s="19"/>
      <c r="K735" s="19"/>
      <c r="L735" s="19"/>
      <c r="M735" s="19"/>
      <c r="N735" s="19"/>
      <c r="O735" s="19"/>
      <c r="P735" s="19"/>
      <c r="Q735" s="19"/>
      <c r="R735" s="19"/>
      <c r="S735" s="19"/>
      <c r="T735" s="34" t="str">
        <f aca="false">IF($R735="","",IFERROR(INDEX(DriverCategory,MATCH($R735,DriverList,0)),"BAU"))</f>
        <v/>
      </c>
      <c r="U735" s="34" t="str">
        <f aca="false">IF($R735="","",IFERROR(INDEX(DriverRank,MATCH($R735,DriverList,0)),99))</f>
        <v/>
      </c>
      <c r="V735" s="35" t="n">
        <f aca="false">IF($H735="",0,IFERROR(INDEX(LevelBasic,MATCH($H735,LevelList,0))+INDEX(LevelHousing,MATCH($H735,LevelList,0))+INDEX(LevelTransport,MATCH($H735,LevelList,0))+INDEX(LevelBasic,MATCH($H735,LevelList,0))*INDEX(LevelBonus,MATCH($H735,LevelList,0))+(INDEX(LevelBasic,MATCH($H735,LevelList,0))+INDEX(LevelHousing,MATCH($H735,LevelList,0)))*GosiSaudi,0))</f>
        <v>0</v>
      </c>
      <c r="W735" s="35" t="n">
        <f aca="false">IFERROR(INDEX(LevelOneOff,MATCH($H735,LevelList,0)),0)</f>
        <v>0</v>
      </c>
      <c r="X735" s="35" t="str">
        <f aca="false">IF($G735="","",$V735*N($L735))</f>
        <v/>
      </c>
      <c r="Y735" s="35" t="str">
        <f aca="false">IF($G735="","",$V735*(N($M735)*1+N($N735)*0.75+N($O735)*0.5+N($P735)*0.25)+$W735*N($L735))</f>
        <v/>
      </c>
      <c r="Z735" s="35" t="str">
        <f aca="false">IF($G735="","",$U735*1000000+ROW())</f>
        <v/>
      </c>
      <c r="AA735" s="36" t="str">
        <f aca="false">IF($G735="","",MID(IF($C735="",", no division","")&amp;IF($E735="",", no unit","")&amp;IF($H735="",", no career level","")&amp;IF(N($L735)&lt;=0,", no quarter split","")&amp;IF($R735="",", no driver","")&amp;IF(AND($H735&lt;&gt;"",COUNTIF(CareerLevels,$H735)=0),", a career level that is not on the ladder","")&amp;IF(AND($R735&lt;&gt;"",COUNTIF(DriverList,$R735)=0),", a driver that is not on the list","")&amp;IF(ABS(N($L735)-(N($M735)+N($N735)+N($O735)+N($P735)))&gt;0.001,", a total that does not match its quarters",""),3,300))</f>
        <v/>
      </c>
    </row>
    <row r="736" customFormat="false" ht="15" hidden="false" customHeight="false" outlineLevel="0" collapsed="false">
      <c r="A736" s="33" t="str">
        <f aca="false">IF($G736="","","Finance Group")</f>
        <v/>
      </c>
      <c r="B736" s="19"/>
      <c r="C736" s="19"/>
      <c r="D736" s="19"/>
      <c r="E736" s="19"/>
      <c r="F736" s="19"/>
      <c r="G736" s="19"/>
      <c r="H736" s="19"/>
      <c r="I736" s="19"/>
      <c r="J736" s="19"/>
      <c r="K736" s="19"/>
      <c r="L736" s="19"/>
      <c r="M736" s="19"/>
      <c r="N736" s="19"/>
      <c r="O736" s="19"/>
      <c r="P736" s="19"/>
      <c r="Q736" s="19"/>
      <c r="R736" s="19"/>
      <c r="S736" s="19"/>
      <c r="T736" s="34" t="str">
        <f aca="false">IF($R736="","",IFERROR(INDEX(DriverCategory,MATCH($R736,DriverList,0)),"BAU"))</f>
        <v/>
      </c>
      <c r="U736" s="34" t="str">
        <f aca="false">IF($R736="","",IFERROR(INDEX(DriverRank,MATCH($R736,DriverList,0)),99))</f>
        <v/>
      </c>
      <c r="V736" s="35" t="n">
        <f aca="false">IF($H736="",0,IFERROR(INDEX(LevelBasic,MATCH($H736,LevelList,0))+INDEX(LevelHousing,MATCH($H736,LevelList,0))+INDEX(LevelTransport,MATCH($H736,LevelList,0))+INDEX(LevelBasic,MATCH($H736,LevelList,0))*INDEX(LevelBonus,MATCH($H736,LevelList,0))+(INDEX(LevelBasic,MATCH($H736,LevelList,0))+INDEX(LevelHousing,MATCH($H736,LevelList,0)))*GosiSaudi,0))</f>
        <v>0</v>
      </c>
      <c r="W736" s="35" t="n">
        <f aca="false">IFERROR(INDEX(LevelOneOff,MATCH($H736,LevelList,0)),0)</f>
        <v>0</v>
      </c>
      <c r="X736" s="35" t="str">
        <f aca="false">IF($G736="","",$V736*N($L736))</f>
        <v/>
      </c>
      <c r="Y736" s="35" t="str">
        <f aca="false">IF($G736="","",$V736*(N($M736)*1+N($N736)*0.75+N($O736)*0.5+N($P736)*0.25)+$W736*N($L736))</f>
        <v/>
      </c>
      <c r="Z736" s="35" t="str">
        <f aca="false">IF($G736="","",$U736*1000000+ROW())</f>
        <v/>
      </c>
      <c r="AA736" s="36" t="str">
        <f aca="false">IF($G736="","",MID(IF($C736="",", no division","")&amp;IF($E736="",", no unit","")&amp;IF($H736="",", no career level","")&amp;IF(N($L736)&lt;=0,", no quarter split","")&amp;IF($R736="",", no driver","")&amp;IF(AND($H736&lt;&gt;"",COUNTIF(CareerLevels,$H736)=0),", a career level that is not on the ladder","")&amp;IF(AND($R736&lt;&gt;"",COUNTIF(DriverList,$R736)=0),", a driver that is not on the list","")&amp;IF(ABS(N($L736)-(N($M736)+N($N736)+N($O736)+N($P736)))&gt;0.001,", a total that does not match its quarters",""),3,300))</f>
        <v/>
      </c>
    </row>
    <row r="737" customFormat="false" ht="15" hidden="false" customHeight="false" outlineLevel="0" collapsed="false">
      <c r="A737" s="33" t="str">
        <f aca="false">IF($G737="","","Finance Group")</f>
        <v/>
      </c>
      <c r="B737" s="19"/>
      <c r="C737" s="19"/>
      <c r="D737" s="19"/>
      <c r="E737" s="19"/>
      <c r="F737" s="19"/>
      <c r="G737" s="19"/>
      <c r="H737" s="19"/>
      <c r="I737" s="19"/>
      <c r="J737" s="19"/>
      <c r="K737" s="19"/>
      <c r="L737" s="19"/>
      <c r="M737" s="19"/>
      <c r="N737" s="19"/>
      <c r="O737" s="19"/>
      <c r="P737" s="19"/>
      <c r="Q737" s="19"/>
      <c r="R737" s="19"/>
      <c r="S737" s="19"/>
      <c r="T737" s="34" t="str">
        <f aca="false">IF($R737="","",IFERROR(INDEX(DriverCategory,MATCH($R737,DriverList,0)),"BAU"))</f>
        <v/>
      </c>
      <c r="U737" s="34" t="str">
        <f aca="false">IF($R737="","",IFERROR(INDEX(DriverRank,MATCH($R737,DriverList,0)),99))</f>
        <v/>
      </c>
      <c r="V737" s="35" t="n">
        <f aca="false">IF($H737="",0,IFERROR(INDEX(LevelBasic,MATCH($H737,LevelList,0))+INDEX(LevelHousing,MATCH($H737,LevelList,0))+INDEX(LevelTransport,MATCH($H737,LevelList,0))+INDEX(LevelBasic,MATCH($H737,LevelList,0))*INDEX(LevelBonus,MATCH($H737,LevelList,0))+(INDEX(LevelBasic,MATCH($H737,LevelList,0))+INDEX(LevelHousing,MATCH($H737,LevelList,0)))*GosiSaudi,0))</f>
        <v>0</v>
      </c>
      <c r="W737" s="35" t="n">
        <f aca="false">IFERROR(INDEX(LevelOneOff,MATCH($H737,LevelList,0)),0)</f>
        <v>0</v>
      </c>
      <c r="X737" s="35" t="str">
        <f aca="false">IF($G737="","",$V737*N($L737))</f>
        <v/>
      </c>
      <c r="Y737" s="35" t="str">
        <f aca="false">IF($G737="","",$V737*(N($M737)*1+N($N737)*0.75+N($O737)*0.5+N($P737)*0.25)+$W737*N($L737))</f>
        <v/>
      </c>
      <c r="Z737" s="35" t="str">
        <f aca="false">IF($G737="","",$U737*1000000+ROW())</f>
        <v/>
      </c>
      <c r="AA737" s="36" t="str">
        <f aca="false">IF($G737="","",MID(IF($C737="",", no division","")&amp;IF($E737="",", no unit","")&amp;IF($H737="",", no career level","")&amp;IF(N($L737)&lt;=0,", no quarter split","")&amp;IF($R737="",", no driver","")&amp;IF(AND($H737&lt;&gt;"",COUNTIF(CareerLevels,$H737)=0),", a career level that is not on the ladder","")&amp;IF(AND($R737&lt;&gt;"",COUNTIF(DriverList,$R737)=0),", a driver that is not on the list","")&amp;IF(ABS(N($L737)-(N($M737)+N($N737)+N($O737)+N($P737)))&gt;0.001,", a total that does not match its quarters",""),3,300))</f>
        <v/>
      </c>
    </row>
    <row r="738" customFormat="false" ht="15" hidden="false" customHeight="false" outlineLevel="0" collapsed="false">
      <c r="A738" s="33" t="str">
        <f aca="false">IF($G738="","","Finance Group")</f>
        <v/>
      </c>
      <c r="B738" s="19"/>
      <c r="C738" s="19"/>
      <c r="D738" s="19"/>
      <c r="E738" s="19"/>
      <c r="F738" s="19"/>
      <c r="G738" s="19"/>
      <c r="H738" s="19"/>
      <c r="I738" s="19"/>
      <c r="J738" s="19"/>
      <c r="K738" s="19"/>
      <c r="L738" s="19"/>
      <c r="M738" s="19"/>
      <c r="N738" s="19"/>
      <c r="O738" s="19"/>
      <c r="P738" s="19"/>
      <c r="Q738" s="19"/>
      <c r="R738" s="19"/>
      <c r="S738" s="19"/>
      <c r="T738" s="34" t="str">
        <f aca="false">IF($R738="","",IFERROR(INDEX(DriverCategory,MATCH($R738,DriverList,0)),"BAU"))</f>
        <v/>
      </c>
      <c r="U738" s="34" t="str">
        <f aca="false">IF($R738="","",IFERROR(INDEX(DriverRank,MATCH($R738,DriverList,0)),99))</f>
        <v/>
      </c>
      <c r="V738" s="35" t="n">
        <f aca="false">IF($H738="",0,IFERROR(INDEX(LevelBasic,MATCH($H738,LevelList,0))+INDEX(LevelHousing,MATCH($H738,LevelList,0))+INDEX(LevelTransport,MATCH($H738,LevelList,0))+INDEX(LevelBasic,MATCH($H738,LevelList,0))*INDEX(LevelBonus,MATCH($H738,LevelList,0))+(INDEX(LevelBasic,MATCH($H738,LevelList,0))+INDEX(LevelHousing,MATCH($H738,LevelList,0)))*GosiSaudi,0))</f>
        <v>0</v>
      </c>
      <c r="W738" s="35" t="n">
        <f aca="false">IFERROR(INDEX(LevelOneOff,MATCH($H738,LevelList,0)),0)</f>
        <v>0</v>
      </c>
      <c r="X738" s="35" t="str">
        <f aca="false">IF($G738="","",$V738*N($L738))</f>
        <v/>
      </c>
      <c r="Y738" s="35" t="str">
        <f aca="false">IF($G738="","",$V738*(N($M738)*1+N($N738)*0.75+N($O738)*0.5+N($P738)*0.25)+$W738*N($L738))</f>
        <v/>
      </c>
      <c r="Z738" s="35" t="str">
        <f aca="false">IF($G738="","",$U738*1000000+ROW())</f>
        <v/>
      </c>
      <c r="AA738" s="36" t="str">
        <f aca="false">IF($G738="","",MID(IF($C738="",", no division","")&amp;IF($E738="",", no unit","")&amp;IF($H738="",", no career level","")&amp;IF(N($L738)&lt;=0,", no quarter split","")&amp;IF($R738="",", no driver","")&amp;IF(AND($H738&lt;&gt;"",COUNTIF(CareerLevels,$H738)=0),", a career level that is not on the ladder","")&amp;IF(AND($R738&lt;&gt;"",COUNTIF(DriverList,$R738)=0),", a driver that is not on the list","")&amp;IF(ABS(N($L738)-(N($M738)+N($N738)+N($O738)+N($P738)))&gt;0.001,", a total that does not match its quarters",""),3,300))</f>
        <v/>
      </c>
    </row>
    <row r="739" customFormat="false" ht="15" hidden="false" customHeight="false" outlineLevel="0" collapsed="false">
      <c r="A739" s="33" t="str">
        <f aca="false">IF($G739="","","Finance Group")</f>
        <v/>
      </c>
      <c r="B739" s="19"/>
      <c r="C739" s="19"/>
      <c r="D739" s="19"/>
      <c r="E739" s="19"/>
      <c r="F739" s="19"/>
      <c r="G739" s="19"/>
      <c r="H739" s="19"/>
      <c r="I739" s="19"/>
      <c r="J739" s="19"/>
      <c r="K739" s="19"/>
      <c r="L739" s="19"/>
      <c r="M739" s="19"/>
      <c r="N739" s="19"/>
      <c r="O739" s="19"/>
      <c r="P739" s="19"/>
      <c r="Q739" s="19"/>
      <c r="R739" s="19"/>
      <c r="S739" s="19"/>
      <c r="T739" s="34" t="str">
        <f aca="false">IF($R739="","",IFERROR(INDEX(DriverCategory,MATCH($R739,DriverList,0)),"BAU"))</f>
        <v/>
      </c>
      <c r="U739" s="34" t="str">
        <f aca="false">IF($R739="","",IFERROR(INDEX(DriverRank,MATCH($R739,DriverList,0)),99))</f>
        <v/>
      </c>
      <c r="V739" s="35" t="n">
        <f aca="false">IF($H739="",0,IFERROR(INDEX(LevelBasic,MATCH($H739,LevelList,0))+INDEX(LevelHousing,MATCH($H739,LevelList,0))+INDEX(LevelTransport,MATCH($H739,LevelList,0))+INDEX(LevelBasic,MATCH($H739,LevelList,0))*INDEX(LevelBonus,MATCH($H739,LevelList,0))+(INDEX(LevelBasic,MATCH($H739,LevelList,0))+INDEX(LevelHousing,MATCH($H739,LevelList,0)))*GosiSaudi,0))</f>
        <v>0</v>
      </c>
      <c r="W739" s="35" t="n">
        <f aca="false">IFERROR(INDEX(LevelOneOff,MATCH($H739,LevelList,0)),0)</f>
        <v>0</v>
      </c>
      <c r="X739" s="35" t="str">
        <f aca="false">IF($G739="","",$V739*N($L739))</f>
        <v/>
      </c>
      <c r="Y739" s="35" t="str">
        <f aca="false">IF($G739="","",$V739*(N($M739)*1+N($N739)*0.75+N($O739)*0.5+N($P739)*0.25)+$W739*N($L739))</f>
        <v/>
      </c>
      <c r="Z739" s="35" t="str">
        <f aca="false">IF($G739="","",$U739*1000000+ROW())</f>
        <v/>
      </c>
      <c r="AA739" s="36" t="str">
        <f aca="false">IF($G739="","",MID(IF($C739="",", no division","")&amp;IF($E739="",", no unit","")&amp;IF($H739="",", no career level","")&amp;IF(N($L739)&lt;=0,", no quarter split","")&amp;IF($R739="",", no driver","")&amp;IF(AND($H739&lt;&gt;"",COUNTIF(CareerLevels,$H739)=0),", a career level that is not on the ladder","")&amp;IF(AND($R739&lt;&gt;"",COUNTIF(DriverList,$R739)=0),", a driver that is not on the list","")&amp;IF(ABS(N($L739)-(N($M739)+N($N739)+N($O739)+N($P739)))&gt;0.001,", a total that does not match its quarters",""),3,300))</f>
        <v/>
      </c>
    </row>
    <row r="740" customFormat="false" ht="15" hidden="false" customHeight="false" outlineLevel="0" collapsed="false">
      <c r="A740" s="33" t="str">
        <f aca="false">IF($G740="","","Finance Group")</f>
        <v/>
      </c>
      <c r="B740" s="19"/>
      <c r="C740" s="19"/>
      <c r="D740" s="19"/>
      <c r="E740" s="19"/>
      <c r="F740" s="19"/>
      <c r="G740" s="19"/>
      <c r="H740" s="19"/>
      <c r="I740" s="19"/>
      <c r="J740" s="19"/>
      <c r="K740" s="19"/>
      <c r="L740" s="19"/>
      <c r="M740" s="19"/>
      <c r="N740" s="19"/>
      <c r="O740" s="19"/>
      <c r="P740" s="19"/>
      <c r="Q740" s="19"/>
      <c r="R740" s="19"/>
      <c r="S740" s="19"/>
      <c r="T740" s="34" t="str">
        <f aca="false">IF($R740="","",IFERROR(INDEX(DriverCategory,MATCH($R740,DriverList,0)),"BAU"))</f>
        <v/>
      </c>
      <c r="U740" s="34" t="str">
        <f aca="false">IF($R740="","",IFERROR(INDEX(DriverRank,MATCH($R740,DriverList,0)),99))</f>
        <v/>
      </c>
      <c r="V740" s="35" t="n">
        <f aca="false">IF($H740="",0,IFERROR(INDEX(LevelBasic,MATCH($H740,LevelList,0))+INDEX(LevelHousing,MATCH($H740,LevelList,0))+INDEX(LevelTransport,MATCH($H740,LevelList,0))+INDEX(LevelBasic,MATCH($H740,LevelList,0))*INDEX(LevelBonus,MATCH($H740,LevelList,0))+(INDEX(LevelBasic,MATCH($H740,LevelList,0))+INDEX(LevelHousing,MATCH($H740,LevelList,0)))*GosiSaudi,0))</f>
        <v>0</v>
      </c>
      <c r="W740" s="35" t="n">
        <f aca="false">IFERROR(INDEX(LevelOneOff,MATCH($H740,LevelList,0)),0)</f>
        <v>0</v>
      </c>
      <c r="X740" s="35" t="str">
        <f aca="false">IF($G740="","",$V740*N($L740))</f>
        <v/>
      </c>
      <c r="Y740" s="35" t="str">
        <f aca="false">IF($G740="","",$V740*(N($M740)*1+N($N740)*0.75+N($O740)*0.5+N($P740)*0.25)+$W740*N($L740))</f>
        <v/>
      </c>
      <c r="Z740" s="35" t="str">
        <f aca="false">IF($G740="","",$U740*1000000+ROW())</f>
        <v/>
      </c>
      <c r="AA740" s="36" t="str">
        <f aca="false">IF($G740="","",MID(IF($C740="",", no division","")&amp;IF($E740="",", no unit","")&amp;IF($H740="",", no career level","")&amp;IF(N($L740)&lt;=0,", no quarter split","")&amp;IF($R740="",", no driver","")&amp;IF(AND($H740&lt;&gt;"",COUNTIF(CareerLevels,$H740)=0),", a career level that is not on the ladder","")&amp;IF(AND($R740&lt;&gt;"",COUNTIF(DriverList,$R740)=0),", a driver that is not on the list","")&amp;IF(ABS(N($L740)-(N($M740)+N($N740)+N($O740)+N($P740)))&gt;0.001,", a total that does not match its quarters",""),3,300))</f>
        <v/>
      </c>
    </row>
    <row r="741" customFormat="false" ht="15" hidden="false" customHeight="false" outlineLevel="0" collapsed="false">
      <c r="A741" s="33" t="str">
        <f aca="false">IF($G741="","","Finance Group")</f>
        <v/>
      </c>
      <c r="B741" s="19"/>
      <c r="C741" s="19"/>
      <c r="D741" s="19"/>
      <c r="E741" s="19"/>
      <c r="F741" s="19"/>
      <c r="G741" s="19"/>
      <c r="H741" s="19"/>
      <c r="I741" s="19"/>
      <c r="J741" s="19"/>
      <c r="K741" s="19"/>
      <c r="L741" s="19"/>
      <c r="M741" s="19"/>
      <c r="N741" s="19"/>
      <c r="O741" s="19"/>
      <c r="P741" s="19"/>
      <c r="Q741" s="19"/>
      <c r="R741" s="19"/>
      <c r="S741" s="19"/>
      <c r="T741" s="34" t="str">
        <f aca="false">IF($R741="","",IFERROR(INDEX(DriverCategory,MATCH($R741,DriverList,0)),"BAU"))</f>
        <v/>
      </c>
      <c r="U741" s="34" t="str">
        <f aca="false">IF($R741="","",IFERROR(INDEX(DriverRank,MATCH($R741,DriverList,0)),99))</f>
        <v/>
      </c>
      <c r="V741" s="35" t="n">
        <f aca="false">IF($H741="",0,IFERROR(INDEX(LevelBasic,MATCH($H741,LevelList,0))+INDEX(LevelHousing,MATCH($H741,LevelList,0))+INDEX(LevelTransport,MATCH($H741,LevelList,0))+INDEX(LevelBasic,MATCH($H741,LevelList,0))*INDEX(LevelBonus,MATCH($H741,LevelList,0))+(INDEX(LevelBasic,MATCH($H741,LevelList,0))+INDEX(LevelHousing,MATCH($H741,LevelList,0)))*GosiSaudi,0))</f>
        <v>0</v>
      </c>
      <c r="W741" s="35" t="n">
        <f aca="false">IFERROR(INDEX(LevelOneOff,MATCH($H741,LevelList,0)),0)</f>
        <v>0</v>
      </c>
      <c r="X741" s="35" t="str">
        <f aca="false">IF($G741="","",$V741*N($L741))</f>
        <v/>
      </c>
      <c r="Y741" s="35" t="str">
        <f aca="false">IF($G741="","",$V741*(N($M741)*1+N($N741)*0.75+N($O741)*0.5+N($P741)*0.25)+$W741*N($L741))</f>
        <v/>
      </c>
      <c r="Z741" s="35" t="str">
        <f aca="false">IF($G741="","",$U741*1000000+ROW())</f>
        <v/>
      </c>
      <c r="AA741" s="36" t="str">
        <f aca="false">IF($G741="","",MID(IF($C741="",", no division","")&amp;IF($E741="",", no unit","")&amp;IF($H741="",", no career level","")&amp;IF(N($L741)&lt;=0,", no quarter split","")&amp;IF($R741="",", no driver","")&amp;IF(AND($H741&lt;&gt;"",COUNTIF(CareerLevels,$H741)=0),", a career level that is not on the ladder","")&amp;IF(AND($R741&lt;&gt;"",COUNTIF(DriverList,$R741)=0),", a driver that is not on the list","")&amp;IF(ABS(N($L741)-(N($M741)+N($N741)+N($O741)+N($P741)))&gt;0.001,", a total that does not match its quarters",""),3,300))</f>
        <v/>
      </c>
    </row>
    <row r="742" customFormat="false" ht="15" hidden="false" customHeight="false" outlineLevel="0" collapsed="false">
      <c r="A742" s="33" t="str">
        <f aca="false">IF($G742="","","Finance Group")</f>
        <v/>
      </c>
      <c r="B742" s="19"/>
      <c r="C742" s="19"/>
      <c r="D742" s="19"/>
      <c r="E742" s="19"/>
      <c r="F742" s="19"/>
      <c r="G742" s="19"/>
      <c r="H742" s="19"/>
      <c r="I742" s="19"/>
      <c r="J742" s="19"/>
      <c r="K742" s="19"/>
      <c r="L742" s="19"/>
      <c r="M742" s="19"/>
      <c r="N742" s="19"/>
      <c r="O742" s="19"/>
      <c r="P742" s="19"/>
      <c r="Q742" s="19"/>
      <c r="R742" s="19"/>
      <c r="S742" s="19"/>
      <c r="T742" s="34" t="str">
        <f aca="false">IF($R742="","",IFERROR(INDEX(DriverCategory,MATCH($R742,DriverList,0)),"BAU"))</f>
        <v/>
      </c>
      <c r="U742" s="34" t="str">
        <f aca="false">IF($R742="","",IFERROR(INDEX(DriverRank,MATCH($R742,DriverList,0)),99))</f>
        <v/>
      </c>
      <c r="V742" s="35" t="n">
        <f aca="false">IF($H742="",0,IFERROR(INDEX(LevelBasic,MATCH($H742,LevelList,0))+INDEX(LevelHousing,MATCH($H742,LevelList,0))+INDEX(LevelTransport,MATCH($H742,LevelList,0))+INDEX(LevelBasic,MATCH($H742,LevelList,0))*INDEX(LevelBonus,MATCH($H742,LevelList,0))+(INDEX(LevelBasic,MATCH($H742,LevelList,0))+INDEX(LevelHousing,MATCH($H742,LevelList,0)))*GosiSaudi,0))</f>
        <v>0</v>
      </c>
      <c r="W742" s="35" t="n">
        <f aca="false">IFERROR(INDEX(LevelOneOff,MATCH($H742,LevelList,0)),0)</f>
        <v>0</v>
      </c>
      <c r="X742" s="35" t="str">
        <f aca="false">IF($G742="","",$V742*N($L742))</f>
        <v/>
      </c>
      <c r="Y742" s="35" t="str">
        <f aca="false">IF($G742="","",$V742*(N($M742)*1+N($N742)*0.75+N($O742)*0.5+N($P742)*0.25)+$W742*N($L742))</f>
        <v/>
      </c>
      <c r="Z742" s="35" t="str">
        <f aca="false">IF($G742="","",$U742*1000000+ROW())</f>
        <v/>
      </c>
      <c r="AA742" s="36" t="str">
        <f aca="false">IF($G742="","",MID(IF($C742="",", no division","")&amp;IF($E742="",", no unit","")&amp;IF($H742="",", no career level","")&amp;IF(N($L742)&lt;=0,", no quarter split","")&amp;IF($R742="",", no driver","")&amp;IF(AND($H742&lt;&gt;"",COUNTIF(CareerLevels,$H742)=0),", a career level that is not on the ladder","")&amp;IF(AND($R742&lt;&gt;"",COUNTIF(DriverList,$R742)=0),", a driver that is not on the list","")&amp;IF(ABS(N($L742)-(N($M742)+N($N742)+N($O742)+N($P742)))&gt;0.001,", a total that does not match its quarters",""),3,300))</f>
        <v/>
      </c>
    </row>
    <row r="743" customFormat="false" ht="15" hidden="false" customHeight="false" outlineLevel="0" collapsed="false">
      <c r="A743" s="33" t="str">
        <f aca="false">IF($G743="","","Finance Group")</f>
        <v/>
      </c>
      <c r="B743" s="19"/>
      <c r="C743" s="19"/>
      <c r="D743" s="19"/>
      <c r="E743" s="19"/>
      <c r="F743" s="19"/>
      <c r="G743" s="19"/>
      <c r="H743" s="19"/>
      <c r="I743" s="19"/>
      <c r="J743" s="19"/>
      <c r="K743" s="19"/>
      <c r="L743" s="19"/>
      <c r="M743" s="19"/>
      <c r="N743" s="19"/>
      <c r="O743" s="19"/>
      <c r="P743" s="19"/>
      <c r="Q743" s="19"/>
      <c r="R743" s="19"/>
      <c r="S743" s="19"/>
      <c r="T743" s="34" t="str">
        <f aca="false">IF($R743="","",IFERROR(INDEX(DriverCategory,MATCH($R743,DriverList,0)),"BAU"))</f>
        <v/>
      </c>
      <c r="U743" s="34" t="str">
        <f aca="false">IF($R743="","",IFERROR(INDEX(DriverRank,MATCH($R743,DriverList,0)),99))</f>
        <v/>
      </c>
      <c r="V743" s="35" t="n">
        <f aca="false">IF($H743="",0,IFERROR(INDEX(LevelBasic,MATCH($H743,LevelList,0))+INDEX(LevelHousing,MATCH($H743,LevelList,0))+INDEX(LevelTransport,MATCH($H743,LevelList,0))+INDEX(LevelBasic,MATCH($H743,LevelList,0))*INDEX(LevelBonus,MATCH($H743,LevelList,0))+(INDEX(LevelBasic,MATCH($H743,LevelList,0))+INDEX(LevelHousing,MATCH($H743,LevelList,0)))*GosiSaudi,0))</f>
        <v>0</v>
      </c>
      <c r="W743" s="35" t="n">
        <f aca="false">IFERROR(INDEX(LevelOneOff,MATCH($H743,LevelList,0)),0)</f>
        <v>0</v>
      </c>
      <c r="X743" s="35" t="str">
        <f aca="false">IF($G743="","",$V743*N($L743))</f>
        <v/>
      </c>
      <c r="Y743" s="35" t="str">
        <f aca="false">IF($G743="","",$V743*(N($M743)*1+N($N743)*0.75+N($O743)*0.5+N($P743)*0.25)+$W743*N($L743))</f>
        <v/>
      </c>
      <c r="Z743" s="35" t="str">
        <f aca="false">IF($G743="","",$U743*1000000+ROW())</f>
        <v/>
      </c>
      <c r="AA743" s="36" t="str">
        <f aca="false">IF($G743="","",MID(IF($C743="",", no division","")&amp;IF($E743="",", no unit","")&amp;IF($H743="",", no career level","")&amp;IF(N($L743)&lt;=0,", no quarter split","")&amp;IF($R743="",", no driver","")&amp;IF(AND($H743&lt;&gt;"",COUNTIF(CareerLevels,$H743)=0),", a career level that is not on the ladder","")&amp;IF(AND($R743&lt;&gt;"",COUNTIF(DriverList,$R743)=0),", a driver that is not on the list","")&amp;IF(ABS(N($L743)-(N($M743)+N($N743)+N($O743)+N($P743)))&gt;0.001,", a total that does not match its quarters",""),3,300))</f>
        <v/>
      </c>
    </row>
    <row r="744" customFormat="false" ht="15" hidden="false" customHeight="false" outlineLevel="0" collapsed="false">
      <c r="A744" s="33" t="str">
        <f aca="false">IF($G744="","","Finance Group")</f>
        <v/>
      </c>
      <c r="B744" s="19"/>
      <c r="C744" s="19"/>
      <c r="D744" s="19"/>
      <c r="E744" s="19"/>
      <c r="F744" s="19"/>
      <c r="G744" s="19"/>
      <c r="H744" s="19"/>
      <c r="I744" s="19"/>
      <c r="J744" s="19"/>
      <c r="K744" s="19"/>
      <c r="L744" s="19"/>
      <c r="M744" s="19"/>
      <c r="N744" s="19"/>
      <c r="O744" s="19"/>
      <c r="P744" s="19"/>
      <c r="Q744" s="19"/>
      <c r="R744" s="19"/>
      <c r="S744" s="19"/>
      <c r="T744" s="34" t="str">
        <f aca="false">IF($R744="","",IFERROR(INDEX(DriverCategory,MATCH($R744,DriverList,0)),"BAU"))</f>
        <v/>
      </c>
      <c r="U744" s="34" t="str">
        <f aca="false">IF($R744="","",IFERROR(INDEX(DriverRank,MATCH($R744,DriverList,0)),99))</f>
        <v/>
      </c>
      <c r="V744" s="35" t="n">
        <f aca="false">IF($H744="",0,IFERROR(INDEX(LevelBasic,MATCH($H744,LevelList,0))+INDEX(LevelHousing,MATCH($H744,LevelList,0))+INDEX(LevelTransport,MATCH($H744,LevelList,0))+INDEX(LevelBasic,MATCH($H744,LevelList,0))*INDEX(LevelBonus,MATCH($H744,LevelList,0))+(INDEX(LevelBasic,MATCH($H744,LevelList,0))+INDEX(LevelHousing,MATCH($H744,LevelList,0)))*GosiSaudi,0))</f>
        <v>0</v>
      </c>
      <c r="W744" s="35" t="n">
        <f aca="false">IFERROR(INDEX(LevelOneOff,MATCH($H744,LevelList,0)),0)</f>
        <v>0</v>
      </c>
      <c r="X744" s="35" t="str">
        <f aca="false">IF($G744="","",$V744*N($L744))</f>
        <v/>
      </c>
      <c r="Y744" s="35" t="str">
        <f aca="false">IF($G744="","",$V744*(N($M744)*1+N($N744)*0.75+N($O744)*0.5+N($P744)*0.25)+$W744*N($L744))</f>
        <v/>
      </c>
      <c r="Z744" s="35" t="str">
        <f aca="false">IF($G744="","",$U744*1000000+ROW())</f>
        <v/>
      </c>
      <c r="AA744" s="36" t="str">
        <f aca="false">IF($G744="","",MID(IF($C744="",", no division","")&amp;IF($E744="",", no unit","")&amp;IF($H744="",", no career level","")&amp;IF(N($L744)&lt;=0,", no quarter split","")&amp;IF($R744="",", no driver","")&amp;IF(AND($H744&lt;&gt;"",COUNTIF(CareerLevels,$H744)=0),", a career level that is not on the ladder","")&amp;IF(AND($R744&lt;&gt;"",COUNTIF(DriverList,$R744)=0),", a driver that is not on the list","")&amp;IF(ABS(N($L744)-(N($M744)+N($N744)+N($O744)+N($P744)))&gt;0.001,", a total that does not match its quarters",""),3,300))</f>
        <v/>
      </c>
    </row>
    <row r="745" customFormat="false" ht="15" hidden="false" customHeight="false" outlineLevel="0" collapsed="false">
      <c r="A745" s="33" t="str">
        <f aca="false">IF($G745="","","Finance Group")</f>
        <v/>
      </c>
      <c r="B745" s="19"/>
      <c r="C745" s="19"/>
      <c r="D745" s="19"/>
      <c r="E745" s="19"/>
      <c r="F745" s="19"/>
      <c r="G745" s="19"/>
      <c r="H745" s="19"/>
      <c r="I745" s="19"/>
      <c r="J745" s="19"/>
      <c r="K745" s="19"/>
      <c r="L745" s="19"/>
      <c r="M745" s="19"/>
      <c r="N745" s="19"/>
      <c r="O745" s="19"/>
      <c r="P745" s="19"/>
      <c r="Q745" s="19"/>
      <c r="R745" s="19"/>
      <c r="S745" s="19"/>
      <c r="T745" s="34" t="str">
        <f aca="false">IF($R745="","",IFERROR(INDEX(DriverCategory,MATCH($R745,DriverList,0)),"BAU"))</f>
        <v/>
      </c>
      <c r="U745" s="34" t="str">
        <f aca="false">IF($R745="","",IFERROR(INDEX(DriverRank,MATCH($R745,DriverList,0)),99))</f>
        <v/>
      </c>
      <c r="V745" s="35" t="n">
        <f aca="false">IF($H745="",0,IFERROR(INDEX(LevelBasic,MATCH($H745,LevelList,0))+INDEX(LevelHousing,MATCH($H745,LevelList,0))+INDEX(LevelTransport,MATCH($H745,LevelList,0))+INDEX(LevelBasic,MATCH($H745,LevelList,0))*INDEX(LevelBonus,MATCH($H745,LevelList,0))+(INDEX(LevelBasic,MATCH($H745,LevelList,0))+INDEX(LevelHousing,MATCH($H745,LevelList,0)))*GosiSaudi,0))</f>
        <v>0</v>
      </c>
      <c r="W745" s="35" t="n">
        <f aca="false">IFERROR(INDEX(LevelOneOff,MATCH($H745,LevelList,0)),0)</f>
        <v>0</v>
      </c>
      <c r="X745" s="35" t="str">
        <f aca="false">IF($G745="","",$V745*N($L745))</f>
        <v/>
      </c>
      <c r="Y745" s="35" t="str">
        <f aca="false">IF($G745="","",$V745*(N($M745)*1+N($N745)*0.75+N($O745)*0.5+N($P745)*0.25)+$W745*N($L745))</f>
        <v/>
      </c>
      <c r="Z745" s="35" t="str">
        <f aca="false">IF($G745="","",$U745*1000000+ROW())</f>
        <v/>
      </c>
      <c r="AA745" s="36" t="str">
        <f aca="false">IF($G745="","",MID(IF($C745="",", no division","")&amp;IF($E745="",", no unit","")&amp;IF($H745="",", no career level","")&amp;IF(N($L745)&lt;=0,", no quarter split","")&amp;IF($R745="",", no driver","")&amp;IF(AND($H745&lt;&gt;"",COUNTIF(CareerLevels,$H745)=0),", a career level that is not on the ladder","")&amp;IF(AND($R745&lt;&gt;"",COUNTIF(DriverList,$R745)=0),", a driver that is not on the list","")&amp;IF(ABS(N($L745)-(N($M745)+N($N745)+N($O745)+N($P745)))&gt;0.001,", a total that does not match its quarters",""),3,300))</f>
        <v/>
      </c>
    </row>
    <row r="746" customFormat="false" ht="15" hidden="false" customHeight="false" outlineLevel="0" collapsed="false">
      <c r="A746" s="33" t="str">
        <f aca="false">IF($G746="","","Finance Group")</f>
        <v/>
      </c>
      <c r="B746" s="19"/>
      <c r="C746" s="19"/>
      <c r="D746" s="19"/>
      <c r="E746" s="19"/>
      <c r="F746" s="19"/>
      <c r="G746" s="19"/>
      <c r="H746" s="19"/>
      <c r="I746" s="19"/>
      <c r="J746" s="19"/>
      <c r="K746" s="19"/>
      <c r="L746" s="19"/>
      <c r="M746" s="19"/>
      <c r="N746" s="19"/>
      <c r="O746" s="19"/>
      <c r="P746" s="19"/>
      <c r="Q746" s="19"/>
      <c r="R746" s="19"/>
      <c r="S746" s="19"/>
      <c r="T746" s="34" t="str">
        <f aca="false">IF($R746="","",IFERROR(INDEX(DriverCategory,MATCH($R746,DriverList,0)),"BAU"))</f>
        <v/>
      </c>
      <c r="U746" s="34" t="str">
        <f aca="false">IF($R746="","",IFERROR(INDEX(DriverRank,MATCH($R746,DriverList,0)),99))</f>
        <v/>
      </c>
      <c r="V746" s="35" t="n">
        <f aca="false">IF($H746="",0,IFERROR(INDEX(LevelBasic,MATCH($H746,LevelList,0))+INDEX(LevelHousing,MATCH($H746,LevelList,0))+INDEX(LevelTransport,MATCH($H746,LevelList,0))+INDEX(LevelBasic,MATCH($H746,LevelList,0))*INDEX(LevelBonus,MATCH($H746,LevelList,0))+(INDEX(LevelBasic,MATCH($H746,LevelList,0))+INDEX(LevelHousing,MATCH($H746,LevelList,0)))*GosiSaudi,0))</f>
        <v>0</v>
      </c>
      <c r="W746" s="35" t="n">
        <f aca="false">IFERROR(INDEX(LevelOneOff,MATCH($H746,LevelList,0)),0)</f>
        <v>0</v>
      </c>
      <c r="X746" s="35" t="str">
        <f aca="false">IF($G746="","",$V746*N($L746))</f>
        <v/>
      </c>
      <c r="Y746" s="35" t="str">
        <f aca="false">IF($G746="","",$V746*(N($M746)*1+N($N746)*0.75+N($O746)*0.5+N($P746)*0.25)+$W746*N($L746))</f>
        <v/>
      </c>
      <c r="Z746" s="35" t="str">
        <f aca="false">IF($G746="","",$U746*1000000+ROW())</f>
        <v/>
      </c>
      <c r="AA746" s="36" t="str">
        <f aca="false">IF($G746="","",MID(IF($C746="",", no division","")&amp;IF($E746="",", no unit","")&amp;IF($H746="",", no career level","")&amp;IF(N($L746)&lt;=0,", no quarter split","")&amp;IF($R746="",", no driver","")&amp;IF(AND($H746&lt;&gt;"",COUNTIF(CareerLevels,$H746)=0),", a career level that is not on the ladder","")&amp;IF(AND($R746&lt;&gt;"",COUNTIF(DriverList,$R746)=0),", a driver that is not on the list","")&amp;IF(ABS(N($L746)-(N($M746)+N($N746)+N($O746)+N($P746)))&gt;0.001,", a total that does not match its quarters",""),3,300))</f>
        <v/>
      </c>
    </row>
    <row r="747" customFormat="false" ht="15" hidden="false" customHeight="false" outlineLevel="0" collapsed="false">
      <c r="A747" s="33" t="str">
        <f aca="false">IF($G747="","","Finance Group")</f>
        <v/>
      </c>
      <c r="B747" s="19"/>
      <c r="C747" s="19"/>
      <c r="D747" s="19"/>
      <c r="E747" s="19"/>
      <c r="F747" s="19"/>
      <c r="G747" s="19"/>
      <c r="H747" s="19"/>
      <c r="I747" s="19"/>
      <c r="J747" s="19"/>
      <c r="K747" s="19"/>
      <c r="L747" s="19"/>
      <c r="M747" s="19"/>
      <c r="N747" s="19"/>
      <c r="O747" s="19"/>
      <c r="P747" s="19"/>
      <c r="Q747" s="19"/>
      <c r="R747" s="19"/>
      <c r="S747" s="19"/>
      <c r="T747" s="34" t="str">
        <f aca="false">IF($R747="","",IFERROR(INDEX(DriverCategory,MATCH($R747,DriverList,0)),"BAU"))</f>
        <v/>
      </c>
      <c r="U747" s="34" t="str">
        <f aca="false">IF($R747="","",IFERROR(INDEX(DriverRank,MATCH($R747,DriverList,0)),99))</f>
        <v/>
      </c>
      <c r="V747" s="35" t="n">
        <f aca="false">IF($H747="",0,IFERROR(INDEX(LevelBasic,MATCH($H747,LevelList,0))+INDEX(LevelHousing,MATCH($H747,LevelList,0))+INDEX(LevelTransport,MATCH($H747,LevelList,0))+INDEX(LevelBasic,MATCH($H747,LevelList,0))*INDEX(LevelBonus,MATCH($H747,LevelList,0))+(INDEX(LevelBasic,MATCH($H747,LevelList,0))+INDEX(LevelHousing,MATCH($H747,LevelList,0)))*GosiSaudi,0))</f>
        <v>0</v>
      </c>
      <c r="W747" s="35" t="n">
        <f aca="false">IFERROR(INDEX(LevelOneOff,MATCH($H747,LevelList,0)),0)</f>
        <v>0</v>
      </c>
      <c r="X747" s="35" t="str">
        <f aca="false">IF($G747="","",$V747*N($L747))</f>
        <v/>
      </c>
      <c r="Y747" s="35" t="str">
        <f aca="false">IF($G747="","",$V747*(N($M747)*1+N($N747)*0.75+N($O747)*0.5+N($P747)*0.25)+$W747*N($L747))</f>
        <v/>
      </c>
      <c r="Z747" s="35" t="str">
        <f aca="false">IF($G747="","",$U747*1000000+ROW())</f>
        <v/>
      </c>
      <c r="AA747" s="36" t="str">
        <f aca="false">IF($G747="","",MID(IF($C747="",", no division","")&amp;IF($E747="",", no unit","")&amp;IF($H747="",", no career level","")&amp;IF(N($L747)&lt;=0,", no quarter split","")&amp;IF($R747="",", no driver","")&amp;IF(AND($H747&lt;&gt;"",COUNTIF(CareerLevels,$H747)=0),", a career level that is not on the ladder","")&amp;IF(AND($R747&lt;&gt;"",COUNTIF(DriverList,$R747)=0),", a driver that is not on the list","")&amp;IF(ABS(N($L747)-(N($M747)+N($N747)+N($O747)+N($P747)))&gt;0.001,", a total that does not match its quarters",""),3,300))</f>
        <v/>
      </c>
    </row>
    <row r="748" customFormat="false" ht="15" hidden="false" customHeight="false" outlineLevel="0" collapsed="false">
      <c r="A748" s="33" t="str">
        <f aca="false">IF($G748="","","Finance Group")</f>
        <v/>
      </c>
      <c r="B748" s="19"/>
      <c r="C748" s="19"/>
      <c r="D748" s="19"/>
      <c r="E748" s="19"/>
      <c r="F748" s="19"/>
      <c r="G748" s="19"/>
      <c r="H748" s="19"/>
      <c r="I748" s="19"/>
      <c r="J748" s="19"/>
      <c r="K748" s="19"/>
      <c r="L748" s="19"/>
      <c r="M748" s="19"/>
      <c r="N748" s="19"/>
      <c r="O748" s="19"/>
      <c r="P748" s="19"/>
      <c r="Q748" s="19"/>
      <c r="R748" s="19"/>
      <c r="S748" s="19"/>
      <c r="T748" s="34" t="str">
        <f aca="false">IF($R748="","",IFERROR(INDEX(DriverCategory,MATCH($R748,DriverList,0)),"BAU"))</f>
        <v/>
      </c>
      <c r="U748" s="34" t="str">
        <f aca="false">IF($R748="","",IFERROR(INDEX(DriverRank,MATCH($R748,DriverList,0)),99))</f>
        <v/>
      </c>
      <c r="V748" s="35" t="n">
        <f aca="false">IF($H748="",0,IFERROR(INDEX(LevelBasic,MATCH($H748,LevelList,0))+INDEX(LevelHousing,MATCH($H748,LevelList,0))+INDEX(LevelTransport,MATCH($H748,LevelList,0))+INDEX(LevelBasic,MATCH($H748,LevelList,0))*INDEX(LevelBonus,MATCH($H748,LevelList,0))+(INDEX(LevelBasic,MATCH($H748,LevelList,0))+INDEX(LevelHousing,MATCH($H748,LevelList,0)))*GosiSaudi,0))</f>
        <v>0</v>
      </c>
      <c r="W748" s="35" t="n">
        <f aca="false">IFERROR(INDEX(LevelOneOff,MATCH($H748,LevelList,0)),0)</f>
        <v>0</v>
      </c>
      <c r="X748" s="35" t="str">
        <f aca="false">IF($G748="","",$V748*N($L748))</f>
        <v/>
      </c>
      <c r="Y748" s="35" t="str">
        <f aca="false">IF($G748="","",$V748*(N($M748)*1+N($N748)*0.75+N($O748)*0.5+N($P748)*0.25)+$W748*N($L748))</f>
        <v/>
      </c>
      <c r="Z748" s="35" t="str">
        <f aca="false">IF($G748="","",$U748*1000000+ROW())</f>
        <v/>
      </c>
      <c r="AA748" s="36" t="str">
        <f aca="false">IF($G748="","",MID(IF($C748="",", no division","")&amp;IF($E748="",", no unit","")&amp;IF($H748="",", no career level","")&amp;IF(N($L748)&lt;=0,", no quarter split","")&amp;IF($R748="",", no driver","")&amp;IF(AND($H748&lt;&gt;"",COUNTIF(CareerLevels,$H748)=0),", a career level that is not on the ladder","")&amp;IF(AND($R748&lt;&gt;"",COUNTIF(DriverList,$R748)=0),", a driver that is not on the list","")&amp;IF(ABS(N($L748)-(N($M748)+N($N748)+N($O748)+N($P748)))&gt;0.001,", a total that does not match its quarters",""),3,300))</f>
        <v/>
      </c>
    </row>
    <row r="749" customFormat="false" ht="15" hidden="false" customHeight="false" outlineLevel="0" collapsed="false">
      <c r="A749" s="33" t="str">
        <f aca="false">IF($G749="","","Finance Group")</f>
        <v/>
      </c>
      <c r="B749" s="19"/>
      <c r="C749" s="19"/>
      <c r="D749" s="19"/>
      <c r="E749" s="19"/>
      <c r="F749" s="19"/>
      <c r="G749" s="19"/>
      <c r="H749" s="19"/>
      <c r="I749" s="19"/>
      <c r="J749" s="19"/>
      <c r="K749" s="19"/>
      <c r="L749" s="19"/>
      <c r="M749" s="19"/>
      <c r="N749" s="19"/>
      <c r="O749" s="19"/>
      <c r="P749" s="19"/>
      <c r="Q749" s="19"/>
      <c r="R749" s="19"/>
      <c r="S749" s="19"/>
      <c r="T749" s="34" t="str">
        <f aca="false">IF($R749="","",IFERROR(INDEX(DriverCategory,MATCH($R749,DriverList,0)),"BAU"))</f>
        <v/>
      </c>
      <c r="U749" s="34" t="str">
        <f aca="false">IF($R749="","",IFERROR(INDEX(DriverRank,MATCH($R749,DriverList,0)),99))</f>
        <v/>
      </c>
      <c r="V749" s="35" t="n">
        <f aca="false">IF($H749="",0,IFERROR(INDEX(LevelBasic,MATCH($H749,LevelList,0))+INDEX(LevelHousing,MATCH($H749,LevelList,0))+INDEX(LevelTransport,MATCH($H749,LevelList,0))+INDEX(LevelBasic,MATCH($H749,LevelList,0))*INDEX(LevelBonus,MATCH($H749,LevelList,0))+(INDEX(LevelBasic,MATCH($H749,LevelList,0))+INDEX(LevelHousing,MATCH($H749,LevelList,0)))*GosiSaudi,0))</f>
        <v>0</v>
      </c>
      <c r="W749" s="35" t="n">
        <f aca="false">IFERROR(INDEX(LevelOneOff,MATCH($H749,LevelList,0)),0)</f>
        <v>0</v>
      </c>
      <c r="X749" s="35" t="str">
        <f aca="false">IF($G749="","",$V749*N($L749))</f>
        <v/>
      </c>
      <c r="Y749" s="35" t="str">
        <f aca="false">IF($G749="","",$V749*(N($M749)*1+N($N749)*0.75+N($O749)*0.5+N($P749)*0.25)+$W749*N($L749))</f>
        <v/>
      </c>
      <c r="Z749" s="35" t="str">
        <f aca="false">IF($G749="","",$U749*1000000+ROW())</f>
        <v/>
      </c>
      <c r="AA749" s="36" t="str">
        <f aca="false">IF($G749="","",MID(IF($C749="",", no division","")&amp;IF($E749="",", no unit","")&amp;IF($H749="",", no career level","")&amp;IF(N($L749)&lt;=0,", no quarter split","")&amp;IF($R749="",", no driver","")&amp;IF(AND($H749&lt;&gt;"",COUNTIF(CareerLevels,$H749)=0),", a career level that is not on the ladder","")&amp;IF(AND($R749&lt;&gt;"",COUNTIF(DriverList,$R749)=0),", a driver that is not on the list","")&amp;IF(ABS(N($L749)-(N($M749)+N($N749)+N($O749)+N($P749)))&gt;0.001,", a total that does not match its quarters",""),3,300))</f>
        <v/>
      </c>
    </row>
    <row r="750" customFormat="false" ht="15" hidden="false" customHeight="false" outlineLevel="0" collapsed="false">
      <c r="A750" s="33" t="str">
        <f aca="false">IF($G750="","","Finance Group")</f>
        <v/>
      </c>
      <c r="B750" s="19"/>
      <c r="C750" s="19"/>
      <c r="D750" s="19"/>
      <c r="E750" s="19"/>
      <c r="F750" s="19"/>
      <c r="G750" s="19"/>
      <c r="H750" s="19"/>
      <c r="I750" s="19"/>
      <c r="J750" s="19"/>
      <c r="K750" s="19"/>
      <c r="L750" s="19"/>
      <c r="M750" s="19"/>
      <c r="N750" s="19"/>
      <c r="O750" s="19"/>
      <c r="P750" s="19"/>
      <c r="Q750" s="19"/>
      <c r="R750" s="19"/>
      <c r="S750" s="19"/>
      <c r="T750" s="34" t="str">
        <f aca="false">IF($R750="","",IFERROR(INDEX(DriverCategory,MATCH($R750,DriverList,0)),"BAU"))</f>
        <v/>
      </c>
      <c r="U750" s="34" t="str">
        <f aca="false">IF($R750="","",IFERROR(INDEX(DriverRank,MATCH($R750,DriverList,0)),99))</f>
        <v/>
      </c>
      <c r="V750" s="35" t="n">
        <f aca="false">IF($H750="",0,IFERROR(INDEX(LevelBasic,MATCH($H750,LevelList,0))+INDEX(LevelHousing,MATCH($H750,LevelList,0))+INDEX(LevelTransport,MATCH($H750,LevelList,0))+INDEX(LevelBasic,MATCH($H750,LevelList,0))*INDEX(LevelBonus,MATCH($H750,LevelList,0))+(INDEX(LevelBasic,MATCH($H750,LevelList,0))+INDEX(LevelHousing,MATCH($H750,LevelList,0)))*GosiSaudi,0))</f>
        <v>0</v>
      </c>
      <c r="W750" s="35" t="n">
        <f aca="false">IFERROR(INDEX(LevelOneOff,MATCH($H750,LevelList,0)),0)</f>
        <v>0</v>
      </c>
      <c r="X750" s="35" t="str">
        <f aca="false">IF($G750="","",$V750*N($L750))</f>
        <v/>
      </c>
      <c r="Y750" s="35" t="str">
        <f aca="false">IF($G750="","",$V750*(N($M750)*1+N($N750)*0.75+N($O750)*0.5+N($P750)*0.25)+$W750*N($L750))</f>
        <v/>
      </c>
      <c r="Z750" s="35" t="str">
        <f aca="false">IF($G750="","",$U750*1000000+ROW())</f>
        <v/>
      </c>
      <c r="AA750" s="36" t="str">
        <f aca="false">IF($G750="","",MID(IF($C750="",", no division","")&amp;IF($E750="",", no unit","")&amp;IF($H750="",", no career level","")&amp;IF(N($L750)&lt;=0,", no quarter split","")&amp;IF($R750="",", no driver","")&amp;IF(AND($H750&lt;&gt;"",COUNTIF(CareerLevels,$H750)=0),", a career level that is not on the ladder","")&amp;IF(AND($R750&lt;&gt;"",COUNTIF(DriverList,$R750)=0),", a driver that is not on the list","")&amp;IF(ABS(N($L750)-(N($M750)+N($N750)+N($O750)+N($P750)))&gt;0.001,", a total that does not match its quarters",""),3,300))</f>
        <v/>
      </c>
    </row>
    <row r="751" customFormat="false" ht="15" hidden="false" customHeight="false" outlineLevel="0" collapsed="false">
      <c r="A751" s="33" t="str">
        <f aca="false">IF($G751="","","Finance Group")</f>
        <v/>
      </c>
      <c r="B751" s="19"/>
      <c r="C751" s="19"/>
      <c r="D751" s="19"/>
      <c r="E751" s="19"/>
      <c r="F751" s="19"/>
      <c r="G751" s="19"/>
      <c r="H751" s="19"/>
      <c r="I751" s="19"/>
      <c r="J751" s="19"/>
      <c r="K751" s="19"/>
      <c r="L751" s="19"/>
      <c r="M751" s="19"/>
      <c r="N751" s="19"/>
      <c r="O751" s="19"/>
      <c r="P751" s="19"/>
      <c r="Q751" s="19"/>
      <c r="R751" s="19"/>
      <c r="S751" s="19"/>
      <c r="T751" s="34" t="str">
        <f aca="false">IF($R751="","",IFERROR(INDEX(DriverCategory,MATCH($R751,DriverList,0)),"BAU"))</f>
        <v/>
      </c>
      <c r="U751" s="34" t="str">
        <f aca="false">IF($R751="","",IFERROR(INDEX(DriverRank,MATCH($R751,DriverList,0)),99))</f>
        <v/>
      </c>
      <c r="V751" s="35" t="n">
        <f aca="false">IF($H751="",0,IFERROR(INDEX(LevelBasic,MATCH($H751,LevelList,0))+INDEX(LevelHousing,MATCH($H751,LevelList,0))+INDEX(LevelTransport,MATCH($H751,LevelList,0))+INDEX(LevelBasic,MATCH($H751,LevelList,0))*INDEX(LevelBonus,MATCH($H751,LevelList,0))+(INDEX(LevelBasic,MATCH($H751,LevelList,0))+INDEX(LevelHousing,MATCH($H751,LevelList,0)))*GosiSaudi,0))</f>
        <v>0</v>
      </c>
      <c r="W751" s="35" t="n">
        <f aca="false">IFERROR(INDEX(LevelOneOff,MATCH($H751,LevelList,0)),0)</f>
        <v>0</v>
      </c>
      <c r="X751" s="35" t="str">
        <f aca="false">IF($G751="","",$V751*N($L751))</f>
        <v/>
      </c>
      <c r="Y751" s="35" t="str">
        <f aca="false">IF($G751="","",$V751*(N($M751)*1+N($N751)*0.75+N($O751)*0.5+N($P751)*0.25)+$W751*N($L751))</f>
        <v/>
      </c>
      <c r="Z751" s="35" t="str">
        <f aca="false">IF($G751="","",$U751*1000000+ROW())</f>
        <v/>
      </c>
      <c r="AA751" s="36" t="str">
        <f aca="false">IF($G751="","",MID(IF($C751="",", no division","")&amp;IF($E751="",", no unit","")&amp;IF($H751="",", no career level","")&amp;IF(N($L751)&lt;=0,", no quarter split","")&amp;IF($R751="",", no driver","")&amp;IF(AND($H751&lt;&gt;"",COUNTIF(CareerLevels,$H751)=0),", a career level that is not on the ladder","")&amp;IF(AND($R751&lt;&gt;"",COUNTIF(DriverList,$R751)=0),", a driver that is not on the list","")&amp;IF(ABS(N($L751)-(N($M751)+N($N751)+N($O751)+N($P751)))&gt;0.001,", a total that does not match its quarters",""),3,300))</f>
        <v/>
      </c>
    </row>
    <row r="752" customFormat="false" ht="15" hidden="false" customHeight="false" outlineLevel="0" collapsed="false">
      <c r="A752" s="33" t="str">
        <f aca="false">IF($G752="","","Finance Group")</f>
        <v/>
      </c>
      <c r="B752" s="19"/>
      <c r="C752" s="19"/>
      <c r="D752" s="19"/>
      <c r="E752" s="19"/>
      <c r="F752" s="19"/>
      <c r="G752" s="19"/>
      <c r="H752" s="19"/>
      <c r="I752" s="19"/>
      <c r="J752" s="19"/>
      <c r="K752" s="19"/>
      <c r="L752" s="19"/>
      <c r="M752" s="19"/>
      <c r="N752" s="19"/>
      <c r="O752" s="19"/>
      <c r="P752" s="19"/>
      <c r="Q752" s="19"/>
      <c r="R752" s="19"/>
      <c r="S752" s="19"/>
      <c r="T752" s="34" t="str">
        <f aca="false">IF($R752="","",IFERROR(INDEX(DriverCategory,MATCH($R752,DriverList,0)),"BAU"))</f>
        <v/>
      </c>
      <c r="U752" s="34" t="str">
        <f aca="false">IF($R752="","",IFERROR(INDEX(DriverRank,MATCH($R752,DriverList,0)),99))</f>
        <v/>
      </c>
      <c r="V752" s="35" t="n">
        <f aca="false">IF($H752="",0,IFERROR(INDEX(LevelBasic,MATCH($H752,LevelList,0))+INDEX(LevelHousing,MATCH($H752,LevelList,0))+INDEX(LevelTransport,MATCH($H752,LevelList,0))+INDEX(LevelBasic,MATCH($H752,LevelList,0))*INDEX(LevelBonus,MATCH($H752,LevelList,0))+(INDEX(LevelBasic,MATCH($H752,LevelList,0))+INDEX(LevelHousing,MATCH($H752,LevelList,0)))*GosiSaudi,0))</f>
        <v>0</v>
      </c>
      <c r="W752" s="35" t="n">
        <f aca="false">IFERROR(INDEX(LevelOneOff,MATCH($H752,LevelList,0)),0)</f>
        <v>0</v>
      </c>
      <c r="X752" s="35" t="str">
        <f aca="false">IF($G752="","",$V752*N($L752))</f>
        <v/>
      </c>
      <c r="Y752" s="35" t="str">
        <f aca="false">IF($G752="","",$V752*(N($M752)*1+N($N752)*0.75+N($O752)*0.5+N($P752)*0.25)+$W752*N($L752))</f>
        <v/>
      </c>
      <c r="Z752" s="35" t="str">
        <f aca="false">IF($G752="","",$U752*1000000+ROW())</f>
        <v/>
      </c>
      <c r="AA752" s="36" t="str">
        <f aca="false">IF($G752="","",MID(IF($C752="",", no division","")&amp;IF($E752="",", no unit","")&amp;IF($H752="",", no career level","")&amp;IF(N($L752)&lt;=0,", no quarter split","")&amp;IF($R752="",", no driver","")&amp;IF(AND($H752&lt;&gt;"",COUNTIF(CareerLevels,$H752)=0),", a career level that is not on the ladder","")&amp;IF(AND($R752&lt;&gt;"",COUNTIF(DriverList,$R752)=0),", a driver that is not on the list","")&amp;IF(ABS(N($L752)-(N($M752)+N($N752)+N($O752)+N($P752)))&gt;0.001,", a total that does not match its quarters",""),3,300))</f>
        <v/>
      </c>
    </row>
    <row r="753" customFormat="false" ht="15" hidden="false" customHeight="false" outlineLevel="0" collapsed="false">
      <c r="A753" s="33" t="str">
        <f aca="false">IF($G753="","","Finance Group")</f>
        <v/>
      </c>
      <c r="B753" s="19"/>
      <c r="C753" s="19"/>
      <c r="D753" s="19"/>
      <c r="E753" s="19"/>
      <c r="F753" s="19"/>
      <c r="G753" s="19"/>
      <c r="H753" s="19"/>
      <c r="I753" s="19"/>
      <c r="J753" s="19"/>
      <c r="K753" s="19"/>
      <c r="L753" s="19"/>
      <c r="M753" s="19"/>
      <c r="N753" s="19"/>
      <c r="O753" s="19"/>
      <c r="P753" s="19"/>
      <c r="Q753" s="19"/>
      <c r="R753" s="19"/>
      <c r="S753" s="19"/>
      <c r="T753" s="34" t="str">
        <f aca="false">IF($R753="","",IFERROR(INDEX(DriverCategory,MATCH($R753,DriverList,0)),"BAU"))</f>
        <v/>
      </c>
      <c r="U753" s="34" t="str">
        <f aca="false">IF($R753="","",IFERROR(INDEX(DriverRank,MATCH($R753,DriverList,0)),99))</f>
        <v/>
      </c>
      <c r="V753" s="35" t="n">
        <f aca="false">IF($H753="",0,IFERROR(INDEX(LevelBasic,MATCH($H753,LevelList,0))+INDEX(LevelHousing,MATCH($H753,LevelList,0))+INDEX(LevelTransport,MATCH($H753,LevelList,0))+INDEX(LevelBasic,MATCH($H753,LevelList,0))*INDEX(LevelBonus,MATCH($H753,LevelList,0))+(INDEX(LevelBasic,MATCH($H753,LevelList,0))+INDEX(LevelHousing,MATCH($H753,LevelList,0)))*GosiSaudi,0))</f>
        <v>0</v>
      </c>
      <c r="W753" s="35" t="n">
        <f aca="false">IFERROR(INDEX(LevelOneOff,MATCH($H753,LevelList,0)),0)</f>
        <v>0</v>
      </c>
      <c r="X753" s="35" t="str">
        <f aca="false">IF($G753="","",$V753*N($L753))</f>
        <v/>
      </c>
      <c r="Y753" s="35" t="str">
        <f aca="false">IF($G753="","",$V753*(N($M753)*1+N($N753)*0.75+N($O753)*0.5+N($P753)*0.25)+$W753*N($L753))</f>
        <v/>
      </c>
      <c r="Z753" s="35" t="str">
        <f aca="false">IF($G753="","",$U753*1000000+ROW())</f>
        <v/>
      </c>
      <c r="AA753" s="36" t="str">
        <f aca="false">IF($G753="","",MID(IF($C753="",", no division","")&amp;IF($E753="",", no unit","")&amp;IF($H753="",", no career level","")&amp;IF(N($L753)&lt;=0,", no quarter split","")&amp;IF($R753="",", no driver","")&amp;IF(AND($H753&lt;&gt;"",COUNTIF(CareerLevels,$H753)=0),", a career level that is not on the ladder","")&amp;IF(AND($R753&lt;&gt;"",COUNTIF(DriverList,$R753)=0),", a driver that is not on the list","")&amp;IF(ABS(N($L753)-(N($M753)+N($N753)+N($O753)+N($P753)))&gt;0.001,", a total that does not match its quarters",""),3,300))</f>
        <v/>
      </c>
    </row>
    <row r="754" customFormat="false" ht="15" hidden="false" customHeight="false" outlineLevel="0" collapsed="false">
      <c r="A754" s="33" t="str">
        <f aca="false">IF($G754="","","Finance Group")</f>
        <v/>
      </c>
      <c r="B754" s="19"/>
      <c r="C754" s="19"/>
      <c r="D754" s="19"/>
      <c r="E754" s="19"/>
      <c r="F754" s="19"/>
      <c r="G754" s="19"/>
      <c r="H754" s="19"/>
      <c r="I754" s="19"/>
      <c r="J754" s="19"/>
      <c r="K754" s="19"/>
      <c r="L754" s="19"/>
      <c r="M754" s="19"/>
      <c r="N754" s="19"/>
      <c r="O754" s="19"/>
      <c r="P754" s="19"/>
      <c r="Q754" s="19"/>
      <c r="R754" s="19"/>
      <c r="S754" s="19"/>
      <c r="T754" s="34" t="str">
        <f aca="false">IF($R754="","",IFERROR(INDEX(DriverCategory,MATCH($R754,DriverList,0)),"BAU"))</f>
        <v/>
      </c>
      <c r="U754" s="34" t="str">
        <f aca="false">IF($R754="","",IFERROR(INDEX(DriverRank,MATCH($R754,DriverList,0)),99))</f>
        <v/>
      </c>
      <c r="V754" s="35" t="n">
        <f aca="false">IF($H754="",0,IFERROR(INDEX(LevelBasic,MATCH($H754,LevelList,0))+INDEX(LevelHousing,MATCH($H754,LevelList,0))+INDEX(LevelTransport,MATCH($H754,LevelList,0))+INDEX(LevelBasic,MATCH($H754,LevelList,0))*INDEX(LevelBonus,MATCH($H754,LevelList,0))+(INDEX(LevelBasic,MATCH($H754,LevelList,0))+INDEX(LevelHousing,MATCH($H754,LevelList,0)))*GosiSaudi,0))</f>
        <v>0</v>
      </c>
      <c r="W754" s="35" t="n">
        <f aca="false">IFERROR(INDEX(LevelOneOff,MATCH($H754,LevelList,0)),0)</f>
        <v>0</v>
      </c>
      <c r="X754" s="35" t="str">
        <f aca="false">IF($G754="","",$V754*N($L754))</f>
        <v/>
      </c>
      <c r="Y754" s="35" t="str">
        <f aca="false">IF($G754="","",$V754*(N($M754)*1+N($N754)*0.75+N($O754)*0.5+N($P754)*0.25)+$W754*N($L754))</f>
        <v/>
      </c>
      <c r="Z754" s="35" t="str">
        <f aca="false">IF($G754="","",$U754*1000000+ROW())</f>
        <v/>
      </c>
      <c r="AA754" s="36" t="str">
        <f aca="false">IF($G754="","",MID(IF($C754="",", no division","")&amp;IF($E754="",", no unit","")&amp;IF($H754="",", no career level","")&amp;IF(N($L754)&lt;=0,", no quarter split","")&amp;IF($R754="",", no driver","")&amp;IF(AND($H754&lt;&gt;"",COUNTIF(CareerLevels,$H754)=0),", a career level that is not on the ladder","")&amp;IF(AND($R754&lt;&gt;"",COUNTIF(DriverList,$R754)=0),", a driver that is not on the list","")&amp;IF(ABS(N($L754)-(N($M754)+N($N754)+N($O754)+N($P754)))&gt;0.001,", a total that does not match its quarters",""),3,300))</f>
        <v/>
      </c>
    </row>
    <row r="755" customFormat="false" ht="15" hidden="false" customHeight="false" outlineLevel="0" collapsed="false">
      <c r="A755" s="33" t="str">
        <f aca="false">IF($G755="","","Finance Group")</f>
        <v/>
      </c>
      <c r="B755" s="19"/>
      <c r="C755" s="19"/>
      <c r="D755" s="19"/>
      <c r="E755" s="19"/>
      <c r="F755" s="19"/>
      <c r="G755" s="19"/>
      <c r="H755" s="19"/>
      <c r="I755" s="19"/>
      <c r="J755" s="19"/>
      <c r="K755" s="19"/>
      <c r="L755" s="19"/>
      <c r="M755" s="19"/>
      <c r="N755" s="19"/>
      <c r="O755" s="19"/>
      <c r="P755" s="19"/>
      <c r="Q755" s="19"/>
      <c r="R755" s="19"/>
      <c r="S755" s="19"/>
      <c r="T755" s="34" t="str">
        <f aca="false">IF($R755="","",IFERROR(INDEX(DriverCategory,MATCH($R755,DriverList,0)),"BAU"))</f>
        <v/>
      </c>
      <c r="U755" s="34" t="str">
        <f aca="false">IF($R755="","",IFERROR(INDEX(DriverRank,MATCH($R755,DriverList,0)),99))</f>
        <v/>
      </c>
      <c r="V755" s="35" t="n">
        <f aca="false">IF($H755="",0,IFERROR(INDEX(LevelBasic,MATCH($H755,LevelList,0))+INDEX(LevelHousing,MATCH($H755,LevelList,0))+INDEX(LevelTransport,MATCH($H755,LevelList,0))+INDEX(LevelBasic,MATCH($H755,LevelList,0))*INDEX(LevelBonus,MATCH($H755,LevelList,0))+(INDEX(LevelBasic,MATCH($H755,LevelList,0))+INDEX(LevelHousing,MATCH($H755,LevelList,0)))*GosiSaudi,0))</f>
        <v>0</v>
      </c>
      <c r="W755" s="35" t="n">
        <f aca="false">IFERROR(INDEX(LevelOneOff,MATCH($H755,LevelList,0)),0)</f>
        <v>0</v>
      </c>
      <c r="X755" s="35" t="str">
        <f aca="false">IF($G755="","",$V755*N($L755))</f>
        <v/>
      </c>
      <c r="Y755" s="35" t="str">
        <f aca="false">IF($G755="","",$V755*(N($M755)*1+N($N755)*0.75+N($O755)*0.5+N($P755)*0.25)+$W755*N($L755))</f>
        <v/>
      </c>
      <c r="Z755" s="35" t="str">
        <f aca="false">IF($G755="","",$U755*1000000+ROW())</f>
        <v/>
      </c>
      <c r="AA755" s="36" t="str">
        <f aca="false">IF($G755="","",MID(IF($C755="",", no division","")&amp;IF($E755="",", no unit","")&amp;IF($H755="",", no career level","")&amp;IF(N($L755)&lt;=0,", no quarter split","")&amp;IF($R755="",", no driver","")&amp;IF(AND($H755&lt;&gt;"",COUNTIF(CareerLevels,$H755)=0),", a career level that is not on the ladder","")&amp;IF(AND($R755&lt;&gt;"",COUNTIF(DriverList,$R755)=0),", a driver that is not on the list","")&amp;IF(ABS(N($L755)-(N($M755)+N($N755)+N($O755)+N($P755)))&gt;0.001,", a total that does not match its quarters",""),3,300))</f>
        <v/>
      </c>
    </row>
    <row r="756" customFormat="false" ht="15" hidden="false" customHeight="false" outlineLevel="0" collapsed="false">
      <c r="A756" s="33" t="str">
        <f aca="false">IF($G756="","","Finance Group")</f>
        <v/>
      </c>
      <c r="B756" s="19"/>
      <c r="C756" s="19"/>
      <c r="D756" s="19"/>
      <c r="E756" s="19"/>
      <c r="F756" s="19"/>
      <c r="G756" s="19"/>
      <c r="H756" s="19"/>
      <c r="I756" s="19"/>
      <c r="J756" s="19"/>
      <c r="K756" s="19"/>
      <c r="L756" s="19"/>
      <c r="M756" s="19"/>
      <c r="N756" s="19"/>
      <c r="O756" s="19"/>
      <c r="P756" s="19"/>
      <c r="Q756" s="19"/>
      <c r="R756" s="19"/>
      <c r="S756" s="19"/>
      <c r="T756" s="34" t="str">
        <f aca="false">IF($R756="","",IFERROR(INDEX(DriverCategory,MATCH($R756,DriverList,0)),"BAU"))</f>
        <v/>
      </c>
      <c r="U756" s="34" t="str">
        <f aca="false">IF($R756="","",IFERROR(INDEX(DriverRank,MATCH($R756,DriverList,0)),99))</f>
        <v/>
      </c>
      <c r="V756" s="35" t="n">
        <f aca="false">IF($H756="",0,IFERROR(INDEX(LevelBasic,MATCH($H756,LevelList,0))+INDEX(LevelHousing,MATCH($H756,LevelList,0))+INDEX(LevelTransport,MATCH($H756,LevelList,0))+INDEX(LevelBasic,MATCH($H756,LevelList,0))*INDEX(LevelBonus,MATCH($H756,LevelList,0))+(INDEX(LevelBasic,MATCH($H756,LevelList,0))+INDEX(LevelHousing,MATCH($H756,LevelList,0)))*GosiSaudi,0))</f>
        <v>0</v>
      </c>
      <c r="W756" s="35" t="n">
        <f aca="false">IFERROR(INDEX(LevelOneOff,MATCH($H756,LevelList,0)),0)</f>
        <v>0</v>
      </c>
      <c r="X756" s="35" t="str">
        <f aca="false">IF($G756="","",$V756*N($L756))</f>
        <v/>
      </c>
      <c r="Y756" s="35" t="str">
        <f aca="false">IF($G756="","",$V756*(N($M756)*1+N($N756)*0.75+N($O756)*0.5+N($P756)*0.25)+$W756*N($L756))</f>
        <v/>
      </c>
      <c r="Z756" s="35" t="str">
        <f aca="false">IF($G756="","",$U756*1000000+ROW())</f>
        <v/>
      </c>
      <c r="AA756" s="36" t="str">
        <f aca="false">IF($G756="","",MID(IF($C756="",", no division","")&amp;IF($E756="",", no unit","")&amp;IF($H756="",", no career level","")&amp;IF(N($L756)&lt;=0,", no quarter split","")&amp;IF($R756="",", no driver","")&amp;IF(AND($H756&lt;&gt;"",COUNTIF(CareerLevels,$H756)=0),", a career level that is not on the ladder","")&amp;IF(AND($R756&lt;&gt;"",COUNTIF(DriverList,$R756)=0),", a driver that is not on the list","")&amp;IF(ABS(N($L756)-(N($M756)+N($N756)+N($O756)+N($P756)))&gt;0.001,", a total that does not match its quarters",""),3,300))</f>
        <v/>
      </c>
    </row>
    <row r="757" customFormat="false" ht="15" hidden="false" customHeight="false" outlineLevel="0" collapsed="false">
      <c r="A757" s="33" t="str">
        <f aca="false">IF($G757="","","Finance Group")</f>
        <v/>
      </c>
      <c r="B757" s="19"/>
      <c r="C757" s="19"/>
      <c r="D757" s="19"/>
      <c r="E757" s="19"/>
      <c r="F757" s="19"/>
      <c r="G757" s="19"/>
      <c r="H757" s="19"/>
      <c r="I757" s="19"/>
      <c r="J757" s="19"/>
      <c r="K757" s="19"/>
      <c r="L757" s="19"/>
      <c r="M757" s="19"/>
      <c r="N757" s="19"/>
      <c r="O757" s="19"/>
      <c r="P757" s="19"/>
      <c r="Q757" s="19"/>
      <c r="R757" s="19"/>
      <c r="S757" s="19"/>
      <c r="T757" s="34" t="str">
        <f aca="false">IF($R757="","",IFERROR(INDEX(DriverCategory,MATCH($R757,DriverList,0)),"BAU"))</f>
        <v/>
      </c>
      <c r="U757" s="34" t="str">
        <f aca="false">IF($R757="","",IFERROR(INDEX(DriverRank,MATCH($R757,DriverList,0)),99))</f>
        <v/>
      </c>
      <c r="V757" s="35" t="n">
        <f aca="false">IF($H757="",0,IFERROR(INDEX(LevelBasic,MATCH($H757,LevelList,0))+INDEX(LevelHousing,MATCH($H757,LevelList,0))+INDEX(LevelTransport,MATCH($H757,LevelList,0))+INDEX(LevelBasic,MATCH($H757,LevelList,0))*INDEX(LevelBonus,MATCH($H757,LevelList,0))+(INDEX(LevelBasic,MATCH($H757,LevelList,0))+INDEX(LevelHousing,MATCH($H757,LevelList,0)))*GosiSaudi,0))</f>
        <v>0</v>
      </c>
      <c r="W757" s="35" t="n">
        <f aca="false">IFERROR(INDEX(LevelOneOff,MATCH($H757,LevelList,0)),0)</f>
        <v>0</v>
      </c>
      <c r="X757" s="35" t="str">
        <f aca="false">IF($G757="","",$V757*N($L757))</f>
        <v/>
      </c>
      <c r="Y757" s="35" t="str">
        <f aca="false">IF($G757="","",$V757*(N($M757)*1+N($N757)*0.75+N($O757)*0.5+N($P757)*0.25)+$W757*N($L757))</f>
        <v/>
      </c>
      <c r="Z757" s="35" t="str">
        <f aca="false">IF($G757="","",$U757*1000000+ROW())</f>
        <v/>
      </c>
      <c r="AA757" s="36" t="str">
        <f aca="false">IF($G757="","",MID(IF($C757="",", no division","")&amp;IF($E757="",", no unit","")&amp;IF($H757="",", no career level","")&amp;IF(N($L757)&lt;=0,", no quarter split","")&amp;IF($R757="",", no driver","")&amp;IF(AND($H757&lt;&gt;"",COUNTIF(CareerLevels,$H757)=0),", a career level that is not on the ladder","")&amp;IF(AND($R757&lt;&gt;"",COUNTIF(DriverList,$R757)=0),", a driver that is not on the list","")&amp;IF(ABS(N($L757)-(N($M757)+N($N757)+N($O757)+N($P757)))&gt;0.001,", a total that does not match its quarters",""),3,300))</f>
        <v/>
      </c>
    </row>
    <row r="758" customFormat="false" ht="15" hidden="false" customHeight="false" outlineLevel="0" collapsed="false">
      <c r="A758" s="33" t="str">
        <f aca="false">IF($G758="","","Finance Group")</f>
        <v/>
      </c>
      <c r="B758" s="19"/>
      <c r="C758" s="19"/>
      <c r="D758" s="19"/>
      <c r="E758" s="19"/>
      <c r="F758" s="19"/>
      <c r="G758" s="19"/>
      <c r="H758" s="19"/>
      <c r="I758" s="19"/>
      <c r="J758" s="19"/>
      <c r="K758" s="19"/>
      <c r="L758" s="19"/>
      <c r="M758" s="19"/>
      <c r="N758" s="19"/>
      <c r="O758" s="19"/>
      <c r="P758" s="19"/>
      <c r="Q758" s="19"/>
      <c r="R758" s="19"/>
      <c r="S758" s="19"/>
      <c r="T758" s="34" t="str">
        <f aca="false">IF($R758="","",IFERROR(INDEX(DriverCategory,MATCH($R758,DriverList,0)),"BAU"))</f>
        <v/>
      </c>
      <c r="U758" s="34" t="str">
        <f aca="false">IF($R758="","",IFERROR(INDEX(DriverRank,MATCH($R758,DriverList,0)),99))</f>
        <v/>
      </c>
      <c r="V758" s="35" t="n">
        <f aca="false">IF($H758="",0,IFERROR(INDEX(LevelBasic,MATCH($H758,LevelList,0))+INDEX(LevelHousing,MATCH($H758,LevelList,0))+INDEX(LevelTransport,MATCH($H758,LevelList,0))+INDEX(LevelBasic,MATCH($H758,LevelList,0))*INDEX(LevelBonus,MATCH($H758,LevelList,0))+(INDEX(LevelBasic,MATCH($H758,LevelList,0))+INDEX(LevelHousing,MATCH($H758,LevelList,0)))*GosiSaudi,0))</f>
        <v>0</v>
      </c>
      <c r="W758" s="35" t="n">
        <f aca="false">IFERROR(INDEX(LevelOneOff,MATCH($H758,LevelList,0)),0)</f>
        <v>0</v>
      </c>
      <c r="X758" s="35" t="str">
        <f aca="false">IF($G758="","",$V758*N($L758))</f>
        <v/>
      </c>
      <c r="Y758" s="35" t="str">
        <f aca="false">IF($G758="","",$V758*(N($M758)*1+N($N758)*0.75+N($O758)*0.5+N($P758)*0.25)+$W758*N($L758))</f>
        <v/>
      </c>
      <c r="Z758" s="35" t="str">
        <f aca="false">IF($G758="","",$U758*1000000+ROW())</f>
        <v/>
      </c>
      <c r="AA758" s="36" t="str">
        <f aca="false">IF($G758="","",MID(IF($C758="",", no division","")&amp;IF($E758="",", no unit","")&amp;IF($H758="",", no career level","")&amp;IF(N($L758)&lt;=0,", no quarter split","")&amp;IF($R758="",", no driver","")&amp;IF(AND($H758&lt;&gt;"",COUNTIF(CareerLevels,$H758)=0),", a career level that is not on the ladder","")&amp;IF(AND($R758&lt;&gt;"",COUNTIF(DriverList,$R758)=0),", a driver that is not on the list","")&amp;IF(ABS(N($L758)-(N($M758)+N($N758)+N($O758)+N($P758)))&gt;0.001,", a total that does not match its quarters",""),3,300))</f>
        <v/>
      </c>
    </row>
    <row r="759" customFormat="false" ht="15" hidden="false" customHeight="false" outlineLevel="0" collapsed="false">
      <c r="A759" s="33" t="str">
        <f aca="false">IF($G759="","","Finance Group")</f>
        <v/>
      </c>
      <c r="B759" s="19"/>
      <c r="C759" s="19"/>
      <c r="D759" s="19"/>
      <c r="E759" s="19"/>
      <c r="F759" s="19"/>
      <c r="G759" s="19"/>
      <c r="H759" s="19"/>
      <c r="I759" s="19"/>
      <c r="J759" s="19"/>
      <c r="K759" s="19"/>
      <c r="L759" s="19"/>
      <c r="M759" s="19"/>
      <c r="N759" s="19"/>
      <c r="O759" s="19"/>
      <c r="P759" s="19"/>
      <c r="Q759" s="19"/>
      <c r="R759" s="19"/>
      <c r="S759" s="19"/>
      <c r="T759" s="34" t="str">
        <f aca="false">IF($R759="","",IFERROR(INDEX(DriverCategory,MATCH($R759,DriverList,0)),"BAU"))</f>
        <v/>
      </c>
      <c r="U759" s="34" t="str">
        <f aca="false">IF($R759="","",IFERROR(INDEX(DriverRank,MATCH($R759,DriverList,0)),99))</f>
        <v/>
      </c>
      <c r="V759" s="35" t="n">
        <f aca="false">IF($H759="",0,IFERROR(INDEX(LevelBasic,MATCH($H759,LevelList,0))+INDEX(LevelHousing,MATCH($H759,LevelList,0))+INDEX(LevelTransport,MATCH($H759,LevelList,0))+INDEX(LevelBasic,MATCH($H759,LevelList,0))*INDEX(LevelBonus,MATCH($H759,LevelList,0))+(INDEX(LevelBasic,MATCH($H759,LevelList,0))+INDEX(LevelHousing,MATCH($H759,LevelList,0)))*GosiSaudi,0))</f>
        <v>0</v>
      </c>
      <c r="W759" s="35" t="n">
        <f aca="false">IFERROR(INDEX(LevelOneOff,MATCH($H759,LevelList,0)),0)</f>
        <v>0</v>
      </c>
      <c r="X759" s="35" t="str">
        <f aca="false">IF($G759="","",$V759*N($L759))</f>
        <v/>
      </c>
      <c r="Y759" s="35" t="str">
        <f aca="false">IF($G759="","",$V759*(N($M759)*1+N($N759)*0.75+N($O759)*0.5+N($P759)*0.25)+$W759*N($L759))</f>
        <v/>
      </c>
      <c r="Z759" s="35" t="str">
        <f aca="false">IF($G759="","",$U759*1000000+ROW())</f>
        <v/>
      </c>
      <c r="AA759" s="36" t="str">
        <f aca="false">IF($G759="","",MID(IF($C759="",", no division","")&amp;IF($E759="",", no unit","")&amp;IF($H759="",", no career level","")&amp;IF(N($L759)&lt;=0,", no quarter split","")&amp;IF($R759="",", no driver","")&amp;IF(AND($H759&lt;&gt;"",COUNTIF(CareerLevels,$H759)=0),", a career level that is not on the ladder","")&amp;IF(AND($R759&lt;&gt;"",COUNTIF(DriverList,$R759)=0),", a driver that is not on the list","")&amp;IF(ABS(N($L759)-(N($M759)+N($N759)+N($O759)+N($P759)))&gt;0.001,", a total that does not match its quarters",""),3,300))</f>
        <v/>
      </c>
    </row>
    <row r="760" customFormat="false" ht="15" hidden="false" customHeight="false" outlineLevel="0" collapsed="false">
      <c r="A760" s="33" t="str">
        <f aca="false">IF($G760="","","Finance Group")</f>
        <v/>
      </c>
      <c r="B760" s="19"/>
      <c r="C760" s="19"/>
      <c r="D760" s="19"/>
      <c r="E760" s="19"/>
      <c r="F760" s="19"/>
      <c r="G760" s="19"/>
      <c r="H760" s="19"/>
      <c r="I760" s="19"/>
      <c r="J760" s="19"/>
      <c r="K760" s="19"/>
      <c r="L760" s="19"/>
      <c r="M760" s="19"/>
      <c r="N760" s="19"/>
      <c r="O760" s="19"/>
      <c r="P760" s="19"/>
      <c r="Q760" s="19"/>
      <c r="R760" s="19"/>
      <c r="S760" s="19"/>
      <c r="T760" s="34" t="str">
        <f aca="false">IF($R760="","",IFERROR(INDEX(DriverCategory,MATCH($R760,DriverList,0)),"BAU"))</f>
        <v/>
      </c>
      <c r="U760" s="34" t="str">
        <f aca="false">IF($R760="","",IFERROR(INDEX(DriverRank,MATCH($R760,DriverList,0)),99))</f>
        <v/>
      </c>
      <c r="V760" s="35" t="n">
        <f aca="false">IF($H760="",0,IFERROR(INDEX(LevelBasic,MATCH($H760,LevelList,0))+INDEX(LevelHousing,MATCH($H760,LevelList,0))+INDEX(LevelTransport,MATCH($H760,LevelList,0))+INDEX(LevelBasic,MATCH($H760,LevelList,0))*INDEX(LevelBonus,MATCH($H760,LevelList,0))+(INDEX(LevelBasic,MATCH($H760,LevelList,0))+INDEX(LevelHousing,MATCH($H760,LevelList,0)))*GosiSaudi,0))</f>
        <v>0</v>
      </c>
      <c r="W760" s="35" t="n">
        <f aca="false">IFERROR(INDEX(LevelOneOff,MATCH($H760,LevelList,0)),0)</f>
        <v>0</v>
      </c>
      <c r="X760" s="35" t="str">
        <f aca="false">IF($G760="","",$V760*N($L760))</f>
        <v/>
      </c>
      <c r="Y760" s="35" t="str">
        <f aca="false">IF($G760="","",$V760*(N($M760)*1+N($N760)*0.75+N($O760)*0.5+N($P760)*0.25)+$W760*N($L760))</f>
        <v/>
      </c>
      <c r="Z760" s="35" t="str">
        <f aca="false">IF($G760="","",$U760*1000000+ROW())</f>
        <v/>
      </c>
      <c r="AA760" s="36" t="str">
        <f aca="false">IF($G760="","",MID(IF($C760="",", no division","")&amp;IF($E760="",", no unit","")&amp;IF($H760="",", no career level","")&amp;IF(N($L760)&lt;=0,", no quarter split","")&amp;IF($R760="",", no driver","")&amp;IF(AND($H760&lt;&gt;"",COUNTIF(CareerLevels,$H760)=0),", a career level that is not on the ladder","")&amp;IF(AND($R760&lt;&gt;"",COUNTIF(DriverList,$R760)=0),", a driver that is not on the list","")&amp;IF(ABS(N($L760)-(N($M760)+N($N760)+N($O760)+N($P760)))&gt;0.001,", a total that does not match its quarters",""),3,300))</f>
        <v/>
      </c>
    </row>
    <row r="761" customFormat="false" ht="15" hidden="false" customHeight="false" outlineLevel="0" collapsed="false">
      <c r="A761" s="33" t="str">
        <f aca="false">IF($G761="","","Finance Group")</f>
        <v/>
      </c>
      <c r="B761" s="19"/>
      <c r="C761" s="19"/>
      <c r="D761" s="19"/>
      <c r="E761" s="19"/>
      <c r="F761" s="19"/>
      <c r="G761" s="19"/>
      <c r="H761" s="19"/>
      <c r="I761" s="19"/>
      <c r="J761" s="19"/>
      <c r="K761" s="19"/>
      <c r="L761" s="19"/>
      <c r="M761" s="19"/>
      <c r="N761" s="19"/>
      <c r="O761" s="19"/>
      <c r="P761" s="19"/>
      <c r="Q761" s="19"/>
      <c r="R761" s="19"/>
      <c r="S761" s="19"/>
      <c r="T761" s="34" t="str">
        <f aca="false">IF($R761="","",IFERROR(INDEX(DriverCategory,MATCH($R761,DriverList,0)),"BAU"))</f>
        <v/>
      </c>
      <c r="U761" s="34" t="str">
        <f aca="false">IF($R761="","",IFERROR(INDEX(DriverRank,MATCH($R761,DriverList,0)),99))</f>
        <v/>
      </c>
      <c r="V761" s="35" t="n">
        <f aca="false">IF($H761="",0,IFERROR(INDEX(LevelBasic,MATCH($H761,LevelList,0))+INDEX(LevelHousing,MATCH($H761,LevelList,0))+INDEX(LevelTransport,MATCH($H761,LevelList,0))+INDEX(LevelBasic,MATCH($H761,LevelList,0))*INDEX(LevelBonus,MATCH($H761,LevelList,0))+(INDEX(LevelBasic,MATCH($H761,LevelList,0))+INDEX(LevelHousing,MATCH($H761,LevelList,0)))*GosiSaudi,0))</f>
        <v>0</v>
      </c>
      <c r="W761" s="35" t="n">
        <f aca="false">IFERROR(INDEX(LevelOneOff,MATCH($H761,LevelList,0)),0)</f>
        <v>0</v>
      </c>
      <c r="X761" s="35" t="str">
        <f aca="false">IF($G761="","",$V761*N($L761))</f>
        <v/>
      </c>
      <c r="Y761" s="35" t="str">
        <f aca="false">IF($G761="","",$V761*(N($M761)*1+N($N761)*0.75+N($O761)*0.5+N($P761)*0.25)+$W761*N($L761))</f>
        <v/>
      </c>
      <c r="Z761" s="35" t="str">
        <f aca="false">IF($G761="","",$U761*1000000+ROW())</f>
        <v/>
      </c>
      <c r="AA761" s="36" t="str">
        <f aca="false">IF($G761="","",MID(IF($C761="",", no division","")&amp;IF($E761="",", no unit","")&amp;IF($H761="",", no career level","")&amp;IF(N($L761)&lt;=0,", no quarter split","")&amp;IF($R761="",", no driver","")&amp;IF(AND($H761&lt;&gt;"",COUNTIF(CareerLevels,$H761)=0),", a career level that is not on the ladder","")&amp;IF(AND($R761&lt;&gt;"",COUNTIF(DriverList,$R761)=0),", a driver that is not on the list","")&amp;IF(ABS(N($L761)-(N($M761)+N($N761)+N($O761)+N($P761)))&gt;0.001,", a total that does not match its quarters",""),3,300))</f>
        <v/>
      </c>
    </row>
    <row r="762" customFormat="false" ht="15" hidden="false" customHeight="false" outlineLevel="0" collapsed="false">
      <c r="A762" s="33" t="str">
        <f aca="false">IF($G762="","","Finance Group")</f>
        <v/>
      </c>
      <c r="B762" s="19"/>
      <c r="C762" s="19"/>
      <c r="D762" s="19"/>
      <c r="E762" s="19"/>
      <c r="F762" s="19"/>
      <c r="G762" s="19"/>
      <c r="H762" s="19"/>
      <c r="I762" s="19"/>
      <c r="J762" s="19"/>
      <c r="K762" s="19"/>
      <c r="L762" s="19"/>
      <c r="M762" s="19"/>
      <c r="N762" s="19"/>
      <c r="O762" s="19"/>
      <c r="P762" s="19"/>
      <c r="Q762" s="19"/>
      <c r="R762" s="19"/>
      <c r="S762" s="19"/>
      <c r="T762" s="34" t="str">
        <f aca="false">IF($R762="","",IFERROR(INDEX(DriverCategory,MATCH($R762,DriverList,0)),"BAU"))</f>
        <v/>
      </c>
      <c r="U762" s="34" t="str">
        <f aca="false">IF($R762="","",IFERROR(INDEX(DriverRank,MATCH($R762,DriverList,0)),99))</f>
        <v/>
      </c>
      <c r="V762" s="35" t="n">
        <f aca="false">IF($H762="",0,IFERROR(INDEX(LevelBasic,MATCH($H762,LevelList,0))+INDEX(LevelHousing,MATCH($H762,LevelList,0))+INDEX(LevelTransport,MATCH($H762,LevelList,0))+INDEX(LevelBasic,MATCH($H762,LevelList,0))*INDEX(LevelBonus,MATCH($H762,LevelList,0))+(INDEX(LevelBasic,MATCH($H762,LevelList,0))+INDEX(LevelHousing,MATCH($H762,LevelList,0)))*GosiSaudi,0))</f>
        <v>0</v>
      </c>
      <c r="W762" s="35" t="n">
        <f aca="false">IFERROR(INDEX(LevelOneOff,MATCH($H762,LevelList,0)),0)</f>
        <v>0</v>
      </c>
      <c r="X762" s="35" t="str">
        <f aca="false">IF($G762="","",$V762*N($L762))</f>
        <v/>
      </c>
      <c r="Y762" s="35" t="str">
        <f aca="false">IF($G762="","",$V762*(N($M762)*1+N($N762)*0.75+N($O762)*0.5+N($P762)*0.25)+$W762*N($L762))</f>
        <v/>
      </c>
      <c r="Z762" s="35" t="str">
        <f aca="false">IF($G762="","",$U762*1000000+ROW())</f>
        <v/>
      </c>
      <c r="AA762" s="36" t="str">
        <f aca="false">IF($G762="","",MID(IF($C762="",", no division","")&amp;IF($E762="",", no unit","")&amp;IF($H762="",", no career level","")&amp;IF(N($L762)&lt;=0,", no quarter split","")&amp;IF($R762="",", no driver","")&amp;IF(AND($H762&lt;&gt;"",COUNTIF(CareerLevels,$H762)=0),", a career level that is not on the ladder","")&amp;IF(AND($R762&lt;&gt;"",COUNTIF(DriverList,$R762)=0),", a driver that is not on the list","")&amp;IF(ABS(N($L762)-(N($M762)+N($N762)+N($O762)+N($P762)))&gt;0.001,", a total that does not match its quarters",""),3,300))</f>
        <v/>
      </c>
    </row>
    <row r="763" customFormat="false" ht="15" hidden="false" customHeight="false" outlineLevel="0" collapsed="false">
      <c r="A763" s="33" t="str">
        <f aca="false">IF($G763="","","Finance Group")</f>
        <v/>
      </c>
      <c r="B763" s="19"/>
      <c r="C763" s="19"/>
      <c r="D763" s="19"/>
      <c r="E763" s="19"/>
      <c r="F763" s="19"/>
      <c r="G763" s="19"/>
      <c r="H763" s="19"/>
      <c r="I763" s="19"/>
      <c r="J763" s="19"/>
      <c r="K763" s="19"/>
      <c r="L763" s="19"/>
      <c r="M763" s="19"/>
      <c r="N763" s="19"/>
      <c r="O763" s="19"/>
      <c r="P763" s="19"/>
      <c r="Q763" s="19"/>
      <c r="R763" s="19"/>
      <c r="S763" s="19"/>
      <c r="T763" s="34" t="str">
        <f aca="false">IF($R763="","",IFERROR(INDEX(DriverCategory,MATCH($R763,DriverList,0)),"BAU"))</f>
        <v/>
      </c>
      <c r="U763" s="34" t="str">
        <f aca="false">IF($R763="","",IFERROR(INDEX(DriverRank,MATCH($R763,DriverList,0)),99))</f>
        <v/>
      </c>
      <c r="V763" s="35" t="n">
        <f aca="false">IF($H763="",0,IFERROR(INDEX(LevelBasic,MATCH($H763,LevelList,0))+INDEX(LevelHousing,MATCH($H763,LevelList,0))+INDEX(LevelTransport,MATCH($H763,LevelList,0))+INDEX(LevelBasic,MATCH($H763,LevelList,0))*INDEX(LevelBonus,MATCH($H763,LevelList,0))+(INDEX(LevelBasic,MATCH($H763,LevelList,0))+INDEX(LevelHousing,MATCH($H763,LevelList,0)))*GosiSaudi,0))</f>
        <v>0</v>
      </c>
      <c r="W763" s="35" t="n">
        <f aca="false">IFERROR(INDEX(LevelOneOff,MATCH($H763,LevelList,0)),0)</f>
        <v>0</v>
      </c>
      <c r="X763" s="35" t="str">
        <f aca="false">IF($G763="","",$V763*N($L763))</f>
        <v/>
      </c>
      <c r="Y763" s="35" t="str">
        <f aca="false">IF($G763="","",$V763*(N($M763)*1+N($N763)*0.75+N($O763)*0.5+N($P763)*0.25)+$W763*N($L763))</f>
        <v/>
      </c>
      <c r="Z763" s="35" t="str">
        <f aca="false">IF($G763="","",$U763*1000000+ROW())</f>
        <v/>
      </c>
      <c r="AA763" s="36" t="str">
        <f aca="false">IF($G763="","",MID(IF($C763="",", no division","")&amp;IF($E763="",", no unit","")&amp;IF($H763="",", no career level","")&amp;IF(N($L763)&lt;=0,", no quarter split","")&amp;IF($R763="",", no driver","")&amp;IF(AND($H763&lt;&gt;"",COUNTIF(CareerLevels,$H763)=0),", a career level that is not on the ladder","")&amp;IF(AND($R763&lt;&gt;"",COUNTIF(DriverList,$R763)=0),", a driver that is not on the list","")&amp;IF(ABS(N($L763)-(N($M763)+N($N763)+N($O763)+N($P763)))&gt;0.001,", a total that does not match its quarters",""),3,300))</f>
        <v/>
      </c>
    </row>
    <row r="764" customFormat="false" ht="15" hidden="false" customHeight="false" outlineLevel="0" collapsed="false">
      <c r="A764" s="33" t="str">
        <f aca="false">IF($G764="","","Finance Group")</f>
        <v/>
      </c>
      <c r="B764" s="19"/>
      <c r="C764" s="19"/>
      <c r="D764" s="19"/>
      <c r="E764" s="19"/>
      <c r="F764" s="19"/>
      <c r="G764" s="19"/>
      <c r="H764" s="19"/>
      <c r="I764" s="19"/>
      <c r="J764" s="19"/>
      <c r="K764" s="19"/>
      <c r="L764" s="19"/>
      <c r="M764" s="19"/>
      <c r="N764" s="19"/>
      <c r="O764" s="19"/>
      <c r="P764" s="19"/>
      <c r="Q764" s="19"/>
      <c r="R764" s="19"/>
      <c r="S764" s="19"/>
      <c r="T764" s="34" t="str">
        <f aca="false">IF($R764="","",IFERROR(INDEX(DriverCategory,MATCH($R764,DriverList,0)),"BAU"))</f>
        <v/>
      </c>
      <c r="U764" s="34" t="str">
        <f aca="false">IF($R764="","",IFERROR(INDEX(DriverRank,MATCH($R764,DriverList,0)),99))</f>
        <v/>
      </c>
      <c r="V764" s="35" t="n">
        <f aca="false">IF($H764="",0,IFERROR(INDEX(LevelBasic,MATCH($H764,LevelList,0))+INDEX(LevelHousing,MATCH($H764,LevelList,0))+INDEX(LevelTransport,MATCH($H764,LevelList,0))+INDEX(LevelBasic,MATCH($H764,LevelList,0))*INDEX(LevelBonus,MATCH($H764,LevelList,0))+(INDEX(LevelBasic,MATCH($H764,LevelList,0))+INDEX(LevelHousing,MATCH($H764,LevelList,0)))*GosiSaudi,0))</f>
        <v>0</v>
      </c>
      <c r="W764" s="35" t="n">
        <f aca="false">IFERROR(INDEX(LevelOneOff,MATCH($H764,LevelList,0)),0)</f>
        <v>0</v>
      </c>
      <c r="X764" s="35" t="str">
        <f aca="false">IF($G764="","",$V764*N($L764))</f>
        <v/>
      </c>
      <c r="Y764" s="35" t="str">
        <f aca="false">IF($G764="","",$V764*(N($M764)*1+N($N764)*0.75+N($O764)*0.5+N($P764)*0.25)+$W764*N($L764))</f>
        <v/>
      </c>
      <c r="Z764" s="35" t="str">
        <f aca="false">IF($G764="","",$U764*1000000+ROW())</f>
        <v/>
      </c>
      <c r="AA764" s="36" t="str">
        <f aca="false">IF($G764="","",MID(IF($C764="",", no division","")&amp;IF($E764="",", no unit","")&amp;IF($H764="",", no career level","")&amp;IF(N($L764)&lt;=0,", no quarter split","")&amp;IF($R764="",", no driver","")&amp;IF(AND($H764&lt;&gt;"",COUNTIF(CareerLevels,$H764)=0),", a career level that is not on the ladder","")&amp;IF(AND($R764&lt;&gt;"",COUNTIF(DriverList,$R764)=0),", a driver that is not on the list","")&amp;IF(ABS(N($L764)-(N($M764)+N($N764)+N($O764)+N($P764)))&gt;0.001,", a total that does not match its quarters",""),3,300))</f>
        <v/>
      </c>
    </row>
    <row r="765" customFormat="false" ht="15" hidden="false" customHeight="false" outlineLevel="0" collapsed="false">
      <c r="A765" s="33" t="str">
        <f aca="false">IF($G765="","","Finance Group")</f>
        <v/>
      </c>
      <c r="B765" s="19"/>
      <c r="C765" s="19"/>
      <c r="D765" s="19"/>
      <c r="E765" s="19"/>
      <c r="F765" s="19"/>
      <c r="G765" s="19"/>
      <c r="H765" s="19"/>
      <c r="I765" s="19"/>
      <c r="J765" s="19"/>
      <c r="K765" s="19"/>
      <c r="L765" s="19"/>
      <c r="M765" s="19"/>
      <c r="N765" s="19"/>
      <c r="O765" s="19"/>
      <c r="P765" s="19"/>
      <c r="Q765" s="19"/>
      <c r="R765" s="19"/>
      <c r="S765" s="19"/>
      <c r="T765" s="34" t="str">
        <f aca="false">IF($R765="","",IFERROR(INDEX(DriverCategory,MATCH($R765,DriverList,0)),"BAU"))</f>
        <v/>
      </c>
      <c r="U765" s="34" t="str">
        <f aca="false">IF($R765="","",IFERROR(INDEX(DriverRank,MATCH($R765,DriverList,0)),99))</f>
        <v/>
      </c>
      <c r="V765" s="35" t="n">
        <f aca="false">IF($H765="",0,IFERROR(INDEX(LevelBasic,MATCH($H765,LevelList,0))+INDEX(LevelHousing,MATCH($H765,LevelList,0))+INDEX(LevelTransport,MATCH($H765,LevelList,0))+INDEX(LevelBasic,MATCH($H765,LevelList,0))*INDEX(LevelBonus,MATCH($H765,LevelList,0))+(INDEX(LevelBasic,MATCH($H765,LevelList,0))+INDEX(LevelHousing,MATCH($H765,LevelList,0)))*GosiSaudi,0))</f>
        <v>0</v>
      </c>
      <c r="W765" s="35" t="n">
        <f aca="false">IFERROR(INDEX(LevelOneOff,MATCH($H765,LevelList,0)),0)</f>
        <v>0</v>
      </c>
      <c r="X765" s="35" t="str">
        <f aca="false">IF($G765="","",$V765*N($L765))</f>
        <v/>
      </c>
      <c r="Y765" s="35" t="str">
        <f aca="false">IF($G765="","",$V765*(N($M765)*1+N($N765)*0.75+N($O765)*0.5+N($P765)*0.25)+$W765*N($L765))</f>
        <v/>
      </c>
      <c r="Z765" s="35" t="str">
        <f aca="false">IF($G765="","",$U765*1000000+ROW())</f>
        <v/>
      </c>
      <c r="AA765" s="36" t="str">
        <f aca="false">IF($G765="","",MID(IF($C765="",", no division","")&amp;IF($E765="",", no unit","")&amp;IF($H765="",", no career level","")&amp;IF(N($L765)&lt;=0,", no quarter split","")&amp;IF($R765="",", no driver","")&amp;IF(AND($H765&lt;&gt;"",COUNTIF(CareerLevels,$H765)=0),", a career level that is not on the ladder","")&amp;IF(AND($R765&lt;&gt;"",COUNTIF(DriverList,$R765)=0),", a driver that is not on the list","")&amp;IF(ABS(N($L765)-(N($M765)+N($N765)+N($O765)+N($P765)))&gt;0.001,", a total that does not match its quarters",""),3,300))</f>
        <v/>
      </c>
    </row>
    <row r="766" customFormat="false" ht="15" hidden="false" customHeight="false" outlineLevel="0" collapsed="false">
      <c r="A766" s="33" t="str">
        <f aca="false">IF($G766="","","Finance Group")</f>
        <v/>
      </c>
      <c r="B766" s="19"/>
      <c r="C766" s="19"/>
      <c r="D766" s="19"/>
      <c r="E766" s="19"/>
      <c r="F766" s="19"/>
      <c r="G766" s="19"/>
      <c r="H766" s="19"/>
      <c r="I766" s="19"/>
      <c r="J766" s="19"/>
      <c r="K766" s="19"/>
      <c r="L766" s="19"/>
      <c r="M766" s="19"/>
      <c r="N766" s="19"/>
      <c r="O766" s="19"/>
      <c r="P766" s="19"/>
      <c r="Q766" s="19"/>
      <c r="R766" s="19"/>
      <c r="S766" s="19"/>
      <c r="T766" s="34" t="str">
        <f aca="false">IF($R766="","",IFERROR(INDEX(DriverCategory,MATCH($R766,DriverList,0)),"BAU"))</f>
        <v/>
      </c>
      <c r="U766" s="34" t="str">
        <f aca="false">IF($R766="","",IFERROR(INDEX(DriverRank,MATCH($R766,DriverList,0)),99))</f>
        <v/>
      </c>
      <c r="V766" s="35" t="n">
        <f aca="false">IF($H766="",0,IFERROR(INDEX(LevelBasic,MATCH($H766,LevelList,0))+INDEX(LevelHousing,MATCH($H766,LevelList,0))+INDEX(LevelTransport,MATCH($H766,LevelList,0))+INDEX(LevelBasic,MATCH($H766,LevelList,0))*INDEX(LevelBonus,MATCH($H766,LevelList,0))+(INDEX(LevelBasic,MATCH($H766,LevelList,0))+INDEX(LevelHousing,MATCH($H766,LevelList,0)))*GosiSaudi,0))</f>
        <v>0</v>
      </c>
      <c r="W766" s="35" t="n">
        <f aca="false">IFERROR(INDEX(LevelOneOff,MATCH($H766,LevelList,0)),0)</f>
        <v>0</v>
      </c>
      <c r="X766" s="35" t="str">
        <f aca="false">IF($G766="","",$V766*N($L766))</f>
        <v/>
      </c>
      <c r="Y766" s="35" t="str">
        <f aca="false">IF($G766="","",$V766*(N($M766)*1+N($N766)*0.75+N($O766)*0.5+N($P766)*0.25)+$W766*N($L766))</f>
        <v/>
      </c>
      <c r="Z766" s="35" t="str">
        <f aca="false">IF($G766="","",$U766*1000000+ROW())</f>
        <v/>
      </c>
      <c r="AA766" s="36" t="str">
        <f aca="false">IF($G766="","",MID(IF($C766="",", no division","")&amp;IF($E766="",", no unit","")&amp;IF($H766="",", no career level","")&amp;IF(N($L766)&lt;=0,", no quarter split","")&amp;IF($R766="",", no driver","")&amp;IF(AND($H766&lt;&gt;"",COUNTIF(CareerLevels,$H766)=0),", a career level that is not on the ladder","")&amp;IF(AND($R766&lt;&gt;"",COUNTIF(DriverList,$R766)=0),", a driver that is not on the list","")&amp;IF(ABS(N($L766)-(N($M766)+N($N766)+N($O766)+N($P766)))&gt;0.001,", a total that does not match its quarters",""),3,300))</f>
        <v/>
      </c>
    </row>
    <row r="767" customFormat="false" ht="15" hidden="false" customHeight="false" outlineLevel="0" collapsed="false">
      <c r="A767" s="33" t="str">
        <f aca="false">IF($G767="","","Finance Group")</f>
        <v/>
      </c>
      <c r="B767" s="19"/>
      <c r="C767" s="19"/>
      <c r="D767" s="19"/>
      <c r="E767" s="19"/>
      <c r="F767" s="19"/>
      <c r="G767" s="19"/>
      <c r="H767" s="19"/>
      <c r="I767" s="19"/>
      <c r="J767" s="19"/>
      <c r="K767" s="19"/>
      <c r="L767" s="19"/>
      <c r="M767" s="19"/>
      <c r="N767" s="19"/>
      <c r="O767" s="19"/>
      <c r="P767" s="19"/>
      <c r="Q767" s="19"/>
      <c r="R767" s="19"/>
      <c r="S767" s="19"/>
      <c r="T767" s="34" t="str">
        <f aca="false">IF($R767="","",IFERROR(INDEX(DriverCategory,MATCH($R767,DriverList,0)),"BAU"))</f>
        <v/>
      </c>
      <c r="U767" s="34" t="str">
        <f aca="false">IF($R767="","",IFERROR(INDEX(DriverRank,MATCH($R767,DriverList,0)),99))</f>
        <v/>
      </c>
      <c r="V767" s="35" t="n">
        <f aca="false">IF($H767="",0,IFERROR(INDEX(LevelBasic,MATCH($H767,LevelList,0))+INDEX(LevelHousing,MATCH($H767,LevelList,0))+INDEX(LevelTransport,MATCH($H767,LevelList,0))+INDEX(LevelBasic,MATCH($H767,LevelList,0))*INDEX(LevelBonus,MATCH($H767,LevelList,0))+(INDEX(LevelBasic,MATCH($H767,LevelList,0))+INDEX(LevelHousing,MATCH($H767,LevelList,0)))*GosiSaudi,0))</f>
        <v>0</v>
      </c>
      <c r="W767" s="35" t="n">
        <f aca="false">IFERROR(INDEX(LevelOneOff,MATCH($H767,LevelList,0)),0)</f>
        <v>0</v>
      </c>
      <c r="X767" s="35" t="str">
        <f aca="false">IF($G767="","",$V767*N($L767))</f>
        <v/>
      </c>
      <c r="Y767" s="35" t="str">
        <f aca="false">IF($G767="","",$V767*(N($M767)*1+N($N767)*0.75+N($O767)*0.5+N($P767)*0.25)+$W767*N($L767))</f>
        <v/>
      </c>
      <c r="Z767" s="35" t="str">
        <f aca="false">IF($G767="","",$U767*1000000+ROW())</f>
        <v/>
      </c>
      <c r="AA767" s="36" t="str">
        <f aca="false">IF($G767="","",MID(IF($C767="",", no division","")&amp;IF($E767="",", no unit","")&amp;IF($H767="",", no career level","")&amp;IF(N($L767)&lt;=0,", no quarter split","")&amp;IF($R767="",", no driver","")&amp;IF(AND($H767&lt;&gt;"",COUNTIF(CareerLevels,$H767)=0),", a career level that is not on the ladder","")&amp;IF(AND($R767&lt;&gt;"",COUNTIF(DriverList,$R767)=0),", a driver that is not on the list","")&amp;IF(ABS(N($L767)-(N($M767)+N($N767)+N($O767)+N($P767)))&gt;0.001,", a total that does not match its quarters",""),3,300))</f>
        <v/>
      </c>
    </row>
    <row r="768" customFormat="false" ht="15" hidden="false" customHeight="false" outlineLevel="0" collapsed="false">
      <c r="A768" s="33" t="str">
        <f aca="false">IF($G768="","","Finance Group")</f>
        <v/>
      </c>
      <c r="B768" s="19"/>
      <c r="C768" s="19"/>
      <c r="D768" s="19"/>
      <c r="E768" s="19"/>
      <c r="F768" s="19"/>
      <c r="G768" s="19"/>
      <c r="H768" s="19"/>
      <c r="I768" s="19"/>
      <c r="J768" s="19"/>
      <c r="K768" s="19"/>
      <c r="L768" s="19"/>
      <c r="M768" s="19"/>
      <c r="N768" s="19"/>
      <c r="O768" s="19"/>
      <c r="P768" s="19"/>
      <c r="Q768" s="19"/>
      <c r="R768" s="19"/>
      <c r="S768" s="19"/>
      <c r="T768" s="34" t="str">
        <f aca="false">IF($R768="","",IFERROR(INDEX(DriverCategory,MATCH($R768,DriverList,0)),"BAU"))</f>
        <v/>
      </c>
      <c r="U768" s="34" t="str">
        <f aca="false">IF($R768="","",IFERROR(INDEX(DriverRank,MATCH($R768,DriverList,0)),99))</f>
        <v/>
      </c>
      <c r="V768" s="35" t="n">
        <f aca="false">IF($H768="",0,IFERROR(INDEX(LevelBasic,MATCH($H768,LevelList,0))+INDEX(LevelHousing,MATCH($H768,LevelList,0))+INDEX(LevelTransport,MATCH($H768,LevelList,0))+INDEX(LevelBasic,MATCH($H768,LevelList,0))*INDEX(LevelBonus,MATCH($H768,LevelList,0))+(INDEX(LevelBasic,MATCH($H768,LevelList,0))+INDEX(LevelHousing,MATCH($H768,LevelList,0)))*GosiSaudi,0))</f>
        <v>0</v>
      </c>
      <c r="W768" s="35" t="n">
        <f aca="false">IFERROR(INDEX(LevelOneOff,MATCH($H768,LevelList,0)),0)</f>
        <v>0</v>
      </c>
      <c r="X768" s="35" t="str">
        <f aca="false">IF($G768="","",$V768*N($L768))</f>
        <v/>
      </c>
      <c r="Y768" s="35" t="str">
        <f aca="false">IF($G768="","",$V768*(N($M768)*1+N($N768)*0.75+N($O768)*0.5+N($P768)*0.25)+$W768*N($L768))</f>
        <v/>
      </c>
      <c r="Z768" s="35" t="str">
        <f aca="false">IF($G768="","",$U768*1000000+ROW())</f>
        <v/>
      </c>
      <c r="AA768" s="36" t="str">
        <f aca="false">IF($G768="","",MID(IF($C768="",", no division","")&amp;IF($E768="",", no unit","")&amp;IF($H768="",", no career level","")&amp;IF(N($L768)&lt;=0,", no quarter split","")&amp;IF($R768="",", no driver","")&amp;IF(AND($H768&lt;&gt;"",COUNTIF(CareerLevels,$H768)=0),", a career level that is not on the ladder","")&amp;IF(AND($R768&lt;&gt;"",COUNTIF(DriverList,$R768)=0),", a driver that is not on the list","")&amp;IF(ABS(N($L768)-(N($M768)+N($N768)+N($O768)+N($P768)))&gt;0.001,", a total that does not match its quarters",""),3,300))</f>
        <v/>
      </c>
    </row>
    <row r="769" customFormat="false" ht="15" hidden="false" customHeight="false" outlineLevel="0" collapsed="false">
      <c r="A769" s="33" t="str">
        <f aca="false">IF($G769="","","Finance Group")</f>
        <v/>
      </c>
      <c r="B769" s="19"/>
      <c r="C769" s="19"/>
      <c r="D769" s="19"/>
      <c r="E769" s="19"/>
      <c r="F769" s="19"/>
      <c r="G769" s="19"/>
      <c r="H769" s="19"/>
      <c r="I769" s="19"/>
      <c r="J769" s="19"/>
      <c r="K769" s="19"/>
      <c r="L769" s="19"/>
      <c r="M769" s="19"/>
      <c r="N769" s="19"/>
      <c r="O769" s="19"/>
      <c r="P769" s="19"/>
      <c r="Q769" s="19"/>
      <c r="R769" s="19"/>
      <c r="S769" s="19"/>
      <c r="T769" s="34" t="str">
        <f aca="false">IF($R769="","",IFERROR(INDEX(DriverCategory,MATCH($R769,DriverList,0)),"BAU"))</f>
        <v/>
      </c>
      <c r="U769" s="34" t="str">
        <f aca="false">IF($R769="","",IFERROR(INDEX(DriverRank,MATCH($R769,DriverList,0)),99))</f>
        <v/>
      </c>
      <c r="V769" s="35" t="n">
        <f aca="false">IF($H769="",0,IFERROR(INDEX(LevelBasic,MATCH($H769,LevelList,0))+INDEX(LevelHousing,MATCH($H769,LevelList,0))+INDEX(LevelTransport,MATCH($H769,LevelList,0))+INDEX(LevelBasic,MATCH($H769,LevelList,0))*INDEX(LevelBonus,MATCH($H769,LevelList,0))+(INDEX(LevelBasic,MATCH($H769,LevelList,0))+INDEX(LevelHousing,MATCH($H769,LevelList,0)))*GosiSaudi,0))</f>
        <v>0</v>
      </c>
      <c r="W769" s="35" t="n">
        <f aca="false">IFERROR(INDEX(LevelOneOff,MATCH($H769,LevelList,0)),0)</f>
        <v>0</v>
      </c>
      <c r="X769" s="35" t="str">
        <f aca="false">IF($G769="","",$V769*N($L769))</f>
        <v/>
      </c>
      <c r="Y769" s="35" t="str">
        <f aca="false">IF($G769="","",$V769*(N($M769)*1+N($N769)*0.75+N($O769)*0.5+N($P769)*0.25)+$W769*N($L769))</f>
        <v/>
      </c>
      <c r="Z769" s="35" t="str">
        <f aca="false">IF($G769="","",$U769*1000000+ROW())</f>
        <v/>
      </c>
      <c r="AA769" s="36" t="str">
        <f aca="false">IF($G769="","",MID(IF($C769="",", no division","")&amp;IF($E769="",", no unit","")&amp;IF($H769="",", no career level","")&amp;IF(N($L769)&lt;=0,", no quarter split","")&amp;IF($R769="",", no driver","")&amp;IF(AND($H769&lt;&gt;"",COUNTIF(CareerLevels,$H769)=0),", a career level that is not on the ladder","")&amp;IF(AND($R769&lt;&gt;"",COUNTIF(DriverList,$R769)=0),", a driver that is not on the list","")&amp;IF(ABS(N($L769)-(N($M769)+N($N769)+N($O769)+N($P769)))&gt;0.001,", a total that does not match its quarters",""),3,300))</f>
        <v/>
      </c>
    </row>
    <row r="770" customFormat="false" ht="15" hidden="false" customHeight="false" outlineLevel="0" collapsed="false">
      <c r="A770" s="33" t="str">
        <f aca="false">IF($G770="","","Finance Group")</f>
        <v/>
      </c>
      <c r="B770" s="19"/>
      <c r="C770" s="19"/>
      <c r="D770" s="19"/>
      <c r="E770" s="19"/>
      <c r="F770" s="19"/>
      <c r="G770" s="19"/>
      <c r="H770" s="19"/>
      <c r="I770" s="19"/>
      <c r="J770" s="19"/>
      <c r="K770" s="19"/>
      <c r="L770" s="19"/>
      <c r="M770" s="19"/>
      <c r="N770" s="19"/>
      <c r="O770" s="19"/>
      <c r="P770" s="19"/>
      <c r="Q770" s="19"/>
      <c r="R770" s="19"/>
      <c r="S770" s="19"/>
      <c r="T770" s="34" t="str">
        <f aca="false">IF($R770="","",IFERROR(INDEX(DriverCategory,MATCH($R770,DriverList,0)),"BAU"))</f>
        <v/>
      </c>
      <c r="U770" s="34" t="str">
        <f aca="false">IF($R770="","",IFERROR(INDEX(DriverRank,MATCH($R770,DriverList,0)),99))</f>
        <v/>
      </c>
      <c r="V770" s="35" t="n">
        <f aca="false">IF($H770="",0,IFERROR(INDEX(LevelBasic,MATCH($H770,LevelList,0))+INDEX(LevelHousing,MATCH($H770,LevelList,0))+INDEX(LevelTransport,MATCH($H770,LevelList,0))+INDEX(LevelBasic,MATCH($H770,LevelList,0))*INDEX(LevelBonus,MATCH($H770,LevelList,0))+(INDEX(LevelBasic,MATCH($H770,LevelList,0))+INDEX(LevelHousing,MATCH($H770,LevelList,0)))*GosiSaudi,0))</f>
        <v>0</v>
      </c>
      <c r="W770" s="35" t="n">
        <f aca="false">IFERROR(INDEX(LevelOneOff,MATCH($H770,LevelList,0)),0)</f>
        <v>0</v>
      </c>
      <c r="X770" s="35" t="str">
        <f aca="false">IF($G770="","",$V770*N($L770))</f>
        <v/>
      </c>
      <c r="Y770" s="35" t="str">
        <f aca="false">IF($G770="","",$V770*(N($M770)*1+N($N770)*0.75+N($O770)*0.5+N($P770)*0.25)+$W770*N($L770))</f>
        <v/>
      </c>
      <c r="Z770" s="35" t="str">
        <f aca="false">IF($G770="","",$U770*1000000+ROW())</f>
        <v/>
      </c>
      <c r="AA770" s="36" t="str">
        <f aca="false">IF($G770="","",MID(IF($C770="",", no division","")&amp;IF($E770="",", no unit","")&amp;IF($H770="",", no career level","")&amp;IF(N($L770)&lt;=0,", no quarter split","")&amp;IF($R770="",", no driver","")&amp;IF(AND($H770&lt;&gt;"",COUNTIF(CareerLevels,$H770)=0),", a career level that is not on the ladder","")&amp;IF(AND($R770&lt;&gt;"",COUNTIF(DriverList,$R770)=0),", a driver that is not on the list","")&amp;IF(ABS(N($L770)-(N($M770)+N($N770)+N($O770)+N($P770)))&gt;0.001,", a total that does not match its quarters",""),3,300))</f>
        <v/>
      </c>
    </row>
    <row r="771" customFormat="false" ht="15" hidden="false" customHeight="false" outlineLevel="0" collapsed="false">
      <c r="A771" s="33" t="str">
        <f aca="false">IF($G771="","","Finance Group")</f>
        <v/>
      </c>
      <c r="B771" s="19"/>
      <c r="C771" s="19"/>
      <c r="D771" s="19"/>
      <c r="E771" s="19"/>
      <c r="F771" s="19"/>
      <c r="G771" s="19"/>
      <c r="H771" s="19"/>
      <c r="I771" s="19"/>
      <c r="J771" s="19"/>
      <c r="K771" s="19"/>
      <c r="L771" s="19"/>
      <c r="M771" s="19"/>
      <c r="N771" s="19"/>
      <c r="O771" s="19"/>
      <c r="P771" s="19"/>
      <c r="Q771" s="19"/>
      <c r="R771" s="19"/>
      <c r="S771" s="19"/>
      <c r="T771" s="34" t="str">
        <f aca="false">IF($R771="","",IFERROR(INDEX(DriverCategory,MATCH($R771,DriverList,0)),"BAU"))</f>
        <v/>
      </c>
      <c r="U771" s="34" t="str">
        <f aca="false">IF($R771="","",IFERROR(INDEX(DriverRank,MATCH($R771,DriverList,0)),99))</f>
        <v/>
      </c>
      <c r="V771" s="35" t="n">
        <f aca="false">IF($H771="",0,IFERROR(INDEX(LevelBasic,MATCH($H771,LevelList,0))+INDEX(LevelHousing,MATCH($H771,LevelList,0))+INDEX(LevelTransport,MATCH($H771,LevelList,0))+INDEX(LevelBasic,MATCH($H771,LevelList,0))*INDEX(LevelBonus,MATCH($H771,LevelList,0))+(INDEX(LevelBasic,MATCH($H771,LevelList,0))+INDEX(LevelHousing,MATCH($H771,LevelList,0)))*GosiSaudi,0))</f>
        <v>0</v>
      </c>
      <c r="W771" s="35" t="n">
        <f aca="false">IFERROR(INDEX(LevelOneOff,MATCH($H771,LevelList,0)),0)</f>
        <v>0</v>
      </c>
      <c r="X771" s="35" t="str">
        <f aca="false">IF($G771="","",$V771*N($L771))</f>
        <v/>
      </c>
      <c r="Y771" s="35" t="str">
        <f aca="false">IF($G771="","",$V771*(N($M771)*1+N($N771)*0.75+N($O771)*0.5+N($P771)*0.25)+$W771*N($L771))</f>
        <v/>
      </c>
      <c r="Z771" s="35" t="str">
        <f aca="false">IF($G771="","",$U771*1000000+ROW())</f>
        <v/>
      </c>
      <c r="AA771" s="36" t="str">
        <f aca="false">IF($G771="","",MID(IF($C771="",", no division","")&amp;IF($E771="",", no unit","")&amp;IF($H771="",", no career level","")&amp;IF(N($L771)&lt;=0,", no quarter split","")&amp;IF($R771="",", no driver","")&amp;IF(AND($H771&lt;&gt;"",COUNTIF(CareerLevels,$H771)=0),", a career level that is not on the ladder","")&amp;IF(AND($R771&lt;&gt;"",COUNTIF(DriverList,$R771)=0),", a driver that is not on the list","")&amp;IF(ABS(N($L771)-(N($M771)+N($N771)+N($O771)+N($P771)))&gt;0.001,", a total that does not match its quarters",""),3,300))</f>
        <v/>
      </c>
    </row>
    <row r="772" customFormat="false" ht="15" hidden="false" customHeight="false" outlineLevel="0" collapsed="false">
      <c r="A772" s="33" t="str">
        <f aca="false">IF($G772="","","Finance Group")</f>
        <v/>
      </c>
      <c r="B772" s="19"/>
      <c r="C772" s="19"/>
      <c r="D772" s="19"/>
      <c r="E772" s="19"/>
      <c r="F772" s="19"/>
      <c r="G772" s="19"/>
      <c r="H772" s="19"/>
      <c r="I772" s="19"/>
      <c r="J772" s="19"/>
      <c r="K772" s="19"/>
      <c r="L772" s="19"/>
      <c r="M772" s="19"/>
      <c r="N772" s="19"/>
      <c r="O772" s="19"/>
      <c r="P772" s="19"/>
      <c r="Q772" s="19"/>
      <c r="R772" s="19"/>
      <c r="S772" s="19"/>
      <c r="T772" s="34" t="str">
        <f aca="false">IF($R772="","",IFERROR(INDEX(DriverCategory,MATCH($R772,DriverList,0)),"BAU"))</f>
        <v/>
      </c>
      <c r="U772" s="34" t="str">
        <f aca="false">IF($R772="","",IFERROR(INDEX(DriverRank,MATCH($R772,DriverList,0)),99))</f>
        <v/>
      </c>
      <c r="V772" s="35" t="n">
        <f aca="false">IF($H772="",0,IFERROR(INDEX(LevelBasic,MATCH($H772,LevelList,0))+INDEX(LevelHousing,MATCH($H772,LevelList,0))+INDEX(LevelTransport,MATCH($H772,LevelList,0))+INDEX(LevelBasic,MATCH($H772,LevelList,0))*INDEX(LevelBonus,MATCH($H772,LevelList,0))+(INDEX(LevelBasic,MATCH($H772,LevelList,0))+INDEX(LevelHousing,MATCH($H772,LevelList,0)))*GosiSaudi,0))</f>
        <v>0</v>
      </c>
      <c r="W772" s="35" t="n">
        <f aca="false">IFERROR(INDEX(LevelOneOff,MATCH($H772,LevelList,0)),0)</f>
        <v>0</v>
      </c>
      <c r="X772" s="35" t="str">
        <f aca="false">IF($G772="","",$V772*N($L772))</f>
        <v/>
      </c>
      <c r="Y772" s="35" t="str">
        <f aca="false">IF($G772="","",$V772*(N($M772)*1+N($N772)*0.75+N($O772)*0.5+N($P772)*0.25)+$W772*N($L772))</f>
        <v/>
      </c>
      <c r="Z772" s="35" t="str">
        <f aca="false">IF($G772="","",$U772*1000000+ROW())</f>
        <v/>
      </c>
      <c r="AA772" s="36" t="str">
        <f aca="false">IF($G772="","",MID(IF($C772="",", no division","")&amp;IF($E772="",", no unit","")&amp;IF($H772="",", no career level","")&amp;IF(N($L772)&lt;=0,", no quarter split","")&amp;IF($R772="",", no driver","")&amp;IF(AND($H772&lt;&gt;"",COUNTIF(CareerLevels,$H772)=0),", a career level that is not on the ladder","")&amp;IF(AND($R772&lt;&gt;"",COUNTIF(DriverList,$R772)=0),", a driver that is not on the list","")&amp;IF(ABS(N($L772)-(N($M772)+N($N772)+N($O772)+N($P772)))&gt;0.001,", a total that does not match its quarters",""),3,300))</f>
        <v/>
      </c>
    </row>
    <row r="773" customFormat="false" ht="15" hidden="false" customHeight="false" outlineLevel="0" collapsed="false">
      <c r="A773" s="33" t="str">
        <f aca="false">IF($G773="","","Finance Group")</f>
        <v/>
      </c>
      <c r="B773" s="19"/>
      <c r="C773" s="19"/>
      <c r="D773" s="19"/>
      <c r="E773" s="19"/>
      <c r="F773" s="19"/>
      <c r="G773" s="19"/>
      <c r="H773" s="19"/>
      <c r="I773" s="19"/>
      <c r="J773" s="19"/>
      <c r="K773" s="19"/>
      <c r="L773" s="19"/>
      <c r="M773" s="19"/>
      <c r="N773" s="19"/>
      <c r="O773" s="19"/>
      <c r="P773" s="19"/>
      <c r="Q773" s="19"/>
      <c r="R773" s="19"/>
      <c r="S773" s="19"/>
      <c r="T773" s="34" t="str">
        <f aca="false">IF($R773="","",IFERROR(INDEX(DriverCategory,MATCH($R773,DriverList,0)),"BAU"))</f>
        <v/>
      </c>
      <c r="U773" s="34" t="str">
        <f aca="false">IF($R773="","",IFERROR(INDEX(DriverRank,MATCH($R773,DriverList,0)),99))</f>
        <v/>
      </c>
      <c r="V773" s="35" t="n">
        <f aca="false">IF($H773="",0,IFERROR(INDEX(LevelBasic,MATCH($H773,LevelList,0))+INDEX(LevelHousing,MATCH($H773,LevelList,0))+INDEX(LevelTransport,MATCH($H773,LevelList,0))+INDEX(LevelBasic,MATCH($H773,LevelList,0))*INDEX(LevelBonus,MATCH($H773,LevelList,0))+(INDEX(LevelBasic,MATCH($H773,LevelList,0))+INDEX(LevelHousing,MATCH($H773,LevelList,0)))*GosiSaudi,0))</f>
        <v>0</v>
      </c>
      <c r="W773" s="35" t="n">
        <f aca="false">IFERROR(INDEX(LevelOneOff,MATCH($H773,LevelList,0)),0)</f>
        <v>0</v>
      </c>
      <c r="X773" s="35" t="str">
        <f aca="false">IF($G773="","",$V773*N($L773))</f>
        <v/>
      </c>
      <c r="Y773" s="35" t="str">
        <f aca="false">IF($G773="","",$V773*(N($M773)*1+N($N773)*0.75+N($O773)*0.5+N($P773)*0.25)+$W773*N($L773))</f>
        <v/>
      </c>
      <c r="Z773" s="35" t="str">
        <f aca="false">IF($G773="","",$U773*1000000+ROW())</f>
        <v/>
      </c>
      <c r="AA773" s="36" t="str">
        <f aca="false">IF($G773="","",MID(IF($C773="",", no division","")&amp;IF($E773="",", no unit","")&amp;IF($H773="",", no career level","")&amp;IF(N($L773)&lt;=0,", no quarter split","")&amp;IF($R773="",", no driver","")&amp;IF(AND($H773&lt;&gt;"",COUNTIF(CareerLevels,$H773)=0),", a career level that is not on the ladder","")&amp;IF(AND($R773&lt;&gt;"",COUNTIF(DriverList,$R773)=0),", a driver that is not on the list","")&amp;IF(ABS(N($L773)-(N($M773)+N($N773)+N($O773)+N($P773)))&gt;0.001,", a total that does not match its quarters",""),3,300))</f>
        <v/>
      </c>
    </row>
    <row r="774" customFormat="false" ht="15" hidden="false" customHeight="false" outlineLevel="0" collapsed="false">
      <c r="A774" s="33" t="str">
        <f aca="false">IF($G774="","","Finance Group")</f>
        <v/>
      </c>
      <c r="B774" s="19"/>
      <c r="C774" s="19"/>
      <c r="D774" s="19"/>
      <c r="E774" s="19"/>
      <c r="F774" s="19"/>
      <c r="G774" s="19"/>
      <c r="H774" s="19"/>
      <c r="I774" s="19"/>
      <c r="J774" s="19"/>
      <c r="K774" s="19"/>
      <c r="L774" s="19"/>
      <c r="M774" s="19"/>
      <c r="N774" s="19"/>
      <c r="O774" s="19"/>
      <c r="P774" s="19"/>
      <c r="Q774" s="19"/>
      <c r="R774" s="19"/>
      <c r="S774" s="19"/>
      <c r="T774" s="34" t="str">
        <f aca="false">IF($R774="","",IFERROR(INDEX(DriverCategory,MATCH($R774,DriverList,0)),"BAU"))</f>
        <v/>
      </c>
      <c r="U774" s="34" t="str">
        <f aca="false">IF($R774="","",IFERROR(INDEX(DriverRank,MATCH($R774,DriverList,0)),99))</f>
        <v/>
      </c>
      <c r="V774" s="35" t="n">
        <f aca="false">IF($H774="",0,IFERROR(INDEX(LevelBasic,MATCH($H774,LevelList,0))+INDEX(LevelHousing,MATCH($H774,LevelList,0))+INDEX(LevelTransport,MATCH($H774,LevelList,0))+INDEX(LevelBasic,MATCH($H774,LevelList,0))*INDEX(LevelBonus,MATCH($H774,LevelList,0))+(INDEX(LevelBasic,MATCH($H774,LevelList,0))+INDEX(LevelHousing,MATCH($H774,LevelList,0)))*GosiSaudi,0))</f>
        <v>0</v>
      </c>
      <c r="W774" s="35" t="n">
        <f aca="false">IFERROR(INDEX(LevelOneOff,MATCH($H774,LevelList,0)),0)</f>
        <v>0</v>
      </c>
      <c r="X774" s="35" t="str">
        <f aca="false">IF($G774="","",$V774*N($L774))</f>
        <v/>
      </c>
      <c r="Y774" s="35" t="str">
        <f aca="false">IF($G774="","",$V774*(N($M774)*1+N($N774)*0.75+N($O774)*0.5+N($P774)*0.25)+$W774*N($L774))</f>
        <v/>
      </c>
      <c r="Z774" s="35" t="str">
        <f aca="false">IF($G774="","",$U774*1000000+ROW())</f>
        <v/>
      </c>
      <c r="AA774" s="36" t="str">
        <f aca="false">IF($G774="","",MID(IF($C774="",", no division","")&amp;IF($E774="",", no unit","")&amp;IF($H774="",", no career level","")&amp;IF(N($L774)&lt;=0,", no quarter split","")&amp;IF($R774="",", no driver","")&amp;IF(AND($H774&lt;&gt;"",COUNTIF(CareerLevels,$H774)=0),", a career level that is not on the ladder","")&amp;IF(AND($R774&lt;&gt;"",COUNTIF(DriverList,$R774)=0),", a driver that is not on the list","")&amp;IF(ABS(N($L774)-(N($M774)+N($N774)+N($O774)+N($P774)))&gt;0.001,", a total that does not match its quarters",""),3,300))</f>
        <v/>
      </c>
    </row>
    <row r="775" customFormat="false" ht="15" hidden="false" customHeight="false" outlineLevel="0" collapsed="false">
      <c r="A775" s="33" t="str">
        <f aca="false">IF($G775="","","Finance Group")</f>
        <v/>
      </c>
      <c r="B775" s="19"/>
      <c r="C775" s="19"/>
      <c r="D775" s="19"/>
      <c r="E775" s="19"/>
      <c r="F775" s="19"/>
      <c r="G775" s="19"/>
      <c r="H775" s="19"/>
      <c r="I775" s="19"/>
      <c r="J775" s="19"/>
      <c r="K775" s="19"/>
      <c r="L775" s="19"/>
      <c r="M775" s="19"/>
      <c r="N775" s="19"/>
      <c r="O775" s="19"/>
      <c r="P775" s="19"/>
      <c r="Q775" s="19"/>
      <c r="R775" s="19"/>
      <c r="S775" s="19"/>
      <c r="T775" s="34" t="str">
        <f aca="false">IF($R775="","",IFERROR(INDEX(DriverCategory,MATCH($R775,DriverList,0)),"BAU"))</f>
        <v/>
      </c>
      <c r="U775" s="34" t="str">
        <f aca="false">IF($R775="","",IFERROR(INDEX(DriverRank,MATCH($R775,DriverList,0)),99))</f>
        <v/>
      </c>
      <c r="V775" s="35" t="n">
        <f aca="false">IF($H775="",0,IFERROR(INDEX(LevelBasic,MATCH($H775,LevelList,0))+INDEX(LevelHousing,MATCH($H775,LevelList,0))+INDEX(LevelTransport,MATCH($H775,LevelList,0))+INDEX(LevelBasic,MATCH($H775,LevelList,0))*INDEX(LevelBonus,MATCH($H775,LevelList,0))+(INDEX(LevelBasic,MATCH($H775,LevelList,0))+INDEX(LevelHousing,MATCH($H775,LevelList,0)))*GosiSaudi,0))</f>
        <v>0</v>
      </c>
      <c r="W775" s="35" t="n">
        <f aca="false">IFERROR(INDEX(LevelOneOff,MATCH($H775,LevelList,0)),0)</f>
        <v>0</v>
      </c>
      <c r="X775" s="35" t="str">
        <f aca="false">IF($G775="","",$V775*N($L775))</f>
        <v/>
      </c>
      <c r="Y775" s="35" t="str">
        <f aca="false">IF($G775="","",$V775*(N($M775)*1+N($N775)*0.75+N($O775)*0.5+N($P775)*0.25)+$W775*N($L775))</f>
        <v/>
      </c>
      <c r="Z775" s="35" t="str">
        <f aca="false">IF($G775="","",$U775*1000000+ROW())</f>
        <v/>
      </c>
      <c r="AA775" s="36" t="str">
        <f aca="false">IF($G775="","",MID(IF($C775="",", no division","")&amp;IF($E775="",", no unit","")&amp;IF($H775="",", no career level","")&amp;IF(N($L775)&lt;=0,", no quarter split","")&amp;IF($R775="",", no driver","")&amp;IF(AND($H775&lt;&gt;"",COUNTIF(CareerLevels,$H775)=0),", a career level that is not on the ladder","")&amp;IF(AND($R775&lt;&gt;"",COUNTIF(DriverList,$R775)=0),", a driver that is not on the list","")&amp;IF(ABS(N($L775)-(N($M775)+N($N775)+N($O775)+N($P775)))&gt;0.001,", a total that does not match its quarters",""),3,300))</f>
        <v/>
      </c>
    </row>
    <row r="776" customFormat="false" ht="15" hidden="false" customHeight="false" outlineLevel="0" collapsed="false">
      <c r="A776" s="33" t="str">
        <f aca="false">IF($G776="","","Finance Group")</f>
        <v/>
      </c>
      <c r="B776" s="19"/>
      <c r="C776" s="19"/>
      <c r="D776" s="19"/>
      <c r="E776" s="19"/>
      <c r="F776" s="19"/>
      <c r="G776" s="19"/>
      <c r="H776" s="19"/>
      <c r="I776" s="19"/>
      <c r="J776" s="19"/>
      <c r="K776" s="19"/>
      <c r="L776" s="19"/>
      <c r="M776" s="19"/>
      <c r="N776" s="19"/>
      <c r="O776" s="19"/>
      <c r="P776" s="19"/>
      <c r="Q776" s="19"/>
      <c r="R776" s="19"/>
      <c r="S776" s="19"/>
      <c r="T776" s="34" t="str">
        <f aca="false">IF($R776="","",IFERROR(INDEX(DriverCategory,MATCH($R776,DriverList,0)),"BAU"))</f>
        <v/>
      </c>
      <c r="U776" s="34" t="str">
        <f aca="false">IF($R776="","",IFERROR(INDEX(DriverRank,MATCH($R776,DriverList,0)),99))</f>
        <v/>
      </c>
      <c r="V776" s="35" t="n">
        <f aca="false">IF($H776="",0,IFERROR(INDEX(LevelBasic,MATCH($H776,LevelList,0))+INDEX(LevelHousing,MATCH($H776,LevelList,0))+INDEX(LevelTransport,MATCH($H776,LevelList,0))+INDEX(LevelBasic,MATCH($H776,LevelList,0))*INDEX(LevelBonus,MATCH($H776,LevelList,0))+(INDEX(LevelBasic,MATCH($H776,LevelList,0))+INDEX(LevelHousing,MATCH($H776,LevelList,0)))*GosiSaudi,0))</f>
        <v>0</v>
      </c>
      <c r="W776" s="35" t="n">
        <f aca="false">IFERROR(INDEX(LevelOneOff,MATCH($H776,LevelList,0)),0)</f>
        <v>0</v>
      </c>
      <c r="X776" s="35" t="str">
        <f aca="false">IF($G776="","",$V776*N($L776))</f>
        <v/>
      </c>
      <c r="Y776" s="35" t="str">
        <f aca="false">IF($G776="","",$V776*(N($M776)*1+N($N776)*0.75+N($O776)*0.5+N($P776)*0.25)+$W776*N($L776))</f>
        <v/>
      </c>
      <c r="Z776" s="35" t="str">
        <f aca="false">IF($G776="","",$U776*1000000+ROW())</f>
        <v/>
      </c>
      <c r="AA776" s="36" t="str">
        <f aca="false">IF($G776="","",MID(IF($C776="",", no division","")&amp;IF($E776="",", no unit","")&amp;IF($H776="",", no career level","")&amp;IF(N($L776)&lt;=0,", no quarter split","")&amp;IF($R776="",", no driver","")&amp;IF(AND($H776&lt;&gt;"",COUNTIF(CareerLevels,$H776)=0),", a career level that is not on the ladder","")&amp;IF(AND($R776&lt;&gt;"",COUNTIF(DriverList,$R776)=0),", a driver that is not on the list","")&amp;IF(ABS(N($L776)-(N($M776)+N($N776)+N($O776)+N($P776)))&gt;0.001,", a total that does not match its quarters",""),3,300))</f>
        <v/>
      </c>
    </row>
    <row r="777" customFormat="false" ht="15" hidden="false" customHeight="false" outlineLevel="0" collapsed="false">
      <c r="A777" s="33" t="str">
        <f aca="false">IF($G777="","","Finance Group")</f>
        <v/>
      </c>
      <c r="B777" s="19"/>
      <c r="C777" s="19"/>
      <c r="D777" s="19"/>
      <c r="E777" s="19"/>
      <c r="F777" s="19"/>
      <c r="G777" s="19"/>
      <c r="H777" s="19"/>
      <c r="I777" s="19"/>
      <c r="J777" s="19"/>
      <c r="K777" s="19"/>
      <c r="L777" s="19"/>
      <c r="M777" s="19"/>
      <c r="N777" s="19"/>
      <c r="O777" s="19"/>
      <c r="P777" s="19"/>
      <c r="Q777" s="19"/>
      <c r="R777" s="19"/>
      <c r="S777" s="19"/>
      <c r="T777" s="34" t="str">
        <f aca="false">IF($R777="","",IFERROR(INDEX(DriverCategory,MATCH($R777,DriverList,0)),"BAU"))</f>
        <v/>
      </c>
      <c r="U777" s="34" t="str">
        <f aca="false">IF($R777="","",IFERROR(INDEX(DriverRank,MATCH($R777,DriverList,0)),99))</f>
        <v/>
      </c>
      <c r="V777" s="35" t="n">
        <f aca="false">IF($H777="",0,IFERROR(INDEX(LevelBasic,MATCH($H777,LevelList,0))+INDEX(LevelHousing,MATCH($H777,LevelList,0))+INDEX(LevelTransport,MATCH($H777,LevelList,0))+INDEX(LevelBasic,MATCH($H777,LevelList,0))*INDEX(LevelBonus,MATCH($H777,LevelList,0))+(INDEX(LevelBasic,MATCH($H777,LevelList,0))+INDEX(LevelHousing,MATCH($H777,LevelList,0)))*GosiSaudi,0))</f>
        <v>0</v>
      </c>
      <c r="W777" s="35" t="n">
        <f aca="false">IFERROR(INDEX(LevelOneOff,MATCH($H777,LevelList,0)),0)</f>
        <v>0</v>
      </c>
      <c r="X777" s="35" t="str">
        <f aca="false">IF($G777="","",$V777*N($L777))</f>
        <v/>
      </c>
      <c r="Y777" s="35" t="str">
        <f aca="false">IF($G777="","",$V777*(N($M777)*1+N($N777)*0.75+N($O777)*0.5+N($P777)*0.25)+$W777*N($L777))</f>
        <v/>
      </c>
      <c r="Z777" s="35" t="str">
        <f aca="false">IF($G777="","",$U777*1000000+ROW())</f>
        <v/>
      </c>
      <c r="AA777" s="36" t="str">
        <f aca="false">IF($G777="","",MID(IF($C777="",", no division","")&amp;IF($E777="",", no unit","")&amp;IF($H777="",", no career level","")&amp;IF(N($L777)&lt;=0,", no quarter split","")&amp;IF($R777="",", no driver","")&amp;IF(AND($H777&lt;&gt;"",COUNTIF(CareerLevels,$H777)=0),", a career level that is not on the ladder","")&amp;IF(AND($R777&lt;&gt;"",COUNTIF(DriverList,$R777)=0),", a driver that is not on the list","")&amp;IF(ABS(N($L777)-(N($M777)+N($N777)+N($O777)+N($P777)))&gt;0.001,", a total that does not match its quarters",""),3,300))</f>
        <v/>
      </c>
    </row>
    <row r="778" customFormat="false" ht="15" hidden="false" customHeight="false" outlineLevel="0" collapsed="false">
      <c r="A778" s="33" t="str">
        <f aca="false">IF($G778="","","Finance Group")</f>
        <v/>
      </c>
      <c r="B778" s="19"/>
      <c r="C778" s="19"/>
      <c r="D778" s="19"/>
      <c r="E778" s="19"/>
      <c r="F778" s="19"/>
      <c r="G778" s="19"/>
      <c r="H778" s="19"/>
      <c r="I778" s="19"/>
      <c r="J778" s="19"/>
      <c r="K778" s="19"/>
      <c r="L778" s="19"/>
      <c r="M778" s="19"/>
      <c r="N778" s="19"/>
      <c r="O778" s="19"/>
      <c r="P778" s="19"/>
      <c r="Q778" s="19"/>
      <c r="R778" s="19"/>
      <c r="S778" s="19"/>
      <c r="T778" s="34" t="str">
        <f aca="false">IF($R778="","",IFERROR(INDEX(DriverCategory,MATCH($R778,DriverList,0)),"BAU"))</f>
        <v/>
      </c>
      <c r="U778" s="34" t="str">
        <f aca="false">IF($R778="","",IFERROR(INDEX(DriverRank,MATCH($R778,DriverList,0)),99))</f>
        <v/>
      </c>
      <c r="V778" s="35" t="n">
        <f aca="false">IF($H778="",0,IFERROR(INDEX(LevelBasic,MATCH($H778,LevelList,0))+INDEX(LevelHousing,MATCH($H778,LevelList,0))+INDEX(LevelTransport,MATCH($H778,LevelList,0))+INDEX(LevelBasic,MATCH($H778,LevelList,0))*INDEX(LevelBonus,MATCH($H778,LevelList,0))+(INDEX(LevelBasic,MATCH($H778,LevelList,0))+INDEX(LevelHousing,MATCH($H778,LevelList,0)))*GosiSaudi,0))</f>
        <v>0</v>
      </c>
      <c r="W778" s="35" t="n">
        <f aca="false">IFERROR(INDEX(LevelOneOff,MATCH($H778,LevelList,0)),0)</f>
        <v>0</v>
      </c>
      <c r="X778" s="35" t="str">
        <f aca="false">IF($G778="","",$V778*N($L778))</f>
        <v/>
      </c>
      <c r="Y778" s="35" t="str">
        <f aca="false">IF($G778="","",$V778*(N($M778)*1+N($N778)*0.75+N($O778)*0.5+N($P778)*0.25)+$W778*N($L778))</f>
        <v/>
      </c>
      <c r="Z778" s="35" t="str">
        <f aca="false">IF($G778="","",$U778*1000000+ROW())</f>
        <v/>
      </c>
      <c r="AA778" s="36" t="str">
        <f aca="false">IF($G778="","",MID(IF($C778="",", no division","")&amp;IF($E778="",", no unit","")&amp;IF($H778="",", no career level","")&amp;IF(N($L778)&lt;=0,", no quarter split","")&amp;IF($R778="",", no driver","")&amp;IF(AND($H778&lt;&gt;"",COUNTIF(CareerLevels,$H778)=0),", a career level that is not on the ladder","")&amp;IF(AND($R778&lt;&gt;"",COUNTIF(DriverList,$R778)=0),", a driver that is not on the list","")&amp;IF(ABS(N($L778)-(N($M778)+N($N778)+N($O778)+N($P778)))&gt;0.001,", a total that does not match its quarters",""),3,300))</f>
        <v/>
      </c>
    </row>
    <row r="779" customFormat="false" ht="15" hidden="false" customHeight="false" outlineLevel="0" collapsed="false">
      <c r="A779" s="33" t="str">
        <f aca="false">IF($G779="","","Finance Group")</f>
        <v/>
      </c>
      <c r="B779" s="19"/>
      <c r="C779" s="19"/>
      <c r="D779" s="19"/>
      <c r="E779" s="19"/>
      <c r="F779" s="19"/>
      <c r="G779" s="19"/>
      <c r="H779" s="19"/>
      <c r="I779" s="19"/>
      <c r="J779" s="19"/>
      <c r="K779" s="19"/>
      <c r="L779" s="19"/>
      <c r="M779" s="19"/>
      <c r="N779" s="19"/>
      <c r="O779" s="19"/>
      <c r="P779" s="19"/>
      <c r="Q779" s="19"/>
      <c r="R779" s="19"/>
      <c r="S779" s="19"/>
      <c r="T779" s="34" t="str">
        <f aca="false">IF($R779="","",IFERROR(INDEX(DriverCategory,MATCH($R779,DriverList,0)),"BAU"))</f>
        <v/>
      </c>
      <c r="U779" s="34" t="str">
        <f aca="false">IF($R779="","",IFERROR(INDEX(DriverRank,MATCH($R779,DriverList,0)),99))</f>
        <v/>
      </c>
      <c r="V779" s="35" t="n">
        <f aca="false">IF($H779="",0,IFERROR(INDEX(LevelBasic,MATCH($H779,LevelList,0))+INDEX(LevelHousing,MATCH($H779,LevelList,0))+INDEX(LevelTransport,MATCH($H779,LevelList,0))+INDEX(LevelBasic,MATCH($H779,LevelList,0))*INDEX(LevelBonus,MATCH($H779,LevelList,0))+(INDEX(LevelBasic,MATCH($H779,LevelList,0))+INDEX(LevelHousing,MATCH($H779,LevelList,0)))*GosiSaudi,0))</f>
        <v>0</v>
      </c>
      <c r="W779" s="35" t="n">
        <f aca="false">IFERROR(INDEX(LevelOneOff,MATCH($H779,LevelList,0)),0)</f>
        <v>0</v>
      </c>
      <c r="X779" s="35" t="str">
        <f aca="false">IF($G779="","",$V779*N($L779))</f>
        <v/>
      </c>
      <c r="Y779" s="35" t="str">
        <f aca="false">IF($G779="","",$V779*(N($M779)*1+N($N779)*0.75+N($O779)*0.5+N($P779)*0.25)+$W779*N($L779))</f>
        <v/>
      </c>
      <c r="Z779" s="35" t="str">
        <f aca="false">IF($G779="","",$U779*1000000+ROW())</f>
        <v/>
      </c>
      <c r="AA779" s="36" t="str">
        <f aca="false">IF($G779="","",MID(IF($C779="",", no division","")&amp;IF($E779="",", no unit","")&amp;IF($H779="",", no career level","")&amp;IF(N($L779)&lt;=0,", no quarter split","")&amp;IF($R779="",", no driver","")&amp;IF(AND($H779&lt;&gt;"",COUNTIF(CareerLevels,$H779)=0),", a career level that is not on the ladder","")&amp;IF(AND($R779&lt;&gt;"",COUNTIF(DriverList,$R779)=0),", a driver that is not on the list","")&amp;IF(ABS(N($L779)-(N($M779)+N($N779)+N($O779)+N($P779)))&gt;0.001,", a total that does not match its quarters",""),3,300))</f>
        <v/>
      </c>
    </row>
    <row r="780" customFormat="false" ht="15" hidden="false" customHeight="false" outlineLevel="0" collapsed="false">
      <c r="A780" s="33" t="str">
        <f aca="false">IF($G780="","","Finance Group")</f>
        <v/>
      </c>
      <c r="B780" s="19"/>
      <c r="C780" s="19"/>
      <c r="D780" s="19"/>
      <c r="E780" s="19"/>
      <c r="F780" s="19"/>
      <c r="G780" s="19"/>
      <c r="H780" s="19"/>
      <c r="I780" s="19"/>
      <c r="J780" s="19"/>
      <c r="K780" s="19"/>
      <c r="L780" s="19"/>
      <c r="M780" s="19"/>
      <c r="N780" s="19"/>
      <c r="O780" s="19"/>
      <c r="P780" s="19"/>
      <c r="Q780" s="19"/>
      <c r="R780" s="19"/>
      <c r="S780" s="19"/>
      <c r="T780" s="34" t="str">
        <f aca="false">IF($R780="","",IFERROR(INDEX(DriverCategory,MATCH($R780,DriverList,0)),"BAU"))</f>
        <v/>
      </c>
      <c r="U780" s="34" t="str">
        <f aca="false">IF($R780="","",IFERROR(INDEX(DriverRank,MATCH($R780,DriverList,0)),99))</f>
        <v/>
      </c>
      <c r="V780" s="35" t="n">
        <f aca="false">IF($H780="",0,IFERROR(INDEX(LevelBasic,MATCH($H780,LevelList,0))+INDEX(LevelHousing,MATCH($H780,LevelList,0))+INDEX(LevelTransport,MATCH($H780,LevelList,0))+INDEX(LevelBasic,MATCH($H780,LevelList,0))*INDEX(LevelBonus,MATCH($H780,LevelList,0))+(INDEX(LevelBasic,MATCH($H780,LevelList,0))+INDEX(LevelHousing,MATCH($H780,LevelList,0)))*GosiSaudi,0))</f>
        <v>0</v>
      </c>
      <c r="W780" s="35" t="n">
        <f aca="false">IFERROR(INDEX(LevelOneOff,MATCH($H780,LevelList,0)),0)</f>
        <v>0</v>
      </c>
      <c r="X780" s="35" t="str">
        <f aca="false">IF($G780="","",$V780*N($L780))</f>
        <v/>
      </c>
      <c r="Y780" s="35" t="str">
        <f aca="false">IF($G780="","",$V780*(N($M780)*1+N($N780)*0.75+N($O780)*0.5+N($P780)*0.25)+$W780*N($L780))</f>
        <v/>
      </c>
      <c r="Z780" s="35" t="str">
        <f aca="false">IF($G780="","",$U780*1000000+ROW())</f>
        <v/>
      </c>
      <c r="AA780" s="36" t="str">
        <f aca="false">IF($G780="","",MID(IF($C780="",", no division","")&amp;IF($E780="",", no unit","")&amp;IF($H780="",", no career level","")&amp;IF(N($L780)&lt;=0,", no quarter split","")&amp;IF($R780="",", no driver","")&amp;IF(AND($H780&lt;&gt;"",COUNTIF(CareerLevels,$H780)=0),", a career level that is not on the ladder","")&amp;IF(AND($R780&lt;&gt;"",COUNTIF(DriverList,$R780)=0),", a driver that is not on the list","")&amp;IF(ABS(N($L780)-(N($M780)+N($N780)+N($O780)+N($P780)))&gt;0.001,", a total that does not match its quarters",""),3,300))</f>
        <v/>
      </c>
    </row>
    <row r="781" customFormat="false" ht="15" hidden="false" customHeight="false" outlineLevel="0" collapsed="false">
      <c r="A781" s="33" t="str">
        <f aca="false">IF($G781="","","Finance Group")</f>
        <v/>
      </c>
      <c r="B781" s="19"/>
      <c r="C781" s="19"/>
      <c r="D781" s="19"/>
      <c r="E781" s="19"/>
      <c r="F781" s="19"/>
      <c r="G781" s="19"/>
      <c r="H781" s="19"/>
      <c r="I781" s="19"/>
      <c r="J781" s="19"/>
      <c r="K781" s="19"/>
      <c r="L781" s="19"/>
      <c r="M781" s="19"/>
      <c r="N781" s="19"/>
      <c r="O781" s="19"/>
      <c r="P781" s="19"/>
      <c r="Q781" s="19"/>
      <c r="R781" s="19"/>
      <c r="S781" s="19"/>
      <c r="T781" s="34" t="str">
        <f aca="false">IF($R781="","",IFERROR(INDEX(DriverCategory,MATCH($R781,DriverList,0)),"BAU"))</f>
        <v/>
      </c>
      <c r="U781" s="34" t="str">
        <f aca="false">IF($R781="","",IFERROR(INDEX(DriverRank,MATCH($R781,DriverList,0)),99))</f>
        <v/>
      </c>
      <c r="V781" s="35" t="n">
        <f aca="false">IF($H781="",0,IFERROR(INDEX(LevelBasic,MATCH($H781,LevelList,0))+INDEX(LevelHousing,MATCH($H781,LevelList,0))+INDEX(LevelTransport,MATCH($H781,LevelList,0))+INDEX(LevelBasic,MATCH($H781,LevelList,0))*INDEX(LevelBonus,MATCH($H781,LevelList,0))+(INDEX(LevelBasic,MATCH($H781,LevelList,0))+INDEX(LevelHousing,MATCH($H781,LevelList,0)))*GosiSaudi,0))</f>
        <v>0</v>
      </c>
      <c r="W781" s="35" t="n">
        <f aca="false">IFERROR(INDEX(LevelOneOff,MATCH($H781,LevelList,0)),0)</f>
        <v>0</v>
      </c>
      <c r="X781" s="35" t="str">
        <f aca="false">IF($G781="","",$V781*N($L781))</f>
        <v/>
      </c>
      <c r="Y781" s="35" t="str">
        <f aca="false">IF($G781="","",$V781*(N($M781)*1+N($N781)*0.75+N($O781)*0.5+N($P781)*0.25)+$W781*N($L781))</f>
        <v/>
      </c>
      <c r="Z781" s="35" t="str">
        <f aca="false">IF($G781="","",$U781*1000000+ROW())</f>
        <v/>
      </c>
      <c r="AA781" s="36" t="str">
        <f aca="false">IF($G781="","",MID(IF($C781="",", no division","")&amp;IF($E781="",", no unit","")&amp;IF($H781="",", no career level","")&amp;IF(N($L781)&lt;=0,", no quarter split","")&amp;IF($R781="",", no driver","")&amp;IF(AND($H781&lt;&gt;"",COUNTIF(CareerLevels,$H781)=0),", a career level that is not on the ladder","")&amp;IF(AND($R781&lt;&gt;"",COUNTIF(DriverList,$R781)=0),", a driver that is not on the list","")&amp;IF(ABS(N($L781)-(N($M781)+N($N781)+N($O781)+N($P781)))&gt;0.001,", a total that does not match its quarters",""),3,300))</f>
        <v/>
      </c>
    </row>
    <row r="782" customFormat="false" ht="15" hidden="false" customHeight="false" outlineLevel="0" collapsed="false">
      <c r="A782" s="33" t="str">
        <f aca="false">IF($G782="","","Finance Group")</f>
        <v/>
      </c>
      <c r="B782" s="19"/>
      <c r="C782" s="19"/>
      <c r="D782" s="19"/>
      <c r="E782" s="19"/>
      <c r="F782" s="19"/>
      <c r="G782" s="19"/>
      <c r="H782" s="19"/>
      <c r="I782" s="19"/>
      <c r="J782" s="19"/>
      <c r="K782" s="19"/>
      <c r="L782" s="19"/>
      <c r="M782" s="19"/>
      <c r="N782" s="19"/>
      <c r="O782" s="19"/>
      <c r="P782" s="19"/>
      <c r="Q782" s="19"/>
      <c r="R782" s="19"/>
      <c r="S782" s="19"/>
      <c r="T782" s="34" t="str">
        <f aca="false">IF($R782="","",IFERROR(INDEX(DriverCategory,MATCH($R782,DriverList,0)),"BAU"))</f>
        <v/>
      </c>
      <c r="U782" s="34" t="str">
        <f aca="false">IF($R782="","",IFERROR(INDEX(DriverRank,MATCH($R782,DriverList,0)),99))</f>
        <v/>
      </c>
      <c r="V782" s="35" t="n">
        <f aca="false">IF($H782="",0,IFERROR(INDEX(LevelBasic,MATCH($H782,LevelList,0))+INDEX(LevelHousing,MATCH($H782,LevelList,0))+INDEX(LevelTransport,MATCH($H782,LevelList,0))+INDEX(LevelBasic,MATCH($H782,LevelList,0))*INDEX(LevelBonus,MATCH($H782,LevelList,0))+(INDEX(LevelBasic,MATCH($H782,LevelList,0))+INDEX(LevelHousing,MATCH($H782,LevelList,0)))*GosiSaudi,0))</f>
        <v>0</v>
      </c>
      <c r="W782" s="35" t="n">
        <f aca="false">IFERROR(INDEX(LevelOneOff,MATCH($H782,LevelList,0)),0)</f>
        <v>0</v>
      </c>
      <c r="X782" s="35" t="str">
        <f aca="false">IF($G782="","",$V782*N($L782))</f>
        <v/>
      </c>
      <c r="Y782" s="35" t="str">
        <f aca="false">IF($G782="","",$V782*(N($M782)*1+N($N782)*0.75+N($O782)*0.5+N($P782)*0.25)+$W782*N($L782))</f>
        <v/>
      </c>
      <c r="Z782" s="35" t="str">
        <f aca="false">IF($G782="","",$U782*1000000+ROW())</f>
        <v/>
      </c>
      <c r="AA782" s="36" t="str">
        <f aca="false">IF($G782="","",MID(IF($C782="",", no division","")&amp;IF($E782="",", no unit","")&amp;IF($H782="",", no career level","")&amp;IF(N($L782)&lt;=0,", no quarter split","")&amp;IF($R782="",", no driver","")&amp;IF(AND($H782&lt;&gt;"",COUNTIF(CareerLevels,$H782)=0),", a career level that is not on the ladder","")&amp;IF(AND($R782&lt;&gt;"",COUNTIF(DriverList,$R782)=0),", a driver that is not on the list","")&amp;IF(ABS(N($L782)-(N($M782)+N($N782)+N($O782)+N($P782)))&gt;0.001,", a total that does not match its quarters",""),3,300))</f>
        <v/>
      </c>
    </row>
    <row r="783" customFormat="false" ht="15" hidden="false" customHeight="false" outlineLevel="0" collapsed="false">
      <c r="A783" s="33" t="str">
        <f aca="false">IF($G783="","","Finance Group")</f>
        <v/>
      </c>
      <c r="B783" s="19"/>
      <c r="C783" s="19"/>
      <c r="D783" s="19"/>
      <c r="E783" s="19"/>
      <c r="F783" s="19"/>
      <c r="G783" s="19"/>
      <c r="H783" s="19"/>
      <c r="I783" s="19"/>
      <c r="J783" s="19"/>
      <c r="K783" s="19"/>
      <c r="L783" s="19"/>
      <c r="M783" s="19"/>
      <c r="N783" s="19"/>
      <c r="O783" s="19"/>
      <c r="P783" s="19"/>
      <c r="Q783" s="19"/>
      <c r="R783" s="19"/>
      <c r="S783" s="19"/>
      <c r="T783" s="34" t="str">
        <f aca="false">IF($R783="","",IFERROR(INDEX(DriverCategory,MATCH($R783,DriverList,0)),"BAU"))</f>
        <v/>
      </c>
      <c r="U783" s="34" t="str">
        <f aca="false">IF($R783="","",IFERROR(INDEX(DriverRank,MATCH($R783,DriverList,0)),99))</f>
        <v/>
      </c>
      <c r="V783" s="35" t="n">
        <f aca="false">IF($H783="",0,IFERROR(INDEX(LevelBasic,MATCH($H783,LevelList,0))+INDEX(LevelHousing,MATCH($H783,LevelList,0))+INDEX(LevelTransport,MATCH($H783,LevelList,0))+INDEX(LevelBasic,MATCH($H783,LevelList,0))*INDEX(LevelBonus,MATCH($H783,LevelList,0))+(INDEX(LevelBasic,MATCH($H783,LevelList,0))+INDEX(LevelHousing,MATCH($H783,LevelList,0)))*GosiSaudi,0))</f>
        <v>0</v>
      </c>
      <c r="W783" s="35" t="n">
        <f aca="false">IFERROR(INDEX(LevelOneOff,MATCH($H783,LevelList,0)),0)</f>
        <v>0</v>
      </c>
      <c r="X783" s="35" t="str">
        <f aca="false">IF($G783="","",$V783*N($L783))</f>
        <v/>
      </c>
      <c r="Y783" s="35" t="str">
        <f aca="false">IF($G783="","",$V783*(N($M783)*1+N($N783)*0.75+N($O783)*0.5+N($P783)*0.25)+$W783*N($L783))</f>
        <v/>
      </c>
      <c r="Z783" s="35" t="str">
        <f aca="false">IF($G783="","",$U783*1000000+ROW())</f>
        <v/>
      </c>
      <c r="AA783" s="36" t="str">
        <f aca="false">IF($G783="","",MID(IF($C783="",", no division","")&amp;IF($E783="",", no unit","")&amp;IF($H783="",", no career level","")&amp;IF(N($L783)&lt;=0,", no quarter split","")&amp;IF($R783="",", no driver","")&amp;IF(AND($H783&lt;&gt;"",COUNTIF(CareerLevels,$H783)=0),", a career level that is not on the ladder","")&amp;IF(AND($R783&lt;&gt;"",COUNTIF(DriverList,$R783)=0),", a driver that is not on the list","")&amp;IF(ABS(N($L783)-(N($M783)+N($N783)+N($O783)+N($P783)))&gt;0.001,", a total that does not match its quarters",""),3,300))</f>
        <v/>
      </c>
    </row>
    <row r="784" customFormat="false" ht="15" hidden="false" customHeight="false" outlineLevel="0" collapsed="false">
      <c r="A784" s="33" t="str">
        <f aca="false">IF($G784="","","Finance Group")</f>
        <v/>
      </c>
      <c r="B784" s="19"/>
      <c r="C784" s="19"/>
      <c r="D784" s="19"/>
      <c r="E784" s="19"/>
      <c r="F784" s="19"/>
      <c r="G784" s="19"/>
      <c r="H784" s="19"/>
      <c r="I784" s="19"/>
      <c r="J784" s="19"/>
      <c r="K784" s="19"/>
      <c r="L784" s="19"/>
      <c r="M784" s="19"/>
      <c r="N784" s="19"/>
      <c r="O784" s="19"/>
      <c r="P784" s="19"/>
      <c r="Q784" s="19"/>
      <c r="R784" s="19"/>
      <c r="S784" s="19"/>
      <c r="T784" s="34" t="str">
        <f aca="false">IF($R784="","",IFERROR(INDEX(DriverCategory,MATCH($R784,DriverList,0)),"BAU"))</f>
        <v/>
      </c>
      <c r="U784" s="34" t="str">
        <f aca="false">IF($R784="","",IFERROR(INDEX(DriverRank,MATCH($R784,DriverList,0)),99))</f>
        <v/>
      </c>
      <c r="V784" s="35" t="n">
        <f aca="false">IF($H784="",0,IFERROR(INDEX(LevelBasic,MATCH($H784,LevelList,0))+INDEX(LevelHousing,MATCH($H784,LevelList,0))+INDEX(LevelTransport,MATCH($H784,LevelList,0))+INDEX(LevelBasic,MATCH($H784,LevelList,0))*INDEX(LevelBonus,MATCH($H784,LevelList,0))+(INDEX(LevelBasic,MATCH($H784,LevelList,0))+INDEX(LevelHousing,MATCH($H784,LevelList,0)))*GosiSaudi,0))</f>
        <v>0</v>
      </c>
      <c r="W784" s="35" t="n">
        <f aca="false">IFERROR(INDEX(LevelOneOff,MATCH($H784,LevelList,0)),0)</f>
        <v>0</v>
      </c>
      <c r="X784" s="35" t="str">
        <f aca="false">IF($G784="","",$V784*N($L784))</f>
        <v/>
      </c>
      <c r="Y784" s="35" t="str">
        <f aca="false">IF($G784="","",$V784*(N($M784)*1+N($N784)*0.75+N($O784)*0.5+N($P784)*0.25)+$W784*N($L784))</f>
        <v/>
      </c>
      <c r="Z784" s="35" t="str">
        <f aca="false">IF($G784="","",$U784*1000000+ROW())</f>
        <v/>
      </c>
      <c r="AA784" s="36" t="str">
        <f aca="false">IF($G784="","",MID(IF($C784="",", no division","")&amp;IF($E784="",", no unit","")&amp;IF($H784="",", no career level","")&amp;IF(N($L784)&lt;=0,", no quarter split","")&amp;IF($R784="",", no driver","")&amp;IF(AND($H784&lt;&gt;"",COUNTIF(CareerLevels,$H784)=0),", a career level that is not on the ladder","")&amp;IF(AND($R784&lt;&gt;"",COUNTIF(DriverList,$R784)=0),", a driver that is not on the list","")&amp;IF(ABS(N($L784)-(N($M784)+N($N784)+N($O784)+N($P784)))&gt;0.001,", a total that does not match its quarters",""),3,300))</f>
        <v/>
      </c>
    </row>
    <row r="785" customFormat="false" ht="15" hidden="false" customHeight="false" outlineLevel="0" collapsed="false">
      <c r="A785" s="33" t="str">
        <f aca="false">IF($G785="","","Finance Group")</f>
        <v/>
      </c>
      <c r="B785" s="19"/>
      <c r="C785" s="19"/>
      <c r="D785" s="19"/>
      <c r="E785" s="19"/>
      <c r="F785" s="19"/>
      <c r="G785" s="19"/>
      <c r="H785" s="19"/>
      <c r="I785" s="19"/>
      <c r="J785" s="19"/>
      <c r="K785" s="19"/>
      <c r="L785" s="19"/>
      <c r="M785" s="19"/>
      <c r="N785" s="19"/>
      <c r="O785" s="19"/>
      <c r="P785" s="19"/>
      <c r="Q785" s="19"/>
      <c r="R785" s="19"/>
      <c r="S785" s="19"/>
      <c r="T785" s="34" t="str">
        <f aca="false">IF($R785="","",IFERROR(INDEX(DriverCategory,MATCH($R785,DriverList,0)),"BAU"))</f>
        <v/>
      </c>
      <c r="U785" s="34" t="str">
        <f aca="false">IF($R785="","",IFERROR(INDEX(DriverRank,MATCH($R785,DriverList,0)),99))</f>
        <v/>
      </c>
      <c r="V785" s="35" t="n">
        <f aca="false">IF($H785="",0,IFERROR(INDEX(LevelBasic,MATCH($H785,LevelList,0))+INDEX(LevelHousing,MATCH($H785,LevelList,0))+INDEX(LevelTransport,MATCH($H785,LevelList,0))+INDEX(LevelBasic,MATCH($H785,LevelList,0))*INDEX(LevelBonus,MATCH($H785,LevelList,0))+(INDEX(LevelBasic,MATCH($H785,LevelList,0))+INDEX(LevelHousing,MATCH($H785,LevelList,0)))*GosiSaudi,0))</f>
        <v>0</v>
      </c>
      <c r="W785" s="35" t="n">
        <f aca="false">IFERROR(INDEX(LevelOneOff,MATCH($H785,LevelList,0)),0)</f>
        <v>0</v>
      </c>
      <c r="X785" s="35" t="str">
        <f aca="false">IF($G785="","",$V785*N($L785))</f>
        <v/>
      </c>
      <c r="Y785" s="35" t="str">
        <f aca="false">IF($G785="","",$V785*(N($M785)*1+N($N785)*0.75+N($O785)*0.5+N($P785)*0.25)+$W785*N($L785))</f>
        <v/>
      </c>
      <c r="Z785" s="35" t="str">
        <f aca="false">IF($G785="","",$U785*1000000+ROW())</f>
        <v/>
      </c>
      <c r="AA785" s="36" t="str">
        <f aca="false">IF($G785="","",MID(IF($C785="",", no division","")&amp;IF($E785="",", no unit","")&amp;IF($H785="",", no career level","")&amp;IF(N($L785)&lt;=0,", no quarter split","")&amp;IF($R785="",", no driver","")&amp;IF(AND($H785&lt;&gt;"",COUNTIF(CareerLevels,$H785)=0),", a career level that is not on the ladder","")&amp;IF(AND($R785&lt;&gt;"",COUNTIF(DriverList,$R785)=0),", a driver that is not on the list","")&amp;IF(ABS(N($L785)-(N($M785)+N($N785)+N($O785)+N($P785)))&gt;0.001,", a total that does not match its quarters",""),3,300))</f>
        <v/>
      </c>
    </row>
    <row r="786" customFormat="false" ht="15" hidden="false" customHeight="false" outlineLevel="0" collapsed="false">
      <c r="A786" s="33" t="str">
        <f aca="false">IF($G786="","","Finance Group")</f>
        <v/>
      </c>
      <c r="B786" s="19"/>
      <c r="C786" s="19"/>
      <c r="D786" s="19"/>
      <c r="E786" s="19"/>
      <c r="F786" s="19"/>
      <c r="G786" s="19"/>
      <c r="H786" s="19"/>
      <c r="I786" s="19"/>
      <c r="J786" s="19"/>
      <c r="K786" s="19"/>
      <c r="L786" s="19"/>
      <c r="M786" s="19"/>
      <c r="N786" s="19"/>
      <c r="O786" s="19"/>
      <c r="P786" s="19"/>
      <c r="Q786" s="19"/>
      <c r="R786" s="19"/>
      <c r="S786" s="19"/>
      <c r="T786" s="34" t="str">
        <f aca="false">IF($R786="","",IFERROR(INDEX(DriverCategory,MATCH($R786,DriverList,0)),"BAU"))</f>
        <v/>
      </c>
      <c r="U786" s="34" t="str">
        <f aca="false">IF($R786="","",IFERROR(INDEX(DriverRank,MATCH($R786,DriverList,0)),99))</f>
        <v/>
      </c>
      <c r="V786" s="35" t="n">
        <f aca="false">IF($H786="",0,IFERROR(INDEX(LevelBasic,MATCH($H786,LevelList,0))+INDEX(LevelHousing,MATCH($H786,LevelList,0))+INDEX(LevelTransport,MATCH($H786,LevelList,0))+INDEX(LevelBasic,MATCH($H786,LevelList,0))*INDEX(LevelBonus,MATCH($H786,LevelList,0))+(INDEX(LevelBasic,MATCH($H786,LevelList,0))+INDEX(LevelHousing,MATCH($H786,LevelList,0)))*GosiSaudi,0))</f>
        <v>0</v>
      </c>
      <c r="W786" s="35" t="n">
        <f aca="false">IFERROR(INDEX(LevelOneOff,MATCH($H786,LevelList,0)),0)</f>
        <v>0</v>
      </c>
      <c r="X786" s="35" t="str">
        <f aca="false">IF($G786="","",$V786*N($L786))</f>
        <v/>
      </c>
      <c r="Y786" s="35" t="str">
        <f aca="false">IF($G786="","",$V786*(N($M786)*1+N($N786)*0.75+N($O786)*0.5+N($P786)*0.25)+$W786*N($L786))</f>
        <v/>
      </c>
      <c r="Z786" s="35" t="str">
        <f aca="false">IF($G786="","",$U786*1000000+ROW())</f>
        <v/>
      </c>
      <c r="AA786" s="36" t="str">
        <f aca="false">IF($G786="","",MID(IF($C786="",", no division","")&amp;IF($E786="",", no unit","")&amp;IF($H786="",", no career level","")&amp;IF(N($L786)&lt;=0,", no quarter split","")&amp;IF($R786="",", no driver","")&amp;IF(AND($H786&lt;&gt;"",COUNTIF(CareerLevels,$H786)=0),", a career level that is not on the ladder","")&amp;IF(AND($R786&lt;&gt;"",COUNTIF(DriverList,$R786)=0),", a driver that is not on the list","")&amp;IF(ABS(N($L786)-(N($M786)+N($N786)+N($O786)+N($P786)))&gt;0.001,", a total that does not match its quarters",""),3,300))</f>
        <v/>
      </c>
    </row>
    <row r="787" customFormat="false" ht="15" hidden="false" customHeight="false" outlineLevel="0" collapsed="false">
      <c r="A787" s="33" t="str">
        <f aca="false">IF($G787="","","Finance Group")</f>
        <v/>
      </c>
      <c r="B787" s="19"/>
      <c r="C787" s="19"/>
      <c r="D787" s="19"/>
      <c r="E787" s="19"/>
      <c r="F787" s="19"/>
      <c r="G787" s="19"/>
      <c r="H787" s="19"/>
      <c r="I787" s="19"/>
      <c r="J787" s="19"/>
      <c r="K787" s="19"/>
      <c r="L787" s="19"/>
      <c r="M787" s="19"/>
      <c r="N787" s="19"/>
      <c r="O787" s="19"/>
      <c r="P787" s="19"/>
      <c r="Q787" s="19"/>
      <c r="R787" s="19"/>
      <c r="S787" s="19"/>
      <c r="T787" s="34" t="str">
        <f aca="false">IF($R787="","",IFERROR(INDEX(DriverCategory,MATCH($R787,DriverList,0)),"BAU"))</f>
        <v/>
      </c>
      <c r="U787" s="34" t="str">
        <f aca="false">IF($R787="","",IFERROR(INDEX(DriverRank,MATCH($R787,DriverList,0)),99))</f>
        <v/>
      </c>
      <c r="V787" s="35" t="n">
        <f aca="false">IF($H787="",0,IFERROR(INDEX(LevelBasic,MATCH($H787,LevelList,0))+INDEX(LevelHousing,MATCH($H787,LevelList,0))+INDEX(LevelTransport,MATCH($H787,LevelList,0))+INDEX(LevelBasic,MATCH($H787,LevelList,0))*INDEX(LevelBonus,MATCH($H787,LevelList,0))+(INDEX(LevelBasic,MATCH($H787,LevelList,0))+INDEX(LevelHousing,MATCH($H787,LevelList,0)))*GosiSaudi,0))</f>
        <v>0</v>
      </c>
      <c r="W787" s="35" t="n">
        <f aca="false">IFERROR(INDEX(LevelOneOff,MATCH($H787,LevelList,0)),0)</f>
        <v>0</v>
      </c>
      <c r="X787" s="35" t="str">
        <f aca="false">IF($G787="","",$V787*N($L787))</f>
        <v/>
      </c>
      <c r="Y787" s="35" t="str">
        <f aca="false">IF($G787="","",$V787*(N($M787)*1+N($N787)*0.75+N($O787)*0.5+N($P787)*0.25)+$W787*N($L787))</f>
        <v/>
      </c>
      <c r="Z787" s="35" t="str">
        <f aca="false">IF($G787="","",$U787*1000000+ROW())</f>
        <v/>
      </c>
      <c r="AA787" s="36" t="str">
        <f aca="false">IF($G787="","",MID(IF($C787="",", no division","")&amp;IF($E787="",", no unit","")&amp;IF($H787="",", no career level","")&amp;IF(N($L787)&lt;=0,", no quarter split","")&amp;IF($R787="",", no driver","")&amp;IF(AND($H787&lt;&gt;"",COUNTIF(CareerLevels,$H787)=0),", a career level that is not on the ladder","")&amp;IF(AND($R787&lt;&gt;"",COUNTIF(DriverList,$R787)=0),", a driver that is not on the list","")&amp;IF(ABS(N($L787)-(N($M787)+N($N787)+N($O787)+N($P787)))&gt;0.001,", a total that does not match its quarters",""),3,300))</f>
        <v/>
      </c>
    </row>
    <row r="788" customFormat="false" ht="15" hidden="false" customHeight="false" outlineLevel="0" collapsed="false">
      <c r="A788" s="33" t="str">
        <f aca="false">IF($G788="","","Finance Group")</f>
        <v/>
      </c>
      <c r="B788" s="19"/>
      <c r="C788" s="19"/>
      <c r="D788" s="19"/>
      <c r="E788" s="19"/>
      <c r="F788" s="19"/>
      <c r="G788" s="19"/>
      <c r="H788" s="19"/>
      <c r="I788" s="19"/>
      <c r="J788" s="19"/>
      <c r="K788" s="19"/>
      <c r="L788" s="19"/>
      <c r="M788" s="19"/>
      <c r="N788" s="19"/>
      <c r="O788" s="19"/>
      <c r="P788" s="19"/>
      <c r="Q788" s="19"/>
      <c r="R788" s="19"/>
      <c r="S788" s="19"/>
      <c r="T788" s="34" t="str">
        <f aca="false">IF($R788="","",IFERROR(INDEX(DriverCategory,MATCH($R788,DriverList,0)),"BAU"))</f>
        <v/>
      </c>
      <c r="U788" s="34" t="str">
        <f aca="false">IF($R788="","",IFERROR(INDEX(DriverRank,MATCH($R788,DriverList,0)),99))</f>
        <v/>
      </c>
      <c r="V788" s="35" t="n">
        <f aca="false">IF($H788="",0,IFERROR(INDEX(LevelBasic,MATCH($H788,LevelList,0))+INDEX(LevelHousing,MATCH($H788,LevelList,0))+INDEX(LevelTransport,MATCH($H788,LevelList,0))+INDEX(LevelBasic,MATCH($H788,LevelList,0))*INDEX(LevelBonus,MATCH($H788,LevelList,0))+(INDEX(LevelBasic,MATCH($H788,LevelList,0))+INDEX(LevelHousing,MATCH($H788,LevelList,0)))*GosiSaudi,0))</f>
        <v>0</v>
      </c>
      <c r="W788" s="35" t="n">
        <f aca="false">IFERROR(INDEX(LevelOneOff,MATCH($H788,LevelList,0)),0)</f>
        <v>0</v>
      </c>
      <c r="X788" s="35" t="str">
        <f aca="false">IF($G788="","",$V788*N($L788))</f>
        <v/>
      </c>
      <c r="Y788" s="35" t="str">
        <f aca="false">IF($G788="","",$V788*(N($M788)*1+N($N788)*0.75+N($O788)*0.5+N($P788)*0.25)+$W788*N($L788))</f>
        <v/>
      </c>
      <c r="Z788" s="35" t="str">
        <f aca="false">IF($G788="","",$U788*1000000+ROW())</f>
        <v/>
      </c>
      <c r="AA788" s="36" t="str">
        <f aca="false">IF($G788="","",MID(IF($C788="",", no division","")&amp;IF($E788="",", no unit","")&amp;IF($H788="",", no career level","")&amp;IF(N($L788)&lt;=0,", no quarter split","")&amp;IF($R788="",", no driver","")&amp;IF(AND($H788&lt;&gt;"",COUNTIF(CareerLevels,$H788)=0),", a career level that is not on the ladder","")&amp;IF(AND($R788&lt;&gt;"",COUNTIF(DriverList,$R788)=0),", a driver that is not on the list","")&amp;IF(ABS(N($L788)-(N($M788)+N($N788)+N($O788)+N($P788)))&gt;0.001,", a total that does not match its quarters",""),3,300))</f>
        <v/>
      </c>
    </row>
    <row r="789" customFormat="false" ht="15" hidden="false" customHeight="false" outlineLevel="0" collapsed="false">
      <c r="A789" s="33" t="str">
        <f aca="false">IF($G789="","","Finance Group")</f>
        <v/>
      </c>
      <c r="B789" s="19"/>
      <c r="C789" s="19"/>
      <c r="D789" s="19"/>
      <c r="E789" s="19"/>
      <c r="F789" s="19"/>
      <c r="G789" s="19"/>
      <c r="H789" s="19"/>
      <c r="I789" s="19"/>
      <c r="J789" s="19"/>
      <c r="K789" s="19"/>
      <c r="L789" s="19"/>
      <c r="M789" s="19"/>
      <c r="N789" s="19"/>
      <c r="O789" s="19"/>
      <c r="P789" s="19"/>
      <c r="Q789" s="19"/>
      <c r="R789" s="19"/>
      <c r="S789" s="19"/>
      <c r="T789" s="34" t="str">
        <f aca="false">IF($R789="","",IFERROR(INDEX(DriverCategory,MATCH($R789,DriverList,0)),"BAU"))</f>
        <v/>
      </c>
      <c r="U789" s="34" t="str">
        <f aca="false">IF($R789="","",IFERROR(INDEX(DriverRank,MATCH($R789,DriverList,0)),99))</f>
        <v/>
      </c>
      <c r="V789" s="35" t="n">
        <f aca="false">IF($H789="",0,IFERROR(INDEX(LevelBasic,MATCH($H789,LevelList,0))+INDEX(LevelHousing,MATCH($H789,LevelList,0))+INDEX(LevelTransport,MATCH($H789,LevelList,0))+INDEX(LevelBasic,MATCH($H789,LevelList,0))*INDEX(LevelBonus,MATCH($H789,LevelList,0))+(INDEX(LevelBasic,MATCH($H789,LevelList,0))+INDEX(LevelHousing,MATCH($H789,LevelList,0)))*GosiSaudi,0))</f>
        <v>0</v>
      </c>
      <c r="W789" s="35" t="n">
        <f aca="false">IFERROR(INDEX(LevelOneOff,MATCH($H789,LevelList,0)),0)</f>
        <v>0</v>
      </c>
      <c r="X789" s="35" t="str">
        <f aca="false">IF($G789="","",$V789*N($L789))</f>
        <v/>
      </c>
      <c r="Y789" s="35" t="str">
        <f aca="false">IF($G789="","",$V789*(N($M789)*1+N($N789)*0.75+N($O789)*0.5+N($P789)*0.25)+$W789*N($L789))</f>
        <v/>
      </c>
      <c r="Z789" s="35" t="str">
        <f aca="false">IF($G789="","",$U789*1000000+ROW())</f>
        <v/>
      </c>
      <c r="AA789" s="36" t="str">
        <f aca="false">IF($G789="","",MID(IF($C789="",", no division","")&amp;IF($E789="",", no unit","")&amp;IF($H789="",", no career level","")&amp;IF(N($L789)&lt;=0,", no quarter split","")&amp;IF($R789="",", no driver","")&amp;IF(AND($H789&lt;&gt;"",COUNTIF(CareerLevels,$H789)=0),", a career level that is not on the ladder","")&amp;IF(AND($R789&lt;&gt;"",COUNTIF(DriverList,$R789)=0),", a driver that is not on the list","")&amp;IF(ABS(N($L789)-(N($M789)+N($N789)+N($O789)+N($P789)))&gt;0.001,", a total that does not match its quarters",""),3,300))</f>
        <v/>
      </c>
    </row>
    <row r="790" customFormat="false" ht="15" hidden="false" customHeight="false" outlineLevel="0" collapsed="false">
      <c r="A790" s="33" t="str">
        <f aca="false">IF($G790="","","Finance Group")</f>
        <v/>
      </c>
      <c r="B790" s="19"/>
      <c r="C790" s="19"/>
      <c r="D790" s="19"/>
      <c r="E790" s="19"/>
      <c r="F790" s="19"/>
      <c r="G790" s="19"/>
      <c r="H790" s="19"/>
      <c r="I790" s="19"/>
      <c r="J790" s="19"/>
      <c r="K790" s="19"/>
      <c r="L790" s="19"/>
      <c r="M790" s="19"/>
      <c r="N790" s="19"/>
      <c r="O790" s="19"/>
      <c r="P790" s="19"/>
      <c r="Q790" s="19"/>
      <c r="R790" s="19"/>
      <c r="S790" s="19"/>
      <c r="T790" s="34" t="str">
        <f aca="false">IF($R790="","",IFERROR(INDEX(DriverCategory,MATCH($R790,DriverList,0)),"BAU"))</f>
        <v/>
      </c>
      <c r="U790" s="34" t="str">
        <f aca="false">IF($R790="","",IFERROR(INDEX(DriverRank,MATCH($R790,DriverList,0)),99))</f>
        <v/>
      </c>
      <c r="V790" s="35" t="n">
        <f aca="false">IF($H790="",0,IFERROR(INDEX(LevelBasic,MATCH($H790,LevelList,0))+INDEX(LevelHousing,MATCH($H790,LevelList,0))+INDEX(LevelTransport,MATCH($H790,LevelList,0))+INDEX(LevelBasic,MATCH($H790,LevelList,0))*INDEX(LevelBonus,MATCH($H790,LevelList,0))+(INDEX(LevelBasic,MATCH($H790,LevelList,0))+INDEX(LevelHousing,MATCH($H790,LevelList,0)))*GosiSaudi,0))</f>
        <v>0</v>
      </c>
      <c r="W790" s="35" t="n">
        <f aca="false">IFERROR(INDEX(LevelOneOff,MATCH($H790,LevelList,0)),0)</f>
        <v>0</v>
      </c>
      <c r="X790" s="35" t="str">
        <f aca="false">IF($G790="","",$V790*N($L790))</f>
        <v/>
      </c>
      <c r="Y790" s="35" t="str">
        <f aca="false">IF($G790="","",$V790*(N($M790)*1+N($N790)*0.75+N($O790)*0.5+N($P790)*0.25)+$W790*N($L790))</f>
        <v/>
      </c>
      <c r="Z790" s="35" t="str">
        <f aca="false">IF($G790="","",$U790*1000000+ROW())</f>
        <v/>
      </c>
      <c r="AA790" s="36" t="str">
        <f aca="false">IF($G790="","",MID(IF($C790="",", no division","")&amp;IF($E790="",", no unit","")&amp;IF($H790="",", no career level","")&amp;IF(N($L790)&lt;=0,", no quarter split","")&amp;IF($R790="",", no driver","")&amp;IF(AND($H790&lt;&gt;"",COUNTIF(CareerLevels,$H790)=0),", a career level that is not on the ladder","")&amp;IF(AND($R790&lt;&gt;"",COUNTIF(DriverList,$R790)=0),", a driver that is not on the list","")&amp;IF(ABS(N($L790)-(N($M790)+N($N790)+N($O790)+N($P790)))&gt;0.001,", a total that does not match its quarters",""),3,300))</f>
        <v/>
      </c>
    </row>
    <row r="791" customFormat="false" ht="15" hidden="false" customHeight="false" outlineLevel="0" collapsed="false">
      <c r="A791" s="33" t="str">
        <f aca="false">IF($G791="","","Finance Group")</f>
        <v/>
      </c>
      <c r="B791" s="19"/>
      <c r="C791" s="19"/>
      <c r="D791" s="19"/>
      <c r="E791" s="19"/>
      <c r="F791" s="19"/>
      <c r="G791" s="19"/>
      <c r="H791" s="19"/>
      <c r="I791" s="19"/>
      <c r="J791" s="19"/>
      <c r="K791" s="19"/>
      <c r="L791" s="19"/>
      <c r="M791" s="19"/>
      <c r="N791" s="19"/>
      <c r="O791" s="19"/>
      <c r="P791" s="19"/>
      <c r="Q791" s="19"/>
      <c r="R791" s="19"/>
      <c r="S791" s="19"/>
      <c r="T791" s="34" t="str">
        <f aca="false">IF($R791="","",IFERROR(INDEX(DriverCategory,MATCH($R791,DriverList,0)),"BAU"))</f>
        <v/>
      </c>
      <c r="U791" s="34" t="str">
        <f aca="false">IF($R791="","",IFERROR(INDEX(DriverRank,MATCH($R791,DriverList,0)),99))</f>
        <v/>
      </c>
      <c r="V791" s="35" t="n">
        <f aca="false">IF($H791="",0,IFERROR(INDEX(LevelBasic,MATCH($H791,LevelList,0))+INDEX(LevelHousing,MATCH($H791,LevelList,0))+INDEX(LevelTransport,MATCH($H791,LevelList,0))+INDEX(LevelBasic,MATCH($H791,LevelList,0))*INDEX(LevelBonus,MATCH($H791,LevelList,0))+(INDEX(LevelBasic,MATCH($H791,LevelList,0))+INDEX(LevelHousing,MATCH($H791,LevelList,0)))*GosiSaudi,0))</f>
        <v>0</v>
      </c>
      <c r="W791" s="35" t="n">
        <f aca="false">IFERROR(INDEX(LevelOneOff,MATCH($H791,LevelList,0)),0)</f>
        <v>0</v>
      </c>
      <c r="X791" s="35" t="str">
        <f aca="false">IF($G791="","",$V791*N($L791))</f>
        <v/>
      </c>
      <c r="Y791" s="35" t="str">
        <f aca="false">IF($G791="","",$V791*(N($M791)*1+N($N791)*0.75+N($O791)*0.5+N($P791)*0.25)+$W791*N($L791))</f>
        <v/>
      </c>
      <c r="Z791" s="35" t="str">
        <f aca="false">IF($G791="","",$U791*1000000+ROW())</f>
        <v/>
      </c>
      <c r="AA791" s="36" t="str">
        <f aca="false">IF($G791="","",MID(IF($C791="",", no division","")&amp;IF($E791="",", no unit","")&amp;IF($H791="",", no career level","")&amp;IF(N($L791)&lt;=0,", no quarter split","")&amp;IF($R791="",", no driver","")&amp;IF(AND($H791&lt;&gt;"",COUNTIF(CareerLevels,$H791)=0),", a career level that is not on the ladder","")&amp;IF(AND($R791&lt;&gt;"",COUNTIF(DriverList,$R791)=0),", a driver that is not on the list","")&amp;IF(ABS(N($L791)-(N($M791)+N($N791)+N($O791)+N($P791)))&gt;0.001,", a total that does not match its quarters",""),3,300))</f>
        <v/>
      </c>
    </row>
    <row r="792" customFormat="false" ht="15" hidden="false" customHeight="false" outlineLevel="0" collapsed="false">
      <c r="A792" s="33" t="str">
        <f aca="false">IF($G792="","","Finance Group")</f>
        <v/>
      </c>
      <c r="B792" s="19"/>
      <c r="C792" s="19"/>
      <c r="D792" s="19"/>
      <c r="E792" s="19"/>
      <c r="F792" s="19"/>
      <c r="G792" s="19"/>
      <c r="H792" s="19"/>
      <c r="I792" s="19"/>
      <c r="J792" s="19"/>
      <c r="K792" s="19"/>
      <c r="L792" s="19"/>
      <c r="M792" s="19"/>
      <c r="N792" s="19"/>
      <c r="O792" s="19"/>
      <c r="P792" s="19"/>
      <c r="Q792" s="19"/>
      <c r="R792" s="19"/>
      <c r="S792" s="19"/>
      <c r="T792" s="34" t="str">
        <f aca="false">IF($R792="","",IFERROR(INDEX(DriverCategory,MATCH($R792,DriverList,0)),"BAU"))</f>
        <v/>
      </c>
      <c r="U792" s="34" t="str">
        <f aca="false">IF($R792="","",IFERROR(INDEX(DriverRank,MATCH($R792,DriverList,0)),99))</f>
        <v/>
      </c>
      <c r="V792" s="35" t="n">
        <f aca="false">IF($H792="",0,IFERROR(INDEX(LevelBasic,MATCH($H792,LevelList,0))+INDEX(LevelHousing,MATCH($H792,LevelList,0))+INDEX(LevelTransport,MATCH($H792,LevelList,0))+INDEX(LevelBasic,MATCH($H792,LevelList,0))*INDEX(LevelBonus,MATCH($H792,LevelList,0))+(INDEX(LevelBasic,MATCH($H792,LevelList,0))+INDEX(LevelHousing,MATCH($H792,LevelList,0)))*GosiSaudi,0))</f>
        <v>0</v>
      </c>
      <c r="W792" s="35" t="n">
        <f aca="false">IFERROR(INDEX(LevelOneOff,MATCH($H792,LevelList,0)),0)</f>
        <v>0</v>
      </c>
      <c r="X792" s="35" t="str">
        <f aca="false">IF($G792="","",$V792*N($L792))</f>
        <v/>
      </c>
      <c r="Y792" s="35" t="str">
        <f aca="false">IF($G792="","",$V792*(N($M792)*1+N($N792)*0.75+N($O792)*0.5+N($P792)*0.25)+$W792*N($L792))</f>
        <v/>
      </c>
      <c r="Z792" s="35" t="str">
        <f aca="false">IF($G792="","",$U792*1000000+ROW())</f>
        <v/>
      </c>
      <c r="AA792" s="36" t="str">
        <f aca="false">IF($G792="","",MID(IF($C792="",", no division","")&amp;IF($E792="",", no unit","")&amp;IF($H792="",", no career level","")&amp;IF(N($L792)&lt;=0,", no quarter split","")&amp;IF($R792="",", no driver","")&amp;IF(AND($H792&lt;&gt;"",COUNTIF(CareerLevels,$H792)=0),", a career level that is not on the ladder","")&amp;IF(AND($R792&lt;&gt;"",COUNTIF(DriverList,$R792)=0),", a driver that is not on the list","")&amp;IF(ABS(N($L792)-(N($M792)+N($N792)+N($O792)+N($P792)))&gt;0.001,", a total that does not match its quarters",""),3,300))</f>
        <v/>
      </c>
    </row>
    <row r="793" customFormat="false" ht="15" hidden="false" customHeight="false" outlineLevel="0" collapsed="false">
      <c r="A793" s="33" t="str">
        <f aca="false">IF($G793="","","Finance Group")</f>
        <v/>
      </c>
      <c r="B793" s="19"/>
      <c r="C793" s="19"/>
      <c r="D793" s="19"/>
      <c r="E793" s="19"/>
      <c r="F793" s="19"/>
      <c r="G793" s="19"/>
      <c r="H793" s="19"/>
      <c r="I793" s="19"/>
      <c r="J793" s="19"/>
      <c r="K793" s="19"/>
      <c r="L793" s="19"/>
      <c r="M793" s="19"/>
      <c r="N793" s="19"/>
      <c r="O793" s="19"/>
      <c r="P793" s="19"/>
      <c r="Q793" s="19"/>
      <c r="R793" s="19"/>
      <c r="S793" s="19"/>
      <c r="T793" s="34" t="str">
        <f aca="false">IF($R793="","",IFERROR(INDEX(DriverCategory,MATCH($R793,DriverList,0)),"BAU"))</f>
        <v/>
      </c>
      <c r="U793" s="34" t="str">
        <f aca="false">IF($R793="","",IFERROR(INDEX(DriverRank,MATCH($R793,DriverList,0)),99))</f>
        <v/>
      </c>
      <c r="V793" s="35" t="n">
        <f aca="false">IF($H793="",0,IFERROR(INDEX(LevelBasic,MATCH($H793,LevelList,0))+INDEX(LevelHousing,MATCH($H793,LevelList,0))+INDEX(LevelTransport,MATCH($H793,LevelList,0))+INDEX(LevelBasic,MATCH($H793,LevelList,0))*INDEX(LevelBonus,MATCH($H793,LevelList,0))+(INDEX(LevelBasic,MATCH($H793,LevelList,0))+INDEX(LevelHousing,MATCH($H793,LevelList,0)))*GosiSaudi,0))</f>
        <v>0</v>
      </c>
      <c r="W793" s="35" t="n">
        <f aca="false">IFERROR(INDEX(LevelOneOff,MATCH($H793,LevelList,0)),0)</f>
        <v>0</v>
      </c>
      <c r="X793" s="35" t="str">
        <f aca="false">IF($G793="","",$V793*N($L793))</f>
        <v/>
      </c>
      <c r="Y793" s="35" t="str">
        <f aca="false">IF($G793="","",$V793*(N($M793)*1+N($N793)*0.75+N($O793)*0.5+N($P793)*0.25)+$W793*N($L793))</f>
        <v/>
      </c>
      <c r="Z793" s="35" t="str">
        <f aca="false">IF($G793="","",$U793*1000000+ROW())</f>
        <v/>
      </c>
      <c r="AA793" s="36" t="str">
        <f aca="false">IF($G793="","",MID(IF($C793="",", no division","")&amp;IF($E793="",", no unit","")&amp;IF($H793="",", no career level","")&amp;IF(N($L793)&lt;=0,", no quarter split","")&amp;IF($R793="",", no driver","")&amp;IF(AND($H793&lt;&gt;"",COUNTIF(CareerLevels,$H793)=0),", a career level that is not on the ladder","")&amp;IF(AND($R793&lt;&gt;"",COUNTIF(DriverList,$R793)=0),", a driver that is not on the list","")&amp;IF(ABS(N($L793)-(N($M793)+N($N793)+N($O793)+N($P793)))&gt;0.001,", a total that does not match its quarters",""),3,300))</f>
        <v/>
      </c>
    </row>
    <row r="794" customFormat="false" ht="15" hidden="false" customHeight="false" outlineLevel="0" collapsed="false">
      <c r="A794" s="33" t="str">
        <f aca="false">IF($G794="","","Finance Group")</f>
        <v/>
      </c>
      <c r="B794" s="19"/>
      <c r="C794" s="19"/>
      <c r="D794" s="19"/>
      <c r="E794" s="19"/>
      <c r="F794" s="19"/>
      <c r="G794" s="19"/>
      <c r="H794" s="19"/>
      <c r="I794" s="19"/>
      <c r="J794" s="19"/>
      <c r="K794" s="19"/>
      <c r="L794" s="19"/>
      <c r="M794" s="19"/>
      <c r="N794" s="19"/>
      <c r="O794" s="19"/>
      <c r="P794" s="19"/>
      <c r="Q794" s="19"/>
      <c r="R794" s="19"/>
      <c r="S794" s="19"/>
      <c r="T794" s="34" t="str">
        <f aca="false">IF($R794="","",IFERROR(INDEX(DriverCategory,MATCH($R794,DriverList,0)),"BAU"))</f>
        <v/>
      </c>
      <c r="U794" s="34" t="str">
        <f aca="false">IF($R794="","",IFERROR(INDEX(DriverRank,MATCH($R794,DriverList,0)),99))</f>
        <v/>
      </c>
      <c r="V794" s="35" t="n">
        <f aca="false">IF($H794="",0,IFERROR(INDEX(LevelBasic,MATCH($H794,LevelList,0))+INDEX(LevelHousing,MATCH($H794,LevelList,0))+INDEX(LevelTransport,MATCH($H794,LevelList,0))+INDEX(LevelBasic,MATCH($H794,LevelList,0))*INDEX(LevelBonus,MATCH($H794,LevelList,0))+(INDEX(LevelBasic,MATCH($H794,LevelList,0))+INDEX(LevelHousing,MATCH($H794,LevelList,0)))*GosiSaudi,0))</f>
        <v>0</v>
      </c>
      <c r="W794" s="35" t="n">
        <f aca="false">IFERROR(INDEX(LevelOneOff,MATCH($H794,LevelList,0)),0)</f>
        <v>0</v>
      </c>
      <c r="X794" s="35" t="str">
        <f aca="false">IF($G794="","",$V794*N($L794))</f>
        <v/>
      </c>
      <c r="Y794" s="35" t="str">
        <f aca="false">IF($G794="","",$V794*(N($M794)*1+N($N794)*0.75+N($O794)*0.5+N($P794)*0.25)+$W794*N($L794))</f>
        <v/>
      </c>
      <c r="Z794" s="35" t="str">
        <f aca="false">IF($G794="","",$U794*1000000+ROW())</f>
        <v/>
      </c>
      <c r="AA794" s="36" t="str">
        <f aca="false">IF($G794="","",MID(IF($C794="",", no division","")&amp;IF($E794="",", no unit","")&amp;IF($H794="",", no career level","")&amp;IF(N($L794)&lt;=0,", no quarter split","")&amp;IF($R794="",", no driver","")&amp;IF(AND($H794&lt;&gt;"",COUNTIF(CareerLevels,$H794)=0),", a career level that is not on the ladder","")&amp;IF(AND($R794&lt;&gt;"",COUNTIF(DriverList,$R794)=0),", a driver that is not on the list","")&amp;IF(ABS(N($L794)-(N($M794)+N($N794)+N($O794)+N($P794)))&gt;0.001,", a total that does not match its quarters",""),3,300))</f>
        <v/>
      </c>
    </row>
    <row r="795" customFormat="false" ht="15" hidden="false" customHeight="false" outlineLevel="0" collapsed="false">
      <c r="A795" s="33" t="str">
        <f aca="false">IF($G795="","","Finance Group")</f>
        <v/>
      </c>
      <c r="B795" s="19"/>
      <c r="C795" s="19"/>
      <c r="D795" s="19"/>
      <c r="E795" s="19"/>
      <c r="F795" s="19"/>
      <c r="G795" s="19"/>
      <c r="H795" s="19"/>
      <c r="I795" s="19"/>
      <c r="J795" s="19"/>
      <c r="K795" s="19"/>
      <c r="L795" s="19"/>
      <c r="M795" s="19"/>
      <c r="N795" s="19"/>
      <c r="O795" s="19"/>
      <c r="P795" s="19"/>
      <c r="Q795" s="19"/>
      <c r="R795" s="19"/>
      <c r="S795" s="19"/>
      <c r="T795" s="34" t="str">
        <f aca="false">IF($R795="","",IFERROR(INDEX(DriverCategory,MATCH($R795,DriverList,0)),"BAU"))</f>
        <v/>
      </c>
      <c r="U795" s="34" t="str">
        <f aca="false">IF($R795="","",IFERROR(INDEX(DriverRank,MATCH($R795,DriverList,0)),99))</f>
        <v/>
      </c>
      <c r="V795" s="35" t="n">
        <f aca="false">IF($H795="",0,IFERROR(INDEX(LevelBasic,MATCH($H795,LevelList,0))+INDEX(LevelHousing,MATCH($H795,LevelList,0))+INDEX(LevelTransport,MATCH($H795,LevelList,0))+INDEX(LevelBasic,MATCH($H795,LevelList,0))*INDEX(LevelBonus,MATCH($H795,LevelList,0))+(INDEX(LevelBasic,MATCH($H795,LevelList,0))+INDEX(LevelHousing,MATCH($H795,LevelList,0)))*GosiSaudi,0))</f>
        <v>0</v>
      </c>
      <c r="W795" s="35" t="n">
        <f aca="false">IFERROR(INDEX(LevelOneOff,MATCH($H795,LevelList,0)),0)</f>
        <v>0</v>
      </c>
      <c r="X795" s="35" t="str">
        <f aca="false">IF($G795="","",$V795*N($L795))</f>
        <v/>
      </c>
      <c r="Y795" s="35" t="str">
        <f aca="false">IF($G795="","",$V795*(N($M795)*1+N($N795)*0.75+N($O795)*0.5+N($P795)*0.25)+$W795*N($L795))</f>
        <v/>
      </c>
      <c r="Z795" s="35" t="str">
        <f aca="false">IF($G795="","",$U795*1000000+ROW())</f>
        <v/>
      </c>
      <c r="AA795" s="36" t="str">
        <f aca="false">IF($G795="","",MID(IF($C795="",", no division","")&amp;IF($E795="",", no unit","")&amp;IF($H795="",", no career level","")&amp;IF(N($L795)&lt;=0,", no quarter split","")&amp;IF($R795="",", no driver","")&amp;IF(AND($H795&lt;&gt;"",COUNTIF(CareerLevels,$H795)=0),", a career level that is not on the ladder","")&amp;IF(AND($R795&lt;&gt;"",COUNTIF(DriverList,$R795)=0),", a driver that is not on the list","")&amp;IF(ABS(N($L795)-(N($M795)+N($N795)+N($O795)+N($P795)))&gt;0.001,", a total that does not match its quarters",""),3,300))</f>
        <v/>
      </c>
    </row>
    <row r="796" customFormat="false" ht="15" hidden="false" customHeight="false" outlineLevel="0" collapsed="false">
      <c r="A796" s="33" t="str">
        <f aca="false">IF($G796="","","Finance Group")</f>
        <v/>
      </c>
      <c r="B796" s="19"/>
      <c r="C796" s="19"/>
      <c r="D796" s="19"/>
      <c r="E796" s="19"/>
      <c r="F796" s="19"/>
      <c r="G796" s="19"/>
      <c r="H796" s="19"/>
      <c r="I796" s="19"/>
      <c r="J796" s="19"/>
      <c r="K796" s="19"/>
      <c r="L796" s="19"/>
      <c r="M796" s="19"/>
      <c r="N796" s="19"/>
      <c r="O796" s="19"/>
      <c r="P796" s="19"/>
      <c r="Q796" s="19"/>
      <c r="R796" s="19"/>
      <c r="S796" s="19"/>
      <c r="T796" s="34" t="str">
        <f aca="false">IF($R796="","",IFERROR(INDEX(DriverCategory,MATCH($R796,DriverList,0)),"BAU"))</f>
        <v/>
      </c>
      <c r="U796" s="34" t="str">
        <f aca="false">IF($R796="","",IFERROR(INDEX(DriverRank,MATCH($R796,DriverList,0)),99))</f>
        <v/>
      </c>
      <c r="V796" s="35" t="n">
        <f aca="false">IF($H796="",0,IFERROR(INDEX(LevelBasic,MATCH($H796,LevelList,0))+INDEX(LevelHousing,MATCH($H796,LevelList,0))+INDEX(LevelTransport,MATCH($H796,LevelList,0))+INDEX(LevelBasic,MATCH($H796,LevelList,0))*INDEX(LevelBonus,MATCH($H796,LevelList,0))+(INDEX(LevelBasic,MATCH($H796,LevelList,0))+INDEX(LevelHousing,MATCH($H796,LevelList,0)))*GosiSaudi,0))</f>
        <v>0</v>
      </c>
      <c r="W796" s="35" t="n">
        <f aca="false">IFERROR(INDEX(LevelOneOff,MATCH($H796,LevelList,0)),0)</f>
        <v>0</v>
      </c>
      <c r="X796" s="35" t="str">
        <f aca="false">IF($G796="","",$V796*N($L796))</f>
        <v/>
      </c>
      <c r="Y796" s="35" t="str">
        <f aca="false">IF($G796="","",$V796*(N($M796)*1+N($N796)*0.75+N($O796)*0.5+N($P796)*0.25)+$W796*N($L796))</f>
        <v/>
      </c>
      <c r="Z796" s="35" t="str">
        <f aca="false">IF($G796="","",$U796*1000000+ROW())</f>
        <v/>
      </c>
      <c r="AA796" s="36" t="str">
        <f aca="false">IF($G796="","",MID(IF($C796="",", no division","")&amp;IF($E796="",", no unit","")&amp;IF($H796="",", no career level","")&amp;IF(N($L796)&lt;=0,", no quarter split","")&amp;IF($R796="",", no driver","")&amp;IF(AND($H796&lt;&gt;"",COUNTIF(CareerLevels,$H796)=0),", a career level that is not on the ladder","")&amp;IF(AND($R796&lt;&gt;"",COUNTIF(DriverList,$R796)=0),", a driver that is not on the list","")&amp;IF(ABS(N($L796)-(N($M796)+N($N796)+N($O796)+N($P796)))&gt;0.001,", a total that does not match its quarters",""),3,300))</f>
        <v/>
      </c>
    </row>
    <row r="797" customFormat="false" ht="15" hidden="false" customHeight="false" outlineLevel="0" collapsed="false">
      <c r="A797" s="33" t="str">
        <f aca="false">IF($G797="","","Finance Group")</f>
        <v/>
      </c>
      <c r="B797" s="19"/>
      <c r="C797" s="19"/>
      <c r="D797" s="19"/>
      <c r="E797" s="19"/>
      <c r="F797" s="19"/>
      <c r="G797" s="19"/>
      <c r="H797" s="19"/>
      <c r="I797" s="19"/>
      <c r="J797" s="19"/>
      <c r="K797" s="19"/>
      <c r="L797" s="19"/>
      <c r="M797" s="19"/>
      <c r="N797" s="19"/>
      <c r="O797" s="19"/>
      <c r="P797" s="19"/>
      <c r="Q797" s="19"/>
      <c r="R797" s="19"/>
      <c r="S797" s="19"/>
      <c r="T797" s="34" t="str">
        <f aca="false">IF($R797="","",IFERROR(INDEX(DriverCategory,MATCH($R797,DriverList,0)),"BAU"))</f>
        <v/>
      </c>
      <c r="U797" s="34" t="str">
        <f aca="false">IF($R797="","",IFERROR(INDEX(DriverRank,MATCH($R797,DriverList,0)),99))</f>
        <v/>
      </c>
      <c r="V797" s="35" t="n">
        <f aca="false">IF($H797="",0,IFERROR(INDEX(LevelBasic,MATCH($H797,LevelList,0))+INDEX(LevelHousing,MATCH($H797,LevelList,0))+INDEX(LevelTransport,MATCH($H797,LevelList,0))+INDEX(LevelBasic,MATCH($H797,LevelList,0))*INDEX(LevelBonus,MATCH($H797,LevelList,0))+(INDEX(LevelBasic,MATCH($H797,LevelList,0))+INDEX(LevelHousing,MATCH($H797,LevelList,0)))*GosiSaudi,0))</f>
        <v>0</v>
      </c>
      <c r="W797" s="35" t="n">
        <f aca="false">IFERROR(INDEX(LevelOneOff,MATCH($H797,LevelList,0)),0)</f>
        <v>0</v>
      </c>
      <c r="X797" s="35" t="str">
        <f aca="false">IF($G797="","",$V797*N($L797))</f>
        <v/>
      </c>
      <c r="Y797" s="35" t="str">
        <f aca="false">IF($G797="","",$V797*(N($M797)*1+N($N797)*0.75+N($O797)*0.5+N($P797)*0.25)+$W797*N($L797))</f>
        <v/>
      </c>
      <c r="Z797" s="35" t="str">
        <f aca="false">IF($G797="","",$U797*1000000+ROW())</f>
        <v/>
      </c>
      <c r="AA797" s="36" t="str">
        <f aca="false">IF($G797="","",MID(IF($C797="",", no division","")&amp;IF($E797="",", no unit","")&amp;IF($H797="",", no career level","")&amp;IF(N($L797)&lt;=0,", no quarter split","")&amp;IF($R797="",", no driver","")&amp;IF(AND($H797&lt;&gt;"",COUNTIF(CareerLevels,$H797)=0),", a career level that is not on the ladder","")&amp;IF(AND($R797&lt;&gt;"",COUNTIF(DriverList,$R797)=0),", a driver that is not on the list","")&amp;IF(ABS(N($L797)-(N($M797)+N($N797)+N($O797)+N($P797)))&gt;0.001,", a total that does not match its quarters",""),3,300))</f>
        <v/>
      </c>
    </row>
    <row r="798" customFormat="false" ht="15" hidden="false" customHeight="false" outlineLevel="0" collapsed="false">
      <c r="A798" s="33" t="str">
        <f aca="false">IF($G798="","","Finance Group")</f>
        <v/>
      </c>
      <c r="B798" s="19"/>
      <c r="C798" s="19"/>
      <c r="D798" s="19"/>
      <c r="E798" s="19"/>
      <c r="F798" s="19"/>
      <c r="G798" s="19"/>
      <c r="H798" s="19"/>
      <c r="I798" s="19"/>
      <c r="J798" s="19"/>
      <c r="K798" s="19"/>
      <c r="L798" s="19"/>
      <c r="M798" s="19"/>
      <c r="N798" s="19"/>
      <c r="O798" s="19"/>
      <c r="P798" s="19"/>
      <c r="Q798" s="19"/>
      <c r="R798" s="19"/>
      <c r="S798" s="19"/>
      <c r="T798" s="34" t="str">
        <f aca="false">IF($R798="","",IFERROR(INDEX(DriverCategory,MATCH($R798,DriverList,0)),"BAU"))</f>
        <v/>
      </c>
      <c r="U798" s="34" t="str">
        <f aca="false">IF($R798="","",IFERROR(INDEX(DriverRank,MATCH($R798,DriverList,0)),99))</f>
        <v/>
      </c>
      <c r="V798" s="35" t="n">
        <f aca="false">IF($H798="",0,IFERROR(INDEX(LevelBasic,MATCH($H798,LevelList,0))+INDEX(LevelHousing,MATCH($H798,LevelList,0))+INDEX(LevelTransport,MATCH($H798,LevelList,0))+INDEX(LevelBasic,MATCH($H798,LevelList,0))*INDEX(LevelBonus,MATCH($H798,LevelList,0))+(INDEX(LevelBasic,MATCH($H798,LevelList,0))+INDEX(LevelHousing,MATCH($H798,LevelList,0)))*GosiSaudi,0))</f>
        <v>0</v>
      </c>
      <c r="W798" s="35" t="n">
        <f aca="false">IFERROR(INDEX(LevelOneOff,MATCH($H798,LevelList,0)),0)</f>
        <v>0</v>
      </c>
      <c r="X798" s="35" t="str">
        <f aca="false">IF($G798="","",$V798*N($L798))</f>
        <v/>
      </c>
      <c r="Y798" s="35" t="str">
        <f aca="false">IF($G798="","",$V798*(N($M798)*1+N($N798)*0.75+N($O798)*0.5+N($P798)*0.25)+$W798*N($L798))</f>
        <v/>
      </c>
      <c r="Z798" s="35" t="str">
        <f aca="false">IF($G798="","",$U798*1000000+ROW())</f>
        <v/>
      </c>
      <c r="AA798" s="36" t="str">
        <f aca="false">IF($G798="","",MID(IF($C798="",", no division","")&amp;IF($E798="",", no unit","")&amp;IF($H798="",", no career level","")&amp;IF(N($L798)&lt;=0,", no quarter split","")&amp;IF($R798="",", no driver","")&amp;IF(AND($H798&lt;&gt;"",COUNTIF(CareerLevels,$H798)=0),", a career level that is not on the ladder","")&amp;IF(AND($R798&lt;&gt;"",COUNTIF(DriverList,$R798)=0),", a driver that is not on the list","")&amp;IF(ABS(N($L798)-(N($M798)+N($N798)+N($O798)+N($P798)))&gt;0.001,", a total that does not match its quarters",""),3,300))</f>
        <v/>
      </c>
    </row>
    <row r="799" customFormat="false" ht="15" hidden="false" customHeight="false" outlineLevel="0" collapsed="false">
      <c r="A799" s="33" t="str">
        <f aca="false">IF($G799="","","Finance Group")</f>
        <v/>
      </c>
      <c r="B799" s="19"/>
      <c r="C799" s="19"/>
      <c r="D799" s="19"/>
      <c r="E799" s="19"/>
      <c r="F799" s="19"/>
      <c r="G799" s="19"/>
      <c r="H799" s="19"/>
      <c r="I799" s="19"/>
      <c r="J799" s="19"/>
      <c r="K799" s="19"/>
      <c r="L799" s="19"/>
      <c r="M799" s="19"/>
      <c r="N799" s="19"/>
      <c r="O799" s="19"/>
      <c r="P799" s="19"/>
      <c r="Q799" s="19"/>
      <c r="R799" s="19"/>
      <c r="S799" s="19"/>
      <c r="T799" s="34" t="str">
        <f aca="false">IF($R799="","",IFERROR(INDEX(DriverCategory,MATCH($R799,DriverList,0)),"BAU"))</f>
        <v/>
      </c>
      <c r="U799" s="34" t="str">
        <f aca="false">IF($R799="","",IFERROR(INDEX(DriverRank,MATCH($R799,DriverList,0)),99))</f>
        <v/>
      </c>
      <c r="V799" s="35" t="n">
        <f aca="false">IF($H799="",0,IFERROR(INDEX(LevelBasic,MATCH($H799,LevelList,0))+INDEX(LevelHousing,MATCH($H799,LevelList,0))+INDEX(LevelTransport,MATCH($H799,LevelList,0))+INDEX(LevelBasic,MATCH($H799,LevelList,0))*INDEX(LevelBonus,MATCH($H799,LevelList,0))+(INDEX(LevelBasic,MATCH($H799,LevelList,0))+INDEX(LevelHousing,MATCH($H799,LevelList,0)))*GosiSaudi,0))</f>
        <v>0</v>
      </c>
      <c r="W799" s="35" t="n">
        <f aca="false">IFERROR(INDEX(LevelOneOff,MATCH($H799,LevelList,0)),0)</f>
        <v>0</v>
      </c>
      <c r="X799" s="35" t="str">
        <f aca="false">IF($G799="","",$V799*N($L799))</f>
        <v/>
      </c>
      <c r="Y799" s="35" t="str">
        <f aca="false">IF($G799="","",$V799*(N($M799)*1+N($N799)*0.75+N($O799)*0.5+N($P799)*0.25)+$W799*N($L799))</f>
        <v/>
      </c>
      <c r="Z799" s="35" t="str">
        <f aca="false">IF($G799="","",$U799*1000000+ROW())</f>
        <v/>
      </c>
      <c r="AA799" s="36" t="str">
        <f aca="false">IF($G799="","",MID(IF($C799="",", no division","")&amp;IF($E799="",", no unit","")&amp;IF($H799="",", no career level","")&amp;IF(N($L799)&lt;=0,", no quarter split","")&amp;IF($R799="",", no driver","")&amp;IF(AND($H799&lt;&gt;"",COUNTIF(CareerLevels,$H799)=0),", a career level that is not on the ladder","")&amp;IF(AND($R799&lt;&gt;"",COUNTIF(DriverList,$R799)=0),", a driver that is not on the list","")&amp;IF(ABS(N($L799)-(N($M799)+N($N799)+N($O799)+N($P799)))&gt;0.001,", a total that does not match its quarters",""),3,300))</f>
        <v/>
      </c>
    </row>
    <row r="800" customFormat="false" ht="15" hidden="false" customHeight="false" outlineLevel="0" collapsed="false">
      <c r="A800" s="33" t="str">
        <f aca="false">IF($G800="","","Finance Group")</f>
        <v/>
      </c>
      <c r="B800" s="19"/>
      <c r="C800" s="19"/>
      <c r="D800" s="19"/>
      <c r="E800" s="19"/>
      <c r="F800" s="19"/>
      <c r="G800" s="19"/>
      <c r="H800" s="19"/>
      <c r="I800" s="19"/>
      <c r="J800" s="19"/>
      <c r="K800" s="19"/>
      <c r="L800" s="19"/>
      <c r="M800" s="19"/>
      <c r="N800" s="19"/>
      <c r="O800" s="19"/>
      <c r="P800" s="19"/>
      <c r="Q800" s="19"/>
      <c r="R800" s="19"/>
      <c r="S800" s="19"/>
      <c r="T800" s="34" t="str">
        <f aca="false">IF($R800="","",IFERROR(INDEX(DriverCategory,MATCH($R800,DriverList,0)),"BAU"))</f>
        <v/>
      </c>
      <c r="U800" s="34" t="str">
        <f aca="false">IF($R800="","",IFERROR(INDEX(DriverRank,MATCH($R800,DriverList,0)),99))</f>
        <v/>
      </c>
      <c r="V800" s="35" t="n">
        <f aca="false">IF($H800="",0,IFERROR(INDEX(LevelBasic,MATCH($H800,LevelList,0))+INDEX(LevelHousing,MATCH($H800,LevelList,0))+INDEX(LevelTransport,MATCH($H800,LevelList,0))+INDEX(LevelBasic,MATCH($H800,LevelList,0))*INDEX(LevelBonus,MATCH($H800,LevelList,0))+(INDEX(LevelBasic,MATCH($H800,LevelList,0))+INDEX(LevelHousing,MATCH($H800,LevelList,0)))*GosiSaudi,0))</f>
        <v>0</v>
      </c>
      <c r="W800" s="35" t="n">
        <f aca="false">IFERROR(INDEX(LevelOneOff,MATCH($H800,LevelList,0)),0)</f>
        <v>0</v>
      </c>
      <c r="X800" s="35" t="str">
        <f aca="false">IF($G800="","",$V800*N($L800))</f>
        <v/>
      </c>
      <c r="Y800" s="35" t="str">
        <f aca="false">IF($G800="","",$V800*(N($M800)*1+N($N800)*0.75+N($O800)*0.5+N($P800)*0.25)+$W800*N($L800))</f>
        <v/>
      </c>
      <c r="Z800" s="35" t="str">
        <f aca="false">IF($G800="","",$U800*1000000+ROW())</f>
        <v/>
      </c>
      <c r="AA800" s="36" t="str">
        <f aca="false">IF($G800="","",MID(IF($C800="",", no division","")&amp;IF($E800="",", no unit","")&amp;IF($H800="",", no career level","")&amp;IF(N($L800)&lt;=0,", no quarter split","")&amp;IF($R800="",", no driver","")&amp;IF(AND($H800&lt;&gt;"",COUNTIF(CareerLevels,$H800)=0),", a career level that is not on the ladder","")&amp;IF(AND($R800&lt;&gt;"",COUNTIF(DriverList,$R800)=0),", a driver that is not on the list","")&amp;IF(ABS(N($L800)-(N($M800)+N($N800)+N($O800)+N($P800)))&gt;0.001,", a total that does not match its quarters",""),3,300))</f>
        <v/>
      </c>
    </row>
    <row r="801" customFormat="false" ht="15" hidden="false" customHeight="false" outlineLevel="0" collapsed="false">
      <c r="A801" s="33" t="str">
        <f aca="false">IF($G801="","","Finance Group")</f>
        <v/>
      </c>
      <c r="B801" s="19"/>
      <c r="C801" s="19"/>
      <c r="D801" s="19"/>
      <c r="E801" s="19"/>
      <c r="F801" s="19"/>
      <c r="G801" s="19"/>
      <c r="H801" s="19"/>
      <c r="I801" s="19"/>
      <c r="J801" s="19"/>
      <c r="K801" s="19"/>
      <c r="L801" s="19"/>
      <c r="M801" s="19"/>
      <c r="N801" s="19"/>
      <c r="O801" s="19"/>
      <c r="P801" s="19"/>
      <c r="Q801" s="19"/>
      <c r="R801" s="19"/>
      <c r="S801" s="19"/>
      <c r="T801" s="34" t="str">
        <f aca="false">IF($R801="","",IFERROR(INDEX(DriverCategory,MATCH($R801,DriverList,0)),"BAU"))</f>
        <v/>
      </c>
      <c r="U801" s="34" t="str">
        <f aca="false">IF($R801="","",IFERROR(INDEX(DriverRank,MATCH($R801,DriverList,0)),99))</f>
        <v/>
      </c>
      <c r="V801" s="35" t="n">
        <f aca="false">IF($H801="",0,IFERROR(INDEX(LevelBasic,MATCH($H801,LevelList,0))+INDEX(LevelHousing,MATCH($H801,LevelList,0))+INDEX(LevelTransport,MATCH($H801,LevelList,0))+INDEX(LevelBasic,MATCH($H801,LevelList,0))*INDEX(LevelBonus,MATCH($H801,LevelList,0))+(INDEX(LevelBasic,MATCH($H801,LevelList,0))+INDEX(LevelHousing,MATCH($H801,LevelList,0)))*GosiSaudi,0))</f>
        <v>0</v>
      </c>
      <c r="W801" s="35" t="n">
        <f aca="false">IFERROR(INDEX(LevelOneOff,MATCH($H801,LevelList,0)),0)</f>
        <v>0</v>
      </c>
      <c r="X801" s="35" t="str">
        <f aca="false">IF($G801="","",$V801*N($L801))</f>
        <v/>
      </c>
      <c r="Y801" s="35" t="str">
        <f aca="false">IF($G801="","",$V801*(N($M801)*1+N($N801)*0.75+N($O801)*0.5+N($P801)*0.25)+$W801*N($L801))</f>
        <v/>
      </c>
      <c r="Z801" s="35" t="str">
        <f aca="false">IF($G801="","",$U801*1000000+ROW())</f>
        <v/>
      </c>
      <c r="AA801" s="36" t="str">
        <f aca="false">IF($G801="","",MID(IF($C801="",", no division","")&amp;IF($E801="",", no unit","")&amp;IF($H801="",", no career level","")&amp;IF(N($L801)&lt;=0,", no quarter split","")&amp;IF($R801="",", no driver","")&amp;IF(AND($H801&lt;&gt;"",COUNTIF(CareerLevels,$H801)=0),", a career level that is not on the ladder","")&amp;IF(AND($R801&lt;&gt;"",COUNTIF(DriverList,$R801)=0),", a driver that is not on the list","")&amp;IF(ABS(N($L801)-(N($M801)+N($N801)+N($O801)+N($P801)))&gt;0.001,", a total that does not match its quarters",""),3,300))</f>
        <v/>
      </c>
    </row>
    <row r="802" customFormat="false" ht="15" hidden="false" customHeight="false" outlineLevel="0" collapsed="false">
      <c r="A802" s="33" t="str">
        <f aca="false">IF($G802="","","Finance Group")</f>
        <v/>
      </c>
      <c r="B802" s="19"/>
      <c r="C802" s="19"/>
      <c r="D802" s="19"/>
      <c r="E802" s="19"/>
      <c r="F802" s="19"/>
      <c r="G802" s="19"/>
      <c r="H802" s="19"/>
      <c r="I802" s="19"/>
      <c r="J802" s="19"/>
      <c r="K802" s="19"/>
      <c r="L802" s="19"/>
      <c r="M802" s="19"/>
      <c r="N802" s="19"/>
      <c r="O802" s="19"/>
      <c r="P802" s="19"/>
      <c r="Q802" s="19"/>
      <c r="R802" s="19"/>
      <c r="S802" s="19"/>
      <c r="T802" s="34" t="str">
        <f aca="false">IF($R802="","",IFERROR(INDEX(DriverCategory,MATCH($R802,DriverList,0)),"BAU"))</f>
        <v/>
      </c>
      <c r="U802" s="34" t="str">
        <f aca="false">IF($R802="","",IFERROR(INDEX(DriverRank,MATCH($R802,DriverList,0)),99))</f>
        <v/>
      </c>
      <c r="V802" s="35" t="n">
        <f aca="false">IF($H802="",0,IFERROR(INDEX(LevelBasic,MATCH($H802,LevelList,0))+INDEX(LevelHousing,MATCH($H802,LevelList,0))+INDEX(LevelTransport,MATCH($H802,LevelList,0))+INDEX(LevelBasic,MATCH($H802,LevelList,0))*INDEX(LevelBonus,MATCH($H802,LevelList,0))+(INDEX(LevelBasic,MATCH($H802,LevelList,0))+INDEX(LevelHousing,MATCH($H802,LevelList,0)))*GosiSaudi,0))</f>
        <v>0</v>
      </c>
      <c r="W802" s="35" t="n">
        <f aca="false">IFERROR(INDEX(LevelOneOff,MATCH($H802,LevelList,0)),0)</f>
        <v>0</v>
      </c>
      <c r="X802" s="35" t="str">
        <f aca="false">IF($G802="","",$V802*N($L802))</f>
        <v/>
      </c>
      <c r="Y802" s="35" t="str">
        <f aca="false">IF($G802="","",$V802*(N($M802)*1+N($N802)*0.75+N($O802)*0.5+N($P802)*0.25)+$W802*N($L802))</f>
        <v/>
      </c>
      <c r="Z802" s="35" t="str">
        <f aca="false">IF($G802="","",$U802*1000000+ROW())</f>
        <v/>
      </c>
      <c r="AA802" s="36" t="str">
        <f aca="false">IF($G802="","",MID(IF($C802="",", no division","")&amp;IF($E802="",", no unit","")&amp;IF($H802="",", no career level","")&amp;IF(N($L802)&lt;=0,", no quarter split","")&amp;IF($R802="",", no driver","")&amp;IF(AND($H802&lt;&gt;"",COUNTIF(CareerLevels,$H802)=0),", a career level that is not on the ladder","")&amp;IF(AND($R802&lt;&gt;"",COUNTIF(DriverList,$R802)=0),", a driver that is not on the list","")&amp;IF(ABS(N($L802)-(N($M802)+N($N802)+N($O802)+N($P802)))&gt;0.001,", a total that does not match its quarters",""),3,300))</f>
        <v/>
      </c>
    </row>
    <row r="803" customFormat="false" ht="15" hidden="false" customHeight="false" outlineLevel="0" collapsed="false">
      <c r="A803" s="33" t="str">
        <f aca="false">IF($G803="","","Finance Group")</f>
        <v/>
      </c>
      <c r="B803" s="19"/>
      <c r="C803" s="19"/>
      <c r="D803" s="19"/>
      <c r="E803" s="19"/>
      <c r="F803" s="19"/>
      <c r="G803" s="19"/>
      <c r="H803" s="19"/>
      <c r="I803" s="19"/>
      <c r="J803" s="19"/>
      <c r="K803" s="19"/>
      <c r="L803" s="19"/>
      <c r="M803" s="19"/>
      <c r="N803" s="19"/>
      <c r="O803" s="19"/>
      <c r="P803" s="19"/>
      <c r="Q803" s="19"/>
      <c r="R803" s="19"/>
      <c r="S803" s="19"/>
      <c r="T803" s="34" t="str">
        <f aca="false">IF($R803="","",IFERROR(INDEX(DriverCategory,MATCH($R803,DriverList,0)),"BAU"))</f>
        <v/>
      </c>
      <c r="U803" s="34" t="str">
        <f aca="false">IF($R803="","",IFERROR(INDEX(DriverRank,MATCH($R803,DriverList,0)),99))</f>
        <v/>
      </c>
      <c r="V803" s="35" t="n">
        <f aca="false">IF($H803="",0,IFERROR(INDEX(LevelBasic,MATCH($H803,LevelList,0))+INDEX(LevelHousing,MATCH($H803,LevelList,0))+INDEX(LevelTransport,MATCH($H803,LevelList,0))+INDEX(LevelBasic,MATCH($H803,LevelList,0))*INDEX(LevelBonus,MATCH($H803,LevelList,0))+(INDEX(LevelBasic,MATCH($H803,LevelList,0))+INDEX(LevelHousing,MATCH($H803,LevelList,0)))*GosiSaudi,0))</f>
        <v>0</v>
      </c>
      <c r="W803" s="35" t="n">
        <f aca="false">IFERROR(INDEX(LevelOneOff,MATCH($H803,LevelList,0)),0)</f>
        <v>0</v>
      </c>
      <c r="X803" s="35" t="str">
        <f aca="false">IF($G803="","",$V803*N($L803))</f>
        <v/>
      </c>
      <c r="Y803" s="35" t="str">
        <f aca="false">IF($G803="","",$V803*(N($M803)*1+N($N803)*0.75+N($O803)*0.5+N($P803)*0.25)+$W803*N($L803))</f>
        <v/>
      </c>
      <c r="Z803" s="35" t="str">
        <f aca="false">IF($G803="","",$U803*1000000+ROW())</f>
        <v/>
      </c>
      <c r="AA803" s="36" t="str">
        <f aca="false">IF($G803="","",MID(IF($C803="",", no division","")&amp;IF($E803="",", no unit","")&amp;IF($H803="",", no career level","")&amp;IF(N($L803)&lt;=0,", no quarter split","")&amp;IF($R803="",", no driver","")&amp;IF(AND($H803&lt;&gt;"",COUNTIF(CareerLevels,$H803)=0),", a career level that is not on the ladder","")&amp;IF(AND($R803&lt;&gt;"",COUNTIF(DriverList,$R803)=0),", a driver that is not on the list","")&amp;IF(ABS(N($L803)-(N($M803)+N($N803)+N($O803)+N($P803)))&gt;0.001,", a total that does not match its quarters",""),3,300))</f>
        <v/>
      </c>
    </row>
    <row r="804" customFormat="false" ht="15" hidden="false" customHeight="false" outlineLevel="0" collapsed="false">
      <c r="A804" s="33" t="str">
        <f aca="false">IF($G804="","","Finance Group")</f>
        <v/>
      </c>
      <c r="B804" s="19"/>
      <c r="C804" s="19"/>
      <c r="D804" s="19"/>
      <c r="E804" s="19"/>
      <c r="F804" s="19"/>
      <c r="G804" s="19"/>
      <c r="H804" s="19"/>
      <c r="I804" s="19"/>
      <c r="J804" s="19"/>
      <c r="K804" s="19"/>
      <c r="L804" s="19"/>
      <c r="M804" s="19"/>
      <c r="N804" s="19"/>
      <c r="O804" s="19"/>
      <c r="P804" s="19"/>
      <c r="Q804" s="19"/>
      <c r="R804" s="19"/>
      <c r="S804" s="19"/>
      <c r="T804" s="34" t="str">
        <f aca="false">IF($R804="","",IFERROR(INDEX(DriverCategory,MATCH($R804,DriverList,0)),"BAU"))</f>
        <v/>
      </c>
      <c r="U804" s="34" t="str">
        <f aca="false">IF($R804="","",IFERROR(INDEX(DriverRank,MATCH($R804,DriverList,0)),99))</f>
        <v/>
      </c>
      <c r="V804" s="35" t="n">
        <f aca="false">IF($H804="",0,IFERROR(INDEX(LevelBasic,MATCH($H804,LevelList,0))+INDEX(LevelHousing,MATCH($H804,LevelList,0))+INDEX(LevelTransport,MATCH($H804,LevelList,0))+INDEX(LevelBasic,MATCH($H804,LevelList,0))*INDEX(LevelBonus,MATCH($H804,LevelList,0))+(INDEX(LevelBasic,MATCH($H804,LevelList,0))+INDEX(LevelHousing,MATCH($H804,LevelList,0)))*GosiSaudi,0))</f>
        <v>0</v>
      </c>
      <c r="W804" s="35" t="n">
        <f aca="false">IFERROR(INDEX(LevelOneOff,MATCH($H804,LevelList,0)),0)</f>
        <v>0</v>
      </c>
      <c r="X804" s="35" t="str">
        <f aca="false">IF($G804="","",$V804*N($L804))</f>
        <v/>
      </c>
      <c r="Y804" s="35" t="str">
        <f aca="false">IF($G804="","",$V804*(N($M804)*1+N($N804)*0.75+N($O804)*0.5+N($P804)*0.25)+$W804*N($L804))</f>
        <v/>
      </c>
      <c r="Z804" s="35" t="str">
        <f aca="false">IF($G804="","",$U804*1000000+ROW())</f>
        <v/>
      </c>
      <c r="AA804" s="36" t="str">
        <f aca="false">IF($G804="","",MID(IF($C804="",", no division","")&amp;IF($E804="",", no unit","")&amp;IF($H804="",", no career level","")&amp;IF(N($L804)&lt;=0,", no quarter split","")&amp;IF($R804="",", no driver","")&amp;IF(AND($H804&lt;&gt;"",COUNTIF(CareerLevels,$H804)=0),", a career level that is not on the ladder","")&amp;IF(AND($R804&lt;&gt;"",COUNTIF(DriverList,$R804)=0),", a driver that is not on the list","")&amp;IF(ABS(N($L804)-(N($M804)+N($N804)+N($O804)+N($P804)))&gt;0.001,", a total that does not match its quarters",""),3,300))</f>
        <v/>
      </c>
    </row>
    <row r="805" customFormat="false" ht="15" hidden="false" customHeight="false" outlineLevel="0" collapsed="false">
      <c r="A805" s="33" t="str">
        <f aca="false">IF($G805="","","Finance Group")</f>
        <v/>
      </c>
      <c r="B805" s="19"/>
      <c r="C805" s="19"/>
      <c r="D805" s="19"/>
      <c r="E805" s="19"/>
      <c r="F805" s="19"/>
      <c r="G805" s="19"/>
      <c r="H805" s="19"/>
      <c r="I805" s="19"/>
      <c r="J805" s="19"/>
      <c r="K805" s="19"/>
      <c r="L805" s="19"/>
      <c r="M805" s="19"/>
      <c r="N805" s="19"/>
      <c r="O805" s="19"/>
      <c r="P805" s="19"/>
      <c r="Q805" s="19"/>
      <c r="R805" s="19"/>
      <c r="S805" s="19"/>
      <c r="T805" s="34" t="str">
        <f aca="false">IF($R805="","",IFERROR(INDEX(DriverCategory,MATCH($R805,DriverList,0)),"BAU"))</f>
        <v/>
      </c>
      <c r="U805" s="34" t="str">
        <f aca="false">IF($R805="","",IFERROR(INDEX(DriverRank,MATCH($R805,DriverList,0)),99))</f>
        <v/>
      </c>
      <c r="V805" s="35" t="n">
        <f aca="false">IF($H805="",0,IFERROR(INDEX(LevelBasic,MATCH($H805,LevelList,0))+INDEX(LevelHousing,MATCH($H805,LevelList,0))+INDEX(LevelTransport,MATCH($H805,LevelList,0))+INDEX(LevelBasic,MATCH($H805,LevelList,0))*INDEX(LevelBonus,MATCH($H805,LevelList,0))+(INDEX(LevelBasic,MATCH($H805,LevelList,0))+INDEX(LevelHousing,MATCH($H805,LevelList,0)))*GosiSaudi,0))</f>
        <v>0</v>
      </c>
      <c r="W805" s="35" t="n">
        <f aca="false">IFERROR(INDEX(LevelOneOff,MATCH($H805,LevelList,0)),0)</f>
        <v>0</v>
      </c>
      <c r="X805" s="35" t="str">
        <f aca="false">IF($G805="","",$V805*N($L805))</f>
        <v/>
      </c>
      <c r="Y805" s="35" t="str">
        <f aca="false">IF($G805="","",$V805*(N($M805)*1+N($N805)*0.75+N($O805)*0.5+N($P805)*0.25)+$W805*N($L805))</f>
        <v/>
      </c>
      <c r="Z805" s="35" t="str">
        <f aca="false">IF($G805="","",$U805*1000000+ROW())</f>
        <v/>
      </c>
      <c r="AA805" s="36" t="str">
        <f aca="false">IF($G805="","",MID(IF($C805="",", no division","")&amp;IF($E805="",", no unit","")&amp;IF($H805="",", no career level","")&amp;IF(N($L805)&lt;=0,", no quarter split","")&amp;IF($R805="",", no driver","")&amp;IF(AND($H805&lt;&gt;"",COUNTIF(CareerLevels,$H805)=0),", a career level that is not on the ladder","")&amp;IF(AND($R805&lt;&gt;"",COUNTIF(DriverList,$R805)=0),", a driver that is not on the list","")&amp;IF(ABS(N($L805)-(N($M805)+N($N805)+N($O805)+N($P805)))&gt;0.001,", a total that does not match its quarters",""),3,300))</f>
        <v/>
      </c>
    </row>
    <row r="806" customFormat="false" ht="15" hidden="false" customHeight="false" outlineLevel="0" collapsed="false">
      <c r="A806" s="28" t="str">
        <f aca="false">IF($G806="","","Human Resources Group")</f>
        <v/>
      </c>
      <c r="B806" s="29"/>
      <c r="C806" s="29"/>
      <c r="D806" s="29"/>
      <c r="E806" s="29"/>
      <c r="F806" s="29"/>
      <c r="G806" s="29"/>
      <c r="H806" s="29"/>
      <c r="I806" s="29"/>
      <c r="J806" s="29"/>
      <c r="K806" s="29"/>
      <c r="L806" s="29"/>
      <c r="M806" s="29"/>
      <c r="N806" s="29"/>
      <c r="O806" s="29"/>
      <c r="P806" s="29"/>
      <c r="Q806" s="29"/>
      <c r="R806" s="29"/>
      <c r="S806" s="29"/>
      <c r="T806" s="30" t="str">
        <f aca="false">IF($R806="","",IFERROR(INDEX(DriverCategory,MATCH($R806,DriverList,0)),"BAU"))</f>
        <v/>
      </c>
      <c r="U806" s="30" t="str">
        <f aca="false">IF($R806="","",IFERROR(INDEX(DriverRank,MATCH($R806,DriverList,0)),99))</f>
        <v/>
      </c>
      <c r="V806" s="31" t="n">
        <f aca="false">IF($H806="",0,IFERROR(INDEX(LevelBasic,MATCH($H806,LevelList,0))+INDEX(LevelHousing,MATCH($H806,LevelList,0))+INDEX(LevelTransport,MATCH($H806,LevelList,0))+INDEX(LevelBasic,MATCH($H806,LevelList,0))*INDEX(LevelBonus,MATCH($H806,LevelList,0))+(INDEX(LevelBasic,MATCH($H806,LevelList,0))+INDEX(LevelHousing,MATCH($H806,LevelList,0)))*GosiSaudi,0))</f>
        <v>0</v>
      </c>
      <c r="W806" s="31" t="n">
        <f aca="false">IFERROR(INDEX(LevelOneOff,MATCH($H806,LevelList,0)),0)</f>
        <v>0</v>
      </c>
      <c r="X806" s="31" t="str">
        <f aca="false">IF($G806="","",$V806*N($L806))</f>
        <v/>
      </c>
      <c r="Y806" s="31" t="str">
        <f aca="false">IF($G806="","",$V806*(N($M806)*1+N($N806)*0.75+N($O806)*0.5+N($P806)*0.25)+$W806*N($L806))</f>
        <v/>
      </c>
      <c r="Z806" s="31" t="str">
        <f aca="false">IF($G806="","",$U806*1000000+ROW())</f>
        <v/>
      </c>
      <c r="AA806" s="32" t="str">
        <f aca="false">IF($G806="","",MID(IF($C806="",", no division","")&amp;IF($E806="",", no unit","")&amp;IF($H806="",", no career level","")&amp;IF(N($L806)&lt;=0,", no quarter split","")&amp;IF($R806="",", no driver","")&amp;IF(AND($H806&lt;&gt;"",COUNTIF(CareerLevels,$H806)=0),", a career level that is not on the ladder","")&amp;IF(AND($R806&lt;&gt;"",COUNTIF(DriverList,$R806)=0),", a driver that is not on the list","")&amp;IF(ABS(N($L806)-(N($M806)+N($N806)+N($O806)+N($P806)))&gt;0.001,", a total that does not match its quarters",""),3,300))</f>
        <v/>
      </c>
    </row>
    <row r="807" customFormat="false" ht="15" hidden="false" customHeight="false" outlineLevel="0" collapsed="false">
      <c r="A807" s="33" t="str">
        <f aca="false">IF($G807="","","Human Resources Group")</f>
        <v/>
      </c>
      <c r="B807" s="19"/>
      <c r="C807" s="19"/>
      <c r="D807" s="19"/>
      <c r="E807" s="19"/>
      <c r="F807" s="19"/>
      <c r="G807" s="19"/>
      <c r="H807" s="19"/>
      <c r="I807" s="19"/>
      <c r="J807" s="19"/>
      <c r="K807" s="19"/>
      <c r="L807" s="19"/>
      <c r="M807" s="19"/>
      <c r="N807" s="19"/>
      <c r="O807" s="19"/>
      <c r="P807" s="19"/>
      <c r="Q807" s="19"/>
      <c r="R807" s="19"/>
      <c r="S807" s="19"/>
      <c r="T807" s="34" t="str">
        <f aca="false">IF($R807="","",IFERROR(INDEX(DriverCategory,MATCH($R807,DriverList,0)),"BAU"))</f>
        <v/>
      </c>
      <c r="U807" s="34" t="str">
        <f aca="false">IF($R807="","",IFERROR(INDEX(DriverRank,MATCH($R807,DriverList,0)),99))</f>
        <v/>
      </c>
      <c r="V807" s="35" t="n">
        <f aca="false">IF($H807="",0,IFERROR(INDEX(LevelBasic,MATCH($H807,LevelList,0))+INDEX(LevelHousing,MATCH($H807,LevelList,0))+INDEX(LevelTransport,MATCH($H807,LevelList,0))+INDEX(LevelBasic,MATCH($H807,LevelList,0))*INDEX(LevelBonus,MATCH($H807,LevelList,0))+(INDEX(LevelBasic,MATCH($H807,LevelList,0))+INDEX(LevelHousing,MATCH($H807,LevelList,0)))*GosiSaudi,0))</f>
        <v>0</v>
      </c>
      <c r="W807" s="35" t="n">
        <f aca="false">IFERROR(INDEX(LevelOneOff,MATCH($H807,LevelList,0)),0)</f>
        <v>0</v>
      </c>
      <c r="X807" s="35" t="str">
        <f aca="false">IF($G807="","",$V807*N($L807))</f>
        <v/>
      </c>
      <c r="Y807" s="35" t="str">
        <f aca="false">IF($G807="","",$V807*(N($M807)*1+N($N807)*0.75+N($O807)*0.5+N($P807)*0.25)+$W807*N($L807))</f>
        <v/>
      </c>
      <c r="Z807" s="35" t="str">
        <f aca="false">IF($G807="","",$U807*1000000+ROW())</f>
        <v/>
      </c>
      <c r="AA807" s="36" t="str">
        <f aca="false">IF($G807="","",MID(IF($C807="",", no division","")&amp;IF($E807="",", no unit","")&amp;IF($H807="",", no career level","")&amp;IF(N($L807)&lt;=0,", no quarter split","")&amp;IF($R807="",", no driver","")&amp;IF(AND($H807&lt;&gt;"",COUNTIF(CareerLevels,$H807)=0),", a career level that is not on the ladder","")&amp;IF(AND($R807&lt;&gt;"",COUNTIF(DriverList,$R807)=0),", a driver that is not on the list","")&amp;IF(ABS(N($L807)-(N($M807)+N($N807)+N($O807)+N($P807)))&gt;0.001,", a total that does not match its quarters",""),3,300))</f>
        <v/>
      </c>
    </row>
    <row r="808" customFormat="false" ht="15" hidden="false" customHeight="false" outlineLevel="0" collapsed="false">
      <c r="A808" s="33" t="str">
        <f aca="false">IF($G808="","","Human Resources Group")</f>
        <v/>
      </c>
      <c r="B808" s="19"/>
      <c r="C808" s="19"/>
      <c r="D808" s="19"/>
      <c r="E808" s="19"/>
      <c r="F808" s="19"/>
      <c r="G808" s="19"/>
      <c r="H808" s="19"/>
      <c r="I808" s="19"/>
      <c r="J808" s="19"/>
      <c r="K808" s="19"/>
      <c r="L808" s="19"/>
      <c r="M808" s="19"/>
      <c r="N808" s="19"/>
      <c r="O808" s="19"/>
      <c r="P808" s="19"/>
      <c r="Q808" s="19"/>
      <c r="R808" s="19"/>
      <c r="S808" s="19"/>
      <c r="T808" s="34" t="str">
        <f aca="false">IF($R808="","",IFERROR(INDEX(DriverCategory,MATCH($R808,DriverList,0)),"BAU"))</f>
        <v/>
      </c>
      <c r="U808" s="34" t="str">
        <f aca="false">IF($R808="","",IFERROR(INDEX(DriverRank,MATCH($R808,DriverList,0)),99))</f>
        <v/>
      </c>
      <c r="V808" s="35" t="n">
        <f aca="false">IF($H808="",0,IFERROR(INDEX(LevelBasic,MATCH($H808,LevelList,0))+INDEX(LevelHousing,MATCH($H808,LevelList,0))+INDEX(LevelTransport,MATCH($H808,LevelList,0))+INDEX(LevelBasic,MATCH($H808,LevelList,0))*INDEX(LevelBonus,MATCH($H808,LevelList,0))+(INDEX(LevelBasic,MATCH($H808,LevelList,0))+INDEX(LevelHousing,MATCH($H808,LevelList,0)))*GosiSaudi,0))</f>
        <v>0</v>
      </c>
      <c r="W808" s="35" t="n">
        <f aca="false">IFERROR(INDEX(LevelOneOff,MATCH($H808,LevelList,0)),0)</f>
        <v>0</v>
      </c>
      <c r="X808" s="35" t="str">
        <f aca="false">IF($G808="","",$V808*N($L808))</f>
        <v/>
      </c>
      <c r="Y808" s="35" t="str">
        <f aca="false">IF($G808="","",$V808*(N($M808)*1+N($N808)*0.75+N($O808)*0.5+N($P808)*0.25)+$W808*N($L808))</f>
        <v/>
      </c>
      <c r="Z808" s="35" t="str">
        <f aca="false">IF($G808="","",$U808*1000000+ROW())</f>
        <v/>
      </c>
      <c r="AA808" s="36" t="str">
        <f aca="false">IF($G808="","",MID(IF($C808="",", no division","")&amp;IF($E808="",", no unit","")&amp;IF($H808="",", no career level","")&amp;IF(N($L808)&lt;=0,", no quarter split","")&amp;IF($R808="",", no driver","")&amp;IF(AND($H808&lt;&gt;"",COUNTIF(CareerLevels,$H808)=0),", a career level that is not on the ladder","")&amp;IF(AND($R808&lt;&gt;"",COUNTIF(DriverList,$R808)=0),", a driver that is not on the list","")&amp;IF(ABS(N($L808)-(N($M808)+N($N808)+N($O808)+N($P808)))&gt;0.001,", a total that does not match its quarters",""),3,300))</f>
        <v/>
      </c>
    </row>
    <row r="809" customFormat="false" ht="15" hidden="false" customHeight="false" outlineLevel="0" collapsed="false">
      <c r="A809" s="33" t="str">
        <f aca="false">IF($G809="","","Human Resources Group")</f>
        <v/>
      </c>
      <c r="B809" s="19"/>
      <c r="C809" s="19"/>
      <c r="D809" s="19"/>
      <c r="E809" s="19"/>
      <c r="F809" s="19"/>
      <c r="G809" s="19"/>
      <c r="H809" s="19"/>
      <c r="I809" s="19"/>
      <c r="J809" s="19"/>
      <c r="K809" s="19"/>
      <c r="L809" s="19"/>
      <c r="M809" s="19"/>
      <c r="N809" s="19"/>
      <c r="O809" s="19"/>
      <c r="P809" s="19"/>
      <c r="Q809" s="19"/>
      <c r="R809" s="19"/>
      <c r="S809" s="19"/>
      <c r="T809" s="34" t="str">
        <f aca="false">IF($R809="","",IFERROR(INDEX(DriverCategory,MATCH($R809,DriverList,0)),"BAU"))</f>
        <v/>
      </c>
      <c r="U809" s="34" t="str">
        <f aca="false">IF($R809="","",IFERROR(INDEX(DriverRank,MATCH($R809,DriverList,0)),99))</f>
        <v/>
      </c>
      <c r="V809" s="35" t="n">
        <f aca="false">IF($H809="",0,IFERROR(INDEX(LevelBasic,MATCH($H809,LevelList,0))+INDEX(LevelHousing,MATCH($H809,LevelList,0))+INDEX(LevelTransport,MATCH($H809,LevelList,0))+INDEX(LevelBasic,MATCH($H809,LevelList,0))*INDEX(LevelBonus,MATCH($H809,LevelList,0))+(INDEX(LevelBasic,MATCH($H809,LevelList,0))+INDEX(LevelHousing,MATCH($H809,LevelList,0)))*GosiSaudi,0))</f>
        <v>0</v>
      </c>
      <c r="W809" s="35" t="n">
        <f aca="false">IFERROR(INDEX(LevelOneOff,MATCH($H809,LevelList,0)),0)</f>
        <v>0</v>
      </c>
      <c r="X809" s="35" t="str">
        <f aca="false">IF($G809="","",$V809*N($L809))</f>
        <v/>
      </c>
      <c r="Y809" s="35" t="str">
        <f aca="false">IF($G809="","",$V809*(N($M809)*1+N($N809)*0.75+N($O809)*0.5+N($P809)*0.25)+$W809*N($L809))</f>
        <v/>
      </c>
      <c r="Z809" s="35" t="str">
        <f aca="false">IF($G809="","",$U809*1000000+ROW())</f>
        <v/>
      </c>
      <c r="AA809" s="36" t="str">
        <f aca="false">IF($G809="","",MID(IF($C809="",", no division","")&amp;IF($E809="",", no unit","")&amp;IF($H809="",", no career level","")&amp;IF(N($L809)&lt;=0,", no quarter split","")&amp;IF($R809="",", no driver","")&amp;IF(AND($H809&lt;&gt;"",COUNTIF(CareerLevels,$H809)=0),", a career level that is not on the ladder","")&amp;IF(AND($R809&lt;&gt;"",COUNTIF(DriverList,$R809)=0),", a driver that is not on the list","")&amp;IF(ABS(N($L809)-(N($M809)+N($N809)+N($O809)+N($P809)))&gt;0.001,", a total that does not match its quarters",""),3,300))</f>
        <v/>
      </c>
    </row>
    <row r="810" customFormat="false" ht="15" hidden="false" customHeight="false" outlineLevel="0" collapsed="false">
      <c r="A810" s="33" t="str">
        <f aca="false">IF($G810="","","Human Resources Group")</f>
        <v/>
      </c>
      <c r="B810" s="19"/>
      <c r="C810" s="19"/>
      <c r="D810" s="19"/>
      <c r="E810" s="19"/>
      <c r="F810" s="19"/>
      <c r="G810" s="19"/>
      <c r="H810" s="19"/>
      <c r="I810" s="19"/>
      <c r="J810" s="19"/>
      <c r="K810" s="19"/>
      <c r="L810" s="19"/>
      <c r="M810" s="19"/>
      <c r="N810" s="19"/>
      <c r="O810" s="19"/>
      <c r="P810" s="19"/>
      <c r="Q810" s="19"/>
      <c r="R810" s="19"/>
      <c r="S810" s="19"/>
      <c r="T810" s="34" t="str">
        <f aca="false">IF($R810="","",IFERROR(INDEX(DriverCategory,MATCH($R810,DriverList,0)),"BAU"))</f>
        <v/>
      </c>
      <c r="U810" s="34" t="str">
        <f aca="false">IF($R810="","",IFERROR(INDEX(DriverRank,MATCH($R810,DriverList,0)),99))</f>
        <v/>
      </c>
      <c r="V810" s="35" t="n">
        <f aca="false">IF($H810="",0,IFERROR(INDEX(LevelBasic,MATCH($H810,LevelList,0))+INDEX(LevelHousing,MATCH($H810,LevelList,0))+INDEX(LevelTransport,MATCH($H810,LevelList,0))+INDEX(LevelBasic,MATCH($H810,LevelList,0))*INDEX(LevelBonus,MATCH($H810,LevelList,0))+(INDEX(LevelBasic,MATCH($H810,LevelList,0))+INDEX(LevelHousing,MATCH($H810,LevelList,0)))*GosiSaudi,0))</f>
        <v>0</v>
      </c>
      <c r="W810" s="35" t="n">
        <f aca="false">IFERROR(INDEX(LevelOneOff,MATCH($H810,LevelList,0)),0)</f>
        <v>0</v>
      </c>
      <c r="X810" s="35" t="str">
        <f aca="false">IF($G810="","",$V810*N($L810))</f>
        <v/>
      </c>
      <c r="Y810" s="35" t="str">
        <f aca="false">IF($G810="","",$V810*(N($M810)*1+N($N810)*0.75+N($O810)*0.5+N($P810)*0.25)+$W810*N($L810))</f>
        <v/>
      </c>
      <c r="Z810" s="35" t="str">
        <f aca="false">IF($G810="","",$U810*1000000+ROW())</f>
        <v/>
      </c>
      <c r="AA810" s="36" t="str">
        <f aca="false">IF($G810="","",MID(IF($C810="",", no division","")&amp;IF($E810="",", no unit","")&amp;IF($H810="",", no career level","")&amp;IF(N($L810)&lt;=0,", no quarter split","")&amp;IF($R810="",", no driver","")&amp;IF(AND($H810&lt;&gt;"",COUNTIF(CareerLevels,$H810)=0),", a career level that is not on the ladder","")&amp;IF(AND($R810&lt;&gt;"",COUNTIF(DriverList,$R810)=0),", a driver that is not on the list","")&amp;IF(ABS(N($L810)-(N($M810)+N($N810)+N($O810)+N($P810)))&gt;0.001,", a total that does not match its quarters",""),3,300))</f>
        <v/>
      </c>
    </row>
    <row r="811" customFormat="false" ht="15" hidden="false" customHeight="false" outlineLevel="0" collapsed="false">
      <c r="A811" s="33" t="str">
        <f aca="false">IF($G811="","","Human Resources Group")</f>
        <v/>
      </c>
      <c r="B811" s="19"/>
      <c r="C811" s="19"/>
      <c r="D811" s="19"/>
      <c r="E811" s="19"/>
      <c r="F811" s="19"/>
      <c r="G811" s="19"/>
      <c r="H811" s="19"/>
      <c r="I811" s="19"/>
      <c r="J811" s="19"/>
      <c r="K811" s="19"/>
      <c r="L811" s="19"/>
      <c r="M811" s="19"/>
      <c r="N811" s="19"/>
      <c r="O811" s="19"/>
      <c r="P811" s="19"/>
      <c r="Q811" s="19"/>
      <c r="R811" s="19"/>
      <c r="S811" s="19"/>
      <c r="T811" s="34" t="str">
        <f aca="false">IF($R811="","",IFERROR(INDEX(DriverCategory,MATCH($R811,DriverList,0)),"BAU"))</f>
        <v/>
      </c>
      <c r="U811" s="34" t="str">
        <f aca="false">IF($R811="","",IFERROR(INDEX(DriverRank,MATCH($R811,DriverList,0)),99))</f>
        <v/>
      </c>
      <c r="V811" s="35" t="n">
        <f aca="false">IF($H811="",0,IFERROR(INDEX(LevelBasic,MATCH($H811,LevelList,0))+INDEX(LevelHousing,MATCH($H811,LevelList,0))+INDEX(LevelTransport,MATCH($H811,LevelList,0))+INDEX(LevelBasic,MATCH($H811,LevelList,0))*INDEX(LevelBonus,MATCH($H811,LevelList,0))+(INDEX(LevelBasic,MATCH($H811,LevelList,0))+INDEX(LevelHousing,MATCH($H811,LevelList,0)))*GosiSaudi,0))</f>
        <v>0</v>
      </c>
      <c r="W811" s="35" t="n">
        <f aca="false">IFERROR(INDEX(LevelOneOff,MATCH($H811,LevelList,0)),0)</f>
        <v>0</v>
      </c>
      <c r="X811" s="35" t="str">
        <f aca="false">IF($G811="","",$V811*N($L811))</f>
        <v/>
      </c>
      <c r="Y811" s="35" t="str">
        <f aca="false">IF($G811="","",$V811*(N($M811)*1+N($N811)*0.75+N($O811)*0.5+N($P811)*0.25)+$W811*N($L811))</f>
        <v/>
      </c>
      <c r="Z811" s="35" t="str">
        <f aca="false">IF($G811="","",$U811*1000000+ROW())</f>
        <v/>
      </c>
      <c r="AA811" s="36" t="str">
        <f aca="false">IF($G811="","",MID(IF($C811="",", no division","")&amp;IF($E811="",", no unit","")&amp;IF($H811="",", no career level","")&amp;IF(N($L811)&lt;=0,", no quarter split","")&amp;IF($R811="",", no driver","")&amp;IF(AND($H811&lt;&gt;"",COUNTIF(CareerLevels,$H811)=0),", a career level that is not on the ladder","")&amp;IF(AND($R811&lt;&gt;"",COUNTIF(DriverList,$R811)=0),", a driver that is not on the list","")&amp;IF(ABS(N($L811)-(N($M811)+N($N811)+N($O811)+N($P811)))&gt;0.001,", a total that does not match its quarters",""),3,300))</f>
        <v/>
      </c>
    </row>
    <row r="812" customFormat="false" ht="15" hidden="false" customHeight="false" outlineLevel="0" collapsed="false">
      <c r="A812" s="33" t="str">
        <f aca="false">IF($G812="","","Human Resources Group")</f>
        <v/>
      </c>
      <c r="B812" s="19"/>
      <c r="C812" s="19"/>
      <c r="D812" s="19"/>
      <c r="E812" s="19"/>
      <c r="F812" s="19"/>
      <c r="G812" s="19"/>
      <c r="H812" s="19"/>
      <c r="I812" s="19"/>
      <c r="J812" s="19"/>
      <c r="K812" s="19"/>
      <c r="L812" s="19"/>
      <c r="M812" s="19"/>
      <c r="N812" s="19"/>
      <c r="O812" s="19"/>
      <c r="P812" s="19"/>
      <c r="Q812" s="19"/>
      <c r="R812" s="19"/>
      <c r="S812" s="19"/>
      <c r="T812" s="34" t="str">
        <f aca="false">IF($R812="","",IFERROR(INDEX(DriverCategory,MATCH($R812,DriverList,0)),"BAU"))</f>
        <v/>
      </c>
      <c r="U812" s="34" t="str">
        <f aca="false">IF($R812="","",IFERROR(INDEX(DriverRank,MATCH($R812,DriverList,0)),99))</f>
        <v/>
      </c>
      <c r="V812" s="35" t="n">
        <f aca="false">IF($H812="",0,IFERROR(INDEX(LevelBasic,MATCH($H812,LevelList,0))+INDEX(LevelHousing,MATCH($H812,LevelList,0))+INDEX(LevelTransport,MATCH($H812,LevelList,0))+INDEX(LevelBasic,MATCH($H812,LevelList,0))*INDEX(LevelBonus,MATCH($H812,LevelList,0))+(INDEX(LevelBasic,MATCH($H812,LevelList,0))+INDEX(LevelHousing,MATCH($H812,LevelList,0)))*GosiSaudi,0))</f>
        <v>0</v>
      </c>
      <c r="W812" s="35" t="n">
        <f aca="false">IFERROR(INDEX(LevelOneOff,MATCH($H812,LevelList,0)),0)</f>
        <v>0</v>
      </c>
      <c r="X812" s="35" t="str">
        <f aca="false">IF($G812="","",$V812*N($L812))</f>
        <v/>
      </c>
      <c r="Y812" s="35" t="str">
        <f aca="false">IF($G812="","",$V812*(N($M812)*1+N($N812)*0.75+N($O812)*0.5+N($P812)*0.25)+$W812*N($L812))</f>
        <v/>
      </c>
      <c r="Z812" s="35" t="str">
        <f aca="false">IF($G812="","",$U812*1000000+ROW())</f>
        <v/>
      </c>
      <c r="AA812" s="36" t="str">
        <f aca="false">IF($G812="","",MID(IF($C812="",", no division","")&amp;IF($E812="",", no unit","")&amp;IF($H812="",", no career level","")&amp;IF(N($L812)&lt;=0,", no quarter split","")&amp;IF($R812="",", no driver","")&amp;IF(AND($H812&lt;&gt;"",COUNTIF(CareerLevels,$H812)=0),", a career level that is not on the ladder","")&amp;IF(AND($R812&lt;&gt;"",COUNTIF(DriverList,$R812)=0),", a driver that is not on the list","")&amp;IF(ABS(N($L812)-(N($M812)+N($N812)+N($O812)+N($P812)))&gt;0.001,", a total that does not match its quarters",""),3,300))</f>
        <v/>
      </c>
    </row>
    <row r="813" customFormat="false" ht="15" hidden="false" customHeight="false" outlineLevel="0" collapsed="false">
      <c r="A813" s="33" t="str">
        <f aca="false">IF($G813="","","Human Resources Group")</f>
        <v/>
      </c>
      <c r="B813" s="19"/>
      <c r="C813" s="19"/>
      <c r="D813" s="19"/>
      <c r="E813" s="19"/>
      <c r="F813" s="19"/>
      <c r="G813" s="19"/>
      <c r="H813" s="19"/>
      <c r="I813" s="19"/>
      <c r="J813" s="19"/>
      <c r="K813" s="19"/>
      <c r="L813" s="19"/>
      <c r="M813" s="19"/>
      <c r="N813" s="19"/>
      <c r="O813" s="19"/>
      <c r="P813" s="19"/>
      <c r="Q813" s="19"/>
      <c r="R813" s="19"/>
      <c r="S813" s="19"/>
      <c r="T813" s="34" t="str">
        <f aca="false">IF($R813="","",IFERROR(INDEX(DriverCategory,MATCH($R813,DriverList,0)),"BAU"))</f>
        <v/>
      </c>
      <c r="U813" s="34" t="str">
        <f aca="false">IF($R813="","",IFERROR(INDEX(DriverRank,MATCH($R813,DriverList,0)),99))</f>
        <v/>
      </c>
      <c r="V813" s="35" t="n">
        <f aca="false">IF($H813="",0,IFERROR(INDEX(LevelBasic,MATCH($H813,LevelList,0))+INDEX(LevelHousing,MATCH($H813,LevelList,0))+INDEX(LevelTransport,MATCH($H813,LevelList,0))+INDEX(LevelBasic,MATCH($H813,LevelList,0))*INDEX(LevelBonus,MATCH($H813,LevelList,0))+(INDEX(LevelBasic,MATCH($H813,LevelList,0))+INDEX(LevelHousing,MATCH($H813,LevelList,0)))*GosiSaudi,0))</f>
        <v>0</v>
      </c>
      <c r="W813" s="35" t="n">
        <f aca="false">IFERROR(INDEX(LevelOneOff,MATCH($H813,LevelList,0)),0)</f>
        <v>0</v>
      </c>
      <c r="X813" s="35" t="str">
        <f aca="false">IF($G813="","",$V813*N($L813))</f>
        <v/>
      </c>
      <c r="Y813" s="35" t="str">
        <f aca="false">IF($G813="","",$V813*(N($M813)*1+N($N813)*0.75+N($O813)*0.5+N($P813)*0.25)+$W813*N($L813))</f>
        <v/>
      </c>
      <c r="Z813" s="35" t="str">
        <f aca="false">IF($G813="","",$U813*1000000+ROW())</f>
        <v/>
      </c>
      <c r="AA813" s="36" t="str">
        <f aca="false">IF($G813="","",MID(IF($C813="",", no division","")&amp;IF($E813="",", no unit","")&amp;IF($H813="",", no career level","")&amp;IF(N($L813)&lt;=0,", no quarter split","")&amp;IF($R813="",", no driver","")&amp;IF(AND($H813&lt;&gt;"",COUNTIF(CareerLevels,$H813)=0),", a career level that is not on the ladder","")&amp;IF(AND($R813&lt;&gt;"",COUNTIF(DriverList,$R813)=0),", a driver that is not on the list","")&amp;IF(ABS(N($L813)-(N($M813)+N($N813)+N($O813)+N($P813)))&gt;0.001,", a total that does not match its quarters",""),3,300))</f>
        <v/>
      </c>
    </row>
    <row r="814" customFormat="false" ht="15" hidden="false" customHeight="false" outlineLevel="0" collapsed="false">
      <c r="A814" s="33" t="str">
        <f aca="false">IF($G814="","","Human Resources Group")</f>
        <v/>
      </c>
      <c r="B814" s="19"/>
      <c r="C814" s="19"/>
      <c r="D814" s="19"/>
      <c r="E814" s="19"/>
      <c r="F814" s="19"/>
      <c r="G814" s="19"/>
      <c r="H814" s="19"/>
      <c r="I814" s="19"/>
      <c r="J814" s="19"/>
      <c r="K814" s="19"/>
      <c r="L814" s="19"/>
      <c r="M814" s="19"/>
      <c r="N814" s="19"/>
      <c r="O814" s="19"/>
      <c r="P814" s="19"/>
      <c r="Q814" s="19"/>
      <c r="R814" s="19"/>
      <c r="S814" s="19"/>
      <c r="T814" s="34" t="str">
        <f aca="false">IF($R814="","",IFERROR(INDEX(DriverCategory,MATCH($R814,DriverList,0)),"BAU"))</f>
        <v/>
      </c>
      <c r="U814" s="34" t="str">
        <f aca="false">IF($R814="","",IFERROR(INDEX(DriverRank,MATCH($R814,DriverList,0)),99))</f>
        <v/>
      </c>
      <c r="V814" s="35" t="n">
        <f aca="false">IF($H814="",0,IFERROR(INDEX(LevelBasic,MATCH($H814,LevelList,0))+INDEX(LevelHousing,MATCH($H814,LevelList,0))+INDEX(LevelTransport,MATCH($H814,LevelList,0))+INDEX(LevelBasic,MATCH($H814,LevelList,0))*INDEX(LevelBonus,MATCH($H814,LevelList,0))+(INDEX(LevelBasic,MATCH($H814,LevelList,0))+INDEX(LevelHousing,MATCH($H814,LevelList,0)))*GosiSaudi,0))</f>
        <v>0</v>
      </c>
      <c r="W814" s="35" t="n">
        <f aca="false">IFERROR(INDEX(LevelOneOff,MATCH($H814,LevelList,0)),0)</f>
        <v>0</v>
      </c>
      <c r="X814" s="35" t="str">
        <f aca="false">IF($G814="","",$V814*N($L814))</f>
        <v/>
      </c>
      <c r="Y814" s="35" t="str">
        <f aca="false">IF($G814="","",$V814*(N($M814)*1+N($N814)*0.75+N($O814)*0.5+N($P814)*0.25)+$W814*N($L814))</f>
        <v/>
      </c>
      <c r="Z814" s="35" t="str">
        <f aca="false">IF($G814="","",$U814*1000000+ROW())</f>
        <v/>
      </c>
      <c r="AA814" s="36" t="str">
        <f aca="false">IF($G814="","",MID(IF($C814="",", no division","")&amp;IF($E814="",", no unit","")&amp;IF($H814="",", no career level","")&amp;IF(N($L814)&lt;=0,", no quarter split","")&amp;IF($R814="",", no driver","")&amp;IF(AND($H814&lt;&gt;"",COUNTIF(CareerLevels,$H814)=0),", a career level that is not on the ladder","")&amp;IF(AND($R814&lt;&gt;"",COUNTIF(DriverList,$R814)=0),", a driver that is not on the list","")&amp;IF(ABS(N($L814)-(N($M814)+N($N814)+N($O814)+N($P814)))&gt;0.001,", a total that does not match its quarters",""),3,300))</f>
        <v/>
      </c>
    </row>
    <row r="815" customFormat="false" ht="15" hidden="false" customHeight="false" outlineLevel="0" collapsed="false">
      <c r="A815" s="33" t="str">
        <f aca="false">IF($G815="","","Human Resources Group")</f>
        <v/>
      </c>
      <c r="B815" s="19"/>
      <c r="C815" s="19"/>
      <c r="D815" s="19"/>
      <c r="E815" s="19"/>
      <c r="F815" s="19"/>
      <c r="G815" s="19"/>
      <c r="H815" s="19"/>
      <c r="I815" s="19"/>
      <c r="J815" s="19"/>
      <c r="K815" s="19"/>
      <c r="L815" s="19"/>
      <c r="M815" s="19"/>
      <c r="N815" s="19"/>
      <c r="O815" s="19"/>
      <c r="P815" s="19"/>
      <c r="Q815" s="19"/>
      <c r="R815" s="19"/>
      <c r="S815" s="19"/>
      <c r="T815" s="34" t="str">
        <f aca="false">IF($R815="","",IFERROR(INDEX(DriverCategory,MATCH($R815,DriverList,0)),"BAU"))</f>
        <v/>
      </c>
      <c r="U815" s="34" t="str">
        <f aca="false">IF($R815="","",IFERROR(INDEX(DriverRank,MATCH($R815,DriverList,0)),99))</f>
        <v/>
      </c>
      <c r="V815" s="35" t="n">
        <f aca="false">IF($H815="",0,IFERROR(INDEX(LevelBasic,MATCH($H815,LevelList,0))+INDEX(LevelHousing,MATCH($H815,LevelList,0))+INDEX(LevelTransport,MATCH($H815,LevelList,0))+INDEX(LevelBasic,MATCH($H815,LevelList,0))*INDEX(LevelBonus,MATCH($H815,LevelList,0))+(INDEX(LevelBasic,MATCH($H815,LevelList,0))+INDEX(LevelHousing,MATCH($H815,LevelList,0)))*GosiSaudi,0))</f>
        <v>0</v>
      </c>
      <c r="W815" s="35" t="n">
        <f aca="false">IFERROR(INDEX(LevelOneOff,MATCH($H815,LevelList,0)),0)</f>
        <v>0</v>
      </c>
      <c r="X815" s="35" t="str">
        <f aca="false">IF($G815="","",$V815*N($L815))</f>
        <v/>
      </c>
      <c r="Y815" s="35" t="str">
        <f aca="false">IF($G815="","",$V815*(N($M815)*1+N($N815)*0.75+N($O815)*0.5+N($P815)*0.25)+$W815*N($L815))</f>
        <v/>
      </c>
      <c r="Z815" s="35" t="str">
        <f aca="false">IF($G815="","",$U815*1000000+ROW())</f>
        <v/>
      </c>
      <c r="AA815" s="36" t="str">
        <f aca="false">IF($G815="","",MID(IF($C815="",", no division","")&amp;IF($E815="",", no unit","")&amp;IF($H815="",", no career level","")&amp;IF(N($L815)&lt;=0,", no quarter split","")&amp;IF($R815="",", no driver","")&amp;IF(AND($H815&lt;&gt;"",COUNTIF(CareerLevels,$H815)=0),", a career level that is not on the ladder","")&amp;IF(AND($R815&lt;&gt;"",COUNTIF(DriverList,$R815)=0),", a driver that is not on the list","")&amp;IF(ABS(N($L815)-(N($M815)+N($N815)+N($O815)+N($P815)))&gt;0.001,", a total that does not match its quarters",""),3,300))</f>
        <v/>
      </c>
    </row>
    <row r="816" customFormat="false" ht="15" hidden="false" customHeight="false" outlineLevel="0" collapsed="false">
      <c r="A816" s="33" t="str">
        <f aca="false">IF($G816="","","Human Resources Group")</f>
        <v/>
      </c>
      <c r="B816" s="19"/>
      <c r="C816" s="19"/>
      <c r="D816" s="19"/>
      <c r="E816" s="19"/>
      <c r="F816" s="19"/>
      <c r="G816" s="19"/>
      <c r="H816" s="19"/>
      <c r="I816" s="19"/>
      <c r="J816" s="19"/>
      <c r="K816" s="19"/>
      <c r="L816" s="19"/>
      <c r="M816" s="19"/>
      <c r="N816" s="19"/>
      <c r="O816" s="19"/>
      <c r="P816" s="19"/>
      <c r="Q816" s="19"/>
      <c r="R816" s="19"/>
      <c r="S816" s="19"/>
      <c r="T816" s="34" t="str">
        <f aca="false">IF($R816="","",IFERROR(INDEX(DriverCategory,MATCH($R816,DriverList,0)),"BAU"))</f>
        <v/>
      </c>
      <c r="U816" s="34" t="str">
        <f aca="false">IF($R816="","",IFERROR(INDEX(DriverRank,MATCH($R816,DriverList,0)),99))</f>
        <v/>
      </c>
      <c r="V816" s="35" t="n">
        <f aca="false">IF($H816="",0,IFERROR(INDEX(LevelBasic,MATCH($H816,LevelList,0))+INDEX(LevelHousing,MATCH($H816,LevelList,0))+INDEX(LevelTransport,MATCH($H816,LevelList,0))+INDEX(LevelBasic,MATCH($H816,LevelList,0))*INDEX(LevelBonus,MATCH($H816,LevelList,0))+(INDEX(LevelBasic,MATCH($H816,LevelList,0))+INDEX(LevelHousing,MATCH($H816,LevelList,0)))*GosiSaudi,0))</f>
        <v>0</v>
      </c>
      <c r="W816" s="35" t="n">
        <f aca="false">IFERROR(INDEX(LevelOneOff,MATCH($H816,LevelList,0)),0)</f>
        <v>0</v>
      </c>
      <c r="X816" s="35" t="str">
        <f aca="false">IF($G816="","",$V816*N($L816))</f>
        <v/>
      </c>
      <c r="Y816" s="35" t="str">
        <f aca="false">IF($G816="","",$V816*(N($M816)*1+N($N816)*0.75+N($O816)*0.5+N($P816)*0.25)+$W816*N($L816))</f>
        <v/>
      </c>
      <c r="Z816" s="35" t="str">
        <f aca="false">IF($G816="","",$U816*1000000+ROW())</f>
        <v/>
      </c>
      <c r="AA816" s="36" t="str">
        <f aca="false">IF($G816="","",MID(IF($C816="",", no division","")&amp;IF($E816="",", no unit","")&amp;IF($H816="",", no career level","")&amp;IF(N($L816)&lt;=0,", no quarter split","")&amp;IF($R816="",", no driver","")&amp;IF(AND($H816&lt;&gt;"",COUNTIF(CareerLevels,$H816)=0),", a career level that is not on the ladder","")&amp;IF(AND($R816&lt;&gt;"",COUNTIF(DriverList,$R816)=0),", a driver that is not on the list","")&amp;IF(ABS(N($L816)-(N($M816)+N($N816)+N($O816)+N($P816)))&gt;0.001,", a total that does not match its quarters",""),3,300))</f>
        <v/>
      </c>
    </row>
    <row r="817" customFormat="false" ht="15" hidden="false" customHeight="false" outlineLevel="0" collapsed="false">
      <c r="A817" s="33" t="str">
        <f aca="false">IF($G817="","","Human Resources Group")</f>
        <v/>
      </c>
      <c r="B817" s="19"/>
      <c r="C817" s="19"/>
      <c r="D817" s="19"/>
      <c r="E817" s="19"/>
      <c r="F817" s="19"/>
      <c r="G817" s="19"/>
      <c r="H817" s="19"/>
      <c r="I817" s="19"/>
      <c r="J817" s="19"/>
      <c r="K817" s="19"/>
      <c r="L817" s="19"/>
      <c r="M817" s="19"/>
      <c r="N817" s="19"/>
      <c r="O817" s="19"/>
      <c r="P817" s="19"/>
      <c r="Q817" s="19"/>
      <c r="R817" s="19"/>
      <c r="S817" s="19"/>
      <c r="T817" s="34" t="str">
        <f aca="false">IF($R817="","",IFERROR(INDEX(DriverCategory,MATCH($R817,DriverList,0)),"BAU"))</f>
        <v/>
      </c>
      <c r="U817" s="34" t="str">
        <f aca="false">IF($R817="","",IFERROR(INDEX(DriverRank,MATCH($R817,DriverList,0)),99))</f>
        <v/>
      </c>
      <c r="V817" s="35" t="n">
        <f aca="false">IF($H817="",0,IFERROR(INDEX(LevelBasic,MATCH($H817,LevelList,0))+INDEX(LevelHousing,MATCH($H817,LevelList,0))+INDEX(LevelTransport,MATCH($H817,LevelList,0))+INDEX(LevelBasic,MATCH($H817,LevelList,0))*INDEX(LevelBonus,MATCH($H817,LevelList,0))+(INDEX(LevelBasic,MATCH($H817,LevelList,0))+INDEX(LevelHousing,MATCH($H817,LevelList,0)))*GosiSaudi,0))</f>
        <v>0</v>
      </c>
      <c r="W817" s="35" t="n">
        <f aca="false">IFERROR(INDEX(LevelOneOff,MATCH($H817,LevelList,0)),0)</f>
        <v>0</v>
      </c>
      <c r="X817" s="35" t="str">
        <f aca="false">IF($G817="","",$V817*N($L817))</f>
        <v/>
      </c>
      <c r="Y817" s="35" t="str">
        <f aca="false">IF($G817="","",$V817*(N($M817)*1+N($N817)*0.75+N($O817)*0.5+N($P817)*0.25)+$W817*N($L817))</f>
        <v/>
      </c>
      <c r="Z817" s="35" t="str">
        <f aca="false">IF($G817="","",$U817*1000000+ROW())</f>
        <v/>
      </c>
      <c r="AA817" s="36" t="str">
        <f aca="false">IF($G817="","",MID(IF($C817="",", no division","")&amp;IF($E817="",", no unit","")&amp;IF($H817="",", no career level","")&amp;IF(N($L817)&lt;=0,", no quarter split","")&amp;IF($R817="",", no driver","")&amp;IF(AND($H817&lt;&gt;"",COUNTIF(CareerLevels,$H817)=0),", a career level that is not on the ladder","")&amp;IF(AND($R817&lt;&gt;"",COUNTIF(DriverList,$R817)=0),", a driver that is not on the list","")&amp;IF(ABS(N($L817)-(N($M817)+N($N817)+N($O817)+N($P817)))&gt;0.001,", a total that does not match its quarters",""),3,300))</f>
        <v/>
      </c>
    </row>
    <row r="818" customFormat="false" ht="15" hidden="false" customHeight="false" outlineLevel="0" collapsed="false">
      <c r="A818" s="33" t="str">
        <f aca="false">IF($G818="","","Human Resources Group")</f>
        <v/>
      </c>
      <c r="B818" s="19"/>
      <c r="C818" s="19"/>
      <c r="D818" s="19"/>
      <c r="E818" s="19"/>
      <c r="F818" s="19"/>
      <c r="G818" s="19"/>
      <c r="H818" s="19"/>
      <c r="I818" s="19"/>
      <c r="J818" s="19"/>
      <c r="K818" s="19"/>
      <c r="L818" s="19"/>
      <c r="M818" s="19"/>
      <c r="N818" s="19"/>
      <c r="O818" s="19"/>
      <c r="P818" s="19"/>
      <c r="Q818" s="19"/>
      <c r="R818" s="19"/>
      <c r="S818" s="19"/>
      <c r="T818" s="34" t="str">
        <f aca="false">IF($R818="","",IFERROR(INDEX(DriverCategory,MATCH($R818,DriverList,0)),"BAU"))</f>
        <v/>
      </c>
      <c r="U818" s="34" t="str">
        <f aca="false">IF($R818="","",IFERROR(INDEX(DriverRank,MATCH($R818,DriverList,0)),99))</f>
        <v/>
      </c>
      <c r="V818" s="35" t="n">
        <f aca="false">IF($H818="",0,IFERROR(INDEX(LevelBasic,MATCH($H818,LevelList,0))+INDEX(LevelHousing,MATCH($H818,LevelList,0))+INDEX(LevelTransport,MATCH($H818,LevelList,0))+INDEX(LevelBasic,MATCH($H818,LevelList,0))*INDEX(LevelBonus,MATCH($H818,LevelList,0))+(INDEX(LevelBasic,MATCH($H818,LevelList,0))+INDEX(LevelHousing,MATCH($H818,LevelList,0)))*GosiSaudi,0))</f>
        <v>0</v>
      </c>
      <c r="W818" s="35" t="n">
        <f aca="false">IFERROR(INDEX(LevelOneOff,MATCH($H818,LevelList,0)),0)</f>
        <v>0</v>
      </c>
      <c r="X818" s="35" t="str">
        <f aca="false">IF($G818="","",$V818*N($L818))</f>
        <v/>
      </c>
      <c r="Y818" s="35" t="str">
        <f aca="false">IF($G818="","",$V818*(N($M818)*1+N($N818)*0.75+N($O818)*0.5+N($P818)*0.25)+$W818*N($L818))</f>
        <v/>
      </c>
      <c r="Z818" s="35" t="str">
        <f aca="false">IF($G818="","",$U818*1000000+ROW())</f>
        <v/>
      </c>
      <c r="AA818" s="36" t="str">
        <f aca="false">IF($G818="","",MID(IF($C818="",", no division","")&amp;IF($E818="",", no unit","")&amp;IF($H818="",", no career level","")&amp;IF(N($L818)&lt;=0,", no quarter split","")&amp;IF($R818="",", no driver","")&amp;IF(AND($H818&lt;&gt;"",COUNTIF(CareerLevels,$H818)=0),", a career level that is not on the ladder","")&amp;IF(AND($R818&lt;&gt;"",COUNTIF(DriverList,$R818)=0),", a driver that is not on the list","")&amp;IF(ABS(N($L818)-(N($M818)+N($N818)+N($O818)+N($P818)))&gt;0.001,", a total that does not match its quarters",""),3,300))</f>
        <v/>
      </c>
    </row>
    <row r="819" customFormat="false" ht="15" hidden="false" customHeight="false" outlineLevel="0" collapsed="false">
      <c r="A819" s="33" t="str">
        <f aca="false">IF($G819="","","Human Resources Group")</f>
        <v/>
      </c>
      <c r="B819" s="19"/>
      <c r="C819" s="19"/>
      <c r="D819" s="19"/>
      <c r="E819" s="19"/>
      <c r="F819" s="19"/>
      <c r="G819" s="19"/>
      <c r="H819" s="19"/>
      <c r="I819" s="19"/>
      <c r="J819" s="19"/>
      <c r="K819" s="19"/>
      <c r="L819" s="19"/>
      <c r="M819" s="19"/>
      <c r="N819" s="19"/>
      <c r="O819" s="19"/>
      <c r="P819" s="19"/>
      <c r="Q819" s="19"/>
      <c r="R819" s="19"/>
      <c r="S819" s="19"/>
      <c r="T819" s="34" t="str">
        <f aca="false">IF($R819="","",IFERROR(INDEX(DriverCategory,MATCH($R819,DriverList,0)),"BAU"))</f>
        <v/>
      </c>
      <c r="U819" s="34" t="str">
        <f aca="false">IF($R819="","",IFERROR(INDEX(DriverRank,MATCH($R819,DriverList,0)),99))</f>
        <v/>
      </c>
      <c r="V819" s="35" t="n">
        <f aca="false">IF($H819="",0,IFERROR(INDEX(LevelBasic,MATCH($H819,LevelList,0))+INDEX(LevelHousing,MATCH($H819,LevelList,0))+INDEX(LevelTransport,MATCH($H819,LevelList,0))+INDEX(LevelBasic,MATCH($H819,LevelList,0))*INDEX(LevelBonus,MATCH($H819,LevelList,0))+(INDEX(LevelBasic,MATCH($H819,LevelList,0))+INDEX(LevelHousing,MATCH($H819,LevelList,0)))*GosiSaudi,0))</f>
        <v>0</v>
      </c>
      <c r="W819" s="35" t="n">
        <f aca="false">IFERROR(INDEX(LevelOneOff,MATCH($H819,LevelList,0)),0)</f>
        <v>0</v>
      </c>
      <c r="X819" s="35" t="str">
        <f aca="false">IF($G819="","",$V819*N($L819))</f>
        <v/>
      </c>
      <c r="Y819" s="35" t="str">
        <f aca="false">IF($G819="","",$V819*(N($M819)*1+N($N819)*0.75+N($O819)*0.5+N($P819)*0.25)+$W819*N($L819))</f>
        <v/>
      </c>
      <c r="Z819" s="35" t="str">
        <f aca="false">IF($G819="","",$U819*1000000+ROW())</f>
        <v/>
      </c>
      <c r="AA819" s="36" t="str">
        <f aca="false">IF($G819="","",MID(IF($C819="",", no division","")&amp;IF($E819="",", no unit","")&amp;IF($H819="",", no career level","")&amp;IF(N($L819)&lt;=0,", no quarter split","")&amp;IF($R819="",", no driver","")&amp;IF(AND($H819&lt;&gt;"",COUNTIF(CareerLevels,$H819)=0),", a career level that is not on the ladder","")&amp;IF(AND($R819&lt;&gt;"",COUNTIF(DriverList,$R819)=0),", a driver that is not on the list","")&amp;IF(ABS(N($L819)-(N($M819)+N($N819)+N($O819)+N($P819)))&gt;0.001,", a total that does not match its quarters",""),3,300))</f>
        <v/>
      </c>
    </row>
    <row r="820" customFormat="false" ht="15" hidden="false" customHeight="false" outlineLevel="0" collapsed="false">
      <c r="A820" s="33" t="str">
        <f aca="false">IF($G820="","","Human Resources Group")</f>
        <v/>
      </c>
      <c r="B820" s="19"/>
      <c r="C820" s="19"/>
      <c r="D820" s="19"/>
      <c r="E820" s="19"/>
      <c r="F820" s="19"/>
      <c r="G820" s="19"/>
      <c r="H820" s="19"/>
      <c r="I820" s="19"/>
      <c r="J820" s="19"/>
      <c r="K820" s="19"/>
      <c r="L820" s="19"/>
      <c r="M820" s="19"/>
      <c r="N820" s="19"/>
      <c r="O820" s="19"/>
      <c r="P820" s="19"/>
      <c r="Q820" s="19"/>
      <c r="R820" s="19"/>
      <c r="S820" s="19"/>
      <c r="T820" s="34" t="str">
        <f aca="false">IF($R820="","",IFERROR(INDEX(DriverCategory,MATCH($R820,DriverList,0)),"BAU"))</f>
        <v/>
      </c>
      <c r="U820" s="34" t="str">
        <f aca="false">IF($R820="","",IFERROR(INDEX(DriverRank,MATCH($R820,DriverList,0)),99))</f>
        <v/>
      </c>
      <c r="V820" s="35" t="n">
        <f aca="false">IF($H820="",0,IFERROR(INDEX(LevelBasic,MATCH($H820,LevelList,0))+INDEX(LevelHousing,MATCH($H820,LevelList,0))+INDEX(LevelTransport,MATCH($H820,LevelList,0))+INDEX(LevelBasic,MATCH($H820,LevelList,0))*INDEX(LevelBonus,MATCH($H820,LevelList,0))+(INDEX(LevelBasic,MATCH($H820,LevelList,0))+INDEX(LevelHousing,MATCH($H820,LevelList,0)))*GosiSaudi,0))</f>
        <v>0</v>
      </c>
      <c r="W820" s="35" t="n">
        <f aca="false">IFERROR(INDEX(LevelOneOff,MATCH($H820,LevelList,0)),0)</f>
        <v>0</v>
      </c>
      <c r="X820" s="35" t="str">
        <f aca="false">IF($G820="","",$V820*N($L820))</f>
        <v/>
      </c>
      <c r="Y820" s="35" t="str">
        <f aca="false">IF($G820="","",$V820*(N($M820)*1+N($N820)*0.75+N($O820)*0.5+N($P820)*0.25)+$W820*N($L820))</f>
        <v/>
      </c>
      <c r="Z820" s="35" t="str">
        <f aca="false">IF($G820="","",$U820*1000000+ROW())</f>
        <v/>
      </c>
      <c r="AA820" s="36" t="str">
        <f aca="false">IF($G820="","",MID(IF($C820="",", no division","")&amp;IF($E820="",", no unit","")&amp;IF($H820="",", no career level","")&amp;IF(N($L820)&lt;=0,", no quarter split","")&amp;IF($R820="",", no driver","")&amp;IF(AND($H820&lt;&gt;"",COUNTIF(CareerLevels,$H820)=0),", a career level that is not on the ladder","")&amp;IF(AND($R820&lt;&gt;"",COUNTIF(DriverList,$R820)=0),", a driver that is not on the list","")&amp;IF(ABS(N($L820)-(N($M820)+N($N820)+N($O820)+N($P820)))&gt;0.001,", a total that does not match its quarters",""),3,300))</f>
        <v/>
      </c>
    </row>
    <row r="821" customFormat="false" ht="15" hidden="false" customHeight="false" outlineLevel="0" collapsed="false">
      <c r="A821" s="33" t="str">
        <f aca="false">IF($G821="","","Human Resources Group")</f>
        <v/>
      </c>
      <c r="B821" s="19"/>
      <c r="C821" s="19"/>
      <c r="D821" s="19"/>
      <c r="E821" s="19"/>
      <c r="F821" s="19"/>
      <c r="G821" s="19"/>
      <c r="H821" s="19"/>
      <c r="I821" s="19"/>
      <c r="J821" s="19"/>
      <c r="K821" s="19"/>
      <c r="L821" s="19"/>
      <c r="M821" s="19"/>
      <c r="N821" s="19"/>
      <c r="O821" s="19"/>
      <c r="P821" s="19"/>
      <c r="Q821" s="19"/>
      <c r="R821" s="19"/>
      <c r="S821" s="19"/>
      <c r="T821" s="34" t="str">
        <f aca="false">IF($R821="","",IFERROR(INDEX(DriverCategory,MATCH($R821,DriverList,0)),"BAU"))</f>
        <v/>
      </c>
      <c r="U821" s="34" t="str">
        <f aca="false">IF($R821="","",IFERROR(INDEX(DriverRank,MATCH($R821,DriverList,0)),99))</f>
        <v/>
      </c>
      <c r="V821" s="35" t="n">
        <f aca="false">IF($H821="",0,IFERROR(INDEX(LevelBasic,MATCH($H821,LevelList,0))+INDEX(LevelHousing,MATCH($H821,LevelList,0))+INDEX(LevelTransport,MATCH($H821,LevelList,0))+INDEX(LevelBasic,MATCH($H821,LevelList,0))*INDEX(LevelBonus,MATCH($H821,LevelList,0))+(INDEX(LevelBasic,MATCH($H821,LevelList,0))+INDEX(LevelHousing,MATCH($H821,LevelList,0)))*GosiSaudi,0))</f>
        <v>0</v>
      </c>
      <c r="W821" s="35" t="n">
        <f aca="false">IFERROR(INDEX(LevelOneOff,MATCH($H821,LevelList,0)),0)</f>
        <v>0</v>
      </c>
      <c r="X821" s="35" t="str">
        <f aca="false">IF($G821="","",$V821*N($L821))</f>
        <v/>
      </c>
      <c r="Y821" s="35" t="str">
        <f aca="false">IF($G821="","",$V821*(N($M821)*1+N($N821)*0.75+N($O821)*0.5+N($P821)*0.25)+$W821*N($L821))</f>
        <v/>
      </c>
      <c r="Z821" s="35" t="str">
        <f aca="false">IF($G821="","",$U821*1000000+ROW())</f>
        <v/>
      </c>
      <c r="AA821" s="36" t="str">
        <f aca="false">IF($G821="","",MID(IF($C821="",", no division","")&amp;IF($E821="",", no unit","")&amp;IF($H821="",", no career level","")&amp;IF(N($L821)&lt;=0,", no quarter split","")&amp;IF($R821="",", no driver","")&amp;IF(AND($H821&lt;&gt;"",COUNTIF(CareerLevels,$H821)=0),", a career level that is not on the ladder","")&amp;IF(AND($R821&lt;&gt;"",COUNTIF(DriverList,$R821)=0),", a driver that is not on the list","")&amp;IF(ABS(N($L821)-(N($M821)+N($N821)+N($O821)+N($P821)))&gt;0.001,", a total that does not match its quarters",""),3,300))</f>
        <v/>
      </c>
    </row>
    <row r="822" customFormat="false" ht="15" hidden="false" customHeight="false" outlineLevel="0" collapsed="false">
      <c r="A822" s="33" t="str">
        <f aca="false">IF($G822="","","Human Resources Group")</f>
        <v/>
      </c>
      <c r="B822" s="19"/>
      <c r="C822" s="19"/>
      <c r="D822" s="19"/>
      <c r="E822" s="19"/>
      <c r="F822" s="19"/>
      <c r="G822" s="19"/>
      <c r="H822" s="19"/>
      <c r="I822" s="19"/>
      <c r="J822" s="19"/>
      <c r="K822" s="19"/>
      <c r="L822" s="19"/>
      <c r="M822" s="19"/>
      <c r="N822" s="19"/>
      <c r="O822" s="19"/>
      <c r="P822" s="19"/>
      <c r="Q822" s="19"/>
      <c r="R822" s="19"/>
      <c r="S822" s="19"/>
      <c r="T822" s="34" t="str">
        <f aca="false">IF($R822="","",IFERROR(INDEX(DriverCategory,MATCH($R822,DriverList,0)),"BAU"))</f>
        <v/>
      </c>
      <c r="U822" s="34" t="str">
        <f aca="false">IF($R822="","",IFERROR(INDEX(DriverRank,MATCH($R822,DriverList,0)),99))</f>
        <v/>
      </c>
      <c r="V822" s="35" t="n">
        <f aca="false">IF($H822="",0,IFERROR(INDEX(LevelBasic,MATCH($H822,LevelList,0))+INDEX(LevelHousing,MATCH($H822,LevelList,0))+INDEX(LevelTransport,MATCH($H822,LevelList,0))+INDEX(LevelBasic,MATCH($H822,LevelList,0))*INDEX(LevelBonus,MATCH($H822,LevelList,0))+(INDEX(LevelBasic,MATCH($H822,LevelList,0))+INDEX(LevelHousing,MATCH($H822,LevelList,0)))*GosiSaudi,0))</f>
        <v>0</v>
      </c>
      <c r="W822" s="35" t="n">
        <f aca="false">IFERROR(INDEX(LevelOneOff,MATCH($H822,LevelList,0)),0)</f>
        <v>0</v>
      </c>
      <c r="X822" s="35" t="str">
        <f aca="false">IF($G822="","",$V822*N($L822))</f>
        <v/>
      </c>
      <c r="Y822" s="35" t="str">
        <f aca="false">IF($G822="","",$V822*(N($M822)*1+N($N822)*0.75+N($O822)*0.5+N($P822)*0.25)+$W822*N($L822))</f>
        <v/>
      </c>
      <c r="Z822" s="35" t="str">
        <f aca="false">IF($G822="","",$U822*1000000+ROW())</f>
        <v/>
      </c>
      <c r="AA822" s="36" t="str">
        <f aca="false">IF($G822="","",MID(IF($C822="",", no division","")&amp;IF($E822="",", no unit","")&amp;IF($H822="",", no career level","")&amp;IF(N($L822)&lt;=0,", no quarter split","")&amp;IF($R822="",", no driver","")&amp;IF(AND($H822&lt;&gt;"",COUNTIF(CareerLevels,$H822)=0),", a career level that is not on the ladder","")&amp;IF(AND($R822&lt;&gt;"",COUNTIF(DriverList,$R822)=0),", a driver that is not on the list","")&amp;IF(ABS(N($L822)-(N($M822)+N($N822)+N($O822)+N($P822)))&gt;0.001,", a total that does not match its quarters",""),3,300))</f>
        <v/>
      </c>
    </row>
    <row r="823" customFormat="false" ht="15" hidden="false" customHeight="false" outlineLevel="0" collapsed="false">
      <c r="A823" s="33" t="str">
        <f aca="false">IF($G823="","","Human Resources Group")</f>
        <v/>
      </c>
      <c r="B823" s="19"/>
      <c r="C823" s="19"/>
      <c r="D823" s="19"/>
      <c r="E823" s="19"/>
      <c r="F823" s="19"/>
      <c r="G823" s="19"/>
      <c r="H823" s="19"/>
      <c r="I823" s="19"/>
      <c r="J823" s="19"/>
      <c r="K823" s="19"/>
      <c r="L823" s="19"/>
      <c r="M823" s="19"/>
      <c r="N823" s="19"/>
      <c r="O823" s="19"/>
      <c r="P823" s="19"/>
      <c r="Q823" s="19"/>
      <c r="R823" s="19"/>
      <c r="S823" s="19"/>
      <c r="T823" s="34" t="str">
        <f aca="false">IF($R823="","",IFERROR(INDEX(DriverCategory,MATCH($R823,DriverList,0)),"BAU"))</f>
        <v/>
      </c>
      <c r="U823" s="34" t="str">
        <f aca="false">IF($R823="","",IFERROR(INDEX(DriverRank,MATCH($R823,DriverList,0)),99))</f>
        <v/>
      </c>
      <c r="V823" s="35" t="n">
        <f aca="false">IF($H823="",0,IFERROR(INDEX(LevelBasic,MATCH($H823,LevelList,0))+INDEX(LevelHousing,MATCH($H823,LevelList,0))+INDEX(LevelTransport,MATCH($H823,LevelList,0))+INDEX(LevelBasic,MATCH($H823,LevelList,0))*INDEX(LevelBonus,MATCH($H823,LevelList,0))+(INDEX(LevelBasic,MATCH($H823,LevelList,0))+INDEX(LevelHousing,MATCH($H823,LevelList,0)))*GosiSaudi,0))</f>
        <v>0</v>
      </c>
      <c r="W823" s="35" t="n">
        <f aca="false">IFERROR(INDEX(LevelOneOff,MATCH($H823,LevelList,0)),0)</f>
        <v>0</v>
      </c>
      <c r="X823" s="35" t="str">
        <f aca="false">IF($G823="","",$V823*N($L823))</f>
        <v/>
      </c>
      <c r="Y823" s="35" t="str">
        <f aca="false">IF($G823="","",$V823*(N($M823)*1+N($N823)*0.75+N($O823)*0.5+N($P823)*0.25)+$W823*N($L823))</f>
        <v/>
      </c>
      <c r="Z823" s="35" t="str">
        <f aca="false">IF($G823="","",$U823*1000000+ROW())</f>
        <v/>
      </c>
      <c r="AA823" s="36" t="str">
        <f aca="false">IF($G823="","",MID(IF($C823="",", no division","")&amp;IF($E823="",", no unit","")&amp;IF($H823="",", no career level","")&amp;IF(N($L823)&lt;=0,", no quarter split","")&amp;IF($R823="",", no driver","")&amp;IF(AND($H823&lt;&gt;"",COUNTIF(CareerLevels,$H823)=0),", a career level that is not on the ladder","")&amp;IF(AND($R823&lt;&gt;"",COUNTIF(DriverList,$R823)=0),", a driver that is not on the list","")&amp;IF(ABS(N($L823)-(N($M823)+N($N823)+N($O823)+N($P823)))&gt;0.001,", a total that does not match its quarters",""),3,300))</f>
        <v/>
      </c>
    </row>
    <row r="824" customFormat="false" ht="15" hidden="false" customHeight="false" outlineLevel="0" collapsed="false">
      <c r="A824" s="33" t="str">
        <f aca="false">IF($G824="","","Human Resources Group")</f>
        <v/>
      </c>
      <c r="B824" s="19"/>
      <c r="C824" s="19"/>
      <c r="D824" s="19"/>
      <c r="E824" s="19"/>
      <c r="F824" s="19"/>
      <c r="G824" s="19"/>
      <c r="H824" s="19"/>
      <c r="I824" s="19"/>
      <c r="J824" s="19"/>
      <c r="K824" s="19"/>
      <c r="L824" s="19"/>
      <c r="M824" s="19"/>
      <c r="N824" s="19"/>
      <c r="O824" s="19"/>
      <c r="P824" s="19"/>
      <c r="Q824" s="19"/>
      <c r="R824" s="19"/>
      <c r="S824" s="19"/>
      <c r="T824" s="34" t="str">
        <f aca="false">IF($R824="","",IFERROR(INDEX(DriverCategory,MATCH($R824,DriverList,0)),"BAU"))</f>
        <v/>
      </c>
      <c r="U824" s="34" t="str">
        <f aca="false">IF($R824="","",IFERROR(INDEX(DriverRank,MATCH($R824,DriverList,0)),99))</f>
        <v/>
      </c>
      <c r="V824" s="35" t="n">
        <f aca="false">IF($H824="",0,IFERROR(INDEX(LevelBasic,MATCH($H824,LevelList,0))+INDEX(LevelHousing,MATCH($H824,LevelList,0))+INDEX(LevelTransport,MATCH($H824,LevelList,0))+INDEX(LevelBasic,MATCH($H824,LevelList,0))*INDEX(LevelBonus,MATCH($H824,LevelList,0))+(INDEX(LevelBasic,MATCH($H824,LevelList,0))+INDEX(LevelHousing,MATCH($H824,LevelList,0)))*GosiSaudi,0))</f>
        <v>0</v>
      </c>
      <c r="W824" s="35" t="n">
        <f aca="false">IFERROR(INDEX(LevelOneOff,MATCH($H824,LevelList,0)),0)</f>
        <v>0</v>
      </c>
      <c r="X824" s="35" t="str">
        <f aca="false">IF($G824="","",$V824*N($L824))</f>
        <v/>
      </c>
      <c r="Y824" s="35" t="str">
        <f aca="false">IF($G824="","",$V824*(N($M824)*1+N($N824)*0.75+N($O824)*0.5+N($P824)*0.25)+$W824*N($L824))</f>
        <v/>
      </c>
      <c r="Z824" s="35" t="str">
        <f aca="false">IF($G824="","",$U824*1000000+ROW())</f>
        <v/>
      </c>
      <c r="AA824" s="36" t="str">
        <f aca="false">IF($G824="","",MID(IF($C824="",", no division","")&amp;IF($E824="",", no unit","")&amp;IF($H824="",", no career level","")&amp;IF(N($L824)&lt;=0,", no quarter split","")&amp;IF($R824="",", no driver","")&amp;IF(AND($H824&lt;&gt;"",COUNTIF(CareerLevels,$H824)=0),", a career level that is not on the ladder","")&amp;IF(AND($R824&lt;&gt;"",COUNTIF(DriverList,$R824)=0),", a driver that is not on the list","")&amp;IF(ABS(N($L824)-(N($M824)+N($N824)+N($O824)+N($P824)))&gt;0.001,", a total that does not match its quarters",""),3,300))</f>
        <v/>
      </c>
    </row>
    <row r="825" customFormat="false" ht="15" hidden="false" customHeight="false" outlineLevel="0" collapsed="false">
      <c r="A825" s="33" t="str">
        <f aca="false">IF($G825="","","Human Resources Group")</f>
        <v/>
      </c>
      <c r="B825" s="19"/>
      <c r="C825" s="19"/>
      <c r="D825" s="19"/>
      <c r="E825" s="19"/>
      <c r="F825" s="19"/>
      <c r="G825" s="19"/>
      <c r="H825" s="19"/>
      <c r="I825" s="19"/>
      <c r="J825" s="19"/>
      <c r="K825" s="19"/>
      <c r="L825" s="19"/>
      <c r="M825" s="19"/>
      <c r="N825" s="19"/>
      <c r="O825" s="19"/>
      <c r="P825" s="19"/>
      <c r="Q825" s="19"/>
      <c r="R825" s="19"/>
      <c r="S825" s="19"/>
      <c r="T825" s="34" t="str">
        <f aca="false">IF($R825="","",IFERROR(INDEX(DriverCategory,MATCH($R825,DriverList,0)),"BAU"))</f>
        <v/>
      </c>
      <c r="U825" s="34" t="str">
        <f aca="false">IF($R825="","",IFERROR(INDEX(DriverRank,MATCH($R825,DriverList,0)),99))</f>
        <v/>
      </c>
      <c r="V825" s="35" t="n">
        <f aca="false">IF($H825="",0,IFERROR(INDEX(LevelBasic,MATCH($H825,LevelList,0))+INDEX(LevelHousing,MATCH($H825,LevelList,0))+INDEX(LevelTransport,MATCH($H825,LevelList,0))+INDEX(LevelBasic,MATCH($H825,LevelList,0))*INDEX(LevelBonus,MATCH($H825,LevelList,0))+(INDEX(LevelBasic,MATCH($H825,LevelList,0))+INDEX(LevelHousing,MATCH($H825,LevelList,0)))*GosiSaudi,0))</f>
        <v>0</v>
      </c>
      <c r="W825" s="35" t="n">
        <f aca="false">IFERROR(INDEX(LevelOneOff,MATCH($H825,LevelList,0)),0)</f>
        <v>0</v>
      </c>
      <c r="X825" s="35" t="str">
        <f aca="false">IF($G825="","",$V825*N($L825))</f>
        <v/>
      </c>
      <c r="Y825" s="35" t="str">
        <f aca="false">IF($G825="","",$V825*(N($M825)*1+N($N825)*0.75+N($O825)*0.5+N($P825)*0.25)+$W825*N($L825))</f>
        <v/>
      </c>
      <c r="Z825" s="35" t="str">
        <f aca="false">IF($G825="","",$U825*1000000+ROW())</f>
        <v/>
      </c>
      <c r="AA825" s="36" t="str">
        <f aca="false">IF($G825="","",MID(IF($C825="",", no division","")&amp;IF($E825="",", no unit","")&amp;IF($H825="",", no career level","")&amp;IF(N($L825)&lt;=0,", no quarter split","")&amp;IF($R825="",", no driver","")&amp;IF(AND($H825&lt;&gt;"",COUNTIF(CareerLevels,$H825)=0),", a career level that is not on the ladder","")&amp;IF(AND($R825&lt;&gt;"",COUNTIF(DriverList,$R825)=0),", a driver that is not on the list","")&amp;IF(ABS(N($L825)-(N($M825)+N($N825)+N($O825)+N($P825)))&gt;0.001,", a total that does not match its quarters",""),3,300))</f>
        <v/>
      </c>
    </row>
    <row r="826" customFormat="false" ht="15" hidden="false" customHeight="false" outlineLevel="0" collapsed="false">
      <c r="A826" s="33" t="str">
        <f aca="false">IF($G826="","","Human Resources Group")</f>
        <v/>
      </c>
      <c r="B826" s="19"/>
      <c r="C826" s="19"/>
      <c r="D826" s="19"/>
      <c r="E826" s="19"/>
      <c r="F826" s="19"/>
      <c r="G826" s="19"/>
      <c r="H826" s="19"/>
      <c r="I826" s="19"/>
      <c r="J826" s="19"/>
      <c r="K826" s="19"/>
      <c r="L826" s="19"/>
      <c r="M826" s="19"/>
      <c r="N826" s="19"/>
      <c r="O826" s="19"/>
      <c r="P826" s="19"/>
      <c r="Q826" s="19"/>
      <c r="R826" s="19"/>
      <c r="S826" s="19"/>
      <c r="T826" s="34" t="str">
        <f aca="false">IF($R826="","",IFERROR(INDEX(DriverCategory,MATCH($R826,DriverList,0)),"BAU"))</f>
        <v/>
      </c>
      <c r="U826" s="34" t="str">
        <f aca="false">IF($R826="","",IFERROR(INDEX(DriverRank,MATCH($R826,DriverList,0)),99))</f>
        <v/>
      </c>
      <c r="V826" s="35" t="n">
        <f aca="false">IF($H826="",0,IFERROR(INDEX(LevelBasic,MATCH($H826,LevelList,0))+INDEX(LevelHousing,MATCH($H826,LevelList,0))+INDEX(LevelTransport,MATCH($H826,LevelList,0))+INDEX(LevelBasic,MATCH($H826,LevelList,0))*INDEX(LevelBonus,MATCH($H826,LevelList,0))+(INDEX(LevelBasic,MATCH($H826,LevelList,0))+INDEX(LevelHousing,MATCH($H826,LevelList,0)))*GosiSaudi,0))</f>
        <v>0</v>
      </c>
      <c r="W826" s="35" t="n">
        <f aca="false">IFERROR(INDEX(LevelOneOff,MATCH($H826,LevelList,0)),0)</f>
        <v>0</v>
      </c>
      <c r="X826" s="35" t="str">
        <f aca="false">IF($G826="","",$V826*N($L826))</f>
        <v/>
      </c>
      <c r="Y826" s="35" t="str">
        <f aca="false">IF($G826="","",$V826*(N($M826)*1+N($N826)*0.75+N($O826)*0.5+N($P826)*0.25)+$W826*N($L826))</f>
        <v/>
      </c>
      <c r="Z826" s="35" t="str">
        <f aca="false">IF($G826="","",$U826*1000000+ROW())</f>
        <v/>
      </c>
      <c r="AA826" s="36" t="str">
        <f aca="false">IF($G826="","",MID(IF($C826="",", no division","")&amp;IF($E826="",", no unit","")&amp;IF($H826="",", no career level","")&amp;IF(N($L826)&lt;=0,", no quarter split","")&amp;IF($R826="",", no driver","")&amp;IF(AND($H826&lt;&gt;"",COUNTIF(CareerLevels,$H826)=0),", a career level that is not on the ladder","")&amp;IF(AND($R826&lt;&gt;"",COUNTIF(DriverList,$R826)=0),", a driver that is not on the list","")&amp;IF(ABS(N($L826)-(N($M826)+N($N826)+N($O826)+N($P826)))&gt;0.001,", a total that does not match its quarters",""),3,300))</f>
        <v/>
      </c>
    </row>
    <row r="827" customFormat="false" ht="15" hidden="false" customHeight="false" outlineLevel="0" collapsed="false">
      <c r="A827" s="33" t="str">
        <f aca="false">IF($G827="","","Human Resources Group")</f>
        <v/>
      </c>
      <c r="B827" s="19"/>
      <c r="C827" s="19"/>
      <c r="D827" s="19"/>
      <c r="E827" s="19"/>
      <c r="F827" s="19"/>
      <c r="G827" s="19"/>
      <c r="H827" s="19"/>
      <c r="I827" s="19"/>
      <c r="J827" s="19"/>
      <c r="K827" s="19"/>
      <c r="L827" s="19"/>
      <c r="M827" s="19"/>
      <c r="N827" s="19"/>
      <c r="O827" s="19"/>
      <c r="P827" s="19"/>
      <c r="Q827" s="19"/>
      <c r="R827" s="19"/>
      <c r="S827" s="19"/>
      <c r="T827" s="34" t="str">
        <f aca="false">IF($R827="","",IFERROR(INDEX(DriverCategory,MATCH($R827,DriverList,0)),"BAU"))</f>
        <v/>
      </c>
      <c r="U827" s="34" t="str">
        <f aca="false">IF($R827="","",IFERROR(INDEX(DriverRank,MATCH($R827,DriverList,0)),99))</f>
        <v/>
      </c>
      <c r="V827" s="35" t="n">
        <f aca="false">IF($H827="",0,IFERROR(INDEX(LevelBasic,MATCH($H827,LevelList,0))+INDEX(LevelHousing,MATCH($H827,LevelList,0))+INDEX(LevelTransport,MATCH($H827,LevelList,0))+INDEX(LevelBasic,MATCH($H827,LevelList,0))*INDEX(LevelBonus,MATCH($H827,LevelList,0))+(INDEX(LevelBasic,MATCH($H827,LevelList,0))+INDEX(LevelHousing,MATCH($H827,LevelList,0)))*GosiSaudi,0))</f>
        <v>0</v>
      </c>
      <c r="W827" s="35" t="n">
        <f aca="false">IFERROR(INDEX(LevelOneOff,MATCH($H827,LevelList,0)),0)</f>
        <v>0</v>
      </c>
      <c r="X827" s="35" t="str">
        <f aca="false">IF($G827="","",$V827*N($L827))</f>
        <v/>
      </c>
      <c r="Y827" s="35" t="str">
        <f aca="false">IF($G827="","",$V827*(N($M827)*1+N($N827)*0.75+N($O827)*0.5+N($P827)*0.25)+$W827*N($L827))</f>
        <v/>
      </c>
      <c r="Z827" s="35" t="str">
        <f aca="false">IF($G827="","",$U827*1000000+ROW())</f>
        <v/>
      </c>
      <c r="AA827" s="36" t="str">
        <f aca="false">IF($G827="","",MID(IF($C827="",", no division","")&amp;IF($E827="",", no unit","")&amp;IF($H827="",", no career level","")&amp;IF(N($L827)&lt;=0,", no quarter split","")&amp;IF($R827="",", no driver","")&amp;IF(AND($H827&lt;&gt;"",COUNTIF(CareerLevels,$H827)=0),", a career level that is not on the ladder","")&amp;IF(AND($R827&lt;&gt;"",COUNTIF(DriverList,$R827)=0),", a driver that is not on the list","")&amp;IF(ABS(N($L827)-(N($M827)+N($N827)+N($O827)+N($P827)))&gt;0.001,", a total that does not match its quarters",""),3,300))</f>
        <v/>
      </c>
    </row>
    <row r="828" customFormat="false" ht="15" hidden="false" customHeight="false" outlineLevel="0" collapsed="false">
      <c r="A828" s="33" t="str">
        <f aca="false">IF($G828="","","Human Resources Group")</f>
        <v/>
      </c>
      <c r="B828" s="19"/>
      <c r="C828" s="19"/>
      <c r="D828" s="19"/>
      <c r="E828" s="19"/>
      <c r="F828" s="19"/>
      <c r="G828" s="19"/>
      <c r="H828" s="19"/>
      <c r="I828" s="19"/>
      <c r="J828" s="19"/>
      <c r="K828" s="19"/>
      <c r="L828" s="19"/>
      <c r="M828" s="19"/>
      <c r="N828" s="19"/>
      <c r="O828" s="19"/>
      <c r="P828" s="19"/>
      <c r="Q828" s="19"/>
      <c r="R828" s="19"/>
      <c r="S828" s="19"/>
      <c r="T828" s="34" t="str">
        <f aca="false">IF($R828="","",IFERROR(INDEX(DriverCategory,MATCH($R828,DriverList,0)),"BAU"))</f>
        <v/>
      </c>
      <c r="U828" s="34" t="str">
        <f aca="false">IF($R828="","",IFERROR(INDEX(DriverRank,MATCH($R828,DriverList,0)),99))</f>
        <v/>
      </c>
      <c r="V828" s="35" t="n">
        <f aca="false">IF($H828="",0,IFERROR(INDEX(LevelBasic,MATCH($H828,LevelList,0))+INDEX(LevelHousing,MATCH($H828,LevelList,0))+INDEX(LevelTransport,MATCH($H828,LevelList,0))+INDEX(LevelBasic,MATCH($H828,LevelList,0))*INDEX(LevelBonus,MATCH($H828,LevelList,0))+(INDEX(LevelBasic,MATCH($H828,LevelList,0))+INDEX(LevelHousing,MATCH($H828,LevelList,0)))*GosiSaudi,0))</f>
        <v>0</v>
      </c>
      <c r="W828" s="35" t="n">
        <f aca="false">IFERROR(INDEX(LevelOneOff,MATCH($H828,LevelList,0)),0)</f>
        <v>0</v>
      </c>
      <c r="X828" s="35" t="str">
        <f aca="false">IF($G828="","",$V828*N($L828))</f>
        <v/>
      </c>
      <c r="Y828" s="35" t="str">
        <f aca="false">IF($G828="","",$V828*(N($M828)*1+N($N828)*0.75+N($O828)*0.5+N($P828)*0.25)+$W828*N($L828))</f>
        <v/>
      </c>
      <c r="Z828" s="35" t="str">
        <f aca="false">IF($G828="","",$U828*1000000+ROW())</f>
        <v/>
      </c>
      <c r="AA828" s="36" t="str">
        <f aca="false">IF($G828="","",MID(IF($C828="",", no division","")&amp;IF($E828="",", no unit","")&amp;IF($H828="",", no career level","")&amp;IF(N($L828)&lt;=0,", no quarter split","")&amp;IF($R828="",", no driver","")&amp;IF(AND($H828&lt;&gt;"",COUNTIF(CareerLevels,$H828)=0),", a career level that is not on the ladder","")&amp;IF(AND($R828&lt;&gt;"",COUNTIF(DriverList,$R828)=0),", a driver that is not on the list","")&amp;IF(ABS(N($L828)-(N($M828)+N($N828)+N($O828)+N($P828)))&gt;0.001,", a total that does not match its quarters",""),3,300))</f>
        <v/>
      </c>
    </row>
    <row r="829" customFormat="false" ht="15" hidden="false" customHeight="false" outlineLevel="0" collapsed="false">
      <c r="A829" s="33" t="str">
        <f aca="false">IF($G829="","","Human Resources Group")</f>
        <v/>
      </c>
      <c r="B829" s="19"/>
      <c r="C829" s="19"/>
      <c r="D829" s="19"/>
      <c r="E829" s="19"/>
      <c r="F829" s="19"/>
      <c r="G829" s="19"/>
      <c r="H829" s="19"/>
      <c r="I829" s="19"/>
      <c r="J829" s="19"/>
      <c r="K829" s="19"/>
      <c r="L829" s="19"/>
      <c r="M829" s="19"/>
      <c r="N829" s="19"/>
      <c r="O829" s="19"/>
      <c r="P829" s="19"/>
      <c r="Q829" s="19"/>
      <c r="R829" s="19"/>
      <c r="S829" s="19"/>
      <c r="T829" s="34" t="str">
        <f aca="false">IF($R829="","",IFERROR(INDEX(DriverCategory,MATCH($R829,DriverList,0)),"BAU"))</f>
        <v/>
      </c>
      <c r="U829" s="34" t="str">
        <f aca="false">IF($R829="","",IFERROR(INDEX(DriverRank,MATCH($R829,DriverList,0)),99))</f>
        <v/>
      </c>
      <c r="V829" s="35" t="n">
        <f aca="false">IF($H829="",0,IFERROR(INDEX(LevelBasic,MATCH($H829,LevelList,0))+INDEX(LevelHousing,MATCH($H829,LevelList,0))+INDEX(LevelTransport,MATCH($H829,LevelList,0))+INDEX(LevelBasic,MATCH($H829,LevelList,0))*INDEX(LevelBonus,MATCH($H829,LevelList,0))+(INDEX(LevelBasic,MATCH($H829,LevelList,0))+INDEX(LevelHousing,MATCH($H829,LevelList,0)))*GosiSaudi,0))</f>
        <v>0</v>
      </c>
      <c r="W829" s="35" t="n">
        <f aca="false">IFERROR(INDEX(LevelOneOff,MATCH($H829,LevelList,0)),0)</f>
        <v>0</v>
      </c>
      <c r="X829" s="35" t="str">
        <f aca="false">IF($G829="","",$V829*N($L829))</f>
        <v/>
      </c>
      <c r="Y829" s="35" t="str">
        <f aca="false">IF($G829="","",$V829*(N($M829)*1+N($N829)*0.75+N($O829)*0.5+N($P829)*0.25)+$W829*N($L829))</f>
        <v/>
      </c>
      <c r="Z829" s="35" t="str">
        <f aca="false">IF($G829="","",$U829*1000000+ROW())</f>
        <v/>
      </c>
      <c r="AA829" s="36" t="str">
        <f aca="false">IF($G829="","",MID(IF($C829="",", no division","")&amp;IF($E829="",", no unit","")&amp;IF($H829="",", no career level","")&amp;IF(N($L829)&lt;=0,", no quarter split","")&amp;IF($R829="",", no driver","")&amp;IF(AND($H829&lt;&gt;"",COUNTIF(CareerLevels,$H829)=0),", a career level that is not on the ladder","")&amp;IF(AND($R829&lt;&gt;"",COUNTIF(DriverList,$R829)=0),", a driver that is not on the list","")&amp;IF(ABS(N($L829)-(N($M829)+N($N829)+N($O829)+N($P829)))&gt;0.001,", a total that does not match its quarters",""),3,300))</f>
        <v/>
      </c>
    </row>
    <row r="830" customFormat="false" ht="15" hidden="false" customHeight="false" outlineLevel="0" collapsed="false">
      <c r="A830" s="33" t="str">
        <f aca="false">IF($G830="","","Human Resources Group")</f>
        <v/>
      </c>
      <c r="B830" s="19"/>
      <c r="C830" s="19"/>
      <c r="D830" s="19"/>
      <c r="E830" s="19"/>
      <c r="F830" s="19"/>
      <c r="G830" s="19"/>
      <c r="H830" s="19"/>
      <c r="I830" s="19"/>
      <c r="J830" s="19"/>
      <c r="K830" s="19"/>
      <c r="L830" s="19"/>
      <c r="M830" s="19"/>
      <c r="N830" s="19"/>
      <c r="O830" s="19"/>
      <c r="P830" s="19"/>
      <c r="Q830" s="19"/>
      <c r="R830" s="19"/>
      <c r="S830" s="19"/>
      <c r="T830" s="34" t="str">
        <f aca="false">IF($R830="","",IFERROR(INDEX(DriverCategory,MATCH($R830,DriverList,0)),"BAU"))</f>
        <v/>
      </c>
      <c r="U830" s="34" t="str">
        <f aca="false">IF($R830="","",IFERROR(INDEX(DriverRank,MATCH($R830,DriverList,0)),99))</f>
        <v/>
      </c>
      <c r="V830" s="35" t="n">
        <f aca="false">IF($H830="",0,IFERROR(INDEX(LevelBasic,MATCH($H830,LevelList,0))+INDEX(LevelHousing,MATCH($H830,LevelList,0))+INDEX(LevelTransport,MATCH($H830,LevelList,0))+INDEX(LevelBasic,MATCH($H830,LevelList,0))*INDEX(LevelBonus,MATCH($H830,LevelList,0))+(INDEX(LevelBasic,MATCH($H830,LevelList,0))+INDEX(LevelHousing,MATCH($H830,LevelList,0)))*GosiSaudi,0))</f>
        <v>0</v>
      </c>
      <c r="W830" s="35" t="n">
        <f aca="false">IFERROR(INDEX(LevelOneOff,MATCH($H830,LevelList,0)),0)</f>
        <v>0</v>
      </c>
      <c r="X830" s="35" t="str">
        <f aca="false">IF($G830="","",$V830*N($L830))</f>
        <v/>
      </c>
      <c r="Y830" s="35" t="str">
        <f aca="false">IF($G830="","",$V830*(N($M830)*1+N($N830)*0.75+N($O830)*0.5+N($P830)*0.25)+$W830*N($L830))</f>
        <v/>
      </c>
      <c r="Z830" s="35" t="str">
        <f aca="false">IF($G830="","",$U830*1000000+ROW())</f>
        <v/>
      </c>
      <c r="AA830" s="36" t="str">
        <f aca="false">IF($G830="","",MID(IF($C830="",", no division","")&amp;IF($E830="",", no unit","")&amp;IF($H830="",", no career level","")&amp;IF(N($L830)&lt;=0,", no quarter split","")&amp;IF($R830="",", no driver","")&amp;IF(AND($H830&lt;&gt;"",COUNTIF(CareerLevels,$H830)=0),", a career level that is not on the ladder","")&amp;IF(AND($R830&lt;&gt;"",COUNTIF(DriverList,$R830)=0),", a driver that is not on the list","")&amp;IF(ABS(N($L830)-(N($M830)+N($N830)+N($O830)+N($P830)))&gt;0.001,", a total that does not match its quarters",""),3,300))</f>
        <v/>
      </c>
    </row>
    <row r="831" customFormat="false" ht="15" hidden="false" customHeight="false" outlineLevel="0" collapsed="false">
      <c r="A831" s="33" t="str">
        <f aca="false">IF($G831="","","Human Resources Group")</f>
        <v/>
      </c>
      <c r="B831" s="19"/>
      <c r="C831" s="19"/>
      <c r="D831" s="19"/>
      <c r="E831" s="19"/>
      <c r="F831" s="19"/>
      <c r="G831" s="19"/>
      <c r="H831" s="19"/>
      <c r="I831" s="19"/>
      <c r="J831" s="19"/>
      <c r="K831" s="19"/>
      <c r="L831" s="19"/>
      <c r="M831" s="19"/>
      <c r="N831" s="19"/>
      <c r="O831" s="19"/>
      <c r="P831" s="19"/>
      <c r="Q831" s="19"/>
      <c r="R831" s="19"/>
      <c r="S831" s="19"/>
      <c r="T831" s="34" t="str">
        <f aca="false">IF($R831="","",IFERROR(INDEX(DriverCategory,MATCH($R831,DriverList,0)),"BAU"))</f>
        <v/>
      </c>
      <c r="U831" s="34" t="str">
        <f aca="false">IF($R831="","",IFERROR(INDEX(DriverRank,MATCH($R831,DriverList,0)),99))</f>
        <v/>
      </c>
      <c r="V831" s="35" t="n">
        <f aca="false">IF($H831="",0,IFERROR(INDEX(LevelBasic,MATCH($H831,LevelList,0))+INDEX(LevelHousing,MATCH($H831,LevelList,0))+INDEX(LevelTransport,MATCH($H831,LevelList,0))+INDEX(LevelBasic,MATCH($H831,LevelList,0))*INDEX(LevelBonus,MATCH($H831,LevelList,0))+(INDEX(LevelBasic,MATCH($H831,LevelList,0))+INDEX(LevelHousing,MATCH($H831,LevelList,0)))*GosiSaudi,0))</f>
        <v>0</v>
      </c>
      <c r="W831" s="35" t="n">
        <f aca="false">IFERROR(INDEX(LevelOneOff,MATCH($H831,LevelList,0)),0)</f>
        <v>0</v>
      </c>
      <c r="X831" s="35" t="str">
        <f aca="false">IF($G831="","",$V831*N($L831))</f>
        <v/>
      </c>
      <c r="Y831" s="35" t="str">
        <f aca="false">IF($G831="","",$V831*(N($M831)*1+N($N831)*0.75+N($O831)*0.5+N($P831)*0.25)+$W831*N($L831))</f>
        <v/>
      </c>
      <c r="Z831" s="35" t="str">
        <f aca="false">IF($G831="","",$U831*1000000+ROW())</f>
        <v/>
      </c>
      <c r="AA831" s="36" t="str">
        <f aca="false">IF($G831="","",MID(IF($C831="",", no division","")&amp;IF($E831="",", no unit","")&amp;IF($H831="",", no career level","")&amp;IF(N($L831)&lt;=0,", no quarter split","")&amp;IF($R831="",", no driver","")&amp;IF(AND($H831&lt;&gt;"",COUNTIF(CareerLevels,$H831)=0),", a career level that is not on the ladder","")&amp;IF(AND($R831&lt;&gt;"",COUNTIF(DriverList,$R831)=0),", a driver that is not on the list","")&amp;IF(ABS(N($L831)-(N($M831)+N($N831)+N($O831)+N($P831)))&gt;0.001,", a total that does not match its quarters",""),3,300))</f>
        <v/>
      </c>
    </row>
    <row r="832" customFormat="false" ht="15" hidden="false" customHeight="false" outlineLevel="0" collapsed="false">
      <c r="A832" s="33" t="str">
        <f aca="false">IF($G832="","","Human Resources Group")</f>
        <v/>
      </c>
      <c r="B832" s="19"/>
      <c r="C832" s="19"/>
      <c r="D832" s="19"/>
      <c r="E832" s="19"/>
      <c r="F832" s="19"/>
      <c r="G832" s="19"/>
      <c r="H832" s="19"/>
      <c r="I832" s="19"/>
      <c r="J832" s="19"/>
      <c r="K832" s="19"/>
      <c r="L832" s="19"/>
      <c r="M832" s="19"/>
      <c r="N832" s="19"/>
      <c r="O832" s="19"/>
      <c r="P832" s="19"/>
      <c r="Q832" s="19"/>
      <c r="R832" s="19"/>
      <c r="S832" s="19"/>
      <c r="T832" s="34" t="str">
        <f aca="false">IF($R832="","",IFERROR(INDEX(DriverCategory,MATCH($R832,DriverList,0)),"BAU"))</f>
        <v/>
      </c>
      <c r="U832" s="34" t="str">
        <f aca="false">IF($R832="","",IFERROR(INDEX(DriverRank,MATCH($R832,DriverList,0)),99))</f>
        <v/>
      </c>
      <c r="V832" s="35" t="n">
        <f aca="false">IF($H832="",0,IFERROR(INDEX(LevelBasic,MATCH($H832,LevelList,0))+INDEX(LevelHousing,MATCH($H832,LevelList,0))+INDEX(LevelTransport,MATCH($H832,LevelList,0))+INDEX(LevelBasic,MATCH($H832,LevelList,0))*INDEX(LevelBonus,MATCH($H832,LevelList,0))+(INDEX(LevelBasic,MATCH($H832,LevelList,0))+INDEX(LevelHousing,MATCH($H832,LevelList,0)))*GosiSaudi,0))</f>
        <v>0</v>
      </c>
      <c r="W832" s="35" t="n">
        <f aca="false">IFERROR(INDEX(LevelOneOff,MATCH($H832,LevelList,0)),0)</f>
        <v>0</v>
      </c>
      <c r="X832" s="35" t="str">
        <f aca="false">IF($G832="","",$V832*N($L832))</f>
        <v/>
      </c>
      <c r="Y832" s="35" t="str">
        <f aca="false">IF($G832="","",$V832*(N($M832)*1+N($N832)*0.75+N($O832)*0.5+N($P832)*0.25)+$W832*N($L832))</f>
        <v/>
      </c>
      <c r="Z832" s="35" t="str">
        <f aca="false">IF($G832="","",$U832*1000000+ROW())</f>
        <v/>
      </c>
      <c r="AA832" s="36" t="str">
        <f aca="false">IF($G832="","",MID(IF($C832="",", no division","")&amp;IF($E832="",", no unit","")&amp;IF($H832="",", no career level","")&amp;IF(N($L832)&lt;=0,", no quarter split","")&amp;IF($R832="",", no driver","")&amp;IF(AND($H832&lt;&gt;"",COUNTIF(CareerLevels,$H832)=0),", a career level that is not on the ladder","")&amp;IF(AND($R832&lt;&gt;"",COUNTIF(DriverList,$R832)=0),", a driver that is not on the list","")&amp;IF(ABS(N($L832)-(N($M832)+N($N832)+N($O832)+N($P832)))&gt;0.001,", a total that does not match its quarters",""),3,300))</f>
        <v/>
      </c>
    </row>
    <row r="833" customFormat="false" ht="15" hidden="false" customHeight="false" outlineLevel="0" collapsed="false">
      <c r="A833" s="33" t="str">
        <f aca="false">IF($G833="","","Human Resources Group")</f>
        <v/>
      </c>
      <c r="B833" s="19"/>
      <c r="C833" s="19"/>
      <c r="D833" s="19"/>
      <c r="E833" s="19"/>
      <c r="F833" s="19"/>
      <c r="G833" s="19"/>
      <c r="H833" s="19"/>
      <c r="I833" s="19"/>
      <c r="J833" s="19"/>
      <c r="K833" s="19"/>
      <c r="L833" s="19"/>
      <c r="M833" s="19"/>
      <c r="N833" s="19"/>
      <c r="O833" s="19"/>
      <c r="P833" s="19"/>
      <c r="Q833" s="19"/>
      <c r="R833" s="19"/>
      <c r="S833" s="19"/>
      <c r="T833" s="34" t="str">
        <f aca="false">IF($R833="","",IFERROR(INDEX(DriverCategory,MATCH($R833,DriverList,0)),"BAU"))</f>
        <v/>
      </c>
      <c r="U833" s="34" t="str">
        <f aca="false">IF($R833="","",IFERROR(INDEX(DriverRank,MATCH($R833,DriverList,0)),99))</f>
        <v/>
      </c>
      <c r="V833" s="35" t="n">
        <f aca="false">IF($H833="",0,IFERROR(INDEX(LevelBasic,MATCH($H833,LevelList,0))+INDEX(LevelHousing,MATCH($H833,LevelList,0))+INDEX(LevelTransport,MATCH($H833,LevelList,0))+INDEX(LevelBasic,MATCH($H833,LevelList,0))*INDEX(LevelBonus,MATCH($H833,LevelList,0))+(INDEX(LevelBasic,MATCH($H833,LevelList,0))+INDEX(LevelHousing,MATCH($H833,LevelList,0)))*GosiSaudi,0))</f>
        <v>0</v>
      </c>
      <c r="W833" s="35" t="n">
        <f aca="false">IFERROR(INDEX(LevelOneOff,MATCH($H833,LevelList,0)),0)</f>
        <v>0</v>
      </c>
      <c r="X833" s="35" t="str">
        <f aca="false">IF($G833="","",$V833*N($L833))</f>
        <v/>
      </c>
      <c r="Y833" s="35" t="str">
        <f aca="false">IF($G833="","",$V833*(N($M833)*1+N($N833)*0.75+N($O833)*0.5+N($P833)*0.25)+$W833*N($L833))</f>
        <v/>
      </c>
      <c r="Z833" s="35" t="str">
        <f aca="false">IF($G833="","",$U833*1000000+ROW())</f>
        <v/>
      </c>
      <c r="AA833" s="36" t="str">
        <f aca="false">IF($G833="","",MID(IF($C833="",", no division","")&amp;IF($E833="",", no unit","")&amp;IF($H833="",", no career level","")&amp;IF(N($L833)&lt;=0,", no quarter split","")&amp;IF($R833="",", no driver","")&amp;IF(AND($H833&lt;&gt;"",COUNTIF(CareerLevels,$H833)=0),", a career level that is not on the ladder","")&amp;IF(AND($R833&lt;&gt;"",COUNTIF(DriverList,$R833)=0),", a driver that is not on the list","")&amp;IF(ABS(N($L833)-(N($M833)+N($N833)+N($O833)+N($P833)))&gt;0.001,", a total that does not match its quarters",""),3,300))</f>
        <v/>
      </c>
    </row>
    <row r="834" customFormat="false" ht="15" hidden="false" customHeight="false" outlineLevel="0" collapsed="false">
      <c r="A834" s="33" t="str">
        <f aca="false">IF($G834="","","Human Resources Group")</f>
        <v/>
      </c>
      <c r="B834" s="19"/>
      <c r="C834" s="19"/>
      <c r="D834" s="19"/>
      <c r="E834" s="19"/>
      <c r="F834" s="19"/>
      <c r="G834" s="19"/>
      <c r="H834" s="19"/>
      <c r="I834" s="19"/>
      <c r="J834" s="19"/>
      <c r="K834" s="19"/>
      <c r="L834" s="19"/>
      <c r="M834" s="19"/>
      <c r="N834" s="19"/>
      <c r="O834" s="19"/>
      <c r="P834" s="19"/>
      <c r="Q834" s="19"/>
      <c r="R834" s="19"/>
      <c r="S834" s="19"/>
      <c r="T834" s="34" t="str">
        <f aca="false">IF($R834="","",IFERROR(INDEX(DriverCategory,MATCH($R834,DriverList,0)),"BAU"))</f>
        <v/>
      </c>
      <c r="U834" s="34" t="str">
        <f aca="false">IF($R834="","",IFERROR(INDEX(DriverRank,MATCH($R834,DriverList,0)),99))</f>
        <v/>
      </c>
      <c r="V834" s="35" t="n">
        <f aca="false">IF($H834="",0,IFERROR(INDEX(LevelBasic,MATCH($H834,LevelList,0))+INDEX(LevelHousing,MATCH($H834,LevelList,0))+INDEX(LevelTransport,MATCH($H834,LevelList,0))+INDEX(LevelBasic,MATCH($H834,LevelList,0))*INDEX(LevelBonus,MATCH($H834,LevelList,0))+(INDEX(LevelBasic,MATCH($H834,LevelList,0))+INDEX(LevelHousing,MATCH($H834,LevelList,0)))*GosiSaudi,0))</f>
        <v>0</v>
      </c>
      <c r="W834" s="35" t="n">
        <f aca="false">IFERROR(INDEX(LevelOneOff,MATCH($H834,LevelList,0)),0)</f>
        <v>0</v>
      </c>
      <c r="X834" s="35" t="str">
        <f aca="false">IF($G834="","",$V834*N($L834))</f>
        <v/>
      </c>
      <c r="Y834" s="35" t="str">
        <f aca="false">IF($G834="","",$V834*(N($M834)*1+N($N834)*0.75+N($O834)*0.5+N($P834)*0.25)+$W834*N($L834))</f>
        <v/>
      </c>
      <c r="Z834" s="35" t="str">
        <f aca="false">IF($G834="","",$U834*1000000+ROW())</f>
        <v/>
      </c>
      <c r="AA834" s="36" t="str">
        <f aca="false">IF($G834="","",MID(IF($C834="",", no division","")&amp;IF($E834="",", no unit","")&amp;IF($H834="",", no career level","")&amp;IF(N($L834)&lt;=0,", no quarter split","")&amp;IF($R834="",", no driver","")&amp;IF(AND($H834&lt;&gt;"",COUNTIF(CareerLevels,$H834)=0),", a career level that is not on the ladder","")&amp;IF(AND($R834&lt;&gt;"",COUNTIF(DriverList,$R834)=0),", a driver that is not on the list","")&amp;IF(ABS(N($L834)-(N($M834)+N($N834)+N($O834)+N($P834)))&gt;0.001,", a total that does not match its quarters",""),3,300))</f>
        <v/>
      </c>
    </row>
    <row r="835" customFormat="false" ht="15" hidden="false" customHeight="false" outlineLevel="0" collapsed="false">
      <c r="A835" s="33" t="str">
        <f aca="false">IF($G835="","","Human Resources Group")</f>
        <v/>
      </c>
      <c r="B835" s="19"/>
      <c r="C835" s="19"/>
      <c r="D835" s="19"/>
      <c r="E835" s="19"/>
      <c r="F835" s="19"/>
      <c r="G835" s="19"/>
      <c r="H835" s="19"/>
      <c r="I835" s="19"/>
      <c r="J835" s="19"/>
      <c r="K835" s="19"/>
      <c r="L835" s="19"/>
      <c r="M835" s="19"/>
      <c r="N835" s="19"/>
      <c r="O835" s="19"/>
      <c r="P835" s="19"/>
      <c r="Q835" s="19"/>
      <c r="R835" s="19"/>
      <c r="S835" s="19"/>
      <c r="T835" s="34" t="str">
        <f aca="false">IF($R835="","",IFERROR(INDEX(DriverCategory,MATCH($R835,DriverList,0)),"BAU"))</f>
        <v/>
      </c>
      <c r="U835" s="34" t="str">
        <f aca="false">IF($R835="","",IFERROR(INDEX(DriverRank,MATCH($R835,DriverList,0)),99))</f>
        <v/>
      </c>
      <c r="V835" s="35" t="n">
        <f aca="false">IF($H835="",0,IFERROR(INDEX(LevelBasic,MATCH($H835,LevelList,0))+INDEX(LevelHousing,MATCH($H835,LevelList,0))+INDEX(LevelTransport,MATCH($H835,LevelList,0))+INDEX(LevelBasic,MATCH($H835,LevelList,0))*INDEX(LevelBonus,MATCH($H835,LevelList,0))+(INDEX(LevelBasic,MATCH($H835,LevelList,0))+INDEX(LevelHousing,MATCH($H835,LevelList,0)))*GosiSaudi,0))</f>
        <v>0</v>
      </c>
      <c r="W835" s="35" t="n">
        <f aca="false">IFERROR(INDEX(LevelOneOff,MATCH($H835,LevelList,0)),0)</f>
        <v>0</v>
      </c>
      <c r="X835" s="35" t="str">
        <f aca="false">IF($G835="","",$V835*N($L835))</f>
        <v/>
      </c>
      <c r="Y835" s="35" t="str">
        <f aca="false">IF($G835="","",$V835*(N($M835)*1+N($N835)*0.75+N($O835)*0.5+N($P835)*0.25)+$W835*N($L835))</f>
        <v/>
      </c>
      <c r="Z835" s="35" t="str">
        <f aca="false">IF($G835="","",$U835*1000000+ROW())</f>
        <v/>
      </c>
      <c r="AA835" s="36" t="str">
        <f aca="false">IF($G835="","",MID(IF($C835="",", no division","")&amp;IF($E835="",", no unit","")&amp;IF($H835="",", no career level","")&amp;IF(N($L835)&lt;=0,", no quarter split","")&amp;IF($R835="",", no driver","")&amp;IF(AND($H835&lt;&gt;"",COUNTIF(CareerLevels,$H835)=0),", a career level that is not on the ladder","")&amp;IF(AND($R835&lt;&gt;"",COUNTIF(DriverList,$R835)=0),", a driver that is not on the list","")&amp;IF(ABS(N($L835)-(N($M835)+N($N835)+N($O835)+N($P835)))&gt;0.001,", a total that does not match its quarters",""),3,300))</f>
        <v/>
      </c>
    </row>
    <row r="836" customFormat="false" ht="15" hidden="false" customHeight="false" outlineLevel="0" collapsed="false">
      <c r="A836" s="33" t="str">
        <f aca="false">IF($G836="","","Human Resources Group")</f>
        <v/>
      </c>
      <c r="B836" s="19"/>
      <c r="C836" s="19"/>
      <c r="D836" s="19"/>
      <c r="E836" s="19"/>
      <c r="F836" s="19"/>
      <c r="G836" s="19"/>
      <c r="H836" s="19"/>
      <c r="I836" s="19"/>
      <c r="J836" s="19"/>
      <c r="K836" s="19"/>
      <c r="L836" s="19"/>
      <c r="M836" s="19"/>
      <c r="N836" s="19"/>
      <c r="O836" s="19"/>
      <c r="P836" s="19"/>
      <c r="Q836" s="19"/>
      <c r="R836" s="19"/>
      <c r="S836" s="19"/>
      <c r="T836" s="34" t="str">
        <f aca="false">IF($R836="","",IFERROR(INDEX(DriverCategory,MATCH($R836,DriverList,0)),"BAU"))</f>
        <v/>
      </c>
      <c r="U836" s="34" t="str">
        <f aca="false">IF($R836="","",IFERROR(INDEX(DriverRank,MATCH($R836,DriverList,0)),99))</f>
        <v/>
      </c>
      <c r="V836" s="35" t="n">
        <f aca="false">IF($H836="",0,IFERROR(INDEX(LevelBasic,MATCH($H836,LevelList,0))+INDEX(LevelHousing,MATCH($H836,LevelList,0))+INDEX(LevelTransport,MATCH($H836,LevelList,0))+INDEX(LevelBasic,MATCH($H836,LevelList,0))*INDEX(LevelBonus,MATCH($H836,LevelList,0))+(INDEX(LevelBasic,MATCH($H836,LevelList,0))+INDEX(LevelHousing,MATCH($H836,LevelList,0)))*GosiSaudi,0))</f>
        <v>0</v>
      </c>
      <c r="W836" s="35" t="n">
        <f aca="false">IFERROR(INDEX(LevelOneOff,MATCH($H836,LevelList,0)),0)</f>
        <v>0</v>
      </c>
      <c r="X836" s="35" t="str">
        <f aca="false">IF($G836="","",$V836*N($L836))</f>
        <v/>
      </c>
      <c r="Y836" s="35" t="str">
        <f aca="false">IF($G836="","",$V836*(N($M836)*1+N($N836)*0.75+N($O836)*0.5+N($P836)*0.25)+$W836*N($L836))</f>
        <v/>
      </c>
      <c r="Z836" s="35" t="str">
        <f aca="false">IF($G836="","",$U836*1000000+ROW())</f>
        <v/>
      </c>
      <c r="AA836" s="36" t="str">
        <f aca="false">IF($G836="","",MID(IF($C836="",", no division","")&amp;IF($E836="",", no unit","")&amp;IF($H836="",", no career level","")&amp;IF(N($L836)&lt;=0,", no quarter split","")&amp;IF($R836="",", no driver","")&amp;IF(AND($H836&lt;&gt;"",COUNTIF(CareerLevels,$H836)=0),", a career level that is not on the ladder","")&amp;IF(AND($R836&lt;&gt;"",COUNTIF(DriverList,$R836)=0),", a driver that is not on the list","")&amp;IF(ABS(N($L836)-(N($M836)+N($N836)+N($O836)+N($P836)))&gt;0.001,", a total that does not match its quarters",""),3,300))</f>
        <v/>
      </c>
    </row>
    <row r="837" customFormat="false" ht="15" hidden="false" customHeight="false" outlineLevel="0" collapsed="false">
      <c r="A837" s="33" t="str">
        <f aca="false">IF($G837="","","Human Resources Group")</f>
        <v/>
      </c>
      <c r="B837" s="19"/>
      <c r="C837" s="19"/>
      <c r="D837" s="19"/>
      <c r="E837" s="19"/>
      <c r="F837" s="19"/>
      <c r="G837" s="19"/>
      <c r="H837" s="19"/>
      <c r="I837" s="19"/>
      <c r="J837" s="19"/>
      <c r="K837" s="19"/>
      <c r="L837" s="19"/>
      <c r="M837" s="19"/>
      <c r="N837" s="19"/>
      <c r="O837" s="19"/>
      <c r="P837" s="19"/>
      <c r="Q837" s="19"/>
      <c r="R837" s="19"/>
      <c r="S837" s="19"/>
      <c r="T837" s="34" t="str">
        <f aca="false">IF($R837="","",IFERROR(INDEX(DriverCategory,MATCH($R837,DriverList,0)),"BAU"))</f>
        <v/>
      </c>
      <c r="U837" s="34" t="str">
        <f aca="false">IF($R837="","",IFERROR(INDEX(DriverRank,MATCH($R837,DriverList,0)),99))</f>
        <v/>
      </c>
      <c r="V837" s="35" t="n">
        <f aca="false">IF($H837="",0,IFERROR(INDEX(LevelBasic,MATCH($H837,LevelList,0))+INDEX(LevelHousing,MATCH($H837,LevelList,0))+INDEX(LevelTransport,MATCH($H837,LevelList,0))+INDEX(LevelBasic,MATCH($H837,LevelList,0))*INDEX(LevelBonus,MATCH($H837,LevelList,0))+(INDEX(LevelBasic,MATCH($H837,LevelList,0))+INDEX(LevelHousing,MATCH($H837,LevelList,0)))*GosiSaudi,0))</f>
        <v>0</v>
      </c>
      <c r="W837" s="35" t="n">
        <f aca="false">IFERROR(INDEX(LevelOneOff,MATCH($H837,LevelList,0)),0)</f>
        <v>0</v>
      </c>
      <c r="X837" s="35" t="str">
        <f aca="false">IF($G837="","",$V837*N($L837))</f>
        <v/>
      </c>
      <c r="Y837" s="35" t="str">
        <f aca="false">IF($G837="","",$V837*(N($M837)*1+N($N837)*0.75+N($O837)*0.5+N($P837)*0.25)+$W837*N($L837))</f>
        <v/>
      </c>
      <c r="Z837" s="35" t="str">
        <f aca="false">IF($G837="","",$U837*1000000+ROW())</f>
        <v/>
      </c>
      <c r="AA837" s="36" t="str">
        <f aca="false">IF($G837="","",MID(IF($C837="",", no division","")&amp;IF($E837="",", no unit","")&amp;IF($H837="",", no career level","")&amp;IF(N($L837)&lt;=0,", no quarter split","")&amp;IF($R837="",", no driver","")&amp;IF(AND($H837&lt;&gt;"",COUNTIF(CareerLevels,$H837)=0),", a career level that is not on the ladder","")&amp;IF(AND($R837&lt;&gt;"",COUNTIF(DriverList,$R837)=0),", a driver that is not on the list","")&amp;IF(ABS(N($L837)-(N($M837)+N($N837)+N($O837)+N($P837)))&gt;0.001,", a total that does not match its quarters",""),3,300))</f>
        <v/>
      </c>
    </row>
    <row r="838" customFormat="false" ht="15" hidden="false" customHeight="false" outlineLevel="0" collapsed="false">
      <c r="A838" s="33" t="str">
        <f aca="false">IF($G838="","","Human Resources Group")</f>
        <v/>
      </c>
      <c r="B838" s="19"/>
      <c r="C838" s="19"/>
      <c r="D838" s="19"/>
      <c r="E838" s="19"/>
      <c r="F838" s="19"/>
      <c r="G838" s="19"/>
      <c r="H838" s="19"/>
      <c r="I838" s="19"/>
      <c r="J838" s="19"/>
      <c r="K838" s="19"/>
      <c r="L838" s="19"/>
      <c r="M838" s="19"/>
      <c r="N838" s="19"/>
      <c r="O838" s="19"/>
      <c r="P838" s="19"/>
      <c r="Q838" s="19"/>
      <c r="R838" s="19"/>
      <c r="S838" s="19"/>
      <c r="T838" s="34" t="str">
        <f aca="false">IF($R838="","",IFERROR(INDEX(DriverCategory,MATCH($R838,DriverList,0)),"BAU"))</f>
        <v/>
      </c>
      <c r="U838" s="34" t="str">
        <f aca="false">IF($R838="","",IFERROR(INDEX(DriverRank,MATCH($R838,DriverList,0)),99))</f>
        <v/>
      </c>
      <c r="V838" s="35" t="n">
        <f aca="false">IF($H838="",0,IFERROR(INDEX(LevelBasic,MATCH($H838,LevelList,0))+INDEX(LevelHousing,MATCH($H838,LevelList,0))+INDEX(LevelTransport,MATCH($H838,LevelList,0))+INDEX(LevelBasic,MATCH($H838,LevelList,0))*INDEX(LevelBonus,MATCH($H838,LevelList,0))+(INDEX(LevelBasic,MATCH($H838,LevelList,0))+INDEX(LevelHousing,MATCH($H838,LevelList,0)))*GosiSaudi,0))</f>
        <v>0</v>
      </c>
      <c r="W838" s="35" t="n">
        <f aca="false">IFERROR(INDEX(LevelOneOff,MATCH($H838,LevelList,0)),0)</f>
        <v>0</v>
      </c>
      <c r="X838" s="35" t="str">
        <f aca="false">IF($G838="","",$V838*N($L838))</f>
        <v/>
      </c>
      <c r="Y838" s="35" t="str">
        <f aca="false">IF($G838="","",$V838*(N($M838)*1+N($N838)*0.75+N($O838)*0.5+N($P838)*0.25)+$W838*N($L838))</f>
        <v/>
      </c>
      <c r="Z838" s="35" t="str">
        <f aca="false">IF($G838="","",$U838*1000000+ROW())</f>
        <v/>
      </c>
      <c r="AA838" s="36" t="str">
        <f aca="false">IF($G838="","",MID(IF($C838="",", no division","")&amp;IF($E838="",", no unit","")&amp;IF($H838="",", no career level","")&amp;IF(N($L838)&lt;=0,", no quarter split","")&amp;IF($R838="",", no driver","")&amp;IF(AND($H838&lt;&gt;"",COUNTIF(CareerLevels,$H838)=0),", a career level that is not on the ladder","")&amp;IF(AND($R838&lt;&gt;"",COUNTIF(DriverList,$R838)=0),", a driver that is not on the list","")&amp;IF(ABS(N($L838)-(N($M838)+N($N838)+N($O838)+N($P838)))&gt;0.001,", a total that does not match its quarters",""),3,300))</f>
        <v/>
      </c>
    </row>
    <row r="839" customFormat="false" ht="15" hidden="false" customHeight="false" outlineLevel="0" collapsed="false">
      <c r="A839" s="33" t="str">
        <f aca="false">IF($G839="","","Human Resources Group")</f>
        <v/>
      </c>
      <c r="B839" s="19"/>
      <c r="C839" s="19"/>
      <c r="D839" s="19"/>
      <c r="E839" s="19"/>
      <c r="F839" s="19"/>
      <c r="G839" s="19"/>
      <c r="H839" s="19"/>
      <c r="I839" s="19"/>
      <c r="J839" s="19"/>
      <c r="K839" s="19"/>
      <c r="L839" s="19"/>
      <c r="M839" s="19"/>
      <c r="N839" s="19"/>
      <c r="O839" s="19"/>
      <c r="P839" s="19"/>
      <c r="Q839" s="19"/>
      <c r="R839" s="19"/>
      <c r="S839" s="19"/>
      <c r="T839" s="34" t="str">
        <f aca="false">IF($R839="","",IFERROR(INDEX(DriverCategory,MATCH($R839,DriverList,0)),"BAU"))</f>
        <v/>
      </c>
      <c r="U839" s="34" t="str">
        <f aca="false">IF($R839="","",IFERROR(INDEX(DriverRank,MATCH($R839,DriverList,0)),99))</f>
        <v/>
      </c>
      <c r="V839" s="35" t="n">
        <f aca="false">IF($H839="",0,IFERROR(INDEX(LevelBasic,MATCH($H839,LevelList,0))+INDEX(LevelHousing,MATCH($H839,LevelList,0))+INDEX(LevelTransport,MATCH($H839,LevelList,0))+INDEX(LevelBasic,MATCH($H839,LevelList,0))*INDEX(LevelBonus,MATCH($H839,LevelList,0))+(INDEX(LevelBasic,MATCH($H839,LevelList,0))+INDEX(LevelHousing,MATCH($H839,LevelList,0)))*GosiSaudi,0))</f>
        <v>0</v>
      </c>
      <c r="W839" s="35" t="n">
        <f aca="false">IFERROR(INDEX(LevelOneOff,MATCH($H839,LevelList,0)),0)</f>
        <v>0</v>
      </c>
      <c r="X839" s="35" t="str">
        <f aca="false">IF($G839="","",$V839*N($L839))</f>
        <v/>
      </c>
      <c r="Y839" s="35" t="str">
        <f aca="false">IF($G839="","",$V839*(N($M839)*1+N($N839)*0.75+N($O839)*0.5+N($P839)*0.25)+$W839*N($L839))</f>
        <v/>
      </c>
      <c r="Z839" s="35" t="str">
        <f aca="false">IF($G839="","",$U839*1000000+ROW())</f>
        <v/>
      </c>
      <c r="AA839" s="36" t="str">
        <f aca="false">IF($G839="","",MID(IF($C839="",", no division","")&amp;IF($E839="",", no unit","")&amp;IF($H839="",", no career level","")&amp;IF(N($L839)&lt;=0,", no quarter split","")&amp;IF($R839="",", no driver","")&amp;IF(AND($H839&lt;&gt;"",COUNTIF(CareerLevels,$H839)=0),", a career level that is not on the ladder","")&amp;IF(AND($R839&lt;&gt;"",COUNTIF(DriverList,$R839)=0),", a driver that is not on the list","")&amp;IF(ABS(N($L839)-(N($M839)+N($N839)+N($O839)+N($P839)))&gt;0.001,", a total that does not match its quarters",""),3,300))</f>
        <v/>
      </c>
    </row>
    <row r="840" customFormat="false" ht="15" hidden="false" customHeight="false" outlineLevel="0" collapsed="false">
      <c r="A840" s="33" t="str">
        <f aca="false">IF($G840="","","Human Resources Group")</f>
        <v/>
      </c>
      <c r="B840" s="19"/>
      <c r="C840" s="19"/>
      <c r="D840" s="19"/>
      <c r="E840" s="19"/>
      <c r="F840" s="19"/>
      <c r="G840" s="19"/>
      <c r="H840" s="19"/>
      <c r="I840" s="19"/>
      <c r="J840" s="19"/>
      <c r="K840" s="19"/>
      <c r="L840" s="19"/>
      <c r="M840" s="19"/>
      <c r="N840" s="19"/>
      <c r="O840" s="19"/>
      <c r="P840" s="19"/>
      <c r="Q840" s="19"/>
      <c r="R840" s="19"/>
      <c r="S840" s="19"/>
      <c r="T840" s="34" t="str">
        <f aca="false">IF($R840="","",IFERROR(INDEX(DriverCategory,MATCH($R840,DriverList,0)),"BAU"))</f>
        <v/>
      </c>
      <c r="U840" s="34" t="str">
        <f aca="false">IF($R840="","",IFERROR(INDEX(DriverRank,MATCH($R840,DriverList,0)),99))</f>
        <v/>
      </c>
      <c r="V840" s="35" t="n">
        <f aca="false">IF($H840="",0,IFERROR(INDEX(LevelBasic,MATCH($H840,LevelList,0))+INDEX(LevelHousing,MATCH($H840,LevelList,0))+INDEX(LevelTransport,MATCH($H840,LevelList,0))+INDEX(LevelBasic,MATCH($H840,LevelList,0))*INDEX(LevelBonus,MATCH($H840,LevelList,0))+(INDEX(LevelBasic,MATCH($H840,LevelList,0))+INDEX(LevelHousing,MATCH($H840,LevelList,0)))*GosiSaudi,0))</f>
        <v>0</v>
      </c>
      <c r="W840" s="35" t="n">
        <f aca="false">IFERROR(INDEX(LevelOneOff,MATCH($H840,LevelList,0)),0)</f>
        <v>0</v>
      </c>
      <c r="X840" s="35" t="str">
        <f aca="false">IF($G840="","",$V840*N($L840))</f>
        <v/>
      </c>
      <c r="Y840" s="35" t="str">
        <f aca="false">IF($G840="","",$V840*(N($M840)*1+N($N840)*0.75+N($O840)*0.5+N($P840)*0.25)+$W840*N($L840))</f>
        <v/>
      </c>
      <c r="Z840" s="35" t="str">
        <f aca="false">IF($G840="","",$U840*1000000+ROW())</f>
        <v/>
      </c>
      <c r="AA840" s="36" t="str">
        <f aca="false">IF($G840="","",MID(IF($C840="",", no division","")&amp;IF($E840="",", no unit","")&amp;IF($H840="",", no career level","")&amp;IF(N($L840)&lt;=0,", no quarter split","")&amp;IF($R840="",", no driver","")&amp;IF(AND($H840&lt;&gt;"",COUNTIF(CareerLevels,$H840)=0),", a career level that is not on the ladder","")&amp;IF(AND($R840&lt;&gt;"",COUNTIF(DriverList,$R840)=0),", a driver that is not on the list","")&amp;IF(ABS(N($L840)-(N($M840)+N($N840)+N($O840)+N($P840)))&gt;0.001,", a total that does not match its quarters",""),3,300))</f>
        <v/>
      </c>
    </row>
    <row r="841" customFormat="false" ht="15" hidden="false" customHeight="false" outlineLevel="0" collapsed="false">
      <c r="A841" s="33" t="str">
        <f aca="false">IF($G841="","","Human Resources Group")</f>
        <v/>
      </c>
      <c r="B841" s="19"/>
      <c r="C841" s="19"/>
      <c r="D841" s="19"/>
      <c r="E841" s="19"/>
      <c r="F841" s="19"/>
      <c r="G841" s="19"/>
      <c r="H841" s="19"/>
      <c r="I841" s="19"/>
      <c r="J841" s="19"/>
      <c r="K841" s="19"/>
      <c r="L841" s="19"/>
      <c r="M841" s="19"/>
      <c r="N841" s="19"/>
      <c r="O841" s="19"/>
      <c r="P841" s="19"/>
      <c r="Q841" s="19"/>
      <c r="R841" s="19"/>
      <c r="S841" s="19"/>
      <c r="T841" s="34" t="str">
        <f aca="false">IF($R841="","",IFERROR(INDEX(DriverCategory,MATCH($R841,DriverList,0)),"BAU"))</f>
        <v/>
      </c>
      <c r="U841" s="34" t="str">
        <f aca="false">IF($R841="","",IFERROR(INDEX(DriverRank,MATCH($R841,DriverList,0)),99))</f>
        <v/>
      </c>
      <c r="V841" s="35" t="n">
        <f aca="false">IF($H841="",0,IFERROR(INDEX(LevelBasic,MATCH($H841,LevelList,0))+INDEX(LevelHousing,MATCH($H841,LevelList,0))+INDEX(LevelTransport,MATCH($H841,LevelList,0))+INDEX(LevelBasic,MATCH($H841,LevelList,0))*INDEX(LevelBonus,MATCH($H841,LevelList,0))+(INDEX(LevelBasic,MATCH($H841,LevelList,0))+INDEX(LevelHousing,MATCH($H841,LevelList,0)))*GosiSaudi,0))</f>
        <v>0</v>
      </c>
      <c r="W841" s="35" t="n">
        <f aca="false">IFERROR(INDEX(LevelOneOff,MATCH($H841,LevelList,0)),0)</f>
        <v>0</v>
      </c>
      <c r="X841" s="35" t="str">
        <f aca="false">IF($G841="","",$V841*N($L841))</f>
        <v/>
      </c>
      <c r="Y841" s="35" t="str">
        <f aca="false">IF($G841="","",$V841*(N($M841)*1+N($N841)*0.75+N($O841)*0.5+N($P841)*0.25)+$W841*N($L841))</f>
        <v/>
      </c>
      <c r="Z841" s="35" t="str">
        <f aca="false">IF($G841="","",$U841*1000000+ROW())</f>
        <v/>
      </c>
      <c r="AA841" s="36" t="str">
        <f aca="false">IF($G841="","",MID(IF($C841="",", no division","")&amp;IF($E841="",", no unit","")&amp;IF($H841="",", no career level","")&amp;IF(N($L841)&lt;=0,", no quarter split","")&amp;IF($R841="",", no driver","")&amp;IF(AND($H841&lt;&gt;"",COUNTIF(CareerLevels,$H841)=0),", a career level that is not on the ladder","")&amp;IF(AND($R841&lt;&gt;"",COUNTIF(DriverList,$R841)=0),", a driver that is not on the list","")&amp;IF(ABS(N($L841)-(N($M841)+N($N841)+N($O841)+N($P841)))&gt;0.001,", a total that does not match its quarters",""),3,300))</f>
        <v/>
      </c>
    </row>
    <row r="842" customFormat="false" ht="15" hidden="false" customHeight="false" outlineLevel="0" collapsed="false">
      <c r="A842" s="33" t="str">
        <f aca="false">IF($G842="","","Human Resources Group")</f>
        <v/>
      </c>
      <c r="B842" s="19"/>
      <c r="C842" s="19"/>
      <c r="D842" s="19"/>
      <c r="E842" s="19"/>
      <c r="F842" s="19"/>
      <c r="G842" s="19"/>
      <c r="H842" s="19"/>
      <c r="I842" s="19"/>
      <c r="J842" s="19"/>
      <c r="K842" s="19"/>
      <c r="L842" s="19"/>
      <c r="M842" s="19"/>
      <c r="N842" s="19"/>
      <c r="O842" s="19"/>
      <c r="P842" s="19"/>
      <c r="Q842" s="19"/>
      <c r="R842" s="19"/>
      <c r="S842" s="19"/>
      <c r="T842" s="34" t="str">
        <f aca="false">IF($R842="","",IFERROR(INDEX(DriverCategory,MATCH($R842,DriverList,0)),"BAU"))</f>
        <v/>
      </c>
      <c r="U842" s="34" t="str">
        <f aca="false">IF($R842="","",IFERROR(INDEX(DriverRank,MATCH($R842,DriverList,0)),99))</f>
        <v/>
      </c>
      <c r="V842" s="35" t="n">
        <f aca="false">IF($H842="",0,IFERROR(INDEX(LevelBasic,MATCH($H842,LevelList,0))+INDEX(LevelHousing,MATCH($H842,LevelList,0))+INDEX(LevelTransport,MATCH($H842,LevelList,0))+INDEX(LevelBasic,MATCH($H842,LevelList,0))*INDEX(LevelBonus,MATCH($H842,LevelList,0))+(INDEX(LevelBasic,MATCH($H842,LevelList,0))+INDEX(LevelHousing,MATCH($H842,LevelList,0)))*GosiSaudi,0))</f>
        <v>0</v>
      </c>
      <c r="W842" s="35" t="n">
        <f aca="false">IFERROR(INDEX(LevelOneOff,MATCH($H842,LevelList,0)),0)</f>
        <v>0</v>
      </c>
      <c r="X842" s="35" t="str">
        <f aca="false">IF($G842="","",$V842*N($L842))</f>
        <v/>
      </c>
      <c r="Y842" s="35" t="str">
        <f aca="false">IF($G842="","",$V842*(N($M842)*1+N($N842)*0.75+N($O842)*0.5+N($P842)*0.25)+$W842*N($L842))</f>
        <v/>
      </c>
      <c r="Z842" s="35" t="str">
        <f aca="false">IF($G842="","",$U842*1000000+ROW())</f>
        <v/>
      </c>
      <c r="AA842" s="36" t="str">
        <f aca="false">IF($G842="","",MID(IF($C842="",", no division","")&amp;IF($E842="",", no unit","")&amp;IF($H842="",", no career level","")&amp;IF(N($L842)&lt;=0,", no quarter split","")&amp;IF($R842="",", no driver","")&amp;IF(AND($H842&lt;&gt;"",COUNTIF(CareerLevels,$H842)=0),", a career level that is not on the ladder","")&amp;IF(AND($R842&lt;&gt;"",COUNTIF(DriverList,$R842)=0),", a driver that is not on the list","")&amp;IF(ABS(N($L842)-(N($M842)+N($N842)+N($O842)+N($P842)))&gt;0.001,", a total that does not match its quarters",""),3,300))</f>
        <v/>
      </c>
    </row>
    <row r="843" customFormat="false" ht="15" hidden="false" customHeight="false" outlineLevel="0" collapsed="false">
      <c r="A843" s="33" t="str">
        <f aca="false">IF($G843="","","Human Resources Group")</f>
        <v/>
      </c>
      <c r="B843" s="19"/>
      <c r="C843" s="19"/>
      <c r="D843" s="19"/>
      <c r="E843" s="19"/>
      <c r="F843" s="19"/>
      <c r="G843" s="19"/>
      <c r="H843" s="19"/>
      <c r="I843" s="19"/>
      <c r="J843" s="19"/>
      <c r="K843" s="19"/>
      <c r="L843" s="19"/>
      <c r="M843" s="19"/>
      <c r="N843" s="19"/>
      <c r="O843" s="19"/>
      <c r="P843" s="19"/>
      <c r="Q843" s="19"/>
      <c r="R843" s="19"/>
      <c r="S843" s="19"/>
      <c r="T843" s="34" t="str">
        <f aca="false">IF($R843="","",IFERROR(INDEX(DriverCategory,MATCH($R843,DriverList,0)),"BAU"))</f>
        <v/>
      </c>
      <c r="U843" s="34" t="str">
        <f aca="false">IF($R843="","",IFERROR(INDEX(DriverRank,MATCH($R843,DriverList,0)),99))</f>
        <v/>
      </c>
      <c r="V843" s="35" t="n">
        <f aca="false">IF($H843="",0,IFERROR(INDEX(LevelBasic,MATCH($H843,LevelList,0))+INDEX(LevelHousing,MATCH($H843,LevelList,0))+INDEX(LevelTransport,MATCH($H843,LevelList,0))+INDEX(LevelBasic,MATCH($H843,LevelList,0))*INDEX(LevelBonus,MATCH($H843,LevelList,0))+(INDEX(LevelBasic,MATCH($H843,LevelList,0))+INDEX(LevelHousing,MATCH($H843,LevelList,0)))*GosiSaudi,0))</f>
        <v>0</v>
      </c>
      <c r="W843" s="35" t="n">
        <f aca="false">IFERROR(INDEX(LevelOneOff,MATCH($H843,LevelList,0)),0)</f>
        <v>0</v>
      </c>
      <c r="X843" s="35" t="str">
        <f aca="false">IF($G843="","",$V843*N($L843))</f>
        <v/>
      </c>
      <c r="Y843" s="35" t="str">
        <f aca="false">IF($G843="","",$V843*(N($M843)*1+N($N843)*0.75+N($O843)*0.5+N($P843)*0.25)+$W843*N($L843))</f>
        <v/>
      </c>
      <c r="Z843" s="35" t="str">
        <f aca="false">IF($G843="","",$U843*1000000+ROW())</f>
        <v/>
      </c>
      <c r="AA843" s="36" t="str">
        <f aca="false">IF($G843="","",MID(IF($C843="",", no division","")&amp;IF($E843="",", no unit","")&amp;IF($H843="",", no career level","")&amp;IF(N($L843)&lt;=0,", no quarter split","")&amp;IF($R843="",", no driver","")&amp;IF(AND($H843&lt;&gt;"",COUNTIF(CareerLevels,$H843)=0),", a career level that is not on the ladder","")&amp;IF(AND($R843&lt;&gt;"",COUNTIF(DriverList,$R843)=0),", a driver that is not on the list","")&amp;IF(ABS(N($L843)-(N($M843)+N($N843)+N($O843)+N($P843)))&gt;0.001,", a total that does not match its quarters",""),3,300))</f>
        <v/>
      </c>
    </row>
    <row r="844" customFormat="false" ht="15" hidden="false" customHeight="false" outlineLevel="0" collapsed="false">
      <c r="A844" s="33" t="str">
        <f aca="false">IF($G844="","","Human Resources Group")</f>
        <v/>
      </c>
      <c r="B844" s="19"/>
      <c r="C844" s="19"/>
      <c r="D844" s="19"/>
      <c r="E844" s="19"/>
      <c r="F844" s="19"/>
      <c r="G844" s="19"/>
      <c r="H844" s="19"/>
      <c r="I844" s="19"/>
      <c r="J844" s="19"/>
      <c r="K844" s="19"/>
      <c r="L844" s="19"/>
      <c r="M844" s="19"/>
      <c r="N844" s="19"/>
      <c r="O844" s="19"/>
      <c r="P844" s="19"/>
      <c r="Q844" s="19"/>
      <c r="R844" s="19"/>
      <c r="S844" s="19"/>
      <c r="T844" s="34" t="str">
        <f aca="false">IF($R844="","",IFERROR(INDEX(DriverCategory,MATCH($R844,DriverList,0)),"BAU"))</f>
        <v/>
      </c>
      <c r="U844" s="34" t="str">
        <f aca="false">IF($R844="","",IFERROR(INDEX(DriverRank,MATCH($R844,DriverList,0)),99))</f>
        <v/>
      </c>
      <c r="V844" s="35" t="n">
        <f aca="false">IF($H844="",0,IFERROR(INDEX(LevelBasic,MATCH($H844,LevelList,0))+INDEX(LevelHousing,MATCH($H844,LevelList,0))+INDEX(LevelTransport,MATCH($H844,LevelList,0))+INDEX(LevelBasic,MATCH($H844,LevelList,0))*INDEX(LevelBonus,MATCH($H844,LevelList,0))+(INDEX(LevelBasic,MATCH($H844,LevelList,0))+INDEX(LevelHousing,MATCH($H844,LevelList,0)))*GosiSaudi,0))</f>
        <v>0</v>
      </c>
      <c r="W844" s="35" t="n">
        <f aca="false">IFERROR(INDEX(LevelOneOff,MATCH($H844,LevelList,0)),0)</f>
        <v>0</v>
      </c>
      <c r="X844" s="35" t="str">
        <f aca="false">IF($G844="","",$V844*N($L844))</f>
        <v/>
      </c>
      <c r="Y844" s="35" t="str">
        <f aca="false">IF($G844="","",$V844*(N($M844)*1+N($N844)*0.75+N($O844)*0.5+N($P844)*0.25)+$W844*N($L844))</f>
        <v/>
      </c>
      <c r="Z844" s="35" t="str">
        <f aca="false">IF($G844="","",$U844*1000000+ROW())</f>
        <v/>
      </c>
      <c r="AA844" s="36" t="str">
        <f aca="false">IF($G844="","",MID(IF($C844="",", no division","")&amp;IF($E844="",", no unit","")&amp;IF($H844="",", no career level","")&amp;IF(N($L844)&lt;=0,", no quarter split","")&amp;IF($R844="",", no driver","")&amp;IF(AND($H844&lt;&gt;"",COUNTIF(CareerLevels,$H844)=0),", a career level that is not on the ladder","")&amp;IF(AND($R844&lt;&gt;"",COUNTIF(DriverList,$R844)=0),", a driver that is not on the list","")&amp;IF(ABS(N($L844)-(N($M844)+N($N844)+N($O844)+N($P844)))&gt;0.001,", a total that does not match its quarters",""),3,300))</f>
        <v/>
      </c>
    </row>
    <row r="845" customFormat="false" ht="15" hidden="false" customHeight="false" outlineLevel="0" collapsed="false">
      <c r="A845" s="33" t="str">
        <f aca="false">IF($G845="","","Human Resources Group")</f>
        <v/>
      </c>
      <c r="B845" s="19"/>
      <c r="C845" s="19"/>
      <c r="D845" s="19"/>
      <c r="E845" s="19"/>
      <c r="F845" s="19"/>
      <c r="G845" s="19"/>
      <c r="H845" s="19"/>
      <c r="I845" s="19"/>
      <c r="J845" s="19"/>
      <c r="K845" s="19"/>
      <c r="L845" s="19"/>
      <c r="M845" s="19"/>
      <c r="N845" s="19"/>
      <c r="O845" s="19"/>
      <c r="P845" s="19"/>
      <c r="Q845" s="19"/>
      <c r="R845" s="19"/>
      <c r="S845" s="19"/>
      <c r="T845" s="34" t="str">
        <f aca="false">IF($R845="","",IFERROR(INDEX(DriverCategory,MATCH($R845,DriverList,0)),"BAU"))</f>
        <v/>
      </c>
      <c r="U845" s="34" t="str">
        <f aca="false">IF($R845="","",IFERROR(INDEX(DriverRank,MATCH($R845,DriverList,0)),99))</f>
        <v/>
      </c>
      <c r="V845" s="35" t="n">
        <f aca="false">IF($H845="",0,IFERROR(INDEX(LevelBasic,MATCH($H845,LevelList,0))+INDEX(LevelHousing,MATCH($H845,LevelList,0))+INDEX(LevelTransport,MATCH($H845,LevelList,0))+INDEX(LevelBasic,MATCH($H845,LevelList,0))*INDEX(LevelBonus,MATCH($H845,LevelList,0))+(INDEX(LevelBasic,MATCH($H845,LevelList,0))+INDEX(LevelHousing,MATCH($H845,LevelList,0)))*GosiSaudi,0))</f>
        <v>0</v>
      </c>
      <c r="W845" s="35" t="n">
        <f aca="false">IFERROR(INDEX(LevelOneOff,MATCH($H845,LevelList,0)),0)</f>
        <v>0</v>
      </c>
      <c r="X845" s="35" t="str">
        <f aca="false">IF($G845="","",$V845*N($L845))</f>
        <v/>
      </c>
      <c r="Y845" s="35" t="str">
        <f aca="false">IF($G845="","",$V845*(N($M845)*1+N($N845)*0.75+N($O845)*0.5+N($P845)*0.25)+$W845*N($L845))</f>
        <v/>
      </c>
      <c r="Z845" s="35" t="str">
        <f aca="false">IF($G845="","",$U845*1000000+ROW())</f>
        <v/>
      </c>
      <c r="AA845" s="36" t="str">
        <f aca="false">IF($G845="","",MID(IF($C845="",", no division","")&amp;IF($E845="",", no unit","")&amp;IF($H845="",", no career level","")&amp;IF(N($L845)&lt;=0,", no quarter split","")&amp;IF($R845="",", no driver","")&amp;IF(AND($H845&lt;&gt;"",COUNTIF(CareerLevels,$H845)=0),", a career level that is not on the ladder","")&amp;IF(AND($R845&lt;&gt;"",COUNTIF(DriverList,$R845)=0),", a driver that is not on the list","")&amp;IF(ABS(N($L845)-(N($M845)+N($N845)+N($O845)+N($P845)))&gt;0.001,", a total that does not match its quarters",""),3,300))</f>
        <v/>
      </c>
    </row>
    <row r="846" customFormat="false" ht="15" hidden="false" customHeight="false" outlineLevel="0" collapsed="false">
      <c r="A846" s="33" t="str">
        <f aca="false">IF($G846="","","Human Resources Group")</f>
        <v/>
      </c>
      <c r="B846" s="19"/>
      <c r="C846" s="19"/>
      <c r="D846" s="19"/>
      <c r="E846" s="19"/>
      <c r="F846" s="19"/>
      <c r="G846" s="19"/>
      <c r="H846" s="19"/>
      <c r="I846" s="19"/>
      <c r="J846" s="19"/>
      <c r="K846" s="19"/>
      <c r="L846" s="19"/>
      <c r="M846" s="19"/>
      <c r="N846" s="19"/>
      <c r="O846" s="19"/>
      <c r="P846" s="19"/>
      <c r="Q846" s="19"/>
      <c r="R846" s="19"/>
      <c r="S846" s="19"/>
      <c r="T846" s="34" t="str">
        <f aca="false">IF($R846="","",IFERROR(INDEX(DriverCategory,MATCH($R846,DriverList,0)),"BAU"))</f>
        <v/>
      </c>
      <c r="U846" s="34" t="str">
        <f aca="false">IF($R846="","",IFERROR(INDEX(DriverRank,MATCH($R846,DriverList,0)),99))</f>
        <v/>
      </c>
      <c r="V846" s="35" t="n">
        <f aca="false">IF($H846="",0,IFERROR(INDEX(LevelBasic,MATCH($H846,LevelList,0))+INDEX(LevelHousing,MATCH($H846,LevelList,0))+INDEX(LevelTransport,MATCH($H846,LevelList,0))+INDEX(LevelBasic,MATCH($H846,LevelList,0))*INDEX(LevelBonus,MATCH($H846,LevelList,0))+(INDEX(LevelBasic,MATCH($H846,LevelList,0))+INDEX(LevelHousing,MATCH($H846,LevelList,0)))*GosiSaudi,0))</f>
        <v>0</v>
      </c>
      <c r="W846" s="35" t="n">
        <f aca="false">IFERROR(INDEX(LevelOneOff,MATCH($H846,LevelList,0)),0)</f>
        <v>0</v>
      </c>
      <c r="X846" s="35" t="str">
        <f aca="false">IF($G846="","",$V846*N($L846))</f>
        <v/>
      </c>
      <c r="Y846" s="35" t="str">
        <f aca="false">IF($G846="","",$V846*(N($M846)*1+N($N846)*0.75+N($O846)*0.5+N($P846)*0.25)+$W846*N($L846))</f>
        <v/>
      </c>
      <c r="Z846" s="35" t="str">
        <f aca="false">IF($G846="","",$U846*1000000+ROW())</f>
        <v/>
      </c>
      <c r="AA846" s="36" t="str">
        <f aca="false">IF($G846="","",MID(IF($C846="",", no division","")&amp;IF($E846="",", no unit","")&amp;IF($H846="",", no career level","")&amp;IF(N($L846)&lt;=0,", no quarter split","")&amp;IF($R846="",", no driver","")&amp;IF(AND($H846&lt;&gt;"",COUNTIF(CareerLevels,$H846)=0),", a career level that is not on the ladder","")&amp;IF(AND($R846&lt;&gt;"",COUNTIF(DriverList,$R846)=0),", a driver that is not on the list","")&amp;IF(ABS(N($L846)-(N($M846)+N($N846)+N($O846)+N($P846)))&gt;0.001,", a total that does not match its quarters",""),3,300))</f>
        <v/>
      </c>
    </row>
    <row r="847" customFormat="false" ht="15" hidden="false" customHeight="false" outlineLevel="0" collapsed="false">
      <c r="A847" s="33" t="str">
        <f aca="false">IF($G847="","","Human Resources Group")</f>
        <v/>
      </c>
      <c r="B847" s="19"/>
      <c r="C847" s="19"/>
      <c r="D847" s="19"/>
      <c r="E847" s="19"/>
      <c r="F847" s="19"/>
      <c r="G847" s="19"/>
      <c r="H847" s="19"/>
      <c r="I847" s="19"/>
      <c r="J847" s="19"/>
      <c r="K847" s="19"/>
      <c r="L847" s="19"/>
      <c r="M847" s="19"/>
      <c r="N847" s="19"/>
      <c r="O847" s="19"/>
      <c r="P847" s="19"/>
      <c r="Q847" s="19"/>
      <c r="R847" s="19"/>
      <c r="S847" s="19"/>
      <c r="T847" s="34" t="str">
        <f aca="false">IF($R847="","",IFERROR(INDEX(DriverCategory,MATCH($R847,DriverList,0)),"BAU"))</f>
        <v/>
      </c>
      <c r="U847" s="34" t="str">
        <f aca="false">IF($R847="","",IFERROR(INDEX(DriverRank,MATCH($R847,DriverList,0)),99))</f>
        <v/>
      </c>
      <c r="V847" s="35" t="n">
        <f aca="false">IF($H847="",0,IFERROR(INDEX(LevelBasic,MATCH($H847,LevelList,0))+INDEX(LevelHousing,MATCH($H847,LevelList,0))+INDEX(LevelTransport,MATCH($H847,LevelList,0))+INDEX(LevelBasic,MATCH($H847,LevelList,0))*INDEX(LevelBonus,MATCH($H847,LevelList,0))+(INDEX(LevelBasic,MATCH($H847,LevelList,0))+INDEX(LevelHousing,MATCH($H847,LevelList,0)))*GosiSaudi,0))</f>
        <v>0</v>
      </c>
      <c r="W847" s="35" t="n">
        <f aca="false">IFERROR(INDEX(LevelOneOff,MATCH($H847,LevelList,0)),0)</f>
        <v>0</v>
      </c>
      <c r="X847" s="35" t="str">
        <f aca="false">IF($G847="","",$V847*N($L847))</f>
        <v/>
      </c>
      <c r="Y847" s="35" t="str">
        <f aca="false">IF($G847="","",$V847*(N($M847)*1+N($N847)*0.75+N($O847)*0.5+N($P847)*0.25)+$W847*N($L847))</f>
        <v/>
      </c>
      <c r="Z847" s="35" t="str">
        <f aca="false">IF($G847="","",$U847*1000000+ROW())</f>
        <v/>
      </c>
      <c r="AA847" s="36" t="str">
        <f aca="false">IF($G847="","",MID(IF($C847="",", no division","")&amp;IF($E847="",", no unit","")&amp;IF($H847="",", no career level","")&amp;IF(N($L847)&lt;=0,", no quarter split","")&amp;IF($R847="",", no driver","")&amp;IF(AND($H847&lt;&gt;"",COUNTIF(CareerLevels,$H847)=0),", a career level that is not on the ladder","")&amp;IF(AND($R847&lt;&gt;"",COUNTIF(DriverList,$R847)=0),", a driver that is not on the list","")&amp;IF(ABS(N($L847)-(N($M847)+N($N847)+N($O847)+N($P847)))&gt;0.001,", a total that does not match its quarters",""),3,300))</f>
        <v/>
      </c>
    </row>
    <row r="848" customFormat="false" ht="15" hidden="false" customHeight="false" outlineLevel="0" collapsed="false">
      <c r="A848" s="33" t="str">
        <f aca="false">IF($G848="","","Human Resources Group")</f>
        <v/>
      </c>
      <c r="B848" s="19"/>
      <c r="C848" s="19"/>
      <c r="D848" s="19"/>
      <c r="E848" s="19"/>
      <c r="F848" s="19"/>
      <c r="G848" s="19"/>
      <c r="H848" s="19"/>
      <c r="I848" s="19"/>
      <c r="J848" s="19"/>
      <c r="K848" s="19"/>
      <c r="L848" s="19"/>
      <c r="M848" s="19"/>
      <c r="N848" s="19"/>
      <c r="O848" s="19"/>
      <c r="P848" s="19"/>
      <c r="Q848" s="19"/>
      <c r="R848" s="19"/>
      <c r="S848" s="19"/>
      <c r="T848" s="34" t="str">
        <f aca="false">IF($R848="","",IFERROR(INDEX(DriverCategory,MATCH($R848,DriverList,0)),"BAU"))</f>
        <v/>
      </c>
      <c r="U848" s="34" t="str">
        <f aca="false">IF($R848="","",IFERROR(INDEX(DriverRank,MATCH($R848,DriverList,0)),99))</f>
        <v/>
      </c>
      <c r="V848" s="35" t="n">
        <f aca="false">IF($H848="",0,IFERROR(INDEX(LevelBasic,MATCH($H848,LevelList,0))+INDEX(LevelHousing,MATCH($H848,LevelList,0))+INDEX(LevelTransport,MATCH($H848,LevelList,0))+INDEX(LevelBasic,MATCH($H848,LevelList,0))*INDEX(LevelBonus,MATCH($H848,LevelList,0))+(INDEX(LevelBasic,MATCH($H848,LevelList,0))+INDEX(LevelHousing,MATCH($H848,LevelList,0)))*GosiSaudi,0))</f>
        <v>0</v>
      </c>
      <c r="W848" s="35" t="n">
        <f aca="false">IFERROR(INDEX(LevelOneOff,MATCH($H848,LevelList,0)),0)</f>
        <v>0</v>
      </c>
      <c r="X848" s="35" t="str">
        <f aca="false">IF($G848="","",$V848*N($L848))</f>
        <v/>
      </c>
      <c r="Y848" s="35" t="str">
        <f aca="false">IF($G848="","",$V848*(N($M848)*1+N($N848)*0.75+N($O848)*0.5+N($P848)*0.25)+$W848*N($L848))</f>
        <v/>
      </c>
      <c r="Z848" s="35" t="str">
        <f aca="false">IF($G848="","",$U848*1000000+ROW())</f>
        <v/>
      </c>
      <c r="AA848" s="36" t="str">
        <f aca="false">IF($G848="","",MID(IF($C848="",", no division","")&amp;IF($E848="",", no unit","")&amp;IF($H848="",", no career level","")&amp;IF(N($L848)&lt;=0,", no quarter split","")&amp;IF($R848="",", no driver","")&amp;IF(AND($H848&lt;&gt;"",COUNTIF(CareerLevels,$H848)=0),", a career level that is not on the ladder","")&amp;IF(AND($R848&lt;&gt;"",COUNTIF(DriverList,$R848)=0),", a driver that is not on the list","")&amp;IF(ABS(N($L848)-(N($M848)+N($N848)+N($O848)+N($P848)))&gt;0.001,", a total that does not match its quarters",""),3,300))</f>
        <v/>
      </c>
    </row>
    <row r="849" customFormat="false" ht="15" hidden="false" customHeight="false" outlineLevel="0" collapsed="false">
      <c r="A849" s="33" t="str">
        <f aca="false">IF($G849="","","Human Resources Group")</f>
        <v/>
      </c>
      <c r="B849" s="19"/>
      <c r="C849" s="19"/>
      <c r="D849" s="19"/>
      <c r="E849" s="19"/>
      <c r="F849" s="19"/>
      <c r="G849" s="19"/>
      <c r="H849" s="19"/>
      <c r="I849" s="19"/>
      <c r="J849" s="19"/>
      <c r="K849" s="19"/>
      <c r="L849" s="19"/>
      <c r="M849" s="19"/>
      <c r="N849" s="19"/>
      <c r="O849" s="19"/>
      <c r="P849" s="19"/>
      <c r="Q849" s="19"/>
      <c r="R849" s="19"/>
      <c r="S849" s="19"/>
      <c r="T849" s="34" t="str">
        <f aca="false">IF($R849="","",IFERROR(INDEX(DriverCategory,MATCH($R849,DriverList,0)),"BAU"))</f>
        <v/>
      </c>
      <c r="U849" s="34" t="str">
        <f aca="false">IF($R849="","",IFERROR(INDEX(DriverRank,MATCH($R849,DriverList,0)),99))</f>
        <v/>
      </c>
      <c r="V849" s="35" t="n">
        <f aca="false">IF($H849="",0,IFERROR(INDEX(LevelBasic,MATCH($H849,LevelList,0))+INDEX(LevelHousing,MATCH($H849,LevelList,0))+INDEX(LevelTransport,MATCH($H849,LevelList,0))+INDEX(LevelBasic,MATCH($H849,LevelList,0))*INDEX(LevelBonus,MATCH($H849,LevelList,0))+(INDEX(LevelBasic,MATCH($H849,LevelList,0))+INDEX(LevelHousing,MATCH($H849,LevelList,0)))*GosiSaudi,0))</f>
        <v>0</v>
      </c>
      <c r="W849" s="35" t="n">
        <f aca="false">IFERROR(INDEX(LevelOneOff,MATCH($H849,LevelList,0)),0)</f>
        <v>0</v>
      </c>
      <c r="X849" s="35" t="str">
        <f aca="false">IF($G849="","",$V849*N($L849))</f>
        <v/>
      </c>
      <c r="Y849" s="35" t="str">
        <f aca="false">IF($G849="","",$V849*(N($M849)*1+N($N849)*0.75+N($O849)*0.5+N($P849)*0.25)+$W849*N($L849))</f>
        <v/>
      </c>
      <c r="Z849" s="35" t="str">
        <f aca="false">IF($G849="","",$U849*1000000+ROW())</f>
        <v/>
      </c>
      <c r="AA849" s="36" t="str">
        <f aca="false">IF($G849="","",MID(IF($C849="",", no division","")&amp;IF($E849="",", no unit","")&amp;IF($H849="",", no career level","")&amp;IF(N($L849)&lt;=0,", no quarter split","")&amp;IF($R849="",", no driver","")&amp;IF(AND($H849&lt;&gt;"",COUNTIF(CareerLevels,$H849)=0),", a career level that is not on the ladder","")&amp;IF(AND($R849&lt;&gt;"",COUNTIF(DriverList,$R849)=0),", a driver that is not on the list","")&amp;IF(ABS(N($L849)-(N($M849)+N($N849)+N($O849)+N($P849)))&gt;0.001,", a total that does not match its quarters",""),3,300))</f>
        <v/>
      </c>
    </row>
    <row r="850" customFormat="false" ht="15" hidden="false" customHeight="false" outlineLevel="0" collapsed="false">
      <c r="A850" s="33" t="str">
        <f aca="false">IF($G850="","","Human Resources Group")</f>
        <v/>
      </c>
      <c r="B850" s="19"/>
      <c r="C850" s="19"/>
      <c r="D850" s="19"/>
      <c r="E850" s="19"/>
      <c r="F850" s="19"/>
      <c r="G850" s="19"/>
      <c r="H850" s="19"/>
      <c r="I850" s="19"/>
      <c r="J850" s="19"/>
      <c r="K850" s="19"/>
      <c r="L850" s="19"/>
      <c r="M850" s="19"/>
      <c r="N850" s="19"/>
      <c r="O850" s="19"/>
      <c r="P850" s="19"/>
      <c r="Q850" s="19"/>
      <c r="R850" s="19"/>
      <c r="S850" s="19"/>
      <c r="T850" s="34" t="str">
        <f aca="false">IF($R850="","",IFERROR(INDEX(DriverCategory,MATCH($R850,DriverList,0)),"BAU"))</f>
        <v/>
      </c>
      <c r="U850" s="34" t="str">
        <f aca="false">IF($R850="","",IFERROR(INDEX(DriverRank,MATCH($R850,DriverList,0)),99))</f>
        <v/>
      </c>
      <c r="V850" s="35" t="n">
        <f aca="false">IF($H850="",0,IFERROR(INDEX(LevelBasic,MATCH($H850,LevelList,0))+INDEX(LevelHousing,MATCH($H850,LevelList,0))+INDEX(LevelTransport,MATCH($H850,LevelList,0))+INDEX(LevelBasic,MATCH($H850,LevelList,0))*INDEX(LevelBonus,MATCH($H850,LevelList,0))+(INDEX(LevelBasic,MATCH($H850,LevelList,0))+INDEX(LevelHousing,MATCH($H850,LevelList,0)))*GosiSaudi,0))</f>
        <v>0</v>
      </c>
      <c r="W850" s="35" t="n">
        <f aca="false">IFERROR(INDEX(LevelOneOff,MATCH($H850,LevelList,0)),0)</f>
        <v>0</v>
      </c>
      <c r="X850" s="35" t="str">
        <f aca="false">IF($G850="","",$V850*N($L850))</f>
        <v/>
      </c>
      <c r="Y850" s="35" t="str">
        <f aca="false">IF($G850="","",$V850*(N($M850)*1+N($N850)*0.75+N($O850)*0.5+N($P850)*0.25)+$W850*N($L850))</f>
        <v/>
      </c>
      <c r="Z850" s="35" t="str">
        <f aca="false">IF($G850="","",$U850*1000000+ROW())</f>
        <v/>
      </c>
      <c r="AA850" s="36" t="str">
        <f aca="false">IF($G850="","",MID(IF($C850="",", no division","")&amp;IF($E850="",", no unit","")&amp;IF($H850="",", no career level","")&amp;IF(N($L850)&lt;=0,", no quarter split","")&amp;IF($R850="",", no driver","")&amp;IF(AND($H850&lt;&gt;"",COUNTIF(CareerLevels,$H850)=0),", a career level that is not on the ladder","")&amp;IF(AND($R850&lt;&gt;"",COUNTIF(DriverList,$R850)=0),", a driver that is not on the list","")&amp;IF(ABS(N($L850)-(N($M850)+N($N850)+N($O850)+N($P850)))&gt;0.001,", a total that does not match its quarters",""),3,300))</f>
        <v/>
      </c>
    </row>
    <row r="851" customFormat="false" ht="15" hidden="false" customHeight="false" outlineLevel="0" collapsed="false">
      <c r="A851" s="33" t="str">
        <f aca="false">IF($G851="","","Human Resources Group")</f>
        <v/>
      </c>
      <c r="B851" s="19"/>
      <c r="C851" s="19"/>
      <c r="D851" s="19"/>
      <c r="E851" s="19"/>
      <c r="F851" s="19"/>
      <c r="G851" s="19"/>
      <c r="H851" s="19"/>
      <c r="I851" s="19"/>
      <c r="J851" s="19"/>
      <c r="K851" s="19"/>
      <c r="L851" s="19"/>
      <c r="M851" s="19"/>
      <c r="N851" s="19"/>
      <c r="O851" s="19"/>
      <c r="P851" s="19"/>
      <c r="Q851" s="19"/>
      <c r="R851" s="19"/>
      <c r="S851" s="19"/>
      <c r="T851" s="34" t="str">
        <f aca="false">IF($R851="","",IFERROR(INDEX(DriverCategory,MATCH($R851,DriverList,0)),"BAU"))</f>
        <v/>
      </c>
      <c r="U851" s="34" t="str">
        <f aca="false">IF($R851="","",IFERROR(INDEX(DriverRank,MATCH($R851,DriverList,0)),99))</f>
        <v/>
      </c>
      <c r="V851" s="35" t="n">
        <f aca="false">IF($H851="",0,IFERROR(INDEX(LevelBasic,MATCH($H851,LevelList,0))+INDEX(LevelHousing,MATCH($H851,LevelList,0))+INDEX(LevelTransport,MATCH($H851,LevelList,0))+INDEX(LevelBasic,MATCH($H851,LevelList,0))*INDEX(LevelBonus,MATCH($H851,LevelList,0))+(INDEX(LevelBasic,MATCH($H851,LevelList,0))+INDEX(LevelHousing,MATCH($H851,LevelList,0)))*GosiSaudi,0))</f>
        <v>0</v>
      </c>
      <c r="W851" s="35" t="n">
        <f aca="false">IFERROR(INDEX(LevelOneOff,MATCH($H851,LevelList,0)),0)</f>
        <v>0</v>
      </c>
      <c r="X851" s="35" t="str">
        <f aca="false">IF($G851="","",$V851*N($L851))</f>
        <v/>
      </c>
      <c r="Y851" s="35" t="str">
        <f aca="false">IF($G851="","",$V851*(N($M851)*1+N($N851)*0.75+N($O851)*0.5+N($P851)*0.25)+$W851*N($L851))</f>
        <v/>
      </c>
      <c r="Z851" s="35" t="str">
        <f aca="false">IF($G851="","",$U851*1000000+ROW())</f>
        <v/>
      </c>
      <c r="AA851" s="36" t="str">
        <f aca="false">IF($G851="","",MID(IF($C851="",", no division","")&amp;IF($E851="",", no unit","")&amp;IF($H851="",", no career level","")&amp;IF(N($L851)&lt;=0,", no quarter split","")&amp;IF($R851="",", no driver","")&amp;IF(AND($H851&lt;&gt;"",COUNTIF(CareerLevels,$H851)=0),", a career level that is not on the ladder","")&amp;IF(AND($R851&lt;&gt;"",COUNTIF(DriverList,$R851)=0),", a driver that is not on the list","")&amp;IF(ABS(N($L851)-(N($M851)+N($N851)+N($O851)+N($P851)))&gt;0.001,", a total that does not match its quarters",""),3,300))</f>
        <v/>
      </c>
    </row>
    <row r="852" customFormat="false" ht="15" hidden="false" customHeight="false" outlineLevel="0" collapsed="false">
      <c r="A852" s="33" t="str">
        <f aca="false">IF($G852="","","Human Resources Group")</f>
        <v/>
      </c>
      <c r="B852" s="19"/>
      <c r="C852" s="19"/>
      <c r="D852" s="19"/>
      <c r="E852" s="19"/>
      <c r="F852" s="19"/>
      <c r="G852" s="19"/>
      <c r="H852" s="19"/>
      <c r="I852" s="19"/>
      <c r="J852" s="19"/>
      <c r="K852" s="19"/>
      <c r="L852" s="19"/>
      <c r="M852" s="19"/>
      <c r="N852" s="19"/>
      <c r="O852" s="19"/>
      <c r="P852" s="19"/>
      <c r="Q852" s="19"/>
      <c r="R852" s="19"/>
      <c r="S852" s="19"/>
      <c r="T852" s="34" t="str">
        <f aca="false">IF($R852="","",IFERROR(INDEX(DriverCategory,MATCH($R852,DriverList,0)),"BAU"))</f>
        <v/>
      </c>
      <c r="U852" s="34" t="str">
        <f aca="false">IF($R852="","",IFERROR(INDEX(DriverRank,MATCH($R852,DriverList,0)),99))</f>
        <v/>
      </c>
      <c r="V852" s="35" t="n">
        <f aca="false">IF($H852="",0,IFERROR(INDEX(LevelBasic,MATCH($H852,LevelList,0))+INDEX(LevelHousing,MATCH($H852,LevelList,0))+INDEX(LevelTransport,MATCH($H852,LevelList,0))+INDEX(LevelBasic,MATCH($H852,LevelList,0))*INDEX(LevelBonus,MATCH($H852,LevelList,0))+(INDEX(LevelBasic,MATCH($H852,LevelList,0))+INDEX(LevelHousing,MATCH($H852,LevelList,0)))*GosiSaudi,0))</f>
        <v>0</v>
      </c>
      <c r="W852" s="35" t="n">
        <f aca="false">IFERROR(INDEX(LevelOneOff,MATCH($H852,LevelList,0)),0)</f>
        <v>0</v>
      </c>
      <c r="X852" s="35" t="str">
        <f aca="false">IF($G852="","",$V852*N($L852))</f>
        <v/>
      </c>
      <c r="Y852" s="35" t="str">
        <f aca="false">IF($G852="","",$V852*(N($M852)*1+N($N852)*0.75+N($O852)*0.5+N($P852)*0.25)+$W852*N($L852))</f>
        <v/>
      </c>
      <c r="Z852" s="35" t="str">
        <f aca="false">IF($G852="","",$U852*1000000+ROW())</f>
        <v/>
      </c>
      <c r="AA852" s="36" t="str">
        <f aca="false">IF($G852="","",MID(IF($C852="",", no division","")&amp;IF($E852="",", no unit","")&amp;IF($H852="",", no career level","")&amp;IF(N($L852)&lt;=0,", no quarter split","")&amp;IF($R852="",", no driver","")&amp;IF(AND($H852&lt;&gt;"",COUNTIF(CareerLevels,$H852)=0),", a career level that is not on the ladder","")&amp;IF(AND($R852&lt;&gt;"",COUNTIF(DriverList,$R852)=0),", a driver that is not on the list","")&amp;IF(ABS(N($L852)-(N($M852)+N($N852)+N($O852)+N($P852)))&gt;0.001,", a total that does not match its quarters",""),3,300))</f>
        <v/>
      </c>
    </row>
    <row r="853" customFormat="false" ht="15" hidden="false" customHeight="false" outlineLevel="0" collapsed="false">
      <c r="A853" s="33" t="str">
        <f aca="false">IF($G853="","","Human Resources Group")</f>
        <v/>
      </c>
      <c r="B853" s="19"/>
      <c r="C853" s="19"/>
      <c r="D853" s="19"/>
      <c r="E853" s="19"/>
      <c r="F853" s="19"/>
      <c r="G853" s="19"/>
      <c r="H853" s="19"/>
      <c r="I853" s="19"/>
      <c r="J853" s="19"/>
      <c r="K853" s="19"/>
      <c r="L853" s="19"/>
      <c r="M853" s="19"/>
      <c r="N853" s="19"/>
      <c r="O853" s="19"/>
      <c r="P853" s="19"/>
      <c r="Q853" s="19"/>
      <c r="R853" s="19"/>
      <c r="S853" s="19"/>
      <c r="T853" s="34" t="str">
        <f aca="false">IF($R853="","",IFERROR(INDEX(DriverCategory,MATCH($R853,DriverList,0)),"BAU"))</f>
        <v/>
      </c>
      <c r="U853" s="34" t="str">
        <f aca="false">IF($R853="","",IFERROR(INDEX(DriverRank,MATCH($R853,DriverList,0)),99))</f>
        <v/>
      </c>
      <c r="V853" s="35" t="n">
        <f aca="false">IF($H853="",0,IFERROR(INDEX(LevelBasic,MATCH($H853,LevelList,0))+INDEX(LevelHousing,MATCH($H853,LevelList,0))+INDEX(LevelTransport,MATCH($H853,LevelList,0))+INDEX(LevelBasic,MATCH($H853,LevelList,0))*INDEX(LevelBonus,MATCH($H853,LevelList,0))+(INDEX(LevelBasic,MATCH($H853,LevelList,0))+INDEX(LevelHousing,MATCH($H853,LevelList,0)))*GosiSaudi,0))</f>
        <v>0</v>
      </c>
      <c r="W853" s="35" t="n">
        <f aca="false">IFERROR(INDEX(LevelOneOff,MATCH($H853,LevelList,0)),0)</f>
        <v>0</v>
      </c>
      <c r="X853" s="35" t="str">
        <f aca="false">IF($G853="","",$V853*N($L853))</f>
        <v/>
      </c>
      <c r="Y853" s="35" t="str">
        <f aca="false">IF($G853="","",$V853*(N($M853)*1+N($N853)*0.75+N($O853)*0.5+N($P853)*0.25)+$W853*N($L853))</f>
        <v/>
      </c>
      <c r="Z853" s="35" t="str">
        <f aca="false">IF($G853="","",$U853*1000000+ROW())</f>
        <v/>
      </c>
      <c r="AA853" s="36" t="str">
        <f aca="false">IF($G853="","",MID(IF($C853="",", no division","")&amp;IF($E853="",", no unit","")&amp;IF($H853="",", no career level","")&amp;IF(N($L853)&lt;=0,", no quarter split","")&amp;IF($R853="",", no driver","")&amp;IF(AND($H853&lt;&gt;"",COUNTIF(CareerLevels,$H853)=0),", a career level that is not on the ladder","")&amp;IF(AND($R853&lt;&gt;"",COUNTIF(DriverList,$R853)=0),", a driver that is not on the list","")&amp;IF(ABS(N($L853)-(N($M853)+N($N853)+N($O853)+N($P853)))&gt;0.001,", a total that does not match its quarters",""),3,300))</f>
        <v/>
      </c>
    </row>
    <row r="854" customFormat="false" ht="15" hidden="false" customHeight="false" outlineLevel="0" collapsed="false">
      <c r="A854" s="33" t="str">
        <f aca="false">IF($G854="","","Human Resources Group")</f>
        <v/>
      </c>
      <c r="B854" s="19"/>
      <c r="C854" s="19"/>
      <c r="D854" s="19"/>
      <c r="E854" s="19"/>
      <c r="F854" s="19"/>
      <c r="G854" s="19"/>
      <c r="H854" s="19"/>
      <c r="I854" s="19"/>
      <c r="J854" s="19"/>
      <c r="K854" s="19"/>
      <c r="L854" s="19"/>
      <c r="M854" s="19"/>
      <c r="N854" s="19"/>
      <c r="O854" s="19"/>
      <c r="P854" s="19"/>
      <c r="Q854" s="19"/>
      <c r="R854" s="19"/>
      <c r="S854" s="19"/>
      <c r="T854" s="34" t="str">
        <f aca="false">IF($R854="","",IFERROR(INDEX(DriverCategory,MATCH($R854,DriverList,0)),"BAU"))</f>
        <v/>
      </c>
      <c r="U854" s="34" t="str">
        <f aca="false">IF($R854="","",IFERROR(INDEX(DriverRank,MATCH($R854,DriverList,0)),99))</f>
        <v/>
      </c>
      <c r="V854" s="35" t="n">
        <f aca="false">IF($H854="",0,IFERROR(INDEX(LevelBasic,MATCH($H854,LevelList,0))+INDEX(LevelHousing,MATCH($H854,LevelList,0))+INDEX(LevelTransport,MATCH($H854,LevelList,0))+INDEX(LevelBasic,MATCH($H854,LevelList,0))*INDEX(LevelBonus,MATCH($H854,LevelList,0))+(INDEX(LevelBasic,MATCH($H854,LevelList,0))+INDEX(LevelHousing,MATCH($H854,LevelList,0)))*GosiSaudi,0))</f>
        <v>0</v>
      </c>
      <c r="W854" s="35" t="n">
        <f aca="false">IFERROR(INDEX(LevelOneOff,MATCH($H854,LevelList,0)),0)</f>
        <v>0</v>
      </c>
      <c r="X854" s="35" t="str">
        <f aca="false">IF($G854="","",$V854*N($L854))</f>
        <v/>
      </c>
      <c r="Y854" s="35" t="str">
        <f aca="false">IF($G854="","",$V854*(N($M854)*1+N($N854)*0.75+N($O854)*0.5+N($P854)*0.25)+$W854*N($L854))</f>
        <v/>
      </c>
      <c r="Z854" s="35" t="str">
        <f aca="false">IF($G854="","",$U854*1000000+ROW())</f>
        <v/>
      </c>
      <c r="AA854" s="36" t="str">
        <f aca="false">IF($G854="","",MID(IF($C854="",", no division","")&amp;IF($E854="",", no unit","")&amp;IF($H854="",", no career level","")&amp;IF(N($L854)&lt;=0,", no quarter split","")&amp;IF($R854="",", no driver","")&amp;IF(AND($H854&lt;&gt;"",COUNTIF(CareerLevels,$H854)=0),", a career level that is not on the ladder","")&amp;IF(AND($R854&lt;&gt;"",COUNTIF(DriverList,$R854)=0),", a driver that is not on the list","")&amp;IF(ABS(N($L854)-(N($M854)+N($N854)+N($O854)+N($P854)))&gt;0.001,", a total that does not match its quarters",""),3,300))</f>
        <v/>
      </c>
    </row>
    <row r="855" customFormat="false" ht="15" hidden="false" customHeight="false" outlineLevel="0" collapsed="false">
      <c r="A855" s="33" t="str">
        <f aca="false">IF($G855="","","Human Resources Group")</f>
        <v/>
      </c>
      <c r="B855" s="19"/>
      <c r="C855" s="19"/>
      <c r="D855" s="19"/>
      <c r="E855" s="19"/>
      <c r="F855" s="19"/>
      <c r="G855" s="19"/>
      <c r="H855" s="19"/>
      <c r="I855" s="19"/>
      <c r="J855" s="19"/>
      <c r="K855" s="19"/>
      <c r="L855" s="19"/>
      <c r="M855" s="19"/>
      <c r="N855" s="19"/>
      <c r="O855" s="19"/>
      <c r="P855" s="19"/>
      <c r="Q855" s="19"/>
      <c r="R855" s="19"/>
      <c r="S855" s="19"/>
      <c r="T855" s="34" t="str">
        <f aca="false">IF($R855="","",IFERROR(INDEX(DriverCategory,MATCH($R855,DriverList,0)),"BAU"))</f>
        <v/>
      </c>
      <c r="U855" s="34" t="str">
        <f aca="false">IF($R855="","",IFERROR(INDEX(DriverRank,MATCH($R855,DriverList,0)),99))</f>
        <v/>
      </c>
      <c r="V855" s="35" t="n">
        <f aca="false">IF($H855="",0,IFERROR(INDEX(LevelBasic,MATCH($H855,LevelList,0))+INDEX(LevelHousing,MATCH($H855,LevelList,0))+INDEX(LevelTransport,MATCH($H855,LevelList,0))+INDEX(LevelBasic,MATCH($H855,LevelList,0))*INDEX(LevelBonus,MATCH($H855,LevelList,0))+(INDEX(LevelBasic,MATCH($H855,LevelList,0))+INDEX(LevelHousing,MATCH($H855,LevelList,0)))*GosiSaudi,0))</f>
        <v>0</v>
      </c>
      <c r="W855" s="35" t="n">
        <f aca="false">IFERROR(INDEX(LevelOneOff,MATCH($H855,LevelList,0)),0)</f>
        <v>0</v>
      </c>
      <c r="X855" s="35" t="str">
        <f aca="false">IF($G855="","",$V855*N($L855))</f>
        <v/>
      </c>
      <c r="Y855" s="35" t="str">
        <f aca="false">IF($G855="","",$V855*(N($M855)*1+N($N855)*0.75+N($O855)*0.5+N($P855)*0.25)+$W855*N($L855))</f>
        <v/>
      </c>
      <c r="Z855" s="35" t="str">
        <f aca="false">IF($G855="","",$U855*1000000+ROW())</f>
        <v/>
      </c>
      <c r="AA855" s="36" t="str">
        <f aca="false">IF($G855="","",MID(IF($C855="",", no division","")&amp;IF($E855="",", no unit","")&amp;IF($H855="",", no career level","")&amp;IF(N($L855)&lt;=0,", no quarter split","")&amp;IF($R855="",", no driver","")&amp;IF(AND($H855&lt;&gt;"",COUNTIF(CareerLevels,$H855)=0),", a career level that is not on the ladder","")&amp;IF(AND($R855&lt;&gt;"",COUNTIF(DriverList,$R855)=0),", a driver that is not on the list","")&amp;IF(ABS(N($L855)-(N($M855)+N($N855)+N($O855)+N($P855)))&gt;0.001,", a total that does not match its quarters",""),3,300))</f>
        <v/>
      </c>
    </row>
    <row r="856" customFormat="false" ht="15" hidden="false" customHeight="false" outlineLevel="0" collapsed="false">
      <c r="A856" s="33" t="str">
        <f aca="false">IF($G856="","","Human Resources Group")</f>
        <v/>
      </c>
      <c r="B856" s="19"/>
      <c r="C856" s="19"/>
      <c r="D856" s="19"/>
      <c r="E856" s="19"/>
      <c r="F856" s="19"/>
      <c r="G856" s="19"/>
      <c r="H856" s="19"/>
      <c r="I856" s="19"/>
      <c r="J856" s="19"/>
      <c r="K856" s="19"/>
      <c r="L856" s="19"/>
      <c r="M856" s="19"/>
      <c r="N856" s="19"/>
      <c r="O856" s="19"/>
      <c r="P856" s="19"/>
      <c r="Q856" s="19"/>
      <c r="R856" s="19"/>
      <c r="S856" s="19"/>
      <c r="T856" s="34" t="str">
        <f aca="false">IF($R856="","",IFERROR(INDEX(DriverCategory,MATCH($R856,DriverList,0)),"BAU"))</f>
        <v/>
      </c>
      <c r="U856" s="34" t="str">
        <f aca="false">IF($R856="","",IFERROR(INDEX(DriverRank,MATCH($R856,DriverList,0)),99))</f>
        <v/>
      </c>
      <c r="V856" s="35" t="n">
        <f aca="false">IF($H856="",0,IFERROR(INDEX(LevelBasic,MATCH($H856,LevelList,0))+INDEX(LevelHousing,MATCH($H856,LevelList,0))+INDEX(LevelTransport,MATCH($H856,LevelList,0))+INDEX(LevelBasic,MATCH($H856,LevelList,0))*INDEX(LevelBonus,MATCH($H856,LevelList,0))+(INDEX(LevelBasic,MATCH($H856,LevelList,0))+INDEX(LevelHousing,MATCH($H856,LevelList,0)))*GosiSaudi,0))</f>
        <v>0</v>
      </c>
      <c r="W856" s="35" t="n">
        <f aca="false">IFERROR(INDEX(LevelOneOff,MATCH($H856,LevelList,0)),0)</f>
        <v>0</v>
      </c>
      <c r="X856" s="35" t="str">
        <f aca="false">IF($G856="","",$V856*N($L856))</f>
        <v/>
      </c>
      <c r="Y856" s="35" t="str">
        <f aca="false">IF($G856="","",$V856*(N($M856)*1+N($N856)*0.75+N($O856)*0.5+N($P856)*0.25)+$W856*N($L856))</f>
        <v/>
      </c>
      <c r="Z856" s="35" t="str">
        <f aca="false">IF($G856="","",$U856*1000000+ROW())</f>
        <v/>
      </c>
      <c r="AA856" s="36" t="str">
        <f aca="false">IF($G856="","",MID(IF($C856="",", no division","")&amp;IF($E856="",", no unit","")&amp;IF($H856="",", no career level","")&amp;IF(N($L856)&lt;=0,", no quarter split","")&amp;IF($R856="",", no driver","")&amp;IF(AND($H856&lt;&gt;"",COUNTIF(CareerLevels,$H856)=0),", a career level that is not on the ladder","")&amp;IF(AND($R856&lt;&gt;"",COUNTIF(DriverList,$R856)=0),", a driver that is not on the list","")&amp;IF(ABS(N($L856)-(N($M856)+N($N856)+N($O856)+N($P856)))&gt;0.001,", a total that does not match its quarters",""),3,300))</f>
        <v/>
      </c>
    </row>
    <row r="857" customFormat="false" ht="15" hidden="false" customHeight="false" outlineLevel="0" collapsed="false">
      <c r="A857" s="33" t="str">
        <f aca="false">IF($G857="","","Human Resources Group")</f>
        <v/>
      </c>
      <c r="B857" s="19"/>
      <c r="C857" s="19"/>
      <c r="D857" s="19"/>
      <c r="E857" s="19"/>
      <c r="F857" s="19"/>
      <c r="G857" s="19"/>
      <c r="H857" s="19"/>
      <c r="I857" s="19"/>
      <c r="J857" s="19"/>
      <c r="K857" s="19"/>
      <c r="L857" s="19"/>
      <c r="M857" s="19"/>
      <c r="N857" s="19"/>
      <c r="O857" s="19"/>
      <c r="P857" s="19"/>
      <c r="Q857" s="19"/>
      <c r="R857" s="19"/>
      <c r="S857" s="19"/>
      <c r="T857" s="34" t="str">
        <f aca="false">IF($R857="","",IFERROR(INDEX(DriverCategory,MATCH($R857,DriverList,0)),"BAU"))</f>
        <v/>
      </c>
      <c r="U857" s="34" t="str">
        <f aca="false">IF($R857="","",IFERROR(INDEX(DriverRank,MATCH($R857,DriverList,0)),99))</f>
        <v/>
      </c>
      <c r="V857" s="35" t="n">
        <f aca="false">IF($H857="",0,IFERROR(INDEX(LevelBasic,MATCH($H857,LevelList,0))+INDEX(LevelHousing,MATCH($H857,LevelList,0))+INDEX(LevelTransport,MATCH($H857,LevelList,0))+INDEX(LevelBasic,MATCH($H857,LevelList,0))*INDEX(LevelBonus,MATCH($H857,LevelList,0))+(INDEX(LevelBasic,MATCH($H857,LevelList,0))+INDEX(LevelHousing,MATCH($H857,LevelList,0)))*GosiSaudi,0))</f>
        <v>0</v>
      </c>
      <c r="W857" s="35" t="n">
        <f aca="false">IFERROR(INDEX(LevelOneOff,MATCH($H857,LevelList,0)),0)</f>
        <v>0</v>
      </c>
      <c r="X857" s="35" t="str">
        <f aca="false">IF($G857="","",$V857*N($L857))</f>
        <v/>
      </c>
      <c r="Y857" s="35" t="str">
        <f aca="false">IF($G857="","",$V857*(N($M857)*1+N($N857)*0.75+N($O857)*0.5+N($P857)*0.25)+$W857*N($L857))</f>
        <v/>
      </c>
      <c r="Z857" s="35" t="str">
        <f aca="false">IF($G857="","",$U857*1000000+ROW())</f>
        <v/>
      </c>
      <c r="AA857" s="36" t="str">
        <f aca="false">IF($G857="","",MID(IF($C857="",", no division","")&amp;IF($E857="",", no unit","")&amp;IF($H857="",", no career level","")&amp;IF(N($L857)&lt;=0,", no quarter split","")&amp;IF($R857="",", no driver","")&amp;IF(AND($H857&lt;&gt;"",COUNTIF(CareerLevels,$H857)=0),", a career level that is not on the ladder","")&amp;IF(AND($R857&lt;&gt;"",COUNTIF(DriverList,$R857)=0),", a driver that is not on the list","")&amp;IF(ABS(N($L857)-(N($M857)+N($N857)+N($O857)+N($P857)))&gt;0.001,", a total that does not match its quarters",""),3,300))</f>
        <v/>
      </c>
    </row>
    <row r="858" customFormat="false" ht="15" hidden="false" customHeight="false" outlineLevel="0" collapsed="false">
      <c r="A858" s="33" t="str">
        <f aca="false">IF($G858="","","Human Resources Group")</f>
        <v/>
      </c>
      <c r="B858" s="19"/>
      <c r="C858" s="19"/>
      <c r="D858" s="19"/>
      <c r="E858" s="19"/>
      <c r="F858" s="19"/>
      <c r="G858" s="19"/>
      <c r="H858" s="19"/>
      <c r="I858" s="19"/>
      <c r="J858" s="19"/>
      <c r="K858" s="19"/>
      <c r="L858" s="19"/>
      <c r="M858" s="19"/>
      <c r="N858" s="19"/>
      <c r="O858" s="19"/>
      <c r="P858" s="19"/>
      <c r="Q858" s="19"/>
      <c r="R858" s="19"/>
      <c r="S858" s="19"/>
      <c r="T858" s="34" t="str">
        <f aca="false">IF($R858="","",IFERROR(INDEX(DriverCategory,MATCH($R858,DriverList,0)),"BAU"))</f>
        <v/>
      </c>
      <c r="U858" s="34" t="str">
        <f aca="false">IF($R858="","",IFERROR(INDEX(DriverRank,MATCH($R858,DriverList,0)),99))</f>
        <v/>
      </c>
      <c r="V858" s="35" t="n">
        <f aca="false">IF($H858="",0,IFERROR(INDEX(LevelBasic,MATCH($H858,LevelList,0))+INDEX(LevelHousing,MATCH($H858,LevelList,0))+INDEX(LevelTransport,MATCH($H858,LevelList,0))+INDEX(LevelBasic,MATCH($H858,LevelList,0))*INDEX(LevelBonus,MATCH($H858,LevelList,0))+(INDEX(LevelBasic,MATCH($H858,LevelList,0))+INDEX(LevelHousing,MATCH($H858,LevelList,0)))*GosiSaudi,0))</f>
        <v>0</v>
      </c>
      <c r="W858" s="35" t="n">
        <f aca="false">IFERROR(INDEX(LevelOneOff,MATCH($H858,LevelList,0)),0)</f>
        <v>0</v>
      </c>
      <c r="X858" s="35" t="str">
        <f aca="false">IF($G858="","",$V858*N($L858))</f>
        <v/>
      </c>
      <c r="Y858" s="35" t="str">
        <f aca="false">IF($G858="","",$V858*(N($M858)*1+N($N858)*0.75+N($O858)*0.5+N($P858)*0.25)+$W858*N($L858))</f>
        <v/>
      </c>
      <c r="Z858" s="35" t="str">
        <f aca="false">IF($G858="","",$U858*1000000+ROW())</f>
        <v/>
      </c>
      <c r="AA858" s="36" t="str">
        <f aca="false">IF($G858="","",MID(IF($C858="",", no division","")&amp;IF($E858="",", no unit","")&amp;IF($H858="",", no career level","")&amp;IF(N($L858)&lt;=0,", no quarter split","")&amp;IF($R858="",", no driver","")&amp;IF(AND($H858&lt;&gt;"",COUNTIF(CareerLevels,$H858)=0),", a career level that is not on the ladder","")&amp;IF(AND($R858&lt;&gt;"",COUNTIF(DriverList,$R858)=0),", a driver that is not on the list","")&amp;IF(ABS(N($L858)-(N($M858)+N($N858)+N($O858)+N($P858)))&gt;0.001,", a total that does not match its quarters",""),3,300))</f>
        <v/>
      </c>
    </row>
    <row r="859" customFormat="false" ht="15" hidden="false" customHeight="false" outlineLevel="0" collapsed="false">
      <c r="A859" s="33" t="str">
        <f aca="false">IF($G859="","","Human Resources Group")</f>
        <v/>
      </c>
      <c r="B859" s="19"/>
      <c r="C859" s="19"/>
      <c r="D859" s="19"/>
      <c r="E859" s="19"/>
      <c r="F859" s="19"/>
      <c r="G859" s="19"/>
      <c r="H859" s="19"/>
      <c r="I859" s="19"/>
      <c r="J859" s="19"/>
      <c r="K859" s="19"/>
      <c r="L859" s="19"/>
      <c r="M859" s="19"/>
      <c r="N859" s="19"/>
      <c r="O859" s="19"/>
      <c r="P859" s="19"/>
      <c r="Q859" s="19"/>
      <c r="R859" s="19"/>
      <c r="S859" s="19"/>
      <c r="T859" s="34" t="str">
        <f aca="false">IF($R859="","",IFERROR(INDEX(DriverCategory,MATCH($R859,DriverList,0)),"BAU"))</f>
        <v/>
      </c>
      <c r="U859" s="34" t="str">
        <f aca="false">IF($R859="","",IFERROR(INDEX(DriverRank,MATCH($R859,DriverList,0)),99))</f>
        <v/>
      </c>
      <c r="V859" s="35" t="n">
        <f aca="false">IF($H859="",0,IFERROR(INDEX(LevelBasic,MATCH($H859,LevelList,0))+INDEX(LevelHousing,MATCH($H859,LevelList,0))+INDEX(LevelTransport,MATCH($H859,LevelList,0))+INDEX(LevelBasic,MATCH($H859,LevelList,0))*INDEX(LevelBonus,MATCH($H859,LevelList,0))+(INDEX(LevelBasic,MATCH($H859,LevelList,0))+INDEX(LevelHousing,MATCH($H859,LevelList,0)))*GosiSaudi,0))</f>
        <v>0</v>
      </c>
      <c r="W859" s="35" t="n">
        <f aca="false">IFERROR(INDEX(LevelOneOff,MATCH($H859,LevelList,0)),0)</f>
        <v>0</v>
      </c>
      <c r="X859" s="35" t="str">
        <f aca="false">IF($G859="","",$V859*N($L859))</f>
        <v/>
      </c>
      <c r="Y859" s="35" t="str">
        <f aca="false">IF($G859="","",$V859*(N($M859)*1+N($N859)*0.75+N($O859)*0.5+N($P859)*0.25)+$W859*N($L859))</f>
        <v/>
      </c>
      <c r="Z859" s="35" t="str">
        <f aca="false">IF($G859="","",$U859*1000000+ROW())</f>
        <v/>
      </c>
      <c r="AA859" s="36" t="str">
        <f aca="false">IF($G859="","",MID(IF($C859="",", no division","")&amp;IF($E859="",", no unit","")&amp;IF($H859="",", no career level","")&amp;IF(N($L859)&lt;=0,", no quarter split","")&amp;IF($R859="",", no driver","")&amp;IF(AND($H859&lt;&gt;"",COUNTIF(CareerLevels,$H859)=0),", a career level that is not on the ladder","")&amp;IF(AND($R859&lt;&gt;"",COUNTIF(DriverList,$R859)=0),", a driver that is not on the list","")&amp;IF(ABS(N($L859)-(N($M859)+N($N859)+N($O859)+N($P859)))&gt;0.001,", a total that does not match its quarters",""),3,300))</f>
        <v/>
      </c>
    </row>
    <row r="860" customFormat="false" ht="15" hidden="false" customHeight="false" outlineLevel="0" collapsed="false">
      <c r="A860" s="33" t="str">
        <f aca="false">IF($G860="","","Human Resources Group")</f>
        <v/>
      </c>
      <c r="B860" s="19"/>
      <c r="C860" s="19"/>
      <c r="D860" s="19"/>
      <c r="E860" s="19"/>
      <c r="F860" s="19"/>
      <c r="G860" s="19"/>
      <c r="H860" s="19"/>
      <c r="I860" s="19"/>
      <c r="J860" s="19"/>
      <c r="K860" s="19"/>
      <c r="L860" s="19"/>
      <c r="M860" s="19"/>
      <c r="N860" s="19"/>
      <c r="O860" s="19"/>
      <c r="P860" s="19"/>
      <c r="Q860" s="19"/>
      <c r="R860" s="19"/>
      <c r="S860" s="19"/>
      <c r="T860" s="34" t="str">
        <f aca="false">IF($R860="","",IFERROR(INDEX(DriverCategory,MATCH($R860,DriverList,0)),"BAU"))</f>
        <v/>
      </c>
      <c r="U860" s="34" t="str">
        <f aca="false">IF($R860="","",IFERROR(INDEX(DriverRank,MATCH($R860,DriverList,0)),99))</f>
        <v/>
      </c>
      <c r="V860" s="35" t="n">
        <f aca="false">IF($H860="",0,IFERROR(INDEX(LevelBasic,MATCH($H860,LevelList,0))+INDEX(LevelHousing,MATCH($H860,LevelList,0))+INDEX(LevelTransport,MATCH($H860,LevelList,0))+INDEX(LevelBasic,MATCH($H860,LevelList,0))*INDEX(LevelBonus,MATCH($H860,LevelList,0))+(INDEX(LevelBasic,MATCH($H860,LevelList,0))+INDEX(LevelHousing,MATCH($H860,LevelList,0)))*GosiSaudi,0))</f>
        <v>0</v>
      </c>
      <c r="W860" s="35" t="n">
        <f aca="false">IFERROR(INDEX(LevelOneOff,MATCH($H860,LevelList,0)),0)</f>
        <v>0</v>
      </c>
      <c r="X860" s="35" t="str">
        <f aca="false">IF($G860="","",$V860*N($L860))</f>
        <v/>
      </c>
      <c r="Y860" s="35" t="str">
        <f aca="false">IF($G860="","",$V860*(N($M860)*1+N($N860)*0.75+N($O860)*0.5+N($P860)*0.25)+$W860*N($L860))</f>
        <v/>
      </c>
      <c r="Z860" s="35" t="str">
        <f aca="false">IF($G860="","",$U860*1000000+ROW())</f>
        <v/>
      </c>
      <c r="AA860" s="36" t="str">
        <f aca="false">IF($G860="","",MID(IF($C860="",", no division","")&amp;IF($E860="",", no unit","")&amp;IF($H860="",", no career level","")&amp;IF(N($L860)&lt;=0,", no quarter split","")&amp;IF($R860="",", no driver","")&amp;IF(AND($H860&lt;&gt;"",COUNTIF(CareerLevels,$H860)=0),", a career level that is not on the ladder","")&amp;IF(AND($R860&lt;&gt;"",COUNTIF(DriverList,$R860)=0),", a driver that is not on the list","")&amp;IF(ABS(N($L860)-(N($M860)+N($N860)+N($O860)+N($P860)))&gt;0.001,", a total that does not match its quarters",""),3,300))</f>
        <v/>
      </c>
    </row>
    <row r="861" customFormat="false" ht="15" hidden="false" customHeight="false" outlineLevel="0" collapsed="false">
      <c r="A861" s="33" t="str">
        <f aca="false">IF($G861="","","Human Resources Group")</f>
        <v/>
      </c>
      <c r="B861" s="19"/>
      <c r="C861" s="19"/>
      <c r="D861" s="19"/>
      <c r="E861" s="19"/>
      <c r="F861" s="19"/>
      <c r="G861" s="19"/>
      <c r="H861" s="19"/>
      <c r="I861" s="19"/>
      <c r="J861" s="19"/>
      <c r="K861" s="19"/>
      <c r="L861" s="19"/>
      <c r="M861" s="19"/>
      <c r="N861" s="19"/>
      <c r="O861" s="19"/>
      <c r="P861" s="19"/>
      <c r="Q861" s="19"/>
      <c r="R861" s="19"/>
      <c r="S861" s="19"/>
      <c r="T861" s="34" t="str">
        <f aca="false">IF($R861="","",IFERROR(INDEX(DriverCategory,MATCH($R861,DriverList,0)),"BAU"))</f>
        <v/>
      </c>
      <c r="U861" s="34" t="str">
        <f aca="false">IF($R861="","",IFERROR(INDEX(DriverRank,MATCH($R861,DriverList,0)),99))</f>
        <v/>
      </c>
      <c r="V861" s="35" t="n">
        <f aca="false">IF($H861="",0,IFERROR(INDEX(LevelBasic,MATCH($H861,LevelList,0))+INDEX(LevelHousing,MATCH($H861,LevelList,0))+INDEX(LevelTransport,MATCH($H861,LevelList,0))+INDEX(LevelBasic,MATCH($H861,LevelList,0))*INDEX(LevelBonus,MATCH($H861,LevelList,0))+(INDEX(LevelBasic,MATCH($H861,LevelList,0))+INDEX(LevelHousing,MATCH($H861,LevelList,0)))*GosiSaudi,0))</f>
        <v>0</v>
      </c>
      <c r="W861" s="35" t="n">
        <f aca="false">IFERROR(INDEX(LevelOneOff,MATCH($H861,LevelList,0)),0)</f>
        <v>0</v>
      </c>
      <c r="X861" s="35" t="str">
        <f aca="false">IF($G861="","",$V861*N($L861))</f>
        <v/>
      </c>
      <c r="Y861" s="35" t="str">
        <f aca="false">IF($G861="","",$V861*(N($M861)*1+N($N861)*0.75+N($O861)*0.5+N($P861)*0.25)+$W861*N($L861))</f>
        <v/>
      </c>
      <c r="Z861" s="35" t="str">
        <f aca="false">IF($G861="","",$U861*1000000+ROW())</f>
        <v/>
      </c>
      <c r="AA861" s="36" t="str">
        <f aca="false">IF($G861="","",MID(IF($C861="",", no division","")&amp;IF($E861="",", no unit","")&amp;IF($H861="",", no career level","")&amp;IF(N($L861)&lt;=0,", no quarter split","")&amp;IF($R861="",", no driver","")&amp;IF(AND($H861&lt;&gt;"",COUNTIF(CareerLevels,$H861)=0),", a career level that is not on the ladder","")&amp;IF(AND($R861&lt;&gt;"",COUNTIF(DriverList,$R861)=0),", a driver that is not on the list","")&amp;IF(ABS(N($L861)-(N($M861)+N($N861)+N($O861)+N($P861)))&gt;0.001,", a total that does not match its quarters",""),3,300))</f>
        <v/>
      </c>
    </row>
    <row r="862" customFormat="false" ht="15" hidden="false" customHeight="false" outlineLevel="0" collapsed="false">
      <c r="A862" s="33" t="str">
        <f aca="false">IF($G862="","","Human Resources Group")</f>
        <v/>
      </c>
      <c r="B862" s="19"/>
      <c r="C862" s="19"/>
      <c r="D862" s="19"/>
      <c r="E862" s="19"/>
      <c r="F862" s="19"/>
      <c r="G862" s="19"/>
      <c r="H862" s="19"/>
      <c r="I862" s="19"/>
      <c r="J862" s="19"/>
      <c r="K862" s="19"/>
      <c r="L862" s="19"/>
      <c r="M862" s="19"/>
      <c r="N862" s="19"/>
      <c r="O862" s="19"/>
      <c r="P862" s="19"/>
      <c r="Q862" s="19"/>
      <c r="R862" s="19"/>
      <c r="S862" s="19"/>
      <c r="T862" s="34" t="str">
        <f aca="false">IF($R862="","",IFERROR(INDEX(DriverCategory,MATCH($R862,DriverList,0)),"BAU"))</f>
        <v/>
      </c>
      <c r="U862" s="34" t="str">
        <f aca="false">IF($R862="","",IFERROR(INDEX(DriverRank,MATCH($R862,DriverList,0)),99))</f>
        <v/>
      </c>
      <c r="V862" s="35" t="n">
        <f aca="false">IF($H862="",0,IFERROR(INDEX(LevelBasic,MATCH($H862,LevelList,0))+INDEX(LevelHousing,MATCH($H862,LevelList,0))+INDEX(LevelTransport,MATCH($H862,LevelList,0))+INDEX(LevelBasic,MATCH($H862,LevelList,0))*INDEX(LevelBonus,MATCH($H862,LevelList,0))+(INDEX(LevelBasic,MATCH($H862,LevelList,0))+INDEX(LevelHousing,MATCH($H862,LevelList,0)))*GosiSaudi,0))</f>
        <v>0</v>
      </c>
      <c r="W862" s="35" t="n">
        <f aca="false">IFERROR(INDEX(LevelOneOff,MATCH($H862,LevelList,0)),0)</f>
        <v>0</v>
      </c>
      <c r="X862" s="35" t="str">
        <f aca="false">IF($G862="","",$V862*N($L862))</f>
        <v/>
      </c>
      <c r="Y862" s="35" t="str">
        <f aca="false">IF($G862="","",$V862*(N($M862)*1+N($N862)*0.75+N($O862)*0.5+N($P862)*0.25)+$W862*N($L862))</f>
        <v/>
      </c>
      <c r="Z862" s="35" t="str">
        <f aca="false">IF($G862="","",$U862*1000000+ROW())</f>
        <v/>
      </c>
      <c r="AA862" s="36" t="str">
        <f aca="false">IF($G862="","",MID(IF($C862="",", no division","")&amp;IF($E862="",", no unit","")&amp;IF($H862="",", no career level","")&amp;IF(N($L862)&lt;=0,", no quarter split","")&amp;IF($R862="",", no driver","")&amp;IF(AND($H862&lt;&gt;"",COUNTIF(CareerLevels,$H862)=0),", a career level that is not on the ladder","")&amp;IF(AND($R862&lt;&gt;"",COUNTIF(DriverList,$R862)=0),", a driver that is not on the list","")&amp;IF(ABS(N($L862)-(N($M862)+N($N862)+N($O862)+N($P862)))&gt;0.001,", a total that does not match its quarters",""),3,300))</f>
        <v/>
      </c>
    </row>
    <row r="863" customFormat="false" ht="15" hidden="false" customHeight="false" outlineLevel="0" collapsed="false">
      <c r="A863" s="33" t="str">
        <f aca="false">IF($G863="","","Human Resources Group")</f>
        <v/>
      </c>
      <c r="B863" s="19"/>
      <c r="C863" s="19"/>
      <c r="D863" s="19"/>
      <c r="E863" s="19"/>
      <c r="F863" s="19"/>
      <c r="G863" s="19"/>
      <c r="H863" s="19"/>
      <c r="I863" s="19"/>
      <c r="J863" s="19"/>
      <c r="K863" s="19"/>
      <c r="L863" s="19"/>
      <c r="M863" s="19"/>
      <c r="N863" s="19"/>
      <c r="O863" s="19"/>
      <c r="P863" s="19"/>
      <c r="Q863" s="19"/>
      <c r="R863" s="19"/>
      <c r="S863" s="19"/>
      <c r="T863" s="34" t="str">
        <f aca="false">IF($R863="","",IFERROR(INDEX(DriverCategory,MATCH($R863,DriverList,0)),"BAU"))</f>
        <v/>
      </c>
      <c r="U863" s="34" t="str">
        <f aca="false">IF($R863="","",IFERROR(INDEX(DriverRank,MATCH($R863,DriverList,0)),99))</f>
        <v/>
      </c>
      <c r="V863" s="35" t="n">
        <f aca="false">IF($H863="",0,IFERROR(INDEX(LevelBasic,MATCH($H863,LevelList,0))+INDEX(LevelHousing,MATCH($H863,LevelList,0))+INDEX(LevelTransport,MATCH($H863,LevelList,0))+INDEX(LevelBasic,MATCH($H863,LevelList,0))*INDEX(LevelBonus,MATCH($H863,LevelList,0))+(INDEX(LevelBasic,MATCH($H863,LevelList,0))+INDEX(LevelHousing,MATCH($H863,LevelList,0)))*GosiSaudi,0))</f>
        <v>0</v>
      </c>
      <c r="W863" s="35" t="n">
        <f aca="false">IFERROR(INDEX(LevelOneOff,MATCH($H863,LevelList,0)),0)</f>
        <v>0</v>
      </c>
      <c r="X863" s="35" t="str">
        <f aca="false">IF($G863="","",$V863*N($L863))</f>
        <v/>
      </c>
      <c r="Y863" s="35" t="str">
        <f aca="false">IF($G863="","",$V863*(N($M863)*1+N($N863)*0.75+N($O863)*0.5+N($P863)*0.25)+$W863*N($L863))</f>
        <v/>
      </c>
      <c r="Z863" s="35" t="str">
        <f aca="false">IF($G863="","",$U863*1000000+ROW())</f>
        <v/>
      </c>
      <c r="AA863" s="36" t="str">
        <f aca="false">IF($G863="","",MID(IF($C863="",", no division","")&amp;IF($E863="",", no unit","")&amp;IF($H863="",", no career level","")&amp;IF(N($L863)&lt;=0,", no quarter split","")&amp;IF($R863="",", no driver","")&amp;IF(AND($H863&lt;&gt;"",COUNTIF(CareerLevels,$H863)=0),", a career level that is not on the ladder","")&amp;IF(AND($R863&lt;&gt;"",COUNTIF(DriverList,$R863)=0),", a driver that is not on the list","")&amp;IF(ABS(N($L863)-(N($M863)+N($N863)+N($O863)+N($P863)))&gt;0.001,", a total that does not match its quarters",""),3,300))</f>
        <v/>
      </c>
    </row>
    <row r="864" customFormat="false" ht="15" hidden="false" customHeight="false" outlineLevel="0" collapsed="false">
      <c r="A864" s="33" t="str">
        <f aca="false">IF($G864="","","Human Resources Group")</f>
        <v/>
      </c>
      <c r="B864" s="19"/>
      <c r="C864" s="19"/>
      <c r="D864" s="19"/>
      <c r="E864" s="19"/>
      <c r="F864" s="19"/>
      <c r="G864" s="19"/>
      <c r="H864" s="19"/>
      <c r="I864" s="19"/>
      <c r="J864" s="19"/>
      <c r="K864" s="19"/>
      <c r="L864" s="19"/>
      <c r="M864" s="19"/>
      <c r="N864" s="19"/>
      <c r="O864" s="19"/>
      <c r="P864" s="19"/>
      <c r="Q864" s="19"/>
      <c r="R864" s="19"/>
      <c r="S864" s="19"/>
      <c r="T864" s="34" t="str">
        <f aca="false">IF($R864="","",IFERROR(INDEX(DriverCategory,MATCH($R864,DriverList,0)),"BAU"))</f>
        <v/>
      </c>
      <c r="U864" s="34" t="str">
        <f aca="false">IF($R864="","",IFERROR(INDEX(DriverRank,MATCH($R864,DriverList,0)),99))</f>
        <v/>
      </c>
      <c r="V864" s="35" t="n">
        <f aca="false">IF($H864="",0,IFERROR(INDEX(LevelBasic,MATCH($H864,LevelList,0))+INDEX(LevelHousing,MATCH($H864,LevelList,0))+INDEX(LevelTransport,MATCH($H864,LevelList,0))+INDEX(LevelBasic,MATCH($H864,LevelList,0))*INDEX(LevelBonus,MATCH($H864,LevelList,0))+(INDEX(LevelBasic,MATCH($H864,LevelList,0))+INDEX(LevelHousing,MATCH($H864,LevelList,0)))*GosiSaudi,0))</f>
        <v>0</v>
      </c>
      <c r="W864" s="35" t="n">
        <f aca="false">IFERROR(INDEX(LevelOneOff,MATCH($H864,LevelList,0)),0)</f>
        <v>0</v>
      </c>
      <c r="X864" s="35" t="str">
        <f aca="false">IF($G864="","",$V864*N($L864))</f>
        <v/>
      </c>
      <c r="Y864" s="35" t="str">
        <f aca="false">IF($G864="","",$V864*(N($M864)*1+N($N864)*0.75+N($O864)*0.5+N($P864)*0.25)+$W864*N($L864))</f>
        <v/>
      </c>
      <c r="Z864" s="35" t="str">
        <f aca="false">IF($G864="","",$U864*1000000+ROW())</f>
        <v/>
      </c>
      <c r="AA864" s="36" t="str">
        <f aca="false">IF($G864="","",MID(IF($C864="",", no division","")&amp;IF($E864="",", no unit","")&amp;IF($H864="",", no career level","")&amp;IF(N($L864)&lt;=0,", no quarter split","")&amp;IF($R864="",", no driver","")&amp;IF(AND($H864&lt;&gt;"",COUNTIF(CareerLevels,$H864)=0),", a career level that is not on the ladder","")&amp;IF(AND($R864&lt;&gt;"",COUNTIF(DriverList,$R864)=0),", a driver that is not on the list","")&amp;IF(ABS(N($L864)-(N($M864)+N($N864)+N($O864)+N($P864)))&gt;0.001,", a total that does not match its quarters",""),3,300))</f>
        <v/>
      </c>
    </row>
    <row r="865" customFormat="false" ht="15" hidden="false" customHeight="false" outlineLevel="0" collapsed="false">
      <c r="A865" s="33" t="str">
        <f aca="false">IF($G865="","","Human Resources Group")</f>
        <v/>
      </c>
      <c r="B865" s="19"/>
      <c r="C865" s="19"/>
      <c r="D865" s="19"/>
      <c r="E865" s="19"/>
      <c r="F865" s="19"/>
      <c r="G865" s="19"/>
      <c r="H865" s="19"/>
      <c r="I865" s="19"/>
      <c r="J865" s="19"/>
      <c r="K865" s="19"/>
      <c r="L865" s="19"/>
      <c r="M865" s="19"/>
      <c r="N865" s="19"/>
      <c r="O865" s="19"/>
      <c r="P865" s="19"/>
      <c r="Q865" s="19"/>
      <c r="R865" s="19"/>
      <c r="S865" s="19"/>
      <c r="T865" s="34" t="str">
        <f aca="false">IF($R865="","",IFERROR(INDEX(DriverCategory,MATCH($R865,DriverList,0)),"BAU"))</f>
        <v/>
      </c>
      <c r="U865" s="34" t="str">
        <f aca="false">IF($R865="","",IFERROR(INDEX(DriverRank,MATCH($R865,DriverList,0)),99))</f>
        <v/>
      </c>
      <c r="V865" s="35" t="n">
        <f aca="false">IF($H865="",0,IFERROR(INDEX(LevelBasic,MATCH($H865,LevelList,0))+INDEX(LevelHousing,MATCH($H865,LevelList,0))+INDEX(LevelTransport,MATCH($H865,LevelList,0))+INDEX(LevelBasic,MATCH($H865,LevelList,0))*INDEX(LevelBonus,MATCH($H865,LevelList,0))+(INDEX(LevelBasic,MATCH($H865,LevelList,0))+INDEX(LevelHousing,MATCH($H865,LevelList,0)))*GosiSaudi,0))</f>
        <v>0</v>
      </c>
      <c r="W865" s="35" t="n">
        <f aca="false">IFERROR(INDEX(LevelOneOff,MATCH($H865,LevelList,0)),0)</f>
        <v>0</v>
      </c>
      <c r="X865" s="35" t="str">
        <f aca="false">IF($G865="","",$V865*N($L865))</f>
        <v/>
      </c>
      <c r="Y865" s="35" t="str">
        <f aca="false">IF($G865="","",$V865*(N($M865)*1+N($N865)*0.75+N($O865)*0.5+N($P865)*0.25)+$W865*N($L865))</f>
        <v/>
      </c>
      <c r="Z865" s="35" t="str">
        <f aca="false">IF($G865="","",$U865*1000000+ROW())</f>
        <v/>
      </c>
      <c r="AA865" s="36" t="str">
        <f aca="false">IF($G865="","",MID(IF($C865="",", no division","")&amp;IF($E865="",", no unit","")&amp;IF($H865="",", no career level","")&amp;IF(N($L865)&lt;=0,", no quarter split","")&amp;IF($R865="",", no driver","")&amp;IF(AND($H865&lt;&gt;"",COUNTIF(CareerLevels,$H865)=0),", a career level that is not on the ladder","")&amp;IF(AND($R865&lt;&gt;"",COUNTIF(DriverList,$R865)=0),", a driver that is not on the list","")&amp;IF(ABS(N($L865)-(N($M865)+N($N865)+N($O865)+N($P865)))&gt;0.001,", a total that does not match its quarters",""),3,300))</f>
        <v/>
      </c>
    </row>
    <row r="866" customFormat="false" ht="15" hidden="false" customHeight="false" outlineLevel="0" collapsed="false">
      <c r="A866" s="33" t="str">
        <f aca="false">IF($G866="","","Human Resources Group")</f>
        <v/>
      </c>
      <c r="B866" s="19"/>
      <c r="C866" s="19"/>
      <c r="D866" s="19"/>
      <c r="E866" s="19"/>
      <c r="F866" s="19"/>
      <c r="G866" s="19"/>
      <c r="H866" s="19"/>
      <c r="I866" s="19"/>
      <c r="J866" s="19"/>
      <c r="K866" s="19"/>
      <c r="L866" s="19"/>
      <c r="M866" s="19"/>
      <c r="N866" s="19"/>
      <c r="O866" s="19"/>
      <c r="P866" s="19"/>
      <c r="Q866" s="19"/>
      <c r="R866" s="19"/>
      <c r="S866" s="19"/>
      <c r="T866" s="34" t="str">
        <f aca="false">IF($R866="","",IFERROR(INDEX(DriverCategory,MATCH($R866,DriverList,0)),"BAU"))</f>
        <v/>
      </c>
      <c r="U866" s="34" t="str">
        <f aca="false">IF($R866="","",IFERROR(INDEX(DriverRank,MATCH($R866,DriverList,0)),99))</f>
        <v/>
      </c>
      <c r="V866" s="35" t="n">
        <f aca="false">IF($H866="",0,IFERROR(INDEX(LevelBasic,MATCH($H866,LevelList,0))+INDEX(LevelHousing,MATCH($H866,LevelList,0))+INDEX(LevelTransport,MATCH($H866,LevelList,0))+INDEX(LevelBasic,MATCH($H866,LevelList,0))*INDEX(LevelBonus,MATCH($H866,LevelList,0))+(INDEX(LevelBasic,MATCH($H866,LevelList,0))+INDEX(LevelHousing,MATCH($H866,LevelList,0)))*GosiSaudi,0))</f>
        <v>0</v>
      </c>
      <c r="W866" s="35" t="n">
        <f aca="false">IFERROR(INDEX(LevelOneOff,MATCH($H866,LevelList,0)),0)</f>
        <v>0</v>
      </c>
      <c r="X866" s="35" t="str">
        <f aca="false">IF($G866="","",$V866*N($L866))</f>
        <v/>
      </c>
      <c r="Y866" s="35" t="str">
        <f aca="false">IF($G866="","",$V866*(N($M866)*1+N($N866)*0.75+N($O866)*0.5+N($P866)*0.25)+$W866*N($L866))</f>
        <v/>
      </c>
      <c r="Z866" s="35" t="str">
        <f aca="false">IF($G866="","",$U866*1000000+ROW())</f>
        <v/>
      </c>
      <c r="AA866" s="36" t="str">
        <f aca="false">IF($G866="","",MID(IF($C866="",", no division","")&amp;IF($E866="",", no unit","")&amp;IF($H866="",", no career level","")&amp;IF(N($L866)&lt;=0,", no quarter split","")&amp;IF($R866="",", no driver","")&amp;IF(AND($H866&lt;&gt;"",COUNTIF(CareerLevels,$H866)=0),", a career level that is not on the ladder","")&amp;IF(AND($R866&lt;&gt;"",COUNTIF(DriverList,$R866)=0),", a driver that is not on the list","")&amp;IF(ABS(N($L866)-(N($M866)+N($N866)+N($O866)+N($P866)))&gt;0.001,", a total that does not match its quarters",""),3,300))</f>
        <v/>
      </c>
    </row>
    <row r="867" customFormat="false" ht="15" hidden="false" customHeight="false" outlineLevel="0" collapsed="false">
      <c r="A867" s="33" t="str">
        <f aca="false">IF($G867="","","Human Resources Group")</f>
        <v/>
      </c>
      <c r="B867" s="19"/>
      <c r="C867" s="19"/>
      <c r="D867" s="19"/>
      <c r="E867" s="19"/>
      <c r="F867" s="19"/>
      <c r="G867" s="19"/>
      <c r="H867" s="19"/>
      <c r="I867" s="19"/>
      <c r="J867" s="19"/>
      <c r="K867" s="19"/>
      <c r="L867" s="19"/>
      <c r="M867" s="19"/>
      <c r="N867" s="19"/>
      <c r="O867" s="19"/>
      <c r="P867" s="19"/>
      <c r="Q867" s="19"/>
      <c r="R867" s="19"/>
      <c r="S867" s="19"/>
      <c r="T867" s="34" t="str">
        <f aca="false">IF($R867="","",IFERROR(INDEX(DriverCategory,MATCH($R867,DriverList,0)),"BAU"))</f>
        <v/>
      </c>
      <c r="U867" s="34" t="str">
        <f aca="false">IF($R867="","",IFERROR(INDEX(DriverRank,MATCH($R867,DriverList,0)),99))</f>
        <v/>
      </c>
      <c r="V867" s="35" t="n">
        <f aca="false">IF($H867="",0,IFERROR(INDEX(LevelBasic,MATCH($H867,LevelList,0))+INDEX(LevelHousing,MATCH($H867,LevelList,0))+INDEX(LevelTransport,MATCH($H867,LevelList,0))+INDEX(LevelBasic,MATCH($H867,LevelList,0))*INDEX(LevelBonus,MATCH($H867,LevelList,0))+(INDEX(LevelBasic,MATCH($H867,LevelList,0))+INDEX(LevelHousing,MATCH($H867,LevelList,0)))*GosiSaudi,0))</f>
        <v>0</v>
      </c>
      <c r="W867" s="35" t="n">
        <f aca="false">IFERROR(INDEX(LevelOneOff,MATCH($H867,LevelList,0)),0)</f>
        <v>0</v>
      </c>
      <c r="X867" s="35" t="str">
        <f aca="false">IF($G867="","",$V867*N($L867))</f>
        <v/>
      </c>
      <c r="Y867" s="35" t="str">
        <f aca="false">IF($G867="","",$V867*(N($M867)*1+N($N867)*0.75+N($O867)*0.5+N($P867)*0.25)+$W867*N($L867))</f>
        <v/>
      </c>
      <c r="Z867" s="35" t="str">
        <f aca="false">IF($G867="","",$U867*1000000+ROW())</f>
        <v/>
      </c>
      <c r="AA867" s="36" t="str">
        <f aca="false">IF($G867="","",MID(IF($C867="",", no division","")&amp;IF($E867="",", no unit","")&amp;IF($H867="",", no career level","")&amp;IF(N($L867)&lt;=0,", no quarter split","")&amp;IF($R867="",", no driver","")&amp;IF(AND($H867&lt;&gt;"",COUNTIF(CareerLevels,$H867)=0),", a career level that is not on the ladder","")&amp;IF(AND($R867&lt;&gt;"",COUNTIF(DriverList,$R867)=0),", a driver that is not on the list","")&amp;IF(ABS(N($L867)-(N($M867)+N($N867)+N($O867)+N($P867)))&gt;0.001,", a total that does not match its quarters",""),3,300))</f>
        <v/>
      </c>
    </row>
    <row r="868" customFormat="false" ht="15" hidden="false" customHeight="false" outlineLevel="0" collapsed="false">
      <c r="A868" s="33" t="str">
        <f aca="false">IF($G868="","","Human Resources Group")</f>
        <v/>
      </c>
      <c r="B868" s="19"/>
      <c r="C868" s="19"/>
      <c r="D868" s="19"/>
      <c r="E868" s="19"/>
      <c r="F868" s="19"/>
      <c r="G868" s="19"/>
      <c r="H868" s="19"/>
      <c r="I868" s="19"/>
      <c r="J868" s="19"/>
      <c r="K868" s="19"/>
      <c r="L868" s="19"/>
      <c r="M868" s="19"/>
      <c r="N868" s="19"/>
      <c r="O868" s="19"/>
      <c r="P868" s="19"/>
      <c r="Q868" s="19"/>
      <c r="R868" s="19"/>
      <c r="S868" s="19"/>
      <c r="T868" s="34" t="str">
        <f aca="false">IF($R868="","",IFERROR(INDEX(DriverCategory,MATCH($R868,DriverList,0)),"BAU"))</f>
        <v/>
      </c>
      <c r="U868" s="34" t="str">
        <f aca="false">IF($R868="","",IFERROR(INDEX(DriverRank,MATCH($R868,DriverList,0)),99))</f>
        <v/>
      </c>
      <c r="V868" s="35" t="n">
        <f aca="false">IF($H868="",0,IFERROR(INDEX(LevelBasic,MATCH($H868,LevelList,0))+INDEX(LevelHousing,MATCH($H868,LevelList,0))+INDEX(LevelTransport,MATCH($H868,LevelList,0))+INDEX(LevelBasic,MATCH($H868,LevelList,0))*INDEX(LevelBonus,MATCH($H868,LevelList,0))+(INDEX(LevelBasic,MATCH($H868,LevelList,0))+INDEX(LevelHousing,MATCH($H868,LevelList,0)))*GosiSaudi,0))</f>
        <v>0</v>
      </c>
      <c r="W868" s="35" t="n">
        <f aca="false">IFERROR(INDEX(LevelOneOff,MATCH($H868,LevelList,0)),0)</f>
        <v>0</v>
      </c>
      <c r="X868" s="35" t="str">
        <f aca="false">IF($G868="","",$V868*N($L868))</f>
        <v/>
      </c>
      <c r="Y868" s="35" t="str">
        <f aca="false">IF($G868="","",$V868*(N($M868)*1+N($N868)*0.75+N($O868)*0.5+N($P868)*0.25)+$W868*N($L868))</f>
        <v/>
      </c>
      <c r="Z868" s="35" t="str">
        <f aca="false">IF($G868="","",$U868*1000000+ROW())</f>
        <v/>
      </c>
      <c r="AA868" s="36" t="str">
        <f aca="false">IF($G868="","",MID(IF($C868="",", no division","")&amp;IF($E868="",", no unit","")&amp;IF($H868="",", no career level","")&amp;IF(N($L868)&lt;=0,", no quarter split","")&amp;IF($R868="",", no driver","")&amp;IF(AND($H868&lt;&gt;"",COUNTIF(CareerLevels,$H868)=0),", a career level that is not on the ladder","")&amp;IF(AND($R868&lt;&gt;"",COUNTIF(DriverList,$R868)=0),", a driver that is not on the list","")&amp;IF(ABS(N($L868)-(N($M868)+N($N868)+N($O868)+N($P868)))&gt;0.001,", a total that does not match its quarters",""),3,300))</f>
        <v/>
      </c>
    </row>
    <row r="869" customFormat="false" ht="15" hidden="false" customHeight="false" outlineLevel="0" collapsed="false">
      <c r="A869" s="33" t="str">
        <f aca="false">IF($G869="","","Human Resources Group")</f>
        <v/>
      </c>
      <c r="B869" s="19"/>
      <c r="C869" s="19"/>
      <c r="D869" s="19"/>
      <c r="E869" s="19"/>
      <c r="F869" s="19"/>
      <c r="G869" s="19"/>
      <c r="H869" s="19"/>
      <c r="I869" s="19"/>
      <c r="J869" s="19"/>
      <c r="K869" s="19"/>
      <c r="L869" s="19"/>
      <c r="M869" s="19"/>
      <c r="N869" s="19"/>
      <c r="O869" s="19"/>
      <c r="P869" s="19"/>
      <c r="Q869" s="19"/>
      <c r="R869" s="19"/>
      <c r="S869" s="19"/>
      <c r="T869" s="34" t="str">
        <f aca="false">IF($R869="","",IFERROR(INDEX(DriverCategory,MATCH($R869,DriverList,0)),"BAU"))</f>
        <v/>
      </c>
      <c r="U869" s="34" t="str">
        <f aca="false">IF($R869="","",IFERROR(INDEX(DriverRank,MATCH($R869,DriverList,0)),99))</f>
        <v/>
      </c>
      <c r="V869" s="35" t="n">
        <f aca="false">IF($H869="",0,IFERROR(INDEX(LevelBasic,MATCH($H869,LevelList,0))+INDEX(LevelHousing,MATCH($H869,LevelList,0))+INDEX(LevelTransport,MATCH($H869,LevelList,0))+INDEX(LevelBasic,MATCH($H869,LevelList,0))*INDEX(LevelBonus,MATCH($H869,LevelList,0))+(INDEX(LevelBasic,MATCH($H869,LevelList,0))+INDEX(LevelHousing,MATCH($H869,LevelList,0)))*GosiSaudi,0))</f>
        <v>0</v>
      </c>
      <c r="W869" s="35" t="n">
        <f aca="false">IFERROR(INDEX(LevelOneOff,MATCH($H869,LevelList,0)),0)</f>
        <v>0</v>
      </c>
      <c r="X869" s="35" t="str">
        <f aca="false">IF($G869="","",$V869*N($L869))</f>
        <v/>
      </c>
      <c r="Y869" s="35" t="str">
        <f aca="false">IF($G869="","",$V869*(N($M869)*1+N($N869)*0.75+N($O869)*0.5+N($P869)*0.25)+$W869*N($L869))</f>
        <v/>
      </c>
      <c r="Z869" s="35" t="str">
        <f aca="false">IF($G869="","",$U869*1000000+ROW())</f>
        <v/>
      </c>
      <c r="AA869" s="36" t="str">
        <f aca="false">IF($G869="","",MID(IF($C869="",", no division","")&amp;IF($E869="",", no unit","")&amp;IF($H869="",", no career level","")&amp;IF(N($L869)&lt;=0,", no quarter split","")&amp;IF($R869="",", no driver","")&amp;IF(AND($H869&lt;&gt;"",COUNTIF(CareerLevels,$H869)=0),", a career level that is not on the ladder","")&amp;IF(AND($R869&lt;&gt;"",COUNTIF(DriverList,$R869)=0),", a driver that is not on the list","")&amp;IF(ABS(N($L869)-(N($M869)+N($N869)+N($O869)+N($P869)))&gt;0.001,", a total that does not match its quarters",""),3,300))</f>
        <v/>
      </c>
    </row>
    <row r="870" customFormat="false" ht="15" hidden="false" customHeight="false" outlineLevel="0" collapsed="false">
      <c r="A870" s="33" t="str">
        <f aca="false">IF($G870="","","Human Resources Group")</f>
        <v/>
      </c>
      <c r="B870" s="19"/>
      <c r="C870" s="19"/>
      <c r="D870" s="19"/>
      <c r="E870" s="19"/>
      <c r="F870" s="19"/>
      <c r="G870" s="19"/>
      <c r="H870" s="19"/>
      <c r="I870" s="19"/>
      <c r="J870" s="19"/>
      <c r="K870" s="19"/>
      <c r="L870" s="19"/>
      <c r="M870" s="19"/>
      <c r="N870" s="19"/>
      <c r="O870" s="19"/>
      <c r="P870" s="19"/>
      <c r="Q870" s="19"/>
      <c r="R870" s="19"/>
      <c r="S870" s="19"/>
      <c r="T870" s="34" t="str">
        <f aca="false">IF($R870="","",IFERROR(INDEX(DriverCategory,MATCH($R870,DriverList,0)),"BAU"))</f>
        <v/>
      </c>
      <c r="U870" s="34" t="str">
        <f aca="false">IF($R870="","",IFERROR(INDEX(DriverRank,MATCH($R870,DriverList,0)),99))</f>
        <v/>
      </c>
      <c r="V870" s="35" t="n">
        <f aca="false">IF($H870="",0,IFERROR(INDEX(LevelBasic,MATCH($H870,LevelList,0))+INDEX(LevelHousing,MATCH($H870,LevelList,0))+INDEX(LevelTransport,MATCH($H870,LevelList,0))+INDEX(LevelBasic,MATCH($H870,LevelList,0))*INDEX(LevelBonus,MATCH($H870,LevelList,0))+(INDEX(LevelBasic,MATCH($H870,LevelList,0))+INDEX(LevelHousing,MATCH($H870,LevelList,0)))*GosiSaudi,0))</f>
        <v>0</v>
      </c>
      <c r="W870" s="35" t="n">
        <f aca="false">IFERROR(INDEX(LevelOneOff,MATCH($H870,LevelList,0)),0)</f>
        <v>0</v>
      </c>
      <c r="X870" s="35" t="str">
        <f aca="false">IF($G870="","",$V870*N($L870))</f>
        <v/>
      </c>
      <c r="Y870" s="35" t="str">
        <f aca="false">IF($G870="","",$V870*(N($M870)*1+N($N870)*0.75+N($O870)*0.5+N($P870)*0.25)+$W870*N($L870))</f>
        <v/>
      </c>
      <c r="Z870" s="35" t="str">
        <f aca="false">IF($G870="","",$U870*1000000+ROW())</f>
        <v/>
      </c>
      <c r="AA870" s="36" t="str">
        <f aca="false">IF($G870="","",MID(IF($C870="",", no division","")&amp;IF($E870="",", no unit","")&amp;IF($H870="",", no career level","")&amp;IF(N($L870)&lt;=0,", no quarter split","")&amp;IF($R870="",", no driver","")&amp;IF(AND($H870&lt;&gt;"",COUNTIF(CareerLevels,$H870)=0),", a career level that is not on the ladder","")&amp;IF(AND($R870&lt;&gt;"",COUNTIF(DriverList,$R870)=0),", a driver that is not on the list","")&amp;IF(ABS(N($L870)-(N($M870)+N($N870)+N($O870)+N($P870)))&gt;0.001,", a total that does not match its quarters",""),3,300))</f>
        <v/>
      </c>
    </row>
    <row r="871" customFormat="false" ht="15" hidden="false" customHeight="false" outlineLevel="0" collapsed="false">
      <c r="A871" s="33" t="str">
        <f aca="false">IF($G871="","","Human Resources Group")</f>
        <v/>
      </c>
      <c r="B871" s="19"/>
      <c r="C871" s="19"/>
      <c r="D871" s="19"/>
      <c r="E871" s="19"/>
      <c r="F871" s="19"/>
      <c r="G871" s="19"/>
      <c r="H871" s="19"/>
      <c r="I871" s="19"/>
      <c r="J871" s="19"/>
      <c r="K871" s="19"/>
      <c r="L871" s="19"/>
      <c r="M871" s="19"/>
      <c r="N871" s="19"/>
      <c r="O871" s="19"/>
      <c r="P871" s="19"/>
      <c r="Q871" s="19"/>
      <c r="R871" s="19"/>
      <c r="S871" s="19"/>
      <c r="T871" s="34" t="str">
        <f aca="false">IF($R871="","",IFERROR(INDEX(DriverCategory,MATCH($R871,DriverList,0)),"BAU"))</f>
        <v/>
      </c>
      <c r="U871" s="34" t="str">
        <f aca="false">IF($R871="","",IFERROR(INDEX(DriverRank,MATCH($R871,DriverList,0)),99))</f>
        <v/>
      </c>
      <c r="V871" s="35" t="n">
        <f aca="false">IF($H871="",0,IFERROR(INDEX(LevelBasic,MATCH($H871,LevelList,0))+INDEX(LevelHousing,MATCH($H871,LevelList,0))+INDEX(LevelTransport,MATCH($H871,LevelList,0))+INDEX(LevelBasic,MATCH($H871,LevelList,0))*INDEX(LevelBonus,MATCH($H871,LevelList,0))+(INDEX(LevelBasic,MATCH($H871,LevelList,0))+INDEX(LevelHousing,MATCH($H871,LevelList,0)))*GosiSaudi,0))</f>
        <v>0</v>
      </c>
      <c r="W871" s="35" t="n">
        <f aca="false">IFERROR(INDEX(LevelOneOff,MATCH($H871,LevelList,0)),0)</f>
        <v>0</v>
      </c>
      <c r="X871" s="35" t="str">
        <f aca="false">IF($G871="","",$V871*N($L871))</f>
        <v/>
      </c>
      <c r="Y871" s="35" t="str">
        <f aca="false">IF($G871="","",$V871*(N($M871)*1+N($N871)*0.75+N($O871)*0.5+N($P871)*0.25)+$W871*N($L871))</f>
        <v/>
      </c>
      <c r="Z871" s="35" t="str">
        <f aca="false">IF($G871="","",$U871*1000000+ROW())</f>
        <v/>
      </c>
      <c r="AA871" s="36" t="str">
        <f aca="false">IF($G871="","",MID(IF($C871="",", no division","")&amp;IF($E871="",", no unit","")&amp;IF($H871="",", no career level","")&amp;IF(N($L871)&lt;=0,", no quarter split","")&amp;IF($R871="",", no driver","")&amp;IF(AND($H871&lt;&gt;"",COUNTIF(CareerLevels,$H871)=0),", a career level that is not on the ladder","")&amp;IF(AND($R871&lt;&gt;"",COUNTIF(DriverList,$R871)=0),", a driver that is not on the list","")&amp;IF(ABS(N($L871)-(N($M871)+N($N871)+N($O871)+N($P871)))&gt;0.001,", a total that does not match its quarters",""),3,300))</f>
        <v/>
      </c>
    </row>
    <row r="872" customFormat="false" ht="15" hidden="false" customHeight="false" outlineLevel="0" collapsed="false">
      <c r="A872" s="33" t="str">
        <f aca="false">IF($G872="","","Human Resources Group")</f>
        <v/>
      </c>
      <c r="B872" s="19"/>
      <c r="C872" s="19"/>
      <c r="D872" s="19"/>
      <c r="E872" s="19"/>
      <c r="F872" s="19"/>
      <c r="G872" s="19"/>
      <c r="H872" s="19"/>
      <c r="I872" s="19"/>
      <c r="J872" s="19"/>
      <c r="K872" s="19"/>
      <c r="L872" s="19"/>
      <c r="M872" s="19"/>
      <c r="N872" s="19"/>
      <c r="O872" s="19"/>
      <c r="P872" s="19"/>
      <c r="Q872" s="19"/>
      <c r="R872" s="19"/>
      <c r="S872" s="19"/>
      <c r="T872" s="34" t="str">
        <f aca="false">IF($R872="","",IFERROR(INDEX(DriverCategory,MATCH($R872,DriverList,0)),"BAU"))</f>
        <v/>
      </c>
      <c r="U872" s="34" t="str">
        <f aca="false">IF($R872="","",IFERROR(INDEX(DriverRank,MATCH($R872,DriverList,0)),99))</f>
        <v/>
      </c>
      <c r="V872" s="35" t="n">
        <f aca="false">IF($H872="",0,IFERROR(INDEX(LevelBasic,MATCH($H872,LevelList,0))+INDEX(LevelHousing,MATCH($H872,LevelList,0))+INDEX(LevelTransport,MATCH($H872,LevelList,0))+INDEX(LevelBasic,MATCH($H872,LevelList,0))*INDEX(LevelBonus,MATCH($H872,LevelList,0))+(INDEX(LevelBasic,MATCH($H872,LevelList,0))+INDEX(LevelHousing,MATCH($H872,LevelList,0)))*GosiSaudi,0))</f>
        <v>0</v>
      </c>
      <c r="W872" s="35" t="n">
        <f aca="false">IFERROR(INDEX(LevelOneOff,MATCH($H872,LevelList,0)),0)</f>
        <v>0</v>
      </c>
      <c r="X872" s="35" t="str">
        <f aca="false">IF($G872="","",$V872*N($L872))</f>
        <v/>
      </c>
      <c r="Y872" s="35" t="str">
        <f aca="false">IF($G872="","",$V872*(N($M872)*1+N($N872)*0.75+N($O872)*0.5+N($P872)*0.25)+$W872*N($L872))</f>
        <v/>
      </c>
      <c r="Z872" s="35" t="str">
        <f aca="false">IF($G872="","",$U872*1000000+ROW())</f>
        <v/>
      </c>
      <c r="AA872" s="36" t="str">
        <f aca="false">IF($G872="","",MID(IF($C872="",", no division","")&amp;IF($E872="",", no unit","")&amp;IF($H872="",", no career level","")&amp;IF(N($L872)&lt;=0,", no quarter split","")&amp;IF($R872="",", no driver","")&amp;IF(AND($H872&lt;&gt;"",COUNTIF(CareerLevels,$H872)=0),", a career level that is not on the ladder","")&amp;IF(AND($R872&lt;&gt;"",COUNTIF(DriverList,$R872)=0),", a driver that is not on the list","")&amp;IF(ABS(N($L872)-(N($M872)+N($N872)+N($O872)+N($P872)))&gt;0.001,", a total that does not match its quarters",""),3,300))</f>
        <v/>
      </c>
    </row>
    <row r="873" customFormat="false" ht="15" hidden="false" customHeight="false" outlineLevel="0" collapsed="false">
      <c r="A873" s="33" t="str">
        <f aca="false">IF($G873="","","Human Resources Group")</f>
        <v/>
      </c>
      <c r="B873" s="19"/>
      <c r="C873" s="19"/>
      <c r="D873" s="19"/>
      <c r="E873" s="19"/>
      <c r="F873" s="19"/>
      <c r="G873" s="19"/>
      <c r="H873" s="19"/>
      <c r="I873" s="19"/>
      <c r="J873" s="19"/>
      <c r="K873" s="19"/>
      <c r="L873" s="19"/>
      <c r="M873" s="19"/>
      <c r="N873" s="19"/>
      <c r="O873" s="19"/>
      <c r="P873" s="19"/>
      <c r="Q873" s="19"/>
      <c r="R873" s="19"/>
      <c r="S873" s="19"/>
      <c r="T873" s="34" t="str">
        <f aca="false">IF($R873="","",IFERROR(INDEX(DriverCategory,MATCH($R873,DriverList,0)),"BAU"))</f>
        <v/>
      </c>
      <c r="U873" s="34" t="str">
        <f aca="false">IF($R873="","",IFERROR(INDEX(DriverRank,MATCH($R873,DriverList,0)),99))</f>
        <v/>
      </c>
      <c r="V873" s="35" t="n">
        <f aca="false">IF($H873="",0,IFERROR(INDEX(LevelBasic,MATCH($H873,LevelList,0))+INDEX(LevelHousing,MATCH($H873,LevelList,0))+INDEX(LevelTransport,MATCH($H873,LevelList,0))+INDEX(LevelBasic,MATCH($H873,LevelList,0))*INDEX(LevelBonus,MATCH($H873,LevelList,0))+(INDEX(LevelBasic,MATCH($H873,LevelList,0))+INDEX(LevelHousing,MATCH($H873,LevelList,0)))*GosiSaudi,0))</f>
        <v>0</v>
      </c>
      <c r="W873" s="35" t="n">
        <f aca="false">IFERROR(INDEX(LevelOneOff,MATCH($H873,LevelList,0)),0)</f>
        <v>0</v>
      </c>
      <c r="X873" s="35" t="str">
        <f aca="false">IF($G873="","",$V873*N($L873))</f>
        <v/>
      </c>
      <c r="Y873" s="35" t="str">
        <f aca="false">IF($G873="","",$V873*(N($M873)*1+N($N873)*0.75+N($O873)*0.5+N($P873)*0.25)+$W873*N($L873))</f>
        <v/>
      </c>
      <c r="Z873" s="35" t="str">
        <f aca="false">IF($G873="","",$U873*1000000+ROW())</f>
        <v/>
      </c>
      <c r="AA873" s="36" t="str">
        <f aca="false">IF($G873="","",MID(IF($C873="",", no division","")&amp;IF($E873="",", no unit","")&amp;IF($H873="",", no career level","")&amp;IF(N($L873)&lt;=0,", no quarter split","")&amp;IF($R873="",", no driver","")&amp;IF(AND($H873&lt;&gt;"",COUNTIF(CareerLevels,$H873)=0),", a career level that is not on the ladder","")&amp;IF(AND($R873&lt;&gt;"",COUNTIF(DriverList,$R873)=0),", a driver that is not on the list","")&amp;IF(ABS(N($L873)-(N($M873)+N($N873)+N($O873)+N($P873)))&gt;0.001,", a total that does not match its quarters",""),3,300))</f>
        <v/>
      </c>
    </row>
    <row r="874" customFormat="false" ht="15" hidden="false" customHeight="false" outlineLevel="0" collapsed="false">
      <c r="A874" s="33" t="str">
        <f aca="false">IF($G874="","","Human Resources Group")</f>
        <v/>
      </c>
      <c r="B874" s="19"/>
      <c r="C874" s="19"/>
      <c r="D874" s="19"/>
      <c r="E874" s="19"/>
      <c r="F874" s="19"/>
      <c r="G874" s="19"/>
      <c r="H874" s="19"/>
      <c r="I874" s="19"/>
      <c r="J874" s="19"/>
      <c r="K874" s="19"/>
      <c r="L874" s="19"/>
      <c r="M874" s="19"/>
      <c r="N874" s="19"/>
      <c r="O874" s="19"/>
      <c r="P874" s="19"/>
      <c r="Q874" s="19"/>
      <c r="R874" s="19"/>
      <c r="S874" s="19"/>
      <c r="T874" s="34" t="str">
        <f aca="false">IF($R874="","",IFERROR(INDEX(DriverCategory,MATCH($R874,DriverList,0)),"BAU"))</f>
        <v/>
      </c>
      <c r="U874" s="34" t="str">
        <f aca="false">IF($R874="","",IFERROR(INDEX(DriverRank,MATCH($R874,DriverList,0)),99))</f>
        <v/>
      </c>
      <c r="V874" s="35" t="n">
        <f aca="false">IF($H874="",0,IFERROR(INDEX(LevelBasic,MATCH($H874,LevelList,0))+INDEX(LevelHousing,MATCH($H874,LevelList,0))+INDEX(LevelTransport,MATCH($H874,LevelList,0))+INDEX(LevelBasic,MATCH($H874,LevelList,0))*INDEX(LevelBonus,MATCH($H874,LevelList,0))+(INDEX(LevelBasic,MATCH($H874,LevelList,0))+INDEX(LevelHousing,MATCH($H874,LevelList,0)))*GosiSaudi,0))</f>
        <v>0</v>
      </c>
      <c r="W874" s="35" t="n">
        <f aca="false">IFERROR(INDEX(LevelOneOff,MATCH($H874,LevelList,0)),0)</f>
        <v>0</v>
      </c>
      <c r="X874" s="35" t="str">
        <f aca="false">IF($G874="","",$V874*N($L874))</f>
        <v/>
      </c>
      <c r="Y874" s="35" t="str">
        <f aca="false">IF($G874="","",$V874*(N($M874)*1+N($N874)*0.75+N($O874)*0.5+N($P874)*0.25)+$W874*N($L874))</f>
        <v/>
      </c>
      <c r="Z874" s="35" t="str">
        <f aca="false">IF($G874="","",$U874*1000000+ROW())</f>
        <v/>
      </c>
      <c r="AA874" s="36" t="str">
        <f aca="false">IF($G874="","",MID(IF($C874="",", no division","")&amp;IF($E874="",", no unit","")&amp;IF($H874="",", no career level","")&amp;IF(N($L874)&lt;=0,", no quarter split","")&amp;IF($R874="",", no driver","")&amp;IF(AND($H874&lt;&gt;"",COUNTIF(CareerLevels,$H874)=0),", a career level that is not on the ladder","")&amp;IF(AND($R874&lt;&gt;"",COUNTIF(DriverList,$R874)=0),", a driver that is not on the list","")&amp;IF(ABS(N($L874)-(N($M874)+N($N874)+N($O874)+N($P874)))&gt;0.001,", a total that does not match its quarters",""),3,300))</f>
        <v/>
      </c>
    </row>
    <row r="875" customFormat="false" ht="15" hidden="false" customHeight="false" outlineLevel="0" collapsed="false">
      <c r="A875" s="33" t="str">
        <f aca="false">IF($G875="","","Human Resources Group")</f>
        <v/>
      </c>
      <c r="B875" s="19"/>
      <c r="C875" s="19"/>
      <c r="D875" s="19"/>
      <c r="E875" s="19"/>
      <c r="F875" s="19"/>
      <c r="G875" s="19"/>
      <c r="H875" s="19"/>
      <c r="I875" s="19"/>
      <c r="J875" s="19"/>
      <c r="K875" s="19"/>
      <c r="L875" s="19"/>
      <c r="M875" s="19"/>
      <c r="N875" s="19"/>
      <c r="O875" s="19"/>
      <c r="P875" s="19"/>
      <c r="Q875" s="19"/>
      <c r="R875" s="19"/>
      <c r="S875" s="19"/>
      <c r="T875" s="34" t="str">
        <f aca="false">IF($R875="","",IFERROR(INDEX(DriverCategory,MATCH($R875,DriverList,0)),"BAU"))</f>
        <v/>
      </c>
      <c r="U875" s="34" t="str">
        <f aca="false">IF($R875="","",IFERROR(INDEX(DriverRank,MATCH($R875,DriverList,0)),99))</f>
        <v/>
      </c>
      <c r="V875" s="35" t="n">
        <f aca="false">IF($H875="",0,IFERROR(INDEX(LevelBasic,MATCH($H875,LevelList,0))+INDEX(LevelHousing,MATCH($H875,LevelList,0))+INDEX(LevelTransport,MATCH($H875,LevelList,0))+INDEX(LevelBasic,MATCH($H875,LevelList,0))*INDEX(LevelBonus,MATCH($H875,LevelList,0))+(INDEX(LevelBasic,MATCH($H875,LevelList,0))+INDEX(LevelHousing,MATCH($H875,LevelList,0)))*GosiSaudi,0))</f>
        <v>0</v>
      </c>
      <c r="W875" s="35" t="n">
        <f aca="false">IFERROR(INDEX(LevelOneOff,MATCH($H875,LevelList,0)),0)</f>
        <v>0</v>
      </c>
      <c r="X875" s="35" t="str">
        <f aca="false">IF($G875="","",$V875*N($L875))</f>
        <v/>
      </c>
      <c r="Y875" s="35" t="str">
        <f aca="false">IF($G875="","",$V875*(N($M875)*1+N($N875)*0.75+N($O875)*0.5+N($P875)*0.25)+$W875*N($L875))</f>
        <v/>
      </c>
      <c r="Z875" s="35" t="str">
        <f aca="false">IF($G875="","",$U875*1000000+ROW())</f>
        <v/>
      </c>
      <c r="AA875" s="36" t="str">
        <f aca="false">IF($G875="","",MID(IF($C875="",", no division","")&amp;IF($E875="",", no unit","")&amp;IF($H875="",", no career level","")&amp;IF(N($L875)&lt;=0,", no quarter split","")&amp;IF($R875="",", no driver","")&amp;IF(AND($H875&lt;&gt;"",COUNTIF(CareerLevels,$H875)=0),", a career level that is not on the ladder","")&amp;IF(AND($R875&lt;&gt;"",COUNTIF(DriverList,$R875)=0),", a driver that is not on the list","")&amp;IF(ABS(N($L875)-(N($M875)+N($N875)+N($O875)+N($P875)))&gt;0.001,", a total that does not match its quarters",""),3,300))</f>
        <v/>
      </c>
    </row>
    <row r="876" customFormat="false" ht="15" hidden="false" customHeight="false" outlineLevel="0" collapsed="false">
      <c r="A876" s="33" t="str">
        <f aca="false">IF($G876="","","Human Resources Group")</f>
        <v/>
      </c>
      <c r="B876" s="19"/>
      <c r="C876" s="19"/>
      <c r="D876" s="19"/>
      <c r="E876" s="19"/>
      <c r="F876" s="19"/>
      <c r="G876" s="19"/>
      <c r="H876" s="19"/>
      <c r="I876" s="19"/>
      <c r="J876" s="19"/>
      <c r="K876" s="19"/>
      <c r="L876" s="19"/>
      <c r="M876" s="19"/>
      <c r="N876" s="19"/>
      <c r="O876" s="19"/>
      <c r="P876" s="19"/>
      <c r="Q876" s="19"/>
      <c r="R876" s="19"/>
      <c r="S876" s="19"/>
      <c r="T876" s="34" t="str">
        <f aca="false">IF($R876="","",IFERROR(INDEX(DriverCategory,MATCH($R876,DriverList,0)),"BAU"))</f>
        <v/>
      </c>
      <c r="U876" s="34" t="str">
        <f aca="false">IF($R876="","",IFERROR(INDEX(DriverRank,MATCH($R876,DriverList,0)),99))</f>
        <v/>
      </c>
      <c r="V876" s="35" t="n">
        <f aca="false">IF($H876="",0,IFERROR(INDEX(LevelBasic,MATCH($H876,LevelList,0))+INDEX(LevelHousing,MATCH($H876,LevelList,0))+INDEX(LevelTransport,MATCH($H876,LevelList,0))+INDEX(LevelBasic,MATCH($H876,LevelList,0))*INDEX(LevelBonus,MATCH($H876,LevelList,0))+(INDEX(LevelBasic,MATCH($H876,LevelList,0))+INDEX(LevelHousing,MATCH($H876,LevelList,0)))*GosiSaudi,0))</f>
        <v>0</v>
      </c>
      <c r="W876" s="35" t="n">
        <f aca="false">IFERROR(INDEX(LevelOneOff,MATCH($H876,LevelList,0)),0)</f>
        <v>0</v>
      </c>
      <c r="X876" s="35" t="str">
        <f aca="false">IF($G876="","",$V876*N($L876))</f>
        <v/>
      </c>
      <c r="Y876" s="35" t="str">
        <f aca="false">IF($G876="","",$V876*(N($M876)*1+N($N876)*0.75+N($O876)*0.5+N($P876)*0.25)+$W876*N($L876))</f>
        <v/>
      </c>
      <c r="Z876" s="35" t="str">
        <f aca="false">IF($G876="","",$U876*1000000+ROW())</f>
        <v/>
      </c>
      <c r="AA876" s="36" t="str">
        <f aca="false">IF($G876="","",MID(IF($C876="",", no division","")&amp;IF($E876="",", no unit","")&amp;IF($H876="",", no career level","")&amp;IF(N($L876)&lt;=0,", no quarter split","")&amp;IF($R876="",", no driver","")&amp;IF(AND($H876&lt;&gt;"",COUNTIF(CareerLevels,$H876)=0),", a career level that is not on the ladder","")&amp;IF(AND($R876&lt;&gt;"",COUNTIF(DriverList,$R876)=0),", a driver that is not on the list","")&amp;IF(ABS(N($L876)-(N($M876)+N($N876)+N($O876)+N($P876)))&gt;0.001,", a total that does not match its quarters",""),3,300))</f>
        <v/>
      </c>
    </row>
    <row r="877" customFormat="false" ht="15" hidden="false" customHeight="false" outlineLevel="0" collapsed="false">
      <c r="A877" s="33" t="str">
        <f aca="false">IF($G877="","","Human Resources Group")</f>
        <v/>
      </c>
      <c r="B877" s="19"/>
      <c r="C877" s="19"/>
      <c r="D877" s="19"/>
      <c r="E877" s="19"/>
      <c r="F877" s="19"/>
      <c r="G877" s="19"/>
      <c r="H877" s="19"/>
      <c r="I877" s="19"/>
      <c r="J877" s="19"/>
      <c r="K877" s="19"/>
      <c r="L877" s="19"/>
      <c r="M877" s="19"/>
      <c r="N877" s="19"/>
      <c r="O877" s="19"/>
      <c r="P877" s="19"/>
      <c r="Q877" s="19"/>
      <c r="R877" s="19"/>
      <c r="S877" s="19"/>
      <c r="T877" s="34" t="str">
        <f aca="false">IF($R877="","",IFERROR(INDEX(DriverCategory,MATCH($R877,DriverList,0)),"BAU"))</f>
        <v/>
      </c>
      <c r="U877" s="34" t="str">
        <f aca="false">IF($R877="","",IFERROR(INDEX(DriverRank,MATCH($R877,DriverList,0)),99))</f>
        <v/>
      </c>
      <c r="V877" s="35" t="n">
        <f aca="false">IF($H877="",0,IFERROR(INDEX(LevelBasic,MATCH($H877,LevelList,0))+INDEX(LevelHousing,MATCH($H877,LevelList,0))+INDEX(LevelTransport,MATCH($H877,LevelList,0))+INDEX(LevelBasic,MATCH($H877,LevelList,0))*INDEX(LevelBonus,MATCH($H877,LevelList,0))+(INDEX(LevelBasic,MATCH($H877,LevelList,0))+INDEX(LevelHousing,MATCH($H877,LevelList,0)))*GosiSaudi,0))</f>
        <v>0</v>
      </c>
      <c r="W877" s="35" t="n">
        <f aca="false">IFERROR(INDEX(LevelOneOff,MATCH($H877,LevelList,0)),0)</f>
        <v>0</v>
      </c>
      <c r="X877" s="35" t="str">
        <f aca="false">IF($G877="","",$V877*N($L877))</f>
        <v/>
      </c>
      <c r="Y877" s="35" t="str">
        <f aca="false">IF($G877="","",$V877*(N($M877)*1+N($N877)*0.75+N($O877)*0.5+N($P877)*0.25)+$W877*N($L877))</f>
        <v/>
      </c>
      <c r="Z877" s="35" t="str">
        <f aca="false">IF($G877="","",$U877*1000000+ROW())</f>
        <v/>
      </c>
      <c r="AA877" s="36" t="str">
        <f aca="false">IF($G877="","",MID(IF($C877="",", no division","")&amp;IF($E877="",", no unit","")&amp;IF($H877="",", no career level","")&amp;IF(N($L877)&lt;=0,", no quarter split","")&amp;IF($R877="",", no driver","")&amp;IF(AND($H877&lt;&gt;"",COUNTIF(CareerLevels,$H877)=0),", a career level that is not on the ladder","")&amp;IF(AND($R877&lt;&gt;"",COUNTIF(DriverList,$R877)=0),", a driver that is not on the list","")&amp;IF(ABS(N($L877)-(N($M877)+N($N877)+N($O877)+N($P877)))&gt;0.001,", a total that does not match its quarters",""),3,300))</f>
        <v/>
      </c>
    </row>
    <row r="878" customFormat="false" ht="15" hidden="false" customHeight="false" outlineLevel="0" collapsed="false">
      <c r="A878" s="33" t="str">
        <f aca="false">IF($G878="","","Human Resources Group")</f>
        <v/>
      </c>
      <c r="B878" s="19"/>
      <c r="C878" s="19"/>
      <c r="D878" s="19"/>
      <c r="E878" s="19"/>
      <c r="F878" s="19"/>
      <c r="G878" s="19"/>
      <c r="H878" s="19"/>
      <c r="I878" s="19"/>
      <c r="J878" s="19"/>
      <c r="K878" s="19"/>
      <c r="L878" s="19"/>
      <c r="M878" s="19"/>
      <c r="N878" s="19"/>
      <c r="O878" s="19"/>
      <c r="P878" s="19"/>
      <c r="Q878" s="19"/>
      <c r="R878" s="19"/>
      <c r="S878" s="19"/>
      <c r="T878" s="34" t="str">
        <f aca="false">IF($R878="","",IFERROR(INDEX(DriverCategory,MATCH($R878,DriverList,0)),"BAU"))</f>
        <v/>
      </c>
      <c r="U878" s="34" t="str">
        <f aca="false">IF($R878="","",IFERROR(INDEX(DriverRank,MATCH($R878,DriverList,0)),99))</f>
        <v/>
      </c>
      <c r="V878" s="35" t="n">
        <f aca="false">IF($H878="",0,IFERROR(INDEX(LevelBasic,MATCH($H878,LevelList,0))+INDEX(LevelHousing,MATCH($H878,LevelList,0))+INDEX(LevelTransport,MATCH($H878,LevelList,0))+INDEX(LevelBasic,MATCH($H878,LevelList,0))*INDEX(LevelBonus,MATCH($H878,LevelList,0))+(INDEX(LevelBasic,MATCH($H878,LevelList,0))+INDEX(LevelHousing,MATCH($H878,LevelList,0)))*GosiSaudi,0))</f>
        <v>0</v>
      </c>
      <c r="W878" s="35" t="n">
        <f aca="false">IFERROR(INDEX(LevelOneOff,MATCH($H878,LevelList,0)),0)</f>
        <v>0</v>
      </c>
      <c r="X878" s="35" t="str">
        <f aca="false">IF($G878="","",$V878*N($L878))</f>
        <v/>
      </c>
      <c r="Y878" s="35" t="str">
        <f aca="false">IF($G878="","",$V878*(N($M878)*1+N($N878)*0.75+N($O878)*0.5+N($P878)*0.25)+$W878*N($L878))</f>
        <v/>
      </c>
      <c r="Z878" s="35" t="str">
        <f aca="false">IF($G878="","",$U878*1000000+ROW())</f>
        <v/>
      </c>
      <c r="AA878" s="36" t="str">
        <f aca="false">IF($G878="","",MID(IF($C878="",", no division","")&amp;IF($E878="",", no unit","")&amp;IF($H878="",", no career level","")&amp;IF(N($L878)&lt;=0,", no quarter split","")&amp;IF($R878="",", no driver","")&amp;IF(AND($H878&lt;&gt;"",COUNTIF(CareerLevels,$H878)=0),", a career level that is not on the ladder","")&amp;IF(AND($R878&lt;&gt;"",COUNTIF(DriverList,$R878)=0),", a driver that is not on the list","")&amp;IF(ABS(N($L878)-(N($M878)+N($N878)+N($O878)+N($P878)))&gt;0.001,", a total that does not match its quarters",""),3,300))</f>
        <v/>
      </c>
    </row>
    <row r="879" customFormat="false" ht="15" hidden="false" customHeight="false" outlineLevel="0" collapsed="false">
      <c r="A879" s="33" t="str">
        <f aca="false">IF($G879="","","Human Resources Group")</f>
        <v/>
      </c>
      <c r="B879" s="19"/>
      <c r="C879" s="19"/>
      <c r="D879" s="19"/>
      <c r="E879" s="19"/>
      <c r="F879" s="19"/>
      <c r="G879" s="19"/>
      <c r="H879" s="19"/>
      <c r="I879" s="19"/>
      <c r="J879" s="19"/>
      <c r="K879" s="19"/>
      <c r="L879" s="19"/>
      <c r="M879" s="19"/>
      <c r="N879" s="19"/>
      <c r="O879" s="19"/>
      <c r="P879" s="19"/>
      <c r="Q879" s="19"/>
      <c r="R879" s="19"/>
      <c r="S879" s="19"/>
      <c r="T879" s="34" t="str">
        <f aca="false">IF($R879="","",IFERROR(INDEX(DriverCategory,MATCH($R879,DriverList,0)),"BAU"))</f>
        <v/>
      </c>
      <c r="U879" s="34" t="str">
        <f aca="false">IF($R879="","",IFERROR(INDEX(DriverRank,MATCH($R879,DriverList,0)),99))</f>
        <v/>
      </c>
      <c r="V879" s="35" t="n">
        <f aca="false">IF($H879="",0,IFERROR(INDEX(LevelBasic,MATCH($H879,LevelList,0))+INDEX(LevelHousing,MATCH($H879,LevelList,0))+INDEX(LevelTransport,MATCH($H879,LevelList,0))+INDEX(LevelBasic,MATCH($H879,LevelList,0))*INDEX(LevelBonus,MATCH($H879,LevelList,0))+(INDEX(LevelBasic,MATCH($H879,LevelList,0))+INDEX(LevelHousing,MATCH($H879,LevelList,0)))*GosiSaudi,0))</f>
        <v>0</v>
      </c>
      <c r="W879" s="35" t="n">
        <f aca="false">IFERROR(INDEX(LevelOneOff,MATCH($H879,LevelList,0)),0)</f>
        <v>0</v>
      </c>
      <c r="X879" s="35" t="str">
        <f aca="false">IF($G879="","",$V879*N($L879))</f>
        <v/>
      </c>
      <c r="Y879" s="35" t="str">
        <f aca="false">IF($G879="","",$V879*(N($M879)*1+N($N879)*0.75+N($O879)*0.5+N($P879)*0.25)+$W879*N($L879))</f>
        <v/>
      </c>
      <c r="Z879" s="35" t="str">
        <f aca="false">IF($G879="","",$U879*1000000+ROW())</f>
        <v/>
      </c>
      <c r="AA879" s="36" t="str">
        <f aca="false">IF($G879="","",MID(IF($C879="",", no division","")&amp;IF($E879="",", no unit","")&amp;IF($H879="",", no career level","")&amp;IF(N($L879)&lt;=0,", no quarter split","")&amp;IF($R879="",", no driver","")&amp;IF(AND($H879&lt;&gt;"",COUNTIF(CareerLevels,$H879)=0),", a career level that is not on the ladder","")&amp;IF(AND($R879&lt;&gt;"",COUNTIF(DriverList,$R879)=0),", a driver that is not on the list","")&amp;IF(ABS(N($L879)-(N($M879)+N($N879)+N($O879)+N($P879)))&gt;0.001,", a total that does not match its quarters",""),3,300))</f>
        <v/>
      </c>
    </row>
    <row r="880" customFormat="false" ht="15" hidden="false" customHeight="false" outlineLevel="0" collapsed="false">
      <c r="A880" s="33" t="str">
        <f aca="false">IF($G880="","","Human Resources Group")</f>
        <v/>
      </c>
      <c r="B880" s="19"/>
      <c r="C880" s="19"/>
      <c r="D880" s="19"/>
      <c r="E880" s="19"/>
      <c r="F880" s="19"/>
      <c r="G880" s="19"/>
      <c r="H880" s="19"/>
      <c r="I880" s="19"/>
      <c r="J880" s="19"/>
      <c r="K880" s="19"/>
      <c r="L880" s="19"/>
      <c r="M880" s="19"/>
      <c r="N880" s="19"/>
      <c r="O880" s="19"/>
      <c r="P880" s="19"/>
      <c r="Q880" s="19"/>
      <c r="R880" s="19"/>
      <c r="S880" s="19"/>
      <c r="T880" s="34" t="str">
        <f aca="false">IF($R880="","",IFERROR(INDEX(DriverCategory,MATCH($R880,DriverList,0)),"BAU"))</f>
        <v/>
      </c>
      <c r="U880" s="34" t="str">
        <f aca="false">IF($R880="","",IFERROR(INDEX(DriverRank,MATCH($R880,DriverList,0)),99))</f>
        <v/>
      </c>
      <c r="V880" s="35" t="n">
        <f aca="false">IF($H880="",0,IFERROR(INDEX(LevelBasic,MATCH($H880,LevelList,0))+INDEX(LevelHousing,MATCH($H880,LevelList,0))+INDEX(LevelTransport,MATCH($H880,LevelList,0))+INDEX(LevelBasic,MATCH($H880,LevelList,0))*INDEX(LevelBonus,MATCH($H880,LevelList,0))+(INDEX(LevelBasic,MATCH($H880,LevelList,0))+INDEX(LevelHousing,MATCH($H880,LevelList,0)))*GosiSaudi,0))</f>
        <v>0</v>
      </c>
      <c r="W880" s="35" t="n">
        <f aca="false">IFERROR(INDEX(LevelOneOff,MATCH($H880,LevelList,0)),0)</f>
        <v>0</v>
      </c>
      <c r="X880" s="35" t="str">
        <f aca="false">IF($G880="","",$V880*N($L880))</f>
        <v/>
      </c>
      <c r="Y880" s="35" t="str">
        <f aca="false">IF($G880="","",$V880*(N($M880)*1+N($N880)*0.75+N($O880)*0.5+N($P880)*0.25)+$W880*N($L880))</f>
        <v/>
      </c>
      <c r="Z880" s="35" t="str">
        <f aca="false">IF($G880="","",$U880*1000000+ROW())</f>
        <v/>
      </c>
      <c r="AA880" s="36" t="str">
        <f aca="false">IF($G880="","",MID(IF($C880="",", no division","")&amp;IF($E880="",", no unit","")&amp;IF($H880="",", no career level","")&amp;IF(N($L880)&lt;=0,", no quarter split","")&amp;IF($R880="",", no driver","")&amp;IF(AND($H880&lt;&gt;"",COUNTIF(CareerLevels,$H880)=0),", a career level that is not on the ladder","")&amp;IF(AND($R880&lt;&gt;"",COUNTIF(DriverList,$R880)=0),", a driver that is not on the list","")&amp;IF(ABS(N($L880)-(N($M880)+N($N880)+N($O880)+N($P880)))&gt;0.001,", a total that does not match its quarters",""),3,300))</f>
        <v/>
      </c>
    </row>
    <row r="881" customFormat="false" ht="15" hidden="false" customHeight="false" outlineLevel="0" collapsed="false">
      <c r="A881" s="33" t="str">
        <f aca="false">IF($G881="","","Human Resources Group")</f>
        <v/>
      </c>
      <c r="B881" s="19"/>
      <c r="C881" s="19"/>
      <c r="D881" s="19"/>
      <c r="E881" s="19"/>
      <c r="F881" s="19"/>
      <c r="G881" s="19"/>
      <c r="H881" s="19"/>
      <c r="I881" s="19"/>
      <c r="J881" s="19"/>
      <c r="K881" s="19"/>
      <c r="L881" s="19"/>
      <c r="M881" s="19"/>
      <c r="N881" s="19"/>
      <c r="O881" s="19"/>
      <c r="P881" s="19"/>
      <c r="Q881" s="19"/>
      <c r="R881" s="19"/>
      <c r="S881" s="19"/>
      <c r="T881" s="34" t="str">
        <f aca="false">IF($R881="","",IFERROR(INDEX(DriverCategory,MATCH($R881,DriverList,0)),"BAU"))</f>
        <v/>
      </c>
      <c r="U881" s="34" t="str">
        <f aca="false">IF($R881="","",IFERROR(INDEX(DriverRank,MATCH($R881,DriverList,0)),99))</f>
        <v/>
      </c>
      <c r="V881" s="35" t="n">
        <f aca="false">IF($H881="",0,IFERROR(INDEX(LevelBasic,MATCH($H881,LevelList,0))+INDEX(LevelHousing,MATCH($H881,LevelList,0))+INDEX(LevelTransport,MATCH($H881,LevelList,0))+INDEX(LevelBasic,MATCH($H881,LevelList,0))*INDEX(LevelBonus,MATCH($H881,LevelList,0))+(INDEX(LevelBasic,MATCH($H881,LevelList,0))+INDEX(LevelHousing,MATCH($H881,LevelList,0)))*GosiSaudi,0))</f>
        <v>0</v>
      </c>
      <c r="W881" s="35" t="n">
        <f aca="false">IFERROR(INDEX(LevelOneOff,MATCH($H881,LevelList,0)),0)</f>
        <v>0</v>
      </c>
      <c r="X881" s="35" t="str">
        <f aca="false">IF($G881="","",$V881*N($L881))</f>
        <v/>
      </c>
      <c r="Y881" s="35" t="str">
        <f aca="false">IF($G881="","",$V881*(N($M881)*1+N($N881)*0.75+N($O881)*0.5+N($P881)*0.25)+$W881*N($L881))</f>
        <v/>
      </c>
      <c r="Z881" s="35" t="str">
        <f aca="false">IF($G881="","",$U881*1000000+ROW())</f>
        <v/>
      </c>
      <c r="AA881" s="36" t="str">
        <f aca="false">IF($G881="","",MID(IF($C881="",", no division","")&amp;IF($E881="",", no unit","")&amp;IF($H881="",", no career level","")&amp;IF(N($L881)&lt;=0,", no quarter split","")&amp;IF($R881="",", no driver","")&amp;IF(AND($H881&lt;&gt;"",COUNTIF(CareerLevels,$H881)=0),", a career level that is not on the ladder","")&amp;IF(AND($R881&lt;&gt;"",COUNTIF(DriverList,$R881)=0),", a driver that is not on the list","")&amp;IF(ABS(N($L881)-(N($M881)+N($N881)+N($O881)+N($P881)))&gt;0.001,", a total that does not match its quarters",""),3,300))</f>
        <v/>
      </c>
    </row>
    <row r="882" customFormat="false" ht="15" hidden="false" customHeight="false" outlineLevel="0" collapsed="false">
      <c r="A882" s="33" t="str">
        <f aca="false">IF($G882="","","Human Resources Group")</f>
        <v/>
      </c>
      <c r="B882" s="19"/>
      <c r="C882" s="19"/>
      <c r="D882" s="19"/>
      <c r="E882" s="19"/>
      <c r="F882" s="19"/>
      <c r="G882" s="19"/>
      <c r="H882" s="19"/>
      <c r="I882" s="19"/>
      <c r="J882" s="19"/>
      <c r="K882" s="19"/>
      <c r="L882" s="19"/>
      <c r="M882" s="19"/>
      <c r="N882" s="19"/>
      <c r="O882" s="19"/>
      <c r="P882" s="19"/>
      <c r="Q882" s="19"/>
      <c r="R882" s="19"/>
      <c r="S882" s="19"/>
      <c r="T882" s="34" t="str">
        <f aca="false">IF($R882="","",IFERROR(INDEX(DriverCategory,MATCH($R882,DriverList,0)),"BAU"))</f>
        <v/>
      </c>
      <c r="U882" s="34" t="str">
        <f aca="false">IF($R882="","",IFERROR(INDEX(DriverRank,MATCH($R882,DriverList,0)),99))</f>
        <v/>
      </c>
      <c r="V882" s="35" t="n">
        <f aca="false">IF($H882="",0,IFERROR(INDEX(LevelBasic,MATCH($H882,LevelList,0))+INDEX(LevelHousing,MATCH($H882,LevelList,0))+INDEX(LevelTransport,MATCH($H882,LevelList,0))+INDEX(LevelBasic,MATCH($H882,LevelList,0))*INDEX(LevelBonus,MATCH($H882,LevelList,0))+(INDEX(LevelBasic,MATCH($H882,LevelList,0))+INDEX(LevelHousing,MATCH($H882,LevelList,0)))*GosiSaudi,0))</f>
        <v>0</v>
      </c>
      <c r="W882" s="35" t="n">
        <f aca="false">IFERROR(INDEX(LevelOneOff,MATCH($H882,LevelList,0)),0)</f>
        <v>0</v>
      </c>
      <c r="X882" s="35" t="str">
        <f aca="false">IF($G882="","",$V882*N($L882))</f>
        <v/>
      </c>
      <c r="Y882" s="35" t="str">
        <f aca="false">IF($G882="","",$V882*(N($M882)*1+N($N882)*0.75+N($O882)*0.5+N($P882)*0.25)+$W882*N($L882))</f>
        <v/>
      </c>
      <c r="Z882" s="35" t="str">
        <f aca="false">IF($G882="","",$U882*1000000+ROW())</f>
        <v/>
      </c>
      <c r="AA882" s="36" t="str">
        <f aca="false">IF($G882="","",MID(IF($C882="",", no division","")&amp;IF($E882="",", no unit","")&amp;IF($H882="",", no career level","")&amp;IF(N($L882)&lt;=0,", no quarter split","")&amp;IF($R882="",", no driver","")&amp;IF(AND($H882&lt;&gt;"",COUNTIF(CareerLevels,$H882)=0),", a career level that is not on the ladder","")&amp;IF(AND($R882&lt;&gt;"",COUNTIF(DriverList,$R882)=0),", a driver that is not on the list","")&amp;IF(ABS(N($L882)-(N($M882)+N($N882)+N($O882)+N($P882)))&gt;0.001,", a total that does not match its quarters",""),3,300))</f>
        <v/>
      </c>
    </row>
    <row r="883" customFormat="false" ht="15" hidden="false" customHeight="false" outlineLevel="0" collapsed="false">
      <c r="A883" s="33" t="str">
        <f aca="false">IF($G883="","","Human Resources Group")</f>
        <v/>
      </c>
      <c r="B883" s="19"/>
      <c r="C883" s="19"/>
      <c r="D883" s="19"/>
      <c r="E883" s="19"/>
      <c r="F883" s="19"/>
      <c r="G883" s="19"/>
      <c r="H883" s="19"/>
      <c r="I883" s="19"/>
      <c r="J883" s="19"/>
      <c r="K883" s="19"/>
      <c r="L883" s="19"/>
      <c r="M883" s="19"/>
      <c r="N883" s="19"/>
      <c r="O883" s="19"/>
      <c r="P883" s="19"/>
      <c r="Q883" s="19"/>
      <c r="R883" s="19"/>
      <c r="S883" s="19"/>
      <c r="T883" s="34" t="str">
        <f aca="false">IF($R883="","",IFERROR(INDEX(DriverCategory,MATCH($R883,DriverList,0)),"BAU"))</f>
        <v/>
      </c>
      <c r="U883" s="34" t="str">
        <f aca="false">IF($R883="","",IFERROR(INDEX(DriverRank,MATCH($R883,DriverList,0)),99))</f>
        <v/>
      </c>
      <c r="V883" s="35" t="n">
        <f aca="false">IF($H883="",0,IFERROR(INDEX(LevelBasic,MATCH($H883,LevelList,0))+INDEX(LevelHousing,MATCH($H883,LevelList,0))+INDEX(LevelTransport,MATCH($H883,LevelList,0))+INDEX(LevelBasic,MATCH($H883,LevelList,0))*INDEX(LevelBonus,MATCH($H883,LevelList,0))+(INDEX(LevelBasic,MATCH($H883,LevelList,0))+INDEX(LevelHousing,MATCH($H883,LevelList,0)))*GosiSaudi,0))</f>
        <v>0</v>
      </c>
      <c r="W883" s="35" t="n">
        <f aca="false">IFERROR(INDEX(LevelOneOff,MATCH($H883,LevelList,0)),0)</f>
        <v>0</v>
      </c>
      <c r="X883" s="35" t="str">
        <f aca="false">IF($G883="","",$V883*N($L883))</f>
        <v/>
      </c>
      <c r="Y883" s="35" t="str">
        <f aca="false">IF($G883="","",$V883*(N($M883)*1+N($N883)*0.75+N($O883)*0.5+N($P883)*0.25)+$W883*N($L883))</f>
        <v/>
      </c>
      <c r="Z883" s="35" t="str">
        <f aca="false">IF($G883="","",$U883*1000000+ROW())</f>
        <v/>
      </c>
      <c r="AA883" s="36" t="str">
        <f aca="false">IF($G883="","",MID(IF($C883="",", no division","")&amp;IF($E883="",", no unit","")&amp;IF($H883="",", no career level","")&amp;IF(N($L883)&lt;=0,", no quarter split","")&amp;IF($R883="",", no driver","")&amp;IF(AND($H883&lt;&gt;"",COUNTIF(CareerLevels,$H883)=0),", a career level that is not on the ladder","")&amp;IF(AND($R883&lt;&gt;"",COUNTIF(DriverList,$R883)=0),", a driver that is not on the list","")&amp;IF(ABS(N($L883)-(N($M883)+N($N883)+N($O883)+N($P883)))&gt;0.001,", a total that does not match its quarters",""),3,300))</f>
        <v/>
      </c>
    </row>
    <row r="884" customFormat="false" ht="15" hidden="false" customHeight="false" outlineLevel="0" collapsed="false">
      <c r="A884" s="33" t="str">
        <f aca="false">IF($G884="","","Human Resources Group")</f>
        <v/>
      </c>
      <c r="B884" s="19"/>
      <c r="C884" s="19"/>
      <c r="D884" s="19"/>
      <c r="E884" s="19"/>
      <c r="F884" s="19"/>
      <c r="G884" s="19"/>
      <c r="H884" s="19"/>
      <c r="I884" s="19"/>
      <c r="J884" s="19"/>
      <c r="K884" s="19"/>
      <c r="L884" s="19"/>
      <c r="M884" s="19"/>
      <c r="N884" s="19"/>
      <c r="O884" s="19"/>
      <c r="P884" s="19"/>
      <c r="Q884" s="19"/>
      <c r="R884" s="19"/>
      <c r="S884" s="19"/>
      <c r="T884" s="34" t="str">
        <f aca="false">IF($R884="","",IFERROR(INDEX(DriverCategory,MATCH($R884,DriverList,0)),"BAU"))</f>
        <v/>
      </c>
      <c r="U884" s="34" t="str">
        <f aca="false">IF($R884="","",IFERROR(INDEX(DriverRank,MATCH($R884,DriverList,0)),99))</f>
        <v/>
      </c>
      <c r="V884" s="35" t="n">
        <f aca="false">IF($H884="",0,IFERROR(INDEX(LevelBasic,MATCH($H884,LevelList,0))+INDEX(LevelHousing,MATCH($H884,LevelList,0))+INDEX(LevelTransport,MATCH($H884,LevelList,0))+INDEX(LevelBasic,MATCH($H884,LevelList,0))*INDEX(LevelBonus,MATCH($H884,LevelList,0))+(INDEX(LevelBasic,MATCH($H884,LevelList,0))+INDEX(LevelHousing,MATCH($H884,LevelList,0)))*GosiSaudi,0))</f>
        <v>0</v>
      </c>
      <c r="W884" s="35" t="n">
        <f aca="false">IFERROR(INDEX(LevelOneOff,MATCH($H884,LevelList,0)),0)</f>
        <v>0</v>
      </c>
      <c r="X884" s="35" t="str">
        <f aca="false">IF($G884="","",$V884*N($L884))</f>
        <v/>
      </c>
      <c r="Y884" s="35" t="str">
        <f aca="false">IF($G884="","",$V884*(N($M884)*1+N($N884)*0.75+N($O884)*0.5+N($P884)*0.25)+$W884*N($L884))</f>
        <v/>
      </c>
      <c r="Z884" s="35" t="str">
        <f aca="false">IF($G884="","",$U884*1000000+ROW())</f>
        <v/>
      </c>
      <c r="AA884" s="36" t="str">
        <f aca="false">IF($G884="","",MID(IF($C884="",", no division","")&amp;IF($E884="",", no unit","")&amp;IF($H884="",", no career level","")&amp;IF(N($L884)&lt;=0,", no quarter split","")&amp;IF($R884="",", no driver","")&amp;IF(AND($H884&lt;&gt;"",COUNTIF(CareerLevels,$H884)=0),", a career level that is not on the ladder","")&amp;IF(AND($R884&lt;&gt;"",COUNTIF(DriverList,$R884)=0),", a driver that is not on the list","")&amp;IF(ABS(N($L884)-(N($M884)+N($N884)+N($O884)+N($P884)))&gt;0.001,", a total that does not match its quarters",""),3,300))</f>
        <v/>
      </c>
    </row>
    <row r="885" customFormat="false" ht="15" hidden="false" customHeight="false" outlineLevel="0" collapsed="false">
      <c r="A885" s="33" t="str">
        <f aca="false">IF($G885="","","Human Resources Group")</f>
        <v/>
      </c>
      <c r="B885" s="19"/>
      <c r="C885" s="19"/>
      <c r="D885" s="19"/>
      <c r="E885" s="19"/>
      <c r="F885" s="19"/>
      <c r="G885" s="19"/>
      <c r="H885" s="19"/>
      <c r="I885" s="19"/>
      <c r="J885" s="19"/>
      <c r="K885" s="19"/>
      <c r="L885" s="19"/>
      <c r="M885" s="19"/>
      <c r="N885" s="19"/>
      <c r="O885" s="19"/>
      <c r="P885" s="19"/>
      <c r="Q885" s="19"/>
      <c r="R885" s="19"/>
      <c r="S885" s="19"/>
      <c r="T885" s="34" t="str">
        <f aca="false">IF($R885="","",IFERROR(INDEX(DriverCategory,MATCH($R885,DriverList,0)),"BAU"))</f>
        <v/>
      </c>
      <c r="U885" s="34" t="str">
        <f aca="false">IF($R885="","",IFERROR(INDEX(DriverRank,MATCH($R885,DriverList,0)),99))</f>
        <v/>
      </c>
      <c r="V885" s="35" t="n">
        <f aca="false">IF($H885="",0,IFERROR(INDEX(LevelBasic,MATCH($H885,LevelList,0))+INDEX(LevelHousing,MATCH($H885,LevelList,0))+INDEX(LevelTransport,MATCH($H885,LevelList,0))+INDEX(LevelBasic,MATCH($H885,LevelList,0))*INDEX(LevelBonus,MATCH($H885,LevelList,0))+(INDEX(LevelBasic,MATCH($H885,LevelList,0))+INDEX(LevelHousing,MATCH($H885,LevelList,0)))*GosiSaudi,0))</f>
        <v>0</v>
      </c>
      <c r="W885" s="35" t="n">
        <f aca="false">IFERROR(INDEX(LevelOneOff,MATCH($H885,LevelList,0)),0)</f>
        <v>0</v>
      </c>
      <c r="X885" s="35" t="str">
        <f aca="false">IF($G885="","",$V885*N($L885))</f>
        <v/>
      </c>
      <c r="Y885" s="35" t="str">
        <f aca="false">IF($G885="","",$V885*(N($M885)*1+N($N885)*0.75+N($O885)*0.5+N($P885)*0.25)+$W885*N($L885))</f>
        <v/>
      </c>
      <c r="Z885" s="35" t="str">
        <f aca="false">IF($G885="","",$U885*1000000+ROW())</f>
        <v/>
      </c>
      <c r="AA885" s="36" t="str">
        <f aca="false">IF($G885="","",MID(IF($C885="",", no division","")&amp;IF($E885="",", no unit","")&amp;IF($H885="",", no career level","")&amp;IF(N($L885)&lt;=0,", no quarter split","")&amp;IF($R885="",", no driver","")&amp;IF(AND($H885&lt;&gt;"",COUNTIF(CareerLevels,$H885)=0),", a career level that is not on the ladder","")&amp;IF(AND($R885&lt;&gt;"",COUNTIF(DriverList,$R885)=0),", a driver that is not on the list","")&amp;IF(ABS(N($L885)-(N($M885)+N($N885)+N($O885)+N($P885)))&gt;0.001,", a total that does not match its quarters",""),3,300))</f>
        <v/>
      </c>
    </row>
    <row r="886" customFormat="false" ht="15" hidden="false" customHeight="false" outlineLevel="0" collapsed="false">
      <c r="A886" s="33" t="str">
        <f aca="false">IF($G886="","","Human Resources Group")</f>
        <v/>
      </c>
      <c r="B886" s="19"/>
      <c r="C886" s="19"/>
      <c r="D886" s="19"/>
      <c r="E886" s="19"/>
      <c r="F886" s="19"/>
      <c r="G886" s="19"/>
      <c r="H886" s="19"/>
      <c r="I886" s="19"/>
      <c r="J886" s="19"/>
      <c r="K886" s="19"/>
      <c r="L886" s="19"/>
      <c r="M886" s="19"/>
      <c r="N886" s="19"/>
      <c r="O886" s="19"/>
      <c r="P886" s="19"/>
      <c r="Q886" s="19"/>
      <c r="R886" s="19"/>
      <c r="S886" s="19"/>
      <c r="T886" s="34" t="str">
        <f aca="false">IF($R886="","",IFERROR(INDEX(DriverCategory,MATCH($R886,DriverList,0)),"BAU"))</f>
        <v/>
      </c>
      <c r="U886" s="34" t="str">
        <f aca="false">IF($R886="","",IFERROR(INDEX(DriverRank,MATCH($R886,DriverList,0)),99))</f>
        <v/>
      </c>
      <c r="V886" s="35" t="n">
        <f aca="false">IF($H886="",0,IFERROR(INDEX(LevelBasic,MATCH($H886,LevelList,0))+INDEX(LevelHousing,MATCH($H886,LevelList,0))+INDEX(LevelTransport,MATCH($H886,LevelList,0))+INDEX(LevelBasic,MATCH($H886,LevelList,0))*INDEX(LevelBonus,MATCH($H886,LevelList,0))+(INDEX(LevelBasic,MATCH($H886,LevelList,0))+INDEX(LevelHousing,MATCH($H886,LevelList,0)))*GosiSaudi,0))</f>
        <v>0</v>
      </c>
      <c r="W886" s="35" t="n">
        <f aca="false">IFERROR(INDEX(LevelOneOff,MATCH($H886,LevelList,0)),0)</f>
        <v>0</v>
      </c>
      <c r="X886" s="35" t="str">
        <f aca="false">IF($G886="","",$V886*N($L886))</f>
        <v/>
      </c>
      <c r="Y886" s="35" t="str">
        <f aca="false">IF($G886="","",$V886*(N($M886)*1+N($N886)*0.75+N($O886)*0.5+N($P886)*0.25)+$W886*N($L886))</f>
        <v/>
      </c>
      <c r="Z886" s="35" t="str">
        <f aca="false">IF($G886="","",$U886*1000000+ROW())</f>
        <v/>
      </c>
      <c r="AA886" s="36" t="str">
        <f aca="false">IF($G886="","",MID(IF($C886="",", no division","")&amp;IF($E886="",", no unit","")&amp;IF($H886="",", no career level","")&amp;IF(N($L886)&lt;=0,", no quarter split","")&amp;IF($R886="",", no driver","")&amp;IF(AND($H886&lt;&gt;"",COUNTIF(CareerLevels,$H886)=0),", a career level that is not on the ladder","")&amp;IF(AND($R886&lt;&gt;"",COUNTIF(DriverList,$R886)=0),", a driver that is not on the list","")&amp;IF(ABS(N($L886)-(N($M886)+N($N886)+N($O886)+N($P886)))&gt;0.001,", a total that does not match its quarters",""),3,300))</f>
        <v/>
      </c>
    </row>
    <row r="887" customFormat="false" ht="15" hidden="false" customHeight="false" outlineLevel="0" collapsed="false">
      <c r="A887" s="33" t="str">
        <f aca="false">IF($G887="","","Human Resources Group")</f>
        <v/>
      </c>
      <c r="B887" s="19"/>
      <c r="C887" s="19"/>
      <c r="D887" s="19"/>
      <c r="E887" s="19"/>
      <c r="F887" s="19"/>
      <c r="G887" s="19"/>
      <c r="H887" s="19"/>
      <c r="I887" s="19"/>
      <c r="J887" s="19"/>
      <c r="K887" s="19"/>
      <c r="L887" s="19"/>
      <c r="M887" s="19"/>
      <c r="N887" s="19"/>
      <c r="O887" s="19"/>
      <c r="P887" s="19"/>
      <c r="Q887" s="19"/>
      <c r="R887" s="19"/>
      <c r="S887" s="19"/>
      <c r="T887" s="34" t="str">
        <f aca="false">IF($R887="","",IFERROR(INDEX(DriverCategory,MATCH($R887,DriverList,0)),"BAU"))</f>
        <v/>
      </c>
      <c r="U887" s="34" t="str">
        <f aca="false">IF($R887="","",IFERROR(INDEX(DriverRank,MATCH($R887,DriverList,0)),99))</f>
        <v/>
      </c>
      <c r="V887" s="35" t="n">
        <f aca="false">IF($H887="",0,IFERROR(INDEX(LevelBasic,MATCH($H887,LevelList,0))+INDEX(LevelHousing,MATCH($H887,LevelList,0))+INDEX(LevelTransport,MATCH($H887,LevelList,0))+INDEX(LevelBasic,MATCH($H887,LevelList,0))*INDEX(LevelBonus,MATCH($H887,LevelList,0))+(INDEX(LevelBasic,MATCH($H887,LevelList,0))+INDEX(LevelHousing,MATCH($H887,LevelList,0)))*GosiSaudi,0))</f>
        <v>0</v>
      </c>
      <c r="W887" s="35" t="n">
        <f aca="false">IFERROR(INDEX(LevelOneOff,MATCH($H887,LevelList,0)),0)</f>
        <v>0</v>
      </c>
      <c r="X887" s="35" t="str">
        <f aca="false">IF($G887="","",$V887*N($L887))</f>
        <v/>
      </c>
      <c r="Y887" s="35" t="str">
        <f aca="false">IF($G887="","",$V887*(N($M887)*1+N($N887)*0.75+N($O887)*0.5+N($P887)*0.25)+$W887*N($L887))</f>
        <v/>
      </c>
      <c r="Z887" s="35" t="str">
        <f aca="false">IF($G887="","",$U887*1000000+ROW())</f>
        <v/>
      </c>
      <c r="AA887" s="36" t="str">
        <f aca="false">IF($G887="","",MID(IF($C887="",", no division","")&amp;IF($E887="",", no unit","")&amp;IF($H887="",", no career level","")&amp;IF(N($L887)&lt;=0,", no quarter split","")&amp;IF($R887="",", no driver","")&amp;IF(AND($H887&lt;&gt;"",COUNTIF(CareerLevels,$H887)=0),", a career level that is not on the ladder","")&amp;IF(AND($R887&lt;&gt;"",COUNTIF(DriverList,$R887)=0),", a driver that is not on the list","")&amp;IF(ABS(N($L887)-(N($M887)+N($N887)+N($O887)+N($P887)))&gt;0.001,", a total that does not match its quarters",""),3,300))</f>
        <v/>
      </c>
    </row>
    <row r="888" customFormat="false" ht="15" hidden="false" customHeight="false" outlineLevel="0" collapsed="false">
      <c r="A888" s="33" t="str">
        <f aca="false">IF($G888="","","Human Resources Group")</f>
        <v/>
      </c>
      <c r="B888" s="19"/>
      <c r="C888" s="19"/>
      <c r="D888" s="19"/>
      <c r="E888" s="19"/>
      <c r="F888" s="19"/>
      <c r="G888" s="19"/>
      <c r="H888" s="19"/>
      <c r="I888" s="19"/>
      <c r="J888" s="19"/>
      <c r="K888" s="19"/>
      <c r="L888" s="19"/>
      <c r="M888" s="19"/>
      <c r="N888" s="19"/>
      <c r="O888" s="19"/>
      <c r="P888" s="19"/>
      <c r="Q888" s="19"/>
      <c r="R888" s="19"/>
      <c r="S888" s="19"/>
      <c r="T888" s="34" t="str">
        <f aca="false">IF($R888="","",IFERROR(INDEX(DriverCategory,MATCH($R888,DriverList,0)),"BAU"))</f>
        <v/>
      </c>
      <c r="U888" s="34" t="str">
        <f aca="false">IF($R888="","",IFERROR(INDEX(DriverRank,MATCH($R888,DriverList,0)),99))</f>
        <v/>
      </c>
      <c r="V888" s="35" t="n">
        <f aca="false">IF($H888="",0,IFERROR(INDEX(LevelBasic,MATCH($H888,LevelList,0))+INDEX(LevelHousing,MATCH($H888,LevelList,0))+INDEX(LevelTransport,MATCH($H888,LevelList,0))+INDEX(LevelBasic,MATCH($H888,LevelList,0))*INDEX(LevelBonus,MATCH($H888,LevelList,0))+(INDEX(LevelBasic,MATCH($H888,LevelList,0))+INDEX(LevelHousing,MATCH($H888,LevelList,0)))*GosiSaudi,0))</f>
        <v>0</v>
      </c>
      <c r="W888" s="35" t="n">
        <f aca="false">IFERROR(INDEX(LevelOneOff,MATCH($H888,LevelList,0)),0)</f>
        <v>0</v>
      </c>
      <c r="X888" s="35" t="str">
        <f aca="false">IF($G888="","",$V888*N($L888))</f>
        <v/>
      </c>
      <c r="Y888" s="35" t="str">
        <f aca="false">IF($G888="","",$V888*(N($M888)*1+N($N888)*0.75+N($O888)*0.5+N($P888)*0.25)+$W888*N($L888))</f>
        <v/>
      </c>
      <c r="Z888" s="35" t="str">
        <f aca="false">IF($G888="","",$U888*1000000+ROW())</f>
        <v/>
      </c>
      <c r="AA888" s="36" t="str">
        <f aca="false">IF($G888="","",MID(IF($C888="",", no division","")&amp;IF($E888="",", no unit","")&amp;IF($H888="",", no career level","")&amp;IF(N($L888)&lt;=0,", no quarter split","")&amp;IF($R888="",", no driver","")&amp;IF(AND($H888&lt;&gt;"",COUNTIF(CareerLevels,$H888)=0),", a career level that is not on the ladder","")&amp;IF(AND($R888&lt;&gt;"",COUNTIF(DriverList,$R888)=0),", a driver that is not on the list","")&amp;IF(ABS(N($L888)-(N($M888)+N($N888)+N($O888)+N($P888)))&gt;0.001,", a total that does not match its quarters",""),3,300))</f>
        <v/>
      </c>
    </row>
    <row r="889" customFormat="false" ht="15" hidden="false" customHeight="false" outlineLevel="0" collapsed="false">
      <c r="A889" s="33" t="str">
        <f aca="false">IF($G889="","","Human Resources Group")</f>
        <v/>
      </c>
      <c r="B889" s="19"/>
      <c r="C889" s="19"/>
      <c r="D889" s="19"/>
      <c r="E889" s="19"/>
      <c r="F889" s="19"/>
      <c r="G889" s="19"/>
      <c r="H889" s="19"/>
      <c r="I889" s="19"/>
      <c r="J889" s="19"/>
      <c r="K889" s="19"/>
      <c r="L889" s="19"/>
      <c r="M889" s="19"/>
      <c r="N889" s="19"/>
      <c r="O889" s="19"/>
      <c r="P889" s="19"/>
      <c r="Q889" s="19"/>
      <c r="R889" s="19"/>
      <c r="S889" s="19"/>
      <c r="T889" s="34" t="str">
        <f aca="false">IF($R889="","",IFERROR(INDEX(DriverCategory,MATCH($R889,DriverList,0)),"BAU"))</f>
        <v/>
      </c>
      <c r="U889" s="34" t="str">
        <f aca="false">IF($R889="","",IFERROR(INDEX(DriverRank,MATCH($R889,DriverList,0)),99))</f>
        <v/>
      </c>
      <c r="V889" s="35" t="n">
        <f aca="false">IF($H889="",0,IFERROR(INDEX(LevelBasic,MATCH($H889,LevelList,0))+INDEX(LevelHousing,MATCH($H889,LevelList,0))+INDEX(LevelTransport,MATCH($H889,LevelList,0))+INDEX(LevelBasic,MATCH($H889,LevelList,0))*INDEX(LevelBonus,MATCH($H889,LevelList,0))+(INDEX(LevelBasic,MATCH($H889,LevelList,0))+INDEX(LevelHousing,MATCH($H889,LevelList,0)))*GosiSaudi,0))</f>
        <v>0</v>
      </c>
      <c r="W889" s="35" t="n">
        <f aca="false">IFERROR(INDEX(LevelOneOff,MATCH($H889,LevelList,0)),0)</f>
        <v>0</v>
      </c>
      <c r="X889" s="35" t="str">
        <f aca="false">IF($G889="","",$V889*N($L889))</f>
        <v/>
      </c>
      <c r="Y889" s="35" t="str">
        <f aca="false">IF($G889="","",$V889*(N($M889)*1+N($N889)*0.75+N($O889)*0.5+N($P889)*0.25)+$W889*N($L889))</f>
        <v/>
      </c>
      <c r="Z889" s="35" t="str">
        <f aca="false">IF($G889="","",$U889*1000000+ROW())</f>
        <v/>
      </c>
      <c r="AA889" s="36" t="str">
        <f aca="false">IF($G889="","",MID(IF($C889="",", no division","")&amp;IF($E889="",", no unit","")&amp;IF($H889="",", no career level","")&amp;IF(N($L889)&lt;=0,", no quarter split","")&amp;IF($R889="",", no driver","")&amp;IF(AND($H889&lt;&gt;"",COUNTIF(CareerLevels,$H889)=0),", a career level that is not on the ladder","")&amp;IF(AND($R889&lt;&gt;"",COUNTIF(DriverList,$R889)=0),", a driver that is not on the list","")&amp;IF(ABS(N($L889)-(N($M889)+N($N889)+N($O889)+N($P889)))&gt;0.001,", a total that does not match its quarters",""),3,300))</f>
        <v/>
      </c>
    </row>
    <row r="890" customFormat="false" ht="15" hidden="false" customHeight="false" outlineLevel="0" collapsed="false">
      <c r="A890" s="33" t="str">
        <f aca="false">IF($G890="","","Human Resources Group")</f>
        <v/>
      </c>
      <c r="B890" s="19"/>
      <c r="C890" s="19"/>
      <c r="D890" s="19"/>
      <c r="E890" s="19"/>
      <c r="F890" s="19"/>
      <c r="G890" s="19"/>
      <c r="H890" s="19"/>
      <c r="I890" s="19"/>
      <c r="J890" s="19"/>
      <c r="K890" s="19"/>
      <c r="L890" s="19"/>
      <c r="M890" s="19"/>
      <c r="N890" s="19"/>
      <c r="O890" s="19"/>
      <c r="P890" s="19"/>
      <c r="Q890" s="19"/>
      <c r="R890" s="19"/>
      <c r="S890" s="19"/>
      <c r="T890" s="34" t="str">
        <f aca="false">IF($R890="","",IFERROR(INDEX(DriverCategory,MATCH($R890,DriverList,0)),"BAU"))</f>
        <v/>
      </c>
      <c r="U890" s="34" t="str">
        <f aca="false">IF($R890="","",IFERROR(INDEX(DriverRank,MATCH($R890,DriverList,0)),99))</f>
        <v/>
      </c>
      <c r="V890" s="35" t="n">
        <f aca="false">IF($H890="",0,IFERROR(INDEX(LevelBasic,MATCH($H890,LevelList,0))+INDEX(LevelHousing,MATCH($H890,LevelList,0))+INDEX(LevelTransport,MATCH($H890,LevelList,0))+INDEX(LevelBasic,MATCH($H890,LevelList,0))*INDEX(LevelBonus,MATCH($H890,LevelList,0))+(INDEX(LevelBasic,MATCH($H890,LevelList,0))+INDEX(LevelHousing,MATCH($H890,LevelList,0)))*GosiSaudi,0))</f>
        <v>0</v>
      </c>
      <c r="W890" s="35" t="n">
        <f aca="false">IFERROR(INDEX(LevelOneOff,MATCH($H890,LevelList,0)),0)</f>
        <v>0</v>
      </c>
      <c r="X890" s="35" t="str">
        <f aca="false">IF($G890="","",$V890*N($L890))</f>
        <v/>
      </c>
      <c r="Y890" s="35" t="str">
        <f aca="false">IF($G890="","",$V890*(N($M890)*1+N($N890)*0.75+N($O890)*0.5+N($P890)*0.25)+$W890*N($L890))</f>
        <v/>
      </c>
      <c r="Z890" s="35" t="str">
        <f aca="false">IF($G890="","",$U890*1000000+ROW())</f>
        <v/>
      </c>
      <c r="AA890" s="36" t="str">
        <f aca="false">IF($G890="","",MID(IF($C890="",", no division","")&amp;IF($E890="",", no unit","")&amp;IF($H890="",", no career level","")&amp;IF(N($L890)&lt;=0,", no quarter split","")&amp;IF($R890="",", no driver","")&amp;IF(AND($H890&lt;&gt;"",COUNTIF(CareerLevels,$H890)=0),", a career level that is not on the ladder","")&amp;IF(AND($R890&lt;&gt;"",COUNTIF(DriverList,$R890)=0),", a driver that is not on the list","")&amp;IF(ABS(N($L890)-(N($M890)+N($N890)+N($O890)+N($P890)))&gt;0.001,", a total that does not match its quarters",""),3,300))</f>
        <v/>
      </c>
    </row>
    <row r="891" customFormat="false" ht="15" hidden="false" customHeight="false" outlineLevel="0" collapsed="false">
      <c r="A891" s="33" t="str">
        <f aca="false">IF($G891="","","Human Resources Group")</f>
        <v/>
      </c>
      <c r="B891" s="19"/>
      <c r="C891" s="19"/>
      <c r="D891" s="19"/>
      <c r="E891" s="19"/>
      <c r="F891" s="19"/>
      <c r="G891" s="19"/>
      <c r="H891" s="19"/>
      <c r="I891" s="19"/>
      <c r="J891" s="19"/>
      <c r="K891" s="19"/>
      <c r="L891" s="19"/>
      <c r="M891" s="19"/>
      <c r="N891" s="19"/>
      <c r="O891" s="19"/>
      <c r="P891" s="19"/>
      <c r="Q891" s="19"/>
      <c r="R891" s="19"/>
      <c r="S891" s="19"/>
      <c r="T891" s="34" t="str">
        <f aca="false">IF($R891="","",IFERROR(INDEX(DriverCategory,MATCH($R891,DriverList,0)),"BAU"))</f>
        <v/>
      </c>
      <c r="U891" s="34" t="str">
        <f aca="false">IF($R891="","",IFERROR(INDEX(DriverRank,MATCH($R891,DriverList,0)),99))</f>
        <v/>
      </c>
      <c r="V891" s="35" t="n">
        <f aca="false">IF($H891="",0,IFERROR(INDEX(LevelBasic,MATCH($H891,LevelList,0))+INDEX(LevelHousing,MATCH($H891,LevelList,0))+INDEX(LevelTransport,MATCH($H891,LevelList,0))+INDEX(LevelBasic,MATCH($H891,LevelList,0))*INDEX(LevelBonus,MATCH($H891,LevelList,0))+(INDEX(LevelBasic,MATCH($H891,LevelList,0))+INDEX(LevelHousing,MATCH($H891,LevelList,0)))*GosiSaudi,0))</f>
        <v>0</v>
      </c>
      <c r="W891" s="35" t="n">
        <f aca="false">IFERROR(INDEX(LevelOneOff,MATCH($H891,LevelList,0)),0)</f>
        <v>0</v>
      </c>
      <c r="X891" s="35" t="str">
        <f aca="false">IF($G891="","",$V891*N($L891))</f>
        <v/>
      </c>
      <c r="Y891" s="35" t="str">
        <f aca="false">IF($G891="","",$V891*(N($M891)*1+N($N891)*0.75+N($O891)*0.5+N($P891)*0.25)+$W891*N($L891))</f>
        <v/>
      </c>
      <c r="Z891" s="35" t="str">
        <f aca="false">IF($G891="","",$U891*1000000+ROW())</f>
        <v/>
      </c>
      <c r="AA891" s="36" t="str">
        <f aca="false">IF($G891="","",MID(IF($C891="",", no division","")&amp;IF($E891="",", no unit","")&amp;IF($H891="",", no career level","")&amp;IF(N($L891)&lt;=0,", no quarter split","")&amp;IF($R891="",", no driver","")&amp;IF(AND($H891&lt;&gt;"",COUNTIF(CareerLevels,$H891)=0),", a career level that is not on the ladder","")&amp;IF(AND($R891&lt;&gt;"",COUNTIF(DriverList,$R891)=0),", a driver that is not on the list","")&amp;IF(ABS(N($L891)-(N($M891)+N($N891)+N($O891)+N($P891)))&gt;0.001,", a total that does not match its quarters",""),3,300))</f>
        <v/>
      </c>
    </row>
    <row r="892" customFormat="false" ht="15" hidden="false" customHeight="false" outlineLevel="0" collapsed="false">
      <c r="A892" s="33" t="str">
        <f aca="false">IF($G892="","","Human Resources Group")</f>
        <v/>
      </c>
      <c r="B892" s="19"/>
      <c r="C892" s="19"/>
      <c r="D892" s="19"/>
      <c r="E892" s="19"/>
      <c r="F892" s="19"/>
      <c r="G892" s="19"/>
      <c r="H892" s="19"/>
      <c r="I892" s="19"/>
      <c r="J892" s="19"/>
      <c r="K892" s="19"/>
      <c r="L892" s="19"/>
      <c r="M892" s="19"/>
      <c r="N892" s="19"/>
      <c r="O892" s="19"/>
      <c r="P892" s="19"/>
      <c r="Q892" s="19"/>
      <c r="R892" s="19"/>
      <c r="S892" s="19"/>
      <c r="T892" s="34" t="str">
        <f aca="false">IF($R892="","",IFERROR(INDEX(DriverCategory,MATCH($R892,DriverList,0)),"BAU"))</f>
        <v/>
      </c>
      <c r="U892" s="34" t="str">
        <f aca="false">IF($R892="","",IFERROR(INDEX(DriverRank,MATCH($R892,DriverList,0)),99))</f>
        <v/>
      </c>
      <c r="V892" s="35" t="n">
        <f aca="false">IF($H892="",0,IFERROR(INDEX(LevelBasic,MATCH($H892,LevelList,0))+INDEX(LevelHousing,MATCH($H892,LevelList,0))+INDEX(LevelTransport,MATCH($H892,LevelList,0))+INDEX(LevelBasic,MATCH($H892,LevelList,0))*INDEX(LevelBonus,MATCH($H892,LevelList,0))+(INDEX(LevelBasic,MATCH($H892,LevelList,0))+INDEX(LevelHousing,MATCH($H892,LevelList,0)))*GosiSaudi,0))</f>
        <v>0</v>
      </c>
      <c r="W892" s="35" t="n">
        <f aca="false">IFERROR(INDEX(LevelOneOff,MATCH($H892,LevelList,0)),0)</f>
        <v>0</v>
      </c>
      <c r="X892" s="35" t="str">
        <f aca="false">IF($G892="","",$V892*N($L892))</f>
        <v/>
      </c>
      <c r="Y892" s="35" t="str">
        <f aca="false">IF($G892="","",$V892*(N($M892)*1+N($N892)*0.75+N($O892)*0.5+N($P892)*0.25)+$W892*N($L892))</f>
        <v/>
      </c>
      <c r="Z892" s="35" t="str">
        <f aca="false">IF($G892="","",$U892*1000000+ROW())</f>
        <v/>
      </c>
      <c r="AA892" s="36" t="str">
        <f aca="false">IF($G892="","",MID(IF($C892="",", no division","")&amp;IF($E892="",", no unit","")&amp;IF($H892="",", no career level","")&amp;IF(N($L892)&lt;=0,", no quarter split","")&amp;IF($R892="",", no driver","")&amp;IF(AND($H892&lt;&gt;"",COUNTIF(CareerLevels,$H892)=0),", a career level that is not on the ladder","")&amp;IF(AND($R892&lt;&gt;"",COUNTIF(DriverList,$R892)=0),", a driver that is not on the list","")&amp;IF(ABS(N($L892)-(N($M892)+N($N892)+N($O892)+N($P892)))&gt;0.001,", a total that does not match its quarters",""),3,300))</f>
        <v/>
      </c>
    </row>
    <row r="893" customFormat="false" ht="15" hidden="false" customHeight="false" outlineLevel="0" collapsed="false">
      <c r="A893" s="33" t="str">
        <f aca="false">IF($G893="","","Human Resources Group")</f>
        <v/>
      </c>
      <c r="B893" s="19"/>
      <c r="C893" s="19"/>
      <c r="D893" s="19"/>
      <c r="E893" s="19"/>
      <c r="F893" s="19"/>
      <c r="G893" s="19"/>
      <c r="H893" s="19"/>
      <c r="I893" s="19"/>
      <c r="J893" s="19"/>
      <c r="K893" s="19"/>
      <c r="L893" s="19"/>
      <c r="M893" s="19"/>
      <c r="N893" s="19"/>
      <c r="O893" s="19"/>
      <c r="P893" s="19"/>
      <c r="Q893" s="19"/>
      <c r="R893" s="19"/>
      <c r="S893" s="19"/>
      <c r="T893" s="34" t="str">
        <f aca="false">IF($R893="","",IFERROR(INDEX(DriverCategory,MATCH($R893,DriverList,0)),"BAU"))</f>
        <v/>
      </c>
      <c r="U893" s="34" t="str">
        <f aca="false">IF($R893="","",IFERROR(INDEX(DriverRank,MATCH($R893,DriverList,0)),99))</f>
        <v/>
      </c>
      <c r="V893" s="35" t="n">
        <f aca="false">IF($H893="",0,IFERROR(INDEX(LevelBasic,MATCH($H893,LevelList,0))+INDEX(LevelHousing,MATCH($H893,LevelList,0))+INDEX(LevelTransport,MATCH($H893,LevelList,0))+INDEX(LevelBasic,MATCH($H893,LevelList,0))*INDEX(LevelBonus,MATCH($H893,LevelList,0))+(INDEX(LevelBasic,MATCH($H893,LevelList,0))+INDEX(LevelHousing,MATCH($H893,LevelList,0)))*GosiSaudi,0))</f>
        <v>0</v>
      </c>
      <c r="W893" s="35" t="n">
        <f aca="false">IFERROR(INDEX(LevelOneOff,MATCH($H893,LevelList,0)),0)</f>
        <v>0</v>
      </c>
      <c r="X893" s="35" t="str">
        <f aca="false">IF($G893="","",$V893*N($L893))</f>
        <v/>
      </c>
      <c r="Y893" s="35" t="str">
        <f aca="false">IF($G893="","",$V893*(N($M893)*1+N($N893)*0.75+N($O893)*0.5+N($P893)*0.25)+$W893*N($L893))</f>
        <v/>
      </c>
      <c r="Z893" s="35" t="str">
        <f aca="false">IF($G893="","",$U893*1000000+ROW())</f>
        <v/>
      </c>
      <c r="AA893" s="36" t="str">
        <f aca="false">IF($G893="","",MID(IF($C893="",", no division","")&amp;IF($E893="",", no unit","")&amp;IF($H893="",", no career level","")&amp;IF(N($L893)&lt;=0,", no quarter split","")&amp;IF($R893="",", no driver","")&amp;IF(AND($H893&lt;&gt;"",COUNTIF(CareerLevels,$H893)=0),", a career level that is not on the ladder","")&amp;IF(AND($R893&lt;&gt;"",COUNTIF(DriverList,$R893)=0),", a driver that is not on the list","")&amp;IF(ABS(N($L893)-(N($M893)+N($N893)+N($O893)+N($P893)))&gt;0.001,", a total that does not match its quarters",""),3,300))</f>
        <v/>
      </c>
    </row>
    <row r="894" customFormat="false" ht="15" hidden="false" customHeight="false" outlineLevel="0" collapsed="false">
      <c r="A894" s="33" t="str">
        <f aca="false">IF($G894="","","Human Resources Group")</f>
        <v/>
      </c>
      <c r="B894" s="19"/>
      <c r="C894" s="19"/>
      <c r="D894" s="19"/>
      <c r="E894" s="19"/>
      <c r="F894" s="19"/>
      <c r="G894" s="19"/>
      <c r="H894" s="19"/>
      <c r="I894" s="19"/>
      <c r="J894" s="19"/>
      <c r="K894" s="19"/>
      <c r="L894" s="19"/>
      <c r="M894" s="19"/>
      <c r="N894" s="19"/>
      <c r="O894" s="19"/>
      <c r="P894" s="19"/>
      <c r="Q894" s="19"/>
      <c r="R894" s="19"/>
      <c r="S894" s="19"/>
      <c r="T894" s="34" t="str">
        <f aca="false">IF($R894="","",IFERROR(INDEX(DriverCategory,MATCH($R894,DriverList,0)),"BAU"))</f>
        <v/>
      </c>
      <c r="U894" s="34" t="str">
        <f aca="false">IF($R894="","",IFERROR(INDEX(DriverRank,MATCH($R894,DriverList,0)),99))</f>
        <v/>
      </c>
      <c r="V894" s="35" t="n">
        <f aca="false">IF($H894="",0,IFERROR(INDEX(LevelBasic,MATCH($H894,LevelList,0))+INDEX(LevelHousing,MATCH($H894,LevelList,0))+INDEX(LevelTransport,MATCH($H894,LevelList,0))+INDEX(LevelBasic,MATCH($H894,LevelList,0))*INDEX(LevelBonus,MATCH($H894,LevelList,0))+(INDEX(LevelBasic,MATCH($H894,LevelList,0))+INDEX(LevelHousing,MATCH($H894,LevelList,0)))*GosiSaudi,0))</f>
        <v>0</v>
      </c>
      <c r="W894" s="35" t="n">
        <f aca="false">IFERROR(INDEX(LevelOneOff,MATCH($H894,LevelList,0)),0)</f>
        <v>0</v>
      </c>
      <c r="X894" s="35" t="str">
        <f aca="false">IF($G894="","",$V894*N($L894))</f>
        <v/>
      </c>
      <c r="Y894" s="35" t="str">
        <f aca="false">IF($G894="","",$V894*(N($M894)*1+N($N894)*0.75+N($O894)*0.5+N($P894)*0.25)+$W894*N($L894))</f>
        <v/>
      </c>
      <c r="Z894" s="35" t="str">
        <f aca="false">IF($G894="","",$U894*1000000+ROW())</f>
        <v/>
      </c>
      <c r="AA894" s="36" t="str">
        <f aca="false">IF($G894="","",MID(IF($C894="",", no division","")&amp;IF($E894="",", no unit","")&amp;IF($H894="",", no career level","")&amp;IF(N($L894)&lt;=0,", no quarter split","")&amp;IF($R894="",", no driver","")&amp;IF(AND($H894&lt;&gt;"",COUNTIF(CareerLevels,$H894)=0),", a career level that is not on the ladder","")&amp;IF(AND($R894&lt;&gt;"",COUNTIF(DriverList,$R894)=0),", a driver that is not on the list","")&amp;IF(ABS(N($L894)-(N($M894)+N($N894)+N($O894)+N($P894)))&gt;0.001,", a total that does not match its quarters",""),3,300))</f>
        <v/>
      </c>
    </row>
    <row r="895" customFormat="false" ht="15" hidden="false" customHeight="false" outlineLevel="0" collapsed="false">
      <c r="A895" s="33" t="str">
        <f aca="false">IF($G895="","","Human Resources Group")</f>
        <v/>
      </c>
      <c r="B895" s="19"/>
      <c r="C895" s="19"/>
      <c r="D895" s="19"/>
      <c r="E895" s="19"/>
      <c r="F895" s="19"/>
      <c r="G895" s="19"/>
      <c r="H895" s="19"/>
      <c r="I895" s="19"/>
      <c r="J895" s="19"/>
      <c r="K895" s="19"/>
      <c r="L895" s="19"/>
      <c r="M895" s="19"/>
      <c r="N895" s="19"/>
      <c r="O895" s="19"/>
      <c r="P895" s="19"/>
      <c r="Q895" s="19"/>
      <c r="R895" s="19"/>
      <c r="S895" s="19"/>
      <c r="T895" s="34" t="str">
        <f aca="false">IF($R895="","",IFERROR(INDEX(DriverCategory,MATCH($R895,DriverList,0)),"BAU"))</f>
        <v/>
      </c>
      <c r="U895" s="34" t="str">
        <f aca="false">IF($R895="","",IFERROR(INDEX(DriverRank,MATCH($R895,DriverList,0)),99))</f>
        <v/>
      </c>
      <c r="V895" s="35" t="n">
        <f aca="false">IF($H895="",0,IFERROR(INDEX(LevelBasic,MATCH($H895,LevelList,0))+INDEX(LevelHousing,MATCH($H895,LevelList,0))+INDEX(LevelTransport,MATCH($H895,LevelList,0))+INDEX(LevelBasic,MATCH($H895,LevelList,0))*INDEX(LevelBonus,MATCH($H895,LevelList,0))+(INDEX(LevelBasic,MATCH($H895,LevelList,0))+INDEX(LevelHousing,MATCH($H895,LevelList,0)))*GosiSaudi,0))</f>
        <v>0</v>
      </c>
      <c r="W895" s="35" t="n">
        <f aca="false">IFERROR(INDEX(LevelOneOff,MATCH($H895,LevelList,0)),0)</f>
        <v>0</v>
      </c>
      <c r="X895" s="35" t="str">
        <f aca="false">IF($G895="","",$V895*N($L895))</f>
        <v/>
      </c>
      <c r="Y895" s="35" t="str">
        <f aca="false">IF($G895="","",$V895*(N($M895)*1+N($N895)*0.75+N($O895)*0.5+N($P895)*0.25)+$W895*N($L895))</f>
        <v/>
      </c>
      <c r="Z895" s="35" t="str">
        <f aca="false">IF($G895="","",$U895*1000000+ROW())</f>
        <v/>
      </c>
      <c r="AA895" s="36" t="str">
        <f aca="false">IF($G895="","",MID(IF($C895="",", no division","")&amp;IF($E895="",", no unit","")&amp;IF($H895="",", no career level","")&amp;IF(N($L895)&lt;=0,", no quarter split","")&amp;IF($R895="",", no driver","")&amp;IF(AND($H895&lt;&gt;"",COUNTIF(CareerLevels,$H895)=0),", a career level that is not on the ladder","")&amp;IF(AND($R895&lt;&gt;"",COUNTIF(DriverList,$R895)=0),", a driver that is not on the list","")&amp;IF(ABS(N($L895)-(N($M895)+N($N895)+N($O895)+N($P895)))&gt;0.001,", a total that does not match its quarters",""),3,300))</f>
        <v/>
      </c>
    </row>
    <row r="896" customFormat="false" ht="15" hidden="false" customHeight="false" outlineLevel="0" collapsed="false">
      <c r="A896" s="33" t="str">
        <f aca="false">IF($G896="","","Human Resources Group")</f>
        <v/>
      </c>
      <c r="B896" s="19"/>
      <c r="C896" s="19"/>
      <c r="D896" s="19"/>
      <c r="E896" s="19"/>
      <c r="F896" s="19"/>
      <c r="G896" s="19"/>
      <c r="H896" s="19"/>
      <c r="I896" s="19"/>
      <c r="J896" s="19"/>
      <c r="K896" s="19"/>
      <c r="L896" s="19"/>
      <c r="M896" s="19"/>
      <c r="N896" s="19"/>
      <c r="O896" s="19"/>
      <c r="P896" s="19"/>
      <c r="Q896" s="19"/>
      <c r="R896" s="19"/>
      <c r="S896" s="19"/>
      <c r="T896" s="34" t="str">
        <f aca="false">IF($R896="","",IFERROR(INDEX(DriverCategory,MATCH($R896,DriverList,0)),"BAU"))</f>
        <v/>
      </c>
      <c r="U896" s="34" t="str">
        <f aca="false">IF($R896="","",IFERROR(INDEX(DriverRank,MATCH($R896,DriverList,0)),99))</f>
        <v/>
      </c>
      <c r="V896" s="35" t="n">
        <f aca="false">IF($H896="",0,IFERROR(INDEX(LevelBasic,MATCH($H896,LevelList,0))+INDEX(LevelHousing,MATCH($H896,LevelList,0))+INDEX(LevelTransport,MATCH($H896,LevelList,0))+INDEX(LevelBasic,MATCH($H896,LevelList,0))*INDEX(LevelBonus,MATCH($H896,LevelList,0))+(INDEX(LevelBasic,MATCH($H896,LevelList,0))+INDEX(LevelHousing,MATCH($H896,LevelList,0)))*GosiSaudi,0))</f>
        <v>0</v>
      </c>
      <c r="W896" s="35" t="n">
        <f aca="false">IFERROR(INDEX(LevelOneOff,MATCH($H896,LevelList,0)),0)</f>
        <v>0</v>
      </c>
      <c r="X896" s="35" t="str">
        <f aca="false">IF($G896="","",$V896*N($L896))</f>
        <v/>
      </c>
      <c r="Y896" s="35" t="str">
        <f aca="false">IF($G896="","",$V896*(N($M896)*1+N($N896)*0.75+N($O896)*0.5+N($P896)*0.25)+$W896*N($L896))</f>
        <v/>
      </c>
      <c r="Z896" s="35" t="str">
        <f aca="false">IF($G896="","",$U896*1000000+ROW())</f>
        <v/>
      </c>
      <c r="AA896" s="36" t="str">
        <f aca="false">IF($G896="","",MID(IF($C896="",", no division","")&amp;IF($E896="",", no unit","")&amp;IF($H896="",", no career level","")&amp;IF(N($L896)&lt;=0,", no quarter split","")&amp;IF($R896="",", no driver","")&amp;IF(AND($H896&lt;&gt;"",COUNTIF(CareerLevels,$H896)=0),", a career level that is not on the ladder","")&amp;IF(AND($R896&lt;&gt;"",COUNTIF(DriverList,$R896)=0),", a driver that is not on the list","")&amp;IF(ABS(N($L896)-(N($M896)+N($N896)+N($O896)+N($P896)))&gt;0.001,", a total that does not match its quarters",""),3,300))</f>
        <v/>
      </c>
    </row>
    <row r="897" customFormat="false" ht="15" hidden="false" customHeight="false" outlineLevel="0" collapsed="false">
      <c r="A897" s="33" t="str">
        <f aca="false">IF($G897="","","Human Resources Group")</f>
        <v/>
      </c>
      <c r="B897" s="19"/>
      <c r="C897" s="19"/>
      <c r="D897" s="19"/>
      <c r="E897" s="19"/>
      <c r="F897" s="19"/>
      <c r="G897" s="19"/>
      <c r="H897" s="19"/>
      <c r="I897" s="19"/>
      <c r="J897" s="19"/>
      <c r="K897" s="19"/>
      <c r="L897" s="19"/>
      <c r="M897" s="19"/>
      <c r="N897" s="19"/>
      <c r="O897" s="19"/>
      <c r="P897" s="19"/>
      <c r="Q897" s="19"/>
      <c r="R897" s="19"/>
      <c r="S897" s="19"/>
      <c r="T897" s="34" t="str">
        <f aca="false">IF($R897="","",IFERROR(INDEX(DriverCategory,MATCH($R897,DriverList,0)),"BAU"))</f>
        <v/>
      </c>
      <c r="U897" s="34" t="str">
        <f aca="false">IF($R897="","",IFERROR(INDEX(DriverRank,MATCH($R897,DriverList,0)),99))</f>
        <v/>
      </c>
      <c r="V897" s="35" t="n">
        <f aca="false">IF($H897="",0,IFERROR(INDEX(LevelBasic,MATCH($H897,LevelList,0))+INDEX(LevelHousing,MATCH($H897,LevelList,0))+INDEX(LevelTransport,MATCH($H897,LevelList,0))+INDEX(LevelBasic,MATCH($H897,LevelList,0))*INDEX(LevelBonus,MATCH($H897,LevelList,0))+(INDEX(LevelBasic,MATCH($H897,LevelList,0))+INDEX(LevelHousing,MATCH($H897,LevelList,0)))*GosiSaudi,0))</f>
        <v>0</v>
      </c>
      <c r="W897" s="35" t="n">
        <f aca="false">IFERROR(INDEX(LevelOneOff,MATCH($H897,LevelList,0)),0)</f>
        <v>0</v>
      </c>
      <c r="X897" s="35" t="str">
        <f aca="false">IF($G897="","",$V897*N($L897))</f>
        <v/>
      </c>
      <c r="Y897" s="35" t="str">
        <f aca="false">IF($G897="","",$V897*(N($M897)*1+N($N897)*0.75+N($O897)*0.5+N($P897)*0.25)+$W897*N($L897))</f>
        <v/>
      </c>
      <c r="Z897" s="35" t="str">
        <f aca="false">IF($G897="","",$U897*1000000+ROW())</f>
        <v/>
      </c>
      <c r="AA897" s="36" t="str">
        <f aca="false">IF($G897="","",MID(IF($C897="",", no division","")&amp;IF($E897="",", no unit","")&amp;IF($H897="",", no career level","")&amp;IF(N($L897)&lt;=0,", no quarter split","")&amp;IF($R897="",", no driver","")&amp;IF(AND($H897&lt;&gt;"",COUNTIF(CareerLevels,$H897)=0),", a career level that is not on the ladder","")&amp;IF(AND($R897&lt;&gt;"",COUNTIF(DriverList,$R897)=0),", a driver that is not on the list","")&amp;IF(ABS(N($L897)-(N($M897)+N($N897)+N($O897)+N($P897)))&gt;0.001,", a total that does not match its quarters",""),3,300))</f>
        <v/>
      </c>
    </row>
    <row r="898" customFormat="false" ht="15" hidden="false" customHeight="false" outlineLevel="0" collapsed="false">
      <c r="A898" s="33" t="str">
        <f aca="false">IF($G898="","","Human Resources Group")</f>
        <v/>
      </c>
      <c r="B898" s="19"/>
      <c r="C898" s="19"/>
      <c r="D898" s="19"/>
      <c r="E898" s="19"/>
      <c r="F898" s="19"/>
      <c r="G898" s="19"/>
      <c r="H898" s="19"/>
      <c r="I898" s="19"/>
      <c r="J898" s="19"/>
      <c r="K898" s="19"/>
      <c r="L898" s="19"/>
      <c r="M898" s="19"/>
      <c r="N898" s="19"/>
      <c r="O898" s="19"/>
      <c r="P898" s="19"/>
      <c r="Q898" s="19"/>
      <c r="R898" s="19"/>
      <c r="S898" s="19"/>
      <c r="T898" s="34" t="str">
        <f aca="false">IF($R898="","",IFERROR(INDEX(DriverCategory,MATCH($R898,DriverList,0)),"BAU"))</f>
        <v/>
      </c>
      <c r="U898" s="34" t="str">
        <f aca="false">IF($R898="","",IFERROR(INDEX(DriverRank,MATCH($R898,DriverList,0)),99))</f>
        <v/>
      </c>
      <c r="V898" s="35" t="n">
        <f aca="false">IF($H898="",0,IFERROR(INDEX(LevelBasic,MATCH($H898,LevelList,0))+INDEX(LevelHousing,MATCH($H898,LevelList,0))+INDEX(LevelTransport,MATCH($H898,LevelList,0))+INDEX(LevelBasic,MATCH($H898,LevelList,0))*INDEX(LevelBonus,MATCH($H898,LevelList,0))+(INDEX(LevelBasic,MATCH($H898,LevelList,0))+INDEX(LevelHousing,MATCH($H898,LevelList,0)))*GosiSaudi,0))</f>
        <v>0</v>
      </c>
      <c r="W898" s="35" t="n">
        <f aca="false">IFERROR(INDEX(LevelOneOff,MATCH($H898,LevelList,0)),0)</f>
        <v>0</v>
      </c>
      <c r="X898" s="35" t="str">
        <f aca="false">IF($G898="","",$V898*N($L898))</f>
        <v/>
      </c>
      <c r="Y898" s="35" t="str">
        <f aca="false">IF($G898="","",$V898*(N($M898)*1+N($N898)*0.75+N($O898)*0.5+N($P898)*0.25)+$W898*N($L898))</f>
        <v/>
      </c>
      <c r="Z898" s="35" t="str">
        <f aca="false">IF($G898="","",$U898*1000000+ROW())</f>
        <v/>
      </c>
      <c r="AA898" s="36" t="str">
        <f aca="false">IF($G898="","",MID(IF($C898="",", no division","")&amp;IF($E898="",", no unit","")&amp;IF($H898="",", no career level","")&amp;IF(N($L898)&lt;=0,", no quarter split","")&amp;IF($R898="",", no driver","")&amp;IF(AND($H898&lt;&gt;"",COUNTIF(CareerLevels,$H898)=0),", a career level that is not on the ladder","")&amp;IF(AND($R898&lt;&gt;"",COUNTIF(DriverList,$R898)=0),", a driver that is not on the list","")&amp;IF(ABS(N($L898)-(N($M898)+N($N898)+N($O898)+N($P898)))&gt;0.001,", a total that does not match its quarters",""),3,300))</f>
        <v/>
      </c>
    </row>
    <row r="899" customFormat="false" ht="15" hidden="false" customHeight="false" outlineLevel="0" collapsed="false">
      <c r="A899" s="33" t="str">
        <f aca="false">IF($G899="","","Human Resources Group")</f>
        <v/>
      </c>
      <c r="B899" s="19"/>
      <c r="C899" s="19"/>
      <c r="D899" s="19"/>
      <c r="E899" s="19"/>
      <c r="F899" s="19"/>
      <c r="G899" s="19"/>
      <c r="H899" s="19"/>
      <c r="I899" s="19"/>
      <c r="J899" s="19"/>
      <c r="K899" s="19"/>
      <c r="L899" s="19"/>
      <c r="M899" s="19"/>
      <c r="N899" s="19"/>
      <c r="O899" s="19"/>
      <c r="P899" s="19"/>
      <c r="Q899" s="19"/>
      <c r="R899" s="19"/>
      <c r="S899" s="19"/>
      <c r="T899" s="34" t="str">
        <f aca="false">IF($R899="","",IFERROR(INDEX(DriverCategory,MATCH($R899,DriverList,0)),"BAU"))</f>
        <v/>
      </c>
      <c r="U899" s="34" t="str">
        <f aca="false">IF($R899="","",IFERROR(INDEX(DriverRank,MATCH($R899,DriverList,0)),99))</f>
        <v/>
      </c>
      <c r="V899" s="35" t="n">
        <f aca="false">IF($H899="",0,IFERROR(INDEX(LevelBasic,MATCH($H899,LevelList,0))+INDEX(LevelHousing,MATCH($H899,LevelList,0))+INDEX(LevelTransport,MATCH($H899,LevelList,0))+INDEX(LevelBasic,MATCH($H899,LevelList,0))*INDEX(LevelBonus,MATCH($H899,LevelList,0))+(INDEX(LevelBasic,MATCH($H899,LevelList,0))+INDEX(LevelHousing,MATCH($H899,LevelList,0)))*GosiSaudi,0))</f>
        <v>0</v>
      </c>
      <c r="W899" s="35" t="n">
        <f aca="false">IFERROR(INDEX(LevelOneOff,MATCH($H899,LevelList,0)),0)</f>
        <v>0</v>
      </c>
      <c r="X899" s="35" t="str">
        <f aca="false">IF($G899="","",$V899*N($L899))</f>
        <v/>
      </c>
      <c r="Y899" s="35" t="str">
        <f aca="false">IF($G899="","",$V899*(N($M899)*1+N($N899)*0.75+N($O899)*0.5+N($P899)*0.25)+$W899*N($L899))</f>
        <v/>
      </c>
      <c r="Z899" s="35" t="str">
        <f aca="false">IF($G899="","",$U899*1000000+ROW())</f>
        <v/>
      </c>
      <c r="AA899" s="36" t="str">
        <f aca="false">IF($G899="","",MID(IF($C899="",", no division","")&amp;IF($E899="",", no unit","")&amp;IF($H899="",", no career level","")&amp;IF(N($L899)&lt;=0,", no quarter split","")&amp;IF($R899="",", no driver","")&amp;IF(AND($H899&lt;&gt;"",COUNTIF(CareerLevels,$H899)=0),", a career level that is not on the ladder","")&amp;IF(AND($R899&lt;&gt;"",COUNTIF(DriverList,$R899)=0),", a driver that is not on the list","")&amp;IF(ABS(N($L899)-(N($M899)+N($N899)+N($O899)+N($P899)))&gt;0.001,", a total that does not match its quarters",""),3,300))</f>
        <v/>
      </c>
    </row>
    <row r="900" customFormat="false" ht="15" hidden="false" customHeight="false" outlineLevel="0" collapsed="false">
      <c r="A900" s="33" t="str">
        <f aca="false">IF($G900="","","Human Resources Group")</f>
        <v/>
      </c>
      <c r="B900" s="19"/>
      <c r="C900" s="19"/>
      <c r="D900" s="19"/>
      <c r="E900" s="19"/>
      <c r="F900" s="19"/>
      <c r="G900" s="19"/>
      <c r="H900" s="19"/>
      <c r="I900" s="19"/>
      <c r="J900" s="19"/>
      <c r="K900" s="19"/>
      <c r="L900" s="19"/>
      <c r="M900" s="19"/>
      <c r="N900" s="19"/>
      <c r="O900" s="19"/>
      <c r="P900" s="19"/>
      <c r="Q900" s="19"/>
      <c r="R900" s="19"/>
      <c r="S900" s="19"/>
      <c r="T900" s="34" t="str">
        <f aca="false">IF($R900="","",IFERROR(INDEX(DriverCategory,MATCH($R900,DriverList,0)),"BAU"))</f>
        <v/>
      </c>
      <c r="U900" s="34" t="str">
        <f aca="false">IF($R900="","",IFERROR(INDEX(DriverRank,MATCH($R900,DriverList,0)),99))</f>
        <v/>
      </c>
      <c r="V900" s="35" t="n">
        <f aca="false">IF($H900="",0,IFERROR(INDEX(LevelBasic,MATCH($H900,LevelList,0))+INDEX(LevelHousing,MATCH($H900,LevelList,0))+INDEX(LevelTransport,MATCH($H900,LevelList,0))+INDEX(LevelBasic,MATCH($H900,LevelList,0))*INDEX(LevelBonus,MATCH($H900,LevelList,0))+(INDEX(LevelBasic,MATCH($H900,LevelList,0))+INDEX(LevelHousing,MATCH($H900,LevelList,0)))*GosiSaudi,0))</f>
        <v>0</v>
      </c>
      <c r="W900" s="35" t="n">
        <f aca="false">IFERROR(INDEX(LevelOneOff,MATCH($H900,LevelList,0)),0)</f>
        <v>0</v>
      </c>
      <c r="X900" s="35" t="str">
        <f aca="false">IF($G900="","",$V900*N($L900))</f>
        <v/>
      </c>
      <c r="Y900" s="35" t="str">
        <f aca="false">IF($G900="","",$V900*(N($M900)*1+N($N900)*0.75+N($O900)*0.5+N($P900)*0.25)+$W900*N($L900))</f>
        <v/>
      </c>
      <c r="Z900" s="35" t="str">
        <f aca="false">IF($G900="","",$U900*1000000+ROW())</f>
        <v/>
      </c>
      <c r="AA900" s="36" t="str">
        <f aca="false">IF($G900="","",MID(IF($C900="",", no division","")&amp;IF($E900="",", no unit","")&amp;IF($H900="",", no career level","")&amp;IF(N($L900)&lt;=0,", no quarter split","")&amp;IF($R900="",", no driver","")&amp;IF(AND($H900&lt;&gt;"",COUNTIF(CareerLevels,$H900)=0),", a career level that is not on the ladder","")&amp;IF(AND($R900&lt;&gt;"",COUNTIF(DriverList,$R900)=0),", a driver that is not on the list","")&amp;IF(ABS(N($L900)-(N($M900)+N($N900)+N($O900)+N($P900)))&gt;0.001,", a total that does not match its quarters",""),3,300))</f>
        <v/>
      </c>
    </row>
    <row r="901" customFormat="false" ht="15" hidden="false" customHeight="false" outlineLevel="0" collapsed="false">
      <c r="A901" s="33" t="str">
        <f aca="false">IF($G901="","","Human Resources Group")</f>
        <v/>
      </c>
      <c r="B901" s="19"/>
      <c r="C901" s="19"/>
      <c r="D901" s="19"/>
      <c r="E901" s="19"/>
      <c r="F901" s="19"/>
      <c r="G901" s="19"/>
      <c r="H901" s="19"/>
      <c r="I901" s="19"/>
      <c r="J901" s="19"/>
      <c r="K901" s="19"/>
      <c r="L901" s="19"/>
      <c r="M901" s="19"/>
      <c r="N901" s="19"/>
      <c r="O901" s="19"/>
      <c r="P901" s="19"/>
      <c r="Q901" s="19"/>
      <c r="R901" s="19"/>
      <c r="S901" s="19"/>
      <c r="T901" s="34" t="str">
        <f aca="false">IF($R901="","",IFERROR(INDEX(DriverCategory,MATCH($R901,DriverList,0)),"BAU"))</f>
        <v/>
      </c>
      <c r="U901" s="34" t="str">
        <f aca="false">IF($R901="","",IFERROR(INDEX(DriverRank,MATCH($R901,DriverList,0)),99))</f>
        <v/>
      </c>
      <c r="V901" s="35" t="n">
        <f aca="false">IF($H901="",0,IFERROR(INDEX(LevelBasic,MATCH($H901,LevelList,0))+INDEX(LevelHousing,MATCH($H901,LevelList,0))+INDEX(LevelTransport,MATCH($H901,LevelList,0))+INDEX(LevelBasic,MATCH($H901,LevelList,0))*INDEX(LevelBonus,MATCH($H901,LevelList,0))+(INDEX(LevelBasic,MATCH($H901,LevelList,0))+INDEX(LevelHousing,MATCH($H901,LevelList,0)))*GosiSaudi,0))</f>
        <v>0</v>
      </c>
      <c r="W901" s="35" t="n">
        <f aca="false">IFERROR(INDEX(LevelOneOff,MATCH($H901,LevelList,0)),0)</f>
        <v>0</v>
      </c>
      <c r="X901" s="35" t="str">
        <f aca="false">IF($G901="","",$V901*N($L901))</f>
        <v/>
      </c>
      <c r="Y901" s="35" t="str">
        <f aca="false">IF($G901="","",$V901*(N($M901)*1+N($N901)*0.75+N($O901)*0.5+N($P901)*0.25)+$W901*N($L901))</f>
        <v/>
      </c>
      <c r="Z901" s="35" t="str">
        <f aca="false">IF($G901="","",$U901*1000000+ROW())</f>
        <v/>
      </c>
      <c r="AA901" s="36" t="str">
        <f aca="false">IF($G901="","",MID(IF($C901="",", no division","")&amp;IF($E901="",", no unit","")&amp;IF($H901="",", no career level","")&amp;IF(N($L901)&lt;=0,", no quarter split","")&amp;IF($R901="",", no driver","")&amp;IF(AND($H901&lt;&gt;"",COUNTIF(CareerLevels,$H901)=0),", a career level that is not on the ladder","")&amp;IF(AND($R901&lt;&gt;"",COUNTIF(DriverList,$R901)=0),", a driver that is not on the list","")&amp;IF(ABS(N($L901)-(N($M901)+N($N901)+N($O901)+N($P901)))&gt;0.001,", a total that does not match its quarters",""),3,300))</f>
        <v/>
      </c>
    </row>
    <row r="902" customFormat="false" ht="15" hidden="false" customHeight="false" outlineLevel="0" collapsed="false">
      <c r="A902" s="33" t="str">
        <f aca="false">IF($G902="","","Human Resources Group")</f>
        <v/>
      </c>
      <c r="B902" s="19"/>
      <c r="C902" s="19"/>
      <c r="D902" s="19"/>
      <c r="E902" s="19"/>
      <c r="F902" s="19"/>
      <c r="G902" s="19"/>
      <c r="H902" s="19"/>
      <c r="I902" s="19"/>
      <c r="J902" s="19"/>
      <c r="K902" s="19"/>
      <c r="L902" s="19"/>
      <c r="M902" s="19"/>
      <c r="N902" s="19"/>
      <c r="O902" s="19"/>
      <c r="P902" s="19"/>
      <c r="Q902" s="19"/>
      <c r="R902" s="19"/>
      <c r="S902" s="19"/>
      <c r="T902" s="34" t="str">
        <f aca="false">IF($R902="","",IFERROR(INDEX(DriverCategory,MATCH($R902,DriverList,0)),"BAU"))</f>
        <v/>
      </c>
      <c r="U902" s="34" t="str">
        <f aca="false">IF($R902="","",IFERROR(INDEX(DriverRank,MATCH($R902,DriverList,0)),99))</f>
        <v/>
      </c>
      <c r="V902" s="35" t="n">
        <f aca="false">IF($H902="",0,IFERROR(INDEX(LevelBasic,MATCH($H902,LevelList,0))+INDEX(LevelHousing,MATCH($H902,LevelList,0))+INDEX(LevelTransport,MATCH($H902,LevelList,0))+INDEX(LevelBasic,MATCH($H902,LevelList,0))*INDEX(LevelBonus,MATCH($H902,LevelList,0))+(INDEX(LevelBasic,MATCH($H902,LevelList,0))+INDEX(LevelHousing,MATCH($H902,LevelList,0)))*GosiSaudi,0))</f>
        <v>0</v>
      </c>
      <c r="W902" s="35" t="n">
        <f aca="false">IFERROR(INDEX(LevelOneOff,MATCH($H902,LevelList,0)),0)</f>
        <v>0</v>
      </c>
      <c r="X902" s="35" t="str">
        <f aca="false">IF($G902="","",$V902*N($L902))</f>
        <v/>
      </c>
      <c r="Y902" s="35" t="str">
        <f aca="false">IF($G902="","",$V902*(N($M902)*1+N($N902)*0.75+N($O902)*0.5+N($P902)*0.25)+$W902*N($L902))</f>
        <v/>
      </c>
      <c r="Z902" s="35" t="str">
        <f aca="false">IF($G902="","",$U902*1000000+ROW())</f>
        <v/>
      </c>
      <c r="AA902" s="36" t="str">
        <f aca="false">IF($G902="","",MID(IF($C902="",", no division","")&amp;IF($E902="",", no unit","")&amp;IF($H902="",", no career level","")&amp;IF(N($L902)&lt;=0,", no quarter split","")&amp;IF($R902="",", no driver","")&amp;IF(AND($H902&lt;&gt;"",COUNTIF(CareerLevels,$H902)=0),", a career level that is not on the ladder","")&amp;IF(AND($R902&lt;&gt;"",COUNTIF(DriverList,$R902)=0),", a driver that is not on the list","")&amp;IF(ABS(N($L902)-(N($M902)+N($N902)+N($O902)+N($P902)))&gt;0.001,", a total that does not match its quarters",""),3,300))</f>
        <v/>
      </c>
    </row>
    <row r="903" customFormat="false" ht="15" hidden="false" customHeight="false" outlineLevel="0" collapsed="false">
      <c r="A903" s="33" t="str">
        <f aca="false">IF($G903="","","Human Resources Group")</f>
        <v/>
      </c>
      <c r="B903" s="19"/>
      <c r="C903" s="19"/>
      <c r="D903" s="19"/>
      <c r="E903" s="19"/>
      <c r="F903" s="19"/>
      <c r="G903" s="19"/>
      <c r="H903" s="19"/>
      <c r="I903" s="19"/>
      <c r="J903" s="19"/>
      <c r="K903" s="19"/>
      <c r="L903" s="19"/>
      <c r="M903" s="19"/>
      <c r="N903" s="19"/>
      <c r="O903" s="19"/>
      <c r="P903" s="19"/>
      <c r="Q903" s="19"/>
      <c r="R903" s="19"/>
      <c r="S903" s="19"/>
      <c r="T903" s="34" t="str">
        <f aca="false">IF($R903="","",IFERROR(INDEX(DriverCategory,MATCH($R903,DriverList,0)),"BAU"))</f>
        <v/>
      </c>
      <c r="U903" s="34" t="str">
        <f aca="false">IF($R903="","",IFERROR(INDEX(DriverRank,MATCH($R903,DriverList,0)),99))</f>
        <v/>
      </c>
      <c r="V903" s="35" t="n">
        <f aca="false">IF($H903="",0,IFERROR(INDEX(LevelBasic,MATCH($H903,LevelList,0))+INDEX(LevelHousing,MATCH($H903,LevelList,0))+INDEX(LevelTransport,MATCH($H903,LevelList,0))+INDEX(LevelBasic,MATCH($H903,LevelList,0))*INDEX(LevelBonus,MATCH($H903,LevelList,0))+(INDEX(LevelBasic,MATCH($H903,LevelList,0))+INDEX(LevelHousing,MATCH($H903,LevelList,0)))*GosiSaudi,0))</f>
        <v>0</v>
      </c>
      <c r="W903" s="35" t="n">
        <f aca="false">IFERROR(INDEX(LevelOneOff,MATCH($H903,LevelList,0)),0)</f>
        <v>0</v>
      </c>
      <c r="X903" s="35" t="str">
        <f aca="false">IF($G903="","",$V903*N($L903))</f>
        <v/>
      </c>
      <c r="Y903" s="35" t="str">
        <f aca="false">IF($G903="","",$V903*(N($M903)*1+N($N903)*0.75+N($O903)*0.5+N($P903)*0.25)+$W903*N($L903))</f>
        <v/>
      </c>
      <c r="Z903" s="35" t="str">
        <f aca="false">IF($G903="","",$U903*1000000+ROW())</f>
        <v/>
      </c>
      <c r="AA903" s="36" t="str">
        <f aca="false">IF($G903="","",MID(IF($C903="",", no division","")&amp;IF($E903="",", no unit","")&amp;IF($H903="",", no career level","")&amp;IF(N($L903)&lt;=0,", no quarter split","")&amp;IF($R903="",", no driver","")&amp;IF(AND($H903&lt;&gt;"",COUNTIF(CareerLevels,$H903)=0),", a career level that is not on the ladder","")&amp;IF(AND($R903&lt;&gt;"",COUNTIF(DriverList,$R903)=0),", a driver that is not on the list","")&amp;IF(ABS(N($L903)-(N($M903)+N($N903)+N($O903)+N($P903)))&gt;0.001,", a total that does not match its quarters",""),3,300))</f>
        <v/>
      </c>
    </row>
    <row r="904" customFormat="false" ht="15" hidden="false" customHeight="false" outlineLevel="0" collapsed="false">
      <c r="A904" s="33" t="str">
        <f aca="false">IF($G904="","","Human Resources Group")</f>
        <v/>
      </c>
      <c r="B904" s="19"/>
      <c r="C904" s="19"/>
      <c r="D904" s="19"/>
      <c r="E904" s="19"/>
      <c r="F904" s="19"/>
      <c r="G904" s="19"/>
      <c r="H904" s="19"/>
      <c r="I904" s="19"/>
      <c r="J904" s="19"/>
      <c r="K904" s="19"/>
      <c r="L904" s="19"/>
      <c r="M904" s="19"/>
      <c r="N904" s="19"/>
      <c r="O904" s="19"/>
      <c r="P904" s="19"/>
      <c r="Q904" s="19"/>
      <c r="R904" s="19"/>
      <c r="S904" s="19"/>
      <c r="T904" s="34" t="str">
        <f aca="false">IF($R904="","",IFERROR(INDEX(DriverCategory,MATCH($R904,DriverList,0)),"BAU"))</f>
        <v/>
      </c>
      <c r="U904" s="34" t="str">
        <f aca="false">IF($R904="","",IFERROR(INDEX(DriverRank,MATCH($R904,DriverList,0)),99))</f>
        <v/>
      </c>
      <c r="V904" s="35" t="n">
        <f aca="false">IF($H904="",0,IFERROR(INDEX(LevelBasic,MATCH($H904,LevelList,0))+INDEX(LevelHousing,MATCH($H904,LevelList,0))+INDEX(LevelTransport,MATCH($H904,LevelList,0))+INDEX(LevelBasic,MATCH($H904,LevelList,0))*INDEX(LevelBonus,MATCH($H904,LevelList,0))+(INDEX(LevelBasic,MATCH($H904,LevelList,0))+INDEX(LevelHousing,MATCH($H904,LevelList,0)))*GosiSaudi,0))</f>
        <v>0</v>
      </c>
      <c r="W904" s="35" t="n">
        <f aca="false">IFERROR(INDEX(LevelOneOff,MATCH($H904,LevelList,0)),0)</f>
        <v>0</v>
      </c>
      <c r="X904" s="35" t="str">
        <f aca="false">IF($G904="","",$V904*N($L904))</f>
        <v/>
      </c>
      <c r="Y904" s="35" t="str">
        <f aca="false">IF($G904="","",$V904*(N($M904)*1+N($N904)*0.75+N($O904)*0.5+N($P904)*0.25)+$W904*N($L904))</f>
        <v/>
      </c>
      <c r="Z904" s="35" t="str">
        <f aca="false">IF($G904="","",$U904*1000000+ROW())</f>
        <v/>
      </c>
      <c r="AA904" s="36" t="str">
        <f aca="false">IF($G904="","",MID(IF($C904="",", no division","")&amp;IF($E904="",", no unit","")&amp;IF($H904="",", no career level","")&amp;IF(N($L904)&lt;=0,", no quarter split","")&amp;IF($R904="",", no driver","")&amp;IF(AND($H904&lt;&gt;"",COUNTIF(CareerLevels,$H904)=0),", a career level that is not on the ladder","")&amp;IF(AND($R904&lt;&gt;"",COUNTIF(DriverList,$R904)=0),", a driver that is not on the list","")&amp;IF(ABS(N($L904)-(N($M904)+N($N904)+N($O904)+N($P904)))&gt;0.001,", a total that does not match its quarters",""),3,300))</f>
        <v/>
      </c>
    </row>
    <row r="905" customFormat="false" ht="15" hidden="false" customHeight="false" outlineLevel="0" collapsed="false">
      <c r="A905" s="33" t="str">
        <f aca="false">IF($G905="","","Human Resources Group")</f>
        <v/>
      </c>
      <c r="B905" s="19"/>
      <c r="C905" s="19"/>
      <c r="D905" s="19"/>
      <c r="E905" s="19"/>
      <c r="F905" s="19"/>
      <c r="G905" s="19"/>
      <c r="H905" s="19"/>
      <c r="I905" s="19"/>
      <c r="J905" s="19"/>
      <c r="K905" s="19"/>
      <c r="L905" s="19"/>
      <c r="M905" s="19"/>
      <c r="N905" s="19"/>
      <c r="O905" s="19"/>
      <c r="P905" s="19"/>
      <c r="Q905" s="19"/>
      <c r="R905" s="19"/>
      <c r="S905" s="19"/>
      <c r="T905" s="34" t="str">
        <f aca="false">IF($R905="","",IFERROR(INDEX(DriverCategory,MATCH($R905,DriverList,0)),"BAU"))</f>
        <v/>
      </c>
      <c r="U905" s="34" t="str">
        <f aca="false">IF($R905="","",IFERROR(INDEX(DriverRank,MATCH($R905,DriverList,0)),99))</f>
        <v/>
      </c>
      <c r="V905" s="35" t="n">
        <f aca="false">IF($H905="",0,IFERROR(INDEX(LevelBasic,MATCH($H905,LevelList,0))+INDEX(LevelHousing,MATCH($H905,LevelList,0))+INDEX(LevelTransport,MATCH($H905,LevelList,0))+INDEX(LevelBasic,MATCH($H905,LevelList,0))*INDEX(LevelBonus,MATCH($H905,LevelList,0))+(INDEX(LevelBasic,MATCH($H905,LevelList,0))+INDEX(LevelHousing,MATCH($H905,LevelList,0)))*GosiSaudi,0))</f>
        <v>0</v>
      </c>
      <c r="W905" s="35" t="n">
        <f aca="false">IFERROR(INDEX(LevelOneOff,MATCH($H905,LevelList,0)),0)</f>
        <v>0</v>
      </c>
      <c r="X905" s="35" t="str">
        <f aca="false">IF($G905="","",$V905*N($L905))</f>
        <v/>
      </c>
      <c r="Y905" s="35" t="str">
        <f aca="false">IF($G905="","",$V905*(N($M905)*1+N($N905)*0.75+N($O905)*0.5+N($P905)*0.25)+$W905*N($L905))</f>
        <v/>
      </c>
      <c r="Z905" s="35" t="str">
        <f aca="false">IF($G905="","",$U905*1000000+ROW())</f>
        <v/>
      </c>
      <c r="AA905" s="36" t="str">
        <f aca="false">IF($G905="","",MID(IF($C905="",", no division","")&amp;IF($E905="",", no unit","")&amp;IF($H905="",", no career level","")&amp;IF(N($L905)&lt;=0,", no quarter split","")&amp;IF($R905="",", no driver","")&amp;IF(AND($H905&lt;&gt;"",COUNTIF(CareerLevels,$H905)=0),", a career level that is not on the ladder","")&amp;IF(AND($R905&lt;&gt;"",COUNTIF(DriverList,$R905)=0),", a driver that is not on the list","")&amp;IF(ABS(N($L905)-(N($M905)+N($N905)+N($O905)+N($P905)))&gt;0.001,", a total that does not match its quarters",""),3,300))</f>
        <v/>
      </c>
    </row>
    <row r="906" customFormat="false" ht="15" hidden="false" customHeight="false" outlineLevel="0" collapsed="false">
      <c r="A906" s="33" t="str">
        <f aca="false">IF($G906="","","Human Resources Group")</f>
        <v/>
      </c>
      <c r="B906" s="19"/>
      <c r="C906" s="19"/>
      <c r="D906" s="19"/>
      <c r="E906" s="19"/>
      <c r="F906" s="19"/>
      <c r="G906" s="19"/>
      <c r="H906" s="19"/>
      <c r="I906" s="19"/>
      <c r="J906" s="19"/>
      <c r="K906" s="19"/>
      <c r="L906" s="19"/>
      <c r="M906" s="19"/>
      <c r="N906" s="19"/>
      <c r="O906" s="19"/>
      <c r="P906" s="19"/>
      <c r="Q906" s="19"/>
      <c r="R906" s="19"/>
      <c r="S906" s="19"/>
      <c r="T906" s="34" t="str">
        <f aca="false">IF($R906="","",IFERROR(INDEX(DriverCategory,MATCH($R906,DriverList,0)),"BAU"))</f>
        <v/>
      </c>
      <c r="U906" s="34" t="str">
        <f aca="false">IF($R906="","",IFERROR(INDEX(DriverRank,MATCH($R906,DriverList,0)),99))</f>
        <v/>
      </c>
      <c r="V906" s="35" t="n">
        <f aca="false">IF($H906="",0,IFERROR(INDEX(LevelBasic,MATCH($H906,LevelList,0))+INDEX(LevelHousing,MATCH($H906,LevelList,0))+INDEX(LevelTransport,MATCH($H906,LevelList,0))+INDEX(LevelBasic,MATCH($H906,LevelList,0))*INDEX(LevelBonus,MATCH($H906,LevelList,0))+(INDEX(LevelBasic,MATCH($H906,LevelList,0))+INDEX(LevelHousing,MATCH($H906,LevelList,0)))*GosiSaudi,0))</f>
        <v>0</v>
      </c>
      <c r="W906" s="35" t="n">
        <f aca="false">IFERROR(INDEX(LevelOneOff,MATCH($H906,LevelList,0)),0)</f>
        <v>0</v>
      </c>
      <c r="X906" s="35" t="str">
        <f aca="false">IF($G906="","",$V906*N($L906))</f>
        <v/>
      </c>
      <c r="Y906" s="35" t="str">
        <f aca="false">IF($G906="","",$V906*(N($M906)*1+N($N906)*0.75+N($O906)*0.5+N($P906)*0.25)+$W906*N($L906))</f>
        <v/>
      </c>
      <c r="Z906" s="35" t="str">
        <f aca="false">IF($G906="","",$U906*1000000+ROW())</f>
        <v/>
      </c>
      <c r="AA906" s="36" t="str">
        <f aca="false">IF($G906="","",MID(IF($C906="",", no division","")&amp;IF($E906="",", no unit","")&amp;IF($H906="",", no career level","")&amp;IF(N($L906)&lt;=0,", no quarter split","")&amp;IF($R906="",", no driver","")&amp;IF(AND($H906&lt;&gt;"",COUNTIF(CareerLevels,$H906)=0),", a career level that is not on the ladder","")&amp;IF(AND($R906&lt;&gt;"",COUNTIF(DriverList,$R906)=0),", a driver that is not on the list","")&amp;IF(ABS(N($L906)-(N($M906)+N($N906)+N($O906)+N($P906)))&gt;0.001,", a total that does not match its quarters",""),3,300))</f>
        <v/>
      </c>
    </row>
    <row r="907" customFormat="false" ht="15" hidden="false" customHeight="false" outlineLevel="0" collapsed="false">
      <c r="A907" s="33" t="str">
        <f aca="false">IF($G907="","","Human Resources Group")</f>
        <v/>
      </c>
      <c r="B907" s="19"/>
      <c r="C907" s="19"/>
      <c r="D907" s="19"/>
      <c r="E907" s="19"/>
      <c r="F907" s="19"/>
      <c r="G907" s="19"/>
      <c r="H907" s="19"/>
      <c r="I907" s="19"/>
      <c r="J907" s="19"/>
      <c r="K907" s="19"/>
      <c r="L907" s="19"/>
      <c r="M907" s="19"/>
      <c r="N907" s="19"/>
      <c r="O907" s="19"/>
      <c r="P907" s="19"/>
      <c r="Q907" s="19"/>
      <c r="R907" s="19"/>
      <c r="S907" s="19"/>
      <c r="T907" s="34" t="str">
        <f aca="false">IF($R907="","",IFERROR(INDEX(DriverCategory,MATCH($R907,DriverList,0)),"BAU"))</f>
        <v/>
      </c>
      <c r="U907" s="34" t="str">
        <f aca="false">IF($R907="","",IFERROR(INDEX(DriverRank,MATCH($R907,DriverList,0)),99))</f>
        <v/>
      </c>
      <c r="V907" s="35" t="n">
        <f aca="false">IF($H907="",0,IFERROR(INDEX(LevelBasic,MATCH($H907,LevelList,0))+INDEX(LevelHousing,MATCH($H907,LevelList,0))+INDEX(LevelTransport,MATCH($H907,LevelList,0))+INDEX(LevelBasic,MATCH($H907,LevelList,0))*INDEX(LevelBonus,MATCH($H907,LevelList,0))+(INDEX(LevelBasic,MATCH($H907,LevelList,0))+INDEX(LevelHousing,MATCH($H907,LevelList,0)))*GosiSaudi,0))</f>
        <v>0</v>
      </c>
      <c r="W907" s="35" t="n">
        <f aca="false">IFERROR(INDEX(LevelOneOff,MATCH($H907,LevelList,0)),0)</f>
        <v>0</v>
      </c>
      <c r="X907" s="35" t="str">
        <f aca="false">IF($G907="","",$V907*N($L907))</f>
        <v/>
      </c>
      <c r="Y907" s="35" t="str">
        <f aca="false">IF($G907="","",$V907*(N($M907)*1+N($N907)*0.75+N($O907)*0.5+N($P907)*0.25)+$W907*N($L907))</f>
        <v/>
      </c>
      <c r="Z907" s="35" t="str">
        <f aca="false">IF($G907="","",$U907*1000000+ROW())</f>
        <v/>
      </c>
      <c r="AA907" s="36" t="str">
        <f aca="false">IF($G907="","",MID(IF($C907="",", no division","")&amp;IF($E907="",", no unit","")&amp;IF($H907="",", no career level","")&amp;IF(N($L907)&lt;=0,", no quarter split","")&amp;IF($R907="",", no driver","")&amp;IF(AND($H907&lt;&gt;"",COUNTIF(CareerLevels,$H907)=0),", a career level that is not on the ladder","")&amp;IF(AND($R907&lt;&gt;"",COUNTIF(DriverList,$R907)=0),", a driver that is not on the list","")&amp;IF(ABS(N($L907)-(N($M907)+N($N907)+N($O907)+N($P907)))&gt;0.001,", a total that does not match its quarters",""),3,300))</f>
        <v/>
      </c>
    </row>
    <row r="908" customFormat="false" ht="15" hidden="false" customHeight="false" outlineLevel="0" collapsed="false">
      <c r="A908" s="33" t="str">
        <f aca="false">IF($G908="","","Human Resources Group")</f>
        <v/>
      </c>
      <c r="B908" s="19"/>
      <c r="C908" s="19"/>
      <c r="D908" s="19"/>
      <c r="E908" s="19"/>
      <c r="F908" s="19"/>
      <c r="G908" s="19"/>
      <c r="H908" s="19"/>
      <c r="I908" s="19"/>
      <c r="J908" s="19"/>
      <c r="K908" s="19"/>
      <c r="L908" s="19"/>
      <c r="M908" s="19"/>
      <c r="N908" s="19"/>
      <c r="O908" s="19"/>
      <c r="P908" s="19"/>
      <c r="Q908" s="19"/>
      <c r="R908" s="19"/>
      <c r="S908" s="19"/>
      <c r="T908" s="34" t="str">
        <f aca="false">IF($R908="","",IFERROR(INDEX(DriverCategory,MATCH($R908,DriverList,0)),"BAU"))</f>
        <v/>
      </c>
      <c r="U908" s="34" t="str">
        <f aca="false">IF($R908="","",IFERROR(INDEX(DriverRank,MATCH($R908,DriverList,0)),99))</f>
        <v/>
      </c>
      <c r="V908" s="35" t="n">
        <f aca="false">IF($H908="",0,IFERROR(INDEX(LevelBasic,MATCH($H908,LevelList,0))+INDEX(LevelHousing,MATCH($H908,LevelList,0))+INDEX(LevelTransport,MATCH($H908,LevelList,0))+INDEX(LevelBasic,MATCH($H908,LevelList,0))*INDEX(LevelBonus,MATCH($H908,LevelList,0))+(INDEX(LevelBasic,MATCH($H908,LevelList,0))+INDEX(LevelHousing,MATCH($H908,LevelList,0)))*GosiSaudi,0))</f>
        <v>0</v>
      </c>
      <c r="W908" s="35" t="n">
        <f aca="false">IFERROR(INDEX(LevelOneOff,MATCH($H908,LevelList,0)),0)</f>
        <v>0</v>
      </c>
      <c r="X908" s="35" t="str">
        <f aca="false">IF($G908="","",$V908*N($L908))</f>
        <v/>
      </c>
      <c r="Y908" s="35" t="str">
        <f aca="false">IF($G908="","",$V908*(N($M908)*1+N($N908)*0.75+N($O908)*0.5+N($P908)*0.25)+$W908*N($L908))</f>
        <v/>
      </c>
      <c r="Z908" s="35" t="str">
        <f aca="false">IF($G908="","",$U908*1000000+ROW())</f>
        <v/>
      </c>
      <c r="AA908" s="36" t="str">
        <f aca="false">IF($G908="","",MID(IF($C908="",", no division","")&amp;IF($E908="",", no unit","")&amp;IF($H908="",", no career level","")&amp;IF(N($L908)&lt;=0,", no quarter split","")&amp;IF($R908="",", no driver","")&amp;IF(AND($H908&lt;&gt;"",COUNTIF(CareerLevels,$H908)=0),", a career level that is not on the ladder","")&amp;IF(AND($R908&lt;&gt;"",COUNTIF(DriverList,$R908)=0),", a driver that is not on the list","")&amp;IF(ABS(N($L908)-(N($M908)+N($N908)+N($O908)+N($P908)))&gt;0.001,", a total that does not match its quarters",""),3,300))</f>
        <v/>
      </c>
    </row>
    <row r="909" customFormat="false" ht="15" hidden="false" customHeight="false" outlineLevel="0" collapsed="false">
      <c r="A909" s="33" t="str">
        <f aca="false">IF($G909="","","Human Resources Group")</f>
        <v/>
      </c>
      <c r="B909" s="19"/>
      <c r="C909" s="19"/>
      <c r="D909" s="19"/>
      <c r="E909" s="19"/>
      <c r="F909" s="19"/>
      <c r="G909" s="19"/>
      <c r="H909" s="19"/>
      <c r="I909" s="19"/>
      <c r="J909" s="19"/>
      <c r="K909" s="19"/>
      <c r="L909" s="19"/>
      <c r="M909" s="19"/>
      <c r="N909" s="19"/>
      <c r="O909" s="19"/>
      <c r="P909" s="19"/>
      <c r="Q909" s="19"/>
      <c r="R909" s="19"/>
      <c r="S909" s="19"/>
      <c r="T909" s="34" t="str">
        <f aca="false">IF($R909="","",IFERROR(INDEX(DriverCategory,MATCH($R909,DriverList,0)),"BAU"))</f>
        <v/>
      </c>
      <c r="U909" s="34" t="str">
        <f aca="false">IF($R909="","",IFERROR(INDEX(DriverRank,MATCH($R909,DriverList,0)),99))</f>
        <v/>
      </c>
      <c r="V909" s="35" t="n">
        <f aca="false">IF($H909="",0,IFERROR(INDEX(LevelBasic,MATCH($H909,LevelList,0))+INDEX(LevelHousing,MATCH($H909,LevelList,0))+INDEX(LevelTransport,MATCH($H909,LevelList,0))+INDEX(LevelBasic,MATCH($H909,LevelList,0))*INDEX(LevelBonus,MATCH($H909,LevelList,0))+(INDEX(LevelBasic,MATCH($H909,LevelList,0))+INDEX(LevelHousing,MATCH($H909,LevelList,0)))*GosiSaudi,0))</f>
        <v>0</v>
      </c>
      <c r="W909" s="35" t="n">
        <f aca="false">IFERROR(INDEX(LevelOneOff,MATCH($H909,LevelList,0)),0)</f>
        <v>0</v>
      </c>
      <c r="X909" s="35" t="str">
        <f aca="false">IF($G909="","",$V909*N($L909))</f>
        <v/>
      </c>
      <c r="Y909" s="35" t="str">
        <f aca="false">IF($G909="","",$V909*(N($M909)*1+N($N909)*0.75+N($O909)*0.5+N($P909)*0.25)+$W909*N($L909))</f>
        <v/>
      </c>
      <c r="Z909" s="35" t="str">
        <f aca="false">IF($G909="","",$U909*1000000+ROW())</f>
        <v/>
      </c>
      <c r="AA909" s="36" t="str">
        <f aca="false">IF($G909="","",MID(IF($C909="",", no division","")&amp;IF($E909="",", no unit","")&amp;IF($H909="",", no career level","")&amp;IF(N($L909)&lt;=0,", no quarter split","")&amp;IF($R909="",", no driver","")&amp;IF(AND($H909&lt;&gt;"",COUNTIF(CareerLevels,$H909)=0),", a career level that is not on the ladder","")&amp;IF(AND($R909&lt;&gt;"",COUNTIF(DriverList,$R909)=0),", a driver that is not on the list","")&amp;IF(ABS(N($L909)-(N($M909)+N($N909)+N($O909)+N($P909)))&gt;0.001,", a total that does not match its quarters",""),3,300))</f>
        <v/>
      </c>
    </row>
    <row r="910" customFormat="false" ht="15" hidden="false" customHeight="false" outlineLevel="0" collapsed="false">
      <c r="A910" s="33" t="str">
        <f aca="false">IF($G910="","","Human Resources Group")</f>
        <v/>
      </c>
      <c r="B910" s="19"/>
      <c r="C910" s="19"/>
      <c r="D910" s="19"/>
      <c r="E910" s="19"/>
      <c r="F910" s="19"/>
      <c r="G910" s="19"/>
      <c r="H910" s="19"/>
      <c r="I910" s="19"/>
      <c r="J910" s="19"/>
      <c r="K910" s="19"/>
      <c r="L910" s="19"/>
      <c r="M910" s="19"/>
      <c r="N910" s="19"/>
      <c r="O910" s="19"/>
      <c r="P910" s="19"/>
      <c r="Q910" s="19"/>
      <c r="R910" s="19"/>
      <c r="S910" s="19"/>
      <c r="T910" s="34" t="str">
        <f aca="false">IF($R910="","",IFERROR(INDEX(DriverCategory,MATCH($R910,DriverList,0)),"BAU"))</f>
        <v/>
      </c>
      <c r="U910" s="34" t="str">
        <f aca="false">IF($R910="","",IFERROR(INDEX(DriverRank,MATCH($R910,DriverList,0)),99))</f>
        <v/>
      </c>
      <c r="V910" s="35" t="n">
        <f aca="false">IF($H910="",0,IFERROR(INDEX(LevelBasic,MATCH($H910,LevelList,0))+INDEX(LevelHousing,MATCH($H910,LevelList,0))+INDEX(LevelTransport,MATCH($H910,LevelList,0))+INDEX(LevelBasic,MATCH($H910,LevelList,0))*INDEX(LevelBonus,MATCH($H910,LevelList,0))+(INDEX(LevelBasic,MATCH($H910,LevelList,0))+INDEX(LevelHousing,MATCH($H910,LevelList,0)))*GosiSaudi,0))</f>
        <v>0</v>
      </c>
      <c r="W910" s="35" t="n">
        <f aca="false">IFERROR(INDEX(LevelOneOff,MATCH($H910,LevelList,0)),0)</f>
        <v>0</v>
      </c>
      <c r="X910" s="35" t="str">
        <f aca="false">IF($G910="","",$V910*N($L910))</f>
        <v/>
      </c>
      <c r="Y910" s="35" t="str">
        <f aca="false">IF($G910="","",$V910*(N($M910)*1+N($N910)*0.75+N($O910)*0.5+N($P910)*0.25)+$W910*N($L910))</f>
        <v/>
      </c>
      <c r="Z910" s="35" t="str">
        <f aca="false">IF($G910="","",$U910*1000000+ROW())</f>
        <v/>
      </c>
      <c r="AA910" s="36" t="str">
        <f aca="false">IF($G910="","",MID(IF($C910="",", no division","")&amp;IF($E910="",", no unit","")&amp;IF($H910="",", no career level","")&amp;IF(N($L910)&lt;=0,", no quarter split","")&amp;IF($R910="",", no driver","")&amp;IF(AND($H910&lt;&gt;"",COUNTIF(CareerLevels,$H910)=0),", a career level that is not on the ladder","")&amp;IF(AND($R910&lt;&gt;"",COUNTIF(DriverList,$R910)=0),", a driver that is not on the list","")&amp;IF(ABS(N($L910)-(N($M910)+N($N910)+N($O910)+N($P910)))&gt;0.001,", a total that does not match its quarters",""),3,300))</f>
        <v/>
      </c>
    </row>
    <row r="911" customFormat="false" ht="15" hidden="false" customHeight="false" outlineLevel="0" collapsed="false">
      <c r="A911" s="33" t="str">
        <f aca="false">IF($G911="","","Human Resources Group")</f>
        <v/>
      </c>
      <c r="B911" s="19"/>
      <c r="C911" s="19"/>
      <c r="D911" s="19"/>
      <c r="E911" s="19"/>
      <c r="F911" s="19"/>
      <c r="G911" s="19"/>
      <c r="H911" s="19"/>
      <c r="I911" s="19"/>
      <c r="J911" s="19"/>
      <c r="K911" s="19"/>
      <c r="L911" s="19"/>
      <c r="M911" s="19"/>
      <c r="N911" s="19"/>
      <c r="O911" s="19"/>
      <c r="P911" s="19"/>
      <c r="Q911" s="19"/>
      <c r="R911" s="19"/>
      <c r="S911" s="19"/>
      <c r="T911" s="34" t="str">
        <f aca="false">IF($R911="","",IFERROR(INDEX(DriverCategory,MATCH($R911,DriverList,0)),"BAU"))</f>
        <v/>
      </c>
      <c r="U911" s="34" t="str">
        <f aca="false">IF($R911="","",IFERROR(INDEX(DriverRank,MATCH($R911,DriverList,0)),99))</f>
        <v/>
      </c>
      <c r="V911" s="35" t="n">
        <f aca="false">IF($H911="",0,IFERROR(INDEX(LevelBasic,MATCH($H911,LevelList,0))+INDEX(LevelHousing,MATCH($H911,LevelList,0))+INDEX(LevelTransport,MATCH($H911,LevelList,0))+INDEX(LevelBasic,MATCH($H911,LevelList,0))*INDEX(LevelBonus,MATCH($H911,LevelList,0))+(INDEX(LevelBasic,MATCH($H911,LevelList,0))+INDEX(LevelHousing,MATCH($H911,LevelList,0)))*GosiSaudi,0))</f>
        <v>0</v>
      </c>
      <c r="W911" s="35" t="n">
        <f aca="false">IFERROR(INDEX(LevelOneOff,MATCH($H911,LevelList,0)),0)</f>
        <v>0</v>
      </c>
      <c r="X911" s="35" t="str">
        <f aca="false">IF($G911="","",$V911*N($L911))</f>
        <v/>
      </c>
      <c r="Y911" s="35" t="str">
        <f aca="false">IF($G911="","",$V911*(N($M911)*1+N($N911)*0.75+N($O911)*0.5+N($P911)*0.25)+$W911*N($L911))</f>
        <v/>
      </c>
      <c r="Z911" s="35" t="str">
        <f aca="false">IF($G911="","",$U911*1000000+ROW())</f>
        <v/>
      </c>
      <c r="AA911" s="36" t="str">
        <f aca="false">IF($G911="","",MID(IF($C911="",", no division","")&amp;IF($E911="",", no unit","")&amp;IF($H911="",", no career level","")&amp;IF(N($L911)&lt;=0,", no quarter split","")&amp;IF($R911="",", no driver","")&amp;IF(AND($H911&lt;&gt;"",COUNTIF(CareerLevels,$H911)=0),", a career level that is not on the ladder","")&amp;IF(AND($R911&lt;&gt;"",COUNTIF(DriverList,$R911)=0),", a driver that is not on the list","")&amp;IF(ABS(N($L911)-(N($M911)+N($N911)+N($O911)+N($P911)))&gt;0.001,", a total that does not match its quarters",""),3,300))</f>
        <v/>
      </c>
    </row>
    <row r="912" customFormat="false" ht="15" hidden="false" customHeight="false" outlineLevel="0" collapsed="false">
      <c r="A912" s="33" t="str">
        <f aca="false">IF($G912="","","Human Resources Group")</f>
        <v/>
      </c>
      <c r="B912" s="19"/>
      <c r="C912" s="19"/>
      <c r="D912" s="19"/>
      <c r="E912" s="19"/>
      <c r="F912" s="19"/>
      <c r="G912" s="19"/>
      <c r="H912" s="19"/>
      <c r="I912" s="19"/>
      <c r="J912" s="19"/>
      <c r="K912" s="19"/>
      <c r="L912" s="19"/>
      <c r="M912" s="19"/>
      <c r="N912" s="19"/>
      <c r="O912" s="19"/>
      <c r="P912" s="19"/>
      <c r="Q912" s="19"/>
      <c r="R912" s="19"/>
      <c r="S912" s="19"/>
      <c r="T912" s="34" t="str">
        <f aca="false">IF($R912="","",IFERROR(INDEX(DriverCategory,MATCH($R912,DriverList,0)),"BAU"))</f>
        <v/>
      </c>
      <c r="U912" s="34" t="str">
        <f aca="false">IF($R912="","",IFERROR(INDEX(DriverRank,MATCH($R912,DriverList,0)),99))</f>
        <v/>
      </c>
      <c r="V912" s="35" t="n">
        <f aca="false">IF($H912="",0,IFERROR(INDEX(LevelBasic,MATCH($H912,LevelList,0))+INDEX(LevelHousing,MATCH($H912,LevelList,0))+INDEX(LevelTransport,MATCH($H912,LevelList,0))+INDEX(LevelBasic,MATCH($H912,LevelList,0))*INDEX(LevelBonus,MATCH($H912,LevelList,0))+(INDEX(LevelBasic,MATCH($H912,LevelList,0))+INDEX(LevelHousing,MATCH($H912,LevelList,0)))*GosiSaudi,0))</f>
        <v>0</v>
      </c>
      <c r="W912" s="35" t="n">
        <f aca="false">IFERROR(INDEX(LevelOneOff,MATCH($H912,LevelList,0)),0)</f>
        <v>0</v>
      </c>
      <c r="X912" s="35" t="str">
        <f aca="false">IF($G912="","",$V912*N($L912))</f>
        <v/>
      </c>
      <c r="Y912" s="35" t="str">
        <f aca="false">IF($G912="","",$V912*(N($M912)*1+N($N912)*0.75+N($O912)*0.5+N($P912)*0.25)+$W912*N($L912))</f>
        <v/>
      </c>
      <c r="Z912" s="35" t="str">
        <f aca="false">IF($G912="","",$U912*1000000+ROW())</f>
        <v/>
      </c>
      <c r="AA912" s="36" t="str">
        <f aca="false">IF($G912="","",MID(IF($C912="",", no division","")&amp;IF($E912="",", no unit","")&amp;IF($H912="",", no career level","")&amp;IF(N($L912)&lt;=0,", no quarter split","")&amp;IF($R912="",", no driver","")&amp;IF(AND($H912&lt;&gt;"",COUNTIF(CareerLevels,$H912)=0),", a career level that is not on the ladder","")&amp;IF(AND($R912&lt;&gt;"",COUNTIF(DriverList,$R912)=0),", a driver that is not on the list","")&amp;IF(ABS(N($L912)-(N($M912)+N($N912)+N($O912)+N($P912)))&gt;0.001,", a total that does not match its quarters",""),3,300))</f>
        <v/>
      </c>
    </row>
    <row r="913" customFormat="false" ht="15" hidden="false" customHeight="false" outlineLevel="0" collapsed="false">
      <c r="A913" s="33" t="str">
        <f aca="false">IF($G913="","","Human Resources Group")</f>
        <v/>
      </c>
      <c r="B913" s="19"/>
      <c r="C913" s="19"/>
      <c r="D913" s="19"/>
      <c r="E913" s="19"/>
      <c r="F913" s="19"/>
      <c r="G913" s="19"/>
      <c r="H913" s="19"/>
      <c r="I913" s="19"/>
      <c r="J913" s="19"/>
      <c r="K913" s="19"/>
      <c r="L913" s="19"/>
      <c r="M913" s="19"/>
      <c r="N913" s="19"/>
      <c r="O913" s="19"/>
      <c r="P913" s="19"/>
      <c r="Q913" s="19"/>
      <c r="R913" s="19"/>
      <c r="S913" s="19"/>
      <c r="T913" s="34" t="str">
        <f aca="false">IF($R913="","",IFERROR(INDEX(DriverCategory,MATCH($R913,DriverList,0)),"BAU"))</f>
        <v/>
      </c>
      <c r="U913" s="34" t="str">
        <f aca="false">IF($R913="","",IFERROR(INDEX(DriverRank,MATCH($R913,DriverList,0)),99))</f>
        <v/>
      </c>
      <c r="V913" s="35" t="n">
        <f aca="false">IF($H913="",0,IFERROR(INDEX(LevelBasic,MATCH($H913,LevelList,0))+INDEX(LevelHousing,MATCH($H913,LevelList,0))+INDEX(LevelTransport,MATCH($H913,LevelList,0))+INDEX(LevelBasic,MATCH($H913,LevelList,0))*INDEX(LevelBonus,MATCH($H913,LevelList,0))+(INDEX(LevelBasic,MATCH($H913,LevelList,0))+INDEX(LevelHousing,MATCH($H913,LevelList,0)))*GosiSaudi,0))</f>
        <v>0</v>
      </c>
      <c r="W913" s="35" t="n">
        <f aca="false">IFERROR(INDEX(LevelOneOff,MATCH($H913,LevelList,0)),0)</f>
        <v>0</v>
      </c>
      <c r="X913" s="35" t="str">
        <f aca="false">IF($G913="","",$V913*N($L913))</f>
        <v/>
      </c>
      <c r="Y913" s="35" t="str">
        <f aca="false">IF($G913="","",$V913*(N($M913)*1+N($N913)*0.75+N($O913)*0.5+N($P913)*0.25)+$W913*N($L913))</f>
        <v/>
      </c>
      <c r="Z913" s="35" t="str">
        <f aca="false">IF($G913="","",$U913*1000000+ROW())</f>
        <v/>
      </c>
      <c r="AA913" s="36" t="str">
        <f aca="false">IF($G913="","",MID(IF($C913="",", no division","")&amp;IF($E913="",", no unit","")&amp;IF($H913="",", no career level","")&amp;IF(N($L913)&lt;=0,", no quarter split","")&amp;IF($R913="",", no driver","")&amp;IF(AND($H913&lt;&gt;"",COUNTIF(CareerLevels,$H913)=0),", a career level that is not on the ladder","")&amp;IF(AND($R913&lt;&gt;"",COUNTIF(DriverList,$R913)=0),", a driver that is not on the list","")&amp;IF(ABS(N($L913)-(N($M913)+N($N913)+N($O913)+N($P913)))&gt;0.001,", a total that does not match its quarters",""),3,300))</f>
        <v/>
      </c>
    </row>
    <row r="914" customFormat="false" ht="15" hidden="false" customHeight="false" outlineLevel="0" collapsed="false">
      <c r="A914" s="33" t="str">
        <f aca="false">IF($G914="","","Human Resources Group")</f>
        <v/>
      </c>
      <c r="B914" s="19"/>
      <c r="C914" s="19"/>
      <c r="D914" s="19"/>
      <c r="E914" s="19"/>
      <c r="F914" s="19"/>
      <c r="G914" s="19"/>
      <c r="H914" s="19"/>
      <c r="I914" s="19"/>
      <c r="J914" s="19"/>
      <c r="K914" s="19"/>
      <c r="L914" s="19"/>
      <c r="M914" s="19"/>
      <c r="N914" s="19"/>
      <c r="O914" s="19"/>
      <c r="P914" s="19"/>
      <c r="Q914" s="19"/>
      <c r="R914" s="19"/>
      <c r="S914" s="19"/>
      <c r="T914" s="34" t="str">
        <f aca="false">IF($R914="","",IFERROR(INDEX(DriverCategory,MATCH($R914,DriverList,0)),"BAU"))</f>
        <v/>
      </c>
      <c r="U914" s="34" t="str">
        <f aca="false">IF($R914="","",IFERROR(INDEX(DriverRank,MATCH($R914,DriverList,0)),99))</f>
        <v/>
      </c>
      <c r="V914" s="35" t="n">
        <f aca="false">IF($H914="",0,IFERROR(INDEX(LevelBasic,MATCH($H914,LevelList,0))+INDEX(LevelHousing,MATCH($H914,LevelList,0))+INDEX(LevelTransport,MATCH($H914,LevelList,0))+INDEX(LevelBasic,MATCH($H914,LevelList,0))*INDEX(LevelBonus,MATCH($H914,LevelList,0))+(INDEX(LevelBasic,MATCH($H914,LevelList,0))+INDEX(LevelHousing,MATCH($H914,LevelList,0)))*GosiSaudi,0))</f>
        <v>0</v>
      </c>
      <c r="W914" s="35" t="n">
        <f aca="false">IFERROR(INDEX(LevelOneOff,MATCH($H914,LevelList,0)),0)</f>
        <v>0</v>
      </c>
      <c r="X914" s="35" t="str">
        <f aca="false">IF($G914="","",$V914*N($L914))</f>
        <v/>
      </c>
      <c r="Y914" s="35" t="str">
        <f aca="false">IF($G914="","",$V914*(N($M914)*1+N($N914)*0.75+N($O914)*0.5+N($P914)*0.25)+$W914*N($L914))</f>
        <v/>
      </c>
      <c r="Z914" s="35" t="str">
        <f aca="false">IF($G914="","",$U914*1000000+ROW())</f>
        <v/>
      </c>
      <c r="AA914" s="36" t="str">
        <f aca="false">IF($G914="","",MID(IF($C914="",", no division","")&amp;IF($E914="",", no unit","")&amp;IF($H914="",", no career level","")&amp;IF(N($L914)&lt;=0,", no quarter split","")&amp;IF($R914="",", no driver","")&amp;IF(AND($H914&lt;&gt;"",COUNTIF(CareerLevels,$H914)=0),", a career level that is not on the ladder","")&amp;IF(AND($R914&lt;&gt;"",COUNTIF(DriverList,$R914)=0),", a driver that is not on the list","")&amp;IF(ABS(N($L914)-(N($M914)+N($N914)+N($O914)+N($P914)))&gt;0.001,", a total that does not match its quarters",""),3,300))</f>
        <v/>
      </c>
    </row>
    <row r="915" customFormat="false" ht="15" hidden="false" customHeight="false" outlineLevel="0" collapsed="false">
      <c r="A915" s="33" t="str">
        <f aca="false">IF($G915="","","Human Resources Group")</f>
        <v/>
      </c>
      <c r="B915" s="19"/>
      <c r="C915" s="19"/>
      <c r="D915" s="19"/>
      <c r="E915" s="19"/>
      <c r="F915" s="19"/>
      <c r="G915" s="19"/>
      <c r="H915" s="19"/>
      <c r="I915" s="19"/>
      <c r="J915" s="19"/>
      <c r="K915" s="19"/>
      <c r="L915" s="19"/>
      <c r="M915" s="19"/>
      <c r="N915" s="19"/>
      <c r="O915" s="19"/>
      <c r="P915" s="19"/>
      <c r="Q915" s="19"/>
      <c r="R915" s="19"/>
      <c r="S915" s="19"/>
      <c r="T915" s="34" t="str">
        <f aca="false">IF($R915="","",IFERROR(INDEX(DriverCategory,MATCH($R915,DriverList,0)),"BAU"))</f>
        <v/>
      </c>
      <c r="U915" s="34" t="str">
        <f aca="false">IF($R915="","",IFERROR(INDEX(DriverRank,MATCH($R915,DriverList,0)),99))</f>
        <v/>
      </c>
      <c r="V915" s="35" t="n">
        <f aca="false">IF($H915="",0,IFERROR(INDEX(LevelBasic,MATCH($H915,LevelList,0))+INDEX(LevelHousing,MATCH($H915,LevelList,0))+INDEX(LevelTransport,MATCH($H915,LevelList,0))+INDEX(LevelBasic,MATCH($H915,LevelList,0))*INDEX(LevelBonus,MATCH($H915,LevelList,0))+(INDEX(LevelBasic,MATCH($H915,LevelList,0))+INDEX(LevelHousing,MATCH($H915,LevelList,0)))*GosiSaudi,0))</f>
        <v>0</v>
      </c>
      <c r="W915" s="35" t="n">
        <f aca="false">IFERROR(INDEX(LevelOneOff,MATCH($H915,LevelList,0)),0)</f>
        <v>0</v>
      </c>
      <c r="X915" s="35" t="str">
        <f aca="false">IF($G915="","",$V915*N($L915))</f>
        <v/>
      </c>
      <c r="Y915" s="35" t="str">
        <f aca="false">IF($G915="","",$V915*(N($M915)*1+N($N915)*0.75+N($O915)*0.5+N($P915)*0.25)+$W915*N($L915))</f>
        <v/>
      </c>
      <c r="Z915" s="35" t="str">
        <f aca="false">IF($G915="","",$U915*1000000+ROW())</f>
        <v/>
      </c>
      <c r="AA915" s="36" t="str">
        <f aca="false">IF($G915="","",MID(IF($C915="",", no division","")&amp;IF($E915="",", no unit","")&amp;IF($H915="",", no career level","")&amp;IF(N($L915)&lt;=0,", no quarter split","")&amp;IF($R915="",", no driver","")&amp;IF(AND($H915&lt;&gt;"",COUNTIF(CareerLevels,$H915)=0),", a career level that is not on the ladder","")&amp;IF(AND($R915&lt;&gt;"",COUNTIF(DriverList,$R915)=0),", a driver that is not on the list","")&amp;IF(ABS(N($L915)-(N($M915)+N($N915)+N($O915)+N($P915)))&gt;0.001,", a total that does not match its quarters",""),3,300))</f>
        <v/>
      </c>
    </row>
    <row r="916" customFormat="false" ht="15" hidden="false" customHeight="false" outlineLevel="0" collapsed="false">
      <c r="A916" s="33" t="str">
        <f aca="false">IF($G916="","","Human Resources Group")</f>
        <v/>
      </c>
      <c r="B916" s="19"/>
      <c r="C916" s="19"/>
      <c r="D916" s="19"/>
      <c r="E916" s="19"/>
      <c r="F916" s="19"/>
      <c r="G916" s="19"/>
      <c r="H916" s="19"/>
      <c r="I916" s="19"/>
      <c r="J916" s="19"/>
      <c r="K916" s="19"/>
      <c r="L916" s="19"/>
      <c r="M916" s="19"/>
      <c r="N916" s="19"/>
      <c r="O916" s="19"/>
      <c r="P916" s="19"/>
      <c r="Q916" s="19"/>
      <c r="R916" s="19"/>
      <c r="S916" s="19"/>
      <c r="T916" s="34" t="str">
        <f aca="false">IF($R916="","",IFERROR(INDEX(DriverCategory,MATCH($R916,DriverList,0)),"BAU"))</f>
        <v/>
      </c>
      <c r="U916" s="34" t="str">
        <f aca="false">IF($R916="","",IFERROR(INDEX(DriverRank,MATCH($R916,DriverList,0)),99))</f>
        <v/>
      </c>
      <c r="V916" s="35" t="n">
        <f aca="false">IF($H916="",0,IFERROR(INDEX(LevelBasic,MATCH($H916,LevelList,0))+INDEX(LevelHousing,MATCH($H916,LevelList,0))+INDEX(LevelTransport,MATCH($H916,LevelList,0))+INDEX(LevelBasic,MATCH($H916,LevelList,0))*INDEX(LevelBonus,MATCH($H916,LevelList,0))+(INDEX(LevelBasic,MATCH($H916,LevelList,0))+INDEX(LevelHousing,MATCH($H916,LevelList,0)))*GosiSaudi,0))</f>
        <v>0</v>
      </c>
      <c r="W916" s="35" t="n">
        <f aca="false">IFERROR(INDEX(LevelOneOff,MATCH($H916,LevelList,0)),0)</f>
        <v>0</v>
      </c>
      <c r="X916" s="35" t="str">
        <f aca="false">IF($G916="","",$V916*N($L916))</f>
        <v/>
      </c>
      <c r="Y916" s="35" t="str">
        <f aca="false">IF($G916="","",$V916*(N($M916)*1+N($N916)*0.75+N($O916)*0.5+N($P916)*0.25)+$W916*N($L916))</f>
        <v/>
      </c>
      <c r="Z916" s="35" t="str">
        <f aca="false">IF($G916="","",$U916*1000000+ROW())</f>
        <v/>
      </c>
      <c r="AA916" s="36" t="str">
        <f aca="false">IF($G916="","",MID(IF($C916="",", no division","")&amp;IF($E916="",", no unit","")&amp;IF($H916="",", no career level","")&amp;IF(N($L916)&lt;=0,", no quarter split","")&amp;IF($R916="",", no driver","")&amp;IF(AND($H916&lt;&gt;"",COUNTIF(CareerLevels,$H916)=0),", a career level that is not on the ladder","")&amp;IF(AND($R916&lt;&gt;"",COUNTIF(DriverList,$R916)=0),", a driver that is not on the list","")&amp;IF(ABS(N($L916)-(N($M916)+N($N916)+N($O916)+N($P916)))&gt;0.001,", a total that does not match its quarters",""),3,300))</f>
        <v/>
      </c>
    </row>
    <row r="917" customFormat="false" ht="15" hidden="false" customHeight="false" outlineLevel="0" collapsed="false">
      <c r="A917" s="33" t="str">
        <f aca="false">IF($G917="","","Human Resources Group")</f>
        <v/>
      </c>
      <c r="B917" s="19"/>
      <c r="C917" s="19"/>
      <c r="D917" s="19"/>
      <c r="E917" s="19"/>
      <c r="F917" s="19"/>
      <c r="G917" s="19"/>
      <c r="H917" s="19"/>
      <c r="I917" s="19"/>
      <c r="J917" s="19"/>
      <c r="K917" s="19"/>
      <c r="L917" s="19"/>
      <c r="M917" s="19"/>
      <c r="N917" s="19"/>
      <c r="O917" s="19"/>
      <c r="P917" s="19"/>
      <c r="Q917" s="19"/>
      <c r="R917" s="19"/>
      <c r="S917" s="19"/>
      <c r="T917" s="34" t="str">
        <f aca="false">IF($R917="","",IFERROR(INDEX(DriverCategory,MATCH($R917,DriverList,0)),"BAU"))</f>
        <v/>
      </c>
      <c r="U917" s="34" t="str">
        <f aca="false">IF($R917="","",IFERROR(INDEX(DriverRank,MATCH($R917,DriverList,0)),99))</f>
        <v/>
      </c>
      <c r="V917" s="35" t="n">
        <f aca="false">IF($H917="",0,IFERROR(INDEX(LevelBasic,MATCH($H917,LevelList,0))+INDEX(LevelHousing,MATCH($H917,LevelList,0))+INDEX(LevelTransport,MATCH($H917,LevelList,0))+INDEX(LevelBasic,MATCH($H917,LevelList,0))*INDEX(LevelBonus,MATCH($H917,LevelList,0))+(INDEX(LevelBasic,MATCH($H917,LevelList,0))+INDEX(LevelHousing,MATCH($H917,LevelList,0)))*GosiSaudi,0))</f>
        <v>0</v>
      </c>
      <c r="W917" s="35" t="n">
        <f aca="false">IFERROR(INDEX(LevelOneOff,MATCH($H917,LevelList,0)),0)</f>
        <v>0</v>
      </c>
      <c r="X917" s="35" t="str">
        <f aca="false">IF($G917="","",$V917*N($L917))</f>
        <v/>
      </c>
      <c r="Y917" s="35" t="str">
        <f aca="false">IF($G917="","",$V917*(N($M917)*1+N($N917)*0.75+N($O917)*0.5+N($P917)*0.25)+$W917*N($L917))</f>
        <v/>
      </c>
      <c r="Z917" s="35" t="str">
        <f aca="false">IF($G917="","",$U917*1000000+ROW())</f>
        <v/>
      </c>
      <c r="AA917" s="36" t="str">
        <f aca="false">IF($G917="","",MID(IF($C917="",", no division","")&amp;IF($E917="",", no unit","")&amp;IF($H917="",", no career level","")&amp;IF(N($L917)&lt;=0,", no quarter split","")&amp;IF($R917="",", no driver","")&amp;IF(AND($H917&lt;&gt;"",COUNTIF(CareerLevels,$H917)=0),", a career level that is not on the ladder","")&amp;IF(AND($R917&lt;&gt;"",COUNTIF(DriverList,$R917)=0),", a driver that is not on the list","")&amp;IF(ABS(N($L917)-(N($M917)+N($N917)+N($O917)+N($P917)))&gt;0.001,", a total that does not match its quarters",""),3,300))</f>
        <v/>
      </c>
    </row>
    <row r="918" customFormat="false" ht="15" hidden="false" customHeight="false" outlineLevel="0" collapsed="false">
      <c r="A918" s="33" t="str">
        <f aca="false">IF($G918="","","Human Resources Group")</f>
        <v/>
      </c>
      <c r="B918" s="19"/>
      <c r="C918" s="19"/>
      <c r="D918" s="19"/>
      <c r="E918" s="19"/>
      <c r="F918" s="19"/>
      <c r="G918" s="19"/>
      <c r="H918" s="19"/>
      <c r="I918" s="19"/>
      <c r="J918" s="19"/>
      <c r="K918" s="19"/>
      <c r="L918" s="19"/>
      <c r="M918" s="19"/>
      <c r="N918" s="19"/>
      <c r="O918" s="19"/>
      <c r="P918" s="19"/>
      <c r="Q918" s="19"/>
      <c r="R918" s="19"/>
      <c r="S918" s="19"/>
      <c r="T918" s="34" t="str">
        <f aca="false">IF($R918="","",IFERROR(INDEX(DriverCategory,MATCH($R918,DriverList,0)),"BAU"))</f>
        <v/>
      </c>
      <c r="U918" s="34" t="str">
        <f aca="false">IF($R918="","",IFERROR(INDEX(DriverRank,MATCH($R918,DriverList,0)),99))</f>
        <v/>
      </c>
      <c r="V918" s="35" t="n">
        <f aca="false">IF($H918="",0,IFERROR(INDEX(LevelBasic,MATCH($H918,LevelList,0))+INDEX(LevelHousing,MATCH($H918,LevelList,0))+INDEX(LevelTransport,MATCH($H918,LevelList,0))+INDEX(LevelBasic,MATCH($H918,LevelList,0))*INDEX(LevelBonus,MATCH($H918,LevelList,0))+(INDEX(LevelBasic,MATCH($H918,LevelList,0))+INDEX(LevelHousing,MATCH($H918,LevelList,0)))*GosiSaudi,0))</f>
        <v>0</v>
      </c>
      <c r="W918" s="35" t="n">
        <f aca="false">IFERROR(INDEX(LevelOneOff,MATCH($H918,LevelList,0)),0)</f>
        <v>0</v>
      </c>
      <c r="X918" s="35" t="str">
        <f aca="false">IF($G918="","",$V918*N($L918))</f>
        <v/>
      </c>
      <c r="Y918" s="35" t="str">
        <f aca="false">IF($G918="","",$V918*(N($M918)*1+N($N918)*0.75+N($O918)*0.5+N($P918)*0.25)+$W918*N($L918))</f>
        <v/>
      </c>
      <c r="Z918" s="35" t="str">
        <f aca="false">IF($G918="","",$U918*1000000+ROW())</f>
        <v/>
      </c>
      <c r="AA918" s="36" t="str">
        <f aca="false">IF($G918="","",MID(IF($C918="",", no division","")&amp;IF($E918="",", no unit","")&amp;IF($H918="",", no career level","")&amp;IF(N($L918)&lt;=0,", no quarter split","")&amp;IF($R918="",", no driver","")&amp;IF(AND($H918&lt;&gt;"",COUNTIF(CareerLevels,$H918)=0),", a career level that is not on the ladder","")&amp;IF(AND($R918&lt;&gt;"",COUNTIF(DriverList,$R918)=0),", a driver that is not on the list","")&amp;IF(ABS(N($L918)-(N($M918)+N($N918)+N($O918)+N($P918)))&gt;0.001,", a total that does not match its quarters",""),3,300))</f>
        <v/>
      </c>
    </row>
    <row r="919" customFormat="false" ht="15" hidden="false" customHeight="false" outlineLevel="0" collapsed="false">
      <c r="A919" s="33" t="str">
        <f aca="false">IF($G919="","","Human Resources Group")</f>
        <v/>
      </c>
      <c r="B919" s="19"/>
      <c r="C919" s="19"/>
      <c r="D919" s="19"/>
      <c r="E919" s="19"/>
      <c r="F919" s="19"/>
      <c r="G919" s="19"/>
      <c r="H919" s="19"/>
      <c r="I919" s="19"/>
      <c r="J919" s="19"/>
      <c r="K919" s="19"/>
      <c r="L919" s="19"/>
      <c r="M919" s="19"/>
      <c r="N919" s="19"/>
      <c r="O919" s="19"/>
      <c r="P919" s="19"/>
      <c r="Q919" s="19"/>
      <c r="R919" s="19"/>
      <c r="S919" s="19"/>
      <c r="T919" s="34" t="str">
        <f aca="false">IF($R919="","",IFERROR(INDEX(DriverCategory,MATCH($R919,DriverList,0)),"BAU"))</f>
        <v/>
      </c>
      <c r="U919" s="34" t="str">
        <f aca="false">IF($R919="","",IFERROR(INDEX(DriverRank,MATCH($R919,DriverList,0)),99))</f>
        <v/>
      </c>
      <c r="V919" s="35" t="n">
        <f aca="false">IF($H919="",0,IFERROR(INDEX(LevelBasic,MATCH($H919,LevelList,0))+INDEX(LevelHousing,MATCH($H919,LevelList,0))+INDEX(LevelTransport,MATCH($H919,LevelList,0))+INDEX(LevelBasic,MATCH($H919,LevelList,0))*INDEX(LevelBonus,MATCH($H919,LevelList,0))+(INDEX(LevelBasic,MATCH($H919,LevelList,0))+INDEX(LevelHousing,MATCH($H919,LevelList,0)))*GosiSaudi,0))</f>
        <v>0</v>
      </c>
      <c r="W919" s="35" t="n">
        <f aca="false">IFERROR(INDEX(LevelOneOff,MATCH($H919,LevelList,0)),0)</f>
        <v>0</v>
      </c>
      <c r="X919" s="35" t="str">
        <f aca="false">IF($G919="","",$V919*N($L919))</f>
        <v/>
      </c>
      <c r="Y919" s="35" t="str">
        <f aca="false">IF($G919="","",$V919*(N($M919)*1+N($N919)*0.75+N($O919)*0.5+N($P919)*0.25)+$W919*N($L919))</f>
        <v/>
      </c>
      <c r="Z919" s="35" t="str">
        <f aca="false">IF($G919="","",$U919*1000000+ROW())</f>
        <v/>
      </c>
      <c r="AA919" s="36" t="str">
        <f aca="false">IF($G919="","",MID(IF($C919="",", no division","")&amp;IF($E919="",", no unit","")&amp;IF($H919="",", no career level","")&amp;IF(N($L919)&lt;=0,", no quarter split","")&amp;IF($R919="",", no driver","")&amp;IF(AND($H919&lt;&gt;"",COUNTIF(CareerLevels,$H919)=0),", a career level that is not on the ladder","")&amp;IF(AND($R919&lt;&gt;"",COUNTIF(DriverList,$R919)=0),", a driver that is not on the list","")&amp;IF(ABS(N($L919)-(N($M919)+N($N919)+N($O919)+N($P919)))&gt;0.001,", a total that does not match its quarters",""),3,300))</f>
        <v/>
      </c>
    </row>
    <row r="920" customFormat="false" ht="15" hidden="false" customHeight="false" outlineLevel="0" collapsed="false">
      <c r="A920" s="33" t="str">
        <f aca="false">IF($G920="","","Human Resources Group")</f>
        <v/>
      </c>
      <c r="B920" s="19"/>
      <c r="C920" s="19"/>
      <c r="D920" s="19"/>
      <c r="E920" s="19"/>
      <c r="F920" s="19"/>
      <c r="G920" s="19"/>
      <c r="H920" s="19"/>
      <c r="I920" s="19"/>
      <c r="J920" s="19"/>
      <c r="K920" s="19"/>
      <c r="L920" s="19"/>
      <c r="M920" s="19"/>
      <c r="N920" s="19"/>
      <c r="O920" s="19"/>
      <c r="P920" s="19"/>
      <c r="Q920" s="19"/>
      <c r="R920" s="19"/>
      <c r="S920" s="19"/>
      <c r="T920" s="34" t="str">
        <f aca="false">IF($R920="","",IFERROR(INDEX(DriverCategory,MATCH($R920,DriverList,0)),"BAU"))</f>
        <v/>
      </c>
      <c r="U920" s="34" t="str">
        <f aca="false">IF($R920="","",IFERROR(INDEX(DriverRank,MATCH($R920,DriverList,0)),99))</f>
        <v/>
      </c>
      <c r="V920" s="35" t="n">
        <f aca="false">IF($H920="",0,IFERROR(INDEX(LevelBasic,MATCH($H920,LevelList,0))+INDEX(LevelHousing,MATCH($H920,LevelList,0))+INDEX(LevelTransport,MATCH($H920,LevelList,0))+INDEX(LevelBasic,MATCH($H920,LevelList,0))*INDEX(LevelBonus,MATCH($H920,LevelList,0))+(INDEX(LevelBasic,MATCH($H920,LevelList,0))+INDEX(LevelHousing,MATCH($H920,LevelList,0)))*GosiSaudi,0))</f>
        <v>0</v>
      </c>
      <c r="W920" s="35" t="n">
        <f aca="false">IFERROR(INDEX(LevelOneOff,MATCH($H920,LevelList,0)),0)</f>
        <v>0</v>
      </c>
      <c r="X920" s="35" t="str">
        <f aca="false">IF($G920="","",$V920*N($L920))</f>
        <v/>
      </c>
      <c r="Y920" s="35" t="str">
        <f aca="false">IF($G920="","",$V920*(N($M920)*1+N($N920)*0.75+N($O920)*0.5+N($P920)*0.25)+$W920*N($L920))</f>
        <v/>
      </c>
      <c r="Z920" s="35" t="str">
        <f aca="false">IF($G920="","",$U920*1000000+ROW())</f>
        <v/>
      </c>
      <c r="AA920" s="36" t="str">
        <f aca="false">IF($G920="","",MID(IF($C920="",", no division","")&amp;IF($E920="",", no unit","")&amp;IF($H920="",", no career level","")&amp;IF(N($L920)&lt;=0,", no quarter split","")&amp;IF($R920="",", no driver","")&amp;IF(AND($H920&lt;&gt;"",COUNTIF(CareerLevels,$H920)=0),", a career level that is not on the ladder","")&amp;IF(AND($R920&lt;&gt;"",COUNTIF(DriverList,$R920)=0),", a driver that is not on the list","")&amp;IF(ABS(N($L920)-(N($M920)+N($N920)+N($O920)+N($P920)))&gt;0.001,", a total that does not match its quarters",""),3,300))</f>
        <v/>
      </c>
    </row>
    <row r="921" customFormat="false" ht="15" hidden="false" customHeight="false" outlineLevel="0" collapsed="false">
      <c r="A921" s="33" t="str">
        <f aca="false">IF($G921="","","Human Resources Group")</f>
        <v/>
      </c>
      <c r="B921" s="19"/>
      <c r="C921" s="19"/>
      <c r="D921" s="19"/>
      <c r="E921" s="19"/>
      <c r="F921" s="19"/>
      <c r="G921" s="19"/>
      <c r="H921" s="19"/>
      <c r="I921" s="19"/>
      <c r="J921" s="19"/>
      <c r="K921" s="19"/>
      <c r="L921" s="19"/>
      <c r="M921" s="19"/>
      <c r="N921" s="19"/>
      <c r="O921" s="19"/>
      <c r="P921" s="19"/>
      <c r="Q921" s="19"/>
      <c r="R921" s="19"/>
      <c r="S921" s="19"/>
      <c r="T921" s="34" t="str">
        <f aca="false">IF($R921="","",IFERROR(INDEX(DriverCategory,MATCH($R921,DriverList,0)),"BAU"))</f>
        <v/>
      </c>
      <c r="U921" s="34" t="str">
        <f aca="false">IF($R921="","",IFERROR(INDEX(DriverRank,MATCH($R921,DriverList,0)),99))</f>
        <v/>
      </c>
      <c r="V921" s="35" t="n">
        <f aca="false">IF($H921="",0,IFERROR(INDEX(LevelBasic,MATCH($H921,LevelList,0))+INDEX(LevelHousing,MATCH($H921,LevelList,0))+INDEX(LevelTransport,MATCH($H921,LevelList,0))+INDEX(LevelBasic,MATCH($H921,LevelList,0))*INDEX(LevelBonus,MATCH($H921,LevelList,0))+(INDEX(LevelBasic,MATCH($H921,LevelList,0))+INDEX(LevelHousing,MATCH($H921,LevelList,0)))*GosiSaudi,0))</f>
        <v>0</v>
      </c>
      <c r="W921" s="35" t="n">
        <f aca="false">IFERROR(INDEX(LevelOneOff,MATCH($H921,LevelList,0)),0)</f>
        <v>0</v>
      </c>
      <c r="X921" s="35" t="str">
        <f aca="false">IF($G921="","",$V921*N($L921))</f>
        <v/>
      </c>
      <c r="Y921" s="35" t="str">
        <f aca="false">IF($G921="","",$V921*(N($M921)*1+N($N921)*0.75+N($O921)*0.5+N($P921)*0.25)+$W921*N($L921))</f>
        <v/>
      </c>
      <c r="Z921" s="35" t="str">
        <f aca="false">IF($G921="","",$U921*1000000+ROW())</f>
        <v/>
      </c>
      <c r="AA921" s="36" t="str">
        <f aca="false">IF($G921="","",MID(IF($C921="",", no division","")&amp;IF($E921="",", no unit","")&amp;IF($H921="",", no career level","")&amp;IF(N($L921)&lt;=0,", no quarter split","")&amp;IF($R921="",", no driver","")&amp;IF(AND($H921&lt;&gt;"",COUNTIF(CareerLevels,$H921)=0),", a career level that is not on the ladder","")&amp;IF(AND($R921&lt;&gt;"",COUNTIF(DriverList,$R921)=0),", a driver that is not on the list","")&amp;IF(ABS(N($L921)-(N($M921)+N($N921)+N($O921)+N($P921)))&gt;0.001,", a total that does not match its quarters",""),3,300))</f>
        <v/>
      </c>
    </row>
    <row r="922" customFormat="false" ht="15" hidden="false" customHeight="false" outlineLevel="0" collapsed="false">
      <c r="A922" s="33" t="str">
        <f aca="false">IF($G922="","","Human Resources Group")</f>
        <v/>
      </c>
      <c r="B922" s="19"/>
      <c r="C922" s="19"/>
      <c r="D922" s="19"/>
      <c r="E922" s="19"/>
      <c r="F922" s="19"/>
      <c r="G922" s="19"/>
      <c r="H922" s="19"/>
      <c r="I922" s="19"/>
      <c r="J922" s="19"/>
      <c r="K922" s="19"/>
      <c r="L922" s="19"/>
      <c r="M922" s="19"/>
      <c r="N922" s="19"/>
      <c r="O922" s="19"/>
      <c r="P922" s="19"/>
      <c r="Q922" s="19"/>
      <c r="R922" s="19"/>
      <c r="S922" s="19"/>
      <c r="T922" s="34" t="str">
        <f aca="false">IF($R922="","",IFERROR(INDEX(DriverCategory,MATCH($R922,DriverList,0)),"BAU"))</f>
        <v/>
      </c>
      <c r="U922" s="34" t="str">
        <f aca="false">IF($R922="","",IFERROR(INDEX(DriverRank,MATCH($R922,DriverList,0)),99))</f>
        <v/>
      </c>
      <c r="V922" s="35" t="n">
        <f aca="false">IF($H922="",0,IFERROR(INDEX(LevelBasic,MATCH($H922,LevelList,0))+INDEX(LevelHousing,MATCH($H922,LevelList,0))+INDEX(LevelTransport,MATCH($H922,LevelList,0))+INDEX(LevelBasic,MATCH($H922,LevelList,0))*INDEX(LevelBonus,MATCH($H922,LevelList,0))+(INDEX(LevelBasic,MATCH($H922,LevelList,0))+INDEX(LevelHousing,MATCH($H922,LevelList,0)))*GosiSaudi,0))</f>
        <v>0</v>
      </c>
      <c r="W922" s="35" t="n">
        <f aca="false">IFERROR(INDEX(LevelOneOff,MATCH($H922,LevelList,0)),0)</f>
        <v>0</v>
      </c>
      <c r="X922" s="35" t="str">
        <f aca="false">IF($G922="","",$V922*N($L922))</f>
        <v/>
      </c>
      <c r="Y922" s="35" t="str">
        <f aca="false">IF($G922="","",$V922*(N($M922)*1+N($N922)*0.75+N($O922)*0.5+N($P922)*0.25)+$W922*N($L922))</f>
        <v/>
      </c>
      <c r="Z922" s="35" t="str">
        <f aca="false">IF($G922="","",$U922*1000000+ROW())</f>
        <v/>
      </c>
      <c r="AA922" s="36" t="str">
        <f aca="false">IF($G922="","",MID(IF($C922="",", no division","")&amp;IF($E922="",", no unit","")&amp;IF($H922="",", no career level","")&amp;IF(N($L922)&lt;=0,", no quarter split","")&amp;IF($R922="",", no driver","")&amp;IF(AND($H922&lt;&gt;"",COUNTIF(CareerLevels,$H922)=0),", a career level that is not on the ladder","")&amp;IF(AND($R922&lt;&gt;"",COUNTIF(DriverList,$R922)=0),", a driver that is not on the list","")&amp;IF(ABS(N($L922)-(N($M922)+N($N922)+N($O922)+N($P922)))&gt;0.001,", a total that does not match its quarters",""),3,300))</f>
        <v/>
      </c>
    </row>
    <row r="923" customFormat="false" ht="15" hidden="false" customHeight="false" outlineLevel="0" collapsed="false">
      <c r="A923" s="33" t="str">
        <f aca="false">IF($G923="","","Human Resources Group")</f>
        <v/>
      </c>
      <c r="B923" s="19"/>
      <c r="C923" s="19"/>
      <c r="D923" s="19"/>
      <c r="E923" s="19"/>
      <c r="F923" s="19"/>
      <c r="G923" s="19"/>
      <c r="H923" s="19"/>
      <c r="I923" s="19"/>
      <c r="J923" s="19"/>
      <c r="K923" s="19"/>
      <c r="L923" s="19"/>
      <c r="M923" s="19"/>
      <c r="N923" s="19"/>
      <c r="O923" s="19"/>
      <c r="P923" s="19"/>
      <c r="Q923" s="19"/>
      <c r="R923" s="19"/>
      <c r="S923" s="19"/>
      <c r="T923" s="34" t="str">
        <f aca="false">IF($R923="","",IFERROR(INDEX(DriverCategory,MATCH($R923,DriverList,0)),"BAU"))</f>
        <v/>
      </c>
      <c r="U923" s="34" t="str">
        <f aca="false">IF($R923="","",IFERROR(INDEX(DriverRank,MATCH($R923,DriverList,0)),99))</f>
        <v/>
      </c>
      <c r="V923" s="35" t="n">
        <f aca="false">IF($H923="",0,IFERROR(INDEX(LevelBasic,MATCH($H923,LevelList,0))+INDEX(LevelHousing,MATCH($H923,LevelList,0))+INDEX(LevelTransport,MATCH($H923,LevelList,0))+INDEX(LevelBasic,MATCH($H923,LevelList,0))*INDEX(LevelBonus,MATCH($H923,LevelList,0))+(INDEX(LevelBasic,MATCH($H923,LevelList,0))+INDEX(LevelHousing,MATCH($H923,LevelList,0)))*GosiSaudi,0))</f>
        <v>0</v>
      </c>
      <c r="W923" s="35" t="n">
        <f aca="false">IFERROR(INDEX(LevelOneOff,MATCH($H923,LevelList,0)),0)</f>
        <v>0</v>
      </c>
      <c r="X923" s="35" t="str">
        <f aca="false">IF($G923="","",$V923*N($L923))</f>
        <v/>
      </c>
      <c r="Y923" s="35" t="str">
        <f aca="false">IF($G923="","",$V923*(N($M923)*1+N($N923)*0.75+N($O923)*0.5+N($P923)*0.25)+$W923*N($L923))</f>
        <v/>
      </c>
      <c r="Z923" s="35" t="str">
        <f aca="false">IF($G923="","",$U923*1000000+ROW())</f>
        <v/>
      </c>
      <c r="AA923" s="36" t="str">
        <f aca="false">IF($G923="","",MID(IF($C923="",", no division","")&amp;IF($E923="",", no unit","")&amp;IF($H923="",", no career level","")&amp;IF(N($L923)&lt;=0,", no quarter split","")&amp;IF($R923="",", no driver","")&amp;IF(AND($H923&lt;&gt;"",COUNTIF(CareerLevels,$H923)=0),", a career level that is not on the ladder","")&amp;IF(AND($R923&lt;&gt;"",COUNTIF(DriverList,$R923)=0),", a driver that is not on the list","")&amp;IF(ABS(N($L923)-(N($M923)+N($N923)+N($O923)+N($P923)))&gt;0.001,", a total that does not match its quarters",""),3,300))</f>
        <v/>
      </c>
    </row>
    <row r="924" customFormat="false" ht="15" hidden="false" customHeight="false" outlineLevel="0" collapsed="false">
      <c r="A924" s="33" t="str">
        <f aca="false">IF($G924="","","Human Resources Group")</f>
        <v/>
      </c>
      <c r="B924" s="19"/>
      <c r="C924" s="19"/>
      <c r="D924" s="19"/>
      <c r="E924" s="19"/>
      <c r="F924" s="19"/>
      <c r="G924" s="19"/>
      <c r="H924" s="19"/>
      <c r="I924" s="19"/>
      <c r="J924" s="19"/>
      <c r="K924" s="19"/>
      <c r="L924" s="19"/>
      <c r="M924" s="19"/>
      <c r="N924" s="19"/>
      <c r="O924" s="19"/>
      <c r="P924" s="19"/>
      <c r="Q924" s="19"/>
      <c r="R924" s="19"/>
      <c r="S924" s="19"/>
      <c r="T924" s="34" t="str">
        <f aca="false">IF($R924="","",IFERROR(INDEX(DriverCategory,MATCH($R924,DriverList,0)),"BAU"))</f>
        <v/>
      </c>
      <c r="U924" s="34" t="str">
        <f aca="false">IF($R924="","",IFERROR(INDEX(DriverRank,MATCH($R924,DriverList,0)),99))</f>
        <v/>
      </c>
      <c r="V924" s="35" t="n">
        <f aca="false">IF($H924="",0,IFERROR(INDEX(LevelBasic,MATCH($H924,LevelList,0))+INDEX(LevelHousing,MATCH($H924,LevelList,0))+INDEX(LevelTransport,MATCH($H924,LevelList,0))+INDEX(LevelBasic,MATCH($H924,LevelList,0))*INDEX(LevelBonus,MATCH($H924,LevelList,0))+(INDEX(LevelBasic,MATCH($H924,LevelList,0))+INDEX(LevelHousing,MATCH($H924,LevelList,0)))*GosiSaudi,0))</f>
        <v>0</v>
      </c>
      <c r="W924" s="35" t="n">
        <f aca="false">IFERROR(INDEX(LevelOneOff,MATCH($H924,LevelList,0)),0)</f>
        <v>0</v>
      </c>
      <c r="X924" s="35" t="str">
        <f aca="false">IF($G924="","",$V924*N($L924))</f>
        <v/>
      </c>
      <c r="Y924" s="35" t="str">
        <f aca="false">IF($G924="","",$V924*(N($M924)*1+N($N924)*0.75+N($O924)*0.5+N($P924)*0.25)+$W924*N($L924))</f>
        <v/>
      </c>
      <c r="Z924" s="35" t="str">
        <f aca="false">IF($G924="","",$U924*1000000+ROW())</f>
        <v/>
      </c>
      <c r="AA924" s="36" t="str">
        <f aca="false">IF($G924="","",MID(IF($C924="",", no division","")&amp;IF($E924="",", no unit","")&amp;IF($H924="",", no career level","")&amp;IF(N($L924)&lt;=0,", no quarter split","")&amp;IF($R924="",", no driver","")&amp;IF(AND($H924&lt;&gt;"",COUNTIF(CareerLevels,$H924)=0),", a career level that is not on the ladder","")&amp;IF(AND($R924&lt;&gt;"",COUNTIF(DriverList,$R924)=0),", a driver that is not on the list","")&amp;IF(ABS(N($L924)-(N($M924)+N($N924)+N($O924)+N($P924)))&gt;0.001,", a total that does not match its quarters",""),3,300))</f>
        <v/>
      </c>
    </row>
    <row r="925" customFormat="false" ht="15" hidden="false" customHeight="false" outlineLevel="0" collapsed="false">
      <c r="A925" s="33" t="str">
        <f aca="false">IF($G925="","","Human Resources Group")</f>
        <v/>
      </c>
      <c r="B925" s="19"/>
      <c r="C925" s="19"/>
      <c r="D925" s="19"/>
      <c r="E925" s="19"/>
      <c r="F925" s="19"/>
      <c r="G925" s="19"/>
      <c r="H925" s="19"/>
      <c r="I925" s="19"/>
      <c r="J925" s="19"/>
      <c r="K925" s="19"/>
      <c r="L925" s="19"/>
      <c r="M925" s="19"/>
      <c r="N925" s="19"/>
      <c r="O925" s="19"/>
      <c r="P925" s="19"/>
      <c r="Q925" s="19"/>
      <c r="R925" s="19"/>
      <c r="S925" s="19"/>
      <c r="T925" s="34" t="str">
        <f aca="false">IF($R925="","",IFERROR(INDEX(DriverCategory,MATCH($R925,DriverList,0)),"BAU"))</f>
        <v/>
      </c>
      <c r="U925" s="34" t="str">
        <f aca="false">IF($R925="","",IFERROR(INDEX(DriverRank,MATCH($R925,DriverList,0)),99))</f>
        <v/>
      </c>
      <c r="V925" s="35" t="n">
        <f aca="false">IF($H925="",0,IFERROR(INDEX(LevelBasic,MATCH($H925,LevelList,0))+INDEX(LevelHousing,MATCH($H925,LevelList,0))+INDEX(LevelTransport,MATCH($H925,LevelList,0))+INDEX(LevelBasic,MATCH($H925,LevelList,0))*INDEX(LevelBonus,MATCH($H925,LevelList,0))+(INDEX(LevelBasic,MATCH($H925,LevelList,0))+INDEX(LevelHousing,MATCH($H925,LevelList,0)))*GosiSaudi,0))</f>
        <v>0</v>
      </c>
      <c r="W925" s="35" t="n">
        <f aca="false">IFERROR(INDEX(LevelOneOff,MATCH($H925,LevelList,0)),0)</f>
        <v>0</v>
      </c>
      <c r="X925" s="35" t="str">
        <f aca="false">IF($G925="","",$V925*N($L925))</f>
        <v/>
      </c>
      <c r="Y925" s="35" t="str">
        <f aca="false">IF($G925="","",$V925*(N($M925)*1+N($N925)*0.75+N($O925)*0.5+N($P925)*0.25)+$W925*N($L925))</f>
        <v/>
      </c>
      <c r="Z925" s="35" t="str">
        <f aca="false">IF($G925="","",$U925*1000000+ROW())</f>
        <v/>
      </c>
      <c r="AA925" s="36" t="str">
        <f aca="false">IF($G925="","",MID(IF($C925="",", no division","")&amp;IF($E925="",", no unit","")&amp;IF($H925="",", no career level","")&amp;IF(N($L925)&lt;=0,", no quarter split","")&amp;IF($R925="",", no driver","")&amp;IF(AND($H925&lt;&gt;"",COUNTIF(CareerLevels,$H925)=0),", a career level that is not on the ladder","")&amp;IF(AND($R925&lt;&gt;"",COUNTIF(DriverList,$R925)=0),", a driver that is not on the list","")&amp;IF(ABS(N($L925)-(N($M925)+N($N925)+N($O925)+N($P925)))&gt;0.001,", a total that does not match its quarters",""),3,300))</f>
        <v/>
      </c>
    </row>
    <row r="926" customFormat="false" ht="15" hidden="false" customHeight="false" outlineLevel="0" collapsed="false">
      <c r="A926" s="33" t="str">
        <f aca="false">IF($G926="","","Human Resources Group")</f>
        <v/>
      </c>
      <c r="B926" s="19"/>
      <c r="C926" s="19"/>
      <c r="D926" s="19"/>
      <c r="E926" s="19"/>
      <c r="F926" s="19"/>
      <c r="G926" s="19"/>
      <c r="H926" s="19"/>
      <c r="I926" s="19"/>
      <c r="J926" s="19"/>
      <c r="K926" s="19"/>
      <c r="L926" s="19"/>
      <c r="M926" s="19"/>
      <c r="N926" s="19"/>
      <c r="O926" s="19"/>
      <c r="P926" s="19"/>
      <c r="Q926" s="19"/>
      <c r="R926" s="19"/>
      <c r="S926" s="19"/>
      <c r="T926" s="34" t="str">
        <f aca="false">IF($R926="","",IFERROR(INDEX(DriverCategory,MATCH($R926,DriverList,0)),"BAU"))</f>
        <v/>
      </c>
      <c r="U926" s="34" t="str">
        <f aca="false">IF($R926="","",IFERROR(INDEX(DriverRank,MATCH($R926,DriverList,0)),99))</f>
        <v/>
      </c>
      <c r="V926" s="35" t="n">
        <f aca="false">IF($H926="",0,IFERROR(INDEX(LevelBasic,MATCH($H926,LevelList,0))+INDEX(LevelHousing,MATCH($H926,LevelList,0))+INDEX(LevelTransport,MATCH($H926,LevelList,0))+INDEX(LevelBasic,MATCH($H926,LevelList,0))*INDEX(LevelBonus,MATCH($H926,LevelList,0))+(INDEX(LevelBasic,MATCH($H926,LevelList,0))+INDEX(LevelHousing,MATCH($H926,LevelList,0)))*GosiSaudi,0))</f>
        <v>0</v>
      </c>
      <c r="W926" s="35" t="n">
        <f aca="false">IFERROR(INDEX(LevelOneOff,MATCH($H926,LevelList,0)),0)</f>
        <v>0</v>
      </c>
      <c r="X926" s="35" t="str">
        <f aca="false">IF($G926="","",$V926*N($L926))</f>
        <v/>
      </c>
      <c r="Y926" s="35" t="str">
        <f aca="false">IF($G926="","",$V926*(N($M926)*1+N($N926)*0.75+N($O926)*0.5+N($P926)*0.25)+$W926*N($L926))</f>
        <v/>
      </c>
      <c r="Z926" s="35" t="str">
        <f aca="false">IF($G926="","",$U926*1000000+ROW())</f>
        <v/>
      </c>
      <c r="AA926" s="36" t="str">
        <f aca="false">IF($G926="","",MID(IF($C926="",", no division","")&amp;IF($E926="",", no unit","")&amp;IF($H926="",", no career level","")&amp;IF(N($L926)&lt;=0,", no quarter split","")&amp;IF($R926="",", no driver","")&amp;IF(AND($H926&lt;&gt;"",COUNTIF(CareerLevels,$H926)=0),", a career level that is not on the ladder","")&amp;IF(AND($R926&lt;&gt;"",COUNTIF(DriverList,$R926)=0),", a driver that is not on the list","")&amp;IF(ABS(N($L926)-(N($M926)+N($N926)+N($O926)+N($P926)))&gt;0.001,", a total that does not match its quarters",""),3,300))</f>
        <v/>
      </c>
    </row>
    <row r="927" customFormat="false" ht="15" hidden="false" customHeight="false" outlineLevel="0" collapsed="false">
      <c r="A927" s="33" t="str">
        <f aca="false">IF($G927="","","Human Resources Group")</f>
        <v/>
      </c>
      <c r="B927" s="19"/>
      <c r="C927" s="19"/>
      <c r="D927" s="19"/>
      <c r="E927" s="19"/>
      <c r="F927" s="19"/>
      <c r="G927" s="19"/>
      <c r="H927" s="19"/>
      <c r="I927" s="19"/>
      <c r="J927" s="19"/>
      <c r="K927" s="19"/>
      <c r="L927" s="19"/>
      <c r="M927" s="19"/>
      <c r="N927" s="19"/>
      <c r="O927" s="19"/>
      <c r="P927" s="19"/>
      <c r="Q927" s="19"/>
      <c r="R927" s="19"/>
      <c r="S927" s="19"/>
      <c r="T927" s="34" t="str">
        <f aca="false">IF($R927="","",IFERROR(INDEX(DriverCategory,MATCH($R927,DriverList,0)),"BAU"))</f>
        <v/>
      </c>
      <c r="U927" s="34" t="str">
        <f aca="false">IF($R927="","",IFERROR(INDEX(DriverRank,MATCH($R927,DriverList,0)),99))</f>
        <v/>
      </c>
      <c r="V927" s="35" t="n">
        <f aca="false">IF($H927="",0,IFERROR(INDEX(LevelBasic,MATCH($H927,LevelList,0))+INDEX(LevelHousing,MATCH($H927,LevelList,0))+INDEX(LevelTransport,MATCH($H927,LevelList,0))+INDEX(LevelBasic,MATCH($H927,LevelList,0))*INDEX(LevelBonus,MATCH($H927,LevelList,0))+(INDEX(LevelBasic,MATCH($H927,LevelList,0))+INDEX(LevelHousing,MATCH($H927,LevelList,0)))*GosiSaudi,0))</f>
        <v>0</v>
      </c>
      <c r="W927" s="35" t="n">
        <f aca="false">IFERROR(INDEX(LevelOneOff,MATCH($H927,LevelList,0)),0)</f>
        <v>0</v>
      </c>
      <c r="X927" s="35" t="str">
        <f aca="false">IF($G927="","",$V927*N($L927))</f>
        <v/>
      </c>
      <c r="Y927" s="35" t="str">
        <f aca="false">IF($G927="","",$V927*(N($M927)*1+N($N927)*0.75+N($O927)*0.5+N($P927)*0.25)+$W927*N($L927))</f>
        <v/>
      </c>
      <c r="Z927" s="35" t="str">
        <f aca="false">IF($G927="","",$U927*1000000+ROW())</f>
        <v/>
      </c>
      <c r="AA927" s="36" t="str">
        <f aca="false">IF($G927="","",MID(IF($C927="",", no division","")&amp;IF($E927="",", no unit","")&amp;IF($H927="",", no career level","")&amp;IF(N($L927)&lt;=0,", no quarter split","")&amp;IF($R927="",", no driver","")&amp;IF(AND($H927&lt;&gt;"",COUNTIF(CareerLevels,$H927)=0),", a career level that is not on the ladder","")&amp;IF(AND($R927&lt;&gt;"",COUNTIF(DriverList,$R927)=0),", a driver that is not on the list","")&amp;IF(ABS(N($L927)-(N($M927)+N($N927)+N($O927)+N($P927)))&gt;0.001,", a total that does not match its quarters",""),3,300))</f>
        <v/>
      </c>
    </row>
    <row r="928" customFormat="false" ht="15" hidden="false" customHeight="false" outlineLevel="0" collapsed="false">
      <c r="A928" s="33" t="str">
        <f aca="false">IF($G928="","","Human Resources Group")</f>
        <v/>
      </c>
      <c r="B928" s="19"/>
      <c r="C928" s="19"/>
      <c r="D928" s="19"/>
      <c r="E928" s="19"/>
      <c r="F928" s="19"/>
      <c r="G928" s="19"/>
      <c r="H928" s="19"/>
      <c r="I928" s="19"/>
      <c r="J928" s="19"/>
      <c r="K928" s="19"/>
      <c r="L928" s="19"/>
      <c r="M928" s="19"/>
      <c r="N928" s="19"/>
      <c r="O928" s="19"/>
      <c r="P928" s="19"/>
      <c r="Q928" s="19"/>
      <c r="R928" s="19"/>
      <c r="S928" s="19"/>
      <c r="T928" s="34" t="str">
        <f aca="false">IF($R928="","",IFERROR(INDEX(DriverCategory,MATCH($R928,DriverList,0)),"BAU"))</f>
        <v/>
      </c>
      <c r="U928" s="34" t="str">
        <f aca="false">IF($R928="","",IFERROR(INDEX(DriverRank,MATCH($R928,DriverList,0)),99))</f>
        <v/>
      </c>
      <c r="V928" s="35" t="n">
        <f aca="false">IF($H928="",0,IFERROR(INDEX(LevelBasic,MATCH($H928,LevelList,0))+INDEX(LevelHousing,MATCH($H928,LevelList,0))+INDEX(LevelTransport,MATCH($H928,LevelList,0))+INDEX(LevelBasic,MATCH($H928,LevelList,0))*INDEX(LevelBonus,MATCH($H928,LevelList,0))+(INDEX(LevelBasic,MATCH($H928,LevelList,0))+INDEX(LevelHousing,MATCH($H928,LevelList,0)))*GosiSaudi,0))</f>
        <v>0</v>
      </c>
      <c r="W928" s="35" t="n">
        <f aca="false">IFERROR(INDEX(LevelOneOff,MATCH($H928,LevelList,0)),0)</f>
        <v>0</v>
      </c>
      <c r="X928" s="35" t="str">
        <f aca="false">IF($G928="","",$V928*N($L928))</f>
        <v/>
      </c>
      <c r="Y928" s="35" t="str">
        <f aca="false">IF($G928="","",$V928*(N($M928)*1+N($N928)*0.75+N($O928)*0.5+N($P928)*0.25)+$W928*N($L928))</f>
        <v/>
      </c>
      <c r="Z928" s="35" t="str">
        <f aca="false">IF($G928="","",$U928*1000000+ROW())</f>
        <v/>
      </c>
      <c r="AA928" s="36" t="str">
        <f aca="false">IF($G928="","",MID(IF($C928="",", no division","")&amp;IF($E928="",", no unit","")&amp;IF($H928="",", no career level","")&amp;IF(N($L928)&lt;=0,", no quarter split","")&amp;IF($R928="",", no driver","")&amp;IF(AND($H928&lt;&gt;"",COUNTIF(CareerLevels,$H928)=0),", a career level that is not on the ladder","")&amp;IF(AND($R928&lt;&gt;"",COUNTIF(DriverList,$R928)=0),", a driver that is not on the list","")&amp;IF(ABS(N($L928)-(N($M928)+N($N928)+N($O928)+N($P928)))&gt;0.001,", a total that does not match its quarters",""),3,300))</f>
        <v/>
      </c>
    </row>
    <row r="929" customFormat="false" ht="15" hidden="false" customHeight="false" outlineLevel="0" collapsed="false">
      <c r="A929" s="33" t="str">
        <f aca="false">IF($G929="","","Human Resources Group")</f>
        <v/>
      </c>
      <c r="B929" s="19"/>
      <c r="C929" s="19"/>
      <c r="D929" s="19"/>
      <c r="E929" s="19"/>
      <c r="F929" s="19"/>
      <c r="G929" s="19"/>
      <c r="H929" s="19"/>
      <c r="I929" s="19"/>
      <c r="J929" s="19"/>
      <c r="K929" s="19"/>
      <c r="L929" s="19"/>
      <c r="M929" s="19"/>
      <c r="N929" s="19"/>
      <c r="O929" s="19"/>
      <c r="P929" s="19"/>
      <c r="Q929" s="19"/>
      <c r="R929" s="19"/>
      <c r="S929" s="19"/>
      <c r="T929" s="34" t="str">
        <f aca="false">IF($R929="","",IFERROR(INDEX(DriverCategory,MATCH($R929,DriverList,0)),"BAU"))</f>
        <v/>
      </c>
      <c r="U929" s="34" t="str">
        <f aca="false">IF($R929="","",IFERROR(INDEX(DriverRank,MATCH($R929,DriverList,0)),99))</f>
        <v/>
      </c>
      <c r="V929" s="35" t="n">
        <f aca="false">IF($H929="",0,IFERROR(INDEX(LevelBasic,MATCH($H929,LevelList,0))+INDEX(LevelHousing,MATCH($H929,LevelList,0))+INDEX(LevelTransport,MATCH($H929,LevelList,0))+INDEX(LevelBasic,MATCH($H929,LevelList,0))*INDEX(LevelBonus,MATCH($H929,LevelList,0))+(INDEX(LevelBasic,MATCH($H929,LevelList,0))+INDEX(LevelHousing,MATCH($H929,LevelList,0)))*GosiSaudi,0))</f>
        <v>0</v>
      </c>
      <c r="W929" s="35" t="n">
        <f aca="false">IFERROR(INDEX(LevelOneOff,MATCH($H929,LevelList,0)),0)</f>
        <v>0</v>
      </c>
      <c r="X929" s="35" t="str">
        <f aca="false">IF($G929="","",$V929*N($L929))</f>
        <v/>
      </c>
      <c r="Y929" s="35" t="str">
        <f aca="false">IF($G929="","",$V929*(N($M929)*1+N($N929)*0.75+N($O929)*0.5+N($P929)*0.25)+$W929*N($L929))</f>
        <v/>
      </c>
      <c r="Z929" s="35" t="str">
        <f aca="false">IF($G929="","",$U929*1000000+ROW())</f>
        <v/>
      </c>
      <c r="AA929" s="36" t="str">
        <f aca="false">IF($G929="","",MID(IF($C929="",", no division","")&amp;IF($E929="",", no unit","")&amp;IF($H929="",", no career level","")&amp;IF(N($L929)&lt;=0,", no quarter split","")&amp;IF($R929="",", no driver","")&amp;IF(AND($H929&lt;&gt;"",COUNTIF(CareerLevels,$H929)=0),", a career level that is not on the ladder","")&amp;IF(AND($R929&lt;&gt;"",COUNTIF(DriverList,$R929)=0),", a driver that is not on the list","")&amp;IF(ABS(N($L929)-(N($M929)+N($N929)+N($O929)+N($P929)))&gt;0.001,", a total that does not match its quarters",""),3,300))</f>
        <v/>
      </c>
    </row>
    <row r="930" customFormat="false" ht="15" hidden="false" customHeight="false" outlineLevel="0" collapsed="false">
      <c r="A930" s="33" t="str">
        <f aca="false">IF($G930="","","Human Resources Group")</f>
        <v/>
      </c>
      <c r="B930" s="19"/>
      <c r="C930" s="19"/>
      <c r="D930" s="19"/>
      <c r="E930" s="19"/>
      <c r="F930" s="19"/>
      <c r="G930" s="19"/>
      <c r="H930" s="19"/>
      <c r="I930" s="19"/>
      <c r="J930" s="19"/>
      <c r="K930" s="19"/>
      <c r="L930" s="19"/>
      <c r="M930" s="19"/>
      <c r="N930" s="19"/>
      <c r="O930" s="19"/>
      <c r="P930" s="19"/>
      <c r="Q930" s="19"/>
      <c r="R930" s="19"/>
      <c r="S930" s="19"/>
      <c r="T930" s="34" t="str">
        <f aca="false">IF($R930="","",IFERROR(INDEX(DriverCategory,MATCH($R930,DriverList,0)),"BAU"))</f>
        <v/>
      </c>
      <c r="U930" s="34" t="str">
        <f aca="false">IF($R930="","",IFERROR(INDEX(DriverRank,MATCH($R930,DriverList,0)),99))</f>
        <v/>
      </c>
      <c r="V930" s="35" t="n">
        <f aca="false">IF($H930="",0,IFERROR(INDEX(LevelBasic,MATCH($H930,LevelList,0))+INDEX(LevelHousing,MATCH($H930,LevelList,0))+INDEX(LevelTransport,MATCH($H930,LevelList,0))+INDEX(LevelBasic,MATCH($H930,LevelList,0))*INDEX(LevelBonus,MATCH($H930,LevelList,0))+(INDEX(LevelBasic,MATCH($H930,LevelList,0))+INDEX(LevelHousing,MATCH($H930,LevelList,0)))*GosiSaudi,0))</f>
        <v>0</v>
      </c>
      <c r="W930" s="35" t="n">
        <f aca="false">IFERROR(INDEX(LevelOneOff,MATCH($H930,LevelList,0)),0)</f>
        <v>0</v>
      </c>
      <c r="X930" s="35" t="str">
        <f aca="false">IF($G930="","",$V930*N($L930))</f>
        <v/>
      </c>
      <c r="Y930" s="35" t="str">
        <f aca="false">IF($G930="","",$V930*(N($M930)*1+N($N930)*0.75+N($O930)*0.5+N($P930)*0.25)+$W930*N($L930))</f>
        <v/>
      </c>
      <c r="Z930" s="35" t="str">
        <f aca="false">IF($G930="","",$U930*1000000+ROW())</f>
        <v/>
      </c>
      <c r="AA930" s="36" t="str">
        <f aca="false">IF($G930="","",MID(IF($C930="",", no division","")&amp;IF($E930="",", no unit","")&amp;IF($H930="",", no career level","")&amp;IF(N($L930)&lt;=0,", no quarter split","")&amp;IF($R930="",", no driver","")&amp;IF(AND($H930&lt;&gt;"",COUNTIF(CareerLevels,$H930)=0),", a career level that is not on the ladder","")&amp;IF(AND($R930&lt;&gt;"",COUNTIF(DriverList,$R930)=0),", a driver that is not on the list","")&amp;IF(ABS(N($L930)-(N($M930)+N($N930)+N($O930)+N($P930)))&gt;0.001,", a total that does not match its quarters",""),3,300))</f>
        <v/>
      </c>
    </row>
    <row r="931" customFormat="false" ht="15" hidden="false" customHeight="false" outlineLevel="0" collapsed="false">
      <c r="A931" s="33" t="str">
        <f aca="false">IF($G931="","","Human Resources Group")</f>
        <v/>
      </c>
      <c r="B931" s="19"/>
      <c r="C931" s="19"/>
      <c r="D931" s="19"/>
      <c r="E931" s="19"/>
      <c r="F931" s="19"/>
      <c r="G931" s="19"/>
      <c r="H931" s="19"/>
      <c r="I931" s="19"/>
      <c r="J931" s="19"/>
      <c r="K931" s="19"/>
      <c r="L931" s="19"/>
      <c r="M931" s="19"/>
      <c r="N931" s="19"/>
      <c r="O931" s="19"/>
      <c r="P931" s="19"/>
      <c r="Q931" s="19"/>
      <c r="R931" s="19"/>
      <c r="S931" s="19"/>
      <c r="T931" s="34" t="str">
        <f aca="false">IF($R931="","",IFERROR(INDEX(DriverCategory,MATCH($R931,DriverList,0)),"BAU"))</f>
        <v/>
      </c>
      <c r="U931" s="34" t="str">
        <f aca="false">IF($R931="","",IFERROR(INDEX(DriverRank,MATCH($R931,DriverList,0)),99))</f>
        <v/>
      </c>
      <c r="V931" s="35" t="n">
        <f aca="false">IF($H931="",0,IFERROR(INDEX(LevelBasic,MATCH($H931,LevelList,0))+INDEX(LevelHousing,MATCH($H931,LevelList,0))+INDEX(LevelTransport,MATCH($H931,LevelList,0))+INDEX(LevelBasic,MATCH($H931,LevelList,0))*INDEX(LevelBonus,MATCH($H931,LevelList,0))+(INDEX(LevelBasic,MATCH($H931,LevelList,0))+INDEX(LevelHousing,MATCH($H931,LevelList,0)))*GosiSaudi,0))</f>
        <v>0</v>
      </c>
      <c r="W931" s="35" t="n">
        <f aca="false">IFERROR(INDEX(LevelOneOff,MATCH($H931,LevelList,0)),0)</f>
        <v>0</v>
      </c>
      <c r="X931" s="35" t="str">
        <f aca="false">IF($G931="","",$V931*N($L931))</f>
        <v/>
      </c>
      <c r="Y931" s="35" t="str">
        <f aca="false">IF($G931="","",$V931*(N($M931)*1+N($N931)*0.75+N($O931)*0.5+N($P931)*0.25)+$W931*N($L931))</f>
        <v/>
      </c>
      <c r="Z931" s="35" t="str">
        <f aca="false">IF($G931="","",$U931*1000000+ROW())</f>
        <v/>
      </c>
      <c r="AA931" s="36" t="str">
        <f aca="false">IF($G931="","",MID(IF($C931="",", no division","")&amp;IF($E931="",", no unit","")&amp;IF($H931="",", no career level","")&amp;IF(N($L931)&lt;=0,", no quarter split","")&amp;IF($R931="",", no driver","")&amp;IF(AND($H931&lt;&gt;"",COUNTIF(CareerLevels,$H931)=0),", a career level that is not on the ladder","")&amp;IF(AND($R931&lt;&gt;"",COUNTIF(DriverList,$R931)=0),", a driver that is not on the list","")&amp;IF(ABS(N($L931)-(N($M931)+N($N931)+N($O931)+N($P931)))&gt;0.001,", a total that does not match its quarters",""),3,300))</f>
        <v/>
      </c>
    </row>
    <row r="932" customFormat="false" ht="15" hidden="false" customHeight="false" outlineLevel="0" collapsed="false">
      <c r="A932" s="33" t="str">
        <f aca="false">IF($G932="","","Human Resources Group")</f>
        <v/>
      </c>
      <c r="B932" s="19"/>
      <c r="C932" s="19"/>
      <c r="D932" s="19"/>
      <c r="E932" s="19"/>
      <c r="F932" s="19"/>
      <c r="G932" s="19"/>
      <c r="H932" s="19"/>
      <c r="I932" s="19"/>
      <c r="J932" s="19"/>
      <c r="K932" s="19"/>
      <c r="L932" s="19"/>
      <c r="M932" s="19"/>
      <c r="N932" s="19"/>
      <c r="O932" s="19"/>
      <c r="P932" s="19"/>
      <c r="Q932" s="19"/>
      <c r="R932" s="19"/>
      <c r="S932" s="19"/>
      <c r="T932" s="34" t="str">
        <f aca="false">IF($R932="","",IFERROR(INDEX(DriverCategory,MATCH($R932,DriverList,0)),"BAU"))</f>
        <v/>
      </c>
      <c r="U932" s="34" t="str">
        <f aca="false">IF($R932="","",IFERROR(INDEX(DriverRank,MATCH($R932,DriverList,0)),99))</f>
        <v/>
      </c>
      <c r="V932" s="35" t="n">
        <f aca="false">IF($H932="",0,IFERROR(INDEX(LevelBasic,MATCH($H932,LevelList,0))+INDEX(LevelHousing,MATCH($H932,LevelList,0))+INDEX(LevelTransport,MATCH($H932,LevelList,0))+INDEX(LevelBasic,MATCH($H932,LevelList,0))*INDEX(LevelBonus,MATCH($H932,LevelList,0))+(INDEX(LevelBasic,MATCH($H932,LevelList,0))+INDEX(LevelHousing,MATCH($H932,LevelList,0)))*GosiSaudi,0))</f>
        <v>0</v>
      </c>
      <c r="W932" s="35" t="n">
        <f aca="false">IFERROR(INDEX(LevelOneOff,MATCH($H932,LevelList,0)),0)</f>
        <v>0</v>
      </c>
      <c r="X932" s="35" t="str">
        <f aca="false">IF($G932="","",$V932*N($L932))</f>
        <v/>
      </c>
      <c r="Y932" s="35" t="str">
        <f aca="false">IF($G932="","",$V932*(N($M932)*1+N($N932)*0.75+N($O932)*0.5+N($P932)*0.25)+$W932*N($L932))</f>
        <v/>
      </c>
      <c r="Z932" s="35" t="str">
        <f aca="false">IF($G932="","",$U932*1000000+ROW())</f>
        <v/>
      </c>
      <c r="AA932" s="36" t="str">
        <f aca="false">IF($G932="","",MID(IF($C932="",", no division","")&amp;IF($E932="",", no unit","")&amp;IF($H932="",", no career level","")&amp;IF(N($L932)&lt;=0,", no quarter split","")&amp;IF($R932="",", no driver","")&amp;IF(AND($H932&lt;&gt;"",COUNTIF(CareerLevels,$H932)=0),", a career level that is not on the ladder","")&amp;IF(AND($R932&lt;&gt;"",COUNTIF(DriverList,$R932)=0),", a driver that is not on the list","")&amp;IF(ABS(N($L932)-(N($M932)+N($N932)+N($O932)+N($P932)))&gt;0.001,", a total that does not match its quarters",""),3,300))</f>
        <v/>
      </c>
    </row>
    <row r="933" customFormat="false" ht="15" hidden="false" customHeight="false" outlineLevel="0" collapsed="false">
      <c r="A933" s="33" t="str">
        <f aca="false">IF($G933="","","Human Resources Group")</f>
        <v/>
      </c>
      <c r="B933" s="19"/>
      <c r="C933" s="19"/>
      <c r="D933" s="19"/>
      <c r="E933" s="19"/>
      <c r="F933" s="19"/>
      <c r="G933" s="19"/>
      <c r="H933" s="19"/>
      <c r="I933" s="19"/>
      <c r="J933" s="19"/>
      <c r="K933" s="19"/>
      <c r="L933" s="19"/>
      <c r="M933" s="19"/>
      <c r="N933" s="19"/>
      <c r="O933" s="19"/>
      <c r="P933" s="19"/>
      <c r="Q933" s="19"/>
      <c r="R933" s="19"/>
      <c r="S933" s="19"/>
      <c r="T933" s="34" t="str">
        <f aca="false">IF($R933="","",IFERROR(INDEX(DriverCategory,MATCH($R933,DriverList,0)),"BAU"))</f>
        <v/>
      </c>
      <c r="U933" s="34" t="str">
        <f aca="false">IF($R933="","",IFERROR(INDEX(DriverRank,MATCH($R933,DriverList,0)),99))</f>
        <v/>
      </c>
      <c r="V933" s="35" t="n">
        <f aca="false">IF($H933="",0,IFERROR(INDEX(LevelBasic,MATCH($H933,LevelList,0))+INDEX(LevelHousing,MATCH($H933,LevelList,0))+INDEX(LevelTransport,MATCH($H933,LevelList,0))+INDEX(LevelBasic,MATCH($H933,LevelList,0))*INDEX(LevelBonus,MATCH($H933,LevelList,0))+(INDEX(LevelBasic,MATCH($H933,LevelList,0))+INDEX(LevelHousing,MATCH($H933,LevelList,0)))*GosiSaudi,0))</f>
        <v>0</v>
      </c>
      <c r="W933" s="35" t="n">
        <f aca="false">IFERROR(INDEX(LevelOneOff,MATCH($H933,LevelList,0)),0)</f>
        <v>0</v>
      </c>
      <c r="X933" s="35" t="str">
        <f aca="false">IF($G933="","",$V933*N($L933))</f>
        <v/>
      </c>
      <c r="Y933" s="35" t="str">
        <f aca="false">IF($G933="","",$V933*(N($M933)*1+N($N933)*0.75+N($O933)*0.5+N($P933)*0.25)+$W933*N($L933))</f>
        <v/>
      </c>
      <c r="Z933" s="35" t="str">
        <f aca="false">IF($G933="","",$U933*1000000+ROW())</f>
        <v/>
      </c>
      <c r="AA933" s="36" t="str">
        <f aca="false">IF($G933="","",MID(IF($C933="",", no division","")&amp;IF($E933="",", no unit","")&amp;IF($H933="",", no career level","")&amp;IF(N($L933)&lt;=0,", no quarter split","")&amp;IF($R933="",", no driver","")&amp;IF(AND($H933&lt;&gt;"",COUNTIF(CareerLevels,$H933)=0),", a career level that is not on the ladder","")&amp;IF(AND($R933&lt;&gt;"",COUNTIF(DriverList,$R933)=0),", a driver that is not on the list","")&amp;IF(ABS(N($L933)-(N($M933)+N($N933)+N($O933)+N($P933)))&gt;0.001,", a total that does not match its quarters",""),3,300))</f>
        <v/>
      </c>
    </row>
    <row r="934" customFormat="false" ht="15" hidden="false" customHeight="false" outlineLevel="0" collapsed="false">
      <c r="A934" s="33" t="str">
        <f aca="false">IF($G934="","","Human Resources Group")</f>
        <v/>
      </c>
      <c r="B934" s="19"/>
      <c r="C934" s="19"/>
      <c r="D934" s="19"/>
      <c r="E934" s="19"/>
      <c r="F934" s="19"/>
      <c r="G934" s="19"/>
      <c r="H934" s="19"/>
      <c r="I934" s="19"/>
      <c r="J934" s="19"/>
      <c r="K934" s="19"/>
      <c r="L934" s="19"/>
      <c r="M934" s="19"/>
      <c r="N934" s="19"/>
      <c r="O934" s="19"/>
      <c r="P934" s="19"/>
      <c r="Q934" s="19"/>
      <c r="R934" s="19"/>
      <c r="S934" s="19"/>
      <c r="T934" s="34" t="str">
        <f aca="false">IF($R934="","",IFERROR(INDEX(DriverCategory,MATCH($R934,DriverList,0)),"BAU"))</f>
        <v/>
      </c>
      <c r="U934" s="34" t="str">
        <f aca="false">IF($R934="","",IFERROR(INDEX(DriverRank,MATCH($R934,DriverList,0)),99))</f>
        <v/>
      </c>
      <c r="V934" s="35" t="n">
        <f aca="false">IF($H934="",0,IFERROR(INDEX(LevelBasic,MATCH($H934,LevelList,0))+INDEX(LevelHousing,MATCH($H934,LevelList,0))+INDEX(LevelTransport,MATCH($H934,LevelList,0))+INDEX(LevelBasic,MATCH($H934,LevelList,0))*INDEX(LevelBonus,MATCH($H934,LevelList,0))+(INDEX(LevelBasic,MATCH($H934,LevelList,0))+INDEX(LevelHousing,MATCH($H934,LevelList,0)))*GosiSaudi,0))</f>
        <v>0</v>
      </c>
      <c r="W934" s="35" t="n">
        <f aca="false">IFERROR(INDEX(LevelOneOff,MATCH($H934,LevelList,0)),0)</f>
        <v>0</v>
      </c>
      <c r="X934" s="35" t="str">
        <f aca="false">IF($G934="","",$V934*N($L934))</f>
        <v/>
      </c>
      <c r="Y934" s="35" t="str">
        <f aca="false">IF($G934="","",$V934*(N($M934)*1+N($N934)*0.75+N($O934)*0.5+N($P934)*0.25)+$W934*N($L934))</f>
        <v/>
      </c>
      <c r="Z934" s="35" t="str">
        <f aca="false">IF($G934="","",$U934*1000000+ROW())</f>
        <v/>
      </c>
      <c r="AA934" s="36" t="str">
        <f aca="false">IF($G934="","",MID(IF($C934="",", no division","")&amp;IF($E934="",", no unit","")&amp;IF($H934="",", no career level","")&amp;IF(N($L934)&lt;=0,", no quarter split","")&amp;IF($R934="",", no driver","")&amp;IF(AND($H934&lt;&gt;"",COUNTIF(CareerLevels,$H934)=0),", a career level that is not on the ladder","")&amp;IF(AND($R934&lt;&gt;"",COUNTIF(DriverList,$R934)=0),", a driver that is not on the list","")&amp;IF(ABS(N($L934)-(N($M934)+N($N934)+N($O934)+N($P934)))&gt;0.001,", a total that does not match its quarters",""),3,300))</f>
        <v/>
      </c>
    </row>
    <row r="935" customFormat="false" ht="15" hidden="false" customHeight="false" outlineLevel="0" collapsed="false">
      <c r="A935" s="33" t="str">
        <f aca="false">IF($G935="","","Human Resources Group")</f>
        <v/>
      </c>
      <c r="B935" s="19"/>
      <c r="C935" s="19"/>
      <c r="D935" s="19"/>
      <c r="E935" s="19"/>
      <c r="F935" s="19"/>
      <c r="G935" s="19"/>
      <c r="H935" s="19"/>
      <c r="I935" s="19"/>
      <c r="J935" s="19"/>
      <c r="K935" s="19"/>
      <c r="L935" s="19"/>
      <c r="M935" s="19"/>
      <c r="N935" s="19"/>
      <c r="O935" s="19"/>
      <c r="P935" s="19"/>
      <c r="Q935" s="19"/>
      <c r="R935" s="19"/>
      <c r="S935" s="19"/>
      <c r="T935" s="34" t="str">
        <f aca="false">IF($R935="","",IFERROR(INDEX(DriverCategory,MATCH($R935,DriverList,0)),"BAU"))</f>
        <v/>
      </c>
      <c r="U935" s="34" t="str">
        <f aca="false">IF($R935="","",IFERROR(INDEX(DriverRank,MATCH($R935,DriverList,0)),99))</f>
        <v/>
      </c>
      <c r="V935" s="35" t="n">
        <f aca="false">IF($H935="",0,IFERROR(INDEX(LevelBasic,MATCH($H935,LevelList,0))+INDEX(LevelHousing,MATCH($H935,LevelList,0))+INDEX(LevelTransport,MATCH($H935,LevelList,0))+INDEX(LevelBasic,MATCH($H935,LevelList,0))*INDEX(LevelBonus,MATCH($H935,LevelList,0))+(INDEX(LevelBasic,MATCH($H935,LevelList,0))+INDEX(LevelHousing,MATCH($H935,LevelList,0)))*GosiSaudi,0))</f>
        <v>0</v>
      </c>
      <c r="W935" s="35" t="n">
        <f aca="false">IFERROR(INDEX(LevelOneOff,MATCH($H935,LevelList,0)),0)</f>
        <v>0</v>
      </c>
      <c r="X935" s="35" t="str">
        <f aca="false">IF($G935="","",$V935*N($L935))</f>
        <v/>
      </c>
      <c r="Y935" s="35" t="str">
        <f aca="false">IF($G935="","",$V935*(N($M935)*1+N($N935)*0.75+N($O935)*0.5+N($P935)*0.25)+$W935*N($L935))</f>
        <v/>
      </c>
      <c r="Z935" s="35" t="str">
        <f aca="false">IF($G935="","",$U935*1000000+ROW())</f>
        <v/>
      </c>
      <c r="AA935" s="36" t="str">
        <f aca="false">IF($G935="","",MID(IF($C935="",", no division","")&amp;IF($E935="",", no unit","")&amp;IF($H935="",", no career level","")&amp;IF(N($L935)&lt;=0,", no quarter split","")&amp;IF($R935="",", no driver","")&amp;IF(AND($H935&lt;&gt;"",COUNTIF(CareerLevels,$H935)=0),", a career level that is not on the ladder","")&amp;IF(AND($R935&lt;&gt;"",COUNTIF(DriverList,$R935)=0),", a driver that is not on the list","")&amp;IF(ABS(N($L935)-(N($M935)+N($N935)+N($O935)+N($P935)))&gt;0.001,", a total that does not match its quarters",""),3,300))</f>
        <v/>
      </c>
    </row>
    <row r="936" customFormat="false" ht="15" hidden="false" customHeight="false" outlineLevel="0" collapsed="false">
      <c r="A936" s="33" t="str">
        <f aca="false">IF($G936="","","Human Resources Group")</f>
        <v/>
      </c>
      <c r="B936" s="19"/>
      <c r="C936" s="19"/>
      <c r="D936" s="19"/>
      <c r="E936" s="19"/>
      <c r="F936" s="19"/>
      <c r="G936" s="19"/>
      <c r="H936" s="19"/>
      <c r="I936" s="19"/>
      <c r="J936" s="19"/>
      <c r="K936" s="19"/>
      <c r="L936" s="19"/>
      <c r="M936" s="19"/>
      <c r="N936" s="19"/>
      <c r="O936" s="19"/>
      <c r="P936" s="19"/>
      <c r="Q936" s="19"/>
      <c r="R936" s="19"/>
      <c r="S936" s="19"/>
      <c r="T936" s="34" t="str">
        <f aca="false">IF($R936="","",IFERROR(INDEX(DriverCategory,MATCH($R936,DriverList,0)),"BAU"))</f>
        <v/>
      </c>
      <c r="U936" s="34" t="str">
        <f aca="false">IF($R936="","",IFERROR(INDEX(DriverRank,MATCH($R936,DriverList,0)),99))</f>
        <v/>
      </c>
      <c r="V936" s="35" t="n">
        <f aca="false">IF($H936="",0,IFERROR(INDEX(LevelBasic,MATCH($H936,LevelList,0))+INDEX(LevelHousing,MATCH($H936,LevelList,0))+INDEX(LevelTransport,MATCH($H936,LevelList,0))+INDEX(LevelBasic,MATCH($H936,LevelList,0))*INDEX(LevelBonus,MATCH($H936,LevelList,0))+(INDEX(LevelBasic,MATCH($H936,LevelList,0))+INDEX(LevelHousing,MATCH($H936,LevelList,0)))*GosiSaudi,0))</f>
        <v>0</v>
      </c>
      <c r="W936" s="35" t="n">
        <f aca="false">IFERROR(INDEX(LevelOneOff,MATCH($H936,LevelList,0)),0)</f>
        <v>0</v>
      </c>
      <c r="X936" s="35" t="str">
        <f aca="false">IF($G936="","",$V936*N($L936))</f>
        <v/>
      </c>
      <c r="Y936" s="35" t="str">
        <f aca="false">IF($G936="","",$V936*(N($M936)*1+N($N936)*0.75+N($O936)*0.5+N($P936)*0.25)+$W936*N($L936))</f>
        <v/>
      </c>
      <c r="Z936" s="35" t="str">
        <f aca="false">IF($G936="","",$U936*1000000+ROW())</f>
        <v/>
      </c>
      <c r="AA936" s="36" t="str">
        <f aca="false">IF($G936="","",MID(IF($C936="",", no division","")&amp;IF($E936="",", no unit","")&amp;IF($H936="",", no career level","")&amp;IF(N($L936)&lt;=0,", no quarter split","")&amp;IF($R936="",", no driver","")&amp;IF(AND($H936&lt;&gt;"",COUNTIF(CareerLevels,$H936)=0),", a career level that is not on the ladder","")&amp;IF(AND($R936&lt;&gt;"",COUNTIF(DriverList,$R936)=0),", a driver that is not on the list","")&amp;IF(ABS(N($L936)-(N($M936)+N($N936)+N($O936)+N($P936)))&gt;0.001,", a total that does not match its quarters",""),3,300))</f>
        <v/>
      </c>
    </row>
    <row r="937" customFormat="false" ht="15" hidden="false" customHeight="false" outlineLevel="0" collapsed="false">
      <c r="A937" s="33" t="str">
        <f aca="false">IF($G937="","","Human Resources Group")</f>
        <v/>
      </c>
      <c r="B937" s="19"/>
      <c r="C937" s="19"/>
      <c r="D937" s="19"/>
      <c r="E937" s="19"/>
      <c r="F937" s="19"/>
      <c r="G937" s="19"/>
      <c r="H937" s="19"/>
      <c r="I937" s="19"/>
      <c r="J937" s="19"/>
      <c r="K937" s="19"/>
      <c r="L937" s="19"/>
      <c r="M937" s="19"/>
      <c r="N937" s="19"/>
      <c r="O937" s="19"/>
      <c r="P937" s="19"/>
      <c r="Q937" s="19"/>
      <c r="R937" s="19"/>
      <c r="S937" s="19"/>
      <c r="T937" s="34" t="str">
        <f aca="false">IF($R937="","",IFERROR(INDEX(DriverCategory,MATCH($R937,DriverList,0)),"BAU"))</f>
        <v/>
      </c>
      <c r="U937" s="34" t="str">
        <f aca="false">IF($R937="","",IFERROR(INDEX(DriverRank,MATCH($R937,DriverList,0)),99))</f>
        <v/>
      </c>
      <c r="V937" s="35" t="n">
        <f aca="false">IF($H937="",0,IFERROR(INDEX(LevelBasic,MATCH($H937,LevelList,0))+INDEX(LevelHousing,MATCH($H937,LevelList,0))+INDEX(LevelTransport,MATCH($H937,LevelList,0))+INDEX(LevelBasic,MATCH($H937,LevelList,0))*INDEX(LevelBonus,MATCH($H937,LevelList,0))+(INDEX(LevelBasic,MATCH($H937,LevelList,0))+INDEX(LevelHousing,MATCH($H937,LevelList,0)))*GosiSaudi,0))</f>
        <v>0</v>
      </c>
      <c r="W937" s="35" t="n">
        <f aca="false">IFERROR(INDEX(LevelOneOff,MATCH($H937,LevelList,0)),0)</f>
        <v>0</v>
      </c>
      <c r="X937" s="35" t="str">
        <f aca="false">IF($G937="","",$V937*N($L937))</f>
        <v/>
      </c>
      <c r="Y937" s="35" t="str">
        <f aca="false">IF($G937="","",$V937*(N($M937)*1+N($N937)*0.75+N($O937)*0.5+N($P937)*0.25)+$W937*N($L937))</f>
        <v/>
      </c>
      <c r="Z937" s="35" t="str">
        <f aca="false">IF($G937="","",$U937*1000000+ROW())</f>
        <v/>
      </c>
      <c r="AA937" s="36" t="str">
        <f aca="false">IF($G937="","",MID(IF($C937="",", no division","")&amp;IF($E937="",", no unit","")&amp;IF($H937="",", no career level","")&amp;IF(N($L937)&lt;=0,", no quarter split","")&amp;IF($R937="",", no driver","")&amp;IF(AND($H937&lt;&gt;"",COUNTIF(CareerLevels,$H937)=0),", a career level that is not on the ladder","")&amp;IF(AND($R937&lt;&gt;"",COUNTIF(DriverList,$R937)=0),", a driver that is not on the list","")&amp;IF(ABS(N($L937)-(N($M937)+N($N937)+N($O937)+N($P937)))&gt;0.001,", a total that does not match its quarters",""),3,300))</f>
        <v/>
      </c>
    </row>
    <row r="938" customFormat="false" ht="15" hidden="false" customHeight="false" outlineLevel="0" collapsed="false">
      <c r="A938" s="33" t="str">
        <f aca="false">IF($G938="","","Human Resources Group")</f>
        <v/>
      </c>
      <c r="B938" s="19"/>
      <c r="C938" s="19"/>
      <c r="D938" s="19"/>
      <c r="E938" s="19"/>
      <c r="F938" s="19"/>
      <c r="G938" s="19"/>
      <c r="H938" s="19"/>
      <c r="I938" s="19"/>
      <c r="J938" s="19"/>
      <c r="K938" s="19"/>
      <c r="L938" s="19"/>
      <c r="M938" s="19"/>
      <c r="N938" s="19"/>
      <c r="O938" s="19"/>
      <c r="P938" s="19"/>
      <c r="Q938" s="19"/>
      <c r="R938" s="19"/>
      <c r="S938" s="19"/>
      <c r="T938" s="34" t="str">
        <f aca="false">IF($R938="","",IFERROR(INDEX(DriverCategory,MATCH($R938,DriverList,0)),"BAU"))</f>
        <v/>
      </c>
      <c r="U938" s="34" t="str">
        <f aca="false">IF($R938="","",IFERROR(INDEX(DriverRank,MATCH($R938,DriverList,0)),99))</f>
        <v/>
      </c>
      <c r="V938" s="35" t="n">
        <f aca="false">IF($H938="",0,IFERROR(INDEX(LevelBasic,MATCH($H938,LevelList,0))+INDEX(LevelHousing,MATCH($H938,LevelList,0))+INDEX(LevelTransport,MATCH($H938,LevelList,0))+INDEX(LevelBasic,MATCH($H938,LevelList,0))*INDEX(LevelBonus,MATCH($H938,LevelList,0))+(INDEX(LevelBasic,MATCH($H938,LevelList,0))+INDEX(LevelHousing,MATCH($H938,LevelList,0)))*GosiSaudi,0))</f>
        <v>0</v>
      </c>
      <c r="W938" s="35" t="n">
        <f aca="false">IFERROR(INDEX(LevelOneOff,MATCH($H938,LevelList,0)),0)</f>
        <v>0</v>
      </c>
      <c r="X938" s="35" t="str">
        <f aca="false">IF($G938="","",$V938*N($L938))</f>
        <v/>
      </c>
      <c r="Y938" s="35" t="str">
        <f aca="false">IF($G938="","",$V938*(N($M938)*1+N($N938)*0.75+N($O938)*0.5+N($P938)*0.25)+$W938*N($L938))</f>
        <v/>
      </c>
      <c r="Z938" s="35" t="str">
        <f aca="false">IF($G938="","",$U938*1000000+ROW())</f>
        <v/>
      </c>
      <c r="AA938" s="36" t="str">
        <f aca="false">IF($G938="","",MID(IF($C938="",", no division","")&amp;IF($E938="",", no unit","")&amp;IF($H938="",", no career level","")&amp;IF(N($L938)&lt;=0,", no quarter split","")&amp;IF($R938="",", no driver","")&amp;IF(AND($H938&lt;&gt;"",COUNTIF(CareerLevels,$H938)=0),", a career level that is not on the ladder","")&amp;IF(AND($R938&lt;&gt;"",COUNTIF(DriverList,$R938)=0),", a driver that is not on the list","")&amp;IF(ABS(N($L938)-(N($M938)+N($N938)+N($O938)+N($P938)))&gt;0.001,", a total that does not match its quarters",""),3,300))</f>
        <v/>
      </c>
    </row>
    <row r="939" customFormat="false" ht="15" hidden="false" customHeight="false" outlineLevel="0" collapsed="false">
      <c r="A939" s="33" t="str">
        <f aca="false">IF($G939="","","Human Resources Group")</f>
        <v/>
      </c>
      <c r="B939" s="19"/>
      <c r="C939" s="19"/>
      <c r="D939" s="19"/>
      <c r="E939" s="19"/>
      <c r="F939" s="19"/>
      <c r="G939" s="19"/>
      <c r="H939" s="19"/>
      <c r="I939" s="19"/>
      <c r="J939" s="19"/>
      <c r="K939" s="19"/>
      <c r="L939" s="19"/>
      <c r="M939" s="19"/>
      <c r="N939" s="19"/>
      <c r="O939" s="19"/>
      <c r="P939" s="19"/>
      <c r="Q939" s="19"/>
      <c r="R939" s="19"/>
      <c r="S939" s="19"/>
      <c r="T939" s="34" t="str">
        <f aca="false">IF($R939="","",IFERROR(INDEX(DriverCategory,MATCH($R939,DriverList,0)),"BAU"))</f>
        <v/>
      </c>
      <c r="U939" s="34" t="str">
        <f aca="false">IF($R939="","",IFERROR(INDEX(DriverRank,MATCH($R939,DriverList,0)),99))</f>
        <v/>
      </c>
      <c r="V939" s="35" t="n">
        <f aca="false">IF($H939="",0,IFERROR(INDEX(LevelBasic,MATCH($H939,LevelList,0))+INDEX(LevelHousing,MATCH($H939,LevelList,0))+INDEX(LevelTransport,MATCH($H939,LevelList,0))+INDEX(LevelBasic,MATCH($H939,LevelList,0))*INDEX(LevelBonus,MATCH($H939,LevelList,0))+(INDEX(LevelBasic,MATCH($H939,LevelList,0))+INDEX(LevelHousing,MATCH($H939,LevelList,0)))*GosiSaudi,0))</f>
        <v>0</v>
      </c>
      <c r="W939" s="35" t="n">
        <f aca="false">IFERROR(INDEX(LevelOneOff,MATCH($H939,LevelList,0)),0)</f>
        <v>0</v>
      </c>
      <c r="X939" s="35" t="str">
        <f aca="false">IF($G939="","",$V939*N($L939))</f>
        <v/>
      </c>
      <c r="Y939" s="35" t="str">
        <f aca="false">IF($G939="","",$V939*(N($M939)*1+N($N939)*0.75+N($O939)*0.5+N($P939)*0.25)+$W939*N($L939))</f>
        <v/>
      </c>
      <c r="Z939" s="35" t="str">
        <f aca="false">IF($G939="","",$U939*1000000+ROW())</f>
        <v/>
      </c>
      <c r="AA939" s="36" t="str">
        <f aca="false">IF($G939="","",MID(IF($C939="",", no division","")&amp;IF($E939="",", no unit","")&amp;IF($H939="",", no career level","")&amp;IF(N($L939)&lt;=0,", no quarter split","")&amp;IF($R939="",", no driver","")&amp;IF(AND($H939&lt;&gt;"",COUNTIF(CareerLevels,$H939)=0),", a career level that is not on the ladder","")&amp;IF(AND($R939&lt;&gt;"",COUNTIF(DriverList,$R939)=0),", a driver that is not on the list","")&amp;IF(ABS(N($L939)-(N($M939)+N($N939)+N($O939)+N($P939)))&gt;0.001,", a total that does not match its quarters",""),3,300))</f>
        <v/>
      </c>
    </row>
    <row r="940" customFormat="false" ht="15" hidden="false" customHeight="false" outlineLevel="0" collapsed="false">
      <c r="A940" s="33" t="str">
        <f aca="false">IF($G940="","","Human Resources Group")</f>
        <v/>
      </c>
      <c r="B940" s="19"/>
      <c r="C940" s="19"/>
      <c r="D940" s="19"/>
      <c r="E940" s="19"/>
      <c r="F940" s="19"/>
      <c r="G940" s="19"/>
      <c r="H940" s="19"/>
      <c r="I940" s="19"/>
      <c r="J940" s="19"/>
      <c r="K940" s="19"/>
      <c r="L940" s="19"/>
      <c r="M940" s="19"/>
      <c r="N940" s="19"/>
      <c r="O940" s="19"/>
      <c r="P940" s="19"/>
      <c r="Q940" s="19"/>
      <c r="R940" s="19"/>
      <c r="S940" s="19"/>
      <c r="T940" s="34" t="str">
        <f aca="false">IF($R940="","",IFERROR(INDEX(DriverCategory,MATCH($R940,DriverList,0)),"BAU"))</f>
        <v/>
      </c>
      <c r="U940" s="34" t="str">
        <f aca="false">IF($R940="","",IFERROR(INDEX(DriverRank,MATCH($R940,DriverList,0)),99))</f>
        <v/>
      </c>
      <c r="V940" s="35" t="n">
        <f aca="false">IF($H940="",0,IFERROR(INDEX(LevelBasic,MATCH($H940,LevelList,0))+INDEX(LevelHousing,MATCH($H940,LevelList,0))+INDEX(LevelTransport,MATCH($H940,LevelList,0))+INDEX(LevelBasic,MATCH($H940,LevelList,0))*INDEX(LevelBonus,MATCH($H940,LevelList,0))+(INDEX(LevelBasic,MATCH($H940,LevelList,0))+INDEX(LevelHousing,MATCH($H940,LevelList,0)))*GosiSaudi,0))</f>
        <v>0</v>
      </c>
      <c r="W940" s="35" t="n">
        <f aca="false">IFERROR(INDEX(LevelOneOff,MATCH($H940,LevelList,0)),0)</f>
        <v>0</v>
      </c>
      <c r="X940" s="35" t="str">
        <f aca="false">IF($G940="","",$V940*N($L940))</f>
        <v/>
      </c>
      <c r="Y940" s="35" t="str">
        <f aca="false">IF($G940="","",$V940*(N($M940)*1+N($N940)*0.75+N($O940)*0.5+N($P940)*0.25)+$W940*N($L940))</f>
        <v/>
      </c>
      <c r="Z940" s="35" t="str">
        <f aca="false">IF($G940="","",$U940*1000000+ROW())</f>
        <v/>
      </c>
      <c r="AA940" s="36" t="str">
        <f aca="false">IF($G940="","",MID(IF($C940="",", no division","")&amp;IF($E940="",", no unit","")&amp;IF($H940="",", no career level","")&amp;IF(N($L940)&lt;=0,", no quarter split","")&amp;IF($R940="",", no driver","")&amp;IF(AND($H940&lt;&gt;"",COUNTIF(CareerLevels,$H940)=0),", a career level that is not on the ladder","")&amp;IF(AND($R940&lt;&gt;"",COUNTIF(DriverList,$R940)=0),", a driver that is not on the list","")&amp;IF(ABS(N($L940)-(N($M940)+N($N940)+N($O940)+N($P940)))&gt;0.001,", a total that does not match its quarters",""),3,300))</f>
        <v/>
      </c>
    </row>
    <row r="941" customFormat="false" ht="15" hidden="false" customHeight="false" outlineLevel="0" collapsed="false">
      <c r="A941" s="33" t="str">
        <f aca="false">IF($G941="","","Human Resources Group")</f>
        <v/>
      </c>
      <c r="B941" s="19"/>
      <c r="C941" s="19"/>
      <c r="D941" s="19"/>
      <c r="E941" s="19"/>
      <c r="F941" s="19"/>
      <c r="G941" s="19"/>
      <c r="H941" s="19"/>
      <c r="I941" s="19"/>
      <c r="J941" s="19"/>
      <c r="K941" s="19"/>
      <c r="L941" s="19"/>
      <c r="M941" s="19"/>
      <c r="N941" s="19"/>
      <c r="O941" s="19"/>
      <c r="P941" s="19"/>
      <c r="Q941" s="19"/>
      <c r="R941" s="19"/>
      <c r="S941" s="19"/>
      <c r="T941" s="34" t="str">
        <f aca="false">IF($R941="","",IFERROR(INDEX(DriverCategory,MATCH($R941,DriverList,0)),"BAU"))</f>
        <v/>
      </c>
      <c r="U941" s="34" t="str">
        <f aca="false">IF($R941="","",IFERROR(INDEX(DriverRank,MATCH($R941,DriverList,0)),99))</f>
        <v/>
      </c>
      <c r="V941" s="35" t="n">
        <f aca="false">IF($H941="",0,IFERROR(INDEX(LevelBasic,MATCH($H941,LevelList,0))+INDEX(LevelHousing,MATCH($H941,LevelList,0))+INDEX(LevelTransport,MATCH($H941,LevelList,0))+INDEX(LevelBasic,MATCH($H941,LevelList,0))*INDEX(LevelBonus,MATCH($H941,LevelList,0))+(INDEX(LevelBasic,MATCH($H941,LevelList,0))+INDEX(LevelHousing,MATCH($H941,LevelList,0)))*GosiSaudi,0))</f>
        <v>0</v>
      </c>
      <c r="W941" s="35" t="n">
        <f aca="false">IFERROR(INDEX(LevelOneOff,MATCH($H941,LevelList,0)),0)</f>
        <v>0</v>
      </c>
      <c r="X941" s="35" t="str">
        <f aca="false">IF($G941="","",$V941*N($L941))</f>
        <v/>
      </c>
      <c r="Y941" s="35" t="str">
        <f aca="false">IF($G941="","",$V941*(N($M941)*1+N($N941)*0.75+N($O941)*0.5+N($P941)*0.25)+$W941*N($L941))</f>
        <v/>
      </c>
      <c r="Z941" s="35" t="str">
        <f aca="false">IF($G941="","",$U941*1000000+ROW())</f>
        <v/>
      </c>
      <c r="AA941" s="36" t="str">
        <f aca="false">IF($G941="","",MID(IF($C941="",", no division","")&amp;IF($E941="",", no unit","")&amp;IF($H941="",", no career level","")&amp;IF(N($L941)&lt;=0,", no quarter split","")&amp;IF($R941="",", no driver","")&amp;IF(AND($H941&lt;&gt;"",COUNTIF(CareerLevels,$H941)=0),", a career level that is not on the ladder","")&amp;IF(AND($R941&lt;&gt;"",COUNTIF(DriverList,$R941)=0),", a driver that is not on the list","")&amp;IF(ABS(N($L941)-(N($M941)+N($N941)+N($O941)+N($P941)))&gt;0.001,", a total that does not match its quarters",""),3,300))</f>
        <v/>
      </c>
    </row>
    <row r="942" customFormat="false" ht="15" hidden="false" customHeight="false" outlineLevel="0" collapsed="false">
      <c r="A942" s="33" t="str">
        <f aca="false">IF($G942="","","Human Resources Group")</f>
        <v/>
      </c>
      <c r="B942" s="19"/>
      <c r="C942" s="19"/>
      <c r="D942" s="19"/>
      <c r="E942" s="19"/>
      <c r="F942" s="19"/>
      <c r="G942" s="19"/>
      <c r="H942" s="19"/>
      <c r="I942" s="19"/>
      <c r="J942" s="19"/>
      <c r="K942" s="19"/>
      <c r="L942" s="19"/>
      <c r="M942" s="19"/>
      <c r="N942" s="19"/>
      <c r="O942" s="19"/>
      <c r="P942" s="19"/>
      <c r="Q942" s="19"/>
      <c r="R942" s="19"/>
      <c r="S942" s="19"/>
      <c r="T942" s="34" t="str">
        <f aca="false">IF($R942="","",IFERROR(INDEX(DriverCategory,MATCH($R942,DriverList,0)),"BAU"))</f>
        <v/>
      </c>
      <c r="U942" s="34" t="str">
        <f aca="false">IF($R942="","",IFERROR(INDEX(DriverRank,MATCH($R942,DriverList,0)),99))</f>
        <v/>
      </c>
      <c r="V942" s="35" t="n">
        <f aca="false">IF($H942="",0,IFERROR(INDEX(LevelBasic,MATCH($H942,LevelList,0))+INDEX(LevelHousing,MATCH($H942,LevelList,0))+INDEX(LevelTransport,MATCH($H942,LevelList,0))+INDEX(LevelBasic,MATCH($H942,LevelList,0))*INDEX(LevelBonus,MATCH($H942,LevelList,0))+(INDEX(LevelBasic,MATCH($H942,LevelList,0))+INDEX(LevelHousing,MATCH($H942,LevelList,0)))*GosiSaudi,0))</f>
        <v>0</v>
      </c>
      <c r="W942" s="35" t="n">
        <f aca="false">IFERROR(INDEX(LevelOneOff,MATCH($H942,LevelList,0)),0)</f>
        <v>0</v>
      </c>
      <c r="X942" s="35" t="str">
        <f aca="false">IF($G942="","",$V942*N($L942))</f>
        <v/>
      </c>
      <c r="Y942" s="35" t="str">
        <f aca="false">IF($G942="","",$V942*(N($M942)*1+N($N942)*0.75+N($O942)*0.5+N($P942)*0.25)+$W942*N($L942))</f>
        <v/>
      </c>
      <c r="Z942" s="35" t="str">
        <f aca="false">IF($G942="","",$U942*1000000+ROW())</f>
        <v/>
      </c>
      <c r="AA942" s="36" t="str">
        <f aca="false">IF($G942="","",MID(IF($C942="",", no division","")&amp;IF($E942="",", no unit","")&amp;IF($H942="",", no career level","")&amp;IF(N($L942)&lt;=0,", no quarter split","")&amp;IF($R942="",", no driver","")&amp;IF(AND($H942&lt;&gt;"",COUNTIF(CareerLevels,$H942)=0),", a career level that is not on the ladder","")&amp;IF(AND($R942&lt;&gt;"",COUNTIF(DriverList,$R942)=0),", a driver that is not on the list","")&amp;IF(ABS(N($L942)-(N($M942)+N($N942)+N($O942)+N($P942)))&gt;0.001,", a total that does not match its quarters",""),3,300))</f>
        <v/>
      </c>
    </row>
    <row r="943" customFormat="false" ht="15" hidden="false" customHeight="false" outlineLevel="0" collapsed="false">
      <c r="A943" s="33" t="str">
        <f aca="false">IF($G943="","","Human Resources Group")</f>
        <v/>
      </c>
      <c r="B943" s="19"/>
      <c r="C943" s="19"/>
      <c r="D943" s="19"/>
      <c r="E943" s="19"/>
      <c r="F943" s="19"/>
      <c r="G943" s="19"/>
      <c r="H943" s="19"/>
      <c r="I943" s="19"/>
      <c r="J943" s="19"/>
      <c r="K943" s="19"/>
      <c r="L943" s="19"/>
      <c r="M943" s="19"/>
      <c r="N943" s="19"/>
      <c r="O943" s="19"/>
      <c r="P943" s="19"/>
      <c r="Q943" s="19"/>
      <c r="R943" s="19"/>
      <c r="S943" s="19"/>
      <c r="T943" s="34" t="str">
        <f aca="false">IF($R943="","",IFERROR(INDEX(DriverCategory,MATCH($R943,DriverList,0)),"BAU"))</f>
        <v/>
      </c>
      <c r="U943" s="34" t="str">
        <f aca="false">IF($R943="","",IFERROR(INDEX(DriverRank,MATCH($R943,DriverList,0)),99))</f>
        <v/>
      </c>
      <c r="V943" s="35" t="n">
        <f aca="false">IF($H943="",0,IFERROR(INDEX(LevelBasic,MATCH($H943,LevelList,0))+INDEX(LevelHousing,MATCH($H943,LevelList,0))+INDEX(LevelTransport,MATCH($H943,LevelList,0))+INDEX(LevelBasic,MATCH($H943,LevelList,0))*INDEX(LevelBonus,MATCH($H943,LevelList,0))+(INDEX(LevelBasic,MATCH($H943,LevelList,0))+INDEX(LevelHousing,MATCH($H943,LevelList,0)))*GosiSaudi,0))</f>
        <v>0</v>
      </c>
      <c r="W943" s="35" t="n">
        <f aca="false">IFERROR(INDEX(LevelOneOff,MATCH($H943,LevelList,0)),0)</f>
        <v>0</v>
      </c>
      <c r="X943" s="35" t="str">
        <f aca="false">IF($G943="","",$V943*N($L943))</f>
        <v/>
      </c>
      <c r="Y943" s="35" t="str">
        <f aca="false">IF($G943="","",$V943*(N($M943)*1+N($N943)*0.75+N($O943)*0.5+N($P943)*0.25)+$W943*N($L943))</f>
        <v/>
      </c>
      <c r="Z943" s="35" t="str">
        <f aca="false">IF($G943="","",$U943*1000000+ROW())</f>
        <v/>
      </c>
      <c r="AA943" s="36" t="str">
        <f aca="false">IF($G943="","",MID(IF($C943="",", no division","")&amp;IF($E943="",", no unit","")&amp;IF($H943="",", no career level","")&amp;IF(N($L943)&lt;=0,", no quarter split","")&amp;IF($R943="",", no driver","")&amp;IF(AND($H943&lt;&gt;"",COUNTIF(CareerLevels,$H943)=0),", a career level that is not on the ladder","")&amp;IF(AND($R943&lt;&gt;"",COUNTIF(DriverList,$R943)=0),", a driver that is not on the list","")&amp;IF(ABS(N($L943)-(N($M943)+N($N943)+N($O943)+N($P943)))&gt;0.001,", a total that does not match its quarters",""),3,300))</f>
        <v/>
      </c>
    </row>
    <row r="944" customFormat="false" ht="15" hidden="false" customHeight="false" outlineLevel="0" collapsed="false">
      <c r="A944" s="33" t="str">
        <f aca="false">IF($G944="","","Human Resources Group")</f>
        <v/>
      </c>
      <c r="B944" s="19"/>
      <c r="C944" s="19"/>
      <c r="D944" s="19"/>
      <c r="E944" s="19"/>
      <c r="F944" s="19"/>
      <c r="G944" s="19"/>
      <c r="H944" s="19"/>
      <c r="I944" s="19"/>
      <c r="J944" s="19"/>
      <c r="K944" s="19"/>
      <c r="L944" s="19"/>
      <c r="M944" s="19"/>
      <c r="N944" s="19"/>
      <c r="O944" s="19"/>
      <c r="P944" s="19"/>
      <c r="Q944" s="19"/>
      <c r="R944" s="19"/>
      <c r="S944" s="19"/>
      <c r="T944" s="34" t="str">
        <f aca="false">IF($R944="","",IFERROR(INDEX(DriverCategory,MATCH($R944,DriverList,0)),"BAU"))</f>
        <v/>
      </c>
      <c r="U944" s="34" t="str">
        <f aca="false">IF($R944="","",IFERROR(INDEX(DriverRank,MATCH($R944,DriverList,0)),99))</f>
        <v/>
      </c>
      <c r="V944" s="35" t="n">
        <f aca="false">IF($H944="",0,IFERROR(INDEX(LevelBasic,MATCH($H944,LevelList,0))+INDEX(LevelHousing,MATCH($H944,LevelList,0))+INDEX(LevelTransport,MATCH($H944,LevelList,0))+INDEX(LevelBasic,MATCH($H944,LevelList,0))*INDEX(LevelBonus,MATCH($H944,LevelList,0))+(INDEX(LevelBasic,MATCH($H944,LevelList,0))+INDEX(LevelHousing,MATCH($H944,LevelList,0)))*GosiSaudi,0))</f>
        <v>0</v>
      </c>
      <c r="W944" s="35" t="n">
        <f aca="false">IFERROR(INDEX(LevelOneOff,MATCH($H944,LevelList,0)),0)</f>
        <v>0</v>
      </c>
      <c r="X944" s="35" t="str">
        <f aca="false">IF($G944="","",$V944*N($L944))</f>
        <v/>
      </c>
      <c r="Y944" s="35" t="str">
        <f aca="false">IF($G944="","",$V944*(N($M944)*1+N($N944)*0.75+N($O944)*0.5+N($P944)*0.25)+$W944*N($L944))</f>
        <v/>
      </c>
      <c r="Z944" s="35" t="str">
        <f aca="false">IF($G944="","",$U944*1000000+ROW())</f>
        <v/>
      </c>
      <c r="AA944" s="36" t="str">
        <f aca="false">IF($G944="","",MID(IF($C944="",", no division","")&amp;IF($E944="",", no unit","")&amp;IF($H944="",", no career level","")&amp;IF(N($L944)&lt;=0,", no quarter split","")&amp;IF($R944="",", no driver","")&amp;IF(AND($H944&lt;&gt;"",COUNTIF(CareerLevels,$H944)=0),", a career level that is not on the ladder","")&amp;IF(AND($R944&lt;&gt;"",COUNTIF(DriverList,$R944)=0),", a driver that is not on the list","")&amp;IF(ABS(N($L944)-(N($M944)+N($N944)+N($O944)+N($P944)))&gt;0.001,", a total that does not match its quarters",""),3,300))</f>
        <v/>
      </c>
    </row>
    <row r="945" customFormat="false" ht="15" hidden="false" customHeight="false" outlineLevel="0" collapsed="false">
      <c r="A945" s="33" t="str">
        <f aca="false">IF($G945="","","Human Resources Group")</f>
        <v/>
      </c>
      <c r="B945" s="19"/>
      <c r="C945" s="19"/>
      <c r="D945" s="19"/>
      <c r="E945" s="19"/>
      <c r="F945" s="19"/>
      <c r="G945" s="19"/>
      <c r="H945" s="19"/>
      <c r="I945" s="19"/>
      <c r="J945" s="19"/>
      <c r="K945" s="19"/>
      <c r="L945" s="19"/>
      <c r="M945" s="19"/>
      <c r="N945" s="19"/>
      <c r="O945" s="19"/>
      <c r="P945" s="19"/>
      <c r="Q945" s="19"/>
      <c r="R945" s="19"/>
      <c r="S945" s="19"/>
      <c r="T945" s="34" t="str">
        <f aca="false">IF($R945="","",IFERROR(INDEX(DriverCategory,MATCH($R945,DriverList,0)),"BAU"))</f>
        <v/>
      </c>
      <c r="U945" s="34" t="str">
        <f aca="false">IF($R945="","",IFERROR(INDEX(DriverRank,MATCH($R945,DriverList,0)),99))</f>
        <v/>
      </c>
      <c r="V945" s="35" t="n">
        <f aca="false">IF($H945="",0,IFERROR(INDEX(LevelBasic,MATCH($H945,LevelList,0))+INDEX(LevelHousing,MATCH($H945,LevelList,0))+INDEX(LevelTransport,MATCH($H945,LevelList,0))+INDEX(LevelBasic,MATCH($H945,LevelList,0))*INDEX(LevelBonus,MATCH($H945,LevelList,0))+(INDEX(LevelBasic,MATCH($H945,LevelList,0))+INDEX(LevelHousing,MATCH($H945,LevelList,0)))*GosiSaudi,0))</f>
        <v>0</v>
      </c>
      <c r="W945" s="35" t="n">
        <f aca="false">IFERROR(INDEX(LevelOneOff,MATCH($H945,LevelList,0)),0)</f>
        <v>0</v>
      </c>
      <c r="X945" s="35" t="str">
        <f aca="false">IF($G945="","",$V945*N($L945))</f>
        <v/>
      </c>
      <c r="Y945" s="35" t="str">
        <f aca="false">IF($G945="","",$V945*(N($M945)*1+N($N945)*0.75+N($O945)*0.5+N($P945)*0.25)+$W945*N($L945))</f>
        <v/>
      </c>
      <c r="Z945" s="35" t="str">
        <f aca="false">IF($G945="","",$U945*1000000+ROW())</f>
        <v/>
      </c>
      <c r="AA945" s="36" t="str">
        <f aca="false">IF($G945="","",MID(IF($C945="",", no division","")&amp;IF($E945="",", no unit","")&amp;IF($H945="",", no career level","")&amp;IF(N($L945)&lt;=0,", no quarter split","")&amp;IF($R945="",", no driver","")&amp;IF(AND($H945&lt;&gt;"",COUNTIF(CareerLevels,$H945)=0),", a career level that is not on the ladder","")&amp;IF(AND($R945&lt;&gt;"",COUNTIF(DriverList,$R945)=0),", a driver that is not on the list","")&amp;IF(ABS(N($L945)-(N($M945)+N($N945)+N($O945)+N($P945)))&gt;0.001,", a total that does not match its quarters",""),3,300))</f>
        <v/>
      </c>
    </row>
    <row r="946" customFormat="false" ht="15" hidden="false" customHeight="false" outlineLevel="0" collapsed="false">
      <c r="A946" s="33" t="str">
        <f aca="false">IF($G946="","","Human Resources Group")</f>
        <v/>
      </c>
      <c r="B946" s="19"/>
      <c r="C946" s="19"/>
      <c r="D946" s="19"/>
      <c r="E946" s="19"/>
      <c r="F946" s="19"/>
      <c r="G946" s="19"/>
      <c r="H946" s="19"/>
      <c r="I946" s="19"/>
      <c r="J946" s="19"/>
      <c r="K946" s="19"/>
      <c r="L946" s="19"/>
      <c r="M946" s="19"/>
      <c r="N946" s="19"/>
      <c r="O946" s="19"/>
      <c r="P946" s="19"/>
      <c r="Q946" s="19"/>
      <c r="R946" s="19"/>
      <c r="S946" s="19"/>
      <c r="T946" s="34" t="str">
        <f aca="false">IF($R946="","",IFERROR(INDEX(DriverCategory,MATCH($R946,DriverList,0)),"BAU"))</f>
        <v/>
      </c>
      <c r="U946" s="34" t="str">
        <f aca="false">IF($R946="","",IFERROR(INDEX(DriverRank,MATCH($R946,DriverList,0)),99))</f>
        <v/>
      </c>
      <c r="V946" s="35" t="n">
        <f aca="false">IF($H946="",0,IFERROR(INDEX(LevelBasic,MATCH($H946,LevelList,0))+INDEX(LevelHousing,MATCH($H946,LevelList,0))+INDEX(LevelTransport,MATCH($H946,LevelList,0))+INDEX(LevelBasic,MATCH($H946,LevelList,0))*INDEX(LevelBonus,MATCH($H946,LevelList,0))+(INDEX(LevelBasic,MATCH($H946,LevelList,0))+INDEX(LevelHousing,MATCH($H946,LevelList,0)))*GosiSaudi,0))</f>
        <v>0</v>
      </c>
      <c r="W946" s="35" t="n">
        <f aca="false">IFERROR(INDEX(LevelOneOff,MATCH($H946,LevelList,0)),0)</f>
        <v>0</v>
      </c>
      <c r="X946" s="35" t="str">
        <f aca="false">IF($G946="","",$V946*N($L946))</f>
        <v/>
      </c>
      <c r="Y946" s="35" t="str">
        <f aca="false">IF($G946="","",$V946*(N($M946)*1+N($N946)*0.75+N($O946)*0.5+N($P946)*0.25)+$W946*N($L946))</f>
        <v/>
      </c>
      <c r="Z946" s="35" t="str">
        <f aca="false">IF($G946="","",$U946*1000000+ROW())</f>
        <v/>
      </c>
      <c r="AA946" s="36" t="str">
        <f aca="false">IF($G946="","",MID(IF($C946="",", no division","")&amp;IF($E946="",", no unit","")&amp;IF($H946="",", no career level","")&amp;IF(N($L946)&lt;=0,", no quarter split","")&amp;IF($R946="",", no driver","")&amp;IF(AND($H946&lt;&gt;"",COUNTIF(CareerLevels,$H946)=0),", a career level that is not on the ladder","")&amp;IF(AND($R946&lt;&gt;"",COUNTIF(DriverList,$R946)=0),", a driver that is not on the list","")&amp;IF(ABS(N($L946)-(N($M946)+N($N946)+N($O946)+N($P946)))&gt;0.001,", a total that does not match its quarters",""),3,300))</f>
        <v/>
      </c>
    </row>
    <row r="947" customFormat="false" ht="15" hidden="false" customHeight="false" outlineLevel="0" collapsed="false">
      <c r="A947" s="33" t="str">
        <f aca="false">IF($G947="","","Human Resources Group")</f>
        <v/>
      </c>
      <c r="B947" s="19"/>
      <c r="C947" s="19"/>
      <c r="D947" s="19"/>
      <c r="E947" s="19"/>
      <c r="F947" s="19"/>
      <c r="G947" s="19"/>
      <c r="H947" s="19"/>
      <c r="I947" s="19"/>
      <c r="J947" s="19"/>
      <c r="K947" s="19"/>
      <c r="L947" s="19"/>
      <c r="M947" s="19"/>
      <c r="N947" s="19"/>
      <c r="O947" s="19"/>
      <c r="P947" s="19"/>
      <c r="Q947" s="19"/>
      <c r="R947" s="19"/>
      <c r="S947" s="19"/>
      <c r="T947" s="34" t="str">
        <f aca="false">IF($R947="","",IFERROR(INDEX(DriverCategory,MATCH($R947,DriverList,0)),"BAU"))</f>
        <v/>
      </c>
      <c r="U947" s="34" t="str">
        <f aca="false">IF($R947="","",IFERROR(INDEX(DriverRank,MATCH($R947,DriverList,0)),99))</f>
        <v/>
      </c>
      <c r="V947" s="35" t="n">
        <f aca="false">IF($H947="",0,IFERROR(INDEX(LevelBasic,MATCH($H947,LevelList,0))+INDEX(LevelHousing,MATCH($H947,LevelList,0))+INDEX(LevelTransport,MATCH($H947,LevelList,0))+INDEX(LevelBasic,MATCH($H947,LevelList,0))*INDEX(LevelBonus,MATCH($H947,LevelList,0))+(INDEX(LevelBasic,MATCH($H947,LevelList,0))+INDEX(LevelHousing,MATCH($H947,LevelList,0)))*GosiSaudi,0))</f>
        <v>0</v>
      </c>
      <c r="W947" s="35" t="n">
        <f aca="false">IFERROR(INDEX(LevelOneOff,MATCH($H947,LevelList,0)),0)</f>
        <v>0</v>
      </c>
      <c r="X947" s="35" t="str">
        <f aca="false">IF($G947="","",$V947*N($L947))</f>
        <v/>
      </c>
      <c r="Y947" s="35" t="str">
        <f aca="false">IF($G947="","",$V947*(N($M947)*1+N($N947)*0.75+N($O947)*0.5+N($P947)*0.25)+$W947*N($L947))</f>
        <v/>
      </c>
      <c r="Z947" s="35" t="str">
        <f aca="false">IF($G947="","",$U947*1000000+ROW())</f>
        <v/>
      </c>
      <c r="AA947" s="36" t="str">
        <f aca="false">IF($G947="","",MID(IF($C947="",", no division","")&amp;IF($E947="",", no unit","")&amp;IF($H947="",", no career level","")&amp;IF(N($L947)&lt;=0,", no quarter split","")&amp;IF($R947="",", no driver","")&amp;IF(AND($H947&lt;&gt;"",COUNTIF(CareerLevels,$H947)=0),", a career level that is not on the ladder","")&amp;IF(AND($R947&lt;&gt;"",COUNTIF(DriverList,$R947)=0),", a driver that is not on the list","")&amp;IF(ABS(N($L947)-(N($M947)+N($N947)+N($O947)+N($P947)))&gt;0.001,", a total that does not match its quarters",""),3,300))</f>
        <v/>
      </c>
    </row>
    <row r="948" customFormat="false" ht="15" hidden="false" customHeight="false" outlineLevel="0" collapsed="false">
      <c r="A948" s="33" t="str">
        <f aca="false">IF($G948="","","Human Resources Group")</f>
        <v/>
      </c>
      <c r="B948" s="19"/>
      <c r="C948" s="19"/>
      <c r="D948" s="19"/>
      <c r="E948" s="19"/>
      <c r="F948" s="19"/>
      <c r="G948" s="19"/>
      <c r="H948" s="19"/>
      <c r="I948" s="19"/>
      <c r="J948" s="19"/>
      <c r="K948" s="19"/>
      <c r="L948" s="19"/>
      <c r="M948" s="19"/>
      <c r="N948" s="19"/>
      <c r="O948" s="19"/>
      <c r="P948" s="19"/>
      <c r="Q948" s="19"/>
      <c r="R948" s="19"/>
      <c r="S948" s="19"/>
      <c r="T948" s="34" t="str">
        <f aca="false">IF($R948="","",IFERROR(INDEX(DriverCategory,MATCH($R948,DriverList,0)),"BAU"))</f>
        <v/>
      </c>
      <c r="U948" s="34" t="str">
        <f aca="false">IF($R948="","",IFERROR(INDEX(DriverRank,MATCH($R948,DriverList,0)),99))</f>
        <v/>
      </c>
      <c r="V948" s="35" t="n">
        <f aca="false">IF($H948="",0,IFERROR(INDEX(LevelBasic,MATCH($H948,LevelList,0))+INDEX(LevelHousing,MATCH($H948,LevelList,0))+INDEX(LevelTransport,MATCH($H948,LevelList,0))+INDEX(LevelBasic,MATCH($H948,LevelList,0))*INDEX(LevelBonus,MATCH($H948,LevelList,0))+(INDEX(LevelBasic,MATCH($H948,LevelList,0))+INDEX(LevelHousing,MATCH($H948,LevelList,0)))*GosiSaudi,0))</f>
        <v>0</v>
      </c>
      <c r="W948" s="35" t="n">
        <f aca="false">IFERROR(INDEX(LevelOneOff,MATCH($H948,LevelList,0)),0)</f>
        <v>0</v>
      </c>
      <c r="X948" s="35" t="str">
        <f aca="false">IF($G948="","",$V948*N($L948))</f>
        <v/>
      </c>
      <c r="Y948" s="35" t="str">
        <f aca="false">IF($G948="","",$V948*(N($M948)*1+N($N948)*0.75+N($O948)*0.5+N($P948)*0.25)+$W948*N($L948))</f>
        <v/>
      </c>
      <c r="Z948" s="35" t="str">
        <f aca="false">IF($G948="","",$U948*1000000+ROW())</f>
        <v/>
      </c>
      <c r="AA948" s="36" t="str">
        <f aca="false">IF($G948="","",MID(IF($C948="",", no division","")&amp;IF($E948="",", no unit","")&amp;IF($H948="",", no career level","")&amp;IF(N($L948)&lt;=0,", no quarter split","")&amp;IF($R948="",", no driver","")&amp;IF(AND($H948&lt;&gt;"",COUNTIF(CareerLevels,$H948)=0),", a career level that is not on the ladder","")&amp;IF(AND($R948&lt;&gt;"",COUNTIF(DriverList,$R948)=0),", a driver that is not on the list","")&amp;IF(ABS(N($L948)-(N($M948)+N($N948)+N($O948)+N($P948)))&gt;0.001,", a total that does not match its quarters",""),3,300))</f>
        <v/>
      </c>
    </row>
    <row r="949" customFormat="false" ht="15" hidden="false" customHeight="false" outlineLevel="0" collapsed="false">
      <c r="A949" s="33" t="str">
        <f aca="false">IF($G949="","","Human Resources Group")</f>
        <v/>
      </c>
      <c r="B949" s="19"/>
      <c r="C949" s="19"/>
      <c r="D949" s="19"/>
      <c r="E949" s="19"/>
      <c r="F949" s="19"/>
      <c r="G949" s="19"/>
      <c r="H949" s="19"/>
      <c r="I949" s="19"/>
      <c r="J949" s="19"/>
      <c r="K949" s="19"/>
      <c r="L949" s="19"/>
      <c r="M949" s="19"/>
      <c r="N949" s="19"/>
      <c r="O949" s="19"/>
      <c r="P949" s="19"/>
      <c r="Q949" s="19"/>
      <c r="R949" s="19"/>
      <c r="S949" s="19"/>
      <c r="T949" s="34" t="str">
        <f aca="false">IF($R949="","",IFERROR(INDEX(DriverCategory,MATCH($R949,DriverList,0)),"BAU"))</f>
        <v/>
      </c>
      <c r="U949" s="34" t="str">
        <f aca="false">IF($R949="","",IFERROR(INDEX(DriverRank,MATCH($R949,DriverList,0)),99))</f>
        <v/>
      </c>
      <c r="V949" s="35" t="n">
        <f aca="false">IF($H949="",0,IFERROR(INDEX(LevelBasic,MATCH($H949,LevelList,0))+INDEX(LevelHousing,MATCH($H949,LevelList,0))+INDEX(LevelTransport,MATCH($H949,LevelList,0))+INDEX(LevelBasic,MATCH($H949,LevelList,0))*INDEX(LevelBonus,MATCH($H949,LevelList,0))+(INDEX(LevelBasic,MATCH($H949,LevelList,0))+INDEX(LevelHousing,MATCH($H949,LevelList,0)))*GosiSaudi,0))</f>
        <v>0</v>
      </c>
      <c r="W949" s="35" t="n">
        <f aca="false">IFERROR(INDEX(LevelOneOff,MATCH($H949,LevelList,0)),0)</f>
        <v>0</v>
      </c>
      <c r="X949" s="35" t="str">
        <f aca="false">IF($G949="","",$V949*N($L949))</f>
        <v/>
      </c>
      <c r="Y949" s="35" t="str">
        <f aca="false">IF($G949="","",$V949*(N($M949)*1+N($N949)*0.75+N($O949)*0.5+N($P949)*0.25)+$W949*N($L949))</f>
        <v/>
      </c>
      <c r="Z949" s="35" t="str">
        <f aca="false">IF($G949="","",$U949*1000000+ROW())</f>
        <v/>
      </c>
      <c r="AA949" s="36" t="str">
        <f aca="false">IF($G949="","",MID(IF($C949="",", no division","")&amp;IF($E949="",", no unit","")&amp;IF($H949="",", no career level","")&amp;IF(N($L949)&lt;=0,", no quarter split","")&amp;IF($R949="",", no driver","")&amp;IF(AND($H949&lt;&gt;"",COUNTIF(CareerLevels,$H949)=0),", a career level that is not on the ladder","")&amp;IF(AND($R949&lt;&gt;"",COUNTIF(DriverList,$R949)=0),", a driver that is not on the list","")&amp;IF(ABS(N($L949)-(N($M949)+N($N949)+N($O949)+N($P949)))&gt;0.001,", a total that does not match its quarters",""),3,300))</f>
        <v/>
      </c>
    </row>
    <row r="950" customFormat="false" ht="15" hidden="false" customHeight="false" outlineLevel="0" collapsed="false">
      <c r="A950" s="33" t="str">
        <f aca="false">IF($G950="","","Human Resources Group")</f>
        <v/>
      </c>
      <c r="B950" s="19"/>
      <c r="C950" s="19"/>
      <c r="D950" s="19"/>
      <c r="E950" s="19"/>
      <c r="F950" s="19"/>
      <c r="G950" s="19"/>
      <c r="H950" s="19"/>
      <c r="I950" s="19"/>
      <c r="J950" s="19"/>
      <c r="K950" s="19"/>
      <c r="L950" s="19"/>
      <c r="M950" s="19"/>
      <c r="N950" s="19"/>
      <c r="O950" s="19"/>
      <c r="P950" s="19"/>
      <c r="Q950" s="19"/>
      <c r="R950" s="19"/>
      <c r="S950" s="19"/>
      <c r="T950" s="34" t="str">
        <f aca="false">IF($R950="","",IFERROR(INDEX(DriverCategory,MATCH($R950,DriverList,0)),"BAU"))</f>
        <v/>
      </c>
      <c r="U950" s="34" t="str">
        <f aca="false">IF($R950="","",IFERROR(INDEX(DriverRank,MATCH($R950,DriverList,0)),99))</f>
        <v/>
      </c>
      <c r="V950" s="35" t="n">
        <f aca="false">IF($H950="",0,IFERROR(INDEX(LevelBasic,MATCH($H950,LevelList,0))+INDEX(LevelHousing,MATCH($H950,LevelList,0))+INDEX(LevelTransport,MATCH($H950,LevelList,0))+INDEX(LevelBasic,MATCH($H950,LevelList,0))*INDEX(LevelBonus,MATCH($H950,LevelList,0))+(INDEX(LevelBasic,MATCH($H950,LevelList,0))+INDEX(LevelHousing,MATCH($H950,LevelList,0)))*GosiSaudi,0))</f>
        <v>0</v>
      </c>
      <c r="W950" s="35" t="n">
        <f aca="false">IFERROR(INDEX(LevelOneOff,MATCH($H950,LevelList,0)),0)</f>
        <v>0</v>
      </c>
      <c r="X950" s="35" t="str">
        <f aca="false">IF($G950="","",$V950*N($L950))</f>
        <v/>
      </c>
      <c r="Y950" s="35" t="str">
        <f aca="false">IF($G950="","",$V950*(N($M950)*1+N($N950)*0.75+N($O950)*0.5+N($P950)*0.25)+$W950*N($L950))</f>
        <v/>
      </c>
      <c r="Z950" s="35" t="str">
        <f aca="false">IF($G950="","",$U950*1000000+ROW())</f>
        <v/>
      </c>
      <c r="AA950" s="36" t="str">
        <f aca="false">IF($G950="","",MID(IF($C950="",", no division","")&amp;IF($E950="",", no unit","")&amp;IF($H950="",", no career level","")&amp;IF(N($L950)&lt;=0,", no quarter split","")&amp;IF($R950="",", no driver","")&amp;IF(AND($H950&lt;&gt;"",COUNTIF(CareerLevels,$H950)=0),", a career level that is not on the ladder","")&amp;IF(AND($R950&lt;&gt;"",COUNTIF(DriverList,$R950)=0),", a driver that is not on the list","")&amp;IF(ABS(N($L950)-(N($M950)+N($N950)+N($O950)+N($P950)))&gt;0.001,", a total that does not match its quarters",""),3,300))</f>
        <v/>
      </c>
    </row>
    <row r="951" customFormat="false" ht="15" hidden="false" customHeight="false" outlineLevel="0" collapsed="false">
      <c r="A951" s="33" t="str">
        <f aca="false">IF($G951="","","Human Resources Group")</f>
        <v/>
      </c>
      <c r="B951" s="19"/>
      <c r="C951" s="19"/>
      <c r="D951" s="19"/>
      <c r="E951" s="19"/>
      <c r="F951" s="19"/>
      <c r="G951" s="19"/>
      <c r="H951" s="19"/>
      <c r="I951" s="19"/>
      <c r="J951" s="19"/>
      <c r="K951" s="19"/>
      <c r="L951" s="19"/>
      <c r="M951" s="19"/>
      <c r="N951" s="19"/>
      <c r="O951" s="19"/>
      <c r="P951" s="19"/>
      <c r="Q951" s="19"/>
      <c r="R951" s="19"/>
      <c r="S951" s="19"/>
      <c r="T951" s="34" t="str">
        <f aca="false">IF($R951="","",IFERROR(INDEX(DriverCategory,MATCH($R951,DriverList,0)),"BAU"))</f>
        <v/>
      </c>
      <c r="U951" s="34" t="str">
        <f aca="false">IF($R951="","",IFERROR(INDEX(DriverRank,MATCH($R951,DriverList,0)),99))</f>
        <v/>
      </c>
      <c r="V951" s="35" t="n">
        <f aca="false">IF($H951="",0,IFERROR(INDEX(LevelBasic,MATCH($H951,LevelList,0))+INDEX(LevelHousing,MATCH($H951,LevelList,0))+INDEX(LevelTransport,MATCH($H951,LevelList,0))+INDEX(LevelBasic,MATCH($H951,LevelList,0))*INDEX(LevelBonus,MATCH($H951,LevelList,0))+(INDEX(LevelBasic,MATCH($H951,LevelList,0))+INDEX(LevelHousing,MATCH($H951,LevelList,0)))*GosiSaudi,0))</f>
        <v>0</v>
      </c>
      <c r="W951" s="35" t="n">
        <f aca="false">IFERROR(INDEX(LevelOneOff,MATCH($H951,LevelList,0)),0)</f>
        <v>0</v>
      </c>
      <c r="X951" s="35" t="str">
        <f aca="false">IF($G951="","",$V951*N($L951))</f>
        <v/>
      </c>
      <c r="Y951" s="35" t="str">
        <f aca="false">IF($G951="","",$V951*(N($M951)*1+N($N951)*0.75+N($O951)*0.5+N($P951)*0.25)+$W951*N($L951))</f>
        <v/>
      </c>
      <c r="Z951" s="35" t="str">
        <f aca="false">IF($G951="","",$U951*1000000+ROW())</f>
        <v/>
      </c>
      <c r="AA951" s="36" t="str">
        <f aca="false">IF($G951="","",MID(IF($C951="",", no division","")&amp;IF($E951="",", no unit","")&amp;IF($H951="",", no career level","")&amp;IF(N($L951)&lt;=0,", no quarter split","")&amp;IF($R951="",", no driver","")&amp;IF(AND($H951&lt;&gt;"",COUNTIF(CareerLevels,$H951)=0),", a career level that is not on the ladder","")&amp;IF(AND($R951&lt;&gt;"",COUNTIF(DriverList,$R951)=0),", a driver that is not on the list","")&amp;IF(ABS(N($L951)-(N($M951)+N($N951)+N($O951)+N($P951)))&gt;0.001,", a total that does not match its quarters",""),3,300))</f>
        <v/>
      </c>
    </row>
    <row r="952" customFormat="false" ht="15" hidden="false" customHeight="false" outlineLevel="0" collapsed="false">
      <c r="A952" s="33" t="str">
        <f aca="false">IF($G952="","","Human Resources Group")</f>
        <v/>
      </c>
      <c r="B952" s="19"/>
      <c r="C952" s="19"/>
      <c r="D952" s="19"/>
      <c r="E952" s="19"/>
      <c r="F952" s="19"/>
      <c r="G952" s="19"/>
      <c r="H952" s="19"/>
      <c r="I952" s="19"/>
      <c r="J952" s="19"/>
      <c r="K952" s="19"/>
      <c r="L952" s="19"/>
      <c r="M952" s="19"/>
      <c r="N952" s="19"/>
      <c r="O952" s="19"/>
      <c r="P952" s="19"/>
      <c r="Q952" s="19"/>
      <c r="R952" s="19"/>
      <c r="S952" s="19"/>
      <c r="T952" s="34" t="str">
        <f aca="false">IF($R952="","",IFERROR(INDEX(DriverCategory,MATCH($R952,DriverList,0)),"BAU"))</f>
        <v/>
      </c>
      <c r="U952" s="34" t="str">
        <f aca="false">IF($R952="","",IFERROR(INDEX(DriverRank,MATCH($R952,DriverList,0)),99))</f>
        <v/>
      </c>
      <c r="V952" s="35" t="n">
        <f aca="false">IF($H952="",0,IFERROR(INDEX(LevelBasic,MATCH($H952,LevelList,0))+INDEX(LevelHousing,MATCH($H952,LevelList,0))+INDEX(LevelTransport,MATCH($H952,LevelList,0))+INDEX(LevelBasic,MATCH($H952,LevelList,0))*INDEX(LevelBonus,MATCH($H952,LevelList,0))+(INDEX(LevelBasic,MATCH($H952,LevelList,0))+INDEX(LevelHousing,MATCH($H952,LevelList,0)))*GosiSaudi,0))</f>
        <v>0</v>
      </c>
      <c r="W952" s="35" t="n">
        <f aca="false">IFERROR(INDEX(LevelOneOff,MATCH($H952,LevelList,0)),0)</f>
        <v>0</v>
      </c>
      <c r="X952" s="35" t="str">
        <f aca="false">IF($G952="","",$V952*N($L952))</f>
        <v/>
      </c>
      <c r="Y952" s="35" t="str">
        <f aca="false">IF($G952="","",$V952*(N($M952)*1+N($N952)*0.75+N($O952)*0.5+N($P952)*0.25)+$W952*N($L952))</f>
        <v/>
      </c>
      <c r="Z952" s="35" t="str">
        <f aca="false">IF($G952="","",$U952*1000000+ROW())</f>
        <v/>
      </c>
      <c r="AA952" s="36" t="str">
        <f aca="false">IF($G952="","",MID(IF($C952="",", no division","")&amp;IF($E952="",", no unit","")&amp;IF($H952="",", no career level","")&amp;IF(N($L952)&lt;=0,", no quarter split","")&amp;IF($R952="",", no driver","")&amp;IF(AND($H952&lt;&gt;"",COUNTIF(CareerLevels,$H952)=0),", a career level that is not on the ladder","")&amp;IF(AND($R952&lt;&gt;"",COUNTIF(DriverList,$R952)=0),", a driver that is not on the list","")&amp;IF(ABS(N($L952)-(N($M952)+N($N952)+N($O952)+N($P952)))&gt;0.001,", a total that does not match its quarters",""),3,300))</f>
        <v/>
      </c>
    </row>
    <row r="953" customFormat="false" ht="15" hidden="false" customHeight="false" outlineLevel="0" collapsed="false">
      <c r="A953" s="33" t="str">
        <f aca="false">IF($G953="","","Human Resources Group")</f>
        <v/>
      </c>
      <c r="B953" s="19"/>
      <c r="C953" s="19"/>
      <c r="D953" s="19"/>
      <c r="E953" s="19"/>
      <c r="F953" s="19"/>
      <c r="G953" s="19"/>
      <c r="H953" s="19"/>
      <c r="I953" s="19"/>
      <c r="J953" s="19"/>
      <c r="K953" s="19"/>
      <c r="L953" s="19"/>
      <c r="M953" s="19"/>
      <c r="N953" s="19"/>
      <c r="O953" s="19"/>
      <c r="P953" s="19"/>
      <c r="Q953" s="19"/>
      <c r="R953" s="19"/>
      <c r="S953" s="19"/>
      <c r="T953" s="34" t="str">
        <f aca="false">IF($R953="","",IFERROR(INDEX(DriverCategory,MATCH($R953,DriverList,0)),"BAU"))</f>
        <v/>
      </c>
      <c r="U953" s="34" t="str">
        <f aca="false">IF($R953="","",IFERROR(INDEX(DriverRank,MATCH($R953,DriverList,0)),99))</f>
        <v/>
      </c>
      <c r="V953" s="35" t="n">
        <f aca="false">IF($H953="",0,IFERROR(INDEX(LevelBasic,MATCH($H953,LevelList,0))+INDEX(LevelHousing,MATCH($H953,LevelList,0))+INDEX(LevelTransport,MATCH($H953,LevelList,0))+INDEX(LevelBasic,MATCH($H953,LevelList,0))*INDEX(LevelBonus,MATCH($H953,LevelList,0))+(INDEX(LevelBasic,MATCH($H953,LevelList,0))+INDEX(LevelHousing,MATCH($H953,LevelList,0)))*GosiSaudi,0))</f>
        <v>0</v>
      </c>
      <c r="W953" s="35" t="n">
        <f aca="false">IFERROR(INDEX(LevelOneOff,MATCH($H953,LevelList,0)),0)</f>
        <v>0</v>
      </c>
      <c r="X953" s="35" t="str">
        <f aca="false">IF($G953="","",$V953*N($L953))</f>
        <v/>
      </c>
      <c r="Y953" s="35" t="str">
        <f aca="false">IF($G953="","",$V953*(N($M953)*1+N($N953)*0.75+N($O953)*0.5+N($P953)*0.25)+$W953*N($L953))</f>
        <v/>
      </c>
      <c r="Z953" s="35" t="str">
        <f aca="false">IF($G953="","",$U953*1000000+ROW())</f>
        <v/>
      </c>
      <c r="AA953" s="36" t="str">
        <f aca="false">IF($G953="","",MID(IF($C953="",", no division","")&amp;IF($E953="",", no unit","")&amp;IF($H953="",", no career level","")&amp;IF(N($L953)&lt;=0,", no quarter split","")&amp;IF($R953="",", no driver","")&amp;IF(AND($H953&lt;&gt;"",COUNTIF(CareerLevels,$H953)=0),", a career level that is not on the ladder","")&amp;IF(AND($R953&lt;&gt;"",COUNTIF(DriverList,$R953)=0),", a driver that is not on the list","")&amp;IF(ABS(N($L953)-(N($M953)+N($N953)+N($O953)+N($P953)))&gt;0.001,", a total that does not match its quarters",""),3,300))</f>
        <v/>
      </c>
    </row>
    <row r="954" customFormat="false" ht="15" hidden="false" customHeight="false" outlineLevel="0" collapsed="false">
      <c r="A954" s="33" t="str">
        <f aca="false">IF($G954="","","Human Resources Group")</f>
        <v/>
      </c>
      <c r="B954" s="19"/>
      <c r="C954" s="19"/>
      <c r="D954" s="19"/>
      <c r="E954" s="19"/>
      <c r="F954" s="19"/>
      <c r="G954" s="19"/>
      <c r="H954" s="19"/>
      <c r="I954" s="19"/>
      <c r="J954" s="19"/>
      <c r="K954" s="19"/>
      <c r="L954" s="19"/>
      <c r="M954" s="19"/>
      <c r="N954" s="19"/>
      <c r="O954" s="19"/>
      <c r="P954" s="19"/>
      <c r="Q954" s="19"/>
      <c r="R954" s="19"/>
      <c r="S954" s="19"/>
      <c r="T954" s="34" t="str">
        <f aca="false">IF($R954="","",IFERROR(INDEX(DriverCategory,MATCH($R954,DriverList,0)),"BAU"))</f>
        <v/>
      </c>
      <c r="U954" s="34" t="str">
        <f aca="false">IF($R954="","",IFERROR(INDEX(DriverRank,MATCH($R954,DriverList,0)),99))</f>
        <v/>
      </c>
      <c r="V954" s="35" t="n">
        <f aca="false">IF($H954="",0,IFERROR(INDEX(LevelBasic,MATCH($H954,LevelList,0))+INDEX(LevelHousing,MATCH($H954,LevelList,0))+INDEX(LevelTransport,MATCH($H954,LevelList,0))+INDEX(LevelBasic,MATCH($H954,LevelList,0))*INDEX(LevelBonus,MATCH($H954,LevelList,0))+(INDEX(LevelBasic,MATCH($H954,LevelList,0))+INDEX(LevelHousing,MATCH($H954,LevelList,0)))*GosiSaudi,0))</f>
        <v>0</v>
      </c>
      <c r="W954" s="35" t="n">
        <f aca="false">IFERROR(INDEX(LevelOneOff,MATCH($H954,LevelList,0)),0)</f>
        <v>0</v>
      </c>
      <c r="X954" s="35" t="str">
        <f aca="false">IF($G954="","",$V954*N($L954))</f>
        <v/>
      </c>
      <c r="Y954" s="35" t="str">
        <f aca="false">IF($G954="","",$V954*(N($M954)*1+N($N954)*0.75+N($O954)*0.5+N($P954)*0.25)+$W954*N($L954))</f>
        <v/>
      </c>
      <c r="Z954" s="35" t="str">
        <f aca="false">IF($G954="","",$U954*1000000+ROW())</f>
        <v/>
      </c>
      <c r="AA954" s="36" t="str">
        <f aca="false">IF($G954="","",MID(IF($C954="",", no division","")&amp;IF($E954="",", no unit","")&amp;IF($H954="",", no career level","")&amp;IF(N($L954)&lt;=0,", no quarter split","")&amp;IF($R954="",", no driver","")&amp;IF(AND($H954&lt;&gt;"",COUNTIF(CareerLevels,$H954)=0),", a career level that is not on the ladder","")&amp;IF(AND($R954&lt;&gt;"",COUNTIF(DriverList,$R954)=0),", a driver that is not on the list","")&amp;IF(ABS(N($L954)-(N($M954)+N($N954)+N($O954)+N($P954)))&gt;0.001,", a total that does not match its quarters",""),3,300))</f>
        <v/>
      </c>
    </row>
    <row r="955" customFormat="false" ht="15" hidden="false" customHeight="false" outlineLevel="0" collapsed="false">
      <c r="A955" s="33" t="str">
        <f aca="false">IF($G955="","","Human Resources Group")</f>
        <v/>
      </c>
      <c r="B955" s="19"/>
      <c r="C955" s="19"/>
      <c r="D955" s="19"/>
      <c r="E955" s="19"/>
      <c r="F955" s="19"/>
      <c r="G955" s="19"/>
      <c r="H955" s="19"/>
      <c r="I955" s="19"/>
      <c r="J955" s="19"/>
      <c r="K955" s="19"/>
      <c r="L955" s="19"/>
      <c r="M955" s="19"/>
      <c r="N955" s="19"/>
      <c r="O955" s="19"/>
      <c r="P955" s="19"/>
      <c r="Q955" s="19"/>
      <c r="R955" s="19"/>
      <c r="S955" s="19"/>
      <c r="T955" s="34" t="str">
        <f aca="false">IF($R955="","",IFERROR(INDEX(DriverCategory,MATCH($R955,DriverList,0)),"BAU"))</f>
        <v/>
      </c>
      <c r="U955" s="34" t="str">
        <f aca="false">IF($R955="","",IFERROR(INDEX(DriverRank,MATCH($R955,DriverList,0)),99))</f>
        <v/>
      </c>
      <c r="V955" s="35" t="n">
        <f aca="false">IF($H955="",0,IFERROR(INDEX(LevelBasic,MATCH($H955,LevelList,0))+INDEX(LevelHousing,MATCH($H955,LevelList,0))+INDEX(LevelTransport,MATCH($H955,LevelList,0))+INDEX(LevelBasic,MATCH($H955,LevelList,0))*INDEX(LevelBonus,MATCH($H955,LevelList,0))+(INDEX(LevelBasic,MATCH($H955,LevelList,0))+INDEX(LevelHousing,MATCH($H955,LevelList,0)))*GosiSaudi,0))</f>
        <v>0</v>
      </c>
      <c r="W955" s="35" t="n">
        <f aca="false">IFERROR(INDEX(LevelOneOff,MATCH($H955,LevelList,0)),0)</f>
        <v>0</v>
      </c>
      <c r="X955" s="35" t="str">
        <f aca="false">IF($G955="","",$V955*N($L955))</f>
        <v/>
      </c>
      <c r="Y955" s="35" t="str">
        <f aca="false">IF($G955="","",$V955*(N($M955)*1+N($N955)*0.75+N($O955)*0.5+N($P955)*0.25)+$W955*N($L955))</f>
        <v/>
      </c>
      <c r="Z955" s="35" t="str">
        <f aca="false">IF($G955="","",$U955*1000000+ROW())</f>
        <v/>
      </c>
      <c r="AA955" s="36" t="str">
        <f aca="false">IF($G955="","",MID(IF($C955="",", no division","")&amp;IF($E955="",", no unit","")&amp;IF($H955="",", no career level","")&amp;IF(N($L955)&lt;=0,", no quarter split","")&amp;IF($R955="",", no driver","")&amp;IF(AND($H955&lt;&gt;"",COUNTIF(CareerLevels,$H955)=0),", a career level that is not on the ladder","")&amp;IF(AND($R955&lt;&gt;"",COUNTIF(DriverList,$R955)=0),", a driver that is not on the list","")&amp;IF(ABS(N($L955)-(N($M955)+N($N955)+N($O955)+N($P955)))&gt;0.001,", a total that does not match its quarters",""),3,300))</f>
        <v/>
      </c>
    </row>
    <row r="956" customFormat="false" ht="15" hidden="false" customHeight="false" outlineLevel="0" collapsed="false">
      <c r="A956" s="33" t="str">
        <f aca="false">IF($G956="","","Human Resources Group")</f>
        <v/>
      </c>
      <c r="B956" s="19"/>
      <c r="C956" s="19"/>
      <c r="D956" s="19"/>
      <c r="E956" s="19"/>
      <c r="F956" s="19"/>
      <c r="G956" s="19"/>
      <c r="H956" s="19"/>
      <c r="I956" s="19"/>
      <c r="J956" s="19"/>
      <c r="K956" s="19"/>
      <c r="L956" s="19"/>
      <c r="M956" s="19"/>
      <c r="N956" s="19"/>
      <c r="O956" s="19"/>
      <c r="P956" s="19"/>
      <c r="Q956" s="19"/>
      <c r="R956" s="19"/>
      <c r="S956" s="19"/>
      <c r="T956" s="34" t="str">
        <f aca="false">IF($R956="","",IFERROR(INDEX(DriverCategory,MATCH($R956,DriverList,0)),"BAU"))</f>
        <v/>
      </c>
      <c r="U956" s="34" t="str">
        <f aca="false">IF($R956="","",IFERROR(INDEX(DriverRank,MATCH($R956,DriverList,0)),99))</f>
        <v/>
      </c>
      <c r="V956" s="35" t="n">
        <f aca="false">IF($H956="",0,IFERROR(INDEX(LevelBasic,MATCH($H956,LevelList,0))+INDEX(LevelHousing,MATCH($H956,LevelList,0))+INDEX(LevelTransport,MATCH($H956,LevelList,0))+INDEX(LevelBasic,MATCH($H956,LevelList,0))*INDEX(LevelBonus,MATCH($H956,LevelList,0))+(INDEX(LevelBasic,MATCH($H956,LevelList,0))+INDEX(LevelHousing,MATCH($H956,LevelList,0)))*GosiSaudi,0))</f>
        <v>0</v>
      </c>
      <c r="W956" s="35" t="n">
        <f aca="false">IFERROR(INDEX(LevelOneOff,MATCH($H956,LevelList,0)),0)</f>
        <v>0</v>
      </c>
      <c r="X956" s="35" t="str">
        <f aca="false">IF($G956="","",$V956*N($L956))</f>
        <v/>
      </c>
      <c r="Y956" s="35" t="str">
        <f aca="false">IF($G956="","",$V956*(N($M956)*1+N($N956)*0.75+N($O956)*0.5+N($P956)*0.25)+$W956*N($L956))</f>
        <v/>
      </c>
      <c r="Z956" s="35" t="str">
        <f aca="false">IF($G956="","",$U956*1000000+ROW())</f>
        <v/>
      </c>
      <c r="AA956" s="36" t="str">
        <f aca="false">IF($G956="","",MID(IF($C956="",", no division","")&amp;IF($E956="",", no unit","")&amp;IF($H956="",", no career level","")&amp;IF(N($L956)&lt;=0,", no quarter split","")&amp;IF($R956="",", no driver","")&amp;IF(AND($H956&lt;&gt;"",COUNTIF(CareerLevels,$H956)=0),", a career level that is not on the ladder","")&amp;IF(AND($R956&lt;&gt;"",COUNTIF(DriverList,$R956)=0),", a driver that is not on the list","")&amp;IF(ABS(N($L956)-(N($M956)+N($N956)+N($O956)+N($P956)))&gt;0.001,", a total that does not match its quarters",""),3,300))</f>
        <v/>
      </c>
    </row>
    <row r="957" customFormat="false" ht="15" hidden="false" customHeight="false" outlineLevel="0" collapsed="false">
      <c r="A957" s="33" t="str">
        <f aca="false">IF($G957="","","Human Resources Group")</f>
        <v/>
      </c>
      <c r="B957" s="19"/>
      <c r="C957" s="19"/>
      <c r="D957" s="19"/>
      <c r="E957" s="19"/>
      <c r="F957" s="19"/>
      <c r="G957" s="19"/>
      <c r="H957" s="19"/>
      <c r="I957" s="19"/>
      <c r="J957" s="19"/>
      <c r="K957" s="19"/>
      <c r="L957" s="19"/>
      <c r="M957" s="19"/>
      <c r="N957" s="19"/>
      <c r="O957" s="19"/>
      <c r="P957" s="19"/>
      <c r="Q957" s="19"/>
      <c r="R957" s="19"/>
      <c r="S957" s="19"/>
      <c r="T957" s="34" t="str">
        <f aca="false">IF($R957="","",IFERROR(INDEX(DriverCategory,MATCH($R957,DriverList,0)),"BAU"))</f>
        <v/>
      </c>
      <c r="U957" s="34" t="str">
        <f aca="false">IF($R957="","",IFERROR(INDEX(DriverRank,MATCH($R957,DriverList,0)),99))</f>
        <v/>
      </c>
      <c r="V957" s="35" t="n">
        <f aca="false">IF($H957="",0,IFERROR(INDEX(LevelBasic,MATCH($H957,LevelList,0))+INDEX(LevelHousing,MATCH($H957,LevelList,0))+INDEX(LevelTransport,MATCH($H957,LevelList,0))+INDEX(LevelBasic,MATCH($H957,LevelList,0))*INDEX(LevelBonus,MATCH($H957,LevelList,0))+(INDEX(LevelBasic,MATCH($H957,LevelList,0))+INDEX(LevelHousing,MATCH($H957,LevelList,0)))*GosiSaudi,0))</f>
        <v>0</v>
      </c>
      <c r="W957" s="35" t="n">
        <f aca="false">IFERROR(INDEX(LevelOneOff,MATCH($H957,LevelList,0)),0)</f>
        <v>0</v>
      </c>
      <c r="X957" s="35" t="str">
        <f aca="false">IF($G957="","",$V957*N($L957))</f>
        <v/>
      </c>
      <c r="Y957" s="35" t="str">
        <f aca="false">IF($G957="","",$V957*(N($M957)*1+N($N957)*0.75+N($O957)*0.5+N($P957)*0.25)+$W957*N($L957))</f>
        <v/>
      </c>
      <c r="Z957" s="35" t="str">
        <f aca="false">IF($G957="","",$U957*1000000+ROW())</f>
        <v/>
      </c>
      <c r="AA957" s="36" t="str">
        <f aca="false">IF($G957="","",MID(IF($C957="",", no division","")&amp;IF($E957="",", no unit","")&amp;IF($H957="",", no career level","")&amp;IF(N($L957)&lt;=0,", no quarter split","")&amp;IF($R957="",", no driver","")&amp;IF(AND($H957&lt;&gt;"",COUNTIF(CareerLevels,$H957)=0),", a career level that is not on the ladder","")&amp;IF(AND($R957&lt;&gt;"",COUNTIF(DriverList,$R957)=0),", a driver that is not on the list","")&amp;IF(ABS(N($L957)-(N($M957)+N($N957)+N($O957)+N($P957)))&gt;0.001,", a total that does not match its quarters",""),3,300))</f>
        <v/>
      </c>
    </row>
    <row r="958" customFormat="false" ht="15" hidden="false" customHeight="false" outlineLevel="0" collapsed="false">
      <c r="A958" s="33" t="str">
        <f aca="false">IF($G958="","","Human Resources Group")</f>
        <v/>
      </c>
      <c r="B958" s="19"/>
      <c r="C958" s="19"/>
      <c r="D958" s="19"/>
      <c r="E958" s="19"/>
      <c r="F958" s="19"/>
      <c r="G958" s="19"/>
      <c r="H958" s="19"/>
      <c r="I958" s="19"/>
      <c r="J958" s="19"/>
      <c r="K958" s="19"/>
      <c r="L958" s="19"/>
      <c r="M958" s="19"/>
      <c r="N958" s="19"/>
      <c r="O958" s="19"/>
      <c r="P958" s="19"/>
      <c r="Q958" s="19"/>
      <c r="R958" s="19"/>
      <c r="S958" s="19"/>
      <c r="T958" s="34" t="str">
        <f aca="false">IF($R958="","",IFERROR(INDEX(DriverCategory,MATCH($R958,DriverList,0)),"BAU"))</f>
        <v/>
      </c>
      <c r="U958" s="34" t="str">
        <f aca="false">IF($R958="","",IFERROR(INDEX(DriverRank,MATCH($R958,DriverList,0)),99))</f>
        <v/>
      </c>
      <c r="V958" s="35" t="n">
        <f aca="false">IF($H958="",0,IFERROR(INDEX(LevelBasic,MATCH($H958,LevelList,0))+INDEX(LevelHousing,MATCH($H958,LevelList,0))+INDEX(LevelTransport,MATCH($H958,LevelList,0))+INDEX(LevelBasic,MATCH($H958,LevelList,0))*INDEX(LevelBonus,MATCH($H958,LevelList,0))+(INDEX(LevelBasic,MATCH($H958,LevelList,0))+INDEX(LevelHousing,MATCH($H958,LevelList,0)))*GosiSaudi,0))</f>
        <v>0</v>
      </c>
      <c r="W958" s="35" t="n">
        <f aca="false">IFERROR(INDEX(LevelOneOff,MATCH($H958,LevelList,0)),0)</f>
        <v>0</v>
      </c>
      <c r="X958" s="35" t="str">
        <f aca="false">IF($G958="","",$V958*N($L958))</f>
        <v/>
      </c>
      <c r="Y958" s="35" t="str">
        <f aca="false">IF($G958="","",$V958*(N($M958)*1+N($N958)*0.75+N($O958)*0.5+N($P958)*0.25)+$W958*N($L958))</f>
        <v/>
      </c>
      <c r="Z958" s="35" t="str">
        <f aca="false">IF($G958="","",$U958*1000000+ROW())</f>
        <v/>
      </c>
      <c r="AA958" s="36" t="str">
        <f aca="false">IF($G958="","",MID(IF($C958="",", no division","")&amp;IF($E958="",", no unit","")&amp;IF($H958="",", no career level","")&amp;IF(N($L958)&lt;=0,", no quarter split","")&amp;IF($R958="",", no driver","")&amp;IF(AND($H958&lt;&gt;"",COUNTIF(CareerLevels,$H958)=0),", a career level that is not on the ladder","")&amp;IF(AND($R958&lt;&gt;"",COUNTIF(DriverList,$R958)=0),", a driver that is not on the list","")&amp;IF(ABS(N($L958)-(N($M958)+N($N958)+N($O958)+N($P958)))&gt;0.001,", a total that does not match its quarters",""),3,300))</f>
        <v/>
      </c>
    </row>
    <row r="959" customFormat="false" ht="15" hidden="false" customHeight="false" outlineLevel="0" collapsed="false">
      <c r="A959" s="33" t="str">
        <f aca="false">IF($G959="","","Human Resources Group")</f>
        <v/>
      </c>
      <c r="B959" s="19"/>
      <c r="C959" s="19"/>
      <c r="D959" s="19"/>
      <c r="E959" s="19"/>
      <c r="F959" s="19"/>
      <c r="G959" s="19"/>
      <c r="H959" s="19"/>
      <c r="I959" s="19"/>
      <c r="J959" s="19"/>
      <c r="K959" s="19"/>
      <c r="L959" s="19"/>
      <c r="M959" s="19"/>
      <c r="N959" s="19"/>
      <c r="O959" s="19"/>
      <c r="P959" s="19"/>
      <c r="Q959" s="19"/>
      <c r="R959" s="19"/>
      <c r="S959" s="19"/>
      <c r="T959" s="34" t="str">
        <f aca="false">IF($R959="","",IFERROR(INDEX(DriverCategory,MATCH($R959,DriverList,0)),"BAU"))</f>
        <v/>
      </c>
      <c r="U959" s="34" t="str">
        <f aca="false">IF($R959="","",IFERROR(INDEX(DriverRank,MATCH($R959,DriverList,0)),99))</f>
        <v/>
      </c>
      <c r="V959" s="35" t="n">
        <f aca="false">IF($H959="",0,IFERROR(INDEX(LevelBasic,MATCH($H959,LevelList,0))+INDEX(LevelHousing,MATCH($H959,LevelList,0))+INDEX(LevelTransport,MATCH($H959,LevelList,0))+INDEX(LevelBasic,MATCH($H959,LevelList,0))*INDEX(LevelBonus,MATCH($H959,LevelList,0))+(INDEX(LevelBasic,MATCH($H959,LevelList,0))+INDEX(LevelHousing,MATCH($H959,LevelList,0)))*GosiSaudi,0))</f>
        <v>0</v>
      </c>
      <c r="W959" s="35" t="n">
        <f aca="false">IFERROR(INDEX(LevelOneOff,MATCH($H959,LevelList,0)),0)</f>
        <v>0</v>
      </c>
      <c r="X959" s="35" t="str">
        <f aca="false">IF($G959="","",$V959*N($L959))</f>
        <v/>
      </c>
      <c r="Y959" s="35" t="str">
        <f aca="false">IF($G959="","",$V959*(N($M959)*1+N($N959)*0.75+N($O959)*0.5+N($P959)*0.25)+$W959*N($L959))</f>
        <v/>
      </c>
      <c r="Z959" s="35" t="str">
        <f aca="false">IF($G959="","",$U959*1000000+ROW())</f>
        <v/>
      </c>
      <c r="AA959" s="36" t="str">
        <f aca="false">IF($G959="","",MID(IF($C959="",", no division","")&amp;IF($E959="",", no unit","")&amp;IF($H959="",", no career level","")&amp;IF(N($L959)&lt;=0,", no quarter split","")&amp;IF($R959="",", no driver","")&amp;IF(AND($H959&lt;&gt;"",COUNTIF(CareerLevels,$H959)=0),", a career level that is not on the ladder","")&amp;IF(AND($R959&lt;&gt;"",COUNTIF(DriverList,$R959)=0),", a driver that is not on the list","")&amp;IF(ABS(N($L959)-(N($M959)+N($N959)+N($O959)+N($P959)))&gt;0.001,", a total that does not match its quarters",""),3,300))</f>
        <v/>
      </c>
    </row>
    <row r="960" customFormat="false" ht="15" hidden="false" customHeight="false" outlineLevel="0" collapsed="false">
      <c r="A960" s="33" t="str">
        <f aca="false">IF($G960="","","Human Resources Group")</f>
        <v/>
      </c>
      <c r="B960" s="19"/>
      <c r="C960" s="19"/>
      <c r="D960" s="19"/>
      <c r="E960" s="19"/>
      <c r="F960" s="19"/>
      <c r="G960" s="19"/>
      <c r="H960" s="19"/>
      <c r="I960" s="19"/>
      <c r="J960" s="19"/>
      <c r="K960" s="19"/>
      <c r="L960" s="19"/>
      <c r="M960" s="19"/>
      <c r="N960" s="19"/>
      <c r="O960" s="19"/>
      <c r="P960" s="19"/>
      <c r="Q960" s="19"/>
      <c r="R960" s="19"/>
      <c r="S960" s="19"/>
      <c r="T960" s="34" t="str">
        <f aca="false">IF($R960="","",IFERROR(INDEX(DriverCategory,MATCH($R960,DriverList,0)),"BAU"))</f>
        <v/>
      </c>
      <c r="U960" s="34" t="str">
        <f aca="false">IF($R960="","",IFERROR(INDEX(DriverRank,MATCH($R960,DriverList,0)),99))</f>
        <v/>
      </c>
      <c r="V960" s="35" t="n">
        <f aca="false">IF($H960="",0,IFERROR(INDEX(LevelBasic,MATCH($H960,LevelList,0))+INDEX(LevelHousing,MATCH($H960,LevelList,0))+INDEX(LevelTransport,MATCH($H960,LevelList,0))+INDEX(LevelBasic,MATCH($H960,LevelList,0))*INDEX(LevelBonus,MATCH($H960,LevelList,0))+(INDEX(LevelBasic,MATCH($H960,LevelList,0))+INDEX(LevelHousing,MATCH($H960,LevelList,0)))*GosiSaudi,0))</f>
        <v>0</v>
      </c>
      <c r="W960" s="35" t="n">
        <f aca="false">IFERROR(INDEX(LevelOneOff,MATCH($H960,LevelList,0)),0)</f>
        <v>0</v>
      </c>
      <c r="X960" s="35" t="str">
        <f aca="false">IF($G960="","",$V960*N($L960))</f>
        <v/>
      </c>
      <c r="Y960" s="35" t="str">
        <f aca="false">IF($G960="","",$V960*(N($M960)*1+N($N960)*0.75+N($O960)*0.5+N($P960)*0.25)+$W960*N($L960))</f>
        <v/>
      </c>
      <c r="Z960" s="35" t="str">
        <f aca="false">IF($G960="","",$U960*1000000+ROW())</f>
        <v/>
      </c>
      <c r="AA960" s="36" t="str">
        <f aca="false">IF($G960="","",MID(IF($C960="",", no division","")&amp;IF($E960="",", no unit","")&amp;IF($H960="",", no career level","")&amp;IF(N($L960)&lt;=0,", no quarter split","")&amp;IF($R960="",", no driver","")&amp;IF(AND($H960&lt;&gt;"",COUNTIF(CareerLevels,$H960)=0),", a career level that is not on the ladder","")&amp;IF(AND($R960&lt;&gt;"",COUNTIF(DriverList,$R960)=0),", a driver that is not on the list","")&amp;IF(ABS(N($L960)-(N($M960)+N($N960)+N($O960)+N($P960)))&gt;0.001,", a total that does not match its quarters",""),3,300))</f>
        <v/>
      </c>
    </row>
    <row r="961" customFormat="false" ht="15" hidden="false" customHeight="false" outlineLevel="0" collapsed="false">
      <c r="A961" s="33" t="str">
        <f aca="false">IF($G961="","","Human Resources Group")</f>
        <v/>
      </c>
      <c r="B961" s="19"/>
      <c r="C961" s="19"/>
      <c r="D961" s="19"/>
      <c r="E961" s="19"/>
      <c r="F961" s="19"/>
      <c r="G961" s="19"/>
      <c r="H961" s="19"/>
      <c r="I961" s="19"/>
      <c r="J961" s="19"/>
      <c r="K961" s="19"/>
      <c r="L961" s="19"/>
      <c r="M961" s="19"/>
      <c r="N961" s="19"/>
      <c r="O961" s="19"/>
      <c r="P961" s="19"/>
      <c r="Q961" s="19"/>
      <c r="R961" s="19"/>
      <c r="S961" s="19"/>
      <c r="T961" s="34" t="str">
        <f aca="false">IF($R961="","",IFERROR(INDEX(DriverCategory,MATCH($R961,DriverList,0)),"BAU"))</f>
        <v/>
      </c>
      <c r="U961" s="34" t="str">
        <f aca="false">IF($R961="","",IFERROR(INDEX(DriverRank,MATCH($R961,DriverList,0)),99))</f>
        <v/>
      </c>
      <c r="V961" s="35" t="n">
        <f aca="false">IF($H961="",0,IFERROR(INDEX(LevelBasic,MATCH($H961,LevelList,0))+INDEX(LevelHousing,MATCH($H961,LevelList,0))+INDEX(LevelTransport,MATCH($H961,LevelList,0))+INDEX(LevelBasic,MATCH($H961,LevelList,0))*INDEX(LevelBonus,MATCH($H961,LevelList,0))+(INDEX(LevelBasic,MATCH($H961,LevelList,0))+INDEX(LevelHousing,MATCH($H961,LevelList,0)))*GosiSaudi,0))</f>
        <v>0</v>
      </c>
      <c r="W961" s="35" t="n">
        <f aca="false">IFERROR(INDEX(LevelOneOff,MATCH($H961,LevelList,0)),0)</f>
        <v>0</v>
      </c>
      <c r="X961" s="35" t="str">
        <f aca="false">IF($G961="","",$V961*N($L961))</f>
        <v/>
      </c>
      <c r="Y961" s="35" t="str">
        <f aca="false">IF($G961="","",$V961*(N($M961)*1+N($N961)*0.75+N($O961)*0.5+N($P961)*0.25)+$W961*N($L961))</f>
        <v/>
      </c>
      <c r="Z961" s="35" t="str">
        <f aca="false">IF($G961="","",$U961*1000000+ROW())</f>
        <v/>
      </c>
      <c r="AA961" s="36" t="str">
        <f aca="false">IF($G961="","",MID(IF($C961="",", no division","")&amp;IF($E961="",", no unit","")&amp;IF($H961="",", no career level","")&amp;IF(N($L961)&lt;=0,", no quarter split","")&amp;IF($R961="",", no driver","")&amp;IF(AND($H961&lt;&gt;"",COUNTIF(CareerLevels,$H961)=0),", a career level that is not on the ladder","")&amp;IF(AND($R961&lt;&gt;"",COUNTIF(DriverList,$R961)=0),", a driver that is not on the list","")&amp;IF(ABS(N($L961)-(N($M961)+N($N961)+N($O961)+N($P961)))&gt;0.001,", a total that does not match its quarters",""),3,300))</f>
        <v/>
      </c>
    </row>
    <row r="962" customFormat="false" ht="15" hidden="false" customHeight="false" outlineLevel="0" collapsed="false">
      <c r="A962" s="33" t="str">
        <f aca="false">IF($G962="","","Human Resources Group")</f>
        <v/>
      </c>
      <c r="B962" s="19"/>
      <c r="C962" s="19"/>
      <c r="D962" s="19"/>
      <c r="E962" s="19"/>
      <c r="F962" s="19"/>
      <c r="G962" s="19"/>
      <c r="H962" s="19"/>
      <c r="I962" s="19"/>
      <c r="J962" s="19"/>
      <c r="K962" s="19"/>
      <c r="L962" s="19"/>
      <c r="M962" s="19"/>
      <c r="N962" s="19"/>
      <c r="O962" s="19"/>
      <c r="P962" s="19"/>
      <c r="Q962" s="19"/>
      <c r="R962" s="19"/>
      <c r="S962" s="19"/>
      <c r="T962" s="34" t="str">
        <f aca="false">IF($R962="","",IFERROR(INDEX(DriverCategory,MATCH($R962,DriverList,0)),"BAU"))</f>
        <v/>
      </c>
      <c r="U962" s="34" t="str">
        <f aca="false">IF($R962="","",IFERROR(INDEX(DriverRank,MATCH($R962,DriverList,0)),99))</f>
        <v/>
      </c>
      <c r="V962" s="35" t="n">
        <f aca="false">IF($H962="",0,IFERROR(INDEX(LevelBasic,MATCH($H962,LevelList,0))+INDEX(LevelHousing,MATCH($H962,LevelList,0))+INDEX(LevelTransport,MATCH($H962,LevelList,0))+INDEX(LevelBasic,MATCH($H962,LevelList,0))*INDEX(LevelBonus,MATCH($H962,LevelList,0))+(INDEX(LevelBasic,MATCH($H962,LevelList,0))+INDEX(LevelHousing,MATCH($H962,LevelList,0)))*GosiSaudi,0))</f>
        <v>0</v>
      </c>
      <c r="W962" s="35" t="n">
        <f aca="false">IFERROR(INDEX(LevelOneOff,MATCH($H962,LevelList,0)),0)</f>
        <v>0</v>
      </c>
      <c r="X962" s="35" t="str">
        <f aca="false">IF($G962="","",$V962*N($L962))</f>
        <v/>
      </c>
      <c r="Y962" s="35" t="str">
        <f aca="false">IF($G962="","",$V962*(N($M962)*1+N($N962)*0.75+N($O962)*0.5+N($P962)*0.25)+$W962*N($L962))</f>
        <v/>
      </c>
      <c r="Z962" s="35" t="str">
        <f aca="false">IF($G962="","",$U962*1000000+ROW())</f>
        <v/>
      </c>
      <c r="AA962" s="36" t="str">
        <f aca="false">IF($G962="","",MID(IF($C962="",", no division","")&amp;IF($E962="",", no unit","")&amp;IF($H962="",", no career level","")&amp;IF(N($L962)&lt;=0,", no quarter split","")&amp;IF($R962="",", no driver","")&amp;IF(AND($H962&lt;&gt;"",COUNTIF(CareerLevels,$H962)=0),", a career level that is not on the ladder","")&amp;IF(AND($R962&lt;&gt;"",COUNTIF(DriverList,$R962)=0),", a driver that is not on the list","")&amp;IF(ABS(N($L962)-(N($M962)+N($N962)+N($O962)+N($P962)))&gt;0.001,", a total that does not match its quarters",""),3,300))</f>
        <v/>
      </c>
    </row>
    <row r="963" customFormat="false" ht="15" hidden="false" customHeight="false" outlineLevel="0" collapsed="false">
      <c r="A963" s="33" t="str">
        <f aca="false">IF($G963="","","Human Resources Group")</f>
        <v/>
      </c>
      <c r="B963" s="19"/>
      <c r="C963" s="19"/>
      <c r="D963" s="19"/>
      <c r="E963" s="19"/>
      <c r="F963" s="19"/>
      <c r="G963" s="19"/>
      <c r="H963" s="19"/>
      <c r="I963" s="19"/>
      <c r="J963" s="19"/>
      <c r="K963" s="19"/>
      <c r="L963" s="19"/>
      <c r="M963" s="19"/>
      <c r="N963" s="19"/>
      <c r="O963" s="19"/>
      <c r="P963" s="19"/>
      <c r="Q963" s="19"/>
      <c r="R963" s="19"/>
      <c r="S963" s="19"/>
      <c r="T963" s="34" t="str">
        <f aca="false">IF($R963="","",IFERROR(INDEX(DriverCategory,MATCH($R963,DriverList,0)),"BAU"))</f>
        <v/>
      </c>
      <c r="U963" s="34" t="str">
        <f aca="false">IF($R963="","",IFERROR(INDEX(DriverRank,MATCH($R963,DriverList,0)),99))</f>
        <v/>
      </c>
      <c r="V963" s="35" t="n">
        <f aca="false">IF($H963="",0,IFERROR(INDEX(LevelBasic,MATCH($H963,LevelList,0))+INDEX(LevelHousing,MATCH($H963,LevelList,0))+INDEX(LevelTransport,MATCH($H963,LevelList,0))+INDEX(LevelBasic,MATCH($H963,LevelList,0))*INDEX(LevelBonus,MATCH($H963,LevelList,0))+(INDEX(LevelBasic,MATCH($H963,LevelList,0))+INDEX(LevelHousing,MATCH($H963,LevelList,0)))*GosiSaudi,0))</f>
        <v>0</v>
      </c>
      <c r="W963" s="35" t="n">
        <f aca="false">IFERROR(INDEX(LevelOneOff,MATCH($H963,LevelList,0)),0)</f>
        <v>0</v>
      </c>
      <c r="X963" s="35" t="str">
        <f aca="false">IF($G963="","",$V963*N($L963))</f>
        <v/>
      </c>
      <c r="Y963" s="35" t="str">
        <f aca="false">IF($G963="","",$V963*(N($M963)*1+N($N963)*0.75+N($O963)*0.5+N($P963)*0.25)+$W963*N($L963))</f>
        <v/>
      </c>
      <c r="Z963" s="35" t="str">
        <f aca="false">IF($G963="","",$U963*1000000+ROW())</f>
        <v/>
      </c>
      <c r="AA963" s="36" t="str">
        <f aca="false">IF($G963="","",MID(IF($C963="",", no division","")&amp;IF($E963="",", no unit","")&amp;IF($H963="",", no career level","")&amp;IF(N($L963)&lt;=0,", no quarter split","")&amp;IF($R963="",", no driver","")&amp;IF(AND($H963&lt;&gt;"",COUNTIF(CareerLevels,$H963)=0),", a career level that is not on the ladder","")&amp;IF(AND($R963&lt;&gt;"",COUNTIF(DriverList,$R963)=0),", a driver that is not on the list","")&amp;IF(ABS(N($L963)-(N($M963)+N($N963)+N($O963)+N($P963)))&gt;0.001,", a total that does not match its quarters",""),3,300))</f>
        <v/>
      </c>
    </row>
    <row r="964" customFormat="false" ht="15" hidden="false" customHeight="false" outlineLevel="0" collapsed="false">
      <c r="A964" s="33" t="str">
        <f aca="false">IF($G964="","","Human Resources Group")</f>
        <v/>
      </c>
      <c r="B964" s="19"/>
      <c r="C964" s="19"/>
      <c r="D964" s="19"/>
      <c r="E964" s="19"/>
      <c r="F964" s="19"/>
      <c r="G964" s="19"/>
      <c r="H964" s="19"/>
      <c r="I964" s="19"/>
      <c r="J964" s="19"/>
      <c r="K964" s="19"/>
      <c r="L964" s="19"/>
      <c r="M964" s="19"/>
      <c r="N964" s="19"/>
      <c r="O964" s="19"/>
      <c r="P964" s="19"/>
      <c r="Q964" s="19"/>
      <c r="R964" s="19"/>
      <c r="S964" s="19"/>
      <c r="T964" s="34" t="str">
        <f aca="false">IF($R964="","",IFERROR(INDEX(DriverCategory,MATCH($R964,DriverList,0)),"BAU"))</f>
        <v/>
      </c>
      <c r="U964" s="34" t="str">
        <f aca="false">IF($R964="","",IFERROR(INDEX(DriverRank,MATCH($R964,DriverList,0)),99))</f>
        <v/>
      </c>
      <c r="V964" s="35" t="n">
        <f aca="false">IF($H964="",0,IFERROR(INDEX(LevelBasic,MATCH($H964,LevelList,0))+INDEX(LevelHousing,MATCH($H964,LevelList,0))+INDEX(LevelTransport,MATCH($H964,LevelList,0))+INDEX(LevelBasic,MATCH($H964,LevelList,0))*INDEX(LevelBonus,MATCH($H964,LevelList,0))+(INDEX(LevelBasic,MATCH($H964,LevelList,0))+INDEX(LevelHousing,MATCH($H964,LevelList,0)))*GosiSaudi,0))</f>
        <v>0</v>
      </c>
      <c r="W964" s="35" t="n">
        <f aca="false">IFERROR(INDEX(LevelOneOff,MATCH($H964,LevelList,0)),0)</f>
        <v>0</v>
      </c>
      <c r="X964" s="35" t="str">
        <f aca="false">IF($G964="","",$V964*N($L964))</f>
        <v/>
      </c>
      <c r="Y964" s="35" t="str">
        <f aca="false">IF($G964="","",$V964*(N($M964)*1+N($N964)*0.75+N($O964)*0.5+N($P964)*0.25)+$W964*N($L964))</f>
        <v/>
      </c>
      <c r="Z964" s="35" t="str">
        <f aca="false">IF($G964="","",$U964*1000000+ROW())</f>
        <v/>
      </c>
      <c r="AA964" s="36" t="str">
        <f aca="false">IF($G964="","",MID(IF($C964="",", no division","")&amp;IF($E964="",", no unit","")&amp;IF($H964="",", no career level","")&amp;IF(N($L964)&lt;=0,", no quarter split","")&amp;IF($R964="",", no driver","")&amp;IF(AND($H964&lt;&gt;"",COUNTIF(CareerLevels,$H964)=0),", a career level that is not on the ladder","")&amp;IF(AND($R964&lt;&gt;"",COUNTIF(DriverList,$R964)=0),", a driver that is not on the list","")&amp;IF(ABS(N($L964)-(N($M964)+N($N964)+N($O964)+N($P964)))&gt;0.001,", a total that does not match its quarters",""),3,300))</f>
        <v/>
      </c>
    </row>
    <row r="965" customFormat="false" ht="15" hidden="false" customHeight="false" outlineLevel="0" collapsed="false">
      <c r="A965" s="33" t="str">
        <f aca="false">IF($G965="","","Human Resources Group")</f>
        <v/>
      </c>
      <c r="B965" s="19"/>
      <c r="C965" s="19"/>
      <c r="D965" s="19"/>
      <c r="E965" s="19"/>
      <c r="F965" s="19"/>
      <c r="G965" s="19"/>
      <c r="H965" s="19"/>
      <c r="I965" s="19"/>
      <c r="J965" s="19"/>
      <c r="K965" s="19"/>
      <c r="L965" s="19"/>
      <c r="M965" s="19"/>
      <c r="N965" s="19"/>
      <c r="O965" s="19"/>
      <c r="P965" s="19"/>
      <c r="Q965" s="19"/>
      <c r="R965" s="19"/>
      <c r="S965" s="19"/>
      <c r="T965" s="34" t="str">
        <f aca="false">IF($R965="","",IFERROR(INDEX(DriverCategory,MATCH($R965,DriverList,0)),"BAU"))</f>
        <v/>
      </c>
      <c r="U965" s="34" t="str">
        <f aca="false">IF($R965="","",IFERROR(INDEX(DriverRank,MATCH($R965,DriverList,0)),99))</f>
        <v/>
      </c>
      <c r="V965" s="35" t="n">
        <f aca="false">IF($H965="",0,IFERROR(INDEX(LevelBasic,MATCH($H965,LevelList,0))+INDEX(LevelHousing,MATCH($H965,LevelList,0))+INDEX(LevelTransport,MATCH($H965,LevelList,0))+INDEX(LevelBasic,MATCH($H965,LevelList,0))*INDEX(LevelBonus,MATCH($H965,LevelList,0))+(INDEX(LevelBasic,MATCH($H965,LevelList,0))+INDEX(LevelHousing,MATCH($H965,LevelList,0)))*GosiSaudi,0))</f>
        <v>0</v>
      </c>
      <c r="W965" s="35" t="n">
        <f aca="false">IFERROR(INDEX(LevelOneOff,MATCH($H965,LevelList,0)),0)</f>
        <v>0</v>
      </c>
      <c r="X965" s="35" t="str">
        <f aca="false">IF($G965="","",$V965*N($L965))</f>
        <v/>
      </c>
      <c r="Y965" s="35" t="str">
        <f aca="false">IF($G965="","",$V965*(N($M965)*1+N($N965)*0.75+N($O965)*0.5+N($P965)*0.25)+$W965*N($L965))</f>
        <v/>
      </c>
      <c r="Z965" s="35" t="str">
        <f aca="false">IF($G965="","",$U965*1000000+ROW())</f>
        <v/>
      </c>
      <c r="AA965" s="36" t="str">
        <f aca="false">IF($G965="","",MID(IF($C965="",", no division","")&amp;IF($E965="",", no unit","")&amp;IF($H965="",", no career level","")&amp;IF(N($L965)&lt;=0,", no quarter split","")&amp;IF($R965="",", no driver","")&amp;IF(AND($H965&lt;&gt;"",COUNTIF(CareerLevels,$H965)=0),", a career level that is not on the ladder","")&amp;IF(AND($R965&lt;&gt;"",COUNTIF(DriverList,$R965)=0),", a driver that is not on the list","")&amp;IF(ABS(N($L965)-(N($M965)+N($N965)+N($O965)+N($P965)))&gt;0.001,", a total that does not match its quarters",""),3,300))</f>
        <v/>
      </c>
    </row>
    <row r="966" customFormat="false" ht="15" hidden="false" customHeight="false" outlineLevel="0" collapsed="false">
      <c r="A966" s="33" t="str">
        <f aca="false">IF($G966="","","Human Resources Group")</f>
        <v/>
      </c>
      <c r="B966" s="19"/>
      <c r="C966" s="19"/>
      <c r="D966" s="19"/>
      <c r="E966" s="19"/>
      <c r="F966" s="19"/>
      <c r="G966" s="19"/>
      <c r="H966" s="19"/>
      <c r="I966" s="19"/>
      <c r="J966" s="19"/>
      <c r="K966" s="19"/>
      <c r="L966" s="19"/>
      <c r="M966" s="19"/>
      <c r="N966" s="19"/>
      <c r="O966" s="19"/>
      <c r="P966" s="19"/>
      <c r="Q966" s="19"/>
      <c r="R966" s="19"/>
      <c r="S966" s="19"/>
      <c r="T966" s="34" t="str">
        <f aca="false">IF($R966="","",IFERROR(INDEX(DriverCategory,MATCH($R966,DriverList,0)),"BAU"))</f>
        <v/>
      </c>
      <c r="U966" s="34" t="str">
        <f aca="false">IF($R966="","",IFERROR(INDEX(DriverRank,MATCH($R966,DriverList,0)),99))</f>
        <v/>
      </c>
      <c r="V966" s="35" t="n">
        <f aca="false">IF($H966="",0,IFERROR(INDEX(LevelBasic,MATCH($H966,LevelList,0))+INDEX(LevelHousing,MATCH($H966,LevelList,0))+INDEX(LevelTransport,MATCH($H966,LevelList,0))+INDEX(LevelBasic,MATCH($H966,LevelList,0))*INDEX(LevelBonus,MATCH($H966,LevelList,0))+(INDEX(LevelBasic,MATCH($H966,LevelList,0))+INDEX(LevelHousing,MATCH($H966,LevelList,0)))*GosiSaudi,0))</f>
        <v>0</v>
      </c>
      <c r="W966" s="35" t="n">
        <f aca="false">IFERROR(INDEX(LevelOneOff,MATCH($H966,LevelList,0)),0)</f>
        <v>0</v>
      </c>
      <c r="X966" s="35" t="str">
        <f aca="false">IF($G966="","",$V966*N($L966))</f>
        <v/>
      </c>
      <c r="Y966" s="35" t="str">
        <f aca="false">IF($G966="","",$V966*(N($M966)*1+N($N966)*0.75+N($O966)*0.5+N($P966)*0.25)+$W966*N($L966))</f>
        <v/>
      </c>
      <c r="Z966" s="35" t="str">
        <f aca="false">IF($G966="","",$U966*1000000+ROW())</f>
        <v/>
      </c>
      <c r="AA966" s="36" t="str">
        <f aca="false">IF($G966="","",MID(IF($C966="",", no division","")&amp;IF($E966="",", no unit","")&amp;IF($H966="",", no career level","")&amp;IF(N($L966)&lt;=0,", no quarter split","")&amp;IF($R966="",", no driver","")&amp;IF(AND($H966&lt;&gt;"",COUNTIF(CareerLevels,$H966)=0),", a career level that is not on the ladder","")&amp;IF(AND($R966&lt;&gt;"",COUNTIF(DriverList,$R966)=0),", a driver that is not on the list","")&amp;IF(ABS(N($L966)-(N($M966)+N($N966)+N($O966)+N($P966)))&gt;0.001,", a total that does not match its quarters",""),3,300))</f>
        <v/>
      </c>
    </row>
    <row r="967" customFormat="false" ht="15" hidden="false" customHeight="false" outlineLevel="0" collapsed="false">
      <c r="A967" s="33" t="str">
        <f aca="false">IF($G967="","","Human Resources Group")</f>
        <v/>
      </c>
      <c r="B967" s="19"/>
      <c r="C967" s="19"/>
      <c r="D967" s="19"/>
      <c r="E967" s="19"/>
      <c r="F967" s="19"/>
      <c r="G967" s="19"/>
      <c r="H967" s="19"/>
      <c r="I967" s="19"/>
      <c r="J967" s="19"/>
      <c r="K967" s="19"/>
      <c r="L967" s="19"/>
      <c r="M967" s="19"/>
      <c r="N967" s="19"/>
      <c r="O967" s="19"/>
      <c r="P967" s="19"/>
      <c r="Q967" s="19"/>
      <c r="R967" s="19"/>
      <c r="S967" s="19"/>
      <c r="T967" s="34" t="str">
        <f aca="false">IF($R967="","",IFERROR(INDEX(DriverCategory,MATCH($R967,DriverList,0)),"BAU"))</f>
        <v/>
      </c>
      <c r="U967" s="34" t="str">
        <f aca="false">IF($R967="","",IFERROR(INDEX(DriverRank,MATCH($R967,DriverList,0)),99))</f>
        <v/>
      </c>
      <c r="V967" s="35" t="n">
        <f aca="false">IF($H967="",0,IFERROR(INDEX(LevelBasic,MATCH($H967,LevelList,0))+INDEX(LevelHousing,MATCH($H967,LevelList,0))+INDEX(LevelTransport,MATCH($H967,LevelList,0))+INDEX(LevelBasic,MATCH($H967,LevelList,0))*INDEX(LevelBonus,MATCH($H967,LevelList,0))+(INDEX(LevelBasic,MATCH($H967,LevelList,0))+INDEX(LevelHousing,MATCH($H967,LevelList,0)))*GosiSaudi,0))</f>
        <v>0</v>
      </c>
      <c r="W967" s="35" t="n">
        <f aca="false">IFERROR(INDEX(LevelOneOff,MATCH($H967,LevelList,0)),0)</f>
        <v>0</v>
      </c>
      <c r="X967" s="35" t="str">
        <f aca="false">IF($G967="","",$V967*N($L967))</f>
        <v/>
      </c>
      <c r="Y967" s="35" t="str">
        <f aca="false">IF($G967="","",$V967*(N($M967)*1+N($N967)*0.75+N($O967)*0.5+N($P967)*0.25)+$W967*N($L967))</f>
        <v/>
      </c>
      <c r="Z967" s="35" t="str">
        <f aca="false">IF($G967="","",$U967*1000000+ROW())</f>
        <v/>
      </c>
      <c r="AA967" s="36" t="str">
        <f aca="false">IF($G967="","",MID(IF($C967="",", no division","")&amp;IF($E967="",", no unit","")&amp;IF($H967="",", no career level","")&amp;IF(N($L967)&lt;=0,", no quarter split","")&amp;IF($R967="",", no driver","")&amp;IF(AND($H967&lt;&gt;"",COUNTIF(CareerLevels,$H967)=0),", a career level that is not on the ladder","")&amp;IF(AND($R967&lt;&gt;"",COUNTIF(DriverList,$R967)=0),", a driver that is not on the list","")&amp;IF(ABS(N($L967)-(N($M967)+N($N967)+N($O967)+N($P967)))&gt;0.001,", a total that does not match its quarters",""),3,300))</f>
        <v/>
      </c>
    </row>
    <row r="968" customFormat="false" ht="15" hidden="false" customHeight="false" outlineLevel="0" collapsed="false">
      <c r="A968" s="33" t="str">
        <f aca="false">IF($G968="","","Human Resources Group")</f>
        <v/>
      </c>
      <c r="B968" s="19"/>
      <c r="C968" s="19"/>
      <c r="D968" s="19"/>
      <c r="E968" s="19"/>
      <c r="F968" s="19"/>
      <c r="G968" s="19"/>
      <c r="H968" s="19"/>
      <c r="I968" s="19"/>
      <c r="J968" s="19"/>
      <c r="K968" s="19"/>
      <c r="L968" s="19"/>
      <c r="M968" s="19"/>
      <c r="N968" s="19"/>
      <c r="O968" s="19"/>
      <c r="P968" s="19"/>
      <c r="Q968" s="19"/>
      <c r="R968" s="19"/>
      <c r="S968" s="19"/>
      <c r="T968" s="34" t="str">
        <f aca="false">IF($R968="","",IFERROR(INDEX(DriverCategory,MATCH($R968,DriverList,0)),"BAU"))</f>
        <v/>
      </c>
      <c r="U968" s="34" t="str">
        <f aca="false">IF($R968="","",IFERROR(INDEX(DriverRank,MATCH($R968,DriverList,0)),99))</f>
        <v/>
      </c>
      <c r="V968" s="35" t="n">
        <f aca="false">IF($H968="",0,IFERROR(INDEX(LevelBasic,MATCH($H968,LevelList,0))+INDEX(LevelHousing,MATCH($H968,LevelList,0))+INDEX(LevelTransport,MATCH($H968,LevelList,0))+INDEX(LevelBasic,MATCH($H968,LevelList,0))*INDEX(LevelBonus,MATCH($H968,LevelList,0))+(INDEX(LevelBasic,MATCH($H968,LevelList,0))+INDEX(LevelHousing,MATCH($H968,LevelList,0)))*GosiSaudi,0))</f>
        <v>0</v>
      </c>
      <c r="W968" s="35" t="n">
        <f aca="false">IFERROR(INDEX(LevelOneOff,MATCH($H968,LevelList,0)),0)</f>
        <v>0</v>
      </c>
      <c r="X968" s="35" t="str">
        <f aca="false">IF($G968="","",$V968*N($L968))</f>
        <v/>
      </c>
      <c r="Y968" s="35" t="str">
        <f aca="false">IF($G968="","",$V968*(N($M968)*1+N($N968)*0.75+N($O968)*0.5+N($P968)*0.25)+$W968*N($L968))</f>
        <v/>
      </c>
      <c r="Z968" s="35" t="str">
        <f aca="false">IF($G968="","",$U968*1000000+ROW())</f>
        <v/>
      </c>
      <c r="AA968" s="36" t="str">
        <f aca="false">IF($G968="","",MID(IF($C968="",", no division","")&amp;IF($E968="",", no unit","")&amp;IF($H968="",", no career level","")&amp;IF(N($L968)&lt;=0,", no quarter split","")&amp;IF($R968="",", no driver","")&amp;IF(AND($H968&lt;&gt;"",COUNTIF(CareerLevels,$H968)=0),", a career level that is not on the ladder","")&amp;IF(AND($R968&lt;&gt;"",COUNTIF(DriverList,$R968)=0),", a driver that is not on the list","")&amp;IF(ABS(N($L968)-(N($M968)+N($N968)+N($O968)+N($P968)))&gt;0.001,", a total that does not match its quarters",""),3,300))</f>
        <v/>
      </c>
    </row>
    <row r="969" customFormat="false" ht="15" hidden="false" customHeight="false" outlineLevel="0" collapsed="false">
      <c r="A969" s="33" t="str">
        <f aca="false">IF($G969="","","Human Resources Group")</f>
        <v/>
      </c>
      <c r="B969" s="19"/>
      <c r="C969" s="19"/>
      <c r="D969" s="19"/>
      <c r="E969" s="19"/>
      <c r="F969" s="19"/>
      <c r="G969" s="19"/>
      <c r="H969" s="19"/>
      <c r="I969" s="19"/>
      <c r="J969" s="19"/>
      <c r="K969" s="19"/>
      <c r="L969" s="19"/>
      <c r="M969" s="19"/>
      <c r="N969" s="19"/>
      <c r="O969" s="19"/>
      <c r="P969" s="19"/>
      <c r="Q969" s="19"/>
      <c r="R969" s="19"/>
      <c r="S969" s="19"/>
      <c r="T969" s="34" t="str">
        <f aca="false">IF($R969="","",IFERROR(INDEX(DriverCategory,MATCH($R969,DriverList,0)),"BAU"))</f>
        <v/>
      </c>
      <c r="U969" s="34" t="str">
        <f aca="false">IF($R969="","",IFERROR(INDEX(DriverRank,MATCH($R969,DriverList,0)),99))</f>
        <v/>
      </c>
      <c r="V969" s="35" t="n">
        <f aca="false">IF($H969="",0,IFERROR(INDEX(LevelBasic,MATCH($H969,LevelList,0))+INDEX(LevelHousing,MATCH($H969,LevelList,0))+INDEX(LevelTransport,MATCH($H969,LevelList,0))+INDEX(LevelBasic,MATCH($H969,LevelList,0))*INDEX(LevelBonus,MATCH($H969,LevelList,0))+(INDEX(LevelBasic,MATCH($H969,LevelList,0))+INDEX(LevelHousing,MATCH($H969,LevelList,0)))*GosiSaudi,0))</f>
        <v>0</v>
      </c>
      <c r="W969" s="35" t="n">
        <f aca="false">IFERROR(INDEX(LevelOneOff,MATCH($H969,LevelList,0)),0)</f>
        <v>0</v>
      </c>
      <c r="X969" s="35" t="str">
        <f aca="false">IF($G969="","",$V969*N($L969))</f>
        <v/>
      </c>
      <c r="Y969" s="35" t="str">
        <f aca="false">IF($G969="","",$V969*(N($M969)*1+N($N969)*0.75+N($O969)*0.5+N($P969)*0.25)+$W969*N($L969))</f>
        <v/>
      </c>
      <c r="Z969" s="35" t="str">
        <f aca="false">IF($G969="","",$U969*1000000+ROW())</f>
        <v/>
      </c>
      <c r="AA969" s="36" t="str">
        <f aca="false">IF($G969="","",MID(IF($C969="",", no division","")&amp;IF($E969="",", no unit","")&amp;IF($H969="",", no career level","")&amp;IF(N($L969)&lt;=0,", no quarter split","")&amp;IF($R969="",", no driver","")&amp;IF(AND($H969&lt;&gt;"",COUNTIF(CareerLevels,$H969)=0),", a career level that is not on the ladder","")&amp;IF(AND($R969&lt;&gt;"",COUNTIF(DriverList,$R969)=0),", a driver that is not on the list","")&amp;IF(ABS(N($L969)-(N($M969)+N($N969)+N($O969)+N($P969)))&gt;0.001,", a total that does not match its quarters",""),3,300))</f>
        <v/>
      </c>
    </row>
    <row r="970" customFormat="false" ht="15" hidden="false" customHeight="false" outlineLevel="0" collapsed="false">
      <c r="A970" s="33" t="str">
        <f aca="false">IF($G970="","","Human Resources Group")</f>
        <v/>
      </c>
      <c r="B970" s="19"/>
      <c r="C970" s="19"/>
      <c r="D970" s="19"/>
      <c r="E970" s="19"/>
      <c r="F970" s="19"/>
      <c r="G970" s="19"/>
      <c r="H970" s="19"/>
      <c r="I970" s="19"/>
      <c r="J970" s="19"/>
      <c r="K970" s="19"/>
      <c r="L970" s="19"/>
      <c r="M970" s="19"/>
      <c r="N970" s="19"/>
      <c r="O970" s="19"/>
      <c r="P970" s="19"/>
      <c r="Q970" s="19"/>
      <c r="R970" s="19"/>
      <c r="S970" s="19"/>
      <c r="T970" s="34" t="str">
        <f aca="false">IF($R970="","",IFERROR(INDEX(DriverCategory,MATCH($R970,DriverList,0)),"BAU"))</f>
        <v/>
      </c>
      <c r="U970" s="34" t="str">
        <f aca="false">IF($R970="","",IFERROR(INDEX(DriverRank,MATCH($R970,DriverList,0)),99))</f>
        <v/>
      </c>
      <c r="V970" s="35" t="n">
        <f aca="false">IF($H970="",0,IFERROR(INDEX(LevelBasic,MATCH($H970,LevelList,0))+INDEX(LevelHousing,MATCH($H970,LevelList,0))+INDEX(LevelTransport,MATCH($H970,LevelList,0))+INDEX(LevelBasic,MATCH($H970,LevelList,0))*INDEX(LevelBonus,MATCH($H970,LevelList,0))+(INDEX(LevelBasic,MATCH($H970,LevelList,0))+INDEX(LevelHousing,MATCH($H970,LevelList,0)))*GosiSaudi,0))</f>
        <v>0</v>
      </c>
      <c r="W970" s="35" t="n">
        <f aca="false">IFERROR(INDEX(LevelOneOff,MATCH($H970,LevelList,0)),0)</f>
        <v>0</v>
      </c>
      <c r="X970" s="35" t="str">
        <f aca="false">IF($G970="","",$V970*N($L970))</f>
        <v/>
      </c>
      <c r="Y970" s="35" t="str">
        <f aca="false">IF($G970="","",$V970*(N($M970)*1+N($N970)*0.75+N($O970)*0.5+N($P970)*0.25)+$W970*N($L970))</f>
        <v/>
      </c>
      <c r="Z970" s="35" t="str">
        <f aca="false">IF($G970="","",$U970*1000000+ROW())</f>
        <v/>
      </c>
      <c r="AA970" s="36" t="str">
        <f aca="false">IF($G970="","",MID(IF($C970="",", no division","")&amp;IF($E970="",", no unit","")&amp;IF($H970="",", no career level","")&amp;IF(N($L970)&lt;=0,", no quarter split","")&amp;IF($R970="",", no driver","")&amp;IF(AND($H970&lt;&gt;"",COUNTIF(CareerLevels,$H970)=0),", a career level that is not on the ladder","")&amp;IF(AND($R970&lt;&gt;"",COUNTIF(DriverList,$R970)=0),", a driver that is not on the list","")&amp;IF(ABS(N($L970)-(N($M970)+N($N970)+N($O970)+N($P970)))&gt;0.001,", a total that does not match its quarters",""),3,300))</f>
        <v/>
      </c>
    </row>
    <row r="971" customFormat="false" ht="15" hidden="false" customHeight="false" outlineLevel="0" collapsed="false">
      <c r="A971" s="33" t="str">
        <f aca="false">IF($G971="","","Human Resources Group")</f>
        <v/>
      </c>
      <c r="B971" s="19"/>
      <c r="C971" s="19"/>
      <c r="D971" s="19"/>
      <c r="E971" s="19"/>
      <c r="F971" s="19"/>
      <c r="G971" s="19"/>
      <c r="H971" s="19"/>
      <c r="I971" s="19"/>
      <c r="J971" s="19"/>
      <c r="K971" s="19"/>
      <c r="L971" s="19"/>
      <c r="M971" s="19"/>
      <c r="N971" s="19"/>
      <c r="O971" s="19"/>
      <c r="P971" s="19"/>
      <c r="Q971" s="19"/>
      <c r="R971" s="19"/>
      <c r="S971" s="19"/>
      <c r="T971" s="34" t="str">
        <f aca="false">IF($R971="","",IFERROR(INDEX(DriverCategory,MATCH($R971,DriverList,0)),"BAU"))</f>
        <v/>
      </c>
      <c r="U971" s="34" t="str">
        <f aca="false">IF($R971="","",IFERROR(INDEX(DriverRank,MATCH($R971,DriverList,0)),99))</f>
        <v/>
      </c>
      <c r="V971" s="35" t="n">
        <f aca="false">IF($H971="",0,IFERROR(INDEX(LevelBasic,MATCH($H971,LevelList,0))+INDEX(LevelHousing,MATCH($H971,LevelList,0))+INDEX(LevelTransport,MATCH($H971,LevelList,0))+INDEX(LevelBasic,MATCH($H971,LevelList,0))*INDEX(LevelBonus,MATCH($H971,LevelList,0))+(INDEX(LevelBasic,MATCH($H971,LevelList,0))+INDEX(LevelHousing,MATCH($H971,LevelList,0)))*GosiSaudi,0))</f>
        <v>0</v>
      </c>
      <c r="W971" s="35" t="n">
        <f aca="false">IFERROR(INDEX(LevelOneOff,MATCH($H971,LevelList,0)),0)</f>
        <v>0</v>
      </c>
      <c r="X971" s="35" t="str">
        <f aca="false">IF($G971="","",$V971*N($L971))</f>
        <v/>
      </c>
      <c r="Y971" s="35" t="str">
        <f aca="false">IF($G971="","",$V971*(N($M971)*1+N($N971)*0.75+N($O971)*0.5+N($P971)*0.25)+$W971*N($L971))</f>
        <v/>
      </c>
      <c r="Z971" s="35" t="str">
        <f aca="false">IF($G971="","",$U971*1000000+ROW())</f>
        <v/>
      </c>
      <c r="AA971" s="36" t="str">
        <f aca="false">IF($G971="","",MID(IF($C971="",", no division","")&amp;IF($E971="",", no unit","")&amp;IF($H971="",", no career level","")&amp;IF(N($L971)&lt;=0,", no quarter split","")&amp;IF($R971="",", no driver","")&amp;IF(AND($H971&lt;&gt;"",COUNTIF(CareerLevels,$H971)=0),", a career level that is not on the ladder","")&amp;IF(AND($R971&lt;&gt;"",COUNTIF(DriverList,$R971)=0),", a driver that is not on the list","")&amp;IF(ABS(N($L971)-(N($M971)+N($N971)+N($O971)+N($P971)))&gt;0.001,", a total that does not match its quarters",""),3,300))</f>
        <v/>
      </c>
    </row>
    <row r="972" customFormat="false" ht="15" hidden="false" customHeight="false" outlineLevel="0" collapsed="false">
      <c r="A972" s="33" t="str">
        <f aca="false">IF($G972="","","Human Resources Group")</f>
        <v/>
      </c>
      <c r="B972" s="19"/>
      <c r="C972" s="19"/>
      <c r="D972" s="19"/>
      <c r="E972" s="19"/>
      <c r="F972" s="19"/>
      <c r="G972" s="19"/>
      <c r="H972" s="19"/>
      <c r="I972" s="19"/>
      <c r="J972" s="19"/>
      <c r="K972" s="19"/>
      <c r="L972" s="19"/>
      <c r="M972" s="19"/>
      <c r="N972" s="19"/>
      <c r="O972" s="19"/>
      <c r="P972" s="19"/>
      <c r="Q972" s="19"/>
      <c r="R972" s="19"/>
      <c r="S972" s="19"/>
      <c r="T972" s="34" t="str">
        <f aca="false">IF($R972="","",IFERROR(INDEX(DriverCategory,MATCH($R972,DriverList,0)),"BAU"))</f>
        <v/>
      </c>
      <c r="U972" s="34" t="str">
        <f aca="false">IF($R972="","",IFERROR(INDEX(DriverRank,MATCH($R972,DriverList,0)),99))</f>
        <v/>
      </c>
      <c r="V972" s="35" t="n">
        <f aca="false">IF($H972="",0,IFERROR(INDEX(LevelBasic,MATCH($H972,LevelList,0))+INDEX(LevelHousing,MATCH($H972,LevelList,0))+INDEX(LevelTransport,MATCH($H972,LevelList,0))+INDEX(LevelBasic,MATCH($H972,LevelList,0))*INDEX(LevelBonus,MATCH($H972,LevelList,0))+(INDEX(LevelBasic,MATCH($H972,LevelList,0))+INDEX(LevelHousing,MATCH($H972,LevelList,0)))*GosiSaudi,0))</f>
        <v>0</v>
      </c>
      <c r="W972" s="35" t="n">
        <f aca="false">IFERROR(INDEX(LevelOneOff,MATCH($H972,LevelList,0)),0)</f>
        <v>0</v>
      </c>
      <c r="X972" s="35" t="str">
        <f aca="false">IF($G972="","",$V972*N($L972))</f>
        <v/>
      </c>
      <c r="Y972" s="35" t="str">
        <f aca="false">IF($G972="","",$V972*(N($M972)*1+N($N972)*0.75+N($O972)*0.5+N($P972)*0.25)+$W972*N($L972))</f>
        <v/>
      </c>
      <c r="Z972" s="35" t="str">
        <f aca="false">IF($G972="","",$U972*1000000+ROW())</f>
        <v/>
      </c>
      <c r="AA972" s="36" t="str">
        <f aca="false">IF($G972="","",MID(IF($C972="",", no division","")&amp;IF($E972="",", no unit","")&amp;IF($H972="",", no career level","")&amp;IF(N($L972)&lt;=0,", no quarter split","")&amp;IF($R972="",", no driver","")&amp;IF(AND($H972&lt;&gt;"",COUNTIF(CareerLevels,$H972)=0),", a career level that is not on the ladder","")&amp;IF(AND($R972&lt;&gt;"",COUNTIF(DriverList,$R972)=0),", a driver that is not on the list","")&amp;IF(ABS(N($L972)-(N($M972)+N($N972)+N($O972)+N($P972)))&gt;0.001,", a total that does not match its quarters",""),3,300))</f>
        <v/>
      </c>
    </row>
    <row r="973" customFormat="false" ht="15" hidden="false" customHeight="false" outlineLevel="0" collapsed="false">
      <c r="A973" s="33" t="str">
        <f aca="false">IF($G973="","","Human Resources Group")</f>
        <v/>
      </c>
      <c r="B973" s="19"/>
      <c r="C973" s="19"/>
      <c r="D973" s="19"/>
      <c r="E973" s="19"/>
      <c r="F973" s="19"/>
      <c r="G973" s="19"/>
      <c r="H973" s="19"/>
      <c r="I973" s="19"/>
      <c r="J973" s="19"/>
      <c r="K973" s="19"/>
      <c r="L973" s="19"/>
      <c r="M973" s="19"/>
      <c r="N973" s="19"/>
      <c r="O973" s="19"/>
      <c r="P973" s="19"/>
      <c r="Q973" s="19"/>
      <c r="R973" s="19"/>
      <c r="S973" s="19"/>
      <c r="T973" s="34" t="str">
        <f aca="false">IF($R973="","",IFERROR(INDEX(DriverCategory,MATCH($R973,DriverList,0)),"BAU"))</f>
        <v/>
      </c>
      <c r="U973" s="34" t="str">
        <f aca="false">IF($R973="","",IFERROR(INDEX(DriverRank,MATCH($R973,DriverList,0)),99))</f>
        <v/>
      </c>
      <c r="V973" s="35" t="n">
        <f aca="false">IF($H973="",0,IFERROR(INDEX(LevelBasic,MATCH($H973,LevelList,0))+INDEX(LevelHousing,MATCH($H973,LevelList,0))+INDEX(LevelTransport,MATCH($H973,LevelList,0))+INDEX(LevelBasic,MATCH($H973,LevelList,0))*INDEX(LevelBonus,MATCH($H973,LevelList,0))+(INDEX(LevelBasic,MATCH($H973,LevelList,0))+INDEX(LevelHousing,MATCH($H973,LevelList,0)))*GosiSaudi,0))</f>
        <v>0</v>
      </c>
      <c r="W973" s="35" t="n">
        <f aca="false">IFERROR(INDEX(LevelOneOff,MATCH($H973,LevelList,0)),0)</f>
        <v>0</v>
      </c>
      <c r="X973" s="35" t="str">
        <f aca="false">IF($G973="","",$V973*N($L973))</f>
        <v/>
      </c>
      <c r="Y973" s="35" t="str">
        <f aca="false">IF($G973="","",$V973*(N($M973)*1+N($N973)*0.75+N($O973)*0.5+N($P973)*0.25)+$W973*N($L973))</f>
        <v/>
      </c>
      <c r="Z973" s="35" t="str">
        <f aca="false">IF($G973="","",$U973*1000000+ROW())</f>
        <v/>
      </c>
      <c r="AA973" s="36" t="str">
        <f aca="false">IF($G973="","",MID(IF($C973="",", no division","")&amp;IF($E973="",", no unit","")&amp;IF($H973="",", no career level","")&amp;IF(N($L973)&lt;=0,", no quarter split","")&amp;IF($R973="",", no driver","")&amp;IF(AND($H973&lt;&gt;"",COUNTIF(CareerLevels,$H973)=0),", a career level that is not on the ladder","")&amp;IF(AND($R973&lt;&gt;"",COUNTIF(DriverList,$R973)=0),", a driver that is not on the list","")&amp;IF(ABS(N($L973)-(N($M973)+N($N973)+N($O973)+N($P973)))&gt;0.001,", a total that does not match its quarters",""),3,300))</f>
        <v/>
      </c>
    </row>
    <row r="974" customFormat="false" ht="15" hidden="false" customHeight="false" outlineLevel="0" collapsed="false">
      <c r="A974" s="33" t="str">
        <f aca="false">IF($G974="","","Human Resources Group")</f>
        <v/>
      </c>
      <c r="B974" s="19"/>
      <c r="C974" s="19"/>
      <c r="D974" s="19"/>
      <c r="E974" s="19"/>
      <c r="F974" s="19"/>
      <c r="G974" s="19"/>
      <c r="H974" s="19"/>
      <c r="I974" s="19"/>
      <c r="J974" s="19"/>
      <c r="K974" s="19"/>
      <c r="L974" s="19"/>
      <c r="M974" s="19"/>
      <c r="N974" s="19"/>
      <c r="O974" s="19"/>
      <c r="P974" s="19"/>
      <c r="Q974" s="19"/>
      <c r="R974" s="19"/>
      <c r="S974" s="19"/>
      <c r="T974" s="34" t="str">
        <f aca="false">IF($R974="","",IFERROR(INDEX(DriverCategory,MATCH($R974,DriverList,0)),"BAU"))</f>
        <v/>
      </c>
      <c r="U974" s="34" t="str">
        <f aca="false">IF($R974="","",IFERROR(INDEX(DriverRank,MATCH($R974,DriverList,0)),99))</f>
        <v/>
      </c>
      <c r="V974" s="35" t="n">
        <f aca="false">IF($H974="",0,IFERROR(INDEX(LevelBasic,MATCH($H974,LevelList,0))+INDEX(LevelHousing,MATCH($H974,LevelList,0))+INDEX(LevelTransport,MATCH($H974,LevelList,0))+INDEX(LevelBasic,MATCH($H974,LevelList,0))*INDEX(LevelBonus,MATCH($H974,LevelList,0))+(INDEX(LevelBasic,MATCH($H974,LevelList,0))+INDEX(LevelHousing,MATCH($H974,LevelList,0)))*GosiSaudi,0))</f>
        <v>0</v>
      </c>
      <c r="W974" s="35" t="n">
        <f aca="false">IFERROR(INDEX(LevelOneOff,MATCH($H974,LevelList,0)),0)</f>
        <v>0</v>
      </c>
      <c r="X974" s="35" t="str">
        <f aca="false">IF($G974="","",$V974*N($L974))</f>
        <v/>
      </c>
      <c r="Y974" s="35" t="str">
        <f aca="false">IF($G974="","",$V974*(N($M974)*1+N($N974)*0.75+N($O974)*0.5+N($P974)*0.25)+$W974*N($L974))</f>
        <v/>
      </c>
      <c r="Z974" s="35" t="str">
        <f aca="false">IF($G974="","",$U974*1000000+ROW())</f>
        <v/>
      </c>
      <c r="AA974" s="36" t="str">
        <f aca="false">IF($G974="","",MID(IF($C974="",", no division","")&amp;IF($E974="",", no unit","")&amp;IF($H974="",", no career level","")&amp;IF(N($L974)&lt;=0,", no quarter split","")&amp;IF($R974="",", no driver","")&amp;IF(AND($H974&lt;&gt;"",COUNTIF(CareerLevels,$H974)=0),", a career level that is not on the ladder","")&amp;IF(AND($R974&lt;&gt;"",COUNTIF(DriverList,$R974)=0),", a driver that is not on the list","")&amp;IF(ABS(N($L974)-(N($M974)+N($N974)+N($O974)+N($P974)))&gt;0.001,", a total that does not match its quarters",""),3,300))</f>
        <v/>
      </c>
    </row>
    <row r="975" customFormat="false" ht="15" hidden="false" customHeight="false" outlineLevel="0" collapsed="false">
      <c r="A975" s="33" t="str">
        <f aca="false">IF($G975="","","Human Resources Group")</f>
        <v/>
      </c>
      <c r="B975" s="19"/>
      <c r="C975" s="19"/>
      <c r="D975" s="19"/>
      <c r="E975" s="19"/>
      <c r="F975" s="19"/>
      <c r="G975" s="19"/>
      <c r="H975" s="19"/>
      <c r="I975" s="19"/>
      <c r="J975" s="19"/>
      <c r="K975" s="19"/>
      <c r="L975" s="19"/>
      <c r="M975" s="19"/>
      <c r="N975" s="19"/>
      <c r="O975" s="19"/>
      <c r="P975" s="19"/>
      <c r="Q975" s="19"/>
      <c r="R975" s="19"/>
      <c r="S975" s="19"/>
      <c r="T975" s="34" t="str">
        <f aca="false">IF($R975="","",IFERROR(INDEX(DriverCategory,MATCH($R975,DriverList,0)),"BAU"))</f>
        <v/>
      </c>
      <c r="U975" s="34" t="str">
        <f aca="false">IF($R975="","",IFERROR(INDEX(DriverRank,MATCH($R975,DriverList,0)),99))</f>
        <v/>
      </c>
      <c r="V975" s="35" t="n">
        <f aca="false">IF($H975="",0,IFERROR(INDEX(LevelBasic,MATCH($H975,LevelList,0))+INDEX(LevelHousing,MATCH($H975,LevelList,0))+INDEX(LevelTransport,MATCH($H975,LevelList,0))+INDEX(LevelBasic,MATCH($H975,LevelList,0))*INDEX(LevelBonus,MATCH($H975,LevelList,0))+(INDEX(LevelBasic,MATCH($H975,LevelList,0))+INDEX(LevelHousing,MATCH($H975,LevelList,0)))*GosiSaudi,0))</f>
        <v>0</v>
      </c>
      <c r="W975" s="35" t="n">
        <f aca="false">IFERROR(INDEX(LevelOneOff,MATCH($H975,LevelList,0)),0)</f>
        <v>0</v>
      </c>
      <c r="X975" s="35" t="str">
        <f aca="false">IF($G975="","",$V975*N($L975))</f>
        <v/>
      </c>
      <c r="Y975" s="35" t="str">
        <f aca="false">IF($G975="","",$V975*(N($M975)*1+N($N975)*0.75+N($O975)*0.5+N($P975)*0.25)+$W975*N($L975))</f>
        <v/>
      </c>
      <c r="Z975" s="35" t="str">
        <f aca="false">IF($G975="","",$U975*1000000+ROW())</f>
        <v/>
      </c>
      <c r="AA975" s="36" t="str">
        <f aca="false">IF($G975="","",MID(IF($C975="",", no division","")&amp;IF($E975="",", no unit","")&amp;IF($H975="",", no career level","")&amp;IF(N($L975)&lt;=0,", no quarter split","")&amp;IF($R975="",", no driver","")&amp;IF(AND($H975&lt;&gt;"",COUNTIF(CareerLevels,$H975)=0),", a career level that is not on the ladder","")&amp;IF(AND($R975&lt;&gt;"",COUNTIF(DriverList,$R975)=0),", a driver that is not on the list","")&amp;IF(ABS(N($L975)-(N($M975)+N($N975)+N($O975)+N($P975)))&gt;0.001,", a total that does not match its quarters",""),3,300))</f>
        <v/>
      </c>
    </row>
    <row r="976" customFormat="false" ht="15" hidden="false" customHeight="false" outlineLevel="0" collapsed="false">
      <c r="A976" s="33" t="str">
        <f aca="false">IF($G976="","","Human Resources Group")</f>
        <v/>
      </c>
      <c r="B976" s="19"/>
      <c r="C976" s="19"/>
      <c r="D976" s="19"/>
      <c r="E976" s="19"/>
      <c r="F976" s="19"/>
      <c r="G976" s="19"/>
      <c r="H976" s="19"/>
      <c r="I976" s="19"/>
      <c r="J976" s="19"/>
      <c r="K976" s="19"/>
      <c r="L976" s="19"/>
      <c r="M976" s="19"/>
      <c r="N976" s="19"/>
      <c r="O976" s="19"/>
      <c r="P976" s="19"/>
      <c r="Q976" s="19"/>
      <c r="R976" s="19"/>
      <c r="S976" s="19"/>
      <c r="T976" s="34" t="str">
        <f aca="false">IF($R976="","",IFERROR(INDEX(DriverCategory,MATCH($R976,DriverList,0)),"BAU"))</f>
        <v/>
      </c>
      <c r="U976" s="34" t="str">
        <f aca="false">IF($R976="","",IFERROR(INDEX(DriverRank,MATCH($R976,DriverList,0)),99))</f>
        <v/>
      </c>
      <c r="V976" s="35" t="n">
        <f aca="false">IF($H976="",0,IFERROR(INDEX(LevelBasic,MATCH($H976,LevelList,0))+INDEX(LevelHousing,MATCH($H976,LevelList,0))+INDEX(LevelTransport,MATCH($H976,LevelList,0))+INDEX(LevelBasic,MATCH($H976,LevelList,0))*INDEX(LevelBonus,MATCH($H976,LevelList,0))+(INDEX(LevelBasic,MATCH($H976,LevelList,0))+INDEX(LevelHousing,MATCH($H976,LevelList,0)))*GosiSaudi,0))</f>
        <v>0</v>
      </c>
      <c r="W976" s="35" t="n">
        <f aca="false">IFERROR(INDEX(LevelOneOff,MATCH($H976,LevelList,0)),0)</f>
        <v>0</v>
      </c>
      <c r="X976" s="35" t="str">
        <f aca="false">IF($G976="","",$V976*N($L976))</f>
        <v/>
      </c>
      <c r="Y976" s="35" t="str">
        <f aca="false">IF($G976="","",$V976*(N($M976)*1+N($N976)*0.75+N($O976)*0.5+N($P976)*0.25)+$W976*N($L976))</f>
        <v/>
      </c>
      <c r="Z976" s="35" t="str">
        <f aca="false">IF($G976="","",$U976*1000000+ROW())</f>
        <v/>
      </c>
      <c r="AA976" s="36" t="str">
        <f aca="false">IF($G976="","",MID(IF($C976="",", no division","")&amp;IF($E976="",", no unit","")&amp;IF($H976="",", no career level","")&amp;IF(N($L976)&lt;=0,", no quarter split","")&amp;IF($R976="",", no driver","")&amp;IF(AND($H976&lt;&gt;"",COUNTIF(CareerLevels,$H976)=0),", a career level that is not on the ladder","")&amp;IF(AND($R976&lt;&gt;"",COUNTIF(DriverList,$R976)=0),", a driver that is not on the list","")&amp;IF(ABS(N($L976)-(N($M976)+N($N976)+N($O976)+N($P976)))&gt;0.001,", a total that does not match its quarters",""),3,300))</f>
        <v/>
      </c>
    </row>
    <row r="977" customFormat="false" ht="15" hidden="false" customHeight="false" outlineLevel="0" collapsed="false">
      <c r="A977" s="33" t="str">
        <f aca="false">IF($G977="","","Human Resources Group")</f>
        <v/>
      </c>
      <c r="B977" s="19"/>
      <c r="C977" s="19"/>
      <c r="D977" s="19"/>
      <c r="E977" s="19"/>
      <c r="F977" s="19"/>
      <c r="G977" s="19"/>
      <c r="H977" s="19"/>
      <c r="I977" s="19"/>
      <c r="J977" s="19"/>
      <c r="K977" s="19"/>
      <c r="L977" s="19"/>
      <c r="M977" s="19"/>
      <c r="N977" s="19"/>
      <c r="O977" s="19"/>
      <c r="P977" s="19"/>
      <c r="Q977" s="19"/>
      <c r="R977" s="19"/>
      <c r="S977" s="19"/>
      <c r="T977" s="34" t="str">
        <f aca="false">IF($R977="","",IFERROR(INDEX(DriverCategory,MATCH($R977,DriverList,0)),"BAU"))</f>
        <v/>
      </c>
      <c r="U977" s="34" t="str">
        <f aca="false">IF($R977="","",IFERROR(INDEX(DriverRank,MATCH($R977,DriverList,0)),99))</f>
        <v/>
      </c>
      <c r="V977" s="35" t="n">
        <f aca="false">IF($H977="",0,IFERROR(INDEX(LevelBasic,MATCH($H977,LevelList,0))+INDEX(LevelHousing,MATCH($H977,LevelList,0))+INDEX(LevelTransport,MATCH($H977,LevelList,0))+INDEX(LevelBasic,MATCH($H977,LevelList,0))*INDEX(LevelBonus,MATCH($H977,LevelList,0))+(INDEX(LevelBasic,MATCH($H977,LevelList,0))+INDEX(LevelHousing,MATCH($H977,LevelList,0)))*GosiSaudi,0))</f>
        <v>0</v>
      </c>
      <c r="W977" s="35" t="n">
        <f aca="false">IFERROR(INDEX(LevelOneOff,MATCH($H977,LevelList,0)),0)</f>
        <v>0</v>
      </c>
      <c r="X977" s="35" t="str">
        <f aca="false">IF($G977="","",$V977*N($L977))</f>
        <v/>
      </c>
      <c r="Y977" s="35" t="str">
        <f aca="false">IF($G977="","",$V977*(N($M977)*1+N($N977)*0.75+N($O977)*0.5+N($P977)*0.25)+$W977*N($L977))</f>
        <v/>
      </c>
      <c r="Z977" s="35" t="str">
        <f aca="false">IF($G977="","",$U977*1000000+ROW())</f>
        <v/>
      </c>
      <c r="AA977" s="36" t="str">
        <f aca="false">IF($G977="","",MID(IF($C977="",", no division","")&amp;IF($E977="",", no unit","")&amp;IF($H977="",", no career level","")&amp;IF(N($L977)&lt;=0,", no quarter split","")&amp;IF($R977="",", no driver","")&amp;IF(AND($H977&lt;&gt;"",COUNTIF(CareerLevels,$H977)=0),", a career level that is not on the ladder","")&amp;IF(AND($R977&lt;&gt;"",COUNTIF(DriverList,$R977)=0),", a driver that is not on the list","")&amp;IF(ABS(N($L977)-(N($M977)+N($N977)+N($O977)+N($P977)))&gt;0.001,", a total that does not match its quarters",""),3,300))</f>
        <v/>
      </c>
    </row>
    <row r="978" customFormat="false" ht="15" hidden="false" customHeight="false" outlineLevel="0" collapsed="false">
      <c r="A978" s="33" t="str">
        <f aca="false">IF($G978="","","Human Resources Group")</f>
        <v/>
      </c>
      <c r="B978" s="19"/>
      <c r="C978" s="19"/>
      <c r="D978" s="19"/>
      <c r="E978" s="19"/>
      <c r="F978" s="19"/>
      <c r="G978" s="19"/>
      <c r="H978" s="19"/>
      <c r="I978" s="19"/>
      <c r="J978" s="19"/>
      <c r="K978" s="19"/>
      <c r="L978" s="19"/>
      <c r="M978" s="19"/>
      <c r="N978" s="19"/>
      <c r="O978" s="19"/>
      <c r="P978" s="19"/>
      <c r="Q978" s="19"/>
      <c r="R978" s="19"/>
      <c r="S978" s="19"/>
      <c r="T978" s="34" t="str">
        <f aca="false">IF($R978="","",IFERROR(INDEX(DriverCategory,MATCH($R978,DriverList,0)),"BAU"))</f>
        <v/>
      </c>
      <c r="U978" s="34" t="str">
        <f aca="false">IF($R978="","",IFERROR(INDEX(DriverRank,MATCH($R978,DriverList,0)),99))</f>
        <v/>
      </c>
      <c r="V978" s="35" t="n">
        <f aca="false">IF($H978="",0,IFERROR(INDEX(LevelBasic,MATCH($H978,LevelList,0))+INDEX(LevelHousing,MATCH($H978,LevelList,0))+INDEX(LevelTransport,MATCH($H978,LevelList,0))+INDEX(LevelBasic,MATCH($H978,LevelList,0))*INDEX(LevelBonus,MATCH($H978,LevelList,0))+(INDEX(LevelBasic,MATCH($H978,LevelList,0))+INDEX(LevelHousing,MATCH($H978,LevelList,0)))*GosiSaudi,0))</f>
        <v>0</v>
      </c>
      <c r="W978" s="35" t="n">
        <f aca="false">IFERROR(INDEX(LevelOneOff,MATCH($H978,LevelList,0)),0)</f>
        <v>0</v>
      </c>
      <c r="X978" s="35" t="str">
        <f aca="false">IF($G978="","",$V978*N($L978))</f>
        <v/>
      </c>
      <c r="Y978" s="35" t="str">
        <f aca="false">IF($G978="","",$V978*(N($M978)*1+N($N978)*0.75+N($O978)*0.5+N($P978)*0.25)+$W978*N($L978))</f>
        <v/>
      </c>
      <c r="Z978" s="35" t="str">
        <f aca="false">IF($G978="","",$U978*1000000+ROW())</f>
        <v/>
      </c>
      <c r="AA978" s="36" t="str">
        <f aca="false">IF($G978="","",MID(IF($C978="",", no division","")&amp;IF($E978="",", no unit","")&amp;IF($H978="",", no career level","")&amp;IF(N($L978)&lt;=0,", no quarter split","")&amp;IF($R978="",", no driver","")&amp;IF(AND($H978&lt;&gt;"",COUNTIF(CareerLevels,$H978)=0),", a career level that is not on the ladder","")&amp;IF(AND($R978&lt;&gt;"",COUNTIF(DriverList,$R978)=0),", a driver that is not on the list","")&amp;IF(ABS(N($L978)-(N($M978)+N($N978)+N($O978)+N($P978)))&gt;0.001,", a total that does not match its quarters",""),3,300))</f>
        <v/>
      </c>
    </row>
    <row r="979" customFormat="false" ht="15" hidden="false" customHeight="false" outlineLevel="0" collapsed="false">
      <c r="A979" s="33" t="str">
        <f aca="false">IF($G979="","","Human Resources Group")</f>
        <v/>
      </c>
      <c r="B979" s="19"/>
      <c r="C979" s="19"/>
      <c r="D979" s="19"/>
      <c r="E979" s="19"/>
      <c r="F979" s="19"/>
      <c r="G979" s="19"/>
      <c r="H979" s="19"/>
      <c r="I979" s="19"/>
      <c r="J979" s="19"/>
      <c r="K979" s="19"/>
      <c r="L979" s="19"/>
      <c r="M979" s="19"/>
      <c r="N979" s="19"/>
      <c r="O979" s="19"/>
      <c r="P979" s="19"/>
      <c r="Q979" s="19"/>
      <c r="R979" s="19"/>
      <c r="S979" s="19"/>
      <c r="T979" s="34" t="str">
        <f aca="false">IF($R979="","",IFERROR(INDEX(DriverCategory,MATCH($R979,DriverList,0)),"BAU"))</f>
        <v/>
      </c>
      <c r="U979" s="34" t="str">
        <f aca="false">IF($R979="","",IFERROR(INDEX(DriverRank,MATCH($R979,DriverList,0)),99))</f>
        <v/>
      </c>
      <c r="V979" s="35" t="n">
        <f aca="false">IF($H979="",0,IFERROR(INDEX(LevelBasic,MATCH($H979,LevelList,0))+INDEX(LevelHousing,MATCH($H979,LevelList,0))+INDEX(LevelTransport,MATCH($H979,LevelList,0))+INDEX(LevelBasic,MATCH($H979,LevelList,0))*INDEX(LevelBonus,MATCH($H979,LevelList,0))+(INDEX(LevelBasic,MATCH($H979,LevelList,0))+INDEX(LevelHousing,MATCH($H979,LevelList,0)))*GosiSaudi,0))</f>
        <v>0</v>
      </c>
      <c r="W979" s="35" t="n">
        <f aca="false">IFERROR(INDEX(LevelOneOff,MATCH($H979,LevelList,0)),0)</f>
        <v>0</v>
      </c>
      <c r="X979" s="35" t="str">
        <f aca="false">IF($G979="","",$V979*N($L979))</f>
        <v/>
      </c>
      <c r="Y979" s="35" t="str">
        <f aca="false">IF($G979="","",$V979*(N($M979)*1+N($N979)*0.75+N($O979)*0.5+N($P979)*0.25)+$W979*N($L979))</f>
        <v/>
      </c>
      <c r="Z979" s="35" t="str">
        <f aca="false">IF($G979="","",$U979*1000000+ROW())</f>
        <v/>
      </c>
      <c r="AA979" s="36" t="str">
        <f aca="false">IF($G979="","",MID(IF($C979="",", no division","")&amp;IF($E979="",", no unit","")&amp;IF($H979="",", no career level","")&amp;IF(N($L979)&lt;=0,", no quarter split","")&amp;IF($R979="",", no driver","")&amp;IF(AND($H979&lt;&gt;"",COUNTIF(CareerLevels,$H979)=0),", a career level that is not on the ladder","")&amp;IF(AND($R979&lt;&gt;"",COUNTIF(DriverList,$R979)=0),", a driver that is not on the list","")&amp;IF(ABS(N($L979)-(N($M979)+N($N979)+N($O979)+N($P979)))&gt;0.001,", a total that does not match its quarters",""),3,300))</f>
        <v/>
      </c>
    </row>
    <row r="980" customFormat="false" ht="15" hidden="false" customHeight="false" outlineLevel="0" collapsed="false">
      <c r="A980" s="33" t="str">
        <f aca="false">IF($G980="","","Human Resources Group")</f>
        <v/>
      </c>
      <c r="B980" s="19"/>
      <c r="C980" s="19"/>
      <c r="D980" s="19"/>
      <c r="E980" s="19"/>
      <c r="F980" s="19"/>
      <c r="G980" s="19"/>
      <c r="H980" s="19"/>
      <c r="I980" s="19"/>
      <c r="J980" s="19"/>
      <c r="K980" s="19"/>
      <c r="L980" s="19"/>
      <c r="M980" s="19"/>
      <c r="N980" s="19"/>
      <c r="O980" s="19"/>
      <c r="P980" s="19"/>
      <c r="Q980" s="19"/>
      <c r="R980" s="19"/>
      <c r="S980" s="19"/>
      <c r="T980" s="34" t="str">
        <f aca="false">IF($R980="","",IFERROR(INDEX(DriverCategory,MATCH($R980,DriverList,0)),"BAU"))</f>
        <v/>
      </c>
      <c r="U980" s="34" t="str">
        <f aca="false">IF($R980="","",IFERROR(INDEX(DriverRank,MATCH($R980,DriverList,0)),99))</f>
        <v/>
      </c>
      <c r="V980" s="35" t="n">
        <f aca="false">IF($H980="",0,IFERROR(INDEX(LevelBasic,MATCH($H980,LevelList,0))+INDEX(LevelHousing,MATCH($H980,LevelList,0))+INDEX(LevelTransport,MATCH($H980,LevelList,0))+INDEX(LevelBasic,MATCH($H980,LevelList,0))*INDEX(LevelBonus,MATCH($H980,LevelList,0))+(INDEX(LevelBasic,MATCH($H980,LevelList,0))+INDEX(LevelHousing,MATCH($H980,LevelList,0)))*GosiSaudi,0))</f>
        <v>0</v>
      </c>
      <c r="W980" s="35" t="n">
        <f aca="false">IFERROR(INDEX(LevelOneOff,MATCH($H980,LevelList,0)),0)</f>
        <v>0</v>
      </c>
      <c r="X980" s="35" t="str">
        <f aca="false">IF($G980="","",$V980*N($L980))</f>
        <v/>
      </c>
      <c r="Y980" s="35" t="str">
        <f aca="false">IF($G980="","",$V980*(N($M980)*1+N($N980)*0.75+N($O980)*0.5+N($P980)*0.25)+$W980*N($L980))</f>
        <v/>
      </c>
      <c r="Z980" s="35" t="str">
        <f aca="false">IF($G980="","",$U980*1000000+ROW())</f>
        <v/>
      </c>
      <c r="AA980" s="36" t="str">
        <f aca="false">IF($G980="","",MID(IF($C980="",", no division","")&amp;IF($E980="",", no unit","")&amp;IF($H980="",", no career level","")&amp;IF(N($L980)&lt;=0,", no quarter split","")&amp;IF($R980="",", no driver","")&amp;IF(AND($H980&lt;&gt;"",COUNTIF(CareerLevels,$H980)=0),", a career level that is not on the ladder","")&amp;IF(AND($R980&lt;&gt;"",COUNTIF(DriverList,$R980)=0),", a driver that is not on the list","")&amp;IF(ABS(N($L980)-(N($M980)+N($N980)+N($O980)+N($P980)))&gt;0.001,", a total that does not match its quarters",""),3,300))</f>
        <v/>
      </c>
    </row>
    <row r="981" customFormat="false" ht="15" hidden="false" customHeight="false" outlineLevel="0" collapsed="false">
      <c r="A981" s="33" t="str">
        <f aca="false">IF($G981="","","Human Resources Group")</f>
        <v/>
      </c>
      <c r="B981" s="19"/>
      <c r="C981" s="19"/>
      <c r="D981" s="19"/>
      <c r="E981" s="19"/>
      <c r="F981" s="19"/>
      <c r="G981" s="19"/>
      <c r="H981" s="19"/>
      <c r="I981" s="19"/>
      <c r="J981" s="19"/>
      <c r="K981" s="19"/>
      <c r="L981" s="19"/>
      <c r="M981" s="19"/>
      <c r="N981" s="19"/>
      <c r="O981" s="19"/>
      <c r="P981" s="19"/>
      <c r="Q981" s="19"/>
      <c r="R981" s="19"/>
      <c r="S981" s="19"/>
      <c r="T981" s="34" t="str">
        <f aca="false">IF($R981="","",IFERROR(INDEX(DriverCategory,MATCH($R981,DriverList,0)),"BAU"))</f>
        <v/>
      </c>
      <c r="U981" s="34" t="str">
        <f aca="false">IF($R981="","",IFERROR(INDEX(DriverRank,MATCH($R981,DriverList,0)),99))</f>
        <v/>
      </c>
      <c r="V981" s="35" t="n">
        <f aca="false">IF($H981="",0,IFERROR(INDEX(LevelBasic,MATCH($H981,LevelList,0))+INDEX(LevelHousing,MATCH($H981,LevelList,0))+INDEX(LevelTransport,MATCH($H981,LevelList,0))+INDEX(LevelBasic,MATCH($H981,LevelList,0))*INDEX(LevelBonus,MATCH($H981,LevelList,0))+(INDEX(LevelBasic,MATCH($H981,LevelList,0))+INDEX(LevelHousing,MATCH($H981,LevelList,0)))*GosiSaudi,0))</f>
        <v>0</v>
      </c>
      <c r="W981" s="35" t="n">
        <f aca="false">IFERROR(INDEX(LevelOneOff,MATCH($H981,LevelList,0)),0)</f>
        <v>0</v>
      </c>
      <c r="X981" s="35" t="str">
        <f aca="false">IF($G981="","",$V981*N($L981))</f>
        <v/>
      </c>
      <c r="Y981" s="35" t="str">
        <f aca="false">IF($G981="","",$V981*(N($M981)*1+N($N981)*0.75+N($O981)*0.5+N($P981)*0.25)+$W981*N($L981))</f>
        <v/>
      </c>
      <c r="Z981" s="35" t="str">
        <f aca="false">IF($G981="","",$U981*1000000+ROW())</f>
        <v/>
      </c>
      <c r="AA981" s="36" t="str">
        <f aca="false">IF($G981="","",MID(IF($C981="",", no division","")&amp;IF($E981="",", no unit","")&amp;IF($H981="",", no career level","")&amp;IF(N($L981)&lt;=0,", no quarter split","")&amp;IF($R981="",", no driver","")&amp;IF(AND($H981&lt;&gt;"",COUNTIF(CareerLevels,$H981)=0),", a career level that is not on the ladder","")&amp;IF(AND($R981&lt;&gt;"",COUNTIF(DriverList,$R981)=0),", a driver that is not on the list","")&amp;IF(ABS(N($L981)-(N($M981)+N($N981)+N($O981)+N($P981)))&gt;0.001,", a total that does not match its quarters",""),3,300))</f>
        <v/>
      </c>
    </row>
    <row r="982" customFormat="false" ht="15" hidden="false" customHeight="false" outlineLevel="0" collapsed="false">
      <c r="A982" s="33" t="str">
        <f aca="false">IF($G982="","","Human Resources Group")</f>
        <v/>
      </c>
      <c r="B982" s="19"/>
      <c r="C982" s="19"/>
      <c r="D982" s="19"/>
      <c r="E982" s="19"/>
      <c r="F982" s="19"/>
      <c r="G982" s="19"/>
      <c r="H982" s="19"/>
      <c r="I982" s="19"/>
      <c r="J982" s="19"/>
      <c r="K982" s="19"/>
      <c r="L982" s="19"/>
      <c r="M982" s="19"/>
      <c r="N982" s="19"/>
      <c r="O982" s="19"/>
      <c r="P982" s="19"/>
      <c r="Q982" s="19"/>
      <c r="R982" s="19"/>
      <c r="S982" s="19"/>
      <c r="T982" s="34" t="str">
        <f aca="false">IF($R982="","",IFERROR(INDEX(DriverCategory,MATCH($R982,DriverList,0)),"BAU"))</f>
        <v/>
      </c>
      <c r="U982" s="34" t="str">
        <f aca="false">IF($R982="","",IFERROR(INDEX(DriverRank,MATCH($R982,DriverList,0)),99))</f>
        <v/>
      </c>
      <c r="V982" s="35" t="n">
        <f aca="false">IF($H982="",0,IFERROR(INDEX(LevelBasic,MATCH($H982,LevelList,0))+INDEX(LevelHousing,MATCH($H982,LevelList,0))+INDEX(LevelTransport,MATCH($H982,LevelList,0))+INDEX(LevelBasic,MATCH($H982,LevelList,0))*INDEX(LevelBonus,MATCH($H982,LevelList,0))+(INDEX(LevelBasic,MATCH($H982,LevelList,0))+INDEX(LevelHousing,MATCH($H982,LevelList,0)))*GosiSaudi,0))</f>
        <v>0</v>
      </c>
      <c r="W982" s="35" t="n">
        <f aca="false">IFERROR(INDEX(LevelOneOff,MATCH($H982,LevelList,0)),0)</f>
        <v>0</v>
      </c>
      <c r="X982" s="35" t="str">
        <f aca="false">IF($G982="","",$V982*N($L982))</f>
        <v/>
      </c>
      <c r="Y982" s="35" t="str">
        <f aca="false">IF($G982="","",$V982*(N($M982)*1+N($N982)*0.75+N($O982)*0.5+N($P982)*0.25)+$W982*N($L982))</f>
        <v/>
      </c>
      <c r="Z982" s="35" t="str">
        <f aca="false">IF($G982="","",$U982*1000000+ROW())</f>
        <v/>
      </c>
      <c r="AA982" s="36" t="str">
        <f aca="false">IF($G982="","",MID(IF($C982="",", no division","")&amp;IF($E982="",", no unit","")&amp;IF($H982="",", no career level","")&amp;IF(N($L982)&lt;=0,", no quarter split","")&amp;IF($R982="",", no driver","")&amp;IF(AND($H982&lt;&gt;"",COUNTIF(CareerLevels,$H982)=0),", a career level that is not on the ladder","")&amp;IF(AND($R982&lt;&gt;"",COUNTIF(DriverList,$R982)=0),", a driver that is not on the list","")&amp;IF(ABS(N($L982)-(N($M982)+N($N982)+N($O982)+N($P982)))&gt;0.001,", a total that does not match its quarters",""),3,300))</f>
        <v/>
      </c>
    </row>
    <row r="983" customFormat="false" ht="15" hidden="false" customHeight="false" outlineLevel="0" collapsed="false">
      <c r="A983" s="33" t="str">
        <f aca="false">IF($G983="","","Human Resources Group")</f>
        <v/>
      </c>
      <c r="B983" s="19"/>
      <c r="C983" s="19"/>
      <c r="D983" s="19"/>
      <c r="E983" s="19"/>
      <c r="F983" s="19"/>
      <c r="G983" s="19"/>
      <c r="H983" s="19"/>
      <c r="I983" s="19"/>
      <c r="J983" s="19"/>
      <c r="K983" s="19"/>
      <c r="L983" s="19"/>
      <c r="M983" s="19"/>
      <c r="N983" s="19"/>
      <c r="O983" s="19"/>
      <c r="P983" s="19"/>
      <c r="Q983" s="19"/>
      <c r="R983" s="19"/>
      <c r="S983" s="19"/>
      <c r="T983" s="34" t="str">
        <f aca="false">IF($R983="","",IFERROR(INDEX(DriverCategory,MATCH($R983,DriverList,0)),"BAU"))</f>
        <v/>
      </c>
      <c r="U983" s="34" t="str">
        <f aca="false">IF($R983="","",IFERROR(INDEX(DriverRank,MATCH($R983,DriverList,0)),99))</f>
        <v/>
      </c>
      <c r="V983" s="35" t="n">
        <f aca="false">IF($H983="",0,IFERROR(INDEX(LevelBasic,MATCH($H983,LevelList,0))+INDEX(LevelHousing,MATCH($H983,LevelList,0))+INDEX(LevelTransport,MATCH($H983,LevelList,0))+INDEX(LevelBasic,MATCH($H983,LevelList,0))*INDEX(LevelBonus,MATCH($H983,LevelList,0))+(INDEX(LevelBasic,MATCH($H983,LevelList,0))+INDEX(LevelHousing,MATCH($H983,LevelList,0)))*GosiSaudi,0))</f>
        <v>0</v>
      </c>
      <c r="W983" s="35" t="n">
        <f aca="false">IFERROR(INDEX(LevelOneOff,MATCH($H983,LevelList,0)),0)</f>
        <v>0</v>
      </c>
      <c r="X983" s="35" t="str">
        <f aca="false">IF($G983="","",$V983*N($L983))</f>
        <v/>
      </c>
      <c r="Y983" s="35" t="str">
        <f aca="false">IF($G983="","",$V983*(N($M983)*1+N($N983)*0.75+N($O983)*0.5+N($P983)*0.25)+$W983*N($L983))</f>
        <v/>
      </c>
      <c r="Z983" s="35" t="str">
        <f aca="false">IF($G983="","",$U983*1000000+ROW())</f>
        <v/>
      </c>
      <c r="AA983" s="36" t="str">
        <f aca="false">IF($G983="","",MID(IF($C983="",", no division","")&amp;IF($E983="",", no unit","")&amp;IF($H983="",", no career level","")&amp;IF(N($L983)&lt;=0,", no quarter split","")&amp;IF($R983="",", no driver","")&amp;IF(AND($H983&lt;&gt;"",COUNTIF(CareerLevels,$H983)=0),", a career level that is not on the ladder","")&amp;IF(AND($R983&lt;&gt;"",COUNTIF(DriverList,$R983)=0),", a driver that is not on the list","")&amp;IF(ABS(N($L983)-(N($M983)+N($N983)+N($O983)+N($P983)))&gt;0.001,", a total that does not match its quarters",""),3,300))</f>
        <v/>
      </c>
    </row>
    <row r="984" customFormat="false" ht="15" hidden="false" customHeight="false" outlineLevel="0" collapsed="false">
      <c r="A984" s="33" t="str">
        <f aca="false">IF($G984="","","Human Resources Group")</f>
        <v/>
      </c>
      <c r="B984" s="19"/>
      <c r="C984" s="19"/>
      <c r="D984" s="19"/>
      <c r="E984" s="19"/>
      <c r="F984" s="19"/>
      <c r="G984" s="19"/>
      <c r="H984" s="19"/>
      <c r="I984" s="19"/>
      <c r="J984" s="19"/>
      <c r="K984" s="19"/>
      <c r="L984" s="19"/>
      <c r="M984" s="19"/>
      <c r="N984" s="19"/>
      <c r="O984" s="19"/>
      <c r="P984" s="19"/>
      <c r="Q984" s="19"/>
      <c r="R984" s="19"/>
      <c r="S984" s="19"/>
      <c r="T984" s="34" t="str">
        <f aca="false">IF($R984="","",IFERROR(INDEX(DriverCategory,MATCH($R984,DriverList,0)),"BAU"))</f>
        <v/>
      </c>
      <c r="U984" s="34" t="str">
        <f aca="false">IF($R984="","",IFERROR(INDEX(DriverRank,MATCH($R984,DriverList,0)),99))</f>
        <v/>
      </c>
      <c r="V984" s="35" t="n">
        <f aca="false">IF($H984="",0,IFERROR(INDEX(LevelBasic,MATCH($H984,LevelList,0))+INDEX(LevelHousing,MATCH($H984,LevelList,0))+INDEX(LevelTransport,MATCH($H984,LevelList,0))+INDEX(LevelBasic,MATCH($H984,LevelList,0))*INDEX(LevelBonus,MATCH($H984,LevelList,0))+(INDEX(LevelBasic,MATCH($H984,LevelList,0))+INDEX(LevelHousing,MATCH($H984,LevelList,0)))*GosiSaudi,0))</f>
        <v>0</v>
      </c>
      <c r="W984" s="35" t="n">
        <f aca="false">IFERROR(INDEX(LevelOneOff,MATCH($H984,LevelList,0)),0)</f>
        <v>0</v>
      </c>
      <c r="X984" s="35" t="str">
        <f aca="false">IF($G984="","",$V984*N($L984))</f>
        <v/>
      </c>
      <c r="Y984" s="35" t="str">
        <f aca="false">IF($G984="","",$V984*(N($M984)*1+N($N984)*0.75+N($O984)*0.5+N($P984)*0.25)+$W984*N($L984))</f>
        <v/>
      </c>
      <c r="Z984" s="35" t="str">
        <f aca="false">IF($G984="","",$U984*1000000+ROW())</f>
        <v/>
      </c>
      <c r="AA984" s="36" t="str">
        <f aca="false">IF($G984="","",MID(IF($C984="",", no division","")&amp;IF($E984="",", no unit","")&amp;IF($H984="",", no career level","")&amp;IF(N($L984)&lt;=0,", no quarter split","")&amp;IF($R984="",", no driver","")&amp;IF(AND($H984&lt;&gt;"",COUNTIF(CareerLevels,$H984)=0),", a career level that is not on the ladder","")&amp;IF(AND($R984&lt;&gt;"",COUNTIF(DriverList,$R984)=0),", a driver that is not on the list","")&amp;IF(ABS(N($L984)-(N($M984)+N($N984)+N($O984)+N($P984)))&gt;0.001,", a total that does not match its quarters",""),3,300))</f>
        <v/>
      </c>
    </row>
    <row r="985" customFormat="false" ht="15" hidden="false" customHeight="false" outlineLevel="0" collapsed="false">
      <c r="A985" s="33" t="str">
        <f aca="false">IF($G985="","","Human Resources Group")</f>
        <v/>
      </c>
      <c r="B985" s="19"/>
      <c r="C985" s="19"/>
      <c r="D985" s="19"/>
      <c r="E985" s="19"/>
      <c r="F985" s="19"/>
      <c r="G985" s="19"/>
      <c r="H985" s="19"/>
      <c r="I985" s="19"/>
      <c r="J985" s="19"/>
      <c r="K985" s="19"/>
      <c r="L985" s="19"/>
      <c r="M985" s="19"/>
      <c r="N985" s="19"/>
      <c r="O985" s="19"/>
      <c r="P985" s="19"/>
      <c r="Q985" s="19"/>
      <c r="R985" s="19"/>
      <c r="S985" s="19"/>
      <c r="T985" s="34" t="str">
        <f aca="false">IF($R985="","",IFERROR(INDEX(DriverCategory,MATCH($R985,DriverList,0)),"BAU"))</f>
        <v/>
      </c>
      <c r="U985" s="34" t="str">
        <f aca="false">IF($R985="","",IFERROR(INDEX(DriverRank,MATCH($R985,DriverList,0)),99))</f>
        <v/>
      </c>
      <c r="V985" s="35" t="n">
        <f aca="false">IF($H985="",0,IFERROR(INDEX(LevelBasic,MATCH($H985,LevelList,0))+INDEX(LevelHousing,MATCH($H985,LevelList,0))+INDEX(LevelTransport,MATCH($H985,LevelList,0))+INDEX(LevelBasic,MATCH($H985,LevelList,0))*INDEX(LevelBonus,MATCH($H985,LevelList,0))+(INDEX(LevelBasic,MATCH($H985,LevelList,0))+INDEX(LevelHousing,MATCH($H985,LevelList,0)))*GosiSaudi,0))</f>
        <v>0</v>
      </c>
      <c r="W985" s="35" t="n">
        <f aca="false">IFERROR(INDEX(LevelOneOff,MATCH($H985,LevelList,0)),0)</f>
        <v>0</v>
      </c>
      <c r="X985" s="35" t="str">
        <f aca="false">IF($G985="","",$V985*N($L985))</f>
        <v/>
      </c>
      <c r="Y985" s="35" t="str">
        <f aca="false">IF($G985="","",$V985*(N($M985)*1+N($N985)*0.75+N($O985)*0.5+N($P985)*0.25)+$W985*N($L985))</f>
        <v/>
      </c>
      <c r="Z985" s="35" t="str">
        <f aca="false">IF($G985="","",$U985*1000000+ROW())</f>
        <v/>
      </c>
      <c r="AA985" s="36" t="str">
        <f aca="false">IF($G985="","",MID(IF($C985="",", no division","")&amp;IF($E985="",", no unit","")&amp;IF($H985="",", no career level","")&amp;IF(N($L985)&lt;=0,", no quarter split","")&amp;IF($R985="",", no driver","")&amp;IF(AND($H985&lt;&gt;"",COUNTIF(CareerLevels,$H985)=0),", a career level that is not on the ladder","")&amp;IF(AND($R985&lt;&gt;"",COUNTIF(DriverList,$R985)=0),", a driver that is not on the list","")&amp;IF(ABS(N($L985)-(N($M985)+N($N985)+N($O985)+N($P985)))&gt;0.001,", a total that does not match its quarters",""),3,300))</f>
        <v/>
      </c>
    </row>
    <row r="986" customFormat="false" ht="15" hidden="false" customHeight="false" outlineLevel="0" collapsed="false">
      <c r="A986" s="33" t="str">
        <f aca="false">IF($G986="","","Human Resources Group")</f>
        <v/>
      </c>
      <c r="B986" s="19"/>
      <c r="C986" s="19"/>
      <c r="D986" s="19"/>
      <c r="E986" s="19"/>
      <c r="F986" s="19"/>
      <c r="G986" s="19"/>
      <c r="H986" s="19"/>
      <c r="I986" s="19"/>
      <c r="J986" s="19"/>
      <c r="K986" s="19"/>
      <c r="L986" s="19"/>
      <c r="M986" s="19"/>
      <c r="N986" s="19"/>
      <c r="O986" s="19"/>
      <c r="P986" s="19"/>
      <c r="Q986" s="19"/>
      <c r="R986" s="19"/>
      <c r="S986" s="19"/>
      <c r="T986" s="34" t="str">
        <f aca="false">IF($R986="","",IFERROR(INDEX(DriverCategory,MATCH($R986,DriverList,0)),"BAU"))</f>
        <v/>
      </c>
      <c r="U986" s="34" t="str">
        <f aca="false">IF($R986="","",IFERROR(INDEX(DriverRank,MATCH($R986,DriverList,0)),99))</f>
        <v/>
      </c>
      <c r="V986" s="35" t="n">
        <f aca="false">IF($H986="",0,IFERROR(INDEX(LevelBasic,MATCH($H986,LevelList,0))+INDEX(LevelHousing,MATCH($H986,LevelList,0))+INDEX(LevelTransport,MATCH($H986,LevelList,0))+INDEX(LevelBasic,MATCH($H986,LevelList,0))*INDEX(LevelBonus,MATCH($H986,LevelList,0))+(INDEX(LevelBasic,MATCH($H986,LevelList,0))+INDEX(LevelHousing,MATCH($H986,LevelList,0)))*GosiSaudi,0))</f>
        <v>0</v>
      </c>
      <c r="W986" s="35" t="n">
        <f aca="false">IFERROR(INDEX(LevelOneOff,MATCH($H986,LevelList,0)),0)</f>
        <v>0</v>
      </c>
      <c r="X986" s="35" t="str">
        <f aca="false">IF($G986="","",$V986*N($L986))</f>
        <v/>
      </c>
      <c r="Y986" s="35" t="str">
        <f aca="false">IF($G986="","",$V986*(N($M986)*1+N($N986)*0.75+N($O986)*0.5+N($P986)*0.25)+$W986*N($L986))</f>
        <v/>
      </c>
      <c r="Z986" s="35" t="str">
        <f aca="false">IF($G986="","",$U986*1000000+ROW())</f>
        <v/>
      </c>
      <c r="AA986" s="36" t="str">
        <f aca="false">IF($G986="","",MID(IF($C986="",", no division","")&amp;IF($E986="",", no unit","")&amp;IF($H986="",", no career level","")&amp;IF(N($L986)&lt;=0,", no quarter split","")&amp;IF($R986="",", no driver","")&amp;IF(AND($H986&lt;&gt;"",COUNTIF(CareerLevels,$H986)=0),", a career level that is not on the ladder","")&amp;IF(AND($R986&lt;&gt;"",COUNTIF(DriverList,$R986)=0),", a driver that is not on the list","")&amp;IF(ABS(N($L986)-(N($M986)+N($N986)+N($O986)+N($P986)))&gt;0.001,", a total that does not match its quarters",""),3,300))</f>
        <v/>
      </c>
    </row>
    <row r="987" customFormat="false" ht="15" hidden="false" customHeight="false" outlineLevel="0" collapsed="false">
      <c r="A987" s="33" t="str">
        <f aca="false">IF($G987="","","Human Resources Group")</f>
        <v/>
      </c>
      <c r="B987" s="19"/>
      <c r="C987" s="19"/>
      <c r="D987" s="19"/>
      <c r="E987" s="19"/>
      <c r="F987" s="19"/>
      <c r="G987" s="19"/>
      <c r="H987" s="19"/>
      <c r="I987" s="19"/>
      <c r="J987" s="19"/>
      <c r="K987" s="19"/>
      <c r="L987" s="19"/>
      <c r="M987" s="19"/>
      <c r="N987" s="19"/>
      <c r="O987" s="19"/>
      <c r="P987" s="19"/>
      <c r="Q987" s="19"/>
      <c r="R987" s="19"/>
      <c r="S987" s="19"/>
      <c r="T987" s="34" t="str">
        <f aca="false">IF($R987="","",IFERROR(INDEX(DriverCategory,MATCH($R987,DriverList,0)),"BAU"))</f>
        <v/>
      </c>
      <c r="U987" s="34" t="str">
        <f aca="false">IF($R987="","",IFERROR(INDEX(DriverRank,MATCH($R987,DriverList,0)),99))</f>
        <v/>
      </c>
      <c r="V987" s="35" t="n">
        <f aca="false">IF($H987="",0,IFERROR(INDEX(LevelBasic,MATCH($H987,LevelList,0))+INDEX(LevelHousing,MATCH($H987,LevelList,0))+INDEX(LevelTransport,MATCH($H987,LevelList,0))+INDEX(LevelBasic,MATCH($H987,LevelList,0))*INDEX(LevelBonus,MATCH($H987,LevelList,0))+(INDEX(LevelBasic,MATCH($H987,LevelList,0))+INDEX(LevelHousing,MATCH($H987,LevelList,0)))*GosiSaudi,0))</f>
        <v>0</v>
      </c>
      <c r="W987" s="35" t="n">
        <f aca="false">IFERROR(INDEX(LevelOneOff,MATCH($H987,LevelList,0)),0)</f>
        <v>0</v>
      </c>
      <c r="X987" s="35" t="str">
        <f aca="false">IF($G987="","",$V987*N($L987))</f>
        <v/>
      </c>
      <c r="Y987" s="35" t="str">
        <f aca="false">IF($G987="","",$V987*(N($M987)*1+N($N987)*0.75+N($O987)*0.5+N($P987)*0.25)+$W987*N($L987))</f>
        <v/>
      </c>
      <c r="Z987" s="35" t="str">
        <f aca="false">IF($G987="","",$U987*1000000+ROW())</f>
        <v/>
      </c>
      <c r="AA987" s="36" t="str">
        <f aca="false">IF($G987="","",MID(IF($C987="",", no division","")&amp;IF($E987="",", no unit","")&amp;IF($H987="",", no career level","")&amp;IF(N($L987)&lt;=0,", no quarter split","")&amp;IF($R987="",", no driver","")&amp;IF(AND($H987&lt;&gt;"",COUNTIF(CareerLevels,$H987)=0),", a career level that is not on the ladder","")&amp;IF(AND($R987&lt;&gt;"",COUNTIF(DriverList,$R987)=0),", a driver that is not on the list","")&amp;IF(ABS(N($L987)-(N($M987)+N($N987)+N($O987)+N($P987)))&gt;0.001,", a total that does not match its quarters",""),3,300))</f>
        <v/>
      </c>
    </row>
    <row r="988" customFormat="false" ht="15" hidden="false" customHeight="false" outlineLevel="0" collapsed="false">
      <c r="A988" s="33" t="str">
        <f aca="false">IF($G988="","","Human Resources Group")</f>
        <v/>
      </c>
      <c r="B988" s="19"/>
      <c r="C988" s="19"/>
      <c r="D988" s="19"/>
      <c r="E988" s="19"/>
      <c r="F988" s="19"/>
      <c r="G988" s="19"/>
      <c r="H988" s="19"/>
      <c r="I988" s="19"/>
      <c r="J988" s="19"/>
      <c r="K988" s="19"/>
      <c r="L988" s="19"/>
      <c r="M988" s="19"/>
      <c r="N988" s="19"/>
      <c r="O988" s="19"/>
      <c r="P988" s="19"/>
      <c r="Q988" s="19"/>
      <c r="R988" s="19"/>
      <c r="S988" s="19"/>
      <c r="T988" s="34" t="str">
        <f aca="false">IF($R988="","",IFERROR(INDEX(DriverCategory,MATCH($R988,DriverList,0)),"BAU"))</f>
        <v/>
      </c>
      <c r="U988" s="34" t="str">
        <f aca="false">IF($R988="","",IFERROR(INDEX(DriverRank,MATCH($R988,DriverList,0)),99))</f>
        <v/>
      </c>
      <c r="V988" s="35" t="n">
        <f aca="false">IF($H988="",0,IFERROR(INDEX(LevelBasic,MATCH($H988,LevelList,0))+INDEX(LevelHousing,MATCH($H988,LevelList,0))+INDEX(LevelTransport,MATCH($H988,LevelList,0))+INDEX(LevelBasic,MATCH($H988,LevelList,0))*INDEX(LevelBonus,MATCH($H988,LevelList,0))+(INDEX(LevelBasic,MATCH($H988,LevelList,0))+INDEX(LevelHousing,MATCH($H988,LevelList,0)))*GosiSaudi,0))</f>
        <v>0</v>
      </c>
      <c r="W988" s="35" t="n">
        <f aca="false">IFERROR(INDEX(LevelOneOff,MATCH($H988,LevelList,0)),0)</f>
        <v>0</v>
      </c>
      <c r="X988" s="35" t="str">
        <f aca="false">IF($G988="","",$V988*N($L988))</f>
        <v/>
      </c>
      <c r="Y988" s="35" t="str">
        <f aca="false">IF($G988="","",$V988*(N($M988)*1+N($N988)*0.75+N($O988)*0.5+N($P988)*0.25)+$W988*N($L988))</f>
        <v/>
      </c>
      <c r="Z988" s="35" t="str">
        <f aca="false">IF($G988="","",$U988*1000000+ROW())</f>
        <v/>
      </c>
      <c r="AA988" s="36" t="str">
        <f aca="false">IF($G988="","",MID(IF($C988="",", no division","")&amp;IF($E988="",", no unit","")&amp;IF($H988="",", no career level","")&amp;IF(N($L988)&lt;=0,", no quarter split","")&amp;IF($R988="",", no driver","")&amp;IF(AND($H988&lt;&gt;"",COUNTIF(CareerLevels,$H988)=0),", a career level that is not on the ladder","")&amp;IF(AND($R988&lt;&gt;"",COUNTIF(DriverList,$R988)=0),", a driver that is not on the list","")&amp;IF(ABS(N($L988)-(N($M988)+N($N988)+N($O988)+N($P988)))&gt;0.001,", a total that does not match its quarters",""),3,300))</f>
        <v/>
      </c>
    </row>
    <row r="989" customFormat="false" ht="15" hidden="false" customHeight="false" outlineLevel="0" collapsed="false">
      <c r="A989" s="33" t="str">
        <f aca="false">IF($G989="","","Human Resources Group")</f>
        <v/>
      </c>
      <c r="B989" s="19"/>
      <c r="C989" s="19"/>
      <c r="D989" s="19"/>
      <c r="E989" s="19"/>
      <c r="F989" s="19"/>
      <c r="G989" s="19"/>
      <c r="H989" s="19"/>
      <c r="I989" s="19"/>
      <c r="J989" s="19"/>
      <c r="K989" s="19"/>
      <c r="L989" s="19"/>
      <c r="M989" s="19"/>
      <c r="N989" s="19"/>
      <c r="O989" s="19"/>
      <c r="P989" s="19"/>
      <c r="Q989" s="19"/>
      <c r="R989" s="19"/>
      <c r="S989" s="19"/>
      <c r="T989" s="34" t="str">
        <f aca="false">IF($R989="","",IFERROR(INDEX(DriverCategory,MATCH($R989,DriverList,0)),"BAU"))</f>
        <v/>
      </c>
      <c r="U989" s="34" t="str">
        <f aca="false">IF($R989="","",IFERROR(INDEX(DriverRank,MATCH($R989,DriverList,0)),99))</f>
        <v/>
      </c>
      <c r="V989" s="35" t="n">
        <f aca="false">IF($H989="",0,IFERROR(INDEX(LevelBasic,MATCH($H989,LevelList,0))+INDEX(LevelHousing,MATCH($H989,LevelList,0))+INDEX(LevelTransport,MATCH($H989,LevelList,0))+INDEX(LevelBasic,MATCH($H989,LevelList,0))*INDEX(LevelBonus,MATCH($H989,LevelList,0))+(INDEX(LevelBasic,MATCH($H989,LevelList,0))+INDEX(LevelHousing,MATCH($H989,LevelList,0)))*GosiSaudi,0))</f>
        <v>0</v>
      </c>
      <c r="W989" s="35" t="n">
        <f aca="false">IFERROR(INDEX(LevelOneOff,MATCH($H989,LevelList,0)),0)</f>
        <v>0</v>
      </c>
      <c r="X989" s="35" t="str">
        <f aca="false">IF($G989="","",$V989*N($L989))</f>
        <v/>
      </c>
      <c r="Y989" s="35" t="str">
        <f aca="false">IF($G989="","",$V989*(N($M989)*1+N($N989)*0.75+N($O989)*0.5+N($P989)*0.25)+$W989*N($L989))</f>
        <v/>
      </c>
      <c r="Z989" s="35" t="str">
        <f aca="false">IF($G989="","",$U989*1000000+ROW())</f>
        <v/>
      </c>
      <c r="AA989" s="36" t="str">
        <f aca="false">IF($G989="","",MID(IF($C989="",", no division","")&amp;IF($E989="",", no unit","")&amp;IF($H989="",", no career level","")&amp;IF(N($L989)&lt;=0,", no quarter split","")&amp;IF($R989="",", no driver","")&amp;IF(AND($H989&lt;&gt;"",COUNTIF(CareerLevels,$H989)=0),", a career level that is not on the ladder","")&amp;IF(AND($R989&lt;&gt;"",COUNTIF(DriverList,$R989)=0),", a driver that is not on the list","")&amp;IF(ABS(N($L989)-(N($M989)+N($N989)+N($O989)+N($P989)))&gt;0.001,", a total that does not match its quarters",""),3,300))</f>
        <v/>
      </c>
    </row>
    <row r="990" customFormat="false" ht="15" hidden="false" customHeight="false" outlineLevel="0" collapsed="false">
      <c r="A990" s="33" t="str">
        <f aca="false">IF($G990="","","Human Resources Group")</f>
        <v/>
      </c>
      <c r="B990" s="19"/>
      <c r="C990" s="19"/>
      <c r="D990" s="19"/>
      <c r="E990" s="19"/>
      <c r="F990" s="19"/>
      <c r="G990" s="19"/>
      <c r="H990" s="19"/>
      <c r="I990" s="19"/>
      <c r="J990" s="19"/>
      <c r="K990" s="19"/>
      <c r="L990" s="19"/>
      <c r="M990" s="19"/>
      <c r="N990" s="19"/>
      <c r="O990" s="19"/>
      <c r="P990" s="19"/>
      <c r="Q990" s="19"/>
      <c r="R990" s="19"/>
      <c r="S990" s="19"/>
      <c r="T990" s="34" t="str">
        <f aca="false">IF($R990="","",IFERROR(INDEX(DriverCategory,MATCH($R990,DriverList,0)),"BAU"))</f>
        <v/>
      </c>
      <c r="U990" s="34" t="str">
        <f aca="false">IF($R990="","",IFERROR(INDEX(DriverRank,MATCH($R990,DriverList,0)),99))</f>
        <v/>
      </c>
      <c r="V990" s="35" t="n">
        <f aca="false">IF($H990="",0,IFERROR(INDEX(LevelBasic,MATCH($H990,LevelList,0))+INDEX(LevelHousing,MATCH($H990,LevelList,0))+INDEX(LevelTransport,MATCH($H990,LevelList,0))+INDEX(LevelBasic,MATCH($H990,LevelList,0))*INDEX(LevelBonus,MATCH($H990,LevelList,0))+(INDEX(LevelBasic,MATCH($H990,LevelList,0))+INDEX(LevelHousing,MATCH($H990,LevelList,0)))*GosiSaudi,0))</f>
        <v>0</v>
      </c>
      <c r="W990" s="35" t="n">
        <f aca="false">IFERROR(INDEX(LevelOneOff,MATCH($H990,LevelList,0)),0)</f>
        <v>0</v>
      </c>
      <c r="X990" s="35" t="str">
        <f aca="false">IF($G990="","",$V990*N($L990))</f>
        <v/>
      </c>
      <c r="Y990" s="35" t="str">
        <f aca="false">IF($G990="","",$V990*(N($M990)*1+N($N990)*0.75+N($O990)*0.5+N($P990)*0.25)+$W990*N($L990))</f>
        <v/>
      </c>
      <c r="Z990" s="35" t="str">
        <f aca="false">IF($G990="","",$U990*1000000+ROW())</f>
        <v/>
      </c>
      <c r="AA990" s="36" t="str">
        <f aca="false">IF($G990="","",MID(IF($C990="",", no division","")&amp;IF($E990="",", no unit","")&amp;IF($H990="",", no career level","")&amp;IF(N($L990)&lt;=0,", no quarter split","")&amp;IF($R990="",", no driver","")&amp;IF(AND($H990&lt;&gt;"",COUNTIF(CareerLevels,$H990)=0),", a career level that is not on the ladder","")&amp;IF(AND($R990&lt;&gt;"",COUNTIF(DriverList,$R990)=0),", a driver that is not on the list","")&amp;IF(ABS(N($L990)-(N($M990)+N($N990)+N($O990)+N($P990)))&gt;0.001,", a total that does not match its quarters",""),3,300))</f>
        <v/>
      </c>
    </row>
    <row r="991" customFormat="false" ht="15" hidden="false" customHeight="false" outlineLevel="0" collapsed="false">
      <c r="A991" s="33" t="str">
        <f aca="false">IF($G991="","","Human Resources Group")</f>
        <v/>
      </c>
      <c r="B991" s="19"/>
      <c r="C991" s="19"/>
      <c r="D991" s="19"/>
      <c r="E991" s="19"/>
      <c r="F991" s="19"/>
      <c r="G991" s="19"/>
      <c r="H991" s="19"/>
      <c r="I991" s="19"/>
      <c r="J991" s="19"/>
      <c r="K991" s="19"/>
      <c r="L991" s="19"/>
      <c r="M991" s="19"/>
      <c r="N991" s="19"/>
      <c r="O991" s="19"/>
      <c r="P991" s="19"/>
      <c r="Q991" s="19"/>
      <c r="R991" s="19"/>
      <c r="S991" s="19"/>
      <c r="T991" s="34" t="str">
        <f aca="false">IF($R991="","",IFERROR(INDEX(DriverCategory,MATCH($R991,DriverList,0)),"BAU"))</f>
        <v/>
      </c>
      <c r="U991" s="34" t="str">
        <f aca="false">IF($R991="","",IFERROR(INDEX(DriverRank,MATCH($R991,DriverList,0)),99))</f>
        <v/>
      </c>
      <c r="V991" s="35" t="n">
        <f aca="false">IF($H991="",0,IFERROR(INDEX(LevelBasic,MATCH($H991,LevelList,0))+INDEX(LevelHousing,MATCH($H991,LevelList,0))+INDEX(LevelTransport,MATCH($H991,LevelList,0))+INDEX(LevelBasic,MATCH($H991,LevelList,0))*INDEX(LevelBonus,MATCH($H991,LevelList,0))+(INDEX(LevelBasic,MATCH($H991,LevelList,0))+INDEX(LevelHousing,MATCH($H991,LevelList,0)))*GosiSaudi,0))</f>
        <v>0</v>
      </c>
      <c r="W991" s="35" t="n">
        <f aca="false">IFERROR(INDEX(LevelOneOff,MATCH($H991,LevelList,0)),0)</f>
        <v>0</v>
      </c>
      <c r="X991" s="35" t="str">
        <f aca="false">IF($G991="","",$V991*N($L991))</f>
        <v/>
      </c>
      <c r="Y991" s="35" t="str">
        <f aca="false">IF($G991="","",$V991*(N($M991)*1+N($N991)*0.75+N($O991)*0.5+N($P991)*0.25)+$W991*N($L991))</f>
        <v/>
      </c>
      <c r="Z991" s="35" t="str">
        <f aca="false">IF($G991="","",$U991*1000000+ROW())</f>
        <v/>
      </c>
      <c r="AA991" s="36" t="str">
        <f aca="false">IF($G991="","",MID(IF($C991="",", no division","")&amp;IF($E991="",", no unit","")&amp;IF($H991="",", no career level","")&amp;IF(N($L991)&lt;=0,", no quarter split","")&amp;IF($R991="",", no driver","")&amp;IF(AND($H991&lt;&gt;"",COUNTIF(CareerLevels,$H991)=0),", a career level that is not on the ladder","")&amp;IF(AND($R991&lt;&gt;"",COUNTIF(DriverList,$R991)=0),", a driver that is not on the list","")&amp;IF(ABS(N($L991)-(N($M991)+N($N991)+N($O991)+N($P991)))&gt;0.001,", a total that does not match its quarters",""),3,300))</f>
        <v/>
      </c>
    </row>
    <row r="992" customFormat="false" ht="15" hidden="false" customHeight="false" outlineLevel="0" collapsed="false">
      <c r="A992" s="33" t="str">
        <f aca="false">IF($G992="","","Human Resources Group")</f>
        <v/>
      </c>
      <c r="B992" s="19"/>
      <c r="C992" s="19"/>
      <c r="D992" s="19"/>
      <c r="E992" s="19"/>
      <c r="F992" s="19"/>
      <c r="G992" s="19"/>
      <c r="H992" s="19"/>
      <c r="I992" s="19"/>
      <c r="J992" s="19"/>
      <c r="K992" s="19"/>
      <c r="L992" s="19"/>
      <c r="M992" s="19"/>
      <c r="N992" s="19"/>
      <c r="O992" s="19"/>
      <c r="P992" s="19"/>
      <c r="Q992" s="19"/>
      <c r="R992" s="19"/>
      <c r="S992" s="19"/>
      <c r="T992" s="34" t="str">
        <f aca="false">IF($R992="","",IFERROR(INDEX(DriverCategory,MATCH($R992,DriverList,0)),"BAU"))</f>
        <v/>
      </c>
      <c r="U992" s="34" t="str">
        <f aca="false">IF($R992="","",IFERROR(INDEX(DriverRank,MATCH($R992,DriverList,0)),99))</f>
        <v/>
      </c>
      <c r="V992" s="35" t="n">
        <f aca="false">IF($H992="",0,IFERROR(INDEX(LevelBasic,MATCH($H992,LevelList,0))+INDEX(LevelHousing,MATCH($H992,LevelList,0))+INDEX(LevelTransport,MATCH($H992,LevelList,0))+INDEX(LevelBasic,MATCH($H992,LevelList,0))*INDEX(LevelBonus,MATCH($H992,LevelList,0))+(INDEX(LevelBasic,MATCH($H992,LevelList,0))+INDEX(LevelHousing,MATCH($H992,LevelList,0)))*GosiSaudi,0))</f>
        <v>0</v>
      </c>
      <c r="W992" s="35" t="n">
        <f aca="false">IFERROR(INDEX(LevelOneOff,MATCH($H992,LevelList,0)),0)</f>
        <v>0</v>
      </c>
      <c r="X992" s="35" t="str">
        <f aca="false">IF($G992="","",$V992*N($L992))</f>
        <v/>
      </c>
      <c r="Y992" s="35" t="str">
        <f aca="false">IF($G992="","",$V992*(N($M992)*1+N($N992)*0.75+N($O992)*0.5+N($P992)*0.25)+$W992*N($L992))</f>
        <v/>
      </c>
      <c r="Z992" s="35" t="str">
        <f aca="false">IF($G992="","",$U992*1000000+ROW())</f>
        <v/>
      </c>
      <c r="AA992" s="36" t="str">
        <f aca="false">IF($G992="","",MID(IF($C992="",", no division","")&amp;IF($E992="",", no unit","")&amp;IF($H992="",", no career level","")&amp;IF(N($L992)&lt;=0,", no quarter split","")&amp;IF($R992="",", no driver","")&amp;IF(AND($H992&lt;&gt;"",COUNTIF(CareerLevels,$H992)=0),", a career level that is not on the ladder","")&amp;IF(AND($R992&lt;&gt;"",COUNTIF(DriverList,$R992)=0),", a driver that is not on the list","")&amp;IF(ABS(N($L992)-(N($M992)+N($N992)+N($O992)+N($P992)))&gt;0.001,", a total that does not match its quarters",""),3,300))</f>
        <v/>
      </c>
    </row>
    <row r="993" customFormat="false" ht="15" hidden="false" customHeight="false" outlineLevel="0" collapsed="false">
      <c r="A993" s="33" t="str">
        <f aca="false">IF($G993="","","Human Resources Group")</f>
        <v/>
      </c>
      <c r="B993" s="19"/>
      <c r="C993" s="19"/>
      <c r="D993" s="19"/>
      <c r="E993" s="19"/>
      <c r="F993" s="19"/>
      <c r="G993" s="19"/>
      <c r="H993" s="19"/>
      <c r="I993" s="19"/>
      <c r="J993" s="19"/>
      <c r="K993" s="19"/>
      <c r="L993" s="19"/>
      <c r="M993" s="19"/>
      <c r="N993" s="19"/>
      <c r="O993" s="19"/>
      <c r="P993" s="19"/>
      <c r="Q993" s="19"/>
      <c r="R993" s="19"/>
      <c r="S993" s="19"/>
      <c r="T993" s="34" t="str">
        <f aca="false">IF($R993="","",IFERROR(INDEX(DriverCategory,MATCH($R993,DriverList,0)),"BAU"))</f>
        <v/>
      </c>
      <c r="U993" s="34" t="str">
        <f aca="false">IF($R993="","",IFERROR(INDEX(DriverRank,MATCH($R993,DriverList,0)),99))</f>
        <v/>
      </c>
      <c r="V993" s="35" t="n">
        <f aca="false">IF($H993="",0,IFERROR(INDEX(LevelBasic,MATCH($H993,LevelList,0))+INDEX(LevelHousing,MATCH($H993,LevelList,0))+INDEX(LevelTransport,MATCH($H993,LevelList,0))+INDEX(LevelBasic,MATCH($H993,LevelList,0))*INDEX(LevelBonus,MATCH($H993,LevelList,0))+(INDEX(LevelBasic,MATCH($H993,LevelList,0))+INDEX(LevelHousing,MATCH($H993,LevelList,0)))*GosiSaudi,0))</f>
        <v>0</v>
      </c>
      <c r="W993" s="35" t="n">
        <f aca="false">IFERROR(INDEX(LevelOneOff,MATCH($H993,LevelList,0)),0)</f>
        <v>0</v>
      </c>
      <c r="X993" s="35" t="str">
        <f aca="false">IF($G993="","",$V993*N($L993))</f>
        <v/>
      </c>
      <c r="Y993" s="35" t="str">
        <f aca="false">IF($G993="","",$V993*(N($M993)*1+N($N993)*0.75+N($O993)*0.5+N($P993)*0.25)+$W993*N($L993))</f>
        <v/>
      </c>
      <c r="Z993" s="35" t="str">
        <f aca="false">IF($G993="","",$U993*1000000+ROW())</f>
        <v/>
      </c>
      <c r="AA993" s="36" t="str">
        <f aca="false">IF($G993="","",MID(IF($C993="",", no division","")&amp;IF($E993="",", no unit","")&amp;IF($H993="",", no career level","")&amp;IF(N($L993)&lt;=0,", no quarter split","")&amp;IF($R993="",", no driver","")&amp;IF(AND($H993&lt;&gt;"",COUNTIF(CareerLevels,$H993)=0),", a career level that is not on the ladder","")&amp;IF(AND($R993&lt;&gt;"",COUNTIF(DriverList,$R993)=0),", a driver that is not on the list","")&amp;IF(ABS(N($L993)-(N($M993)+N($N993)+N($O993)+N($P993)))&gt;0.001,", a total that does not match its quarters",""),3,300))</f>
        <v/>
      </c>
    </row>
    <row r="994" customFormat="false" ht="15" hidden="false" customHeight="false" outlineLevel="0" collapsed="false">
      <c r="A994" s="33" t="str">
        <f aca="false">IF($G994="","","Human Resources Group")</f>
        <v/>
      </c>
      <c r="B994" s="19"/>
      <c r="C994" s="19"/>
      <c r="D994" s="19"/>
      <c r="E994" s="19"/>
      <c r="F994" s="19"/>
      <c r="G994" s="19"/>
      <c r="H994" s="19"/>
      <c r="I994" s="19"/>
      <c r="J994" s="19"/>
      <c r="K994" s="19"/>
      <c r="L994" s="19"/>
      <c r="M994" s="19"/>
      <c r="N994" s="19"/>
      <c r="O994" s="19"/>
      <c r="P994" s="19"/>
      <c r="Q994" s="19"/>
      <c r="R994" s="19"/>
      <c r="S994" s="19"/>
      <c r="T994" s="34" t="str">
        <f aca="false">IF($R994="","",IFERROR(INDEX(DriverCategory,MATCH($R994,DriverList,0)),"BAU"))</f>
        <v/>
      </c>
      <c r="U994" s="34" t="str">
        <f aca="false">IF($R994="","",IFERROR(INDEX(DriverRank,MATCH($R994,DriverList,0)),99))</f>
        <v/>
      </c>
      <c r="V994" s="35" t="n">
        <f aca="false">IF($H994="",0,IFERROR(INDEX(LevelBasic,MATCH($H994,LevelList,0))+INDEX(LevelHousing,MATCH($H994,LevelList,0))+INDEX(LevelTransport,MATCH($H994,LevelList,0))+INDEX(LevelBasic,MATCH($H994,LevelList,0))*INDEX(LevelBonus,MATCH($H994,LevelList,0))+(INDEX(LevelBasic,MATCH($H994,LevelList,0))+INDEX(LevelHousing,MATCH($H994,LevelList,0)))*GosiSaudi,0))</f>
        <v>0</v>
      </c>
      <c r="W994" s="35" t="n">
        <f aca="false">IFERROR(INDEX(LevelOneOff,MATCH($H994,LevelList,0)),0)</f>
        <v>0</v>
      </c>
      <c r="X994" s="35" t="str">
        <f aca="false">IF($G994="","",$V994*N($L994))</f>
        <v/>
      </c>
      <c r="Y994" s="35" t="str">
        <f aca="false">IF($G994="","",$V994*(N($M994)*1+N($N994)*0.75+N($O994)*0.5+N($P994)*0.25)+$W994*N($L994))</f>
        <v/>
      </c>
      <c r="Z994" s="35" t="str">
        <f aca="false">IF($G994="","",$U994*1000000+ROW())</f>
        <v/>
      </c>
      <c r="AA994" s="36" t="str">
        <f aca="false">IF($G994="","",MID(IF($C994="",", no division","")&amp;IF($E994="",", no unit","")&amp;IF($H994="",", no career level","")&amp;IF(N($L994)&lt;=0,", no quarter split","")&amp;IF($R994="",", no driver","")&amp;IF(AND($H994&lt;&gt;"",COUNTIF(CareerLevels,$H994)=0),", a career level that is not on the ladder","")&amp;IF(AND($R994&lt;&gt;"",COUNTIF(DriverList,$R994)=0),", a driver that is not on the list","")&amp;IF(ABS(N($L994)-(N($M994)+N($N994)+N($O994)+N($P994)))&gt;0.001,", a total that does not match its quarters",""),3,300))</f>
        <v/>
      </c>
    </row>
    <row r="995" customFormat="false" ht="15" hidden="false" customHeight="false" outlineLevel="0" collapsed="false">
      <c r="A995" s="33" t="str">
        <f aca="false">IF($G995="","","Human Resources Group")</f>
        <v/>
      </c>
      <c r="B995" s="19"/>
      <c r="C995" s="19"/>
      <c r="D995" s="19"/>
      <c r="E995" s="19"/>
      <c r="F995" s="19"/>
      <c r="G995" s="19"/>
      <c r="H995" s="19"/>
      <c r="I995" s="19"/>
      <c r="J995" s="19"/>
      <c r="K995" s="19"/>
      <c r="L995" s="19"/>
      <c r="M995" s="19"/>
      <c r="N995" s="19"/>
      <c r="O995" s="19"/>
      <c r="P995" s="19"/>
      <c r="Q995" s="19"/>
      <c r="R995" s="19"/>
      <c r="S995" s="19"/>
      <c r="T995" s="34" t="str">
        <f aca="false">IF($R995="","",IFERROR(INDEX(DriverCategory,MATCH($R995,DriverList,0)),"BAU"))</f>
        <v/>
      </c>
      <c r="U995" s="34" t="str">
        <f aca="false">IF($R995="","",IFERROR(INDEX(DriverRank,MATCH($R995,DriverList,0)),99))</f>
        <v/>
      </c>
      <c r="V995" s="35" t="n">
        <f aca="false">IF($H995="",0,IFERROR(INDEX(LevelBasic,MATCH($H995,LevelList,0))+INDEX(LevelHousing,MATCH($H995,LevelList,0))+INDEX(LevelTransport,MATCH($H995,LevelList,0))+INDEX(LevelBasic,MATCH($H995,LevelList,0))*INDEX(LevelBonus,MATCH($H995,LevelList,0))+(INDEX(LevelBasic,MATCH($H995,LevelList,0))+INDEX(LevelHousing,MATCH($H995,LevelList,0)))*GosiSaudi,0))</f>
        <v>0</v>
      </c>
      <c r="W995" s="35" t="n">
        <f aca="false">IFERROR(INDEX(LevelOneOff,MATCH($H995,LevelList,0)),0)</f>
        <v>0</v>
      </c>
      <c r="X995" s="35" t="str">
        <f aca="false">IF($G995="","",$V995*N($L995))</f>
        <v/>
      </c>
      <c r="Y995" s="35" t="str">
        <f aca="false">IF($G995="","",$V995*(N($M995)*1+N($N995)*0.75+N($O995)*0.5+N($P995)*0.25)+$W995*N($L995))</f>
        <v/>
      </c>
      <c r="Z995" s="35" t="str">
        <f aca="false">IF($G995="","",$U995*1000000+ROW())</f>
        <v/>
      </c>
      <c r="AA995" s="36" t="str">
        <f aca="false">IF($G995="","",MID(IF($C995="",", no division","")&amp;IF($E995="",", no unit","")&amp;IF($H995="",", no career level","")&amp;IF(N($L995)&lt;=0,", no quarter split","")&amp;IF($R995="",", no driver","")&amp;IF(AND($H995&lt;&gt;"",COUNTIF(CareerLevels,$H995)=0),", a career level that is not on the ladder","")&amp;IF(AND($R995&lt;&gt;"",COUNTIF(DriverList,$R995)=0),", a driver that is not on the list","")&amp;IF(ABS(N($L995)-(N($M995)+N($N995)+N($O995)+N($P995)))&gt;0.001,", a total that does not match its quarters",""),3,300))</f>
        <v/>
      </c>
    </row>
    <row r="996" customFormat="false" ht="15" hidden="false" customHeight="false" outlineLevel="0" collapsed="false">
      <c r="A996" s="33" t="str">
        <f aca="false">IF($G996="","","Human Resources Group")</f>
        <v/>
      </c>
      <c r="B996" s="19"/>
      <c r="C996" s="19"/>
      <c r="D996" s="19"/>
      <c r="E996" s="19"/>
      <c r="F996" s="19"/>
      <c r="G996" s="19"/>
      <c r="H996" s="19"/>
      <c r="I996" s="19"/>
      <c r="J996" s="19"/>
      <c r="K996" s="19"/>
      <c r="L996" s="19"/>
      <c r="M996" s="19"/>
      <c r="N996" s="19"/>
      <c r="O996" s="19"/>
      <c r="P996" s="19"/>
      <c r="Q996" s="19"/>
      <c r="R996" s="19"/>
      <c r="S996" s="19"/>
      <c r="T996" s="34" t="str">
        <f aca="false">IF($R996="","",IFERROR(INDEX(DriverCategory,MATCH($R996,DriverList,0)),"BAU"))</f>
        <v/>
      </c>
      <c r="U996" s="34" t="str">
        <f aca="false">IF($R996="","",IFERROR(INDEX(DriverRank,MATCH($R996,DriverList,0)),99))</f>
        <v/>
      </c>
      <c r="V996" s="35" t="n">
        <f aca="false">IF($H996="",0,IFERROR(INDEX(LevelBasic,MATCH($H996,LevelList,0))+INDEX(LevelHousing,MATCH($H996,LevelList,0))+INDEX(LevelTransport,MATCH($H996,LevelList,0))+INDEX(LevelBasic,MATCH($H996,LevelList,0))*INDEX(LevelBonus,MATCH($H996,LevelList,0))+(INDEX(LevelBasic,MATCH($H996,LevelList,0))+INDEX(LevelHousing,MATCH($H996,LevelList,0)))*GosiSaudi,0))</f>
        <v>0</v>
      </c>
      <c r="W996" s="35" t="n">
        <f aca="false">IFERROR(INDEX(LevelOneOff,MATCH($H996,LevelList,0)),0)</f>
        <v>0</v>
      </c>
      <c r="X996" s="35" t="str">
        <f aca="false">IF($G996="","",$V996*N($L996))</f>
        <v/>
      </c>
      <c r="Y996" s="35" t="str">
        <f aca="false">IF($G996="","",$V996*(N($M996)*1+N($N996)*0.75+N($O996)*0.5+N($P996)*0.25)+$W996*N($L996))</f>
        <v/>
      </c>
      <c r="Z996" s="35" t="str">
        <f aca="false">IF($G996="","",$U996*1000000+ROW())</f>
        <v/>
      </c>
      <c r="AA996" s="36" t="str">
        <f aca="false">IF($G996="","",MID(IF($C996="",", no division","")&amp;IF($E996="",", no unit","")&amp;IF($H996="",", no career level","")&amp;IF(N($L996)&lt;=0,", no quarter split","")&amp;IF($R996="",", no driver","")&amp;IF(AND($H996&lt;&gt;"",COUNTIF(CareerLevels,$H996)=0),", a career level that is not on the ladder","")&amp;IF(AND($R996&lt;&gt;"",COUNTIF(DriverList,$R996)=0),", a driver that is not on the list","")&amp;IF(ABS(N($L996)-(N($M996)+N($N996)+N($O996)+N($P996)))&gt;0.001,", a total that does not match its quarters",""),3,300))</f>
        <v/>
      </c>
    </row>
    <row r="997" customFormat="false" ht="15" hidden="false" customHeight="false" outlineLevel="0" collapsed="false">
      <c r="A997" s="33" t="str">
        <f aca="false">IF($G997="","","Human Resources Group")</f>
        <v/>
      </c>
      <c r="B997" s="19"/>
      <c r="C997" s="19"/>
      <c r="D997" s="19"/>
      <c r="E997" s="19"/>
      <c r="F997" s="19"/>
      <c r="G997" s="19"/>
      <c r="H997" s="19"/>
      <c r="I997" s="19"/>
      <c r="J997" s="19"/>
      <c r="K997" s="19"/>
      <c r="L997" s="19"/>
      <c r="M997" s="19"/>
      <c r="N997" s="19"/>
      <c r="O997" s="19"/>
      <c r="P997" s="19"/>
      <c r="Q997" s="19"/>
      <c r="R997" s="19"/>
      <c r="S997" s="19"/>
      <c r="T997" s="34" t="str">
        <f aca="false">IF($R997="","",IFERROR(INDEX(DriverCategory,MATCH($R997,DriverList,0)),"BAU"))</f>
        <v/>
      </c>
      <c r="U997" s="34" t="str">
        <f aca="false">IF($R997="","",IFERROR(INDEX(DriverRank,MATCH($R997,DriverList,0)),99))</f>
        <v/>
      </c>
      <c r="V997" s="35" t="n">
        <f aca="false">IF($H997="",0,IFERROR(INDEX(LevelBasic,MATCH($H997,LevelList,0))+INDEX(LevelHousing,MATCH($H997,LevelList,0))+INDEX(LevelTransport,MATCH($H997,LevelList,0))+INDEX(LevelBasic,MATCH($H997,LevelList,0))*INDEX(LevelBonus,MATCH($H997,LevelList,0))+(INDEX(LevelBasic,MATCH($H997,LevelList,0))+INDEX(LevelHousing,MATCH($H997,LevelList,0)))*GosiSaudi,0))</f>
        <v>0</v>
      </c>
      <c r="W997" s="35" t="n">
        <f aca="false">IFERROR(INDEX(LevelOneOff,MATCH($H997,LevelList,0)),0)</f>
        <v>0</v>
      </c>
      <c r="X997" s="35" t="str">
        <f aca="false">IF($G997="","",$V997*N($L997))</f>
        <v/>
      </c>
      <c r="Y997" s="35" t="str">
        <f aca="false">IF($G997="","",$V997*(N($M997)*1+N($N997)*0.75+N($O997)*0.5+N($P997)*0.25)+$W997*N($L997))</f>
        <v/>
      </c>
      <c r="Z997" s="35" t="str">
        <f aca="false">IF($G997="","",$U997*1000000+ROW())</f>
        <v/>
      </c>
      <c r="AA997" s="36" t="str">
        <f aca="false">IF($G997="","",MID(IF($C997="",", no division","")&amp;IF($E997="",", no unit","")&amp;IF($H997="",", no career level","")&amp;IF(N($L997)&lt;=0,", no quarter split","")&amp;IF($R997="",", no driver","")&amp;IF(AND($H997&lt;&gt;"",COUNTIF(CareerLevels,$H997)=0),", a career level that is not on the ladder","")&amp;IF(AND($R997&lt;&gt;"",COUNTIF(DriverList,$R997)=0),", a driver that is not on the list","")&amp;IF(ABS(N($L997)-(N($M997)+N($N997)+N($O997)+N($P997)))&gt;0.001,", a total that does not match its quarters",""),3,300))</f>
        <v/>
      </c>
    </row>
    <row r="998" customFormat="false" ht="15" hidden="false" customHeight="false" outlineLevel="0" collapsed="false">
      <c r="A998" s="33" t="str">
        <f aca="false">IF($G998="","","Human Resources Group")</f>
        <v/>
      </c>
      <c r="B998" s="19"/>
      <c r="C998" s="19"/>
      <c r="D998" s="19"/>
      <c r="E998" s="19"/>
      <c r="F998" s="19"/>
      <c r="G998" s="19"/>
      <c r="H998" s="19"/>
      <c r="I998" s="19"/>
      <c r="J998" s="19"/>
      <c r="K998" s="19"/>
      <c r="L998" s="19"/>
      <c r="M998" s="19"/>
      <c r="N998" s="19"/>
      <c r="O998" s="19"/>
      <c r="P998" s="19"/>
      <c r="Q998" s="19"/>
      <c r="R998" s="19"/>
      <c r="S998" s="19"/>
      <c r="T998" s="34" t="str">
        <f aca="false">IF($R998="","",IFERROR(INDEX(DriverCategory,MATCH($R998,DriverList,0)),"BAU"))</f>
        <v/>
      </c>
      <c r="U998" s="34" t="str">
        <f aca="false">IF($R998="","",IFERROR(INDEX(DriverRank,MATCH($R998,DriverList,0)),99))</f>
        <v/>
      </c>
      <c r="V998" s="35" t="n">
        <f aca="false">IF($H998="",0,IFERROR(INDEX(LevelBasic,MATCH($H998,LevelList,0))+INDEX(LevelHousing,MATCH($H998,LevelList,0))+INDEX(LevelTransport,MATCH($H998,LevelList,0))+INDEX(LevelBasic,MATCH($H998,LevelList,0))*INDEX(LevelBonus,MATCH($H998,LevelList,0))+(INDEX(LevelBasic,MATCH($H998,LevelList,0))+INDEX(LevelHousing,MATCH($H998,LevelList,0)))*GosiSaudi,0))</f>
        <v>0</v>
      </c>
      <c r="W998" s="35" t="n">
        <f aca="false">IFERROR(INDEX(LevelOneOff,MATCH($H998,LevelList,0)),0)</f>
        <v>0</v>
      </c>
      <c r="X998" s="35" t="str">
        <f aca="false">IF($G998="","",$V998*N($L998))</f>
        <v/>
      </c>
      <c r="Y998" s="35" t="str">
        <f aca="false">IF($G998="","",$V998*(N($M998)*1+N($N998)*0.75+N($O998)*0.5+N($P998)*0.25)+$W998*N($L998))</f>
        <v/>
      </c>
      <c r="Z998" s="35" t="str">
        <f aca="false">IF($G998="","",$U998*1000000+ROW())</f>
        <v/>
      </c>
      <c r="AA998" s="36" t="str">
        <f aca="false">IF($G998="","",MID(IF($C998="",", no division","")&amp;IF($E998="",", no unit","")&amp;IF($H998="",", no career level","")&amp;IF(N($L998)&lt;=0,", no quarter split","")&amp;IF($R998="",", no driver","")&amp;IF(AND($H998&lt;&gt;"",COUNTIF(CareerLevels,$H998)=0),", a career level that is not on the ladder","")&amp;IF(AND($R998&lt;&gt;"",COUNTIF(DriverList,$R998)=0),", a driver that is not on the list","")&amp;IF(ABS(N($L998)-(N($M998)+N($N998)+N($O998)+N($P998)))&gt;0.001,", a total that does not match its quarters",""),3,300))</f>
        <v/>
      </c>
    </row>
    <row r="999" customFormat="false" ht="15" hidden="false" customHeight="false" outlineLevel="0" collapsed="false">
      <c r="A999" s="33" t="str">
        <f aca="false">IF($G999="","","Human Resources Group")</f>
        <v/>
      </c>
      <c r="B999" s="19"/>
      <c r="C999" s="19"/>
      <c r="D999" s="19"/>
      <c r="E999" s="19"/>
      <c r="F999" s="19"/>
      <c r="G999" s="19"/>
      <c r="H999" s="19"/>
      <c r="I999" s="19"/>
      <c r="J999" s="19"/>
      <c r="K999" s="19"/>
      <c r="L999" s="19"/>
      <c r="M999" s="19"/>
      <c r="N999" s="19"/>
      <c r="O999" s="19"/>
      <c r="P999" s="19"/>
      <c r="Q999" s="19"/>
      <c r="R999" s="19"/>
      <c r="S999" s="19"/>
      <c r="T999" s="34" t="str">
        <f aca="false">IF($R999="","",IFERROR(INDEX(DriverCategory,MATCH($R999,DriverList,0)),"BAU"))</f>
        <v/>
      </c>
      <c r="U999" s="34" t="str">
        <f aca="false">IF($R999="","",IFERROR(INDEX(DriverRank,MATCH($R999,DriverList,0)),99))</f>
        <v/>
      </c>
      <c r="V999" s="35" t="n">
        <f aca="false">IF($H999="",0,IFERROR(INDEX(LevelBasic,MATCH($H999,LevelList,0))+INDEX(LevelHousing,MATCH($H999,LevelList,0))+INDEX(LevelTransport,MATCH($H999,LevelList,0))+INDEX(LevelBasic,MATCH($H999,LevelList,0))*INDEX(LevelBonus,MATCH($H999,LevelList,0))+(INDEX(LevelBasic,MATCH($H999,LevelList,0))+INDEX(LevelHousing,MATCH($H999,LevelList,0)))*GosiSaudi,0))</f>
        <v>0</v>
      </c>
      <c r="W999" s="35" t="n">
        <f aca="false">IFERROR(INDEX(LevelOneOff,MATCH($H999,LevelList,0)),0)</f>
        <v>0</v>
      </c>
      <c r="X999" s="35" t="str">
        <f aca="false">IF($G999="","",$V999*N($L999))</f>
        <v/>
      </c>
      <c r="Y999" s="35" t="str">
        <f aca="false">IF($G999="","",$V999*(N($M999)*1+N($N999)*0.75+N($O999)*0.5+N($P999)*0.25)+$W999*N($L999))</f>
        <v/>
      </c>
      <c r="Z999" s="35" t="str">
        <f aca="false">IF($G999="","",$U999*1000000+ROW())</f>
        <v/>
      </c>
      <c r="AA999" s="36" t="str">
        <f aca="false">IF($G999="","",MID(IF($C999="",", no division","")&amp;IF($E999="",", no unit","")&amp;IF($H999="",", no career level","")&amp;IF(N($L999)&lt;=0,", no quarter split","")&amp;IF($R999="",", no driver","")&amp;IF(AND($H999&lt;&gt;"",COUNTIF(CareerLevels,$H999)=0),", a career level that is not on the ladder","")&amp;IF(AND($R999&lt;&gt;"",COUNTIF(DriverList,$R999)=0),", a driver that is not on the list","")&amp;IF(ABS(N($L999)-(N($M999)+N($N999)+N($O999)+N($P999)))&gt;0.001,", a total that does not match its quarters",""),3,300))</f>
        <v/>
      </c>
    </row>
    <row r="1000" customFormat="false" ht="15" hidden="false" customHeight="false" outlineLevel="0" collapsed="false">
      <c r="A1000" s="33" t="str">
        <f aca="false">IF($G1000="","","Human Resources Group")</f>
        <v/>
      </c>
      <c r="B1000" s="19"/>
      <c r="C1000" s="19"/>
      <c r="D1000" s="19"/>
      <c r="E1000" s="19"/>
      <c r="F1000" s="19"/>
      <c r="G1000" s="19"/>
      <c r="H1000" s="19"/>
      <c r="I1000" s="19"/>
      <c r="J1000" s="19"/>
      <c r="K1000" s="19"/>
      <c r="L1000" s="19"/>
      <c r="M1000" s="19"/>
      <c r="N1000" s="19"/>
      <c r="O1000" s="19"/>
      <c r="P1000" s="19"/>
      <c r="Q1000" s="19"/>
      <c r="R1000" s="19"/>
      <c r="S1000" s="19"/>
      <c r="T1000" s="34" t="str">
        <f aca="false">IF($R1000="","",IFERROR(INDEX(DriverCategory,MATCH($R1000,DriverList,0)),"BAU"))</f>
        <v/>
      </c>
      <c r="U1000" s="34" t="str">
        <f aca="false">IF($R1000="","",IFERROR(INDEX(DriverRank,MATCH($R1000,DriverList,0)),99))</f>
        <v/>
      </c>
      <c r="V1000" s="35" t="n">
        <f aca="false">IF($H1000="",0,IFERROR(INDEX(LevelBasic,MATCH($H1000,LevelList,0))+INDEX(LevelHousing,MATCH($H1000,LevelList,0))+INDEX(LevelTransport,MATCH($H1000,LevelList,0))+INDEX(LevelBasic,MATCH($H1000,LevelList,0))*INDEX(LevelBonus,MATCH($H1000,LevelList,0))+(INDEX(LevelBasic,MATCH($H1000,LevelList,0))+INDEX(LevelHousing,MATCH($H1000,LevelList,0)))*GosiSaudi,0))</f>
        <v>0</v>
      </c>
      <c r="W1000" s="35" t="n">
        <f aca="false">IFERROR(INDEX(LevelOneOff,MATCH($H1000,LevelList,0)),0)</f>
        <v>0</v>
      </c>
      <c r="X1000" s="35" t="str">
        <f aca="false">IF($G1000="","",$V1000*N($L1000))</f>
        <v/>
      </c>
      <c r="Y1000" s="35" t="str">
        <f aca="false">IF($G1000="","",$V1000*(N($M1000)*1+N($N1000)*0.75+N($O1000)*0.5+N($P1000)*0.25)+$W1000*N($L1000))</f>
        <v/>
      </c>
      <c r="Z1000" s="35" t="str">
        <f aca="false">IF($G1000="","",$U1000*1000000+ROW())</f>
        <v/>
      </c>
      <c r="AA1000" s="36" t="str">
        <f aca="false">IF($G1000="","",MID(IF($C1000="",", no division","")&amp;IF($E1000="",", no unit","")&amp;IF($H1000="",", no career level","")&amp;IF(N($L1000)&lt;=0,", no quarter split","")&amp;IF($R1000="",", no driver","")&amp;IF(AND($H1000&lt;&gt;"",COUNTIF(CareerLevels,$H1000)=0),", a career level that is not on the ladder","")&amp;IF(AND($R1000&lt;&gt;"",COUNTIF(DriverList,$R1000)=0),", a driver that is not on the list","")&amp;IF(ABS(N($L1000)-(N($M1000)+N($N1000)+N($O1000)+N($P1000)))&gt;0.001,", a total that does not match its quarters",""),3,300))</f>
        <v/>
      </c>
    </row>
    <row r="1001" customFormat="false" ht="15" hidden="false" customHeight="false" outlineLevel="0" collapsed="false">
      <c r="A1001" s="33" t="str">
        <f aca="false">IF($G1001="","","Human Resources Group")</f>
        <v/>
      </c>
      <c r="B1001" s="19"/>
      <c r="C1001" s="19"/>
      <c r="D1001" s="19"/>
      <c r="E1001" s="19"/>
      <c r="F1001" s="19"/>
      <c r="G1001" s="19"/>
      <c r="H1001" s="19"/>
      <c r="I1001" s="19"/>
      <c r="J1001" s="19"/>
      <c r="K1001" s="19"/>
      <c r="L1001" s="19"/>
      <c r="M1001" s="19"/>
      <c r="N1001" s="19"/>
      <c r="O1001" s="19"/>
      <c r="P1001" s="19"/>
      <c r="Q1001" s="19"/>
      <c r="R1001" s="19"/>
      <c r="S1001" s="19"/>
      <c r="T1001" s="34" t="str">
        <f aca="false">IF($R1001="","",IFERROR(INDEX(DriverCategory,MATCH($R1001,DriverList,0)),"BAU"))</f>
        <v/>
      </c>
      <c r="U1001" s="34" t="str">
        <f aca="false">IF($R1001="","",IFERROR(INDEX(DriverRank,MATCH($R1001,DriverList,0)),99))</f>
        <v/>
      </c>
      <c r="V1001" s="35" t="n">
        <f aca="false">IF($H1001="",0,IFERROR(INDEX(LevelBasic,MATCH($H1001,LevelList,0))+INDEX(LevelHousing,MATCH($H1001,LevelList,0))+INDEX(LevelTransport,MATCH($H1001,LevelList,0))+INDEX(LevelBasic,MATCH($H1001,LevelList,0))*INDEX(LevelBonus,MATCH($H1001,LevelList,0))+(INDEX(LevelBasic,MATCH($H1001,LevelList,0))+INDEX(LevelHousing,MATCH($H1001,LevelList,0)))*GosiSaudi,0))</f>
        <v>0</v>
      </c>
      <c r="W1001" s="35" t="n">
        <f aca="false">IFERROR(INDEX(LevelOneOff,MATCH($H1001,LevelList,0)),0)</f>
        <v>0</v>
      </c>
      <c r="X1001" s="35" t="str">
        <f aca="false">IF($G1001="","",$V1001*N($L1001))</f>
        <v/>
      </c>
      <c r="Y1001" s="35" t="str">
        <f aca="false">IF($G1001="","",$V1001*(N($M1001)*1+N($N1001)*0.75+N($O1001)*0.5+N($P1001)*0.25)+$W1001*N($L1001))</f>
        <v/>
      </c>
      <c r="Z1001" s="35" t="str">
        <f aca="false">IF($G1001="","",$U1001*1000000+ROW())</f>
        <v/>
      </c>
      <c r="AA1001" s="36" t="str">
        <f aca="false">IF($G1001="","",MID(IF($C1001="",", no division","")&amp;IF($E1001="",", no unit","")&amp;IF($H1001="",", no career level","")&amp;IF(N($L1001)&lt;=0,", no quarter split","")&amp;IF($R1001="",", no driver","")&amp;IF(AND($H1001&lt;&gt;"",COUNTIF(CareerLevels,$H1001)=0),", a career level that is not on the ladder","")&amp;IF(AND($R1001&lt;&gt;"",COUNTIF(DriverList,$R1001)=0),", a driver that is not on the list","")&amp;IF(ABS(N($L1001)-(N($M1001)+N($N1001)+N($O1001)+N($P1001)))&gt;0.001,", a total that does not match its quarters",""),3,300))</f>
        <v/>
      </c>
    </row>
    <row r="1002" customFormat="false" ht="15" hidden="false" customHeight="false" outlineLevel="0" collapsed="false">
      <c r="A1002" s="33" t="str">
        <f aca="false">IF($G1002="","","Human Resources Group")</f>
        <v/>
      </c>
      <c r="B1002" s="19"/>
      <c r="C1002" s="19"/>
      <c r="D1002" s="19"/>
      <c r="E1002" s="19"/>
      <c r="F1002" s="19"/>
      <c r="G1002" s="19"/>
      <c r="H1002" s="19"/>
      <c r="I1002" s="19"/>
      <c r="J1002" s="19"/>
      <c r="K1002" s="19"/>
      <c r="L1002" s="19"/>
      <c r="M1002" s="19"/>
      <c r="N1002" s="19"/>
      <c r="O1002" s="19"/>
      <c r="P1002" s="19"/>
      <c r="Q1002" s="19"/>
      <c r="R1002" s="19"/>
      <c r="S1002" s="19"/>
      <c r="T1002" s="34" t="str">
        <f aca="false">IF($R1002="","",IFERROR(INDEX(DriverCategory,MATCH($R1002,DriverList,0)),"BAU"))</f>
        <v/>
      </c>
      <c r="U1002" s="34" t="str">
        <f aca="false">IF($R1002="","",IFERROR(INDEX(DriverRank,MATCH($R1002,DriverList,0)),99))</f>
        <v/>
      </c>
      <c r="V1002" s="35" t="n">
        <f aca="false">IF($H1002="",0,IFERROR(INDEX(LevelBasic,MATCH($H1002,LevelList,0))+INDEX(LevelHousing,MATCH($H1002,LevelList,0))+INDEX(LevelTransport,MATCH($H1002,LevelList,0))+INDEX(LevelBasic,MATCH($H1002,LevelList,0))*INDEX(LevelBonus,MATCH($H1002,LevelList,0))+(INDEX(LevelBasic,MATCH($H1002,LevelList,0))+INDEX(LevelHousing,MATCH($H1002,LevelList,0)))*GosiSaudi,0))</f>
        <v>0</v>
      </c>
      <c r="W1002" s="35" t="n">
        <f aca="false">IFERROR(INDEX(LevelOneOff,MATCH($H1002,LevelList,0)),0)</f>
        <v>0</v>
      </c>
      <c r="X1002" s="35" t="str">
        <f aca="false">IF($G1002="","",$V1002*N($L1002))</f>
        <v/>
      </c>
      <c r="Y1002" s="35" t="str">
        <f aca="false">IF($G1002="","",$V1002*(N($M1002)*1+N($N1002)*0.75+N($O1002)*0.5+N($P1002)*0.25)+$W1002*N($L1002))</f>
        <v/>
      </c>
      <c r="Z1002" s="35" t="str">
        <f aca="false">IF($G1002="","",$U1002*1000000+ROW())</f>
        <v/>
      </c>
      <c r="AA1002" s="36" t="str">
        <f aca="false">IF($G1002="","",MID(IF($C1002="",", no division","")&amp;IF($E1002="",", no unit","")&amp;IF($H1002="",", no career level","")&amp;IF(N($L1002)&lt;=0,", no quarter split","")&amp;IF($R1002="",", no driver","")&amp;IF(AND($H1002&lt;&gt;"",COUNTIF(CareerLevels,$H1002)=0),", a career level that is not on the ladder","")&amp;IF(AND($R1002&lt;&gt;"",COUNTIF(DriverList,$R1002)=0),", a driver that is not on the list","")&amp;IF(ABS(N($L1002)-(N($M1002)+N($N1002)+N($O1002)+N($P1002)))&gt;0.001,", a total that does not match its quarters",""),3,300))</f>
        <v/>
      </c>
    </row>
    <row r="1003" customFormat="false" ht="15" hidden="false" customHeight="false" outlineLevel="0" collapsed="false">
      <c r="A1003" s="33" t="str">
        <f aca="false">IF($G1003="","","Human Resources Group")</f>
        <v/>
      </c>
      <c r="B1003" s="19"/>
      <c r="C1003" s="19"/>
      <c r="D1003" s="19"/>
      <c r="E1003" s="19"/>
      <c r="F1003" s="19"/>
      <c r="G1003" s="19"/>
      <c r="H1003" s="19"/>
      <c r="I1003" s="19"/>
      <c r="J1003" s="19"/>
      <c r="K1003" s="19"/>
      <c r="L1003" s="19"/>
      <c r="M1003" s="19"/>
      <c r="N1003" s="19"/>
      <c r="O1003" s="19"/>
      <c r="P1003" s="19"/>
      <c r="Q1003" s="19"/>
      <c r="R1003" s="19"/>
      <c r="S1003" s="19"/>
      <c r="T1003" s="34" t="str">
        <f aca="false">IF($R1003="","",IFERROR(INDEX(DriverCategory,MATCH($R1003,DriverList,0)),"BAU"))</f>
        <v/>
      </c>
      <c r="U1003" s="34" t="str">
        <f aca="false">IF($R1003="","",IFERROR(INDEX(DriverRank,MATCH($R1003,DriverList,0)),99))</f>
        <v/>
      </c>
      <c r="V1003" s="35" t="n">
        <f aca="false">IF($H1003="",0,IFERROR(INDEX(LevelBasic,MATCH($H1003,LevelList,0))+INDEX(LevelHousing,MATCH($H1003,LevelList,0))+INDEX(LevelTransport,MATCH($H1003,LevelList,0))+INDEX(LevelBasic,MATCH($H1003,LevelList,0))*INDEX(LevelBonus,MATCH($H1003,LevelList,0))+(INDEX(LevelBasic,MATCH($H1003,LevelList,0))+INDEX(LevelHousing,MATCH($H1003,LevelList,0)))*GosiSaudi,0))</f>
        <v>0</v>
      </c>
      <c r="W1003" s="35" t="n">
        <f aca="false">IFERROR(INDEX(LevelOneOff,MATCH($H1003,LevelList,0)),0)</f>
        <v>0</v>
      </c>
      <c r="X1003" s="35" t="str">
        <f aca="false">IF($G1003="","",$V1003*N($L1003))</f>
        <v/>
      </c>
      <c r="Y1003" s="35" t="str">
        <f aca="false">IF($G1003="","",$V1003*(N($M1003)*1+N($N1003)*0.75+N($O1003)*0.5+N($P1003)*0.25)+$W1003*N($L1003))</f>
        <v/>
      </c>
      <c r="Z1003" s="35" t="str">
        <f aca="false">IF($G1003="","",$U1003*1000000+ROW())</f>
        <v/>
      </c>
      <c r="AA1003" s="36" t="str">
        <f aca="false">IF($G1003="","",MID(IF($C1003="",", no division","")&amp;IF($E1003="",", no unit","")&amp;IF($H1003="",", no career level","")&amp;IF(N($L1003)&lt;=0,", no quarter split","")&amp;IF($R1003="",", no driver","")&amp;IF(AND($H1003&lt;&gt;"",COUNTIF(CareerLevels,$H1003)=0),", a career level that is not on the ladder","")&amp;IF(AND($R1003&lt;&gt;"",COUNTIF(DriverList,$R1003)=0),", a driver that is not on the list","")&amp;IF(ABS(N($L1003)-(N($M1003)+N($N1003)+N($O1003)+N($P1003)))&gt;0.001,", a total that does not match its quarters",""),3,300))</f>
        <v/>
      </c>
    </row>
    <row r="1004" customFormat="false" ht="15" hidden="false" customHeight="false" outlineLevel="0" collapsed="false">
      <c r="A1004" s="33" t="str">
        <f aca="false">IF($G1004="","","Human Resources Group")</f>
        <v/>
      </c>
      <c r="B1004" s="19"/>
      <c r="C1004" s="19"/>
      <c r="D1004" s="19"/>
      <c r="E1004" s="19"/>
      <c r="F1004" s="19"/>
      <c r="G1004" s="19"/>
      <c r="H1004" s="19"/>
      <c r="I1004" s="19"/>
      <c r="J1004" s="19"/>
      <c r="K1004" s="19"/>
      <c r="L1004" s="19"/>
      <c r="M1004" s="19"/>
      <c r="N1004" s="19"/>
      <c r="O1004" s="19"/>
      <c r="P1004" s="19"/>
      <c r="Q1004" s="19"/>
      <c r="R1004" s="19"/>
      <c r="S1004" s="19"/>
      <c r="T1004" s="34" t="str">
        <f aca="false">IF($R1004="","",IFERROR(INDEX(DriverCategory,MATCH($R1004,DriverList,0)),"BAU"))</f>
        <v/>
      </c>
      <c r="U1004" s="34" t="str">
        <f aca="false">IF($R1004="","",IFERROR(INDEX(DriverRank,MATCH($R1004,DriverList,0)),99))</f>
        <v/>
      </c>
      <c r="V1004" s="35" t="n">
        <f aca="false">IF($H1004="",0,IFERROR(INDEX(LevelBasic,MATCH($H1004,LevelList,0))+INDEX(LevelHousing,MATCH($H1004,LevelList,0))+INDEX(LevelTransport,MATCH($H1004,LevelList,0))+INDEX(LevelBasic,MATCH($H1004,LevelList,0))*INDEX(LevelBonus,MATCH($H1004,LevelList,0))+(INDEX(LevelBasic,MATCH($H1004,LevelList,0))+INDEX(LevelHousing,MATCH($H1004,LevelList,0)))*GosiSaudi,0))</f>
        <v>0</v>
      </c>
      <c r="W1004" s="35" t="n">
        <f aca="false">IFERROR(INDEX(LevelOneOff,MATCH($H1004,LevelList,0)),0)</f>
        <v>0</v>
      </c>
      <c r="X1004" s="35" t="str">
        <f aca="false">IF($G1004="","",$V1004*N($L1004))</f>
        <v/>
      </c>
      <c r="Y1004" s="35" t="str">
        <f aca="false">IF($G1004="","",$V1004*(N($M1004)*1+N($N1004)*0.75+N($O1004)*0.5+N($P1004)*0.25)+$W1004*N($L1004))</f>
        <v/>
      </c>
      <c r="Z1004" s="35" t="str">
        <f aca="false">IF($G1004="","",$U1004*1000000+ROW())</f>
        <v/>
      </c>
      <c r="AA1004" s="36" t="str">
        <f aca="false">IF($G1004="","",MID(IF($C1004="",", no division","")&amp;IF($E1004="",", no unit","")&amp;IF($H1004="",", no career level","")&amp;IF(N($L1004)&lt;=0,", no quarter split","")&amp;IF($R1004="",", no driver","")&amp;IF(AND($H1004&lt;&gt;"",COUNTIF(CareerLevels,$H1004)=0),", a career level that is not on the ladder","")&amp;IF(AND($R1004&lt;&gt;"",COUNTIF(DriverList,$R1004)=0),", a driver that is not on the list","")&amp;IF(ABS(N($L1004)-(N($M1004)+N($N1004)+N($O1004)+N($P1004)))&gt;0.001,", a total that does not match its quarters",""),3,300))</f>
        <v/>
      </c>
    </row>
    <row r="1005" customFormat="false" ht="15" hidden="false" customHeight="false" outlineLevel="0" collapsed="false">
      <c r="A1005" s="33" t="str">
        <f aca="false">IF($G1005="","","Human Resources Group")</f>
        <v/>
      </c>
      <c r="B1005" s="19"/>
      <c r="C1005" s="19"/>
      <c r="D1005" s="19"/>
      <c r="E1005" s="19"/>
      <c r="F1005" s="19"/>
      <c r="G1005" s="19"/>
      <c r="H1005" s="19"/>
      <c r="I1005" s="19"/>
      <c r="J1005" s="19"/>
      <c r="K1005" s="19"/>
      <c r="L1005" s="19"/>
      <c r="M1005" s="19"/>
      <c r="N1005" s="19"/>
      <c r="O1005" s="19"/>
      <c r="P1005" s="19"/>
      <c r="Q1005" s="19"/>
      <c r="R1005" s="19"/>
      <c r="S1005" s="19"/>
      <c r="T1005" s="34" t="str">
        <f aca="false">IF($R1005="","",IFERROR(INDEX(DriverCategory,MATCH($R1005,DriverList,0)),"BAU"))</f>
        <v/>
      </c>
      <c r="U1005" s="34" t="str">
        <f aca="false">IF($R1005="","",IFERROR(INDEX(DriverRank,MATCH($R1005,DriverList,0)),99))</f>
        <v/>
      </c>
      <c r="V1005" s="35" t="n">
        <f aca="false">IF($H1005="",0,IFERROR(INDEX(LevelBasic,MATCH($H1005,LevelList,0))+INDEX(LevelHousing,MATCH($H1005,LevelList,0))+INDEX(LevelTransport,MATCH($H1005,LevelList,0))+INDEX(LevelBasic,MATCH($H1005,LevelList,0))*INDEX(LevelBonus,MATCH($H1005,LevelList,0))+(INDEX(LevelBasic,MATCH($H1005,LevelList,0))+INDEX(LevelHousing,MATCH($H1005,LevelList,0)))*GosiSaudi,0))</f>
        <v>0</v>
      </c>
      <c r="W1005" s="35" t="n">
        <f aca="false">IFERROR(INDEX(LevelOneOff,MATCH($H1005,LevelList,0)),0)</f>
        <v>0</v>
      </c>
      <c r="X1005" s="35" t="str">
        <f aca="false">IF($G1005="","",$V1005*N($L1005))</f>
        <v/>
      </c>
      <c r="Y1005" s="35" t="str">
        <f aca="false">IF($G1005="","",$V1005*(N($M1005)*1+N($N1005)*0.75+N($O1005)*0.5+N($P1005)*0.25)+$W1005*N($L1005))</f>
        <v/>
      </c>
      <c r="Z1005" s="35" t="str">
        <f aca="false">IF($G1005="","",$U1005*1000000+ROW())</f>
        <v/>
      </c>
      <c r="AA1005" s="36" t="str">
        <f aca="false">IF($G1005="","",MID(IF($C1005="",", no division","")&amp;IF($E1005="",", no unit","")&amp;IF($H1005="",", no career level","")&amp;IF(N($L1005)&lt;=0,", no quarter split","")&amp;IF($R1005="",", no driver","")&amp;IF(AND($H1005&lt;&gt;"",COUNTIF(CareerLevels,$H1005)=0),", a career level that is not on the ladder","")&amp;IF(AND($R1005&lt;&gt;"",COUNTIF(DriverList,$R1005)=0),", a driver that is not on the list","")&amp;IF(ABS(N($L1005)-(N($M1005)+N($N1005)+N($O1005)+N($P1005)))&gt;0.001,", a total that does not match its quarters",""),3,300))</f>
        <v/>
      </c>
    </row>
    <row r="1006" customFormat="false" ht="15" hidden="false" customHeight="false" outlineLevel="0" collapsed="false">
      <c r="A1006" s="28" t="str">
        <f aca="false">IF($G1006="","","Internal Audit Group")</f>
        <v/>
      </c>
      <c r="B1006" s="29"/>
      <c r="C1006" s="29"/>
      <c r="D1006" s="29"/>
      <c r="E1006" s="29"/>
      <c r="F1006" s="29"/>
      <c r="G1006" s="29"/>
      <c r="H1006" s="29"/>
      <c r="I1006" s="29"/>
      <c r="J1006" s="29"/>
      <c r="K1006" s="29"/>
      <c r="L1006" s="29"/>
      <c r="M1006" s="29"/>
      <c r="N1006" s="29"/>
      <c r="O1006" s="29"/>
      <c r="P1006" s="29"/>
      <c r="Q1006" s="29"/>
      <c r="R1006" s="29"/>
      <c r="S1006" s="29"/>
      <c r="T1006" s="30" t="str">
        <f aca="false">IF($R1006="","",IFERROR(INDEX(DriverCategory,MATCH($R1006,DriverList,0)),"BAU"))</f>
        <v/>
      </c>
      <c r="U1006" s="30" t="str">
        <f aca="false">IF($R1006="","",IFERROR(INDEX(DriverRank,MATCH($R1006,DriverList,0)),99))</f>
        <v/>
      </c>
      <c r="V1006" s="31" t="n">
        <f aca="false">IF($H1006="",0,IFERROR(INDEX(LevelBasic,MATCH($H1006,LevelList,0))+INDEX(LevelHousing,MATCH($H1006,LevelList,0))+INDEX(LevelTransport,MATCH($H1006,LevelList,0))+INDEX(LevelBasic,MATCH($H1006,LevelList,0))*INDEX(LevelBonus,MATCH($H1006,LevelList,0))+(INDEX(LevelBasic,MATCH($H1006,LevelList,0))+INDEX(LevelHousing,MATCH($H1006,LevelList,0)))*GosiSaudi,0))</f>
        <v>0</v>
      </c>
      <c r="W1006" s="31" t="n">
        <f aca="false">IFERROR(INDEX(LevelOneOff,MATCH($H1006,LevelList,0)),0)</f>
        <v>0</v>
      </c>
      <c r="X1006" s="31" t="str">
        <f aca="false">IF($G1006="","",$V1006*N($L1006))</f>
        <v/>
      </c>
      <c r="Y1006" s="31" t="str">
        <f aca="false">IF($G1006="","",$V1006*(N($M1006)*1+N($N1006)*0.75+N($O1006)*0.5+N($P1006)*0.25)+$W1006*N($L1006))</f>
        <v/>
      </c>
      <c r="Z1006" s="31" t="str">
        <f aca="false">IF($G1006="","",$U1006*1000000+ROW())</f>
        <v/>
      </c>
      <c r="AA1006" s="32" t="str">
        <f aca="false">IF($G1006="","",MID(IF($C1006="",", no division","")&amp;IF($E1006="",", no unit","")&amp;IF($H1006="",", no career level","")&amp;IF(N($L1006)&lt;=0,", no quarter split","")&amp;IF($R1006="",", no driver","")&amp;IF(AND($H1006&lt;&gt;"",COUNTIF(CareerLevels,$H1006)=0),", a career level that is not on the ladder","")&amp;IF(AND($R1006&lt;&gt;"",COUNTIF(DriverList,$R1006)=0),", a driver that is not on the list","")&amp;IF(ABS(N($L1006)-(N($M1006)+N($N1006)+N($O1006)+N($P1006)))&gt;0.001,", a total that does not match its quarters",""),3,300))</f>
        <v/>
      </c>
    </row>
    <row r="1007" customFormat="false" ht="15" hidden="false" customHeight="false" outlineLevel="0" collapsed="false">
      <c r="A1007" s="33" t="str">
        <f aca="false">IF($G1007="","","Internal Audit Group")</f>
        <v/>
      </c>
      <c r="B1007" s="19"/>
      <c r="C1007" s="19"/>
      <c r="D1007" s="19"/>
      <c r="E1007" s="19"/>
      <c r="F1007" s="19"/>
      <c r="G1007" s="19"/>
      <c r="H1007" s="19"/>
      <c r="I1007" s="19"/>
      <c r="J1007" s="19"/>
      <c r="K1007" s="19"/>
      <c r="L1007" s="19"/>
      <c r="M1007" s="19"/>
      <c r="N1007" s="19"/>
      <c r="O1007" s="19"/>
      <c r="P1007" s="19"/>
      <c r="Q1007" s="19"/>
      <c r="R1007" s="19"/>
      <c r="S1007" s="19"/>
      <c r="T1007" s="34" t="str">
        <f aca="false">IF($R1007="","",IFERROR(INDEX(DriverCategory,MATCH($R1007,DriverList,0)),"BAU"))</f>
        <v/>
      </c>
      <c r="U1007" s="34" t="str">
        <f aca="false">IF($R1007="","",IFERROR(INDEX(DriverRank,MATCH($R1007,DriverList,0)),99))</f>
        <v/>
      </c>
      <c r="V1007" s="35" t="n">
        <f aca="false">IF($H1007="",0,IFERROR(INDEX(LevelBasic,MATCH($H1007,LevelList,0))+INDEX(LevelHousing,MATCH($H1007,LevelList,0))+INDEX(LevelTransport,MATCH($H1007,LevelList,0))+INDEX(LevelBasic,MATCH($H1007,LevelList,0))*INDEX(LevelBonus,MATCH($H1007,LevelList,0))+(INDEX(LevelBasic,MATCH($H1007,LevelList,0))+INDEX(LevelHousing,MATCH($H1007,LevelList,0)))*GosiSaudi,0))</f>
        <v>0</v>
      </c>
      <c r="W1007" s="35" t="n">
        <f aca="false">IFERROR(INDEX(LevelOneOff,MATCH($H1007,LevelList,0)),0)</f>
        <v>0</v>
      </c>
      <c r="X1007" s="35" t="str">
        <f aca="false">IF($G1007="","",$V1007*N($L1007))</f>
        <v/>
      </c>
      <c r="Y1007" s="35" t="str">
        <f aca="false">IF($G1007="","",$V1007*(N($M1007)*1+N($N1007)*0.75+N($O1007)*0.5+N($P1007)*0.25)+$W1007*N($L1007))</f>
        <v/>
      </c>
      <c r="Z1007" s="35" t="str">
        <f aca="false">IF($G1007="","",$U1007*1000000+ROW())</f>
        <v/>
      </c>
      <c r="AA1007" s="36" t="str">
        <f aca="false">IF($G1007="","",MID(IF($C1007="",", no division","")&amp;IF($E1007="",", no unit","")&amp;IF($H1007="",", no career level","")&amp;IF(N($L1007)&lt;=0,", no quarter split","")&amp;IF($R1007="",", no driver","")&amp;IF(AND($H1007&lt;&gt;"",COUNTIF(CareerLevels,$H1007)=0),", a career level that is not on the ladder","")&amp;IF(AND($R1007&lt;&gt;"",COUNTIF(DriverList,$R1007)=0),", a driver that is not on the list","")&amp;IF(ABS(N($L1007)-(N($M1007)+N($N1007)+N($O1007)+N($P1007)))&gt;0.001,", a total that does not match its quarters",""),3,300))</f>
        <v/>
      </c>
    </row>
    <row r="1008" customFormat="false" ht="15" hidden="false" customHeight="false" outlineLevel="0" collapsed="false">
      <c r="A1008" s="33" t="str">
        <f aca="false">IF($G1008="","","Internal Audit Group")</f>
        <v/>
      </c>
      <c r="B1008" s="19"/>
      <c r="C1008" s="19"/>
      <c r="D1008" s="19"/>
      <c r="E1008" s="19"/>
      <c r="F1008" s="19"/>
      <c r="G1008" s="19"/>
      <c r="H1008" s="19"/>
      <c r="I1008" s="19"/>
      <c r="J1008" s="19"/>
      <c r="K1008" s="19"/>
      <c r="L1008" s="19"/>
      <c r="M1008" s="19"/>
      <c r="N1008" s="19"/>
      <c r="O1008" s="19"/>
      <c r="P1008" s="19"/>
      <c r="Q1008" s="19"/>
      <c r="R1008" s="19"/>
      <c r="S1008" s="19"/>
      <c r="T1008" s="34" t="str">
        <f aca="false">IF($R1008="","",IFERROR(INDEX(DriverCategory,MATCH($R1008,DriverList,0)),"BAU"))</f>
        <v/>
      </c>
      <c r="U1008" s="34" t="str">
        <f aca="false">IF($R1008="","",IFERROR(INDEX(DriverRank,MATCH($R1008,DriverList,0)),99))</f>
        <v/>
      </c>
      <c r="V1008" s="35" t="n">
        <f aca="false">IF($H1008="",0,IFERROR(INDEX(LevelBasic,MATCH($H1008,LevelList,0))+INDEX(LevelHousing,MATCH($H1008,LevelList,0))+INDEX(LevelTransport,MATCH($H1008,LevelList,0))+INDEX(LevelBasic,MATCH($H1008,LevelList,0))*INDEX(LevelBonus,MATCH($H1008,LevelList,0))+(INDEX(LevelBasic,MATCH($H1008,LevelList,0))+INDEX(LevelHousing,MATCH($H1008,LevelList,0)))*GosiSaudi,0))</f>
        <v>0</v>
      </c>
      <c r="W1008" s="35" t="n">
        <f aca="false">IFERROR(INDEX(LevelOneOff,MATCH($H1008,LevelList,0)),0)</f>
        <v>0</v>
      </c>
      <c r="X1008" s="35" t="str">
        <f aca="false">IF($G1008="","",$V1008*N($L1008))</f>
        <v/>
      </c>
      <c r="Y1008" s="35" t="str">
        <f aca="false">IF($G1008="","",$V1008*(N($M1008)*1+N($N1008)*0.75+N($O1008)*0.5+N($P1008)*0.25)+$W1008*N($L1008))</f>
        <v/>
      </c>
      <c r="Z1008" s="35" t="str">
        <f aca="false">IF($G1008="","",$U1008*1000000+ROW())</f>
        <v/>
      </c>
      <c r="AA1008" s="36" t="str">
        <f aca="false">IF($G1008="","",MID(IF($C1008="",", no division","")&amp;IF($E1008="",", no unit","")&amp;IF($H1008="",", no career level","")&amp;IF(N($L1008)&lt;=0,", no quarter split","")&amp;IF($R1008="",", no driver","")&amp;IF(AND($H1008&lt;&gt;"",COUNTIF(CareerLevels,$H1008)=0),", a career level that is not on the ladder","")&amp;IF(AND($R1008&lt;&gt;"",COUNTIF(DriverList,$R1008)=0),", a driver that is not on the list","")&amp;IF(ABS(N($L1008)-(N($M1008)+N($N1008)+N($O1008)+N($P1008)))&gt;0.001,", a total that does not match its quarters",""),3,300))</f>
        <v/>
      </c>
    </row>
    <row r="1009" customFormat="false" ht="15" hidden="false" customHeight="false" outlineLevel="0" collapsed="false">
      <c r="A1009" s="33" t="str">
        <f aca="false">IF($G1009="","","Internal Audit Group")</f>
        <v/>
      </c>
      <c r="B1009" s="19"/>
      <c r="C1009" s="19"/>
      <c r="D1009" s="19"/>
      <c r="E1009" s="19"/>
      <c r="F1009" s="19"/>
      <c r="G1009" s="19"/>
      <c r="H1009" s="19"/>
      <c r="I1009" s="19"/>
      <c r="J1009" s="19"/>
      <c r="K1009" s="19"/>
      <c r="L1009" s="19"/>
      <c r="M1009" s="19"/>
      <c r="N1009" s="19"/>
      <c r="O1009" s="19"/>
      <c r="P1009" s="19"/>
      <c r="Q1009" s="19"/>
      <c r="R1009" s="19"/>
      <c r="S1009" s="19"/>
      <c r="T1009" s="34" t="str">
        <f aca="false">IF($R1009="","",IFERROR(INDEX(DriverCategory,MATCH($R1009,DriverList,0)),"BAU"))</f>
        <v/>
      </c>
      <c r="U1009" s="34" t="str">
        <f aca="false">IF($R1009="","",IFERROR(INDEX(DriverRank,MATCH($R1009,DriverList,0)),99))</f>
        <v/>
      </c>
      <c r="V1009" s="35" t="n">
        <f aca="false">IF($H1009="",0,IFERROR(INDEX(LevelBasic,MATCH($H1009,LevelList,0))+INDEX(LevelHousing,MATCH($H1009,LevelList,0))+INDEX(LevelTransport,MATCH($H1009,LevelList,0))+INDEX(LevelBasic,MATCH($H1009,LevelList,0))*INDEX(LevelBonus,MATCH($H1009,LevelList,0))+(INDEX(LevelBasic,MATCH($H1009,LevelList,0))+INDEX(LevelHousing,MATCH($H1009,LevelList,0)))*GosiSaudi,0))</f>
        <v>0</v>
      </c>
      <c r="W1009" s="35" t="n">
        <f aca="false">IFERROR(INDEX(LevelOneOff,MATCH($H1009,LevelList,0)),0)</f>
        <v>0</v>
      </c>
      <c r="X1009" s="35" t="str">
        <f aca="false">IF($G1009="","",$V1009*N($L1009))</f>
        <v/>
      </c>
      <c r="Y1009" s="35" t="str">
        <f aca="false">IF($G1009="","",$V1009*(N($M1009)*1+N($N1009)*0.75+N($O1009)*0.5+N($P1009)*0.25)+$W1009*N($L1009))</f>
        <v/>
      </c>
      <c r="Z1009" s="35" t="str">
        <f aca="false">IF($G1009="","",$U1009*1000000+ROW())</f>
        <v/>
      </c>
      <c r="AA1009" s="36" t="str">
        <f aca="false">IF($G1009="","",MID(IF($C1009="",", no division","")&amp;IF($E1009="",", no unit","")&amp;IF($H1009="",", no career level","")&amp;IF(N($L1009)&lt;=0,", no quarter split","")&amp;IF($R1009="",", no driver","")&amp;IF(AND($H1009&lt;&gt;"",COUNTIF(CareerLevels,$H1009)=0),", a career level that is not on the ladder","")&amp;IF(AND($R1009&lt;&gt;"",COUNTIF(DriverList,$R1009)=0),", a driver that is not on the list","")&amp;IF(ABS(N($L1009)-(N($M1009)+N($N1009)+N($O1009)+N($P1009)))&gt;0.001,", a total that does not match its quarters",""),3,300))</f>
        <v/>
      </c>
    </row>
    <row r="1010" customFormat="false" ht="15" hidden="false" customHeight="false" outlineLevel="0" collapsed="false">
      <c r="A1010" s="33" t="str">
        <f aca="false">IF($G1010="","","Internal Audit Group")</f>
        <v/>
      </c>
      <c r="B1010" s="19"/>
      <c r="C1010" s="19"/>
      <c r="D1010" s="19"/>
      <c r="E1010" s="19"/>
      <c r="F1010" s="19"/>
      <c r="G1010" s="19"/>
      <c r="H1010" s="19"/>
      <c r="I1010" s="19"/>
      <c r="J1010" s="19"/>
      <c r="K1010" s="19"/>
      <c r="L1010" s="19"/>
      <c r="M1010" s="19"/>
      <c r="N1010" s="19"/>
      <c r="O1010" s="19"/>
      <c r="P1010" s="19"/>
      <c r="Q1010" s="19"/>
      <c r="R1010" s="19"/>
      <c r="S1010" s="19"/>
      <c r="T1010" s="34" t="str">
        <f aca="false">IF($R1010="","",IFERROR(INDEX(DriverCategory,MATCH($R1010,DriverList,0)),"BAU"))</f>
        <v/>
      </c>
      <c r="U1010" s="34" t="str">
        <f aca="false">IF($R1010="","",IFERROR(INDEX(DriverRank,MATCH($R1010,DriverList,0)),99))</f>
        <v/>
      </c>
      <c r="V1010" s="35" t="n">
        <f aca="false">IF($H1010="",0,IFERROR(INDEX(LevelBasic,MATCH($H1010,LevelList,0))+INDEX(LevelHousing,MATCH($H1010,LevelList,0))+INDEX(LevelTransport,MATCH($H1010,LevelList,0))+INDEX(LevelBasic,MATCH($H1010,LevelList,0))*INDEX(LevelBonus,MATCH($H1010,LevelList,0))+(INDEX(LevelBasic,MATCH($H1010,LevelList,0))+INDEX(LevelHousing,MATCH($H1010,LevelList,0)))*GosiSaudi,0))</f>
        <v>0</v>
      </c>
      <c r="W1010" s="35" t="n">
        <f aca="false">IFERROR(INDEX(LevelOneOff,MATCH($H1010,LevelList,0)),0)</f>
        <v>0</v>
      </c>
      <c r="X1010" s="35" t="str">
        <f aca="false">IF($G1010="","",$V1010*N($L1010))</f>
        <v/>
      </c>
      <c r="Y1010" s="35" t="str">
        <f aca="false">IF($G1010="","",$V1010*(N($M1010)*1+N($N1010)*0.75+N($O1010)*0.5+N($P1010)*0.25)+$W1010*N($L1010))</f>
        <v/>
      </c>
      <c r="Z1010" s="35" t="str">
        <f aca="false">IF($G1010="","",$U1010*1000000+ROW())</f>
        <v/>
      </c>
      <c r="AA1010" s="36" t="str">
        <f aca="false">IF($G1010="","",MID(IF($C1010="",", no division","")&amp;IF($E1010="",", no unit","")&amp;IF($H1010="",", no career level","")&amp;IF(N($L1010)&lt;=0,", no quarter split","")&amp;IF($R1010="",", no driver","")&amp;IF(AND($H1010&lt;&gt;"",COUNTIF(CareerLevels,$H1010)=0),", a career level that is not on the ladder","")&amp;IF(AND($R1010&lt;&gt;"",COUNTIF(DriverList,$R1010)=0),", a driver that is not on the list","")&amp;IF(ABS(N($L1010)-(N($M1010)+N($N1010)+N($O1010)+N($P1010)))&gt;0.001,", a total that does not match its quarters",""),3,300))</f>
        <v/>
      </c>
    </row>
    <row r="1011" customFormat="false" ht="15" hidden="false" customHeight="false" outlineLevel="0" collapsed="false">
      <c r="A1011" s="33" t="str">
        <f aca="false">IF($G1011="","","Internal Audit Group")</f>
        <v/>
      </c>
      <c r="B1011" s="19"/>
      <c r="C1011" s="19"/>
      <c r="D1011" s="19"/>
      <c r="E1011" s="19"/>
      <c r="F1011" s="19"/>
      <c r="G1011" s="19"/>
      <c r="H1011" s="19"/>
      <c r="I1011" s="19"/>
      <c r="J1011" s="19"/>
      <c r="K1011" s="19"/>
      <c r="L1011" s="19"/>
      <c r="M1011" s="19"/>
      <c r="N1011" s="19"/>
      <c r="O1011" s="19"/>
      <c r="P1011" s="19"/>
      <c r="Q1011" s="19"/>
      <c r="R1011" s="19"/>
      <c r="S1011" s="19"/>
      <c r="T1011" s="34" t="str">
        <f aca="false">IF($R1011="","",IFERROR(INDEX(DriverCategory,MATCH($R1011,DriverList,0)),"BAU"))</f>
        <v/>
      </c>
      <c r="U1011" s="34" t="str">
        <f aca="false">IF($R1011="","",IFERROR(INDEX(DriverRank,MATCH($R1011,DriverList,0)),99))</f>
        <v/>
      </c>
      <c r="V1011" s="35" t="n">
        <f aca="false">IF($H1011="",0,IFERROR(INDEX(LevelBasic,MATCH($H1011,LevelList,0))+INDEX(LevelHousing,MATCH($H1011,LevelList,0))+INDEX(LevelTransport,MATCH($H1011,LevelList,0))+INDEX(LevelBasic,MATCH($H1011,LevelList,0))*INDEX(LevelBonus,MATCH($H1011,LevelList,0))+(INDEX(LevelBasic,MATCH($H1011,LevelList,0))+INDEX(LevelHousing,MATCH($H1011,LevelList,0)))*GosiSaudi,0))</f>
        <v>0</v>
      </c>
      <c r="W1011" s="35" t="n">
        <f aca="false">IFERROR(INDEX(LevelOneOff,MATCH($H1011,LevelList,0)),0)</f>
        <v>0</v>
      </c>
      <c r="X1011" s="35" t="str">
        <f aca="false">IF($G1011="","",$V1011*N($L1011))</f>
        <v/>
      </c>
      <c r="Y1011" s="35" t="str">
        <f aca="false">IF($G1011="","",$V1011*(N($M1011)*1+N($N1011)*0.75+N($O1011)*0.5+N($P1011)*0.25)+$W1011*N($L1011))</f>
        <v/>
      </c>
      <c r="Z1011" s="35" t="str">
        <f aca="false">IF($G1011="","",$U1011*1000000+ROW())</f>
        <v/>
      </c>
      <c r="AA1011" s="36" t="str">
        <f aca="false">IF($G1011="","",MID(IF($C1011="",", no division","")&amp;IF($E1011="",", no unit","")&amp;IF($H1011="",", no career level","")&amp;IF(N($L1011)&lt;=0,", no quarter split","")&amp;IF($R1011="",", no driver","")&amp;IF(AND($H1011&lt;&gt;"",COUNTIF(CareerLevels,$H1011)=0),", a career level that is not on the ladder","")&amp;IF(AND($R1011&lt;&gt;"",COUNTIF(DriverList,$R1011)=0),", a driver that is not on the list","")&amp;IF(ABS(N($L1011)-(N($M1011)+N($N1011)+N($O1011)+N($P1011)))&gt;0.001,", a total that does not match its quarters",""),3,300))</f>
        <v/>
      </c>
    </row>
    <row r="1012" customFormat="false" ht="15" hidden="false" customHeight="false" outlineLevel="0" collapsed="false">
      <c r="A1012" s="33" t="str">
        <f aca="false">IF($G1012="","","Internal Audit Group")</f>
        <v/>
      </c>
      <c r="B1012" s="19"/>
      <c r="C1012" s="19"/>
      <c r="D1012" s="19"/>
      <c r="E1012" s="19"/>
      <c r="F1012" s="19"/>
      <c r="G1012" s="19"/>
      <c r="H1012" s="19"/>
      <c r="I1012" s="19"/>
      <c r="J1012" s="19"/>
      <c r="K1012" s="19"/>
      <c r="L1012" s="19"/>
      <c r="M1012" s="19"/>
      <c r="N1012" s="19"/>
      <c r="O1012" s="19"/>
      <c r="P1012" s="19"/>
      <c r="Q1012" s="19"/>
      <c r="R1012" s="19"/>
      <c r="S1012" s="19"/>
      <c r="T1012" s="34" t="str">
        <f aca="false">IF($R1012="","",IFERROR(INDEX(DriverCategory,MATCH($R1012,DriverList,0)),"BAU"))</f>
        <v/>
      </c>
      <c r="U1012" s="34" t="str">
        <f aca="false">IF($R1012="","",IFERROR(INDEX(DriverRank,MATCH($R1012,DriverList,0)),99))</f>
        <v/>
      </c>
      <c r="V1012" s="35" t="n">
        <f aca="false">IF($H1012="",0,IFERROR(INDEX(LevelBasic,MATCH($H1012,LevelList,0))+INDEX(LevelHousing,MATCH($H1012,LevelList,0))+INDEX(LevelTransport,MATCH($H1012,LevelList,0))+INDEX(LevelBasic,MATCH($H1012,LevelList,0))*INDEX(LevelBonus,MATCH($H1012,LevelList,0))+(INDEX(LevelBasic,MATCH($H1012,LevelList,0))+INDEX(LevelHousing,MATCH($H1012,LevelList,0)))*GosiSaudi,0))</f>
        <v>0</v>
      </c>
      <c r="W1012" s="35" t="n">
        <f aca="false">IFERROR(INDEX(LevelOneOff,MATCH($H1012,LevelList,0)),0)</f>
        <v>0</v>
      </c>
      <c r="X1012" s="35" t="str">
        <f aca="false">IF($G1012="","",$V1012*N($L1012))</f>
        <v/>
      </c>
      <c r="Y1012" s="35" t="str">
        <f aca="false">IF($G1012="","",$V1012*(N($M1012)*1+N($N1012)*0.75+N($O1012)*0.5+N($P1012)*0.25)+$W1012*N($L1012))</f>
        <v/>
      </c>
      <c r="Z1012" s="35" t="str">
        <f aca="false">IF($G1012="","",$U1012*1000000+ROW())</f>
        <v/>
      </c>
      <c r="AA1012" s="36" t="str">
        <f aca="false">IF($G1012="","",MID(IF($C1012="",", no division","")&amp;IF($E1012="",", no unit","")&amp;IF($H1012="",", no career level","")&amp;IF(N($L1012)&lt;=0,", no quarter split","")&amp;IF($R1012="",", no driver","")&amp;IF(AND($H1012&lt;&gt;"",COUNTIF(CareerLevels,$H1012)=0),", a career level that is not on the ladder","")&amp;IF(AND($R1012&lt;&gt;"",COUNTIF(DriverList,$R1012)=0),", a driver that is not on the list","")&amp;IF(ABS(N($L1012)-(N($M1012)+N($N1012)+N($O1012)+N($P1012)))&gt;0.001,", a total that does not match its quarters",""),3,300))</f>
        <v/>
      </c>
    </row>
    <row r="1013" customFormat="false" ht="15" hidden="false" customHeight="false" outlineLevel="0" collapsed="false">
      <c r="A1013" s="33" t="str">
        <f aca="false">IF($G1013="","","Internal Audit Group")</f>
        <v/>
      </c>
      <c r="B1013" s="19"/>
      <c r="C1013" s="19"/>
      <c r="D1013" s="19"/>
      <c r="E1013" s="19"/>
      <c r="F1013" s="19"/>
      <c r="G1013" s="19"/>
      <c r="H1013" s="19"/>
      <c r="I1013" s="19"/>
      <c r="J1013" s="19"/>
      <c r="K1013" s="19"/>
      <c r="L1013" s="19"/>
      <c r="M1013" s="19"/>
      <c r="N1013" s="19"/>
      <c r="O1013" s="19"/>
      <c r="P1013" s="19"/>
      <c r="Q1013" s="19"/>
      <c r="R1013" s="19"/>
      <c r="S1013" s="19"/>
      <c r="T1013" s="34" t="str">
        <f aca="false">IF($R1013="","",IFERROR(INDEX(DriverCategory,MATCH($R1013,DriverList,0)),"BAU"))</f>
        <v/>
      </c>
      <c r="U1013" s="34" t="str">
        <f aca="false">IF($R1013="","",IFERROR(INDEX(DriverRank,MATCH($R1013,DriverList,0)),99))</f>
        <v/>
      </c>
      <c r="V1013" s="35" t="n">
        <f aca="false">IF($H1013="",0,IFERROR(INDEX(LevelBasic,MATCH($H1013,LevelList,0))+INDEX(LevelHousing,MATCH($H1013,LevelList,0))+INDEX(LevelTransport,MATCH($H1013,LevelList,0))+INDEX(LevelBasic,MATCH($H1013,LevelList,0))*INDEX(LevelBonus,MATCH($H1013,LevelList,0))+(INDEX(LevelBasic,MATCH($H1013,LevelList,0))+INDEX(LevelHousing,MATCH($H1013,LevelList,0)))*GosiSaudi,0))</f>
        <v>0</v>
      </c>
      <c r="W1013" s="35" t="n">
        <f aca="false">IFERROR(INDEX(LevelOneOff,MATCH($H1013,LevelList,0)),0)</f>
        <v>0</v>
      </c>
      <c r="X1013" s="35" t="str">
        <f aca="false">IF($G1013="","",$V1013*N($L1013))</f>
        <v/>
      </c>
      <c r="Y1013" s="35" t="str">
        <f aca="false">IF($G1013="","",$V1013*(N($M1013)*1+N($N1013)*0.75+N($O1013)*0.5+N($P1013)*0.25)+$W1013*N($L1013))</f>
        <v/>
      </c>
      <c r="Z1013" s="35" t="str">
        <f aca="false">IF($G1013="","",$U1013*1000000+ROW())</f>
        <v/>
      </c>
      <c r="AA1013" s="36" t="str">
        <f aca="false">IF($G1013="","",MID(IF($C1013="",", no division","")&amp;IF($E1013="",", no unit","")&amp;IF($H1013="",", no career level","")&amp;IF(N($L1013)&lt;=0,", no quarter split","")&amp;IF($R1013="",", no driver","")&amp;IF(AND($H1013&lt;&gt;"",COUNTIF(CareerLevels,$H1013)=0),", a career level that is not on the ladder","")&amp;IF(AND($R1013&lt;&gt;"",COUNTIF(DriverList,$R1013)=0),", a driver that is not on the list","")&amp;IF(ABS(N($L1013)-(N($M1013)+N($N1013)+N($O1013)+N($P1013)))&gt;0.001,", a total that does not match its quarters",""),3,300))</f>
        <v/>
      </c>
    </row>
    <row r="1014" customFormat="false" ht="15" hidden="false" customHeight="false" outlineLevel="0" collapsed="false">
      <c r="A1014" s="33" t="str">
        <f aca="false">IF($G1014="","","Internal Audit Group")</f>
        <v/>
      </c>
      <c r="B1014" s="19"/>
      <c r="C1014" s="19"/>
      <c r="D1014" s="19"/>
      <c r="E1014" s="19"/>
      <c r="F1014" s="19"/>
      <c r="G1014" s="19"/>
      <c r="H1014" s="19"/>
      <c r="I1014" s="19"/>
      <c r="J1014" s="19"/>
      <c r="K1014" s="19"/>
      <c r="L1014" s="19"/>
      <c r="M1014" s="19"/>
      <c r="N1014" s="19"/>
      <c r="O1014" s="19"/>
      <c r="P1014" s="19"/>
      <c r="Q1014" s="19"/>
      <c r="R1014" s="19"/>
      <c r="S1014" s="19"/>
      <c r="T1014" s="34" t="str">
        <f aca="false">IF($R1014="","",IFERROR(INDEX(DriverCategory,MATCH($R1014,DriverList,0)),"BAU"))</f>
        <v/>
      </c>
      <c r="U1014" s="34" t="str">
        <f aca="false">IF($R1014="","",IFERROR(INDEX(DriverRank,MATCH($R1014,DriverList,0)),99))</f>
        <v/>
      </c>
      <c r="V1014" s="35" t="n">
        <f aca="false">IF($H1014="",0,IFERROR(INDEX(LevelBasic,MATCH($H1014,LevelList,0))+INDEX(LevelHousing,MATCH($H1014,LevelList,0))+INDEX(LevelTransport,MATCH($H1014,LevelList,0))+INDEX(LevelBasic,MATCH($H1014,LevelList,0))*INDEX(LevelBonus,MATCH($H1014,LevelList,0))+(INDEX(LevelBasic,MATCH($H1014,LevelList,0))+INDEX(LevelHousing,MATCH($H1014,LevelList,0)))*GosiSaudi,0))</f>
        <v>0</v>
      </c>
      <c r="W1014" s="35" t="n">
        <f aca="false">IFERROR(INDEX(LevelOneOff,MATCH($H1014,LevelList,0)),0)</f>
        <v>0</v>
      </c>
      <c r="X1014" s="35" t="str">
        <f aca="false">IF($G1014="","",$V1014*N($L1014))</f>
        <v/>
      </c>
      <c r="Y1014" s="35" t="str">
        <f aca="false">IF($G1014="","",$V1014*(N($M1014)*1+N($N1014)*0.75+N($O1014)*0.5+N($P1014)*0.25)+$W1014*N($L1014))</f>
        <v/>
      </c>
      <c r="Z1014" s="35" t="str">
        <f aca="false">IF($G1014="","",$U1014*1000000+ROW())</f>
        <v/>
      </c>
      <c r="AA1014" s="36" t="str">
        <f aca="false">IF($G1014="","",MID(IF($C1014="",", no division","")&amp;IF($E1014="",", no unit","")&amp;IF($H1014="",", no career level","")&amp;IF(N($L1014)&lt;=0,", no quarter split","")&amp;IF($R1014="",", no driver","")&amp;IF(AND($H1014&lt;&gt;"",COUNTIF(CareerLevels,$H1014)=0),", a career level that is not on the ladder","")&amp;IF(AND($R1014&lt;&gt;"",COUNTIF(DriverList,$R1014)=0),", a driver that is not on the list","")&amp;IF(ABS(N($L1014)-(N($M1014)+N($N1014)+N($O1014)+N($P1014)))&gt;0.001,", a total that does not match its quarters",""),3,300))</f>
        <v/>
      </c>
    </row>
    <row r="1015" customFormat="false" ht="15" hidden="false" customHeight="false" outlineLevel="0" collapsed="false">
      <c r="A1015" s="33" t="str">
        <f aca="false">IF($G1015="","","Internal Audit Group")</f>
        <v/>
      </c>
      <c r="B1015" s="19"/>
      <c r="C1015" s="19"/>
      <c r="D1015" s="19"/>
      <c r="E1015" s="19"/>
      <c r="F1015" s="19"/>
      <c r="G1015" s="19"/>
      <c r="H1015" s="19"/>
      <c r="I1015" s="19"/>
      <c r="J1015" s="19"/>
      <c r="K1015" s="19"/>
      <c r="L1015" s="19"/>
      <c r="M1015" s="19"/>
      <c r="N1015" s="19"/>
      <c r="O1015" s="19"/>
      <c r="P1015" s="19"/>
      <c r="Q1015" s="19"/>
      <c r="R1015" s="19"/>
      <c r="S1015" s="19"/>
      <c r="T1015" s="34" t="str">
        <f aca="false">IF($R1015="","",IFERROR(INDEX(DriverCategory,MATCH($R1015,DriverList,0)),"BAU"))</f>
        <v/>
      </c>
      <c r="U1015" s="34" t="str">
        <f aca="false">IF($R1015="","",IFERROR(INDEX(DriverRank,MATCH($R1015,DriverList,0)),99))</f>
        <v/>
      </c>
      <c r="V1015" s="35" t="n">
        <f aca="false">IF($H1015="",0,IFERROR(INDEX(LevelBasic,MATCH($H1015,LevelList,0))+INDEX(LevelHousing,MATCH($H1015,LevelList,0))+INDEX(LevelTransport,MATCH($H1015,LevelList,0))+INDEX(LevelBasic,MATCH($H1015,LevelList,0))*INDEX(LevelBonus,MATCH($H1015,LevelList,0))+(INDEX(LevelBasic,MATCH($H1015,LevelList,0))+INDEX(LevelHousing,MATCH($H1015,LevelList,0)))*GosiSaudi,0))</f>
        <v>0</v>
      </c>
      <c r="W1015" s="35" t="n">
        <f aca="false">IFERROR(INDEX(LevelOneOff,MATCH($H1015,LevelList,0)),0)</f>
        <v>0</v>
      </c>
      <c r="X1015" s="35" t="str">
        <f aca="false">IF($G1015="","",$V1015*N($L1015))</f>
        <v/>
      </c>
      <c r="Y1015" s="35" t="str">
        <f aca="false">IF($G1015="","",$V1015*(N($M1015)*1+N($N1015)*0.75+N($O1015)*0.5+N($P1015)*0.25)+$W1015*N($L1015))</f>
        <v/>
      </c>
      <c r="Z1015" s="35" t="str">
        <f aca="false">IF($G1015="","",$U1015*1000000+ROW())</f>
        <v/>
      </c>
      <c r="AA1015" s="36" t="str">
        <f aca="false">IF($G1015="","",MID(IF($C1015="",", no division","")&amp;IF($E1015="",", no unit","")&amp;IF($H1015="",", no career level","")&amp;IF(N($L1015)&lt;=0,", no quarter split","")&amp;IF($R1015="",", no driver","")&amp;IF(AND($H1015&lt;&gt;"",COUNTIF(CareerLevels,$H1015)=0),", a career level that is not on the ladder","")&amp;IF(AND($R1015&lt;&gt;"",COUNTIF(DriverList,$R1015)=0),", a driver that is not on the list","")&amp;IF(ABS(N($L1015)-(N($M1015)+N($N1015)+N($O1015)+N($P1015)))&gt;0.001,", a total that does not match its quarters",""),3,300))</f>
        <v/>
      </c>
    </row>
    <row r="1016" customFormat="false" ht="15" hidden="false" customHeight="false" outlineLevel="0" collapsed="false">
      <c r="A1016" s="33" t="str">
        <f aca="false">IF($G1016="","","Internal Audit Group")</f>
        <v/>
      </c>
      <c r="B1016" s="19"/>
      <c r="C1016" s="19"/>
      <c r="D1016" s="19"/>
      <c r="E1016" s="19"/>
      <c r="F1016" s="19"/>
      <c r="G1016" s="19"/>
      <c r="H1016" s="19"/>
      <c r="I1016" s="19"/>
      <c r="J1016" s="19"/>
      <c r="K1016" s="19"/>
      <c r="L1016" s="19"/>
      <c r="M1016" s="19"/>
      <c r="N1016" s="19"/>
      <c r="O1016" s="19"/>
      <c r="P1016" s="19"/>
      <c r="Q1016" s="19"/>
      <c r="R1016" s="19"/>
      <c r="S1016" s="19"/>
      <c r="T1016" s="34" t="str">
        <f aca="false">IF($R1016="","",IFERROR(INDEX(DriverCategory,MATCH($R1016,DriverList,0)),"BAU"))</f>
        <v/>
      </c>
      <c r="U1016" s="34" t="str">
        <f aca="false">IF($R1016="","",IFERROR(INDEX(DriverRank,MATCH($R1016,DriverList,0)),99))</f>
        <v/>
      </c>
      <c r="V1016" s="35" t="n">
        <f aca="false">IF($H1016="",0,IFERROR(INDEX(LevelBasic,MATCH($H1016,LevelList,0))+INDEX(LevelHousing,MATCH($H1016,LevelList,0))+INDEX(LevelTransport,MATCH($H1016,LevelList,0))+INDEX(LevelBasic,MATCH($H1016,LevelList,0))*INDEX(LevelBonus,MATCH($H1016,LevelList,0))+(INDEX(LevelBasic,MATCH($H1016,LevelList,0))+INDEX(LevelHousing,MATCH($H1016,LevelList,0)))*GosiSaudi,0))</f>
        <v>0</v>
      </c>
      <c r="W1016" s="35" t="n">
        <f aca="false">IFERROR(INDEX(LevelOneOff,MATCH($H1016,LevelList,0)),0)</f>
        <v>0</v>
      </c>
      <c r="X1016" s="35" t="str">
        <f aca="false">IF($G1016="","",$V1016*N($L1016))</f>
        <v/>
      </c>
      <c r="Y1016" s="35" t="str">
        <f aca="false">IF($G1016="","",$V1016*(N($M1016)*1+N($N1016)*0.75+N($O1016)*0.5+N($P1016)*0.25)+$W1016*N($L1016))</f>
        <v/>
      </c>
      <c r="Z1016" s="35" t="str">
        <f aca="false">IF($G1016="","",$U1016*1000000+ROW())</f>
        <v/>
      </c>
      <c r="AA1016" s="36" t="str">
        <f aca="false">IF($G1016="","",MID(IF($C1016="",", no division","")&amp;IF($E1016="",", no unit","")&amp;IF($H1016="",", no career level","")&amp;IF(N($L1016)&lt;=0,", no quarter split","")&amp;IF($R1016="",", no driver","")&amp;IF(AND($H1016&lt;&gt;"",COUNTIF(CareerLevels,$H1016)=0),", a career level that is not on the ladder","")&amp;IF(AND($R1016&lt;&gt;"",COUNTIF(DriverList,$R1016)=0),", a driver that is not on the list","")&amp;IF(ABS(N($L1016)-(N($M1016)+N($N1016)+N($O1016)+N($P1016)))&gt;0.001,", a total that does not match its quarters",""),3,300))</f>
        <v/>
      </c>
    </row>
    <row r="1017" customFormat="false" ht="15" hidden="false" customHeight="false" outlineLevel="0" collapsed="false">
      <c r="A1017" s="33" t="str">
        <f aca="false">IF($G1017="","","Internal Audit Group")</f>
        <v/>
      </c>
      <c r="B1017" s="19"/>
      <c r="C1017" s="19"/>
      <c r="D1017" s="19"/>
      <c r="E1017" s="19"/>
      <c r="F1017" s="19"/>
      <c r="G1017" s="19"/>
      <c r="H1017" s="19"/>
      <c r="I1017" s="19"/>
      <c r="J1017" s="19"/>
      <c r="K1017" s="19"/>
      <c r="L1017" s="19"/>
      <c r="M1017" s="19"/>
      <c r="N1017" s="19"/>
      <c r="O1017" s="19"/>
      <c r="P1017" s="19"/>
      <c r="Q1017" s="19"/>
      <c r="R1017" s="19"/>
      <c r="S1017" s="19"/>
      <c r="T1017" s="34" t="str">
        <f aca="false">IF($R1017="","",IFERROR(INDEX(DriverCategory,MATCH($R1017,DriverList,0)),"BAU"))</f>
        <v/>
      </c>
      <c r="U1017" s="34" t="str">
        <f aca="false">IF($R1017="","",IFERROR(INDEX(DriverRank,MATCH($R1017,DriverList,0)),99))</f>
        <v/>
      </c>
      <c r="V1017" s="35" t="n">
        <f aca="false">IF($H1017="",0,IFERROR(INDEX(LevelBasic,MATCH($H1017,LevelList,0))+INDEX(LevelHousing,MATCH($H1017,LevelList,0))+INDEX(LevelTransport,MATCH($H1017,LevelList,0))+INDEX(LevelBasic,MATCH($H1017,LevelList,0))*INDEX(LevelBonus,MATCH($H1017,LevelList,0))+(INDEX(LevelBasic,MATCH($H1017,LevelList,0))+INDEX(LevelHousing,MATCH($H1017,LevelList,0)))*GosiSaudi,0))</f>
        <v>0</v>
      </c>
      <c r="W1017" s="35" t="n">
        <f aca="false">IFERROR(INDEX(LevelOneOff,MATCH($H1017,LevelList,0)),0)</f>
        <v>0</v>
      </c>
      <c r="X1017" s="35" t="str">
        <f aca="false">IF($G1017="","",$V1017*N($L1017))</f>
        <v/>
      </c>
      <c r="Y1017" s="35" t="str">
        <f aca="false">IF($G1017="","",$V1017*(N($M1017)*1+N($N1017)*0.75+N($O1017)*0.5+N($P1017)*0.25)+$W1017*N($L1017))</f>
        <v/>
      </c>
      <c r="Z1017" s="35" t="str">
        <f aca="false">IF($G1017="","",$U1017*1000000+ROW())</f>
        <v/>
      </c>
      <c r="AA1017" s="36" t="str">
        <f aca="false">IF($G1017="","",MID(IF($C1017="",", no division","")&amp;IF($E1017="",", no unit","")&amp;IF($H1017="",", no career level","")&amp;IF(N($L1017)&lt;=0,", no quarter split","")&amp;IF($R1017="",", no driver","")&amp;IF(AND($H1017&lt;&gt;"",COUNTIF(CareerLevels,$H1017)=0),", a career level that is not on the ladder","")&amp;IF(AND($R1017&lt;&gt;"",COUNTIF(DriverList,$R1017)=0),", a driver that is not on the list","")&amp;IF(ABS(N($L1017)-(N($M1017)+N($N1017)+N($O1017)+N($P1017)))&gt;0.001,", a total that does not match its quarters",""),3,300))</f>
        <v/>
      </c>
    </row>
    <row r="1018" customFormat="false" ht="15" hidden="false" customHeight="false" outlineLevel="0" collapsed="false">
      <c r="A1018" s="33" t="str">
        <f aca="false">IF($G1018="","","Internal Audit Group")</f>
        <v/>
      </c>
      <c r="B1018" s="19"/>
      <c r="C1018" s="19"/>
      <c r="D1018" s="19"/>
      <c r="E1018" s="19"/>
      <c r="F1018" s="19"/>
      <c r="G1018" s="19"/>
      <c r="H1018" s="19"/>
      <c r="I1018" s="19"/>
      <c r="J1018" s="19"/>
      <c r="K1018" s="19"/>
      <c r="L1018" s="19"/>
      <c r="M1018" s="19"/>
      <c r="N1018" s="19"/>
      <c r="O1018" s="19"/>
      <c r="P1018" s="19"/>
      <c r="Q1018" s="19"/>
      <c r="R1018" s="19"/>
      <c r="S1018" s="19"/>
      <c r="T1018" s="34" t="str">
        <f aca="false">IF($R1018="","",IFERROR(INDEX(DriverCategory,MATCH($R1018,DriverList,0)),"BAU"))</f>
        <v/>
      </c>
      <c r="U1018" s="34" t="str">
        <f aca="false">IF($R1018="","",IFERROR(INDEX(DriverRank,MATCH($R1018,DriverList,0)),99))</f>
        <v/>
      </c>
      <c r="V1018" s="35" t="n">
        <f aca="false">IF($H1018="",0,IFERROR(INDEX(LevelBasic,MATCH($H1018,LevelList,0))+INDEX(LevelHousing,MATCH($H1018,LevelList,0))+INDEX(LevelTransport,MATCH($H1018,LevelList,0))+INDEX(LevelBasic,MATCH($H1018,LevelList,0))*INDEX(LevelBonus,MATCH($H1018,LevelList,0))+(INDEX(LevelBasic,MATCH($H1018,LevelList,0))+INDEX(LevelHousing,MATCH($H1018,LevelList,0)))*GosiSaudi,0))</f>
        <v>0</v>
      </c>
      <c r="W1018" s="35" t="n">
        <f aca="false">IFERROR(INDEX(LevelOneOff,MATCH($H1018,LevelList,0)),0)</f>
        <v>0</v>
      </c>
      <c r="X1018" s="35" t="str">
        <f aca="false">IF($G1018="","",$V1018*N($L1018))</f>
        <v/>
      </c>
      <c r="Y1018" s="35" t="str">
        <f aca="false">IF($G1018="","",$V1018*(N($M1018)*1+N($N1018)*0.75+N($O1018)*0.5+N($P1018)*0.25)+$W1018*N($L1018))</f>
        <v/>
      </c>
      <c r="Z1018" s="35" t="str">
        <f aca="false">IF($G1018="","",$U1018*1000000+ROW())</f>
        <v/>
      </c>
      <c r="AA1018" s="36" t="str">
        <f aca="false">IF($G1018="","",MID(IF($C1018="",", no division","")&amp;IF($E1018="",", no unit","")&amp;IF($H1018="",", no career level","")&amp;IF(N($L1018)&lt;=0,", no quarter split","")&amp;IF($R1018="",", no driver","")&amp;IF(AND($H1018&lt;&gt;"",COUNTIF(CareerLevels,$H1018)=0),", a career level that is not on the ladder","")&amp;IF(AND($R1018&lt;&gt;"",COUNTIF(DriverList,$R1018)=0),", a driver that is not on the list","")&amp;IF(ABS(N($L1018)-(N($M1018)+N($N1018)+N($O1018)+N($P1018)))&gt;0.001,", a total that does not match its quarters",""),3,300))</f>
        <v/>
      </c>
    </row>
    <row r="1019" customFormat="false" ht="15" hidden="false" customHeight="false" outlineLevel="0" collapsed="false">
      <c r="A1019" s="33" t="str">
        <f aca="false">IF($G1019="","","Internal Audit Group")</f>
        <v/>
      </c>
      <c r="B1019" s="19"/>
      <c r="C1019" s="19"/>
      <c r="D1019" s="19"/>
      <c r="E1019" s="19"/>
      <c r="F1019" s="19"/>
      <c r="G1019" s="19"/>
      <c r="H1019" s="19"/>
      <c r="I1019" s="19"/>
      <c r="J1019" s="19"/>
      <c r="K1019" s="19"/>
      <c r="L1019" s="19"/>
      <c r="M1019" s="19"/>
      <c r="N1019" s="19"/>
      <c r="O1019" s="19"/>
      <c r="P1019" s="19"/>
      <c r="Q1019" s="19"/>
      <c r="R1019" s="19"/>
      <c r="S1019" s="19"/>
      <c r="T1019" s="34" t="str">
        <f aca="false">IF($R1019="","",IFERROR(INDEX(DriverCategory,MATCH($R1019,DriverList,0)),"BAU"))</f>
        <v/>
      </c>
      <c r="U1019" s="34" t="str">
        <f aca="false">IF($R1019="","",IFERROR(INDEX(DriverRank,MATCH($R1019,DriverList,0)),99))</f>
        <v/>
      </c>
      <c r="V1019" s="35" t="n">
        <f aca="false">IF($H1019="",0,IFERROR(INDEX(LevelBasic,MATCH($H1019,LevelList,0))+INDEX(LevelHousing,MATCH($H1019,LevelList,0))+INDEX(LevelTransport,MATCH($H1019,LevelList,0))+INDEX(LevelBasic,MATCH($H1019,LevelList,0))*INDEX(LevelBonus,MATCH($H1019,LevelList,0))+(INDEX(LevelBasic,MATCH($H1019,LevelList,0))+INDEX(LevelHousing,MATCH($H1019,LevelList,0)))*GosiSaudi,0))</f>
        <v>0</v>
      </c>
      <c r="W1019" s="35" t="n">
        <f aca="false">IFERROR(INDEX(LevelOneOff,MATCH($H1019,LevelList,0)),0)</f>
        <v>0</v>
      </c>
      <c r="X1019" s="35" t="str">
        <f aca="false">IF($G1019="","",$V1019*N($L1019))</f>
        <v/>
      </c>
      <c r="Y1019" s="35" t="str">
        <f aca="false">IF($G1019="","",$V1019*(N($M1019)*1+N($N1019)*0.75+N($O1019)*0.5+N($P1019)*0.25)+$W1019*N($L1019))</f>
        <v/>
      </c>
      <c r="Z1019" s="35" t="str">
        <f aca="false">IF($G1019="","",$U1019*1000000+ROW())</f>
        <v/>
      </c>
      <c r="AA1019" s="36" t="str">
        <f aca="false">IF($G1019="","",MID(IF($C1019="",", no division","")&amp;IF($E1019="",", no unit","")&amp;IF($H1019="",", no career level","")&amp;IF(N($L1019)&lt;=0,", no quarter split","")&amp;IF($R1019="",", no driver","")&amp;IF(AND($H1019&lt;&gt;"",COUNTIF(CareerLevels,$H1019)=0),", a career level that is not on the ladder","")&amp;IF(AND($R1019&lt;&gt;"",COUNTIF(DriverList,$R1019)=0),", a driver that is not on the list","")&amp;IF(ABS(N($L1019)-(N($M1019)+N($N1019)+N($O1019)+N($P1019)))&gt;0.001,", a total that does not match its quarters",""),3,300))</f>
        <v/>
      </c>
    </row>
    <row r="1020" customFormat="false" ht="15" hidden="false" customHeight="false" outlineLevel="0" collapsed="false">
      <c r="A1020" s="33" t="str">
        <f aca="false">IF($G1020="","","Internal Audit Group")</f>
        <v/>
      </c>
      <c r="B1020" s="19"/>
      <c r="C1020" s="19"/>
      <c r="D1020" s="19"/>
      <c r="E1020" s="19"/>
      <c r="F1020" s="19"/>
      <c r="G1020" s="19"/>
      <c r="H1020" s="19"/>
      <c r="I1020" s="19"/>
      <c r="J1020" s="19"/>
      <c r="K1020" s="19"/>
      <c r="L1020" s="19"/>
      <c r="M1020" s="19"/>
      <c r="N1020" s="19"/>
      <c r="O1020" s="19"/>
      <c r="P1020" s="19"/>
      <c r="Q1020" s="19"/>
      <c r="R1020" s="19"/>
      <c r="S1020" s="19"/>
      <c r="T1020" s="34" t="str">
        <f aca="false">IF($R1020="","",IFERROR(INDEX(DriverCategory,MATCH($R1020,DriverList,0)),"BAU"))</f>
        <v/>
      </c>
      <c r="U1020" s="34" t="str">
        <f aca="false">IF($R1020="","",IFERROR(INDEX(DriverRank,MATCH($R1020,DriverList,0)),99))</f>
        <v/>
      </c>
      <c r="V1020" s="35" t="n">
        <f aca="false">IF($H1020="",0,IFERROR(INDEX(LevelBasic,MATCH($H1020,LevelList,0))+INDEX(LevelHousing,MATCH($H1020,LevelList,0))+INDEX(LevelTransport,MATCH($H1020,LevelList,0))+INDEX(LevelBasic,MATCH($H1020,LevelList,0))*INDEX(LevelBonus,MATCH($H1020,LevelList,0))+(INDEX(LevelBasic,MATCH($H1020,LevelList,0))+INDEX(LevelHousing,MATCH($H1020,LevelList,0)))*GosiSaudi,0))</f>
        <v>0</v>
      </c>
      <c r="W1020" s="35" t="n">
        <f aca="false">IFERROR(INDEX(LevelOneOff,MATCH($H1020,LevelList,0)),0)</f>
        <v>0</v>
      </c>
      <c r="X1020" s="35" t="str">
        <f aca="false">IF($G1020="","",$V1020*N($L1020))</f>
        <v/>
      </c>
      <c r="Y1020" s="35" t="str">
        <f aca="false">IF($G1020="","",$V1020*(N($M1020)*1+N($N1020)*0.75+N($O1020)*0.5+N($P1020)*0.25)+$W1020*N($L1020))</f>
        <v/>
      </c>
      <c r="Z1020" s="35" t="str">
        <f aca="false">IF($G1020="","",$U1020*1000000+ROW())</f>
        <v/>
      </c>
      <c r="AA1020" s="36" t="str">
        <f aca="false">IF($G1020="","",MID(IF($C1020="",", no division","")&amp;IF($E1020="",", no unit","")&amp;IF($H1020="",", no career level","")&amp;IF(N($L1020)&lt;=0,", no quarter split","")&amp;IF($R1020="",", no driver","")&amp;IF(AND($H1020&lt;&gt;"",COUNTIF(CareerLevels,$H1020)=0),", a career level that is not on the ladder","")&amp;IF(AND($R1020&lt;&gt;"",COUNTIF(DriverList,$R1020)=0),", a driver that is not on the list","")&amp;IF(ABS(N($L1020)-(N($M1020)+N($N1020)+N($O1020)+N($P1020)))&gt;0.001,", a total that does not match its quarters",""),3,300))</f>
        <v/>
      </c>
    </row>
    <row r="1021" customFormat="false" ht="15" hidden="false" customHeight="false" outlineLevel="0" collapsed="false">
      <c r="A1021" s="33" t="str">
        <f aca="false">IF($G1021="","","Internal Audit Group")</f>
        <v/>
      </c>
      <c r="B1021" s="19"/>
      <c r="C1021" s="19"/>
      <c r="D1021" s="19"/>
      <c r="E1021" s="19"/>
      <c r="F1021" s="19"/>
      <c r="G1021" s="19"/>
      <c r="H1021" s="19"/>
      <c r="I1021" s="19"/>
      <c r="J1021" s="19"/>
      <c r="K1021" s="19"/>
      <c r="L1021" s="19"/>
      <c r="M1021" s="19"/>
      <c r="N1021" s="19"/>
      <c r="O1021" s="19"/>
      <c r="P1021" s="19"/>
      <c r="Q1021" s="19"/>
      <c r="R1021" s="19"/>
      <c r="S1021" s="19"/>
      <c r="T1021" s="34" t="str">
        <f aca="false">IF($R1021="","",IFERROR(INDEX(DriverCategory,MATCH($R1021,DriverList,0)),"BAU"))</f>
        <v/>
      </c>
      <c r="U1021" s="34" t="str">
        <f aca="false">IF($R1021="","",IFERROR(INDEX(DriverRank,MATCH($R1021,DriverList,0)),99))</f>
        <v/>
      </c>
      <c r="V1021" s="35" t="n">
        <f aca="false">IF($H1021="",0,IFERROR(INDEX(LevelBasic,MATCH($H1021,LevelList,0))+INDEX(LevelHousing,MATCH($H1021,LevelList,0))+INDEX(LevelTransport,MATCH($H1021,LevelList,0))+INDEX(LevelBasic,MATCH($H1021,LevelList,0))*INDEX(LevelBonus,MATCH($H1021,LevelList,0))+(INDEX(LevelBasic,MATCH($H1021,LevelList,0))+INDEX(LevelHousing,MATCH($H1021,LevelList,0)))*GosiSaudi,0))</f>
        <v>0</v>
      </c>
      <c r="W1021" s="35" t="n">
        <f aca="false">IFERROR(INDEX(LevelOneOff,MATCH($H1021,LevelList,0)),0)</f>
        <v>0</v>
      </c>
      <c r="X1021" s="35" t="str">
        <f aca="false">IF($G1021="","",$V1021*N($L1021))</f>
        <v/>
      </c>
      <c r="Y1021" s="35" t="str">
        <f aca="false">IF($G1021="","",$V1021*(N($M1021)*1+N($N1021)*0.75+N($O1021)*0.5+N($P1021)*0.25)+$W1021*N($L1021))</f>
        <v/>
      </c>
      <c r="Z1021" s="35" t="str">
        <f aca="false">IF($G1021="","",$U1021*1000000+ROW())</f>
        <v/>
      </c>
      <c r="AA1021" s="36" t="str">
        <f aca="false">IF($G1021="","",MID(IF($C1021="",", no division","")&amp;IF($E1021="",", no unit","")&amp;IF($H1021="",", no career level","")&amp;IF(N($L1021)&lt;=0,", no quarter split","")&amp;IF($R1021="",", no driver","")&amp;IF(AND($H1021&lt;&gt;"",COUNTIF(CareerLevels,$H1021)=0),", a career level that is not on the ladder","")&amp;IF(AND($R1021&lt;&gt;"",COUNTIF(DriverList,$R1021)=0),", a driver that is not on the list","")&amp;IF(ABS(N($L1021)-(N($M1021)+N($N1021)+N($O1021)+N($P1021)))&gt;0.001,", a total that does not match its quarters",""),3,300))</f>
        <v/>
      </c>
    </row>
    <row r="1022" customFormat="false" ht="15" hidden="false" customHeight="false" outlineLevel="0" collapsed="false">
      <c r="A1022" s="33" t="str">
        <f aca="false">IF($G1022="","","Internal Audit Group")</f>
        <v/>
      </c>
      <c r="B1022" s="19"/>
      <c r="C1022" s="19"/>
      <c r="D1022" s="19"/>
      <c r="E1022" s="19"/>
      <c r="F1022" s="19"/>
      <c r="G1022" s="19"/>
      <c r="H1022" s="19"/>
      <c r="I1022" s="19"/>
      <c r="J1022" s="19"/>
      <c r="K1022" s="19"/>
      <c r="L1022" s="19"/>
      <c r="M1022" s="19"/>
      <c r="N1022" s="19"/>
      <c r="O1022" s="19"/>
      <c r="P1022" s="19"/>
      <c r="Q1022" s="19"/>
      <c r="R1022" s="19"/>
      <c r="S1022" s="19"/>
      <c r="T1022" s="34" t="str">
        <f aca="false">IF($R1022="","",IFERROR(INDEX(DriverCategory,MATCH($R1022,DriverList,0)),"BAU"))</f>
        <v/>
      </c>
      <c r="U1022" s="34" t="str">
        <f aca="false">IF($R1022="","",IFERROR(INDEX(DriverRank,MATCH($R1022,DriverList,0)),99))</f>
        <v/>
      </c>
      <c r="V1022" s="35" t="n">
        <f aca="false">IF($H1022="",0,IFERROR(INDEX(LevelBasic,MATCH($H1022,LevelList,0))+INDEX(LevelHousing,MATCH($H1022,LevelList,0))+INDEX(LevelTransport,MATCH($H1022,LevelList,0))+INDEX(LevelBasic,MATCH($H1022,LevelList,0))*INDEX(LevelBonus,MATCH($H1022,LevelList,0))+(INDEX(LevelBasic,MATCH($H1022,LevelList,0))+INDEX(LevelHousing,MATCH($H1022,LevelList,0)))*GosiSaudi,0))</f>
        <v>0</v>
      </c>
      <c r="W1022" s="35" t="n">
        <f aca="false">IFERROR(INDEX(LevelOneOff,MATCH($H1022,LevelList,0)),0)</f>
        <v>0</v>
      </c>
      <c r="X1022" s="35" t="str">
        <f aca="false">IF($G1022="","",$V1022*N($L1022))</f>
        <v/>
      </c>
      <c r="Y1022" s="35" t="str">
        <f aca="false">IF($G1022="","",$V1022*(N($M1022)*1+N($N1022)*0.75+N($O1022)*0.5+N($P1022)*0.25)+$W1022*N($L1022))</f>
        <v/>
      </c>
      <c r="Z1022" s="35" t="str">
        <f aca="false">IF($G1022="","",$U1022*1000000+ROW())</f>
        <v/>
      </c>
      <c r="AA1022" s="36" t="str">
        <f aca="false">IF($G1022="","",MID(IF($C1022="",", no division","")&amp;IF($E1022="",", no unit","")&amp;IF($H1022="",", no career level","")&amp;IF(N($L1022)&lt;=0,", no quarter split","")&amp;IF($R1022="",", no driver","")&amp;IF(AND($H1022&lt;&gt;"",COUNTIF(CareerLevels,$H1022)=0),", a career level that is not on the ladder","")&amp;IF(AND($R1022&lt;&gt;"",COUNTIF(DriverList,$R1022)=0),", a driver that is not on the list","")&amp;IF(ABS(N($L1022)-(N($M1022)+N($N1022)+N($O1022)+N($P1022)))&gt;0.001,", a total that does not match its quarters",""),3,300))</f>
        <v/>
      </c>
    </row>
    <row r="1023" customFormat="false" ht="15" hidden="false" customHeight="false" outlineLevel="0" collapsed="false">
      <c r="A1023" s="33" t="str">
        <f aca="false">IF($G1023="","","Internal Audit Group")</f>
        <v/>
      </c>
      <c r="B1023" s="19"/>
      <c r="C1023" s="19"/>
      <c r="D1023" s="19"/>
      <c r="E1023" s="19"/>
      <c r="F1023" s="19"/>
      <c r="G1023" s="19"/>
      <c r="H1023" s="19"/>
      <c r="I1023" s="19"/>
      <c r="J1023" s="19"/>
      <c r="K1023" s="19"/>
      <c r="L1023" s="19"/>
      <c r="M1023" s="19"/>
      <c r="N1023" s="19"/>
      <c r="O1023" s="19"/>
      <c r="P1023" s="19"/>
      <c r="Q1023" s="19"/>
      <c r="R1023" s="19"/>
      <c r="S1023" s="19"/>
      <c r="T1023" s="34" t="str">
        <f aca="false">IF($R1023="","",IFERROR(INDEX(DriverCategory,MATCH($R1023,DriverList,0)),"BAU"))</f>
        <v/>
      </c>
      <c r="U1023" s="34" t="str">
        <f aca="false">IF($R1023="","",IFERROR(INDEX(DriverRank,MATCH($R1023,DriverList,0)),99))</f>
        <v/>
      </c>
      <c r="V1023" s="35" t="n">
        <f aca="false">IF($H1023="",0,IFERROR(INDEX(LevelBasic,MATCH($H1023,LevelList,0))+INDEX(LevelHousing,MATCH($H1023,LevelList,0))+INDEX(LevelTransport,MATCH($H1023,LevelList,0))+INDEX(LevelBasic,MATCH($H1023,LevelList,0))*INDEX(LevelBonus,MATCH($H1023,LevelList,0))+(INDEX(LevelBasic,MATCH($H1023,LevelList,0))+INDEX(LevelHousing,MATCH($H1023,LevelList,0)))*GosiSaudi,0))</f>
        <v>0</v>
      </c>
      <c r="W1023" s="35" t="n">
        <f aca="false">IFERROR(INDEX(LevelOneOff,MATCH($H1023,LevelList,0)),0)</f>
        <v>0</v>
      </c>
      <c r="X1023" s="35" t="str">
        <f aca="false">IF($G1023="","",$V1023*N($L1023))</f>
        <v/>
      </c>
      <c r="Y1023" s="35" t="str">
        <f aca="false">IF($G1023="","",$V1023*(N($M1023)*1+N($N1023)*0.75+N($O1023)*0.5+N($P1023)*0.25)+$W1023*N($L1023))</f>
        <v/>
      </c>
      <c r="Z1023" s="35" t="str">
        <f aca="false">IF($G1023="","",$U1023*1000000+ROW())</f>
        <v/>
      </c>
      <c r="AA1023" s="36" t="str">
        <f aca="false">IF($G1023="","",MID(IF($C1023="",", no division","")&amp;IF($E1023="",", no unit","")&amp;IF($H1023="",", no career level","")&amp;IF(N($L1023)&lt;=0,", no quarter split","")&amp;IF($R1023="",", no driver","")&amp;IF(AND($H1023&lt;&gt;"",COUNTIF(CareerLevels,$H1023)=0),", a career level that is not on the ladder","")&amp;IF(AND($R1023&lt;&gt;"",COUNTIF(DriverList,$R1023)=0),", a driver that is not on the list","")&amp;IF(ABS(N($L1023)-(N($M1023)+N($N1023)+N($O1023)+N($P1023)))&gt;0.001,", a total that does not match its quarters",""),3,300))</f>
        <v/>
      </c>
    </row>
    <row r="1024" customFormat="false" ht="15" hidden="false" customHeight="false" outlineLevel="0" collapsed="false">
      <c r="A1024" s="33" t="str">
        <f aca="false">IF($G1024="","","Internal Audit Group")</f>
        <v/>
      </c>
      <c r="B1024" s="19"/>
      <c r="C1024" s="19"/>
      <c r="D1024" s="19"/>
      <c r="E1024" s="19"/>
      <c r="F1024" s="19"/>
      <c r="G1024" s="19"/>
      <c r="H1024" s="19"/>
      <c r="I1024" s="19"/>
      <c r="J1024" s="19"/>
      <c r="K1024" s="19"/>
      <c r="L1024" s="19"/>
      <c r="M1024" s="19"/>
      <c r="N1024" s="19"/>
      <c r="O1024" s="19"/>
      <c r="P1024" s="19"/>
      <c r="Q1024" s="19"/>
      <c r="R1024" s="19"/>
      <c r="S1024" s="19"/>
      <c r="T1024" s="34" t="str">
        <f aca="false">IF($R1024="","",IFERROR(INDEX(DriverCategory,MATCH($R1024,DriverList,0)),"BAU"))</f>
        <v/>
      </c>
      <c r="U1024" s="34" t="str">
        <f aca="false">IF($R1024="","",IFERROR(INDEX(DriverRank,MATCH($R1024,DriverList,0)),99))</f>
        <v/>
      </c>
      <c r="V1024" s="35" t="n">
        <f aca="false">IF($H1024="",0,IFERROR(INDEX(LevelBasic,MATCH($H1024,LevelList,0))+INDEX(LevelHousing,MATCH($H1024,LevelList,0))+INDEX(LevelTransport,MATCH($H1024,LevelList,0))+INDEX(LevelBasic,MATCH($H1024,LevelList,0))*INDEX(LevelBonus,MATCH($H1024,LevelList,0))+(INDEX(LevelBasic,MATCH($H1024,LevelList,0))+INDEX(LevelHousing,MATCH($H1024,LevelList,0)))*GosiSaudi,0))</f>
        <v>0</v>
      </c>
      <c r="W1024" s="35" t="n">
        <f aca="false">IFERROR(INDEX(LevelOneOff,MATCH($H1024,LevelList,0)),0)</f>
        <v>0</v>
      </c>
      <c r="X1024" s="35" t="str">
        <f aca="false">IF($G1024="","",$V1024*N($L1024))</f>
        <v/>
      </c>
      <c r="Y1024" s="35" t="str">
        <f aca="false">IF($G1024="","",$V1024*(N($M1024)*1+N($N1024)*0.75+N($O1024)*0.5+N($P1024)*0.25)+$W1024*N($L1024))</f>
        <v/>
      </c>
      <c r="Z1024" s="35" t="str">
        <f aca="false">IF($G1024="","",$U1024*1000000+ROW())</f>
        <v/>
      </c>
      <c r="AA1024" s="36" t="str">
        <f aca="false">IF($G1024="","",MID(IF($C1024="",", no division","")&amp;IF($E1024="",", no unit","")&amp;IF($H1024="",", no career level","")&amp;IF(N($L1024)&lt;=0,", no quarter split","")&amp;IF($R1024="",", no driver","")&amp;IF(AND($H1024&lt;&gt;"",COUNTIF(CareerLevels,$H1024)=0),", a career level that is not on the ladder","")&amp;IF(AND($R1024&lt;&gt;"",COUNTIF(DriverList,$R1024)=0),", a driver that is not on the list","")&amp;IF(ABS(N($L1024)-(N($M1024)+N($N1024)+N($O1024)+N($P1024)))&gt;0.001,", a total that does not match its quarters",""),3,300))</f>
        <v/>
      </c>
    </row>
    <row r="1025" customFormat="false" ht="15" hidden="false" customHeight="false" outlineLevel="0" collapsed="false">
      <c r="A1025" s="33" t="str">
        <f aca="false">IF($G1025="","","Internal Audit Group")</f>
        <v/>
      </c>
      <c r="B1025" s="19"/>
      <c r="C1025" s="19"/>
      <c r="D1025" s="19"/>
      <c r="E1025" s="19"/>
      <c r="F1025" s="19"/>
      <c r="G1025" s="19"/>
      <c r="H1025" s="19"/>
      <c r="I1025" s="19"/>
      <c r="J1025" s="19"/>
      <c r="K1025" s="19"/>
      <c r="L1025" s="19"/>
      <c r="M1025" s="19"/>
      <c r="N1025" s="19"/>
      <c r="O1025" s="19"/>
      <c r="P1025" s="19"/>
      <c r="Q1025" s="19"/>
      <c r="R1025" s="19"/>
      <c r="S1025" s="19"/>
      <c r="T1025" s="34" t="str">
        <f aca="false">IF($R1025="","",IFERROR(INDEX(DriverCategory,MATCH($R1025,DriverList,0)),"BAU"))</f>
        <v/>
      </c>
      <c r="U1025" s="34" t="str">
        <f aca="false">IF($R1025="","",IFERROR(INDEX(DriverRank,MATCH($R1025,DriverList,0)),99))</f>
        <v/>
      </c>
      <c r="V1025" s="35" t="n">
        <f aca="false">IF($H1025="",0,IFERROR(INDEX(LevelBasic,MATCH($H1025,LevelList,0))+INDEX(LevelHousing,MATCH($H1025,LevelList,0))+INDEX(LevelTransport,MATCH($H1025,LevelList,0))+INDEX(LevelBasic,MATCH($H1025,LevelList,0))*INDEX(LevelBonus,MATCH($H1025,LevelList,0))+(INDEX(LevelBasic,MATCH($H1025,LevelList,0))+INDEX(LevelHousing,MATCH($H1025,LevelList,0)))*GosiSaudi,0))</f>
        <v>0</v>
      </c>
      <c r="W1025" s="35" t="n">
        <f aca="false">IFERROR(INDEX(LevelOneOff,MATCH($H1025,LevelList,0)),0)</f>
        <v>0</v>
      </c>
      <c r="X1025" s="35" t="str">
        <f aca="false">IF($G1025="","",$V1025*N($L1025))</f>
        <v/>
      </c>
      <c r="Y1025" s="35" t="str">
        <f aca="false">IF($G1025="","",$V1025*(N($M1025)*1+N($N1025)*0.75+N($O1025)*0.5+N($P1025)*0.25)+$W1025*N($L1025))</f>
        <v/>
      </c>
      <c r="Z1025" s="35" t="str">
        <f aca="false">IF($G1025="","",$U1025*1000000+ROW())</f>
        <v/>
      </c>
      <c r="AA1025" s="36" t="str">
        <f aca="false">IF($G1025="","",MID(IF($C1025="",", no division","")&amp;IF($E1025="",", no unit","")&amp;IF($H1025="",", no career level","")&amp;IF(N($L1025)&lt;=0,", no quarter split","")&amp;IF($R1025="",", no driver","")&amp;IF(AND($H1025&lt;&gt;"",COUNTIF(CareerLevels,$H1025)=0),", a career level that is not on the ladder","")&amp;IF(AND($R1025&lt;&gt;"",COUNTIF(DriverList,$R1025)=0),", a driver that is not on the list","")&amp;IF(ABS(N($L1025)-(N($M1025)+N($N1025)+N($O1025)+N($P1025)))&gt;0.001,", a total that does not match its quarters",""),3,300))</f>
        <v/>
      </c>
    </row>
    <row r="1026" customFormat="false" ht="15" hidden="false" customHeight="false" outlineLevel="0" collapsed="false">
      <c r="A1026" s="33" t="str">
        <f aca="false">IF($G1026="","","Internal Audit Group")</f>
        <v/>
      </c>
      <c r="B1026" s="19"/>
      <c r="C1026" s="19"/>
      <c r="D1026" s="19"/>
      <c r="E1026" s="19"/>
      <c r="F1026" s="19"/>
      <c r="G1026" s="19"/>
      <c r="H1026" s="19"/>
      <c r="I1026" s="19"/>
      <c r="J1026" s="19"/>
      <c r="K1026" s="19"/>
      <c r="L1026" s="19"/>
      <c r="M1026" s="19"/>
      <c r="N1026" s="19"/>
      <c r="O1026" s="19"/>
      <c r="P1026" s="19"/>
      <c r="Q1026" s="19"/>
      <c r="R1026" s="19"/>
      <c r="S1026" s="19"/>
      <c r="T1026" s="34" t="str">
        <f aca="false">IF($R1026="","",IFERROR(INDEX(DriverCategory,MATCH($R1026,DriverList,0)),"BAU"))</f>
        <v/>
      </c>
      <c r="U1026" s="34" t="str">
        <f aca="false">IF($R1026="","",IFERROR(INDEX(DriverRank,MATCH($R1026,DriverList,0)),99))</f>
        <v/>
      </c>
      <c r="V1026" s="35" t="n">
        <f aca="false">IF($H1026="",0,IFERROR(INDEX(LevelBasic,MATCH($H1026,LevelList,0))+INDEX(LevelHousing,MATCH($H1026,LevelList,0))+INDEX(LevelTransport,MATCH($H1026,LevelList,0))+INDEX(LevelBasic,MATCH($H1026,LevelList,0))*INDEX(LevelBonus,MATCH($H1026,LevelList,0))+(INDEX(LevelBasic,MATCH($H1026,LevelList,0))+INDEX(LevelHousing,MATCH($H1026,LevelList,0)))*GosiSaudi,0))</f>
        <v>0</v>
      </c>
      <c r="W1026" s="35" t="n">
        <f aca="false">IFERROR(INDEX(LevelOneOff,MATCH($H1026,LevelList,0)),0)</f>
        <v>0</v>
      </c>
      <c r="X1026" s="35" t="str">
        <f aca="false">IF($G1026="","",$V1026*N($L1026))</f>
        <v/>
      </c>
      <c r="Y1026" s="35" t="str">
        <f aca="false">IF($G1026="","",$V1026*(N($M1026)*1+N($N1026)*0.75+N($O1026)*0.5+N($P1026)*0.25)+$W1026*N($L1026))</f>
        <v/>
      </c>
      <c r="Z1026" s="35" t="str">
        <f aca="false">IF($G1026="","",$U1026*1000000+ROW())</f>
        <v/>
      </c>
      <c r="AA1026" s="36" t="str">
        <f aca="false">IF($G1026="","",MID(IF($C1026="",", no division","")&amp;IF($E1026="",", no unit","")&amp;IF($H1026="",", no career level","")&amp;IF(N($L1026)&lt;=0,", no quarter split","")&amp;IF($R1026="",", no driver","")&amp;IF(AND($H1026&lt;&gt;"",COUNTIF(CareerLevels,$H1026)=0),", a career level that is not on the ladder","")&amp;IF(AND($R1026&lt;&gt;"",COUNTIF(DriverList,$R1026)=0),", a driver that is not on the list","")&amp;IF(ABS(N($L1026)-(N($M1026)+N($N1026)+N($O1026)+N($P1026)))&gt;0.001,", a total that does not match its quarters",""),3,300))</f>
        <v/>
      </c>
    </row>
    <row r="1027" customFormat="false" ht="15" hidden="false" customHeight="false" outlineLevel="0" collapsed="false">
      <c r="A1027" s="33" t="str">
        <f aca="false">IF($G1027="","","Internal Audit Group")</f>
        <v/>
      </c>
      <c r="B1027" s="19"/>
      <c r="C1027" s="19"/>
      <c r="D1027" s="19"/>
      <c r="E1027" s="19"/>
      <c r="F1027" s="19"/>
      <c r="G1027" s="19"/>
      <c r="H1027" s="19"/>
      <c r="I1027" s="19"/>
      <c r="J1027" s="19"/>
      <c r="K1027" s="19"/>
      <c r="L1027" s="19"/>
      <c r="M1027" s="19"/>
      <c r="N1027" s="19"/>
      <c r="O1027" s="19"/>
      <c r="P1027" s="19"/>
      <c r="Q1027" s="19"/>
      <c r="R1027" s="19"/>
      <c r="S1027" s="19"/>
      <c r="T1027" s="34" t="str">
        <f aca="false">IF($R1027="","",IFERROR(INDEX(DriverCategory,MATCH($R1027,DriverList,0)),"BAU"))</f>
        <v/>
      </c>
      <c r="U1027" s="34" t="str">
        <f aca="false">IF($R1027="","",IFERROR(INDEX(DriverRank,MATCH($R1027,DriverList,0)),99))</f>
        <v/>
      </c>
      <c r="V1027" s="35" t="n">
        <f aca="false">IF($H1027="",0,IFERROR(INDEX(LevelBasic,MATCH($H1027,LevelList,0))+INDEX(LevelHousing,MATCH($H1027,LevelList,0))+INDEX(LevelTransport,MATCH($H1027,LevelList,0))+INDEX(LevelBasic,MATCH($H1027,LevelList,0))*INDEX(LevelBonus,MATCH($H1027,LevelList,0))+(INDEX(LevelBasic,MATCH($H1027,LevelList,0))+INDEX(LevelHousing,MATCH($H1027,LevelList,0)))*GosiSaudi,0))</f>
        <v>0</v>
      </c>
      <c r="W1027" s="35" t="n">
        <f aca="false">IFERROR(INDEX(LevelOneOff,MATCH($H1027,LevelList,0)),0)</f>
        <v>0</v>
      </c>
      <c r="X1027" s="35" t="str">
        <f aca="false">IF($G1027="","",$V1027*N($L1027))</f>
        <v/>
      </c>
      <c r="Y1027" s="35" t="str">
        <f aca="false">IF($G1027="","",$V1027*(N($M1027)*1+N($N1027)*0.75+N($O1027)*0.5+N($P1027)*0.25)+$W1027*N($L1027))</f>
        <v/>
      </c>
      <c r="Z1027" s="35" t="str">
        <f aca="false">IF($G1027="","",$U1027*1000000+ROW())</f>
        <v/>
      </c>
      <c r="AA1027" s="36" t="str">
        <f aca="false">IF($G1027="","",MID(IF($C1027="",", no division","")&amp;IF($E1027="",", no unit","")&amp;IF($H1027="",", no career level","")&amp;IF(N($L1027)&lt;=0,", no quarter split","")&amp;IF($R1027="",", no driver","")&amp;IF(AND($H1027&lt;&gt;"",COUNTIF(CareerLevels,$H1027)=0),", a career level that is not on the ladder","")&amp;IF(AND($R1027&lt;&gt;"",COUNTIF(DriverList,$R1027)=0),", a driver that is not on the list","")&amp;IF(ABS(N($L1027)-(N($M1027)+N($N1027)+N($O1027)+N($P1027)))&gt;0.001,", a total that does not match its quarters",""),3,300))</f>
        <v/>
      </c>
    </row>
    <row r="1028" customFormat="false" ht="15" hidden="false" customHeight="false" outlineLevel="0" collapsed="false">
      <c r="A1028" s="33" t="str">
        <f aca="false">IF($G1028="","","Internal Audit Group")</f>
        <v/>
      </c>
      <c r="B1028" s="19"/>
      <c r="C1028" s="19"/>
      <c r="D1028" s="19"/>
      <c r="E1028" s="19"/>
      <c r="F1028" s="19"/>
      <c r="G1028" s="19"/>
      <c r="H1028" s="19"/>
      <c r="I1028" s="19"/>
      <c r="J1028" s="19"/>
      <c r="K1028" s="19"/>
      <c r="L1028" s="19"/>
      <c r="M1028" s="19"/>
      <c r="N1028" s="19"/>
      <c r="O1028" s="19"/>
      <c r="P1028" s="19"/>
      <c r="Q1028" s="19"/>
      <c r="R1028" s="19"/>
      <c r="S1028" s="19"/>
      <c r="T1028" s="34" t="str">
        <f aca="false">IF($R1028="","",IFERROR(INDEX(DriverCategory,MATCH($R1028,DriverList,0)),"BAU"))</f>
        <v/>
      </c>
      <c r="U1028" s="34" t="str">
        <f aca="false">IF($R1028="","",IFERROR(INDEX(DriverRank,MATCH($R1028,DriverList,0)),99))</f>
        <v/>
      </c>
      <c r="V1028" s="35" t="n">
        <f aca="false">IF($H1028="",0,IFERROR(INDEX(LevelBasic,MATCH($H1028,LevelList,0))+INDEX(LevelHousing,MATCH($H1028,LevelList,0))+INDEX(LevelTransport,MATCH($H1028,LevelList,0))+INDEX(LevelBasic,MATCH($H1028,LevelList,0))*INDEX(LevelBonus,MATCH($H1028,LevelList,0))+(INDEX(LevelBasic,MATCH($H1028,LevelList,0))+INDEX(LevelHousing,MATCH($H1028,LevelList,0)))*GosiSaudi,0))</f>
        <v>0</v>
      </c>
      <c r="W1028" s="35" t="n">
        <f aca="false">IFERROR(INDEX(LevelOneOff,MATCH($H1028,LevelList,0)),0)</f>
        <v>0</v>
      </c>
      <c r="X1028" s="35" t="str">
        <f aca="false">IF($G1028="","",$V1028*N($L1028))</f>
        <v/>
      </c>
      <c r="Y1028" s="35" t="str">
        <f aca="false">IF($G1028="","",$V1028*(N($M1028)*1+N($N1028)*0.75+N($O1028)*0.5+N($P1028)*0.25)+$W1028*N($L1028))</f>
        <v/>
      </c>
      <c r="Z1028" s="35" t="str">
        <f aca="false">IF($G1028="","",$U1028*1000000+ROW())</f>
        <v/>
      </c>
      <c r="AA1028" s="36" t="str">
        <f aca="false">IF($G1028="","",MID(IF($C1028="",", no division","")&amp;IF($E1028="",", no unit","")&amp;IF($H1028="",", no career level","")&amp;IF(N($L1028)&lt;=0,", no quarter split","")&amp;IF($R1028="",", no driver","")&amp;IF(AND($H1028&lt;&gt;"",COUNTIF(CareerLevels,$H1028)=0),", a career level that is not on the ladder","")&amp;IF(AND($R1028&lt;&gt;"",COUNTIF(DriverList,$R1028)=0),", a driver that is not on the list","")&amp;IF(ABS(N($L1028)-(N($M1028)+N($N1028)+N($O1028)+N($P1028)))&gt;0.001,", a total that does not match its quarters",""),3,300))</f>
        <v/>
      </c>
    </row>
    <row r="1029" customFormat="false" ht="15" hidden="false" customHeight="false" outlineLevel="0" collapsed="false">
      <c r="A1029" s="33" t="str">
        <f aca="false">IF($G1029="","","Internal Audit Group")</f>
        <v/>
      </c>
      <c r="B1029" s="19"/>
      <c r="C1029" s="19"/>
      <c r="D1029" s="19"/>
      <c r="E1029" s="19"/>
      <c r="F1029" s="19"/>
      <c r="G1029" s="19"/>
      <c r="H1029" s="19"/>
      <c r="I1029" s="19"/>
      <c r="J1029" s="19"/>
      <c r="K1029" s="19"/>
      <c r="L1029" s="19"/>
      <c r="M1029" s="19"/>
      <c r="N1029" s="19"/>
      <c r="O1029" s="19"/>
      <c r="P1029" s="19"/>
      <c r="Q1029" s="19"/>
      <c r="R1029" s="19"/>
      <c r="S1029" s="19"/>
      <c r="T1029" s="34" t="str">
        <f aca="false">IF($R1029="","",IFERROR(INDEX(DriverCategory,MATCH($R1029,DriverList,0)),"BAU"))</f>
        <v/>
      </c>
      <c r="U1029" s="34" t="str">
        <f aca="false">IF($R1029="","",IFERROR(INDEX(DriverRank,MATCH($R1029,DriverList,0)),99))</f>
        <v/>
      </c>
      <c r="V1029" s="35" t="n">
        <f aca="false">IF($H1029="",0,IFERROR(INDEX(LevelBasic,MATCH($H1029,LevelList,0))+INDEX(LevelHousing,MATCH($H1029,LevelList,0))+INDEX(LevelTransport,MATCH($H1029,LevelList,0))+INDEX(LevelBasic,MATCH($H1029,LevelList,0))*INDEX(LevelBonus,MATCH($H1029,LevelList,0))+(INDEX(LevelBasic,MATCH($H1029,LevelList,0))+INDEX(LevelHousing,MATCH($H1029,LevelList,0)))*GosiSaudi,0))</f>
        <v>0</v>
      </c>
      <c r="W1029" s="35" t="n">
        <f aca="false">IFERROR(INDEX(LevelOneOff,MATCH($H1029,LevelList,0)),0)</f>
        <v>0</v>
      </c>
      <c r="X1029" s="35" t="str">
        <f aca="false">IF($G1029="","",$V1029*N($L1029))</f>
        <v/>
      </c>
      <c r="Y1029" s="35" t="str">
        <f aca="false">IF($G1029="","",$V1029*(N($M1029)*1+N($N1029)*0.75+N($O1029)*0.5+N($P1029)*0.25)+$W1029*N($L1029))</f>
        <v/>
      </c>
      <c r="Z1029" s="35" t="str">
        <f aca="false">IF($G1029="","",$U1029*1000000+ROW())</f>
        <v/>
      </c>
      <c r="AA1029" s="36" t="str">
        <f aca="false">IF($G1029="","",MID(IF($C1029="",", no division","")&amp;IF($E1029="",", no unit","")&amp;IF($H1029="",", no career level","")&amp;IF(N($L1029)&lt;=0,", no quarter split","")&amp;IF($R1029="",", no driver","")&amp;IF(AND($H1029&lt;&gt;"",COUNTIF(CareerLevels,$H1029)=0),", a career level that is not on the ladder","")&amp;IF(AND($R1029&lt;&gt;"",COUNTIF(DriverList,$R1029)=0),", a driver that is not on the list","")&amp;IF(ABS(N($L1029)-(N($M1029)+N($N1029)+N($O1029)+N($P1029)))&gt;0.001,", a total that does not match its quarters",""),3,300))</f>
        <v/>
      </c>
    </row>
    <row r="1030" customFormat="false" ht="15" hidden="false" customHeight="false" outlineLevel="0" collapsed="false">
      <c r="A1030" s="33" t="str">
        <f aca="false">IF($G1030="","","Internal Audit Group")</f>
        <v/>
      </c>
      <c r="B1030" s="19"/>
      <c r="C1030" s="19"/>
      <c r="D1030" s="19"/>
      <c r="E1030" s="19"/>
      <c r="F1030" s="19"/>
      <c r="G1030" s="19"/>
      <c r="H1030" s="19"/>
      <c r="I1030" s="19"/>
      <c r="J1030" s="19"/>
      <c r="K1030" s="19"/>
      <c r="L1030" s="19"/>
      <c r="M1030" s="19"/>
      <c r="N1030" s="19"/>
      <c r="O1030" s="19"/>
      <c r="P1030" s="19"/>
      <c r="Q1030" s="19"/>
      <c r="R1030" s="19"/>
      <c r="S1030" s="19"/>
      <c r="T1030" s="34" t="str">
        <f aca="false">IF($R1030="","",IFERROR(INDEX(DriverCategory,MATCH($R1030,DriverList,0)),"BAU"))</f>
        <v/>
      </c>
      <c r="U1030" s="34" t="str">
        <f aca="false">IF($R1030="","",IFERROR(INDEX(DriverRank,MATCH($R1030,DriverList,0)),99))</f>
        <v/>
      </c>
      <c r="V1030" s="35" t="n">
        <f aca="false">IF($H1030="",0,IFERROR(INDEX(LevelBasic,MATCH($H1030,LevelList,0))+INDEX(LevelHousing,MATCH($H1030,LevelList,0))+INDEX(LevelTransport,MATCH($H1030,LevelList,0))+INDEX(LevelBasic,MATCH($H1030,LevelList,0))*INDEX(LevelBonus,MATCH($H1030,LevelList,0))+(INDEX(LevelBasic,MATCH($H1030,LevelList,0))+INDEX(LevelHousing,MATCH($H1030,LevelList,0)))*GosiSaudi,0))</f>
        <v>0</v>
      </c>
      <c r="W1030" s="35" t="n">
        <f aca="false">IFERROR(INDEX(LevelOneOff,MATCH($H1030,LevelList,0)),0)</f>
        <v>0</v>
      </c>
      <c r="X1030" s="35" t="str">
        <f aca="false">IF($G1030="","",$V1030*N($L1030))</f>
        <v/>
      </c>
      <c r="Y1030" s="35" t="str">
        <f aca="false">IF($G1030="","",$V1030*(N($M1030)*1+N($N1030)*0.75+N($O1030)*0.5+N($P1030)*0.25)+$W1030*N($L1030))</f>
        <v/>
      </c>
      <c r="Z1030" s="35" t="str">
        <f aca="false">IF($G1030="","",$U1030*1000000+ROW())</f>
        <v/>
      </c>
      <c r="AA1030" s="36" t="str">
        <f aca="false">IF($G1030="","",MID(IF($C1030="",", no division","")&amp;IF($E1030="",", no unit","")&amp;IF($H1030="",", no career level","")&amp;IF(N($L1030)&lt;=0,", no quarter split","")&amp;IF($R1030="",", no driver","")&amp;IF(AND($H1030&lt;&gt;"",COUNTIF(CareerLevels,$H1030)=0),", a career level that is not on the ladder","")&amp;IF(AND($R1030&lt;&gt;"",COUNTIF(DriverList,$R1030)=0),", a driver that is not on the list","")&amp;IF(ABS(N($L1030)-(N($M1030)+N($N1030)+N($O1030)+N($P1030)))&gt;0.001,", a total that does not match its quarters",""),3,300))</f>
        <v/>
      </c>
    </row>
    <row r="1031" customFormat="false" ht="15" hidden="false" customHeight="false" outlineLevel="0" collapsed="false">
      <c r="A1031" s="33" t="str">
        <f aca="false">IF($G1031="","","Internal Audit Group")</f>
        <v/>
      </c>
      <c r="B1031" s="19"/>
      <c r="C1031" s="19"/>
      <c r="D1031" s="19"/>
      <c r="E1031" s="19"/>
      <c r="F1031" s="19"/>
      <c r="G1031" s="19"/>
      <c r="H1031" s="19"/>
      <c r="I1031" s="19"/>
      <c r="J1031" s="19"/>
      <c r="K1031" s="19"/>
      <c r="L1031" s="19"/>
      <c r="M1031" s="19"/>
      <c r="N1031" s="19"/>
      <c r="O1031" s="19"/>
      <c r="P1031" s="19"/>
      <c r="Q1031" s="19"/>
      <c r="R1031" s="19"/>
      <c r="S1031" s="19"/>
      <c r="T1031" s="34" t="str">
        <f aca="false">IF($R1031="","",IFERROR(INDEX(DriverCategory,MATCH($R1031,DriverList,0)),"BAU"))</f>
        <v/>
      </c>
      <c r="U1031" s="34" t="str">
        <f aca="false">IF($R1031="","",IFERROR(INDEX(DriverRank,MATCH($R1031,DriverList,0)),99))</f>
        <v/>
      </c>
      <c r="V1031" s="35" t="n">
        <f aca="false">IF($H1031="",0,IFERROR(INDEX(LevelBasic,MATCH($H1031,LevelList,0))+INDEX(LevelHousing,MATCH($H1031,LevelList,0))+INDEX(LevelTransport,MATCH($H1031,LevelList,0))+INDEX(LevelBasic,MATCH($H1031,LevelList,0))*INDEX(LevelBonus,MATCH($H1031,LevelList,0))+(INDEX(LevelBasic,MATCH($H1031,LevelList,0))+INDEX(LevelHousing,MATCH($H1031,LevelList,0)))*GosiSaudi,0))</f>
        <v>0</v>
      </c>
      <c r="W1031" s="35" t="n">
        <f aca="false">IFERROR(INDEX(LevelOneOff,MATCH($H1031,LevelList,0)),0)</f>
        <v>0</v>
      </c>
      <c r="X1031" s="35" t="str">
        <f aca="false">IF($G1031="","",$V1031*N($L1031))</f>
        <v/>
      </c>
      <c r="Y1031" s="35" t="str">
        <f aca="false">IF($G1031="","",$V1031*(N($M1031)*1+N($N1031)*0.75+N($O1031)*0.5+N($P1031)*0.25)+$W1031*N($L1031))</f>
        <v/>
      </c>
      <c r="Z1031" s="35" t="str">
        <f aca="false">IF($G1031="","",$U1031*1000000+ROW())</f>
        <v/>
      </c>
      <c r="AA1031" s="36" t="str">
        <f aca="false">IF($G1031="","",MID(IF($C1031="",", no division","")&amp;IF($E1031="",", no unit","")&amp;IF($H1031="",", no career level","")&amp;IF(N($L1031)&lt;=0,", no quarter split","")&amp;IF($R1031="",", no driver","")&amp;IF(AND($H1031&lt;&gt;"",COUNTIF(CareerLevels,$H1031)=0),", a career level that is not on the ladder","")&amp;IF(AND($R1031&lt;&gt;"",COUNTIF(DriverList,$R1031)=0),", a driver that is not on the list","")&amp;IF(ABS(N($L1031)-(N($M1031)+N($N1031)+N($O1031)+N($P1031)))&gt;0.001,", a total that does not match its quarters",""),3,300))</f>
        <v/>
      </c>
    </row>
    <row r="1032" customFormat="false" ht="15" hidden="false" customHeight="false" outlineLevel="0" collapsed="false">
      <c r="A1032" s="33" t="str">
        <f aca="false">IF($G1032="","","Internal Audit Group")</f>
        <v/>
      </c>
      <c r="B1032" s="19"/>
      <c r="C1032" s="19"/>
      <c r="D1032" s="19"/>
      <c r="E1032" s="19"/>
      <c r="F1032" s="19"/>
      <c r="G1032" s="19"/>
      <c r="H1032" s="19"/>
      <c r="I1032" s="19"/>
      <c r="J1032" s="19"/>
      <c r="K1032" s="19"/>
      <c r="L1032" s="19"/>
      <c r="M1032" s="19"/>
      <c r="N1032" s="19"/>
      <c r="O1032" s="19"/>
      <c r="P1032" s="19"/>
      <c r="Q1032" s="19"/>
      <c r="R1032" s="19"/>
      <c r="S1032" s="19"/>
      <c r="T1032" s="34" t="str">
        <f aca="false">IF($R1032="","",IFERROR(INDEX(DriverCategory,MATCH($R1032,DriverList,0)),"BAU"))</f>
        <v/>
      </c>
      <c r="U1032" s="34" t="str">
        <f aca="false">IF($R1032="","",IFERROR(INDEX(DriverRank,MATCH($R1032,DriverList,0)),99))</f>
        <v/>
      </c>
      <c r="V1032" s="35" t="n">
        <f aca="false">IF($H1032="",0,IFERROR(INDEX(LevelBasic,MATCH($H1032,LevelList,0))+INDEX(LevelHousing,MATCH($H1032,LevelList,0))+INDEX(LevelTransport,MATCH($H1032,LevelList,0))+INDEX(LevelBasic,MATCH($H1032,LevelList,0))*INDEX(LevelBonus,MATCH($H1032,LevelList,0))+(INDEX(LevelBasic,MATCH($H1032,LevelList,0))+INDEX(LevelHousing,MATCH($H1032,LevelList,0)))*GosiSaudi,0))</f>
        <v>0</v>
      </c>
      <c r="W1032" s="35" t="n">
        <f aca="false">IFERROR(INDEX(LevelOneOff,MATCH($H1032,LevelList,0)),0)</f>
        <v>0</v>
      </c>
      <c r="X1032" s="35" t="str">
        <f aca="false">IF($G1032="","",$V1032*N($L1032))</f>
        <v/>
      </c>
      <c r="Y1032" s="35" t="str">
        <f aca="false">IF($G1032="","",$V1032*(N($M1032)*1+N($N1032)*0.75+N($O1032)*0.5+N($P1032)*0.25)+$W1032*N($L1032))</f>
        <v/>
      </c>
      <c r="Z1032" s="35" t="str">
        <f aca="false">IF($G1032="","",$U1032*1000000+ROW())</f>
        <v/>
      </c>
      <c r="AA1032" s="36" t="str">
        <f aca="false">IF($G1032="","",MID(IF($C1032="",", no division","")&amp;IF($E1032="",", no unit","")&amp;IF($H1032="",", no career level","")&amp;IF(N($L1032)&lt;=0,", no quarter split","")&amp;IF($R1032="",", no driver","")&amp;IF(AND($H1032&lt;&gt;"",COUNTIF(CareerLevels,$H1032)=0),", a career level that is not on the ladder","")&amp;IF(AND($R1032&lt;&gt;"",COUNTIF(DriverList,$R1032)=0),", a driver that is not on the list","")&amp;IF(ABS(N($L1032)-(N($M1032)+N($N1032)+N($O1032)+N($P1032)))&gt;0.001,", a total that does not match its quarters",""),3,300))</f>
        <v/>
      </c>
    </row>
    <row r="1033" customFormat="false" ht="15" hidden="false" customHeight="false" outlineLevel="0" collapsed="false">
      <c r="A1033" s="33" t="str">
        <f aca="false">IF($G1033="","","Internal Audit Group")</f>
        <v/>
      </c>
      <c r="B1033" s="19"/>
      <c r="C1033" s="19"/>
      <c r="D1033" s="19"/>
      <c r="E1033" s="19"/>
      <c r="F1033" s="19"/>
      <c r="G1033" s="19"/>
      <c r="H1033" s="19"/>
      <c r="I1033" s="19"/>
      <c r="J1033" s="19"/>
      <c r="K1033" s="19"/>
      <c r="L1033" s="19"/>
      <c r="M1033" s="19"/>
      <c r="N1033" s="19"/>
      <c r="O1033" s="19"/>
      <c r="P1033" s="19"/>
      <c r="Q1033" s="19"/>
      <c r="R1033" s="19"/>
      <c r="S1033" s="19"/>
      <c r="T1033" s="34" t="str">
        <f aca="false">IF($R1033="","",IFERROR(INDEX(DriverCategory,MATCH($R1033,DriverList,0)),"BAU"))</f>
        <v/>
      </c>
      <c r="U1033" s="34" t="str">
        <f aca="false">IF($R1033="","",IFERROR(INDEX(DriverRank,MATCH($R1033,DriverList,0)),99))</f>
        <v/>
      </c>
      <c r="V1033" s="35" t="n">
        <f aca="false">IF($H1033="",0,IFERROR(INDEX(LevelBasic,MATCH($H1033,LevelList,0))+INDEX(LevelHousing,MATCH($H1033,LevelList,0))+INDEX(LevelTransport,MATCH($H1033,LevelList,0))+INDEX(LevelBasic,MATCH($H1033,LevelList,0))*INDEX(LevelBonus,MATCH($H1033,LevelList,0))+(INDEX(LevelBasic,MATCH($H1033,LevelList,0))+INDEX(LevelHousing,MATCH($H1033,LevelList,0)))*GosiSaudi,0))</f>
        <v>0</v>
      </c>
      <c r="W1033" s="35" t="n">
        <f aca="false">IFERROR(INDEX(LevelOneOff,MATCH($H1033,LevelList,0)),0)</f>
        <v>0</v>
      </c>
      <c r="X1033" s="35" t="str">
        <f aca="false">IF($G1033="","",$V1033*N($L1033))</f>
        <v/>
      </c>
      <c r="Y1033" s="35" t="str">
        <f aca="false">IF($G1033="","",$V1033*(N($M1033)*1+N($N1033)*0.75+N($O1033)*0.5+N($P1033)*0.25)+$W1033*N($L1033))</f>
        <v/>
      </c>
      <c r="Z1033" s="35" t="str">
        <f aca="false">IF($G1033="","",$U1033*1000000+ROW())</f>
        <v/>
      </c>
      <c r="AA1033" s="36" t="str">
        <f aca="false">IF($G1033="","",MID(IF($C1033="",", no division","")&amp;IF($E1033="",", no unit","")&amp;IF($H1033="",", no career level","")&amp;IF(N($L1033)&lt;=0,", no quarter split","")&amp;IF($R1033="",", no driver","")&amp;IF(AND($H1033&lt;&gt;"",COUNTIF(CareerLevels,$H1033)=0),", a career level that is not on the ladder","")&amp;IF(AND($R1033&lt;&gt;"",COUNTIF(DriverList,$R1033)=0),", a driver that is not on the list","")&amp;IF(ABS(N($L1033)-(N($M1033)+N($N1033)+N($O1033)+N($P1033)))&gt;0.001,", a total that does not match its quarters",""),3,300))</f>
        <v/>
      </c>
    </row>
    <row r="1034" customFormat="false" ht="15" hidden="false" customHeight="false" outlineLevel="0" collapsed="false">
      <c r="A1034" s="33" t="str">
        <f aca="false">IF($G1034="","","Internal Audit Group")</f>
        <v/>
      </c>
      <c r="B1034" s="19"/>
      <c r="C1034" s="19"/>
      <c r="D1034" s="19"/>
      <c r="E1034" s="19"/>
      <c r="F1034" s="19"/>
      <c r="G1034" s="19"/>
      <c r="H1034" s="19"/>
      <c r="I1034" s="19"/>
      <c r="J1034" s="19"/>
      <c r="K1034" s="19"/>
      <c r="L1034" s="19"/>
      <c r="M1034" s="19"/>
      <c r="N1034" s="19"/>
      <c r="O1034" s="19"/>
      <c r="P1034" s="19"/>
      <c r="Q1034" s="19"/>
      <c r="R1034" s="19"/>
      <c r="S1034" s="19"/>
      <c r="T1034" s="34" t="str">
        <f aca="false">IF($R1034="","",IFERROR(INDEX(DriverCategory,MATCH($R1034,DriverList,0)),"BAU"))</f>
        <v/>
      </c>
      <c r="U1034" s="34" t="str">
        <f aca="false">IF($R1034="","",IFERROR(INDEX(DriverRank,MATCH($R1034,DriverList,0)),99))</f>
        <v/>
      </c>
      <c r="V1034" s="35" t="n">
        <f aca="false">IF($H1034="",0,IFERROR(INDEX(LevelBasic,MATCH($H1034,LevelList,0))+INDEX(LevelHousing,MATCH($H1034,LevelList,0))+INDEX(LevelTransport,MATCH($H1034,LevelList,0))+INDEX(LevelBasic,MATCH($H1034,LevelList,0))*INDEX(LevelBonus,MATCH($H1034,LevelList,0))+(INDEX(LevelBasic,MATCH($H1034,LevelList,0))+INDEX(LevelHousing,MATCH($H1034,LevelList,0)))*GosiSaudi,0))</f>
        <v>0</v>
      </c>
      <c r="W1034" s="35" t="n">
        <f aca="false">IFERROR(INDEX(LevelOneOff,MATCH($H1034,LevelList,0)),0)</f>
        <v>0</v>
      </c>
      <c r="X1034" s="35" t="str">
        <f aca="false">IF($G1034="","",$V1034*N($L1034))</f>
        <v/>
      </c>
      <c r="Y1034" s="35" t="str">
        <f aca="false">IF($G1034="","",$V1034*(N($M1034)*1+N($N1034)*0.75+N($O1034)*0.5+N($P1034)*0.25)+$W1034*N($L1034))</f>
        <v/>
      </c>
      <c r="Z1034" s="35" t="str">
        <f aca="false">IF($G1034="","",$U1034*1000000+ROW())</f>
        <v/>
      </c>
      <c r="AA1034" s="36" t="str">
        <f aca="false">IF($G1034="","",MID(IF($C1034="",", no division","")&amp;IF($E1034="",", no unit","")&amp;IF($H1034="",", no career level","")&amp;IF(N($L1034)&lt;=0,", no quarter split","")&amp;IF($R1034="",", no driver","")&amp;IF(AND($H1034&lt;&gt;"",COUNTIF(CareerLevels,$H1034)=0),", a career level that is not on the ladder","")&amp;IF(AND($R1034&lt;&gt;"",COUNTIF(DriverList,$R1034)=0),", a driver that is not on the list","")&amp;IF(ABS(N($L1034)-(N($M1034)+N($N1034)+N($O1034)+N($P1034)))&gt;0.001,", a total that does not match its quarters",""),3,300))</f>
        <v/>
      </c>
    </row>
    <row r="1035" customFormat="false" ht="15" hidden="false" customHeight="false" outlineLevel="0" collapsed="false">
      <c r="A1035" s="33" t="str">
        <f aca="false">IF($G1035="","","Internal Audit Group")</f>
        <v/>
      </c>
      <c r="B1035" s="19"/>
      <c r="C1035" s="19"/>
      <c r="D1035" s="19"/>
      <c r="E1035" s="19"/>
      <c r="F1035" s="19"/>
      <c r="G1035" s="19"/>
      <c r="H1035" s="19"/>
      <c r="I1035" s="19"/>
      <c r="J1035" s="19"/>
      <c r="K1035" s="19"/>
      <c r="L1035" s="19"/>
      <c r="M1035" s="19"/>
      <c r="N1035" s="19"/>
      <c r="O1035" s="19"/>
      <c r="P1035" s="19"/>
      <c r="Q1035" s="19"/>
      <c r="R1035" s="19"/>
      <c r="S1035" s="19"/>
      <c r="T1035" s="34" t="str">
        <f aca="false">IF($R1035="","",IFERROR(INDEX(DriverCategory,MATCH($R1035,DriverList,0)),"BAU"))</f>
        <v/>
      </c>
      <c r="U1035" s="34" t="str">
        <f aca="false">IF($R1035="","",IFERROR(INDEX(DriverRank,MATCH($R1035,DriverList,0)),99))</f>
        <v/>
      </c>
      <c r="V1035" s="35" t="n">
        <f aca="false">IF($H1035="",0,IFERROR(INDEX(LevelBasic,MATCH($H1035,LevelList,0))+INDEX(LevelHousing,MATCH($H1035,LevelList,0))+INDEX(LevelTransport,MATCH($H1035,LevelList,0))+INDEX(LevelBasic,MATCH($H1035,LevelList,0))*INDEX(LevelBonus,MATCH($H1035,LevelList,0))+(INDEX(LevelBasic,MATCH($H1035,LevelList,0))+INDEX(LevelHousing,MATCH($H1035,LevelList,0)))*GosiSaudi,0))</f>
        <v>0</v>
      </c>
      <c r="W1035" s="35" t="n">
        <f aca="false">IFERROR(INDEX(LevelOneOff,MATCH($H1035,LevelList,0)),0)</f>
        <v>0</v>
      </c>
      <c r="X1035" s="35" t="str">
        <f aca="false">IF($G1035="","",$V1035*N($L1035))</f>
        <v/>
      </c>
      <c r="Y1035" s="35" t="str">
        <f aca="false">IF($G1035="","",$V1035*(N($M1035)*1+N($N1035)*0.75+N($O1035)*0.5+N($P1035)*0.25)+$W1035*N($L1035))</f>
        <v/>
      </c>
      <c r="Z1035" s="35" t="str">
        <f aca="false">IF($G1035="","",$U1035*1000000+ROW())</f>
        <v/>
      </c>
      <c r="AA1035" s="36" t="str">
        <f aca="false">IF($G1035="","",MID(IF($C1035="",", no division","")&amp;IF($E1035="",", no unit","")&amp;IF($H1035="",", no career level","")&amp;IF(N($L1035)&lt;=0,", no quarter split","")&amp;IF($R1035="",", no driver","")&amp;IF(AND($H1035&lt;&gt;"",COUNTIF(CareerLevels,$H1035)=0),", a career level that is not on the ladder","")&amp;IF(AND($R1035&lt;&gt;"",COUNTIF(DriverList,$R1035)=0),", a driver that is not on the list","")&amp;IF(ABS(N($L1035)-(N($M1035)+N($N1035)+N($O1035)+N($P1035)))&gt;0.001,", a total that does not match its quarters",""),3,300))</f>
        <v/>
      </c>
    </row>
    <row r="1036" customFormat="false" ht="15" hidden="false" customHeight="false" outlineLevel="0" collapsed="false">
      <c r="A1036" s="33" t="str">
        <f aca="false">IF($G1036="","","Internal Audit Group")</f>
        <v/>
      </c>
      <c r="B1036" s="19"/>
      <c r="C1036" s="19"/>
      <c r="D1036" s="19"/>
      <c r="E1036" s="19"/>
      <c r="F1036" s="19"/>
      <c r="G1036" s="19"/>
      <c r="H1036" s="19"/>
      <c r="I1036" s="19"/>
      <c r="J1036" s="19"/>
      <c r="K1036" s="19"/>
      <c r="L1036" s="19"/>
      <c r="M1036" s="19"/>
      <c r="N1036" s="19"/>
      <c r="O1036" s="19"/>
      <c r="P1036" s="19"/>
      <c r="Q1036" s="19"/>
      <c r="R1036" s="19"/>
      <c r="S1036" s="19"/>
      <c r="T1036" s="34" t="str">
        <f aca="false">IF($R1036="","",IFERROR(INDEX(DriverCategory,MATCH($R1036,DriverList,0)),"BAU"))</f>
        <v/>
      </c>
      <c r="U1036" s="34" t="str">
        <f aca="false">IF($R1036="","",IFERROR(INDEX(DriverRank,MATCH($R1036,DriverList,0)),99))</f>
        <v/>
      </c>
      <c r="V1036" s="35" t="n">
        <f aca="false">IF($H1036="",0,IFERROR(INDEX(LevelBasic,MATCH($H1036,LevelList,0))+INDEX(LevelHousing,MATCH($H1036,LevelList,0))+INDEX(LevelTransport,MATCH($H1036,LevelList,0))+INDEX(LevelBasic,MATCH($H1036,LevelList,0))*INDEX(LevelBonus,MATCH($H1036,LevelList,0))+(INDEX(LevelBasic,MATCH($H1036,LevelList,0))+INDEX(LevelHousing,MATCH($H1036,LevelList,0)))*GosiSaudi,0))</f>
        <v>0</v>
      </c>
      <c r="W1036" s="35" t="n">
        <f aca="false">IFERROR(INDEX(LevelOneOff,MATCH($H1036,LevelList,0)),0)</f>
        <v>0</v>
      </c>
      <c r="X1036" s="35" t="str">
        <f aca="false">IF($G1036="","",$V1036*N($L1036))</f>
        <v/>
      </c>
      <c r="Y1036" s="35" t="str">
        <f aca="false">IF($G1036="","",$V1036*(N($M1036)*1+N($N1036)*0.75+N($O1036)*0.5+N($P1036)*0.25)+$W1036*N($L1036))</f>
        <v/>
      </c>
      <c r="Z1036" s="35" t="str">
        <f aca="false">IF($G1036="","",$U1036*1000000+ROW())</f>
        <v/>
      </c>
      <c r="AA1036" s="36" t="str">
        <f aca="false">IF($G1036="","",MID(IF($C1036="",", no division","")&amp;IF($E1036="",", no unit","")&amp;IF($H1036="",", no career level","")&amp;IF(N($L1036)&lt;=0,", no quarter split","")&amp;IF($R1036="",", no driver","")&amp;IF(AND($H1036&lt;&gt;"",COUNTIF(CareerLevels,$H1036)=0),", a career level that is not on the ladder","")&amp;IF(AND($R1036&lt;&gt;"",COUNTIF(DriverList,$R1036)=0),", a driver that is not on the list","")&amp;IF(ABS(N($L1036)-(N($M1036)+N($N1036)+N($O1036)+N($P1036)))&gt;0.001,", a total that does not match its quarters",""),3,300))</f>
        <v/>
      </c>
    </row>
    <row r="1037" customFormat="false" ht="15" hidden="false" customHeight="false" outlineLevel="0" collapsed="false">
      <c r="A1037" s="33" t="str">
        <f aca="false">IF($G1037="","","Internal Audit Group")</f>
        <v/>
      </c>
      <c r="B1037" s="19"/>
      <c r="C1037" s="19"/>
      <c r="D1037" s="19"/>
      <c r="E1037" s="19"/>
      <c r="F1037" s="19"/>
      <c r="G1037" s="19"/>
      <c r="H1037" s="19"/>
      <c r="I1037" s="19"/>
      <c r="J1037" s="19"/>
      <c r="K1037" s="19"/>
      <c r="L1037" s="19"/>
      <c r="M1037" s="19"/>
      <c r="N1037" s="19"/>
      <c r="O1037" s="19"/>
      <c r="P1037" s="19"/>
      <c r="Q1037" s="19"/>
      <c r="R1037" s="19"/>
      <c r="S1037" s="19"/>
      <c r="T1037" s="34" t="str">
        <f aca="false">IF($R1037="","",IFERROR(INDEX(DriverCategory,MATCH($R1037,DriverList,0)),"BAU"))</f>
        <v/>
      </c>
      <c r="U1037" s="34" t="str">
        <f aca="false">IF($R1037="","",IFERROR(INDEX(DriverRank,MATCH($R1037,DriverList,0)),99))</f>
        <v/>
      </c>
      <c r="V1037" s="35" t="n">
        <f aca="false">IF($H1037="",0,IFERROR(INDEX(LevelBasic,MATCH($H1037,LevelList,0))+INDEX(LevelHousing,MATCH($H1037,LevelList,0))+INDEX(LevelTransport,MATCH($H1037,LevelList,0))+INDEX(LevelBasic,MATCH($H1037,LevelList,0))*INDEX(LevelBonus,MATCH($H1037,LevelList,0))+(INDEX(LevelBasic,MATCH($H1037,LevelList,0))+INDEX(LevelHousing,MATCH($H1037,LevelList,0)))*GosiSaudi,0))</f>
        <v>0</v>
      </c>
      <c r="W1037" s="35" t="n">
        <f aca="false">IFERROR(INDEX(LevelOneOff,MATCH($H1037,LevelList,0)),0)</f>
        <v>0</v>
      </c>
      <c r="X1037" s="35" t="str">
        <f aca="false">IF($G1037="","",$V1037*N($L1037))</f>
        <v/>
      </c>
      <c r="Y1037" s="35" t="str">
        <f aca="false">IF($G1037="","",$V1037*(N($M1037)*1+N($N1037)*0.75+N($O1037)*0.5+N($P1037)*0.25)+$W1037*N($L1037))</f>
        <v/>
      </c>
      <c r="Z1037" s="35" t="str">
        <f aca="false">IF($G1037="","",$U1037*1000000+ROW())</f>
        <v/>
      </c>
      <c r="AA1037" s="36" t="str">
        <f aca="false">IF($G1037="","",MID(IF($C1037="",", no division","")&amp;IF($E1037="",", no unit","")&amp;IF($H1037="",", no career level","")&amp;IF(N($L1037)&lt;=0,", no quarter split","")&amp;IF($R1037="",", no driver","")&amp;IF(AND($H1037&lt;&gt;"",COUNTIF(CareerLevels,$H1037)=0),", a career level that is not on the ladder","")&amp;IF(AND($R1037&lt;&gt;"",COUNTIF(DriverList,$R1037)=0),", a driver that is not on the list","")&amp;IF(ABS(N($L1037)-(N($M1037)+N($N1037)+N($O1037)+N($P1037)))&gt;0.001,", a total that does not match its quarters",""),3,300))</f>
        <v/>
      </c>
    </row>
    <row r="1038" customFormat="false" ht="15" hidden="false" customHeight="false" outlineLevel="0" collapsed="false">
      <c r="A1038" s="33" t="str">
        <f aca="false">IF($G1038="","","Internal Audit Group")</f>
        <v/>
      </c>
      <c r="B1038" s="19"/>
      <c r="C1038" s="19"/>
      <c r="D1038" s="19"/>
      <c r="E1038" s="19"/>
      <c r="F1038" s="19"/>
      <c r="G1038" s="19"/>
      <c r="H1038" s="19"/>
      <c r="I1038" s="19"/>
      <c r="J1038" s="19"/>
      <c r="K1038" s="19"/>
      <c r="L1038" s="19"/>
      <c r="M1038" s="19"/>
      <c r="N1038" s="19"/>
      <c r="O1038" s="19"/>
      <c r="P1038" s="19"/>
      <c r="Q1038" s="19"/>
      <c r="R1038" s="19"/>
      <c r="S1038" s="19"/>
      <c r="T1038" s="34" t="str">
        <f aca="false">IF($R1038="","",IFERROR(INDEX(DriverCategory,MATCH($R1038,DriverList,0)),"BAU"))</f>
        <v/>
      </c>
      <c r="U1038" s="34" t="str">
        <f aca="false">IF($R1038="","",IFERROR(INDEX(DriverRank,MATCH($R1038,DriverList,0)),99))</f>
        <v/>
      </c>
      <c r="V1038" s="35" t="n">
        <f aca="false">IF($H1038="",0,IFERROR(INDEX(LevelBasic,MATCH($H1038,LevelList,0))+INDEX(LevelHousing,MATCH($H1038,LevelList,0))+INDEX(LevelTransport,MATCH($H1038,LevelList,0))+INDEX(LevelBasic,MATCH($H1038,LevelList,0))*INDEX(LevelBonus,MATCH($H1038,LevelList,0))+(INDEX(LevelBasic,MATCH($H1038,LevelList,0))+INDEX(LevelHousing,MATCH($H1038,LevelList,0)))*GosiSaudi,0))</f>
        <v>0</v>
      </c>
      <c r="W1038" s="35" t="n">
        <f aca="false">IFERROR(INDEX(LevelOneOff,MATCH($H1038,LevelList,0)),0)</f>
        <v>0</v>
      </c>
      <c r="X1038" s="35" t="str">
        <f aca="false">IF($G1038="","",$V1038*N($L1038))</f>
        <v/>
      </c>
      <c r="Y1038" s="35" t="str">
        <f aca="false">IF($G1038="","",$V1038*(N($M1038)*1+N($N1038)*0.75+N($O1038)*0.5+N($P1038)*0.25)+$W1038*N($L1038))</f>
        <v/>
      </c>
      <c r="Z1038" s="35" t="str">
        <f aca="false">IF($G1038="","",$U1038*1000000+ROW())</f>
        <v/>
      </c>
      <c r="AA1038" s="36" t="str">
        <f aca="false">IF($G1038="","",MID(IF($C1038="",", no division","")&amp;IF($E1038="",", no unit","")&amp;IF($H1038="",", no career level","")&amp;IF(N($L1038)&lt;=0,", no quarter split","")&amp;IF($R1038="",", no driver","")&amp;IF(AND($H1038&lt;&gt;"",COUNTIF(CareerLevels,$H1038)=0),", a career level that is not on the ladder","")&amp;IF(AND($R1038&lt;&gt;"",COUNTIF(DriverList,$R1038)=0),", a driver that is not on the list","")&amp;IF(ABS(N($L1038)-(N($M1038)+N($N1038)+N($O1038)+N($P1038)))&gt;0.001,", a total that does not match its quarters",""),3,300))</f>
        <v/>
      </c>
    </row>
    <row r="1039" customFormat="false" ht="15" hidden="false" customHeight="false" outlineLevel="0" collapsed="false">
      <c r="A1039" s="33" t="str">
        <f aca="false">IF($G1039="","","Internal Audit Group")</f>
        <v/>
      </c>
      <c r="B1039" s="19"/>
      <c r="C1039" s="19"/>
      <c r="D1039" s="19"/>
      <c r="E1039" s="19"/>
      <c r="F1039" s="19"/>
      <c r="G1039" s="19"/>
      <c r="H1039" s="19"/>
      <c r="I1039" s="19"/>
      <c r="J1039" s="19"/>
      <c r="K1039" s="19"/>
      <c r="L1039" s="19"/>
      <c r="M1039" s="19"/>
      <c r="N1039" s="19"/>
      <c r="O1039" s="19"/>
      <c r="P1039" s="19"/>
      <c r="Q1039" s="19"/>
      <c r="R1039" s="19"/>
      <c r="S1039" s="19"/>
      <c r="T1039" s="34" t="str">
        <f aca="false">IF($R1039="","",IFERROR(INDEX(DriverCategory,MATCH($R1039,DriverList,0)),"BAU"))</f>
        <v/>
      </c>
      <c r="U1039" s="34" t="str">
        <f aca="false">IF($R1039="","",IFERROR(INDEX(DriverRank,MATCH($R1039,DriverList,0)),99))</f>
        <v/>
      </c>
      <c r="V1039" s="35" t="n">
        <f aca="false">IF($H1039="",0,IFERROR(INDEX(LevelBasic,MATCH($H1039,LevelList,0))+INDEX(LevelHousing,MATCH($H1039,LevelList,0))+INDEX(LevelTransport,MATCH($H1039,LevelList,0))+INDEX(LevelBasic,MATCH($H1039,LevelList,0))*INDEX(LevelBonus,MATCH($H1039,LevelList,0))+(INDEX(LevelBasic,MATCH($H1039,LevelList,0))+INDEX(LevelHousing,MATCH($H1039,LevelList,0)))*GosiSaudi,0))</f>
        <v>0</v>
      </c>
      <c r="W1039" s="35" t="n">
        <f aca="false">IFERROR(INDEX(LevelOneOff,MATCH($H1039,LevelList,0)),0)</f>
        <v>0</v>
      </c>
      <c r="X1039" s="35" t="str">
        <f aca="false">IF($G1039="","",$V1039*N($L1039))</f>
        <v/>
      </c>
      <c r="Y1039" s="35" t="str">
        <f aca="false">IF($G1039="","",$V1039*(N($M1039)*1+N($N1039)*0.75+N($O1039)*0.5+N($P1039)*0.25)+$W1039*N($L1039))</f>
        <v/>
      </c>
      <c r="Z1039" s="35" t="str">
        <f aca="false">IF($G1039="","",$U1039*1000000+ROW())</f>
        <v/>
      </c>
      <c r="AA1039" s="36" t="str">
        <f aca="false">IF($G1039="","",MID(IF($C1039="",", no division","")&amp;IF($E1039="",", no unit","")&amp;IF($H1039="",", no career level","")&amp;IF(N($L1039)&lt;=0,", no quarter split","")&amp;IF($R1039="",", no driver","")&amp;IF(AND($H1039&lt;&gt;"",COUNTIF(CareerLevels,$H1039)=0),", a career level that is not on the ladder","")&amp;IF(AND($R1039&lt;&gt;"",COUNTIF(DriverList,$R1039)=0),", a driver that is not on the list","")&amp;IF(ABS(N($L1039)-(N($M1039)+N($N1039)+N($O1039)+N($P1039)))&gt;0.001,", a total that does not match its quarters",""),3,300))</f>
        <v/>
      </c>
    </row>
    <row r="1040" customFormat="false" ht="15" hidden="false" customHeight="false" outlineLevel="0" collapsed="false">
      <c r="A1040" s="33" t="str">
        <f aca="false">IF($G1040="","","Internal Audit Group")</f>
        <v/>
      </c>
      <c r="B1040" s="19"/>
      <c r="C1040" s="19"/>
      <c r="D1040" s="19"/>
      <c r="E1040" s="19"/>
      <c r="F1040" s="19"/>
      <c r="G1040" s="19"/>
      <c r="H1040" s="19"/>
      <c r="I1040" s="19"/>
      <c r="J1040" s="19"/>
      <c r="K1040" s="19"/>
      <c r="L1040" s="19"/>
      <c r="M1040" s="19"/>
      <c r="N1040" s="19"/>
      <c r="O1040" s="19"/>
      <c r="P1040" s="19"/>
      <c r="Q1040" s="19"/>
      <c r="R1040" s="19"/>
      <c r="S1040" s="19"/>
      <c r="T1040" s="34" t="str">
        <f aca="false">IF($R1040="","",IFERROR(INDEX(DriverCategory,MATCH($R1040,DriverList,0)),"BAU"))</f>
        <v/>
      </c>
      <c r="U1040" s="34" t="str">
        <f aca="false">IF($R1040="","",IFERROR(INDEX(DriverRank,MATCH($R1040,DriverList,0)),99))</f>
        <v/>
      </c>
      <c r="V1040" s="35" t="n">
        <f aca="false">IF($H1040="",0,IFERROR(INDEX(LevelBasic,MATCH($H1040,LevelList,0))+INDEX(LevelHousing,MATCH($H1040,LevelList,0))+INDEX(LevelTransport,MATCH($H1040,LevelList,0))+INDEX(LevelBasic,MATCH($H1040,LevelList,0))*INDEX(LevelBonus,MATCH($H1040,LevelList,0))+(INDEX(LevelBasic,MATCH($H1040,LevelList,0))+INDEX(LevelHousing,MATCH($H1040,LevelList,0)))*GosiSaudi,0))</f>
        <v>0</v>
      </c>
      <c r="W1040" s="35" t="n">
        <f aca="false">IFERROR(INDEX(LevelOneOff,MATCH($H1040,LevelList,0)),0)</f>
        <v>0</v>
      </c>
      <c r="X1040" s="35" t="str">
        <f aca="false">IF($G1040="","",$V1040*N($L1040))</f>
        <v/>
      </c>
      <c r="Y1040" s="35" t="str">
        <f aca="false">IF($G1040="","",$V1040*(N($M1040)*1+N($N1040)*0.75+N($O1040)*0.5+N($P1040)*0.25)+$W1040*N($L1040))</f>
        <v/>
      </c>
      <c r="Z1040" s="35" t="str">
        <f aca="false">IF($G1040="","",$U1040*1000000+ROW())</f>
        <v/>
      </c>
      <c r="AA1040" s="36" t="str">
        <f aca="false">IF($G1040="","",MID(IF($C1040="",", no division","")&amp;IF($E1040="",", no unit","")&amp;IF($H1040="",", no career level","")&amp;IF(N($L1040)&lt;=0,", no quarter split","")&amp;IF($R1040="",", no driver","")&amp;IF(AND($H1040&lt;&gt;"",COUNTIF(CareerLevels,$H1040)=0),", a career level that is not on the ladder","")&amp;IF(AND($R1040&lt;&gt;"",COUNTIF(DriverList,$R1040)=0),", a driver that is not on the list","")&amp;IF(ABS(N($L1040)-(N($M1040)+N($N1040)+N($O1040)+N($P1040)))&gt;0.001,", a total that does not match its quarters",""),3,300))</f>
        <v/>
      </c>
    </row>
    <row r="1041" customFormat="false" ht="15" hidden="false" customHeight="false" outlineLevel="0" collapsed="false">
      <c r="A1041" s="33" t="str">
        <f aca="false">IF($G1041="","","Internal Audit Group")</f>
        <v/>
      </c>
      <c r="B1041" s="19"/>
      <c r="C1041" s="19"/>
      <c r="D1041" s="19"/>
      <c r="E1041" s="19"/>
      <c r="F1041" s="19"/>
      <c r="G1041" s="19"/>
      <c r="H1041" s="19"/>
      <c r="I1041" s="19"/>
      <c r="J1041" s="19"/>
      <c r="K1041" s="19"/>
      <c r="L1041" s="19"/>
      <c r="M1041" s="19"/>
      <c r="N1041" s="19"/>
      <c r="O1041" s="19"/>
      <c r="P1041" s="19"/>
      <c r="Q1041" s="19"/>
      <c r="R1041" s="19"/>
      <c r="S1041" s="19"/>
      <c r="T1041" s="34" t="str">
        <f aca="false">IF($R1041="","",IFERROR(INDEX(DriverCategory,MATCH($R1041,DriverList,0)),"BAU"))</f>
        <v/>
      </c>
      <c r="U1041" s="34" t="str">
        <f aca="false">IF($R1041="","",IFERROR(INDEX(DriverRank,MATCH($R1041,DriverList,0)),99))</f>
        <v/>
      </c>
      <c r="V1041" s="35" t="n">
        <f aca="false">IF($H1041="",0,IFERROR(INDEX(LevelBasic,MATCH($H1041,LevelList,0))+INDEX(LevelHousing,MATCH($H1041,LevelList,0))+INDEX(LevelTransport,MATCH($H1041,LevelList,0))+INDEX(LevelBasic,MATCH($H1041,LevelList,0))*INDEX(LevelBonus,MATCH($H1041,LevelList,0))+(INDEX(LevelBasic,MATCH($H1041,LevelList,0))+INDEX(LevelHousing,MATCH($H1041,LevelList,0)))*GosiSaudi,0))</f>
        <v>0</v>
      </c>
      <c r="W1041" s="35" t="n">
        <f aca="false">IFERROR(INDEX(LevelOneOff,MATCH($H1041,LevelList,0)),0)</f>
        <v>0</v>
      </c>
      <c r="X1041" s="35" t="str">
        <f aca="false">IF($G1041="","",$V1041*N($L1041))</f>
        <v/>
      </c>
      <c r="Y1041" s="35" t="str">
        <f aca="false">IF($G1041="","",$V1041*(N($M1041)*1+N($N1041)*0.75+N($O1041)*0.5+N($P1041)*0.25)+$W1041*N($L1041))</f>
        <v/>
      </c>
      <c r="Z1041" s="35" t="str">
        <f aca="false">IF($G1041="","",$U1041*1000000+ROW())</f>
        <v/>
      </c>
      <c r="AA1041" s="36" t="str">
        <f aca="false">IF($G1041="","",MID(IF($C1041="",", no division","")&amp;IF($E1041="",", no unit","")&amp;IF($H1041="",", no career level","")&amp;IF(N($L1041)&lt;=0,", no quarter split","")&amp;IF($R1041="",", no driver","")&amp;IF(AND($H1041&lt;&gt;"",COUNTIF(CareerLevels,$H1041)=0),", a career level that is not on the ladder","")&amp;IF(AND($R1041&lt;&gt;"",COUNTIF(DriverList,$R1041)=0),", a driver that is not on the list","")&amp;IF(ABS(N($L1041)-(N($M1041)+N($N1041)+N($O1041)+N($P1041)))&gt;0.001,", a total that does not match its quarters",""),3,300))</f>
        <v/>
      </c>
    </row>
    <row r="1042" customFormat="false" ht="15" hidden="false" customHeight="false" outlineLevel="0" collapsed="false">
      <c r="A1042" s="33" t="str">
        <f aca="false">IF($G1042="","","Internal Audit Group")</f>
        <v/>
      </c>
      <c r="B1042" s="19"/>
      <c r="C1042" s="19"/>
      <c r="D1042" s="19"/>
      <c r="E1042" s="19"/>
      <c r="F1042" s="19"/>
      <c r="G1042" s="19"/>
      <c r="H1042" s="19"/>
      <c r="I1042" s="19"/>
      <c r="J1042" s="19"/>
      <c r="K1042" s="19"/>
      <c r="L1042" s="19"/>
      <c r="M1042" s="19"/>
      <c r="N1042" s="19"/>
      <c r="O1042" s="19"/>
      <c r="P1042" s="19"/>
      <c r="Q1042" s="19"/>
      <c r="R1042" s="19"/>
      <c r="S1042" s="19"/>
      <c r="T1042" s="34" t="str">
        <f aca="false">IF($R1042="","",IFERROR(INDEX(DriverCategory,MATCH($R1042,DriverList,0)),"BAU"))</f>
        <v/>
      </c>
      <c r="U1042" s="34" t="str">
        <f aca="false">IF($R1042="","",IFERROR(INDEX(DriverRank,MATCH($R1042,DriverList,0)),99))</f>
        <v/>
      </c>
      <c r="V1042" s="35" t="n">
        <f aca="false">IF($H1042="",0,IFERROR(INDEX(LevelBasic,MATCH($H1042,LevelList,0))+INDEX(LevelHousing,MATCH($H1042,LevelList,0))+INDEX(LevelTransport,MATCH($H1042,LevelList,0))+INDEX(LevelBasic,MATCH($H1042,LevelList,0))*INDEX(LevelBonus,MATCH($H1042,LevelList,0))+(INDEX(LevelBasic,MATCH($H1042,LevelList,0))+INDEX(LevelHousing,MATCH($H1042,LevelList,0)))*GosiSaudi,0))</f>
        <v>0</v>
      </c>
      <c r="W1042" s="35" t="n">
        <f aca="false">IFERROR(INDEX(LevelOneOff,MATCH($H1042,LevelList,0)),0)</f>
        <v>0</v>
      </c>
      <c r="X1042" s="35" t="str">
        <f aca="false">IF($G1042="","",$V1042*N($L1042))</f>
        <v/>
      </c>
      <c r="Y1042" s="35" t="str">
        <f aca="false">IF($G1042="","",$V1042*(N($M1042)*1+N($N1042)*0.75+N($O1042)*0.5+N($P1042)*0.25)+$W1042*N($L1042))</f>
        <v/>
      </c>
      <c r="Z1042" s="35" t="str">
        <f aca="false">IF($G1042="","",$U1042*1000000+ROW())</f>
        <v/>
      </c>
      <c r="AA1042" s="36" t="str">
        <f aca="false">IF($G1042="","",MID(IF($C1042="",", no division","")&amp;IF($E1042="",", no unit","")&amp;IF($H1042="",", no career level","")&amp;IF(N($L1042)&lt;=0,", no quarter split","")&amp;IF($R1042="",", no driver","")&amp;IF(AND($H1042&lt;&gt;"",COUNTIF(CareerLevels,$H1042)=0),", a career level that is not on the ladder","")&amp;IF(AND($R1042&lt;&gt;"",COUNTIF(DriverList,$R1042)=0),", a driver that is not on the list","")&amp;IF(ABS(N($L1042)-(N($M1042)+N($N1042)+N($O1042)+N($P1042)))&gt;0.001,", a total that does not match its quarters",""),3,300))</f>
        <v/>
      </c>
    </row>
    <row r="1043" customFormat="false" ht="15" hidden="false" customHeight="false" outlineLevel="0" collapsed="false">
      <c r="A1043" s="33" t="str">
        <f aca="false">IF($G1043="","","Internal Audit Group")</f>
        <v/>
      </c>
      <c r="B1043" s="19"/>
      <c r="C1043" s="19"/>
      <c r="D1043" s="19"/>
      <c r="E1043" s="19"/>
      <c r="F1043" s="19"/>
      <c r="G1043" s="19"/>
      <c r="H1043" s="19"/>
      <c r="I1043" s="19"/>
      <c r="J1043" s="19"/>
      <c r="K1043" s="19"/>
      <c r="L1043" s="19"/>
      <c r="M1043" s="19"/>
      <c r="N1043" s="19"/>
      <c r="O1043" s="19"/>
      <c r="P1043" s="19"/>
      <c r="Q1043" s="19"/>
      <c r="R1043" s="19"/>
      <c r="S1043" s="19"/>
      <c r="T1043" s="34" t="str">
        <f aca="false">IF($R1043="","",IFERROR(INDEX(DriverCategory,MATCH($R1043,DriverList,0)),"BAU"))</f>
        <v/>
      </c>
      <c r="U1043" s="34" t="str">
        <f aca="false">IF($R1043="","",IFERROR(INDEX(DriverRank,MATCH($R1043,DriverList,0)),99))</f>
        <v/>
      </c>
      <c r="V1043" s="35" t="n">
        <f aca="false">IF($H1043="",0,IFERROR(INDEX(LevelBasic,MATCH($H1043,LevelList,0))+INDEX(LevelHousing,MATCH($H1043,LevelList,0))+INDEX(LevelTransport,MATCH($H1043,LevelList,0))+INDEX(LevelBasic,MATCH($H1043,LevelList,0))*INDEX(LevelBonus,MATCH($H1043,LevelList,0))+(INDEX(LevelBasic,MATCH($H1043,LevelList,0))+INDEX(LevelHousing,MATCH($H1043,LevelList,0)))*GosiSaudi,0))</f>
        <v>0</v>
      </c>
      <c r="W1043" s="35" t="n">
        <f aca="false">IFERROR(INDEX(LevelOneOff,MATCH($H1043,LevelList,0)),0)</f>
        <v>0</v>
      </c>
      <c r="X1043" s="35" t="str">
        <f aca="false">IF($G1043="","",$V1043*N($L1043))</f>
        <v/>
      </c>
      <c r="Y1043" s="35" t="str">
        <f aca="false">IF($G1043="","",$V1043*(N($M1043)*1+N($N1043)*0.75+N($O1043)*0.5+N($P1043)*0.25)+$W1043*N($L1043))</f>
        <v/>
      </c>
      <c r="Z1043" s="35" t="str">
        <f aca="false">IF($G1043="","",$U1043*1000000+ROW())</f>
        <v/>
      </c>
      <c r="AA1043" s="36" t="str">
        <f aca="false">IF($G1043="","",MID(IF($C1043="",", no division","")&amp;IF($E1043="",", no unit","")&amp;IF($H1043="",", no career level","")&amp;IF(N($L1043)&lt;=0,", no quarter split","")&amp;IF($R1043="",", no driver","")&amp;IF(AND($H1043&lt;&gt;"",COUNTIF(CareerLevels,$H1043)=0),", a career level that is not on the ladder","")&amp;IF(AND($R1043&lt;&gt;"",COUNTIF(DriverList,$R1043)=0),", a driver that is not on the list","")&amp;IF(ABS(N($L1043)-(N($M1043)+N($N1043)+N($O1043)+N($P1043)))&gt;0.001,", a total that does not match its quarters",""),3,300))</f>
        <v/>
      </c>
    </row>
    <row r="1044" customFormat="false" ht="15" hidden="false" customHeight="false" outlineLevel="0" collapsed="false">
      <c r="A1044" s="33" t="str">
        <f aca="false">IF($G1044="","","Internal Audit Group")</f>
        <v/>
      </c>
      <c r="B1044" s="19"/>
      <c r="C1044" s="19"/>
      <c r="D1044" s="19"/>
      <c r="E1044" s="19"/>
      <c r="F1044" s="19"/>
      <c r="G1044" s="19"/>
      <c r="H1044" s="19"/>
      <c r="I1044" s="19"/>
      <c r="J1044" s="19"/>
      <c r="K1044" s="19"/>
      <c r="L1044" s="19"/>
      <c r="M1044" s="19"/>
      <c r="N1044" s="19"/>
      <c r="O1044" s="19"/>
      <c r="P1044" s="19"/>
      <c r="Q1044" s="19"/>
      <c r="R1044" s="19"/>
      <c r="S1044" s="19"/>
      <c r="T1044" s="34" t="str">
        <f aca="false">IF($R1044="","",IFERROR(INDEX(DriverCategory,MATCH($R1044,DriverList,0)),"BAU"))</f>
        <v/>
      </c>
      <c r="U1044" s="34" t="str">
        <f aca="false">IF($R1044="","",IFERROR(INDEX(DriverRank,MATCH($R1044,DriverList,0)),99))</f>
        <v/>
      </c>
      <c r="V1044" s="35" t="n">
        <f aca="false">IF($H1044="",0,IFERROR(INDEX(LevelBasic,MATCH($H1044,LevelList,0))+INDEX(LevelHousing,MATCH($H1044,LevelList,0))+INDEX(LevelTransport,MATCH($H1044,LevelList,0))+INDEX(LevelBasic,MATCH($H1044,LevelList,0))*INDEX(LevelBonus,MATCH($H1044,LevelList,0))+(INDEX(LevelBasic,MATCH($H1044,LevelList,0))+INDEX(LevelHousing,MATCH($H1044,LevelList,0)))*GosiSaudi,0))</f>
        <v>0</v>
      </c>
      <c r="W1044" s="35" t="n">
        <f aca="false">IFERROR(INDEX(LevelOneOff,MATCH($H1044,LevelList,0)),0)</f>
        <v>0</v>
      </c>
      <c r="X1044" s="35" t="str">
        <f aca="false">IF($G1044="","",$V1044*N($L1044))</f>
        <v/>
      </c>
      <c r="Y1044" s="35" t="str">
        <f aca="false">IF($G1044="","",$V1044*(N($M1044)*1+N($N1044)*0.75+N($O1044)*0.5+N($P1044)*0.25)+$W1044*N($L1044))</f>
        <v/>
      </c>
      <c r="Z1044" s="35" t="str">
        <f aca="false">IF($G1044="","",$U1044*1000000+ROW())</f>
        <v/>
      </c>
      <c r="AA1044" s="36" t="str">
        <f aca="false">IF($G1044="","",MID(IF($C1044="",", no division","")&amp;IF($E1044="",", no unit","")&amp;IF($H1044="",", no career level","")&amp;IF(N($L1044)&lt;=0,", no quarter split","")&amp;IF($R1044="",", no driver","")&amp;IF(AND($H1044&lt;&gt;"",COUNTIF(CareerLevels,$H1044)=0),", a career level that is not on the ladder","")&amp;IF(AND($R1044&lt;&gt;"",COUNTIF(DriverList,$R1044)=0),", a driver that is not on the list","")&amp;IF(ABS(N($L1044)-(N($M1044)+N($N1044)+N($O1044)+N($P1044)))&gt;0.001,", a total that does not match its quarters",""),3,300))</f>
        <v/>
      </c>
    </row>
    <row r="1045" customFormat="false" ht="15" hidden="false" customHeight="false" outlineLevel="0" collapsed="false">
      <c r="A1045" s="33" t="str">
        <f aca="false">IF($G1045="","","Internal Audit Group")</f>
        <v/>
      </c>
      <c r="B1045" s="19"/>
      <c r="C1045" s="19"/>
      <c r="D1045" s="19"/>
      <c r="E1045" s="19"/>
      <c r="F1045" s="19"/>
      <c r="G1045" s="19"/>
      <c r="H1045" s="19"/>
      <c r="I1045" s="19"/>
      <c r="J1045" s="19"/>
      <c r="K1045" s="19"/>
      <c r="L1045" s="19"/>
      <c r="M1045" s="19"/>
      <c r="N1045" s="19"/>
      <c r="O1045" s="19"/>
      <c r="P1045" s="19"/>
      <c r="Q1045" s="19"/>
      <c r="R1045" s="19"/>
      <c r="S1045" s="19"/>
      <c r="T1045" s="34" t="str">
        <f aca="false">IF($R1045="","",IFERROR(INDEX(DriverCategory,MATCH($R1045,DriverList,0)),"BAU"))</f>
        <v/>
      </c>
      <c r="U1045" s="34" t="str">
        <f aca="false">IF($R1045="","",IFERROR(INDEX(DriverRank,MATCH($R1045,DriverList,0)),99))</f>
        <v/>
      </c>
      <c r="V1045" s="35" t="n">
        <f aca="false">IF($H1045="",0,IFERROR(INDEX(LevelBasic,MATCH($H1045,LevelList,0))+INDEX(LevelHousing,MATCH($H1045,LevelList,0))+INDEX(LevelTransport,MATCH($H1045,LevelList,0))+INDEX(LevelBasic,MATCH($H1045,LevelList,0))*INDEX(LevelBonus,MATCH($H1045,LevelList,0))+(INDEX(LevelBasic,MATCH($H1045,LevelList,0))+INDEX(LevelHousing,MATCH($H1045,LevelList,0)))*GosiSaudi,0))</f>
        <v>0</v>
      </c>
      <c r="W1045" s="35" t="n">
        <f aca="false">IFERROR(INDEX(LevelOneOff,MATCH($H1045,LevelList,0)),0)</f>
        <v>0</v>
      </c>
      <c r="X1045" s="35" t="str">
        <f aca="false">IF($G1045="","",$V1045*N($L1045))</f>
        <v/>
      </c>
      <c r="Y1045" s="35" t="str">
        <f aca="false">IF($G1045="","",$V1045*(N($M1045)*1+N($N1045)*0.75+N($O1045)*0.5+N($P1045)*0.25)+$W1045*N($L1045))</f>
        <v/>
      </c>
      <c r="Z1045" s="35" t="str">
        <f aca="false">IF($G1045="","",$U1045*1000000+ROW())</f>
        <v/>
      </c>
      <c r="AA1045" s="36" t="str">
        <f aca="false">IF($G1045="","",MID(IF($C1045="",", no division","")&amp;IF($E1045="",", no unit","")&amp;IF($H1045="",", no career level","")&amp;IF(N($L1045)&lt;=0,", no quarter split","")&amp;IF($R1045="",", no driver","")&amp;IF(AND($H1045&lt;&gt;"",COUNTIF(CareerLevels,$H1045)=0),", a career level that is not on the ladder","")&amp;IF(AND($R1045&lt;&gt;"",COUNTIF(DriverList,$R1045)=0),", a driver that is not on the list","")&amp;IF(ABS(N($L1045)-(N($M1045)+N($N1045)+N($O1045)+N($P1045)))&gt;0.001,", a total that does not match its quarters",""),3,300))</f>
        <v/>
      </c>
    </row>
    <row r="1046" customFormat="false" ht="15" hidden="false" customHeight="false" outlineLevel="0" collapsed="false">
      <c r="A1046" s="33" t="str">
        <f aca="false">IF($G1046="","","Internal Audit Group")</f>
        <v/>
      </c>
      <c r="B1046" s="19"/>
      <c r="C1046" s="19"/>
      <c r="D1046" s="19"/>
      <c r="E1046" s="19"/>
      <c r="F1046" s="19"/>
      <c r="G1046" s="19"/>
      <c r="H1046" s="19"/>
      <c r="I1046" s="19"/>
      <c r="J1046" s="19"/>
      <c r="K1046" s="19"/>
      <c r="L1046" s="19"/>
      <c r="M1046" s="19"/>
      <c r="N1046" s="19"/>
      <c r="O1046" s="19"/>
      <c r="P1046" s="19"/>
      <c r="Q1046" s="19"/>
      <c r="R1046" s="19"/>
      <c r="S1046" s="19"/>
      <c r="T1046" s="34" t="str">
        <f aca="false">IF($R1046="","",IFERROR(INDEX(DriverCategory,MATCH($R1046,DriverList,0)),"BAU"))</f>
        <v/>
      </c>
      <c r="U1046" s="34" t="str">
        <f aca="false">IF($R1046="","",IFERROR(INDEX(DriverRank,MATCH($R1046,DriverList,0)),99))</f>
        <v/>
      </c>
      <c r="V1046" s="35" t="n">
        <f aca="false">IF($H1046="",0,IFERROR(INDEX(LevelBasic,MATCH($H1046,LevelList,0))+INDEX(LevelHousing,MATCH($H1046,LevelList,0))+INDEX(LevelTransport,MATCH($H1046,LevelList,0))+INDEX(LevelBasic,MATCH($H1046,LevelList,0))*INDEX(LevelBonus,MATCH($H1046,LevelList,0))+(INDEX(LevelBasic,MATCH($H1046,LevelList,0))+INDEX(LevelHousing,MATCH($H1046,LevelList,0)))*GosiSaudi,0))</f>
        <v>0</v>
      </c>
      <c r="W1046" s="35" t="n">
        <f aca="false">IFERROR(INDEX(LevelOneOff,MATCH($H1046,LevelList,0)),0)</f>
        <v>0</v>
      </c>
      <c r="X1046" s="35" t="str">
        <f aca="false">IF($G1046="","",$V1046*N($L1046))</f>
        <v/>
      </c>
      <c r="Y1046" s="35" t="str">
        <f aca="false">IF($G1046="","",$V1046*(N($M1046)*1+N($N1046)*0.75+N($O1046)*0.5+N($P1046)*0.25)+$W1046*N($L1046))</f>
        <v/>
      </c>
      <c r="Z1046" s="35" t="str">
        <f aca="false">IF($G1046="","",$U1046*1000000+ROW())</f>
        <v/>
      </c>
      <c r="AA1046" s="36" t="str">
        <f aca="false">IF($G1046="","",MID(IF($C1046="",", no division","")&amp;IF($E1046="",", no unit","")&amp;IF($H1046="",", no career level","")&amp;IF(N($L1046)&lt;=0,", no quarter split","")&amp;IF($R1046="",", no driver","")&amp;IF(AND($H1046&lt;&gt;"",COUNTIF(CareerLevels,$H1046)=0),", a career level that is not on the ladder","")&amp;IF(AND($R1046&lt;&gt;"",COUNTIF(DriverList,$R1046)=0),", a driver that is not on the list","")&amp;IF(ABS(N($L1046)-(N($M1046)+N($N1046)+N($O1046)+N($P1046)))&gt;0.001,", a total that does not match its quarters",""),3,300))</f>
        <v/>
      </c>
    </row>
    <row r="1047" customFormat="false" ht="15" hidden="false" customHeight="false" outlineLevel="0" collapsed="false">
      <c r="A1047" s="33" t="str">
        <f aca="false">IF($G1047="","","Internal Audit Group")</f>
        <v/>
      </c>
      <c r="B1047" s="19"/>
      <c r="C1047" s="19"/>
      <c r="D1047" s="19"/>
      <c r="E1047" s="19"/>
      <c r="F1047" s="19"/>
      <c r="G1047" s="19"/>
      <c r="H1047" s="19"/>
      <c r="I1047" s="19"/>
      <c r="J1047" s="19"/>
      <c r="K1047" s="19"/>
      <c r="L1047" s="19"/>
      <c r="M1047" s="19"/>
      <c r="N1047" s="19"/>
      <c r="O1047" s="19"/>
      <c r="P1047" s="19"/>
      <c r="Q1047" s="19"/>
      <c r="R1047" s="19"/>
      <c r="S1047" s="19"/>
      <c r="T1047" s="34" t="str">
        <f aca="false">IF($R1047="","",IFERROR(INDEX(DriverCategory,MATCH($R1047,DriverList,0)),"BAU"))</f>
        <v/>
      </c>
      <c r="U1047" s="34" t="str">
        <f aca="false">IF($R1047="","",IFERROR(INDEX(DriverRank,MATCH($R1047,DriverList,0)),99))</f>
        <v/>
      </c>
      <c r="V1047" s="35" t="n">
        <f aca="false">IF($H1047="",0,IFERROR(INDEX(LevelBasic,MATCH($H1047,LevelList,0))+INDEX(LevelHousing,MATCH($H1047,LevelList,0))+INDEX(LevelTransport,MATCH($H1047,LevelList,0))+INDEX(LevelBasic,MATCH($H1047,LevelList,0))*INDEX(LevelBonus,MATCH($H1047,LevelList,0))+(INDEX(LevelBasic,MATCH($H1047,LevelList,0))+INDEX(LevelHousing,MATCH($H1047,LevelList,0)))*GosiSaudi,0))</f>
        <v>0</v>
      </c>
      <c r="W1047" s="35" t="n">
        <f aca="false">IFERROR(INDEX(LevelOneOff,MATCH($H1047,LevelList,0)),0)</f>
        <v>0</v>
      </c>
      <c r="X1047" s="35" t="str">
        <f aca="false">IF($G1047="","",$V1047*N($L1047))</f>
        <v/>
      </c>
      <c r="Y1047" s="35" t="str">
        <f aca="false">IF($G1047="","",$V1047*(N($M1047)*1+N($N1047)*0.75+N($O1047)*0.5+N($P1047)*0.25)+$W1047*N($L1047))</f>
        <v/>
      </c>
      <c r="Z1047" s="35" t="str">
        <f aca="false">IF($G1047="","",$U1047*1000000+ROW())</f>
        <v/>
      </c>
      <c r="AA1047" s="36" t="str">
        <f aca="false">IF($G1047="","",MID(IF($C1047="",", no division","")&amp;IF($E1047="",", no unit","")&amp;IF($H1047="",", no career level","")&amp;IF(N($L1047)&lt;=0,", no quarter split","")&amp;IF($R1047="",", no driver","")&amp;IF(AND($H1047&lt;&gt;"",COUNTIF(CareerLevels,$H1047)=0),", a career level that is not on the ladder","")&amp;IF(AND($R1047&lt;&gt;"",COUNTIF(DriverList,$R1047)=0),", a driver that is not on the list","")&amp;IF(ABS(N($L1047)-(N($M1047)+N($N1047)+N($O1047)+N($P1047)))&gt;0.001,", a total that does not match its quarters",""),3,300))</f>
        <v/>
      </c>
    </row>
    <row r="1048" customFormat="false" ht="15" hidden="false" customHeight="false" outlineLevel="0" collapsed="false">
      <c r="A1048" s="33" t="str">
        <f aca="false">IF($G1048="","","Internal Audit Group")</f>
        <v/>
      </c>
      <c r="B1048" s="19"/>
      <c r="C1048" s="19"/>
      <c r="D1048" s="19"/>
      <c r="E1048" s="19"/>
      <c r="F1048" s="19"/>
      <c r="G1048" s="19"/>
      <c r="H1048" s="19"/>
      <c r="I1048" s="19"/>
      <c r="J1048" s="19"/>
      <c r="K1048" s="19"/>
      <c r="L1048" s="19"/>
      <c r="M1048" s="19"/>
      <c r="N1048" s="19"/>
      <c r="O1048" s="19"/>
      <c r="P1048" s="19"/>
      <c r="Q1048" s="19"/>
      <c r="R1048" s="19"/>
      <c r="S1048" s="19"/>
      <c r="T1048" s="34" t="str">
        <f aca="false">IF($R1048="","",IFERROR(INDEX(DriverCategory,MATCH($R1048,DriverList,0)),"BAU"))</f>
        <v/>
      </c>
      <c r="U1048" s="34" t="str">
        <f aca="false">IF($R1048="","",IFERROR(INDEX(DriverRank,MATCH($R1048,DriverList,0)),99))</f>
        <v/>
      </c>
      <c r="V1048" s="35" t="n">
        <f aca="false">IF($H1048="",0,IFERROR(INDEX(LevelBasic,MATCH($H1048,LevelList,0))+INDEX(LevelHousing,MATCH($H1048,LevelList,0))+INDEX(LevelTransport,MATCH($H1048,LevelList,0))+INDEX(LevelBasic,MATCH($H1048,LevelList,0))*INDEX(LevelBonus,MATCH($H1048,LevelList,0))+(INDEX(LevelBasic,MATCH($H1048,LevelList,0))+INDEX(LevelHousing,MATCH($H1048,LevelList,0)))*GosiSaudi,0))</f>
        <v>0</v>
      </c>
      <c r="W1048" s="35" t="n">
        <f aca="false">IFERROR(INDEX(LevelOneOff,MATCH($H1048,LevelList,0)),0)</f>
        <v>0</v>
      </c>
      <c r="X1048" s="35" t="str">
        <f aca="false">IF($G1048="","",$V1048*N($L1048))</f>
        <v/>
      </c>
      <c r="Y1048" s="35" t="str">
        <f aca="false">IF($G1048="","",$V1048*(N($M1048)*1+N($N1048)*0.75+N($O1048)*0.5+N($P1048)*0.25)+$W1048*N($L1048))</f>
        <v/>
      </c>
      <c r="Z1048" s="35" t="str">
        <f aca="false">IF($G1048="","",$U1048*1000000+ROW())</f>
        <v/>
      </c>
      <c r="AA1048" s="36" t="str">
        <f aca="false">IF($G1048="","",MID(IF($C1048="",", no division","")&amp;IF($E1048="",", no unit","")&amp;IF($H1048="",", no career level","")&amp;IF(N($L1048)&lt;=0,", no quarter split","")&amp;IF($R1048="",", no driver","")&amp;IF(AND($H1048&lt;&gt;"",COUNTIF(CareerLevels,$H1048)=0),", a career level that is not on the ladder","")&amp;IF(AND($R1048&lt;&gt;"",COUNTIF(DriverList,$R1048)=0),", a driver that is not on the list","")&amp;IF(ABS(N($L1048)-(N($M1048)+N($N1048)+N($O1048)+N($P1048)))&gt;0.001,", a total that does not match its quarters",""),3,300))</f>
        <v/>
      </c>
    </row>
    <row r="1049" customFormat="false" ht="15" hidden="false" customHeight="false" outlineLevel="0" collapsed="false">
      <c r="A1049" s="33" t="str">
        <f aca="false">IF($G1049="","","Internal Audit Group")</f>
        <v/>
      </c>
      <c r="B1049" s="19"/>
      <c r="C1049" s="19"/>
      <c r="D1049" s="19"/>
      <c r="E1049" s="19"/>
      <c r="F1049" s="19"/>
      <c r="G1049" s="19"/>
      <c r="H1049" s="19"/>
      <c r="I1049" s="19"/>
      <c r="J1049" s="19"/>
      <c r="K1049" s="19"/>
      <c r="L1049" s="19"/>
      <c r="M1049" s="19"/>
      <c r="N1049" s="19"/>
      <c r="O1049" s="19"/>
      <c r="P1049" s="19"/>
      <c r="Q1049" s="19"/>
      <c r="R1049" s="19"/>
      <c r="S1049" s="19"/>
      <c r="T1049" s="34" t="str">
        <f aca="false">IF($R1049="","",IFERROR(INDEX(DriverCategory,MATCH($R1049,DriverList,0)),"BAU"))</f>
        <v/>
      </c>
      <c r="U1049" s="34" t="str">
        <f aca="false">IF($R1049="","",IFERROR(INDEX(DriverRank,MATCH($R1049,DriverList,0)),99))</f>
        <v/>
      </c>
      <c r="V1049" s="35" t="n">
        <f aca="false">IF($H1049="",0,IFERROR(INDEX(LevelBasic,MATCH($H1049,LevelList,0))+INDEX(LevelHousing,MATCH($H1049,LevelList,0))+INDEX(LevelTransport,MATCH($H1049,LevelList,0))+INDEX(LevelBasic,MATCH($H1049,LevelList,0))*INDEX(LevelBonus,MATCH($H1049,LevelList,0))+(INDEX(LevelBasic,MATCH($H1049,LevelList,0))+INDEX(LevelHousing,MATCH($H1049,LevelList,0)))*GosiSaudi,0))</f>
        <v>0</v>
      </c>
      <c r="W1049" s="35" t="n">
        <f aca="false">IFERROR(INDEX(LevelOneOff,MATCH($H1049,LevelList,0)),0)</f>
        <v>0</v>
      </c>
      <c r="X1049" s="35" t="str">
        <f aca="false">IF($G1049="","",$V1049*N($L1049))</f>
        <v/>
      </c>
      <c r="Y1049" s="35" t="str">
        <f aca="false">IF($G1049="","",$V1049*(N($M1049)*1+N($N1049)*0.75+N($O1049)*0.5+N($P1049)*0.25)+$W1049*N($L1049))</f>
        <v/>
      </c>
      <c r="Z1049" s="35" t="str">
        <f aca="false">IF($G1049="","",$U1049*1000000+ROW())</f>
        <v/>
      </c>
      <c r="AA1049" s="36" t="str">
        <f aca="false">IF($G1049="","",MID(IF($C1049="",", no division","")&amp;IF($E1049="",", no unit","")&amp;IF($H1049="",", no career level","")&amp;IF(N($L1049)&lt;=0,", no quarter split","")&amp;IF($R1049="",", no driver","")&amp;IF(AND($H1049&lt;&gt;"",COUNTIF(CareerLevels,$H1049)=0),", a career level that is not on the ladder","")&amp;IF(AND($R1049&lt;&gt;"",COUNTIF(DriverList,$R1049)=0),", a driver that is not on the list","")&amp;IF(ABS(N($L1049)-(N($M1049)+N($N1049)+N($O1049)+N($P1049)))&gt;0.001,", a total that does not match its quarters",""),3,300))</f>
        <v/>
      </c>
    </row>
    <row r="1050" customFormat="false" ht="15" hidden="false" customHeight="false" outlineLevel="0" collapsed="false">
      <c r="A1050" s="33" t="str">
        <f aca="false">IF($G1050="","","Internal Audit Group")</f>
        <v/>
      </c>
      <c r="B1050" s="19"/>
      <c r="C1050" s="19"/>
      <c r="D1050" s="19"/>
      <c r="E1050" s="19"/>
      <c r="F1050" s="19"/>
      <c r="G1050" s="19"/>
      <c r="H1050" s="19"/>
      <c r="I1050" s="19"/>
      <c r="J1050" s="19"/>
      <c r="K1050" s="19"/>
      <c r="L1050" s="19"/>
      <c r="M1050" s="19"/>
      <c r="N1050" s="19"/>
      <c r="O1050" s="19"/>
      <c r="P1050" s="19"/>
      <c r="Q1050" s="19"/>
      <c r="R1050" s="19"/>
      <c r="S1050" s="19"/>
      <c r="T1050" s="34" t="str">
        <f aca="false">IF($R1050="","",IFERROR(INDEX(DriverCategory,MATCH($R1050,DriverList,0)),"BAU"))</f>
        <v/>
      </c>
      <c r="U1050" s="34" t="str">
        <f aca="false">IF($R1050="","",IFERROR(INDEX(DriverRank,MATCH($R1050,DriverList,0)),99))</f>
        <v/>
      </c>
      <c r="V1050" s="35" t="n">
        <f aca="false">IF($H1050="",0,IFERROR(INDEX(LevelBasic,MATCH($H1050,LevelList,0))+INDEX(LevelHousing,MATCH($H1050,LevelList,0))+INDEX(LevelTransport,MATCH($H1050,LevelList,0))+INDEX(LevelBasic,MATCH($H1050,LevelList,0))*INDEX(LevelBonus,MATCH($H1050,LevelList,0))+(INDEX(LevelBasic,MATCH($H1050,LevelList,0))+INDEX(LevelHousing,MATCH($H1050,LevelList,0)))*GosiSaudi,0))</f>
        <v>0</v>
      </c>
      <c r="W1050" s="35" t="n">
        <f aca="false">IFERROR(INDEX(LevelOneOff,MATCH($H1050,LevelList,0)),0)</f>
        <v>0</v>
      </c>
      <c r="X1050" s="35" t="str">
        <f aca="false">IF($G1050="","",$V1050*N($L1050))</f>
        <v/>
      </c>
      <c r="Y1050" s="35" t="str">
        <f aca="false">IF($G1050="","",$V1050*(N($M1050)*1+N($N1050)*0.75+N($O1050)*0.5+N($P1050)*0.25)+$W1050*N($L1050))</f>
        <v/>
      </c>
      <c r="Z1050" s="35" t="str">
        <f aca="false">IF($G1050="","",$U1050*1000000+ROW())</f>
        <v/>
      </c>
      <c r="AA1050" s="36" t="str">
        <f aca="false">IF($G1050="","",MID(IF($C1050="",", no division","")&amp;IF($E1050="",", no unit","")&amp;IF($H1050="",", no career level","")&amp;IF(N($L1050)&lt;=0,", no quarter split","")&amp;IF($R1050="",", no driver","")&amp;IF(AND($H1050&lt;&gt;"",COUNTIF(CareerLevels,$H1050)=0),", a career level that is not on the ladder","")&amp;IF(AND($R1050&lt;&gt;"",COUNTIF(DriverList,$R1050)=0),", a driver that is not on the list","")&amp;IF(ABS(N($L1050)-(N($M1050)+N($N1050)+N($O1050)+N($P1050)))&gt;0.001,", a total that does not match its quarters",""),3,300))</f>
        <v/>
      </c>
    </row>
    <row r="1051" customFormat="false" ht="15" hidden="false" customHeight="false" outlineLevel="0" collapsed="false">
      <c r="A1051" s="33" t="str">
        <f aca="false">IF($G1051="","","Internal Audit Group")</f>
        <v/>
      </c>
      <c r="B1051" s="19"/>
      <c r="C1051" s="19"/>
      <c r="D1051" s="19"/>
      <c r="E1051" s="19"/>
      <c r="F1051" s="19"/>
      <c r="G1051" s="19"/>
      <c r="H1051" s="19"/>
      <c r="I1051" s="19"/>
      <c r="J1051" s="19"/>
      <c r="K1051" s="19"/>
      <c r="L1051" s="19"/>
      <c r="M1051" s="19"/>
      <c r="N1051" s="19"/>
      <c r="O1051" s="19"/>
      <c r="P1051" s="19"/>
      <c r="Q1051" s="19"/>
      <c r="R1051" s="19"/>
      <c r="S1051" s="19"/>
      <c r="T1051" s="34" t="str">
        <f aca="false">IF($R1051="","",IFERROR(INDEX(DriverCategory,MATCH($R1051,DriverList,0)),"BAU"))</f>
        <v/>
      </c>
      <c r="U1051" s="34" t="str">
        <f aca="false">IF($R1051="","",IFERROR(INDEX(DriverRank,MATCH($R1051,DriverList,0)),99))</f>
        <v/>
      </c>
      <c r="V1051" s="35" t="n">
        <f aca="false">IF($H1051="",0,IFERROR(INDEX(LevelBasic,MATCH($H1051,LevelList,0))+INDEX(LevelHousing,MATCH($H1051,LevelList,0))+INDEX(LevelTransport,MATCH($H1051,LevelList,0))+INDEX(LevelBasic,MATCH($H1051,LevelList,0))*INDEX(LevelBonus,MATCH($H1051,LevelList,0))+(INDEX(LevelBasic,MATCH($H1051,LevelList,0))+INDEX(LevelHousing,MATCH($H1051,LevelList,0)))*GosiSaudi,0))</f>
        <v>0</v>
      </c>
      <c r="W1051" s="35" t="n">
        <f aca="false">IFERROR(INDEX(LevelOneOff,MATCH($H1051,LevelList,0)),0)</f>
        <v>0</v>
      </c>
      <c r="X1051" s="35" t="str">
        <f aca="false">IF($G1051="","",$V1051*N($L1051))</f>
        <v/>
      </c>
      <c r="Y1051" s="35" t="str">
        <f aca="false">IF($G1051="","",$V1051*(N($M1051)*1+N($N1051)*0.75+N($O1051)*0.5+N($P1051)*0.25)+$W1051*N($L1051))</f>
        <v/>
      </c>
      <c r="Z1051" s="35" t="str">
        <f aca="false">IF($G1051="","",$U1051*1000000+ROW())</f>
        <v/>
      </c>
      <c r="AA1051" s="36" t="str">
        <f aca="false">IF($G1051="","",MID(IF($C1051="",", no division","")&amp;IF($E1051="",", no unit","")&amp;IF($H1051="",", no career level","")&amp;IF(N($L1051)&lt;=0,", no quarter split","")&amp;IF($R1051="",", no driver","")&amp;IF(AND($H1051&lt;&gt;"",COUNTIF(CareerLevels,$H1051)=0),", a career level that is not on the ladder","")&amp;IF(AND($R1051&lt;&gt;"",COUNTIF(DriverList,$R1051)=0),", a driver that is not on the list","")&amp;IF(ABS(N($L1051)-(N($M1051)+N($N1051)+N($O1051)+N($P1051)))&gt;0.001,", a total that does not match its quarters",""),3,300))</f>
        <v/>
      </c>
    </row>
    <row r="1052" customFormat="false" ht="15" hidden="false" customHeight="false" outlineLevel="0" collapsed="false">
      <c r="A1052" s="33" t="str">
        <f aca="false">IF($G1052="","","Internal Audit Group")</f>
        <v/>
      </c>
      <c r="B1052" s="19"/>
      <c r="C1052" s="19"/>
      <c r="D1052" s="19"/>
      <c r="E1052" s="19"/>
      <c r="F1052" s="19"/>
      <c r="G1052" s="19"/>
      <c r="H1052" s="19"/>
      <c r="I1052" s="19"/>
      <c r="J1052" s="19"/>
      <c r="K1052" s="19"/>
      <c r="L1052" s="19"/>
      <c r="M1052" s="19"/>
      <c r="N1052" s="19"/>
      <c r="O1052" s="19"/>
      <c r="P1052" s="19"/>
      <c r="Q1052" s="19"/>
      <c r="R1052" s="19"/>
      <c r="S1052" s="19"/>
      <c r="T1052" s="34" t="str">
        <f aca="false">IF($R1052="","",IFERROR(INDEX(DriverCategory,MATCH($R1052,DriverList,0)),"BAU"))</f>
        <v/>
      </c>
      <c r="U1052" s="34" t="str">
        <f aca="false">IF($R1052="","",IFERROR(INDEX(DriverRank,MATCH($R1052,DriverList,0)),99))</f>
        <v/>
      </c>
      <c r="V1052" s="35" t="n">
        <f aca="false">IF($H1052="",0,IFERROR(INDEX(LevelBasic,MATCH($H1052,LevelList,0))+INDEX(LevelHousing,MATCH($H1052,LevelList,0))+INDEX(LevelTransport,MATCH($H1052,LevelList,0))+INDEX(LevelBasic,MATCH($H1052,LevelList,0))*INDEX(LevelBonus,MATCH($H1052,LevelList,0))+(INDEX(LevelBasic,MATCH($H1052,LevelList,0))+INDEX(LevelHousing,MATCH($H1052,LevelList,0)))*GosiSaudi,0))</f>
        <v>0</v>
      </c>
      <c r="W1052" s="35" t="n">
        <f aca="false">IFERROR(INDEX(LevelOneOff,MATCH($H1052,LevelList,0)),0)</f>
        <v>0</v>
      </c>
      <c r="X1052" s="35" t="str">
        <f aca="false">IF($G1052="","",$V1052*N($L1052))</f>
        <v/>
      </c>
      <c r="Y1052" s="35" t="str">
        <f aca="false">IF($G1052="","",$V1052*(N($M1052)*1+N($N1052)*0.75+N($O1052)*0.5+N($P1052)*0.25)+$W1052*N($L1052))</f>
        <v/>
      </c>
      <c r="Z1052" s="35" t="str">
        <f aca="false">IF($G1052="","",$U1052*1000000+ROW())</f>
        <v/>
      </c>
      <c r="AA1052" s="36" t="str">
        <f aca="false">IF($G1052="","",MID(IF($C1052="",", no division","")&amp;IF($E1052="",", no unit","")&amp;IF($H1052="",", no career level","")&amp;IF(N($L1052)&lt;=0,", no quarter split","")&amp;IF($R1052="",", no driver","")&amp;IF(AND($H1052&lt;&gt;"",COUNTIF(CareerLevels,$H1052)=0),", a career level that is not on the ladder","")&amp;IF(AND($R1052&lt;&gt;"",COUNTIF(DriverList,$R1052)=0),", a driver that is not on the list","")&amp;IF(ABS(N($L1052)-(N($M1052)+N($N1052)+N($O1052)+N($P1052)))&gt;0.001,", a total that does not match its quarters",""),3,300))</f>
        <v/>
      </c>
    </row>
    <row r="1053" customFormat="false" ht="15" hidden="false" customHeight="false" outlineLevel="0" collapsed="false">
      <c r="A1053" s="33" t="str">
        <f aca="false">IF($G1053="","","Internal Audit Group")</f>
        <v/>
      </c>
      <c r="B1053" s="19"/>
      <c r="C1053" s="19"/>
      <c r="D1053" s="19"/>
      <c r="E1053" s="19"/>
      <c r="F1053" s="19"/>
      <c r="G1053" s="19"/>
      <c r="H1053" s="19"/>
      <c r="I1053" s="19"/>
      <c r="J1053" s="19"/>
      <c r="K1053" s="19"/>
      <c r="L1053" s="19"/>
      <c r="M1053" s="19"/>
      <c r="N1053" s="19"/>
      <c r="O1053" s="19"/>
      <c r="P1053" s="19"/>
      <c r="Q1053" s="19"/>
      <c r="R1053" s="19"/>
      <c r="S1053" s="19"/>
      <c r="T1053" s="34" t="str">
        <f aca="false">IF($R1053="","",IFERROR(INDEX(DriverCategory,MATCH($R1053,DriverList,0)),"BAU"))</f>
        <v/>
      </c>
      <c r="U1053" s="34" t="str">
        <f aca="false">IF($R1053="","",IFERROR(INDEX(DriverRank,MATCH($R1053,DriverList,0)),99))</f>
        <v/>
      </c>
      <c r="V1053" s="35" t="n">
        <f aca="false">IF($H1053="",0,IFERROR(INDEX(LevelBasic,MATCH($H1053,LevelList,0))+INDEX(LevelHousing,MATCH($H1053,LevelList,0))+INDEX(LevelTransport,MATCH($H1053,LevelList,0))+INDEX(LevelBasic,MATCH($H1053,LevelList,0))*INDEX(LevelBonus,MATCH($H1053,LevelList,0))+(INDEX(LevelBasic,MATCH($H1053,LevelList,0))+INDEX(LevelHousing,MATCH($H1053,LevelList,0)))*GosiSaudi,0))</f>
        <v>0</v>
      </c>
      <c r="W1053" s="35" t="n">
        <f aca="false">IFERROR(INDEX(LevelOneOff,MATCH($H1053,LevelList,0)),0)</f>
        <v>0</v>
      </c>
      <c r="X1053" s="35" t="str">
        <f aca="false">IF($G1053="","",$V1053*N($L1053))</f>
        <v/>
      </c>
      <c r="Y1053" s="35" t="str">
        <f aca="false">IF($G1053="","",$V1053*(N($M1053)*1+N($N1053)*0.75+N($O1053)*0.5+N($P1053)*0.25)+$W1053*N($L1053))</f>
        <v/>
      </c>
      <c r="Z1053" s="35" t="str">
        <f aca="false">IF($G1053="","",$U1053*1000000+ROW())</f>
        <v/>
      </c>
      <c r="AA1053" s="36" t="str">
        <f aca="false">IF($G1053="","",MID(IF($C1053="",", no division","")&amp;IF($E1053="",", no unit","")&amp;IF($H1053="",", no career level","")&amp;IF(N($L1053)&lt;=0,", no quarter split","")&amp;IF($R1053="",", no driver","")&amp;IF(AND($H1053&lt;&gt;"",COUNTIF(CareerLevels,$H1053)=0),", a career level that is not on the ladder","")&amp;IF(AND($R1053&lt;&gt;"",COUNTIF(DriverList,$R1053)=0),", a driver that is not on the list","")&amp;IF(ABS(N($L1053)-(N($M1053)+N($N1053)+N($O1053)+N($P1053)))&gt;0.001,", a total that does not match its quarters",""),3,300))</f>
        <v/>
      </c>
    </row>
    <row r="1054" customFormat="false" ht="15" hidden="false" customHeight="false" outlineLevel="0" collapsed="false">
      <c r="A1054" s="33" t="str">
        <f aca="false">IF($G1054="","","Internal Audit Group")</f>
        <v/>
      </c>
      <c r="B1054" s="19"/>
      <c r="C1054" s="19"/>
      <c r="D1054" s="19"/>
      <c r="E1054" s="19"/>
      <c r="F1054" s="19"/>
      <c r="G1054" s="19"/>
      <c r="H1054" s="19"/>
      <c r="I1054" s="19"/>
      <c r="J1054" s="19"/>
      <c r="K1054" s="19"/>
      <c r="L1054" s="19"/>
      <c r="M1054" s="19"/>
      <c r="N1054" s="19"/>
      <c r="O1054" s="19"/>
      <c r="P1054" s="19"/>
      <c r="Q1054" s="19"/>
      <c r="R1054" s="19"/>
      <c r="S1054" s="19"/>
      <c r="T1054" s="34" t="str">
        <f aca="false">IF($R1054="","",IFERROR(INDEX(DriverCategory,MATCH($R1054,DriverList,0)),"BAU"))</f>
        <v/>
      </c>
      <c r="U1054" s="34" t="str">
        <f aca="false">IF($R1054="","",IFERROR(INDEX(DriverRank,MATCH($R1054,DriverList,0)),99))</f>
        <v/>
      </c>
      <c r="V1054" s="35" t="n">
        <f aca="false">IF($H1054="",0,IFERROR(INDEX(LevelBasic,MATCH($H1054,LevelList,0))+INDEX(LevelHousing,MATCH($H1054,LevelList,0))+INDEX(LevelTransport,MATCH($H1054,LevelList,0))+INDEX(LevelBasic,MATCH($H1054,LevelList,0))*INDEX(LevelBonus,MATCH($H1054,LevelList,0))+(INDEX(LevelBasic,MATCH($H1054,LevelList,0))+INDEX(LevelHousing,MATCH($H1054,LevelList,0)))*GosiSaudi,0))</f>
        <v>0</v>
      </c>
      <c r="W1054" s="35" t="n">
        <f aca="false">IFERROR(INDEX(LevelOneOff,MATCH($H1054,LevelList,0)),0)</f>
        <v>0</v>
      </c>
      <c r="X1054" s="35" t="str">
        <f aca="false">IF($G1054="","",$V1054*N($L1054))</f>
        <v/>
      </c>
      <c r="Y1054" s="35" t="str">
        <f aca="false">IF($G1054="","",$V1054*(N($M1054)*1+N($N1054)*0.75+N($O1054)*0.5+N($P1054)*0.25)+$W1054*N($L1054))</f>
        <v/>
      </c>
      <c r="Z1054" s="35" t="str">
        <f aca="false">IF($G1054="","",$U1054*1000000+ROW())</f>
        <v/>
      </c>
      <c r="AA1054" s="36" t="str">
        <f aca="false">IF($G1054="","",MID(IF($C1054="",", no division","")&amp;IF($E1054="",", no unit","")&amp;IF($H1054="",", no career level","")&amp;IF(N($L1054)&lt;=0,", no quarter split","")&amp;IF($R1054="",", no driver","")&amp;IF(AND($H1054&lt;&gt;"",COUNTIF(CareerLevels,$H1054)=0),", a career level that is not on the ladder","")&amp;IF(AND($R1054&lt;&gt;"",COUNTIF(DriverList,$R1054)=0),", a driver that is not on the list","")&amp;IF(ABS(N($L1054)-(N($M1054)+N($N1054)+N($O1054)+N($P1054)))&gt;0.001,", a total that does not match its quarters",""),3,300))</f>
        <v/>
      </c>
    </row>
    <row r="1055" customFormat="false" ht="15" hidden="false" customHeight="false" outlineLevel="0" collapsed="false">
      <c r="A1055" s="33" t="str">
        <f aca="false">IF($G1055="","","Internal Audit Group")</f>
        <v/>
      </c>
      <c r="B1055" s="19"/>
      <c r="C1055" s="19"/>
      <c r="D1055" s="19"/>
      <c r="E1055" s="19"/>
      <c r="F1055" s="19"/>
      <c r="G1055" s="19"/>
      <c r="H1055" s="19"/>
      <c r="I1055" s="19"/>
      <c r="J1055" s="19"/>
      <c r="K1055" s="19"/>
      <c r="L1055" s="19"/>
      <c r="M1055" s="19"/>
      <c r="N1055" s="19"/>
      <c r="O1055" s="19"/>
      <c r="P1055" s="19"/>
      <c r="Q1055" s="19"/>
      <c r="R1055" s="19"/>
      <c r="S1055" s="19"/>
      <c r="T1055" s="34" t="str">
        <f aca="false">IF($R1055="","",IFERROR(INDEX(DriverCategory,MATCH($R1055,DriverList,0)),"BAU"))</f>
        <v/>
      </c>
      <c r="U1055" s="34" t="str">
        <f aca="false">IF($R1055="","",IFERROR(INDEX(DriverRank,MATCH($R1055,DriverList,0)),99))</f>
        <v/>
      </c>
      <c r="V1055" s="35" t="n">
        <f aca="false">IF($H1055="",0,IFERROR(INDEX(LevelBasic,MATCH($H1055,LevelList,0))+INDEX(LevelHousing,MATCH($H1055,LevelList,0))+INDEX(LevelTransport,MATCH($H1055,LevelList,0))+INDEX(LevelBasic,MATCH($H1055,LevelList,0))*INDEX(LevelBonus,MATCH($H1055,LevelList,0))+(INDEX(LevelBasic,MATCH($H1055,LevelList,0))+INDEX(LevelHousing,MATCH($H1055,LevelList,0)))*GosiSaudi,0))</f>
        <v>0</v>
      </c>
      <c r="W1055" s="35" t="n">
        <f aca="false">IFERROR(INDEX(LevelOneOff,MATCH($H1055,LevelList,0)),0)</f>
        <v>0</v>
      </c>
      <c r="X1055" s="35" t="str">
        <f aca="false">IF($G1055="","",$V1055*N($L1055))</f>
        <v/>
      </c>
      <c r="Y1055" s="35" t="str">
        <f aca="false">IF($G1055="","",$V1055*(N($M1055)*1+N($N1055)*0.75+N($O1055)*0.5+N($P1055)*0.25)+$W1055*N($L1055))</f>
        <v/>
      </c>
      <c r="Z1055" s="35" t="str">
        <f aca="false">IF($G1055="","",$U1055*1000000+ROW())</f>
        <v/>
      </c>
      <c r="AA1055" s="36" t="str">
        <f aca="false">IF($G1055="","",MID(IF($C1055="",", no division","")&amp;IF($E1055="",", no unit","")&amp;IF($H1055="",", no career level","")&amp;IF(N($L1055)&lt;=0,", no quarter split","")&amp;IF($R1055="",", no driver","")&amp;IF(AND($H1055&lt;&gt;"",COUNTIF(CareerLevels,$H1055)=0),", a career level that is not on the ladder","")&amp;IF(AND($R1055&lt;&gt;"",COUNTIF(DriverList,$R1055)=0),", a driver that is not on the list","")&amp;IF(ABS(N($L1055)-(N($M1055)+N($N1055)+N($O1055)+N($P1055)))&gt;0.001,", a total that does not match its quarters",""),3,300))</f>
        <v/>
      </c>
    </row>
    <row r="1056" customFormat="false" ht="15" hidden="false" customHeight="false" outlineLevel="0" collapsed="false">
      <c r="A1056" s="33" t="str">
        <f aca="false">IF($G1056="","","Internal Audit Group")</f>
        <v/>
      </c>
      <c r="B1056" s="19"/>
      <c r="C1056" s="19"/>
      <c r="D1056" s="19"/>
      <c r="E1056" s="19"/>
      <c r="F1056" s="19"/>
      <c r="G1056" s="19"/>
      <c r="H1056" s="19"/>
      <c r="I1056" s="19"/>
      <c r="J1056" s="19"/>
      <c r="K1056" s="19"/>
      <c r="L1056" s="19"/>
      <c r="M1056" s="19"/>
      <c r="N1056" s="19"/>
      <c r="O1056" s="19"/>
      <c r="P1056" s="19"/>
      <c r="Q1056" s="19"/>
      <c r="R1056" s="19"/>
      <c r="S1056" s="19"/>
      <c r="T1056" s="34" t="str">
        <f aca="false">IF($R1056="","",IFERROR(INDEX(DriverCategory,MATCH($R1056,DriverList,0)),"BAU"))</f>
        <v/>
      </c>
      <c r="U1056" s="34" t="str">
        <f aca="false">IF($R1056="","",IFERROR(INDEX(DriverRank,MATCH($R1056,DriverList,0)),99))</f>
        <v/>
      </c>
      <c r="V1056" s="35" t="n">
        <f aca="false">IF($H1056="",0,IFERROR(INDEX(LevelBasic,MATCH($H1056,LevelList,0))+INDEX(LevelHousing,MATCH($H1056,LevelList,0))+INDEX(LevelTransport,MATCH($H1056,LevelList,0))+INDEX(LevelBasic,MATCH($H1056,LevelList,0))*INDEX(LevelBonus,MATCH($H1056,LevelList,0))+(INDEX(LevelBasic,MATCH($H1056,LevelList,0))+INDEX(LevelHousing,MATCH($H1056,LevelList,0)))*GosiSaudi,0))</f>
        <v>0</v>
      </c>
      <c r="W1056" s="35" t="n">
        <f aca="false">IFERROR(INDEX(LevelOneOff,MATCH($H1056,LevelList,0)),0)</f>
        <v>0</v>
      </c>
      <c r="X1056" s="35" t="str">
        <f aca="false">IF($G1056="","",$V1056*N($L1056))</f>
        <v/>
      </c>
      <c r="Y1056" s="35" t="str">
        <f aca="false">IF($G1056="","",$V1056*(N($M1056)*1+N($N1056)*0.75+N($O1056)*0.5+N($P1056)*0.25)+$W1056*N($L1056))</f>
        <v/>
      </c>
      <c r="Z1056" s="35" t="str">
        <f aca="false">IF($G1056="","",$U1056*1000000+ROW())</f>
        <v/>
      </c>
      <c r="AA1056" s="36" t="str">
        <f aca="false">IF($G1056="","",MID(IF($C1056="",", no division","")&amp;IF($E1056="",", no unit","")&amp;IF($H1056="",", no career level","")&amp;IF(N($L1056)&lt;=0,", no quarter split","")&amp;IF($R1056="",", no driver","")&amp;IF(AND($H1056&lt;&gt;"",COUNTIF(CareerLevels,$H1056)=0),", a career level that is not on the ladder","")&amp;IF(AND($R1056&lt;&gt;"",COUNTIF(DriverList,$R1056)=0),", a driver that is not on the list","")&amp;IF(ABS(N($L1056)-(N($M1056)+N($N1056)+N($O1056)+N($P1056)))&gt;0.001,", a total that does not match its quarters",""),3,300))</f>
        <v/>
      </c>
    </row>
    <row r="1057" customFormat="false" ht="15" hidden="false" customHeight="false" outlineLevel="0" collapsed="false">
      <c r="A1057" s="33" t="str">
        <f aca="false">IF($G1057="","","Internal Audit Group")</f>
        <v/>
      </c>
      <c r="B1057" s="19"/>
      <c r="C1057" s="19"/>
      <c r="D1057" s="19"/>
      <c r="E1057" s="19"/>
      <c r="F1057" s="19"/>
      <c r="G1057" s="19"/>
      <c r="H1057" s="19"/>
      <c r="I1057" s="19"/>
      <c r="J1057" s="19"/>
      <c r="K1057" s="19"/>
      <c r="L1057" s="19"/>
      <c r="M1057" s="19"/>
      <c r="N1057" s="19"/>
      <c r="O1057" s="19"/>
      <c r="P1057" s="19"/>
      <c r="Q1057" s="19"/>
      <c r="R1057" s="19"/>
      <c r="S1057" s="19"/>
      <c r="T1057" s="34" t="str">
        <f aca="false">IF($R1057="","",IFERROR(INDEX(DriverCategory,MATCH($R1057,DriverList,0)),"BAU"))</f>
        <v/>
      </c>
      <c r="U1057" s="34" t="str">
        <f aca="false">IF($R1057="","",IFERROR(INDEX(DriverRank,MATCH($R1057,DriverList,0)),99))</f>
        <v/>
      </c>
      <c r="V1057" s="35" t="n">
        <f aca="false">IF($H1057="",0,IFERROR(INDEX(LevelBasic,MATCH($H1057,LevelList,0))+INDEX(LevelHousing,MATCH($H1057,LevelList,0))+INDEX(LevelTransport,MATCH($H1057,LevelList,0))+INDEX(LevelBasic,MATCH($H1057,LevelList,0))*INDEX(LevelBonus,MATCH($H1057,LevelList,0))+(INDEX(LevelBasic,MATCH($H1057,LevelList,0))+INDEX(LevelHousing,MATCH($H1057,LevelList,0)))*GosiSaudi,0))</f>
        <v>0</v>
      </c>
      <c r="W1057" s="35" t="n">
        <f aca="false">IFERROR(INDEX(LevelOneOff,MATCH($H1057,LevelList,0)),0)</f>
        <v>0</v>
      </c>
      <c r="X1057" s="35" t="str">
        <f aca="false">IF($G1057="","",$V1057*N($L1057))</f>
        <v/>
      </c>
      <c r="Y1057" s="35" t="str">
        <f aca="false">IF($G1057="","",$V1057*(N($M1057)*1+N($N1057)*0.75+N($O1057)*0.5+N($P1057)*0.25)+$W1057*N($L1057))</f>
        <v/>
      </c>
      <c r="Z1057" s="35" t="str">
        <f aca="false">IF($G1057="","",$U1057*1000000+ROW())</f>
        <v/>
      </c>
      <c r="AA1057" s="36" t="str">
        <f aca="false">IF($G1057="","",MID(IF($C1057="",", no division","")&amp;IF($E1057="",", no unit","")&amp;IF($H1057="",", no career level","")&amp;IF(N($L1057)&lt;=0,", no quarter split","")&amp;IF($R1057="",", no driver","")&amp;IF(AND($H1057&lt;&gt;"",COUNTIF(CareerLevels,$H1057)=0),", a career level that is not on the ladder","")&amp;IF(AND($R1057&lt;&gt;"",COUNTIF(DriverList,$R1057)=0),", a driver that is not on the list","")&amp;IF(ABS(N($L1057)-(N($M1057)+N($N1057)+N($O1057)+N($P1057)))&gt;0.001,", a total that does not match its quarters",""),3,300))</f>
        <v/>
      </c>
    </row>
    <row r="1058" customFormat="false" ht="15" hidden="false" customHeight="false" outlineLevel="0" collapsed="false">
      <c r="A1058" s="33" t="str">
        <f aca="false">IF($G1058="","","Internal Audit Group")</f>
        <v/>
      </c>
      <c r="B1058" s="19"/>
      <c r="C1058" s="19"/>
      <c r="D1058" s="19"/>
      <c r="E1058" s="19"/>
      <c r="F1058" s="19"/>
      <c r="G1058" s="19"/>
      <c r="H1058" s="19"/>
      <c r="I1058" s="19"/>
      <c r="J1058" s="19"/>
      <c r="K1058" s="19"/>
      <c r="L1058" s="19"/>
      <c r="M1058" s="19"/>
      <c r="N1058" s="19"/>
      <c r="O1058" s="19"/>
      <c r="P1058" s="19"/>
      <c r="Q1058" s="19"/>
      <c r="R1058" s="19"/>
      <c r="S1058" s="19"/>
      <c r="T1058" s="34" t="str">
        <f aca="false">IF($R1058="","",IFERROR(INDEX(DriverCategory,MATCH($R1058,DriverList,0)),"BAU"))</f>
        <v/>
      </c>
      <c r="U1058" s="34" t="str">
        <f aca="false">IF($R1058="","",IFERROR(INDEX(DriverRank,MATCH($R1058,DriverList,0)),99))</f>
        <v/>
      </c>
      <c r="V1058" s="35" t="n">
        <f aca="false">IF($H1058="",0,IFERROR(INDEX(LevelBasic,MATCH($H1058,LevelList,0))+INDEX(LevelHousing,MATCH($H1058,LevelList,0))+INDEX(LevelTransport,MATCH($H1058,LevelList,0))+INDEX(LevelBasic,MATCH($H1058,LevelList,0))*INDEX(LevelBonus,MATCH($H1058,LevelList,0))+(INDEX(LevelBasic,MATCH($H1058,LevelList,0))+INDEX(LevelHousing,MATCH($H1058,LevelList,0)))*GosiSaudi,0))</f>
        <v>0</v>
      </c>
      <c r="W1058" s="35" t="n">
        <f aca="false">IFERROR(INDEX(LevelOneOff,MATCH($H1058,LevelList,0)),0)</f>
        <v>0</v>
      </c>
      <c r="X1058" s="35" t="str">
        <f aca="false">IF($G1058="","",$V1058*N($L1058))</f>
        <v/>
      </c>
      <c r="Y1058" s="35" t="str">
        <f aca="false">IF($G1058="","",$V1058*(N($M1058)*1+N($N1058)*0.75+N($O1058)*0.5+N($P1058)*0.25)+$W1058*N($L1058))</f>
        <v/>
      </c>
      <c r="Z1058" s="35" t="str">
        <f aca="false">IF($G1058="","",$U1058*1000000+ROW())</f>
        <v/>
      </c>
      <c r="AA1058" s="36" t="str">
        <f aca="false">IF($G1058="","",MID(IF($C1058="",", no division","")&amp;IF($E1058="",", no unit","")&amp;IF($H1058="",", no career level","")&amp;IF(N($L1058)&lt;=0,", no quarter split","")&amp;IF($R1058="",", no driver","")&amp;IF(AND($H1058&lt;&gt;"",COUNTIF(CareerLevels,$H1058)=0),", a career level that is not on the ladder","")&amp;IF(AND($R1058&lt;&gt;"",COUNTIF(DriverList,$R1058)=0),", a driver that is not on the list","")&amp;IF(ABS(N($L1058)-(N($M1058)+N($N1058)+N($O1058)+N($P1058)))&gt;0.001,", a total that does not match its quarters",""),3,300))</f>
        <v/>
      </c>
    </row>
    <row r="1059" customFormat="false" ht="15" hidden="false" customHeight="false" outlineLevel="0" collapsed="false">
      <c r="A1059" s="33" t="str">
        <f aca="false">IF($G1059="","","Internal Audit Group")</f>
        <v/>
      </c>
      <c r="B1059" s="19"/>
      <c r="C1059" s="19"/>
      <c r="D1059" s="19"/>
      <c r="E1059" s="19"/>
      <c r="F1059" s="19"/>
      <c r="G1059" s="19"/>
      <c r="H1059" s="19"/>
      <c r="I1059" s="19"/>
      <c r="J1059" s="19"/>
      <c r="K1059" s="19"/>
      <c r="L1059" s="19"/>
      <c r="M1059" s="19"/>
      <c r="N1059" s="19"/>
      <c r="O1059" s="19"/>
      <c r="P1059" s="19"/>
      <c r="Q1059" s="19"/>
      <c r="R1059" s="19"/>
      <c r="S1059" s="19"/>
      <c r="T1059" s="34" t="str">
        <f aca="false">IF($R1059="","",IFERROR(INDEX(DriverCategory,MATCH($R1059,DriverList,0)),"BAU"))</f>
        <v/>
      </c>
      <c r="U1059" s="34" t="str">
        <f aca="false">IF($R1059="","",IFERROR(INDEX(DriverRank,MATCH($R1059,DriverList,0)),99))</f>
        <v/>
      </c>
      <c r="V1059" s="35" t="n">
        <f aca="false">IF($H1059="",0,IFERROR(INDEX(LevelBasic,MATCH($H1059,LevelList,0))+INDEX(LevelHousing,MATCH($H1059,LevelList,0))+INDEX(LevelTransport,MATCH($H1059,LevelList,0))+INDEX(LevelBasic,MATCH($H1059,LevelList,0))*INDEX(LevelBonus,MATCH($H1059,LevelList,0))+(INDEX(LevelBasic,MATCH($H1059,LevelList,0))+INDEX(LevelHousing,MATCH($H1059,LevelList,0)))*GosiSaudi,0))</f>
        <v>0</v>
      </c>
      <c r="W1059" s="35" t="n">
        <f aca="false">IFERROR(INDEX(LevelOneOff,MATCH($H1059,LevelList,0)),0)</f>
        <v>0</v>
      </c>
      <c r="X1059" s="35" t="str">
        <f aca="false">IF($G1059="","",$V1059*N($L1059))</f>
        <v/>
      </c>
      <c r="Y1059" s="35" t="str">
        <f aca="false">IF($G1059="","",$V1059*(N($M1059)*1+N($N1059)*0.75+N($O1059)*0.5+N($P1059)*0.25)+$W1059*N($L1059))</f>
        <v/>
      </c>
      <c r="Z1059" s="35" t="str">
        <f aca="false">IF($G1059="","",$U1059*1000000+ROW())</f>
        <v/>
      </c>
      <c r="AA1059" s="36" t="str">
        <f aca="false">IF($G1059="","",MID(IF($C1059="",", no division","")&amp;IF($E1059="",", no unit","")&amp;IF($H1059="",", no career level","")&amp;IF(N($L1059)&lt;=0,", no quarter split","")&amp;IF($R1059="",", no driver","")&amp;IF(AND($H1059&lt;&gt;"",COUNTIF(CareerLevels,$H1059)=0),", a career level that is not on the ladder","")&amp;IF(AND($R1059&lt;&gt;"",COUNTIF(DriverList,$R1059)=0),", a driver that is not on the list","")&amp;IF(ABS(N($L1059)-(N($M1059)+N($N1059)+N($O1059)+N($P1059)))&gt;0.001,", a total that does not match its quarters",""),3,300))</f>
        <v/>
      </c>
    </row>
    <row r="1060" customFormat="false" ht="15" hidden="false" customHeight="false" outlineLevel="0" collapsed="false">
      <c r="A1060" s="33" t="str">
        <f aca="false">IF($G1060="","","Internal Audit Group")</f>
        <v/>
      </c>
      <c r="B1060" s="19"/>
      <c r="C1060" s="19"/>
      <c r="D1060" s="19"/>
      <c r="E1060" s="19"/>
      <c r="F1060" s="19"/>
      <c r="G1060" s="19"/>
      <c r="H1060" s="19"/>
      <c r="I1060" s="19"/>
      <c r="J1060" s="19"/>
      <c r="K1060" s="19"/>
      <c r="L1060" s="19"/>
      <c r="M1060" s="19"/>
      <c r="N1060" s="19"/>
      <c r="O1060" s="19"/>
      <c r="P1060" s="19"/>
      <c r="Q1060" s="19"/>
      <c r="R1060" s="19"/>
      <c r="S1060" s="19"/>
      <c r="T1060" s="34" t="str">
        <f aca="false">IF($R1060="","",IFERROR(INDEX(DriverCategory,MATCH($R1060,DriverList,0)),"BAU"))</f>
        <v/>
      </c>
      <c r="U1060" s="34" t="str">
        <f aca="false">IF($R1060="","",IFERROR(INDEX(DriverRank,MATCH($R1060,DriverList,0)),99))</f>
        <v/>
      </c>
      <c r="V1060" s="35" t="n">
        <f aca="false">IF($H1060="",0,IFERROR(INDEX(LevelBasic,MATCH($H1060,LevelList,0))+INDEX(LevelHousing,MATCH($H1060,LevelList,0))+INDEX(LevelTransport,MATCH($H1060,LevelList,0))+INDEX(LevelBasic,MATCH($H1060,LevelList,0))*INDEX(LevelBonus,MATCH($H1060,LevelList,0))+(INDEX(LevelBasic,MATCH($H1060,LevelList,0))+INDEX(LevelHousing,MATCH($H1060,LevelList,0)))*GosiSaudi,0))</f>
        <v>0</v>
      </c>
      <c r="W1060" s="35" t="n">
        <f aca="false">IFERROR(INDEX(LevelOneOff,MATCH($H1060,LevelList,0)),0)</f>
        <v>0</v>
      </c>
      <c r="X1060" s="35" t="str">
        <f aca="false">IF($G1060="","",$V1060*N($L1060))</f>
        <v/>
      </c>
      <c r="Y1060" s="35" t="str">
        <f aca="false">IF($G1060="","",$V1060*(N($M1060)*1+N($N1060)*0.75+N($O1060)*0.5+N($P1060)*0.25)+$W1060*N($L1060))</f>
        <v/>
      </c>
      <c r="Z1060" s="35" t="str">
        <f aca="false">IF($G1060="","",$U1060*1000000+ROW())</f>
        <v/>
      </c>
      <c r="AA1060" s="36" t="str">
        <f aca="false">IF($G1060="","",MID(IF($C1060="",", no division","")&amp;IF($E1060="",", no unit","")&amp;IF($H1060="",", no career level","")&amp;IF(N($L1060)&lt;=0,", no quarter split","")&amp;IF($R1060="",", no driver","")&amp;IF(AND($H1060&lt;&gt;"",COUNTIF(CareerLevels,$H1060)=0),", a career level that is not on the ladder","")&amp;IF(AND($R1060&lt;&gt;"",COUNTIF(DriverList,$R1060)=0),", a driver that is not on the list","")&amp;IF(ABS(N($L1060)-(N($M1060)+N($N1060)+N($O1060)+N($P1060)))&gt;0.001,", a total that does not match its quarters",""),3,300))</f>
        <v/>
      </c>
    </row>
    <row r="1061" customFormat="false" ht="15" hidden="false" customHeight="false" outlineLevel="0" collapsed="false">
      <c r="A1061" s="33" t="str">
        <f aca="false">IF($G1061="","","Internal Audit Group")</f>
        <v/>
      </c>
      <c r="B1061" s="19"/>
      <c r="C1061" s="19"/>
      <c r="D1061" s="19"/>
      <c r="E1061" s="19"/>
      <c r="F1061" s="19"/>
      <c r="G1061" s="19"/>
      <c r="H1061" s="19"/>
      <c r="I1061" s="19"/>
      <c r="J1061" s="19"/>
      <c r="K1061" s="19"/>
      <c r="L1061" s="19"/>
      <c r="M1061" s="19"/>
      <c r="N1061" s="19"/>
      <c r="O1061" s="19"/>
      <c r="P1061" s="19"/>
      <c r="Q1061" s="19"/>
      <c r="R1061" s="19"/>
      <c r="S1061" s="19"/>
      <c r="T1061" s="34" t="str">
        <f aca="false">IF($R1061="","",IFERROR(INDEX(DriverCategory,MATCH($R1061,DriverList,0)),"BAU"))</f>
        <v/>
      </c>
      <c r="U1061" s="34" t="str">
        <f aca="false">IF($R1061="","",IFERROR(INDEX(DriverRank,MATCH($R1061,DriverList,0)),99))</f>
        <v/>
      </c>
      <c r="V1061" s="35" t="n">
        <f aca="false">IF($H1061="",0,IFERROR(INDEX(LevelBasic,MATCH($H1061,LevelList,0))+INDEX(LevelHousing,MATCH($H1061,LevelList,0))+INDEX(LevelTransport,MATCH($H1061,LevelList,0))+INDEX(LevelBasic,MATCH($H1061,LevelList,0))*INDEX(LevelBonus,MATCH($H1061,LevelList,0))+(INDEX(LevelBasic,MATCH($H1061,LevelList,0))+INDEX(LevelHousing,MATCH($H1061,LevelList,0)))*GosiSaudi,0))</f>
        <v>0</v>
      </c>
      <c r="W1061" s="35" t="n">
        <f aca="false">IFERROR(INDEX(LevelOneOff,MATCH($H1061,LevelList,0)),0)</f>
        <v>0</v>
      </c>
      <c r="X1061" s="35" t="str">
        <f aca="false">IF($G1061="","",$V1061*N($L1061))</f>
        <v/>
      </c>
      <c r="Y1061" s="35" t="str">
        <f aca="false">IF($G1061="","",$V1061*(N($M1061)*1+N($N1061)*0.75+N($O1061)*0.5+N($P1061)*0.25)+$W1061*N($L1061))</f>
        <v/>
      </c>
      <c r="Z1061" s="35" t="str">
        <f aca="false">IF($G1061="","",$U1061*1000000+ROW())</f>
        <v/>
      </c>
      <c r="AA1061" s="36" t="str">
        <f aca="false">IF($G1061="","",MID(IF($C1061="",", no division","")&amp;IF($E1061="",", no unit","")&amp;IF($H1061="",", no career level","")&amp;IF(N($L1061)&lt;=0,", no quarter split","")&amp;IF($R1061="",", no driver","")&amp;IF(AND($H1061&lt;&gt;"",COUNTIF(CareerLevels,$H1061)=0),", a career level that is not on the ladder","")&amp;IF(AND($R1061&lt;&gt;"",COUNTIF(DriverList,$R1061)=0),", a driver that is not on the list","")&amp;IF(ABS(N($L1061)-(N($M1061)+N($N1061)+N($O1061)+N($P1061)))&gt;0.001,", a total that does not match its quarters",""),3,300))</f>
        <v/>
      </c>
    </row>
    <row r="1062" customFormat="false" ht="15" hidden="false" customHeight="false" outlineLevel="0" collapsed="false">
      <c r="A1062" s="33" t="str">
        <f aca="false">IF($G1062="","","Internal Audit Group")</f>
        <v/>
      </c>
      <c r="B1062" s="19"/>
      <c r="C1062" s="19"/>
      <c r="D1062" s="19"/>
      <c r="E1062" s="19"/>
      <c r="F1062" s="19"/>
      <c r="G1062" s="19"/>
      <c r="H1062" s="19"/>
      <c r="I1062" s="19"/>
      <c r="J1062" s="19"/>
      <c r="K1062" s="19"/>
      <c r="L1062" s="19"/>
      <c r="M1062" s="19"/>
      <c r="N1062" s="19"/>
      <c r="O1062" s="19"/>
      <c r="P1062" s="19"/>
      <c r="Q1062" s="19"/>
      <c r="R1062" s="19"/>
      <c r="S1062" s="19"/>
      <c r="T1062" s="34" t="str">
        <f aca="false">IF($R1062="","",IFERROR(INDEX(DriverCategory,MATCH($R1062,DriverList,0)),"BAU"))</f>
        <v/>
      </c>
      <c r="U1062" s="34" t="str">
        <f aca="false">IF($R1062="","",IFERROR(INDEX(DriverRank,MATCH($R1062,DriverList,0)),99))</f>
        <v/>
      </c>
      <c r="V1062" s="35" t="n">
        <f aca="false">IF($H1062="",0,IFERROR(INDEX(LevelBasic,MATCH($H1062,LevelList,0))+INDEX(LevelHousing,MATCH($H1062,LevelList,0))+INDEX(LevelTransport,MATCH($H1062,LevelList,0))+INDEX(LevelBasic,MATCH($H1062,LevelList,0))*INDEX(LevelBonus,MATCH($H1062,LevelList,0))+(INDEX(LevelBasic,MATCH($H1062,LevelList,0))+INDEX(LevelHousing,MATCH($H1062,LevelList,0)))*GosiSaudi,0))</f>
        <v>0</v>
      </c>
      <c r="W1062" s="35" t="n">
        <f aca="false">IFERROR(INDEX(LevelOneOff,MATCH($H1062,LevelList,0)),0)</f>
        <v>0</v>
      </c>
      <c r="X1062" s="35" t="str">
        <f aca="false">IF($G1062="","",$V1062*N($L1062))</f>
        <v/>
      </c>
      <c r="Y1062" s="35" t="str">
        <f aca="false">IF($G1062="","",$V1062*(N($M1062)*1+N($N1062)*0.75+N($O1062)*0.5+N($P1062)*0.25)+$W1062*N($L1062))</f>
        <v/>
      </c>
      <c r="Z1062" s="35" t="str">
        <f aca="false">IF($G1062="","",$U1062*1000000+ROW())</f>
        <v/>
      </c>
      <c r="AA1062" s="36" t="str">
        <f aca="false">IF($G1062="","",MID(IF($C1062="",", no division","")&amp;IF($E1062="",", no unit","")&amp;IF($H1062="",", no career level","")&amp;IF(N($L1062)&lt;=0,", no quarter split","")&amp;IF($R1062="",", no driver","")&amp;IF(AND($H1062&lt;&gt;"",COUNTIF(CareerLevels,$H1062)=0),", a career level that is not on the ladder","")&amp;IF(AND($R1062&lt;&gt;"",COUNTIF(DriverList,$R1062)=0),", a driver that is not on the list","")&amp;IF(ABS(N($L1062)-(N($M1062)+N($N1062)+N($O1062)+N($P1062)))&gt;0.001,", a total that does not match its quarters",""),3,300))</f>
        <v/>
      </c>
    </row>
    <row r="1063" customFormat="false" ht="15" hidden="false" customHeight="false" outlineLevel="0" collapsed="false">
      <c r="A1063" s="33" t="str">
        <f aca="false">IF($G1063="","","Internal Audit Group")</f>
        <v/>
      </c>
      <c r="B1063" s="19"/>
      <c r="C1063" s="19"/>
      <c r="D1063" s="19"/>
      <c r="E1063" s="19"/>
      <c r="F1063" s="19"/>
      <c r="G1063" s="19"/>
      <c r="H1063" s="19"/>
      <c r="I1063" s="19"/>
      <c r="J1063" s="19"/>
      <c r="K1063" s="19"/>
      <c r="L1063" s="19"/>
      <c r="M1063" s="19"/>
      <c r="N1063" s="19"/>
      <c r="O1063" s="19"/>
      <c r="P1063" s="19"/>
      <c r="Q1063" s="19"/>
      <c r="R1063" s="19"/>
      <c r="S1063" s="19"/>
      <c r="T1063" s="34" t="str">
        <f aca="false">IF($R1063="","",IFERROR(INDEX(DriverCategory,MATCH($R1063,DriverList,0)),"BAU"))</f>
        <v/>
      </c>
      <c r="U1063" s="34" t="str">
        <f aca="false">IF($R1063="","",IFERROR(INDEX(DriverRank,MATCH($R1063,DriverList,0)),99))</f>
        <v/>
      </c>
      <c r="V1063" s="35" t="n">
        <f aca="false">IF($H1063="",0,IFERROR(INDEX(LevelBasic,MATCH($H1063,LevelList,0))+INDEX(LevelHousing,MATCH($H1063,LevelList,0))+INDEX(LevelTransport,MATCH($H1063,LevelList,0))+INDEX(LevelBasic,MATCH($H1063,LevelList,0))*INDEX(LevelBonus,MATCH($H1063,LevelList,0))+(INDEX(LevelBasic,MATCH($H1063,LevelList,0))+INDEX(LevelHousing,MATCH($H1063,LevelList,0)))*GosiSaudi,0))</f>
        <v>0</v>
      </c>
      <c r="W1063" s="35" t="n">
        <f aca="false">IFERROR(INDEX(LevelOneOff,MATCH($H1063,LevelList,0)),0)</f>
        <v>0</v>
      </c>
      <c r="X1063" s="35" t="str">
        <f aca="false">IF($G1063="","",$V1063*N($L1063))</f>
        <v/>
      </c>
      <c r="Y1063" s="35" t="str">
        <f aca="false">IF($G1063="","",$V1063*(N($M1063)*1+N($N1063)*0.75+N($O1063)*0.5+N($P1063)*0.25)+$W1063*N($L1063))</f>
        <v/>
      </c>
      <c r="Z1063" s="35" t="str">
        <f aca="false">IF($G1063="","",$U1063*1000000+ROW())</f>
        <v/>
      </c>
      <c r="AA1063" s="36" t="str">
        <f aca="false">IF($G1063="","",MID(IF($C1063="",", no division","")&amp;IF($E1063="",", no unit","")&amp;IF($H1063="",", no career level","")&amp;IF(N($L1063)&lt;=0,", no quarter split","")&amp;IF($R1063="",", no driver","")&amp;IF(AND($H1063&lt;&gt;"",COUNTIF(CareerLevels,$H1063)=0),", a career level that is not on the ladder","")&amp;IF(AND($R1063&lt;&gt;"",COUNTIF(DriverList,$R1063)=0),", a driver that is not on the list","")&amp;IF(ABS(N($L1063)-(N($M1063)+N($N1063)+N($O1063)+N($P1063)))&gt;0.001,", a total that does not match its quarters",""),3,300))</f>
        <v/>
      </c>
    </row>
    <row r="1064" customFormat="false" ht="15" hidden="false" customHeight="false" outlineLevel="0" collapsed="false">
      <c r="A1064" s="33" t="str">
        <f aca="false">IF($G1064="","","Internal Audit Group")</f>
        <v/>
      </c>
      <c r="B1064" s="19"/>
      <c r="C1064" s="19"/>
      <c r="D1064" s="19"/>
      <c r="E1064" s="19"/>
      <c r="F1064" s="19"/>
      <c r="G1064" s="19"/>
      <c r="H1064" s="19"/>
      <c r="I1064" s="19"/>
      <c r="J1064" s="19"/>
      <c r="K1064" s="19"/>
      <c r="L1064" s="19"/>
      <c r="M1064" s="19"/>
      <c r="N1064" s="19"/>
      <c r="O1064" s="19"/>
      <c r="P1064" s="19"/>
      <c r="Q1064" s="19"/>
      <c r="R1064" s="19"/>
      <c r="S1064" s="19"/>
      <c r="T1064" s="34" t="str">
        <f aca="false">IF($R1064="","",IFERROR(INDEX(DriverCategory,MATCH($R1064,DriverList,0)),"BAU"))</f>
        <v/>
      </c>
      <c r="U1064" s="34" t="str">
        <f aca="false">IF($R1064="","",IFERROR(INDEX(DriverRank,MATCH($R1064,DriverList,0)),99))</f>
        <v/>
      </c>
      <c r="V1064" s="35" t="n">
        <f aca="false">IF($H1064="",0,IFERROR(INDEX(LevelBasic,MATCH($H1064,LevelList,0))+INDEX(LevelHousing,MATCH($H1064,LevelList,0))+INDEX(LevelTransport,MATCH($H1064,LevelList,0))+INDEX(LevelBasic,MATCH($H1064,LevelList,0))*INDEX(LevelBonus,MATCH($H1064,LevelList,0))+(INDEX(LevelBasic,MATCH($H1064,LevelList,0))+INDEX(LevelHousing,MATCH($H1064,LevelList,0)))*GosiSaudi,0))</f>
        <v>0</v>
      </c>
      <c r="W1064" s="35" t="n">
        <f aca="false">IFERROR(INDEX(LevelOneOff,MATCH($H1064,LevelList,0)),0)</f>
        <v>0</v>
      </c>
      <c r="X1064" s="35" t="str">
        <f aca="false">IF($G1064="","",$V1064*N($L1064))</f>
        <v/>
      </c>
      <c r="Y1064" s="35" t="str">
        <f aca="false">IF($G1064="","",$V1064*(N($M1064)*1+N($N1064)*0.75+N($O1064)*0.5+N($P1064)*0.25)+$W1064*N($L1064))</f>
        <v/>
      </c>
      <c r="Z1064" s="35" t="str">
        <f aca="false">IF($G1064="","",$U1064*1000000+ROW())</f>
        <v/>
      </c>
      <c r="AA1064" s="36" t="str">
        <f aca="false">IF($G1064="","",MID(IF($C1064="",", no division","")&amp;IF($E1064="",", no unit","")&amp;IF($H1064="",", no career level","")&amp;IF(N($L1064)&lt;=0,", no quarter split","")&amp;IF($R1064="",", no driver","")&amp;IF(AND($H1064&lt;&gt;"",COUNTIF(CareerLevels,$H1064)=0),", a career level that is not on the ladder","")&amp;IF(AND($R1064&lt;&gt;"",COUNTIF(DriverList,$R1064)=0),", a driver that is not on the list","")&amp;IF(ABS(N($L1064)-(N($M1064)+N($N1064)+N($O1064)+N($P1064)))&gt;0.001,", a total that does not match its quarters",""),3,300))</f>
        <v/>
      </c>
    </row>
    <row r="1065" customFormat="false" ht="15" hidden="false" customHeight="false" outlineLevel="0" collapsed="false">
      <c r="A1065" s="33" t="str">
        <f aca="false">IF($G1065="","","Internal Audit Group")</f>
        <v/>
      </c>
      <c r="B1065" s="19"/>
      <c r="C1065" s="19"/>
      <c r="D1065" s="19"/>
      <c r="E1065" s="19"/>
      <c r="F1065" s="19"/>
      <c r="G1065" s="19"/>
      <c r="H1065" s="19"/>
      <c r="I1065" s="19"/>
      <c r="J1065" s="19"/>
      <c r="K1065" s="19"/>
      <c r="L1065" s="19"/>
      <c r="M1065" s="19"/>
      <c r="N1065" s="19"/>
      <c r="O1065" s="19"/>
      <c r="P1065" s="19"/>
      <c r="Q1065" s="19"/>
      <c r="R1065" s="19"/>
      <c r="S1065" s="19"/>
      <c r="T1065" s="34" t="str">
        <f aca="false">IF($R1065="","",IFERROR(INDEX(DriverCategory,MATCH($R1065,DriverList,0)),"BAU"))</f>
        <v/>
      </c>
      <c r="U1065" s="34" t="str">
        <f aca="false">IF($R1065="","",IFERROR(INDEX(DriverRank,MATCH($R1065,DriverList,0)),99))</f>
        <v/>
      </c>
      <c r="V1065" s="35" t="n">
        <f aca="false">IF($H1065="",0,IFERROR(INDEX(LevelBasic,MATCH($H1065,LevelList,0))+INDEX(LevelHousing,MATCH($H1065,LevelList,0))+INDEX(LevelTransport,MATCH($H1065,LevelList,0))+INDEX(LevelBasic,MATCH($H1065,LevelList,0))*INDEX(LevelBonus,MATCH($H1065,LevelList,0))+(INDEX(LevelBasic,MATCH($H1065,LevelList,0))+INDEX(LevelHousing,MATCH($H1065,LevelList,0)))*GosiSaudi,0))</f>
        <v>0</v>
      </c>
      <c r="W1065" s="35" t="n">
        <f aca="false">IFERROR(INDEX(LevelOneOff,MATCH($H1065,LevelList,0)),0)</f>
        <v>0</v>
      </c>
      <c r="X1065" s="35" t="str">
        <f aca="false">IF($G1065="","",$V1065*N($L1065))</f>
        <v/>
      </c>
      <c r="Y1065" s="35" t="str">
        <f aca="false">IF($G1065="","",$V1065*(N($M1065)*1+N($N1065)*0.75+N($O1065)*0.5+N($P1065)*0.25)+$W1065*N($L1065))</f>
        <v/>
      </c>
      <c r="Z1065" s="35" t="str">
        <f aca="false">IF($G1065="","",$U1065*1000000+ROW())</f>
        <v/>
      </c>
      <c r="AA1065" s="36" t="str">
        <f aca="false">IF($G1065="","",MID(IF($C1065="",", no division","")&amp;IF($E1065="",", no unit","")&amp;IF($H1065="",", no career level","")&amp;IF(N($L1065)&lt;=0,", no quarter split","")&amp;IF($R1065="",", no driver","")&amp;IF(AND($H1065&lt;&gt;"",COUNTIF(CareerLevels,$H1065)=0),", a career level that is not on the ladder","")&amp;IF(AND($R1065&lt;&gt;"",COUNTIF(DriverList,$R1065)=0),", a driver that is not on the list","")&amp;IF(ABS(N($L1065)-(N($M1065)+N($N1065)+N($O1065)+N($P1065)))&gt;0.001,", a total that does not match its quarters",""),3,300))</f>
        <v/>
      </c>
    </row>
    <row r="1066" customFormat="false" ht="15" hidden="false" customHeight="false" outlineLevel="0" collapsed="false">
      <c r="A1066" s="33" t="str">
        <f aca="false">IF($G1066="","","Internal Audit Group")</f>
        <v/>
      </c>
      <c r="B1066" s="19"/>
      <c r="C1066" s="19"/>
      <c r="D1066" s="19"/>
      <c r="E1066" s="19"/>
      <c r="F1066" s="19"/>
      <c r="G1066" s="19"/>
      <c r="H1066" s="19"/>
      <c r="I1066" s="19"/>
      <c r="J1066" s="19"/>
      <c r="K1066" s="19"/>
      <c r="L1066" s="19"/>
      <c r="M1066" s="19"/>
      <c r="N1066" s="19"/>
      <c r="O1066" s="19"/>
      <c r="P1066" s="19"/>
      <c r="Q1066" s="19"/>
      <c r="R1066" s="19"/>
      <c r="S1066" s="19"/>
      <c r="T1066" s="34" t="str">
        <f aca="false">IF($R1066="","",IFERROR(INDEX(DriverCategory,MATCH($R1066,DriverList,0)),"BAU"))</f>
        <v/>
      </c>
      <c r="U1066" s="34" t="str">
        <f aca="false">IF($R1066="","",IFERROR(INDEX(DriverRank,MATCH($R1066,DriverList,0)),99))</f>
        <v/>
      </c>
      <c r="V1066" s="35" t="n">
        <f aca="false">IF($H1066="",0,IFERROR(INDEX(LevelBasic,MATCH($H1066,LevelList,0))+INDEX(LevelHousing,MATCH($H1066,LevelList,0))+INDEX(LevelTransport,MATCH($H1066,LevelList,0))+INDEX(LevelBasic,MATCH($H1066,LevelList,0))*INDEX(LevelBonus,MATCH($H1066,LevelList,0))+(INDEX(LevelBasic,MATCH($H1066,LevelList,0))+INDEX(LevelHousing,MATCH($H1066,LevelList,0)))*GosiSaudi,0))</f>
        <v>0</v>
      </c>
      <c r="W1066" s="35" t="n">
        <f aca="false">IFERROR(INDEX(LevelOneOff,MATCH($H1066,LevelList,0)),0)</f>
        <v>0</v>
      </c>
      <c r="X1066" s="35" t="str">
        <f aca="false">IF($G1066="","",$V1066*N($L1066))</f>
        <v/>
      </c>
      <c r="Y1066" s="35" t="str">
        <f aca="false">IF($G1066="","",$V1066*(N($M1066)*1+N($N1066)*0.75+N($O1066)*0.5+N($P1066)*0.25)+$W1066*N($L1066))</f>
        <v/>
      </c>
      <c r="Z1066" s="35" t="str">
        <f aca="false">IF($G1066="","",$U1066*1000000+ROW())</f>
        <v/>
      </c>
      <c r="AA1066" s="36" t="str">
        <f aca="false">IF($G1066="","",MID(IF($C1066="",", no division","")&amp;IF($E1066="",", no unit","")&amp;IF($H1066="",", no career level","")&amp;IF(N($L1066)&lt;=0,", no quarter split","")&amp;IF($R1066="",", no driver","")&amp;IF(AND($H1066&lt;&gt;"",COUNTIF(CareerLevels,$H1066)=0),", a career level that is not on the ladder","")&amp;IF(AND($R1066&lt;&gt;"",COUNTIF(DriverList,$R1066)=0),", a driver that is not on the list","")&amp;IF(ABS(N($L1066)-(N($M1066)+N($N1066)+N($O1066)+N($P1066)))&gt;0.001,", a total that does not match its quarters",""),3,300))</f>
        <v/>
      </c>
    </row>
    <row r="1067" customFormat="false" ht="15" hidden="false" customHeight="false" outlineLevel="0" collapsed="false">
      <c r="A1067" s="33" t="str">
        <f aca="false">IF($G1067="","","Internal Audit Group")</f>
        <v/>
      </c>
      <c r="B1067" s="19"/>
      <c r="C1067" s="19"/>
      <c r="D1067" s="19"/>
      <c r="E1067" s="19"/>
      <c r="F1067" s="19"/>
      <c r="G1067" s="19"/>
      <c r="H1067" s="19"/>
      <c r="I1067" s="19"/>
      <c r="J1067" s="19"/>
      <c r="K1067" s="19"/>
      <c r="L1067" s="19"/>
      <c r="M1067" s="19"/>
      <c r="N1067" s="19"/>
      <c r="O1067" s="19"/>
      <c r="P1067" s="19"/>
      <c r="Q1067" s="19"/>
      <c r="R1067" s="19"/>
      <c r="S1067" s="19"/>
      <c r="T1067" s="34" t="str">
        <f aca="false">IF($R1067="","",IFERROR(INDEX(DriverCategory,MATCH($R1067,DriverList,0)),"BAU"))</f>
        <v/>
      </c>
      <c r="U1067" s="34" t="str">
        <f aca="false">IF($R1067="","",IFERROR(INDEX(DriverRank,MATCH($R1067,DriverList,0)),99))</f>
        <v/>
      </c>
      <c r="V1067" s="35" t="n">
        <f aca="false">IF($H1067="",0,IFERROR(INDEX(LevelBasic,MATCH($H1067,LevelList,0))+INDEX(LevelHousing,MATCH($H1067,LevelList,0))+INDEX(LevelTransport,MATCH($H1067,LevelList,0))+INDEX(LevelBasic,MATCH($H1067,LevelList,0))*INDEX(LevelBonus,MATCH($H1067,LevelList,0))+(INDEX(LevelBasic,MATCH($H1067,LevelList,0))+INDEX(LevelHousing,MATCH($H1067,LevelList,0)))*GosiSaudi,0))</f>
        <v>0</v>
      </c>
      <c r="W1067" s="35" t="n">
        <f aca="false">IFERROR(INDEX(LevelOneOff,MATCH($H1067,LevelList,0)),0)</f>
        <v>0</v>
      </c>
      <c r="X1067" s="35" t="str">
        <f aca="false">IF($G1067="","",$V1067*N($L1067))</f>
        <v/>
      </c>
      <c r="Y1067" s="35" t="str">
        <f aca="false">IF($G1067="","",$V1067*(N($M1067)*1+N($N1067)*0.75+N($O1067)*0.5+N($P1067)*0.25)+$W1067*N($L1067))</f>
        <v/>
      </c>
      <c r="Z1067" s="35" t="str">
        <f aca="false">IF($G1067="","",$U1067*1000000+ROW())</f>
        <v/>
      </c>
      <c r="AA1067" s="36" t="str">
        <f aca="false">IF($G1067="","",MID(IF($C1067="",", no division","")&amp;IF($E1067="",", no unit","")&amp;IF($H1067="",", no career level","")&amp;IF(N($L1067)&lt;=0,", no quarter split","")&amp;IF($R1067="",", no driver","")&amp;IF(AND($H1067&lt;&gt;"",COUNTIF(CareerLevels,$H1067)=0),", a career level that is not on the ladder","")&amp;IF(AND($R1067&lt;&gt;"",COUNTIF(DriverList,$R1067)=0),", a driver that is not on the list","")&amp;IF(ABS(N($L1067)-(N($M1067)+N($N1067)+N($O1067)+N($P1067)))&gt;0.001,", a total that does not match its quarters",""),3,300))</f>
        <v/>
      </c>
    </row>
    <row r="1068" customFormat="false" ht="15" hidden="false" customHeight="false" outlineLevel="0" collapsed="false">
      <c r="A1068" s="33" t="str">
        <f aca="false">IF($G1068="","","Internal Audit Group")</f>
        <v/>
      </c>
      <c r="B1068" s="19"/>
      <c r="C1068" s="19"/>
      <c r="D1068" s="19"/>
      <c r="E1068" s="19"/>
      <c r="F1068" s="19"/>
      <c r="G1068" s="19"/>
      <c r="H1068" s="19"/>
      <c r="I1068" s="19"/>
      <c r="J1068" s="19"/>
      <c r="K1068" s="19"/>
      <c r="L1068" s="19"/>
      <c r="M1068" s="19"/>
      <c r="N1068" s="19"/>
      <c r="O1068" s="19"/>
      <c r="P1068" s="19"/>
      <c r="Q1068" s="19"/>
      <c r="R1068" s="19"/>
      <c r="S1068" s="19"/>
      <c r="T1068" s="34" t="str">
        <f aca="false">IF($R1068="","",IFERROR(INDEX(DriverCategory,MATCH($R1068,DriverList,0)),"BAU"))</f>
        <v/>
      </c>
      <c r="U1068" s="34" t="str">
        <f aca="false">IF($R1068="","",IFERROR(INDEX(DriverRank,MATCH($R1068,DriverList,0)),99))</f>
        <v/>
      </c>
      <c r="V1068" s="35" t="n">
        <f aca="false">IF($H1068="",0,IFERROR(INDEX(LevelBasic,MATCH($H1068,LevelList,0))+INDEX(LevelHousing,MATCH($H1068,LevelList,0))+INDEX(LevelTransport,MATCH($H1068,LevelList,0))+INDEX(LevelBasic,MATCH($H1068,LevelList,0))*INDEX(LevelBonus,MATCH($H1068,LevelList,0))+(INDEX(LevelBasic,MATCH($H1068,LevelList,0))+INDEX(LevelHousing,MATCH($H1068,LevelList,0)))*GosiSaudi,0))</f>
        <v>0</v>
      </c>
      <c r="W1068" s="35" t="n">
        <f aca="false">IFERROR(INDEX(LevelOneOff,MATCH($H1068,LevelList,0)),0)</f>
        <v>0</v>
      </c>
      <c r="X1068" s="35" t="str">
        <f aca="false">IF($G1068="","",$V1068*N($L1068))</f>
        <v/>
      </c>
      <c r="Y1068" s="35" t="str">
        <f aca="false">IF($G1068="","",$V1068*(N($M1068)*1+N($N1068)*0.75+N($O1068)*0.5+N($P1068)*0.25)+$W1068*N($L1068))</f>
        <v/>
      </c>
      <c r="Z1068" s="35" t="str">
        <f aca="false">IF($G1068="","",$U1068*1000000+ROW())</f>
        <v/>
      </c>
      <c r="AA1068" s="36" t="str">
        <f aca="false">IF($G1068="","",MID(IF($C1068="",", no division","")&amp;IF($E1068="",", no unit","")&amp;IF($H1068="",", no career level","")&amp;IF(N($L1068)&lt;=0,", no quarter split","")&amp;IF($R1068="",", no driver","")&amp;IF(AND($H1068&lt;&gt;"",COUNTIF(CareerLevels,$H1068)=0),", a career level that is not on the ladder","")&amp;IF(AND($R1068&lt;&gt;"",COUNTIF(DriverList,$R1068)=0),", a driver that is not on the list","")&amp;IF(ABS(N($L1068)-(N($M1068)+N($N1068)+N($O1068)+N($P1068)))&gt;0.001,", a total that does not match its quarters",""),3,300))</f>
        <v/>
      </c>
    </row>
    <row r="1069" customFormat="false" ht="15" hidden="false" customHeight="false" outlineLevel="0" collapsed="false">
      <c r="A1069" s="33" t="str">
        <f aca="false">IF($G1069="","","Internal Audit Group")</f>
        <v/>
      </c>
      <c r="B1069" s="19"/>
      <c r="C1069" s="19"/>
      <c r="D1069" s="19"/>
      <c r="E1069" s="19"/>
      <c r="F1069" s="19"/>
      <c r="G1069" s="19"/>
      <c r="H1069" s="19"/>
      <c r="I1069" s="19"/>
      <c r="J1069" s="19"/>
      <c r="K1069" s="19"/>
      <c r="L1069" s="19"/>
      <c r="M1069" s="19"/>
      <c r="N1069" s="19"/>
      <c r="O1069" s="19"/>
      <c r="P1069" s="19"/>
      <c r="Q1069" s="19"/>
      <c r="R1069" s="19"/>
      <c r="S1069" s="19"/>
      <c r="T1069" s="34" t="str">
        <f aca="false">IF($R1069="","",IFERROR(INDEX(DriverCategory,MATCH($R1069,DriverList,0)),"BAU"))</f>
        <v/>
      </c>
      <c r="U1069" s="34" t="str">
        <f aca="false">IF($R1069="","",IFERROR(INDEX(DriverRank,MATCH($R1069,DriverList,0)),99))</f>
        <v/>
      </c>
      <c r="V1069" s="35" t="n">
        <f aca="false">IF($H1069="",0,IFERROR(INDEX(LevelBasic,MATCH($H1069,LevelList,0))+INDEX(LevelHousing,MATCH($H1069,LevelList,0))+INDEX(LevelTransport,MATCH($H1069,LevelList,0))+INDEX(LevelBasic,MATCH($H1069,LevelList,0))*INDEX(LevelBonus,MATCH($H1069,LevelList,0))+(INDEX(LevelBasic,MATCH($H1069,LevelList,0))+INDEX(LevelHousing,MATCH($H1069,LevelList,0)))*GosiSaudi,0))</f>
        <v>0</v>
      </c>
      <c r="W1069" s="35" t="n">
        <f aca="false">IFERROR(INDEX(LevelOneOff,MATCH($H1069,LevelList,0)),0)</f>
        <v>0</v>
      </c>
      <c r="X1069" s="35" t="str">
        <f aca="false">IF($G1069="","",$V1069*N($L1069))</f>
        <v/>
      </c>
      <c r="Y1069" s="35" t="str">
        <f aca="false">IF($G1069="","",$V1069*(N($M1069)*1+N($N1069)*0.75+N($O1069)*0.5+N($P1069)*0.25)+$W1069*N($L1069))</f>
        <v/>
      </c>
      <c r="Z1069" s="35" t="str">
        <f aca="false">IF($G1069="","",$U1069*1000000+ROW())</f>
        <v/>
      </c>
      <c r="AA1069" s="36" t="str">
        <f aca="false">IF($G1069="","",MID(IF($C1069="",", no division","")&amp;IF($E1069="",", no unit","")&amp;IF($H1069="",", no career level","")&amp;IF(N($L1069)&lt;=0,", no quarter split","")&amp;IF($R1069="",", no driver","")&amp;IF(AND($H1069&lt;&gt;"",COUNTIF(CareerLevels,$H1069)=0),", a career level that is not on the ladder","")&amp;IF(AND($R1069&lt;&gt;"",COUNTIF(DriverList,$R1069)=0),", a driver that is not on the list","")&amp;IF(ABS(N($L1069)-(N($M1069)+N($N1069)+N($O1069)+N($P1069)))&gt;0.001,", a total that does not match its quarters",""),3,300))</f>
        <v/>
      </c>
    </row>
    <row r="1070" customFormat="false" ht="15" hidden="false" customHeight="false" outlineLevel="0" collapsed="false">
      <c r="A1070" s="33" t="str">
        <f aca="false">IF($G1070="","","Internal Audit Group")</f>
        <v/>
      </c>
      <c r="B1070" s="19"/>
      <c r="C1070" s="19"/>
      <c r="D1070" s="19"/>
      <c r="E1070" s="19"/>
      <c r="F1070" s="19"/>
      <c r="G1070" s="19"/>
      <c r="H1070" s="19"/>
      <c r="I1070" s="19"/>
      <c r="J1070" s="19"/>
      <c r="K1070" s="19"/>
      <c r="L1070" s="19"/>
      <c r="M1070" s="19"/>
      <c r="N1070" s="19"/>
      <c r="O1070" s="19"/>
      <c r="P1070" s="19"/>
      <c r="Q1070" s="19"/>
      <c r="R1070" s="19"/>
      <c r="S1070" s="19"/>
      <c r="T1070" s="34" t="str">
        <f aca="false">IF($R1070="","",IFERROR(INDEX(DriverCategory,MATCH($R1070,DriverList,0)),"BAU"))</f>
        <v/>
      </c>
      <c r="U1070" s="34" t="str">
        <f aca="false">IF($R1070="","",IFERROR(INDEX(DriverRank,MATCH($R1070,DriverList,0)),99))</f>
        <v/>
      </c>
      <c r="V1070" s="35" t="n">
        <f aca="false">IF($H1070="",0,IFERROR(INDEX(LevelBasic,MATCH($H1070,LevelList,0))+INDEX(LevelHousing,MATCH($H1070,LevelList,0))+INDEX(LevelTransport,MATCH($H1070,LevelList,0))+INDEX(LevelBasic,MATCH($H1070,LevelList,0))*INDEX(LevelBonus,MATCH($H1070,LevelList,0))+(INDEX(LevelBasic,MATCH($H1070,LevelList,0))+INDEX(LevelHousing,MATCH($H1070,LevelList,0)))*GosiSaudi,0))</f>
        <v>0</v>
      </c>
      <c r="W1070" s="35" t="n">
        <f aca="false">IFERROR(INDEX(LevelOneOff,MATCH($H1070,LevelList,0)),0)</f>
        <v>0</v>
      </c>
      <c r="X1070" s="35" t="str">
        <f aca="false">IF($G1070="","",$V1070*N($L1070))</f>
        <v/>
      </c>
      <c r="Y1070" s="35" t="str">
        <f aca="false">IF($G1070="","",$V1070*(N($M1070)*1+N($N1070)*0.75+N($O1070)*0.5+N($P1070)*0.25)+$W1070*N($L1070))</f>
        <v/>
      </c>
      <c r="Z1070" s="35" t="str">
        <f aca="false">IF($G1070="","",$U1070*1000000+ROW())</f>
        <v/>
      </c>
      <c r="AA1070" s="36" t="str">
        <f aca="false">IF($G1070="","",MID(IF($C1070="",", no division","")&amp;IF($E1070="",", no unit","")&amp;IF($H1070="",", no career level","")&amp;IF(N($L1070)&lt;=0,", no quarter split","")&amp;IF($R1070="",", no driver","")&amp;IF(AND($H1070&lt;&gt;"",COUNTIF(CareerLevels,$H1070)=0),", a career level that is not on the ladder","")&amp;IF(AND($R1070&lt;&gt;"",COUNTIF(DriverList,$R1070)=0),", a driver that is not on the list","")&amp;IF(ABS(N($L1070)-(N($M1070)+N($N1070)+N($O1070)+N($P1070)))&gt;0.001,", a total that does not match its quarters",""),3,300))</f>
        <v/>
      </c>
    </row>
    <row r="1071" customFormat="false" ht="15" hidden="false" customHeight="false" outlineLevel="0" collapsed="false">
      <c r="A1071" s="33" t="str">
        <f aca="false">IF($G1071="","","Internal Audit Group")</f>
        <v/>
      </c>
      <c r="B1071" s="19"/>
      <c r="C1071" s="19"/>
      <c r="D1071" s="19"/>
      <c r="E1071" s="19"/>
      <c r="F1071" s="19"/>
      <c r="G1071" s="19"/>
      <c r="H1071" s="19"/>
      <c r="I1071" s="19"/>
      <c r="J1071" s="19"/>
      <c r="K1071" s="19"/>
      <c r="L1071" s="19"/>
      <c r="M1071" s="19"/>
      <c r="N1071" s="19"/>
      <c r="O1071" s="19"/>
      <c r="P1071" s="19"/>
      <c r="Q1071" s="19"/>
      <c r="R1071" s="19"/>
      <c r="S1071" s="19"/>
      <c r="T1071" s="34" t="str">
        <f aca="false">IF($R1071="","",IFERROR(INDEX(DriverCategory,MATCH($R1071,DriverList,0)),"BAU"))</f>
        <v/>
      </c>
      <c r="U1071" s="34" t="str">
        <f aca="false">IF($R1071="","",IFERROR(INDEX(DriverRank,MATCH($R1071,DriverList,0)),99))</f>
        <v/>
      </c>
      <c r="V1071" s="35" t="n">
        <f aca="false">IF($H1071="",0,IFERROR(INDEX(LevelBasic,MATCH($H1071,LevelList,0))+INDEX(LevelHousing,MATCH($H1071,LevelList,0))+INDEX(LevelTransport,MATCH($H1071,LevelList,0))+INDEX(LevelBasic,MATCH($H1071,LevelList,0))*INDEX(LevelBonus,MATCH($H1071,LevelList,0))+(INDEX(LevelBasic,MATCH($H1071,LevelList,0))+INDEX(LevelHousing,MATCH($H1071,LevelList,0)))*GosiSaudi,0))</f>
        <v>0</v>
      </c>
      <c r="W1071" s="35" t="n">
        <f aca="false">IFERROR(INDEX(LevelOneOff,MATCH($H1071,LevelList,0)),0)</f>
        <v>0</v>
      </c>
      <c r="X1071" s="35" t="str">
        <f aca="false">IF($G1071="","",$V1071*N($L1071))</f>
        <v/>
      </c>
      <c r="Y1071" s="35" t="str">
        <f aca="false">IF($G1071="","",$V1071*(N($M1071)*1+N($N1071)*0.75+N($O1071)*0.5+N($P1071)*0.25)+$W1071*N($L1071))</f>
        <v/>
      </c>
      <c r="Z1071" s="35" t="str">
        <f aca="false">IF($G1071="","",$U1071*1000000+ROW())</f>
        <v/>
      </c>
      <c r="AA1071" s="36" t="str">
        <f aca="false">IF($G1071="","",MID(IF($C1071="",", no division","")&amp;IF($E1071="",", no unit","")&amp;IF($H1071="",", no career level","")&amp;IF(N($L1071)&lt;=0,", no quarter split","")&amp;IF($R1071="",", no driver","")&amp;IF(AND($H1071&lt;&gt;"",COUNTIF(CareerLevels,$H1071)=0),", a career level that is not on the ladder","")&amp;IF(AND($R1071&lt;&gt;"",COUNTIF(DriverList,$R1071)=0),", a driver that is not on the list","")&amp;IF(ABS(N($L1071)-(N($M1071)+N($N1071)+N($O1071)+N($P1071)))&gt;0.001,", a total that does not match its quarters",""),3,300))</f>
        <v/>
      </c>
    </row>
    <row r="1072" customFormat="false" ht="15" hidden="false" customHeight="false" outlineLevel="0" collapsed="false">
      <c r="A1072" s="33" t="str">
        <f aca="false">IF($G1072="","","Internal Audit Group")</f>
        <v/>
      </c>
      <c r="B1072" s="19"/>
      <c r="C1072" s="19"/>
      <c r="D1072" s="19"/>
      <c r="E1072" s="19"/>
      <c r="F1072" s="19"/>
      <c r="G1072" s="19"/>
      <c r="H1072" s="19"/>
      <c r="I1072" s="19"/>
      <c r="J1072" s="19"/>
      <c r="K1072" s="19"/>
      <c r="L1072" s="19"/>
      <c r="M1072" s="19"/>
      <c r="N1072" s="19"/>
      <c r="O1072" s="19"/>
      <c r="P1072" s="19"/>
      <c r="Q1072" s="19"/>
      <c r="R1072" s="19"/>
      <c r="S1072" s="19"/>
      <c r="T1072" s="34" t="str">
        <f aca="false">IF($R1072="","",IFERROR(INDEX(DriverCategory,MATCH($R1072,DriverList,0)),"BAU"))</f>
        <v/>
      </c>
      <c r="U1072" s="34" t="str">
        <f aca="false">IF($R1072="","",IFERROR(INDEX(DriverRank,MATCH($R1072,DriverList,0)),99))</f>
        <v/>
      </c>
      <c r="V1072" s="35" t="n">
        <f aca="false">IF($H1072="",0,IFERROR(INDEX(LevelBasic,MATCH($H1072,LevelList,0))+INDEX(LevelHousing,MATCH($H1072,LevelList,0))+INDEX(LevelTransport,MATCH($H1072,LevelList,0))+INDEX(LevelBasic,MATCH($H1072,LevelList,0))*INDEX(LevelBonus,MATCH($H1072,LevelList,0))+(INDEX(LevelBasic,MATCH($H1072,LevelList,0))+INDEX(LevelHousing,MATCH($H1072,LevelList,0)))*GosiSaudi,0))</f>
        <v>0</v>
      </c>
      <c r="W1072" s="35" t="n">
        <f aca="false">IFERROR(INDEX(LevelOneOff,MATCH($H1072,LevelList,0)),0)</f>
        <v>0</v>
      </c>
      <c r="X1072" s="35" t="str">
        <f aca="false">IF($G1072="","",$V1072*N($L1072))</f>
        <v/>
      </c>
      <c r="Y1072" s="35" t="str">
        <f aca="false">IF($G1072="","",$V1072*(N($M1072)*1+N($N1072)*0.75+N($O1072)*0.5+N($P1072)*0.25)+$W1072*N($L1072))</f>
        <v/>
      </c>
      <c r="Z1072" s="35" t="str">
        <f aca="false">IF($G1072="","",$U1072*1000000+ROW())</f>
        <v/>
      </c>
      <c r="AA1072" s="36" t="str">
        <f aca="false">IF($G1072="","",MID(IF($C1072="",", no division","")&amp;IF($E1072="",", no unit","")&amp;IF($H1072="",", no career level","")&amp;IF(N($L1072)&lt;=0,", no quarter split","")&amp;IF($R1072="",", no driver","")&amp;IF(AND($H1072&lt;&gt;"",COUNTIF(CareerLevels,$H1072)=0),", a career level that is not on the ladder","")&amp;IF(AND($R1072&lt;&gt;"",COUNTIF(DriverList,$R1072)=0),", a driver that is not on the list","")&amp;IF(ABS(N($L1072)-(N($M1072)+N($N1072)+N($O1072)+N($P1072)))&gt;0.001,", a total that does not match its quarters",""),3,300))</f>
        <v/>
      </c>
    </row>
    <row r="1073" customFormat="false" ht="15" hidden="false" customHeight="false" outlineLevel="0" collapsed="false">
      <c r="A1073" s="33" t="str">
        <f aca="false">IF($G1073="","","Internal Audit Group")</f>
        <v/>
      </c>
      <c r="B1073" s="19"/>
      <c r="C1073" s="19"/>
      <c r="D1073" s="19"/>
      <c r="E1073" s="19"/>
      <c r="F1073" s="19"/>
      <c r="G1073" s="19"/>
      <c r="H1073" s="19"/>
      <c r="I1073" s="19"/>
      <c r="J1073" s="19"/>
      <c r="K1073" s="19"/>
      <c r="L1073" s="19"/>
      <c r="M1073" s="19"/>
      <c r="N1073" s="19"/>
      <c r="O1073" s="19"/>
      <c r="P1073" s="19"/>
      <c r="Q1073" s="19"/>
      <c r="R1073" s="19"/>
      <c r="S1073" s="19"/>
      <c r="T1073" s="34" t="str">
        <f aca="false">IF($R1073="","",IFERROR(INDEX(DriverCategory,MATCH($R1073,DriverList,0)),"BAU"))</f>
        <v/>
      </c>
      <c r="U1073" s="34" t="str">
        <f aca="false">IF($R1073="","",IFERROR(INDEX(DriverRank,MATCH($R1073,DriverList,0)),99))</f>
        <v/>
      </c>
      <c r="V1073" s="35" t="n">
        <f aca="false">IF($H1073="",0,IFERROR(INDEX(LevelBasic,MATCH($H1073,LevelList,0))+INDEX(LevelHousing,MATCH($H1073,LevelList,0))+INDEX(LevelTransport,MATCH($H1073,LevelList,0))+INDEX(LevelBasic,MATCH($H1073,LevelList,0))*INDEX(LevelBonus,MATCH($H1073,LevelList,0))+(INDEX(LevelBasic,MATCH($H1073,LevelList,0))+INDEX(LevelHousing,MATCH($H1073,LevelList,0)))*GosiSaudi,0))</f>
        <v>0</v>
      </c>
      <c r="W1073" s="35" t="n">
        <f aca="false">IFERROR(INDEX(LevelOneOff,MATCH($H1073,LevelList,0)),0)</f>
        <v>0</v>
      </c>
      <c r="X1073" s="35" t="str">
        <f aca="false">IF($G1073="","",$V1073*N($L1073))</f>
        <v/>
      </c>
      <c r="Y1073" s="35" t="str">
        <f aca="false">IF($G1073="","",$V1073*(N($M1073)*1+N($N1073)*0.75+N($O1073)*0.5+N($P1073)*0.25)+$W1073*N($L1073))</f>
        <v/>
      </c>
      <c r="Z1073" s="35" t="str">
        <f aca="false">IF($G1073="","",$U1073*1000000+ROW())</f>
        <v/>
      </c>
      <c r="AA1073" s="36" t="str">
        <f aca="false">IF($G1073="","",MID(IF($C1073="",", no division","")&amp;IF($E1073="",", no unit","")&amp;IF($H1073="",", no career level","")&amp;IF(N($L1073)&lt;=0,", no quarter split","")&amp;IF($R1073="",", no driver","")&amp;IF(AND($H1073&lt;&gt;"",COUNTIF(CareerLevels,$H1073)=0),", a career level that is not on the ladder","")&amp;IF(AND($R1073&lt;&gt;"",COUNTIF(DriverList,$R1073)=0),", a driver that is not on the list","")&amp;IF(ABS(N($L1073)-(N($M1073)+N($N1073)+N($O1073)+N($P1073)))&gt;0.001,", a total that does not match its quarters",""),3,300))</f>
        <v/>
      </c>
    </row>
    <row r="1074" customFormat="false" ht="15" hidden="false" customHeight="false" outlineLevel="0" collapsed="false">
      <c r="A1074" s="33" t="str">
        <f aca="false">IF($G1074="","","Internal Audit Group")</f>
        <v/>
      </c>
      <c r="B1074" s="19"/>
      <c r="C1074" s="19"/>
      <c r="D1074" s="19"/>
      <c r="E1074" s="19"/>
      <c r="F1074" s="19"/>
      <c r="G1074" s="19"/>
      <c r="H1074" s="19"/>
      <c r="I1074" s="19"/>
      <c r="J1074" s="19"/>
      <c r="K1074" s="19"/>
      <c r="L1074" s="19"/>
      <c r="M1074" s="19"/>
      <c r="N1074" s="19"/>
      <c r="O1074" s="19"/>
      <c r="P1074" s="19"/>
      <c r="Q1074" s="19"/>
      <c r="R1074" s="19"/>
      <c r="S1074" s="19"/>
      <c r="T1074" s="34" t="str">
        <f aca="false">IF($R1074="","",IFERROR(INDEX(DriverCategory,MATCH($R1074,DriverList,0)),"BAU"))</f>
        <v/>
      </c>
      <c r="U1074" s="34" t="str">
        <f aca="false">IF($R1074="","",IFERROR(INDEX(DriverRank,MATCH($R1074,DriverList,0)),99))</f>
        <v/>
      </c>
      <c r="V1074" s="35" t="n">
        <f aca="false">IF($H1074="",0,IFERROR(INDEX(LevelBasic,MATCH($H1074,LevelList,0))+INDEX(LevelHousing,MATCH($H1074,LevelList,0))+INDEX(LevelTransport,MATCH($H1074,LevelList,0))+INDEX(LevelBasic,MATCH($H1074,LevelList,0))*INDEX(LevelBonus,MATCH($H1074,LevelList,0))+(INDEX(LevelBasic,MATCH($H1074,LevelList,0))+INDEX(LevelHousing,MATCH($H1074,LevelList,0)))*GosiSaudi,0))</f>
        <v>0</v>
      </c>
      <c r="W1074" s="35" t="n">
        <f aca="false">IFERROR(INDEX(LevelOneOff,MATCH($H1074,LevelList,0)),0)</f>
        <v>0</v>
      </c>
      <c r="X1074" s="35" t="str">
        <f aca="false">IF($G1074="","",$V1074*N($L1074))</f>
        <v/>
      </c>
      <c r="Y1074" s="35" t="str">
        <f aca="false">IF($G1074="","",$V1074*(N($M1074)*1+N($N1074)*0.75+N($O1074)*0.5+N($P1074)*0.25)+$W1074*N($L1074))</f>
        <v/>
      </c>
      <c r="Z1074" s="35" t="str">
        <f aca="false">IF($G1074="","",$U1074*1000000+ROW())</f>
        <v/>
      </c>
      <c r="AA1074" s="36" t="str">
        <f aca="false">IF($G1074="","",MID(IF($C1074="",", no division","")&amp;IF($E1074="",", no unit","")&amp;IF($H1074="",", no career level","")&amp;IF(N($L1074)&lt;=0,", no quarter split","")&amp;IF($R1074="",", no driver","")&amp;IF(AND($H1074&lt;&gt;"",COUNTIF(CareerLevels,$H1074)=0),", a career level that is not on the ladder","")&amp;IF(AND($R1074&lt;&gt;"",COUNTIF(DriverList,$R1074)=0),", a driver that is not on the list","")&amp;IF(ABS(N($L1074)-(N($M1074)+N($N1074)+N($O1074)+N($P1074)))&gt;0.001,", a total that does not match its quarters",""),3,300))</f>
        <v/>
      </c>
    </row>
    <row r="1075" customFormat="false" ht="15" hidden="false" customHeight="false" outlineLevel="0" collapsed="false">
      <c r="A1075" s="33" t="str">
        <f aca="false">IF($G1075="","","Internal Audit Group")</f>
        <v/>
      </c>
      <c r="B1075" s="19"/>
      <c r="C1075" s="19"/>
      <c r="D1075" s="19"/>
      <c r="E1075" s="19"/>
      <c r="F1075" s="19"/>
      <c r="G1075" s="19"/>
      <c r="H1075" s="19"/>
      <c r="I1075" s="19"/>
      <c r="J1075" s="19"/>
      <c r="K1075" s="19"/>
      <c r="L1075" s="19"/>
      <c r="M1075" s="19"/>
      <c r="N1075" s="19"/>
      <c r="O1075" s="19"/>
      <c r="P1075" s="19"/>
      <c r="Q1075" s="19"/>
      <c r="R1075" s="19"/>
      <c r="S1075" s="19"/>
      <c r="T1075" s="34" t="str">
        <f aca="false">IF($R1075="","",IFERROR(INDEX(DriverCategory,MATCH($R1075,DriverList,0)),"BAU"))</f>
        <v/>
      </c>
      <c r="U1075" s="34" t="str">
        <f aca="false">IF($R1075="","",IFERROR(INDEX(DriverRank,MATCH($R1075,DriverList,0)),99))</f>
        <v/>
      </c>
      <c r="V1075" s="35" t="n">
        <f aca="false">IF($H1075="",0,IFERROR(INDEX(LevelBasic,MATCH($H1075,LevelList,0))+INDEX(LevelHousing,MATCH($H1075,LevelList,0))+INDEX(LevelTransport,MATCH($H1075,LevelList,0))+INDEX(LevelBasic,MATCH($H1075,LevelList,0))*INDEX(LevelBonus,MATCH($H1075,LevelList,0))+(INDEX(LevelBasic,MATCH($H1075,LevelList,0))+INDEX(LevelHousing,MATCH($H1075,LevelList,0)))*GosiSaudi,0))</f>
        <v>0</v>
      </c>
      <c r="W1075" s="35" t="n">
        <f aca="false">IFERROR(INDEX(LevelOneOff,MATCH($H1075,LevelList,0)),0)</f>
        <v>0</v>
      </c>
      <c r="X1075" s="35" t="str">
        <f aca="false">IF($G1075="","",$V1075*N($L1075))</f>
        <v/>
      </c>
      <c r="Y1075" s="35" t="str">
        <f aca="false">IF($G1075="","",$V1075*(N($M1075)*1+N($N1075)*0.75+N($O1075)*0.5+N($P1075)*0.25)+$W1075*N($L1075))</f>
        <v/>
      </c>
      <c r="Z1075" s="35" t="str">
        <f aca="false">IF($G1075="","",$U1075*1000000+ROW())</f>
        <v/>
      </c>
      <c r="AA1075" s="36" t="str">
        <f aca="false">IF($G1075="","",MID(IF($C1075="",", no division","")&amp;IF($E1075="",", no unit","")&amp;IF($H1075="",", no career level","")&amp;IF(N($L1075)&lt;=0,", no quarter split","")&amp;IF($R1075="",", no driver","")&amp;IF(AND($H1075&lt;&gt;"",COUNTIF(CareerLevels,$H1075)=0),", a career level that is not on the ladder","")&amp;IF(AND($R1075&lt;&gt;"",COUNTIF(DriverList,$R1075)=0),", a driver that is not on the list","")&amp;IF(ABS(N($L1075)-(N($M1075)+N($N1075)+N($O1075)+N($P1075)))&gt;0.001,", a total that does not match its quarters",""),3,300))</f>
        <v/>
      </c>
    </row>
    <row r="1076" customFormat="false" ht="15" hidden="false" customHeight="false" outlineLevel="0" collapsed="false">
      <c r="A1076" s="33" t="str">
        <f aca="false">IF($G1076="","","Internal Audit Group")</f>
        <v/>
      </c>
      <c r="B1076" s="19"/>
      <c r="C1076" s="19"/>
      <c r="D1076" s="19"/>
      <c r="E1076" s="19"/>
      <c r="F1076" s="19"/>
      <c r="G1076" s="19"/>
      <c r="H1076" s="19"/>
      <c r="I1076" s="19"/>
      <c r="J1076" s="19"/>
      <c r="K1076" s="19"/>
      <c r="L1076" s="19"/>
      <c r="M1076" s="19"/>
      <c r="N1076" s="19"/>
      <c r="O1076" s="19"/>
      <c r="P1076" s="19"/>
      <c r="Q1076" s="19"/>
      <c r="R1076" s="19"/>
      <c r="S1076" s="19"/>
      <c r="T1076" s="34" t="str">
        <f aca="false">IF($R1076="","",IFERROR(INDEX(DriverCategory,MATCH($R1076,DriverList,0)),"BAU"))</f>
        <v/>
      </c>
      <c r="U1076" s="34" t="str">
        <f aca="false">IF($R1076="","",IFERROR(INDEX(DriverRank,MATCH($R1076,DriverList,0)),99))</f>
        <v/>
      </c>
      <c r="V1076" s="35" t="n">
        <f aca="false">IF($H1076="",0,IFERROR(INDEX(LevelBasic,MATCH($H1076,LevelList,0))+INDEX(LevelHousing,MATCH($H1076,LevelList,0))+INDEX(LevelTransport,MATCH($H1076,LevelList,0))+INDEX(LevelBasic,MATCH($H1076,LevelList,0))*INDEX(LevelBonus,MATCH($H1076,LevelList,0))+(INDEX(LevelBasic,MATCH($H1076,LevelList,0))+INDEX(LevelHousing,MATCH($H1076,LevelList,0)))*GosiSaudi,0))</f>
        <v>0</v>
      </c>
      <c r="W1076" s="35" t="n">
        <f aca="false">IFERROR(INDEX(LevelOneOff,MATCH($H1076,LevelList,0)),0)</f>
        <v>0</v>
      </c>
      <c r="X1076" s="35" t="str">
        <f aca="false">IF($G1076="","",$V1076*N($L1076))</f>
        <v/>
      </c>
      <c r="Y1076" s="35" t="str">
        <f aca="false">IF($G1076="","",$V1076*(N($M1076)*1+N($N1076)*0.75+N($O1076)*0.5+N($P1076)*0.25)+$W1076*N($L1076))</f>
        <v/>
      </c>
      <c r="Z1076" s="35" t="str">
        <f aca="false">IF($G1076="","",$U1076*1000000+ROW())</f>
        <v/>
      </c>
      <c r="AA1076" s="36" t="str">
        <f aca="false">IF($G1076="","",MID(IF($C1076="",", no division","")&amp;IF($E1076="",", no unit","")&amp;IF($H1076="",", no career level","")&amp;IF(N($L1076)&lt;=0,", no quarter split","")&amp;IF($R1076="",", no driver","")&amp;IF(AND($H1076&lt;&gt;"",COUNTIF(CareerLevels,$H1076)=0),", a career level that is not on the ladder","")&amp;IF(AND($R1076&lt;&gt;"",COUNTIF(DriverList,$R1076)=0),", a driver that is not on the list","")&amp;IF(ABS(N($L1076)-(N($M1076)+N($N1076)+N($O1076)+N($P1076)))&gt;0.001,", a total that does not match its quarters",""),3,300))</f>
        <v/>
      </c>
    </row>
    <row r="1077" customFormat="false" ht="15" hidden="false" customHeight="false" outlineLevel="0" collapsed="false">
      <c r="A1077" s="33" t="str">
        <f aca="false">IF($G1077="","","Internal Audit Group")</f>
        <v/>
      </c>
      <c r="B1077" s="19"/>
      <c r="C1077" s="19"/>
      <c r="D1077" s="19"/>
      <c r="E1077" s="19"/>
      <c r="F1077" s="19"/>
      <c r="G1077" s="19"/>
      <c r="H1077" s="19"/>
      <c r="I1077" s="19"/>
      <c r="J1077" s="19"/>
      <c r="K1077" s="19"/>
      <c r="L1077" s="19"/>
      <c r="M1077" s="19"/>
      <c r="N1077" s="19"/>
      <c r="O1077" s="19"/>
      <c r="P1077" s="19"/>
      <c r="Q1077" s="19"/>
      <c r="R1077" s="19"/>
      <c r="S1077" s="19"/>
      <c r="T1077" s="34" t="str">
        <f aca="false">IF($R1077="","",IFERROR(INDEX(DriverCategory,MATCH($R1077,DriverList,0)),"BAU"))</f>
        <v/>
      </c>
      <c r="U1077" s="34" t="str">
        <f aca="false">IF($R1077="","",IFERROR(INDEX(DriverRank,MATCH($R1077,DriverList,0)),99))</f>
        <v/>
      </c>
      <c r="V1077" s="35" t="n">
        <f aca="false">IF($H1077="",0,IFERROR(INDEX(LevelBasic,MATCH($H1077,LevelList,0))+INDEX(LevelHousing,MATCH($H1077,LevelList,0))+INDEX(LevelTransport,MATCH($H1077,LevelList,0))+INDEX(LevelBasic,MATCH($H1077,LevelList,0))*INDEX(LevelBonus,MATCH($H1077,LevelList,0))+(INDEX(LevelBasic,MATCH($H1077,LevelList,0))+INDEX(LevelHousing,MATCH($H1077,LevelList,0)))*GosiSaudi,0))</f>
        <v>0</v>
      </c>
      <c r="W1077" s="35" t="n">
        <f aca="false">IFERROR(INDEX(LevelOneOff,MATCH($H1077,LevelList,0)),0)</f>
        <v>0</v>
      </c>
      <c r="X1077" s="35" t="str">
        <f aca="false">IF($G1077="","",$V1077*N($L1077))</f>
        <v/>
      </c>
      <c r="Y1077" s="35" t="str">
        <f aca="false">IF($G1077="","",$V1077*(N($M1077)*1+N($N1077)*0.75+N($O1077)*0.5+N($P1077)*0.25)+$W1077*N($L1077))</f>
        <v/>
      </c>
      <c r="Z1077" s="35" t="str">
        <f aca="false">IF($G1077="","",$U1077*1000000+ROW())</f>
        <v/>
      </c>
      <c r="AA1077" s="36" t="str">
        <f aca="false">IF($G1077="","",MID(IF($C1077="",", no division","")&amp;IF($E1077="",", no unit","")&amp;IF($H1077="",", no career level","")&amp;IF(N($L1077)&lt;=0,", no quarter split","")&amp;IF($R1077="",", no driver","")&amp;IF(AND($H1077&lt;&gt;"",COUNTIF(CareerLevels,$H1077)=0),", a career level that is not on the ladder","")&amp;IF(AND($R1077&lt;&gt;"",COUNTIF(DriverList,$R1077)=0),", a driver that is not on the list","")&amp;IF(ABS(N($L1077)-(N($M1077)+N($N1077)+N($O1077)+N($P1077)))&gt;0.001,", a total that does not match its quarters",""),3,300))</f>
        <v/>
      </c>
    </row>
    <row r="1078" customFormat="false" ht="15" hidden="false" customHeight="false" outlineLevel="0" collapsed="false">
      <c r="A1078" s="33" t="str">
        <f aca="false">IF($G1078="","","Internal Audit Group")</f>
        <v/>
      </c>
      <c r="B1078" s="19"/>
      <c r="C1078" s="19"/>
      <c r="D1078" s="19"/>
      <c r="E1078" s="19"/>
      <c r="F1078" s="19"/>
      <c r="G1078" s="19"/>
      <c r="H1078" s="19"/>
      <c r="I1078" s="19"/>
      <c r="J1078" s="19"/>
      <c r="K1078" s="19"/>
      <c r="L1078" s="19"/>
      <c r="M1078" s="19"/>
      <c r="N1078" s="19"/>
      <c r="O1078" s="19"/>
      <c r="P1078" s="19"/>
      <c r="Q1078" s="19"/>
      <c r="R1078" s="19"/>
      <c r="S1078" s="19"/>
      <c r="T1078" s="34" t="str">
        <f aca="false">IF($R1078="","",IFERROR(INDEX(DriverCategory,MATCH($R1078,DriverList,0)),"BAU"))</f>
        <v/>
      </c>
      <c r="U1078" s="34" t="str">
        <f aca="false">IF($R1078="","",IFERROR(INDEX(DriverRank,MATCH($R1078,DriverList,0)),99))</f>
        <v/>
      </c>
      <c r="V1078" s="35" t="n">
        <f aca="false">IF($H1078="",0,IFERROR(INDEX(LevelBasic,MATCH($H1078,LevelList,0))+INDEX(LevelHousing,MATCH($H1078,LevelList,0))+INDEX(LevelTransport,MATCH($H1078,LevelList,0))+INDEX(LevelBasic,MATCH($H1078,LevelList,0))*INDEX(LevelBonus,MATCH($H1078,LevelList,0))+(INDEX(LevelBasic,MATCH($H1078,LevelList,0))+INDEX(LevelHousing,MATCH($H1078,LevelList,0)))*GosiSaudi,0))</f>
        <v>0</v>
      </c>
      <c r="W1078" s="35" t="n">
        <f aca="false">IFERROR(INDEX(LevelOneOff,MATCH($H1078,LevelList,0)),0)</f>
        <v>0</v>
      </c>
      <c r="X1078" s="35" t="str">
        <f aca="false">IF($G1078="","",$V1078*N($L1078))</f>
        <v/>
      </c>
      <c r="Y1078" s="35" t="str">
        <f aca="false">IF($G1078="","",$V1078*(N($M1078)*1+N($N1078)*0.75+N($O1078)*0.5+N($P1078)*0.25)+$W1078*N($L1078))</f>
        <v/>
      </c>
      <c r="Z1078" s="35" t="str">
        <f aca="false">IF($G1078="","",$U1078*1000000+ROW())</f>
        <v/>
      </c>
      <c r="AA1078" s="36" t="str">
        <f aca="false">IF($G1078="","",MID(IF($C1078="",", no division","")&amp;IF($E1078="",", no unit","")&amp;IF($H1078="",", no career level","")&amp;IF(N($L1078)&lt;=0,", no quarter split","")&amp;IF($R1078="",", no driver","")&amp;IF(AND($H1078&lt;&gt;"",COUNTIF(CareerLevels,$H1078)=0),", a career level that is not on the ladder","")&amp;IF(AND($R1078&lt;&gt;"",COUNTIF(DriverList,$R1078)=0),", a driver that is not on the list","")&amp;IF(ABS(N($L1078)-(N($M1078)+N($N1078)+N($O1078)+N($P1078)))&gt;0.001,", a total that does not match its quarters",""),3,300))</f>
        <v/>
      </c>
    </row>
    <row r="1079" customFormat="false" ht="15" hidden="false" customHeight="false" outlineLevel="0" collapsed="false">
      <c r="A1079" s="33" t="str">
        <f aca="false">IF($G1079="","","Internal Audit Group")</f>
        <v/>
      </c>
      <c r="B1079" s="19"/>
      <c r="C1079" s="19"/>
      <c r="D1079" s="19"/>
      <c r="E1079" s="19"/>
      <c r="F1079" s="19"/>
      <c r="G1079" s="19"/>
      <c r="H1079" s="19"/>
      <c r="I1079" s="19"/>
      <c r="J1079" s="19"/>
      <c r="K1079" s="19"/>
      <c r="L1079" s="19"/>
      <c r="M1079" s="19"/>
      <c r="N1079" s="19"/>
      <c r="O1079" s="19"/>
      <c r="P1079" s="19"/>
      <c r="Q1079" s="19"/>
      <c r="R1079" s="19"/>
      <c r="S1079" s="19"/>
      <c r="T1079" s="34" t="str">
        <f aca="false">IF($R1079="","",IFERROR(INDEX(DriverCategory,MATCH($R1079,DriverList,0)),"BAU"))</f>
        <v/>
      </c>
      <c r="U1079" s="34" t="str">
        <f aca="false">IF($R1079="","",IFERROR(INDEX(DriverRank,MATCH($R1079,DriverList,0)),99))</f>
        <v/>
      </c>
      <c r="V1079" s="35" t="n">
        <f aca="false">IF($H1079="",0,IFERROR(INDEX(LevelBasic,MATCH($H1079,LevelList,0))+INDEX(LevelHousing,MATCH($H1079,LevelList,0))+INDEX(LevelTransport,MATCH($H1079,LevelList,0))+INDEX(LevelBasic,MATCH($H1079,LevelList,0))*INDEX(LevelBonus,MATCH($H1079,LevelList,0))+(INDEX(LevelBasic,MATCH($H1079,LevelList,0))+INDEX(LevelHousing,MATCH($H1079,LevelList,0)))*GosiSaudi,0))</f>
        <v>0</v>
      </c>
      <c r="W1079" s="35" t="n">
        <f aca="false">IFERROR(INDEX(LevelOneOff,MATCH($H1079,LevelList,0)),0)</f>
        <v>0</v>
      </c>
      <c r="X1079" s="35" t="str">
        <f aca="false">IF($G1079="","",$V1079*N($L1079))</f>
        <v/>
      </c>
      <c r="Y1079" s="35" t="str">
        <f aca="false">IF($G1079="","",$V1079*(N($M1079)*1+N($N1079)*0.75+N($O1079)*0.5+N($P1079)*0.25)+$W1079*N($L1079))</f>
        <v/>
      </c>
      <c r="Z1079" s="35" t="str">
        <f aca="false">IF($G1079="","",$U1079*1000000+ROW())</f>
        <v/>
      </c>
      <c r="AA1079" s="36" t="str">
        <f aca="false">IF($G1079="","",MID(IF($C1079="",", no division","")&amp;IF($E1079="",", no unit","")&amp;IF($H1079="",", no career level","")&amp;IF(N($L1079)&lt;=0,", no quarter split","")&amp;IF($R1079="",", no driver","")&amp;IF(AND($H1079&lt;&gt;"",COUNTIF(CareerLevels,$H1079)=0),", a career level that is not on the ladder","")&amp;IF(AND($R1079&lt;&gt;"",COUNTIF(DriverList,$R1079)=0),", a driver that is not on the list","")&amp;IF(ABS(N($L1079)-(N($M1079)+N($N1079)+N($O1079)+N($P1079)))&gt;0.001,", a total that does not match its quarters",""),3,300))</f>
        <v/>
      </c>
    </row>
    <row r="1080" customFormat="false" ht="15" hidden="false" customHeight="false" outlineLevel="0" collapsed="false">
      <c r="A1080" s="33" t="str">
        <f aca="false">IF($G1080="","","Internal Audit Group")</f>
        <v/>
      </c>
      <c r="B1080" s="19"/>
      <c r="C1080" s="19"/>
      <c r="D1080" s="19"/>
      <c r="E1080" s="19"/>
      <c r="F1080" s="19"/>
      <c r="G1080" s="19"/>
      <c r="H1080" s="19"/>
      <c r="I1080" s="19"/>
      <c r="J1080" s="19"/>
      <c r="K1080" s="19"/>
      <c r="L1080" s="19"/>
      <c r="M1080" s="19"/>
      <c r="N1080" s="19"/>
      <c r="O1080" s="19"/>
      <c r="P1080" s="19"/>
      <c r="Q1080" s="19"/>
      <c r="R1080" s="19"/>
      <c r="S1080" s="19"/>
      <c r="T1080" s="34" t="str">
        <f aca="false">IF($R1080="","",IFERROR(INDEX(DriverCategory,MATCH($R1080,DriverList,0)),"BAU"))</f>
        <v/>
      </c>
      <c r="U1080" s="34" t="str">
        <f aca="false">IF($R1080="","",IFERROR(INDEX(DriverRank,MATCH($R1080,DriverList,0)),99))</f>
        <v/>
      </c>
      <c r="V1080" s="35" t="n">
        <f aca="false">IF($H1080="",0,IFERROR(INDEX(LevelBasic,MATCH($H1080,LevelList,0))+INDEX(LevelHousing,MATCH($H1080,LevelList,0))+INDEX(LevelTransport,MATCH($H1080,LevelList,0))+INDEX(LevelBasic,MATCH($H1080,LevelList,0))*INDEX(LevelBonus,MATCH($H1080,LevelList,0))+(INDEX(LevelBasic,MATCH($H1080,LevelList,0))+INDEX(LevelHousing,MATCH($H1080,LevelList,0)))*GosiSaudi,0))</f>
        <v>0</v>
      </c>
      <c r="W1080" s="35" t="n">
        <f aca="false">IFERROR(INDEX(LevelOneOff,MATCH($H1080,LevelList,0)),0)</f>
        <v>0</v>
      </c>
      <c r="X1080" s="35" t="str">
        <f aca="false">IF($G1080="","",$V1080*N($L1080))</f>
        <v/>
      </c>
      <c r="Y1080" s="35" t="str">
        <f aca="false">IF($G1080="","",$V1080*(N($M1080)*1+N($N1080)*0.75+N($O1080)*0.5+N($P1080)*0.25)+$W1080*N($L1080))</f>
        <v/>
      </c>
      <c r="Z1080" s="35" t="str">
        <f aca="false">IF($G1080="","",$U1080*1000000+ROW())</f>
        <v/>
      </c>
      <c r="AA1080" s="36" t="str">
        <f aca="false">IF($G1080="","",MID(IF($C1080="",", no division","")&amp;IF($E1080="",", no unit","")&amp;IF($H1080="",", no career level","")&amp;IF(N($L1080)&lt;=0,", no quarter split","")&amp;IF($R1080="",", no driver","")&amp;IF(AND($H1080&lt;&gt;"",COUNTIF(CareerLevels,$H1080)=0),", a career level that is not on the ladder","")&amp;IF(AND($R1080&lt;&gt;"",COUNTIF(DriverList,$R1080)=0),", a driver that is not on the list","")&amp;IF(ABS(N($L1080)-(N($M1080)+N($N1080)+N($O1080)+N($P1080)))&gt;0.001,", a total that does not match its quarters",""),3,300))</f>
        <v/>
      </c>
    </row>
    <row r="1081" customFormat="false" ht="15" hidden="false" customHeight="false" outlineLevel="0" collapsed="false">
      <c r="A1081" s="33" t="str">
        <f aca="false">IF($G1081="","","Internal Audit Group")</f>
        <v/>
      </c>
      <c r="B1081" s="19"/>
      <c r="C1081" s="19"/>
      <c r="D1081" s="19"/>
      <c r="E1081" s="19"/>
      <c r="F1081" s="19"/>
      <c r="G1081" s="19"/>
      <c r="H1081" s="19"/>
      <c r="I1081" s="19"/>
      <c r="J1081" s="19"/>
      <c r="K1081" s="19"/>
      <c r="L1081" s="19"/>
      <c r="M1081" s="19"/>
      <c r="N1081" s="19"/>
      <c r="O1081" s="19"/>
      <c r="P1081" s="19"/>
      <c r="Q1081" s="19"/>
      <c r="R1081" s="19"/>
      <c r="S1081" s="19"/>
      <c r="T1081" s="34" t="str">
        <f aca="false">IF($R1081="","",IFERROR(INDEX(DriverCategory,MATCH($R1081,DriverList,0)),"BAU"))</f>
        <v/>
      </c>
      <c r="U1081" s="34" t="str">
        <f aca="false">IF($R1081="","",IFERROR(INDEX(DriverRank,MATCH($R1081,DriverList,0)),99))</f>
        <v/>
      </c>
      <c r="V1081" s="35" t="n">
        <f aca="false">IF($H1081="",0,IFERROR(INDEX(LevelBasic,MATCH($H1081,LevelList,0))+INDEX(LevelHousing,MATCH($H1081,LevelList,0))+INDEX(LevelTransport,MATCH($H1081,LevelList,0))+INDEX(LevelBasic,MATCH($H1081,LevelList,0))*INDEX(LevelBonus,MATCH($H1081,LevelList,0))+(INDEX(LevelBasic,MATCH($H1081,LevelList,0))+INDEX(LevelHousing,MATCH($H1081,LevelList,0)))*GosiSaudi,0))</f>
        <v>0</v>
      </c>
      <c r="W1081" s="35" t="n">
        <f aca="false">IFERROR(INDEX(LevelOneOff,MATCH($H1081,LevelList,0)),0)</f>
        <v>0</v>
      </c>
      <c r="X1081" s="35" t="str">
        <f aca="false">IF($G1081="","",$V1081*N($L1081))</f>
        <v/>
      </c>
      <c r="Y1081" s="35" t="str">
        <f aca="false">IF($G1081="","",$V1081*(N($M1081)*1+N($N1081)*0.75+N($O1081)*0.5+N($P1081)*0.25)+$W1081*N($L1081))</f>
        <v/>
      </c>
      <c r="Z1081" s="35" t="str">
        <f aca="false">IF($G1081="","",$U1081*1000000+ROW())</f>
        <v/>
      </c>
      <c r="AA1081" s="36" t="str">
        <f aca="false">IF($G1081="","",MID(IF($C1081="",", no division","")&amp;IF($E1081="",", no unit","")&amp;IF($H1081="",", no career level","")&amp;IF(N($L1081)&lt;=0,", no quarter split","")&amp;IF($R1081="",", no driver","")&amp;IF(AND($H1081&lt;&gt;"",COUNTIF(CareerLevels,$H1081)=0),", a career level that is not on the ladder","")&amp;IF(AND($R1081&lt;&gt;"",COUNTIF(DriverList,$R1081)=0),", a driver that is not on the list","")&amp;IF(ABS(N($L1081)-(N($M1081)+N($N1081)+N($O1081)+N($P1081)))&gt;0.001,", a total that does not match its quarters",""),3,300))</f>
        <v/>
      </c>
    </row>
    <row r="1082" customFormat="false" ht="15" hidden="false" customHeight="false" outlineLevel="0" collapsed="false">
      <c r="A1082" s="33" t="str">
        <f aca="false">IF($G1082="","","Internal Audit Group")</f>
        <v/>
      </c>
      <c r="B1082" s="19"/>
      <c r="C1082" s="19"/>
      <c r="D1082" s="19"/>
      <c r="E1082" s="19"/>
      <c r="F1082" s="19"/>
      <c r="G1082" s="19"/>
      <c r="H1082" s="19"/>
      <c r="I1082" s="19"/>
      <c r="J1082" s="19"/>
      <c r="K1082" s="19"/>
      <c r="L1082" s="19"/>
      <c r="M1082" s="19"/>
      <c r="N1082" s="19"/>
      <c r="O1082" s="19"/>
      <c r="P1082" s="19"/>
      <c r="Q1082" s="19"/>
      <c r="R1082" s="19"/>
      <c r="S1082" s="19"/>
      <c r="T1082" s="34" t="str">
        <f aca="false">IF($R1082="","",IFERROR(INDEX(DriverCategory,MATCH($R1082,DriverList,0)),"BAU"))</f>
        <v/>
      </c>
      <c r="U1082" s="34" t="str">
        <f aca="false">IF($R1082="","",IFERROR(INDEX(DriverRank,MATCH($R1082,DriverList,0)),99))</f>
        <v/>
      </c>
      <c r="V1082" s="35" t="n">
        <f aca="false">IF($H1082="",0,IFERROR(INDEX(LevelBasic,MATCH($H1082,LevelList,0))+INDEX(LevelHousing,MATCH($H1082,LevelList,0))+INDEX(LevelTransport,MATCH($H1082,LevelList,0))+INDEX(LevelBasic,MATCH($H1082,LevelList,0))*INDEX(LevelBonus,MATCH($H1082,LevelList,0))+(INDEX(LevelBasic,MATCH($H1082,LevelList,0))+INDEX(LevelHousing,MATCH($H1082,LevelList,0)))*GosiSaudi,0))</f>
        <v>0</v>
      </c>
      <c r="W1082" s="35" t="n">
        <f aca="false">IFERROR(INDEX(LevelOneOff,MATCH($H1082,LevelList,0)),0)</f>
        <v>0</v>
      </c>
      <c r="X1082" s="35" t="str">
        <f aca="false">IF($G1082="","",$V1082*N($L1082))</f>
        <v/>
      </c>
      <c r="Y1082" s="35" t="str">
        <f aca="false">IF($G1082="","",$V1082*(N($M1082)*1+N($N1082)*0.75+N($O1082)*0.5+N($P1082)*0.25)+$W1082*N($L1082))</f>
        <v/>
      </c>
      <c r="Z1082" s="35" t="str">
        <f aca="false">IF($G1082="","",$U1082*1000000+ROW())</f>
        <v/>
      </c>
      <c r="AA1082" s="36" t="str">
        <f aca="false">IF($G1082="","",MID(IF($C1082="",", no division","")&amp;IF($E1082="",", no unit","")&amp;IF($H1082="",", no career level","")&amp;IF(N($L1082)&lt;=0,", no quarter split","")&amp;IF($R1082="",", no driver","")&amp;IF(AND($H1082&lt;&gt;"",COUNTIF(CareerLevels,$H1082)=0),", a career level that is not on the ladder","")&amp;IF(AND($R1082&lt;&gt;"",COUNTIF(DriverList,$R1082)=0),", a driver that is not on the list","")&amp;IF(ABS(N($L1082)-(N($M1082)+N($N1082)+N($O1082)+N($P1082)))&gt;0.001,", a total that does not match its quarters",""),3,300))</f>
        <v/>
      </c>
    </row>
    <row r="1083" customFormat="false" ht="15" hidden="false" customHeight="false" outlineLevel="0" collapsed="false">
      <c r="A1083" s="33" t="str">
        <f aca="false">IF($G1083="","","Internal Audit Group")</f>
        <v/>
      </c>
      <c r="B1083" s="19"/>
      <c r="C1083" s="19"/>
      <c r="D1083" s="19"/>
      <c r="E1083" s="19"/>
      <c r="F1083" s="19"/>
      <c r="G1083" s="19"/>
      <c r="H1083" s="19"/>
      <c r="I1083" s="19"/>
      <c r="J1083" s="19"/>
      <c r="K1083" s="19"/>
      <c r="L1083" s="19"/>
      <c r="M1083" s="19"/>
      <c r="N1083" s="19"/>
      <c r="O1083" s="19"/>
      <c r="P1083" s="19"/>
      <c r="Q1083" s="19"/>
      <c r="R1083" s="19"/>
      <c r="S1083" s="19"/>
      <c r="T1083" s="34" t="str">
        <f aca="false">IF($R1083="","",IFERROR(INDEX(DriverCategory,MATCH($R1083,DriverList,0)),"BAU"))</f>
        <v/>
      </c>
      <c r="U1083" s="34" t="str">
        <f aca="false">IF($R1083="","",IFERROR(INDEX(DriverRank,MATCH($R1083,DriverList,0)),99))</f>
        <v/>
      </c>
      <c r="V1083" s="35" t="n">
        <f aca="false">IF($H1083="",0,IFERROR(INDEX(LevelBasic,MATCH($H1083,LevelList,0))+INDEX(LevelHousing,MATCH($H1083,LevelList,0))+INDEX(LevelTransport,MATCH($H1083,LevelList,0))+INDEX(LevelBasic,MATCH($H1083,LevelList,0))*INDEX(LevelBonus,MATCH($H1083,LevelList,0))+(INDEX(LevelBasic,MATCH($H1083,LevelList,0))+INDEX(LevelHousing,MATCH($H1083,LevelList,0)))*GosiSaudi,0))</f>
        <v>0</v>
      </c>
      <c r="W1083" s="35" t="n">
        <f aca="false">IFERROR(INDEX(LevelOneOff,MATCH($H1083,LevelList,0)),0)</f>
        <v>0</v>
      </c>
      <c r="X1083" s="35" t="str">
        <f aca="false">IF($G1083="","",$V1083*N($L1083))</f>
        <v/>
      </c>
      <c r="Y1083" s="35" t="str">
        <f aca="false">IF($G1083="","",$V1083*(N($M1083)*1+N($N1083)*0.75+N($O1083)*0.5+N($P1083)*0.25)+$W1083*N($L1083))</f>
        <v/>
      </c>
      <c r="Z1083" s="35" t="str">
        <f aca="false">IF($G1083="","",$U1083*1000000+ROW())</f>
        <v/>
      </c>
      <c r="AA1083" s="36" t="str">
        <f aca="false">IF($G1083="","",MID(IF($C1083="",", no division","")&amp;IF($E1083="",", no unit","")&amp;IF($H1083="",", no career level","")&amp;IF(N($L1083)&lt;=0,", no quarter split","")&amp;IF($R1083="",", no driver","")&amp;IF(AND($H1083&lt;&gt;"",COUNTIF(CareerLevels,$H1083)=0),", a career level that is not on the ladder","")&amp;IF(AND($R1083&lt;&gt;"",COUNTIF(DriverList,$R1083)=0),", a driver that is not on the list","")&amp;IF(ABS(N($L1083)-(N($M1083)+N($N1083)+N($O1083)+N($P1083)))&gt;0.001,", a total that does not match its quarters",""),3,300))</f>
        <v/>
      </c>
    </row>
    <row r="1084" customFormat="false" ht="15" hidden="false" customHeight="false" outlineLevel="0" collapsed="false">
      <c r="A1084" s="33" t="str">
        <f aca="false">IF($G1084="","","Internal Audit Group")</f>
        <v/>
      </c>
      <c r="B1084" s="19"/>
      <c r="C1084" s="19"/>
      <c r="D1084" s="19"/>
      <c r="E1084" s="19"/>
      <c r="F1084" s="19"/>
      <c r="G1084" s="19"/>
      <c r="H1084" s="19"/>
      <c r="I1084" s="19"/>
      <c r="J1084" s="19"/>
      <c r="K1084" s="19"/>
      <c r="L1084" s="19"/>
      <c r="M1084" s="19"/>
      <c r="N1084" s="19"/>
      <c r="O1084" s="19"/>
      <c r="P1084" s="19"/>
      <c r="Q1084" s="19"/>
      <c r="R1084" s="19"/>
      <c r="S1084" s="19"/>
      <c r="T1084" s="34" t="str">
        <f aca="false">IF($R1084="","",IFERROR(INDEX(DriverCategory,MATCH($R1084,DriverList,0)),"BAU"))</f>
        <v/>
      </c>
      <c r="U1084" s="34" t="str">
        <f aca="false">IF($R1084="","",IFERROR(INDEX(DriverRank,MATCH($R1084,DriverList,0)),99))</f>
        <v/>
      </c>
      <c r="V1084" s="35" t="n">
        <f aca="false">IF($H1084="",0,IFERROR(INDEX(LevelBasic,MATCH($H1084,LevelList,0))+INDEX(LevelHousing,MATCH($H1084,LevelList,0))+INDEX(LevelTransport,MATCH($H1084,LevelList,0))+INDEX(LevelBasic,MATCH($H1084,LevelList,0))*INDEX(LevelBonus,MATCH($H1084,LevelList,0))+(INDEX(LevelBasic,MATCH($H1084,LevelList,0))+INDEX(LevelHousing,MATCH($H1084,LevelList,0)))*GosiSaudi,0))</f>
        <v>0</v>
      </c>
      <c r="W1084" s="35" t="n">
        <f aca="false">IFERROR(INDEX(LevelOneOff,MATCH($H1084,LevelList,0)),0)</f>
        <v>0</v>
      </c>
      <c r="X1084" s="35" t="str">
        <f aca="false">IF($G1084="","",$V1084*N($L1084))</f>
        <v/>
      </c>
      <c r="Y1084" s="35" t="str">
        <f aca="false">IF($G1084="","",$V1084*(N($M1084)*1+N($N1084)*0.75+N($O1084)*0.5+N($P1084)*0.25)+$W1084*N($L1084))</f>
        <v/>
      </c>
      <c r="Z1084" s="35" t="str">
        <f aca="false">IF($G1084="","",$U1084*1000000+ROW())</f>
        <v/>
      </c>
      <c r="AA1084" s="36" t="str">
        <f aca="false">IF($G1084="","",MID(IF($C1084="",", no division","")&amp;IF($E1084="",", no unit","")&amp;IF($H1084="",", no career level","")&amp;IF(N($L1084)&lt;=0,", no quarter split","")&amp;IF($R1084="",", no driver","")&amp;IF(AND($H1084&lt;&gt;"",COUNTIF(CareerLevels,$H1084)=0),", a career level that is not on the ladder","")&amp;IF(AND($R1084&lt;&gt;"",COUNTIF(DriverList,$R1084)=0),", a driver that is not on the list","")&amp;IF(ABS(N($L1084)-(N($M1084)+N($N1084)+N($O1084)+N($P1084)))&gt;0.001,", a total that does not match its quarters",""),3,300))</f>
        <v/>
      </c>
    </row>
    <row r="1085" customFormat="false" ht="15" hidden="false" customHeight="false" outlineLevel="0" collapsed="false">
      <c r="A1085" s="33" t="str">
        <f aca="false">IF($G1085="","","Internal Audit Group")</f>
        <v/>
      </c>
      <c r="B1085" s="19"/>
      <c r="C1085" s="19"/>
      <c r="D1085" s="19"/>
      <c r="E1085" s="19"/>
      <c r="F1085" s="19"/>
      <c r="G1085" s="19"/>
      <c r="H1085" s="19"/>
      <c r="I1085" s="19"/>
      <c r="J1085" s="19"/>
      <c r="K1085" s="19"/>
      <c r="L1085" s="19"/>
      <c r="M1085" s="19"/>
      <c r="N1085" s="19"/>
      <c r="O1085" s="19"/>
      <c r="P1085" s="19"/>
      <c r="Q1085" s="19"/>
      <c r="R1085" s="19"/>
      <c r="S1085" s="19"/>
      <c r="T1085" s="34" t="str">
        <f aca="false">IF($R1085="","",IFERROR(INDEX(DriverCategory,MATCH($R1085,DriverList,0)),"BAU"))</f>
        <v/>
      </c>
      <c r="U1085" s="34" t="str">
        <f aca="false">IF($R1085="","",IFERROR(INDEX(DriverRank,MATCH($R1085,DriverList,0)),99))</f>
        <v/>
      </c>
      <c r="V1085" s="35" t="n">
        <f aca="false">IF($H1085="",0,IFERROR(INDEX(LevelBasic,MATCH($H1085,LevelList,0))+INDEX(LevelHousing,MATCH($H1085,LevelList,0))+INDEX(LevelTransport,MATCH($H1085,LevelList,0))+INDEX(LevelBasic,MATCH($H1085,LevelList,0))*INDEX(LevelBonus,MATCH($H1085,LevelList,0))+(INDEX(LevelBasic,MATCH($H1085,LevelList,0))+INDEX(LevelHousing,MATCH($H1085,LevelList,0)))*GosiSaudi,0))</f>
        <v>0</v>
      </c>
      <c r="W1085" s="35" t="n">
        <f aca="false">IFERROR(INDEX(LevelOneOff,MATCH($H1085,LevelList,0)),0)</f>
        <v>0</v>
      </c>
      <c r="X1085" s="35" t="str">
        <f aca="false">IF($G1085="","",$V1085*N($L1085))</f>
        <v/>
      </c>
      <c r="Y1085" s="35" t="str">
        <f aca="false">IF($G1085="","",$V1085*(N($M1085)*1+N($N1085)*0.75+N($O1085)*0.5+N($P1085)*0.25)+$W1085*N($L1085))</f>
        <v/>
      </c>
      <c r="Z1085" s="35" t="str">
        <f aca="false">IF($G1085="","",$U1085*1000000+ROW())</f>
        <v/>
      </c>
      <c r="AA1085" s="36" t="str">
        <f aca="false">IF($G1085="","",MID(IF($C1085="",", no division","")&amp;IF($E1085="",", no unit","")&amp;IF($H1085="",", no career level","")&amp;IF(N($L1085)&lt;=0,", no quarter split","")&amp;IF($R1085="",", no driver","")&amp;IF(AND($H1085&lt;&gt;"",COUNTIF(CareerLevels,$H1085)=0),", a career level that is not on the ladder","")&amp;IF(AND($R1085&lt;&gt;"",COUNTIF(DriverList,$R1085)=0),", a driver that is not on the list","")&amp;IF(ABS(N($L1085)-(N($M1085)+N($N1085)+N($O1085)+N($P1085)))&gt;0.001,", a total that does not match its quarters",""),3,300))</f>
        <v/>
      </c>
    </row>
    <row r="1086" customFormat="false" ht="15" hidden="false" customHeight="false" outlineLevel="0" collapsed="false">
      <c r="A1086" s="33" t="str">
        <f aca="false">IF($G1086="","","Internal Audit Group")</f>
        <v/>
      </c>
      <c r="B1086" s="19"/>
      <c r="C1086" s="19"/>
      <c r="D1086" s="19"/>
      <c r="E1086" s="19"/>
      <c r="F1086" s="19"/>
      <c r="G1086" s="19"/>
      <c r="H1086" s="19"/>
      <c r="I1086" s="19"/>
      <c r="J1086" s="19"/>
      <c r="K1086" s="19"/>
      <c r="L1086" s="19"/>
      <c r="M1086" s="19"/>
      <c r="N1086" s="19"/>
      <c r="O1086" s="19"/>
      <c r="P1086" s="19"/>
      <c r="Q1086" s="19"/>
      <c r="R1086" s="19"/>
      <c r="S1086" s="19"/>
      <c r="T1086" s="34" t="str">
        <f aca="false">IF($R1086="","",IFERROR(INDEX(DriverCategory,MATCH($R1086,DriverList,0)),"BAU"))</f>
        <v/>
      </c>
      <c r="U1086" s="34" t="str">
        <f aca="false">IF($R1086="","",IFERROR(INDEX(DriverRank,MATCH($R1086,DriverList,0)),99))</f>
        <v/>
      </c>
      <c r="V1086" s="35" t="n">
        <f aca="false">IF($H1086="",0,IFERROR(INDEX(LevelBasic,MATCH($H1086,LevelList,0))+INDEX(LevelHousing,MATCH($H1086,LevelList,0))+INDEX(LevelTransport,MATCH($H1086,LevelList,0))+INDEX(LevelBasic,MATCH($H1086,LevelList,0))*INDEX(LevelBonus,MATCH($H1086,LevelList,0))+(INDEX(LevelBasic,MATCH($H1086,LevelList,0))+INDEX(LevelHousing,MATCH($H1086,LevelList,0)))*GosiSaudi,0))</f>
        <v>0</v>
      </c>
      <c r="W1086" s="35" t="n">
        <f aca="false">IFERROR(INDEX(LevelOneOff,MATCH($H1086,LevelList,0)),0)</f>
        <v>0</v>
      </c>
      <c r="X1086" s="35" t="str">
        <f aca="false">IF($G1086="","",$V1086*N($L1086))</f>
        <v/>
      </c>
      <c r="Y1086" s="35" t="str">
        <f aca="false">IF($G1086="","",$V1086*(N($M1086)*1+N($N1086)*0.75+N($O1086)*0.5+N($P1086)*0.25)+$W1086*N($L1086))</f>
        <v/>
      </c>
      <c r="Z1086" s="35" t="str">
        <f aca="false">IF($G1086="","",$U1086*1000000+ROW())</f>
        <v/>
      </c>
      <c r="AA1086" s="36" t="str">
        <f aca="false">IF($G1086="","",MID(IF($C1086="",", no division","")&amp;IF($E1086="",", no unit","")&amp;IF($H1086="",", no career level","")&amp;IF(N($L1086)&lt;=0,", no quarter split","")&amp;IF($R1086="",", no driver","")&amp;IF(AND($H1086&lt;&gt;"",COUNTIF(CareerLevels,$H1086)=0),", a career level that is not on the ladder","")&amp;IF(AND($R1086&lt;&gt;"",COUNTIF(DriverList,$R1086)=0),", a driver that is not on the list","")&amp;IF(ABS(N($L1086)-(N($M1086)+N($N1086)+N($O1086)+N($P1086)))&gt;0.001,", a total that does not match its quarters",""),3,300))</f>
        <v/>
      </c>
    </row>
    <row r="1087" customFormat="false" ht="15" hidden="false" customHeight="false" outlineLevel="0" collapsed="false">
      <c r="A1087" s="33" t="str">
        <f aca="false">IF($G1087="","","Internal Audit Group")</f>
        <v/>
      </c>
      <c r="B1087" s="19"/>
      <c r="C1087" s="19"/>
      <c r="D1087" s="19"/>
      <c r="E1087" s="19"/>
      <c r="F1087" s="19"/>
      <c r="G1087" s="19"/>
      <c r="H1087" s="19"/>
      <c r="I1087" s="19"/>
      <c r="J1087" s="19"/>
      <c r="K1087" s="19"/>
      <c r="L1087" s="19"/>
      <c r="M1087" s="19"/>
      <c r="N1087" s="19"/>
      <c r="O1087" s="19"/>
      <c r="P1087" s="19"/>
      <c r="Q1087" s="19"/>
      <c r="R1087" s="19"/>
      <c r="S1087" s="19"/>
      <c r="T1087" s="34" t="str">
        <f aca="false">IF($R1087="","",IFERROR(INDEX(DriverCategory,MATCH($R1087,DriverList,0)),"BAU"))</f>
        <v/>
      </c>
      <c r="U1087" s="34" t="str">
        <f aca="false">IF($R1087="","",IFERROR(INDEX(DriverRank,MATCH($R1087,DriverList,0)),99))</f>
        <v/>
      </c>
      <c r="V1087" s="35" t="n">
        <f aca="false">IF($H1087="",0,IFERROR(INDEX(LevelBasic,MATCH($H1087,LevelList,0))+INDEX(LevelHousing,MATCH($H1087,LevelList,0))+INDEX(LevelTransport,MATCH($H1087,LevelList,0))+INDEX(LevelBasic,MATCH($H1087,LevelList,0))*INDEX(LevelBonus,MATCH($H1087,LevelList,0))+(INDEX(LevelBasic,MATCH($H1087,LevelList,0))+INDEX(LevelHousing,MATCH($H1087,LevelList,0)))*GosiSaudi,0))</f>
        <v>0</v>
      </c>
      <c r="W1087" s="35" t="n">
        <f aca="false">IFERROR(INDEX(LevelOneOff,MATCH($H1087,LevelList,0)),0)</f>
        <v>0</v>
      </c>
      <c r="X1087" s="35" t="str">
        <f aca="false">IF($G1087="","",$V1087*N($L1087))</f>
        <v/>
      </c>
      <c r="Y1087" s="35" t="str">
        <f aca="false">IF($G1087="","",$V1087*(N($M1087)*1+N($N1087)*0.75+N($O1087)*0.5+N($P1087)*0.25)+$W1087*N($L1087))</f>
        <v/>
      </c>
      <c r="Z1087" s="35" t="str">
        <f aca="false">IF($G1087="","",$U1087*1000000+ROW())</f>
        <v/>
      </c>
      <c r="AA1087" s="36" t="str">
        <f aca="false">IF($G1087="","",MID(IF($C1087="",", no division","")&amp;IF($E1087="",", no unit","")&amp;IF($H1087="",", no career level","")&amp;IF(N($L1087)&lt;=0,", no quarter split","")&amp;IF($R1087="",", no driver","")&amp;IF(AND($H1087&lt;&gt;"",COUNTIF(CareerLevels,$H1087)=0),", a career level that is not on the ladder","")&amp;IF(AND($R1087&lt;&gt;"",COUNTIF(DriverList,$R1087)=0),", a driver that is not on the list","")&amp;IF(ABS(N($L1087)-(N($M1087)+N($N1087)+N($O1087)+N($P1087)))&gt;0.001,", a total that does not match its quarters",""),3,300))</f>
        <v/>
      </c>
    </row>
    <row r="1088" customFormat="false" ht="15" hidden="false" customHeight="false" outlineLevel="0" collapsed="false">
      <c r="A1088" s="33" t="str">
        <f aca="false">IF($G1088="","","Internal Audit Group")</f>
        <v/>
      </c>
      <c r="B1088" s="19"/>
      <c r="C1088" s="19"/>
      <c r="D1088" s="19"/>
      <c r="E1088" s="19"/>
      <c r="F1088" s="19"/>
      <c r="G1088" s="19"/>
      <c r="H1088" s="19"/>
      <c r="I1088" s="19"/>
      <c r="J1088" s="19"/>
      <c r="K1088" s="19"/>
      <c r="L1088" s="19"/>
      <c r="M1088" s="19"/>
      <c r="N1088" s="19"/>
      <c r="O1088" s="19"/>
      <c r="P1088" s="19"/>
      <c r="Q1088" s="19"/>
      <c r="R1088" s="19"/>
      <c r="S1088" s="19"/>
      <c r="T1088" s="34" t="str">
        <f aca="false">IF($R1088="","",IFERROR(INDEX(DriverCategory,MATCH($R1088,DriverList,0)),"BAU"))</f>
        <v/>
      </c>
      <c r="U1088" s="34" t="str">
        <f aca="false">IF($R1088="","",IFERROR(INDEX(DriverRank,MATCH($R1088,DriverList,0)),99))</f>
        <v/>
      </c>
      <c r="V1088" s="35" t="n">
        <f aca="false">IF($H1088="",0,IFERROR(INDEX(LevelBasic,MATCH($H1088,LevelList,0))+INDEX(LevelHousing,MATCH($H1088,LevelList,0))+INDEX(LevelTransport,MATCH($H1088,LevelList,0))+INDEX(LevelBasic,MATCH($H1088,LevelList,0))*INDEX(LevelBonus,MATCH($H1088,LevelList,0))+(INDEX(LevelBasic,MATCH($H1088,LevelList,0))+INDEX(LevelHousing,MATCH($H1088,LevelList,0)))*GosiSaudi,0))</f>
        <v>0</v>
      </c>
      <c r="W1088" s="35" t="n">
        <f aca="false">IFERROR(INDEX(LevelOneOff,MATCH($H1088,LevelList,0)),0)</f>
        <v>0</v>
      </c>
      <c r="X1088" s="35" t="str">
        <f aca="false">IF($G1088="","",$V1088*N($L1088))</f>
        <v/>
      </c>
      <c r="Y1088" s="35" t="str">
        <f aca="false">IF($G1088="","",$V1088*(N($M1088)*1+N($N1088)*0.75+N($O1088)*0.5+N($P1088)*0.25)+$W1088*N($L1088))</f>
        <v/>
      </c>
      <c r="Z1088" s="35" t="str">
        <f aca="false">IF($G1088="","",$U1088*1000000+ROW())</f>
        <v/>
      </c>
      <c r="AA1088" s="36" t="str">
        <f aca="false">IF($G1088="","",MID(IF($C1088="",", no division","")&amp;IF($E1088="",", no unit","")&amp;IF($H1088="",", no career level","")&amp;IF(N($L1088)&lt;=0,", no quarter split","")&amp;IF($R1088="",", no driver","")&amp;IF(AND($H1088&lt;&gt;"",COUNTIF(CareerLevels,$H1088)=0),", a career level that is not on the ladder","")&amp;IF(AND($R1088&lt;&gt;"",COUNTIF(DriverList,$R1088)=0),", a driver that is not on the list","")&amp;IF(ABS(N($L1088)-(N($M1088)+N($N1088)+N($O1088)+N($P1088)))&gt;0.001,", a total that does not match its quarters",""),3,300))</f>
        <v/>
      </c>
    </row>
    <row r="1089" customFormat="false" ht="15" hidden="false" customHeight="false" outlineLevel="0" collapsed="false">
      <c r="A1089" s="33" t="str">
        <f aca="false">IF($G1089="","","Internal Audit Group")</f>
        <v/>
      </c>
      <c r="B1089" s="19"/>
      <c r="C1089" s="19"/>
      <c r="D1089" s="19"/>
      <c r="E1089" s="19"/>
      <c r="F1089" s="19"/>
      <c r="G1089" s="19"/>
      <c r="H1089" s="19"/>
      <c r="I1089" s="19"/>
      <c r="J1089" s="19"/>
      <c r="K1089" s="19"/>
      <c r="L1089" s="19"/>
      <c r="M1089" s="19"/>
      <c r="N1089" s="19"/>
      <c r="O1089" s="19"/>
      <c r="P1089" s="19"/>
      <c r="Q1089" s="19"/>
      <c r="R1089" s="19"/>
      <c r="S1089" s="19"/>
      <c r="T1089" s="34" t="str">
        <f aca="false">IF($R1089="","",IFERROR(INDEX(DriverCategory,MATCH($R1089,DriverList,0)),"BAU"))</f>
        <v/>
      </c>
      <c r="U1089" s="34" t="str">
        <f aca="false">IF($R1089="","",IFERROR(INDEX(DriverRank,MATCH($R1089,DriverList,0)),99))</f>
        <v/>
      </c>
      <c r="V1089" s="35" t="n">
        <f aca="false">IF($H1089="",0,IFERROR(INDEX(LevelBasic,MATCH($H1089,LevelList,0))+INDEX(LevelHousing,MATCH($H1089,LevelList,0))+INDEX(LevelTransport,MATCH($H1089,LevelList,0))+INDEX(LevelBasic,MATCH($H1089,LevelList,0))*INDEX(LevelBonus,MATCH($H1089,LevelList,0))+(INDEX(LevelBasic,MATCH($H1089,LevelList,0))+INDEX(LevelHousing,MATCH($H1089,LevelList,0)))*GosiSaudi,0))</f>
        <v>0</v>
      </c>
      <c r="W1089" s="35" t="n">
        <f aca="false">IFERROR(INDEX(LevelOneOff,MATCH($H1089,LevelList,0)),0)</f>
        <v>0</v>
      </c>
      <c r="X1089" s="35" t="str">
        <f aca="false">IF($G1089="","",$V1089*N($L1089))</f>
        <v/>
      </c>
      <c r="Y1089" s="35" t="str">
        <f aca="false">IF($G1089="","",$V1089*(N($M1089)*1+N($N1089)*0.75+N($O1089)*0.5+N($P1089)*0.25)+$W1089*N($L1089))</f>
        <v/>
      </c>
      <c r="Z1089" s="35" t="str">
        <f aca="false">IF($G1089="","",$U1089*1000000+ROW())</f>
        <v/>
      </c>
      <c r="AA1089" s="36" t="str">
        <f aca="false">IF($G1089="","",MID(IF($C1089="",", no division","")&amp;IF($E1089="",", no unit","")&amp;IF($H1089="",", no career level","")&amp;IF(N($L1089)&lt;=0,", no quarter split","")&amp;IF($R1089="",", no driver","")&amp;IF(AND($H1089&lt;&gt;"",COUNTIF(CareerLevels,$H1089)=0),", a career level that is not on the ladder","")&amp;IF(AND($R1089&lt;&gt;"",COUNTIF(DriverList,$R1089)=0),", a driver that is not on the list","")&amp;IF(ABS(N($L1089)-(N($M1089)+N($N1089)+N($O1089)+N($P1089)))&gt;0.001,", a total that does not match its quarters",""),3,300))</f>
        <v/>
      </c>
    </row>
    <row r="1090" customFormat="false" ht="15" hidden="false" customHeight="false" outlineLevel="0" collapsed="false">
      <c r="A1090" s="33" t="str">
        <f aca="false">IF($G1090="","","Internal Audit Group")</f>
        <v/>
      </c>
      <c r="B1090" s="19"/>
      <c r="C1090" s="19"/>
      <c r="D1090" s="19"/>
      <c r="E1090" s="19"/>
      <c r="F1090" s="19"/>
      <c r="G1090" s="19"/>
      <c r="H1090" s="19"/>
      <c r="I1090" s="19"/>
      <c r="J1090" s="19"/>
      <c r="K1090" s="19"/>
      <c r="L1090" s="19"/>
      <c r="M1090" s="19"/>
      <c r="N1090" s="19"/>
      <c r="O1090" s="19"/>
      <c r="P1090" s="19"/>
      <c r="Q1090" s="19"/>
      <c r="R1090" s="19"/>
      <c r="S1090" s="19"/>
      <c r="T1090" s="34" t="str">
        <f aca="false">IF($R1090="","",IFERROR(INDEX(DriverCategory,MATCH($R1090,DriverList,0)),"BAU"))</f>
        <v/>
      </c>
      <c r="U1090" s="34" t="str">
        <f aca="false">IF($R1090="","",IFERROR(INDEX(DriverRank,MATCH($R1090,DriverList,0)),99))</f>
        <v/>
      </c>
      <c r="V1090" s="35" t="n">
        <f aca="false">IF($H1090="",0,IFERROR(INDEX(LevelBasic,MATCH($H1090,LevelList,0))+INDEX(LevelHousing,MATCH($H1090,LevelList,0))+INDEX(LevelTransport,MATCH($H1090,LevelList,0))+INDEX(LevelBasic,MATCH($H1090,LevelList,0))*INDEX(LevelBonus,MATCH($H1090,LevelList,0))+(INDEX(LevelBasic,MATCH($H1090,LevelList,0))+INDEX(LevelHousing,MATCH($H1090,LevelList,0)))*GosiSaudi,0))</f>
        <v>0</v>
      </c>
      <c r="W1090" s="35" t="n">
        <f aca="false">IFERROR(INDEX(LevelOneOff,MATCH($H1090,LevelList,0)),0)</f>
        <v>0</v>
      </c>
      <c r="X1090" s="35" t="str">
        <f aca="false">IF($G1090="","",$V1090*N($L1090))</f>
        <v/>
      </c>
      <c r="Y1090" s="35" t="str">
        <f aca="false">IF($G1090="","",$V1090*(N($M1090)*1+N($N1090)*0.75+N($O1090)*0.5+N($P1090)*0.25)+$W1090*N($L1090))</f>
        <v/>
      </c>
      <c r="Z1090" s="35" t="str">
        <f aca="false">IF($G1090="","",$U1090*1000000+ROW())</f>
        <v/>
      </c>
      <c r="AA1090" s="36" t="str">
        <f aca="false">IF($G1090="","",MID(IF($C1090="",", no division","")&amp;IF($E1090="",", no unit","")&amp;IF($H1090="",", no career level","")&amp;IF(N($L1090)&lt;=0,", no quarter split","")&amp;IF($R1090="",", no driver","")&amp;IF(AND($H1090&lt;&gt;"",COUNTIF(CareerLevels,$H1090)=0),", a career level that is not on the ladder","")&amp;IF(AND($R1090&lt;&gt;"",COUNTIF(DriverList,$R1090)=0),", a driver that is not on the list","")&amp;IF(ABS(N($L1090)-(N($M1090)+N($N1090)+N($O1090)+N($P1090)))&gt;0.001,", a total that does not match its quarters",""),3,300))</f>
        <v/>
      </c>
    </row>
    <row r="1091" customFormat="false" ht="15" hidden="false" customHeight="false" outlineLevel="0" collapsed="false">
      <c r="A1091" s="33" t="str">
        <f aca="false">IF($G1091="","","Internal Audit Group")</f>
        <v/>
      </c>
      <c r="B1091" s="19"/>
      <c r="C1091" s="19"/>
      <c r="D1091" s="19"/>
      <c r="E1091" s="19"/>
      <c r="F1091" s="19"/>
      <c r="G1091" s="19"/>
      <c r="H1091" s="19"/>
      <c r="I1091" s="19"/>
      <c r="J1091" s="19"/>
      <c r="K1091" s="19"/>
      <c r="L1091" s="19"/>
      <c r="M1091" s="19"/>
      <c r="N1091" s="19"/>
      <c r="O1091" s="19"/>
      <c r="P1091" s="19"/>
      <c r="Q1091" s="19"/>
      <c r="R1091" s="19"/>
      <c r="S1091" s="19"/>
      <c r="T1091" s="34" t="str">
        <f aca="false">IF($R1091="","",IFERROR(INDEX(DriverCategory,MATCH($R1091,DriverList,0)),"BAU"))</f>
        <v/>
      </c>
      <c r="U1091" s="34" t="str">
        <f aca="false">IF($R1091="","",IFERROR(INDEX(DriverRank,MATCH($R1091,DriverList,0)),99))</f>
        <v/>
      </c>
      <c r="V1091" s="35" t="n">
        <f aca="false">IF($H1091="",0,IFERROR(INDEX(LevelBasic,MATCH($H1091,LevelList,0))+INDEX(LevelHousing,MATCH($H1091,LevelList,0))+INDEX(LevelTransport,MATCH($H1091,LevelList,0))+INDEX(LevelBasic,MATCH($H1091,LevelList,0))*INDEX(LevelBonus,MATCH($H1091,LevelList,0))+(INDEX(LevelBasic,MATCH($H1091,LevelList,0))+INDEX(LevelHousing,MATCH($H1091,LevelList,0)))*GosiSaudi,0))</f>
        <v>0</v>
      </c>
      <c r="W1091" s="35" t="n">
        <f aca="false">IFERROR(INDEX(LevelOneOff,MATCH($H1091,LevelList,0)),0)</f>
        <v>0</v>
      </c>
      <c r="X1091" s="35" t="str">
        <f aca="false">IF($G1091="","",$V1091*N($L1091))</f>
        <v/>
      </c>
      <c r="Y1091" s="35" t="str">
        <f aca="false">IF($G1091="","",$V1091*(N($M1091)*1+N($N1091)*0.75+N($O1091)*0.5+N($P1091)*0.25)+$W1091*N($L1091))</f>
        <v/>
      </c>
      <c r="Z1091" s="35" t="str">
        <f aca="false">IF($G1091="","",$U1091*1000000+ROW())</f>
        <v/>
      </c>
      <c r="AA1091" s="36" t="str">
        <f aca="false">IF($G1091="","",MID(IF($C1091="",", no division","")&amp;IF($E1091="",", no unit","")&amp;IF($H1091="",", no career level","")&amp;IF(N($L1091)&lt;=0,", no quarter split","")&amp;IF($R1091="",", no driver","")&amp;IF(AND($H1091&lt;&gt;"",COUNTIF(CareerLevels,$H1091)=0),", a career level that is not on the ladder","")&amp;IF(AND($R1091&lt;&gt;"",COUNTIF(DriverList,$R1091)=0),", a driver that is not on the list","")&amp;IF(ABS(N($L1091)-(N($M1091)+N($N1091)+N($O1091)+N($P1091)))&gt;0.001,", a total that does not match its quarters",""),3,300))</f>
        <v/>
      </c>
    </row>
    <row r="1092" customFormat="false" ht="15" hidden="false" customHeight="false" outlineLevel="0" collapsed="false">
      <c r="A1092" s="33" t="str">
        <f aca="false">IF($G1092="","","Internal Audit Group")</f>
        <v/>
      </c>
      <c r="B1092" s="19"/>
      <c r="C1092" s="19"/>
      <c r="D1092" s="19"/>
      <c r="E1092" s="19"/>
      <c r="F1092" s="19"/>
      <c r="G1092" s="19"/>
      <c r="H1092" s="19"/>
      <c r="I1092" s="19"/>
      <c r="J1092" s="19"/>
      <c r="K1092" s="19"/>
      <c r="L1092" s="19"/>
      <c r="M1092" s="19"/>
      <c r="N1092" s="19"/>
      <c r="O1092" s="19"/>
      <c r="P1092" s="19"/>
      <c r="Q1092" s="19"/>
      <c r="R1092" s="19"/>
      <c r="S1092" s="19"/>
      <c r="T1092" s="34" t="str">
        <f aca="false">IF($R1092="","",IFERROR(INDEX(DriverCategory,MATCH($R1092,DriverList,0)),"BAU"))</f>
        <v/>
      </c>
      <c r="U1092" s="34" t="str">
        <f aca="false">IF($R1092="","",IFERROR(INDEX(DriverRank,MATCH($R1092,DriverList,0)),99))</f>
        <v/>
      </c>
      <c r="V1092" s="35" t="n">
        <f aca="false">IF($H1092="",0,IFERROR(INDEX(LevelBasic,MATCH($H1092,LevelList,0))+INDEX(LevelHousing,MATCH($H1092,LevelList,0))+INDEX(LevelTransport,MATCH($H1092,LevelList,0))+INDEX(LevelBasic,MATCH($H1092,LevelList,0))*INDEX(LevelBonus,MATCH($H1092,LevelList,0))+(INDEX(LevelBasic,MATCH($H1092,LevelList,0))+INDEX(LevelHousing,MATCH($H1092,LevelList,0)))*GosiSaudi,0))</f>
        <v>0</v>
      </c>
      <c r="W1092" s="35" t="n">
        <f aca="false">IFERROR(INDEX(LevelOneOff,MATCH($H1092,LevelList,0)),0)</f>
        <v>0</v>
      </c>
      <c r="X1092" s="35" t="str">
        <f aca="false">IF($G1092="","",$V1092*N($L1092))</f>
        <v/>
      </c>
      <c r="Y1092" s="35" t="str">
        <f aca="false">IF($G1092="","",$V1092*(N($M1092)*1+N($N1092)*0.75+N($O1092)*0.5+N($P1092)*0.25)+$W1092*N($L1092))</f>
        <v/>
      </c>
      <c r="Z1092" s="35" t="str">
        <f aca="false">IF($G1092="","",$U1092*1000000+ROW())</f>
        <v/>
      </c>
      <c r="AA1092" s="36" t="str">
        <f aca="false">IF($G1092="","",MID(IF($C1092="",", no division","")&amp;IF($E1092="",", no unit","")&amp;IF($H1092="",", no career level","")&amp;IF(N($L1092)&lt;=0,", no quarter split","")&amp;IF($R1092="",", no driver","")&amp;IF(AND($H1092&lt;&gt;"",COUNTIF(CareerLevels,$H1092)=0),", a career level that is not on the ladder","")&amp;IF(AND($R1092&lt;&gt;"",COUNTIF(DriverList,$R1092)=0),", a driver that is not on the list","")&amp;IF(ABS(N($L1092)-(N($M1092)+N($N1092)+N($O1092)+N($P1092)))&gt;0.001,", a total that does not match its quarters",""),3,300))</f>
        <v/>
      </c>
    </row>
    <row r="1093" customFormat="false" ht="15" hidden="false" customHeight="false" outlineLevel="0" collapsed="false">
      <c r="A1093" s="33" t="str">
        <f aca="false">IF($G1093="","","Internal Audit Group")</f>
        <v/>
      </c>
      <c r="B1093" s="19"/>
      <c r="C1093" s="19"/>
      <c r="D1093" s="19"/>
      <c r="E1093" s="19"/>
      <c r="F1093" s="19"/>
      <c r="G1093" s="19"/>
      <c r="H1093" s="19"/>
      <c r="I1093" s="19"/>
      <c r="J1093" s="19"/>
      <c r="K1093" s="19"/>
      <c r="L1093" s="19"/>
      <c r="M1093" s="19"/>
      <c r="N1093" s="19"/>
      <c r="O1093" s="19"/>
      <c r="P1093" s="19"/>
      <c r="Q1093" s="19"/>
      <c r="R1093" s="19"/>
      <c r="S1093" s="19"/>
      <c r="T1093" s="34" t="str">
        <f aca="false">IF($R1093="","",IFERROR(INDEX(DriverCategory,MATCH($R1093,DriverList,0)),"BAU"))</f>
        <v/>
      </c>
      <c r="U1093" s="34" t="str">
        <f aca="false">IF($R1093="","",IFERROR(INDEX(DriverRank,MATCH($R1093,DriverList,0)),99))</f>
        <v/>
      </c>
      <c r="V1093" s="35" t="n">
        <f aca="false">IF($H1093="",0,IFERROR(INDEX(LevelBasic,MATCH($H1093,LevelList,0))+INDEX(LevelHousing,MATCH($H1093,LevelList,0))+INDEX(LevelTransport,MATCH($H1093,LevelList,0))+INDEX(LevelBasic,MATCH($H1093,LevelList,0))*INDEX(LevelBonus,MATCH($H1093,LevelList,0))+(INDEX(LevelBasic,MATCH($H1093,LevelList,0))+INDEX(LevelHousing,MATCH($H1093,LevelList,0)))*GosiSaudi,0))</f>
        <v>0</v>
      </c>
      <c r="W1093" s="35" t="n">
        <f aca="false">IFERROR(INDEX(LevelOneOff,MATCH($H1093,LevelList,0)),0)</f>
        <v>0</v>
      </c>
      <c r="X1093" s="35" t="str">
        <f aca="false">IF($G1093="","",$V1093*N($L1093))</f>
        <v/>
      </c>
      <c r="Y1093" s="35" t="str">
        <f aca="false">IF($G1093="","",$V1093*(N($M1093)*1+N($N1093)*0.75+N($O1093)*0.5+N($P1093)*0.25)+$W1093*N($L1093))</f>
        <v/>
      </c>
      <c r="Z1093" s="35" t="str">
        <f aca="false">IF($G1093="","",$U1093*1000000+ROW())</f>
        <v/>
      </c>
      <c r="AA1093" s="36" t="str">
        <f aca="false">IF($G1093="","",MID(IF($C1093="",", no division","")&amp;IF($E1093="",", no unit","")&amp;IF($H1093="",", no career level","")&amp;IF(N($L1093)&lt;=0,", no quarter split","")&amp;IF($R1093="",", no driver","")&amp;IF(AND($H1093&lt;&gt;"",COUNTIF(CareerLevels,$H1093)=0),", a career level that is not on the ladder","")&amp;IF(AND($R1093&lt;&gt;"",COUNTIF(DriverList,$R1093)=0),", a driver that is not on the list","")&amp;IF(ABS(N($L1093)-(N($M1093)+N($N1093)+N($O1093)+N($P1093)))&gt;0.001,", a total that does not match its quarters",""),3,300))</f>
        <v/>
      </c>
    </row>
    <row r="1094" customFormat="false" ht="15" hidden="false" customHeight="false" outlineLevel="0" collapsed="false">
      <c r="A1094" s="33" t="str">
        <f aca="false">IF($G1094="","","Internal Audit Group")</f>
        <v/>
      </c>
      <c r="B1094" s="19"/>
      <c r="C1094" s="19"/>
      <c r="D1094" s="19"/>
      <c r="E1094" s="19"/>
      <c r="F1094" s="19"/>
      <c r="G1094" s="19"/>
      <c r="H1094" s="19"/>
      <c r="I1094" s="19"/>
      <c r="J1094" s="19"/>
      <c r="K1094" s="19"/>
      <c r="L1094" s="19"/>
      <c r="M1094" s="19"/>
      <c r="N1094" s="19"/>
      <c r="O1094" s="19"/>
      <c r="P1094" s="19"/>
      <c r="Q1094" s="19"/>
      <c r="R1094" s="19"/>
      <c r="S1094" s="19"/>
      <c r="T1094" s="34" t="str">
        <f aca="false">IF($R1094="","",IFERROR(INDEX(DriverCategory,MATCH($R1094,DriverList,0)),"BAU"))</f>
        <v/>
      </c>
      <c r="U1094" s="34" t="str">
        <f aca="false">IF($R1094="","",IFERROR(INDEX(DriverRank,MATCH($R1094,DriverList,0)),99))</f>
        <v/>
      </c>
      <c r="V1094" s="35" t="n">
        <f aca="false">IF($H1094="",0,IFERROR(INDEX(LevelBasic,MATCH($H1094,LevelList,0))+INDEX(LevelHousing,MATCH($H1094,LevelList,0))+INDEX(LevelTransport,MATCH($H1094,LevelList,0))+INDEX(LevelBasic,MATCH($H1094,LevelList,0))*INDEX(LevelBonus,MATCH($H1094,LevelList,0))+(INDEX(LevelBasic,MATCH($H1094,LevelList,0))+INDEX(LevelHousing,MATCH($H1094,LevelList,0)))*GosiSaudi,0))</f>
        <v>0</v>
      </c>
      <c r="W1094" s="35" t="n">
        <f aca="false">IFERROR(INDEX(LevelOneOff,MATCH($H1094,LevelList,0)),0)</f>
        <v>0</v>
      </c>
      <c r="X1094" s="35" t="str">
        <f aca="false">IF($G1094="","",$V1094*N($L1094))</f>
        <v/>
      </c>
      <c r="Y1094" s="35" t="str">
        <f aca="false">IF($G1094="","",$V1094*(N($M1094)*1+N($N1094)*0.75+N($O1094)*0.5+N($P1094)*0.25)+$W1094*N($L1094))</f>
        <v/>
      </c>
      <c r="Z1094" s="35" t="str">
        <f aca="false">IF($G1094="","",$U1094*1000000+ROW())</f>
        <v/>
      </c>
      <c r="AA1094" s="36" t="str">
        <f aca="false">IF($G1094="","",MID(IF($C1094="",", no division","")&amp;IF($E1094="",", no unit","")&amp;IF($H1094="",", no career level","")&amp;IF(N($L1094)&lt;=0,", no quarter split","")&amp;IF($R1094="",", no driver","")&amp;IF(AND($H1094&lt;&gt;"",COUNTIF(CareerLevels,$H1094)=0),", a career level that is not on the ladder","")&amp;IF(AND($R1094&lt;&gt;"",COUNTIF(DriverList,$R1094)=0),", a driver that is not on the list","")&amp;IF(ABS(N($L1094)-(N($M1094)+N($N1094)+N($O1094)+N($P1094)))&gt;0.001,", a total that does not match its quarters",""),3,300))</f>
        <v/>
      </c>
    </row>
    <row r="1095" customFormat="false" ht="15" hidden="false" customHeight="false" outlineLevel="0" collapsed="false">
      <c r="A1095" s="33" t="str">
        <f aca="false">IF($G1095="","","Internal Audit Group")</f>
        <v/>
      </c>
      <c r="B1095" s="19"/>
      <c r="C1095" s="19"/>
      <c r="D1095" s="19"/>
      <c r="E1095" s="19"/>
      <c r="F1095" s="19"/>
      <c r="G1095" s="19"/>
      <c r="H1095" s="19"/>
      <c r="I1095" s="19"/>
      <c r="J1095" s="19"/>
      <c r="K1095" s="19"/>
      <c r="L1095" s="19"/>
      <c r="M1095" s="19"/>
      <c r="N1095" s="19"/>
      <c r="O1095" s="19"/>
      <c r="P1095" s="19"/>
      <c r="Q1095" s="19"/>
      <c r="R1095" s="19"/>
      <c r="S1095" s="19"/>
      <c r="T1095" s="34" t="str">
        <f aca="false">IF($R1095="","",IFERROR(INDEX(DriverCategory,MATCH($R1095,DriverList,0)),"BAU"))</f>
        <v/>
      </c>
      <c r="U1095" s="34" t="str">
        <f aca="false">IF($R1095="","",IFERROR(INDEX(DriverRank,MATCH($R1095,DriverList,0)),99))</f>
        <v/>
      </c>
      <c r="V1095" s="35" t="n">
        <f aca="false">IF($H1095="",0,IFERROR(INDEX(LevelBasic,MATCH($H1095,LevelList,0))+INDEX(LevelHousing,MATCH($H1095,LevelList,0))+INDEX(LevelTransport,MATCH($H1095,LevelList,0))+INDEX(LevelBasic,MATCH($H1095,LevelList,0))*INDEX(LevelBonus,MATCH($H1095,LevelList,0))+(INDEX(LevelBasic,MATCH($H1095,LevelList,0))+INDEX(LevelHousing,MATCH($H1095,LevelList,0)))*GosiSaudi,0))</f>
        <v>0</v>
      </c>
      <c r="W1095" s="35" t="n">
        <f aca="false">IFERROR(INDEX(LevelOneOff,MATCH($H1095,LevelList,0)),0)</f>
        <v>0</v>
      </c>
      <c r="X1095" s="35" t="str">
        <f aca="false">IF($G1095="","",$V1095*N($L1095))</f>
        <v/>
      </c>
      <c r="Y1095" s="35" t="str">
        <f aca="false">IF($G1095="","",$V1095*(N($M1095)*1+N($N1095)*0.75+N($O1095)*0.5+N($P1095)*0.25)+$W1095*N($L1095))</f>
        <v/>
      </c>
      <c r="Z1095" s="35" t="str">
        <f aca="false">IF($G1095="","",$U1095*1000000+ROW())</f>
        <v/>
      </c>
      <c r="AA1095" s="36" t="str">
        <f aca="false">IF($G1095="","",MID(IF($C1095="",", no division","")&amp;IF($E1095="",", no unit","")&amp;IF($H1095="",", no career level","")&amp;IF(N($L1095)&lt;=0,", no quarter split","")&amp;IF($R1095="",", no driver","")&amp;IF(AND($H1095&lt;&gt;"",COUNTIF(CareerLevels,$H1095)=0),", a career level that is not on the ladder","")&amp;IF(AND($R1095&lt;&gt;"",COUNTIF(DriverList,$R1095)=0),", a driver that is not on the list","")&amp;IF(ABS(N($L1095)-(N($M1095)+N($N1095)+N($O1095)+N($P1095)))&gt;0.001,", a total that does not match its quarters",""),3,300))</f>
        <v/>
      </c>
    </row>
    <row r="1096" customFormat="false" ht="15" hidden="false" customHeight="false" outlineLevel="0" collapsed="false">
      <c r="A1096" s="33" t="str">
        <f aca="false">IF($G1096="","","Internal Audit Group")</f>
        <v/>
      </c>
      <c r="B1096" s="19"/>
      <c r="C1096" s="19"/>
      <c r="D1096" s="19"/>
      <c r="E1096" s="19"/>
      <c r="F1096" s="19"/>
      <c r="G1096" s="19"/>
      <c r="H1096" s="19"/>
      <c r="I1096" s="19"/>
      <c r="J1096" s="19"/>
      <c r="K1096" s="19"/>
      <c r="L1096" s="19"/>
      <c r="M1096" s="19"/>
      <c r="N1096" s="19"/>
      <c r="O1096" s="19"/>
      <c r="P1096" s="19"/>
      <c r="Q1096" s="19"/>
      <c r="R1096" s="19"/>
      <c r="S1096" s="19"/>
      <c r="T1096" s="34" t="str">
        <f aca="false">IF($R1096="","",IFERROR(INDEX(DriverCategory,MATCH($R1096,DriverList,0)),"BAU"))</f>
        <v/>
      </c>
      <c r="U1096" s="34" t="str">
        <f aca="false">IF($R1096="","",IFERROR(INDEX(DriverRank,MATCH($R1096,DriverList,0)),99))</f>
        <v/>
      </c>
      <c r="V1096" s="35" t="n">
        <f aca="false">IF($H1096="",0,IFERROR(INDEX(LevelBasic,MATCH($H1096,LevelList,0))+INDEX(LevelHousing,MATCH($H1096,LevelList,0))+INDEX(LevelTransport,MATCH($H1096,LevelList,0))+INDEX(LevelBasic,MATCH($H1096,LevelList,0))*INDEX(LevelBonus,MATCH($H1096,LevelList,0))+(INDEX(LevelBasic,MATCH($H1096,LevelList,0))+INDEX(LevelHousing,MATCH($H1096,LevelList,0)))*GosiSaudi,0))</f>
        <v>0</v>
      </c>
      <c r="W1096" s="35" t="n">
        <f aca="false">IFERROR(INDEX(LevelOneOff,MATCH($H1096,LevelList,0)),0)</f>
        <v>0</v>
      </c>
      <c r="X1096" s="35" t="str">
        <f aca="false">IF($G1096="","",$V1096*N($L1096))</f>
        <v/>
      </c>
      <c r="Y1096" s="35" t="str">
        <f aca="false">IF($G1096="","",$V1096*(N($M1096)*1+N($N1096)*0.75+N($O1096)*0.5+N($P1096)*0.25)+$W1096*N($L1096))</f>
        <v/>
      </c>
      <c r="Z1096" s="35" t="str">
        <f aca="false">IF($G1096="","",$U1096*1000000+ROW())</f>
        <v/>
      </c>
      <c r="AA1096" s="36" t="str">
        <f aca="false">IF($G1096="","",MID(IF($C1096="",", no division","")&amp;IF($E1096="",", no unit","")&amp;IF($H1096="",", no career level","")&amp;IF(N($L1096)&lt;=0,", no quarter split","")&amp;IF($R1096="",", no driver","")&amp;IF(AND($H1096&lt;&gt;"",COUNTIF(CareerLevels,$H1096)=0),", a career level that is not on the ladder","")&amp;IF(AND($R1096&lt;&gt;"",COUNTIF(DriverList,$R1096)=0),", a driver that is not on the list","")&amp;IF(ABS(N($L1096)-(N($M1096)+N($N1096)+N($O1096)+N($P1096)))&gt;0.001,", a total that does not match its quarters",""),3,300))</f>
        <v/>
      </c>
    </row>
    <row r="1097" customFormat="false" ht="15" hidden="false" customHeight="false" outlineLevel="0" collapsed="false">
      <c r="A1097" s="33" t="str">
        <f aca="false">IF($G1097="","","Internal Audit Group")</f>
        <v/>
      </c>
      <c r="B1097" s="19"/>
      <c r="C1097" s="19"/>
      <c r="D1097" s="19"/>
      <c r="E1097" s="19"/>
      <c r="F1097" s="19"/>
      <c r="G1097" s="19"/>
      <c r="H1097" s="19"/>
      <c r="I1097" s="19"/>
      <c r="J1097" s="19"/>
      <c r="K1097" s="19"/>
      <c r="L1097" s="19"/>
      <c r="M1097" s="19"/>
      <c r="N1097" s="19"/>
      <c r="O1097" s="19"/>
      <c r="P1097" s="19"/>
      <c r="Q1097" s="19"/>
      <c r="R1097" s="19"/>
      <c r="S1097" s="19"/>
      <c r="T1097" s="34" t="str">
        <f aca="false">IF($R1097="","",IFERROR(INDEX(DriverCategory,MATCH($R1097,DriverList,0)),"BAU"))</f>
        <v/>
      </c>
      <c r="U1097" s="34" t="str">
        <f aca="false">IF($R1097="","",IFERROR(INDEX(DriverRank,MATCH($R1097,DriverList,0)),99))</f>
        <v/>
      </c>
      <c r="V1097" s="35" t="n">
        <f aca="false">IF($H1097="",0,IFERROR(INDEX(LevelBasic,MATCH($H1097,LevelList,0))+INDEX(LevelHousing,MATCH($H1097,LevelList,0))+INDEX(LevelTransport,MATCH($H1097,LevelList,0))+INDEX(LevelBasic,MATCH($H1097,LevelList,0))*INDEX(LevelBonus,MATCH($H1097,LevelList,0))+(INDEX(LevelBasic,MATCH($H1097,LevelList,0))+INDEX(LevelHousing,MATCH($H1097,LevelList,0)))*GosiSaudi,0))</f>
        <v>0</v>
      </c>
      <c r="W1097" s="35" t="n">
        <f aca="false">IFERROR(INDEX(LevelOneOff,MATCH($H1097,LevelList,0)),0)</f>
        <v>0</v>
      </c>
      <c r="X1097" s="35" t="str">
        <f aca="false">IF($G1097="","",$V1097*N($L1097))</f>
        <v/>
      </c>
      <c r="Y1097" s="35" t="str">
        <f aca="false">IF($G1097="","",$V1097*(N($M1097)*1+N($N1097)*0.75+N($O1097)*0.5+N($P1097)*0.25)+$W1097*N($L1097))</f>
        <v/>
      </c>
      <c r="Z1097" s="35" t="str">
        <f aca="false">IF($G1097="","",$U1097*1000000+ROW())</f>
        <v/>
      </c>
      <c r="AA1097" s="36" t="str">
        <f aca="false">IF($G1097="","",MID(IF($C1097="",", no division","")&amp;IF($E1097="",", no unit","")&amp;IF($H1097="",", no career level","")&amp;IF(N($L1097)&lt;=0,", no quarter split","")&amp;IF($R1097="",", no driver","")&amp;IF(AND($H1097&lt;&gt;"",COUNTIF(CareerLevels,$H1097)=0),", a career level that is not on the ladder","")&amp;IF(AND($R1097&lt;&gt;"",COUNTIF(DriverList,$R1097)=0),", a driver that is not on the list","")&amp;IF(ABS(N($L1097)-(N($M1097)+N($N1097)+N($O1097)+N($P1097)))&gt;0.001,", a total that does not match its quarters",""),3,300))</f>
        <v/>
      </c>
    </row>
    <row r="1098" customFormat="false" ht="15" hidden="false" customHeight="false" outlineLevel="0" collapsed="false">
      <c r="A1098" s="33" t="str">
        <f aca="false">IF($G1098="","","Internal Audit Group")</f>
        <v/>
      </c>
      <c r="B1098" s="19"/>
      <c r="C1098" s="19"/>
      <c r="D1098" s="19"/>
      <c r="E1098" s="19"/>
      <c r="F1098" s="19"/>
      <c r="G1098" s="19"/>
      <c r="H1098" s="19"/>
      <c r="I1098" s="19"/>
      <c r="J1098" s="19"/>
      <c r="K1098" s="19"/>
      <c r="L1098" s="19"/>
      <c r="M1098" s="19"/>
      <c r="N1098" s="19"/>
      <c r="O1098" s="19"/>
      <c r="P1098" s="19"/>
      <c r="Q1098" s="19"/>
      <c r="R1098" s="19"/>
      <c r="S1098" s="19"/>
      <c r="T1098" s="34" t="str">
        <f aca="false">IF($R1098="","",IFERROR(INDEX(DriverCategory,MATCH($R1098,DriverList,0)),"BAU"))</f>
        <v/>
      </c>
      <c r="U1098" s="34" t="str">
        <f aca="false">IF($R1098="","",IFERROR(INDEX(DriverRank,MATCH($R1098,DriverList,0)),99))</f>
        <v/>
      </c>
      <c r="V1098" s="35" t="n">
        <f aca="false">IF($H1098="",0,IFERROR(INDEX(LevelBasic,MATCH($H1098,LevelList,0))+INDEX(LevelHousing,MATCH($H1098,LevelList,0))+INDEX(LevelTransport,MATCH($H1098,LevelList,0))+INDEX(LevelBasic,MATCH($H1098,LevelList,0))*INDEX(LevelBonus,MATCH($H1098,LevelList,0))+(INDEX(LevelBasic,MATCH($H1098,LevelList,0))+INDEX(LevelHousing,MATCH($H1098,LevelList,0)))*GosiSaudi,0))</f>
        <v>0</v>
      </c>
      <c r="W1098" s="35" t="n">
        <f aca="false">IFERROR(INDEX(LevelOneOff,MATCH($H1098,LevelList,0)),0)</f>
        <v>0</v>
      </c>
      <c r="X1098" s="35" t="str">
        <f aca="false">IF($G1098="","",$V1098*N($L1098))</f>
        <v/>
      </c>
      <c r="Y1098" s="35" t="str">
        <f aca="false">IF($G1098="","",$V1098*(N($M1098)*1+N($N1098)*0.75+N($O1098)*0.5+N($P1098)*0.25)+$W1098*N($L1098))</f>
        <v/>
      </c>
      <c r="Z1098" s="35" t="str">
        <f aca="false">IF($G1098="","",$U1098*1000000+ROW())</f>
        <v/>
      </c>
      <c r="AA1098" s="36" t="str">
        <f aca="false">IF($G1098="","",MID(IF($C1098="",", no division","")&amp;IF($E1098="",", no unit","")&amp;IF($H1098="",", no career level","")&amp;IF(N($L1098)&lt;=0,", no quarter split","")&amp;IF($R1098="",", no driver","")&amp;IF(AND($H1098&lt;&gt;"",COUNTIF(CareerLevels,$H1098)=0),", a career level that is not on the ladder","")&amp;IF(AND($R1098&lt;&gt;"",COUNTIF(DriverList,$R1098)=0),", a driver that is not on the list","")&amp;IF(ABS(N($L1098)-(N($M1098)+N($N1098)+N($O1098)+N($P1098)))&gt;0.001,", a total that does not match its quarters",""),3,300))</f>
        <v/>
      </c>
    </row>
    <row r="1099" customFormat="false" ht="15" hidden="false" customHeight="false" outlineLevel="0" collapsed="false">
      <c r="A1099" s="33" t="str">
        <f aca="false">IF($G1099="","","Internal Audit Group")</f>
        <v/>
      </c>
      <c r="B1099" s="19"/>
      <c r="C1099" s="19"/>
      <c r="D1099" s="19"/>
      <c r="E1099" s="19"/>
      <c r="F1099" s="19"/>
      <c r="G1099" s="19"/>
      <c r="H1099" s="19"/>
      <c r="I1099" s="19"/>
      <c r="J1099" s="19"/>
      <c r="K1099" s="19"/>
      <c r="L1099" s="19"/>
      <c r="M1099" s="19"/>
      <c r="N1099" s="19"/>
      <c r="O1099" s="19"/>
      <c r="P1099" s="19"/>
      <c r="Q1099" s="19"/>
      <c r="R1099" s="19"/>
      <c r="S1099" s="19"/>
      <c r="T1099" s="34" t="str">
        <f aca="false">IF($R1099="","",IFERROR(INDEX(DriverCategory,MATCH($R1099,DriverList,0)),"BAU"))</f>
        <v/>
      </c>
      <c r="U1099" s="34" t="str">
        <f aca="false">IF($R1099="","",IFERROR(INDEX(DriverRank,MATCH($R1099,DriverList,0)),99))</f>
        <v/>
      </c>
      <c r="V1099" s="35" t="n">
        <f aca="false">IF($H1099="",0,IFERROR(INDEX(LevelBasic,MATCH($H1099,LevelList,0))+INDEX(LevelHousing,MATCH($H1099,LevelList,0))+INDEX(LevelTransport,MATCH($H1099,LevelList,0))+INDEX(LevelBasic,MATCH($H1099,LevelList,0))*INDEX(LevelBonus,MATCH($H1099,LevelList,0))+(INDEX(LevelBasic,MATCH($H1099,LevelList,0))+INDEX(LevelHousing,MATCH($H1099,LevelList,0)))*GosiSaudi,0))</f>
        <v>0</v>
      </c>
      <c r="W1099" s="35" t="n">
        <f aca="false">IFERROR(INDEX(LevelOneOff,MATCH($H1099,LevelList,0)),0)</f>
        <v>0</v>
      </c>
      <c r="X1099" s="35" t="str">
        <f aca="false">IF($G1099="","",$V1099*N($L1099))</f>
        <v/>
      </c>
      <c r="Y1099" s="35" t="str">
        <f aca="false">IF($G1099="","",$V1099*(N($M1099)*1+N($N1099)*0.75+N($O1099)*0.5+N($P1099)*0.25)+$W1099*N($L1099))</f>
        <v/>
      </c>
      <c r="Z1099" s="35" t="str">
        <f aca="false">IF($G1099="","",$U1099*1000000+ROW())</f>
        <v/>
      </c>
      <c r="AA1099" s="36" t="str">
        <f aca="false">IF($G1099="","",MID(IF($C1099="",", no division","")&amp;IF($E1099="",", no unit","")&amp;IF($H1099="",", no career level","")&amp;IF(N($L1099)&lt;=0,", no quarter split","")&amp;IF($R1099="",", no driver","")&amp;IF(AND($H1099&lt;&gt;"",COUNTIF(CareerLevels,$H1099)=0),", a career level that is not on the ladder","")&amp;IF(AND($R1099&lt;&gt;"",COUNTIF(DriverList,$R1099)=0),", a driver that is not on the list","")&amp;IF(ABS(N($L1099)-(N($M1099)+N($N1099)+N($O1099)+N($P1099)))&gt;0.001,", a total that does not match its quarters",""),3,300))</f>
        <v/>
      </c>
    </row>
    <row r="1100" customFormat="false" ht="15" hidden="false" customHeight="false" outlineLevel="0" collapsed="false">
      <c r="A1100" s="33" t="str">
        <f aca="false">IF($G1100="","","Internal Audit Group")</f>
        <v/>
      </c>
      <c r="B1100" s="19"/>
      <c r="C1100" s="19"/>
      <c r="D1100" s="19"/>
      <c r="E1100" s="19"/>
      <c r="F1100" s="19"/>
      <c r="G1100" s="19"/>
      <c r="H1100" s="19"/>
      <c r="I1100" s="19"/>
      <c r="J1100" s="19"/>
      <c r="K1100" s="19"/>
      <c r="L1100" s="19"/>
      <c r="M1100" s="19"/>
      <c r="N1100" s="19"/>
      <c r="O1100" s="19"/>
      <c r="P1100" s="19"/>
      <c r="Q1100" s="19"/>
      <c r="R1100" s="19"/>
      <c r="S1100" s="19"/>
      <c r="T1100" s="34" t="str">
        <f aca="false">IF($R1100="","",IFERROR(INDEX(DriverCategory,MATCH($R1100,DriverList,0)),"BAU"))</f>
        <v/>
      </c>
      <c r="U1100" s="34" t="str">
        <f aca="false">IF($R1100="","",IFERROR(INDEX(DriverRank,MATCH($R1100,DriverList,0)),99))</f>
        <v/>
      </c>
      <c r="V1100" s="35" t="n">
        <f aca="false">IF($H1100="",0,IFERROR(INDEX(LevelBasic,MATCH($H1100,LevelList,0))+INDEX(LevelHousing,MATCH($H1100,LevelList,0))+INDEX(LevelTransport,MATCH($H1100,LevelList,0))+INDEX(LevelBasic,MATCH($H1100,LevelList,0))*INDEX(LevelBonus,MATCH($H1100,LevelList,0))+(INDEX(LevelBasic,MATCH($H1100,LevelList,0))+INDEX(LevelHousing,MATCH($H1100,LevelList,0)))*GosiSaudi,0))</f>
        <v>0</v>
      </c>
      <c r="W1100" s="35" t="n">
        <f aca="false">IFERROR(INDEX(LevelOneOff,MATCH($H1100,LevelList,0)),0)</f>
        <v>0</v>
      </c>
      <c r="X1100" s="35" t="str">
        <f aca="false">IF($G1100="","",$V1100*N($L1100))</f>
        <v/>
      </c>
      <c r="Y1100" s="35" t="str">
        <f aca="false">IF($G1100="","",$V1100*(N($M1100)*1+N($N1100)*0.75+N($O1100)*0.5+N($P1100)*0.25)+$W1100*N($L1100))</f>
        <v/>
      </c>
      <c r="Z1100" s="35" t="str">
        <f aca="false">IF($G1100="","",$U1100*1000000+ROW())</f>
        <v/>
      </c>
      <c r="AA1100" s="36" t="str">
        <f aca="false">IF($G1100="","",MID(IF($C1100="",", no division","")&amp;IF($E1100="",", no unit","")&amp;IF($H1100="",", no career level","")&amp;IF(N($L1100)&lt;=0,", no quarter split","")&amp;IF($R1100="",", no driver","")&amp;IF(AND($H1100&lt;&gt;"",COUNTIF(CareerLevels,$H1100)=0),", a career level that is not on the ladder","")&amp;IF(AND($R1100&lt;&gt;"",COUNTIF(DriverList,$R1100)=0),", a driver that is not on the list","")&amp;IF(ABS(N($L1100)-(N($M1100)+N($N1100)+N($O1100)+N($P1100)))&gt;0.001,", a total that does not match its quarters",""),3,300))</f>
        <v/>
      </c>
    </row>
    <row r="1101" customFormat="false" ht="15" hidden="false" customHeight="false" outlineLevel="0" collapsed="false">
      <c r="A1101" s="33" t="str">
        <f aca="false">IF($G1101="","","Internal Audit Group")</f>
        <v/>
      </c>
      <c r="B1101" s="19"/>
      <c r="C1101" s="19"/>
      <c r="D1101" s="19"/>
      <c r="E1101" s="19"/>
      <c r="F1101" s="19"/>
      <c r="G1101" s="19"/>
      <c r="H1101" s="19"/>
      <c r="I1101" s="19"/>
      <c r="J1101" s="19"/>
      <c r="K1101" s="19"/>
      <c r="L1101" s="19"/>
      <c r="M1101" s="19"/>
      <c r="N1101" s="19"/>
      <c r="O1101" s="19"/>
      <c r="P1101" s="19"/>
      <c r="Q1101" s="19"/>
      <c r="R1101" s="19"/>
      <c r="S1101" s="19"/>
      <c r="T1101" s="34" t="str">
        <f aca="false">IF($R1101="","",IFERROR(INDEX(DriverCategory,MATCH($R1101,DriverList,0)),"BAU"))</f>
        <v/>
      </c>
      <c r="U1101" s="34" t="str">
        <f aca="false">IF($R1101="","",IFERROR(INDEX(DriverRank,MATCH($R1101,DriverList,0)),99))</f>
        <v/>
      </c>
      <c r="V1101" s="35" t="n">
        <f aca="false">IF($H1101="",0,IFERROR(INDEX(LevelBasic,MATCH($H1101,LevelList,0))+INDEX(LevelHousing,MATCH($H1101,LevelList,0))+INDEX(LevelTransport,MATCH($H1101,LevelList,0))+INDEX(LevelBasic,MATCH($H1101,LevelList,0))*INDEX(LevelBonus,MATCH($H1101,LevelList,0))+(INDEX(LevelBasic,MATCH($H1101,LevelList,0))+INDEX(LevelHousing,MATCH($H1101,LevelList,0)))*GosiSaudi,0))</f>
        <v>0</v>
      </c>
      <c r="W1101" s="35" t="n">
        <f aca="false">IFERROR(INDEX(LevelOneOff,MATCH($H1101,LevelList,0)),0)</f>
        <v>0</v>
      </c>
      <c r="X1101" s="35" t="str">
        <f aca="false">IF($G1101="","",$V1101*N($L1101))</f>
        <v/>
      </c>
      <c r="Y1101" s="35" t="str">
        <f aca="false">IF($G1101="","",$V1101*(N($M1101)*1+N($N1101)*0.75+N($O1101)*0.5+N($P1101)*0.25)+$W1101*N($L1101))</f>
        <v/>
      </c>
      <c r="Z1101" s="35" t="str">
        <f aca="false">IF($G1101="","",$U1101*1000000+ROW())</f>
        <v/>
      </c>
      <c r="AA1101" s="36" t="str">
        <f aca="false">IF($G1101="","",MID(IF($C1101="",", no division","")&amp;IF($E1101="",", no unit","")&amp;IF($H1101="",", no career level","")&amp;IF(N($L1101)&lt;=0,", no quarter split","")&amp;IF($R1101="",", no driver","")&amp;IF(AND($H1101&lt;&gt;"",COUNTIF(CareerLevels,$H1101)=0),", a career level that is not on the ladder","")&amp;IF(AND($R1101&lt;&gt;"",COUNTIF(DriverList,$R1101)=0),", a driver that is not on the list","")&amp;IF(ABS(N($L1101)-(N($M1101)+N($N1101)+N($O1101)+N($P1101)))&gt;0.001,", a total that does not match its quarters",""),3,300))</f>
        <v/>
      </c>
    </row>
    <row r="1102" customFormat="false" ht="15" hidden="false" customHeight="false" outlineLevel="0" collapsed="false">
      <c r="A1102" s="33" t="str">
        <f aca="false">IF($G1102="","","Internal Audit Group")</f>
        <v/>
      </c>
      <c r="B1102" s="19"/>
      <c r="C1102" s="19"/>
      <c r="D1102" s="19"/>
      <c r="E1102" s="19"/>
      <c r="F1102" s="19"/>
      <c r="G1102" s="19"/>
      <c r="H1102" s="19"/>
      <c r="I1102" s="19"/>
      <c r="J1102" s="19"/>
      <c r="K1102" s="19"/>
      <c r="L1102" s="19"/>
      <c r="M1102" s="19"/>
      <c r="N1102" s="19"/>
      <c r="O1102" s="19"/>
      <c r="P1102" s="19"/>
      <c r="Q1102" s="19"/>
      <c r="R1102" s="19"/>
      <c r="S1102" s="19"/>
      <c r="T1102" s="34" t="str">
        <f aca="false">IF($R1102="","",IFERROR(INDEX(DriverCategory,MATCH($R1102,DriverList,0)),"BAU"))</f>
        <v/>
      </c>
      <c r="U1102" s="34" t="str">
        <f aca="false">IF($R1102="","",IFERROR(INDEX(DriverRank,MATCH($R1102,DriverList,0)),99))</f>
        <v/>
      </c>
      <c r="V1102" s="35" t="n">
        <f aca="false">IF($H1102="",0,IFERROR(INDEX(LevelBasic,MATCH($H1102,LevelList,0))+INDEX(LevelHousing,MATCH($H1102,LevelList,0))+INDEX(LevelTransport,MATCH($H1102,LevelList,0))+INDEX(LevelBasic,MATCH($H1102,LevelList,0))*INDEX(LevelBonus,MATCH($H1102,LevelList,0))+(INDEX(LevelBasic,MATCH($H1102,LevelList,0))+INDEX(LevelHousing,MATCH($H1102,LevelList,0)))*GosiSaudi,0))</f>
        <v>0</v>
      </c>
      <c r="W1102" s="35" t="n">
        <f aca="false">IFERROR(INDEX(LevelOneOff,MATCH($H1102,LevelList,0)),0)</f>
        <v>0</v>
      </c>
      <c r="X1102" s="35" t="str">
        <f aca="false">IF($G1102="","",$V1102*N($L1102))</f>
        <v/>
      </c>
      <c r="Y1102" s="35" t="str">
        <f aca="false">IF($G1102="","",$V1102*(N($M1102)*1+N($N1102)*0.75+N($O1102)*0.5+N($P1102)*0.25)+$W1102*N($L1102))</f>
        <v/>
      </c>
      <c r="Z1102" s="35" t="str">
        <f aca="false">IF($G1102="","",$U1102*1000000+ROW())</f>
        <v/>
      </c>
      <c r="AA1102" s="36" t="str">
        <f aca="false">IF($G1102="","",MID(IF($C1102="",", no division","")&amp;IF($E1102="",", no unit","")&amp;IF($H1102="",", no career level","")&amp;IF(N($L1102)&lt;=0,", no quarter split","")&amp;IF($R1102="",", no driver","")&amp;IF(AND($H1102&lt;&gt;"",COUNTIF(CareerLevels,$H1102)=0),", a career level that is not on the ladder","")&amp;IF(AND($R1102&lt;&gt;"",COUNTIF(DriverList,$R1102)=0),", a driver that is not on the list","")&amp;IF(ABS(N($L1102)-(N($M1102)+N($N1102)+N($O1102)+N($P1102)))&gt;0.001,", a total that does not match its quarters",""),3,300))</f>
        <v/>
      </c>
    </row>
    <row r="1103" customFormat="false" ht="15" hidden="false" customHeight="false" outlineLevel="0" collapsed="false">
      <c r="A1103" s="33" t="str">
        <f aca="false">IF($G1103="","","Internal Audit Group")</f>
        <v/>
      </c>
      <c r="B1103" s="19"/>
      <c r="C1103" s="19"/>
      <c r="D1103" s="19"/>
      <c r="E1103" s="19"/>
      <c r="F1103" s="19"/>
      <c r="G1103" s="19"/>
      <c r="H1103" s="19"/>
      <c r="I1103" s="19"/>
      <c r="J1103" s="19"/>
      <c r="K1103" s="19"/>
      <c r="L1103" s="19"/>
      <c r="M1103" s="19"/>
      <c r="N1103" s="19"/>
      <c r="O1103" s="19"/>
      <c r="P1103" s="19"/>
      <c r="Q1103" s="19"/>
      <c r="R1103" s="19"/>
      <c r="S1103" s="19"/>
      <c r="T1103" s="34" t="str">
        <f aca="false">IF($R1103="","",IFERROR(INDEX(DriverCategory,MATCH($R1103,DriverList,0)),"BAU"))</f>
        <v/>
      </c>
      <c r="U1103" s="34" t="str">
        <f aca="false">IF($R1103="","",IFERROR(INDEX(DriverRank,MATCH($R1103,DriverList,0)),99))</f>
        <v/>
      </c>
      <c r="V1103" s="35" t="n">
        <f aca="false">IF($H1103="",0,IFERROR(INDEX(LevelBasic,MATCH($H1103,LevelList,0))+INDEX(LevelHousing,MATCH($H1103,LevelList,0))+INDEX(LevelTransport,MATCH($H1103,LevelList,0))+INDEX(LevelBasic,MATCH($H1103,LevelList,0))*INDEX(LevelBonus,MATCH($H1103,LevelList,0))+(INDEX(LevelBasic,MATCH($H1103,LevelList,0))+INDEX(LevelHousing,MATCH($H1103,LevelList,0)))*GosiSaudi,0))</f>
        <v>0</v>
      </c>
      <c r="W1103" s="35" t="n">
        <f aca="false">IFERROR(INDEX(LevelOneOff,MATCH($H1103,LevelList,0)),0)</f>
        <v>0</v>
      </c>
      <c r="X1103" s="35" t="str">
        <f aca="false">IF($G1103="","",$V1103*N($L1103))</f>
        <v/>
      </c>
      <c r="Y1103" s="35" t="str">
        <f aca="false">IF($G1103="","",$V1103*(N($M1103)*1+N($N1103)*0.75+N($O1103)*0.5+N($P1103)*0.25)+$W1103*N($L1103))</f>
        <v/>
      </c>
      <c r="Z1103" s="35" t="str">
        <f aca="false">IF($G1103="","",$U1103*1000000+ROW())</f>
        <v/>
      </c>
      <c r="AA1103" s="36" t="str">
        <f aca="false">IF($G1103="","",MID(IF($C1103="",", no division","")&amp;IF($E1103="",", no unit","")&amp;IF($H1103="",", no career level","")&amp;IF(N($L1103)&lt;=0,", no quarter split","")&amp;IF($R1103="",", no driver","")&amp;IF(AND($H1103&lt;&gt;"",COUNTIF(CareerLevels,$H1103)=0),", a career level that is not on the ladder","")&amp;IF(AND($R1103&lt;&gt;"",COUNTIF(DriverList,$R1103)=0),", a driver that is not on the list","")&amp;IF(ABS(N($L1103)-(N($M1103)+N($N1103)+N($O1103)+N($P1103)))&gt;0.001,", a total that does not match its quarters",""),3,300))</f>
        <v/>
      </c>
    </row>
    <row r="1104" customFormat="false" ht="15" hidden="false" customHeight="false" outlineLevel="0" collapsed="false">
      <c r="A1104" s="33" t="str">
        <f aca="false">IF($G1104="","","Internal Audit Group")</f>
        <v/>
      </c>
      <c r="B1104" s="19"/>
      <c r="C1104" s="19"/>
      <c r="D1104" s="19"/>
      <c r="E1104" s="19"/>
      <c r="F1104" s="19"/>
      <c r="G1104" s="19"/>
      <c r="H1104" s="19"/>
      <c r="I1104" s="19"/>
      <c r="J1104" s="19"/>
      <c r="K1104" s="19"/>
      <c r="L1104" s="19"/>
      <c r="M1104" s="19"/>
      <c r="N1104" s="19"/>
      <c r="O1104" s="19"/>
      <c r="P1104" s="19"/>
      <c r="Q1104" s="19"/>
      <c r="R1104" s="19"/>
      <c r="S1104" s="19"/>
      <c r="T1104" s="34" t="str">
        <f aca="false">IF($R1104="","",IFERROR(INDEX(DriverCategory,MATCH($R1104,DriverList,0)),"BAU"))</f>
        <v/>
      </c>
      <c r="U1104" s="34" t="str">
        <f aca="false">IF($R1104="","",IFERROR(INDEX(DriverRank,MATCH($R1104,DriverList,0)),99))</f>
        <v/>
      </c>
      <c r="V1104" s="35" t="n">
        <f aca="false">IF($H1104="",0,IFERROR(INDEX(LevelBasic,MATCH($H1104,LevelList,0))+INDEX(LevelHousing,MATCH($H1104,LevelList,0))+INDEX(LevelTransport,MATCH($H1104,LevelList,0))+INDEX(LevelBasic,MATCH($H1104,LevelList,0))*INDEX(LevelBonus,MATCH($H1104,LevelList,0))+(INDEX(LevelBasic,MATCH($H1104,LevelList,0))+INDEX(LevelHousing,MATCH($H1104,LevelList,0)))*GosiSaudi,0))</f>
        <v>0</v>
      </c>
      <c r="W1104" s="35" t="n">
        <f aca="false">IFERROR(INDEX(LevelOneOff,MATCH($H1104,LevelList,0)),0)</f>
        <v>0</v>
      </c>
      <c r="X1104" s="35" t="str">
        <f aca="false">IF($G1104="","",$V1104*N($L1104))</f>
        <v/>
      </c>
      <c r="Y1104" s="35" t="str">
        <f aca="false">IF($G1104="","",$V1104*(N($M1104)*1+N($N1104)*0.75+N($O1104)*0.5+N($P1104)*0.25)+$W1104*N($L1104))</f>
        <v/>
      </c>
      <c r="Z1104" s="35" t="str">
        <f aca="false">IF($G1104="","",$U1104*1000000+ROW())</f>
        <v/>
      </c>
      <c r="AA1104" s="36" t="str">
        <f aca="false">IF($G1104="","",MID(IF($C1104="",", no division","")&amp;IF($E1104="",", no unit","")&amp;IF($H1104="",", no career level","")&amp;IF(N($L1104)&lt;=0,", no quarter split","")&amp;IF($R1104="",", no driver","")&amp;IF(AND($H1104&lt;&gt;"",COUNTIF(CareerLevels,$H1104)=0),", a career level that is not on the ladder","")&amp;IF(AND($R1104&lt;&gt;"",COUNTIF(DriverList,$R1104)=0),", a driver that is not on the list","")&amp;IF(ABS(N($L1104)-(N($M1104)+N($N1104)+N($O1104)+N($P1104)))&gt;0.001,", a total that does not match its quarters",""),3,300))</f>
        <v/>
      </c>
    </row>
    <row r="1105" customFormat="false" ht="15" hidden="false" customHeight="false" outlineLevel="0" collapsed="false">
      <c r="A1105" s="33" t="str">
        <f aca="false">IF($G1105="","","Internal Audit Group")</f>
        <v/>
      </c>
      <c r="B1105" s="19"/>
      <c r="C1105" s="19"/>
      <c r="D1105" s="19"/>
      <c r="E1105" s="19"/>
      <c r="F1105" s="19"/>
      <c r="G1105" s="19"/>
      <c r="H1105" s="19"/>
      <c r="I1105" s="19"/>
      <c r="J1105" s="19"/>
      <c r="K1105" s="19"/>
      <c r="L1105" s="19"/>
      <c r="M1105" s="19"/>
      <c r="N1105" s="19"/>
      <c r="O1105" s="19"/>
      <c r="P1105" s="19"/>
      <c r="Q1105" s="19"/>
      <c r="R1105" s="19"/>
      <c r="S1105" s="19"/>
      <c r="T1105" s="34" t="str">
        <f aca="false">IF($R1105="","",IFERROR(INDEX(DriverCategory,MATCH($R1105,DriverList,0)),"BAU"))</f>
        <v/>
      </c>
      <c r="U1105" s="34" t="str">
        <f aca="false">IF($R1105="","",IFERROR(INDEX(DriverRank,MATCH($R1105,DriverList,0)),99))</f>
        <v/>
      </c>
      <c r="V1105" s="35" t="n">
        <f aca="false">IF($H1105="",0,IFERROR(INDEX(LevelBasic,MATCH($H1105,LevelList,0))+INDEX(LevelHousing,MATCH($H1105,LevelList,0))+INDEX(LevelTransport,MATCH($H1105,LevelList,0))+INDEX(LevelBasic,MATCH($H1105,LevelList,0))*INDEX(LevelBonus,MATCH($H1105,LevelList,0))+(INDEX(LevelBasic,MATCH($H1105,LevelList,0))+INDEX(LevelHousing,MATCH($H1105,LevelList,0)))*GosiSaudi,0))</f>
        <v>0</v>
      </c>
      <c r="W1105" s="35" t="n">
        <f aca="false">IFERROR(INDEX(LevelOneOff,MATCH($H1105,LevelList,0)),0)</f>
        <v>0</v>
      </c>
      <c r="X1105" s="35" t="str">
        <f aca="false">IF($G1105="","",$V1105*N($L1105))</f>
        <v/>
      </c>
      <c r="Y1105" s="35" t="str">
        <f aca="false">IF($G1105="","",$V1105*(N($M1105)*1+N($N1105)*0.75+N($O1105)*0.5+N($P1105)*0.25)+$W1105*N($L1105))</f>
        <v/>
      </c>
      <c r="Z1105" s="35" t="str">
        <f aca="false">IF($G1105="","",$U1105*1000000+ROW())</f>
        <v/>
      </c>
      <c r="AA1105" s="36" t="str">
        <f aca="false">IF($G1105="","",MID(IF($C1105="",", no division","")&amp;IF($E1105="",", no unit","")&amp;IF($H1105="",", no career level","")&amp;IF(N($L1105)&lt;=0,", no quarter split","")&amp;IF($R1105="",", no driver","")&amp;IF(AND($H1105&lt;&gt;"",COUNTIF(CareerLevels,$H1105)=0),", a career level that is not on the ladder","")&amp;IF(AND($R1105&lt;&gt;"",COUNTIF(DriverList,$R1105)=0),", a driver that is not on the list","")&amp;IF(ABS(N($L1105)-(N($M1105)+N($N1105)+N($O1105)+N($P1105)))&gt;0.001,", a total that does not match its quarters",""),3,300))</f>
        <v/>
      </c>
    </row>
    <row r="1106" customFormat="false" ht="15" hidden="false" customHeight="false" outlineLevel="0" collapsed="false">
      <c r="A1106" s="33" t="str">
        <f aca="false">IF($G1106="","","Internal Audit Group")</f>
        <v/>
      </c>
      <c r="B1106" s="19"/>
      <c r="C1106" s="19"/>
      <c r="D1106" s="19"/>
      <c r="E1106" s="19"/>
      <c r="F1106" s="19"/>
      <c r="G1106" s="19"/>
      <c r="H1106" s="19"/>
      <c r="I1106" s="19"/>
      <c r="J1106" s="19"/>
      <c r="K1106" s="19"/>
      <c r="L1106" s="19"/>
      <c r="M1106" s="19"/>
      <c r="N1106" s="19"/>
      <c r="O1106" s="19"/>
      <c r="P1106" s="19"/>
      <c r="Q1106" s="19"/>
      <c r="R1106" s="19"/>
      <c r="S1106" s="19"/>
      <c r="T1106" s="34" t="str">
        <f aca="false">IF($R1106="","",IFERROR(INDEX(DriverCategory,MATCH($R1106,DriverList,0)),"BAU"))</f>
        <v/>
      </c>
      <c r="U1106" s="34" t="str">
        <f aca="false">IF($R1106="","",IFERROR(INDEX(DriverRank,MATCH($R1106,DriverList,0)),99))</f>
        <v/>
      </c>
      <c r="V1106" s="35" t="n">
        <f aca="false">IF($H1106="",0,IFERROR(INDEX(LevelBasic,MATCH($H1106,LevelList,0))+INDEX(LevelHousing,MATCH($H1106,LevelList,0))+INDEX(LevelTransport,MATCH($H1106,LevelList,0))+INDEX(LevelBasic,MATCH($H1106,LevelList,0))*INDEX(LevelBonus,MATCH($H1106,LevelList,0))+(INDEX(LevelBasic,MATCH($H1106,LevelList,0))+INDEX(LevelHousing,MATCH($H1106,LevelList,0)))*GosiSaudi,0))</f>
        <v>0</v>
      </c>
      <c r="W1106" s="35" t="n">
        <f aca="false">IFERROR(INDEX(LevelOneOff,MATCH($H1106,LevelList,0)),0)</f>
        <v>0</v>
      </c>
      <c r="X1106" s="35" t="str">
        <f aca="false">IF($G1106="","",$V1106*N($L1106))</f>
        <v/>
      </c>
      <c r="Y1106" s="35" t="str">
        <f aca="false">IF($G1106="","",$V1106*(N($M1106)*1+N($N1106)*0.75+N($O1106)*0.5+N($P1106)*0.25)+$W1106*N($L1106))</f>
        <v/>
      </c>
      <c r="Z1106" s="35" t="str">
        <f aca="false">IF($G1106="","",$U1106*1000000+ROW())</f>
        <v/>
      </c>
      <c r="AA1106" s="36" t="str">
        <f aca="false">IF($G1106="","",MID(IF($C1106="",", no division","")&amp;IF($E1106="",", no unit","")&amp;IF($H1106="",", no career level","")&amp;IF(N($L1106)&lt;=0,", no quarter split","")&amp;IF($R1106="",", no driver","")&amp;IF(AND($H1106&lt;&gt;"",COUNTIF(CareerLevels,$H1106)=0),", a career level that is not on the ladder","")&amp;IF(AND($R1106&lt;&gt;"",COUNTIF(DriverList,$R1106)=0),", a driver that is not on the list","")&amp;IF(ABS(N($L1106)-(N($M1106)+N($N1106)+N($O1106)+N($P1106)))&gt;0.001,", a total that does not match its quarters",""),3,300))</f>
        <v/>
      </c>
    </row>
    <row r="1107" customFormat="false" ht="15" hidden="false" customHeight="false" outlineLevel="0" collapsed="false">
      <c r="A1107" s="33" t="str">
        <f aca="false">IF($G1107="","","Internal Audit Group")</f>
        <v/>
      </c>
      <c r="B1107" s="19"/>
      <c r="C1107" s="19"/>
      <c r="D1107" s="19"/>
      <c r="E1107" s="19"/>
      <c r="F1107" s="19"/>
      <c r="G1107" s="19"/>
      <c r="H1107" s="19"/>
      <c r="I1107" s="19"/>
      <c r="J1107" s="19"/>
      <c r="K1107" s="19"/>
      <c r="L1107" s="19"/>
      <c r="M1107" s="19"/>
      <c r="N1107" s="19"/>
      <c r="O1107" s="19"/>
      <c r="P1107" s="19"/>
      <c r="Q1107" s="19"/>
      <c r="R1107" s="19"/>
      <c r="S1107" s="19"/>
      <c r="T1107" s="34" t="str">
        <f aca="false">IF($R1107="","",IFERROR(INDEX(DriverCategory,MATCH($R1107,DriverList,0)),"BAU"))</f>
        <v/>
      </c>
      <c r="U1107" s="34" t="str">
        <f aca="false">IF($R1107="","",IFERROR(INDEX(DriverRank,MATCH($R1107,DriverList,0)),99))</f>
        <v/>
      </c>
      <c r="V1107" s="35" t="n">
        <f aca="false">IF($H1107="",0,IFERROR(INDEX(LevelBasic,MATCH($H1107,LevelList,0))+INDEX(LevelHousing,MATCH($H1107,LevelList,0))+INDEX(LevelTransport,MATCH($H1107,LevelList,0))+INDEX(LevelBasic,MATCH($H1107,LevelList,0))*INDEX(LevelBonus,MATCH($H1107,LevelList,0))+(INDEX(LevelBasic,MATCH($H1107,LevelList,0))+INDEX(LevelHousing,MATCH($H1107,LevelList,0)))*GosiSaudi,0))</f>
        <v>0</v>
      </c>
      <c r="W1107" s="35" t="n">
        <f aca="false">IFERROR(INDEX(LevelOneOff,MATCH($H1107,LevelList,0)),0)</f>
        <v>0</v>
      </c>
      <c r="X1107" s="35" t="str">
        <f aca="false">IF($G1107="","",$V1107*N($L1107))</f>
        <v/>
      </c>
      <c r="Y1107" s="35" t="str">
        <f aca="false">IF($G1107="","",$V1107*(N($M1107)*1+N($N1107)*0.75+N($O1107)*0.5+N($P1107)*0.25)+$W1107*N($L1107))</f>
        <v/>
      </c>
      <c r="Z1107" s="35" t="str">
        <f aca="false">IF($G1107="","",$U1107*1000000+ROW())</f>
        <v/>
      </c>
      <c r="AA1107" s="36" t="str">
        <f aca="false">IF($G1107="","",MID(IF($C1107="",", no division","")&amp;IF($E1107="",", no unit","")&amp;IF($H1107="",", no career level","")&amp;IF(N($L1107)&lt;=0,", no quarter split","")&amp;IF($R1107="",", no driver","")&amp;IF(AND($H1107&lt;&gt;"",COUNTIF(CareerLevels,$H1107)=0),", a career level that is not on the ladder","")&amp;IF(AND($R1107&lt;&gt;"",COUNTIF(DriverList,$R1107)=0),", a driver that is not on the list","")&amp;IF(ABS(N($L1107)-(N($M1107)+N($N1107)+N($O1107)+N($P1107)))&gt;0.001,", a total that does not match its quarters",""),3,300))</f>
        <v/>
      </c>
    </row>
    <row r="1108" customFormat="false" ht="15" hidden="false" customHeight="false" outlineLevel="0" collapsed="false">
      <c r="A1108" s="33" t="str">
        <f aca="false">IF($G1108="","","Internal Audit Group")</f>
        <v/>
      </c>
      <c r="B1108" s="19"/>
      <c r="C1108" s="19"/>
      <c r="D1108" s="19"/>
      <c r="E1108" s="19"/>
      <c r="F1108" s="19"/>
      <c r="G1108" s="19"/>
      <c r="H1108" s="19"/>
      <c r="I1108" s="19"/>
      <c r="J1108" s="19"/>
      <c r="K1108" s="19"/>
      <c r="L1108" s="19"/>
      <c r="M1108" s="19"/>
      <c r="N1108" s="19"/>
      <c r="O1108" s="19"/>
      <c r="P1108" s="19"/>
      <c r="Q1108" s="19"/>
      <c r="R1108" s="19"/>
      <c r="S1108" s="19"/>
      <c r="T1108" s="34" t="str">
        <f aca="false">IF($R1108="","",IFERROR(INDEX(DriverCategory,MATCH($R1108,DriverList,0)),"BAU"))</f>
        <v/>
      </c>
      <c r="U1108" s="34" t="str">
        <f aca="false">IF($R1108="","",IFERROR(INDEX(DriverRank,MATCH($R1108,DriverList,0)),99))</f>
        <v/>
      </c>
      <c r="V1108" s="35" t="n">
        <f aca="false">IF($H1108="",0,IFERROR(INDEX(LevelBasic,MATCH($H1108,LevelList,0))+INDEX(LevelHousing,MATCH($H1108,LevelList,0))+INDEX(LevelTransport,MATCH($H1108,LevelList,0))+INDEX(LevelBasic,MATCH($H1108,LevelList,0))*INDEX(LevelBonus,MATCH($H1108,LevelList,0))+(INDEX(LevelBasic,MATCH($H1108,LevelList,0))+INDEX(LevelHousing,MATCH($H1108,LevelList,0)))*GosiSaudi,0))</f>
        <v>0</v>
      </c>
      <c r="W1108" s="35" t="n">
        <f aca="false">IFERROR(INDEX(LevelOneOff,MATCH($H1108,LevelList,0)),0)</f>
        <v>0</v>
      </c>
      <c r="X1108" s="35" t="str">
        <f aca="false">IF($G1108="","",$V1108*N($L1108))</f>
        <v/>
      </c>
      <c r="Y1108" s="35" t="str">
        <f aca="false">IF($G1108="","",$V1108*(N($M1108)*1+N($N1108)*0.75+N($O1108)*0.5+N($P1108)*0.25)+$W1108*N($L1108))</f>
        <v/>
      </c>
      <c r="Z1108" s="35" t="str">
        <f aca="false">IF($G1108="","",$U1108*1000000+ROW())</f>
        <v/>
      </c>
      <c r="AA1108" s="36" t="str">
        <f aca="false">IF($G1108="","",MID(IF($C1108="",", no division","")&amp;IF($E1108="",", no unit","")&amp;IF($H1108="",", no career level","")&amp;IF(N($L1108)&lt;=0,", no quarter split","")&amp;IF($R1108="",", no driver","")&amp;IF(AND($H1108&lt;&gt;"",COUNTIF(CareerLevels,$H1108)=0),", a career level that is not on the ladder","")&amp;IF(AND($R1108&lt;&gt;"",COUNTIF(DriverList,$R1108)=0),", a driver that is not on the list","")&amp;IF(ABS(N($L1108)-(N($M1108)+N($N1108)+N($O1108)+N($P1108)))&gt;0.001,", a total that does not match its quarters",""),3,300))</f>
        <v/>
      </c>
    </row>
    <row r="1109" customFormat="false" ht="15" hidden="false" customHeight="false" outlineLevel="0" collapsed="false">
      <c r="A1109" s="33" t="str">
        <f aca="false">IF($G1109="","","Internal Audit Group")</f>
        <v/>
      </c>
      <c r="B1109" s="19"/>
      <c r="C1109" s="19"/>
      <c r="D1109" s="19"/>
      <c r="E1109" s="19"/>
      <c r="F1109" s="19"/>
      <c r="G1109" s="19"/>
      <c r="H1109" s="19"/>
      <c r="I1109" s="19"/>
      <c r="J1109" s="19"/>
      <c r="K1109" s="19"/>
      <c r="L1109" s="19"/>
      <c r="M1109" s="19"/>
      <c r="N1109" s="19"/>
      <c r="O1109" s="19"/>
      <c r="P1109" s="19"/>
      <c r="Q1109" s="19"/>
      <c r="R1109" s="19"/>
      <c r="S1109" s="19"/>
      <c r="T1109" s="34" t="str">
        <f aca="false">IF($R1109="","",IFERROR(INDEX(DriverCategory,MATCH($R1109,DriverList,0)),"BAU"))</f>
        <v/>
      </c>
      <c r="U1109" s="34" t="str">
        <f aca="false">IF($R1109="","",IFERROR(INDEX(DriverRank,MATCH($R1109,DriverList,0)),99))</f>
        <v/>
      </c>
      <c r="V1109" s="35" t="n">
        <f aca="false">IF($H1109="",0,IFERROR(INDEX(LevelBasic,MATCH($H1109,LevelList,0))+INDEX(LevelHousing,MATCH($H1109,LevelList,0))+INDEX(LevelTransport,MATCH($H1109,LevelList,0))+INDEX(LevelBasic,MATCH($H1109,LevelList,0))*INDEX(LevelBonus,MATCH($H1109,LevelList,0))+(INDEX(LevelBasic,MATCH($H1109,LevelList,0))+INDEX(LevelHousing,MATCH($H1109,LevelList,0)))*GosiSaudi,0))</f>
        <v>0</v>
      </c>
      <c r="W1109" s="35" t="n">
        <f aca="false">IFERROR(INDEX(LevelOneOff,MATCH($H1109,LevelList,0)),0)</f>
        <v>0</v>
      </c>
      <c r="X1109" s="35" t="str">
        <f aca="false">IF($G1109="","",$V1109*N($L1109))</f>
        <v/>
      </c>
      <c r="Y1109" s="35" t="str">
        <f aca="false">IF($G1109="","",$V1109*(N($M1109)*1+N($N1109)*0.75+N($O1109)*0.5+N($P1109)*0.25)+$W1109*N($L1109))</f>
        <v/>
      </c>
      <c r="Z1109" s="35" t="str">
        <f aca="false">IF($G1109="","",$U1109*1000000+ROW())</f>
        <v/>
      </c>
      <c r="AA1109" s="36" t="str">
        <f aca="false">IF($G1109="","",MID(IF($C1109="",", no division","")&amp;IF($E1109="",", no unit","")&amp;IF($H1109="",", no career level","")&amp;IF(N($L1109)&lt;=0,", no quarter split","")&amp;IF($R1109="",", no driver","")&amp;IF(AND($H1109&lt;&gt;"",COUNTIF(CareerLevels,$H1109)=0),", a career level that is not on the ladder","")&amp;IF(AND($R1109&lt;&gt;"",COUNTIF(DriverList,$R1109)=0),", a driver that is not on the list","")&amp;IF(ABS(N($L1109)-(N($M1109)+N($N1109)+N($O1109)+N($P1109)))&gt;0.001,", a total that does not match its quarters",""),3,300))</f>
        <v/>
      </c>
    </row>
    <row r="1110" customFormat="false" ht="15" hidden="false" customHeight="false" outlineLevel="0" collapsed="false">
      <c r="A1110" s="33" t="str">
        <f aca="false">IF($G1110="","","Internal Audit Group")</f>
        <v/>
      </c>
      <c r="B1110" s="19"/>
      <c r="C1110" s="19"/>
      <c r="D1110" s="19"/>
      <c r="E1110" s="19"/>
      <c r="F1110" s="19"/>
      <c r="G1110" s="19"/>
      <c r="H1110" s="19"/>
      <c r="I1110" s="19"/>
      <c r="J1110" s="19"/>
      <c r="K1110" s="19"/>
      <c r="L1110" s="19"/>
      <c r="M1110" s="19"/>
      <c r="N1110" s="19"/>
      <c r="O1110" s="19"/>
      <c r="P1110" s="19"/>
      <c r="Q1110" s="19"/>
      <c r="R1110" s="19"/>
      <c r="S1110" s="19"/>
      <c r="T1110" s="34" t="str">
        <f aca="false">IF($R1110="","",IFERROR(INDEX(DriverCategory,MATCH($R1110,DriverList,0)),"BAU"))</f>
        <v/>
      </c>
      <c r="U1110" s="34" t="str">
        <f aca="false">IF($R1110="","",IFERROR(INDEX(DriverRank,MATCH($R1110,DriverList,0)),99))</f>
        <v/>
      </c>
      <c r="V1110" s="35" t="n">
        <f aca="false">IF($H1110="",0,IFERROR(INDEX(LevelBasic,MATCH($H1110,LevelList,0))+INDEX(LevelHousing,MATCH($H1110,LevelList,0))+INDEX(LevelTransport,MATCH($H1110,LevelList,0))+INDEX(LevelBasic,MATCH($H1110,LevelList,0))*INDEX(LevelBonus,MATCH($H1110,LevelList,0))+(INDEX(LevelBasic,MATCH($H1110,LevelList,0))+INDEX(LevelHousing,MATCH($H1110,LevelList,0)))*GosiSaudi,0))</f>
        <v>0</v>
      </c>
      <c r="W1110" s="35" t="n">
        <f aca="false">IFERROR(INDEX(LevelOneOff,MATCH($H1110,LevelList,0)),0)</f>
        <v>0</v>
      </c>
      <c r="X1110" s="35" t="str">
        <f aca="false">IF($G1110="","",$V1110*N($L1110))</f>
        <v/>
      </c>
      <c r="Y1110" s="35" t="str">
        <f aca="false">IF($G1110="","",$V1110*(N($M1110)*1+N($N1110)*0.75+N($O1110)*0.5+N($P1110)*0.25)+$W1110*N($L1110))</f>
        <v/>
      </c>
      <c r="Z1110" s="35" t="str">
        <f aca="false">IF($G1110="","",$U1110*1000000+ROW())</f>
        <v/>
      </c>
      <c r="AA1110" s="36" t="str">
        <f aca="false">IF($G1110="","",MID(IF($C1110="",", no division","")&amp;IF($E1110="",", no unit","")&amp;IF($H1110="",", no career level","")&amp;IF(N($L1110)&lt;=0,", no quarter split","")&amp;IF($R1110="",", no driver","")&amp;IF(AND($H1110&lt;&gt;"",COUNTIF(CareerLevels,$H1110)=0),", a career level that is not on the ladder","")&amp;IF(AND($R1110&lt;&gt;"",COUNTIF(DriverList,$R1110)=0),", a driver that is not on the list","")&amp;IF(ABS(N($L1110)-(N($M1110)+N($N1110)+N($O1110)+N($P1110)))&gt;0.001,", a total that does not match its quarters",""),3,300))</f>
        <v/>
      </c>
    </row>
    <row r="1111" customFormat="false" ht="15" hidden="false" customHeight="false" outlineLevel="0" collapsed="false">
      <c r="A1111" s="33" t="str">
        <f aca="false">IF($G1111="","","Internal Audit Group")</f>
        <v/>
      </c>
      <c r="B1111" s="19"/>
      <c r="C1111" s="19"/>
      <c r="D1111" s="19"/>
      <c r="E1111" s="19"/>
      <c r="F1111" s="19"/>
      <c r="G1111" s="19"/>
      <c r="H1111" s="19"/>
      <c r="I1111" s="19"/>
      <c r="J1111" s="19"/>
      <c r="K1111" s="19"/>
      <c r="L1111" s="19"/>
      <c r="M1111" s="19"/>
      <c r="N1111" s="19"/>
      <c r="O1111" s="19"/>
      <c r="P1111" s="19"/>
      <c r="Q1111" s="19"/>
      <c r="R1111" s="19"/>
      <c r="S1111" s="19"/>
      <c r="T1111" s="34" t="str">
        <f aca="false">IF($R1111="","",IFERROR(INDEX(DriverCategory,MATCH($R1111,DriverList,0)),"BAU"))</f>
        <v/>
      </c>
      <c r="U1111" s="34" t="str">
        <f aca="false">IF($R1111="","",IFERROR(INDEX(DriverRank,MATCH($R1111,DriverList,0)),99))</f>
        <v/>
      </c>
      <c r="V1111" s="35" t="n">
        <f aca="false">IF($H1111="",0,IFERROR(INDEX(LevelBasic,MATCH($H1111,LevelList,0))+INDEX(LevelHousing,MATCH($H1111,LevelList,0))+INDEX(LevelTransport,MATCH($H1111,LevelList,0))+INDEX(LevelBasic,MATCH($H1111,LevelList,0))*INDEX(LevelBonus,MATCH($H1111,LevelList,0))+(INDEX(LevelBasic,MATCH($H1111,LevelList,0))+INDEX(LevelHousing,MATCH($H1111,LevelList,0)))*GosiSaudi,0))</f>
        <v>0</v>
      </c>
      <c r="W1111" s="35" t="n">
        <f aca="false">IFERROR(INDEX(LevelOneOff,MATCH($H1111,LevelList,0)),0)</f>
        <v>0</v>
      </c>
      <c r="X1111" s="35" t="str">
        <f aca="false">IF($G1111="","",$V1111*N($L1111))</f>
        <v/>
      </c>
      <c r="Y1111" s="35" t="str">
        <f aca="false">IF($G1111="","",$V1111*(N($M1111)*1+N($N1111)*0.75+N($O1111)*0.5+N($P1111)*0.25)+$W1111*N($L1111))</f>
        <v/>
      </c>
      <c r="Z1111" s="35" t="str">
        <f aca="false">IF($G1111="","",$U1111*1000000+ROW())</f>
        <v/>
      </c>
      <c r="AA1111" s="36" t="str">
        <f aca="false">IF($G1111="","",MID(IF($C1111="",", no division","")&amp;IF($E1111="",", no unit","")&amp;IF($H1111="",", no career level","")&amp;IF(N($L1111)&lt;=0,", no quarter split","")&amp;IF($R1111="",", no driver","")&amp;IF(AND($H1111&lt;&gt;"",COUNTIF(CareerLevels,$H1111)=0),", a career level that is not on the ladder","")&amp;IF(AND($R1111&lt;&gt;"",COUNTIF(DriverList,$R1111)=0),", a driver that is not on the list","")&amp;IF(ABS(N($L1111)-(N($M1111)+N($N1111)+N($O1111)+N($P1111)))&gt;0.001,", a total that does not match its quarters",""),3,300))</f>
        <v/>
      </c>
    </row>
    <row r="1112" customFormat="false" ht="15" hidden="false" customHeight="false" outlineLevel="0" collapsed="false">
      <c r="A1112" s="33" t="str">
        <f aca="false">IF($G1112="","","Internal Audit Group")</f>
        <v/>
      </c>
      <c r="B1112" s="19"/>
      <c r="C1112" s="19"/>
      <c r="D1112" s="19"/>
      <c r="E1112" s="19"/>
      <c r="F1112" s="19"/>
      <c r="G1112" s="19"/>
      <c r="H1112" s="19"/>
      <c r="I1112" s="19"/>
      <c r="J1112" s="19"/>
      <c r="K1112" s="19"/>
      <c r="L1112" s="19"/>
      <c r="M1112" s="19"/>
      <c r="N1112" s="19"/>
      <c r="O1112" s="19"/>
      <c r="P1112" s="19"/>
      <c r="Q1112" s="19"/>
      <c r="R1112" s="19"/>
      <c r="S1112" s="19"/>
      <c r="T1112" s="34" t="str">
        <f aca="false">IF($R1112="","",IFERROR(INDEX(DriverCategory,MATCH($R1112,DriverList,0)),"BAU"))</f>
        <v/>
      </c>
      <c r="U1112" s="34" t="str">
        <f aca="false">IF($R1112="","",IFERROR(INDEX(DriverRank,MATCH($R1112,DriverList,0)),99))</f>
        <v/>
      </c>
      <c r="V1112" s="35" t="n">
        <f aca="false">IF($H1112="",0,IFERROR(INDEX(LevelBasic,MATCH($H1112,LevelList,0))+INDEX(LevelHousing,MATCH($H1112,LevelList,0))+INDEX(LevelTransport,MATCH($H1112,LevelList,0))+INDEX(LevelBasic,MATCH($H1112,LevelList,0))*INDEX(LevelBonus,MATCH($H1112,LevelList,0))+(INDEX(LevelBasic,MATCH($H1112,LevelList,0))+INDEX(LevelHousing,MATCH($H1112,LevelList,0)))*GosiSaudi,0))</f>
        <v>0</v>
      </c>
      <c r="W1112" s="35" t="n">
        <f aca="false">IFERROR(INDEX(LevelOneOff,MATCH($H1112,LevelList,0)),0)</f>
        <v>0</v>
      </c>
      <c r="X1112" s="35" t="str">
        <f aca="false">IF($G1112="","",$V1112*N($L1112))</f>
        <v/>
      </c>
      <c r="Y1112" s="35" t="str">
        <f aca="false">IF($G1112="","",$V1112*(N($M1112)*1+N($N1112)*0.75+N($O1112)*0.5+N($P1112)*0.25)+$W1112*N($L1112))</f>
        <v/>
      </c>
      <c r="Z1112" s="35" t="str">
        <f aca="false">IF($G1112="","",$U1112*1000000+ROW())</f>
        <v/>
      </c>
      <c r="AA1112" s="36" t="str">
        <f aca="false">IF($G1112="","",MID(IF($C1112="",", no division","")&amp;IF($E1112="",", no unit","")&amp;IF($H1112="",", no career level","")&amp;IF(N($L1112)&lt;=0,", no quarter split","")&amp;IF($R1112="",", no driver","")&amp;IF(AND($H1112&lt;&gt;"",COUNTIF(CareerLevels,$H1112)=0),", a career level that is not on the ladder","")&amp;IF(AND($R1112&lt;&gt;"",COUNTIF(DriverList,$R1112)=0),", a driver that is not on the list","")&amp;IF(ABS(N($L1112)-(N($M1112)+N($N1112)+N($O1112)+N($P1112)))&gt;0.001,", a total that does not match its quarters",""),3,300))</f>
        <v/>
      </c>
    </row>
    <row r="1113" customFormat="false" ht="15" hidden="false" customHeight="false" outlineLevel="0" collapsed="false">
      <c r="A1113" s="33" t="str">
        <f aca="false">IF($G1113="","","Internal Audit Group")</f>
        <v/>
      </c>
      <c r="B1113" s="19"/>
      <c r="C1113" s="19"/>
      <c r="D1113" s="19"/>
      <c r="E1113" s="19"/>
      <c r="F1113" s="19"/>
      <c r="G1113" s="19"/>
      <c r="H1113" s="19"/>
      <c r="I1113" s="19"/>
      <c r="J1113" s="19"/>
      <c r="K1113" s="19"/>
      <c r="L1113" s="19"/>
      <c r="M1113" s="19"/>
      <c r="N1113" s="19"/>
      <c r="O1113" s="19"/>
      <c r="P1113" s="19"/>
      <c r="Q1113" s="19"/>
      <c r="R1113" s="19"/>
      <c r="S1113" s="19"/>
      <c r="T1113" s="34" t="str">
        <f aca="false">IF($R1113="","",IFERROR(INDEX(DriverCategory,MATCH($R1113,DriverList,0)),"BAU"))</f>
        <v/>
      </c>
      <c r="U1113" s="34" t="str">
        <f aca="false">IF($R1113="","",IFERROR(INDEX(DriverRank,MATCH($R1113,DriverList,0)),99))</f>
        <v/>
      </c>
      <c r="V1113" s="35" t="n">
        <f aca="false">IF($H1113="",0,IFERROR(INDEX(LevelBasic,MATCH($H1113,LevelList,0))+INDEX(LevelHousing,MATCH($H1113,LevelList,0))+INDEX(LevelTransport,MATCH($H1113,LevelList,0))+INDEX(LevelBasic,MATCH($H1113,LevelList,0))*INDEX(LevelBonus,MATCH($H1113,LevelList,0))+(INDEX(LevelBasic,MATCH($H1113,LevelList,0))+INDEX(LevelHousing,MATCH($H1113,LevelList,0)))*GosiSaudi,0))</f>
        <v>0</v>
      </c>
      <c r="W1113" s="35" t="n">
        <f aca="false">IFERROR(INDEX(LevelOneOff,MATCH($H1113,LevelList,0)),0)</f>
        <v>0</v>
      </c>
      <c r="X1113" s="35" t="str">
        <f aca="false">IF($G1113="","",$V1113*N($L1113))</f>
        <v/>
      </c>
      <c r="Y1113" s="35" t="str">
        <f aca="false">IF($G1113="","",$V1113*(N($M1113)*1+N($N1113)*0.75+N($O1113)*0.5+N($P1113)*0.25)+$W1113*N($L1113))</f>
        <v/>
      </c>
      <c r="Z1113" s="35" t="str">
        <f aca="false">IF($G1113="","",$U1113*1000000+ROW())</f>
        <v/>
      </c>
      <c r="AA1113" s="36" t="str">
        <f aca="false">IF($G1113="","",MID(IF($C1113="",", no division","")&amp;IF($E1113="",", no unit","")&amp;IF($H1113="",", no career level","")&amp;IF(N($L1113)&lt;=0,", no quarter split","")&amp;IF($R1113="",", no driver","")&amp;IF(AND($H1113&lt;&gt;"",COUNTIF(CareerLevels,$H1113)=0),", a career level that is not on the ladder","")&amp;IF(AND($R1113&lt;&gt;"",COUNTIF(DriverList,$R1113)=0),", a driver that is not on the list","")&amp;IF(ABS(N($L1113)-(N($M1113)+N($N1113)+N($O1113)+N($P1113)))&gt;0.001,", a total that does not match its quarters",""),3,300))</f>
        <v/>
      </c>
    </row>
    <row r="1114" customFormat="false" ht="15" hidden="false" customHeight="false" outlineLevel="0" collapsed="false">
      <c r="A1114" s="33" t="str">
        <f aca="false">IF($G1114="","","Internal Audit Group")</f>
        <v/>
      </c>
      <c r="B1114" s="19"/>
      <c r="C1114" s="19"/>
      <c r="D1114" s="19"/>
      <c r="E1114" s="19"/>
      <c r="F1114" s="19"/>
      <c r="G1114" s="19"/>
      <c r="H1114" s="19"/>
      <c r="I1114" s="19"/>
      <c r="J1114" s="19"/>
      <c r="K1114" s="19"/>
      <c r="L1114" s="19"/>
      <c r="M1114" s="19"/>
      <c r="N1114" s="19"/>
      <c r="O1114" s="19"/>
      <c r="P1114" s="19"/>
      <c r="Q1114" s="19"/>
      <c r="R1114" s="19"/>
      <c r="S1114" s="19"/>
      <c r="T1114" s="34" t="str">
        <f aca="false">IF($R1114="","",IFERROR(INDEX(DriverCategory,MATCH($R1114,DriverList,0)),"BAU"))</f>
        <v/>
      </c>
      <c r="U1114" s="34" t="str">
        <f aca="false">IF($R1114="","",IFERROR(INDEX(DriverRank,MATCH($R1114,DriverList,0)),99))</f>
        <v/>
      </c>
      <c r="V1114" s="35" t="n">
        <f aca="false">IF($H1114="",0,IFERROR(INDEX(LevelBasic,MATCH($H1114,LevelList,0))+INDEX(LevelHousing,MATCH($H1114,LevelList,0))+INDEX(LevelTransport,MATCH($H1114,LevelList,0))+INDEX(LevelBasic,MATCH($H1114,LevelList,0))*INDEX(LevelBonus,MATCH($H1114,LevelList,0))+(INDEX(LevelBasic,MATCH($H1114,LevelList,0))+INDEX(LevelHousing,MATCH($H1114,LevelList,0)))*GosiSaudi,0))</f>
        <v>0</v>
      </c>
      <c r="W1114" s="35" t="n">
        <f aca="false">IFERROR(INDEX(LevelOneOff,MATCH($H1114,LevelList,0)),0)</f>
        <v>0</v>
      </c>
      <c r="X1114" s="35" t="str">
        <f aca="false">IF($G1114="","",$V1114*N($L1114))</f>
        <v/>
      </c>
      <c r="Y1114" s="35" t="str">
        <f aca="false">IF($G1114="","",$V1114*(N($M1114)*1+N($N1114)*0.75+N($O1114)*0.5+N($P1114)*0.25)+$W1114*N($L1114))</f>
        <v/>
      </c>
      <c r="Z1114" s="35" t="str">
        <f aca="false">IF($G1114="","",$U1114*1000000+ROW())</f>
        <v/>
      </c>
      <c r="AA1114" s="36" t="str">
        <f aca="false">IF($G1114="","",MID(IF($C1114="",", no division","")&amp;IF($E1114="",", no unit","")&amp;IF($H1114="",", no career level","")&amp;IF(N($L1114)&lt;=0,", no quarter split","")&amp;IF($R1114="",", no driver","")&amp;IF(AND($H1114&lt;&gt;"",COUNTIF(CareerLevels,$H1114)=0),", a career level that is not on the ladder","")&amp;IF(AND($R1114&lt;&gt;"",COUNTIF(DriverList,$R1114)=0),", a driver that is not on the list","")&amp;IF(ABS(N($L1114)-(N($M1114)+N($N1114)+N($O1114)+N($P1114)))&gt;0.001,", a total that does not match its quarters",""),3,300))</f>
        <v/>
      </c>
    </row>
    <row r="1115" customFormat="false" ht="15" hidden="false" customHeight="false" outlineLevel="0" collapsed="false">
      <c r="A1115" s="33" t="str">
        <f aca="false">IF($G1115="","","Internal Audit Group")</f>
        <v/>
      </c>
      <c r="B1115" s="19"/>
      <c r="C1115" s="19"/>
      <c r="D1115" s="19"/>
      <c r="E1115" s="19"/>
      <c r="F1115" s="19"/>
      <c r="G1115" s="19"/>
      <c r="H1115" s="19"/>
      <c r="I1115" s="19"/>
      <c r="J1115" s="19"/>
      <c r="K1115" s="19"/>
      <c r="L1115" s="19"/>
      <c r="M1115" s="19"/>
      <c r="N1115" s="19"/>
      <c r="O1115" s="19"/>
      <c r="P1115" s="19"/>
      <c r="Q1115" s="19"/>
      <c r="R1115" s="19"/>
      <c r="S1115" s="19"/>
      <c r="T1115" s="34" t="str">
        <f aca="false">IF($R1115="","",IFERROR(INDEX(DriverCategory,MATCH($R1115,DriverList,0)),"BAU"))</f>
        <v/>
      </c>
      <c r="U1115" s="34" t="str">
        <f aca="false">IF($R1115="","",IFERROR(INDEX(DriverRank,MATCH($R1115,DriverList,0)),99))</f>
        <v/>
      </c>
      <c r="V1115" s="35" t="n">
        <f aca="false">IF($H1115="",0,IFERROR(INDEX(LevelBasic,MATCH($H1115,LevelList,0))+INDEX(LevelHousing,MATCH($H1115,LevelList,0))+INDEX(LevelTransport,MATCH($H1115,LevelList,0))+INDEX(LevelBasic,MATCH($H1115,LevelList,0))*INDEX(LevelBonus,MATCH($H1115,LevelList,0))+(INDEX(LevelBasic,MATCH($H1115,LevelList,0))+INDEX(LevelHousing,MATCH($H1115,LevelList,0)))*GosiSaudi,0))</f>
        <v>0</v>
      </c>
      <c r="W1115" s="35" t="n">
        <f aca="false">IFERROR(INDEX(LevelOneOff,MATCH($H1115,LevelList,0)),0)</f>
        <v>0</v>
      </c>
      <c r="X1115" s="35" t="str">
        <f aca="false">IF($G1115="","",$V1115*N($L1115))</f>
        <v/>
      </c>
      <c r="Y1115" s="35" t="str">
        <f aca="false">IF($G1115="","",$V1115*(N($M1115)*1+N($N1115)*0.75+N($O1115)*0.5+N($P1115)*0.25)+$W1115*N($L1115))</f>
        <v/>
      </c>
      <c r="Z1115" s="35" t="str">
        <f aca="false">IF($G1115="","",$U1115*1000000+ROW())</f>
        <v/>
      </c>
      <c r="AA1115" s="36" t="str">
        <f aca="false">IF($G1115="","",MID(IF($C1115="",", no division","")&amp;IF($E1115="",", no unit","")&amp;IF($H1115="",", no career level","")&amp;IF(N($L1115)&lt;=0,", no quarter split","")&amp;IF($R1115="",", no driver","")&amp;IF(AND($H1115&lt;&gt;"",COUNTIF(CareerLevels,$H1115)=0),", a career level that is not on the ladder","")&amp;IF(AND($R1115&lt;&gt;"",COUNTIF(DriverList,$R1115)=0),", a driver that is not on the list","")&amp;IF(ABS(N($L1115)-(N($M1115)+N($N1115)+N($O1115)+N($P1115)))&gt;0.001,", a total that does not match its quarters",""),3,300))</f>
        <v/>
      </c>
    </row>
    <row r="1116" customFormat="false" ht="15" hidden="false" customHeight="false" outlineLevel="0" collapsed="false">
      <c r="A1116" s="33" t="str">
        <f aca="false">IF($G1116="","","Internal Audit Group")</f>
        <v/>
      </c>
      <c r="B1116" s="19"/>
      <c r="C1116" s="19"/>
      <c r="D1116" s="19"/>
      <c r="E1116" s="19"/>
      <c r="F1116" s="19"/>
      <c r="G1116" s="19"/>
      <c r="H1116" s="19"/>
      <c r="I1116" s="19"/>
      <c r="J1116" s="19"/>
      <c r="K1116" s="19"/>
      <c r="L1116" s="19"/>
      <c r="M1116" s="19"/>
      <c r="N1116" s="19"/>
      <c r="O1116" s="19"/>
      <c r="P1116" s="19"/>
      <c r="Q1116" s="19"/>
      <c r="R1116" s="19"/>
      <c r="S1116" s="19"/>
      <c r="T1116" s="34" t="str">
        <f aca="false">IF($R1116="","",IFERROR(INDEX(DriverCategory,MATCH($R1116,DriverList,0)),"BAU"))</f>
        <v/>
      </c>
      <c r="U1116" s="34" t="str">
        <f aca="false">IF($R1116="","",IFERROR(INDEX(DriverRank,MATCH($R1116,DriverList,0)),99))</f>
        <v/>
      </c>
      <c r="V1116" s="35" t="n">
        <f aca="false">IF($H1116="",0,IFERROR(INDEX(LevelBasic,MATCH($H1116,LevelList,0))+INDEX(LevelHousing,MATCH($H1116,LevelList,0))+INDEX(LevelTransport,MATCH($H1116,LevelList,0))+INDEX(LevelBasic,MATCH($H1116,LevelList,0))*INDEX(LevelBonus,MATCH($H1116,LevelList,0))+(INDEX(LevelBasic,MATCH($H1116,LevelList,0))+INDEX(LevelHousing,MATCH($H1116,LevelList,0)))*GosiSaudi,0))</f>
        <v>0</v>
      </c>
      <c r="W1116" s="35" t="n">
        <f aca="false">IFERROR(INDEX(LevelOneOff,MATCH($H1116,LevelList,0)),0)</f>
        <v>0</v>
      </c>
      <c r="X1116" s="35" t="str">
        <f aca="false">IF($G1116="","",$V1116*N($L1116))</f>
        <v/>
      </c>
      <c r="Y1116" s="35" t="str">
        <f aca="false">IF($G1116="","",$V1116*(N($M1116)*1+N($N1116)*0.75+N($O1116)*0.5+N($P1116)*0.25)+$W1116*N($L1116))</f>
        <v/>
      </c>
      <c r="Z1116" s="35" t="str">
        <f aca="false">IF($G1116="","",$U1116*1000000+ROW())</f>
        <v/>
      </c>
      <c r="AA1116" s="36" t="str">
        <f aca="false">IF($G1116="","",MID(IF($C1116="",", no division","")&amp;IF($E1116="",", no unit","")&amp;IF($H1116="",", no career level","")&amp;IF(N($L1116)&lt;=0,", no quarter split","")&amp;IF($R1116="",", no driver","")&amp;IF(AND($H1116&lt;&gt;"",COUNTIF(CareerLevels,$H1116)=0),", a career level that is not on the ladder","")&amp;IF(AND($R1116&lt;&gt;"",COUNTIF(DriverList,$R1116)=0),", a driver that is not on the list","")&amp;IF(ABS(N($L1116)-(N($M1116)+N($N1116)+N($O1116)+N($P1116)))&gt;0.001,", a total that does not match its quarters",""),3,300))</f>
        <v/>
      </c>
    </row>
    <row r="1117" customFormat="false" ht="15" hidden="false" customHeight="false" outlineLevel="0" collapsed="false">
      <c r="A1117" s="33" t="str">
        <f aca="false">IF($G1117="","","Internal Audit Group")</f>
        <v/>
      </c>
      <c r="B1117" s="19"/>
      <c r="C1117" s="19"/>
      <c r="D1117" s="19"/>
      <c r="E1117" s="19"/>
      <c r="F1117" s="19"/>
      <c r="G1117" s="19"/>
      <c r="H1117" s="19"/>
      <c r="I1117" s="19"/>
      <c r="J1117" s="19"/>
      <c r="K1117" s="19"/>
      <c r="L1117" s="19"/>
      <c r="M1117" s="19"/>
      <c r="N1117" s="19"/>
      <c r="O1117" s="19"/>
      <c r="P1117" s="19"/>
      <c r="Q1117" s="19"/>
      <c r="R1117" s="19"/>
      <c r="S1117" s="19"/>
      <c r="T1117" s="34" t="str">
        <f aca="false">IF($R1117="","",IFERROR(INDEX(DriverCategory,MATCH($R1117,DriverList,0)),"BAU"))</f>
        <v/>
      </c>
      <c r="U1117" s="34" t="str">
        <f aca="false">IF($R1117="","",IFERROR(INDEX(DriverRank,MATCH($R1117,DriverList,0)),99))</f>
        <v/>
      </c>
      <c r="V1117" s="35" t="n">
        <f aca="false">IF($H1117="",0,IFERROR(INDEX(LevelBasic,MATCH($H1117,LevelList,0))+INDEX(LevelHousing,MATCH($H1117,LevelList,0))+INDEX(LevelTransport,MATCH($H1117,LevelList,0))+INDEX(LevelBasic,MATCH($H1117,LevelList,0))*INDEX(LevelBonus,MATCH($H1117,LevelList,0))+(INDEX(LevelBasic,MATCH($H1117,LevelList,0))+INDEX(LevelHousing,MATCH($H1117,LevelList,0)))*GosiSaudi,0))</f>
        <v>0</v>
      </c>
      <c r="W1117" s="35" t="n">
        <f aca="false">IFERROR(INDEX(LevelOneOff,MATCH($H1117,LevelList,0)),0)</f>
        <v>0</v>
      </c>
      <c r="X1117" s="35" t="str">
        <f aca="false">IF($G1117="","",$V1117*N($L1117))</f>
        <v/>
      </c>
      <c r="Y1117" s="35" t="str">
        <f aca="false">IF($G1117="","",$V1117*(N($M1117)*1+N($N1117)*0.75+N($O1117)*0.5+N($P1117)*0.25)+$W1117*N($L1117))</f>
        <v/>
      </c>
      <c r="Z1117" s="35" t="str">
        <f aca="false">IF($G1117="","",$U1117*1000000+ROW())</f>
        <v/>
      </c>
      <c r="AA1117" s="36" t="str">
        <f aca="false">IF($G1117="","",MID(IF($C1117="",", no division","")&amp;IF($E1117="",", no unit","")&amp;IF($H1117="",", no career level","")&amp;IF(N($L1117)&lt;=0,", no quarter split","")&amp;IF($R1117="",", no driver","")&amp;IF(AND($H1117&lt;&gt;"",COUNTIF(CareerLevels,$H1117)=0),", a career level that is not on the ladder","")&amp;IF(AND($R1117&lt;&gt;"",COUNTIF(DriverList,$R1117)=0),", a driver that is not on the list","")&amp;IF(ABS(N($L1117)-(N($M1117)+N($N1117)+N($O1117)+N($P1117)))&gt;0.001,", a total that does not match its quarters",""),3,300))</f>
        <v/>
      </c>
    </row>
    <row r="1118" customFormat="false" ht="15" hidden="false" customHeight="false" outlineLevel="0" collapsed="false">
      <c r="A1118" s="33" t="str">
        <f aca="false">IF($G1118="","","Internal Audit Group")</f>
        <v/>
      </c>
      <c r="B1118" s="19"/>
      <c r="C1118" s="19"/>
      <c r="D1118" s="19"/>
      <c r="E1118" s="19"/>
      <c r="F1118" s="19"/>
      <c r="G1118" s="19"/>
      <c r="H1118" s="19"/>
      <c r="I1118" s="19"/>
      <c r="J1118" s="19"/>
      <c r="K1118" s="19"/>
      <c r="L1118" s="19"/>
      <c r="M1118" s="19"/>
      <c r="N1118" s="19"/>
      <c r="O1118" s="19"/>
      <c r="P1118" s="19"/>
      <c r="Q1118" s="19"/>
      <c r="R1118" s="19"/>
      <c r="S1118" s="19"/>
      <c r="T1118" s="34" t="str">
        <f aca="false">IF($R1118="","",IFERROR(INDEX(DriverCategory,MATCH($R1118,DriverList,0)),"BAU"))</f>
        <v/>
      </c>
      <c r="U1118" s="34" t="str">
        <f aca="false">IF($R1118="","",IFERROR(INDEX(DriverRank,MATCH($R1118,DriverList,0)),99))</f>
        <v/>
      </c>
      <c r="V1118" s="35" t="n">
        <f aca="false">IF($H1118="",0,IFERROR(INDEX(LevelBasic,MATCH($H1118,LevelList,0))+INDEX(LevelHousing,MATCH($H1118,LevelList,0))+INDEX(LevelTransport,MATCH($H1118,LevelList,0))+INDEX(LevelBasic,MATCH($H1118,LevelList,0))*INDEX(LevelBonus,MATCH($H1118,LevelList,0))+(INDEX(LevelBasic,MATCH($H1118,LevelList,0))+INDEX(LevelHousing,MATCH($H1118,LevelList,0)))*GosiSaudi,0))</f>
        <v>0</v>
      </c>
      <c r="W1118" s="35" t="n">
        <f aca="false">IFERROR(INDEX(LevelOneOff,MATCH($H1118,LevelList,0)),0)</f>
        <v>0</v>
      </c>
      <c r="X1118" s="35" t="str">
        <f aca="false">IF($G1118="","",$V1118*N($L1118))</f>
        <v/>
      </c>
      <c r="Y1118" s="35" t="str">
        <f aca="false">IF($G1118="","",$V1118*(N($M1118)*1+N($N1118)*0.75+N($O1118)*0.5+N($P1118)*0.25)+$W1118*N($L1118))</f>
        <v/>
      </c>
      <c r="Z1118" s="35" t="str">
        <f aca="false">IF($G1118="","",$U1118*1000000+ROW())</f>
        <v/>
      </c>
      <c r="AA1118" s="36" t="str">
        <f aca="false">IF($G1118="","",MID(IF($C1118="",", no division","")&amp;IF($E1118="",", no unit","")&amp;IF($H1118="",", no career level","")&amp;IF(N($L1118)&lt;=0,", no quarter split","")&amp;IF($R1118="",", no driver","")&amp;IF(AND($H1118&lt;&gt;"",COUNTIF(CareerLevels,$H1118)=0),", a career level that is not on the ladder","")&amp;IF(AND($R1118&lt;&gt;"",COUNTIF(DriverList,$R1118)=0),", a driver that is not on the list","")&amp;IF(ABS(N($L1118)-(N($M1118)+N($N1118)+N($O1118)+N($P1118)))&gt;0.001,", a total that does not match its quarters",""),3,300))</f>
        <v/>
      </c>
    </row>
    <row r="1119" customFormat="false" ht="15" hidden="false" customHeight="false" outlineLevel="0" collapsed="false">
      <c r="A1119" s="33" t="str">
        <f aca="false">IF($G1119="","","Internal Audit Group")</f>
        <v/>
      </c>
      <c r="B1119" s="19"/>
      <c r="C1119" s="19"/>
      <c r="D1119" s="19"/>
      <c r="E1119" s="19"/>
      <c r="F1119" s="19"/>
      <c r="G1119" s="19"/>
      <c r="H1119" s="19"/>
      <c r="I1119" s="19"/>
      <c r="J1119" s="19"/>
      <c r="K1119" s="19"/>
      <c r="L1119" s="19"/>
      <c r="M1119" s="19"/>
      <c r="N1119" s="19"/>
      <c r="O1119" s="19"/>
      <c r="P1119" s="19"/>
      <c r="Q1119" s="19"/>
      <c r="R1119" s="19"/>
      <c r="S1119" s="19"/>
      <c r="T1119" s="34" t="str">
        <f aca="false">IF($R1119="","",IFERROR(INDEX(DriverCategory,MATCH($R1119,DriverList,0)),"BAU"))</f>
        <v/>
      </c>
      <c r="U1119" s="34" t="str">
        <f aca="false">IF($R1119="","",IFERROR(INDEX(DriverRank,MATCH($R1119,DriverList,0)),99))</f>
        <v/>
      </c>
      <c r="V1119" s="35" t="n">
        <f aca="false">IF($H1119="",0,IFERROR(INDEX(LevelBasic,MATCH($H1119,LevelList,0))+INDEX(LevelHousing,MATCH($H1119,LevelList,0))+INDEX(LevelTransport,MATCH($H1119,LevelList,0))+INDEX(LevelBasic,MATCH($H1119,LevelList,0))*INDEX(LevelBonus,MATCH($H1119,LevelList,0))+(INDEX(LevelBasic,MATCH($H1119,LevelList,0))+INDEX(LevelHousing,MATCH($H1119,LevelList,0)))*GosiSaudi,0))</f>
        <v>0</v>
      </c>
      <c r="W1119" s="35" t="n">
        <f aca="false">IFERROR(INDEX(LevelOneOff,MATCH($H1119,LevelList,0)),0)</f>
        <v>0</v>
      </c>
      <c r="X1119" s="35" t="str">
        <f aca="false">IF($G1119="","",$V1119*N($L1119))</f>
        <v/>
      </c>
      <c r="Y1119" s="35" t="str">
        <f aca="false">IF($G1119="","",$V1119*(N($M1119)*1+N($N1119)*0.75+N($O1119)*0.5+N($P1119)*0.25)+$W1119*N($L1119))</f>
        <v/>
      </c>
      <c r="Z1119" s="35" t="str">
        <f aca="false">IF($G1119="","",$U1119*1000000+ROW())</f>
        <v/>
      </c>
      <c r="AA1119" s="36" t="str">
        <f aca="false">IF($G1119="","",MID(IF($C1119="",", no division","")&amp;IF($E1119="",", no unit","")&amp;IF($H1119="",", no career level","")&amp;IF(N($L1119)&lt;=0,", no quarter split","")&amp;IF($R1119="",", no driver","")&amp;IF(AND($H1119&lt;&gt;"",COUNTIF(CareerLevels,$H1119)=0),", a career level that is not on the ladder","")&amp;IF(AND($R1119&lt;&gt;"",COUNTIF(DriverList,$R1119)=0),", a driver that is not on the list","")&amp;IF(ABS(N($L1119)-(N($M1119)+N($N1119)+N($O1119)+N($P1119)))&gt;0.001,", a total that does not match its quarters",""),3,300))</f>
        <v/>
      </c>
    </row>
    <row r="1120" customFormat="false" ht="15" hidden="false" customHeight="false" outlineLevel="0" collapsed="false">
      <c r="A1120" s="33" t="str">
        <f aca="false">IF($G1120="","","Internal Audit Group")</f>
        <v/>
      </c>
      <c r="B1120" s="19"/>
      <c r="C1120" s="19"/>
      <c r="D1120" s="19"/>
      <c r="E1120" s="19"/>
      <c r="F1120" s="19"/>
      <c r="G1120" s="19"/>
      <c r="H1120" s="19"/>
      <c r="I1120" s="19"/>
      <c r="J1120" s="19"/>
      <c r="K1120" s="19"/>
      <c r="L1120" s="19"/>
      <c r="M1120" s="19"/>
      <c r="N1120" s="19"/>
      <c r="O1120" s="19"/>
      <c r="P1120" s="19"/>
      <c r="Q1120" s="19"/>
      <c r="R1120" s="19"/>
      <c r="S1120" s="19"/>
      <c r="T1120" s="34" t="str">
        <f aca="false">IF($R1120="","",IFERROR(INDEX(DriverCategory,MATCH($R1120,DriverList,0)),"BAU"))</f>
        <v/>
      </c>
      <c r="U1120" s="34" t="str">
        <f aca="false">IF($R1120="","",IFERROR(INDEX(DriverRank,MATCH($R1120,DriverList,0)),99))</f>
        <v/>
      </c>
      <c r="V1120" s="35" t="n">
        <f aca="false">IF($H1120="",0,IFERROR(INDEX(LevelBasic,MATCH($H1120,LevelList,0))+INDEX(LevelHousing,MATCH($H1120,LevelList,0))+INDEX(LevelTransport,MATCH($H1120,LevelList,0))+INDEX(LevelBasic,MATCH($H1120,LevelList,0))*INDEX(LevelBonus,MATCH($H1120,LevelList,0))+(INDEX(LevelBasic,MATCH($H1120,LevelList,0))+INDEX(LevelHousing,MATCH($H1120,LevelList,0)))*GosiSaudi,0))</f>
        <v>0</v>
      </c>
      <c r="W1120" s="35" t="n">
        <f aca="false">IFERROR(INDEX(LevelOneOff,MATCH($H1120,LevelList,0)),0)</f>
        <v>0</v>
      </c>
      <c r="X1120" s="35" t="str">
        <f aca="false">IF($G1120="","",$V1120*N($L1120))</f>
        <v/>
      </c>
      <c r="Y1120" s="35" t="str">
        <f aca="false">IF($G1120="","",$V1120*(N($M1120)*1+N($N1120)*0.75+N($O1120)*0.5+N($P1120)*0.25)+$W1120*N($L1120))</f>
        <v/>
      </c>
      <c r="Z1120" s="35" t="str">
        <f aca="false">IF($G1120="","",$U1120*1000000+ROW())</f>
        <v/>
      </c>
      <c r="AA1120" s="36" t="str">
        <f aca="false">IF($G1120="","",MID(IF($C1120="",", no division","")&amp;IF($E1120="",", no unit","")&amp;IF($H1120="",", no career level","")&amp;IF(N($L1120)&lt;=0,", no quarter split","")&amp;IF($R1120="",", no driver","")&amp;IF(AND($H1120&lt;&gt;"",COUNTIF(CareerLevels,$H1120)=0),", a career level that is not on the ladder","")&amp;IF(AND($R1120&lt;&gt;"",COUNTIF(DriverList,$R1120)=0),", a driver that is not on the list","")&amp;IF(ABS(N($L1120)-(N($M1120)+N($N1120)+N($O1120)+N($P1120)))&gt;0.001,", a total that does not match its quarters",""),3,300))</f>
        <v/>
      </c>
    </row>
    <row r="1121" customFormat="false" ht="15" hidden="false" customHeight="false" outlineLevel="0" collapsed="false">
      <c r="A1121" s="33" t="str">
        <f aca="false">IF($G1121="","","Internal Audit Group")</f>
        <v/>
      </c>
      <c r="B1121" s="19"/>
      <c r="C1121" s="19"/>
      <c r="D1121" s="19"/>
      <c r="E1121" s="19"/>
      <c r="F1121" s="19"/>
      <c r="G1121" s="19"/>
      <c r="H1121" s="19"/>
      <c r="I1121" s="19"/>
      <c r="J1121" s="19"/>
      <c r="K1121" s="19"/>
      <c r="L1121" s="19"/>
      <c r="M1121" s="19"/>
      <c r="N1121" s="19"/>
      <c r="O1121" s="19"/>
      <c r="P1121" s="19"/>
      <c r="Q1121" s="19"/>
      <c r="R1121" s="19"/>
      <c r="S1121" s="19"/>
      <c r="T1121" s="34" t="str">
        <f aca="false">IF($R1121="","",IFERROR(INDEX(DriverCategory,MATCH($R1121,DriverList,0)),"BAU"))</f>
        <v/>
      </c>
      <c r="U1121" s="34" t="str">
        <f aca="false">IF($R1121="","",IFERROR(INDEX(DriverRank,MATCH($R1121,DriverList,0)),99))</f>
        <v/>
      </c>
      <c r="V1121" s="35" t="n">
        <f aca="false">IF($H1121="",0,IFERROR(INDEX(LevelBasic,MATCH($H1121,LevelList,0))+INDEX(LevelHousing,MATCH($H1121,LevelList,0))+INDEX(LevelTransport,MATCH($H1121,LevelList,0))+INDEX(LevelBasic,MATCH($H1121,LevelList,0))*INDEX(LevelBonus,MATCH($H1121,LevelList,0))+(INDEX(LevelBasic,MATCH($H1121,LevelList,0))+INDEX(LevelHousing,MATCH($H1121,LevelList,0)))*GosiSaudi,0))</f>
        <v>0</v>
      </c>
      <c r="W1121" s="35" t="n">
        <f aca="false">IFERROR(INDEX(LevelOneOff,MATCH($H1121,LevelList,0)),0)</f>
        <v>0</v>
      </c>
      <c r="X1121" s="35" t="str">
        <f aca="false">IF($G1121="","",$V1121*N($L1121))</f>
        <v/>
      </c>
      <c r="Y1121" s="35" t="str">
        <f aca="false">IF($G1121="","",$V1121*(N($M1121)*1+N($N1121)*0.75+N($O1121)*0.5+N($P1121)*0.25)+$W1121*N($L1121))</f>
        <v/>
      </c>
      <c r="Z1121" s="35" t="str">
        <f aca="false">IF($G1121="","",$U1121*1000000+ROW())</f>
        <v/>
      </c>
      <c r="AA1121" s="36" t="str">
        <f aca="false">IF($G1121="","",MID(IF($C1121="",", no division","")&amp;IF($E1121="",", no unit","")&amp;IF($H1121="",", no career level","")&amp;IF(N($L1121)&lt;=0,", no quarter split","")&amp;IF($R1121="",", no driver","")&amp;IF(AND($H1121&lt;&gt;"",COUNTIF(CareerLevels,$H1121)=0),", a career level that is not on the ladder","")&amp;IF(AND($R1121&lt;&gt;"",COUNTIF(DriverList,$R1121)=0),", a driver that is not on the list","")&amp;IF(ABS(N($L1121)-(N($M1121)+N($N1121)+N($O1121)+N($P1121)))&gt;0.001,", a total that does not match its quarters",""),3,300))</f>
        <v/>
      </c>
    </row>
    <row r="1122" customFormat="false" ht="15" hidden="false" customHeight="false" outlineLevel="0" collapsed="false">
      <c r="A1122" s="33" t="str">
        <f aca="false">IF($G1122="","","Internal Audit Group")</f>
        <v/>
      </c>
      <c r="B1122" s="19"/>
      <c r="C1122" s="19"/>
      <c r="D1122" s="19"/>
      <c r="E1122" s="19"/>
      <c r="F1122" s="19"/>
      <c r="G1122" s="19"/>
      <c r="H1122" s="19"/>
      <c r="I1122" s="19"/>
      <c r="J1122" s="19"/>
      <c r="K1122" s="19"/>
      <c r="L1122" s="19"/>
      <c r="M1122" s="19"/>
      <c r="N1122" s="19"/>
      <c r="O1122" s="19"/>
      <c r="P1122" s="19"/>
      <c r="Q1122" s="19"/>
      <c r="R1122" s="19"/>
      <c r="S1122" s="19"/>
      <c r="T1122" s="34" t="str">
        <f aca="false">IF($R1122="","",IFERROR(INDEX(DriverCategory,MATCH($R1122,DriverList,0)),"BAU"))</f>
        <v/>
      </c>
      <c r="U1122" s="34" t="str">
        <f aca="false">IF($R1122="","",IFERROR(INDEX(DriverRank,MATCH($R1122,DriverList,0)),99))</f>
        <v/>
      </c>
      <c r="V1122" s="35" t="n">
        <f aca="false">IF($H1122="",0,IFERROR(INDEX(LevelBasic,MATCH($H1122,LevelList,0))+INDEX(LevelHousing,MATCH($H1122,LevelList,0))+INDEX(LevelTransport,MATCH($H1122,LevelList,0))+INDEX(LevelBasic,MATCH($H1122,LevelList,0))*INDEX(LevelBonus,MATCH($H1122,LevelList,0))+(INDEX(LevelBasic,MATCH($H1122,LevelList,0))+INDEX(LevelHousing,MATCH($H1122,LevelList,0)))*GosiSaudi,0))</f>
        <v>0</v>
      </c>
      <c r="W1122" s="35" t="n">
        <f aca="false">IFERROR(INDEX(LevelOneOff,MATCH($H1122,LevelList,0)),0)</f>
        <v>0</v>
      </c>
      <c r="X1122" s="35" t="str">
        <f aca="false">IF($G1122="","",$V1122*N($L1122))</f>
        <v/>
      </c>
      <c r="Y1122" s="35" t="str">
        <f aca="false">IF($G1122="","",$V1122*(N($M1122)*1+N($N1122)*0.75+N($O1122)*0.5+N($P1122)*0.25)+$W1122*N($L1122))</f>
        <v/>
      </c>
      <c r="Z1122" s="35" t="str">
        <f aca="false">IF($G1122="","",$U1122*1000000+ROW())</f>
        <v/>
      </c>
      <c r="AA1122" s="36" t="str">
        <f aca="false">IF($G1122="","",MID(IF($C1122="",", no division","")&amp;IF($E1122="",", no unit","")&amp;IF($H1122="",", no career level","")&amp;IF(N($L1122)&lt;=0,", no quarter split","")&amp;IF($R1122="",", no driver","")&amp;IF(AND($H1122&lt;&gt;"",COUNTIF(CareerLevels,$H1122)=0),", a career level that is not on the ladder","")&amp;IF(AND($R1122&lt;&gt;"",COUNTIF(DriverList,$R1122)=0),", a driver that is not on the list","")&amp;IF(ABS(N($L1122)-(N($M1122)+N($N1122)+N($O1122)+N($P1122)))&gt;0.001,", a total that does not match its quarters",""),3,300))</f>
        <v/>
      </c>
    </row>
    <row r="1123" customFormat="false" ht="15" hidden="false" customHeight="false" outlineLevel="0" collapsed="false">
      <c r="A1123" s="33" t="str">
        <f aca="false">IF($G1123="","","Internal Audit Group")</f>
        <v/>
      </c>
      <c r="B1123" s="19"/>
      <c r="C1123" s="19"/>
      <c r="D1123" s="19"/>
      <c r="E1123" s="19"/>
      <c r="F1123" s="19"/>
      <c r="G1123" s="19"/>
      <c r="H1123" s="19"/>
      <c r="I1123" s="19"/>
      <c r="J1123" s="19"/>
      <c r="K1123" s="19"/>
      <c r="L1123" s="19"/>
      <c r="M1123" s="19"/>
      <c r="N1123" s="19"/>
      <c r="O1123" s="19"/>
      <c r="P1123" s="19"/>
      <c r="Q1123" s="19"/>
      <c r="R1123" s="19"/>
      <c r="S1123" s="19"/>
      <c r="T1123" s="34" t="str">
        <f aca="false">IF($R1123="","",IFERROR(INDEX(DriverCategory,MATCH($R1123,DriverList,0)),"BAU"))</f>
        <v/>
      </c>
      <c r="U1123" s="34" t="str">
        <f aca="false">IF($R1123="","",IFERROR(INDEX(DriverRank,MATCH($R1123,DriverList,0)),99))</f>
        <v/>
      </c>
      <c r="V1123" s="35" t="n">
        <f aca="false">IF($H1123="",0,IFERROR(INDEX(LevelBasic,MATCH($H1123,LevelList,0))+INDEX(LevelHousing,MATCH($H1123,LevelList,0))+INDEX(LevelTransport,MATCH($H1123,LevelList,0))+INDEX(LevelBasic,MATCH($H1123,LevelList,0))*INDEX(LevelBonus,MATCH($H1123,LevelList,0))+(INDEX(LevelBasic,MATCH($H1123,LevelList,0))+INDEX(LevelHousing,MATCH($H1123,LevelList,0)))*GosiSaudi,0))</f>
        <v>0</v>
      </c>
      <c r="W1123" s="35" t="n">
        <f aca="false">IFERROR(INDEX(LevelOneOff,MATCH($H1123,LevelList,0)),0)</f>
        <v>0</v>
      </c>
      <c r="X1123" s="35" t="str">
        <f aca="false">IF($G1123="","",$V1123*N($L1123))</f>
        <v/>
      </c>
      <c r="Y1123" s="35" t="str">
        <f aca="false">IF($G1123="","",$V1123*(N($M1123)*1+N($N1123)*0.75+N($O1123)*0.5+N($P1123)*0.25)+$W1123*N($L1123))</f>
        <v/>
      </c>
      <c r="Z1123" s="35" t="str">
        <f aca="false">IF($G1123="","",$U1123*1000000+ROW())</f>
        <v/>
      </c>
      <c r="AA1123" s="36" t="str">
        <f aca="false">IF($G1123="","",MID(IF($C1123="",", no division","")&amp;IF($E1123="",", no unit","")&amp;IF($H1123="",", no career level","")&amp;IF(N($L1123)&lt;=0,", no quarter split","")&amp;IF($R1123="",", no driver","")&amp;IF(AND($H1123&lt;&gt;"",COUNTIF(CareerLevels,$H1123)=0),", a career level that is not on the ladder","")&amp;IF(AND($R1123&lt;&gt;"",COUNTIF(DriverList,$R1123)=0),", a driver that is not on the list","")&amp;IF(ABS(N($L1123)-(N($M1123)+N($N1123)+N($O1123)+N($P1123)))&gt;0.001,", a total that does not match its quarters",""),3,300))</f>
        <v/>
      </c>
    </row>
    <row r="1124" customFormat="false" ht="15" hidden="false" customHeight="false" outlineLevel="0" collapsed="false">
      <c r="A1124" s="33" t="str">
        <f aca="false">IF($G1124="","","Internal Audit Group")</f>
        <v/>
      </c>
      <c r="B1124" s="19"/>
      <c r="C1124" s="19"/>
      <c r="D1124" s="19"/>
      <c r="E1124" s="19"/>
      <c r="F1124" s="19"/>
      <c r="G1124" s="19"/>
      <c r="H1124" s="19"/>
      <c r="I1124" s="19"/>
      <c r="J1124" s="19"/>
      <c r="K1124" s="19"/>
      <c r="L1124" s="19"/>
      <c r="M1124" s="19"/>
      <c r="N1124" s="19"/>
      <c r="O1124" s="19"/>
      <c r="P1124" s="19"/>
      <c r="Q1124" s="19"/>
      <c r="R1124" s="19"/>
      <c r="S1124" s="19"/>
      <c r="T1124" s="34" t="str">
        <f aca="false">IF($R1124="","",IFERROR(INDEX(DriverCategory,MATCH($R1124,DriverList,0)),"BAU"))</f>
        <v/>
      </c>
      <c r="U1124" s="34" t="str">
        <f aca="false">IF($R1124="","",IFERROR(INDEX(DriverRank,MATCH($R1124,DriverList,0)),99))</f>
        <v/>
      </c>
      <c r="V1124" s="35" t="n">
        <f aca="false">IF($H1124="",0,IFERROR(INDEX(LevelBasic,MATCH($H1124,LevelList,0))+INDEX(LevelHousing,MATCH($H1124,LevelList,0))+INDEX(LevelTransport,MATCH($H1124,LevelList,0))+INDEX(LevelBasic,MATCH($H1124,LevelList,0))*INDEX(LevelBonus,MATCH($H1124,LevelList,0))+(INDEX(LevelBasic,MATCH($H1124,LevelList,0))+INDEX(LevelHousing,MATCH($H1124,LevelList,0)))*GosiSaudi,0))</f>
        <v>0</v>
      </c>
      <c r="W1124" s="35" t="n">
        <f aca="false">IFERROR(INDEX(LevelOneOff,MATCH($H1124,LevelList,0)),0)</f>
        <v>0</v>
      </c>
      <c r="X1124" s="35" t="str">
        <f aca="false">IF($G1124="","",$V1124*N($L1124))</f>
        <v/>
      </c>
      <c r="Y1124" s="35" t="str">
        <f aca="false">IF($G1124="","",$V1124*(N($M1124)*1+N($N1124)*0.75+N($O1124)*0.5+N($P1124)*0.25)+$W1124*N($L1124))</f>
        <v/>
      </c>
      <c r="Z1124" s="35" t="str">
        <f aca="false">IF($G1124="","",$U1124*1000000+ROW())</f>
        <v/>
      </c>
      <c r="AA1124" s="36" t="str">
        <f aca="false">IF($G1124="","",MID(IF($C1124="",", no division","")&amp;IF($E1124="",", no unit","")&amp;IF($H1124="",", no career level","")&amp;IF(N($L1124)&lt;=0,", no quarter split","")&amp;IF($R1124="",", no driver","")&amp;IF(AND($H1124&lt;&gt;"",COUNTIF(CareerLevels,$H1124)=0),", a career level that is not on the ladder","")&amp;IF(AND($R1124&lt;&gt;"",COUNTIF(DriverList,$R1124)=0),", a driver that is not on the list","")&amp;IF(ABS(N($L1124)-(N($M1124)+N($N1124)+N($O1124)+N($P1124)))&gt;0.001,", a total that does not match its quarters",""),3,300))</f>
        <v/>
      </c>
    </row>
    <row r="1125" customFormat="false" ht="15" hidden="false" customHeight="false" outlineLevel="0" collapsed="false">
      <c r="A1125" s="33" t="str">
        <f aca="false">IF($G1125="","","Internal Audit Group")</f>
        <v/>
      </c>
      <c r="B1125" s="19"/>
      <c r="C1125" s="19"/>
      <c r="D1125" s="19"/>
      <c r="E1125" s="19"/>
      <c r="F1125" s="19"/>
      <c r="G1125" s="19"/>
      <c r="H1125" s="19"/>
      <c r="I1125" s="19"/>
      <c r="J1125" s="19"/>
      <c r="K1125" s="19"/>
      <c r="L1125" s="19"/>
      <c r="M1125" s="19"/>
      <c r="N1125" s="19"/>
      <c r="O1125" s="19"/>
      <c r="P1125" s="19"/>
      <c r="Q1125" s="19"/>
      <c r="R1125" s="19"/>
      <c r="S1125" s="19"/>
      <c r="T1125" s="34" t="str">
        <f aca="false">IF($R1125="","",IFERROR(INDEX(DriverCategory,MATCH($R1125,DriverList,0)),"BAU"))</f>
        <v/>
      </c>
      <c r="U1125" s="34" t="str">
        <f aca="false">IF($R1125="","",IFERROR(INDEX(DriverRank,MATCH($R1125,DriverList,0)),99))</f>
        <v/>
      </c>
      <c r="V1125" s="35" t="n">
        <f aca="false">IF($H1125="",0,IFERROR(INDEX(LevelBasic,MATCH($H1125,LevelList,0))+INDEX(LevelHousing,MATCH($H1125,LevelList,0))+INDEX(LevelTransport,MATCH($H1125,LevelList,0))+INDEX(LevelBasic,MATCH($H1125,LevelList,0))*INDEX(LevelBonus,MATCH($H1125,LevelList,0))+(INDEX(LevelBasic,MATCH($H1125,LevelList,0))+INDEX(LevelHousing,MATCH($H1125,LevelList,0)))*GosiSaudi,0))</f>
        <v>0</v>
      </c>
      <c r="W1125" s="35" t="n">
        <f aca="false">IFERROR(INDEX(LevelOneOff,MATCH($H1125,LevelList,0)),0)</f>
        <v>0</v>
      </c>
      <c r="X1125" s="35" t="str">
        <f aca="false">IF($G1125="","",$V1125*N($L1125))</f>
        <v/>
      </c>
      <c r="Y1125" s="35" t="str">
        <f aca="false">IF($G1125="","",$V1125*(N($M1125)*1+N($N1125)*0.75+N($O1125)*0.5+N($P1125)*0.25)+$W1125*N($L1125))</f>
        <v/>
      </c>
      <c r="Z1125" s="35" t="str">
        <f aca="false">IF($G1125="","",$U1125*1000000+ROW())</f>
        <v/>
      </c>
      <c r="AA1125" s="36" t="str">
        <f aca="false">IF($G1125="","",MID(IF($C1125="",", no division","")&amp;IF($E1125="",", no unit","")&amp;IF($H1125="",", no career level","")&amp;IF(N($L1125)&lt;=0,", no quarter split","")&amp;IF($R1125="",", no driver","")&amp;IF(AND($H1125&lt;&gt;"",COUNTIF(CareerLevels,$H1125)=0),", a career level that is not on the ladder","")&amp;IF(AND($R1125&lt;&gt;"",COUNTIF(DriverList,$R1125)=0),", a driver that is not on the list","")&amp;IF(ABS(N($L1125)-(N($M1125)+N($N1125)+N($O1125)+N($P1125)))&gt;0.001,", a total that does not match its quarters",""),3,300))</f>
        <v/>
      </c>
    </row>
    <row r="1126" customFormat="false" ht="15" hidden="false" customHeight="false" outlineLevel="0" collapsed="false">
      <c r="A1126" s="33" t="str">
        <f aca="false">IF($G1126="","","Internal Audit Group")</f>
        <v/>
      </c>
      <c r="B1126" s="19"/>
      <c r="C1126" s="19"/>
      <c r="D1126" s="19"/>
      <c r="E1126" s="19"/>
      <c r="F1126" s="19"/>
      <c r="G1126" s="19"/>
      <c r="H1126" s="19"/>
      <c r="I1126" s="19"/>
      <c r="J1126" s="19"/>
      <c r="K1126" s="19"/>
      <c r="L1126" s="19"/>
      <c r="M1126" s="19"/>
      <c r="N1126" s="19"/>
      <c r="O1126" s="19"/>
      <c r="P1126" s="19"/>
      <c r="Q1126" s="19"/>
      <c r="R1126" s="19"/>
      <c r="S1126" s="19"/>
      <c r="T1126" s="34" t="str">
        <f aca="false">IF($R1126="","",IFERROR(INDEX(DriverCategory,MATCH($R1126,DriverList,0)),"BAU"))</f>
        <v/>
      </c>
      <c r="U1126" s="34" t="str">
        <f aca="false">IF($R1126="","",IFERROR(INDEX(DriverRank,MATCH($R1126,DriverList,0)),99))</f>
        <v/>
      </c>
      <c r="V1126" s="35" t="n">
        <f aca="false">IF($H1126="",0,IFERROR(INDEX(LevelBasic,MATCH($H1126,LevelList,0))+INDEX(LevelHousing,MATCH($H1126,LevelList,0))+INDEX(LevelTransport,MATCH($H1126,LevelList,0))+INDEX(LevelBasic,MATCH($H1126,LevelList,0))*INDEX(LevelBonus,MATCH($H1126,LevelList,0))+(INDEX(LevelBasic,MATCH($H1126,LevelList,0))+INDEX(LevelHousing,MATCH($H1126,LevelList,0)))*GosiSaudi,0))</f>
        <v>0</v>
      </c>
      <c r="W1126" s="35" t="n">
        <f aca="false">IFERROR(INDEX(LevelOneOff,MATCH($H1126,LevelList,0)),0)</f>
        <v>0</v>
      </c>
      <c r="X1126" s="35" t="str">
        <f aca="false">IF($G1126="","",$V1126*N($L1126))</f>
        <v/>
      </c>
      <c r="Y1126" s="35" t="str">
        <f aca="false">IF($G1126="","",$V1126*(N($M1126)*1+N($N1126)*0.75+N($O1126)*0.5+N($P1126)*0.25)+$W1126*N($L1126))</f>
        <v/>
      </c>
      <c r="Z1126" s="35" t="str">
        <f aca="false">IF($G1126="","",$U1126*1000000+ROW())</f>
        <v/>
      </c>
      <c r="AA1126" s="36" t="str">
        <f aca="false">IF($G1126="","",MID(IF($C1126="",", no division","")&amp;IF($E1126="",", no unit","")&amp;IF($H1126="",", no career level","")&amp;IF(N($L1126)&lt;=0,", no quarter split","")&amp;IF($R1126="",", no driver","")&amp;IF(AND($H1126&lt;&gt;"",COUNTIF(CareerLevels,$H1126)=0),", a career level that is not on the ladder","")&amp;IF(AND($R1126&lt;&gt;"",COUNTIF(DriverList,$R1126)=0),", a driver that is not on the list","")&amp;IF(ABS(N($L1126)-(N($M1126)+N($N1126)+N($O1126)+N($P1126)))&gt;0.001,", a total that does not match its quarters",""),3,300))</f>
        <v/>
      </c>
    </row>
    <row r="1127" customFormat="false" ht="15" hidden="false" customHeight="false" outlineLevel="0" collapsed="false">
      <c r="A1127" s="33" t="str">
        <f aca="false">IF($G1127="","","Internal Audit Group")</f>
        <v/>
      </c>
      <c r="B1127" s="19"/>
      <c r="C1127" s="19"/>
      <c r="D1127" s="19"/>
      <c r="E1127" s="19"/>
      <c r="F1127" s="19"/>
      <c r="G1127" s="19"/>
      <c r="H1127" s="19"/>
      <c r="I1127" s="19"/>
      <c r="J1127" s="19"/>
      <c r="K1127" s="19"/>
      <c r="L1127" s="19"/>
      <c r="M1127" s="19"/>
      <c r="N1127" s="19"/>
      <c r="O1127" s="19"/>
      <c r="P1127" s="19"/>
      <c r="Q1127" s="19"/>
      <c r="R1127" s="19"/>
      <c r="S1127" s="19"/>
      <c r="T1127" s="34" t="str">
        <f aca="false">IF($R1127="","",IFERROR(INDEX(DriverCategory,MATCH($R1127,DriverList,0)),"BAU"))</f>
        <v/>
      </c>
      <c r="U1127" s="34" t="str">
        <f aca="false">IF($R1127="","",IFERROR(INDEX(DriverRank,MATCH($R1127,DriverList,0)),99))</f>
        <v/>
      </c>
      <c r="V1127" s="35" t="n">
        <f aca="false">IF($H1127="",0,IFERROR(INDEX(LevelBasic,MATCH($H1127,LevelList,0))+INDEX(LevelHousing,MATCH($H1127,LevelList,0))+INDEX(LevelTransport,MATCH($H1127,LevelList,0))+INDEX(LevelBasic,MATCH($H1127,LevelList,0))*INDEX(LevelBonus,MATCH($H1127,LevelList,0))+(INDEX(LevelBasic,MATCH($H1127,LevelList,0))+INDEX(LevelHousing,MATCH($H1127,LevelList,0)))*GosiSaudi,0))</f>
        <v>0</v>
      </c>
      <c r="W1127" s="35" t="n">
        <f aca="false">IFERROR(INDEX(LevelOneOff,MATCH($H1127,LevelList,0)),0)</f>
        <v>0</v>
      </c>
      <c r="X1127" s="35" t="str">
        <f aca="false">IF($G1127="","",$V1127*N($L1127))</f>
        <v/>
      </c>
      <c r="Y1127" s="35" t="str">
        <f aca="false">IF($G1127="","",$V1127*(N($M1127)*1+N($N1127)*0.75+N($O1127)*0.5+N($P1127)*0.25)+$W1127*N($L1127))</f>
        <v/>
      </c>
      <c r="Z1127" s="35" t="str">
        <f aca="false">IF($G1127="","",$U1127*1000000+ROW())</f>
        <v/>
      </c>
      <c r="AA1127" s="36" t="str">
        <f aca="false">IF($G1127="","",MID(IF($C1127="",", no division","")&amp;IF($E1127="",", no unit","")&amp;IF($H1127="",", no career level","")&amp;IF(N($L1127)&lt;=0,", no quarter split","")&amp;IF($R1127="",", no driver","")&amp;IF(AND($H1127&lt;&gt;"",COUNTIF(CareerLevels,$H1127)=0),", a career level that is not on the ladder","")&amp;IF(AND($R1127&lt;&gt;"",COUNTIF(DriverList,$R1127)=0),", a driver that is not on the list","")&amp;IF(ABS(N($L1127)-(N($M1127)+N($N1127)+N($O1127)+N($P1127)))&gt;0.001,", a total that does not match its quarters",""),3,300))</f>
        <v/>
      </c>
    </row>
    <row r="1128" customFormat="false" ht="15" hidden="false" customHeight="false" outlineLevel="0" collapsed="false">
      <c r="A1128" s="33" t="str">
        <f aca="false">IF($G1128="","","Internal Audit Group")</f>
        <v/>
      </c>
      <c r="B1128" s="19"/>
      <c r="C1128" s="19"/>
      <c r="D1128" s="19"/>
      <c r="E1128" s="19"/>
      <c r="F1128" s="19"/>
      <c r="G1128" s="19"/>
      <c r="H1128" s="19"/>
      <c r="I1128" s="19"/>
      <c r="J1128" s="19"/>
      <c r="K1128" s="19"/>
      <c r="L1128" s="19"/>
      <c r="M1128" s="19"/>
      <c r="N1128" s="19"/>
      <c r="O1128" s="19"/>
      <c r="P1128" s="19"/>
      <c r="Q1128" s="19"/>
      <c r="R1128" s="19"/>
      <c r="S1128" s="19"/>
      <c r="T1128" s="34" t="str">
        <f aca="false">IF($R1128="","",IFERROR(INDEX(DriverCategory,MATCH($R1128,DriverList,0)),"BAU"))</f>
        <v/>
      </c>
      <c r="U1128" s="34" t="str">
        <f aca="false">IF($R1128="","",IFERROR(INDEX(DriverRank,MATCH($R1128,DriverList,0)),99))</f>
        <v/>
      </c>
      <c r="V1128" s="35" t="n">
        <f aca="false">IF($H1128="",0,IFERROR(INDEX(LevelBasic,MATCH($H1128,LevelList,0))+INDEX(LevelHousing,MATCH($H1128,LevelList,0))+INDEX(LevelTransport,MATCH($H1128,LevelList,0))+INDEX(LevelBasic,MATCH($H1128,LevelList,0))*INDEX(LevelBonus,MATCH($H1128,LevelList,0))+(INDEX(LevelBasic,MATCH($H1128,LevelList,0))+INDEX(LevelHousing,MATCH($H1128,LevelList,0)))*GosiSaudi,0))</f>
        <v>0</v>
      </c>
      <c r="W1128" s="35" t="n">
        <f aca="false">IFERROR(INDEX(LevelOneOff,MATCH($H1128,LevelList,0)),0)</f>
        <v>0</v>
      </c>
      <c r="X1128" s="35" t="str">
        <f aca="false">IF($G1128="","",$V1128*N($L1128))</f>
        <v/>
      </c>
      <c r="Y1128" s="35" t="str">
        <f aca="false">IF($G1128="","",$V1128*(N($M1128)*1+N($N1128)*0.75+N($O1128)*0.5+N($P1128)*0.25)+$W1128*N($L1128))</f>
        <v/>
      </c>
      <c r="Z1128" s="35" t="str">
        <f aca="false">IF($G1128="","",$U1128*1000000+ROW())</f>
        <v/>
      </c>
      <c r="AA1128" s="36" t="str">
        <f aca="false">IF($G1128="","",MID(IF($C1128="",", no division","")&amp;IF($E1128="",", no unit","")&amp;IF($H1128="",", no career level","")&amp;IF(N($L1128)&lt;=0,", no quarter split","")&amp;IF($R1128="",", no driver","")&amp;IF(AND($H1128&lt;&gt;"",COUNTIF(CareerLevels,$H1128)=0),", a career level that is not on the ladder","")&amp;IF(AND($R1128&lt;&gt;"",COUNTIF(DriverList,$R1128)=0),", a driver that is not on the list","")&amp;IF(ABS(N($L1128)-(N($M1128)+N($N1128)+N($O1128)+N($P1128)))&gt;0.001,", a total that does not match its quarters",""),3,300))</f>
        <v/>
      </c>
    </row>
    <row r="1129" customFormat="false" ht="15" hidden="false" customHeight="false" outlineLevel="0" collapsed="false">
      <c r="A1129" s="33" t="str">
        <f aca="false">IF($G1129="","","Internal Audit Group")</f>
        <v/>
      </c>
      <c r="B1129" s="19"/>
      <c r="C1129" s="19"/>
      <c r="D1129" s="19"/>
      <c r="E1129" s="19"/>
      <c r="F1129" s="19"/>
      <c r="G1129" s="19"/>
      <c r="H1129" s="19"/>
      <c r="I1129" s="19"/>
      <c r="J1129" s="19"/>
      <c r="K1129" s="19"/>
      <c r="L1129" s="19"/>
      <c r="M1129" s="19"/>
      <c r="N1129" s="19"/>
      <c r="O1129" s="19"/>
      <c r="P1129" s="19"/>
      <c r="Q1129" s="19"/>
      <c r="R1129" s="19"/>
      <c r="S1129" s="19"/>
      <c r="T1129" s="34" t="str">
        <f aca="false">IF($R1129="","",IFERROR(INDEX(DriverCategory,MATCH($R1129,DriverList,0)),"BAU"))</f>
        <v/>
      </c>
      <c r="U1129" s="34" t="str">
        <f aca="false">IF($R1129="","",IFERROR(INDEX(DriverRank,MATCH($R1129,DriverList,0)),99))</f>
        <v/>
      </c>
      <c r="V1129" s="35" t="n">
        <f aca="false">IF($H1129="",0,IFERROR(INDEX(LevelBasic,MATCH($H1129,LevelList,0))+INDEX(LevelHousing,MATCH($H1129,LevelList,0))+INDEX(LevelTransport,MATCH($H1129,LevelList,0))+INDEX(LevelBasic,MATCH($H1129,LevelList,0))*INDEX(LevelBonus,MATCH($H1129,LevelList,0))+(INDEX(LevelBasic,MATCH($H1129,LevelList,0))+INDEX(LevelHousing,MATCH($H1129,LevelList,0)))*GosiSaudi,0))</f>
        <v>0</v>
      </c>
      <c r="W1129" s="35" t="n">
        <f aca="false">IFERROR(INDEX(LevelOneOff,MATCH($H1129,LevelList,0)),0)</f>
        <v>0</v>
      </c>
      <c r="X1129" s="35" t="str">
        <f aca="false">IF($G1129="","",$V1129*N($L1129))</f>
        <v/>
      </c>
      <c r="Y1129" s="35" t="str">
        <f aca="false">IF($G1129="","",$V1129*(N($M1129)*1+N($N1129)*0.75+N($O1129)*0.5+N($P1129)*0.25)+$W1129*N($L1129))</f>
        <v/>
      </c>
      <c r="Z1129" s="35" t="str">
        <f aca="false">IF($G1129="","",$U1129*1000000+ROW())</f>
        <v/>
      </c>
      <c r="AA1129" s="36" t="str">
        <f aca="false">IF($G1129="","",MID(IF($C1129="",", no division","")&amp;IF($E1129="",", no unit","")&amp;IF($H1129="",", no career level","")&amp;IF(N($L1129)&lt;=0,", no quarter split","")&amp;IF($R1129="",", no driver","")&amp;IF(AND($H1129&lt;&gt;"",COUNTIF(CareerLevels,$H1129)=0),", a career level that is not on the ladder","")&amp;IF(AND($R1129&lt;&gt;"",COUNTIF(DriverList,$R1129)=0),", a driver that is not on the list","")&amp;IF(ABS(N($L1129)-(N($M1129)+N($N1129)+N($O1129)+N($P1129)))&gt;0.001,", a total that does not match its quarters",""),3,300))</f>
        <v/>
      </c>
    </row>
    <row r="1130" customFormat="false" ht="15" hidden="false" customHeight="false" outlineLevel="0" collapsed="false">
      <c r="A1130" s="33" t="str">
        <f aca="false">IF($G1130="","","Internal Audit Group")</f>
        <v/>
      </c>
      <c r="B1130" s="19"/>
      <c r="C1130" s="19"/>
      <c r="D1130" s="19"/>
      <c r="E1130" s="19"/>
      <c r="F1130" s="19"/>
      <c r="G1130" s="19"/>
      <c r="H1130" s="19"/>
      <c r="I1130" s="19"/>
      <c r="J1130" s="19"/>
      <c r="K1130" s="19"/>
      <c r="L1130" s="19"/>
      <c r="M1130" s="19"/>
      <c r="N1130" s="19"/>
      <c r="O1130" s="19"/>
      <c r="P1130" s="19"/>
      <c r="Q1130" s="19"/>
      <c r="R1130" s="19"/>
      <c r="S1130" s="19"/>
      <c r="T1130" s="34" t="str">
        <f aca="false">IF($R1130="","",IFERROR(INDEX(DriverCategory,MATCH($R1130,DriverList,0)),"BAU"))</f>
        <v/>
      </c>
      <c r="U1130" s="34" t="str">
        <f aca="false">IF($R1130="","",IFERROR(INDEX(DriverRank,MATCH($R1130,DriverList,0)),99))</f>
        <v/>
      </c>
      <c r="V1130" s="35" t="n">
        <f aca="false">IF($H1130="",0,IFERROR(INDEX(LevelBasic,MATCH($H1130,LevelList,0))+INDEX(LevelHousing,MATCH($H1130,LevelList,0))+INDEX(LevelTransport,MATCH($H1130,LevelList,0))+INDEX(LevelBasic,MATCH($H1130,LevelList,0))*INDEX(LevelBonus,MATCH($H1130,LevelList,0))+(INDEX(LevelBasic,MATCH($H1130,LevelList,0))+INDEX(LevelHousing,MATCH($H1130,LevelList,0)))*GosiSaudi,0))</f>
        <v>0</v>
      </c>
      <c r="W1130" s="35" t="n">
        <f aca="false">IFERROR(INDEX(LevelOneOff,MATCH($H1130,LevelList,0)),0)</f>
        <v>0</v>
      </c>
      <c r="X1130" s="35" t="str">
        <f aca="false">IF($G1130="","",$V1130*N($L1130))</f>
        <v/>
      </c>
      <c r="Y1130" s="35" t="str">
        <f aca="false">IF($G1130="","",$V1130*(N($M1130)*1+N($N1130)*0.75+N($O1130)*0.5+N($P1130)*0.25)+$W1130*N($L1130))</f>
        <v/>
      </c>
      <c r="Z1130" s="35" t="str">
        <f aca="false">IF($G1130="","",$U1130*1000000+ROW())</f>
        <v/>
      </c>
      <c r="AA1130" s="36" t="str">
        <f aca="false">IF($G1130="","",MID(IF($C1130="",", no division","")&amp;IF($E1130="",", no unit","")&amp;IF($H1130="",", no career level","")&amp;IF(N($L1130)&lt;=0,", no quarter split","")&amp;IF($R1130="",", no driver","")&amp;IF(AND($H1130&lt;&gt;"",COUNTIF(CareerLevels,$H1130)=0),", a career level that is not on the ladder","")&amp;IF(AND($R1130&lt;&gt;"",COUNTIF(DriverList,$R1130)=0),", a driver that is not on the list","")&amp;IF(ABS(N($L1130)-(N($M1130)+N($N1130)+N($O1130)+N($P1130)))&gt;0.001,", a total that does not match its quarters",""),3,300))</f>
        <v/>
      </c>
    </row>
    <row r="1131" customFormat="false" ht="15" hidden="false" customHeight="false" outlineLevel="0" collapsed="false">
      <c r="A1131" s="33" t="str">
        <f aca="false">IF($G1131="","","Internal Audit Group")</f>
        <v/>
      </c>
      <c r="B1131" s="19"/>
      <c r="C1131" s="19"/>
      <c r="D1131" s="19"/>
      <c r="E1131" s="19"/>
      <c r="F1131" s="19"/>
      <c r="G1131" s="19"/>
      <c r="H1131" s="19"/>
      <c r="I1131" s="19"/>
      <c r="J1131" s="19"/>
      <c r="K1131" s="19"/>
      <c r="L1131" s="19"/>
      <c r="M1131" s="19"/>
      <c r="N1131" s="19"/>
      <c r="O1131" s="19"/>
      <c r="P1131" s="19"/>
      <c r="Q1131" s="19"/>
      <c r="R1131" s="19"/>
      <c r="S1131" s="19"/>
      <c r="T1131" s="34" t="str">
        <f aca="false">IF($R1131="","",IFERROR(INDEX(DriverCategory,MATCH($R1131,DriverList,0)),"BAU"))</f>
        <v/>
      </c>
      <c r="U1131" s="34" t="str">
        <f aca="false">IF($R1131="","",IFERROR(INDEX(DriverRank,MATCH($R1131,DriverList,0)),99))</f>
        <v/>
      </c>
      <c r="V1131" s="35" t="n">
        <f aca="false">IF($H1131="",0,IFERROR(INDEX(LevelBasic,MATCH($H1131,LevelList,0))+INDEX(LevelHousing,MATCH($H1131,LevelList,0))+INDEX(LevelTransport,MATCH($H1131,LevelList,0))+INDEX(LevelBasic,MATCH($H1131,LevelList,0))*INDEX(LevelBonus,MATCH($H1131,LevelList,0))+(INDEX(LevelBasic,MATCH($H1131,LevelList,0))+INDEX(LevelHousing,MATCH($H1131,LevelList,0)))*GosiSaudi,0))</f>
        <v>0</v>
      </c>
      <c r="W1131" s="35" t="n">
        <f aca="false">IFERROR(INDEX(LevelOneOff,MATCH($H1131,LevelList,0)),0)</f>
        <v>0</v>
      </c>
      <c r="X1131" s="35" t="str">
        <f aca="false">IF($G1131="","",$V1131*N($L1131))</f>
        <v/>
      </c>
      <c r="Y1131" s="35" t="str">
        <f aca="false">IF($G1131="","",$V1131*(N($M1131)*1+N($N1131)*0.75+N($O1131)*0.5+N($P1131)*0.25)+$W1131*N($L1131))</f>
        <v/>
      </c>
      <c r="Z1131" s="35" t="str">
        <f aca="false">IF($G1131="","",$U1131*1000000+ROW())</f>
        <v/>
      </c>
      <c r="AA1131" s="36" t="str">
        <f aca="false">IF($G1131="","",MID(IF($C1131="",", no division","")&amp;IF($E1131="",", no unit","")&amp;IF($H1131="",", no career level","")&amp;IF(N($L1131)&lt;=0,", no quarter split","")&amp;IF($R1131="",", no driver","")&amp;IF(AND($H1131&lt;&gt;"",COUNTIF(CareerLevels,$H1131)=0),", a career level that is not on the ladder","")&amp;IF(AND($R1131&lt;&gt;"",COUNTIF(DriverList,$R1131)=0),", a driver that is not on the list","")&amp;IF(ABS(N($L1131)-(N($M1131)+N($N1131)+N($O1131)+N($P1131)))&gt;0.001,", a total that does not match its quarters",""),3,300))</f>
        <v/>
      </c>
    </row>
    <row r="1132" customFormat="false" ht="15" hidden="false" customHeight="false" outlineLevel="0" collapsed="false">
      <c r="A1132" s="33" t="str">
        <f aca="false">IF($G1132="","","Internal Audit Group")</f>
        <v/>
      </c>
      <c r="B1132" s="19"/>
      <c r="C1132" s="19"/>
      <c r="D1132" s="19"/>
      <c r="E1132" s="19"/>
      <c r="F1132" s="19"/>
      <c r="G1132" s="19"/>
      <c r="H1132" s="19"/>
      <c r="I1132" s="19"/>
      <c r="J1132" s="19"/>
      <c r="K1132" s="19"/>
      <c r="L1132" s="19"/>
      <c r="M1132" s="19"/>
      <c r="N1132" s="19"/>
      <c r="O1132" s="19"/>
      <c r="P1132" s="19"/>
      <c r="Q1132" s="19"/>
      <c r="R1132" s="19"/>
      <c r="S1132" s="19"/>
      <c r="T1132" s="34" t="str">
        <f aca="false">IF($R1132="","",IFERROR(INDEX(DriverCategory,MATCH($R1132,DriverList,0)),"BAU"))</f>
        <v/>
      </c>
      <c r="U1132" s="34" t="str">
        <f aca="false">IF($R1132="","",IFERROR(INDEX(DriverRank,MATCH($R1132,DriverList,0)),99))</f>
        <v/>
      </c>
      <c r="V1132" s="35" t="n">
        <f aca="false">IF($H1132="",0,IFERROR(INDEX(LevelBasic,MATCH($H1132,LevelList,0))+INDEX(LevelHousing,MATCH($H1132,LevelList,0))+INDEX(LevelTransport,MATCH($H1132,LevelList,0))+INDEX(LevelBasic,MATCH($H1132,LevelList,0))*INDEX(LevelBonus,MATCH($H1132,LevelList,0))+(INDEX(LevelBasic,MATCH($H1132,LevelList,0))+INDEX(LevelHousing,MATCH($H1132,LevelList,0)))*GosiSaudi,0))</f>
        <v>0</v>
      </c>
      <c r="W1132" s="35" t="n">
        <f aca="false">IFERROR(INDEX(LevelOneOff,MATCH($H1132,LevelList,0)),0)</f>
        <v>0</v>
      </c>
      <c r="X1132" s="35" t="str">
        <f aca="false">IF($G1132="","",$V1132*N($L1132))</f>
        <v/>
      </c>
      <c r="Y1132" s="35" t="str">
        <f aca="false">IF($G1132="","",$V1132*(N($M1132)*1+N($N1132)*0.75+N($O1132)*0.5+N($P1132)*0.25)+$W1132*N($L1132))</f>
        <v/>
      </c>
      <c r="Z1132" s="35" t="str">
        <f aca="false">IF($G1132="","",$U1132*1000000+ROW())</f>
        <v/>
      </c>
      <c r="AA1132" s="36" t="str">
        <f aca="false">IF($G1132="","",MID(IF($C1132="",", no division","")&amp;IF($E1132="",", no unit","")&amp;IF($H1132="",", no career level","")&amp;IF(N($L1132)&lt;=0,", no quarter split","")&amp;IF($R1132="",", no driver","")&amp;IF(AND($H1132&lt;&gt;"",COUNTIF(CareerLevels,$H1132)=0),", a career level that is not on the ladder","")&amp;IF(AND($R1132&lt;&gt;"",COUNTIF(DriverList,$R1132)=0),", a driver that is not on the list","")&amp;IF(ABS(N($L1132)-(N($M1132)+N($N1132)+N($O1132)+N($P1132)))&gt;0.001,", a total that does not match its quarters",""),3,300))</f>
        <v/>
      </c>
    </row>
    <row r="1133" customFormat="false" ht="15" hidden="false" customHeight="false" outlineLevel="0" collapsed="false">
      <c r="A1133" s="33" t="str">
        <f aca="false">IF($G1133="","","Internal Audit Group")</f>
        <v/>
      </c>
      <c r="B1133" s="19"/>
      <c r="C1133" s="19"/>
      <c r="D1133" s="19"/>
      <c r="E1133" s="19"/>
      <c r="F1133" s="19"/>
      <c r="G1133" s="19"/>
      <c r="H1133" s="19"/>
      <c r="I1133" s="19"/>
      <c r="J1133" s="19"/>
      <c r="K1133" s="19"/>
      <c r="L1133" s="19"/>
      <c r="M1133" s="19"/>
      <c r="N1133" s="19"/>
      <c r="O1133" s="19"/>
      <c r="P1133" s="19"/>
      <c r="Q1133" s="19"/>
      <c r="R1133" s="19"/>
      <c r="S1133" s="19"/>
      <c r="T1133" s="34" t="str">
        <f aca="false">IF($R1133="","",IFERROR(INDEX(DriverCategory,MATCH($R1133,DriverList,0)),"BAU"))</f>
        <v/>
      </c>
      <c r="U1133" s="34" t="str">
        <f aca="false">IF($R1133="","",IFERROR(INDEX(DriverRank,MATCH($R1133,DriverList,0)),99))</f>
        <v/>
      </c>
      <c r="V1133" s="35" t="n">
        <f aca="false">IF($H1133="",0,IFERROR(INDEX(LevelBasic,MATCH($H1133,LevelList,0))+INDEX(LevelHousing,MATCH($H1133,LevelList,0))+INDEX(LevelTransport,MATCH($H1133,LevelList,0))+INDEX(LevelBasic,MATCH($H1133,LevelList,0))*INDEX(LevelBonus,MATCH($H1133,LevelList,0))+(INDEX(LevelBasic,MATCH($H1133,LevelList,0))+INDEX(LevelHousing,MATCH($H1133,LevelList,0)))*GosiSaudi,0))</f>
        <v>0</v>
      </c>
      <c r="W1133" s="35" t="n">
        <f aca="false">IFERROR(INDEX(LevelOneOff,MATCH($H1133,LevelList,0)),0)</f>
        <v>0</v>
      </c>
      <c r="X1133" s="35" t="str">
        <f aca="false">IF($G1133="","",$V1133*N($L1133))</f>
        <v/>
      </c>
      <c r="Y1133" s="35" t="str">
        <f aca="false">IF($G1133="","",$V1133*(N($M1133)*1+N($N1133)*0.75+N($O1133)*0.5+N($P1133)*0.25)+$W1133*N($L1133))</f>
        <v/>
      </c>
      <c r="Z1133" s="35" t="str">
        <f aca="false">IF($G1133="","",$U1133*1000000+ROW())</f>
        <v/>
      </c>
      <c r="AA1133" s="36" t="str">
        <f aca="false">IF($G1133="","",MID(IF($C1133="",", no division","")&amp;IF($E1133="",", no unit","")&amp;IF($H1133="",", no career level","")&amp;IF(N($L1133)&lt;=0,", no quarter split","")&amp;IF($R1133="",", no driver","")&amp;IF(AND($H1133&lt;&gt;"",COUNTIF(CareerLevels,$H1133)=0),", a career level that is not on the ladder","")&amp;IF(AND($R1133&lt;&gt;"",COUNTIF(DriverList,$R1133)=0),", a driver that is not on the list","")&amp;IF(ABS(N($L1133)-(N($M1133)+N($N1133)+N($O1133)+N($P1133)))&gt;0.001,", a total that does not match its quarters",""),3,300))</f>
        <v/>
      </c>
    </row>
    <row r="1134" customFormat="false" ht="15" hidden="false" customHeight="false" outlineLevel="0" collapsed="false">
      <c r="A1134" s="33" t="str">
        <f aca="false">IF($G1134="","","Internal Audit Group")</f>
        <v/>
      </c>
      <c r="B1134" s="19"/>
      <c r="C1134" s="19"/>
      <c r="D1134" s="19"/>
      <c r="E1134" s="19"/>
      <c r="F1134" s="19"/>
      <c r="G1134" s="19"/>
      <c r="H1134" s="19"/>
      <c r="I1134" s="19"/>
      <c r="J1134" s="19"/>
      <c r="K1134" s="19"/>
      <c r="L1134" s="19"/>
      <c r="M1134" s="19"/>
      <c r="N1134" s="19"/>
      <c r="O1134" s="19"/>
      <c r="P1134" s="19"/>
      <c r="Q1134" s="19"/>
      <c r="R1134" s="19"/>
      <c r="S1134" s="19"/>
      <c r="T1134" s="34" t="str">
        <f aca="false">IF($R1134="","",IFERROR(INDEX(DriverCategory,MATCH($R1134,DriverList,0)),"BAU"))</f>
        <v/>
      </c>
      <c r="U1134" s="34" t="str">
        <f aca="false">IF($R1134="","",IFERROR(INDEX(DriverRank,MATCH($R1134,DriverList,0)),99))</f>
        <v/>
      </c>
      <c r="V1134" s="35" t="n">
        <f aca="false">IF($H1134="",0,IFERROR(INDEX(LevelBasic,MATCH($H1134,LevelList,0))+INDEX(LevelHousing,MATCH($H1134,LevelList,0))+INDEX(LevelTransport,MATCH($H1134,LevelList,0))+INDEX(LevelBasic,MATCH($H1134,LevelList,0))*INDEX(LevelBonus,MATCH($H1134,LevelList,0))+(INDEX(LevelBasic,MATCH($H1134,LevelList,0))+INDEX(LevelHousing,MATCH($H1134,LevelList,0)))*GosiSaudi,0))</f>
        <v>0</v>
      </c>
      <c r="W1134" s="35" t="n">
        <f aca="false">IFERROR(INDEX(LevelOneOff,MATCH($H1134,LevelList,0)),0)</f>
        <v>0</v>
      </c>
      <c r="X1134" s="35" t="str">
        <f aca="false">IF($G1134="","",$V1134*N($L1134))</f>
        <v/>
      </c>
      <c r="Y1134" s="35" t="str">
        <f aca="false">IF($G1134="","",$V1134*(N($M1134)*1+N($N1134)*0.75+N($O1134)*0.5+N($P1134)*0.25)+$W1134*N($L1134))</f>
        <v/>
      </c>
      <c r="Z1134" s="35" t="str">
        <f aca="false">IF($G1134="","",$U1134*1000000+ROW())</f>
        <v/>
      </c>
      <c r="AA1134" s="36" t="str">
        <f aca="false">IF($G1134="","",MID(IF($C1134="",", no division","")&amp;IF($E1134="",", no unit","")&amp;IF($H1134="",", no career level","")&amp;IF(N($L1134)&lt;=0,", no quarter split","")&amp;IF($R1134="",", no driver","")&amp;IF(AND($H1134&lt;&gt;"",COUNTIF(CareerLevels,$H1134)=0),", a career level that is not on the ladder","")&amp;IF(AND($R1134&lt;&gt;"",COUNTIF(DriverList,$R1134)=0),", a driver that is not on the list","")&amp;IF(ABS(N($L1134)-(N($M1134)+N($N1134)+N($O1134)+N($P1134)))&gt;0.001,", a total that does not match its quarters",""),3,300))</f>
        <v/>
      </c>
    </row>
    <row r="1135" customFormat="false" ht="15" hidden="false" customHeight="false" outlineLevel="0" collapsed="false">
      <c r="A1135" s="33" t="str">
        <f aca="false">IF($G1135="","","Internal Audit Group")</f>
        <v/>
      </c>
      <c r="B1135" s="19"/>
      <c r="C1135" s="19"/>
      <c r="D1135" s="19"/>
      <c r="E1135" s="19"/>
      <c r="F1135" s="19"/>
      <c r="G1135" s="19"/>
      <c r="H1135" s="19"/>
      <c r="I1135" s="19"/>
      <c r="J1135" s="19"/>
      <c r="K1135" s="19"/>
      <c r="L1135" s="19"/>
      <c r="M1135" s="19"/>
      <c r="N1135" s="19"/>
      <c r="O1135" s="19"/>
      <c r="P1135" s="19"/>
      <c r="Q1135" s="19"/>
      <c r="R1135" s="19"/>
      <c r="S1135" s="19"/>
      <c r="T1135" s="34" t="str">
        <f aca="false">IF($R1135="","",IFERROR(INDEX(DriverCategory,MATCH($R1135,DriverList,0)),"BAU"))</f>
        <v/>
      </c>
      <c r="U1135" s="34" t="str">
        <f aca="false">IF($R1135="","",IFERROR(INDEX(DriverRank,MATCH($R1135,DriverList,0)),99))</f>
        <v/>
      </c>
      <c r="V1135" s="35" t="n">
        <f aca="false">IF($H1135="",0,IFERROR(INDEX(LevelBasic,MATCH($H1135,LevelList,0))+INDEX(LevelHousing,MATCH($H1135,LevelList,0))+INDEX(LevelTransport,MATCH($H1135,LevelList,0))+INDEX(LevelBasic,MATCH($H1135,LevelList,0))*INDEX(LevelBonus,MATCH($H1135,LevelList,0))+(INDEX(LevelBasic,MATCH($H1135,LevelList,0))+INDEX(LevelHousing,MATCH($H1135,LevelList,0)))*GosiSaudi,0))</f>
        <v>0</v>
      </c>
      <c r="W1135" s="35" t="n">
        <f aca="false">IFERROR(INDEX(LevelOneOff,MATCH($H1135,LevelList,0)),0)</f>
        <v>0</v>
      </c>
      <c r="X1135" s="35" t="str">
        <f aca="false">IF($G1135="","",$V1135*N($L1135))</f>
        <v/>
      </c>
      <c r="Y1135" s="35" t="str">
        <f aca="false">IF($G1135="","",$V1135*(N($M1135)*1+N($N1135)*0.75+N($O1135)*0.5+N($P1135)*0.25)+$W1135*N($L1135))</f>
        <v/>
      </c>
      <c r="Z1135" s="35" t="str">
        <f aca="false">IF($G1135="","",$U1135*1000000+ROW())</f>
        <v/>
      </c>
      <c r="AA1135" s="36" t="str">
        <f aca="false">IF($G1135="","",MID(IF($C1135="",", no division","")&amp;IF($E1135="",", no unit","")&amp;IF($H1135="",", no career level","")&amp;IF(N($L1135)&lt;=0,", no quarter split","")&amp;IF($R1135="",", no driver","")&amp;IF(AND($H1135&lt;&gt;"",COUNTIF(CareerLevels,$H1135)=0),", a career level that is not on the ladder","")&amp;IF(AND($R1135&lt;&gt;"",COUNTIF(DriverList,$R1135)=0),", a driver that is not on the list","")&amp;IF(ABS(N($L1135)-(N($M1135)+N($N1135)+N($O1135)+N($P1135)))&gt;0.001,", a total that does not match its quarters",""),3,300))</f>
        <v/>
      </c>
    </row>
    <row r="1136" customFormat="false" ht="15" hidden="false" customHeight="false" outlineLevel="0" collapsed="false">
      <c r="A1136" s="33" t="str">
        <f aca="false">IF($G1136="","","Internal Audit Group")</f>
        <v/>
      </c>
      <c r="B1136" s="19"/>
      <c r="C1136" s="19"/>
      <c r="D1136" s="19"/>
      <c r="E1136" s="19"/>
      <c r="F1136" s="19"/>
      <c r="G1136" s="19"/>
      <c r="H1136" s="19"/>
      <c r="I1136" s="19"/>
      <c r="J1136" s="19"/>
      <c r="K1136" s="19"/>
      <c r="L1136" s="19"/>
      <c r="M1136" s="19"/>
      <c r="N1136" s="19"/>
      <c r="O1136" s="19"/>
      <c r="P1136" s="19"/>
      <c r="Q1136" s="19"/>
      <c r="R1136" s="19"/>
      <c r="S1136" s="19"/>
      <c r="T1136" s="34" t="str">
        <f aca="false">IF($R1136="","",IFERROR(INDEX(DriverCategory,MATCH($R1136,DriverList,0)),"BAU"))</f>
        <v/>
      </c>
      <c r="U1136" s="34" t="str">
        <f aca="false">IF($R1136="","",IFERROR(INDEX(DriverRank,MATCH($R1136,DriverList,0)),99))</f>
        <v/>
      </c>
      <c r="V1136" s="35" t="n">
        <f aca="false">IF($H1136="",0,IFERROR(INDEX(LevelBasic,MATCH($H1136,LevelList,0))+INDEX(LevelHousing,MATCH($H1136,LevelList,0))+INDEX(LevelTransport,MATCH($H1136,LevelList,0))+INDEX(LevelBasic,MATCH($H1136,LevelList,0))*INDEX(LevelBonus,MATCH($H1136,LevelList,0))+(INDEX(LevelBasic,MATCH($H1136,LevelList,0))+INDEX(LevelHousing,MATCH($H1136,LevelList,0)))*GosiSaudi,0))</f>
        <v>0</v>
      </c>
      <c r="W1136" s="35" t="n">
        <f aca="false">IFERROR(INDEX(LevelOneOff,MATCH($H1136,LevelList,0)),0)</f>
        <v>0</v>
      </c>
      <c r="X1136" s="35" t="str">
        <f aca="false">IF($G1136="","",$V1136*N($L1136))</f>
        <v/>
      </c>
      <c r="Y1136" s="35" t="str">
        <f aca="false">IF($G1136="","",$V1136*(N($M1136)*1+N($N1136)*0.75+N($O1136)*0.5+N($P1136)*0.25)+$W1136*N($L1136))</f>
        <v/>
      </c>
      <c r="Z1136" s="35" t="str">
        <f aca="false">IF($G1136="","",$U1136*1000000+ROW())</f>
        <v/>
      </c>
      <c r="AA1136" s="36" t="str">
        <f aca="false">IF($G1136="","",MID(IF($C1136="",", no division","")&amp;IF($E1136="",", no unit","")&amp;IF($H1136="",", no career level","")&amp;IF(N($L1136)&lt;=0,", no quarter split","")&amp;IF($R1136="",", no driver","")&amp;IF(AND($H1136&lt;&gt;"",COUNTIF(CareerLevels,$H1136)=0),", a career level that is not on the ladder","")&amp;IF(AND($R1136&lt;&gt;"",COUNTIF(DriverList,$R1136)=0),", a driver that is not on the list","")&amp;IF(ABS(N($L1136)-(N($M1136)+N($N1136)+N($O1136)+N($P1136)))&gt;0.001,", a total that does not match its quarters",""),3,300))</f>
        <v/>
      </c>
    </row>
    <row r="1137" customFormat="false" ht="15" hidden="false" customHeight="false" outlineLevel="0" collapsed="false">
      <c r="A1137" s="33" t="str">
        <f aca="false">IF($G1137="","","Internal Audit Group")</f>
        <v/>
      </c>
      <c r="B1137" s="19"/>
      <c r="C1137" s="19"/>
      <c r="D1137" s="19"/>
      <c r="E1137" s="19"/>
      <c r="F1137" s="19"/>
      <c r="G1137" s="19"/>
      <c r="H1137" s="19"/>
      <c r="I1137" s="19"/>
      <c r="J1137" s="19"/>
      <c r="K1137" s="19"/>
      <c r="L1137" s="19"/>
      <c r="M1137" s="19"/>
      <c r="N1137" s="19"/>
      <c r="O1137" s="19"/>
      <c r="P1137" s="19"/>
      <c r="Q1137" s="19"/>
      <c r="R1137" s="19"/>
      <c r="S1137" s="19"/>
      <c r="T1137" s="34" t="str">
        <f aca="false">IF($R1137="","",IFERROR(INDEX(DriverCategory,MATCH($R1137,DriverList,0)),"BAU"))</f>
        <v/>
      </c>
      <c r="U1137" s="34" t="str">
        <f aca="false">IF($R1137="","",IFERROR(INDEX(DriverRank,MATCH($R1137,DriverList,0)),99))</f>
        <v/>
      </c>
      <c r="V1137" s="35" t="n">
        <f aca="false">IF($H1137="",0,IFERROR(INDEX(LevelBasic,MATCH($H1137,LevelList,0))+INDEX(LevelHousing,MATCH($H1137,LevelList,0))+INDEX(LevelTransport,MATCH($H1137,LevelList,0))+INDEX(LevelBasic,MATCH($H1137,LevelList,0))*INDEX(LevelBonus,MATCH($H1137,LevelList,0))+(INDEX(LevelBasic,MATCH($H1137,LevelList,0))+INDEX(LevelHousing,MATCH($H1137,LevelList,0)))*GosiSaudi,0))</f>
        <v>0</v>
      </c>
      <c r="W1137" s="35" t="n">
        <f aca="false">IFERROR(INDEX(LevelOneOff,MATCH($H1137,LevelList,0)),0)</f>
        <v>0</v>
      </c>
      <c r="X1137" s="35" t="str">
        <f aca="false">IF($G1137="","",$V1137*N($L1137))</f>
        <v/>
      </c>
      <c r="Y1137" s="35" t="str">
        <f aca="false">IF($G1137="","",$V1137*(N($M1137)*1+N($N1137)*0.75+N($O1137)*0.5+N($P1137)*0.25)+$W1137*N($L1137))</f>
        <v/>
      </c>
      <c r="Z1137" s="35" t="str">
        <f aca="false">IF($G1137="","",$U1137*1000000+ROW())</f>
        <v/>
      </c>
      <c r="AA1137" s="36" t="str">
        <f aca="false">IF($G1137="","",MID(IF($C1137="",", no division","")&amp;IF($E1137="",", no unit","")&amp;IF($H1137="",", no career level","")&amp;IF(N($L1137)&lt;=0,", no quarter split","")&amp;IF($R1137="",", no driver","")&amp;IF(AND($H1137&lt;&gt;"",COUNTIF(CareerLevels,$H1137)=0),", a career level that is not on the ladder","")&amp;IF(AND($R1137&lt;&gt;"",COUNTIF(DriverList,$R1137)=0),", a driver that is not on the list","")&amp;IF(ABS(N($L1137)-(N($M1137)+N($N1137)+N($O1137)+N($P1137)))&gt;0.001,", a total that does not match its quarters",""),3,300))</f>
        <v/>
      </c>
    </row>
    <row r="1138" customFormat="false" ht="15" hidden="false" customHeight="false" outlineLevel="0" collapsed="false">
      <c r="A1138" s="33" t="str">
        <f aca="false">IF($G1138="","","Internal Audit Group")</f>
        <v/>
      </c>
      <c r="B1138" s="19"/>
      <c r="C1138" s="19"/>
      <c r="D1138" s="19"/>
      <c r="E1138" s="19"/>
      <c r="F1138" s="19"/>
      <c r="G1138" s="19"/>
      <c r="H1138" s="19"/>
      <c r="I1138" s="19"/>
      <c r="J1138" s="19"/>
      <c r="K1138" s="19"/>
      <c r="L1138" s="19"/>
      <c r="M1138" s="19"/>
      <c r="N1138" s="19"/>
      <c r="O1138" s="19"/>
      <c r="P1138" s="19"/>
      <c r="Q1138" s="19"/>
      <c r="R1138" s="19"/>
      <c r="S1138" s="19"/>
      <c r="T1138" s="34" t="str">
        <f aca="false">IF($R1138="","",IFERROR(INDEX(DriverCategory,MATCH($R1138,DriverList,0)),"BAU"))</f>
        <v/>
      </c>
      <c r="U1138" s="34" t="str">
        <f aca="false">IF($R1138="","",IFERROR(INDEX(DriverRank,MATCH($R1138,DriverList,0)),99))</f>
        <v/>
      </c>
      <c r="V1138" s="35" t="n">
        <f aca="false">IF($H1138="",0,IFERROR(INDEX(LevelBasic,MATCH($H1138,LevelList,0))+INDEX(LevelHousing,MATCH($H1138,LevelList,0))+INDEX(LevelTransport,MATCH($H1138,LevelList,0))+INDEX(LevelBasic,MATCH($H1138,LevelList,0))*INDEX(LevelBonus,MATCH($H1138,LevelList,0))+(INDEX(LevelBasic,MATCH($H1138,LevelList,0))+INDEX(LevelHousing,MATCH($H1138,LevelList,0)))*GosiSaudi,0))</f>
        <v>0</v>
      </c>
      <c r="W1138" s="35" t="n">
        <f aca="false">IFERROR(INDEX(LevelOneOff,MATCH($H1138,LevelList,0)),0)</f>
        <v>0</v>
      </c>
      <c r="X1138" s="35" t="str">
        <f aca="false">IF($G1138="","",$V1138*N($L1138))</f>
        <v/>
      </c>
      <c r="Y1138" s="35" t="str">
        <f aca="false">IF($G1138="","",$V1138*(N($M1138)*1+N($N1138)*0.75+N($O1138)*0.5+N($P1138)*0.25)+$W1138*N($L1138))</f>
        <v/>
      </c>
      <c r="Z1138" s="35" t="str">
        <f aca="false">IF($G1138="","",$U1138*1000000+ROW())</f>
        <v/>
      </c>
      <c r="AA1138" s="36" t="str">
        <f aca="false">IF($G1138="","",MID(IF($C1138="",", no division","")&amp;IF($E1138="",", no unit","")&amp;IF($H1138="",", no career level","")&amp;IF(N($L1138)&lt;=0,", no quarter split","")&amp;IF($R1138="",", no driver","")&amp;IF(AND($H1138&lt;&gt;"",COUNTIF(CareerLevels,$H1138)=0),", a career level that is not on the ladder","")&amp;IF(AND($R1138&lt;&gt;"",COUNTIF(DriverList,$R1138)=0),", a driver that is not on the list","")&amp;IF(ABS(N($L1138)-(N($M1138)+N($N1138)+N($O1138)+N($P1138)))&gt;0.001,", a total that does not match its quarters",""),3,300))</f>
        <v/>
      </c>
    </row>
    <row r="1139" customFormat="false" ht="15" hidden="false" customHeight="false" outlineLevel="0" collapsed="false">
      <c r="A1139" s="33" t="str">
        <f aca="false">IF($G1139="","","Internal Audit Group")</f>
        <v/>
      </c>
      <c r="B1139" s="19"/>
      <c r="C1139" s="19"/>
      <c r="D1139" s="19"/>
      <c r="E1139" s="19"/>
      <c r="F1139" s="19"/>
      <c r="G1139" s="19"/>
      <c r="H1139" s="19"/>
      <c r="I1139" s="19"/>
      <c r="J1139" s="19"/>
      <c r="K1139" s="19"/>
      <c r="L1139" s="19"/>
      <c r="M1139" s="19"/>
      <c r="N1139" s="19"/>
      <c r="O1139" s="19"/>
      <c r="P1139" s="19"/>
      <c r="Q1139" s="19"/>
      <c r="R1139" s="19"/>
      <c r="S1139" s="19"/>
      <c r="T1139" s="34" t="str">
        <f aca="false">IF($R1139="","",IFERROR(INDEX(DriverCategory,MATCH($R1139,DriverList,0)),"BAU"))</f>
        <v/>
      </c>
      <c r="U1139" s="34" t="str">
        <f aca="false">IF($R1139="","",IFERROR(INDEX(DriverRank,MATCH($R1139,DriverList,0)),99))</f>
        <v/>
      </c>
      <c r="V1139" s="35" t="n">
        <f aca="false">IF($H1139="",0,IFERROR(INDEX(LevelBasic,MATCH($H1139,LevelList,0))+INDEX(LevelHousing,MATCH($H1139,LevelList,0))+INDEX(LevelTransport,MATCH($H1139,LevelList,0))+INDEX(LevelBasic,MATCH($H1139,LevelList,0))*INDEX(LevelBonus,MATCH($H1139,LevelList,0))+(INDEX(LevelBasic,MATCH($H1139,LevelList,0))+INDEX(LevelHousing,MATCH($H1139,LevelList,0)))*GosiSaudi,0))</f>
        <v>0</v>
      </c>
      <c r="W1139" s="35" t="n">
        <f aca="false">IFERROR(INDEX(LevelOneOff,MATCH($H1139,LevelList,0)),0)</f>
        <v>0</v>
      </c>
      <c r="X1139" s="35" t="str">
        <f aca="false">IF($G1139="","",$V1139*N($L1139))</f>
        <v/>
      </c>
      <c r="Y1139" s="35" t="str">
        <f aca="false">IF($G1139="","",$V1139*(N($M1139)*1+N($N1139)*0.75+N($O1139)*0.5+N($P1139)*0.25)+$W1139*N($L1139))</f>
        <v/>
      </c>
      <c r="Z1139" s="35" t="str">
        <f aca="false">IF($G1139="","",$U1139*1000000+ROW())</f>
        <v/>
      </c>
      <c r="AA1139" s="36" t="str">
        <f aca="false">IF($G1139="","",MID(IF($C1139="",", no division","")&amp;IF($E1139="",", no unit","")&amp;IF($H1139="",", no career level","")&amp;IF(N($L1139)&lt;=0,", no quarter split","")&amp;IF($R1139="",", no driver","")&amp;IF(AND($H1139&lt;&gt;"",COUNTIF(CareerLevels,$H1139)=0),", a career level that is not on the ladder","")&amp;IF(AND($R1139&lt;&gt;"",COUNTIF(DriverList,$R1139)=0),", a driver that is not on the list","")&amp;IF(ABS(N($L1139)-(N($M1139)+N($N1139)+N($O1139)+N($P1139)))&gt;0.001,", a total that does not match its quarters",""),3,300))</f>
        <v/>
      </c>
    </row>
    <row r="1140" customFormat="false" ht="15" hidden="false" customHeight="false" outlineLevel="0" collapsed="false">
      <c r="A1140" s="33" t="str">
        <f aca="false">IF($G1140="","","Internal Audit Group")</f>
        <v/>
      </c>
      <c r="B1140" s="19"/>
      <c r="C1140" s="19"/>
      <c r="D1140" s="19"/>
      <c r="E1140" s="19"/>
      <c r="F1140" s="19"/>
      <c r="G1140" s="19"/>
      <c r="H1140" s="19"/>
      <c r="I1140" s="19"/>
      <c r="J1140" s="19"/>
      <c r="K1140" s="19"/>
      <c r="L1140" s="19"/>
      <c r="M1140" s="19"/>
      <c r="N1140" s="19"/>
      <c r="O1140" s="19"/>
      <c r="P1140" s="19"/>
      <c r="Q1140" s="19"/>
      <c r="R1140" s="19"/>
      <c r="S1140" s="19"/>
      <c r="T1140" s="34" t="str">
        <f aca="false">IF($R1140="","",IFERROR(INDEX(DriverCategory,MATCH($R1140,DriverList,0)),"BAU"))</f>
        <v/>
      </c>
      <c r="U1140" s="34" t="str">
        <f aca="false">IF($R1140="","",IFERROR(INDEX(DriverRank,MATCH($R1140,DriverList,0)),99))</f>
        <v/>
      </c>
      <c r="V1140" s="35" t="n">
        <f aca="false">IF($H1140="",0,IFERROR(INDEX(LevelBasic,MATCH($H1140,LevelList,0))+INDEX(LevelHousing,MATCH($H1140,LevelList,0))+INDEX(LevelTransport,MATCH($H1140,LevelList,0))+INDEX(LevelBasic,MATCH($H1140,LevelList,0))*INDEX(LevelBonus,MATCH($H1140,LevelList,0))+(INDEX(LevelBasic,MATCH($H1140,LevelList,0))+INDEX(LevelHousing,MATCH($H1140,LevelList,0)))*GosiSaudi,0))</f>
        <v>0</v>
      </c>
      <c r="W1140" s="35" t="n">
        <f aca="false">IFERROR(INDEX(LevelOneOff,MATCH($H1140,LevelList,0)),0)</f>
        <v>0</v>
      </c>
      <c r="X1140" s="35" t="str">
        <f aca="false">IF($G1140="","",$V1140*N($L1140))</f>
        <v/>
      </c>
      <c r="Y1140" s="35" t="str">
        <f aca="false">IF($G1140="","",$V1140*(N($M1140)*1+N($N1140)*0.75+N($O1140)*0.5+N($P1140)*0.25)+$W1140*N($L1140))</f>
        <v/>
      </c>
      <c r="Z1140" s="35" t="str">
        <f aca="false">IF($G1140="","",$U1140*1000000+ROW())</f>
        <v/>
      </c>
      <c r="AA1140" s="36" t="str">
        <f aca="false">IF($G1140="","",MID(IF($C1140="",", no division","")&amp;IF($E1140="",", no unit","")&amp;IF($H1140="",", no career level","")&amp;IF(N($L1140)&lt;=0,", no quarter split","")&amp;IF($R1140="",", no driver","")&amp;IF(AND($H1140&lt;&gt;"",COUNTIF(CareerLevels,$H1140)=0),", a career level that is not on the ladder","")&amp;IF(AND($R1140&lt;&gt;"",COUNTIF(DriverList,$R1140)=0),", a driver that is not on the list","")&amp;IF(ABS(N($L1140)-(N($M1140)+N($N1140)+N($O1140)+N($P1140)))&gt;0.001,", a total that does not match its quarters",""),3,300))</f>
        <v/>
      </c>
    </row>
    <row r="1141" customFormat="false" ht="15" hidden="false" customHeight="false" outlineLevel="0" collapsed="false">
      <c r="A1141" s="33" t="str">
        <f aca="false">IF($G1141="","","Internal Audit Group")</f>
        <v/>
      </c>
      <c r="B1141" s="19"/>
      <c r="C1141" s="19"/>
      <c r="D1141" s="19"/>
      <c r="E1141" s="19"/>
      <c r="F1141" s="19"/>
      <c r="G1141" s="19"/>
      <c r="H1141" s="19"/>
      <c r="I1141" s="19"/>
      <c r="J1141" s="19"/>
      <c r="K1141" s="19"/>
      <c r="L1141" s="19"/>
      <c r="M1141" s="19"/>
      <c r="N1141" s="19"/>
      <c r="O1141" s="19"/>
      <c r="P1141" s="19"/>
      <c r="Q1141" s="19"/>
      <c r="R1141" s="19"/>
      <c r="S1141" s="19"/>
      <c r="T1141" s="34" t="str">
        <f aca="false">IF($R1141="","",IFERROR(INDEX(DriverCategory,MATCH($R1141,DriverList,0)),"BAU"))</f>
        <v/>
      </c>
      <c r="U1141" s="34" t="str">
        <f aca="false">IF($R1141="","",IFERROR(INDEX(DriverRank,MATCH($R1141,DriverList,0)),99))</f>
        <v/>
      </c>
      <c r="V1141" s="35" t="n">
        <f aca="false">IF($H1141="",0,IFERROR(INDEX(LevelBasic,MATCH($H1141,LevelList,0))+INDEX(LevelHousing,MATCH($H1141,LevelList,0))+INDEX(LevelTransport,MATCH($H1141,LevelList,0))+INDEX(LevelBasic,MATCH($H1141,LevelList,0))*INDEX(LevelBonus,MATCH($H1141,LevelList,0))+(INDEX(LevelBasic,MATCH($H1141,LevelList,0))+INDEX(LevelHousing,MATCH($H1141,LevelList,0)))*GosiSaudi,0))</f>
        <v>0</v>
      </c>
      <c r="W1141" s="35" t="n">
        <f aca="false">IFERROR(INDEX(LevelOneOff,MATCH($H1141,LevelList,0)),0)</f>
        <v>0</v>
      </c>
      <c r="X1141" s="35" t="str">
        <f aca="false">IF($G1141="","",$V1141*N($L1141))</f>
        <v/>
      </c>
      <c r="Y1141" s="35" t="str">
        <f aca="false">IF($G1141="","",$V1141*(N($M1141)*1+N($N1141)*0.75+N($O1141)*0.5+N($P1141)*0.25)+$W1141*N($L1141))</f>
        <v/>
      </c>
      <c r="Z1141" s="35" t="str">
        <f aca="false">IF($G1141="","",$U1141*1000000+ROW())</f>
        <v/>
      </c>
      <c r="AA1141" s="36" t="str">
        <f aca="false">IF($G1141="","",MID(IF($C1141="",", no division","")&amp;IF($E1141="",", no unit","")&amp;IF($H1141="",", no career level","")&amp;IF(N($L1141)&lt;=0,", no quarter split","")&amp;IF($R1141="",", no driver","")&amp;IF(AND($H1141&lt;&gt;"",COUNTIF(CareerLevels,$H1141)=0),", a career level that is not on the ladder","")&amp;IF(AND($R1141&lt;&gt;"",COUNTIF(DriverList,$R1141)=0),", a driver that is not on the list","")&amp;IF(ABS(N($L1141)-(N($M1141)+N($N1141)+N($O1141)+N($P1141)))&gt;0.001,", a total that does not match its quarters",""),3,300))</f>
        <v/>
      </c>
    </row>
    <row r="1142" customFormat="false" ht="15" hidden="false" customHeight="false" outlineLevel="0" collapsed="false">
      <c r="A1142" s="33" t="str">
        <f aca="false">IF($G1142="","","Internal Audit Group")</f>
        <v/>
      </c>
      <c r="B1142" s="19"/>
      <c r="C1142" s="19"/>
      <c r="D1142" s="19"/>
      <c r="E1142" s="19"/>
      <c r="F1142" s="19"/>
      <c r="G1142" s="19"/>
      <c r="H1142" s="19"/>
      <c r="I1142" s="19"/>
      <c r="J1142" s="19"/>
      <c r="K1142" s="19"/>
      <c r="L1142" s="19"/>
      <c r="M1142" s="19"/>
      <c r="N1142" s="19"/>
      <c r="O1142" s="19"/>
      <c r="P1142" s="19"/>
      <c r="Q1142" s="19"/>
      <c r="R1142" s="19"/>
      <c r="S1142" s="19"/>
      <c r="T1142" s="34" t="str">
        <f aca="false">IF($R1142="","",IFERROR(INDEX(DriverCategory,MATCH($R1142,DriverList,0)),"BAU"))</f>
        <v/>
      </c>
      <c r="U1142" s="34" t="str">
        <f aca="false">IF($R1142="","",IFERROR(INDEX(DriverRank,MATCH($R1142,DriverList,0)),99))</f>
        <v/>
      </c>
      <c r="V1142" s="35" t="n">
        <f aca="false">IF($H1142="",0,IFERROR(INDEX(LevelBasic,MATCH($H1142,LevelList,0))+INDEX(LevelHousing,MATCH($H1142,LevelList,0))+INDEX(LevelTransport,MATCH($H1142,LevelList,0))+INDEX(LevelBasic,MATCH($H1142,LevelList,0))*INDEX(LevelBonus,MATCH($H1142,LevelList,0))+(INDEX(LevelBasic,MATCH($H1142,LevelList,0))+INDEX(LevelHousing,MATCH($H1142,LevelList,0)))*GosiSaudi,0))</f>
        <v>0</v>
      </c>
      <c r="W1142" s="35" t="n">
        <f aca="false">IFERROR(INDEX(LevelOneOff,MATCH($H1142,LevelList,0)),0)</f>
        <v>0</v>
      </c>
      <c r="X1142" s="35" t="str">
        <f aca="false">IF($G1142="","",$V1142*N($L1142))</f>
        <v/>
      </c>
      <c r="Y1142" s="35" t="str">
        <f aca="false">IF($G1142="","",$V1142*(N($M1142)*1+N($N1142)*0.75+N($O1142)*0.5+N($P1142)*0.25)+$W1142*N($L1142))</f>
        <v/>
      </c>
      <c r="Z1142" s="35" t="str">
        <f aca="false">IF($G1142="","",$U1142*1000000+ROW())</f>
        <v/>
      </c>
      <c r="AA1142" s="36" t="str">
        <f aca="false">IF($G1142="","",MID(IF($C1142="",", no division","")&amp;IF($E1142="",", no unit","")&amp;IF($H1142="",", no career level","")&amp;IF(N($L1142)&lt;=0,", no quarter split","")&amp;IF($R1142="",", no driver","")&amp;IF(AND($H1142&lt;&gt;"",COUNTIF(CareerLevels,$H1142)=0),", a career level that is not on the ladder","")&amp;IF(AND($R1142&lt;&gt;"",COUNTIF(DriverList,$R1142)=0),", a driver that is not on the list","")&amp;IF(ABS(N($L1142)-(N($M1142)+N($N1142)+N($O1142)+N($P1142)))&gt;0.001,", a total that does not match its quarters",""),3,300))</f>
        <v/>
      </c>
    </row>
    <row r="1143" customFormat="false" ht="15" hidden="false" customHeight="false" outlineLevel="0" collapsed="false">
      <c r="A1143" s="33" t="str">
        <f aca="false">IF($G1143="","","Internal Audit Group")</f>
        <v/>
      </c>
      <c r="B1143" s="19"/>
      <c r="C1143" s="19"/>
      <c r="D1143" s="19"/>
      <c r="E1143" s="19"/>
      <c r="F1143" s="19"/>
      <c r="G1143" s="19"/>
      <c r="H1143" s="19"/>
      <c r="I1143" s="19"/>
      <c r="J1143" s="19"/>
      <c r="K1143" s="19"/>
      <c r="L1143" s="19"/>
      <c r="M1143" s="19"/>
      <c r="N1143" s="19"/>
      <c r="O1143" s="19"/>
      <c r="P1143" s="19"/>
      <c r="Q1143" s="19"/>
      <c r="R1143" s="19"/>
      <c r="S1143" s="19"/>
      <c r="T1143" s="34" t="str">
        <f aca="false">IF($R1143="","",IFERROR(INDEX(DriverCategory,MATCH($R1143,DriverList,0)),"BAU"))</f>
        <v/>
      </c>
      <c r="U1143" s="34" t="str">
        <f aca="false">IF($R1143="","",IFERROR(INDEX(DriverRank,MATCH($R1143,DriverList,0)),99))</f>
        <v/>
      </c>
      <c r="V1143" s="35" t="n">
        <f aca="false">IF($H1143="",0,IFERROR(INDEX(LevelBasic,MATCH($H1143,LevelList,0))+INDEX(LevelHousing,MATCH($H1143,LevelList,0))+INDEX(LevelTransport,MATCH($H1143,LevelList,0))+INDEX(LevelBasic,MATCH($H1143,LevelList,0))*INDEX(LevelBonus,MATCH($H1143,LevelList,0))+(INDEX(LevelBasic,MATCH($H1143,LevelList,0))+INDEX(LevelHousing,MATCH($H1143,LevelList,0)))*GosiSaudi,0))</f>
        <v>0</v>
      </c>
      <c r="W1143" s="35" t="n">
        <f aca="false">IFERROR(INDEX(LevelOneOff,MATCH($H1143,LevelList,0)),0)</f>
        <v>0</v>
      </c>
      <c r="X1143" s="35" t="str">
        <f aca="false">IF($G1143="","",$V1143*N($L1143))</f>
        <v/>
      </c>
      <c r="Y1143" s="35" t="str">
        <f aca="false">IF($G1143="","",$V1143*(N($M1143)*1+N($N1143)*0.75+N($O1143)*0.5+N($P1143)*0.25)+$W1143*N($L1143))</f>
        <v/>
      </c>
      <c r="Z1143" s="35" t="str">
        <f aca="false">IF($G1143="","",$U1143*1000000+ROW())</f>
        <v/>
      </c>
      <c r="AA1143" s="36" t="str">
        <f aca="false">IF($G1143="","",MID(IF($C1143="",", no division","")&amp;IF($E1143="",", no unit","")&amp;IF($H1143="",", no career level","")&amp;IF(N($L1143)&lt;=0,", no quarter split","")&amp;IF($R1143="",", no driver","")&amp;IF(AND($H1143&lt;&gt;"",COUNTIF(CareerLevels,$H1143)=0),", a career level that is not on the ladder","")&amp;IF(AND($R1143&lt;&gt;"",COUNTIF(DriverList,$R1143)=0),", a driver that is not on the list","")&amp;IF(ABS(N($L1143)-(N($M1143)+N($N1143)+N($O1143)+N($P1143)))&gt;0.001,", a total that does not match its quarters",""),3,300))</f>
        <v/>
      </c>
    </row>
    <row r="1144" customFormat="false" ht="15" hidden="false" customHeight="false" outlineLevel="0" collapsed="false">
      <c r="A1144" s="33" t="str">
        <f aca="false">IF($G1144="","","Internal Audit Group")</f>
        <v/>
      </c>
      <c r="B1144" s="19"/>
      <c r="C1144" s="19"/>
      <c r="D1144" s="19"/>
      <c r="E1144" s="19"/>
      <c r="F1144" s="19"/>
      <c r="G1144" s="19"/>
      <c r="H1144" s="19"/>
      <c r="I1144" s="19"/>
      <c r="J1144" s="19"/>
      <c r="K1144" s="19"/>
      <c r="L1144" s="19"/>
      <c r="M1144" s="19"/>
      <c r="N1144" s="19"/>
      <c r="O1144" s="19"/>
      <c r="P1144" s="19"/>
      <c r="Q1144" s="19"/>
      <c r="R1144" s="19"/>
      <c r="S1144" s="19"/>
      <c r="T1144" s="34" t="str">
        <f aca="false">IF($R1144="","",IFERROR(INDEX(DriverCategory,MATCH($R1144,DriverList,0)),"BAU"))</f>
        <v/>
      </c>
      <c r="U1144" s="34" t="str">
        <f aca="false">IF($R1144="","",IFERROR(INDEX(DriverRank,MATCH($R1144,DriverList,0)),99))</f>
        <v/>
      </c>
      <c r="V1144" s="35" t="n">
        <f aca="false">IF($H1144="",0,IFERROR(INDEX(LevelBasic,MATCH($H1144,LevelList,0))+INDEX(LevelHousing,MATCH($H1144,LevelList,0))+INDEX(LevelTransport,MATCH($H1144,LevelList,0))+INDEX(LevelBasic,MATCH($H1144,LevelList,0))*INDEX(LevelBonus,MATCH($H1144,LevelList,0))+(INDEX(LevelBasic,MATCH($H1144,LevelList,0))+INDEX(LevelHousing,MATCH($H1144,LevelList,0)))*GosiSaudi,0))</f>
        <v>0</v>
      </c>
      <c r="W1144" s="35" t="n">
        <f aca="false">IFERROR(INDEX(LevelOneOff,MATCH($H1144,LevelList,0)),0)</f>
        <v>0</v>
      </c>
      <c r="X1144" s="35" t="str">
        <f aca="false">IF($G1144="","",$V1144*N($L1144))</f>
        <v/>
      </c>
      <c r="Y1144" s="35" t="str">
        <f aca="false">IF($G1144="","",$V1144*(N($M1144)*1+N($N1144)*0.75+N($O1144)*0.5+N($P1144)*0.25)+$W1144*N($L1144))</f>
        <v/>
      </c>
      <c r="Z1144" s="35" t="str">
        <f aca="false">IF($G1144="","",$U1144*1000000+ROW())</f>
        <v/>
      </c>
      <c r="AA1144" s="36" t="str">
        <f aca="false">IF($G1144="","",MID(IF($C1144="",", no division","")&amp;IF($E1144="",", no unit","")&amp;IF($H1144="",", no career level","")&amp;IF(N($L1144)&lt;=0,", no quarter split","")&amp;IF($R1144="",", no driver","")&amp;IF(AND($H1144&lt;&gt;"",COUNTIF(CareerLevels,$H1144)=0),", a career level that is not on the ladder","")&amp;IF(AND($R1144&lt;&gt;"",COUNTIF(DriverList,$R1144)=0),", a driver that is not on the list","")&amp;IF(ABS(N($L1144)-(N($M1144)+N($N1144)+N($O1144)+N($P1144)))&gt;0.001,", a total that does not match its quarters",""),3,300))</f>
        <v/>
      </c>
    </row>
    <row r="1145" customFormat="false" ht="15" hidden="false" customHeight="false" outlineLevel="0" collapsed="false">
      <c r="A1145" s="33" t="str">
        <f aca="false">IF($G1145="","","Internal Audit Group")</f>
        <v/>
      </c>
      <c r="B1145" s="19"/>
      <c r="C1145" s="19"/>
      <c r="D1145" s="19"/>
      <c r="E1145" s="19"/>
      <c r="F1145" s="19"/>
      <c r="G1145" s="19"/>
      <c r="H1145" s="19"/>
      <c r="I1145" s="19"/>
      <c r="J1145" s="19"/>
      <c r="K1145" s="19"/>
      <c r="L1145" s="19"/>
      <c r="M1145" s="19"/>
      <c r="N1145" s="19"/>
      <c r="O1145" s="19"/>
      <c r="P1145" s="19"/>
      <c r="Q1145" s="19"/>
      <c r="R1145" s="19"/>
      <c r="S1145" s="19"/>
      <c r="T1145" s="34" t="str">
        <f aca="false">IF($R1145="","",IFERROR(INDEX(DriverCategory,MATCH($R1145,DriverList,0)),"BAU"))</f>
        <v/>
      </c>
      <c r="U1145" s="34" t="str">
        <f aca="false">IF($R1145="","",IFERROR(INDEX(DriverRank,MATCH($R1145,DriverList,0)),99))</f>
        <v/>
      </c>
      <c r="V1145" s="35" t="n">
        <f aca="false">IF($H1145="",0,IFERROR(INDEX(LevelBasic,MATCH($H1145,LevelList,0))+INDEX(LevelHousing,MATCH($H1145,LevelList,0))+INDEX(LevelTransport,MATCH($H1145,LevelList,0))+INDEX(LevelBasic,MATCH($H1145,LevelList,0))*INDEX(LevelBonus,MATCH($H1145,LevelList,0))+(INDEX(LevelBasic,MATCH($H1145,LevelList,0))+INDEX(LevelHousing,MATCH($H1145,LevelList,0)))*GosiSaudi,0))</f>
        <v>0</v>
      </c>
      <c r="W1145" s="35" t="n">
        <f aca="false">IFERROR(INDEX(LevelOneOff,MATCH($H1145,LevelList,0)),0)</f>
        <v>0</v>
      </c>
      <c r="X1145" s="35" t="str">
        <f aca="false">IF($G1145="","",$V1145*N($L1145))</f>
        <v/>
      </c>
      <c r="Y1145" s="35" t="str">
        <f aca="false">IF($G1145="","",$V1145*(N($M1145)*1+N($N1145)*0.75+N($O1145)*0.5+N($P1145)*0.25)+$W1145*N($L1145))</f>
        <v/>
      </c>
      <c r="Z1145" s="35" t="str">
        <f aca="false">IF($G1145="","",$U1145*1000000+ROW())</f>
        <v/>
      </c>
      <c r="AA1145" s="36" t="str">
        <f aca="false">IF($G1145="","",MID(IF($C1145="",", no division","")&amp;IF($E1145="",", no unit","")&amp;IF($H1145="",", no career level","")&amp;IF(N($L1145)&lt;=0,", no quarter split","")&amp;IF($R1145="",", no driver","")&amp;IF(AND($H1145&lt;&gt;"",COUNTIF(CareerLevels,$H1145)=0),", a career level that is not on the ladder","")&amp;IF(AND($R1145&lt;&gt;"",COUNTIF(DriverList,$R1145)=0),", a driver that is not on the list","")&amp;IF(ABS(N($L1145)-(N($M1145)+N($N1145)+N($O1145)+N($P1145)))&gt;0.001,", a total that does not match its quarters",""),3,300))</f>
        <v/>
      </c>
    </row>
    <row r="1146" customFormat="false" ht="15" hidden="false" customHeight="false" outlineLevel="0" collapsed="false">
      <c r="A1146" s="33" t="str">
        <f aca="false">IF($G1146="","","Internal Audit Group")</f>
        <v/>
      </c>
      <c r="B1146" s="19"/>
      <c r="C1146" s="19"/>
      <c r="D1146" s="19"/>
      <c r="E1146" s="19"/>
      <c r="F1146" s="19"/>
      <c r="G1146" s="19"/>
      <c r="H1146" s="19"/>
      <c r="I1146" s="19"/>
      <c r="J1146" s="19"/>
      <c r="K1146" s="19"/>
      <c r="L1146" s="19"/>
      <c r="M1146" s="19"/>
      <c r="N1146" s="19"/>
      <c r="O1146" s="19"/>
      <c r="P1146" s="19"/>
      <c r="Q1146" s="19"/>
      <c r="R1146" s="19"/>
      <c r="S1146" s="19"/>
      <c r="T1146" s="34" t="str">
        <f aca="false">IF($R1146="","",IFERROR(INDEX(DriverCategory,MATCH($R1146,DriverList,0)),"BAU"))</f>
        <v/>
      </c>
      <c r="U1146" s="34" t="str">
        <f aca="false">IF($R1146="","",IFERROR(INDEX(DriverRank,MATCH($R1146,DriverList,0)),99))</f>
        <v/>
      </c>
      <c r="V1146" s="35" t="n">
        <f aca="false">IF($H1146="",0,IFERROR(INDEX(LevelBasic,MATCH($H1146,LevelList,0))+INDEX(LevelHousing,MATCH($H1146,LevelList,0))+INDEX(LevelTransport,MATCH($H1146,LevelList,0))+INDEX(LevelBasic,MATCH($H1146,LevelList,0))*INDEX(LevelBonus,MATCH($H1146,LevelList,0))+(INDEX(LevelBasic,MATCH($H1146,LevelList,0))+INDEX(LevelHousing,MATCH($H1146,LevelList,0)))*GosiSaudi,0))</f>
        <v>0</v>
      </c>
      <c r="W1146" s="35" t="n">
        <f aca="false">IFERROR(INDEX(LevelOneOff,MATCH($H1146,LevelList,0)),0)</f>
        <v>0</v>
      </c>
      <c r="X1146" s="35" t="str">
        <f aca="false">IF($G1146="","",$V1146*N($L1146))</f>
        <v/>
      </c>
      <c r="Y1146" s="35" t="str">
        <f aca="false">IF($G1146="","",$V1146*(N($M1146)*1+N($N1146)*0.75+N($O1146)*0.5+N($P1146)*0.25)+$W1146*N($L1146))</f>
        <v/>
      </c>
      <c r="Z1146" s="35" t="str">
        <f aca="false">IF($G1146="","",$U1146*1000000+ROW())</f>
        <v/>
      </c>
      <c r="AA1146" s="36" t="str">
        <f aca="false">IF($G1146="","",MID(IF($C1146="",", no division","")&amp;IF($E1146="",", no unit","")&amp;IF($H1146="",", no career level","")&amp;IF(N($L1146)&lt;=0,", no quarter split","")&amp;IF($R1146="",", no driver","")&amp;IF(AND($H1146&lt;&gt;"",COUNTIF(CareerLevels,$H1146)=0),", a career level that is not on the ladder","")&amp;IF(AND($R1146&lt;&gt;"",COUNTIF(DriverList,$R1146)=0),", a driver that is not on the list","")&amp;IF(ABS(N($L1146)-(N($M1146)+N($N1146)+N($O1146)+N($P1146)))&gt;0.001,", a total that does not match its quarters",""),3,300))</f>
        <v/>
      </c>
    </row>
    <row r="1147" customFormat="false" ht="15" hidden="false" customHeight="false" outlineLevel="0" collapsed="false">
      <c r="A1147" s="33" t="str">
        <f aca="false">IF($G1147="","","Internal Audit Group")</f>
        <v/>
      </c>
      <c r="B1147" s="19"/>
      <c r="C1147" s="19"/>
      <c r="D1147" s="19"/>
      <c r="E1147" s="19"/>
      <c r="F1147" s="19"/>
      <c r="G1147" s="19"/>
      <c r="H1147" s="19"/>
      <c r="I1147" s="19"/>
      <c r="J1147" s="19"/>
      <c r="K1147" s="19"/>
      <c r="L1147" s="19"/>
      <c r="M1147" s="19"/>
      <c r="N1147" s="19"/>
      <c r="O1147" s="19"/>
      <c r="P1147" s="19"/>
      <c r="Q1147" s="19"/>
      <c r="R1147" s="19"/>
      <c r="S1147" s="19"/>
      <c r="T1147" s="34" t="str">
        <f aca="false">IF($R1147="","",IFERROR(INDEX(DriverCategory,MATCH($R1147,DriverList,0)),"BAU"))</f>
        <v/>
      </c>
      <c r="U1147" s="34" t="str">
        <f aca="false">IF($R1147="","",IFERROR(INDEX(DriverRank,MATCH($R1147,DriverList,0)),99))</f>
        <v/>
      </c>
      <c r="V1147" s="35" t="n">
        <f aca="false">IF($H1147="",0,IFERROR(INDEX(LevelBasic,MATCH($H1147,LevelList,0))+INDEX(LevelHousing,MATCH($H1147,LevelList,0))+INDEX(LevelTransport,MATCH($H1147,LevelList,0))+INDEX(LevelBasic,MATCH($H1147,LevelList,0))*INDEX(LevelBonus,MATCH($H1147,LevelList,0))+(INDEX(LevelBasic,MATCH($H1147,LevelList,0))+INDEX(LevelHousing,MATCH($H1147,LevelList,0)))*GosiSaudi,0))</f>
        <v>0</v>
      </c>
      <c r="W1147" s="35" t="n">
        <f aca="false">IFERROR(INDEX(LevelOneOff,MATCH($H1147,LevelList,0)),0)</f>
        <v>0</v>
      </c>
      <c r="X1147" s="35" t="str">
        <f aca="false">IF($G1147="","",$V1147*N($L1147))</f>
        <v/>
      </c>
      <c r="Y1147" s="35" t="str">
        <f aca="false">IF($G1147="","",$V1147*(N($M1147)*1+N($N1147)*0.75+N($O1147)*0.5+N($P1147)*0.25)+$W1147*N($L1147))</f>
        <v/>
      </c>
      <c r="Z1147" s="35" t="str">
        <f aca="false">IF($G1147="","",$U1147*1000000+ROW())</f>
        <v/>
      </c>
      <c r="AA1147" s="36" t="str">
        <f aca="false">IF($G1147="","",MID(IF($C1147="",", no division","")&amp;IF($E1147="",", no unit","")&amp;IF($H1147="",", no career level","")&amp;IF(N($L1147)&lt;=0,", no quarter split","")&amp;IF($R1147="",", no driver","")&amp;IF(AND($H1147&lt;&gt;"",COUNTIF(CareerLevels,$H1147)=0),", a career level that is not on the ladder","")&amp;IF(AND($R1147&lt;&gt;"",COUNTIF(DriverList,$R1147)=0),", a driver that is not on the list","")&amp;IF(ABS(N($L1147)-(N($M1147)+N($N1147)+N($O1147)+N($P1147)))&gt;0.001,", a total that does not match its quarters",""),3,300))</f>
        <v/>
      </c>
    </row>
    <row r="1148" customFormat="false" ht="15" hidden="false" customHeight="false" outlineLevel="0" collapsed="false">
      <c r="A1148" s="33" t="str">
        <f aca="false">IF($G1148="","","Internal Audit Group")</f>
        <v/>
      </c>
      <c r="B1148" s="19"/>
      <c r="C1148" s="19"/>
      <c r="D1148" s="19"/>
      <c r="E1148" s="19"/>
      <c r="F1148" s="19"/>
      <c r="G1148" s="19"/>
      <c r="H1148" s="19"/>
      <c r="I1148" s="19"/>
      <c r="J1148" s="19"/>
      <c r="K1148" s="19"/>
      <c r="L1148" s="19"/>
      <c r="M1148" s="19"/>
      <c r="N1148" s="19"/>
      <c r="O1148" s="19"/>
      <c r="P1148" s="19"/>
      <c r="Q1148" s="19"/>
      <c r="R1148" s="19"/>
      <c r="S1148" s="19"/>
      <c r="T1148" s="34" t="str">
        <f aca="false">IF($R1148="","",IFERROR(INDEX(DriverCategory,MATCH($R1148,DriverList,0)),"BAU"))</f>
        <v/>
      </c>
      <c r="U1148" s="34" t="str">
        <f aca="false">IF($R1148="","",IFERROR(INDEX(DriverRank,MATCH($R1148,DriverList,0)),99))</f>
        <v/>
      </c>
      <c r="V1148" s="35" t="n">
        <f aca="false">IF($H1148="",0,IFERROR(INDEX(LevelBasic,MATCH($H1148,LevelList,0))+INDEX(LevelHousing,MATCH($H1148,LevelList,0))+INDEX(LevelTransport,MATCH($H1148,LevelList,0))+INDEX(LevelBasic,MATCH($H1148,LevelList,0))*INDEX(LevelBonus,MATCH($H1148,LevelList,0))+(INDEX(LevelBasic,MATCH($H1148,LevelList,0))+INDEX(LevelHousing,MATCH($H1148,LevelList,0)))*GosiSaudi,0))</f>
        <v>0</v>
      </c>
      <c r="W1148" s="35" t="n">
        <f aca="false">IFERROR(INDEX(LevelOneOff,MATCH($H1148,LevelList,0)),0)</f>
        <v>0</v>
      </c>
      <c r="X1148" s="35" t="str">
        <f aca="false">IF($G1148="","",$V1148*N($L1148))</f>
        <v/>
      </c>
      <c r="Y1148" s="35" t="str">
        <f aca="false">IF($G1148="","",$V1148*(N($M1148)*1+N($N1148)*0.75+N($O1148)*0.5+N($P1148)*0.25)+$W1148*N($L1148))</f>
        <v/>
      </c>
      <c r="Z1148" s="35" t="str">
        <f aca="false">IF($G1148="","",$U1148*1000000+ROW())</f>
        <v/>
      </c>
      <c r="AA1148" s="36" t="str">
        <f aca="false">IF($G1148="","",MID(IF($C1148="",", no division","")&amp;IF($E1148="",", no unit","")&amp;IF($H1148="",", no career level","")&amp;IF(N($L1148)&lt;=0,", no quarter split","")&amp;IF($R1148="",", no driver","")&amp;IF(AND($H1148&lt;&gt;"",COUNTIF(CareerLevels,$H1148)=0),", a career level that is not on the ladder","")&amp;IF(AND($R1148&lt;&gt;"",COUNTIF(DriverList,$R1148)=0),", a driver that is not on the list","")&amp;IF(ABS(N($L1148)-(N($M1148)+N($N1148)+N($O1148)+N($P1148)))&gt;0.001,", a total that does not match its quarters",""),3,300))</f>
        <v/>
      </c>
    </row>
    <row r="1149" customFormat="false" ht="15" hidden="false" customHeight="false" outlineLevel="0" collapsed="false">
      <c r="A1149" s="33" t="str">
        <f aca="false">IF($G1149="","","Internal Audit Group")</f>
        <v/>
      </c>
      <c r="B1149" s="19"/>
      <c r="C1149" s="19"/>
      <c r="D1149" s="19"/>
      <c r="E1149" s="19"/>
      <c r="F1149" s="19"/>
      <c r="G1149" s="19"/>
      <c r="H1149" s="19"/>
      <c r="I1149" s="19"/>
      <c r="J1149" s="19"/>
      <c r="K1149" s="19"/>
      <c r="L1149" s="19"/>
      <c r="M1149" s="19"/>
      <c r="N1149" s="19"/>
      <c r="O1149" s="19"/>
      <c r="P1149" s="19"/>
      <c r="Q1149" s="19"/>
      <c r="R1149" s="19"/>
      <c r="S1149" s="19"/>
      <c r="T1149" s="34" t="str">
        <f aca="false">IF($R1149="","",IFERROR(INDEX(DriverCategory,MATCH($R1149,DriverList,0)),"BAU"))</f>
        <v/>
      </c>
      <c r="U1149" s="34" t="str">
        <f aca="false">IF($R1149="","",IFERROR(INDEX(DriverRank,MATCH($R1149,DriverList,0)),99))</f>
        <v/>
      </c>
      <c r="V1149" s="35" t="n">
        <f aca="false">IF($H1149="",0,IFERROR(INDEX(LevelBasic,MATCH($H1149,LevelList,0))+INDEX(LevelHousing,MATCH($H1149,LevelList,0))+INDEX(LevelTransport,MATCH($H1149,LevelList,0))+INDEX(LevelBasic,MATCH($H1149,LevelList,0))*INDEX(LevelBonus,MATCH($H1149,LevelList,0))+(INDEX(LevelBasic,MATCH($H1149,LevelList,0))+INDEX(LevelHousing,MATCH($H1149,LevelList,0)))*GosiSaudi,0))</f>
        <v>0</v>
      </c>
      <c r="W1149" s="35" t="n">
        <f aca="false">IFERROR(INDEX(LevelOneOff,MATCH($H1149,LevelList,0)),0)</f>
        <v>0</v>
      </c>
      <c r="X1149" s="35" t="str">
        <f aca="false">IF($G1149="","",$V1149*N($L1149))</f>
        <v/>
      </c>
      <c r="Y1149" s="35" t="str">
        <f aca="false">IF($G1149="","",$V1149*(N($M1149)*1+N($N1149)*0.75+N($O1149)*0.5+N($P1149)*0.25)+$W1149*N($L1149))</f>
        <v/>
      </c>
      <c r="Z1149" s="35" t="str">
        <f aca="false">IF($G1149="","",$U1149*1000000+ROW())</f>
        <v/>
      </c>
      <c r="AA1149" s="36" t="str">
        <f aca="false">IF($G1149="","",MID(IF($C1149="",", no division","")&amp;IF($E1149="",", no unit","")&amp;IF($H1149="",", no career level","")&amp;IF(N($L1149)&lt;=0,", no quarter split","")&amp;IF($R1149="",", no driver","")&amp;IF(AND($H1149&lt;&gt;"",COUNTIF(CareerLevels,$H1149)=0),", a career level that is not on the ladder","")&amp;IF(AND($R1149&lt;&gt;"",COUNTIF(DriverList,$R1149)=0),", a driver that is not on the list","")&amp;IF(ABS(N($L1149)-(N($M1149)+N($N1149)+N($O1149)+N($P1149)))&gt;0.001,", a total that does not match its quarters",""),3,300))</f>
        <v/>
      </c>
    </row>
    <row r="1150" customFormat="false" ht="15" hidden="false" customHeight="false" outlineLevel="0" collapsed="false">
      <c r="A1150" s="33" t="str">
        <f aca="false">IF($G1150="","","Internal Audit Group")</f>
        <v/>
      </c>
      <c r="B1150" s="19"/>
      <c r="C1150" s="19"/>
      <c r="D1150" s="19"/>
      <c r="E1150" s="19"/>
      <c r="F1150" s="19"/>
      <c r="G1150" s="19"/>
      <c r="H1150" s="19"/>
      <c r="I1150" s="19"/>
      <c r="J1150" s="19"/>
      <c r="K1150" s="19"/>
      <c r="L1150" s="19"/>
      <c r="M1150" s="19"/>
      <c r="N1150" s="19"/>
      <c r="O1150" s="19"/>
      <c r="P1150" s="19"/>
      <c r="Q1150" s="19"/>
      <c r="R1150" s="19"/>
      <c r="S1150" s="19"/>
      <c r="T1150" s="34" t="str">
        <f aca="false">IF($R1150="","",IFERROR(INDEX(DriverCategory,MATCH($R1150,DriverList,0)),"BAU"))</f>
        <v/>
      </c>
      <c r="U1150" s="34" t="str">
        <f aca="false">IF($R1150="","",IFERROR(INDEX(DriverRank,MATCH($R1150,DriverList,0)),99))</f>
        <v/>
      </c>
      <c r="V1150" s="35" t="n">
        <f aca="false">IF($H1150="",0,IFERROR(INDEX(LevelBasic,MATCH($H1150,LevelList,0))+INDEX(LevelHousing,MATCH($H1150,LevelList,0))+INDEX(LevelTransport,MATCH($H1150,LevelList,0))+INDEX(LevelBasic,MATCH($H1150,LevelList,0))*INDEX(LevelBonus,MATCH($H1150,LevelList,0))+(INDEX(LevelBasic,MATCH($H1150,LevelList,0))+INDEX(LevelHousing,MATCH($H1150,LevelList,0)))*GosiSaudi,0))</f>
        <v>0</v>
      </c>
      <c r="W1150" s="35" t="n">
        <f aca="false">IFERROR(INDEX(LevelOneOff,MATCH($H1150,LevelList,0)),0)</f>
        <v>0</v>
      </c>
      <c r="X1150" s="35" t="str">
        <f aca="false">IF($G1150="","",$V1150*N($L1150))</f>
        <v/>
      </c>
      <c r="Y1150" s="35" t="str">
        <f aca="false">IF($G1150="","",$V1150*(N($M1150)*1+N($N1150)*0.75+N($O1150)*0.5+N($P1150)*0.25)+$W1150*N($L1150))</f>
        <v/>
      </c>
      <c r="Z1150" s="35" t="str">
        <f aca="false">IF($G1150="","",$U1150*1000000+ROW())</f>
        <v/>
      </c>
      <c r="AA1150" s="36" t="str">
        <f aca="false">IF($G1150="","",MID(IF($C1150="",", no division","")&amp;IF($E1150="",", no unit","")&amp;IF($H1150="",", no career level","")&amp;IF(N($L1150)&lt;=0,", no quarter split","")&amp;IF($R1150="",", no driver","")&amp;IF(AND($H1150&lt;&gt;"",COUNTIF(CareerLevels,$H1150)=0),", a career level that is not on the ladder","")&amp;IF(AND($R1150&lt;&gt;"",COUNTIF(DriverList,$R1150)=0),", a driver that is not on the list","")&amp;IF(ABS(N($L1150)-(N($M1150)+N($N1150)+N($O1150)+N($P1150)))&gt;0.001,", a total that does not match its quarters",""),3,300))</f>
        <v/>
      </c>
    </row>
    <row r="1151" customFormat="false" ht="15" hidden="false" customHeight="false" outlineLevel="0" collapsed="false">
      <c r="A1151" s="33" t="str">
        <f aca="false">IF($G1151="","","Internal Audit Group")</f>
        <v/>
      </c>
      <c r="B1151" s="19"/>
      <c r="C1151" s="19"/>
      <c r="D1151" s="19"/>
      <c r="E1151" s="19"/>
      <c r="F1151" s="19"/>
      <c r="G1151" s="19"/>
      <c r="H1151" s="19"/>
      <c r="I1151" s="19"/>
      <c r="J1151" s="19"/>
      <c r="K1151" s="19"/>
      <c r="L1151" s="19"/>
      <c r="M1151" s="19"/>
      <c r="N1151" s="19"/>
      <c r="O1151" s="19"/>
      <c r="P1151" s="19"/>
      <c r="Q1151" s="19"/>
      <c r="R1151" s="19"/>
      <c r="S1151" s="19"/>
      <c r="T1151" s="34" t="str">
        <f aca="false">IF($R1151="","",IFERROR(INDEX(DriverCategory,MATCH($R1151,DriverList,0)),"BAU"))</f>
        <v/>
      </c>
      <c r="U1151" s="34" t="str">
        <f aca="false">IF($R1151="","",IFERROR(INDEX(DriverRank,MATCH($R1151,DriverList,0)),99))</f>
        <v/>
      </c>
      <c r="V1151" s="35" t="n">
        <f aca="false">IF($H1151="",0,IFERROR(INDEX(LevelBasic,MATCH($H1151,LevelList,0))+INDEX(LevelHousing,MATCH($H1151,LevelList,0))+INDEX(LevelTransport,MATCH($H1151,LevelList,0))+INDEX(LevelBasic,MATCH($H1151,LevelList,0))*INDEX(LevelBonus,MATCH($H1151,LevelList,0))+(INDEX(LevelBasic,MATCH($H1151,LevelList,0))+INDEX(LevelHousing,MATCH($H1151,LevelList,0)))*GosiSaudi,0))</f>
        <v>0</v>
      </c>
      <c r="W1151" s="35" t="n">
        <f aca="false">IFERROR(INDEX(LevelOneOff,MATCH($H1151,LevelList,0)),0)</f>
        <v>0</v>
      </c>
      <c r="X1151" s="35" t="str">
        <f aca="false">IF($G1151="","",$V1151*N($L1151))</f>
        <v/>
      </c>
      <c r="Y1151" s="35" t="str">
        <f aca="false">IF($G1151="","",$V1151*(N($M1151)*1+N($N1151)*0.75+N($O1151)*0.5+N($P1151)*0.25)+$W1151*N($L1151))</f>
        <v/>
      </c>
      <c r="Z1151" s="35" t="str">
        <f aca="false">IF($G1151="","",$U1151*1000000+ROW())</f>
        <v/>
      </c>
      <c r="AA1151" s="36" t="str">
        <f aca="false">IF($G1151="","",MID(IF($C1151="",", no division","")&amp;IF($E1151="",", no unit","")&amp;IF($H1151="",", no career level","")&amp;IF(N($L1151)&lt;=0,", no quarter split","")&amp;IF($R1151="",", no driver","")&amp;IF(AND($H1151&lt;&gt;"",COUNTIF(CareerLevels,$H1151)=0),", a career level that is not on the ladder","")&amp;IF(AND($R1151&lt;&gt;"",COUNTIF(DriverList,$R1151)=0),", a driver that is not on the list","")&amp;IF(ABS(N($L1151)-(N($M1151)+N($N1151)+N($O1151)+N($P1151)))&gt;0.001,", a total that does not match its quarters",""),3,300))</f>
        <v/>
      </c>
    </row>
    <row r="1152" customFormat="false" ht="15" hidden="false" customHeight="false" outlineLevel="0" collapsed="false">
      <c r="A1152" s="33" t="str">
        <f aca="false">IF($G1152="","","Internal Audit Group")</f>
        <v/>
      </c>
      <c r="B1152" s="19"/>
      <c r="C1152" s="19"/>
      <c r="D1152" s="19"/>
      <c r="E1152" s="19"/>
      <c r="F1152" s="19"/>
      <c r="G1152" s="19"/>
      <c r="H1152" s="19"/>
      <c r="I1152" s="19"/>
      <c r="J1152" s="19"/>
      <c r="K1152" s="19"/>
      <c r="L1152" s="19"/>
      <c r="M1152" s="19"/>
      <c r="N1152" s="19"/>
      <c r="O1152" s="19"/>
      <c r="P1152" s="19"/>
      <c r="Q1152" s="19"/>
      <c r="R1152" s="19"/>
      <c r="S1152" s="19"/>
      <c r="T1152" s="34" t="str">
        <f aca="false">IF($R1152="","",IFERROR(INDEX(DriverCategory,MATCH($R1152,DriverList,0)),"BAU"))</f>
        <v/>
      </c>
      <c r="U1152" s="34" t="str">
        <f aca="false">IF($R1152="","",IFERROR(INDEX(DriverRank,MATCH($R1152,DriverList,0)),99))</f>
        <v/>
      </c>
      <c r="V1152" s="35" t="n">
        <f aca="false">IF($H1152="",0,IFERROR(INDEX(LevelBasic,MATCH($H1152,LevelList,0))+INDEX(LevelHousing,MATCH($H1152,LevelList,0))+INDEX(LevelTransport,MATCH($H1152,LevelList,0))+INDEX(LevelBasic,MATCH($H1152,LevelList,0))*INDEX(LevelBonus,MATCH($H1152,LevelList,0))+(INDEX(LevelBasic,MATCH($H1152,LevelList,0))+INDEX(LevelHousing,MATCH($H1152,LevelList,0)))*GosiSaudi,0))</f>
        <v>0</v>
      </c>
      <c r="W1152" s="35" t="n">
        <f aca="false">IFERROR(INDEX(LevelOneOff,MATCH($H1152,LevelList,0)),0)</f>
        <v>0</v>
      </c>
      <c r="X1152" s="35" t="str">
        <f aca="false">IF($G1152="","",$V1152*N($L1152))</f>
        <v/>
      </c>
      <c r="Y1152" s="35" t="str">
        <f aca="false">IF($G1152="","",$V1152*(N($M1152)*1+N($N1152)*0.75+N($O1152)*0.5+N($P1152)*0.25)+$W1152*N($L1152))</f>
        <v/>
      </c>
      <c r="Z1152" s="35" t="str">
        <f aca="false">IF($G1152="","",$U1152*1000000+ROW())</f>
        <v/>
      </c>
      <c r="AA1152" s="36" t="str">
        <f aca="false">IF($G1152="","",MID(IF($C1152="",", no division","")&amp;IF($E1152="",", no unit","")&amp;IF($H1152="",", no career level","")&amp;IF(N($L1152)&lt;=0,", no quarter split","")&amp;IF($R1152="",", no driver","")&amp;IF(AND($H1152&lt;&gt;"",COUNTIF(CareerLevels,$H1152)=0),", a career level that is not on the ladder","")&amp;IF(AND($R1152&lt;&gt;"",COUNTIF(DriverList,$R1152)=0),", a driver that is not on the list","")&amp;IF(ABS(N($L1152)-(N($M1152)+N($N1152)+N($O1152)+N($P1152)))&gt;0.001,", a total that does not match its quarters",""),3,300))</f>
        <v/>
      </c>
    </row>
    <row r="1153" customFormat="false" ht="15" hidden="false" customHeight="false" outlineLevel="0" collapsed="false">
      <c r="A1153" s="33" t="str">
        <f aca="false">IF($G1153="","","Internal Audit Group")</f>
        <v/>
      </c>
      <c r="B1153" s="19"/>
      <c r="C1153" s="19"/>
      <c r="D1153" s="19"/>
      <c r="E1153" s="19"/>
      <c r="F1153" s="19"/>
      <c r="G1153" s="19"/>
      <c r="H1153" s="19"/>
      <c r="I1153" s="19"/>
      <c r="J1153" s="19"/>
      <c r="K1153" s="19"/>
      <c r="L1153" s="19"/>
      <c r="M1153" s="19"/>
      <c r="N1153" s="19"/>
      <c r="O1153" s="19"/>
      <c r="P1153" s="19"/>
      <c r="Q1153" s="19"/>
      <c r="R1153" s="19"/>
      <c r="S1153" s="19"/>
      <c r="T1153" s="34" t="str">
        <f aca="false">IF($R1153="","",IFERROR(INDEX(DriverCategory,MATCH($R1153,DriverList,0)),"BAU"))</f>
        <v/>
      </c>
      <c r="U1153" s="34" t="str">
        <f aca="false">IF($R1153="","",IFERROR(INDEX(DriverRank,MATCH($R1153,DriverList,0)),99))</f>
        <v/>
      </c>
      <c r="V1153" s="35" t="n">
        <f aca="false">IF($H1153="",0,IFERROR(INDEX(LevelBasic,MATCH($H1153,LevelList,0))+INDEX(LevelHousing,MATCH($H1153,LevelList,0))+INDEX(LevelTransport,MATCH($H1153,LevelList,0))+INDEX(LevelBasic,MATCH($H1153,LevelList,0))*INDEX(LevelBonus,MATCH($H1153,LevelList,0))+(INDEX(LevelBasic,MATCH($H1153,LevelList,0))+INDEX(LevelHousing,MATCH($H1153,LevelList,0)))*GosiSaudi,0))</f>
        <v>0</v>
      </c>
      <c r="W1153" s="35" t="n">
        <f aca="false">IFERROR(INDEX(LevelOneOff,MATCH($H1153,LevelList,0)),0)</f>
        <v>0</v>
      </c>
      <c r="X1153" s="35" t="str">
        <f aca="false">IF($G1153="","",$V1153*N($L1153))</f>
        <v/>
      </c>
      <c r="Y1153" s="35" t="str">
        <f aca="false">IF($G1153="","",$V1153*(N($M1153)*1+N($N1153)*0.75+N($O1153)*0.5+N($P1153)*0.25)+$W1153*N($L1153))</f>
        <v/>
      </c>
      <c r="Z1153" s="35" t="str">
        <f aca="false">IF($G1153="","",$U1153*1000000+ROW())</f>
        <v/>
      </c>
      <c r="AA1153" s="36" t="str">
        <f aca="false">IF($G1153="","",MID(IF($C1153="",", no division","")&amp;IF($E1153="",", no unit","")&amp;IF($H1153="",", no career level","")&amp;IF(N($L1153)&lt;=0,", no quarter split","")&amp;IF($R1153="",", no driver","")&amp;IF(AND($H1153&lt;&gt;"",COUNTIF(CareerLevels,$H1153)=0),", a career level that is not on the ladder","")&amp;IF(AND($R1153&lt;&gt;"",COUNTIF(DriverList,$R1153)=0),", a driver that is not on the list","")&amp;IF(ABS(N($L1153)-(N($M1153)+N($N1153)+N($O1153)+N($P1153)))&gt;0.001,", a total that does not match its quarters",""),3,300))</f>
        <v/>
      </c>
    </row>
    <row r="1154" customFormat="false" ht="15" hidden="false" customHeight="false" outlineLevel="0" collapsed="false">
      <c r="A1154" s="33" t="str">
        <f aca="false">IF($G1154="","","Internal Audit Group")</f>
        <v/>
      </c>
      <c r="B1154" s="19"/>
      <c r="C1154" s="19"/>
      <c r="D1154" s="19"/>
      <c r="E1154" s="19"/>
      <c r="F1154" s="19"/>
      <c r="G1154" s="19"/>
      <c r="H1154" s="19"/>
      <c r="I1154" s="19"/>
      <c r="J1154" s="19"/>
      <c r="K1154" s="19"/>
      <c r="L1154" s="19"/>
      <c r="M1154" s="19"/>
      <c r="N1154" s="19"/>
      <c r="O1154" s="19"/>
      <c r="P1154" s="19"/>
      <c r="Q1154" s="19"/>
      <c r="R1154" s="19"/>
      <c r="S1154" s="19"/>
      <c r="T1154" s="34" t="str">
        <f aca="false">IF($R1154="","",IFERROR(INDEX(DriverCategory,MATCH($R1154,DriverList,0)),"BAU"))</f>
        <v/>
      </c>
      <c r="U1154" s="34" t="str">
        <f aca="false">IF($R1154="","",IFERROR(INDEX(DriverRank,MATCH($R1154,DriverList,0)),99))</f>
        <v/>
      </c>
      <c r="V1154" s="35" t="n">
        <f aca="false">IF($H1154="",0,IFERROR(INDEX(LevelBasic,MATCH($H1154,LevelList,0))+INDEX(LevelHousing,MATCH($H1154,LevelList,0))+INDEX(LevelTransport,MATCH($H1154,LevelList,0))+INDEX(LevelBasic,MATCH($H1154,LevelList,0))*INDEX(LevelBonus,MATCH($H1154,LevelList,0))+(INDEX(LevelBasic,MATCH($H1154,LevelList,0))+INDEX(LevelHousing,MATCH($H1154,LevelList,0)))*GosiSaudi,0))</f>
        <v>0</v>
      </c>
      <c r="W1154" s="35" t="n">
        <f aca="false">IFERROR(INDEX(LevelOneOff,MATCH($H1154,LevelList,0)),0)</f>
        <v>0</v>
      </c>
      <c r="X1154" s="35" t="str">
        <f aca="false">IF($G1154="","",$V1154*N($L1154))</f>
        <v/>
      </c>
      <c r="Y1154" s="35" t="str">
        <f aca="false">IF($G1154="","",$V1154*(N($M1154)*1+N($N1154)*0.75+N($O1154)*0.5+N($P1154)*0.25)+$W1154*N($L1154))</f>
        <v/>
      </c>
      <c r="Z1154" s="35" t="str">
        <f aca="false">IF($G1154="","",$U1154*1000000+ROW())</f>
        <v/>
      </c>
      <c r="AA1154" s="36" t="str">
        <f aca="false">IF($G1154="","",MID(IF($C1154="",", no division","")&amp;IF($E1154="",", no unit","")&amp;IF($H1154="",", no career level","")&amp;IF(N($L1154)&lt;=0,", no quarter split","")&amp;IF($R1154="",", no driver","")&amp;IF(AND($H1154&lt;&gt;"",COUNTIF(CareerLevels,$H1154)=0),", a career level that is not on the ladder","")&amp;IF(AND($R1154&lt;&gt;"",COUNTIF(DriverList,$R1154)=0),", a driver that is not on the list","")&amp;IF(ABS(N($L1154)-(N($M1154)+N($N1154)+N($O1154)+N($P1154)))&gt;0.001,", a total that does not match its quarters",""),3,300))</f>
        <v/>
      </c>
    </row>
    <row r="1155" customFormat="false" ht="15" hidden="false" customHeight="false" outlineLevel="0" collapsed="false">
      <c r="A1155" s="33" t="str">
        <f aca="false">IF($G1155="","","Internal Audit Group")</f>
        <v/>
      </c>
      <c r="B1155" s="19"/>
      <c r="C1155" s="19"/>
      <c r="D1155" s="19"/>
      <c r="E1155" s="19"/>
      <c r="F1155" s="19"/>
      <c r="G1155" s="19"/>
      <c r="H1155" s="19"/>
      <c r="I1155" s="19"/>
      <c r="J1155" s="19"/>
      <c r="K1155" s="19"/>
      <c r="L1155" s="19"/>
      <c r="M1155" s="19"/>
      <c r="N1155" s="19"/>
      <c r="O1155" s="19"/>
      <c r="P1155" s="19"/>
      <c r="Q1155" s="19"/>
      <c r="R1155" s="19"/>
      <c r="S1155" s="19"/>
      <c r="T1155" s="34" t="str">
        <f aca="false">IF($R1155="","",IFERROR(INDEX(DriverCategory,MATCH($R1155,DriverList,0)),"BAU"))</f>
        <v/>
      </c>
      <c r="U1155" s="34" t="str">
        <f aca="false">IF($R1155="","",IFERROR(INDEX(DriverRank,MATCH($R1155,DriverList,0)),99))</f>
        <v/>
      </c>
      <c r="V1155" s="35" t="n">
        <f aca="false">IF($H1155="",0,IFERROR(INDEX(LevelBasic,MATCH($H1155,LevelList,0))+INDEX(LevelHousing,MATCH($H1155,LevelList,0))+INDEX(LevelTransport,MATCH($H1155,LevelList,0))+INDEX(LevelBasic,MATCH($H1155,LevelList,0))*INDEX(LevelBonus,MATCH($H1155,LevelList,0))+(INDEX(LevelBasic,MATCH($H1155,LevelList,0))+INDEX(LevelHousing,MATCH($H1155,LevelList,0)))*GosiSaudi,0))</f>
        <v>0</v>
      </c>
      <c r="W1155" s="35" t="n">
        <f aca="false">IFERROR(INDEX(LevelOneOff,MATCH($H1155,LevelList,0)),0)</f>
        <v>0</v>
      </c>
      <c r="X1155" s="35" t="str">
        <f aca="false">IF($G1155="","",$V1155*N($L1155))</f>
        <v/>
      </c>
      <c r="Y1155" s="35" t="str">
        <f aca="false">IF($G1155="","",$V1155*(N($M1155)*1+N($N1155)*0.75+N($O1155)*0.5+N($P1155)*0.25)+$W1155*N($L1155))</f>
        <v/>
      </c>
      <c r="Z1155" s="35" t="str">
        <f aca="false">IF($G1155="","",$U1155*1000000+ROW())</f>
        <v/>
      </c>
      <c r="AA1155" s="36" t="str">
        <f aca="false">IF($G1155="","",MID(IF($C1155="",", no division","")&amp;IF($E1155="",", no unit","")&amp;IF($H1155="",", no career level","")&amp;IF(N($L1155)&lt;=0,", no quarter split","")&amp;IF($R1155="",", no driver","")&amp;IF(AND($H1155&lt;&gt;"",COUNTIF(CareerLevels,$H1155)=0),", a career level that is not on the ladder","")&amp;IF(AND($R1155&lt;&gt;"",COUNTIF(DriverList,$R1155)=0),", a driver that is not on the list","")&amp;IF(ABS(N($L1155)-(N($M1155)+N($N1155)+N($O1155)+N($P1155)))&gt;0.001,", a total that does not match its quarters",""),3,300))</f>
        <v/>
      </c>
    </row>
    <row r="1156" customFormat="false" ht="15" hidden="false" customHeight="false" outlineLevel="0" collapsed="false">
      <c r="A1156" s="33" t="str">
        <f aca="false">IF($G1156="","","Internal Audit Group")</f>
        <v/>
      </c>
      <c r="B1156" s="19"/>
      <c r="C1156" s="19"/>
      <c r="D1156" s="19"/>
      <c r="E1156" s="19"/>
      <c r="F1156" s="19"/>
      <c r="G1156" s="19"/>
      <c r="H1156" s="19"/>
      <c r="I1156" s="19"/>
      <c r="J1156" s="19"/>
      <c r="K1156" s="19"/>
      <c r="L1156" s="19"/>
      <c r="M1156" s="19"/>
      <c r="N1156" s="19"/>
      <c r="O1156" s="19"/>
      <c r="P1156" s="19"/>
      <c r="Q1156" s="19"/>
      <c r="R1156" s="19"/>
      <c r="S1156" s="19"/>
      <c r="T1156" s="34" t="str">
        <f aca="false">IF($R1156="","",IFERROR(INDEX(DriverCategory,MATCH($R1156,DriverList,0)),"BAU"))</f>
        <v/>
      </c>
      <c r="U1156" s="34" t="str">
        <f aca="false">IF($R1156="","",IFERROR(INDEX(DriverRank,MATCH($R1156,DriverList,0)),99))</f>
        <v/>
      </c>
      <c r="V1156" s="35" t="n">
        <f aca="false">IF($H1156="",0,IFERROR(INDEX(LevelBasic,MATCH($H1156,LevelList,0))+INDEX(LevelHousing,MATCH($H1156,LevelList,0))+INDEX(LevelTransport,MATCH($H1156,LevelList,0))+INDEX(LevelBasic,MATCH($H1156,LevelList,0))*INDEX(LevelBonus,MATCH($H1156,LevelList,0))+(INDEX(LevelBasic,MATCH($H1156,LevelList,0))+INDEX(LevelHousing,MATCH($H1156,LevelList,0)))*GosiSaudi,0))</f>
        <v>0</v>
      </c>
      <c r="W1156" s="35" t="n">
        <f aca="false">IFERROR(INDEX(LevelOneOff,MATCH($H1156,LevelList,0)),0)</f>
        <v>0</v>
      </c>
      <c r="X1156" s="35" t="str">
        <f aca="false">IF($G1156="","",$V1156*N($L1156))</f>
        <v/>
      </c>
      <c r="Y1156" s="35" t="str">
        <f aca="false">IF($G1156="","",$V1156*(N($M1156)*1+N($N1156)*0.75+N($O1156)*0.5+N($P1156)*0.25)+$W1156*N($L1156))</f>
        <v/>
      </c>
      <c r="Z1156" s="35" t="str">
        <f aca="false">IF($G1156="","",$U1156*1000000+ROW())</f>
        <v/>
      </c>
      <c r="AA1156" s="36" t="str">
        <f aca="false">IF($G1156="","",MID(IF($C1156="",", no division","")&amp;IF($E1156="",", no unit","")&amp;IF($H1156="",", no career level","")&amp;IF(N($L1156)&lt;=0,", no quarter split","")&amp;IF($R1156="",", no driver","")&amp;IF(AND($H1156&lt;&gt;"",COUNTIF(CareerLevels,$H1156)=0),", a career level that is not on the ladder","")&amp;IF(AND($R1156&lt;&gt;"",COUNTIF(DriverList,$R1156)=0),", a driver that is not on the list","")&amp;IF(ABS(N($L1156)-(N($M1156)+N($N1156)+N($O1156)+N($P1156)))&gt;0.001,", a total that does not match its quarters",""),3,300))</f>
        <v/>
      </c>
    </row>
    <row r="1157" customFormat="false" ht="15" hidden="false" customHeight="false" outlineLevel="0" collapsed="false">
      <c r="A1157" s="33" t="str">
        <f aca="false">IF($G1157="","","Internal Audit Group")</f>
        <v/>
      </c>
      <c r="B1157" s="19"/>
      <c r="C1157" s="19"/>
      <c r="D1157" s="19"/>
      <c r="E1157" s="19"/>
      <c r="F1157" s="19"/>
      <c r="G1157" s="19"/>
      <c r="H1157" s="19"/>
      <c r="I1157" s="19"/>
      <c r="J1157" s="19"/>
      <c r="K1157" s="19"/>
      <c r="L1157" s="19"/>
      <c r="M1157" s="19"/>
      <c r="N1157" s="19"/>
      <c r="O1157" s="19"/>
      <c r="P1157" s="19"/>
      <c r="Q1157" s="19"/>
      <c r="R1157" s="19"/>
      <c r="S1157" s="19"/>
      <c r="T1157" s="34" t="str">
        <f aca="false">IF($R1157="","",IFERROR(INDEX(DriverCategory,MATCH($R1157,DriverList,0)),"BAU"))</f>
        <v/>
      </c>
      <c r="U1157" s="34" t="str">
        <f aca="false">IF($R1157="","",IFERROR(INDEX(DriverRank,MATCH($R1157,DriverList,0)),99))</f>
        <v/>
      </c>
      <c r="V1157" s="35" t="n">
        <f aca="false">IF($H1157="",0,IFERROR(INDEX(LevelBasic,MATCH($H1157,LevelList,0))+INDEX(LevelHousing,MATCH($H1157,LevelList,0))+INDEX(LevelTransport,MATCH($H1157,LevelList,0))+INDEX(LevelBasic,MATCH($H1157,LevelList,0))*INDEX(LevelBonus,MATCH($H1157,LevelList,0))+(INDEX(LevelBasic,MATCH($H1157,LevelList,0))+INDEX(LevelHousing,MATCH($H1157,LevelList,0)))*GosiSaudi,0))</f>
        <v>0</v>
      </c>
      <c r="W1157" s="35" t="n">
        <f aca="false">IFERROR(INDEX(LevelOneOff,MATCH($H1157,LevelList,0)),0)</f>
        <v>0</v>
      </c>
      <c r="X1157" s="35" t="str">
        <f aca="false">IF($G1157="","",$V1157*N($L1157))</f>
        <v/>
      </c>
      <c r="Y1157" s="35" t="str">
        <f aca="false">IF($G1157="","",$V1157*(N($M1157)*1+N($N1157)*0.75+N($O1157)*0.5+N($P1157)*0.25)+$W1157*N($L1157))</f>
        <v/>
      </c>
      <c r="Z1157" s="35" t="str">
        <f aca="false">IF($G1157="","",$U1157*1000000+ROW())</f>
        <v/>
      </c>
      <c r="AA1157" s="36" t="str">
        <f aca="false">IF($G1157="","",MID(IF($C1157="",", no division","")&amp;IF($E1157="",", no unit","")&amp;IF($H1157="",", no career level","")&amp;IF(N($L1157)&lt;=0,", no quarter split","")&amp;IF($R1157="",", no driver","")&amp;IF(AND($H1157&lt;&gt;"",COUNTIF(CareerLevels,$H1157)=0),", a career level that is not on the ladder","")&amp;IF(AND($R1157&lt;&gt;"",COUNTIF(DriverList,$R1157)=0),", a driver that is not on the list","")&amp;IF(ABS(N($L1157)-(N($M1157)+N($N1157)+N($O1157)+N($P1157)))&gt;0.001,", a total that does not match its quarters",""),3,300))</f>
        <v/>
      </c>
    </row>
    <row r="1158" customFormat="false" ht="15" hidden="false" customHeight="false" outlineLevel="0" collapsed="false">
      <c r="A1158" s="33" t="str">
        <f aca="false">IF($G1158="","","Internal Audit Group")</f>
        <v/>
      </c>
      <c r="B1158" s="19"/>
      <c r="C1158" s="19"/>
      <c r="D1158" s="19"/>
      <c r="E1158" s="19"/>
      <c r="F1158" s="19"/>
      <c r="G1158" s="19"/>
      <c r="H1158" s="19"/>
      <c r="I1158" s="19"/>
      <c r="J1158" s="19"/>
      <c r="K1158" s="19"/>
      <c r="L1158" s="19"/>
      <c r="M1158" s="19"/>
      <c r="N1158" s="19"/>
      <c r="O1158" s="19"/>
      <c r="P1158" s="19"/>
      <c r="Q1158" s="19"/>
      <c r="R1158" s="19"/>
      <c r="S1158" s="19"/>
      <c r="T1158" s="34" t="str">
        <f aca="false">IF($R1158="","",IFERROR(INDEX(DriverCategory,MATCH($R1158,DriverList,0)),"BAU"))</f>
        <v/>
      </c>
      <c r="U1158" s="34" t="str">
        <f aca="false">IF($R1158="","",IFERROR(INDEX(DriverRank,MATCH($R1158,DriverList,0)),99))</f>
        <v/>
      </c>
      <c r="V1158" s="35" t="n">
        <f aca="false">IF($H1158="",0,IFERROR(INDEX(LevelBasic,MATCH($H1158,LevelList,0))+INDEX(LevelHousing,MATCH($H1158,LevelList,0))+INDEX(LevelTransport,MATCH($H1158,LevelList,0))+INDEX(LevelBasic,MATCH($H1158,LevelList,0))*INDEX(LevelBonus,MATCH($H1158,LevelList,0))+(INDEX(LevelBasic,MATCH($H1158,LevelList,0))+INDEX(LevelHousing,MATCH($H1158,LevelList,0)))*GosiSaudi,0))</f>
        <v>0</v>
      </c>
      <c r="W1158" s="35" t="n">
        <f aca="false">IFERROR(INDEX(LevelOneOff,MATCH($H1158,LevelList,0)),0)</f>
        <v>0</v>
      </c>
      <c r="X1158" s="35" t="str">
        <f aca="false">IF($G1158="","",$V1158*N($L1158))</f>
        <v/>
      </c>
      <c r="Y1158" s="35" t="str">
        <f aca="false">IF($G1158="","",$V1158*(N($M1158)*1+N($N1158)*0.75+N($O1158)*0.5+N($P1158)*0.25)+$W1158*N($L1158))</f>
        <v/>
      </c>
      <c r="Z1158" s="35" t="str">
        <f aca="false">IF($G1158="","",$U1158*1000000+ROW())</f>
        <v/>
      </c>
      <c r="AA1158" s="36" t="str">
        <f aca="false">IF($G1158="","",MID(IF($C1158="",", no division","")&amp;IF($E1158="",", no unit","")&amp;IF($H1158="",", no career level","")&amp;IF(N($L1158)&lt;=0,", no quarter split","")&amp;IF($R1158="",", no driver","")&amp;IF(AND($H1158&lt;&gt;"",COUNTIF(CareerLevels,$H1158)=0),", a career level that is not on the ladder","")&amp;IF(AND($R1158&lt;&gt;"",COUNTIF(DriverList,$R1158)=0),", a driver that is not on the list","")&amp;IF(ABS(N($L1158)-(N($M1158)+N($N1158)+N($O1158)+N($P1158)))&gt;0.001,", a total that does not match its quarters",""),3,300))</f>
        <v/>
      </c>
    </row>
    <row r="1159" customFormat="false" ht="15" hidden="false" customHeight="false" outlineLevel="0" collapsed="false">
      <c r="A1159" s="33" t="str">
        <f aca="false">IF($G1159="","","Internal Audit Group")</f>
        <v/>
      </c>
      <c r="B1159" s="19"/>
      <c r="C1159" s="19"/>
      <c r="D1159" s="19"/>
      <c r="E1159" s="19"/>
      <c r="F1159" s="19"/>
      <c r="G1159" s="19"/>
      <c r="H1159" s="19"/>
      <c r="I1159" s="19"/>
      <c r="J1159" s="19"/>
      <c r="K1159" s="19"/>
      <c r="L1159" s="19"/>
      <c r="M1159" s="19"/>
      <c r="N1159" s="19"/>
      <c r="O1159" s="19"/>
      <c r="P1159" s="19"/>
      <c r="Q1159" s="19"/>
      <c r="R1159" s="19"/>
      <c r="S1159" s="19"/>
      <c r="T1159" s="34" t="str">
        <f aca="false">IF($R1159="","",IFERROR(INDEX(DriverCategory,MATCH($R1159,DriverList,0)),"BAU"))</f>
        <v/>
      </c>
      <c r="U1159" s="34" t="str">
        <f aca="false">IF($R1159="","",IFERROR(INDEX(DriverRank,MATCH($R1159,DriverList,0)),99))</f>
        <v/>
      </c>
      <c r="V1159" s="35" t="n">
        <f aca="false">IF($H1159="",0,IFERROR(INDEX(LevelBasic,MATCH($H1159,LevelList,0))+INDEX(LevelHousing,MATCH($H1159,LevelList,0))+INDEX(LevelTransport,MATCH($H1159,LevelList,0))+INDEX(LevelBasic,MATCH($H1159,LevelList,0))*INDEX(LevelBonus,MATCH($H1159,LevelList,0))+(INDEX(LevelBasic,MATCH($H1159,LevelList,0))+INDEX(LevelHousing,MATCH($H1159,LevelList,0)))*GosiSaudi,0))</f>
        <v>0</v>
      </c>
      <c r="W1159" s="35" t="n">
        <f aca="false">IFERROR(INDEX(LevelOneOff,MATCH($H1159,LevelList,0)),0)</f>
        <v>0</v>
      </c>
      <c r="X1159" s="35" t="str">
        <f aca="false">IF($G1159="","",$V1159*N($L1159))</f>
        <v/>
      </c>
      <c r="Y1159" s="35" t="str">
        <f aca="false">IF($G1159="","",$V1159*(N($M1159)*1+N($N1159)*0.75+N($O1159)*0.5+N($P1159)*0.25)+$W1159*N($L1159))</f>
        <v/>
      </c>
      <c r="Z1159" s="35" t="str">
        <f aca="false">IF($G1159="","",$U1159*1000000+ROW())</f>
        <v/>
      </c>
      <c r="AA1159" s="36" t="str">
        <f aca="false">IF($G1159="","",MID(IF($C1159="",", no division","")&amp;IF($E1159="",", no unit","")&amp;IF($H1159="",", no career level","")&amp;IF(N($L1159)&lt;=0,", no quarter split","")&amp;IF($R1159="",", no driver","")&amp;IF(AND($H1159&lt;&gt;"",COUNTIF(CareerLevels,$H1159)=0),", a career level that is not on the ladder","")&amp;IF(AND($R1159&lt;&gt;"",COUNTIF(DriverList,$R1159)=0),", a driver that is not on the list","")&amp;IF(ABS(N($L1159)-(N($M1159)+N($N1159)+N($O1159)+N($P1159)))&gt;0.001,", a total that does not match its quarters",""),3,300))</f>
        <v/>
      </c>
    </row>
    <row r="1160" customFormat="false" ht="15" hidden="false" customHeight="false" outlineLevel="0" collapsed="false">
      <c r="A1160" s="33" t="str">
        <f aca="false">IF($G1160="","","Internal Audit Group")</f>
        <v/>
      </c>
      <c r="B1160" s="19"/>
      <c r="C1160" s="19"/>
      <c r="D1160" s="19"/>
      <c r="E1160" s="19"/>
      <c r="F1160" s="19"/>
      <c r="G1160" s="19"/>
      <c r="H1160" s="19"/>
      <c r="I1160" s="19"/>
      <c r="J1160" s="19"/>
      <c r="K1160" s="19"/>
      <c r="L1160" s="19"/>
      <c r="M1160" s="19"/>
      <c r="N1160" s="19"/>
      <c r="O1160" s="19"/>
      <c r="P1160" s="19"/>
      <c r="Q1160" s="19"/>
      <c r="R1160" s="19"/>
      <c r="S1160" s="19"/>
      <c r="T1160" s="34" t="str">
        <f aca="false">IF($R1160="","",IFERROR(INDEX(DriverCategory,MATCH($R1160,DriverList,0)),"BAU"))</f>
        <v/>
      </c>
      <c r="U1160" s="34" t="str">
        <f aca="false">IF($R1160="","",IFERROR(INDEX(DriverRank,MATCH($R1160,DriverList,0)),99))</f>
        <v/>
      </c>
      <c r="V1160" s="35" t="n">
        <f aca="false">IF($H1160="",0,IFERROR(INDEX(LevelBasic,MATCH($H1160,LevelList,0))+INDEX(LevelHousing,MATCH($H1160,LevelList,0))+INDEX(LevelTransport,MATCH($H1160,LevelList,0))+INDEX(LevelBasic,MATCH($H1160,LevelList,0))*INDEX(LevelBonus,MATCH($H1160,LevelList,0))+(INDEX(LevelBasic,MATCH($H1160,LevelList,0))+INDEX(LevelHousing,MATCH($H1160,LevelList,0)))*GosiSaudi,0))</f>
        <v>0</v>
      </c>
      <c r="W1160" s="35" t="n">
        <f aca="false">IFERROR(INDEX(LevelOneOff,MATCH($H1160,LevelList,0)),0)</f>
        <v>0</v>
      </c>
      <c r="X1160" s="35" t="str">
        <f aca="false">IF($G1160="","",$V1160*N($L1160))</f>
        <v/>
      </c>
      <c r="Y1160" s="35" t="str">
        <f aca="false">IF($G1160="","",$V1160*(N($M1160)*1+N($N1160)*0.75+N($O1160)*0.5+N($P1160)*0.25)+$W1160*N($L1160))</f>
        <v/>
      </c>
      <c r="Z1160" s="35" t="str">
        <f aca="false">IF($G1160="","",$U1160*1000000+ROW())</f>
        <v/>
      </c>
      <c r="AA1160" s="36" t="str">
        <f aca="false">IF($G1160="","",MID(IF($C1160="",", no division","")&amp;IF($E1160="",", no unit","")&amp;IF($H1160="",", no career level","")&amp;IF(N($L1160)&lt;=0,", no quarter split","")&amp;IF($R1160="",", no driver","")&amp;IF(AND($H1160&lt;&gt;"",COUNTIF(CareerLevels,$H1160)=0),", a career level that is not on the ladder","")&amp;IF(AND($R1160&lt;&gt;"",COUNTIF(DriverList,$R1160)=0),", a driver that is not on the list","")&amp;IF(ABS(N($L1160)-(N($M1160)+N($N1160)+N($O1160)+N($P1160)))&gt;0.001,", a total that does not match its quarters",""),3,300))</f>
        <v/>
      </c>
    </row>
    <row r="1161" customFormat="false" ht="15" hidden="false" customHeight="false" outlineLevel="0" collapsed="false">
      <c r="A1161" s="33" t="str">
        <f aca="false">IF($G1161="","","Internal Audit Group")</f>
        <v/>
      </c>
      <c r="B1161" s="19"/>
      <c r="C1161" s="19"/>
      <c r="D1161" s="19"/>
      <c r="E1161" s="19"/>
      <c r="F1161" s="19"/>
      <c r="G1161" s="19"/>
      <c r="H1161" s="19"/>
      <c r="I1161" s="19"/>
      <c r="J1161" s="19"/>
      <c r="K1161" s="19"/>
      <c r="L1161" s="19"/>
      <c r="M1161" s="19"/>
      <c r="N1161" s="19"/>
      <c r="O1161" s="19"/>
      <c r="P1161" s="19"/>
      <c r="Q1161" s="19"/>
      <c r="R1161" s="19"/>
      <c r="S1161" s="19"/>
      <c r="T1161" s="34" t="str">
        <f aca="false">IF($R1161="","",IFERROR(INDEX(DriverCategory,MATCH($R1161,DriverList,0)),"BAU"))</f>
        <v/>
      </c>
      <c r="U1161" s="34" t="str">
        <f aca="false">IF($R1161="","",IFERROR(INDEX(DriverRank,MATCH($R1161,DriverList,0)),99))</f>
        <v/>
      </c>
      <c r="V1161" s="35" t="n">
        <f aca="false">IF($H1161="",0,IFERROR(INDEX(LevelBasic,MATCH($H1161,LevelList,0))+INDEX(LevelHousing,MATCH($H1161,LevelList,0))+INDEX(LevelTransport,MATCH($H1161,LevelList,0))+INDEX(LevelBasic,MATCH($H1161,LevelList,0))*INDEX(LevelBonus,MATCH($H1161,LevelList,0))+(INDEX(LevelBasic,MATCH($H1161,LevelList,0))+INDEX(LevelHousing,MATCH($H1161,LevelList,0)))*GosiSaudi,0))</f>
        <v>0</v>
      </c>
      <c r="W1161" s="35" t="n">
        <f aca="false">IFERROR(INDEX(LevelOneOff,MATCH($H1161,LevelList,0)),0)</f>
        <v>0</v>
      </c>
      <c r="X1161" s="35" t="str">
        <f aca="false">IF($G1161="","",$V1161*N($L1161))</f>
        <v/>
      </c>
      <c r="Y1161" s="35" t="str">
        <f aca="false">IF($G1161="","",$V1161*(N($M1161)*1+N($N1161)*0.75+N($O1161)*0.5+N($P1161)*0.25)+$W1161*N($L1161))</f>
        <v/>
      </c>
      <c r="Z1161" s="35" t="str">
        <f aca="false">IF($G1161="","",$U1161*1000000+ROW())</f>
        <v/>
      </c>
      <c r="AA1161" s="36" t="str">
        <f aca="false">IF($G1161="","",MID(IF($C1161="",", no division","")&amp;IF($E1161="",", no unit","")&amp;IF($H1161="",", no career level","")&amp;IF(N($L1161)&lt;=0,", no quarter split","")&amp;IF($R1161="",", no driver","")&amp;IF(AND($H1161&lt;&gt;"",COUNTIF(CareerLevels,$H1161)=0),", a career level that is not on the ladder","")&amp;IF(AND($R1161&lt;&gt;"",COUNTIF(DriverList,$R1161)=0),", a driver that is not on the list","")&amp;IF(ABS(N($L1161)-(N($M1161)+N($N1161)+N($O1161)+N($P1161)))&gt;0.001,", a total that does not match its quarters",""),3,300))</f>
        <v/>
      </c>
    </row>
    <row r="1162" customFormat="false" ht="15" hidden="false" customHeight="false" outlineLevel="0" collapsed="false">
      <c r="A1162" s="33" t="str">
        <f aca="false">IF($G1162="","","Internal Audit Group")</f>
        <v/>
      </c>
      <c r="B1162" s="19"/>
      <c r="C1162" s="19"/>
      <c r="D1162" s="19"/>
      <c r="E1162" s="19"/>
      <c r="F1162" s="19"/>
      <c r="G1162" s="19"/>
      <c r="H1162" s="19"/>
      <c r="I1162" s="19"/>
      <c r="J1162" s="19"/>
      <c r="K1162" s="19"/>
      <c r="L1162" s="19"/>
      <c r="M1162" s="19"/>
      <c r="N1162" s="19"/>
      <c r="O1162" s="19"/>
      <c r="P1162" s="19"/>
      <c r="Q1162" s="19"/>
      <c r="R1162" s="19"/>
      <c r="S1162" s="19"/>
      <c r="T1162" s="34" t="str">
        <f aca="false">IF($R1162="","",IFERROR(INDEX(DriverCategory,MATCH($R1162,DriverList,0)),"BAU"))</f>
        <v/>
      </c>
      <c r="U1162" s="34" t="str">
        <f aca="false">IF($R1162="","",IFERROR(INDEX(DriverRank,MATCH($R1162,DriverList,0)),99))</f>
        <v/>
      </c>
      <c r="V1162" s="35" t="n">
        <f aca="false">IF($H1162="",0,IFERROR(INDEX(LevelBasic,MATCH($H1162,LevelList,0))+INDEX(LevelHousing,MATCH($H1162,LevelList,0))+INDEX(LevelTransport,MATCH($H1162,LevelList,0))+INDEX(LevelBasic,MATCH($H1162,LevelList,0))*INDEX(LevelBonus,MATCH($H1162,LevelList,0))+(INDEX(LevelBasic,MATCH($H1162,LevelList,0))+INDEX(LevelHousing,MATCH($H1162,LevelList,0)))*GosiSaudi,0))</f>
        <v>0</v>
      </c>
      <c r="W1162" s="35" t="n">
        <f aca="false">IFERROR(INDEX(LevelOneOff,MATCH($H1162,LevelList,0)),0)</f>
        <v>0</v>
      </c>
      <c r="X1162" s="35" t="str">
        <f aca="false">IF($G1162="","",$V1162*N($L1162))</f>
        <v/>
      </c>
      <c r="Y1162" s="35" t="str">
        <f aca="false">IF($G1162="","",$V1162*(N($M1162)*1+N($N1162)*0.75+N($O1162)*0.5+N($P1162)*0.25)+$W1162*N($L1162))</f>
        <v/>
      </c>
      <c r="Z1162" s="35" t="str">
        <f aca="false">IF($G1162="","",$U1162*1000000+ROW())</f>
        <v/>
      </c>
      <c r="AA1162" s="36" t="str">
        <f aca="false">IF($G1162="","",MID(IF($C1162="",", no division","")&amp;IF($E1162="",", no unit","")&amp;IF($H1162="",", no career level","")&amp;IF(N($L1162)&lt;=0,", no quarter split","")&amp;IF($R1162="",", no driver","")&amp;IF(AND($H1162&lt;&gt;"",COUNTIF(CareerLevels,$H1162)=0),", a career level that is not on the ladder","")&amp;IF(AND($R1162&lt;&gt;"",COUNTIF(DriverList,$R1162)=0),", a driver that is not on the list","")&amp;IF(ABS(N($L1162)-(N($M1162)+N($N1162)+N($O1162)+N($P1162)))&gt;0.001,", a total that does not match its quarters",""),3,300))</f>
        <v/>
      </c>
    </row>
    <row r="1163" customFormat="false" ht="15" hidden="false" customHeight="false" outlineLevel="0" collapsed="false">
      <c r="A1163" s="33" t="str">
        <f aca="false">IF($G1163="","","Internal Audit Group")</f>
        <v/>
      </c>
      <c r="B1163" s="19"/>
      <c r="C1163" s="19"/>
      <c r="D1163" s="19"/>
      <c r="E1163" s="19"/>
      <c r="F1163" s="19"/>
      <c r="G1163" s="19"/>
      <c r="H1163" s="19"/>
      <c r="I1163" s="19"/>
      <c r="J1163" s="19"/>
      <c r="K1163" s="19"/>
      <c r="L1163" s="19"/>
      <c r="M1163" s="19"/>
      <c r="N1163" s="19"/>
      <c r="O1163" s="19"/>
      <c r="P1163" s="19"/>
      <c r="Q1163" s="19"/>
      <c r="R1163" s="19"/>
      <c r="S1163" s="19"/>
      <c r="T1163" s="34" t="str">
        <f aca="false">IF($R1163="","",IFERROR(INDEX(DriverCategory,MATCH($R1163,DriverList,0)),"BAU"))</f>
        <v/>
      </c>
      <c r="U1163" s="34" t="str">
        <f aca="false">IF($R1163="","",IFERROR(INDEX(DriverRank,MATCH($R1163,DriverList,0)),99))</f>
        <v/>
      </c>
      <c r="V1163" s="35" t="n">
        <f aca="false">IF($H1163="",0,IFERROR(INDEX(LevelBasic,MATCH($H1163,LevelList,0))+INDEX(LevelHousing,MATCH($H1163,LevelList,0))+INDEX(LevelTransport,MATCH($H1163,LevelList,0))+INDEX(LevelBasic,MATCH($H1163,LevelList,0))*INDEX(LevelBonus,MATCH($H1163,LevelList,0))+(INDEX(LevelBasic,MATCH($H1163,LevelList,0))+INDEX(LevelHousing,MATCH($H1163,LevelList,0)))*GosiSaudi,0))</f>
        <v>0</v>
      </c>
      <c r="W1163" s="35" t="n">
        <f aca="false">IFERROR(INDEX(LevelOneOff,MATCH($H1163,LevelList,0)),0)</f>
        <v>0</v>
      </c>
      <c r="X1163" s="35" t="str">
        <f aca="false">IF($G1163="","",$V1163*N($L1163))</f>
        <v/>
      </c>
      <c r="Y1163" s="35" t="str">
        <f aca="false">IF($G1163="","",$V1163*(N($M1163)*1+N($N1163)*0.75+N($O1163)*0.5+N($P1163)*0.25)+$W1163*N($L1163))</f>
        <v/>
      </c>
      <c r="Z1163" s="35" t="str">
        <f aca="false">IF($G1163="","",$U1163*1000000+ROW())</f>
        <v/>
      </c>
      <c r="AA1163" s="36" t="str">
        <f aca="false">IF($G1163="","",MID(IF($C1163="",", no division","")&amp;IF($E1163="",", no unit","")&amp;IF($H1163="",", no career level","")&amp;IF(N($L1163)&lt;=0,", no quarter split","")&amp;IF($R1163="",", no driver","")&amp;IF(AND($H1163&lt;&gt;"",COUNTIF(CareerLevels,$H1163)=0),", a career level that is not on the ladder","")&amp;IF(AND($R1163&lt;&gt;"",COUNTIF(DriverList,$R1163)=0),", a driver that is not on the list","")&amp;IF(ABS(N($L1163)-(N($M1163)+N($N1163)+N($O1163)+N($P1163)))&gt;0.001,", a total that does not match its quarters",""),3,300))</f>
        <v/>
      </c>
    </row>
    <row r="1164" customFormat="false" ht="15" hidden="false" customHeight="false" outlineLevel="0" collapsed="false">
      <c r="A1164" s="33" t="str">
        <f aca="false">IF($G1164="","","Internal Audit Group")</f>
        <v/>
      </c>
      <c r="B1164" s="19"/>
      <c r="C1164" s="19"/>
      <c r="D1164" s="19"/>
      <c r="E1164" s="19"/>
      <c r="F1164" s="19"/>
      <c r="G1164" s="19"/>
      <c r="H1164" s="19"/>
      <c r="I1164" s="19"/>
      <c r="J1164" s="19"/>
      <c r="K1164" s="19"/>
      <c r="L1164" s="19"/>
      <c r="M1164" s="19"/>
      <c r="N1164" s="19"/>
      <c r="O1164" s="19"/>
      <c r="P1164" s="19"/>
      <c r="Q1164" s="19"/>
      <c r="R1164" s="19"/>
      <c r="S1164" s="19"/>
      <c r="T1164" s="34" t="str">
        <f aca="false">IF($R1164="","",IFERROR(INDEX(DriverCategory,MATCH($R1164,DriverList,0)),"BAU"))</f>
        <v/>
      </c>
      <c r="U1164" s="34" t="str">
        <f aca="false">IF($R1164="","",IFERROR(INDEX(DriverRank,MATCH($R1164,DriverList,0)),99))</f>
        <v/>
      </c>
      <c r="V1164" s="35" t="n">
        <f aca="false">IF($H1164="",0,IFERROR(INDEX(LevelBasic,MATCH($H1164,LevelList,0))+INDEX(LevelHousing,MATCH($H1164,LevelList,0))+INDEX(LevelTransport,MATCH($H1164,LevelList,0))+INDEX(LevelBasic,MATCH($H1164,LevelList,0))*INDEX(LevelBonus,MATCH($H1164,LevelList,0))+(INDEX(LevelBasic,MATCH($H1164,LevelList,0))+INDEX(LevelHousing,MATCH($H1164,LevelList,0)))*GosiSaudi,0))</f>
        <v>0</v>
      </c>
      <c r="W1164" s="35" t="n">
        <f aca="false">IFERROR(INDEX(LevelOneOff,MATCH($H1164,LevelList,0)),0)</f>
        <v>0</v>
      </c>
      <c r="X1164" s="35" t="str">
        <f aca="false">IF($G1164="","",$V1164*N($L1164))</f>
        <v/>
      </c>
      <c r="Y1164" s="35" t="str">
        <f aca="false">IF($G1164="","",$V1164*(N($M1164)*1+N($N1164)*0.75+N($O1164)*0.5+N($P1164)*0.25)+$W1164*N($L1164))</f>
        <v/>
      </c>
      <c r="Z1164" s="35" t="str">
        <f aca="false">IF($G1164="","",$U1164*1000000+ROW())</f>
        <v/>
      </c>
      <c r="AA1164" s="36" t="str">
        <f aca="false">IF($G1164="","",MID(IF($C1164="",", no division","")&amp;IF($E1164="",", no unit","")&amp;IF($H1164="",", no career level","")&amp;IF(N($L1164)&lt;=0,", no quarter split","")&amp;IF($R1164="",", no driver","")&amp;IF(AND($H1164&lt;&gt;"",COUNTIF(CareerLevels,$H1164)=0),", a career level that is not on the ladder","")&amp;IF(AND($R1164&lt;&gt;"",COUNTIF(DriverList,$R1164)=0),", a driver that is not on the list","")&amp;IF(ABS(N($L1164)-(N($M1164)+N($N1164)+N($O1164)+N($P1164)))&gt;0.001,", a total that does not match its quarters",""),3,300))</f>
        <v/>
      </c>
    </row>
    <row r="1165" customFormat="false" ht="15" hidden="false" customHeight="false" outlineLevel="0" collapsed="false">
      <c r="A1165" s="33" t="str">
        <f aca="false">IF($G1165="","","Internal Audit Group")</f>
        <v/>
      </c>
      <c r="B1165" s="19"/>
      <c r="C1165" s="19"/>
      <c r="D1165" s="19"/>
      <c r="E1165" s="19"/>
      <c r="F1165" s="19"/>
      <c r="G1165" s="19"/>
      <c r="H1165" s="19"/>
      <c r="I1165" s="19"/>
      <c r="J1165" s="19"/>
      <c r="K1165" s="19"/>
      <c r="L1165" s="19"/>
      <c r="M1165" s="19"/>
      <c r="N1165" s="19"/>
      <c r="O1165" s="19"/>
      <c r="P1165" s="19"/>
      <c r="Q1165" s="19"/>
      <c r="R1165" s="19"/>
      <c r="S1165" s="19"/>
      <c r="T1165" s="34" t="str">
        <f aca="false">IF($R1165="","",IFERROR(INDEX(DriverCategory,MATCH($R1165,DriverList,0)),"BAU"))</f>
        <v/>
      </c>
      <c r="U1165" s="34" t="str">
        <f aca="false">IF($R1165="","",IFERROR(INDEX(DriverRank,MATCH($R1165,DriverList,0)),99))</f>
        <v/>
      </c>
      <c r="V1165" s="35" t="n">
        <f aca="false">IF($H1165="",0,IFERROR(INDEX(LevelBasic,MATCH($H1165,LevelList,0))+INDEX(LevelHousing,MATCH($H1165,LevelList,0))+INDEX(LevelTransport,MATCH($H1165,LevelList,0))+INDEX(LevelBasic,MATCH($H1165,LevelList,0))*INDEX(LevelBonus,MATCH($H1165,LevelList,0))+(INDEX(LevelBasic,MATCH($H1165,LevelList,0))+INDEX(LevelHousing,MATCH($H1165,LevelList,0)))*GosiSaudi,0))</f>
        <v>0</v>
      </c>
      <c r="W1165" s="35" t="n">
        <f aca="false">IFERROR(INDEX(LevelOneOff,MATCH($H1165,LevelList,0)),0)</f>
        <v>0</v>
      </c>
      <c r="X1165" s="35" t="str">
        <f aca="false">IF($G1165="","",$V1165*N($L1165))</f>
        <v/>
      </c>
      <c r="Y1165" s="35" t="str">
        <f aca="false">IF($G1165="","",$V1165*(N($M1165)*1+N($N1165)*0.75+N($O1165)*0.5+N($P1165)*0.25)+$W1165*N($L1165))</f>
        <v/>
      </c>
      <c r="Z1165" s="35" t="str">
        <f aca="false">IF($G1165="","",$U1165*1000000+ROW())</f>
        <v/>
      </c>
      <c r="AA1165" s="36" t="str">
        <f aca="false">IF($G1165="","",MID(IF($C1165="",", no division","")&amp;IF($E1165="",", no unit","")&amp;IF($H1165="",", no career level","")&amp;IF(N($L1165)&lt;=0,", no quarter split","")&amp;IF($R1165="",", no driver","")&amp;IF(AND($H1165&lt;&gt;"",COUNTIF(CareerLevels,$H1165)=0),", a career level that is not on the ladder","")&amp;IF(AND($R1165&lt;&gt;"",COUNTIF(DriverList,$R1165)=0),", a driver that is not on the list","")&amp;IF(ABS(N($L1165)-(N($M1165)+N($N1165)+N($O1165)+N($P1165)))&gt;0.001,", a total that does not match its quarters",""),3,300))</f>
        <v/>
      </c>
    </row>
    <row r="1166" customFormat="false" ht="15" hidden="false" customHeight="false" outlineLevel="0" collapsed="false">
      <c r="A1166" s="33" t="str">
        <f aca="false">IF($G1166="","","Internal Audit Group")</f>
        <v/>
      </c>
      <c r="B1166" s="19"/>
      <c r="C1166" s="19"/>
      <c r="D1166" s="19"/>
      <c r="E1166" s="19"/>
      <c r="F1166" s="19"/>
      <c r="G1166" s="19"/>
      <c r="H1166" s="19"/>
      <c r="I1166" s="19"/>
      <c r="J1166" s="19"/>
      <c r="K1166" s="19"/>
      <c r="L1166" s="19"/>
      <c r="M1166" s="19"/>
      <c r="N1166" s="19"/>
      <c r="O1166" s="19"/>
      <c r="P1166" s="19"/>
      <c r="Q1166" s="19"/>
      <c r="R1166" s="19"/>
      <c r="S1166" s="19"/>
      <c r="T1166" s="34" t="str">
        <f aca="false">IF($R1166="","",IFERROR(INDEX(DriverCategory,MATCH($R1166,DriverList,0)),"BAU"))</f>
        <v/>
      </c>
      <c r="U1166" s="34" t="str">
        <f aca="false">IF($R1166="","",IFERROR(INDEX(DriverRank,MATCH($R1166,DriverList,0)),99))</f>
        <v/>
      </c>
      <c r="V1166" s="35" t="n">
        <f aca="false">IF($H1166="",0,IFERROR(INDEX(LevelBasic,MATCH($H1166,LevelList,0))+INDEX(LevelHousing,MATCH($H1166,LevelList,0))+INDEX(LevelTransport,MATCH($H1166,LevelList,0))+INDEX(LevelBasic,MATCH($H1166,LevelList,0))*INDEX(LevelBonus,MATCH($H1166,LevelList,0))+(INDEX(LevelBasic,MATCH($H1166,LevelList,0))+INDEX(LevelHousing,MATCH($H1166,LevelList,0)))*GosiSaudi,0))</f>
        <v>0</v>
      </c>
      <c r="W1166" s="35" t="n">
        <f aca="false">IFERROR(INDEX(LevelOneOff,MATCH($H1166,LevelList,0)),0)</f>
        <v>0</v>
      </c>
      <c r="X1166" s="35" t="str">
        <f aca="false">IF($G1166="","",$V1166*N($L1166))</f>
        <v/>
      </c>
      <c r="Y1166" s="35" t="str">
        <f aca="false">IF($G1166="","",$V1166*(N($M1166)*1+N($N1166)*0.75+N($O1166)*0.5+N($P1166)*0.25)+$W1166*N($L1166))</f>
        <v/>
      </c>
      <c r="Z1166" s="35" t="str">
        <f aca="false">IF($G1166="","",$U1166*1000000+ROW())</f>
        <v/>
      </c>
      <c r="AA1166" s="36" t="str">
        <f aca="false">IF($G1166="","",MID(IF($C1166="",", no division","")&amp;IF($E1166="",", no unit","")&amp;IF($H1166="",", no career level","")&amp;IF(N($L1166)&lt;=0,", no quarter split","")&amp;IF($R1166="",", no driver","")&amp;IF(AND($H1166&lt;&gt;"",COUNTIF(CareerLevels,$H1166)=0),", a career level that is not on the ladder","")&amp;IF(AND($R1166&lt;&gt;"",COUNTIF(DriverList,$R1166)=0),", a driver that is not on the list","")&amp;IF(ABS(N($L1166)-(N($M1166)+N($N1166)+N($O1166)+N($P1166)))&gt;0.001,", a total that does not match its quarters",""),3,300))</f>
        <v/>
      </c>
    </row>
    <row r="1167" customFormat="false" ht="15" hidden="false" customHeight="false" outlineLevel="0" collapsed="false">
      <c r="A1167" s="33" t="str">
        <f aca="false">IF($G1167="","","Internal Audit Group")</f>
        <v/>
      </c>
      <c r="B1167" s="19"/>
      <c r="C1167" s="19"/>
      <c r="D1167" s="19"/>
      <c r="E1167" s="19"/>
      <c r="F1167" s="19"/>
      <c r="G1167" s="19"/>
      <c r="H1167" s="19"/>
      <c r="I1167" s="19"/>
      <c r="J1167" s="19"/>
      <c r="K1167" s="19"/>
      <c r="L1167" s="19"/>
      <c r="M1167" s="19"/>
      <c r="N1167" s="19"/>
      <c r="O1167" s="19"/>
      <c r="P1167" s="19"/>
      <c r="Q1167" s="19"/>
      <c r="R1167" s="19"/>
      <c r="S1167" s="19"/>
      <c r="T1167" s="34" t="str">
        <f aca="false">IF($R1167="","",IFERROR(INDEX(DriverCategory,MATCH($R1167,DriverList,0)),"BAU"))</f>
        <v/>
      </c>
      <c r="U1167" s="34" t="str">
        <f aca="false">IF($R1167="","",IFERROR(INDEX(DriverRank,MATCH($R1167,DriverList,0)),99))</f>
        <v/>
      </c>
      <c r="V1167" s="35" t="n">
        <f aca="false">IF($H1167="",0,IFERROR(INDEX(LevelBasic,MATCH($H1167,LevelList,0))+INDEX(LevelHousing,MATCH($H1167,LevelList,0))+INDEX(LevelTransport,MATCH($H1167,LevelList,0))+INDEX(LevelBasic,MATCH($H1167,LevelList,0))*INDEX(LevelBonus,MATCH($H1167,LevelList,0))+(INDEX(LevelBasic,MATCH($H1167,LevelList,0))+INDEX(LevelHousing,MATCH($H1167,LevelList,0)))*GosiSaudi,0))</f>
        <v>0</v>
      </c>
      <c r="W1167" s="35" t="n">
        <f aca="false">IFERROR(INDEX(LevelOneOff,MATCH($H1167,LevelList,0)),0)</f>
        <v>0</v>
      </c>
      <c r="X1167" s="35" t="str">
        <f aca="false">IF($G1167="","",$V1167*N($L1167))</f>
        <v/>
      </c>
      <c r="Y1167" s="35" t="str">
        <f aca="false">IF($G1167="","",$V1167*(N($M1167)*1+N($N1167)*0.75+N($O1167)*0.5+N($P1167)*0.25)+$W1167*N($L1167))</f>
        <v/>
      </c>
      <c r="Z1167" s="35" t="str">
        <f aca="false">IF($G1167="","",$U1167*1000000+ROW())</f>
        <v/>
      </c>
      <c r="AA1167" s="36" t="str">
        <f aca="false">IF($G1167="","",MID(IF($C1167="",", no division","")&amp;IF($E1167="",", no unit","")&amp;IF($H1167="",", no career level","")&amp;IF(N($L1167)&lt;=0,", no quarter split","")&amp;IF($R1167="",", no driver","")&amp;IF(AND($H1167&lt;&gt;"",COUNTIF(CareerLevels,$H1167)=0),", a career level that is not on the ladder","")&amp;IF(AND($R1167&lt;&gt;"",COUNTIF(DriverList,$R1167)=0),", a driver that is not on the list","")&amp;IF(ABS(N($L1167)-(N($M1167)+N($N1167)+N($O1167)+N($P1167)))&gt;0.001,", a total that does not match its quarters",""),3,300))</f>
        <v/>
      </c>
    </row>
    <row r="1168" customFormat="false" ht="15" hidden="false" customHeight="false" outlineLevel="0" collapsed="false">
      <c r="A1168" s="33" t="str">
        <f aca="false">IF($G1168="","","Internal Audit Group")</f>
        <v/>
      </c>
      <c r="B1168" s="19"/>
      <c r="C1168" s="19"/>
      <c r="D1168" s="19"/>
      <c r="E1168" s="19"/>
      <c r="F1168" s="19"/>
      <c r="G1168" s="19"/>
      <c r="H1168" s="19"/>
      <c r="I1168" s="19"/>
      <c r="J1168" s="19"/>
      <c r="K1168" s="19"/>
      <c r="L1168" s="19"/>
      <c r="M1168" s="19"/>
      <c r="N1168" s="19"/>
      <c r="O1168" s="19"/>
      <c r="P1168" s="19"/>
      <c r="Q1168" s="19"/>
      <c r="R1168" s="19"/>
      <c r="S1168" s="19"/>
      <c r="T1168" s="34" t="str">
        <f aca="false">IF($R1168="","",IFERROR(INDEX(DriverCategory,MATCH($R1168,DriverList,0)),"BAU"))</f>
        <v/>
      </c>
      <c r="U1168" s="34" t="str">
        <f aca="false">IF($R1168="","",IFERROR(INDEX(DriverRank,MATCH($R1168,DriverList,0)),99))</f>
        <v/>
      </c>
      <c r="V1168" s="35" t="n">
        <f aca="false">IF($H1168="",0,IFERROR(INDEX(LevelBasic,MATCH($H1168,LevelList,0))+INDEX(LevelHousing,MATCH($H1168,LevelList,0))+INDEX(LevelTransport,MATCH($H1168,LevelList,0))+INDEX(LevelBasic,MATCH($H1168,LevelList,0))*INDEX(LevelBonus,MATCH($H1168,LevelList,0))+(INDEX(LevelBasic,MATCH($H1168,LevelList,0))+INDEX(LevelHousing,MATCH($H1168,LevelList,0)))*GosiSaudi,0))</f>
        <v>0</v>
      </c>
      <c r="W1168" s="35" t="n">
        <f aca="false">IFERROR(INDEX(LevelOneOff,MATCH($H1168,LevelList,0)),0)</f>
        <v>0</v>
      </c>
      <c r="X1168" s="35" t="str">
        <f aca="false">IF($G1168="","",$V1168*N($L1168))</f>
        <v/>
      </c>
      <c r="Y1168" s="35" t="str">
        <f aca="false">IF($G1168="","",$V1168*(N($M1168)*1+N($N1168)*0.75+N($O1168)*0.5+N($P1168)*0.25)+$W1168*N($L1168))</f>
        <v/>
      </c>
      <c r="Z1168" s="35" t="str">
        <f aca="false">IF($G1168="","",$U1168*1000000+ROW())</f>
        <v/>
      </c>
      <c r="AA1168" s="36" t="str">
        <f aca="false">IF($G1168="","",MID(IF($C1168="",", no division","")&amp;IF($E1168="",", no unit","")&amp;IF($H1168="",", no career level","")&amp;IF(N($L1168)&lt;=0,", no quarter split","")&amp;IF($R1168="",", no driver","")&amp;IF(AND($H1168&lt;&gt;"",COUNTIF(CareerLevels,$H1168)=0),", a career level that is not on the ladder","")&amp;IF(AND($R1168&lt;&gt;"",COUNTIF(DriverList,$R1168)=0),", a driver that is not on the list","")&amp;IF(ABS(N($L1168)-(N($M1168)+N($N1168)+N($O1168)+N($P1168)))&gt;0.001,", a total that does not match its quarters",""),3,300))</f>
        <v/>
      </c>
    </row>
    <row r="1169" customFormat="false" ht="15" hidden="false" customHeight="false" outlineLevel="0" collapsed="false">
      <c r="A1169" s="33" t="str">
        <f aca="false">IF($G1169="","","Internal Audit Group")</f>
        <v/>
      </c>
      <c r="B1169" s="19"/>
      <c r="C1169" s="19"/>
      <c r="D1169" s="19"/>
      <c r="E1169" s="19"/>
      <c r="F1169" s="19"/>
      <c r="G1169" s="19"/>
      <c r="H1169" s="19"/>
      <c r="I1169" s="19"/>
      <c r="J1169" s="19"/>
      <c r="K1169" s="19"/>
      <c r="L1169" s="19"/>
      <c r="M1169" s="19"/>
      <c r="N1169" s="19"/>
      <c r="O1169" s="19"/>
      <c r="P1169" s="19"/>
      <c r="Q1169" s="19"/>
      <c r="R1169" s="19"/>
      <c r="S1169" s="19"/>
      <c r="T1169" s="34" t="str">
        <f aca="false">IF($R1169="","",IFERROR(INDEX(DriverCategory,MATCH($R1169,DriverList,0)),"BAU"))</f>
        <v/>
      </c>
      <c r="U1169" s="34" t="str">
        <f aca="false">IF($R1169="","",IFERROR(INDEX(DriverRank,MATCH($R1169,DriverList,0)),99))</f>
        <v/>
      </c>
      <c r="V1169" s="35" t="n">
        <f aca="false">IF($H1169="",0,IFERROR(INDEX(LevelBasic,MATCH($H1169,LevelList,0))+INDEX(LevelHousing,MATCH($H1169,LevelList,0))+INDEX(LevelTransport,MATCH($H1169,LevelList,0))+INDEX(LevelBasic,MATCH($H1169,LevelList,0))*INDEX(LevelBonus,MATCH($H1169,LevelList,0))+(INDEX(LevelBasic,MATCH($H1169,LevelList,0))+INDEX(LevelHousing,MATCH($H1169,LevelList,0)))*GosiSaudi,0))</f>
        <v>0</v>
      </c>
      <c r="W1169" s="35" t="n">
        <f aca="false">IFERROR(INDEX(LevelOneOff,MATCH($H1169,LevelList,0)),0)</f>
        <v>0</v>
      </c>
      <c r="X1169" s="35" t="str">
        <f aca="false">IF($G1169="","",$V1169*N($L1169))</f>
        <v/>
      </c>
      <c r="Y1169" s="35" t="str">
        <f aca="false">IF($G1169="","",$V1169*(N($M1169)*1+N($N1169)*0.75+N($O1169)*0.5+N($P1169)*0.25)+$W1169*N($L1169))</f>
        <v/>
      </c>
      <c r="Z1169" s="35" t="str">
        <f aca="false">IF($G1169="","",$U1169*1000000+ROW())</f>
        <v/>
      </c>
      <c r="AA1169" s="36" t="str">
        <f aca="false">IF($G1169="","",MID(IF($C1169="",", no division","")&amp;IF($E1169="",", no unit","")&amp;IF($H1169="",", no career level","")&amp;IF(N($L1169)&lt;=0,", no quarter split","")&amp;IF($R1169="",", no driver","")&amp;IF(AND($H1169&lt;&gt;"",COUNTIF(CareerLevels,$H1169)=0),", a career level that is not on the ladder","")&amp;IF(AND($R1169&lt;&gt;"",COUNTIF(DriverList,$R1169)=0),", a driver that is not on the list","")&amp;IF(ABS(N($L1169)-(N($M1169)+N($N1169)+N($O1169)+N($P1169)))&gt;0.001,", a total that does not match its quarters",""),3,300))</f>
        <v/>
      </c>
    </row>
    <row r="1170" customFormat="false" ht="15" hidden="false" customHeight="false" outlineLevel="0" collapsed="false">
      <c r="A1170" s="33" t="str">
        <f aca="false">IF($G1170="","","Internal Audit Group")</f>
        <v/>
      </c>
      <c r="B1170" s="19"/>
      <c r="C1170" s="19"/>
      <c r="D1170" s="19"/>
      <c r="E1170" s="19"/>
      <c r="F1170" s="19"/>
      <c r="G1170" s="19"/>
      <c r="H1170" s="19"/>
      <c r="I1170" s="19"/>
      <c r="J1170" s="19"/>
      <c r="K1170" s="19"/>
      <c r="L1170" s="19"/>
      <c r="M1170" s="19"/>
      <c r="N1170" s="19"/>
      <c r="O1170" s="19"/>
      <c r="P1170" s="19"/>
      <c r="Q1170" s="19"/>
      <c r="R1170" s="19"/>
      <c r="S1170" s="19"/>
      <c r="T1170" s="34" t="str">
        <f aca="false">IF($R1170="","",IFERROR(INDEX(DriverCategory,MATCH($R1170,DriverList,0)),"BAU"))</f>
        <v/>
      </c>
      <c r="U1170" s="34" t="str">
        <f aca="false">IF($R1170="","",IFERROR(INDEX(DriverRank,MATCH($R1170,DriverList,0)),99))</f>
        <v/>
      </c>
      <c r="V1170" s="35" t="n">
        <f aca="false">IF($H1170="",0,IFERROR(INDEX(LevelBasic,MATCH($H1170,LevelList,0))+INDEX(LevelHousing,MATCH($H1170,LevelList,0))+INDEX(LevelTransport,MATCH($H1170,LevelList,0))+INDEX(LevelBasic,MATCH($H1170,LevelList,0))*INDEX(LevelBonus,MATCH($H1170,LevelList,0))+(INDEX(LevelBasic,MATCH($H1170,LevelList,0))+INDEX(LevelHousing,MATCH($H1170,LevelList,0)))*GosiSaudi,0))</f>
        <v>0</v>
      </c>
      <c r="W1170" s="35" t="n">
        <f aca="false">IFERROR(INDEX(LevelOneOff,MATCH($H1170,LevelList,0)),0)</f>
        <v>0</v>
      </c>
      <c r="X1170" s="35" t="str">
        <f aca="false">IF($G1170="","",$V1170*N($L1170))</f>
        <v/>
      </c>
      <c r="Y1170" s="35" t="str">
        <f aca="false">IF($G1170="","",$V1170*(N($M1170)*1+N($N1170)*0.75+N($O1170)*0.5+N($P1170)*0.25)+$W1170*N($L1170))</f>
        <v/>
      </c>
      <c r="Z1170" s="35" t="str">
        <f aca="false">IF($G1170="","",$U1170*1000000+ROW())</f>
        <v/>
      </c>
      <c r="AA1170" s="36" t="str">
        <f aca="false">IF($G1170="","",MID(IF($C1170="",", no division","")&amp;IF($E1170="",", no unit","")&amp;IF($H1170="",", no career level","")&amp;IF(N($L1170)&lt;=0,", no quarter split","")&amp;IF($R1170="",", no driver","")&amp;IF(AND($H1170&lt;&gt;"",COUNTIF(CareerLevels,$H1170)=0),", a career level that is not on the ladder","")&amp;IF(AND($R1170&lt;&gt;"",COUNTIF(DriverList,$R1170)=0),", a driver that is not on the list","")&amp;IF(ABS(N($L1170)-(N($M1170)+N($N1170)+N($O1170)+N($P1170)))&gt;0.001,", a total that does not match its quarters",""),3,300))</f>
        <v/>
      </c>
    </row>
    <row r="1171" customFormat="false" ht="15" hidden="false" customHeight="false" outlineLevel="0" collapsed="false">
      <c r="A1171" s="33" t="str">
        <f aca="false">IF($G1171="","","Internal Audit Group")</f>
        <v/>
      </c>
      <c r="B1171" s="19"/>
      <c r="C1171" s="19"/>
      <c r="D1171" s="19"/>
      <c r="E1171" s="19"/>
      <c r="F1171" s="19"/>
      <c r="G1171" s="19"/>
      <c r="H1171" s="19"/>
      <c r="I1171" s="19"/>
      <c r="J1171" s="19"/>
      <c r="K1171" s="19"/>
      <c r="L1171" s="19"/>
      <c r="M1171" s="19"/>
      <c r="N1171" s="19"/>
      <c r="O1171" s="19"/>
      <c r="P1171" s="19"/>
      <c r="Q1171" s="19"/>
      <c r="R1171" s="19"/>
      <c r="S1171" s="19"/>
      <c r="T1171" s="34" t="str">
        <f aca="false">IF($R1171="","",IFERROR(INDEX(DriverCategory,MATCH($R1171,DriverList,0)),"BAU"))</f>
        <v/>
      </c>
      <c r="U1171" s="34" t="str">
        <f aca="false">IF($R1171="","",IFERROR(INDEX(DriverRank,MATCH($R1171,DriverList,0)),99))</f>
        <v/>
      </c>
      <c r="V1171" s="35" t="n">
        <f aca="false">IF($H1171="",0,IFERROR(INDEX(LevelBasic,MATCH($H1171,LevelList,0))+INDEX(LevelHousing,MATCH($H1171,LevelList,0))+INDEX(LevelTransport,MATCH($H1171,LevelList,0))+INDEX(LevelBasic,MATCH($H1171,LevelList,0))*INDEX(LevelBonus,MATCH($H1171,LevelList,0))+(INDEX(LevelBasic,MATCH($H1171,LevelList,0))+INDEX(LevelHousing,MATCH($H1171,LevelList,0)))*GosiSaudi,0))</f>
        <v>0</v>
      </c>
      <c r="W1171" s="35" t="n">
        <f aca="false">IFERROR(INDEX(LevelOneOff,MATCH($H1171,LevelList,0)),0)</f>
        <v>0</v>
      </c>
      <c r="X1171" s="35" t="str">
        <f aca="false">IF($G1171="","",$V1171*N($L1171))</f>
        <v/>
      </c>
      <c r="Y1171" s="35" t="str">
        <f aca="false">IF($G1171="","",$V1171*(N($M1171)*1+N($N1171)*0.75+N($O1171)*0.5+N($P1171)*0.25)+$W1171*N($L1171))</f>
        <v/>
      </c>
      <c r="Z1171" s="35" t="str">
        <f aca="false">IF($G1171="","",$U1171*1000000+ROW())</f>
        <v/>
      </c>
      <c r="AA1171" s="36" t="str">
        <f aca="false">IF($G1171="","",MID(IF($C1171="",", no division","")&amp;IF($E1171="",", no unit","")&amp;IF($H1171="",", no career level","")&amp;IF(N($L1171)&lt;=0,", no quarter split","")&amp;IF($R1171="",", no driver","")&amp;IF(AND($H1171&lt;&gt;"",COUNTIF(CareerLevels,$H1171)=0),", a career level that is not on the ladder","")&amp;IF(AND($R1171&lt;&gt;"",COUNTIF(DriverList,$R1171)=0),", a driver that is not on the list","")&amp;IF(ABS(N($L1171)-(N($M1171)+N($N1171)+N($O1171)+N($P1171)))&gt;0.001,", a total that does not match its quarters",""),3,300))</f>
        <v/>
      </c>
    </row>
    <row r="1172" customFormat="false" ht="15" hidden="false" customHeight="false" outlineLevel="0" collapsed="false">
      <c r="A1172" s="33" t="str">
        <f aca="false">IF($G1172="","","Internal Audit Group")</f>
        <v/>
      </c>
      <c r="B1172" s="19"/>
      <c r="C1172" s="19"/>
      <c r="D1172" s="19"/>
      <c r="E1172" s="19"/>
      <c r="F1172" s="19"/>
      <c r="G1172" s="19"/>
      <c r="H1172" s="19"/>
      <c r="I1172" s="19"/>
      <c r="J1172" s="19"/>
      <c r="K1172" s="19"/>
      <c r="L1172" s="19"/>
      <c r="M1172" s="19"/>
      <c r="N1172" s="19"/>
      <c r="O1172" s="19"/>
      <c r="P1172" s="19"/>
      <c r="Q1172" s="19"/>
      <c r="R1172" s="19"/>
      <c r="S1172" s="19"/>
      <c r="T1172" s="34" t="str">
        <f aca="false">IF($R1172="","",IFERROR(INDEX(DriverCategory,MATCH($R1172,DriverList,0)),"BAU"))</f>
        <v/>
      </c>
      <c r="U1172" s="34" t="str">
        <f aca="false">IF($R1172="","",IFERROR(INDEX(DriverRank,MATCH($R1172,DriverList,0)),99))</f>
        <v/>
      </c>
      <c r="V1172" s="35" t="n">
        <f aca="false">IF($H1172="",0,IFERROR(INDEX(LevelBasic,MATCH($H1172,LevelList,0))+INDEX(LevelHousing,MATCH($H1172,LevelList,0))+INDEX(LevelTransport,MATCH($H1172,LevelList,0))+INDEX(LevelBasic,MATCH($H1172,LevelList,0))*INDEX(LevelBonus,MATCH($H1172,LevelList,0))+(INDEX(LevelBasic,MATCH($H1172,LevelList,0))+INDEX(LevelHousing,MATCH($H1172,LevelList,0)))*GosiSaudi,0))</f>
        <v>0</v>
      </c>
      <c r="W1172" s="35" t="n">
        <f aca="false">IFERROR(INDEX(LevelOneOff,MATCH($H1172,LevelList,0)),0)</f>
        <v>0</v>
      </c>
      <c r="X1172" s="35" t="str">
        <f aca="false">IF($G1172="","",$V1172*N($L1172))</f>
        <v/>
      </c>
      <c r="Y1172" s="35" t="str">
        <f aca="false">IF($G1172="","",$V1172*(N($M1172)*1+N($N1172)*0.75+N($O1172)*0.5+N($P1172)*0.25)+$W1172*N($L1172))</f>
        <v/>
      </c>
      <c r="Z1172" s="35" t="str">
        <f aca="false">IF($G1172="","",$U1172*1000000+ROW())</f>
        <v/>
      </c>
      <c r="AA1172" s="36" t="str">
        <f aca="false">IF($G1172="","",MID(IF($C1172="",", no division","")&amp;IF($E1172="",", no unit","")&amp;IF($H1172="",", no career level","")&amp;IF(N($L1172)&lt;=0,", no quarter split","")&amp;IF($R1172="",", no driver","")&amp;IF(AND($H1172&lt;&gt;"",COUNTIF(CareerLevels,$H1172)=0),", a career level that is not on the ladder","")&amp;IF(AND($R1172&lt;&gt;"",COUNTIF(DriverList,$R1172)=0),", a driver that is not on the list","")&amp;IF(ABS(N($L1172)-(N($M1172)+N($N1172)+N($O1172)+N($P1172)))&gt;0.001,", a total that does not match its quarters",""),3,300))</f>
        <v/>
      </c>
    </row>
    <row r="1173" customFormat="false" ht="15" hidden="false" customHeight="false" outlineLevel="0" collapsed="false">
      <c r="A1173" s="33" t="str">
        <f aca="false">IF($G1173="","","Internal Audit Group")</f>
        <v/>
      </c>
      <c r="B1173" s="19"/>
      <c r="C1173" s="19"/>
      <c r="D1173" s="19"/>
      <c r="E1173" s="19"/>
      <c r="F1173" s="19"/>
      <c r="G1173" s="19"/>
      <c r="H1173" s="19"/>
      <c r="I1173" s="19"/>
      <c r="J1173" s="19"/>
      <c r="K1173" s="19"/>
      <c r="L1173" s="19"/>
      <c r="M1173" s="19"/>
      <c r="N1173" s="19"/>
      <c r="O1173" s="19"/>
      <c r="P1173" s="19"/>
      <c r="Q1173" s="19"/>
      <c r="R1173" s="19"/>
      <c r="S1173" s="19"/>
      <c r="T1173" s="34" t="str">
        <f aca="false">IF($R1173="","",IFERROR(INDEX(DriverCategory,MATCH($R1173,DriverList,0)),"BAU"))</f>
        <v/>
      </c>
      <c r="U1173" s="34" t="str">
        <f aca="false">IF($R1173="","",IFERROR(INDEX(DriverRank,MATCH($R1173,DriverList,0)),99))</f>
        <v/>
      </c>
      <c r="V1173" s="35" t="n">
        <f aca="false">IF($H1173="",0,IFERROR(INDEX(LevelBasic,MATCH($H1173,LevelList,0))+INDEX(LevelHousing,MATCH($H1173,LevelList,0))+INDEX(LevelTransport,MATCH($H1173,LevelList,0))+INDEX(LevelBasic,MATCH($H1173,LevelList,0))*INDEX(LevelBonus,MATCH($H1173,LevelList,0))+(INDEX(LevelBasic,MATCH($H1173,LevelList,0))+INDEX(LevelHousing,MATCH($H1173,LevelList,0)))*GosiSaudi,0))</f>
        <v>0</v>
      </c>
      <c r="W1173" s="35" t="n">
        <f aca="false">IFERROR(INDEX(LevelOneOff,MATCH($H1173,LevelList,0)),0)</f>
        <v>0</v>
      </c>
      <c r="X1173" s="35" t="str">
        <f aca="false">IF($G1173="","",$V1173*N($L1173))</f>
        <v/>
      </c>
      <c r="Y1173" s="35" t="str">
        <f aca="false">IF($G1173="","",$V1173*(N($M1173)*1+N($N1173)*0.75+N($O1173)*0.5+N($P1173)*0.25)+$W1173*N($L1173))</f>
        <v/>
      </c>
      <c r="Z1173" s="35" t="str">
        <f aca="false">IF($G1173="","",$U1173*1000000+ROW())</f>
        <v/>
      </c>
      <c r="AA1173" s="36" t="str">
        <f aca="false">IF($G1173="","",MID(IF($C1173="",", no division","")&amp;IF($E1173="",", no unit","")&amp;IF($H1173="",", no career level","")&amp;IF(N($L1173)&lt;=0,", no quarter split","")&amp;IF($R1173="",", no driver","")&amp;IF(AND($H1173&lt;&gt;"",COUNTIF(CareerLevels,$H1173)=0),", a career level that is not on the ladder","")&amp;IF(AND($R1173&lt;&gt;"",COUNTIF(DriverList,$R1173)=0),", a driver that is not on the list","")&amp;IF(ABS(N($L1173)-(N($M1173)+N($N1173)+N($O1173)+N($P1173)))&gt;0.001,", a total that does not match its quarters",""),3,300))</f>
        <v/>
      </c>
    </row>
    <row r="1174" customFormat="false" ht="15" hidden="false" customHeight="false" outlineLevel="0" collapsed="false">
      <c r="A1174" s="33" t="str">
        <f aca="false">IF($G1174="","","Internal Audit Group")</f>
        <v/>
      </c>
      <c r="B1174" s="19"/>
      <c r="C1174" s="19"/>
      <c r="D1174" s="19"/>
      <c r="E1174" s="19"/>
      <c r="F1174" s="19"/>
      <c r="G1174" s="19"/>
      <c r="H1174" s="19"/>
      <c r="I1174" s="19"/>
      <c r="J1174" s="19"/>
      <c r="K1174" s="19"/>
      <c r="L1174" s="19"/>
      <c r="M1174" s="19"/>
      <c r="N1174" s="19"/>
      <c r="O1174" s="19"/>
      <c r="P1174" s="19"/>
      <c r="Q1174" s="19"/>
      <c r="R1174" s="19"/>
      <c r="S1174" s="19"/>
      <c r="T1174" s="34" t="str">
        <f aca="false">IF($R1174="","",IFERROR(INDEX(DriverCategory,MATCH($R1174,DriverList,0)),"BAU"))</f>
        <v/>
      </c>
      <c r="U1174" s="34" t="str">
        <f aca="false">IF($R1174="","",IFERROR(INDEX(DriverRank,MATCH($R1174,DriverList,0)),99))</f>
        <v/>
      </c>
      <c r="V1174" s="35" t="n">
        <f aca="false">IF($H1174="",0,IFERROR(INDEX(LevelBasic,MATCH($H1174,LevelList,0))+INDEX(LevelHousing,MATCH($H1174,LevelList,0))+INDEX(LevelTransport,MATCH($H1174,LevelList,0))+INDEX(LevelBasic,MATCH($H1174,LevelList,0))*INDEX(LevelBonus,MATCH($H1174,LevelList,0))+(INDEX(LevelBasic,MATCH($H1174,LevelList,0))+INDEX(LevelHousing,MATCH($H1174,LevelList,0)))*GosiSaudi,0))</f>
        <v>0</v>
      </c>
      <c r="W1174" s="35" t="n">
        <f aca="false">IFERROR(INDEX(LevelOneOff,MATCH($H1174,LevelList,0)),0)</f>
        <v>0</v>
      </c>
      <c r="X1174" s="35" t="str">
        <f aca="false">IF($G1174="","",$V1174*N($L1174))</f>
        <v/>
      </c>
      <c r="Y1174" s="35" t="str">
        <f aca="false">IF($G1174="","",$V1174*(N($M1174)*1+N($N1174)*0.75+N($O1174)*0.5+N($P1174)*0.25)+$W1174*N($L1174))</f>
        <v/>
      </c>
      <c r="Z1174" s="35" t="str">
        <f aca="false">IF($G1174="","",$U1174*1000000+ROW())</f>
        <v/>
      </c>
      <c r="AA1174" s="36" t="str">
        <f aca="false">IF($G1174="","",MID(IF($C1174="",", no division","")&amp;IF($E1174="",", no unit","")&amp;IF($H1174="",", no career level","")&amp;IF(N($L1174)&lt;=0,", no quarter split","")&amp;IF($R1174="",", no driver","")&amp;IF(AND($H1174&lt;&gt;"",COUNTIF(CareerLevels,$H1174)=0),", a career level that is not on the ladder","")&amp;IF(AND($R1174&lt;&gt;"",COUNTIF(DriverList,$R1174)=0),", a driver that is not on the list","")&amp;IF(ABS(N($L1174)-(N($M1174)+N($N1174)+N($O1174)+N($P1174)))&gt;0.001,", a total that does not match its quarters",""),3,300))</f>
        <v/>
      </c>
    </row>
    <row r="1175" customFormat="false" ht="15" hidden="false" customHeight="false" outlineLevel="0" collapsed="false">
      <c r="A1175" s="33" t="str">
        <f aca="false">IF($G1175="","","Internal Audit Group")</f>
        <v/>
      </c>
      <c r="B1175" s="19"/>
      <c r="C1175" s="19"/>
      <c r="D1175" s="19"/>
      <c r="E1175" s="19"/>
      <c r="F1175" s="19"/>
      <c r="G1175" s="19"/>
      <c r="H1175" s="19"/>
      <c r="I1175" s="19"/>
      <c r="J1175" s="19"/>
      <c r="K1175" s="19"/>
      <c r="L1175" s="19"/>
      <c r="M1175" s="19"/>
      <c r="N1175" s="19"/>
      <c r="O1175" s="19"/>
      <c r="P1175" s="19"/>
      <c r="Q1175" s="19"/>
      <c r="R1175" s="19"/>
      <c r="S1175" s="19"/>
      <c r="T1175" s="34" t="str">
        <f aca="false">IF($R1175="","",IFERROR(INDEX(DriverCategory,MATCH($R1175,DriverList,0)),"BAU"))</f>
        <v/>
      </c>
      <c r="U1175" s="34" t="str">
        <f aca="false">IF($R1175="","",IFERROR(INDEX(DriverRank,MATCH($R1175,DriverList,0)),99))</f>
        <v/>
      </c>
      <c r="V1175" s="35" t="n">
        <f aca="false">IF($H1175="",0,IFERROR(INDEX(LevelBasic,MATCH($H1175,LevelList,0))+INDEX(LevelHousing,MATCH($H1175,LevelList,0))+INDEX(LevelTransport,MATCH($H1175,LevelList,0))+INDEX(LevelBasic,MATCH($H1175,LevelList,0))*INDEX(LevelBonus,MATCH($H1175,LevelList,0))+(INDEX(LevelBasic,MATCH($H1175,LevelList,0))+INDEX(LevelHousing,MATCH($H1175,LevelList,0)))*GosiSaudi,0))</f>
        <v>0</v>
      </c>
      <c r="W1175" s="35" t="n">
        <f aca="false">IFERROR(INDEX(LevelOneOff,MATCH($H1175,LevelList,0)),0)</f>
        <v>0</v>
      </c>
      <c r="X1175" s="35" t="str">
        <f aca="false">IF($G1175="","",$V1175*N($L1175))</f>
        <v/>
      </c>
      <c r="Y1175" s="35" t="str">
        <f aca="false">IF($G1175="","",$V1175*(N($M1175)*1+N($N1175)*0.75+N($O1175)*0.5+N($P1175)*0.25)+$W1175*N($L1175))</f>
        <v/>
      </c>
      <c r="Z1175" s="35" t="str">
        <f aca="false">IF($G1175="","",$U1175*1000000+ROW())</f>
        <v/>
      </c>
      <c r="AA1175" s="36" t="str">
        <f aca="false">IF($G1175="","",MID(IF($C1175="",", no division","")&amp;IF($E1175="",", no unit","")&amp;IF($H1175="",", no career level","")&amp;IF(N($L1175)&lt;=0,", no quarter split","")&amp;IF($R1175="",", no driver","")&amp;IF(AND($H1175&lt;&gt;"",COUNTIF(CareerLevels,$H1175)=0),", a career level that is not on the ladder","")&amp;IF(AND($R1175&lt;&gt;"",COUNTIF(DriverList,$R1175)=0),", a driver that is not on the list","")&amp;IF(ABS(N($L1175)-(N($M1175)+N($N1175)+N($O1175)+N($P1175)))&gt;0.001,", a total that does not match its quarters",""),3,300))</f>
        <v/>
      </c>
    </row>
    <row r="1176" customFormat="false" ht="15" hidden="false" customHeight="false" outlineLevel="0" collapsed="false">
      <c r="A1176" s="33" t="str">
        <f aca="false">IF($G1176="","","Internal Audit Group")</f>
        <v/>
      </c>
      <c r="B1176" s="19"/>
      <c r="C1176" s="19"/>
      <c r="D1176" s="19"/>
      <c r="E1176" s="19"/>
      <c r="F1176" s="19"/>
      <c r="G1176" s="19"/>
      <c r="H1176" s="19"/>
      <c r="I1176" s="19"/>
      <c r="J1176" s="19"/>
      <c r="K1176" s="19"/>
      <c r="L1176" s="19"/>
      <c r="M1176" s="19"/>
      <c r="N1176" s="19"/>
      <c r="O1176" s="19"/>
      <c r="P1176" s="19"/>
      <c r="Q1176" s="19"/>
      <c r="R1176" s="19"/>
      <c r="S1176" s="19"/>
      <c r="T1176" s="34" t="str">
        <f aca="false">IF($R1176="","",IFERROR(INDEX(DriverCategory,MATCH($R1176,DriverList,0)),"BAU"))</f>
        <v/>
      </c>
      <c r="U1176" s="34" t="str">
        <f aca="false">IF($R1176="","",IFERROR(INDEX(DriverRank,MATCH($R1176,DriverList,0)),99))</f>
        <v/>
      </c>
      <c r="V1176" s="35" t="n">
        <f aca="false">IF($H1176="",0,IFERROR(INDEX(LevelBasic,MATCH($H1176,LevelList,0))+INDEX(LevelHousing,MATCH($H1176,LevelList,0))+INDEX(LevelTransport,MATCH($H1176,LevelList,0))+INDEX(LevelBasic,MATCH($H1176,LevelList,0))*INDEX(LevelBonus,MATCH($H1176,LevelList,0))+(INDEX(LevelBasic,MATCH($H1176,LevelList,0))+INDEX(LevelHousing,MATCH($H1176,LevelList,0)))*GosiSaudi,0))</f>
        <v>0</v>
      </c>
      <c r="W1176" s="35" t="n">
        <f aca="false">IFERROR(INDEX(LevelOneOff,MATCH($H1176,LevelList,0)),0)</f>
        <v>0</v>
      </c>
      <c r="X1176" s="35" t="str">
        <f aca="false">IF($G1176="","",$V1176*N($L1176))</f>
        <v/>
      </c>
      <c r="Y1176" s="35" t="str">
        <f aca="false">IF($G1176="","",$V1176*(N($M1176)*1+N($N1176)*0.75+N($O1176)*0.5+N($P1176)*0.25)+$W1176*N($L1176))</f>
        <v/>
      </c>
      <c r="Z1176" s="35" t="str">
        <f aca="false">IF($G1176="","",$U1176*1000000+ROW())</f>
        <v/>
      </c>
      <c r="AA1176" s="36" t="str">
        <f aca="false">IF($G1176="","",MID(IF($C1176="",", no division","")&amp;IF($E1176="",", no unit","")&amp;IF($H1176="",", no career level","")&amp;IF(N($L1176)&lt;=0,", no quarter split","")&amp;IF($R1176="",", no driver","")&amp;IF(AND($H1176&lt;&gt;"",COUNTIF(CareerLevels,$H1176)=0),", a career level that is not on the ladder","")&amp;IF(AND($R1176&lt;&gt;"",COUNTIF(DriverList,$R1176)=0),", a driver that is not on the list","")&amp;IF(ABS(N($L1176)-(N($M1176)+N($N1176)+N($O1176)+N($P1176)))&gt;0.001,", a total that does not match its quarters",""),3,300))</f>
        <v/>
      </c>
    </row>
    <row r="1177" customFormat="false" ht="15" hidden="false" customHeight="false" outlineLevel="0" collapsed="false">
      <c r="A1177" s="33" t="str">
        <f aca="false">IF($G1177="","","Internal Audit Group")</f>
        <v/>
      </c>
      <c r="B1177" s="19"/>
      <c r="C1177" s="19"/>
      <c r="D1177" s="19"/>
      <c r="E1177" s="19"/>
      <c r="F1177" s="19"/>
      <c r="G1177" s="19"/>
      <c r="H1177" s="19"/>
      <c r="I1177" s="19"/>
      <c r="J1177" s="19"/>
      <c r="K1177" s="19"/>
      <c r="L1177" s="19"/>
      <c r="M1177" s="19"/>
      <c r="N1177" s="19"/>
      <c r="O1177" s="19"/>
      <c r="P1177" s="19"/>
      <c r="Q1177" s="19"/>
      <c r="R1177" s="19"/>
      <c r="S1177" s="19"/>
      <c r="T1177" s="34" t="str">
        <f aca="false">IF($R1177="","",IFERROR(INDEX(DriverCategory,MATCH($R1177,DriverList,0)),"BAU"))</f>
        <v/>
      </c>
      <c r="U1177" s="34" t="str">
        <f aca="false">IF($R1177="","",IFERROR(INDEX(DriverRank,MATCH($R1177,DriverList,0)),99))</f>
        <v/>
      </c>
      <c r="V1177" s="35" t="n">
        <f aca="false">IF($H1177="",0,IFERROR(INDEX(LevelBasic,MATCH($H1177,LevelList,0))+INDEX(LevelHousing,MATCH($H1177,LevelList,0))+INDEX(LevelTransport,MATCH($H1177,LevelList,0))+INDEX(LevelBasic,MATCH($H1177,LevelList,0))*INDEX(LevelBonus,MATCH($H1177,LevelList,0))+(INDEX(LevelBasic,MATCH($H1177,LevelList,0))+INDEX(LevelHousing,MATCH($H1177,LevelList,0)))*GosiSaudi,0))</f>
        <v>0</v>
      </c>
      <c r="W1177" s="35" t="n">
        <f aca="false">IFERROR(INDEX(LevelOneOff,MATCH($H1177,LevelList,0)),0)</f>
        <v>0</v>
      </c>
      <c r="X1177" s="35" t="str">
        <f aca="false">IF($G1177="","",$V1177*N($L1177))</f>
        <v/>
      </c>
      <c r="Y1177" s="35" t="str">
        <f aca="false">IF($G1177="","",$V1177*(N($M1177)*1+N($N1177)*0.75+N($O1177)*0.5+N($P1177)*0.25)+$W1177*N($L1177))</f>
        <v/>
      </c>
      <c r="Z1177" s="35" t="str">
        <f aca="false">IF($G1177="","",$U1177*1000000+ROW())</f>
        <v/>
      </c>
      <c r="AA1177" s="36" t="str">
        <f aca="false">IF($G1177="","",MID(IF($C1177="",", no division","")&amp;IF($E1177="",", no unit","")&amp;IF($H1177="",", no career level","")&amp;IF(N($L1177)&lt;=0,", no quarter split","")&amp;IF($R1177="",", no driver","")&amp;IF(AND($H1177&lt;&gt;"",COUNTIF(CareerLevels,$H1177)=0),", a career level that is not on the ladder","")&amp;IF(AND($R1177&lt;&gt;"",COUNTIF(DriverList,$R1177)=0),", a driver that is not on the list","")&amp;IF(ABS(N($L1177)-(N($M1177)+N($N1177)+N($O1177)+N($P1177)))&gt;0.001,", a total that does not match its quarters",""),3,300))</f>
        <v/>
      </c>
    </row>
    <row r="1178" customFormat="false" ht="15" hidden="false" customHeight="false" outlineLevel="0" collapsed="false">
      <c r="A1178" s="33" t="str">
        <f aca="false">IF($G1178="","","Internal Audit Group")</f>
        <v/>
      </c>
      <c r="B1178" s="19"/>
      <c r="C1178" s="19"/>
      <c r="D1178" s="19"/>
      <c r="E1178" s="19"/>
      <c r="F1178" s="19"/>
      <c r="G1178" s="19"/>
      <c r="H1178" s="19"/>
      <c r="I1178" s="19"/>
      <c r="J1178" s="19"/>
      <c r="K1178" s="19"/>
      <c r="L1178" s="19"/>
      <c r="M1178" s="19"/>
      <c r="N1178" s="19"/>
      <c r="O1178" s="19"/>
      <c r="P1178" s="19"/>
      <c r="Q1178" s="19"/>
      <c r="R1178" s="19"/>
      <c r="S1178" s="19"/>
      <c r="T1178" s="34" t="str">
        <f aca="false">IF($R1178="","",IFERROR(INDEX(DriverCategory,MATCH($R1178,DriverList,0)),"BAU"))</f>
        <v/>
      </c>
      <c r="U1178" s="34" t="str">
        <f aca="false">IF($R1178="","",IFERROR(INDEX(DriverRank,MATCH($R1178,DriverList,0)),99))</f>
        <v/>
      </c>
      <c r="V1178" s="35" t="n">
        <f aca="false">IF($H1178="",0,IFERROR(INDEX(LevelBasic,MATCH($H1178,LevelList,0))+INDEX(LevelHousing,MATCH($H1178,LevelList,0))+INDEX(LevelTransport,MATCH($H1178,LevelList,0))+INDEX(LevelBasic,MATCH($H1178,LevelList,0))*INDEX(LevelBonus,MATCH($H1178,LevelList,0))+(INDEX(LevelBasic,MATCH($H1178,LevelList,0))+INDEX(LevelHousing,MATCH($H1178,LevelList,0)))*GosiSaudi,0))</f>
        <v>0</v>
      </c>
      <c r="W1178" s="35" t="n">
        <f aca="false">IFERROR(INDEX(LevelOneOff,MATCH($H1178,LevelList,0)),0)</f>
        <v>0</v>
      </c>
      <c r="X1178" s="35" t="str">
        <f aca="false">IF($G1178="","",$V1178*N($L1178))</f>
        <v/>
      </c>
      <c r="Y1178" s="35" t="str">
        <f aca="false">IF($G1178="","",$V1178*(N($M1178)*1+N($N1178)*0.75+N($O1178)*0.5+N($P1178)*0.25)+$W1178*N($L1178))</f>
        <v/>
      </c>
      <c r="Z1178" s="35" t="str">
        <f aca="false">IF($G1178="","",$U1178*1000000+ROW())</f>
        <v/>
      </c>
      <c r="AA1178" s="36" t="str">
        <f aca="false">IF($G1178="","",MID(IF($C1178="",", no division","")&amp;IF($E1178="",", no unit","")&amp;IF($H1178="",", no career level","")&amp;IF(N($L1178)&lt;=0,", no quarter split","")&amp;IF($R1178="",", no driver","")&amp;IF(AND($H1178&lt;&gt;"",COUNTIF(CareerLevels,$H1178)=0),", a career level that is not on the ladder","")&amp;IF(AND($R1178&lt;&gt;"",COUNTIF(DriverList,$R1178)=0),", a driver that is not on the list","")&amp;IF(ABS(N($L1178)-(N($M1178)+N($N1178)+N($O1178)+N($P1178)))&gt;0.001,", a total that does not match its quarters",""),3,300))</f>
        <v/>
      </c>
    </row>
    <row r="1179" customFormat="false" ht="15" hidden="false" customHeight="false" outlineLevel="0" collapsed="false">
      <c r="A1179" s="33" t="str">
        <f aca="false">IF($G1179="","","Internal Audit Group")</f>
        <v/>
      </c>
      <c r="B1179" s="19"/>
      <c r="C1179" s="19"/>
      <c r="D1179" s="19"/>
      <c r="E1179" s="19"/>
      <c r="F1179" s="19"/>
      <c r="G1179" s="19"/>
      <c r="H1179" s="19"/>
      <c r="I1179" s="19"/>
      <c r="J1179" s="19"/>
      <c r="K1179" s="19"/>
      <c r="L1179" s="19"/>
      <c r="M1179" s="19"/>
      <c r="N1179" s="19"/>
      <c r="O1179" s="19"/>
      <c r="P1179" s="19"/>
      <c r="Q1179" s="19"/>
      <c r="R1179" s="19"/>
      <c r="S1179" s="19"/>
      <c r="T1179" s="34" t="str">
        <f aca="false">IF($R1179="","",IFERROR(INDEX(DriverCategory,MATCH($R1179,DriverList,0)),"BAU"))</f>
        <v/>
      </c>
      <c r="U1179" s="34" t="str">
        <f aca="false">IF($R1179="","",IFERROR(INDEX(DriverRank,MATCH($R1179,DriverList,0)),99))</f>
        <v/>
      </c>
      <c r="V1179" s="35" t="n">
        <f aca="false">IF($H1179="",0,IFERROR(INDEX(LevelBasic,MATCH($H1179,LevelList,0))+INDEX(LevelHousing,MATCH($H1179,LevelList,0))+INDEX(LevelTransport,MATCH($H1179,LevelList,0))+INDEX(LevelBasic,MATCH($H1179,LevelList,0))*INDEX(LevelBonus,MATCH($H1179,LevelList,0))+(INDEX(LevelBasic,MATCH($H1179,LevelList,0))+INDEX(LevelHousing,MATCH($H1179,LevelList,0)))*GosiSaudi,0))</f>
        <v>0</v>
      </c>
      <c r="W1179" s="35" t="n">
        <f aca="false">IFERROR(INDEX(LevelOneOff,MATCH($H1179,LevelList,0)),0)</f>
        <v>0</v>
      </c>
      <c r="X1179" s="35" t="str">
        <f aca="false">IF($G1179="","",$V1179*N($L1179))</f>
        <v/>
      </c>
      <c r="Y1179" s="35" t="str">
        <f aca="false">IF($G1179="","",$V1179*(N($M1179)*1+N($N1179)*0.75+N($O1179)*0.5+N($P1179)*0.25)+$W1179*N($L1179))</f>
        <v/>
      </c>
      <c r="Z1179" s="35" t="str">
        <f aca="false">IF($G1179="","",$U1179*1000000+ROW())</f>
        <v/>
      </c>
      <c r="AA1179" s="36" t="str">
        <f aca="false">IF($G1179="","",MID(IF($C1179="",", no division","")&amp;IF($E1179="",", no unit","")&amp;IF($H1179="",", no career level","")&amp;IF(N($L1179)&lt;=0,", no quarter split","")&amp;IF($R1179="",", no driver","")&amp;IF(AND($H1179&lt;&gt;"",COUNTIF(CareerLevels,$H1179)=0),", a career level that is not on the ladder","")&amp;IF(AND($R1179&lt;&gt;"",COUNTIF(DriverList,$R1179)=0),", a driver that is not on the list","")&amp;IF(ABS(N($L1179)-(N($M1179)+N($N1179)+N($O1179)+N($P1179)))&gt;0.001,", a total that does not match its quarters",""),3,300))</f>
        <v/>
      </c>
    </row>
    <row r="1180" customFormat="false" ht="15" hidden="false" customHeight="false" outlineLevel="0" collapsed="false">
      <c r="A1180" s="33" t="str">
        <f aca="false">IF($G1180="","","Internal Audit Group")</f>
        <v/>
      </c>
      <c r="B1180" s="19"/>
      <c r="C1180" s="19"/>
      <c r="D1180" s="19"/>
      <c r="E1180" s="19"/>
      <c r="F1180" s="19"/>
      <c r="G1180" s="19"/>
      <c r="H1180" s="19"/>
      <c r="I1180" s="19"/>
      <c r="J1180" s="19"/>
      <c r="K1180" s="19"/>
      <c r="L1180" s="19"/>
      <c r="M1180" s="19"/>
      <c r="N1180" s="19"/>
      <c r="O1180" s="19"/>
      <c r="P1180" s="19"/>
      <c r="Q1180" s="19"/>
      <c r="R1180" s="19"/>
      <c r="S1180" s="19"/>
      <c r="T1180" s="34" t="str">
        <f aca="false">IF($R1180="","",IFERROR(INDEX(DriverCategory,MATCH($R1180,DriverList,0)),"BAU"))</f>
        <v/>
      </c>
      <c r="U1180" s="34" t="str">
        <f aca="false">IF($R1180="","",IFERROR(INDEX(DriverRank,MATCH($R1180,DriverList,0)),99))</f>
        <v/>
      </c>
      <c r="V1180" s="35" t="n">
        <f aca="false">IF($H1180="",0,IFERROR(INDEX(LevelBasic,MATCH($H1180,LevelList,0))+INDEX(LevelHousing,MATCH($H1180,LevelList,0))+INDEX(LevelTransport,MATCH($H1180,LevelList,0))+INDEX(LevelBasic,MATCH($H1180,LevelList,0))*INDEX(LevelBonus,MATCH($H1180,LevelList,0))+(INDEX(LevelBasic,MATCH($H1180,LevelList,0))+INDEX(LevelHousing,MATCH($H1180,LevelList,0)))*GosiSaudi,0))</f>
        <v>0</v>
      </c>
      <c r="W1180" s="35" t="n">
        <f aca="false">IFERROR(INDEX(LevelOneOff,MATCH($H1180,LevelList,0)),0)</f>
        <v>0</v>
      </c>
      <c r="X1180" s="35" t="str">
        <f aca="false">IF($G1180="","",$V1180*N($L1180))</f>
        <v/>
      </c>
      <c r="Y1180" s="35" t="str">
        <f aca="false">IF($G1180="","",$V1180*(N($M1180)*1+N($N1180)*0.75+N($O1180)*0.5+N($P1180)*0.25)+$W1180*N($L1180))</f>
        <v/>
      </c>
      <c r="Z1180" s="35" t="str">
        <f aca="false">IF($G1180="","",$U1180*1000000+ROW())</f>
        <v/>
      </c>
      <c r="AA1180" s="36" t="str">
        <f aca="false">IF($G1180="","",MID(IF($C1180="",", no division","")&amp;IF($E1180="",", no unit","")&amp;IF($H1180="",", no career level","")&amp;IF(N($L1180)&lt;=0,", no quarter split","")&amp;IF($R1180="",", no driver","")&amp;IF(AND($H1180&lt;&gt;"",COUNTIF(CareerLevels,$H1180)=0),", a career level that is not on the ladder","")&amp;IF(AND($R1180&lt;&gt;"",COUNTIF(DriverList,$R1180)=0),", a driver that is not on the list","")&amp;IF(ABS(N($L1180)-(N($M1180)+N($N1180)+N($O1180)+N($P1180)))&gt;0.001,", a total that does not match its quarters",""),3,300))</f>
        <v/>
      </c>
    </row>
    <row r="1181" customFormat="false" ht="15" hidden="false" customHeight="false" outlineLevel="0" collapsed="false">
      <c r="A1181" s="33" t="str">
        <f aca="false">IF($G1181="","","Internal Audit Group")</f>
        <v/>
      </c>
      <c r="B1181" s="19"/>
      <c r="C1181" s="19"/>
      <c r="D1181" s="19"/>
      <c r="E1181" s="19"/>
      <c r="F1181" s="19"/>
      <c r="G1181" s="19"/>
      <c r="H1181" s="19"/>
      <c r="I1181" s="19"/>
      <c r="J1181" s="19"/>
      <c r="K1181" s="19"/>
      <c r="L1181" s="19"/>
      <c r="M1181" s="19"/>
      <c r="N1181" s="19"/>
      <c r="O1181" s="19"/>
      <c r="P1181" s="19"/>
      <c r="Q1181" s="19"/>
      <c r="R1181" s="19"/>
      <c r="S1181" s="19"/>
      <c r="T1181" s="34" t="str">
        <f aca="false">IF($R1181="","",IFERROR(INDEX(DriverCategory,MATCH($R1181,DriverList,0)),"BAU"))</f>
        <v/>
      </c>
      <c r="U1181" s="34" t="str">
        <f aca="false">IF($R1181="","",IFERROR(INDEX(DriverRank,MATCH($R1181,DriverList,0)),99))</f>
        <v/>
      </c>
      <c r="V1181" s="35" t="n">
        <f aca="false">IF($H1181="",0,IFERROR(INDEX(LevelBasic,MATCH($H1181,LevelList,0))+INDEX(LevelHousing,MATCH($H1181,LevelList,0))+INDEX(LevelTransport,MATCH($H1181,LevelList,0))+INDEX(LevelBasic,MATCH($H1181,LevelList,0))*INDEX(LevelBonus,MATCH($H1181,LevelList,0))+(INDEX(LevelBasic,MATCH($H1181,LevelList,0))+INDEX(LevelHousing,MATCH($H1181,LevelList,0)))*GosiSaudi,0))</f>
        <v>0</v>
      </c>
      <c r="W1181" s="35" t="n">
        <f aca="false">IFERROR(INDEX(LevelOneOff,MATCH($H1181,LevelList,0)),0)</f>
        <v>0</v>
      </c>
      <c r="X1181" s="35" t="str">
        <f aca="false">IF($G1181="","",$V1181*N($L1181))</f>
        <v/>
      </c>
      <c r="Y1181" s="35" t="str">
        <f aca="false">IF($G1181="","",$V1181*(N($M1181)*1+N($N1181)*0.75+N($O1181)*0.5+N($P1181)*0.25)+$W1181*N($L1181))</f>
        <v/>
      </c>
      <c r="Z1181" s="35" t="str">
        <f aca="false">IF($G1181="","",$U1181*1000000+ROW())</f>
        <v/>
      </c>
      <c r="AA1181" s="36" t="str">
        <f aca="false">IF($G1181="","",MID(IF($C1181="",", no division","")&amp;IF($E1181="",", no unit","")&amp;IF($H1181="",", no career level","")&amp;IF(N($L1181)&lt;=0,", no quarter split","")&amp;IF($R1181="",", no driver","")&amp;IF(AND($H1181&lt;&gt;"",COUNTIF(CareerLevels,$H1181)=0),", a career level that is not on the ladder","")&amp;IF(AND($R1181&lt;&gt;"",COUNTIF(DriverList,$R1181)=0),", a driver that is not on the list","")&amp;IF(ABS(N($L1181)-(N($M1181)+N($N1181)+N($O1181)+N($P1181)))&gt;0.001,", a total that does not match its quarters",""),3,300))</f>
        <v/>
      </c>
    </row>
    <row r="1182" customFormat="false" ht="15" hidden="false" customHeight="false" outlineLevel="0" collapsed="false">
      <c r="A1182" s="33" t="str">
        <f aca="false">IF($G1182="","","Internal Audit Group")</f>
        <v/>
      </c>
      <c r="B1182" s="19"/>
      <c r="C1182" s="19"/>
      <c r="D1182" s="19"/>
      <c r="E1182" s="19"/>
      <c r="F1182" s="19"/>
      <c r="G1182" s="19"/>
      <c r="H1182" s="19"/>
      <c r="I1182" s="19"/>
      <c r="J1182" s="19"/>
      <c r="K1182" s="19"/>
      <c r="L1182" s="19"/>
      <c r="M1182" s="19"/>
      <c r="N1182" s="19"/>
      <c r="O1182" s="19"/>
      <c r="P1182" s="19"/>
      <c r="Q1182" s="19"/>
      <c r="R1182" s="19"/>
      <c r="S1182" s="19"/>
      <c r="T1182" s="34" t="str">
        <f aca="false">IF($R1182="","",IFERROR(INDEX(DriverCategory,MATCH($R1182,DriverList,0)),"BAU"))</f>
        <v/>
      </c>
      <c r="U1182" s="34" t="str">
        <f aca="false">IF($R1182="","",IFERROR(INDEX(DriverRank,MATCH($R1182,DriverList,0)),99))</f>
        <v/>
      </c>
      <c r="V1182" s="35" t="n">
        <f aca="false">IF($H1182="",0,IFERROR(INDEX(LevelBasic,MATCH($H1182,LevelList,0))+INDEX(LevelHousing,MATCH($H1182,LevelList,0))+INDEX(LevelTransport,MATCH($H1182,LevelList,0))+INDEX(LevelBasic,MATCH($H1182,LevelList,0))*INDEX(LevelBonus,MATCH($H1182,LevelList,0))+(INDEX(LevelBasic,MATCH($H1182,LevelList,0))+INDEX(LevelHousing,MATCH($H1182,LevelList,0)))*GosiSaudi,0))</f>
        <v>0</v>
      </c>
      <c r="W1182" s="35" t="n">
        <f aca="false">IFERROR(INDEX(LevelOneOff,MATCH($H1182,LevelList,0)),0)</f>
        <v>0</v>
      </c>
      <c r="X1182" s="35" t="str">
        <f aca="false">IF($G1182="","",$V1182*N($L1182))</f>
        <v/>
      </c>
      <c r="Y1182" s="35" t="str">
        <f aca="false">IF($G1182="","",$V1182*(N($M1182)*1+N($N1182)*0.75+N($O1182)*0.5+N($P1182)*0.25)+$W1182*N($L1182))</f>
        <v/>
      </c>
      <c r="Z1182" s="35" t="str">
        <f aca="false">IF($G1182="","",$U1182*1000000+ROW())</f>
        <v/>
      </c>
      <c r="AA1182" s="36" t="str">
        <f aca="false">IF($G1182="","",MID(IF($C1182="",", no division","")&amp;IF($E1182="",", no unit","")&amp;IF($H1182="",", no career level","")&amp;IF(N($L1182)&lt;=0,", no quarter split","")&amp;IF($R1182="",", no driver","")&amp;IF(AND($H1182&lt;&gt;"",COUNTIF(CareerLevels,$H1182)=0),", a career level that is not on the ladder","")&amp;IF(AND($R1182&lt;&gt;"",COUNTIF(DriverList,$R1182)=0),", a driver that is not on the list","")&amp;IF(ABS(N($L1182)-(N($M1182)+N($N1182)+N($O1182)+N($P1182)))&gt;0.001,", a total that does not match its quarters",""),3,300))</f>
        <v/>
      </c>
    </row>
    <row r="1183" customFormat="false" ht="15" hidden="false" customHeight="false" outlineLevel="0" collapsed="false">
      <c r="A1183" s="33" t="str">
        <f aca="false">IF($G1183="","","Internal Audit Group")</f>
        <v/>
      </c>
      <c r="B1183" s="19"/>
      <c r="C1183" s="19"/>
      <c r="D1183" s="19"/>
      <c r="E1183" s="19"/>
      <c r="F1183" s="19"/>
      <c r="G1183" s="19"/>
      <c r="H1183" s="19"/>
      <c r="I1183" s="19"/>
      <c r="J1183" s="19"/>
      <c r="K1183" s="19"/>
      <c r="L1183" s="19"/>
      <c r="M1183" s="19"/>
      <c r="N1183" s="19"/>
      <c r="O1183" s="19"/>
      <c r="P1183" s="19"/>
      <c r="Q1183" s="19"/>
      <c r="R1183" s="19"/>
      <c r="S1183" s="19"/>
      <c r="T1183" s="34" t="str">
        <f aca="false">IF($R1183="","",IFERROR(INDEX(DriverCategory,MATCH($R1183,DriverList,0)),"BAU"))</f>
        <v/>
      </c>
      <c r="U1183" s="34" t="str">
        <f aca="false">IF($R1183="","",IFERROR(INDEX(DriverRank,MATCH($R1183,DriverList,0)),99))</f>
        <v/>
      </c>
      <c r="V1183" s="35" t="n">
        <f aca="false">IF($H1183="",0,IFERROR(INDEX(LevelBasic,MATCH($H1183,LevelList,0))+INDEX(LevelHousing,MATCH($H1183,LevelList,0))+INDEX(LevelTransport,MATCH($H1183,LevelList,0))+INDEX(LevelBasic,MATCH($H1183,LevelList,0))*INDEX(LevelBonus,MATCH($H1183,LevelList,0))+(INDEX(LevelBasic,MATCH($H1183,LevelList,0))+INDEX(LevelHousing,MATCH($H1183,LevelList,0)))*GosiSaudi,0))</f>
        <v>0</v>
      </c>
      <c r="W1183" s="35" t="n">
        <f aca="false">IFERROR(INDEX(LevelOneOff,MATCH($H1183,LevelList,0)),0)</f>
        <v>0</v>
      </c>
      <c r="X1183" s="35" t="str">
        <f aca="false">IF($G1183="","",$V1183*N($L1183))</f>
        <v/>
      </c>
      <c r="Y1183" s="35" t="str">
        <f aca="false">IF($G1183="","",$V1183*(N($M1183)*1+N($N1183)*0.75+N($O1183)*0.5+N($P1183)*0.25)+$W1183*N($L1183))</f>
        <v/>
      </c>
      <c r="Z1183" s="35" t="str">
        <f aca="false">IF($G1183="","",$U1183*1000000+ROW())</f>
        <v/>
      </c>
      <c r="AA1183" s="36" t="str">
        <f aca="false">IF($G1183="","",MID(IF($C1183="",", no division","")&amp;IF($E1183="",", no unit","")&amp;IF($H1183="",", no career level","")&amp;IF(N($L1183)&lt;=0,", no quarter split","")&amp;IF($R1183="",", no driver","")&amp;IF(AND($H1183&lt;&gt;"",COUNTIF(CareerLevels,$H1183)=0),", a career level that is not on the ladder","")&amp;IF(AND($R1183&lt;&gt;"",COUNTIF(DriverList,$R1183)=0),", a driver that is not on the list","")&amp;IF(ABS(N($L1183)-(N($M1183)+N($N1183)+N($O1183)+N($P1183)))&gt;0.001,", a total that does not match its quarters",""),3,300))</f>
        <v/>
      </c>
    </row>
    <row r="1184" customFormat="false" ht="15" hidden="false" customHeight="false" outlineLevel="0" collapsed="false">
      <c r="A1184" s="33" t="str">
        <f aca="false">IF($G1184="","","Internal Audit Group")</f>
        <v/>
      </c>
      <c r="B1184" s="19"/>
      <c r="C1184" s="19"/>
      <c r="D1184" s="19"/>
      <c r="E1184" s="19"/>
      <c r="F1184" s="19"/>
      <c r="G1184" s="19"/>
      <c r="H1184" s="19"/>
      <c r="I1184" s="19"/>
      <c r="J1184" s="19"/>
      <c r="K1184" s="19"/>
      <c r="L1184" s="19"/>
      <c r="M1184" s="19"/>
      <c r="N1184" s="19"/>
      <c r="O1184" s="19"/>
      <c r="P1184" s="19"/>
      <c r="Q1184" s="19"/>
      <c r="R1184" s="19"/>
      <c r="S1184" s="19"/>
      <c r="T1184" s="34" t="str">
        <f aca="false">IF($R1184="","",IFERROR(INDEX(DriverCategory,MATCH($R1184,DriverList,0)),"BAU"))</f>
        <v/>
      </c>
      <c r="U1184" s="34" t="str">
        <f aca="false">IF($R1184="","",IFERROR(INDEX(DriverRank,MATCH($R1184,DriverList,0)),99))</f>
        <v/>
      </c>
      <c r="V1184" s="35" t="n">
        <f aca="false">IF($H1184="",0,IFERROR(INDEX(LevelBasic,MATCH($H1184,LevelList,0))+INDEX(LevelHousing,MATCH($H1184,LevelList,0))+INDEX(LevelTransport,MATCH($H1184,LevelList,0))+INDEX(LevelBasic,MATCH($H1184,LevelList,0))*INDEX(LevelBonus,MATCH($H1184,LevelList,0))+(INDEX(LevelBasic,MATCH($H1184,LevelList,0))+INDEX(LevelHousing,MATCH($H1184,LevelList,0)))*GosiSaudi,0))</f>
        <v>0</v>
      </c>
      <c r="W1184" s="35" t="n">
        <f aca="false">IFERROR(INDEX(LevelOneOff,MATCH($H1184,LevelList,0)),0)</f>
        <v>0</v>
      </c>
      <c r="X1184" s="35" t="str">
        <f aca="false">IF($G1184="","",$V1184*N($L1184))</f>
        <v/>
      </c>
      <c r="Y1184" s="35" t="str">
        <f aca="false">IF($G1184="","",$V1184*(N($M1184)*1+N($N1184)*0.75+N($O1184)*0.5+N($P1184)*0.25)+$W1184*N($L1184))</f>
        <v/>
      </c>
      <c r="Z1184" s="35" t="str">
        <f aca="false">IF($G1184="","",$U1184*1000000+ROW())</f>
        <v/>
      </c>
      <c r="AA1184" s="36" t="str">
        <f aca="false">IF($G1184="","",MID(IF($C1184="",", no division","")&amp;IF($E1184="",", no unit","")&amp;IF($H1184="",", no career level","")&amp;IF(N($L1184)&lt;=0,", no quarter split","")&amp;IF($R1184="",", no driver","")&amp;IF(AND($H1184&lt;&gt;"",COUNTIF(CareerLevels,$H1184)=0),", a career level that is not on the ladder","")&amp;IF(AND($R1184&lt;&gt;"",COUNTIF(DriverList,$R1184)=0),", a driver that is not on the list","")&amp;IF(ABS(N($L1184)-(N($M1184)+N($N1184)+N($O1184)+N($P1184)))&gt;0.001,", a total that does not match its quarters",""),3,300))</f>
        <v/>
      </c>
    </row>
    <row r="1185" customFormat="false" ht="15" hidden="false" customHeight="false" outlineLevel="0" collapsed="false">
      <c r="A1185" s="33" t="str">
        <f aca="false">IF($G1185="","","Internal Audit Group")</f>
        <v/>
      </c>
      <c r="B1185" s="19"/>
      <c r="C1185" s="19"/>
      <c r="D1185" s="19"/>
      <c r="E1185" s="19"/>
      <c r="F1185" s="19"/>
      <c r="G1185" s="19"/>
      <c r="H1185" s="19"/>
      <c r="I1185" s="19"/>
      <c r="J1185" s="19"/>
      <c r="K1185" s="19"/>
      <c r="L1185" s="19"/>
      <c r="M1185" s="19"/>
      <c r="N1185" s="19"/>
      <c r="O1185" s="19"/>
      <c r="P1185" s="19"/>
      <c r="Q1185" s="19"/>
      <c r="R1185" s="19"/>
      <c r="S1185" s="19"/>
      <c r="T1185" s="34" t="str">
        <f aca="false">IF($R1185="","",IFERROR(INDEX(DriverCategory,MATCH($R1185,DriverList,0)),"BAU"))</f>
        <v/>
      </c>
      <c r="U1185" s="34" t="str">
        <f aca="false">IF($R1185="","",IFERROR(INDEX(DriverRank,MATCH($R1185,DriverList,0)),99))</f>
        <v/>
      </c>
      <c r="V1185" s="35" t="n">
        <f aca="false">IF($H1185="",0,IFERROR(INDEX(LevelBasic,MATCH($H1185,LevelList,0))+INDEX(LevelHousing,MATCH($H1185,LevelList,0))+INDEX(LevelTransport,MATCH($H1185,LevelList,0))+INDEX(LevelBasic,MATCH($H1185,LevelList,0))*INDEX(LevelBonus,MATCH($H1185,LevelList,0))+(INDEX(LevelBasic,MATCH($H1185,LevelList,0))+INDEX(LevelHousing,MATCH($H1185,LevelList,0)))*GosiSaudi,0))</f>
        <v>0</v>
      </c>
      <c r="W1185" s="35" t="n">
        <f aca="false">IFERROR(INDEX(LevelOneOff,MATCH($H1185,LevelList,0)),0)</f>
        <v>0</v>
      </c>
      <c r="X1185" s="35" t="str">
        <f aca="false">IF($G1185="","",$V1185*N($L1185))</f>
        <v/>
      </c>
      <c r="Y1185" s="35" t="str">
        <f aca="false">IF($G1185="","",$V1185*(N($M1185)*1+N($N1185)*0.75+N($O1185)*0.5+N($P1185)*0.25)+$W1185*N($L1185))</f>
        <v/>
      </c>
      <c r="Z1185" s="35" t="str">
        <f aca="false">IF($G1185="","",$U1185*1000000+ROW())</f>
        <v/>
      </c>
      <c r="AA1185" s="36" t="str">
        <f aca="false">IF($G1185="","",MID(IF($C1185="",", no division","")&amp;IF($E1185="",", no unit","")&amp;IF($H1185="",", no career level","")&amp;IF(N($L1185)&lt;=0,", no quarter split","")&amp;IF($R1185="",", no driver","")&amp;IF(AND($H1185&lt;&gt;"",COUNTIF(CareerLevels,$H1185)=0),", a career level that is not on the ladder","")&amp;IF(AND($R1185&lt;&gt;"",COUNTIF(DriverList,$R1185)=0),", a driver that is not on the list","")&amp;IF(ABS(N($L1185)-(N($M1185)+N($N1185)+N($O1185)+N($P1185)))&gt;0.001,", a total that does not match its quarters",""),3,300))</f>
        <v/>
      </c>
    </row>
    <row r="1186" customFormat="false" ht="15" hidden="false" customHeight="false" outlineLevel="0" collapsed="false">
      <c r="A1186" s="33" t="str">
        <f aca="false">IF($G1186="","","Internal Audit Group")</f>
        <v/>
      </c>
      <c r="B1186" s="19"/>
      <c r="C1186" s="19"/>
      <c r="D1186" s="19"/>
      <c r="E1186" s="19"/>
      <c r="F1186" s="19"/>
      <c r="G1186" s="19"/>
      <c r="H1186" s="19"/>
      <c r="I1186" s="19"/>
      <c r="J1186" s="19"/>
      <c r="K1186" s="19"/>
      <c r="L1186" s="19"/>
      <c r="M1186" s="19"/>
      <c r="N1186" s="19"/>
      <c r="O1186" s="19"/>
      <c r="P1186" s="19"/>
      <c r="Q1186" s="19"/>
      <c r="R1186" s="19"/>
      <c r="S1186" s="19"/>
      <c r="T1186" s="34" t="str">
        <f aca="false">IF($R1186="","",IFERROR(INDEX(DriverCategory,MATCH($R1186,DriverList,0)),"BAU"))</f>
        <v/>
      </c>
      <c r="U1186" s="34" t="str">
        <f aca="false">IF($R1186="","",IFERROR(INDEX(DriverRank,MATCH($R1186,DriverList,0)),99))</f>
        <v/>
      </c>
      <c r="V1186" s="35" t="n">
        <f aca="false">IF($H1186="",0,IFERROR(INDEX(LevelBasic,MATCH($H1186,LevelList,0))+INDEX(LevelHousing,MATCH($H1186,LevelList,0))+INDEX(LevelTransport,MATCH($H1186,LevelList,0))+INDEX(LevelBasic,MATCH($H1186,LevelList,0))*INDEX(LevelBonus,MATCH($H1186,LevelList,0))+(INDEX(LevelBasic,MATCH($H1186,LevelList,0))+INDEX(LevelHousing,MATCH($H1186,LevelList,0)))*GosiSaudi,0))</f>
        <v>0</v>
      </c>
      <c r="W1186" s="35" t="n">
        <f aca="false">IFERROR(INDEX(LevelOneOff,MATCH($H1186,LevelList,0)),0)</f>
        <v>0</v>
      </c>
      <c r="X1186" s="35" t="str">
        <f aca="false">IF($G1186="","",$V1186*N($L1186))</f>
        <v/>
      </c>
      <c r="Y1186" s="35" t="str">
        <f aca="false">IF($G1186="","",$V1186*(N($M1186)*1+N($N1186)*0.75+N($O1186)*0.5+N($P1186)*0.25)+$W1186*N($L1186))</f>
        <v/>
      </c>
      <c r="Z1186" s="35" t="str">
        <f aca="false">IF($G1186="","",$U1186*1000000+ROW())</f>
        <v/>
      </c>
      <c r="AA1186" s="36" t="str">
        <f aca="false">IF($G1186="","",MID(IF($C1186="",", no division","")&amp;IF($E1186="",", no unit","")&amp;IF($H1186="",", no career level","")&amp;IF(N($L1186)&lt;=0,", no quarter split","")&amp;IF($R1186="",", no driver","")&amp;IF(AND($H1186&lt;&gt;"",COUNTIF(CareerLevels,$H1186)=0),", a career level that is not on the ladder","")&amp;IF(AND($R1186&lt;&gt;"",COUNTIF(DriverList,$R1186)=0),", a driver that is not on the list","")&amp;IF(ABS(N($L1186)-(N($M1186)+N($N1186)+N($O1186)+N($P1186)))&gt;0.001,", a total that does not match its quarters",""),3,300))</f>
        <v/>
      </c>
    </row>
    <row r="1187" customFormat="false" ht="15" hidden="false" customHeight="false" outlineLevel="0" collapsed="false">
      <c r="A1187" s="33" t="str">
        <f aca="false">IF($G1187="","","Internal Audit Group")</f>
        <v/>
      </c>
      <c r="B1187" s="19"/>
      <c r="C1187" s="19"/>
      <c r="D1187" s="19"/>
      <c r="E1187" s="19"/>
      <c r="F1187" s="19"/>
      <c r="G1187" s="19"/>
      <c r="H1187" s="19"/>
      <c r="I1187" s="19"/>
      <c r="J1187" s="19"/>
      <c r="K1187" s="19"/>
      <c r="L1187" s="19"/>
      <c r="M1187" s="19"/>
      <c r="N1187" s="19"/>
      <c r="O1187" s="19"/>
      <c r="P1187" s="19"/>
      <c r="Q1187" s="19"/>
      <c r="R1187" s="19"/>
      <c r="S1187" s="19"/>
      <c r="T1187" s="34" t="str">
        <f aca="false">IF($R1187="","",IFERROR(INDEX(DriverCategory,MATCH($R1187,DriverList,0)),"BAU"))</f>
        <v/>
      </c>
      <c r="U1187" s="34" t="str">
        <f aca="false">IF($R1187="","",IFERROR(INDEX(DriverRank,MATCH($R1187,DriverList,0)),99))</f>
        <v/>
      </c>
      <c r="V1187" s="35" t="n">
        <f aca="false">IF($H1187="",0,IFERROR(INDEX(LevelBasic,MATCH($H1187,LevelList,0))+INDEX(LevelHousing,MATCH($H1187,LevelList,0))+INDEX(LevelTransport,MATCH($H1187,LevelList,0))+INDEX(LevelBasic,MATCH($H1187,LevelList,0))*INDEX(LevelBonus,MATCH($H1187,LevelList,0))+(INDEX(LevelBasic,MATCH($H1187,LevelList,0))+INDEX(LevelHousing,MATCH($H1187,LevelList,0)))*GosiSaudi,0))</f>
        <v>0</v>
      </c>
      <c r="W1187" s="35" t="n">
        <f aca="false">IFERROR(INDEX(LevelOneOff,MATCH($H1187,LevelList,0)),0)</f>
        <v>0</v>
      </c>
      <c r="X1187" s="35" t="str">
        <f aca="false">IF($G1187="","",$V1187*N($L1187))</f>
        <v/>
      </c>
      <c r="Y1187" s="35" t="str">
        <f aca="false">IF($G1187="","",$V1187*(N($M1187)*1+N($N1187)*0.75+N($O1187)*0.5+N($P1187)*0.25)+$W1187*N($L1187))</f>
        <v/>
      </c>
      <c r="Z1187" s="35" t="str">
        <f aca="false">IF($G1187="","",$U1187*1000000+ROW())</f>
        <v/>
      </c>
      <c r="AA1187" s="36" t="str">
        <f aca="false">IF($G1187="","",MID(IF($C1187="",", no division","")&amp;IF($E1187="",", no unit","")&amp;IF($H1187="",", no career level","")&amp;IF(N($L1187)&lt;=0,", no quarter split","")&amp;IF($R1187="",", no driver","")&amp;IF(AND($H1187&lt;&gt;"",COUNTIF(CareerLevels,$H1187)=0),", a career level that is not on the ladder","")&amp;IF(AND($R1187&lt;&gt;"",COUNTIF(DriverList,$R1187)=0),", a driver that is not on the list","")&amp;IF(ABS(N($L1187)-(N($M1187)+N($N1187)+N($O1187)+N($P1187)))&gt;0.001,", a total that does not match its quarters",""),3,300))</f>
        <v/>
      </c>
    </row>
    <row r="1188" customFormat="false" ht="15" hidden="false" customHeight="false" outlineLevel="0" collapsed="false">
      <c r="A1188" s="33" t="str">
        <f aca="false">IF($G1188="","","Internal Audit Group")</f>
        <v/>
      </c>
      <c r="B1188" s="19"/>
      <c r="C1188" s="19"/>
      <c r="D1188" s="19"/>
      <c r="E1188" s="19"/>
      <c r="F1188" s="19"/>
      <c r="G1188" s="19"/>
      <c r="H1188" s="19"/>
      <c r="I1188" s="19"/>
      <c r="J1188" s="19"/>
      <c r="K1188" s="19"/>
      <c r="L1188" s="19"/>
      <c r="M1188" s="19"/>
      <c r="N1188" s="19"/>
      <c r="O1188" s="19"/>
      <c r="P1188" s="19"/>
      <c r="Q1188" s="19"/>
      <c r="R1188" s="19"/>
      <c r="S1188" s="19"/>
      <c r="T1188" s="34" t="str">
        <f aca="false">IF($R1188="","",IFERROR(INDEX(DriverCategory,MATCH($R1188,DriverList,0)),"BAU"))</f>
        <v/>
      </c>
      <c r="U1188" s="34" t="str">
        <f aca="false">IF($R1188="","",IFERROR(INDEX(DriverRank,MATCH($R1188,DriverList,0)),99))</f>
        <v/>
      </c>
      <c r="V1188" s="35" t="n">
        <f aca="false">IF($H1188="",0,IFERROR(INDEX(LevelBasic,MATCH($H1188,LevelList,0))+INDEX(LevelHousing,MATCH($H1188,LevelList,0))+INDEX(LevelTransport,MATCH($H1188,LevelList,0))+INDEX(LevelBasic,MATCH($H1188,LevelList,0))*INDEX(LevelBonus,MATCH($H1188,LevelList,0))+(INDEX(LevelBasic,MATCH($H1188,LevelList,0))+INDEX(LevelHousing,MATCH($H1188,LevelList,0)))*GosiSaudi,0))</f>
        <v>0</v>
      </c>
      <c r="W1188" s="35" t="n">
        <f aca="false">IFERROR(INDEX(LevelOneOff,MATCH($H1188,LevelList,0)),0)</f>
        <v>0</v>
      </c>
      <c r="X1188" s="35" t="str">
        <f aca="false">IF($G1188="","",$V1188*N($L1188))</f>
        <v/>
      </c>
      <c r="Y1188" s="35" t="str">
        <f aca="false">IF($G1188="","",$V1188*(N($M1188)*1+N($N1188)*0.75+N($O1188)*0.5+N($P1188)*0.25)+$W1188*N($L1188))</f>
        <v/>
      </c>
      <c r="Z1188" s="35" t="str">
        <f aca="false">IF($G1188="","",$U1188*1000000+ROW())</f>
        <v/>
      </c>
      <c r="AA1188" s="36" t="str">
        <f aca="false">IF($G1188="","",MID(IF($C1188="",", no division","")&amp;IF($E1188="",", no unit","")&amp;IF($H1188="",", no career level","")&amp;IF(N($L1188)&lt;=0,", no quarter split","")&amp;IF($R1188="",", no driver","")&amp;IF(AND($H1188&lt;&gt;"",COUNTIF(CareerLevels,$H1188)=0),", a career level that is not on the ladder","")&amp;IF(AND($R1188&lt;&gt;"",COUNTIF(DriverList,$R1188)=0),", a driver that is not on the list","")&amp;IF(ABS(N($L1188)-(N($M1188)+N($N1188)+N($O1188)+N($P1188)))&gt;0.001,", a total that does not match its quarters",""),3,300))</f>
        <v/>
      </c>
    </row>
    <row r="1189" customFormat="false" ht="15" hidden="false" customHeight="false" outlineLevel="0" collapsed="false">
      <c r="A1189" s="33" t="str">
        <f aca="false">IF($G1189="","","Internal Audit Group")</f>
        <v/>
      </c>
      <c r="B1189" s="19"/>
      <c r="C1189" s="19"/>
      <c r="D1189" s="19"/>
      <c r="E1189" s="19"/>
      <c r="F1189" s="19"/>
      <c r="G1189" s="19"/>
      <c r="H1189" s="19"/>
      <c r="I1189" s="19"/>
      <c r="J1189" s="19"/>
      <c r="K1189" s="19"/>
      <c r="L1189" s="19"/>
      <c r="M1189" s="19"/>
      <c r="N1189" s="19"/>
      <c r="O1189" s="19"/>
      <c r="P1189" s="19"/>
      <c r="Q1189" s="19"/>
      <c r="R1189" s="19"/>
      <c r="S1189" s="19"/>
      <c r="T1189" s="34" t="str">
        <f aca="false">IF($R1189="","",IFERROR(INDEX(DriverCategory,MATCH($R1189,DriverList,0)),"BAU"))</f>
        <v/>
      </c>
      <c r="U1189" s="34" t="str">
        <f aca="false">IF($R1189="","",IFERROR(INDEX(DriverRank,MATCH($R1189,DriverList,0)),99))</f>
        <v/>
      </c>
      <c r="V1189" s="35" t="n">
        <f aca="false">IF($H1189="",0,IFERROR(INDEX(LevelBasic,MATCH($H1189,LevelList,0))+INDEX(LevelHousing,MATCH($H1189,LevelList,0))+INDEX(LevelTransport,MATCH($H1189,LevelList,0))+INDEX(LevelBasic,MATCH($H1189,LevelList,0))*INDEX(LevelBonus,MATCH($H1189,LevelList,0))+(INDEX(LevelBasic,MATCH($H1189,LevelList,0))+INDEX(LevelHousing,MATCH($H1189,LevelList,0)))*GosiSaudi,0))</f>
        <v>0</v>
      </c>
      <c r="W1189" s="35" t="n">
        <f aca="false">IFERROR(INDEX(LevelOneOff,MATCH($H1189,LevelList,0)),0)</f>
        <v>0</v>
      </c>
      <c r="X1189" s="35" t="str">
        <f aca="false">IF($G1189="","",$V1189*N($L1189))</f>
        <v/>
      </c>
      <c r="Y1189" s="35" t="str">
        <f aca="false">IF($G1189="","",$V1189*(N($M1189)*1+N($N1189)*0.75+N($O1189)*0.5+N($P1189)*0.25)+$W1189*N($L1189))</f>
        <v/>
      </c>
      <c r="Z1189" s="35" t="str">
        <f aca="false">IF($G1189="","",$U1189*1000000+ROW())</f>
        <v/>
      </c>
      <c r="AA1189" s="36" t="str">
        <f aca="false">IF($G1189="","",MID(IF($C1189="",", no division","")&amp;IF($E1189="",", no unit","")&amp;IF($H1189="",", no career level","")&amp;IF(N($L1189)&lt;=0,", no quarter split","")&amp;IF($R1189="",", no driver","")&amp;IF(AND($H1189&lt;&gt;"",COUNTIF(CareerLevels,$H1189)=0),", a career level that is not on the ladder","")&amp;IF(AND($R1189&lt;&gt;"",COUNTIF(DriverList,$R1189)=0),", a driver that is not on the list","")&amp;IF(ABS(N($L1189)-(N($M1189)+N($N1189)+N($O1189)+N($P1189)))&gt;0.001,", a total that does not match its quarters",""),3,300))</f>
        <v/>
      </c>
    </row>
    <row r="1190" customFormat="false" ht="15" hidden="false" customHeight="false" outlineLevel="0" collapsed="false">
      <c r="A1190" s="33" t="str">
        <f aca="false">IF($G1190="","","Internal Audit Group")</f>
        <v/>
      </c>
      <c r="B1190" s="19"/>
      <c r="C1190" s="19"/>
      <c r="D1190" s="19"/>
      <c r="E1190" s="19"/>
      <c r="F1190" s="19"/>
      <c r="G1190" s="19"/>
      <c r="H1190" s="19"/>
      <c r="I1190" s="19"/>
      <c r="J1190" s="19"/>
      <c r="K1190" s="19"/>
      <c r="L1190" s="19"/>
      <c r="M1190" s="19"/>
      <c r="N1190" s="19"/>
      <c r="O1190" s="19"/>
      <c r="P1190" s="19"/>
      <c r="Q1190" s="19"/>
      <c r="R1190" s="19"/>
      <c r="S1190" s="19"/>
      <c r="T1190" s="34" t="str">
        <f aca="false">IF($R1190="","",IFERROR(INDEX(DriverCategory,MATCH($R1190,DriverList,0)),"BAU"))</f>
        <v/>
      </c>
      <c r="U1190" s="34" t="str">
        <f aca="false">IF($R1190="","",IFERROR(INDEX(DriverRank,MATCH($R1190,DriverList,0)),99))</f>
        <v/>
      </c>
      <c r="V1190" s="35" t="n">
        <f aca="false">IF($H1190="",0,IFERROR(INDEX(LevelBasic,MATCH($H1190,LevelList,0))+INDEX(LevelHousing,MATCH($H1190,LevelList,0))+INDEX(LevelTransport,MATCH($H1190,LevelList,0))+INDEX(LevelBasic,MATCH($H1190,LevelList,0))*INDEX(LevelBonus,MATCH($H1190,LevelList,0))+(INDEX(LevelBasic,MATCH($H1190,LevelList,0))+INDEX(LevelHousing,MATCH($H1190,LevelList,0)))*GosiSaudi,0))</f>
        <v>0</v>
      </c>
      <c r="W1190" s="35" t="n">
        <f aca="false">IFERROR(INDEX(LevelOneOff,MATCH($H1190,LevelList,0)),0)</f>
        <v>0</v>
      </c>
      <c r="X1190" s="35" t="str">
        <f aca="false">IF($G1190="","",$V1190*N($L1190))</f>
        <v/>
      </c>
      <c r="Y1190" s="35" t="str">
        <f aca="false">IF($G1190="","",$V1190*(N($M1190)*1+N($N1190)*0.75+N($O1190)*0.5+N($P1190)*0.25)+$W1190*N($L1190))</f>
        <v/>
      </c>
      <c r="Z1190" s="35" t="str">
        <f aca="false">IF($G1190="","",$U1190*1000000+ROW())</f>
        <v/>
      </c>
      <c r="AA1190" s="36" t="str">
        <f aca="false">IF($G1190="","",MID(IF($C1190="",", no division","")&amp;IF($E1190="",", no unit","")&amp;IF($H1190="",", no career level","")&amp;IF(N($L1190)&lt;=0,", no quarter split","")&amp;IF($R1190="",", no driver","")&amp;IF(AND($H1190&lt;&gt;"",COUNTIF(CareerLevels,$H1190)=0),", a career level that is not on the ladder","")&amp;IF(AND($R1190&lt;&gt;"",COUNTIF(DriverList,$R1190)=0),", a driver that is not on the list","")&amp;IF(ABS(N($L1190)-(N($M1190)+N($N1190)+N($O1190)+N($P1190)))&gt;0.001,", a total that does not match its quarters",""),3,300))</f>
        <v/>
      </c>
    </row>
    <row r="1191" customFormat="false" ht="15" hidden="false" customHeight="false" outlineLevel="0" collapsed="false">
      <c r="A1191" s="33" t="str">
        <f aca="false">IF($G1191="","","Internal Audit Group")</f>
        <v/>
      </c>
      <c r="B1191" s="19"/>
      <c r="C1191" s="19"/>
      <c r="D1191" s="19"/>
      <c r="E1191" s="19"/>
      <c r="F1191" s="19"/>
      <c r="G1191" s="19"/>
      <c r="H1191" s="19"/>
      <c r="I1191" s="19"/>
      <c r="J1191" s="19"/>
      <c r="K1191" s="19"/>
      <c r="L1191" s="19"/>
      <c r="M1191" s="19"/>
      <c r="N1191" s="19"/>
      <c r="O1191" s="19"/>
      <c r="P1191" s="19"/>
      <c r="Q1191" s="19"/>
      <c r="R1191" s="19"/>
      <c r="S1191" s="19"/>
      <c r="T1191" s="34" t="str">
        <f aca="false">IF($R1191="","",IFERROR(INDEX(DriverCategory,MATCH($R1191,DriverList,0)),"BAU"))</f>
        <v/>
      </c>
      <c r="U1191" s="34" t="str">
        <f aca="false">IF($R1191="","",IFERROR(INDEX(DriverRank,MATCH($R1191,DriverList,0)),99))</f>
        <v/>
      </c>
      <c r="V1191" s="35" t="n">
        <f aca="false">IF($H1191="",0,IFERROR(INDEX(LevelBasic,MATCH($H1191,LevelList,0))+INDEX(LevelHousing,MATCH($H1191,LevelList,0))+INDEX(LevelTransport,MATCH($H1191,LevelList,0))+INDEX(LevelBasic,MATCH($H1191,LevelList,0))*INDEX(LevelBonus,MATCH($H1191,LevelList,0))+(INDEX(LevelBasic,MATCH($H1191,LevelList,0))+INDEX(LevelHousing,MATCH($H1191,LevelList,0)))*GosiSaudi,0))</f>
        <v>0</v>
      </c>
      <c r="W1191" s="35" t="n">
        <f aca="false">IFERROR(INDEX(LevelOneOff,MATCH($H1191,LevelList,0)),0)</f>
        <v>0</v>
      </c>
      <c r="X1191" s="35" t="str">
        <f aca="false">IF($G1191="","",$V1191*N($L1191))</f>
        <v/>
      </c>
      <c r="Y1191" s="35" t="str">
        <f aca="false">IF($G1191="","",$V1191*(N($M1191)*1+N($N1191)*0.75+N($O1191)*0.5+N($P1191)*0.25)+$W1191*N($L1191))</f>
        <v/>
      </c>
      <c r="Z1191" s="35" t="str">
        <f aca="false">IF($G1191="","",$U1191*1000000+ROW())</f>
        <v/>
      </c>
      <c r="AA1191" s="36" t="str">
        <f aca="false">IF($G1191="","",MID(IF($C1191="",", no division","")&amp;IF($E1191="",", no unit","")&amp;IF($H1191="",", no career level","")&amp;IF(N($L1191)&lt;=0,", no quarter split","")&amp;IF($R1191="",", no driver","")&amp;IF(AND($H1191&lt;&gt;"",COUNTIF(CareerLevels,$H1191)=0),", a career level that is not on the ladder","")&amp;IF(AND($R1191&lt;&gt;"",COUNTIF(DriverList,$R1191)=0),", a driver that is not on the list","")&amp;IF(ABS(N($L1191)-(N($M1191)+N($N1191)+N($O1191)+N($P1191)))&gt;0.001,", a total that does not match its quarters",""),3,300))</f>
        <v/>
      </c>
    </row>
    <row r="1192" customFormat="false" ht="15" hidden="false" customHeight="false" outlineLevel="0" collapsed="false">
      <c r="A1192" s="33" t="str">
        <f aca="false">IF($G1192="","","Internal Audit Group")</f>
        <v/>
      </c>
      <c r="B1192" s="19"/>
      <c r="C1192" s="19"/>
      <c r="D1192" s="19"/>
      <c r="E1192" s="19"/>
      <c r="F1192" s="19"/>
      <c r="G1192" s="19"/>
      <c r="H1192" s="19"/>
      <c r="I1192" s="19"/>
      <c r="J1192" s="19"/>
      <c r="K1192" s="19"/>
      <c r="L1192" s="19"/>
      <c r="M1192" s="19"/>
      <c r="N1192" s="19"/>
      <c r="O1192" s="19"/>
      <c r="P1192" s="19"/>
      <c r="Q1192" s="19"/>
      <c r="R1192" s="19"/>
      <c r="S1192" s="19"/>
      <c r="T1192" s="34" t="str">
        <f aca="false">IF($R1192="","",IFERROR(INDEX(DriverCategory,MATCH($R1192,DriverList,0)),"BAU"))</f>
        <v/>
      </c>
      <c r="U1192" s="34" t="str">
        <f aca="false">IF($R1192="","",IFERROR(INDEX(DriverRank,MATCH($R1192,DriverList,0)),99))</f>
        <v/>
      </c>
      <c r="V1192" s="35" t="n">
        <f aca="false">IF($H1192="",0,IFERROR(INDEX(LevelBasic,MATCH($H1192,LevelList,0))+INDEX(LevelHousing,MATCH($H1192,LevelList,0))+INDEX(LevelTransport,MATCH($H1192,LevelList,0))+INDEX(LevelBasic,MATCH($H1192,LevelList,0))*INDEX(LevelBonus,MATCH($H1192,LevelList,0))+(INDEX(LevelBasic,MATCH($H1192,LevelList,0))+INDEX(LevelHousing,MATCH($H1192,LevelList,0)))*GosiSaudi,0))</f>
        <v>0</v>
      </c>
      <c r="W1192" s="35" t="n">
        <f aca="false">IFERROR(INDEX(LevelOneOff,MATCH($H1192,LevelList,0)),0)</f>
        <v>0</v>
      </c>
      <c r="X1192" s="35" t="str">
        <f aca="false">IF($G1192="","",$V1192*N($L1192))</f>
        <v/>
      </c>
      <c r="Y1192" s="35" t="str">
        <f aca="false">IF($G1192="","",$V1192*(N($M1192)*1+N($N1192)*0.75+N($O1192)*0.5+N($P1192)*0.25)+$W1192*N($L1192))</f>
        <v/>
      </c>
      <c r="Z1192" s="35" t="str">
        <f aca="false">IF($G1192="","",$U1192*1000000+ROW())</f>
        <v/>
      </c>
      <c r="AA1192" s="36" t="str">
        <f aca="false">IF($G1192="","",MID(IF($C1192="",", no division","")&amp;IF($E1192="",", no unit","")&amp;IF($H1192="",", no career level","")&amp;IF(N($L1192)&lt;=0,", no quarter split","")&amp;IF($R1192="",", no driver","")&amp;IF(AND($H1192&lt;&gt;"",COUNTIF(CareerLevels,$H1192)=0),", a career level that is not on the ladder","")&amp;IF(AND($R1192&lt;&gt;"",COUNTIF(DriverList,$R1192)=0),", a driver that is not on the list","")&amp;IF(ABS(N($L1192)-(N($M1192)+N($N1192)+N($O1192)+N($P1192)))&gt;0.001,", a total that does not match its quarters",""),3,300))</f>
        <v/>
      </c>
    </row>
    <row r="1193" customFormat="false" ht="15" hidden="false" customHeight="false" outlineLevel="0" collapsed="false">
      <c r="A1193" s="33" t="str">
        <f aca="false">IF($G1193="","","Internal Audit Group")</f>
        <v/>
      </c>
      <c r="B1193" s="19"/>
      <c r="C1193" s="19"/>
      <c r="D1193" s="19"/>
      <c r="E1193" s="19"/>
      <c r="F1193" s="19"/>
      <c r="G1193" s="19"/>
      <c r="H1193" s="19"/>
      <c r="I1193" s="19"/>
      <c r="J1193" s="19"/>
      <c r="K1193" s="19"/>
      <c r="L1193" s="19"/>
      <c r="M1193" s="19"/>
      <c r="N1193" s="19"/>
      <c r="O1193" s="19"/>
      <c r="P1193" s="19"/>
      <c r="Q1193" s="19"/>
      <c r="R1193" s="19"/>
      <c r="S1193" s="19"/>
      <c r="T1193" s="34" t="str">
        <f aca="false">IF($R1193="","",IFERROR(INDEX(DriverCategory,MATCH($R1193,DriverList,0)),"BAU"))</f>
        <v/>
      </c>
      <c r="U1193" s="34" t="str">
        <f aca="false">IF($R1193="","",IFERROR(INDEX(DriverRank,MATCH($R1193,DriverList,0)),99))</f>
        <v/>
      </c>
      <c r="V1193" s="35" t="n">
        <f aca="false">IF($H1193="",0,IFERROR(INDEX(LevelBasic,MATCH($H1193,LevelList,0))+INDEX(LevelHousing,MATCH($H1193,LevelList,0))+INDEX(LevelTransport,MATCH($H1193,LevelList,0))+INDEX(LevelBasic,MATCH($H1193,LevelList,0))*INDEX(LevelBonus,MATCH($H1193,LevelList,0))+(INDEX(LevelBasic,MATCH($H1193,LevelList,0))+INDEX(LevelHousing,MATCH($H1193,LevelList,0)))*GosiSaudi,0))</f>
        <v>0</v>
      </c>
      <c r="W1193" s="35" t="n">
        <f aca="false">IFERROR(INDEX(LevelOneOff,MATCH($H1193,LevelList,0)),0)</f>
        <v>0</v>
      </c>
      <c r="X1193" s="35" t="str">
        <f aca="false">IF($G1193="","",$V1193*N($L1193))</f>
        <v/>
      </c>
      <c r="Y1193" s="35" t="str">
        <f aca="false">IF($G1193="","",$V1193*(N($M1193)*1+N($N1193)*0.75+N($O1193)*0.5+N($P1193)*0.25)+$W1193*N($L1193))</f>
        <v/>
      </c>
      <c r="Z1193" s="35" t="str">
        <f aca="false">IF($G1193="","",$U1193*1000000+ROW())</f>
        <v/>
      </c>
      <c r="AA1193" s="36" t="str">
        <f aca="false">IF($G1193="","",MID(IF($C1193="",", no division","")&amp;IF($E1193="",", no unit","")&amp;IF($H1193="",", no career level","")&amp;IF(N($L1193)&lt;=0,", no quarter split","")&amp;IF($R1193="",", no driver","")&amp;IF(AND($H1193&lt;&gt;"",COUNTIF(CareerLevels,$H1193)=0),", a career level that is not on the ladder","")&amp;IF(AND($R1193&lt;&gt;"",COUNTIF(DriverList,$R1193)=0),", a driver that is not on the list","")&amp;IF(ABS(N($L1193)-(N($M1193)+N($N1193)+N($O1193)+N($P1193)))&gt;0.001,", a total that does not match its quarters",""),3,300))</f>
        <v/>
      </c>
    </row>
    <row r="1194" customFormat="false" ht="15" hidden="false" customHeight="false" outlineLevel="0" collapsed="false">
      <c r="A1194" s="33" t="str">
        <f aca="false">IF($G1194="","","Internal Audit Group")</f>
        <v/>
      </c>
      <c r="B1194" s="19"/>
      <c r="C1194" s="19"/>
      <c r="D1194" s="19"/>
      <c r="E1194" s="19"/>
      <c r="F1194" s="19"/>
      <c r="G1194" s="19"/>
      <c r="H1194" s="19"/>
      <c r="I1194" s="19"/>
      <c r="J1194" s="19"/>
      <c r="K1194" s="19"/>
      <c r="L1194" s="19"/>
      <c r="M1194" s="19"/>
      <c r="N1194" s="19"/>
      <c r="O1194" s="19"/>
      <c r="P1194" s="19"/>
      <c r="Q1194" s="19"/>
      <c r="R1194" s="19"/>
      <c r="S1194" s="19"/>
      <c r="T1194" s="34" t="str">
        <f aca="false">IF($R1194="","",IFERROR(INDEX(DriverCategory,MATCH($R1194,DriverList,0)),"BAU"))</f>
        <v/>
      </c>
      <c r="U1194" s="34" t="str">
        <f aca="false">IF($R1194="","",IFERROR(INDEX(DriverRank,MATCH($R1194,DriverList,0)),99))</f>
        <v/>
      </c>
      <c r="V1194" s="35" t="n">
        <f aca="false">IF($H1194="",0,IFERROR(INDEX(LevelBasic,MATCH($H1194,LevelList,0))+INDEX(LevelHousing,MATCH($H1194,LevelList,0))+INDEX(LevelTransport,MATCH($H1194,LevelList,0))+INDEX(LevelBasic,MATCH($H1194,LevelList,0))*INDEX(LevelBonus,MATCH($H1194,LevelList,0))+(INDEX(LevelBasic,MATCH($H1194,LevelList,0))+INDEX(LevelHousing,MATCH($H1194,LevelList,0)))*GosiSaudi,0))</f>
        <v>0</v>
      </c>
      <c r="W1194" s="35" t="n">
        <f aca="false">IFERROR(INDEX(LevelOneOff,MATCH($H1194,LevelList,0)),0)</f>
        <v>0</v>
      </c>
      <c r="X1194" s="35" t="str">
        <f aca="false">IF($G1194="","",$V1194*N($L1194))</f>
        <v/>
      </c>
      <c r="Y1194" s="35" t="str">
        <f aca="false">IF($G1194="","",$V1194*(N($M1194)*1+N($N1194)*0.75+N($O1194)*0.5+N($P1194)*0.25)+$W1194*N($L1194))</f>
        <v/>
      </c>
      <c r="Z1194" s="35" t="str">
        <f aca="false">IF($G1194="","",$U1194*1000000+ROW())</f>
        <v/>
      </c>
      <c r="AA1194" s="36" t="str">
        <f aca="false">IF($G1194="","",MID(IF($C1194="",", no division","")&amp;IF($E1194="",", no unit","")&amp;IF($H1194="",", no career level","")&amp;IF(N($L1194)&lt;=0,", no quarter split","")&amp;IF($R1194="",", no driver","")&amp;IF(AND($H1194&lt;&gt;"",COUNTIF(CareerLevels,$H1194)=0),", a career level that is not on the ladder","")&amp;IF(AND($R1194&lt;&gt;"",COUNTIF(DriverList,$R1194)=0),", a driver that is not on the list","")&amp;IF(ABS(N($L1194)-(N($M1194)+N($N1194)+N($O1194)+N($P1194)))&gt;0.001,", a total that does not match its quarters",""),3,300))</f>
        <v/>
      </c>
    </row>
    <row r="1195" customFormat="false" ht="15" hidden="false" customHeight="false" outlineLevel="0" collapsed="false">
      <c r="A1195" s="33" t="str">
        <f aca="false">IF($G1195="","","Internal Audit Group")</f>
        <v/>
      </c>
      <c r="B1195" s="19"/>
      <c r="C1195" s="19"/>
      <c r="D1195" s="19"/>
      <c r="E1195" s="19"/>
      <c r="F1195" s="19"/>
      <c r="G1195" s="19"/>
      <c r="H1195" s="19"/>
      <c r="I1195" s="19"/>
      <c r="J1195" s="19"/>
      <c r="K1195" s="19"/>
      <c r="L1195" s="19"/>
      <c r="M1195" s="19"/>
      <c r="N1195" s="19"/>
      <c r="O1195" s="19"/>
      <c r="P1195" s="19"/>
      <c r="Q1195" s="19"/>
      <c r="R1195" s="19"/>
      <c r="S1195" s="19"/>
      <c r="T1195" s="34" t="str">
        <f aca="false">IF($R1195="","",IFERROR(INDEX(DriverCategory,MATCH($R1195,DriverList,0)),"BAU"))</f>
        <v/>
      </c>
      <c r="U1195" s="34" t="str">
        <f aca="false">IF($R1195="","",IFERROR(INDEX(DriverRank,MATCH($R1195,DriverList,0)),99))</f>
        <v/>
      </c>
      <c r="V1195" s="35" t="n">
        <f aca="false">IF($H1195="",0,IFERROR(INDEX(LevelBasic,MATCH($H1195,LevelList,0))+INDEX(LevelHousing,MATCH($H1195,LevelList,0))+INDEX(LevelTransport,MATCH($H1195,LevelList,0))+INDEX(LevelBasic,MATCH($H1195,LevelList,0))*INDEX(LevelBonus,MATCH($H1195,LevelList,0))+(INDEX(LevelBasic,MATCH($H1195,LevelList,0))+INDEX(LevelHousing,MATCH($H1195,LevelList,0)))*GosiSaudi,0))</f>
        <v>0</v>
      </c>
      <c r="W1195" s="35" t="n">
        <f aca="false">IFERROR(INDEX(LevelOneOff,MATCH($H1195,LevelList,0)),0)</f>
        <v>0</v>
      </c>
      <c r="X1195" s="35" t="str">
        <f aca="false">IF($G1195="","",$V1195*N($L1195))</f>
        <v/>
      </c>
      <c r="Y1195" s="35" t="str">
        <f aca="false">IF($G1195="","",$V1195*(N($M1195)*1+N($N1195)*0.75+N($O1195)*0.5+N($P1195)*0.25)+$W1195*N($L1195))</f>
        <v/>
      </c>
      <c r="Z1195" s="35" t="str">
        <f aca="false">IF($G1195="","",$U1195*1000000+ROW())</f>
        <v/>
      </c>
      <c r="AA1195" s="36" t="str">
        <f aca="false">IF($G1195="","",MID(IF($C1195="",", no division","")&amp;IF($E1195="",", no unit","")&amp;IF($H1195="",", no career level","")&amp;IF(N($L1195)&lt;=0,", no quarter split","")&amp;IF($R1195="",", no driver","")&amp;IF(AND($H1195&lt;&gt;"",COUNTIF(CareerLevels,$H1195)=0),", a career level that is not on the ladder","")&amp;IF(AND($R1195&lt;&gt;"",COUNTIF(DriverList,$R1195)=0),", a driver that is not on the list","")&amp;IF(ABS(N($L1195)-(N($M1195)+N($N1195)+N($O1195)+N($P1195)))&gt;0.001,", a total that does not match its quarters",""),3,300))</f>
        <v/>
      </c>
    </row>
    <row r="1196" customFormat="false" ht="15" hidden="false" customHeight="false" outlineLevel="0" collapsed="false">
      <c r="A1196" s="33" t="str">
        <f aca="false">IF($G1196="","","Internal Audit Group")</f>
        <v/>
      </c>
      <c r="B1196" s="19"/>
      <c r="C1196" s="19"/>
      <c r="D1196" s="19"/>
      <c r="E1196" s="19"/>
      <c r="F1196" s="19"/>
      <c r="G1196" s="19"/>
      <c r="H1196" s="19"/>
      <c r="I1196" s="19"/>
      <c r="J1196" s="19"/>
      <c r="K1196" s="19"/>
      <c r="L1196" s="19"/>
      <c r="M1196" s="19"/>
      <c r="N1196" s="19"/>
      <c r="O1196" s="19"/>
      <c r="P1196" s="19"/>
      <c r="Q1196" s="19"/>
      <c r="R1196" s="19"/>
      <c r="S1196" s="19"/>
      <c r="T1196" s="34" t="str">
        <f aca="false">IF($R1196="","",IFERROR(INDEX(DriverCategory,MATCH($R1196,DriverList,0)),"BAU"))</f>
        <v/>
      </c>
      <c r="U1196" s="34" t="str">
        <f aca="false">IF($R1196="","",IFERROR(INDEX(DriverRank,MATCH($R1196,DriverList,0)),99))</f>
        <v/>
      </c>
      <c r="V1196" s="35" t="n">
        <f aca="false">IF($H1196="",0,IFERROR(INDEX(LevelBasic,MATCH($H1196,LevelList,0))+INDEX(LevelHousing,MATCH($H1196,LevelList,0))+INDEX(LevelTransport,MATCH($H1196,LevelList,0))+INDEX(LevelBasic,MATCH($H1196,LevelList,0))*INDEX(LevelBonus,MATCH($H1196,LevelList,0))+(INDEX(LevelBasic,MATCH($H1196,LevelList,0))+INDEX(LevelHousing,MATCH($H1196,LevelList,0)))*GosiSaudi,0))</f>
        <v>0</v>
      </c>
      <c r="W1196" s="35" t="n">
        <f aca="false">IFERROR(INDEX(LevelOneOff,MATCH($H1196,LevelList,0)),0)</f>
        <v>0</v>
      </c>
      <c r="X1196" s="35" t="str">
        <f aca="false">IF($G1196="","",$V1196*N($L1196))</f>
        <v/>
      </c>
      <c r="Y1196" s="35" t="str">
        <f aca="false">IF($G1196="","",$V1196*(N($M1196)*1+N($N1196)*0.75+N($O1196)*0.5+N($P1196)*0.25)+$W1196*N($L1196))</f>
        <v/>
      </c>
      <c r="Z1196" s="35" t="str">
        <f aca="false">IF($G1196="","",$U1196*1000000+ROW())</f>
        <v/>
      </c>
      <c r="AA1196" s="36" t="str">
        <f aca="false">IF($G1196="","",MID(IF($C1196="",", no division","")&amp;IF($E1196="",", no unit","")&amp;IF($H1196="",", no career level","")&amp;IF(N($L1196)&lt;=0,", no quarter split","")&amp;IF($R1196="",", no driver","")&amp;IF(AND($H1196&lt;&gt;"",COUNTIF(CareerLevels,$H1196)=0),", a career level that is not on the ladder","")&amp;IF(AND($R1196&lt;&gt;"",COUNTIF(DriverList,$R1196)=0),", a driver that is not on the list","")&amp;IF(ABS(N($L1196)-(N($M1196)+N($N1196)+N($O1196)+N($P1196)))&gt;0.001,", a total that does not match its quarters",""),3,300))</f>
        <v/>
      </c>
    </row>
    <row r="1197" customFormat="false" ht="15" hidden="false" customHeight="false" outlineLevel="0" collapsed="false">
      <c r="A1197" s="33" t="str">
        <f aca="false">IF($G1197="","","Internal Audit Group")</f>
        <v/>
      </c>
      <c r="B1197" s="19"/>
      <c r="C1197" s="19"/>
      <c r="D1197" s="19"/>
      <c r="E1197" s="19"/>
      <c r="F1197" s="19"/>
      <c r="G1197" s="19"/>
      <c r="H1197" s="19"/>
      <c r="I1197" s="19"/>
      <c r="J1197" s="19"/>
      <c r="K1197" s="19"/>
      <c r="L1197" s="19"/>
      <c r="M1197" s="19"/>
      <c r="N1197" s="19"/>
      <c r="O1197" s="19"/>
      <c r="P1197" s="19"/>
      <c r="Q1197" s="19"/>
      <c r="R1197" s="19"/>
      <c r="S1197" s="19"/>
      <c r="T1197" s="34" t="str">
        <f aca="false">IF($R1197="","",IFERROR(INDEX(DriverCategory,MATCH($R1197,DriverList,0)),"BAU"))</f>
        <v/>
      </c>
      <c r="U1197" s="34" t="str">
        <f aca="false">IF($R1197="","",IFERROR(INDEX(DriverRank,MATCH($R1197,DriverList,0)),99))</f>
        <v/>
      </c>
      <c r="V1197" s="35" t="n">
        <f aca="false">IF($H1197="",0,IFERROR(INDEX(LevelBasic,MATCH($H1197,LevelList,0))+INDEX(LevelHousing,MATCH($H1197,LevelList,0))+INDEX(LevelTransport,MATCH($H1197,LevelList,0))+INDEX(LevelBasic,MATCH($H1197,LevelList,0))*INDEX(LevelBonus,MATCH($H1197,LevelList,0))+(INDEX(LevelBasic,MATCH($H1197,LevelList,0))+INDEX(LevelHousing,MATCH($H1197,LevelList,0)))*GosiSaudi,0))</f>
        <v>0</v>
      </c>
      <c r="W1197" s="35" t="n">
        <f aca="false">IFERROR(INDEX(LevelOneOff,MATCH($H1197,LevelList,0)),0)</f>
        <v>0</v>
      </c>
      <c r="X1197" s="35" t="str">
        <f aca="false">IF($G1197="","",$V1197*N($L1197))</f>
        <v/>
      </c>
      <c r="Y1197" s="35" t="str">
        <f aca="false">IF($G1197="","",$V1197*(N($M1197)*1+N($N1197)*0.75+N($O1197)*0.5+N($P1197)*0.25)+$W1197*N($L1197))</f>
        <v/>
      </c>
      <c r="Z1197" s="35" t="str">
        <f aca="false">IF($G1197="","",$U1197*1000000+ROW())</f>
        <v/>
      </c>
      <c r="AA1197" s="36" t="str">
        <f aca="false">IF($G1197="","",MID(IF($C1197="",", no division","")&amp;IF($E1197="",", no unit","")&amp;IF($H1197="",", no career level","")&amp;IF(N($L1197)&lt;=0,", no quarter split","")&amp;IF($R1197="",", no driver","")&amp;IF(AND($H1197&lt;&gt;"",COUNTIF(CareerLevels,$H1197)=0),", a career level that is not on the ladder","")&amp;IF(AND($R1197&lt;&gt;"",COUNTIF(DriverList,$R1197)=0),", a driver that is not on the list","")&amp;IF(ABS(N($L1197)-(N($M1197)+N($N1197)+N($O1197)+N($P1197)))&gt;0.001,", a total that does not match its quarters",""),3,300))</f>
        <v/>
      </c>
    </row>
    <row r="1198" customFormat="false" ht="15" hidden="false" customHeight="false" outlineLevel="0" collapsed="false">
      <c r="A1198" s="33" t="str">
        <f aca="false">IF($G1198="","","Internal Audit Group")</f>
        <v/>
      </c>
      <c r="B1198" s="19"/>
      <c r="C1198" s="19"/>
      <c r="D1198" s="19"/>
      <c r="E1198" s="19"/>
      <c r="F1198" s="19"/>
      <c r="G1198" s="19"/>
      <c r="H1198" s="19"/>
      <c r="I1198" s="19"/>
      <c r="J1198" s="19"/>
      <c r="K1198" s="19"/>
      <c r="L1198" s="19"/>
      <c r="M1198" s="19"/>
      <c r="N1198" s="19"/>
      <c r="O1198" s="19"/>
      <c r="P1198" s="19"/>
      <c r="Q1198" s="19"/>
      <c r="R1198" s="19"/>
      <c r="S1198" s="19"/>
      <c r="T1198" s="34" t="str">
        <f aca="false">IF($R1198="","",IFERROR(INDEX(DriverCategory,MATCH($R1198,DriverList,0)),"BAU"))</f>
        <v/>
      </c>
      <c r="U1198" s="34" t="str">
        <f aca="false">IF($R1198="","",IFERROR(INDEX(DriverRank,MATCH($R1198,DriverList,0)),99))</f>
        <v/>
      </c>
      <c r="V1198" s="35" t="n">
        <f aca="false">IF($H1198="",0,IFERROR(INDEX(LevelBasic,MATCH($H1198,LevelList,0))+INDEX(LevelHousing,MATCH($H1198,LevelList,0))+INDEX(LevelTransport,MATCH($H1198,LevelList,0))+INDEX(LevelBasic,MATCH($H1198,LevelList,0))*INDEX(LevelBonus,MATCH($H1198,LevelList,0))+(INDEX(LevelBasic,MATCH($H1198,LevelList,0))+INDEX(LevelHousing,MATCH($H1198,LevelList,0)))*GosiSaudi,0))</f>
        <v>0</v>
      </c>
      <c r="W1198" s="35" t="n">
        <f aca="false">IFERROR(INDEX(LevelOneOff,MATCH($H1198,LevelList,0)),0)</f>
        <v>0</v>
      </c>
      <c r="X1198" s="35" t="str">
        <f aca="false">IF($G1198="","",$V1198*N($L1198))</f>
        <v/>
      </c>
      <c r="Y1198" s="35" t="str">
        <f aca="false">IF($G1198="","",$V1198*(N($M1198)*1+N($N1198)*0.75+N($O1198)*0.5+N($P1198)*0.25)+$W1198*N($L1198))</f>
        <v/>
      </c>
      <c r="Z1198" s="35" t="str">
        <f aca="false">IF($G1198="","",$U1198*1000000+ROW())</f>
        <v/>
      </c>
      <c r="AA1198" s="36" t="str">
        <f aca="false">IF($G1198="","",MID(IF($C1198="",", no division","")&amp;IF($E1198="",", no unit","")&amp;IF($H1198="",", no career level","")&amp;IF(N($L1198)&lt;=0,", no quarter split","")&amp;IF($R1198="",", no driver","")&amp;IF(AND($H1198&lt;&gt;"",COUNTIF(CareerLevels,$H1198)=0),", a career level that is not on the ladder","")&amp;IF(AND($R1198&lt;&gt;"",COUNTIF(DriverList,$R1198)=0),", a driver that is not on the list","")&amp;IF(ABS(N($L1198)-(N($M1198)+N($N1198)+N($O1198)+N($P1198)))&gt;0.001,", a total that does not match its quarters",""),3,300))</f>
        <v/>
      </c>
    </row>
    <row r="1199" customFormat="false" ht="15" hidden="false" customHeight="false" outlineLevel="0" collapsed="false">
      <c r="A1199" s="33" t="str">
        <f aca="false">IF($G1199="","","Internal Audit Group")</f>
        <v/>
      </c>
      <c r="B1199" s="19"/>
      <c r="C1199" s="19"/>
      <c r="D1199" s="19"/>
      <c r="E1199" s="19"/>
      <c r="F1199" s="19"/>
      <c r="G1199" s="19"/>
      <c r="H1199" s="19"/>
      <c r="I1199" s="19"/>
      <c r="J1199" s="19"/>
      <c r="K1199" s="19"/>
      <c r="L1199" s="19"/>
      <c r="M1199" s="19"/>
      <c r="N1199" s="19"/>
      <c r="O1199" s="19"/>
      <c r="P1199" s="19"/>
      <c r="Q1199" s="19"/>
      <c r="R1199" s="19"/>
      <c r="S1199" s="19"/>
      <c r="T1199" s="34" t="str">
        <f aca="false">IF($R1199="","",IFERROR(INDEX(DriverCategory,MATCH($R1199,DriverList,0)),"BAU"))</f>
        <v/>
      </c>
      <c r="U1199" s="34" t="str">
        <f aca="false">IF($R1199="","",IFERROR(INDEX(DriverRank,MATCH($R1199,DriverList,0)),99))</f>
        <v/>
      </c>
      <c r="V1199" s="35" t="n">
        <f aca="false">IF($H1199="",0,IFERROR(INDEX(LevelBasic,MATCH($H1199,LevelList,0))+INDEX(LevelHousing,MATCH($H1199,LevelList,0))+INDEX(LevelTransport,MATCH($H1199,LevelList,0))+INDEX(LevelBasic,MATCH($H1199,LevelList,0))*INDEX(LevelBonus,MATCH($H1199,LevelList,0))+(INDEX(LevelBasic,MATCH($H1199,LevelList,0))+INDEX(LevelHousing,MATCH($H1199,LevelList,0)))*GosiSaudi,0))</f>
        <v>0</v>
      </c>
      <c r="W1199" s="35" t="n">
        <f aca="false">IFERROR(INDEX(LevelOneOff,MATCH($H1199,LevelList,0)),0)</f>
        <v>0</v>
      </c>
      <c r="X1199" s="35" t="str">
        <f aca="false">IF($G1199="","",$V1199*N($L1199))</f>
        <v/>
      </c>
      <c r="Y1199" s="35" t="str">
        <f aca="false">IF($G1199="","",$V1199*(N($M1199)*1+N($N1199)*0.75+N($O1199)*0.5+N($P1199)*0.25)+$W1199*N($L1199))</f>
        <v/>
      </c>
      <c r="Z1199" s="35" t="str">
        <f aca="false">IF($G1199="","",$U1199*1000000+ROW())</f>
        <v/>
      </c>
      <c r="AA1199" s="36" t="str">
        <f aca="false">IF($G1199="","",MID(IF($C1199="",", no division","")&amp;IF($E1199="",", no unit","")&amp;IF($H1199="",", no career level","")&amp;IF(N($L1199)&lt;=0,", no quarter split","")&amp;IF($R1199="",", no driver","")&amp;IF(AND($H1199&lt;&gt;"",COUNTIF(CareerLevels,$H1199)=0),", a career level that is not on the ladder","")&amp;IF(AND($R1199&lt;&gt;"",COUNTIF(DriverList,$R1199)=0),", a driver that is not on the list","")&amp;IF(ABS(N($L1199)-(N($M1199)+N($N1199)+N($O1199)+N($P1199)))&gt;0.001,", a total that does not match its quarters",""),3,300))</f>
        <v/>
      </c>
    </row>
    <row r="1200" customFormat="false" ht="15" hidden="false" customHeight="false" outlineLevel="0" collapsed="false">
      <c r="A1200" s="33" t="str">
        <f aca="false">IF($G1200="","","Internal Audit Group")</f>
        <v/>
      </c>
      <c r="B1200" s="19"/>
      <c r="C1200" s="19"/>
      <c r="D1200" s="19"/>
      <c r="E1200" s="19"/>
      <c r="F1200" s="19"/>
      <c r="G1200" s="19"/>
      <c r="H1200" s="19"/>
      <c r="I1200" s="19"/>
      <c r="J1200" s="19"/>
      <c r="K1200" s="19"/>
      <c r="L1200" s="19"/>
      <c r="M1200" s="19"/>
      <c r="N1200" s="19"/>
      <c r="O1200" s="19"/>
      <c r="P1200" s="19"/>
      <c r="Q1200" s="19"/>
      <c r="R1200" s="19"/>
      <c r="S1200" s="19"/>
      <c r="T1200" s="34" t="str">
        <f aca="false">IF($R1200="","",IFERROR(INDEX(DriverCategory,MATCH($R1200,DriverList,0)),"BAU"))</f>
        <v/>
      </c>
      <c r="U1200" s="34" t="str">
        <f aca="false">IF($R1200="","",IFERROR(INDEX(DriverRank,MATCH($R1200,DriverList,0)),99))</f>
        <v/>
      </c>
      <c r="V1200" s="35" t="n">
        <f aca="false">IF($H1200="",0,IFERROR(INDEX(LevelBasic,MATCH($H1200,LevelList,0))+INDEX(LevelHousing,MATCH($H1200,LevelList,0))+INDEX(LevelTransport,MATCH($H1200,LevelList,0))+INDEX(LevelBasic,MATCH($H1200,LevelList,0))*INDEX(LevelBonus,MATCH($H1200,LevelList,0))+(INDEX(LevelBasic,MATCH($H1200,LevelList,0))+INDEX(LevelHousing,MATCH($H1200,LevelList,0)))*GosiSaudi,0))</f>
        <v>0</v>
      </c>
      <c r="W1200" s="35" t="n">
        <f aca="false">IFERROR(INDEX(LevelOneOff,MATCH($H1200,LevelList,0)),0)</f>
        <v>0</v>
      </c>
      <c r="X1200" s="35" t="str">
        <f aca="false">IF($G1200="","",$V1200*N($L1200))</f>
        <v/>
      </c>
      <c r="Y1200" s="35" t="str">
        <f aca="false">IF($G1200="","",$V1200*(N($M1200)*1+N($N1200)*0.75+N($O1200)*0.5+N($P1200)*0.25)+$W1200*N($L1200))</f>
        <v/>
      </c>
      <c r="Z1200" s="35" t="str">
        <f aca="false">IF($G1200="","",$U1200*1000000+ROW())</f>
        <v/>
      </c>
      <c r="AA1200" s="36" t="str">
        <f aca="false">IF($G1200="","",MID(IF($C1200="",", no division","")&amp;IF($E1200="",", no unit","")&amp;IF($H1200="",", no career level","")&amp;IF(N($L1200)&lt;=0,", no quarter split","")&amp;IF($R1200="",", no driver","")&amp;IF(AND($H1200&lt;&gt;"",COUNTIF(CareerLevels,$H1200)=0),", a career level that is not on the ladder","")&amp;IF(AND($R1200&lt;&gt;"",COUNTIF(DriverList,$R1200)=0),", a driver that is not on the list","")&amp;IF(ABS(N($L1200)-(N($M1200)+N($N1200)+N($O1200)+N($P1200)))&gt;0.001,", a total that does not match its quarters",""),3,300))</f>
        <v/>
      </c>
    </row>
    <row r="1201" customFormat="false" ht="15" hidden="false" customHeight="false" outlineLevel="0" collapsed="false">
      <c r="A1201" s="33" t="str">
        <f aca="false">IF($G1201="","","Internal Audit Group")</f>
        <v/>
      </c>
      <c r="B1201" s="19"/>
      <c r="C1201" s="19"/>
      <c r="D1201" s="19"/>
      <c r="E1201" s="19"/>
      <c r="F1201" s="19"/>
      <c r="G1201" s="19"/>
      <c r="H1201" s="19"/>
      <c r="I1201" s="19"/>
      <c r="J1201" s="19"/>
      <c r="K1201" s="19"/>
      <c r="L1201" s="19"/>
      <c r="M1201" s="19"/>
      <c r="N1201" s="19"/>
      <c r="O1201" s="19"/>
      <c r="P1201" s="19"/>
      <c r="Q1201" s="19"/>
      <c r="R1201" s="19"/>
      <c r="S1201" s="19"/>
      <c r="T1201" s="34" t="str">
        <f aca="false">IF($R1201="","",IFERROR(INDEX(DriverCategory,MATCH($R1201,DriverList,0)),"BAU"))</f>
        <v/>
      </c>
      <c r="U1201" s="34" t="str">
        <f aca="false">IF($R1201="","",IFERROR(INDEX(DriverRank,MATCH($R1201,DriverList,0)),99))</f>
        <v/>
      </c>
      <c r="V1201" s="35" t="n">
        <f aca="false">IF($H1201="",0,IFERROR(INDEX(LevelBasic,MATCH($H1201,LevelList,0))+INDEX(LevelHousing,MATCH($H1201,LevelList,0))+INDEX(LevelTransport,MATCH($H1201,LevelList,0))+INDEX(LevelBasic,MATCH($H1201,LevelList,0))*INDEX(LevelBonus,MATCH($H1201,LevelList,0))+(INDEX(LevelBasic,MATCH($H1201,LevelList,0))+INDEX(LevelHousing,MATCH($H1201,LevelList,0)))*GosiSaudi,0))</f>
        <v>0</v>
      </c>
      <c r="W1201" s="35" t="n">
        <f aca="false">IFERROR(INDEX(LevelOneOff,MATCH($H1201,LevelList,0)),0)</f>
        <v>0</v>
      </c>
      <c r="X1201" s="35" t="str">
        <f aca="false">IF($G1201="","",$V1201*N($L1201))</f>
        <v/>
      </c>
      <c r="Y1201" s="35" t="str">
        <f aca="false">IF($G1201="","",$V1201*(N($M1201)*1+N($N1201)*0.75+N($O1201)*0.5+N($P1201)*0.25)+$W1201*N($L1201))</f>
        <v/>
      </c>
      <c r="Z1201" s="35" t="str">
        <f aca="false">IF($G1201="","",$U1201*1000000+ROW())</f>
        <v/>
      </c>
      <c r="AA1201" s="36" t="str">
        <f aca="false">IF($G1201="","",MID(IF($C1201="",", no division","")&amp;IF($E1201="",", no unit","")&amp;IF($H1201="",", no career level","")&amp;IF(N($L1201)&lt;=0,", no quarter split","")&amp;IF($R1201="",", no driver","")&amp;IF(AND($H1201&lt;&gt;"",COUNTIF(CareerLevels,$H1201)=0),", a career level that is not on the ladder","")&amp;IF(AND($R1201&lt;&gt;"",COUNTIF(DriverList,$R1201)=0),", a driver that is not on the list","")&amp;IF(ABS(N($L1201)-(N($M1201)+N($N1201)+N($O1201)+N($P1201)))&gt;0.001,", a total that does not match its quarters",""),3,300))</f>
        <v/>
      </c>
    </row>
    <row r="1202" customFormat="false" ht="15" hidden="false" customHeight="false" outlineLevel="0" collapsed="false">
      <c r="A1202" s="33" t="str">
        <f aca="false">IF($G1202="","","Internal Audit Group")</f>
        <v/>
      </c>
      <c r="B1202" s="19"/>
      <c r="C1202" s="19"/>
      <c r="D1202" s="19"/>
      <c r="E1202" s="19"/>
      <c r="F1202" s="19"/>
      <c r="G1202" s="19"/>
      <c r="H1202" s="19"/>
      <c r="I1202" s="19"/>
      <c r="J1202" s="19"/>
      <c r="K1202" s="19"/>
      <c r="L1202" s="19"/>
      <c r="M1202" s="19"/>
      <c r="N1202" s="19"/>
      <c r="O1202" s="19"/>
      <c r="P1202" s="19"/>
      <c r="Q1202" s="19"/>
      <c r="R1202" s="19"/>
      <c r="S1202" s="19"/>
      <c r="T1202" s="34" t="str">
        <f aca="false">IF($R1202="","",IFERROR(INDEX(DriverCategory,MATCH($R1202,DriverList,0)),"BAU"))</f>
        <v/>
      </c>
      <c r="U1202" s="34" t="str">
        <f aca="false">IF($R1202="","",IFERROR(INDEX(DriverRank,MATCH($R1202,DriverList,0)),99))</f>
        <v/>
      </c>
      <c r="V1202" s="35" t="n">
        <f aca="false">IF($H1202="",0,IFERROR(INDEX(LevelBasic,MATCH($H1202,LevelList,0))+INDEX(LevelHousing,MATCH($H1202,LevelList,0))+INDEX(LevelTransport,MATCH($H1202,LevelList,0))+INDEX(LevelBasic,MATCH($H1202,LevelList,0))*INDEX(LevelBonus,MATCH($H1202,LevelList,0))+(INDEX(LevelBasic,MATCH($H1202,LevelList,0))+INDEX(LevelHousing,MATCH($H1202,LevelList,0)))*GosiSaudi,0))</f>
        <v>0</v>
      </c>
      <c r="W1202" s="35" t="n">
        <f aca="false">IFERROR(INDEX(LevelOneOff,MATCH($H1202,LevelList,0)),0)</f>
        <v>0</v>
      </c>
      <c r="X1202" s="35" t="str">
        <f aca="false">IF($G1202="","",$V1202*N($L1202))</f>
        <v/>
      </c>
      <c r="Y1202" s="35" t="str">
        <f aca="false">IF($G1202="","",$V1202*(N($M1202)*1+N($N1202)*0.75+N($O1202)*0.5+N($P1202)*0.25)+$W1202*N($L1202))</f>
        <v/>
      </c>
      <c r="Z1202" s="35" t="str">
        <f aca="false">IF($G1202="","",$U1202*1000000+ROW())</f>
        <v/>
      </c>
      <c r="AA1202" s="36" t="str">
        <f aca="false">IF($G1202="","",MID(IF($C1202="",", no division","")&amp;IF($E1202="",", no unit","")&amp;IF($H1202="",", no career level","")&amp;IF(N($L1202)&lt;=0,", no quarter split","")&amp;IF($R1202="",", no driver","")&amp;IF(AND($H1202&lt;&gt;"",COUNTIF(CareerLevels,$H1202)=0),", a career level that is not on the ladder","")&amp;IF(AND($R1202&lt;&gt;"",COUNTIF(DriverList,$R1202)=0),", a driver that is not on the list","")&amp;IF(ABS(N($L1202)-(N($M1202)+N($N1202)+N($O1202)+N($P1202)))&gt;0.001,", a total that does not match its quarters",""),3,300))</f>
        <v/>
      </c>
    </row>
    <row r="1203" customFormat="false" ht="15" hidden="false" customHeight="false" outlineLevel="0" collapsed="false">
      <c r="A1203" s="33" t="str">
        <f aca="false">IF($G1203="","","Internal Audit Group")</f>
        <v/>
      </c>
      <c r="B1203" s="19"/>
      <c r="C1203" s="19"/>
      <c r="D1203" s="19"/>
      <c r="E1203" s="19"/>
      <c r="F1203" s="19"/>
      <c r="G1203" s="19"/>
      <c r="H1203" s="19"/>
      <c r="I1203" s="19"/>
      <c r="J1203" s="19"/>
      <c r="K1203" s="19"/>
      <c r="L1203" s="19"/>
      <c r="M1203" s="19"/>
      <c r="N1203" s="19"/>
      <c r="O1203" s="19"/>
      <c r="P1203" s="19"/>
      <c r="Q1203" s="19"/>
      <c r="R1203" s="19"/>
      <c r="S1203" s="19"/>
      <c r="T1203" s="34" t="str">
        <f aca="false">IF($R1203="","",IFERROR(INDEX(DriverCategory,MATCH($R1203,DriverList,0)),"BAU"))</f>
        <v/>
      </c>
      <c r="U1203" s="34" t="str">
        <f aca="false">IF($R1203="","",IFERROR(INDEX(DriverRank,MATCH($R1203,DriverList,0)),99))</f>
        <v/>
      </c>
      <c r="V1203" s="35" t="n">
        <f aca="false">IF($H1203="",0,IFERROR(INDEX(LevelBasic,MATCH($H1203,LevelList,0))+INDEX(LevelHousing,MATCH($H1203,LevelList,0))+INDEX(LevelTransport,MATCH($H1203,LevelList,0))+INDEX(LevelBasic,MATCH($H1203,LevelList,0))*INDEX(LevelBonus,MATCH($H1203,LevelList,0))+(INDEX(LevelBasic,MATCH($H1203,LevelList,0))+INDEX(LevelHousing,MATCH($H1203,LevelList,0)))*GosiSaudi,0))</f>
        <v>0</v>
      </c>
      <c r="W1203" s="35" t="n">
        <f aca="false">IFERROR(INDEX(LevelOneOff,MATCH($H1203,LevelList,0)),0)</f>
        <v>0</v>
      </c>
      <c r="X1203" s="35" t="str">
        <f aca="false">IF($G1203="","",$V1203*N($L1203))</f>
        <v/>
      </c>
      <c r="Y1203" s="35" t="str">
        <f aca="false">IF($G1203="","",$V1203*(N($M1203)*1+N($N1203)*0.75+N($O1203)*0.5+N($P1203)*0.25)+$W1203*N($L1203))</f>
        <v/>
      </c>
      <c r="Z1203" s="35" t="str">
        <f aca="false">IF($G1203="","",$U1203*1000000+ROW())</f>
        <v/>
      </c>
      <c r="AA1203" s="36" t="str">
        <f aca="false">IF($G1203="","",MID(IF($C1203="",", no division","")&amp;IF($E1203="",", no unit","")&amp;IF($H1203="",", no career level","")&amp;IF(N($L1203)&lt;=0,", no quarter split","")&amp;IF($R1203="",", no driver","")&amp;IF(AND($H1203&lt;&gt;"",COUNTIF(CareerLevels,$H1203)=0),", a career level that is not on the ladder","")&amp;IF(AND($R1203&lt;&gt;"",COUNTIF(DriverList,$R1203)=0),", a driver that is not on the list","")&amp;IF(ABS(N($L1203)-(N($M1203)+N($N1203)+N($O1203)+N($P1203)))&gt;0.001,", a total that does not match its quarters",""),3,300))</f>
        <v/>
      </c>
    </row>
    <row r="1204" customFormat="false" ht="15" hidden="false" customHeight="false" outlineLevel="0" collapsed="false">
      <c r="A1204" s="33" t="str">
        <f aca="false">IF($G1204="","","Internal Audit Group")</f>
        <v/>
      </c>
      <c r="B1204" s="19"/>
      <c r="C1204" s="19"/>
      <c r="D1204" s="19"/>
      <c r="E1204" s="19"/>
      <c r="F1204" s="19"/>
      <c r="G1204" s="19"/>
      <c r="H1204" s="19"/>
      <c r="I1204" s="19"/>
      <c r="J1204" s="19"/>
      <c r="K1204" s="19"/>
      <c r="L1204" s="19"/>
      <c r="M1204" s="19"/>
      <c r="N1204" s="19"/>
      <c r="O1204" s="19"/>
      <c r="P1204" s="19"/>
      <c r="Q1204" s="19"/>
      <c r="R1204" s="19"/>
      <c r="S1204" s="19"/>
      <c r="T1204" s="34" t="str">
        <f aca="false">IF($R1204="","",IFERROR(INDEX(DriverCategory,MATCH($R1204,DriverList,0)),"BAU"))</f>
        <v/>
      </c>
      <c r="U1204" s="34" t="str">
        <f aca="false">IF($R1204="","",IFERROR(INDEX(DriverRank,MATCH($R1204,DriverList,0)),99))</f>
        <v/>
      </c>
      <c r="V1204" s="35" t="n">
        <f aca="false">IF($H1204="",0,IFERROR(INDEX(LevelBasic,MATCH($H1204,LevelList,0))+INDEX(LevelHousing,MATCH($H1204,LevelList,0))+INDEX(LevelTransport,MATCH($H1204,LevelList,0))+INDEX(LevelBasic,MATCH($H1204,LevelList,0))*INDEX(LevelBonus,MATCH($H1204,LevelList,0))+(INDEX(LevelBasic,MATCH($H1204,LevelList,0))+INDEX(LevelHousing,MATCH($H1204,LevelList,0)))*GosiSaudi,0))</f>
        <v>0</v>
      </c>
      <c r="W1204" s="35" t="n">
        <f aca="false">IFERROR(INDEX(LevelOneOff,MATCH($H1204,LevelList,0)),0)</f>
        <v>0</v>
      </c>
      <c r="X1204" s="35" t="str">
        <f aca="false">IF($G1204="","",$V1204*N($L1204))</f>
        <v/>
      </c>
      <c r="Y1204" s="35" t="str">
        <f aca="false">IF($G1204="","",$V1204*(N($M1204)*1+N($N1204)*0.75+N($O1204)*0.5+N($P1204)*0.25)+$W1204*N($L1204))</f>
        <v/>
      </c>
      <c r="Z1204" s="35" t="str">
        <f aca="false">IF($G1204="","",$U1204*1000000+ROW())</f>
        <v/>
      </c>
      <c r="AA1204" s="36" t="str">
        <f aca="false">IF($G1204="","",MID(IF($C1204="",", no division","")&amp;IF($E1204="",", no unit","")&amp;IF($H1204="",", no career level","")&amp;IF(N($L1204)&lt;=0,", no quarter split","")&amp;IF($R1204="",", no driver","")&amp;IF(AND($H1204&lt;&gt;"",COUNTIF(CareerLevels,$H1204)=0),", a career level that is not on the ladder","")&amp;IF(AND($R1204&lt;&gt;"",COUNTIF(DriverList,$R1204)=0),", a driver that is not on the list","")&amp;IF(ABS(N($L1204)-(N($M1204)+N($N1204)+N($O1204)+N($P1204)))&gt;0.001,", a total that does not match its quarters",""),3,300))</f>
        <v/>
      </c>
    </row>
    <row r="1205" customFormat="false" ht="15" hidden="false" customHeight="false" outlineLevel="0" collapsed="false">
      <c r="A1205" s="33" t="str">
        <f aca="false">IF($G1205="","","Internal Audit Group")</f>
        <v/>
      </c>
      <c r="B1205" s="19"/>
      <c r="C1205" s="19"/>
      <c r="D1205" s="19"/>
      <c r="E1205" s="19"/>
      <c r="F1205" s="19"/>
      <c r="G1205" s="19"/>
      <c r="H1205" s="19"/>
      <c r="I1205" s="19"/>
      <c r="J1205" s="19"/>
      <c r="K1205" s="19"/>
      <c r="L1205" s="19"/>
      <c r="M1205" s="19"/>
      <c r="N1205" s="19"/>
      <c r="O1205" s="19"/>
      <c r="P1205" s="19"/>
      <c r="Q1205" s="19"/>
      <c r="R1205" s="19"/>
      <c r="S1205" s="19"/>
      <c r="T1205" s="34" t="str">
        <f aca="false">IF($R1205="","",IFERROR(INDEX(DriverCategory,MATCH($R1205,DriverList,0)),"BAU"))</f>
        <v/>
      </c>
      <c r="U1205" s="34" t="str">
        <f aca="false">IF($R1205="","",IFERROR(INDEX(DriverRank,MATCH($R1205,DriverList,0)),99))</f>
        <v/>
      </c>
      <c r="V1205" s="35" t="n">
        <f aca="false">IF($H1205="",0,IFERROR(INDEX(LevelBasic,MATCH($H1205,LevelList,0))+INDEX(LevelHousing,MATCH($H1205,LevelList,0))+INDEX(LevelTransport,MATCH($H1205,LevelList,0))+INDEX(LevelBasic,MATCH($H1205,LevelList,0))*INDEX(LevelBonus,MATCH($H1205,LevelList,0))+(INDEX(LevelBasic,MATCH($H1205,LevelList,0))+INDEX(LevelHousing,MATCH($H1205,LevelList,0)))*GosiSaudi,0))</f>
        <v>0</v>
      </c>
      <c r="W1205" s="35" t="n">
        <f aca="false">IFERROR(INDEX(LevelOneOff,MATCH($H1205,LevelList,0)),0)</f>
        <v>0</v>
      </c>
      <c r="X1205" s="35" t="str">
        <f aca="false">IF($G1205="","",$V1205*N($L1205))</f>
        <v/>
      </c>
      <c r="Y1205" s="35" t="str">
        <f aca="false">IF($G1205="","",$V1205*(N($M1205)*1+N($N1205)*0.75+N($O1205)*0.5+N($P1205)*0.25)+$W1205*N($L1205))</f>
        <v/>
      </c>
      <c r="Z1205" s="35" t="str">
        <f aca="false">IF($G1205="","",$U1205*1000000+ROW())</f>
        <v/>
      </c>
      <c r="AA1205" s="36" t="str">
        <f aca="false">IF($G1205="","",MID(IF($C1205="",", no division","")&amp;IF($E1205="",", no unit","")&amp;IF($H1205="",", no career level","")&amp;IF(N($L1205)&lt;=0,", no quarter split","")&amp;IF($R1205="",", no driver","")&amp;IF(AND($H1205&lt;&gt;"",COUNTIF(CareerLevels,$H1205)=0),", a career level that is not on the ladder","")&amp;IF(AND($R1205&lt;&gt;"",COUNTIF(DriverList,$R1205)=0),", a driver that is not on the list","")&amp;IF(ABS(N($L1205)-(N($M1205)+N($N1205)+N($O1205)+N($P1205)))&gt;0.001,", a total that does not match its quarters",""),3,300))</f>
        <v/>
      </c>
    </row>
    <row r="1206" customFormat="false" ht="15" hidden="false" customHeight="false" outlineLevel="0" collapsed="false">
      <c r="A1206" s="28" t="str">
        <f aca="false">IF($G1206="","","Legal Group")</f>
        <v/>
      </c>
      <c r="B1206" s="29"/>
      <c r="C1206" s="29"/>
      <c r="D1206" s="29"/>
      <c r="E1206" s="29"/>
      <c r="F1206" s="29"/>
      <c r="G1206" s="29"/>
      <c r="H1206" s="29"/>
      <c r="I1206" s="29"/>
      <c r="J1206" s="29"/>
      <c r="K1206" s="29"/>
      <c r="L1206" s="29"/>
      <c r="M1206" s="29"/>
      <c r="N1206" s="29"/>
      <c r="O1206" s="29"/>
      <c r="P1206" s="29"/>
      <c r="Q1206" s="29"/>
      <c r="R1206" s="29"/>
      <c r="S1206" s="29"/>
      <c r="T1206" s="30" t="str">
        <f aca="false">IF($R1206="","",IFERROR(INDEX(DriverCategory,MATCH($R1206,DriverList,0)),"BAU"))</f>
        <v/>
      </c>
      <c r="U1206" s="30" t="str">
        <f aca="false">IF($R1206="","",IFERROR(INDEX(DriverRank,MATCH($R1206,DriverList,0)),99))</f>
        <v/>
      </c>
      <c r="V1206" s="31" t="n">
        <f aca="false">IF($H1206="",0,IFERROR(INDEX(LevelBasic,MATCH($H1206,LevelList,0))+INDEX(LevelHousing,MATCH($H1206,LevelList,0))+INDEX(LevelTransport,MATCH($H1206,LevelList,0))+INDEX(LevelBasic,MATCH($H1206,LevelList,0))*INDEX(LevelBonus,MATCH($H1206,LevelList,0))+(INDEX(LevelBasic,MATCH($H1206,LevelList,0))+INDEX(LevelHousing,MATCH($H1206,LevelList,0)))*GosiSaudi,0))</f>
        <v>0</v>
      </c>
      <c r="W1206" s="31" t="n">
        <f aca="false">IFERROR(INDEX(LevelOneOff,MATCH($H1206,LevelList,0)),0)</f>
        <v>0</v>
      </c>
      <c r="X1206" s="31" t="str">
        <f aca="false">IF($G1206="","",$V1206*N($L1206))</f>
        <v/>
      </c>
      <c r="Y1206" s="31" t="str">
        <f aca="false">IF($G1206="","",$V1206*(N($M1206)*1+N($N1206)*0.75+N($O1206)*0.5+N($P1206)*0.25)+$W1206*N($L1206))</f>
        <v/>
      </c>
      <c r="Z1206" s="31" t="str">
        <f aca="false">IF($G1206="","",$U1206*1000000+ROW())</f>
        <v/>
      </c>
      <c r="AA1206" s="32" t="str">
        <f aca="false">IF($G1206="","",MID(IF($C1206="",", no division","")&amp;IF($E1206="",", no unit","")&amp;IF($H1206="",", no career level","")&amp;IF(N($L1206)&lt;=0,", no quarter split","")&amp;IF($R1206="",", no driver","")&amp;IF(AND($H1206&lt;&gt;"",COUNTIF(CareerLevels,$H1206)=0),", a career level that is not on the ladder","")&amp;IF(AND($R1206&lt;&gt;"",COUNTIF(DriverList,$R1206)=0),", a driver that is not on the list","")&amp;IF(ABS(N($L1206)-(N($M1206)+N($N1206)+N($O1206)+N($P1206)))&gt;0.001,", a total that does not match its quarters",""),3,300))</f>
        <v/>
      </c>
    </row>
    <row r="1207" customFormat="false" ht="15" hidden="false" customHeight="false" outlineLevel="0" collapsed="false">
      <c r="A1207" s="33" t="str">
        <f aca="false">IF($G1207="","","Legal Group")</f>
        <v/>
      </c>
      <c r="B1207" s="19"/>
      <c r="C1207" s="19"/>
      <c r="D1207" s="19"/>
      <c r="E1207" s="19"/>
      <c r="F1207" s="19"/>
      <c r="G1207" s="19"/>
      <c r="H1207" s="19"/>
      <c r="I1207" s="19"/>
      <c r="J1207" s="19"/>
      <c r="K1207" s="19"/>
      <c r="L1207" s="19"/>
      <c r="M1207" s="19"/>
      <c r="N1207" s="19"/>
      <c r="O1207" s="19"/>
      <c r="P1207" s="19"/>
      <c r="Q1207" s="19"/>
      <c r="R1207" s="19"/>
      <c r="S1207" s="19"/>
      <c r="T1207" s="34" t="str">
        <f aca="false">IF($R1207="","",IFERROR(INDEX(DriverCategory,MATCH($R1207,DriverList,0)),"BAU"))</f>
        <v/>
      </c>
      <c r="U1207" s="34" t="str">
        <f aca="false">IF($R1207="","",IFERROR(INDEX(DriverRank,MATCH($R1207,DriverList,0)),99))</f>
        <v/>
      </c>
      <c r="V1207" s="35" t="n">
        <f aca="false">IF($H1207="",0,IFERROR(INDEX(LevelBasic,MATCH($H1207,LevelList,0))+INDEX(LevelHousing,MATCH($H1207,LevelList,0))+INDEX(LevelTransport,MATCH($H1207,LevelList,0))+INDEX(LevelBasic,MATCH($H1207,LevelList,0))*INDEX(LevelBonus,MATCH($H1207,LevelList,0))+(INDEX(LevelBasic,MATCH($H1207,LevelList,0))+INDEX(LevelHousing,MATCH($H1207,LevelList,0)))*GosiSaudi,0))</f>
        <v>0</v>
      </c>
      <c r="W1207" s="35" t="n">
        <f aca="false">IFERROR(INDEX(LevelOneOff,MATCH($H1207,LevelList,0)),0)</f>
        <v>0</v>
      </c>
      <c r="X1207" s="35" t="str">
        <f aca="false">IF($G1207="","",$V1207*N($L1207))</f>
        <v/>
      </c>
      <c r="Y1207" s="35" t="str">
        <f aca="false">IF($G1207="","",$V1207*(N($M1207)*1+N($N1207)*0.75+N($O1207)*0.5+N($P1207)*0.25)+$W1207*N($L1207))</f>
        <v/>
      </c>
      <c r="Z1207" s="35" t="str">
        <f aca="false">IF($G1207="","",$U1207*1000000+ROW())</f>
        <v/>
      </c>
      <c r="AA1207" s="36" t="str">
        <f aca="false">IF($G1207="","",MID(IF($C1207="",", no division","")&amp;IF($E1207="",", no unit","")&amp;IF($H1207="",", no career level","")&amp;IF(N($L1207)&lt;=0,", no quarter split","")&amp;IF($R1207="",", no driver","")&amp;IF(AND($H1207&lt;&gt;"",COUNTIF(CareerLevels,$H1207)=0),", a career level that is not on the ladder","")&amp;IF(AND($R1207&lt;&gt;"",COUNTIF(DriverList,$R1207)=0),", a driver that is not on the list","")&amp;IF(ABS(N($L1207)-(N($M1207)+N($N1207)+N($O1207)+N($P1207)))&gt;0.001,", a total that does not match its quarters",""),3,300))</f>
        <v/>
      </c>
    </row>
    <row r="1208" customFormat="false" ht="15" hidden="false" customHeight="false" outlineLevel="0" collapsed="false">
      <c r="A1208" s="33" t="str">
        <f aca="false">IF($G1208="","","Legal Group")</f>
        <v/>
      </c>
      <c r="B1208" s="19"/>
      <c r="C1208" s="19"/>
      <c r="D1208" s="19"/>
      <c r="E1208" s="19"/>
      <c r="F1208" s="19"/>
      <c r="G1208" s="19"/>
      <c r="H1208" s="19"/>
      <c r="I1208" s="19"/>
      <c r="J1208" s="19"/>
      <c r="K1208" s="19"/>
      <c r="L1208" s="19"/>
      <c r="M1208" s="19"/>
      <c r="N1208" s="19"/>
      <c r="O1208" s="19"/>
      <c r="P1208" s="19"/>
      <c r="Q1208" s="19"/>
      <c r="R1208" s="19"/>
      <c r="S1208" s="19"/>
      <c r="T1208" s="34" t="str">
        <f aca="false">IF($R1208="","",IFERROR(INDEX(DriverCategory,MATCH($R1208,DriverList,0)),"BAU"))</f>
        <v/>
      </c>
      <c r="U1208" s="34" t="str">
        <f aca="false">IF($R1208="","",IFERROR(INDEX(DriverRank,MATCH($R1208,DriverList,0)),99))</f>
        <v/>
      </c>
      <c r="V1208" s="35" t="n">
        <f aca="false">IF($H1208="",0,IFERROR(INDEX(LevelBasic,MATCH($H1208,LevelList,0))+INDEX(LevelHousing,MATCH($H1208,LevelList,0))+INDEX(LevelTransport,MATCH($H1208,LevelList,0))+INDEX(LevelBasic,MATCH($H1208,LevelList,0))*INDEX(LevelBonus,MATCH($H1208,LevelList,0))+(INDEX(LevelBasic,MATCH($H1208,LevelList,0))+INDEX(LevelHousing,MATCH($H1208,LevelList,0)))*GosiSaudi,0))</f>
        <v>0</v>
      </c>
      <c r="W1208" s="35" t="n">
        <f aca="false">IFERROR(INDEX(LevelOneOff,MATCH($H1208,LevelList,0)),0)</f>
        <v>0</v>
      </c>
      <c r="X1208" s="35" t="str">
        <f aca="false">IF($G1208="","",$V1208*N($L1208))</f>
        <v/>
      </c>
      <c r="Y1208" s="35" t="str">
        <f aca="false">IF($G1208="","",$V1208*(N($M1208)*1+N($N1208)*0.75+N($O1208)*0.5+N($P1208)*0.25)+$W1208*N($L1208))</f>
        <v/>
      </c>
      <c r="Z1208" s="35" t="str">
        <f aca="false">IF($G1208="","",$U1208*1000000+ROW())</f>
        <v/>
      </c>
      <c r="AA1208" s="36" t="str">
        <f aca="false">IF($G1208="","",MID(IF($C1208="",", no division","")&amp;IF($E1208="",", no unit","")&amp;IF($H1208="",", no career level","")&amp;IF(N($L1208)&lt;=0,", no quarter split","")&amp;IF($R1208="",", no driver","")&amp;IF(AND($H1208&lt;&gt;"",COUNTIF(CareerLevels,$H1208)=0),", a career level that is not on the ladder","")&amp;IF(AND($R1208&lt;&gt;"",COUNTIF(DriverList,$R1208)=0),", a driver that is not on the list","")&amp;IF(ABS(N($L1208)-(N($M1208)+N($N1208)+N($O1208)+N($P1208)))&gt;0.001,", a total that does not match its quarters",""),3,300))</f>
        <v/>
      </c>
    </row>
    <row r="1209" customFormat="false" ht="15" hidden="false" customHeight="false" outlineLevel="0" collapsed="false">
      <c r="A1209" s="33" t="str">
        <f aca="false">IF($G1209="","","Legal Group")</f>
        <v/>
      </c>
      <c r="B1209" s="19"/>
      <c r="C1209" s="19"/>
      <c r="D1209" s="19"/>
      <c r="E1209" s="19"/>
      <c r="F1209" s="19"/>
      <c r="G1209" s="19"/>
      <c r="H1209" s="19"/>
      <c r="I1209" s="19"/>
      <c r="J1209" s="19"/>
      <c r="K1209" s="19"/>
      <c r="L1209" s="19"/>
      <c r="M1209" s="19"/>
      <c r="N1209" s="19"/>
      <c r="O1209" s="19"/>
      <c r="P1209" s="19"/>
      <c r="Q1209" s="19"/>
      <c r="R1209" s="19"/>
      <c r="S1209" s="19"/>
      <c r="T1209" s="34" t="str">
        <f aca="false">IF($R1209="","",IFERROR(INDEX(DriverCategory,MATCH($R1209,DriverList,0)),"BAU"))</f>
        <v/>
      </c>
      <c r="U1209" s="34" t="str">
        <f aca="false">IF($R1209="","",IFERROR(INDEX(DriverRank,MATCH($R1209,DriverList,0)),99))</f>
        <v/>
      </c>
      <c r="V1209" s="35" t="n">
        <f aca="false">IF($H1209="",0,IFERROR(INDEX(LevelBasic,MATCH($H1209,LevelList,0))+INDEX(LevelHousing,MATCH($H1209,LevelList,0))+INDEX(LevelTransport,MATCH($H1209,LevelList,0))+INDEX(LevelBasic,MATCH($H1209,LevelList,0))*INDEX(LevelBonus,MATCH($H1209,LevelList,0))+(INDEX(LevelBasic,MATCH($H1209,LevelList,0))+INDEX(LevelHousing,MATCH($H1209,LevelList,0)))*GosiSaudi,0))</f>
        <v>0</v>
      </c>
      <c r="W1209" s="35" t="n">
        <f aca="false">IFERROR(INDEX(LevelOneOff,MATCH($H1209,LevelList,0)),0)</f>
        <v>0</v>
      </c>
      <c r="X1209" s="35" t="str">
        <f aca="false">IF($G1209="","",$V1209*N($L1209))</f>
        <v/>
      </c>
      <c r="Y1209" s="35" t="str">
        <f aca="false">IF($G1209="","",$V1209*(N($M1209)*1+N($N1209)*0.75+N($O1209)*0.5+N($P1209)*0.25)+$W1209*N($L1209))</f>
        <v/>
      </c>
      <c r="Z1209" s="35" t="str">
        <f aca="false">IF($G1209="","",$U1209*1000000+ROW())</f>
        <v/>
      </c>
      <c r="AA1209" s="36" t="str">
        <f aca="false">IF($G1209="","",MID(IF($C1209="",", no division","")&amp;IF($E1209="",", no unit","")&amp;IF($H1209="",", no career level","")&amp;IF(N($L1209)&lt;=0,", no quarter split","")&amp;IF($R1209="",", no driver","")&amp;IF(AND($H1209&lt;&gt;"",COUNTIF(CareerLevels,$H1209)=0),", a career level that is not on the ladder","")&amp;IF(AND($R1209&lt;&gt;"",COUNTIF(DriverList,$R1209)=0),", a driver that is not on the list","")&amp;IF(ABS(N($L1209)-(N($M1209)+N($N1209)+N($O1209)+N($P1209)))&gt;0.001,", a total that does not match its quarters",""),3,300))</f>
        <v/>
      </c>
    </row>
    <row r="1210" customFormat="false" ht="15" hidden="false" customHeight="false" outlineLevel="0" collapsed="false">
      <c r="A1210" s="33" t="str">
        <f aca="false">IF($G1210="","","Legal Group")</f>
        <v/>
      </c>
      <c r="B1210" s="19"/>
      <c r="C1210" s="19"/>
      <c r="D1210" s="19"/>
      <c r="E1210" s="19"/>
      <c r="F1210" s="19"/>
      <c r="G1210" s="19"/>
      <c r="H1210" s="19"/>
      <c r="I1210" s="19"/>
      <c r="J1210" s="19"/>
      <c r="K1210" s="19"/>
      <c r="L1210" s="19"/>
      <c r="M1210" s="19"/>
      <c r="N1210" s="19"/>
      <c r="O1210" s="19"/>
      <c r="P1210" s="19"/>
      <c r="Q1210" s="19"/>
      <c r="R1210" s="19"/>
      <c r="S1210" s="19"/>
      <c r="T1210" s="34" t="str">
        <f aca="false">IF($R1210="","",IFERROR(INDEX(DriverCategory,MATCH($R1210,DriverList,0)),"BAU"))</f>
        <v/>
      </c>
      <c r="U1210" s="34" t="str">
        <f aca="false">IF($R1210="","",IFERROR(INDEX(DriverRank,MATCH($R1210,DriverList,0)),99))</f>
        <v/>
      </c>
      <c r="V1210" s="35" t="n">
        <f aca="false">IF($H1210="",0,IFERROR(INDEX(LevelBasic,MATCH($H1210,LevelList,0))+INDEX(LevelHousing,MATCH($H1210,LevelList,0))+INDEX(LevelTransport,MATCH($H1210,LevelList,0))+INDEX(LevelBasic,MATCH($H1210,LevelList,0))*INDEX(LevelBonus,MATCH($H1210,LevelList,0))+(INDEX(LevelBasic,MATCH($H1210,LevelList,0))+INDEX(LevelHousing,MATCH($H1210,LevelList,0)))*GosiSaudi,0))</f>
        <v>0</v>
      </c>
      <c r="W1210" s="35" t="n">
        <f aca="false">IFERROR(INDEX(LevelOneOff,MATCH($H1210,LevelList,0)),0)</f>
        <v>0</v>
      </c>
      <c r="X1210" s="35" t="str">
        <f aca="false">IF($G1210="","",$V1210*N($L1210))</f>
        <v/>
      </c>
      <c r="Y1210" s="35" t="str">
        <f aca="false">IF($G1210="","",$V1210*(N($M1210)*1+N($N1210)*0.75+N($O1210)*0.5+N($P1210)*0.25)+$W1210*N($L1210))</f>
        <v/>
      </c>
      <c r="Z1210" s="35" t="str">
        <f aca="false">IF($G1210="","",$U1210*1000000+ROW())</f>
        <v/>
      </c>
      <c r="AA1210" s="36" t="str">
        <f aca="false">IF($G1210="","",MID(IF($C1210="",", no division","")&amp;IF($E1210="",", no unit","")&amp;IF($H1210="",", no career level","")&amp;IF(N($L1210)&lt;=0,", no quarter split","")&amp;IF($R1210="",", no driver","")&amp;IF(AND($H1210&lt;&gt;"",COUNTIF(CareerLevels,$H1210)=0),", a career level that is not on the ladder","")&amp;IF(AND($R1210&lt;&gt;"",COUNTIF(DriverList,$R1210)=0),", a driver that is not on the list","")&amp;IF(ABS(N($L1210)-(N($M1210)+N($N1210)+N($O1210)+N($P1210)))&gt;0.001,", a total that does not match its quarters",""),3,300))</f>
        <v/>
      </c>
    </row>
    <row r="1211" customFormat="false" ht="15" hidden="false" customHeight="false" outlineLevel="0" collapsed="false">
      <c r="A1211" s="33" t="str">
        <f aca="false">IF($G1211="","","Legal Group")</f>
        <v/>
      </c>
      <c r="B1211" s="19"/>
      <c r="C1211" s="19"/>
      <c r="D1211" s="19"/>
      <c r="E1211" s="19"/>
      <c r="F1211" s="19"/>
      <c r="G1211" s="19"/>
      <c r="H1211" s="19"/>
      <c r="I1211" s="19"/>
      <c r="J1211" s="19"/>
      <c r="K1211" s="19"/>
      <c r="L1211" s="19"/>
      <c r="M1211" s="19"/>
      <c r="N1211" s="19"/>
      <c r="O1211" s="19"/>
      <c r="P1211" s="19"/>
      <c r="Q1211" s="19"/>
      <c r="R1211" s="19"/>
      <c r="S1211" s="19"/>
      <c r="T1211" s="34" t="str">
        <f aca="false">IF($R1211="","",IFERROR(INDEX(DriverCategory,MATCH($R1211,DriverList,0)),"BAU"))</f>
        <v/>
      </c>
      <c r="U1211" s="34" t="str">
        <f aca="false">IF($R1211="","",IFERROR(INDEX(DriverRank,MATCH($R1211,DriverList,0)),99))</f>
        <v/>
      </c>
      <c r="V1211" s="35" t="n">
        <f aca="false">IF($H1211="",0,IFERROR(INDEX(LevelBasic,MATCH($H1211,LevelList,0))+INDEX(LevelHousing,MATCH($H1211,LevelList,0))+INDEX(LevelTransport,MATCH($H1211,LevelList,0))+INDEX(LevelBasic,MATCH($H1211,LevelList,0))*INDEX(LevelBonus,MATCH($H1211,LevelList,0))+(INDEX(LevelBasic,MATCH($H1211,LevelList,0))+INDEX(LevelHousing,MATCH($H1211,LevelList,0)))*GosiSaudi,0))</f>
        <v>0</v>
      </c>
      <c r="W1211" s="35" t="n">
        <f aca="false">IFERROR(INDEX(LevelOneOff,MATCH($H1211,LevelList,0)),0)</f>
        <v>0</v>
      </c>
      <c r="X1211" s="35" t="str">
        <f aca="false">IF($G1211="","",$V1211*N($L1211))</f>
        <v/>
      </c>
      <c r="Y1211" s="35" t="str">
        <f aca="false">IF($G1211="","",$V1211*(N($M1211)*1+N($N1211)*0.75+N($O1211)*0.5+N($P1211)*0.25)+$W1211*N($L1211))</f>
        <v/>
      </c>
      <c r="Z1211" s="35" t="str">
        <f aca="false">IF($G1211="","",$U1211*1000000+ROW())</f>
        <v/>
      </c>
      <c r="AA1211" s="36" t="str">
        <f aca="false">IF($G1211="","",MID(IF($C1211="",", no division","")&amp;IF($E1211="",", no unit","")&amp;IF($H1211="",", no career level","")&amp;IF(N($L1211)&lt;=0,", no quarter split","")&amp;IF($R1211="",", no driver","")&amp;IF(AND($H1211&lt;&gt;"",COUNTIF(CareerLevels,$H1211)=0),", a career level that is not on the ladder","")&amp;IF(AND($R1211&lt;&gt;"",COUNTIF(DriverList,$R1211)=0),", a driver that is not on the list","")&amp;IF(ABS(N($L1211)-(N($M1211)+N($N1211)+N($O1211)+N($P1211)))&gt;0.001,", a total that does not match its quarters",""),3,300))</f>
        <v/>
      </c>
    </row>
    <row r="1212" customFormat="false" ht="15" hidden="false" customHeight="false" outlineLevel="0" collapsed="false">
      <c r="A1212" s="33" t="str">
        <f aca="false">IF($G1212="","","Legal Group")</f>
        <v/>
      </c>
      <c r="B1212" s="19"/>
      <c r="C1212" s="19"/>
      <c r="D1212" s="19"/>
      <c r="E1212" s="19"/>
      <c r="F1212" s="19"/>
      <c r="G1212" s="19"/>
      <c r="H1212" s="19"/>
      <c r="I1212" s="19"/>
      <c r="J1212" s="19"/>
      <c r="K1212" s="19"/>
      <c r="L1212" s="19"/>
      <c r="M1212" s="19"/>
      <c r="N1212" s="19"/>
      <c r="O1212" s="19"/>
      <c r="P1212" s="19"/>
      <c r="Q1212" s="19"/>
      <c r="R1212" s="19"/>
      <c r="S1212" s="19"/>
      <c r="T1212" s="34" t="str">
        <f aca="false">IF($R1212="","",IFERROR(INDEX(DriverCategory,MATCH($R1212,DriverList,0)),"BAU"))</f>
        <v/>
      </c>
      <c r="U1212" s="34" t="str">
        <f aca="false">IF($R1212="","",IFERROR(INDEX(DriverRank,MATCH($R1212,DriverList,0)),99))</f>
        <v/>
      </c>
      <c r="V1212" s="35" t="n">
        <f aca="false">IF($H1212="",0,IFERROR(INDEX(LevelBasic,MATCH($H1212,LevelList,0))+INDEX(LevelHousing,MATCH($H1212,LevelList,0))+INDEX(LevelTransport,MATCH($H1212,LevelList,0))+INDEX(LevelBasic,MATCH($H1212,LevelList,0))*INDEX(LevelBonus,MATCH($H1212,LevelList,0))+(INDEX(LevelBasic,MATCH($H1212,LevelList,0))+INDEX(LevelHousing,MATCH($H1212,LevelList,0)))*GosiSaudi,0))</f>
        <v>0</v>
      </c>
      <c r="W1212" s="35" t="n">
        <f aca="false">IFERROR(INDEX(LevelOneOff,MATCH($H1212,LevelList,0)),0)</f>
        <v>0</v>
      </c>
      <c r="X1212" s="35" t="str">
        <f aca="false">IF($G1212="","",$V1212*N($L1212))</f>
        <v/>
      </c>
      <c r="Y1212" s="35" t="str">
        <f aca="false">IF($G1212="","",$V1212*(N($M1212)*1+N($N1212)*0.75+N($O1212)*0.5+N($P1212)*0.25)+$W1212*N($L1212))</f>
        <v/>
      </c>
      <c r="Z1212" s="35" t="str">
        <f aca="false">IF($G1212="","",$U1212*1000000+ROW())</f>
        <v/>
      </c>
      <c r="AA1212" s="36" t="str">
        <f aca="false">IF($G1212="","",MID(IF($C1212="",", no division","")&amp;IF($E1212="",", no unit","")&amp;IF($H1212="",", no career level","")&amp;IF(N($L1212)&lt;=0,", no quarter split","")&amp;IF($R1212="",", no driver","")&amp;IF(AND($H1212&lt;&gt;"",COUNTIF(CareerLevels,$H1212)=0),", a career level that is not on the ladder","")&amp;IF(AND($R1212&lt;&gt;"",COUNTIF(DriverList,$R1212)=0),", a driver that is not on the list","")&amp;IF(ABS(N($L1212)-(N($M1212)+N($N1212)+N($O1212)+N($P1212)))&gt;0.001,", a total that does not match its quarters",""),3,300))</f>
        <v/>
      </c>
    </row>
    <row r="1213" customFormat="false" ht="15" hidden="false" customHeight="false" outlineLevel="0" collapsed="false">
      <c r="A1213" s="33" t="str">
        <f aca="false">IF($G1213="","","Legal Group")</f>
        <v/>
      </c>
      <c r="B1213" s="19"/>
      <c r="C1213" s="19"/>
      <c r="D1213" s="19"/>
      <c r="E1213" s="19"/>
      <c r="F1213" s="19"/>
      <c r="G1213" s="19"/>
      <c r="H1213" s="19"/>
      <c r="I1213" s="19"/>
      <c r="J1213" s="19"/>
      <c r="K1213" s="19"/>
      <c r="L1213" s="19"/>
      <c r="M1213" s="19"/>
      <c r="N1213" s="19"/>
      <c r="O1213" s="19"/>
      <c r="P1213" s="19"/>
      <c r="Q1213" s="19"/>
      <c r="R1213" s="19"/>
      <c r="S1213" s="19"/>
      <c r="T1213" s="34" t="str">
        <f aca="false">IF($R1213="","",IFERROR(INDEX(DriverCategory,MATCH($R1213,DriverList,0)),"BAU"))</f>
        <v/>
      </c>
      <c r="U1213" s="34" t="str">
        <f aca="false">IF($R1213="","",IFERROR(INDEX(DriverRank,MATCH($R1213,DriverList,0)),99))</f>
        <v/>
      </c>
      <c r="V1213" s="35" t="n">
        <f aca="false">IF($H1213="",0,IFERROR(INDEX(LevelBasic,MATCH($H1213,LevelList,0))+INDEX(LevelHousing,MATCH($H1213,LevelList,0))+INDEX(LevelTransport,MATCH($H1213,LevelList,0))+INDEX(LevelBasic,MATCH($H1213,LevelList,0))*INDEX(LevelBonus,MATCH($H1213,LevelList,0))+(INDEX(LevelBasic,MATCH($H1213,LevelList,0))+INDEX(LevelHousing,MATCH($H1213,LevelList,0)))*GosiSaudi,0))</f>
        <v>0</v>
      </c>
      <c r="W1213" s="35" t="n">
        <f aca="false">IFERROR(INDEX(LevelOneOff,MATCH($H1213,LevelList,0)),0)</f>
        <v>0</v>
      </c>
      <c r="X1213" s="35" t="str">
        <f aca="false">IF($G1213="","",$V1213*N($L1213))</f>
        <v/>
      </c>
      <c r="Y1213" s="35" t="str">
        <f aca="false">IF($G1213="","",$V1213*(N($M1213)*1+N($N1213)*0.75+N($O1213)*0.5+N($P1213)*0.25)+$W1213*N($L1213))</f>
        <v/>
      </c>
      <c r="Z1213" s="35" t="str">
        <f aca="false">IF($G1213="","",$U1213*1000000+ROW())</f>
        <v/>
      </c>
      <c r="AA1213" s="36" t="str">
        <f aca="false">IF($G1213="","",MID(IF($C1213="",", no division","")&amp;IF($E1213="",", no unit","")&amp;IF($H1213="",", no career level","")&amp;IF(N($L1213)&lt;=0,", no quarter split","")&amp;IF($R1213="",", no driver","")&amp;IF(AND($H1213&lt;&gt;"",COUNTIF(CareerLevels,$H1213)=0),", a career level that is not on the ladder","")&amp;IF(AND($R1213&lt;&gt;"",COUNTIF(DriverList,$R1213)=0),", a driver that is not on the list","")&amp;IF(ABS(N($L1213)-(N($M1213)+N($N1213)+N($O1213)+N($P1213)))&gt;0.001,", a total that does not match its quarters",""),3,300))</f>
        <v/>
      </c>
    </row>
    <row r="1214" customFormat="false" ht="15" hidden="false" customHeight="false" outlineLevel="0" collapsed="false">
      <c r="A1214" s="33" t="str">
        <f aca="false">IF($G1214="","","Legal Group")</f>
        <v/>
      </c>
      <c r="B1214" s="19"/>
      <c r="C1214" s="19"/>
      <c r="D1214" s="19"/>
      <c r="E1214" s="19"/>
      <c r="F1214" s="19"/>
      <c r="G1214" s="19"/>
      <c r="H1214" s="19"/>
      <c r="I1214" s="19"/>
      <c r="J1214" s="19"/>
      <c r="K1214" s="19"/>
      <c r="L1214" s="19"/>
      <c r="M1214" s="19"/>
      <c r="N1214" s="19"/>
      <c r="O1214" s="19"/>
      <c r="P1214" s="19"/>
      <c r="Q1214" s="19"/>
      <c r="R1214" s="19"/>
      <c r="S1214" s="19"/>
      <c r="T1214" s="34" t="str">
        <f aca="false">IF($R1214="","",IFERROR(INDEX(DriverCategory,MATCH($R1214,DriverList,0)),"BAU"))</f>
        <v/>
      </c>
      <c r="U1214" s="34" t="str">
        <f aca="false">IF($R1214="","",IFERROR(INDEX(DriverRank,MATCH($R1214,DriverList,0)),99))</f>
        <v/>
      </c>
      <c r="V1214" s="35" t="n">
        <f aca="false">IF($H1214="",0,IFERROR(INDEX(LevelBasic,MATCH($H1214,LevelList,0))+INDEX(LevelHousing,MATCH($H1214,LevelList,0))+INDEX(LevelTransport,MATCH($H1214,LevelList,0))+INDEX(LevelBasic,MATCH($H1214,LevelList,0))*INDEX(LevelBonus,MATCH($H1214,LevelList,0))+(INDEX(LevelBasic,MATCH($H1214,LevelList,0))+INDEX(LevelHousing,MATCH($H1214,LevelList,0)))*GosiSaudi,0))</f>
        <v>0</v>
      </c>
      <c r="W1214" s="35" t="n">
        <f aca="false">IFERROR(INDEX(LevelOneOff,MATCH($H1214,LevelList,0)),0)</f>
        <v>0</v>
      </c>
      <c r="X1214" s="35" t="str">
        <f aca="false">IF($G1214="","",$V1214*N($L1214))</f>
        <v/>
      </c>
      <c r="Y1214" s="35" t="str">
        <f aca="false">IF($G1214="","",$V1214*(N($M1214)*1+N($N1214)*0.75+N($O1214)*0.5+N($P1214)*0.25)+$W1214*N($L1214))</f>
        <v/>
      </c>
      <c r="Z1214" s="35" t="str">
        <f aca="false">IF($G1214="","",$U1214*1000000+ROW())</f>
        <v/>
      </c>
      <c r="AA1214" s="36" t="str">
        <f aca="false">IF($G1214="","",MID(IF($C1214="",", no division","")&amp;IF($E1214="",", no unit","")&amp;IF($H1214="",", no career level","")&amp;IF(N($L1214)&lt;=0,", no quarter split","")&amp;IF($R1214="",", no driver","")&amp;IF(AND($H1214&lt;&gt;"",COUNTIF(CareerLevels,$H1214)=0),", a career level that is not on the ladder","")&amp;IF(AND($R1214&lt;&gt;"",COUNTIF(DriverList,$R1214)=0),", a driver that is not on the list","")&amp;IF(ABS(N($L1214)-(N($M1214)+N($N1214)+N($O1214)+N($P1214)))&gt;0.001,", a total that does not match its quarters",""),3,300))</f>
        <v/>
      </c>
    </row>
    <row r="1215" customFormat="false" ht="15" hidden="false" customHeight="false" outlineLevel="0" collapsed="false">
      <c r="A1215" s="33" t="str">
        <f aca="false">IF($G1215="","","Legal Group")</f>
        <v/>
      </c>
      <c r="B1215" s="19"/>
      <c r="C1215" s="19"/>
      <c r="D1215" s="19"/>
      <c r="E1215" s="19"/>
      <c r="F1215" s="19"/>
      <c r="G1215" s="19"/>
      <c r="H1215" s="19"/>
      <c r="I1215" s="19"/>
      <c r="J1215" s="19"/>
      <c r="K1215" s="19"/>
      <c r="L1215" s="19"/>
      <c r="M1215" s="19"/>
      <c r="N1215" s="19"/>
      <c r="O1215" s="19"/>
      <c r="P1215" s="19"/>
      <c r="Q1215" s="19"/>
      <c r="R1215" s="19"/>
      <c r="S1215" s="19"/>
      <c r="T1215" s="34" t="str">
        <f aca="false">IF($R1215="","",IFERROR(INDEX(DriverCategory,MATCH($R1215,DriverList,0)),"BAU"))</f>
        <v/>
      </c>
      <c r="U1215" s="34" t="str">
        <f aca="false">IF($R1215="","",IFERROR(INDEX(DriverRank,MATCH($R1215,DriverList,0)),99))</f>
        <v/>
      </c>
      <c r="V1215" s="35" t="n">
        <f aca="false">IF($H1215="",0,IFERROR(INDEX(LevelBasic,MATCH($H1215,LevelList,0))+INDEX(LevelHousing,MATCH($H1215,LevelList,0))+INDEX(LevelTransport,MATCH($H1215,LevelList,0))+INDEX(LevelBasic,MATCH($H1215,LevelList,0))*INDEX(LevelBonus,MATCH($H1215,LevelList,0))+(INDEX(LevelBasic,MATCH($H1215,LevelList,0))+INDEX(LevelHousing,MATCH($H1215,LevelList,0)))*GosiSaudi,0))</f>
        <v>0</v>
      </c>
      <c r="W1215" s="35" t="n">
        <f aca="false">IFERROR(INDEX(LevelOneOff,MATCH($H1215,LevelList,0)),0)</f>
        <v>0</v>
      </c>
      <c r="X1215" s="35" t="str">
        <f aca="false">IF($G1215="","",$V1215*N($L1215))</f>
        <v/>
      </c>
      <c r="Y1215" s="35" t="str">
        <f aca="false">IF($G1215="","",$V1215*(N($M1215)*1+N($N1215)*0.75+N($O1215)*0.5+N($P1215)*0.25)+$W1215*N($L1215))</f>
        <v/>
      </c>
      <c r="Z1215" s="35" t="str">
        <f aca="false">IF($G1215="","",$U1215*1000000+ROW())</f>
        <v/>
      </c>
      <c r="AA1215" s="36" t="str">
        <f aca="false">IF($G1215="","",MID(IF($C1215="",", no division","")&amp;IF($E1215="",", no unit","")&amp;IF($H1215="",", no career level","")&amp;IF(N($L1215)&lt;=0,", no quarter split","")&amp;IF($R1215="",", no driver","")&amp;IF(AND($H1215&lt;&gt;"",COUNTIF(CareerLevels,$H1215)=0),", a career level that is not on the ladder","")&amp;IF(AND($R1215&lt;&gt;"",COUNTIF(DriverList,$R1215)=0),", a driver that is not on the list","")&amp;IF(ABS(N($L1215)-(N($M1215)+N($N1215)+N($O1215)+N($P1215)))&gt;0.001,", a total that does not match its quarters",""),3,300))</f>
        <v/>
      </c>
    </row>
    <row r="1216" customFormat="false" ht="15" hidden="false" customHeight="false" outlineLevel="0" collapsed="false">
      <c r="A1216" s="33" t="str">
        <f aca="false">IF($G1216="","","Legal Group")</f>
        <v/>
      </c>
      <c r="B1216" s="19"/>
      <c r="C1216" s="19"/>
      <c r="D1216" s="19"/>
      <c r="E1216" s="19"/>
      <c r="F1216" s="19"/>
      <c r="G1216" s="19"/>
      <c r="H1216" s="19"/>
      <c r="I1216" s="19"/>
      <c r="J1216" s="19"/>
      <c r="K1216" s="19"/>
      <c r="L1216" s="19"/>
      <c r="M1216" s="19"/>
      <c r="N1216" s="19"/>
      <c r="O1216" s="19"/>
      <c r="P1216" s="19"/>
      <c r="Q1216" s="19"/>
      <c r="R1216" s="19"/>
      <c r="S1216" s="19"/>
      <c r="T1216" s="34" t="str">
        <f aca="false">IF($R1216="","",IFERROR(INDEX(DriverCategory,MATCH($R1216,DriverList,0)),"BAU"))</f>
        <v/>
      </c>
      <c r="U1216" s="34" t="str">
        <f aca="false">IF($R1216="","",IFERROR(INDEX(DriverRank,MATCH($R1216,DriverList,0)),99))</f>
        <v/>
      </c>
      <c r="V1216" s="35" t="n">
        <f aca="false">IF($H1216="",0,IFERROR(INDEX(LevelBasic,MATCH($H1216,LevelList,0))+INDEX(LevelHousing,MATCH($H1216,LevelList,0))+INDEX(LevelTransport,MATCH($H1216,LevelList,0))+INDEX(LevelBasic,MATCH($H1216,LevelList,0))*INDEX(LevelBonus,MATCH($H1216,LevelList,0))+(INDEX(LevelBasic,MATCH($H1216,LevelList,0))+INDEX(LevelHousing,MATCH($H1216,LevelList,0)))*GosiSaudi,0))</f>
        <v>0</v>
      </c>
      <c r="W1216" s="35" t="n">
        <f aca="false">IFERROR(INDEX(LevelOneOff,MATCH($H1216,LevelList,0)),0)</f>
        <v>0</v>
      </c>
      <c r="X1216" s="35" t="str">
        <f aca="false">IF($G1216="","",$V1216*N($L1216))</f>
        <v/>
      </c>
      <c r="Y1216" s="35" t="str">
        <f aca="false">IF($G1216="","",$V1216*(N($M1216)*1+N($N1216)*0.75+N($O1216)*0.5+N($P1216)*0.25)+$W1216*N($L1216))</f>
        <v/>
      </c>
      <c r="Z1216" s="35" t="str">
        <f aca="false">IF($G1216="","",$U1216*1000000+ROW())</f>
        <v/>
      </c>
      <c r="AA1216" s="36" t="str">
        <f aca="false">IF($G1216="","",MID(IF($C1216="",", no division","")&amp;IF($E1216="",", no unit","")&amp;IF($H1216="",", no career level","")&amp;IF(N($L1216)&lt;=0,", no quarter split","")&amp;IF($R1216="",", no driver","")&amp;IF(AND($H1216&lt;&gt;"",COUNTIF(CareerLevels,$H1216)=0),", a career level that is not on the ladder","")&amp;IF(AND($R1216&lt;&gt;"",COUNTIF(DriverList,$R1216)=0),", a driver that is not on the list","")&amp;IF(ABS(N($L1216)-(N($M1216)+N($N1216)+N($O1216)+N($P1216)))&gt;0.001,", a total that does not match its quarters",""),3,300))</f>
        <v/>
      </c>
    </row>
    <row r="1217" customFormat="false" ht="15" hidden="false" customHeight="false" outlineLevel="0" collapsed="false">
      <c r="A1217" s="33" t="str">
        <f aca="false">IF($G1217="","","Legal Group")</f>
        <v/>
      </c>
      <c r="B1217" s="19"/>
      <c r="C1217" s="19"/>
      <c r="D1217" s="19"/>
      <c r="E1217" s="19"/>
      <c r="F1217" s="19"/>
      <c r="G1217" s="19"/>
      <c r="H1217" s="19"/>
      <c r="I1217" s="19"/>
      <c r="J1217" s="19"/>
      <c r="K1217" s="19"/>
      <c r="L1217" s="19"/>
      <c r="M1217" s="19"/>
      <c r="N1217" s="19"/>
      <c r="O1217" s="19"/>
      <c r="P1217" s="19"/>
      <c r="Q1217" s="19"/>
      <c r="R1217" s="19"/>
      <c r="S1217" s="19"/>
      <c r="T1217" s="34" t="str">
        <f aca="false">IF($R1217="","",IFERROR(INDEX(DriverCategory,MATCH($R1217,DriverList,0)),"BAU"))</f>
        <v/>
      </c>
      <c r="U1217" s="34" t="str">
        <f aca="false">IF($R1217="","",IFERROR(INDEX(DriverRank,MATCH($R1217,DriverList,0)),99))</f>
        <v/>
      </c>
      <c r="V1217" s="35" t="n">
        <f aca="false">IF($H1217="",0,IFERROR(INDEX(LevelBasic,MATCH($H1217,LevelList,0))+INDEX(LevelHousing,MATCH($H1217,LevelList,0))+INDEX(LevelTransport,MATCH($H1217,LevelList,0))+INDEX(LevelBasic,MATCH($H1217,LevelList,0))*INDEX(LevelBonus,MATCH($H1217,LevelList,0))+(INDEX(LevelBasic,MATCH($H1217,LevelList,0))+INDEX(LevelHousing,MATCH($H1217,LevelList,0)))*GosiSaudi,0))</f>
        <v>0</v>
      </c>
      <c r="W1217" s="35" t="n">
        <f aca="false">IFERROR(INDEX(LevelOneOff,MATCH($H1217,LevelList,0)),0)</f>
        <v>0</v>
      </c>
      <c r="X1217" s="35" t="str">
        <f aca="false">IF($G1217="","",$V1217*N($L1217))</f>
        <v/>
      </c>
      <c r="Y1217" s="35" t="str">
        <f aca="false">IF($G1217="","",$V1217*(N($M1217)*1+N($N1217)*0.75+N($O1217)*0.5+N($P1217)*0.25)+$W1217*N($L1217))</f>
        <v/>
      </c>
      <c r="Z1217" s="35" t="str">
        <f aca="false">IF($G1217="","",$U1217*1000000+ROW())</f>
        <v/>
      </c>
      <c r="AA1217" s="36" t="str">
        <f aca="false">IF($G1217="","",MID(IF($C1217="",", no division","")&amp;IF($E1217="",", no unit","")&amp;IF($H1217="",", no career level","")&amp;IF(N($L1217)&lt;=0,", no quarter split","")&amp;IF($R1217="",", no driver","")&amp;IF(AND($H1217&lt;&gt;"",COUNTIF(CareerLevels,$H1217)=0),", a career level that is not on the ladder","")&amp;IF(AND($R1217&lt;&gt;"",COUNTIF(DriverList,$R1217)=0),", a driver that is not on the list","")&amp;IF(ABS(N($L1217)-(N($M1217)+N($N1217)+N($O1217)+N($P1217)))&gt;0.001,", a total that does not match its quarters",""),3,300))</f>
        <v/>
      </c>
    </row>
    <row r="1218" customFormat="false" ht="15" hidden="false" customHeight="false" outlineLevel="0" collapsed="false">
      <c r="A1218" s="33" t="str">
        <f aca="false">IF($G1218="","","Legal Group")</f>
        <v/>
      </c>
      <c r="B1218" s="19"/>
      <c r="C1218" s="19"/>
      <c r="D1218" s="19"/>
      <c r="E1218" s="19"/>
      <c r="F1218" s="19"/>
      <c r="G1218" s="19"/>
      <c r="H1218" s="19"/>
      <c r="I1218" s="19"/>
      <c r="J1218" s="19"/>
      <c r="K1218" s="19"/>
      <c r="L1218" s="19"/>
      <c r="M1218" s="19"/>
      <c r="N1218" s="19"/>
      <c r="O1218" s="19"/>
      <c r="P1218" s="19"/>
      <c r="Q1218" s="19"/>
      <c r="R1218" s="19"/>
      <c r="S1218" s="19"/>
      <c r="T1218" s="34" t="str">
        <f aca="false">IF($R1218="","",IFERROR(INDEX(DriverCategory,MATCH($R1218,DriverList,0)),"BAU"))</f>
        <v/>
      </c>
      <c r="U1218" s="34" t="str">
        <f aca="false">IF($R1218="","",IFERROR(INDEX(DriverRank,MATCH($R1218,DriverList,0)),99))</f>
        <v/>
      </c>
      <c r="V1218" s="35" t="n">
        <f aca="false">IF($H1218="",0,IFERROR(INDEX(LevelBasic,MATCH($H1218,LevelList,0))+INDEX(LevelHousing,MATCH($H1218,LevelList,0))+INDEX(LevelTransport,MATCH($H1218,LevelList,0))+INDEX(LevelBasic,MATCH($H1218,LevelList,0))*INDEX(LevelBonus,MATCH($H1218,LevelList,0))+(INDEX(LevelBasic,MATCH($H1218,LevelList,0))+INDEX(LevelHousing,MATCH($H1218,LevelList,0)))*GosiSaudi,0))</f>
        <v>0</v>
      </c>
      <c r="W1218" s="35" t="n">
        <f aca="false">IFERROR(INDEX(LevelOneOff,MATCH($H1218,LevelList,0)),0)</f>
        <v>0</v>
      </c>
      <c r="X1218" s="35" t="str">
        <f aca="false">IF($G1218="","",$V1218*N($L1218))</f>
        <v/>
      </c>
      <c r="Y1218" s="35" t="str">
        <f aca="false">IF($G1218="","",$V1218*(N($M1218)*1+N($N1218)*0.75+N($O1218)*0.5+N($P1218)*0.25)+$W1218*N($L1218))</f>
        <v/>
      </c>
      <c r="Z1218" s="35" t="str">
        <f aca="false">IF($G1218="","",$U1218*1000000+ROW())</f>
        <v/>
      </c>
      <c r="AA1218" s="36" t="str">
        <f aca="false">IF($G1218="","",MID(IF($C1218="",", no division","")&amp;IF($E1218="",", no unit","")&amp;IF($H1218="",", no career level","")&amp;IF(N($L1218)&lt;=0,", no quarter split","")&amp;IF($R1218="",", no driver","")&amp;IF(AND($H1218&lt;&gt;"",COUNTIF(CareerLevels,$H1218)=0),", a career level that is not on the ladder","")&amp;IF(AND($R1218&lt;&gt;"",COUNTIF(DriverList,$R1218)=0),", a driver that is not on the list","")&amp;IF(ABS(N($L1218)-(N($M1218)+N($N1218)+N($O1218)+N($P1218)))&gt;0.001,", a total that does not match its quarters",""),3,300))</f>
        <v/>
      </c>
    </row>
    <row r="1219" customFormat="false" ht="15" hidden="false" customHeight="false" outlineLevel="0" collapsed="false">
      <c r="A1219" s="33" t="str">
        <f aca="false">IF($G1219="","","Legal Group")</f>
        <v/>
      </c>
      <c r="B1219" s="19"/>
      <c r="C1219" s="19"/>
      <c r="D1219" s="19"/>
      <c r="E1219" s="19"/>
      <c r="F1219" s="19"/>
      <c r="G1219" s="19"/>
      <c r="H1219" s="19"/>
      <c r="I1219" s="19"/>
      <c r="J1219" s="19"/>
      <c r="K1219" s="19"/>
      <c r="L1219" s="19"/>
      <c r="M1219" s="19"/>
      <c r="N1219" s="19"/>
      <c r="O1219" s="19"/>
      <c r="P1219" s="19"/>
      <c r="Q1219" s="19"/>
      <c r="R1219" s="19"/>
      <c r="S1219" s="19"/>
      <c r="T1219" s="34" t="str">
        <f aca="false">IF($R1219="","",IFERROR(INDEX(DriverCategory,MATCH($R1219,DriverList,0)),"BAU"))</f>
        <v/>
      </c>
      <c r="U1219" s="34" t="str">
        <f aca="false">IF($R1219="","",IFERROR(INDEX(DriverRank,MATCH($R1219,DriverList,0)),99))</f>
        <v/>
      </c>
      <c r="V1219" s="35" t="n">
        <f aca="false">IF($H1219="",0,IFERROR(INDEX(LevelBasic,MATCH($H1219,LevelList,0))+INDEX(LevelHousing,MATCH($H1219,LevelList,0))+INDEX(LevelTransport,MATCH($H1219,LevelList,0))+INDEX(LevelBasic,MATCH($H1219,LevelList,0))*INDEX(LevelBonus,MATCH($H1219,LevelList,0))+(INDEX(LevelBasic,MATCH($H1219,LevelList,0))+INDEX(LevelHousing,MATCH($H1219,LevelList,0)))*GosiSaudi,0))</f>
        <v>0</v>
      </c>
      <c r="W1219" s="35" t="n">
        <f aca="false">IFERROR(INDEX(LevelOneOff,MATCH($H1219,LevelList,0)),0)</f>
        <v>0</v>
      </c>
      <c r="X1219" s="35" t="str">
        <f aca="false">IF($G1219="","",$V1219*N($L1219))</f>
        <v/>
      </c>
      <c r="Y1219" s="35" t="str">
        <f aca="false">IF($G1219="","",$V1219*(N($M1219)*1+N($N1219)*0.75+N($O1219)*0.5+N($P1219)*0.25)+$W1219*N($L1219))</f>
        <v/>
      </c>
      <c r="Z1219" s="35" t="str">
        <f aca="false">IF($G1219="","",$U1219*1000000+ROW())</f>
        <v/>
      </c>
      <c r="AA1219" s="36" t="str">
        <f aca="false">IF($G1219="","",MID(IF($C1219="",", no division","")&amp;IF($E1219="",", no unit","")&amp;IF($H1219="",", no career level","")&amp;IF(N($L1219)&lt;=0,", no quarter split","")&amp;IF($R1219="",", no driver","")&amp;IF(AND($H1219&lt;&gt;"",COUNTIF(CareerLevels,$H1219)=0),", a career level that is not on the ladder","")&amp;IF(AND($R1219&lt;&gt;"",COUNTIF(DriverList,$R1219)=0),", a driver that is not on the list","")&amp;IF(ABS(N($L1219)-(N($M1219)+N($N1219)+N($O1219)+N($P1219)))&gt;0.001,", a total that does not match its quarters",""),3,300))</f>
        <v/>
      </c>
    </row>
    <row r="1220" customFormat="false" ht="15" hidden="false" customHeight="false" outlineLevel="0" collapsed="false">
      <c r="A1220" s="33" t="str">
        <f aca="false">IF($G1220="","","Legal Group")</f>
        <v/>
      </c>
      <c r="B1220" s="19"/>
      <c r="C1220" s="19"/>
      <c r="D1220" s="19"/>
      <c r="E1220" s="19"/>
      <c r="F1220" s="19"/>
      <c r="G1220" s="19"/>
      <c r="H1220" s="19"/>
      <c r="I1220" s="19"/>
      <c r="J1220" s="19"/>
      <c r="K1220" s="19"/>
      <c r="L1220" s="19"/>
      <c r="M1220" s="19"/>
      <c r="N1220" s="19"/>
      <c r="O1220" s="19"/>
      <c r="P1220" s="19"/>
      <c r="Q1220" s="19"/>
      <c r="R1220" s="19"/>
      <c r="S1220" s="19"/>
      <c r="T1220" s="34" t="str">
        <f aca="false">IF($R1220="","",IFERROR(INDEX(DriverCategory,MATCH($R1220,DriverList,0)),"BAU"))</f>
        <v/>
      </c>
      <c r="U1220" s="34" t="str">
        <f aca="false">IF($R1220="","",IFERROR(INDEX(DriverRank,MATCH($R1220,DriverList,0)),99))</f>
        <v/>
      </c>
      <c r="V1220" s="35" t="n">
        <f aca="false">IF($H1220="",0,IFERROR(INDEX(LevelBasic,MATCH($H1220,LevelList,0))+INDEX(LevelHousing,MATCH($H1220,LevelList,0))+INDEX(LevelTransport,MATCH($H1220,LevelList,0))+INDEX(LevelBasic,MATCH($H1220,LevelList,0))*INDEX(LevelBonus,MATCH($H1220,LevelList,0))+(INDEX(LevelBasic,MATCH($H1220,LevelList,0))+INDEX(LevelHousing,MATCH($H1220,LevelList,0)))*GosiSaudi,0))</f>
        <v>0</v>
      </c>
      <c r="W1220" s="35" t="n">
        <f aca="false">IFERROR(INDEX(LevelOneOff,MATCH($H1220,LevelList,0)),0)</f>
        <v>0</v>
      </c>
      <c r="X1220" s="35" t="str">
        <f aca="false">IF($G1220="","",$V1220*N($L1220))</f>
        <v/>
      </c>
      <c r="Y1220" s="35" t="str">
        <f aca="false">IF($G1220="","",$V1220*(N($M1220)*1+N($N1220)*0.75+N($O1220)*0.5+N($P1220)*0.25)+$W1220*N($L1220))</f>
        <v/>
      </c>
      <c r="Z1220" s="35" t="str">
        <f aca="false">IF($G1220="","",$U1220*1000000+ROW())</f>
        <v/>
      </c>
      <c r="AA1220" s="36" t="str">
        <f aca="false">IF($G1220="","",MID(IF($C1220="",", no division","")&amp;IF($E1220="",", no unit","")&amp;IF($H1220="",", no career level","")&amp;IF(N($L1220)&lt;=0,", no quarter split","")&amp;IF($R1220="",", no driver","")&amp;IF(AND($H1220&lt;&gt;"",COUNTIF(CareerLevels,$H1220)=0),", a career level that is not on the ladder","")&amp;IF(AND($R1220&lt;&gt;"",COUNTIF(DriverList,$R1220)=0),", a driver that is not on the list","")&amp;IF(ABS(N($L1220)-(N($M1220)+N($N1220)+N($O1220)+N($P1220)))&gt;0.001,", a total that does not match its quarters",""),3,300))</f>
        <v/>
      </c>
    </row>
    <row r="1221" customFormat="false" ht="15" hidden="false" customHeight="false" outlineLevel="0" collapsed="false">
      <c r="A1221" s="33" t="str">
        <f aca="false">IF($G1221="","","Legal Group")</f>
        <v/>
      </c>
      <c r="B1221" s="19"/>
      <c r="C1221" s="19"/>
      <c r="D1221" s="19"/>
      <c r="E1221" s="19"/>
      <c r="F1221" s="19"/>
      <c r="G1221" s="19"/>
      <c r="H1221" s="19"/>
      <c r="I1221" s="19"/>
      <c r="J1221" s="19"/>
      <c r="K1221" s="19"/>
      <c r="L1221" s="19"/>
      <c r="M1221" s="19"/>
      <c r="N1221" s="19"/>
      <c r="O1221" s="19"/>
      <c r="P1221" s="19"/>
      <c r="Q1221" s="19"/>
      <c r="R1221" s="19"/>
      <c r="S1221" s="19"/>
      <c r="T1221" s="34" t="str">
        <f aca="false">IF($R1221="","",IFERROR(INDEX(DriverCategory,MATCH($R1221,DriverList,0)),"BAU"))</f>
        <v/>
      </c>
      <c r="U1221" s="34" t="str">
        <f aca="false">IF($R1221="","",IFERROR(INDEX(DriverRank,MATCH($R1221,DriverList,0)),99))</f>
        <v/>
      </c>
      <c r="V1221" s="35" t="n">
        <f aca="false">IF($H1221="",0,IFERROR(INDEX(LevelBasic,MATCH($H1221,LevelList,0))+INDEX(LevelHousing,MATCH($H1221,LevelList,0))+INDEX(LevelTransport,MATCH($H1221,LevelList,0))+INDEX(LevelBasic,MATCH($H1221,LevelList,0))*INDEX(LevelBonus,MATCH($H1221,LevelList,0))+(INDEX(LevelBasic,MATCH($H1221,LevelList,0))+INDEX(LevelHousing,MATCH($H1221,LevelList,0)))*GosiSaudi,0))</f>
        <v>0</v>
      </c>
      <c r="W1221" s="35" t="n">
        <f aca="false">IFERROR(INDEX(LevelOneOff,MATCH($H1221,LevelList,0)),0)</f>
        <v>0</v>
      </c>
      <c r="X1221" s="35" t="str">
        <f aca="false">IF($G1221="","",$V1221*N($L1221))</f>
        <v/>
      </c>
      <c r="Y1221" s="35" t="str">
        <f aca="false">IF($G1221="","",$V1221*(N($M1221)*1+N($N1221)*0.75+N($O1221)*0.5+N($P1221)*0.25)+$W1221*N($L1221))</f>
        <v/>
      </c>
      <c r="Z1221" s="35" t="str">
        <f aca="false">IF($G1221="","",$U1221*1000000+ROW())</f>
        <v/>
      </c>
      <c r="AA1221" s="36" t="str">
        <f aca="false">IF($G1221="","",MID(IF($C1221="",", no division","")&amp;IF($E1221="",", no unit","")&amp;IF($H1221="",", no career level","")&amp;IF(N($L1221)&lt;=0,", no quarter split","")&amp;IF($R1221="",", no driver","")&amp;IF(AND($H1221&lt;&gt;"",COUNTIF(CareerLevels,$H1221)=0),", a career level that is not on the ladder","")&amp;IF(AND($R1221&lt;&gt;"",COUNTIF(DriverList,$R1221)=0),", a driver that is not on the list","")&amp;IF(ABS(N($L1221)-(N($M1221)+N($N1221)+N($O1221)+N($P1221)))&gt;0.001,", a total that does not match its quarters",""),3,300))</f>
        <v/>
      </c>
    </row>
    <row r="1222" customFormat="false" ht="15" hidden="false" customHeight="false" outlineLevel="0" collapsed="false">
      <c r="A1222" s="33" t="str">
        <f aca="false">IF($G1222="","","Legal Group")</f>
        <v/>
      </c>
      <c r="B1222" s="19"/>
      <c r="C1222" s="19"/>
      <c r="D1222" s="19"/>
      <c r="E1222" s="19"/>
      <c r="F1222" s="19"/>
      <c r="G1222" s="19"/>
      <c r="H1222" s="19"/>
      <c r="I1222" s="19"/>
      <c r="J1222" s="19"/>
      <c r="K1222" s="19"/>
      <c r="L1222" s="19"/>
      <c r="M1222" s="19"/>
      <c r="N1222" s="19"/>
      <c r="O1222" s="19"/>
      <c r="P1222" s="19"/>
      <c r="Q1222" s="19"/>
      <c r="R1222" s="19"/>
      <c r="S1222" s="19"/>
      <c r="T1222" s="34" t="str">
        <f aca="false">IF($R1222="","",IFERROR(INDEX(DriverCategory,MATCH($R1222,DriverList,0)),"BAU"))</f>
        <v/>
      </c>
      <c r="U1222" s="34" t="str">
        <f aca="false">IF($R1222="","",IFERROR(INDEX(DriverRank,MATCH($R1222,DriverList,0)),99))</f>
        <v/>
      </c>
      <c r="V1222" s="35" t="n">
        <f aca="false">IF($H1222="",0,IFERROR(INDEX(LevelBasic,MATCH($H1222,LevelList,0))+INDEX(LevelHousing,MATCH($H1222,LevelList,0))+INDEX(LevelTransport,MATCH($H1222,LevelList,0))+INDEX(LevelBasic,MATCH($H1222,LevelList,0))*INDEX(LevelBonus,MATCH($H1222,LevelList,0))+(INDEX(LevelBasic,MATCH($H1222,LevelList,0))+INDEX(LevelHousing,MATCH($H1222,LevelList,0)))*GosiSaudi,0))</f>
        <v>0</v>
      </c>
      <c r="W1222" s="35" t="n">
        <f aca="false">IFERROR(INDEX(LevelOneOff,MATCH($H1222,LevelList,0)),0)</f>
        <v>0</v>
      </c>
      <c r="X1222" s="35" t="str">
        <f aca="false">IF($G1222="","",$V1222*N($L1222))</f>
        <v/>
      </c>
      <c r="Y1222" s="35" t="str">
        <f aca="false">IF($G1222="","",$V1222*(N($M1222)*1+N($N1222)*0.75+N($O1222)*0.5+N($P1222)*0.25)+$W1222*N($L1222))</f>
        <v/>
      </c>
      <c r="Z1222" s="35" t="str">
        <f aca="false">IF($G1222="","",$U1222*1000000+ROW())</f>
        <v/>
      </c>
      <c r="AA1222" s="36" t="str">
        <f aca="false">IF($G1222="","",MID(IF($C1222="",", no division","")&amp;IF($E1222="",", no unit","")&amp;IF($H1222="",", no career level","")&amp;IF(N($L1222)&lt;=0,", no quarter split","")&amp;IF($R1222="",", no driver","")&amp;IF(AND($H1222&lt;&gt;"",COUNTIF(CareerLevels,$H1222)=0),", a career level that is not on the ladder","")&amp;IF(AND($R1222&lt;&gt;"",COUNTIF(DriverList,$R1222)=0),", a driver that is not on the list","")&amp;IF(ABS(N($L1222)-(N($M1222)+N($N1222)+N($O1222)+N($P1222)))&gt;0.001,", a total that does not match its quarters",""),3,300))</f>
        <v/>
      </c>
    </row>
    <row r="1223" customFormat="false" ht="15" hidden="false" customHeight="false" outlineLevel="0" collapsed="false">
      <c r="A1223" s="33" t="str">
        <f aca="false">IF($G1223="","","Legal Group")</f>
        <v/>
      </c>
      <c r="B1223" s="19"/>
      <c r="C1223" s="19"/>
      <c r="D1223" s="19"/>
      <c r="E1223" s="19"/>
      <c r="F1223" s="19"/>
      <c r="G1223" s="19"/>
      <c r="H1223" s="19"/>
      <c r="I1223" s="19"/>
      <c r="J1223" s="19"/>
      <c r="K1223" s="19"/>
      <c r="L1223" s="19"/>
      <c r="M1223" s="19"/>
      <c r="N1223" s="19"/>
      <c r="O1223" s="19"/>
      <c r="P1223" s="19"/>
      <c r="Q1223" s="19"/>
      <c r="R1223" s="19"/>
      <c r="S1223" s="19"/>
      <c r="T1223" s="34" t="str">
        <f aca="false">IF($R1223="","",IFERROR(INDEX(DriverCategory,MATCH($R1223,DriverList,0)),"BAU"))</f>
        <v/>
      </c>
      <c r="U1223" s="34" t="str">
        <f aca="false">IF($R1223="","",IFERROR(INDEX(DriverRank,MATCH($R1223,DriverList,0)),99))</f>
        <v/>
      </c>
      <c r="V1223" s="35" t="n">
        <f aca="false">IF($H1223="",0,IFERROR(INDEX(LevelBasic,MATCH($H1223,LevelList,0))+INDEX(LevelHousing,MATCH($H1223,LevelList,0))+INDEX(LevelTransport,MATCH($H1223,LevelList,0))+INDEX(LevelBasic,MATCH($H1223,LevelList,0))*INDEX(LevelBonus,MATCH($H1223,LevelList,0))+(INDEX(LevelBasic,MATCH($H1223,LevelList,0))+INDEX(LevelHousing,MATCH($H1223,LevelList,0)))*GosiSaudi,0))</f>
        <v>0</v>
      </c>
      <c r="W1223" s="35" t="n">
        <f aca="false">IFERROR(INDEX(LevelOneOff,MATCH($H1223,LevelList,0)),0)</f>
        <v>0</v>
      </c>
      <c r="X1223" s="35" t="str">
        <f aca="false">IF($G1223="","",$V1223*N($L1223))</f>
        <v/>
      </c>
      <c r="Y1223" s="35" t="str">
        <f aca="false">IF($G1223="","",$V1223*(N($M1223)*1+N($N1223)*0.75+N($O1223)*0.5+N($P1223)*0.25)+$W1223*N($L1223))</f>
        <v/>
      </c>
      <c r="Z1223" s="35" t="str">
        <f aca="false">IF($G1223="","",$U1223*1000000+ROW())</f>
        <v/>
      </c>
      <c r="AA1223" s="36" t="str">
        <f aca="false">IF($G1223="","",MID(IF($C1223="",", no division","")&amp;IF($E1223="",", no unit","")&amp;IF($H1223="",", no career level","")&amp;IF(N($L1223)&lt;=0,", no quarter split","")&amp;IF($R1223="",", no driver","")&amp;IF(AND($H1223&lt;&gt;"",COUNTIF(CareerLevels,$H1223)=0),", a career level that is not on the ladder","")&amp;IF(AND($R1223&lt;&gt;"",COUNTIF(DriverList,$R1223)=0),", a driver that is not on the list","")&amp;IF(ABS(N($L1223)-(N($M1223)+N($N1223)+N($O1223)+N($P1223)))&gt;0.001,", a total that does not match its quarters",""),3,300))</f>
        <v/>
      </c>
    </row>
    <row r="1224" customFormat="false" ht="15" hidden="false" customHeight="false" outlineLevel="0" collapsed="false">
      <c r="A1224" s="33" t="str">
        <f aca="false">IF($G1224="","","Legal Group")</f>
        <v/>
      </c>
      <c r="B1224" s="19"/>
      <c r="C1224" s="19"/>
      <c r="D1224" s="19"/>
      <c r="E1224" s="19"/>
      <c r="F1224" s="19"/>
      <c r="G1224" s="19"/>
      <c r="H1224" s="19"/>
      <c r="I1224" s="19"/>
      <c r="J1224" s="19"/>
      <c r="K1224" s="19"/>
      <c r="L1224" s="19"/>
      <c r="M1224" s="19"/>
      <c r="N1224" s="19"/>
      <c r="O1224" s="19"/>
      <c r="P1224" s="19"/>
      <c r="Q1224" s="19"/>
      <c r="R1224" s="19"/>
      <c r="S1224" s="19"/>
      <c r="T1224" s="34" t="str">
        <f aca="false">IF($R1224="","",IFERROR(INDEX(DriverCategory,MATCH($R1224,DriverList,0)),"BAU"))</f>
        <v/>
      </c>
      <c r="U1224" s="34" t="str">
        <f aca="false">IF($R1224="","",IFERROR(INDEX(DriverRank,MATCH($R1224,DriverList,0)),99))</f>
        <v/>
      </c>
      <c r="V1224" s="35" t="n">
        <f aca="false">IF($H1224="",0,IFERROR(INDEX(LevelBasic,MATCH($H1224,LevelList,0))+INDEX(LevelHousing,MATCH($H1224,LevelList,0))+INDEX(LevelTransport,MATCH($H1224,LevelList,0))+INDEX(LevelBasic,MATCH($H1224,LevelList,0))*INDEX(LevelBonus,MATCH($H1224,LevelList,0))+(INDEX(LevelBasic,MATCH($H1224,LevelList,0))+INDEX(LevelHousing,MATCH($H1224,LevelList,0)))*GosiSaudi,0))</f>
        <v>0</v>
      </c>
      <c r="W1224" s="35" t="n">
        <f aca="false">IFERROR(INDEX(LevelOneOff,MATCH($H1224,LevelList,0)),0)</f>
        <v>0</v>
      </c>
      <c r="X1224" s="35" t="str">
        <f aca="false">IF($G1224="","",$V1224*N($L1224))</f>
        <v/>
      </c>
      <c r="Y1224" s="35" t="str">
        <f aca="false">IF($G1224="","",$V1224*(N($M1224)*1+N($N1224)*0.75+N($O1224)*0.5+N($P1224)*0.25)+$W1224*N($L1224))</f>
        <v/>
      </c>
      <c r="Z1224" s="35" t="str">
        <f aca="false">IF($G1224="","",$U1224*1000000+ROW())</f>
        <v/>
      </c>
      <c r="AA1224" s="36" t="str">
        <f aca="false">IF($G1224="","",MID(IF($C1224="",", no division","")&amp;IF($E1224="",", no unit","")&amp;IF($H1224="",", no career level","")&amp;IF(N($L1224)&lt;=0,", no quarter split","")&amp;IF($R1224="",", no driver","")&amp;IF(AND($H1224&lt;&gt;"",COUNTIF(CareerLevels,$H1224)=0),", a career level that is not on the ladder","")&amp;IF(AND($R1224&lt;&gt;"",COUNTIF(DriverList,$R1224)=0),", a driver that is not on the list","")&amp;IF(ABS(N($L1224)-(N($M1224)+N($N1224)+N($O1224)+N($P1224)))&gt;0.001,", a total that does not match its quarters",""),3,300))</f>
        <v/>
      </c>
    </row>
    <row r="1225" customFormat="false" ht="15" hidden="false" customHeight="false" outlineLevel="0" collapsed="false">
      <c r="A1225" s="33" t="str">
        <f aca="false">IF($G1225="","","Legal Group")</f>
        <v/>
      </c>
      <c r="B1225" s="19"/>
      <c r="C1225" s="19"/>
      <c r="D1225" s="19"/>
      <c r="E1225" s="19"/>
      <c r="F1225" s="19"/>
      <c r="G1225" s="19"/>
      <c r="H1225" s="19"/>
      <c r="I1225" s="19"/>
      <c r="J1225" s="19"/>
      <c r="K1225" s="19"/>
      <c r="L1225" s="19"/>
      <c r="M1225" s="19"/>
      <c r="N1225" s="19"/>
      <c r="O1225" s="19"/>
      <c r="P1225" s="19"/>
      <c r="Q1225" s="19"/>
      <c r="R1225" s="19"/>
      <c r="S1225" s="19"/>
      <c r="T1225" s="34" t="str">
        <f aca="false">IF($R1225="","",IFERROR(INDEX(DriverCategory,MATCH($R1225,DriverList,0)),"BAU"))</f>
        <v/>
      </c>
      <c r="U1225" s="34" t="str">
        <f aca="false">IF($R1225="","",IFERROR(INDEX(DriverRank,MATCH($R1225,DriverList,0)),99))</f>
        <v/>
      </c>
      <c r="V1225" s="35" t="n">
        <f aca="false">IF($H1225="",0,IFERROR(INDEX(LevelBasic,MATCH($H1225,LevelList,0))+INDEX(LevelHousing,MATCH($H1225,LevelList,0))+INDEX(LevelTransport,MATCH($H1225,LevelList,0))+INDEX(LevelBasic,MATCH($H1225,LevelList,0))*INDEX(LevelBonus,MATCH($H1225,LevelList,0))+(INDEX(LevelBasic,MATCH($H1225,LevelList,0))+INDEX(LevelHousing,MATCH($H1225,LevelList,0)))*GosiSaudi,0))</f>
        <v>0</v>
      </c>
      <c r="W1225" s="35" t="n">
        <f aca="false">IFERROR(INDEX(LevelOneOff,MATCH($H1225,LevelList,0)),0)</f>
        <v>0</v>
      </c>
      <c r="X1225" s="35" t="str">
        <f aca="false">IF($G1225="","",$V1225*N($L1225))</f>
        <v/>
      </c>
      <c r="Y1225" s="35" t="str">
        <f aca="false">IF($G1225="","",$V1225*(N($M1225)*1+N($N1225)*0.75+N($O1225)*0.5+N($P1225)*0.25)+$W1225*N($L1225))</f>
        <v/>
      </c>
      <c r="Z1225" s="35" t="str">
        <f aca="false">IF($G1225="","",$U1225*1000000+ROW())</f>
        <v/>
      </c>
      <c r="AA1225" s="36" t="str">
        <f aca="false">IF($G1225="","",MID(IF($C1225="",", no division","")&amp;IF($E1225="",", no unit","")&amp;IF($H1225="",", no career level","")&amp;IF(N($L1225)&lt;=0,", no quarter split","")&amp;IF($R1225="",", no driver","")&amp;IF(AND($H1225&lt;&gt;"",COUNTIF(CareerLevels,$H1225)=0),", a career level that is not on the ladder","")&amp;IF(AND($R1225&lt;&gt;"",COUNTIF(DriverList,$R1225)=0),", a driver that is not on the list","")&amp;IF(ABS(N($L1225)-(N($M1225)+N($N1225)+N($O1225)+N($P1225)))&gt;0.001,", a total that does not match its quarters",""),3,300))</f>
        <v/>
      </c>
    </row>
    <row r="1226" customFormat="false" ht="15" hidden="false" customHeight="false" outlineLevel="0" collapsed="false">
      <c r="A1226" s="33" t="str">
        <f aca="false">IF($G1226="","","Legal Group")</f>
        <v/>
      </c>
      <c r="B1226" s="19"/>
      <c r="C1226" s="19"/>
      <c r="D1226" s="19"/>
      <c r="E1226" s="19"/>
      <c r="F1226" s="19"/>
      <c r="G1226" s="19"/>
      <c r="H1226" s="19"/>
      <c r="I1226" s="19"/>
      <c r="J1226" s="19"/>
      <c r="K1226" s="19"/>
      <c r="L1226" s="19"/>
      <c r="M1226" s="19"/>
      <c r="N1226" s="19"/>
      <c r="O1226" s="19"/>
      <c r="P1226" s="19"/>
      <c r="Q1226" s="19"/>
      <c r="R1226" s="19"/>
      <c r="S1226" s="19"/>
      <c r="T1226" s="34" t="str">
        <f aca="false">IF($R1226="","",IFERROR(INDEX(DriverCategory,MATCH($R1226,DriverList,0)),"BAU"))</f>
        <v/>
      </c>
      <c r="U1226" s="34" t="str">
        <f aca="false">IF($R1226="","",IFERROR(INDEX(DriverRank,MATCH($R1226,DriverList,0)),99))</f>
        <v/>
      </c>
      <c r="V1226" s="35" t="n">
        <f aca="false">IF($H1226="",0,IFERROR(INDEX(LevelBasic,MATCH($H1226,LevelList,0))+INDEX(LevelHousing,MATCH($H1226,LevelList,0))+INDEX(LevelTransport,MATCH($H1226,LevelList,0))+INDEX(LevelBasic,MATCH($H1226,LevelList,0))*INDEX(LevelBonus,MATCH($H1226,LevelList,0))+(INDEX(LevelBasic,MATCH($H1226,LevelList,0))+INDEX(LevelHousing,MATCH($H1226,LevelList,0)))*GosiSaudi,0))</f>
        <v>0</v>
      </c>
      <c r="W1226" s="35" t="n">
        <f aca="false">IFERROR(INDEX(LevelOneOff,MATCH($H1226,LevelList,0)),0)</f>
        <v>0</v>
      </c>
      <c r="X1226" s="35" t="str">
        <f aca="false">IF($G1226="","",$V1226*N($L1226))</f>
        <v/>
      </c>
      <c r="Y1226" s="35" t="str">
        <f aca="false">IF($G1226="","",$V1226*(N($M1226)*1+N($N1226)*0.75+N($O1226)*0.5+N($P1226)*0.25)+$W1226*N($L1226))</f>
        <v/>
      </c>
      <c r="Z1226" s="35" t="str">
        <f aca="false">IF($G1226="","",$U1226*1000000+ROW())</f>
        <v/>
      </c>
      <c r="AA1226" s="36" t="str">
        <f aca="false">IF($G1226="","",MID(IF($C1226="",", no division","")&amp;IF($E1226="",", no unit","")&amp;IF($H1226="",", no career level","")&amp;IF(N($L1226)&lt;=0,", no quarter split","")&amp;IF($R1226="",", no driver","")&amp;IF(AND($H1226&lt;&gt;"",COUNTIF(CareerLevels,$H1226)=0),", a career level that is not on the ladder","")&amp;IF(AND($R1226&lt;&gt;"",COUNTIF(DriverList,$R1226)=0),", a driver that is not on the list","")&amp;IF(ABS(N($L1226)-(N($M1226)+N($N1226)+N($O1226)+N($P1226)))&gt;0.001,", a total that does not match its quarters",""),3,300))</f>
        <v/>
      </c>
    </row>
    <row r="1227" customFormat="false" ht="15" hidden="false" customHeight="false" outlineLevel="0" collapsed="false">
      <c r="A1227" s="33" t="str">
        <f aca="false">IF($G1227="","","Legal Group")</f>
        <v/>
      </c>
      <c r="B1227" s="19"/>
      <c r="C1227" s="19"/>
      <c r="D1227" s="19"/>
      <c r="E1227" s="19"/>
      <c r="F1227" s="19"/>
      <c r="G1227" s="19"/>
      <c r="H1227" s="19"/>
      <c r="I1227" s="19"/>
      <c r="J1227" s="19"/>
      <c r="K1227" s="19"/>
      <c r="L1227" s="19"/>
      <c r="M1227" s="19"/>
      <c r="N1227" s="19"/>
      <c r="O1227" s="19"/>
      <c r="P1227" s="19"/>
      <c r="Q1227" s="19"/>
      <c r="R1227" s="19"/>
      <c r="S1227" s="19"/>
      <c r="T1227" s="34" t="str">
        <f aca="false">IF($R1227="","",IFERROR(INDEX(DriverCategory,MATCH($R1227,DriverList,0)),"BAU"))</f>
        <v/>
      </c>
      <c r="U1227" s="34" t="str">
        <f aca="false">IF($R1227="","",IFERROR(INDEX(DriverRank,MATCH($R1227,DriverList,0)),99))</f>
        <v/>
      </c>
      <c r="V1227" s="35" t="n">
        <f aca="false">IF($H1227="",0,IFERROR(INDEX(LevelBasic,MATCH($H1227,LevelList,0))+INDEX(LevelHousing,MATCH($H1227,LevelList,0))+INDEX(LevelTransport,MATCH($H1227,LevelList,0))+INDEX(LevelBasic,MATCH($H1227,LevelList,0))*INDEX(LevelBonus,MATCH($H1227,LevelList,0))+(INDEX(LevelBasic,MATCH($H1227,LevelList,0))+INDEX(LevelHousing,MATCH($H1227,LevelList,0)))*GosiSaudi,0))</f>
        <v>0</v>
      </c>
      <c r="W1227" s="35" t="n">
        <f aca="false">IFERROR(INDEX(LevelOneOff,MATCH($H1227,LevelList,0)),0)</f>
        <v>0</v>
      </c>
      <c r="X1227" s="35" t="str">
        <f aca="false">IF($G1227="","",$V1227*N($L1227))</f>
        <v/>
      </c>
      <c r="Y1227" s="35" t="str">
        <f aca="false">IF($G1227="","",$V1227*(N($M1227)*1+N($N1227)*0.75+N($O1227)*0.5+N($P1227)*0.25)+$W1227*N($L1227))</f>
        <v/>
      </c>
      <c r="Z1227" s="35" t="str">
        <f aca="false">IF($G1227="","",$U1227*1000000+ROW())</f>
        <v/>
      </c>
      <c r="AA1227" s="36" t="str">
        <f aca="false">IF($G1227="","",MID(IF($C1227="",", no division","")&amp;IF($E1227="",", no unit","")&amp;IF($H1227="",", no career level","")&amp;IF(N($L1227)&lt;=0,", no quarter split","")&amp;IF($R1227="",", no driver","")&amp;IF(AND($H1227&lt;&gt;"",COUNTIF(CareerLevels,$H1227)=0),", a career level that is not on the ladder","")&amp;IF(AND($R1227&lt;&gt;"",COUNTIF(DriverList,$R1227)=0),", a driver that is not on the list","")&amp;IF(ABS(N($L1227)-(N($M1227)+N($N1227)+N($O1227)+N($P1227)))&gt;0.001,", a total that does not match its quarters",""),3,300))</f>
        <v/>
      </c>
    </row>
    <row r="1228" customFormat="false" ht="15" hidden="false" customHeight="false" outlineLevel="0" collapsed="false">
      <c r="A1228" s="33" t="str">
        <f aca="false">IF($G1228="","","Legal Group")</f>
        <v/>
      </c>
      <c r="B1228" s="19"/>
      <c r="C1228" s="19"/>
      <c r="D1228" s="19"/>
      <c r="E1228" s="19"/>
      <c r="F1228" s="19"/>
      <c r="G1228" s="19"/>
      <c r="H1228" s="19"/>
      <c r="I1228" s="19"/>
      <c r="J1228" s="19"/>
      <c r="K1228" s="19"/>
      <c r="L1228" s="19"/>
      <c r="M1228" s="19"/>
      <c r="N1228" s="19"/>
      <c r="O1228" s="19"/>
      <c r="P1228" s="19"/>
      <c r="Q1228" s="19"/>
      <c r="R1228" s="19"/>
      <c r="S1228" s="19"/>
      <c r="T1228" s="34" t="str">
        <f aca="false">IF($R1228="","",IFERROR(INDEX(DriverCategory,MATCH($R1228,DriverList,0)),"BAU"))</f>
        <v/>
      </c>
      <c r="U1228" s="34" t="str">
        <f aca="false">IF($R1228="","",IFERROR(INDEX(DriverRank,MATCH($R1228,DriverList,0)),99))</f>
        <v/>
      </c>
      <c r="V1228" s="35" t="n">
        <f aca="false">IF($H1228="",0,IFERROR(INDEX(LevelBasic,MATCH($H1228,LevelList,0))+INDEX(LevelHousing,MATCH($H1228,LevelList,0))+INDEX(LevelTransport,MATCH($H1228,LevelList,0))+INDEX(LevelBasic,MATCH($H1228,LevelList,0))*INDEX(LevelBonus,MATCH($H1228,LevelList,0))+(INDEX(LevelBasic,MATCH($H1228,LevelList,0))+INDEX(LevelHousing,MATCH($H1228,LevelList,0)))*GosiSaudi,0))</f>
        <v>0</v>
      </c>
      <c r="W1228" s="35" t="n">
        <f aca="false">IFERROR(INDEX(LevelOneOff,MATCH($H1228,LevelList,0)),0)</f>
        <v>0</v>
      </c>
      <c r="X1228" s="35" t="str">
        <f aca="false">IF($G1228="","",$V1228*N($L1228))</f>
        <v/>
      </c>
      <c r="Y1228" s="35" t="str">
        <f aca="false">IF($G1228="","",$V1228*(N($M1228)*1+N($N1228)*0.75+N($O1228)*0.5+N($P1228)*0.25)+$W1228*N($L1228))</f>
        <v/>
      </c>
      <c r="Z1228" s="35" t="str">
        <f aca="false">IF($G1228="","",$U1228*1000000+ROW())</f>
        <v/>
      </c>
      <c r="AA1228" s="36" t="str">
        <f aca="false">IF($G1228="","",MID(IF($C1228="",", no division","")&amp;IF($E1228="",", no unit","")&amp;IF($H1228="",", no career level","")&amp;IF(N($L1228)&lt;=0,", no quarter split","")&amp;IF($R1228="",", no driver","")&amp;IF(AND($H1228&lt;&gt;"",COUNTIF(CareerLevels,$H1228)=0),", a career level that is not on the ladder","")&amp;IF(AND($R1228&lt;&gt;"",COUNTIF(DriverList,$R1228)=0),", a driver that is not on the list","")&amp;IF(ABS(N($L1228)-(N($M1228)+N($N1228)+N($O1228)+N($P1228)))&gt;0.001,", a total that does not match its quarters",""),3,300))</f>
        <v/>
      </c>
    </row>
    <row r="1229" customFormat="false" ht="15" hidden="false" customHeight="false" outlineLevel="0" collapsed="false">
      <c r="A1229" s="33" t="str">
        <f aca="false">IF($G1229="","","Legal Group")</f>
        <v/>
      </c>
      <c r="B1229" s="19"/>
      <c r="C1229" s="19"/>
      <c r="D1229" s="19"/>
      <c r="E1229" s="19"/>
      <c r="F1229" s="19"/>
      <c r="G1229" s="19"/>
      <c r="H1229" s="19"/>
      <c r="I1229" s="19"/>
      <c r="J1229" s="19"/>
      <c r="K1229" s="19"/>
      <c r="L1229" s="19"/>
      <c r="M1229" s="19"/>
      <c r="N1229" s="19"/>
      <c r="O1229" s="19"/>
      <c r="P1229" s="19"/>
      <c r="Q1229" s="19"/>
      <c r="R1229" s="19"/>
      <c r="S1229" s="19"/>
      <c r="T1229" s="34" t="str">
        <f aca="false">IF($R1229="","",IFERROR(INDEX(DriverCategory,MATCH($R1229,DriverList,0)),"BAU"))</f>
        <v/>
      </c>
      <c r="U1229" s="34" t="str">
        <f aca="false">IF($R1229="","",IFERROR(INDEX(DriverRank,MATCH($R1229,DriverList,0)),99))</f>
        <v/>
      </c>
      <c r="V1229" s="35" t="n">
        <f aca="false">IF($H1229="",0,IFERROR(INDEX(LevelBasic,MATCH($H1229,LevelList,0))+INDEX(LevelHousing,MATCH($H1229,LevelList,0))+INDEX(LevelTransport,MATCH($H1229,LevelList,0))+INDEX(LevelBasic,MATCH($H1229,LevelList,0))*INDEX(LevelBonus,MATCH($H1229,LevelList,0))+(INDEX(LevelBasic,MATCH($H1229,LevelList,0))+INDEX(LevelHousing,MATCH($H1229,LevelList,0)))*GosiSaudi,0))</f>
        <v>0</v>
      </c>
      <c r="W1229" s="35" t="n">
        <f aca="false">IFERROR(INDEX(LevelOneOff,MATCH($H1229,LevelList,0)),0)</f>
        <v>0</v>
      </c>
      <c r="X1229" s="35" t="str">
        <f aca="false">IF($G1229="","",$V1229*N($L1229))</f>
        <v/>
      </c>
      <c r="Y1229" s="35" t="str">
        <f aca="false">IF($G1229="","",$V1229*(N($M1229)*1+N($N1229)*0.75+N($O1229)*0.5+N($P1229)*0.25)+$W1229*N($L1229))</f>
        <v/>
      </c>
      <c r="Z1229" s="35" t="str">
        <f aca="false">IF($G1229="","",$U1229*1000000+ROW())</f>
        <v/>
      </c>
      <c r="AA1229" s="36" t="str">
        <f aca="false">IF($G1229="","",MID(IF($C1229="",", no division","")&amp;IF($E1229="",", no unit","")&amp;IF($H1229="",", no career level","")&amp;IF(N($L1229)&lt;=0,", no quarter split","")&amp;IF($R1229="",", no driver","")&amp;IF(AND($H1229&lt;&gt;"",COUNTIF(CareerLevels,$H1229)=0),", a career level that is not on the ladder","")&amp;IF(AND($R1229&lt;&gt;"",COUNTIF(DriverList,$R1229)=0),", a driver that is not on the list","")&amp;IF(ABS(N($L1229)-(N($M1229)+N($N1229)+N($O1229)+N($P1229)))&gt;0.001,", a total that does not match its quarters",""),3,300))</f>
        <v/>
      </c>
    </row>
    <row r="1230" customFormat="false" ht="15" hidden="false" customHeight="false" outlineLevel="0" collapsed="false">
      <c r="A1230" s="33" t="str">
        <f aca="false">IF($G1230="","","Legal Group")</f>
        <v/>
      </c>
      <c r="B1230" s="19"/>
      <c r="C1230" s="19"/>
      <c r="D1230" s="19"/>
      <c r="E1230" s="19"/>
      <c r="F1230" s="19"/>
      <c r="G1230" s="19"/>
      <c r="H1230" s="19"/>
      <c r="I1230" s="19"/>
      <c r="J1230" s="19"/>
      <c r="K1230" s="19"/>
      <c r="L1230" s="19"/>
      <c r="M1230" s="19"/>
      <c r="N1230" s="19"/>
      <c r="O1230" s="19"/>
      <c r="P1230" s="19"/>
      <c r="Q1230" s="19"/>
      <c r="R1230" s="19"/>
      <c r="S1230" s="19"/>
      <c r="T1230" s="34" t="str">
        <f aca="false">IF($R1230="","",IFERROR(INDEX(DriverCategory,MATCH($R1230,DriverList,0)),"BAU"))</f>
        <v/>
      </c>
      <c r="U1230" s="34" t="str">
        <f aca="false">IF($R1230="","",IFERROR(INDEX(DriverRank,MATCH($R1230,DriverList,0)),99))</f>
        <v/>
      </c>
      <c r="V1230" s="35" t="n">
        <f aca="false">IF($H1230="",0,IFERROR(INDEX(LevelBasic,MATCH($H1230,LevelList,0))+INDEX(LevelHousing,MATCH($H1230,LevelList,0))+INDEX(LevelTransport,MATCH($H1230,LevelList,0))+INDEX(LevelBasic,MATCH($H1230,LevelList,0))*INDEX(LevelBonus,MATCH($H1230,LevelList,0))+(INDEX(LevelBasic,MATCH($H1230,LevelList,0))+INDEX(LevelHousing,MATCH($H1230,LevelList,0)))*GosiSaudi,0))</f>
        <v>0</v>
      </c>
      <c r="W1230" s="35" t="n">
        <f aca="false">IFERROR(INDEX(LevelOneOff,MATCH($H1230,LevelList,0)),0)</f>
        <v>0</v>
      </c>
      <c r="X1230" s="35" t="str">
        <f aca="false">IF($G1230="","",$V1230*N($L1230))</f>
        <v/>
      </c>
      <c r="Y1230" s="35" t="str">
        <f aca="false">IF($G1230="","",$V1230*(N($M1230)*1+N($N1230)*0.75+N($O1230)*0.5+N($P1230)*0.25)+$W1230*N($L1230))</f>
        <v/>
      </c>
      <c r="Z1230" s="35" t="str">
        <f aca="false">IF($G1230="","",$U1230*1000000+ROW())</f>
        <v/>
      </c>
      <c r="AA1230" s="36" t="str">
        <f aca="false">IF($G1230="","",MID(IF($C1230="",", no division","")&amp;IF($E1230="",", no unit","")&amp;IF($H1230="",", no career level","")&amp;IF(N($L1230)&lt;=0,", no quarter split","")&amp;IF($R1230="",", no driver","")&amp;IF(AND($H1230&lt;&gt;"",COUNTIF(CareerLevels,$H1230)=0),", a career level that is not on the ladder","")&amp;IF(AND($R1230&lt;&gt;"",COUNTIF(DriverList,$R1230)=0),", a driver that is not on the list","")&amp;IF(ABS(N($L1230)-(N($M1230)+N($N1230)+N($O1230)+N($P1230)))&gt;0.001,", a total that does not match its quarters",""),3,300))</f>
        <v/>
      </c>
    </row>
    <row r="1231" customFormat="false" ht="15" hidden="false" customHeight="false" outlineLevel="0" collapsed="false">
      <c r="A1231" s="33" t="str">
        <f aca="false">IF($G1231="","","Legal Group")</f>
        <v/>
      </c>
      <c r="B1231" s="19"/>
      <c r="C1231" s="19"/>
      <c r="D1231" s="19"/>
      <c r="E1231" s="19"/>
      <c r="F1231" s="19"/>
      <c r="G1231" s="19"/>
      <c r="H1231" s="19"/>
      <c r="I1231" s="19"/>
      <c r="J1231" s="19"/>
      <c r="K1231" s="19"/>
      <c r="L1231" s="19"/>
      <c r="M1231" s="19"/>
      <c r="N1231" s="19"/>
      <c r="O1231" s="19"/>
      <c r="P1231" s="19"/>
      <c r="Q1231" s="19"/>
      <c r="R1231" s="19"/>
      <c r="S1231" s="19"/>
      <c r="T1231" s="34" t="str">
        <f aca="false">IF($R1231="","",IFERROR(INDEX(DriverCategory,MATCH($R1231,DriverList,0)),"BAU"))</f>
        <v/>
      </c>
      <c r="U1231" s="34" t="str">
        <f aca="false">IF($R1231="","",IFERROR(INDEX(DriverRank,MATCH($R1231,DriverList,0)),99))</f>
        <v/>
      </c>
      <c r="V1231" s="35" t="n">
        <f aca="false">IF($H1231="",0,IFERROR(INDEX(LevelBasic,MATCH($H1231,LevelList,0))+INDEX(LevelHousing,MATCH($H1231,LevelList,0))+INDEX(LevelTransport,MATCH($H1231,LevelList,0))+INDEX(LevelBasic,MATCH($H1231,LevelList,0))*INDEX(LevelBonus,MATCH($H1231,LevelList,0))+(INDEX(LevelBasic,MATCH($H1231,LevelList,0))+INDEX(LevelHousing,MATCH($H1231,LevelList,0)))*GosiSaudi,0))</f>
        <v>0</v>
      </c>
      <c r="W1231" s="35" t="n">
        <f aca="false">IFERROR(INDEX(LevelOneOff,MATCH($H1231,LevelList,0)),0)</f>
        <v>0</v>
      </c>
      <c r="X1231" s="35" t="str">
        <f aca="false">IF($G1231="","",$V1231*N($L1231))</f>
        <v/>
      </c>
      <c r="Y1231" s="35" t="str">
        <f aca="false">IF($G1231="","",$V1231*(N($M1231)*1+N($N1231)*0.75+N($O1231)*0.5+N($P1231)*0.25)+$W1231*N($L1231))</f>
        <v/>
      </c>
      <c r="Z1231" s="35" t="str">
        <f aca="false">IF($G1231="","",$U1231*1000000+ROW())</f>
        <v/>
      </c>
      <c r="AA1231" s="36" t="str">
        <f aca="false">IF($G1231="","",MID(IF($C1231="",", no division","")&amp;IF($E1231="",", no unit","")&amp;IF($H1231="",", no career level","")&amp;IF(N($L1231)&lt;=0,", no quarter split","")&amp;IF($R1231="",", no driver","")&amp;IF(AND($H1231&lt;&gt;"",COUNTIF(CareerLevels,$H1231)=0),", a career level that is not on the ladder","")&amp;IF(AND($R1231&lt;&gt;"",COUNTIF(DriverList,$R1231)=0),", a driver that is not on the list","")&amp;IF(ABS(N($L1231)-(N($M1231)+N($N1231)+N($O1231)+N($P1231)))&gt;0.001,", a total that does not match its quarters",""),3,300))</f>
        <v/>
      </c>
    </row>
    <row r="1232" customFormat="false" ht="15" hidden="false" customHeight="false" outlineLevel="0" collapsed="false">
      <c r="A1232" s="33" t="str">
        <f aca="false">IF($G1232="","","Legal Group")</f>
        <v/>
      </c>
      <c r="B1232" s="19"/>
      <c r="C1232" s="19"/>
      <c r="D1232" s="19"/>
      <c r="E1232" s="19"/>
      <c r="F1232" s="19"/>
      <c r="G1232" s="19"/>
      <c r="H1232" s="19"/>
      <c r="I1232" s="19"/>
      <c r="J1232" s="19"/>
      <c r="K1232" s="19"/>
      <c r="L1232" s="19"/>
      <c r="M1232" s="19"/>
      <c r="N1232" s="19"/>
      <c r="O1232" s="19"/>
      <c r="P1232" s="19"/>
      <c r="Q1232" s="19"/>
      <c r="R1232" s="19"/>
      <c r="S1232" s="19"/>
      <c r="T1232" s="34" t="str">
        <f aca="false">IF($R1232="","",IFERROR(INDEX(DriverCategory,MATCH($R1232,DriverList,0)),"BAU"))</f>
        <v/>
      </c>
      <c r="U1232" s="34" t="str">
        <f aca="false">IF($R1232="","",IFERROR(INDEX(DriverRank,MATCH($R1232,DriverList,0)),99))</f>
        <v/>
      </c>
      <c r="V1232" s="35" t="n">
        <f aca="false">IF($H1232="",0,IFERROR(INDEX(LevelBasic,MATCH($H1232,LevelList,0))+INDEX(LevelHousing,MATCH($H1232,LevelList,0))+INDEX(LevelTransport,MATCH($H1232,LevelList,0))+INDEX(LevelBasic,MATCH($H1232,LevelList,0))*INDEX(LevelBonus,MATCH($H1232,LevelList,0))+(INDEX(LevelBasic,MATCH($H1232,LevelList,0))+INDEX(LevelHousing,MATCH($H1232,LevelList,0)))*GosiSaudi,0))</f>
        <v>0</v>
      </c>
      <c r="W1232" s="35" t="n">
        <f aca="false">IFERROR(INDEX(LevelOneOff,MATCH($H1232,LevelList,0)),0)</f>
        <v>0</v>
      </c>
      <c r="X1232" s="35" t="str">
        <f aca="false">IF($G1232="","",$V1232*N($L1232))</f>
        <v/>
      </c>
      <c r="Y1232" s="35" t="str">
        <f aca="false">IF($G1232="","",$V1232*(N($M1232)*1+N($N1232)*0.75+N($O1232)*0.5+N($P1232)*0.25)+$W1232*N($L1232))</f>
        <v/>
      </c>
      <c r="Z1232" s="35" t="str">
        <f aca="false">IF($G1232="","",$U1232*1000000+ROW())</f>
        <v/>
      </c>
      <c r="AA1232" s="36" t="str">
        <f aca="false">IF($G1232="","",MID(IF($C1232="",", no division","")&amp;IF($E1232="",", no unit","")&amp;IF($H1232="",", no career level","")&amp;IF(N($L1232)&lt;=0,", no quarter split","")&amp;IF($R1232="",", no driver","")&amp;IF(AND($H1232&lt;&gt;"",COUNTIF(CareerLevels,$H1232)=0),", a career level that is not on the ladder","")&amp;IF(AND($R1232&lt;&gt;"",COUNTIF(DriverList,$R1232)=0),", a driver that is not on the list","")&amp;IF(ABS(N($L1232)-(N($M1232)+N($N1232)+N($O1232)+N($P1232)))&gt;0.001,", a total that does not match its quarters",""),3,300))</f>
        <v/>
      </c>
    </row>
    <row r="1233" customFormat="false" ht="15" hidden="false" customHeight="false" outlineLevel="0" collapsed="false">
      <c r="A1233" s="33" t="str">
        <f aca="false">IF($G1233="","","Legal Group")</f>
        <v/>
      </c>
      <c r="B1233" s="19"/>
      <c r="C1233" s="19"/>
      <c r="D1233" s="19"/>
      <c r="E1233" s="19"/>
      <c r="F1233" s="19"/>
      <c r="G1233" s="19"/>
      <c r="H1233" s="19"/>
      <c r="I1233" s="19"/>
      <c r="J1233" s="19"/>
      <c r="K1233" s="19"/>
      <c r="L1233" s="19"/>
      <c r="M1233" s="19"/>
      <c r="N1233" s="19"/>
      <c r="O1233" s="19"/>
      <c r="P1233" s="19"/>
      <c r="Q1233" s="19"/>
      <c r="R1233" s="19"/>
      <c r="S1233" s="19"/>
      <c r="T1233" s="34" t="str">
        <f aca="false">IF($R1233="","",IFERROR(INDEX(DriverCategory,MATCH($R1233,DriverList,0)),"BAU"))</f>
        <v/>
      </c>
      <c r="U1233" s="34" t="str">
        <f aca="false">IF($R1233="","",IFERROR(INDEX(DriverRank,MATCH($R1233,DriverList,0)),99))</f>
        <v/>
      </c>
      <c r="V1233" s="35" t="n">
        <f aca="false">IF($H1233="",0,IFERROR(INDEX(LevelBasic,MATCH($H1233,LevelList,0))+INDEX(LevelHousing,MATCH($H1233,LevelList,0))+INDEX(LevelTransport,MATCH($H1233,LevelList,0))+INDEX(LevelBasic,MATCH($H1233,LevelList,0))*INDEX(LevelBonus,MATCH($H1233,LevelList,0))+(INDEX(LevelBasic,MATCH($H1233,LevelList,0))+INDEX(LevelHousing,MATCH($H1233,LevelList,0)))*GosiSaudi,0))</f>
        <v>0</v>
      </c>
      <c r="W1233" s="35" t="n">
        <f aca="false">IFERROR(INDEX(LevelOneOff,MATCH($H1233,LevelList,0)),0)</f>
        <v>0</v>
      </c>
      <c r="X1233" s="35" t="str">
        <f aca="false">IF($G1233="","",$V1233*N($L1233))</f>
        <v/>
      </c>
      <c r="Y1233" s="35" t="str">
        <f aca="false">IF($G1233="","",$V1233*(N($M1233)*1+N($N1233)*0.75+N($O1233)*0.5+N($P1233)*0.25)+$W1233*N($L1233))</f>
        <v/>
      </c>
      <c r="Z1233" s="35" t="str">
        <f aca="false">IF($G1233="","",$U1233*1000000+ROW())</f>
        <v/>
      </c>
      <c r="AA1233" s="36" t="str">
        <f aca="false">IF($G1233="","",MID(IF($C1233="",", no division","")&amp;IF($E1233="",", no unit","")&amp;IF($H1233="",", no career level","")&amp;IF(N($L1233)&lt;=0,", no quarter split","")&amp;IF($R1233="",", no driver","")&amp;IF(AND($H1233&lt;&gt;"",COUNTIF(CareerLevels,$H1233)=0),", a career level that is not on the ladder","")&amp;IF(AND($R1233&lt;&gt;"",COUNTIF(DriverList,$R1233)=0),", a driver that is not on the list","")&amp;IF(ABS(N($L1233)-(N($M1233)+N($N1233)+N($O1233)+N($P1233)))&gt;0.001,", a total that does not match its quarters",""),3,300))</f>
        <v/>
      </c>
    </row>
    <row r="1234" customFormat="false" ht="15" hidden="false" customHeight="false" outlineLevel="0" collapsed="false">
      <c r="A1234" s="33" t="str">
        <f aca="false">IF($G1234="","","Legal Group")</f>
        <v/>
      </c>
      <c r="B1234" s="19"/>
      <c r="C1234" s="19"/>
      <c r="D1234" s="19"/>
      <c r="E1234" s="19"/>
      <c r="F1234" s="19"/>
      <c r="G1234" s="19"/>
      <c r="H1234" s="19"/>
      <c r="I1234" s="19"/>
      <c r="J1234" s="19"/>
      <c r="K1234" s="19"/>
      <c r="L1234" s="19"/>
      <c r="M1234" s="19"/>
      <c r="N1234" s="19"/>
      <c r="O1234" s="19"/>
      <c r="P1234" s="19"/>
      <c r="Q1234" s="19"/>
      <c r="R1234" s="19"/>
      <c r="S1234" s="19"/>
      <c r="T1234" s="34" t="str">
        <f aca="false">IF($R1234="","",IFERROR(INDEX(DriverCategory,MATCH($R1234,DriverList,0)),"BAU"))</f>
        <v/>
      </c>
      <c r="U1234" s="34" t="str">
        <f aca="false">IF($R1234="","",IFERROR(INDEX(DriverRank,MATCH($R1234,DriverList,0)),99))</f>
        <v/>
      </c>
      <c r="V1234" s="35" t="n">
        <f aca="false">IF($H1234="",0,IFERROR(INDEX(LevelBasic,MATCH($H1234,LevelList,0))+INDEX(LevelHousing,MATCH($H1234,LevelList,0))+INDEX(LevelTransport,MATCH($H1234,LevelList,0))+INDEX(LevelBasic,MATCH($H1234,LevelList,0))*INDEX(LevelBonus,MATCH($H1234,LevelList,0))+(INDEX(LevelBasic,MATCH($H1234,LevelList,0))+INDEX(LevelHousing,MATCH($H1234,LevelList,0)))*GosiSaudi,0))</f>
        <v>0</v>
      </c>
      <c r="W1234" s="35" t="n">
        <f aca="false">IFERROR(INDEX(LevelOneOff,MATCH($H1234,LevelList,0)),0)</f>
        <v>0</v>
      </c>
      <c r="X1234" s="35" t="str">
        <f aca="false">IF($G1234="","",$V1234*N($L1234))</f>
        <v/>
      </c>
      <c r="Y1234" s="35" t="str">
        <f aca="false">IF($G1234="","",$V1234*(N($M1234)*1+N($N1234)*0.75+N($O1234)*0.5+N($P1234)*0.25)+$W1234*N($L1234))</f>
        <v/>
      </c>
      <c r="Z1234" s="35" t="str">
        <f aca="false">IF($G1234="","",$U1234*1000000+ROW())</f>
        <v/>
      </c>
      <c r="AA1234" s="36" t="str">
        <f aca="false">IF($G1234="","",MID(IF($C1234="",", no division","")&amp;IF($E1234="",", no unit","")&amp;IF($H1234="",", no career level","")&amp;IF(N($L1234)&lt;=0,", no quarter split","")&amp;IF($R1234="",", no driver","")&amp;IF(AND($H1234&lt;&gt;"",COUNTIF(CareerLevels,$H1234)=0),", a career level that is not on the ladder","")&amp;IF(AND($R1234&lt;&gt;"",COUNTIF(DriverList,$R1234)=0),", a driver that is not on the list","")&amp;IF(ABS(N($L1234)-(N($M1234)+N($N1234)+N($O1234)+N($P1234)))&gt;0.001,", a total that does not match its quarters",""),3,300))</f>
        <v/>
      </c>
    </row>
    <row r="1235" customFormat="false" ht="15" hidden="false" customHeight="false" outlineLevel="0" collapsed="false">
      <c r="A1235" s="33" t="str">
        <f aca="false">IF($G1235="","","Legal Group")</f>
        <v/>
      </c>
      <c r="B1235" s="19"/>
      <c r="C1235" s="19"/>
      <c r="D1235" s="19"/>
      <c r="E1235" s="19"/>
      <c r="F1235" s="19"/>
      <c r="G1235" s="19"/>
      <c r="H1235" s="19"/>
      <c r="I1235" s="19"/>
      <c r="J1235" s="19"/>
      <c r="K1235" s="19"/>
      <c r="L1235" s="19"/>
      <c r="M1235" s="19"/>
      <c r="N1235" s="19"/>
      <c r="O1235" s="19"/>
      <c r="P1235" s="19"/>
      <c r="Q1235" s="19"/>
      <c r="R1235" s="19"/>
      <c r="S1235" s="19"/>
      <c r="T1235" s="34" t="str">
        <f aca="false">IF($R1235="","",IFERROR(INDEX(DriverCategory,MATCH($R1235,DriverList,0)),"BAU"))</f>
        <v/>
      </c>
      <c r="U1235" s="34" t="str">
        <f aca="false">IF($R1235="","",IFERROR(INDEX(DriverRank,MATCH($R1235,DriverList,0)),99))</f>
        <v/>
      </c>
      <c r="V1235" s="35" t="n">
        <f aca="false">IF($H1235="",0,IFERROR(INDEX(LevelBasic,MATCH($H1235,LevelList,0))+INDEX(LevelHousing,MATCH($H1235,LevelList,0))+INDEX(LevelTransport,MATCH($H1235,LevelList,0))+INDEX(LevelBasic,MATCH($H1235,LevelList,0))*INDEX(LevelBonus,MATCH($H1235,LevelList,0))+(INDEX(LevelBasic,MATCH($H1235,LevelList,0))+INDEX(LevelHousing,MATCH($H1235,LevelList,0)))*GosiSaudi,0))</f>
        <v>0</v>
      </c>
      <c r="W1235" s="35" t="n">
        <f aca="false">IFERROR(INDEX(LevelOneOff,MATCH($H1235,LevelList,0)),0)</f>
        <v>0</v>
      </c>
      <c r="X1235" s="35" t="str">
        <f aca="false">IF($G1235="","",$V1235*N($L1235))</f>
        <v/>
      </c>
      <c r="Y1235" s="35" t="str">
        <f aca="false">IF($G1235="","",$V1235*(N($M1235)*1+N($N1235)*0.75+N($O1235)*0.5+N($P1235)*0.25)+$W1235*N($L1235))</f>
        <v/>
      </c>
      <c r="Z1235" s="35" t="str">
        <f aca="false">IF($G1235="","",$U1235*1000000+ROW())</f>
        <v/>
      </c>
      <c r="AA1235" s="36" t="str">
        <f aca="false">IF($G1235="","",MID(IF($C1235="",", no division","")&amp;IF($E1235="",", no unit","")&amp;IF($H1235="",", no career level","")&amp;IF(N($L1235)&lt;=0,", no quarter split","")&amp;IF($R1235="",", no driver","")&amp;IF(AND($H1235&lt;&gt;"",COUNTIF(CareerLevels,$H1235)=0),", a career level that is not on the ladder","")&amp;IF(AND($R1235&lt;&gt;"",COUNTIF(DriverList,$R1235)=0),", a driver that is not on the list","")&amp;IF(ABS(N($L1235)-(N($M1235)+N($N1235)+N($O1235)+N($P1235)))&gt;0.001,", a total that does not match its quarters",""),3,300))</f>
        <v/>
      </c>
    </row>
    <row r="1236" customFormat="false" ht="15" hidden="false" customHeight="false" outlineLevel="0" collapsed="false">
      <c r="A1236" s="33" t="str">
        <f aca="false">IF($G1236="","","Legal Group")</f>
        <v/>
      </c>
      <c r="B1236" s="19"/>
      <c r="C1236" s="19"/>
      <c r="D1236" s="19"/>
      <c r="E1236" s="19"/>
      <c r="F1236" s="19"/>
      <c r="G1236" s="19"/>
      <c r="H1236" s="19"/>
      <c r="I1236" s="19"/>
      <c r="J1236" s="19"/>
      <c r="K1236" s="19"/>
      <c r="L1236" s="19"/>
      <c r="M1236" s="19"/>
      <c r="N1236" s="19"/>
      <c r="O1236" s="19"/>
      <c r="P1236" s="19"/>
      <c r="Q1236" s="19"/>
      <c r="R1236" s="19"/>
      <c r="S1236" s="19"/>
      <c r="T1236" s="34" t="str">
        <f aca="false">IF($R1236="","",IFERROR(INDEX(DriverCategory,MATCH($R1236,DriverList,0)),"BAU"))</f>
        <v/>
      </c>
      <c r="U1236" s="34" t="str">
        <f aca="false">IF($R1236="","",IFERROR(INDEX(DriverRank,MATCH($R1236,DriverList,0)),99))</f>
        <v/>
      </c>
      <c r="V1236" s="35" t="n">
        <f aca="false">IF($H1236="",0,IFERROR(INDEX(LevelBasic,MATCH($H1236,LevelList,0))+INDEX(LevelHousing,MATCH($H1236,LevelList,0))+INDEX(LevelTransport,MATCH($H1236,LevelList,0))+INDEX(LevelBasic,MATCH($H1236,LevelList,0))*INDEX(LevelBonus,MATCH($H1236,LevelList,0))+(INDEX(LevelBasic,MATCH($H1236,LevelList,0))+INDEX(LevelHousing,MATCH($H1236,LevelList,0)))*GosiSaudi,0))</f>
        <v>0</v>
      </c>
      <c r="W1236" s="35" t="n">
        <f aca="false">IFERROR(INDEX(LevelOneOff,MATCH($H1236,LevelList,0)),0)</f>
        <v>0</v>
      </c>
      <c r="X1236" s="35" t="str">
        <f aca="false">IF($G1236="","",$V1236*N($L1236))</f>
        <v/>
      </c>
      <c r="Y1236" s="35" t="str">
        <f aca="false">IF($G1236="","",$V1236*(N($M1236)*1+N($N1236)*0.75+N($O1236)*0.5+N($P1236)*0.25)+$W1236*N($L1236))</f>
        <v/>
      </c>
      <c r="Z1236" s="35" t="str">
        <f aca="false">IF($G1236="","",$U1236*1000000+ROW())</f>
        <v/>
      </c>
      <c r="AA1236" s="36" t="str">
        <f aca="false">IF($G1236="","",MID(IF($C1236="",", no division","")&amp;IF($E1236="",", no unit","")&amp;IF($H1236="",", no career level","")&amp;IF(N($L1236)&lt;=0,", no quarter split","")&amp;IF($R1236="",", no driver","")&amp;IF(AND($H1236&lt;&gt;"",COUNTIF(CareerLevels,$H1236)=0),", a career level that is not on the ladder","")&amp;IF(AND($R1236&lt;&gt;"",COUNTIF(DriverList,$R1236)=0),", a driver that is not on the list","")&amp;IF(ABS(N($L1236)-(N($M1236)+N($N1236)+N($O1236)+N($P1236)))&gt;0.001,", a total that does not match its quarters",""),3,300))</f>
        <v/>
      </c>
    </row>
    <row r="1237" customFormat="false" ht="15" hidden="false" customHeight="false" outlineLevel="0" collapsed="false">
      <c r="A1237" s="33" t="str">
        <f aca="false">IF($G1237="","","Legal Group")</f>
        <v/>
      </c>
      <c r="B1237" s="19"/>
      <c r="C1237" s="19"/>
      <c r="D1237" s="19"/>
      <c r="E1237" s="19"/>
      <c r="F1237" s="19"/>
      <c r="G1237" s="19"/>
      <c r="H1237" s="19"/>
      <c r="I1237" s="19"/>
      <c r="J1237" s="19"/>
      <c r="K1237" s="19"/>
      <c r="L1237" s="19"/>
      <c r="M1237" s="19"/>
      <c r="N1237" s="19"/>
      <c r="O1237" s="19"/>
      <c r="P1237" s="19"/>
      <c r="Q1237" s="19"/>
      <c r="R1237" s="19"/>
      <c r="S1237" s="19"/>
      <c r="T1237" s="34" t="str">
        <f aca="false">IF($R1237="","",IFERROR(INDEX(DriverCategory,MATCH($R1237,DriverList,0)),"BAU"))</f>
        <v/>
      </c>
      <c r="U1237" s="34" t="str">
        <f aca="false">IF($R1237="","",IFERROR(INDEX(DriverRank,MATCH($R1237,DriverList,0)),99))</f>
        <v/>
      </c>
      <c r="V1237" s="35" t="n">
        <f aca="false">IF($H1237="",0,IFERROR(INDEX(LevelBasic,MATCH($H1237,LevelList,0))+INDEX(LevelHousing,MATCH($H1237,LevelList,0))+INDEX(LevelTransport,MATCH($H1237,LevelList,0))+INDEX(LevelBasic,MATCH($H1237,LevelList,0))*INDEX(LevelBonus,MATCH($H1237,LevelList,0))+(INDEX(LevelBasic,MATCH($H1237,LevelList,0))+INDEX(LevelHousing,MATCH($H1237,LevelList,0)))*GosiSaudi,0))</f>
        <v>0</v>
      </c>
      <c r="W1237" s="35" t="n">
        <f aca="false">IFERROR(INDEX(LevelOneOff,MATCH($H1237,LevelList,0)),0)</f>
        <v>0</v>
      </c>
      <c r="X1237" s="35" t="str">
        <f aca="false">IF($G1237="","",$V1237*N($L1237))</f>
        <v/>
      </c>
      <c r="Y1237" s="35" t="str">
        <f aca="false">IF($G1237="","",$V1237*(N($M1237)*1+N($N1237)*0.75+N($O1237)*0.5+N($P1237)*0.25)+$W1237*N($L1237))</f>
        <v/>
      </c>
      <c r="Z1237" s="35" t="str">
        <f aca="false">IF($G1237="","",$U1237*1000000+ROW())</f>
        <v/>
      </c>
      <c r="AA1237" s="36" t="str">
        <f aca="false">IF($G1237="","",MID(IF($C1237="",", no division","")&amp;IF($E1237="",", no unit","")&amp;IF($H1237="",", no career level","")&amp;IF(N($L1237)&lt;=0,", no quarter split","")&amp;IF($R1237="",", no driver","")&amp;IF(AND($H1237&lt;&gt;"",COUNTIF(CareerLevels,$H1237)=0),", a career level that is not on the ladder","")&amp;IF(AND($R1237&lt;&gt;"",COUNTIF(DriverList,$R1237)=0),", a driver that is not on the list","")&amp;IF(ABS(N($L1237)-(N($M1237)+N($N1237)+N($O1237)+N($P1237)))&gt;0.001,", a total that does not match its quarters",""),3,300))</f>
        <v/>
      </c>
    </row>
    <row r="1238" customFormat="false" ht="15" hidden="false" customHeight="false" outlineLevel="0" collapsed="false">
      <c r="A1238" s="33" t="str">
        <f aca="false">IF($G1238="","","Legal Group")</f>
        <v/>
      </c>
      <c r="B1238" s="19"/>
      <c r="C1238" s="19"/>
      <c r="D1238" s="19"/>
      <c r="E1238" s="19"/>
      <c r="F1238" s="19"/>
      <c r="G1238" s="19"/>
      <c r="H1238" s="19"/>
      <c r="I1238" s="19"/>
      <c r="J1238" s="19"/>
      <c r="K1238" s="19"/>
      <c r="L1238" s="19"/>
      <c r="M1238" s="19"/>
      <c r="N1238" s="19"/>
      <c r="O1238" s="19"/>
      <c r="P1238" s="19"/>
      <c r="Q1238" s="19"/>
      <c r="R1238" s="19"/>
      <c r="S1238" s="19"/>
      <c r="T1238" s="34" t="str">
        <f aca="false">IF($R1238="","",IFERROR(INDEX(DriverCategory,MATCH($R1238,DriverList,0)),"BAU"))</f>
        <v/>
      </c>
      <c r="U1238" s="34" t="str">
        <f aca="false">IF($R1238="","",IFERROR(INDEX(DriverRank,MATCH($R1238,DriverList,0)),99))</f>
        <v/>
      </c>
      <c r="V1238" s="35" t="n">
        <f aca="false">IF($H1238="",0,IFERROR(INDEX(LevelBasic,MATCH($H1238,LevelList,0))+INDEX(LevelHousing,MATCH($H1238,LevelList,0))+INDEX(LevelTransport,MATCH($H1238,LevelList,0))+INDEX(LevelBasic,MATCH($H1238,LevelList,0))*INDEX(LevelBonus,MATCH($H1238,LevelList,0))+(INDEX(LevelBasic,MATCH($H1238,LevelList,0))+INDEX(LevelHousing,MATCH($H1238,LevelList,0)))*GosiSaudi,0))</f>
        <v>0</v>
      </c>
      <c r="W1238" s="35" t="n">
        <f aca="false">IFERROR(INDEX(LevelOneOff,MATCH($H1238,LevelList,0)),0)</f>
        <v>0</v>
      </c>
      <c r="X1238" s="35" t="str">
        <f aca="false">IF($G1238="","",$V1238*N($L1238))</f>
        <v/>
      </c>
      <c r="Y1238" s="35" t="str">
        <f aca="false">IF($G1238="","",$V1238*(N($M1238)*1+N($N1238)*0.75+N($O1238)*0.5+N($P1238)*0.25)+$W1238*N($L1238))</f>
        <v/>
      </c>
      <c r="Z1238" s="35" t="str">
        <f aca="false">IF($G1238="","",$U1238*1000000+ROW())</f>
        <v/>
      </c>
      <c r="AA1238" s="36" t="str">
        <f aca="false">IF($G1238="","",MID(IF($C1238="",", no division","")&amp;IF($E1238="",", no unit","")&amp;IF($H1238="",", no career level","")&amp;IF(N($L1238)&lt;=0,", no quarter split","")&amp;IF($R1238="",", no driver","")&amp;IF(AND($H1238&lt;&gt;"",COUNTIF(CareerLevels,$H1238)=0),", a career level that is not on the ladder","")&amp;IF(AND($R1238&lt;&gt;"",COUNTIF(DriverList,$R1238)=0),", a driver that is not on the list","")&amp;IF(ABS(N($L1238)-(N($M1238)+N($N1238)+N($O1238)+N($P1238)))&gt;0.001,", a total that does not match its quarters",""),3,300))</f>
        <v/>
      </c>
    </row>
    <row r="1239" customFormat="false" ht="15" hidden="false" customHeight="false" outlineLevel="0" collapsed="false">
      <c r="A1239" s="33" t="str">
        <f aca="false">IF($G1239="","","Legal Group")</f>
        <v/>
      </c>
      <c r="B1239" s="19"/>
      <c r="C1239" s="19"/>
      <c r="D1239" s="19"/>
      <c r="E1239" s="19"/>
      <c r="F1239" s="19"/>
      <c r="G1239" s="19"/>
      <c r="H1239" s="19"/>
      <c r="I1239" s="19"/>
      <c r="J1239" s="19"/>
      <c r="K1239" s="19"/>
      <c r="L1239" s="19"/>
      <c r="M1239" s="19"/>
      <c r="N1239" s="19"/>
      <c r="O1239" s="19"/>
      <c r="P1239" s="19"/>
      <c r="Q1239" s="19"/>
      <c r="R1239" s="19"/>
      <c r="S1239" s="19"/>
      <c r="T1239" s="34" t="str">
        <f aca="false">IF($R1239="","",IFERROR(INDEX(DriverCategory,MATCH($R1239,DriverList,0)),"BAU"))</f>
        <v/>
      </c>
      <c r="U1239" s="34" t="str">
        <f aca="false">IF($R1239="","",IFERROR(INDEX(DriverRank,MATCH($R1239,DriverList,0)),99))</f>
        <v/>
      </c>
      <c r="V1239" s="35" t="n">
        <f aca="false">IF($H1239="",0,IFERROR(INDEX(LevelBasic,MATCH($H1239,LevelList,0))+INDEX(LevelHousing,MATCH($H1239,LevelList,0))+INDEX(LevelTransport,MATCH($H1239,LevelList,0))+INDEX(LevelBasic,MATCH($H1239,LevelList,0))*INDEX(LevelBonus,MATCH($H1239,LevelList,0))+(INDEX(LevelBasic,MATCH($H1239,LevelList,0))+INDEX(LevelHousing,MATCH($H1239,LevelList,0)))*GosiSaudi,0))</f>
        <v>0</v>
      </c>
      <c r="W1239" s="35" t="n">
        <f aca="false">IFERROR(INDEX(LevelOneOff,MATCH($H1239,LevelList,0)),0)</f>
        <v>0</v>
      </c>
      <c r="X1239" s="35" t="str">
        <f aca="false">IF($G1239="","",$V1239*N($L1239))</f>
        <v/>
      </c>
      <c r="Y1239" s="35" t="str">
        <f aca="false">IF($G1239="","",$V1239*(N($M1239)*1+N($N1239)*0.75+N($O1239)*0.5+N($P1239)*0.25)+$W1239*N($L1239))</f>
        <v/>
      </c>
      <c r="Z1239" s="35" t="str">
        <f aca="false">IF($G1239="","",$U1239*1000000+ROW())</f>
        <v/>
      </c>
      <c r="AA1239" s="36" t="str">
        <f aca="false">IF($G1239="","",MID(IF($C1239="",", no division","")&amp;IF($E1239="",", no unit","")&amp;IF($H1239="",", no career level","")&amp;IF(N($L1239)&lt;=0,", no quarter split","")&amp;IF($R1239="",", no driver","")&amp;IF(AND($H1239&lt;&gt;"",COUNTIF(CareerLevels,$H1239)=0),", a career level that is not on the ladder","")&amp;IF(AND($R1239&lt;&gt;"",COUNTIF(DriverList,$R1239)=0),", a driver that is not on the list","")&amp;IF(ABS(N($L1239)-(N($M1239)+N($N1239)+N($O1239)+N($P1239)))&gt;0.001,", a total that does not match its quarters",""),3,300))</f>
        <v/>
      </c>
    </row>
    <row r="1240" customFormat="false" ht="15" hidden="false" customHeight="false" outlineLevel="0" collapsed="false">
      <c r="A1240" s="33" t="str">
        <f aca="false">IF($G1240="","","Legal Group")</f>
        <v/>
      </c>
      <c r="B1240" s="19"/>
      <c r="C1240" s="19"/>
      <c r="D1240" s="19"/>
      <c r="E1240" s="19"/>
      <c r="F1240" s="19"/>
      <c r="G1240" s="19"/>
      <c r="H1240" s="19"/>
      <c r="I1240" s="19"/>
      <c r="J1240" s="19"/>
      <c r="K1240" s="19"/>
      <c r="L1240" s="19"/>
      <c r="M1240" s="19"/>
      <c r="N1240" s="19"/>
      <c r="O1240" s="19"/>
      <c r="P1240" s="19"/>
      <c r="Q1240" s="19"/>
      <c r="R1240" s="19"/>
      <c r="S1240" s="19"/>
      <c r="T1240" s="34" t="str">
        <f aca="false">IF($R1240="","",IFERROR(INDEX(DriverCategory,MATCH($R1240,DriverList,0)),"BAU"))</f>
        <v/>
      </c>
      <c r="U1240" s="34" t="str">
        <f aca="false">IF($R1240="","",IFERROR(INDEX(DriverRank,MATCH($R1240,DriverList,0)),99))</f>
        <v/>
      </c>
      <c r="V1240" s="35" t="n">
        <f aca="false">IF($H1240="",0,IFERROR(INDEX(LevelBasic,MATCH($H1240,LevelList,0))+INDEX(LevelHousing,MATCH($H1240,LevelList,0))+INDEX(LevelTransport,MATCH($H1240,LevelList,0))+INDEX(LevelBasic,MATCH($H1240,LevelList,0))*INDEX(LevelBonus,MATCH($H1240,LevelList,0))+(INDEX(LevelBasic,MATCH($H1240,LevelList,0))+INDEX(LevelHousing,MATCH($H1240,LevelList,0)))*GosiSaudi,0))</f>
        <v>0</v>
      </c>
      <c r="W1240" s="35" t="n">
        <f aca="false">IFERROR(INDEX(LevelOneOff,MATCH($H1240,LevelList,0)),0)</f>
        <v>0</v>
      </c>
      <c r="X1240" s="35" t="str">
        <f aca="false">IF($G1240="","",$V1240*N($L1240))</f>
        <v/>
      </c>
      <c r="Y1240" s="35" t="str">
        <f aca="false">IF($G1240="","",$V1240*(N($M1240)*1+N($N1240)*0.75+N($O1240)*0.5+N($P1240)*0.25)+$W1240*N($L1240))</f>
        <v/>
      </c>
      <c r="Z1240" s="35" t="str">
        <f aca="false">IF($G1240="","",$U1240*1000000+ROW())</f>
        <v/>
      </c>
      <c r="AA1240" s="36" t="str">
        <f aca="false">IF($G1240="","",MID(IF($C1240="",", no division","")&amp;IF($E1240="",", no unit","")&amp;IF($H1240="",", no career level","")&amp;IF(N($L1240)&lt;=0,", no quarter split","")&amp;IF($R1240="",", no driver","")&amp;IF(AND($H1240&lt;&gt;"",COUNTIF(CareerLevels,$H1240)=0),", a career level that is not on the ladder","")&amp;IF(AND($R1240&lt;&gt;"",COUNTIF(DriverList,$R1240)=0),", a driver that is not on the list","")&amp;IF(ABS(N($L1240)-(N($M1240)+N($N1240)+N($O1240)+N($P1240)))&gt;0.001,", a total that does not match its quarters",""),3,300))</f>
        <v/>
      </c>
    </row>
    <row r="1241" customFormat="false" ht="15" hidden="false" customHeight="false" outlineLevel="0" collapsed="false">
      <c r="A1241" s="33" t="str">
        <f aca="false">IF($G1241="","","Legal Group")</f>
        <v/>
      </c>
      <c r="B1241" s="19"/>
      <c r="C1241" s="19"/>
      <c r="D1241" s="19"/>
      <c r="E1241" s="19"/>
      <c r="F1241" s="19"/>
      <c r="G1241" s="19"/>
      <c r="H1241" s="19"/>
      <c r="I1241" s="19"/>
      <c r="J1241" s="19"/>
      <c r="K1241" s="19"/>
      <c r="L1241" s="19"/>
      <c r="M1241" s="19"/>
      <c r="N1241" s="19"/>
      <c r="O1241" s="19"/>
      <c r="P1241" s="19"/>
      <c r="Q1241" s="19"/>
      <c r="R1241" s="19"/>
      <c r="S1241" s="19"/>
      <c r="T1241" s="34" t="str">
        <f aca="false">IF($R1241="","",IFERROR(INDEX(DriverCategory,MATCH($R1241,DriverList,0)),"BAU"))</f>
        <v/>
      </c>
      <c r="U1241" s="34" t="str">
        <f aca="false">IF($R1241="","",IFERROR(INDEX(DriverRank,MATCH($R1241,DriverList,0)),99))</f>
        <v/>
      </c>
      <c r="V1241" s="35" t="n">
        <f aca="false">IF($H1241="",0,IFERROR(INDEX(LevelBasic,MATCH($H1241,LevelList,0))+INDEX(LevelHousing,MATCH($H1241,LevelList,0))+INDEX(LevelTransport,MATCH($H1241,LevelList,0))+INDEX(LevelBasic,MATCH($H1241,LevelList,0))*INDEX(LevelBonus,MATCH($H1241,LevelList,0))+(INDEX(LevelBasic,MATCH($H1241,LevelList,0))+INDEX(LevelHousing,MATCH($H1241,LevelList,0)))*GosiSaudi,0))</f>
        <v>0</v>
      </c>
      <c r="W1241" s="35" t="n">
        <f aca="false">IFERROR(INDEX(LevelOneOff,MATCH($H1241,LevelList,0)),0)</f>
        <v>0</v>
      </c>
      <c r="X1241" s="35" t="str">
        <f aca="false">IF($G1241="","",$V1241*N($L1241))</f>
        <v/>
      </c>
      <c r="Y1241" s="35" t="str">
        <f aca="false">IF($G1241="","",$V1241*(N($M1241)*1+N($N1241)*0.75+N($O1241)*0.5+N($P1241)*0.25)+$W1241*N($L1241))</f>
        <v/>
      </c>
      <c r="Z1241" s="35" t="str">
        <f aca="false">IF($G1241="","",$U1241*1000000+ROW())</f>
        <v/>
      </c>
      <c r="AA1241" s="36" t="str">
        <f aca="false">IF($G1241="","",MID(IF($C1241="",", no division","")&amp;IF($E1241="",", no unit","")&amp;IF($H1241="",", no career level","")&amp;IF(N($L1241)&lt;=0,", no quarter split","")&amp;IF($R1241="",", no driver","")&amp;IF(AND($H1241&lt;&gt;"",COUNTIF(CareerLevels,$H1241)=0),", a career level that is not on the ladder","")&amp;IF(AND($R1241&lt;&gt;"",COUNTIF(DriverList,$R1241)=0),", a driver that is not on the list","")&amp;IF(ABS(N($L1241)-(N($M1241)+N($N1241)+N($O1241)+N($P1241)))&gt;0.001,", a total that does not match its quarters",""),3,300))</f>
        <v/>
      </c>
    </row>
    <row r="1242" customFormat="false" ht="15" hidden="false" customHeight="false" outlineLevel="0" collapsed="false">
      <c r="A1242" s="33" t="str">
        <f aca="false">IF($G1242="","","Legal Group")</f>
        <v/>
      </c>
      <c r="B1242" s="19"/>
      <c r="C1242" s="19"/>
      <c r="D1242" s="19"/>
      <c r="E1242" s="19"/>
      <c r="F1242" s="19"/>
      <c r="G1242" s="19"/>
      <c r="H1242" s="19"/>
      <c r="I1242" s="19"/>
      <c r="J1242" s="19"/>
      <c r="K1242" s="19"/>
      <c r="L1242" s="19"/>
      <c r="M1242" s="19"/>
      <c r="N1242" s="19"/>
      <c r="O1242" s="19"/>
      <c r="P1242" s="19"/>
      <c r="Q1242" s="19"/>
      <c r="R1242" s="19"/>
      <c r="S1242" s="19"/>
      <c r="T1242" s="34" t="str">
        <f aca="false">IF($R1242="","",IFERROR(INDEX(DriverCategory,MATCH($R1242,DriverList,0)),"BAU"))</f>
        <v/>
      </c>
      <c r="U1242" s="34" t="str">
        <f aca="false">IF($R1242="","",IFERROR(INDEX(DriverRank,MATCH($R1242,DriverList,0)),99))</f>
        <v/>
      </c>
      <c r="V1242" s="35" t="n">
        <f aca="false">IF($H1242="",0,IFERROR(INDEX(LevelBasic,MATCH($H1242,LevelList,0))+INDEX(LevelHousing,MATCH($H1242,LevelList,0))+INDEX(LevelTransport,MATCH($H1242,LevelList,0))+INDEX(LevelBasic,MATCH($H1242,LevelList,0))*INDEX(LevelBonus,MATCH($H1242,LevelList,0))+(INDEX(LevelBasic,MATCH($H1242,LevelList,0))+INDEX(LevelHousing,MATCH($H1242,LevelList,0)))*GosiSaudi,0))</f>
        <v>0</v>
      </c>
      <c r="W1242" s="35" t="n">
        <f aca="false">IFERROR(INDEX(LevelOneOff,MATCH($H1242,LevelList,0)),0)</f>
        <v>0</v>
      </c>
      <c r="X1242" s="35" t="str">
        <f aca="false">IF($G1242="","",$V1242*N($L1242))</f>
        <v/>
      </c>
      <c r="Y1242" s="35" t="str">
        <f aca="false">IF($G1242="","",$V1242*(N($M1242)*1+N($N1242)*0.75+N($O1242)*0.5+N($P1242)*0.25)+$W1242*N($L1242))</f>
        <v/>
      </c>
      <c r="Z1242" s="35" t="str">
        <f aca="false">IF($G1242="","",$U1242*1000000+ROW())</f>
        <v/>
      </c>
      <c r="AA1242" s="36" t="str">
        <f aca="false">IF($G1242="","",MID(IF($C1242="",", no division","")&amp;IF($E1242="",", no unit","")&amp;IF($H1242="",", no career level","")&amp;IF(N($L1242)&lt;=0,", no quarter split","")&amp;IF($R1242="",", no driver","")&amp;IF(AND($H1242&lt;&gt;"",COUNTIF(CareerLevels,$H1242)=0),", a career level that is not on the ladder","")&amp;IF(AND($R1242&lt;&gt;"",COUNTIF(DriverList,$R1242)=0),", a driver that is not on the list","")&amp;IF(ABS(N($L1242)-(N($M1242)+N($N1242)+N($O1242)+N($P1242)))&gt;0.001,", a total that does not match its quarters",""),3,300))</f>
        <v/>
      </c>
    </row>
    <row r="1243" customFormat="false" ht="15" hidden="false" customHeight="false" outlineLevel="0" collapsed="false">
      <c r="A1243" s="33" t="str">
        <f aca="false">IF($G1243="","","Legal Group")</f>
        <v/>
      </c>
      <c r="B1243" s="19"/>
      <c r="C1243" s="19"/>
      <c r="D1243" s="19"/>
      <c r="E1243" s="19"/>
      <c r="F1243" s="19"/>
      <c r="G1243" s="19"/>
      <c r="H1243" s="19"/>
      <c r="I1243" s="19"/>
      <c r="J1243" s="19"/>
      <c r="K1243" s="19"/>
      <c r="L1243" s="19"/>
      <c r="M1243" s="19"/>
      <c r="N1243" s="19"/>
      <c r="O1243" s="19"/>
      <c r="P1243" s="19"/>
      <c r="Q1243" s="19"/>
      <c r="R1243" s="19"/>
      <c r="S1243" s="19"/>
      <c r="T1243" s="34" t="str">
        <f aca="false">IF($R1243="","",IFERROR(INDEX(DriverCategory,MATCH($R1243,DriverList,0)),"BAU"))</f>
        <v/>
      </c>
      <c r="U1243" s="34" t="str">
        <f aca="false">IF($R1243="","",IFERROR(INDEX(DriverRank,MATCH($R1243,DriverList,0)),99))</f>
        <v/>
      </c>
      <c r="V1243" s="35" t="n">
        <f aca="false">IF($H1243="",0,IFERROR(INDEX(LevelBasic,MATCH($H1243,LevelList,0))+INDEX(LevelHousing,MATCH($H1243,LevelList,0))+INDEX(LevelTransport,MATCH($H1243,LevelList,0))+INDEX(LevelBasic,MATCH($H1243,LevelList,0))*INDEX(LevelBonus,MATCH($H1243,LevelList,0))+(INDEX(LevelBasic,MATCH($H1243,LevelList,0))+INDEX(LevelHousing,MATCH($H1243,LevelList,0)))*GosiSaudi,0))</f>
        <v>0</v>
      </c>
      <c r="W1243" s="35" t="n">
        <f aca="false">IFERROR(INDEX(LevelOneOff,MATCH($H1243,LevelList,0)),0)</f>
        <v>0</v>
      </c>
      <c r="X1243" s="35" t="str">
        <f aca="false">IF($G1243="","",$V1243*N($L1243))</f>
        <v/>
      </c>
      <c r="Y1243" s="35" t="str">
        <f aca="false">IF($G1243="","",$V1243*(N($M1243)*1+N($N1243)*0.75+N($O1243)*0.5+N($P1243)*0.25)+$W1243*N($L1243))</f>
        <v/>
      </c>
      <c r="Z1243" s="35" t="str">
        <f aca="false">IF($G1243="","",$U1243*1000000+ROW())</f>
        <v/>
      </c>
      <c r="AA1243" s="36" t="str">
        <f aca="false">IF($G1243="","",MID(IF($C1243="",", no division","")&amp;IF($E1243="",", no unit","")&amp;IF($H1243="",", no career level","")&amp;IF(N($L1243)&lt;=0,", no quarter split","")&amp;IF($R1243="",", no driver","")&amp;IF(AND($H1243&lt;&gt;"",COUNTIF(CareerLevels,$H1243)=0),", a career level that is not on the ladder","")&amp;IF(AND($R1243&lt;&gt;"",COUNTIF(DriverList,$R1243)=0),", a driver that is not on the list","")&amp;IF(ABS(N($L1243)-(N($M1243)+N($N1243)+N($O1243)+N($P1243)))&gt;0.001,", a total that does not match its quarters",""),3,300))</f>
        <v/>
      </c>
    </row>
    <row r="1244" customFormat="false" ht="15" hidden="false" customHeight="false" outlineLevel="0" collapsed="false">
      <c r="A1244" s="33" t="str">
        <f aca="false">IF($G1244="","","Legal Group")</f>
        <v/>
      </c>
      <c r="B1244" s="19"/>
      <c r="C1244" s="19"/>
      <c r="D1244" s="19"/>
      <c r="E1244" s="19"/>
      <c r="F1244" s="19"/>
      <c r="G1244" s="19"/>
      <c r="H1244" s="19"/>
      <c r="I1244" s="19"/>
      <c r="J1244" s="19"/>
      <c r="K1244" s="19"/>
      <c r="L1244" s="19"/>
      <c r="M1244" s="19"/>
      <c r="N1244" s="19"/>
      <c r="O1244" s="19"/>
      <c r="P1244" s="19"/>
      <c r="Q1244" s="19"/>
      <c r="R1244" s="19"/>
      <c r="S1244" s="19"/>
      <c r="T1244" s="34" t="str">
        <f aca="false">IF($R1244="","",IFERROR(INDEX(DriverCategory,MATCH($R1244,DriverList,0)),"BAU"))</f>
        <v/>
      </c>
      <c r="U1244" s="34" t="str">
        <f aca="false">IF($R1244="","",IFERROR(INDEX(DriverRank,MATCH($R1244,DriverList,0)),99))</f>
        <v/>
      </c>
      <c r="V1244" s="35" t="n">
        <f aca="false">IF($H1244="",0,IFERROR(INDEX(LevelBasic,MATCH($H1244,LevelList,0))+INDEX(LevelHousing,MATCH($H1244,LevelList,0))+INDEX(LevelTransport,MATCH($H1244,LevelList,0))+INDEX(LevelBasic,MATCH($H1244,LevelList,0))*INDEX(LevelBonus,MATCH($H1244,LevelList,0))+(INDEX(LevelBasic,MATCH($H1244,LevelList,0))+INDEX(LevelHousing,MATCH($H1244,LevelList,0)))*GosiSaudi,0))</f>
        <v>0</v>
      </c>
      <c r="W1244" s="35" t="n">
        <f aca="false">IFERROR(INDEX(LevelOneOff,MATCH($H1244,LevelList,0)),0)</f>
        <v>0</v>
      </c>
      <c r="X1244" s="35" t="str">
        <f aca="false">IF($G1244="","",$V1244*N($L1244))</f>
        <v/>
      </c>
      <c r="Y1244" s="35" t="str">
        <f aca="false">IF($G1244="","",$V1244*(N($M1244)*1+N($N1244)*0.75+N($O1244)*0.5+N($P1244)*0.25)+$W1244*N($L1244))</f>
        <v/>
      </c>
      <c r="Z1244" s="35" t="str">
        <f aca="false">IF($G1244="","",$U1244*1000000+ROW())</f>
        <v/>
      </c>
      <c r="AA1244" s="36" t="str">
        <f aca="false">IF($G1244="","",MID(IF($C1244="",", no division","")&amp;IF($E1244="",", no unit","")&amp;IF($H1244="",", no career level","")&amp;IF(N($L1244)&lt;=0,", no quarter split","")&amp;IF($R1244="",", no driver","")&amp;IF(AND($H1244&lt;&gt;"",COUNTIF(CareerLevels,$H1244)=0),", a career level that is not on the ladder","")&amp;IF(AND($R1244&lt;&gt;"",COUNTIF(DriverList,$R1244)=0),", a driver that is not on the list","")&amp;IF(ABS(N($L1244)-(N($M1244)+N($N1244)+N($O1244)+N($P1244)))&gt;0.001,", a total that does not match its quarters",""),3,300))</f>
        <v/>
      </c>
    </row>
    <row r="1245" customFormat="false" ht="15" hidden="false" customHeight="false" outlineLevel="0" collapsed="false">
      <c r="A1245" s="33" t="str">
        <f aca="false">IF($G1245="","","Legal Group")</f>
        <v/>
      </c>
      <c r="B1245" s="19"/>
      <c r="C1245" s="19"/>
      <c r="D1245" s="19"/>
      <c r="E1245" s="19"/>
      <c r="F1245" s="19"/>
      <c r="G1245" s="19"/>
      <c r="H1245" s="19"/>
      <c r="I1245" s="19"/>
      <c r="J1245" s="19"/>
      <c r="K1245" s="19"/>
      <c r="L1245" s="19"/>
      <c r="M1245" s="19"/>
      <c r="N1245" s="19"/>
      <c r="O1245" s="19"/>
      <c r="P1245" s="19"/>
      <c r="Q1245" s="19"/>
      <c r="R1245" s="19"/>
      <c r="S1245" s="19"/>
      <c r="T1245" s="34" t="str">
        <f aca="false">IF($R1245="","",IFERROR(INDEX(DriverCategory,MATCH($R1245,DriverList,0)),"BAU"))</f>
        <v/>
      </c>
      <c r="U1245" s="34" t="str">
        <f aca="false">IF($R1245="","",IFERROR(INDEX(DriverRank,MATCH($R1245,DriverList,0)),99))</f>
        <v/>
      </c>
      <c r="V1245" s="35" t="n">
        <f aca="false">IF($H1245="",0,IFERROR(INDEX(LevelBasic,MATCH($H1245,LevelList,0))+INDEX(LevelHousing,MATCH($H1245,LevelList,0))+INDEX(LevelTransport,MATCH($H1245,LevelList,0))+INDEX(LevelBasic,MATCH($H1245,LevelList,0))*INDEX(LevelBonus,MATCH($H1245,LevelList,0))+(INDEX(LevelBasic,MATCH($H1245,LevelList,0))+INDEX(LevelHousing,MATCH($H1245,LevelList,0)))*GosiSaudi,0))</f>
        <v>0</v>
      </c>
      <c r="W1245" s="35" t="n">
        <f aca="false">IFERROR(INDEX(LevelOneOff,MATCH($H1245,LevelList,0)),0)</f>
        <v>0</v>
      </c>
      <c r="X1245" s="35" t="str">
        <f aca="false">IF($G1245="","",$V1245*N($L1245))</f>
        <v/>
      </c>
      <c r="Y1245" s="35" t="str">
        <f aca="false">IF($G1245="","",$V1245*(N($M1245)*1+N($N1245)*0.75+N($O1245)*0.5+N($P1245)*0.25)+$W1245*N($L1245))</f>
        <v/>
      </c>
      <c r="Z1245" s="35" t="str">
        <f aca="false">IF($G1245="","",$U1245*1000000+ROW())</f>
        <v/>
      </c>
      <c r="AA1245" s="36" t="str">
        <f aca="false">IF($G1245="","",MID(IF($C1245="",", no division","")&amp;IF($E1245="",", no unit","")&amp;IF($H1245="",", no career level","")&amp;IF(N($L1245)&lt;=0,", no quarter split","")&amp;IF($R1245="",", no driver","")&amp;IF(AND($H1245&lt;&gt;"",COUNTIF(CareerLevels,$H1245)=0),", a career level that is not on the ladder","")&amp;IF(AND($R1245&lt;&gt;"",COUNTIF(DriverList,$R1245)=0),", a driver that is not on the list","")&amp;IF(ABS(N($L1245)-(N($M1245)+N($N1245)+N($O1245)+N($P1245)))&gt;0.001,", a total that does not match its quarters",""),3,300))</f>
        <v/>
      </c>
    </row>
    <row r="1246" customFormat="false" ht="15" hidden="false" customHeight="false" outlineLevel="0" collapsed="false">
      <c r="A1246" s="33" t="str">
        <f aca="false">IF($G1246="","","Legal Group")</f>
        <v/>
      </c>
      <c r="B1246" s="19"/>
      <c r="C1246" s="19"/>
      <c r="D1246" s="19"/>
      <c r="E1246" s="19"/>
      <c r="F1246" s="19"/>
      <c r="G1246" s="19"/>
      <c r="H1246" s="19"/>
      <c r="I1246" s="19"/>
      <c r="J1246" s="19"/>
      <c r="K1246" s="19"/>
      <c r="L1246" s="19"/>
      <c r="M1246" s="19"/>
      <c r="N1246" s="19"/>
      <c r="O1246" s="19"/>
      <c r="P1246" s="19"/>
      <c r="Q1246" s="19"/>
      <c r="R1246" s="19"/>
      <c r="S1246" s="19"/>
      <c r="T1246" s="34" t="str">
        <f aca="false">IF($R1246="","",IFERROR(INDEX(DriverCategory,MATCH($R1246,DriverList,0)),"BAU"))</f>
        <v/>
      </c>
      <c r="U1246" s="34" t="str">
        <f aca="false">IF($R1246="","",IFERROR(INDEX(DriverRank,MATCH($R1246,DriverList,0)),99))</f>
        <v/>
      </c>
      <c r="V1246" s="35" t="n">
        <f aca="false">IF($H1246="",0,IFERROR(INDEX(LevelBasic,MATCH($H1246,LevelList,0))+INDEX(LevelHousing,MATCH($H1246,LevelList,0))+INDEX(LevelTransport,MATCH($H1246,LevelList,0))+INDEX(LevelBasic,MATCH($H1246,LevelList,0))*INDEX(LevelBonus,MATCH($H1246,LevelList,0))+(INDEX(LevelBasic,MATCH($H1246,LevelList,0))+INDEX(LevelHousing,MATCH($H1246,LevelList,0)))*GosiSaudi,0))</f>
        <v>0</v>
      </c>
      <c r="W1246" s="35" t="n">
        <f aca="false">IFERROR(INDEX(LevelOneOff,MATCH($H1246,LevelList,0)),0)</f>
        <v>0</v>
      </c>
      <c r="X1246" s="35" t="str">
        <f aca="false">IF($G1246="","",$V1246*N($L1246))</f>
        <v/>
      </c>
      <c r="Y1246" s="35" t="str">
        <f aca="false">IF($G1246="","",$V1246*(N($M1246)*1+N($N1246)*0.75+N($O1246)*0.5+N($P1246)*0.25)+$W1246*N($L1246))</f>
        <v/>
      </c>
      <c r="Z1246" s="35" t="str">
        <f aca="false">IF($G1246="","",$U1246*1000000+ROW())</f>
        <v/>
      </c>
      <c r="AA1246" s="36" t="str">
        <f aca="false">IF($G1246="","",MID(IF($C1246="",", no division","")&amp;IF($E1246="",", no unit","")&amp;IF($H1246="",", no career level","")&amp;IF(N($L1246)&lt;=0,", no quarter split","")&amp;IF($R1246="",", no driver","")&amp;IF(AND($H1246&lt;&gt;"",COUNTIF(CareerLevels,$H1246)=0),", a career level that is not on the ladder","")&amp;IF(AND($R1246&lt;&gt;"",COUNTIF(DriverList,$R1246)=0),", a driver that is not on the list","")&amp;IF(ABS(N($L1246)-(N($M1246)+N($N1246)+N($O1246)+N($P1246)))&gt;0.001,", a total that does not match its quarters",""),3,300))</f>
        <v/>
      </c>
    </row>
    <row r="1247" customFormat="false" ht="15" hidden="false" customHeight="false" outlineLevel="0" collapsed="false">
      <c r="A1247" s="33" t="str">
        <f aca="false">IF($G1247="","","Legal Group")</f>
        <v/>
      </c>
      <c r="B1247" s="19"/>
      <c r="C1247" s="19"/>
      <c r="D1247" s="19"/>
      <c r="E1247" s="19"/>
      <c r="F1247" s="19"/>
      <c r="G1247" s="19"/>
      <c r="H1247" s="19"/>
      <c r="I1247" s="19"/>
      <c r="J1247" s="19"/>
      <c r="K1247" s="19"/>
      <c r="L1247" s="19"/>
      <c r="M1247" s="19"/>
      <c r="N1247" s="19"/>
      <c r="O1247" s="19"/>
      <c r="P1247" s="19"/>
      <c r="Q1247" s="19"/>
      <c r="R1247" s="19"/>
      <c r="S1247" s="19"/>
      <c r="T1247" s="34" t="str">
        <f aca="false">IF($R1247="","",IFERROR(INDEX(DriverCategory,MATCH($R1247,DriverList,0)),"BAU"))</f>
        <v/>
      </c>
      <c r="U1247" s="34" t="str">
        <f aca="false">IF($R1247="","",IFERROR(INDEX(DriverRank,MATCH($R1247,DriverList,0)),99))</f>
        <v/>
      </c>
      <c r="V1247" s="35" t="n">
        <f aca="false">IF($H1247="",0,IFERROR(INDEX(LevelBasic,MATCH($H1247,LevelList,0))+INDEX(LevelHousing,MATCH($H1247,LevelList,0))+INDEX(LevelTransport,MATCH($H1247,LevelList,0))+INDEX(LevelBasic,MATCH($H1247,LevelList,0))*INDEX(LevelBonus,MATCH($H1247,LevelList,0))+(INDEX(LevelBasic,MATCH($H1247,LevelList,0))+INDEX(LevelHousing,MATCH($H1247,LevelList,0)))*GosiSaudi,0))</f>
        <v>0</v>
      </c>
      <c r="W1247" s="35" t="n">
        <f aca="false">IFERROR(INDEX(LevelOneOff,MATCH($H1247,LevelList,0)),0)</f>
        <v>0</v>
      </c>
      <c r="X1247" s="35" t="str">
        <f aca="false">IF($G1247="","",$V1247*N($L1247))</f>
        <v/>
      </c>
      <c r="Y1247" s="35" t="str">
        <f aca="false">IF($G1247="","",$V1247*(N($M1247)*1+N($N1247)*0.75+N($O1247)*0.5+N($P1247)*0.25)+$W1247*N($L1247))</f>
        <v/>
      </c>
      <c r="Z1247" s="35" t="str">
        <f aca="false">IF($G1247="","",$U1247*1000000+ROW())</f>
        <v/>
      </c>
      <c r="AA1247" s="36" t="str">
        <f aca="false">IF($G1247="","",MID(IF($C1247="",", no division","")&amp;IF($E1247="",", no unit","")&amp;IF($H1247="",", no career level","")&amp;IF(N($L1247)&lt;=0,", no quarter split","")&amp;IF($R1247="",", no driver","")&amp;IF(AND($H1247&lt;&gt;"",COUNTIF(CareerLevels,$H1247)=0),", a career level that is not on the ladder","")&amp;IF(AND($R1247&lt;&gt;"",COUNTIF(DriverList,$R1247)=0),", a driver that is not on the list","")&amp;IF(ABS(N($L1247)-(N($M1247)+N($N1247)+N($O1247)+N($P1247)))&gt;0.001,", a total that does not match its quarters",""),3,300))</f>
        <v/>
      </c>
    </row>
    <row r="1248" customFormat="false" ht="15" hidden="false" customHeight="false" outlineLevel="0" collapsed="false">
      <c r="A1248" s="33" t="str">
        <f aca="false">IF($G1248="","","Legal Group")</f>
        <v/>
      </c>
      <c r="B1248" s="19"/>
      <c r="C1248" s="19"/>
      <c r="D1248" s="19"/>
      <c r="E1248" s="19"/>
      <c r="F1248" s="19"/>
      <c r="G1248" s="19"/>
      <c r="H1248" s="19"/>
      <c r="I1248" s="19"/>
      <c r="J1248" s="19"/>
      <c r="K1248" s="19"/>
      <c r="L1248" s="19"/>
      <c r="M1248" s="19"/>
      <c r="N1248" s="19"/>
      <c r="O1248" s="19"/>
      <c r="P1248" s="19"/>
      <c r="Q1248" s="19"/>
      <c r="R1248" s="19"/>
      <c r="S1248" s="19"/>
      <c r="T1248" s="34" t="str">
        <f aca="false">IF($R1248="","",IFERROR(INDEX(DriverCategory,MATCH($R1248,DriverList,0)),"BAU"))</f>
        <v/>
      </c>
      <c r="U1248" s="34" t="str">
        <f aca="false">IF($R1248="","",IFERROR(INDEX(DriverRank,MATCH($R1248,DriverList,0)),99))</f>
        <v/>
      </c>
      <c r="V1248" s="35" t="n">
        <f aca="false">IF($H1248="",0,IFERROR(INDEX(LevelBasic,MATCH($H1248,LevelList,0))+INDEX(LevelHousing,MATCH($H1248,LevelList,0))+INDEX(LevelTransport,MATCH($H1248,LevelList,0))+INDEX(LevelBasic,MATCH($H1248,LevelList,0))*INDEX(LevelBonus,MATCH($H1248,LevelList,0))+(INDEX(LevelBasic,MATCH($H1248,LevelList,0))+INDEX(LevelHousing,MATCH($H1248,LevelList,0)))*GosiSaudi,0))</f>
        <v>0</v>
      </c>
      <c r="W1248" s="35" t="n">
        <f aca="false">IFERROR(INDEX(LevelOneOff,MATCH($H1248,LevelList,0)),0)</f>
        <v>0</v>
      </c>
      <c r="X1248" s="35" t="str">
        <f aca="false">IF($G1248="","",$V1248*N($L1248))</f>
        <v/>
      </c>
      <c r="Y1248" s="35" t="str">
        <f aca="false">IF($G1248="","",$V1248*(N($M1248)*1+N($N1248)*0.75+N($O1248)*0.5+N($P1248)*0.25)+$W1248*N($L1248))</f>
        <v/>
      </c>
      <c r="Z1248" s="35" t="str">
        <f aca="false">IF($G1248="","",$U1248*1000000+ROW())</f>
        <v/>
      </c>
      <c r="AA1248" s="36" t="str">
        <f aca="false">IF($G1248="","",MID(IF($C1248="",", no division","")&amp;IF($E1248="",", no unit","")&amp;IF($H1248="",", no career level","")&amp;IF(N($L1248)&lt;=0,", no quarter split","")&amp;IF($R1248="",", no driver","")&amp;IF(AND($H1248&lt;&gt;"",COUNTIF(CareerLevels,$H1248)=0),", a career level that is not on the ladder","")&amp;IF(AND($R1248&lt;&gt;"",COUNTIF(DriverList,$R1248)=0),", a driver that is not on the list","")&amp;IF(ABS(N($L1248)-(N($M1248)+N($N1248)+N($O1248)+N($P1248)))&gt;0.001,", a total that does not match its quarters",""),3,300))</f>
        <v/>
      </c>
    </row>
    <row r="1249" customFormat="false" ht="15" hidden="false" customHeight="false" outlineLevel="0" collapsed="false">
      <c r="A1249" s="33" t="str">
        <f aca="false">IF($G1249="","","Legal Group")</f>
        <v/>
      </c>
      <c r="B1249" s="19"/>
      <c r="C1249" s="19"/>
      <c r="D1249" s="19"/>
      <c r="E1249" s="19"/>
      <c r="F1249" s="19"/>
      <c r="G1249" s="19"/>
      <c r="H1249" s="19"/>
      <c r="I1249" s="19"/>
      <c r="J1249" s="19"/>
      <c r="K1249" s="19"/>
      <c r="L1249" s="19"/>
      <c r="M1249" s="19"/>
      <c r="N1249" s="19"/>
      <c r="O1249" s="19"/>
      <c r="P1249" s="19"/>
      <c r="Q1249" s="19"/>
      <c r="R1249" s="19"/>
      <c r="S1249" s="19"/>
      <c r="T1249" s="34" t="str">
        <f aca="false">IF($R1249="","",IFERROR(INDEX(DriverCategory,MATCH($R1249,DriverList,0)),"BAU"))</f>
        <v/>
      </c>
      <c r="U1249" s="34" t="str">
        <f aca="false">IF($R1249="","",IFERROR(INDEX(DriverRank,MATCH($R1249,DriverList,0)),99))</f>
        <v/>
      </c>
      <c r="V1249" s="35" t="n">
        <f aca="false">IF($H1249="",0,IFERROR(INDEX(LevelBasic,MATCH($H1249,LevelList,0))+INDEX(LevelHousing,MATCH($H1249,LevelList,0))+INDEX(LevelTransport,MATCH($H1249,LevelList,0))+INDEX(LevelBasic,MATCH($H1249,LevelList,0))*INDEX(LevelBonus,MATCH($H1249,LevelList,0))+(INDEX(LevelBasic,MATCH($H1249,LevelList,0))+INDEX(LevelHousing,MATCH($H1249,LevelList,0)))*GosiSaudi,0))</f>
        <v>0</v>
      </c>
      <c r="W1249" s="35" t="n">
        <f aca="false">IFERROR(INDEX(LevelOneOff,MATCH($H1249,LevelList,0)),0)</f>
        <v>0</v>
      </c>
      <c r="X1249" s="35" t="str">
        <f aca="false">IF($G1249="","",$V1249*N($L1249))</f>
        <v/>
      </c>
      <c r="Y1249" s="35" t="str">
        <f aca="false">IF($G1249="","",$V1249*(N($M1249)*1+N($N1249)*0.75+N($O1249)*0.5+N($P1249)*0.25)+$W1249*N($L1249))</f>
        <v/>
      </c>
      <c r="Z1249" s="35" t="str">
        <f aca="false">IF($G1249="","",$U1249*1000000+ROW())</f>
        <v/>
      </c>
      <c r="AA1249" s="36" t="str">
        <f aca="false">IF($G1249="","",MID(IF($C1249="",", no division","")&amp;IF($E1249="",", no unit","")&amp;IF($H1249="",", no career level","")&amp;IF(N($L1249)&lt;=0,", no quarter split","")&amp;IF($R1249="",", no driver","")&amp;IF(AND($H1249&lt;&gt;"",COUNTIF(CareerLevels,$H1249)=0),", a career level that is not on the ladder","")&amp;IF(AND($R1249&lt;&gt;"",COUNTIF(DriverList,$R1249)=0),", a driver that is not on the list","")&amp;IF(ABS(N($L1249)-(N($M1249)+N($N1249)+N($O1249)+N($P1249)))&gt;0.001,", a total that does not match its quarters",""),3,300))</f>
        <v/>
      </c>
    </row>
    <row r="1250" customFormat="false" ht="15" hidden="false" customHeight="false" outlineLevel="0" collapsed="false">
      <c r="A1250" s="33" t="str">
        <f aca="false">IF($G1250="","","Legal Group")</f>
        <v/>
      </c>
      <c r="B1250" s="19"/>
      <c r="C1250" s="19"/>
      <c r="D1250" s="19"/>
      <c r="E1250" s="19"/>
      <c r="F1250" s="19"/>
      <c r="G1250" s="19"/>
      <c r="H1250" s="19"/>
      <c r="I1250" s="19"/>
      <c r="J1250" s="19"/>
      <c r="K1250" s="19"/>
      <c r="L1250" s="19"/>
      <c r="M1250" s="19"/>
      <c r="N1250" s="19"/>
      <c r="O1250" s="19"/>
      <c r="P1250" s="19"/>
      <c r="Q1250" s="19"/>
      <c r="R1250" s="19"/>
      <c r="S1250" s="19"/>
      <c r="T1250" s="34" t="str">
        <f aca="false">IF($R1250="","",IFERROR(INDEX(DriverCategory,MATCH($R1250,DriverList,0)),"BAU"))</f>
        <v/>
      </c>
      <c r="U1250" s="34" t="str">
        <f aca="false">IF($R1250="","",IFERROR(INDEX(DriverRank,MATCH($R1250,DriverList,0)),99))</f>
        <v/>
      </c>
      <c r="V1250" s="35" t="n">
        <f aca="false">IF($H1250="",0,IFERROR(INDEX(LevelBasic,MATCH($H1250,LevelList,0))+INDEX(LevelHousing,MATCH($H1250,LevelList,0))+INDEX(LevelTransport,MATCH($H1250,LevelList,0))+INDEX(LevelBasic,MATCH($H1250,LevelList,0))*INDEX(LevelBonus,MATCH($H1250,LevelList,0))+(INDEX(LevelBasic,MATCH($H1250,LevelList,0))+INDEX(LevelHousing,MATCH($H1250,LevelList,0)))*GosiSaudi,0))</f>
        <v>0</v>
      </c>
      <c r="W1250" s="35" t="n">
        <f aca="false">IFERROR(INDEX(LevelOneOff,MATCH($H1250,LevelList,0)),0)</f>
        <v>0</v>
      </c>
      <c r="X1250" s="35" t="str">
        <f aca="false">IF($G1250="","",$V1250*N($L1250))</f>
        <v/>
      </c>
      <c r="Y1250" s="35" t="str">
        <f aca="false">IF($G1250="","",$V1250*(N($M1250)*1+N($N1250)*0.75+N($O1250)*0.5+N($P1250)*0.25)+$W1250*N($L1250))</f>
        <v/>
      </c>
      <c r="Z1250" s="35" t="str">
        <f aca="false">IF($G1250="","",$U1250*1000000+ROW())</f>
        <v/>
      </c>
      <c r="AA1250" s="36" t="str">
        <f aca="false">IF($G1250="","",MID(IF($C1250="",", no division","")&amp;IF($E1250="",", no unit","")&amp;IF($H1250="",", no career level","")&amp;IF(N($L1250)&lt;=0,", no quarter split","")&amp;IF($R1250="",", no driver","")&amp;IF(AND($H1250&lt;&gt;"",COUNTIF(CareerLevels,$H1250)=0),", a career level that is not on the ladder","")&amp;IF(AND($R1250&lt;&gt;"",COUNTIF(DriverList,$R1250)=0),", a driver that is not on the list","")&amp;IF(ABS(N($L1250)-(N($M1250)+N($N1250)+N($O1250)+N($P1250)))&gt;0.001,", a total that does not match its quarters",""),3,300))</f>
        <v/>
      </c>
    </row>
    <row r="1251" customFormat="false" ht="15" hidden="false" customHeight="false" outlineLevel="0" collapsed="false">
      <c r="A1251" s="33" t="str">
        <f aca="false">IF($G1251="","","Legal Group")</f>
        <v/>
      </c>
      <c r="B1251" s="19"/>
      <c r="C1251" s="19"/>
      <c r="D1251" s="19"/>
      <c r="E1251" s="19"/>
      <c r="F1251" s="19"/>
      <c r="G1251" s="19"/>
      <c r="H1251" s="19"/>
      <c r="I1251" s="19"/>
      <c r="J1251" s="19"/>
      <c r="K1251" s="19"/>
      <c r="L1251" s="19"/>
      <c r="M1251" s="19"/>
      <c r="N1251" s="19"/>
      <c r="O1251" s="19"/>
      <c r="P1251" s="19"/>
      <c r="Q1251" s="19"/>
      <c r="R1251" s="19"/>
      <c r="S1251" s="19"/>
      <c r="T1251" s="34" t="str">
        <f aca="false">IF($R1251="","",IFERROR(INDEX(DriverCategory,MATCH($R1251,DriverList,0)),"BAU"))</f>
        <v/>
      </c>
      <c r="U1251" s="34" t="str">
        <f aca="false">IF($R1251="","",IFERROR(INDEX(DriverRank,MATCH($R1251,DriverList,0)),99))</f>
        <v/>
      </c>
      <c r="V1251" s="35" t="n">
        <f aca="false">IF($H1251="",0,IFERROR(INDEX(LevelBasic,MATCH($H1251,LevelList,0))+INDEX(LevelHousing,MATCH($H1251,LevelList,0))+INDEX(LevelTransport,MATCH($H1251,LevelList,0))+INDEX(LevelBasic,MATCH($H1251,LevelList,0))*INDEX(LevelBonus,MATCH($H1251,LevelList,0))+(INDEX(LevelBasic,MATCH($H1251,LevelList,0))+INDEX(LevelHousing,MATCH($H1251,LevelList,0)))*GosiSaudi,0))</f>
        <v>0</v>
      </c>
      <c r="W1251" s="35" t="n">
        <f aca="false">IFERROR(INDEX(LevelOneOff,MATCH($H1251,LevelList,0)),0)</f>
        <v>0</v>
      </c>
      <c r="X1251" s="35" t="str">
        <f aca="false">IF($G1251="","",$V1251*N($L1251))</f>
        <v/>
      </c>
      <c r="Y1251" s="35" t="str">
        <f aca="false">IF($G1251="","",$V1251*(N($M1251)*1+N($N1251)*0.75+N($O1251)*0.5+N($P1251)*0.25)+$W1251*N($L1251))</f>
        <v/>
      </c>
      <c r="Z1251" s="35" t="str">
        <f aca="false">IF($G1251="","",$U1251*1000000+ROW())</f>
        <v/>
      </c>
      <c r="AA1251" s="36" t="str">
        <f aca="false">IF($G1251="","",MID(IF($C1251="",", no division","")&amp;IF($E1251="",", no unit","")&amp;IF($H1251="",", no career level","")&amp;IF(N($L1251)&lt;=0,", no quarter split","")&amp;IF($R1251="",", no driver","")&amp;IF(AND($H1251&lt;&gt;"",COUNTIF(CareerLevels,$H1251)=0),", a career level that is not on the ladder","")&amp;IF(AND($R1251&lt;&gt;"",COUNTIF(DriverList,$R1251)=0),", a driver that is not on the list","")&amp;IF(ABS(N($L1251)-(N($M1251)+N($N1251)+N($O1251)+N($P1251)))&gt;0.001,", a total that does not match its quarters",""),3,300))</f>
        <v/>
      </c>
    </row>
    <row r="1252" customFormat="false" ht="15" hidden="false" customHeight="false" outlineLevel="0" collapsed="false">
      <c r="A1252" s="33" t="str">
        <f aca="false">IF($G1252="","","Legal Group")</f>
        <v/>
      </c>
      <c r="B1252" s="19"/>
      <c r="C1252" s="19"/>
      <c r="D1252" s="19"/>
      <c r="E1252" s="19"/>
      <c r="F1252" s="19"/>
      <c r="G1252" s="19"/>
      <c r="H1252" s="19"/>
      <c r="I1252" s="19"/>
      <c r="J1252" s="19"/>
      <c r="K1252" s="19"/>
      <c r="L1252" s="19"/>
      <c r="M1252" s="19"/>
      <c r="N1252" s="19"/>
      <c r="O1252" s="19"/>
      <c r="P1252" s="19"/>
      <c r="Q1252" s="19"/>
      <c r="R1252" s="19"/>
      <c r="S1252" s="19"/>
      <c r="T1252" s="34" t="str">
        <f aca="false">IF($R1252="","",IFERROR(INDEX(DriverCategory,MATCH($R1252,DriverList,0)),"BAU"))</f>
        <v/>
      </c>
      <c r="U1252" s="34" t="str">
        <f aca="false">IF($R1252="","",IFERROR(INDEX(DriverRank,MATCH($R1252,DriverList,0)),99))</f>
        <v/>
      </c>
      <c r="V1252" s="35" t="n">
        <f aca="false">IF($H1252="",0,IFERROR(INDEX(LevelBasic,MATCH($H1252,LevelList,0))+INDEX(LevelHousing,MATCH($H1252,LevelList,0))+INDEX(LevelTransport,MATCH($H1252,LevelList,0))+INDEX(LevelBasic,MATCH($H1252,LevelList,0))*INDEX(LevelBonus,MATCH($H1252,LevelList,0))+(INDEX(LevelBasic,MATCH($H1252,LevelList,0))+INDEX(LevelHousing,MATCH($H1252,LevelList,0)))*GosiSaudi,0))</f>
        <v>0</v>
      </c>
      <c r="W1252" s="35" t="n">
        <f aca="false">IFERROR(INDEX(LevelOneOff,MATCH($H1252,LevelList,0)),0)</f>
        <v>0</v>
      </c>
      <c r="X1252" s="35" t="str">
        <f aca="false">IF($G1252="","",$V1252*N($L1252))</f>
        <v/>
      </c>
      <c r="Y1252" s="35" t="str">
        <f aca="false">IF($G1252="","",$V1252*(N($M1252)*1+N($N1252)*0.75+N($O1252)*0.5+N($P1252)*0.25)+$W1252*N($L1252))</f>
        <v/>
      </c>
      <c r="Z1252" s="35" t="str">
        <f aca="false">IF($G1252="","",$U1252*1000000+ROW())</f>
        <v/>
      </c>
      <c r="AA1252" s="36" t="str">
        <f aca="false">IF($G1252="","",MID(IF($C1252="",", no division","")&amp;IF($E1252="",", no unit","")&amp;IF($H1252="",", no career level","")&amp;IF(N($L1252)&lt;=0,", no quarter split","")&amp;IF($R1252="",", no driver","")&amp;IF(AND($H1252&lt;&gt;"",COUNTIF(CareerLevels,$H1252)=0),", a career level that is not on the ladder","")&amp;IF(AND($R1252&lt;&gt;"",COUNTIF(DriverList,$R1252)=0),", a driver that is not on the list","")&amp;IF(ABS(N($L1252)-(N($M1252)+N($N1252)+N($O1252)+N($P1252)))&gt;0.001,", a total that does not match its quarters",""),3,300))</f>
        <v/>
      </c>
    </row>
    <row r="1253" customFormat="false" ht="15" hidden="false" customHeight="false" outlineLevel="0" collapsed="false">
      <c r="A1253" s="33" t="str">
        <f aca="false">IF($G1253="","","Legal Group")</f>
        <v/>
      </c>
      <c r="B1253" s="19"/>
      <c r="C1253" s="19"/>
      <c r="D1253" s="19"/>
      <c r="E1253" s="19"/>
      <c r="F1253" s="19"/>
      <c r="G1253" s="19"/>
      <c r="H1253" s="19"/>
      <c r="I1253" s="19"/>
      <c r="J1253" s="19"/>
      <c r="K1253" s="19"/>
      <c r="L1253" s="19"/>
      <c r="M1253" s="19"/>
      <c r="N1253" s="19"/>
      <c r="O1253" s="19"/>
      <c r="P1253" s="19"/>
      <c r="Q1253" s="19"/>
      <c r="R1253" s="19"/>
      <c r="S1253" s="19"/>
      <c r="T1253" s="34" t="str">
        <f aca="false">IF($R1253="","",IFERROR(INDEX(DriverCategory,MATCH($R1253,DriverList,0)),"BAU"))</f>
        <v/>
      </c>
      <c r="U1253" s="34" t="str">
        <f aca="false">IF($R1253="","",IFERROR(INDEX(DriverRank,MATCH($R1253,DriverList,0)),99))</f>
        <v/>
      </c>
      <c r="V1253" s="35" t="n">
        <f aca="false">IF($H1253="",0,IFERROR(INDEX(LevelBasic,MATCH($H1253,LevelList,0))+INDEX(LevelHousing,MATCH($H1253,LevelList,0))+INDEX(LevelTransport,MATCH($H1253,LevelList,0))+INDEX(LevelBasic,MATCH($H1253,LevelList,0))*INDEX(LevelBonus,MATCH($H1253,LevelList,0))+(INDEX(LevelBasic,MATCH($H1253,LevelList,0))+INDEX(LevelHousing,MATCH($H1253,LevelList,0)))*GosiSaudi,0))</f>
        <v>0</v>
      </c>
      <c r="W1253" s="35" t="n">
        <f aca="false">IFERROR(INDEX(LevelOneOff,MATCH($H1253,LevelList,0)),0)</f>
        <v>0</v>
      </c>
      <c r="X1253" s="35" t="str">
        <f aca="false">IF($G1253="","",$V1253*N($L1253))</f>
        <v/>
      </c>
      <c r="Y1253" s="35" t="str">
        <f aca="false">IF($G1253="","",$V1253*(N($M1253)*1+N($N1253)*0.75+N($O1253)*0.5+N($P1253)*0.25)+$W1253*N($L1253))</f>
        <v/>
      </c>
      <c r="Z1253" s="35" t="str">
        <f aca="false">IF($G1253="","",$U1253*1000000+ROW())</f>
        <v/>
      </c>
      <c r="AA1253" s="36" t="str">
        <f aca="false">IF($G1253="","",MID(IF($C1253="",", no division","")&amp;IF($E1253="",", no unit","")&amp;IF($H1253="",", no career level","")&amp;IF(N($L1253)&lt;=0,", no quarter split","")&amp;IF($R1253="",", no driver","")&amp;IF(AND($H1253&lt;&gt;"",COUNTIF(CareerLevels,$H1253)=0),", a career level that is not on the ladder","")&amp;IF(AND($R1253&lt;&gt;"",COUNTIF(DriverList,$R1253)=0),", a driver that is not on the list","")&amp;IF(ABS(N($L1253)-(N($M1253)+N($N1253)+N($O1253)+N($P1253)))&gt;0.001,", a total that does not match its quarters",""),3,300))</f>
        <v/>
      </c>
    </row>
    <row r="1254" customFormat="false" ht="15" hidden="false" customHeight="false" outlineLevel="0" collapsed="false">
      <c r="A1254" s="33" t="str">
        <f aca="false">IF($G1254="","","Legal Group")</f>
        <v/>
      </c>
      <c r="B1254" s="19"/>
      <c r="C1254" s="19"/>
      <c r="D1254" s="19"/>
      <c r="E1254" s="19"/>
      <c r="F1254" s="19"/>
      <c r="G1254" s="19"/>
      <c r="H1254" s="19"/>
      <c r="I1254" s="19"/>
      <c r="J1254" s="19"/>
      <c r="K1254" s="19"/>
      <c r="L1254" s="19"/>
      <c r="M1254" s="19"/>
      <c r="N1254" s="19"/>
      <c r="O1254" s="19"/>
      <c r="P1254" s="19"/>
      <c r="Q1254" s="19"/>
      <c r="R1254" s="19"/>
      <c r="S1254" s="19"/>
      <c r="T1254" s="34" t="str">
        <f aca="false">IF($R1254="","",IFERROR(INDEX(DriverCategory,MATCH($R1254,DriverList,0)),"BAU"))</f>
        <v/>
      </c>
      <c r="U1254" s="34" t="str">
        <f aca="false">IF($R1254="","",IFERROR(INDEX(DriverRank,MATCH($R1254,DriverList,0)),99))</f>
        <v/>
      </c>
      <c r="V1254" s="35" t="n">
        <f aca="false">IF($H1254="",0,IFERROR(INDEX(LevelBasic,MATCH($H1254,LevelList,0))+INDEX(LevelHousing,MATCH($H1254,LevelList,0))+INDEX(LevelTransport,MATCH($H1254,LevelList,0))+INDEX(LevelBasic,MATCH($H1254,LevelList,0))*INDEX(LevelBonus,MATCH($H1254,LevelList,0))+(INDEX(LevelBasic,MATCH($H1254,LevelList,0))+INDEX(LevelHousing,MATCH($H1254,LevelList,0)))*GosiSaudi,0))</f>
        <v>0</v>
      </c>
      <c r="W1254" s="35" t="n">
        <f aca="false">IFERROR(INDEX(LevelOneOff,MATCH($H1254,LevelList,0)),0)</f>
        <v>0</v>
      </c>
      <c r="X1254" s="35" t="str">
        <f aca="false">IF($G1254="","",$V1254*N($L1254))</f>
        <v/>
      </c>
      <c r="Y1254" s="35" t="str">
        <f aca="false">IF($G1254="","",$V1254*(N($M1254)*1+N($N1254)*0.75+N($O1254)*0.5+N($P1254)*0.25)+$W1254*N($L1254))</f>
        <v/>
      </c>
      <c r="Z1254" s="35" t="str">
        <f aca="false">IF($G1254="","",$U1254*1000000+ROW())</f>
        <v/>
      </c>
      <c r="AA1254" s="36" t="str">
        <f aca="false">IF($G1254="","",MID(IF($C1254="",", no division","")&amp;IF($E1254="",", no unit","")&amp;IF($H1254="",", no career level","")&amp;IF(N($L1254)&lt;=0,", no quarter split","")&amp;IF($R1254="",", no driver","")&amp;IF(AND($H1254&lt;&gt;"",COUNTIF(CareerLevels,$H1254)=0),", a career level that is not on the ladder","")&amp;IF(AND($R1254&lt;&gt;"",COUNTIF(DriverList,$R1254)=0),", a driver that is not on the list","")&amp;IF(ABS(N($L1254)-(N($M1254)+N($N1254)+N($O1254)+N($P1254)))&gt;0.001,", a total that does not match its quarters",""),3,300))</f>
        <v/>
      </c>
    </row>
    <row r="1255" customFormat="false" ht="15" hidden="false" customHeight="false" outlineLevel="0" collapsed="false">
      <c r="A1255" s="33" t="str">
        <f aca="false">IF($G1255="","","Legal Group")</f>
        <v/>
      </c>
      <c r="B1255" s="19"/>
      <c r="C1255" s="19"/>
      <c r="D1255" s="19"/>
      <c r="E1255" s="19"/>
      <c r="F1255" s="19"/>
      <c r="G1255" s="19"/>
      <c r="H1255" s="19"/>
      <c r="I1255" s="19"/>
      <c r="J1255" s="19"/>
      <c r="K1255" s="19"/>
      <c r="L1255" s="19"/>
      <c r="M1255" s="19"/>
      <c r="N1255" s="19"/>
      <c r="O1255" s="19"/>
      <c r="P1255" s="19"/>
      <c r="Q1255" s="19"/>
      <c r="R1255" s="19"/>
      <c r="S1255" s="19"/>
      <c r="T1255" s="34" t="str">
        <f aca="false">IF($R1255="","",IFERROR(INDEX(DriverCategory,MATCH($R1255,DriverList,0)),"BAU"))</f>
        <v/>
      </c>
      <c r="U1255" s="34" t="str">
        <f aca="false">IF($R1255="","",IFERROR(INDEX(DriverRank,MATCH($R1255,DriverList,0)),99))</f>
        <v/>
      </c>
      <c r="V1255" s="35" t="n">
        <f aca="false">IF($H1255="",0,IFERROR(INDEX(LevelBasic,MATCH($H1255,LevelList,0))+INDEX(LevelHousing,MATCH($H1255,LevelList,0))+INDEX(LevelTransport,MATCH($H1255,LevelList,0))+INDEX(LevelBasic,MATCH($H1255,LevelList,0))*INDEX(LevelBonus,MATCH($H1255,LevelList,0))+(INDEX(LevelBasic,MATCH($H1255,LevelList,0))+INDEX(LevelHousing,MATCH($H1255,LevelList,0)))*GosiSaudi,0))</f>
        <v>0</v>
      </c>
      <c r="W1255" s="35" t="n">
        <f aca="false">IFERROR(INDEX(LevelOneOff,MATCH($H1255,LevelList,0)),0)</f>
        <v>0</v>
      </c>
      <c r="X1255" s="35" t="str">
        <f aca="false">IF($G1255="","",$V1255*N($L1255))</f>
        <v/>
      </c>
      <c r="Y1255" s="35" t="str">
        <f aca="false">IF($G1255="","",$V1255*(N($M1255)*1+N($N1255)*0.75+N($O1255)*0.5+N($P1255)*0.25)+$W1255*N($L1255))</f>
        <v/>
      </c>
      <c r="Z1255" s="35" t="str">
        <f aca="false">IF($G1255="","",$U1255*1000000+ROW())</f>
        <v/>
      </c>
      <c r="AA1255" s="36" t="str">
        <f aca="false">IF($G1255="","",MID(IF($C1255="",", no division","")&amp;IF($E1255="",", no unit","")&amp;IF($H1255="",", no career level","")&amp;IF(N($L1255)&lt;=0,", no quarter split","")&amp;IF($R1255="",", no driver","")&amp;IF(AND($H1255&lt;&gt;"",COUNTIF(CareerLevels,$H1255)=0),", a career level that is not on the ladder","")&amp;IF(AND($R1255&lt;&gt;"",COUNTIF(DriverList,$R1255)=0),", a driver that is not on the list","")&amp;IF(ABS(N($L1255)-(N($M1255)+N($N1255)+N($O1255)+N($P1255)))&gt;0.001,", a total that does not match its quarters",""),3,300))</f>
        <v/>
      </c>
    </row>
    <row r="1256" customFormat="false" ht="15" hidden="false" customHeight="false" outlineLevel="0" collapsed="false">
      <c r="A1256" s="33" t="str">
        <f aca="false">IF($G1256="","","Legal Group")</f>
        <v/>
      </c>
      <c r="B1256" s="19"/>
      <c r="C1256" s="19"/>
      <c r="D1256" s="19"/>
      <c r="E1256" s="19"/>
      <c r="F1256" s="19"/>
      <c r="G1256" s="19"/>
      <c r="H1256" s="19"/>
      <c r="I1256" s="19"/>
      <c r="J1256" s="19"/>
      <c r="K1256" s="19"/>
      <c r="L1256" s="19"/>
      <c r="M1256" s="19"/>
      <c r="N1256" s="19"/>
      <c r="O1256" s="19"/>
      <c r="P1256" s="19"/>
      <c r="Q1256" s="19"/>
      <c r="R1256" s="19"/>
      <c r="S1256" s="19"/>
      <c r="T1256" s="34" t="str">
        <f aca="false">IF($R1256="","",IFERROR(INDEX(DriverCategory,MATCH($R1256,DriverList,0)),"BAU"))</f>
        <v/>
      </c>
      <c r="U1256" s="34" t="str">
        <f aca="false">IF($R1256="","",IFERROR(INDEX(DriverRank,MATCH($R1256,DriverList,0)),99))</f>
        <v/>
      </c>
      <c r="V1256" s="35" t="n">
        <f aca="false">IF($H1256="",0,IFERROR(INDEX(LevelBasic,MATCH($H1256,LevelList,0))+INDEX(LevelHousing,MATCH($H1256,LevelList,0))+INDEX(LevelTransport,MATCH($H1256,LevelList,0))+INDEX(LevelBasic,MATCH($H1256,LevelList,0))*INDEX(LevelBonus,MATCH($H1256,LevelList,0))+(INDEX(LevelBasic,MATCH($H1256,LevelList,0))+INDEX(LevelHousing,MATCH($H1256,LevelList,0)))*GosiSaudi,0))</f>
        <v>0</v>
      </c>
      <c r="W1256" s="35" t="n">
        <f aca="false">IFERROR(INDEX(LevelOneOff,MATCH($H1256,LevelList,0)),0)</f>
        <v>0</v>
      </c>
      <c r="X1256" s="35" t="str">
        <f aca="false">IF($G1256="","",$V1256*N($L1256))</f>
        <v/>
      </c>
      <c r="Y1256" s="35" t="str">
        <f aca="false">IF($G1256="","",$V1256*(N($M1256)*1+N($N1256)*0.75+N($O1256)*0.5+N($P1256)*0.25)+$W1256*N($L1256))</f>
        <v/>
      </c>
      <c r="Z1256" s="35" t="str">
        <f aca="false">IF($G1256="","",$U1256*1000000+ROW())</f>
        <v/>
      </c>
      <c r="AA1256" s="36" t="str">
        <f aca="false">IF($G1256="","",MID(IF($C1256="",", no division","")&amp;IF($E1256="",", no unit","")&amp;IF($H1256="",", no career level","")&amp;IF(N($L1256)&lt;=0,", no quarter split","")&amp;IF($R1256="",", no driver","")&amp;IF(AND($H1256&lt;&gt;"",COUNTIF(CareerLevels,$H1256)=0),", a career level that is not on the ladder","")&amp;IF(AND($R1256&lt;&gt;"",COUNTIF(DriverList,$R1256)=0),", a driver that is not on the list","")&amp;IF(ABS(N($L1256)-(N($M1256)+N($N1256)+N($O1256)+N($P1256)))&gt;0.001,", a total that does not match its quarters",""),3,300))</f>
        <v/>
      </c>
    </row>
    <row r="1257" customFormat="false" ht="15" hidden="false" customHeight="false" outlineLevel="0" collapsed="false">
      <c r="A1257" s="33" t="str">
        <f aca="false">IF($G1257="","","Legal Group")</f>
        <v/>
      </c>
      <c r="B1257" s="19"/>
      <c r="C1257" s="19"/>
      <c r="D1257" s="19"/>
      <c r="E1257" s="19"/>
      <c r="F1257" s="19"/>
      <c r="G1257" s="19"/>
      <c r="H1257" s="19"/>
      <c r="I1257" s="19"/>
      <c r="J1257" s="19"/>
      <c r="K1257" s="19"/>
      <c r="L1257" s="19"/>
      <c r="M1257" s="19"/>
      <c r="N1257" s="19"/>
      <c r="O1257" s="19"/>
      <c r="P1257" s="19"/>
      <c r="Q1257" s="19"/>
      <c r="R1257" s="19"/>
      <c r="S1257" s="19"/>
      <c r="T1257" s="34" t="str">
        <f aca="false">IF($R1257="","",IFERROR(INDEX(DriverCategory,MATCH($R1257,DriverList,0)),"BAU"))</f>
        <v/>
      </c>
      <c r="U1257" s="34" t="str">
        <f aca="false">IF($R1257="","",IFERROR(INDEX(DriverRank,MATCH($R1257,DriverList,0)),99))</f>
        <v/>
      </c>
      <c r="V1257" s="35" t="n">
        <f aca="false">IF($H1257="",0,IFERROR(INDEX(LevelBasic,MATCH($H1257,LevelList,0))+INDEX(LevelHousing,MATCH($H1257,LevelList,0))+INDEX(LevelTransport,MATCH($H1257,LevelList,0))+INDEX(LevelBasic,MATCH($H1257,LevelList,0))*INDEX(LevelBonus,MATCH($H1257,LevelList,0))+(INDEX(LevelBasic,MATCH($H1257,LevelList,0))+INDEX(LevelHousing,MATCH($H1257,LevelList,0)))*GosiSaudi,0))</f>
        <v>0</v>
      </c>
      <c r="W1257" s="35" t="n">
        <f aca="false">IFERROR(INDEX(LevelOneOff,MATCH($H1257,LevelList,0)),0)</f>
        <v>0</v>
      </c>
      <c r="X1257" s="35" t="str">
        <f aca="false">IF($G1257="","",$V1257*N($L1257))</f>
        <v/>
      </c>
      <c r="Y1257" s="35" t="str">
        <f aca="false">IF($G1257="","",$V1257*(N($M1257)*1+N($N1257)*0.75+N($O1257)*0.5+N($P1257)*0.25)+$W1257*N($L1257))</f>
        <v/>
      </c>
      <c r="Z1257" s="35" t="str">
        <f aca="false">IF($G1257="","",$U1257*1000000+ROW())</f>
        <v/>
      </c>
      <c r="AA1257" s="36" t="str">
        <f aca="false">IF($G1257="","",MID(IF($C1257="",", no division","")&amp;IF($E1257="",", no unit","")&amp;IF($H1257="",", no career level","")&amp;IF(N($L1257)&lt;=0,", no quarter split","")&amp;IF($R1257="",", no driver","")&amp;IF(AND($H1257&lt;&gt;"",COUNTIF(CareerLevels,$H1257)=0),", a career level that is not on the ladder","")&amp;IF(AND($R1257&lt;&gt;"",COUNTIF(DriverList,$R1257)=0),", a driver that is not on the list","")&amp;IF(ABS(N($L1257)-(N($M1257)+N($N1257)+N($O1257)+N($P1257)))&gt;0.001,", a total that does not match its quarters",""),3,300))</f>
        <v/>
      </c>
    </row>
    <row r="1258" customFormat="false" ht="15" hidden="false" customHeight="false" outlineLevel="0" collapsed="false">
      <c r="A1258" s="33" t="str">
        <f aca="false">IF($G1258="","","Legal Group")</f>
        <v/>
      </c>
      <c r="B1258" s="19"/>
      <c r="C1258" s="19"/>
      <c r="D1258" s="19"/>
      <c r="E1258" s="19"/>
      <c r="F1258" s="19"/>
      <c r="G1258" s="19"/>
      <c r="H1258" s="19"/>
      <c r="I1258" s="19"/>
      <c r="J1258" s="19"/>
      <c r="K1258" s="19"/>
      <c r="L1258" s="19"/>
      <c r="M1258" s="19"/>
      <c r="N1258" s="19"/>
      <c r="O1258" s="19"/>
      <c r="P1258" s="19"/>
      <c r="Q1258" s="19"/>
      <c r="R1258" s="19"/>
      <c r="S1258" s="19"/>
      <c r="T1258" s="34" t="str">
        <f aca="false">IF($R1258="","",IFERROR(INDEX(DriverCategory,MATCH($R1258,DriverList,0)),"BAU"))</f>
        <v/>
      </c>
      <c r="U1258" s="34" t="str">
        <f aca="false">IF($R1258="","",IFERROR(INDEX(DriverRank,MATCH($R1258,DriverList,0)),99))</f>
        <v/>
      </c>
      <c r="V1258" s="35" t="n">
        <f aca="false">IF($H1258="",0,IFERROR(INDEX(LevelBasic,MATCH($H1258,LevelList,0))+INDEX(LevelHousing,MATCH($H1258,LevelList,0))+INDEX(LevelTransport,MATCH($H1258,LevelList,0))+INDEX(LevelBasic,MATCH($H1258,LevelList,0))*INDEX(LevelBonus,MATCH($H1258,LevelList,0))+(INDEX(LevelBasic,MATCH($H1258,LevelList,0))+INDEX(LevelHousing,MATCH($H1258,LevelList,0)))*GosiSaudi,0))</f>
        <v>0</v>
      </c>
      <c r="W1258" s="35" t="n">
        <f aca="false">IFERROR(INDEX(LevelOneOff,MATCH($H1258,LevelList,0)),0)</f>
        <v>0</v>
      </c>
      <c r="X1258" s="35" t="str">
        <f aca="false">IF($G1258="","",$V1258*N($L1258))</f>
        <v/>
      </c>
      <c r="Y1258" s="35" t="str">
        <f aca="false">IF($G1258="","",$V1258*(N($M1258)*1+N($N1258)*0.75+N($O1258)*0.5+N($P1258)*0.25)+$W1258*N($L1258))</f>
        <v/>
      </c>
      <c r="Z1258" s="35" t="str">
        <f aca="false">IF($G1258="","",$U1258*1000000+ROW())</f>
        <v/>
      </c>
      <c r="AA1258" s="36" t="str">
        <f aca="false">IF($G1258="","",MID(IF($C1258="",", no division","")&amp;IF($E1258="",", no unit","")&amp;IF($H1258="",", no career level","")&amp;IF(N($L1258)&lt;=0,", no quarter split","")&amp;IF($R1258="",", no driver","")&amp;IF(AND($H1258&lt;&gt;"",COUNTIF(CareerLevels,$H1258)=0),", a career level that is not on the ladder","")&amp;IF(AND($R1258&lt;&gt;"",COUNTIF(DriverList,$R1258)=0),", a driver that is not on the list","")&amp;IF(ABS(N($L1258)-(N($M1258)+N($N1258)+N($O1258)+N($P1258)))&gt;0.001,", a total that does not match its quarters",""),3,300))</f>
        <v/>
      </c>
    </row>
    <row r="1259" customFormat="false" ht="15" hidden="false" customHeight="false" outlineLevel="0" collapsed="false">
      <c r="A1259" s="33" t="str">
        <f aca="false">IF($G1259="","","Legal Group")</f>
        <v/>
      </c>
      <c r="B1259" s="19"/>
      <c r="C1259" s="19"/>
      <c r="D1259" s="19"/>
      <c r="E1259" s="19"/>
      <c r="F1259" s="19"/>
      <c r="G1259" s="19"/>
      <c r="H1259" s="19"/>
      <c r="I1259" s="19"/>
      <c r="J1259" s="19"/>
      <c r="K1259" s="19"/>
      <c r="L1259" s="19"/>
      <c r="M1259" s="19"/>
      <c r="N1259" s="19"/>
      <c r="O1259" s="19"/>
      <c r="P1259" s="19"/>
      <c r="Q1259" s="19"/>
      <c r="R1259" s="19"/>
      <c r="S1259" s="19"/>
      <c r="T1259" s="34" t="str">
        <f aca="false">IF($R1259="","",IFERROR(INDEX(DriverCategory,MATCH($R1259,DriverList,0)),"BAU"))</f>
        <v/>
      </c>
      <c r="U1259" s="34" t="str">
        <f aca="false">IF($R1259="","",IFERROR(INDEX(DriverRank,MATCH($R1259,DriverList,0)),99))</f>
        <v/>
      </c>
      <c r="V1259" s="35" t="n">
        <f aca="false">IF($H1259="",0,IFERROR(INDEX(LevelBasic,MATCH($H1259,LevelList,0))+INDEX(LevelHousing,MATCH($H1259,LevelList,0))+INDEX(LevelTransport,MATCH($H1259,LevelList,0))+INDEX(LevelBasic,MATCH($H1259,LevelList,0))*INDEX(LevelBonus,MATCH($H1259,LevelList,0))+(INDEX(LevelBasic,MATCH($H1259,LevelList,0))+INDEX(LevelHousing,MATCH($H1259,LevelList,0)))*GosiSaudi,0))</f>
        <v>0</v>
      </c>
      <c r="W1259" s="35" t="n">
        <f aca="false">IFERROR(INDEX(LevelOneOff,MATCH($H1259,LevelList,0)),0)</f>
        <v>0</v>
      </c>
      <c r="X1259" s="35" t="str">
        <f aca="false">IF($G1259="","",$V1259*N($L1259))</f>
        <v/>
      </c>
      <c r="Y1259" s="35" t="str">
        <f aca="false">IF($G1259="","",$V1259*(N($M1259)*1+N($N1259)*0.75+N($O1259)*0.5+N($P1259)*0.25)+$W1259*N($L1259))</f>
        <v/>
      </c>
      <c r="Z1259" s="35" t="str">
        <f aca="false">IF($G1259="","",$U1259*1000000+ROW())</f>
        <v/>
      </c>
      <c r="AA1259" s="36" t="str">
        <f aca="false">IF($G1259="","",MID(IF($C1259="",", no division","")&amp;IF($E1259="",", no unit","")&amp;IF($H1259="",", no career level","")&amp;IF(N($L1259)&lt;=0,", no quarter split","")&amp;IF($R1259="",", no driver","")&amp;IF(AND($H1259&lt;&gt;"",COUNTIF(CareerLevels,$H1259)=0),", a career level that is not on the ladder","")&amp;IF(AND($R1259&lt;&gt;"",COUNTIF(DriverList,$R1259)=0),", a driver that is not on the list","")&amp;IF(ABS(N($L1259)-(N($M1259)+N($N1259)+N($O1259)+N($P1259)))&gt;0.001,", a total that does not match its quarters",""),3,300))</f>
        <v/>
      </c>
    </row>
    <row r="1260" customFormat="false" ht="15" hidden="false" customHeight="false" outlineLevel="0" collapsed="false">
      <c r="A1260" s="33" t="str">
        <f aca="false">IF($G1260="","","Legal Group")</f>
        <v/>
      </c>
      <c r="B1260" s="19"/>
      <c r="C1260" s="19"/>
      <c r="D1260" s="19"/>
      <c r="E1260" s="19"/>
      <c r="F1260" s="19"/>
      <c r="G1260" s="19"/>
      <c r="H1260" s="19"/>
      <c r="I1260" s="19"/>
      <c r="J1260" s="19"/>
      <c r="K1260" s="19"/>
      <c r="L1260" s="19"/>
      <c r="M1260" s="19"/>
      <c r="N1260" s="19"/>
      <c r="O1260" s="19"/>
      <c r="P1260" s="19"/>
      <c r="Q1260" s="19"/>
      <c r="R1260" s="19"/>
      <c r="S1260" s="19"/>
      <c r="T1260" s="34" t="str">
        <f aca="false">IF($R1260="","",IFERROR(INDEX(DriverCategory,MATCH($R1260,DriverList,0)),"BAU"))</f>
        <v/>
      </c>
      <c r="U1260" s="34" t="str">
        <f aca="false">IF($R1260="","",IFERROR(INDEX(DriverRank,MATCH($R1260,DriverList,0)),99))</f>
        <v/>
      </c>
      <c r="V1260" s="35" t="n">
        <f aca="false">IF($H1260="",0,IFERROR(INDEX(LevelBasic,MATCH($H1260,LevelList,0))+INDEX(LevelHousing,MATCH($H1260,LevelList,0))+INDEX(LevelTransport,MATCH($H1260,LevelList,0))+INDEX(LevelBasic,MATCH($H1260,LevelList,0))*INDEX(LevelBonus,MATCH($H1260,LevelList,0))+(INDEX(LevelBasic,MATCH($H1260,LevelList,0))+INDEX(LevelHousing,MATCH($H1260,LevelList,0)))*GosiSaudi,0))</f>
        <v>0</v>
      </c>
      <c r="W1260" s="35" t="n">
        <f aca="false">IFERROR(INDEX(LevelOneOff,MATCH($H1260,LevelList,0)),0)</f>
        <v>0</v>
      </c>
      <c r="X1260" s="35" t="str">
        <f aca="false">IF($G1260="","",$V1260*N($L1260))</f>
        <v/>
      </c>
      <c r="Y1260" s="35" t="str">
        <f aca="false">IF($G1260="","",$V1260*(N($M1260)*1+N($N1260)*0.75+N($O1260)*0.5+N($P1260)*0.25)+$W1260*N($L1260))</f>
        <v/>
      </c>
      <c r="Z1260" s="35" t="str">
        <f aca="false">IF($G1260="","",$U1260*1000000+ROW())</f>
        <v/>
      </c>
      <c r="AA1260" s="36" t="str">
        <f aca="false">IF($G1260="","",MID(IF($C1260="",", no division","")&amp;IF($E1260="",", no unit","")&amp;IF($H1260="",", no career level","")&amp;IF(N($L1260)&lt;=0,", no quarter split","")&amp;IF($R1260="",", no driver","")&amp;IF(AND($H1260&lt;&gt;"",COUNTIF(CareerLevels,$H1260)=0),", a career level that is not on the ladder","")&amp;IF(AND($R1260&lt;&gt;"",COUNTIF(DriverList,$R1260)=0),", a driver that is not on the list","")&amp;IF(ABS(N($L1260)-(N($M1260)+N($N1260)+N($O1260)+N($P1260)))&gt;0.001,", a total that does not match its quarters",""),3,300))</f>
        <v/>
      </c>
    </row>
    <row r="1261" customFormat="false" ht="15" hidden="false" customHeight="false" outlineLevel="0" collapsed="false">
      <c r="A1261" s="33" t="str">
        <f aca="false">IF($G1261="","","Legal Group")</f>
        <v/>
      </c>
      <c r="B1261" s="19"/>
      <c r="C1261" s="19"/>
      <c r="D1261" s="19"/>
      <c r="E1261" s="19"/>
      <c r="F1261" s="19"/>
      <c r="G1261" s="19"/>
      <c r="H1261" s="19"/>
      <c r="I1261" s="19"/>
      <c r="J1261" s="19"/>
      <c r="K1261" s="19"/>
      <c r="L1261" s="19"/>
      <c r="M1261" s="19"/>
      <c r="N1261" s="19"/>
      <c r="O1261" s="19"/>
      <c r="P1261" s="19"/>
      <c r="Q1261" s="19"/>
      <c r="R1261" s="19"/>
      <c r="S1261" s="19"/>
      <c r="T1261" s="34" t="str">
        <f aca="false">IF($R1261="","",IFERROR(INDEX(DriverCategory,MATCH($R1261,DriverList,0)),"BAU"))</f>
        <v/>
      </c>
      <c r="U1261" s="34" t="str">
        <f aca="false">IF($R1261="","",IFERROR(INDEX(DriverRank,MATCH($R1261,DriverList,0)),99))</f>
        <v/>
      </c>
      <c r="V1261" s="35" t="n">
        <f aca="false">IF($H1261="",0,IFERROR(INDEX(LevelBasic,MATCH($H1261,LevelList,0))+INDEX(LevelHousing,MATCH($H1261,LevelList,0))+INDEX(LevelTransport,MATCH($H1261,LevelList,0))+INDEX(LevelBasic,MATCH($H1261,LevelList,0))*INDEX(LevelBonus,MATCH($H1261,LevelList,0))+(INDEX(LevelBasic,MATCH($H1261,LevelList,0))+INDEX(LevelHousing,MATCH($H1261,LevelList,0)))*GosiSaudi,0))</f>
        <v>0</v>
      </c>
      <c r="W1261" s="35" t="n">
        <f aca="false">IFERROR(INDEX(LevelOneOff,MATCH($H1261,LevelList,0)),0)</f>
        <v>0</v>
      </c>
      <c r="X1261" s="35" t="str">
        <f aca="false">IF($G1261="","",$V1261*N($L1261))</f>
        <v/>
      </c>
      <c r="Y1261" s="35" t="str">
        <f aca="false">IF($G1261="","",$V1261*(N($M1261)*1+N($N1261)*0.75+N($O1261)*0.5+N($P1261)*0.25)+$W1261*N($L1261))</f>
        <v/>
      </c>
      <c r="Z1261" s="35" t="str">
        <f aca="false">IF($G1261="","",$U1261*1000000+ROW())</f>
        <v/>
      </c>
      <c r="AA1261" s="36" t="str">
        <f aca="false">IF($G1261="","",MID(IF($C1261="",", no division","")&amp;IF($E1261="",", no unit","")&amp;IF($H1261="",", no career level","")&amp;IF(N($L1261)&lt;=0,", no quarter split","")&amp;IF($R1261="",", no driver","")&amp;IF(AND($H1261&lt;&gt;"",COUNTIF(CareerLevels,$H1261)=0),", a career level that is not on the ladder","")&amp;IF(AND($R1261&lt;&gt;"",COUNTIF(DriverList,$R1261)=0),", a driver that is not on the list","")&amp;IF(ABS(N($L1261)-(N($M1261)+N($N1261)+N($O1261)+N($P1261)))&gt;0.001,", a total that does not match its quarters",""),3,300))</f>
        <v/>
      </c>
    </row>
    <row r="1262" customFormat="false" ht="15" hidden="false" customHeight="false" outlineLevel="0" collapsed="false">
      <c r="A1262" s="33" t="str">
        <f aca="false">IF($G1262="","","Legal Group")</f>
        <v/>
      </c>
      <c r="B1262" s="19"/>
      <c r="C1262" s="19"/>
      <c r="D1262" s="19"/>
      <c r="E1262" s="19"/>
      <c r="F1262" s="19"/>
      <c r="G1262" s="19"/>
      <c r="H1262" s="19"/>
      <c r="I1262" s="19"/>
      <c r="J1262" s="19"/>
      <c r="K1262" s="19"/>
      <c r="L1262" s="19"/>
      <c r="M1262" s="19"/>
      <c r="N1262" s="19"/>
      <c r="O1262" s="19"/>
      <c r="P1262" s="19"/>
      <c r="Q1262" s="19"/>
      <c r="R1262" s="19"/>
      <c r="S1262" s="19"/>
      <c r="T1262" s="34" t="str">
        <f aca="false">IF($R1262="","",IFERROR(INDEX(DriverCategory,MATCH($R1262,DriverList,0)),"BAU"))</f>
        <v/>
      </c>
      <c r="U1262" s="34" t="str">
        <f aca="false">IF($R1262="","",IFERROR(INDEX(DriverRank,MATCH($R1262,DriverList,0)),99))</f>
        <v/>
      </c>
      <c r="V1262" s="35" t="n">
        <f aca="false">IF($H1262="",0,IFERROR(INDEX(LevelBasic,MATCH($H1262,LevelList,0))+INDEX(LevelHousing,MATCH($H1262,LevelList,0))+INDEX(LevelTransport,MATCH($H1262,LevelList,0))+INDEX(LevelBasic,MATCH($H1262,LevelList,0))*INDEX(LevelBonus,MATCH($H1262,LevelList,0))+(INDEX(LevelBasic,MATCH($H1262,LevelList,0))+INDEX(LevelHousing,MATCH($H1262,LevelList,0)))*GosiSaudi,0))</f>
        <v>0</v>
      </c>
      <c r="W1262" s="35" t="n">
        <f aca="false">IFERROR(INDEX(LevelOneOff,MATCH($H1262,LevelList,0)),0)</f>
        <v>0</v>
      </c>
      <c r="X1262" s="35" t="str">
        <f aca="false">IF($G1262="","",$V1262*N($L1262))</f>
        <v/>
      </c>
      <c r="Y1262" s="35" t="str">
        <f aca="false">IF($G1262="","",$V1262*(N($M1262)*1+N($N1262)*0.75+N($O1262)*0.5+N($P1262)*0.25)+$W1262*N($L1262))</f>
        <v/>
      </c>
      <c r="Z1262" s="35" t="str">
        <f aca="false">IF($G1262="","",$U1262*1000000+ROW())</f>
        <v/>
      </c>
      <c r="AA1262" s="36" t="str">
        <f aca="false">IF($G1262="","",MID(IF($C1262="",", no division","")&amp;IF($E1262="",", no unit","")&amp;IF($H1262="",", no career level","")&amp;IF(N($L1262)&lt;=0,", no quarter split","")&amp;IF($R1262="",", no driver","")&amp;IF(AND($H1262&lt;&gt;"",COUNTIF(CareerLevels,$H1262)=0),", a career level that is not on the ladder","")&amp;IF(AND($R1262&lt;&gt;"",COUNTIF(DriverList,$R1262)=0),", a driver that is not on the list","")&amp;IF(ABS(N($L1262)-(N($M1262)+N($N1262)+N($O1262)+N($P1262)))&gt;0.001,", a total that does not match its quarters",""),3,300))</f>
        <v/>
      </c>
    </row>
    <row r="1263" customFormat="false" ht="15" hidden="false" customHeight="false" outlineLevel="0" collapsed="false">
      <c r="A1263" s="33" t="str">
        <f aca="false">IF($G1263="","","Legal Group")</f>
        <v/>
      </c>
      <c r="B1263" s="19"/>
      <c r="C1263" s="19"/>
      <c r="D1263" s="19"/>
      <c r="E1263" s="19"/>
      <c r="F1263" s="19"/>
      <c r="G1263" s="19"/>
      <c r="H1263" s="19"/>
      <c r="I1263" s="19"/>
      <c r="J1263" s="19"/>
      <c r="K1263" s="19"/>
      <c r="L1263" s="19"/>
      <c r="M1263" s="19"/>
      <c r="N1263" s="19"/>
      <c r="O1263" s="19"/>
      <c r="P1263" s="19"/>
      <c r="Q1263" s="19"/>
      <c r="R1263" s="19"/>
      <c r="S1263" s="19"/>
      <c r="T1263" s="34" t="str">
        <f aca="false">IF($R1263="","",IFERROR(INDEX(DriverCategory,MATCH($R1263,DriverList,0)),"BAU"))</f>
        <v/>
      </c>
      <c r="U1263" s="34" t="str">
        <f aca="false">IF($R1263="","",IFERROR(INDEX(DriverRank,MATCH($R1263,DriverList,0)),99))</f>
        <v/>
      </c>
      <c r="V1263" s="35" t="n">
        <f aca="false">IF($H1263="",0,IFERROR(INDEX(LevelBasic,MATCH($H1263,LevelList,0))+INDEX(LevelHousing,MATCH($H1263,LevelList,0))+INDEX(LevelTransport,MATCH($H1263,LevelList,0))+INDEX(LevelBasic,MATCH($H1263,LevelList,0))*INDEX(LevelBonus,MATCH($H1263,LevelList,0))+(INDEX(LevelBasic,MATCH($H1263,LevelList,0))+INDEX(LevelHousing,MATCH($H1263,LevelList,0)))*GosiSaudi,0))</f>
        <v>0</v>
      </c>
      <c r="W1263" s="35" t="n">
        <f aca="false">IFERROR(INDEX(LevelOneOff,MATCH($H1263,LevelList,0)),0)</f>
        <v>0</v>
      </c>
      <c r="X1263" s="35" t="str">
        <f aca="false">IF($G1263="","",$V1263*N($L1263))</f>
        <v/>
      </c>
      <c r="Y1263" s="35" t="str">
        <f aca="false">IF($G1263="","",$V1263*(N($M1263)*1+N($N1263)*0.75+N($O1263)*0.5+N($P1263)*0.25)+$W1263*N($L1263))</f>
        <v/>
      </c>
      <c r="Z1263" s="35" t="str">
        <f aca="false">IF($G1263="","",$U1263*1000000+ROW())</f>
        <v/>
      </c>
      <c r="AA1263" s="36" t="str">
        <f aca="false">IF($G1263="","",MID(IF($C1263="",", no division","")&amp;IF($E1263="",", no unit","")&amp;IF($H1263="",", no career level","")&amp;IF(N($L1263)&lt;=0,", no quarter split","")&amp;IF($R1263="",", no driver","")&amp;IF(AND($H1263&lt;&gt;"",COUNTIF(CareerLevels,$H1263)=0),", a career level that is not on the ladder","")&amp;IF(AND($R1263&lt;&gt;"",COUNTIF(DriverList,$R1263)=0),", a driver that is not on the list","")&amp;IF(ABS(N($L1263)-(N($M1263)+N($N1263)+N($O1263)+N($P1263)))&gt;0.001,", a total that does not match its quarters",""),3,300))</f>
        <v/>
      </c>
    </row>
    <row r="1264" customFormat="false" ht="15" hidden="false" customHeight="false" outlineLevel="0" collapsed="false">
      <c r="A1264" s="33" t="str">
        <f aca="false">IF($G1264="","","Legal Group")</f>
        <v/>
      </c>
      <c r="B1264" s="19"/>
      <c r="C1264" s="19"/>
      <c r="D1264" s="19"/>
      <c r="E1264" s="19"/>
      <c r="F1264" s="19"/>
      <c r="G1264" s="19"/>
      <c r="H1264" s="19"/>
      <c r="I1264" s="19"/>
      <c r="J1264" s="19"/>
      <c r="K1264" s="19"/>
      <c r="L1264" s="19"/>
      <c r="M1264" s="19"/>
      <c r="N1264" s="19"/>
      <c r="O1264" s="19"/>
      <c r="P1264" s="19"/>
      <c r="Q1264" s="19"/>
      <c r="R1264" s="19"/>
      <c r="S1264" s="19"/>
      <c r="T1264" s="34" t="str">
        <f aca="false">IF($R1264="","",IFERROR(INDEX(DriverCategory,MATCH($R1264,DriverList,0)),"BAU"))</f>
        <v/>
      </c>
      <c r="U1264" s="34" t="str">
        <f aca="false">IF($R1264="","",IFERROR(INDEX(DriverRank,MATCH($R1264,DriverList,0)),99))</f>
        <v/>
      </c>
      <c r="V1264" s="35" t="n">
        <f aca="false">IF($H1264="",0,IFERROR(INDEX(LevelBasic,MATCH($H1264,LevelList,0))+INDEX(LevelHousing,MATCH($H1264,LevelList,0))+INDEX(LevelTransport,MATCH($H1264,LevelList,0))+INDEX(LevelBasic,MATCH($H1264,LevelList,0))*INDEX(LevelBonus,MATCH($H1264,LevelList,0))+(INDEX(LevelBasic,MATCH($H1264,LevelList,0))+INDEX(LevelHousing,MATCH($H1264,LevelList,0)))*GosiSaudi,0))</f>
        <v>0</v>
      </c>
      <c r="W1264" s="35" t="n">
        <f aca="false">IFERROR(INDEX(LevelOneOff,MATCH($H1264,LevelList,0)),0)</f>
        <v>0</v>
      </c>
      <c r="X1264" s="35" t="str">
        <f aca="false">IF($G1264="","",$V1264*N($L1264))</f>
        <v/>
      </c>
      <c r="Y1264" s="35" t="str">
        <f aca="false">IF($G1264="","",$V1264*(N($M1264)*1+N($N1264)*0.75+N($O1264)*0.5+N($P1264)*0.25)+$W1264*N($L1264))</f>
        <v/>
      </c>
      <c r="Z1264" s="35" t="str">
        <f aca="false">IF($G1264="","",$U1264*1000000+ROW())</f>
        <v/>
      </c>
      <c r="AA1264" s="36" t="str">
        <f aca="false">IF($G1264="","",MID(IF($C1264="",", no division","")&amp;IF($E1264="",", no unit","")&amp;IF($H1264="",", no career level","")&amp;IF(N($L1264)&lt;=0,", no quarter split","")&amp;IF($R1264="",", no driver","")&amp;IF(AND($H1264&lt;&gt;"",COUNTIF(CareerLevels,$H1264)=0),", a career level that is not on the ladder","")&amp;IF(AND($R1264&lt;&gt;"",COUNTIF(DriverList,$R1264)=0),", a driver that is not on the list","")&amp;IF(ABS(N($L1264)-(N($M1264)+N($N1264)+N($O1264)+N($P1264)))&gt;0.001,", a total that does not match its quarters",""),3,300))</f>
        <v/>
      </c>
    </row>
    <row r="1265" customFormat="false" ht="15" hidden="false" customHeight="false" outlineLevel="0" collapsed="false">
      <c r="A1265" s="33" t="str">
        <f aca="false">IF($G1265="","","Legal Group")</f>
        <v/>
      </c>
      <c r="B1265" s="19"/>
      <c r="C1265" s="19"/>
      <c r="D1265" s="19"/>
      <c r="E1265" s="19"/>
      <c r="F1265" s="19"/>
      <c r="G1265" s="19"/>
      <c r="H1265" s="19"/>
      <c r="I1265" s="19"/>
      <c r="J1265" s="19"/>
      <c r="K1265" s="19"/>
      <c r="L1265" s="19"/>
      <c r="M1265" s="19"/>
      <c r="N1265" s="19"/>
      <c r="O1265" s="19"/>
      <c r="P1265" s="19"/>
      <c r="Q1265" s="19"/>
      <c r="R1265" s="19"/>
      <c r="S1265" s="19"/>
      <c r="T1265" s="34" t="str">
        <f aca="false">IF($R1265="","",IFERROR(INDEX(DriverCategory,MATCH($R1265,DriverList,0)),"BAU"))</f>
        <v/>
      </c>
      <c r="U1265" s="34" t="str">
        <f aca="false">IF($R1265="","",IFERROR(INDEX(DriverRank,MATCH($R1265,DriverList,0)),99))</f>
        <v/>
      </c>
      <c r="V1265" s="35" t="n">
        <f aca="false">IF($H1265="",0,IFERROR(INDEX(LevelBasic,MATCH($H1265,LevelList,0))+INDEX(LevelHousing,MATCH($H1265,LevelList,0))+INDEX(LevelTransport,MATCH($H1265,LevelList,0))+INDEX(LevelBasic,MATCH($H1265,LevelList,0))*INDEX(LevelBonus,MATCH($H1265,LevelList,0))+(INDEX(LevelBasic,MATCH($H1265,LevelList,0))+INDEX(LevelHousing,MATCH($H1265,LevelList,0)))*GosiSaudi,0))</f>
        <v>0</v>
      </c>
      <c r="W1265" s="35" t="n">
        <f aca="false">IFERROR(INDEX(LevelOneOff,MATCH($H1265,LevelList,0)),0)</f>
        <v>0</v>
      </c>
      <c r="X1265" s="35" t="str">
        <f aca="false">IF($G1265="","",$V1265*N($L1265))</f>
        <v/>
      </c>
      <c r="Y1265" s="35" t="str">
        <f aca="false">IF($G1265="","",$V1265*(N($M1265)*1+N($N1265)*0.75+N($O1265)*0.5+N($P1265)*0.25)+$W1265*N($L1265))</f>
        <v/>
      </c>
      <c r="Z1265" s="35" t="str">
        <f aca="false">IF($G1265="","",$U1265*1000000+ROW())</f>
        <v/>
      </c>
      <c r="AA1265" s="36" t="str">
        <f aca="false">IF($G1265="","",MID(IF($C1265="",", no division","")&amp;IF($E1265="",", no unit","")&amp;IF($H1265="",", no career level","")&amp;IF(N($L1265)&lt;=0,", no quarter split","")&amp;IF($R1265="",", no driver","")&amp;IF(AND($H1265&lt;&gt;"",COUNTIF(CareerLevels,$H1265)=0),", a career level that is not on the ladder","")&amp;IF(AND($R1265&lt;&gt;"",COUNTIF(DriverList,$R1265)=0),", a driver that is not on the list","")&amp;IF(ABS(N($L1265)-(N($M1265)+N($N1265)+N($O1265)+N($P1265)))&gt;0.001,", a total that does not match its quarters",""),3,300))</f>
        <v/>
      </c>
    </row>
    <row r="1266" customFormat="false" ht="15" hidden="false" customHeight="false" outlineLevel="0" collapsed="false">
      <c r="A1266" s="33" t="str">
        <f aca="false">IF($G1266="","","Legal Group")</f>
        <v/>
      </c>
      <c r="B1266" s="19"/>
      <c r="C1266" s="19"/>
      <c r="D1266" s="19"/>
      <c r="E1266" s="19"/>
      <c r="F1266" s="19"/>
      <c r="G1266" s="19"/>
      <c r="H1266" s="19"/>
      <c r="I1266" s="19"/>
      <c r="J1266" s="19"/>
      <c r="K1266" s="19"/>
      <c r="L1266" s="19"/>
      <c r="M1266" s="19"/>
      <c r="N1266" s="19"/>
      <c r="O1266" s="19"/>
      <c r="P1266" s="19"/>
      <c r="Q1266" s="19"/>
      <c r="R1266" s="19"/>
      <c r="S1266" s="19"/>
      <c r="T1266" s="34" t="str">
        <f aca="false">IF($R1266="","",IFERROR(INDEX(DriverCategory,MATCH($R1266,DriverList,0)),"BAU"))</f>
        <v/>
      </c>
      <c r="U1266" s="34" t="str">
        <f aca="false">IF($R1266="","",IFERROR(INDEX(DriverRank,MATCH($R1266,DriverList,0)),99))</f>
        <v/>
      </c>
      <c r="V1266" s="35" t="n">
        <f aca="false">IF($H1266="",0,IFERROR(INDEX(LevelBasic,MATCH($H1266,LevelList,0))+INDEX(LevelHousing,MATCH($H1266,LevelList,0))+INDEX(LevelTransport,MATCH($H1266,LevelList,0))+INDEX(LevelBasic,MATCH($H1266,LevelList,0))*INDEX(LevelBonus,MATCH($H1266,LevelList,0))+(INDEX(LevelBasic,MATCH($H1266,LevelList,0))+INDEX(LevelHousing,MATCH($H1266,LevelList,0)))*GosiSaudi,0))</f>
        <v>0</v>
      </c>
      <c r="W1266" s="35" t="n">
        <f aca="false">IFERROR(INDEX(LevelOneOff,MATCH($H1266,LevelList,0)),0)</f>
        <v>0</v>
      </c>
      <c r="X1266" s="35" t="str">
        <f aca="false">IF($G1266="","",$V1266*N($L1266))</f>
        <v/>
      </c>
      <c r="Y1266" s="35" t="str">
        <f aca="false">IF($G1266="","",$V1266*(N($M1266)*1+N($N1266)*0.75+N($O1266)*0.5+N($P1266)*0.25)+$W1266*N($L1266))</f>
        <v/>
      </c>
      <c r="Z1266" s="35" t="str">
        <f aca="false">IF($G1266="","",$U1266*1000000+ROW())</f>
        <v/>
      </c>
      <c r="AA1266" s="36" t="str">
        <f aca="false">IF($G1266="","",MID(IF($C1266="",", no division","")&amp;IF($E1266="",", no unit","")&amp;IF($H1266="",", no career level","")&amp;IF(N($L1266)&lt;=0,", no quarter split","")&amp;IF($R1266="",", no driver","")&amp;IF(AND($H1266&lt;&gt;"",COUNTIF(CareerLevels,$H1266)=0),", a career level that is not on the ladder","")&amp;IF(AND($R1266&lt;&gt;"",COUNTIF(DriverList,$R1266)=0),", a driver that is not on the list","")&amp;IF(ABS(N($L1266)-(N($M1266)+N($N1266)+N($O1266)+N($P1266)))&gt;0.001,", a total that does not match its quarters",""),3,300))</f>
        <v/>
      </c>
    </row>
    <row r="1267" customFormat="false" ht="15" hidden="false" customHeight="false" outlineLevel="0" collapsed="false">
      <c r="A1267" s="33" t="str">
        <f aca="false">IF($G1267="","","Legal Group")</f>
        <v/>
      </c>
      <c r="B1267" s="19"/>
      <c r="C1267" s="19"/>
      <c r="D1267" s="19"/>
      <c r="E1267" s="19"/>
      <c r="F1267" s="19"/>
      <c r="G1267" s="19"/>
      <c r="H1267" s="19"/>
      <c r="I1267" s="19"/>
      <c r="J1267" s="19"/>
      <c r="K1267" s="19"/>
      <c r="L1267" s="19"/>
      <c r="M1267" s="19"/>
      <c r="N1267" s="19"/>
      <c r="O1267" s="19"/>
      <c r="P1267" s="19"/>
      <c r="Q1267" s="19"/>
      <c r="R1267" s="19"/>
      <c r="S1267" s="19"/>
      <c r="T1267" s="34" t="str">
        <f aca="false">IF($R1267="","",IFERROR(INDEX(DriverCategory,MATCH($R1267,DriverList,0)),"BAU"))</f>
        <v/>
      </c>
      <c r="U1267" s="34" t="str">
        <f aca="false">IF($R1267="","",IFERROR(INDEX(DriverRank,MATCH($R1267,DriverList,0)),99))</f>
        <v/>
      </c>
      <c r="V1267" s="35" t="n">
        <f aca="false">IF($H1267="",0,IFERROR(INDEX(LevelBasic,MATCH($H1267,LevelList,0))+INDEX(LevelHousing,MATCH($H1267,LevelList,0))+INDEX(LevelTransport,MATCH($H1267,LevelList,0))+INDEX(LevelBasic,MATCH($H1267,LevelList,0))*INDEX(LevelBonus,MATCH($H1267,LevelList,0))+(INDEX(LevelBasic,MATCH($H1267,LevelList,0))+INDEX(LevelHousing,MATCH($H1267,LevelList,0)))*GosiSaudi,0))</f>
        <v>0</v>
      </c>
      <c r="W1267" s="35" t="n">
        <f aca="false">IFERROR(INDEX(LevelOneOff,MATCH($H1267,LevelList,0)),0)</f>
        <v>0</v>
      </c>
      <c r="X1267" s="35" t="str">
        <f aca="false">IF($G1267="","",$V1267*N($L1267))</f>
        <v/>
      </c>
      <c r="Y1267" s="35" t="str">
        <f aca="false">IF($G1267="","",$V1267*(N($M1267)*1+N($N1267)*0.75+N($O1267)*0.5+N($P1267)*0.25)+$W1267*N($L1267))</f>
        <v/>
      </c>
      <c r="Z1267" s="35" t="str">
        <f aca="false">IF($G1267="","",$U1267*1000000+ROW())</f>
        <v/>
      </c>
      <c r="AA1267" s="36" t="str">
        <f aca="false">IF($G1267="","",MID(IF($C1267="",", no division","")&amp;IF($E1267="",", no unit","")&amp;IF($H1267="",", no career level","")&amp;IF(N($L1267)&lt;=0,", no quarter split","")&amp;IF($R1267="",", no driver","")&amp;IF(AND($H1267&lt;&gt;"",COUNTIF(CareerLevels,$H1267)=0),", a career level that is not on the ladder","")&amp;IF(AND($R1267&lt;&gt;"",COUNTIF(DriverList,$R1267)=0),", a driver that is not on the list","")&amp;IF(ABS(N($L1267)-(N($M1267)+N($N1267)+N($O1267)+N($P1267)))&gt;0.001,", a total that does not match its quarters",""),3,300))</f>
        <v/>
      </c>
    </row>
    <row r="1268" customFormat="false" ht="15" hidden="false" customHeight="false" outlineLevel="0" collapsed="false">
      <c r="A1268" s="33" t="str">
        <f aca="false">IF($G1268="","","Legal Group")</f>
        <v/>
      </c>
      <c r="B1268" s="19"/>
      <c r="C1268" s="19"/>
      <c r="D1268" s="19"/>
      <c r="E1268" s="19"/>
      <c r="F1268" s="19"/>
      <c r="G1268" s="19"/>
      <c r="H1268" s="19"/>
      <c r="I1268" s="19"/>
      <c r="J1268" s="19"/>
      <c r="K1268" s="19"/>
      <c r="L1268" s="19"/>
      <c r="M1268" s="19"/>
      <c r="N1268" s="19"/>
      <c r="O1268" s="19"/>
      <c r="P1268" s="19"/>
      <c r="Q1268" s="19"/>
      <c r="R1268" s="19"/>
      <c r="S1268" s="19"/>
      <c r="T1268" s="34" t="str">
        <f aca="false">IF($R1268="","",IFERROR(INDEX(DriverCategory,MATCH($R1268,DriverList,0)),"BAU"))</f>
        <v/>
      </c>
      <c r="U1268" s="34" t="str">
        <f aca="false">IF($R1268="","",IFERROR(INDEX(DriverRank,MATCH($R1268,DriverList,0)),99))</f>
        <v/>
      </c>
      <c r="V1268" s="35" t="n">
        <f aca="false">IF($H1268="",0,IFERROR(INDEX(LevelBasic,MATCH($H1268,LevelList,0))+INDEX(LevelHousing,MATCH($H1268,LevelList,0))+INDEX(LevelTransport,MATCH($H1268,LevelList,0))+INDEX(LevelBasic,MATCH($H1268,LevelList,0))*INDEX(LevelBonus,MATCH($H1268,LevelList,0))+(INDEX(LevelBasic,MATCH($H1268,LevelList,0))+INDEX(LevelHousing,MATCH($H1268,LevelList,0)))*GosiSaudi,0))</f>
        <v>0</v>
      </c>
      <c r="W1268" s="35" t="n">
        <f aca="false">IFERROR(INDEX(LevelOneOff,MATCH($H1268,LevelList,0)),0)</f>
        <v>0</v>
      </c>
      <c r="X1268" s="35" t="str">
        <f aca="false">IF($G1268="","",$V1268*N($L1268))</f>
        <v/>
      </c>
      <c r="Y1268" s="35" t="str">
        <f aca="false">IF($G1268="","",$V1268*(N($M1268)*1+N($N1268)*0.75+N($O1268)*0.5+N($P1268)*0.25)+$W1268*N($L1268))</f>
        <v/>
      </c>
      <c r="Z1268" s="35" t="str">
        <f aca="false">IF($G1268="","",$U1268*1000000+ROW())</f>
        <v/>
      </c>
      <c r="AA1268" s="36" t="str">
        <f aca="false">IF($G1268="","",MID(IF($C1268="",", no division","")&amp;IF($E1268="",", no unit","")&amp;IF($H1268="",", no career level","")&amp;IF(N($L1268)&lt;=0,", no quarter split","")&amp;IF($R1268="",", no driver","")&amp;IF(AND($H1268&lt;&gt;"",COUNTIF(CareerLevels,$H1268)=0),", a career level that is not on the ladder","")&amp;IF(AND($R1268&lt;&gt;"",COUNTIF(DriverList,$R1268)=0),", a driver that is not on the list","")&amp;IF(ABS(N($L1268)-(N($M1268)+N($N1268)+N($O1268)+N($P1268)))&gt;0.001,", a total that does not match its quarters",""),3,300))</f>
        <v/>
      </c>
    </row>
    <row r="1269" customFormat="false" ht="15" hidden="false" customHeight="false" outlineLevel="0" collapsed="false">
      <c r="A1269" s="33" t="str">
        <f aca="false">IF($G1269="","","Legal Group")</f>
        <v/>
      </c>
      <c r="B1269" s="19"/>
      <c r="C1269" s="19"/>
      <c r="D1269" s="19"/>
      <c r="E1269" s="19"/>
      <c r="F1269" s="19"/>
      <c r="G1269" s="19"/>
      <c r="H1269" s="19"/>
      <c r="I1269" s="19"/>
      <c r="J1269" s="19"/>
      <c r="K1269" s="19"/>
      <c r="L1269" s="19"/>
      <c r="M1269" s="19"/>
      <c r="N1269" s="19"/>
      <c r="O1269" s="19"/>
      <c r="P1269" s="19"/>
      <c r="Q1269" s="19"/>
      <c r="R1269" s="19"/>
      <c r="S1269" s="19"/>
      <c r="T1269" s="34" t="str">
        <f aca="false">IF($R1269="","",IFERROR(INDEX(DriverCategory,MATCH($R1269,DriverList,0)),"BAU"))</f>
        <v/>
      </c>
      <c r="U1269" s="34" t="str">
        <f aca="false">IF($R1269="","",IFERROR(INDEX(DriverRank,MATCH($R1269,DriverList,0)),99))</f>
        <v/>
      </c>
      <c r="V1269" s="35" t="n">
        <f aca="false">IF($H1269="",0,IFERROR(INDEX(LevelBasic,MATCH($H1269,LevelList,0))+INDEX(LevelHousing,MATCH($H1269,LevelList,0))+INDEX(LevelTransport,MATCH($H1269,LevelList,0))+INDEX(LevelBasic,MATCH($H1269,LevelList,0))*INDEX(LevelBonus,MATCH($H1269,LevelList,0))+(INDEX(LevelBasic,MATCH($H1269,LevelList,0))+INDEX(LevelHousing,MATCH($H1269,LevelList,0)))*GosiSaudi,0))</f>
        <v>0</v>
      </c>
      <c r="W1269" s="35" t="n">
        <f aca="false">IFERROR(INDEX(LevelOneOff,MATCH($H1269,LevelList,0)),0)</f>
        <v>0</v>
      </c>
      <c r="X1269" s="35" t="str">
        <f aca="false">IF($G1269="","",$V1269*N($L1269))</f>
        <v/>
      </c>
      <c r="Y1269" s="35" t="str">
        <f aca="false">IF($G1269="","",$V1269*(N($M1269)*1+N($N1269)*0.75+N($O1269)*0.5+N($P1269)*0.25)+$W1269*N($L1269))</f>
        <v/>
      </c>
      <c r="Z1269" s="35" t="str">
        <f aca="false">IF($G1269="","",$U1269*1000000+ROW())</f>
        <v/>
      </c>
      <c r="AA1269" s="36" t="str">
        <f aca="false">IF($G1269="","",MID(IF($C1269="",", no division","")&amp;IF($E1269="",", no unit","")&amp;IF($H1269="",", no career level","")&amp;IF(N($L1269)&lt;=0,", no quarter split","")&amp;IF($R1269="",", no driver","")&amp;IF(AND($H1269&lt;&gt;"",COUNTIF(CareerLevels,$H1269)=0),", a career level that is not on the ladder","")&amp;IF(AND($R1269&lt;&gt;"",COUNTIF(DriverList,$R1269)=0),", a driver that is not on the list","")&amp;IF(ABS(N($L1269)-(N($M1269)+N($N1269)+N($O1269)+N($P1269)))&gt;0.001,", a total that does not match its quarters",""),3,300))</f>
        <v/>
      </c>
    </row>
    <row r="1270" customFormat="false" ht="15" hidden="false" customHeight="false" outlineLevel="0" collapsed="false">
      <c r="A1270" s="33" t="str">
        <f aca="false">IF($G1270="","","Legal Group")</f>
        <v/>
      </c>
      <c r="B1270" s="19"/>
      <c r="C1270" s="19"/>
      <c r="D1270" s="19"/>
      <c r="E1270" s="19"/>
      <c r="F1270" s="19"/>
      <c r="G1270" s="19"/>
      <c r="H1270" s="19"/>
      <c r="I1270" s="19"/>
      <c r="J1270" s="19"/>
      <c r="K1270" s="19"/>
      <c r="L1270" s="19"/>
      <c r="M1270" s="19"/>
      <c r="N1270" s="19"/>
      <c r="O1270" s="19"/>
      <c r="P1270" s="19"/>
      <c r="Q1270" s="19"/>
      <c r="R1270" s="19"/>
      <c r="S1270" s="19"/>
      <c r="T1270" s="34" t="str">
        <f aca="false">IF($R1270="","",IFERROR(INDEX(DriverCategory,MATCH($R1270,DriverList,0)),"BAU"))</f>
        <v/>
      </c>
      <c r="U1270" s="34" t="str">
        <f aca="false">IF($R1270="","",IFERROR(INDEX(DriverRank,MATCH($R1270,DriverList,0)),99))</f>
        <v/>
      </c>
      <c r="V1270" s="35" t="n">
        <f aca="false">IF($H1270="",0,IFERROR(INDEX(LevelBasic,MATCH($H1270,LevelList,0))+INDEX(LevelHousing,MATCH($H1270,LevelList,0))+INDEX(LevelTransport,MATCH($H1270,LevelList,0))+INDEX(LevelBasic,MATCH($H1270,LevelList,0))*INDEX(LevelBonus,MATCH($H1270,LevelList,0))+(INDEX(LevelBasic,MATCH($H1270,LevelList,0))+INDEX(LevelHousing,MATCH($H1270,LevelList,0)))*GosiSaudi,0))</f>
        <v>0</v>
      </c>
      <c r="W1270" s="35" t="n">
        <f aca="false">IFERROR(INDEX(LevelOneOff,MATCH($H1270,LevelList,0)),0)</f>
        <v>0</v>
      </c>
      <c r="X1270" s="35" t="str">
        <f aca="false">IF($G1270="","",$V1270*N($L1270))</f>
        <v/>
      </c>
      <c r="Y1270" s="35" t="str">
        <f aca="false">IF($G1270="","",$V1270*(N($M1270)*1+N($N1270)*0.75+N($O1270)*0.5+N($P1270)*0.25)+$W1270*N($L1270))</f>
        <v/>
      </c>
      <c r="Z1270" s="35" t="str">
        <f aca="false">IF($G1270="","",$U1270*1000000+ROW())</f>
        <v/>
      </c>
      <c r="AA1270" s="36" t="str">
        <f aca="false">IF($G1270="","",MID(IF($C1270="",", no division","")&amp;IF($E1270="",", no unit","")&amp;IF($H1270="",", no career level","")&amp;IF(N($L1270)&lt;=0,", no quarter split","")&amp;IF($R1270="",", no driver","")&amp;IF(AND($H1270&lt;&gt;"",COUNTIF(CareerLevels,$H1270)=0),", a career level that is not on the ladder","")&amp;IF(AND($R1270&lt;&gt;"",COUNTIF(DriverList,$R1270)=0),", a driver that is not on the list","")&amp;IF(ABS(N($L1270)-(N($M1270)+N($N1270)+N($O1270)+N($P1270)))&gt;0.001,", a total that does not match its quarters",""),3,300))</f>
        <v/>
      </c>
    </row>
    <row r="1271" customFormat="false" ht="15" hidden="false" customHeight="false" outlineLevel="0" collapsed="false">
      <c r="A1271" s="33" t="str">
        <f aca="false">IF($G1271="","","Legal Group")</f>
        <v/>
      </c>
      <c r="B1271" s="19"/>
      <c r="C1271" s="19"/>
      <c r="D1271" s="19"/>
      <c r="E1271" s="19"/>
      <c r="F1271" s="19"/>
      <c r="G1271" s="19"/>
      <c r="H1271" s="19"/>
      <c r="I1271" s="19"/>
      <c r="J1271" s="19"/>
      <c r="K1271" s="19"/>
      <c r="L1271" s="19"/>
      <c r="M1271" s="19"/>
      <c r="N1271" s="19"/>
      <c r="O1271" s="19"/>
      <c r="P1271" s="19"/>
      <c r="Q1271" s="19"/>
      <c r="R1271" s="19"/>
      <c r="S1271" s="19"/>
      <c r="T1271" s="34" t="str">
        <f aca="false">IF($R1271="","",IFERROR(INDEX(DriverCategory,MATCH($R1271,DriverList,0)),"BAU"))</f>
        <v/>
      </c>
      <c r="U1271" s="34" t="str">
        <f aca="false">IF($R1271="","",IFERROR(INDEX(DriverRank,MATCH($R1271,DriverList,0)),99))</f>
        <v/>
      </c>
      <c r="V1271" s="35" t="n">
        <f aca="false">IF($H1271="",0,IFERROR(INDEX(LevelBasic,MATCH($H1271,LevelList,0))+INDEX(LevelHousing,MATCH($H1271,LevelList,0))+INDEX(LevelTransport,MATCH($H1271,LevelList,0))+INDEX(LevelBasic,MATCH($H1271,LevelList,0))*INDEX(LevelBonus,MATCH($H1271,LevelList,0))+(INDEX(LevelBasic,MATCH($H1271,LevelList,0))+INDEX(LevelHousing,MATCH($H1271,LevelList,0)))*GosiSaudi,0))</f>
        <v>0</v>
      </c>
      <c r="W1271" s="35" t="n">
        <f aca="false">IFERROR(INDEX(LevelOneOff,MATCH($H1271,LevelList,0)),0)</f>
        <v>0</v>
      </c>
      <c r="X1271" s="35" t="str">
        <f aca="false">IF($G1271="","",$V1271*N($L1271))</f>
        <v/>
      </c>
      <c r="Y1271" s="35" t="str">
        <f aca="false">IF($G1271="","",$V1271*(N($M1271)*1+N($N1271)*0.75+N($O1271)*0.5+N($P1271)*0.25)+$W1271*N($L1271))</f>
        <v/>
      </c>
      <c r="Z1271" s="35" t="str">
        <f aca="false">IF($G1271="","",$U1271*1000000+ROW())</f>
        <v/>
      </c>
      <c r="AA1271" s="36" t="str">
        <f aca="false">IF($G1271="","",MID(IF($C1271="",", no division","")&amp;IF($E1271="",", no unit","")&amp;IF($H1271="",", no career level","")&amp;IF(N($L1271)&lt;=0,", no quarter split","")&amp;IF($R1271="",", no driver","")&amp;IF(AND($H1271&lt;&gt;"",COUNTIF(CareerLevels,$H1271)=0),", a career level that is not on the ladder","")&amp;IF(AND($R1271&lt;&gt;"",COUNTIF(DriverList,$R1271)=0),", a driver that is not on the list","")&amp;IF(ABS(N($L1271)-(N($M1271)+N($N1271)+N($O1271)+N($P1271)))&gt;0.001,", a total that does not match its quarters",""),3,300))</f>
        <v/>
      </c>
    </row>
    <row r="1272" customFormat="false" ht="15" hidden="false" customHeight="false" outlineLevel="0" collapsed="false">
      <c r="A1272" s="33" t="str">
        <f aca="false">IF($G1272="","","Legal Group")</f>
        <v/>
      </c>
      <c r="B1272" s="19"/>
      <c r="C1272" s="19"/>
      <c r="D1272" s="19"/>
      <c r="E1272" s="19"/>
      <c r="F1272" s="19"/>
      <c r="G1272" s="19"/>
      <c r="H1272" s="19"/>
      <c r="I1272" s="19"/>
      <c r="J1272" s="19"/>
      <c r="K1272" s="19"/>
      <c r="L1272" s="19"/>
      <c r="M1272" s="19"/>
      <c r="N1272" s="19"/>
      <c r="O1272" s="19"/>
      <c r="P1272" s="19"/>
      <c r="Q1272" s="19"/>
      <c r="R1272" s="19"/>
      <c r="S1272" s="19"/>
      <c r="T1272" s="34" t="str">
        <f aca="false">IF($R1272="","",IFERROR(INDEX(DriverCategory,MATCH($R1272,DriverList,0)),"BAU"))</f>
        <v/>
      </c>
      <c r="U1272" s="34" t="str">
        <f aca="false">IF($R1272="","",IFERROR(INDEX(DriverRank,MATCH($R1272,DriverList,0)),99))</f>
        <v/>
      </c>
      <c r="V1272" s="35" t="n">
        <f aca="false">IF($H1272="",0,IFERROR(INDEX(LevelBasic,MATCH($H1272,LevelList,0))+INDEX(LevelHousing,MATCH($H1272,LevelList,0))+INDEX(LevelTransport,MATCH($H1272,LevelList,0))+INDEX(LevelBasic,MATCH($H1272,LevelList,0))*INDEX(LevelBonus,MATCH($H1272,LevelList,0))+(INDEX(LevelBasic,MATCH($H1272,LevelList,0))+INDEX(LevelHousing,MATCH($H1272,LevelList,0)))*GosiSaudi,0))</f>
        <v>0</v>
      </c>
      <c r="W1272" s="35" t="n">
        <f aca="false">IFERROR(INDEX(LevelOneOff,MATCH($H1272,LevelList,0)),0)</f>
        <v>0</v>
      </c>
      <c r="X1272" s="35" t="str">
        <f aca="false">IF($G1272="","",$V1272*N($L1272))</f>
        <v/>
      </c>
      <c r="Y1272" s="35" t="str">
        <f aca="false">IF($G1272="","",$V1272*(N($M1272)*1+N($N1272)*0.75+N($O1272)*0.5+N($P1272)*0.25)+$W1272*N($L1272))</f>
        <v/>
      </c>
      <c r="Z1272" s="35" t="str">
        <f aca="false">IF($G1272="","",$U1272*1000000+ROW())</f>
        <v/>
      </c>
      <c r="AA1272" s="36" t="str">
        <f aca="false">IF($G1272="","",MID(IF($C1272="",", no division","")&amp;IF($E1272="",", no unit","")&amp;IF($H1272="",", no career level","")&amp;IF(N($L1272)&lt;=0,", no quarter split","")&amp;IF($R1272="",", no driver","")&amp;IF(AND($H1272&lt;&gt;"",COUNTIF(CareerLevels,$H1272)=0),", a career level that is not on the ladder","")&amp;IF(AND($R1272&lt;&gt;"",COUNTIF(DriverList,$R1272)=0),", a driver that is not on the list","")&amp;IF(ABS(N($L1272)-(N($M1272)+N($N1272)+N($O1272)+N($P1272)))&gt;0.001,", a total that does not match its quarters",""),3,300))</f>
        <v/>
      </c>
    </row>
    <row r="1273" customFormat="false" ht="15" hidden="false" customHeight="false" outlineLevel="0" collapsed="false">
      <c r="A1273" s="33" t="str">
        <f aca="false">IF($G1273="","","Legal Group")</f>
        <v/>
      </c>
      <c r="B1273" s="19"/>
      <c r="C1273" s="19"/>
      <c r="D1273" s="19"/>
      <c r="E1273" s="19"/>
      <c r="F1273" s="19"/>
      <c r="G1273" s="19"/>
      <c r="H1273" s="19"/>
      <c r="I1273" s="19"/>
      <c r="J1273" s="19"/>
      <c r="K1273" s="19"/>
      <c r="L1273" s="19"/>
      <c r="M1273" s="19"/>
      <c r="N1273" s="19"/>
      <c r="O1273" s="19"/>
      <c r="P1273" s="19"/>
      <c r="Q1273" s="19"/>
      <c r="R1273" s="19"/>
      <c r="S1273" s="19"/>
      <c r="T1273" s="34" t="str">
        <f aca="false">IF($R1273="","",IFERROR(INDEX(DriverCategory,MATCH($R1273,DriverList,0)),"BAU"))</f>
        <v/>
      </c>
      <c r="U1273" s="34" t="str">
        <f aca="false">IF($R1273="","",IFERROR(INDEX(DriverRank,MATCH($R1273,DriverList,0)),99))</f>
        <v/>
      </c>
      <c r="V1273" s="35" t="n">
        <f aca="false">IF($H1273="",0,IFERROR(INDEX(LevelBasic,MATCH($H1273,LevelList,0))+INDEX(LevelHousing,MATCH($H1273,LevelList,0))+INDEX(LevelTransport,MATCH($H1273,LevelList,0))+INDEX(LevelBasic,MATCH($H1273,LevelList,0))*INDEX(LevelBonus,MATCH($H1273,LevelList,0))+(INDEX(LevelBasic,MATCH($H1273,LevelList,0))+INDEX(LevelHousing,MATCH($H1273,LevelList,0)))*GosiSaudi,0))</f>
        <v>0</v>
      </c>
      <c r="W1273" s="35" t="n">
        <f aca="false">IFERROR(INDEX(LevelOneOff,MATCH($H1273,LevelList,0)),0)</f>
        <v>0</v>
      </c>
      <c r="X1273" s="35" t="str">
        <f aca="false">IF($G1273="","",$V1273*N($L1273))</f>
        <v/>
      </c>
      <c r="Y1273" s="35" t="str">
        <f aca="false">IF($G1273="","",$V1273*(N($M1273)*1+N($N1273)*0.75+N($O1273)*0.5+N($P1273)*0.25)+$W1273*N($L1273))</f>
        <v/>
      </c>
      <c r="Z1273" s="35" t="str">
        <f aca="false">IF($G1273="","",$U1273*1000000+ROW())</f>
        <v/>
      </c>
      <c r="AA1273" s="36" t="str">
        <f aca="false">IF($G1273="","",MID(IF($C1273="",", no division","")&amp;IF($E1273="",", no unit","")&amp;IF($H1273="",", no career level","")&amp;IF(N($L1273)&lt;=0,", no quarter split","")&amp;IF($R1273="",", no driver","")&amp;IF(AND($H1273&lt;&gt;"",COUNTIF(CareerLevels,$H1273)=0),", a career level that is not on the ladder","")&amp;IF(AND($R1273&lt;&gt;"",COUNTIF(DriverList,$R1273)=0),", a driver that is not on the list","")&amp;IF(ABS(N($L1273)-(N($M1273)+N($N1273)+N($O1273)+N($P1273)))&gt;0.001,", a total that does not match its quarters",""),3,300))</f>
        <v/>
      </c>
    </row>
    <row r="1274" customFormat="false" ht="15" hidden="false" customHeight="false" outlineLevel="0" collapsed="false">
      <c r="A1274" s="33" t="str">
        <f aca="false">IF($G1274="","","Legal Group")</f>
        <v/>
      </c>
      <c r="B1274" s="19"/>
      <c r="C1274" s="19"/>
      <c r="D1274" s="19"/>
      <c r="E1274" s="19"/>
      <c r="F1274" s="19"/>
      <c r="G1274" s="19"/>
      <c r="H1274" s="19"/>
      <c r="I1274" s="19"/>
      <c r="J1274" s="19"/>
      <c r="K1274" s="19"/>
      <c r="L1274" s="19"/>
      <c r="M1274" s="19"/>
      <c r="N1274" s="19"/>
      <c r="O1274" s="19"/>
      <c r="P1274" s="19"/>
      <c r="Q1274" s="19"/>
      <c r="R1274" s="19"/>
      <c r="S1274" s="19"/>
      <c r="T1274" s="34" t="str">
        <f aca="false">IF($R1274="","",IFERROR(INDEX(DriverCategory,MATCH($R1274,DriverList,0)),"BAU"))</f>
        <v/>
      </c>
      <c r="U1274" s="34" t="str">
        <f aca="false">IF($R1274="","",IFERROR(INDEX(DriverRank,MATCH($R1274,DriverList,0)),99))</f>
        <v/>
      </c>
      <c r="V1274" s="35" t="n">
        <f aca="false">IF($H1274="",0,IFERROR(INDEX(LevelBasic,MATCH($H1274,LevelList,0))+INDEX(LevelHousing,MATCH($H1274,LevelList,0))+INDEX(LevelTransport,MATCH($H1274,LevelList,0))+INDEX(LevelBasic,MATCH($H1274,LevelList,0))*INDEX(LevelBonus,MATCH($H1274,LevelList,0))+(INDEX(LevelBasic,MATCH($H1274,LevelList,0))+INDEX(LevelHousing,MATCH($H1274,LevelList,0)))*GosiSaudi,0))</f>
        <v>0</v>
      </c>
      <c r="W1274" s="35" t="n">
        <f aca="false">IFERROR(INDEX(LevelOneOff,MATCH($H1274,LevelList,0)),0)</f>
        <v>0</v>
      </c>
      <c r="X1274" s="35" t="str">
        <f aca="false">IF($G1274="","",$V1274*N($L1274))</f>
        <v/>
      </c>
      <c r="Y1274" s="35" t="str">
        <f aca="false">IF($G1274="","",$V1274*(N($M1274)*1+N($N1274)*0.75+N($O1274)*0.5+N($P1274)*0.25)+$W1274*N($L1274))</f>
        <v/>
      </c>
      <c r="Z1274" s="35" t="str">
        <f aca="false">IF($G1274="","",$U1274*1000000+ROW())</f>
        <v/>
      </c>
      <c r="AA1274" s="36" t="str">
        <f aca="false">IF($G1274="","",MID(IF($C1274="",", no division","")&amp;IF($E1274="",", no unit","")&amp;IF($H1274="",", no career level","")&amp;IF(N($L1274)&lt;=0,", no quarter split","")&amp;IF($R1274="",", no driver","")&amp;IF(AND($H1274&lt;&gt;"",COUNTIF(CareerLevels,$H1274)=0),", a career level that is not on the ladder","")&amp;IF(AND($R1274&lt;&gt;"",COUNTIF(DriverList,$R1274)=0),", a driver that is not on the list","")&amp;IF(ABS(N($L1274)-(N($M1274)+N($N1274)+N($O1274)+N($P1274)))&gt;0.001,", a total that does not match its quarters",""),3,300))</f>
        <v/>
      </c>
    </row>
    <row r="1275" customFormat="false" ht="15" hidden="false" customHeight="false" outlineLevel="0" collapsed="false">
      <c r="A1275" s="33" t="str">
        <f aca="false">IF($G1275="","","Legal Group")</f>
        <v/>
      </c>
      <c r="B1275" s="19"/>
      <c r="C1275" s="19"/>
      <c r="D1275" s="19"/>
      <c r="E1275" s="19"/>
      <c r="F1275" s="19"/>
      <c r="G1275" s="19"/>
      <c r="H1275" s="19"/>
      <c r="I1275" s="19"/>
      <c r="J1275" s="19"/>
      <c r="K1275" s="19"/>
      <c r="L1275" s="19"/>
      <c r="M1275" s="19"/>
      <c r="N1275" s="19"/>
      <c r="O1275" s="19"/>
      <c r="P1275" s="19"/>
      <c r="Q1275" s="19"/>
      <c r="R1275" s="19"/>
      <c r="S1275" s="19"/>
      <c r="T1275" s="34" t="str">
        <f aca="false">IF($R1275="","",IFERROR(INDEX(DriverCategory,MATCH($R1275,DriverList,0)),"BAU"))</f>
        <v/>
      </c>
      <c r="U1275" s="34" t="str">
        <f aca="false">IF($R1275="","",IFERROR(INDEX(DriverRank,MATCH($R1275,DriverList,0)),99))</f>
        <v/>
      </c>
      <c r="V1275" s="35" t="n">
        <f aca="false">IF($H1275="",0,IFERROR(INDEX(LevelBasic,MATCH($H1275,LevelList,0))+INDEX(LevelHousing,MATCH($H1275,LevelList,0))+INDEX(LevelTransport,MATCH($H1275,LevelList,0))+INDEX(LevelBasic,MATCH($H1275,LevelList,0))*INDEX(LevelBonus,MATCH($H1275,LevelList,0))+(INDEX(LevelBasic,MATCH($H1275,LevelList,0))+INDEX(LevelHousing,MATCH($H1275,LevelList,0)))*GosiSaudi,0))</f>
        <v>0</v>
      </c>
      <c r="W1275" s="35" t="n">
        <f aca="false">IFERROR(INDEX(LevelOneOff,MATCH($H1275,LevelList,0)),0)</f>
        <v>0</v>
      </c>
      <c r="X1275" s="35" t="str">
        <f aca="false">IF($G1275="","",$V1275*N($L1275))</f>
        <v/>
      </c>
      <c r="Y1275" s="35" t="str">
        <f aca="false">IF($G1275="","",$V1275*(N($M1275)*1+N($N1275)*0.75+N($O1275)*0.5+N($P1275)*0.25)+$W1275*N($L1275))</f>
        <v/>
      </c>
      <c r="Z1275" s="35" t="str">
        <f aca="false">IF($G1275="","",$U1275*1000000+ROW())</f>
        <v/>
      </c>
      <c r="AA1275" s="36" t="str">
        <f aca="false">IF($G1275="","",MID(IF($C1275="",", no division","")&amp;IF($E1275="",", no unit","")&amp;IF($H1275="",", no career level","")&amp;IF(N($L1275)&lt;=0,", no quarter split","")&amp;IF($R1275="",", no driver","")&amp;IF(AND($H1275&lt;&gt;"",COUNTIF(CareerLevels,$H1275)=0),", a career level that is not on the ladder","")&amp;IF(AND($R1275&lt;&gt;"",COUNTIF(DriverList,$R1275)=0),", a driver that is not on the list","")&amp;IF(ABS(N($L1275)-(N($M1275)+N($N1275)+N($O1275)+N($P1275)))&gt;0.001,", a total that does not match its quarters",""),3,300))</f>
        <v/>
      </c>
    </row>
    <row r="1276" customFormat="false" ht="15" hidden="false" customHeight="false" outlineLevel="0" collapsed="false">
      <c r="A1276" s="33" t="str">
        <f aca="false">IF($G1276="","","Legal Group")</f>
        <v/>
      </c>
      <c r="B1276" s="19"/>
      <c r="C1276" s="19"/>
      <c r="D1276" s="19"/>
      <c r="E1276" s="19"/>
      <c r="F1276" s="19"/>
      <c r="G1276" s="19"/>
      <c r="H1276" s="19"/>
      <c r="I1276" s="19"/>
      <c r="J1276" s="19"/>
      <c r="K1276" s="19"/>
      <c r="L1276" s="19"/>
      <c r="M1276" s="19"/>
      <c r="N1276" s="19"/>
      <c r="O1276" s="19"/>
      <c r="P1276" s="19"/>
      <c r="Q1276" s="19"/>
      <c r="R1276" s="19"/>
      <c r="S1276" s="19"/>
      <c r="T1276" s="34" t="str">
        <f aca="false">IF($R1276="","",IFERROR(INDEX(DriverCategory,MATCH($R1276,DriverList,0)),"BAU"))</f>
        <v/>
      </c>
      <c r="U1276" s="34" t="str">
        <f aca="false">IF($R1276="","",IFERROR(INDEX(DriverRank,MATCH($R1276,DriverList,0)),99))</f>
        <v/>
      </c>
      <c r="V1276" s="35" t="n">
        <f aca="false">IF($H1276="",0,IFERROR(INDEX(LevelBasic,MATCH($H1276,LevelList,0))+INDEX(LevelHousing,MATCH($H1276,LevelList,0))+INDEX(LevelTransport,MATCH($H1276,LevelList,0))+INDEX(LevelBasic,MATCH($H1276,LevelList,0))*INDEX(LevelBonus,MATCH($H1276,LevelList,0))+(INDEX(LevelBasic,MATCH($H1276,LevelList,0))+INDEX(LevelHousing,MATCH($H1276,LevelList,0)))*GosiSaudi,0))</f>
        <v>0</v>
      </c>
      <c r="W1276" s="35" t="n">
        <f aca="false">IFERROR(INDEX(LevelOneOff,MATCH($H1276,LevelList,0)),0)</f>
        <v>0</v>
      </c>
      <c r="X1276" s="35" t="str">
        <f aca="false">IF($G1276="","",$V1276*N($L1276))</f>
        <v/>
      </c>
      <c r="Y1276" s="35" t="str">
        <f aca="false">IF($G1276="","",$V1276*(N($M1276)*1+N($N1276)*0.75+N($O1276)*0.5+N($P1276)*0.25)+$W1276*N($L1276))</f>
        <v/>
      </c>
      <c r="Z1276" s="35" t="str">
        <f aca="false">IF($G1276="","",$U1276*1000000+ROW())</f>
        <v/>
      </c>
      <c r="AA1276" s="36" t="str">
        <f aca="false">IF($G1276="","",MID(IF($C1276="",", no division","")&amp;IF($E1276="",", no unit","")&amp;IF($H1276="",", no career level","")&amp;IF(N($L1276)&lt;=0,", no quarter split","")&amp;IF($R1276="",", no driver","")&amp;IF(AND($H1276&lt;&gt;"",COUNTIF(CareerLevels,$H1276)=0),", a career level that is not on the ladder","")&amp;IF(AND($R1276&lt;&gt;"",COUNTIF(DriverList,$R1276)=0),", a driver that is not on the list","")&amp;IF(ABS(N($L1276)-(N($M1276)+N($N1276)+N($O1276)+N($P1276)))&gt;0.001,", a total that does not match its quarters",""),3,300))</f>
        <v/>
      </c>
    </row>
    <row r="1277" customFormat="false" ht="15" hidden="false" customHeight="false" outlineLevel="0" collapsed="false">
      <c r="A1277" s="33" t="str">
        <f aca="false">IF($G1277="","","Legal Group")</f>
        <v/>
      </c>
      <c r="B1277" s="19"/>
      <c r="C1277" s="19"/>
      <c r="D1277" s="19"/>
      <c r="E1277" s="19"/>
      <c r="F1277" s="19"/>
      <c r="G1277" s="19"/>
      <c r="H1277" s="19"/>
      <c r="I1277" s="19"/>
      <c r="J1277" s="19"/>
      <c r="K1277" s="19"/>
      <c r="L1277" s="19"/>
      <c r="M1277" s="19"/>
      <c r="N1277" s="19"/>
      <c r="O1277" s="19"/>
      <c r="P1277" s="19"/>
      <c r="Q1277" s="19"/>
      <c r="R1277" s="19"/>
      <c r="S1277" s="19"/>
      <c r="T1277" s="34" t="str">
        <f aca="false">IF($R1277="","",IFERROR(INDEX(DriverCategory,MATCH($R1277,DriverList,0)),"BAU"))</f>
        <v/>
      </c>
      <c r="U1277" s="34" t="str">
        <f aca="false">IF($R1277="","",IFERROR(INDEX(DriverRank,MATCH($R1277,DriverList,0)),99))</f>
        <v/>
      </c>
      <c r="V1277" s="35" t="n">
        <f aca="false">IF($H1277="",0,IFERROR(INDEX(LevelBasic,MATCH($H1277,LevelList,0))+INDEX(LevelHousing,MATCH($H1277,LevelList,0))+INDEX(LevelTransport,MATCH($H1277,LevelList,0))+INDEX(LevelBasic,MATCH($H1277,LevelList,0))*INDEX(LevelBonus,MATCH($H1277,LevelList,0))+(INDEX(LevelBasic,MATCH($H1277,LevelList,0))+INDEX(LevelHousing,MATCH($H1277,LevelList,0)))*GosiSaudi,0))</f>
        <v>0</v>
      </c>
      <c r="W1277" s="35" t="n">
        <f aca="false">IFERROR(INDEX(LevelOneOff,MATCH($H1277,LevelList,0)),0)</f>
        <v>0</v>
      </c>
      <c r="X1277" s="35" t="str">
        <f aca="false">IF($G1277="","",$V1277*N($L1277))</f>
        <v/>
      </c>
      <c r="Y1277" s="35" t="str">
        <f aca="false">IF($G1277="","",$V1277*(N($M1277)*1+N($N1277)*0.75+N($O1277)*0.5+N($P1277)*0.25)+$W1277*N($L1277))</f>
        <v/>
      </c>
      <c r="Z1277" s="35" t="str">
        <f aca="false">IF($G1277="","",$U1277*1000000+ROW())</f>
        <v/>
      </c>
      <c r="AA1277" s="36" t="str">
        <f aca="false">IF($G1277="","",MID(IF($C1277="",", no division","")&amp;IF($E1277="",", no unit","")&amp;IF($H1277="",", no career level","")&amp;IF(N($L1277)&lt;=0,", no quarter split","")&amp;IF($R1277="",", no driver","")&amp;IF(AND($H1277&lt;&gt;"",COUNTIF(CareerLevels,$H1277)=0),", a career level that is not on the ladder","")&amp;IF(AND($R1277&lt;&gt;"",COUNTIF(DriverList,$R1277)=0),", a driver that is not on the list","")&amp;IF(ABS(N($L1277)-(N($M1277)+N($N1277)+N($O1277)+N($P1277)))&gt;0.001,", a total that does not match its quarters",""),3,300))</f>
        <v/>
      </c>
    </row>
    <row r="1278" customFormat="false" ht="15" hidden="false" customHeight="false" outlineLevel="0" collapsed="false">
      <c r="A1278" s="33" t="str">
        <f aca="false">IF($G1278="","","Legal Group")</f>
        <v/>
      </c>
      <c r="B1278" s="19"/>
      <c r="C1278" s="19"/>
      <c r="D1278" s="19"/>
      <c r="E1278" s="19"/>
      <c r="F1278" s="19"/>
      <c r="G1278" s="19"/>
      <c r="H1278" s="19"/>
      <c r="I1278" s="19"/>
      <c r="J1278" s="19"/>
      <c r="K1278" s="19"/>
      <c r="L1278" s="19"/>
      <c r="M1278" s="19"/>
      <c r="N1278" s="19"/>
      <c r="O1278" s="19"/>
      <c r="P1278" s="19"/>
      <c r="Q1278" s="19"/>
      <c r="R1278" s="19"/>
      <c r="S1278" s="19"/>
      <c r="T1278" s="34" t="str">
        <f aca="false">IF($R1278="","",IFERROR(INDEX(DriverCategory,MATCH($R1278,DriverList,0)),"BAU"))</f>
        <v/>
      </c>
      <c r="U1278" s="34" t="str">
        <f aca="false">IF($R1278="","",IFERROR(INDEX(DriverRank,MATCH($R1278,DriverList,0)),99))</f>
        <v/>
      </c>
      <c r="V1278" s="35" t="n">
        <f aca="false">IF($H1278="",0,IFERROR(INDEX(LevelBasic,MATCH($H1278,LevelList,0))+INDEX(LevelHousing,MATCH($H1278,LevelList,0))+INDEX(LevelTransport,MATCH($H1278,LevelList,0))+INDEX(LevelBasic,MATCH($H1278,LevelList,0))*INDEX(LevelBonus,MATCH($H1278,LevelList,0))+(INDEX(LevelBasic,MATCH($H1278,LevelList,0))+INDEX(LevelHousing,MATCH($H1278,LevelList,0)))*GosiSaudi,0))</f>
        <v>0</v>
      </c>
      <c r="W1278" s="35" t="n">
        <f aca="false">IFERROR(INDEX(LevelOneOff,MATCH($H1278,LevelList,0)),0)</f>
        <v>0</v>
      </c>
      <c r="X1278" s="35" t="str">
        <f aca="false">IF($G1278="","",$V1278*N($L1278))</f>
        <v/>
      </c>
      <c r="Y1278" s="35" t="str">
        <f aca="false">IF($G1278="","",$V1278*(N($M1278)*1+N($N1278)*0.75+N($O1278)*0.5+N($P1278)*0.25)+$W1278*N($L1278))</f>
        <v/>
      </c>
      <c r="Z1278" s="35" t="str">
        <f aca="false">IF($G1278="","",$U1278*1000000+ROW())</f>
        <v/>
      </c>
      <c r="AA1278" s="36" t="str">
        <f aca="false">IF($G1278="","",MID(IF($C1278="",", no division","")&amp;IF($E1278="",", no unit","")&amp;IF($H1278="",", no career level","")&amp;IF(N($L1278)&lt;=0,", no quarter split","")&amp;IF($R1278="",", no driver","")&amp;IF(AND($H1278&lt;&gt;"",COUNTIF(CareerLevels,$H1278)=0),", a career level that is not on the ladder","")&amp;IF(AND($R1278&lt;&gt;"",COUNTIF(DriverList,$R1278)=0),", a driver that is not on the list","")&amp;IF(ABS(N($L1278)-(N($M1278)+N($N1278)+N($O1278)+N($P1278)))&gt;0.001,", a total that does not match its quarters",""),3,300))</f>
        <v/>
      </c>
    </row>
    <row r="1279" customFormat="false" ht="15" hidden="false" customHeight="false" outlineLevel="0" collapsed="false">
      <c r="A1279" s="33" t="str">
        <f aca="false">IF($G1279="","","Legal Group")</f>
        <v/>
      </c>
      <c r="B1279" s="19"/>
      <c r="C1279" s="19"/>
      <c r="D1279" s="19"/>
      <c r="E1279" s="19"/>
      <c r="F1279" s="19"/>
      <c r="G1279" s="19"/>
      <c r="H1279" s="19"/>
      <c r="I1279" s="19"/>
      <c r="J1279" s="19"/>
      <c r="K1279" s="19"/>
      <c r="L1279" s="19"/>
      <c r="M1279" s="19"/>
      <c r="N1279" s="19"/>
      <c r="O1279" s="19"/>
      <c r="P1279" s="19"/>
      <c r="Q1279" s="19"/>
      <c r="R1279" s="19"/>
      <c r="S1279" s="19"/>
      <c r="T1279" s="34" t="str">
        <f aca="false">IF($R1279="","",IFERROR(INDEX(DriverCategory,MATCH($R1279,DriverList,0)),"BAU"))</f>
        <v/>
      </c>
      <c r="U1279" s="34" t="str">
        <f aca="false">IF($R1279="","",IFERROR(INDEX(DriverRank,MATCH($R1279,DriverList,0)),99))</f>
        <v/>
      </c>
      <c r="V1279" s="35" t="n">
        <f aca="false">IF($H1279="",0,IFERROR(INDEX(LevelBasic,MATCH($H1279,LevelList,0))+INDEX(LevelHousing,MATCH($H1279,LevelList,0))+INDEX(LevelTransport,MATCH($H1279,LevelList,0))+INDEX(LevelBasic,MATCH($H1279,LevelList,0))*INDEX(LevelBonus,MATCH($H1279,LevelList,0))+(INDEX(LevelBasic,MATCH($H1279,LevelList,0))+INDEX(LevelHousing,MATCH($H1279,LevelList,0)))*GosiSaudi,0))</f>
        <v>0</v>
      </c>
      <c r="W1279" s="35" t="n">
        <f aca="false">IFERROR(INDEX(LevelOneOff,MATCH($H1279,LevelList,0)),0)</f>
        <v>0</v>
      </c>
      <c r="X1279" s="35" t="str">
        <f aca="false">IF($G1279="","",$V1279*N($L1279))</f>
        <v/>
      </c>
      <c r="Y1279" s="35" t="str">
        <f aca="false">IF($G1279="","",$V1279*(N($M1279)*1+N($N1279)*0.75+N($O1279)*0.5+N($P1279)*0.25)+$W1279*N($L1279))</f>
        <v/>
      </c>
      <c r="Z1279" s="35" t="str">
        <f aca="false">IF($G1279="","",$U1279*1000000+ROW())</f>
        <v/>
      </c>
      <c r="AA1279" s="36" t="str">
        <f aca="false">IF($G1279="","",MID(IF($C1279="",", no division","")&amp;IF($E1279="",", no unit","")&amp;IF($H1279="",", no career level","")&amp;IF(N($L1279)&lt;=0,", no quarter split","")&amp;IF($R1279="",", no driver","")&amp;IF(AND($H1279&lt;&gt;"",COUNTIF(CareerLevels,$H1279)=0),", a career level that is not on the ladder","")&amp;IF(AND($R1279&lt;&gt;"",COUNTIF(DriverList,$R1279)=0),", a driver that is not on the list","")&amp;IF(ABS(N($L1279)-(N($M1279)+N($N1279)+N($O1279)+N($P1279)))&gt;0.001,", a total that does not match its quarters",""),3,300))</f>
        <v/>
      </c>
    </row>
    <row r="1280" customFormat="false" ht="15" hidden="false" customHeight="false" outlineLevel="0" collapsed="false">
      <c r="A1280" s="33" t="str">
        <f aca="false">IF($G1280="","","Legal Group")</f>
        <v/>
      </c>
      <c r="B1280" s="19"/>
      <c r="C1280" s="19"/>
      <c r="D1280" s="19"/>
      <c r="E1280" s="19"/>
      <c r="F1280" s="19"/>
      <c r="G1280" s="19"/>
      <c r="H1280" s="19"/>
      <c r="I1280" s="19"/>
      <c r="J1280" s="19"/>
      <c r="K1280" s="19"/>
      <c r="L1280" s="19"/>
      <c r="M1280" s="19"/>
      <c r="N1280" s="19"/>
      <c r="O1280" s="19"/>
      <c r="P1280" s="19"/>
      <c r="Q1280" s="19"/>
      <c r="R1280" s="19"/>
      <c r="S1280" s="19"/>
      <c r="T1280" s="34" t="str">
        <f aca="false">IF($R1280="","",IFERROR(INDEX(DriverCategory,MATCH($R1280,DriverList,0)),"BAU"))</f>
        <v/>
      </c>
      <c r="U1280" s="34" t="str">
        <f aca="false">IF($R1280="","",IFERROR(INDEX(DriverRank,MATCH($R1280,DriverList,0)),99))</f>
        <v/>
      </c>
      <c r="V1280" s="35" t="n">
        <f aca="false">IF($H1280="",0,IFERROR(INDEX(LevelBasic,MATCH($H1280,LevelList,0))+INDEX(LevelHousing,MATCH($H1280,LevelList,0))+INDEX(LevelTransport,MATCH($H1280,LevelList,0))+INDEX(LevelBasic,MATCH($H1280,LevelList,0))*INDEX(LevelBonus,MATCH($H1280,LevelList,0))+(INDEX(LevelBasic,MATCH($H1280,LevelList,0))+INDEX(LevelHousing,MATCH($H1280,LevelList,0)))*GosiSaudi,0))</f>
        <v>0</v>
      </c>
      <c r="W1280" s="35" t="n">
        <f aca="false">IFERROR(INDEX(LevelOneOff,MATCH($H1280,LevelList,0)),0)</f>
        <v>0</v>
      </c>
      <c r="X1280" s="35" t="str">
        <f aca="false">IF($G1280="","",$V1280*N($L1280))</f>
        <v/>
      </c>
      <c r="Y1280" s="35" t="str">
        <f aca="false">IF($G1280="","",$V1280*(N($M1280)*1+N($N1280)*0.75+N($O1280)*0.5+N($P1280)*0.25)+$W1280*N($L1280))</f>
        <v/>
      </c>
      <c r="Z1280" s="35" t="str">
        <f aca="false">IF($G1280="","",$U1280*1000000+ROW())</f>
        <v/>
      </c>
      <c r="AA1280" s="36" t="str">
        <f aca="false">IF($G1280="","",MID(IF($C1280="",", no division","")&amp;IF($E1280="",", no unit","")&amp;IF($H1280="",", no career level","")&amp;IF(N($L1280)&lt;=0,", no quarter split","")&amp;IF($R1280="",", no driver","")&amp;IF(AND($H1280&lt;&gt;"",COUNTIF(CareerLevels,$H1280)=0),", a career level that is not on the ladder","")&amp;IF(AND($R1280&lt;&gt;"",COUNTIF(DriverList,$R1280)=0),", a driver that is not on the list","")&amp;IF(ABS(N($L1280)-(N($M1280)+N($N1280)+N($O1280)+N($P1280)))&gt;0.001,", a total that does not match its quarters",""),3,300))</f>
        <v/>
      </c>
    </row>
    <row r="1281" customFormat="false" ht="15" hidden="false" customHeight="false" outlineLevel="0" collapsed="false">
      <c r="A1281" s="33" t="str">
        <f aca="false">IF($G1281="","","Legal Group")</f>
        <v/>
      </c>
      <c r="B1281" s="19"/>
      <c r="C1281" s="19"/>
      <c r="D1281" s="19"/>
      <c r="E1281" s="19"/>
      <c r="F1281" s="19"/>
      <c r="G1281" s="19"/>
      <c r="H1281" s="19"/>
      <c r="I1281" s="19"/>
      <c r="J1281" s="19"/>
      <c r="K1281" s="19"/>
      <c r="L1281" s="19"/>
      <c r="M1281" s="19"/>
      <c r="N1281" s="19"/>
      <c r="O1281" s="19"/>
      <c r="P1281" s="19"/>
      <c r="Q1281" s="19"/>
      <c r="R1281" s="19"/>
      <c r="S1281" s="19"/>
      <c r="T1281" s="34" t="str">
        <f aca="false">IF($R1281="","",IFERROR(INDEX(DriverCategory,MATCH($R1281,DriverList,0)),"BAU"))</f>
        <v/>
      </c>
      <c r="U1281" s="34" t="str">
        <f aca="false">IF($R1281="","",IFERROR(INDEX(DriverRank,MATCH($R1281,DriverList,0)),99))</f>
        <v/>
      </c>
      <c r="V1281" s="35" t="n">
        <f aca="false">IF($H1281="",0,IFERROR(INDEX(LevelBasic,MATCH($H1281,LevelList,0))+INDEX(LevelHousing,MATCH($H1281,LevelList,0))+INDEX(LevelTransport,MATCH($H1281,LevelList,0))+INDEX(LevelBasic,MATCH($H1281,LevelList,0))*INDEX(LevelBonus,MATCH($H1281,LevelList,0))+(INDEX(LevelBasic,MATCH($H1281,LevelList,0))+INDEX(LevelHousing,MATCH($H1281,LevelList,0)))*GosiSaudi,0))</f>
        <v>0</v>
      </c>
      <c r="W1281" s="35" t="n">
        <f aca="false">IFERROR(INDEX(LevelOneOff,MATCH($H1281,LevelList,0)),0)</f>
        <v>0</v>
      </c>
      <c r="X1281" s="35" t="str">
        <f aca="false">IF($G1281="","",$V1281*N($L1281))</f>
        <v/>
      </c>
      <c r="Y1281" s="35" t="str">
        <f aca="false">IF($G1281="","",$V1281*(N($M1281)*1+N($N1281)*0.75+N($O1281)*0.5+N($P1281)*0.25)+$W1281*N($L1281))</f>
        <v/>
      </c>
      <c r="Z1281" s="35" t="str">
        <f aca="false">IF($G1281="","",$U1281*1000000+ROW())</f>
        <v/>
      </c>
      <c r="AA1281" s="36" t="str">
        <f aca="false">IF($G1281="","",MID(IF($C1281="",", no division","")&amp;IF($E1281="",", no unit","")&amp;IF($H1281="",", no career level","")&amp;IF(N($L1281)&lt;=0,", no quarter split","")&amp;IF($R1281="",", no driver","")&amp;IF(AND($H1281&lt;&gt;"",COUNTIF(CareerLevels,$H1281)=0),", a career level that is not on the ladder","")&amp;IF(AND($R1281&lt;&gt;"",COUNTIF(DriverList,$R1281)=0),", a driver that is not on the list","")&amp;IF(ABS(N($L1281)-(N($M1281)+N($N1281)+N($O1281)+N($P1281)))&gt;0.001,", a total that does not match its quarters",""),3,300))</f>
        <v/>
      </c>
    </row>
    <row r="1282" customFormat="false" ht="15" hidden="false" customHeight="false" outlineLevel="0" collapsed="false">
      <c r="A1282" s="33" t="str">
        <f aca="false">IF($G1282="","","Legal Group")</f>
        <v/>
      </c>
      <c r="B1282" s="19"/>
      <c r="C1282" s="19"/>
      <c r="D1282" s="19"/>
      <c r="E1282" s="19"/>
      <c r="F1282" s="19"/>
      <c r="G1282" s="19"/>
      <c r="H1282" s="19"/>
      <c r="I1282" s="19"/>
      <c r="J1282" s="19"/>
      <c r="K1282" s="19"/>
      <c r="L1282" s="19"/>
      <c r="M1282" s="19"/>
      <c r="N1282" s="19"/>
      <c r="O1282" s="19"/>
      <c r="P1282" s="19"/>
      <c r="Q1282" s="19"/>
      <c r="R1282" s="19"/>
      <c r="S1282" s="19"/>
      <c r="T1282" s="34" t="str">
        <f aca="false">IF($R1282="","",IFERROR(INDEX(DriverCategory,MATCH($R1282,DriverList,0)),"BAU"))</f>
        <v/>
      </c>
      <c r="U1282" s="34" t="str">
        <f aca="false">IF($R1282="","",IFERROR(INDEX(DriverRank,MATCH($R1282,DriverList,0)),99))</f>
        <v/>
      </c>
      <c r="V1282" s="35" t="n">
        <f aca="false">IF($H1282="",0,IFERROR(INDEX(LevelBasic,MATCH($H1282,LevelList,0))+INDEX(LevelHousing,MATCH($H1282,LevelList,0))+INDEX(LevelTransport,MATCH($H1282,LevelList,0))+INDEX(LevelBasic,MATCH($H1282,LevelList,0))*INDEX(LevelBonus,MATCH($H1282,LevelList,0))+(INDEX(LevelBasic,MATCH($H1282,LevelList,0))+INDEX(LevelHousing,MATCH($H1282,LevelList,0)))*GosiSaudi,0))</f>
        <v>0</v>
      </c>
      <c r="W1282" s="35" t="n">
        <f aca="false">IFERROR(INDEX(LevelOneOff,MATCH($H1282,LevelList,0)),0)</f>
        <v>0</v>
      </c>
      <c r="X1282" s="35" t="str">
        <f aca="false">IF($G1282="","",$V1282*N($L1282))</f>
        <v/>
      </c>
      <c r="Y1282" s="35" t="str">
        <f aca="false">IF($G1282="","",$V1282*(N($M1282)*1+N($N1282)*0.75+N($O1282)*0.5+N($P1282)*0.25)+$W1282*N($L1282))</f>
        <v/>
      </c>
      <c r="Z1282" s="35" t="str">
        <f aca="false">IF($G1282="","",$U1282*1000000+ROW())</f>
        <v/>
      </c>
      <c r="AA1282" s="36" t="str">
        <f aca="false">IF($G1282="","",MID(IF($C1282="",", no division","")&amp;IF($E1282="",", no unit","")&amp;IF($H1282="",", no career level","")&amp;IF(N($L1282)&lt;=0,", no quarter split","")&amp;IF($R1282="",", no driver","")&amp;IF(AND($H1282&lt;&gt;"",COUNTIF(CareerLevels,$H1282)=0),", a career level that is not on the ladder","")&amp;IF(AND($R1282&lt;&gt;"",COUNTIF(DriverList,$R1282)=0),", a driver that is not on the list","")&amp;IF(ABS(N($L1282)-(N($M1282)+N($N1282)+N($O1282)+N($P1282)))&gt;0.001,", a total that does not match its quarters",""),3,300))</f>
        <v/>
      </c>
    </row>
    <row r="1283" customFormat="false" ht="15" hidden="false" customHeight="false" outlineLevel="0" collapsed="false">
      <c r="A1283" s="33" t="str">
        <f aca="false">IF($G1283="","","Legal Group")</f>
        <v/>
      </c>
      <c r="B1283" s="19"/>
      <c r="C1283" s="19"/>
      <c r="D1283" s="19"/>
      <c r="E1283" s="19"/>
      <c r="F1283" s="19"/>
      <c r="G1283" s="19"/>
      <c r="H1283" s="19"/>
      <c r="I1283" s="19"/>
      <c r="J1283" s="19"/>
      <c r="K1283" s="19"/>
      <c r="L1283" s="19"/>
      <c r="M1283" s="19"/>
      <c r="N1283" s="19"/>
      <c r="O1283" s="19"/>
      <c r="P1283" s="19"/>
      <c r="Q1283" s="19"/>
      <c r="R1283" s="19"/>
      <c r="S1283" s="19"/>
      <c r="T1283" s="34" t="str">
        <f aca="false">IF($R1283="","",IFERROR(INDEX(DriverCategory,MATCH($R1283,DriverList,0)),"BAU"))</f>
        <v/>
      </c>
      <c r="U1283" s="34" t="str">
        <f aca="false">IF($R1283="","",IFERROR(INDEX(DriverRank,MATCH($R1283,DriverList,0)),99))</f>
        <v/>
      </c>
      <c r="V1283" s="35" t="n">
        <f aca="false">IF($H1283="",0,IFERROR(INDEX(LevelBasic,MATCH($H1283,LevelList,0))+INDEX(LevelHousing,MATCH($H1283,LevelList,0))+INDEX(LevelTransport,MATCH($H1283,LevelList,0))+INDEX(LevelBasic,MATCH($H1283,LevelList,0))*INDEX(LevelBonus,MATCH($H1283,LevelList,0))+(INDEX(LevelBasic,MATCH($H1283,LevelList,0))+INDEX(LevelHousing,MATCH($H1283,LevelList,0)))*GosiSaudi,0))</f>
        <v>0</v>
      </c>
      <c r="W1283" s="35" t="n">
        <f aca="false">IFERROR(INDEX(LevelOneOff,MATCH($H1283,LevelList,0)),0)</f>
        <v>0</v>
      </c>
      <c r="X1283" s="35" t="str">
        <f aca="false">IF($G1283="","",$V1283*N($L1283))</f>
        <v/>
      </c>
      <c r="Y1283" s="35" t="str">
        <f aca="false">IF($G1283="","",$V1283*(N($M1283)*1+N($N1283)*0.75+N($O1283)*0.5+N($P1283)*0.25)+$W1283*N($L1283))</f>
        <v/>
      </c>
      <c r="Z1283" s="35" t="str">
        <f aca="false">IF($G1283="","",$U1283*1000000+ROW())</f>
        <v/>
      </c>
      <c r="AA1283" s="36" t="str">
        <f aca="false">IF($G1283="","",MID(IF($C1283="",", no division","")&amp;IF($E1283="",", no unit","")&amp;IF($H1283="",", no career level","")&amp;IF(N($L1283)&lt;=0,", no quarter split","")&amp;IF($R1283="",", no driver","")&amp;IF(AND($H1283&lt;&gt;"",COUNTIF(CareerLevels,$H1283)=0),", a career level that is not on the ladder","")&amp;IF(AND($R1283&lt;&gt;"",COUNTIF(DriverList,$R1283)=0),", a driver that is not on the list","")&amp;IF(ABS(N($L1283)-(N($M1283)+N($N1283)+N($O1283)+N($P1283)))&gt;0.001,", a total that does not match its quarters",""),3,300))</f>
        <v/>
      </c>
    </row>
    <row r="1284" customFormat="false" ht="15" hidden="false" customHeight="false" outlineLevel="0" collapsed="false">
      <c r="A1284" s="33" t="str">
        <f aca="false">IF($G1284="","","Legal Group")</f>
        <v/>
      </c>
      <c r="B1284" s="19"/>
      <c r="C1284" s="19"/>
      <c r="D1284" s="19"/>
      <c r="E1284" s="19"/>
      <c r="F1284" s="19"/>
      <c r="G1284" s="19"/>
      <c r="H1284" s="19"/>
      <c r="I1284" s="19"/>
      <c r="J1284" s="19"/>
      <c r="K1284" s="19"/>
      <c r="L1284" s="19"/>
      <c r="M1284" s="19"/>
      <c r="N1284" s="19"/>
      <c r="O1284" s="19"/>
      <c r="P1284" s="19"/>
      <c r="Q1284" s="19"/>
      <c r="R1284" s="19"/>
      <c r="S1284" s="19"/>
      <c r="T1284" s="34" t="str">
        <f aca="false">IF($R1284="","",IFERROR(INDEX(DriverCategory,MATCH($R1284,DriverList,0)),"BAU"))</f>
        <v/>
      </c>
      <c r="U1284" s="34" t="str">
        <f aca="false">IF($R1284="","",IFERROR(INDEX(DriverRank,MATCH($R1284,DriverList,0)),99))</f>
        <v/>
      </c>
      <c r="V1284" s="35" t="n">
        <f aca="false">IF($H1284="",0,IFERROR(INDEX(LevelBasic,MATCH($H1284,LevelList,0))+INDEX(LevelHousing,MATCH($H1284,LevelList,0))+INDEX(LevelTransport,MATCH($H1284,LevelList,0))+INDEX(LevelBasic,MATCH($H1284,LevelList,0))*INDEX(LevelBonus,MATCH($H1284,LevelList,0))+(INDEX(LevelBasic,MATCH($H1284,LevelList,0))+INDEX(LevelHousing,MATCH($H1284,LevelList,0)))*GosiSaudi,0))</f>
        <v>0</v>
      </c>
      <c r="W1284" s="35" t="n">
        <f aca="false">IFERROR(INDEX(LevelOneOff,MATCH($H1284,LevelList,0)),0)</f>
        <v>0</v>
      </c>
      <c r="X1284" s="35" t="str">
        <f aca="false">IF($G1284="","",$V1284*N($L1284))</f>
        <v/>
      </c>
      <c r="Y1284" s="35" t="str">
        <f aca="false">IF($G1284="","",$V1284*(N($M1284)*1+N($N1284)*0.75+N($O1284)*0.5+N($P1284)*0.25)+$W1284*N($L1284))</f>
        <v/>
      </c>
      <c r="Z1284" s="35" t="str">
        <f aca="false">IF($G1284="","",$U1284*1000000+ROW())</f>
        <v/>
      </c>
      <c r="AA1284" s="36" t="str">
        <f aca="false">IF($G1284="","",MID(IF($C1284="",", no division","")&amp;IF($E1284="",", no unit","")&amp;IF($H1284="",", no career level","")&amp;IF(N($L1284)&lt;=0,", no quarter split","")&amp;IF($R1284="",", no driver","")&amp;IF(AND($H1284&lt;&gt;"",COUNTIF(CareerLevels,$H1284)=0),", a career level that is not on the ladder","")&amp;IF(AND($R1284&lt;&gt;"",COUNTIF(DriverList,$R1284)=0),", a driver that is not on the list","")&amp;IF(ABS(N($L1284)-(N($M1284)+N($N1284)+N($O1284)+N($P1284)))&gt;0.001,", a total that does not match its quarters",""),3,300))</f>
        <v/>
      </c>
    </row>
    <row r="1285" customFormat="false" ht="15" hidden="false" customHeight="false" outlineLevel="0" collapsed="false">
      <c r="A1285" s="33" t="str">
        <f aca="false">IF($G1285="","","Legal Group")</f>
        <v/>
      </c>
      <c r="B1285" s="19"/>
      <c r="C1285" s="19"/>
      <c r="D1285" s="19"/>
      <c r="E1285" s="19"/>
      <c r="F1285" s="19"/>
      <c r="G1285" s="19"/>
      <c r="H1285" s="19"/>
      <c r="I1285" s="19"/>
      <c r="J1285" s="19"/>
      <c r="K1285" s="19"/>
      <c r="L1285" s="19"/>
      <c r="M1285" s="19"/>
      <c r="N1285" s="19"/>
      <c r="O1285" s="19"/>
      <c r="P1285" s="19"/>
      <c r="Q1285" s="19"/>
      <c r="R1285" s="19"/>
      <c r="S1285" s="19"/>
      <c r="T1285" s="34" t="str">
        <f aca="false">IF($R1285="","",IFERROR(INDEX(DriverCategory,MATCH($R1285,DriverList,0)),"BAU"))</f>
        <v/>
      </c>
      <c r="U1285" s="34" t="str">
        <f aca="false">IF($R1285="","",IFERROR(INDEX(DriverRank,MATCH($R1285,DriverList,0)),99))</f>
        <v/>
      </c>
      <c r="V1285" s="35" t="n">
        <f aca="false">IF($H1285="",0,IFERROR(INDEX(LevelBasic,MATCH($H1285,LevelList,0))+INDEX(LevelHousing,MATCH($H1285,LevelList,0))+INDEX(LevelTransport,MATCH($H1285,LevelList,0))+INDEX(LevelBasic,MATCH($H1285,LevelList,0))*INDEX(LevelBonus,MATCH($H1285,LevelList,0))+(INDEX(LevelBasic,MATCH($H1285,LevelList,0))+INDEX(LevelHousing,MATCH($H1285,LevelList,0)))*GosiSaudi,0))</f>
        <v>0</v>
      </c>
      <c r="W1285" s="35" t="n">
        <f aca="false">IFERROR(INDEX(LevelOneOff,MATCH($H1285,LevelList,0)),0)</f>
        <v>0</v>
      </c>
      <c r="X1285" s="35" t="str">
        <f aca="false">IF($G1285="","",$V1285*N($L1285))</f>
        <v/>
      </c>
      <c r="Y1285" s="35" t="str">
        <f aca="false">IF($G1285="","",$V1285*(N($M1285)*1+N($N1285)*0.75+N($O1285)*0.5+N($P1285)*0.25)+$W1285*N($L1285))</f>
        <v/>
      </c>
      <c r="Z1285" s="35" t="str">
        <f aca="false">IF($G1285="","",$U1285*1000000+ROW())</f>
        <v/>
      </c>
      <c r="AA1285" s="36" t="str">
        <f aca="false">IF($G1285="","",MID(IF($C1285="",", no division","")&amp;IF($E1285="",", no unit","")&amp;IF($H1285="",", no career level","")&amp;IF(N($L1285)&lt;=0,", no quarter split","")&amp;IF($R1285="",", no driver","")&amp;IF(AND($H1285&lt;&gt;"",COUNTIF(CareerLevels,$H1285)=0),", a career level that is not on the ladder","")&amp;IF(AND($R1285&lt;&gt;"",COUNTIF(DriverList,$R1285)=0),", a driver that is not on the list","")&amp;IF(ABS(N($L1285)-(N($M1285)+N($N1285)+N($O1285)+N($P1285)))&gt;0.001,", a total that does not match its quarters",""),3,300))</f>
        <v/>
      </c>
    </row>
    <row r="1286" customFormat="false" ht="15" hidden="false" customHeight="false" outlineLevel="0" collapsed="false">
      <c r="A1286" s="33" t="str">
        <f aca="false">IF($G1286="","","Legal Group")</f>
        <v/>
      </c>
      <c r="B1286" s="19"/>
      <c r="C1286" s="19"/>
      <c r="D1286" s="19"/>
      <c r="E1286" s="19"/>
      <c r="F1286" s="19"/>
      <c r="G1286" s="19"/>
      <c r="H1286" s="19"/>
      <c r="I1286" s="19"/>
      <c r="J1286" s="19"/>
      <c r="K1286" s="19"/>
      <c r="L1286" s="19"/>
      <c r="M1286" s="19"/>
      <c r="N1286" s="19"/>
      <c r="O1286" s="19"/>
      <c r="P1286" s="19"/>
      <c r="Q1286" s="19"/>
      <c r="R1286" s="19"/>
      <c r="S1286" s="19"/>
      <c r="T1286" s="34" t="str">
        <f aca="false">IF($R1286="","",IFERROR(INDEX(DriverCategory,MATCH($R1286,DriverList,0)),"BAU"))</f>
        <v/>
      </c>
      <c r="U1286" s="34" t="str">
        <f aca="false">IF($R1286="","",IFERROR(INDEX(DriverRank,MATCH($R1286,DriverList,0)),99))</f>
        <v/>
      </c>
      <c r="V1286" s="35" t="n">
        <f aca="false">IF($H1286="",0,IFERROR(INDEX(LevelBasic,MATCH($H1286,LevelList,0))+INDEX(LevelHousing,MATCH($H1286,LevelList,0))+INDEX(LevelTransport,MATCH($H1286,LevelList,0))+INDEX(LevelBasic,MATCH($H1286,LevelList,0))*INDEX(LevelBonus,MATCH($H1286,LevelList,0))+(INDEX(LevelBasic,MATCH($H1286,LevelList,0))+INDEX(LevelHousing,MATCH($H1286,LevelList,0)))*GosiSaudi,0))</f>
        <v>0</v>
      </c>
      <c r="W1286" s="35" t="n">
        <f aca="false">IFERROR(INDEX(LevelOneOff,MATCH($H1286,LevelList,0)),0)</f>
        <v>0</v>
      </c>
      <c r="X1286" s="35" t="str">
        <f aca="false">IF($G1286="","",$V1286*N($L1286))</f>
        <v/>
      </c>
      <c r="Y1286" s="35" t="str">
        <f aca="false">IF($G1286="","",$V1286*(N($M1286)*1+N($N1286)*0.75+N($O1286)*0.5+N($P1286)*0.25)+$W1286*N($L1286))</f>
        <v/>
      </c>
      <c r="Z1286" s="35" t="str">
        <f aca="false">IF($G1286="","",$U1286*1000000+ROW())</f>
        <v/>
      </c>
      <c r="AA1286" s="36" t="str">
        <f aca="false">IF($G1286="","",MID(IF($C1286="",", no division","")&amp;IF($E1286="",", no unit","")&amp;IF($H1286="",", no career level","")&amp;IF(N($L1286)&lt;=0,", no quarter split","")&amp;IF($R1286="",", no driver","")&amp;IF(AND($H1286&lt;&gt;"",COUNTIF(CareerLevels,$H1286)=0),", a career level that is not on the ladder","")&amp;IF(AND($R1286&lt;&gt;"",COUNTIF(DriverList,$R1286)=0),", a driver that is not on the list","")&amp;IF(ABS(N($L1286)-(N($M1286)+N($N1286)+N($O1286)+N($P1286)))&gt;0.001,", a total that does not match its quarters",""),3,300))</f>
        <v/>
      </c>
    </row>
    <row r="1287" customFormat="false" ht="15" hidden="false" customHeight="false" outlineLevel="0" collapsed="false">
      <c r="A1287" s="33" t="str">
        <f aca="false">IF($G1287="","","Legal Group")</f>
        <v/>
      </c>
      <c r="B1287" s="19"/>
      <c r="C1287" s="19"/>
      <c r="D1287" s="19"/>
      <c r="E1287" s="19"/>
      <c r="F1287" s="19"/>
      <c r="G1287" s="19"/>
      <c r="H1287" s="19"/>
      <c r="I1287" s="19"/>
      <c r="J1287" s="19"/>
      <c r="K1287" s="19"/>
      <c r="L1287" s="19"/>
      <c r="M1287" s="19"/>
      <c r="N1287" s="19"/>
      <c r="O1287" s="19"/>
      <c r="P1287" s="19"/>
      <c r="Q1287" s="19"/>
      <c r="R1287" s="19"/>
      <c r="S1287" s="19"/>
      <c r="T1287" s="34" t="str">
        <f aca="false">IF($R1287="","",IFERROR(INDEX(DriverCategory,MATCH($R1287,DriverList,0)),"BAU"))</f>
        <v/>
      </c>
      <c r="U1287" s="34" t="str">
        <f aca="false">IF($R1287="","",IFERROR(INDEX(DriverRank,MATCH($R1287,DriverList,0)),99))</f>
        <v/>
      </c>
      <c r="V1287" s="35" t="n">
        <f aca="false">IF($H1287="",0,IFERROR(INDEX(LevelBasic,MATCH($H1287,LevelList,0))+INDEX(LevelHousing,MATCH($H1287,LevelList,0))+INDEX(LevelTransport,MATCH($H1287,LevelList,0))+INDEX(LevelBasic,MATCH($H1287,LevelList,0))*INDEX(LevelBonus,MATCH($H1287,LevelList,0))+(INDEX(LevelBasic,MATCH($H1287,LevelList,0))+INDEX(LevelHousing,MATCH($H1287,LevelList,0)))*GosiSaudi,0))</f>
        <v>0</v>
      </c>
      <c r="W1287" s="35" t="n">
        <f aca="false">IFERROR(INDEX(LevelOneOff,MATCH($H1287,LevelList,0)),0)</f>
        <v>0</v>
      </c>
      <c r="X1287" s="35" t="str">
        <f aca="false">IF($G1287="","",$V1287*N($L1287))</f>
        <v/>
      </c>
      <c r="Y1287" s="35" t="str">
        <f aca="false">IF($G1287="","",$V1287*(N($M1287)*1+N($N1287)*0.75+N($O1287)*0.5+N($P1287)*0.25)+$W1287*N($L1287))</f>
        <v/>
      </c>
      <c r="Z1287" s="35" t="str">
        <f aca="false">IF($G1287="","",$U1287*1000000+ROW())</f>
        <v/>
      </c>
      <c r="AA1287" s="36" t="str">
        <f aca="false">IF($G1287="","",MID(IF($C1287="",", no division","")&amp;IF($E1287="",", no unit","")&amp;IF($H1287="",", no career level","")&amp;IF(N($L1287)&lt;=0,", no quarter split","")&amp;IF($R1287="",", no driver","")&amp;IF(AND($H1287&lt;&gt;"",COUNTIF(CareerLevels,$H1287)=0),", a career level that is not on the ladder","")&amp;IF(AND($R1287&lt;&gt;"",COUNTIF(DriverList,$R1287)=0),", a driver that is not on the list","")&amp;IF(ABS(N($L1287)-(N($M1287)+N($N1287)+N($O1287)+N($P1287)))&gt;0.001,", a total that does not match its quarters",""),3,300))</f>
        <v/>
      </c>
    </row>
    <row r="1288" customFormat="false" ht="15" hidden="false" customHeight="false" outlineLevel="0" collapsed="false">
      <c r="A1288" s="33" t="str">
        <f aca="false">IF($G1288="","","Legal Group")</f>
        <v/>
      </c>
      <c r="B1288" s="19"/>
      <c r="C1288" s="19"/>
      <c r="D1288" s="19"/>
      <c r="E1288" s="19"/>
      <c r="F1288" s="19"/>
      <c r="G1288" s="19"/>
      <c r="H1288" s="19"/>
      <c r="I1288" s="19"/>
      <c r="J1288" s="19"/>
      <c r="K1288" s="19"/>
      <c r="L1288" s="19"/>
      <c r="M1288" s="19"/>
      <c r="N1288" s="19"/>
      <c r="O1288" s="19"/>
      <c r="P1288" s="19"/>
      <c r="Q1288" s="19"/>
      <c r="R1288" s="19"/>
      <c r="S1288" s="19"/>
      <c r="T1288" s="34" t="str">
        <f aca="false">IF($R1288="","",IFERROR(INDEX(DriverCategory,MATCH($R1288,DriverList,0)),"BAU"))</f>
        <v/>
      </c>
      <c r="U1288" s="34" t="str">
        <f aca="false">IF($R1288="","",IFERROR(INDEX(DriverRank,MATCH($R1288,DriverList,0)),99))</f>
        <v/>
      </c>
      <c r="V1288" s="35" t="n">
        <f aca="false">IF($H1288="",0,IFERROR(INDEX(LevelBasic,MATCH($H1288,LevelList,0))+INDEX(LevelHousing,MATCH($H1288,LevelList,0))+INDEX(LevelTransport,MATCH($H1288,LevelList,0))+INDEX(LevelBasic,MATCH($H1288,LevelList,0))*INDEX(LevelBonus,MATCH($H1288,LevelList,0))+(INDEX(LevelBasic,MATCH($H1288,LevelList,0))+INDEX(LevelHousing,MATCH($H1288,LevelList,0)))*GosiSaudi,0))</f>
        <v>0</v>
      </c>
      <c r="W1288" s="35" t="n">
        <f aca="false">IFERROR(INDEX(LevelOneOff,MATCH($H1288,LevelList,0)),0)</f>
        <v>0</v>
      </c>
      <c r="X1288" s="35" t="str">
        <f aca="false">IF($G1288="","",$V1288*N($L1288))</f>
        <v/>
      </c>
      <c r="Y1288" s="35" t="str">
        <f aca="false">IF($G1288="","",$V1288*(N($M1288)*1+N($N1288)*0.75+N($O1288)*0.5+N($P1288)*0.25)+$W1288*N($L1288))</f>
        <v/>
      </c>
      <c r="Z1288" s="35" t="str">
        <f aca="false">IF($G1288="","",$U1288*1000000+ROW())</f>
        <v/>
      </c>
      <c r="AA1288" s="36" t="str">
        <f aca="false">IF($G1288="","",MID(IF($C1288="",", no division","")&amp;IF($E1288="",", no unit","")&amp;IF($H1288="",", no career level","")&amp;IF(N($L1288)&lt;=0,", no quarter split","")&amp;IF($R1288="",", no driver","")&amp;IF(AND($H1288&lt;&gt;"",COUNTIF(CareerLevels,$H1288)=0),", a career level that is not on the ladder","")&amp;IF(AND($R1288&lt;&gt;"",COUNTIF(DriverList,$R1288)=0),", a driver that is not on the list","")&amp;IF(ABS(N($L1288)-(N($M1288)+N($N1288)+N($O1288)+N($P1288)))&gt;0.001,", a total that does not match its quarters",""),3,300))</f>
        <v/>
      </c>
    </row>
    <row r="1289" customFormat="false" ht="15" hidden="false" customHeight="false" outlineLevel="0" collapsed="false">
      <c r="A1289" s="33" t="str">
        <f aca="false">IF($G1289="","","Legal Group")</f>
        <v/>
      </c>
      <c r="B1289" s="19"/>
      <c r="C1289" s="19"/>
      <c r="D1289" s="19"/>
      <c r="E1289" s="19"/>
      <c r="F1289" s="19"/>
      <c r="G1289" s="19"/>
      <c r="H1289" s="19"/>
      <c r="I1289" s="19"/>
      <c r="J1289" s="19"/>
      <c r="K1289" s="19"/>
      <c r="L1289" s="19"/>
      <c r="M1289" s="19"/>
      <c r="N1289" s="19"/>
      <c r="O1289" s="19"/>
      <c r="P1289" s="19"/>
      <c r="Q1289" s="19"/>
      <c r="R1289" s="19"/>
      <c r="S1289" s="19"/>
      <c r="T1289" s="34" t="str">
        <f aca="false">IF($R1289="","",IFERROR(INDEX(DriverCategory,MATCH($R1289,DriverList,0)),"BAU"))</f>
        <v/>
      </c>
      <c r="U1289" s="34" t="str">
        <f aca="false">IF($R1289="","",IFERROR(INDEX(DriverRank,MATCH($R1289,DriverList,0)),99))</f>
        <v/>
      </c>
      <c r="V1289" s="35" t="n">
        <f aca="false">IF($H1289="",0,IFERROR(INDEX(LevelBasic,MATCH($H1289,LevelList,0))+INDEX(LevelHousing,MATCH($H1289,LevelList,0))+INDEX(LevelTransport,MATCH($H1289,LevelList,0))+INDEX(LevelBasic,MATCH($H1289,LevelList,0))*INDEX(LevelBonus,MATCH($H1289,LevelList,0))+(INDEX(LevelBasic,MATCH($H1289,LevelList,0))+INDEX(LevelHousing,MATCH($H1289,LevelList,0)))*GosiSaudi,0))</f>
        <v>0</v>
      </c>
      <c r="W1289" s="35" t="n">
        <f aca="false">IFERROR(INDEX(LevelOneOff,MATCH($H1289,LevelList,0)),0)</f>
        <v>0</v>
      </c>
      <c r="X1289" s="35" t="str">
        <f aca="false">IF($G1289="","",$V1289*N($L1289))</f>
        <v/>
      </c>
      <c r="Y1289" s="35" t="str">
        <f aca="false">IF($G1289="","",$V1289*(N($M1289)*1+N($N1289)*0.75+N($O1289)*0.5+N($P1289)*0.25)+$W1289*N($L1289))</f>
        <v/>
      </c>
      <c r="Z1289" s="35" t="str">
        <f aca="false">IF($G1289="","",$U1289*1000000+ROW())</f>
        <v/>
      </c>
      <c r="AA1289" s="36" t="str">
        <f aca="false">IF($G1289="","",MID(IF($C1289="",", no division","")&amp;IF($E1289="",", no unit","")&amp;IF($H1289="",", no career level","")&amp;IF(N($L1289)&lt;=0,", no quarter split","")&amp;IF($R1289="",", no driver","")&amp;IF(AND($H1289&lt;&gt;"",COUNTIF(CareerLevels,$H1289)=0),", a career level that is not on the ladder","")&amp;IF(AND($R1289&lt;&gt;"",COUNTIF(DriverList,$R1289)=0),", a driver that is not on the list","")&amp;IF(ABS(N($L1289)-(N($M1289)+N($N1289)+N($O1289)+N($P1289)))&gt;0.001,", a total that does not match its quarters",""),3,300))</f>
        <v/>
      </c>
    </row>
    <row r="1290" customFormat="false" ht="15" hidden="false" customHeight="false" outlineLevel="0" collapsed="false">
      <c r="A1290" s="33" t="str">
        <f aca="false">IF($G1290="","","Legal Group")</f>
        <v/>
      </c>
      <c r="B1290" s="19"/>
      <c r="C1290" s="19"/>
      <c r="D1290" s="19"/>
      <c r="E1290" s="19"/>
      <c r="F1290" s="19"/>
      <c r="G1290" s="19"/>
      <c r="H1290" s="19"/>
      <c r="I1290" s="19"/>
      <c r="J1290" s="19"/>
      <c r="K1290" s="19"/>
      <c r="L1290" s="19"/>
      <c r="M1290" s="19"/>
      <c r="N1290" s="19"/>
      <c r="O1290" s="19"/>
      <c r="P1290" s="19"/>
      <c r="Q1290" s="19"/>
      <c r="R1290" s="19"/>
      <c r="S1290" s="19"/>
      <c r="T1290" s="34" t="str">
        <f aca="false">IF($R1290="","",IFERROR(INDEX(DriverCategory,MATCH($R1290,DriverList,0)),"BAU"))</f>
        <v/>
      </c>
      <c r="U1290" s="34" t="str">
        <f aca="false">IF($R1290="","",IFERROR(INDEX(DriverRank,MATCH($R1290,DriverList,0)),99))</f>
        <v/>
      </c>
      <c r="V1290" s="35" t="n">
        <f aca="false">IF($H1290="",0,IFERROR(INDEX(LevelBasic,MATCH($H1290,LevelList,0))+INDEX(LevelHousing,MATCH($H1290,LevelList,0))+INDEX(LevelTransport,MATCH($H1290,LevelList,0))+INDEX(LevelBasic,MATCH($H1290,LevelList,0))*INDEX(LevelBonus,MATCH($H1290,LevelList,0))+(INDEX(LevelBasic,MATCH($H1290,LevelList,0))+INDEX(LevelHousing,MATCH($H1290,LevelList,0)))*GosiSaudi,0))</f>
        <v>0</v>
      </c>
      <c r="W1290" s="35" t="n">
        <f aca="false">IFERROR(INDEX(LevelOneOff,MATCH($H1290,LevelList,0)),0)</f>
        <v>0</v>
      </c>
      <c r="X1290" s="35" t="str">
        <f aca="false">IF($G1290="","",$V1290*N($L1290))</f>
        <v/>
      </c>
      <c r="Y1290" s="35" t="str">
        <f aca="false">IF($G1290="","",$V1290*(N($M1290)*1+N($N1290)*0.75+N($O1290)*0.5+N($P1290)*0.25)+$W1290*N($L1290))</f>
        <v/>
      </c>
      <c r="Z1290" s="35" t="str">
        <f aca="false">IF($G1290="","",$U1290*1000000+ROW())</f>
        <v/>
      </c>
      <c r="AA1290" s="36" t="str">
        <f aca="false">IF($G1290="","",MID(IF($C1290="",", no division","")&amp;IF($E1290="",", no unit","")&amp;IF($H1290="",", no career level","")&amp;IF(N($L1290)&lt;=0,", no quarter split","")&amp;IF($R1290="",", no driver","")&amp;IF(AND($H1290&lt;&gt;"",COUNTIF(CareerLevels,$H1290)=0),", a career level that is not on the ladder","")&amp;IF(AND($R1290&lt;&gt;"",COUNTIF(DriverList,$R1290)=0),", a driver that is not on the list","")&amp;IF(ABS(N($L1290)-(N($M1290)+N($N1290)+N($O1290)+N($P1290)))&gt;0.001,", a total that does not match its quarters",""),3,300))</f>
        <v/>
      </c>
    </row>
    <row r="1291" customFormat="false" ht="15" hidden="false" customHeight="false" outlineLevel="0" collapsed="false">
      <c r="A1291" s="33" t="str">
        <f aca="false">IF($G1291="","","Legal Group")</f>
        <v/>
      </c>
      <c r="B1291" s="19"/>
      <c r="C1291" s="19"/>
      <c r="D1291" s="19"/>
      <c r="E1291" s="19"/>
      <c r="F1291" s="19"/>
      <c r="G1291" s="19"/>
      <c r="H1291" s="19"/>
      <c r="I1291" s="19"/>
      <c r="J1291" s="19"/>
      <c r="K1291" s="19"/>
      <c r="L1291" s="19"/>
      <c r="M1291" s="19"/>
      <c r="N1291" s="19"/>
      <c r="O1291" s="19"/>
      <c r="P1291" s="19"/>
      <c r="Q1291" s="19"/>
      <c r="R1291" s="19"/>
      <c r="S1291" s="19"/>
      <c r="T1291" s="34" t="str">
        <f aca="false">IF($R1291="","",IFERROR(INDEX(DriverCategory,MATCH($R1291,DriverList,0)),"BAU"))</f>
        <v/>
      </c>
      <c r="U1291" s="34" t="str">
        <f aca="false">IF($R1291="","",IFERROR(INDEX(DriverRank,MATCH($R1291,DriverList,0)),99))</f>
        <v/>
      </c>
      <c r="V1291" s="35" t="n">
        <f aca="false">IF($H1291="",0,IFERROR(INDEX(LevelBasic,MATCH($H1291,LevelList,0))+INDEX(LevelHousing,MATCH($H1291,LevelList,0))+INDEX(LevelTransport,MATCH($H1291,LevelList,0))+INDEX(LevelBasic,MATCH($H1291,LevelList,0))*INDEX(LevelBonus,MATCH($H1291,LevelList,0))+(INDEX(LevelBasic,MATCH($H1291,LevelList,0))+INDEX(LevelHousing,MATCH($H1291,LevelList,0)))*GosiSaudi,0))</f>
        <v>0</v>
      </c>
      <c r="W1291" s="35" t="n">
        <f aca="false">IFERROR(INDEX(LevelOneOff,MATCH($H1291,LevelList,0)),0)</f>
        <v>0</v>
      </c>
      <c r="X1291" s="35" t="str">
        <f aca="false">IF($G1291="","",$V1291*N($L1291))</f>
        <v/>
      </c>
      <c r="Y1291" s="35" t="str">
        <f aca="false">IF($G1291="","",$V1291*(N($M1291)*1+N($N1291)*0.75+N($O1291)*0.5+N($P1291)*0.25)+$W1291*N($L1291))</f>
        <v/>
      </c>
      <c r="Z1291" s="35" t="str">
        <f aca="false">IF($G1291="","",$U1291*1000000+ROW())</f>
        <v/>
      </c>
      <c r="AA1291" s="36" t="str">
        <f aca="false">IF($G1291="","",MID(IF($C1291="",", no division","")&amp;IF($E1291="",", no unit","")&amp;IF($H1291="",", no career level","")&amp;IF(N($L1291)&lt;=0,", no quarter split","")&amp;IF($R1291="",", no driver","")&amp;IF(AND($H1291&lt;&gt;"",COUNTIF(CareerLevels,$H1291)=0),", a career level that is not on the ladder","")&amp;IF(AND($R1291&lt;&gt;"",COUNTIF(DriverList,$R1291)=0),", a driver that is not on the list","")&amp;IF(ABS(N($L1291)-(N($M1291)+N($N1291)+N($O1291)+N($P1291)))&gt;0.001,", a total that does not match its quarters",""),3,300))</f>
        <v/>
      </c>
    </row>
    <row r="1292" customFormat="false" ht="15" hidden="false" customHeight="false" outlineLevel="0" collapsed="false">
      <c r="A1292" s="33" t="str">
        <f aca="false">IF($G1292="","","Legal Group")</f>
        <v/>
      </c>
      <c r="B1292" s="19"/>
      <c r="C1292" s="19"/>
      <c r="D1292" s="19"/>
      <c r="E1292" s="19"/>
      <c r="F1292" s="19"/>
      <c r="G1292" s="19"/>
      <c r="H1292" s="19"/>
      <c r="I1292" s="19"/>
      <c r="J1292" s="19"/>
      <c r="K1292" s="19"/>
      <c r="L1292" s="19"/>
      <c r="M1292" s="19"/>
      <c r="N1292" s="19"/>
      <c r="O1292" s="19"/>
      <c r="P1292" s="19"/>
      <c r="Q1292" s="19"/>
      <c r="R1292" s="19"/>
      <c r="S1292" s="19"/>
      <c r="T1292" s="34" t="str">
        <f aca="false">IF($R1292="","",IFERROR(INDEX(DriverCategory,MATCH($R1292,DriverList,0)),"BAU"))</f>
        <v/>
      </c>
      <c r="U1292" s="34" t="str">
        <f aca="false">IF($R1292="","",IFERROR(INDEX(DriverRank,MATCH($R1292,DriverList,0)),99))</f>
        <v/>
      </c>
      <c r="V1292" s="35" t="n">
        <f aca="false">IF($H1292="",0,IFERROR(INDEX(LevelBasic,MATCH($H1292,LevelList,0))+INDEX(LevelHousing,MATCH($H1292,LevelList,0))+INDEX(LevelTransport,MATCH($H1292,LevelList,0))+INDEX(LevelBasic,MATCH($H1292,LevelList,0))*INDEX(LevelBonus,MATCH($H1292,LevelList,0))+(INDEX(LevelBasic,MATCH($H1292,LevelList,0))+INDEX(LevelHousing,MATCH($H1292,LevelList,0)))*GosiSaudi,0))</f>
        <v>0</v>
      </c>
      <c r="W1292" s="35" t="n">
        <f aca="false">IFERROR(INDEX(LevelOneOff,MATCH($H1292,LevelList,0)),0)</f>
        <v>0</v>
      </c>
      <c r="X1292" s="35" t="str">
        <f aca="false">IF($G1292="","",$V1292*N($L1292))</f>
        <v/>
      </c>
      <c r="Y1292" s="35" t="str">
        <f aca="false">IF($G1292="","",$V1292*(N($M1292)*1+N($N1292)*0.75+N($O1292)*0.5+N($P1292)*0.25)+$W1292*N($L1292))</f>
        <v/>
      </c>
      <c r="Z1292" s="35" t="str">
        <f aca="false">IF($G1292="","",$U1292*1000000+ROW())</f>
        <v/>
      </c>
      <c r="AA1292" s="36" t="str">
        <f aca="false">IF($G1292="","",MID(IF($C1292="",", no division","")&amp;IF($E1292="",", no unit","")&amp;IF($H1292="",", no career level","")&amp;IF(N($L1292)&lt;=0,", no quarter split","")&amp;IF($R1292="",", no driver","")&amp;IF(AND($H1292&lt;&gt;"",COUNTIF(CareerLevels,$H1292)=0),", a career level that is not on the ladder","")&amp;IF(AND($R1292&lt;&gt;"",COUNTIF(DriverList,$R1292)=0),", a driver that is not on the list","")&amp;IF(ABS(N($L1292)-(N($M1292)+N($N1292)+N($O1292)+N($P1292)))&gt;0.001,", a total that does not match its quarters",""),3,300))</f>
        <v/>
      </c>
    </row>
    <row r="1293" customFormat="false" ht="15" hidden="false" customHeight="false" outlineLevel="0" collapsed="false">
      <c r="A1293" s="33" t="str">
        <f aca="false">IF($G1293="","","Legal Group")</f>
        <v/>
      </c>
      <c r="B1293" s="19"/>
      <c r="C1293" s="19"/>
      <c r="D1293" s="19"/>
      <c r="E1293" s="19"/>
      <c r="F1293" s="19"/>
      <c r="G1293" s="19"/>
      <c r="H1293" s="19"/>
      <c r="I1293" s="19"/>
      <c r="J1293" s="19"/>
      <c r="K1293" s="19"/>
      <c r="L1293" s="19"/>
      <c r="M1293" s="19"/>
      <c r="N1293" s="19"/>
      <c r="O1293" s="19"/>
      <c r="P1293" s="19"/>
      <c r="Q1293" s="19"/>
      <c r="R1293" s="19"/>
      <c r="S1293" s="19"/>
      <c r="T1293" s="34" t="str">
        <f aca="false">IF($R1293="","",IFERROR(INDEX(DriverCategory,MATCH($R1293,DriverList,0)),"BAU"))</f>
        <v/>
      </c>
      <c r="U1293" s="34" t="str">
        <f aca="false">IF($R1293="","",IFERROR(INDEX(DriverRank,MATCH($R1293,DriverList,0)),99))</f>
        <v/>
      </c>
      <c r="V1293" s="35" t="n">
        <f aca="false">IF($H1293="",0,IFERROR(INDEX(LevelBasic,MATCH($H1293,LevelList,0))+INDEX(LevelHousing,MATCH($H1293,LevelList,0))+INDEX(LevelTransport,MATCH($H1293,LevelList,0))+INDEX(LevelBasic,MATCH($H1293,LevelList,0))*INDEX(LevelBonus,MATCH($H1293,LevelList,0))+(INDEX(LevelBasic,MATCH($H1293,LevelList,0))+INDEX(LevelHousing,MATCH($H1293,LevelList,0)))*GosiSaudi,0))</f>
        <v>0</v>
      </c>
      <c r="W1293" s="35" t="n">
        <f aca="false">IFERROR(INDEX(LevelOneOff,MATCH($H1293,LevelList,0)),0)</f>
        <v>0</v>
      </c>
      <c r="X1293" s="35" t="str">
        <f aca="false">IF($G1293="","",$V1293*N($L1293))</f>
        <v/>
      </c>
      <c r="Y1293" s="35" t="str">
        <f aca="false">IF($G1293="","",$V1293*(N($M1293)*1+N($N1293)*0.75+N($O1293)*0.5+N($P1293)*0.25)+$W1293*N($L1293))</f>
        <v/>
      </c>
      <c r="Z1293" s="35" t="str">
        <f aca="false">IF($G1293="","",$U1293*1000000+ROW())</f>
        <v/>
      </c>
      <c r="AA1293" s="36" t="str">
        <f aca="false">IF($G1293="","",MID(IF($C1293="",", no division","")&amp;IF($E1293="",", no unit","")&amp;IF($H1293="",", no career level","")&amp;IF(N($L1293)&lt;=0,", no quarter split","")&amp;IF($R1293="",", no driver","")&amp;IF(AND($H1293&lt;&gt;"",COUNTIF(CareerLevels,$H1293)=0),", a career level that is not on the ladder","")&amp;IF(AND($R1293&lt;&gt;"",COUNTIF(DriverList,$R1293)=0),", a driver that is not on the list","")&amp;IF(ABS(N($L1293)-(N($M1293)+N($N1293)+N($O1293)+N($P1293)))&gt;0.001,", a total that does not match its quarters",""),3,300))</f>
        <v/>
      </c>
    </row>
    <row r="1294" customFormat="false" ht="15" hidden="false" customHeight="false" outlineLevel="0" collapsed="false">
      <c r="A1294" s="33" t="str">
        <f aca="false">IF($G1294="","","Legal Group")</f>
        <v/>
      </c>
      <c r="B1294" s="19"/>
      <c r="C1294" s="19"/>
      <c r="D1294" s="19"/>
      <c r="E1294" s="19"/>
      <c r="F1294" s="19"/>
      <c r="G1294" s="19"/>
      <c r="H1294" s="19"/>
      <c r="I1294" s="19"/>
      <c r="J1294" s="19"/>
      <c r="K1294" s="19"/>
      <c r="L1294" s="19"/>
      <c r="M1294" s="19"/>
      <c r="N1294" s="19"/>
      <c r="O1294" s="19"/>
      <c r="P1294" s="19"/>
      <c r="Q1294" s="19"/>
      <c r="R1294" s="19"/>
      <c r="S1294" s="19"/>
      <c r="T1294" s="34" t="str">
        <f aca="false">IF($R1294="","",IFERROR(INDEX(DriverCategory,MATCH($R1294,DriverList,0)),"BAU"))</f>
        <v/>
      </c>
      <c r="U1294" s="34" t="str">
        <f aca="false">IF($R1294="","",IFERROR(INDEX(DriverRank,MATCH($R1294,DriverList,0)),99))</f>
        <v/>
      </c>
      <c r="V1294" s="35" t="n">
        <f aca="false">IF($H1294="",0,IFERROR(INDEX(LevelBasic,MATCH($H1294,LevelList,0))+INDEX(LevelHousing,MATCH($H1294,LevelList,0))+INDEX(LevelTransport,MATCH($H1294,LevelList,0))+INDEX(LevelBasic,MATCH($H1294,LevelList,0))*INDEX(LevelBonus,MATCH($H1294,LevelList,0))+(INDEX(LevelBasic,MATCH($H1294,LevelList,0))+INDEX(LevelHousing,MATCH($H1294,LevelList,0)))*GosiSaudi,0))</f>
        <v>0</v>
      </c>
      <c r="W1294" s="35" t="n">
        <f aca="false">IFERROR(INDEX(LevelOneOff,MATCH($H1294,LevelList,0)),0)</f>
        <v>0</v>
      </c>
      <c r="X1294" s="35" t="str">
        <f aca="false">IF($G1294="","",$V1294*N($L1294))</f>
        <v/>
      </c>
      <c r="Y1294" s="35" t="str">
        <f aca="false">IF($G1294="","",$V1294*(N($M1294)*1+N($N1294)*0.75+N($O1294)*0.5+N($P1294)*0.25)+$W1294*N($L1294))</f>
        <v/>
      </c>
      <c r="Z1294" s="35" t="str">
        <f aca="false">IF($G1294="","",$U1294*1000000+ROW())</f>
        <v/>
      </c>
      <c r="AA1294" s="36" t="str">
        <f aca="false">IF($G1294="","",MID(IF($C1294="",", no division","")&amp;IF($E1294="",", no unit","")&amp;IF($H1294="",", no career level","")&amp;IF(N($L1294)&lt;=0,", no quarter split","")&amp;IF($R1294="",", no driver","")&amp;IF(AND($H1294&lt;&gt;"",COUNTIF(CareerLevels,$H1294)=0),", a career level that is not on the ladder","")&amp;IF(AND($R1294&lt;&gt;"",COUNTIF(DriverList,$R1294)=0),", a driver that is not on the list","")&amp;IF(ABS(N($L1294)-(N($M1294)+N($N1294)+N($O1294)+N($P1294)))&gt;0.001,", a total that does not match its quarters",""),3,300))</f>
        <v/>
      </c>
    </row>
    <row r="1295" customFormat="false" ht="15" hidden="false" customHeight="false" outlineLevel="0" collapsed="false">
      <c r="A1295" s="33" t="str">
        <f aca="false">IF($G1295="","","Legal Group")</f>
        <v/>
      </c>
      <c r="B1295" s="19"/>
      <c r="C1295" s="19"/>
      <c r="D1295" s="19"/>
      <c r="E1295" s="19"/>
      <c r="F1295" s="19"/>
      <c r="G1295" s="19"/>
      <c r="H1295" s="19"/>
      <c r="I1295" s="19"/>
      <c r="J1295" s="19"/>
      <c r="K1295" s="19"/>
      <c r="L1295" s="19"/>
      <c r="M1295" s="19"/>
      <c r="N1295" s="19"/>
      <c r="O1295" s="19"/>
      <c r="P1295" s="19"/>
      <c r="Q1295" s="19"/>
      <c r="R1295" s="19"/>
      <c r="S1295" s="19"/>
      <c r="T1295" s="34" t="str">
        <f aca="false">IF($R1295="","",IFERROR(INDEX(DriverCategory,MATCH($R1295,DriverList,0)),"BAU"))</f>
        <v/>
      </c>
      <c r="U1295" s="34" t="str">
        <f aca="false">IF($R1295="","",IFERROR(INDEX(DriverRank,MATCH($R1295,DriverList,0)),99))</f>
        <v/>
      </c>
      <c r="V1295" s="35" t="n">
        <f aca="false">IF($H1295="",0,IFERROR(INDEX(LevelBasic,MATCH($H1295,LevelList,0))+INDEX(LevelHousing,MATCH($H1295,LevelList,0))+INDEX(LevelTransport,MATCH($H1295,LevelList,0))+INDEX(LevelBasic,MATCH($H1295,LevelList,0))*INDEX(LevelBonus,MATCH($H1295,LevelList,0))+(INDEX(LevelBasic,MATCH($H1295,LevelList,0))+INDEX(LevelHousing,MATCH($H1295,LevelList,0)))*GosiSaudi,0))</f>
        <v>0</v>
      </c>
      <c r="W1295" s="35" t="n">
        <f aca="false">IFERROR(INDEX(LevelOneOff,MATCH($H1295,LevelList,0)),0)</f>
        <v>0</v>
      </c>
      <c r="X1295" s="35" t="str">
        <f aca="false">IF($G1295="","",$V1295*N($L1295))</f>
        <v/>
      </c>
      <c r="Y1295" s="35" t="str">
        <f aca="false">IF($G1295="","",$V1295*(N($M1295)*1+N($N1295)*0.75+N($O1295)*0.5+N($P1295)*0.25)+$W1295*N($L1295))</f>
        <v/>
      </c>
      <c r="Z1295" s="35" t="str">
        <f aca="false">IF($G1295="","",$U1295*1000000+ROW())</f>
        <v/>
      </c>
      <c r="AA1295" s="36" t="str">
        <f aca="false">IF($G1295="","",MID(IF($C1295="",", no division","")&amp;IF($E1295="",", no unit","")&amp;IF($H1295="",", no career level","")&amp;IF(N($L1295)&lt;=0,", no quarter split","")&amp;IF($R1295="",", no driver","")&amp;IF(AND($H1295&lt;&gt;"",COUNTIF(CareerLevels,$H1295)=0),", a career level that is not on the ladder","")&amp;IF(AND($R1295&lt;&gt;"",COUNTIF(DriverList,$R1295)=0),", a driver that is not on the list","")&amp;IF(ABS(N($L1295)-(N($M1295)+N($N1295)+N($O1295)+N($P1295)))&gt;0.001,", a total that does not match its quarters",""),3,300))</f>
        <v/>
      </c>
    </row>
    <row r="1296" customFormat="false" ht="15" hidden="false" customHeight="false" outlineLevel="0" collapsed="false">
      <c r="A1296" s="33" t="str">
        <f aca="false">IF($G1296="","","Legal Group")</f>
        <v/>
      </c>
      <c r="B1296" s="19"/>
      <c r="C1296" s="19"/>
      <c r="D1296" s="19"/>
      <c r="E1296" s="19"/>
      <c r="F1296" s="19"/>
      <c r="G1296" s="19"/>
      <c r="H1296" s="19"/>
      <c r="I1296" s="19"/>
      <c r="J1296" s="19"/>
      <c r="K1296" s="19"/>
      <c r="L1296" s="19"/>
      <c r="M1296" s="19"/>
      <c r="N1296" s="19"/>
      <c r="O1296" s="19"/>
      <c r="P1296" s="19"/>
      <c r="Q1296" s="19"/>
      <c r="R1296" s="19"/>
      <c r="S1296" s="19"/>
      <c r="T1296" s="34" t="str">
        <f aca="false">IF($R1296="","",IFERROR(INDEX(DriverCategory,MATCH($R1296,DriverList,0)),"BAU"))</f>
        <v/>
      </c>
      <c r="U1296" s="34" t="str">
        <f aca="false">IF($R1296="","",IFERROR(INDEX(DriverRank,MATCH($R1296,DriverList,0)),99))</f>
        <v/>
      </c>
      <c r="V1296" s="35" t="n">
        <f aca="false">IF($H1296="",0,IFERROR(INDEX(LevelBasic,MATCH($H1296,LevelList,0))+INDEX(LevelHousing,MATCH($H1296,LevelList,0))+INDEX(LevelTransport,MATCH($H1296,LevelList,0))+INDEX(LevelBasic,MATCH($H1296,LevelList,0))*INDEX(LevelBonus,MATCH($H1296,LevelList,0))+(INDEX(LevelBasic,MATCH($H1296,LevelList,0))+INDEX(LevelHousing,MATCH($H1296,LevelList,0)))*GosiSaudi,0))</f>
        <v>0</v>
      </c>
      <c r="W1296" s="35" t="n">
        <f aca="false">IFERROR(INDEX(LevelOneOff,MATCH($H1296,LevelList,0)),0)</f>
        <v>0</v>
      </c>
      <c r="X1296" s="35" t="str">
        <f aca="false">IF($G1296="","",$V1296*N($L1296))</f>
        <v/>
      </c>
      <c r="Y1296" s="35" t="str">
        <f aca="false">IF($G1296="","",$V1296*(N($M1296)*1+N($N1296)*0.75+N($O1296)*0.5+N($P1296)*0.25)+$W1296*N($L1296))</f>
        <v/>
      </c>
      <c r="Z1296" s="35" t="str">
        <f aca="false">IF($G1296="","",$U1296*1000000+ROW())</f>
        <v/>
      </c>
      <c r="AA1296" s="36" t="str">
        <f aca="false">IF($G1296="","",MID(IF($C1296="",", no division","")&amp;IF($E1296="",", no unit","")&amp;IF($H1296="",", no career level","")&amp;IF(N($L1296)&lt;=0,", no quarter split","")&amp;IF($R1296="",", no driver","")&amp;IF(AND($H1296&lt;&gt;"",COUNTIF(CareerLevels,$H1296)=0),", a career level that is not on the ladder","")&amp;IF(AND($R1296&lt;&gt;"",COUNTIF(DriverList,$R1296)=0),", a driver that is not on the list","")&amp;IF(ABS(N($L1296)-(N($M1296)+N($N1296)+N($O1296)+N($P1296)))&gt;0.001,", a total that does not match its quarters",""),3,300))</f>
        <v/>
      </c>
    </row>
    <row r="1297" customFormat="false" ht="15" hidden="false" customHeight="false" outlineLevel="0" collapsed="false">
      <c r="A1297" s="33" t="str">
        <f aca="false">IF($G1297="","","Legal Group")</f>
        <v/>
      </c>
      <c r="B1297" s="19"/>
      <c r="C1297" s="19"/>
      <c r="D1297" s="19"/>
      <c r="E1297" s="19"/>
      <c r="F1297" s="19"/>
      <c r="G1297" s="19"/>
      <c r="H1297" s="19"/>
      <c r="I1297" s="19"/>
      <c r="J1297" s="19"/>
      <c r="K1297" s="19"/>
      <c r="L1297" s="19"/>
      <c r="M1297" s="19"/>
      <c r="N1297" s="19"/>
      <c r="O1297" s="19"/>
      <c r="P1297" s="19"/>
      <c r="Q1297" s="19"/>
      <c r="R1297" s="19"/>
      <c r="S1297" s="19"/>
      <c r="T1297" s="34" t="str">
        <f aca="false">IF($R1297="","",IFERROR(INDEX(DriverCategory,MATCH($R1297,DriverList,0)),"BAU"))</f>
        <v/>
      </c>
      <c r="U1297" s="34" t="str">
        <f aca="false">IF($R1297="","",IFERROR(INDEX(DriverRank,MATCH($R1297,DriverList,0)),99))</f>
        <v/>
      </c>
      <c r="V1297" s="35" t="n">
        <f aca="false">IF($H1297="",0,IFERROR(INDEX(LevelBasic,MATCH($H1297,LevelList,0))+INDEX(LevelHousing,MATCH($H1297,LevelList,0))+INDEX(LevelTransport,MATCH($H1297,LevelList,0))+INDEX(LevelBasic,MATCH($H1297,LevelList,0))*INDEX(LevelBonus,MATCH($H1297,LevelList,0))+(INDEX(LevelBasic,MATCH($H1297,LevelList,0))+INDEX(LevelHousing,MATCH($H1297,LevelList,0)))*GosiSaudi,0))</f>
        <v>0</v>
      </c>
      <c r="W1297" s="35" t="n">
        <f aca="false">IFERROR(INDEX(LevelOneOff,MATCH($H1297,LevelList,0)),0)</f>
        <v>0</v>
      </c>
      <c r="X1297" s="35" t="str">
        <f aca="false">IF($G1297="","",$V1297*N($L1297))</f>
        <v/>
      </c>
      <c r="Y1297" s="35" t="str">
        <f aca="false">IF($G1297="","",$V1297*(N($M1297)*1+N($N1297)*0.75+N($O1297)*0.5+N($P1297)*0.25)+$W1297*N($L1297))</f>
        <v/>
      </c>
      <c r="Z1297" s="35" t="str">
        <f aca="false">IF($G1297="","",$U1297*1000000+ROW())</f>
        <v/>
      </c>
      <c r="AA1297" s="36" t="str">
        <f aca="false">IF($G1297="","",MID(IF($C1297="",", no division","")&amp;IF($E1297="",", no unit","")&amp;IF($H1297="",", no career level","")&amp;IF(N($L1297)&lt;=0,", no quarter split","")&amp;IF($R1297="",", no driver","")&amp;IF(AND($H1297&lt;&gt;"",COUNTIF(CareerLevels,$H1297)=0),", a career level that is not on the ladder","")&amp;IF(AND($R1297&lt;&gt;"",COUNTIF(DriverList,$R1297)=0),", a driver that is not on the list","")&amp;IF(ABS(N($L1297)-(N($M1297)+N($N1297)+N($O1297)+N($P1297)))&gt;0.001,", a total that does not match its quarters",""),3,300))</f>
        <v/>
      </c>
    </row>
    <row r="1298" customFormat="false" ht="15" hidden="false" customHeight="false" outlineLevel="0" collapsed="false">
      <c r="A1298" s="33" t="str">
        <f aca="false">IF($G1298="","","Legal Group")</f>
        <v/>
      </c>
      <c r="B1298" s="19"/>
      <c r="C1298" s="19"/>
      <c r="D1298" s="19"/>
      <c r="E1298" s="19"/>
      <c r="F1298" s="19"/>
      <c r="G1298" s="19"/>
      <c r="H1298" s="19"/>
      <c r="I1298" s="19"/>
      <c r="J1298" s="19"/>
      <c r="K1298" s="19"/>
      <c r="L1298" s="19"/>
      <c r="M1298" s="19"/>
      <c r="N1298" s="19"/>
      <c r="O1298" s="19"/>
      <c r="P1298" s="19"/>
      <c r="Q1298" s="19"/>
      <c r="R1298" s="19"/>
      <c r="S1298" s="19"/>
      <c r="T1298" s="34" t="str">
        <f aca="false">IF($R1298="","",IFERROR(INDEX(DriverCategory,MATCH($R1298,DriverList,0)),"BAU"))</f>
        <v/>
      </c>
      <c r="U1298" s="34" t="str">
        <f aca="false">IF($R1298="","",IFERROR(INDEX(DriverRank,MATCH($R1298,DriverList,0)),99))</f>
        <v/>
      </c>
      <c r="V1298" s="35" t="n">
        <f aca="false">IF($H1298="",0,IFERROR(INDEX(LevelBasic,MATCH($H1298,LevelList,0))+INDEX(LevelHousing,MATCH($H1298,LevelList,0))+INDEX(LevelTransport,MATCH($H1298,LevelList,0))+INDEX(LevelBasic,MATCH($H1298,LevelList,0))*INDEX(LevelBonus,MATCH($H1298,LevelList,0))+(INDEX(LevelBasic,MATCH($H1298,LevelList,0))+INDEX(LevelHousing,MATCH($H1298,LevelList,0)))*GosiSaudi,0))</f>
        <v>0</v>
      </c>
      <c r="W1298" s="35" t="n">
        <f aca="false">IFERROR(INDEX(LevelOneOff,MATCH($H1298,LevelList,0)),0)</f>
        <v>0</v>
      </c>
      <c r="X1298" s="35" t="str">
        <f aca="false">IF($G1298="","",$V1298*N($L1298))</f>
        <v/>
      </c>
      <c r="Y1298" s="35" t="str">
        <f aca="false">IF($G1298="","",$V1298*(N($M1298)*1+N($N1298)*0.75+N($O1298)*0.5+N($P1298)*0.25)+$W1298*N($L1298))</f>
        <v/>
      </c>
      <c r="Z1298" s="35" t="str">
        <f aca="false">IF($G1298="","",$U1298*1000000+ROW())</f>
        <v/>
      </c>
      <c r="AA1298" s="36" t="str">
        <f aca="false">IF($G1298="","",MID(IF($C1298="",", no division","")&amp;IF($E1298="",", no unit","")&amp;IF($H1298="",", no career level","")&amp;IF(N($L1298)&lt;=0,", no quarter split","")&amp;IF($R1298="",", no driver","")&amp;IF(AND($H1298&lt;&gt;"",COUNTIF(CareerLevels,$H1298)=0),", a career level that is not on the ladder","")&amp;IF(AND($R1298&lt;&gt;"",COUNTIF(DriverList,$R1298)=0),", a driver that is not on the list","")&amp;IF(ABS(N($L1298)-(N($M1298)+N($N1298)+N($O1298)+N($P1298)))&gt;0.001,", a total that does not match its quarters",""),3,300))</f>
        <v/>
      </c>
    </row>
    <row r="1299" customFormat="false" ht="15" hidden="false" customHeight="false" outlineLevel="0" collapsed="false">
      <c r="A1299" s="33" t="str">
        <f aca="false">IF($G1299="","","Legal Group")</f>
        <v/>
      </c>
      <c r="B1299" s="19"/>
      <c r="C1299" s="19"/>
      <c r="D1299" s="19"/>
      <c r="E1299" s="19"/>
      <c r="F1299" s="19"/>
      <c r="G1299" s="19"/>
      <c r="H1299" s="19"/>
      <c r="I1299" s="19"/>
      <c r="J1299" s="19"/>
      <c r="K1299" s="19"/>
      <c r="L1299" s="19"/>
      <c r="M1299" s="19"/>
      <c r="N1299" s="19"/>
      <c r="O1299" s="19"/>
      <c r="P1299" s="19"/>
      <c r="Q1299" s="19"/>
      <c r="R1299" s="19"/>
      <c r="S1299" s="19"/>
      <c r="T1299" s="34" t="str">
        <f aca="false">IF($R1299="","",IFERROR(INDEX(DriverCategory,MATCH($R1299,DriverList,0)),"BAU"))</f>
        <v/>
      </c>
      <c r="U1299" s="34" t="str">
        <f aca="false">IF($R1299="","",IFERROR(INDEX(DriverRank,MATCH($R1299,DriverList,0)),99))</f>
        <v/>
      </c>
      <c r="V1299" s="35" t="n">
        <f aca="false">IF($H1299="",0,IFERROR(INDEX(LevelBasic,MATCH($H1299,LevelList,0))+INDEX(LevelHousing,MATCH($H1299,LevelList,0))+INDEX(LevelTransport,MATCH($H1299,LevelList,0))+INDEX(LevelBasic,MATCH($H1299,LevelList,0))*INDEX(LevelBonus,MATCH($H1299,LevelList,0))+(INDEX(LevelBasic,MATCH($H1299,LevelList,0))+INDEX(LevelHousing,MATCH($H1299,LevelList,0)))*GosiSaudi,0))</f>
        <v>0</v>
      </c>
      <c r="W1299" s="35" t="n">
        <f aca="false">IFERROR(INDEX(LevelOneOff,MATCH($H1299,LevelList,0)),0)</f>
        <v>0</v>
      </c>
      <c r="X1299" s="35" t="str">
        <f aca="false">IF($G1299="","",$V1299*N($L1299))</f>
        <v/>
      </c>
      <c r="Y1299" s="35" t="str">
        <f aca="false">IF($G1299="","",$V1299*(N($M1299)*1+N($N1299)*0.75+N($O1299)*0.5+N($P1299)*0.25)+$W1299*N($L1299))</f>
        <v/>
      </c>
      <c r="Z1299" s="35" t="str">
        <f aca="false">IF($G1299="","",$U1299*1000000+ROW())</f>
        <v/>
      </c>
      <c r="AA1299" s="36" t="str">
        <f aca="false">IF($G1299="","",MID(IF($C1299="",", no division","")&amp;IF($E1299="",", no unit","")&amp;IF($H1299="",", no career level","")&amp;IF(N($L1299)&lt;=0,", no quarter split","")&amp;IF($R1299="",", no driver","")&amp;IF(AND($H1299&lt;&gt;"",COUNTIF(CareerLevels,$H1299)=0),", a career level that is not on the ladder","")&amp;IF(AND($R1299&lt;&gt;"",COUNTIF(DriverList,$R1299)=0),", a driver that is not on the list","")&amp;IF(ABS(N($L1299)-(N($M1299)+N($N1299)+N($O1299)+N($P1299)))&gt;0.001,", a total that does not match its quarters",""),3,300))</f>
        <v/>
      </c>
    </row>
    <row r="1300" customFormat="false" ht="15" hidden="false" customHeight="false" outlineLevel="0" collapsed="false">
      <c r="A1300" s="33" t="str">
        <f aca="false">IF($G1300="","","Legal Group")</f>
        <v/>
      </c>
      <c r="B1300" s="19"/>
      <c r="C1300" s="19"/>
      <c r="D1300" s="19"/>
      <c r="E1300" s="19"/>
      <c r="F1300" s="19"/>
      <c r="G1300" s="19"/>
      <c r="H1300" s="19"/>
      <c r="I1300" s="19"/>
      <c r="J1300" s="19"/>
      <c r="K1300" s="19"/>
      <c r="L1300" s="19"/>
      <c r="M1300" s="19"/>
      <c r="N1300" s="19"/>
      <c r="O1300" s="19"/>
      <c r="P1300" s="19"/>
      <c r="Q1300" s="19"/>
      <c r="R1300" s="19"/>
      <c r="S1300" s="19"/>
      <c r="T1300" s="34" t="str">
        <f aca="false">IF($R1300="","",IFERROR(INDEX(DriverCategory,MATCH($R1300,DriverList,0)),"BAU"))</f>
        <v/>
      </c>
      <c r="U1300" s="34" t="str">
        <f aca="false">IF($R1300="","",IFERROR(INDEX(DriverRank,MATCH($R1300,DriverList,0)),99))</f>
        <v/>
      </c>
      <c r="V1300" s="35" t="n">
        <f aca="false">IF($H1300="",0,IFERROR(INDEX(LevelBasic,MATCH($H1300,LevelList,0))+INDEX(LevelHousing,MATCH($H1300,LevelList,0))+INDEX(LevelTransport,MATCH($H1300,LevelList,0))+INDEX(LevelBasic,MATCH($H1300,LevelList,0))*INDEX(LevelBonus,MATCH($H1300,LevelList,0))+(INDEX(LevelBasic,MATCH($H1300,LevelList,0))+INDEX(LevelHousing,MATCH($H1300,LevelList,0)))*GosiSaudi,0))</f>
        <v>0</v>
      </c>
      <c r="W1300" s="35" t="n">
        <f aca="false">IFERROR(INDEX(LevelOneOff,MATCH($H1300,LevelList,0)),0)</f>
        <v>0</v>
      </c>
      <c r="X1300" s="35" t="str">
        <f aca="false">IF($G1300="","",$V1300*N($L1300))</f>
        <v/>
      </c>
      <c r="Y1300" s="35" t="str">
        <f aca="false">IF($G1300="","",$V1300*(N($M1300)*1+N($N1300)*0.75+N($O1300)*0.5+N($P1300)*0.25)+$W1300*N($L1300))</f>
        <v/>
      </c>
      <c r="Z1300" s="35" t="str">
        <f aca="false">IF($G1300="","",$U1300*1000000+ROW())</f>
        <v/>
      </c>
      <c r="AA1300" s="36" t="str">
        <f aca="false">IF($G1300="","",MID(IF($C1300="",", no division","")&amp;IF($E1300="",", no unit","")&amp;IF($H1300="",", no career level","")&amp;IF(N($L1300)&lt;=0,", no quarter split","")&amp;IF($R1300="",", no driver","")&amp;IF(AND($H1300&lt;&gt;"",COUNTIF(CareerLevels,$H1300)=0),", a career level that is not on the ladder","")&amp;IF(AND($R1300&lt;&gt;"",COUNTIF(DriverList,$R1300)=0),", a driver that is not on the list","")&amp;IF(ABS(N($L1300)-(N($M1300)+N($N1300)+N($O1300)+N($P1300)))&gt;0.001,", a total that does not match its quarters",""),3,300))</f>
        <v/>
      </c>
    </row>
    <row r="1301" customFormat="false" ht="15" hidden="false" customHeight="false" outlineLevel="0" collapsed="false">
      <c r="A1301" s="33" t="str">
        <f aca="false">IF($G1301="","","Legal Group")</f>
        <v/>
      </c>
      <c r="B1301" s="19"/>
      <c r="C1301" s="19"/>
      <c r="D1301" s="19"/>
      <c r="E1301" s="19"/>
      <c r="F1301" s="19"/>
      <c r="G1301" s="19"/>
      <c r="H1301" s="19"/>
      <c r="I1301" s="19"/>
      <c r="J1301" s="19"/>
      <c r="K1301" s="19"/>
      <c r="L1301" s="19"/>
      <c r="M1301" s="19"/>
      <c r="N1301" s="19"/>
      <c r="O1301" s="19"/>
      <c r="P1301" s="19"/>
      <c r="Q1301" s="19"/>
      <c r="R1301" s="19"/>
      <c r="S1301" s="19"/>
      <c r="T1301" s="34" t="str">
        <f aca="false">IF($R1301="","",IFERROR(INDEX(DriverCategory,MATCH($R1301,DriverList,0)),"BAU"))</f>
        <v/>
      </c>
      <c r="U1301" s="34" t="str">
        <f aca="false">IF($R1301="","",IFERROR(INDEX(DriverRank,MATCH($R1301,DriverList,0)),99))</f>
        <v/>
      </c>
      <c r="V1301" s="35" t="n">
        <f aca="false">IF($H1301="",0,IFERROR(INDEX(LevelBasic,MATCH($H1301,LevelList,0))+INDEX(LevelHousing,MATCH($H1301,LevelList,0))+INDEX(LevelTransport,MATCH($H1301,LevelList,0))+INDEX(LevelBasic,MATCH($H1301,LevelList,0))*INDEX(LevelBonus,MATCH($H1301,LevelList,0))+(INDEX(LevelBasic,MATCH($H1301,LevelList,0))+INDEX(LevelHousing,MATCH($H1301,LevelList,0)))*GosiSaudi,0))</f>
        <v>0</v>
      </c>
      <c r="W1301" s="35" t="n">
        <f aca="false">IFERROR(INDEX(LevelOneOff,MATCH($H1301,LevelList,0)),0)</f>
        <v>0</v>
      </c>
      <c r="X1301" s="35" t="str">
        <f aca="false">IF($G1301="","",$V1301*N($L1301))</f>
        <v/>
      </c>
      <c r="Y1301" s="35" t="str">
        <f aca="false">IF($G1301="","",$V1301*(N($M1301)*1+N($N1301)*0.75+N($O1301)*0.5+N($P1301)*0.25)+$W1301*N($L1301))</f>
        <v/>
      </c>
      <c r="Z1301" s="35" t="str">
        <f aca="false">IF($G1301="","",$U1301*1000000+ROW())</f>
        <v/>
      </c>
      <c r="AA1301" s="36" t="str">
        <f aca="false">IF($G1301="","",MID(IF($C1301="",", no division","")&amp;IF($E1301="",", no unit","")&amp;IF($H1301="",", no career level","")&amp;IF(N($L1301)&lt;=0,", no quarter split","")&amp;IF($R1301="",", no driver","")&amp;IF(AND($H1301&lt;&gt;"",COUNTIF(CareerLevels,$H1301)=0),", a career level that is not on the ladder","")&amp;IF(AND($R1301&lt;&gt;"",COUNTIF(DriverList,$R1301)=0),", a driver that is not on the list","")&amp;IF(ABS(N($L1301)-(N($M1301)+N($N1301)+N($O1301)+N($P1301)))&gt;0.001,", a total that does not match its quarters",""),3,300))</f>
        <v/>
      </c>
    </row>
    <row r="1302" customFormat="false" ht="15" hidden="false" customHeight="false" outlineLevel="0" collapsed="false">
      <c r="A1302" s="33" t="str">
        <f aca="false">IF($G1302="","","Legal Group")</f>
        <v/>
      </c>
      <c r="B1302" s="19"/>
      <c r="C1302" s="19"/>
      <c r="D1302" s="19"/>
      <c r="E1302" s="19"/>
      <c r="F1302" s="19"/>
      <c r="G1302" s="19"/>
      <c r="H1302" s="19"/>
      <c r="I1302" s="19"/>
      <c r="J1302" s="19"/>
      <c r="K1302" s="19"/>
      <c r="L1302" s="19"/>
      <c r="M1302" s="19"/>
      <c r="N1302" s="19"/>
      <c r="O1302" s="19"/>
      <c r="P1302" s="19"/>
      <c r="Q1302" s="19"/>
      <c r="R1302" s="19"/>
      <c r="S1302" s="19"/>
      <c r="T1302" s="34" t="str">
        <f aca="false">IF($R1302="","",IFERROR(INDEX(DriverCategory,MATCH($R1302,DriverList,0)),"BAU"))</f>
        <v/>
      </c>
      <c r="U1302" s="34" t="str">
        <f aca="false">IF($R1302="","",IFERROR(INDEX(DriverRank,MATCH($R1302,DriverList,0)),99))</f>
        <v/>
      </c>
      <c r="V1302" s="35" t="n">
        <f aca="false">IF($H1302="",0,IFERROR(INDEX(LevelBasic,MATCH($H1302,LevelList,0))+INDEX(LevelHousing,MATCH($H1302,LevelList,0))+INDEX(LevelTransport,MATCH($H1302,LevelList,0))+INDEX(LevelBasic,MATCH($H1302,LevelList,0))*INDEX(LevelBonus,MATCH($H1302,LevelList,0))+(INDEX(LevelBasic,MATCH($H1302,LevelList,0))+INDEX(LevelHousing,MATCH($H1302,LevelList,0)))*GosiSaudi,0))</f>
        <v>0</v>
      </c>
      <c r="W1302" s="35" t="n">
        <f aca="false">IFERROR(INDEX(LevelOneOff,MATCH($H1302,LevelList,0)),0)</f>
        <v>0</v>
      </c>
      <c r="X1302" s="35" t="str">
        <f aca="false">IF($G1302="","",$V1302*N($L1302))</f>
        <v/>
      </c>
      <c r="Y1302" s="35" t="str">
        <f aca="false">IF($G1302="","",$V1302*(N($M1302)*1+N($N1302)*0.75+N($O1302)*0.5+N($P1302)*0.25)+$W1302*N($L1302))</f>
        <v/>
      </c>
      <c r="Z1302" s="35" t="str">
        <f aca="false">IF($G1302="","",$U1302*1000000+ROW())</f>
        <v/>
      </c>
      <c r="AA1302" s="36" t="str">
        <f aca="false">IF($G1302="","",MID(IF($C1302="",", no division","")&amp;IF($E1302="",", no unit","")&amp;IF($H1302="",", no career level","")&amp;IF(N($L1302)&lt;=0,", no quarter split","")&amp;IF($R1302="",", no driver","")&amp;IF(AND($H1302&lt;&gt;"",COUNTIF(CareerLevels,$H1302)=0),", a career level that is not on the ladder","")&amp;IF(AND($R1302&lt;&gt;"",COUNTIF(DriverList,$R1302)=0),", a driver that is not on the list","")&amp;IF(ABS(N($L1302)-(N($M1302)+N($N1302)+N($O1302)+N($P1302)))&gt;0.001,", a total that does not match its quarters",""),3,300))</f>
        <v/>
      </c>
    </row>
    <row r="1303" customFormat="false" ht="15" hidden="false" customHeight="false" outlineLevel="0" collapsed="false">
      <c r="A1303" s="33" t="str">
        <f aca="false">IF($G1303="","","Legal Group")</f>
        <v/>
      </c>
      <c r="B1303" s="19"/>
      <c r="C1303" s="19"/>
      <c r="D1303" s="19"/>
      <c r="E1303" s="19"/>
      <c r="F1303" s="19"/>
      <c r="G1303" s="19"/>
      <c r="H1303" s="19"/>
      <c r="I1303" s="19"/>
      <c r="J1303" s="19"/>
      <c r="K1303" s="19"/>
      <c r="L1303" s="19"/>
      <c r="M1303" s="19"/>
      <c r="N1303" s="19"/>
      <c r="O1303" s="19"/>
      <c r="P1303" s="19"/>
      <c r="Q1303" s="19"/>
      <c r="R1303" s="19"/>
      <c r="S1303" s="19"/>
      <c r="T1303" s="34" t="str">
        <f aca="false">IF($R1303="","",IFERROR(INDEX(DriverCategory,MATCH($R1303,DriverList,0)),"BAU"))</f>
        <v/>
      </c>
      <c r="U1303" s="34" t="str">
        <f aca="false">IF($R1303="","",IFERROR(INDEX(DriverRank,MATCH($R1303,DriverList,0)),99))</f>
        <v/>
      </c>
      <c r="V1303" s="35" t="n">
        <f aca="false">IF($H1303="",0,IFERROR(INDEX(LevelBasic,MATCH($H1303,LevelList,0))+INDEX(LevelHousing,MATCH($H1303,LevelList,0))+INDEX(LevelTransport,MATCH($H1303,LevelList,0))+INDEX(LevelBasic,MATCH($H1303,LevelList,0))*INDEX(LevelBonus,MATCH($H1303,LevelList,0))+(INDEX(LevelBasic,MATCH($H1303,LevelList,0))+INDEX(LevelHousing,MATCH($H1303,LevelList,0)))*GosiSaudi,0))</f>
        <v>0</v>
      </c>
      <c r="W1303" s="35" t="n">
        <f aca="false">IFERROR(INDEX(LevelOneOff,MATCH($H1303,LevelList,0)),0)</f>
        <v>0</v>
      </c>
      <c r="X1303" s="35" t="str">
        <f aca="false">IF($G1303="","",$V1303*N($L1303))</f>
        <v/>
      </c>
      <c r="Y1303" s="35" t="str">
        <f aca="false">IF($G1303="","",$V1303*(N($M1303)*1+N($N1303)*0.75+N($O1303)*0.5+N($P1303)*0.25)+$W1303*N($L1303))</f>
        <v/>
      </c>
      <c r="Z1303" s="35" t="str">
        <f aca="false">IF($G1303="","",$U1303*1000000+ROW())</f>
        <v/>
      </c>
      <c r="AA1303" s="36" t="str">
        <f aca="false">IF($G1303="","",MID(IF($C1303="",", no division","")&amp;IF($E1303="",", no unit","")&amp;IF($H1303="",", no career level","")&amp;IF(N($L1303)&lt;=0,", no quarter split","")&amp;IF($R1303="",", no driver","")&amp;IF(AND($H1303&lt;&gt;"",COUNTIF(CareerLevels,$H1303)=0),", a career level that is not on the ladder","")&amp;IF(AND($R1303&lt;&gt;"",COUNTIF(DriverList,$R1303)=0),", a driver that is not on the list","")&amp;IF(ABS(N($L1303)-(N($M1303)+N($N1303)+N($O1303)+N($P1303)))&gt;0.001,", a total that does not match its quarters",""),3,300))</f>
        <v/>
      </c>
    </row>
    <row r="1304" customFormat="false" ht="15" hidden="false" customHeight="false" outlineLevel="0" collapsed="false">
      <c r="A1304" s="33" t="str">
        <f aca="false">IF($G1304="","","Legal Group")</f>
        <v/>
      </c>
      <c r="B1304" s="19"/>
      <c r="C1304" s="19"/>
      <c r="D1304" s="19"/>
      <c r="E1304" s="19"/>
      <c r="F1304" s="19"/>
      <c r="G1304" s="19"/>
      <c r="H1304" s="19"/>
      <c r="I1304" s="19"/>
      <c r="J1304" s="19"/>
      <c r="K1304" s="19"/>
      <c r="L1304" s="19"/>
      <c r="M1304" s="19"/>
      <c r="N1304" s="19"/>
      <c r="O1304" s="19"/>
      <c r="P1304" s="19"/>
      <c r="Q1304" s="19"/>
      <c r="R1304" s="19"/>
      <c r="S1304" s="19"/>
      <c r="T1304" s="34" t="str">
        <f aca="false">IF($R1304="","",IFERROR(INDEX(DriverCategory,MATCH($R1304,DriverList,0)),"BAU"))</f>
        <v/>
      </c>
      <c r="U1304" s="34" t="str">
        <f aca="false">IF($R1304="","",IFERROR(INDEX(DriverRank,MATCH($R1304,DriverList,0)),99))</f>
        <v/>
      </c>
      <c r="V1304" s="35" t="n">
        <f aca="false">IF($H1304="",0,IFERROR(INDEX(LevelBasic,MATCH($H1304,LevelList,0))+INDEX(LevelHousing,MATCH($H1304,LevelList,0))+INDEX(LevelTransport,MATCH($H1304,LevelList,0))+INDEX(LevelBasic,MATCH($H1304,LevelList,0))*INDEX(LevelBonus,MATCH($H1304,LevelList,0))+(INDEX(LevelBasic,MATCH($H1304,LevelList,0))+INDEX(LevelHousing,MATCH($H1304,LevelList,0)))*GosiSaudi,0))</f>
        <v>0</v>
      </c>
      <c r="W1304" s="35" t="n">
        <f aca="false">IFERROR(INDEX(LevelOneOff,MATCH($H1304,LevelList,0)),0)</f>
        <v>0</v>
      </c>
      <c r="X1304" s="35" t="str">
        <f aca="false">IF($G1304="","",$V1304*N($L1304))</f>
        <v/>
      </c>
      <c r="Y1304" s="35" t="str">
        <f aca="false">IF($G1304="","",$V1304*(N($M1304)*1+N($N1304)*0.75+N($O1304)*0.5+N($P1304)*0.25)+$W1304*N($L1304))</f>
        <v/>
      </c>
      <c r="Z1304" s="35" t="str">
        <f aca="false">IF($G1304="","",$U1304*1000000+ROW())</f>
        <v/>
      </c>
      <c r="AA1304" s="36" t="str">
        <f aca="false">IF($G1304="","",MID(IF($C1304="",", no division","")&amp;IF($E1304="",", no unit","")&amp;IF($H1304="",", no career level","")&amp;IF(N($L1304)&lt;=0,", no quarter split","")&amp;IF($R1304="",", no driver","")&amp;IF(AND($H1304&lt;&gt;"",COUNTIF(CareerLevels,$H1304)=0),", a career level that is not on the ladder","")&amp;IF(AND($R1304&lt;&gt;"",COUNTIF(DriverList,$R1304)=0),", a driver that is not on the list","")&amp;IF(ABS(N($L1304)-(N($M1304)+N($N1304)+N($O1304)+N($P1304)))&gt;0.001,", a total that does not match its quarters",""),3,300))</f>
        <v/>
      </c>
    </row>
    <row r="1305" customFormat="false" ht="15" hidden="false" customHeight="false" outlineLevel="0" collapsed="false">
      <c r="A1305" s="33" t="str">
        <f aca="false">IF($G1305="","","Legal Group")</f>
        <v/>
      </c>
      <c r="B1305" s="19"/>
      <c r="C1305" s="19"/>
      <c r="D1305" s="19"/>
      <c r="E1305" s="19"/>
      <c r="F1305" s="19"/>
      <c r="G1305" s="19"/>
      <c r="H1305" s="19"/>
      <c r="I1305" s="19"/>
      <c r="J1305" s="19"/>
      <c r="K1305" s="19"/>
      <c r="L1305" s="19"/>
      <c r="M1305" s="19"/>
      <c r="N1305" s="19"/>
      <c r="O1305" s="19"/>
      <c r="P1305" s="19"/>
      <c r="Q1305" s="19"/>
      <c r="R1305" s="19"/>
      <c r="S1305" s="19"/>
      <c r="T1305" s="34" t="str">
        <f aca="false">IF($R1305="","",IFERROR(INDEX(DriverCategory,MATCH($R1305,DriverList,0)),"BAU"))</f>
        <v/>
      </c>
      <c r="U1305" s="34" t="str">
        <f aca="false">IF($R1305="","",IFERROR(INDEX(DriverRank,MATCH($R1305,DriverList,0)),99))</f>
        <v/>
      </c>
      <c r="V1305" s="35" t="n">
        <f aca="false">IF($H1305="",0,IFERROR(INDEX(LevelBasic,MATCH($H1305,LevelList,0))+INDEX(LevelHousing,MATCH($H1305,LevelList,0))+INDEX(LevelTransport,MATCH($H1305,LevelList,0))+INDEX(LevelBasic,MATCH($H1305,LevelList,0))*INDEX(LevelBonus,MATCH($H1305,LevelList,0))+(INDEX(LevelBasic,MATCH($H1305,LevelList,0))+INDEX(LevelHousing,MATCH($H1305,LevelList,0)))*GosiSaudi,0))</f>
        <v>0</v>
      </c>
      <c r="W1305" s="35" t="n">
        <f aca="false">IFERROR(INDEX(LevelOneOff,MATCH($H1305,LevelList,0)),0)</f>
        <v>0</v>
      </c>
      <c r="X1305" s="35" t="str">
        <f aca="false">IF($G1305="","",$V1305*N($L1305))</f>
        <v/>
      </c>
      <c r="Y1305" s="35" t="str">
        <f aca="false">IF($G1305="","",$V1305*(N($M1305)*1+N($N1305)*0.75+N($O1305)*0.5+N($P1305)*0.25)+$W1305*N($L1305))</f>
        <v/>
      </c>
      <c r="Z1305" s="35" t="str">
        <f aca="false">IF($G1305="","",$U1305*1000000+ROW())</f>
        <v/>
      </c>
      <c r="AA1305" s="36" t="str">
        <f aca="false">IF($G1305="","",MID(IF($C1305="",", no division","")&amp;IF($E1305="",", no unit","")&amp;IF($H1305="",", no career level","")&amp;IF(N($L1305)&lt;=0,", no quarter split","")&amp;IF($R1305="",", no driver","")&amp;IF(AND($H1305&lt;&gt;"",COUNTIF(CareerLevels,$H1305)=0),", a career level that is not on the ladder","")&amp;IF(AND($R1305&lt;&gt;"",COUNTIF(DriverList,$R1305)=0),", a driver that is not on the list","")&amp;IF(ABS(N($L1305)-(N($M1305)+N($N1305)+N($O1305)+N($P1305)))&gt;0.001,", a total that does not match its quarters",""),3,300))</f>
        <v/>
      </c>
    </row>
    <row r="1306" customFormat="false" ht="15" hidden="false" customHeight="false" outlineLevel="0" collapsed="false">
      <c r="A1306" s="33" t="str">
        <f aca="false">IF($G1306="","","Legal Group")</f>
        <v/>
      </c>
      <c r="B1306" s="19"/>
      <c r="C1306" s="19"/>
      <c r="D1306" s="19"/>
      <c r="E1306" s="19"/>
      <c r="F1306" s="19"/>
      <c r="G1306" s="19"/>
      <c r="H1306" s="19"/>
      <c r="I1306" s="19"/>
      <c r="J1306" s="19"/>
      <c r="K1306" s="19"/>
      <c r="L1306" s="19"/>
      <c r="M1306" s="19"/>
      <c r="N1306" s="19"/>
      <c r="O1306" s="19"/>
      <c r="P1306" s="19"/>
      <c r="Q1306" s="19"/>
      <c r="R1306" s="19"/>
      <c r="S1306" s="19"/>
      <c r="T1306" s="34" t="str">
        <f aca="false">IF($R1306="","",IFERROR(INDEX(DriverCategory,MATCH($R1306,DriverList,0)),"BAU"))</f>
        <v/>
      </c>
      <c r="U1306" s="34" t="str">
        <f aca="false">IF($R1306="","",IFERROR(INDEX(DriverRank,MATCH($R1306,DriverList,0)),99))</f>
        <v/>
      </c>
      <c r="V1306" s="35" t="n">
        <f aca="false">IF($H1306="",0,IFERROR(INDEX(LevelBasic,MATCH($H1306,LevelList,0))+INDEX(LevelHousing,MATCH($H1306,LevelList,0))+INDEX(LevelTransport,MATCH($H1306,LevelList,0))+INDEX(LevelBasic,MATCH($H1306,LevelList,0))*INDEX(LevelBonus,MATCH($H1306,LevelList,0))+(INDEX(LevelBasic,MATCH($H1306,LevelList,0))+INDEX(LevelHousing,MATCH($H1306,LevelList,0)))*GosiSaudi,0))</f>
        <v>0</v>
      </c>
      <c r="W1306" s="35" t="n">
        <f aca="false">IFERROR(INDEX(LevelOneOff,MATCH($H1306,LevelList,0)),0)</f>
        <v>0</v>
      </c>
      <c r="X1306" s="35" t="str">
        <f aca="false">IF($G1306="","",$V1306*N($L1306))</f>
        <v/>
      </c>
      <c r="Y1306" s="35" t="str">
        <f aca="false">IF($G1306="","",$V1306*(N($M1306)*1+N($N1306)*0.75+N($O1306)*0.5+N($P1306)*0.25)+$W1306*N($L1306))</f>
        <v/>
      </c>
      <c r="Z1306" s="35" t="str">
        <f aca="false">IF($G1306="","",$U1306*1000000+ROW())</f>
        <v/>
      </c>
      <c r="AA1306" s="36" t="str">
        <f aca="false">IF($G1306="","",MID(IF($C1306="",", no division","")&amp;IF($E1306="",", no unit","")&amp;IF($H1306="",", no career level","")&amp;IF(N($L1306)&lt;=0,", no quarter split","")&amp;IF($R1306="",", no driver","")&amp;IF(AND($H1306&lt;&gt;"",COUNTIF(CareerLevels,$H1306)=0),", a career level that is not on the ladder","")&amp;IF(AND($R1306&lt;&gt;"",COUNTIF(DriverList,$R1306)=0),", a driver that is not on the list","")&amp;IF(ABS(N($L1306)-(N($M1306)+N($N1306)+N($O1306)+N($P1306)))&gt;0.001,", a total that does not match its quarters",""),3,300))</f>
        <v/>
      </c>
    </row>
    <row r="1307" customFormat="false" ht="15" hidden="false" customHeight="false" outlineLevel="0" collapsed="false">
      <c r="A1307" s="33" t="str">
        <f aca="false">IF($G1307="","","Legal Group")</f>
        <v/>
      </c>
      <c r="B1307" s="19"/>
      <c r="C1307" s="19"/>
      <c r="D1307" s="19"/>
      <c r="E1307" s="19"/>
      <c r="F1307" s="19"/>
      <c r="G1307" s="19"/>
      <c r="H1307" s="19"/>
      <c r="I1307" s="19"/>
      <c r="J1307" s="19"/>
      <c r="K1307" s="19"/>
      <c r="L1307" s="19"/>
      <c r="M1307" s="19"/>
      <c r="N1307" s="19"/>
      <c r="O1307" s="19"/>
      <c r="P1307" s="19"/>
      <c r="Q1307" s="19"/>
      <c r="R1307" s="19"/>
      <c r="S1307" s="19"/>
      <c r="T1307" s="34" t="str">
        <f aca="false">IF($R1307="","",IFERROR(INDEX(DriverCategory,MATCH($R1307,DriverList,0)),"BAU"))</f>
        <v/>
      </c>
      <c r="U1307" s="34" t="str">
        <f aca="false">IF($R1307="","",IFERROR(INDEX(DriverRank,MATCH($R1307,DriverList,0)),99))</f>
        <v/>
      </c>
      <c r="V1307" s="35" t="n">
        <f aca="false">IF($H1307="",0,IFERROR(INDEX(LevelBasic,MATCH($H1307,LevelList,0))+INDEX(LevelHousing,MATCH($H1307,LevelList,0))+INDEX(LevelTransport,MATCH($H1307,LevelList,0))+INDEX(LevelBasic,MATCH($H1307,LevelList,0))*INDEX(LevelBonus,MATCH($H1307,LevelList,0))+(INDEX(LevelBasic,MATCH($H1307,LevelList,0))+INDEX(LevelHousing,MATCH($H1307,LevelList,0)))*GosiSaudi,0))</f>
        <v>0</v>
      </c>
      <c r="W1307" s="35" t="n">
        <f aca="false">IFERROR(INDEX(LevelOneOff,MATCH($H1307,LevelList,0)),0)</f>
        <v>0</v>
      </c>
      <c r="X1307" s="35" t="str">
        <f aca="false">IF($G1307="","",$V1307*N($L1307))</f>
        <v/>
      </c>
      <c r="Y1307" s="35" t="str">
        <f aca="false">IF($G1307="","",$V1307*(N($M1307)*1+N($N1307)*0.75+N($O1307)*0.5+N($P1307)*0.25)+$W1307*N($L1307))</f>
        <v/>
      </c>
      <c r="Z1307" s="35" t="str">
        <f aca="false">IF($G1307="","",$U1307*1000000+ROW())</f>
        <v/>
      </c>
      <c r="AA1307" s="36" t="str">
        <f aca="false">IF($G1307="","",MID(IF($C1307="",", no division","")&amp;IF($E1307="",", no unit","")&amp;IF($H1307="",", no career level","")&amp;IF(N($L1307)&lt;=0,", no quarter split","")&amp;IF($R1307="",", no driver","")&amp;IF(AND($H1307&lt;&gt;"",COUNTIF(CareerLevels,$H1307)=0),", a career level that is not on the ladder","")&amp;IF(AND($R1307&lt;&gt;"",COUNTIF(DriverList,$R1307)=0),", a driver that is not on the list","")&amp;IF(ABS(N($L1307)-(N($M1307)+N($N1307)+N($O1307)+N($P1307)))&gt;0.001,", a total that does not match its quarters",""),3,300))</f>
        <v/>
      </c>
    </row>
    <row r="1308" customFormat="false" ht="15" hidden="false" customHeight="false" outlineLevel="0" collapsed="false">
      <c r="A1308" s="33" t="str">
        <f aca="false">IF($G1308="","","Legal Group")</f>
        <v/>
      </c>
      <c r="B1308" s="19"/>
      <c r="C1308" s="19"/>
      <c r="D1308" s="19"/>
      <c r="E1308" s="19"/>
      <c r="F1308" s="19"/>
      <c r="G1308" s="19"/>
      <c r="H1308" s="19"/>
      <c r="I1308" s="19"/>
      <c r="J1308" s="19"/>
      <c r="K1308" s="19"/>
      <c r="L1308" s="19"/>
      <c r="M1308" s="19"/>
      <c r="N1308" s="19"/>
      <c r="O1308" s="19"/>
      <c r="P1308" s="19"/>
      <c r="Q1308" s="19"/>
      <c r="R1308" s="19"/>
      <c r="S1308" s="19"/>
      <c r="T1308" s="34" t="str">
        <f aca="false">IF($R1308="","",IFERROR(INDEX(DriverCategory,MATCH($R1308,DriverList,0)),"BAU"))</f>
        <v/>
      </c>
      <c r="U1308" s="34" t="str">
        <f aca="false">IF($R1308="","",IFERROR(INDEX(DriverRank,MATCH($R1308,DriverList,0)),99))</f>
        <v/>
      </c>
      <c r="V1308" s="35" t="n">
        <f aca="false">IF($H1308="",0,IFERROR(INDEX(LevelBasic,MATCH($H1308,LevelList,0))+INDEX(LevelHousing,MATCH($H1308,LevelList,0))+INDEX(LevelTransport,MATCH($H1308,LevelList,0))+INDEX(LevelBasic,MATCH($H1308,LevelList,0))*INDEX(LevelBonus,MATCH($H1308,LevelList,0))+(INDEX(LevelBasic,MATCH($H1308,LevelList,0))+INDEX(LevelHousing,MATCH($H1308,LevelList,0)))*GosiSaudi,0))</f>
        <v>0</v>
      </c>
      <c r="W1308" s="35" t="n">
        <f aca="false">IFERROR(INDEX(LevelOneOff,MATCH($H1308,LevelList,0)),0)</f>
        <v>0</v>
      </c>
      <c r="X1308" s="35" t="str">
        <f aca="false">IF($G1308="","",$V1308*N($L1308))</f>
        <v/>
      </c>
      <c r="Y1308" s="35" t="str">
        <f aca="false">IF($G1308="","",$V1308*(N($M1308)*1+N($N1308)*0.75+N($O1308)*0.5+N($P1308)*0.25)+$W1308*N($L1308))</f>
        <v/>
      </c>
      <c r="Z1308" s="35" t="str">
        <f aca="false">IF($G1308="","",$U1308*1000000+ROW())</f>
        <v/>
      </c>
      <c r="AA1308" s="36" t="str">
        <f aca="false">IF($G1308="","",MID(IF($C1308="",", no division","")&amp;IF($E1308="",", no unit","")&amp;IF($H1308="",", no career level","")&amp;IF(N($L1308)&lt;=0,", no quarter split","")&amp;IF($R1308="",", no driver","")&amp;IF(AND($H1308&lt;&gt;"",COUNTIF(CareerLevels,$H1308)=0),", a career level that is not on the ladder","")&amp;IF(AND($R1308&lt;&gt;"",COUNTIF(DriverList,$R1308)=0),", a driver that is not on the list","")&amp;IF(ABS(N($L1308)-(N($M1308)+N($N1308)+N($O1308)+N($P1308)))&gt;0.001,", a total that does not match its quarters",""),3,300))</f>
        <v/>
      </c>
    </row>
    <row r="1309" customFormat="false" ht="15" hidden="false" customHeight="false" outlineLevel="0" collapsed="false">
      <c r="A1309" s="33" t="str">
        <f aca="false">IF($G1309="","","Legal Group")</f>
        <v/>
      </c>
      <c r="B1309" s="19"/>
      <c r="C1309" s="19"/>
      <c r="D1309" s="19"/>
      <c r="E1309" s="19"/>
      <c r="F1309" s="19"/>
      <c r="G1309" s="19"/>
      <c r="H1309" s="19"/>
      <c r="I1309" s="19"/>
      <c r="J1309" s="19"/>
      <c r="K1309" s="19"/>
      <c r="L1309" s="19"/>
      <c r="M1309" s="19"/>
      <c r="N1309" s="19"/>
      <c r="O1309" s="19"/>
      <c r="P1309" s="19"/>
      <c r="Q1309" s="19"/>
      <c r="R1309" s="19"/>
      <c r="S1309" s="19"/>
      <c r="T1309" s="34" t="str">
        <f aca="false">IF($R1309="","",IFERROR(INDEX(DriverCategory,MATCH($R1309,DriverList,0)),"BAU"))</f>
        <v/>
      </c>
      <c r="U1309" s="34" t="str">
        <f aca="false">IF($R1309="","",IFERROR(INDEX(DriverRank,MATCH($R1309,DriverList,0)),99))</f>
        <v/>
      </c>
      <c r="V1309" s="35" t="n">
        <f aca="false">IF($H1309="",0,IFERROR(INDEX(LevelBasic,MATCH($H1309,LevelList,0))+INDEX(LevelHousing,MATCH($H1309,LevelList,0))+INDEX(LevelTransport,MATCH($H1309,LevelList,0))+INDEX(LevelBasic,MATCH($H1309,LevelList,0))*INDEX(LevelBonus,MATCH($H1309,LevelList,0))+(INDEX(LevelBasic,MATCH($H1309,LevelList,0))+INDEX(LevelHousing,MATCH($H1309,LevelList,0)))*GosiSaudi,0))</f>
        <v>0</v>
      </c>
      <c r="W1309" s="35" t="n">
        <f aca="false">IFERROR(INDEX(LevelOneOff,MATCH($H1309,LevelList,0)),0)</f>
        <v>0</v>
      </c>
      <c r="X1309" s="35" t="str">
        <f aca="false">IF($G1309="","",$V1309*N($L1309))</f>
        <v/>
      </c>
      <c r="Y1309" s="35" t="str">
        <f aca="false">IF($G1309="","",$V1309*(N($M1309)*1+N($N1309)*0.75+N($O1309)*0.5+N($P1309)*0.25)+$W1309*N($L1309))</f>
        <v/>
      </c>
      <c r="Z1309" s="35" t="str">
        <f aca="false">IF($G1309="","",$U1309*1000000+ROW())</f>
        <v/>
      </c>
      <c r="AA1309" s="36" t="str">
        <f aca="false">IF($G1309="","",MID(IF($C1309="",", no division","")&amp;IF($E1309="",", no unit","")&amp;IF($H1309="",", no career level","")&amp;IF(N($L1309)&lt;=0,", no quarter split","")&amp;IF($R1309="",", no driver","")&amp;IF(AND($H1309&lt;&gt;"",COUNTIF(CareerLevels,$H1309)=0),", a career level that is not on the ladder","")&amp;IF(AND($R1309&lt;&gt;"",COUNTIF(DriverList,$R1309)=0),", a driver that is not on the list","")&amp;IF(ABS(N($L1309)-(N($M1309)+N($N1309)+N($O1309)+N($P1309)))&gt;0.001,", a total that does not match its quarters",""),3,300))</f>
        <v/>
      </c>
    </row>
    <row r="1310" customFormat="false" ht="15" hidden="false" customHeight="false" outlineLevel="0" collapsed="false">
      <c r="A1310" s="33" t="str">
        <f aca="false">IF($G1310="","","Legal Group")</f>
        <v/>
      </c>
      <c r="B1310" s="19"/>
      <c r="C1310" s="19"/>
      <c r="D1310" s="19"/>
      <c r="E1310" s="19"/>
      <c r="F1310" s="19"/>
      <c r="G1310" s="19"/>
      <c r="H1310" s="19"/>
      <c r="I1310" s="19"/>
      <c r="J1310" s="19"/>
      <c r="K1310" s="19"/>
      <c r="L1310" s="19"/>
      <c r="M1310" s="19"/>
      <c r="N1310" s="19"/>
      <c r="O1310" s="19"/>
      <c r="P1310" s="19"/>
      <c r="Q1310" s="19"/>
      <c r="R1310" s="19"/>
      <c r="S1310" s="19"/>
      <c r="T1310" s="34" t="str">
        <f aca="false">IF($R1310="","",IFERROR(INDEX(DriverCategory,MATCH($R1310,DriverList,0)),"BAU"))</f>
        <v/>
      </c>
      <c r="U1310" s="34" t="str">
        <f aca="false">IF($R1310="","",IFERROR(INDEX(DriverRank,MATCH($R1310,DriverList,0)),99))</f>
        <v/>
      </c>
      <c r="V1310" s="35" t="n">
        <f aca="false">IF($H1310="",0,IFERROR(INDEX(LevelBasic,MATCH($H1310,LevelList,0))+INDEX(LevelHousing,MATCH($H1310,LevelList,0))+INDEX(LevelTransport,MATCH($H1310,LevelList,0))+INDEX(LevelBasic,MATCH($H1310,LevelList,0))*INDEX(LevelBonus,MATCH($H1310,LevelList,0))+(INDEX(LevelBasic,MATCH($H1310,LevelList,0))+INDEX(LevelHousing,MATCH($H1310,LevelList,0)))*GosiSaudi,0))</f>
        <v>0</v>
      </c>
      <c r="W1310" s="35" t="n">
        <f aca="false">IFERROR(INDEX(LevelOneOff,MATCH($H1310,LevelList,0)),0)</f>
        <v>0</v>
      </c>
      <c r="X1310" s="35" t="str">
        <f aca="false">IF($G1310="","",$V1310*N($L1310))</f>
        <v/>
      </c>
      <c r="Y1310" s="35" t="str">
        <f aca="false">IF($G1310="","",$V1310*(N($M1310)*1+N($N1310)*0.75+N($O1310)*0.5+N($P1310)*0.25)+$W1310*N($L1310))</f>
        <v/>
      </c>
      <c r="Z1310" s="35" t="str">
        <f aca="false">IF($G1310="","",$U1310*1000000+ROW())</f>
        <v/>
      </c>
      <c r="AA1310" s="36" t="str">
        <f aca="false">IF($G1310="","",MID(IF($C1310="",", no division","")&amp;IF($E1310="",", no unit","")&amp;IF($H1310="",", no career level","")&amp;IF(N($L1310)&lt;=0,", no quarter split","")&amp;IF($R1310="",", no driver","")&amp;IF(AND($H1310&lt;&gt;"",COUNTIF(CareerLevels,$H1310)=0),", a career level that is not on the ladder","")&amp;IF(AND($R1310&lt;&gt;"",COUNTIF(DriverList,$R1310)=0),", a driver that is not on the list","")&amp;IF(ABS(N($L1310)-(N($M1310)+N($N1310)+N($O1310)+N($P1310)))&gt;0.001,", a total that does not match its quarters",""),3,300))</f>
        <v/>
      </c>
    </row>
    <row r="1311" customFormat="false" ht="15" hidden="false" customHeight="false" outlineLevel="0" collapsed="false">
      <c r="A1311" s="33" t="str">
        <f aca="false">IF($G1311="","","Legal Group")</f>
        <v/>
      </c>
      <c r="B1311" s="19"/>
      <c r="C1311" s="19"/>
      <c r="D1311" s="19"/>
      <c r="E1311" s="19"/>
      <c r="F1311" s="19"/>
      <c r="G1311" s="19"/>
      <c r="H1311" s="19"/>
      <c r="I1311" s="19"/>
      <c r="J1311" s="19"/>
      <c r="K1311" s="19"/>
      <c r="L1311" s="19"/>
      <c r="M1311" s="19"/>
      <c r="N1311" s="19"/>
      <c r="O1311" s="19"/>
      <c r="P1311" s="19"/>
      <c r="Q1311" s="19"/>
      <c r="R1311" s="19"/>
      <c r="S1311" s="19"/>
      <c r="T1311" s="34" t="str">
        <f aca="false">IF($R1311="","",IFERROR(INDEX(DriverCategory,MATCH($R1311,DriverList,0)),"BAU"))</f>
        <v/>
      </c>
      <c r="U1311" s="34" t="str">
        <f aca="false">IF($R1311="","",IFERROR(INDEX(DriverRank,MATCH($R1311,DriverList,0)),99))</f>
        <v/>
      </c>
      <c r="V1311" s="35" t="n">
        <f aca="false">IF($H1311="",0,IFERROR(INDEX(LevelBasic,MATCH($H1311,LevelList,0))+INDEX(LevelHousing,MATCH($H1311,LevelList,0))+INDEX(LevelTransport,MATCH($H1311,LevelList,0))+INDEX(LevelBasic,MATCH($H1311,LevelList,0))*INDEX(LevelBonus,MATCH($H1311,LevelList,0))+(INDEX(LevelBasic,MATCH($H1311,LevelList,0))+INDEX(LevelHousing,MATCH($H1311,LevelList,0)))*GosiSaudi,0))</f>
        <v>0</v>
      </c>
      <c r="W1311" s="35" t="n">
        <f aca="false">IFERROR(INDEX(LevelOneOff,MATCH($H1311,LevelList,0)),0)</f>
        <v>0</v>
      </c>
      <c r="X1311" s="35" t="str">
        <f aca="false">IF($G1311="","",$V1311*N($L1311))</f>
        <v/>
      </c>
      <c r="Y1311" s="35" t="str">
        <f aca="false">IF($G1311="","",$V1311*(N($M1311)*1+N($N1311)*0.75+N($O1311)*0.5+N($P1311)*0.25)+$W1311*N($L1311))</f>
        <v/>
      </c>
      <c r="Z1311" s="35" t="str">
        <f aca="false">IF($G1311="","",$U1311*1000000+ROW())</f>
        <v/>
      </c>
      <c r="AA1311" s="36" t="str">
        <f aca="false">IF($G1311="","",MID(IF($C1311="",", no division","")&amp;IF($E1311="",", no unit","")&amp;IF($H1311="",", no career level","")&amp;IF(N($L1311)&lt;=0,", no quarter split","")&amp;IF($R1311="",", no driver","")&amp;IF(AND($H1311&lt;&gt;"",COUNTIF(CareerLevels,$H1311)=0),", a career level that is not on the ladder","")&amp;IF(AND($R1311&lt;&gt;"",COUNTIF(DriverList,$R1311)=0),", a driver that is not on the list","")&amp;IF(ABS(N($L1311)-(N($M1311)+N($N1311)+N($O1311)+N($P1311)))&gt;0.001,", a total that does not match its quarters",""),3,300))</f>
        <v/>
      </c>
    </row>
    <row r="1312" customFormat="false" ht="15" hidden="false" customHeight="false" outlineLevel="0" collapsed="false">
      <c r="A1312" s="33" t="str">
        <f aca="false">IF($G1312="","","Legal Group")</f>
        <v/>
      </c>
      <c r="B1312" s="19"/>
      <c r="C1312" s="19"/>
      <c r="D1312" s="19"/>
      <c r="E1312" s="19"/>
      <c r="F1312" s="19"/>
      <c r="G1312" s="19"/>
      <c r="H1312" s="19"/>
      <c r="I1312" s="19"/>
      <c r="J1312" s="19"/>
      <c r="K1312" s="19"/>
      <c r="L1312" s="19"/>
      <c r="M1312" s="19"/>
      <c r="N1312" s="19"/>
      <c r="O1312" s="19"/>
      <c r="P1312" s="19"/>
      <c r="Q1312" s="19"/>
      <c r="R1312" s="19"/>
      <c r="S1312" s="19"/>
      <c r="T1312" s="34" t="str">
        <f aca="false">IF($R1312="","",IFERROR(INDEX(DriverCategory,MATCH($R1312,DriverList,0)),"BAU"))</f>
        <v/>
      </c>
      <c r="U1312" s="34" t="str">
        <f aca="false">IF($R1312="","",IFERROR(INDEX(DriverRank,MATCH($R1312,DriverList,0)),99))</f>
        <v/>
      </c>
      <c r="V1312" s="35" t="n">
        <f aca="false">IF($H1312="",0,IFERROR(INDEX(LevelBasic,MATCH($H1312,LevelList,0))+INDEX(LevelHousing,MATCH($H1312,LevelList,0))+INDEX(LevelTransport,MATCH($H1312,LevelList,0))+INDEX(LevelBasic,MATCH($H1312,LevelList,0))*INDEX(LevelBonus,MATCH($H1312,LevelList,0))+(INDEX(LevelBasic,MATCH($H1312,LevelList,0))+INDEX(LevelHousing,MATCH($H1312,LevelList,0)))*GosiSaudi,0))</f>
        <v>0</v>
      </c>
      <c r="W1312" s="35" t="n">
        <f aca="false">IFERROR(INDEX(LevelOneOff,MATCH($H1312,LevelList,0)),0)</f>
        <v>0</v>
      </c>
      <c r="X1312" s="35" t="str">
        <f aca="false">IF($G1312="","",$V1312*N($L1312))</f>
        <v/>
      </c>
      <c r="Y1312" s="35" t="str">
        <f aca="false">IF($G1312="","",$V1312*(N($M1312)*1+N($N1312)*0.75+N($O1312)*0.5+N($P1312)*0.25)+$W1312*N($L1312))</f>
        <v/>
      </c>
      <c r="Z1312" s="35" t="str">
        <f aca="false">IF($G1312="","",$U1312*1000000+ROW())</f>
        <v/>
      </c>
      <c r="AA1312" s="36" t="str">
        <f aca="false">IF($G1312="","",MID(IF($C1312="",", no division","")&amp;IF($E1312="",", no unit","")&amp;IF($H1312="",", no career level","")&amp;IF(N($L1312)&lt;=0,", no quarter split","")&amp;IF($R1312="",", no driver","")&amp;IF(AND($H1312&lt;&gt;"",COUNTIF(CareerLevels,$H1312)=0),", a career level that is not on the ladder","")&amp;IF(AND($R1312&lt;&gt;"",COUNTIF(DriverList,$R1312)=0),", a driver that is not on the list","")&amp;IF(ABS(N($L1312)-(N($M1312)+N($N1312)+N($O1312)+N($P1312)))&gt;0.001,", a total that does not match its quarters",""),3,300))</f>
        <v/>
      </c>
    </row>
    <row r="1313" customFormat="false" ht="15" hidden="false" customHeight="false" outlineLevel="0" collapsed="false">
      <c r="A1313" s="33" t="str">
        <f aca="false">IF($G1313="","","Legal Group")</f>
        <v/>
      </c>
      <c r="B1313" s="19"/>
      <c r="C1313" s="19"/>
      <c r="D1313" s="19"/>
      <c r="E1313" s="19"/>
      <c r="F1313" s="19"/>
      <c r="G1313" s="19"/>
      <c r="H1313" s="19"/>
      <c r="I1313" s="19"/>
      <c r="J1313" s="19"/>
      <c r="K1313" s="19"/>
      <c r="L1313" s="19"/>
      <c r="M1313" s="19"/>
      <c r="N1313" s="19"/>
      <c r="O1313" s="19"/>
      <c r="P1313" s="19"/>
      <c r="Q1313" s="19"/>
      <c r="R1313" s="19"/>
      <c r="S1313" s="19"/>
      <c r="T1313" s="34" t="str">
        <f aca="false">IF($R1313="","",IFERROR(INDEX(DriverCategory,MATCH($R1313,DriverList,0)),"BAU"))</f>
        <v/>
      </c>
      <c r="U1313" s="34" t="str">
        <f aca="false">IF($R1313="","",IFERROR(INDEX(DriverRank,MATCH($R1313,DriverList,0)),99))</f>
        <v/>
      </c>
      <c r="V1313" s="35" t="n">
        <f aca="false">IF($H1313="",0,IFERROR(INDEX(LevelBasic,MATCH($H1313,LevelList,0))+INDEX(LevelHousing,MATCH($H1313,LevelList,0))+INDEX(LevelTransport,MATCH($H1313,LevelList,0))+INDEX(LevelBasic,MATCH($H1313,LevelList,0))*INDEX(LevelBonus,MATCH($H1313,LevelList,0))+(INDEX(LevelBasic,MATCH($H1313,LevelList,0))+INDEX(LevelHousing,MATCH($H1313,LevelList,0)))*GosiSaudi,0))</f>
        <v>0</v>
      </c>
      <c r="W1313" s="35" t="n">
        <f aca="false">IFERROR(INDEX(LevelOneOff,MATCH($H1313,LevelList,0)),0)</f>
        <v>0</v>
      </c>
      <c r="X1313" s="35" t="str">
        <f aca="false">IF($G1313="","",$V1313*N($L1313))</f>
        <v/>
      </c>
      <c r="Y1313" s="35" t="str">
        <f aca="false">IF($G1313="","",$V1313*(N($M1313)*1+N($N1313)*0.75+N($O1313)*0.5+N($P1313)*0.25)+$W1313*N($L1313))</f>
        <v/>
      </c>
      <c r="Z1313" s="35" t="str">
        <f aca="false">IF($G1313="","",$U1313*1000000+ROW())</f>
        <v/>
      </c>
      <c r="AA1313" s="36" t="str">
        <f aca="false">IF($G1313="","",MID(IF($C1313="",", no division","")&amp;IF($E1313="",", no unit","")&amp;IF($H1313="",", no career level","")&amp;IF(N($L1313)&lt;=0,", no quarter split","")&amp;IF($R1313="",", no driver","")&amp;IF(AND($H1313&lt;&gt;"",COUNTIF(CareerLevels,$H1313)=0),", a career level that is not on the ladder","")&amp;IF(AND($R1313&lt;&gt;"",COUNTIF(DriverList,$R1313)=0),", a driver that is not on the list","")&amp;IF(ABS(N($L1313)-(N($M1313)+N($N1313)+N($O1313)+N($P1313)))&gt;0.001,", a total that does not match its quarters",""),3,300))</f>
        <v/>
      </c>
    </row>
    <row r="1314" customFormat="false" ht="15" hidden="false" customHeight="false" outlineLevel="0" collapsed="false">
      <c r="A1314" s="33" t="str">
        <f aca="false">IF($G1314="","","Legal Group")</f>
        <v/>
      </c>
      <c r="B1314" s="19"/>
      <c r="C1314" s="19"/>
      <c r="D1314" s="19"/>
      <c r="E1314" s="19"/>
      <c r="F1314" s="19"/>
      <c r="G1314" s="19"/>
      <c r="H1314" s="19"/>
      <c r="I1314" s="19"/>
      <c r="J1314" s="19"/>
      <c r="K1314" s="19"/>
      <c r="L1314" s="19"/>
      <c r="M1314" s="19"/>
      <c r="N1314" s="19"/>
      <c r="O1314" s="19"/>
      <c r="P1314" s="19"/>
      <c r="Q1314" s="19"/>
      <c r="R1314" s="19"/>
      <c r="S1314" s="19"/>
      <c r="T1314" s="34" t="str">
        <f aca="false">IF($R1314="","",IFERROR(INDEX(DriverCategory,MATCH($R1314,DriverList,0)),"BAU"))</f>
        <v/>
      </c>
      <c r="U1314" s="34" t="str">
        <f aca="false">IF($R1314="","",IFERROR(INDEX(DriverRank,MATCH($R1314,DriverList,0)),99))</f>
        <v/>
      </c>
      <c r="V1314" s="35" t="n">
        <f aca="false">IF($H1314="",0,IFERROR(INDEX(LevelBasic,MATCH($H1314,LevelList,0))+INDEX(LevelHousing,MATCH($H1314,LevelList,0))+INDEX(LevelTransport,MATCH($H1314,LevelList,0))+INDEX(LevelBasic,MATCH($H1314,LevelList,0))*INDEX(LevelBonus,MATCH($H1314,LevelList,0))+(INDEX(LevelBasic,MATCH($H1314,LevelList,0))+INDEX(LevelHousing,MATCH($H1314,LevelList,0)))*GosiSaudi,0))</f>
        <v>0</v>
      </c>
      <c r="W1314" s="35" t="n">
        <f aca="false">IFERROR(INDEX(LevelOneOff,MATCH($H1314,LevelList,0)),0)</f>
        <v>0</v>
      </c>
      <c r="X1314" s="35" t="str">
        <f aca="false">IF($G1314="","",$V1314*N($L1314))</f>
        <v/>
      </c>
      <c r="Y1314" s="35" t="str">
        <f aca="false">IF($G1314="","",$V1314*(N($M1314)*1+N($N1314)*0.75+N($O1314)*0.5+N($P1314)*0.25)+$W1314*N($L1314))</f>
        <v/>
      </c>
      <c r="Z1314" s="35" t="str">
        <f aca="false">IF($G1314="","",$U1314*1000000+ROW())</f>
        <v/>
      </c>
      <c r="AA1314" s="36" t="str">
        <f aca="false">IF($G1314="","",MID(IF($C1314="",", no division","")&amp;IF($E1314="",", no unit","")&amp;IF($H1314="",", no career level","")&amp;IF(N($L1314)&lt;=0,", no quarter split","")&amp;IF($R1314="",", no driver","")&amp;IF(AND($H1314&lt;&gt;"",COUNTIF(CareerLevels,$H1314)=0),", a career level that is not on the ladder","")&amp;IF(AND($R1314&lt;&gt;"",COUNTIF(DriverList,$R1314)=0),", a driver that is not on the list","")&amp;IF(ABS(N($L1314)-(N($M1314)+N($N1314)+N($O1314)+N($P1314)))&gt;0.001,", a total that does not match its quarters",""),3,300))</f>
        <v/>
      </c>
    </row>
    <row r="1315" customFormat="false" ht="15" hidden="false" customHeight="false" outlineLevel="0" collapsed="false">
      <c r="A1315" s="33" t="str">
        <f aca="false">IF($G1315="","","Legal Group")</f>
        <v/>
      </c>
      <c r="B1315" s="19"/>
      <c r="C1315" s="19"/>
      <c r="D1315" s="19"/>
      <c r="E1315" s="19"/>
      <c r="F1315" s="19"/>
      <c r="G1315" s="19"/>
      <c r="H1315" s="19"/>
      <c r="I1315" s="19"/>
      <c r="J1315" s="19"/>
      <c r="K1315" s="19"/>
      <c r="L1315" s="19"/>
      <c r="M1315" s="19"/>
      <c r="N1315" s="19"/>
      <c r="O1315" s="19"/>
      <c r="P1315" s="19"/>
      <c r="Q1315" s="19"/>
      <c r="R1315" s="19"/>
      <c r="S1315" s="19"/>
      <c r="T1315" s="34" t="str">
        <f aca="false">IF($R1315="","",IFERROR(INDEX(DriverCategory,MATCH($R1315,DriverList,0)),"BAU"))</f>
        <v/>
      </c>
      <c r="U1315" s="34" t="str">
        <f aca="false">IF($R1315="","",IFERROR(INDEX(DriverRank,MATCH($R1315,DriverList,0)),99))</f>
        <v/>
      </c>
      <c r="V1315" s="35" t="n">
        <f aca="false">IF($H1315="",0,IFERROR(INDEX(LevelBasic,MATCH($H1315,LevelList,0))+INDEX(LevelHousing,MATCH($H1315,LevelList,0))+INDEX(LevelTransport,MATCH($H1315,LevelList,0))+INDEX(LevelBasic,MATCH($H1315,LevelList,0))*INDEX(LevelBonus,MATCH($H1315,LevelList,0))+(INDEX(LevelBasic,MATCH($H1315,LevelList,0))+INDEX(LevelHousing,MATCH($H1315,LevelList,0)))*GosiSaudi,0))</f>
        <v>0</v>
      </c>
      <c r="W1315" s="35" t="n">
        <f aca="false">IFERROR(INDEX(LevelOneOff,MATCH($H1315,LevelList,0)),0)</f>
        <v>0</v>
      </c>
      <c r="X1315" s="35" t="str">
        <f aca="false">IF($G1315="","",$V1315*N($L1315))</f>
        <v/>
      </c>
      <c r="Y1315" s="35" t="str">
        <f aca="false">IF($G1315="","",$V1315*(N($M1315)*1+N($N1315)*0.75+N($O1315)*0.5+N($P1315)*0.25)+$W1315*N($L1315))</f>
        <v/>
      </c>
      <c r="Z1315" s="35" t="str">
        <f aca="false">IF($G1315="","",$U1315*1000000+ROW())</f>
        <v/>
      </c>
      <c r="AA1315" s="36" t="str">
        <f aca="false">IF($G1315="","",MID(IF($C1315="",", no division","")&amp;IF($E1315="",", no unit","")&amp;IF($H1315="",", no career level","")&amp;IF(N($L1315)&lt;=0,", no quarter split","")&amp;IF($R1315="",", no driver","")&amp;IF(AND($H1315&lt;&gt;"",COUNTIF(CareerLevels,$H1315)=0),", a career level that is not on the ladder","")&amp;IF(AND($R1315&lt;&gt;"",COUNTIF(DriverList,$R1315)=0),", a driver that is not on the list","")&amp;IF(ABS(N($L1315)-(N($M1315)+N($N1315)+N($O1315)+N($P1315)))&gt;0.001,", a total that does not match its quarters",""),3,300))</f>
        <v/>
      </c>
    </row>
    <row r="1316" customFormat="false" ht="15" hidden="false" customHeight="false" outlineLevel="0" collapsed="false">
      <c r="A1316" s="33" t="str">
        <f aca="false">IF($G1316="","","Legal Group")</f>
        <v/>
      </c>
      <c r="B1316" s="19"/>
      <c r="C1316" s="19"/>
      <c r="D1316" s="19"/>
      <c r="E1316" s="19"/>
      <c r="F1316" s="19"/>
      <c r="G1316" s="19"/>
      <c r="H1316" s="19"/>
      <c r="I1316" s="19"/>
      <c r="J1316" s="19"/>
      <c r="K1316" s="19"/>
      <c r="L1316" s="19"/>
      <c r="M1316" s="19"/>
      <c r="N1316" s="19"/>
      <c r="O1316" s="19"/>
      <c r="P1316" s="19"/>
      <c r="Q1316" s="19"/>
      <c r="R1316" s="19"/>
      <c r="S1316" s="19"/>
      <c r="T1316" s="34" t="str">
        <f aca="false">IF($R1316="","",IFERROR(INDEX(DriverCategory,MATCH($R1316,DriverList,0)),"BAU"))</f>
        <v/>
      </c>
      <c r="U1316" s="34" t="str">
        <f aca="false">IF($R1316="","",IFERROR(INDEX(DriverRank,MATCH($R1316,DriverList,0)),99))</f>
        <v/>
      </c>
      <c r="V1316" s="35" t="n">
        <f aca="false">IF($H1316="",0,IFERROR(INDEX(LevelBasic,MATCH($H1316,LevelList,0))+INDEX(LevelHousing,MATCH($H1316,LevelList,0))+INDEX(LevelTransport,MATCH($H1316,LevelList,0))+INDEX(LevelBasic,MATCH($H1316,LevelList,0))*INDEX(LevelBonus,MATCH($H1316,LevelList,0))+(INDEX(LevelBasic,MATCH($H1316,LevelList,0))+INDEX(LevelHousing,MATCH($H1316,LevelList,0)))*GosiSaudi,0))</f>
        <v>0</v>
      </c>
      <c r="W1316" s="35" t="n">
        <f aca="false">IFERROR(INDEX(LevelOneOff,MATCH($H1316,LevelList,0)),0)</f>
        <v>0</v>
      </c>
      <c r="X1316" s="35" t="str">
        <f aca="false">IF($G1316="","",$V1316*N($L1316))</f>
        <v/>
      </c>
      <c r="Y1316" s="35" t="str">
        <f aca="false">IF($G1316="","",$V1316*(N($M1316)*1+N($N1316)*0.75+N($O1316)*0.5+N($P1316)*0.25)+$W1316*N($L1316))</f>
        <v/>
      </c>
      <c r="Z1316" s="35" t="str">
        <f aca="false">IF($G1316="","",$U1316*1000000+ROW())</f>
        <v/>
      </c>
      <c r="AA1316" s="36" t="str">
        <f aca="false">IF($G1316="","",MID(IF($C1316="",", no division","")&amp;IF($E1316="",", no unit","")&amp;IF($H1316="",", no career level","")&amp;IF(N($L1316)&lt;=0,", no quarter split","")&amp;IF($R1316="",", no driver","")&amp;IF(AND($H1316&lt;&gt;"",COUNTIF(CareerLevels,$H1316)=0),", a career level that is not on the ladder","")&amp;IF(AND($R1316&lt;&gt;"",COUNTIF(DriverList,$R1316)=0),", a driver that is not on the list","")&amp;IF(ABS(N($L1316)-(N($M1316)+N($N1316)+N($O1316)+N($P1316)))&gt;0.001,", a total that does not match its quarters",""),3,300))</f>
        <v/>
      </c>
    </row>
    <row r="1317" customFormat="false" ht="15" hidden="false" customHeight="false" outlineLevel="0" collapsed="false">
      <c r="A1317" s="33" t="str">
        <f aca="false">IF($G1317="","","Legal Group")</f>
        <v/>
      </c>
      <c r="B1317" s="19"/>
      <c r="C1317" s="19"/>
      <c r="D1317" s="19"/>
      <c r="E1317" s="19"/>
      <c r="F1317" s="19"/>
      <c r="G1317" s="19"/>
      <c r="H1317" s="19"/>
      <c r="I1317" s="19"/>
      <c r="J1317" s="19"/>
      <c r="K1317" s="19"/>
      <c r="L1317" s="19"/>
      <c r="M1317" s="19"/>
      <c r="N1317" s="19"/>
      <c r="O1317" s="19"/>
      <c r="P1317" s="19"/>
      <c r="Q1317" s="19"/>
      <c r="R1317" s="19"/>
      <c r="S1317" s="19"/>
      <c r="T1317" s="34" t="str">
        <f aca="false">IF($R1317="","",IFERROR(INDEX(DriverCategory,MATCH($R1317,DriverList,0)),"BAU"))</f>
        <v/>
      </c>
      <c r="U1317" s="34" t="str">
        <f aca="false">IF($R1317="","",IFERROR(INDEX(DriverRank,MATCH($R1317,DriverList,0)),99))</f>
        <v/>
      </c>
      <c r="V1317" s="35" t="n">
        <f aca="false">IF($H1317="",0,IFERROR(INDEX(LevelBasic,MATCH($H1317,LevelList,0))+INDEX(LevelHousing,MATCH($H1317,LevelList,0))+INDEX(LevelTransport,MATCH($H1317,LevelList,0))+INDEX(LevelBasic,MATCH($H1317,LevelList,0))*INDEX(LevelBonus,MATCH($H1317,LevelList,0))+(INDEX(LevelBasic,MATCH($H1317,LevelList,0))+INDEX(LevelHousing,MATCH($H1317,LevelList,0)))*GosiSaudi,0))</f>
        <v>0</v>
      </c>
      <c r="W1317" s="35" t="n">
        <f aca="false">IFERROR(INDEX(LevelOneOff,MATCH($H1317,LevelList,0)),0)</f>
        <v>0</v>
      </c>
      <c r="X1317" s="35" t="str">
        <f aca="false">IF($G1317="","",$V1317*N($L1317))</f>
        <v/>
      </c>
      <c r="Y1317" s="35" t="str">
        <f aca="false">IF($G1317="","",$V1317*(N($M1317)*1+N($N1317)*0.75+N($O1317)*0.5+N($P1317)*0.25)+$W1317*N($L1317))</f>
        <v/>
      </c>
      <c r="Z1317" s="35" t="str">
        <f aca="false">IF($G1317="","",$U1317*1000000+ROW())</f>
        <v/>
      </c>
      <c r="AA1317" s="36" t="str">
        <f aca="false">IF($G1317="","",MID(IF($C1317="",", no division","")&amp;IF($E1317="",", no unit","")&amp;IF($H1317="",", no career level","")&amp;IF(N($L1317)&lt;=0,", no quarter split","")&amp;IF($R1317="",", no driver","")&amp;IF(AND($H1317&lt;&gt;"",COUNTIF(CareerLevels,$H1317)=0),", a career level that is not on the ladder","")&amp;IF(AND($R1317&lt;&gt;"",COUNTIF(DriverList,$R1317)=0),", a driver that is not on the list","")&amp;IF(ABS(N($L1317)-(N($M1317)+N($N1317)+N($O1317)+N($P1317)))&gt;0.001,", a total that does not match its quarters",""),3,300))</f>
        <v/>
      </c>
    </row>
    <row r="1318" customFormat="false" ht="15" hidden="false" customHeight="false" outlineLevel="0" collapsed="false">
      <c r="A1318" s="33" t="str">
        <f aca="false">IF($G1318="","","Legal Group")</f>
        <v/>
      </c>
      <c r="B1318" s="19"/>
      <c r="C1318" s="19"/>
      <c r="D1318" s="19"/>
      <c r="E1318" s="19"/>
      <c r="F1318" s="19"/>
      <c r="G1318" s="19"/>
      <c r="H1318" s="19"/>
      <c r="I1318" s="19"/>
      <c r="J1318" s="19"/>
      <c r="K1318" s="19"/>
      <c r="L1318" s="19"/>
      <c r="M1318" s="19"/>
      <c r="N1318" s="19"/>
      <c r="O1318" s="19"/>
      <c r="P1318" s="19"/>
      <c r="Q1318" s="19"/>
      <c r="R1318" s="19"/>
      <c r="S1318" s="19"/>
      <c r="T1318" s="34" t="str">
        <f aca="false">IF($R1318="","",IFERROR(INDEX(DriverCategory,MATCH($R1318,DriverList,0)),"BAU"))</f>
        <v/>
      </c>
      <c r="U1318" s="34" t="str">
        <f aca="false">IF($R1318="","",IFERROR(INDEX(DriverRank,MATCH($R1318,DriverList,0)),99))</f>
        <v/>
      </c>
      <c r="V1318" s="35" t="n">
        <f aca="false">IF($H1318="",0,IFERROR(INDEX(LevelBasic,MATCH($H1318,LevelList,0))+INDEX(LevelHousing,MATCH($H1318,LevelList,0))+INDEX(LevelTransport,MATCH($H1318,LevelList,0))+INDEX(LevelBasic,MATCH($H1318,LevelList,0))*INDEX(LevelBonus,MATCH($H1318,LevelList,0))+(INDEX(LevelBasic,MATCH($H1318,LevelList,0))+INDEX(LevelHousing,MATCH($H1318,LevelList,0)))*GosiSaudi,0))</f>
        <v>0</v>
      </c>
      <c r="W1318" s="35" t="n">
        <f aca="false">IFERROR(INDEX(LevelOneOff,MATCH($H1318,LevelList,0)),0)</f>
        <v>0</v>
      </c>
      <c r="X1318" s="35" t="str">
        <f aca="false">IF($G1318="","",$V1318*N($L1318))</f>
        <v/>
      </c>
      <c r="Y1318" s="35" t="str">
        <f aca="false">IF($G1318="","",$V1318*(N($M1318)*1+N($N1318)*0.75+N($O1318)*0.5+N($P1318)*0.25)+$W1318*N($L1318))</f>
        <v/>
      </c>
      <c r="Z1318" s="35" t="str">
        <f aca="false">IF($G1318="","",$U1318*1000000+ROW())</f>
        <v/>
      </c>
      <c r="AA1318" s="36" t="str">
        <f aca="false">IF($G1318="","",MID(IF($C1318="",", no division","")&amp;IF($E1318="",", no unit","")&amp;IF($H1318="",", no career level","")&amp;IF(N($L1318)&lt;=0,", no quarter split","")&amp;IF($R1318="",", no driver","")&amp;IF(AND($H1318&lt;&gt;"",COUNTIF(CareerLevels,$H1318)=0),", a career level that is not on the ladder","")&amp;IF(AND($R1318&lt;&gt;"",COUNTIF(DriverList,$R1318)=0),", a driver that is not on the list","")&amp;IF(ABS(N($L1318)-(N($M1318)+N($N1318)+N($O1318)+N($P1318)))&gt;0.001,", a total that does not match its quarters",""),3,300))</f>
        <v/>
      </c>
    </row>
    <row r="1319" customFormat="false" ht="15" hidden="false" customHeight="false" outlineLevel="0" collapsed="false">
      <c r="A1319" s="33" t="str">
        <f aca="false">IF($G1319="","","Legal Group")</f>
        <v/>
      </c>
      <c r="B1319" s="19"/>
      <c r="C1319" s="19"/>
      <c r="D1319" s="19"/>
      <c r="E1319" s="19"/>
      <c r="F1319" s="19"/>
      <c r="G1319" s="19"/>
      <c r="H1319" s="19"/>
      <c r="I1319" s="19"/>
      <c r="J1319" s="19"/>
      <c r="K1319" s="19"/>
      <c r="L1319" s="19"/>
      <c r="M1319" s="19"/>
      <c r="N1319" s="19"/>
      <c r="O1319" s="19"/>
      <c r="P1319" s="19"/>
      <c r="Q1319" s="19"/>
      <c r="R1319" s="19"/>
      <c r="S1319" s="19"/>
      <c r="T1319" s="34" t="str">
        <f aca="false">IF($R1319="","",IFERROR(INDEX(DriverCategory,MATCH($R1319,DriverList,0)),"BAU"))</f>
        <v/>
      </c>
      <c r="U1319" s="34" t="str">
        <f aca="false">IF($R1319="","",IFERROR(INDEX(DriverRank,MATCH($R1319,DriverList,0)),99))</f>
        <v/>
      </c>
      <c r="V1319" s="35" t="n">
        <f aca="false">IF($H1319="",0,IFERROR(INDEX(LevelBasic,MATCH($H1319,LevelList,0))+INDEX(LevelHousing,MATCH($H1319,LevelList,0))+INDEX(LevelTransport,MATCH($H1319,LevelList,0))+INDEX(LevelBasic,MATCH($H1319,LevelList,0))*INDEX(LevelBonus,MATCH($H1319,LevelList,0))+(INDEX(LevelBasic,MATCH($H1319,LevelList,0))+INDEX(LevelHousing,MATCH($H1319,LevelList,0)))*GosiSaudi,0))</f>
        <v>0</v>
      </c>
      <c r="W1319" s="35" t="n">
        <f aca="false">IFERROR(INDEX(LevelOneOff,MATCH($H1319,LevelList,0)),0)</f>
        <v>0</v>
      </c>
      <c r="X1319" s="35" t="str">
        <f aca="false">IF($G1319="","",$V1319*N($L1319))</f>
        <v/>
      </c>
      <c r="Y1319" s="35" t="str">
        <f aca="false">IF($G1319="","",$V1319*(N($M1319)*1+N($N1319)*0.75+N($O1319)*0.5+N($P1319)*0.25)+$W1319*N($L1319))</f>
        <v/>
      </c>
      <c r="Z1319" s="35" t="str">
        <f aca="false">IF($G1319="","",$U1319*1000000+ROW())</f>
        <v/>
      </c>
      <c r="AA1319" s="36" t="str">
        <f aca="false">IF($G1319="","",MID(IF($C1319="",", no division","")&amp;IF($E1319="",", no unit","")&amp;IF($H1319="",", no career level","")&amp;IF(N($L1319)&lt;=0,", no quarter split","")&amp;IF($R1319="",", no driver","")&amp;IF(AND($H1319&lt;&gt;"",COUNTIF(CareerLevels,$H1319)=0),", a career level that is not on the ladder","")&amp;IF(AND($R1319&lt;&gt;"",COUNTIF(DriverList,$R1319)=0),", a driver that is not on the list","")&amp;IF(ABS(N($L1319)-(N($M1319)+N($N1319)+N($O1319)+N($P1319)))&gt;0.001,", a total that does not match its quarters",""),3,300))</f>
        <v/>
      </c>
    </row>
    <row r="1320" customFormat="false" ht="15" hidden="false" customHeight="false" outlineLevel="0" collapsed="false">
      <c r="A1320" s="33" t="str">
        <f aca="false">IF($G1320="","","Legal Group")</f>
        <v/>
      </c>
      <c r="B1320" s="19"/>
      <c r="C1320" s="19"/>
      <c r="D1320" s="19"/>
      <c r="E1320" s="19"/>
      <c r="F1320" s="19"/>
      <c r="G1320" s="19"/>
      <c r="H1320" s="19"/>
      <c r="I1320" s="19"/>
      <c r="J1320" s="19"/>
      <c r="K1320" s="19"/>
      <c r="L1320" s="19"/>
      <c r="M1320" s="19"/>
      <c r="N1320" s="19"/>
      <c r="O1320" s="19"/>
      <c r="P1320" s="19"/>
      <c r="Q1320" s="19"/>
      <c r="R1320" s="19"/>
      <c r="S1320" s="19"/>
      <c r="T1320" s="34" t="str">
        <f aca="false">IF($R1320="","",IFERROR(INDEX(DriverCategory,MATCH($R1320,DriverList,0)),"BAU"))</f>
        <v/>
      </c>
      <c r="U1320" s="34" t="str">
        <f aca="false">IF($R1320="","",IFERROR(INDEX(DriverRank,MATCH($R1320,DriverList,0)),99))</f>
        <v/>
      </c>
      <c r="V1320" s="35" t="n">
        <f aca="false">IF($H1320="",0,IFERROR(INDEX(LevelBasic,MATCH($H1320,LevelList,0))+INDEX(LevelHousing,MATCH($H1320,LevelList,0))+INDEX(LevelTransport,MATCH($H1320,LevelList,0))+INDEX(LevelBasic,MATCH($H1320,LevelList,0))*INDEX(LevelBonus,MATCH($H1320,LevelList,0))+(INDEX(LevelBasic,MATCH($H1320,LevelList,0))+INDEX(LevelHousing,MATCH($H1320,LevelList,0)))*GosiSaudi,0))</f>
        <v>0</v>
      </c>
      <c r="W1320" s="35" t="n">
        <f aca="false">IFERROR(INDEX(LevelOneOff,MATCH($H1320,LevelList,0)),0)</f>
        <v>0</v>
      </c>
      <c r="X1320" s="35" t="str">
        <f aca="false">IF($G1320="","",$V1320*N($L1320))</f>
        <v/>
      </c>
      <c r="Y1320" s="35" t="str">
        <f aca="false">IF($G1320="","",$V1320*(N($M1320)*1+N($N1320)*0.75+N($O1320)*0.5+N($P1320)*0.25)+$W1320*N($L1320))</f>
        <v/>
      </c>
      <c r="Z1320" s="35" t="str">
        <f aca="false">IF($G1320="","",$U1320*1000000+ROW())</f>
        <v/>
      </c>
      <c r="AA1320" s="36" t="str">
        <f aca="false">IF($G1320="","",MID(IF($C1320="",", no division","")&amp;IF($E1320="",", no unit","")&amp;IF($H1320="",", no career level","")&amp;IF(N($L1320)&lt;=0,", no quarter split","")&amp;IF($R1320="",", no driver","")&amp;IF(AND($H1320&lt;&gt;"",COUNTIF(CareerLevels,$H1320)=0),", a career level that is not on the ladder","")&amp;IF(AND($R1320&lt;&gt;"",COUNTIF(DriverList,$R1320)=0),", a driver that is not on the list","")&amp;IF(ABS(N($L1320)-(N($M1320)+N($N1320)+N($O1320)+N($P1320)))&gt;0.001,", a total that does not match its quarters",""),3,300))</f>
        <v/>
      </c>
    </row>
    <row r="1321" customFormat="false" ht="15" hidden="false" customHeight="false" outlineLevel="0" collapsed="false">
      <c r="A1321" s="33" t="str">
        <f aca="false">IF($G1321="","","Legal Group")</f>
        <v/>
      </c>
      <c r="B1321" s="19"/>
      <c r="C1321" s="19"/>
      <c r="D1321" s="19"/>
      <c r="E1321" s="19"/>
      <c r="F1321" s="19"/>
      <c r="G1321" s="19"/>
      <c r="H1321" s="19"/>
      <c r="I1321" s="19"/>
      <c r="J1321" s="19"/>
      <c r="K1321" s="19"/>
      <c r="L1321" s="19"/>
      <c r="M1321" s="19"/>
      <c r="N1321" s="19"/>
      <c r="O1321" s="19"/>
      <c r="P1321" s="19"/>
      <c r="Q1321" s="19"/>
      <c r="R1321" s="19"/>
      <c r="S1321" s="19"/>
      <c r="T1321" s="34" t="str">
        <f aca="false">IF($R1321="","",IFERROR(INDEX(DriverCategory,MATCH($R1321,DriverList,0)),"BAU"))</f>
        <v/>
      </c>
      <c r="U1321" s="34" t="str">
        <f aca="false">IF($R1321="","",IFERROR(INDEX(DriverRank,MATCH($R1321,DriverList,0)),99))</f>
        <v/>
      </c>
      <c r="V1321" s="35" t="n">
        <f aca="false">IF($H1321="",0,IFERROR(INDEX(LevelBasic,MATCH($H1321,LevelList,0))+INDEX(LevelHousing,MATCH($H1321,LevelList,0))+INDEX(LevelTransport,MATCH($H1321,LevelList,0))+INDEX(LevelBasic,MATCH($H1321,LevelList,0))*INDEX(LevelBonus,MATCH($H1321,LevelList,0))+(INDEX(LevelBasic,MATCH($H1321,LevelList,0))+INDEX(LevelHousing,MATCH($H1321,LevelList,0)))*GosiSaudi,0))</f>
        <v>0</v>
      </c>
      <c r="W1321" s="35" t="n">
        <f aca="false">IFERROR(INDEX(LevelOneOff,MATCH($H1321,LevelList,0)),0)</f>
        <v>0</v>
      </c>
      <c r="X1321" s="35" t="str">
        <f aca="false">IF($G1321="","",$V1321*N($L1321))</f>
        <v/>
      </c>
      <c r="Y1321" s="35" t="str">
        <f aca="false">IF($G1321="","",$V1321*(N($M1321)*1+N($N1321)*0.75+N($O1321)*0.5+N($P1321)*0.25)+$W1321*N($L1321))</f>
        <v/>
      </c>
      <c r="Z1321" s="35" t="str">
        <f aca="false">IF($G1321="","",$U1321*1000000+ROW())</f>
        <v/>
      </c>
      <c r="AA1321" s="36" t="str">
        <f aca="false">IF($G1321="","",MID(IF($C1321="",", no division","")&amp;IF($E1321="",", no unit","")&amp;IF($H1321="",", no career level","")&amp;IF(N($L1321)&lt;=0,", no quarter split","")&amp;IF($R1321="",", no driver","")&amp;IF(AND($H1321&lt;&gt;"",COUNTIF(CareerLevels,$H1321)=0),", a career level that is not on the ladder","")&amp;IF(AND($R1321&lt;&gt;"",COUNTIF(DriverList,$R1321)=0),", a driver that is not on the list","")&amp;IF(ABS(N($L1321)-(N($M1321)+N($N1321)+N($O1321)+N($P1321)))&gt;0.001,", a total that does not match its quarters",""),3,300))</f>
        <v/>
      </c>
    </row>
    <row r="1322" customFormat="false" ht="15" hidden="false" customHeight="false" outlineLevel="0" collapsed="false">
      <c r="A1322" s="33" t="str">
        <f aca="false">IF($G1322="","","Legal Group")</f>
        <v/>
      </c>
      <c r="B1322" s="19"/>
      <c r="C1322" s="19"/>
      <c r="D1322" s="19"/>
      <c r="E1322" s="19"/>
      <c r="F1322" s="19"/>
      <c r="G1322" s="19"/>
      <c r="H1322" s="19"/>
      <c r="I1322" s="19"/>
      <c r="J1322" s="19"/>
      <c r="K1322" s="19"/>
      <c r="L1322" s="19"/>
      <c r="M1322" s="19"/>
      <c r="N1322" s="19"/>
      <c r="O1322" s="19"/>
      <c r="P1322" s="19"/>
      <c r="Q1322" s="19"/>
      <c r="R1322" s="19"/>
      <c r="S1322" s="19"/>
      <c r="T1322" s="34" t="str">
        <f aca="false">IF($R1322="","",IFERROR(INDEX(DriverCategory,MATCH($R1322,DriverList,0)),"BAU"))</f>
        <v/>
      </c>
      <c r="U1322" s="34" t="str">
        <f aca="false">IF($R1322="","",IFERROR(INDEX(DriverRank,MATCH($R1322,DriverList,0)),99))</f>
        <v/>
      </c>
      <c r="V1322" s="35" t="n">
        <f aca="false">IF($H1322="",0,IFERROR(INDEX(LevelBasic,MATCH($H1322,LevelList,0))+INDEX(LevelHousing,MATCH($H1322,LevelList,0))+INDEX(LevelTransport,MATCH($H1322,LevelList,0))+INDEX(LevelBasic,MATCH($H1322,LevelList,0))*INDEX(LevelBonus,MATCH($H1322,LevelList,0))+(INDEX(LevelBasic,MATCH($H1322,LevelList,0))+INDEX(LevelHousing,MATCH($H1322,LevelList,0)))*GosiSaudi,0))</f>
        <v>0</v>
      </c>
      <c r="W1322" s="35" t="n">
        <f aca="false">IFERROR(INDEX(LevelOneOff,MATCH($H1322,LevelList,0)),0)</f>
        <v>0</v>
      </c>
      <c r="X1322" s="35" t="str">
        <f aca="false">IF($G1322="","",$V1322*N($L1322))</f>
        <v/>
      </c>
      <c r="Y1322" s="35" t="str">
        <f aca="false">IF($G1322="","",$V1322*(N($M1322)*1+N($N1322)*0.75+N($O1322)*0.5+N($P1322)*0.25)+$W1322*N($L1322))</f>
        <v/>
      </c>
      <c r="Z1322" s="35" t="str">
        <f aca="false">IF($G1322="","",$U1322*1000000+ROW())</f>
        <v/>
      </c>
      <c r="AA1322" s="36" t="str">
        <f aca="false">IF($G1322="","",MID(IF($C1322="",", no division","")&amp;IF($E1322="",", no unit","")&amp;IF($H1322="",", no career level","")&amp;IF(N($L1322)&lt;=0,", no quarter split","")&amp;IF($R1322="",", no driver","")&amp;IF(AND($H1322&lt;&gt;"",COUNTIF(CareerLevels,$H1322)=0),", a career level that is not on the ladder","")&amp;IF(AND($R1322&lt;&gt;"",COUNTIF(DriverList,$R1322)=0),", a driver that is not on the list","")&amp;IF(ABS(N($L1322)-(N($M1322)+N($N1322)+N($O1322)+N($P1322)))&gt;0.001,", a total that does not match its quarters",""),3,300))</f>
        <v/>
      </c>
    </row>
    <row r="1323" customFormat="false" ht="15" hidden="false" customHeight="false" outlineLevel="0" collapsed="false">
      <c r="A1323" s="33" t="str">
        <f aca="false">IF($G1323="","","Legal Group")</f>
        <v/>
      </c>
      <c r="B1323" s="19"/>
      <c r="C1323" s="19"/>
      <c r="D1323" s="19"/>
      <c r="E1323" s="19"/>
      <c r="F1323" s="19"/>
      <c r="G1323" s="19"/>
      <c r="H1323" s="19"/>
      <c r="I1323" s="19"/>
      <c r="J1323" s="19"/>
      <c r="K1323" s="19"/>
      <c r="L1323" s="19"/>
      <c r="M1323" s="19"/>
      <c r="N1323" s="19"/>
      <c r="O1323" s="19"/>
      <c r="P1323" s="19"/>
      <c r="Q1323" s="19"/>
      <c r="R1323" s="19"/>
      <c r="S1323" s="19"/>
      <c r="T1323" s="34" t="str">
        <f aca="false">IF($R1323="","",IFERROR(INDEX(DriverCategory,MATCH($R1323,DriverList,0)),"BAU"))</f>
        <v/>
      </c>
      <c r="U1323" s="34" t="str">
        <f aca="false">IF($R1323="","",IFERROR(INDEX(DriverRank,MATCH($R1323,DriverList,0)),99))</f>
        <v/>
      </c>
      <c r="V1323" s="35" t="n">
        <f aca="false">IF($H1323="",0,IFERROR(INDEX(LevelBasic,MATCH($H1323,LevelList,0))+INDEX(LevelHousing,MATCH($H1323,LevelList,0))+INDEX(LevelTransport,MATCH($H1323,LevelList,0))+INDEX(LevelBasic,MATCH($H1323,LevelList,0))*INDEX(LevelBonus,MATCH($H1323,LevelList,0))+(INDEX(LevelBasic,MATCH($H1323,LevelList,0))+INDEX(LevelHousing,MATCH($H1323,LevelList,0)))*GosiSaudi,0))</f>
        <v>0</v>
      </c>
      <c r="W1323" s="35" t="n">
        <f aca="false">IFERROR(INDEX(LevelOneOff,MATCH($H1323,LevelList,0)),0)</f>
        <v>0</v>
      </c>
      <c r="X1323" s="35" t="str">
        <f aca="false">IF($G1323="","",$V1323*N($L1323))</f>
        <v/>
      </c>
      <c r="Y1323" s="35" t="str">
        <f aca="false">IF($G1323="","",$V1323*(N($M1323)*1+N($N1323)*0.75+N($O1323)*0.5+N($P1323)*0.25)+$W1323*N($L1323))</f>
        <v/>
      </c>
      <c r="Z1323" s="35" t="str">
        <f aca="false">IF($G1323="","",$U1323*1000000+ROW())</f>
        <v/>
      </c>
      <c r="AA1323" s="36" t="str">
        <f aca="false">IF($G1323="","",MID(IF($C1323="",", no division","")&amp;IF($E1323="",", no unit","")&amp;IF($H1323="",", no career level","")&amp;IF(N($L1323)&lt;=0,", no quarter split","")&amp;IF($R1323="",", no driver","")&amp;IF(AND($H1323&lt;&gt;"",COUNTIF(CareerLevels,$H1323)=0),", a career level that is not on the ladder","")&amp;IF(AND($R1323&lt;&gt;"",COUNTIF(DriverList,$R1323)=0),", a driver that is not on the list","")&amp;IF(ABS(N($L1323)-(N($M1323)+N($N1323)+N($O1323)+N($P1323)))&gt;0.001,", a total that does not match its quarters",""),3,300))</f>
        <v/>
      </c>
    </row>
    <row r="1324" customFormat="false" ht="15" hidden="false" customHeight="false" outlineLevel="0" collapsed="false">
      <c r="A1324" s="33" t="str">
        <f aca="false">IF($G1324="","","Legal Group")</f>
        <v/>
      </c>
      <c r="B1324" s="19"/>
      <c r="C1324" s="19"/>
      <c r="D1324" s="19"/>
      <c r="E1324" s="19"/>
      <c r="F1324" s="19"/>
      <c r="G1324" s="19"/>
      <c r="H1324" s="19"/>
      <c r="I1324" s="19"/>
      <c r="J1324" s="19"/>
      <c r="K1324" s="19"/>
      <c r="L1324" s="19"/>
      <c r="M1324" s="19"/>
      <c r="N1324" s="19"/>
      <c r="O1324" s="19"/>
      <c r="P1324" s="19"/>
      <c r="Q1324" s="19"/>
      <c r="R1324" s="19"/>
      <c r="S1324" s="19"/>
      <c r="T1324" s="34" t="str">
        <f aca="false">IF($R1324="","",IFERROR(INDEX(DriverCategory,MATCH($R1324,DriverList,0)),"BAU"))</f>
        <v/>
      </c>
      <c r="U1324" s="34" t="str">
        <f aca="false">IF($R1324="","",IFERROR(INDEX(DriverRank,MATCH($R1324,DriverList,0)),99))</f>
        <v/>
      </c>
      <c r="V1324" s="35" t="n">
        <f aca="false">IF($H1324="",0,IFERROR(INDEX(LevelBasic,MATCH($H1324,LevelList,0))+INDEX(LevelHousing,MATCH($H1324,LevelList,0))+INDEX(LevelTransport,MATCH($H1324,LevelList,0))+INDEX(LevelBasic,MATCH($H1324,LevelList,0))*INDEX(LevelBonus,MATCH($H1324,LevelList,0))+(INDEX(LevelBasic,MATCH($H1324,LevelList,0))+INDEX(LevelHousing,MATCH($H1324,LevelList,0)))*GosiSaudi,0))</f>
        <v>0</v>
      </c>
      <c r="W1324" s="35" t="n">
        <f aca="false">IFERROR(INDEX(LevelOneOff,MATCH($H1324,LevelList,0)),0)</f>
        <v>0</v>
      </c>
      <c r="X1324" s="35" t="str">
        <f aca="false">IF($G1324="","",$V1324*N($L1324))</f>
        <v/>
      </c>
      <c r="Y1324" s="35" t="str">
        <f aca="false">IF($G1324="","",$V1324*(N($M1324)*1+N($N1324)*0.75+N($O1324)*0.5+N($P1324)*0.25)+$W1324*N($L1324))</f>
        <v/>
      </c>
      <c r="Z1324" s="35" t="str">
        <f aca="false">IF($G1324="","",$U1324*1000000+ROW())</f>
        <v/>
      </c>
      <c r="AA1324" s="36" t="str">
        <f aca="false">IF($G1324="","",MID(IF($C1324="",", no division","")&amp;IF($E1324="",", no unit","")&amp;IF($H1324="",", no career level","")&amp;IF(N($L1324)&lt;=0,", no quarter split","")&amp;IF($R1324="",", no driver","")&amp;IF(AND($H1324&lt;&gt;"",COUNTIF(CareerLevels,$H1324)=0),", a career level that is not on the ladder","")&amp;IF(AND($R1324&lt;&gt;"",COUNTIF(DriverList,$R1324)=0),", a driver that is not on the list","")&amp;IF(ABS(N($L1324)-(N($M1324)+N($N1324)+N($O1324)+N($P1324)))&gt;0.001,", a total that does not match its quarters",""),3,300))</f>
        <v/>
      </c>
    </row>
    <row r="1325" customFormat="false" ht="15" hidden="false" customHeight="false" outlineLevel="0" collapsed="false">
      <c r="A1325" s="33" t="str">
        <f aca="false">IF($G1325="","","Legal Group")</f>
        <v/>
      </c>
      <c r="B1325" s="19"/>
      <c r="C1325" s="19"/>
      <c r="D1325" s="19"/>
      <c r="E1325" s="19"/>
      <c r="F1325" s="19"/>
      <c r="G1325" s="19"/>
      <c r="H1325" s="19"/>
      <c r="I1325" s="19"/>
      <c r="J1325" s="19"/>
      <c r="K1325" s="19"/>
      <c r="L1325" s="19"/>
      <c r="M1325" s="19"/>
      <c r="N1325" s="19"/>
      <c r="O1325" s="19"/>
      <c r="P1325" s="19"/>
      <c r="Q1325" s="19"/>
      <c r="R1325" s="19"/>
      <c r="S1325" s="19"/>
      <c r="T1325" s="34" t="str">
        <f aca="false">IF($R1325="","",IFERROR(INDEX(DriverCategory,MATCH($R1325,DriverList,0)),"BAU"))</f>
        <v/>
      </c>
      <c r="U1325" s="34" t="str">
        <f aca="false">IF($R1325="","",IFERROR(INDEX(DriverRank,MATCH($R1325,DriverList,0)),99))</f>
        <v/>
      </c>
      <c r="V1325" s="35" t="n">
        <f aca="false">IF($H1325="",0,IFERROR(INDEX(LevelBasic,MATCH($H1325,LevelList,0))+INDEX(LevelHousing,MATCH($H1325,LevelList,0))+INDEX(LevelTransport,MATCH($H1325,LevelList,0))+INDEX(LevelBasic,MATCH($H1325,LevelList,0))*INDEX(LevelBonus,MATCH($H1325,LevelList,0))+(INDEX(LevelBasic,MATCH($H1325,LevelList,0))+INDEX(LevelHousing,MATCH($H1325,LevelList,0)))*GosiSaudi,0))</f>
        <v>0</v>
      </c>
      <c r="W1325" s="35" t="n">
        <f aca="false">IFERROR(INDEX(LevelOneOff,MATCH($H1325,LevelList,0)),0)</f>
        <v>0</v>
      </c>
      <c r="X1325" s="35" t="str">
        <f aca="false">IF($G1325="","",$V1325*N($L1325))</f>
        <v/>
      </c>
      <c r="Y1325" s="35" t="str">
        <f aca="false">IF($G1325="","",$V1325*(N($M1325)*1+N($N1325)*0.75+N($O1325)*0.5+N($P1325)*0.25)+$W1325*N($L1325))</f>
        <v/>
      </c>
      <c r="Z1325" s="35" t="str">
        <f aca="false">IF($G1325="","",$U1325*1000000+ROW())</f>
        <v/>
      </c>
      <c r="AA1325" s="36" t="str">
        <f aca="false">IF($G1325="","",MID(IF($C1325="",", no division","")&amp;IF($E1325="",", no unit","")&amp;IF($H1325="",", no career level","")&amp;IF(N($L1325)&lt;=0,", no quarter split","")&amp;IF($R1325="",", no driver","")&amp;IF(AND($H1325&lt;&gt;"",COUNTIF(CareerLevels,$H1325)=0),", a career level that is not on the ladder","")&amp;IF(AND($R1325&lt;&gt;"",COUNTIF(DriverList,$R1325)=0),", a driver that is not on the list","")&amp;IF(ABS(N($L1325)-(N($M1325)+N($N1325)+N($O1325)+N($P1325)))&gt;0.001,", a total that does not match its quarters",""),3,300))</f>
        <v/>
      </c>
    </row>
    <row r="1326" customFormat="false" ht="15" hidden="false" customHeight="false" outlineLevel="0" collapsed="false">
      <c r="A1326" s="33" t="str">
        <f aca="false">IF($G1326="","","Legal Group")</f>
        <v/>
      </c>
      <c r="B1326" s="19"/>
      <c r="C1326" s="19"/>
      <c r="D1326" s="19"/>
      <c r="E1326" s="19"/>
      <c r="F1326" s="19"/>
      <c r="G1326" s="19"/>
      <c r="H1326" s="19"/>
      <c r="I1326" s="19"/>
      <c r="J1326" s="19"/>
      <c r="K1326" s="19"/>
      <c r="L1326" s="19"/>
      <c r="M1326" s="19"/>
      <c r="N1326" s="19"/>
      <c r="O1326" s="19"/>
      <c r="P1326" s="19"/>
      <c r="Q1326" s="19"/>
      <c r="R1326" s="19"/>
      <c r="S1326" s="19"/>
      <c r="T1326" s="34" t="str">
        <f aca="false">IF($R1326="","",IFERROR(INDEX(DriverCategory,MATCH($R1326,DriverList,0)),"BAU"))</f>
        <v/>
      </c>
      <c r="U1326" s="34" t="str">
        <f aca="false">IF($R1326="","",IFERROR(INDEX(DriverRank,MATCH($R1326,DriverList,0)),99))</f>
        <v/>
      </c>
      <c r="V1326" s="35" t="n">
        <f aca="false">IF($H1326="",0,IFERROR(INDEX(LevelBasic,MATCH($H1326,LevelList,0))+INDEX(LevelHousing,MATCH($H1326,LevelList,0))+INDEX(LevelTransport,MATCH($H1326,LevelList,0))+INDEX(LevelBasic,MATCH($H1326,LevelList,0))*INDEX(LevelBonus,MATCH($H1326,LevelList,0))+(INDEX(LevelBasic,MATCH($H1326,LevelList,0))+INDEX(LevelHousing,MATCH($H1326,LevelList,0)))*GosiSaudi,0))</f>
        <v>0</v>
      </c>
      <c r="W1326" s="35" t="n">
        <f aca="false">IFERROR(INDEX(LevelOneOff,MATCH($H1326,LevelList,0)),0)</f>
        <v>0</v>
      </c>
      <c r="X1326" s="35" t="str">
        <f aca="false">IF($G1326="","",$V1326*N($L1326))</f>
        <v/>
      </c>
      <c r="Y1326" s="35" t="str">
        <f aca="false">IF($G1326="","",$V1326*(N($M1326)*1+N($N1326)*0.75+N($O1326)*0.5+N($P1326)*0.25)+$W1326*N($L1326))</f>
        <v/>
      </c>
      <c r="Z1326" s="35" t="str">
        <f aca="false">IF($G1326="","",$U1326*1000000+ROW())</f>
        <v/>
      </c>
      <c r="AA1326" s="36" t="str">
        <f aca="false">IF($G1326="","",MID(IF($C1326="",", no division","")&amp;IF($E1326="",", no unit","")&amp;IF($H1326="",", no career level","")&amp;IF(N($L1326)&lt;=0,", no quarter split","")&amp;IF($R1326="",", no driver","")&amp;IF(AND($H1326&lt;&gt;"",COUNTIF(CareerLevels,$H1326)=0),", a career level that is not on the ladder","")&amp;IF(AND($R1326&lt;&gt;"",COUNTIF(DriverList,$R1326)=0),", a driver that is not on the list","")&amp;IF(ABS(N($L1326)-(N($M1326)+N($N1326)+N($O1326)+N($P1326)))&gt;0.001,", a total that does not match its quarters",""),3,300))</f>
        <v/>
      </c>
    </row>
    <row r="1327" customFormat="false" ht="15" hidden="false" customHeight="false" outlineLevel="0" collapsed="false">
      <c r="A1327" s="33" t="str">
        <f aca="false">IF($G1327="","","Legal Group")</f>
        <v/>
      </c>
      <c r="B1327" s="19"/>
      <c r="C1327" s="19"/>
      <c r="D1327" s="19"/>
      <c r="E1327" s="19"/>
      <c r="F1327" s="19"/>
      <c r="G1327" s="19"/>
      <c r="H1327" s="19"/>
      <c r="I1327" s="19"/>
      <c r="J1327" s="19"/>
      <c r="K1327" s="19"/>
      <c r="L1327" s="19"/>
      <c r="M1327" s="19"/>
      <c r="N1327" s="19"/>
      <c r="O1327" s="19"/>
      <c r="P1327" s="19"/>
      <c r="Q1327" s="19"/>
      <c r="R1327" s="19"/>
      <c r="S1327" s="19"/>
      <c r="T1327" s="34" t="str">
        <f aca="false">IF($R1327="","",IFERROR(INDEX(DriverCategory,MATCH($R1327,DriverList,0)),"BAU"))</f>
        <v/>
      </c>
      <c r="U1327" s="34" t="str">
        <f aca="false">IF($R1327="","",IFERROR(INDEX(DriverRank,MATCH($R1327,DriverList,0)),99))</f>
        <v/>
      </c>
      <c r="V1327" s="35" t="n">
        <f aca="false">IF($H1327="",0,IFERROR(INDEX(LevelBasic,MATCH($H1327,LevelList,0))+INDEX(LevelHousing,MATCH($H1327,LevelList,0))+INDEX(LevelTransport,MATCH($H1327,LevelList,0))+INDEX(LevelBasic,MATCH($H1327,LevelList,0))*INDEX(LevelBonus,MATCH($H1327,LevelList,0))+(INDEX(LevelBasic,MATCH($H1327,LevelList,0))+INDEX(LevelHousing,MATCH($H1327,LevelList,0)))*GosiSaudi,0))</f>
        <v>0</v>
      </c>
      <c r="W1327" s="35" t="n">
        <f aca="false">IFERROR(INDEX(LevelOneOff,MATCH($H1327,LevelList,0)),0)</f>
        <v>0</v>
      </c>
      <c r="X1327" s="35" t="str">
        <f aca="false">IF($G1327="","",$V1327*N($L1327))</f>
        <v/>
      </c>
      <c r="Y1327" s="35" t="str">
        <f aca="false">IF($G1327="","",$V1327*(N($M1327)*1+N($N1327)*0.75+N($O1327)*0.5+N($P1327)*0.25)+$W1327*N($L1327))</f>
        <v/>
      </c>
      <c r="Z1327" s="35" t="str">
        <f aca="false">IF($G1327="","",$U1327*1000000+ROW())</f>
        <v/>
      </c>
      <c r="AA1327" s="36" t="str">
        <f aca="false">IF($G1327="","",MID(IF($C1327="",", no division","")&amp;IF($E1327="",", no unit","")&amp;IF($H1327="",", no career level","")&amp;IF(N($L1327)&lt;=0,", no quarter split","")&amp;IF($R1327="",", no driver","")&amp;IF(AND($H1327&lt;&gt;"",COUNTIF(CareerLevels,$H1327)=0),", a career level that is not on the ladder","")&amp;IF(AND($R1327&lt;&gt;"",COUNTIF(DriverList,$R1327)=0),", a driver that is not on the list","")&amp;IF(ABS(N($L1327)-(N($M1327)+N($N1327)+N($O1327)+N($P1327)))&gt;0.001,", a total that does not match its quarters",""),3,300))</f>
        <v/>
      </c>
    </row>
    <row r="1328" customFormat="false" ht="15" hidden="false" customHeight="false" outlineLevel="0" collapsed="false">
      <c r="A1328" s="33" t="str">
        <f aca="false">IF($G1328="","","Legal Group")</f>
        <v/>
      </c>
      <c r="B1328" s="19"/>
      <c r="C1328" s="19"/>
      <c r="D1328" s="19"/>
      <c r="E1328" s="19"/>
      <c r="F1328" s="19"/>
      <c r="G1328" s="19"/>
      <c r="H1328" s="19"/>
      <c r="I1328" s="19"/>
      <c r="J1328" s="19"/>
      <c r="K1328" s="19"/>
      <c r="L1328" s="19"/>
      <c r="M1328" s="19"/>
      <c r="N1328" s="19"/>
      <c r="O1328" s="19"/>
      <c r="P1328" s="19"/>
      <c r="Q1328" s="19"/>
      <c r="R1328" s="19"/>
      <c r="S1328" s="19"/>
      <c r="T1328" s="34" t="str">
        <f aca="false">IF($R1328="","",IFERROR(INDEX(DriverCategory,MATCH($R1328,DriverList,0)),"BAU"))</f>
        <v/>
      </c>
      <c r="U1328" s="34" t="str">
        <f aca="false">IF($R1328="","",IFERROR(INDEX(DriverRank,MATCH($R1328,DriverList,0)),99))</f>
        <v/>
      </c>
      <c r="V1328" s="35" t="n">
        <f aca="false">IF($H1328="",0,IFERROR(INDEX(LevelBasic,MATCH($H1328,LevelList,0))+INDEX(LevelHousing,MATCH($H1328,LevelList,0))+INDEX(LevelTransport,MATCH($H1328,LevelList,0))+INDEX(LevelBasic,MATCH($H1328,LevelList,0))*INDEX(LevelBonus,MATCH($H1328,LevelList,0))+(INDEX(LevelBasic,MATCH($H1328,LevelList,0))+INDEX(LevelHousing,MATCH($H1328,LevelList,0)))*GosiSaudi,0))</f>
        <v>0</v>
      </c>
      <c r="W1328" s="35" t="n">
        <f aca="false">IFERROR(INDEX(LevelOneOff,MATCH($H1328,LevelList,0)),0)</f>
        <v>0</v>
      </c>
      <c r="X1328" s="35" t="str">
        <f aca="false">IF($G1328="","",$V1328*N($L1328))</f>
        <v/>
      </c>
      <c r="Y1328" s="35" t="str">
        <f aca="false">IF($G1328="","",$V1328*(N($M1328)*1+N($N1328)*0.75+N($O1328)*0.5+N($P1328)*0.25)+$W1328*N($L1328))</f>
        <v/>
      </c>
      <c r="Z1328" s="35" t="str">
        <f aca="false">IF($G1328="","",$U1328*1000000+ROW())</f>
        <v/>
      </c>
      <c r="AA1328" s="36" t="str">
        <f aca="false">IF($G1328="","",MID(IF($C1328="",", no division","")&amp;IF($E1328="",", no unit","")&amp;IF($H1328="",", no career level","")&amp;IF(N($L1328)&lt;=0,", no quarter split","")&amp;IF($R1328="",", no driver","")&amp;IF(AND($H1328&lt;&gt;"",COUNTIF(CareerLevels,$H1328)=0),", a career level that is not on the ladder","")&amp;IF(AND($R1328&lt;&gt;"",COUNTIF(DriverList,$R1328)=0),", a driver that is not on the list","")&amp;IF(ABS(N($L1328)-(N($M1328)+N($N1328)+N($O1328)+N($P1328)))&gt;0.001,", a total that does not match its quarters",""),3,300))</f>
        <v/>
      </c>
    </row>
    <row r="1329" customFormat="false" ht="15" hidden="false" customHeight="false" outlineLevel="0" collapsed="false">
      <c r="A1329" s="33" t="str">
        <f aca="false">IF($G1329="","","Legal Group")</f>
        <v/>
      </c>
      <c r="B1329" s="19"/>
      <c r="C1329" s="19"/>
      <c r="D1329" s="19"/>
      <c r="E1329" s="19"/>
      <c r="F1329" s="19"/>
      <c r="G1329" s="19"/>
      <c r="H1329" s="19"/>
      <c r="I1329" s="19"/>
      <c r="J1329" s="19"/>
      <c r="K1329" s="19"/>
      <c r="L1329" s="19"/>
      <c r="M1329" s="19"/>
      <c r="N1329" s="19"/>
      <c r="O1329" s="19"/>
      <c r="P1329" s="19"/>
      <c r="Q1329" s="19"/>
      <c r="R1329" s="19"/>
      <c r="S1329" s="19"/>
      <c r="T1329" s="34" t="str">
        <f aca="false">IF($R1329="","",IFERROR(INDEX(DriverCategory,MATCH($R1329,DriverList,0)),"BAU"))</f>
        <v/>
      </c>
      <c r="U1329" s="34" t="str">
        <f aca="false">IF($R1329="","",IFERROR(INDEX(DriverRank,MATCH($R1329,DriverList,0)),99))</f>
        <v/>
      </c>
      <c r="V1329" s="35" t="n">
        <f aca="false">IF($H1329="",0,IFERROR(INDEX(LevelBasic,MATCH($H1329,LevelList,0))+INDEX(LevelHousing,MATCH($H1329,LevelList,0))+INDEX(LevelTransport,MATCH($H1329,LevelList,0))+INDEX(LevelBasic,MATCH($H1329,LevelList,0))*INDEX(LevelBonus,MATCH($H1329,LevelList,0))+(INDEX(LevelBasic,MATCH($H1329,LevelList,0))+INDEX(LevelHousing,MATCH($H1329,LevelList,0)))*GosiSaudi,0))</f>
        <v>0</v>
      </c>
      <c r="W1329" s="35" t="n">
        <f aca="false">IFERROR(INDEX(LevelOneOff,MATCH($H1329,LevelList,0)),0)</f>
        <v>0</v>
      </c>
      <c r="X1329" s="35" t="str">
        <f aca="false">IF($G1329="","",$V1329*N($L1329))</f>
        <v/>
      </c>
      <c r="Y1329" s="35" t="str">
        <f aca="false">IF($G1329="","",$V1329*(N($M1329)*1+N($N1329)*0.75+N($O1329)*0.5+N($P1329)*0.25)+$W1329*N($L1329))</f>
        <v/>
      </c>
      <c r="Z1329" s="35" t="str">
        <f aca="false">IF($G1329="","",$U1329*1000000+ROW())</f>
        <v/>
      </c>
      <c r="AA1329" s="36" t="str">
        <f aca="false">IF($G1329="","",MID(IF($C1329="",", no division","")&amp;IF($E1329="",", no unit","")&amp;IF($H1329="",", no career level","")&amp;IF(N($L1329)&lt;=0,", no quarter split","")&amp;IF($R1329="",", no driver","")&amp;IF(AND($H1329&lt;&gt;"",COUNTIF(CareerLevels,$H1329)=0),", a career level that is not on the ladder","")&amp;IF(AND($R1329&lt;&gt;"",COUNTIF(DriverList,$R1329)=0),", a driver that is not on the list","")&amp;IF(ABS(N($L1329)-(N($M1329)+N($N1329)+N($O1329)+N($P1329)))&gt;0.001,", a total that does not match its quarters",""),3,300))</f>
        <v/>
      </c>
    </row>
    <row r="1330" customFormat="false" ht="15" hidden="false" customHeight="false" outlineLevel="0" collapsed="false">
      <c r="A1330" s="33" t="str">
        <f aca="false">IF($G1330="","","Legal Group")</f>
        <v/>
      </c>
      <c r="B1330" s="19"/>
      <c r="C1330" s="19"/>
      <c r="D1330" s="19"/>
      <c r="E1330" s="19"/>
      <c r="F1330" s="19"/>
      <c r="G1330" s="19"/>
      <c r="H1330" s="19"/>
      <c r="I1330" s="19"/>
      <c r="J1330" s="19"/>
      <c r="K1330" s="19"/>
      <c r="L1330" s="19"/>
      <c r="M1330" s="19"/>
      <c r="N1330" s="19"/>
      <c r="O1330" s="19"/>
      <c r="P1330" s="19"/>
      <c r="Q1330" s="19"/>
      <c r="R1330" s="19"/>
      <c r="S1330" s="19"/>
      <c r="T1330" s="34" t="str">
        <f aca="false">IF($R1330="","",IFERROR(INDEX(DriverCategory,MATCH($R1330,DriverList,0)),"BAU"))</f>
        <v/>
      </c>
      <c r="U1330" s="34" t="str">
        <f aca="false">IF($R1330="","",IFERROR(INDEX(DriverRank,MATCH($R1330,DriverList,0)),99))</f>
        <v/>
      </c>
      <c r="V1330" s="35" t="n">
        <f aca="false">IF($H1330="",0,IFERROR(INDEX(LevelBasic,MATCH($H1330,LevelList,0))+INDEX(LevelHousing,MATCH($H1330,LevelList,0))+INDEX(LevelTransport,MATCH($H1330,LevelList,0))+INDEX(LevelBasic,MATCH($H1330,LevelList,0))*INDEX(LevelBonus,MATCH($H1330,LevelList,0))+(INDEX(LevelBasic,MATCH($H1330,LevelList,0))+INDEX(LevelHousing,MATCH($H1330,LevelList,0)))*GosiSaudi,0))</f>
        <v>0</v>
      </c>
      <c r="W1330" s="35" t="n">
        <f aca="false">IFERROR(INDEX(LevelOneOff,MATCH($H1330,LevelList,0)),0)</f>
        <v>0</v>
      </c>
      <c r="X1330" s="35" t="str">
        <f aca="false">IF($G1330="","",$V1330*N($L1330))</f>
        <v/>
      </c>
      <c r="Y1330" s="35" t="str">
        <f aca="false">IF($G1330="","",$V1330*(N($M1330)*1+N($N1330)*0.75+N($O1330)*0.5+N($P1330)*0.25)+$W1330*N($L1330))</f>
        <v/>
      </c>
      <c r="Z1330" s="35" t="str">
        <f aca="false">IF($G1330="","",$U1330*1000000+ROW())</f>
        <v/>
      </c>
      <c r="AA1330" s="36" t="str">
        <f aca="false">IF($G1330="","",MID(IF($C1330="",", no division","")&amp;IF($E1330="",", no unit","")&amp;IF($H1330="",", no career level","")&amp;IF(N($L1330)&lt;=0,", no quarter split","")&amp;IF($R1330="",", no driver","")&amp;IF(AND($H1330&lt;&gt;"",COUNTIF(CareerLevels,$H1330)=0),", a career level that is not on the ladder","")&amp;IF(AND($R1330&lt;&gt;"",COUNTIF(DriverList,$R1330)=0),", a driver that is not on the list","")&amp;IF(ABS(N($L1330)-(N($M1330)+N($N1330)+N($O1330)+N($P1330)))&gt;0.001,", a total that does not match its quarters",""),3,300))</f>
        <v/>
      </c>
    </row>
    <row r="1331" customFormat="false" ht="15" hidden="false" customHeight="false" outlineLevel="0" collapsed="false">
      <c r="A1331" s="33" t="str">
        <f aca="false">IF($G1331="","","Legal Group")</f>
        <v/>
      </c>
      <c r="B1331" s="19"/>
      <c r="C1331" s="19"/>
      <c r="D1331" s="19"/>
      <c r="E1331" s="19"/>
      <c r="F1331" s="19"/>
      <c r="G1331" s="19"/>
      <c r="H1331" s="19"/>
      <c r="I1331" s="19"/>
      <c r="J1331" s="19"/>
      <c r="K1331" s="19"/>
      <c r="L1331" s="19"/>
      <c r="M1331" s="19"/>
      <c r="N1331" s="19"/>
      <c r="O1331" s="19"/>
      <c r="P1331" s="19"/>
      <c r="Q1331" s="19"/>
      <c r="R1331" s="19"/>
      <c r="S1331" s="19"/>
      <c r="T1331" s="34" t="str">
        <f aca="false">IF($R1331="","",IFERROR(INDEX(DriverCategory,MATCH($R1331,DriverList,0)),"BAU"))</f>
        <v/>
      </c>
      <c r="U1331" s="34" t="str">
        <f aca="false">IF($R1331="","",IFERROR(INDEX(DriverRank,MATCH($R1331,DriverList,0)),99))</f>
        <v/>
      </c>
      <c r="V1331" s="35" t="n">
        <f aca="false">IF($H1331="",0,IFERROR(INDEX(LevelBasic,MATCH($H1331,LevelList,0))+INDEX(LevelHousing,MATCH($H1331,LevelList,0))+INDEX(LevelTransport,MATCH($H1331,LevelList,0))+INDEX(LevelBasic,MATCH($H1331,LevelList,0))*INDEX(LevelBonus,MATCH($H1331,LevelList,0))+(INDEX(LevelBasic,MATCH($H1331,LevelList,0))+INDEX(LevelHousing,MATCH($H1331,LevelList,0)))*GosiSaudi,0))</f>
        <v>0</v>
      </c>
      <c r="W1331" s="35" t="n">
        <f aca="false">IFERROR(INDEX(LevelOneOff,MATCH($H1331,LevelList,0)),0)</f>
        <v>0</v>
      </c>
      <c r="X1331" s="35" t="str">
        <f aca="false">IF($G1331="","",$V1331*N($L1331))</f>
        <v/>
      </c>
      <c r="Y1331" s="35" t="str">
        <f aca="false">IF($G1331="","",$V1331*(N($M1331)*1+N($N1331)*0.75+N($O1331)*0.5+N($P1331)*0.25)+$W1331*N($L1331))</f>
        <v/>
      </c>
      <c r="Z1331" s="35" t="str">
        <f aca="false">IF($G1331="","",$U1331*1000000+ROW())</f>
        <v/>
      </c>
      <c r="AA1331" s="36" t="str">
        <f aca="false">IF($G1331="","",MID(IF($C1331="",", no division","")&amp;IF($E1331="",", no unit","")&amp;IF($H1331="",", no career level","")&amp;IF(N($L1331)&lt;=0,", no quarter split","")&amp;IF($R1331="",", no driver","")&amp;IF(AND($H1331&lt;&gt;"",COUNTIF(CareerLevels,$H1331)=0),", a career level that is not on the ladder","")&amp;IF(AND($R1331&lt;&gt;"",COUNTIF(DriverList,$R1331)=0),", a driver that is not on the list","")&amp;IF(ABS(N($L1331)-(N($M1331)+N($N1331)+N($O1331)+N($P1331)))&gt;0.001,", a total that does not match its quarters",""),3,300))</f>
        <v/>
      </c>
    </row>
    <row r="1332" customFormat="false" ht="15" hidden="false" customHeight="false" outlineLevel="0" collapsed="false">
      <c r="A1332" s="33" t="str">
        <f aca="false">IF($G1332="","","Legal Group")</f>
        <v/>
      </c>
      <c r="B1332" s="19"/>
      <c r="C1332" s="19"/>
      <c r="D1332" s="19"/>
      <c r="E1332" s="19"/>
      <c r="F1332" s="19"/>
      <c r="G1332" s="19"/>
      <c r="H1332" s="19"/>
      <c r="I1332" s="19"/>
      <c r="J1332" s="19"/>
      <c r="K1332" s="19"/>
      <c r="L1332" s="19"/>
      <c r="M1332" s="19"/>
      <c r="N1332" s="19"/>
      <c r="O1332" s="19"/>
      <c r="P1332" s="19"/>
      <c r="Q1332" s="19"/>
      <c r="R1332" s="19"/>
      <c r="S1332" s="19"/>
      <c r="T1332" s="34" t="str">
        <f aca="false">IF($R1332="","",IFERROR(INDEX(DriverCategory,MATCH($R1332,DriverList,0)),"BAU"))</f>
        <v/>
      </c>
      <c r="U1332" s="34" t="str">
        <f aca="false">IF($R1332="","",IFERROR(INDEX(DriverRank,MATCH($R1332,DriverList,0)),99))</f>
        <v/>
      </c>
      <c r="V1332" s="35" t="n">
        <f aca="false">IF($H1332="",0,IFERROR(INDEX(LevelBasic,MATCH($H1332,LevelList,0))+INDEX(LevelHousing,MATCH($H1332,LevelList,0))+INDEX(LevelTransport,MATCH($H1332,LevelList,0))+INDEX(LevelBasic,MATCH($H1332,LevelList,0))*INDEX(LevelBonus,MATCH($H1332,LevelList,0))+(INDEX(LevelBasic,MATCH($H1332,LevelList,0))+INDEX(LevelHousing,MATCH($H1332,LevelList,0)))*GosiSaudi,0))</f>
        <v>0</v>
      </c>
      <c r="W1332" s="35" t="n">
        <f aca="false">IFERROR(INDEX(LevelOneOff,MATCH($H1332,LevelList,0)),0)</f>
        <v>0</v>
      </c>
      <c r="X1332" s="35" t="str">
        <f aca="false">IF($G1332="","",$V1332*N($L1332))</f>
        <v/>
      </c>
      <c r="Y1332" s="35" t="str">
        <f aca="false">IF($G1332="","",$V1332*(N($M1332)*1+N($N1332)*0.75+N($O1332)*0.5+N($P1332)*0.25)+$W1332*N($L1332))</f>
        <v/>
      </c>
      <c r="Z1332" s="35" t="str">
        <f aca="false">IF($G1332="","",$U1332*1000000+ROW())</f>
        <v/>
      </c>
      <c r="AA1332" s="36" t="str">
        <f aca="false">IF($G1332="","",MID(IF($C1332="",", no division","")&amp;IF($E1332="",", no unit","")&amp;IF($H1332="",", no career level","")&amp;IF(N($L1332)&lt;=0,", no quarter split","")&amp;IF($R1332="",", no driver","")&amp;IF(AND($H1332&lt;&gt;"",COUNTIF(CareerLevels,$H1332)=0),", a career level that is not on the ladder","")&amp;IF(AND($R1332&lt;&gt;"",COUNTIF(DriverList,$R1332)=0),", a driver that is not on the list","")&amp;IF(ABS(N($L1332)-(N($M1332)+N($N1332)+N($O1332)+N($P1332)))&gt;0.001,", a total that does not match its quarters",""),3,300))</f>
        <v/>
      </c>
    </row>
    <row r="1333" customFormat="false" ht="15" hidden="false" customHeight="false" outlineLevel="0" collapsed="false">
      <c r="A1333" s="33" t="str">
        <f aca="false">IF($G1333="","","Legal Group")</f>
        <v/>
      </c>
      <c r="B1333" s="19"/>
      <c r="C1333" s="19"/>
      <c r="D1333" s="19"/>
      <c r="E1333" s="19"/>
      <c r="F1333" s="19"/>
      <c r="G1333" s="19"/>
      <c r="H1333" s="19"/>
      <c r="I1333" s="19"/>
      <c r="J1333" s="19"/>
      <c r="K1333" s="19"/>
      <c r="L1333" s="19"/>
      <c r="M1333" s="19"/>
      <c r="N1333" s="19"/>
      <c r="O1333" s="19"/>
      <c r="P1333" s="19"/>
      <c r="Q1333" s="19"/>
      <c r="R1333" s="19"/>
      <c r="S1333" s="19"/>
      <c r="T1333" s="34" t="str">
        <f aca="false">IF($R1333="","",IFERROR(INDEX(DriverCategory,MATCH($R1333,DriverList,0)),"BAU"))</f>
        <v/>
      </c>
      <c r="U1333" s="34" t="str">
        <f aca="false">IF($R1333="","",IFERROR(INDEX(DriverRank,MATCH($R1333,DriverList,0)),99))</f>
        <v/>
      </c>
      <c r="V1333" s="35" t="n">
        <f aca="false">IF($H1333="",0,IFERROR(INDEX(LevelBasic,MATCH($H1333,LevelList,0))+INDEX(LevelHousing,MATCH($H1333,LevelList,0))+INDEX(LevelTransport,MATCH($H1333,LevelList,0))+INDEX(LevelBasic,MATCH($H1333,LevelList,0))*INDEX(LevelBonus,MATCH($H1333,LevelList,0))+(INDEX(LevelBasic,MATCH($H1333,LevelList,0))+INDEX(LevelHousing,MATCH($H1333,LevelList,0)))*GosiSaudi,0))</f>
        <v>0</v>
      </c>
      <c r="W1333" s="35" t="n">
        <f aca="false">IFERROR(INDEX(LevelOneOff,MATCH($H1333,LevelList,0)),0)</f>
        <v>0</v>
      </c>
      <c r="X1333" s="35" t="str">
        <f aca="false">IF($G1333="","",$V1333*N($L1333))</f>
        <v/>
      </c>
      <c r="Y1333" s="35" t="str">
        <f aca="false">IF($G1333="","",$V1333*(N($M1333)*1+N($N1333)*0.75+N($O1333)*0.5+N($P1333)*0.25)+$W1333*N($L1333))</f>
        <v/>
      </c>
      <c r="Z1333" s="35" t="str">
        <f aca="false">IF($G1333="","",$U1333*1000000+ROW())</f>
        <v/>
      </c>
      <c r="AA1333" s="36" t="str">
        <f aca="false">IF($G1333="","",MID(IF($C1333="",", no division","")&amp;IF($E1333="",", no unit","")&amp;IF($H1333="",", no career level","")&amp;IF(N($L1333)&lt;=0,", no quarter split","")&amp;IF($R1333="",", no driver","")&amp;IF(AND($H1333&lt;&gt;"",COUNTIF(CareerLevels,$H1333)=0),", a career level that is not on the ladder","")&amp;IF(AND($R1333&lt;&gt;"",COUNTIF(DriverList,$R1333)=0),", a driver that is not on the list","")&amp;IF(ABS(N($L1333)-(N($M1333)+N($N1333)+N($O1333)+N($P1333)))&gt;0.001,", a total that does not match its quarters",""),3,300))</f>
        <v/>
      </c>
    </row>
    <row r="1334" customFormat="false" ht="15" hidden="false" customHeight="false" outlineLevel="0" collapsed="false">
      <c r="A1334" s="33" t="str">
        <f aca="false">IF($G1334="","","Legal Group")</f>
        <v/>
      </c>
      <c r="B1334" s="19"/>
      <c r="C1334" s="19"/>
      <c r="D1334" s="19"/>
      <c r="E1334" s="19"/>
      <c r="F1334" s="19"/>
      <c r="G1334" s="19"/>
      <c r="H1334" s="19"/>
      <c r="I1334" s="19"/>
      <c r="J1334" s="19"/>
      <c r="K1334" s="19"/>
      <c r="L1334" s="19"/>
      <c r="M1334" s="19"/>
      <c r="N1334" s="19"/>
      <c r="O1334" s="19"/>
      <c r="P1334" s="19"/>
      <c r="Q1334" s="19"/>
      <c r="R1334" s="19"/>
      <c r="S1334" s="19"/>
      <c r="T1334" s="34" t="str">
        <f aca="false">IF($R1334="","",IFERROR(INDEX(DriverCategory,MATCH($R1334,DriverList,0)),"BAU"))</f>
        <v/>
      </c>
      <c r="U1334" s="34" t="str">
        <f aca="false">IF($R1334="","",IFERROR(INDEX(DriverRank,MATCH($R1334,DriverList,0)),99))</f>
        <v/>
      </c>
      <c r="V1334" s="35" t="n">
        <f aca="false">IF($H1334="",0,IFERROR(INDEX(LevelBasic,MATCH($H1334,LevelList,0))+INDEX(LevelHousing,MATCH($H1334,LevelList,0))+INDEX(LevelTransport,MATCH($H1334,LevelList,0))+INDEX(LevelBasic,MATCH($H1334,LevelList,0))*INDEX(LevelBonus,MATCH($H1334,LevelList,0))+(INDEX(LevelBasic,MATCH($H1334,LevelList,0))+INDEX(LevelHousing,MATCH($H1334,LevelList,0)))*GosiSaudi,0))</f>
        <v>0</v>
      </c>
      <c r="W1334" s="35" t="n">
        <f aca="false">IFERROR(INDEX(LevelOneOff,MATCH($H1334,LevelList,0)),0)</f>
        <v>0</v>
      </c>
      <c r="X1334" s="35" t="str">
        <f aca="false">IF($G1334="","",$V1334*N($L1334))</f>
        <v/>
      </c>
      <c r="Y1334" s="35" t="str">
        <f aca="false">IF($G1334="","",$V1334*(N($M1334)*1+N($N1334)*0.75+N($O1334)*0.5+N($P1334)*0.25)+$W1334*N($L1334))</f>
        <v/>
      </c>
      <c r="Z1334" s="35" t="str">
        <f aca="false">IF($G1334="","",$U1334*1000000+ROW())</f>
        <v/>
      </c>
      <c r="AA1334" s="36" t="str">
        <f aca="false">IF($G1334="","",MID(IF($C1334="",", no division","")&amp;IF($E1334="",", no unit","")&amp;IF($H1334="",", no career level","")&amp;IF(N($L1334)&lt;=0,", no quarter split","")&amp;IF($R1334="",", no driver","")&amp;IF(AND($H1334&lt;&gt;"",COUNTIF(CareerLevels,$H1334)=0),", a career level that is not on the ladder","")&amp;IF(AND($R1334&lt;&gt;"",COUNTIF(DriverList,$R1334)=0),", a driver that is not on the list","")&amp;IF(ABS(N($L1334)-(N($M1334)+N($N1334)+N($O1334)+N($P1334)))&gt;0.001,", a total that does not match its quarters",""),3,300))</f>
        <v/>
      </c>
    </row>
    <row r="1335" customFormat="false" ht="15" hidden="false" customHeight="false" outlineLevel="0" collapsed="false">
      <c r="A1335" s="33" t="str">
        <f aca="false">IF($G1335="","","Legal Group")</f>
        <v/>
      </c>
      <c r="B1335" s="19"/>
      <c r="C1335" s="19"/>
      <c r="D1335" s="19"/>
      <c r="E1335" s="19"/>
      <c r="F1335" s="19"/>
      <c r="G1335" s="19"/>
      <c r="H1335" s="19"/>
      <c r="I1335" s="19"/>
      <c r="J1335" s="19"/>
      <c r="K1335" s="19"/>
      <c r="L1335" s="19"/>
      <c r="M1335" s="19"/>
      <c r="N1335" s="19"/>
      <c r="O1335" s="19"/>
      <c r="P1335" s="19"/>
      <c r="Q1335" s="19"/>
      <c r="R1335" s="19"/>
      <c r="S1335" s="19"/>
      <c r="T1335" s="34" t="str">
        <f aca="false">IF($R1335="","",IFERROR(INDEX(DriverCategory,MATCH($R1335,DriverList,0)),"BAU"))</f>
        <v/>
      </c>
      <c r="U1335" s="34" t="str">
        <f aca="false">IF($R1335="","",IFERROR(INDEX(DriverRank,MATCH($R1335,DriverList,0)),99))</f>
        <v/>
      </c>
      <c r="V1335" s="35" t="n">
        <f aca="false">IF($H1335="",0,IFERROR(INDEX(LevelBasic,MATCH($H1335,LevelList,0))+INDEX(LevelHousing,MATCH($H1335,LevelList,0))+INDEX(LevelTransport,MATCH($H1335,LevelList,0))+INDEX(LevelBasic,MATCH($H1335,LevelList,0))*INDEX(LevelBonus,MATCH($H1335,LevelList,0))+(INDEX(LevelBasic,MATCH($H1335,LevelList,0))+INDEX(LevelHousing,MATCH($H1335,LevelList,0)))*GosiSaudi,0))</f>
        <v>0</v>
      </c>
      <c r="W1335" s="35" t="n">
        <f aca="false">IFERROR(INDEX(LevelOneOff,MATCH($H1335,LevelList,0)),0)</f>
        <v>0</v>
      </c>
      <c r="X1335" s="35" t="str">
        <f aca="false">IF($G1335="","",$V1335*N($L1335))</f>
        <v/>
      </c>
      <c r="Y1335" s="35" t="str">
        <f aca="false">IF($G1335="","",$V1335*(N($M1335)*1+N($N1335)*0.75+N($O1335)*0.5+N($P1335)*0.25)+$W1335*N($L1335))</f>
        <v/>
      </c>
      <c r="Z1335" s="35" t="str">
        <f aca="false">IF($G1335="","",$U1335*1000000+ROW())</f>
        <v/>
      </c>
      <c r="AA1335" s="36" t="str">
        <f aca="false">IF($G1335="","",MID(IF($C1335="",", no division","")&amp;IF($E1335="",", no unit","")&amp;IF($H1335="",", no career level","")&amp;IF(N($L1335)&lt;=0,", no quarter split","")&amp;IF($R1335="",", no driver","")&amp;IF(AND($H1335&lt;&gt;"",COUNTIF(CareerLevels,$H1335)=0),", a career level that is not on the ladder","")&amp;IF(AND($R1335&lt;&gt;"",COUNTIF(DriverList,$R1335)=0),", a driver that is not on the list","")&amp;IF(ABS(N($L1335)-(N($M1335)+N($N1335)+N($O1335)+N($P1335)))&gt;0.001,", a total that does not match its quarters",""),3,300))</f>
        <v/>
      </c>
    </row>
    <row r="1336" customFormat="false" ht="15" hidden="false" customHeight="false" outlineLevel="0" collapsed="false">
      <c r="A1336" s="33" t="str">
        <f aca="false">IF($G1336="","","Legal Group")</f>
        <v/>
      </c>
      <c r="B1336" s="19"/>
      <c r="C1336" s="19"/>
      <c r="D1336" s="19"/>
      <c r="E1336" s="19"/>
      <c r="F1336" s="19"/>
      <c r="G1336" s="19"/>
      <c r="H1336" s="19"/>
      <c r="I1336" s="19"/>
      <c r="J1336" s="19"/>
      <c r="K1336" s="19"/>
      <c r="L1336" s="19"/>
      <c r="M1336" s="19"/>
      <c r="N1336" s="19"/>
      <c r="O1336" s="19"/>
      <c r="P1336" s="19"/>
      <c r="Q1336" s="19"/>
      <c r="R1336" s="19"/>
      <c r="S1336" s="19"/>
      <c r="T1336" s="34" t="str">
        <f aca="false">IF($R1336="","",IFERROR(INDEX(DriverCategory,MATCH($R1336,DriverList,0)),"BAU"))</f>
        <v/>
      </c>
      <c r="U1336" s="34" t="str">
        <f aca="false">IF($R1336="","",IFERROR(INDEX(DriverRank,MATCH($R1336,DriverList,0)),99))</f>
        <v/>
      </c>
      <c r="V1336" s="35" t="n">
        <f aca="false">IF($H1336="",0,IFERROR(INDEX(LevelBasic,MATCH($H1336,LevelList,0))+INDEX(LevelHousing,MATCH($H1336,LevelList,0))+INDEX(LevelTransport,MATCH($H1336,LevelList,0))+INDEX(LevelBasic,MATCH($H1336,LevelList,0))*INDEX(LevelBonus,MATCH($H1336,LevelList,0))+(INDEX(LevelBasic,MATCH($H1336,LevelList,0))+INDEX(LevelHousing,MATCH($H1336,LevelList,0)))*GosiSaudi,0))</f>
        <v>0</v>
      </c>
      <c r="W1336" s="35" t="n">
        <f aca="false">IFERROR(INDEX(LevelOneOff,MATCH($H1336,LevelList,0)),0)</f>
        <v>0</v>
      </c>
      <c r="X1336" s="35" t="str">
        <f aca="false">IF($G1336="","",$V1336*N($L1336))</f>
        <v/>
      </c>
      <c r="Y1336" s="35" t="str">
        <f aca="false">IF($G1336="","",$V1336*(N($M1336)*1+N($N1336)*0.75+N($O1336)*0.5+N($P1336)*0.25)+$W1336*N($L1336))</f>
        <v/>
      </c>
      <c r="Z1336" s="35" t="str">
        <f aca="false">IF($G1336="","",$U1336*1000000+ROW())</f>
        <v/>
      </c>
      <c r="AA1336" s="36" t="str">
        <f aca="false">IF($G1336="","",MID(IF($C1336="",", no division","")&amp;IF($E1336="",", no unit","")&amp;IF($H1336="",", no career level","")&amp;IF(N($L1336)&lt;=0,", no quarter split","")&amp;IF($R1336="",", no driver","")&amp;IF(AND($H1336&lt;&gt;"",COUNTIF(CareerLevels,$H1336)=0),", a career level that is not on the ladder","")&amp;IF(AND($R1336&lt;&gt;"",COUNTIF(DriverList,$R1336)=0),", a driver that is not on the list","")&amp;IF(ABS(N($L1336)-(N($M1336)+N($N1336)+N($O1336)+N($P1336)))&gt;0.001,", a total that does not match its quarters",""),3,300))</f>
        <v/>
      </c>
    </row>
    <row r="1337" customFormat="false" ht="15" hidden="false" customHeight="false" outlineLevel="0" collapsed="false">
      <c r="A1337" s="33" t="str">
        <f aca="false">IF($G1337="","","Legal Group")</f>
        <v/>
      </c>
      <c r="B1337" s="19"/>
      <c r="C1337" s="19"/>
      <c r="D1337" s="19"/>
      <c r="E1337" s="19"/>
      <c r="F1337" s="19"/>
      <c r="G1337" s="19"/>
      <c r="H1337" s="19"/>
      <c r="I1337" s="19"/>
      <c r="J1337" s="19"/>
      <c r="K1337" s="19"/>
      <c r="L1337" s="19"/>
      <c r="M1337" s="19"/>
      <c r="N1337" s="19"/>
      <c r="O1337" s="19"/>
      <c r="P1337" s="19"/>
      <c r="Q1337" s="19"/>
      <c r="R1337" s="19"/>
      <c r="S1337" s="19"/>
      <c r="T1337" s="34" t="str">
        <f aca="false">IF($R1337="","",IFERROR(INDEX(DriverCategory,MATCH($R1337,DriverList,0)),"BAU"))</f>
        <v/>
      </c>
      <c r="U1337" s="34" t="str">
        <f aca="false">IF($R1337="","",IFERROR(INDEX(DriverRank,MATCH($R1337,DriverList,0)),99))</f>
        <v/>
      </c>
      <c r="V1337" s="35" t="n">
        <f aca="false">IF($H1337="",0,IFERROR(INDEX(LevelBasic,MATCH($H1337,LevelList,0))+INDEX(LevelHousing,MATCH($H1337,LevelList,0))+INDEX(LevelTransport,MATCH($H1337,LevelList,0))+INDEX(LevelBasic,MATCH($H1337,LevelList,0))*INDEX(LevelBonus,MATCH($H1337,LevelList,0))+(INDEX(LevelBasic,MATCH($H1337,LevelList,0))+INDEX(LevelHousing,MATCH($H1337,LevelList,0)))*GosiSaudi,0))</f>
        <v>0</v>
      </c>
      <c r="W1337" s="35" t="n">
        <f aca="false">IFERROR(INDEX(LevelOneOff,MATCH($H1337,LevelList,0)),0)</f>
        <v>0</v>
      </c>
      <c r="X1337" s="35" t="str">
        <f aca="false">IF($G1337="","",$V1337*N($L1337))</f>
        <v/>
      </c>
      <c r="Y1337" s="35" t="str">
        <f aca="false">IF($G1337="","",$V1337*(N($M1337)*1+N($N1337)*0.75+N($O1337)*0.5+N($P1337)*0.25)+$W1337*N($L1337))</f>
        <v/>
      </c>
      <c r="Z1337" s="35" t="str">
        <f aca="false">IF($G1337="","",$U1337*1000000+ROW())</f>
        <v/>
      </c>
      <c r="AA1337" s="36" t="str">
        <f aca="false">IF($G1337="","",MID(IF($C1337="",", no division","")&amp;IF($E1337="",", no unit","")&amp;IF($H1337="",", no career level","")&amp;IF(N($L1337)&lt;=0,", no quarter split","")&amp;IF($R1337="",", no driver","")&amp;IF(AND($H1337&lt;&gt;"",COUNTIF(CareerLevels,$H1337)=0),", a career level that is not on the ladder","")&amp;IF(AND($R1337&lt;&gt;"",COUNTIF(DriverList,$R1337)=0),", a driver that is not on the list","")&amp;IF(ABS(N($L1337)-(N($M1337)+N($N1337)+N($O1337)+N($P1337)))&gt;0.001,", a total that does not match its quarters",""),3,300))</f>
        <v/>
      </c>
    </row>
    <row r="1338" customFormat="false" ht="15" hidden="false" customHeight="false" outlineLevel="0" collapsed="false">
      <c r="A1338" s="33" t="str">
        <f aca="false">IF($G1338="","","Legal Group")</f>
        <v/>
      </c>
      <c r="B1338" s="19"/>
      <c r="C1338" s="19"/>
      <c r="D1338" s="19"/>
      <c r="E1338" s="19"/>
      <c r="F1338" s="19"/>
      <c r="G1338" s="19"/>
      <c r="H1338" s="19"/>
      <c r="I1338" s="19"/>
      <c r="J1338" s="19"/>
      <c r="K1338" s="19"/>
      <c r="L1338" s="19"/>
      <c r="M1338" s="19"/>
      <c r="N1338" s="19"/>
      <c r="O1338" s="19"/>
      <c r="P1338" s="19"/>
      <c r="Q1338" s="19"/>
      <c r="R1338" s="19"/>
      <c r="S1338" s="19"/>
      <c r="T1338" s="34" t="str">
        <f aca="false">IF($R1338="","",IFERROR(INDEX(DriverCategory,MATCH($R1338,DriverList,0)),"BAU"))</f>
        <v/>
      </c>
      <c r="U1338" s="34" t="str">
        <f aca="false">IF($R1338="","",IFERROR(INDEX(DriverRank,MATCH($R1338,DriverList,0)),99))</f>
        <v/>
      </c>
      <c r="V1338" s="35" t="n">
        <f aca="false">IF($H1338="",0,IFERROR(INDEX(LevelBasic,MATCH($H1338,LevelList,0))+INDEX(LevelHousing,MATCH($H1338,LevelList,0))+INDEX(LevelTransport,MATCH($H1338,LevelList,0))+INDEX(LevelBasic,MATCH($H1338,LevelList,0))*INDEX(LevelBonus,MATCH($H1338,LevelList,0))+(INDEX(LevelBasic,MATCH($H1338,LevelList,0))+INDEX(LevelHousing,MATCH($H1338,LevelList,0)))*GosiSaudi,0))</f>
        <v>0</v>
      </c>
      <c r="W1338" s="35" t="n">
        <f aca="false">IFERROR(INDEX(LevelOneOff,MATCH($H1338,LevelList,0)),0)</f>
        <v>0</v>
      </c>
      <c r="X1338" s="35" t="str">
        <f aca="false">IF($G1338="","",$V1338*N($L1338))</f>
        <v/>
      </c>
      <c r="Y1338" s="35" t="str">
        <f aca="false">IF($G1338="","",$V1338*(N($M1338)*1+N($N1338)*0.75+N($O1338)*0.5+N($P1338)*0.25)+$W1338*N($L1338))</f>
        <v/>
      </c>
      <c r="Z1338" s="35" t="str">
        <f aca="false">IF($G1338="","",$U1338*1000000+ROW())</f>
        <v/>
      </c>
      <c r="AA1338" s="36" t="str">
        <f aca="false">IF($G1338="","",MID(IF($C1338="",", no division","")&amp;IF($E1338="",", no unit","")&amp;IF($H1338="",", no career level","")&amp;IF(N($L1338)&lt;=0,", no quarter split","")&amp;IF($R1338="",", no driver","")&amp;IF(AND($H1338&lt;&gt;"",COUNTIF(CareerLevels,$H1338)=0),", a career level that is not on the ladder","")&amp;IF(AND($R1338&lt;&gt;"",COUNTIF(DriverList,$R1338)=0),", a driver that is not on the list","")&amp;IF(ABS(N($L1338)-(N($M1338)+N($N1338)+N($O1338)+N($P1338)))&gt;0.001,", a total that does not match its quarters",""),3,300))</f>
        <v/>
      </c>
    </row>
    <row r="1339" customFormat="false" ht="15" hidden="false" customHeight="false" outlineLevel="0" collapsed="false">
      <c r="A1339" s="33" t="str">
        <f aca="false">IF($G1339="","","Legal Group")</f>
        <v/>
      </c>
      <c r="B1339" s="19"/>
      <c r="C1339" s="19"/>
      <c r="D1339" s="19"/>
      <c r="E1339" s="19"/>
      <c r="F1339" s="19"/>
      <c r="G1339" s="19"/>
      <c r="H1339" s="19"/>
      <c r="I1339" s="19"/>
      <c r="J1339" s="19"/>
      <c r="K1339" s="19"/>
      <c r="L1339" s="19"/>
      <c r="M1339" s="19"/>
      <c r="N1339" s="19"/>
      <c r="O1339" s="19"/>
      <c r="P1339" s="19"/>
      <c r="Q1339" s="19"/>
      <c r="R1339" s="19"/>
      <c r="S1339" s="19"/>
      <c r="T1339" s="34" t="str">
        <f aca="false">IF($R1339="","",IFERROR(INDEX(DriverCategory,MATCH($R1339,DriverList,0)),"BAU"))</f>
        <v/>
      </c>
      <c r="U1339" s="34" t="str">
        <f aca="false">IF($R1339="","",IFERROR(INDEX(DriverRank,MATCH($R1339,DriverList,0)),99))</f>
        <v/>
      </c>
      <c r="V1339" s="35" t="n">
        <f aca="false">IF($H1339="",0,IFERROR(INDEX(LevelBasic,MATCH($H1339,LevelList,0))+INDEX(LevelHousing,MATCH($H1339,LevelList,0))+INDEX(LevelTransport,MATCH($H1339,LevelList,0))+INDEX(LevelBasic,MATCH($H1339,LevelList,0))*INDEX(LevelBonus,MATCH($H1339,LevelList,0))+(INDEX(LevelBasic,MATCH($H1339,LevelList,0))+INDEX(LevelHousing,MATCH($H1339,LevelList,0)))*GosiSaudi,0))</f>
        <v>0</v>
      </c>
      <c r="W1339" s="35" t="n">
        <f aca="false">IFERROR(INDEX(LevelOneOff,MATCH($H1339,LevelList,0)),0)</f>
        <v>0</v>
      </c>
      <c r="X1339" s="35" t="str">
        <f aca="false">IF($G1339="","",$V1339*N($L1339))</f>
        <v/>
      </c>
      <c r="Y1339" s="35" t="str">
        <f aca="false">IF($G1339="","",$V1339*(N($M1339)*1+N($N1339)*0.75+N($O1339)*0.5+N($P1339)*0.25)+$W1339*N($L1339))</f>
        <v/>
      </c>
      <c r="Z1339" s="35" t="str">
        <f aca="false">IF($G1339="","",$U1339*1000000+ROW())</f>
        <v/>
      </c>
      <c r="AA1339" s="36" t="str">
        <f aca="false">IF($G1339="","",MID(IF($C1339="",", no division","")&amp;IF($E1339="",", no unit","")&amp;IF($H1339="",", no career level","")&amp;IF(N($L1339)&lt;=0,", no quarter split","")&amp;IF($R1339="",", no driver","")&amp;IF(AND($H1339&lt;&gt;"",COUNTIF(CareerLevels,$H1339)=0),", a career level that is not on the ladder","")&amp;IF(AND($R1339&lt;&gt;"",COUNTIF(DriverList,$R1339)=0),", a driver that is not on the list","")&amp;IF(ABS(N($L1339)-(N($M1339)+N($N1339)+N($O1339)+N($P1339)))&gt;0.001,", a total that does not match its quarters",""),3,300))</f>
        <v/>
      </c>
    </row>
    <row r="1340" customFormat="false" ht="15" hidden="false" customHeight="false" outlineLevel="0" collapsed="false">
      <c r="A1340" s="33" t="str">
        <f aca="false">IF($G1340="","","Legal Group")</f>
        <v/>
      </c>
      <c r="B1340" s="19"/>
      <c r="C1340" s="19"/>
      <c r="D1340" s="19"/>
      <c r="E1340" s="19"/>
      <c r="F1340" s="19"/>
      <c r="G1340" s="19"/>
      <c r="H1340" s="19"/>
      <c r="I1340" s="19"/>
      <c r="J1340" s="19"/>
      <c r="K1340" s="19"/>
      <c r="L1340" s="19"/>
      <c r="M1340" s="19"/>
      <c r="N1340" s="19"/>
      <c r="O1340" s="19"/>
      <c r="P1340" s="19"/>
      <c r="Q1340" s="19"/>
      <c r="R1340" s="19"/>
      <c r="S1340" s="19"/>
      <c r="T1340" s="34" t="str">
        <f aca="false">IF($R1340="","",IFERROR(INDEX(DriverCategory,MATCH($R1340,DriverList,0)),"BAU"))</f>
        <v/>
      </c>
      <c r="U1340" s="34" t="str">
        <f aca="false">IF($R1340="","",IFERROR(INDEX(DriverRank,MATCH($R1340,DriverList,0)),99))</f>
        <v/>
      </c>
      <c r="V1340" s="35" t="n">
        <f aca="false">IF($H1340="",0,IFERROR(INDEX(LevelBasic,MATCH($H1340,LevelList,0))+INDEX(LevelHousing,MATCH($H1340,LevelList,0))+INDEX(LevelTransport,MATCH($H1340,LevelList,0))+INDEX(LevelBasic,MATCH($H1340,LevelList,0))*INDEX(LevelBonus,MATCH($H1340,LevelList,0))+(INDEX(LevelBasic,MATCH($H1340,LevelList,0))+INDEX(LevelHousing,MATCH($H1340,LevelList,0)))*GosiSaudi,0))</f>
        <v>0</v>
      </c>
      <c r="W1340" s="35" t="n">
        <f aca="false">IFERROR(INDEX(LevelOneOff,MATCH($H1340,LevelList,0)),0)</f>
        <v>0</v>
      </c>
      <c r="X1340" s="35" t="str">
        <f aca="false">IF($G1340="","",$V1340*N($L1340))</f>
        <v/>
      </c>
      <c r="Y1340" s="35" t="str">
        <f aca="false">IF($G1340="","",$V1340*(N($M1340)*1+N($N1340)*0.75+N($O1340)*0.5+N($P1340)*0.25)+$W1340*N($L1340))</f>
        <v/>
      </c>
      <c r="Z1340" s="35" t="str">
        <f aca="false">IF($G1340="","",$U1340*1000000+ROW())</f>
        <v/>
      </c>
      <c r="AA1340" s="36" t="str">
        <f aca="false">IF($G1340="","",MID(IF($C1340="",", no division","")&amp;IF($E1340="",", no unit","")&amp;IF($H1340="",", no career level","")&amp;IF(N($L1340)&lt;=0,", no quarter split","")&amp;IF($R1340="",", no driver","")&amp;IF(AND($H1340&lt;&gt;"",COUNTIF(CareerLevels,$H1340)=0),", a career level that is not on the ladder","")&amp;IF(AND($R1340&lt;&gt;"",COUNTIF(DriverList,$R1340)=0),", a driver that is not on the list","")&amp;IF(ABS(N($L1340)-(N($M1340)+N($N1340)+N($O1340)+N($P1340)))&gt;0.001,", a total that does not match its quarters",""),3,300))</f>
        <v/>
      </c>
    </row>
    <row r="1341" customFormat="false" ht="15" hidden="false" customHeight="false" outlineLevel="0" collapsed="false">
      <c r="A1341" s="33" t="str">
        <f aca="false">IF($G1341="","","Legal Group")</f>
        <v/>
      </c>
      <c r="B1341" s="19"/>
      <c r="C1341" s="19"/>
      <c r="D1341" s="19"/>
      <c r="E1341" s="19"/>
      <c r="F1341" s="19"/>
      <c r="G1341" s="19"/>
      <c r="H1341" s="19"/>
      <c r="I1341" s="19"/>
      <c r="J1341" s="19"/>
      <c r="K1341" s="19"/>
      <c r="L1341" s="19"/>
      <c r="M1341" s="19"/>
      <c r="N1341" s="19"/>
      <c r="O1341" s="19"/>
      <c r="P1341" s="19"/>
      <c r="Q1341" s="19"/>
      <c r="R1341" s="19"/>
      <c r="S1341" s="19"/>
      <c r="T1341" s="34" t="str">
        <f aca="false">IF($R1341="","",IFERROR(INDEX(DriverCategory,MATCH($R1341,DriverList,0)),"BAU"))</f>
        <v/>
      </c>
      <c r="U1341" s="34" t="str">
        <f aca="false">IF($R1341="","",IFERROR(INDEX(DriverRank,MATCH($R1341,DriverList,0)),99))</f>
        <v/>
      </c>
      <c r="V1341" s="35" t="n">
        <f aca="false">IF($H1341="",0,IFERROR(INDEX(LevelBasic,MATCH($H1341,LevelList,0))+INDEX(LevelHousing,MATCH($H1341,LevelList,0))+INDEX(LevelTransport,MATCH($H1341,LevelList,0))+INDEX(LevelBasic,MATCH($H1341,LevelList,0))*INDEX(LevelBonus,MATCH($H1341,LevelList,0))+(INDEX(LevelBasic,MATCH($H1341,LevelList,0))+INDEX(LevelHousing,MATCH($H1341,LevelList,0)))*GosiSaudi,0))</f>
        <v>0</v>
      </c>
      <c r="W1341" s="35" t="n">
        <f aca="false">IFERROR(INDEX(LevelOneOff,MATCH($H1341,LevelList,0)),0)</f>
        <v>0</v>
      </c>
      <c r="X1341" s="35" t="str">
        <f aca="false">IF($G1341="","",$V1341*N($L1341))</f>
        <v/>
      </c>
      <c r="Y1341" s="35" t="str">
        <f aca="false">IF($G1341="","",$V1341*(N($M1341)*1+N($N1341)*0.75+N($O1341)*0.5+N($P1341)*0.25)+$W1341*N($L1341))</f>
        <v/>
      </c>
      <c r="Z1341" s="35" t="str">
        <f aca="false">IF($G1341="","",$U1341*1000000+ROW())</f>
        <v/>
      </c>
      <c r="AA1341" s="36" t="str">
        <f aca="false">IF($G1341="","",MID(IF($C1341="",", no division","")&amp;IF($E1341="",", no unit","")&amp;IF($H1341="",", no career level","")&amp;IF(N($L1341)&lt;=0,", no quarter split","")&amp;IF($R1341="",", no driver","")&amp;IF(AND($H1341&lt;&gt;"",COUNTIF(CareerLevels,$H1341)=0),", a career level that is not on the ladder","")&amp;IF(AND($R1341&lt;&gt;"",COUNTIF(DriverList,$R1341)=0),", a driver that is not on the list","")&amp;IF(ABS(N($L1341)-(N($M1341)+N($N1341)+N($O1341)+N($P1341)))&gt;0.001,", a total that does not match its quarters",""),3,300))</f>
        <v/>
      </c>
    </row>
    <row r="1342" customFormat="false" ht="15" hidden="false" customHeight="false" outlineLevel="0" collapsed="false">
      <c r="A1342" s="33" t="str">
        <f aca="false">IF($G1342="","","Legal Group")</f>
        <v/>
      </c>
      <c r="B1342" s="19"/>
      <c r="C1342" s="19"/>
      <c r="D1342" s="19"/>
      <c r="E1342" s="19"/>
      <c r="F1342" s="19"/>
      <c r="G1342" s="19"/>
      <c r="H1342" s="19"/>
      <c r="I1342" s="19"/>
      <c r="J1342" s="19"/>
      <c r="K1342" s="19"/>
      <c r="L1342" s="19"/>
      <c r="M1342" s="19"/>
      <c r="N1342" s="19"/>
      <c r="O1342" s="19"/>
      <c r="P1342" s="19"/>
      <c r="Q1342" s="19"/>
      <c r="R1342" s="19"/>
      <c r="S1342" s="19"/>
      <c r="T1342" s="34" t="str">
        <f aca="false">IF($R1342="","",IFERROR(INDEX(DriverCategory,MATCH($R1342,DriverList,0)),"BAU"))</f>
        <v/>
      </c>
      <c r="U1342" s="34" t="str">
        <f aca="false">IF($R1342="","",IFERROR(INDEX(DriverRank,MATCH($R1342,DriverList,0)),99))</f>
        <v/>
      </c>
      <c r="V1342" s="35" t="n">
        <f aca="false">IF($H1342="",0,IFERROR(INDEX(LevelBasic,MATCH($H1342,LevelList,0))+INDEX(LevelHousing,MATCH($H1342,LevelList,0))+INDEX(LevelTransport,MATCH($H1342,LevelList,0))+INDEX(LevelBasic,MATCH($H1342,LevelList,0))*INDEX(LevelBonus,MATCH($H1342,LevelList,0))+(INDEX(LevelBasic,MATCH($H1342,LevelList,0))+INDEX(LevelHousing,MATCH($H1342,LevelList,0)))*GosiSaudi,0))</f>
        <v>0</v>
      </c>
      <c r="W1342" s="35" t="n">
        <f aca="false">IFERROR(INDEX(LevelOneOff,MATCH($H1342,LevelList,0)),0)</f>
        <v>0</v>
      </c>
      <c r="X1342" s="35" t="str">
        <f aca="false">IF($G1342="","",$V1342*N($L1342))</f>
        <v/>
      </c>
      <c r="Y1342" s="35" t="str">
        <f aca="false">IF($G1342="","",$V1342*(N($M1342)*1+N($N1342)*0.75+N($O1342)*0.5+N($P1342)*0.25)+$W1342*N($L1342))</f>
        <v/>
      </c>
      <c r="Z1342" s="35" t="str">
        <f aca="false">IF($G1342="","",$U1342*1000000+ROW())</f>
        <v/>
      </c>
      <c r="AA1342" s="36" t="str">
        <f aca="false">IF($G1342="","",MID(IF($C1342="",", no division","")&amp;IF($E1342="",", no unit","")&amp;IF($H1342="",", no career level","")&amp;IF(N($L1342)&lt;=0,", no quarter split","")&amp;IF($R1342="",", no driver","")&amp;IF(AND($H1342&lt;&gt;"",COUNTIF(CareerLevels,$H1342)=0),", a career level that is not on the ladder","")&amp;IF(AND($R1342&lt;&gt;"",COUNTIF(DriverList,$R1342)=0),", a driver that is not on the list","")&amp;IF(ABS(N($L1342)-(N($M1342)+N($N1342)+N($O1342)+N($P1342)))&gt;0.001,", a total that does not match its quarters",""),3,300))</f>
        <v/>
      </c>
    </row>
    <row r="1343" customFormat="false" ht="15" hidden="false" customHeight="false" outlineLevel="0" collapsed="false">
      <c r="A1343" s="33" t="str">
        <f aca="false">IF($G1343="","","Legal Group")</f>
        <v/>
      </c>
      <c r="B1343" s="19"/>
      <c r="C1343" s="19"/>
      <c r="D1343" s="19"/>
      <c r="E1343" s="19"/>
      <c r="F1343" s="19"/>
      <c r="G1343" s="19"/>
      <c r="H1343" s="19"/>
      <c r="I1343" s="19"/>
      <c r="J1343" s="19"/>
      <c r="K1343" s="19"/>
      <c r="L1343" s="19"/>
      <c r="M1343" s="19"/>
      <c r="N1343" s="19"/>
      <c r="O1343" s="19"/>
      <c r="P1343" s="19"/>
      <c r="Q1343" s="19"/>
      <c r="R1343" s="19"/>
      <c r="S1343" s="19"/>
      <c r="T1343" s="34" t="str">
        <f aca="false">IF($R1343="","",IFERROR(INDEX(DriverCategory,MATCH($R1343,DriverList,0)),"BAU"))</f>
        <v/>
      </c>
      <c r="U1343" s="34" t="str">
        <f aca="false">IF($R1343="","",IFERROR(INDEX(DriverRank,MATCH($R1343,DriverList,0)),99))</f>
        <v/>
      </c>
      <c r="V1343" s="35" t="n">
        <f aca="false">IF($H1343="",0,IFERROR(INDEX(LevelBasic,MATCH($H1343,LevelList,0))+INDEX(LevelHousing,MATCH($H1343,LevelList,0))+INDEX(LevelTransport,MATCH($H1343,LevelList,0))+INDEX(LevelBasic,MATCH($H1343,LevelList,0))*INDEX(LevelBonus,MATCH($H1343,LevelList,0))+(INDEX(LevelBasic,MATCH($H1343,LevelList,0))+INDEX(LevelHousing,MATCH($H1343,LevelList,0)))*GosiSaudi,0))</f>
        <v>0</v>
      </c>
      <c r="W1343" s="35" t="n">
        <f aca="false">IFERROR(INDEX(LevelOneOff,MATCH($H1343,LevelList,0)),0)</f>
        <v>0</v>
      </c>
      <c r="X1343" s="35" t="str">
        <f aca="false">IF($G1343="","",$V1343*N($L1343))</f>
        <v/>
      </c>
      <c r="Y1343" s="35" t="str">
        <f aca="false">IF($G1343="","",$V1343*(N($M1343)*1+N($N1343)*0.75+N($O1343)*0.5+N($P1343)*0.25)+$W1343*N($L1343))</f>
        <v/>
      </c>
      <c r="Z1343" s="35" t="str">
        <f aca="false">IF($G1343="","",$U1343*1000000+ROW())</f>
        <v/>
      </c>
      <c r="AA1343" s="36" t="str">
        <f aca="false">IF($G1343="","",MID(IF($C1343="",", no division","")&amp;IF($E1343="",", no unit","")&amp;IF($H1343="",", no career level","")&amp;IF(N($L1343)&lt;=0,", no quarter split","")&amp;IF($R1343="",", no driver","")&amp;IF(AND($H1343&lt;&gt;"",COUNTIF(CareerLevels,$H1343)=0),", a career level that is not on the ladder","")&amp;IF(AND($R1343&lt;&gt;"",COUNTIF(DriverList,$R1343)=0),", a driver that is not on the list","")&amp;IF(ABS(N($L1343)-(N($M1343)+N($N1343)+N($O1343)+N($P1343)))&gt;0.001,", a total that does not match its quarters",""),3,300))</f>
        <v/>
      </c>
    </row>
    <row r="1344" customFormat="false" ht="15" hidden="false" customHeight="false" outlineLevel="0" collapsed="false">
      <c r="A1344" s="33" t="str">
        <f aca="false">IF($G1344="","","Legal Group")</f>
        <v/>
      </c>
      <c r="B1344" s="19"/>
      <c r="C1344" s="19"/>
      <c r="D1344" s="19"/>
      <c r="E1344" s="19"/>
      <c r="F1344" s="19"/>
      <c r="G1344" s="19"/>
      <c r="H1344" s="19"/>
      <c r="I1344" s="19"/>
      <c r="J1344" s="19"/>
      <c r="K1344" s="19"/>
      <c r="L1344" s="19"/>
      <c r="M1344" s="19"/>
      <c r="N1344" s="19"/>
      <c r="O1344" s="19"/>
      <c r="P1344" s="19"/>
      <c r="Q1344" s="19"/>
      <c r="R1344" s="19"/>
      <c r="S1344" s="19"/>
      <c r="T1344" s="34" t="str">
        <f aca="false">IF($R1344="","",IFERROR(INDEX(DriverCategory,MATCH($R1344,DriverList,0)),"BAU"))</f>
        <v/>
      </c>
      <c r="U1344" s="34" t="str">
        <f aca="false">IF($R1344="","",IFERROR(INDEX(DriverRank,MATCH($R1344,DriverList,0)),99))</f>
        <v/>
      </c>
      <c r="V1344" s="35" t="n">
        <f aca="false">IF($H1344="",0,IFERROR(INDEX(LevelBasic,MATCH($H1344,LevelList,0))+INDEX(LevelHousing,MATCH($H1344,LevelList,0))+INDEX(LevelTransport,MATCH($H1344,LevelList,0))+INDEX(LevelBasic,MATCH($H1344,LevelList,0))*INDEX(LevelBonus,MATCH($H1344,LevelList,0))+(INDEX(LevelBasic,MATCH($H1344,LevelList,0))+INDEX(LevelHousing,MATCH($H1344,LevelList,0)))*GosiSaudi,0))</f>
        <v>0</v>
      </c>
      <c r="W1344" s="35" t="n">
        <f aca="false">IFERROR(INDEX(LevelOneOff,MATCH($H1344,LevelList,0)),0)</f>
        <v>0</v>
      </c>
      <c r="X1344" s="35" t="str">
        <f aca="false">IF($G1344="","",$V1344*N($L1344))</f>
        <v/>
      </c>
      <c r="Y1344" s="35" t="str">
        <f aca="false">IF($G1344="","",$V1344*(N($M1344)*1+N($N1344)*0.75+N($O1344)*0.5+N($P1344)*0.25)+$W1344*N($L1344))</f>
        <v/>
      </c>
      <c r="Z1344" s="35" t="str">
        <f aca="false">IF($G1344="","",$U1344*1000000+ROW())</f>
        <v/>
      </c>
      <c r="AA1344" s="36" t="str">
        <f aca="false">IF($G1344="","",MID(IF($C1344="",", no division","")&amp;IF($E1344="",", no unit","")&amp;IF($H1344="",", no career level","")&amp;IF(N($L1344)&lt;=0,", no quarter split","")&amp;IF($R1344="",", no driver","")&amp;IF(AND($H1344&lt;&gt;"",COUNTIF(CareerLevels,$H1344)=0),", a career level that is not on the ladder","")&amp;IF(AND($R1344&lt;&gt;"",COUNTIF(DriverList,$R1344)=0),", a driver that is not on the list","")&amp;IF(ABS(N($L1344)-(N($M1344)+N($N1344)+N($O1344)+N($P1344)))&gt;0.001,", a total that does not match its quarters",""),3,300))</f>
        <v/>
      </c>
    </row>
    <row r="1345" customFormat="false" ht="15" hidden="false" customHeight="false" outlineLevel="0" collapsed="false">
      <c r="A1345" s="33" t="str">
        <f aca="false">IF($G1345="","","Legal Group")</f>
        <v/>
      </c>
      <c r="B1345" s="19"/>
      <c r="C1345" s="19"/>
      <c r="D1345" s="19"/>
      <c r="E1345" s="19"/>
      <c r="F1345" s="19"/>
      <c r="G1345" s="19"/>
      <c r="H1345" s="19"/>
      <c r="I1345" s="19"/>
      <c r="J1345" s="19"/>
      <c r="K1345" s="19"/>
      <c r="L1345" s="19"/>
      <c r="M1345" s="19"/>
      <c r="N1345" s="19"/>
      <c r="O1345" s="19"/>
      <c r="P1345" s="19"/>
      <c r="Q1345" s="19"/>
      <c r="R1345" s="19"/>
      <c r="S1345" s="19"/>
      <c r="T1345" s="34" t="str">
        <f aca="false">IF($R1345="","",IFERROR(INDEX(DriverCategory,MATCH($R1345,DriverList,0)),"BAU"))</f>
        <v/>
      </c>
      <c r="U1345" s="34" t="str">
        <f aca="false">IF($R1345="","",IFERROR(INDEX(DriverRank,MATCH($R1345,DriverList,0)),99))</f>
        <v/>
      </c>
      <c r="V1345" s="35" t="n">
        <f aca="false">IF($H1345="",0,IFERROR(INDEX(LevelBasic,MATCH($H1345,LevelList,0))+INDEX(LevelHousing,MATCH($H1345,LevelList,0))+INDEX(LevelTransport,MATCH($H1345,LevelList,0))+INDEX(LevelBasic,MATCH($H1345,LevelList,0))*INDEX(LevelBonus,MATCH($H1345,LevelList,0))+(INDEX(LevelBasic,MATCH($H1345,LevelList,0))+INDEX(LevelHousing,MATCH($H1345,LevelList,0)))*GosiSaudi,0))</f>
        <v>0</v>
      </c>
      <c r="W1345" s="35" t="n">
        <f aca="false">IFERROR(INDEX(LevelOneOff,MATCH($H1345,LevelList,0)),0)</f>
        <v>0</v>
      </c>
      <c r="X1345" s="35" t="str">
        <f aca="false">IF($G1345="","",$V1345*N($L1345))</f>
        <v/>
      </c>
      <c r="Y1345" s="35" t="str">
        <f aca="false">IF($G1345="","",$V1345*(N($M1345)*1+N($N1345)*0.75+N($O1345)*0.5+N($P1345)*0.25)+$W1345*N($L1345))</f>
        <v/>
      </c>
      <c r="Z1345" s="35" t="str">
        <f aca="false">IF($G1345="","",$U1345*1000000+ROW())</f>
        <v/>
      </c>
      <c r="AA1345" s="36" t="str">
        <f aca="false">IF($G1345="","",MID(IF($C1345="",", no division","")&amp;IF($E1345="",", no unit","")&amp;IF($H1345="",", no career level","")&amp;IF(N($L1345)&lt;=0,", no quarter split","")&amp;IF($R1345="",", no driver","")&amp;IF(AND($H1345&lt;&gt;"",COUNTIF(CareerLevels,$H1345)=0),", a career level that is not on the ladder","")&amp;IF(AND($R1345&lt;&gt;"",COUNTIF(DriverList,$R1345)=0),", a driver that is not on the list","")&amp;IF(ABS(N($L1345)-(N($M1345)+N($N1345)+N($O1345)+N($P1345)))&gt;0.001,", a total that does not match its quarters",""),3,300))</f>
        <v/>
      </c>
    </row>
    <row r="1346" customFormat="false" ht="15" hidden="false" customHeight="false" outlineLevel="0" collapsed="false">
      <c r="A1346" s="33" t="str">
        <f aca="false">IF($G1346="","","Legal Group")</f>
        <v/>
      </c>
      <c r="B1346" s="19"/>
      <c r="C1346" s="19"/>
      <c r="D1346" s="19"/>
      <c r="E1346" s="19"/>
      <c r="F1346" s="19"/>
      <c r="G1346" s="19"/>
      <c r="H1346" s="19"/>
      <c r="I1346" s="19"/>
      <c r="J1346" s="19"/>
      <c r="K1346" s="19"/>
      <c r="L1346" s="19"/>
      <c r="M1346" s="19"/>
      <c r="N1346" s="19"/>
      <c r="O1346" s="19"/>
      <c r="P1346" s="19"/>
      <c r="Q1346" s="19"/>
      <c r="R1346" s="19"/>
      <c r="S1346" s="19"/>
      <c r="T1346" s="34" t="str">
        <f aca="false">IF($R1346="","",IFERROR(INDEX(DriverCategory,MATCH($R1346,DriverList,0)),"BAU"))</f>
        <v/>
      </c>
      <c r="U1346" s="34" t="str">
        <f aca="false">IF($R1346="","",IFERROR(INDEX(DriverRank,MATCH($R1346,DriverList,0)),99))</f>
        <v/>
      </c>
      <c r="V1346" s="35" t="n">
        <f aca="false">IF($H1346="",0,IFERROR(INDEX(LevelBasic,MATCH($H1346,LevelList,0))+INDEX(LevelHousing,MATCH($H1346,LevelList,0))+INDEX(LevelTransport,MATCH($H1346,LevelList,0))+INDEX(LevelBasic,MATCH($H1346,LevelList,0))*INDEX(LevelBonus,MATCH($H1346,LevelList,0))+(INDEX(LevelBasic,MATCH($H1346,LevelList,0))+INDEX(LevelHousing,MATCH($H1346,LevelList,0)))*GosiSaudi,0))</f>
        <v>0</v>
      </c>
      <c r="W1346" s="35" t="n">
        <f aca="false">IFERROR(INDEX(LevelOneOff,MATCH($H1346,LevelList,0)),0)</f>
        <v>0</v>
      </c>
      <c r="X1346" s="35" t="str">
        <f aca="false">IF($G1346="","",$V1346*N($L1346))</f>
        <v/>
      </c>
      <c r="Y1346" s="35" t="str">
        <f aca="false">IF($G1346="","",$V1346*(N($M1346)*1+N($N1346)*0.75+N($O1346)*0.5+N($P1346)*0.25)+$W1346*N($L1346))</f>
        <v/>
      </c>
      <c r="Z1346" s="35" t="str">
        <f aca="false">IF($G1346="","",$U1346*1000000+ROW())</f>
        <v/>
      </c>
      <c r="AA1346" s="36" t="str">
        <f aca="false">IF($G1346="","",MID(IF($C1346="",", no division","")&amp;IF($E1346="",", no unit","")&amp;IF($H1346="",", no career level","")&amp;IF(N($L1346)&lt;=0,", no quarter split","")&amp;IF($R1346="",", no driver","")&amp;IF(AND($H1346&lt;&gt;"",COUNTIF(CareerLevels,$H1346)=0),", a career level that is not on the ladder","")&amp;IF(AND($R1346&lt;&gt;"",COUNTIF(DriverList,$R1346)=0),", a driver that is not on the list","")&amp;IF(ABS(N($L1346)-(N($M1346)+N($N1346)+N($O1346)+N($P1346)))&gt;0.001,", a total that does not match its quarters",""),3,300))</f>
        <v/>
      </c>
    </row>
    <row r="1347" customFormat="false" ht="15" hidden="false" customHeight="false" outlineLevel="0" collapsed="false">
      <c r="A1347" s="33" t="str">
        <f aca="false">IF($G1347="","","Legal Group")</f>
        <v/>
      </c>
      <c r="B1347" s="19"/>
      <c r="C1347" s="19"/>
      <c r="D1347" s="19"/>
      <c r="E1347" s="19"/>
      <c r="F1347" s="19"/>
      <c r="G1347" s="19"/>
      <c r="H1347" s="19"/>
      <c r="I1347" s="19"/>
      <c r="J1347" s="19"/>
      <c r="K1347" s="19"/>
      <c r="L1347" s="19"/>
      <c r="M1347" s="19"/>
      <c r="N1347" s="19"/>
      <c r="O1347" s="19"/>
      <c r="P1347" s="19"/>
      <c r="Q1347" s="19"/>
      <c r="R1347" s="19"/>
      <c r="S1347" s="19"/>
      <c r="T1347" s="34" t="str">
        <f aca="false">IF($R1347="","",IFERROR(INDEX(DriverCategory,MATCH($R1347,DriverList,0)),"BAU"))</f>
        <v/>
      </c>
      <c r="U1347" s="34" t="str">
        <f aca="false">IF($R1347="","",IFERROR(INDEX(DriverRank,MATCH($R1347,DriverList,0)),99))</f>
        <v/>
      </c>
      <c r="V1347" s="35" t="n">
        <f aca="false">IF($H1347="",0,IFERROR(INDEX(LevelBasic,MATCH($H1347,LevelList,0))+INDEX(LevelHousing,MATCH($H1347,LevelList,0))+INDEX(LevelTransport,MATCH($H1347,LevelList,0))+INDEX(LevelBasic,MATCH($H1347,LevelList,0))*INDEX(LevelBonus,MATCH($H1347,LevelList,0))+(INDEX(LevelBasic,MATCH($H1347,LevelList,0))+INDEX(LevelHousing,MATCH($H1347,LevelList,0)))*GosiSaudi,0))</f>
        <v>0</v>
      </c>
      <c r="W1347" s="35" t="n">
        <f aca="false">IFERROR(INDEX(LevelOneOff,MATCH($H1347,LevelList,0)),0)</f>
        <v>0</v>
      </c>
      <c r="X1347" s="35" t="str">
        <f aca="false">IF($G1347="","",$V1347*N($L1347))</f>
        <v/>
      </c>
      <c r="Y1347" s="35" t="str">
        <f aca="false">IF($G1347="","",$V1347*(N($M1347)*1+N($N1347)*0.75+N($O1347)*0.5+N($P1347)*0.25)+$W1347*N($L1347))</f>
        <v/>
      </c>
      <c r="Z1347" s="35" t="str">
        <f aca="false">IF($G1347="","",$U1347*1000000+ROW())</f>
        <v/>
      </c>
      <c r="AA1347" s="36" t="str">
        <f aca="false">IF($G1347="","",MID(IF($C1347="",", no division","")&amp;IF($E1347="",", no unit","")&amp;IF($H1347="",", no career level","")&amp;IF(N($L1347)&lt;=0,", no quarter split","")&amp;IF($R1347="",", no driver","")&amp;IF(AND($H1347&lt;&gt;"",COUNTIF(CareerLevels,$H1347)=0),", a career level that is not on the ladder","")&amp;IF(AND($R1347&lt;&gt;"",COUNTIF(DriverList,$R1347)=0),", a driver that is not on the list","")&amp;IF(ABS(N($L1347)-(N($M1347)+N($N1347)+N($O1347)+N($P1347)))&gt;0.001,", a total that does not match its quarters",""),3,300))</f>
        <v/>
      </c>
    </row>
    <row r="1348" customFormat="false" ht="15" hidden="false" customHeight="false" outlineLevel="0" collapsed="false">
      <c r="A1348" s="33" t="str">
        <f aca="false">IF($G1348="","","Legal Group")</f>
        <v/>
      </c>
      <c r="B1348" s="19"/>
      <c r="C1348" s="19"/>
      <c r="D1348" s="19"/>
      <c r="E1348" s="19"/>
      <c r="F1348" s="19"/>
      <c r="G1348" s="19"/>
      <c r="H1348" s="19"/>
      <c r="I1348" s="19"/>
      <c r="J1348" s="19"/>
      <c r="K1348" s="19"/>
      <c r="L1348" s="19"/>
      <c r="M1348" s="19"/>
      <c r="N1348" s="19"/>
      <c r="O1348" s="19"/>
      <c r="P1348" s="19"/>
      <c r="Q1348" s="19"/>
      <c r="R1348" s="19"/>
      <c r="S1348" s="19"/>
      <c r="T1348" s="34" t="str">
        <f aca="false">IF($R1348="","",IFERROR(INDEX(DriverCategory,MATCH($R1348,DriverList,0)),"BAU"))</f>
        <v/>
      </c>
      <c r="U1348" s="34" t="str">
        <f aca="false">IF($R1348="","",IFERROR(INDEX(DriverRank,MATCH($R1348,DriverList,0)),99))</f>
        <v/>
      </c>
      <c r="V1348" s="35" t="n">
        <f aca="false">IF($H1348="",0,IFERROR(INDEX(LevelBasic,MATCH($H1348,LevelList,0))+INDEX(LevelHousing,MATCH($H1348,LevelList,0))+INDEX(LevelTransport,MATCH($H1348,LevelList,0))+INDEX(LevelBasic,MATCH($H1348,LevelList,0))*INDEX(LevelBonus,MATCH($H1348,LevelList,0))+(INDEX(LevelBasic,MATCH($H1348,LevelList,0))+INDEX(LevelHousing,MATCH($H1348,LevelList,0)))*GosiSaudi,0))</f>
        <v>0</v>
      </c>
      <c r="W1348" s="35" t="n">
        <f aca="false">IFERROR(INDEX(LevelOneOff,MATCH($H1348,LevelList,0)),0)</f>
        <v>0</v>
      </c>
      <c r="X1348" s="35" t="str">
        <f aca="false">IF($G1348="","",$V1348*N($L1348))</f>
        <v/>
      </c>
      <c r="Y1348" s="35" t="str">
        <f aca="false">IF($G1348="","",$V1348*(N($M1348)*1+N($N1348)*0.75+N($O1348)*0.5+N($P1348)*0.25)+$W1348*N($L1348))</f>
        <v/>
      </c>
      <c r="Z1348" s="35" t="str">
        <f aca="false">IF($G1348="","",$U1348*1000000+ROW())</f>
        <v/>
      </c>
      <c r="AA1348" s="36" t="str">
        <f aca="false">IF($G1348="","",MID(IF($C1348="",", no division","")&amp;IF($E1348="",", no unit","")&amp;IF($H1348="",", no career level","")&amp;IF(N($L1348)&lt;=0,", no quarter split","")&amp;IF($R1348="",", no driver","")&amp;IF(AND($H1348&lt;&gt;"",COUNTIF(CareerLevels,$H1348)=0),", a career level that is not on the ladder","")&amp;IF(AND($R1348&lt;&gt;"",COUNTIF(DriverList,$R1348)=0),", a driver that is not on the list","")&amp;IF(ABS(N($L1348)-(N($M1348)+N($N1348)+N($O1348)+N($P1348)))&gt;0.001,", a total that does not match its quarters",""),3,300))</f>
        <v/>
      </c>
    </row>
    <row r="1349" customFormat="false" ht="15" hidden="false" customHeight="false" outlineLevel="0" collapsed="false">
      <c r="A1349" s="33" t="str">
        <f aca="false">IF($G1349="","","Legal Group")</f>
        <v/>
      </c>
      <c r="B1349" s="19"/>
      <c r="C1349" s="19"/>
      <c r="D1349" s="19"/>
      <c r="E1349" s="19"/>
      <c r="F1349" s="19"/>
      <c r="G1349" s="19"/>
      <c r="H1349" s="19"/>
      <c r="I1349" s="19"/>
      <c r="J1349" s="19"/>
      <c r="K1349" s="19"/>
      <c r="L1349" s="19"/>
      <c r="M1349" s="19"/>
      <c r="N1349" s="19"/>
      <c r="O1349" s="19"/>
      <c r="P1349" s="19"/>
      <c r="Q1349" s="19"/>
      <c r="R1349" s="19"/>
      <c r="S1349" s="19"/>
      <c r="T1349" s="34" t="str">
        <f aca="false">IF($R1349="","",IFERROR(INDEX(DriverCategory,MATCH($R1349,DriverList,0)),"BAU"))</f>
        <v/>
      </c>
      <c r="U1349" s="34" t="str">
        <f aca="false">IF($R1349="","",IFERROR(INDEX(DriverRank,MATCH($R1349,DriverList,0)),99))</f>
        <v/>
      </c>
      <c r="V1349" s="35" t="n">
        <f aca="false">IF($H1349="",0,IFERROR(INDEX(LevelBasic,MATCH($H1349,LevelList,0))+INDEX(LevelHousing,MATCH($H1349,LevelList,0))+INDEX(LevelTransport,MATCH($H1349,LevelList,0))+INDEX(LevelBasic,MATCH($H1349,LevelList,0))*INDEX(LevelBonus,MATCH($H1349,LevelList,0))+(INDEX(LevelBasic,MATCH($H1349,LevelList,0))+INDEX(LevelHousing,MATCH($H1349,LevelList,0)))*GosiSaudi,0))</f>
        <v>0</v>
      </c>
      <c r="W1349" s="35" t="n">
        <f aca="false">IFERROR(INDEX(LevelOneOff,MATCH($H1349,LevelList,0)),0)</f>
        <v>0</v>
      </c>
      <c r="X1349" s="35" t="str">
        <f aca="false">IF($G1349="","",$V1349*N($L1349))</f>
        <v/>
      </c>
      <c r="Y1349" s="35" t="str">
        <f aca="false">IF($G1349="","",$V1349*(N($M1349)*1+N($N1349)*0.75+N($O1349)*0.5+N($P1349)*0.25)+$W1349*N($L1349))</f>
        <v/>
      </c>
      <c r="Z1349" s="35" t="str">
        <f aca="false">IF($G1349="","",$U1349*1000000+ROW())</f>
        <v/>
      </c>
      <c r="AA1349" s="36" t="str">
        <f aca="false">IF($G1349="","",MID(IF($C1349="",", no division","")&amp;IF($E1349="",", no unit","")&amp;IF($H1349="",", no career level","")&amp;IF(N($L1349)&lt;=0,", no quarter split","")&amp;IF($R1349="",", no driver","")&amp;IF(AND($H1349&lt;&gt;"",COUNTIF(CareerLevels,$H1349)=0),", a career level that is not on the ladder","")&amp;IF(AND($R1349&lt;&gt;"",COUNTIF(DriverList,$R1349)=0),", a driver that is not on the list","")&amp;IF(ABS(N($L1349)-(N($M1349)+N($N1349)+N($O1349)+N($P1349)))&gt;0.001,", a total that does not match its quarters",""),3,300))</f>
        <v/>
      </c>
    </row>
    <row r="1350" customFormat="false" ht="15" hidden="false" customHeight="false" outlineLevel="0" collapsed="false">
      <c r="A1350" s="33" t="str">
        <f aca="false">IF($G1350="","","Legal Group")</f>
        <v/>
      </c>
      <c r="B1350" s="19"/>
      <c r="C1350" s="19"/>
      <c r="D1350" s="19"/>
      <c r="E1350" s="19"/>
      <c r="F1350" s="19"/>
      <c r="G1350" s="19"/>
      <c r="H1350" s="19"/>
      <c r="I1350" s="19"/>
      <c r="J1350" s="19"/>
      <c r="K1350" s="19"/>
      <c r="L1350" s="19"/>
      <c r="M1350" s="19"/>
      <c r="N1350" s="19"/>
      <c r="O1350" s="19"/>
      <c r="P1350" s="19"/>
      <c r="Q1350" s="19"/>
      <c r="R1350" s="19"/>
      <c r="S1350" s="19"/>
      <c r="T1350" s="34" t="str">
        <f aca="false">IF($R1350="","",IFERROR(INDEX(DriverCategory,MATCH($R1350,DriverList,0)),"BAU"))</f>
        <v/>
      </c>
      <c r="U1350" s="34" t="str">
        <f aca="false">IF($R1350="","",IFERROR(INDEX(DriverRank,MATCH($R1350,DriverList,0)),99))</f>
        <v/>
      </c>
      <c r="V1350" s="35" t="n">
        <f aca="false">IF($H1350="",0,IFERROR(INDEX(LevelBasic,MATCH($H1350,LevelList,0))+INDEX(LevelHousing,MATCH($H1350,LevelList,0))+INDEX(LevelTransport,MATCH($H1350,LevelList,0))+INDEX(LevelBasic,MATCH($H1350,LevelList,0))*INDEX(LevelBonus,MATCH($H1350,LevelList,0))+(INDEX(LevelBasic,MATCH($H1350,LevelList,0))+INDEX(LevelHousing,MATCH($H1350,LevelList,0)))*GosiSaudi,0))</f>
        <v>0</v>
      </c>
      <c r="W1350" s="35" t="n">
        <f aca="false">IFERROR(INDEX(LevelOneOff,MATCH($H1350,LevelList,0)),0)</f>
        <v>0</v>
      </c>
      <c r="X1350" s="35" t="str">
        <f aca="false">IF($G1350="","",$V1350*N($L1350))</f>
        <v/>
      </c>
      <c r="Y1350" s="35" t="str">
        <f aca="false">IF($G1350="","",$V1350*(N($M1350)*1+N($N1350)*0.75+N($O1350)*0.5+N($P1350)*0.25)+$W1350*N($L1350))</f>
        <v/>
      </c>
      <c r="Z1350" s="35" t="str">
        <f aca="false">IF($G1350="","",$U1350*1000000+ROW())</f>
        <v/>
      </c>
      <c r="AA1350" s="36" t="str">
        <f aca="false">IF($G1350="","",MID(IF($C1350="",", no division","")&amp;IF($E1350="",", no unit","")&amp;IF($H1350="",", no career level","")&amp;IF(N($L1350)&lt;=0,", no quarter split","")&amp;IF($R1350="",", no driver","")&amp;IF(AND($H1350&lt;&gt;"",COUNTIF(CareerLevels,$H1350)=0),", a career level that is not on the ladder","")&amp;IF(AND($R1350&lt;&gt;"",COUNTIF(DriverList,$R1350)=0),", a driver that is not on the list","")&amp;IF(ABS(N($L1350)-(N($M1350)+N($N1350)+N($O1350)+N($P1350)))&gt;0.001,", a total that does not match its quarters",""),3,300))</f>
        <v/>
      </c>
    </row>
    <row r="1351" customFormat="false" ht="15" hidden="false" customHeight="false" outlineLevel="0" collapsed="false">
      <c r="A1351" s="33" t="str">
        <f aca="false">IF($G1351="","","Legal Group")</f>
        <v/>
      </c>
      <c r="B1351" s="19"/>
      <c r="C1351" s="19"/>
      <c r="D1351" s="19"/>
      <c r="E1351" s="19"/>
      <c r="F1351" s="19"/>
      <c r="G1351" s="19"/>
      <c r="H1351" s="19"/>
      <c r="I1351" s="19"/>
      <c r="J1351" s="19"/>
      <c r="K1351" s="19"/>
      <c r="L1351" s="19"/>
      <c r="M1351" s="19"/>
      <c r="N1351" s="19"/>
      <c r="O1351" s="19"/>
      <c r="P1351" s="19"/>
      <c r="Q1351" s="19"/>
      <c r="R1351" s="19"/>
      <c r="S1351" s="19"/>
      <c r="T1351" s="34" t="str">
        <f aca="false">IF($R1351="","",IFERROR(INDEX(DriverCategory,MATCH($R1351,DriverList,0)),"BAU"))</f>
        <v/>
      </c>
      <c r="U1351" s="34" t="str">
        <f aca="false">IF($R1351="","",IFERROR(INDEX(DriverRank,MATCH($R1351,DriverList,0)),99))</f>
        <v/>
      </c>
      <c r="V1351" s="35" t="n">
        <f aca="false">IF($H1351="",0,IFERROR(INDEX(LevelBasic,MATCH($H1351,LevelList,0))+INDEX(LevelHousing,MATCH($H1351,LevelList,0))+INDEX(LevelTransport,MATCH($H1351,LevelList,0))+INDEX(LevelBasic,MATCH($H1351,LevelList,0))*INDEX(LevelBonus,MATCH($H1351,LevelList,0))+(INDEX(LevelBasic,MATCH($H1351,LevelList,0))+INDEX(LevelHousing,MATCH($H1351,LevelList,0)))*GosiSaudi,0))</f>
        <v>0</v>
      </c>
      <c r="W1351" s="35" t="n">
        <f aca="false">IFERROR(INDEX(LevelOneOff,MATCH($H1351,LevelList,0)),0)</f>
        <v>0</v>
      </c>
      <c r="X1351" s="35" t="str">
        <f aca="false">IF($G1351="","",$V1351*N($L1351))</f>
        <v/>
      </c>
      <c r="Y1351" s="35" t="str">
        <f aca="false">IF($G1351="","",$V1351*(N($M1351)*1+N($N1351)*0.75+N($O1351)*0.5+N($P1351)*0.25)+$W1351*N($L1351))</f>
        <v/>
      </c>
      <c r="Z1351" s="35" t="str">
        <f aca="false">IF($G1351="","",$U1351*1000000+ROW())</f>
        <v/>
      </c>
      <c r="AA1351" s="36" t="str">
        <f aca="false">IF($G1351="","",MID(IF($C1351="",", no division","")&amp;IF($E1351="",", no unit","")&amp;IF($H1351="",", no career level","")&amp;IF(N($L1351)&lt;=0,", no quarter split","")&amp;IF($R1351="",", no driver","")&amp;IF(AND($H1351&lt;&gt;"",COUNTIF(CareerLevels,$H1351)=0),", a career level that is not on the ladder","")&amp;IF(AND($R1351&lt;&gt;"",COUNTIF(DriverList,$R1351)=0),", a driver that is not on the list","")&amp;IF(ABS(N($L1351)-(N($M1351)+N($N1351)+N($O1351)+N($P1351)))&gt;0.001,", a total that does not match its quarters",""),3,300))</f>
        <v/>
      </c>
    </row>
    <row r="1352" customFormat="false" ht="15" hidden="false" customHeight="false" outlineLevel="0" collapsed="false">
      <c r="A1352" s="33" t="str">
        <f aca="false">IF($G1352="","","Legal Group")</f>
        <v/>
      </c>
      <c r="B1352" s="19"/>
      <c r="C1352" s="19"/>
      <c r="D1352" s="19"/>
      <c r="E1352" s="19"/>
      <c r="F1352" s="19"/>
      <c r="G1352" s="19"/>
      <c r="H1352" s="19"/>
      <c r="I1352" s="19"/>
      <c r="J1352" s="19"/>
      <c r="K1352" s="19"/>
      <c r="L1352" s="19"/>
      <c r="M1352" s="19"/>
      <c r="N1352" s="19"/>
      <c r="O1352" s="19"/>
      <c r="P1352" s="19"/>
      <c r="Q1352" s="19"/>
      <c r="R1352" s="19"/>
      <c r="S1352" s="19"/>
      <c r="T1352" s="34" t="str">
        <f aca="false">IF($R1352="","",IFERROR(INDEX(DriverCategory,MATCH($R1352,DriverList,0)),"BAU"))</f>
        <v/>
      </c>
      <c r="U1352" s="34" t="str">
        <f aca="false">IF($R1352="","",IFERROR(INDEX(DriverRank,MATCH($R1352,DriverList,0)),99))</f>
        <v/>
      </c>
      <c r="V1352" s="35" t="n">
        <f aca="false">IF($H1352="",0,IFERROR(INDEX(LevelBasic,MATCH($H1352,LevelList,0))+INDEX(LevelHousing,MATCH($H1352,LevelList,0))+INDEX(LevelTransport,MATCH($H1352,LevelList,0))+INDEX(LevelBasic,MATCH($H1352,LevelList,0))*INDEX(LevelBonus,MATCH($H1352,LevelList,0))+(INDEX(LevelBasic,MATCH($H1352,LevelList,0))+INDEX(LevelHousing,MATCH($H1352,LevelList,0)))*GosiSaudi,0))</f>
        <v>0</v>
      </c>
      <c r="W1352" s="35" t="n">
        <f aca="false">IFERROR(INDEX(LevelOneOff,MATCH($H1352,LevelList,0)),0)</f>
        <v>0</v>
      </c>
      <c r="X1352" s="35" t="str">
        <f aca="false">IF($G1352="","",$V1352*N($L1352))</f>
        <v/>
      </c>
      <c r="Y1352" s="35" t="str">
        <f aca="false">IF($G1352="","",$V1352*(N($M1352)*1+N($N1352)*0.75+N($O1352)*0.5+N($P1352)*0.25)+$W1352*N($L1352))</f>
        <v/>
      </c>
      <c r="Z1352" s="35" t="str">
        <f aca="false">IF($G1352="","",$U1352*1000000+ROW())</f>
        <v/>
      </c>
      <c r="AA1352" s="36" t="str">
        <f aca="false">IF($G1352="","",MID(IF($C1352="",", no division","")&amp;IF($E1352="",", no unit","")&amp;IF($H1352="",", no career level","")&amp;IF(N($L1352)&lt;=0,", no quarter split","")&amp;IF($R1352="",", no driver","")&amp;IF(AND($H1352&lt;&gt;"",COUNTIF(CareerLevels,$H1352)=0),", a career level that is not on the ladder","")&amp;IF(AND($R1352&lt;&gt;"",COUNTIF(DriverList,$R1352)=0),", a driver that is not on the list","")&amp;IF(ABS(N($L1352)-(N($M1352)+N($N1352)+N($O1352)+N($P1352)))&gt;0.001,", a total that does not match its quarters",""),3,300))</f>
        <v/>
      </c>
    </row>
    <row r="1353" customFormat="false" ht="15" hidden="false" customHeight="false" outlineLevel="0" collapsed="false">
      <c r="A1353" s="33" t="str">
        <f aca="false">IF($G1353="","","Legal Group")</f>
        <v/>
      </c>
      <c r="B1353" s="19"/>
      <c r="C1353" s="19"/>
      <c r="D1353" s="19"/>
      <c r="E1353" s="19"/>
      <c r="F1353" s="19"/>
      <c r="G1353" s="19"/>
      <c r="H1353" s="19"/>
      <c r="I1353" s="19"/>
      <c r="J1353" s="19"/>
      <c r="K1353" s="19"/>
      <c r="L1353" s="19"/>
      <c r="M1353" s="19"/>
      <c r="N1353" s="19"/>
      <c r="O1353" s="19"/>
      <c r="P1353" s="19"/>
      <c r="Q1353" s="19"/>
      <c r="R1353" s="19"/>
      <c r="S1353" s="19"/>
      <c r="T1353" s="34" t="str">
        <f aca="false">IF($R1353="","",IFERROR(INDEX(DriverCategory,MATCH($R1353,DriverList,0)),"BAU"))</f>
        <v/>
      </c>
      <c r="U1353" s="34" t="str">
        <f aca="false">IF($R1353="","",IFERROR(INDEX(DriverRank,MATCH($R1353,DriverList,0)),99))</f>
        <v/>
      </c>
      <c r="V1353" s="35" t="n">
        <f aca="false">IF($H1353="",0,IFERROR(INDEX(LevelBasic,MATCH($H1353,LevelList,0))+INDEX(LevelHousing,MATCH($H1353,LevelList,0))+INDEX(LevelTransport,MATCH($H1353,LevelList,0))+INDEX(LevelBasic,MATCH($H1353,LevelList,0))*INDEX(LevelBonus,MATCH($H1353,LevelList,0))+(INDEX(LevelBasic,MATCH($H1353,LevelList,0))+INDEX(LevelHousing,MATCH($H1353,LevelList,0)))*GosiSaudi,0))</f>
        <v>0</v>
      </c>
      <c r="W1353" s="35" t="n">
        <f aca="false">IFERROR(INDEX(LevelOneOff,MATCH($H1353,LevelList,0)),0)</f>
        <v>0</v>
      </c>
      <c r="X1353" s="35" t="str">
        <f aca="false">IF($G1353="","",$V1353*N($L1353))</f>
        <v/>
      </c>
      <c r="Y1353" s="35" t="str">
        <f aca="false">IF($G1353="","",$V1353*(N($M1353)*1+N($N1353)*0.75+N($O1353)*0.5+N($P1353)*0.25)+$W1353*N($L1353))</f>
        <v/>
      </c>
      <c r="Z1353" s="35" t="str">
        <f aca="false">IF($G1353="","",$U1353*1000000+ROW())</f>
        <v/>
      </c>
      <c r="AA1353" s="36" t="str">
        <f aca="false">IF($G1353="","",MID(IF($C1353="",", no division","")&amp;IF($E1353="",", no unit","")&amp;IF($H1353="",", no career level","")&amp;IF(N($L1353)&lt;=0,", no quarter split","")&amp;IF($R1353="",", no driver","")&amp;IF(AND($H1353&lt;&gt;"",COUNTIF(CareerLevels,$H1353)=0),", a career level that is not on the ladder","")&amp;IF(AND($R1353&lt;&gt;"",COUNTIF(DriverList,$R1353)=0),", a driver that is not on the list","")&amp;IF(ABS(N($L1353)-(N($M1353)+N($N1353)+N($O1353)+N($P1353)))&gt;0.001,", a total that does not match its quarters",""),3,300))</f>
        <v/>
      </c>
    </row>
    <row r="1354" customFormat="false" ht="15" hidden="false" customHeight="false" outlineLevel="0" collapsed="false">
      <c r="A1354" s="33" t="str">
        <f aca="false">IF($G1354="","","Legal Group")</f>
        <v/>
      </c>
      <c r="B1354" s="19"/>
      <c r="C1354" s="19"/>
      <c r="D1354" s="19"/>
      <c r="E1354" s="19"/>
      <c r="F1354" s="19"/>
      <c r="G1354" s="19"/>
      <c r="H1354" s="19"/>
      <c r="I1354" s="19"/>
      <c r="J1354" s="19"/>
      <c r="K1354" s="19"/>
      <c r="L1354" s="19"/>
      <c r="M1354" s="19"/>
      <c r="N1354" s="19"/>
      <c r="O1354" s="19"/>
      <c r="P1354" s="19"/>
      <c r="Q1354" s="19"/>
      <c r="R1354" s="19"/>
      <c r="S1354" s="19"/>
      <c r="T1354" s="34" t="str">
        <f aca="false">IF($R1354="","",IFERROR(INDEX(DriverCategory,MATCH($R1354,DriverList,0)),"BAU"))</f>
        <v/>
      </c>
      <c r="U1354" s="34" t="str">
        <f aca="false">IF($R1354="","",IFERROR(INDEX(DriverRank,MATCH($R1354,DriverList,0)),99))</f>
        <v/>
      </c>
      <c r="V1354" s="35" t="n">
        <f aca="false">IF($H1354="",0,IFERROR(INDEX(LevelBasic,MATCH($H1354,LevelList,0))+INDEX(LevelHousing,MATCH($H1354,LevelList,0))+INDEX(LevelTransport,MATCH($H1354,LevelList,0))+INDEX(LevelBasic,MATCH($H1354,LevelList,0))*INDEX(LevelBonus,MATCH($H1354,LevelList,0))+(INDEX(LevelBasic,MATCH($H1354,LevelList,0))+INDEX(LevelHousing,MATCH($H1354,LevelList,0)))*GosiSaudi,0))</f>
        <v>0</v>
      </c>
      <c r="W1354" s="35" t="n">
        <f aca="false">IFERROR(INDEX(LevelOneOff,MATCH($H1354,LevelList,0)),0)</f>
        <v>0</v>
      </c>
      <c r="X1354" s="35" t="str">
        <f aca="false">IF($G1354="","",$V1354*N($L1354))</f>
        <v/>
      </c>
      <c r="Y1354" s="35" t="str">
        <f aca="false">IF($G1354="","",$V1354*(N($M1354)*1+N($N1354)*0.75+N($O1354)*0.5+N($P1354)*0.25)+$W1354*N($L1354))</f>
        <v/>
      </c>
      <c r="Z1354" s="35" t="str">
        <f aca="false">IF($G1354="","",$U1354*1000000+ROW())</f>
        <v/>
      </c>
      <c r="AA1354" s="36" t="str">
        <f aca="false">IF($G1354="","",MID(IF($C1354="",", no division","")&amp;IF($E1354="",", no unit","")&amp;IF($H1354="",", no career level","")&amp;IF(N($L1354)&lt;=0,", no quarter split","")&amp;IF($R1354="",", no driver","")&amp;IF(AND($H1354&lt;&gt;"",COUNTIF(CareerLevels,$H1354)=0),", a career level that is not on the ladder","")&amp;IF(AND($R1354&lt;&gt;"",COUNTIF(DriverList,$R1354)=0),", a driver that is not on the list","")&amp;IF(ABS(N($L1354)-(N($M1354)+N($N1354)+N($O1354)+N($P1354)))&gt;0.001,", a total that does not match its quarters",""),3,300))</f>
        <v/>
      </c>
    </row>
    <row r="1355" customFormat="false" ht="15" hidden="false" customHeight="false" outlineLevel="0" collapsed="false">
      <c r="A1355" s="33" t="str">
        <f aca="false">IF($G1355="","","Legal Group")</f>
        <v/>
      </c>
      <c r="B1355" s="19"/>
      <c r="C1355" s="19"/>
      <c r="D1355" s="19"/>
      <c r="E1355" s="19"/>
      <c r="F1355" s="19"/>
      <c r="G1355" s="19"/>
      <c r="H1355" s="19"/>
      <c r="I1355" s="19"/>
      <c r="J1355" s="19"/>
      <c r="K1355" s="19"/>
      <c r="L1355" s="19"/>
      <c r="M1355" s="19"/>
      <c r="N1355" s="19"/>
      <c r="O1355" s="19"/>
      <c r="P1355" s="19"/>
      <c r="Q1355" s="19"/>
      <c r="R1355" s="19"/>
      <c r="S1355" s="19"/>
      <c r="T1355" s="34" t="str">
        <f aca="false">IF($R1355="","",IFERROR(INDEX(DriverCategory,MATCH($R1355,DriverList,0)),"BAU"))</f>
        <v/>
      </c>
      <c r="U1355" s="34" t="str">
        <f aca="false">IF($R1355="","",IFERROR(INDEX(DriverRank,MATCH($R1355,DriverList,0)),99))</f>
        <v/>
      </c>
      <c r="V1355" s="35" t="n">
        <f aca="false">IF($H1355="",0,IFERROR(INDEX(LevelBasic,MATCH($H1355,LevelList,0))+INDEX(LevelHousing,MATCH($H1355,LevelList,0))+INDEX(LevelTransport,MATCH($H1355,LevelList,0))+INDEX(LevelBasic,MATCH($H1355,LevelList,0))*INDEX(LevelBonus,MATCH($H1355,LevelList,0))+(INDEX(LevelBasic,MATCH($H1355,LevelList,0))+INDEX(LevelHousing,MATCH($H1355,LevelList,0)))*GosiSaudi,0))</f>
        <v>0</v>
      </c>
      <c r="W1355" s="35" t="n">
        <f aca="false">IFERROR(INDEX(LevelOneOff,MATCH($H1355,LevelList,0)),0)</f>
        <v>0</v>
      </c>
      <c r="X1355" s="35" t="str">
        <f aca="false">IF($G1355="","",$V1355*N($L1355))</f>
        <v/>
      </c>
      <c r="Y1355" s="35" t="str">
        <f aca="false">IF($G1355="","",$V1355*(N($M1355)*1+N($N1355)*0.75+N($O1355)*0.5+N($P1355)*0.25)+$W1355*N($L1355))</f>
        <v/>
      </c>
      <c r="Z1355" s="35" t="str">
        <f aca="false">IF($G1355="","",$U1355*1000000+ROW())</f>
        <v/>
      </c>
      <c r="AA1355" s="36" t="str">
        <f aca="false">IF($G1355="","",MID(IF($C1355="",", no division","")&amp;IF($E1355="",", no unit","")&amp;IF($H1355="",", no career level","")&amp;IF(N($L1355)&lt;=0,", no quarter split","")&amp;IF($R1355="",", no driver","")&amp;IF(AND($H1355&lt;&gt;"",COUNTIF(CareerLevels,$H1355)=0),", a career level that is not on the ladder","")&amp;IF(AND($R1355&lt;&gt;"",COUNTIF(DriverList,$R1355)=0),", a driver that is not on the list","")&amp;IF(ABS(N($L1355)-(N($M1355)+N($N1355)+N($O1355)+N($P1355)))&gt;0.001,", a total that does not match its quarters",""),3,300))</f>
        <v/>
      </c>
    </row>
    <row r="1356" customFormat="false" ht="15" hidden="false" customHeight="false" outlineLevel="0" collapsed="false">
      <c r="A1356" s="33" t="str">
        <f aca="false">IF($G1356="","","Legal Group")</f>
        <v/>
      </c>
      <c r="B1356" s="19"/>
      <c r="C1356" s="19"/>
      <c r="D1356" s="19"/>
      <c r="E1356" s="19"/>
      <c r="F1356" s="19"/>
      <c r="G1356" s="19"/>
      <c r="H1356" s="19"/>
      <c r="I1356" s="19"/>
      <c r="J1356" s="19"/>
      <c r="K1356" s="19"/>
      <c r="L1356" s="19"/>
      <c r="M1356" s="19"/>
      <c r="N1356" s="19"/>
      <c r="O1356" s="19"/>
      <c r="P1356" s="19"/>
      <c r="Q1356" s="19"/>
      <c r="R1356" s="19"/>
      <c r="S1356" s="19"/>
      <c r="T1356" s="34" t="str">
        <f aca="false">IF($R1356="","",IFERROR(INDEX(DriverCategory,MATCH($R1356,DriverList,0)),"BAU"))</f>
        <v/>
      </c>
      <c r="U1356" s="34" t="str">
        <f aca="false">IF($R1356="","",IFERROR(INDEX(DriverRank,MATCH($R1356,DriverList,0)),99))</f>
        <v/>
      </c>
      <c r="V1356" s="35" t="n">
        <f aca="false">IF($H1356="",0,IFERROR(INDEX(LevelBasic,MATCH($H1356,LevelList,0))+INDEX(LevelHousing,MATCH($H1356,LevelList,0))+INDEX(LevelTransport,MATCH($H1356,LevelList,0))+INDEX(LevelBasic,MATCH($H1356,LevelList,0))*INDEX(LevelBonus,MATCH($H1356,LevelList,0))+(INDEX(LevelBasic,MATCH($H1356,LevelList,0))+INDEX(LevelHousing,MATCH($H1356,LevelList,0)))*GosiSaudi,0))</f>
        <v>0</v>
      </c>
      <c r="W1356" s="35" t="n">
        <f aca="false">IFERROR(INDEX(LevelOneOff,MATCH($H1356,LevelList,0)),0)</f>
        <v>0</v>
      </c>
      <c r="X1356" s="35" t="str">
        <f aca="false">IF($G1356="","",$V1356*N($L1356))</f>
        <v/>
      </c>
      <c r="Y1356" s="35" t="str">
        <f aca="false">IF($G1356="","",$V1356*(N($M1356)*1+N($N1356)*0.75+N($O1356)*0.5+N($P1356)*0.25)+$W1356*N($L1356))</f>
        <v/>
      </c>
      <c r="Z1356" s="35" t="str">
        <f aca="false">IF($G1356="","",$U1356*1000000+ROW())</f>
        <v/>
      </c>
      <c r="AA1356" s="36" t="str">
        <f aca="false">IF($G1356="","",MID(IF($C1356="",", no division","")&amp;IF($E1356="",", no unit","")&amp;IF($H1356="",", no career level","")&amp;IF(N($L1356)&lt;=0,", no quarter split","")&amp;IF($R1356="",", no driver","")&amp;IF(AND($H1356&lt;&gt;"",COUNTIF(CareerLevels,$H1356)=0),", a career level that is not on the ladder","")&amp;IF(AND($R1356&lt;&gt;"",COUNTIF(DriverList,$R1356)=0),", a driver that is not on the list","")&amp;IF(ABS(N($L1356)-(N($M1356)+N($N1356)+N($O1356)+N($P1356)))&gt;0.001,", a total that does not match its quarters",""),3,300))</f>
        <v/>
      </c>
    </row>
    <row r="1357" customFormat="false" ht="15" hidden="false" customHeight="false" outlineLevel="0" collapsed="false">
      <c r="A1357" s="33" t="str">
        <f aca="false">IF($G1357="","","Legal Group")</f>
        <v/>
      </c>
      <c r="B1357" s="19"/>
      <c r="C1357" s="19"/>
      <c r="D1357" s="19"/>
      <c r="E1357" s="19"/>
      <c r="F1357" s="19"/>
      <c r="G1357" s="19"/>
      <c r="H1357" s="19"/>
      <c r="I1357" s="19"/>
      <c r="J1357" s="19"/>
      <c r="K1357" s="19"/>
      <c r="L1357" s="19"/>
      <c r="M1357" s="19"/>
      <c r="N1357" s="19"/>
      <c r="O1357" s="19"/>
      <c r="P1357" s="19"/>
      <c r="Q1357" s="19"/>
      <c r="R1357" s="19"/>
      <c r="S1357" s="19"/>
      <c r="T1357" s="34" t="str">
        <f aca="false">IF($R1357="","",IFERROR(INDEX(DriverCategory,MATCH($R1357,DriverList,0)),"BAU"))</f>
        <v/>
      </c>
      <c r="U1357" s="34" t="str">
        <f aca="false">IF($R1357="","",IFERROR(INDEX(DriverRank,MATCH($R1357,DriverList,0)),99))</f>
        <v/>
      </c>
      <c r="V1357" s="35" t="n">
        <f aca="false">IF($H1357="",0,IFERROR(INDEX(LevelBasic,MATCH($H1357,LevelList,0))+INDEX(LevelHousing,MATCH($H1357,LevelList,0))+INDEX(LevelTransport,MATCH($H1357,LevelList,0))+INDEX(LevelBasic,MATCH($H1357,LevelList,0))*INDEX(LevelBonus,MATCH($H1357,LevelList,0))+(INDEX(LevelBasic,MATCH($H1357,LevelList,0))+INDEX(LevelHousing,MATCH($H1357,LevelList,0)))*GosiSaudi,0))</f>
        <v>0</v>
      </c>
      <c r="W1357" s="35" t="n">
        <f aca="false">IFERROR(INDEX(LevelOneOff,MATCH($H1357,LevelList,0)),0)</f>
        <v>0</v>
      </c>
      <c r="X1357" s="35" t="str">
        <f aca="false">IF($G1357="","",$V1357*N($L1357))</f>
        <v/>
      </c>
      <c r="Y1357" s="35" t="str">
        <f aca="false">IF($G1357="","",$V1357*(N($M1357)*1+N($N1357)*0.75+N($O1357)*0.5+N($P1357)*0.25)+$W1357*N($L1357))</f>
        <v/>
      </c>
      <c r="Z1357" s="35" t="str">
        <f aca="false">IF($G1357="","",$U1357*1000000+ROW())</f>
        <v/>
      </c>
      <c r="AA1357" s="36" t="str">
        <f aca="false">IF($G1357="","",MID(IF($C1357="",", no division","")&amp;IF($E1357="",", no unit","")&amp;IF($H1357="",", no career level","")&amp;IF(N($L1357)&lt;=0,", no quarter split","")&amp;IF($R1357="",", no driver","")&amp;IF(AND($H1357&lt;&gt;"",COUNTIF(CareerLevels,$H1357)=0),", a career level that is not on the ladder","")&amp;IF(AND($R1357&lt;&gt;"",COUNTIF(DriverList,$R1357)=0),", a driver that is not on the list","")&amp;IF(ABS(N($L1357)-(N($M1357)+N($N1357)+N($O1357)+N($P1357)))&gt;0.001,", a total that does not match its quarters",""),3,300))</f>
        <v/>
      </c>
    </row>
    <row r="1358" customFormat="false" ht="15" hidden="false" customHeight="false" outlineLevel="0" collapsed="false">
      <c r="A1358" s="33" t="str">
        <f aca="false">IF($G1358="","","Legal Group")</f>
        <v/>
      </c>
      <c r="B1358" s="19"/>
      <c r="C1358" s="19"/>
      <c r="D1358" s="19"/>
      <c r="E1358" s="19"/>
      <c r="F1358" s="19"/>
      <c r="G1358" s="19"/>
      <c r="H1358" s="19"/>
      <c r="I1358" s="19"/>
      <c r="J1358" s="19"/>
      <c r="K1358" s="19"/>
      <c r="L1358" s="19"/>
      <c r="M1358" s="19"/>
      <c r="N1358" s="19"/>
      <c r="O1358" s="19"/>
      <c r="P1358" s="19"/>
      <c r="Q1358" s="19"/>
      <c r="R1358" s="19"/>
      <c r="S1358" s="19"/>
      <c r="T1358" s="34" t="str">
        <f aca="false">IF($R1358="","",IFERROR(INDEX(DriverCategory,MATCH($R1358,DriverList,0)),"BAU"))</f>
        <v/>
      </c>
      <c r="U1358" s="34" t="str">
        <f aca="false">IF($R1358="","",IFERROR(INDEX(DriverRank,MATCH($R1358,DriverList,0)),99))</f>
        <v/>
      </c>
      <c r="V1358" s="35" t="n">
        <f aca="false">IF($H1358="",0,IFERROR(INDEX(LevelBasic,MATCH($H1358,LevelList,0))+INDEX(LevelHousing,MATCH($H1358,LevelList,0))+INDEX(LevelTransport,MATCH($H1358,LevelList,0))+INDEX(LevelBasic,MATCH($H1358,LevelList,0))*INDEX(LevelBonus,MATCH($H1358,LevelList,0))+(INDEX(LevelBasic,MATCH($H1358,LevelList,0))+INDEX(LevelHousing,MATCH($H1358,LevelList,0)))*GosiSaudi,0))</f>
        <v>0</v>
      </c>
      <c r="W1358" s="35" t="n">
        <f aca="false">IFERROR(INDEX(LevelOneOff,MATCH($H1358,LevelList,0)),0)</f>
        <v>0</v>
      </c>
      <c r="X1358" s="35" t="str">
        <f aca="false">IF($G1358="","",$V1358*N($L1358))</f>
        <v/>
      </c>
      <c r="Y1358" s="35" t="str">
        <f aca="false">IF($G1358="","",$V1358*(N($M1358)*1+N($N1358)*0.75+N($O1358)*0.5+N($P1358)*0.25)+$W1358*N($L1358))</f>
        <v/>
      </c>
      <c r="Z1358" s="35" t="str">
        <f aca="false">IF($G1358="","",$U1358*1000000+ROW())</f>
        <v/>
      </c>
      <c r="AA1358" s="36" t="str">
        <f aca="false">IF($G1358="","",MID(IF($C1358="",", no division","")&amp;IF($E1358="",", no unit","")&amp;IF($H1358="",", no career level","")&amp;IF(N($L1358)&lt;=0,", no quarter split","")&amp;IF($R1358="",", no driver","")&amp;IF(AND($H1358&lt;&gt;"",COUNTIF(CareerLevels,$H1358)=0),", a career level that is not on the ladder","")&amp;IF(AND($R1358&lt;&gt;"",COUNTIF(DriverList,$R1358)=0),", a driver that is not on the list","")&amp;IF(ABS(N($L1358)-(N($M1358)+N($N1358)+N($O1358)+N($P1358)))&gt;0.001,", a total that does not match its quarters",""),3,300))</f>
        <v/>
      </c>
    </row>
    <row r="1359" customFormat="false" ht="15" hidden="false" customHeight="false" outlineLevel="0" collapsed="false">
      <c r="A1359" s="33" t="str">
        <f aca="false">IF($G1359="","","Legal Group")</f>
        <v/>
      </c>
      <c r="B1359" s="19"/>
      <c r="C1359" s="19"/>
      <c r="D1359" s="19"/>
      <c r="E1359" s="19"/>
      <c r="F1359" s="19"/>
      <c r="G1359" s="19"/>
      <c r="H1359" s="19"/>
      <c r="I1359" s="19"/>
      <c r="J1359" s="19"/>
      <c r="K1359" s="19"/>
      <c r="L1359" s="19"/>
      <c r="M1359" s="19"/>
      <c r="N1359" s="19"/>
      <c r="O1359" s="19"/>
      <c r="P1359" s="19"/>
      <c r="Q1359" s="19"/>
      <c r="R1359" s="19"/>
      <c r="S1359" s="19"/>
      <c r="T1359" s="34" t="str">
        <f aca="false">IF($R1359="","",IFERROR(INDEX(DriverCategory,MATCH($R1359,DriverList,0)),"BAU"))</f>
        <v/>
      </c>
      <c r="U1359" s="34" t="str">
        <f aca="false">IF($R1359="","",IFERROR(INDEX(DriverRank,MATCH($R1359,DriverList,0)),99))</f>
        <v/>
      </c>
      <c r="V1359" s="35" t="n">
        <f aca="false">IF($H1359="",0,IFERROR(INDEX(LevelBasic,MATCH($H1359,LevelList,0))+INDEX(LevelHousing,MATCH($H1359,LevelList,0))+INDEX(LevelTransport,MATCH($H1359,LevelList,0))+INDEX(LevelBasic,MATCH($H1359,LevelList,0))*INDEX(LevelBonus,MATCH($H1359,LevelList,0))+(INDEX(LevelBasic,MATCH($H1359,LevelList,0))+INDEX(LevelHousing,MATCH($H1359,LevelList,0)))*GosiSaudi,0))</f>
        <v>0</v>
      </c>
      <c r="W1359" s="35" t="n">
        <f aca="false">IFERROR(INDEX(LevelOneOff,MATCH($H1359,LevelList,0)),0)</f>
        <v>0</v>
      </c>
      <c r="X1359" s="35" t="str">
        <f aca="false">IF($G1359="","",$V1359*N($L1359))</f>
        <v/>
      </c>
      <c r="Y1359" s="35" t="str">
        <f aca="false">IF($G1359="","",$V1359*(N($M1359)*1+N($N1359)*0.75+N($O1359)*0.5+N($P1359)*0.25)+$W1359*N($L1359))</f>
        <v/>
      </c>
      <c r="Z1359" s="35" t="str">
        <f aca="false">IF($G1359="","",$U1359*1000000+ROW())</f>
        <v/>
      </c>
      <c r="AA1359" s="36" t="str">
        <f aca="false">IF($G1359="","",MID(IF($C1359="",", no division","")&amp;IF($E1359="",", no unit","")&amp;IF($H1359="",", no career level","")&amp;IF(N($L1359)&lt;=0,", no quarter split","")&amp;IF($R1359="",", no driver","")&amp;IF(AND($H1359&lt;&gt;"",COUNTIF(CareerLevels,$H1359)=0),", a career level that is not on the ladder","")&amp;IF(AND($R1359&lt;&gt;"",COUNTIF(DriverList,$R1359)=0),", a driver that is not on the list","")&amp;IF(ABS(N($L1359)-(N($M1359)+N($N1359)+N($O1359)+N($P1359)))&gt;0.001,", a total that does not match its quarters",""),3,300))</f>
        <v/>
      </c>
    </row>
    <row r="1360" customFormat="false" ht="15" hidden="false" customHeight="false" outlineLevel="0" collapsed="false">
      <c r="A1360" s="33" t="str">
        <f aca="false">IF($G1360="","","Legal Group")</f>
        <v/>
      </c>
      <c r="B1360" s="19"/>
      <c r="C1360" s="19"/>
      <c r="D1360" s="19"/>
      <c r="E1360" s="19"/>
      <c r="F1360" s="19"/>
      <c r="G1360" s="19"/>
      <c r="H1360" s="19"/>
      <c r="I1360" s="19"/>
      <c r="J1360" s="19"/>
      <c r="K1360" s="19"/>
      <c r="L1360" s="19"/>
      <c r="M1360" s="19"/>
      <c r="N1360" s="19"/>
      <c r="O1360" s="19"/>
      <c r="P1360" s="19"/>
      <c r="Q1360" s="19"/>
      <c r="R1360" s="19"/>
      <c r="S1360" s="19"/>
      <c r="T1360" s="34" t="str">
        <f aca="false">IF($R1360="","",IFERROR(INDEX(DriverCategory,MATCH($R1360,DriverList,0)),"BAU"))</f>
        <v/>
      </c>
      <c r="U1360" s="34" t="str">
        <f aca="false">IF($R1360="","",IFERROR(INDEX(DriverRank,MATCH($R1360,DriverList,0)),99))</f>
        <v/>
      </c>
      <c r="V1360" s="35" t="n">
        <f aca="false">IF($H1360="",0,IFERROR(INDEX(LevelBasic,MATCH($H1360,LevelList,0))+INDEX(LevelHousing,MATCH($H1360,LevelList,0))+INDEX(LevelTransport,MATCH($H1360,LevelList,0))+INDEX(LevelBasic,MATCH($H1360,LevelList,0))*INDEX(LevelBonus,MATCH($H1360,LevelList,0))+(INDEX(LevelBasic,MATCH($H1360,LevelList,0))+INDEX(LevelHousing,MATCH($H1360,LevelList,0)))*GosiSaudi,0))</f>
        <v>0</v>
      </c>
      <c r="W1360" s="35" t="n">
        <f aca="false">IFERROR(INDEX(LevelOneOff,MATCH($H1360,LevelList,0)),0)</f>
        <v>0</v>
      </c>
      <c r="X1360" s="35" t="str">
        <f aca="false">IF($G1360="","",$V1360*N($L1360))</f>
        <v/>
      </c>
      <c r="Y1360" s="35" t="str">
        <f aca="false">IF($G1360="","",$V1360*(N($M1360)*1+N($N1360)*0.75+N($O1360)*0.5+N($P1360)*0.25)+$W1360*N($L1360))</f>
        <v/>
      </c>
      <c r="Z1360" s="35" t="str">
        <f aca="false">IF($G1360="","",$U1360*1000000+ROW())</f>
        <v/>
      </c>
      <c r="AA1360" s="36" t="str">
        <f aca="false">IF($G1360="","",MID(IF($C1360="",", no division","")&amp;IF($E1360="",", no unit","")&amp;IF($H1360="",", no career level","")&amp;IF(N($L1360)&lt;=0,", no quarter split","")&amp;IF($R1360="",", no driver","")&amp;IF(AND($H1360&lt;&gt;"",COUNTIF(CareerLevels,$H1360)=0),", a career level that is not on the ladder","")&amp;IF(AND($R1360&lt;&gt;"",COUNTIF(DriverList,$R1360)=0),", a driver that is not on the list","")&amp;IF(ABS(N($L1360)-(N($M1360)+N($N1360)+N($O1360)+N($P1360)))&gt;0.001,", a total that does not match its quarters",""),3,300))</f>
        <v/>
      </c>
    </row>
    <row r="1361" customFormat="false" ht="15" hidden="false" customHeight="false" outlineLevel="0" collapsed="false">
      <c r="A1361" s="33" t="str">
        <f aca="false">IF($G1361="","","Legal Group")</f>
        <v/>
      </c>
      <c r="B1361" s="19"/>
      <c r="C1361" s="19"/>
      <c r="D1361" s="19"/>
      <c r="E1361" s="19"/>
      <c r="F1361" s="19"/>
      <c r="G1361" s="19"/>
      <c r="H1361" s="19"/>
      <c r="I1361" s="19"/>
      <c r="J1361" s="19"/>
      <c r="K1361" s="19"/>
      <c r="L1361" s="19"/>
      <c r="M1361" s="19"/>
      <c r="N1361" s="19"/>
      <c r="O1361" s="19"/>
      <c r="P1361" s="19"/>
      <c r="Q1361" s="19"/>
      <c r="R1361" s="19"/>
      <c r="S1361" s="19"/>
      <c r="T1361" s="34" t="str">
        <f aca="false">IF($R1361="","",IFERROR(INDEX(DriverCategory,MATCH($R1361,DriverList,0)),"BAU"))</f>
        <v/>
      </c>
      <c r="U1361" s="34" t="str">
        <f aca="false">IF($R1361="","",IFERROR(INDEX(DriverRank,MATCH($R1361,DriverList,0)),99))</f>
        <v/>
      </c>
      <c r="V1361" s="35" t="n">
        <f aca="false">IF($H1361="",0,IFERROR(INDEX(LevelBasic,MATCH($H1361,LevelList,0))+INDEX(LevelHousing,MATCH($H1361,LevelList,0))+INDEX(LevelTransport,MATCH($H1361,LevelList,0))+INDEX(LevelBasic,MATCH($H1361,LevelList,0))*INDEX(LevelBonus,MATCH($H1361,LevelList,0))+(INDEX(LevelBasic,MATCH($H1361,LevelList,0))+INDEX(LevelHousing,MATCH($H1361,LevelList,0)))*GosiSaudi,0))</f>
        <v>0</v>
      </c>
      <c r="W1361" s="35" t="n">
        <f aca="false">IFERROR(INDEX(LevelOneOff,MATCH($H1361,LevelList,0)),0)</f>
        <v>0</v>
      </c>
      <c r="X1361" s="35" t="str">
        <f aca="false">IF($G1361="","",$V1361*N($L1361))</f>
        <v/>
      </c>
      <c r="Y1361" s="35" t="str">
        <f aca="false">IF($G1361="","",$V1361*(N($M1361)*1+N($N1361)*0.75+N($O1361)*0.5+N($P1361)*0.25)+$W1361*N($L1361))</f>
        <v/>
      </c>
      <c r="Z1361" s="35" t="str">
        <f aca="false">IF($G1361="","",$U1361*1000000+ROW())</f>
        <v/>
      </c>
      <c r="AA1361" s="36" t="str">
        <f aca="false">IF($G1361="","",MID(IF($C1361="",", no division","")&amp;IF($E1361="",", no unit","")&amp;IF($H1361="",", no career level","")&amp;IF(N($L1361)&lt;=0,", no quarter split","")&amp;IF($R1361="",", no driver","")&amp;IF(AND($H1361&lt;&gt;"",COUNTIF(CareerLevels,$H1361)=0),", a career level that is not on the ladder","")&amp;IF(AND($R1361&lt;&gt;"",COUNTIF(DriverList,$R1361)=0),", a driver that is not on the list","")&amp;IF(ABS(N($L1361)-(N($M1361)+N($N1361)+N($O1361)+N($P1361)))&gt;0.001,", a total that does not match its quarters",""),3,300))</f>
        <v/>
      </c>
    </row>
    <row r="1362" customFormat="false" ht="15" hidden="false" customHeight="false" outlineLevel="0" collapsed="false">
      <c r="A1362" s="33" t="str">
        <f aca="false">IF($G1362="","","Legal Group")</f>
        <v/>
      </c>
      <c r="B1362" s="19"/>
      <c r="C1362" s="19"/>
      <c r="D1362" s="19"/>
      <c r="E1362" s="19"/>
      <c r="F1362" s="19"/>
      <c r="G1362" s="19"/>
      <c r="H1362" s="19"/>
      <c r="I1362" s="19"/>
      <c r="J1362" s="19"/>
      <c r="K1362" s="19"/>
      <c r="L1362" s="19"/>
      <c r="M1362" s="19"/>
      <c r="N1362" s="19"/>
      <c r="O1362" s="19"/>
      <c r="P1362" s="19"/>
      <c r="Q1362" s="19"/>
      <c r="R1362" s="19"/>
      <c r="S1362" s="19"/>
      <c r="T1362" s="34" t="str">
        <f aca="false">IF($R1362="","",IFERROR(INDEX(DriverCategory,MATCH($R1362,DriverList,0)),"BAU"))</f>
        <v/>
      </c>
      <c r="U1362" s="34" t="str">
        <f aca="false">IF($R1362="","",IFERROR(INDEX(DriverRank,MATCH($R1362,DriverList,0)),99))</f>
        <v/>
      </c>
      <c r="V1362" s="35" t="n">
        <f aca="false">IF($H1362="",0,IFERROR(INDEX(LevelBasic,MATCH($H1362,LevelList,0))+INDEX(LevelHousing,MATCH($H1362,LevelList,0))+INDEX(LevelTransport,MATCH($H1362,LevelList,0))+INDEX(LevelBasic,MATCH($H1362,LevelList,0))*INDEX(LevelBonus,MATCH($H1362,LevelList,0))+(INDEX(LevelBasic,MATCH($H1362,LevelList,0))+INDEX(LevelHousing,MATCH($H1362,LevelList,0)))*GosiSaudi,0))</f>
        <v>0</v>
      </c>
      <c r="W1362" s="35" t="n">
        <f aca="false">IFERROR(INDEX(LevelOneOff,MATCH($H1362,LevelList,0)),0)</f>
        <v>0</v>
      </c>
      <c r="X1362" s="35" t="str">
        <f aca="false">IF($G1362="","",$V1362*N($L1362))</f>
        <v/>
      </c>
      <c r="Y1362" s="35" t="str">
        <f aca="false">IF($G1362="","",$V1362*(N($M1362)*1+N($N1362)*0.75+N($O1362)*0.5+N($P1362)*0.25)+$W1362*N($L1362))</f>
        <v/>
      </c>
      <c r="Z1362" s="35" t="str">
        <f aca="false">IF($G1362="","",$U1362*1000000+ROW())</f>
        <v/>
      </c>
      <c r="AA1362" s="36" t="str">
        <f aca="false">IF($G1362="","",MID(IF($C1362="",", no division","")&amp;IF($E1362="",", no unit","")&amp;IF($H1362="",", no career level","")&amp;IF(N($L1362)&lt;=0,", no quarter split","")&amp;IF($R1362="",", no driver","")&amp;IF(AND($H1362&lt;&gt;"",COUNTIF(CareerLevels,$H1362)=0),", a career level that is not on the ladder","")&amp;IF(AND($R1362&lt;&gt;"",COUNTIF(DriverList,$R1362)=0),", a driver that is not on the list","")&amp;IF(ABS(N($L1362)-(N($M1362)+N($N1362)+N($O1362)+N($P1362)))&gt;0.001,", a total that does not match its quarters",""),3,300))</f>
        <v/>
      </c>
    </row>
    <row r="1363" customFormat="false" ht="15" hidden="false" customHeight="false" outlineLevel="0" collapsed="false">
      <c r="A1363" s="33" t="str">
        <f aca="false">IF($G1363="","","Legal Group")</f>
        <v/>
      </c>
      <c r="B1363" s="19"/>
      <c r="C1363" s="19"/>
      <c r="D1363" s="19"/>
      <c r="E1363" s="19"/>
      <c r="F1363" s="19"/>
      <c r="G1363" s="19"/>
      <c r="H1363" s="19"/>
      <c r="I1363" s="19"/>
      <c r="J1363" s="19"/>
      <c r="K1363" s="19"/>
      <c r="L1363" s="19"/>
      <c r="M1363" s="19"/>
      <c r="N1363" s="19"/>
      <c r="O1363" s="19"/>
      <c r="P1363" s="19"/>
      <c r="Q1363" s="19"/>
      <c r="R1363" s="19"/>
      <c r="S1363" s="19"/>
      <c r="T1363" s="34" t="str">
        <f aca="false">IF($R1363="","",IFERROR(INDEX(DriverCategory,MATCH($R1363,DriverList,0)),"BAU"))</f>
        <v/>
      </c>
      <c r="U1363" s="34" t="str">
        <f aca="false">IF($R1363="","",IFERROR(INDEX(DriverRank,MATCH($R1363,DriverList,0)),99))</f>
        <v/>
      </c>
      <c r="V1363" s="35" t="n">
        <f aca="false">IF($H1363="",0,IFERROR(INDEX(LevelBasic,MATCH($H1363,LevelList,0))+INDEX(LevelHousing,MATCH($H1363,LevelList,0))+INDEX(LevelTransport,MATCH($H1363,LevelList,0))+INDEX(LevelBasic,MATCH($H1363,LevelList,0))*INDEX(LevelBonus,MATCH($H1363,LevelList,0))+(INDEX(LevelBasic,MATCH($H1363,LevelList,0))+INDEX(LevelHousing,MATCH($H1363,LevelList,0)))*GosiSaudi,0))</f>
        <v>0</v>
      </c>
      <c r="W1363" s="35" t="n">
        <f aca="false">IFERROR(INDEX(LevelOneOff,MATCH($H1363,LevelList,0)),0)</f>
        <v>0</v>
      </c>
      <c r="X1363" s="35" t="str">
        <f aca="false">IF($G1363="","",$V1363*N($L1363))</f>
        <v/>
      </c>
      <c r="Y1363" s="35" t="str">
        <f aca="false">IF($G1363="","",$V1363*(N($M1363)*1+N($N1363)*0.75+N($O1363)*0.5+N($P1363)*0.25)+$W1363*N($L1363))</f>
        <v/>
      </c>
      <c r="Z1363" s="35" t="str">
        <f aca="false">IF($G1363="","",$U1363*1000000+ROW())</f>
        <v/>
      </c>
      <c r="AA1363" s="36" t="str">
        <f aca="false">IF($G1363="","",MID(IF($C1363="",", no division","")&amp;IF($E1363="",", no unit","")&amp;IF($H1363="",", no career level","")&amp;IF(N($L1363)&lt;=0,", no quarter split","")&amp;IF($R1363="",", no driver","")&amp;IF(AND($H1363&lt;&gt;"",COUNTIF(CareerLevels,$H1363)=0),", a career level that is not on the ladder","")&amp;IF(AND($R1363&lt;&gt;"",COUNTIF(DriverList,$R1363)=0),", a driver that is not on the list","")&amp;IF(ABS(N($L1363)-(N($M1363)+N($N1363)+N($O1363)+N($P1363)))&gt;0.001,", a total that does not match its quarters",""),3,300))</f>
        <v/>
      </c>
    </row>
    <row r="1364" customFormat="false" ht="15" hidden="false" customHeight="false" outlineLevel="0" collapsed="false">
      <c r="A1364" s="33" t="str">
        <f aca="false">IF($G1364="","","Legal Group")</f>
        <v/>
      </c>
      <c r="B1364" s="19"/>
      <c r="C1364" s="19"/>
      <c r="D1364" s="19"/>
      <c r="E1364" s="19"/>
      <c r="F1364" s="19"/>
      <c r="G1364" s="19"/>
      <c r="H1364" s="19"/>
      <c r="I1364" s="19"/>
      <c r="J1364" s="19"/>
      <c r="K1364" s="19"/>
      <c r="L1364" s="19"/>
      <c r="M1364" s="19"/>
      <c r="N1364" s="19"/>
      <c r="O1364" s="19"/>
      <c r="P1364" s="19"/>
      <c r="Q1364" s="19"/>
      <c r="R1364" s="19"/>
      <c r="S1364" s="19"/>
      <c r="T1364" s="34" t="str">
        <f aca="false">IF($R1364="","",IFERROR(INDEX(DriverCategory,MATCH($R1364,DriverList,0)),"BAU"))</f>
        <v/>
      </c>
      <c r="U1364" s="34" t="str">
        <f aca="false">IF($R1364="","",IFERROR(INDEX(DriverRank,MATCH($R1364,DriverList,0)),99))</f>
        <v/>
      </c>
      <c r="V1364" s="35" t="n">
        <f aca="false">IF($H1364="",0,IFERROR(INDEX(LevelBasic,MATCH($H1364,LevelList,0))+INDEX(LevelHousing,MATCH($H1364,LevelList,0))+INDEX(LevelTransport,MATCH($H1364,LevelList,0))+INDEX(LevelBasic,MATCH($H1364,LevelList,0))*INDEX(LevelBonus,MATCH($H1364,LevelList,0))+(INDEX(LevelBasic,MATCH($H1364,LevelList,0))+INDEX(LevelHousing,MATCH($H1364,LevelList,0)))*GosiSaudi,0))</f>
        <v>0</v>
      </c>
      <c r="W1364" s="35" t="n">
        <f aca="false">IFERROR(INDEX(LevelOneOff,MATCH($H1364,LevelList,0)),0)</f>
        <v>0</v>
      </c>
      <c r="X1364" s="35" t="str">
        <f aca="false">IF($G1364="","",$V1364*N($L1364))</f>
        <v/>
      </c>
      <c r="Y1364" s="35" t="str">
        <f aca="false">IF($G1364="","",$V1364*(N($M1364)*1+N($N1364)*0.75+N($O1364)*0.5+N($P1364)*0.25)+$W1364*N($L1364))</f>
        <v/>
      </c>
      <c r="Z1364" s="35" t="str">
        <f aca="false">IF($G1364="","",$U1364*1000000+ROW())</f>
        <v/>
      </c>
      <c r="AA1364" s="36" t="str">
        <f aca="false">IF($G1364="","",MID(IF($C1364="",", no division","")&amp;IF($E1364="",", no unit","")&amp;IF($H1364="",", no career level","")&amp;IF(N($L1364)&lt;=0,", no quarter split","")&amp;IF($R1364="",", no driver","")&amp;IF(AND($H1364&lt;&gt;"",COUNTIF(CareerLevels,$H1364)=0),", a career level that is not on the ladder","")&amp;IF(AND($R1364&lt;&gt;"",COUNTIF(DriverList,$R1364)=0),", a driver that is not on the list","")&amp;IF(ABS(N($L1364)-(N($M1364)+N($N1364)+N($O1364)+N($P1364)))&gt;0.001,", a total that does not match its quarters",""),3,300))</f>
        <v/>
      </c>
    </row>
    <row r="1365" customFormat="false" ht="15" hidden="false" customHeight="false" outlineLevel="0" collapsed="false">
      <c r="A1365" s="33" t="str">
        <f aca="false">IF($G1365="","","Legal Group")</f>
        <v/>
      </c>
      <c r="B1365" s="19"/>
      <c r="C1365" s="19"/>
      <c r="D1365" s="19"/>
      <c r="E1365" s="19"/>
      <c r="F1365" s="19"/>
      <c r="G1365" s="19"/>
      <c r="H1365" s="19"/>
      <c r="I1365" s="19"/>
      <c r="J1365" s="19"/>
      <c r="K1365" s="19"/>
      <c r="L1365" s="19"/>
      <c r="M1365" s="19"/>
      <c r="N1365" s="19"/>
      <c r="O1365" s="19"/>
      <c r="P1365" s="19"/>
      <c r="Q1365" s="19"/>
      <c r="R1365" s="19"/>
      <c r="S1365" s="19"/>
      <c r="T1365" s="34" t="str">
        <f aca="false">IF($R1365="","",IFERROR(INDEX(DriverCategory,MATCH($R1365,DriverList,0)),"BAU"))</f>
        <v/>
      </c>
      <c r="U1365" s="34" t="str">
        <f aca="false">IF($R1365="","",IFERROR(INDEX(DriverRank,MATCH($R1365,DriverList,0)),99))</f>
        <v/>
      </c>
      <c r="V1365" s="35" t="n">
        <f aca="false">IF($H1365="",0,IFERROR(INDEX(LevelBasic,MATCH($H1365,LevelList,0))+INDEX(LevelHousing,MATCH($H1365,LevelList,0))+INDEX(LevelTransport,MATCH($H1365,LevelList,0))+INDEX(LevelBasic,MATCH($H1365,LevelList,0))*INDEX(LevelBonus,MATCH($H1365,LevelList,0))+(INDEX(LevelBasic,MATCH($H1365,LevelList,0))+INDEX(LevelHousing,MATCH($H1365,LevelList,0)))*GosiSaudi,0))</f>
        <v>0</v>
      </c>
      <c r="W1365" s="35" t="n">
        <f aca="false">IFERROR(INDEX(LevelOneOff,MATCH($H1365,LevelList,0)),0)</f>
        <v>0</v>
      </c>
      <c r="X1365" s="35" t="str">
        <f aca="false">IF($G1365="","",$V1365*N($L1365))</f>
        <v/>
      </c>
      <c r="Y1365" s="35" t="str">
        <f aca="false">IF($G1365="","",$V1365*(N($M1365)*1+N($N1365)*0.75+N($O1365)*0.5+N($P1365)*0.25)+$W1365*N($L1365))</f>
        <v/>
      </c>
      <c r="Z1365" s="35" t="str">
        <f aca="false">IF($G1365="","",$U1365*1000000+ROW())</f>
        <v/>
      </c>
      <c r="AA1365" s="36" t="str">
        <f aca="false">IF($G1365="","",MID(IF($C1365="",", no division","")&amp;IF($E1365="",", no unit","")&amp;IF($H1365="",", no career level","")&amp;IF(N($L1365)&lt;=0,", no quarter split","")&amp;IF($R1365="",", no driver","")&amp;IF(AND($H1365&lt;&gt;"",COUNTIF(CareerLevels,$H1365)=0),", a career level that is not on the ladder","")&amp;IF(AND($R1365&lt;&gt;"",COUNTIF(DriverList,$R1365)=0),", a driver that is not on the list","")&amp;IF(ABS(N($L1365)-(N($M1365)+N($N1365)+N($O1365)+N($P1365)))&gt;0.001,", a total that does not match its quarters",""),3,300))</f>
        <v/>
      </c>
    </row>
    <row r="1366" customFormat="false" ht="15" hidden="false" customHeight="false" outlineLevel="0" collapsed="false">
      <c r="A1366" s="33" t="str">
        <f aca="false">IF($G1366="","","Legal Group")</f>
        <v/>
      </c>
      <c r="B1366" s="19"/>
      <c r="C1366" s="19"/>
      <c r="D1366" s="19"/>
      <c r="E1366" s="19"/>
      <c r="F1366" s="19"/>
      <c r="G1366" s="19"/>
      <c r="H1366" s="19"/>
      <c r="I1366" s="19"/>
      <c r="J1366" s="19"/>
      <c r="K1366" s="19"/>
      <c r="L1366" s="19"/>
      <c r="M1366" s="19"/>
      <c r="N1366" s="19"/>
      <c r="O1366" s="19"/>
      <c r="P1366" s="19"/>
      <c r="Q1366" s="19"/>
      <c r="R1366" s="19"/>
      <c r="S1366" s="19"/>
      <c r="T1366" s="34" t="str">
        <f aca="false">IF($R1366="","",IFERROR(INDEX(DriverCategory,MATCH($R1366,DriverList,0)),"BAU"))</f>
        <v/>
      </c>
      <c r="U1366" s="34" t="str">
        <f aca="false">IF($R1366="","",IFERROR(INDEX(DriverRank,MATCH($R1366,DriverList,0)),99))</f>
        <v/>
      </c>
      <c r="V1366" s="35" t="n">
        <f aca="false">IF($H1366="",0,IFERROR(INDEX(LevelBasic,MATCH($H1366,LevelList,0))+INDEX(LevelHousing,MATCH($H1366,LevelList,0))+INDEX(LevelTransport,MATCH($H1366,LevelList,0))+INDEX(LevelBasic,MATCH($H1366,LevelList,0))*INDEX(LevelBonus,MATCH($H1366,LevelList,0))+(INDEX(LevelBasic,MATCH($H1366,LevelList,0))+INDEX(LevelHousing,MATCH($H1366,LevelList,0)))*GosiSaudi,0))</f>
        <v>0</v>
      </c>
      <c r="W1366" s="35" t="n">
        <f aca="false">IFERROR(INDEX(LevelOneOff,MATCH($H1366,LevelList,0)),0)</f>
        <v>0</v>
      </c>
      <c r="X1366" s="35" t="str">
        <f aca="false">IF($G1366="","",$V1366*N($L1366))</f>
        <v/>
      </c>
      <c r="Y1366" s="35" t="str">
        <f aca="false">IF($G1366="","",$V1366*(N($M1366)*1+N($N1366)*0.75+N($O1366)*0.5+N($P1366)*0.25)+$W1366*N($L1366))</f>
        <v/>
      </c>
      <c r="Z1366" s="35" t="str">
        <f aca="false">IF($G1366="","",$U1366*1000000+ROW())</f>
        <v/>
      </c>
      <c r="AA1366" s="36" t="str">
        <f aca="false">IF($G1366="","",MID(IF($C1366="",", no division","")&amp;IF($E1366="",", no unit","")&amp;IF($H1366="",", no career level","")&amp;IF(N($L1366)&lt;=0,", no quarter split","")&amp;IF($R1366="",", no driver","")&amp;IF(AND($H1366&lt;&gt;"",COUNTIF(CareerLevels,$H1366)=0),", a career level that is not on the ladder","")&amp;IF(AND($R1366&lt;&gt;"",COUNTIF(DriverList,$R1366)=0),", a driver that is not on the list","")&amp;IF(ABS(N($L1366)-(N($M1366)+N($N1366)+N($O1366)+N($P1366)))&gt;0.001,", a total that does not match its quarters",""),3,300))</f>
        <v/>
      </c>
    </row>
    <row r="1367" customFormat="false" ht="15" hidden="false" customHeight="false" outlineLevel="0" collapsed="false">
      <c r="A1367" s="33" t="str">
        <f aca="false">IF($G1367="","","Legal Group")</f>
        <v/>
      </c>
      <c r="B1367" s="19"/>
      <c r="C1367" s="19"/>
      <c r="D1367" s="19"/>
      <c r="E1367" s="19"/>
      <c r="F1367" s="19"/>
      <c r="G1367" s="19"/>
      <c r="H1367" s="19"/>
      <c r="I1367" s="19"/>
      <c r="J1367" s="19"/>
      <c r="K1367" s="19"/>
      <c r="L1367" s="19"/>
      <c r="M1367" s="19"/>
      <c r="N1367" s="19"/>
      <c r="O1367" s="19"/>
      <c r="P1367" s="19"/>
      <c r="Q1367" s="19"/>
      <c r="R1367" s="19"/>
      <c r="S1367" s="19"/>
      <c r="T1367" s="34" t="str">
        <f aca="false">IF($R1367="","",IFERROR(INDEX(DriverCategory,MATCH($R1367,DriverList,0)),"BAU"))</f>
        <v/>
      </c>
      <c r="U1367" s="34" t="str">
        <f aca="false">IF($R1367="","",IFERROR(INDEX(DriverRank,MATCH($R1367,DriverList,0)),99))</f>
        <v/>
      </c>
      <c r="V1367" s="35" t="n">
        <f aca="false">IF($H1367="",0,IFERROR(INDEX(LevelBasic,MATCH($H1367,LevelList,0))+INDEX(LevelHousing,MATCH($H1367,LevelList,0))+INDEX(LevelTransport,MATCH($H1367,LevelList,0))+INDEX(LevelBasic,MATCH($H1367,LevelList,0))*INDEX(LevelBonus,MATCH($H1367,LevelList,0))+(INDEX(LevelBasic,MATCH($H1367,LevelList,0))+INDEX(LevelHousing,MATCH($H1367,LevelList,0)))*GosiSaudi,0))</f>
        <v>0</v>
      </c>
      <c r="W1367" s="35" t="n">
        <f aca="false">IFERROR(INDEX(LevelOneOff,MATCH($H1367,LevelList,0)),0)</f>
        <v>0</v>
      </c>
      <c r="X1367" s="35" t="str">
        <f aca="false">IF($G1367="","",$V1367*N($L1367))</f>
        <v/>
      </c>
      <c r="Y1367" s="35" t="str">
        <f aca="false">IF($G1367="","",$V1367*(N($M1367)*1+N($N1367)*0.75+N($O1367)*0.5+N($P1367)*0.25)+$W1367*N($L1367))</f>
        <v/>
      </c>
      <c r="Z1367" s="35" t="str">
        <f aca="false">IF($G1367="","",$U1367*1000000+ROW())</f>
        <v/>
      </c>
      <c r="AA1367" s="36" t="str">
        <f aca="false">IF($G1367="","",MID(IF($C1367="",", no division","")&amp;IF($E1367="",", no unit","")&amp;IF($H1367="",", no career level","")&amp;IF(N($L1367)&lt;=0,", no quarter split","")&amp;IF($R1367="",", no driver","")&amp;IF(AND($H1367&lt;&gt;"",COUNTIF(CareerLevels,$H1367)=0),", a career level that is not on the ladder","")&amp;IF(AND($R1367&lt;&gt;"",COUNTIF(DriverList,$R1367)=0),", a driver that is not on the list","")&amp;IF(ABS(N($L1367)-(N($M1367)+N($N1367)+N($O1367)+N($P1367)))&gt;0.001,", a total that does not match its quarters",""),3,300))</f>
        <v/>
      </c>
    </row>
    <row r="1368" customFormat="false" ht="15" hidden="false" customHeight="false" outlineLevel="0" collapsed="false">
      <c r="A1368" s="33" t="str">
        <f aca="false">IF($G1368="","","Legal Group")</f>
        <v/>
      </c>
      <c r="B1368" s="19"/>
      <c r="C1368" s="19"/>
      <c r="D1368" s="19"/>
      <c r="E1368" s="19"/>
      <c r="F1368" s="19"/>
      <c r="G1368" s="19"/>
      <c r="H1368" s="19"/>
      <c r="I1368" s="19"/>
      <c r="J1368" s="19"/>
      <c r="K1368" s="19"/>
      <c r="L1368" s="19"/>
      <c r="M1368" s="19"/>
      <c r="N1368" s="19"/>
      <c r="O1368" s="19"/>
      <c r="P1368" s="19"/>
      <c r="Q1368" s="19"/>
      <c r="R1368" s="19"/>
      <c r="S1368" s="19"/>
      <c r="T1368" s="34" t="str">
        <f aca="false">IF($R1368="","",IFERROR(INDEX(DriverCategory,MATCH($R1368,DriverList,0)),"BAU"))</f>
        <v/>
      </c>
      <c r="U1368" s="34" t="str">
        <f aca="false">IF($R1368="","",IFERROR(INDEX(DriverRank,MATCH($R1368,DriverList,0)),99))</f>
        <v/>
      </c>
      <c r="V1368" s="35" t="n">
        <f aca="false">IF($H1368="",0,IFERROR(INDEX(LevelBasic,MATCH($H1368,LevelList,0))+INDEX(LevelHousing,MATCH($H1368,LevelList,0))+INDEX(LevelTransport,MATCH($H1368,LevelList,0))+INDEX(LevelBasic,MATCH($H1368,LevelList,0))*INDEX(LevelBonus,MATCH($H1368,LevelList,0))+(INDEX(LevelBasic,MATCH($H1368,LevelList,0))+INDEX(LevelHousing,MATCH($H1368,LevelList,0)))*GosiSaudi,0))</f>
        <v>0</v>
      </c>
      <c r="W1368" s="35" t="n">
        <f aca="false">IFERROR(INDEX(LevelOneOff,MATCH($H1368,LevelList,0)),0)</f>
        <v>0</v>
      </c>
      <c r="X1368" s="35" t="str">
        <f aca="false">IF($G1368="","",$V1368*N($L1368))</f>
        <v/>
      </c>
      <c r="Y1368" s="35" t="str">
        <f aca="false">IF($G1368="","",$V1368*(N($M1368)*1+N($N1368)*0.75+N($O1368)*0.5+N($P1368)*0.25)+$W1368*N($L1368))</f>
        <v/>
      </c>
      <c r="Z1368" s="35" t="str">
        <f aca="false">IF($G1368="","",$U1368*1000000+ROW())</f>
        <v/>
      </c>
      <c r="AA1368" s="36" t="str">
        <f aca="false">IF($G1368="","",MID(IF($C1368="",", no division","")&amp;IF($E1368="",", no unit","")&amp;IF($H1368="",", no career level","")&amp;IF(N($L1368)&lt;=0,", no quarter split","")&amp;IF($R1368="",", no driver","")&amp;IF(AND($H1368&lt;&gt;"",COUNTIF(CareerLevels,$H1368)=0),", a career level that is not on the ladder","")&amp;IF(AND($R1368&lt;&gt;"",COUNTIF(DriverList,$R1368)=0),", a driver that is not on the list","")&amp;IF(ABS(N($L1368)-(N($M1368)+N($N1368)+N($O1368)+N($P1368)))&gt;0.001,", a total that does not match its quarters",""),3,300))</f>
        <v/>
      </c>
    </row>
    <row r="1369" customFormat="false" ht="15" hidden="false" customHeight="false" outlineLevel="0" collapsed="false">
      <c r="A1369" s="33" t="str">
        <f aca="false">IF($G1369="","","Legal Group")</f>
        <v/>
      </c>
      <c r="B1369" s="19"/>
      <c r="C1369" s="19"/>
      <c r="D1369" s="19"/>
      <c r="E1369" s="19"/>
      <c r="F1369" s="19"/>
      <c r="G1369" s="19"/>
      <c r="H1369" s="19"/>
      <c r="I1369" s="19"/>
      <c r="J1369" s="19"/>
      <c r="K1369" s="19"/>
      <c r="L1369" s="19"/>
      <c r="M1369" s="19"/>
      <c r="N1369" s="19"/>
      <c r="O1369" s="19"/>
      <c r="P1369" s="19"/>
      <c r="Q1369" s="19"/>
      <c r="R1369" s="19"/>
      <c r="S1369" s="19"/>
      <c r="T1369" s="34" t="str">
        <f aca="false">IF($R1369="","",IFERROR(INDEX(DriverCategory,MATCH($R1369,DriverList,0)),"BAU"))</f>
        <v/>
      </c>
      <c r="U1369" s="34" t="str">
        <f aca="false">IF($R1369="","",IFERROR(INDEX(DriverRank,MATCH($R1369,DriverList,0)),99))</f>
        <v/>
      </c>
      <c r="V1369" s="35" t="n">
        <f aca="false">IF($H1369="",0,IFERROR(INDEX(LevelBasic,MATCH($H1369,LevelList,0))+INDEX(LevelHousing,MATCH($H1369,LevelList,0))+INDEX(LevelTransport,MATCH($H1369,LevelList,0))+INDEX(LevelBasic,MATCH($H1369,LevelList,0))*INDEX(LevelBonus,MATCH($H1369,LevelList,0))+(INDEX(LevelBasic,MATCH($H1369,LevelList,0))+INDEX(LevelHousing,MATCH($H1369,LevelList,0)))*GosiSaudi,0))</f>
        <v>0</v>
      </c>
      <c r="W1369" s="35" t="n">
        <f aca="false">IFERROR(INDEX(LevelOneOff,MATCH($H1369,LevelList,0)),0)</f>
        <v>0</v>
      </c>
      <c r="X1369" s="35" t="str">
        <f aca="false">IF($G1369="","",$V1369*N($L1369))</f>
        <v/>
      </c>
      <c r="Y1369" s="35" t="str">
        <f aca="false">IF($G1369="","",$V1369*(N($M1369)*1+N($N1369)*0.75+N($O1369)*0.5+N($P1369)*0.25)+$W1369*N($L1369))</f>
        <v/>
      </c>
      <c r="Z1369" s="35" t="str">
        <f aca="false">IF($G1369="","",$U1369*1000000+ROW())</f>
        <v/>
      </c>
      <c r="AA1369" s="36" t="str">
        <f aca="false">IF($G1369="","",MID(IF($C1369="",", no division","")&amp;IF($E1369="",", no unit","")&amp;IF($H1369="",", no career level","")&amp;IF(N($L1369)&lt;=0,", no quarter split","")&amp;IF($R1369="",", no driver","")&amp;IF(AND($H1369&lt;&gt;"",COUNTIF(CareerLevels,$H1369)=0),", a career level that is not on the ladder","")&amp;IF(AND($R1369&lt;&gt;"",COUNTIF(DriverList,$R1369)=0),", a driver that is not on the list","")&amp;IF(ABS(N($L1369)-(N($M1369)+N($N1369)+N($O1369)+N($P1369)))&gt;0.001,", a total that does not match its quarters",""),3,300))</f>
        <v/>
      </c>
    </row>
    <row r="1370" customFormat="false" ht="15" hidden="false" customHeight="false" outlineLevel="0" collapsed="false">
      <c r="A1370" s="33" t="str">
        <f aca="false">IF($G1370="","","Legal Group")</f>
        <v/>
      </c>
      <c r="B1370" s="19"/>
      <c r="C1370" s="19"/>
      <c r="D1370" s="19"/>
      <c r="E1370" s="19"/>
      <c r="F1370" s="19"/>
      <c r="G1370" s="19"/>
      <c r="H1370" s="19"/>
      <c r="I1370" s="19"/>
      <c r="J1370" s="19"/>
      <c r="K1370" s="19"/>
      <c r="L1370" s="19"/>
      <c r="M1370" s="19"/>
      <c r="N1370" s="19"/>
      <c r="O1370" s="19"/>
      <c r="P1370" s="19"/>
      <c r="Q1370" s="19"/>
      <c r="R1370" s="19"/>
      <c r="S1370" s="19"/>
      <c r="T1370" s="34" t="str">
        <f aca="false">IF($R1370="","",IFERROR(INDEX(DriverCategory,MATCH($R1370,DriverList,0)),"BAU"))</f>
        <v/>
      </c>
      <c r="U1370" s="34" t="str">
        <f aca="false">IF($R1370="","",IFERROR(INDEX(DriverRank,MATCH($R1370,DriverList,0)),99))</f>
        <v/>
      </c>
      <c r="V1370" s="35" t="n">
        <f aca="false">IF($H1370="",0,IFERROR(INDEX(LevelBasic,MATCH($H1370,LevelList,0))+INDEX(LevelHousing,MATCH($H1370,LevelList,0))+INDEX(LevelTransport,MATCH($H1370,LevelList,0))+INDEX(LevelBasic,MATCH($H1370,LevelList,0))*INDEX(LevelBonus,MATCH($H1370,LevelList,0))+(INDEX(LevelBasic,MATCH($H1370,LevelList,0))+INDEX(LevelHousing,MATCH($H1370,LevelList,0)))*GosiSaudi,0))</f>
        <v>0</v>
      </c>
      <c r="W1370" s="35" t="n">
        <f aca="false">IFERROR(INDEX(LevelOneOff,MATCH($H1370,LevelList,0)),0)</f>
        <v>0</v>
      </c>
      <c r="X1370" s="35" t="str">
        <f aca="false">IF($G1370="","",$V1370*N($L1370))</f>
        <v/>
      </c>
      <c r="Y1370" s="35" t="str">
        <f aca="false">IF($G1370="","",$V1370*(N($M1370)*1+N($N1370)*0.75+N($O1370)*0.5+N($P1370)*0.25)+$W1370*N($L1370))</f>
        <v/>
      </c>
      <c r="Z1370" s="35" t="str">
        <f aca="false">IF($G1370="","",$U1370*1000000+ROW())</f>
        <v/>
      </c>
      <c r="AA1370" s="36" t="str">
        <f aca="false">IF($G1370="","",MID(IF($C1370="",", no division","")&amp;IF($E1370="",", no unit","")&amp;IF($H1370="",", no career level","")&amp;IF(N($L1370)&lt;=0,", no quarter split","")&amp;IF($R1370="",", no driver","")&amp;IF(AND($H1370&lt;&gt;"",COUNTIF(CareerLevels,$H1370)=0),", a career level that is not on the ladder","")&amp;IF(AND($R1370&lt;&gt;"",COUNTIF(DriverList,$R1370)=0),", a driver that is not on the list","")&amp;IF(ABS(N($L1370)-(N($M1370)+N($N1370)+N($O1370)+N($P1370)))&gt;0.001,", a total that does not match its quarters",""),3,300))</f>
        <v/>
      </c>
    </row>
    <row r="1371" customFormat="false" ht="15" hidden="false" customHeight="false" outlineLevel="0" collapsed="false">
      <c r="A1371" s="33" t="str">
        <f aca="false">IF($G1371="","","Legal Group")</f>
        <v/>
      </c>
      <c r="B1371" s="19"/>
      <c r="C1371" s="19"/>
      <c r="D1371" s="19"/>
      <c r="E1371" s="19"/>
      <c r="F1371" s="19"/>
      <c r="G1371" s="19"/>
      <c r="H1371" s="19"/>
      <c r="I1371" s="19"/>
      <c r="J1371" s="19"/>
      <c r="K1371" s="19"/>
      <c r="L1371" s="19"/>
      <c r="M1371" s="19"/>
      <c r="N1371" s="19"/>
      <c r="O1371" s="19"/>
      <c r="P1371" s="19"/>
      <c r="Q1371" s="19"/>
      <c r="R1371" s="19"/>
      <c r="S1371" s="19"/>
      <c r="T1371" s="34" t="str">
        <f aca="false">IF($R1371="","",IFERROR(INDEX(DriverCategory,MATCH($R1371,DriverList,0)),"BAU"))</f>
        <v/>
      </c>
      <c r="U1371" s="34" t="str">
        <f aca="false">IF($R1371="","",IFERROR(INDEX(DriverRank,MATCH($R1371,DriverList,0)),99))</f>
        <v/>
      </c>
      <c r="V1371" s="35" t="n">
        <f aca="false">IF($H1371="",0,IFERROR(INDEX(LevelBasic,MATCH($H1371,LevelList,0))+INDEX(LevelHousing,MATCH($H1371,LevelList,0))+INDEX(LevelTransport,MATCH($H1371,LevelList,0))+INDEX(LevelBasic,MATCH($H1371,LevelList,0))*INDEX(LevelBonus,MATCH($H1371,LevelList,0))+(INDEX(LevelBasic,MATCH($H1371,LevelList,0))+INDEX(LevelHousing,MATCH($H1371,LevelList,0)))*GosiSaudi,0))</f>
        <v>0</v>
      </c>
      <c r="W1371" s="35" t="n">
        <f aca="false">IFERROR(INDEX(LevelOneOff,MATCH($H1371,LevelList,0)),0)</f>
        <v>0</v>
      </c>
      <c r="X1371" s="35" t="str">
        <f aca="false">IF($G1371="","",$V1371*N($L1371))</f>
        <v/>
      </c>
      <c r="Y1371" s="35" t="str">
        <f aca="false">IF($G1371="","",$V1371*(N($M1371)*1+N($N1371)*0.75+N($O1371)*0.5+N($P1371)*0.25)+$W1371*N($L1371))</f>
        <v/>
      </c>
      <c r="Z1371" s="35" t="str">
        <f aca="false">IF($G1371="","",$U1371*1000000+ROW())</f>
        <v/>
      </c>
      <c r="AA1371" s="36" t="str">
        <f aca="false">IF($G1371="","",MID(IF($C1371="",", no division","")&amp;IF($E1371="",", no unit","")&amp;IF($H1371="",", no career level","")&amp;IF(N($L1371)&lt;=0,", no quarter split","")&amp;IF($R1371="",", no driver","")&amp;IF(AND($H1371&lt;&gt;"",COUNTIF(CareerLevels,$H1371)=0),", a career level that is not on the ladder","")&amp;IF(AND($R1371&lt;&gt;"",COUNTIF(DriverList,$R1371)=0),", a driver that is not on the list","")&amp;IF(ABS(N($L1371)-(N($M1371)+N($N1371)+N($O1371)+N($P1371)))&gt;0.001,", a total that does not match its quarters",""),3,300))</f>
        <v/>
      </c>
    </row>
    <row r="1372" customFormat="false" ht="15" hidden="false" customHeight="false" outlineLevel="0" collapsed="false">
      <c r="A1372" s="33" t="str">
        <f aca="false">IF($G1372="","","Legal Group")</f>
        <v/>
      </c>
      <c r="B1372" s="19"/>
      <c r="C1372" s="19"/>
      <c r="D1372" s="19"/>
      <c r="E1372" s="19"/>
      <c r="F1372" s="19"/>
      <c r="G1372" s="19"/>
      <c r="H1372" s="19"/>
      <c r="I1372" s="19"/>
      <c r="J1372" s="19"/>
      <c r="K1372" s="19"/>
      <c r="L1372" s="19"/>
      <c r="M1372" s="19"/>
      <c r="N1372" s="19"/>
      <c r="O1372" s="19"/>
      <c r="P1372" s="19"/>
      <c r="Q1372" s="19"/>
      <c r="R1372" s="19"/>
      <c r="S1372" s="19"/>
      <c r="T1372" s="34" t="str">
        <f aca="false">IF($R1372="","",IFERROR(INDEX(DriverCategory,MATCH($R1372,DriverList,0)),"BAU"))</f>
        <v/>
      </c>
      <c r="U1372" s="34" t="str">
        <f aca="false">IF($R1372="","",IFERROR(INDEX(DriverRank,MATCH($R1372,DriverList,0)),99))</f>
        <v/>
      </c>
      <c r="V1372" s="35" t="n">
        <f aca="false">IF($H1372="",0,IFERROR(INDEX(LevelBasic,MATCH($H1372,LevelList,0))+INDEX(LevelHousing,MATCH($H1372,LevelList,0))+INDEX(LevelTransport,MATCH($H1372,LevelList,0))+INDEX(LevelBasic,MATCH($H1372,LevelList,0))*INDEX(LevelBonus,MATCH($H1372,LevelList,0))+(INDEX(LevelBasic,MATCH($H1372,LevelList,0))+INDEX(LevelHousing,MATCH($H1372,LevelList,0)))*GosiSaudi,0))</f>
        <v>0</v>
      </c>
      <c r="W1372" s="35" t="n">
        <f aca="false">IFERROR(INDEX(LevelOneOff,MATCH($H1372,LevelList,0)),0)</f>
        <v>0</v>
      </c>
      <c r="X1372" s="35" t="str">
        <f aca="false">IF($G1372="","",$V1372*N($L1372))</f>
        <v/>
      </c>
      <c r="Y1372" s="35" t="str">
        <f aca="false">IF($G1372="","",$V1372*(N($M1372)*1+N($N1372)*0.75+N($O1372)*0.5+N($P1372)*0.25)+$W1372*N($L1372))</f>
        <v/>
      </c>
      <c r="Z1372" s="35" t="str">
        <f aca="false">IF($G1372="","",$U1372*1000000+ROW())</f>
        <v/>
      </c>
      <c r="AA1372" s="36" t="str">
        <f aca="false">IF($G1372="","",MID(IF($C1372="",", no division","")&amp;IF($E1372="",", no unit","")&amp;IF($H1372="",", no career level","")&amp;IF(N($L1372)&lt;=0,", no quarter split","")&amp;IF($R1372="",", no driver","")&amp;IF(AND($H1372&lt;&gt;"",COUNTIF(CareerLevels,$H1372)=0),", a career level that is not on the ladder","")&amp;IF(AND($R1372&lt;&gt;"",COUNTIF(DriverList,$R1372)=0),", a driver that is not on the list","")&amp;IF(ABS(N($L1372)-(N($M1372)+N($N1372)+N($O1372)+N($P1372)))&gt;0.001,", a total that does not match its quarters",""),3,300))</f>
        <v/>
      </c>
    </row>
    <row r="1373" customFormat="false" ht="15" hidden="false" customHeight="false" outlineLevel="0" collapsed="false">
      <c r="A1373" s="33" t="str">
        <f aca="false">IF($G1373="","","Legal Group")</f>
        <v/>
      </c>
      <c r="B1373" s="19"/>
      <c r="C1373" s="19"/>
      <c r="D1373" s="19"/>
      <c r="E1373" s="19"/>
      <c r="F1373" s="19"/>
      <c r="G1373" s="19"/>
      <c r="H1373" s="19"/>
      <c r="I1373" s="19"/>
      <c r="J1373" s="19"/>
      <c r="K1373" s="19"/>
      <c r="L1373" s="19"/>
      <c r="M1373" s="19"/>
      <c r="N1373" s="19"/>
      <c r="O1373" s="19"/>
      <c r="P1373" s="19"/>
      <c r="Q1373" s="19"/>
      <c r="R1373" s="19"/>
      <c r="S1373" s="19"/>
      <c r="T1373" s="34" t="str">
        <f aca="false">IF($R1373="","",IFERROR(INDEX(DriverCategory,MATCH($R1373,DriverList,0)),"BAU"))</f>
        <v/>
      </c>
      <c r="U1373" s="34" t="str">
        <f aca="false">IF($R1373="","",IFERROR(INDEX(DriverRank,MATCH($R1373,DriverList,0)),99))</f>
        <v/>
      </c>
      <c r="V1373" s="35" t="n">
        <f aca="false">IF($H1373="",0,IFERROR(INDEX(LevelBasic,MATCH($H1373,LevelList,0))+INDEX(LevelHousing,MATCH($H1373,LevelList,0))+INDEX(LevelTransport,MATCH($H1373,LevelList,0))+INDEX(LevelBasic,MATCH($H1373,LevelList,0))*INDEX(LevelBonus,MATCH($H1373,LevelList,0))+(INDEX(LevelBasic,MATCH($H1373,LevelList,0))+INDEX(LevelHousing,MATCH($H1373,LevelList,0)))*GosiSaudi,0))</f>
        <v>0</v>
      </c>
      <c r="W1373" s="35" t="n">
        <f aca="false">IFERROR(INDEX(LevelOneOff,MATCH($H1373,LevelList,0)),0)</f>
        <v>0</v>
      </c>
      <c r="X1373" s="35" t="str">
        <f aca="false">IF($G1373="","",$V1373*N($L1373))</f>
        <v/>
      </c>
      <c r="Y1373" s="35" t="str">
        <f aca="false">IF($G1373="","",$V1373*(N($M1373)*1+N($N1373)*0.75+N($O1373)*0.5+N($P1373)*0.25)+$W1373*N($L1373))</f>
        <v/>
      </c>
      <c r="Z1373" s="35" t="str">
        <f aca="false">IF($G1373="","",$U1373*1000000+ROW())</f>
        <v/>
      </c>
      <c r="AA1373" s="36" t="str">
        <f aca="false">IF($G1373="","",MID(IF($C1373="",", no division","")&amp;IF($E1373="",", no unit","")&amp;IF($H1373="",", no career level","")&amp;IF(N($L1373)&lt;=0,", no quarter split","")&amp;IF($R1373="",", no driver","")&amp;IF(AND($H1373&lt;&gt;"",COUNTIF(CareerLevels,$H1373)=0),", a career level that is not on the ladder","")&amp;IF(AND($R1373&lt;&gt;"",COUNTIF(DriverList,$R1373)=0),", a driver that is not on the list","")&amp;IF(ABS(N($L1373)-(N($M1373)+N($N1373)+N($O1373)+N($P1373)))&gt;0.001,", a total that does not match its quarters",""),3,300))</f>
        <v/>
      </c>
    </row>
    <row r="1374" customFormat="false" ht="15" hidden="false" customHeight="false" outlineLevel="0" collapsed="false">
      <c r="A1374" s="33" t="str">
        <f aca="false">IF($G1374="","","Legal Group")</f>
        <v/>
      </c>
      <c r="B1374" s="19"/>
      <c r="C1374" s="19"/>
      <c r="D1374" s="19"/>
      <c r="E1374" s="19"/>
      <c r="F1374" s="19"/>
      <c r="G1374" s="19"/>
      <c r="H1374" s="19"/>
      <c r="I1374" s="19"/>
      <c r="J1374" s="19"/>
      <c r="K1374" s="19"/>
      <c r="L1374" s="19"/>
      <c r="M1374" s="19"/>
      <c r="N1374" s="19"/>
      <c r="O1374" s="19"/>
      <c r="P1374" s="19"/>
      <c r="Q1374" s="19"/>
      <c r="R1374" s="19"/>
      <c r="S1374" s="19"/>
      <c r="T1374" s="34" t="str">
        <f aca="false">IF($R1374="","",IFERROR(INDEX(DriverCategory,MATCH($R1374,DriverList,0)),"BAU"))</f>
        <v/>
      </c>
      <c r="U1374" s="34" t="str">
        <f aca="false">IF($R1374="","",IFERROR(INDEX(DriverRank,MATCH($R1374,DriverList,0)),99))</f>
        <v/>
      </c>
      <c r="V1374" s="35" t="n">
        <f aca="false">IF($H1374="",0,IFERROR(INDEX(LevelBasic,MATCH($H1374,LevelList,0))+INDEX(LevelHousing,MATCH($H1374,LevelList,0))+INDEX(LevelTransport,MATCH($H1374,LevelList,0))+INDEX(LevelBasic,MATCH($H1374,LevelList,0))*INDEX(LevelBonus,MATCH($H1374,LevelList,0))+(INDEX(LevelBasic,MATCH($H1374,LevelList,0))+INDEX(LevelHousing,MATCH($H1374,LevelList,0)))*GosiSaudi,0))</f>
        <v>0</v>
      </c>
      <c r="W1374" s="35" t="n">
        <f aca="false">IFERROR(INDEX(LevelOneOff,MATCH($H1374,LevelList,0)),0)</f>
        <v>0</v>
      </c>
      <c r="X1374" s="35" t="str">
        <f aca="false">IF($G1374="","",$V1374*N($L1374))</f>
        <v/>
      </c>
      <c r="Y1374" s="35" t="str">
        <f aca="false">IF($G1374="","",$V1374*(N($M1374)*1+N($N1374)*0.75+N($O1374)*0.5+N($P1374)*0.25)+$W1374*N($L1374))</f>
        <v/>
      </c>
      <c r="Z1374" s="35" t="str">
        <f aca="false">IF($G1374="","",$U1374*1000000+ROW())</f>
        <v/>
      </c>
      <c r="AA1374" s="36" t="str">
        <f aca="false">IF($G1374="","",MID(IF($C1374="",", no division","")&amp;IF($E1374="",", no unit","")&amp;IF($H1374="",", no career level","")&amp;IF(N($L1374)&lt;=0,", no quarter split","")&amp;IF($R1374="",", no driver","")&amp;IF(AND($H1374&lt;&gt;"",COUNTIF(CareerLevels,$H1374)=0),", a career level that is not on the ladder","")&amp;IF(AND($R1374&lt;&gt;"",COUNTIF(DriverList,$R1374)=0),", a driver that is not on the list","")&amp;IF(ABS(N($L1374)-(N($M1374)+N($N1374)+N($O1374)+N($P1374)))&gt;0.001,", a total that does not match its quarters",""),3,300))</f>
        <v/>
      </c>
    </row>
    <row r="1375" customFormat="false" ht="15" hidden="false" customHeight="false" outlineLevel="0" collapsed="false">
      <c r="A1375" s="33" t="str">
        <f aca="false">IF($G1375="","","Legal Group")</f>
        <v/>
      </c>
      <c r="B1375" s="19"/>
      <c r="C1375" s="19"/>
      <c r="D1375" s="19"/>
      <c r="E1375" s="19"/>
      <c r="F1375" s="19"/>
      <c r="G1375" s="19"/>
      <c r="H1375" s="19"/>
      <c r="I1375" s="19"/>
      <c r="J1375" s="19"/>
      <c r="K1375" s="19"/>
      <c r="L1375" s="19"/>
      <c r="M1375" s="19"/>
      <c r="N1375" s="19"/>
      <c r="O1375" s="19"/>
      <c r="P1375" s="19"/>
      <c r="Q1375" s="19"/>
      <c r="R1375" s="19"/>
      <c r="S1375" s="19"/>
      <c r="T1375" s="34" t="str">
        <f aca="false">IF($R1375="","",IFERROR(INDEX(DriverCategory,MATCH($R1375,DriverList,0)),"BAU"))</f>
        <v/>
      </c>
      <c r="U1375" s="34" t="str">
        <f aca="false">IF($R1375="","",IFERROR(INDEX(DriverRank,MATCH($R1375,DriverList,0)),99))</f>
        <v/>
      </c>
      <c r="V1375" s="35" t="n">
        <f aca="false">IF($H1375="",0,IFERROR(INDEX(LevelBasic,MATCH($H1375,LevelList,0))+INDEX(LevelHousing,MATCH($H1375,LevelList,0))+INDEX(LevelTransport,MATCH($H1375,LevelList,0))+INDEX(LevelBasic,MATCH($H1375,LevelList,0))*INDEX(LevelBonus,MATCH($H1375,LevelList,0))+(INDEX(LevelBasic,MATCH($H1375,LevelList,0))+INDEX(LevelHousing,MATCH($H1375,LevelList,0)))*GosiSaudi,0))</f>
        <v>0</v>
      </c>
      <c r="W1375" s="35" t="n">
        <f aca="false">IFERROR(INDEX(LevelOneOff,MATCH($H1375,LevelList,0)),0)</f>
        <v>0</v>
      </c>
      <c r="X1375" s="35" t="str">
        <f aca="false">IF($G1375="","",$V1375*N($L1375))</f>
        <v/>
      </c>
      <c r="Y1375" s="35" t="str">
        <f aca="false">IF($G1375="","",$V1375*(N($M1375)*1+N($N1375)*0.75+N($O1375)*0.5+N($P1375)*0.25)+$W1375*N($L1375))</f>
        <v/>
      </c>
      <c r="Z1375" s="35" t="str">
        <f aca="false">IF($G1375="","",$U1375*1000000+ROW())</f>
        <v/>
      </c>
      <c r="AA1375" s="36" t="str">
        <f aca="false">IF($G1375="","",MID(IF($C1375="",", no division","")&amp;IF($E1375="",", no unit","")&amp;IF($H1375="",", no career level","")&amp;IF(N($L1375)&lt;=0,", no quarter split","")&amp;IF($R1375="",", no driver","")&amp;IF(AND($H1375&lt;&gt;"",COUNTIF(CareerLevels,$H1375)=0),", a career level that is not on the ladder","")&amp;IF(AND($R1375&lt;&gt;"",COUNTIF(DriverList,$R1375)=0),", a driver that is not on the list","")&amp;IF(ABS(N($L1375)-(N($M1375)+N($N1375)+N($O1375)+N($P1375)))&gt;0.001,", a total that does not match its quarters",""),3,300))</f>
        <v/>
      </c>
    </row>
    <row r="1376" customFormat="false" ht="15" hidden="false" customHeight="false" outlineLevel="0" collapsed="false">
      <c r="A1376" s="33" t="str">
        <f aca="false">IF($G1376="","","Legal Group")</f>
        <v/>
      </c>
      <c r="B1376" s="19"/>
      <c r="C1376" s="19"/>
      <c r="D1376" s="19"/>
      <c r="E1376" s="19"/>
      <c r="F1376" s="19"/>
      <c r="G1376" s="19"/>
      <c r="H1376" s="19"/>
      <c r="I1376" s="19"/>
      <c r="J1376" s="19"/>
      <c r="K1376" s="19"/>
      <c r="L1376" s="19"/>
      <c r="M1376" s="19"/>
      <c r="N1376" s="19"/>
      <c r="O1376" s="19"/>
      <c r="P1376" s="19"/>
      <c r="Q1376" s="19"/>
      <c r="R1376" s="19"/>
      <c r="S1376" s="19"/>
      <c r="T1376" s="34" t="str">
        <f aca="false">IF($R1376="","",IFERROR(INDEX(DriverCategory,MATCH($R1376,DriverList,0)),"BAU"))</f>
        <v/>
      </c>
      <c r="U1376" s="34" t="str">
        <f aca="false">IF($R1376="","",IFERROR(INDEX(DriverRank,MATCH($R1376,DriverList,0)),99))</f>
        <v/>
      </c>
      <c r="V1376" s="35" t="n">
        <f aca="false">IF($H1376="",0,IFERROR(INDEX(LevelBasic,MATCH($H1376,LevelList,0))+INDEX(LevelHousing,MATCH($H1376,LevelList,0))+INDEX(LevelTransport,MATCH($H1376,LevelList,0))+INDEX(LevelBasic,MATCH($H1376,LevelList,0))*INDEX(LevelBonus,MATCH($H1376,LevelList,0))+(INDEX(LevelBasic,MATCH($H1376,LevelList,0))+INDEX(LevelHousing,MATCH($H1376,LevelList,0)))*GosiSaudi,0))</f>
        <v>0</v>
      </c>
      <c r="W1376" s="35" t="n">
        <f aca="false">IFERROR(INDEX(LevelOneOff,MATCH($H1376,LevelList,0)),0)</f>
        <v>0</v>
      </c>
      <c r="X1376" s="35" t="str">
        <f aca="false">IF($G1376="","",$V1376*N($L1376))</f>
        <v/>
      </c>
      <c r="Y1376" s="35" t="str">
        <f aca="false">IF($G1376="","",$V1376*(N($M1376)*1+N($N1376)*0.75+N($O1376)*0.5+N($P1376)*0.25)+$W1376*N($L1376))</f>
        <v/>
      </c>
      <c r="Z1376" s="35" t="str">
        <f aca="false">IF($G1376="","",$U1376*1000000+ROW())</f>
        <v/>
      </c>
      <c r="AA1376" s="36" t="str">
        <f aca="false">IF($G1376="","",MID(IF($C1376="",", no division","")&amp;IF($E1376="",", no unit","")&amp;IF($H1376="",", no career level","")&amp;IF(N($L1376)&lt;=0,", no quarter split","")&amp;IF($R1376="",", no driver","")&amp;IF(AND($H1376&lt;&gt;"",COUNTIF(CareerLevels,$H1376)=0),", a career level that is not on the ladder","")&amp;IF(AND($R1376&lt;&gt;"",COUNTIF(DriverList,$R1376)=0),", a driver that is not on the list","")&amp;IF(ABS(N($L1376)-(N($M1376)+N($N1376)+N($O1376)+N($P1376)))&gt;0.001,", a total that does not match its quarters",""),3,300))</f>
        <v/>
      </c>
    </row>
    <row r="1377" customFormat="false" ht="15" hidden="false" customHeight="false" outlineLevel="0" collapsed="false">
      <c r="A1377" s="33" t="str">
        <f aca="false">IF($G1377="","","Legal Group")</f>
        <v/>
      </c>
      <c r="B1377" s="19"/>
      <c r="C1377" s="19"/>
      <c r="D1377" s="19"/>
      <c r="E1377" s="19"/>
      <c r="F1377" s="19"/>
      <c r="G1377" s="19"/>
      <c r="H1377" s="19"/>
      <c r="I1377" s="19"/>
      <c r="J1377" s="19"/>
      <c r="K1377" s="19"/>
      <c r="L1377" s="19"/>
      <c r="M1377" s="19"/>
      <c r="N1377" s="19"/>
      <c r="O1377" s="19"/>
      <c r="P1377" s="19"/>
      <c r="Q1377" s="19"/>
      <c r="R1377" s="19"/>
      <c r="S1377" s="19"/>
      <c r="T1377" s="34" t="str">
        <f aca="false">IF($R1377="","",IFERROR(INDEX(DriverCategory,MATCH($R1377,DriverList,0)),"BAU"))</f>
        <v/>
      </c>
      <c r="U1377" s="34" t="str">
        <f aca="false">IF($R1377="","",IFERROR(INDEX(DriverRank,MATCH($R1377,DriverList,0)),99))</f>
        <v/>
      </c>
      <c r="V1377" s="35" t="n">
        <f aca="false">IF($H1377="",0,IFERROR(INDEX(LevelBasic,MATCH($H1377,LevelList,0))+INDEX(LevelHousing,MATCH($H1377,LevelList,0))+INDEX(LevelTransport,MATCH($H1377,LevelList,0))+INDEX(LevelBasic,MATCH($H1377,LevelList,0))*INDEX(LevelBonus,MATCH($H1377,LevelList,0))+(INDEX(LevelBasic,MATCH($H1377,LevelList,0))+INDEX(LevelHousing,MATCH($H1377,LevelList,0)))*GosiSaudi,0))</f>
        <v>0</v>
      </c>
      <c r="W1377" s="35" t="n">
        <f aca="false">IFERROR(INDEX(LevelOneOff,MATCH($H1377,LevelList,0)),0)</f>
        <v>0</v>
      </c>
      <c r="X1377" s="35" t="str">
        <f aca="false">IF($G1377="","",$V1377*N($L1377))</f>
        <v/>
      </c>
      <c r="Y1377" s="35" t="str">
        <f aca="false">IF($G1377="","",$V1377*(N($M1377)*1+N($N1377)*0.75+N($O1377)*0.5+N($P1377)*0.25)+$W1377*N($L1377))</f>
        <v/>
      </c>
      <c r="Z1377" s="35" t="str">
        <f aca="false">IF($G1377="","",$U1377*1000000+ROW())</f>
        <v/>
      </c>
      <c r="AA1377" s="36" t="str">
        <f aca="false">IF($G1377="","",MID(IF($C1377="",", no division","")&amp;IF($E1377="",", no unit","")&amp;IF($H1377="",", no career level","")&amp;IF(N($L1377)&lt;=0,", no quarter split","")&amp;IF($R1377="",", no driver","")&amp;IF(AND($H1377&lt;&gt;"",COUNTIF(CareerLevels,$H1377)=0),", a career level that is not on the ladder","")&amp;IF(AND($R1377&lt;&gt;"",COUNTIF(DriverList,$R1377)=0),", a driver that is not on the list","")&amp;IF(ABS(N($L1377)-(N($M1377)+N($N1377)+N($O1377)+N($P1377)))&gt;0.001,", a total that does not match its quarters",""),3,300))</f>
        <v/>
      </c>
    </row>
    <row r="1378" customFormat="false" ht="15" hidden="false" customHeight="false" outlineLevel="0" collapsed="false">
      <c r="A1378" s="33" t="str">
        <f aca="false">IF($G1378="","","Legal Group")</f>
        <v/>
      </c>
      <c r="B1378" s="19"/>
      <c r="C1378" s="19"/>
      <c r="D1378" s="19"/>
      <c r="E1378" s="19"/>
      <c r="F1378" s="19"/>
      <c r="G1378" s="19"/>
      <c r="H1378" s="19"/>
      <c r="I1378" s="19"/>
      <c r="J1378" s="19"/>
      <c r="K1378" s="19"/>
      <c r="L1378" s="19"/>
      <c r="M1378" s="19"/>
      <c r="N1378" s="19"/>
      <c r="O1378" s="19"/>
      <c r="P1378" s="19"/>
      <c r="Q1378" s="19"/>
      <c r="R1378" s="19"/>
      <c r="S1378" s="19"/>
      <c r="T1378" s="34" t="str">
        <f aca="false">IF($R1378="","",IFERROR(INDEX(DriverCategory,MATCH($R1378,DriverList,0)),"BAU"))</f>
        <v/>
      </c>
      <c r="U1378" s="34" t="str">
        <f aca="false">IF($R1378="","",IFERROR(INDEX(DriverRank,MATCH($R1378,DriverList,0)),99))</f>
        <v/>
      </c>
      <c r="V1378" s="35" t="n">
        <f aca="false">IF($H1378="",0,IFERROR(INDEX(LevelBasic,MATCH($H1378,LevelList,0))+INDEX(LevelHousing,MATCH($H1378,LevelList,0))+INDEX(LevelTransport,MATCH($H1378,LevelList,0))+INDEX(LevelBasic,MATCH($H1378,LevelList,0))*INDEX(LevelBonus,MATCH($H1378,LevelList,0))+(INDEX(LevelBasic,MATCH($H1378,LevelList,0))+INDEX(LevelHousing,MATCH($H1378,LevelList,0)))*GosiSaudi,0))</f>
        <v>0</v>
      </c>
      <c r="W1378" s="35" t="n">
        <f aca="false">IFERROR(INDEX(LevelOneOff,MATCH($H1378,LevelList,0)),0)</f>
        <v>0</v>
      </c>
      <c r="X1378" s="35" t="str">
        <f aca="false">IF($G1378="","",$V1378*N($L1378))</f>
        <v/>
      </c>
      <c r="Y1378" s="35" t="str">
        <f aca="false">IF($G1378="","",$V1378*(N($M1378)*1+N($N1378)*0.75+N($O1378)*0.5+N($P1378)*0.25)+$W1378*N($L1378))</f>
        <v/>
      </c>
      <c r="Z1378" s="35" t="str">
        <f aca="false">IF($G1378="","",$U1378*1000000+ROW())</f>
        <v/>
      </c>
      <c r="AA1378" s="36" t="str">
        <f aca="false">IF($G1378="","",MID(IF($C1378="",", no division","")&amp;IF($E1378="",", no unit","")&amp;IF($H1378="",", no career level","")&amp;IF(N($L1378)&lt;=0,", no quarter split","")&amp;IF($R1378="",", no driver","")&amp;IF(AND($H1378&lt;&gt;"",COUNTIF(CareerLevels,$H1378)=0),", a career level that is not on the ladder","")&amp;IF(AND($R1378&lt;&gt;"",COUNTIF(DriverList,$R1378)=0),", a driver that is not on the list","")&amp;IF(ABS(N($L1378)-(N($M1378)+N($N1378)+N($O1378)+N($P1378)))&gt;0.001,", a total that does not match its quarters",""),3,300))</f>
        <v/>
      </c>
    </row>
    <row r="1379" customFormat="false" ht="15" hidden="false" customHeight="false" outlineLevel="0" collapsed="false">
      <c r="A1379" s="33" t="str">
        <f aca="false">IF($G1379="","","Legal Group")</f>
        <v/>
      </c>
      <c r="B1379" s="19"/>
      <c r="C1379" s="19"/>
      <c r="D1379" s="19"/>
      <c r="E1379" s="19"/>
      <c r="F1379" s="19"/>
      <c r="G1379" s="19"/>
      <c r="H1379" s="19"/>
      <c r="I1379" s="19"/>
      <c r="J1379" s="19"/>
      <c r="K1379" s="19"/>
      <c r="L1379" s="19"/>
      <c r="M1379" s="19"/>
      <c r="N1379" s="19"/>
      <c r="O1379" s="19"/>
      <c r="P1379" s="19"/>
      <c r="Q1379" s="19"/>
      <c r="R1379" s="19"/>
      <c r="S1379" s="19"/>
      <c r="T1379" s="34" t="str">
        <f aca="false">IF($R1379="","",IFERROR(INDEX(DriverCategory,MATCH($R1379,DriverList,0)),"BAU"))</f>
        <v/>
      </c>
      <c r="U1379" s="34" t="str">
        <f aca="false">IF($R1379="","",IFERROR(INDEX(DriverRank,MATCH($R1379,DriverList,0)),99))</f>
        <v/>
      </c>
      <c r="V1379" s="35" t="n">
        <f aca="false">IF($H1379="",0,IFERROR(INDEX(LevelBasic,MATCH($H1379,LevelList,0))+INDEX(LevelHousing,MATCH($H1379,LevelList,0))+INDEX(LevelTransport,MATCH($H1379,LevelList,0))+INDEX(LevelBasic,MATCH($H1379,LevelList,0))*INDEX(LevelBonus,MATCH($H1379,LevelList,0))+(INDEX(LevelBasic,MATCH($H1379,LevelList,0))+INDEX(LevelHousing,MATCH($H1379,LevelList,0)))*GosiSaudi,0))</f>
        <v>0</v>
      </c>
      <c r="W1379" s="35" t="n">
        <f aca="false">IFERROR(INDEX(LevelOneOff,MATCH($H1379,LevelList,0)),0)</f>
        <v>0</v>
      </c>
      <c r="X1379" s="35" t="str">
        <f aca="false">IF($G1379="","",$V1379*N($L1379))</f>
        <v/>
      </c>
      <c r="Y1379" s="35" t="str">
        <f aca="false">IF($G1379="","",$V1379*(N($M1379)*1+N($N1379)*0.75+N($O1379)*0.5+N($P1379)*0.25)+$W1379*N($L1379))</f>
        <v/>
      </c>
      <c r="Z1379" s="35" t="str">
        <f aca="false">IF($G1379="","",$U1379*1000000+ROW())</f>
        <v/>
      </c>
      <c r="AA1379" s="36" t="str">
        <f aca="false">IF($G1379="","",MID(IF($C1379="",", no division","")&amp;IF($E1379="",", no unit","")&amp;IF($H1379="",", no career level","")&amp;IF(N($L1379)&lt;=0,", no quarter split","")&amp;IF($R1379="",", no driver","")&amp;IF(AND($H1379&lt;&gt;"",COUNTIF(CareerLevels,$H1379)=0),", a career level that is not on the ladder","")&amp;IF(AND($R1379&lt;&gt;"",COUNTIF(DriverList,$R1379)=0),", a driver that is not on the list","")&amp;IF(ABS(N($L1379)-(N($M1379)+N($N1379)+N($O1379)+N($P1379)))&gt;0.001,", a total that does not match its quarters",""),3,300))</f>
        <v/>
      </c>
    </row>
    <row r="1380" customFormat="false" ht="15" hidden="false" customHeight="false" outlineLevel="0" collapsed="false">
      <c r="A1380" s="33" t="str">
        <f aca="false">IF($G1380="","","Legal Group")</f>
        <v/>
      </c>
      <c r="B1380" s="19"/>
      <c r="C1380" s="19"/>
      <c r="D1380" s="19"/>
      <c r="E1380" s="19"/>
      <c r="F1380" s="19"/>
      <c r="G1380" s="19"/>
      <c r="H1380" s="19"/>
      <c r="I1380" s="19"/>
      <c r="J1380" s="19"/>
      <c r="K1380" s="19"/>
      <c r="L1380" s="19"/>
      <c r="M1380" s="19"/>
      <c r="N1380" s="19"/>
      <c r="O1380" s="19"/>
      <c r="P1380" s="19"/>
      <c r="Q1380" s="19"/>
      <c r="R1380" s="19"/>
      <c r="S1380" s="19"/>
      <c r="T1380" s="34" t="str">
        <f aca="false">IF($R1380="","",IFERROR(INDEX(DriverCategory,MATCH($R1380,DriverList,0)),"BAU"))</f>
        <v/>
      </c>
      <c r="U1380" s="34" t="str">
        <f aca="false">IF($R1380="","",IFERROR(INDEX(DriverRank,MATCH($R1380,DriverList,0)),99))</f>
        <v/>
      </c>
      <c r="V1380" s="35" t="n">
        <f aca="false">IF($H1380="",0,IFERROR(INDEX(LevelBasic,MATCH($H1380,LevelList,0))+INDEX(LevelHousing,MATCH($H1380,LevelList,0))+INDEX(LevelTransport,MATCH($H1380,LevelList,0))+INDEX(LevelBasic,MATCH($H1380,LevelList,0))*INDEX(LevelBonus,MATCH($H1380,LevelList,0))+(INDEX(LevelBasic,MATCH($H1380,LevelList,0))+INDEX(LevelHousing,MATCH($H1380,LevelList,0)))*GosiSaudi,0))</f>
        <v>0</v>
      </c>
      <c r="W1380" s="35" t="n">
        <f aca="false">IFERROR(INDEX(LevelOneOff,MATCH($H1380,LevelList,0)),0)</f>
        <v>0</v>
      </c>
      <c r="X1380" s="35" t="str">
        <f aca="false">IF($G1380="","",$V1380*N($L1380))</f>
        <v/>
      </c>
      <c r="Y1380" s="35" t="str">
        <f aca="false">IF($G1380="","",$V1380*(N($M1380)*1+N($N1380)*0.75+N($O1380)*0.5+N($P1380)*0.25)+$W1380*N($L1380))</f>
        <v/>
      </c>
      <c r="Z1380" s="35" t="str">
        <f aca="false">IF($G1380="","",$U1380*1000000+ROW())</f>
        <v/>
      </c>
      <c r="AA1380" s="36" t="str">
        <f aca="false">IF($G1380="","",MID(IF($C1380="",", no division","")&amp;IF($E1380="",", no unit","")&amp;IF($H1380="",", no career level","")&amp;IF(N($L1380)&lt;=0,", no quarter split","")&amp;IF($R1380="",", no driver","")&amp;IF(AND($H1380&lt;&gt;"",COUNTIF(CareerLevels,$H1380)=0),", a career level that is not on the ladder","")&amp;IF(AND($R1380&lt;&gt;"",COUNTIF(DriverList,$R1380)=0),", a driver that is not on the list","")&amp;IF(ABS(N($L1380)-(N($M1380)+N($N1380)+N($O1380)+N($P1380)))&gt;0.001,", a total that does not match its quarters",""),3,300))</f>
        <v/>
      </c>
    </row>
    <row r="1381" customFormat="false" ht="15" hidden="false" customHeight="false" outlineLevel="0" collapsed="false">
      <c r="A1381" s="33" t="str">
        <f aca="false">IF($G1381="","","Legal Group")</f>
        <v/>
      </c>
      <c r="B1381" s="19"/>
      <c r="C1381" s="19"/>
      <c r="D1381" s="19"/>
      <c r="E1381" s="19"/>
      <c r="F1381" s="19"/>
      <c r="G1381" s="19"/>
      <c r="H1381" s="19"/>
      <c r="I1381" s="19"/>
      <c r="J1381" s="19"/>
      <c r="K1381" s="19"/>
      <c r="L1381" s="19"/>
      <c r="M1381" s="19"/>
      <c r="N1381" s="19"/>
      <c r="O1381" s="19"/>
      <c r="P1381" s="19"/>
      <c r="Q1381" s="19"/>
      <c r="R1381" s="19"/>
      <c r="S1381" s="19"/>
      <c r="T1381" s="34" t="str">
        <f aca="false">IF($R1381="","",IFERROR(INDEX(DriverCategory,MATCH($R1381,DriverList,0)),"BAU"))</f>
        <v/>
      </c>
      <c r="U1381" s="34" t="str">
        <f aca="false">IF($R1381="","",IFERROR(INDEX(DriverRank,MATCH($R1381,DriverList,0)),99))</f>
        <v/>
      </c>
      <c r="V1381" s="35" t="n">
        <f aca="false">IF($H1381="",0,IFERROR(INDEX(LevelBasic,MATCH($H1381,LevelList,0))+INDEX(LevelHousing,MATCH($H1381,LevelList,0))+INDEX(LevelTransport,MATCH($H1381,LevelList,0))+INDEX(LevelBasic,MATCH($H1381,LevelList,0))*INDEX(LevelBonus,MATCH($H1381,LevelList,0))+(INDEX(LevelBasic,MATCH($H1381,LevelList,0))+INDEX(LevelHousing,MATCH($H1381,LevelList,0)))*GosiSaudi,0))</f>
        <v>0</v>
      </c>
      <c r="W1381" s="35" t="n">
        <f aca="false">IFERROR(INDEX(LevelOneOff,MATCH($H1381,LevelList,0)),0)</f>
        <v>0</v>
      </c>
      <c r="X1381" s="35" t="str">
        <f aca="false">IF($G1381="","",$V1381*N($L1381))</f>
        <v/>
      </c>
      <c r="Y1381" s="35" t="str">
        <f aca="false">IF($G1381="","",$V1381*(N($M1381)*1+N($N1381)*0.75+N($O1381)*0.5+N($P1381)*0.25)+$W1381*N($L1381))</f>
        <v/>
      </c>
      <c r="Z1381" s="35" t="str">
        <f aca="false">IF($G1381="","",$U1381*1000000+ROW())</f>
        <v/>
      </c>
      <c r="AA1381" s="36" t="str">
        <f aca="false">IF($G1381="","",MID(IF($C1381="",", no division","")&amp;IF($E1381="",", no unit","")&amp;IF($H1381="",", no career level","")&amp;IF(N($L1381)&lt;=0,", no quarter split","")&amp;IF($R1381="",", no driver","")&amp;IF(AND($H1381&lt;&gt;"",COUNTIF(CareerLevels,$H1381)=0),", a career level that is not on the ladder","")&amp;IF(AND($R1381&lt;&gt;"",COUNTIF(DriverList,$R1381)=0),", a driver that is not on the list","")&amp;IF(ABS(N($L1381)-(N($M1381)+N($N1381)+N($O1381)+N($P1381)))&gt;0.001,", a total that does not match its quarters",""),3,300))</f>
        <v/>
      </c>
    </row>
    <row r="1382" customFormat="false" ht="15" hidden="false" customHeight="false" outlineLevel="0" collapsed="false">
      <c r="A1382" s="33" t="str">
        <f aca="false">IF($G1382="","","Legal Group")</f>
        <v/>
      </c>
      <c r="B1382" s="19"/>
      <c r="C1382" s="19"/>
      <c r="D1382" s="19"/>
      <c r="E1382" s="19"/>
      <c r="F1382" s="19"/>
      <c r="G1382" s="19"/>
      <c r="H1382" s="19"/>
      <c r="I1382" s="19"/>
      <c r="J1382" s="19"/>
      <c r="K1382" s="19"/>
      <c r="L1382" s="19"/>
      <c r="M1382" s="19"/>
      <c r="N1382" s="19"/>
      <c r="O1382" s="19"/>
      <c r="P1382" s="19"/>
      <c r="Q1382" s="19"/>
      <c r="R1382" s="19"/>
      <c r="S1382" s="19"/>
      <c r="T1382" s="34" t="str">
        <f aca="false">IF($R1382="","",IFERROR(INDEX(DriverCategory,MATCH($R1382,DriverList,0)),"BAU"))</f>
        <v/>
      </c>
      <c r="U1382" s="34" t="str">
        <f aca="false">IF($R1382="","",IFERROR(INDEX(DriverRank,MATCH($R1382,DriverList,0)),99))</f>
        <v/>
      </c>
      <c r="V1382" s="35" t="n">
        <f aca="false">IF($H1382="",0,IFERROR(INDEX(LevelBasic,MATCH($H1382,LevelList,0))+INDEX(LevelHousing,MATCH($H1382,LevelList,0))+INDEX(LevelTransport,MATCH($H1382,LevelList,0))+INDEX(LevelBasic,MATCH($H1382,LevelList,0))*INDEX(LevelBonus,MATCH($H1382,LevelList,0))+(INDEX(LevelBasic,MATCH($H1382,LevelList,0))+INDEX(LevelHousing,MATCH($H1382,LevelList,0)))*GosiSaudi,0))</f>
        <v>0</v>
      </c>
      <c r="W1382" s="35" t="n">
        <f aca="false">IFERROR(INDEX(LevelOneOff,MATCH($H1382,LevelList,0)),0)</f>
        <v>0</v>
      </c>
      <c r="X1382" s="35" t="str">
        <f aca="false">IF($G1382="","",$V1382*N($L1382))</f>
        <v/>
      </c>
      <c r="Y1382" s="35" t="str">
        <f aca="false">IF($G1382="","",$V1382*(N($M1382)*1+N($N1382)*0.75+N($O1382)*0.5+N($P1382)*0.25)+$W1382*N($L1382))</f>
        <v/>
      </c>
      <c r="Z1382" s="35" t="str">
        <f aca="false">IF($G1382="","",$U1382*1000000+ROW())</f>
        <v/>
      </c>
      <c r="AA1382" s="36" t="str">
        <f aca="false">IF($G1382="","",MID(IF($C1382="",", no division","")&amp;IF($E1382="",", no unit","")&amp;IF($H1382="",", no career level","")&amp;IF(N($L1382)&lt;=0,", no quarter split","")&amp;IF($R1382="",", no driver","")&amp;IF(AND($H1382&lt;&gt;"",COUNTIF(CareerLevels,$H1382)=0),", a career level that is not on the ladder","")&amp;IF(AND($R1382&lt;&gt;"",COUNTIF(DriverList,$R1382)=0),", a driver that is not on the list","")&amp;IF(ABS(N($L1382)-(N($M1382)+N($N1382)+N($O1382)+N($P1382)))&gt;0.001,", a total that does not match its quarters",""),3,300))</f>
        <v/>
      </c>
    </row>
    <row r="1383" customFormat="false" ht="15" hidden="false" customHeight="false" outlineLevel="0" collapsed="false">
      <c r="A1383" s="33" t="str">
        <f aca="false">IF($G1383="","","Legal Group")</f>
        <v/>
      </c>
      <c r="B1383" s="19"/>
      <c r="C1383" s="19"/>
      <c r="D1383" s="19"/>
      <c r="E1383" s="19"/>
      <c r="F1383" s="19"/>
      <c r="G1383" s="19"/>
      <c r="H1383" s="19"/>
      <c r="I1383" s="19"/>
      <c r="J1383" s="19"/>
      <c r="K1383" s="19"/>
      <c r="L1383" s="19"/>
      <c r="M1383" s="19"/>
      <c r="N1383" s="19"/>
      <c r="O1383" s="19"/>
      <c r="P1383" s="19"/>
      <c r="Q1383" s="19"/>
      <c r="R1383" s="19"/>
      <c r="S1383" s="19"/>
      <c r="T1383" s="34" t="str">
        <f aca="false">IF($R1383="","",IFERROR(INDEX(DriverCategory,MATCH($R1383,DriverList,0)),"BAU"))</f>
        <v/>
      </c>
      <c r="U1383" s="34" t="str">
        <f aca="false">IF($R1383="","",IFERROR(INDEX(DriverRank,MATCH($R1383,DriverList,0)),99))</f>
        <v/>
      </c>
      <c r="V1383" s="35" t="n">
        <f aca="false">IF($H1383="",0,IFERROR(INDEX(LevelBasic,MATCH($H1383,LevelList,0))+INDEX(LevelHousing,MATCH($H1383,LevelList,0))+INDEX(LevelTransport,MATCH($H1383,LevelList,0))+INDEX(LevelBasic,MATCH($H1383,LevelList,0))*INDEX(LevelBonus,MATCH($H1383,LevelList,0))+(INDEX(LevelBasic,MATCH($H1383,LevelList,0))+INDEX(LevelHousing,MATCH($H1383,LevelList,0)))*GosiSaudi,0))</f>
        <v>0</v>
      </c>
      <c r="W1383" s="35" t="n">
        <f aca="false">IFERROR(INDEX(LevelOneOff,MATCH($H1383,LevelList,0)),0)</f>
        <v>0</v>
      </c>
      <c r="X1383" s="35" t="str">
        <f aca="false">IF($G1383="","",$V1383*N($L1383))</f>
        <v/>
      </c>
      <c r="Y1383" s="35" t="str">
        <f aca="false">IF($G1383="","",$V1383*(N($M1383)*1+N($N1383)*0.75+N($O1383)*0.5+N($P1383)*0.25)+$W1383*N($L1383))</f>
        <v/>
      </c>
      <c r="Z1383" s="35" t="str">
        <f aca="false">IF($G1383="","",$U1383*1000000+ROW())</f>
        <v/>
      </c>
      <c r="AA1383" s="36" t="str">
        <f aca="false">IF($G1383="","",MID(IF($C1383="",", no division","")&amp;IF($E1383="",", no unit","")&amp;IF($H1383="",", no career level","")&amp;IF(N($L1383)&lt;=0,", no quarter split","")&amp;IF($R1383="",", no driver","")&amp;IF(AND($H1383&lt;&gt;"",COUNTIF(CareerLevels,$H1383)=0),", a career level that is not on the ladder","")&amp;IF(AND($R1383&lt;&gt;"",COUNTIF(DriverList,$R1383)=0),", a driver that is not on the list","")&amp;IF(ABS(N($L1383)-(N($M1383)+N($N1383)+N($O1383)+N($P1383)))&gt;0.001,", a total that does not match its quarters",""),3,300))</f>
        <v/>
      </c>
    </row>
    <row r="1384" customFormat="false" ht="15" hidden="false" customHeight="false" outlineLevel="0" collapsed="false">
      <c r="A1384" s="33" t="str">
        <f aca="false">IF($G1384="","","Legal Group")</f>
        <v/>
      </c>
      <c r="B1384" s="19"/>
      <c r="C1384" s="19"/>
      <c r="D1384" s="19"/>
      <c r="E1384" s="19"/>
      <c r="F1384" s="19"/>
      <c r="G1384" s="19"/>
      <c r="H1384" s="19"/>
      <c r="I1384" s="19"/>
      <c r="J1384" s="19"/>
      <c r="K1384" s="19"/>
      <c r="L1384" s="19"/>
      <c r="M1384" s="19"/>
      <c r="N1384" s="19"/>
      <c r="O1384" s="19"/>
      <c r="P1384" s="19"/>
      <c r="Q1384" s="19"/>
      <c r="R1384" s="19"/>
      <c r="S1384" s="19"/>
      <c r="T1384" s="34" t="str">
        <f aca="false">IF($R1384="","",IFERROR(INDEX(DriverCategory,MATCH($R1384,DriverList,0)),"BAU"))</f>
        <v/>
      </c>
      <c r="U1384" s="34" t="str">
        <f aca="false">IF($R1384="","",IFERROR(INDEX(DriverRank,MATCH($R1384,DriverList,0)),99))</f>
        <v/>
      </c>
      <c r="V1384" s="35" t="n">
        <f aca="false">IF($H1384="",0,IFERROR(INDEX(LevelBasic,MATCH($H1384,LevelList,0))+INDEX(LevelHousing,MATCH($H1384,LevelList,0))+INDEX(LevelTransport,MATCH($H1384,LevelList,0))+INDEX(LevelBasic,MATCH($H1384,LevelList,0))*INDEX(LevelBonus,MATCH($H1384,LevelList,0))+(INDEX(LevelBasic,MATCH($H1384,LevelList,0))+INDEX(LevelHousing,MATCH($H1384,LevelList,0)))*GosiSaudi,0))</f>
        <v>0</v>
      </c>
      <c r="W1384" s="35" t="n">
        <f aca="false">IFERROR(INDEX(LevelOneOff,MATCH($H1384,LevelList,0)),0)</f>
        <v>0</v>
      </c>
      <c r="X1384" s="35" t="str">
        <f aca="false">IF($G1384="","",$V1384*N($L1384))</f>
        <v/>
      </c>
      <c r="Y1384" s="35" t="str">
        <f aca="false">IF($G1384="","",$V1384*(N($M1384)*1+N($N1384)*0.75+N($O1384)*0.5+N($P1384)*0.25)+$W1384*N($L1384))</f>
        <v/>
      </c>
      <c r="Z1384" s="35" t="str">
        <f aca="false">IF($G1384="","",$U1384*1000000+ROW())</f>
        <v/>
      </c>
      <c r="AA1384" s="36" t="str">
        <f aca="false">IF($G1384="","",MID(IF($C1384="",", no division","")&amp;IF($E1384="",", no unit","")&amp;IF($H1384="",", no career level","")&amp;IF(N($L1384)&lt;=0,", no quarter split","")&amp;IF($R1384="",", no driver","")&amp;IF(AND($H1384&lt;&gt;"",COUNTIF(CareerLevels,$H1384)=0),", a career level that is not on the ladder","")&amp;IF(AND($R1384&lt;&gt;"",COUNTIF(DriverList,$R1384)=0),", a driver that is not on the list","")&amp;IF(ABS(N($L1384)-(N($M1384)+N($N1384)+N($O1384)+N($P1384)))&gt;0.001,", a total that does not match its quarters",""),3,300))</f>
        <v/>
      </c>
    </row>
    <row r="1385" customFormat="false" ht="15" hidden="false" customHeight="false" outlineLevel="0" collapsed="false">
      <c r="A1385" s="33" t="str">
        <f aca="false">IF($G1385="","","Legal Group")</f>
        <v/>
      </c>
      <c r="B1385" s="19"/>
      <c r="C1385" s="19"/>
      <c r="D1385" s="19"/>
      <c r="E1385" s="19"/>
      <c r="F1385" s="19"/>
      <c r="G1385" s="19"/>
      <c r="H1385" s="19"/>
      <c r="I1385" s="19"/>
      <c r="J1385" s="19"/>
      <c r="K1385" s="19"/>
      <c r="L1385" s="19"/>
      <c r="M1385" s="19"/>
      <c r="N1385" s="19"/>
      <c r="O1385" s="19"/>
      <c r="P1385" s="19"/>
      <c r="Q1385" s="19"/>
      <c r="R1385" s="19"/>
      <c r="S1385" s="19"/>
      <c r="T1385" s="34" t="str">
        <f aca="false">IF($R1385="","",IFERROR(INDEX(DriverCategory,MATCH($R1385,DriverList,0)),"BAU"))</f>
        <v/>
      </c>
      <c r="U1385" s="34" t="str">
        <f aca="false">IF($R1385="","",IFERROR(INDEX(DriverRank,MATCH($R1385,DriverList,0)),99))</f>
        <v/>
      </c>
      <c r="V1385" s="35" t="n">
        <f aca="false">IF($H1385="",0,IFERROR(INDEX(LevelBasic,MATCH($H1385,LevelList,0))+INDEX(LevelHousing,MATCH($H1385,LevelList,0))+INDEX(LevelTransport,MATCH($H1385,LevelList,0))+INDEX(LevelBasic,MATCH($H1385,LevelList,0))*INDEX(LevelBonus,MATCH($H1385,LevelList,0))+(INDEX(LevelBasic,MATCH($H1385,LevelList,0))+INDEX(LevelHousing,MATCH($H1385,LevelList,0)))*GosiSaudi,0))</f>
        <v>0</v>
      </c>
      <c r="W1385" s="35" t="n">
        <f aca="false">IFERROR(INDEX(LevelOneOff,MATCH($H1385,LevelList,0)),0)</f>
        <v>0</v>
      </c>
      <c r="X1385" s="35" t="str">
        <f aca="false">IF($G1385="","",$V1385*N($L1385))</f>
        <v/>
      </c>
      <c r="Y1385" s="35" t="str">
        <f aca="false">IF($G1385="","",$V1385*(N($M1385)*1+N($N1385)*0.75+N($O1385)*0.5+N($P1385)*0.25)+$W1385*N($L1385))</f>
        <v/>
      </c>
      <c r="Z1385" s="35" t="str">
        <f aca="false">IF($G1385="","",$U1385*1000000+ROW())</f>
        <v/>
      </c>
      <c r="AA1385" s="36" t="str">
        <f aca="false">IF($G1385="","",MID(IF($C1385="",", no division","")&amp;IF($E1385="",", no unit","")&amp;IF($H1385="",", no career level","")&amp;IF(N($L1385)&lt;=0,", no quarter split","")&amp;IF($R1385="",", no driver","")&amp;IF(AND($H1385&lt;&gt;"",COUNTIF(CareerLevels,$H1385)=0),", a career level that is not on the ladder","")&amp;IF(AND($R1385&lt;&gt;"",COUNTIF(DriverList,$R1385)=0),", a driver that is not on the list","")&amp;IF(ABS(N($L1385)-(N($M1385)+N($N1385)+N($O1385)+N($P1385)))&gt;0.001,", a total that does not match its quarters",""),3,300))</f>
        <v/>
      </c>
    </row>
    <row r="1386" customFormat="false" ht="15" hidden="false" customHeight="false" outlineLevel="0" collapsed="false">
      <c r="A1386" s="33" t="str">
        <f aca="false">IF($G1386="","","Legal Group")</f>
        <v/>
      </c>
      <c r="B1386" s="19"/>
      <c r="C1386" s="19"/>
      <c r="D1386" s="19"/>
      <c r="E1386" s="19"/>
      <c r="F1386" s="19"/>
      <c r="G1386" s="19"/>
      <c r="H1386" s="19"/>
      <c r="I1386" s="19"/>
      <c r="J1386" s="19"/>
      <c r="K1386" s="19"/>
      <c r="L1386" s="19"/>
      <c r="M1386" s="19"/>
      <c r="N1386" s="19"/>
      <c r="O1386" s="19"/>
      <c r="P1386" s="19"/>
      <c r="Q1386" s="19"/>
      <c r="R1386" s="19"/>
      <c r="S1386" s="19"/>
      <c r="T1386" s="34" t="str">
        <f aca="false">IF($R1386="","",IFERROR(INDEX(DriverCategory,MATCH($R1386,DriverList,0)),"BAU"))</f>
        <v/>
      </c>
      <c r="U1386" s="34" t="str">
        <f aca="false">IF($R1386="","",IFERROR(INDEX(DriverRank,MATCH($R1386,DriverList,0)),99))</f>
        <v/>
      </c>
      <c r="V1386" s="35" t="n">
        <f aca="false">IF($H1386="",0,IFERROR(INDEX(LevelBasic,MATCH($H1386,LevelList,0))+INDEX(LevelHousing,MATCH($H1386,LevelList,0))+INDEX(LevelTransport,MATCH($H1386,LevelList,0))+INDEX(LevelBasic,MATCH($H1386,LevelList,0))*INDEX(LevelBonus,MATCH($H1386,LevelList,0))+(INDEX(LevelBasic,MATCH($H1386,LevelList,0))+INDEX(LevelHousing,MATCH($H1386,LevelList,0)))*GosiSaudi,0))</f>
        <v>0</v>
      </c>
      <c r="W1386" s="35" t="n">
        <f aca="false">IFERROR(INDEX(LevelOneOff,MATCH($H1386,LevelList,0)),0)</f>
        <v>0</v>
      </c>
      <c r="X1386" s="35" t="str">
        <f aca="false">IF($G1386="","",$V1386*N($L1386))</f>
        <v/>
      </c>
      <c r="Y1386" s="35" t="str">
        <f aca="false">IF($G1386="","",$V1386*(N($M1386)*1+N($N1386)*0.75+N($O1386)*0.5+N($P1386)*0.25)+$W1386*N($L1386))</f>
        <v/>
      </c>
      <c r="Z1386" s="35" t="str">
        <f aca="false">IF($G1386="","",$U1386*1000000+ROW())</f>
        <v/>
      </c>
      <c r="AA1386" s="36" t="str">
        <f aca="false">IF($G1386="","",MID(IF($C1386="",", no division","")&amp;IF($E1386="",", no unit","")&amp;IF($H1386="",", no career level","")&amp;IF(N($L1386)&lt;=0,", no quarter split","")&amp;IF($R1386="",", no driver","")&amp;IF(AND($H1386&lt;&gt;"",COUNTIF(CareerLevels,$H1386)=0),", a career level that is not on the ladder","")&amp;IF(AND($R1386&lt;&gt;"",COUNTIF(DriverList,$R1386)=0),", a driver that is not on the list","")&amp;IF(ABS(N($L1386)-(N($M1386)+N($N1386)+N($O1386)+N($P1386)))&gt;0.001,", a total that does not match its quarters",""),3,300))</f>
        <v/>
      </c>
    </row>
    <row r="1387" customFormat="false" ht="15" hidden="false" customHeight="false" outlineLevel="0" collapsed="false">
      <c r="A1387" s="33" t="str">
        <f aca="false">IF($G1387="","","Legal Group")</f>
        <v/>
      </c>
      <c r="B1387" s="19"/>
      <c r="C1387" s="19"/>
      <c r="D1387" s="19"/>
      <c r="E1387" s="19"/>
      <c r="F1387" s="19"/>
      <c r="G1387" s="19"/>
      <c r="H1387" s="19"/>
      <c r="I1387" s="19"/>
      <c r="J1387" s="19"/>
      <c r="K1387" s="19"/>
      <c r="L1387" s="19"/>
      <c r="M1387" s="19"/>
      <c r="N1387" s="19"/>
      <c r="O1387" s="19"/>
      <c r="P1387" s="19"/>
      <c r="Q1387" s="19"/>
      <c r="R1387" s="19"/>
      <c r="S1387" s="19"/>
      <c r="T1387" s="34" t="str">
        <f aca="false">IF($R1387="","",IFERROR(INDEX(DriverCategory,MATCH($R1387,DriverList,0)),"BAU"))</f>
        <v/>
      </c>
      <c r="U1387" s="34" t="str">
        <f aca="false">IF($R1387="","",IFERROR(INDEX(DriverRank,MATCH($R1387,DriverList,0)),99))</f>
        <v/>
      </c>
      <c r="V1387" s="35" t="n">
        <f aca="false">IF($H1387="",0,IFERROR(INDEX(LevelBasic,MATCH($H1387,LevelList,0))+INDEX(LevelHousing,MATCH($H1387,LevelList,0))+INDEX(LevelTransport,MATCH($H1387,LevelList,0))+INDEX(LevelBasic,MATCH($H1387,LevelList,0))*INDEX(LevelBonus,MATCH($H1387,LevelList,0))+(INDEX(LevelBasic,MATCH($H1387,LevelList,0))+INDEX(LevelHousing,MATCH($H1387,LevelList,0)))*GosiSaudi,0))</f>
        <v>0</v>
      </c>
      <c r="W1387" s="35" t="n">
        <f aca="false">IFERROR(INDEX(LevelOneOff,MATCH($H1387,LevelList,0)),0)</f>
        <v>0</v>
      </c>
      <c r="X1387" s="35" t="str">
        <f aca="false">IF($G1387="","",$V1387*N($L1387))</f>
        <v/>
      </c>
      <c r="Y1387" s="35" t="str">
        <f aca="false">IF($G1387="","",$V1387*(N($M1387)*1+N($N1387)*0.75+N($O1387)*0.5+N($P1387)*0.25)+$W1387*N($L1387))</f>
        <v/>
      </c>
      <c r="Z1387" s="35" t="str">
        <f aca="false">IF($G1387="","",$U1387*1000000+ROW())</f>
        <v/>
      </c>
      <c r="AA1387" s="36" t="str">
        <f aca="false">IF($G1387="","",MID(IF($C1387="",", no division","")&amp;IF($E1387="",", no unit","")&amp;IF($H1387="",", no career level","")&amp;IF(N($L1387)&lt;=0,", no quarter split","")&amp;IF($R1387="",", no driver","")&amp;IF(AND($H1387&lt;&gt;"",COUNTIF(CareerLevels,$H1387)=0),", a career level that is not on the ladder","")&amp;IF(AND($R1387&lt;&gt;"",COUNTIF(DriverList,$R1387)=0),", a driver that is not on the list","")&amp;IF(ABS(N($L1387)-(N($M1387)+N($N1387)+N($O1387)+N($P1387)))&gt;0.001,", a total that does not match its quarters",""),3,300))</f>
        <v/>
      </c>
    </row>
    <row r="1388" customFormat="false" ht="15" hidden="false" customHeight="false" outlineLevel="0" collapsed="false">
      <c r="A1388" s="33" t="str">
        <f aca="false">IF($G1388="","","Legal Group")</f>
        <v/>
      </c>
      <c r="B1388" s="19"/>
      <c r="C1388" s="19"/>
      <c r="D1388" s="19"/>
      <c r="E1388" s="19"/>
      <c r="F1388" s="19"/>
      <c r="G1388" s="19"/>
      <c r="H1388" s="19"/>
      <c r="I1388" s="19"/>
      <c r="J1388" s="19"/>
      <c r="K1388" s="19"/>
      <c r="L1388" s="19"/>
      <c r="M1388" s="19"/>
      <c r="N1388" s="19"/>
      <c r="O1388" s="19"/>
      <c r="P1388" s="19"/>
      <c r="Q1388" s="19"/>
      <c r="R1388" s="19"/>
      <c r="S1388" s="19"/>
      <c r="T1388" s="34" t="str">
        <f aca="false">IF($R1388="","",IFERROR(INDEX(DriverCategory,MATCH($R1388,DriverList,0)),"BAU"))</f>
        <v/>
      </c>
      <c r="U1388" s="34" t="str">
        <f aca="false">IF($R1388="","",IFERROR(INDEX(DriverRank,MATCH($R1388,DriverList,0)),99))</f>
        <v/>
      </c>
      <c r="V1388" s="35" t="n">
        <f aca="false">IF($H1388="",0,IFERROR(INDEX(LevelBasic,MATCH($H1388,LevelList,0))+INDEX(LevelHousing,MATCH($H1388,LevelList,0))+INDEX(LevelTransport,MATCH($H1388,LevelList,0))+INDEX(LevelBasic,MATCH($H1388,LevelList,0))*INDEX(LevelBonus,MATCH($H1388,LevelList,0))+(INDEX(LevelBasic,MATCH($H1388,LevelList,0))+INDEX(LevelHousing,MATCH($H1388,LevelList,0)))*GosiSaudi,0))</f>
        <v>0</v>
      </c>
      <c r="W1388" s="35" t="n">
        <f aca="false">IFERROR(INDEX(LevelOneOff,MATCH($H1388,LevelList,0)),0)</f>
        <v>0</v>
      </c>
      <c r="X1388" s="35" t="str">
        <f aca="false">IF($G1388="","",$V1388*N($L1388))</f>
        <v/>
      </c>
      <c r="Y1388" s="35" t="str">
        <f aca="false">IF($G1388="","",$V1388*(N($M1388)*1+N($N1388)*0.75+N($O1388)*0.5+N($P1388)*0.25)+$W1388*N($L1388))</f>
        <v/>
      </c>
      <c r="Z1388" s="35" t="str">
        <f aca="false">IF($G1388="","",$U1388*1000000+ROW())</f>
        <v/>
      </c>
      <c r="AA1388" s="36" t="str">
        <f aca="false">IF($G1388="","",MID(IF($C1388="",", no division","")&amp;IF($E1388="",", no unit","")&amp;IF($H1388="",", no career level","")&amp;IF(N($L1388)&lt;=0,", no quarter split","")&amp;IF($R1388="",", no driver","")&amp;IF(AND($H1388&lt;&gt;"",COUNTIF(CareerLevels,$H1388)=0),", a career level that is not on the ladder","")&amp;IF(AND($R1388&lt;&gt;"",COUNTIF(DriverList,$R1388)=0),", a driver that is not on the list","")&amp;IF(ABS(N($L1388)-(N($M1388)+N($N1388)+N($O1388)+N($P1388)))&gt;0.001,", a total that does not match its quarters",""),3,300))</f>
        <v/>
      </c>
    </row>
    <row r="1389" customFormat="false" ht="15" hidden="false" customHeight="false" outlineLevel="0" collapsed="false">
      <c r="A1389" s="33" t="str">
        <f aca="false">IF($G1389="","","Legal Group")</f>
        <v/>
      </c>
      <c r="B1389" s="19"/>
      <c r="C1389" s="19"/>
      <c r="D1389" s="19"/>
      <c r="E1389" s="19"/>
      <c r="F1389" s="19"/>
      <c r="G1389" s="19"/>
      <c r="H1389" s="19"/>
      <c r="I1389" s="19"/>
      <c r="J1389" s="19"/>
      <c r="K1389" s="19"/>
      <c r="L1389" s="19"/>
      <c r="M1389" s="19"/>
      <c r="N1389" s="19"/>
      <c r="O1389" s="19"/>
      <c r="P1389" s="19"/>
      <c r="Q1389" s="19"/>
      <c r="R1389" s="19"/>
      <c r="S1389" s="19"/>
      <c r="T1389" s="34" t="str">
        <f aca="false">IF($R1389="","",IFERROR(INDEX(DriverCategory,MATCH($R1389,DriverList,0)),"BAU"))</f>
        <v/>
      </c>
      <c r="U1389" s="34" t="str">
        <f aca="false">IF($R1389="","",IFERROR(INDEX(DriverRank,MATCH($R1389,DriverList,0)),99))</f>
        <v/>
      </c>
      <c r="V1389" s="35" t="n">
        <f aca="false">IF($H1389="",0,IFERROR(INDEX(LevelBasic,MATCH($H1389,LevelList,0))+INDEX(LevelHousing,MATCH($H1389,LevelList,0))+INDEX(LevelTransport,MATCH($H1389,LevelList,0))+INDEX(LevelBasic,MATCH($H1389,LevelList,0))*INDEX(LevelBonus,MATCH($H1389,LevelList,0))+(INDEX(LevelBasic,MATCH($H1389,LevelList,0))+INDEX(LevelHousing,MATCH($H1389,LevelList,0)))*GosiSaudi,0))</f>
        <v>0</v>
      </c>
      <c r="W1389" s="35" t="n">
        <f aca="false">IFERROR(INDEX(LevelOneOff,MATCH($H1389,LevelList,0)),0)</f>
        <v>0</v>
      </c>
      <c r="X1389" s="35" t="str">
        <f aca="false">IF($G1389="","",$V1389*N($L1389))</f>
        <v/>
      </c>
      <c r="Y1389" s="35" t="str">
        <f aca="false">IF($G1389="","",$V1389*(N($M1389)*1+N($N1389)*0.75+N($O1389)*0.5+N($P1389)*0.25)+$W1389*N($L1389))</f>
        <v/>
      </c>
      <c r="Z1389" s="35" t="str">
        <f aca="false">IF($G1389="","",$U1389*1000000+ROW())</f>
        <v/>
      </c>
      <c r="AA1389" s="36" t="str">
        <f aca="false">IF($G1389="","",MID(IF($C1389="",", no division","")&amp;IF($E1389="",", no unit","")&amp;IF($H1389="",", no career level","")&amp;IF(N($L1389)&lt;=0,", no quarter split","")&amp;IF($R1389="",", no driver","")&amp;IF(AND($H1389&lt;&gt;"",COUNTIF(CareerLevels,$H1389)=0),", a career level that is not on the ladder","")&amp;IF(AND($R1389&lt;&gt;"",COUNTIF(DriverList,$R1389)=0),", a driver that is not on the list","")&amp;IF(ABS(N($L1389)-(N($M1389)+N($N1389)+N($O1389)+N($P1389)))&gt;0.001,", a total that does not match its quarters",""),3,300))</f>
        <v/>
      </c>
    </row>
    <row r="1390" customFormat="false" ht="15" hidden="false" customHeight="false" outlineLevel="0" collapsed="false">
      <c r="A1390" s="33" t="str">
        <f aca="false">IF($G1390="","","Legal Group")</f>
        <v/>
      </c>
      <c r="B1390" s="19"/>
      <c r="C1390" s="19"/>
      <c r="D1390" s="19"/>
      <c r="E1390" s="19"/>
      <c r="F1390" s="19"/>
      <c r="G1390" s="19"/>
      <c r="H1390" s="19"/>
      <c r="I1390" s="19"/>
      <c r="J1390" s="19"/>
      <c r="K1390" s="19"/>
      <c r="L1390" s="19"/>
      <c r="M1390" s="19"/>
      <c r="N1390" s="19"/>
      <c r="O1390" s="19"/>
      <c r="P1390" s="19"/>
      <c r="Q1390" s="19"/>
      <c r="R1390" s="19"/>
      <c r="S1390" s="19"/>
      <c r="T1390" s="34" t="str">
        <f aca="false">IF($R1390="","",IFERROR(INDEX(DriverCategory,MATCH($R1390,DriverList,0)),"BAU"))</f>
        <v/>
      </c>
      <c r="U1390" s="34" t="str">
        <f aca="false">IF($R1390="","",IFERROR(INDEX(DriverRank,MATCH($R1390,DriverList,0)),99))</f>
        <v/>
      </c>
      <c r="V1390" s="35" t="n">
        <f aca="false">IF($H1390="",0,IFERROR(INDEX(LevelBasic,MATCH($H1390,LevelList,0))+INDEX(LevelHousing,MATCH($H1390,LevelList,0))+INDEX(LevelTransport,MATCH($H1390,LevelList,0))+INDEX(LevelBasic,MATCH($H1390,LevelList,0))*INDEX(LevelBonus,MATCH($H1390,LevelList,0))+(INDEX(LevelBasic,MATCH($H1390,LevelList,0))+INDEX(LevelHousing,MATCH($H1390,LevelList,0)))*GosiSaudi,0))</f>
        <v>0</v>
      </c>
      <c r="W1390" s="35" t="n">
        <f aca="false">IFERROR(INDEX(LevelOneOff,MATCH($H1390,LevelList,0)),0)</f>
        <v>0</v>
      </c>
      <c r="X1390" s="35" t="str">
        <f aca="false">IF($G1390="","",$V1390*N($L1390))</f>
        <v/>
      </c>
      <c r="Y1390" s="35" t="str">
        <f aca="false">IF($G1390="","",$V1390*(N($M1390)*1+N($N1390)*0.75+N($O1390)*0.5+N($P1390)*0.25)+$W1390*N($L1390))</f>
        <v/>
      </c>
      <c r="Z1390" s="35" t="str">
        <f aca="false">IF($G1390="","",$U1390*1000000+ROW())</f>
        <v/>
      </c>
      <c r="AA1390" s="36" t="str">
        <f aca="false">IF($G1390="","",MID(IF($C1390="",", no division","")&amp;IF($E1390="",", no unit","")&amp;IF($H1390="",", no career level","")&amp;IF(N($L1390)&lt;=0,", no quarter split","")&amp;IF($R1390="",", no driver","")&amp;IF(AND($H1390&lt;&gt;"",COUNTIF(CareerLevels,$H1390)=0),", a career level that is not on the ladder","")&amp;IF(AND($R1390&lt;&gt;"",COUNTIF(DriverList,$R1390)=0),", a driver that is not on the list","")&amp;IF(ABS(N($L1390)-(N($M1390)+N($N1390)+N($O1390)+N($P1390)))&gt;0.001,", a total that does not match its quarters",""),3,300))</f>
        <v/>
      </c>
    </row>
    <row r="1391" customFormat="false" ht="15" hidden="false" customHeight="false" outlineLevel="0" collapsed="false">
      <c r="A1391" s="33" t="str">
        <f aca="false">IF($G1391="","","Legal Group")</f>
        <v/>
      </c>
      <c r="B1391" s="19"/>
      <c r="C1391" s="19"/>
      <c r="D1391" s="19"/>
      <c r="E1391" s="19"/>
      <c r="F1391" s="19"/>
      <c r="G1391" s="19"/>
      <c r="H1391" s="19"/>
      <c r="I1391" s="19"/>
      <c r="J1391" s="19"/>
      <c r="K1391" s="19"/>
      <c r="L1391" s="19"/>
      <c r="M1391" s="19"/>
      <c r="N1391" s="19"/>
      <c r="O1391" s="19"/>
      <c r="P1391" s="19"/>
      <c r="Q1391" s="19"/>
      <c r="R1391" s="19"/>
      <c r="S1391" s="19"/>
      <c r="T1391" s="34" t="str">
        <f aca="false">IF($R1391="","",IFERROR(INDEX(DriverCategory,MATCH($R1391,DriverList,0)),"BAU"))</f>
        <v/>
      </c>
      <c r="U1391" s="34" t="str">
        <f aca="false">IF($R1391="","",IFERROR(INDEX(DriverRank,MATCH($R1391,DriverList,0)),99))</f>
        <v/>
      </c>
      <c r="V1391" s="35" t="n">
        <f aca="false">IF($H1391="",0,IFERROR(INDEX(LevelBasic,MATCH($H1391,LevelList,0))+INDEX(LevelHousing,MATCH($H1391,LevelList,0))+INDEX(LevelTransport,MATCH($H1391,LevelList,0))+INDEX(LevelBasic,MATCH($H1391,LevelList,0))*INDEX(LevelBonus,MATCH($H1391,LevelList,0))+(INDEX(LevelBasic,MATCH($H1391,LevelList,0))+INDEX(LevelHousing,MATCH($H1391,LevelList,0)))*GosiSaudi,0))</f>
        <v>0</v>
      </c>
      <c r="W1391" s="35" t="n">
        <f aca="false">IFERROR(INDEX(LevelOneOff,MATCH($H1391,LevelList,0)),0)</f>
        <v>0</v>
      </c>
      <c r="X1391" s="35" t="str">
        <f aca="false">IF($G1391="","",$V1391*N($L1391))</f>
        <v/>
      </c>
      <c r="Y1391" s="35" t="str">
        <f aca="false">IF($G1391="","",$V1391*(N($M1391)*1+N($N1391)*0.75+N($O1391)*0.5+N($P1391)*0.25)+$W1391*N($L1391))</f>
        <v/>
      </c>
      <c r="Z1391" s="35" t="str">
        <f aca="false">IF($G1391="","",$U1391*1000000+ROW())</f>
        <v/>
      </c>
      <c r="AA1391" s="36" t="str">
        <f aca="false">IF($G1391="","",MID(IF($C1391="",", no division","")&amp;IF($E1391="",", no unit","")&amp;IF($H1391="",", no career level","")&amp;IF(N($L1391)&lt;=0,", no quarter split","")&amp;IF($R1391="",", no driver","")&amp;IF(AND($H1391&lt;&gt;"",COUNTIF(CareerLevels,$H1391)=0),", a career level that is not on the ladder","")&amp;IF(AND($R1391&lt;&gt;"",COUNTIF(DriverList,$R1391)=0),", a driver that is not on the list","")&amp;IF(ABS(N($L1391)-(N($M1391)+N($N1391)+N($O1391)+N($P1391)))&gt;0.001,", a total that does not match its quarters",""),3,300))</f>
        <v/>
      </c>
    </row>
    <row r="1392" customFormat="false" ht="15" hidden="false" customHeight="false" outlineLevel="0" collapsed="false">
      <c r="A1392" s="33" t="str">
        <f aca="false">IF($G1392="","","Legal Group")</f>
        <v/>
      </c>
      <c r="B1392" s="19"/>
      <c r="C1392" s="19"/>
      <c r="D1392" s="19"/>
      <c r="E1392" s="19"/>
      <c r="F1392" s="19"/>
      <c r="G1392" s="19"/>
      <c r="H1392" s="19"/>
      <c r="I1392" s="19"/>
      <c r="J1392" s="19"/>
      <c r="K1392" s="19"/>
      <c r="L1392" s="19"/>
      <c r="M1392" s="19"/>
      <c r="N1392" s="19"/>
      <c r="O1392" s="19"/>
      <c r="P1392" s="19"/>
      <c r="Q1392" s="19"/>
      <c r="R1392" s="19"/>
      <c r="S1392" s="19"/>
      <c r="T1392" s="34" t="str">
        <f aca="false">IF($R1392="","",IFERROR(INDEX(DriverCategory,MATCH($R1392,DriverList,0)),"BAU"))</f>
        <v/>
      </c>
      <c r="U1392" s="34" t="str">
        <f aca="false">IF($R1392="","",IFERROR(INDEX(DriverRank,MATCH($R1392,DriverList,0)),99))</f>
        <v/>
      </c>
      <c r="V1392" s="35" t="n">
        <f aca="false">IF($H1392="",0,IFERROR(INDEX(LevelBasic,MATCH($H1392,LevelList,0))+INDEX(LevelHousing,MATCH($H1392,LevelList,0))+INDEX(LevelTransport,MATCH($H1392,LevelList,0))+INDEX(LevelBasic,MATCH($H1392,LevelList,0))*INDEX(LevelBonus,MATCH($H1392,LevelList,0))+(INDEX(LevelBasic,MATCH($H1392,LevelList,0))+INDEX(LevelHousing,MATCH($H1392,LevelList,0)))*GosiSaudi,0))</f>
        <v>0</v>
      </c>
      <c r="W1392" s="35" t="n">
        <f aca="false">IFERROR(INDEX(LevelOneOff,MATCH($H1392,LevelList,0)),0)</f>
        <v>0</v>
      </c>
      <c r="X1392" s="35" t="str">
        <f aca="false">IF($G1392="","",$V1392*N($L1392))</f>
        <v/>
      </c>
      <c r="Y1392" s="35" t="str">
        <f aca="false">IF($G1392="","",$V1392*(N($M1392)*1+N($N1392)*0.75+N($O1392)*0.5+N($P1392)*0.25)+$W1392*N($L1392))</f>
        <v/>
      </c>
      <c r="Z1392" s="35" t="str">
        <f aca="false">IF($G1392="","",$U1392*1000000+ROW())</f>
        <v/>
      </c>
      <c r="AA1392" s="36" t="str">
        <f aca="false">IF($G1392="","",MID(IF($C1392="",", no division","")&amp;IF($E1392="",", no unit","")&amp;IF($H1392="",", no career level","")&amp;IF(N($L1392)&lt;=0,", no quarter split","")&amp;IF($R1392="",", no driver","")&amp;IF(AND($H1392&lt;&gt;"",COUNTIF(CareerLevels,$H1392)=0),", a career level that is not on the ladder","")&amp;IF(AND($R1392&lt;&gt;"",COUNTIF(DriverList,$R1392)=0),", a driver that is not on the list","")&amp;IF(ABS(N($L1392)-(N($M1392)+N($N1392)+N($O1392)+N($P1392)))&gt;0.001,", a total that does not match its quarters",""),3,300))</f>
        <v/>
      </c>
    </row>
    <row r="1393" customFormat="false" ht="15" hidden="false" customHeight="false" outlineLevel="0" collapsed="false">
      <c r="A1393" s="33" t="str">
        <f aca="false">IF($G1393="","","Legal Group")</f>
        <v/>
      </c>
      <c r="B1393" s="19"/>
      <c r="C1393" s="19"/>
      <c r="D1393" s="19"/>
      <c r="E1393" s="19"/>
      <c r="F1393" s="19"/>
      <c r="G1393" s="19"/>
      <c r="H1393" s="19"/>
      <c r="I1393" s="19"/>
      <c r="J1393" s="19"/>
      <c r="K1393" s="19"/>
      <c r="L1393" s="19"/>
      <c r="M1393" s="19"/>
      <c r="N1393" s="19"/>
      <c r="O1393" s="19"/>
      <c r="P1393" s="19"/>
      <c r="Q1393" s="19"/>
      <c r="R1393" s="19"/>
      <c r="S1393" s="19"/>
      <c r="T1393" s="34" t="str">
        <f aca="false">IF($R1393="","",IFERROR(INDEX(DriverCategory,MATCH($R1393,DriverList,0)),"BAU"))</f>
        <v/>
      </c>
      <c r="U1393" s="34" t="str">
        <f aca="false">IF($R1393="","",IFERROR(INDEX(DriverRank,MATCH($R1393,DriverList,0)),99))</f>
        <v/>
      </c>
      <c r="V1393" s="35" t="n">
        <f aca="false">IF($H1393="",0,IFERROR(INDEX(LevelBasic,MATCH($H1393,LevelList,0))+INDEX(LevelHousing,MATCH($H1393,LevelList,0))+INDEX(LevelTransport,MATCH($H1393,LevelList,0))+INDEX(LevelBasic,MATCH($H1393,LevelList,0))*INDEX(LevelBonus,MATCH($H1393,LevelList,0))+(INDEX(LevelBasic,MATCH($H1393,LevelList,0))+INDEX(LevelHousing,MATCH($H1393,LevelList,0)))*GosiSaudi,0))</f>
        <v>0</v>
      </c>
      <c r="W1393" s="35" t="n">
        <f aca="false">IFERROR(INDEX(LevelOneOff,MATCH($H1393,LevelList,0)),0)</f>
        <v>0</v>
      </c>
      <c r="X1393" s="35" t="str">
        <f aca="false">IF($G1393="","",$V1393*N($L1393))</f>
        <v/>
      </c>
      <c r="Y1393" s="35" t="str">
        <f aca="false">IF($G1393="","",$V1393*(N($M1393)*1+N($N1393)*0.75+N($O1393)*0.5+N($P1393)*0.25)+$W1393*N($L1393))</f>
        <v/>
      </c>
      <c r="Z1393" s="35" t="str">
        <f aca="false">IF($G1393="","",$U1393*1000000+ROW())</f>
        <v/>
      </c>
      <c r="AA1393" s="36" t="str">
        <f aca="false">IF($G1393="","",MID(IF($C1393="",", no division","")&amp;IF($E1393="",", no unit","")&amp;IF($H1393="",", no career level","")&amp;IF(N($L1393)&lt;=0,", no quarter split","")&amp;IF($R1393="",", no driver","")&amp;IF(AND($H1393&lt;&gt;"",COUNTIF(CareerLevels,$H1393)=0),", a career level that is not on the ladder","")&amp;IF(AND($R1393&lt;&gt;"",COUNTIF(DriverList,$R1393)=0),", a driver that is not on the list","")&amp;IF(ABS(N($L1393)-(N($M1393)+N($N1393)+N($O1393)+N($P1393)))&gt;0.001,", a total that does not match its quarters",""),3,300))</f>
        <v/>
      </c>
    </row>
    <row r="1394" customFormat="false" ht="15" hidden="false" customHeight="false" outlineLevel="0" collapsed="false">
      <c r="A1394" s="33" t="str">
        <f aca="false">IF($G1394="","","Legal Group")</f>
        <v/>
      </c>
      <c r="B1394" s="19"/>
      <c r="C1394" s="19"/>
      <c r="D1394" s="19"/>
      <c r="E1394" s="19"/>
      <c r="F1394" s="19"/>
      <c r="G1394" s="19"/>
      <c r="H1394" s="19"/>
      <c r="I1394" s="19"/>
      <c r="J1394" s="19"/>
      <c r="K1394" s="19"/>
      <c r="L1394" s="19"/>
      <c r="M1394" s="19"/>
      <c r="N1394" s="19"/>
      <c r="O1394" s="19"/>
      <c r="P1394" s="19"/>
      <c r="Q1394" s="19"/>
      <c r="R1394" s="19"/>
      <c r="S1394" s="19"/>
      <c r="T1394" s="34" t="str">
        <f aca="false">IF($R1394="","",IFERROR(INDEX(DriverCategory,MATCH($R1394,DriverList,0)),"BAU"))</f>
        <v/>
      </c>
      <c r="U1394" s="34" t="str">
        <f aca="false">IF($R1394="","",IFERROR(INDEX(DriverRank,MATCH($R1394,DriverList,0)),99))</f>
        <v/>
      </c>
      <c r="V1394" s="35" t="n">
        <f aca="false">IF($H1394="",0,IFERROR(INDEX(LevelBasic,MATCH($H1394,LevelList,0))+INDEX(LevelHousing,MATCH($H1394,LevelList,0))+INDEX(LevelTransport,MATCH($H1394,LevelList,0))+INDEX(LevelBasic,MATCH($H1394,LevelList,0))*INDEX(LevelBonus,MATCH($H1394,LevelList,0))+(INDEX(LevelBasic,MATCH($H1394,LevelList,0))+INDEX(LevelHousing,MATCH($H1394,LevelList,0)))*GosiSaudi,0))</f>
        <v>0</v>
      </c>
      <c r="W1394" s="35" t="n">
        <f aca="false">IFERROR(INDEX(LevelOneOff,MATCH($H1394,LevelList,0)),0)</f>
        <v>0</v>
      </c>
      <c r="X1394" s="35" t="str">
        <f aca="false">IF($G1394="","",$V1394*N($L1394))</f>
        <v/>
      </c>
      <c r="Y1394" s="35" t="str">
        <f aca="false">IF($G1394="","",$V1394*(N($M1394)*1+N($N1394)*0.75+N($O1394)*0.5+N($P1394)*0.25)+$W1394*N($L1394))</f>
        <v/>
      </c>
      <c r="Z1394" s="35" t="str">
        <f aca="false">IF($G1394="","",$U1394*1000000+ROW())</f>
        <v/>
      </c>
      <c r="AA1394" s="36" t="str">
        <f aca="false">IF($G1394="","",MID(IF($C1394="",", no division","")&amp;IF($E1394="",", no unit","")&amp;IF($H1394="",", no career level","")&amp;IF(N($L1394)&lt;=0,", no quarter split","")&amp;IF($R1394="",", no driver","")&amp;IF(AND($H1394&lt;&gt;"",COUNTIF(CareerLevels,$H1394)=0),", a career level that is not on the ladder","")&amp;IF(AND($R1394&lt;&gt;"",COUNTIF(DriverList,$R1394)=0),", a driver that is not on the list","")&amp;IF(ABS(N($L1394)-(N($M1394)+N($N1394)+N($O1394)+N($P1394)))&gt;0.001,", a total that does not match its quarters",""),3,300))</f>
        <v/>
      </c>
    </row>
    <row r="1395" customFormat="false" ht="15" hidden="false" customHeight="false" outlineLevel="0" collapsed="false">
      <c r="A1395" s="33" t="str">
        <f aca="false">IF($G1395="","","Legal Group")</f>
        <v/>
      </c>
      <c r="B1395" s="19"/>
      <c r="C1395" s="19"/>
      <c r="D1395" s="19"/>
      <c r="E1395" s="19"/>
      <c r="F1395" s="19"/>
      <c r="G1395" s="19"/>
      <c r="H1395" s="19"/>
      <c r="I1395" s="19"/>
      <c r="J1395" s="19"/>
      <c r="K1395" s="19"/>
      <c r="L1395" s="19"/>
      <c r="M1395" s="19"/>
      <c r="N1395" s="19"/>
      <c r="O1395" s="19"/>
      <c r="P1395" s="19"/>
      <c r="Q1395" s="19"/>
      <c r="R1395" s="19"/>
      <c r="S1395" s="19"/>
      <c r="T1395" s="34" t="str">
        <f aca="false">IF($R1395="","",IFERROR(INDEX(DriverCategory,MATCH($R1395,DriverList,0)),"BAU"))</f>
        <v/>
      </c>
      <c r="U1395" s="34" t="str">
        <f aca="false">IF($R1395="","",IFERROR(INDEX(DriverRank,MATCH($R1395,DriverList,0)),99))</f>
        <v/>
      </c>
      <c r="V1395" s="35" t="n">
        <f aca="false">IF($H1395="",0,IFERROR(INDEX(LevelBasic,MATCH($H1395,LevelList,0))+INDEX(LevelHousing,MATCH($H1395,LevelList,0))+INDEX(LevelTransport,MATCH($H1395,LevelList,0))+INDEX(LevelBasic,MATCH($H1395,LevelList,0))*INDEX(LevelBonus,MATCH($H1395,LevelList,0))+(INDEX(LevelBasic,MATCH($H1395,LevelList,0))+INDEX(LevelHousing,MATCH($H1395,LevelList,0)))*GosiSaudi,0))</f>
        <v>0</v>
      </c>
      <c r="W1395" s="35" t="n">
        <f aca="false">IFERROR(INDEX(LevelOneOff,MATCH($H1395,LevelList,0)),0)</f>
        <v>0</v>
      </c>
      <c r="X1395" s="35" t="str">
        <f aca="false">IF($G1395="","",$V1395*N($L1395))</f>
        <v/>
      </c>
      <c r="Y1395" s="35" t="str">
        <f aca="false">IF($G1395="","",$V1395*(N($M1395)*1+N($N1395)*0.75+N($O1395)*0.5+N($P1395)*0.25)+$W1395*N($L1395))</f>
        <v/>
      </c>
      <c r="Z1395" s="35" t="str">
        <f aca="false">IF($G1395="","",$U1395*1000000+ROW())</f>
        <v/>
      </c>
      <c r="AA1395" s="36" t="str">
        <f aca="false">IF($G1395="","",MID(IF($C1395="",", no division","")&amp;IF($E1395="",", no unit","")&amp;IF($H1395="",", no career level","")&amp;IF(N($L1395)&lt;=0,", no quarter split","")&amp;IF($R1395="",", no driver","")&amp;IF(AND($H1395&lt;&gt;"",COUNTIF(CareerLevels,$H1395)=0),", a career level that is not on the ladder","")&amp;IF(AND($R1395&lt;&gt;"",COUNTIF(DriverList,$R1395)=0),", a driver that is not on the list","")&amp;IF(ABS(N($L1395)-(N($M1395)+N($N1395)+N($O1395)+N($P1395)))&gt;0.001,", a total that does not match its quarters",""),3,300))</f>
        <v/>
      </c>
    </row>
    <row r="1396" customFormat="false" ht="15" hidden="false" customHeight="false" outlineLevel="0" collapsed="false">
      <c r="A1396" s="33" t="str">
        <f aca="false">IF($G1396="","","Legal Group")</f>
        <v/>
      </c>
      <c r="B1396" s="19"/>
      <c r="C1396" s="19"/>
      <c r="D1396" s="19"/>
      <c r="E1396" s="19"/>
      <c r="F1396" s="19"/>
      <c r="G1396" s="19"/>
      <c r="H1396" s="19"/>
      <c r="I1396" s="19"/>
      <c r="J1396" s="19"/>
      <c r="K1396" s="19"/>
      <c r="L1396" s="19"/>
      <c r="M1396" s="19"/>
      <c r="N1396" s="19"/>
      <c r="O1396" s="19"/>
      <c r="P1396" s="19"/>
      <c r="Q1396" s="19"/>
      <c r="R1396" s="19"/>
      <c r="S1396" s="19"/>
      <c r="T1396" s="34" t="str">
        <f aca="false">IF($R1396="","",IFERROR(INDEX(DriverCategory,MATCH($R1396,DriverList,0)),"BAU"))</f>
        <v/>
      </c>
      <c r="U1396" s="34" t="str">
        <f aca="false">IF($R1396="","",IFERROR(INDEX(DriverRank,MATCH($R1396,DriverList,0)),99))</f>
        <v/>
      </c>
      <c r="V1396" s="35" t="n">
        <f aca="false">IF($H1396="",0,IFERROR(INDEX(LevelBasic,MATCH($H1396,LevelList,0))+INDEX(LevelHousing,MATCH($H1396,LevelList,0))+INDEX(LevelTransport,MATCH($H1396,LevelList,0))+INDEX(LevelBasic,MATCH($H1396,LevelList,0))*INDEX(LevelBonus,MATCH($H1396,LevelList,0))+(INDEX(LevelBasic,MATCH($H1396,LevelList,0))+INDEX(LevelHousing,MATCH($H1396,LevelList,0)))*GosiSaudi,0))</f>
        <v>0</v>
      </c>
      <c r="W1396" s="35" t="n">
        <f aca="false">IFERROR(INDEX(LevelOneOff,MATCH($H1396,LevelList,0)),0)</f>
        <v>0</v>
      </c>
      <c r="X1396" s="35" t="str">
        <f aca="false">IF($G1396="","",$V1396*N($L1396))</f>
        <v/>
      </c>
      <c r="Y1396" s="35" t="str">
        <f aca="false">IF($G1396="","",$V1396*(N($M1396)*1+N($N1396)*0.75+N($O1396)*0.5+N($P1396)*0.25)+$W1396*N($L1396))</f>
        <v/>
      </c>
      <c r="Z1396" s="35" t="str">
        <f aca="false">IF($G1396="","",$U1396*1000000+ROW())</f>
        <v/>
      </c>
      <c r="AA1396" s="36" t="str">
        <f aca="false">IF($G1396="","",MID(IF($C1396="",", no division","")&amp;IF($E1396="",", no unit","")&amp;IF($H1396="",", no career level","")&amp;IF(N($L1396)&lt;=0,", no quarter split","")&amp;IF($R1396="",", no driver","")&amp;IF(AND($H1396&lt;&gt;"",COUNTIF(CareerLevels,$H1396)=0),", a career level that is not on the ladder","")&amp;IF(AND($R1396&lt;&gt;"",COUNTIF(DriverList,$R1396)=0),", a driver that is not on the list","")&amp;IF(ABS(N($L1396)-(N($M1396)+N($N1396)+N($O1396)+N($P1396)))&gt;0.001,", a total that does not match its quarters",""),3,300))</f>
        <v/>
      </c>
    </row>
    <row r="1397" customFormat="false" ht="15" hidden="false" customHeight="false" outlineLevel="0" collapsed="false">
      <c r="A1397" s="33" t="str">
        <f aca="false">IF($G1397="","","Legal Group")</f>
        <v/>
      </c>
      <c r="B1397" s="19"/>
      <c r="C1397" s="19"/>
      <c r="D1397" s="19"/>
      <c r="E1397" s="19"/>
      <c r="F1397" s="19"/>
      <c r="G1397" s="19"/>
      <c r="H1397" s="19"/>
      <c r="I1397" s="19"/>
      <c r="J1397" s="19"/>
      <c r="K1397" s="19"/>
      <c r="L1397" s="19"/>
      <c r="M1397" s="19"/>
      <c r="N1397" s="19"/>
      <c r="O1397" s="19"/>
      <c r="P1397" s="19"/>
      <c r="Q1397" s="19"/>
      <c r="R1397" s="19"/>
      <c r="S1397" s="19"/>
      <c r="T1397" s="34" t="str">
        <f aca="false">IF($R1397="","",IFERROR(INDEX(DriverCategory,MATCH($R1397,DriverList,0)),"BAU"))</f>
        <v/>
      </c>
      <c r="U1397" s="34" t="str">
        <f aca="false">IF($R1397="","",IFERROR(INDEX(DriverRank,MATCH($R1397,DriverList,0)),99))</f>
        <v/>
      </c>
      <c r="V1397" s="35" t="n">
        <f aca="false">IF($H1397="",0,IFERROR(INDEX(LevelBasic,MATCH($H1397,LevelList,0))+INDEX(LevelHousing,MATCH($H1397,LevelList,0))+INDEX(LevelTransport,MATCH($H1397,LevelList,0))+INDEX(LevelBasic,MATCH($H1397,LevelList,0))*INDEX(LevelBonus,MATCH($H1397,LevelList,0))+(INDEX(LevelBasic,MATCH($H1397,LevelList,0))+INDEX(LevelHousing,MATCH($H1397,LevelList,0)))*GosiSaudi,0))</f>
        <v>0</v>
      </c>
      <c r="W1397" s="35" t="n">
        <f aca="false">IFERROR(INDEX(LevelOneOff,MATCH($H1397,LevelList,0)),0)</f>
        <v>0</v>
      </c>
      <c r="X1397" s="35" t="str">
        <f aca="false">IF($G1397="","",$V1397*N($L1397))</f>
        <v/>
      </c>
      <c r="Y1397" s="35" t="str">
        <f aca="false">IF($G1397="","",$V1397*(N($M1397)*1+N($N1397)*0.75+N($O1397)*0.5+N($P1397)*0.25)+$W1397*N($L1397))</f>
        <v/>
      </c>
      <c r="Z1397" s="35" t="str">
        <f aca="false">IF($G1397="","",$U1397*1000000+ROW())</f>
        <v/>
      </c>
      <c r="AA1397" s="36" t="str">
        <f aca="false">IF($G1397="","",MID(IF($C1397="",", no division","")&amp;IF($E1397="",", no unit","")&amp;IF($H1397="",", no career level","")&amp;IF(N($L1397)&lt;=0,", no quarter split","")&amp;IF($R1397="",", no driver","")&amp;IF(AND($H1397&lt;&gt;"",COUNTIF(CareerLevels,$H1397)=0),", a career level that is not on the ladder","")&amp;IF(AND($R1397&lt;&gt;"",COUNTIF(DriverList,$R1397)=0),", a driver that is not on the list","")&amp;IF(ABS(N($L1397)-(N($M1397)+N($N1397)+N($O1397)+N($P1397)))&gt;0.001,", a total that does not match its quarters",""),3,300))</f>
        <v/>
      </c>
    </row>
    <row r="1398" customFormat="false" ht="15" hidden="false" customHeight="false" outlineLevel="0" collapsed="false">
      <c r="A1398" s="33" t="str">
        <f aca="false">IF($G1398="","","Legal Group")</f>
        <v/>
      </c>
      <c r="B1398" s="19"/>
      <c r="C1398" s="19"/>
      <c r="D1398" s="19"/>
      <c r="E1398" s="19"/>
      <c r="F1398" s="19"/>
      <c r="G1398" s="19"/>
      <c r="H1398" s="19"/>
      <c r="I1398" s="19"/>
      <c r="J1398" s="19"/>
      <c r="K1398" s="19"/>
      <c r="L1398" s="19"/>
      <c r="M1398" s="19"/>
      <c r="N1398" s="19"/>
      <c r="O1398" s="19"/>
      <c r="P1398" s="19"/>
      <c r="Q1398" s="19"/>
      <c r="R1398" s="19"/>
      <c r="S1398" s="19"/>
      <c r="T1398" s="34" t="str">
        <f aca="false">IF($R1398="","",IFERROR(INDEX(DriverCategory,MATCH($R1398,DriverList,0)),"BAU"))</f>
        <v/>
      </c>
      <c r="U1398" s="34" t="str">
        <f aca="false">IF($R1398="","",IFERROR(INDEX(DriverRank,MATCH($R1398,DriverList,0)),99))</f>
        <v/>
      </c>
      <c r="V1398" s="35" t="n">
        <f aca="false">IF($H1398="",0,IFERROR(INDEX(LevelBasic,MATCH($H1398,LevelList,0))+INDEX(LevelHousing,MATCH($H1398,LevelList,0))+INDEX(LevelTransport,MATCH($H1398,LevelList,0))+INDEX(LevelBasic,MATCH($H1398,LevelList,0))*INDEX(LevelBonus,MATCH($H1398,LevelList,0))+(INDEX(LevelBasic,MATCH($H1398,LevelList,0))+INDEX(LevelHousing,MATCH($H1398,LevelList,0)))*GosiSaudi,0))</f>
        <v>0</v>
      </c>
      <c r="W1398" s="35" t="n">
        <f aca="false">IFERROR(INDEX(LevelOneOff,MATCH($H1398,LevelList,0)),0)</f>
        <v>0</v>
      </c>
      <c r="X1398" s="35" t="str">
        <f aca="false">IF($G1398="","",$V1398*N($L1398))</f>
        <v/>
      </c>
      <c r="Y1398" s="35" t="str">
        <f aca="false">IF($G1398="","",$V1398*(N($M1398)*1+N($N1398)*0.75+N($O1398)*0.5+N($P1398)*0.25)+$W1398*N($L1398))</f>
        <v/>
      </c>
      <c r="Z1398" s="35" t="str">
        <f aca="false">IF($G1398="","",$U1398*1000000+ROW())</f>
        <v/>
      </c>
      <c r="AA1398" s="36" t="str">
        <f aca="false">IF($G1398="","",MID(IF($C1398="",", no division","")&amp;IF($E1398="",", no unit","")&amp;IF($H1398="",", no career level","")&amp;IF(N($L1398)&lt;=0,", no quarter split","")&amp;IF($R1398="",", no driver","")&amp;IF(AND($H1398&lt;&gt;"",COUNTIF(CareerLevels,$H1398)=0),", a career level that is not on the ladder","")&amp;IF(AND($R1398&lt;&gt;"",COUNTIF(DriverList,$R1398)=0),", a driver that is not on the list","")&amp;IF(ABS(N($L1398)-(N($M1398)+N($N1398)+N($O1398)+N($P1398)))&gt;0.001,", a total that does not match its quarters",""),3,300))</f>
        <v/>
      </c>
    </row>
    <row r="1399" customFormat="false" ht="15" hidden="false" customHeight="false" outlineLevel="0" collapsed="false">
      <c r="A1399" s="33" t="str">
        <f aca="false">IF($G1399="","","Legal Group")</f>
        <v/>
      </c>
      <c r="B1399" s="19"/>
      <c r="C1399" s="19"/>
      <c r="D1399" s="19"/>
      <c r="E1399" s="19"/>
      <c r="F1399" s="19"/>
      <c r="G1399" s="19"/>
      <c r="H1399" s="19"/>
      <c r="I1399" s="19"/>
      <c r="J1399" s="19"/>
      <c r="K1399" s="19"/>
      <c r="L1399" s="19"/>
      <c r="M1399" s="19"/>
      <c r="N1399" s="19"/>
      <c r="O1399" s="19"/>
      <c r="P1399" s="19"/>
      <c r="Q1399" s="19"/>
      <c r="R1399" s="19"/>
      <c r="S1399" s="19"/>
      <c r="T1399" s="34" t="str">
        <f aca="false">IF($R1399="","",IFERROR(INDEX(DriverCategory,MATCH($R1399,DriverList,0)),"BAU"))</f>
        <v/>
      </c>
      <c r="U1399" s="34" t="str">
        <f aca="false">IF($R1399="","",IFERROR(INDEX(DriverRank,MATCH($R1399,DriverList,0)),99))</f>
        <v/>
      </c>
      <c r="V1399" s="35" t="n">
        <f aca="false">IF($H1399="",0,IFERROR(INDEX(LevelBasic,MATCH($H1399,LevelList,0))+INDEX(LevelHousing,MATCH($H1399,LevelList,0))+INDEX(LevelTransport,MATCH($H1399,LevelList,0))+INDEX(LevelBasic,MATCH($H1399,LevelList,0))*INDEX(LevelBonus,MATCH($H1399,LevelList,0))+(INDEX(LevelBasic,MATCH($H1399,LevelList,0))+INDEX(LevelHousing,MATCH($H1399,LevelList,0)))*GosiSaudi,0))</f>
        <v>0</v>
      </c>
      <c r="W1399" s="35" t="n">
        <f aca="false">IFERROR(INDEX(LevelOneOff,MATCH($H1399,LevelList,0)),0)</f>
        <v>0</v>
      </c>
      <c r="X1399" s="35" t="str">
        <f aca="false">IF($G1399="","",$V1399*N($L1399))</f>
        <v/>
      </c>
      <c r="Y1399" s="35" t="str">
        <f aca="false">IF($G1399="","",$V1399*(N($M1399)*1+N($N1399)*0.75+N($O1399)*0.5+N($P1399)*0.25)+$W1399*N($L1399))</f>
        <v/>
      </c>
      <c r="Z1399" s="35" t="str">
        <f aca="false">IF($G1399="","",$U1399*1000000+ROW())</f>
        <v/>
      </c>
      <c r="AA1399" s="36" t="str">
        <f aca="false">IF($G1399="","",MID(IF($C1399="",", no division","")&amp;IF($E1399="",", no unit","")&amp;IF($H1399="",", no career level","")&amp;IF(N($L1399)&lt;=0,", no quarter split","")&amp;IF($R1399="",", no driver","")&amp;IF(AND($H1399&lt;&gt;"",COUNTIF(CareerLevels,$H1399)=0),", a career level that is not on the ladder","")&amp;IF(AND($R1399&lt;&gt;"",COUNTIF(DriverList,$R1399)=0),", a driver that is not on the list","")&amp;IF(ABS(N($L1399)-(N($M1399)+N($N1399)+N($O1399)+N($P1399)))&gt;0.001,", a total that does not match its quarters",""),3,300))</f>
        <v/>
      </c>
    </row>
    <row r="1400" customFormat="false" ht="15" hidden="false" customHeight="false" outlineLevel="0" collapsed="false">
      <c r="A1400" s="33" t="str">
        <f aca="false">IF($G1400="","","Legal Group")</f>
        <v/>
      </c>
      <c r="B1400" s="19"/>
      <c r="C1400" s="19"/>
      <c r="D1400" s="19"/>
      <c r="E1400" s="19"/>
      <c r="F1400" s="19"/>
      <c r="G1400" s="19"/>
      <c r="H1400" s="19"/>
      <c r="I1400" s="19"/>
      <c r="J1400" s="19"/>
      <c r="K1400" s="19"/>
      <c r="L1400" s="19"/>
      <c r="M1400" s="19"/>
      <c r="N1400" s="19"/>
      <c r="O1400" s="19"/>
      <c r="P1400" s="19"/>
      <c r="Q1400" s="19"/>
      <c r="R1400" s="19"/>
      <c r="S1400" s="19"/>
      <c r="T1400" s="34" t="str">
        <f aca="false">IF($R1400="","",IFERROR(INDEX(DriverCategory,MATCH($R1400,DriverList,0)),"BAU"))</f>
        <v/>
      </c>
      <c r="U1400" s="34" t="str">
        <f aca="false">IF($R1400="","",IFERROR(INDEX(DriverRank,MATCH($R1400,DriverList,0)),99))</f>
        <v/>
      </c>
      <c r="V1400" s="35" t="n">
        <f aca="false">IF($H1400="",0,IFERROR(INDEX(LevelBasic,MATCH($H1400,LevelList,0))+INDEX(LevelHousing,MATCH($H1400,LevelList,0))+INDEX(LevelTransport,MATCH($H1400,LevelList,0))+INDEX(LevelBasic,MATCH($H1400,LevelList,0))*INDEX(LevelBonus,MATCH($H1400,LevelList,0))+(INDEX(LevelBasic,MATCH($H1400,LevelList,0))+INDEX(LevelHousing,MATCH($H1400,LevelList,0)))*GosiSaudi,0))</f>
        <v>0</v>
      </c>
      <c r="W1400" s="35" t="n">
        <f aca="false">IFERROR(INDEX(LevelOneOff,MATCH($H1400,LevelList,0)),0)</f>
        <v>0</v>
      </c>
      <c r="X1400" s="35" t="str">
        <f aca="false">IF($G1400="","",$V1400*N($L1400))</f>
        <v/>
      </c>
      <c r="Y1400" s="35" t="str">
        <f aca="false">IF($G1400="","",$V1400*(N($M1400)*1+N($N1400)*0.75+N($O1400)*0.5+N($P1400)*0.25)+$W1400*N($L1400))</f>
        <v/>
      </c>
      <c r="Z1400" s="35" t="str">
        <f aca="false">IF($G1400="","",$U1400*1000000+ROW())</f>
        <v/>
      </c>
      <c r="AA1400" s="36" t="str">
        <f aca="false">IF($G1400="","",MID(IF($C1400="",", no division","")&amp;IF($E1400="",", no unit","")&amp;IF($H1400="",", no career level","")&amp;IF(N($L1400)&lt;=0,", no quarter split","")&amp;IF($R1400="",", no driver","")&amp;IF(AND($H1400&lt;&gt;"",COUNTIF(CareerLevels,$H1400)=0),", a career level that is not on the ladder","")&amp;IF(AND($R1400&lt;&gt;"",COUNTIF(DriverList,$R1400)=0),", a driver that is not on the list","")&amp;IF(ABS(N($L1400)-(N($M1400)+N($N1400)+N($O1400)+N($P1400)))&gt;0.001,", a total that does not match its quarters",""),3,300))</f>
        <v/>
      </c>
    </row>
    <row r="1401" customFormat="false" ht="15" hidden="false" customHeight="false" outlineLevel="0" collapsed="false">
      <c r="A1401" s="33" t="str">
        <f aca="false">IF($G1401="","","Legal Group")</f>
        <v/>
      </c>
      <c r="B1401" s="19"/>
      <c r="C1401" s="19"/>
      <c r="D1401" s="19"/>
      <c r="E1401" s="19"/>
      <c r="F1401" s="19"/>
      <c r="G1401" s="19"/>
      <c r="H1401" s="19"/>
      <c r="I1401" s="19"/>
      <c r="J1401" s="19"/>
      <c r="K1401" s="19"/>
      <c r="L1401" s="19"/>
      <c r="M1401" s="19"/>
      <c r="N1401" s="19"/>
      <c r="O1401" s="19"/>
      <c r="P1401" s="19"/>
      <c r="Q1401" s="19"/>
      <c r="R1401" s="19"/>
      <c r="S1401" s="19"/>
      <c r="T1401" s="34" t="str">
        <f aca="false">IF($R1401="","",IFERROR(INDEX(DriverCategory,MATCH($R1401,DriverList,0)),"BAU"))</f>
        <v/>
      </c>
      <c r="U1401" s="34" t="str">
        <f aca="false">IF($R1401="","",IFERROR(INDEX(DriverRank,MATCH($R1401,DriverList,0)),99))</f>
        <v/>
      </c>
      <c r="V1401" s="35" t="n">
        <f aca="false">IF($H1401="",0,IFERROR(INDEX(LevelBasic,MATCH($H1401,LevelList,0))+INDEX(LevelHousing,MATCH($H1401,LevelList,0))+INDEX(LevelTransport,MATCH($H1401,LevelList,0))+INDEX(LevelBasic,MATCH($H1401,LevelList,0))*INDEX(LevelBonus,MATCH($H1401,LevelList,0))+(INDEX(LevelBasic,MATCH($H1401,LevelList,0))+INDEX(LevelHousing,MATCH($H1401,LevelList,0)))*GosiSaudi,0))</f>
        <v>0</v>
      </c>
      <c r="W1401" s="35" t="n">
        <f aca="false">IFERROR(INDEX(LevelOneOff,MATCH($H1401,LevelList,0)),0)</f>
        <v>0</v>
      </c>
      <c r="X1401" s="35" t="str">
        <f aca="false">IF($G1401="","",$V1401*N($L1401))</f>
        <v/>
      </c>
      <c r="Y1401" s="35" t="str">
        <f aca="false">IF($G1401="","",$V1401*(N($M1401)*1+N($N1401)*0.75+N($O1401)*0.5+N($P1401)*0.25)+$W1401*N($L1401))</f>
        <v/>
      </c>
      <c r="Z1401" s="35" t="str">
        <f aca="false">IF($G1401="","",$U1401*1000000+ROW())</f>
        <v/>
      </c>
      <c r="AA1401" s="36" t="str">
        <f aca="false">IF($G1401="","",MID(IF($C1401="",", no division","")&amp;IF($E1401="",", no unit","")&amp;IF($H1401="",", no career level","")&amp;IF(N($L1401)&lt;=0,", no quarter split","")&amp;IF($R1401="",", no driver","")&amp;IF(AND($H1401&lt;&gt;"",COUNTIF(CareerLevels,$H1401)=0),", a career level that is not on the ladder","")&amp;IF(AND($R1401&lt;&gt;"",COUNTIF(DriverList,$R1401)=0),", a driver that is not on the list","")&amp;IF(ABS(N($L1401)-(N($M1401)+N($N1401)+N($O1401)+N($P1401)))&gt;0.001,", a total that does not match its quarters",""),3,300))</f>
        <v/>
      </c>
    </row>
    <row r="1402" customFormat="false" ht="15" hidden="false" customHeight="false" outlineLevel="0" collapsed="false">
      <c r="A1402" s="33" t="str">
        <f aca="false">IF($G1402="","","Legal Group")</f>
        <v/>
      </c>
      <c r="B1402" s="19"/>
      <c r="C1402" s="19"/>
      <c r="D1402" s="19"/>
      <c r="E1402" s="19"/>
      <c r="F1402" s="19"/>
      <c r="G1402" s="19"/>
      <c r="H1402" s="19"/>
      <c r="I1402" s="19"/>
      <c r="J1402" s="19"/>
      <c r="K1402" s="19"/>
      <c r="L1402" s="19"/>
      <c r="M1402" s="19"/>
      <c r="N1402" s="19"/>
      <c r="O1402" s="19"/>
      <c r="P1402" s="19"/>
      <c r="Q1402" s="19"/>
      <c r="R1402" s="19"/>
      <c r="S1402" s="19"/>
      <c r="T1402" s="34" t="str">
        <f aca="false">IF($R1402="","",IFERROR(INDEX(DriverCategory,MATCH($R1402,DriverList,0)),"BAU"))</f>
        <v/>
      </c>
      <c r="U1402" s="34" t="str">
        <f aca="false">IF($R1402="","",IFERROR(INDEX(DriverRank,MATCH($R1402,DriverList,0)),99))</f>
        <v/>
      </c>
      <c r="V1402" s="35" t="n">
        <f aca="false">IF($H1402="",0,IFERROR(INDEX(LevelBasic,MATCH($H1402,LevelList,0))+INDEX(LevelHousing,MATCH($H1402,LevelList,0))+INDEX(LevelTransport,MATCH($H1402,LevelList,0))+INDEX(LevelBasic,MATCH($H1402,LevelList,0))*INDEX(LevelBonus,MATCH($H1402,LevelList,0))+(INDEX(LevelBasic,MATCH($H1402,LevelList,0))+INDEX(LevelHousing,MATCH($H1402,LevelList,0)))*GosiSaudi,0))</f>
        <v>0</v>
      </c>
      <c r="W1402" s="35" t="n">
        <f aca="false">IFERROR(INDEX(LevelOneOff,MATCH($H1402,LevelList,0)),0)</f>
        <v>0</v>
      </c>
      <c r="X1402" s="35" t="str">
        <f aca="false">IF($G1402="","",$V1402*N($L1402))</f>
        <v/>
      </c>
      <c r="Y1402" s="35" t="str">
        <f aca="false">IF($G1402="","",$V1402*(N($M1402)*1+N($N1402)*0.75+N($O1402)*0.5+N($P1402)*0.25)+$W1402*N($L1402))</f>
        <v/>
      </c>
      <c r="Z1402" s="35" t="str">
        <f aca="false">IF($G1402="","",$U1402*1000000+ROW())</f>
        <v/>
      </c>
      <c r="AA1402" s="36" t="str">
        <f aca="false">IF($G1402="","",MID(IF($C1402="",", no division","")&amp;IF($E1402="",", no unit","")&amp;IF($H1402="",", no career level","")&amp;IF(N($L1402)&lt;=0,", no quarter split","")&amp;IF($R1402="",", no driver","")&amp;IF(AND($H1402&lt;&gt;"",COUNTIF(CareerLevels,$H1402)=0),", a career level that is not on the ladder","")&amp;IF(AND($R1402&lt;&gt;"",COUNTIF(DriverList,$R1402)=0),", a driver that is not on the list","")&amp;IF(ABS(N($L1402)-(N($M1402)+N($N1402)+N($O1402)+N($P1402)))&gt;0.001,", a total that does not match its quarters",""),3,300))</f>
        <v/>
      </c>
    </row>
    <row r="1403" customFormat="false" ht="15" hidden="false" customHeight="false" outlineLevel="0" collapsed="false">
      <c r="A1403" s="33" t="str">
        <f aca="false">IF($G1403="","","Legal Group")</f>
        <v/>
      </c>
      <c r="B1403" s="19"/>
      <c r="C1403" s="19"/>
      <c r="D1403" s="19"/>
      <c r="E1403" s="19"/>
      <c r="F1403" s="19"/>
      <c r="G1403" s="19"/>
      <c r="H1403" s="19"/>
      <c r="I1403" s="19"/>
      <c r="J1403" s="19"/>
      <c r="K1403" s="19"/>
      <c r="L1403" s="19"/>
      <c r="M1403" s="19"/>
      <c r="N1403" s="19"/>
      <c r="O1403" s="19"/>
      <c r="P1403" s="19"/>
      <c r="Q1403" s="19"/>
      <c r="R1403" s="19"/>
      <c r="S1403" s="19"/>
      <c r="T1403" s="34" t="str">
        <f aca="false">IF($R1403="","",IFERROR(INDEX(DriverCategory,MATCH($R1403,DriverList,0)),"BAU"))</f>
        <v/>
      </c>
      <c r="U1403" s="34" t="str">
        <f aca="false">IF($R1403="","",IFERROR(INDEX(DriverRank,MATCH($R1403,DriverList,0)),99))</f>
        <v/>
      </c>
      <c r="V1403" s="35" t="n">
        <f aca="false">IF($H1403="",0,IFERROR(INDEX(LevelBasic,MATCH($H1403,LevelList,0))+INDEX(LevelHousing,MATCH($H1403,LevelList,0))+INDEX(LevelTransport,MATCH($H1403,LevelList,0))+INDEX(LevelBasic,MATCH($H1403,LevelList,0))*INDEX(LevelBonus,MATCH($H1403,LevelList,0))+(INDEX(LevelBasic,MATCH($H1403,LevelList,0))+INDEX(LevelHousing,MATCH($H1403,LevelList,0)))*GosiSaudi,0))</f>
        <v>0</v>
      </c>
      <c r="W1403" s="35" t="n">
        <f aca="false">IFERROR(INDEX(LevelOneOff,MATCH($H1403,LevelList,0)),0)</f>
        <v>0</v>
      </c>
      <c r="X1403" s="35" t="str">
        <f aca="false">IF($G1403="","",$V1403*N($L1403))</f>
        <v/>
      </c>
      <c r="Y1403" s="35" t="str">
        <f aca="false">IF($G1403="","",$V1403*(N($M1403)*1+N($N1403)*0.75+N($O1403)*0.5+N($P1403)*0.25)+$W1403*N($L1403))</f>
        <v/>
      </c>
      <c r="Z1403" s="35" t="str">
        <f aca="false">IF($G1403="","",$U1403*1000000+ROW())</f>
        <v/>
      </c>
      <c r="AA1403" s="36" t="str">
        <f aca="false">IF($G1403="","",MID(IF($C1403="",", no division","")&amp;IF($E1403="",", no unit","")&amp;IF($H1403="",", no career level","")&amp;IF(N($L1403)&lt;=0,", no quarter split","")&amp;IF($R1403="",", no driver","")&amp;IF(AND($H1403&lt;&gt;"",COUNTIF(CareerLevels,$H1403)=0),", a career level that is not on the ladder","")&amp;IF(AND($R1403&lt;&gt;"",COUNTIF(DriverList,$R1403)=0),", a driver that is not on the list","")&amp;IF(ABS(N($L1403)-(N($M1403)+N($N1403)+N($O1403)+N($P1403)))&gt;0.001,", a total that does not match its quarters",""),3,300))</f>
        <v/>
      </c>
    </row>
    <row r="1404" customFormat="false" ht="15" hidden="false" customHeight="false" outlineLevel="0" collapsed="false">
      <c r="A1404" s="33" t="str">
        <f aca="false">IF($G1404="","","Legal Group")</f>
        <v/>
      </c>
      <c r="B1404" s="19"/>
      <c r="C1404" s="19"/>
      <c r="D1404" s="19"/>
      <c r="E1404" s="19"/>
      <c r="F1404" s="19"/>
      <c r="G1404" s="19"/>
      <c r="H1404" s="19"/>
      <c r="I1404" s="19"/>
      <c r="J1404" s="19"/>
      <c r="K1404" s="19"/>
      <c r="L1404" s="19"/>
      <c r="M1404" s="19"/>
      <c r="N1404" s="19"/>
      <c r="O1404" s="19"/>
      <c r="P1404" s="19"/>
      <c r="Q1404" s="19"/>
      <c r="R1404" s="19"/>
      <c r="S1404" s="19"/>
      <c r="T1404" s="34" t="str">
        <f aca="false">IF($R1404="","",IFERROR(INDEX(DriverCategory,MATCH($R1404,DriverList,0)),"BAU"))</f>
        <v/>
      </c>
      <c r="U1404" s="34" t="str">
        <f aca="false">IF($R1404="","",IFERROR(INDEX(DriverRank,MATCH($R1404,DriverList,0)),99))</f>
        <v/>
      </c>
      <c r="V1404" s="35" t="n">
        <f aca="false">IF($H1404="",0,IFERROR(INDEX(LevelBasic,MATCH($H1404,LevelList,0))+INDEX(LevelHousing,MATCH($H1404,LevelList,0))+INDEX(LevelTransport,MATCH($H1404,LevelList,0))+INDEX(LevelBasic,MATCH($H1404,LevelList,0))*INDEX(LevelBonus,MATCH($H1404,LevelList,0))+(INDEX(LevelBasic,MATCH($H1404,LevelList,0))+INDEX(LevelHousing,MATCH($H1404,LevelList,0)))*GosiSaudi,0))</f>
        <v>0</v>
      </c>
      <c r="W1404" s="35" t="n">
        <f aca="false">IFERROR(INDEX(LevelOneOff,MATCH($H1404,LevelList,0)),0)</f>
        <v>0</v>
      </c>
      <c r="X1404" s="35" t="str">
        <f aca="false">IF($G1404="","",$V1404*N($L1404))</f>
        <v/>
      </c>
      <c r="Y1404" s="35" t="str">
        <f aca="false">IF($G1404="","",$V1404*(N($M1404)*1+N($N1404)*0.75+N($O1404)*0.5+N($P1404)*0.25)+$W1404*N($L1404))</f>
        <v/>
      </c>
      <c r="Z1404" s="35" t="str">
        <f aca="false">IF($G1404="","",$U1404*1000000+ROW())</f>
        <v/>
      </c>
      <c r="AA1404" s="36" t="str">
        <f aca="false">IF($G1404="","",MID(IF($C1404="",", no division","")&amp;IF($E1404="",", no unit","")&amp;IF($H1404="",", no career level","")&amp;IF(N($L1404)&lt;=0,", no quarter split","")&amp;IF($R1404="",", no driver","")&amp;IF(AND($H1404&lt;&gt;"",COUNTIF(CareerLevels,$H1404)=0),", a career level that is not on the ladder","")&amp;IF(AND($R1404&lt;&gt;"",COUNTIF(DriverList,$R1404)=0),", a driver that is not on the list","")&amp;IF(ABS(N($L1404)-(N($M1404)+N($N1404)+N($O1404)+N($P1404)))&gt;0.001,", a total that does not match its quarters",""),3,300))</f>
        <v/>
      </c>
    </row>
    <row r="1405" customFormat="false" ht="15" hidden="false" customHeight="false" outlineLevel="0" collapsed="false">
      <c r="A1405" s="33" t="str">
        <f aca="false">IF($G1405="","","Legal Group")</f>
        <v/>
      </c>
      <c r="B1405" s="19"/>
      <c r="C1405" s="19"/>
      <c r="D1405" s="19"/>
      <c r="E1405" s="19"/>
      <c r="F1405" s="19"/>
      <c r="G1405" s="19"/>
      <c r="H1405" s="19"/>
      <c r="I1405" s="19"/>
      <c r="J1405" s="19"/>
      <c r="K1405" s="19"/>
      <c r="L1405" s="19"/>
      <c r="M1405" s="19"/>
      <c r="N1405" s="19"/>
      <c r="O1405" s="19"/>
      <c r="P1405" s="19"/>
      <c r="Q1405" s="19"/>
      <c r="R1405" s="19"/>
      <c r="S1405" s="19"/>
      <c r="T1405" s="34" t="str">
        <f aca="false">IF($R1405="","",IFERROR(INDEX(DriverCategory,MATCH($R1405,DriverList,0)),"BAU"))</f>
        <v/>
      </c>
      <c r="U1405" s="34" t="str">
        <f aca="false">IF($R1405="","",IFERROR(INDEX(DriverRank,MATCH($R1405,DriverList,0)),99))</f>
        <v/>
      </c>
      <c r="V1405" s="35" t="n">
        <f aca="false">IF($H1405="",0,IFERROR(INDEX(LevelBasic,MATCH($H1405,LevelList,0))+INDEX(LevelHousing,MATCH($H1405,LevelList,0))+INDEX(LevelTransport,MATCH($H1405,LevelList,0))+INDEX(LevelBasic,MATCH($H1405,LevelList,0))*INDEX(LevelBonus,MATCH($H1405,LevelList,0))+(INDEX(LevelBasic,MATCH($H1405,LevelList,0))+INDEX(LevelHousing,MATCH($H1405,LevelList,0)))*GosiSaudi,0))</f>
        <v>0</v>
      </c>
      <c r="W1405" s="35" t="n">
        <f aca="false">IFERROR(INDEX(LevelOneOff,MATCH($H1405,LevelList,0)),0)</f>
        <v>0</v>
      </c>
      <c r="X1405" s="35" t="str">
        <f aca="false">IF($G1405="","",$V1405*N($L1405))</f>
        <v/>
      </c>
      <c r="Y1405" s="35" t="str">
        <f aca="false">IF($G1405="","",$V1405*(N($M1405)*1+N($N1405)*0.75+N($O1405)*0.5+N($P1405)*0.25)+$W1405*N($L1405))</f>
        <v/>
      </c>
      <c r="Z1405" s="35" t="str">
        <f aca="false">IF($G1405="","",$U1405*1000000+ROW())</f>
        <v/>
      </c>
      <c r="AA1405" s="36" t="str">
        <f aca="false">IF($G1405="","",MID(IF($C1405="",", no division","")&amp;IF($E1405="",", no unit","")&amp;IF($H1405="",", no career level","")&amp;IF(N($L1405)&lt;=0,", no quarter split","")&amp;IF($R1405="",", no driver","")&amp;IF(AND($H1405&lt;&gt;"",COUNTIF(CareerLevels,$H1405)=0),", a career level that is not on the ladder","")&amp;IF(AND($R1405&lt;&gt;"",COUNTIF(DriverList,$R1405)=0),", a driver that is not on the list","")&amp;IF(ABS(N($L1405)-(N($M1405)+N($N1405)+N($O1405)+N($P1405)))&gt;0.001,", a total that does not match its quarters",""),3,300))</f>
        <v/>
      </c>
    </row>
    <row r="1406" customFormat="false" ht="15" hidden="false" customHeight="false" outlineLevel="0" collapsed="false">
      <c r="A1406" s="28" t="str">
        <f aca="false">IF($G1406="","","Operations Group")</f>
        <v/>
      </c>
      <c r="B1406" s="29"/>
      <c r="C1406" s="29"/>
      <c r="D1406" s="29"/>
      <c r="E1406" s="29"/>
      <c r="F1406" s="29"/>
      <c r="G1406" s="29"/>
      <c r="H1406" s="29"/>
      <c r="I1406" s="29"/>
      <c r="J1406" s="29"/>
      <c r="K1406" s="29"/>
      <c r="L1406" s="29"/>
      <c r="M1406" s="29"/>
      <c r="N1406" s="29"/>
      <c r="O1406" s="29"/>
      <c r="P1406" s="29"/>
      <c r="Q1406" s="29"/>
      <c r="R1406" s="29"/>
      <c r="S1406" s="29"/>
      <c r="T1406" s="30" t="str">
        <f aca="false">IF($R1406="","",IFERROR(INDEX(DriverCategory,MATCH($R1406,DriverList,0)),"BAU"))</f>
        <v/>
      </c>
      <c r="U1406" s="30" t="str">
        <f aca="false">IF($R1406="","",IFERROR(INDEX(DriverRank,MATCH($R1406,DriverList,0)),99))</f>
        <v/>
      </c>
      <c r="V1406" s="31" t="n">
        <f aca="false">IF($H1406="",0,IFERROR(INDEX(LevelBasic,MATCH($H1406,LevelList,0))+INDEX(LevelHousing,MATCH($H1406,LevelList,0))+INDEX(LevelTransport,MATCH($H1406,LevelList,0))+INDEX(LevelBasic,MATCH($H1406,LevelList,0))*INDEX(LevelBonus,MATCH($H1406,LevelList,0))+(INDEX(LevelBasic,MATCH($H1406,LevelList,0))+INDEX(LevelHousing,MATCH($H1406,LevelList,0)))*GosiSaudi,0))</f>
        <v>0</v>
      </c>
      <c r="W1406" s="31" t="n">
        <f aca="false">IFERROR(INDEX(LevelOneOff,MATCH($H1406,LevelList,0)),0)</f>
        <v>0</v>
      </c>
      <c r="X1406" s="31" t="str">
        <f aca="false">IF($G1406="","",$V1406*N($L1406))</f>
        <v/>
      </c>
      <c r="Y1406" s="31" t="str">
        <f aca="false">IF($G1406="","",$V1406*(N($M1406)*1+N($N1406)*0.75+N($O1406)*0.5+N($P1406)*0.25)+$W1406*N($L1406))</f>
        <v/>
      </c>
      <c r="Z1406" s="31" t="str">
        <f aca="false">IF($G1406="","",$U1406*1000000+ROW())</f>
        <v/>
      </c>
      <c r="AA1406" s="32" t="str">
        <f aca="false">IF($G1406="","",MID(IF($C1406="",", no division","")&amp;IF($E1406="",", no unit","")&amp;IF($H1406="",", no career level","")&amp;IF(N($L1406)&lt;=0,", no quarter split","")&amp;IF($R1406="",", no driver","")&amp;IF(AND($H1406&lt;&gt;"",COUNTIF(CareerLevels,$H1406)=0),", a career level that is not on the ladder","")&amp;IF(AND($R1406&lt;&gt;"",COUNTIF(DriverList,$R1406)=0),", a driver that is not on the list","")&amp;IF(ABS(N($L1406)-(N($M1406)+N($N1406)+N($O1406)+N($P1406)))&gt;0.001,", a total that does not match its quarters",""),3,300))</f>
        <v/>
      </c>
    </row>
    <row r="1407" customFormat="false" ht="15" hidden="false" customHeight="false" outlineLevel="0" collapsed="false">
      <c r="A1407" s="33" t="str">
        <f aca="false">IF($G1407="","","Operations Group")</f>
        <v/>
      </c>
      <c r="B1407" s="19"/>
      <c r="C1407" s="19"/>
      <c r="D1407" s="19"/>
      <c r="E1407" s="19"/>
      <c r="F1407" s="19"/>
      <c r="G1407" s="19"/>
      <c r="H1407" s="19"/>
      <c r="I1407" s="19"/>
      <c r="J1407" s="19"/>
      <c r="K1407" s="19"/>
      <c r="L1407" s="19"/>
      <c r="M1407" s="19"/>
      <c r="N1407" s="19"/>
      <c r="O1407" s="19"/>
      <c r="P1407" s="19"/>
      <c r="Q1407" s="19"/>
      <c r="R1407" s="19"/>
      <c r="S1407" s="19"/>
      <c r="T1407" s="34" t="str">
        <f aca="false">IF($R1407="","",IFERROR(INDEX(DriverCategory,MATCH($R1407,DriverList,0)),"BAU"))</f>
        <v/>
      </c>
      <c r="U1407" s="34" t="str">
        <f aca="false">IF($R1407="","",IFERROR(INDEX(DriverRank,MATCH($R1407,DriverList,0)),99))</f>
        <v/>
      </c>
      <c r="V1407" s="35" t="n">
        <f aca="false">IF($H1407="",0,IFERROR(INDEX(LevelBasic,MATCH($H1407,LevelList,0))+INDEX(LevelHousing,MATCH($H1407,LevelList,0))+INDEX(LevelTransport,MATCH($H1407,LevelList,0))+INDEX(LevelBasic,MATCH($H1407,LevelList,0))*INDEX(LevelBonus,MATCH($H1407,LevelList,0))+(INDEX(LevelBasic,MATCH($H1407,LevelList,0))+INDEX(LevelHousing,MATCH($H1407,LevelList,0)))*GosiSaudi,0))</f>
        <v>0</v>
      </c>
      <c r="W1407" s="35" t="n">
        <f aca="false">IFERROR(INDEX(LevelOneOff,MATCH($H1407,LevelList,0)),0)</f>
        <v>0</v>
      </c>
      <c r="X1407" s="35" t="str">
        <f aca="false">IF($G1407="","",$V1407*N($L1407))</f>
        <v/>
      </c>
      <c r="Y1407" s="35" t="str">
        <f aca="false">IF($G1407="","",$V1407*(N($M1407)*1+N($N1407)*0.75+N($O1407)*0.5+N($P1407)*0.25)+$W1407*N($L1407))</f>
        <v/>
      </c>
      <c r="Z1407" s="35" t="str">
        <f aca="false">IF($G1407="","",$U1407*1000000+ROW())</f>
        <v/>
      </c>
      <c r="AA1407" s="36" t="str">
        <f aca="false">IF($G1407="","",MID(IF($C1407="",", no division","")&amp;IF($E1407="",", no unit","")&amp;IF($H1407="",", no career level","")&amp;IF(N($L1407)&lt;=0,", no quarter split","")&amp;IF($R1407="",", no driver","")&amp;IF(AND($H1407&lt;&gt;"",COUNTIF(CareerLevels,$H1407)=0),", a career level that is not on the ladder","")&amp;IF(AND($R1407&lt;&gt;"",COUNTIF(DriverList,$R1407)=0),", a driver that is not on the list","")&amp;IF(ABS(N($L1407)-(N($M1407)+N($N1407)+N($O1407)+N($P1407)))&gt;0.001,", a total that does not match its quarters",""),3,300))</f>
        <v/>
      </c>
    </row>
    <row r="1408" customFormat="false" ht="15" hidden="false" customHeight="false" outlineLevel="0" collapsed="false">
      <c r="A1408" s="33" t="str">
        <f aca="false">IF($G1408="","","Operations Group")</f>
        <v/>
      </c>
      <c r="B1408" s="19"/>
      <c r="C1408" s="19"/>
      <c r="D1408" s="19"/>
      <c r="E1408" s="19"/>
      <c r="F1408" s="19"/>
      <c r="G1408" s="19"/>
      <c r="H1408" s="19"/>
      <c r="I1408" s="19"/>
      <c r="J1408" s="19"/>
      <c r="K1408" s="19"/>
      <c r="L1408" s="19"/>
      <c r="M1408" s="19"/>
      <c r="N1408" s="19"/>
      <c r="O1408" s="19"/>
      <c r="P1408" s="19"/>
      <c r="Q1408" s="19"/>
      <c r="R1408" s="19"/>
      <c r="S1408" s="19"/>
      <c r="T1408" s="34" t="str">
        <f aca="false">IF($R1408="","",IFERROR(INDEX(DriverCategory,MATCH($R1408,DriverList,0)),"BAU"))</f>
        <v/>
      </c>
      <c r="U1408" s="34" t="str">
        <f aca="false">IF($R1408="","",IFERROR(INDEX(DriverRank,MATCH($R1408,DriverList,0)),99))</f>
        <v/>
      </c>
      <c r="V1408" s="35" t="n">
        <f aca="false">IF($H1408="",0,IFERROR(INDEX(LevelBasic,MATCH($H1408,LevelList,0))+INDEX(LevelHousing,MATCH($H1408,LevelList,0))+INDEX(LevelTransport,MATCH($H1408,LevelList,0))+INDEX(LevelBasic,MATCH($H1408,LevelList,0))*INDEX(LevelBonus,MATCH($H1408,LevelList,0))+(INDEX(LevelBasic,MATCH($H1408,LevelList,0))+INDEX(LevelHousing,MATCH($H1408,LevelList,0)))*GosiSaudi,0))</f>
        <v>0</v>
      </c>
      <c r="W1408" s="35" t="n">
        <f aca="false">IFERROR(INDEX(LevelOneOff,MATCH($H1408,LevelList,0)),0)</f>
        <v>0</v>
      </c>
      <c r="X1408" s="35" t="str">
        <f aca="false">IF($G1408="","",$V1408*N($L1408))</f>
        <v/>
      </c>
      <c r="Y1408" s="35" t="str">
        <f aca="false">IF($G1408="","",$V1408*(N($M1408)*1+N($N1408)*0.75+N($O1408)*0.5+N($P1408)*0.25)+$W1408*N($L1408))</f>
        <v/>
      </c>
      <c r="Z1408" s="35" t="str">
        <f aca="false">IF($G1408="","",$U1408*1000000+ROW())</f>
        <v/>
      </c>
      <c r="AA1408" s="36" t="str">
        <f aca="false">IF($G1408="","",MID(IF($C1408="",", no division","")&amp;IF($E1408="",", no unit","")&amp;IF($H1408="",", no career level","")&amp;IF(N($L1408)&lt;=0,", no quarter split","")&amp;IF($R1408="",", no driver","")&amp;IF(AND($H1408&lt;&gt;"",COUNTIF(CareerLevels,$H1408)=0),", a career level that is not on the ladder","")&amp;IF(AND($R1408&lt;&gt;"",COUNTIF(DriverList,$R1408)=0),", a driver that is not on the list","")&amp;IF(ABS(N($L1408)-(N($M1408)+N($N1408)+N($O1408)+N($P1408)))&gt;0.001,", a total that does not match its quarters",""),3,300))</f>
        <v/>
      </c>
    </row>
    <row r="1409" customFormat="false" ht="15" hidden="false" customHeight="false" outlineLevel="0" collapsed="false">
      <c r="A1409" s="33" t="str">
        <f aca="false">IF($G1409="","","Operations Group")</f>
        <v/>
      </c>
      <c r="B1409" s="19"/>
      <c r="C1409" s="19"/>
      <c r="D1409" s="19"/>
      <c r="E1409" s="19"/>
      <c r="F1409" s="19"/>
      <c r="G1409" s="19"/>
      <c r="H1409" s="19"/>
      <c r="I1409" s="19"/>
      <c r="J1409" s="19"/>
      <c r="K1409" s="19"/>
      <c r="L1409" s="19"/>
      <c r="M1409" s="19"/>
      <c r="N1409" s="19"/>
      <c r="O1409" s="19"/>
      <c r="P1409" s="19"/>
      <c r="Q1409" s="19"/>
      <c r="R1409" s="19"/>
      <c r="S1409" s="19"/>
      <c r="T1409" s="34" t="str">
        <f aca="false">IF($R1409="","",IFERROR(INDEX(DriverCategory,MATCH($R1409,DriverList,0)),"BAU"))</f>
        <v/>
      </c>
      <c r="U1409" s="34" t="str">
        <f aca="false">IF($R1409="","",IFERROR(INDEX(DriverRank,MATCH($R1409,DriverList,0)),99))</f>
        <v/>
      </c>
      <c r="V1409" s="35" t="n">
        <f aca="false">IF($H1409="",0,IFERROR(INDEX(LevelBasic,MATCH($H1409,LevelList,0))+INDEX(LevelHousing,MATCH($H1409,LevelList,0))+INDEX(LevelTransport,MATCH($H1409,LevelList,0))+INDEX(LevelBasic,MATCH($H1409,LevelList,0))*INDEX(LevelBonus,MATCH($H1409,LevelList,0))+(INDEX(LevelBasic,MATCH($H1409,LevelList,0))+INDEX(LevelHousing,MATCH($H1409,LevelList,0)))*GosiSaudi,0))</f>
        <v>0</v>
      </c>
      <c r="W1409" s="35" t="n">
        <f aca="false">IFERROR(INDEX(LevelOneOff,MATCH($H1409,LevelList,0)),0)</f>
        <v>0</v>
      </c>
      <c r="X1409" s="35" t="str">
        <f aca="false">IF($G1409="","",$V1409*N($L1409))</f>
        <v/>
      </c>
      <c r="Y1409" s="35" t="str">
        <f aca="false">IF($G1409="","",$V1409*(N($M1409)*1+N($N1409)*0.75+N($O1409)*0.5+N($P1409)*0.25)+$W1409*N($L1409))</f>
        <v/>
      </c>
      <c r="Z1409" s="35" t="str">
        <f aca="false">IF($G1409="","",$U1409*1000000+ROW())</f>
        <v/>
      </c>
      <c r="AA1409" s="36" t="str">
        <f aca="false">IF($G1409="","",MID(IF($C1409="",", no division","")&amp;IF($E1409="",", no unit","")&amp;IF($H1409="",", no career level","")&amp;IF(N($L1409)&lt;=0,", no quarter split","")&amp;IF($R1409="",", no driver","")&amp;IF(AND($H1409&lt;&gt;"",COUNTIF(CareerLevels,$H1409)=0),", a career level that is not on the ladder","")&amp;IF(AND($R1409&lt;&gt;"",COUNTIF(DriverList,$R1409)=0),", a driver that is not on the list","")&amp;IF(ABS(N($L1409)-(N($M1409)+N($N1409)+N($O1409)+N($P1409)))&gt;0.001,", a total that does not match its quarters",""),3,300))</f>
        <v/>
      </c>
    </row>
    <row r="1410" customFormat="false" ht="15" hidden="false" customHeight="false" outlineLevel="0" collapsed="false">
      <c r="A1410" s="33" t="str">
        <f aca="false">IF($G1410="","","Operations Group")</f>
        <v/>
      </c>
      <c r="B1410" s="19"/>
      <c r="C1410" s="19"/>
      <c r="D1410" s="19"/>
      <c r="E1410" s="19"/>
      <c r="F1410" s="19"/>
      <c r="G1410" s="19"/>
      <c r="H1410" s="19"/>
      <c r="I1410" s="19"/>
      <c r="J1410" s="19"/>
      <c r="K1410" s="19"/>
      <c r="L1410" s="19"/>
      <c r="M1410" s="19"/>
      <c r="N1410" s="19"/>
      <c r="O1410" s="19"/>
      <c r="P1410" s="19"/>
      <c r="Q1410" s="19"/>
      <c r="R1410" s="19"/>
      <c r="S1410" s="19"/>
      <c r="T1410" s="34" t="str">
        <f aca="false">IF($R1410="","",IFERROR(INDEX(DriverCategory,MATCH($R1410,DriverList,0)),"BAU"))</f>
        <v/>
      </c>
      <c r="U1410" s="34" t="str">
        <f aca="false">IF($R1410="","",IFERROR(INDEX(DriverRank,MATCH($R1410,DriverList,0)),99))</f>
        <v/>
      </c>
      <c r="V1410" s="35" t="n">
        <f aca="false">IF($H1410="",0,IFERROR(INDEX(LevelBasic,MATCH($H1410,LevelList,0))+INDEX(LevelHousing,MATCH($H1410,LevelList,0))+INDEX(LevelTransport,MATCH($H1410,LevelList,0))+INDEX(LevelBasic,MATCH($H1410,LevelList,0))*INDEX(LevelBonus,MATCH($H1410,LevelList,0))+(INDEX(LevelBasic,MATCH($H1410,LevelList,0))+INDEX(LevelHousing,MATCH($H1410,LevelList,0)))*GosiSaudi,0))</f>
        <v>0</v>
      </c>
      <c r="W1410" s="35" t="n">
        <f aca="false">IFERROR(INDEX(LevelOneOff,MATCH($H1410,LevelList,0)),0)</f>
        <v>0</v>
      </c>
      <c r="X1410" s="35" t="str">
        <f aca="false">IF($G1410="","",$V1410*N($L1410))</f>
        <v/>
      </c>
      <c r="Y1410" s="35" t="str">
        <f aca="false">IF($G1410="","",$V1410*(N($M1410)*1+N($N1410)*0.75+N($O1410)*0.5+N($P1410)*0.25)+$W1410*N($L1410))</f>
        <v/>
      </c>
      <c r="Z1410" s="35" t="str">
        <f aca="false">IF($G1410="","",$U1410*1000000+ROW())</f>
        <v/>
      </c>
      <c r="AA1410" s="36" t="str">
        <f aca="false">IF($G1410="","",MID(IF($C1410="",", no division","")&amp;IF($E1410="",", no unit","")&amp;IF($H1410="",", no career level","")&amp;IF(N($L1410)&lt;=0,", no quarter split","")&amp;IF($R1410="",", no driver","")&amp;IF(AND($H1410&lt;&gt;"",COUNTIF(CareerLevels,$H1410)=0),", a career level that is not on the ladder","")&amp;IF(AND($R1410&lt;&gt;"",COUNTIF(DriverList,$R1410)=0),", a driver that is not on the list","")&amp;IF(ABS(N($L1410)-(N($M1410)+N($N1410)+N($O1410)+N($P1410)))&gt;0.001,", a total that does not match its quarters",""),3,300))</f>
        <v/>
      </c>
    </row>
    <row r="1411" customFormat="false" ht="15" hidden="false" customHeight="false" outlineLevel="0" collapsed="false">
      <c r="A1411" s="33" t="str">
        <f aca="false">IF($G1411="","","Operations Group")</f>
        <v/>
      </c>
      <c r="B1411" s="19"/>
      <c r="C1411" s="19"/>
      <c r="D1411" s="19"/>
      <c r="E1411" s="19"/>
      <c r="F1411" s="19"/>
      <c r="G1411" s="19"/>
      <c r="H1411" s="19"/>
      <c r="I1411" s="19"/>
      <c r="J1411" s="19"/>
      <c r="K1411" s="19"/>
      <c r="L1411" s="19"/>
      <c r="M1411" s="19"/>
      <c r="N1411" s="19"/>
      <c r="O1411" s="19"/>
      <c r="P1411" s="19"/>
      <c r="Q1411" s="19"/>
      <c r="R1411" s="19"/>
      <c r="S1411" s="19"/>
      <c r="T1411" s="34" t="str">
        <f aca="false">IF($R1411="","",IFERROR(INDEX(DriverCategory,MATCH($R1411,DriverList,0)),"BAU"))</f>
        <v/>
      </c>
      <c r="U1411" s="34" t="str">
        <f aca="false">IF($R1411="","",IFERROR(INDEX(DriverRank,MATCH($R1411,DriverList,0)),99))</f>
        <v/>
      </c>
      <c r="V1411" s="35" t="n">
        <f aca="false">IF($H1411="",0,IFERROR(INDEX(LevelBasic,MATCH($H1411,LevelList,0))+INDEX(LevelHousing,MATCH($H1411,LevelList,0))+INDEX(LevelTransport,MATCH($H1411,LevelList,0))+INDEX(LevelBasic,MATCH($H1411,LevelList,0))*INDEX(LevelBonus,MATCH($H1411,LevelList,0))+(INDEX(LevelBasic,MATCH($H1411,LevelList,0))+INDEX(LevelHousing,MATCH($H1411,LevelList,0)))*GosiSaudi,0))</f>
        <v>0</v>
      </c>
      <c r="W1411" s="35" t="n">
        <f aca="false">IFERROR(INDEX(LevelOneOff,MATCH($H1411,LevelList,0)),0)</f>
        <v>0</v>
      </c>
      <c r="X1411" s="35" t="str">
        <f aca="false">IF($G1411="","",$V1411*N($L1411))</f>
        <v/>
      </c>
      <c r="Y1411" s="35" t="str">
        <f aca="false">IF($G1411="","",$V1411*(N($M1411)*1+N($N1411)*0.75+N($O1411)*0.5+N($P1411)*0.25)+$W1411*N($L1411))</f>
        <v/>
      </c>
      <c r="Z1411" s="35" t="str">
        <f aca="false">IF($G1411="","",$U1411*1000000+ROW())</f>
        <v/>
      </c>
      <c r="AA1411" s="36" t="str">
        <f aca="false">IF($G1411="","",MID(IF($C1411="",", no division","")&amp;IF($E1411="",", no unit","")&amp;IF($H1411="",", no career level","")&amp;IF(N($L1411)&lt;=0,", no quarter split","")&amp;IF($R1411="",", no driver","")&amp;IF(AND($H1411&lt;&gt;"",COUNTIF(CareerLevels,$H1411)=0),", a career level that is not on the ladder","")&amp;IF(AND($R1411&lt;&gt;"",COUNTIF(DriverList,$R1411)=0),", a driver that is not on the list","")&amp;IF(ABS(N($L1411)-(N($M1411)+N($N1411)+N($O1411)+N($P1411)))&gt;0.001,", a total that does not match its quarters",""),3,300))</f>
        <v/>
      </c>
    </row>
    <row r="1412" customFormat="false" ht="15" hidden="false" customHeight="false" outlineLevel="0" collapsed="false">
      <c r="A1412" s="33" t="str">
        <f aca="false">IF($G1412="","","Operations Group")</f>
        <v/>
      </c>
      <c r="B1412" s="19"/>
      <c r="C1412" s="19"/>
      <c r="D1412" s="19"/>
      <c r="E1412" s="19"/>
      <c r="F1412" s="19"/>
      <c r="G1412" s="19"/>
      <c r="H1412" s="19"/>
      <c r="I1412" s="19"/>
      <c r="J1412" s="19"/>
      <c r="K1412" s="19"/>
      <c r="L1412" s="19"/>
      <c r="M1412" s="19"/>
      <c r="N1412" s="19"/>
      <c r="O1412" s="19"/>
      <c r="P1412" s="19"/>
      <c r="Q1412" s="19"/>
      <c r="R1412" s="19"/>
      <c r="S1412" s="19"/>
      <c r="T1412" s="34" t="str">
        <f aca="false">IF($R1412="","",IFERROR(INDEX(DriverCategory,MATCH($R1412,DriverList,0)),"BAU"))</f>
        <v/>
      </c>
      <c r="U1412" s="34" t="str">
        <f aca="false">IF($R1412="","",IFERROR(INDEX(DriverRank,MATCH($R1412,DriverList,0)),99))</f>
        <v/>
      </c>
      <c r="V1412" s="35" t="n">
        <f aca="false">IF($H1412="",0,IFERROR(INDEX(LevelBasic,MATCH($H1412,LevelList,0))+INDEX(LevelHousing,MATCH($H1412,LevelList,0))+INDEX(LevelTransport,MATCH($H1412,LevelList,0))+INDEX(LevelBasic,MATCH($H1412,LevelList,0))*INDEX(LevelBonus,MATCH($H1412,LevelList,0))+(INDEX(LevelBasic,MATCH($H1412,LevelList,0))+INDEX(LevelHousing,MATCH($H1412,LevelList,0)))*GosiSaudi,0))</f>
        <v>0</v>
      </c>
      <c r="W1412" s="35" t="n">
        <f aca="false">IFERROR(INDEX(LevelOneOff,MATCH($H1412,LevelList,0)),0)</f>
        <v>0</v>
      </c>
      <c r="X1412" s="35" t="str">
        <f aca="false">IF($G1412="","",$V1412*N($L1412))</f>
        <v/>
      </c>
      <c r="Y1412" s="35" t="str">
        <f aca="false">IF($G1412="","",$V1412*(N($M1412)*1+N($N1412)*0.75+N($O1412)*0.5+N($P1412)*0.25)+$W1412*N($L1412))</f>
        <v/>
      </c>
      <c r="Z1412" s="35" t="str">
        <f aca="false">IF($G1412="","",$U1412*1000000+ROW())</f>
        <v/>
      </c>
      <c r="AA1412" s="36" t="str">
        <f aca="false">IF($G1412="","",MID(IF($C1412="",", no division","")&amp;IF($E1412="",", no unit","")&amp;IF($H1412="",", no career level","")&amp;IF(N($L1412)&lt;=0,", no quarter split","")&amp;IF($R1412="",", no driver","")&amp;IF(AND($H1412&lt;&gt;"",COUNTIF(CareerLevels,$H1412)=0),", a career level that is not on the ladder","")&amp;IF(AND($R1412&lt;&gt;"",COUNTIF(DriverList,$R1412)=0),", a driver that is not on the list","")&amp;IF(ABS(N($L1412)-(N($M1412)+N($N1412)+N($O1412)+N($P1412)))&gt;0.001,", a total that does not match its quarters",""),3,300))</f>
        <v/>
      </c>
    </row>
    <row r="1413" customFormat="false" ht="15" hidden="false" customHeight="false" outlineLevel="0" collapsed="false">
      <c r="A1413" s="33" t="str">
        <f aca="false">IF($G1413="","","Operations Group")</f>
        <v/>
      </c>
      <c r="B1413" s="19"/>
      <c r="C1413" s="19"/>
      <c r="D1413" s="19"/>
      <c r="E1413" s="19"/>
      <c r="F1413" s="19"/>
      <c r="G1413" s="19"/>
      <c r="H1413" s="19"/>
      <c r="I1413" s="19"/>
      <c r="J1413" s="19"/>
      <c r="K1413" s="19"/>
      <c r="L1413" s="19"/>
      <c r="M1413" s="19"/>
      <c r="N1413" s="19"/>
      <c r="O1413" s="19"/>
      <c r="P1413" s="19"/>
      <c r="Q1413" s="19"/>
      <c r="R1413" s="19"/>
      <c r="S1413" s="19"/>
      <c r="T1413" s="34" t="str">
        <f aca="false">IF($R1413="","",IFERROR(INDEX(DriverCategory,MATCH($R1413,DriverList,0)),"BAU"))</f>
        <v/>
      </c>
      <c r="U1413" s="34" t="str">
        <f aca="false">IF($R1413="","",IFERROR(INDEX(DriverRank,MATCH($R1413,DriverList,0)),99))</f>
        <v/>
      </c>
      <c r="V1413" s="35" t="n">
        <f aca="false">IF($H1413="",0,IFERROR(INDEX(LevelBasic,MATCH($H1413,LevelList,0))+INDEX(LevelHousing,MATCH($H1413,LevelList,0))+INDEX(LevelTransport,MATCH($H1413,LevelList,0))+INDEX(LevelBasic,MATCH($H1413,LevelList,0))*INDEX(LevelBonus,MATCH($H1413,LevelList,0))+(INDEX(LevelBasic,MATCH($H1413,LevelList,0))+INDEX(LevelHousing,MATCH($H1413,LevelList,0)))*GosiSaudi,0))</f>
        <v>0</v>
      </c>
      <c r="W1413" s="35" t="n">
        <f aca="false">IFERROR(INDEX(LevelOneOff,MATCH($H1413,LevelList,0)),0)</f>
        <v>0</v>
      </c>
      <c r="X1413" s="35" t="str">
        <f aca="false">IF($G1413="","",$V1413*N($L1413))</f>
        <v/>
      </c>
      <c r="Y1413" s="35" t="str">
        <f aca="false">IF($G1413="","",$V1413*(N($M1413)*1+N($N1413)*0.75+N($O1413)*0.5+N($P1413)*0.25)+$W1413*N($L1413))</f>
        <v/>
      </c>
      <c r="Z1413" s="35" t="str">
        <f aca="false">IF($G1413="","",$U1413*1000000+ROW())</f>
        <v/>
      </c>
      <c r="AA1413" s="36" t="str">
        <f aca="false">IF($G1413="","",MID(IF($C1413="",", no division","")&amp;IF($E1413="",", no unit","")&amp;IF($H1413="",", no career level","")&amp;IF(N($L1413)&lt;=0,", no quarter split","")&amp;IF($R1413="",", no driver","")&amp;IF(AND($H1413&lt;&gt;"",COUNTIF(CareerLevels,$H1413)=0),", a career level that is not on the ladder","")&amp;IF(AND($R1413&lt;&gt;"",COUNTIF(DriverList,$R1413)=0),", a driver that is not on the list","")&amp;IF(ABS(N($L1413)-(N($M1413)+N($N1413)+N($O1413)+N($P1413)))&gt;0.001,", a total that does not match its quarters",""),3,300))</f>
        <v/>
      </c>
    </row>
    <row r="1414" customFormat="false" ht="15" hidden="false" customHeight="false" outlineLevel="0" collapsed="false">
      <c r="A1414" s="33" t="str">
        <f aca="false">IF($G1414="","","Operations Group")</f>
        <v/>
      </c>
      <c r="B1414" s="19"/>
      <c r="C1414" s="19"/>
      <c r="D1414" s="19"/>
      <c r="E1414" s="19"/>
      <c r="F1414" s="19"/>
      <c r="G1414" s="19"/>
      <c r="H1414" s="19"/>
      <c r="I1414" s="19"/>
      <c r="J1414" s="19"/>
      <c r="K1414" s="19"/>
      <c r="L1414" s="19"/>
      <c r="M1414" s="19"/>
      <c r="N1414" s="19"/>
      <c r="O1414" s="19"/>
      <c r="P1414" s="19"/>
      <c r="Q1414" s="19"/>
      <c r="R1414" s="19"/>
      <c r="S1414" s="19"/>
      <c r="T1414" s="34" t="str">
        <f aca="false">IF($R1414="","",IFERROR(INDEX(DriverCategory,MATCH($R1414,DriverList,0)),"BAU"))</f>
        <v/>
      </c>
      <c r="U1414" s="34" t="str">
        <f aca="false">IF($R1414="","",IFERROR(INDEX(DriverRank,MATCH($R1414,DriverList,0)),99))</f>
        <v/>
      </c>
      <c r="V1414" s="35" t="n">
        <f aca="false">IF($H1414="",0,IFERROR(INDEX(LevelBasic,MATCH($H1414,LevelList,0))+INDEX(LevelHousing,MATCH($H1414,LevelList,0))+INDEX(LevelTransport,MATCH($H1414,LevelList,0))+INDEX(LevelBasic,MATCH($H1414,LevelList,0))*INDEX(LevelBonus,MATCH($H1414,LevelList,0))+(INDEX(LevelBasic,MATCH($H1414,LevelList,0))+INDEX(LevelHousing,MATCH($H1414,LevelList,0)))*GosiSaudi,0))</f>
        <v>0</v>
      </c>
      <c r="W1414" s="35" t="n">
        <f aca="false">IFERROR(INDEX(LevelOneOff,MATCH($H1414,LevelList,0)),0)</f>
        <v>0</v>
      </c>
      <c r="X1414" s="35" t="str">
        <f aca="false">IF($G1414="","",$V1414*N($L1414))</f>
        <v/>
      </c>
      <c r="Y1414" s="35" t="str">
        <f aca="false">IF($G1414="","",$V1414*(N($M1414)*1+N($N1414)*0.75+N($O1414)*0.5+N($P1414)*0.25)+$W1414*N($L1414))</f>
        <v/>
      </c>
      <c r="Z1414" s="35" t="str">
        <f aca="false">IF($G1414="","",$U1414*1000000+ROW())</f>
        <v/>
      </c>
      <c r="AA1414" s="36" t="str">
        <f aca="false">IF($G1414="","",MID(IF($C1414="",", no division","")&amp;IF($E1414="",", no unit","")&amp;IF($H1414="",", no career level","")&amp;IF(N($L1414)&lt;=0,", no quarter split","")&amp;IF($R1414="",", no driver","")&amp;IF(AND($H1414&lt;&gt;"",COUNTIF(CareerLevels,$H1414)=0),", a career level that is not on the ladder","")&amp;IF(AND($R1414&lt;&gt;"",COUNTIF(DriverList,$R1414)=0),", a driver that is not on the list","")&amp;IF(ABS(N($L1414)-(N($M1414)+N($N1414)+N($O1414)+N($P1414)))&gt;0.001,", a total that does not match its quarters",""),3,300))</f>
        <v/>
      </c>
    </row>
    <row r="1415" customFormat="false" ht="15" hidden="false" customHeight="false" outlineLevel="0" collapsed="false">
      <c r="A1415" s="33" t="str">
        <f aca="false">IF($G1415="","","Operations Group")</f>
        <v/>
      </c>
      <c r="B1415" s="19"/>
      <c r="C1415" s="19"/>
      <c r="D1415" s="19"/>
      <c r="E1415" s="19"/>
      <c r="F1415" s="19"/>
      <c r="G1415" s="19"/>
      <c r="H1415" s="19"/>
      <c r="I1415" s="19"/>
      <c r="J1415" s="19"/>
      <c r="K1415" s="19"/>
      <c r="L1415" s="19"/>
      <c r="M1415" s="19"/>
      <c r="N1415" s="19"/>
      <c r="O1415" s="19"/>
      <c r="P1415" s="19"/>
      <c r="Q1415" s="19"/>
      <c r="R1415" s="19"/>
      <c r="S1415" s="19"/>
      <c r="T1415" s="34" t="str">
        <f aca="false">IF($R1415="","",IFERROR(INDEX(DriverCategory,MATCH($R1415,DriverList,0)),"BAU"))</f>
        <v/>
      </c>
      <c r="U1415" s="34" t="str">
        <f aca="false">IF($R1415="","",IFERROR(INDEX(DriverRank,MATCH($R1415,DriverList,0)),99))</f>
        <v/>
      </c>
      <c r="V1415" s="35" t="n">
        <f aca="false">IF($H1415="",0,IFERROR(INDEX(LevelBasic,MATCH($H1415,LevelList,0))+INDEX(LevelHousing,MATCH($H1415,LevelList,0))+INDEX(LevelTransport,MATCH($H1415,LevelList,0))+INDEX(LevelBasic,MATCH($H1415,LevelList,0))*INDEX(LevelBonus,MATCH($H1415,LevelList,0))+(INDEX(LevelBasic,MATCH($H1415,LevelList,0))+INDEX(LevelHousing,MATCH($H1415,LevelList,0)))*GosiSaudi,0))</f>
        <v>0</v>
      </c>
      <c r="W1415" s="35" t="n">
        <f aca="false">IFERROR(INDEX(LevelOneOff,MATCH($H1415,LevelList,0)),0)</f>
        <v>0</v>
      </c>
      <c r="X1415" s="35" t="str">
        <f aca="false">IF($G1415="","",$V1415*N($L1415))</f>
        <v/>
      </c>
      <c r="Y1415" s="35" t="str">
        <f aca="false">IF($G1415="","",$V1415*(N($M1415)*1+N($N1415)*0.75+N($O1415)*0.5+N($P1415)*0.25)+$W1415*N($L1415))</f>
        <v/>
      </c>
      <c r="Z1415" s="35" t="str">
        <f aca="false">IF($G1415="","",$U1415*1000000+ROW())</f>
        <v/>
      </c>
      <c r="AA1415" s="36" t="str">
        <f aca="false">IF($G1415="","",MID(IF($C1415="",", no division","")&amp;IF($E1415="",", no unit","")&amp;IF($H1415="",", no career level","")&amp;IF(N($L1415)&lt;=0,", no quarter split","")&amp;IF($R1415="",", no driver","")&amp;IF(AND($H1415&lt;&gt;"",COUNTIF(CareerLevels,$H1415)=0),", a career level that is not on the ladder","")&amp;IF(AND($R1415&lt;&gt;"",COUNTIF(DriverList,$R1415)=0),", a driver that is not on the list","")&amp;IF(ABS(N($L1415)-(N($M1415)+N($N1415)+N($O1415)+N($P1415)))&gt;0.001,", a total that does not match its quarters",""),3,300))</f>
        <v/>
      </c>
    </row>
    <row r="1416" customFormat="false" ht="15" hidden="false" customHeight="false" outlineLevel="0" collapsed="false">
      <c r="A1416" s="33" t="str">
        <f aca="false">IF($G1416="","","Operations Group")</f>
        <v/>
      </c>
      <c r="B1416" s="19"/>
      <c r="C1416" s="19"/>
      <c r="D1416" s="19"/>
      <c r="E1416" s="19"/>
      <c r="F1416" s="19"/>
      <c r="G1416" s="19"/>
      <c r="H1416" s="19"/>
      <c r="I1416" s="19"/>
      <c r="J1416" s="19"/>
      <c r="K1416" s="19"/>
      <c r="L1416" s="19"/>
      <c r="M1416" s="19"/>
      <c r="N1416" s="19"/>
      <c r="O1416" s="19"/>
      <c r="P1416" s="19"/>
      <c r="Q1416" s="19"/>
      <c r="R1416" s="19"/>
      <c r="S1416" s="19"/>
      <c r="T1416" s="34" t="str">
        <f aca="false">IF($R1416="","",IFERROR(INDEX(DriverCategory,MATCH($R1416,DriverList,0)),"BAU"))</f>
        <v/>
      </c>
      <c r="U1416" s="34" t="str">
        <f aca="false">IF($R1416="","",IFERROR(INDEX(DriverRank,MATCH($R1416,DriverList,0)),99))</f>
        <v/>
      </c>
      <c r="V1416" s="35" t="n">
        <f aca="false">IF($H1416="",0,IFERROR(INDEX(LevelBasic,MATCH($H1416,LevelList,0))+INDEX(LevelHousing,MATCH($H1416,LevelList,0))+INDEX(LevelTransport,MATCH($H1416,LevelList,0))+INDEX(LevelBasic,MATCH($H1416,LevelList,0))*INDEX(LevelBonus,MATCH($H1416,LevelList,0))+(INDEX(LevelBasic,MATCH($H1416,LevelList,0))+INDEX(LevelHousing,MATCH($H1416,LevelList,0)))*GosiSaudi,0))</f>
        <v>0</v>
      </c>
      <c r="W1416" s="35" t="n">
        <f aca="false">IFERROR(INDEX(LevelOneOff,MATCH($H1416,LevelList,0)),0)</f>
        <v>0</v>
      </c>
      <c r="X1416" s="35" t="str">
        <f aca="false">IF($G1416="","",$V1416*N($L1416))</f>
        <v/>
      </c>
      <c r="Y1416" s="35" t="str">
        <f aca="false">IF($G1416="","",$V1416*(N($M1416)*1+N($N1416)*0.75+N($O1416)*0.5+N($P1416)*0.25)+$W1416*N($L1416))</f>
        <v/>
      </c>
      <c r="Z1416" s="35" t="str">
        <f aca="false">IF($G1416="","",$U1416*1000000+ROW())</f>
        <v/>
      </c>
      <c r="AA1416" s="36" t="str">
        <f aca="false">IF($G1416="","",MID(IF($C1416="",", no division","")&amp;IF($E1416="",", no unit","")&amp;IF($H1416="",", no career level","")&amp;IF(N($L1416)&lt;=0,", no quarter split","")&amp;IF($R1416="",", no driver","")&amp;IF(AND($H1416&lt;&gt;"",COUNTIF(CareerLevels,$H1416)=0),", a career level that is not on the ladder","")&amp;IF(AND($R1416&lt;&gt;"",COUNTIF(DriverList,$R1416)=0),", a driver that is not on the list","")&amp;IF(ABS(N($L1416)-(N($M1416)+N($N1416)+N($O1416)+N($P1416)))&gt;0.001,", a total that does not match its quarters",""),3,300))</f>
        <v/>
      </c>
    </row>
    <row r="1417" customFormat="false" ht="15" hidden="false" customHeight="false" outlineLevel="0" collapsed="false">
      <c r="A1417" s="33" t="str">
        <f aca="false">IF($G1417="","","Operations Group")</f>
        <v/>
      </c>
      <c r="B1417" s="19"/>
      <c r="C1417" s="19"/>
      <c r="D1417" s="19"/>
      <c r="E1417" s="19"/>
      <c r="F1417" s="19"/>
      <c r="G1417" s="19"/>
      <c r="H1417" s="19"/>
      <c r="I1417" s="19"/>
      <c r="J1417" s="19"/>
      <c r="K1417" s="19"/>
      <c r="L1417" s="19"/>
      <c r="M1417" s="19"/>
      <c r="N1417" s="19"/>
      <c r="O1417" s="19"/>
      <c r="P1417" s="19"/>
      <c r="Q1417" s="19"/>
      <c r="R1417" s="19"/>
      <c r="S1417" s="19"/>
      <c r="T1417" s="34" t="str">
        <f aca="false">IF($R1417="","",IFERROR(INDEX(DriverCategory,MATCH($R1417,DriverList,0)),"BAU"))</f>
        <v/>
      </c>
      <c r="U1417" s="34" t="str">
        <f aca="false">IF($R1417="","",IFERROR(INDEX(DriverRank,MATCH($R1417,DriverList,0)),99))</f>
        <v/>
      </c>
      <c r="V1417" s="35" t="n">
        <f aca="false">IF($H1417="",0,IFERROR(INDEX(LevelBasic,MATCH($H1417,LevelList,0))+INDEX(LevelHousing,MATCH($H1417,LevelList,0))+INDEX(LevelTransport,MATCH($H1417,LevelList,0))+INDEX(LevelBasic,MATCH($H1417,LevelList,0))*INDEX(LevelBonus,MATCH($H1417,LevelList,0))+(INDEX(LevelBasic,MATCH($H1417,LevelList,0))+INDEX(LevelHousing,MATCH($H1417,LevelList,0)))*GosiSaudi,0))</f>
        <v>0</v>
      </c>
      <c r="W1417" s="35" t="n">
        <f aca="false">IFERROR(INDEX(LevelOneOff,MATCH($H1417,LevelList,0)),0)</f>
        <v>0</v>
      </c>
      <c r="X1417" s="35" t="str">
        <f aca="false">IF($G1417="","",$V1417*N($L1417))</f>
        <v/>
      </c>
      <c r="Y1417" s="35" t="str">
        <f aca="false">IF($G1417="","",$V1417*(N($M1417)*1+N($N1417)*0.75+N($O1417)*0.5+N($P1417)*0.25)+$W1417*N($L1417))</f>
        <v/>
      </c>
      <c r="Z1417" s="35" t="str">
        <f aca="false">IF($G1417="","",$U1417*1000000+ROW())</f>
        <v/>
      </c>
      <c r="AA1417" s="36" t="str">
        <f aca="false">IF($G1417="","",MID(IF($C1417="",", no division","")&amp;IF($E1417="",", no unit","")&amp;IF($H1417="",", no career level","")&amp;IF(N($L1417)&lt;=0,", no quarter split","")&amp;IF($R1417="",", no driver","")&amp;IF(AND($H1417&lt;&gt;"",COUNTIF(CareerLevels,$H1417)=0),", a career level that is not on the ladder","")&amp;IF(AND($R1417&lt;&gt;"",COUNTIF(DriverList,$R1417)=0),", a driver that is not on the list","")&amp;IF(ABS(N($L1417)-(N($M1417)+N($N1417)+N($O1417)+N($P1417)))&gt;0.001,", a total that does not match its quarters",""),3,300))</f>
        <v/>
      </c>
    </row>
    <row r="1418" customFormat="false" ht="15" hidden="false" customHeight="false" outlineLevel="0" collapsed="false">
      <c r="A1418" s="33" t="str">
        <f aca="false">IF($G1418="","","Operations Group")</f>
        <v/>
      </c>
      <c r="B1418" s="19"/>
      <c r="C1418" s="19"/>
      <c r="D1418" s="19"/>
      <c r="E1418" s="19"/>
      <c r="F1418" s="19"/>
      <c r="G1418" s="19"/>
      <c r="H1418" s="19"/>
      <c r="I1418" s="19"/>
      <c r="J1418" s="19"/>
      <c r="K1418" s="19"/>
      <c r="L1418" s="19"/>
      <c r="M1418" s="19"/>
      <c r="N1418" s="19"/>
      <c r="O1418" s="19"/>
      <c r="P1418" s="19"/>
      <c r="Q1418" s="19"/>
      <c r="R1418" s="19"/>
      <c r="S1418" s="19"/>
      <c r="T1418" s="34" t="str">
        <f aca="false">IF($R1418="","",IFERROR(INDEX(DriverCategory,MATCH($R1418,DriverList,0)),"BAU"))</f>
        <v/>
      </c>
      <c r="U1418" s="34" t="str">
        <f aca="false">IF($R1418="","",IFERROR(INDEX(DriverRank,MATCH($R1418,DriverList,0)),99))</f>
        <v/>
      </c>
      <c r="V1418" s="35" t="n">
        <f aca="false">IF($H1418="",0,IFERROR(INDEX(LevelBasic,MATCH($H1418,LevelList,0))+INDEX(LevelHousing,MATCH($H1418,LevelList,0))+INDEX(LevelTransport,MATCH($H1418,LevelList,0))+INDEX(LevelBasic,MATCH($H1418,LevelList,0))*INDEX(LevelBonus,MATCH($H1418,LevelList,0))+(INDEX(LevelBasic,MATCH($H1418,LevelList,0))+INDEX(LevelHousing,MATCH($H1418,LevelList,0)))*GosiSaudi,0))</f>
        <v>0</v>
      </c>
      <c r="W1418" s="35" t="n">
        <f aca="false">IFERROR(INDEX(LevelOneOff,MATCH($H1418,LevelList,0)),0)</f>
        <v>0</v>
      </c>
      <c r="X1418" s="35" t="str">
        <f aca="false">IF($G1418="","",$V1418*N($L1418))</f>
        <v/>
      </c>
      <c r="Y1418" s="35" t="str">
        <f aca="false">IF($G1418="","",$V1418*(N($M1418)*1+N($N1418)*0.75+N($O1418)*0.5+N($P1418)*0.25)+$W1418*N($L1418))</f>
        <v/>
      </c>
      <c r="Z1418" s="35" t="str">
        <f aca="false">IF($G1418="","",$U1418*1000000+ROW())</f>
        <v/>
      </c>
      <c r="AA1418" s="36" t="str">
        <f aca="false">IF($G1418="","",MID(IF($C1418="",", no division","")&amp;IF($E1418="",", no unit","")&amp;IF($H1418="",", no career level","")&amp;IF(N($L1418)&lt;=0,", no quarter split","")&amp;IF($R1418="",", no driver","")&amp;IF(AND($H1418&lt;&gt;"",COUNTIF(CareerLevels,$H1418)=0),", a career level that is not on the ladder","")&amp;IF(AND($R1418&lt;&gt;"",COUNTIF(DriverList,$R1418)=0),", a driver that is not on the list","")&amp;IF(ABS(N($L1418)-(N($M1418)+N($N1418)+N($O1418)+N($P1418)))&gt;0.001,", a total that does not match its quarters",""),3,300))</f>
        <v/>
      </c>
    </row>
    <row r="1419" customFormat="false" ht="15" hidden="false" customHeight="false" outlineLevel="0" collapsed="false">
      <c r="A1419" s="33" t="str">
        <f aca="false">IF($G1419="","","Operations Group")</f>
        <v/>
      </c>
      <c r="B1419" s="19"/>
      <c r="C1419" s="19"/>
      <c r="D1419" s="19"/>
      <c r="E1419" s="19"/>
      <c r="F1419" s="19"/>
      <c r="G1419" s="19"/>
      <c r="H1419" s="19"/>
      <c r="I1419" s="19"/>
      <c r="J1419" s="19"/>
      <c r="K1419" s="19"/>
      <c r="L1419" s="19"/>
      <c r="M1419" s="19"/>
      <c r="N1419" s="19"/>
      <c r="O1419" s="19"/>
      <c r="P1419" s="19"/>
      <c r="Q1419" s="19"/>
      <c r="R1419" s="19"/>
      <c r="S1419" s="19"/>
      <c r="T1419" s="34" t="str">
        <f aca="false">IF($R1419="","",IFERROR(INDEX(DriverCategory,MATCH($R1419,DriverList,0)),"BAU"))</f>
        <v/>
      </c>
      <c r="U1419" s="34" t="str">
        <f aca="false">IF($R1419="","",IFERROR(INDEX(DriverRank,MATCH($R1419,DriverList,0)),99))</f>
        <v/>
      </c>
      <c r="V1419" s="35" t="n">
        <f aca="false">IF($H1419="",0,IFERROR(INDEX(LevelBasic,MATCH($H1419,LevelList,0))+INDEX(LevelHousing,MATCH($H1419,LevelList,0))+INDEX(LevelTransport,MATCH($H1419,LevelList,0))+INDEX(LevelBasic,MATCH($H1419,LevelList,0))*INDEX(LevelBonus,MATCH($H1419,LevelList,0))+(INDEX(LevelBasic,MATCH($H1419,LevelList,0))+INDEX(LevelHousing,MATCH($H1419,LevelList,0)))*GosiSaudi,0))</f>
        <v>0</v>
      </c>
      <c r="W1419" s="35" t="n">
        <f aca="false">IFERROR(INDEX(LevelOneOff,MATCH($H1419,LevelList,0)),0)</f>
        <v>0</v>
      </c>
      <c r="X1419" s="35" t="str">
        <f aca="false">IF($G1419="","",$V1419*N($L1419))</f>
        <v/>
      </c>
      <c r="Y1419" s="35" t="str">
        <f aca="false">IF($G1419="","",$V1419*(N($M1419)*1+N($N1419)*0.75+N($O1419)*0.5+N($P1419)*0.25)+$W1419*N($L1419))</f>
        <v/>
      </c>
      <c r="Z1419" s="35" t="str">
        <f aca="false">IF($G1419="","",$U1419*1000000+ROW())</f>
        <v/>
      </c>
      <c r="AA1419" s="36" t="str">
        <f aca="false">IF($G1419="","",MID(IF($C1419="",", no division","")&amp;IF($E1419="",", no unit","")&amp;IF($H1419="",", no career level","")&amp;IF(N($L1419)&lt;=0,", no quarter split","")&amp;IF($R1419="",", no driver","")&amp;IF(AND($H1419&lt;&gt;"",COUNTIF(CareerLevels,$H1419)=0),", a career level that is not on the ladder","")&amp;IF(AND($R1419&lt;&gt;"",COUNTIF(DriverList,$R1419)=0),", a driver that is not on the list","")&amp;IF(ABS(N($L1419)-(N($M1419)+N($N1419)+N($O1419)+N($P1419)))&gt;0.001,", a total that does not match its quarters",""),3,300))</f>
        <v/>
      </c>
    </row>
    <row r="1420" customFormat="false" ht="15" hidden="false" customHeight="false" outlineLevel="0" collapsed="false">
      <c r="A1420" s="33" t="str">
        <f aca="false">IF($G1420="","","Operations Group")</f>
        <v/>
      </c>
      <c r="B1420" s="19"/>
      <c r="C1420" s="19"/>
      <c r="D1420" s="19"/>
      <c r="E1420" s="19"/>
      <c r="F1420" s="19"/>
      <c r="G1420" s="19"/>
      <c r="H1420" s="19"/>
      <c r="I1420" s="19"/>
      <c r="J1420" s="19"/>
      <c r="K1420" s="19"/>
      <c r="L1420" s="19"/>
      <c r="M1420" s="19"/>
      <c r="N1420" s="19"/>
      <c r="O1420" s="19"/>
      <c r="P1420" s="19"/>
      <c r="Q1420" s="19"/>
      <c r="R1420" s="19"/>
      <c r="S1420" s="19"/>
      <c r="T1420" s="34" t="str">
        <f aca="false">IF($R1420="","",IFERROR(INDEX(DriverCategory,MATCH($R1420,DriverList,0)),"BAU"))</f>
        <v/>
      </c>
      <c r="U1420" s="34" t="str">
        <f aca="false">IF($R1420="","",IFERROR(INDEX(DriverRank,MATCH($R1420,DriverList,0)),99))</f>
        <v/>
      </c>
      <c r="V1420" s="35" t="n">
        <f aca="false">IF($H1420="",0,IFERROR(INDEX(LevelBasic,MATCH($H1420,LevelList,0))+INDEX(LevelHousing,MATCH($H1420,LevelList,0))+INDEX(LevelTransport,MATCH($H1420,LevelList,0))+INDEX(LevelBasic,MATCH($H1420,LevelList,0))*INDEX(LevelBonus,MATCH($H1420,LevelList,0))+(INDEX(LevelBasic,MATCH($H1420,LevelList,0))+INDEX(LevelHousing,MATCH($H1420,LevelList,0)))*GosiSaudi,0))</f>
        <v>0</v>
      </c>
      <c r="W1420" s="35" t="n">
        <f aca="false">IFERROR(INDEX(LevelOneOff,MATCH($H1420,LevelList,0)),0)</f>
        <v>0</v>
      </c>
      <c r="X1420" s="35" t="str">
        <f aca="false">IF($G1420="","",$V1420*N($L1420))</f>
        <v/>
      </c>
      <c r="Y1420" s="35" t="str">
        <f aca="false">IF($G1420="","",$V1420*(N($M1420)*1+N($N1420)*0.75+N($O1420)*0.5+N($P1420)*0.25)+$W1420*N($L1420))</f>
        <v/>
      </c>
      <c r="Z1420" s="35" t="str">
        <f aca="false">IF($G1420="","",$U1420*1000000+ROW())</f>
        <v/>
      </c>
      <c r="AA1420" s="36" t="str">
        <f aca="false">IF($G1420="","",MID(IF($C1420="",", no division","")&amp;IF($E1420="",", no unit","")&amp;IF($H1420="",", no career level","")&amp;IF(N($L1420)&lt;=0,", no quarter split","")&amp;IF($R1420="",", no driver","")&amp;IF(AND($H1420&lt;&gt;"",COUNTIF(CareerLevels,$H1420)=0),", a career level that is not on the ladder","")&amp;IF(AND($R1420&lt;&gt;"",COUNTIF(DriverList,$R1420)=0),", a driver that is not on the list","")&amp;IF(ABS(N($L1420)-(N($M1420)+N($N1420)+N($O1420)+N($P1420)))&gt;0.001,", a total that does not match its quarters",""),3,300))</f>
        <v/>
      </c>
    </row>
    <row r="1421" customFormat="false" ht="15" hidden="false" customHeight="false" outlineLevel="0" collapsed="false">
      <c r="A1421" s="33" t="str">
        <f aca="false">IF($G1421="","","Operations Group")</f>
        <v/>
      </c>
      <c r="B1421" s="19"/>
      <c r="C1421" s="19"/>
      <c r="D1421" s="19"/>
      <c r="E1421" s="19"/>
      <c r="F1421" s="19"/>
      <c r="G1421" s="19"/>
      <c r="H1421" s="19"/>
      <c r="I1421" s="19"/>
      <c r="J1421" s="19"/>
      <c r="K1421" s="19"/>
      <c r="L1421" s="19"/>
      <c r="M1421" s="19"/>
      <c r="N1421" s="19"/>
      <c r="O1421" s="19"/>
      <c r="P1421" s="19"/>
      <c r="Q1421" s="19"/>
      <c r="R1421" s="19"/>
      <c r="S1421" s="19"/>
      <c r="T1421" s="34" t="str">
        <f aca="false">IF($R1421="","",IFERROR(INDEX(DriverCategory,MATCH($R1421,DriverList,0)),"BAU"))</f>
        <v/>
      </c>
      <c r="U1421" s="34" t="str">
        <f aca="false">IF($R1421="","",IFERROR(INDEX(DriverRank,MATCH($R1421,DriverList,0)),99))</f>
        <v/>
      </c>
      <c r="V1421" s="35" t="n">
        <f aca="false">IF($H1421="",0,IFERROR(INDEX(LevelBasic,MATCH($H1421,LevelList,0))+INDEX(LevelHousing,MATCH($H1421,LevelList,0))+INDEX(LevelTransport,MATCH($H1421,LevelList,0))+INDEX(LevelBasic,MATCH($H1421,LevelList,0))*INDEX(LevelBonus,MATCH($H1421,LevelList,0))+(INDEX(LevelBasic,MATCH($H1421,LevelList,0))+INDEX(LevelHousing,MATCH($H1421,LevelList,0)))*GosiSaudi,0))</f>
        <v>0</v>
      </c>
      <c r="W1421" s="35" t="n">
        <f aca="false">IFERROR(INDEX(LevelOneOff,MATCH($H1421,LevelList,0)),0)</f>
        <v>0</v>
      </c>
      <c r="X1421" s="35" t="str">
        <f aca="false">IF($G1421="","",$V1421*N($L1421))</f>
        <v/>
      </c>
      <c r="Y1421" s="35" t="str">
        <f aca="false">IF($G1421="","",$V1421*(N($M1421)*1+N($N1421)*0.75+N($O1421)*0.5+N($P1421)*0.25)+$W1421*N($L1421))</f>
        <v/>
      </c>
      <c r="Z1421" s="35" t="str">
        <f aca="false">IF($G1421="","",$U1421*1000000+ROW())</f>
        <v/>
      </c>
      <c r="AA1421" s="36" t="str">
        <f aca="false">IF($G1421="","",MID(IF($C1421="",", no division","")&amp;IF($E1421="",", no unit","")&amp;IF($H1421="",", no career level","")&amp;IF(N($L1421)&lt;=0,", no quarter split","")&amp;IF($R1421="",", no driver","")&amp;IF(AND($H1421&lt;&gt;"",COUNTIF(CareerLevels,$H1421)=0),", a career level that is not on the ladder","")&amp;IF(AND($R1421&lt;&gt;"",COUNTIF(DriverList,$R1421)=0),", a driver that is not on the list","")&amp;IF(ABS(N($L1421)-(N($M1421)+N($N1421)+N($O1421)+N($P1421)))&gt;0.001,", a total that does not match its quarters",""),3,300))</f>
        <v/>
      </c>
    </row>
    <row r="1422" customFormat="false" ht="15" hidden="false" customHeight="false" outlineLevel="0" collapsed="false">
      <c r="A1422" s="33" t="str">
        <f aca="false">IF($G1422="","","Operations Group")</f>
        <v/>
      </c>
      <c r="B1422" s="19"/>
      <c r="C1422" s="19"/>
      <c r="D1422" s="19"/>
      <c r="E1422" s="19"/>
      <c r="F1422" s="19"/>
      <c r="G1422" s="19"/>
      <c r="H1422" s="19"/>
      <c r="I1422" s="19"/>
      <c r="J1422" s="19"/>
      <c r="K1422" s="19"/>
      <c r="L1422" s="19"/>
      <c r="M1422" s="19"/>
      <c r="N1422" s="19"/>
      <c r="O1422" s="19"/>
      <c r="P1422" s="19"/>
      <c r="Q1422" s="19"/>
      <c r="R1422" s="19"/>
      <c r="S1422" s="19"/>
      <c r="T1422" s="34" t="str">
        <f aca="false">IF($R1422="","",IFERROR(INDEX(DriverCategory,MATCH($R1422,DriverList,0)),"BAU"))</f>
        <v/>
      </c>
      <c r="U1422" s="34" t="str">
        <f aca="false">IF($R1422="","",IFERROR(INDEX(DriverRank,MATCH($R1422,DriverList,0)),99))</f>
        <v/>
      </c>
      <c r="V1422" s="35" t="n">
        <f aca="false">IF($H1422="",0,IFERROR(INDEX(LevelBasic,MATCH($H1422,LevelList,0))+INDEX(LevelHousing,MATCH($H1422,LevelList,0))+INDEX(LevelTransport,MATCH($H1422,LevelList,0))+INDEX(LevelBasic,MATCH($H1422,LevelList,0))*INDEX(LevelBonus,MATCH($H1422,LevelList,0))+(INDEX(LevelBasic,MATCH($H1422,LevelList,0))+INDEX(LevelHousing,MATCH($H1422,LevelList,0)))*GosiSaudi,0))</f>
        <v>0</v>
      </c>
      <c r="W1422" s="35" t="n">
        <f aca="false">IFERROR(INDEX(LevelOneOff,MATCH($H1422,LevelList,0)),0)</f>
        <v>0</v>
      </c>
      <c r="X1422" s="35" t="str">
        <f aca="false">IF($G1422="","",$V1422*N($L1422))</f>
        <v/>
      </c>
      <c r="Y1422" s="35" t="str">
        <f aca="false">IF($G1422="","",$V1422*(N($M1422)*1+N($N1422)*0.75+N($O1422)*0.5+N($P1422)*0.25)+$W1422*N($L1422))</f>
        <v/>
      </c>
      <c r="Z1422" s="35" t="str">
        <f aca="false">IF($G1422="","",$U1422*1000000+ROW())</f>
        <v/>
      </c>
      <c r="AA1422" s="36" t="str">
        <f aca="false">IF($G1422="","",MID(IF($C1422="",", no division","")&amp;IF($E1422="",", no unit","")&amp;IF($H1422="",", no career level","")&amp;IF(N($L1422)&lt;=0,", no quarter split","")&amp;IF($R1422="",", no driver","")&amp;IF(AND($H1422&lt;&gt;"",COUNTIF(CareerLevels,$H1422)=0),", a career level that is not on the ladder","")&amp;IF(AND($R1422&lt;&gt;"",COUNTIF(DriverList,$R1422)=0),", a driver that is not on the list","")&amp;IF(ABS(N($L1422)-(N($M1422)+N($N1422)+N($O1422)+N($P1422)))&gt;0.001,", a total that does not match its quarters",""),3,300))</f>
        <v/>
      </c>
    </row>
    <row r="1423" customFormat="false" ht="15" hidden="false" customHeight="false" outlineLevel="0" collapsed="false">
      <c r="A1423" s="33" t="str">
        <f aca="false">IF($G1423="","","Operations Group")</f>
        <v/>
      </c>
      <c r="B1423" s="19"/>
      <c r="C1423" s="19"/>
      <c r="D1423" s="19"/>
      <c r="E1423" s="19"/>
      <c r="F1423" s="19"/>
      <c r="G1423" s="19"/>
      <c r="H1423" s="19"/>
      <c r="I1423" s="19"/>
      <c r="J1423" s="19"/>
      <c r="K1423" s="19"/>
      <c r="L1423" s="19"/>
      <c r="M1423" s="19"/>
      <c r="N1423" s="19"/>
      <c r="O1423" s="19"/>
      <c r="P1423" s="19"/>
      <c r="Q1423" s="19"/>
      <c r="R1423" s="19"/>
      <c r="S1423" s="19"/>
      <c r="T1423" s="34" t="str">
        <f aca="false">IF($R1423="","",IFERROR(INDEX(DriverCategory,MATCH($R1423,DriverList,0)),"BAU"))</f>
        <v/>
      </c>
      <c r="U1423" s="34" t="str">
        <f aca="false">IF($R1423="","",IFERROR(INDEX(DriverRank,MATCH($R1423,DriverList,0)),99))</f>
        <v/>
      </c>
      <c r="V1423" s="35" t="n">
        <f aca="false">IF($H1423="",0,IFERROR(INDEX(LevelBasic,MATCH($H1423,LevelList,0))+INDEX(LevelHousing,MATCH($H1423,LevelList,0))+INDEX(LevelTransport,MATCH($H1423,LevelList,0))+INDEX(LevelBasic,MATCH($H1423,LevelList,0))*INDEX(LevelBonus,MATCH($H1423,LevelList,0))+(INDEX(LevelBasic,MATCH($H1423,LevelList,0))+INDEX(LevelHousing,MATCH($H1423,LevelList,0)))*GosiSaudi,0))</f>
        <v>0</v>
      </c>
      <c r="W1423" s="35" t="n">
        <f aca="false">IFERROR(INDEX(LevelOneOff,MATCH($H1423,LevelList,0)),0)</f>
        <v>0</v>
      </c>
      <c r="X1423" s="35" t="str">
        <f aca="false">IF($G1423="","",$V1423*N($L1423))</f>
        <v/>
      </c>
      <c r="Y1423" s="35" t="str">
        <f aca="false">IF($G1423="","",$V1423*(N($M1423)*1+N($N1423)*0.75+N($O1423)*0.5+N($P1423)*0.25)+$W1423*N($L1423))</f>
        <v/>
      </c>
      <c r="Z1423" s="35" t="str">
        <f aca="false">IF($G1423="","",$U1423*1000000+ROW())</f>
        <v/>
      </c>
      <c r="AA1423" s="36" t="str">
        <f aca="false">IF($G1423="","",MID(IF($C1423="",", no division","")&amp;IF($E1423="",", no unit","")&amp;IF($H1423="",", no career level","")&amp;IF(N($L1423)&lt;=0,", no quarter split","")&amp;IF($R1423="",", no driver","")&amp;IF(AND($H1423&lt;&gt;"",COUNTIF(CareerLevels,$H1423)=0),", a career level that is not on the ladder","")&amp;IF(AND($R1423&lt;&gt;"",COUNTIF(DriverList,$R1423)=0),", a driver that is not on the list","")&amp;IF(ABS(N($L1423)-(N($M1423)+N($N1423)+N($O1423)+N($P1423)))&gt;0.001,", a total that does not match its quarters",""),3,300))</f>
        <v/>
      </c>
    </row>
    <row r="1424" customFormat="false" ht="15" hidden="false" customHeight="false" outlineLevel="0" collapsed="false">
      <c r="A1424" s="33" t="str">
        <f aca="false">IF($G1424="","","Operations Group")</f>
        <v/>
      </c>
      <c r="B1424" s="19"/>
      <c r="C1424" s="19"/>
      <c r="D1424" s="19"/>
      <c r="E1424" s="19"/>
      <c r="F1424" s="19"/>
      <c r="G1424" s="19"/>
      <c r="H1424" s="19"/>
      <c r="I1424" s="19"/>
      <c r="J1424" s="19"/>
      <c r="K1424" s="19"/>
      <c r="L1424" s="19"/>
      <c r="M1424" s="19"/>
      <c r="N1424" s="19"/>
      <c r="O1424" s="19"/>
      <c r="P1424" s="19"/>
      <c r="Q1424" s="19"/>
      <c r="R1424" s="19"/>
      <c r="S1424" s="19"/>
      <c r="T1424" s="34" t="str">
        <f aca="false">IF($R1424="","",IFERROR(INDEX(DriverCategory,MATCH($R1424,DriverList,0)),"BAU"))</f>
        <v/>
      </c>
      <c r="U1424" s="34" t="str">
        <f aca="false">IF($R1424="","",IFERROR(INDEX(DriverRank,MATCH($R1424,DriverList,0)),99))</f>
        <v/>
      </c>
      <c r="V1424" s="35" t="n">
        <f aca="false">IF($H1424="",0,IFERROR(INDEX(LevelBasic,MATCH($H1424,LevelList,0))+INDEX(LevelHousing,MATCH($H1424,LevelList,0))+INDEX(LevelTransport,MATCH($H1424,LevelList,0))+INDEX(LevelBasic,MATCH($H1424,LevelList,0))*INDEX(LevelBonus,MATCH($H1424,LevelList,0))+(INDEX(LevelBasic,MATCH($H1424,LevelList,0))+INDEX(LevelHousing,MATCH($H1424,LevelList,0)))*GosiSaudi,0))</f>
        <v>0</v>
      </c>
      <c r="W1424" s="35" t="n">
        <f aca="false">IFERROR(INDEX(LevelOneOff,MATCH($H1424,LevelList,0)),0)</f>
        <v>0</v>
      </c>
      <c r="X1424" s="35" t="str">
        <f aca="false">IF($G1424="","",$V1424*N($L1424))</f>
        <v/>
      </c>
      <c r="Y1424" s="35" t="str">
        <f aca="false">IF($G1424="","",$V1424*(N($M1424)*1+N($N1424)*0.75+N($O1424)*0.5+N($P1424)*0.25)+$W1424*N($L1424))</f>
        <v/>
      </c>
      <c r="Z1424" s="35" t="str">
        <f aca="false">IF($G1424="","",$U1424*1000000+ROW())</f>
        <v/>
      </c>
      <c r="AA1424" s="36" t="str">
        <f aca="false">IF($G1424="","",MID(IF($C1424="",", no division","")&amp;IF($E1424="",", no unit","")&amp;IF($H1424="",", no career level","")&amp;IF(N($L1424)&lt;=0,", no quarter split","")&amp;IF($R1424="",", no driver","")&amp;IF(AND($H1424&lt;&gt;"",COUNTIF(CareerLevels,$H1424)=0),", a career level that is not on the ladder","")&amp;IF(AND($R1424&lt;&gt;"",COUNTIF(DriverList,$R1424)=0),", a driver that is not on the list","")&amp;IF(ABS(N($L1424)-(N($M1424)+N($N1424)+N($O1424)+N($P1424)))&gt;0.001,", a total that does not match its quarters",""),3,300))</f>
        <v/>
      </c>
    </row>
    <row r="1425" customFormat="false" ht="15" hidden="false" customHeight="false" outlineLevel="0" collapsed="false">
      <c r="A1425" s="33" t="str">
        <f aca="false">IF($G1425="","","Operations Group")</f>
        <v/>
      </c>
      <c r="B1425" s="19"/>
      <c r="C1425" s="19"/>
      <c r="D1425" s="19"/>
      <c r="E1425" s="19"/>
      <c r="F1425" s="19"/>
      <c r="G1425" s="19"/>
      <c r="H1425" s="19"/>
      <c r="I1425" s="19"/>
      <c r="J1425" s="19"/>
      <c r="K1425" s="19"/>
      <c r="L1425" s="19"/>
      <c r="M1425" s="19"/>
      <c r="N1425" s="19"/>
      <c r="O1425" s="19"/>
      <c r="P1425" s="19"/>
      <c r="Q1425" s="19"/>
      <c r="R1425" s="19"/>
      <c r="S1425" s="19"/>
      <c r="T1425" s="34" t="str">
        <f aca="false">IF($R1425="","",IFERROR(INDEX(DriverCategory,MATCH($R1425,DriverList,0)),"BAU"))</f>
        <v/>
      </c>
      <c r="U1425" s="34" t="str">
        <f aca="false">IF($R1425="","",IFERROR(INDEX(DriverRank,MATCH($R1425,DriverList,0)),99))</f>
        <v/>
      </c>
      <c r="V1425" s="35" t="n">
        <f aca="false">IF($H1425="",0,IFERROR(INDEX(LevelBasic,MATCH($H1425,LevelList,0))+INDEX(LevelHousing,MATCH($H1425,LevelList,0))+INDEX(LevelTransport,MATCH($H1425,LevelList,0))+INDEX(LevelBasic,MATCH($H1425,LevelList,0))*INDEX(LevelBonus,MATCH($H1425,LevelList,0))+(INDEX(LevelBasic,MATCH($H1425,LevelList,0))+INDEX(LevelHousing,MATCH($H1425,LevelList,0)))*GosiSaudi,0))</f>
        <v>0</v>
      </c>
      <c r="W1425" s="35" t="n">
        <f aca="false">IFERROR(INDEX(LevelOneOff,MATCH($H1425,LevelList,0)),0)</f>
        <v>0</v>
      </c>
      <c r="X1425" s="35" t="str">
        <f aca="false">IF($G1425="","",$V1425*N($L1425))</f>
        <v/>
      </c>
      <c r="Y1425" s="35" t="str">
        <f aca="false">IF($G1425="","",$V1425*(N($M1425)*1+N($N1425)*0.75+N($O1425)*0.5+N($P1425)*0.25)+$W1425*N($L1425))</f>
        <v/>
      </c>
      <c r="Z1425" s="35" t="str">
        <f aca="false">IF($G1425="","",$U1425*1000000+ROW())</f>
        <v/>
      </c>
      <c r="AA1425" s="36" t="str">
        <f aca="false">IF($G1425="","",MID(IF($C1425="",", no division","")&amp;IF($E1425="",", no unit","")&amp;IF($H1425="",", no career level","")&amp;IF(N($L1425)&lt;=0,", no quarter split","")&amp;IF($R1425="",", no driver","")&amp;IF(AND($H1425&lt;&gt;"",COUNTIF(CareerLevels,$H1425)=0),", a career level that is not on the ladder","")&amp;IF(AND($R1425&lt;&gt;"",COUNTIF(DriverList,$R1425)=0),", a driver that is not on the list","")&amp;IF(ABS(N($L1425)-(N($M1425)+N($N1425)+N($O1425)+N($P1425)))&gt;0.001,", a total that does not match its quarters",""),3,300))</f>
        <v/>
      </c>
    </row>
    <row r="1426" customFormat="false" ht="15" hidden="false" customHeight="false" outlineLevel="0" collapsed="false">
      <c r="A1426" s="33" t="str">
        <f aca="false">IF($G1426="","","Operations Group")</f>
        <v/>
      </c>
      <c r="B1426" s="19"/>
      <c r="C1426" s="19"/>
      <c r="D1426" s="19"/>
      <c r="E1426" s="19"/>
      <c r="F1426" s="19"/>
      <c r="G1426" s="19"/>
      <c r="H1426" s="19"/>
      <c r="I1426" s="19"/>
      <c r="J1426" s="19"/>
      <c r="K1426" s="19"/>
      <c r="L1426" s="19"/>
      <c r="M1426" s="19"/>
      <c r="N1426" s="19"/>
      <c r="O1426" s="19"/>
      <c r="P1426" s="19"/>
      <c r="Q1426" s="19"/>
      <c r="R1426" s="19"/>
      <c r="S1426" s="19"/>
      <c r="T1426" s="34" t="str">
        <f aca="false">IF($R1426="","",IFERROR(INDEX(DriverCategory,MATCH($R1426,DriverList,0)),"BAU"))</f>
        <v/>
      </c>
      <c r="U1426" s="34" t="str">
        <f aca="false">IF($R1426="","",IFERROR(INDEX(DriverRank,MATCH($R1426,DriverList,0)),99))</f>
        <v/>
      </c>
      <c r="V1426" s="35" t="n">
        <f aca="false">IF($H1426="",0,IFERROR(INDEX(LevelBasic,MATCH($H1426,LevelList,0))+INDEX(LevelHousing,MATCH($H1426,LevelList,0))+INDEX(LevelTransport,MATCH($H1426,LevelList,0))+INDEX(LevelBasic,MATCH($H1426,LevelList,0))*INDEX(LevelBonus,MATCH($H1426,LevelList,0))+(INDEX(LevelBasic,MATCH($H1426,LevelList,0))+INDEX(LevelHousing,MATCH($H1426,LevelList,0)))*GosiSaudi,0))</f>
        <v>0</v>
      </c>
      <c r="W1426" s="35" t="n">
        <f aca="false">IFERROR(INDEX(LevelOneOff,MATCH($H1426,LevelList,0)),0)</f>
        <v>0</v>
      </c>
      <c r="X1426" s="35" t="str">
        <f aca="false">IF($G1426="","",$V1426*N($L1426))</f>
        <v/>
      </c>
      <c r="Y1426" s="35" t="str">
        <f aca="false">IF($G1426="","",$V1426*(N($M1426)*1+N($N1426)*0.75+N($O1426)*0.5+N($P1426)*0.25)+$W1426*N($L1426))</f>
        <v/>
      </c>
      <c r="Z1426" s="35" t="str">
        <f aca="false">IF($G1426="","",$U1426*1000000+ROW())</f>
        <v/>
      </c>
      <c r="AA1426" s="36" t="str">
        <f aca="false">IF($G1426="","",MID(IF($C1426="",", no division","")&amp;IF($E1426="",", no unit","")&amp;IF($H1426="",", no career level","")&amp;IF(N($L1426)&lt;=0,", no quarter split","")&amp;IF($R1426="",", no driver","")&amp;IF(AND($H1426&lt;&gt;"",COUNTIF(CareerLevels,$H1426)=0),", a career level that is not on the ladder","")&amp;IF(AND($R1426&lt;&gt;"",COUNTIF(DriverList,$R1426)=0),", a driver that is not on the list","")&amp;IF(ABS(N($L1426)-(N($M1426)+N($N1426)+N($O1426)+N($P1426)))&gt;0.001,", a total that does not match its quarters",""),3,300))</f>
        <v/>
      </c>
    </row>
    <row r="1427" customFormat="false" ht="15" hidden="false" customHeight="false" outlineLevel="0" collapsed="false">
      <c r="A1427" s="33" t="str">
        <f aca="false">IF($G1427="","","Operations Group")</f>
        <v/>
      </c>
      <c r="B1427" s="19"/>
      <c r="C1427" s="19"/>
      <c r="D1427" s="19"/>
      <c r="E1427" s="19"/>
      <c r="F1427" s="19"/>
      <c r="G1427" s="19"/>
      <c r="H1427" s="19"/>
      <c r="I1427" s="19"/>
      <c r="J1427" s="19"/>
      <c r="K1427" s="19"/>
      <c r="L1427" s="19"/>
      <c r="M1427" s="19"/>
      <c r="N1427" s="19"/>
      <c r="O1427" s="19"/>
      <c r="P1427" s="19"/>
      <c r="Q1427" s="19"/>
      <c r="R1427" s="19"/>
      <c r="S1427" s="19"/>
      <c r="T1427" s="34" t="str">
        <f aca="false">IF($R1427="","",IFERROR(INDEX(DriverCategory,MATCH($R1427,DriverList,0)),"BAU"))</f>
        <v/>
      </c>
      <c r="U1427" s="34" t="str">
        <f aca="false">IF($R1427="","",IFERROR(INDEX(DriverRank,MATCH($R1427,DriverList,0)),99))</f>
        <v/>
      </c>
      <c r="V1427" s="35" t="n">
        <f aca="false">IF($H1427="",0,IFERROR(INDEX(LevelBasic,MATCH($H1427,LevelList,0))+INDEX(LevelHousing,MATCH($H1427,LevelList,0))+INDEX(LevelTransport,MATCH($H1427,LevelList,0))+INDEX(LevelBasic,MATCH($H1427,LevelList,0))*INDEX(LevelBonus,MATCH($H1427,LevelList,0))+(INDEX(LevelBasic,MATCH($H1427,LevelList,0))+INDEX(LevelHousing,MATCH($H1427,LevelList,0)))*GosiSaudi,0))</f>
        <v>0</v>
      </c>
      <c r="W1427" s="35" t="n">
        <f aca="false">IFERROR(INDEX(LevelOneOff,MATCH($H1427,LevelList,0)),0)</f>
        <v>0</v>
      </c>
      <c r="X1427" s="35" t="str">
        <f aca="false">IF($G1427="","",$V1427*N($L1427))</f>
        <v/>
      </c>
      <c r="Y1427" s="35" t="str">
        <f aca="false">IF($G1427="","",$V1427*(N($M1427)*1+N($N1427)*0.75+N($O1427)*0.5+N($P1427)*0.25)+$W1427*N($L1427))</f>
        <v/>
      </c>
      <c r="Z1427" s="35" t="str">
        <f aca="false">IF($G1427="","",$U1427*1000000+ROW())</f>
        <v/>
      </c>
      <c r="AA1427" s="36" t="str">
        <f aca="false">IF($G1427="","",MID(IF($C1427="",", no division","")&amp;IF($E1427="",", no unit","")&amp;IF($H1427="",", no career level","")&amp;IF(N($L1427)&lt;=0,", no quarter split","")&amp;IF($R1427="",", no driver","")&amp;IF(AND($H1427&lt;&gt;"",COUNTIF(CareerLevels,$H1427)=0),", a career level that is not on the ladder","")&amp;IF(AND($R1427&lt;&gt;"",COUNTIF(DriverList,$R1427)=0),", a driver that is not on the list","")&amp;IF(ABS(N($L1427)-(N($M1427)+N($N1427)+N($O1427)+N($P1427)))&gt;0.001,", a total that does not match its quarters",""),3,300))</f>
        <v/>
      </c>
    </row>
    <row r="1428" customFormat="false" ht="15" hidden="false" customHeight="false" outlineLevel="0" collapsed="false">
      <c r="A1428" s="33" t="str">
        <f aca="false">IF($G1428="","","Operations Group")</f>
        <v/>
      </c>
      <c r="B1428" s="19"/>
      <c r="C1428" s="19"/>
      <c r="D1428" s="19"/>
      <c r="E1428" s="19"/>
      <c r="F1428" s="19"/>
      <c r="G1428" s="19"/>
      <c r="H1428" s="19"/>
      <c r="I1428" s="19"/>
      <c r="J1428" s="19"/>
      <c r="K1428" s="19"/>
      <c r="L1428" s="19"/>
      <c r="M1428" s="19"/>
      <c r="N1428" s="19"/>
      <c r="O1428" s="19"/>
      <c r="P1428" s="19"/>
      <c r="Q1428" s="19"/>
      <c r="R1428" s="19"/>
      <c r="S1428" s="19"/>
      <c r="T1428" s="34" t="str">
        <f aca="false">IF($R1428="","",IFERROR(INDEX(DriverCategory,MATCH($R1428,DriverList,0)),"BAU"))</f>
        <v/>
      </c>
      <c r="U1428" s="34" t="str">
        <f aca="false">IF($R1428="","",IFERROR(INDEX(DriverRank,MATCH($R1428,DriverList,0)),99))</f>
        <v/>
      </c>
      <c r="V1428" s="35" t="n">
        <f aca="false">IF($H1428="",0,IFERROR(INDEX(LevelBasic,MATCH($H1428,LevelList,0))+INDEX(LevelHousing,MATCH($H1428,LevelList,0))+INDEX(LevelTransport,MATCH($H1428,LevelList,0))+INDEX(LevelBasic,MATCH($H1428,LevelList,0))*INDEX(LevelBonus,MATCH($H1428,LevelList,0))+(INDEX(LevelBasic,MATCH($H1428,LevelList,0))+INDEX(LevelHousing,MATCH($H1428,LevelList,0)))*GosiSaudi,0))</f>
        <v>0</v>
      </c>
      <c r="W1428" s="35" t="n">
        <f aca="false">IFERROR(INDEX(LevelOneOff,MATCH($H1428,LevelList,0)),0)</f>
        <v>0</v>
      </c>
      <c r="X1428" s="35" t="str">
        <f aca="false">IF($G1428="","",$V1428*N($L1428))</f>
        <v/>
      </c>
      <c r="Y1428" s="35" t="str">
        <f aca="false">IF($G1428="","",$V1428*(N($M1428)*1+N($N1428)*0.75+N($O1428)*0.5+N($P1428)*0.25)+$W1428*N($L1428))</f>
        <v/>
      </c>
      <c r="Z1428" s="35" t="str">
        <f aca="false">IF($G1428="","",$U1428*1000000+ROW())</f>
        <v/>
      </c>
      <c r="AA1428" s="36" t="str">
        <f aca="false">IF($G1428="","",MID(IF($C1428="",", no division","")&amp;IF($E1428="",", no unit","")&amp;IF($H1428="",", no career level","")&amp;IF(N($L1428)&lt;=0,", no quarter split","")&amp;IF($R1428="",", no driver","")&amp;IF(AND($H1428&lt;&gt;"",COUNTIF(CareerLevels,$H1428)=0),", a career level that is not on the ladder","")&amp;IF(AND($R1428&lt;&gt;"",COUNTIF(DriverList,$R1428)=0),", a driver that is not on the list","")&amp;IF(ABS(N($L1428)-(N($M1428)+N($N1428)+N($O1428)+N($P1428)))&gt;0.001,", a total that does not match its quarters",""),3,300))</f>
        <v/>
      </c>
    </row>
    <row r="1429" customFormat="false" ht="15" hidden="false" customHeight="false" outlineLevel="0" collapsed="false">
      <c r="A1429" s="33" t="str">
        <f aca="false">IF($G1429="","","Operations Group")</f>
        <v/>
      </c>
      <c r="B1429" s="19"/>
      <c r="C1429" s="19"/>
      <c r="D1429" s="19"/>
      <c r="E1429" s="19"/>
      <c r="F1429" s="19"/>
      <c r="G1429" s="19"/>
      <c r="H1429" s="19"/>
      <c r="I1429" s="19"/>
      <c r="J1429" s="19"/>
      <c r="K1429" s="19"/>
      <c r="L1429" s="19"/>
      <c r="M1429" s="19"/>
      <c r="N1429" s="19"/>
      <c r="O1429" s="19"/>
      <c r="P1429" s="19"/>
      <c r="Q1429" s="19"/>
      <c r="R1429" s="19"/>
      <c r="S1429" s="19"/>
      <c r="T1429" s="34" t="str">
        <f aca="false">IF($R1429="","",IFERROR(INDEX(DriverCategory,MATCH($R1429,DriverList,0)),"BAU"))</f>
        <v/>
      </c>
      <c r="U1429" s="34" t="str">
        <f aca="false">IF($R1429="","",IFERROR(INDEX(DriverRank,MATCH($R1429,DriverList,0)),99))</f>
        <v/>
      </c>
      <c r="V1429" s="35" t="n">
        <f aca="false">IF($H1429="",0,IFERROR(INDEX(LevelBasic,MATCH($H1429,LevelList,0))+INDEX(LevelHousing,MATCH($H1429,LevelList,0))+INDEX(LevelTransport,MATCH($H1429,LevelList,0))+INDEX(LevelBasic,MATCH($H1429,LevelList,0))*INDEX(LevelBonus,MATCH($H1429,LevelList,0))+(INDEX(LevelBasic,MATCH($H1429,LevelList,0))+INDEX(LevelHousing,MATCH($H1429,LevelList,0)))*GosiSaudi,0))</f>
        <v>0</v>
      </c>
      <c r="W1429" s="35" t="n">
        <f aca="false">IFERROR(INDEX(LevelOneOff,MATCH($H1429,LevelList,0)),0)</f>
        <v>0</v>
      </c>
      <c r="X1429" s="35" t="str">
        <f aca="false">IF($G1429="","",$V1429*N($L1429))</f>
        <v/>
      </c>
      <c r="Y1429" s="35" t="str">
        <f aca="false">IF($G1429="","",$V1429*(N($M1429)*1+N($N1429)*0.75+N($O1429)*0.5+N($P1429)*0.25)+$W1429*N($L1429))</f>
        <v/>
      </c>
      <c r="Z1429" s="35" t="str">
        <f aca="false">IF($G1429="","",$U1429*1000000+ROW())</f>
        <v/>
      </c>
      <c r="AA1429" s="36" t="str">
        <f aca="false">IF($G1429="","",MID(IF($C1429="",", no division","")&amp;IF($E1429="",", no unit","")&amp;IF($H1429="",", no career level","")&amp;IF(N($L1429)&lt;=0,", no quarter split","")&amp;IF($R1429="",", no driver","")&amp;IF(AND($H1429&lt;&gt;"",COUNTIF(CareerLevels,$H1429)=0),", a career level that is not on the ladder","")&amp;IF(AND($R1429&lt;&gt;"",COUNTIF(DriverList,$R1429)=0),", a driver that is not on the list","")&amp;IF(ABS(N($L1429)-(N($M1429)+N($N1429)+N($O1429)+N($P1429)))&gt;0.001,", a total that does not match its quarters",""),3,300))</f>
        <v/>
      </c>
    </row>
    <row r="1430" customFormat="false" ht="15" hidden="false" customHeight="false" outlineLevel="0" collapsed="false">
      <c r="A1430" s="33" t="str">
        <f aca="false">IF($G1430="","","Operations Group")</f>
        <v/>
      </c>
      <c r="B1430" s="19"/>
      <c r="C1430" s="19"/>
      <c r="D1430" s="19"/>
      <c r="E1430" s="19"/>
      <c r="F1430" s="19"/>
      <c r="G1430" s="19"/>
      <c r="H1430" s="19"/>
      <c r="I1430" s="19"/>
      <c r="J1430" s="19"/>
      <c r="K1430" s="19"/>
      <c r="L1430" s="19"/>
      <c r="M1430" s="19"/>
      <c r="N1430" s="19"/>
      <c r="O1430" s="19"/>
      <c r="P1430" s="19"/>
      <c r="Q1430" s="19"/>
      <c r="R1430" s="19"/>
      <c r="S1430" s="19"/>
      <c r="T1430" s="34" t="str">
        <f aca="false">IF($R1430="","",IFERROR(INDEX(DriverCategory,MATCH($R1430,DriverList,0)),"BAU"))</f>
        <v/>
      </c>
      <c r="U1430" s="34" t="str">
        <f aca="false">IF($R1430="","",IFERROR(INDEX(DriverRank,MATCH($R1430,DriverList,0)),99))</f>
        <v/>
      </c>
      <c r="V1430" s="35" t="n">
        <f aca="false">IF($H1430="",0,IFERROR(INDEX(LevelBasic,MATCH($H1430,LevelList,0))+INDEX(LevelHousing,MATCH($H1430,LevelList,0))+INDEX(LevelTransport,MATCH($H1430,LevelList,0))+INDEX(LevelBasic,MATCH($H1430,LevelList,0))*INDEX(LevelBonus,MATCH($H1430,LevelList,0))+(INDEX(LevelBasic,MATCH($H1430,LevelList,0))+INDEX(LevelHousing,MATCH($H1430,LevelList,0)))*GosiSaudi,0))</f>
        <v>0</v>
      </c>
      <c r="W1430" s="35" t="n">
        <f aca="false">IFERROR(INDEX(LevelOneOff,MATCH($H1430,LevelList,0)),0)</f>
        <v>0</v>
      </c>
      <c r="X1430" s="35" t="str">
        <f aca="false">IF($G1430="","",$V1430*N($L1430))</f>
        <v/>
      </c>
      <c r="Y1430" s="35" t="str">
        <f aca="false">IF($G1430="","",$V1430*(N($M1430)*1+N($N1430)*0.75+N($O1430)*0.5+N($P1430)*0.25)+$W1430*N($L1430))</f>
        <v/>
      </c>
      <c r="Z1430" s="35" t="str">
        <f aca="false">IF($G1430="","",$U1430*1000000+ROW())</f>
        <v/>
      </c>
      <c r="AA1430" s="36" t="str">
        <f aca="false">IF($G1430="","",MID(IF($C1430="",", no division","")&amp;IF($E1430="",", no unit","")&amp;IF($H1430="",", no career level","")&amp;IF(N($L1430)&lt;=0,", no quarter split","")&amp;IF($R1430="",", no driver","")&amp;IF(AND($H1430&lt;&gt;"",COUNTIF(CareerLevels,$H1430)=0),", a career level that is not on the ladder","")&amp;IF(AND($R1430&lt;&gt;"",COUNTIF(DriverList,$R1430)=0),", a driver that is not on the list","")&amp;IF(ABS(N($L1430)-(N($M1430)+N($N1430)+N($O1430)+N($P1430)))&gt;0.001,", a total that does not match its quarters",""),3,300))</f>
        <v/>
      </c>
    </row>
    <row r="1431" customFormat="false" ht="15" hidden="false" customHeight="false" outlineLevel="0" collapsed="false">
      <c r="A1431" s="33" t="str">
        <f aca="false">IF($G1431="","","Operations Group")</f>
        <v/>
      </c>
      <c r="B1431" s="19"/>
      <c r="C1431" s="19"/>
      <c r="D1431" s="19"/>
      <c r="E1431" s="19"/>
      <c r="F1431" s="19"/>
      <c r="G1431" s="19"/>
      <c r="H1431" s="19"/>
      <c r="I1431" s="19"/>
      <c r="J1431" s="19"/>
      <c r="K1431" s="19"/>
      <c r="L1431" s="19"/>
      <c r="M1431" s="19"/>
      <c r="N1431" s="19"/>
      <c r="O1431" s="19"/>
      <c r="P1431" s="19"/>
      <c r="Q1431" s="19"/>
      <c r="R1431" s="19"/>
      <c r="S1431" s="19"/>
      <c r="T1431" s="34" t="str">
        <f aca="false">IF($R1431="","",IFERROR(INDEX(DriverCategory,MATCH($R1431,DriverList,0)),"BAU"))</f>
        <v/>
      </c>
      <c r="U1431" s="34" t="str">
        <f aca="false">IF($R1431="","",IFERROR(INDEX(DriverRank,MATCH($R1431,DriverList,0)),99))</f>
        <v/>
      </c>
      <c r="V1431" s="35" t="n">
        <f aca="false">IF($H1431="",0,IFERROR(INDEX(LevelBasic,MATCH($H1431,LevelList,0))+INDEX(LevelHousing,MATCH($H1431,LevelList,0))+INDEX(LevelTransport,MATCH($H1431,LevelList,0))+INDEX(LevelBasic,MATCH($H1431,LevelList,0))*INDEX(LevelBonus,MATCH($H1431,LevelList,0))+(INDEX(LevelBasic,MATCH($H1431,LevelList,0))+INDEX(LevelHousing,MATCH($H1431,LevelList,0)))*GosiSaudi,0))</f>
        <v>0</v>
      </c>
      <c r="W1431" s="35" t="n">
        <f aca="false">IFERROR(INDEX(LevelOneOff,MATCH($H1431,LevelList,0)),0)</f>
        <v>0</v>
      </c>
      <c r="X1431" s="35" t="str">
        <f aca="false">IF($G1431="","",$V1431*N($L1431))</f>
        <v/>
      </c>
      <c r="Y1431" s="35" t="str">
        <f aca="false">IF($G1431="","",$V1431*(N($M1431)*1+N($N1431)*0.75+N($O1431)*0.5+N($P1431)*0.25)+$W1431*N($L1431))</f>
        <v/>
      </c>
      <c r="Z1431" s="35" t="str">
        <f aca="false">IF($G1431="","",$U1431*1000000+ROW())</f>
        <v/>
      </c>
      <c r="AA1431" s="36" t="str">
        <f aca="false">IF($G1431="","",MID(IF($C1431="",", no division","")&amp;IF($E1431="",", no unit","")&amp;IF($H1431="",", no career level","")&amp;IF(N($L1431)&lt;=0,", no quarter split","")&amp;IF($R1431="",", no driver","")&amp;IF(AND($H1431&lt;&gt;"",COUNTIF(CareerLevels,$H1431)=0),", a career level that is not on the ladder","")&amp;IF(AND($R1431&lt;&gt;"",COUNTIF(DriverList,$R1431)=0),", a driver that is not on the list","")&amp;IF(ABS(N($L1431)-(N($M1431)+N($N1431)+N($O1431)+N($P1431)))&gt;0.001,", a total that does not match its quarters",""),3,300))</f>
        <v/>
      </c>
    </row>
    <row r="1432" customFormat="false" ht="15" hidden="false" customHeight="false" outlineLevel="0" collapsed="false">
      <c r="A1432" s="33" t="str">
        <f aca="false">IF($G1432="","","Operations Group")</f>
        <v/>
      </c>
      <c r="B1432" s="19"/>
      <c r="C1432" s="19"/>
      <c r="D1432" s="19"/>
      <c r="E1432" s="19"/>
      <c r="F1432" s="19"/>
      <c r="G1432" s="19"/>
      <c r="H1432" s="19"/>
      <c r="I1432" s="19"/>
      <c r="J1432" s="19"/>
      <c r="K1432" s="19"/>
      <c r="L1432" s="19"/>
      <c r="M1432" s="19"/>
      <c r="N1432" s="19"/>
      <c r="O1432" s="19"/>
      <c r="P1432" s="19"/>
      <c r="Q1432" s="19"/>
      <c r="R1432" s="19"/>
      <c r="S1432" s="19"/>
      <c r="T1432" s="34" t="str">
        <f aca="false">IF($R1432="","",IFERROR(INDEX(DriverCategory,MATCH($R1432,DriverList,0)),"BAU"))</f>
        <v/>
      </c>
      <c r="U1432" s="34" t="str">
        <f aca="false">IF($R1432="","",IFERROR(INDEX(DriverRank,MATCH($R1432,DriverList,0)),99))</f>
        <v/>
      </c>
      <c r="V1432" s="35" t="n">
        <f aca="false">IF($H1432="",0,IFERROR(INDEX(LevelBasic,MATCH($H1432,LevelList,0))+INDEX(LevelHousing,MATCH($H1432,LevelList,0))+INDEX(LevelTransport,MATCH($H1432,LevelList,0))+INDEX(LevelBasic,MATCH($H1432,LevelList,0))*INDEX(LevelBonus,MATCH($H1432,LevelList,0))+(INDEX(LevelBasic,MATCH($H1432,LevelList,0))+INDEX(LevelHousing,MATCH($H1432,LevelList,0)))*GosiSaudi,0))</f>
        <v>0</v>
      </c>
      <c r="W1432" s="35" t="n">
        <f aca="false">IFERROR(INDEX(LevelOneOff,MATCH($H1432,LevelList,0)),0)</f>
        <v>0</v>
      </c>
      <c r="X1432" s="35" t="str">
        <f aca="false">IF($G1432="","",$V1432*N($L1432))</f>
        <v/>
      </c>
      <c r="Y1432" s="35" t="str">
        <f aca="false">IF($G1432="","",$V1432*(N($M1432)*1+N($N1432)*0.75+N($O1432)*0.5+N($P1432)*0.25)+$W1432*N($L1432))</f>
        <v/>
      </c>
      <c r="Z1432" s="35" t="str">
        <f aca="false">IF($G1432="","",$U1432*1000000+ROW())</f>
        <v/>
      </c>
      <c r="AA1432" s="36" t="str">
        <f aca="false">IF($G1432="","",MID(IF($C1432="",", no division","")&amp;IF($E1432="",", no unit","")&amp;IF($H1432="",", no career level","")&amp;IF(N($L1432)&lt;=0,", no quarter split","")&amp;IF($R1432="",", no driver","")&amp;IF(AND($H1432&lt;&gt;"",COUNTIF(CareerLevels,$H1432)=0),", a career level that is not on the ladder","")&amp;IF(AND($R1432&lt;&gt;"",COUNTIF(DriverList,$R1432)=0),", a driver that is not on the list","")&amp;IF(ABS(N($L1432)-(N($M1432)+N($N1432)+N($O1432)+N($P1432)))&gt;0.001,", a total that does not match its quarters",""),3,300))</f>
        <v/>
      </c>
    </row>
    <row r="1433" customFormat="false" ht="15" hidden="false" customHeight="false" outlineLevel="0" collapsed="false">
      <c r="A1433" s="33" t="str">
        <f aca="false">IF($G1433="","","Operations Group")</f>
        <v/>
      </c>
      <c r="B1433" s="19"/>
      <c r="C1433" s="19"/>
      <c r="D1433" s="19"/>
      <c r="E1433" s="19"/>
      <c r="F1433" s="19"/>
      <c r="G1433" s="19"/>
      <c r="H1433" s="19"/>
      <c r="I1433" s="19"/>
      <c r="J1433" s="19"/>
      <c r="K1433" s="19"/>
      <c r="L1433" s="19"/>
      <c r="M1433" s="19"/>
      <c r="N1433" s="19"/>
      <c r="O1433" s="19"/>
      <c r="P1433" s="19"/>
      <c r="Q1433" s="19"/>
      <c r="R1433" s="19"/>
      <c r="S1433" s="19"/>
      <c r="T1433" s="34" t="str">
        <f aca="false">IF($R1433="","",IFERROR(INDEX(DriverCategory,MATCH($R1433,DriverList,0)),"BAU"))</f>
        <v/>
      </c>
      <c r="U1433" s="34" t="str">
        <f aca="false">IF($R1433="","",IFERROR(INDEX(DriverRank,MATCH($R1433,DriverList,0)),99))</f>
        <v/>
      </c>
      <c r="V1433" s="35" t="n">
        <f aca="false">IF($H1433="",0,IFERROR(INDEX(LevelBasic,MATCH($H1433,LevelList,0))+INDEX(LevelHousing,MATCH($H1433,LevelList,0))+INDEX(LevelTransport,MATCH($H1433,LevelList,0))+INDEX(LevelBasic,MATCH($H1433,LevelList,0))*INDEX(LevelBonus,MATCH($H1433,LevelList,0))+(INDEX(LevelBasic,MATCH($H1433,LevelList,0))+INDEX(LevelHousing,MATCH($H1433,LevelList,0)))*GosiSaudi,0))</f>
        <v>0</v>
      </c>
      <c r="W1433" s="35" t="n">
        <f aca="false">IFERROR(INDEX(LevelOneOff,MATCH($H1433,LevelList,0)),0)</f>
        <v>0</v>
      </c>
      <c r="X1433" s="35" t="str">
        <f aca="false">IF($G1433="","",$V1433*N($L1433))</f>
        <v/>
      </c>
      <c r="Y1433" s="35" t="str">
        <f aca="false">IF($G1433="","",$V1433*(N($M1433)*1+N($N1433)*0.75+N($O1433)*0.5+N($P1433)*0.25)+$W1433*N($L1433))</f>
        <v/>
      </c>
      <c r="Z1433" s="35" t="str">
        <f aca="false">IF($G1433="","",$U1433*1000000+ROW())</f>
        <v/>
      </c>
      <c r="AA1433" s="36" t="str">
        <f aca="false">IF($G1433="","",MID(IF($C1433="",", no division","")&amp;IF($E1433="",", no unit","")&amp;IF($H1433="",", no career level","")&amp;IF(N($L1433)&lt;=0,", no quarter split","")&amp;IF($R1433="",", no driver","")&amp;IF(AND($H1433&lt;&gt;"",COUNTIF(CareerLevels,$H1433)=0),", a career level that is not on the ladder","")&amp;IF(AND($R1433&lt;&gt;"",COUNTIF(DriverList,$R1433)=0),", a driver that is not on the list","")&amp;IF(ABS(N($L1433)-(N($M1433)+N($N1433)+N($O1433)+N($P1433)))&gt;0.001,", a total that does not match its quarters",""),3,300))</f>
        <v/>
      </c>
    </row>
    <row r="1434" customFormat="false" ht="15" hidden="false" customHeight="false" outlineLevel="0" collapsed="false">
      <c r="A1434" s="33" t="str">
        <f aca="false">IF($G1434="","","Operations Group")</f>
        <v/>
      </c>
      <c r="B1434" s="19"/>
      <c r="C1434" s="19"/>
      <c r="D1434" s="19"/>
      <c r="E1434" s="19"/>
      <c r="F1434" s="19"/>
      <c r="G1434" s="19"/>
      <c r="H1434" s="19"/>
      <c r="I1434" s="19"/>
      <c r="J1434" s="19"/>
      <c r="K1434" s="19"/>
      <c r="L1434" s="19"/>
      <c r="M1434" s="19"/>
      <c r="N1434" s="19"/>
      <c r="O1434" s="19"/>
      <c r="P1434" s="19"/>
      <c r="Q1434" s="19"/>
      <c r="R1434" s="19"/>
      <c r="S1434" s="19"/>
      <c r="T1434" s="34" t="str">
        <f aca="false">IF($R1434="","",IFERROR(INDEX(DriverCategory,MATCH($R1434,DriverList,0)),"BAU"))</f>
        <v/>
      </c>
      <c r="U1434" s="34" t="str">
        <f aca="false">IF($R1434="","",IFERROR(INDEX(DriverRank,MATCH($R1434,DriverList,0)),99))</f>
        <v/>
      </c>
      <c r="V1434" s="35" t="n">
        <f aca="false">IF($H1434="",0,IFERROR(INDEX(LevelBasic,MATCH($H1434,LevelList,0))+INDEX(LevelHousing,MATCH($H1434,LevelList,0))+INDEX(LevelTransport,MATCH($H1434,LevelList,0))+INDEX(LevelBasic,MATCH($H1434,LevelList,0))*INDEX(LevelBonus,MATCH($H1434,LevelList,0))+(INDEX(LevelBasic,MATCH($H1434,LevelList,0))+INDEX(LevelHousing,MATCH($H1434,LevelList,0)))*GosiSaudi,0))</f>
        <v>0</v>
      </c>
      <c r="W1434" s="35" t="n">
        <f aca="false">IFERROR(INDEX(LevelOneOff,MATCH($H1434,LevelList,0)),0)</f>
        <v>0</v>
      </c>
      <c r="X1434" s="35" t="str">
        <f aca="false">IF($G1434="","",$V1434*N($L1434))</f>
        <v/>
      </c>
      <c r="Y1434" s="35" t="str">
        <f aca="false">IF($G1434="","",$V1434*(N($M1434)*1+N($N1434)*0.75+N($O1434)*0.5+N($P1434)*0.25)+$W1434*N($L1434))</f>
        <v/>
      </c>
      <c r="Z1434" s="35" t="str">
        <f aca="false">IF($G1434="","",$U1434*1000000+ROW())</f>
        <v/>
      </c>
      <c r="AA1434" s="36" t="str">
        <f aca="false">IF($G1434="","",MID(IF($C1434="",", no division","")&amp;IF($E1434="",", no unit","")&amp;IF($H1434="",", no career level","")&amp;IF(N($L1434)&lt;=0,", no quarter split","")&amp;IF($R1434="",", no driver","")&amp;IF(AND($H1434&lt;&gt;"",COUNTIF(CareerLevels,$H1434)=0),", a career level that is not on the ladder","")&amp;IF(AND($R1434&lt;&gt;"",COUNTIF(DriverList,$R1434)=0),", a driver that is not on the list","")&amp;IF(ABS(N($L1434)-(N($M1434)+N($N1434)+N($O1434)+N($P1434)))&gt;0.001,", a total that does not match its quarters",""),3,300))</f>
        <v/>
      </c>
    </row>
    <row r="1435" customFormat="false" ht="15" hidden="false" customHeight="false" outlineLevel="0" collapsed="false">
      <c r="A1435" s="33" t="str">
        <f aca="false">IF($G1435="","","Operations Group")</f>
        <v/>
      </c>
      <c r="B1435" s="19"/>
      <c r="C1435" s="19"/>
      <c r="D1435" s="19"/>
      <c r="E1435" s="19"/>
      <c r="F1435" s="19"/>
      <c r="G1435" s="19"/>
      <c r="H1435" s="19"/>
      <c r="I1435" s="19"/>
      <c r="J1435" s="19"/>
      <c r="K1435" s="19"/>
      <c r="L1435" s="19"/>
      <c r="M1435" s="19"/>
      <c r="N1435" s="19"/>
      <c r="O1435" s="19"/>
      <c r="P1435" s="19"/>
      <c r="Q1435" s="19"/>
      <c r="R1435" s="19"/>
      <c r="S1435" s="19"/>
      <c r="T1435" s="34" t="str">
        <f aca="false">IF($R1435="","",IFERROR(INDEX(DriverCategory,MATCH($R1435,DriverList,0)),"BAU"))</f>
        <v/>
      </c>
      <c r="U1435" s="34" t="str">
        <f aca="false">IF($R1435="","",IFERROR(INDEX(DriverRank,MATCH($R1435,DriverList,0)),99))</f>
        <v/>
      </c>
      <c r="V1435" s="35" t="n">
        <f aca="false">IF($H1435="",0,IFERROR(INDEX(LevelBasic,MATCH($H1435,LevelList,0))+INDEX(LevelHousing,MATCH($H1435,LevelList,0))+INDEX(LevelTransport,MATCH($H1435,LevelList,0))+INDEX(LevelBasic,MATCH($H1435,LevelList,0))*INDEX(LevelBonus,MATCH($H1435,LevelList,0))+(INDEX(LevelBasic,MATCH($H1435,LevelList,0))+INDEX(LevelHousing,MATCH($H1435,LevelList,0)))*GosiSaudi,0))</f>
        <v>0</v>
      </c>
      <c r="W1435" s="35" t="n">
        <f aca="false">IFERROR(INDEX(LevelOneOff,MATCH($H1435,LevelList,0)),0)</f>
        <v>0</v>
      </c>
      <c r="X1435" s="35" t="str">
        <f aca="false">IF($G1435="","",$V1435*N($L1435))</f>
        <v/>
      </c>
      <c r="Y1435" s="35" t="str">
        <f aca="false">IF($G1435="","",$V1435*(N($M1435)*1+N($N1435)*0.75+N($O1435)*0.5+N($P1435)*0.25)+$W1435*N($L1435))</f>
        <v/>
      </c>
      <c r="Z1435" s="35" t="str">
        <f aca="false">IF($G1435="","",$U1435*1000000+ROW())</f>
        <v/>
      </c>
      <c r="AA1435" s="36" t="str">
        <f aca="false">IF($G1435="","",MID(IF($C1435="",", no division","")&amp;IF($E1435="",", no unit","")&amp;IF($H1435="",", no career level","")&amp;IF(N($L1435)&lt;=0,", no quarter split","")&amp;IF($R1435="",", no driver","")&amp;IF(AND($H1435&lt;&gt;"",COUNTIF(CareerLevels,$H1435)=0),", a career level that is not on the ladder","")&amp;IF(AND($R1435&lt;&gt;"",COUNTIF(DriverList,$R1435)=0),", a driver that is not on the list","")&amp;IF(ABS(N($L1435)-(N($M1435)+N($N1435)+N($O1435)+N($P1435)))&gt;0.001,", a total that does not match its quarters",""),3,300))</f>
        <v/>
      </c>
    </row>
    <row r="1436" customFormat="false" ht="15" hidden="false" customHeight="false" outlineLevel="0" collapsed="false">
      <c r="A1436" s="33" t="str">
        <f aca="false">IF($G1436="","","Operations Group")</f>
        <v/>
      </c>
      <c r="B1436" s="19"/>
      <c r="C1436" s="19"/>
      <c r="D1436" s="19"/>
      <c r="E1436" s="19"/>
      <c r="F1436" s="19"/>
      <c r="G1436" s="19"/>
      <c r="H1436" s="19"/>
      <c r="I1436" s="19"/>
      <c r="J1436" s="19"/>
      <c r="K1436" s="19"/>
      <c r="L1436" s="19"/>
      <c r="M1436" s="19"/>
      <c r="N1436" s="19"/>
      <c r="O1436" s="19"/>
      <c r="P1436" s="19"/>
      <c r="Q1436" s="19"/>
      <c r="R1436" s="19"/>
      <c r="S1436" s="19"/>
      <c r="T1436" s="34" t="str">
        <f aca="false">IF($R1436="","",IFERROR(INDEX(DriverCategory,MATCH($R1436,DriverList,0)),"BAU"))</f>
        <v/>
      </c>
      <c r="U1436" s="34" t="str">
        <f aca="false">IF($R1436="","",IFERROR(INDEX(DriverRank,MATCH($R1436,DriverList,0)),99))</f>
        <v/>
      </c>
      <c r="V1436" s="35" t="n">
        <f aca="false">IF($H1436="",0,IFERROR(INDEX(LevelBasic,MATCH($H1436,LevelList,0))+INDEX(LevelHousing,MATCH($H1436,LevelList,0))+INDEX(LevelTransport,MATCH($H1436,LevelList,0))+INDEX(LevelBasic,MATCH($H1436,LevelList,0))*INDEX(LevelBonus,MATCH($H1436,LevelList,0))+(INDEX(LevelBasic,MATCH($H1436,LevelList,0))+INDEX(LevelHousing,MATCH($H1436,LevelList,0)))*GosiSaudi,0))</f>
        <v>0</v>
      </c>
      <c r="W1436" s="35" t="n">
        <f aca="false">IFERROR(INDEX(LevelOneOff,MATCH($H1436,LevelList,0)),0)</f>
        <v>0</v>
      </c>
      <c r="X1436" s="35" t="str">
        <f aca="false">IF($G1436="","",$V1436*N($L1436))</f>
        <v/>
      </c>
      <c r="Y1436" s="35" t="str">
        <f aca="false">IF($G1436="","",$V1436*(N($M1436)*1+N($N1436)*0.75+N($O1436)*0.5+N($P1436)*0.25)+$W1436*N($L1436))</f>
        <v/>
      </c>
      <c r="Z1436" s="35" t="str">
        <f aca="false">IF($G1436="","",$U1436*1000000+ROW())</f>
        <v/>
      </c>
      <c r="AA1436" s="36" t="str">
        <f aca="false">IF($G1436="","",MID(IF($C1436="",", no division","")&amp;IF($E1436="",", no unit","")&amp;IF($H1436="",", no career level","")&amp;IF(N($L1436)&lt;=0,", no quarter split","")&amp;IF($R1436="",", no driver","")&amp;IF(AND($H1436&lt;&gt;"",COUNTIF(CareerLevels,$H1436)=0),", a career level that is not on the ladder","")&amp;IF(AND($R1436&lt;&gt;"",COUNTIF(DriverList,$R1436)=0),", a driver that is not on the list","")&amp;IF(ABS(N($L1436)-(N($M1436)+N($N1436)+N($O1436)+N($P1436)))&gt;0.001,", a total that does not match its quarters",""),3,300))</f>
        <v/>
      </c>
    </row>
    <row r="1437" customFormat="false" ht="15" hidden="false" customHeight="false" outlineLevel="0" collapsed="false">
      <c r="A1437" s="33" t="str">
        <f aca="false">IF($G1437="","","Operations Group")</f>
        <v/>
      </c>
      <c r="B1437" s="19"/>
      <c r="C1437" s="19"/>
      <c r="D1437" s="19"/>
      <c r="E1437" s="19"/>
      <c r="F1437" s="19"/>
      <c r="G1437" s="19"/>
      <c r="H1437" s="19"/>
      <c r="I1437" s="19"/>
      <c r="J1437" s="19"/>
      <c r="K1437" s="19"/>
      <c r="L1437" s="19"/>
      <c r="M1437" s="19"/>
      <c r="N1437" s="19"/>
      <c r="O1437" s="19"/>
      <c r="P1437" s="19"/>
      <c r="Q1437" s="19"/>
      <c r="R1437" s="19"/>
      <c r="S1437" s="19"/>
      <c r="T1437" s="34" t="str">
        <f aca="false">IF($R1437="","",IFERROR(INDEX(DriverCategory,MATCH($R1437,DriverList,0)),"BAU"))</f>
        <v/>
      </c>
      <c r="U1437" s="34" t="str">
        <f aca="false">IF($R1437="","",IFERROR(INDEX(DriverRank,MATCH($R1437,DriverList,0)),99))</f>
        <v/>
      </c>
      <c r="V1437" s="35" t="n">
        <f aca="false">IF($H1437="",0,IFERROR(INDEX(LevelBasic,MATCH($H1437,LevelList,0))+INDEX(LevelHousing,MATCH($H1437,LevelList,0))+INDEX(LevelTransport,MATCH($H1437,LevelList,0))+INDEX(LevelBasic,MATCH($H1437,LevelList,0))*INDEX(LevelBonus,MATCH($H1437,LevelList,0))+(INDEX(LevelBasic,MATCH($H1437,LevelList,0))+INDEX(LevelHousing,MATCH($H1437,LevelList,0)))*GosiSaudi,0))</f>
        <v>0</v>
      </c>
      <c r="W1437" s="35" t="n">
        <f aca="false">IFERROR(INDEX(LevelOneOff,MATCH($H1437,LevelList,0)),0)</f>
        <v>0</v>
      </c>
      <c r="X1437" s="35" t="str">
        <f aca="false">IF($G1437="","",$V1437*N($L1437))</f>
        <v/>
      </c>
      <c r="Y1437" s="35" t="str">
        <f aca="false">IF($G1437="","",$V1437*(N($M1437)*1+N($N1437)*0.75+N($O1437)*0.5+N($P1437)*0.25)+$W1437*N($L1437))</f>
        <v/>
      </c>
      <c r="Z1437" s="35" t="str">
        <f aca="false">IF($G1437="","",$U1437*1000000+ROW())</f>
        <v/>
      </c>
      <c r="AA1437" s="36" t="str">
        <f aca="false">IF($G1437="","",MID(IF($C1437="",", no division","")&amp;IF($E1437="",", no unit","")&amp;IF($H1437="",", no career level","")&amp;IF(N($L1437)&lt;=0,", no quarter split","")&amp;IF($R1437="",", no driver","")&amp;IF(AND($H1437&lt;&gt;"",COUNTIF(CareerLevels,$H1437)=0),", a career level that is not on the ladder","")&amp;IF(AND($R1437&lt;&gt;"",COUNTIF(DriverList,$R1437)=0),", a driver that is not on the list","")&amp;IF(ABS(N($L1437)-(N($M1437)+N($N1437)+N($O1437)+N($P1437)))&gt;0.001,", a total that does not match its quarters",""),3,300))</f>
        <v/>
      </c>
    </row>
    <row r="1438" customFormat="false" ht="15" hidden="false" customHeight="false" outlineLevel="0" collapsed="false">
      <c r="A1438" s="33" t="str">
        <f aca="false">IF($G1438="","","Operations Group")</f>
        <v/>
      </c>
      <c r="B1438" s="19"/>
      <c r="C1438" s="19"/>
      <c r="D1438" s="19"/>
      <c r="E1438" s="19"/>
      <c r="F1438" s="19"/>
      <c r="G1438" s="19"/>
      <c r="H1438" s="19"/>
      <c r="I1438" s="19"/>
      <c r="J1438" s="19"/>
      <c r="K1438" s="19"/>
      <c r="L1438" s="19"/>
      <c r="M1438" s="19"/>
      <c r="N1438" s="19"/>
      <c r="O1438" s="19"/>
      <c r="P1438" s="19"/>
      <c r="Q1438" s="19"/>
      <c r="R1438" s="19"/>
      <c r="S1438" s="19"/>
      <c r="T1438" s="34" t="str">
        <f aca="false">IF($R1438="","",IFERROR(INDEX(DriverCategory,MATCH($R1438,DriverList,0)),"BAU"))</f>
        <v/>
      </c>
      <c r="U1438" s="34" t="str">
        <f aca="false">IF($R1438="","",IFERROR(INDEX(DriverRank,MATCH($R1438,DriverList,0)),99))</f>
        <v/>
      </c>
      <c r="V1438" s="35" t="n">
        <f aca="false">IF($H1438="",0,IFERROR(INDEX(LevelBasic,MATCH($H1438,LevelList,0))+INDEX(LevelHousing,MATCH($H1438,LevelList,0))+INDEX(LevelTransport,MATCH($H1438,LevelList,0))+INDEX(LevelBasic,MATCH($H1438,LevelList,0))*INDEX(LevelBonus,MATCH($H1438,LevelList,0))+(INDEX(LevelBasic,MATCH($H1438,LevelList,0))+INDEX(LevelHousing,MATCH($H1438,LevelList,0)))*GosiSaudi,0))</f>
        <v>0</v>
      </c>
      <c r="W1438" s="35" t="n">
        <f aca="false">IFERROR(INDEX(LevelOneOff,MATCH($H1438,LevelList,0)),0)</f>
        <v>0</v>
      </c>
      <c r="X1438" s="35" t="str">
        <f aca="false">IF($G1438="","",$V1438*N($L1438))</f>
        <v/>
      </c>
      <c r="Y1438" s="35" t="str">
        <f aca="false">IF($G1438="","",$V1438*(N($M1438)*1+N($N1438)*0.75+N($O1438)*0.5+N($P1438)*0.25)+$W1438*N($L1438))</f>
        <v/>
      </c>
      <c r="Z1438" s="35" t="str">
        <f aca="false">IF($G1438="","",$U1438*1000000+ROW())</f>
        <v/>
      </c>
      <c r="AA1438" s="36" t="str">
        <f aca="false">IF($G1438="","",MID(IF($C1438="",", no division","")&amp;IF($E1438="",", no unit","")&amp;IF($H1438="",", no career level","")&amp;IF(N($L1438)&lt;=0,", no quarter split","")&amp;IF($R1438="",", no driver","")&amp;IF(AND($H1438&lt;&gt;"",COUNTIF(CareerLevels,$H1438)=0),", a career level that is not on the ladder","")&amp;IF(AND($R1438&lt;&gt;"",COUNTIF(DriverList,$R1438)=0),", a driver that is not on the list","")&amp;IF(ABS(N($L1438)-(N($M1438)+N($N1438)+N($O1438)+N($P1438)))&gt;0.001,", a total that does not match its quarters",""),3,300))</f>
        <v/>
      </c>
    </row>
    <row r="1439" customFormat="false" ht="15" hidden="false" customHeight="false" outlineLevel="0" collapsed="false">
      <c r="A1439" s="33" t="str">
        <f aca="false">IF($G1439="","","Operations Group")</f>
        <v/>
      </c>
      <c r="B1439" s="19"/>
      <c r="C1439" s="19"/>
      <c r="D1439" s="19"/>
      <c r="E1439" s="19"/>
      <c r="F1439" s="19"/>
      <c r="G1439" s="19"/>
      <c r="H1439" s="19"/>
      <c r="I1439" s="19"/>
      <c r="J1439" s="19"/>
      <c r="K1439" s="19"/>
      <c r="L1439" s="19"/>
      <c r="M1439" s="19"/>
      <c r="N1439" s="19"/>
      <c r="O1439" s="19"/>
      <c r="P1439" s="19"/>
      <c r="Q1439" s="19"/>
      <c r="R1439" s="19"/>
      <c r="S1439" s="19"/>
      <c r="T1439" s="34" t="str">
        <f aca="false">IF($R1439="","",IFERROR(INDEX(DriverCategory,MATCH($R1439,DriverList,0)),"BAU"))</f>
        <v/>
      </c>
      <c r="U1439" s="34" t="str">
        <f aca="false">IF($R1439="","",IFERROR(INDEX(DriverRank,MATCH($R1439,DriverList,0)),99))</f>
        <v/>
      </c>
      <c r="V1439" s="35" t="n">
        <f aca="false">IF($H1439="",0,IFERROR(INDEX(LevelBasic,MATCH($H1439,LevelList,0))+INDEX(LevelHousing,MATCH($H1439,LevelList,0))+INDEX(LevelTransport,MATCH($H1439,LevelList,0))+INDEX(LevelBasic,MATCH($H1439,LevelList,0))*INDEX(LevelBonus,MATCH($H1439,LevelList,0))+(INDEX(LevelBasic,MATCH($H1439,LevelList,0))+INDEX(LevelHousing,MATCH($H1439,LevelList,0)))*GosiSaudi,0))</f>
        <v>0</v>
      </c>
      <c r="W1439" s="35" t="n">
        <f aca="false">IFERROR(INDEX(LevelOneOff,MATCH($H1439,LevelList,0)),0)</f>
        <v>0</v>
      </c>
      <c r="X1439" s="35" t="str">
        <f aca="false">IF($G1439="","",$V1439*N($L1439))</f>
        <v/>
      </c>
      <c r="Y1439" s="35" t="str">
        <f aca="false">IF($G1439="","",$V1439*(N($M1439)*1+N($N1439)*0.75+N($O1439)*0.5+N($P1439)*0.25)+$W1439*N($L1439))</f>
        <v/>
      </c>
      <c r="Z1439" s="35" t="str">
        <f aca="false">IF($G1439="","",$U1439*1000000+ROW())</f>
        <v/>
      </c>
      <c r="AA1439" s="36" t="str">
        <f aca="false">IF($G1439="","",MID(IF($C1439="",", no division","")&amp;IF($E1439="",", no unit","")&amp;IF($H1439="",", no career level","")&amp;IF(N($L1439)&lt;=0,", no quarter split","")&amp;IF($R1439="",", no driver","")&amp;IF(AND($H1439&lt;&gt;"",COUNTIF(CareerLevels,$H1439)=0),", a career level that is not on the ladder","")&amp;IF(AND($R1439&lt;&gt;"",COUNTIF(DriverList,$R1439)=0),", a driver that is not on the list","")&amp;IF(ABS(N($L1439)-(N($M1439)+N($N1439)+N($O1439)+N($P1439)))&gt;0.001,", a total that does not match its quarters",""),3,300))</f>
        <v/>
      </c>
    </row>
    <row r="1440" customFormat="false" ht="15" hidden="false" customHeight="false" outlineLevel="0" collapsed="false">
      <c r="A1440" s="33" t="str">
        <f aca="false">IF($G1440="","","Operations Group")</f>
        <v/>
      </c>
      <c r="B1440" s="19"/>
      <c r="C1440" s="19"/>
      <c r="D1440" s="19"/>
      <c r="E1440" s="19"/>
      <c r="F1440" s="19"/>
      <c r="G1440" s="19"/>
      <c r="H1440" s="19"/>
      <c r="I1440" s="19"/>
      <c r="J1440" s="19"/>
      <c r="K1440" s="19"/>
      <c r="L1440" s="19"/>
      <c r="M1440" s="19"/>
      <c r="N1440" s="19"/>
      <c r="O1440" s="19"/>
      <c r="P1440" s="19"/>
      <c r="Q1440" s="19"/>
      <c r="R1440" s="19"/>
      <c r="S1440" s="19"/>
      <c r="T1440" s="34" t="str">
        <f aca="false">IF($R1440="","",IFERROR(INDEX(DriverCategory,MATCH($R1440,DriverList,0)),"BAU"))</f>
        <v/>
      </c>
      <c r="U1440" s="34" t="str">
        <f aca="false">IF($R1440="","",IFERROR(INDEX(DriverRank,MATCH($R1440,DriverList,0)),99))</f>
        <v/>
      </c>
      <c r="V1440" s="35" t="n">
        <f aca="false">IF($H1440="",0,IFERROR(INDEX(LevelBasic,MATCH($H1440,LevelList,0))+INDEX(LevelHousing,MATCH($H1440,LevelList,0))+INDEX(LevelTransport,MATCH($H1440,LevelList,0))+INDEX(LevelBasic,MATCH($H1440,LevelList,0))*INDEX(LevelBonus,MATCH($H1440,LevelList,0))+(INDEX(LevelBasic,MATCH($H1440,LevelList,0))+INDEX(LevelHousing,MATCH($H1440,LevelList,0)))*GosiSaudi,0))</f>
        <v>0</v>
      </c>
      <c r="W1440" s="35" t="n">
        <f aca="false">IFERROR(INDEX(LevelOneOff,MATCH($H1440,LevelList,0)),0)</f>
        <v>0</v>
      </c>
      <c r="X1440" s="35" t="str">
        <f aca="false">IF($G1440="","",$V1440*N($L1440))</f>
        <v/>
      </c>
      <c r="Y1440" s="35" t="str">
        <f aca="false">IF($G1440="","",$V1440*(N($M1440)*1+N($N1440)*0.75+N($O1440)*0.5+N($P1440)*0.25)+$W1440*N($L1440))</f>
        <v/>
      </c>
      <c r="Z1440" s="35" t="str">
        <f aca="false">IF($G1440="","",$U1440*1000000+ROW())</f>
        <v/>
      </c>
      <c r="AA1440" s="36" t="str">
        <f aca="false">IF($G1440="","",MID(IF($C1440="",", no division","")&amp;IF($E1440="",", no unit","")&amp;IF($H1440="",", no career level","")&amp;IF(N($L1440)&lt;=0,", no quarter split","")&amp;IF($R1440="",", no driver","")&amp;IF(AND($H1440&lt;&gt;"",COUNTIF(CareerLevels,$H1440)=0),", a career level that is not on the ladder","")&amp;IF(AND($R1440&lt;&gt;"",COUNTIF(DriverList,$R1440)=0),", a driver that is not on the list","")&amp;IF(ABS(N($L1440)-(N($M1440)+N($N1440)+N($O1440)+N($P1440)))&gt;0.001,", a total that does not match its quarters",""),3,300))</f>
        <v/>
      </c>
    </row>
    <row r="1441" customFormat="false" ht="15" hidden="false" customHeight="false" outlineLevel="0" collapsed="false">
      <c r="A1441" s="33" t="str">
        <f aca="false">IF($G1441="","","Operations Group")</f>
        <v/>
      </c>
      <c r="B1441" s="19"/>
      <c r="C1441" s="19"/>
      <c r="D1441" s="19"/>
      <c r="E1441" s="19"/>
      <c r="F1441" s="19"/>
      <c r="G1441" s="19"/>
      <c r="H1441" s="19"/>
      <c r="I1441" s="19"/>
      <c r="J1441" s="19"/>
      <c r="K1441" s="19"/>
      <c r="L1441" s="19"/>
      <c r="M1441" s="19"/>
      <c r="N1441" s="19"/>
      <c r="O1441" s="19"/>
      <c r="P1441" s="19"/>
      <c r="Q1441" s="19"/>
      <c r="R1441" s="19"/>
      <c r="S1441" s="19"/>
      <c r="T1441" s="34" t="str">
        <f aca="false">IF($R1441="","",IFERROR(INDEX(DriverCategory,MATCH($R1441,DriverList,0)),"BAU"))</f>
        <v/>
      </c>
      <c r="U1441" s="34" t="str">
        <f aca="false">IF($R1441="","",IFERROR(INDEX(DriverRank,MATCH($R1441,DriverList,0)),99))</f>
        <v/>
      </c>
      <c r="V1441" s="35" t="n">
        <f aca="false">IF($H1441="",0,IFERROR(INDEX(LevelBasic,MATCH($H1441,LevelList,0))+INDEX(LevelHousing,MATCH($H1441,LevelList,0))+INDEX(LevelTransport,MATCH($H1441,LevelList,0))+INDEX(LevelBasic,MATCH($H1441,LevelList,0))*INDEX(LevelBonus,MATCH($H1441,LevelList,0))+(INDEX(LevelBasic,MATCH($H1441,LevelList,0))+INDEX(LevelHousing,MATCH($H1441,LevelList,0)))*GosiSaudi,0))</f>
        <v>0</v>
      </c>
      <c r="W1441" s="35" t="n">
        <f aca="false">IFERROR(INDEX(LevelOneOff,MATCH($H1441,LevelList,0)),0)</f>
        <v>0</v>
      </c>
      <c r="X1441" s="35" t="str">
        <f aca="false">IF($G1441="","",$V1441*N($L1441))</f>
        <v/>
      </c>
      <c r="Y1441" s="35" t="str">
        <f aca="false">IF($G1441="","",$V1441*(N($M1441)*1+N($N1441)*0.75+N($O1441)*0.5+N($P1441)*0.25)+$W1441*N($L1441))</f>
        <v/>
      </c>
      <c r="Z1441" s="35" t="str">
        <f aca="false">IF($G1441="","",$U1441*1000000+ROW())</f>
        <v/>
      </c>
      <c r="AA1441" s="36" t="str">
        <f aca="false">IF($G1441="","",MID(IF($C1441="",", no division","")&amp;IF($E1441="",", no unit","")&amp;IF($H1441="",", no career level","")&amp;IF(N($L1441)&lt;=0,", no quarter split","")&amp;IF($R1441="",", no driver","")&amp;IF(AND($H1441&lt;&gt;"",COUNTIF(CareerLevels,$H1441)=0),", a career level that is not on the ladder","")&amp;IF(AND($R1441&lt;&gt;"",COUNTIF(DriverList,$R1441)=0),", a driver that is not on the list","")&amp;IF(ABS(N($L1441)-(N($M1441)+N($N1441)+N($O1441)+N($P1441)))&gt;0.001,", a total that does not match its quarters",""),3,300))</f>
        <v/>
      </c>
    </row>
    <row r="1442" customFormat="false" ht="15" hidden="false" customHeight="false" outlineLevel="0" collapsed="false">
      <c r="A1442" s="33" t="str">
        <f aca="false">IF($G1442="","","Operations Group")</f>
        <v/>
      </c>
      <c r="B1442" s="19"/>
      <c r="C1442" s="19"/>
      <c r="D1442" s="19"/>
      <c r="E1442" s="19"/>
      <c r="F1442" s="19"/>
      <c r="G1442" s="19"/>
      <c r="H1442" s="19"/>
      <c r="I1442" s="19"/>
      <c r="J1442" s="19"/>
      <c r="K1442" s="19"/>
      <c r="L1442" s="19"/>
      <c r="M1442" s="19"/>
      <c r="N1442" s="19"/>
      <c r="O1442" s="19"/>
      <c r="P1442" s="19"/>
      <c r="Q1442" s="19"/>
      <c r="R1442" s="19"/>
      <c r="S1442" s="19"/>
      <c r="T1442" s="34" t="str">
        <f aca="false">IF($R1442="","",IFERROR(INDEX(DriverCategory,MATCH($R1442,DriverList,0)),"BAU"))</f>
        <v/>
      </c>
      <c r="U1442" s="34" t="str">
        <f aca="false">IF($R1442="","",IFERROR(INDEX(DriverRank,MATCH($R1442,DriverList,0)),99))</f>
        <v/>
      </c>
      <c r="V1442" s="35" t="n">
        <f aca="false">IF($H1442="",0,IFERROR(INDEX(LevelBasic,MATCH($H1442,LevelList,0))+INDEX(LevelHousing,MATCH($H1442,LevelList,0))+INDEX(LevelTransport,MATCH($H1442,LevelList,0))+INDEX(LevelBasic,MATCH($H1442,LevelList,0))*INDEX(LevelBonus,MATCH($H1442,LevelList,0))+(INDEX(LevelBasic,MATCH($H1442,LevelList,0))+INDEX(LevelHousing,MATCH($H1442,LevelList,0)))*GosiSaudi,0))</f>
        <v>0</v>
      </c>
      <c r="W1442" s="35" t="n">
        <f aca="false">IFERROR(INDEX(LevelOneOff,MATCH($H1442,LevelList,0)),0)</f>
        <v>0</v>
      </c>
      <c r="X1442" s="35" t="str">
        <f aca="false">IF($G1442="","",$V1442*N($L1442))</f>
        <v/>
      </c>
      <c r="Y1442" s="35" t="str">
        <f aca="false">IF($G1442="","",$V1442*(N($M1442)*1+N($N1442)*0.75+N($O1442)*0.5+N($P1442)*0.25)+$W1442*N($L1442))</f>
        <v/>
      </c>
      <c r="Z1442" s="35" t="str">
        <f aca="false">IF($G1442="","",$U1442*1000000+ROW())</f>
        <v/>
      </c>
      <c r="AA1442" s="36" t="str">
        <f aca="false">IF($G1442="","",MID(IF($C1442="",", no division","")&amp;IF($E1442="",", no unit","")&amp;IF($H1442="",", no career level","")&amp;IF(N($L1442)&lt;=0,", no quarter split","")&amp;IF($R1442="",", no driver","")&amp;IF(AND($H1442&lt;&gt;"",COUNTIF(CareerLevels,$H1442)=0),", a career level that is not on the ladder","")&amp;IF(AND($R1442&lt;&gt;"",COUNTIF(DriverList,$R1442)=0),", a driver that is not on the list","")&amp;IF(ABS(N($L1442)-(N($M1442)+N($N1442)+N($O1442)+N($P1442)))&gt;0.001,", a total that does not match its quarters",""),3,300))</f>
        <v/>
      </c>
    </row>
    <row r="1443" customFormat="false" ht="15" hidden="false" customHeight="false" outlineLevel="0" collapsed="false">
      <c r="A1443" s="33" t="str">
        <f aca="false">IF($G1443="","","Operations Group")</f>
        <v/>
      </c>
      <c r="B1443" s="19"/>
      <c r="C1443" s="19"/>
      <c r="D1443" s="19"/>
      <c r="E1443" s="19"/>
      <c r="F1443" s="19"/>
      <c r="G1443" s="19"/>
      <c r="H1443" s="19"/>
      <c r="I1443" s="19"/>
      <c r="J1443" s="19"/>
      <c r="K1443" s="19"/>
      <c r="L1443" s="19"/>
      <c r="M1443" s="19"/>
      <c r="N1443" s="19"/>
      <c r="O1443" s="19"/>
      <c r="P1443" s="19"/>
      <c r="Q1443" s="19"/>
      <c r="R1443" s="19"/>
      <c r="S1443" s="19"/>
      <c r="T1443" s="34" t="str">
        <f aca="false">IF($R1443="","",IFERROR(INDEX(DriverCategory,MATCH($R1443,DriverList,0)),"BAU"))</f>
        <v/>
      </c>
      <c r="U1443" s="34" t="str">
        <f aca="false">IF($R1443="","",IFERROR(INDEX(DriverRank,MATCH($R1443,DriverList,0)),99))</f>
        <v/>
      </c>
      <c r="V1443" s="35" t="n">
        <f aca="false">IF($H1443="",0,IFERROR(INDEX(LevelBasic,MATCH($H1443,LevelList,0))+INDEX(LevelHousing,MATCH($H1443,LevelList,0))+INDEX(LevelTransport,MATCH($H1443,LevelList,0))+INDEX(LevelBasic,MATCH($H1443,LevelList,0))*INDEX(LevelBonus,MATCH($H1443,LevelList,0))+(INDEX(LevelBasic,MATCH($H1443,LevelList,0))+INDEX(LevelHousing,MATCH($H1443,LevelList,0)))*GosiSaudi,0))</f>
        <v>0</v>
      </c>
      <c r="W1443" s="35" t="n">
        <f aca="false">IFERROR(INDEX(LevelOneOff,MATCH($H1443,LevelList,0)),0)</f>
        <v>0</v>
      </c>
      <c r="X1443" s="35" t="str">
        <f aca="false">IF($G1443="","",$V1443*N($L1443))</f>
        <v/>
      </c>
      <c r="Y1443" s="35" t="str">
        <f aca="false">IF($G1443="","",$V1443*(N($M1443)*1+N($N1443)*0.75+N($O1443)*0.5+N($P1443)*0.25)+$W1443*N($L1443))</f>
        <v/>
      </c>
      <c r="Z1443" s="35" t="str">
        <f aca="false">IF($G1443="","",$U1443*1000000+ROW())</f>
        <v/>
      </c>
      <c r="AA1443" s="36" t="str">
        <f aca="false">IF($G1443="","",MID(IF($C1443="",", no division","")&amp;IF($E1443="",", no unit","")&amp;IF($H1443="",", no career level","")&amp;IF(N($L1443)&lt;=0,", no quarter split","")&amp;IF($R1443="",", no driver","")&amp;IF(AND($H1443&lt;&gt;"",COUNTIF(CareerLevels,$H1443)=0),", a career level that is not on the ladder","")&amp;IF(AND($R1443&lt;&gt;"",COUNTIF(DriverList,$R1443)=0),", a driver that is not on the list","")&amp;IF(ABS(N($L1443)-(N($M1443)+N($N1443)+N($O1443)+N($P1443)))&gt;0.001,", a total that does not match its quarters",""),3,300))</f>
        <v/>
      </c>
    </row>
    <row r="1444" customFormat="false" ht="15" hidden="false" customHeight="false" outlineLevel="0" collapsed="false">
      <c r="A1444" s="33" t="str">
        <f aca="false">IF($G1444="","","Operations Group")</f>
        <v/>
      </c>
      <c r="B1444" s="19"/>
      <c r="C1444" s="19"/>
      <c r="D1444" s="19"/>
      <c r="E1444" s="19"/>
      <c r="F1444" s="19"/>
      <c r="G1444" s="19"/>
      <c r="H1444" s="19"/>
      <c r="I1444" s="19"/>
      <c r="J1444" s="19"/>
      <c r="K1444" s="19"/>
      <c r="L1444" s="19"/>
      <c r="M1444" s="19"/>
      <c r="N1444" s="19"/>
      <c r="O1444" s="19"/>
      <c r="P1444" s="19"/>
      <c r="Q1444" s="19"/>
      <c r="R1444" s="19"/>
      <c r="S1444" s="19"/>
      <c r="T1444" s="34" t="str">
        <f aca="false">IF($R1444="","",IFERROR(INDEX(DriverCategory,MATCH($R1444,DriverList,0)),"BAU"))</f>
        <v/>
      </c>
      <c r="U1444" s="34" t="str">
        <f aca="false">IF($R1444="","",IFERROR(INDEX(DriverRank,MATCH($R1444,DriverList,0)),99))</f>
        <v/>
      </c>
      <c r="V1444" s="35" t="n">
        <f aca="false">IF($H1444="",0,IFERROR(INDEX(LevelBasic,MATCH($H1444,LevelList,0))+INDEX(LevelHousing,MATCH($H1444,LevelList,0))+INDEX(LevelTransport,MATCH($H1444,LevelList,0))+INDEX(LevelBasic,MATCH($H1444,LevelList,0))*INDEX(LevelBonus,MATCH($H1444,LevelList,0))+(INDEX(LevelBasic,MATCH($H1444,LevelList,0))+INDEX(LevelHousing,MATCH($H1444,LevelList,0)))*GosiSaudi,0))</f>
        <v>0</v>
      </c>
      <c r="W1444" s="35" t="n">
        <f aca="false">IFERROR(INDEX(LevelOneOff,MATCH($H1444,LevelList,0)),0)</f>
        <v>0</v>
      </c>
      <c r="X1444" s="35" t="str">
        <f aca="false">IF($G1444="","",$V1444*N($L1444))</f>
        <v/>
      </c>
      <c r="Y1444" s="35" t="str">
        <f aca="false">IF($G1444="","",$V1444*(N($M1444)*1+N($N1444)*0.75+N($O1444)*0.5+N($P1444)*0.25)+$W1444*N($L1444))</f>
        <v/>
      </c>
      <c r="Z1444" s="35" t="str">
        <f aca="false">IF($G1444="","",$U1444*1000000+ROW())</f>
        <v/>
      </c>
      <c r="AA1444" s="36" t="str">
        <f aca="false">IF($G1444="","",MID(IF($C1444="",", no division","")&amp;IF($E1444="",", no unit","")&amp;IF($H1444="",", no career level","")&amp;IF(N($L1444)&lt;=0,", no quarter split","")&amp;IF($R1444="",", no driver","")&amp;IF(AND($H1444&lt;&gt;"",COUNTIF(CareerLevels,$H1444)=0),", a career level that is not on the ladder","")&amp;IF(AND($R1444&lt;&gt;"",COUNTIF(DriverList,$R1444)=0),", a driver that is not on the list","")&amp;IF(ABS(N($L1444)-(N($M1444)+N($N1444)+N($O1444)+N($P1444)))&gt;0.001,", a total that does not match its quarters",""),3,300))</f>
        <v/>
      </c>
    </row>
    <row r="1445" customFormat="false" ht="15" hidden="false" customHeight="false" outlineLevel="0" collapsed="false">
      <c r="A1445" s="33" t="str">
        <f aca="false">IF($G1445="","","Operations Group")</f>
        <v/>
      </c>
      <c r="B1445" s="19"/>
      <c r="C1445" s="19"/>
      <c r="D1445" s="19"/>
      <c r="E1445" s="19"/>
      <c r="F1445" s="19"/>
      <c r="G1445" s="19"/>
      <c r="H1445" s="19"/>
      <c r="I1445" s="19"/>
      <c r="J1445" s="19"/>
      <c r="K1445" s="19"/>
      <c r="L1445" s="19"/>
      <c r="M1445" s="19"/>
      <c r="N1445" s="19"/>
      <c r="O1445" s="19"/>
      <c r="P1445" s="19"/>
      <c r="Q1445" s="19"/>
      <c r="R1445" s="19"/>
      <c r="S1445" s="19"/>
      <c r="T1445" s="34" t="str">
        <f aca="false">IF($R1445="","",IFERROR(INDEX(DriverCategory,MATCH($R1445,DriverList,0)),"BAU"))</f>
        <v/>
      </c>
      <c r="U1445" s="34" t="str">
        <f aca="false">IF($R1445="","",IFERROR(INDEX(DriverRank,MATCH($R1445,DriverList,0)),99))</f>
        <v/>
      </c>
      <c r="V1445" s="35" t="n">
        <f aca="false">IF($H1445="",0,IFERROR(INDEX(LevelBasic,MATCH($H1445,LevelList,0))+INDEX(LevelHousing,MATCH($H1445,LevelList,0))+INDEX(LevelTransport,MATCH($H1445,LevelList,0))+INDEX(LevelBasic,MATCH($H1445,LevelList,0))*INDEX(LevelBonus,MATCH($H1445,LevelList,0))+(INDEX(LevelBasic,MATCH($H1445,LevelList,0))+INDEX(LevelHousing,MATCH($H1445,LevelList,0)))*GosiSaudi,0))</f>
        <v>0</v>
      </c>
      <c r="W1445" s="35" t="n">
        <f aca="false">IFERROR(INDEX(LevelOneOff,MATCH($H1445,LevelList,0)),0)</f>
        <v>0</v>
      </c>
      <c r="X1445" s="35" t="str">
        <f aca="false">IF($G1445="","",$V1445*N($L1445))</f>
        <v/>
      </c>
      <c r="Y1445" s="35" t="str">
        <f aca="false">IF($G1445="","",$V1445*(N($M1445)*1+N($N1445)*0.75+N($O1445)*0.5+N($P1445)*0.25)+$W1445*N($L1445))</f>
        <v/>
      </c>
      <c r="Z1445" s="35" t="str">
        <f aca="false">IF($G1445="","",$U1445*1000000+ROW())</f>
        <v/>
      </c>
      <c r="AA1445" s="36" t="str">
        <f aca="false">IF($G1445="","",MID(IF($C1445="",", no division","")&amp;IF($E1445="",", no unit","")&amp;IF($H1445="",", no career level","")&amp;IF(N($L1445)&lt;=0,", no quarter split","")&amp;IF($R1445="",", no driver","")&amp;IF(AND($H1445&lt;&gt;"",COUNTIF(CareerLevels,$H1445)=0),", a career level that is not on the ladder","")&amp;IF(AND($R1445&lt;&gt;"",COUNTIF(DriverList,$R1445)=0),", a driver that is not on the list","")&amp;IF(ABS(N($L1445)-(N($M1445)+N($N1445)+N($O1445)+N($P1445)))&gt;0.001,", a total that does not match its quarters",""),3,300))</f>
        <v/>
      </c>
    </row>
    <row r="1446" customFormat="false" ht="15" hidden="false" customHeight="false" outlineLevel="0" collapsed="false">
      <c r="A1446" s="33" t="str">
        <f aca="false">IF($G1446="","","Operations Group")</f>
        <v/>
      </c>
      <c r="B1446" s="19"/>
      <c r="C1446" s="19"/>
      <c r="D1446" s="19"/>
      <c r="E1446" s="19"/>
      <c r="F1446" s="19"/>
      <c r="G1446" s="19"/>
      <c r="H1446" s="19"/>
      <c r="I1446" s="19"/>
      <c r="J1446" s="19"/>
      <c r="K1446" s="19"/>
      <c r="L1446" s="19"/>
      <c r="M1446" s="19"/>
      <c r="N1446" s="19"/>
      <c r="O1446" s="19"/>
      <c r="P1446" s="19"/>
      <c r="Q1446" s="19"/>
      <c r="R1446" s="19"/>
      <c r="S1446" s="19"/>
      <c r="T1446" s="34" t="str">
        <f aca="false">IF($R1446="","",IFERROR(INDEX(DriverCategory,MATCH($R1446,DriverList,0)),"BAU"))</f>
        <v/>
      </c>
      <c r="U1446" s="34" t="str">
        <f aca="false">IF($R1446="","",IFERROR(INDEX(DriverRank,MATCH($R1446,DriverList,0)),99))</f>
        <v/>
      </c>
      <c r="V1446" s="35" t="n">
        <f aca="false">IF($H1446="",0,IFERROR(INDEX(LevelBasic,MATCH($H1446,LevelList,0))+INDEX(LevelHousing,MATCH($H1446,LevelList,0))+INDEX(LevelTransport,MATCH($H1446,LevelList,0))+INDEX(LevelBasic,MATCH($H1446,LevelList,0))*INDEX(LevelBonus,MATCH($H1446,LevelList,0))+(INDEX(LevelBasic,MATCH($H1446,LevelList,0))+INDEX(LevelHousing,MATCH($H1446,LevelList,0)))*GosiSaudi,0))</f>
        <v>0</v>
      </c>
      <c r="W1446" s="35" t="n">
        <f aca="false">IFERROR(INDEX(LevelOneOff,MATCH($H1446,LevelList,0)),0)</f>
        <v>0</v>
      </c>
      <c r="X1446" s="35" t="str">
        <f aca="false">IF($G1446="","",$V1446*N($L1446))</f>
        <v/>
      </c>
      <c r="Y1446" s="35" t="str">
        <f aca="false">IF($G1446="","",$V1446*(N($M1446)*1+N($N1446)*0.75+N($O1446)*0.5+N($P1446)*0.25)+$W1446*N($L1446))</f>
        <v/>
      </c>
      <c r="Z1446" s="35" t="str">
        <f aca="false">IF($G1446="","",$U1446*1000000+ROW())</f>
        <v/>
      </c>
      <c r="AA1446" s="36" t="str">
        <f aca="false">IF($G1446="","",MID(IF($C1446="",", no division","")&amp;IF($E1446="",", no unit","")&amp;IF($H1446="",", no career level","")&amp;IF(N($L1446)&lt;=0,", no quarter split","")&amp;IF($R1446="",", no driver","")&amp;IF(AND($H1446&lt;&gt;"",COUNTIF(CareerLevels,$H1446)=0),", a career level that is not on the ladder","")&amp;IF(AND($R1446&lt;&gt;"",COUNTIF(DriverList,$R1446)=0),", a driver that is not on the list","")&amp;IF(ABS(N($L1446)-(N($M1446)+N($N1446)+N($O1446)+N($P1446)))&gt;0.001,", a total that does not match its quarters",""),3,300))</f>
        <v/>
      </c>
    </row>
    <row r="1447" customFormat="false" ht="15" hidden="false" customHeight="false" outlineLevel="0" collapsed="false">
      <c r="A1447" s="33" t="str">
        <f aca="false">IF($G1447="","","Operations Group")</f>
        <v/>
      </c>
      <c r="B1447" s="19"/>
      <c r="C1447" s="19"/>
      <c r="D1447" s="19"/>
      <c r="E1447" s="19"/>
      <c r="F1447" s="19"/>
      <c r="G1447" s="19"/>
      <c r="H1447" s="19"/>
      <c r="I1447" s="19"/>
      <c r="J1447" s="19"/>
      <c r="K1447" s="19"/>
      <c r="L1447" s="19"/>
      <c r="M1447" s="19"/>
      <c r="N1447" s="19"/>
      <c r="O1447" s="19"/>
      <c r="P1447" s="19"/>
      <c r="Q1447" s="19"/>
      <c r="R1447" s="19"/>
      <c r="S1447" s="19"/>
      <c r="T1447" s="34" t="str">
        <f aca="false">IF($R1447="","",IFERROR(INDEX(DriverCategory,MATCH($R1447,DriverList,0)),"BAU"))</f>
        <v/>
      </c>
      <c r="U1447" s="34" t="str">
        <f aca="false">IF($R1447="","",IFERROR(INDEX(DriverRank,MATCH($R1447,DriverList,0)),99))</f>
        <v/>
      </c>
      <c r="V1447" s="35" t="n">
        <f aca="false">IF($H1447="",0,IFERROR(INDEX(LevelBasic,MATCH($H1447,LevelList,0))+INDEX(LevelHousing,MATCH($H1447,LevelList,0))+INDEX(LevelTransport,MATCH($H1447,LevelList,0))+INDEX(LevelBasic,MATCH($H1447,LevelList,0))*INDEX(LevelBonus,MATCH($H1447,LevelList,0))+(INDEX(LevelBasic,MATCH($H1447,LevelList,0))+INDEX(LevelHousing,MATCH($H1447,LevelList,0)))*GosiSaudi,0))</f>
        <v>0</v>
      </c>
      <c r="W1447" s="35" t="n">
        <f aca="false">IFERROR(INDEX(LevelOneOff,MATCH($H1447,LevelList,0)),0)</f>
        <v>0</v>
      </c>
      <c r="X1447" s="35" t="str">
        <f aca="false">IF($G1447="","",$V1447*N($L1447))</f>
        <v/>
      </c>
      <c r="Y1447" s="35" t="str">
        <f aca="false">IF($G1447="","",$V1447*(N($M1447)*1+N($N1447)*0.75+N($O1447)*0.5+N($P1447)*0.25)+$W1447*N($L1447))</f>
        <v/>
      </c>
      <c r="Z1447" s="35" t="str">
        <f aca="false">IF($G1447="","",$U1447*1000000+ROW())</f>
        <v/>
      </c>
      <c r="AA1447" s="36" t="str">
        <f aca="false">IF($G1447="","",MID(IF($C1447="",", no division","")&amp;IF($E1447="",", no unit","")&amp;IF($H1447="",", no career level","")&amp;IF(N($L1447)&lt;=0,", no quarter split","")&amp;IF($R1447="",", no driver","")&amp;IF(AND($H1447&lt;&gt;"",COUNTIF(CareerLevels,$H1447)=0),", a career level that is not on the ladder","")&amp;IF(AND($R1447&lt;&gt;"",COUNTIF(DriverList,$R1447)=0),", a driver that is not on the list","")&amp;IF(ABS(N($L1447)-(N($M1447)+N($N1447)+N($O1447)+N($P1447)))&gt;0.001,", a total that does not match its quarters",""),3,300))</f>
        <v/>
      </c>
    </row>
    <row r="1448" customFormat="false" ht="15" hidden="false" customHeight="false" outlineLevel="0" collapsed="false">
      <c r="A1448" s="33" t="str">
        <f aca="false">IF($G1448="","","Operations Group")</f>
        <v/>
      </c>
      <c r="B1448" s="19"/>
      <c r="C1448" s="19"/>
      <c r="D1448" s="19"/>
      <c r="E1448" s="19"/>
      <c r="F1448" s="19"/>
      <c r="G1448" s="19"/>
      <c r="H1448" s="19"/>
      <c r="I1448" s="19"/>
      <c r="J1448" s="19"/>
      <c r="K1448" s="19"/>
      <c r="L1448" s="19"/>
      <c r="M1448" s="19"/>
      <c r="N1448" s="19"/>
      <c r="O1448" s="19"/>
      <c r="P1448" s="19"/>
      <c r="Q1448" s="19"/>
      <c r="R1448" s="19"/>
      <c r="S1448" s="19"/>
      <c r="T1448" s="34" t="str">
        <f aca="false">IF($R1448="","",IFERROR(INDEX(DriverCategory,MATCH($R1448,DriverList,0)),"BAU"))</f>
        <v/>
      </c>
      <c r="U1448" s="34" t="str">
        <f aca="false">IF($R1448="","",IFERROR(INDEX(DriverRank,MATCH($R1448,DriverList,0)),99))</f>
        <v/>
      </c>
      <c r="V1448" s="35" t="n">
        <f aca="false">IF($H1448="",0,IFERROR(INDEX(LevelBasic,MATCH($H1448,LevelList,0))+INDEX(LevelHousing,MATCH($H1448,LevelList,0))+INDEX(LevelTransport,MATCH($H1448,LevelList,0))+INDEX(LevelBasic,MATCH($H1448,LevelList,0))*INDEX(LevelBonus,MATCH($H1448,LevelList,0))+(INDEX(LevelBasic,MATCH($H1448,LevelList,0))+INDEX(LevelHousing,MATCH($H1448,LevelList,0)))*GosiSaudi,0))</f>
        <v>0</v>
      </c>
      <c r="W1448" s="35" t="n">
        <f aca="false">IFERROR(INDEX(LevelOneOff,MATCH($H1448,LevelList,0)),0)</f>
        <v>0</v>
      </c>
      <c r="X1448" s="35" t="str">
        <f aca="false">IF($G1448="","",$V1448*N($L1448))</f>
        <v/>
      </c>
      <c r="Y1448" s="35" t="str">
        <f aca="false">IF($G1448="","",$V1448*(N($M1448)*1+N($N1448)*0.75+N($O1448)*0.5+N($P1448)*0.25)+$W1448*N($L1448))</f>
        <v/>
      </c>
      <c r="Z1448" s="35" t="str">
        <f aca="false">IF($G1448="","",$U1448*1000000+ROW())</f>
        <v/>
      </c>
      <c r="AA1448" s="36" t="str">
        <f aca="false">IF($G1448="","",MID(IF($C1448="",", no division","")&amp;IF($E1448="",", no unit","")&amp;IF($H1448="",", no career level","")&amp;IF(N($L1448)&lt;=0,", no quarter split","")&amp;IF($R1448="",", no driver","")&amp;IF(AND($H1448&lt;&gt;"",COUNTIF(CareerLevels,$H1448)=0),", a career level that is not on the ladder","")&amp;IF(AND($R1448&lt;&gt;"",COUNTIF(DriverList,$R1448)=0),", a driver that is not on the list","")&amp;IF(ABS(N($L1448)-(N($M1448)+N($N1448)+N($O1448)+N($P1448)))&gt;0.001,", a total that does not match its quarters",""),3,300))</f>
        <v/>
      </c>
    </row>
    <row r="1449" customFormat="false" ht="15" hidden="false" customHeight="false" outlineLevel="0" collapsed="false">
      <c r="A1449" s="33" t="str">
        <f aca="false">IF($G1449="","","Operations Group")</f>
        <v/>
      </c>
      <c r="B1449" s="19"/>
      <c r="C1449" s="19"/>
      <c r="D1449" s="19"/>
      <c r="E1449" s="19"/>
      <c r="F1449" s="19"/>
      <c r="G1449" s="19"/>
      <c r="H1449" s="19"/>
      <c r="I1449" s="19"/>
      <c r="J1449" s="19"/>
      <c r="K1449" s="19"/>
      <c r="L1449" s="19"/>
      <c r="M1449" s="19"/>
      <c r="N1449" s="19"/>
      <c r="O1449" s="19"/>
      <c r="P1449" s="19"/>
      <c r="Q1449" s="19"/>
      <c r="R1449" s="19"/>
      <c r="S1449" s="19"/>
      <c r="T1449" s="34" t="str">
        <f aca="false">IF($R1449="","",IFERROR(INDEX(DriverCategory,MATCH($R1449,DriverList,0)),"BAU"))</f>
        <v/>
      </c>
      <c r="U1449" s="34" t="str">
        <f aca="false">IF($R1449="","",IFERROR(INDEX(DriverRank,MATCH($R1449,DriverList,0)),99))</f>
        <v/>
      </c>
      <c r="V1449" s="35" t="n">
        <f aca="false">IF($H1449="",0,IFERROR(INDEX(LevelBasic,MATCH($H1449,LevelList,0))+INDEX(LevelHousing,MATCH($H1449,LevelList,0))+INDEX(LevelTransport,MATCH($H1449,LevelList,0))+INDEX(LevelBasic,MATCH($H1449,LevelList,0))*INDEX(LevelBonus,MATCH($H1449,LevelList,0))+(INDEX(LevelBasic,MATCH($H1449,LevelList,0))+INDEX(LevelHousing,MATCH($H1449,LevelList,0)))*GosiSaudi,0))</f>
        <v>0</v>
      </c>
      <c r="W1449" s="35" t="n">
        <f aca="false">IFERROR(INDEX(LevelOneOff,MATCH($H1449,LevelList,0)),0)</f>
        <v>0</v>
      </c>
      <c r="X1449" s="35" t="str">
        <f aca="false">IF($G1449="","",$V1449*N($L1449))</f>
        <v/>
      </c>
      <c r="Y1449" s="35" t="str">
        <f aca="false">IF($G1449="","",$V1449*(N($M1449)*1+N($N1449)*0.75+N($O1449)*0.5+N($P1449)*0.25)+$W1449*N($L1449))</f>
        <v/>
      </c>
      <c r="Z1449" s="35" t="str">
        <f aca="false">IF($G1449="","",$U1449*1000000+ROW())</f>
        <v/>
      </c>
      <c r="AA1449" s="36" t="str">
        <f aca="false">IF($G1449="","",MID(IF($C1449="",", no division","")&amp;IF($E1449="",", no unit","")&amp;IF($H1449="",", no career level","")&amp;IF(N($L1449)&lt;=0,", no quarter split","")&amp;IF($R1449="",", no driver","")&amp;IF(AND($H1449&lt;&gt;"",COUNTIF(CareerLevels,$H1449)=0),", a career level that is not on the ladder","")&amp;IF(AND($R1449&lt;&gt;"",COUNTIF(DriverList,$R1449)=0),", a driver that is not on the list","")&amp;IF(ABS(N($L1449)-(N($M1449)+N($N1449)+N($O1449)+N($P1449)))&gt;0.001,", a total that does not match its quarters",""),3,300))</f>
        <v/>
      </c>
    </row>
    <row r="1450" customFormat="false" ht="15" hidden="false" customHeight="false" outlineLevel="0" collapsed="false">
      <c r="A1450" s="33" t="str">
        <f aca="false">IF($G1450="","","Operations Group")</f>
        <v/>
      </c>
      <c r="B1450" s="19"/>
      <c r="C1450" s="19"/>
      <c r="D1450" s="19"/>
      <c r="E1450" s="19"/>
      <c r="F1450" s="19"/>
      <c r="G1450" s="19"/>
      <c r="H1450" s="19"/>
      <c r="I1450" s="19"/>
      <c r="J1450" s="19"/>
      <c r="K1450" s="19"/>
      <c r="L1450" s="19"/>
      <c r="M1450" s="19"/>
      <c r="N1450" s="19"/>
      <c r="O1450" s="19"/>
      <c r="P1450" s="19"/>
      <c r="Q1450" s="19"/>
      <c r="R1450" s="19"/>
      <c r="S1450" s="19"/>
      <c r="T1450" s="34" t="str">
        <f aca="false">IF($R1450="","",IFERROR(INDEX(DriverCategory,MATCH($R1450,DriverList,0)),"BAU"))</f>
        <v/>
      </c>
      <c r="U1450" s="34" t="str">
        <f aca="false">IF($R1450="","",IFERROR(INDEX(DriverRank,MATCH($R1450,DriverList,0)),99))</f>
        <v/>
      </c>
      <c r="V1450" s="35" t="n">
        <f aca="false">IF($H1450="",0,IFERROR(INDEX(LevelBasic,MATCH($H1450,LevelList,0))+INDEX(LevelHousing,MATCH($H1450,LevelList,0))+INDEX(LevelTransport,MATCH($H1450,LevelList,0))+INDEX(LevelBasic,MATCH($H1450,LevelList,0))*INDEX(LevelBonus,MATCH($H1450,LevelList,0))+(INDEX(LevelBasic,MATCH($H1450,LevelList,0))+INDEX(LevelHousing,MATCH($H1450,LevelList,0)))*GosiSaudi,0))</f>
        <v>0</v>
      </c>
      <c r="W1450" s="35" t="n">
        <f aca="false">IFERROR(INDEX(LevelOneOff,MATCH($H1450,LevelList,0)),0)</f>
        <v>0</v>
      </c>
      <c r="X1450" s="35" t="str">
        <f aca="false">IF($G1450="","",$V1450*N($L1450))</f>
        <v/>
      </c>
      <c r="Y1450" s="35" t="str">
        <f aca="false">IF($G1450="","",$V1450*(N($M1450)*1+N($N1450)*0.75+N($O1450)*0.5+N($P1450)*0.25)+$W1450*N($L1450))</f>
        <v/>
      </c>
      <c r="Z1450" s="35" t="str">
        <f aca="false">IF($G1450="","",$U1450*1000000+ROW())</f>
        <v/>
      </c>
      <c r="AA1450" s="36" t="str">
        <f aca="false">IF($G1450="","",MID(IF($C1450="",", no division","")&amp;IF($E1450="",", no unit","")&amp;IF($H1450="",", no career level","")&amp;IF(N($L1450)&lt;=0,", no quarter split","")&amp;IF($R1450="",", no driver","")&amp;IF(AND($H1450&lt;&gt;"",COUNTIF(CareerLevels,$H1450)=0),", a career level that is not on the ladder","")&amp;IF(AND($R1450&lt;&gt;"",COUNTIF(DriverList,$R1450)=0),", a driver that is not on the list","")&amp;IF(ABS(N($L1450)-(N($M1450)+N($N1450)+N($O1450)+N($P1450)))&gt;0.001,", a total that does not match its quarters",""),3,300))</f>
        <v/>
      </c>
    </row>
    <row r="1451" customFormat="false" ht="15" hidden="false" customHeight="false" outlineLevel="0" collapsed="false">
      <c r="A1451" s="33" t="str">
        <f aca="false">IF($G1451="","","Operations Group")</f>
        <v/>
      </c>
      <c r="B1451" s="19"/>
      <c r="C1451" s="19"/>
      <c r="D1451" s="19"/>
      <c r="E1451" s="19"/>
      <c r="F1451" s="19"/>
      <c r="G1451" s="19"/>
      <c r="H1451" s="19"/>
      <c r="I1451" s="19"/>
      <c r="J1451" s="19"/>
      <c r="K1451" s="19"/>
      <c r="L1451" s="19"/>
      <c r="M1451" s="19"/>
      <c r="N1451" s="19"/>
      <c r="O1451" s="19"/>
      <c r="P1451" s="19"/>
      <c r="Q1451" s="19"/>
      <c r="R1451" s="19"/>
      <c r="S1451" s="19"/>
      <c r="T1451" s="34" t="str">
        <f aca="false">IF($R1451="","",IFERROR(INDEX(DriverCategory,MATCH($R1451,DriverList,0)),"BAU"))</f>
        <v/>
      </c>
      <c r="U1451" s="34" t="str">
        <f aca="false">IF($R1451="","",IFERROR(INDEX(DriverRank,MATCH($R1451,DriverList,0)),99))</f>
        <v/>
      </c>
      <c r="V1451" s="35" t="n">
        <f aca="false">IF($H1451="",0,IFERROR(INDEX(LevelBasic,MATCH($H1451,LevelList,0))+INDEX(LevelHousing,MATCH($H1451,LevelList,0))+INDEX(LevelTransport,MATCH($H1451,LevelList,0))+INDEX(LevelBasic,MATCH($H1451,LevelList,0))*INDEX(LevelBonus,MATCH($H1451,LevelList,0))+(INDEX(LevelBasic,MATCH($H1451,LevelList,0))+INDEX(LevelHousing,MATCH($H1451,LevelList,0)))*GosiSaudi,0))</f>
        <v>0</v>
      </c>
      <c r="W1451" s="35" t="n">
        <f aca="false">IFERROR(INDEX(LevelOneOff,MATCH($H1451,LevelList,0)),0)</f>
        <v>0</v>
      </c>
      <c r="X1451" s="35" t="str">
        <f aca="false">IF($G1451="","",$V1451*N($L1451))</f>
        <v/>
      </c>
      <c r="Y1451" s="35" t="str">
        <f aca="false">IF($G1451="","",$V1451*(N($M1451)*1+N($N1451)*0.75+N($O1451)*0.5+N($P1451)*0.25)+$W1451*N($L1451))</f>
        <v/>
      </c>
      <c r="Z1451" s="35" t="str">
        <f aca="false">IF($G1451="","",$U1451*1000000+ROW())</f>
        <v/>
      </c>
      <c r="AA1451" s="36" t="str">
        <f aca="false">IF($G1451="","",MID(IF($C1451="",", no division","")&amp;IF($E1451="",", no unit","")&amp;IF($H1451="",", no career level","")&amp;IF(N($L1451)&lt;=0,", no quarter split","")&amp;IF($R1451="",", no driver","")&amp;IF(AND($H1451&lt;&gt;"",COUNTIF(CareerLevels,$H1451)=0),", a career level that is not on the ladder","")&amp;IF(AND($R1451&lt;&gt;"",COUNTIF(DriverList,$R1451)=0),", a driver that is not on the list","")&amp;IF(ABS(N($L1451)-(N($M1451)+N($N1451)+N($O1451)+N($P1451)))&gt;0.001,", a total that does not match its quarters",""),3,300))</f>
        <v/>
      </c>
    </row>
    <row r="1452" customFormat="false" ht="15" hidden="false" customHeight="false" outlineLevel="0" collapsed="false">
      <c r="A1452" s="33" t="str">
        <f aca="false">IF($G1452="","","Operations Group")</f>
        <v/>
      </c>
      <c r="B1452" s="19"/>
      <c r="C1452" s="19"/>
      <c r="D1452" s="19"/>
      <c r="E1452" s="19"/>
      <c r="F1452" s="19"/>
      <c r="G1452" s="19"/>
      <c r="H1452" s="19"/>
      <c r="I1452" s="19"/>
      <c r="J1452" s="19"/>
      <c r="K1452" s="19"/>
      <c r="L1452" s="19"/>
      <c r="M1452" s="19"/>
      <c r="N1452" s="19"/>
      <c r="O1452" s="19"/>
      <c r="P1452" s="19"/>
      <c r="Q1452" s="19"/>
      <c r="R1452" s="19"/>
      <c r="S1452" s="19"/>
      <c r="T1452" s="34" t="str">
        <f aca="false">IF($R1452="","",IFERROR(INDEX(DriverCategory,MATCH($R1452,DriverList,0)),"BAU"))</f>
        <v/>
      </c>
      <c r="U1452" s="34" t="str">
        <f aca="false">IF($R1452="","",IFERROR(INDEX(DriverRank,MATCH($R1452,DriverList,0)),99))</f>
        <v/>
      </c>
      <c r="V1452" s="35" t="n">
        <f aca="false">IF($H1452="",0,IFERROR(INDEX(LevelBasic,MATCH($H1452,LevelList,0))+INDEX(LevelHousing,MATCH($H1452,LevelList,0))+INDEX(LevelTransport,MATCH($H1452,LevelList,0))+INDEX(LevelBasic,MATCH($H1452,LevelList,0))*INDEX(LevelBonus,MATCH($H1452,LevelList,0))+(INDEX(LevelBasic,MATCH($H1452,LevelList,0))+INDEX(LevelHousing,MATCH($H1452,LevelList,0)))*GosiSaudi,0))</f>
        <v>0</v>
      </c>
      <c r="W1452" s="35" t="n">
        <f aca="false">IFERROR(INDEX(LevelOneOff,MATCH($H1452,LevelList,0)),0)</f>
        <v>0</v>
      </c>
      <c r="X1452" s="35" t="str">
        <f aca="false">IF($G1452="","",$V1452*N($L1452))</f>
        <v/>
      </c>
      <c r="Y1452" s="35" t="str">
        <f aca="false">IF($G1452="","",$V1452*(N($M1452)*1+N($N1452)*0.75+N($O1452)*0.5+N($P1452)*0.25)+$W1452*N($L1452))</f>
        <v/>
      </c>
      <c r="Z1452" s="35" t="str">
        <f aca="false">IF($G1452="","",$U1452*1000000+ROW())</f>
        <v/>
      </c>
      <c r="AA1452" s="36" t="str">
        <f aca="false">IF($G1452="","",MID(IF($C1452="",", no division","")&amp;IF($E1452="",", no unit","")&amp;IF($H1452="",", no career level","")&amp;IF(N($L1452)&lt;=0,", no quarter split","")&amp;IF($R1452="",", no driver","")&amp;IF(AND($H1452&lt;&gt;"",COUNTIF(CareerLevels,$H1452)=0),", a career level that is not on the ladder","")&amp;IF(AND($R1452&lt;&gt;"",COUNTIF(DriverList,$R1452)=0),", a driver that is not on the list","")&amp;IF(ABS(N($L1452)-(N($M1452)+N($N1452)+N($O1452)+N($P1452)))&gt;0.001,", a total that does not match its quarters",""),3,300))</f>
        <v/>
      </c>
    </row>
    <row r="1453" customFormat="false" ht="15" hidden="false" customHeight="false" outlineLevel="0" collapsed="false">
      <c r="A1453" s="33" t="str">
        <f aca="false">IF($G1453="","","Operations Group")</f>
        <v/>
      </c>
      <c r="B1453" s="19"/>
      <c r="C1453" s="19"/>
      <c r="D1453" s="19"/>
      <c r="E1453" s="19"/>
      <c r="F1453" s="19"/>
      <c r="G1453" s="19"/>
      <c r="H1453" s="19"/>
      <c r="I1453" s="19"/>
      <c r="J1453" s="19"/>
      <c r="K1453" s="19"/>
      <c r="L1453" s="19"/>
      <c r="M1453" s="19"/>
      <c r="N1453" s="19"/>
      <c r="O1453" s="19"/>
      <c r="P1453" s="19"/>
      <c r="Q1453" s="19"/>
      <c r="R1453" s="19"/>
      <c r="S1453" s="19"/>
      <c r="T1453" s="34" t="str">
        <f aca="false">IF($R1453="","",IFERROR(INDEX(DriverCategory,MATCH($R1453,DriverList,0)),"BAU"))</f>
        <v/>
      </c>
      <c r="U1453" s="34" t="str">
        <f aca="false">IF($R1453="","",IFERROR(INDEX(DriverRank,MATCH($R1453,DriverList,0)),99))</f>
        <v/>
      </c>
      <c r="V1453" s="35" t="n">
        <f aca="false">IF($H1453="",0,IFERROR(INDEX(LevelBasic,MATCH($H1453,LevelList,0))+INDEX(LevelHousing,MATCH($H1453,LevelList,0))+INDEX(LevelTransport,MATCH($H1453,LevelList,0))+INDEX(LevelBasic,MATCH($H1453,LevelList,0))*INDEX(LevelBonus,MATCH($H1453,LevelList,0))+(INDEX(LevelBasic,MATCH($H1453,LevelList,0))+INDEX(LevelHousing,MATCH($H1453,LevelList,0)))*GosiSaudi,0))</f>
        <v>0</v>
      </c>
      <c r="W1453" s="35" t="n">
        <f aca="false">IFERROR(INDEX(LevelOneOff,MATCH($H1453,LevelList,0)),0)</f>
        <v>0</v>
      </c>
      <c r="X1453" s="35" t="str">
        <f aca="false">IF($G1453="","",$V1453*N($L1453))</f>
        <v/>
      </c>
      <c r="Y1453" s="35" t="str">
        <f aca="false">IF($G1453="","",$V1453*(N($M1453)*1+N($N1453)*0.75+N($O1453)*0.5+N($P1453)*0.25)+$W1453*N($L1453))</f>
        <v/>
      </c>
      <c r="Z1453" s="35" t="str">
        <f aca="false">IF($G1453="","",$U1453*1000000+ROW())</f>
        <v/>
      </c>
      <c r="AA1453" s="36" t="str">
        <f aca="false">IF($G1453="","",MID(IF($C1453="",", no division","")&amp;IF($E1453="",", no unit","")&amp;IF($H1453="",", no career level","")&amp;IF(N($L1453)&lt;=0,", no quarter split","")&amp;IF($R1453="",", no driver","")&amp;IF(AND($H1453&lt;&gt;"",COUNTIF(CareerLevels,$H1453)=0),", a career level that is not on the ladder","")&amp;IF(AND($R1453&lt;&gt;"",COUNTIF(DriverList,$R1453)=0),", a driver that is not on the list","")&amp;IF(ABS(N($L1453)-(N($M1453)+N($N1453)+N($O1453)+N($P1453)))&gt;0.001,", a total that does not match its quarters",""),3,300))</f>
        <v/>
      </c>
    </row>
    <row r="1454" customFormat="false" ht="15" hidden="false" customHeight="false" outlineLevel="0" collapsed="false">
      <c r="A1454" s="33" t="str">
        <f aca="false">IF($G1454="","","Operations Group")</f>
        <v/>
      </c>
      <c r="B1454" s="19"/>
      <c r="C1454" s="19"/>
      <c r="D1454" s="19"/>
      <c r="E1454" s="19"/>
      <c r="F1454" s="19"/>
      <c r="G1454" s="19"/>
      <c r="H1454" s="19"/>
      <c r="I1454" s="19"/>
      <c r="J1454" s="19"/>
      <c r="K1454" s="19"/>
      <c r="L1454" s="19"/>
      <c r="M1454" s="19"/>
      <c r="N1454" s="19"/>
      <c r="O1454" s="19"/>
      <c r="P1454" s="19"/>
      <c r="Q1454" s="19"/>
      <c r="R1454" s="19"/>
      <c r="S1454" s="19"/>
      <c r="T1454" s="34" t="str">
        <f aca="false">IF($R1454="","",IFERROR(INDEX(DriverCategory,MATCH($R1454,DriverList,0)),"BAU"))</f>
        <v/>
      </c>
      <c r="U1454" s="34" t="str">
        <f aca="false">IF($R1454="","",IFERROR(INDEX(DriverRank,MATCH($R1454,DriverList,0)),99))</f>
        <v/>
      </c>
      <c r="V1454" s="35" t="n">
        <f aca="false">IF($H1454="",0,IFERROR(INDEX(LevelBasic,MATCH($H1454,LevelList,0))+INDEX(LevelHousing,MATCH($H1454,LevelList,0))+INDEX(LevelTransport,MATCH($H1454,LevelList,0))+INDEX(LevelBasic,MATCH($H1454,LevelList,0))*INDEX(LevelBonus,MATCH($H1454,LevelList,0))+(INDEX(LevelBasic,MATCH($H1454,LevelList,0))+INDEX(LevelHousing,MATCH($H1454,LevelList,0)))*GosiSaudi,0))</f>
        <v>0</v>
      </c>
      <c r="W1454" s="35" t="n">
        <f aca="false">IFERROR(INDEX(LevelOneOff,MATCH($H1454,LevelList,0)),0)</f>
        <v>0</v>
      </c>
      <c r="X1454" s="35" t="str">
        <f aca="false">IF($G1454="","",$V1454*N($L1454))</f>
        <v/>
      </c>
      <c r="Y1454" s="35" t="str">
        <f aca="false">IF($G1454="","",$V1454*(N($M1454)*1+N($N1454)*0.75+N($O1454)*0.5+N($P1454)*0.25)+$W1454*N($L1454))</f>
        <v/>
      </c>
      <c r="Z1454" s="35" t="str">
        <f aca="false">IF($G1454="","",$U1454*1000000+ROW())</f>
        <v/>
      </c>
      <c r="AA1454" s="36" t="str">
        <f aca="false">IF($G1454="","",MID(IF($C1454="",", no division","")&amp;IF($E1454="",", no unit","")&amp;IF($H1454="",", no career level","")&amp;IF(N($L1454)&lt;=0,", no quarter split","")&amp;IF($R1454="",", no driver","")&amp;IF(AND($H1454&lt;&gt;"",COUNTIF(CareerLevels,$H1454)=0),", a career level that is not on the ladder","")&amp;IF(AND($R1454&lt;&gt;"",COUNTIF(DriverList,$R1454)=0),", a driver that is not on the list","")&amp;IF(ABS(N($L1454)-(N($M1454)+N($N1454)+N($O1454)+N($P1454)))&gt;0.001,", a total that does not match its quarters",""),3,300))</f>
        <v/>
      </c>
    </row>
    <row r="1455" customFormat="false" ht="15" hidden="false" customHeight="false" outlineLevel="0" collapsed="false">
      <c r="A1455" s="33" t="str">
        <f aca="false">IF($G1455="","","Operations Group")</f>
        <v/>
      </c>
      <c r="B1455" s="19"/>
      <c r="C1455" s="19"/>
      <c r="D1455" s="19"/>
      <c r="E1455" s="19"/>
      <c r="F1455" s="19"/>
      <c r="G1455" s="19"/>
      <c r="H1455" s="19"/>
      <c r="I1455" s="19"/>
      <c r="J1455" s="19"/>
      <c r="K1455" s="19"/>
      <c r="L1455" s="19"/>
      <c r="M1455" s="19"/>
      <c r="N1455" s="19"/>
      <c r="O1455" s="19"/>
      <c r="P1455" s="19"/>
      <c r="Q1455" s="19"/>
      <c r="R1455" s="19"/>
      <c r="S1455" s="19"/>
      <c r="T1455" s="34" t="str">
        <f aca="false">IF($R1455="","",IFERROR(INDEX(DriverCategory,MATCH($R1455,DriverList,0)),"BAU"))</f>
        <v/>
      </c>
      <c r="U1455" s="34" t="str">
        <f aca="false">IF($R1455="","",IFERROR(INDEX(DriverRank,MATCH($R1455,DriverList,0)),99))</f>
        <v/>
      </c>
      <c r="V1455" s="35" t="n">
        <f aca="false">IF($H1455="",0,IFERROR(INDEX(LevelBasic,MATCH($H1455,LevelList,0))+INDEX(LevelHousing,MATCH($H1455,LevelList,0))+INDEX(LevelTransport,MATCH($H1455,LevelList,0))+INDEX(LevelBasic,MATCH($H1455,LevelList,0))*INDEX(LevelBonus,MATCH($H1455,LevelList,0))+(INDEX(LevelBasic,MATCH($H1455,LevelList,0))+INDEX(LevelHousing,MATCH($H1455,LevelList,0)))*GosiSaudi,0))</f>
        <v>0</v>
      </c>
      <c r="W1455" s="35" t="n">
        <f aca="false">IFERROR(INDEX(LevelOneOff,MATCH($H1455,LevelList,0)),0)</f>
        <v>0</v>
      </c>
      <c r="X1455" s="35" t="str">
        <f aca="false">IF($G1455="","",$V1455*N($L1455))</f>
        <v/>
      </c>
      <c r="Y1455" s="35" t="str">
        <f aca="false">IF($G1455="","",$V1455*(N($M1455)*1+N($N1455)*0.75+N($O1455)*0.5+N($P1455)*0.25)+$W1455*N($L1455))</f>
        <v/>
      </c>
      <c r="Z1455" s="35" t="str">
        <f aca="false">IF($G1455="","",$U1455*1000000+ROW())</f>
        <v/>
      </c>
      <c r="AA1455" s="36" t="str">
        <f aca="false">IF($G1455="","",MID(IF($C1455="",", no division","")&amp;IF($E1455="",", no unit","")&amp;IF($H1455="",", no career level","")&amp;IF(N($L1455)&lt;=0,", no quarter split","")&amp;IF($R1455="",", no driver","")&amp;IF(AND($H1455&lt;&gt;"",COUNTIF(CareerLevels,$H1455)=0),", a career level that is not on the ladder","")&amp;IF(AND($R1455&lt;&gt;"",COUNTIF(DriverList,$R1455)=0),", a driver that is not on the list","")&amp;IF(ABS(N($L1455)-(N($M1455)+N($N1455)+N($O1455)+N($P1455)))&gt;0.001,", a total that does not match its quarters",""),3,300))</f>
        <v/>
      </c>
    </row>
    <row r="1456" customFormat="false" ht="15" hidden="false" customHeight="false" outlineLevel="0" collapsed="false">
      <c r="A1456" s="33" t="str">
        <f aca="false">IF($G1456="","","Operations Group")</f>
        <v/>
      </c>
      <c r="B1456" s="19"/>
      <c r="C1456" s="19"/>
      <c r="D1456" s="19"/>
      <c r="E1456" s="19"/>
      <c r="F1456" s="19"/>
      <c r="G1456" s="19"/>
      <c r="H1456" s="19"/>
      <c r="I1456" s="19"/>
      <c r="J1456" s="19"/>
      <c r="K1456" s="19"/>
      <c r="L1456" s="19"/>
      <c r="M1456" s="19"/>
      <c r="N1456" s="19"/>
      <c r="O1456" s="19"/>
      <c r="P1456" s="19"/>
      <c r="Q1456" s="19"/>
      <c r="R1456" s="19"/>
      <c r="S1456" s="19"/>
      <c r="T1456" s="34" t="str">
        <f aca="false">IF($R1456="","",IFERROR(INDEX(DriverCategory,MATCH($R1456,DriverList,0)),"BAU"))</f>
        <v/>
      </c>
      <c r="U1456" s="34" t="str">
        <f aca="false">IF($R1456="","",IFERROR(INDEX(DriverRank,MATCH($R1456,DriverList,0)),99))</f>
        <v/>
      </c>
      <c r="V1456" s="35" t="n">
        <f aca="false">IF($H1456="",0,IFERROR(INDEX(LevelBasic,MATCH($H1456,LevelList,0))+INDEX(LevelHousing,MATCH($H1456,LevelList,0))+INDEX(LevelTransport,MATCH($H1456,LevelList,0))+INDEX(LevelBasic,MATCH($H1456,LevelList,0))*INDEX(LevelBonus,MATCH($H1456,LevelList,0))+(INDEX(LevelBasic,MATCH($H1456,LevelList,0))+INDEX(LevelHousing,MATCH($H1456,LevelList,0)))*GosiSaudi,0))</f>
        <v>0</v>
      </c>
      <c r="W1456" s="35" t="n">
        <f aca="false">IFERROR(INDEX(LevelOneOff,MATCH($H1456,LevelList,0)),0)</f>
        <v>0</v>
      </c>
      <c r="X1456" s="35" t="str">
        <f aca="false">IF($G1456="","",$V1456*N($L1456))</f>
        <v/>
      </c>
      <c r="Y1456" s="35" t="str">
        <f aca="false">IF($G1456="","",$V1456*(N($M1456)*1+N($N1456)*0.75+N($O1456)*0.5+N($P1456)*0.25)+$W1456*N($L1456))</f>
        <v/>
      </c>
      <c r="Z1456" s="35" t="str">
        <f aca="false">IF($G1456="","",$U1456*1000000+ROW())</f>
        <v/>
      </c>
      <c r="AA1456" s="36" t="str">
        <f aca="false">IF($G1456="","",MID(IF($C1456="",", no division","")&amp;IF($E1456="",", no unit","")&amp;IF($H1456="",", no career level","")&amp;IF(N($L1456)&lt;=0,", no quarter split","")&amp;IF($R1456="",", no driver","")&amp;IF(AND($H1456&lt;&gt;"",COUNTIF(CareerLevels,$H1456)=0),", a career level that is not on the ladder","")&amp;IF(AND($R1456&lt;&gt;"",COUNTIF(DriverList,$R1456)=0),", a driver that is not on the list","")&amp;IF(ABS(N($L1456)-(N($M1456)+N($N1456)+N($O1456)+N($P1456)))&gt;0.001,", a total that does not match its quarters",""),3,300))</f>
        <v/>
      </c>
    </row>
    <row r="1457" customFormat="false" ht="15" hidden="false" customHeight="false" outlineLevel="0" collapsed="false">
      <c r="A1457" s="33" t="str">
        <f aca="false">IF($G1457="","","Operations Group")</f>
        <v/>
      </c>
      <c r="B1457" s="19"/>
      <c r="C1457" s="19"/>
      <c r="D1457" s="19"/>
      <c r="E1457" s="19"/>
      <c r="F1457" s="19"/>
      <c r="G1457" s="19"/>
      <c r="H1457" s="19"/>
      <c r="I1457" s="19"/>
      <c r="J1457" s="19"/>
      <c r="K1457" s="19"/>
      <c r="L1457" s="19"/>
      <c r="M1457" s="19"/>
      <c r="N1457" s="19"/>
      <c r="O1457" s="19"/>
      <c r="P1457" s="19"/>
      <c r="Q1457" s="19"/>
      <c r="R1457" s="19"/>
      <c r="S1457" s="19"/>
      <c r="T1457" s="34" t="str">
        <f aca="false">IF($R1457="","",IFERROR(INDEX(DriverCategory,MATCH($R1457,DriverList,0)),"BAU"))</f>
        <v/>
      </c>
      <c r="U1457" s="34" t="str">
        <f aca="false">IF($R1457="","",IFERROR(INDEX(DriverRank,MATCH($R1457,DriverList,0)),99))</f>
        <v/>
      </c>
      <c r="V1457" s="35" t="n">
        <f aca="false">IF($H1457="",0,IFERROR(INDEX(LevelBasic,MATCH($H1457,LevelList,0))+INDEX(LevelHousing,MATCH($H1457,LevelList,0))+INDEX(LevelTransport,MATCH($H1457,LevelList,0))+INDEX(LevelBasic,MATCH($H1457,LevelList,0))*INDEX(LevelBonus,MATCH($H1457,LevelList,0))+(INDEX(LevelBasic,MATCH($H1457,LevelList,0))+INDEX(LevelHousing,MATCH($H1457,LevelList,0)))*GosiSaudi,0))</f>
        <v>0</v>
      </c>
      <c r="W1457" s="35" t="n">
        <f aca="false">IFERROR(INDEX(LevelOneOff,MATCH($H1457,LevelList,0)),0)</f>
        <v>0</v>
      </c>
      <c r="X1457" s="35" t="str">
        <f aca="false">IF($G1457="","",$V1457*N($L1457))</f>
        <v/>
      </c>
      <c r="Y1457" s="35" t="str">
        <f aca="false">IF($G1457="","",$V1457*(N($M1457)*1+N($N1457)*0.75+N($O1457)*0.5+N($P1457)*0.25)+$W1457*N($L1457))</f>
        <v/>
      </c>
      <c r="Z1457" s="35" t="str">
        <f aca="false">IF($G1457="","",$U1457*1000000+ROW())</f>
        <v/>
      </c>
      <c r="AA1457" s="36" t="str">
        <f aca="false">IF($G1457="","",MID(IF($C1457="",", no division","")&amp;IF($E1457="",", no unit","")&amp;IF($H1457="",", no career level","")&amp;IF(N($L1457)&lt;=0,", no quarter split","")&amp;IF($R1457="",", no driver","")&amp;IF(AND($H1457&lt;&gt;"",COUNTIF(CareerLevels,$H1457)=0),", a career level that is not on the ladder","")&amp;IF(AND($R1457&lt;&gt;"",COUNTIF(DriverList,$R1457)=0),", a driver that is not on the list","")&amp;IF(ABS(N($L1457)-(N($M1457)+N($N1457)+N($O1457)+N($P1457)))&gt;0.001,", a total that does not match its quarters",""),3,300))</f>
        <v/>
      </c>
    </row>
    <row r="1458" customFormat="false" ht="15" hidden="false" customHeight="false" outlineLevel="0" collapsed="false">
      <c r="A1458" s="33" t="str">
        <f aca="false">IF($G1458="","","Operations Group")</f>
        <v/>
      </c>
      <c r="B1458" s="19"/>
      <c r="C1458" s="19"/>
      <c r="D1458" s="19"/>
      <c r="E1458" s="19"/>
      <c r="F1458" s="19"/>
      <c r="G1458" s="19"/>
      <c r="H1458" s="19"/>
      <c r="I1458" s="19"/>
      <c r="J1458" s="19"/>
      <c r="K1458" s="19"/>
      <c r="L1458" s="19"/>
      <c r="M1458" s="19"/>
      <c r="N1458" s="19"/>
      <c r="O1458" s="19"/>
      <c r="P1458" s="19"/>
      <c r="Q1458" s="19"/>
      <c r="R1458" s="19"/>
      <c r="S1458" s="19"/>
      <c r="T1458" s="34" t="str">
        <f aca="false">IF($R1458="","",IFERROR(INDEX(DriverCategory,MATCH($R1458,DriverList,0)),"BAU"))</f>
        <v/>
      </c>
      <c r="U1458" s="34" t="str">
        <f aca="false">IF($R1458="","",IFERROR(INDEX(DriverRank,MATCH($R1458,DriverList,0)),99))</f>
        <v/>
      </c>
      <c r="V1458" s="35" t="n">
        <f aca="false">IF($H1458="",0,IFERROR(INDEX(LevelBasic,MATCH($H1458,LevelList,0))+INDEX(LevelHousing,MATCH($H1458,LevelList,0))+INDEX(LevelTransport,MATCH($H1458,LevelList,0))+INDEX(LevelBasic,MATCH($H1458,LevelList,0))*INDEX(LevelBonus,MATCH($H1458,LevelList,0))+(INDEX(LevelBasic,MATCH($H1458,LevelList,0))+INDEX(LevelHousing,MATCH($H1458,LevelList,0)))*GosiSaudi,0))</f>
        <v>0</v>
      </c>
      <c r="W1458" s="35" t="n">
        <f aca="false">IFERROR(INDEX(LevelOneOff,MATCH($H1458,LevelList,0)),0)</f>
        <v>0</v>
      </c>
      <c r="X1458" s="35" t="str">
        <f aca="false">IF($G1458="","",$V1458*N($L1458))</f>
        <v/>
      </c>
      <c r="Y1458" s="35" t="str">
        <f aca="false">IF($G1458="","",$V1458*(N($M1458)*1+N($N1458)*0.75+N($O1458)*0.5+N($P1458)*0.25)+$W1458*N($L1458))</f>
        <v/>
      </c>
      <c r="Z1458" s="35" t="str">
        <f aca="false">IF($G1458="","",$U1458*1000000+ROW())</f>
        <v/>
      </c>
      <c r="AA1458" s="36" t="str">
        <f aca="false">IF($G1458="","",MID(IF($C1458="",", no division","")&amp;IF($E1458="",", no unit","")&amp;IF($H1458="",", no career level","")&amp;IF(N($L1458)&lt;=0,", no quarter split","")&amp;IF($R1458="",", no driver","")&amp;IF(AND($H1458&lt;&gt;"",COUNTIF(CareerLevels,$H1458)=0),", a career level that is not on the ladder","")&amp;IF(AND($R1458&lt;&gt;"",COUNTIF(DriverList,$R1458)=0),", a driver that is not on the list","")&amp;IF(ABS(N($L1458)-(N($M1458)+N($N1458)+N($O1458)+N($P1458)))&gt;0.001,", a total that does not match its quarters",""),3,300))</f>
        <v/>
      </c>
    </row>
    <row r="1459" customFormat="false" ht="15" hidden="false" customHeight="false" outlineLevel="0" collapsed="false">
      <c r="A1459" s="33" t="str">
        <f aca="false">IF($G1459="","","Operations Group")</f>
        <v/>
      </c>
      <c r="B1459" s="19"/>
      <c r="C1459" s="19"/>
      <c r="D1459" s="19"/>
      <c r="E1459" s="19"/>
      <c r="F1459" s="19"/>
      <c r="G1459" s="19"/>
      <c r="H1459" s="19"/>
      <c r="I1459" s="19"/>
      <c r="J1459" s="19"/>
      <c r="K1459" s="19"/>
      <c r="L1459" s="19"/>
      <c r="M1459" s="19"/>
      <c r="N1459" s="19"/>
      <c r="O1459" s="19"/>
      <c r="P1459" s="19"/>
      <c r="Q1459" s="19"/>
      <c r="R1459" s="19"/>
      <c r="S1459" s="19"/>
      <c r="T1459" s="34" t="str">
        <f aca="false">IF($R1459="","",IFERROR(INDEX(DriverCategory,MATCH($R1459,DriverList,0)),"BAU"))</f>
        <v/>
      </c>
      <c r="U1459" s="34" t="str">
        <f aca="false">IF($R1459="","",IFERROR(INDEX(DriverRank,MATCH($R1459,DriverList,0)),99))</f>
        <v/>
      </c>
      <c r="V1459" s="35" t="n">
        <f aca="false">IF($H1459="",0,IFERROR(INDEX(LevelBasic,MATCH($H1459,LevelList,0))+INDEX(LevelHousing,MATCH($H1459,LevelList,0))+INDEX(LevelTransport,MATCH($H1459,LevelList,0))+INDEX(LevelBasic,MATCH($H1459,LevelList,0))*INDEX(LevelBonus,MATCH($H1459,LevelList,0))+(INDEX(LevelBasic,MATCH($H1459,LevelList,0))+INDEX(LevelHousing,MATCH($H1459,LevelList,0)))*GosiSaudi,0))</f>
        <v>0</v>
      </c>
      <c r="W1459" s="35" t="n">
        <f aca="false">IFERROR(INDEX(LevelOneOff,MATCH($H1459,LevelList,0)),0)</f>
        <v>0</v>
      </c>
      <c r="X1459" s="35" t="str">
        <f aca="false">IF($G1459="","",$V1459*N($L1459))</f>
        <v/>
      </c>
      <c r="Y1459" s="35" t="str">
        <f aca="false">IF($G1459="","",$V1459*(N($M1459)*1+N($N1459)*0.75+N($O1459)*0.5+N($P1459)*0.25)+$W1459*N($L1459))</f>
        <v/>
      </c>
      <c r="Z1459" s="35" t="str">
        <f aca="false">IF($G1459="","",$U1459*1000000+ROW())</f>
        <v/>
      </c>
      <c r="AA1459" s="36" t="str">
        <f aca="false">IF($G1459="","",MID(IF($C1459="",", no division","")&amp;IF($E1459="",", no unit","")&amp;IF($H1459="",", no career level","")&amp;IF(N($L1459)&lt;=0,", no quarter split","")&amp;IF($R1459="",", no driver","")&amp;IF(AND($H1459&lt;&gt;"",COUNTIF(CareerLevels,$H1459)=0),", a career level that is not on the ladder","")&amp;IF(AND($R1459&lt;&gt;"",COUNTIF(DriverList,$R1459)=0),", a driver that is not on the list","")&amp;IF(ABS(N($L1459)-(N($M1459)+N($N1459)+N($O1459)+N($P1459)))&gt;0.001,", a total that does not match its quarters",""),3,300))</f>
        <v/>
      </c>
    </row>
    <row r="1460" customFormat="false" ht="15" hidden="false" customHeight="false" outlineLevel="0" collapsed="false">
      <c r="A1460" s="33" t="str">
        <f aca="false">IF($G1460="","","Operations Group")</f>
        <v/>
      </c>
      <c r="B1460" s="19"/>
      <c r="C1460" s="19"/>
      <c r="D1460" s="19"/>
      <c r="E1460" s="19"/>
      <c r="F1460" s="19"/>
      <c r="G1460" s="19"/>
      <c r="H1460" s="19"/>
      <c r="I1460" s="19"/>
      <c r="J1460" s="19"/>
      <c r="K1460" s="19"/>
      <c r="L1460" s="19"/>
      <c r="M1460" s="19"/>
      <c r="N1460" s="19"/>
      <c r="O1460" s="19"/>
      <c r="P1460" s="19"/>
      <c r="Q1460" s="19"/>
      <c r="R1460" s="19"/>
      <c r="S1460" s="19"/>
      <c r="T1460" s="34" t="str">
        <f aca="false">IF($R1460="","",IFERROR(INDEX(DriverCategory,MATCH($R1460,DriverList,0)),"BAU"))</f>
        <v/>
      </c>
      <c r="U1460" s="34" t="str">
        <f aca="false">IF($R1460="","",IFERROR(INDEX(DriverRank,MATCH($R1460,DriverList,0)),99))</f>
        <v/>
      </c>
      <c r="V1460" s="35" t="n">
        <f aca="false">IF($H1460="",0,IFERROR(INDEX(LevelBasic,MATCH($H1460,LevelList,0))+INDEX(LevelHousing,MATCH($H1460,LevelList,0))+INDEX(LevelTransport,MATCH($H1460,LevelList,0))+INDEX(LevelBasic,MATCH($H1460,LevelList,0))*INDEX(LevelBonus,MATCH($H1460,LevelList,0))+(INDEX(LevelBasic,MATCH($H1460,LevelList,0))+INDEX(LevelHousing,MATCH($H1460,LevelList,0)))*GosiSaudi,0))</f>
        <v>0</v>
      </c>
      <c r="W1460" s="35" t="n">
        <f aca="false">IFERROR(INDEX(LevelOneOff,MATCH($H1460,LevelList,0)),0)</f>
        <v>0</v>
      </c>
      <c r="X1460" s="35" t="str">
        <f aca="false">IF($G1460="","",$V1460*N($L1460))</f>
        <v/>
      </c>
      <c r="Y1460" s="35" t="str">
        <f aca="false">IF($G1460="","",$V1460*(N($M1460)*1+N($N1460)*0.75+N($O1460)*0.5+N($P1460)*0.25)+$W1460*N($L1460))</f>
        <v/>
      </c>
      <c r="Z1460" s="35" t="str">
        <f aca="false">IF($G1460="","",$U1460*1000000+ROW())</f>
        <v/>
      </c>
      <c r="AA1460" s="36" t="str">
        <f aca="false">IF($G1460="","",MID(IF($C1460="",", no division","")&amp;IF($E1460="",", no unit","")&amp;IF($H1460="",", no career level","")&amp;IF(N($L1460)&lt;=0,", no quarter split","")&amp;IF($R1460="",", no driver","")&amp;IF(AND($H1460&lt;&gt;"",COUNTIF(CareerLevels,$H1460)=0),", a career level that is not on the ladder","")&amp;IF(AND($R1460&lt;&gt;"",COUNTIF(DriverList,$R1460)=0),", a driver that is not on the list","")&amp;IF(ABS(N($L1460)-(N($M1460)+N($N1460)+N($O1460)+N($P1460)))&gt;0.001,", a total that does not match its quarters",""),3,300))</f>
        <v/>
      </c>
    </row>
    <row r="1461" customFormat="false" ht="15" hidden="false" customHeight="false" outlineLevel="0" collapsed="false">
      <c r="A1461" s="33" t="str">
        <f aca="false">IF($G1461="","","Operations Group")</f>
        <v/>
      </c>
      <c r="B1461" s="19"/>
      <c r="C1461" s="19"/>
      <c r="D1461" s="19"/>
      <c r="E1461" s="19"/>
      <c r="F1461" s="19"/>
      <c r="G1461" s="19"/>
      <c r="H1461" s="19"/>
      <c r="I1461" s="19"/>
      <c r="J1461" s="19"/>
      <c r="K1461" s="19"/>
      <c r="L1461" s="19"/>
      <c r="M1461" s="19"/>
      <c r="N1461" s="19"/>
      <c r="O1461" s="19"/>
      <c r="P1461" s="19"/>
      <c r="Q1461" s="19"/>
      <c r="R1461" s="19"/>
      <c r="S1461" s="19"/>
      <c r="T1461" s="34" t="str">
        <f aca="false">IF($R1461="","",IFERROR(INDEX(DriverCategory,MATCH($R1461,DriverList,0)),"BAU"))</f>
        <v/>
      </c>
      <c r="U1461" s="34" t="str">
        <f aca="false">IF($R1461="","",IFERROR(INDEX(DriverRank,MATCH($R1461,DriverList,0)),99))</f>
        <v/>
      </c>
      <c r="V1461" s="35" t="n">
        <f aca="false">IF($H1461="",0,IFERROR(INDEX(LevelBasic,MATCH($H1461,LevelList,0))+INDEX(LevelHousing,MATCH($H1461,LevelList,0))+INDEX(LevelTransport,MATCH($H1461,LevelList,0))+INDEX(LevelBasic,MATCH($H1461,LevelList,0))*INDEX(LevelBonus,MATCH($H1461,LevelList,0))+(INDEX(LevelBasic,MATCH($H1461,LevelList,0))+INDEX(LevelHousing,MATCH($H1461,LevelList,0)))*GosiSaudi,0))</f>
        <v>0</v>
      </c>
      <c r="W1461" s="35" t="n">
        <f aca="false">IFERROR(INDEX(LevelOneOff,MATCH($H1461,LevelList,0)),0)</f>
        <v>0</v>
      </c>
      <c r="X1461" s="35" t="str">
        <f aca="false">IF($G1461="","",$V1461*N($L1461))</f>
        <v/>
      </c>
      <c r="Y1461" s="35" t="str">
        <f aca="false">IF($G1461="","",$V1461*(N($M1461)*1+N($N1461)*0.75+N($O1461)*0.5+N($P1461)*0.25)+$W1461*N($L1461))</f>
        <v/>
      </c>
      <c r="Z1461" s="35" t="str">
        <f aca="false">IF($G1461="","",$U1461*1000000+ROW())</f>
        <v/>
      </c>
      <c r="AA1461" s="36" t="str">
        <f aca="false">IF($G1461="","",MID(IF($C1461="",", no division","")&amp;IF($E1461="",", no unit","")&amp;IF($H1461="",", no career level","")&amp;IF(N($L1461)&lt;=0,", no quarter split","")&amp;IF($R1461="",", no driver","")&amp;IF(AND($H1461&lt;&gt;"",COUNTIF(CareerLevels,$H1461)=0),", a career level that is not on the ladder","")&amp;IF(AND($R1461&lt;&gt;"",COUNTIF(DriverList,$R1461)=0),", a driver that is not on the list","")&amp;IF(ABS(N($L1461)-(N($M1461)+N($N1461)+N($O1461)+N($P1461)))&gt;0.001,", a total that does not match its quarters",""),3,300))</f>
        <v/>
      </c>
    </row>
    <row r="1462" customFormat="false" ht="15" hidden="false" customHeight="false" outlineLevel="0" collapsed="false">
      <c r="A1462" s="33" t="str">
        <f aca="false">IF($G1462="","","Operations Group")</f>
        <v/>
      </c>
      <c r="B1462" s="19"/>
      <c r="C1462" s="19"/>
      <c r="D1462" s="19"/>
      <c r="E1462" s="19"/>
      <c r="F1462" s="19"/>
      <c r="G1462" s="19"/>
      <c r="H1462" s="19"/>
      <c r="I1462" s="19"/>
      <c r="J1462" s="19"/>
      <c r="K1462" s="19"/>
      <c r="L1462" s="19"/>
      <c r="M1462" s="19"/>
      <c r="N1462" s="19"/>
      <c r="O1462" s="19"/>
      <c r="P1462" s="19"/>
      <c r="Q1462" s="19"/>
      <c r="R1462" s="19"/>
      <c r="S1462" s="19"/>
      <c r="T1462" s="34" t="str">
        <f aca="false">IF($R1462="","",IFERROR(INDEX(DriverCategory,MATCH($R1462,DriverList,0)),"BAU"))</f>
        <v/>
      </c>
      <c r="U1462" s="34" t="str">
        <f aca="false">IF($R1462="","",IFERROR(INDEX(DriverRank,MATCH($R1462,DriverList,0)),99))</f>
        <v/>
      </c>
      <c r="V1462" s="35" t="n">
        <f aca="false">IF($H1462="",0,IFERROR(INDEX(LevelBasic,MATCH($H1462,LevelList,0))+INDEX(LevelHousing,MATCH($H1462,LevelList,0))+INDEX(LevelTransport,MATCH($H1462,LevelList,0))+INDEX(LevelBasic,MATCH($H1462,LevelList,0))*INDEX(LevelBonus,MATCH($H1462,LevelList,0))+(INDEX(LevelBasic,MATCH($H1462,LevelList,0))+INDEX(LevelHousing,MATCH($H1462,LevelList,0)))*GosiSaudi,0))</f>
        <v>0</v>
      </c>
      <c r="W1462" s="35" t="n">
        <f aca="false">IFERROR(INDEX(LevelOneOff,MATCH($H1462,LevelList,0)),0)</f>
        <v>0</v>
      </c>
      <c r="X1462" s="35" t="str">
        <f aca="false">IF($G1462="","",$V1462*N($L1462))</f>
        <v/>
      </c>
      <c r="Y1462" s="35" t="str">
        <f aca="false">IF($G1462="","",$V1462*(N($M1462)*1+N($N1462)*0.75+N($O1462)*0.5+N($P1462)*0.25)+$W1462*N($L1462))</f>
        <v/>
      </c>
      <c r="Z1462" s="35" t="str">
        <f aca="false">IF($G1462="","",$U1462*1000000+ROW())</f>
        <v/>
      </c>
      <c r="AA1462" s="36" t="str">
        <f aca="false">IF($G1462="","",MID(IF($C1462="",", no division","")&amp;IF($E1462="",", no unit","")&amp;IF($H1462="",", no career level","")&amp;IF(N($L1462)&lt;=0,", no quarter split","")&amp;IF($R1462="",", no driver","")&amp;IF(AND($H1462&lt;&gt;"",COUNTIF(CareerLevels,$H1462)=0),", a career level that is not on the ladder","")&amp;IF(AND($R1462&lt;&gt;"",COUNTIF(DriverList,$R1462)=0),", a driver that is not on the list","")&amp;IF(ABS(N($L1462)-(N($M1462)+N($N1462)+N($O1462)+N($P1462)))&gt;0.001,", a total that does not match its quarters",""),3,300))</f>
        <v/>
      </c>
    </row>
    <row r="1463" customFormat="false" ht="15" hidden="false" customHeight="false" outlineLevel="0" collapsed="false">
      <c r="A1463" s="33" t="str">
        <f aca="false">IF($G1463="","","Operations Group")</f>
        <v/>
      </c>
      <c r="B1463" s="19"/>
      <c r="C1463" s="19"/>
      <c r="D1463" s="19"/>
      <c r="E1463" s="19"/>
      <c r="F1463" s="19"/>
      <c r="G1463" s="19"/>
      <c r="H1463" s="19"/>
      <c r="I1463" s="19"/>
      <c r="J1463" s="19"/>
      <c r="K1463" s="19"/>
      <c r="L1463" s="19"/>
      <c r="M1463" s="19"/>
      <c r="N1463" s="19"/>
      <c r="O1463" s="19"/>
      <c r="P1463" s="19"/>
      <c r="Q1463" s="19"/>
      <c r="R1463" s="19"/>
      <c r="S1463" s="19"/>
      <c r="T1463" s="34" t="str">
        <f aca="false">IF($R1463="","",IFERROR(INDEX(DriverCategory,MATCH($R1463,DriverList,0)),"BAU"))</f>
        <v/>
      </c>
      <c r="U1463" s="34" t="str">
        <f aca="false">IF($R1463="","",IFERROR(INDEX(DriverRank,MATCH($R1463,DriverList,0)),99))</f>
        <v/>
      </c>
      <c r="V1463" s="35" t="n">
        <f aca="false">IF($H1463="",0,IFERROR(INDEX(LevelBasic,MATCH($H1463,LevelList,0))+INDEX(LevelHousing,MATCH($H1463,LevelList,0))+INDEX(LevelTransport,MATCH($H1463,LevelList,0))+INDEX(LevelBasic,MATCH($H1463,LevelList,0))*INDEX(LevelBonus,MATCH($H1463,LevelList,0))+(INDEX(LevelBasic,MATCH($H1463,LevelList,0))+INDEX(LevelHousing,MATCH($H1463,LevelList,0)))*GosiSaudi,0))</f>
        <v>0</v>
      </c>
      <c r="W1463" s="35" t="n">
        <f aca="false">IFERROR(INDEX(LevelOneOff,MATCH($H1463,LevelList,0)),0)</f>
        <v>0</v>
      </c>
      <c r="X1463" s="35" t="str">
        <f aca="false">IF($G1463="","",$V1463*N($L1463))</f>
        <v/>
      </c>
      <c r="Y1463" s="35" t="str">
        <f aca="false">IF($G1463="","",$V1463*(N($M1463)*1+N($N1463)*0.75+N($O1463)*0.5+N($P1463)*0.25)+$W1463*N($L1463))</f>
        <v/>
      </c>
      <c r="Z1463" s="35" t="str">
        <f aca="false">IF($G1463="","",$U1463*1000000+ROW())</f>
        <v/>
      </c>
      <c r="AA1463" s="36" t="str">
        <f aca="false">IF($G1463="","",MID(IF($C1463="",", no division","")&amp;IF($E1463="",", no unit","")&amp;IF($H1463="",", no career level","")&amp;IF(N($L1463)&lt;=0,", no quarter split","")&amp;IF($R1463="",", no driver","")&amp;IF(AND($H1463&lt;&gt;"",COUNTIF(CareerLevels,$H1463)=0),", a career level that is not on the ladder","")&amp;IF(AND($R1463&lt;&gt;"",COUNTIF(DriverList,$R1463)=0),", a driver that is not on the list","")&amp;IF(ABS(N($L1463)-(N($M1463)+N($N1463)+N($O1463)+N($P1463)))&gt;0.001,", a total that does not match its quarters",""),3,300))</f>
        <v/>
      </c>
    </row>
    <row r="1464" customFormat="false" ht="15" hidden="false" customHeight="false" outlineLevel="0" collapsed="false">
      <c r="A1464" s="33" t="str">
        <f aca="false">IF($G1464="","","Operations Group")</f>
        <v/>
      </c>
      <c r="B1464" s="19"/>
      <c r="C1464" s="19"/>
      <c r="D1464" s="19"/>
      <c r="E1464" s="19"/>
      <c r="F1464" s="19"/>
      <c r="G1464" s="19"/>
      <c r="H1464" s="19"/>
      <c r="I1464" s="19"/>
      <c r="J1464" s="19"/>
      <c r="K1464" s="19"/>
      <c r="L1464" s="19"/>
      <c r="M1464" s="19"/>
      <c r="N1464" s="19"/>
      <c r="O1464" s="19"/>
      <c r="P1464" s="19"/>
      <c r="Q1464" s="19"/>
      <c r="R1464" s="19"/>
      <c r="S1464" s="19"/>
      <c r="T1464" s="34" t="str">
        <f aca="false">IF($R1464="","",IFERROR(INDEX(DriverCategory,MATCH($R1464,DriverList,0)),"BAU"))</f>
        <v/>
      </c>
      <c r="U1464" s="34" t="str">
        <f aca="false">IF($R1464="","",IFERROR(INDEX(DriverRank,MATCH($R1464,DriverList,0)),99))</f>
        <v/>
      </c>
      <c r="V1464" s="35" t="n">
        <f aca="false">IF($H1464="",0,IFERROR(INDEX(LevelBasic,MATCH($H1464,LevelList,0))+INDEX(LevelHousing,MATCH($H1464,LevelList,0))+INDEX(LevelTransport,MATCH($H1464,LevelList,0))+INDEX(LevelBasic,MATCH($H1464,LevelList,0))*INDEX(LevelBonus,MATCH($H1464,LevelList,0))+(INDEX(LevelBasic,MATCH($H1464,LevelList,0))+INDEX(LevelHousing,MATCH($H1464,LevelList,0)))*GosiSaudi,0))</f>
        <v>0</v>
      </c>
      <c r="W1464" s="35" t="n">
        <f aca="false">IFERROR(INDEX(LevelOneOff,MATCH($H1464,LevelList,0)),0)</f>
        <v>0</v>
      </c>
      <c r="X1464" s="35" t="str">
        <f aca="false">IF($G1464="","",$V1464*N($L1464))</f>
        <v/>
      </c>
      <c r="Y1464" s="35" t="str">
        <f aca="false">IF($G1464="","",$V1464*(N($M1464)*1+N($N1464)*0.75+N($O1464)*0.5+N($P1464)*0.25)+$W1464*N($L1464))</f>
        <v/>
      </c>
      <c r="Z1464" s="35" t="str">
        <f aca="false">IF($G1464="","",$U1464*1000000+ROW())</f>
        <v/>
      </c>
      <c r="AA1464" s="36" t="str">
        <f aca="false">IF($G1464="","",MID(IF($C1464="",", no division","")&amp;IF($E1464="",", no unit","")&amp;IF($H1464="",", no career level","")&amp;IF(N($L1464)&lt;=0,", no quarter split","")&amp;IF($R1464="",", no driver","")&amp;IF(AND($H1464&lt;&gt;"",COUNTIF(CareerLevels,$H1464)=0),", a career level that is not on the ladder","")&amp;IF(AND($R1464&lt;&gt;"",COUNTIF(DriverList,$R1464)=0),", a driver that is not on the list","")&amp;IF(ABS(N($L1464)-(N($M1464)+N($N1464)+N($O1464)+N($P1464)))&gt;0.001,", a total that does not match its quarters",""),3,300))</f>
        <v/>
      </c>
    </row>
    <row r="1465" customFormat="false" ht="15" hidden="false" customHeight="false" outlineLevel="0" collapsed="false">
      <c r="A1465" s="33" t="str">
        <f aca="false">IF($G1465="","","Operations Group")</f>
        <v/>
      </c>
      <c r="B1465" s="19"/>
      <c r="C1465" s="19"/>
      <c r="D1465" s="19"/>
      <c r="E1465" s="19"/>
      <c r="F1465" s="19"/>
      <c r="G1465" s="19"/>
      <c r="H1465" s="19"/>
      <c r="I1465" s="19"/>
      <c r="J1465" s="19"/>
      <c r="K1465" s="19"/>
      <c r="L1465" s="19"/>
      <c r="M1465" s="19"/>
      <c r="N1465" s="19"/>
      <c r="O1465" s="19"/>
      <c r="P1465" s="19"/>
      <c r="Q1465" s="19"/>
      <c r="R1465" s="19"/>
      <c r="S1465" s="19"/>
      <c r="T1465" s="34" t="str">
        <f aca="false">IF($R1465="","",IFERROR(INDEX(DriverCategory,MATCH($R1465,DriverList,0)),"BAU"))</f>
        <v/>
      </c>
      <c r="U1465" s="34" t="str">
        <f aca="false">IF($R1465="","",IFERROR(INDEX(DriverRank,MATCH($R1465,DriverList,0)),99))</f>
        <v/>
      </c>
      <c r="V1465" s="35" t="n">
        <f aca="false">IF($H1465="",0,IFERROR(INDEX(LevelBasic,MATCH($H1465,LevelList,0))+INDEX(LevelHousing,MATCH($H1465,LevelList,0))+INDEX(LevelTransport,MATCH($H1465,LevelList,0))+INDEX(LevelBasic,MATCH($H1465,LevelList,0))*INDEX(LevelBonus,MATCH($H1465,LevelList,0))+(INDEX(LevelBasic,MATCH($H1465,LevelList,0))+INDEX(LevelHousing,MATCH($H1465,LevelList,0)))*GosiSaudi,0))</f>
        <v>0</v>
      </c>
      <c r="W1465" s="35" t="n">
        <f aca="false">IFERROR(INDEX(LevelOneOff,MATCH($H1465,LevelList,0)),0)</f>
        <v>0</v>
      </c>
      <c r="X1465" s="35" t="str">
        <f aca="false">IF($G1465="","",$V1465*N($L1465))</f>
        <v/>
      </c>
      <c r="Y1465" s="35" t="str">
        <f aca="false">IF($G1465="","",$V1465*(N($M1465)*1+N($N1465)*0.75+N($O1465)*0.5+N($P1465)*0.25)+$W1465*N($L1465))</f>
        <v/>
      </c>
      <c r="Z1465" s="35" t="str">
        <f aca="false">IF($G1465="","",$U1465*1000000+ROW())</f>
        <v/>
      </c>
      <c r="AA1465" s="36" t="str">
        <f aca="false">IF($G1465="","",MID(IF($C1465="",", no division","")&amp;IF($E1465="",", no unit","")&amp;IF($H1465="",", no career level","")&amp;IF(N($L1465)&lt;=0,", no quarter split","")&amp;IF($R1465="",", no driver","")&amp;IF(AND($H1465&lt;&gt;"",COUNTIF(CareerLevels,$H1465)=0),", a career level that is not on the ladder","")&amp;IF(AND($R1465&lt;&gt;"",COUNTIF(DriverList,$R1465)=0),", a driver that is not on the list","")&amp;IF(ABS(N($L1465)-(N($M1465)+N($N1465)+N($O1465)+N($P1465)))&gt;0.001,", a total that does not match its quarters",""),3,300))</f>
        <v/>
      </c>
    </row>
    <row r="1466" customFormat="false" ht="15" hidden="false" customHeight="false" outlineLevel="0" collapsed="false">
      <c r="A1466" s="33" t="str">
        <f aca="false">IF($G1466="","","Operations Group")</f>
        <v/>
      </c>
      <c r="B1466" s="19"/>
      <c r="C1466" s="19"/>
      <c r="D1466" s="19"/>
      <c r="E1466" s="19"/>
      <c r="F1466" s="19"/>
      <c r="G1466" s="19"/>
      <c r="H1466" s="19"/>
      <c r="I1466" s="19"/>
      <c r="J1466" s="19"/>
      <c r="K1466" s="19"/>
      <c r="L1466" s="19"/>
      <c r="M1466" s="19"/>
      <c r="N1466" s="19"/>
      <c r="O1466" s="19"/>
      <c r="P1466" s="19"/>
      <c r="Q1466" s="19"/>
      <c r="R1466" s="19"/>
      <c r="S1466" s="19"/>
      <c r="T1466" s="34" t="str">
        <f aca="false">IF($R1466="","",IFERROR(INDEX(DriverCategory,MATCH($R1466,DriverList,0)),"BAU"))</f>
        <v/>
      </c>
      <c r="U1466" s="34" t="str">
        <f aca="false">IF($R1466="","",IFERROR(INDEX(DriverRank,MATCH($R1466,DriverList,0)),99))</f>
        <v/>
      </c>
      <c r="V1466" s="35" t="n">
        <f aca="false">IF($H1466="",0,IFERROR(INDEX(LevelBasic,MATCH($H1466,LevelList,0))+INDEX(LevelHousing,MATCH($H1466,LevelList,0))+INDEX(LevelTransport,MATCH($H1466,LevelList,0))+INDEX(LevelBasic,MATCH($H1466,LevelList,0))*INDEX(LevelBonus,MATCH($H1466,LevelList,0))+(INDEX(LevelBasic,MATCH($H1466,LevelList,0))+INDEX(LevelHousing,MATCH($H1466,LevelList,0)))*GosiSaudi,0))</f>
        <v>0</v>
      </c>
      <c r="W1466" s="35" t="n">
        <f aca="false">IFERROR(INDEX(LevelOneOff,MATCH($H1466,LevelList,0)),0)</f>
        <v>0</v>
      </c>
      <c r="X1466" s="35" t="str">
        <f aca="false">IF($G1466="","",$V1466*N($L1466))</f>
        <v/>
      </c>
      <c r="Y1466" s="35" t="str">
        <f aca="false">IF($G1466="","",$V1466*(N($M1466)*1+N($N1466)*0.75+N($O1466)*0.5+N($P1466)*0.25)+$W1466*N($L1466))</f>
        <v/>
      </c>
      <c r="Z1466" s="35" t="str">
        <f aca="false">IF($G1466="","",$U1466*1000000+ROW())</f>
        <v/>
      </c>
      <c r="AA1466" s="36" t="str">
        <f aca="false">IF($G1466="","",MID(IF($C1466="",", no division","")&amp;IF($E1466="",", no unit","")&amp;IF($H1466="",", no career level","")&amp;IF(N($L1466)&lt;=0,", no quarter split","")&amp;IF($R1466="",", no driver","")&amp;IF(AND($H1466&lt;&gt;"",COUNTIF(CareerLevels,$H1466)=0),", a career level that is not on the ladder","")&amp;IF(AND($R1466&lt;&gt;"",COUNTIF(DriverList,$R1466)=0),", a driver that is not on the list","")&amp;IF(ABS(N($L1466)-(N($M1466)+N($N1466)+N($O1466)+N($P1466)))&gt;0.001,", a total that does not match its quarters",""),3,300))</f>
        <v/>
      </c>
    </row>
    <row r="1467" customFormat="false" ht="15" hidden="false" customHeight="false" outlineLevel="0" collapsed="false">
      <c r="A1467" s="33" t="str">
        <f aca="false">IF($G1467="","","Operations Group")</f>
        <v/>
      </c>
      <c r="B1467" s="19"/>
      <c r="C1467" s="19"/>
      <c r="D1467" s="19"/>
      <c r="E1467" s="19"/>
      <c r="F1467" s="19"/>
      <c r="G1467" s="19"/>
      <c r="H1467" s="19"/>
      <c r="I1467" s="19"/>
      <c r="J1467" s="19"/>
      <c r="K1467" s="19"/>
      <c r="L1467" s="19"/>
      <c r="M1467" s="19"/>
      <c r="N1467" s="19"/>
      <c r="O1467" s="19"/>
      <c r="P1467" s="19"/>
      <c r="Q1467" s="19"/>
      <c r="R1467" s="19"/>
      <c r="S1467" s="19"/>
      <c r="T1467" s="34" t="str">
        <f aca="false">IF($R1467="","",IFERROR(INDEX(DriverCategory,MATCH($R1467,DriverList,0)),"BAU"))</f>
        <v/>
      </c>
      <c r="U1467" s="34" t="str">
        <f aca="false">IF($R1467="","",IFERROR(INDEX(DriverRank,MATCH($R1467,DriverList,0)),99))</f>
        <v/>
      </c>
      <c r="V1467" s="35" t="n">
        <f aca="false">IF($H1467="",0,IFERROR(INDEX(LevelBasic,MATCH($H1467,LevelList,0))+INDEX(LevelHousing,MATCH($H1467,LevelList,0))+INDEX(LevelTransport,MATCH($H1467,LevelList,0))+INDEX(LevelBasic,MATCH($H1467,LevelList,0))*INDEX(LevelBonus,MATCH($H1467,LevelList,0))+(INDEX(LevelBasic,MATCH($H1467,LevelList,0))+INDEX(LevelHousing,MATCH($H1467,LevelList,0)))*GosiSaudi,0))</f>
        <v>0</v>
      </c>
      <c r="W1467" s="35" t="n">
        <f aca="false">IFERROR(INDEX(LevelOneOff,MATCH($H1467,LevelList,0)),0)</f>
        <v>0</v>
      </c>
      <c r="X1467" s="35" t="str">
        <f aca="false">IF($G1467="","",$V1467*N($L1467))</f>
        <v/>
      </c>
      <c r="Y1467" s="35" t="str">
        <f aca="false">IF($G1467="","",$V1467*(N($M1467)*1+N($N1467)*0.75+N($O1467)*0.5+N($P1467)*0.25)+$W1467*N($L1467))</f>
        <v/>
      </c>
      <c r="Z1467" s="35" t="str">
        <f aca="false">IF($G1467="","",$U1467*1000000+ROW())</f>
        <v/>
      </c>
      <c r="AA1467" s="36" t="str">
        <f aca="false">IF($G1467="","",MID(IF($C1467="",", no division","")&amp;IF($E1467="",", no unit","")&amp;IF($H1467="",", no career level","")&amp;IF(N($L1467)&lt;=0,", no quarter split","")&amp;IF($R1467="",", no driver","")&amp;IF(AND($H1467&lt;&gt;"",COUNTIF(CareerLevels,$H1467)=0),", a career level that is not on the ladder","")&amp;IF(AND($R1467&lt;&gt;"",COUNTIF(DriverList,$R1467)=0),", a driver that is not on the list","")&amp;IF(ABS(N($L1467)-(N($M1467)+N($N1467)+N($O1467)+N($P1467)))&gt;0.001,", a total that does not match its quarters",""),3,300))</f>
        <v/>
      </c>
    </row>
    <row r="1468" customFormat="false" ht="15" hidden="false" customHeight="false" outlineLevel="0" collapsed="false">
      <c r="A1468" s="33" t="str">
        <f aca="false">IF($G1468="","","Operations Group")</f>
        <v/>
      </c>
      <c r="B1468" s="19"/>
      <c r="C1468" s="19"/>
      <c r="D1468" s="19"/>
      <c r="E1468" s="19"/>
      <c r="F1468" s="19"/>
      <c r="G1468" s="19"/>
      <c r="H1468" s="19"/>
      <c r="I1468" s="19"/>
      <c r="J1468" s="19"/>
      <c r="K1468" s="19"/>
      <c r="L1468" s="19"/>
      <c r="M1468" s="19"/>
      <c r="N1468" s="19"/>
      <c r="O1468" s="19"/>
      <c r="P1468" s="19"/>
      <c r="Q1468" s="19"/>
      <c r="R1468" s="19"/>
      <c r="S1468" s="19"/>
      <c r="T1468" s="34" t="str">
        <f aca="false">IF($R1468="","",IFERROR(INDEX(DriverCategory,MATCH($R1468,DriverList,0)),"BAU"))</f>
        <v/>
      </c>
      <c r="U1468" s="34" t="str">
        <f aca="false">IF($R1468="","",IFERROR(INDEX(DriverRank,MATCH($R1468,DriverList,0)),99))</f>
        <v/>
      </c>
      <c r="V1468" s="35" t="n">
        <f aca="false">IF($H1468="",0,IFERROR(INDEX(LevelBasic,MATCH($H1468,LevelList,0))+INDEX(LevelHousing,MATCH($H1468,LevelList,0))+INDEX(LevelTransport,MATCH($H1468,LevelList,0))+INDEX(LevelBasic,MATCH($H1468,LevelList,0))*INDEX(LevelBonus,MATCH($H1468,LevelList,0))+(INDEX(LevelBasic,MATCH($H1468,LevelList,0))+INDEX(LevelHousing,MATCH($H1468,LevelList,0)))*GosiSaudi,0))</f>
        <v>0</v>
      </c>
      <c r="W1468" s="35" t="n">
        <f aca="false">IFERROR(INDEX(LevelOneOff,MATCH($H1468,LevelList,0)),0)</f>
        <v>0</v>
      </c>
      <c r="X1468" s="35" t="str">
        <f aca="false">IF($G1468="","",$V1468*N($L1468))</f>
        <v/>
      </c>
      <c r="Y1468" s="35" t="str">
        <f aca="false">IF($G1468="","",$V1468*(N($M1468)*1+N($N1468)*0.75+N($O1468)*0.5+N($P1468)*0.25)+$W1468*N($L1468))</f>
        <v/>
      </c>
      <c r="Z1468" s="35" t="str">
        <f aca="false">IF($G1468="","",$U1468*1000000+ROW())</f>
        <v/>
      </c>
      <c r="AA1468" s="36" t="str">
        <f aca="false">IF($G1468="","",MID(IF($C1468="",", no division","")&amp;IF($E1468="",", no unit","")&amp;IF($H1468="",", no career level","")&amp;IF(N($L1468)&lt;=0,", no quarter split","")&amp;IF($R1468="",", no driver","")&amp;IF(AND($H1468&lt;&gt;"",COUNTIF(CareerLevels,$H1468)=0),", a career level that is not on the ladder","")&amp;IF(AND($R1468&lt;&gt;"",COUNTIF(DriverList,$R1468)=0),", a driver that is not on the list","")&amp;IF(ABS(N($L1468)-(N($M1468)+N($N1468)+N($O1468)+N($P1468)))&gt;0.001,", a total that does not match its quarters",""),3,300))</f>
        <v/>
      </c>
    </row>
    <row r="1469" customFormat="false" ht="15" hidden="false" customHeight="false" outlineLevel="0" collapsed="false">
      <c r="A1469" s="33" t="str">
        <f aca="false">IF($G1469="","","Operations Group")</f>
        <v/>
      </c>
      <c r="B1469" s="19"/>
      <c r="C1469" s="19"/>
      <c r="D1469" s="19"/>
      <c r="E1469" s="19"/>
      <c r="F1469" s="19"/>
      <c r="G1469" s="19"/>
      <c r="H1469" s="19"/>
      <c r="I1469" s="19"/>
      <c r="J1469" s="19"/>
      <c r="K1469" s="19"/>
      <c r="L1469" s="19"/>
      <c r="M1469" s="19"/>
      <c r="N1469" s="19"/>
      <c r="O1469" s="19"/>
      <c r="P1469" s="19"/>
      <c r="Q1469" s="19"/>
      <c r="R1469" s="19"/>
      <c r="S1469" s="19"/>
      <c r="T1469" s="34" t="str">
        <f aca="false">IF($R1469="","",IFERROR(INDEX(DriverCategory,MATCH($R1469,DriverList,0)),"BAU"))</f>
        <v/>
      </c>
      <c r="U1469" s="34" t="str">
        <f aca="false">IF($R1469="","",IFERROR(INDEX(DriverRank,MATCH($R1469,DriverList,0)),99))</f>
        <v/>
      </c>
      <c r="V1469" s="35" t="n">
        <f aca="false">IF($H1469="",0,IFERROR(INDEX(LevelBasic,MATCH($H1469,LevelList,0))+INDEX(LevelHousing,MATCH($H1469,LevelList,0))+INDEX(LevelTransport,MATCH($H1469,LevelList,0))+INDEX(LevelBasic,MATCH($H1469,LevelList,0))*INDEX(LevelBonus,MATCH($H1469,LevelList,0))+(INDEX(LevelBasic,MATCH($H1469,LevelList,0))+INDEX(LevelHousing,MATCH($H1469,LevelList,0)))*GosiSaudi,0))</f>
        <v>0</v>
      </c>
      <c r="W1469" s="35" t="n">
        <f aca="false">IFERROR(INDEX(LevelOneOff,MATCH($H1469,LevelList,0)),0)</f>
        <v>0</v>
      </c>
      <c r="X1469" s="35" t="str">
        <f aca="false">IF($G1469="","",$V1469*N($L1469))</f>
        <v/>
      </c>
      <c r="Y1469" s="35" t="str">
        <f aca="false">IF($G1469="","",$V1469*(N($M1469)*1+N($N1469)*0.75+N($O1469)*0.5+N($P1469)*0.25)+$W1469*N($L1469))</f>
        <v/>
      </c>
      <c r="Z1469" s="35" t="str">
        <f aca="false">IF($G1469="","",$U1469*1000000+ROW())</f>
        <v/>
      </c>
      <c r="AA1469" s="36" t="str">
        <f aca="false">IF($G1469="","",MID(IF($C1469="",", no division","")&amp;IF($E1469="",", no unit","")&amp;IF($H1469="",", no career level","")&amp;IF(N($L1469)&lt;=0,", no quarter split","")&amp;IF($R1469="",", no driver","")&amp;IF(AND($H1469&lt;&gt;"",COUNTIF(CareerLevels,$H1469)=0),", a career level that is not on the ladder","")&amp;IF(AND($R1469&lt;&gt;"",COUNTIF(DriverList,$R1469)=0),", a driver that is not on the list","")&amp;IF(ABS(N($L1469)-(N($M1469)+N($N1469)+N($O1469)+N($P1469)))&gt;0.001,", a total that does not match its quarters",""),3,300))</f>
        <v/>
      </c>
    </row>
    <row r="1470" customFormat="false" ht="15" hidden="false" customHeight="false" outlineLevel="0" collapsed="false">
      <c r="A1470" s="33" t="str">
        <f aca="false">IF($G1470="","","Operations Group")</f>
        <v/>
      </c>
      <c r="B1470" s="19"/>
      <c r="C1470" s="19"/>
      <c r="D1470" s="19"/>
      <c r="E1470" s="19"/>
      <c r="F1470" s="19"/>
      <c r="G1470" s="19"/>
      <c r="H1470" s="19"/>
      <c r="I1470" s="19"/>
      <c r="J1470" s="19"/>
      <c r="K1470" s="19"/>
      <c r="L1470" s="19"/>
      <c r="M1470" s="19"/>
      <c r="N1470" s="19"/>
      <c r="O1470" s="19"/>
      <c r="P1470" s="19"/>
      <c r="Q1470" s="19"/>
      <c r="R1470" s="19"/>
      <c r="S1470" s="19"/>
      <c r="T1470" s="34" t="str">
        <f aca="false">IF($R1470="","",IFERROR(INDEX(DriverCategory,MATCH($R1470,DriverList,0)),"BAU"))</f>
        <v/>
      </c>
      <c r="U1470" s="34" t="str">
        <f aca="false">IF($R1470="","",IFERROR(INDEX(DriverRank,MATCH($R1470,DriverList,0)),99))</f>
        <v/>
      </c>
      <c r="V1470" s="35" t="n">
        <f aca="false">IF($H1470="",0,IFERROR(INDEX(LevelBasic,MATCH($H1470,LevelList,0))+INDEX(LevelHousing,MATCH($H1470,LevelList,0))+INDEX(LevelTransport,MATCH($H1470,LevelList,0))+INDEX(LevelBasic,MATCH($H1470,LevelList,0))*INDEX(LevelBonus,MATCH($H1470,LevelList,0))+(INDEX(LevelBasic,MATCH($H1470,LevelList,0))+INDEX(LevelHousing,MATCH($H1470,LevelList,0)))*GosiSaudi,0))</f>
        <v>0</v>
      </c>
      <c r="W1470" s="35" t="n">
        <f aca="false">IFERROR(INDEX(LevelOneOff,MATCH($H1470,LevelList,0)),0)</f>
        <v>0</v>
      </c>
      <c r="X1470" s="35" t="str">
        <f aca="false">IF($G1470="","",$V1470*N($L1470))</f>
        <v/>
      </c>
      <c r="Y1470" s="35" t="str">
        <f aca="false">IF($G1470="","",$V1470*(N($M1470)*1+N($N1470)*0.75+N($O1470)*0.5+N($P1470)*0.25)+$W1470*N($L1470))</f>
        <v/>
      </c>
      <c r="Z1470" s="35" t="str">
        <f aca="false">IF($G1470="","",$U1470*1000000+ROW())</f>
        <v/>
      </c>
      <c r="AA1470" s="36" t="str">
        <f aca="false">IF($G1470="","",MID(IF($C1470="",", no division","")&amp;IF($E1470="",", no unit","")&amp;IF($H1470="",", no career level","")&amp;IF(N($L1470)&lt;=0,", no quarter split","")&amp;IF($R1470="",", no driver","")&amp;IF(AND($H1470&lt;&gt;"",COUNTIF(CareerLevels,$H1470)=0),", a career level that is not on the ladder","")&amp;IF(AND($R1470&lt;&gt;"",COUNTIF(DriverList,$R1470)=0),", a driver that is not on the list","")&amp;IF(ABS(N($L1470)-(N($M1470)+N($N1470)+N($O1470)+N($P1470)))&gt;0.001,", a total that does not match its quarters",""),3,300))</f>
        <v/>
      </c>
    </row>
    <row r="1471" customFormat="false" ht="15" hidden="false" customHeight="false" outlineLevel="0" collapsed="false">
      <c r="A1471" s="33" t="str">
        <f aca="false">IF($G1471="","","Operations Group")</f>
        <v/>
      </c>
      <c r="B1471" s="19"/>
      <c r="C1471" s="19"/>
      <c r="D1471" s="19"/>
      <c r="E1471" s="19"/>
      <c r="F1471" s="19"/>
      <c r="G1471" s="19"/>
      <c r="H1471" s="19"/>
      <c r="I1471" s="19"/>
      <c r="J1471" s="19"/>
      <c r="K1471" s="19"/>
      <c r="L1471" s="19"/>
      <c r="M1471" s="19"/>
      <c r="N1471" s="19"/>
      <c r="O1471" s="19"/>
      <c r="P1471" s="19"/>
      <c r="Q1471" s="19"/>
      <c r="R1471" s="19"/>
      <c r="S1471" s="19"/>
      <c r="T1471" s="34" t="str">
        <f aca="false">IF($R1471="","",IFERROR(INDEX(DriverCategory,MATCH($R1471,DriverList,0)),"BAU"))</f>
        <v/>
      </c>
      <c r="U1471" s="34" t="str">
        <f aca="false">IF($R1471="","",IFERROR(INDEX(DriverRank,MATCH($R1471,DriverList,0)),99))</f>
        <v/>
      </c>
      <c r="V1471" s="35" t="n">
        <f aca="false">IF($H1471="",0,IFERROR(INDEX(LevelBasic,MATCH($H1471,LevelList,0))+INDEX(LevelHousing,MATCH($H1471,LevelList,0))+INDEX(LevelTransport,MATCH($H1471,LevelList,0))+INDEX(LevelBasic,MATCH($H1471,LevelList,0))*INDEX(LevelBonus,MATCH($H1471,LevelList,0))+(INDEX(LevelBasic,MATCH($H1471,LevelList,0))+INDEX(LevelHousing,MATCH($H1471,LevelList,0)))*GosiSaudi,0))</f>
        <v>0</v>
      </c>
      <c r="W1471" s="35" t="n">
        <f aca="false">IFERROR(INDEX(LevelOneOff,MATCH($H1471,LevelList,0)),0)</f>
        <v>0</v>
      </c>
      <c r="X1471" s="35" t="str">
        <f aca="false">IF($G1471="","",$V1471*N($L1471))</f>
        <v/>
      </c>
      <c r="Y1471" s="35" t="str">
        <f aca="false">IF($G1471="","",$V1471*(N($M1471)*1+N($N1471)*0.75+N($O1471)*0.5+N($P1471)*0.25)+$W1471*N($L1471))</f>
        <v/>
      </c>
      <c r="Z1471" s="35" t="str">
        <f aca="false">IF($G1471="","",$U1471*1000000+ROW())</f>
        <v/>
      </c>
      <c r="AA1471" s="36" t="str">
        <f aca="false">IF($G1471="","",MID(IF($C1471="",", no division","")&amp;IF($E1471="",", no unit","")&amp;IF($H1471="",", no career level","")&amp;IF(N($L1471)&lt;=0,", no quarter split","")&amp;IF($R1471="",", no driver","")&amp;IF(AND($H1471&lt;&gt;"",COUNTIF(CareerLevels,$H1471)=0),", a career level that is not on the ladder","")&amp;IF(AND($R1471&lt;&gt;"",COUNTIF(DriverList,$R1471)=0),", a driver that is not on the list","")&amp;IF(ABS(N($L1471)-(N($M1471)+N($N1471)+N($O1471)+N($P1471)))&gt;0.001,", a total that does not match its quarters",""),3,300))</f>
        <v/>
      </c>
    </row>
    <row r="1472" customFormat="false" ht="15" hidden="false" customHeight="false" outlineLevel="0" collapsed="false">
      <c r="A1472" s="33" t="str">
        <f aca="false">IF($G1472="","","Operations Group")</f>
        <v/>
      </c>
      <c r="B1472" s="19"/>
      <c r="C1472" s="19"/>
      <c r="D1472" s="19"/>
      <c r="E1472" s="19"/>
      <c r="F1472" s="19"/>
      <c r="G1472" s="19"/>
      <c r="H1472" s="19"/>
      <c r="I1472" s="19"/>
      <c r="J1472" s="19"/>
      <c r="K1472" s="19"/>
      <c r="L1472" s="19"/>
      <c r="M1472" s="19"/>
      <c r="N1472" s="19"/>
      <c r="O1472" s="19"/>
      <c r="P1472" s="19"/>
      <c r="Q1472" s="19"/>
      <c r="R1472" s="19"/>
      <c r="S1472" s="19"/>
      <c r="T1472" s="34" t="str">
        <f aca="false">IF($R1472="","",IFERROR(INDEX(DriverCategory,MATCH($R1472,DriverList,0)),"BAU"))</f>
        <v/>
      </c>
      <c r="U1472" s="34" t="str">
        <f aca="false">IF($R1472="","",IFERROR(INDEX(DriverRank,MATCH($R1472,DriverList,0)),99))</f>
        <v/>
      </c>
      <c r="V1472" s="35" t="n">
        <f aca="false">IF($H1472="",0,IFERROR(INDEX(LevelBasic,MATCH($H1472,LevelList,0))+INDEX(LevelHousing,MATCH($H1472,LevelList,0))+INDEX(LevelTransport,MATCH($H1472,LevelList,0))+INDEX(LevelBasic,MATCH($H1472,LevelList,0))*INDEX(LevelBonus,MATCH($H1472,LevelList,0))+(INDEX(LevelBasic,MATCH($H1472,LevelList,0))+INDEX(LevelHousing,MATCH($H1472,LevelList,0)))*GosiSaudi,0))</f>
        <v>0</v>
      </c>
      <c r="W1472" s="35" t="n">
        <f aca="false">IFERROR(INDEX(LevelOneOff,MATCH($H1472,LevelList,0)),0)</f>
        <v>0</v>
      </c>
      <c r="X1472" s="35" t="str">
        <f aca="false">IF($G1472="","",$V1472*N($L1472))</f>
        <v/>
      </c>
      <c r="Y1472" s="35" t="str">
        <f aca="false">IF($G1472="","",$V1472*(N($M1472)*1+N($N1472)*0.75+N($O1472)*0.5+N($P1472)*0.25)+$W1472*N($L1472))</f>
        <v/>
      </c>
      <c r="Z1472" s="35" t="str">
        <f aca="false">IF($G1472="","",$U1472*1000000+ROW())</f>
        <v/>
      </c>
      <c r="AA1472" s="36" t="str">
        <f aca="false">IF($G1472="","",MID(IF($C1472="",", no division","")&amp;IF($E1472="",", no unit","")&amp;IF($H1472="",", no career level","")&amp;IF(N($L1472)&lt;=0,", no quarter split","")&amp;IF($R1472="",", no driver","")&amp;IF(AND($H1472&lt;&gt;"",COUNTIF(CareerLevels,$H1472)=0),", a career level that is not on the ladder","")&amp;IF(AND($R1472&lt;&gt;"",COUNTIF(DriverList,$R1472)=0),", a driver that is not on the list","")&amp;IF(ABS(N($L1472)-(N($M1472)+N($N1472)+N($O1472)+N($P1472)))&gt;0.001,", a total that does not match its quarters",""),3,300))</f>
        <v/>
      </c>
    </row>
    <row r="1473" customFormat="false" ht="15" hidden="false" customHeight="false" outlineLevel="0" collapsed="false">
      <c r="A1473" s="33" t="str">
        <f aca="false">IF($G1473="","","Operations Group")</f>
        <v/>
      </c>
      <c r="B1473" s="19"/>
      <c r="C1473" s="19"/>
      <c r="D1473" s="19"/>
      <c r="E1473" s="19"/>
      <c r="F1473" s="19"/>
      <c r="G1473" s="19"/>
      <c r="H1473" s="19"/>
      <c r="I1473" s="19"/>
      <c r="J1473" s="19"/>
      <c r="K1473" s="19"/>
      <c r="L1473" s="19"/>
      <c r="M1473" s="19"/>
      <c r="N1473" s="19"/>
      <c r="O1473" s="19"/>
      <c r="P1473" s="19"/>
      <c r="Q1473" s="19"/>
      <c r="R1473" s="19"/>
      <c r="S1473" s="19"/>
      <c r="T1473" s="34" t="str">
        <f aca="false">IF($R1473="","",IFERROR(INDEX(DriverCategory,MATCH($R1473,DriverList,0)),"BAU"))</f>
        <v/>
      </c>
      <c r="U1473" s="34" t="str">
        <f aca="false">IF($R1473="","",IFERROR(INDEX(DriverRank,MATCH($R1473,DriverList,0)),99))</f>
        <v/>
      </c>
      <c r="V1473" s="35" t="n">
        <f aca="false">IF($H1473="",0,IFERROR(INDEX(LevelBasic,MATCH($H1473,LevelList,0))+INDEX(LevelHousing,MATCH($H1473,LevelList,0))+INDEX(LevelTransport,MATCH($H1473,LevelList,0))+INDEX(LevelBasic,MATCH($H1473,LevelList,0))*INDEX(LevelBonus,MATCH($H1473,LevelList,0))+(INDEX(LevelBasic,MATCH($H1473,LevelList,0))+INDEX(LevelHousing,MATCH($H1473,LevelList,0)))*GosiSaudi,0))</f>
        <v>0</v>
      </c>
      <c r="W1473" s="35" t="n">
        <f aca="false">IFERROR(INDEX(LevelOneOff,MATCH($H1473,LevelList,0)),0)</f>
        <v>0</v>
      </c>
      <c r="X1473" s="35" t="str">
        <f aca="false">IF($G1473="","",$V1473*N($L1473))</f>
        <v/>
      </c>
      <c r="Y1473" s="35" t="str">
        <f aca="false">IF($G1473="","",$V1473*(N($M1473)*1+N($N1473)*0.75+N($O1473)*0.5+N($P1473)*0.25)+$W1473*N($L1473))</f>
        <v/>
      </c>
      <c r="Z1473" s="35" t="str">
        <f aca="false">IF($G1473="","",$U1473*1000000+ROW())</f>
        <v/>
      </c>
      <c r="AA1473" s="36" t="str">
        <f aca="false">IF($G1473="","",MID(IF($C1473="",", no division","")&amp;IF($E1473="",", no unit","")&amp;IF($H1473="",", no career level","")&amp;IF(N($L1473)&lt;=0,", no quarter split","")&amp;IF($R1473="",", no driver","")&amp;IF(AND($H1473&lt;&gt;"",COUNTIF(CareerLevels,$H1473)=0),", a career level that is not on the ladder","")&amp;IF(AND($R1473&lt;&gt;"",COUNTIF(DriverList,$R1473)=0),", a driver that is not on the list","")&amp;IF(ABS(N($L1473)-(N($M1473)+N($N1473)+N($O1473)+N($P1473)))&gt;0.001,", a total that does not match its quarters",""),3,300))</f>
        <v/>
      </c>
    </row>
    <row r="1474" customFormat="false" ht="15" hidden="false" customHeight="false" outlineLevel="0" collapsed="false">
      <c r="A1474" s="33" t="str">
        <f aca="false">IF($G1474="","","Operations Group")</f>
        <v/>
      </c>
      <c r="B1474" s="19"/>
      <c r="C1474" s="19"/>
      <c r="D1474" s="19"/>
      <c r="E1474" s="19"/>
      <c r="F1474" s="19"/>
      <c r="G1474" s="19"/>
      <c r="H1474" s="19"/>
      <c r="I1474" s="19"/>
      <c r="J1474" s="19"/>
      <c r="K1474" s="19"/>
      <c r="L1474" s="19"/>
      <c r="M1474" s="19"/>
      <c r="N1474" s="19"/>
      <c r="O1474" s="19"/>
      <c r="P1474" s="19"/>
      <c r="Q1474" s="19"/>
      <c r="R1474" s="19"/>
      <c r="S1474" s="19"/>
      <c r="T1474" s="34" t="str">
        <f aca="false">IF($R1474="","",IFERROR(INDEX(DriverCategory,MATCH($R1474,DriverList,0)),"BAU"))</f>
        <v/>
      </c>
      <c r="U1474" s="34" t="str">
        <f aca="false">IF($R1474="","",IFERROR(INDEX(DriverRank,MATCH($R1474,DriverList,0)),99))</f>
        <v/>
      </c>
      <c r="V1474" s="35" t="n">
        <f aca="false">IF($H1474="",0,IFERROR(INDEX(LevelBasic,MATCH($H1474,LevelList,0))+INDEX(LevelHousing,MATCH($H1474,LevelList,0))+INDEX(LevelTransport,MATCH($H1474,LevelList,0))+INDEX(LevelBasic,MATCH($H1474,LevelList,0))*INDEX(LevelBonus,MATCH($H1474,LevelList,0))+(INDEX(LevelBasic,MATCH($H1474,LevelList,0))+INDEX(LevelHousing,MATCH($H1474,LevelList,0)))*GosiSaudi,0))</f>
        <v>0</v>
      </c>
      <c r="W1474" s="35" t="n">
        <f aca="false">IFERROR(INDEX(LevelOneOff,MATCH($H1474,LevelList,0)),0)</f>
        <v>0</v>
      </c>
      <c r="X1474" s="35" t="str">
        <f aca="false">IF($G1474="","",$V1474*N($L1474))</f>
        <v/>
      </c>
      <c r="Y1474" s="35" t="str">
        <f aca="false">IF($G1474="","",$V1474*(N($M1474)*1+N($N1474)*0.75+N($O1474)*0.5+N($P1474)*0.25)+$W1474*N($L1474))</f>
        <v/>
      </c>
      <c r="Z1474" s="35" t="str">
        <f aca="false">IF($G1474="","",$U1474*1000000+ROW())</f>
        <v/>
      </c>
      <c r="AA1474" s="36" t="str">
        <f aca="false">IF($G1474="","",MID(IF($C1474="",", no division","")&amp;IF($E1474="",", no unit","")&amp;IF($H1474="",", no career level","")&amp;IF(N($L1474)&lt;=0,", no quarter split","")&amp;IF($R1474="",", no driver","")&amp;IF(AND($H1474&lt;&gt;"",COUNTIF(CareerLevels,$H1474)=0),", a career level that is not on the ladder","")&amp;IF(AND($R1474&lt;&gt;"",COUNTIF(DriverList,$R1474)=0),", a driver that is not on the list","")&amp;IF(ABS(N($L1474)-(N($M1474)+N($N1474)+N($O1474)+N($P1474)))&gt;0.001,", a total that does not match its quarters",""),3,300))</f>
        <v/>
      </c>
    </row>
    <row r="1475" customFormat="false" ht="15" hidden="false" customHeight="false" outlineLevel="0" collapsed="false">
      <c r="A1475" s="33" t="str">
        <f aca="false">IF($G1475="","","Operations Group")</f>
        <v/>
      </c>
      <c r="B1475" s="19"/>
      <c r="C1475" s="19"/>
      <c r="D1475" s="19"/>
      <c r="E1475" s="19"/>
      <c r="F1475" s="19"/>
      <c r="G1475" s="19"/>
      <c r="H1475" s="19"/>
      <c r="I1475" s="19"/>
      <c r="J1475" s="19"/>
      <c r="K1475" s="19"/>
      <c r="L1475" s="19"/>
      <c r="M1475" s="19"/>
      <c r="N1475" s="19"/>
      <c r="O1475" s="19"/>
      <c r="P1475" s="19"/>
      <c r="Q1475" s="19"/>
      <c r="R1475" s="19"/>
      <c r="S1475" s="19"/>
      <c r="T1475" s="34" t="str">
        <f aca="false">IF($R1475="","",IFERROR(INDEX(DriverCategory,MATCH($R1475,DriverList,0)),"BAU"))</f>
        <v/>
      </c>
      <c r="U1475" s="34" t="str">
        <f aca="false">IF($R1475="","",IFERROR(INDEX(DriverRank,MATCH($R1475,DriverList,0)),99))</f>
        <v/>
      </c>
      <c r="V1475" s="35" t="n">
        <f aca="false">IF($H1475="",0,IFERROR(INDEX(LevelBasic,MATCH($H1475,LevelList,0))+INDEX(LevelHousing,MATCH($H1475,LevelList,0))+INDEX(LevelTransport,MATCH($H1475,LevelList,0))+INDEX(LevelBasic,MATCH($H1475,LevelList,0))*INDEX(LevelBonus,MATCH($H1475,LevelList,0))+(INDEX(LevelBasic,MATCH($H1475,LevelList,0))+INDEX(LevelHousing,MATCH($H1475,LevelList,0)))*GosiSaudi,0))</f>
        <v>0</v>
      </c>
      <c r="W1475" s="35" t="n">
        <f aca="false">IFERROR(INDEX(LevelOneOff,MATCH($H1475,LevelList,0)),0)</f>
        <v>0</v>
      </c>
      <c r="X1475" s="35" t="str">
        <f aca="false">IF($G1475="","",$V1475*N($L1475))</f>
        <v/>
      </c>
      <c r="Y1475" s="35" t="str">
        <f aca="false">IF($G1475="","",$V1475*(N($M1475)*1+N($N1475)*0.75+N($O1475)*0.5+N($P1475)*0.25)+$W1475*N($L1475))</f>
        <v/>
      </c>
      <c r="Z1475" s="35" t="str">
        <f aca="false">IF($G1475="","",$U1475*1000000+ROW())</f>
        <v/>
      </c>
      <c r="AA1475" s="36" t="str">
        <f aca="false">IF($G1475="","",MID(IF($C1475="",", no division","")&amp;IF($E1475="",", no unit","")&amp;IF($H1475="",", no career level","")&amp;IF(N($L1475)&lt;=0,", no quarter split","")&amp;IF($R1475="",", no driver","")&amp;IF(AND($H1475&lt;&gt;"",COUNTIF(CareerLevels,$H1475)=0),", a career level that is not on the ladder","")&amp;IF(AND($R1475&lt;&gt;"",COUNTIF(DriverList,$R1475)=0),", a driver that is not on the list","")&amp;IF(ABS(N($L1475)-(N($M1475)+N($N1475)+N($O1475)+N($P1475)))&gt;0.001,", a total that does not match its quarters",""),3,300))</f>
        <v/>
      </c>
    </row>
    <row r="1476" customFormat="false" ht="15" hidden="false" customHeight="false" outlineLevel="0" collapsed="false">
      <c r="A1476" s="33" t="str">
        <f aca="false">IF($G1476="","","Operations Group")</f>
        <v/>
      </c>
      <c r="B1476" s="19"/>
      <c r="C1476" s="19"/>
      <c r="D1476" s="19"/>
      <c r="E1476" s="19"/>
      <c r="F1476" s="19"/>
      <c r="G1476" s="19"/>
      <c r="H1476" s="19"/>
      <c r="I1476" s="19"/>
      <c r="J1476" s="19"/>
      <c r="K1476" s="19"/>
      <c r="L1476" s="19"/>
      <c r="M1476" s="19"/>
      <c r="N1476" s="19"/>
      <c r="O1476" s="19"/>
      <c r="P1476" s="19"/>
      <c r="Q1476" s="19"/>
      <c r="R1476" s="19"/>
      <c r="S1476" s="19"/>
      <c r="T1476" s="34" t="str">
        <f aca="false">IF($R1476="","",IFERROR(INDEX(DriverCategory,MATCH($R1476,DriverList,0)),"BAU"))</f>
        <v/>
      </c>
      <c r="U1476" s="34" t="str">
        <f aca="false">IF($R1476="","",IFERROR(INDEX(DriverRank,MATCH($R1476,DriverList,0)),99))</f>
        <v/>
      </c>
      <c r="V1476" s="35" t="n">
        <f aca="false">IF($H1476="",0,IFERROR(INDEX(LevelBasic,MATCH($H1476,LevelList,0))+INDEX(LevelHousing,MATCH($H1476,LevelList,0))+INDEX(LevelTransport,MATCH($H1476,LevelList,0))+INDEX(LevelBasic,MATCH($H1476,LevelList,0))*INDEX(LevelBonus,MATCH($H1476,LevelList,0))+(INDEX(LevelBasic,MATCH($H1476,LevelList,0))+INDEX(LevelHousing,MATCH($H1476,LevelList,0)))*GosiSaudi,0))</f>
        <v>0</v>
      </c>
      <c r="W1476" s="35" t="n">
        <f aca="false">IFERROR(INDEX(LevelOneOff,MATCH($H1476,LevelList,0)),0)</f>
        <v>0</v>
      </c>
      <c r="X1476" s="35" t="str">
        <f aca="false">IF($G1476="","",$V1476*N($L1476))</f>
        <v/>
      </c>
      <c r="Y1476" s="35" t="str">
        <f aca="false">IF($G1476="","",$V1476*(N($M1476)*1+N($N1476)*0.75+N($O1476)*0.5+N($P1476)*0.25)+$W1476*N($L1476))</f>
        <v/>
      </c>
      <c r="Z1476" s="35" t="str">
        <f aca="false">IF($G1476="","",$U1476*1000000+ROW())</f>
        <v/>
      </c>
      <c r="AA1476" s="36" t="str">
        <f aca="false">IF($G1476="","",MID(IF($C1476="",", no division","")&amp;IF($E1476="",", no unit","")&amp;IF($H1476="",", no career level","")&amp;IF(N($L1476)&lt;=0,", no quarter split","")&amp;IF($R1476="",", no driver","")&amp;IF(AND($H1476&lt;&gt;"",COUNTIF(CareerLevels,$H1476)=0),", a career level that is not on the ladder","")&amp;IF(AND($R1476&lt;&gt;"",COUNTIF(DriverList,$R1476)=0),", a driver that is not on the list","")&amp;IF(ABS(N($L1476)-(N($M1476)+N($N1476)+N($O1476)+N($P1476)))&gt;0.001,", a total that does not match its quarters",""),3,300))</f>
        <v/>
      </c>
    </row>
    <row r="1477" customFormat="false" ht="15" hidden="false" customHeight="false" outlineLevel="0" collapsed="false">
      <c r="A1477" s="33" t="str">
        <f aca="false">IF($G1477="","","Operations Group")</f>
        <v/>
      </c>
      <c r="B1477" s="19"/>
      <c r="C1477" s="19"/>
      <c r="D1477" s="19"/>
      <c r="E1477" s="19"/>
      <c r="F1477" s="19"/>
      <c r="G1477" s="19"/>
      <c r="H1477" s="19"/>
      <c r="I1477" s="19"/>
      <c r="J1477" s="19"/>
      <c r="K1477" s="19"/>
      <c r="L1477" s="19"/>
      <c r="M1477" s="19"/>
      <c r="N1477" s="19"/>
      <c r="O1477" s="19"/>
      <c r="P1477" s="19"/>
      <c r="Q1477" s="19"/>
      <c r="R1477" s="19"/>
      <c r="S1477" s="19"/>
      <c r="T1477" s="34" t="str">
        <f aca="false">IF($R1477="","",IFERROR(INDEX(DriverCategory,MATCH($R1477,DriverList,0)),"BAU"))</f>
        <v/>
      </c>
      <c r="U1477" s="34" t="str">
        <f aca="false">IF($R1477="","",IFERROR(INDEX(DriverRank,MATCH($R1477,DriverList,0)),99))</f>
        <v/>
      </c>
      <c r="V1477" s="35" t="n">
        <f aca="false">IF($H1477="",0,IFERROR(INDEX(LevelBasic,MATCH($H1477,LevelList,0))+INDEX(LevelHousing,MATCH($H1477,LevelList,0))+INDEX(LevelTransport,MATCH($H1477,LevelList,0))+INDEX(LevelBasic,MATCH($H1477,LevelList,0))*INDEX(LevelBonus,MATCH($H1477,LevelList,0))+(INDEX(LevelBasic,MATCH($H1477,LevelList,0))+INDEX(LevelHousing,MATCH($H1477,LevelList,0)))*GosiSaudi,0))</f>
        <v>0</v>
      </c>
      <c r="W1477" s="35" t="n">
        <f aca="false">IFERROR(INDEX(LevelOneOff,MATCH($H1477,LevelList,0)),0)</f>
        <v>0</v>
      </c>
      <c r="X1477" s="35" t="str">
        <f aca="false">IF($G1477="","",$V1477*N($L1477))</f>
        <v/>
      </c>
      <c r="Y1477" s="35" t="str">
        <f aca="false">IF($G1477="","",$V1477*(N($M1477)*1+N($N1477)*0.75+N($O1477)*0.5+N($P1477)*0.25)+$W1477*N($L1477))</f>
        <v/>
      </c>
      <c r="Z1477" s="35" t="str">
        <f aca="false">IF($G1477="","",$U1477*1000000+ROW())</f>
        <v/>
      </c>
      <c r="AA1477" s="36" t="str">
        <f aca="false">IF($G1477="","",MID(IF($C1477="",", no division","")&amp;IF($E1477="",", no unit","")&amp;IF($H1477="",", no career level","")&amp;IF(N($L1477)&lt;=0,", no quarter split","")&amp;IF($R1477="",", no driver","")&amp;IF(AND($H1477&lt;&gt;"",COUNTIF(CareerLevels,$H1477)=0),", a career level that is not on the ladder","")&amp;IF(AND($R1477&lt;&gt;"",COUNTIF(DriverList,$R1477)=0),", a driver that is not on the list","")&amp;IF(ABS(N($L1477)-(N($M1477)+N($N1477)+N($O1477)+N($P1477)))&gt;0.001,", a total that does not match its quarters",""),3,300))</f>
        <v/>
      </c>
    </row>
    <row r="1478" customFormat="false" ht="15" hidden="false" customHeight="false" outlineLevel="0" collapsed="false">
      <c r="A1478" s="33" t="str">
        <f aca="false">IF($G1478="","","Operations Group")</f>
        <v/>
      </c>
      <c r="B1478" s="19"/>
      <c r="C1478" s="19"/>
      <c r="D1478" s="19"/>
      <c r="E1478" s="19"/>
      <c r="F1478" s="19"/>
      <c r="G1478" s="19"/>
      <c r="H1478" s="19"/>
      <c r="I1478" s="19"/>
      <c r="J1478" s="19"/>
      <c r="K1478" s="19"/>
      <c r="L1478" s="19"/>
      <c r="M1478" s="19"/>
      <c r="N1478" s="19"/>
      <c r="O1478" s="19"/>
      <c r="P1478" s="19"/>
      <c r="Q1478" s="19"/>
      <c r="R1478" s="19"/>
      <c r="S1478" s="19"/>
      <c r="T1478" s="34" t="str">
        <f aca="false">IF($R1478="","",IFERROR(INDEX(DriverCategory,MATCH($R1478,DriverList,0)),"BAU"))</f>
        <v/>
      </c>
      <c r="U1478" s="34" t="str">
        <f aca="false">IF($R1478="","",IFERROR(INDEX(DriverRank,MATCH($R1478,DriverList,0)),99))</f>
        <v/>
      </c>
      <c r="V1478" s="35" t="n">
        <f aca="false">IF($H1478="",0,IFERROR(INDEX(LevelBasic,MATCH($H1478,LevelList,0))+INDEX(LevelHousing,MATCH($H1478,LevelList,0))+INDEX(LevelTransport,MATCH($H1478,LevelList,0))+INDEX(LevelBasic,MATCH($H1478,LevelList,0))*INDEX(LevelBonus,MATCH($H1478,LevelList,0))+(INDEX(LevelBasic,MATCH($H1478,LevelList,0))+INDEX(LevelHousing,MATCH($H1478,LevelList,0)))*GosiSaudi,0))</f>
        <v>0</v>
      </c>
      <c r="W1478" s="35" t="n">
        <f aca="false">IFERROR(INDEX(LevelOneOff,MATCH($H1478,LevelList,0)),0)</f>
        <v>0</v>
      </c>
      <c r="X1478" s="35" t="str">
        <f aca="false">IF($G1478="","",$V1478*N($L1478))</f>
        <v/>
      </c>
      <c r="Y1478" s="35" t="str">
        <f aca="false">IF($G1478="","",$V1478*(N($M1478)*1+N($N1478)*0.75+N($O1478)*0.5+N($P1478)*0.25)+$W1478*N($L1478))</f>
        <v/>
      </c>
      <c r="Z1478" s="35" t="str">
        <f aca="false">IF($G1478="","",$U1478*1000000+ROW())</f>
        <v/>
      </c>
      <c r="AA1478" s="36" t="str">
        <f aca="false">IF($G1478="","",MID(IF($C1478="",", no division","")&amp;IF($E1478="",", no unit","")&amp;IF($H1478="",", no career level","")&amp;IF(N($L1478)&lt;=0,", no quarter split","")&amp;IF($R1478="",", no driver","")&amp;IF(AND($H1478&lt;&gt;"",COUNTIF(CareerLevels,$H1478)=0),", a career level that is not on the ladder","")&amp;IF(AND($R1478&lt;&gt;"",COUNTIF(DriverList,$R1478)=0),", a driver that is not on the list","")&amp;IF(ABS(N($L1478)-(N($M1478)+N($N1478)+N($O1478)+N($P1478)))&gt;0.001,", a total that does not match its quarters",""),3,300))</f>
        <v/>
      </c>
    </row>
    <row r="1479" customFormat="false" ht="15" hidden="false" customHeight="false" outlineLevel="0" collapsed="false">
      <c r="A1479" s="33" t="str">
        <f aca="false">IF($G1479="","","Operations Group")</f>
        <v/>
      </c>
      <c r="B1479" s="19"/>
      <c r="C1479" s="19"/>
      <c r="D1479" s="19"/>
      <c r="E1479" s="19"/>
      <c r="F1479" s="19"/>
      <c r="G1479" s="19"/>
      <c r="H1479" s="19"/>
      <c r="I1479" s="19"/>
      <c r="J1479" s="19"/>
      <c r="K1479" s="19"/>
      <c r="L1479" s="19"/>
      <c r="M1479" s="19"/>
      <c r="N1479" s="19"/>
      <c r="O1479" s="19"/>
      <c r="P1479" s="19"/>
      <c r="Q1479" s="19"/>
      <c r="R1479" s="19"/>
      <c r="S1479" s="19"/>
      <c r="T1479" s="34" t="str">
        <f aca="false">IF($R1479="","",IFERROR(INDEX(DriverCategory,MATCH($R1479,DriverList,0)),"BAU"))</f>
        <v/>
      </c>
      <c r="U1479" s="34" t="str">
        <f aca="false">IF($R1479="","",IFERROR(INDEX(DriverRank,MATCH($R1479,DriverList,0)),99))</f>
        <v/>
      </c>
      <c r="V1479" s="35" t="n">
        <f aca="false">IF($H1479="",0,IFERROR(INDEX(LevelBasic,MATCH($H1479,LevelList,0))+INDEX(LevelHousing,MATCH($H1479,LevelList,0))+INDEX(LevelTransport,MATCH($H1479,LevelList,0))+INDEX(LevelBasic,MATCH($H1479,LevelList,0))*INDEX(LevelBonus,MATCH($H1479,LevelList,0))+(INDEX(LevelBasic,MATCH($H1479,LevelList,0))+INDEX(LevelHousing,MATCH($H1479,LevelList,0)))*GosiSaudi,0))</f>
        <v>0</v>
      </c>
      <c r="W1479" s="35" t="n">
        <f aca="false">IFERROR(INDEX(LevelOneOff,MATCH($H1479,LevelList,0)),0)</f>
        <v>0</v>
      </c>
      <c r="X1479" s="35" t="str">
        <f aca="false">IF($G1479="","",$V1479*N($L1479))</f>
        <v/>
      </c>
      <c r="Y1479" s="35" t="str">
        <f aca="false">IF($G1479="","",$V1479*(N($M1479)*1+N($N1479)*0.75+N($O1479)*0.5+N($P1479)*0.25)+$W1479*N($L1479))</f>
        <v/>
      </c>
      <c r="Z1479" s="35" t="str">
        <f aca="false">IF($G1479="","",$U1479*1000000+ROW())</f>
        <v/>
      </c>
      <c r="AA1479" s="36" t="str">
        <f aca="false">IF($G1479="","",MID(IF($C1479="",", no division","")&amp;IF($E1479="",", no unit","")&amp;IF($H1479="",", no career level","")&amp;IF(N($L1479)&lt;=0,", no quarter split","")&amp;IF($R1479="",", no driver","")&amp;IF(AND($H1479&lt;&gt;"",COUNTIF(CareerLevels,$H1479)=0),", a career level that is not on the ladder","")&amp;IF(AND($R1479&lt;&gt;"",COUNTIF(DriverList,$R1479)=0),", a driver that is not on the list","")&amp;IF(ABS(N($L1479)-(N($M1479)+N($N1479)+N($O1479)+N($P1479)))&gt;0.001,", a total that does not match its quarters",""),3,300))</f>
        <v/>
      </c>
    </row>
    <row r="1480" customFormat="false" ht="15" hidden="false" customHeight="false" outlineLevel="0" collapsed="false">
      <c r="A1480" s="33" t="str">
        <f aca="false">IF($G1480="","","Operations Group")</f>
        <v/>
      </c>
      <c r="B1480" s="19"/>
      <c r="C1480" s="19"/>
      <c r="D1480" s="19"/>
      <c r="E1480" s="19"/>
      <c r="F1480" s="19"/>
      <c r="G1480" s="19"/>
      <c r="H1480" s="19"/>
      <c r="I1480" s="19"/>
      <c r="J1480" s="19"/>
      <c r="K1480" s="19"/>
      <c r="L1480" s="19"/>
      <c r="M1480" s="19"/>
      <c r="N1480" s="19"/>
      <c r="O1480" s="19"/>
      <c r="P1480" s="19"/>
      <c r="Q1480" s="19"/>
      <c r="R1480" s="19"/>
      <c r="S1480" s="19"/>
      <c r="T1480" s="34" t="str">
        <f aca="false">IF($R1480="","",IFERROR(INDEX(DriverCategory,MATCH($R1480,DriverList,0)),"BAU"))</f>
        <v/>
      </c>
      <c r="U1480" s="34" t="str">
        <f aca="false">IF($R1480="","",IFERROR(INDEX(DriverRank,MATCH($R1480,DriverList,0)),99))</f>
        <v/>
      </c>
      <c r="V1480" s="35" t="n">
        <f aca="false">IF($H1480="",0,IFERROR(INDEX(LevelBasic,MATCH($H1480,LevelList,0))+INDEX(LevelHousing,MATCH($H1480,LevelList,0))+INDEX(LevelTransport,MATCH($H1480,LevelList,0))+INDEX(LevelBasic,MATCH($H1480,LevelList,0))*INDEX(LevelBonus,MATCH($H1480,LevelList,0))+(INDEX(LevelBasic,MATCH($H1480,LevelList,0))+INDEX(LevelHousing,MATCH($H1480,LevelList,0)))*GosiSaudi,0))</f>
        <v>0</v>
      </c>
      <c r="W1480" s="35" t="n">
        <f aca="false">IFERROR(INDEX(LevelOneOff,MATCH($H1480,LevelList,0)),0)</f>
        <v>0</v>
      </c>
      <c r="X1480" s="35" t="str">
        <f aca="false">IF($G1480="","",$V1480*N($L1480))</f>
        <v/>
      </c>
      <c r="Y1480" s="35" t="str">
        <f aca="false">IF($G1480="","",$V1480*(N($M1480)*1+N($N1480)*0.75+N($O1480)*0.5+N($P1480)*0.25)+$W1480*N($L1480))</f>
        <v/>
      </c>
      <c r="Z1480" s="35" t="str">
        <f aca="false">IF($G1480="","",$U1480*1000000+ROW())</f>
        <v/>
      </c>
      <c r="AA1480" s="36" t="str">
        <f aca="false">IF($G1480="","",MID(IF($C1480="",", no division","")&amp;IF($E1480="",", no unit","")&amp;IF($H1480="",", no career level","")&amp;IF(N($L1480)&lt;=0,", no quarter split","")&amp;IF($R1480="",", no driver","")&amp;IF(AND($H1480&lt;&gt;"",COUNTIF(CareerLevels,$H1480)=0),", a career level that is not on the ladder","")&amp;IF(AND($R1480&lt;&gt;"",COUNTIF(DriverList,$R1480)=0),", a driver that is not on the list","")&amp;IF(ABS(N($L1480)-(N($M1480)+N($N1480)+N($O1480)+N($P1480)))&gt;0.001,", a total that does not match its quarters",""),3,300))</f>
        <v/>
      </c>
    </row>
    <row r="1481" customFormat="false" ht="15" hidden="false" customHeight="false" outlineLevel="0" collapsed="false">
      <c r="A1481" s="33" t="str">
        <f aca="false">IF($G1481="","","Operations Group")</f>
        <v/>
      </c>
      <c r="B1481" s="19"/>
      <c r="C1481" s="19"/>
      <c r="D1481" s="19"/>
      <c r="E1481" s="19"/>
      <c r="F1481" s="19"/>
      <c r="G1481" s="19"/>
      <c r="H1481" s="19"/>
      <c r="I1481" s="19"/>
      <c r="J1481" s="19"/>
      <c r="K1481" s="19"/>
      <c r="L1481" s="19"/>
      <c r="M1481" s="19"/>
      <c r="N1481" s="19"/>
      <c r="O1481" s="19"/>
      <c r="P1481" s="19"/>
      <c r="Q1481" s="19"/>
      <c r="R1481" s="19"/>
      <c r="S1481" s="19"/>
      <c r="T1481" s="34" t="str">
        <f aca="false">IF($R1481="","",IFERROR(INDEX(DriverCategory,MATCH($R1481,DriverList,0)),"BAU"))</f>
        <v/>
      </c>
      <c r="U1481" s="34" t="str">
        <f aca="false">IF($R1481="","",IFERROR(INDEX(DriverRank,MATCH($R1481,DriverList,0)),99))</f>
        <v/>
      </c>
      <c r="V1481" s="35" t="n">
        <f aca="false">IF($H1481="",0,IFERROR(INDEX(LevelBasic,MATCH($H1481,LevelList,0))+INDEX(LevelHousing,MATCH($H1481,LevelList,0))+INDEX(LevelTransport,MATCH($H1481,LevelList,0))+INDEX(LevelBasic,MATCH($H1481,LevelList,0))*INDEX(LevelBonus,MATCH($H1481,LevelList,0))+(INDEX(LevelBasic,MATCH($H1481,LevelList,0))+INDEX(LevelHousing,MATCH($H1481,LevelList,0)))*GosiSaudi,0))</f>
        <v>0</v>
      </c>
      <c r="W1481" s="35" t="n">
        <f aca="false">IFERROR(INDEX(LevelOneOff,MATCH($H1481,LevelList,0)),0)</f>
        <v>0</v>
      </c>
      <c r="X1481" s="35" t="str">
        <f aca="false">IF($G1481="","",$V1481*N($L1481))</f>
        <v/>
      </c>
      <c r="Y1481" s="35" t="str">
        <f aca="false">IF($G1481="","",$V1481*(N($M1481)*1+N($N1481)*0.75+N($O1481)*0.5+N($P1481)*0.25)+$W1481*N($L1481))</f>
        <v/>
      </c>
      <c r="Z1481" s="35" t="str">
        <f aca="false">IF($G1481="","",$U1481*1000000+ROW())</f>
        <v/>
      </c>
      <c r="AA1481" s="36" t="str">
        <f aca="false">IF($G1481="","",MID(IF($C1481="",", no division","")&amp;IF($E1481="",", no unit","")&amp;IF($H1481="",", no career level","")&amp;IF(N($L1481)&lt;=0,", no quarter split","")&amp;IF($R1481="",", no driver","")&amp;IF(AND($H1481&lt;&gt;"",COUNTIF(CareerLevels,$H1481)=0),", a career level that is not on the ladder","")&amp;IF(AND($R1481&lt;&gt;"",COUNTIF(DriverList,$R1481)=0),", a driver that is not on the list","")&amp;IF(ABS(N($L1481)-(N($M1481)+N($N1481)+N($O1481)+N($P1481)))&gt;0.001,", a total that does not match its quarters",""),3,300))</f>
        <v/>
      </c>
    </row>
    <row r="1482" customFormat="false" ht="15" hidden="false" customHeight="false" outlineLevel="0" collapsed="false">
      <c r="A1482" s="33" t="str">
        <f aca="false">IF($G1482="","","Operations Group")</f>
        <v/>
      </c>
      <c r="B1482" s="19"/>
      <c r="C1482" s="19"/>
      <c r="D1482" s="19"/>
      <c r="E1482" s="19"/>
      <c r="F1482" s="19"/>
      <c r="G1482" s="19"/>
      <c r="H1482" s="19"/>
      <c r="I1482" s="19"/>
      <c r="J1482" s="19"/>
      <c r="K1482" s="19"/>
      <c r="L1482" s="19"/>
      <c r="M1482" s="19"/>
      <c r="N1482" s="19"/>
      <c r="O1482" s="19"/>
      <c r="P1482" s="19"/>
      <c r="Q1482" s="19"/>
      <c r="R1482" s="19"/>
      <c r="S1482" s="19"/>
      <c r="T1482" s="34" t="str">
        <f aca="false">IF($R1482="","",IFERROR(INDEX(DriverCategory,MATCH($R1482,DriverList,0)),"BAU"))</f>
        <v/>
      </c>
      <c r="U1482" s="34" t="str">
        <f aca="false">IF($R1482="","",IFERROR(INDEX(DriverRank,MATCH($R1482,DriverList,0)),99))</f>
        <v/>
      </c>
      <c r="V1482" s="35" t="n">
        <f aca="false">IF($H1482="",0,IFERROR(INDEX(LevelBasic,MATCH($H1482,LevelList,0))+INDEX(LevelHousing,MATCH($H1482,LevelList,0))+INDEX(LevelTransport,MATCH($H1482,LevelList,0))+INDEX(LevelBasic,MATCH($H1482,LevelList,0))*INDEX(LevelBonus,MATCH($H1482,LevelList,0))+(INDEX(LevelBasic,MATCH($H1482,LevelList,0))+INDEX(LevelHousing,MATCH($H1482,LevelList,0)))*GosiSaudi,0))</f>
        <v>0</v>
      </c>
      <c r="W1482" s="35" t="n">
        <f aca="false">IFERROR(INDEX(LevelOneOff,MATCH($H1482,LevelList,0)),0)</f>
        <v>0</v>
      </c>
      <c r="X1482" s="35" t="str">
        <f aca="false">IF($G1482="","",$V1482*N($L1482))</f>
        <v/>
      </c>
      <c r="Y1482" s="35" t="str">
        <f aca="false">IF($G1482="","",$V1482*(N($M1482)*1+N($N1482)*0.75+N($O1482)*0.5+N($P1482)*0.25)+$W1482*N($L1482))</f>
        <v/>
      </c>
      <c r="Z1482" s="35" t="str">
        <f aca="false">IF($G1482="","",$U1482*1000000+ROW())</f>
        <v/>
      </c>
      <c r="AA1482" s="36" t="str">
        <f aca="false">IF($G1482="","",MID(IF($C1482="",", no division","")&amp;IF($E1482="",", no unit","")&amp;IF($H1482="",", no career level","")&amp;IF(N($L1482)&lt;=0,", no quarter split","")&amp;IF($R1482="",", no driver","")&amp;IF(AND($H1482&lt;&gt;"",COUNTIF(CareerLevels,$H1482)=0),", a career level that is not on the ladder","")&amp;IF(AND($R1482&lt;&gt;"",COUNTIF(DriverList,$R1482)=0),", a driver that is not on the list","")&amp;IF(ABS(N($L1482)-(N($M1482)+N($N1482)+N($O1482)+N($P1482)))&gt;0.001,", a total that does not match its quarters",""),3,300))</f>
        <v/>
      </c>
    </row>
    <row r="1483" customFormat="false" ht="15" hidden="false" customHeight="false" outlineLevel="0" collapsed="false">
      <c r="A1483" s="33" t="str">
        <f aca="false">IF($G1483="","","Operations Group")</f>
        <v/>
      </c>
      <c r="B1483" s="19"/>
      <c r="C1483" s="19"/>
      <c r="D1483" s="19"/>
      <c r="E1483" s="19"/>
      <c r="F1483" s="19"/>
      <c r="G1483" s="19"/>
      <c r="H1483" s="19"/>
      <c r="I1483" s="19"/>
      <c r="J1483" s="19"/>
      <c r="K1483" s="19"/>
      <c r="L1483" s="19"/>
      <c r="M1483" s="19"/>
      <c r="N1483" s="19"/>
      <c r="O1483" s="19"/>
      <c r="P1483" s="19"/>
      <c r="Q1483" s="19"/>
      <c r="R1483" s="19"/>
      <c r="S1483" s="19"/>
      <c r="T1483" s="34" t="str">
        <f aca="false">IF($R1483="","",IFERROR(INDEX(DriverCategory,MATCH($R1483,DriverList,0)),"BAU"))</f>
        <v/>
      </c>
      <c r="U1483" s="34" t="str">
        <f aca="false">IF($R1483="","",IFERROR(INDEX(DriverRank,MATCH($R1483,DriverList,0)),99))</f>
        <v/>
      </c>
      <c r="V1483" s="35" t="n">
        <f aca="false">IF($H1483="",0,IFERROR(INDEX(LevelBasic,MATCH($H1483,LevelList,0))+INDEX(LevelHousing,MATCH($H1483,LevelList,0))+INDEX(LevelTransport,MATCH($H1483,LevelList,0))+INDEX(LevelBasic,MATCH($H1483,LevelList,0))*INDEX(LevelBonus,MATCH($H1483,LevelList,0))+(INDEX(LevelBasic,MATCH($H1483,LevelList,0))+INDEX(LevelHousing,MATCH($H1483,LevelList,0)))*GosiSaudi,0))</f>
        <v>0</v>
      </c>
      <c r="W1483" s="35" t="n">
        <f aca="false">IFERROR(INDEX(LevelOneOff,MATCH($H1483,LevelList,0)),0)</f>
        <v>0</v>
      </c>
      <c r="X1483" s="35" t="str">
        <f aca="false">IF($G1483="","",$V1483*N($L1483))</f>
        <v/>
      </c>
      <c r="Y1483" s="35" t="str">
        <f aca="false">IF($G1483="","",$V1483*(N($M1483)*1+N($N1483)*0.75+N($O1483)*0.5+N($P1483)*0.25)+$W1483*N($L1483))</f>
        <v/>
      </c>
      <c r="Z1483" s="35" t="str">
        <f aca="false">IF($G1483="","",$U1483*1000000+ROW())</f>
        <v/>
      </c>
      <c r="AA1483" s="36" t="str">
        <f aca="false">IF($G1483="","",MID(IF($C1483="",", no division","")&amp;IF($E1483="",", no unit","")&amp;IF($H1483="",", no career level","")&amp;IF(N($L1483)&lt;=0,", no quarter split","")&amp;IF($R1483="",", no driver","")&amp;IF(AND($H1483&lt;&gt;"",COUNTIF(CareerLevels,$H1483)=0),", a career level that is not on the ladder","")&amp;IF(AND($R1483&lt;&gt;"",COUNTIF(DriverList,$R1483)=0),", a driver that is not on the list","")&amp;IF(ABS(N($L1483)-(N($M1483)+N($N1483)+N($O1483)+N($P1483)))&gt;0.001,", a total that does not match its quarters",""),3,300))</f>
        <v/>
      </c>
    </row>
    <row r="1484" customFormat="false" ht="15" hidden="false" customHeight="false" outlineLevel="0" collapsed="false">
      <c r="A1484" s="33" t="str">
        <f aca="false">IF($G1484="","","Operations Group")</f>
        <v/>
      </c>
      <c r="B1484" s="19"/>
      <c r="C1484" s="19"/>
      <c r="D1484" s="19"/>
      <c r="E1484" s="19"/>
      <c r="F1484" s="19"/>
      <c r="G1484" s="19"/>
      <c r="H1484" s="19"/>
      <c r="I1484" s="19"/>
      <c r="J1484" s="19"/>
      <c r="K1484" s="19"/>
      <c r="L1484" s="19"/>
      <c r="M1484" s="19"/>
      <c r="N1484" s="19"/>
      <c r="O1484" s="19"/>
      <c r="P1484" s="19"/>
      <c r="Q1484" s="19"/>
      <c r="R1484" s="19"/>
      <c r="S1484" s="19"/>
      <c r="T1484" s="34" t="str">
        <f aca="false">IF($R1484="","",IFERROR(INDEX(DriverCategory,MATCH($R1484,DriverList,0)),"BAU"))</f>
        <v/>
      </c>
      <c r="U1484" s="34" t="str">
        <f aca="false">IF($R1484="","",IFERROR(INDEX(DriverRank,MATCH($R1484,DriverList,0)),99))</f>
        <v/>
      </c>
      <c r="V1484" s="35" t="n">
        <f aca="false">IF($H1484="",0,IFERROR(INDEX(LevelBasic,MATCH($H1484,LevelList,0))+INDEX(LevelHousing,MATCH($H1484,LevelList,0))+INDEX(LevelTransport,MATCH($H1484,LevelList,0))+INDEX(LevelBasic,MATCH($H1484,LevelList,0))*INDEX(LevelBonus,MATCH($H1484,LevelList,0))+(INDEX(LevelBasic,MATCH($H1484,LevelList,0))+INDEX(LevelHousing,MATCH($H1484,LevelList,0)))*GosiSaudi,0))</f>
        <v>0</v>
      </c>
      <c r="W1484" s="35" t="n">
        <f aca="false">IFERROR(INDEX(LevelOneOff,MATCH($H1484,LevelList,0)),0)</f>
        <v>0</v>
      </c>
      <c r="X1484" s="35" t="str">
        <f aca="false">IF($G1484="","",$V1484*N($L1484))</f>
        <v/>
      </c>
      <c r="Y1484" s="35" t="str">
        <f aca="false">IF($G1484="","",$V1484*(N($M1484)*1+N($N1484)*0.75+N($O1484)*0.5+N($P1484)*0.25)+$W1484*N($L1484))</f>
        <v/>
      </c>
      <c r="Z1484" s="35" t="str">
        <f aca="false">IF($G1484="","",$U1484*1000000+ROW())</f>
        <v/>
      </c>
      <c r="AA1484" s="36" t="str">
        <f aca="false">IF($G1484="","",MID(IF($C1484="",", no division","")&amp;IF($E1484="",", no unit","")&amp;IF($H1484="",", no career level","")&amp;IF(N($L1484)&lt;=0,", no quarter split","")&amp;IF($R1484="",", no driver","")&amp;IF(AND($H1484&lt;&gt;"",COUNTIF(CareerLevels,$H1484)=0),", a career level that is not on the ladder","")&amp;IF(AND($R1484&lt;&gt;"",COUNTIF(DriverList,$R1484)=0),", a driver that is not on the list","")&amp;IF(ABS(N($L1484)-(N($M1484)+N($N1484)+N($O1484)+N($P1484)))&gt;0.001,", a total that does not match its quarters",""),3,300))</f>
        <v/>
      </c>
    </row>
    <row r="1485" customFormat="false" ht="15" hidden="false" customHeight="false" outlineLevel="0" collapsed="false">
      <c r="A1485" s="33" t="str">
        <f aca="false">IF($G1485="","","Operations Group")</f>
        <v/>
      </c>
      <c r="B1485" s="19"/>
      <c r="C1485" s="19"/>
      <c r="D1485" s="19"/>
      <c r="E1485" s="19"/>
      <c r="F1485" s="19"/>
      <c r="G1485" s="19"/>
      <c r="H1485" s="19"/>
      <c r="I1485" s="19"/>
      <c r="J1485" s="19"/>
      <c r="K1485" s="19"/>
      <c r="L1485" s="19"/>
      <c r="M1485" s="19"/>
      <c r="N1485" s="19"/>
      <c r="O1485" s="19"/>
      <c r="P1485" s="19"/>
      <c r="Q1485" s="19"/>
      <c r="R1485" s="19"/>
      <c r="S1485" s="19"/>
      <c r="T1485" s="34" t="str">
        <f aca="false">IF($R1485="","",IFERROR(INDEX(DriverCategory,MATCH($R1485,DriverList,0)),"BAU"))</f>
        <v/>
      </c>
      <c r="U1485" s="34" t="str">
        <f aca="false">IF($R1485="","",IFERROR(INDEX(DriverRank,MATCH($R1485,DriverList,0)),99))</f>
        <v/>
      </c>
      <c r="V1485" s="35" t="n">
        <f aca="false">IF($H1485="",0,IFERROR(INDEX(LevelBasic,MATCH($H1485,LevelList,0))+INDEX(LevelHousing,MATCH($H1485,LevelList,0))+INDEX(LevelTransport,MATCH($H1485,LevelList,0))+INDEX(LevelBasic,MATCH($H1485,LevelList,0))*INDEX(LevelBonus,MATCH($H1485,LevelList,0))+(INDEX(LevelBasic,MATCH($H1485,LevelList,0))+INDEX(LevelHousing,MATCH($H1485,LevelList,0)))*GosiSaudi,0))</f>
        <v>0</v>
      </c>
      <c r="W1485" s="35" t="n">
        <f aca="false">IFERROR(INDEX(LevelOneOff,MATCH($H1485,LevelList,0)),0)</f>
        <v>0</v>
      </c>
      <c r="X1485" s="35" t="str">
        <f aca="false">IF($G1485="","",$V1485*N($L1485))</f>
        <v/>
      </c>
      <c r="Y1485" s="35" t="str">
        <f aca="false">IF($G1485="","",$V1485*(N($M1485)*1+N($N1485)*0.75+N($O1485)*0.5+N($P1485)*0.25)+$W1485*N($L1485))</f>
        <v/>
      </c>
      <c r="Z1485" s="35" t="str">
        <f aca="false">IF($G1485="","",$U1485*1000000+ROW())</f>
        <v/>
      </c>
      <c r="AA1485" s="36" t="str">
        <f aca="false">IF($G1485="","",MID(IF($C1485="",", no division","")&amp;IF($E1485="",", no unit","")&amp;IF($H1485="",", no career level","")&amp;IF(N($L1485)&lt;=0,", no quarter split","")&amp;IF($R1485="",", no driver","")&amp;IF(AND($H1485&lt;&gt;"",COUNTIF(CareerLevels,$H1485)=0),", a career level that is not on the ladder","")&amp;IF(AND($R1485&lt;&gt;"",COUNTIF(DriverList,$R1485)=0),", a driver that is not on the list","")&amp;IF(ABS(N($L1485)-(N($M1485)+N($N1485)+N($O1485)+N($P1485)))&gt;0.001,", a total that does not match its quarters",""),3,300))</f>
        <v/>
      </c>
    </row>
    <row r="1486" customFormat="false" ht="15" hidden="false" customHeight="false" outlineLevel="0" collapsed="false">
      <c r="A1486" s="33" t="str">
        <f aca="false">IF($G1486="","","Operations Group")</f>
        <v/>
      </c>
      <c r="B1486" s="19"/>
      <c r="C1486" s="19"/>
      <c r="D1486" s="19"/>
      <c r="E1486" s="19"/>
      <c r="F1486" s="19"/>
      <c r="G1486" s="19"/>
      <c r="H1486" s="19"/>
      <c r="I1486" s="19"/>
      <c r="J1486" s="19"/>
      <c r="K1486" s="19"/>
      <c r="L1486" s="19"/>
      <c r="M1486" s="19"/>
      <c r="N1486" s="19"/>
      <c r="O1486" s="19"/>
      <c r="P1486" s="19"/>
      <c r="Q1486" s="19"/>
      <c r="R1486" s="19"/>
      <c r="S1486" s="19"/>
      <c r="T1486" s="34" t="str">
        <f aca="false">IF($R1486="","",IFERROR(INDEX(DriverCategory,MATCH($R1486,DriverList,0)),"BAU"))</f>
        <v/>
      </c>
      <c r="U1486" s="34" t="str">
        <f aca="false">IF($R1486="","",IFERROR(INDEX(DriverRank,MATCH($R1486,DriverList,0)),99))</f>
        <v/>
      </c>
      <c r="V1486" s="35" t="n">
        <f aca="false">IF($H1486="",0,IFERROR(INDEX(LevelBasic,MATCH($H1486,LevelList,0))+INDEX(LevelHousing,MATCH($H1486,LevelList,0))+INDEX(LevelTransport,MATCH($H1486,LevelList,0))+INDEX(LevelBasic,MATCH($H1486,LevelList,0))*INDEX(LevelBonus,MATCH($H1486,LevelList,0))+(INDEX(LevelBasic,MATCH($H1486,LevelList,0))+INDEX(LevelHousing,MATCH($H1486,LevelList,0)))*GosiSaudi,0))</f>
        <v>0</v>
      </c>
      <c r="W1486" s="35" t="n">
        <f aca="false">IFERROR(INDEX(LevelOneOff,MATCH($H1486,LevelList,0)),0)</f>
        <v>0</v>
      </c>
      <c r="X1486" s="35" t="str">
        <f aca="false">IF($G1486="","",$V1486*N($L1486))</f>
        <v/>
      </c>
      <c r="Y1486" s="35" t="str">
        <f aca="false">IF($G1486="","",$V1486*(N($M1486)*1+N($N1486)*0.75+N($O1486)*0.5+N($P1486)*0.25)+$W1486*N($L1486))</f>
        <v/>
      </c>
      <c r="Z1486" s="35" t="str">
        <f aca="false">IF($G1486="","",$U1486*1000000+ROW())</f>
        <v/>
      </c>
      <c r="AA1486" s="36" t="str">
        <f aca="false">IF($G1486="","",MID(IF($C1486="",", no division","")&amp;IF($E1486="",", no unit","")&amp;IF($H1486="",", no career level","")&amp;IF(N($L1486)&lt;=0,", no quarter split","")&amp;IF($R1486="",", no driver","")&amp;IF(AND($H1486&lt;&gt;"",COUNTIF(CareerLevels,$H1486)=0),", a career level that is not on the ladder","")&amp;IF(AND($R1486&lt;&gt;"",COUNTIF(DriverList,$R1486)=0),", a driver that is not on the list","")&amp;IF(ABS(N($L1486)-(N($M1486)+N($N1486)+N($O1486)+N($P1486)))&gt;0.001,", a total that does not match its quarters",""),3,300))</f>
        <v/>
      </c>
    </row>
    <row r="1487" customFormat="false" ht="15" hidden="false" customHeight="false" outlineLevel="0" collapsed="false">
      <c r="A1487" s="33" t="str">
        <f aca="false">IF($G1487="","","Operations Group")</f>
        <v/>
      </c>
      <c r="B1487" s="19"/>
      <c r="C1487" s="19"/>
      <c r="D1487" s="19"/>
      <c r="E1487" s="19"/>
      <c r="F1487" s="19"/>
      <c r="G1487" s="19"/>
      <c r="H1487" s="19"/>
      <c r="I1487" s="19"/>
      <c r="J1487" s="19"/>
      <c r="K1487" s="19"/>
      <c r="L1487" s="19"/>
      <c r="M1487" s="19"/>
      <c r="N1487" s="19"/>
      <c r="O1487" s="19"/>
      <c r="P1487" s="19"/>
      <c r="Q1487" s="19"/>
      <c r="R1487" s="19"/>
      <c r="S1487" s="19"/>
      <c r="T1487" s="34" t="str">
        <f aca="false">IF($R1487="","",IFERROR(INDEX(DriverCategory,MATCH($R1487,DriverList,0)),"BAU"))</f>
        <v/>
      </c>
      <c r="U1487" s="34" t="str">
        <f aca="false">IF($R1487="","",IFERROR(INDEX(DriverRank,MATCH($R1487,DriverList,0)),99))</f>
        <v/>
      </c>
      <c r="V1487" s="35" t="n">
        <f aca="false">IF($H1487="",0,IFERROR(INDEX(LevelBasic,MATCH($H1487,LevelList,0))+INDEX(LevelHousing,MATCH($H1487,LevelList,0))+INDEX(LevelTransport,MATCH($H1487,LevelList,0))+INDEX(LevelBasic,MATCH($H1487,LevelList,0))*INDEX(LevelBonus,MATCH($H1487,LevelList,0))+(INDEX(LevelBasic,MATCH($H1487,LevelList,0))+INDEX(LevelHousing,MATCH($H1487,LevelList,0)))*GosiSaudi,0))</f>
        <v>0</v>
      </c>
      <c r="W1487" s="35" t="n">
        <f aca="false">IFERROR(INDEX(LevelOneOff,MATCH($H1487,LevelList,0)),0)</f>
        <v>0</v>
      </c>
      <c r="X1487" s="35" t="str">
        <f aca="false">IF($G1487="","",$V1487*N($L1487))</f>
        <v/>
      </c>
      <c r="Y1487" s="35" t="str">
        <f aca="false">IF($G1487="","",$V1487*(N($M1487)*1+N($N1487)*0.75+N($O1487)*0.5+N($P1487)*0.25)+$W1487*N($L1487))</f>
        <v/>
      </c>
      <c r="Z1487" s="35" t="str">
        <f aca="false">IF($G1487="","",$U1487*1000000+ROW())</f>
        <v/>
      </c>
      <c r="AA1487" s="36" t="str">
        <f aca="false">IF($G1487="","",MID(IF($C1487="",", no division","")&amp;IF($E1487="",", no unit","")&amp;IF($H1487="",", no career level","")&amp;IF(N($L1487)&lt;=0,", no quarter split","")&amp;IF($R1487="",", no driver","")&amp;IF(AND($H1487&lt;&gt;"",COUNTIF(CareerLevels,$H1487)=0),", a career level that is not on the ladder","")&amp;IF(AND($R1487&lt;&gt;"",COUNTIF(DriverList,$R1487)=0),", a driver that is not on the list","")&amp;IF(ABS(N($L1487)-(N($M1487)+N($N1487)+N($O1487)+N($P1487)))&gt;0.001,", a total that does not match its quarters",""),3,300))</f>
        <v/>
      </c>
    </row>
    <row r="1488" customFormat="false" ht="15" hidden="false" customHeight="false" outlineLevel="0" collapsed="false">
      <c r="A1488" s="33" t="str">
        <f aca="false">IF($G1488="","","Operations Group")</f>
        <v/>
      </c>
      <c r="B1488" s="19"/>
      <c r="C1488" s="19"/>
      <c r="D1488" s="19"/>
      <c r="E1488" s="19"/>
      <c r="F1488" s="19"/>
      <c r="G1488" s="19"/>
      <c r="H1488" s="19"/>
      <c r="I1488" s="19"/>
      <c r="J1488" s="19"/>
      <c r="K1488" s="19"/>
      <c r="L1488" s="19"/>
      <c r="M1488" s="19"/>
      <c r="N1488" s="19"/>
      <c r="O1488" s="19"/>
      <c r="P1488" s="19"/>
      <c r="Q1488" s="19"/>
      <c r="R1488" s="19"/>
      <c r="S1488" s="19"/>
      <c r="T1488" s="34" t="str">
        <f aca="false">IF($R1488="","",IFERROR(INDEX(DriverCategory,MATCH($R1488,DriverList,0)),"BAU"))</f>
        <v/>
      </c>
      <c r="U1488" s="34" t="str">
        <f aca="false">IF($R1488="","",IFERROR(INDEX(DriverRank,MATCH($R1488,DriverList,0)),99))</f>
        <v/>
      </c>
      <c r="V1488" s="35" t="n">
        <f aca="false">IF($H1488="",0,IFERROR(INDEX(LevelBasic,MATCH($H1488,LevelList,0))+INDEX(LevelHousing,MATCH($H1488,LevelList,0))+INDEX(LevelTransport,MATCH($H1488,LevelList,0))+INDEX(LevelBasic,MATCH($H1488,LevelList,0))*INDEX(LevelBonus,MATCH($H1488,LevelList,0))+(INDEX(LevelBasic,MATCH($H1488,LevelList,0))+INDEX(LevelHousing,MATCH($H1488,LevelList,0)))*GosiSaudi,0))</f>
        <v>0</v>
      </c>
      <c r="W1488" s="35" t="n">
        <f aca="false">IFERROR(INDEX(LevelOneOff,MATCH($H1488,LevelList,0)),0)</f>
        <v>0</v>
      </c>
      <c r="X1488" s="35" t="str">
        <f aca="false">IF($G1488="","",$V1488*N($L1488))</f>
        <v/>
      </c>
      <c r="Y1488" s="35" t="str">
        <f aca="false">IF($G1488="","",$V1488*(N($M1488)*1+N($N1488)*0.75+N($O1488)*0.5+N($P1488)*0.25)+$W1488*N($L1488))</f>
        <v/>
      </c>
      <c r="Z1488" s="35" t="str">
        <f aca="false">IF($G1488="","",$U1488*1000000+ROW())</f>
        <v/>
      </c>
      <c r="AA1488" s="36" t="str">
        <f aca="false">IF($G1488="","",MID(IF($C1488="",", no division","")&amp;IF($E1488="",", no unit","")&amp;IF($H1488="",", no career level","")&amp;IF(N($L1488)&lt;=0,", no quarter split","")&amp;IF($R1488="",", no driver","")&amp;IF(AND($H1488&lt;&gt;"",COUNTIF(CareerLevels,$H1488)=0),", a career level that is not on the ladder","")&amp;IF(AND($R1488&lt;&gt;"",COUNTIF(DriverList,$R1488)=0),", a driver that is not on the list","")&amp;IF(ABS(N($L1488)-(N($M1488)+N($N1488)+N($O1488)+N($P1488)))&gt;0.001,", a total that does not match its quarters",""),3,300))</f>
        <v/>
      </c>
    </row>
    <row r="1489" customFormat="false" ht="15" hidden="false" customHeight="false" outlineLevel="0" collapsed="false">
      <c r="A1489" s="33" t="str">
        <f aca="false">IF($G1489="","","Operations Group")</f>
        <v/>
      </c>
      <c r="B1489" s="19"/>
      <c r="C1489" s="19"/>
      <c r="D1489" s="19"/>
      <c r="E1489" s="19"/>
      <c r="F1489" s="19"/>
      <c r="G1489" s="19"/>
      <c r="H1489" s="19"/>
      <c r="I1489" s="19"/>
      <c r="J1489" s="19"/>
      <c r="K1489" s="19"/>
      <c r="L1489" s="19"/>
      <c r="M1489" s="19"/>
      <c r="N1489" s="19"/>
      <c r="O1489" s="19"/>
      <c r="P1489" s="19"/>
      <c r="Q1489" s="19"/>
      <c r="R1489" s="19"/>
      <c r="S1489" s="19"/>
      <c r="T1489" s="34" t="str">
        <f aca="false">IF($R1489="","",IFERROR(INDEX(DriverCategory,MATCH($R1489,DriverList,0)),"BAU"))</f>
        <v/>
      </c>
      <c r="U1489" s="34" t="str">
        <f aca="false">IF($R1489="","",IFERROR(INDEX(DriverRank,MATCH($R1489,DriverList,0)),99))</f>
        <v/>
      </c>
      <c r="V1489" s="35" t="n">
        <f aca="false">IF($H1489="",0,IFERROR(INDEX(LevelBasic,MATCH($H1489,LevelList,0))+INDEX(LevelHousing,MATCH($H1489,LevelList,0))+INDEX(LevelTransport,MATCH($H1489,LevelList,0))+INDEX(LevelBasic,MATCH($H1489,LevelList,0))*INDEX(LevelBonus,MATCH($H1489,LevelList,0))+(INDEX(LevelBasic,MATCH($H1489,LevelList,0))+INDEX(LevelHousing,MATCH($H1489,LevelList,0)))*GosiSaudi,0))</f>
        <v>0</v>
      </c>
      <c r="W1489" s="35" t="n">
        <f aca="false">IFERROR(INDEX(LevelOneOff,MATCH($H1489,LevelList,0)),0)</f>
        <v>0</v>
      </c>
      <c r="X1489" s="35" t="str">
        <f aca="false">IF($G1489="","",$V1489*N($L1489))</f>
        <v/>
      </c>
      <c r="Y1489" s="35" t="str">
        <f aca="false">IF($G1489="","",$V1489*(N($M1489)*1+N($N1489)*0.75+N($O1489)*0.5+N($P1489)*0.25)+$W1489*N($L1489))</f>
        <v/>
      </c>
      <c r="Z1489" s="35" t="str">
        <f aca="false">IF($G1489="","",$U1489*1000000+ROW())</f>
        <v/>
      </c>
      <c r="AA1489" s="36" t="str">
        <f aca="false">IF($G1489="","",MID(IF($C1489="",", no division","")&amp;IF($E1489="",", no unit","")&amp;IF($H1489="",", no career level","")&amp;IF(N($L1489)&lt;=0,", no quarter split","")&amp;IF($R1489="",", no driver","")&amp;IF(AND($H1489&lt;&gt;"",COUNTIF(CareerLevels,$H1489)=0),", a career level that is not on the ladder","")&amp;IF(AND($R1489&lt;&gt;"",COUNTIF(DriverList,$R1489)=0),", a driver that is not on the list","")&amp;IF(ABS(N($L1489)-(N($M1489)+N($N1489)+N($O1489)+N($P1489)))&gt;0.001,", a total that does not match its quarters",""),3,300))</f>
        <v/>
      </c>
    </row>
    <row r="1490" customFormat="false" ht="15" hidden="false" customHeight="false" outlineLevel="0" collapsed="false">
      <c r="A1490" s="33" t="str">
        <f aca="false">IF($G1490="","","Operations Group")</f>
        <v/>
      </c>
      <c r="B1490" s="19"/>
      <c r="C1490" s="19"/>
      <c r="D1490" s="19"/>
      <c r="E1490" s="19"/>
      <c r="F1490" s="19"/>
      <c r="G1490" s="19"/>
      <c r="H1490" s="19"/>
      <c r="I1490" s="19"/>
      <c r="J1490" s="19"/>
      <c r="K1490" s="19"/>
      <c r="L1490" s="19"/>
      <c r="M1490" s="19"/>
      <c r="N1490" s="19"/>
      <c r="O1490" s="19"/>
      <c r="P1490" s="19"/>
      <c r="Q1490" s="19"/>
      <c r="R1490" s="19"/>
      <c r="S1490" s="19"/>
      <c r="T1490" s="34" t="str">
        <f aca="false">IF($R1490="","",IFERROR(INDEX(DriverCategory,MATCH($R1490,DriverList,0)),"BAU"))</f>
        <v/>
      </c>
      <c r="U1490" s="34" t="str">
        <f aca="false">IF($R1490="","",IFERROR(INDEX(DriverRank,MATCH($R1490,DriverList,0)),99))</f>
        <v/>
      </c>
      <c r="V1490" s="35" t="n">
        <f aca="false">IF($H1490="",0,IFERROR(INDEX(LevelBasic,MATCH($H1490,LevelList,0))+INDEX(LevelHousing,MATCH($H1490,LevelList,0))+INDEX(LevelTransport,MATCH($H1490,LevelList,0))+INDEX(LevelBasic,MATCH($H1490,LevelList,0))*INDEX(LevelBonus,MATCH($H1490,LevelList,0))+(INDEX(LevelBasic,MATCH($H1490,LevelList,0))+INDEX(LevelHousing,MATCH($H1490,LevelList,0)))*GosiSaudi,0))</f>
        <v>0</v>
      </c>
      <c r="W1490" s="35" t="n">
        <f aca="false">IFERROR(INDEX(LevelOneOff,MATCH($H1490,LevelList,0)),0)</f>
        <v>0</v>
      </c>
      <c r="X1490" s="35" t="str">
        <f aca="false">IF($G1490="","",$V1490*N($L1490))</f>
        <v/>
      </c>
      <c r="Y1490" s="35" t="str">
        <f aca="false">IF($G1490="","",$V1490*(N($M1490)*1+N($N1490)*0.75+N($O1490)*0.5+N($P1490)*0.25)+$W1490*N($L1490))</f>
        <v/>
      </c>
      <c r="Z1490" s="35" t="str">
        <f aca="false">IF($G1490="","",$U1490*1000000+ROW())</f>
        <v/>
      </c>
      <c r="AA1490" s="36" t="str">
        <f aca="false">IF($G1490="","",MID(IF($C1490="",", no division","")&amp;IF($E1490="",", no unit","")&amp;IF($H1490="",", no career level","")&amp;IF(N($L1490)&lt;=0,", no quarter split","")&amp;IF($R1490="",", no driver","")&amp;IF(AND($H1490&lt;&gt;"",COUNTIF(CareerLevels,$H1490)=0),", a career level that is not on the ladder","")&amp;IF(AND($R1490&lt;&gt;"",COUNTIF(DriverList,$R1490)=0),", a driver that is not on the list","")&amp;IF(ABS(N($L1490)-(N($M1490)+N($N1490)+N($O1490)+N($P1490)))&gt;0.001,", a total that does not match its quarters",""),3,300))</f>
        <v/>
      </c>
    </row>
    <row r="1491" customFormat="false" ht="15" hidden="false" customHeight="false" outlineLevel="0" collapsed="false">
      <c r="A1491" s="33" t="str">
        <f aca="false">IF($G1491="","","Operations Group")</f>
        <v/>
      </c>
      <c r="B1491" s="19"/>
      <c r="C1491" s="19"/>
      <c r="D1491" s="19"/>
      <c r="E1491" s="19"/>
      <c r="F1491" s="19"/>
      <c r="G1491" s="19"/>
      <c r="H1491" s="19"/>
      <c r="I1491" s="19"/>
      <c r="J1491" s="19"/>
      <c r="K1491" s="19"/>
      <c r="L1491" s="19"/>
      <c r="M1491" s="19"/>
      <c r="N1491" s="19"/>
      <c r="O1491" s="19"/>
      <c r="P1491" s="19"/>
      <c r="Q1491" s="19"/>
      <c r="R1491" s="19"/>
      <c r="S1491" s="19"/>
      <c r="T1491" s="34" t="str">
        <f aca="false">IF($R1491="","",IFERROR(INDEX(DriverCategory,MATCH($R1491,DriverList,0)),"BAU"))</f>
        <v/>
      </c>
      <c r="U1491" s="34" t="str">
        <f aca="false">IF($R1491="","",IFERROR(INDEX(DriverRank,MATCH($R1491,DriverList,0)),99))</f>
        <v/>
      </c>
      <c r="V1491" s="35" t="n">
        <f aca="false">IF($H1491="",0,IFERROR(INDEX(LevelBasic,MATCH($H1491,LevelList,0))+INDEX(LevelHousing,MATCH($H1491,LevelList,0))+INDEX(LevelTransport,MATCH($H1491,LevelList,0))+INDEX(LevelBasic,MATCH($H1491,LevelList,0))*INDEX(LevelBonus,MATCH($H1491,LevelList,0))+(INDEX(LevelBasic,MATCH($H1491,LevelList,0))+INDEX(LevelHousing,MATCH($H1491,LevelList,0)))*GosiSaudi,0))</f>
        <v>0</v>
      </c>
      <c r="W1491" s="35" t="n">
        <f aca="false">IFERROR(INDEX(LevelOneOff,MATCH($H1491,LevelList,0)),0)</f>
        <v>0</v>
      </c>
      <c r="X1491" s="35" t="str">
        <f aca="false">IF($G1491="","",$V1491*N($L1491))</f>
        <v/>
      </c>
      <c r="Y1491" s="35" t="str">
        <f aca="false">IF($G1491="","",$V1491*(N($M1491)*1+N($N1491)*0.75+N($O1491)*0.5+N($P1491)*0.25)+$W1491*N($L1491))</f>
        <v/>
      </c>
      <c r="Z1491" s="35" t="str">
        <f aca="false">IF($G1491="","",$U1491*1000000+ROW())</f>
        <v/>
      </c>
      <c r="AA1491" s="36" t="str">
        <f aca="false">IF($G1491="","",MID(IF($C1491="",", no division","")&amp;IF($E1491="",", no unit","")&amp;IF($H1491="",", no career level","")&amp;IF(N($L1491)&lt;=0,", no quarter split","")&amp;IF($R1491="",", no driver","")&amp;IF(AND($H1491&lt;&gt;"",COUNTIF(CareerLevels,$H1491)=0),", a career level that is not on the ladder","")&amp;IF(AND($R1491&lt;&gt;"",COUNTIF(DriverList,$R1491)=0),", a driver that is not on the list","")&amp;IF(ABS(N($L1491)-(N($M1491)+N($N1491)+N($O1491)+N($P1491)))&gt;0.001,", a total that does not match its quarters",""),3,300))</f>
        <v/>
      </c>
    </row>
    <row r="1492" customFormat="false" ht="15" hidden="false" customHeight="false" outlineLevel="0" collapsed="false">
      <c r="A1492" s="33" t="str">
        <f aca="false">IF($G1492="","","Operations Group")</f>
        <v/>
      </c>
      <c r="B1492" s="19"/>
      <c r="C1492" s="19"/>
      <c r="D1492" s="19"/>
      <c r="E1492" s="19"/>
      <c r="F1492" s="19"/>
      <c r="G1492" s="19"/>
      <c r="H1492" s="19"/>
      <c r="I1492" s="19"/>
      <c r="J1492" s="19"/>
      <c r="K1492" s="19"/>
      <c r="L1492" s="19"/>
      <c r="M1492" s="19"/>
      <c r="N1492" s="19"/>
      <c r="O1492" s="19"/>
      <c r="P1492" s="19"/>
      <c r="Q1492" s="19"/>
      <c r="R1492" s="19"/>
      <c r="S1492" s="19"/>
      <c r="T1492" s="34" t="str">
        <f aca="false">IF($R1492="","",IFERROR(INDEX(DriverCategory,MATCH($R1492,DriverList,0)),"BAU"))</f>
        <v/>
      </c>
      <c r="U1492" s="34" t="str">
        <f aca="false">IF($R1492="","",IFERROR(INDEX(DriverRank,MATCH($R1492,DriverList,0)),99))</f>
        <v/>
      </c>
      <c r="V1492" s="35" t="n">
        <f aca="false">IF($H1492="",0,IFERROR(INDEX(LevelBasic,MATCH($H1492,LevelList,0))+INDEX(LevelHousing,MATCH($H1492,LevelList,0))+INDEX(LevelTransport,MATCH($H1492,LevelList,0))+INDEX(LevelBasic,MATCH($H1492,LevelList,0))*INDEX(LevelBonus,MATCH($H1492,LevelList,0))+(INDEX(LevelBasic,MATCH($H1492,LevelList,0))+INDEX(LevelHousing,MATCH($H1492,LevelList,0)))*GosiSaudi,0))</f>
        <v>0</v>
      </c>
      <c r="W1492" s="35" t="n">
        <f aca="false">IFERROR(INDEX(LevelOneOff,MATCH($H1492,LevelList,0)),0)</f>
        <v>0</v>
      </c>
      <c r="X1492" s="35" t="str">
        <f aca="false">IF($G1492="","",$V1492*N($L1492))</f>
        <v/>
      </c>
      <c r="Y1492" s="35" t="str">
        <f aca="false">IF($G1492="","",$V1492*(N($M1492)*1+N($N1492)*0.75+N($O1492)*0.5+N($P1492)*0.25)+$W1492*N($L1492))</f>
        <v/>
      </c>
      <c r="Z1492" s="35" t="str">
        <f aca="false">IF($G1492="","",$U1492*1000000+ROW())</f>
        <v/>
      </c>
      <c r="AA1492" s="36" t="str">
        <f aca="false">IF($G1492="","",MID(IF($C1492="",", no division","")&amp;IF($E1492="",", no unit","")&amp;IF($H1492="",", no career level","")&amp;IF(N($L1492)&lt;=0,", no quarter split","")&amp;IF($R1492="",", no driver","")&amp;IF(AND($H1492&lt;&gt;"",COUNTIF(CareerLevels,$H1492)=0),", a career level that is not on the ladder","")&amp;IF(AND($R1492&lt;&gt;"",COUNTIF(DriverList,$R1492)=0),", a driver that is not on the list","")&amp;IF(ABS(N($L1492)-(N($M1492)+N($N1492)+N($O1492)+N($P1492)))&gt;0.001,", a total that does not match its quarters",""),3,300))</f>
        <v/>
      </c>
    </row>
    <row r="1493" customFormat="false" ht="15" hidden="false" customHeight="false" outlineLevel="0" collapsed="false">
      <c r="A1493" s="33" t="str">
        <f aca="false">IF($G1493="","","Operations Group")</f>
        <v/>
      </c>
      <c r="B1493" s="19"/>
      <c r="C1493" s="19"/>
      <c r="D1493" s="19"/>
      <c r="E1493" s="19"/>
      <c r="F1493" s="19"/>
      <c r="G1493" s="19"/>
      <c r="H1493" s="19"/>
      <c r="I1493" s="19"/>
      <c r="J1493" s="19"/>
      <c r="K1493" s="19"/>
      <c r="L1493" s="19"/>
      <c r="M1493" s="19"/>
      <c r="N1493" s="19"/>
      <c r="O1493" s="19"/>
      <c r="P1493" s="19"/>
      <c r="Q1493" s="19"/>
      <c r="R1493" s="19"/>
      <c r="S1493" s="19"/>
      <c r="T1493" s="34" t="str">
        <f aca="false">IF($R1493="","",IFERROR(INDEX(DriverCategory,MATCH($R1493,DriverList,0)),"BAU"))</f>
        <v/>
      </c>
      <c r="U1493" s="34" t="str">
        <f aca="false">IF($R1493="","",IFERROR(INDEX(DriverRank,MATCH($R1493,DriverList,0)),99))</f>
        <v/>
      </c>
      <c r="V1493" s="35" t="n">
        <f aca="false">IF($H1493="",0,IFERROR(INDEX(LevelBasic,MATCH($H1493,LevelList,0))+INDEX(LevelHousing,MATCH($H1493,LevelList,0))+INDEX(LevelTransport,MATCH($H1493,LevelList,0))+INDEX(LevelBasic,MATCH($H1493,LevelList,0))*INDEX(LevelBonus,MATCH($H1493,LevelList,0))+(INDEX(LevelBasic,MATCH($H1493,LevelList,0))+INDEX(LevelHousing,MATCH($H1493,LevelList,0)))*GosiSaudi,0))</f>
        <v>0</v>
      </c>
      <c r="W1493" s="35" t="n">
        <f aca="false">IFERROR(INDEX(LevelOneOff,MATCH($H1493,LevelList,0)),0)</f>
        <v>0</v>
      </c>
      <c r="X1493" s="35" t="str">
        <f aca="false">IF($G1493="","",$V1493*N($L1493))</f>
        <v/>
      </c>
      <c r="Y1493" s="35" t="str">
        <f aca="false">IF($G1493="","",$V1493*(N($M1493)*1+N($N1493)*0.75+N($O1493)*0.5+N($P1493)*0.25)+$W1493*N($L1493))</f>
        <v/>
      </c>
      <c r="Z1493" s="35" t="str">
        <f aca="false">IF($G1493="","",$U1493*1000000+ROW())</f>
        <v/>
      </c>
      <c r="AA1493" s="36" t="str">
        <f aca="false">IF($G1493="","",MID(IF($C1493="",", no division","")&amp;IF($E1493="",", no unit","")&amp;IF($H1493="",", no career level","")&amp;IF(N($L1493)&lt;=0,", no quarter split","")&amp;IF($R1493="",", no driver","")&amp;IF(AND($H1493&lt;&gt;"",COUNTIF(CareerLevels,$H1493)=0),", a career level that is not on the ladder","")&amp;IF(AND($R1493&lt;&gt;"",COUNTIF(DriverList,$R1493)=0),", a driver that is not on the list","")&amp;IF(ABS(N($L1493)-(N($M1493)+N($N1493)+N($O1493)+N($P1493)))&gt;0.001,", a total that does not match its quarters",""),3,300))</f>
        <v/>
      </c>
    </row>
    <row r="1494" customFormat="false" ht="15" hidden="false" customHeight="false" outlineLevel="0" collapsed="false">
      <c r="A1494" s="33" t="str">
        <f aca="false">IF($G1494="","","Operations Group")</f>
        <v/>
      </c>
      <c r="B1494" s="19"/>
      <c r="C1494" s="19"/>
      <c r="D1494" s="19"/>
      <c r="E1494" s="19"/>
      <c r="F1494" s="19"/>
      <c r="G1494" s="19"/>
      <c r="H1494" s="19"/>
      <c r="I1494" s="19"/>
      <c r="J1494" s="19"/>
      <c r="K1494" s="19"/>
      <c r="L1494" s="19"/>
      <c r="M1494" s="19"/>
      <c r="N1494" s="19"/>
      <c r="O1494" s="19"/>
      <c r="P1494" s="19"/>
      <c r="Q1494" s="19"/>
      <c r="R1494" s="19"/>
      <c r="S1494" s="19"/>
      <c r="T1494" s="34" t="str">
        <f aca="false">IF($R1494="","",IFERROR(INDEX(DriverCategory,MATCH($R1494,DriverList,0)),"BAU"))</f>
        <v/>
      </c>
      <c r="U1494" s="34" t="str">
        <f aca="false">IF($R1494="","",IFERROR(INDEX(DriverRank,MATCH($R1494,DriverList,0)),99))</f>
        <v/>
      </c>
      <c r="V1494" s="35" t="n">
        <f aca="false">IF($H1494="",0,IFERROR(INDEX(LevelBasic,MATCH($H1494,LevelList,0))+INDEX(LevelHousing,MATCH($H1494,LevelList,0))+INDEX(LevelTransport,MATCH($H1494,LevelList,0))+INDEX(LevelBasic,MATCH($H1494,LevelList,0))*INDEX(LevelBonus,MATCH($H1494,LevelList,0))+(INDEX(LevelBasic,MATCH($H1494,LevelList,0))+INDEX(LevelHousing,MATCH($H1494,LevelList,0)))*GosiSaudi,0))</f>
        <v>0</v>
      </c>
      <c r="W1494" s="35" t="n">
        <f aca="false">IFERROR(INDEX(LevelOneOff,MATCH($H1494,LevelList,0)),0)</f>
        <v>0</v>
      </c>
      <c r="X1494" s="35" t="str">
        <f aca="false">IF($G1494="","",$V1494*N($L1494))</f>
        <v/>
      </c>
      <c r="Y1494" s="35" t="str">
        <f aca="false">IF($G1494="","",$V1494*(N($M1494)*1+N($N1494)*0.75+N($O1494)*0.5+N($P1494)*0.25)+$W1494*N($L1494))</f>
        <v/>
      </c>
      <c r="Z1494" s="35" t="str">
        <f aca="false">IF($G1494="","",$U1494*1000000+ROW())</f>
        <v/>
      </c>
      <c r="AA1494" s="36" t="str">
        <f aca="false">IF($G1494="","",MID(IF($C1494="",", no division","")&amp;IF($E1494="",", no unit","")&amp;IF($H1494="",", no career level","")&amp;IF(N($L1494)&lt;=0,", no quarter split","")&amp;IF($R1494="",", no driver","")&amp;IF(AND($H1494&lt;&gt;"",COUNTIF(CareerLevels,$H1494)=0),", a career level that is not on the ladder","")&amp;IF(AND($R1494&lt;&gt;"",COUNTIF(DriverList,$R1494)=0),", a driver that is not on the list","")&amp;IF(ABS(N($L1494)-(N($M1494)+N($N1494)+N($O1494)+N($P1494)))&gt;0.001,", a total that does not match its quarters",""),3,300))</f>
        <v/>
      </c>
    </row>
    <row r="1495" customFormat="false" ht="15" hidden="false" customHeight="false" outlineLevel="0" collapsed="false">
      <c r="A1495" s="33" t="str">
        <f aca="false">IF($G1495="","","Operations Group")</f>
        <v/>
      </c>
      <c r="B1495" s="19"/>
      <c r="C1495" s="19"/>
      <c r="D1495" s="19"/>
      <c r="E1495" s="19"/>
      <c r="F1495" s="19"/>
      <c r="G1495" s="19"/>
      <c r="H1495" s="19"/>
      <c r="I1495" s="19"/>
      <c r="J1495" s="19"/>
      <c r="K1495" s="19"/>
      <c r="L1495" s="19"/>
      <c r="M1495" s="19"/>
      <c r="N1495" s="19"/>
      <c r="O1495" s="19"/>
      <c r="P1495" s="19"/>
      <c r="Q1495" s="19"/>
      <c r="R1495" s="19"/>
      <c r="S1495" s="19"/>
      <c r="T1495" s="34" t="str">
        <f aca="false">IF($R1495="","",IFERROR(INDEX(DriverCategory,MATCH($R1495,DriverList,0)),"BAU"))</f>
        <v/>
      </c>
      <c r="U1495" s="34" t="str">
        <f aca="false">IF($R1495="","",IFERROR(INDEX(DriverRank,MATCH($R1495,DriverList,0)),99))</f>
        <v/>
      </c>
      <c r="V1495" s="35" t="n">
        <f aca="false">IF($H1495="",0,IFERROR(INDEX(LevelBasic,MATCH($H1495,LevelList,0))+INDEX(LevelHousing,MATCH($H1495,LevelList,0))+INDEX(LevelTransport,MATCH($H1495,LevelList,0))+INDEX(LevelBasic,MATCH($H1495,LevelList,0))*INDEX(LevelBonus,MATCH($H1495,LevelList,0))+(INDEX(LevelBasic,MATCH($H1495,LevelList,0))+INDEX(LevelHousing,MATCH($H1495,LevelList,0)))*GosiSaudi,0))</f>
        <v>0</v>
      </c>
      <c r="W1495" s="35" t="n">
        <f aca="false">IFERROR(INDEX(LevelOneOff,MATCH($H1495,LevelList,0)),0)</f>
        <v>0</v>
      </c>
      <c r="X1495" s="35" t="str">
        <f aca="false">IF($G1495="","",$V1495*N($L1495))</f>
        <v/>
      </c>
      <c r="Y1495" s="35" t="str">
        <f aca="false">IF($G1495="","",$V1495*(N($M1495)*1+N($N1495)*0.75+N($O1495)*0.5+N($P1495)*0.25)+$W1495*N($L1495))</f>
        <v/>
      </c>
      <c r="Z1495" s="35" t="str">
        <f aca="false">IF($G1495="","",$U1495*1000000+ROW())</f>
        <v/>
      </c>
      <c r="AA1495" s="36" t="str">
        <f aca="false">IF($G1495="","",MID(IF($C1495="",", no division","")&amp;IF($E1495="",", no unit","")&amp;IF($H1495="",", no career level","")&amp;IF(N($L1495)&lt;=0,", no quarter split","")&amp;IF($R1495="",", no driver","")&amp;IF(AND($H1495&lt;&gt;"",COUNTIF(CareerLevels,$H1495)=0),", a career level that is not on the ladder","")&amp;IF(AND($R1495&lt;&gt;"",COUNTIF(DriverList,$R1495)=0),", a driver that is not on the list","")&amp;IF(ABS(N($L1495)-(N($M1495)+N($N1495)+N($O1495)+N($P1495)))&gt;0.001,", a total that does not match its quarters",""),3,300))</f>
        <v/>
      </c>
    </row>
    <row r="1496" customFormat="false" ht="15" hidden="false" customHeight="false" outlineLevel="0" collapsed="false">
      <c r="A1496" s="33" t="str">
        <f aca="false">IF($G1496="","","Operations Group")</f>
        <v/>
      </c>
      <c r="B1496" s="19"/>
      <c r="C1496" s="19"/>
      <c r="D1496" s="19"/>
      <c r="E1496" s="19"/>
      <c r="F1496" s="19"/>
      <c r="G1496" s="19"/>
      <c r="H1496" s="19"/>
      <c r="I1496" s="19"/>
      <c r="J1496" s="19"/>
      <c r="K1496" s="19"/>
      <c r="L1496" s="19"/>
      <c r="M1496" s="19"/>
      <c r="N1496" s="19"/>
      <c r="O1496" s="19"/>
      <c r="P1496" s="19"/>
      <c r="Q1496" s="19"/>
      <c r="R1496" s="19"/>
      <c r="S1496" s="19"/>
      <c r="T1496" s="34" t="str">
        <f aca="false">IF($R1496="","",IFERROR(INDEX(DriverCategory,MATCH($R1496,DriverList,0)),"BAU"))</f>
        <v/>
      </c>
      <c r="U1496" s="34" t="str">
        <f aca="false">IF($R1496="","",IFERROR(INDEX(DriverRank,MATCH($R1496,DriverList,0)),99))</f>
        <v/>
      </c>
      <c r="V1496" s="35" t="n">
        <f aca="false">IF($H1496="",0,IFERROR(INDEX(LevelBasic,MATCH($H1496,LevelList,0))+INDEX(LevelHousing,MATCH($H1496,LevelList,0))+INDEX(LevelTransport,MATCH($H1496,LevelList,0))+INDEX(LevelBasic,MATCH($H1496,LevelList,0))*INDEX(LevelBonus,MATCH($H1496,LevelList,0))+(INDEX(LevelBasic,MATCH($H1496,LevelList,0))+INDEX(LevelHousing,MATCH($H1496,LevelList,0)))*GosiSaudi,0))</f>
        <v>0</v>
      </c>
      <c r="W1496" s="35" t="n">
        <f aca="false">IFERROR(INDEX(LevelOneOff,MATCH($H1496,LevelList,0)),0)</f>
        <v>0</v>
      </c>
      <c r="X1496" s="35" t="str">
        <f aca="false">IF($G1496="","",$V1496*N($L1496))</f>
        <v/>
      </c>
      <c r="Y1496" s="35" t="str">
        <f aca="false">IF($G1496="","",$V1496*(N($M1496)*1+N($N1496)*0.75+N($O1496)*0.5+N($P1496)*0.25)+$W1496*N($L1496))</f>
        <v/>
      </c>
      <c r="Z1496" s="35" t="str">
        <f aca="false">IF($G1496="","",$U1496*1000000+ROW())</f>
        <v/>
      </c>
      <c r="AA1496" s="36" t="str">
        <f aca="false">IF($G1496="","",MID(IF($C1496="",", no division","")&amp;IF($E1496="",", no unit","")&amp;IF($H1496="",", no career level","")&amp;IF(N($L1496)&lt;=0,", no quarter split","")&amp;IF($R1496="",", no driver","")&amp;IF(AND($H1496&lt;&gt;"",COUNTIF(CareerLevels,$H1496)=0),", a career level that is not on the ladder","")&amp;IF(AND($R1496&lt;&gt;"",COUNTIF(DriverList,$R1496)=0),", a driver that is not on the list","")&amp;IF(ABS(N($L1496)-(N($M1496)+N($N1496)+N($O1496)+N($P1496)))&gt;0.001,", a total that does not match its quarters",""),3,300))</f>
        <v/>
      </c>
    </row>
    <row r="1497" customFormat="false" ht="15" hidden="false" customHeight="false" outlineLevel="0" collapsed="false">
      <c r="A1497" s="33" t="str">
        <f aca="false">IF($G1497="","","Operations Group")</f>
        <v/>
      </c>
      <c r="B1497" s="19"/>
      <c r="C1497" s="19"/>
      <c r="D1497" s="19"/>
      <c r="E1497" s="19"/>
      <c r="F1497" s="19"/>
      <c r="G1497" s="19"/>
      <c r="H1497" s="19"/>
      <c r="I1497" s="19"/>
      <c r="J1497" s="19"/>
      <c r="K1497" s="19"/>
      <c r="L1497" s="19"/>
      <c r="M1497" s="19"/>
      <c r="N1497" s="19"/>
      <c r="O1497" s="19"/>
      <c r="P1497" s="19"/>
      <c r="Q1497" s="19"/>
      <c r="R1497" s="19"/>
      <c r="S1497" s="19"/>
      <c r="T1497" s="34" t="str">
        <f aca="false">IF($R1497="","",IFERROR(INDEX(DriverCategory,MATCH($R1497,DriverList,0)),"BAU"))</f>
        <v/>
      </c>
      <c r="U1497" s="34" t="str">
        <f aca="false">IF($R1497="","",IFERROR(INDEX(DriverRank,MATCH($R1497,DriverList,0)),99))</f>
        <v/>
      </c>
      <c r="V1497" s="35" t="n">
        <f aca="false">IF($H1497="",0,IFERROR(INDEX(LevelBasic,MATCH($H1497,LevelList,0))+INDEX(LevelHousing,MATCH($H1497,LevelList,0))+INDEX(LevelTransport,MATCH($H1497,LevelList,0))+INDEX(LevelBasic,MATCH($H1497,LevelList,0))*INDEX(LevelBonus,MATCH($H1497,LevelList,0))+(INDEX(LevelBasic,MATCH($H1497,LevelList,0))+INDEX(LevelHousing,MATCH($H1497,LevelList,0)))*GosiSaudi,0))</f>
        <v>0</v>
      </c>
      <c r="W1497" s="35" t="n">
        <f aca="false">IFERROR(INDEX(LevelOneOff,MATCH($H1497,LevelList,0)),0)</f>
        <v>0</v>
      </c>
      <c r="X1497" s="35" t="str">
        <f aca="false">IF($G1497="","",$V1497*N($L1497))</f>
        <v/>
      </c>
      <c r="Y1497" s="35" t="str">
        <f aca="false">IF($G1497="","",$V1497*(N($M1497)*1+N($N1497)*0.75+N($O1497)*0.5+N($P1497)*0.25)+$W1497*N($L1497))</f>
        <v/>
      </c>
      <c r="Z1497" s="35" t="str">
        <f aca="false">IF($G1497="","",$U1497*1000000+ROW())</f>
        <v/>
      </c>
      <c r="AA1497" s="36" t="str">
        <f aca="false">IF($G1497="","",MID(IF($C1497="",", no division","")&amp;IF($E1497="",", no unit","")&amp;IF($H1497="",", no career level","")&amp;IF(N($L1497)&lt;=0,", no quarter split","")&amp;IF($R1497="",", no driver","")&amp;IF(AND($H1497&lt;&gt;"",COUNTIF(CareerLevels,$H1497)=0),", a career level that is not on the ladder","")&amp;IF(AND($R1497&lt;&gt;"",COUNTIF(DriverList,$R1497)=0),", a driver that is not on the list","")&amp;IF(ABS(N($L1497)-(N($M1497)+N($N1497)+N($O1497)+N($P1497)))&gt;0.001,", a total that does not match its quarters",""),3,300))</f>
        <v/>
      </c>
    </row>
    <row r="1498" customFormat="false" ht="15" hidden="false" customHeight="false" outlineLevel="0" collapsed="false">
      <c r="A1498" s="33" t="str">
        <f aca="false">IF($G1498="","","Operations Group")</f>
        <v/>
      </c>
      <c r="B1498" s="19"/>
      <c r="C1498" s="19"/>
      <c r="D1498" s="19"/>
      <c r="E1498" s="19"/>
      <c r="F1498" s="19"/>
      <c r="G1498" s="19"/>
      <c r="H1498" s="19"/>
      <c r="I1498" s="19"/>
      <c r="J1498" s="19"/>
      <c r="K1498" s="19"/>
      <c r="L1498" s="19"/>
      <c r="M1498" s="19"/>
      <c r="N1498" s="19"/>
      <c r="O1498" s="19"/>
      <c r="P1498" s="19"/>
      <c r="Q1498" s="19"/>
      <c r="R1498" s="19"/>
      <c r="S1498" s="19"/>
      <c r="T1498" s="34" t="str">
        <f aca="false">IF($R1498="","",IFERROR(INDEX(DriverCategory,MATCH($R1498,DriverList,0)),"BAU"))</f>
        <v/>
      </c>
      <c r="U1498" s="34" t="str">
        <f aca="false">IF($R1498="","",IFERROR(INDEX(DriverRank,MATCH($R1498,DriverList,0)),99))</f>
        <v/>
      </c>
      <c r="V1498" s="35" t="n">
        <f aca="false">IF($H1498="",0,IFERROR(INDEX(LevelBasic,MATCH($H1498,LevelList,0))+INDEX(LevelHousing,MATCH($H1498,LevelList,0))+INDEX(LevelTransport,MATCH($H1498,LevelList,0))+INDEX(LevelBasic,MATCH($H1498,LevelList,0))*INDEX(LevelBonus,MATCH($H1498,LevelList,0))+(INDEX(LevelBasic,MATCH($H1498,LevelList,0))+INDEX(LevelHousing,MATCH($H1498,LevelList,0)))*GosiSaudi,0))</f>
        <v>0</v>
      </c>
      <c r="W1498" s="35" t="n">
        <f aca="false">IFERROR(INDEX(LevelOneOff,MATCH($H1498,LevelList,0)),0)</f>
        <v>0</v>
      </c>
      <c r="X1498" s="35" t="str">
        <f aca="false">IF($G1498="","",$V1498*N($L1498))</f>
        <v/>
      </c>
      <c r="Y1498" s="35" t="str">
        <f aca="false">IF($G1498="","",$V1498*(N($M1498)*1+N($N1498)*0.75+N($O1498)*0.5+N($P1498)*0.25)+$W1498*N($L1498))</f>
        <v/>
      </c>
      <c r="Z1498" s="35" t="str">
        <f aca="false">IF($G1498="","",$U1498*1000000+ROW())</f>
        <v/>
      </c>
      <c r="AA1498" s="36" t="str">
        <f aca="false">IF($G1498="","",MID(IF($C1498="",", no division","")&amp;IF($E1498="",", no unit","")&amp;IF($H1498="",", no career level","")&amp;IF(N($L1498)&lt;=0,", no quarter split","")&amp;IF($R1498="",", no driver","")&amp;IF(AND($H1498&lt;&gt;"",COUNTIF(CareerLevels,$H1498)=0),", a career level that is not on the ladder","")&amp;IF(AND($R1498&lt;&gt;"",COUNTIF(DriverList,$R1498)=0),", a driver that is not on the list","")&amp;IF(ABS(N($L1498)-(N($M1498)+N($N1498)+N($O1498)+N($P1498)))&gt;0.001,", a total that does not match its quarters",""),3,300))</f>
        <v/>
      </c>
    </row>
    <row r="1499" customFormat="false" ht="15" hidden="false" customHeight="false" outlineLevel="0" collapsed="false">
      <c r="A1499" s="33" t="str">
        <f aca="false">IF($G1499="","","Operations Group")</f>
        <v/>
      </c>
      <c r="B1499" s="19"/>
      <c r="C1499" s="19"/>
      <c r="D1499" s="19"/>
      <c r="E1499" s="19"/>
      <c r="F1499" s="19"/>
      <c r="G1499" s="19"/>
      <c r="H1499" s="19"/>
      <c r="I1499" s="19"/>
      <c r="J1499" s="19"/>
      <c r="K1499" s="19"/>
      <c r="L1499" s="19"/>
      <c r="M1499" s="19"/>
      <c r="N1499" s="19"/>
      <c r="O1499" s="19"/>
      <c r="P1499" s="19"/>
      <c r="Q1499" s="19"/>
      <c r="R1499" s="19"/>
      <c r="S1499" s="19"/>
      <c r="T1499" s="34" t="str">
        <f aca="false">IF($R1499="","",IFERROR(INDEX(DriverCategory,MATCH($R1499,DriverList,0)),"BAU"))</f>
        <v/>
      </c>
      <c r="U1499" s="34" t="str">
        <f aca="false">IF($R1499="","",IFERROR(INDEX(DriverRank,MATCH($R1499,DriverList,0)),99))</f>
        <v/>
      </c>
      <c r="V1499" s="35" t="n">
        <f aca="false">IF($H1499="",0,IFERROR(INDEX(LevelBasic,MATCH($H1499,LevelList,0))+INDEX(LevelHousing,MATCH($H1499,LevelList,0))+INDEX(LevelTransport,MATCH($H1499,LevelList,0))+INDEX(LevelBasic,MATCH($H1499,LevelList,0))*INDEX(LevelBonus,MATCH($H1499,LevelList,0))+(INDEX(LevelBasic,MATCH($H1499,LevelList,0))+INDEX(LevelHousing,MATCH($H1499,LevelList,0)))*GosiSaudi,0))</f>
        <v>0</v>
      </c>
      <c r="W1499" s="35" t="n">
        <f aca="false">IFERROR(INDEX(LevelOneOff,MATCH($H1499,LevelList,0)),0)</f>
        <v>0</v>
      </c>
      <c r="X1499" s="35" t="str">
        <f aca="false">IF($G1499="","",$V1499*N($L1499))</f>
        <v/>
      </c>
      <c r="Y1499" s="35" t="str">
        <f aca="false">IF($G1499="","",$V1499*(N($M1499)*1+N($N1499)*0.75+N($O1499)*0.5+N($P1499)*0.25)+$W1499*N($L1499))</f>
        <v/>
      </c>
      <c r="Z1499" s="35" t="str">
        <f aca="false">IF($G1499="","",$U1499*1000000+ROW())</f>
        <v/>
      </c>
      <c r="AA1499" s="36" t="str">
        <f aca="false">IF($G1499="","",MID(IF($C1499="",", no division","")&amp;IF($E1499="",", no unit","")&amp;IF($H1499="",", no career level","")&amp;IF(N($L1499)&lt;=0,", no quarter split","")&amp;IF($R1499="",", no driver","")&amp;IF(AND($H1499&lt;&gt;"",COUNTIF(CareerLevels,$H1499)=0),", a career level that is not on the ladder","")&amp;IF(AND($R1499&lt;&gt;"",COUNTIF(DriverList,$R1499)=0),", a driver that is not on the list","")&amp;IF(ABS(N($L1499)-(N($M1499)+N($N1499)+N($O1499)+N($P1499)))&gt;0.001,", a total that does not match its quarters",""),3,300))</f>
        <v/>
      </c>
    </row>
    <row r="1500" customFormat="false" ht="15" hidden="false" customHeight="false" outlineLevel="0" collapsed="false">
      <c r="A1500" s="33" t="str">
        <f aca="false">IF($G1500="","","Operations Group")</f>
        <v/>
      </c>
      <c r="B1500" s="19"/>
      <c r="C1500" s="19"/>
      <c r="D1500" s="19"/>
      <c r="E1500" s="19"/>
      <c r="F1500" s="19"/>
      <c r="G1500" s="19"/>
      <c r="H1500" s="19"/>
      <c r="I1500" s="19"/>
      <c r="J1500" s="19"/>
      <c r="K1500" s="19"/>
      <c r="L1500" s="19"/>
      <c r="M1500" s="19"/>
      <c r="N1500" s="19"/>
      <c r="O1500" s="19"/>
      <c r="P1500" s="19"/>
      <c r="Q1500" s="19"/>
      <c r="R1500" s="19"/>
      <c r="S1500" s="19"/>
      <c r="T1500" s="34" t="str">
        <f aca="false">IF($R1500="","",IFERROR(INDEX(DriverCategory,MATCH($R1500,DriverList,0)),"BAU"))</f>
        <v/>
      </c>
      <c r="U1500" s="34" t="str">
        <f aca="false">IF($R1500="","",IFERROR(INDEX(DriverRank,MATCH($R1500,DriverList,0)),99))</f>
        <v/>
      </c>
      <c r="V1500" s="35" t="n">
        <f aca="false">IF($H1500="",0,IFERROR(INDEX(LevelBasic,MATCH($H1500,LevelList,0))+INDEX(LevelHousing,MATCH($H1500,LevelList,0))+INDEX(LevelTransport,MATCH($H1500,LevelList,0))+INDEX(LevelBasic,MATCH($H1500,LevelList,0))*INDEX(LevelBonus,MATCH($H1500,LevelList,0))+(INDEX(LevelBasic,MATCH($H1500,LevelList,0))+INDEX(LevelHousing,MATCH($H1500,LevelList,0)))*GosiSaudi,0))</f>
        <v>0</v>
      </c>
      <c r="W1500" s="35" t="n">
        <f aca="false">IFERROR(INDEX(LevelOneOff,MATCH($H1500,LevelList,0)),0)</f>
        <v>0</v>
      </c>
      <c r="X1500" s="35" t="str">
        <f aca="false">IF($G1500="","",$V1500*N($L1500))</f>
        <v/>
      </c>
      <c r="Y1500" s="35" t="str">
        <f aca="false">IF($G1500="","",$V1500*(N($M1500)*1+N($N1500)*0.75+N($O1500)*0.5+N($P1500)*0.25)+$W1500*N($L1500))</f>
        <v/>
      </c>
      <c r="Z1500" s="35" t="str">
        <f aca="false">IF($G1500="","",$U1500*1000000+ROW())</f>
        <v/>
      </c>
      <c r="AA1500" s="36" t="str">
        <f aca="false">IF($G1500="","",MID(IF($C1500="",", no division","")&amp;IF($E1500="",", no unit","")&amp;IF($H1500="",", no career level","")&amp;IF(N($L1500)&lt;=0,", no quarter split","")&amp;IF($R1500="",", no driver","")&amp;IF(AND($H1500&lt;&gt;"",COUNTIF(CareerLevels,$H1500)=0),", a career level that is not on the ladder","")&amp;IF(AND($R1500&lt;&gt;"",COUNTIF(DriverList,$R1500)=0),", a driver that is not on the list","")&amp;IF(ABS(N($L1500)-(N($M1500)+N($N1500)+N($O1500)+N($P1500)))&gt;0.001,", a total that does not match its quarters",""),3,300))</f>
        <v/>
      </c>
    </row>
    <row r="1501" customFormat="false" ht="15" hidden="false" customHeight="false" outlineLevel="0" collapsed="false">
      <c r="A1501" s="33" t="str">
        <f aca="false">IF($G1501="","","Operations Group")</f>
        <v/>
      </c>
      <c r="B1501" s="19"/>
      <c r="C1501" s="19"/>
      <c r="D1501" s="19"/>
      <c r="E1501" s="19"/>
      <c r="F1501" s="19"/>
      <c r="G1501" s="19"/>
      <c r="H1501" s="19"/>
      <c r="I1501" s="19"/>
      <c r="J1501" s="19"/>
      <c r="K1501" s="19"/>
      <c r="L1501" s="19"/>
      <c r="M1501" s="19"/>
      <c r="N1501" s="19"/>
      <c r="O1501" s="19"/>
      <c r="P1501" s="19"/>
      <c r="Q1501" s="19"/>
      <c r="R1501" s="19"/>
      <c r="S1501" s="19"/>
      <c r="T1501" s="34" t="str">
        <f aca="false">IF($R1501="","",IFERROR(INDEX(DriverCategory,MATCH($R1501,DriverList,0)),"BAU"))</f>
        <v/>
      </c>
      <c r="U1501" s="34" t="str">
        <f aca="false">IF($R1501="","",IFERROR(INDEX(DriverRank,MATCH($R1501,DriverList,0)),99))</f>
        <v/>
      </c>
      <c r="V1501" s="35" t="n">
        <f aca="false">IF($H1501="",0,IFERROR(INDEX(LevelBasic,MATCH($H1501,LevelList,0))+INDEX(LevelHousing,MATCH($H1501,LevelList,0))+INDEX(LevelTransport,MATCH($H1501,LevelList,0))+INDEX(LevelBasic,MATCH($H1501,LevelList,0))*INDEX(LevelBonus,MATCH($H1501,LevelList,0))+(INDEX(LevelBasic,MATCH($H1501,LevelList,0))+INDEX(LevelHousing,MATCH($H1501,LevelList,0)))*GosiSaudi,0))</f>
        <v>0</v>
      </c>
      <c r="W1501" s="35" t="n">
        <f aca="false">IFERROR(INDEX(LevelOneOff,MATCH($H1501,LevelList,0)),0)</f>
        <v>0</v>
      </c>
      <c r="X1501" s="35" t="str">
        <f aca="false">IF($G1501="","",$V1501*N($L1501))</f>
        <v/>
      </c>
      <c r="Y1501" s="35" t="str">
        <f aca="false">IF($G1501="","",$V1501*(N($M1501)*1+N($N1501)*0.75+N($O1501)*0.5+N($P1501)*0.25)+$W1501*N($L1501))</f>
        <v/>
      </c>
      <c r="Z1501" s="35" t="str">
        <f aca="false">IF($G1501="","",$U1501*1000000+ROW())</f>
        <v/>
      </c>
      <c r="AA1501" s="36" t="str">
        <f aca="false">IF($G1501="","",MID(IF($C1501="",", no division","")&amp;IF($E1501="",", no unit","")&amp;IF($H1501="",", no career level","")&amp;IF(N($L1501)&lt;=0,", no quarter split","")&amp;IF($R1501="",", no driver","")&amp;IF(AND($H1501&lt;&gt;"",COUNTIF(CareerLevels,$H1501)=0),", a career level that is not on the ladder","")&amp;IF(AND($R1501&lt;&gt;"",COUNTIF(DriverList,$R1501)=0),", a driver that is not on the list","")&amp;IF(ABS(N($L1501)-(N($M1501)+N($N1501)+N($O1501)+N($P1501)))&gt;0.001,", a total that does not match its quarters",""),3,300))</f>
        <v/>
      </c>
    </row>
    <row r="1502" customFormat="false" ht="15" hidden="false" customHeight="false" outlineLevel="0" collapsed="false">
      <c r="A1502" s="33" t="str">
        <f aca="false">IF($G1502="","","Operations Group")</f>
        <v/>
      </c>
      <c r="B1502" s="19"/>
      <c r="C1502" s="19"/>
      <c r="D1502" s="19"/>
      <c r="E1502" s="19"/>
      <c r="F1502" s="19"/>
      <c r="G1502" s="19"/>
      <c r="H1502" s="19"/>
      <c r="I1502" s="19"/>
      <c r="J1502" s="19"/>
      <c r="K1502" s="19"/>
      <c r="L1502" s="19"/>
      <c r="M1502" s="19"/>
      <c r="N1502" s="19"/>
      <c r="O1502" s="19"/>
      <c r="P1502" s="19"/>
      <c r="Q1502" s="19"/>
      <c r="R1502" s="19"/>
      <c r="S1502" s="19"/>
      <c r="T1502" s="34" t="str">
        <f aca="false">IF($R1502="","",IFERROR(INDEX(DriverCategory,MATCH($R1502,DriverList,0)),"BAU"))</f>
        <v/>
      </c>
      <c r="U1502" s="34" t="str">
        <f aca="false">IF($R1502="","",IFERROR(INDEX(DriverRank,MATCH($R1502,DriverList,0)),99))</f>
        <v/>
      </c>
      <c r="V1502" s="35" t="n">
        <f aca="false">IF($H1502="",0,IFERROR(INDEX(LevelBasic,MATCH($H1502,LevelList,0))+INDEX(LevelHousing,MATCH($H1502,LevelList,0))+INDEX(LevelTransport,MATCH($H1502,LevelList,0))+INDEX(LevelBasic,MATCH($H1502,LevelList,0))*INDEX(LevelBonus,MATCH($H1502,LevelList,0))+(INDEX(LevelBasic,MATCH($H1502,LevelList,0))+INDEX(LevelHousing,MATCH($H1502,LevelList,0)))*GosiSaudi,0))</f>
        <v>0</v>
      </c>
      <c r="W1502" s="35" t="n">
        <f aca="false">IFERROR(INDEX(LevelOneOff,MATCH($H1502,LevelList,0)),0)</f>
        <v>0</v>
      </c>
      <c r="X1502" s="35" t="str">
        <f aca="false">IF($G1502="","",$V1502*N($L1502))</f>
        <v/>
      </c>
      <c r="Y1502" s="35" t="str">
        <f aca="false">IF($G1502="","",$V1502*(N($M1502)*1+N($N1502)*0.75+N($O1502)*0.5+N($P1502)*0.25)+$W1502*N($L1502))</f>
        <v/>
      </c>
      <c r="Z1502" s="35" t="str">
        <f aca="false">IF($G1502="","",$U1502*1000000+ROW())</f>
        <v/>
      </c>
      <c r="AA1502" s="36" t="str">
        <f aca="false">IF($G1502="","",MID(IF($C1502="",", no division","")&amp;IF($E1502="",", no unit","")&amp;IF($H1502="",", no career level","")&amp;IF(N($L1502)&lt;=0,", no quarter split","")&amp;IF($R1502="",", no driver","")&amp;IF(AND($H1502&lt;&gt;"",COUNTIF(CareerLevels,$H1502)=0),", a career level that is not on the ladder","")&amp;IF(AND($R1502&lt;&gt;"",COUNTIF(DriverList,$R1502)=0),", a driver that is not on the list","")&amp;IF(ABS(N($L1502)-(N($M1502)+N($N1502)+N($O1502)+N($P1502)))&gt;0.001,", a total that does not match its quarters",""),3,300))</f>
        <v/>
      </c>
    </row>
    <row r="1503" customFormat="false" ht="15" hidden="false" customHeight="false" outlineLevel="0" collapsed="false">
      <c r="A1503" s="33" t="str">
        <f aca="false">IF($G1503="","","Operations Group")</f>
        <v/>
      </c>
      <c r="B1503" s="19"/>
      <c r="C1503" s="19"/>
      <c r="D1503" s="19"/>
      <c r="E1503" s="19"/>
      <c r="F1503" s="19"/>
      <c r="G1503" s="19"/>
      <c r="H1503" s="19"/>
      <c r="I1503" s="19"/>
      <c r="J1503" s="19"/>
      <c r="K1503" s="19"/>
      <c r="L1503" s="19"/>
      <c r="M1503" s="19"/>
      <c r="N1503" s="19"/>
      <c r="O1503" s="19"/>
      <c r="P1503" s="19"/>
      <c r="Q1503" s="19"/>
      <c r="R1503" s="19"/>
      <c r="S1503" s="19"/>
      <c r="T1503" s="34" t="str">
        <f aca="false">IF($R1503="","",IFERROR(INDEX(DriverCategory,MATCH($R1503,DriverList,0)),"BAU"))</f>
        <v/>
      </c>
      <c r="U1503" s="34" t="str">
        <f aca="false">IF($R1503="","",IFERROR(INDEX(DriverRank,MATCH($R1503,DriverList,0)),99))</f>
        <v/>
      </c>
      <c r="V1503" s="35" t="n">
        <f aca="false">IF($H1503="",0,IFERROR(INDEX(LevelBasic,MATCH($H1503,LevelList,0))+INDEX(LevelHousing,MATCH($H1503,LevelList,0))+INDEX(LevelTransport,MATCH($H1503,LevelList,0))+INDEX(LevelBasic,MATCH($H1503,LevelList,0))*INDEX(LevelBonus,MATCH($H1503,LevelList,0))+(INDEX(LevelBasic,MATCH($H1503,LevelList,0))+INDEX(LevelHousing,MATCH($H1503,LevelList,0)))*GosiSaudi,0))</f>
        <v>0</v>
      </c>
      <c r="W1503" s="35" t="n">
        <f aca="false">IFERROR(INDEX(LevelOneOff,MATCH($H1503,LevelList,0)),0)</f>
        <v>0</v>
      </c>
      <c r="X1503" s="35" t="str">
        <f aca="false">IF($G1503="","",$V1503*N($L1503))</f>
        <v/>
      </c>
      <c r="Y1503" s="35" t="str">
        <f aca="false">IF($G1503="","",$V1503*(N($M1503)*1+N($N1503)*0.75+N($O1503)*0.5+N($P1503)*0.25)+$W1503*N($L1503))</f>
        <v/>
      </c>
      <c r="Z1503" s="35" t="str">
        <f aca="false">IF($G1503="","",$U1503*1000000+ROW())</f>
        <v/>
      </c>
      <c r="AA1503" s="36" t="str">
        <f aca="false">IF($G1503="","",MID(IF($C1503="",", no division","")&amp;IF($E1503="",", no unit","")&amp;IF($H1503="",", no career level","")&amp;IF(N($L1503)&lt;=0,", no quarter split","")&amp;IF($R1503="",", no driver","")&amp;IF(AND($H1503&lt;&gt;"",COUNTIF(CareerLevels,$H1503)=0),", a career level that is not on the ladder","")&amp;IF(AND($R1503&lt;&gt;"",COUNTIF(DriverList,$R1503)=0),", a driver that is not on the list","")&amp;IF(ABS(N($L1503)-(N($M1503)+N($N1503)+N($O1503)+N($P1503)))&gt;0.001,", a total that does not match its quarters",""),3,300))</f>
        <v/>
      </c>
    </row>
    <row r="1504" customFormat="false" ht="15" hidden="false" customHeight="false" outlineLevel="0" collapsed="false">
      <c r="A1504" s="33" t="str">
        <f aca="false">IF($G1504="","","Operations Group")</f>
        <v/>
      </c>
      <c r="B1504" s="19"/>
      <c r="C1504" s="19"/>
      <c r="D1504" s="19"/>
      <c r="E1504" s="19"/>
      <c r="F1504" s="19"/>
      <c r="G1504" s="19"/>
      <c r="H1504" s="19"/>
      <c r="I1504" s="19"/>
      <c r="J1504" s="19"/>
      <c r="K1504" s="19"/>
      <c r="L1504" s="19"/>
      <c r="M1504" s="19"/>
      <c r="N1504" s="19"/>
      <c r="O1504" s="19"/>
      <c r="P1504" s="19"/>
      <c r="Q1504" s="19"/>
      <c r="R1504" s="19"/>
      <c r="S1504" s="19"/>
      <c r="T1504" s="34" t="str">
        <f aca="false">IF($R1504="","",IFERROR(INDEX(DriverCategory,MATCH($R1504,DriverList,0)),"BAU"))</f>
        <v/>
      </c>
      <c r="U1504" s="34" t="str">
        <f aca="false">IF($R1504="","",IFERROR(INDEX(DriverRank,MATCH($R1504,DriverList,0)),99))</f>
        <v/>
      </c>
      <c r="V1504" s="35" t="n">
        <f aca="false">IF($H1504="",0,IFERROR(INDEX(LevelBasic,MATCH($H1504,LevelList,0))+INDEX(LevelHousing,MATCH($H1504,LevelList,0))+INDEX(LevelTransport,MATCH($H1504,LevelList,0))+INDEX(LevelBasic,MATCH($H1504,LevelList,0))*INDEX(LevelBonus,MATCH($H1504,LevelList,0))+(INDEX(LevelBasic,MATCH($H1504,LevelList,0))+INDEX(LevelHousing,MATCH($H1504,LevelList,0)))*GosiSaudi,0))</f>
        <v>0</v>
      </c>
      <c r="W1504" s="35" t="n">
        <f aca="false">IFERROR(INDEX(LevelOneOff,MATCH($H1504,LevelList,0)),0)</f>
        <v>0</v>
      </c>
      <c r="X1504" s="35" t="str">
        <f aca="false">IF($G1504="","",$V1504*N($L1504))</f>
        <v/>
      </c>
      <c r="Y1504" s="35" t="str">
        <f aca="false">IF($G1504="","",$V1504*(N($M1504)*1+N($N1504)*0.75+N($O1504)*0.5+N($P1504)*0.25)+$W1504*N($L1504))</f>
        <v/>
      </c>
      <c r="Z1504" s="35" t="str">
        <f aca="false">IF($G1504="","",$U1504*1000000+ROW())</f>
        <v/>
      </c>
      <c r="AA1504" s="36" t="str">
        <f aca="false">IF($G1504="","",MID(IF($C1504="",", no division","")&amp;IF($E1504="",", no unit","")&amp;IF($H1504="",", no career level","")&amp;IF(N($L1504)&lt;=0,", no quarter split","")&amp;IF($R1504="",", no driver","")&amp;IF(AND($H1504&lt;&gt;"",COUNTIF(CareerLevels,$H1504)=0),", a career level that is not on the ladder","")&amp;IF(AND($R1504&lt;&gt;"",COUNTIF(DriverList,$R1504)=0),", a driver that is not on the list","")&amp;IF(ABS(N($L1504)-(N($M1504)+N($N1504)+N($O1504)+N($P1504)))&gt;0.001,", a total that does not match its quarters",""),3,300))</f>
        <v/>
      </c>
    </row>
    <row r="1505" customFormat="false" ht="15" hidden="false" customHeight="false" outlineLevel="0" collapsed="false">
      <c r="A1505" s="33" t="str">
        <f aca="false">IF($G1505="","","Operations Group")</f>
        <v/>
      </c>
      <c r="B1505" s="19"/>
      <c r="C1505" s="19"/>
      <c r="D1505" s="19"/>
      <c r="E1505" s="19"/>
      <c r="F1505" s="19"/>
      <c r="G1505" s="19"/>
      <c r="H1505" s="19"/>
      <c r="I1505" s="19"/>
      <c r="J1505" s="19"/>
      <c r="K1505" s="19"/>
      <c r="L1505" s="19"/>
      <c r="M1505" s="19"/>
      <c r="N1505" s="19"/>
      <c r="O1505" s="19"/>
      <c r="P1505" s="19"/>
      <c r="Q1505" s="19"/>
      <c r="R1505" s="19"/>
      <c r="S1505" s="19"/>
      <c r="T1505" s="34" t="str">
        <f aca="false">IF($R1505="","",IFERROR(INDEX(DriverCategory,MATCH($R1505,DriverList,0)),"BAU"))</f>
        <v/>
      </c>
      <c r="U1505" s="34" t="str">
        <f aca="false">IF($R1505="","",IFERROR(INDEX(DriverRank,MATCH($R1505,DriverList,0)),99))</f>
        <v/>
      </c>
      <c r="V1505" s="35" t="n">
        <f aca="false">IF($H1505="",0,IFERROR(INDEX(LevelBasic,MATCH($H1505,LevelList,0))+INDEX(LevelHousing,MATCH($H1505,LevelList,0))+INDEX(LevelTransport,MATCH($H1505,LevelList,0))+INDEX(LevelBasic,MATCH($H1505,LevelList,0))*INDEX(LevelBonus,MATCH($H1505,LevelList,0))+(INDEX(LevelBasic,MATCH($H1505,LevelList,0))+INDEX(LevelHousing,MATCH($H1505,LevelList,0)))*GosiSaudi,0))</f>
        <v>0</v>
      </c>
      <c r="W1505" s="35" t="n">
        <f aca="false">IFERROR(INDEX(LevelOneOff,MATCH($H1505,LevelList,0)),0)</f>
        <v>0</v>
      </c>
      <c r="X1505" s="35" t="str">
        <f aca="false">IF($G1505="","",$V1505*N($L1505))</f>
        <v/>
      </c>
      <c r="Y1505" s="35" t="str">
        <f aca="false">IF($G1505="","",$V1505*(N($M1505)*1+N($N1505)*0.75+N($O1505)*0.5+N($P1505)*0.25)+$W1505*N($L1505))</f>
        <v/>
      </c>
      <c r="Z1505" s="35" t="str">
        <f aca="false">IF($G1505="","",$U1505*1000000+ROW())</f>
        <v/>
      </c>
      <c r="AA1505" s="36" t="str">
        <f aca="false">IF($G1505="","",MID(IF($C1505="",", no division","")&amp;IF($E1505="",", no unit","")&amp;IF($H1505="",", no career level","")&amp;IF(N($L1505)&lt;=0,", no quarter split","")&amp;IF($R1505="",", no driver","")&amp;IF(AND($H1505&lt;&gt;"",COUNTIF(CareerLevels,$H1505)=0),", a career level that is not on the ladder","")&amp;IF(AND($R1505&lt;&gt;"",COUNTIF(DriverList,$R1505)=0),", a driver that is not on the list","")&amp;IF(ABS(N($L1505)-(N($M1505)+N($N1505)+N($O1505)+N($P1505)))&gt;0.001,", a total that does not match its quarters",""),3,300))</f>
        <v/>
      </c>
    </row>
    <row r="1506" customFormat="false" ht="15" hidden="false" customHeight="false" outlineLevel="0" collapsed="false">
      <c r="A1506" s="33" t="str">
        <f aca="false">IF($G1506="","","Operations Group")</f>
        <v/>
      </c>
      <c r="B1506" s="19"/>
      <c r="C1506" s="19"/>
      <c r="D1506" s="19"/>
      <c r="E1506" s="19"/>
      <c r="F1506" s="19"/>
      <c r="G1506" s="19"/>
      <c r="H1506" s="19"/>
      <c r="I1506" s="19"/>
      <c r="J1506" s="19"/>
      <c r="K1506" s="19"/>
      <c r="L1506" s="19"/>
      <c r="M1506" s="19"/>
      <c r="N1506" s="19"/>
      <c r="O1506" s="19"/>
      <c r="P1506" s="19"/>
      <c r="Q1506" s="19"/>
      <c r="R1506" s="19"/>
      <c r="S1506" s="19"/>
      <c r="T1506" s="34" t="str">
        <f aca="false">IF($R1506="","",IFERROR(INDEX(DriverCategory,MATCH($R1506,DriverList,0)),"BAU"))</f>
        <v/>
      </c>
      <c r="U1506" s="34" t="str">
        <f aca="false">IF($R1506="","",IFERROR(INDEX(DriverRank,MATCH($R1506,DriverList,0)),99))</f>
        <v/>
      </c>
      <c r="V1506" s="35" t="n">
        <f aca="false">IF($H1506="",0,IFERROR(INDEX(LevelBasic,MATCH($H1506,LevelList,0))+INDEX(LevelHousing,MATCH($H1506,LevelList,0))+INDEX(LevelTransport,MATCH($H1506,LevelList,0))+INDEX(LevelBasic,MATCH($H1506,LevelList,0))*INDEX(LevelBonus,MATCH($H1506,LevelList,0))+(INDEX(LevelBasic,MATCH($H1506,LevelList,0))+INDEX(LevelHousing,MATCH($H1506,LevelList,0)))*GosiSaudi,0))</f>
        <v>0</v>
      </c>
      <c r="W1506" s="35" t="n">
        <f aca="false">IFERROR(INDEX(LevelOneOff,MATCH($H1506,LevelList,0)),0)</f>
        <v>0</v>
      </c>
      <c r="X1506" s="35" t="str">
        <f aca="false">IF($G1506="","",$V1506*N($L1506))</f>
        <v/>
      </c>
      <c r="Y1506" s="35" t="str">
        <f aca="false">IF($G1506="","",$V1506*(N($M1506)*1+N($N1506)*0.75+N($O1506)*0.5+N($P1506)*0.25)+$W1506*N($L1506))</f>
        <v/>
      </c>
      <c r="Z1506" s="35" t="str">
        <f aca="false">IF($G1506="","",$U1506*1000000+ROW())</f>
        <v/>
      </c>
      <c r="AA1506" s="36" t="str">
        <f aca="false">IF($G1506="","",MID(IF($C1506="",", no division","")&amp;IF($E1506="",", no unit","")&amp;IF($H1506="",", no career level","")&amp;IF(N($L1506)&lt;=0,", no quarter split","")&amp;IF($R1506="",", no driver","")&amp;IF(AND($H1506&lt;&gt;"",COUNTIF(CareerLevels,$H1506)=0),", a career level that is not on the ladder","")&amp;IF(AND($R1506&lt;&gt;"",COUNTIF(DriverList,$R1506)=0),", a driver that is not on the list","")&amp;IF(ABS(N($L1506)-(N($M1506)+N($N1506)+N($O1506)+N($P1506)))&gt;0.001,", a total that does not match its quarters",""),3,300))</f>
        <v/>
      </c>
    </row>
    <row r="1507" customFormat="false" ht="15" hidden="false" customHeight="false" outlineLevel="0" collapsed="false">
      <c r="A1507" s="33" t="str">
        <f aca="false">IF($G1507="","","Operations Group")</f>
        <v/>
      </c>
      <c r="B1507" s="19"/>
      <c r="C1507" s="19"/>
      <c r="D1507" s="19"/>
      <c r="E1507" s="19"/>
      <c r="F1507" s="19"/>
      <c r="G1507" s="19"/>
      <c r="H1507" s="19"/>
      <c r="I1507" s="19"/>
      <c r="J1507" s="19"/>
      <c r="K1507" s="19"/>
      <c r="L1507" s="19"/>
      <c r="M1507" s="19"/>
      <c r="N1507" s="19"/>
      <c r="O1507" s="19"/>
      <c r="P1507" s="19"/>
      <c r="Q1507" s="19"/>
      <c r="R1507" s="19"/>
      <c r="S1507" s="19"/>
      <c r="T1507" s="34" t="str">
        <f aca="false">IF($R1507="","",IFERROR(INDEX(DriverCategory,MATCH($R1507,DriverList,0)),"BAU"))</f>
        <v/>
      </c>
      <c r="U1507" s="34" t="str">
        <f aca="false">IF($R1507="","",IFERROR(INDEX(DriverRank,MATCH($R1507,DriverList,0)),99))</f>
        <v/>
      </c>
      <c r="V1507" s="35" t="n">
        <f aca="false">IF($H1507="",0,IFERROR(INDEX(LevelBasic,MATCH($H1507,LevelList,0))+INDEX(LevelHousing,MATCH($H1507,LevelList,0))+INDEX(LevelTransport,MATCH($H1507,LevelList,0))+INDEX(LevelBasic,MATCH($H1507,LevelList,0))*INDEX(LevelBonus,MATCH($H1507,LevelList,0))+(INDEX(LevelBasic,MATCH($H1507,LevelList,0))+INDEX(LevelHousing,MATCH($H1507,LevelList,0)))*GosiSaudi,0))</f>
        <v>0</v>
      </c>
      <c r="W1507" s="35" t="n">
        <f aca="false">IFERROR(INDEX(LevelOneOff,MATCH($H1507,LevelList,0)),0)</f>
        <v>0</v>
      </c>
      <c r="X1507" s="35" t="str">
        <f aca="false">IF($G1507="","",$V1507*N($L1507))</f>
        <v/>
      </c>
      <c r="Y1507" s="35" t="str">
        <f aca="false">IF($G1507="","",$V1507*(N($M1507)*1+N($N1507)*0.75+N($O1507)*0.5+N($P1507)*0.25)+$W1507*N($L1507))</f>
        <v/>
      </c>
      <c r="Z1507" s="35" t="str">
        <f aca="false">IF($G1507="","",$U1507*1000000+ROW())</f>
        <v/>
      </c>
      <c r="AA1507" s="36" t="str">
        <f aca="false">IF($G1507="","",MID(IF($C1507="",", no division","")&amp;IF($E1507="",", no unit","")&amp;IF($H1507="",", no career level","")&amp;IF(N($L1507)&lt;=0,", no quarter split","")&amp;IF($R1507="",", no driver","")&amp;IF(AND($H1507&lt;&gt;"",COUNTIF(CareerLevels,$H1507)=0),", a career level that is not on the ladder","")&amp;IF(AND($R1507&lt;&gt;"",COUNTIF(DriverList,$R1507)=0),", a driver that is not on the list","")&amp;IF(ABS(N($L1507)-(N($M1507)+N($N1507)+N($O1507)+N($P1507)))&gt;0.001,", a total that does not match its quarters",""),3,300))</f>
        <v/>
      </c>
    </row>
    <row r="1508" customFormat="false" ht="15" hidden="false" customHeight="false" outlineLevel="0" collapsed="false">
      <c r="A1508" s="33" t="str">
        <f aca="false">IF($G1508="","","Operations Group")</f>
        <v/>
      </c>
      <c r="B1508" s="19"/>
      <c r="C1508" s="19"/>
      <c r="D1508" s="19"/>
      <c r="E1508" s="19"/>
      <c r="F1508" s="19"/>
      <c r="G1508" s="19"/>
      <c r="H1508" s="19"/>
      <c r="I1508" s="19"/>
      <c r="J1508" s="19"/>
      <c r="K1508" s="19"/>
      <c r="L1508" s="19"/>
      <c r="M1508" s="19"/>
      <c r="N1508" s="19"/>
      <c r="O1508" s="19"/>
      <c r="P1508" s="19"/>
      <c r="Q1508" s="19"/>
      <c r="R1508" s="19"/>
      <c r="S1508" s="19"/>
      <c r="T1508" s="34" t="str">
        <f aca="false">IF($R1508="","",IFERROR(INDEX(DriverCategory,MATCH($R1508,DriverList,0)),"BAU"))</f>
        <v/>
      </c>
      <c r="U1508" s="34" t="str">
        <f aca="false">IF($R1508="","",IFERROR(INDEX(DriverRank,MATCH($R1508,DriverList,0)),99))</f>
        <v/>
      </c>
      <c r="V1508" s="35" t="n">
        <f aca="false">IF($H1508="",0,IFERROR(INDEX(LevelBasic,MATCH($H1508,LevelList,0))+INDEX(LevelHousing,MATCH($H1508,LevelList,0))+INDEX(LevelTransport,MATCH($H1508,LevelList,0))+INDEX(LevelBasic,MATCH($H1508,LevelList,0))*INDEX(LevelBonus,MATCH($H1508,LevelList,0))+(INDEX(LevelBasic,MATCH($H1508,LevelList,0))+INDEX(LevelHousing,MATCH($H1508,LevelList,0)))*GosiSaudi,0))</f>
        <v>0</v>
      </c>
      <c r="W1508" s="35" t="n">
        <f aca="false">IFERROR(INDEX(LevelOneOff,MATCH($H1508,LevelList,0)),0)</f>
        <v>0</v>
      </c>
      <c r="X1508" s="35" t="str">
        <f aca="false">IF($G1508="","",$V1508*N($L1508))</f>
        <v/>
      </c>
      <c r="Y1508" s="35" t="str">
        <f aca="false">IF($G1508="","",$V1508*(N($M1508)*1+N($N1508)*0.75+N($O1508)*0.5+N($P1508)*0.25)+$W1508*N($L1508))</f>
        <v/>
      </c>
      <c r="Z1508" s="35" t="str">
        <f aca="false">IF($G1508="","",$U1508*1000000+ROW())</f>
        <v/>
      </c>
      <c r="AA1508" s="36" t="str">
        <f aca="false">IF($G1508="","",MID(IF($C1508="",", no division","")&amp;IF($E1508="",", no unit","")&amp;IF($H1508="",", no career level","")&amp;IF(N($L1508)&lt;=0,", no quarter split","")&amp;IF($R1508="",", no driver","")&amp;IF(AND($H1508&lt;&gt;"",COUNTIF(CareerLevels,$H1508)=0),", a career level that is not on the ladder","")&amp;IF(AND($R1508&lt;&gt;"",COUNTIF(DriverList,$R1508)=0),", a driver that is not on the list","")&amp;IF(ABS(N($L1508)-(N($M1508)+N($N1508)+N($O1508)+N($P1508)))&gt;0.001,", a total that does not match its quarters",""),3,300))</f>
        <v/>
      </c>
    </row>
    <row r="1509" customFormat="false" ht="15" hidden="false" customHeight="false" outlineLevel="0" collapsed="false">
      <c r="A1509" s="33" t="str">
        <f aca="false">IF($G1509="","","Operations Group")</f>
        <v/>
      </c>
      <c r="B1509" s="19"/>
      <c r="C1509" s="19"/>
      <c r="D1509" s="19"/>
      <c r="E1509" s="19"/>
      <c r="F1509" s="19"/>
      <c r="G1509" s="19"/>
      <c r="H1509" s="19"/>
      <c r="I1509" s="19"/>
      <c r="J1509" s="19"/>
      <c r="K1509" s="19"/>
      <c r="L1509" s="19"/>
      <c r="M1509" s="19"/>
      <c r="N1509" s="19"/>
      <c r="O1509" s="19"/>
      <c r="P1509" s="19"/>
      <c r="Q1509" s="19"/>
      <c r="R1509" s="19"/>
      <c r="S1509" s="19"/>
      <c r="T1509" s="34" t="str">
        <f aca="false">IF($R1509="","",IFERROR(INDEX(DriverCategory,MATCH($R1509,DriverList,0)),"BAU"))</f>
        <v/>
      </c>
      <c r="U1509" s="34" t="str">
        <f aca="false">IF($R1509="","",IFERROR(INDEX(DriverRank,MATCH($R1509,DriverList,0)),99))</f>
        <v/>
      </c>
      <c r="V1509" s="35" t="n">
        <f aca="false">IF($H1509="",0,IFERROR(INDEX(LevelBasic,MATCH($H1509,LevelList,0))+INDEX(LevelHousing,MATCH($H1509,LevelList,0))+INDEX(LevelTransport,MATCH($H1509,LevelList,0))+INDEX(LevelBasic,MATCH($H1509,LevelList,0))*INDEX(LevelBonus,MATCH($H1509,LevelList,0))+(INDEX(LevelBasic,MATCH($H1509,LevelList,0))+INDEX(LevelHousing,MATCH($H1509,LevelList,0)))*GosiSaudi,0))</f>
        <v>0</v>
      </c>
      <c r="W1509" s="35" t="n">
        <f aca="false">IFERROR(INDEX(LevelOneOff,MATCH($H1509,LevelList,0)),0)</f>
        <v>0</v>
      </c>
      <c r="X1509" s="35" t="str">
        <f aca="false">IF($G1509="","",$V1509*N($L1509))</f>
        <v/>
      </c>
      <c r="Y1509" s="35" t="str">
        <f aca="false">IF($G1509="","",$V1509*(N($M1509)*1+N($N1509)*0.75+N($O1509)*0.5+N($P1509)*0.25)+$W1509*N($L1509))</f>
        <v/>
      </c>
      <c r="Z1509" s="35" t="str">
        <f aca="false">IF($G1509="","",$U1509*1000000+ROW())</f>
        <v/>
      </c>
      <c r="AA1509" s="36" t="str">
        <f aca="false">IF($G1509="","",MID(IF($C1509="",", no division","")&amp;IF($E1509="",", no unit","")&amp;IF($H1509="",", no career level","")&amp;IF(N($L1509)&lt;=0,", no quarter split","")&amp;IF($R1509="",", no driver","")&amp;IF(AND($H1509&lt;&gt;"",COUNTIF(CareerLevels,$H1509)=0),", a career level that is not on the ladder","")&amp;IF(AND($R1509&lt;&gt;"",COUNTIF(DriverList,$R1509)=0),", a driver that is not on the list","")&amp;IF(ABS(N($L1509)-(N($M1509)+N($N1509)+N($O1509)+N($P1509)))&gt;0.001,", a total that does not match its quarters",""),3,300))</f>
        <v/>
      </c>
    </row>
    <row r="1510" customFormat="false" ht="15" hidden="false" customHeight="false" outlineLevel="0" collapsed="false">
      <c r="A1510" s="33" t="str">
        <f aca="false">IF($G1510="","","Operations Group")</f>
        <v/>
      </c>
      <c r="B1510" s="19"/>
      <c r="C1510" s="19"/>
      <c r="D1510" s="19"/>
      <c r="E1510" s="19"/>
      <c r="F1510" s="19"/>
      <c r="G1510" s="19"/>
      <c r="H1510" s="19"/>
      <c r="I1510" s="19"/>
      <c r="J1510" s="19"/>
      <c r="K1510" s="19"/>
      <c r="L1510" s="19"/>
      <c r="M1510" s="19"/>
      <c r="N1510" s="19"/>
      <c r="O1510" s="19"/>
      <c r="P1510" s="19"/>
      <c r="Q1510" s="19"/>
      <c r="R1510" s="19"/>
      <c r="S1510" s="19"/>
      <c r="T1510" s="34" t="str">
        <f aca="false">IF($R1510="","",IFERROR(INDEX(DriverCategory,MATCH($R1510,DriverList,0)),"BAU"))</f>
        <v/>
      </c>
      <c r="U1510" s="34" t="str">
        <f aca="false">IF($R1510="","",IFERROR(INDEX(DriverRank,MATCH($R1510,DriverList,0)),99))</f>
        <v/>
      </c>
      <c r="V1510" s="35" t="n">
        <f aca="false">IF($H1510="",0,IFERROR(INDEX(LevelBasic,MATCH($H1510,LevelList,0))+INDEX(LevelHousing,MATCH($H1510,LevelList,0))+INDEX(LevelTransport,MATCH($H1510,LevelList,0))+INDEX(LevelBasic,MATCH($H1510,LevelList,0))*INDEX(LevelBonus,MATCH($H1510,LevelList,0))+(INDEX(LevelBasic,MATCH($H1510,LevelList,0))+INDEX(LevelHousing,MATCH($H1510,LevelList,0)))*GosiSaudi,0))</f>
        <v>0</v>
      </c>
      <c r="W1510" s="35" t="n">
        <f aca="false">IFERROR(INDEX(LevelOneOff,MATCH($H1510,LevelList,0)),0)</f>
        <v>0</v>
      </c>
      <c r="X1510" s="35" t="str">
        <f aca="false">IF($G1510="","",$V1510*N($L1510))</f>
        <v/>
      </c>
      <c r="Y1510" s="35" t="str">
        <f aca="false">IF($G1510="","",$V1510*(N($M1510)*1+N($N1510)*0.75+N($O1510)*0.5+N($P1510)*0.25)+$W1510*N($L1510))</f>
        <v/>
      </c>
      <c r="Z1510" s="35" t="str">
        <f aca="false">IF($G1510="","",$U1510*1000000+ROW())</f>
        <v/>
      </c>
      <c r="AA1510" s="36" t="str">
        <f aca="false">IF($G1510="","",MID(IF($C1510="",", no division","")&amp;IF($E1510="",", no unit","")&amp;IF($H1510="",", no career level","")&amp;IF(N($L1510)&lt;=0,", no quarter split","")&amp;IF($R1510="",", no driver","")&amp;IF(AND($H1510&lt;&gt;"",COUNTIF(CareerLevels,$H1510)=0),", a career level that is not on the ladder","")&amp;IF(AND($R1510&lt;&gt;"",COUNTIF(DriverList,$R1510)=0),", a driver that is not on the list","")&amp;IF(ABS(N($L1510)-(N($M1510)+N($N1510)+N($O1510)+N($P1510)))&gt;0.001,", a total that does not match its quarters",""),3,300))</f>
        <v/>
      </c>
    </row>
    <row r="1511" customFormat="false" ht="15" hidden="false" customHeight="false" outlineLevel="0" collapsed="false">
      <c r="A1511" s="33" t="str">
        <f aca="false">IF($G1511="","","Operations Group")</f>
        <v/>
      </c>
      <c r="B1511" s="19"/>
      <c r="C1511" s="19"/>
      <c r="D1511" s="19"/>
      <c r="E1511" s="19"/>
      <c r="F1511" s="19"/>
      <c r="G1511" s="19"/>
      <c r="H1511" s="19"/>
      <c r="I1511" s="19"/>
      <c r="J1511" s="19"/>
      <c r="K1511" s="19"/>
      <c r="L1511" s="19"/>
      <c r="M1511" s="19"/>
      <c r="N1511" s="19"/>
      <c r="O1511" s="19"/>
      <c r="P1511" s="19"/>
      <c r="Q1511" s="19"/>
      <c r="R1511" s="19"/>
      <c r="S1511" s="19"/>
      <c r="T1511" s="34" t="str">
        <f aca="false">IF($R1511="","",IFERROR(INDEX(DriverCategory,MATCH($R1511,DriverList,0)),"BAU"))</f>
        <v/>
      </c>
      <c r="U1511" s="34" t="str">
        <f aca="false">IF($R1511="","",IFERROR(INDEX(DriverRank,MATCH($R1511,DriverList,0)),99))</f>
        <v/>
      </c>
      <c r="V1511" s="35" t="n">
        <f aca="false">IF($H1511="",0,IFERROR(INDEX(LevelBasic,MATCH($H1511,LevelList,0))+INDEX(LevelHousing,MATCH($H1511,LevelList,0))+INDEX(LevelTransport,MATCH($H1511,LevelList,0))+INDEX(LevelBasic,MATCH($H1511,LevelList,0))*INDEX(LevelBonus,MATCH($H1511,LevelList,0))+(INDEX(LevelBasic,MATCH($H1511,LevelList,0))+INDEX(LevelHousing,MATCH($H1511,LevelList,0)))*GosiSaudi,0))</f>
        <v>0</v>
      </c>
      <c r="W1511" s="35" t="n">
        <f aca="false">IFERROR(INDEX(LevelOneOff,MATCH($H1511,LevelList,0)),0)</f>
        <v>0</v>
      </c>
      <c r="X1511" s="35" t="str">
        <f aca="false">IF($G1511="","",$V1511*N($L1511))</f>
        <v/>
      </c>
      <c r="Y1511" s="35" t="str">
        <f aca="false">IF($G1511="","",$V1511*(N($M1511)*1+N($N1511)*0.75+N($O1511)*0.5+N($P1511)*0.25)+$W1511*N($L1511))</f>
        <v/>
      </c>
      <c r="Z1511" s="35" t="str">
        <f aca="false">IF($G1511="","",$U1511*1000000+ROW())</f>
        <v/>
      </c>
      <c r="AA1511" s="36" t="str">
        <f aca="false">IF($G1511="","",MID(IF($C1511="",", no division","")&amp;IF($E1511="",", no unit","")&amp;IF($H1511="",", no career level","")&amp;IF(N($L1511)&lt;=0,", no quarter split","")&amp;IF($R1511="",", no driver","")&amp;IF(AND($H1511&lt;&gt;"",COUNTIF(CareerLevels,$H1511)=0),", a career level that is not on the ladder","")&amp;IF(AND($R1511&lt;&gt;"",COUNTIF(DriverList,$R1511)=0),", a driver that is not on the list","")&amp;IF(ABS(N($L1511)-(N($M1511)+N($N1511)+N($O1511)+N($P1511)))&gt;0.001,", a total that does not match its quarters",""),3,300))</f>
        <v/>
      </c>
    </row>
    <row r="1512" customFormat="false" ht="15" hidden="false" customHeight="false" outlineLevel="0" collapsed="false">
      <c r="A1512" s="33" t="str">
        <f aca="false">IF($G1512="","","Operations Group")</f>
        <v/>
      </c>
      <c r="B1512" s="19"/>
      <c r="C1512" s="19"/>
      <c r="D1512" s="19"/>
      <c r="E1512" s="19"/>
      <c r="F1512" s="19"/>
      <c r="G1512" s="19"/>
      <c r="H1512" s="19"/>
      <c r="I1512" s="19"/>
      <c r="J1512" s="19"/>
      <c r="K1512" s="19"/>
      <c r="L1512" s="19"/>
      <c r="M1512" s="19"/>
      <c r="N1512" s="19"/>
      <c r="O1512" s="19"/>
      <c r="P1512" s="19"/>
      <c r="Q1512" s="19"/>
      <c r="R1512" s="19"/>
      <c r="S1512" s="19"/>
      <c r="T1512" s="34" t="str">
        <f aca="false">IF($R1512="","",IFERROR(INDEX(DriverCategory,MATCH($R1512,DriverList,0)),"BAU"))</f>
        <v/>
      </c>
      <c r="U1512" s="34" t="str">
        <f aca="false">IF($R1512="","",IFERROR(INDEX(DriverRank,MATCH($R1512,DriverList,0)),99))</f>
        <v/>
      </c>
      <c r="V1512" s="35" t="n">
        <f aca="false">IF($H1512="",0,IFERROR(INDEX(LevelBasic,MATCH($H1512,LevelList,0))+INDEX(LevelHousing,MATCH($H1512,LevelList,0))+INDEX(LevelTransport,MATCH($H1512,LevelList,0))+INDEX(LevelBasic,MATCH($H1512,LevelList,0))*INDEX(LevelBonus,MATCH($H1512,LevelList,0))+(INDEX(LevelBasic,MATCH($H1512,LevelList,0))+INDEX(LevelHousing,MATCH($H1512,LevelList,0)))*GosiSaudi,0))</f>
        <v>0</v>
      </c>
      <c r="W1512" s="35" t="n">
        <f aca="false">IFERROR(INDEX(LevelOneOff,MATCH($H1512,LevelList,0)),0)</f>
        <v>0</v>
      </c>
      <c r="X1512" s="35" t="str">
        <f aca="false">IF($G1512="","",$V1512*N($L1512))</f>
        <v/>
      </c>
      <c r="Y1512" s="35" t="str">
        <f aca="false">IF($G1512="","",$V1512*(N($M1512)*1+N($N1512)*0.75+N($O1512)*0.5+N($P1512)*0.25)+$W1512*N($L1512))</f>
        <v/>
      </c>
      <c r="Z1512" s="35" t="str">
        <f aca="false">IF($G1512="","",$U1512*1000000+ROW())</f>
        <v/>
      </c>
      <c r="AA1512" s="36" t="str">
        <f aca="false">IF($G1512="","",MID(IF($C1512="",", no division","")&amp;IF($E1512="",", no unit","")&amp;IF($H1512="",", no career level","")&amp;IF(N($L1512)&lt;=0,", no quarter split","")&amp;IF($R1512="",", no driver","")&amp;IF(AND($H1512&lt;&gt;"",COUNTIF(CareerLevels,$H1512)=0),", a career level that is not on the ladder","")&amp;IF(AND($R1512&lt;&gt;"",COUNTIF(DriverList,$R1512)=0),", a driver that is not on the list","")&amp;IF(ABS(N($L1512)-(N($M1512)+N($N1512)+N($O1512)+N($P1512)))&gt;0.001,", a total that does not match its quarters",""),3,300))</f>
        <v/>
      </c>
    </row>
    <row r="1513" customFormat="false" ht="15" hidden="false" customHeight="false" outlineLevel="0" collapsed="false">
      <c r="A1513" s="33" t="str">
        <f aca="false">IF($G1513="","","Operations Group")</f>
        <v/>
      </c>
      <c r="B1513" s="19"/>
      <c r="C1513" s="19"/>
      <c r="D1513" s="19"/>
      <c r="E1513" s="19"/>
      <c r="F1513" s="19"/>
      <c r="G1513" s="19"/>
      <c r="H1513" s="19"/>
      <c r="I1513" s="19"/>
      <c r="J1513" s="19"/>
      <c r="K1513" s="19"/>
      <c r="L1513" s="19"/>
      <c r="M1513" s="19"/>
      <c r="N1513" s="19"/>
      <c r="O1513" s="19"/>
      <c r="P1513" s="19"/>
      <c r="Q1513" s="19"/>
      <c r="R1513" s="19"/>
      <c r="S1513" s="19"/>
      <c r="T1513" s="34" t="str">
        <f aca="false">IF($R1513="","",IFERROR(INDEX(DriverCategory,MATCH($R1513,DriverList,0)),"BAU"))</f>
        <v/>
      </c>
      <c r="U1513" s="34" t="str">
        <f aca="false">IF($R1513="","",IFERROR(INDEX(DriverRank,MATCH($R1513,DriverList,0)),99))</f>
        <v/>
      </c>
      <c r="V1513" s="35" t="n">
        <f aca="false">IF($H1513="",0,IFERROR(INDEX(LevelBasic,MATCH($H1513,LevelList,0))+INDEX(LevelHousing,MATCH($H1513,LevelList,0))+INDEX(LevelTransport,MATCH($H1513,LevelList,0))+INDEX(LevelBasic,MATCH($H1513,LevelList,0))*INDEX(LevelBonus,MATCH($H1513,LevelList,0))+(INDEX(LevelBasic,MATCH($H1513,LevelList,0))+INDEX(LevelHousing,MATCH($H1513,LevelList,0)))*GosiSaudi,0))</f>
        <v>0</v>
      </c>
      <c r="W1513" s="35" t="n">
        <f aca="false">IFERROR(INDEX(LevelOneOff,MATCH($H1513,LevelList,0)),0)</f>
        <v>0</v>
      </c>
      <c r="X1513" s="35" t="str">
        <f aca="false">IF($G1513="","",$V1513*N($L1513))</f>
        <v/>
      </c>
      <c r="Y1513" s="35" t="str">
        <f aca="false">IF($G1513="","",$V1513*(N($M1513)*1+N($N1513)*0.75+N($O1513)*0.5+N($P1513)*0.25)+$W1513*N($L1513))</f>
        <v/>
      </c>
      <c r="Z1513" s="35" t="str">
        <f aca="false">IF($G1513="","",$U1513*1000000+ROW())</f>
        <v/>
      </c>
      <c r="AA1513" s="36" t="str">
        <f aca="false">IF($G1513="","",MID(IF($C1513="",", no division","")&amp;IF($E1513="",", no unit","")&amp;IF($H1513="",", no career level","")&amp;IF(N($L1513)&lt;=0,", no quarter split","")&amp;IF($R1513="",", no driver","")&amp;IF(AND($H1513&lt;&gt;"",COUNTIF(CareerLevels,$H1513)=0),", a career level that is not on the ladder","")&amp;IF(AND($R1513&lt;&gt;"",COUNTIF(DriverList,$R1513)=0),", a driver that is not on the list","")&amp;IF(ABS(N($L1513)-(N($M1513)+N($N1513)+N($O1513)+N($P1513)))&gt;0.001,", a total that does not match its quarters",""),3,300))</f>
        <v/>
      </c>
    </row>
    <row r="1514" customFormat="false" ht="15" hidden="false" customHeight="false" outlineLevel="0" collapsed="false">
      <c r="A1514" s="33" t="str">
        <f aca="false">IF($G1514="","","Operations Group")</f>
        <v/>
      </c>
      <c r="B1514" s="19"/>
      <c r="C1514" s="19"/>
      <c r="D1514" s="19"/>
      <c r="E1514" s="19"/>
      <c r="F1514" s="19"/>
      <c r="G1514" s="19"/>
      <c r="H1514" s="19"/>
      <c r="I1514" s="19"/>
      <c r="J1514" s="19"/>
      <c r="K1514" s="19"/>
      <c r="L1514" s="19"/>
      <c r="M1514" s="19"/>
      <c r="N1514" s="19"/>
      <c r="O1514" s="19"/>
      <c r="P1514" s="19"/>
      <c r="Q1514" s="19"/>
      <c r="R1514" s="19"/>
      <c r="S1514" s="19"/>
      <c r="T1514" s="34" t="str">
        <f aca="false">IF($R1514="","",IFERROR(INDEX(DriverCategory,MATCH($R1514,DriverList,0)),"BAU"))</f>
        <v/>
      </c>
      <c r="U1514" s="34" t="str">
        <f aca="false">IF($R1514="","",IFERROR(INDEX(DriverRank,MATCH($R1514,DriverList,0)),99))</f>
        <v/>
      </c>
      <c r="V1514" s="35" t="n">
        <f aca="false">IF($H1514="",0,IFERROR(INDEX(LevelBasic,MATCH($H1514,LevelList,0))+INDEX(LevelHousing,MATCH($H1514,LevelList,0))+INDEX(LevelTransport,MATCH($H1514,LevelList,0))+INDEX(LevelBasic,MATCH($H1514,LevelList,0))*INDEX(LevelBonus,MATCH($H1514,LevelList,0))+(INDEX(LevelBasic,MATCH($H1514,LevelList,0))+INDEX(LevelHousing,MATCH($H1514,LevelList,0)))*GosiSaudi,0))</f>
        <v>0</v>
      </c>
      <c r="W1514" s="35" t="n">
        <f aca="false">IFERROR(INDEX(LevelOneOff,MATCH($H1514,LevelList,0)),0)</f>
        <v>0</v>
      </c>
      <c r="X1514" s="35" t="str">
        <f aca="false">IF($G1514="","",$V1514*N($L1514))</f>
        <v/>
      </c>
      <c r="Y1514" s="35" t="str">
        <f aca="false">IF($G1514="","",$V1514*(N($M1514)*1+N($N1514)*0.75+N($O1514)*0.5+N($P1514)*0.25)+$W1514*N($L1514))</f>
        <v/>
      </c>
      <c r="Z1514" s="35" t="str">
        <f aca="false">IF($G1514="","",$U1514*1000000+ROW())</f>
        <v/>
      </c>
      <c r="AA1514" s="36" t="str">
        <f aca="false">IF($G1514="","",MID(IF($C1514="",", no division","")&amp;IF($E1514="",", no unit","")&amp;IF($H1514="",", no career level","")&amp;IF(N($L1514)&lt;=0,", no quarter split","")&amp;IF($R1514="",", no driver","")&amp;IF(AND($H1514&lt;&gt;"",COUNTIF(CareerLevels,$H1514)=0),", a career level that is not on the ladder","")&amp;IF(AND($R1514&lt;&gt;"",COUNTIF(DriverList,$R1514)=0),", a driver that is not on the list","")&amp;IF(ABS(N($L1514)-(N($M1514)+N($N1514)+N($O1514)+N($P1514)))&gt;0.001,", a total that does not match its quarters",""),3,300))</f>
        <v/>
      </c>
    </row>
    <row r="1515" customFormat="false" ht="15" hidden="false" customHeight="false" outlineLevel="0" collapsed="false">
      <c r="A1515" s="33" t="str">
        <f aca="false">IF($G1515="","","Operations Group")</f>
        <v/>
      </c>
      <c r="B1515" s="19"/>
      <c r="C1515" s="19"/>
      <c r="D1515" s="19"/>
      <c r="E1515" s="19"/>
      <c r="F1515" s="19"/>
      <c r="G1515" s="19"/>
      <c r="H1515" s="19"/>
      <c r="I1515" s="19"/>
      <c r="J1515" s="19"/>
      <c r="K1515" s="19"/>
      <c r="L1515" s="19"/>
      <c r="M1515" s="19"/>
      <c r="N1515" s="19"/>
      <c r="O1515" s="19"/>
      <c r="P1515" s="19"/>
      <c r="Q1515" s="19"/>
      <c r="R1515" s="19"/>
      <c r="S1515" s="19"/>
      <c r="T1515" s="34" t="str">
        <f aca="false">IF($R1515="","",IFERROR(INDEX(DriverCategory,MATCH($R1515,DriverList,0)),"BAU"))</f>
        <v/>
      </c>
      <c r="U1515" s="34" t="str">
        <f aca="false">IF($R1515="","",IFERROR(INDEX(DriverRank,MATCH($R1515,DriverList,0)),99))</f>
        <v/>
      </c>
      <c r="V1515" s="35" t="n">
        <f aca="false">IF($H1515="",0,IFERROR(INDEX(LevelBasic,MATCH($H1515,LevelList,0))+INDEX(LevelHousing,MATCH($H1515,LevelList,0))+INDEX(LevelTransport,MATCH($H1515,LevelList,0))+INDEX(LevelBasic,MATCH($H1515,LevelList,0))*INDEX(LevelBonus,MATCH($H1515,LevelList,0))+(INDEX(LevelBasic,MATCH($H1515,LevelList,0))+INDEX(LevelHousing,MATCH($H1515,LevelList,0)))*GosiSaudi,0))</f>
        <v>0</v>
      </c>
      <c r="W1515" s="35" t="n">
        <f aca="false">IFERROR(INDEX(LevelOneOff,MATCH($H1515,LevelList,0)),0)</f>
        <v>0</v>
      </c>
      <c r="X1515" s="35" t="str">
        <f aca="false">IF($G1515="","",$V1515*N($L1515))</f>
        <v/>
      </c>
      <c r="Y1515" s="35" t="str">
        <f aca="false">IF($G1515="","",$V1515*(N($M1515)*1+N($N1515)*0.75+N($O1515)*0.5+N($P1515)*0.25)+$W1515*N($L1515))</f>
        <v/>
      </c>
      <c r="Z1515" s="35" t="str">
        <f aca="false">IF($G1515="","",$U1515*1000000+ROW())</f>
        <v/>
      </c>
      <c r="AA1515" s="36" t="str">
        <f aca="false">IF($G1515="","",MID(IF($C1515="",", no division","")&amp;IF($E1515="",", no unit","")&amp;IF($H1515="",", no career level","")&amp;IF(N($L1515)&lt;=0,", no quarter split","")&amp;IF($R1515="",", no driver","")&amp;IF(AND($H1515&lt;&gt;"",COUNTIF(CareerLevels,$H1515)=0),", a career level that is not on the ladder","")&amp;IF(AND($R1515&lt;&gt;"",COUNTIF(DriverList,$R1515)=0),", a driver that is not on the list","")&amp;IF(ABS(N($L1515)-(N($M1515)+N($N1515)+N($O1515)+N($P1515)))&gt;0.001,", a total that does not match its quarters",""),3,300))</f>
        <v/>
      </c>
    </row>
    <row r="1516" customFormat="false" ht="15" hidden="false" customHeight="false" outlineLevel="0" collapsed="false">
      <c r="A1516" s="33" t="str">
        <f aca="false">IF($G1516="","","Operations Group")</f>
        <v/>
      </c>
      <c r="B1516" s="19"/>
      <c r="C1516" s="19"/>
      <c r="D1516" s="19"/>
      <c r="E1516" s="19"/>
      <c r="F1516" s="19"/>
      <c r="G1516" s="19"/>
      <c r="H1516" s="19"/>
      <c r="I1516" s="19"/>
      <c r="J1516" s="19"/>
      <c r="K1516" s="19"/>
      <c r="L1516" s="19"/>
      <c r="M1516" s="19"/>
      <c r="N1516" s="19"/>
      <c r="O1516" s="19"/>
      <c r="P1516" s="19"/>
      <c r="Q1516" s="19"/>
      <c r="R1516" s="19"/>
      <c r="S1516" s="19"/>
      <c r="T1516" s="34" t="str">
        <f aca="false">IF($R1516="","",IFERROR(INDEX(DriverCategory,MATCH($R1516,DriverList,0)),"BAU"))</f>
        <v/>
      </c>
      <c r="U1516" s="34" t="str">
        <f aca="false">IF($R1516="","",IFERROR(INDEX(DriverRank,MATCH($R1516,DriverList,0)),99))</f>
        <v/>
      </c>
      <c r="V1516" s="35" t="n">
        <f aca="false">IF($H1516="",0,IFERROR(INDEX(LevelBasic,MATCH($H1516,LevelList,0))+INDEX(LevelHousing,MATCH($H1516,LevelList,0))+INDEX(LevelTransport,MATCH($H1516,LevelList,0))+INDEX(LevelBasic,MATCH($H1516,LevelList,0))*INDEX(LevelBonus,MATCH($H1516,LevelList,0))+(INDEX(LevelBasic,MATCH($H1516,LevelList,0))+INDEX(LevelHousing,MATCH($H1516,LevelList,0)))*GosiSaudi,0))</f>
        <v>0</v>
      </c>
      <c r="W1516" s="35" t="n">
        <f aca="false">IFERROR(INDEX(LevelOneOff,MATCH($H1516,LevelList,0)),0)</f>
        <v>0</v>
      </c>
      <c r="X1516" s="35" t="str">
        <f aca="false">IF($G1516="","",$V1516*N($L1516))</f>
        <v/>
      </c>
      <c r="Y1516" s="35" t="str">
        <f aca="false">IF($G1516="","",$V1516*(N($M1516)*1+N($N1516)*0.75+N($O1516)*0.5+N($P1516)*0.25)+$W1516*N($L1516))</f>
        <v/>
      </c>
      <c r="Z1516" s="35" t="str">
        <f aca="false">IF($G1516="","",$U1516*1000000+ROW())</f>
        <v/>
      </c>
      <c r="AA1516" s="36" t="str">
        <f aca="false">IF($G1516="","",MID(IF($C1516="",", no division","")&amp;IF($E1516="",", no unit","")&amp;IF($H1516="",", no career level","")&amp;IF(N($L1516)&lt;=0,", no quarter split","")&amp;IF($R1516="",", no driver","")&amp;IF(AND($H1516&lt;&gt;"",COUNTIF(CareerLevels,$H1516)=0),", a career level that is not on the ladder","")&amp;IF(AND($R1516&lt;&gt;"",COUNTIF(DriverList,$R1516)=0),", a driver that is not on the list","")&amp;IF(ABS(N($L1516)-(N($M1516)+N($N1516)+N($O1516)+N($P1516)))&gt;0.001,", a total that does not match its quarters",""),3,300))</f>
        <v/>
      </c>
    </row>
    <row r="1517" customFormat="false" ht="15" hidden="false" customHeight="false" outlineLevel="0" collapsed="false">
      <c r="A1517" s="33" t="str">
        <f aca="false">IF($G1517="","","Operations Group")</f>
        <v/>
      </c>
      <c r="B1517" s="19"/>
      <c r="C1517" s="19"/>
      <c r="D1517" s="19"/>
      <c r="E1517" s="19"/>
      <c r="F1517" s="19"/>
      <c r="G1517" s="19"/>
      <c r="H1517" s="19"/>
      <c r="I1517" s="19"/>
      <c r="J1517" s="19"/>
      <c r="K1517" s="19"/>
      <c r="L1517" s="19"/>
      <c r="M1517" s="19"/>
      <c r="N1517" s="19"/>
      <c r="O1517" s="19"/>
      <c r="P1517" s="19"/>
      <c r="Q1517" s="19"/>
      <c r="R1517" s="19"/>
      <c r="S1517" s="19"/>
      <c r="T1517" s="34" t="str">
        <f aca="false">IF($R1517="","",IFERROR(INDEX(DriverCategory,MATCH($R1517,DriverList,0)),"BAU"))</f>
        <v/>
      </c>
      <c r="U1517" s="34" t="str">
        <f aca="false">IF($R1517="","",IFERROR(INDEX(DriverRank,MATCH($R1517,DriverList,0)),99))</f>
        <v/>
      </c>
      <c r="V1517" s="35" t="n">
        <f aca="false">IF($H1517="",0,IFERROR(INDEX(LevelBasic,MATCH($H1517,LevelList,0))+INDEX(LevelHousing,MATCH($H1517,LevelList,0))+INDEX(LevelTransport,MATCH($H1517,LevelList,0))+INDEX(LevelBasic,MATCH($H1517,LevelList,0))*INDEX(LevelBonus,MATCH($H1517,LevelList,0))+(INDEX(LevelBasic,MATCH($H1517,LevelList,0))+INDEX(LevelHousing,MATCH($H1517,LevelList,0)))*GosiSaudi,0))</f>
        <v>0</v>
      </c>
      <c r="W1517" s="35" t="n">
        <f aca="false">IFERROR(INDEX(LevelOneOff,MATCH($H1517,LevelList,0)),0)</f>
        <v>0</v>
      </c>
      <c r="X1517" s="35" t="str">
        <f aca="false">IF($G1517="","",$V1517*N($L1517))</f>
        <v/>
      </c>
      <c r="Y1517" s="35" t="str">
        <f aca="false">IF($G1517="","",$V1517*(N($M1517)*1+N($N1517)*0.75+N($O1517)*0.5+N($P1517)*0.25)+$W1517*N($L1517))</f>
        <v/>
      </c>
      <c r="Z1517" s="35" t="str">
        <f aca="false">IF($G1517="","",$U1517*1000000+ROW())</f>
        <v/>
      </c>
      <c r="AA1517" s="36" t="str">
        <f aca="false">IF($G1517="","",MID(IF($C1517="",", no division","")&amp;IF($E1517="",", no unit","")&amp;IF($H1517="",", no career level","")&amp;IF(N($L1517)&lt;=0,", no quarter split","")&amp;IF($R1517="",", no driver","")&amp;IF(AND($H1517&lt;&gt;"",COUNTIF(CareerLevels,$H1517)=0),", a career level that is not on the ladder","")&amp;IF(AND($R1517&lt;&gt;"",COUNTIF(DriverList,$R1517)=0),", a driver that is not on the list","")&amp;IF(ABS(N($L1517)-(N($M1517)+N($N1517)+N($O1517)+N($P1517)))&gt;0.001,", a total that does not match its quarters",""),3,300))</f>
        <v/>
      </c>
    </row>
    <row r="1518" customFormat="false" ht="15" hidden="false" customHeight="false" outlineLevel="0" collapsed="false">
      <c r="A1518" s="33" t="str">
        <f aca="false">IF($G1518="","","Operations Group")</f>
        <v/>
      </c>
      <c r="B1518" s="19"/>
      <c r="C1518" s="19"/>
      <c r="D1518" s="19"/>
      <c r="E1518" s="19"/>
      <c r="F1518" s="19"/>
      <c r="G1518" s="19"/>
      <c r="H1518" s="19"/>
      <c r="I1518" s="19"/>
      <c r="J1518" s="19"/>
      <c r="K1518" s="19"/>
      <c r="L1518" s="19"/>
      <c r="M1518" s="19"/>
      <c r="N1518" s="19"/>
      <c r="O1518" s="19"/>
      <c r="P1518" s="19"/>
      <c r="Q1518" s="19"/>
      <c r="R1518" s="19"/>
      <c r="S1518" s="19"/>
      <c r="T1518" s="34" t="str">
        <f aca="false">IF($R1518="","",IFERROR(INDEX(DriverCategory,MATCH($R1518,DriverList,0)),"BAU"))</f>
        <v/>
      </c>
      <c r="U1518" s="34" t="str">
        <f aca="false">IF($R1518="","",IFERROR(INDEX(DriverRank,MATCH($R1518,DriverList,0)),99))</f>
        <v/>
      </c>
      <c r="V1518" s="35" t="n">
        <f aca="false">IF($H1518="",0,IFERROR(INDEX(LevelBasic,MATCH($H1518,LevelList,0))+INDEX(LevelHousing,MATCH($H1518,LevelList,0))+INDEX(LevelTransport,MATCH($H1518,LevelList,0))+INDEX(LevelBasic,MATCH($H1518,LevelList,0))*INDEX(LevelBonus,MATCH($H1518,LevelList,0))+(INDEX(LevelBasic,MATCH($H1518,LevelList,0))+INDEX(LevelHousing,MATCH($H1518,LevelList,0)))*GosiSaudi,0))</f>
        <v>0</v>
      </c>
      <c r="W1518" s="35" t="n">
        <f aca="false">IFERROR(INDEX(LevelOneOff,MATCH($H1518,LevelList,0)),0)</f>
        <v>0</v>
      </c>
      <c r="X1518" s="35" t="str">
        <f aca="false">IF($G1518="","",$V1518*N($L1518))</f>
        <v/>
      </c>
      <c r="Y1518" s="35" t="str">
        <f aca="false">IF($G1518="","",$V1518*(N($M1518)*1+N($N1518)*0.75+N($O1518)*0.5+N($P1518)*0.25)+$W1518*N($L1518))</f>
        <v/>
      </c>
      <c r="Z1518" s="35" t="str">
        <f aca="false">IF($G1518="","",$U1518*1000000+ROW())</f>
        <v/>
      </c>
      <c r="AA1518" s="36" t="str">
        <f aca="false">IF($G1518="","",MID(IF($C1518="",", no division","")&amp;IF($E1518="",", no unit","")&amp;IF($H1518="",", no career level","")&amp;IF(N($L1518)&lt;=0,", no quarter split","")&amp;IF($R1518="",", no driver","")&amp;IF(AND($H1518&lt;&gt;"",COUNTIF(CareerLevels,$H1518)=0),", a career level that is not on the ladder","")&amp;IF(AND($R1518&lt;&gt;"",COUNTIF(DriverList,$R1518)=0),", a driver that is not on the list","")&amp;IF(ABS(N($L1518)-(N($M1518)+N($N1518)+N($O1518)+N($P1518)))&gt;0.001,", a total that does not match its quarters",""),3,300))</f>
        <v/>
      </c>
    </row>
    <row r="1519" customFormat="false" ht="15" hidden="false" customHeight="false" outlineLevel="0" collapsed="false">
      <c r="A1519" s="33" t="str">
        <f aca="false">IF($G1519="","","Operations Group")</f>
        <v/>
      </c>
      <c r="B1519" s="19"/>
      <c r="C1519" s="19"/>
      <c r="D1519" s="19"/>
      <c r="E1519" s="19"/>
      <c r="F1519" s="19"/>
      <c r="G1519" s="19"/>
      <c r="H1519" s="19"/>
      <c r="I1519" s="19"/>
      <c r="J1519" s="19"/>
      <c r="K1519" s="19"/>
      <c r="L1519" s="19"/>
      <c r="M1519" s="19"/>
      <c r="N1519" s="19"/>
      <c r="O1519" s="19"/>
      <c r="P1519" s="19"/>
      <c r="Q1519" s="19"/>
      <c r="R1519" s="19"/>
      <c r="S1519" s="19"/>
      <c r="T1519" s="34" t="str">
        <f aca="false">IF($R1519="","",IFERROR(INDEX(DriverCategory,MATCH($R1519,DriverList,0)),"BAU"))</f>
        <v/>
      </c>
      <c r="U1519" s="34" t="str">
        <f aca="false">IF($R1519="","",IFERROR(INDEX(DriverRank,MATCH($R1519,DriverList,0)),99))</f>
        <v/>
      </c>
      <c r="V1519" s="35" t="n">
        <f aca="false">IF($H1519="",0,IFERROR(INDEX(LevelBasic,MATCH($H1519,LevelList,0))+INDEX(LevelHousing,MATCH($H1519,LevelList,0))+INDEX(LevelTransport,MATCH($H1519,LevelList,0))+INDEX(LevelBasic,MATCH($H1519,LevelList,0))*INDEX(LevelBonus,MATCH($H1519,LevelList,0))+(INDEX(LevelBasic,MATCH($H1519,LevelList,0))+INDEX(LevelHousing,MATCH($H1519,LevelList,0)))*GosiSaudi,0))</f>
        <v>0</v>
      </c>
      <c r="W1519" s="35" t="n">
        <f aca="false">IFERROR(INDEX(LevelOneOff,MATCH($H1519,LevelList,0)),0)</f>
        <v>0</v>
      </c>
      <c r="X1519" s="35" t="str">
        <f aca="false">IF($G1519="","",$V1519*N($L1519))</f>
        <v/>
      </c>
      <c r="Y1519" s="35" t="str">
        <f aca="false">IF($G1519="","",$V1519*(N($M1519)*1+N($N1519)*0.75+N($O1519)*0.5+N($P1519)*0.25)+$W1519*N($L1519))</f>
        <v/>
      </c>
      <c r="Z1519" s="35" t="str">
        <f aca="false">IF($G1519="","",$U1519*1000000+ROW())</f>
        <v/>
      </c>
      <c r="AA1519" s="36" t="str">
        <f aca="false">IF($G1519="","",MID(IF($C1519="",", no division","")&amp;IF($E1519="",", no unit","")&amp;IF($H1519="",", no career level","")&amp;IF(N($L1519)&lt;=0,", no quarter split","")&amp;IF($R1519="",", no driver","")&amp;IF(AND($H1519&lt;&gt;"",COUNTIF(CareerLevels,$H1519)=0),", a career level that is not on the ladder","")&amp;IF(AND($R1519&lt;&gt;"",COUNTIF(DriverList,$R1519)=0),", a driver that is not on the list","")&amp;IF(ABS(N($L1519)-(N($M1519)+N($N1519)+N($O1519)+N($P1519)))&gt;0.001,", a total that does not match its quarters",""),3,300))</f>
        <v/>
      </c>
    </row>
    <row r="1520" customFormat="false" ht="15" hidden="false" customHeight="false" outlineLevel="0" collapsed="false">
      <c r="A1520" s="33" t="str">
        <f aca="false">IF($G1520="","","Operations Group")</f>
        <v/>
      </c>
      <c r="B1520" s="19"/>
      <c r="C1520" s="19"/>
      <c r="D1520" s="19"/>
      <c r="E1520" s="19"/>
      <c r="F1520" s="19"/>
      <c r="G1520" s="19"/>
      <c r="H1520" s="19"/>
      <c r="I1520" s="19"/>
      <c r="J1520" s="19"/>
      <c r="K1520" s="19"/>
      <c r="L1520" s="19"/>
      <c r="M1520" s="19"/>
      <c r="N1520" s="19"/>
      <c r="O1520" s="19"/>
      <c r="P1520" s="19"/>
      <c r="Q1520" s="19"/>
      <c r="R1520" s="19"/>
      <c r="S1520" s="19"/>
      <c r="T1520" s="34" t="str">
        <f aca="false">IF($R1520="","",IFERROR(INDEX(DriverCategory,MATCH($R1520,DriverList,0)),"BAU"))</f>
        <v/>
      </c>
      <c r="U1520" s="34" t="str">
        <f aca="false">IF($R1520="","",IFERROR(INDEX(DriverRank,MATCH($R1520,DriverList,0)),99))</f>
        <v/>
      </c>
      <c r="V1520" s="35" t="n">
        <f aca="false">IF($H1520="",0,IFERROR(INDEX(LevelBasic,MATCH($H1520,LevelList,0))+INDEX(LevelHousing,MATCH($H1520,LevelList,0))+INDEX(LevelTransport,MATCH($H1520,LevelList,0))+INDEX(LevelBasic,MATCH($H1520,LevelList,0))*INDEX(LevelBonus,MATCH($H1520,LevelList,0))+(INDEX(LevelBasic,MATCH($H1520,LevelList,0))+INDEX(LevelHousing,MATCH($H1520,LevelList,0)))*GosiSaudi,0))</f>
        <v>0</v>
      </c>
      <c r="W1520" s="35" t="n">
        <f aca="false">IFERROR(INDEX(LevelOneOff,MATCH($H1520,LevelList,0)),0)</f>
        <v>0</v>
      </c>
      <c r="X1520" s="35" t="str">
        <f aca="false">IF($G1520="","",$V1520*N($L1520))</f>
        <v/>
      </c>
      <c r="Y1520" s="35" t="str">
        <f aca="false">IF($G1520="","",$V1520*(N($M1520)*1+N($N1520)*0.75+N($O1520)*0.5+N($P1520)*0.25)+$W1520*N($L1520))</f>
        <v/>
      </c>
      <c r="Z1520" s="35" t="str">
        <f aca="false">IF($G1520="","",$U1520*1000000+ROW())</f>
        <v/>
      </c>
      <c r="AA1520" s="36" t="str">
        <f aca="false">IF($G1520="","",MID(IF($C1520="",", no division","")&amp;IF($E1520="",", no unit","")&amp;IF($H1520="",", no career level","")&amp;IF(N($L1520)&lt;=0,", no quarter split","")&amp;IF($R1520="",", no driver","")&amp;IF(AND($H1520&lt;&gt;"",COUNTIF(CareerLevels,$H1520)=0),", a career level that is not on the ladder","")&amp;IF(AND($R1520&lt;&gt;"",COUNTIF(DriverList,$R1520)=0),", a driver that is not on the list","")&amp;IF(ABS(N($L1520)-(N($M1520)+N($N1520)+N($O1520)+N($P1520)))&gt;0.001,", a total that does not match its quarters",""),3,300))</f>
        <v/>
      </c>
    </row>
    <row r="1521" customFormat="false" ht="15" hidden="false" customHeight="false" outlineLevel="0" collapsed="false">
      <c r="A1521" s="33" t="str">
        <f aca="false">IF($G1521="","","Operations Group")</f>
        <v/>
      </c>
      <c r="B1521" s="19"/>
      <c r="C1521" s="19"/>
      <c r="D1521" s="19"/>
      <c r="E1521" s="19"/>
      <c r="F1521" s="19"/>
      <c r="G1521" s="19"/>
      <c r="H1521" s="19"/>
      <c r="I1521" s="19"/>
      <c r="J1521" s="19"/>
      <c r="K1521" s="19"/>
      <c r="L1521" s="19"/>
      <c r="M1521" s="19"/>
      <c r="N1521" s="19"/>
      <c r="O1521" s="19"/>
      <c r="P1521" s="19"/>
      <c r="Q1521" s="19"/>
      <c r="R1521" s="19"/>
      <c r="S1521" s="19"/>
      <c r="T1521" s="34" t="str">
        <f aca="false">IF($R1521="","",IFERROR(INDEX(DriverCategory,MATCH($R1521,DriverList,0)),"BAU"))</f>
        <v/>
      </c>
      <c r="U1521" s="34" t="str">
        <f aca="false">IF($R1521="","",IFERROR(INDEX(DriverRank,MATCH($R1521,DriverList,0)),99))</f>
        <v/>
      </c>
      <c r="V1521" s="35" t="n">
        <f aca="false">IF($H1521="",0,IFERROR(INDEX(LevelBasic,MATCH($H1521,LevelList,0))+INDEX(LevelHousing,MATCH($H1521,LevelList,0))+INDEX(LevelTransport,MATCH($H1521,LevelList,0))+INDEX(LevelBasic,MATCH($H1521,LevelList,0))*INDEX(LevelBonus,MATCH($H1521,LevelList,0))+(INDEX(LevelBasic,MATCH($H1521,LevelList,0))+INDEX(LevelHousing,MATCH($H1521,LevelList,0)))*GosiSaudi,0))</f>
        <v>0</v>
      </c>
      <c r="W1521" s="35" t="n">
        <f aca="false">IFERROR(INDEX(LevelOneOff,MATCH($H1521,LevelList,0)),0)</f>
        <v>0</v>
      </c>
      <c r="X1521" s="35" t="str">
        <f aca="false">IF($G1521="","",$V1521*N($L1521))</f>
        <v/>
      </c>
      <c r="Y1521" s="35" t="str">
        <f aca="false">IF($G1521="","",$V1521*(N($M1521)*1+N($N1521)*0.75+N($O1521)*0.5+N($P1521)*0.25)+$W1521*N($L1521))</f>
        <v/>
      </c>
      <c r="Z1521" s="35" t="str">
        <f aca="false">IF($G1521="","",$U1521*1000000+ROW())</f>
        <v/>
      </c>
      <c r="AA1521" s="36" t="str">
        <f aca="false">IF($G1521="","",MID(IF($C1521="",", no division","")&amp;IF($E1521="",", no unit","")&amp;IF($H1521="",", no career level","")&amp;IF(N($L1521)&lt;=0,", no quarter split","")&amp;IF($R1521="",", no driver","")&amp;IF(AND($H1521&lt;&gt;"",COUNTIF(CareerLevels,$H1521)=0),", a career level that is not on the ladder","")&amp;IF(AND($R1521&lt;&gt;"",COUNTIF(DriverList,$R1521)=0),", a driver that is not on the list","")&amp;IF(ABS(N($L1521)-(N($M1521)+N($N1521)+N($O1521)+N($P1521)))&gt;0.001,", a total that does not match its quarters",""),3,300))</f>
        <v/>
      </c>
    </row>
    <row r="1522" customFormat="false" ht="15" hidden="false" customHeight="false" outlineLevel="0" collapsed="false">
      <c r="A1522" s="33" t="str">
        <f aca="false">IF($G1522="","","Operations Group")</f>
        <v/>
      </c>
      <c r="B1522" s="19"/>
      <c r="C1522" s="19"/>
      <c r="D1522" s="19"/>
      <c r="E1522" s="19"/>
      <c r="F1522" s="19"/>
      <c r="G1522" s="19"/>
      <c r="H1522" s="19"/>
      <c r="I1522" s="19"/>
      <c r="J1522" s="19"/>
      <c r="K1522" s="19"/>
      <c r="L1522" s="19"/>
      <c r="M1522" s="19"/>
      <c r="N1522" s="19"/>
      <c r="O1522" s="19"/>
      <c r="P1522" s="19"/>
      <c r="Q1522" s="19"/>
      <c r="R1522" s="19"/>
      <c r="S1522" s="19"/>
      <c r="T1522" s="34" t="str">
        <f aca="false">IF($R1522="","",IFERROR(INDEX(DriverCategory,MATCH($R1522,DriverList,0)),"BAU"))</f>
        <v/>
      </c>
      <c r="U1522" s="34" t="str">
        <f aca="false">IF($R1522="","",IFERROR(INDEX(DriverRank,MATCH($R1522,DriverList,0)),99))</f>
        <v/>
      </c>
      <c r="V1522" s="35" t="n">
        <f aca="false">IF($H1522="",0,IFERROR(INDEX(LevelBasic,MATCH($H1522,LevelList,0))+INDEX(LevelHousing,MATCH($H1522,LevelList,0))+INDEX(LevelTransport,MATCH($H1522,LevelList,0))+INDEX(LevelBasic,MATCH($H1522,LevelList,0))*INDEX(LevelBonus,MATCH($H1522,LevelList,0))+(INDEX(LevelBasic,MATCH($H1522,LevelList,0))+INDEX(LevelHousing,MATCH($H1522,LevelList,0)))*GosiSaudi,0))</f>
        <v>0</v>
      </c>
      <c r="W1522" s="35" t="n">
        <f aca="false">IFERROR(INDEX(LevelOneOff,MATCH($H1522,LevelList,0)),0)</f>
        <v>0</v>
      </c>
      <c r="X1522" s="35" t="str">
        <f aca="false">IF($G1522="","",$V1522*N($L1522))</f>
        <v/>
      </c>
      <c r="Y1522" s="35" t="str">
        <f aca="false">IF($G1522="","",$V1522*(N($M1522)*1+N($N1522)*0.75+N($O1522)*0.5+N($P1522)*0.25)+$W1522*N($L1522))</f>
        <v/>
      </c>
      <c r="Z1522" s="35" t="str">
        <f aca="false">IF($G1522="","",$U1522*1000000+ROW())</f>
        <v/>
      </c>
      <c r="AA1522" s="36" t="str">
        <f aca="false">IF($G1522="","",MID(IF($C1522="",", no division","")&amp;IF($E1522="",", no unit","")&amp;IF($H1522="",", no career level","")&amp;IF(N($L1522)&lt;=0,", no quarter split","")&amp;IF($R1522="",", no driver","")&amp;IF(AND($H1522&lt;&gt;"",COUNTIF(CareerLevels,$H1522)=0),", a career level that is not on the ladder","")&amp;IF(AND($R1522&lt;&gt;"",COUNTIF(DriverList,$R1522)=0),", a driver that is not on the list","")&amp;IF(ABS(N($L1522)-(N($M1522)+N($N1522)+N($O1522)+N($P1522)))&gt;0.001,", a total that does not match its quarters",""),3,300))</f>
        <v/>
      </c>
    </row>
    <row r="1523" customFormat="false" ht="15" hidden="false" customHeight="false" outlineLevel="0" collapsed="false">
      <c r="A1523" s="33" t="str">
        <f aca="false">IF($G1523="","","Operations Group")</f>
        <v/>
      </c>
      <c r="B1523" s="19"/>
      <c r="C1523" s="19"/>
      <c r="D1523" s="19"/>
      <c r="E1523" s="19"/>
      <c r="F1523" s="19"/>
      <c r="G1523" s="19"/>
      <c r="H1523" s="19"/>
      <c r="I1523" s="19"/>
      <c r="J1523" s="19"/>
      <c r="K1523" s="19"/>
      <c r="L1523" s="19"/>
      <c r="M1523" s="19"/>
      <c r="N1523" s="19"/>
      <c r="O1523" s="19"/>
      <c r="P1523" s="19"/>
      <c r="Q1523" s="19"/>
      <c r="R1523" s="19"/>
      <c r="S1523" s="19"/>
      <c r="T1523" s="34" t="str">
        <f aca="false">IF($R1523="","",IFERROR(INDEX(DriverCategory,MATCH($R1523,DriverList,0)),"BAU"))</f>
        <v/>
      </c>
      <c r="U1523" s="34" t="str">
        <f aca="false">IF($R1523="","",IFERROR(INDEX(DriverRank,MATCH($R1523,DriverList,0)),99))</f>
        <v/>
      </c>
      <c r="V1523" s="35" t="n">
        <f aca="false">IF($H1523="",0,IFERROR(INDEX(LevelBasic,MATCH($H1523,LevelList,0))+INDEX(LevelHousing,MATCH($H1523,LevelList,0))+INDEX(LevelTransport,MATCH($H1523,LevelList,0))+INDEX(LevelBasic,MATCH($H1523,LevelList,0))*INDEX(LevelBonus,MATCH($H1523,LevelList,0))+(INDEX(LevelBasic,MATCH($H1523,LevelList,0))+INDEX(LevelHousing,MATCH($H1523,LevelList,0)))*GosiSaudi,0))</f>
        <v>0</v>
      </c>
      <c r="W1523" s="35" t="n">
        <f aca="false">IFERROR(INDEX(LevelOneOff,MATCH($H1523,LevelList,0)),0)</f>
        <v>0</v>
      </c>
      <c r="X1523" s="35" t="str">
        <f aca="false">IF($G1523="","",$V1523*N($L1523))</f>
        <v/>
      </c>
      <c r="Y1523" s="35" t="str">
        <f aca="false">IF($G1523="","",$V1523*(N($M1523)*1+N($N1523)*0.75+N($O1523)*0.5+N($P1523)*0.25)+$W1523*N($L1523))</f>
        <v/>
      </c>
      <c r="Z1523" s="35" t="str">
        <f aca="false">IF($G1523="","",$U1523*1000000+ROW())</f>
        <v/>
      </c>
      <c r="AA1523" s="36" t="str">
        <f aca="false">IF($G1523="","",MID(IF($C1523="",", no division","")&amp;IF($E1523="",", no unit","")&amp;IF($H1523="",", no career level","")&amp;IF(N($L1523)&lt;=0,", no quarter split","")&amp;IF($R1523="",", no driver","")&amp;IF(AND($H1523&lt;&gt;"",COUNTIF(CareerLevels,$H1523)=0),", a career level that is not on the ladder","")&amp;IF(AND($R1523&lt;&gt;"",COUNTIF(DriverList,$R1523)=0),", a driver that is not on the list","")&amp;IF(ABS(N($L1523)-(N($M1523)+N($N1523)+N($O1523)+N($P1523)))&gt;0.001,", a total that does not match its quarters",""),3,300))</f>
        <v/>
      </c>
    </row>
    <row r="1524" customFormat="false" ht="15" hidden="false" customHeight="false" outlineLevel="0" collapsed="false">
      <c r="A1524" s="33" t="str">
        <f aca="false">IF($G1524="","","Operations Group")</f>
        <v/>
      </c>
      <c r="B1524" s="19"/>
      <c r="C1524" s="19"/>
      <c r="D1524" s="19"/>
      <c r="E1524" s="19"/>
      <c r="F1524" s="19"/>
      <c r="G1524" s="19"/>
      <c r="H1524" s="19"/>
      <c r="I1524" s="19"/>
      <c r="J1524" s="19"/>
      <c r="K1524" s="19"/>
      <c r="L1524" s="19"/>
      <c r="M1524" s="19"/>
      <c r="N1524" s="19"/>
      <c r="O1524" s="19"/>
      <c r="P1524" s="19"/>
      <c r="Q1524" s="19"/>
      <c r="R1524" s="19"/>
      <c r="S1524" s="19"/>
      <c r="T1524" s="34" t="str">
        <f aca="false">IF($R1524="","",IFERROR(INDEX(DriverCategory,MATCH($R1524,DriverList,0)),"BAU"))</f>
        <v/>
      </c>
      <c r="U1524" s="34" t="str">
        <f aca="false">IF($R1524="","",IFERROR(INDEX(DriverRank,MATCH($R1524,DriverList,0)),99))</f>
        <v/>
      </c>
      <c r="V1524" s="35" t="n">
        <f aca="false">IF($H1524="",0,IFERROR(INDEX(LevelBasic,MATCH($H1524,LevelList,0))+INDEX(LevelHousing,MATCH($H1524,LevelList,0))+INDEX(LevelTransport,MATCH($H1524,LevelList,0))+INDEX(LevelBasic,MATCH($H1524,LevelList,0))*INDEX(LevelBonus,MATCH($H1524,LevelList,0))+(INDEX(LevelBasic,MATCH($H1524,LevelList,0))+INDEX(LevelHousing,MATCH($H1524,LevelList,0)))*GosiSaudi,0))</f>
        <v>0</v>
      </c>
      <c r="W1524" s="35" t="n">
        <f aca="false">IFERROR(INDEX(LevelOneOff,MATCH($H1524,LevelList,0)),0)</f>
        <v>0</v>
      </c>
      <c r="X1524" s="35" t="str">
        <f aca="false">IF($G1524="","",$V1524*N($L1524))</f>
        <v/>
      </c>
      <c r="Y1524" s="35" t="str">
        <f aca="false">IF($G1524="","",$V1524*(N($M1524)*1+N($N1524)*0.75+N($O1524)*0.5+N($P1524)*0.25)+$W1524*N($L1524))</f>
        <v/>
      </c>
      <c r="Z1524" s="35" t="str">
        <f aca="false">IF($G1524="","",$U1524*1000000+ROW())</f>
        <v/>
      </c>
      <c r="AA1524" s="36" t="str">
        <f aca="false">IF($G1524="","",MID(IF($C1524="",", no division","")&amp;IF($E1524="",", no unit","")&amp;IF($H1524="",", no career level","")&amp;IF(N($L1524)&lt;=0,", no quarter split","")&amp;IF($R1524="",", no driver","")&amp;IF(AND($H1524&lt;&gt;"",COUNTIF(CareerLevels,$H1524)=0),", a career level that is not on the ladder","")&amp;IF(AND($R1524&lt;&gt;"",COUNTIF(DriverList,$R1524)=0),", a driver that is not on the list","")&amp;IF(ABS(N($L1524)-(N($M1524)+N($N1524)+N($O1524)+N($P1524)))&gt;0.001,", a total that does not match its quarters",""),3,300))</f>
        <v/>
      </c>
    </row>
    <row r="1525" customFormat="false" ht="15" hidden="false" customHeight="false" outlineLevel="0" collapsed="false">
      <c r="A1525" s="33" t="str">
        <f aca="false">IF($G1525="","","Operations Group")</f>
        <v/>
      </c>
      <c r="B1525" s="19"/>
      <c r="C1525" s="19"/>
      <c r="D1525" s="19"/>
      <c r="E1525" s="19"/>
      <c r="F1525" s="19"/>
      <c r="G1525" s="19"/>
      <c r="H1525" s="19"/>
      <c r="I1525" s="19"/>
      <c r="J1525" s="19"/>
      <c r="K1525" s="19"/>
      <c r="L1525" s="19"/>
      <c r="M1525" s="19"/>
      <c r="N1525" s="19"/>
      <c r="O1525" s="19"/>
      <c r="P1525" s="19"/>
      <c r="Q1525" s="19"/>
      <c r="R1525" s="19"/>
      <c r="S1525" s="19"/>
      <c r="T1525" s="34" t="str">
        <f aca="false">IF($R1525="","",IFERROR(INDEX(DriverCategory,MATCH($R1525,DriverList,0)),"BAU"))</f>
        <v/>
      </c>
      <c r="U1525" s="34" t="str">
        <f aca="false">IF($R1525="","",IFERROR(INDEX(DriverRank,MATCH($R1525,DriverList,0)),99))</f>
        <v/>
      </c>
      <c r="V1525" s="35" t="n">
        <f aca="false">IF($H1525="",0,IFERROR(INDEX(LevelBasic,MATCH($H1525,LevelList,0))+INDEX(LevelHousing,MATCH($H1525,LevelList,0))+INDEX(LevelTransport,MATCH($H1525,LevelList,0))+INDEX(LevelBasic,MATCH($H1525,LevelList,0))*INDEX(LevelBonus,MATCH($H1525,LevelList,0))+(INDEX(LevelBasic,MATCH($H1525,LevelList,0))+INDEX(LevelHousing,MATCH($H1525,LevelList,0)))*GosiSaudi,0))</f>
        <v>0</v>
      </c>
      <c r="W1525" s="35" t="n">
        <f aca="false">IFERROR(INDEX(LevelOneOff,MATCH($H1525,LevelList,0)),0)</f>
        <v>0</v>
      </c>
      <c r="X1525" s="35" t="str">
        <f aca="false">IF($G1525="","",$V1525*N($L1525))</f>
        <v/>
      </c>
      <c r="Y1525" s="35" t="str">
        <f aca="false">IF($G1525="","",$V1525*(N($M1525)*1+N($N1525)*0.75+N($O1525)*0.5+N($P1525)*0.25)+$W1525*N($L1525))</f>
        <v/>
      </c>
      <c r="Z1525" s="35" t="str">
        <f aca="false">IF($G1525="","",$U1525*1000000+ROW())</f>
        <v/>
      </c>
      <c r="AA1525" s="36" t="str">
        <f aca="false">IF($G1525="","",MID(IF($C1525="",", no division","")&amp;IF($E1525="",", no unit","")&amp;IF($H1525="",", no career level","")&amp;IF(N($L1525)&lt;=0,", no quarter split","")&amp;IF($R1525="",", no driver","")&amp;IF(AND($H1525&lt;&gt;"",COUNTIF(CareerLevels,$H1525)=0),", a career level that is not on the ladder","")&amp;IF(AND($R1525&lt;&gt;"",COUNTIF(DriverList,$R1525)=0),", a driver that is not on the list","")&amp;IF(ABS(N($L1525)-(N($M1525)+N($N1525)+N($O1525)+N($P1525)))&gt;0.001,", a total that does not match its quarters",""),3,300))</f>
        <v/>
      </c>
    </row>
    <row r="1526" customFormat="false" ht="15" hidden="false" customHeight="false" outlineLevel="0" collapsed="false">
      <c r="A1526" s="33" t="str">
        <f aca="false">IF($G1526="","","Operations Group")</f>
        <v/>
      </c>
      <c r="B1526" s="19"/>
      <c r="C1526" s="19"/>
      <c r="D1526" s="19"/>
      <c r="E1526" s="19"/>
      <c r="F1526" s="19"/>
      <c r="G1526" s="19"/>
      <c r="H1526" s="19"/>
      <c r="I1526" s="19"/>
      <c r="J1526" s="19"/>
      <c r="K1526" s="19"/>
      <c r="L1526" s="19"/>
      <c r="M1526" s="19"/>
      <c r="N1526" s="19"/>
      <c r="O1526" s="19"/>
      <c r="P1526" s="19"/>
      <c r="Q1526" s="19"/>
      <c r="R1526" s="19"/>
      <c r="S1526" s="19"/>
      <c r="T1526" s="34" t="str">
        <f aca="false">IF($R1526="","",IFERROR(INDEX(DriverCategory,MATCH($R1526,DriverList,0)),"BAU"))</f>
        <v/>
      </c>
      <c r="U1526" s="34" t="str">
        <f aca="false">IF($R1526="","",IFERROR(INDEX(DriverRank,MATCH($R1526,DriverList,0)),99))</f>
        <v/>
      </c>
      <c r="V1526" s="35" t="n">
        <f aca="false">IF($H1526="",0,IFERROR(INDEX(LevelBasic,MATCH($H1526,LevelList,0))+INDEX(LevelHousing,MATCH($H1526,LevelList,0))+INDEX(LevelTransport,MATCH($H1526,LevelList,0))+INDEX(LevelBasic,MATCH($H1526,LevelList,0))*INDEX(LevelBonus,MATCH($H1526,LevelList,0))+(INDEX(LevelBasic,MATCH($H1526,LevelList,0))+INDEX(LevelHousing,MATCH($H1526,LevelList,0)))*GosiSaudi,0))</f>
        <v>0</v>
      </c>
      <c r="W1526" s="35" t="n">
        <f aca="false">IFERROR(INDEX(LevelOneOff,MATCH($H1526,LevelList,0)),0)</f>
        <v>0</v>
      </c>
      <c r="X1526" s="35" t="str">
        <f aca="false">IF($G1526="","",$V1526*N($L1526))</f>
        <v/>
      </c>
      <c r="Y1526" s="35" t="str">
        <f aca="false">IF($G1526="","",$V1526*(N($M1526)*1+N($N1526)*0.75+N($O1526)*0.5+N($P1526)*0.25)+$W1526*N($L1526))</f>
        <v/>
      </c>
      <c r="Z1526" s="35" t="str">
        <f aca="false">IF($G1526="","",$U1526*1000000+ROW())</f>
        <v/>
      </c>
      <c r="AA1526" s="36" t="str">
        <f aca="false">IF($G1526="","",MID(IF($C1526="",", no division","")&amp;IF($E1526="",", no unit","")&amp;IF($H1526="",", no career level","")&amp;IF(N($L1526)&lt;=0,", no quarter split","")&amp;IF($R1526="",", no driver","")&amp;IF(AND($H1526&lt;&gt;"",COUNTIF(CareerLevels,$H1526)=0),", a career level that is not on the ladder","")&amp;IF(AND($R1526&lt;&gt;"",COUNTIF(DriverList,$R1526)=0),", a driver that is not on the list","")&amp;IF(ABS(N($L1526)-(N($M1526)+N($N1526)+N($O1526)+N($P1526)))&gt;0.001,", a total that does not match its quarters",""),3,300))</f>
        <v/>
      </c>
    </row>
    <row r="1527" customFormat="false" ht="15" hidden="false" customHeight="false" outlineLevel="0" collapsed="false">
      <c r="A1527" s="33" t="str">
        <f aca="false">IF($G1527="","","Operations Group")</f>
        <v/>
      </c>
      <c r="B1527" s="19"/>
      <c r="C1527" s="19"/>
      <c r="D1527" s="19"/>
      <c r="E1527" s="19"/>
      <c r="F1527" s="19"/>
      <c r="G1527" s="19"/>
      <c r="H1527" s="19"/>
      <c r="I1527" s="19"/>
      <c r="J1527" s="19"/>
      <c r="K1527" s="19"/>
      <c r="L1527" s="19"/>
      <c r="M1527" s="19"/>
      <c r="N1527" s="19"/>
      <c r="O1527" s="19"/>
      <c r="P1527" s="19"/>
      <c r="Q1527" s="19"/>
      <c r="R1527" s="19"/>
      <c r="S1527" s="19"/>
      <c r="T1527" s="34" t="str">
        <f aca="false">IF($R1527="","",IFERROR(INDEX(DriverCategory,MATCH($R1527,DriverList,0)),"BAU"))</f>
        <v/>
      </c>
      <c r="U1527" s="34" t="str">
        <f aca="false">IF($R1527="","",IFERROR(INDEX(DriverRank,MATCH($R1527,DriverList,0)),99))</f>
        <v/>
      </c>
      <c r="V1527" s="35" t="n">
        <f aca="false">IF($H1527="",0,IFERROR(INDEX(LevelBasic,MATCH($H1527,LevelList,0))+INDEX(LevelHousing,MATCH($H1527,LevelList,0))+INDEX(LevelTransport,MATCH($H1527,LevelList,0))+INDEX(LevelBasic,MATCH($H1527,LevelList,0))*INDEX(LevelBonus,MATCH($H1527,LevelList,0))+(INDEX(LevelBasic,MATCH($H1527,LevelList,0))+INDEX(LevelHousing,MATCH($H1527,LevelList,0)))*GosiSaudi,0))</f>
        <v>0</v>
      </c>
      <c r="W1527" s="35" t="n">
        <f aca="false">IFERROR(INDEX(LevelOneOff,MATCH($H1527,LevelList,0)),0)</f>
        <v>0</v>
      </c>
      <c r="X1527" s="35" t="str">
        <f aca="false">IF($G1527="","",$V1527*N($L1527))</f>
        <v/>
      </c>
      <c r="Y1527" s="35" t="str">
        <f aca="false">IF($G1527="","",$V1527*(N($M1527)*1+N($N1527)*0.75+N($O1527)*0.5+N($P1527)*0.25)+$W1527*N($L1527))</f>
        <v/>
      </c>
      <c r="Z1527" s="35" t="str">
        <f aca="false">IF($G1527="","",$U1527*1000000+ROW())</f>
        <v/>
      </c>
      <c r="AA1527" s="36" t="str">
        <f aca="false">IF($G1527="","",MID(IF($C1527="",", no division","")&amp;IF($E1527="",", no unit","")&amp;IF($H1527="",", no career level","")&amp;IF(N($L1527)&lt;=0,", no quarter split","")&amp;IF($R1527="",", no driver","")&amp;IF(AND($H1527&lt;&gt;"",COUNTIF(CareerLevels,$H1527)=0),", a career level that is not on the ladder","")&amp;IF(AND($R1527&lt;&gt;"",COUNTIF(DriverList,$R1527)=0),", a driver that is not on the list","")&amp;IF(ABS(N($L1527)-(N($M1527)+N($N1527)+N($O1527)+N($P1527)))&gt;0.001,", a total that does not match its quarters",""),3,300))</f>
        <v/>
      </c>
    </row>
    <row r="1528" customFormat="false" ht="15" hidden="false" customHeight="false" outlineLevel="0" collapsed="false">
      <c r="A1528" s="33" t="str">
        <f aca="false">IF($G1528="","","Operations Group")</f>
        <v/>
      </c>
      <c r="B1528" s="19"/>
      <c r="C1528" s="19"/>
      <c r="D1528" s="19"/>
      <c r="E1528" s="19"/>
      <c r="F1528" s="19"/>
      <c r="G1528" s="19"/>
      <c r="H1528" s="19"/>
      <c r="I1528" s="19"/>
      <c r="J1528" s="19"/>
      <c r="K1528" s="19"/>
      <c r="L1528" s="19"/>
      <c r="M1528" s="19"/>
      <c r="N1528" s="19"/>
      <c r="O1528" s="19"/>
      <c r="P1528" s="19"/>
      <c r="Q1528" s="19"/>
      <c r="R1528" s="19"/>
      <c r="S1528" s="19"/>
      <c r="T1528" s="34" t="str">
        <f aca="false">IF($R1528="","",IFERROR(INDEX(DriverCategory,MATCH($R1528,DriverList,0)),"BAU"))</f>
        <v/>
      </c>
      <c r="U1528" s="34" t="str">
        <f aca="false">IF($R1528="","",IFERROR(INDEX(DriverRank,MATCH($R1528,DriverList,0)),99))</f>
        <v/>
      </c>
      <c r="V1528" s="35" t="n">
        <f aca="false">IF($H1528="",0,IFERROR(INDEX(LevelBasic,MATCH($H1528,LevelList,0))+INDEX(LevelHousing,MATCH($H1528,LevelList,0))+INDEX(LevelTransport,MATCH($H1528,LevelList,0))+INDEX(LevelBasic,MATCH($H1528,LevelList,0))*INDEX(LevelBonus,MATCH($H1528,LevelList,0))+(INDEX(LevelBasic,MATCH($H1528,LevelList,0))+INDEX(LevelHousing,MATCH($H1528,LevelList,0)))*GosiSaudi,0))</f>
        <v>0</v>
      </c>
      <c r="W1528" s="35" t="n">
        <f aca="false">IFERROR(INDEX(LevelOneOff,MATCH($H1528,LevelList,0)),0)</f>
        <v>0</v>
      </c>
      <c r="X1528" s="35" t="str">
        <f aca="false">IF($G1528="","",$V1528*N($L1528))</f>
        <v/>
      </c>
      <c r="Y1528" s="35" t="str">
        <f aca="false">IF($G1528="","",$V1528*(N($M1528)*1+N($N1528)*0.75+N($O1528)*0.5+N($P1528)*0.25)+$W1528*N($L1528))</f>
        <v/>
      </c>
      <c r="Z1528" s="35" t="str">
        <f aca="false">IF($G1528="","",$U1528*1000000+ROW())</f>
        <v/>
      </c>
      <c r="AA1528" s="36" t="str">
        <f aca="false">IF($G1528="","",MID(IF($C1528="",", no division","")&amp;IF($E1528="",", no unit","")&amp;IF($H1528="",", no career level","")&amp;IF(N($L1528)&lt;=0,", no quarter split","")&amp;IF($R1528="",", no driver","")&amp;IF(AND($H1528&lt;&gt;"",COUNTIF(CareerLevels,$H1528)=0),", a career level that is not on the ladder","")&amp;IF(AND($R1528&lt;&gt;"",COUNTIF(DriverList,$R1528)=0),", a driver that is not on the list","")&amp;IF(ABS(N($L1528)-(N($M1528)+N($N1528)+N($O1528)+N($P1528)))&gt;0.001,", a total that does not match its quarters",""),3,300))</f>
        <v/>
      </c>
    </row>
    <row r="1529" customFormat="false" ht="15" hidden="false" customHeight="false" outlineLevel="0" collapsed="false">
      <c r="A1529" s="33" t="str">
        <f aca="false">IF($G1529="","","Operations Group")</f>
        <v/>
      </c>
      <c r="B1529" s="19"/>
      <c r="C1529" s="19"/>
      <c r="D1529" s="19"/>
      <c r="E1529" s="19"/>
      <c r="F1529" s="19"/>
      <c r="G1529" s="19"/>
      <c r="H1529" s="19"/>
      <c r="I1529" s="19"/>
      <c r="J1529" s="19"/>
      <c r="K1529" s="19"/>
      <c r="L1529" s="19"/>
      <c r="M1529" s="19"/>
      <c r="N1529" s="19"/>
      <c r="O1529" s="19"/>
      <c r="P1529" s="19"/>
      <c r="Q1529" s="19"/>
      <c r="R1529" s="19"/>
      <c r="S1529" s="19"/>
      <c r="T1529" s="34" t="str">
        <f aca="false">IF($R1529="","",IFERROR(INDEX(DriverCategory,MATCH($R1529,DriverList,0)),"BAU"))</f>
        <v/>
      </c>
      <c r="U1529" s="34" t="str">
        <f aca="false">IF($R1529="","",IFERROR(INDEX(DriverRank,MATCH($R1529,DriverList,0)),99))</f>
        <v/>
      </c>
      <c r="V1529" s="35" t="n">
        <f aca="false">IF($H1529="",0,IFERROR(INDEX(LevelBasic,MATCH($H1529,LevelList,0))+INDEX(LevelHousing,MATCH($H1529,LevelList,0))+INDEX(LevelTransport,MATCH($H1529,LevelList,0))+INDEX(LevelBasic,MATCH($H1529,LevelList,0))*INDEX(LevelBonus,MATCH($H1529,LevelList,0))+(INDEX(LevelBasic,MATCH($H1529,LevelList,0))+INDEX(LevelHousing,MATCH($H1529,LevelList,0)))*GosiSaudi,0))</f>
        <v>0</v>
      </c>
      <c r="W1529" s="35" t="n">
        <f aca="false">IFERROR(INDEX(LevelOneOff,MATCH($H1529,LevelList,0)),0)</f>
        <v>0</v>
      </c>
      <c r="X1529" s="35" t="str">
        <f aca="false">IF($G1529="","",$V1529*N($L1529))</f>
        <v/>
      </c>
      <c r="Y1529" s="35" t="str">
        <f aca="false">IF($G1529="","",$V1529*(N($M1529)*1+N($N1529)*0.75+N($O1529)*0.5+N($P1529)*0.25)+$W1529*N($L1529))</f>
        <v/>
      </c>
      <c r="Z1529" s="35" t="str">
        <f aca="false">IF($G1529="","",$U1529*1000000+ROW())</f>
        <v/>
      </c>
      <c r="AA1529" s="36" t="str">
        <f aca="false">IF($G1529="","",MID(IF($C1529="",", no division","")&amp;IF($E1529="",", no unit","")&amp;IF($H1529="",", no career level","")&amp;IF(N($L1529)&lt;=0,", no quarter split","")&amp;IF($R1529="",", no driver","")&amp;IF(AND($H1529&lt;&gt;"",COUNTIF(CareerLevels,$H1529)=0),", a career level that is not on the ladder","")&amp;IF(AND($R1529&lt;&gt;"",COUNTIF(DriverList,$R1529)=0),", a driver that is not on the list","")&amp;IF(ABS(N($L1529)-(N($M1529)+N($N1529)+N($O1529)+N($P1529)))&gt;0.001,", a total that does not match its quarters",""),3,300))</f>
        <v/>
      </c>
    </row>
    <row r="1530" customFormat="false" ht="15" hidden="false" customHeight="false" outlineLevel="0" collapsed="false">
      <c r="A1530" s="33" t="str">
        <f aca="false">IF($G1530="","","Operations Group")</f>
        <v/>
      </c>
      <c r="B1530" s="19"/>
      <c r="C1530" s="19"/>
      <c r="D1530" s="19"/>
      <c r="E1530" s="19"/>
      <c r="F1530" s="19"/>
      <c r="G1530" s="19"/>
      <c r="H1530" s="19"/>
      <c r="I1530" s="19"/>
      <c r="J1530" s="19"/>
      <c r="K1530" s="19"/>
      <c r="L1530" s="19"/>
      <c r="M1530" s="19"/>
      <c r="N1530" s="19"/>
      <c r="O1530" s="19"/>
      <c r="P1530" s="19"/>
      <c r="Q1530" s="19"/>
      <c r="R1530" s="19"/>
      <c r="S1530" s="19"/>
      <c r="T1530" s="34" t="str">
        <f aca="false">IF($R1530="","",IFERROR(INDEX(DriverCategory,MATCH($R1530,DriverList,0)),"BAU"))</f>
        <v/>
      </c>
      <c r="U1530" s="34" t="str">
        <f aca="false">IF($R1530="","",IFERROR(INDEX(DriverRank,MATCH($R1530,DriverList,0)),99))</f>
        <v/>
      </c>
      <c r="V1530" s="35" t="n">
        <f aca="false">IF($H1530="",0,IFERROR(INDEX(LevelBasic,MATCH($H1530,LevelList,0))+INDEX(LevelHousing,MATCH($H1530,LevelList,0))+INDEX(LevelTransport,MATCH($H1530,LevelList,0))+INDEX(LevelBasic,MATCH($H1530,LevelList,0))*INDEX(LevelBonus,MATCH($H1530,LevelList,0))+(INDEX(LevelBasic,MATCH($H1530,LevelList,0))+INDEX(LevelHousing,MATCH($H1530,LevelList,0)))*GosiSaudi,0))</f>
        <v>0</v>
      </c>
      <c r="W1530" s="35" t="n">
        <f aca="false">IFERROR(INDEX(LevelOneOff,MATCH($H1530,LevelList,0)),0)</f>
        <v>0</v>
      </c>
      <c r="X1530" s="35" t="str">
        <f aca="false">IF($G1530="","",$V1530*N($L1530))</f>
        <v/>
      </c>
      <c r="Y1530" s="35" t="str">
        <f aca="false">IF($G1530="","",$V1530*(N($M1530)*1+N($N1530)*0.75+N($O1530)*0.5+N($P1530)*0.25)+$W1530*N($L1530))</f>
        <v/>
      </c>
      <c r="Z1530" s="35" t="str">
        <f aca="false">IF($G1530="","",$U1530*1000000+ROW())</f>
        <v/>
      </c>
      <c r="AA1530" s="36" t="str">
        <f aca="false">IF($G1530="","",MID(IF($C1530="",", no division","")&amp;IF($E1530="",", no unit","")&amp;IF($H1530="",", no career level","")&amp;IF(N($L1530)&lt;=0,", no quarter split","")&amp;IF($R1530="",", no driver","")&amp;IF(AND($H1530&lt;&gt;"",COUNTIF(CareerLevels,$H1530)=0),", a career level that is not on the ladder","")&amp;IF(AND($R1530&lt;&gt;"",COUNTIF(DriverList,$R1530)=0),", a driver that is not on the list","")&amp;IF(ABS(N($L1530)-(N($M1530)+N($N1530)+N($O1530)+N($P1530)))&gt;0.001,", a total that does not match its quarters",""),3,300))</f>
        <v/>
      </c>
    </row>
    <row r="1531" customFormat="false" ht="15" hidden="false" customHeight="false" outlineLevel="0" collapsed="false">
      <c r="A1531" s="33" t="str">
        <f aca="false">IF($G1531="","","Operations Group")</f>
        <v/>
      </c>
      <c r="B1531" s="19"/>
      <c r="C1531" s="19"/>
      <c r="D1531" s="19"/>
      <c r="E1531" s="19"/>
      <c r="F1531" s="19"/>
      <c r="G1531" s="19"/>
      <c r="H1531" s="19"/>
      <c r="I1531" s="19"/>
      <c r="J1531" s="19"/>
      <c r="K1531" s="19"/>
      <c r="L1531" s="19"/>
      <c r="M1531" s="19"/>
      <c r="N1531" s="19"/>
      <c r="O1531" s="19"/>
      <c r="P1531" s="19"/>
      <c r="Q1531" s="19"/>
      <c r="R1531" s="19"/>
      <c r="S1531" s="19"/>
      <c r="T1531" s="34" t="str">
        <f aca="false">IF($R1531="","",IFERROR(INDEX(DriverCategory,MATCH($R1531,DriverList,0)),"BAU"))</f>
        <v/>
      </c>
      <c r="U1531" s="34" t="str">
        <f aca="false">IF($R1531="","",IFERROR(INDEX(DriverRank,MATCH($R1531,DriverList,0)),99))</f>
        <v/>
      </c>
      <c r="V1531" s="35" t="n">
        <f aca="false">IF($H1531="",0,IFERROR(INDEX(LevelBasic,MATCH($H1531,LevelList,0))+INDEX(LevelHousing,MATCH($H1531,LevelList,0))+INDEX(LevelTransport,MATCH($H1531,LevelList,0))+INDEX(LevelBasic,MATCH($H1531,LevelList,0))*INDEX(LevelBonus,MATCH($H1531,LevelList,0))+(INDEX(LevelBasic,MATCH($H1531,LevelList,0))+INDEX(LevelHousing,MATCH($H1531,LevelList,0)))*GosiSaudi,0))</f>
        <v>0</v>
      </c>
      <c r="W1531" s="35" t="n">
        <f aca="false">IFERROR(INDEX(LevelOneOff,MATCH($H1531,LevelList,0)),0)</f>
        <v>0</v>
      </c>
      <c r="X1531" s="35" t="str">
        <f aca="false">IF($G1531="","",$V1531*N($L1531))</f>
        <v/>
      </c>
      <c r="Y1531" s="35" t="str">
        <f aca="false">IF($G1531="","",$V1531*(N($M1531)*1+N($N1531)*0.75+N($O1531)*0.5+N($P1531)*0.25)+$W1531*N($L1531))</f>
        <v/>
      </c>
      <c r="Z1531" s="35" t="str">
        <f aca="false">IF($G1531="","",$U1531*1000000+ROW())</f>
        <v/>
      </c>
      <c r="AA1531" s="36" t="str">
        <f aca="false">IF($G1531="","",MID(IF($C1531="",", no division","")&amp;IF($E1531="",", no unit","")&amp;IF($H1531="",", no career level","")&amp;IF(N($L1531)&lt;=0,", no quarter split","")&amp;IF($R1531="",", no driver","")&amp;IF(AND($H1531&lt;&gt;"",COUNTIF(CareerLevels,$H1531)=0),", a career level that is not on the ladder","")&amp;IF(AND($R1531&lt;&gt;"",COUNTIF(DriverList,$R1531)=0),", a driver that is not on the list","")&amp;IF(ABS(N($L1531)-(N($M1531)+N($N1531)+N($O1531)+N($P1531)))&gt;0.001,", a total that does not match its quarters",""),3,300))</f>
        <v/>
      </c>
    </row>
    <row r="1532" customFormat="false" ht="15" hidden="false" customHeight="false" outlineLevel="0" collapsed="false">
      <c r="A1532" s="33" t="str">
        <f aca="false">IF($G1532="","","Operations Group")</f>
        <v/>
      </c>
      <c r="B1532" s="19"/>
      <c r="C1532" s="19"/>
      <c r="D1532" s="19"/>
      <c r="E1532" s="19"/>
      <c r="F1532" s="19"/>
      <c r="G1532" s="19"/>
      <c r="H1532" s="19"/>
      <c r="I1532" s="19"/>
      <c r="J1532" s="19"/>
      <c r="K1532" s="19"/>
      <c r="L1532" s="19"/>
      <c r="M1532" s="19"/>
      <c r="N1532" s="19"/>
      <c r="O1532" s="19"/>
      <c r="P1532" s="19"/>
      <c r="Q1532" s="19"/>
      <c r="R1532" s="19"/>
      <c r="S1532" s="19"/>
      <c r="T1532" s="34" t="str">
        <f aca="false">IF($R1532="","",IFERROR(INDEX(DriverCategory,MATCH($R1532,DriverList,0)),"BAU"))</f>
        <v/>
      </c>
      <c r="U1532" s="34" t="str">
        <f aca="false">IF($R1532="","",IFERROR(INDEX(DriverRank,MATCH($R1532,DriverList,0)),99))</f>
        <v/>
      </c>
      <c r="V1532" s="35" t="n">
        <f aca="false">IF($H1532="",0,IFERROR(INDEX(LevelBasic,MATCH($H1532,LevelList,0))+INDEX(LevelHousing,MATCH($H1532,LevelList,0))+INDEX(LevelTransport,MATCH($H1532,LevelList,0))+INDEX(LevelBasic,MATCH($H1532,LevelList,0))*INDEX(LevelBonus,MATCH($H1532,LevelList,0))+(INDEX(LevelBasic,MATCH($H1532,LevelList,0))+INDEX(LevelHousing,MATCH($H1532,LevelList,0)))*GosiSaudi,0))</f>
        <v>0</v>
      </c>
      <c r="W1532" s="35" t="n">
        <f aca="false">IFERROR(INDEX(LevelOneOff,MATCH($H1532,LevelList,0)),0)</f>
        <v>0</v>
      </c>
      <c r="X1532" s="35" t="str">
        <f aca="false">IF($G1532="","",$V1532*N($L1532))</f>
        <v/>
      </c>
      <c r="Y1532" s="35" t="str">
        <f aca="false">IF($G1532="","",$V1532*(N($M1532)*1+N($N1532)*0.75+N($O1532)*0.5+N($P1532)*0.25)+$W1532*N($L1532))</f>
        <v/>
      </c>
      <c r="Z1532" s="35" t="str">
        <f aca="false">IF($G1532="","",$U1532*1000000+ROW())</f>
        <v/>
      </c>
      <c r="AA1532" s="36" t="str">
        <f aca="false">IF($G1532="","",MID(IF($C1532="",", no division","")&amp;IF($E1532="",", no unit","")&amp;IF($H1532="",", no career level","")&amp;IF(N($L1532)&lt;=0,", no quarter split","")&amp;IF($R1532="",", no driver","")&amp;IF(AND($H1532&lt;&gt;"",COUNTIF(CareerLevels,$H1532)=0),", a career level that is not on the ladder","")&amp;IF(AND($R1532&lt;&gt;"",COUNTIF(DriverList,$R1532)=0),", a driver that is not on the list","")&amp;IF(ABS(N($L1532)-(N($M1532)+N($N1532)+N($O1532)+N($P1532)))&gt;0.001,", a total that does not match its quarters",""),3,300))</f>
        <v/>
      </c>
    </row>
    <row r="1533" customFormat="false" ht="15" hidden="false" customHeight="false" outlineLevel="0" collapsed="false">
      <c r="A1533" s="33" t="str">
        <f aca="false">IF($G1533="","","Operations Group")</f>
        <v/>
      </c>
      <c r="B1533" s="19"/>
      <c r="C1533" s="19"/>
      <c r="D1533" s="19"/>
      <c r="E1533" s="19"/>
      <c r="F1533" s="19"/>
      <c r="G1533" s="19"/>
      <c r="H1533" s="19"/>
      <c r="I1533" s="19"/>
      <c r="J1533" s="19"/>
      <c r="K1533" s="19"/>
      <c r="L1533" s="19"/>
      <c r="M1533" s="19"/>
      <c r="N1533" s="19"/>
      <c r="O1533" s="19"/>
      <c r="P1533" s="19"/>
      <c r="Q1533" s="19"/>
      <c r="R1533" s="19"/>
      <c r="S1533" s="19"/>
      <c r="T1533" s="34" t="str">
        <f aca="false">IF($R1533="","",IFERROR(INDEX(DriverCategory,MATCH($R1533,DriverList,0)),"BAU"))</f>
        <v/>
      </c>
      <c r="U1533" s="34" t="str">
        <f aca="false">IF($R1533="","",IFERROR(INDEX(DriverRank,MATCH($R1533,DriverList,0)),99))</f>
        <v/>
      </c>
      <c r="V1533" s="35" t="n">
        <f aca="false">IF($H1533="",0,IFERROR(INDEX(LevelBasic,MATCH($H1533,LevelList,0))+INDEX(LevelHousing,MATCH($H1533,LevelList,0))+INDEX(LevelTransport,MATCH($H1533,LevelList,0))+INDEX(LevelBasic,MATCH($H1533,LevelList,0))*INDEX(LevelBonus,MATCH($H1533,LevelList,0))+(INDEX(LevelBasic,MATCH($H1533,LevelList,0))+INDEX(LevelHousing,MATCH($H1533,LevelList,0)))*GosiSaudi,0))</f>
        <v>0</v>
      </c>
      <c r="W1533" s="35" t="n">
        <f aca="false">IFERROR(INDEX(LevelOneOff,MATCH($H1533,LevelList,0)),0)</f>
        <v>0</v>
      </c>
      <c r="X1533" s="35" t="str">
        <f aca="false">IF($G1533="","",$V1533*N($L1533))</f>
        <v/>
      </c>
      <c r="Y1533" s="35" t="str">
        <f aca="false">IF($G1533="","",$V1533*(N($M1533)*1+N($N1533)*0.75+N($O1533)*0.5+N($P1533)*0.25)+$W1533*N($L1533))</f>
        <v/>
      </c>
      <c r="Z1533" s="35" t="str">
        <f aca="false">IF($G1533="","",$U1533*1000000+ROW())</f>
        <v/>
      </c>
      <c r="AA1533" s="36" t="str">
        <f aca="false">IF($G1533="","",MID(IF($C1533="",", no division","")&amp;IF($E1533="",", no unit","")&amp;IF($H1533="",", no career level","")&amp;IF(N($L1533)&lt;=0,", no quarter split","")&amp;IF($R1533="",", no driver","")&amp;IF(AND($H1533&lt;&gt;"",COUNTIF(CareerLevels,$H1533)=0),", a career level that is not on the ladder","")&amp;IF(AND($R1533&lt;&gt;"",COUNTIF(DriverList,$R1533)=0),", a driver that is not on the list","")&amp;IF(ABS(N($L1533)-(N($M1533)+N($N1533)+N($O1533)+N($P1533)))&gt;0.001,", a total that does not match its quarters",""),3,300))</f>
        <v/>
      </c>
    </row>
    <row r="1534" customFormat="false" ht="15" hidden="false" customHeight="false" outlineLevel="0" collapsed="false">
      <c r="A1534" s="33" t="str">
        <f aca="false">IF($G1534="","","Operations Group")</f>
        <v/>
      </c>
      <c r="B1534" s="19"/>
      <c r="C1534" s="19"/>
      <c r="D1534" s="19"/>
      <c r="E1534" s="19"/>
      <c r="F1534" s="19"/>
      <c r="G1534" s="19"/>
      <c r="H1534" s="19"/>
      <c r="I1534" s="19"/>
      <c r="J1534" s="19"/>
      <c r="K1534" s="19"/>
      <c r="L1534" s="19"/>
      <c r="M1534" s="19"/>
      <c r="N1534" s="19"/>
      <c r="O1534" s="19"/>
      <c r="P1534" s="19"/>
      <c r="Q1534" s="19"/>
      <c r="R1534" s="19"/>
      <c r="S1534" s="19"/>
      <c r="T1534" s="34" t="str">
        <f aca="false">IF($R1534="","",IFERROR(INDEX(DriverCategory,MATCH($R1534,DriverList,0)),"BAU"))</f>
        <v/>
      </c>
      <c r="U1534" s="34" t="str">
        <f aca="false">IF($R1534="","",IFERROR(INDEX(DriverRank,MATCH($R1534,DriverList,0)),99))</f>
        <v/>
      </c>
      <c r="V1534" s="35" t="n">
        <f aca="false">IF($H1534="",0,IFERROR(INDEX(LevelBasic,MATCH($H1534,LevelList,0))+INDEX(LevelHousing,MATCH($H1534,LevelList,0))+INDEX(LevelTransport,MATCH($H1534,LevelList,0))+INDEX(LevelBasic,MATCH($H1534,LevelList,0))*INDEX(LevelBonus,MATCH($H1534,LevelList,0))+(INDEX(LevelBasic,MATCH($H1534,LevelList,0))+INDEX(LevelHousing,MATCH($H1534,LevelList,0)))*GosiSaudi,0))</f>
        <v>0</v>
      </c>
      <c r="W1534" s="35" t="n">
        <f aca="false">IFERROR(INDEX(LevelOneOff,MATCH($H1534,LevelList,0)),0)</f>
        <v>0</v>
      </c>
      <c r="X1534" s="35" t="str">
        <f aca="false">IF($G1534="","",$V1534*N($L1534))</f>
        <v/>
      </c>
      <c r="Y1534" s="35" t="str">
        <f aca="false">IF($G1534="","",$V1534*(N($M1534)*1+N($N1534)*0.75+N($O1534)*0.5+N($P1534)*0.25)+$W1534*N($L1534))</f>
        <v/>
      </c>
      <c r="Z1534" s="35" t="str">
        <f aca="false">IF($G1534="","",$U1534*1000000+ROW())</f>
        <v/>
      </c>
      <c r="AA1534" s="36" t="str">
        <f aca="false">IF($G1534="","",MID(IF($C1534="",", no division","")&amp;IF($E1534="",", no unit","")&amp;IF($H1534="",", no career level","")&amp;IF(N($L1534)&lt;=0,", no quarter split","")&amp;IF($R1534="",", no driver","")&amp;IF(AND($H1534&lt;&gt;"",COUNTIF(CareerLevels,$H1534)=0),", a career level that is not on the ladder","")&amp;IF(AND($R1534&lt;&gt;"",COUNTIF(DriverList,$R1534)=0),", a driver that is not on the list","")&amp;IF(ABS(N($L1534)-(N($M1534)+N($N1534)+N($O1534)+N($P1534)))&gt;0.001,", a total that does not match its quarters",""),3,300))</f>
        <v/>
      </c>
    </row>
    <row r="1535" customFormat="false" ht="15" hidden="false" customHeight="false" outlineLevel="0" collapsed="false">
      <c r="A1535" s="33" t="str">
        <f aca="false">IF($G1535="","","Operations Group")</f>
        <v/>
      </c>
      <c r="B1535" s="19"/>
      <c r="C1535" s="19"/>
      <c r="D1535" s="19"/>
      <c r="E1535" s="19"/>
      <c r="F1535" s="19"/>
      <c r="G1535" s="19"/>
      <c r="H1535" s="19"/>
      <c r="I1535" s="19"/>
      <c r="J1535" s="19"/>
      <c r="K1535" s="19"/>
      <c r="L1535" s="19"/>
      <c r="M1535" s="19"/>
      <c r="N1535" s="19"/>
      <c r="O1535" s="19"/>
      <c r="P1535" s="19"/>
      <c r="Q1535" s="19"/>
      <c r="R1535" s="19"/>
      <c r="S1535" s="19"/>
      <c r="T1535" s="34" t="str">
        <f aca="false">IF($R1535="","",IFERROR(INDEX(DriverCategory,MATCH($R1535,DriverList,0)),"BAU"))</f>
        <v/>
      </c>
      <c r="U1535" s="34" t="str">
        <f aca="false">IF($R1535="","",IFERROR(INDEX(DriverRank,MATCH($R1535,DriverList,0)),99))</f>
        <v/>
      </c>
      <c r="V1535" s="35" t="n">
        <f aca="false">IF($H1535="",0,IFERROR(INDEX(LevelBasic,MATCH($H1535,LevelList,0))+INDEX(LevelHousing,MATCH($H1535,LevelList,0))+INDEX(LevelTransport,MATCH($H1535,LevelList,0))+INDEX(LevelBasic,MATCH($H1535,LevelList,0))*INDEX(LevelBonus,MATCH($H1535,LevelList,0))+(INDEX(LevelBasic,MATCH($H1535,LevelList,0))+INDEX(LevelHousing,MATCH($H1535,LevelList,0)))*GosiSaudi,0))</f>
        <v>0</v>
      </c>
      <c r="W1535" s="35" t="n">
        <f aca="false">IFERROR(INDEX(LevelOneOff,MATCH($H1535,LevelList,0)),0)</f>
        <v>0</v>
      </c>
      <c r="X1535" s="35" t="str">
        <f aca="false">IF($G1535="","",$V1535*N($L1535))</f>
        <v/>
      </c>
      <c r="Y1535" s="35" t="str">
        <f aca="false">IF($G1535="","",$V1535*(N($M1535)*1+N($N1535)*0.75+N($O1535)*0.5+N($P1535)*0.25)+$W1535*N($L1535))</f>
        <v/>
      </c>
      <c r="Z1535" s="35" t="str">
        <f aca="false">IF($G1535="","",$U1535*1000000+ROW())</f>
        <v/>
      </c>
      <c r="AA1535" s="36" t="str">
        <f aca="false">IF($G1535="","",MID(IF($C1535="",", no division","")&amp;IF($E1535="",", no unit","")&amp;IF($H1535="",", no career level","")&amp;IF(N($L1535)&lt;=0,", no quarter split","")&amp;IF($R1535="",", no driver","")&amp;IF(AND($H1535&lt;&gt;"",COUNTIF(CareerLevels,$H1535)=0),", a career level that is not on the ladder","")&amp;IF(AND($R1535&lt;&gt;"",COUNTIF(DriverList,$R1535)=0),", a driver that is not on the list","")&amp;IF(ABS(N($L1535)-(N($M1535)+N($N1535)+N($O1535)+N($P1535)))&gt;0.001,", a total that does not match its quarters",""),3,300))</f>
        <v/>
      </c>
    </row>
    <row r="1536" customFormat="false" ht="15" hidden="false" customHeight="false" outlineLevel="0" collapsed="false">
      <c r="A1536" s="33" t="str">
        <f aca="false">IF($G1536="","","Operations Group")</f>
        <v/>
      </c>
      <c r="B1536" s="19"/>
      <c r="C1536" s="19"/>
      <c r="D1536" s="19"/>
      <c r="E1536" s="19"/>
      <c r="F1536" s="19"/>
      <c r="G1536" s="19"/>
      <c r="H1536" s="19"/>
      <c r="I1536" s="19"/>
      <c r="J1536" s="19"/>
      <c r="K1536" s="19"/>
      <c r="L1536" s="19"/>
      <c r="M1536" s="19"/>
      <c r="N1536" s="19"/>
      <c r="O1536" s="19"/>
      <c r="P1536" s="19"/>
      <c r="Q1536" s="19"/>
      <c r="R1536" s="19"/>
      <c r="S1536" s="19"/>
      <c r="T1536" s="34" t="str">
        <f aca="false">IF($R1536="","",IFERROR(INDEX(DriverCategory,MATCH($R1536,DriverList,0)),"BAU"))</f>
        <v/>
      </c>
      <c r="U1536" s="34" t="str">
        <f aca="false">IF($R1536="","",IFERROR(INDEX(DriverRank,MATCH($R1536,DriverList,0)),99))</f>
        <v/>
      </c>
      <c r="V1536" s="35" t="n">
        <f aca="false">IF($H1536="",0,IFERROR(INDEX(LevelBasic,MATCH($H1536,LevelList,0))+INDEX(LevelHousing,MATCH($H1536,LevelList,0))+INDEX(LevelTransport,MATCH($H1536,LevelList,0))+INDEX(LevelBasic,MATCH($H1536,LevelList,0))*INDEX(LevelBonus,MATCH($H1536,LevelList,0))+(INDEX(LevelBasic,MATCH($H1536,LevelList,0))+INDEX(LevelHousing,MATCH($H1536,LevelList,0)))*GosiSaudi,0))</f>
        <v>0</v>
      </c>
      <c r="W1536" s="35" t="n">
        <f aca="false">IFERROR(INDEX(LevelOneOff,MATCH($H1536,LevelList,0)),0)</f>
        <v>0</v>
      </c>
      <c r="X1536" s="35" t="str">
        <f aca="false">IF($G1536="","",$V1536*N($L1536))</f>
        <v/>
      </c>
      <c r="Y1536" s="35" t="str">
        <f aca="false">IF($G1536="","",$V1536*(N($M1536)*1+N($N1536)*0.75+N($O1536)*0.5+N($P1536)*0.25)+$W1536*N($L1536))</f>
        <v/>
      </c>
      <c r="Z1536" s="35" t="str">
        <f aca="false">IF($G1536="","",$U1536*1000000+ROW())</f>
        <v/>
      </c>
      <c r="AA1536" s="36" t="str">
        <f aca="false">IF($G1536="","",MID(IF($C1536="",", no division","")&amp;IF($E1536="",", no unit","")&amp;IF($H1536="",", no career level","")&amp;IF(N($L1536)&lt;=0,", no quarter split","")&amp;IF($R1536="",", no driver","")&amp;IF(AND($H1536&lt;&gt;"",COUNTIF(CareerLevels,$H1536)=0),", a career level that is not on the ladder","")&amp;IF(AND($R1536&lt;&gt;"",COUNTIF(DriverList,$R1536)=0),", a driver that is not on the list","")&amp;IF(ABS(N($L1536)-(N($M1536)+N($N1536)+N($O1536)+N($P1536)))&gt;0.001,", a total that does not match its quarters",""),3,300))</f>
        <v/>
      </c>
    </row>
    <row r="1537" customFormat="false" ht="15" hidden="false" customHeight="false" outlineLevel="0" collapsed="false">
      <c r="A1537" s="33" t="str">
        <f aca="false">IF($G1537="","","Operations Group")</f>
        <v/>
      </c>
      <c r="B1537" s="19"/>
      <c r="C1537" s="19"/>
      <c r="D1537" s="19"/>
      <c r="E1537" s="19"/>
      <c r="F1537" s="19"/>
      <c r="G1537" s="19"/>
      <c r="H1537" s="19"/>
      <c r="I1537" s="19"/>
      <c r="J1537" s="19"/>
      <c r="K1537" s="19"/>
      <c r="L1537" s="19"/>
      <c r="M1537" s="19"/>
      <c r="N1537" s="19"/>
      <c r="O1537" s="19"/>
      <c r="P1537" s="19"/>
      <c r="Q1537" s="19"/>
      <c r="R1537" s="19"/>
      <c r="S1537" s="19"/>
      <c r="T1537" s="34" t="str">
        <f aca="false">IF($R1537="","",IFERROR(INDEX(DriverCategory,MATCH($R1537,DriverList,0)),"BAU"))</f>
        <v/>
      </c>
      <c r="U1537" s="34" t="str">
        <f aca="false">IF($R1537="","",IFERROR(INDEX(DriverRank,MATCH($R1537,DriverList,0)),99))</f>
        <v/>
      </c>
      <c r="V1537" s="35" t="n">
        <f aca="false">IF($H1537="",0,IFERROR(INDEX(LevelBasic,MATCH($H1537,LevelList,0))+INDEX(LevelHousing,MATCH($H1537,LevelList,0))+INDEX(LevelTransport,MATCH($H1537,LevelList,0))+INDEX(LevelBasic,MATCH($H1537,LevelList,0))*INDEX(LevelBonus,MATCH($H1537,LevelList,0))+(INDEX(LevelBasic,MATCH($H1537,LevelList,0))+INDEX(LevelHousing,MATCH($H1537,LevelList,0)))*GosiSaudi,0))</f>
        <v>0</v>
      </c>
      <c r="W1537" s="35" t="n">
        <f aca="false">IFERROR(INDEX(LevelOneOff,MATCH($H1537,LevelList,0)),0)</f>
        <v>0</v>
      </c>
      <c r="X1537" s="35" t="str">
        <f aca="false">IF($G1537="","",$V1537*N($L1537))</f>
        <v/>
      </c>
      <c r="Y1537" s="35" t="str">
        <f aca="false">IF($G1537="","",$V1537*(N($M1537)*1+N($N1537)*0.75+N($O1537)*0.5+N($P1537)*0.25)+$W1537*N($L1537))</f>
        <v/>
      </c>
      <c r="Z1537" s="35" t="str">
        <f aca="false">IF($G1537="","",$U1537*1000000+ROW())</f>
        <v/>
      </c>
      <c r="AA1537" s="36" t="str">
        <f aca="false">IF($G1537="","",MID(IF($C1537="",", no division","")&amp;IF($E1537="",", no unit","")&amp;IF($H1537="",", no career level","")&amp;IF(N($L1537)&lt;=0,", no quarter split","")&amp;IF($R1537="",", no driver","")&amp;IF(AND($H1537&lt;&gt;"",COUNTIF(CareerLevels,$H1537)=0),", a career level that is not on the ladder","")&amp;IF(AND($R1537&lt;&gt;"",COUNTIF(DriverList,$R1537)=0),", a driver that is not on the list","")&amp;IF(ABS(N($L1537)-(N($M1537)+N($N1537)+N($O1537)+N($P1537)))&gt;0.001,", a total that does not match its quarters",""),3,300))</f>
        <v/>
      </c>
    </row>
    <row r="1538" customFormat="false" ht="15" hidden="false" customHeight="false" outlineLevel="0" collapsed="false">
      <c r="A1538" s="33" t="str">
        <f aca="false">IF($G1538="","","Operations Group")</f>
        <v/>
      </c>
      <c r="B1538" s="19"/>
      <c r="C1538" s="19"/>
      <c r="D1538" s="19"/>
      <c r="E1538" s="19"/>
      <c r="F1538" s="19"/>
      <c r="G1538" s="19"/>
      <c r="H1538" s="19"/>
      <c r="I1538" s="19"/>
      <c r="J1538" s="19"/>
      <c r="K1538" s="19"/>
      <c r="L1538" s="19"/>
      <c r="M1538" s="19"/>
      <c r="N1538" s="19"/>
      <c r="O1538" s="19"/>
      <c r="P1538" s="19"/>
      <c r="Q1538" s="19"/>
      <c r="R1538" s="19"/>
      <c r="S1538" s="19"/>
      <c r="T1538" s="34" t="str">
        <f aca="false">IF($R1538="","",IFERROR(INDEX(DriverCategory,MATCH($R1538,DriverList,0)),"BAU"))</f>
        <v/>
      </c>
      <c r="U1538" s="34" t="str">
        <f aca="false">IF($R1538="","",IFERROR(INDEX(DriverRank,MATCH($R1538,DriverList,0)),99))</f>
        <v/>
      </c>
      <c r="V1538" s="35" t="n">
        <f aca="false">IF($H1538="",0,IFERROR(INDEX(LevelBasic,MATCH($H1538,LevelList,0))+INDEX(LevelHousing,MATCH($H1538,LevelList,0))+INDEX(LevelTransport,MATCH($H1538,LevelList,0))+INDEX(LevelBasic,MATCH($H1538,LevelList,0))*INDEX(LevelBonus,MATCH($H1538,LevelList,0))+(INDEX(LevelBasic,MATCH($H1538,LevelList,0))+INDEX(LevelHousing,MATCH($H1538,LevelList,0)))*GosiSaudi,0))</f>
        <v>0</v>
      </c>
      <c r="W1538" s="35" t="n">
        <f aca="false">IFERROR(INDEX(LevelOneOff,MATCH($H1538,LevelList,0)),0)</f>
        <v>0</v>
      </c>
      <c r="X1538" s="35" t="str">
        <f aca="false">IF($G1538="","",$V1538*N($L1538))</f>
        <v/>
      </c>
      <c r="Y1538" s="35" t="str">
        <f aca="false">IF($G1538="","",$V1538*(N($M1538)*1+N($N1538)*0.75+N($O1538)*0.5+N($P1538)*0.25)+$W1538*N($L1538))</f>
        <v/>
      </c>
      <c r="Z1538" s="35" t="str">
        <f aca="false">IF($G1538="","",$U1538*1000000+ROW())</f>
        <v/>
      </c>
      <c r="AA1538" s="36" t="str">
        <f aca="false">IF($G1538="","",MID(IF($C1538="",", no division","")&amp;IF($E1538="",", no unit","")&amp;IF($H1538="",", no career level","")&amp;IF(N($L1538)&lt;=0,", no quarter split","")&amp;IF($R1538="",", no driver","")&amp;IF(AND($H1538&lt;&gt;"",COUNTIF(CareerLevels,$H1538)=0),", a career level that is not on the ladder","")&amp;IF(AND($R1538&lt;&gt;"",COUNTIF(DriverList,$R1538)=0),", a driver that is not on the list","")&amp;IF(ABS(N($L1538)-(N($M1538)+N($N1538)+N($O1538)+N($P1538)))&gt;0.001,", a total that does not match its quarters",""),3,300))</f>
        <v/>
      </c>
    </row>
    <row r="1539" customFormat="false" ht="15" hidden="false" customHeight="false" outlineLevel="0" collapsed="false">
      <c r="A1539" s="33" t="str">
        <f aca="false">IF($G1539="","","Operations Group")</f>
        <v/>
      </c>
      <c r="B1539" s="19"/>
      <c r="C1539" s="19"/>
      <c r="D1539" s="19"/>
      <c r="E1539" s="19"/>
      <c r="F1539" s="19"/>
      <c r="G1539" s="19"/>
      <c r="H1539" s="19"/>
      <c r="I1539" s="19"/>
      <c r="J1539" s="19"/>
      <c r="K1539" s="19"/>
      <c r="L1539" s="19"/>
      <c r="M1539" s="19"/>
      <c r="N1539" s="19"/>
      <c r="O1539" s="19"/>
      <c r="P1539" s="19"/>
      <c r="Q1539" s="19"/>
      <c r="R1539" s="19"/>
      <c r="S1539" s="19"/>
      <c r="T1539" s="34" t="str">
        <f aca="false">IF($R1539="","",IFERROR(INDEX(DriverCategory,MATCH($R1539,DriverList,0)),"BAU"))</f>
        <v/>
      </c>
      <c r="U1539" s="34" t="str">
        <f aca="false">IF($R1539="","",IFERROR(INDEX(DriverRank,MATCH($R1539,DriverList,0)),99))</f>
        <v/>
      </c>
      <c r="V1539" s="35" t="n">
        <f aca="false">IF($H1539="",0,IFERROR(INDEX(LevelBasic,MATCH($H1539,LevelList,0))+INDEX(LevelHousing,MATCH($H1539,LevelList,0))+INDEX(LevelTransport,MATCH($H1539,LevelList,0))+INDEX(LevelBasic,MATCH($H1539,LevelList,0))*INDEX(LevelBonus,MATCH($H1539,LevelList,0))+(INDEX(LevelBasic,MATCH($H1539,LevelList,0))+INDEX(LevelHousing,MATCH($H1539,LevelList,0)))*GosiSaudi,0))</f>
        <v>0</v>
      </c>
      <c r="W1539" s="35" t="n">
        <f aca="false">IFERROR(INDEX(LevelOneOff,MATCH($H1539,LevelList,0)),0)</f>
        <v>0</v>
      </c>
      <c r="X1539" s="35" t="str">
        <f aca="false">IF($G1539="","",$V1539*N($L1539))</f>
        <v/>
      </c>
      <c r="Y1539" s="35" t="str">
        <f aca="false">IF($G1539="","",$V1539*(N($M1539)*1+N($N1539)*0.75+N($O1539)*0.5+N($P1539)*0.25)+$W1539*N($L1539))</f>
        <v/>
      </c>
      <c r="Z1539" s="35" t="str">
        <f aca="false">IF($G1539="","",$U1539*1000000+ROW())</f>
        <v/>
      </c>
      <c r="AA1539" s="36" t="str">
        <f aca="false">IF($G1539="","",MID(IF($C1539="",", no division","")&amp;IF($E1539="",", no unit","")&amp;IF($H1539="",", no career level","")&amp;IF(N($L1539)&lt;=0,", no quarter split","")&amp;IF($R1539="",", no driver","")&amp;IF(AND($H1539&lt;&gt;"",COUNTIF(CareerLevels,$H1539)=0),", a career level that is not on the ladder","")&amp;IF(AND($R1539&lt;&gt;"",COUNTIF(DriverList,$R1539)=0),", a driver that is not on the list","")&amp;IF(ABS(N($L1539)-(N($M1539)+N($N1539)+N($O1539)+N($P1539)))&gt;0.001,", a total that does not match its quarters",""),3,300))</f>
        <v/>
      </c>
    </row>
    <row r="1540" customFormat="false" ht="15" hidden="false" customHeight="false" outlineLevel="0" collapsed="false">
      <c r="A1540" s="33" t="str">
        <f aca="false">IF($G1540="","","Operations Group")</f>
        <v/>
      </c>
      <c r="B1540" s="19"/>
      <c r="C1540" s="19"/>
      <c r="D1540" s="19"/>
      <c r="E1540" s="19"/>
      <c r="F1540" s="19"/>
      <c r="G1540" s="19"/>
      <c r="H1540" s="19"/>
      <c r="I1540" s="19"/>
      <c r="J1540" s="19"/>
      <c r="K1540" s="19"/>
      <c r="L1540" s="19"/>
      <c r="M1540" s="19"/>
      <c r="N1540" s="19"/>
      <c r="O1540" s="19"/>
      <c r="P1540" s="19"/>
      <c r="Q1540" s="19"/>
      <c r="R1540" s="19"/>
      <c r="S1540" s="19"/>
      <c r="T1540" s="34" t="str">
        <f aca="false">IF($R1540="","",IFERROR(INDEX(DriverCategory,MATCH($R1540,DriverList,0)),"BAU"))</f>
        <v/>
      </c>
      <c r="U1540" s="34" t="str">
        <f aca="false">IF($R1540="","",IFERROR(INDEX(DriverRank,MATCH($R1540,DriverList,0)),99))</f>
        <v/>
      </c>
      <c r="V1540" s="35" t="n">
        <f aca="false">IF($H1540="",0,IFERROR(INDEX(LevelBasic,MATCH($H1540,LevelList,0))+INDEX(LevelHousing,MATCH($H1540,LevelList,0))+INDEX(LevelTransport,MATCH($H1540,LevelList,0))+INDEX(LevelBasic,MATCH($H1540,LevelList,0))*INDEX(LevelBonus,MATCH($H1540,LevelList,0))+(INDEX(LevelBasic,MATCH($H1540,LevelList,0))+INDEX(LevelHousing,MATCH($H1540,LevelList,0)))*GosiSaudi,0))</f>
        <v>0</v>
      </c>
      <c r="W1540" s="35" t="n">
        <f aca="false">IFERROR(INDEX(LevelOneOff,MATCH($H1540,LevelList,0)),0)</f>
        <v>0</v>
      </c>
      <c r="X1540" s="35" t="str">
        <f aca="false">IF($G1540="","",$V1540*N($L1540))</f>
        <v/>
      </c>
      <c r="Y1540" s="35" t="str">
        <f aca="false">IF($G1540="","",$V1540*(N($M1540)*1+N($N1540)*0.75+N($O1540)*0.5+N($P1540)*0.25)+$W1540*N($L1540))</f>
        <v/>
      </c>
      <c r="Z1540" s="35" t="str">
        <f aca="false">IF($G1540="","",$U1540*1000000+ROW())</f>
        <v/>
      </c>
      <c r="AA1540" s="36" t="str">
        <f aca="false">IF($G1540="","",MID(IF($C1540="",", no division","")&amp;IF($E1540="",", no unit","")&amp;IF($H1540="",", no career level","")&amp;IF(N($L1540)&lt;=0,", no quarter split","")&amp;IF($R1540="",", no driver","")&amp;IF(AND($H1540&lt;&gt;"",COUNTIF(CareerLevels,$H1540)=0),", a career level that is not on the ladder","")&amp;IF(AND($R1540&lt;&gt;"",COUNTIF(DriverList,$R1540)=0),", a driver that is not on the list","")&amp;IF(ABS(N($L1540)-(N($M1540)+N($N1540)+N($O1540)+N($P1540)))&gt;0.001,", a total that does not match its quarters",""),3,300))</f>
        <v/>
      </c>
    </row>
    <row r="1541" customFormat="false" ht="15" hidden="false" customHeight="false" outlineLevel="0" collapsed="false">
      <c r="A1541" s="33" t="str">
        <f aca="false">IF($G1541="","","Operations Group")</f>
        <v/>
      </c>
      <c r="B1541" s="19"/>
      <c r="C1541" s="19"/>
      <c r="D1541" s="19"/>
      <c r="E1541" s="19"/>
      <c r="F1541" s="19"/>
      <c r="G1541" s="19"/>
      <c r="H1541" s="19"/>
      <c r="I1541" s="19"/>
      <c r="J1541" s="19"/>
      <c r="K1541" s="19"/>
      <c r="L1541" s="19"/>
      <c r="M1541" s="19"/>
      <c r="N1541" s="19"/>
      <c r="O1541" s="19"/>
      <c r="P1541" s="19"/>
      <c r="Q1541" s="19"/>
      <c r="R1541" s="19"/>
      <c r="S1541" s="19"/>
      <c r="T1541" s="34" t="str">
        <f aca="false">IF($R1541="","",IFERROR(INDEX(DriverCategory,MATCH($R1541,DriverList,0)),"BAU"))</f>
        <v/>
      </c>
      <c r="U1541" s="34" t="str">
        <f aca="false">IF($R1541="","",IFERROR(INDEX(DriverRank,MATCH($R1541,DriverList,0)),99))</f>
        <v/>
      </c>
      <c r="V1541" s="35" t="n">
        <f aca="false">IF($H1541="",0,IFERROR(INDEX(LevelBasic,MATCH($H1541,LevelList,0))+INDEX(LevelHousing,MATCH($H1541,LevelList,0))+INDEX(LevelTransport,MATCH($H1541,LevelList,0))+INDEX(LevelBasic,MATCH($H1541,LevelList,0))*INDEX(LevelBonus,MATCH($H1541,LevelList,0))+(INDEX(LevelBasic,MATCH($H1541,LevelList,0))+INDEX(LevelHousing,MATCH($H1541,LevelList,0)))*GosiSaudi,0))</f>
        <v>0</v>
      </c>
      <c r="W1541" s="35" t="n">
        <f aca="false">IFERROR(INDEX(LevelOneOff,MATCH($H1541,LevelList,0)),0)</f>
        <v>0</v>
      </c>
      <c r="X1541" s="35" t="str">
        <f aca="false">IF($G1541="","",$V1541*N($L1541))</f>
        <v/>
      </c>
      <c r="Y1541" s="35" t="str">
        <f aca="false">IF($G1541="","",$V1541*(N($M1541)*1+N($N1541)*0.75+N($O1541)*0.5+N($P1541)*0.25)+$W1541*N($L1541))</f>
        <v/>
      </c>
      <c r="Z1541" s="35" t="str">
        <f aca="false">IF($G1541="","",$U1541*1000000+ROW())</f>
        <v/>
      </c>
      <c r="AA1541" s="36" t="str">
        <f aca="false">IF($G1541="","",MID(IF($C1541="",", no division","")&amp;IF($E1541="",", no unit","")&amp;IF($H1541="",", no career level","")&amp;IF(N($L1541)&lt;=0,", no quarter split","")&amp;IF($R1541="",", no driver","")&amp;IF(AND($H1541&lt;&gt;"",COUNTIF(CareerLevels,$H1541)=0),", a career level that is not on the ladder","")&amp;IF(AND($R1541&lt;&gt;"",COUNTIF(DriverList,$R1541)=0),", a driver that is not on the list","")&amp;IF(ABS(N($L1541)-(N($M1541)+N($N1541)+N($O1541)+N($P1541)))&gt;0.001,", a total that does not match its quarters",""),3,300))</f>
        <v/>
      </c>
    </row>
    <row r="1542" customFormat="false" ht="15" hidden="false" customHeight="false" outlineLevel="0" collapsed="false">
      <c r="A1542" s="33" t="str">
        <f aca="false">IF($G1542="","","Operations Group")</f>
        <v/>
      </c>
      <c r="B1542" s="19"/>
      <c r="C1542" s="19"/>
      <c r="D1542" s="19"/>
      <c r="E1542" s="19"/>
      <c r="F1542" s="19"/>
      <c r="G1542" s="19"/>
      <c r="H1542" s="19"/>
      <c r="I1542" s="19"/>
      <c r="J1542" s="19"/>
      <c r="K1542" s="19"/>
      <c r="L1542" s="19"/>
      <c r="M1542" s="19"/>
      <c r="N1542" s="19"/>
      <c r="O1542" s="19"/>
      <c r="P1542" s="19"/>
      <c r="Q1542" s="19"/>
      <c r="R1542" s="19"/>
      <c r="S1542" s="19"/>
      <c r="T1542" s="34" t="str">
        <f aca="false">IF($R1542="","",IFERROR(INDEX(DriverCategory,MATCH($R1542,DriverList,0)),"BAU"))</f>
        <v/>
      </c>
      <c r="U1542" s="34" t="str">
        <f aca="false">IF($R1542="","",IFERROR(INDEX(DriverRank,MATCH($R1542,DriverList,0)),99))</f>
        <v/>
      </c>
      <c r="V1542" s="35" t="n">
        <f aca="false">IF($H1542="",0,IFERROR(INDEX(LevelBasic,MATCH($H1542,LevelList,0))+INDEX(LevelHousing,MATCH($H1542,LevelList,0))+INDEX(LevelTransport,MATCH($H1542,LevelList,0))+INDEX(LevelBasic,MATCH($H1542,LevelList,0))*INDEX(LevelBonus,MATCH($H1542,LevelList,0))+(INDEX(LevelBasic,MATCH($H1542,LevelList,0))+INDEX(LevelHousing,MATCH($H1542,LevelList,0)))*GosiSaudi,0))</f>
        <v>0</v>
      </c>
      <c r="W1542" s="35" t="n">
        <f aca="false">IFERROR(INDEX(LevelOneOff,MATCH($H1542,LevelList,0)),0)</f>
        <v>0</v>
      </c>
      <c r="X1542" s="35" t="str">
        <f aca="false">IF($G1542="","",$V1542*N($L1542))</f>
        <v/>
      </c>
      <c r="Y1542" s="35" t="str">
        <f aca="false">IF($G1542="","",$V1542*(N($M1542)*1+N($N1542)*0.75+N($O1542)*0.5+N($P1542)*0.25)+$W1542*N($L1542))</f>
        <v/>
      </c>
      <c r="Z1542" s="35" t="str">
        <f aca="false">IF($G1542="","",$U1542*1000000+ROW())</f>
        <v/>
      </c>
      <c r="AA1542" s="36" t="str">
        <f aca="false">IF($G1542="","",MID(IF($C1542="",", no division","")&amp;IF($E1542="",", no unit","")&amp;IF($H1542="",", no career level","")&amp;IF(N($L1542)&lt;=0,", no quarter split","")&amp;IF($R1542="",", no driver","")&amp;IF(AND($H1542&lt;&gt;"",COUNTIF(CareerLevels,$H1542)=0),", a career level that is not on the ladder","")&amp;IF(AND($R1542&lt;&gt;"",COUNTIF(DriverList,$R1542)=0),", a driver that is not on the list","")&amp;IF(ABS(N($L1542)-(N($M1542)+N($N1542)+N($O1542)+N($P1542)))&gt;0.001,", a total that does not match its quarters",""),3,300))</f>
        <v/>
      </c>
    </row>
    <row r="1543" customFormat="false" ht="15" hidden="false" customHeight="false" outlineLevel="0" collapsed="false">
      <c r="A1543" s="33" t="str">
        <f aca="false">IF($G1543="","","Operations Group")</f>
        <v/>
      </c>
      <c r="B1543" s="19"/>
      <c r="C1543" s="19"/>
      <c r="D1543" s="19"/>
      <c r="E1543" s="19"/>
      <c r="F1543" s="19"/>
      <c r="G1543" s="19"/>
      <c r="H1543" s="19"/>
      <c r="I1543" s="19"/>
      <c r="J1543" s="19"/>
      <c r="K1543" s="19"/>
      <c r="L1543" s="19"/>
      <c r="M1543" s="19"/>
      <c r="N1543" s="19"/>
      <c r="O1543" s="19"/>
      <c r="P1543" s="19"/>
      <c r="Q1543" s="19"/>
      <c r="R1543" s="19"/>
      <c r="S1543" s="19"/>
      <c r="T1543" s="34" t="str">
        <f aca="false">IF($R1543="","",IFERROR(INDEX(DriverCategory,MATCH($R1543,DriverList,0)),"BAU"))</f>
        <v/>
      </c>
      <c r="U1543" s="34" t="str">
        <f aca="false">IF($R1543="","",IFERROR(INDEX(DriverRank,MATCH($R1543,DriverList,0)),99))</f>
        <v/>
      </c>
      <c r="V1543" s="35" t="n">
        <f aca="false">IF($H1543="",0,IFERROR(INDEX(LevelBasic,MATCH($H1543,LevelList,0))+INDEX(LevelHousing,MATCH($H1543,LevelList,0))+INDEX(LevelTransport,MATCH($H1543,LevelList,0))+INDEX(LevelBasic,MATCH($H1543,LevelList,0))*INDEX(LevelBonus,MATCH($H1543,LevelList,0))+(INDEX(LevelBasic,MATCH($H1543,LevelList,0))+INDEX(LevelHousing,MATCH($H1543,LevelList,0)))*GosiSaudi,0))</f>
        <v>0</v>
      </c>
      <c r="W1543" s="35" t="n">
        <f aca="false">IFERROR(INDEX(LevelOneOff,MATCH($H1543,LevelList,0)),0)</f>
        <v>0</v>
      </c>
      <c r="X1543" s="35" t="str">
        <f aca="false">IF($G1543="","",$V1543*N($L1543))</f>
        <v/>
      </c>
      <c r="Y1543" s="35" t="str">
        <f aca="false">IF($G1543="","",$V1543*(N($M1543)*1+N($N1543)*0.75+N($O1543)*0.5+N($P1543)*0.25)+$W1543*N($L1543))</f>
        <v/>
      </c>
      <c r="Z1543" s="35" t="str">
        <f aca="false">IF($G1543="","",$U1543*1000000+ROW())</f>
        <v/>
      </c>
      <c r="AA1543" s="36" t="str">
        <f aca="false">IF($G1543="","",MID(IF($C1543="",", no division","")&amp;IF($E1543="",", no unit","")&amp;IF($H1543="",", no career level","")&amp;IF(N($L1543)&lt;=0,", no quarter split","")&amp;IF($R1543="",", no driver","")&amp;IF(AND($H1543&lt;&gt;"",COUNTIF(CareerLevels,$H1543)=0),", a career level that is not on the ladder","")&amp;IF(AND($R1543&lt;&gt;"",COUNTIF(DriverList,$R1543)=0),", a driver that is not on the list","")&amp;IF(ABS(N($L1543)-(N($M1543)+N($N1543)+N($O1543)+N($P1543)))&gt;0.001,", a total that does not match its quarters",""),3,300))</f>
        <v/>
      </c>
    </row>
    <row r="1544" customFormat="false" ht="15" hidden="false" customHeight="false" outlineLevel="0" collapsed="false">
      <c r="A1544" s="33" t="str">
        <f aca="false">IF($G1544="","","Operations Group")</f>
        <v/>
      </c>
      <c r="B1544" s="19"/>
      <c r="C1544" s="19"/>
      <c r="D1544" s="19"/>
      <c r="E1544" s="19"/>
      <c r="F1544" s="19"/>
      <c r="G1544" s="19"/>
      <c r="H1544" s="19"/>
      <c r="I1544" s="19"/>
      <c r="J1544" s="19"/>
      <c r="K1544" s="19"/>
      <c r="L1544" s="19"/>
      <c r="M1544" s="19"/>
      <c r="N1544" s="19"/>
      <c r="O1544" s="19"/>
      <c r="P1544" s="19"/>
      <c r="Q1544" s="19"/>
      <c r="R1544" s="19"/>
      <c r="S1544" s="19"/>
      <c r="T1544" s="34" t="str">
        <f aca="false">IF($R1544="","",IFERROR(INDEX(DriverCategory,MATCH($R1544,DriverList,0)),"BAU"))</f>
        <v/>
      </c>
      <c r="U1544" s="34" t="str">
        <f aca="false">IF($R1544="","",IFERROR(INDEX(DriverRank,MATCH($R1544,DriverList,0)),99))</f>
        <v/>
      </c>
      <c r="V1544" s="35" t="n">
        <f aca="false">IF($H1544="",0,IFERROR(INDEX(LevelBasic,MATCH($H1544,LevelList,0))+INDEX(LevelHousing,MATCH($H1544,LevelList,0))+INDEX(LevelTransport,MATCH($H1544,LevelList,0))+INDEX(LevelBasic,MATCH($H1544,LevelList,0))*INDEX(LevelBonus,MATCH($H1544,LevelList,0))+(INDEX(LevelBasic,MATCH($H1544,LevelList,0))+INDEX(LevelHousing,MATCH($H1544,LevelList,0)))*GosiSaudi,0))</f>
        <v>0</v>
      </c>
      <c r="W1544" s="35" t="n">
        <f aca="false">IFERROR(INDEX(LevelOneOff,MATCH($H1544,LevelList,0)),0)</f>
        <v>0</v>
      </c>
      <c r="X1544" s="35" t="str">
        <f aca="false">IF($G1544="","",$V1544*N($L1544))</f>
        <v/>
      </c>
      <c r="Y1544" s="35" t="str">
        <f aca="false">IF($G1544="","",$V1544*(N($M1544)*1+N($N1544)*0.75+N($O1544)*0.5+N($P1544)*0.25)+$W1544*N($L1544))</f>
        <v/>
      </c>
      <c r="Z1544" s="35" t="str">
        <f aca="false">IF($G1544="","",$U1544*1000000+ROW())</f>
        <v/>
      </c>
      <c r="AA1544" s="36" t="str">
        <f aca="false">IF($G1544="","",MID(IF($C1544="",", no division","")&amp;IF($E1544="",", no unit","")&amp;IF($H1544="",", no career level","")&amp;IF(N($L1544)&lt;=0,", no quarter split","")&amp;IF($R1544="",", no driver","")&amp;IF(AND($H1544&lt;&gt;"",COUNTIF(CareerLevels,$H1544)=0),", a career level that is not on the ladder","")&amp;IF(AND($R1544&lt;&gt;"",COUNTIF(DriverList,$R1544)=0),", a driver that is not on the list","")&amp;IF(ABS(N($L1544)-(N($M1544)+N($N1544)+N($O1544)+N($P1544)))&gt;0.001,", a total that does not match its quarters",""),3,300))</f>
        <v/>
      </c>
    </row>
    <row r="1545" customFormat="false" ht="15" hidden="false" customHeight="false" outlineLevel="0" collapsed="false">
      <c r="A1545" s="33" t="str">
        <f aca="false">IF($G1545="","","Operations Group")</f>
        <v/>
      </c>
      <c r="B1545" s="19"/>
      <c r="C1545" s="19"/>
      <c r="D1545" s="19"/>
      <c r="E1545" s="19"/>
      <c r="F1545" s="19"/>
      <c r="G1545" s="19"/>
      <c r="H1545" s="19"/>
      <c r="I1545" s="19"/>
      <c r="J1545" s="19"/>
      <c r="K1545" s="19"/>
      <c r="L1545" s="19"/>
      <c r="M1545" s="19"/>
      <c r="N1545" s="19"/>
      <c r="O1545" s="19"/>
      <c r="P1545" s="19"/>
      <c r="Q1545" s="19"/>
      <c r="R1545" s="19"/>
      <c r="S1545" s="19"/>
      <c r="T1545" s="34" t="str">
        <f aca="false">IF($R1545="","",IFERROR(INDEX(DriverCategory,MATCH($R1545,DriverList,0)),"BAU"))</f>
        <v/>
      </c>
      <c r="U1545" s="34" t="str">
        <f aca="false">IF($R1545="","",IFERROR(INDEX(DriverRank,MATCH($R1545,DriverList,0)),99))</f>
        <v/>
      </c>
      <c r="V1545" s="35" t="n">
        <f aca="false">IF($H1545="",0,IFERROR(INDEX(LevelBasic,MATCH($H1545,LevelList,0))+INDEX(LevelHousing,MATCH($H1545,LevelList,0))+INDEX(LevelTransport,MATCH($H1545,LevelList,0))+INDEX(LevelBasic,MATCH($H1545,LevelList,0))*INDEX(LevelBonus,MATCH($H1545,LevelList,0))+(INDEX(LevelBasic,MATCH($H1545,LevelList,0))+INDEX(LevelHousing,MATCH($H1545,LevelList,0)))*GosiSaudi,0))</f>
        <v>0</v>
      </c>
      <c r="W1545" s="35" t="n">
        <f aca="false">IFERROR(INDEX(LevelOneOff,MATCH($H1545,LevelList,0)),0)</f>
        <v>0</v>
      </c>
      <c r="X1545" s="35" t="str">
        <f aca="false">IF($G1545="","",$V1545*N($L1545))</f>
        <v/>
      </c>
      <c r="Y1545" s="35" t="str">
        <f aca="false">IF($G1545="","",$V1545*(N($M1545)*1+N($N1545)*0.75+N($O1545)*0.5+N($P1545)*0.25)+$W1545*N($L1545))</f>
        <v/>
      </c>
      <c r="Z1545" s="35" t="str">
        <f aca="false">IF($G1545="","",$U1545*1000000+ROW())</f>
        <v/>
      </c>
      <c r="AA1545" s="36" t="str">
        <f aca="false">IF($G1545="","",MID(IF($C1545="",", no division","")&amp;IF($E1545="",", no unit","")&amp;IF($H1545="",", no career level","")&amp;IF(N($L1545)&lt;=0,", no quarter split","")&amp;IF($R1545="",", no driver","")&amp;IF(AND($H1545&lt;&gt;"",COUNTIF(CareerLevels,$H1545)=0),", a career level that is not on the ladder","")&amp;IF(AND($R1545&lt;&gt;"",COUNTIF(DriverList,$R1545)=0),", a driver that is not on the list","")&amp;IF(ABS(N($L1545)-(N($M1545)+N($N1545)+N($O1545)+N($P1545)))&gt;0.001,", a total that does not match its quarters",""),3,300))</f>
        <v/>
      </c>
    </row>
    <row r="1546" customFormat="false" ht="15" hidden="false" customHeight="false" outlineLevel="0" collapsed="false">
      <c r="A1546" s="33" t="str">
        <f aca="false">IF($G1546="","","Operations Group")</f>
        <v/>
      </c>
      <c r="B1546" s="19"/>
      <c r="C1546" s="19"/>
      <c r="D1546" s="19"/>
      <c r="E1546" s="19"/>
      <c r="F1546" s="19"/>
      <c r="G1546" s="19"/>
      <c r="H1546" s="19"/>
      <c r="I1546" s="19"/>
      <c r="J1546" s="19"/>
      <c r="K1546" s="19"/>
      <c r="L1546" s="19"/>
      <c r="M1546" s="19"/>
      <c r="N1546" s="19"/>
      <c r="O1546" s="19"/>
      <c r="P1546" s="19"/>
      <c r="Q1546" s="19"/>
      <c r="R1546" s="19"/>
      <c r="S1546" s="19"/>
      <c r="T1546" s="34" t="str">
        <f aca="false">IF($R1546="","",IFERROR(INDEX(DriverCategory,MATCH($R1546,DriverList,0)),"BAU"))</f>
        <v/>
      </c>
      <c r="U1546" s="34" t="str">
        <f aca="false">IF($R1546="","",IFERROR(INDEX(DriverRank,MATCH($R1546,DriverList,0)),99))</f>
        <v/>
      </c>
      <c r="V1546" s="35" t="n">
        <f aca="false">IF($H1546="",0,IFERROR(INDEX(LevelBasic,MATCH($H1546,LevelList,0))+INDEX(LevelHousing,MATCH($H1546,LevelList,0))+INDEX(LevelTransport,MATCH($H1546,LevelList,0))+INDEX(LevelBasic,MATCH($H1546,LevelList,0))*INDEX(LevelBonus,MATCH($H1546,LevelList,0))+(INDEX(LevelBasic,MATCH($H1546,LevelList,0))+INDEX(LevelHousing,MATCH($H1546,LevelList,0)))*GosiSaudi,0))</f>
        <v>0</v>
      </c>
      <c r="W1546" s="35" t="n">
        <f aca="false">IFERROR(INDEX(LevelOneOff,MATCH($H1546,LevelList,0)),0)</f>
        <v>0</v>
      </c>
      <c r="X1546" s="35" t="str">
        <f aca="false">IF($G1546="","",$V1546*N($L1546))</f>
        <v/>
      </c>
      <c r="Y1546" s="35" t="str">
        <f aca="false">IF($G1546="","",$V1546*(N($M1546)*1+N($N1546)*0.75+N($O1546)*0.5+N($P1546)*0.25)+$W1546*N($L1546))</f>
        <v/>
      </c>
      <c r="Z1546" s="35" t="str">
        <f aca="false">IF($G1546="","",$U1546*1000000+ROW())</f>
        <v/>
      </c>
      <c r="AA1546" s="36" t="str">
        <f aca="false">IF($G1546="","",MID(IF($C1546="",", no division","")&amp;IF($E1546="",", no unit","")&amp;IF($H1546="",", no career level","")&amp;IF(N($L1546)&lt;=0,", no quarter split","")&amp;IF($R1546="",", no driver","")&amp;IF(AND($H1546&lt;&gt;"",COUNTIF(CareerLevels,$H1546)=0),", a career level that is not on the ladder","")&amp;IF(AND($R1546&lt;&gt;"",COUNTIF(DriverList,$R1546)=0),", a driver that is not on the list","")&amp;IF(ABS(N($L1546)-(N($M1546)+N($N1546)+N($O1546)+N($P1546)))&gt;0.001,", a total that does not match its quarters",""),3,300))</f>
        <v/>
      </c>
    </row>
    <row r="1547" customFormat="false" ht="15" hidden="false" customHeight="false" outlineLevel="0" collapsed="false">
      <c r="A1547" s="33" t="str">
        <f aca="false">IF($G1547="","","Operations Group")</f>
        <v/>
      </c>
      <c r="B1547" s="19"/>
      <c r="C1547" s="19"/>
      <c r="D1547" s="19"/>
      <c r="E1547" s="19"/>
      <c r="F1547" s="19"/>
      <c r="G1547" s="19"/>
      <c r="H1547" s="19"/>
      <c r="I1547" s="19"/>
      <c r="J1547" s="19"/>
      <c r="K1547" s="19"/>
      <c r="L1547" s="19"/>
      <c r="M1547" s="19"/>
      <c r="N1547" s="19"/>
      <c r="O1547" s="19"/>
      <c r="P1547" s="19"/>
      <c r="Q1547" s="19"/>
      <c r="R1547" s="19"/>
      <c r="S1547" s="19"/>
      <c r="T1547" s="34" t="str">
        <f aca="false">IF($R1547="","",IFERROR(INDEX(DriverCategory,MATCH($R1547,DriverList,0)),"BAU"))</f>
        <v/>
      </c>
      <c r="U1547" s="34" t="str">
        <f aca="false">IF($R1547="","",IFERROR(INDEX(DriverRank,MATCH($R1547,DriverList,0)),99))</f>
        <v/>
      </c>
      <c r="V1547" s="35" t="n">
        <f aca="false">IF($H1547="",0,IFERROR(INDEX(LevelBasic,MATCH($H1547,LevelList,0))+INDEX(LevelHousing,MATCH($H1547,LevelList,0))+INDEX(LevelTransport,MATCH($H1547,LevelList,0))+INDEX(LevelBasic,MATCH($H1547,LevelList,0))*INDEX(LevelBonus,MATCH($H1547,LevelList,0))+(INDEX(LevelBasic,MATCH($H1547,LevelList,0))+INDEX(LevelHousing,MATCH($H1547,LevelList,0)))*GosiSaudi,0))</f>
        <v>0</v>
      </c>
      <c r="W1547" s="35" t="n">
        <f aca="false">IFERROR(INDEX(LevelOneOff,MATCH($H1547,LevelList,0)),0)</f>
        <v>0</v>
      </c>
      <c r="X1547" s="35" t="str">
        <f aca="false">IF($G1547="","",$V1547*N($L1547))</f>
        <v/>
      </c>
      <c r="Y1547" s="35" t="str">
        <f aca="false">IF($G1547="","",$V1547*(N($M1547)*1+N($N1547)*0.75+N($O1547)*0.5+N($P1547)*0.25)+$W1547*N($L1547))</f>
        <v/>
      </c>
      <c r="Z1547" s="35" t="str">
        <f aca="false">IF($G1547="","",$U1547*1000000+ROW())</f>
        <v/>
      </c>
      <c r="AA1547" s="36" t="str">
        <f aca="false">IF($G1547="","",MID(IF($C1547="",", no division","")&amp;IF($E1547="",", no unit","")&amp;IF($H1547="",", no career level","")&amp;IF(N($L1547)&lt;=0,", no quarter split","")&amp;IF($R1547="",", no driver","")&amp;IF(AND($H1547&lt;&gt;"",COUNTIF(CareerLevels,$H1547)=0),", a career level that is not on the ladder","")&amp;IF(AND($R1547&lt;&gt;"",COUNTIF(DriverList,$R1547)=0),", a driver that is not on the list","")&amp;IF(ABS(N($L1547)-(N($M1547)+N($N1547)+N($O1547)+N($P1547)))&gt;0.001,", a total that does not match its quarters",""),3,300))</f>
        <v/>
      </c>
    </row>
    <row r="1548" customFormat="false" ht="15" hidden="false" customHeight="false" outlineLevel="0" collapsed="false">
      <c r="A1548" s="33" t="str">
        <f aca="false">IF($G1548="","","Operations Group")</f>
        <v/>
      </c>
      <c r="B1548" s="19"/>
      <c r="C1548" s="19"/>
      <c r="D1548" s="19"/>
      <c r="E1548" s="19"/>
      <c r="F1548" s="19"/>
      <c r="G1548" s="19"/>
      <c r="H1548" s="19"/>
      <c r="I1548" s="19"/>
      <c r="J1548" s="19"/>
      <c r="K1548" s="19"/>
      <c r="L1548" s="19"/>
      <c r="M1548" s="19"/>
      <c r="N1548" s="19"/>
      <c r="O1548" s="19"/>
      <c r="P1548" s="19"/>
      <c r="Q1548" s="19"/>
      <c r="R1548" s="19"/>
      <c r="S1548" s="19"/>
      <c r="T1548" s="34" t="str">
        <f aca="false">IF($R1548="","",IFERROR(INDEX(DriverCategory,MATCH($R1548,DriverList,0)),"BAU"))</f>
        <v/>
      </c>
      <c r="U1548" s="34" t="str">
        <f aca="false">IF($R1548="","",IFERROR(INDEX(DriverRank,MATCH($R1548,DriverList,0)),99))</f>
        <v/>
      </c>
      <c r="V1548" s="35" t="n">
        <f aca="false">IF($H1548="",0,IFERROR(INDEX(LevelBasic,MATCH($H1548,LevelList,0))+INDEX(LevelHousing,MATCH($H1548,LevelList,0))+INDEX(LevelTransport,MATCH($H1548,LevelList,0))+INDEX(LevelBasic,MATCH($H1548,LevelList,0))*INDEX(LevelBonus,MATCH($H1548,LevelList,0))+(INDEX(LevelBasic,MATCH($H1548,LevelList,0))+INDEX(LevelHousing,MATCH($H1548,LevelList,0)))*GosiSaudi,0))</f>
        <v>0</v>
      </c>
      <c r="W1548" s="35" t="n">
        <f aca="false">IFERROR(INDEX(LevelOneOff,MATCH($H1548,LevelList,0)),0)</f>
        <v>0</v>
      </c>
      <c r="X1548" s="35" t="str">
        <f aca="false">IF($G1548="","",$V1548*N($L1548))</f>
        <v/>
      </c>
      <c r="Y1548" s="35" t="str">
        <f aca="false">IF($G1548="","",$V1548*(N($M1548)*1+N($N1548)*0.75+N($O1548)*0.5+N($P1548)*0.25)+$W1548*N($L1548))</f>
        <v/>
      </c>
      <c r="Z1548" s="35" t="str">
        <f aca="false">IF($G1548="","",$U1548*1000000+ROW())</f>
        <v/>
      </c>
      <c r="AA1548" s="36" t="str">
        <f aca="false">IF($G1548="","",MID(IF($C1548="",", no division","")&amp;IF($E1548="",", no unit","")&amp;IF($H1548="",", no career level","")&amp;IF(N($L1548)&lt;=0,", no quarter split","")&amp;IF($R1548="",", no driver","")&amp;IF(AND($H1548&lt;&gt;"",COUNTIF(CareerLevels,$H1548)=0),", a career level that is not on the ladder","")&amp;IF(AND($R1548&lt;&gt;"",COUNTIF(DriverList,$R1548)=0),", a driver that is not on the list","")&amp;IF(ABS(N($L1548)-(N($M1548)+N($N1548)+N($O1548)+N($P1548)))&gt;0.001,", a total that does not match its quarters",""),3,300))</f>
        <v/>
      </c>
    </row>
    <row r="1549" customFormat="false" ht="15" hidden="false" customHeight="false" outlineLevel="0" collapsed="false">
      <c r="A1549" s="33" t="str">
        <f aca="false">IF($G1549="","","Operations Group")</f>
        <v/>
      </c>
      <c r="B1549" s="19"/>
      <c r="C1549" s="19"/>
      <c r="D1549" s="19"/>
      <c r="E1549" s="19"/>
      <c r="F1549" s="19"/>
      <c r="G1549" s="19"/>
      <c r="H1549" s="19"/>
      <c r="I1549" s="19"/>
      <c r="J1549" s="19"/>
      <c r="K1549" s="19"/>
      <c r="L1549" s="19"/>
      <c r="M1549" s="19"/>
      <c r="N1549" s="19"/>
      <c r="O1549" s="19"/>
      <c r="P1549" s="19"/>
      <c r="Q1549" s="19"/>
      <c r="R1549" s="19"/>
      <c r="S1549" s="19"/>
      <c r="T1549" s="34" t="str">
        <f aca="false">IF($R1549="","",IFERROR(INDEX(DriverCategory,MATCH($R1549,DriverList,0)),"BAU"))</f>
        <v/>
      </c>
      <c r="U1549" s="34" t="str">
        <f aca="false">IF($R1549="","",IFERROR(INDEX(DriverRank,MATCH($R1549,DriverList,0)),99))</f>
        <v/>
      </c>
      <c r="V1549" s="35" t="n">
        <f aca="false">IF($H1549="",0,IFERROR(INDEX(LevelBasic,MATCH($H1549,LevelList,0))+INDEX(LevelHousing,MATCH($H1549,LevelList,0))+INDEX(LevelTransport,MATCH($H1549,LevelList,0))+INDEX(LevelBasic,MATCH($H1549,LevelList,0))*INDEX(LevelBonus,MATCH($H1549,LevelList,0))+(INDEX(LevelBasic,MATCH($H1549,LevelList,0))+INDEX(LevelHousing,MATCH($H1549,LevelList,0)))*GosiSaudi,0))</f>
        <v>0</v>
      </c>
      <c r="W1549" s="35" t="n">
        <f aca="false">IFERROR(INDEX(LevelOneOff,MATCH($H1549,LevelList,0)),0)</f>
        <v>0</v>
      </c>
      <c r="X1549" s="35" t="str">
        <f aca="false">IF($G1549="","",$V1549*N($L1549))</f>
        <v/>
      </c>
      <c r="Y1549" s="35" t="str">
        <f aca="false">IF($G1549="","",$V1549*(N($M1549)*1+N($N1549)*0.75+N($O1549)*0.5+N($P1549)*0.25)+$W1549*N($L1549))</f>
        <v/>
      </c>
      <c r="Z1549" s="35" t="str">
        <f aca="false">IF($G1549="","",$U1549*1000000+ROW())</f>
        <v/>
      </c>
      <c r="AA1549" s="36" t="str">
        <f aca="false">IF($G1549="","",MID(IF($C1549="",", no division","")&amp;IF($E1549="",", no unit","")&amp;IF($H1549="",", no career level","")&amp;IF(N($L1549)&lt;=0,", no quarter split","")&amp;IF($R1549="",", no driver","")&amp;IF(AND($H1549&lt;&gt;"",COUNTIF(CareerLevels,$H1549)=0),", a career level that is not on the ladder","")&amp;IF(AND($R1549&lt;&gt;"",COUNTIF(DriverList,$R1549)=0),", a driver that is not on the list","")&amp;IF(ABS(N($L1549)-(N($M1549)+N($N1549)+N($O1549)+N($P1549)))&gt;0.001,", a total that does not match its quarters",""),3,300))</f>
        <v/>
      </c>
    </row>
    <row r="1550" customFormat="false" ht="15" hidden="false" customHeight="false" outlineLevel="0" collapsed="false">
      <c r="A1550" s="33" t="str">
        <f aca="false">IF($G1550="","","Operations Group")</f>
        <v/>
      </c>
      <c r="B1550" s="19"/>
      <c r="C1550" s="19"/>
      <c r="D1550" s="19"/>
      <c r="E1550" s="19"/>
      <c r="F1550" s="19"/>
      <c r="G1550" s="19"/>
      <c r="H1550" s="19"/>
      <c r="I1550" s="19"/>
      <c r="J1550" s="19"/>
      <c r="K1550" s="19"/>
      <c r="L1550" s="19"/>
      <c r="M1550" s="19"/>
      <c r="N1550" s="19"/>
      <c r="O1550" s="19"/>
      <c r="P1550" s="19"/>
      <c r="Q1550" s="19"/>
      <c r="R1550" s="19"/>
      <c r="S1550" s="19"/>
      <c r="T1550" s="34" t="str">
        <f aca="false">IF($R1550="","",IFERROR(INDEX(DriverCategory,MATCH($R1550,DriverList,0)),"BAU"))</f>
        <v/>
      </c>
      <c r="U1550" s="34" t="str">
        <f aca="false">IF($R1550="","",IFERROR(INDEX(DriverRank,MATCH($R1550,DriverList,0)),99))</f>
        <v/>
      </c>
      <c r="V1550" s="35" t="n">
        <f aca="false">IF($H1550="",0,IFERROR(INDEX(LevelBasic,MATCH($H1550,LevelList,0))+INDEX(LevelHousing,MATCH($H1550,LevelList,0))+INDEX(LevelTransport,MATCH($H1550,LevelList,0))+INDEX(LevelBasic,MATCH($H1550,LevelList,0))*INDEX(LevelBonus,MATCH($H1550,LevelList,0))+(INDEX(LevelBasic,MATCH($H1550,LevelList,0))+INDEX(LevelHousing,MATCH($H1550,LevelList,0)))*GosiSaudi,0))</f>
        <v>0</v>
      </c>
      <c r="W1550" s="35" t="n">
        <f aca="false">IFERROR(INDEX(LevelOneOff,MATCH($H1550,LevelList,0)),0)</f>
        <v>0</v>
      </c>
      <c r="X1550" s="35" t="str">
        <f aca="false">IF($G1550="","",$V1550*N($L1550))</f>
        <v/>
      </c>
      <c r="Y1550" s="35" t="str">
        <f aca="false">IF($G1550="","",$V1550*(N($M1550)*1+N($N1550)*0.75+N($O1550)*0.5+N($P1550)*0.25)+$W1550*N($L1550))</f>
        <v/>
      </c>
      <c r="Z1550" s="35" t="str">
        <f aca="false">IF($G1550="","",$U1550*1000000+ROW())</f>
        <v/>
      </c>
      <c r="AA1550" s="36" t="str">
        <f aca="false">IF($G1550="","",MID(IF($C1550="",", no division","")&amp;IF($E1550="",", no unit","")&amp;IF($H1550="",", no career level","")&amp;IF(N($L1550)&lt;=0,", no quarter split","")&amp;IF($R1550="",", no driver","")&amp;IF(AND($H1550&lt;&gt;"",COUNTIF(CareerLevels,$H1550)=0),", a career level that is not on the ladder","")&amp;IF(AND($R1550&lt;&gt;"",COUNTIF(DriverList,$R1550)=0),", a driver that is not on the list","")&amp;IF(ABS(N($L1550)-(N($M1550)+N($N1550)+N($O1550)+N($P1550)))&gt;0.001,", a total that does not match its quarters",""),3,300))</f>
        <v/>
      </c>
    </row>
    <row r="1551" customFormat="false" ht="15" hidden="false" customHeight="false" outlineLevel="0" collapsed="false">
      <c r="A1551" s="33" t="str">
        <f aca="false">IF($G1551="","","Operations Group")</f>
        <v/>
      </c>
      <c r="B1551" s="19"/>
      <c r="C1551" s="19"/>
      <c r="D1551" s="19"/>
      <c r="E1551" s="19"/>
      <c r="F1551" s="19"/>
      <c r="G1551" s="19"/>
      <c r="H1551" s="19"/>
      <c r="I1551" s="19"/>
      <c r="J1551" s="19"/>
      <c r="K1551" s="19"/>
      <c r="L1551" s="19"/>
      <c r="M1551" s="19"/>
      <c r="N1551" s="19"/>
      <c r="O1551" s="19"/>
      <c r="P1551" s="19"/>
      <c r="Q1551" s="19"/>
      <c r="R1551" s="19"/>
      <c r="S1551" s="19"/>
      <c r="T1551" s="34" t="str">
        <f aca="false">IF($R1551="","",IFERROR(INDEX(DriverCategory,MATCH($R1551,DriverList,0)),"BAU"))</f>
        <v/>
      </c>
      <c r="U1551" s="34" t="str">
        <f aca="false">IF($R1551="","",IFERROR(INDEX(DriverRank,MATCH($R1551,DriverList,0)),99))</f>
        <v/>
      </c>
      <c r="V1551" s="35" t="n">
        <f aca="false">IF($H1551="",0,IFERROR(INDEX(LevelBasic,MATCH($H1551,LevelList,0))+INDEX(LevelHousing,MATCH($H1551,LevelList,0))+INDEX(LevelTransport,MATCH($H1551,LevelList,0))+INDEX(LevelBasic,MATCH($H1551,LevelList,0))*INDEX(LevelBonus,MATCH($H1551,LevelList,0))+(INDEX(LevelBasic,MATCH($H1551,LevelList,0))+INDEX(LevelHousing,MATCH($H1551,LevelList,0)))*GosiSaudi,0))</f>
        <v>0</v>
      </c>
      <c r="W1551" s="35" t="n">
        <f aca="false">IFERROR(INDEX(LevelOneOff,MATCH($H1551,LevelList,0)),0)</f>
        <v>0</v>
      </c>
      <c r="X1551" s="35" t="str">
        <f aca="false">IF($G1551="","",$V1551*N($L1551))</f>
        <v/>
      </c>
      <c r="Y1551" s="35" t="str">
        <f aca="false">IF($G1551="","",$V1551*(N($M1551)*1+N($N1551)*0.75+N($O1551)*0.5+N($P1551)*0.25)+$W1551*N($L1551))</f>
        <v/>
      </c>
      <c r="Z1551" s="35" t="str">
        <f aca="false">IF($G1551="","",$U1551*1000000+ROW())</f>
        <v/>
      </c>
      <c r="AA1551" s="36" t="str">
        <f aca="false">IF($G1551="","",MID(IF($C1551="",", no division","")&amp;IF($E1551="",", no unit","")&amp;IF($H1551="",", no career level","")&amp;IF(N($L1551)&lt;=0,", no quarter split","")&amp;IF($R1551="",", no driver","")&amp;IF(AND($H1551&lt;&gt;"",COUNTIF(CareerLevels,$H1551)=0),", a career level that is not on the ladder","")&amp;IF(AND($R1551&lt;&gt;"",COUNTIF(DriverList,$R1551)=0),", a driver that is not on the list","")&amp;IF(ABS(N($L1551)-(N($M1551)+N($N1551)+N($O1551)+N($P1551)))&gt;0.001,", a total that does not match its quarters",""),3,300))</f>
        <v/>
      </c>
    </row>
    <row r="1552" customFormat="false" ht="15" hidden="false" customHeight="false" outlineLevel="0" collapsed="false">
      <c r="A1552" s="33" t="str">
        <f aca="false">IF($G1552="","","Operations Group")</f>
        <v/>
      </c>
      <c r="B1552" s="19"/>
      <c r="C1552" s="19"/>
      <c r="D1552" s="19"/>
      <c r="E1552" s="19"/>
      <c r="F1552" s="19"/>
      <c r="G1552" s="19"/>
      <c r="H1552" s="19"/>
      <c r="I1552" s="19"/>
      <c r="J1552" s="19"/>
      <c r="K1552" s="19"/>
      <c r="L1552" s="19"/>
      <c r="M1552" s="19"/>
      <c r="N1552" s="19"/>
      <c r="O1552" s="19"/>
      <c r="P1552" s="19"/>
      <c r="Q1552" s="19"/>
      <c r="R1552" s="19"/>
      <c r="S1552" s="19"/>
      <c r="T1552" s="34" t="str">
        <f aca="false">IF($R1552="","",IFERROR(INDEX(DriverCategory,MATCH($R1552,DriverList,0)),"BAU"))</f>
        <v/>
      </c>
      <c r="U1552" s="34" t="str">
        <f aca="false">IF($R1552="","",IFERROR(INDEX(DriverRank,MATCH($R1552,DriverList,0)),99))</f>
        <v/>
      </c>
      <c r="V1552" s="35" t="n">
        <f aca="false">IF($H1552="",0,IFERROR(INDEX(LevelBasic,MATCH($H1552,LevelList,0))+INDEX(LevelHousing,MATCH($H1552,LevelList,0))+INDEX(LevelTransport,MATCH($H1552,LevelList,0))+INDEX(LevelBasic,MATCH($H1552,LevelList,0))*INDEX(LevelBonus,MATCH($H1552,LevelList,0))+(INDEX(LevelBasic,MATCH($H1552,LevelList,0))+INDEX(LevelHousing,MATCH($H1552,LevelList,0)))*GosiSaudi,0))</f>
        <v>0</v>
      </c>
      <c r="W1552" s="35" t="n">
        <f aca="false">IFERROR(INDEX(LevelOneOff,MATCH($H1552,LevelList,0)),0)</f>
        <v>0</v>
      </c>
      <c r="X1552" s="35" t="str">
        <f aca="false">IF($G1552="","",$V1552*N($L1552))</f>
        <v/>
      </c>
      <c r="Y1552" s="35" t="str">
        <f aca="false">IF($G1552="","",$V1552*(N($M1552)*1+N($N1552)*0.75+N($O1552)*0.5+N($P1552)*0.25)+$W1552*N($L1552))</f>
        <v/>
      </c>
      <c r="Z1552" s="35" t="str">
        <f aca="false">IF($G1552="","",$U1552*1000000+ROW())</f>
        <v/>
      </c>
      <c r="AA1552" s="36" t="str">
        <f aca="false">IF($G1552="","",MID(IF($C1552="",", no division","")&amp;IF($E1552="",", no unit","")&amp;IF($H1552="",", no career level","")&amp;IF(N($L1552)&lt;=0,", no quarter split","")&amp;IF($R1552="",", no driver","")&amp;IF(AND($H1552&lt;&gt;"",COUNTIF(CareerLevels,$H1552)=0),", a career level that is not on the ladder","")&amp;IF(AND($R1552&lt;&gt;"",COUNTIF(DriverList,$R1552)=0),", a driver that is not on the list","")&amp;IF(ABS(N($L1552)-(N($M1552)+N($N1552)+N($O1552)+N($P1552)))&gt;0.001,", a total that does not match its quarters",""),3,300))</f>
        <v/>
      </c>
    </row>
    <row r="1553" customFormat="false" ht="15" hidden="false" customHeight="false" outlineLevel="0" collapsed="false">
      <c r="A1553" s="33" t="str">
        <f aca="false">IF($G1553="","","Operations Group")</f>
        <v/>
      </c>
      <c r="B1553" s="19"/>
      <c r="C1553" s="19"/>
      <c r="D1553" s="19"/>
      <c r="E1553" s="19"/>
      <c r="F1553" s="19"/>
      <c r="G1553" s="19"/>
      <c r="H1553" s="19"/>
      <c r="I1553" s="19"/>
      <c r="J1553" s="19"/>
      <c r="K1553" s="19"/>
      <c r="L1553" s="19"/>
      <c r="M1553" s="19"/>
      <c r="N1553" s="19"/>
      <c r="O1553" s="19"/>
      <c r="P1553" s="19"/>
      <c r="Q1553" s="19"/>
      <c r="R1553" s="19"/>
      <c r="S1553" s="19"/>
      <c r="T1553" s="34" t="str">
        <f aca="false">IF($R1553="","",IFERROR(INDEX(DriverCategory,MATCH($R1553,DriverList,0)),"BAU"))</f>
        <v/>
      </c>
      <c r="U1553" s="34" t="str">
        <f aca="false">IF($R1553="","",IFERROR(INDEX(DriverRank,MATCH($R1553,DriverList,0)),99))</f>
        <v/>
      </c>
      <c r="V1553" s="35" t="n">
        <f aca="false">IF($H1553="",0,IFERROR(INDEX(LevelBasic,MATCH($H1553,LevelList,0))+INDEX(LevelHousing,MATCH($H1553,LevelList,0))+INDEX(LevelTransport,MATCH($H1553,LevelList,0))+INDEX(LevelBasic,MATCH($H1553,LevelList,0))*INDEX(LevelBonus,MATCH($H1553,LevelList,0))+(INDEX(LevelBasic,MATCH($H1553,LevelList,0))+INDEX(LevelHousing,MATCH($H1553,LevelList,0)))*GosiSaudi,0))</f>
        <v>0</v>
      </c>
      <c r="W1553" s="35" t="n">
        <f aca="false">IFERROR(INDEX(LevelOneOff,MATCH($H1553,LevelList,0)),0)</f>
        <v>0</v>
      </c>
      <c r="X1553" s="35" t="str">
        <f aca="false">IF($G1553="","",$V1553*N($L1553))</f>
        <v/>
      </c>
      <c r="Y1553" s="35" t="str">
        <f aca="false">IF($G1553="","",$V1553*(N($M1553)*1+N($N1553)*0.75+N($O1553)*0.5+N($P1553)*0.25)+$W1553*N($L1553))</f>
        <v/>
      </c>
      <c r="Z1553" s="35" t="str">
        <f aca="false">IF($G1553="","",$U1553*1000000+ROW())</f>
        <v/>
      </c>
      <c r="AA1553" s="36" t="str">
        <f aca="false">IF($G1553="","",MID(IF($C1553="",", no division","")&amp;IF($E1553="",", no unit","")&amp;IF($H1553="",", no career level","")&amp;IF(N($L1553)&lt;=0,", no quarter split","")&amp;IF($R1553="",", no driver","")&amp;IF(AND($H1553&lt;&gt;"",COUNTIF(CareerLevels,$H1553)=0),", a career level that is not on the ladder","")&amp;IF(AND($R1553&lt;&gt;"",COUNTIF(DriverList,$R1553)=0),", a driver that is not on the list","")&amp;IF(ABS(N($L1553)-(N($M1553)+N($N1553)+N($O1553)+N($P1553)))&gt;0.001,", a total that does not match its quarters",""),3,300))</f>
        <v/>
      </c>
    </row>
    <row r="1554" customFormat="false" ht="15" hidden="false" customHeight="false" outlineLevel="0" collapsed="false">
      <c r="A1554" s="33" t="str">
        <f aca="false">IF($G1554="","","Operations Group")</f>
        <v/>
      </c>
      <c r="B1554" s="19"/>
      <c r="C1554" s="19"/>
      <c r="D1554" s="19"/>
      <c r="E1554" s="19"/>
      <c r="F1554" s="19"/>
      <c r="G1554" s="19"/>
      <c r="H1554" s="19"/>
      <c r="I1554" s="19"/>
      <c r="J1554" s="19"/>
      <c r="K1554" s="19"/>
      <c r="L1554" s="19"/>
      <c r="M1554" s="19"/>
      <c r="N1554" s="19"/>
      <c r="O1554" s="19"/>
      <c r="P1554" s="19"/>
      <c r="Q1554" s="19"/>
      <c r="R1554" s="19"/>
      <c r="S1554" s="19"/>
      <c r="T1554" s="34" t="str">
        <f aca="false">IF($R1554="","",IFERROR(INDEX(DriverCategory,MATCH($R1554,DriverList,0)),"BAU"))</f>
        <v/>
      </c>
      <c r="U1554" s="34" t="str">
        <f aca="false">IF($R1554="","",IFERROR(INDEX(DriverRank,MATCH($R1554,DriverList,0)),99))</f>
        <v/>
      </c>
      <c r="V1554" s="35" t="n">
        <f aca="false">IF($H1554="",0,IFERROR(INDEX(LevelBasic,MATCH($H1554,LevelList,0))+INDEX(LevelHousing,MATCH($H1554,LevelList,0))+INDEX(LevelTransport,MATCH($H1554,LevelList,0))+INDEX(LevelBasic,MATCH($H1554,LevelList,0))*INDEX(LevelBonus,MATCH($H1554,LevelList,0))+(INDEX(LevelBasic,MATCH($H1554,LevelList,0))+INDEX(LevelHousing,MATCH($H1554,LevelList,0)))*GosiSaudi,0))</f>
        <v>0</v>
      </c>
      <c r="W1554" s="35" t="n">
        <f aca="false">IFERROR(INDEX(LevelOneOff,MATCH($H1554,LevelList,0)),0)</f>
        <v>0</v>
      </c>
      <c r="X1554" s="35" t="str">
        <f aca="false">IF($G1554="","",$V1554*N($L1554))</f>
        <v/>
      </c>
      <c r="Y1554" s="35" t="str">
        <f aca="false">IF($G1554="","",$V1554*(N($M1554)*1+N($N1554)*0.75+N($O1554)*0.5+N($P1554)*0.25)+$W1554*N($L1554))</f>
        <v/>
      </c>
      <c r="Z1554" s="35" t="str">
        <f aca="false">IF($G1554="","",$U1554*1000000+ROW())</f>
        <v/>
      </c>
      <c r="AA1554" s="36" t="str">
        <f aca="false">IF($G1554="","",MID(IF($C1554="",", no division","")&amp;IF($E1554="",", no unit","")&amp;IF($H1554="",", no career level","")&amp;IF(N($L1554)&lt;=0,", no quarter split","")&amp;IF($R1554="",", no driver","")&amp;IF(AND($H1554&lt;&gt;"",COUNTIF(CareerLevels,$H1554)=0),", a career level that is not on the ladder","")&amp;IF(AND($R1554&lt;&gt;"",COUNTIF(DriverList,$R1554)=0),", a driver that is not on the list","")&amp;IF(ABS(N($L1554)-(N($M1554)+N($N1554)+N($O1554)+N($P1554)))&gt;0.001,", a total that does not match its quarters",""),3,300))</f>
        <v/>
      </c>
    </row>
    <row r="1555" customFormat="false" ht="15" hidden="false" customHeight="false" outlineLevel="0" collapsed="false">
      <c r="A1555" s="33" t="str">
        <f aca="false">IF($G1555="","","Operations Group")</f>
        <v/>
      </c>
      <c r="B1555" s="19"/>
      <c r="C1555" s="19"/>
      <c r="D1555" s="19"/>
      <c r="E1555" s="19"/>
      <c r="F1555" s="19"/>
      <c r="G1555" s="19"/>
      <c r="H1555" s="19"/>
      <c r="I1555" s="19"/>
      <c r="J1555" s="19"/>
      <c r="K1555" s="19"/>
      <c r="L1555" s="19"/>
      <c r="M1555" s="19"/>
      <c r="N1555" s="19"/>
      <c r="O1555" s="19"/>
      <c r="P1555" s="19"/>
      <c r="Q1555" s="19"/>
      <c r="R1555" s="19"/>
      <c r="S1555" s="19"/>
      <c r="T1555" s="34" t="str">
        <f aca="false">IF($R1555="","",IFERROR(INDEX(DriverCategory,MATCH($R1555,DriverList,0)),"BAU"))</f>
        <v/>
      </c>
      <c r="U1555" s="34" t="str">
        <f aca="false">IF($R1555="","",IFERROR(INDEX(DriverRank,MATCH($R1555,DriverList,0)),99))</f>
        <v/>
      </c>
      <c r="V1555" s="35" t="n">
        <f aca="false">IF($H1555="",0,IFERROR(INDEX(LevelBasic,MATCH($H1555,LevelList,0))+INDEX(LevelHousing,MATCH($H1555,LevelList,0))+INDEX(LevelTransport,MATCH($H1555,LevelList,0))+INDEX(LevelBasic,MATCH($H1555,LevelList,0))*INDEX(LevelBonus,MATCH($H1555,LevelList,0))+(INDEX(LevelBasic,MATCH($H1555,LevelList,0))+INDEX(LevelHousing,MATCH($H1555,LevelList,0)))*GosiSaudi,0))</f>
        <v>0</v>
      </c>
      <c r="W1555" s="35" t="n">
        <f aca="false">IFERROR(INDEX(LevelOneOff,MATCH($H1555,LevelList,0)),0)</f>
        <v>0</v>
      </c>
      <c r="X1555" s="35" t="str">
        <f aca="false">IF($G1555="","",$V1555*N($L1555))</f>
        <v/>
      </c>
      <c r="Y1555" s="35" t="str">
        <f aca="false">IF($G1555="","",$V1555*(N($M1555)*1+N($N1555)*0.75+N($O1555)*0.5+N($P1555)*0.25)+$W1555*N($L1555))</f>
        <v/>
      </c>
      <c r="Z1555" s="35" t="str">
        <f aca="false">IF($G1555="","",$U1555*1000000+ROW())</f>
        <v/>
      </c>
      <c r="AA1555" s="36" t="str">
        <f aca="false">IF($G1555="","",MID(IF($C1555="",", no division","")&amp;IF($E1555="",", no unit","")&amp;IF($H1555="",", no career level","")&amp;IF(N($L1555)&lt;=0,", no quarter split","")&amp;IF($R1555="",", no driver","")&amp;IF(AND($H1555&lt;&gt;"",COUNTIF(CareerLevels,$H1555)=0),", a career level that is not on the ladder","")&amp;IF(AND($R1555&lt;&gt;"",COUNTIF(DriverList,$R1555)=0),", a driver that is not on the list","")&amp;IF(ABS(N($L1555)-(N($M1555)+N($N1555)+N($O1555)+N($P1555)))&gt;0.001,", a total that does not match its quarters",""),3,300))</f>
        <v/>
      </c>
    </row>
    <row r="1556" customFormat="false" ht="15" hidden="false" customHeight="false" outlineLevel="0" collapsed="false">
      <c r="A1556" s="33" t="str">
        <f aca="false">IF($G1556="","","Operations Group")</f>
        <v/>
      </c>
      <c r="B1556" s="19"/>
      <c r="C1556" s="19"/>
      <c r="D1556" s="19"/>
      <c r="E1556" s="19"/>
      <c r="F1556" s="19"/>
      <c r="G1556" s="19"/>
      <c r="H1556" s="19"/>
      <c r="I1556" s="19"/>
      <c r="J1556" s="19"/>
      <c r="K1556" s="19"/>
      <c r="L1556" s="19"/>
      <c r="M1556" s="19"/>
      <c r="N1556" s="19"/>
      <c r="O1556" s="19"/>
      <c r="P1556" s="19"/>
      <c r="Q1556" s="19"/>
      <c r="R1556" s="19"/>
      <c r="S1556" s="19"/>
      <c r="T1556" s="34" t="str">
        <f aca="false">IF($R1556="","",IFERROR(INDEX(DriverCategory,MATCH($R1556,DriverList,0)),"BAU"))</f>
        <v/>
      </c>
      <c r="U1556" s="34" t="str">
        <f aca="false">IF($R1556="","",IFERROR(INDEX(DriverRank,MATCH($R1556,DriverList,0)),99))</f>
        <v/>
      </c>
      <c r="V1556" s="35" t="n">
        <f aca="false">IF($H1556="",0,IFERROR(INDEX(LevelBasic,MATCH($H1556,LevelList,0))+INDEX(LevelHousing,MATCH($H1556,LevelList,0))+INDEX(LevelTransport,MATCH($H1556,LevelList,0))+INDEX(LevelBasic,MATCH($H1556,LevelList,0))*INDEX(LevelBonus,MATCH($H1556,LevelList,0))+(INDEX(LevelBasic,MATCH($H1556,LevelList,0))+INDEX(LevelHousing,MATCH($H1556,LevelList,0)))*GosiSaudi,0))</f>
        <v>0</v>
      </c>
      <c r="W1556" s="35" t="n">
        <f aca="false">IFERROR(INDEX(LevelOneOff,MATCH($H1556,LevelList,0)),0)</f>
        <v>0</v>
      </c>
      <c r="X1556" s="35" t="str">
        <f aca="false">IF($G1556="","",$V1556*N($L1556))</f>
        <v/>
      </c>
      <c r="Y1556" s="35" t="str">
        <f aca="false">IF($G1556="","",$V1556*(N($M1556)*1+N($N1556)*0.75+N($O1556)*0.5+N($P1556)*0.25)+$W1556*N($L1556))</f>
        <v/>
      </c>
      <c r="Z1556" s="35" t="str">
        <f aca="false">IF($G1556="","",$U1556*1000000+ROW())</f>
        <v/>
      </c>
      <c r="AA1556" s="36" t="str">
        <f aca="false">IF($G1556="","",MID(IF($C1556="",", no division","")&amp;IF($E1556="",", no unit","")&amp;IF($H1556="",", no career level","")&amp;IF(N($L1556)&lt;=0,", no quarter split","")&amp;IF($R1556="",", no driver","")&amp;IF(AND($H1556&lt;&gt;"",COUNTIF(CareerLevels,$H1556)=0),", a career level that is not on the ladder","")&amp;IF(AND($R1556&lt;&gt;"",COUNTIF(DriverList,$R1556)=0),", a driver that is not on the list","")&amp;IF(ABS(N($L1556)-(N($M1556)+N($N1556)+N($O1556)+N($P1556)))&gt;0.001,", a total that does not match its quarters",""),3,300))</f>
        <v/>
      </c>
    </row>
    <row r="1557" customFormat="false" ht="15" hidden="false" customHeight="false" outlineLevel="0" collapsed="false">
      <c r="A1557" s="33" t="str">
        <f aca="false">IF($G1557="","","Operations Group")</f>
        <v/>
      </c>
      <c r="B1557" s="19"/>
      <c r="C1557" s="19"/>
      <c r="D1557" s="19"/>
      <c r="E1557" s="19"/>
      <c r="F1557" s="19"/>
      <c r="G1557" s="19"/>
      <c r="H1557" s="19"/>
      <c r="I1557" s="19"/>
      <c r="J1557" s="19"/>
      <c r="K1557" s="19"/>
      <c r="L1557" s="19"/>
      <c r="M1557" s="19"/>
      <c r="N1557" s="19"/>
      <c r="O1557" s="19"/>
      <c r="P1557" s="19"/>
      <c r="Q1557" s="19"/>
      <c r="R1557" s="19"/>
      <c r="S1557" s="19"/>
      <c r="T1557" s="34" t="str">
        <f aca="false">IF($R1557="","",IFERROR(INDEX(DriverCategory,MATCH($R1557,DriverList,0)),"BAU"))</f>
        <v/>
      </c>
      <c r="U1557" s="34" t="str">
        <f aca="false">IF($R1557="","",IFERROR(INDEX(DriverRank,MATCH($R1557,DriverList,0)),99))</f>
        <v/>
      </c>
      <c r="V1557" s="35" t="n">
        <f aca="false">IF($H1557="",0,IFERROR(INDEX(LevelBasic,MATCH($H1557,LevelList,0))+INDEX(LevelHousing,MATCH($H1557,LevelList,0))+INDEX(LevelTransport,MATCH($H1557,LevelList,0))+INDEX(LevelBasic,MATCH($H1557,LevelList,0))*INDEX(LevelBonus,MATCH($H1557,LevelList,0))+(INDEX(LevelBasic,MATCH($H1557,LevelList,0))+INDEX(LevelHousing,MATCH($H1557,LevelList,0)))*GosiSaudi,0))</f>
        <v>0</v>
      </c>
      <c r="W1557" s="35" t="n">
        <f aca="false">IFERROR(INDEX(LevelOneOff,MATCH($H1557,LevelList,0)),0)</f>
        <v>0</v>
      </c>
      <c r="X1557" s="35" t="str">
        <f aca="false">IF($G1557="","",$V1557*N($L1557))</f>
        <v/>
      </c>
      <c r="Y1557" s="35" t="str">
        <f aca="false">IF($G1557="","",$V1557*(N($M1557)*1+N($N1557)*0.75+N($O1557)*0.5+N($P1557)*0.25)+$W1557*N($L1557))</f>
        <v/>
      </c>
      <c r="Z1557" s="35" t="str">
        <f aca="false">IF($G1557="","",$U1557*1000000+ROW())</f>
        <v/>
      </c>
      <c r="AA1557" s="36" t="str">
        <f aca="false">IF($G1557="","",MID(IF($C1557="",", no division","")&amp;IF($E1557="",", no unit","")&amp;IF($H1557="",", no career level","")&amp;IF(N($L1557)&lt;=0,", no quarter split","")&amp;IF($R1557="",", no driver","")&amp;IF(AND($H1557&lt;&gt;"",COUNTIF(CareerLevels,$H1557)=0),", a career level that is not on the ladder","")&amp;IF(AND($R1557&lt;&gt;"",COUNTIF(DriverList,$R1557)=0),", a driver that is not on the list","")&amp;IF(ABS(N($L1557)-(N($M1557)+N($N1557)+N($O1557)+N($P1557)))&gt;0.001,", a total that does not match its quarters",""),3,300))</f>
        <v/>
      </c>
    </row>
    <row r="1558" customFormat="false" ht="15" hidden="false" customHeight="false" outlineLevel="0" collapsed="false">
      <c r="A1558" s="33" t="str">
        <f aca="false">IF($G1558="","","Operations Group")</f>
        <v/>
      </c>
      <c r="B1558" s="19"/>
      <c r="C1558" s="19"/>
      <c r="D1558" s="19"/>
      <c r="E1558" s="19"/>
      <c r="F1558" s="19"/>
      <c r="G1558" s="19"/>
      <c r="H1558" s="19"/>
      <c r="I1558" s="19"/>
      <c r="J1558" s="19"/>
      <c r="K1558" s="19"/>
      <c r="L1558" s="19"/>
      <c r="M1558" s="19"/>
      <c r="N1558" s="19"/>
      <c r="O1558" s="19"/>
      <c r="P1558" s="19"/>
      <c r="Q1558" s="19"/>
      <c r="R1558" s="19"/>
      <c r="S1558" s="19"/>
      <c r="T1558" s="34" t="str">
        <f aca="false">IF($R1558="","",IFERROR(INDEX(DriverCategory,MATCH($R1558,DriverList,0)),"BAU"))</f>
        <v/>
      </c>
      <c r="U1558" s="34" t="str">
        <f aca="false">IF($R1558="","",IFERROR(INDEX(DriverRank,MATCH($R1558,DriverList,0)),99))</f>
        <v/>
      </c>
      <c r="V1558" s="35" t="n">
        <f aca="false">IF($H1558="",0,IFERROR(INDEX(LevelBasic,MATCH($H1558,LevelList,0))+INDEX(LevelHousing,MATCH($H1558,LevelList,0))+INDEX(LevelTransport,MATCH($H1558,LevelList,0))+INDEX(LevelBasic,MATCH($H1558,LevelList,0))*INDEX(LevelBonus,MATCH($H1558,LevelList,0))+(INDEX(LevelBasic,MATCH($H1558,LevelList,0))+INDEX(LevelHousing,MATCH($H1558,LevelList,0)))*GosiSaudi,0))</f>
        <v>0</v>
      </c>
      <c r="W1558" s="35" t="n">
        <f aca="false">IFERROR(INDEX(LevelOneOff,MATCH($H1558,LevelList,0)),0)</f>
        <v>0</v>
      </c>
      <c r="X1558" s="35" t="str">
        <f aca="false">IF($G1558="","",$V1558*N($L1558))</f>
        <v/>
      </c>
      <c r="Y1558" s="35" t="str">
        <f aca="false">IF($G1558="","",$V1558*(N($M1558)*1+N($N1558)*0.75+N($O1558)*0.5+N($P1558)*0.25)+$W1558*N($L1558))</f>
        <v/>
      </c>
      <c r="Z1558" s="35" t="str">
        <f aca="false">IF($G1558="","",$U1558*1000000+ROW())</f>
        <v/>
      </c>
      <c r="AA1558" s="36" t="str">
        <f aca="false">IF($G1558="","",MID(IF($C1558="",", no division","")&amp;IF($E1558="",", no unit","")&amp;IF($H1558="",", no career level","")&amp;IF(N($L1558)&lt;=0,", no quarter split","")&amp;IF($R1558="",", no driver","")&amp;IF(AND($H1558&lt;&gt;"",COUNTIF(CareerLevels,$H1558)=0),", a career level that is not on the ladder","")&amp;IF(AND($R1558&lt;&gt;"",COUNTIF(DriverList,$R1558)=0),", a driver that is not on the list","")&amp;IF(ABS(N($L1558)-(N($M1558)+N($N1558)+N($O1558)+N($P1558)))&gt;0.001,", a total that does not match its quarters",""),3,300))</f>
        <v/>
      </c>
    </row>
    <row r="1559" customFormat="false" ht="15" hidden="false" customHeight="false" outlineLevel="0" collapsed="false">
      <c r="A1559" s="33" t="str">
        <f aca="false">IF($G1559="","","Operations Group")</f>
        <v/>
      </c>
      <c r="B1559" s="19"/>
      <c r="C1559" s="19"/>
      <c r="D1559" s="19"/>
      <c r="E1559" s="19"/>
      <c r="F1559" s="19"/>
      <c r="G1559" s="19"/>
      <c r="H1559" s="19"/>
      <c r="I1559" s="19"/>
      <c r="J1559" s="19"/>
      <c r="K1559" s="19"/>
      <c r="L1559" s="19"/>
      <c r="M1559" s="19"/>
      <c r="N1559" s="19"/>
      <c r="O1559" s="19"/>
      <c r="P1559" s="19"/>
      <c r="Q1559" s="19"/>
      <c r="R1559" s="19"/>
      <c r="S1559" s="19"/>
      <c r="T1559" s="34" t="str">
        <f aca="false">IF($R1559="","",IFERROR(INDEX(DriverCategory,MATCH($R1559,DriverList,0)),"BAU"))</f>
        <v/>
      </c>
      <c r="U1559" s="34" t="str">
        <f aca="false">IF($R1559="","",IFERROR(INDEX(DriverRank,MATCH($R1559,DriverList,0)),99))</f>
        <v/>
      </c>
      <c r="V1559" s="35" t="n">
        <f aca="false">IF($H1559="",0,IFERROR(INDEX(LevelBasic,MATCH($H1559,LevelList,0))+INDEX(LevelHousing,MATCH($H1559,LevelList,0))+INDEX(LevelTransport,MATCH($H1559,LevelList,0))+INDEX(LevelBasic,MATCH($H1559,LevelList,0))*INDEX(LevelBonus,MATCH($H1559,LevelList,0))+(INDEX(LevelBasic,MATCH($H1559,LevelList,0))+INDEX(LevelHousing,MATCH($H1559,LevelList,0)))*GosiSaudi,0))</f>
        <v>0</v>
      </c>
      <c r="W1559" s="35" t="n">
        <f aca="false">IFERROR(INDEX(LevelOneOff,MATCH($H1559,LevelList,0)),0)</f>
        <v>0</v>
      </c>
      <c r="X1559" s="35" t="str">
        <f aca="false">IF($G1559="","",$V1559*N($L1559))</f>
        <v/>
      </c>
      <c r="Y1559" s="35" t="str">
        <f aca="false">IF($G1559="","",$V1559*(N($M1559)*1+N($N1559)*0.75+N($O1559)*0.5+N($P1559)*0.25)+$W1559*N($L1559))</f>
        <v/>
      </c>
      <c r="Z1559" s="35" t="str">
        <f aca="false">IF($G1559="","",$U1559*1000000+ROW())</f>
        <v/>
      </c>
      <c r="AA1559" s="36" t="str">
        <f aca="false">IF($G1559="","",MID(IF($C1559="",", no division","")&amp;IF($E1559="",", no unit","")&amp;IF($H1559="",", no career level","")&amp;IF(N($L1559)&lt;=0,", no quarter split","")&amp;IF($R1559="",", no driver","")&amp;IF(AND($H1559&lt;&gt;"",COUNTIF(CareerLevels,$H1559)=0),", a career level that is not on the ladder","")&amp;IF(AND($R1559&lt;&gt;"",COUNTIF(DriverList,$R1559)=0),", a driver that is not on the list","")&amp;IF(ABS(N($L1559)-(N($M1559)+N($N1559)+N($O1559)+N($P1559)))&gt;0.001,", a total that does not match its quarters",""),3,300))</f>
        <v/>
      </c>
    </row>
    <row r="1560" customFormat="false" ht="15" hidden="false" customHeight="false" outlineLevel="0" collapsed="false">
      <c r="A1560" s="33" t="str">
        <f aca="false">IF($G1560="","","Operations Group")</f>
        <v/>
      </c>
      <c r="B1560" s="19"/>
      <c r="C1560" s="19"/>
      <c r="D1560" s="19"/>
      <c r="E1560" s="19"/>
      <c r="F1560" s="19"/>
      <c r="G1560" s="19"/>
      <c r="H1560" s="19"/>
      <c r="I1560" s="19"/>
      <c r="J1560" s="19"/>
      <c r="K1560" s="19"/>
      <c r="L1560" s="19"/>
      <c r="M1560" s="19"/>
      <c r="N1560" s="19"/>
      <c r="O1560" s="19"/>
      <c r="P1560" s="19"/>
      <c r="Q1560" s="19"/>
      <c r="R1560" s="19"/>
      <c r="S1560" s="19"/>
      <c r="T1560" s="34" t="str">
        <f aca="false">IF($R1560="","",IFERROR(INDEX(DriverCategory,MATCH($R1560,DriverList,0)),"BAU"))</f>
        <v/>
      </c>
      <c r="U1560" s="34" t="str">
        <f aca="false">IF($R1560="","",IFERROR(INDEX(DriverRank,MATCH($R1560,DriverList,0)),99))</f>
        <v/>
      </c>
      <c r="V1560" s="35" t="n">
        <f aca="false">IF($H1560="",0,IFERROR(INDEX(LevelBasic,MATCH($H1560,LevelList,0))+INDEX(LevelHousing,MATCH($H1560,LevelList,0))+INDEX(LevelTransport,MATCH($H1560,LevelList,0))+INDEX(LevelBasic,MATCH($H1560,LevelList,0))*INDEX(LevelBonus,MATCH($H1560,LevelList,0))+(INDEX(LevelBasic,MATCH($H1560,LevelList,0))+INDEX(LevelHousing,MATCH($H1560,LevelList,0)))*GosiSaudi,0))</f>
        <v>0</v>
      </c>
      <c r="W1560" s="35" t="n">
        <f aca="false">IFERROR(INDEX(LevelOneOff,MATCH($H1560,LevelList,0)),0)</f>
        <v>0</v>
      </c>
      <c r="X1560" s="35" t="str">
        <f aca="false">IF($G1560="","",$V1560*N($L1560))</f>
        <v/>
      </c>
      <c r="Y1560" s="35" t="str">
        <f aca="false">IF($G1560="","",$V1560*(N($M1560)*1+N($N1560)*0.75+N($O1560)*0.5+N($P1560)*0.25)+$W1560*N($L1560))</f>
        <v/>
      </c>
      <c r="Z1560" s="35" t="str">
        <f aca="false">IF($G1560="","",$U1560*1000000+ROW())</f>
        <v/>
      </c>
      <c r="AA1560" s="36" t="str">
        <f aca="false">IF($G1560="","",MID(IF($C1560="",", no division","")&amp;IF($E1560="",", no unit","")&amp;IF($H1560="",", no career level","")&amp;IF(N($L1560)&lt;=0,", no quarter split","")&amp;IF($R1560="",", no driver","")&amp;IF(AND($H1560&lt;&gt;"",COUNTIF(CareerLevels,$H1560)=0),", a career level that is not on the ladder","")&amp;IF(AND($R1560&lt;&gt;"",COUNTIF(DriverList,$R1560)=0),", a driver that is not on the list","")&amp;IF(ABS(N($L1560)-(N($M1560)+N($N1560)+N($O1560)+N($P1560)))&gt;0.001,", a total that does not match its quarters",""),3,300))</f>
        <v/>
      </c>
    </row>
    <row r="1561" customFormat="false" ht="15" hidden="false" customHeight="false" outlineLevel="0" collapsed="false">
      <c r="A1561" s="33" t="str">
        <f aca="false">IF($G1561="","","Operations Group")</f>
        <v/>
      </c>
      <c r="B1561" s="19"/>
      <c r="C1561" s="19"/>
      <c r="D1561" s="19"/>
      <c r="E1561" s="19"/>
      <c r="F1561" s="19"/>
      <c r="G1561" s="19"/>
      <c r="H1561" s="19"/>
      <c r="I1561" s="19"/>
      <c r="J1561" s="19"/>
      <c r="K1561" s="19"/>
      <c r="L1561" s="19"/>
      <c r="M1561" s="19"/>
      <c r="N1561" s="19"/>
      <c r="O1561" s="19"/>
      <c r="P1561" s="19"/>
      <c r="Q1561" s="19"/>
      <c r="R1561" s="19"/>
      <c r="S1561" s="19"/>
      <c r="T1561" s="34" t="str">
        <f aca="false">IF($R1561="","",IFERROR(INDEX(DriverCategory,MATCH($R1561,DriverList,0)),"BAU"))</f>
        <v/>
      </c>
      <c r="U1561" s="34" t="str">
        <f aca="false">IF($R1561="","",IFERROR(INDEX(DriverRank,MATCH($R1561,DriverList,0)),99))</f>
        <v/>
      </c>
      <c r="V1561" s="35" t="n">
        <f aca="false">IF($H1561="",0,IFERROR(INDEX(LevelBasic,MATCH($H1561,LevelList,0))+INDEX(LevelHousing,MATCH($H1561,LevelList,0))+INDEX(LevelTransport,MATCH($H1561,LevelList,0))+INDEX(LevelBasic,MATCH($H1561,LevelList,0))*INDEX(LevelBonus,MATCH($H1561,LevelList,0))+(INDEX(LevelBasic,MATCH($H1561,LevelList,0))+INDEX(LevelHousing,MATCH($H1561,LevelList,0)))*GosiSaudi,0))</f>
        <v>0</v>
      </c>
      <c r="W1561" s="35" t="n">
        <f aca="false">IFERROR(INDEX(LevelOneOff,MATCH($H1561,LevelList,0)),0)</f>
        <v>0</v>
      </c>
      <c r="X1561" s="35" t="str">
        <f aca="false">IF($G1561="","",$V1561*N($L1561))</f>
        <v/>
      </c>
      <c r="Y1561" s="35" t="str">
        <f aca="false">IF($G1561="","",$V1561*(N($M1561)*1+N($N1561)*0.75+N($O1561)*0.5+N($P1561)*0.25)+$W1561*N($L1561))</f>
        <v/>
      </c>
      <c r="Z1561" s="35" t="str">
        <f aca="false">IF($G1561="","",$U1561*1000000+ROW())</f>
        <v/>
      </c>
      <c r="AA1561" s="36" t="str">
        <f aca="false">IF($G1561="","",MID(IF($C1561="",", no division","")&amp;IF($E1561="",", no unit","")&amp;IF($H1561="",", no career level","")&amp;IF(N($L1561)&lt;=0,", no quarter split","")&amp;IF($R1561="",", no driver","")&amp;IF(AND($H1561&lt;&gt;"",COUNTIF(CareerLevels,$H1561)=0),", a career level that is not on the ladder","")&amp;IF(AND($R1561&lt;&gt;"",COUNTIF(DriverList,$R1561)=0),", a driver that is not on the list","")&amp;IF(ABS(N($L1561)-(N($M1561)+N($N1561)+N($O1561)+N($P1561)))&gt;0.001,", a total that does not match its quarters",""),3,300))</f>
        <v/>
      </c>
    </row>
    <row r="1562" customFormat="false" ht="15" hidden="false" customHeight="false" outlineLevel="0" collapsed="false">
      <c r="A1562" s="33" t="str">
        <f aca="false">IF($G1562="","","Operations Group")</f>
        <v/>
      </c>
      <c r="B1562" s="19"/>
      <c r="C1562" s="19"/>
      <c r="D1562" s="19"/>
      <c r="E1562" s="19"/>
      <c r="F1562" s="19"/>
      <c r="G1562" s="19"/>
      <c r="H1562" s="19"/>
      <c r="I1562" s="19"/>
      <c r="J1562" s="19"/>
      <c r="K1562" s="19"/>
      <c r="L1562" s="19"/>
      <c r="M1562" s="19"/>
      <c r="N1562" s="19"/>
      <c r="O1562" s="19"/>
      <c r="P1562" s="19"/>
      <c r="Q1562" s="19"/>
      <c r="R1562" s="19"/>
      <c r="S1562" s="19"/>
      <c r="T1562" s="34" t="str">
        <f aca="false">IF($R1562="","",IFERROR(INDEX(DriverCategory,MATCH($R1562,DriverList,0)),"BAU"))</f>
        <v/>
      </c>
      <c r="U1562" s="34" t="str">
        <f aca="false">IF($R1562="","",IFERROR(INDEX(DriverRank,MATCH($R1562,DriverList,0)),99))</f>
        <v/>
      </c>
      <c r="V1562" s="35" t="n">
        <f aca="false">IF($H1562="",0,IFERROR(INDEX(LevelBasic,MATCH($H1562,LevelList,0))+INDEX(LevelHousing,MATCH($H1562,LevelList,0))+INDEX(LevelTransport,MATCH($H1562,LevelList,0))+INDEX(LevelBasic,MATCH($H1562,LevelList,0))*INDEX(LevelBonus,MATCH($H1562,LevelList,0))+(INDEX(LevelBasic,MATCH($H1562,LevelList,0))+INDEX(LevelHousing,MATCH($H1562,LevelList,0)))*GosiSaudi,0))</f>
        <v>0</v>
      </c>
      <c r="W1562" s="35" t="n">
        <f aca="false">IFERROR(INDEX(LevelOneOff,MATCH($H1562,LevelList,0)),0)</f>
        <v>0</v>
      </c>
      <c r="X1562" s="35" t="str">
        <f aca="false">IF($G1562="","",$V1562*N($L1562))</f>
        <v/>
      </c>
      <c r="Y1562" s="35" t="str">
        <f aca="false">IF($G1562="","",$V1562*(N($M1562)*1+N($N1562)*0.75+N($O1562)*0.5+N($P1562)*0.25)+$W1562*N($L1562))</f>
        <v/>
      </c>
      <c r="Z1562" s="35" t="str">
        <f aca="false">IF($G1562="","",$U1562*1000000+ROW())</f>
        <v/>
      </c>
      <c r="AA1562" s="36" t="str">
        <f aca="false">IF($G1562="","",MID(IF($C1562="",", no division","")&amp;IF($E1562="",", no unit","")&amp;IF($H1562="",", no career level","")&amp;IF(N($L1562)&lt;=0,", no quarter split","")&amp;IF($R1562="",", no driver","")&amp;IF(AND($H1562&lt;&gt;"",COUNTIF(CareerLevels,$H1562)=0),", a career level that is not on the ladder","")&amp;IF(AND($R1562&lt;&gt;"",COUNTIF(DriverList,$R1562)=0),", a driver that is not on the list","")&amp;IF(ABS(N($L1562)-(N($M1562)+N($N1562)+N($O1562)+N($P1562)))&gt;0.001,", a total that does not match its quarters",""),3,300))</f>
        <v/>
      </c>
    </row>
    <row r="1563" customFormat="false" ht="15" hidden="false" customHeight="false" outlineLevel="0" collapsed="false">
      <c r="A1563" s="33" t="str">
        <f aca="false">IF($G1563="","","Operations Group")</f>
        <v/>
      </c>
      <c r="B1563" s="19"/>
      <c r="C1563" s="19"/>
      <c r="D1563" s="19"/>
      <c r="E1563" s="19"/>
      <c r="F1563" s="19"/>
      <c r="G1563" s="19"/>
      <c r="H1563" s="19"/>
      <c r="I1563" s="19"/>
      <c r="J1563" s="19"/>
      <c r="K1563" s="19"/>
      <c r="L1563" s="19"/>
      <c r="M1563" s="19"/>
      <c r="N1563" s="19"/>
      <c r="O1563" s="19"/>
      <c r="P1563" s="19"/>
      <c r="Q1563" s="19"/>
      <c r="R1563" s="19"/>
      <c r="S1563" s="19"/>
      <c r="T1563" s="34" t="str">
        <f aca="false">IF($R1563="","",IFERROR(INDEX(DriverCategory,MATCH($R1563,DriverList,0)),"BAU"))</f>
        <v/>
      </c>
      <c r="U1563" s="34" t="str">
        <f aca="false">IF($R1563="","",IFERROR(INDEX(DriverRank,MATCH($R1563,DriverList,0)),99))</f>
        <v/>
      </c>
      <c r="V1563" s="35" t="n">
        <f aca="false">IF($H1563="",0,IFERROR(INDEX(LevelBasic,MATCH($H1563,LevelList,0))+INDEX(LevelHousing,MATCH($H1563,LevelList,0))+INDEX(LevelTransport,MATCH($H1563,LevelList,0))+INDEX(LevelBasic,MATCH($H1563,LevelList,0))*INDEX(LevelBonus,MATCH($H1563,LevelList,0))+(INDEX(LevelBasic,MATCH($H1563,LevelList,0))+INDEX(LevelHousing,MATCH($H1563,LevelList,0)))*GosiSaudi,0))</f>
        <v>0</v>
      </c>
      <c r="W1563" s="35" t="n">
        <f aca="false">IFERROR(INDEX(LevelOneOff,MATCH($H1563,LevelList,0)),0)</f>
        <v>0</v>
      </c>
      <c r="X1563" s="35" t="str">
        <f aca="false">IF($G1563="","",$V1563*N($L1563))</f>
        <v/>
      </c>
      <c r="Y1563" s="35" t="str">
        <f aca="false">IF($G1563="","",$V1563*(N($M1563)*1+N($N1563)*0.75+N($O1563)*0.5+N($P1563)*0.25)+$W1563*N($L1563))</f>
        <v/>
      </c>
      <c r="Z1563" s="35" t="str">
        <f aca="false">IF($G1563="","",$U1563*1000000+ROW())</f>
        <v/>
      </c>
      <c r="AA1563" s="36" t="str">
        <f aca="false">IF($G1563="","",MID(IF($C1563="",", no division","")&amp;IF($E1563="",", no unit","")&amp;IF($H1563="",", no career level","")&amp;IF(N($L1563)&lt;=0,", no quarter split","")&amp;IF($R1563="",", no driver","")&amp;IF(AND($H1563&lt;&gt;"",COUNTIF(CareerLevels,$H1563)=0),", a career level that is not on the ladder","")&amp;IF(AND($R1563&lt;&gt;"",COUNTIF(DriverList,$R1563)=0),", a driver that is not on the list","")&amp;IF(ABS(N($L1563)-(N($M1563)+N($N1563)+N($O1563)+N($P1563)))&gt;0.001,", a total that does not match its quarters",""),3,300))</f>
        <v/>
      </c>
    </row>
    <row r="1564" customFormat="false" ht="15" hidden="false" customHeight="false" outlineLevel="0" collapsed="false">
      <c r="A1564" s="33" t="str">
        <f aca="false">IF($G1564="","","Operations Group")</f>
        <v/>
      </c>
      <c r="B1564" s="19"/>
      <c r="C1564" s="19"/>
      <c r="D1564" s="19"/>
      <c r="E1564" s="19"/>
      <c r="F1564" s="19"/>
      <c r="G1564" s="19"/>
      <c r="H1564" s="19"/>
      <c r="I1564" s="19"/>
      <c r="J1564" s="19"/>
      <c r="K1564" s="19"/>
      <c r="L1564" s="19"/>
      <c r="M1564" s="19"/>
      <c r="N1564" s="19"/>
      <c r="O1564" s="19"/>
      <c r="P1564" s="19"/>
      <c r="Q1564" s="19"/>
      <c r="R1564" s="19"/>
      <c r="S1564" s="19"/>
      <c r="T1564" s="34" t="str">
        <f aca="false">IF($R1564="","",IFERROR(INDEX(DriverCategory,MATCH($R1564,DriverList,0)),"BAU"))</f>
        <v/>
      </c>
      <c r="U1564" s="34" t="str">
        <f aca="false">IF($R1564="","",IFERROR(INDEX(DriverRank,MATCH($R1564,DriverList,0)),99))</f>
        <v/>
      </c>
      <c r="V1564" s="35" t="n">
        <f aca="false">IF($H1564="",0,IFERROR(INDEX(LevelBasic,MATCH($H1564,LevelList,0))+INDEX(LevelHousing,MATCH($H1564,LevelList,0))+INDEX(LevelTransport,MATCH($H1564,LevelList,0))+INDEX(LevelBasic,MATCH($H1564,LevelList,0))*INDEX(LevelBonus,MATCH($H1564,LevelList,0))+(INDEX(LevelBasic,MATCH($H1564,LevelList,0))+INDEX(LevelHousing,MATCH($H1564,LevelList,0)))*GosiSaudi,0))</f>
        <v>0</v>
      </c>
      <c r="W1564" s="35" t="n">
        <f aca="false">IFERROR(INDEX(LevelOneOff,MATCH($H1564,LevelList,0)),0)</f>
        <v>0</v>
      </c>
      <c r="X1564" s="35" t="str">
        <f aca="false">IF($G1564="","",$V1564*N($L1564))</f>
        <v/>
      </c>
      <c r="Y1564" s="35" t="str">
        <f aca="false">IF($G1564="","",$V1564*(N($M1564)*1+N($N1564)*0.75+N($O1564)*0.5+N($P1564)*0.25)+$W1564*N($L1564))</f>
        <v/>
      </c>
      <c r="Z1564" s="35" t="str">
        <f aca="false">IF($G1564="","",$U1564*1000000+ROW())</f>
        <v/>
      </c>
      <c r="AA1564" s="36" t="str">
        <f aca="false">IF($G1564="","",MID(IF($C1564="",", no division","")&amp;IF($E1564="",", no unit","")&amp;IF($H1564="",", no career level","")&amp;IF(N($L1564)&lt;=0,", no quarter split","")&amp;IF($R1564="",", no driver","")&amp;IF(AND($H1564&lt;&gt;"",COUNTIF(CareerLevels,$H1564)=0),", a career level that is not on the ladder","")&amp;IF(AND($R1564&lt;&gt;"",COUNTIF(DriverList,$R1564)=0),", a driver that is not on the list","")&amp;IF(ABS(N($L1564)-(N($M1564)+N($N1564)+N($O1564)+N($P1564)))&gt;0.001,", a total that does not match its quarters",""),3,300))</f>
        <v/>
      </c>
    </row>
    <row r="1565" customFormat="false" ht="15" hidden="false" customHeight="false" outlineLevel="0" collapsed="false">
      <c r="A1565" s="33" t="str">
        <f aca="false">IF($G1565="","","Operations Group")</f>
        <v/>
      </c>
      <c r="B1565" s="19"/>
      <c r="C1565" s="19"/>
      <c r="D1565" s="19"/>
      <c r="E1565" s="19"/>
      <c r="F1565" s="19"/>
      <c r="G1565" s="19"/>
      <c r="H1565" s="19"/>
      <c r="I1565" s="19"/>
      <c r="J1565" s="19"/>
      <c r="K1565" s="19"/>
      <c r="L1565" s="19"/>
      <c r="M1565" s="19"/>
      <c r="N1565" s="19"/>
      <c r="O1565" s="19"/>
      <c r="P1565" s="19"/>
      <c r="Q1565" s="19"/>
      <c r="R1565" s="19"/>
      <c r="S1565" s="19"/>
      <c r="T1565" s="34" t="str">
        <f aca="false">IF($R1565="","",IFERROR(INDEX(DriverCategory,MATCH($R1565,DriverList,0)),"BAU"))</f>
        <v/>
      </c>
      <c r="U1565" s="34" t="str">
        <f aca="false">IF($R1565="","",IFERROR(INDEX(DriverRank,MATCH($R1565,DriverList,0)),99))</f>
        <v/>
      </c>
      <c r="V1565" s="35" t="n">
        <f aca="false">IF($H1565="",0,IFERROR(INDEX(LevelBasic,MATCH($H1565,LevelList,0))+INDEX(LevelHousing,MATCH($H1565,LevelList,0))+INDEX(LevelTransport,MATCH($H1565,LevelList,0))+INDEX(LevelBasic,MATCH($H1565,LevelList,0))*INDEX(LevelBonus,MATCH($H1565,LevelList,0))+(INDEX(LevelBasic,MATCH($H1565,LevelList,0))+INDEX(LevelHousing,MATCH($H1565,LevelList,0)))*GosiSaudi,0))</f>
        <v>0</v>
      </c>
      <c r="W1565" s="35" t="n">
        <f aca="false">IFERROR(INDEX(LevelOneOff,MATCH($H1565,LevelList,0)),0)</f>
        <v>0</v>
      </c>
      <c r="X1565" s="35" t="str">
        <f aca="false">IF($G1565="","",$V1565*N($L1565))</f>
        <v/>
      </c>
      <c r="Y1565" s="35" t="str">
        <f aca="false">IF($G1565="","",$V1565*(N($M1565)*1+N($N1565)*0.75+N($O1565)*0.5+N($P1565)*0.25)+$W1565*N($L1565))</f>
        <v/>
      </c>
      <c r="Z1565" s="35" t="str">
        <f aca="false">IF($G1565="","",$U1565*1000000+ROW())</f>
        <v/>
      </c>
      <c r="AA1565" s="36" t="str">
        <f aca="false">IF($G1565="","",MID(IF($C1565="",", no division","")&amp;IF($E1565="",", no unit","")&amp;IF($H1565="",", no career level","")&amp;IF(N($L1565)&lt;=0,", no quarter split","")&amp;IF($R1565="",", no driver","")&amp;IF(AND($H1565&lt;&gt;"",COUNTIF(CareerLevels,$H1565)=0),", a career level that is not on the ladder","")&amp;IF(AND($R1565&lt;&gt;"",COUNTIF(DriverList,$R1565)=0),", a driver that is not on the list","")&amp;IF(ABS(N($L1565)-(N($M1565)+N($N1565)+N($O1565)+N($P1565)))&gt;0.001,", a total that does not match its quarters",""),3,300))</f>
        <v/>
      </c>
    </row>
    <row r="1566" customFormat="false" ht="15" hidden="false" customHeight="false" outlineLevel="0" collapsed="false">
      <c r="A1566" s="33" t="str">
        <f aca="false">IF($G1566="","","Operations Group")</f>
        <v/>
      </c>
      <c r="B1566" s="19"/>
      <c r="C1566" s="19"/>
      <c r="D1566" s="19"/>
      <c r="E1566" s="19"/>
      <c r="F1566" s="19"/>
      <c r="G1566" s="19"/>
      <c r="H1566" s="19"/>
      <c r="I1566" s="19"/>
      <c r="J1566" s="19"/>
      <c r="K1566" s="19"/>
      <c r="L1566" s="19"/>
      <c r="M1566" s="19"/>
      <c r="N1566" s="19"/>
      <c r="O1566" s="19"/>
      <c r="P1566" s="19"/>
      <c r="Q1566" s="19"/>
      <c r="R1566" s="19"/>
      <c r="S1566" s="19"/>
      <c r="T1566" s="34" t="str">
        <f aca="false">IF($R1566="","",IFERROR(INDEX(DriverCategory,MATCH($R1566,DriverList,0)),"BAU"))</f>
        <v/>
      </c>
      <c r="U1566" s="34" t="str">
        <f aca="false">IF($R1566="","",IFERROR(INDEX(DriverRank,MATCH($R1566,DriverList,0)),99))</f>
        <v/>
      </c>
      <c r="V1566" s="35" t="n">
        <f aca="false">IF($H1566="",0,IFERROR(INDEX(LevelBasic,MATCH($H1566,LevelList,0))+INDEX(LevelHousing,MATCH($H1566,LevelList,0))+INDEX(LevelTransport,MATCH($H1566,LevelList,0))+INDEX(LevelBasic,MATCH($H1566,LevelList,0))*INDEX(LevelBonus,MATCH($H1566,LevelList,0))+(INDEX(LevelBasic,MATCH($H1566,LevelList,0))+INDEX(LevelHousing,MATCH($H1566,LevelList,0)))*GosiSaudi,0))</f>
        <v>0</v>
      </c>
      <c r="W1566" s="35" t="n">
        <f aca="false">IFERROR(INDEX(LevelOneOff,MATCH($H1566,LevelList,0)),0)</f>
        <v>0</v>
      </c>
      <c r="X1566" s="35" t="str">
        <f aca="false">IF($G1566="","",$V1566*N($L1566))</f>
        <v/>
      </c>
      <c r="Y1566" s="35" t="str">
        <f aca="false">IF($G1566="","",$V1566*(N($M1566)*1+N($N1566)*0.75+N($O1566)*0.5+N($P1566)*0.25)+$W1566*N($L1566))</f>
        <v/>
      </c>
      <c r="Z1566" s="35" t="str">
        <f aca="false">IF($G1566="","",$U1566*1000000+ROW())</f>
        <v/>
      </c>
      <c r="AA1566" s="36" t="str">
        <f aca="false">IF($G1566="","",MID(IF($C1566="",", no division","")&amp;IF($E1566="",", no unit","")&amp;IF($H1566="",", no career level","")&amp;IF(N($L1566)&lt;=0,", no quarter split","")&amp;IF($R1566="",", no driver","")&amp;IF(AND($H1566&lt;&gt;"",COUNTIF(CareerLevels,$H1566)=0),", a career level that is not on the ladder","")&amp;IF(AND($R1566&lt;&gt;"",COUNTIF(DriverList,$R1566)=0),", a driver that is not on the list","")&amp;IF(ABS(N($L1566)-(N($M1566)+N($N1566)+N($O1566)+N($P1566)))&gt;0.001,", a total that does not match its quarters",""),3,300))</f>
        <v/>
      </c>
    </row>
    <row r="1567" customFormat="false" ht="15" hidden="false" customHeight="false" outlineLevel="0" collapsed="false">
      <c r="A1567" s="33" t="str">
        <f aca="false">IF($G1567="","","Operations Group")</f>
        <v/>
      </c>
      <c r="B1567" s="19"/>
      <c r="C1567" s="19"/>
      <c r="D1567" s="19"/>
      <c r="E1567" s="19"/>
      <c r="F1567" s="19"/>
      <c r="G1567" s="19"/>
      <c r="H1567" s="19"/>
      <c r="I1567" s="19"/>
      <c r="J1567" s="19"/>
      <c r="K1567" s="19"/>
      <c r="L1567" s="19"/>
      <c r="M1567" s="19"/>
      <c r="N1567" s="19"/>
      <c r="O1567" s="19"/>
      <c r="P1567" s="19"/>
      <c r="Q1567" s="19"/>
      <c r="R1567" s="19"/>
      <c r="S1567" s="19"/>
      <c r="T1567" s="34" t="str">
        <f aca="false">IF($R1567="","",IFERROR(INDEX(DriverCategory,MATCH($R1567,DriverList,0)),"BAU"))</f>
        <v/>
      </c>
      <c r="U1567" s="34" t="str">
        <f aca="false">IF($R1567="","",IFERROR(INDEX(DriverRank,MATCH($R1567,DriverList,0)),99))</f>
        <v/>
      </c>
      <c r="V1567" s="35" t="n">
        <f aca="false">IF($H1567="",0,IFERROR(INDEX(LevelBasic,MATCH($H1567,LevelList,0))+INDEX(LevelHousing,MATCH($H1567,LevelList,0))+INDEX(LevelTransport,MATCH($H1567,LevelList,0))+INDEX(LevelBasic,MATCH($H1567,LevelList,0))*INDEX(LevelBonus,MATCH($H1567,LevelList,0))+(INDEX(LevelBasic,MATCH($H1567,LevelList,0))+INDEX(LevelHousing,MATCH($H1567,LevelList,0)))*GosiSaudi,0))</f>
        <v>0</v>
      </c>
      <c r="W1567" s="35" t="n">
        <f aca="false">IFERROR(INDEX(LevelOneOff,MATCH($H1567,LevelList,0)),0)</f>
        <v>0</v>
      </c>
      <c r="X1567" s="35" t="str">
        <f aca="false">IF($G1567="","",$V1567*N($L1567))</f>
        <v/>
      </c>
      <c r="Y1567" s="35" t="str">
        <f aca="false">IF($G1567="","",$V1567*(N($M1567)*1+N($N1567)*0.75+N($O1567)*0.5+N($P1567)*0.25)+$W1567*N($L1567))</f>
        <v/>
      </c>
      <c r="Z1567" s="35" t="str">
        <f aca="false">IF($G1567="","",$U1567*1000000+ROW())</f>
        <v/>
      </c>
      <c r="AA1567" s="36" t="str">
        <f aca="false">IF($G1567="","",MID(IF($C1567="",", no division","")&amp;IF($E1567="",", no unit","")&amp;IF($H1567="",", no career level","")&amp;IF(N($L1567)&lt;=0,", no quarter split","")&amp;IF($R1567="",", no driver","")&amp;IF(AND($H1567&lt;&gt;"",COUNTIF(CareerLevels,$H1567)=0),", a career level that is not on the ladder","")&amp;IF(AND($R1567&lt;&gt;"",COUNTIF(DriverList,$R1567)=0),", a driver that is not on the list","")&amp;IF(ABS(N($L1567)-(N($M1567)+N($N1567)+N($O1567)+N($P1567)))&gt;0.001,", a total that does not match its quarters",""),3,300))</f>
        <v/>
      </c>
    </row>
    <row r="1568" customFormat="false" ht="15" hidden="false" customHeight="false" outlineLevel="0" collapsed="false">
      <c r="A1568" s="33" t="str">
        <f aca="false">IF($G1568="","","Operations Group")</f>
        <v/>
      </c>
      <c r="B1568" s="19"/>
      <c r="C1568" s="19"/>
      <c r="D1568" s="19"/>
      <c r="E1568" s="19"/>
      <c r="F1568" s="19"/>
      <c r="G1568" s="19"/>
      <c r="H1568" s="19"/>
      <c r="I1568" s="19"/>
      <c r="J1568" s="19"/>
      <c r="K1568" s="19"/>
      <c r="L1568" s="19"/>
      <c r="M1568" s="19"/>
      <c r="N1568" s="19"/>
      <c r="O1568" s="19"/>
      <c r="P1568" s="19"/>
      <c r="Q1568" s="19"/>
      <c r="R1568" s="19"/>
      <c r="S1568" s="19"/>
      <c r="T1568" s="34" t="str">
        <f aca="false">IF($R1568="","",IFERROR(INDEX(DriverCategory,MATCH($R1568,DriverList,0)),"BAU"))</f>
        <v/>
      </c>
      <c r="U1568" s="34" t="str">
        <f aca="false">IF($R1568="","",IFERROR(INDEX(DriverRank,MATCH($R1568,DriverList,0)),99))</f>
        <v/>
      </c>
      <c r="V1568" s="35" t="n">
        <f aca="false">IF($H1568="",0,IFERROR(INDEX(LevelBasic,MATCH($H1568,LevelList,0))+INDEX(LevelHousing,MATCH($H1568,LevelList,0))+INDEX(LevelTransport,MATCH($H1568,LevelList,0))+INDEX(LevelBasic,MATCH($H1568,LevelList,0))*INDEX(LevelBonus,MATCH($H1568,LevelList,0))+(INDEX(LevelBasic,MATCH($H1568,LevelList,0))+INDEX(LevelHousing,MATCH($H1568,LevelList,0)))*GosiSaudi,0))</f>
        <v>0</v>
      </c>
      <c r="W1568" s="35" t="n">
        <f aca="false">IFERROR(INDEX(LevelOneOff,MATCH($H1568,LevelList,0)),0)</f>
        <v>0</v>
      </c>
      <c r="X1568" s="35" t="str">
        <f aca="false">IF($G1568="","",$V1568*N($L1568))</f>
        <v/>
      </c>
      <c r="Y1568" s="35" t="str">
        <f aca="false">IF($G1568="","",$V1568*(N($M1568)*1+N($N1568)*0.75+N($O1568)*0.5+N($P1568)*0.25)+$W1568*N($L1568))</f>
        <v/>
      </c>
      <c r="Z1568" s="35" t="str">
        <f aca="false">IF($G1568="","",$U1568*1000000+ROW())</f>
        <v/>
      </c>
      <c r="AA1568" s="36" t="str">
        <f aca="false">IF($G1568="","",MID(IF($C1568="",", no division","")&amp;IF($E1568="",", no unit","")&amp;IF($H1568="",", no career level","")&amp;IF(N($L1568)&lt;=0,", no quarter split","")&amp;IF($R1568="",", no driver","")&amp;IF(AND($H1568&lt;&gt;"",COUNTIF(CareerLevels,$H1568)=0),", a career level that is not on the ladder","")&amp;IF(AND($R1568&lt;&gt;"",COUNTIF(DriverList,$R1568)=0),", a driver that is not on the list","")&amp;IF(ABS(N($L1568)-(N($M1568)+N($N1568)+N($O1568)+N($P1568)))&gt;0.001,", a total that does not match its quarters",""),3,300))</f>
        <v/>
      </c>
    </row>
    <row r="1569" customFormat="false" ht="15" hidden="false" customHeight="false" outlineLevel="0" collapsed="false">
      <c r="A1569" s="33" t="str">
        <f aca="false">IF($G1569="","","Operations Group")</f>
        <v/>
      </c>
      <c r="B1569" s="19"/>
      <c r="C1569" s="19"/>
      <c r="D1569" s="19"/>
      <c r="E1569" s="19"/>
      <c r="F1569" s="19"/>
      <c r="G1569" s="19"/>
      <c r="H1569" s="19"/>
      <c r="I1569" s="19"/>
      <c r="J1569" s="19"/>
      <c r="K1569" s="19"/>
      <c r="L1569" s="19"/>
      <c r="M1569" s="19"/>
      <c r="N1569" s="19"/>
      <c r="O1569" s="19"/>
      <c r="P1569" s="19"/>
      <c r="Q1569" s="19"/>
      <c r="R1569" s="19"/>
      <c r="S1569" s="19"/>
      <c r="T1569" s="34" t="str">
        <f aca="false">IF($R1569="","",IFERROR(INDEX(DriverCategory,MATCH($R1569,DriverList,0)),"BAU"))</f>
        <v/>
      </c>
      <c r="U1569" s="34" t="str">
        <f aca="false">IF($R1569="","",IFERROR(INDEX(DriverRank,MATCH($R1569,DriverList,0)),99))</f>
        <v/>
      </c>
      <c r="V1569" s="35" t="n">
        <f aca="false">IF($H1569="",0,IFERROR(INDEX(LevelBasic,MATCH($H1569,LevelList,0))+INDEX(LevelHousing,MATCH($H1569,LevelList,0))+INDEX(LevelTransport,MATCH($H1569,LevelList,0))+INDEX(LevelBasic,MATCH($H1569,LevelList,0))*INDEX(LevelBonus,MATCH($H1569,LevelList,0))+(INDEX(LevelBasic,MATCH($H1569,LevelList,0))+INDEX(LevelHousing,MATCH($H1569,LevelList,0)))*GosiSaudi,0))</f>
        <v>0</v>
      </c>
      <c r="W1569" s="35" t="n">
        <f aca="false">IFERROR(INDEX(LevelOneOff,MATCH($H1569,LevelList,0)),0)</f>
        <v>0</v>
      </c>
      <c r="X1569" s="35" t="str">
        <f aca="false">IF($G1569="","",$V1569*N($L1569))</f>
        <v/>
      </c>
      <c r="Y1569" s="35" t="str">
        <f aca="false">IF($G1569="","",$V1569*(N($M1569)*1+N($N1569)*0.75+N($O1569)*0.5+N($P1569)*0.25)+$W1569*N($L1569))</f>
        <v/>
      </c>
      <c r="Z1569" s="35" t="str">
        <f aca="false">IF($G1569="","",$U1569*1000000+ROW())</f>
        <v/>
      </c>
      <c r="AA1569" s="36" t="str">
        <f aca="false">IF($G1569="","",MID(IF($C1569="",", no division","")&amp;IF($E1569="",", no unit","")&amp;IF($H1569="",", no career level","")&amp;IF(N($L1569)&lt;=0,", no quarter split","")&amp;IF($R1569="",", no driver","")&amp;IF(AND($H1569&lt;&gt;"",COUNTIF(CareerLevels,$H1569)=0),", a career level that is not on the ladder","")&amp;IF(AND($R1569&lt;&gt;"",COUNTIF(DriverList,$R1569)=0),", a driver that is not on the list","")&amp;IF(ABS(N($L1569)-(N($M1569)+N($N1569)+N($O1569)+N($P1569)))&gt;0.001,", a total that does not match its quarters",""),3,300))</f>
        <v/>
      </c>
    </row>
    <row r="1570" customFormat="false" ht="15" hidden="false" customHeight="false" outlineLevel="0" collapsed="false">
      <c r="A1570" s="33" t="str">
        <f aca="false">IF($G1570="","","Operations Group")</f>
        <v/>
      </c>
      <c r="B1570" s="19"/>
      <c r="C1570" s="19"/>
      <c r="D1570" s="19"/>
      <c r="E1570" s="19"/>
      <c r="F1570" s="19"/>
      <c r="G1570" s="19"/>
      <c r="H1570" s="19"/>
      <c r="I1570" s="19"/>
      <c r="J1570" s="19"/>
      <c r="K1570" s="19"/>
      <c r="L1570" s="19"/>
      <c r="M1570" s="19"/>
      <c r="N1570" s="19"/>
      <c r="O1570" s="19"/>
      <c r="P1570" s="19"/>
      <c r="Q1570" s="19"/>
      <c r="R1570" s="19"/>
      <c r="S1570" s="19"/>
      <c r="T1570" s="34" t="str">
        <f aca="false">IF($R1570="","",IFERROR(INDEX(DriverCategory,MATCH($R1570,DriverList,0)),"BAU"))</f>
        <v/>
      </c>
      <c r="U1570" s="34" t="str">
        <f aca="false">IF($R1570="","",IFERROR(INDEX(DriverRank,MATCH($R1570,DriverList,0)),99))</f>
        <v/>
      </c>
      <c r="V1570" s="35" t="n">
        <f aca="false">IF($H1570="",0,IFERROR(INDEX(LevelBasic,MATCH($H1570,LevelList,0))+INDEX(LevelHousing,MATCH($H1570,LevelList,0))+INDEX(LevelTransport,MATCH($H1570,LevelList,0))+INDEX(LevelBasic,MATCH($H1570,LevelList,0))*INDEX(LevelBonus,MATCH($H1570,LevelList,0))+(INDEX(LevelBasic,MATCH($H1570,LevelList,0))+INDEX(LevelHousing,MATCH($H1570,LevelList,0)))*GosiSaudi,0))</f>
        <v>0</v>
      </c>
      <c r="W1570" s="35" t="n">
        <f aca="false">IFERROR(INDEX(LevelOneOff,MATCH($H1570,LevelList,0)),0)</f>
        <v>0</v>
      </c>
      <c r="X1570" s="35" t="str">
        <f aca="false">IF($G1570="","",$V1570*N($L1570))</f>
        <v/>
      </c>
      <c r="Y1570" s="35" t="str">
        <f aca="false">IF($G1570="","",$V1570*(N($M1570)*1+N($N1570)*0.75+N($O1570)*0.5+N($P1570)*0.25)+$W1570*N($L1570))</f>
        <v/>
      </c>
      <c r="Z1570" s="35" t="str">
        <f aca="false">IF($G1570="","",$U1570*1000000+ROW())</f>
        <v/>
      </c>
      <c r="AA1570" s="36" t="str">
        <f aca="false">IF($G1570="","",MID(IF($C1570="",", no division","")&amp;IF($E1570="",", no unit","")&amp;IF($H1570="",", no career level","")&amp;IF(N($L1570)&lt;=0,", no quarter split","")&amp;IF($R1570="",", no driver","")&amp;IF(AND($H1570&lt;&gt;"",COUNTIF(CareerLevels,$H1570)=0),", a career level that is not on the ladder","")&amp;IF(AND($R1570&lt;&gt;"",COUNTIF(DriverList,$R1570)=0),", a driver that is not on the list","")&amp;IF(ABS(N($L1570)-(N($M1570)+N($N1570)+N($O1570)+N($P1570)))&gt;0.001,", a total that does not match its quarters",""),3,300))</f>
        <v/>
      </c>
    </row>
    <row r="1571" customFormat="false" ht="15" hidden="false" customHeight="false" outlineLevel="0" collapsed="false">
      <c r="A1571" s="33" t="str">
        <f aca="false">IF($G1571="","","Operations Group")</f>
        <v/>
      </c>
      <c r="B1571" s="19"/>
      <c r="C1571" s="19"/>
      <c r="D1571" s="19"/>
      <c r="E1571" s="19"/>
      <c r="F1571" s="19"/>
      <c r="G1571" s="19"/>
      <c r="H1571" s="19"/>
      <c r="I1571" s="19"/>
      <c r="J1571" s="19"/>
      <c r="K1571" s="19"/>
      <c r="L1571" s="19"/>
      <c r="M1571" s="19"/>
      <c r="N1571" s="19"/>
      <c r="O1571" s="19"/>
      <c r="P1571" s="19"/>
      <c r="Q1571" s="19"/>
      <c r="R1571" s="19"/>
      <c r="S1571" s="19"/>
      <c r="T1571" s="34" t="str">
        <f aca="false">IF($R1571="","",IFERROR(INDEX(DriverCategory,MATCH($R1571,DriverList,0)),"BAU"))</f>
        <v/>
      </c>
      <c r="U1571" s="34" t="str">
        <f aca="false">IF($R1571="","",IFERROR(INDEX(DriverRank,MATCH($R1571,DriverList,0)),99))</f>
        <v/>
      </c>
      <c r="V1571" s="35" t="n">
        <f aca="false">IF($H1571="",0,IFERROR(INDEX(LevelBasic,MATCH($H1571,LevelList,0))+INDEX(LevelHousing,MATCH($H1571,LevelList,0))+INDEX(LevelTransport,MATCH($H1571,LevelList,0))+INDEX(LevelBasic,MATCH($H1571,LevelList,0))*INDEX(LevelBonus,MATCH($H1571,LevelList,0))+(INDEX(LevelBasic,MATCH($H1571,LevelList,0))+INDEX(LevelHousing,MATCH($H1571,LevelList,0)))*GosiSaudi,0))</f>
        <v>0</v>
      </c>
      <c r="W1571" s="35" t="n">
        <f aca="false">IFERROR(INDEX(LevelOneOff,MATCH($H1571,LevelList,0)),0)</f>
        <v>0</v>
      </c>
      <c r="X1571" s="35" t="str">
        <f aca="false">IF($G1571="","",$V1571*N($L1571))</f>
        <v/>
      </c>
      <c r="Y1571" s="35" t="str">
        <f aca="false">IF($G1571="","",$V1571*(N($M1571)*1+N($N1571)*0.75+N($O1571)*0.5+N($P1571)*0.25)+$W1571*N($L1571))</f>
        <v/>
      </c>
      <c r="Z1571" s="35" t="str">
        <f aca="false">IF($G1571="","",$U1571*1000000+ROW())</f>
        <v/>
      </c>
      <c r="AA1571" s="36" t="str">
        <f aca="false">IF($G1571="","",MID(IF($C1571="",", no division","")&amp;IF($E1571="",", no unit","")&amp;IF($H1571="",", no career level","")&amp;IF(N($L1571)&lt;=0,", no quarter split","")&amp;IF($R1571="",", no driver","")&amp;IF(AND($H1571&lt;&gt;"",COUNTIF(CareerLevels,$H1571)=0),", a career level that is not on the ladder","")&amp;IF(AND($R1571&lt;&gt;"",COUNTIF(DriverList,$R1571)=0),", a driver that is not on the list","")&amp;IF(ABS(N($L1571)-(N($M1571)+N($N1571)+N($O1571)+N($P1571)))&gt;0.001,", a total that does not match its quarters",""),3,300))</f>
        <v/>
      </c>
    </row>
    <row r="1572" customFormat="false" ht="15" hidden="false" customHeight="false" outlineLevel="0" collapsed="false">
      <c r="A1572" s="33" t="str">
        <f aca="false">IF($G1572="","","Operations Group")</f>
        <v/>
      </c>
      <c r="B1572" s="19"/>
      <c r="C1572" s="19"/>
      <c r="D1572" s="19"/>
      <c r="E1572" s="19"/>
      <c r="F1572" s="19"/>
      <c r="G1572" s="19"/>
      <c r="H1572" s="19"/>
      <c r="I1572" s="19"/>
      <c r="J1572" s="19"/>
      <c r="K1572" s="19"/>
      <c r="L1572" s="19"/>
      <c r="M1572" s="19"/>
      <c r="N1572" s="19"/>
      <c r="O1572" s="19"/>
      <c r="P1572" s="19"/>
      <c r="Q1572" s="19"/>
      <c r="R1572" s="19"/>
      <c r="S1572" s="19"/>
      <c r="T1572" s="34" t="str">
        <f aca="false">IF($R1572="","",IFERROR(INDEX(DriverCategory,MATCH($R1572,DriverList,0)),"BAU"))</f>
        <v/>
      </c>
      <c r="U1572" s="34" t="str">
        <f aca="false">IF($R1572="","",IFERROR(INDEX(DriverRank,MATCH($R1572,DriverList,0)),99))</f>
        <v/>
      </c>
      <c r="V1572" s="35" t="n">
        <f aca="false">IF($H1572="",0,IFERROR(INDEX(LevelBasic,MATCH($H1572,LevelList,0))+INDEX(LevelHousing,MATCH($H1572,LevelList,0))+INDEX(LevelTransport,MATCH($H1572,LevelList,0))+INDEX(LevelBasic,MATCH($H1572,LevelList,0))*INDEX(LevelBonus,MATCH($H1572,LevelList,0))+(INDEX(LevelBasic,MATCH($H1572,LevelList,0))+INDEX(LevelHousing,MATCH($H1572,LevelList,0)))*GosiSaudi,0))</f>
        <v>0</v>
      </c>
      <c r="W1572" s="35" t="n">
        <f aca="false">IFERROR(INDEX(LevelOneOff,MATCH($H1572,LevelList,0)),0)</f>
        <v>0</v>
      </c>
      <c r="X1572" s="35" t="str">
        <f aca="false">IF($G1572="","",$V1572*N($L1572))</f>
        <v/>
      </c>
      <c r="Y1572" s="35" t="str">
        <f aca="false">IF($G1572="","",$V1572*(N($M1572)*1+N($N1572)*0.75+N($O1572)*0.5+N($P1572)*0.25)+$W1572*N($L1572))</f>
        <v/>
      </c>
      <c r="Z1572" s="35" t="str">
        <f aca="false">IF($G1572="","",$U1572*1000000+ROW())</f>
        <v/>
      </c>
      <c r="AA1572" s="36" t="str">
        <f aca="false">IF($G1572="","",MID(IF($C1572="",", no division","")&amp;IF($E1572="",", no unit","")&amp;IF($H1572="",", no career level","")&amp;IF(N($L1572)&lt;=0,", no quarter split","")&amp;IF($R1572="",", no driver","")&amp;IF(AND($H1572&lt;&gt;"",COUNTIF(CareerLevels,$H1572)=0),", a career level that is not on the ladder","")&amp;IF(AND($R1572&lt;&gt;"",COUNTIF(DriverList,$R1572)=0),", a driver that is not on the list","")&amp;IF(ABS(N($L1572)-(N($M1572)+N($N1572)+N($O1572)+N($P1572)))&gt;0.001,", a total that does not match its quarters",""),3,300))</f>
        <v/>
      </c>
    </row>
    <row r="1573" customFormat="false" ht="15" hidden="false" customHeight="false" outlineLevel="0" collapsed="false">
      <c r="A1573" s="33" t="str">
        <f aca="false">IF($G1573="","","Operations Group")</f>
        <v/>
      </c>
      <c r="B1573" s="19"/>
      <c r="C1573" s="19"/>
      <c r="D1573" s="19"/>
      <c r="E1573" s="19"/>
      <c r="F1573" s="19"/>
      <c r="G1573" s="19"/>
      <c r="H1573" s="19"/>
      <c r="I1573" s="19"/>
      <c r="J1573" s="19"/>
      <c r="K1573" s="19"/>
      <c r="L1573" s="19"/>
      <c r="M1573" s="19"/>
      <c r="N1573" s="19"/>
      <c r="O1573" s="19"/>
      <c r="P1573" s="19"/>
      <c r="Q1573" s="19"/>
      <c r="R1573" s="19"/>
      <c r="S1573" s="19"/>
      <c r="T1573" s="34" t="str">
        <f aca="false">IF($R1573="","",IFERROR(INDEX(DriverCategory,MATCH($R1573,DriverList,0)),"BAU"))</f>
        <v/>
      </c>
      <c r="U1573" s="34" t="str">
        <f aca="false">IF($R1573="","",IFERROR(INDEX(DriverRank,MATCH($R1573,DriverList,0)),99))</f>
        <v/>
      </c>
      <c r="V1573" s="35" t="n">
        <f aca="false">IF($H1573="",0,IFERROR(INDEX(LevelBasic,MATCH($H1573,LevelList,0))+INDEX(LevelHousing,MATCH($H1573,LevelList,0))+INDEX(LevelTransport,MATCH($H1573,LevelList,0))+INDEX(LevelBasic,MATCH($H1573,LevelList,0))*INDEX(LevelBonus,MATCH($H1573,LevelList,0))+(INDEX(LevelBasic,MATCH($H1573,LevelList,0))+INDEX(LevelHousing,MATCH($H1573,LevelList,0)))*GosiSaudi,0))</f>
        <v>0</v>
      </c>
      <c r="W1573" s="35" t="n">
        <f aca="false">IFERROR(INDEX(LevelOneOff,MATCH($H1573,LevelList,0)),0)</f>
        <v>0</v>
      </c>
      <c r="X1573" s="35" t="str">
        <f aca="false">IF($G1573="","",$V1573*N($L1573))</f>
        <v/>
      </c>
      <c r="Y1573" s="35" t="str">
        <f aca="false">IF($G1573="","",$V1573*(N($M1573)*1+N($N1573)*0.75+N($O1573)*0.5+N($P1573)*0.25)+$W1573*N($L1573))</f>
        <v/>
      </c>
      <c r="Z1573" s="35" t="str">
        <f aca="false">IF($G1573="","",$U1573*1000000+ROW())</f>
        <v/>
      </c>
      <c r="AA1573" s="36" t="str">
        <f aca="false">IF($G1573="","",MID(IF($C1573="",", no division","")&amp;IF($E1573="",", no unit","")&amp;IF($H1573="",", no career level","")&amp;IF(N($L1573)&lt;=0,", no quarter split","")&amp;IF($R1573="",", no driver","")&amp;IF(AND($H1573&lt;&gt;"",COUNTIF(CareerLevels,$H1573)=0),", a career level that is not on the ladder","")&amp;IF(AND($R1573&lt;&gt;"",COUNTIF(DriverList,$R1573)=0),", a driver that is not on the list","")&amp;IF(ABS(N($L1573)-(N($M1573)+N($N1573)+N($O1573)+N($P1573)))&gt;0.001,", a total that does not match its quarters",""),3,300))</f>
        <v/>
      </c>
    </row>
    <row r="1574" customFormat="false" ht="15" hidden="false" customHeight="false" outlineLevel="0" collapsed="false">
      <c r="A1574" s="33" t="str">
        <f aca="false">IF($G1574="","","Operations Group")</f>
        <v/>
      </c>
      <c r="B1574" s="19"/>
      <c r="C1574" s="19"/>
      <c r="D1574" s="19"/>
      <c r="E1574" s="19"/>
      <c r="F1574" s="19"/>
      <c r="G1574" s="19"/>
      <c r="H1574" s="19"/>
      <c r="I1574" s="19"/>
      <c r="J1574" s="19"/>
      <c r="K1574" s="19"/>
      <c r="L1574" s="19"/>
      <c r="M1574" s="19"/>
      <c r="N1574" s="19"/>
      <c r="O1574" s="19"/>
      <c r="P1574" s="19"/>
      <c r="Q1574" s="19"/>
      <c r="R1574" s="19"/>
      <c r="S1574" s="19"/>
      <c r="T1574" s="34" t="str">
        <f aca="false">IF($R1574="","",IFERROR(INDEX(DriverCategory,MATCH($R1574,DriverList,0)),"BAU"))</f>
        <v/>
      </c>
      <c r="U1574" s="34" t="str">
        <f aca="false">IF($R1574="","",IFERROR(INDEX(DriverRank,MATCH($R1574,DriverList,0)),99))</f>
        <v/>
      </c>
      <c r="V1574" s="35" t="n">
        <f aca="false">IF($H1574="",0,IFERROR(INDEX(LevelBasic,MATCH($H1574,LevelList,0))+INDEX(LevelHousing,MATCH($H1574,LevelList,0))+INDEX(LevelTransport,MATCH($H1574,LevelList,0))+INDEX(LevelBasic,MATCH($H1574,LevelList,0))*INDEX(LevelBonus,MATCH($H1574,LevelList,0))+(INDEX(LevelBasic,MATCH($H1574,LevelList,0))+INDEX(LevelHousing,MATCH($H1574,LevelList,0)))*GosiSaudi,0))</f>
        <v>0</v>
      </c>
      <c r="W1574" s="35" t="n">
        <f aca="false">IFERROR(INDEX(LevelOneOff,MATCH($H1574,LevelList,0)),0)</f>
        <v>0</v>
      </c>
      <c r="X1574" s="35" t="str">
        <f aca="false">IF($G1574="","",$V1574*N($L1574))</f>
        <v/>
      </c>
      <c r="Y1574" s="35" t="str">
        <f aca="false">IF($G1574="","",$V1574*(N($M1574)*1+N($N1574)*0.75+N($O1574)*0.5+N($P1574)*0.25)+$W1574*N($L1574))</f>
        <v/>
      </c>
      <c r="Z1574" s="35" t="str">
        <f aca="false">IF($G1574="","",$U1574*1000000+ROW())</f>
        <v/>
      </c>
      <c r="AA1574" s="36" t="str">
        <f aca="false">IF($G1574="","",MID(IF($C1574="",", no division","")&amp;IF($E1574="",", no unit","")&amp;IF($H1574="",", no career level","")&amp;IF(N($L1574)&lt;=0,", no quarter split","")&amp;IF($R1574="",", no driver","")&amp;IF(AND($H1574&lt;&gt;"",COUNTIF(CareerLevels,$H1574)=0),", a career level that is not on the ladder","")&amp;IF(AND($R1574&lt;&gt;"",COUNTIF(DriverList,$R1574)=0),", a driver that is not on the list","")&amp;IF(ABS(N($L1574)-(N($M1574)+N($N1574)+N($O1574)+N($P1574)))&gt;0.001,", a total that does not match its quarters",""),3,300))</f>
        <v/>
      </c>
    </row>
    <row r="1575" customFormat="false" ht="15" hidden="false" customHeight="false" outlineLevel="0" collapsed="false">
      <c r="A1575" s="33" t="str">
        <f aca="false">IF($G1575="","","Operations Group")</f>
        <v/>
      </c>
      <c r="B1575" s="19"/>
      <c r="C1575" s="19"/>
      <c r="D1575" s="19"/>
      <c r="E1575" s="19"/>
      <c r="F1575" s="19"/>
      <c r="G1575" s="19"/>
      <c r="H1575" s="19"/>
      <c r="I1575" s="19"/>
      <c r="J1575" s="19"/>
      <c r="K1575" s="19"/>
      <c r="L1575" s="19"/>
      <c r="M1575" s="19"/>
      <c r="N1575" s="19"/>
      <c r="O1575" s="19"/>
      <c r="P1575" s="19"/>
      <c r="Q1575" s="19"/>
      <c r="R1575" s="19"/>
      <c r="S1575" s="19"/>
      <c r="T1575" s="34" t="str">
        <f aca="false">IF($R1575="","",IFERROR(INDEX(DriverCategory,MATCH($R1575,DriverList,0)),"BAU"))</f>
        <v/>
      </c>
      <c r="U1575" s="34" t="str">
        <f aca="false">IF($R1575="","",IFERROR(INDEX(DriverRank,MATCH($R1575,DriverList,0)),99))</f>
        <v/>
      </c>
      <c r="V1575" s="35" t="n">
        <f aca="false">IF($H1575="",0,IFERROR(INDEX(LevelBasic,MATCH($H1575,LevelList,0))+INDEX(LevelHousing,MATCH($H1575,LevelList,0))+INDEX(LevelTransport,MATCH($H1575,LevelList,0))+INDEX(LevelBasic,MATCH($H1575,LevelList,0))*INDEX(LevelBonus,MATCH($H1575,LevelList,0))+(INDEX(LevelBasic,MATCH($H1575,LevelList,0))+INDEX(LevelHousing,MATCH($H1575,LevelList,0)))*GosiSaudi,0))</f>
        <v>0</v>
      </c>
      <c r="W1575" s="35" t="n">
        <f aca="false">IFERROR(INDEX(LevelOneOff,MATCH($H1575,LevelList,0)),0)</f>
        <v>0</v>
      </c>
      <c r="X1575" s="35" t="str">
        <f aca="false">IF($G1575="","",$V1575*N($L1575))</f>
        <v/>
      </c>
      <c r="Y1575" s="35" t="str">
        <f aca="false">IF($G1575="","",$V1575*(N($M1575)*1+N($N1575)*0.75+N($O1575)*0.5+N($P1575)*0.25)+$W1575*N($L1575))</f>
        <v/>
      </c>
      <c r="Z1575" s="35" t="str">
        <f aca="false">IF($G1575="","",$U1575*1000000+ROW())</f>
        <v/>
      </c>
      <c r="AA1575" s="36" t="str">
        <f aca="false">IF($G1575="","",MID(IF($C1575="",", no division","")&amp;IF($E1575="",", no unit","")&amp;IF($H1575="",", no career level","")&amp;IF(N($L1575)&lt;=0,", no quarter split","")&amp;IF($R1575="",", no driver","")&amp;IF(AND($H1575&lt;&gt;"",COUNTIF(CareerLevels,$H1575)=0),", a career level that is not on the ladder","")&amp;IF(AND($R1575&lt;&gt;"",COUNTIF(DriverList,$R1575)=0),", a driver that is not on the list","")&amp;IF(ABS(N($L1575)-(N($M1575)+N($N1575)+N($O1575)+N($P1575)))&gt;0.001,", a total that does not match its quarters",""),3,300))</f>
        <v/>
      </c>
    </row>
    <row r="1576" customFormat="false" ht="15" hidden="false" customHeight="false" outlineLevel="0" collapsed="false">
      <c r="A1576" s="33" t="str">
        <f aca="false">IF($G1576="","","Operations Group")</f>
        <v/>
      </c>
      <c r="B1576" s="19"/>
      <c r="C1576" s="19"/>
      <c r="D1576" s="19"/>
      <c r="E1576" s="19"/>
      <c r="F1576" s="19"/>
      <c r="G1576" s="19"/>
      <c r="H1576" s="19"/>
      <c r="I1576" s="19"/>
      <c r="J1576" s="19"/>
      <c r="K1576" s="19"/>
      <c r="L1576" s="19"/>
      <c r="M1576" s="19"/>
      <c r="N1576" s="19"/>
      <c r="O1576" s="19"/>
      <c r="P1576" s="19"/>
      <c r="Q1576" s="19"/>
      <c r="R1576" s="19"/>
      <c r="S1576" s="19"/>
      <c r="T1576" s="34" t="str">
        <f aca="false">IF($R1576="","",IFERROR(INDEX(DriverCategory,MATCH($R1576,DriverList,0)),"BAU"))</f>
        <v/>
      </c>
      <c r="U1576" s="34" t="str">
        <f aca="false">IF($R1576="","",IFERROR(INDEX(DriverRank,MATCH($R1576,DriverList,0)),99))</f>
        <v/>
      </c>
      <c r="V1576" s="35" t="n">
        <f aca="false">IF($H1576="",0,IFERROR(INDEX(LevelBasic,MATCH($H1576,LevelList,0))+INDEX(LevelHousing,MATCH($H1576,LevelList,0))+INDEX(LevelTransport,MATCH($H1576,LevelList,0))+INDEX(LevelBasic,MATCH($H1576,LevelList,0))*INDEX(LevelBonus,MATCH($H1576,LevelList,0))+(INDEX(LevelBasic,MATCH($H1576,LevelList,0))+INDEX(LevelHousing,MATCH($H1576,LevelList,0)))*GosiSaudi,0))</f>
        <v>0</v>
      </c>
      <c r="W1576" s="35" t="n">
        <f aca="false">IFERROR(INDEX(LevelOneOff,MATCH($H1576,LevelList,0)),0)</f>
        <v>0</v>
      </c>
      <c r="X1576" s="35" t="str">
        <f aca="false">IF($G1576="","",$V1576*N($L1576))</f>
        <v/>
      </c>
      <c r="Y1576" s="35" t="str">
        <f aca="false">IF($G1576="","",$V1576*(N($M1576)*1+N($N1576)*0.75+N($O1576)*0.5+N($P1576)*0.25)+$W1576*N($L1576))</f>
        <v/>
      </c>
      <c r="Z1576" s="35" t="str">
        <f aca="false">IF($G1576="","",$U1576*1000000+ROW())</f>
        <v/>
      </c>
      <c r="AA1576" s="36" t="str">
        <f aca="false">IF($G1576="","",MID(IF($C1576="",", no division","")&amp;IF($E1576="",", no unit","")&amp;IF($H1576="",", no career level","")&amp;IF(N($L1576)&lt;=0,", no quarter split","")&amp;IF($R1576="",", no driver","")&amp;IF(AND($H1576&lt;&gt;"",COUNTIF(CareerLevels,$H1576)=0),", a career level that is not on the ladder","")&amp;IF(AND($R1576&lt;&gt;"",COUNTIF(DriverList,$R1576)=0),", a driver that is not on the list","")&amp;IF(ABS(N($L1576)-(N($M1576)+N($N1576)+N($O1576)+N($P1576)))&gt;0.001,", a total that does not match its quarters",""),3,300))</f>
        <v/>
      </c>
    </row>
    <row r="1577" customFormat="false" ht="15" hidden="false" customHeight="false" outlineLevel="0" collapsed="false">
      <c r="A1577" s="33" t="str">
        <f aca="false">IF($G1577="","","Operations Group")</f>
        <v/>
      </c>
      <c r="B1577" s="19"/>
      <c r="C1577" s="19"/>
      <c r="D1577" s="19"/>
      <c r="E1577" s="19"/>
      <c r="F1577" s="19"/>
      <c r="G1577" s="19"/>
      <c r="H1577" s="19"/>
      <c r="I1577" s="19"/>
      <c r="J1577" s="19"/>
      <c r="K1577" s="19"/>
      <c r="L1577" s="19"/>
      <c r="M1577" s="19"/>
      <c r="N1577" s="19"/>
      <c r="O1577" s="19"/>
      <c r="P1577" s="19"/>
      <c r="Q1577" s="19"/>
      <c r="R1577" s="19"/>
      <c r="S1577" s="19"/>
      <c r="T1577" s="34" t="str">
        <f aca="false">IF($R1577="","",IFERROR(INDEX(DriverCategory,MATCH($R1577,DriverList,0)),"BAU"))</f>
        <v/>
      </c>
      <c r="U1577" s="34" t="str">
        <f aca="false">IF($R1577="","",IFERROR(INDEX(DriverRank,MATCH($R1577,DriverList,0)),99))</f>
        <v/>
      </c>
      <c r="V1577" s="35" t="n">
        <f aca="false">IF($H1577="",0,IFERROR(INDEX(LevelBasic,MATCH($H1577,LevelList,0))+INDEX(LevelHousing,MATCH($H1577,LevelList,0))+INDEX(LevelTransport,MATCH($H1577,LevelList,0))+INDEX(LevelBasic,MATCH($H1577,LevelList,0))*INDEX(LevelBonus,MATCH($H1577,LevelList,0))+(INDEX(LevelBasic,MATCH($H1577,LevelList,0))+INDEX(LevelHousing,MATCH($H1577,LevelList,0)))*GosiSaudi,0))</f>
        <v>0</v>
      </c>
      <c r="W1577" s="35" t="n">
        <f aca="false">IFERROR(INDEX(LevelOneOff,MATCH($H1577,LevelList,0)),0)</f>
        <v>0</v>
      </c>
      <c r="X1577" s="35" t="str">
        <f aca="false">IF($G1577="","",$V1577*N($L1577))</f>
        <v/>
      </c>
      <c r="Y1577" s="35" t="str">
        <f aca="false">IF($G1577="","",$V1577*(N($M1577)*1+N($N1577)*0.75+N($O1577)*0.5+N($P1577)*0.25)+$W1577*N($L1577))</f>
        <v/>
      </c>
      <c r="Z1577" s="35" t="str">
        <f aca="false">IF($G1577="","",$U1577*1000000+ROW())</f>
        <v/>
      </c>
      <c r="AA1577" s="36" t="str">
        <f aca="false">IF($G1577="","",MID(IF($C1577="",", no division","")&amp;IF($E1577="",", no unit","")&amp;IF($H1577="",", no career level","")&amp;IF(N($L1577)&lt;=0,", no quarter split","")&amp;IF($R1577="",", no driver","")&amp;IF(AND($H1577&lt;&gt;"",COUNTIF(CareerLevels,$H1577)=0),", a career level that is not on the ladder","")&amp;IF(AND($R1577&lt;&gt;"",COUNTIF(DriverList,$R1577)=0),", a driver that is not on the list","")&amp;IF(ABS(N($L1577)-(N($M1577)+N($N1577)+N($O1577)+N($P1577)))&gt;0.001,", a total that does not match its quarters",""),3,300))</f>
        <v/>
      </c>
    </row>
    <row r="1578" customFormat="false" ht="15" hidden="false" customHeight="false" outlineLevel="0" collapsed="false">
      <c r="A1578" s="33" t="str">
        <f aca="false">IF($G1578="","","Operations Group")</f>
        <v/>
      </c>
      <c r="B1578" s="19"/>
      <c r="C1578" s="19"/>
      <c r="D1578" s="19"/>
      <c r="E1578" s="19"/>
      <c r="F1578" s="19"/>
      <c r="G1578" s="19"/>
      <c r="H1578" s="19"/>
      <c r="I1578" s="19"/>
      <c r="J1578" s="19"/>
      <c r="K1578" s="19"/>
      <c r="L1578" s="19"/>
      <c r="M1578" s="19"/>
      <c r="N1578" s="19"/>
      <c r="O1578" s="19"/>
      <c r="P1578" s="19"/>
      <c r="Q1578" s="19"/>
      <c r="R1578" s="19"/>
      <c r="S1578" s="19"/>
      <c r="T1578" s="34" t="str">
        <f aca="false">IF($R1578="","",IFERROR(INDEX(DriverCategory,MATCH($R1578,DriverList,0)),"BAU"))</f>
        <v/>
      </c>
      <c r="U1578" s="34" t="str">
        <f aca="false">IF($R1578="","",IFERROR(INDEX(DriverRank,MATCH($R1578,DriverList,0)),99))</f>
        <v/>
      </c>
      <c r="V1578" s="35" t="n">
        <f aca="false">IF($H1578="",0,IFERROR(INDEX(LevelBasic,MATCH($H1578,LevelList,0))+INDEX(LevelHousing,MATCH($H1578,LevelList,0))+INDEX(LevelTransport,MATCH($H1578,LevelList,0))+INDEX(LevelBasic,MATCH($H1578,LevelList,0))*INDEX(LevelBonus,MATCH($H1578,LevelList,0))+(INDEX(LevelBasic,MATCH($H1578,LevelList,0))+INDEX(LevelHousing,MATCH($H1578,LevelList,0)))*GosiSaudi,0))</f>
        <v>0</v>
      </c>
      <c r="W1578" s="35" t="n">
        <f aca="false">IFERROR(INDEX(LevelOneOff,MATCH($H1578,LevelList,0)),0)</f>
        <v>0</v>
      </c>
      <c r="X1578" s="35" t="str">
        <f aca="false">IF($G1578="","",$V1578*N($L1578))</f>
        <v/>
      </c>
      <c r="Y1578" s="35" t="str">
        <f aca="false">IF($G1578="","",$V1578*(N($M1578)*1+N($N1578)*0.75+N($O1578)*0.5+N($P1578)*0.25)+$W1578*N($L1578))</f>
        <v/>
      </c>
      <c r="Z1578" s="35" t="str">
        <f aca="false">IF($G1578="","",$U1578*1000000+ROW())</f>
        <v/>
      </c>
      <c r="AA1578" s="36" t="str">
        <f aca="false">IF($G1578="","",MID(IF($C1578="",", no division","")&amp;IF($E1578="",", no unit","")&amp;IF($H1578="",", no career level","")&amp;IF(N($L1578)&lt;=0,", no quarter split","")&amp;IF($R1578="",", no driver","")&amp;IF(AND($H1578&lt;&gt;"",COUNTIF(CareerLevels,$H1578)=0),", a career level that is not on the ladder","")&amp;IF(AND($R1578&lt;&gt;"",COUNTIF(DriverList,$R1578)=0),", a driver that is not on the list","")&amp;IF(ABS(N($L1578)-(N($M1578)+N($N1578)+N($O1578)+N($P1578)))&gt;0.001,", a total that does not match its quarters",""),3,300))</f>
        <v/>
      </c>
    </row>
    <row r="1579" customFormat="false" ht="15" hidden="false" customHeight="false" outlineLevel="0" collapsed="false">
      <c r="A1579" s="33" t="str">
        <f aca="false">IF($G1579="","","Operations Group")</f>
        <v/>
      </c>
      <c r="B1579" s="19"/>
      <c r="C1579" s="19"/>
      <c r="D1579" s="19"/>
      <c r="E1579" s="19"/>
      <c r="F1579" s="19"/>
      <c r="G1579" s="19"/>
      <c r="H1579" s="19"/>
      <c r="I1579" s="19"/>
      <c r="J1579" s="19"/>
      <c r="K1579" s="19"/>
      <c r="L1579" s="19"/>
      <c r="M1579" s="19"/>
      <c r="N1579" s="19"/>
      <c r="O1579" s="19"/>
      <c r="P1579" s="19"/>
      <c r="Q1579" s="19"/>
      <c r="R1579" s="19"/>
      <c r="S1579" s="19"/>
      <c r="T1579" s="34" t="str">
        <f aca="false">IF($R1579="","",IFERROR(INDEX(DriverCategory,MATCH($R1579,DriverList,0)),"BAU"))</f>
        <v/>
      </c>
      <c r="U1579" s="34" t="str">
        <f aca="false">IF($R1579="","",IFERROR(INDEX(DriverRank,MATCH($R1579,DriverList,0)),99))</f>
        <v/>
      </c>
      <c r="V1579" s="35" t="n">
        <f aca="false">IF($H1579="",0,IFERROR(INDEX(LevelBasic,MATCH($H1579,LevelList,0))+INDEX(LevelHousing,MATCH($H1579,LevelList,0))+INDEX(LevelTransport,MATCH($H1579,LevelList,0))+INDEX(LevelBasic,MATCH($H1579,LevelList,0))*INDEX(LevelBonus,MATCH($H1579,LevelList,0))+(INDEX(LevelBasic,MATCH($H1579,LevelList,0))+INDEX(LevelHousing,MATCH($H1579,LevelList,0)))*GosiSaudi,0))</f>
        <v>0</v>
      </c>
      <c r="W1579" s="35" t="n">
        <f aca="false">IFERROR(INDEX(LevelOneOff,MATCH($H1579,LevelList,0)),0)</f>
        <v>0</v>
      </c>
      <c r="X1579" s="35" t="str">
        <f aca="false">IF($G1579="","",$V1579*N($L1579))</f>
        <v/>
      </c>
      <c r="Y1579" s="35" t="str">
        <f aca="false">IF($G1579="","",$V1579*(N($M1579)*1+N($N1579)*0.75+N($O1579)*0.5+N($P1579)*0.25)+$W1579*N($L1579))</f>
        <v/>
      </c>
      <c r="Z1579" s="35" t="str">
        <f aca="false">IF($G1579="","",$U1579*1000000+ROW())</f>
        <v/>
      </c>
      <c r="AA1579" s="36" t="str">
        <f aca="false">IF($G1579="","",MID(IF($C1579="",", no division","")&amp;IF($E1579="",", no unit","")&amp;IF($H1579="",", no career level","")&amp;IF(N($L1579)&lt;=0,", no quarter split","")&amp;IF($R1579="",", no driver","")&amp;IF(AND($H1579&lt;&gt;"",COUNTIF(CareerLevels,$H1579)=0),", a career level that is not on the ladder","")&amp;IF(AND($R1579&lt;&gt;"",COUNTIF(DriverList,$R1579)=0),", a driver that is not on the list","")&amp;IF(ABS(N($L1579)-(N($M1579)+N($N1579)+N($O1579)+N($P1579)))&gt;0.001,", a total that does not match its quarters",""),3,300))</f>
        <v/>
      </c>
    </row>
    <row r="1580" customFormat="false" ht="15" hidden="false" customHeight="false" outlineLevel="0" collapsed="false">
      <c r="A1580" s="33" t="str">
        <f aca="false">IF($G1580="","","Operations Group")</f>
        <v/>
      </c>
      <c r="B1580" s="19"/>
      <c r="C1580" s="19"/>
      <c r="D1580" s="19"/>
      <c r="E1580" s="19"/>
      <c r="F1580" s="19"/>
      <c r="G1580" s="19"/>
      <c r="H1580" s="19"/>
      <c r="I1580" s="19"/>
      <c r="J1580" s="19"/>
      <c r="K1580" s="19"/>
      <c r="L1580" s="19"/>
      <c r="M1580" s="19"/>
      <c r="N1580" s="19"/>
      <c r="O1580" s="19"/>
      <c r="P1580" s="19"/>
      <c r="Q1580" s="19"/>
      <c r="R1580" s="19"/>
      <c r="S1580" s="19"/>
      <c r="T1580" s="34" t="str">
        <f aca="false">IF($R1580="","",IFERROR(INDEX(DriverCategory,MATCH($R1580,DriverList,0)),"BAU"))</f>
        <v/>
      </c>
      <c r="U1580" s="34" t="str">
        <f aca="false">IF($R1580="","",IFERROR(INDEX(DriverRank,MATCH($R1580,DriverList,0)),99))</f>
        <v/>
      </c>
      <c r="V1580" s="35" t="n">
        <f aca="false">IF($H1580="",0,IFERROR(INDEX(LevelBasic,MATCH($H1580,LevelList,0))+INDEX(LevelHousing,MATCH($H1580,LevelList,0))+INDEX(LevelTransport,MATCH($H1580,LevelList,0))+INDEX(LevelBasic,MATCH($H1580,LevelList,0))*INDEX(LevelBonus,MATCH($H1580,LevelList,0))+(INDEX(LevelBasic,MATCH($H1580,LevelList,0))+INDEX(LevelHousing,MATCH($H1580,LevelList,0)))*GosiSaudi,0))</f>
        <v>0</v>
      </c>
      <c r="W1580" s="35" t="n">
        <f aca="false">IFERROR(INDEX(LevelOneOff,MATCH($H1580,LevelList,0)),0)</f>
        <v>0</v>
      </c>
      <c r="X1580" s="35" t="str">
        <f aca="false">IF($G1580="","",$V1580*N($L1580))</f>
        <v/>
      </c>
      <c r="Y1580" s="35" t="str">
        <f aca="false">IF($G1580="","",$V1580*(N($M1580)*1+N($N1580)*0.75+N($O1580)*0.5+N($P1580)*0.25)+$W1580*N($L1580))</f>
        <v/>
      </c>
      <c r="Z1580" s="35" t="str">
        <f aca="false">IF($G1580="","",$U1580*1000000+ROW())</f>
        <v/>
      </c>
      <c r="AA1580" s="36" t="str">
        <f aca="false">IF($G1580="","",MID(IF($C1580="",", no division","")&amp;IF($E1580="",", no unit","")&amp;IF($H1580="",", no career level","")&amp;IF(N($L1580)&lt;=0,", no quarter split","")&amp;IF($R1580="",", no driver","")&amp;IF(AND($H1580&lt;&gt;"",COUNTIF(CareerLevels,$H1580)=0),", a career level that is not on the ladder","")&amp;IF(AND($R1580&lt;&gt;"",COUNTIF(DriverList,$R1580)=0),", a driver that is not on the list","")&amp;IF(ABS(N($L1580)-(N($M1580)+N($N1580)+N($O1580)+N($P1580)))&gt;0.001,", a total that does not match its quarters",""),3,300))</f>
        <v/>
      </c>
    </row>
    <row r="1581" customFormat="false" ht="15" hidden="false" customHeight="false" outlineLevel="0" collapsed="false">
      <c r="A1581" s="33" t="str">
        <f aca="false">IF($G1581="","","Operations Group")</f>
        <v/>
      </c>
      <c r="B1581" s="19"/>
      <c r="C1581" s="19"/>
      <c r="D1581" s="19"/>
      <c r="E1581" s="19"/>
      <c r="F1581" s="19"/>
      <c r="G1581" s="19"/>
      <c r="H1581" s="19"/>
      <c r="I1581" s="19"/>
      <c r="J1581" s="19"/>
      <c r="K1581" s="19"/>
      <c r="L1581" s="19"/>
      <c r="M1581" s="19"/>
      <c r="N1581" s="19"/>
      <c r="O1581" s="19"/>
      <c r="P1581" s="19"/>
      <c r="Q1581" s="19"/>
      <c r="R1581" s="19"/>
      <c r="S1581" s="19"/>
      <c r="T1581" s="34" t="str">
        <f aca="false">IF($R1581="","",IFERROR(INDEX(DriverCategory,MATCH($R1581,DriverList,0)),"BAU"))</f>
        <v/>
      </c>
      <c r="U1581" s="34" t="str">
        <f aca="false">IF($R1581="","",IFERROR(INDEX(DriverRank,MATCH($R1581,DriverList,0)),99))</f>
        <v/>
      </c>
      <c r="V1581" s="35" t="n">
        <f aca="false">IF($H1581="",0,IFERROR(INDEX(LevelBasic,MATCH($H1581,LevelList,0))+INDEX(LevelHousing,MATCH($H1581,LevelList,0))+INDEX(LevelTransport,MATCH($H1581,LevelList,0))+INDEX(LevelBasic,MATCH($H1581,LevelList,0))*INDEX(LevelBonus,MATCH($H1581,LevelList,0))+(INDEX(LevelBasic,MATCH($H1581,LevelList,0))+INDEX(LevelHousing,MATCH($H1581,LevelList,0)))*GosiSaudi,0))</f>
        <v>0</v>
      </c>
      <c r="W1581" s="35" t="n">
        <f aca="false">IFERROR(INDEX(LevelOneOff,MATCH($H1581,LevelList,0)),0)</f>
        <v>0</v>
      </c>
      <c r="X1581" s="35" t="str">
        <f aca="false">IF($G1581="","",$V1581*N($L1581))</f>
        <v/>
      </c>
      <c r="Y1581" s="35" t="str">
        <f aca="false">IF($G1581="","",$V1581*(N($M1581)*1+N($N1581)*0.75+N($O1581)*0.5+N($P1581)*0.25)+$W1581*N($L1581))</f>
        <v/>
      </c>
      <c r="Z1581" s="35" t="str">
        <f aca="false">IF($G1581="","",$U1581*1000000+ROW())</f>
        <v/>
      </c>
      <c r="AA1581" s="36" t="str">
        <f aca="false">IF($G1581="","",MID(IF($C1581="",", no division","")&amp;IF($E1581="",", no unit","")&amp;IF($H1581="",", no career level","")&amp;IF(N($L1581)&lt;=0,", no quarter split","")&amp;IF($R1581="",", no driver","")&amp;IF(AND($H1581&lt;&gt;"",COUNTIF(CareerLevels,$H1581)=0),", a career level that is not on the ladder","")&amp;IF(AND($R1581&lt;&gt;"",COUNTIF(DriverList,$R1581)=0),", a driver that is not on the list","")&amp;IF(ABS(N($L1581)-(N($M1581)+N($N1581)+N($O1581)+N($P1581)))&gt;0.001,", a total that does not match its quarters",""),3,300))</f>
        <v/>
      </c>
    </row>
    <row r="1582" customFormat="false" ht="15" hidden="false" customHeight="false" outlineLevel="0" collapsed="false">
      <c r="A1582" s="33" t="str">
        <f aca="false">IF($G1582="","","Operations Group")</f>
        <v/>
      </c>
      <c r="B1582" s="19"/>
      <c r="C1582" s="19"/>
      <c r="D1582" s="19"/>
      <c r="E1582" s="19"/>
      <c r="F1582" s="19"/>
      <c r="G1582" s="19"/>
      <c r="H1582" s="19"/>
      <c r="I1582" s="19"/>
      <c r="J1582" s="19"/>
      <c r="K1582" s="19"/>
      <c r="L1582" s="19"/>
      <c r="M1582" s="19"/>
      <c r="N1582" s="19"/>
      <c r="O1582" s="19"/>
      <c r="P1582" s="19"/>
      <c r="Q1582" s="19"/>
      <c r="R1582" s="19"/>
      <c r="S1582" s="19"/>
      <c r="T1582" s="34" t="str">
        <f aca="false">IF($R1582="","",IFERROR(INDEX(DriverCategory,MATCH($R1582,DriverList,0)),"BAU"))</f>
        <v/>
      </c>
      <c r="U1582" s="34" t="str">
        <f aca="false">IF($R1582="","",IFERROR(INDEX(DriverRank,MATCH($R1582,DriverList,0)),99))</f>
        <v/>
      </c>
      <c r="V1582" s="35" t="n">
        <f aca="false">IF($H1582="",0,IFERROR(INDEX(LevelBasic,MATCH($H1582,LevelList,0))+INDEX(LevelHousing,MATCH($H1582,LevelList,0))+INDEX(LevelTransport,MATCH($H1582,LevelList,0))+INDEX(LevelBasic,MATCH($H1582,LevelList,0))*INDEX(LevelBonus,MATCH($H1582,LevelList,0))+(INDEX(LevelBasic,MATCH($H1582,LevelList,0))+INDEX(LevelHousing,MATCH($H1582,LevelList,0)))*GosiSaudi,0))</f>
        <v>0</v>
      </c>
      <c r="W1582" s="35" t="n">
        <f aca="false">IFERROR(INDEX(LevelOneOff,MATCH($H1582,LevelList,0)),0)</f>
        <v>0</v>
      </c>
      <c r="X1582" s="35" t="str">
        <f aca="false">IF($G1582="","",$V1582*N($L1582))</f>
        <v/>
      </c>
      <c r="Y1582" s="35" t="str">
        <f aca="false">IF($G1582="","",$V1582*(N($M1582)*1+N($N1582)*0.75+N($O1582)*0.5+N($P1582)*0.25)+$W1582*N($L1582))</f>
        <v/>
      </c>
      <c r="Z1582" s="35" t="str">
        <f aca="false">IF($G1582="","",$U1582*1000000+ROW())</f>
        <v/>
      </c>
      <c r="AA1582" s="36" t="str">
        <f aca="false">IF($G1582="","",MID(IF($C1582="",", no division","")&amp;IF($E1582="",", no unit","")&amp;IF($H1582="",", no career level","")&amp;IF(N($L1582)&lt;=0,", no quarter split","")&amp;IF($R1582="",", no driver","")&amp;IF(AND($H1582&lt;&gt;"",COUNTIF(CareerLevels,$H1582)=0),", a career level that is not on the ladder","")&amp;IF(AND($R1582&lt;&gt;"",COUNTIF(DriverList,$R1582)=0),", a driver that is not on the list","")&amp;IF(ABS(N($L1582)-(N($M1582)+N($N1582)+N($O1582)+N($P1582)))&gt;0.001,", a total that does not match its quarters",""),3,300))</f>
        <v/>
      </c>
    </row>
    <row r="1583" customFormat="false" ht="15" hidden="false" customHeight="false" outlineLevel="0" collapsed="false">
      <c r="A1583" s="33" t="str">
        <f aca="false">IF($G1583="","","Operations Group")</f>
        <v/>
      </c>
      <c r="B1583" s="19"/>
      <c r="C1583" s="19"/>
      <c r="D1583" s="19"/>
      <c r="E1583" s="19"/>
      <c r="F1583" s="19"/>
      <c r="G1583" s="19"/>
      <c r="H1583" s="19"/>
      <c r="I1583" s="19"/>
      <c r="J1583" s="19"/>
      <c r="K1583" s="19"/>
      <c r="L1583" s="19"/>
      <c r="M1583" s="19"/>
      <c r="N1583" s="19"/>
      <c r="O1583" s="19"/>
      <c r="P1583" s="19"/>
      <c r="Q1583" s="19"/>
      <c r="R1583" s="19"/>
      <c r="S1583" s="19"/>
      <c r="T1583" s="34" t="str">
        <f aca="false">IF($R1583="","",IFERROR(INDEX(DriverCategory,MATCH($R1583,DriverList,0)),"BAU"))</f>
        <v/>
      </c>
      <c r="U1583" s="34" t="str">
        <f aca="false">IF($R1583="","",IFERROR(INDEX(DriverRank,MATCH($R1583,DriverList,0)),99))</f>
        <v/>
      </c>
      <c r="V1583" s="35" t="n">
        <f aca="false">IF($H1583="",0,IFERROR(INDEX(LevelBasic,MATCH($H1583,LevelList,0))+INDEX(LevelHousing,MATCH($H1583,LevelList,0))+INDEX(LevelTransport,MATCH($H1583,LevelList,0))+INDEX(LevelBasic,MATCH($H1583,LevelList,0))*INDEX(LevelBonus,MATCH($H1583,LevelList,0))+(INDEX(LevelBasic,MATCH($H1583,LevelList,0))+INDEX(LevelHousing,MATCH($H1583,LevelList,0)))*GosiSaudi,0))</f>
        <v>0</v>
      </c>
      <c r="W1583" s="35" t="n">
        <f aca="false">IFERROR(INDEX(LevelOneOff,MATCH($H1583,LevelList,0)),0)</f>
        <v>0</v>
      </c>
      <c r="X1583" s="35" t="str">
        <f aca="false">IF($G1583="","",$V1583*N($L1583))</f>
        <v/>
      </c>
      <c r="Y1583" s="35" t="str">
        <f aca="false">IF($G1583="","",$V1583*(N($M1583)*1+N($N1583)*0.75+N($O1583)*0.5+N($P1583)*0.25)+$W1583*N($L1583))</f>
        <v/>
      </c>
      <c r="Z1583" s="35" t="str">
        <f aca="false">IF($G1583="","",$U1583*1000000+ROW())</f>
        <v/>
      </c>
      <c r="AA1583" s="36" t="str">
        <f aca="false">IF($G1583="","",MID(IF($C1583="",", no division","")&amp;IF($E1583="",", no unit","")&amp;IF($H1583="",", no career level","")&amp;IF(N($L1583)&lt;=0,", no quarter split","")&amp;IF($R1583="",", no driver","")&amp;IF(AND($H1583&lt;&gt;"",COUNTIF(CareerLevels,$H1583)=0),", a career level that is not on the ladder","")&amp;IF(AND($R1583&lt;&gt;"",COUNTIF(DriverList,$R1583)=0),", a driver that is not on the list","")&amp;IF(ABS(N($L1583)-(N($M1583)+N($N1583)+N($O1583)+N($P1583)))&gt;0.001,", a total that does not match its quarters",""),3,300))</f>
        <v/>
      </c>
    </row>
    <row r="1584" customFormat="false" ht="15" hidden="false" customHeight="false" outlineLevel="0" collapsed="false">
      <c r="A1584" s="33" t="str">
        <f aca="false">IF($G1584="","","Operations Group")</f>
        <v/>
      </c>
      <c r="B1584" s="19"/>
      <c r="C1584" s="19"/>
      <c r="D1584" s="19"/>
      <c r="E1584" s="19"/>
      <c r="F1584" s="19"/>
      <c r="G1584" s="19"/>
      <c r="H1584" s="19"/>
      <c r="I1584" s="19"/>
      <c r="J1584" s="19"/>
      <c r="K1584" s="19"/>
      <c r="L1584" s="19"/>
      <c r="M1584" s="19"/>
      <c r="N1584" s="19"/>
      <c r="O1584" s="19"/>
      <c r="P1584" s="19"/>
      <c r="Q1584" s="19"/>
      <c r="R1584" s="19"/>
      <c r="S1584" s="19"/>
      <c r="T1584" s="34" t="str">
        <f aca="false">IF($R1584="","",IFERROR(INDEX(DriverCategory,MATCH($R1584,DriverList,0)),"BAU"))</f>
        <v/>
      </c>
      <c r="U1584" s="34" t="str">
        <f aca="false">IF($R1584="","",IFERROR(INDEX(DriverRank,MATCH($R1584,DriverList,0)),99))</f>
        <v/>
      </c>
      <c r="V1584" s="35" t="n">
        <f aca="false">IF($H1584="",0,IFERROR(INDEX(LevelBasic,MATCH($H1584,LevelList,0))+INDEX(LevelHousing,MATCH($H1584,LevelList,0))+INDEX(LevelTransport,MATCH($H1584,LevelList,0))+INDEX(LevelBasic,MATCH($H1584,LevelList,0))*INDEX(LevelBonus,MATCH($H1584,LevelList,0))+(INDEX(LevelBasic,MATCH($H1584,LevelList,0))+INDEX(LevelHousing,MATCH($H1584,LevelList,0)))*GosiSaudi,0))</f>
        <v>0</v>
      </c>
      <c r="W1584" s="35" t="n">
        <f aca="false">IFERROR(INDEX(LevelOneOff,MATCH($H1584,LevelList,0)),0)</f>
        <v>0</v>
      </c>
      <c r="X1584" s="35" t="str">
        <f aca="false">IF($G1584="","",$V1584*N($L1584))</f>
        <v/>
      </c>
      <c r="Y1584" s="35" t="str">
        <f aca="false">IF($G1584="","",$V1584*(N($M1584)*1+N($N1584)*0.75+N($O1584)*0.5+N($P1584)*0.25)+$W1584*N($L1584))</f>
        <v/>
      </c>
      <c r="Z1584" s="35" t="str">
        <f aca="false">IF($G1584="","",$U1584*1000000+ROW())</f>
        <v/>
      </c>
      <c r="AA1584" s="36" t="str">
        <f aca="false">IF($G1584="","",MID(IF($C1584="",", no division","")&amp;IF($E1584="",", no unit","")&amp;IF($H1584="",", no career level","")&amp;IF(N($L1584)&lt;=0,", no quarter split","")&amp;IF($R1584="",", no driver","")&amp;IF(AND($H1584&lt;&gt;"",COUNTIF(CareerLevels,$H1584)=0),", a career level that is not on the ladder","")&amp;IF(AND($R1584&lt;&gt;"",COUNTIF(DriverList,$R1584)=0),", a driver that is not on the list","")&amp;IF(ABS(N($L1584)-(N($M1584)+N($N1584)+N($O1584)+N($P1584)))&gt;0.001,", a total that does not match its quarters",""),3,300))</f>
        <v/>
      </c>
    </row>
    <row r="1585" customFormat="false" ht="15" hidden="false" customHeight="false" outlineLevel="0" collapsed="false">
      <c r="A1585" s="33" t="str">
        <f aca="false">IF($G1585="","","Operations Group")</f>
        <v/>
      </c>
      <c r="B1585" s="19"/>
      <c r="C1585" s="19"/>
      <c r="D1585" s="19"/>
      <c r="E1585" s="19"/>
      <c r="F1585" s="19"/>
      <c r="G1585" s="19"/>
      <c r="H1585" s="19"/>
      <c r="I1585" s="19"/>
      <c r="J1585" s="19"/>
      <c r="K1585" s="19"/>
      <c r="L1585" s="19"/>
      <c r="M1585" s="19"/>
      <c r="N1585" s="19"/>
      <c r="O1585" s="19"/>
      <c r="P1585" s="19"/>
      <c r="Q1585" s="19"/>
      <c r="R1585" s="19"/>
      <c r="S1585" s="19"/>
      <c r="T1585" s="34" t="str">
        <f aca="false">IF($R1585="","",IFERROR(INDEX(DriverCategory,MATCH($R1585,DriverList,0)),"BAU"))</f>
        <v/>
      </c>
      <c r="U1585" s="34" t="str">
        <f aca="false">IF($R1585="","",IFERROR(INDEX(DriverRank,MATCH($R1585,DriverList,0)),99))</f>
        <v/>
      </c>
      <c r="V1585" s="35" t="n">
        <f aca="false">IF($H1585="",0,IFERROR(INDEX(LevelBasic,MATCH($H1585,LevelList,0))+INDEX(LevelHousing,MATCH($H1585,LevelList,0))+INDEX(LevelTransport,MATCH($H1585,LevelList,0))+INDEX(LevelBasic,MATCH($H1585,LevelList,0))*INDEX(LevelBonus,MATCH($H1585,LevelList,0))+(INDEX(LevelBasic,MATCH($H1585,LevelList,0))+INDEX(LevelHousing,MATCH($H1585,LevelList,0)))*GosiSaudi,0))</f>
        <v>0</v>
      </c>
      <c r="W1585" s="35" t="n">
        <f aca="false">IFERROR(INDEX(LevelOneOff,MATCH($H1585,LevelList,0)),0)</f>
        <v>0</v>
      </c>
      <c r="X1585" s="35" t="str">
        <f aca="false">IF($G1585="","",$V1585*N($L1585))</f>
        <v/>
      </c>
      <c r="Y1585" s="35" t="str">
        <f aca="false">IF($G1585="","",$V1585*(N($M1585)*1+N($N1585)*0.75+N($O1585)*0.5+N($P1585)*0.25)+$W1585*N($L1585))</f>
        <v/>
      </c>
      <c r="Z1585" s="35" t="str">
        <f aca="false">IF($G1585="","",$U1585*1000000+ROW())</f>
        <v/>
      </c>
      <c r="AA1585" s="36" t="str">
        <f aca="false">IF($G1585="","",MID(IF($C1585="",", no division","")&amp;IF($E1585="",", no unit","")&amp;IF($H1585="",", no career level","")&amp;IF(N($L1585)&lt;=0,", no quarter split","")&amp;IF($R1585="",", no driver","")&amp;IF(AND($H1585&lt;&gt;"",COUNTIF(CareerLevels,$H1585)=0),", a career level that is not on the ladder","")&amp;IF(AND($R1585&lt;&gt;"",COUNTIF(DriverList,$R1585)=0),", a driver that is not on the list","")&amp;IF(ABS(N($L1585)-(N($M1585)+N($N1585)+N($O1585)+N($P1585)))&gt;0.001,", a total that does not match its quarters",""),3,300))</f>
        <v/>
      </c>
    </row>
    <row r="1586" customFormat="false" ht="15" hidden="false" customHeight="false" outlineLevel="0" collapsed="false">
      <c r="A1586" s="33" t="str">
        <f aca="false">IF($G1586="","","Operations Group")</f>
        <v/>
      </c>
      <c r="B1586" s="19"/>
      <c r="C1586" s="19"/>
      <c r="D1586" s="19"/>
      <c r="E1586" s="19"/>
      <c r="F1586" s="19"/>
      <c r="G1586" s="19"/>
      <c r="H1586" s="19"/>
      <c r="I1586" s="19"/>
      <c r="J1586" s="19"/>
      <c r="K1586" s="19"/>
      <c r="L1586" s="19"/>
      <c r="M1586" s="19"/>
      <c r="N1586" s="19"/>
      <c r="O1586" s="19"/>
      <c r="P1586" s="19"/>
      <c r="Q1586" s="19"/>
      <c r="R1586" s="19"/>
      <c r="S1586" s="19"/>
      <c r="T1586" s="34" t="str">
        <f aca="false">IF($R1586="","",IFERROR(INDEX(DriverCategory,MATCH($R1586,DriverList,0)),"BAU"))</f>
        <v/>
      </c>
      <c r="U1586" s="34" t="str">
        <f aca="false">IF($R1586="","",IFERROR(INDEX(DriverRank,MATCH($R1586,DriverList,0)),99))</f>
        <v/>
      </c>
      <c r="V1586" s="35" t="n">
        <f aca="false">IF($H1586="",0,IFERROR(INDEX(LevelBasic,MATCH($H1586,LevelList,0))+INDEX(LevelHousing,MATCH($H1586,LevelList,0))+INDEX(LevelTransport,MATCH($H1586,LevelList,0))+INDEX(LevelBasic,MATCH($H1586,LevelList,0))*INDEX(LevelBonus,MATCH($H1586,LevelList,0))+(INDEX(LevelBasic,MATCH($H1586,LevelList,0))+INDEX(LevelHousing,MATCH($H1586,LevelList,0)))*GosiSaudi,0))</f>
        <v>0</v>
      </c>
      <c r="W1586" s="35" t="n">
        <f aca="false">IFERROR(INDEX(LevelOneOff,MATCH($H1586,LevelList,0)),0)</f>
        <v>0</v>
      </c>
      <c r="X1586" s="35" t="str">
        <f aca="false">IF($G1586="","",$V1586*N($L1586))</f>
        <v/>
      </c>
      <c r="Y1586" s="35" t="str">
        <f aca="false">IF($G1586="","",$V1586*(N($M1586)*1+N($N1586)*0.75+N($O1586)*0.5+N($P1586)*0.25)+$W1586*N($L1586))</f>
        <v/>
      </c>
      <c r="Z1586" s="35" t="str">
        <f aca="false">IF($G1586="","",$U1586*1000000+ROW())</f>
        <v/>
      </c>
      <c r="AA1586" s="36" t="str">
        <f aca="false">IF($G1586="","",MID(IF($C1586="",", no division","")&amp;IF($E1586="",", no unit","")&amp;IF($H1586="",", no career level","")&amp;IF(N($L1586)&lt;=0,", no quarter split","")&amp;IF($R1586="",", no driver","")&amp;IF(AND($H1586&lt;&gt;"",COUNTIF(CareerLevels,$H1586)=0),", a career level that is not on the ladder","")&amp;IF(AND($R1586&lt;&gt;"",COUNTIF(DriverList,$R1586)=0),", a driver that is not on the list","")&amp;IF(ABS(N($L1586)-(N($M1586)+N($N1586)+N($O1586)+N($P1586)))&gt;0.001,", a total that does not match its quarters",""),3,300))</f>
        <v/>
      </c>
    </row>
    <row r="1587" customFormat="false" ht="15" hidden="false" customHeight="false" outlineLevel="0" collapsed="false">
      <c r="A1587" s="33" t="str">
        <f aca="false">IF($G1587="","","Operations Group")</f>
        <v/>
      </c>
      <c r="B1587" s="19"/>
      <c r="C1587" s="19"/>
      <c r="D1587" s="19"/>
      <c r="E1587" s="19"/>
      <c r="F1587" s="19"/>
      <c r="G1587" s="19"/>
      <c r="H1587" s="19"/>
      <c r="I1587" s="19"/>
      <c r="J1587" s="19"/>
      <c r="K1587" s="19"/>
      <c r="L1587" s="19"/>
      <c r="M1587" s="19"/>
      <c r="N1587" s="19"/>
      <c r="O1587" s="19"/>
      <c r="P1587" s="19"/>
      <c r="Q1587" s="19"/>
      <c r="R1587" s="19"/>
      <c r="S1587" s="19"/>
      <c r="T1587" s="34" t="str">
        <f aca="false">IF($R1587="","",IFERROR(INDEX(DriverCategory,MATCH($R1587,DriverList,0)),"BAU"))</f>
        <v/>
      </c>
      <c r="U1587" s="34" t="str">
        <f aca="false">IF($R1587="","",IFERROR(INDEX(DriverRank,MATCH($R1587,DriverList,0)),99))</f>
        <v/>
      </c>
      <c r="V1587" s="35" t="n">
        <f aca="false">IF($H1587="",0,IFERROR(INDEX(LevelBasic,MATCH($H1587,LevelList,0))+INDEX(LevelHousing,MATCH($H1587,LevelList,0))+INDEX(LevelTransport,MATCH($H1587,LevelList,0))+INDEX(LevelBasic,MATCH($H1587,LevelList,0))*INDEX(LevelBonus,MATCH($H1587,LevelList,0))+(INDEX(LevelBasic,MATCH($H1587,LevelList,0))+INDEX(LevelHousing,MATCH($H1587,LevelList,0)))*GosiSaudi,0))</f>
        <v>0</v>
      </c>
      <c r="W1587" s="35" t="n">
        <f aca="false">IFERROR(INDEX(LevelOneOff,MATCH($H1587,LevelList,0)),0)</f>
        <v>0</v>
      </c>
      <c r="X1587" s="35" t="str">
        <f aca="false">IF($G1587="","",$V1587*N($L1587))</f>
        <v/>
      </c>
      <c r="Y1587" s="35" t="str">
        <f aca="false">IF($G1587="","",$V1587*(N($M1587)*1+N($N1587)*0.75+N($O1587)*0.5+N($P1587)*0.25)+$W1587*N($L1587))</f>
        <v/>
      </c>
      <c r="Z1587" s="35" t="str">
        <f aca="false">IF($G1587="","",$U1587*1000000+ROW())</f>
        <v/>
      </c>
      <c r="AA1587" s="36" t="str">
        <f aca="false">IF($G1587="","",MID(IF($C1587="",", no division","")&amp;IF($E1587="",", no unit","")&amp;IF($H1587="",", no career level","")&amp;IF(N($L1587)&lt;=0,", no quarter split","")&amp;IF($R1587="",", no driver","")&amp;IF(AND($H1587&lt;&gt;"",COUNTIF(CareerLevels,$H1587)=0),", a career level that is not on the ladder","")&amp;IF(AND($R1587&lt;&gt;"",COUNTIF(DriverList,$R1587)=0),", a driver that is not on the list","")&amp;IF(ABS(N($L1587)-(N($M1587)+N($N1587)+N($O1587)+N($P1587)))&gt;0.001,", a total that does not match its quarters",""),3,300))</f>
        <v/>
      </c>
    </row>
    <row r="1588" customFormat="false" ht="15" hidden="false" customHeight="false" outlineLevel="0" collapsed="false">
      <c r="A1588" s="33" t="str">
        <f aca="false">IF($G1588="","","Operations Group")</f>
        <v/>
      </c>
      <c r="B1588" s="19"/>
      <c r="C1588" s="19"/>
      <c r="D1588" s="19"/>
      <c r="E1588" s="19"/>
      <c r="F1588" s="19"/>
      <c r="G1588" s="19"/>
      <c r="H1588" s="19"/>
      <c r="I1588" s="19"/>
      <c r="J1588" s="19"/>
      <c r="K1588" s="19"/>
      <c r="L1588" s="19"/>
      <c r="M1588" s="19"/>
      <c r="N1588" s="19"/>
      <c r="O1588" s="19"/>
      <c r="P1588" s="19"/>
      <c r="Q1588" s="19"/>
      <c r="R1588" s="19"/>
      <c r="S1588" s="19"/>
      <c r="T1588" s="34" t="str">
        <f aca="false">IF($R1588="","",IFERROR(INDEX(DriverCategory,MATCH($R1588,DriverList,0)),"BAU"))</f>
        <v/>
      </c>
      <c r="U1588" s="34" t="str">
        <f aca="false">IF($R1588="","",IFERROR(INDEX(DriverRank,MATCH($R1588,DriverList,0)),99))</f>
        <v/>
      </c>
      <c r="V1588" s="35" t="n">
        <f aca="false">IF($H1588="",0,IFERROR(INDEX(LevelBasic,MATCH($H1588,LevelList,0))+INDEX(LevelHousing,MATCH($H1588,LevelList,0))+INDEX(LevelTransport,MATCH($H1588,LevelList,0))+INDEX(LevelBasic,MATCH($H1588,LevelList,0))*INDEX(LevelBonus,MATCH($H1588,LevelList,0))+(INDEX(LevelBasic,MATCH($H1588,LevelList,0))+INDEX(LevelHousing,MATCH($H1588,LevelList,0)))*GosiSaudi,0))</f>
        <v>0</v>
      </c>
      <c r="W1588" s="35" t="n">
        <f aca="false">IFERROR(INDEX(LevelOneOff,MATCH($H1588,LevelList,0)),0)</f>
        <v>0</v>
      </c>
      <c r="X1588" s="35" t="str">
        <f aca="false">IF($G1588="","",$V1588*N($L1588))</f>
        <v/>
      </c>
      <c r="Y1588" s="35" t="str">
        <f aca="false">IF($G1588="","",$V1588*(N($M1588)*1+N($N1588)*0.75+N($O1588)*0.5+N($P1588)*0.25)+$W1588*N($L1588))</f>
        <v/>
      </c>
      <c r="Z1588" s="35" t="str">
        <f aca="false">IF($G1588="","",$U1588*1000000+ROW())</f>
        <v/>
      </c>
      <c r="AA1588" s="36" t="str">
        <f aca="false">IF($G1588="","",MID(IF($C1588="",", no division","")&amp;IF($E1588="",", no unit","")&amp;IF($H1588="",", no career level","")&amp;IF(N($L1588)&lt;=0,", no quarter split","")&amp;IF($R1588="",", no driver","")&amp;IF(AND($H1588&lt;&gt;"",COUNTIF(CareerLevels,$H1588)=0),", a career level that is not on the ladder","")&amp;IF(AND($R1588&lt;&gt;"",COUNTIF(DriverList,$R1588)=0),", a driver that is not on the list","")&amp;IF(ABS(N($L1588)-(N($M1588)+N($N1588)+N($O1588)+N($P1588)))&gt;0.001,", a total that does not match its quarters",""),3,300))</f>
        <v/>
      </c>
    </row>
    <row r="1589" customFormat="false" ht="15" hidden="false" customHeight="false" outlineLevel="0" collapsed="false">
      <c r="A1589" s="33" t="str">
        <f aca="false">IF($G1589="","","Operations Group")</f>
        <v/>
      </c>
      <c r="B1589" s="19"/>
      <c r="C1589" s="19"/>
      <c r="D1589" s="19"/>
      <c r="E1589" s="19"/>
      <c r="F1589" s="19"/>
      <c r="G1589" s="19"/>
      <c r="H1589" s="19"/>
      <c r="I1589" s="19"/>
      <c r="J1589" s="19"/>
      <c r="K1589" s="19"/>
      <c r="L1589" s="19"/>
      <c r="M1589" s="19"/>
      <c r="N1589" s="19"/>
      <c r="O1589" s="19"/>
      <c r="P1589" s="19"/>
      <c r="Q1589" s="19"/>
      <c r="R1589" s="19"/>
      <c r="S1589" s="19"/>
      <c r="T1589" s="34" t="str">
        <f aca="false">IF($R1589="","",IFERROR(INDEX(DriverCategory,MATCH($R1589,DriverList,0)),"BAU"))</f>
        <v/>
      </c>
      <c r="U1589" s="34" t="str">
        <f aca="false">IF($R1589="","",IFERROR(INDEX(DriverRank,MATCH($R1589,DriverList,0)),99))</f>
        <v/>
      </c>
      <c r="V1589" s="35" t="n">
        <f aca="false">IF($H1589="",0,IFERROR(INDEX(LevelBasic,MATCH($H1589,LevelList,0))+INDEX(LevelHousing,MATCH($H1589,LevelList,0))+INDEX(LevelTransport,MATCH($H1589,LevelList,0))+INDEX(LevelBasic,MATCH($H1589,LevelList,0))*INDEX(LevelBonus,MATCH($H1589,LevelList,0))+(INDEX(LevelBasic,MATCH($H1589,LevelList,0))+INDEX(LevelHousing,MATCH($H1589,LevelList,0)))*GosiSaudi,0))</f>
        <v>0</v>
      </c>
      <c r="W1589" s="35" t="n">
        <f aca="false">IFERROR(INDEX(LevelOneOff,MATCH($H1589,LevelList,0)),0)</f>
        <v>0</v>
      </c>
      <c r="X1589" s="35" t="str">
        <f aca="false">IF($G1589="","",$V1589*N($L1589))</f>
        <v/>
      </c>
      <c r="Y1589" s="35" t="str">
        <f aca="false">IF($G1589="","",$V1589*(N($M1589)*1+N($N1589)*0.75+N($O1589)*0.5+N($P1589)*0.25)+$W1589*N($L1589))</f>
        <v/>
      </c>
      <c r="Z1589" s="35" t="str">
        <f aca="false">IF($G1589="","",$U1589*1000000+ROW())</f>
        <v/>
      </c>
      <c r="AA1589" s="36" t="str">
        <f aca="false">IF($G1589="","",MID(IF($C1589="",", no division","")&amp;IF($E1589="",", no unit","")&amp;IF($H1589="",", no career level","")&amp;IF(N($L1589)&lt;=0,", no quarter split","")&amp;IF($R1589="",", no driver","")&amp;IF(AND($H1589&lt;&gt;"",COUNTIF(CareerLevels,$H1589)=0),", a career level that is not on the ladder","")&amp;IF(AND($R1589&lt;&gt;"",COUNTIF(DriverList,$R1589)=0),", a driver that is not on the list","")&amp;IF(ABS(N($L1589)-(N($M1589)+N($N1589)+N($O1589)+N($P1589)))&gt;0.001,", a total that does not match its quarters",""),3,300))</f>
        <v/>
      </c>
    </row>
    <row r="1590" customFormat="false" ht="15" hidden="false" customHeight="false" outlineLevel="0" collapsed="false">
      <c r="A1590" s="33" t="str">
        <f aca="false">IF($G1590="","","Operations Group")</f>
        <v/>
      </c>
      <c r="B1590" s="19"/>
      <c r="C1590" s="19"/>
      <c r="D1590" s="19"/>
      <c r="E1590" s="19"/>
      <c r="F1590" s="19"/>
      <c r="G1590" s="19"/>
      <c r="H1590" s="19"/>
      <c r="I1590" s="19"/>
      <c r="J1590" s="19"/>
      <c r="K1590" s="19"/>
      <c r="L1590" s="19"/>
      <c r="M1590" s="19"/>
      <c r="N1590" s="19"/>
      <c r="O1590" s="19"/>
      <c r="P1590" s="19"/>
      <c r="Q1590" s="19"/>
      <c r="R1590" s="19"/>
      <c r="S1590" s="19"/>
      <c r="T1590" s="34" t="str">
        <f aca="false">IF($R1590="","",IFERROR(INDEX(DriverCategory,MATCH($R1590,DriverList,0)),"BAU"))</f>
        <v/>
      </c>
      <c r="U1590" s="34" t="str">
        <f aca="false">IF($R1590="","",IFERROR(INDEX(DriverRank,MATCH($R1590,DriverList,0)),99))</f>
        <v/>
      </c>
      <c r="V1590" s="35" t="n">
        <f aca="false">IF($H1590="",0,IFERROR(INDEX(LevelBasic,MATCH($H1590,LevelList,0))+INDEX(LevelHousing,MATCH($H1590,LevelList,0))+INDEX(LevelTransport,MATCH($H1590,LevelList,0))+INDEX(LevelBasic,MATCH($H1590,LevelList,0))*INDEX(LevelBonus,MATCH($H1590,LevelList,0))+(INDEX(LevelBasic,MATCH($H1590,LevelList,0))+INDEX(LevelHousing,MATCH($H1590,LevelList,0)))*GosiSaudi,0))</f>
        <v>0</v>
      </c>
      <c r="W1590" s="35" t="n">
        <f aca="false">IFERROR(INDEX(LevelOneOff,MATCH($H1590,LevelList,0)),0)</f>
        <v>0</v>
      </c>
      <c r="X1590" s="35" t="str">
        <f aca="false">IF($G1590="","",$V1590*N($L1590))</f>
        <v/>
      </c>
      <c r="Y1590" s="35" t="str">
        <f aca="false">IF($G1590="","",$V1590*(N($M1590)*1+N($N1590)*0.75+N($O1590)*0.5+N($P1590)*0.25)+$W1590*N($L1590))</f>
        <v/>
      </c>
      <c r="Z1590" s="35" t="str">
        <f aca="false">IF($G1590="","",$U1590*1000000+ROW())</f>
        <v/>
      </c>
      <c r="AA1590" s="36" t="str">
        <f aca="false">IF($G1590="","",MID(IF($C1590="",", no division","")&amp;IF($E1590="",", no unit","")&amp;IF($H1590="",", no career level","")&amp;IF(N($L1590)&lt;=0,", no quarter split","")&amp;IF($R1590="",", no driver","")&amp;IF(AND($H1590&lt;&gt;"",COUNTIF(CareerLevels,$H1590)=0),", a career level that is not on the ladder","")&amp;IF(AND($R1590&lt;&gt;"",COUNTIF(DriverList,$R1590)=0),", a driver that is not on the list","")&amp;IF(ABS(N($L1590)-(N($M1590)+N($N1590)+N($O1590)+N($P1590)))&gt;0.001,", a total that does not match its quarters",""),3,300))</f>
        <v/>
      </c>
    </row>
    <row r="1591" customFormat="false" ht="15" hidden="false" customHeight="false" outlineLevel="0" collapsed="false">
      <c r="A1591" s="33" t="str">
        <f aca="false">IF($G1591="","","Operations Group")</f>
        <v/>
      </c>
      <c r="B1591" s="19"/>
      <c r="C1591" s="19"/>
      <c r="D1591" s="19"/>
      <c r="E1591" s="19"/>
      <c r="F1591" s="19"/>
      <c r="G1591" s="19"/>
      <c r="H1591" s="19"/>
      <c r="I1591" s="19"/>
      <c r="J1591" s="19"/>
      <c r="K1591" s="19"/>
      <c r="L1591" s="19"/>
      <c r="M1591" s="19"/>
      <c r="N1591" s="19"/>
      <c r="O1591" s="19"/>
      <c r="P1591" s="19"/>
      <c r="Q1591" s="19"/>
      <c r="R1591" s="19"/>
      <c r="S1591" s="19"/>
      <c r="T1591" s="34" t="str">
        <f aca="false">IF($R1591="","",IFERROR(INDEX(DriverCategory,MATCH($R1591,DriverList,0)),"BAU"))</f>
        <v/>
      </c>
      <c r="U1591" s="34" t="str">
        <f aca="false">IF($R1591="","",IFERROR(INDEX(DriverRank,MATCH($R1591,DriverList,0)),99))</f>
        <v/>
      </c>
      <c r="V1591" s="35" t="n">
        <f aca="false">IF($H1591="",0,IFERROR(INDEX(LevelBasic,MATCH($H1591,LevelList,0))+INDEX(LevelHousing,MATCH($H1591,LevelList,0))+INDEX(LevelTransport,MATCH($H1591,LevelList,0))+INDEX(LevelBasic,MATCH($H1591,LevelList,0))*INDEX(LevelBonus,MATCH($H1591,LevelList,0))+(INDEX(LevelBasic,MATCH($H1591,LevelList,0))+INDEX(LevelHousing,MATCH($H1591,LevelList,0)))*GosiSaudi,0))</f>
        <v>0</v>
      </c>
      <c r="W1591" s="35" t="n">
        <f aca="false">IFERROR(INDEX(LevelOneOff,MATCH($H1591,LevelList,0)),0)</f>
        <v>0</v>
      </c>
      <c r="X1591" s="35" t="str">
        <f aca="false">IF($G1591="","",$V1591*N($L1591))</f>
        <v/>
      </c>
      <c r="Y1591" s="35" t="str">
        <f aca="false">IF($G1591="","",$V1591*(N($M1591)*1+N($N1591)*0.75+N($O1591)*0.5+N($P1591)*0.25)+$W1591*N($L1591))</f>
        <v/>
      </c>
      <c r="Z1591" s="35" t="str">
        <f aca="false">IF($G1591="","",$U1591*1000000+ROW())</f>
        <v/>
      </c>
      <c r="AA1591" s="36" t="str">
        <f aca="false">IF($G1591="","",MID(IF($C1591="",", no division","")&amp;IF($E1591="",", no unit","")&amp;IF($H1591="",", no career level","")&amp;IF(N($L1591)&lt;=0,", no quarter split","")&amp;IF($R1591="",", no driver","")&amp;IF(AND($H1591&lt;&gt;"",COUNTIF(CareerLevels,$H1591)=0),", a career level that is not on the ladder","")&amp;IF(AND($R1591&lt;&gt;"",COUNTIF(DriverList,$R1591)=0),", a driver that is not on the list","")&amp;IF(ABS(N($L1591)-(N($M1591)+N($N1591)+N($O1591)+N($P1591)))&gt;0.001,", a total that does not match its quarters",""),3,300))</f>
        <v/>
      </c>
    </row>
    <row r="1592" customFormat="false" ht="15" hidden="false" customHeight="false" outlineLevel="0" collapsed="false">
      <c r="A1592" s="33" t="str">
        <f aca="false">IF($G1592="","","Operations Group")</f>
        <v/>
      </c>
      <c r="B1592" s="19"/>
      <c r="C1592" s="19"/>
      <c r="D1592" s="19"/>
      <c r="E1592" s="19"/>
      <c r="F1592" s="19"/>
      <c r="G1592" s="19"/>
      <c r="H1592" s="19"/>
      <c r="I1592" s="19"/>
      <c r="J1592" s="19"/>
      <c r="K1592" s="19"/>
      <c r="L1592" s="19"/>
      <c r="M1592" s="19"/>
      <c r="N1592" s="19"/>
      <c r="O1592" s="19"/>
      <c r="P1592" s="19"/>
      <c r="Q1592" s="19"/>
      <c r="R1592" s="19"/>
      <c r="S1592" s="19"/>
      <c r="T1592" s="34" t="str">
        <f aca="false">IF($R1592="","",IFERROR(INDEX(DriverCategory,MATCH($R1592,DriverList,0)),"BAU"))</f>
        <v/>
      </c>
      <c r="U1592" s="34" t="str">
        <f aca="false">IF($R1592="","",IFERROR(INDEX(DriverRank,MATCH($R1592,DriverList,0)),99))</f>
        <v/>
      </c>
      <c r="V1592" s="35" t="n">
        <f aca="false">IF($H1592="",0,IFERROR(INDEX(LevelBasic,MATCH($H1592,LevelList,0))+INDEX(LevelHousing,MATCH($H1592,LevelList,0))+INDEX(LevelTransport,MATCH($H1592,LevelList,0))+INDEX(LevelBasic,MATCH($H1592,LevelList,0))*INDEX(LevelBonus,MATCH($H1592,LevelList,0))+(INDEX(LevelBasic,MATCH($H1592,LevelList,0))+INDEX(LevelHousing,MATCH($H1592,LevelList,0)))*GosiSaudi,0))</f>
        <v>0</v>
      </c>
      <c r="W1592" s="35" t="n">
        <f aca="false">IFERROR(INDEX(LevelOneOff,MATCH($H1592,LevelList,0)),0)</f>
        <v>0</v>
      </c>
      <c r="X1592" s="35" t="str">
        <f aca="false">IF($G1592="","",$V1592*N($L1592))</f>
        <v/>
      </c>
      <c r="Y1592" s="35" t="str">
        <f aca="false">IF($G1592="","",$V1592*(N($M1592)*1+N($N1592)*0.75+N($O1592)*0.5+N($P1592)*0.25)+$W1592*N($L1592))</f>
        <v/>
      </c>
      <c r="Z1592" s="35" t="str">
        <f aca="false">IF($G1592="","",$U1592*1000000+ROW())</f>
        <v/>
      </c>
      <c r="AA1592" s="36" t="str">
        <f aca="false">IF($G1592="","",MID(IF($C1592="",", no division","")&amp;IF($E1592="",", no unit","")&amp;IF($H1592="",", no career level","")&amp;IF(N($L1592)&lt;=0,", no quarter split","")&amp;IF($R1592="",", no driver","")&amp;IF(AND($H1592&lt;&gt;"",COUNTIF(CareerLevels,$H1592)=0),", a career level that is not on the ladder","")&amp;IF(AND($R1592&lt;&gt;"",COUNTIF(DriverList,$R1592)=0),", a driver that is not on the list","")&amp;IF(ABS(N($L1592)-(N($M1592)+N($N1592)+N($O1592)+N($P1592)))&gt;0.001,", a total that does not match its quarters",""),3,300))</f>
        <v/>
      </c>
    </row>
    <row r="1593" customFormat="false" ht="15" hidden="false" customHeight="false" outlineLevel="0" collapsed="false">
      <c r="A1593" s="33" t="str">
        <f aca="false">IF($G1593="","","Operations Group")</f>
        <v/>
      </c>
      <c r="B1593" s="19"/>
      <c r="C1593" s="19"/>
      <c r="D1593" s="19"/>
      <c r="E1593" s="19"/>
      <c r="F1593" s="19"/>
      <c r="G1593" s="19"/>
      <c r="H1593" s="19"/>
      <c r="I1593" s="19"/>
      <c r="J1593" s="19"/>
      <c r="K1593" s="19"/>
      <c r="L1593" s="19"/>
      <c r="M1593" s="19"/>
      <c r="N1593" s="19"/>
      <c r="O1593" s="19"/>
      <c r="P1593" s="19"/>
      <c r="Q1593" s="19"/>
      <c r="R1593" s="19"/>
      <c r="S1593" s="19"/>
      <c r="T1593" s="34" t="str">
        <f aca="false">IF($R1593="","",IFERROR(INDEX(DriverCategory,MATCH($R1593,DriverList,0)),"BAU"))</f>
        <v/>
      </c>
      <c r="U1593" s="34" t="str">
        <f aca="false">IF($R1593="","",IFERROR(INDEX(DriverRank,MATCH($R1593,DriverList,0)),99))</f>
        <v/>
      </c>
      <c r="V1593" s="35" t="n">
        <f aca="false">IF($H1593="",0,IFERROR(INDEX(LevelBasic,MATCH($H1593,LevelList,0))+INDEX(LevelHousing,MATCH($H1593,LevelList,0))+INDEX(LevelTransport,MATCH($H1593,LevelList,0))+INDEX(LevelBasic,MATCH($H1593,LevelList,0))*INDEX(LevelBonus,MATCH($H1593,LevelList,0))+(INDEX(LevelBasic,MATCH($H1593,LevelList,0))+INDEX(LevelHousing,MATCH($H1593,LevelList,0)))*GosiSaudi,0))</f>
        <v>0</v>
      </c>
      <c r="W1593" s="35" t="n">
        <f aca="false">IFERROR(INDEX(LevelOneOff,MATCH($H1593,LevelList,0)),0)</f>
        <v>0</v>
      </c>
      <c r="X1593" s="35" t="str">
        <f aca="false">IF($G1593="","",$V1593*N($L1593))</f>
        <v/>
      </c>
      <c r="Y1593" s="35" t="str">
        <f aca="false">IF($G1593="","",$V1593*(N($M1593)*1+N($N1593)*0.75+N($O1593)*0.5+N($P1593)*0.25)+$W1593*N($L1593))</f>
        <v/>
      </c>
      <c r="Z1593" s="35" t="str">
        <f aca="false">IF($G1593="","",$U1593*1000000+ROW())</f>
        <v/>
      </c>
      <c r="AA1593" s="36" t="str">
        <f aca="false">IF($G1593="","",MID(IF($C1593="",", no division","")&amp;IF($E1593="",", no unit","")&amp;IF($H1593="",", no career level","")&amp;IF(N($L1593)&lt;=0,", no quarter split","")&amp;IF($R1593="",", no driver","")&amp;IF(AND($H1593&lt;&gt;"",COUNTIF(CareerLevels,$H1593)=0),", a career level that is not on the ladder","")&amp;IF(AND($R1593&lt;&gt;"",COUNTIF(DriverList,$R1593)=0),", a driver that is not on the list","")&amp;IF(ABS(N($L1593)-(N($M1593)+N($N1593)+N($O1593)+N($P1593)))&gt;0.001,", a total that does not match its quarters",""),3,300))</f>
        <v/>
      </c>
    </row>
    <row r="1594" customFormat="false" ht="15" hidden="false" customHeight="false" outlineLevel="0" collapsed="false">
      <c r="A1594" s="33" t="str">
        <f aca="false">IF($G1594="","","Operations Group")</f>
        <v/>
      </c>
      <c r="B1594" s="19"/>
      <c r="C1594" s="19"/>
      <c r="D1594" s="19"/>
      <c r="E1594" s="19"/>
      <c r="F1594" s="19"/>
      <c r="G1594" s="19"/>
      <c r="H1594" s="19"/>
      <c r="I1594" s="19"/>
      <c r="J1594" s="19"/>
      <c r="K1594" s="19"/>
      <c r="L1594" s="19"/>
      <c r="M1594" s="19"/>
      <c r="N1594" s="19"/>
      <c r="O1594" s="19"/>
      <c r="P1594" s="19"/>
      <c r="Q1594" s="19"/>
      <c r="R1594" s="19"/>
      <c r="S1594" s="19"/>
      <c r="T1594" s="34" t="str">
        <f aca="false">IF($R1594="","",IFERROR(INDEX(DriverCategory,MATCH($R1594,DriverList,0)),"BAU"))</f>
        <v/>
      </c>
      <c r="U1594" s="34" t="str">
        <f aca="false">IF($R1594="","",IFERROR(INDEX(DriverRank,MATCH($R1594,DriverList,0)),99))</f>
        <v/>
      </c>
      <c r="V1594" s="35" t="n">
        <f aca="false">IF($H1594="",0,IFERROR(INDEX(LevelBasic,MATCH($H1594,LevelList,0))+INDEX(LevelHousing,MATCH($H1594,LevelList,0))+INDEX(LevelTransport,MATCH($H1594,LevelList,0))+INDEX(LevelBasic,MATCH($H1594,LevelList,0))*INDEX(LevelBonus,MATCH($H1594,LevelList,0))+(INDEX(LevelBasic,MATCH($H1594,LevelList,0))+INDEX(LevelHousing,MATCH($H1594,LevelList,0)))*GosiSaudi,0))</f>
        <v>0</v>
      </c>
      <c r="W1594" s="35" t="n">
        <f aca="false">IFERROR(INDEX(LevelOneOff,MATCH($H1594,LevelList,0)),0)</f>
        <v>0</v>
      </c>
      <c r="X1594" s="35" t="str">
        <f aca="false">IF($G1594="","",$V1594*N($L1594))</f>
        <v/>
      </c>
      <c r="Y1594" s="35" t="str">
        <f aca="false">IF($G1594="","",$V1594*(N($M1594)*1+N($N1594)*0.75+N($O1594)*0.5+N($P1594)*0.25)+$W1594*N($L1594))</f>
        <v/>
      </c>
      <c r="Z1594" s="35" t="str">
        <f aca="false">IF($G1594="","",$U1594*1000000+ROW())</f>
        <v/>
      </c>
      <c r="AA1594" s="36" t="str">
        <f aca="false">IF($G1594="","",MID(IF($C1594="",", no division","")&amp;IF($E1594="",", no unit","")&amp;IF($H1594="",", no career level","")&amp;IF(N($L1594)&lt;=0,", no quarter split","")&amp;IF($R1594="",", no driver","")&amp;IF(AND($H1594&lt;&gt;"",COUNTIF(CareerLevels,$H1594)=0),", a career level that is not on the ladder","")&amp;IF(AND($R1594&lt;&gt;"",COUNTIF(DriverList,$R1594)=0),", a driver that is not on the list","")&amp;IF(ABS(N($L1594)-(N($M1594)+N($N1594)+N($O1594)+N($P1594)))&gt;0.001,", a total that does not match its quarters",""),3,300))</f>
        <v/>
      </c>
    </row>
    <row r="1595" customFormat="false" ht="15" hidden="false" customHeight="false" outlineLevel="0" collapsed="false">
      <c r="A1595" s="33" t="str">
        <f aca="false">IF($G1595="","","Operations Group")</f>
        <v/>
      </c>
      <c r="B1595" s="19"/>
      <c r="C1595" s="19"/>
      <c r="D1595" s="19"/>
      <c r="E1595" s="19"/>
      <c r="F1595" s="19"/>
      <c r="G1595" s="19"/>
      <c r="H1595" s="19"/>
      <c r="I1595" s="19"/>
      <c r="J1595" s="19"/>
      <c r="K1595" s="19"/>
      <c r="L1595" s="19"/>
      <c r="M1595" s="19"/>
      <c r="N1595" s="19"/>
      <c r="O1595" s="19"/>
      <c r="P1595" s="19"/>
      <c r="Q1595" s="19"/>
      <c r="R1595" s="19"/>
      <c r="S1595" s="19"/>
      <c r="T1595" s="34" t="str">
        <f aca="false">IF($R1595="","",IFERROR(INDEX(DriverCategory,MATCH($R1595,DriverList,0)),"BAU"))</f>
        <v/>
      </c>
      <c r="U1595" s="34" t="str">
        <f aca="false">IF($R1595="","",IFERROR(INDEX(DriverRank,MATCH($R1595,DriverList,0)),99))</f>
        <v/>
      </c>
      <c r="V1595" s="35" t="n">
        <f aca="false">IF($H1595="",0,IFERROR(INDEX(LevelBasic,MATCH($H1595,LevelList,0))+INDEX(LevelHousing,MATCH($H1595,LevelList,0))+INDEX(LevelTransport,MATCH($H1595,LevelList,0))+INDEX(LevelBasic,MATCH($H1595,LevelList,0))*INDEX(LevelBonus,MATCH($H1595,LevelList,0))+(INDEX(LevelBasic,MATCH($H1595,LevelList,0))+INDEX(LevelHousing,MATCH($H1595,LevelList,0)))*GosiSaudi,0))</f>
        <v>0</v>
      </c>
      <c r="W1595" s="35" t="n">
        <f aca="false">IFERROR(INDEX(LevelOneOff,MATCH($H1595,LevelList,0)),0)</f>
        <v>0</v>
      </c>
      <c r="X1595" s="35" t="str">
        <f aca="false">IF($G1595="","",$V1595*N($L1595))</f>
        <v/>
      </c>
      <c r="Y1595" s="35" t="str">
        <f aca="false">IF($G1595="","",$V1595*(N($M1595)*1+N($N1595)*0.75+N($O1595)*0.5+N($P1595)*0.25)+$W1595*N($L1595))</f>
        <v/>
      </c>
      <c r="Z1595" s="35" t="str">
        <f aca="false">IF($G1595="","",$U1595*1000000+ROW())</f>
        <v/>
      </c>
      <c r="AA1595" s="36" t="str">
        <f aca="false">IF($G1595="","",MID(IF($C1595="",", no division","")&amp;IF($E1595="",", no unit","")&amp;IF($H1595="",", no career level","")&amp;IF(N($L1595)&lt;=0,", no quarter split","")&amp;IF($R1595="",", no driver","")&amp;IF(AND($H1595&lt;&gt;"",COUNTIF(CareerLevels,$H1595)=0),", a career level that is not on the ladder","")&amp;IF(AND($R1595&lt;&gt;"",COUNTIF(DriverList,$R1595)=0),", a driver that is not on the list","")&amp;IF(ABS(N($L1595)-(N($M1595)+N($N1595)+N($O1595)+N($P1595)))&gt;0.001,", a total that does not match its quarters",""),3,300))</f>
        <v/>
      </c>
    </row>
    <row r="1596" customFormat="false" ht="15" hidden="false" customHeight="false" outlineLevel="0" collapsed="false">
      <c r="A1596" s="33" t="str">
        <f aca="false">IF($G1596="","","Operations Group")</f>
        <v/>
      </c>
      <c r="B1596" s="19"/>
      <c r="C1596" s="19"/>
      <c r="D1596" s="19"/>
      <c r="E1596" s="19"/>
      <c r="F1596" s="19"/>
      <c r="G1596" s="19"/>
      <c r="H1596" s="19"/>
      <c r="I1596" s="19"/>
      <c r="J1596" s="19"/>
      <c r="K1596" s="19"/>
      <c r="L1596" s="19"/>
      <c r="M1596" s="19"/>
      <c r="N1596" s="19"/>
      <c r="O1596" s="19"/>
      <c r="P1596" s="19"/>
      <c r="Q1596" s="19"/>
      <c r="R1596" s="19"/>
      <c r="S1596" s="19"/>
      <c r="T1596" s="34" t="str">
        <f aca="false">IF($R1596="","",IFERROR(INDEX(DriverCategory,MATCH($R1596,DriverList,0)),"BAU"))</f>
        <v/>
      </c>
      <c r="U1596" s="34" t="str">
        <f aca="false">IF($R1596="","",IFERROR(INDEX(DriverRank,MATCH($R1596,DriverList,0)),99))</f>
        <v/>
      </c>
      <c r="V1596" s="35" t="n">
        <f aca="false">IF($H1596="",0,IFERROR(INDEX(LevelBasic,MATCH($H1596,LevelList,0))+INDEX(LevelHousing,MATCH($H1596,LevelList,0))+INDEX(LevelTransport,MATCH($H1596,LevelList,0))+INDEX(LevelBasic,MATCH($H1596,LevelList,0))*INDEX(LevelBonus,MATCH($H1596,LevelList,0))+(INDEX(LevelBasic,MATCH($H1596,LevelList,0))+INDEX(LevelHousing,MATCH($H1596,LevelList,0)))*GosiSaudi,0))</f>
        <v>0</v>
      </c>
      <c r="W1596" s="35" t="n">
        <f aca="false">IFERROR(INDEX(LevelOneOff,MATCH($H1596,LevelList,0)),0)</f>
        <v>0</v>
      </c>
      <c r="X1596" s="35" t="str">
        <f aca="false">IF($G1596="","",$V1596*N($L1596))</f>
        <v/>
      </c>
      <c r="Y1596" s="35" t="str">
        <f aca="false">IF($G1596="","",$V1596*(N($M1596)*1+N($N1596)*0.75+N($O1596)*0.5+N($P1596)*0.25)+$W1596*N($L1596))</f>
        <v/>
      </c>
      <c r="Z1596" s="35" t="str">
        <f aca="false">IF($G1596="","",$U1596*1000000+ROW())</f>
        <v/>
      </c>
      <c r="AA1596" s="36" t="str">
        <f aca="false">IF($G1596="","",MID(IF($C1596="",", no division","")&amp;IF($E1596="",", no unit","")&amp;IF($H1596="",", no career level","")&amp;IF(N($L1596)&lt;=0,", no quarter split","")&amp;IF($R1596="",", no driver","")&amp;IF(AND($H1596&lt;&gt;"",COUNTIF(CareerLevels,$H1596)=0),", a career level that is not on the ladder","")&amp;IF(AND($R1596&lt;&gt;"",COUNTIF(DriverList,$R1596)=0),", a driver that is not on the list","")&amp;IF(ABS(N($L1596)-(N($M1596)+N($N1596)+N($O1596)+N($P1596)))&gt;0.001,", a total that does not match its quarters",""),3,300))</f>
        <v/>
      </c>
    </row>
    <row r="1597" customFormat="false" ht="15" hidden="false" customHeight="false" outlineLevel="0" collapsed="false">
      <c r="A1597" s="33" t="str">
        <f aca="false">IF($G1597="","","Operations Group")</f>
        <v/>
      </c>
      <c r="B1597" s="19"/>
      <c r="C1597" s="19"/>
      <c r="D1597" s="19"/>
      <c r="E1597" s="19"/>
      <c r="F1597" s="19"/>
      <c r="G1597" s="19"/>
      <c r="H1597" s="19"/>
      <c r="I1597" s="19"/>
      <c r="J1597" s="19"/>
      <c r="K1597" s="19"/>
      <c r="L1597" s="19"/>
      <c r="M1597" s="19"/>
      <c r="N1597" s="19"/>
      <c r="O1597" s="19"/>
      <c r="P1597" s="19"/>
      <c r="Q1597" s="19"/>
      <c r="R1597" s="19"/>
      <c r="S1597" s="19"/>
      <c r="T1597" s="34" t="str">
        <f aca="false">IF($R1597="","",IFERROR(INDEX(DriverCategory,MATCH($R1597,DriverList,0)),"BAU"))</f>
        <v/>
      </c>
      <c r="U1597" s="34" t="str">
        <f aca="false">IF($R1597="","",IFERROR(INDEX(DriverRank,MATCH($R1597,DriverList,0)),99))</f>
        <v/>
      </c>
      <c r="V1597" s="35" t="n">
        <f aca="false">IF($H1597="",0,IFERROR(INDEX(LevelBasic,MATCH($H1597,LevelList,0))+INDEX(LevelHousing,MATCH($H1597,LevelList,0))+INDEX(LevelTransport,MATCH($H1597,LevelList,0))+INDEX(LevelBasic,MATCH($H1597,LevelList,0))*INDEX(LevelBonus,MATCH($H1597,LevelList,0))+(INDEX(LevelBasic,MATCH($H1597,LevelList,0))+INDEX(LevelHousing,MATCH($H1597,LevelList,0)))*GosiSaudi,0))</f>
        <v>0</v>
      </c>
      <c r="W1597" s="35" t="n">
        <f aca="false">IFERROR(INDEX(LevelOneOff,MATCH($H1597,LevelList,0)),0)</f>
        <v>0</v>
      </c>
      <c r="X1597" s="35" t="str">
        <f aca="false">IF($G1597="","",$V1597*N($L1597))</f>
        <v/>
      </c>
      <c r="Y1597" s="35" t="str">
        <f aca="false">IF($G1597="","",$V1597*(N($M1597)*1+N($N1597)*0.75+N($O1597)*0.5+N($P1597)*0.25)+$W1597*N($L1597))</f>
        <v/>
      </c>
      <c r="Z1597" s="35" t="str">
        <f aca="false">IF($G1597="","",$U1597*1000000+ROW())</f>
        <v/>
      </c>
      <c r="AA1597" s="36" t="str">
        <f aca="false">IF($G1597="","",MID(IF($C1597="",", no division","")&amp;IF($E1597="",", no unit","")&amp;IF($H1597="",", no career level","")&amp;IF(N($L1597)&lt;=0,", no quarter split","")&amp;IF($R1597="",", no driver","")&amp;IF(AND($H1597&lt;&gt;"",COUNTIF(CareerLevels,$H1597)=0),", a career level that is not on the ladder","")&amp;IF(AND($R1597&lt;&gt;"",COUNTIF(DriverList,$R1597)=0),", a driver that is not on the list","")&amp;IF(ABS(N($L1597)-(N($M1597)+N($N1597)+N($O1597)+N($P1597)))&gt;0.001,", a total that does not match its quarters",""),3,300))</f>
        <v/>
      </c>
    </row>
    <row r="1598" customFormat="false" ht="15" hidden="false" customHeight="false" outlineLevel="0" collapsed="false">
      <c r="A1598" s="33" t="str">
        <f aca="false">IF($G1598="","","Operations Group")</f>
        <v/>
      </c>
      <c r="B1598" s="19"/>
      <c r="C1598" s="19"/>
      <c r="D1598" s="19"/>
      <c r="E1598" s="19"/>
      <c r="F1598" s="19"/>
      <c r="G1598" s="19"/>
      <c r="H1598" s="19"/>
      <c r="I1598" s="19"/>
      <c r="J1598" s="19"/>
      <c r="K1598" s="19"/>
      <c r="L1598" s="19"/>
      <c r="M1598" s="19"/>
      <c r="N1598" s="19"/>
      <c r="O1598" s="19"/>
      <c r="P1598" s="19"/>
      <c r="Q1598" s="19"/>
      <c r="R1598" s="19"/>
      <c r="S1598" s="19"/>
      <c r="T1598" s="34" t="str">
        <f aca="false">IF($R1598="","",IFERROR(INDEX(DriverCategory,MATCH($R1598,DriverList,0)),"BAU"))</f>
        <v/>
      </c>
      <c r="U1598" s="34" t="str">
        <f aca="false">IF($R1598="","",IFERROR(INDEX(DriverRank,MATCH($R1598,DriverList,0)),99))</f>
        <v/>
      </c>
      <c r="V1598" s="35" t="n">
        <f aca="false">IF($H1598="",0,IFERROR(INDEX(LevelBasic,MATCH($H1598,LevelList,0))+INDEX(LevelHousing,MATCH($H1598,LevelList,0))+INDEX(LevelTransport,MATCH($H1598,LevelList,0))+INDEX(LevelBasic,MATCH($H1598,LevelList,0))*INDEX(LevelBonus,MATCH($H1598,LevelList,0))+(INDEX(LevelBasic,MATCH($H1598,LevelList,0))+INDEX(LevelHousing,MATCH($H1598,LevelList,0)))*GosiSaudi,0))</f>
        <v>0</v>
      </c>
      <c r="W1598" s="35" t="n">
        <f aca="false">IFERROR(INDEX(LevelOneOff,MATCH($H1598,LevelList,0)),0)</f>
        <v>0</v>
      </c>
      <c r="X1598" s="35" t="str">
        <f aca="false">IF($G1598="","",$V1598*N($L1598))</f>
        <v/>
      </c>
      <c r="Y1598" s="35" t="str">
        <f aca="false">IF($G1598="","",$V1598*(N($M1598)*1+N($N1598)*0.75+N($O1598)*0.5+N($P1598)*0.25)+$W1598*N($L1598))</f>
        <v/>
      </c>
      <c r="Z1598" s="35" t="str">
        <f aca="false">IF($G1598="","",$U1598*1000000+ROW())</f>
        <v/>
      </c>
      <c r="AA1598" s="36" t="str">
        <f aca="false">IF($G1598="","",MID(IF($C1598="",", no division","")&amp;IF($E1598="",", no unit","")&amp;IF($H1598="",", no career level","")&amp;IF(N($L1598)&lt;=0,", no quarter split","")&amp;IF($R1598="",", no driver","")&amp;IF(AND($H1598&lt;&gt;"",COUNTIF(CareerLevels,$H1598)=0),", a career level that is not on the ladder","")&amp;IF(AND($R1598&lt;&gt;"",COUNTIF(DriverList,$R1598)=0),", a driver that is not on the list","")&amp;IF(ABS(N($L1598)-(N($M1598)+N($N1598)+N($O1598)+N($P1598)))&gt;0.001,", a total that does not match its quarters",""),3,300))</f>
        <v/>
      </c>
    </row>
    <row r="1599" customFormat="false" ht="15" hidden="false" customHeight="false" outlineLevel="0" collapsed="false">
      <c r="A1599" s="33" t="str">
        <f aca="false">IF($G1599="","","Operations Group")</f>
        <v/>
      </c>
      <c r="B1599" s="19"/>
      <c r="C1599" s="19"/>
      <c r="D1599" s="19"/>
      <c r="E1599" s="19"/>
      <c r="F1599" s="19"/>
      <c r="G1599" s="19"/>
      <c r="H1599" s="19"/>
      <c r="I1599" s="19"/>
      <c r="J1599" s="19"/>
      <c r="K1599" s="19"/>
      <c r="L1599" s="19"/>
      <c r="M1599" s="19"/>
      <c r="N1599" s="19"/>
      <c r="O1599" s="19"/>
      <c r="P1599" s="19"/>
      <c r="Q1599" s="19"/>
      <c r="R1599" s="19"/>
      <c r="S1599" s="19"/>
      <c r="T1599" s="34" t="str">
        <f aca="false">IF($R1599="","",IFERROR(INDEX(DriverCategory,MATCH($R1599,DriverList,0)),"BAU"))</f>
        <v/>
      </c>
      <c r="U1599" s="34" t="str">
        <f aca="false">IF($R1599="","",IFERROR(INDEX(DriverRank,MATCH($R1599,DriverList,0)),99))</f>
        <v/>
      </c>
      <c r="V1599" s="35" t="n">
        <f aca="false">IF($H1599="",0,IFERROR(INDEX(LevelBasic,MATCH($H1599,LevelList,0))+INDEX(LevelHousing,MATCH($H1599,LevelList,0))+INDEX(LevelTransport,MATCH($H1599,LevelList,0))+INDEX(LevelBasic,MATCH($H1599,LevelList,0))*INDEX(LevelBonus,MATCH($H1599,LevelList,0))+(INDEX(LevelBasic,MATCH($H1599,LevelList,0))+INDEX(LevelHousing,MATCH($H1599,LevelList,0)))*GosiSaudi,0))</f>
        <v>0</v>
      </c>
      <c r="W1599" s="35" t="n">
        <f aca="false">IFERROR(INDEX(LevelOneOff,MATCH($H1599,LevelList,0)),0)</f>
        <v>0</v>
      </c>
      <c r="X1599" s="35" t="str">
        <f aca="false">IF($G1599="","",$V1599*N($L1599))</f>
        <v/>
      </c>
      <c r="Y1599" s="35" t="str">
        <f aca="false">IF($G1599="","",$V1599*(N($M1599)*1+N($N1599)*0.75+N($O1599)*0.5+N($P1599)*0.25)+$W1599*N($L1599))</f>
        <v/>
      </c>
      <c r="Z1599" s="35" t="str">
        <f aca="false">IF($G1599="","",$U1599*1000000+ROW())</f>
        <v/>
      </c>
      <c r="AA1599" s="36" t="str">
        <f aca="false">IF($G1599="","",MID(IF($C1599="",", no division","")&amp;IF($E1599="",", no unit","")&amp;IF($H1599="",", no career level","")&amp;IF(N($L1599)&lt;=0,", no quarter split","")&amp;IF($R1599="",", no driver","")&amp;IF(AND($H1599&lt;&gt;"",COUNTIF(CareerLevels,$H1599)=0),", a career level that is not on the ladder","")&amp;IF(AND($R1599&lt;&gt;"",COUNTIF(DriverList,$R1599)=0),", a driver that is not on the list","")&amp;IF(ABS(N($L1599)-(N($M1599)+N($N1599)+N($O1599)+N($P1599)))&gt;0.001,", a total that does not match its quarters",""),3,300))</f>
        <v/>
      </c>
    </row>
    <row r="1600" customFormat="false" ht="15" hidden="false" customHeight="false" outlineLevel="0" collapsed="false">
      <c r="A1600" s="33" t="str">
        <f aca="false">IF($G1600="","","Operations Group")</f>
        <v/>
      </c>
      <c r="B1600" s="19"/>
      <c r="C1600" s="19"/>
      <c r="D1600" s="19"/>
      <c r="E1600" s="19"/>
      <c r="F1600" s="19"/>
      <c r="G1600" s="19"/>
      <c r="H1600" s="19"/>
      <c r="I1600" s="19"/>
      <c r="J1600" s="19"/>
      <c r="K1600" s="19"/>
      <c r="L1600" s="19"/>
      <c r="M1600" s="19"/>
      <c r="N1600" s="19"/>
      <c r="O1600" s="19"/>
      <c r="P1600" s="19"/>
      <c r="Q1600" s="19"/>
      <c r="R1600" s="19"/>
      <c r="S1600" s="19"/>
      <c r="T1600" s="34" t="str">
        <f aca="false">IF($R1600="","",IFERROR(INDEX(DriverCategory,MATCH($R1600,DriverList,0)),"BAU"))</f>
        <v/>
      </c>
      <c r="U1600" s="34" t="str">
        <f aca="false">IF($R1600="","",IFERROR(INDEX(DriverRank,MATCH($R1600,DriverList,0)),99))</f>
        <v/>
      </c>
      <c r="V1600" s="35" t="n">
        <f aca="false">IF($H1600="",0,IFERROR(INDEX(LevelBasic,MATCH($H1600,LevelList,0))+INDEX(LevelHousing,MATCH($H1600,LevelList,0))+INDEX(LevelTransport,MATCH($H1600,LevelList,0))+INDEX(LevelBasic,MATCH($H1600,LevelList,0))*INDEX(LevelBonus,MATCH($H1600,LevelList,0))+(INDEX(LevelBasic,MATCH($H1600,LevelList,0))+INDEX(LevelHousing,MATCH($H1600,LevelList,0)))*GosiSaudi,0))</f>
        <v>0</v>
      </c>
      <c r="W1600" s="35" t="n">
        <f aca="false">IFERROR(INDEX(LevelOneOff,MATCH($H1600,LevelList,0)),0)</f>
        <v>0</v>
      </c>
      <c r="X1600" s="35" t="str">
        <f aca="false">IF($G1600="","",$V1600*N($L1600))</f>
        <v/>
      </c>
      <c r="Y1600" s="35" t="str">
        <f aca="false">IF($G1600="","",$V1600*(N($M1600)*1+N($N1600)*0.75+N($O1600)*0.5+N($P1600)*0.25)+$W1600*N($L1600))</f>
        <v/>
      </c>
      <c r="Z1600" s="35" t="str">
        <f aca="false">IF($G1600="","",$U1600*1000000+ROW())</f>
        <v/>
      </c>
      <c r="AA1600" s="36" t="str">
        <f aca="false">IF($G1600="","",MID(IF($C1600="",", no division","")&amp;IF($E1600="",", no unit","")&amp;IF($H1600="",", no career level","")&amp;IF(N($L1600)&lt;=0,", no quarter split","")&amp;IF($R1600="",", no driver","")&amp;IF(AND($H1600&lt;&gt;"",COUNTIF(CareerLevels,$H1600)=0),", a career level that is not on the ladder","")&amp;IF(AND($R1600&lt;&gt;"",COUNTIF(DriverList,$R1600)=0),", a driver that is not on the list","")&amp;IF(ABS(N($L1600)-(N($M1600)+N($N1600)+N($O1600)+N($P1600)))&gt;0.001,", a total that does not match its quarters",""),3,300))</f>
        <v/>
      </c>
    </row>
    <row r="1601" customFormat="false" ht="15" hidden="false" customHeight="false" outlineLevel="0" collapsed="false">
      <c r="A1601" s="33" t="str">
        <f aca="false">IF($G1601="","","Operations Group")</f>
        <v/>
      </c>
      <c r="B1601" s="19"/>
      <c r="C1601" s="19"/>
      <c r="D1601" s="19"/>
      <c r="E1601" s="19"/>
      <c r="F1601" s="19"/>
      <c r="G1601" s="19"/>
      <c r="H1601" s="19"/>
      <c r="I1601" s="19"/>
      <c r="J1601" s="19"/>
      <c r="K1601" s="19"/>
      <c r="L1601" s="19"/>
      <c r="M1601" s="19"/>
      <c r="N1601" s="19"/>
      <c r="O1601" s="19"/>
      <c r="P1601" s="19"/>
      <c r="Q1601" s="19"/>
      <c r="R1601" s="19"/>
      <c r="S1601" s="19"/>
      <c r="T1601" s="34" t="str">
        <f aca="false">IF($R1601="","",IFERROR(INDEX(DriverCategory,MATCH($R1601,DriverList,0)),"BAU"))</f>
        <v/>
      </c>
      <c r="U1601" s="34" t="str">
        <f aca="false">IF($R1601="","",IFERROR(INDEX(DriverRank,MATCH($R1601,DriverList,0)),99))</f>
        <v/>
      </c>
      <c r="V1601" s="35" t="n">
        <f aca="false">IF($H1601="",0,IFERROR(INDEX(LevelBasic,MATCH($H1601,LevelList,0))+INDEX(LevelHousing,MATCH($H1601,LevelList,0))+INDEX(LevelTransport,MATCH($H1601,LevelList,0))+INDEX(LevelBasic,MATCH($H1601,LevelList,0))*INDEX(LevelBonus,MATCH($H1601,LevelList,0))+(INDEX(LevelBasic,MATCH($H1601,LevelList,0))+INDEX(LevelHousing,MATCH($H1601,LevelList,0)))*GosiSaudi,0))</f>
        <v>0</v>
      </c>
      <c r="W1601" s="35" t="n">
        <f aca="false">IFERROR(INDEX(LevelOneOff,MATCH($H1601,LevelList,0)),0)</f>
        <v>0</v>
      </c>
      <c r="X1601" s="35" t="str">
        <f aca="false">IF($G1601="","",$V1601*N($L1601))</f>
        <v/>
      </c>
      <c r="Y1601" s="35" t="str">
        <f aca="false">IF($G1601="","",$V1601*(N($M1601)*1+N($N1601)*0.75+N($O1601)*0.5+N($P1601)*0.25)+$W1601*N($L1601))</f>
        <v/>
      </c>
      <c r="Z1601" s="35" t="str">
        <f aca="false">IF($G1601="","",$U1601*1000000+ROW())</f>
        <v/>
      </c>
      <c r="AA1601" s="36" t="str">
        <f aca="false">IF($G1601="","",MID(IF($C1601="",", no division","")&amp;IF($E1601="",", no unit","")&amp;IF($H1601="",", no career level","")&amp;IF(N($L1601)&lt;=0,", no quarter split","")&amp;IF($R1601="",", no driver","")&amp;IF(AND($H1601&lt;&gt;"",COUNTIF(CareerLevels,$H1601)=0),", a career level that is not on the ladder","")&amp;IF(AND($R1601&lt;&gt;"",COUNTIF(DriverList,$R1601)=0),", a driver that is not on the list","")&amp;IF(ABS(N($L1601)-(N($M1601)+N($N1601)+N($O1601)+N($P1601)))&gt;0.001,", a total that does not match its quarters",""),3,300))</f>
        <v/>
      </c>
    </row>
    <row r="1602" customFormat="false" ht="15" hidden="false" customHeight="false" outlineLevel="0" collapsed="false">
      <c r="A1602" s="33" t="str">
        <f aca="false">IF($G1602="","","Operations Group")</f>
        <v/>
      </c>
      <c r="B1602" s="19"/>
      <c r="C1602" s="19"/>
      <c r="D1602" s="19"/>
      <c r="E1602" s="19"/>
      <c r="F1602" s="19"/>
      <c r="G1602" s="19"/>
      <c r="H1602" s="19"/>
      <c r="I1602" s="19"/>
      <c r="J1602" s="19"/>
      <c r="K1602" s="19"/>
      <c r="L1602" s="19"/>
      <c r="M1602" s="19"/>
      <c r="N1602" s="19"/>
      <c r="O1602" s="19"/>
      <c r="P1602" s="19"/>
      <c r="Q1602" s="19"/>
      <c r="R1602" s="19"/>
      <c r="S1602" s="19"/>
      <c r="T1602" s="34" t="str">
        <f aca="false">IF($R1602="","",IFERROR(INDEX(DriverCategory,MATCH($R1602,DriverList,0)),"BAU"))</f>
        <v/>
      </c>
      <c r="U1602" s="34" t="str">
        <f aca="false">IF($R1602="","",IFERROR(INDEX(DriverRank,MATCH($R1602,DriverList,0)),99))</f>
        <v/>
      </c>
      <c r="V1602" s="35" t="n">
        <f aca="false">IF($H1602="",0,IFERROR(INDEX(LevelBasic,MATCH($H1602,LevelList,0))+INDEX(LevelHousing,MATCH($H1602,LevelList,0))+INDEX(LevelTransport,MATCH($H1602,LevelList,0))+INDEX(LevelBasic,MATCH($H1602,LevelList,0))*INDEX(LevelBonus,MATCH($H1602,LevelList,0))+(INDEX(LevelBasic,MATCH($H1602,LevelList,0))+INDEX(LevelHousing,MATCH($H1602,LevelList,0)))*GosiSaudi,0))</f>
        <v>0</v>
      </c>
      <c r="W1602" s="35" t="n">
        <f aca="false">IFERROR(INDEX(LevelOneOff,MATCH($H1602,LevelList,0)),0)</f>
        <v>0</v>
      </c>
      <c r="X1602" s="35" t="str">
        <f aca="false">IF($G1602="","",$V1602*N($L1602))</f>
        <v/>
      </c>
      <c r="Y1602" s="35" t="str">
        <f aca="false">IF($G1602="","",$V1602*(N($M1602)*1+N($N1602)*0.75+N($O1602)*0.5+N($P1602)*0.25)+$W1602*N($L1602))</f>
        <v/>
      </c>
      <c r="Z1602" s="35" t="str">
        <f aca="false">IF($G1602="","",$U1602*1000000+ROW())</f>
        <v/>
      </c>
      <c r="AA1602" s="36" t="str">
        <f aca="false">IF($G1602="","",MID(IF($C1602="",", no division","")&amp;IF($E1602="",", no unit","")&amp;IF($H1602="",", no career level","")&amp;IF(N($L1602)&lt;=0,", no quarter split","")&amp;IF($R1602="",", no driver","")&amp;IF(AND($H1602&lt;&gt;"",COUNTIF(CareerLevels,$H1602)=0),", a career level that is not on the ladder","")&amp;IF(AND($R1602&lt;&gt;"",COUNTIF(DriverList,$R1602)=0),", a driver that is not on the list","")&amp;IF(ABS(N($L1602)-(N($M1602)+N($N1602)+N($O1602)+N($P1602)))&gt;0.001,", a total that does not match its quarters",""),3,300))</f>
        <v/>
      </c>
    </row>
    <row r="1603" customFormat="false" ht="15" hidden="false" customHeight="false" outlineLevel="0" collapsed="false">
      <c r="A1603" s="33" t="str">
        <f aca="false">IF($G1603="","","Operations Group")</f>
        <v/>
      </c>
      <c r="B1603" s="19"/>
      <c r="C1603" s="19"/>
      <c r="D1603" s="19"/>
      <c r="E1603" s="19"/>
      <c r="F1603" s="19"/>
      <c r="G1603" s="19"/>
      <c r="H1603" s="19"/>
      <c r="I1603" s="19"/>
      <c r="J1603" s="19"/>
      <c r="K1603" s="19"/>
      <c r="L1603" s="19"/>
      <c r="M1603" s="19"/>
      <c r="N1603" s="19"/>
      <c r="O1603" s="19"/>
      <c r="P1603" s="19"/>
      <c r="Q1603" s="19"/>
      <c r="R1603" s="19"/>
      <c r="S1603" s="19"/>
      <c r="T1603" s="34" t="str">
        <f aca="false">IF($R1603="","",IFERROR(INDEX(DriverCategory,MATCH($R1603,DriverList,0)),"BAU"))</f>
        <v/>
      </c>
      <c r="U1603" s="34" t="str">
        <f aca="false">IF($R1603="","",IFERROR(INDEX(DriverRank,MATCH($R1603,DriverList,0)),99))</f>
        <v/>
      </c>
      <c r="V1603" s="35" t="n">
        <f aca="false">IF($H1603="",0,IFERROR(INDEX(LevelBasic,MATCH($H1603,LevelList,0))+INDEX(LevelHousing,MATCH($H1603,LevelList,0))+INDEX(LevelTransport,MATCH($H1603,LevelList,0))+INDEX(LevelBasic,MATCH($H1603,LevelList,0))*INDEX(LevelBonus,MATCH($H1603,LevelList,0))+(INDEX(LevelBasic,MATCH($H1603,LevelList,0))+INDEX(LevelHousing,MATCH($H1603,LevelList,0)))*GosiSaudi,0))</f>
        <v>0</v>
      </c>
      <c r="W1603" s="35" t="n">
        <f aca="false">IFERROR(INDEX(LevelOneOff,MATCH($H1603,LevelList,0)),0)</f>
        <v>0</v>
      </c>
      <c r="X1603" s="35" t="str">
        <f aca="false">IF($G1603="","",$V1603*N($L1603))</f>
        <v/>
      </c>
      <c r="Y1603" s="35" t="str">
        <f aca="false">IF($G1603="","",$V1603*(N($M1603)*1+N($N1603)*0.75+N($O1603)*0.5+N($P1603)*0.25)+$W1603*N($L1603))</f>
        <v/>
      </c>
      <c r="Z1603" s="35" t="str">
        <f aca="false">IF($G1603="","",$U1603*1000000+ROW())</f>
        <v/>
      </c>
      <c r="AA1603" s="36" t="str">
        <f aca="false">IF($G1603="","",MID(IF($C1603="",", no division","")&amp;IF($E1603="",", no unit","")&amp;IF($H1603="",", no career level","")&amp;IF(N($L1603)&lt;=0,", no quarter split","")&amp;IF($R1603="",", no driver","")&amp;IF(AND($H1603&lt;&gt;"",COUNTIF(CareerLevels,$H1603)=0),", a career level that is not on the ladder","")&amp;IF(AND($R1603&lt;&gt;"",COUNTIF(DriverList,$R1603)=0),", a driver that is not on the list","")&amp;IF(ABS(N($L1603)-(N($M1603)+N($N1603)+N($O1603)+N($P1603)))&gt;0.001,", a total that does not match its quarters",""),3,300))</f>
        <v/>
      </c>
    </row>
    <row r="1604" customFormat="false" ht="15" hidden="false" customHeight="false" outlineLevel="0" collapsed="false">
      <c r="A1604" s="33" t="str">
        <f aca="false">IF($G1604="","","Operations Group")</f>
        <v/>
      </c>
      <c r="B1604" s="19"/>
      <c r="C1604" s="19"/>
      <c r="D1604" s="19"/>
      <c r="E1604" s="19"/>
      <c r="F1604" s="19"/>
      <c r="G1604" s="19"/>
      <c r="H1604" s="19"/>
      <c r="I1604" s="19"/>
      <c r="J1604" s="19"/>
      <c r="K1604" s="19"/>
      <c r="L1604" s="19"/>
      <c r="M1604" s="19"/>
      <c r="N1604" s="19"/>
      <c r="O1604" s="19"/>
      <c r="P1604" s="19"/>
      <c r="Q1604" s="19"/>
      <c r="R1604" s="19"/>
      <c r="S1604" s="19"/>
      <c r="T1604" s="34" t="str">
        <f aca="false">IF($R1604="","",IFERROR(INDEX(DriverCategory,MATCH($R1604,DriverList,0)),"BAU"))</f>
        <v/>
      </c>
      <c r="U1604" s="34" t="str">
        <f aca="false">IF($R1604="","",IFERROR(INDEX(DriverRank,MATCH($R1604,DriverList,0)),99))</f>
        <v/>
      </c>
      <c r="V1604" s="35" t="n">
        <f aca="false">IF($H1604="",0,IFERROR(INDEX(LevelBasic,MATCH($H1604,LevelList,0))+INDEX(LevelHousing,MATCH($H1604,LevelList,0))+INDEX(LevelTransport,MATCH($H1604,LevelList,0))+INDEX(LevelBasic,MATCH($H1604,LevelList,0))*INDEX(LevelBonus,MATCH($H1604,LevelList,0))+(INDEX(LevelBasic,MATCH($H1604,LevelList,0))+INDEX(LevelHousing,MATCH($H1604,LevelList,0)))*GosiSaudi,0))</f>
        <v>0</v>
      </c>
      <c r="W1604" s="35" t="n">
        <f aca="false">IFERROR(INDEX(LevelOneOff,MATCH($H1604,LevelList,0)),0)</f>
        <v>0</v>
      </c>
      <c r="X1604" s="35" t="str">
        <f aca="false">IF($G1604="","",$V1604*N($L1604))</f>
        <v/>
      </c>
      <c r="Y1604" s="35" t="str">
        <f aca="false">IF($G1604="","",$V1604*(N($M1604)*1+N($N1604)*0.75+N($O1604)*0.5+N($P1604)*0.25)+$W1604*N($L1604))</f>
        <v/>
      </c>
      <c r="Z1604" s="35" t="str">
        <f aca="false">IF($G1604="","",$U1604*1000000+ROW())</f>
        <v/>
      </c>
      <c r="AA1604" s="36" t="str">
        <f aca="false">IF($G1604="","",MID(IF($C1604="",", no division","")&amp;IF($E1604="",", no unit","")&amp;IF($H1604="",", no career level","")&amp;IF(N($L1604)&lt;=0,", no quarter split","")&amp;IF($R1604="",", no driver","")&amp;IF(AND($H1604&lt;&gt;"",COUNTIF(CareerLevels,$H1604)=0),", a career level that is not on the ladder","")&amp;IF(AND($R1604&lt;&gt;"",COUNTIF(DriverList,$R1604)=0),", a driver that is not on the list","")&amp;IF(ABS(N($L1604)-(N($M1604)+N($N1604)+N($O1604)+N($P1604)))&gt;0.001,", a total that does not match its quarters",""),3,300))</f>
        <v/>
      </c>
    </row>
    <row r="1605" customFormat="false" ht="15" hidden="false" customHeight="false" outlineLevel="0" collapsed="false">
      <c r="A1605" s="33" t="str">
        <f aca="false">IF($G1605="","","Operations Group")</f>
        <v/>
      </c>
      <c r="B1605" s="19"/>
      <c r="C1605" s="19"/>
      <c r="D1605" s="19"/>
      <c r="E1605" s="19"/>
      <c r="F1605" s="19"/>
      <c r="G1605" s="19"/>
      <c r="H1605" s="19"/>
      <c r="I1605" s="19"/>
      <c r="J1605" s="19"/>
      <c r="K1605" s="19"/>
      <c r="L1605" s="19"/>
      <c r="M1605" s="19"/>
      <c r="N1605" s="19"/>
      <c r="O1605" s="19"/>
      <c r="P1605" s="19"/>
      <c r="Q1605" s="19"/>
      <c r="R1605" s="19"/>
      <c r="S1605" s="19"/>
      <c r="T1605" s="34" t="str">
        <f aca="false">IF($R1605="","",IFERROR(INDEX(DriverCategory,MATCH($R1605,DriverList,0)),"BAU"))</f>
        <v/>
      </c>
      <c r="U1605" s="34" t="str">
        <f aca="false">IF($R1605="","",IFERROR(INDEX(DriverRank,MATCH($R1605,DriverList,0)),99))</f>
        <v/>
      </c>
      <c r="V1605" s="35" t="n">
        <f aca="false">IF($H1605="",0,IFERROR(INDEX(LevelBasic,MATCH($H1605,LevelList,0))+INDEX(LevelHousing,MATCH($H1605,LevelList,0))+INDEX(LevelTransport,MATCH($H1605,LevelList,0))+INDEX(LevelBasic,MATCH($H1605,LevelList,0))*INDEX(LevelBonus,MATCH($H1605,LevelList,0))+(INDEX(LevelBasic,MATCH($H1605,LevelList,0))+INDEX(LevelHousing,MATCH($H1605,LevelList,0)))*GosiSaudi,0))</f>
        <v>0</v>
      </c>
      <c r="W1605" s="35" t="n">
        <f aca="false">IFERROR(INDEX(LevelOneOff,MATCH($H1605,LevelList,0)),0)</f>
        <v>0</v>
      </c>
      <c r="X1605" s="35" t="str">
        <f aca="false">IF($G1605="","",$V1605*N($L1605))</f>
        <v/>
      </c>
      <c r="Y1605" s="35" t="str">
        <f aca="false">IF($G1605="","",$V1605*(N($M1605)*1+N($N1605)*0.75+N($O1605)*0.5+N($P1605)*0.25)+$W1605*N($L1605))</f>
        <v/>
      </c>
      <c r="Z1605" s="35" t="str">
        <f aca="false">IF($G1605="","",$U1605*1000000+ROW())</f>
        <v/>
      </c>
      <c r="AA1605" s="36" t="str">
        <f aca="false">IF($G1605="","",MID(IF($C1605="",", no division","")&amp;IF($E1605="",", no unit","")&amp;IF($H1605="",", no career level","")&amp;IF(N($L1605)&lt;=0,", no quarter split","")&amp;IF($R1605="",", no driver","")&amp;IF(AND($H1605&lt;&gt;"",COUNTIF(CareerLevels,$H1605)=0),", a career level that is not on the ladder","")&amp;IF(AND($R1605&lt;&gt;"",COUNTIF(DriverList,$R1605)=0),", a driver that is not on the list","")&amp;IF(ABS(N($L1605)-(N($M1605)+N($N1605)+N($O1605)+N($P1605)))&gt;0.001,", a total that does not match its quarters",""),3,300))</f>
        <v/>
      </c>
    </row>
    <row r="1606" customFormat="false" ht="15" hidden="false" customHeight="false" outlineLevel="0" collapsed="false">
      <c r="A1606" s="28" t="str">
        <f aca="false">IF($G1606="","","Retail Banking Group")</f>
        <v/>
      </c>
      <c r="B1606" s="29"/>
      <c r="C1606" s="29"/>
      <c r="D1606" s="29"/>
      <c r="E1606" s="29"/>
      <c r="F1606" s="29"/>
      <c r="G1606" s="29"/>
      <c r="H1606" s="29"/>
      <c r="I1606" s="29"/>
      <c r="J1606" s="29"/>
      <c r="K1606" s="29"/>
      <c r="L1606" s="29"/>
      <c r="M1606" s="29"/>
      <c r="N1606" s="29"/>
      <c r="O1606" s="29"/>
      <c r="P1606" s="29"/>
      <c r="Q1606" s="29"/>
      <c r="R1606" s="29"/>
      <c r="S1606" s="29"/>
      <c r="T1606" s="30" t="str">
        <f aca="false">IF($R1606="","",IFERROR(INDEX(DriverCategory,MATCH($R1606,DriverList,0)),"BAU"))</f>
        <v/>
      </c>
      <c r="U1606" s="30" t="str">
        <f aca="false">IF($R1606="","",IFERROR(INDEX(DriverRank,MATCH($R1606,DriverList,0)),99))</f>
        <v/>
      </c>
      <c r="V1606" s="31" t="n">
        <f aca="false">IF($H1606="",0,IFERROR(INDEX(LevelBasic,MATCH($H1606,LevelList,0))+INDEX(LevelHousing,MATCH($H1606,LevelList,0))+INDEX(LevelTransport,MATCH($H1606,LevelList,0))+INDEX(LevelBasic,MATCH($H1606,LevelList,0))*INDEX(LevelBonus,MATCH($H1606,LevelList,0))+(INDEX(LevelBasic,MATCH($H1606,LevelList,0))+INDEX(LevelHousing,MATCH($H1606,LevelList,0)))*GosiSaudi,0))</f>
        <v>0</v>
      </c>
      <c r="W1606" s="31" t="n">
        <f aca="false">IFERROR(INDEX(LevelOneOff,MATCH($H1606,LevelList,0)),0)</f>
        <v>0</v>
      </c>
      <c r="X1606" s="31" t="str">
        <f aca="false">IF($G1606="","",$V1606*N($L1606))</f>
        <v/>
      </c>
      <c r="Y1606" s="31" t="str">
        <f aca="false">IF($G1606="","",$V1606*(N($M1606)*1+N($N1606)*0.75+N($O1606)*0.5+N($P1606)*0.25)+$W1606*N($L1606))</f>
        <v/>
      </c>
      <c r="Z1606" s="31" t="str">
        <f aca="false">IF($G1606="","",$U1606*1000000+ROW())</f>
        <v/>
      </c>
      <c r="AA1606" s="32" t="str">
        <f aca="false">IF($G1606="","",MID(IF($C1606="",", no division","")&amp;IF($E1606="",", no unit","")&amp;IF($H1606="",", no career level","")&amp;IF(N($L1606)&lt;=0,", no quarter split","")&amp;IF($R1606="",", no driver","")&amp;IF(AND($H1606&lt;&gt;"",COUNTIF(CareerLevels,$H1606)=0),", a career level that is not on the ladder","")&amp;IF(AND($R1606&lt;&gt;"",COUNTIF(DriverList,$R1606)=0),", a driver that is not on the list","")&amp;IF(ABS(N($L1606)-(N($M1606)+N($N1606)+N($O1606)+N($P1606)))&gt;0.001,", a total that does not match its quarters",""),3,300))</f>
        <v/>
      </c>
    </row>
    <row r="1607" customFormat="false" ht="15" hidden="false" customHeight="false" outlineLevel="0" collapsed="false">
      <c r="A1607" s="33" t="str">
        <f aca="false">IF($G1607="","","Retail Banking Group")</f>
        <v/>
      </c>
      <c r="B1607" s="19"/>
      <c r="C1607" s="19"/>
      <c r="D1607" s="19"/>
      <c r="E1607" s="19"/>
      <c r="F1607" s="19"/>
      <c r="G1607" s="19"/>
      <c r="H1607" s="19"/>
      <c r="I1607" s="19"/>
      <c r="J1607" s="19"/>
      <c r="K1607" s="19"/>
      <c r="L1607" s="19"/>
      <c r="M1607" s="19"/>
      <c r="N1607" s="19"/>
      <c r="O1607" s="19"/>
      <c r="P1607" s="19"/>
      <c r="Q1607" s="19"/>
      <c r="R1607" s="19"/>
      <c r="S1607" s="19"/>
      <c r="T1607" s="34" t="str">
        <f aca="false">IF($R1607="","",IFERROR(INDEX(DriverCategory,MATCH($R1607,DriverList,0)),"BAU"))</f>
        <v/>
      </c>
      <c r="U1607" s="34" t="str">
        <f aca="false">IF($R1607="","",IFERROR(INDEX(DriverRank,MATCH($R1607,DriverList,0)),99))</f>
        <v/>
      </c>
      <c r="V1607" s="35" t="n">
        <f aca="false">IF($H1607="",0,IFERROR(INDEX(LevelBasic,MATCH($H1607,LevelList,0))+INDEX(LevelHousing,MATCH($H1607,LevelList,0))+INDEX(LevelTransport,MATCH($H1607,LevelList,0))+INDEX(LevelBasic,MATCH($H1607,LevelList,0))*INDEX(LevelBonus,MATCH($H1607,LevelList,0))+(INDEX(LevelBasic,MATCH($H1607,LevelList,0))+INDEX(LevelHousing,MATCH($H1607,LevelList,0)))*GosiSaudi,0))</f>
        <v>0</v>
      </c>
      <c r="W1607" s="35" t="n">
        <f aca="false">IFERROR(INDEX(LevelOneOff,MATCH($H1607,LevelList,0)),0)</f>
        <v>0</v>
      </c>
      <c r="X1607" s="35" t="str">
        <f aca="false">IF($G1607="","",$V1607*N($L1607))</f>
        <v/>
      </c>
      <c r="Y1607" s="35" t="str">
        <f aca="false">IF($G1607="","",$V1607*(N($M1607)*1+N($N1607)*0.75+N($O1607)*0.5+N($P1607)*0.25)+$W1607*N($L1607))</f>
        <v/>
      </c>
      <c r="Z1607" s="35" t="str">
        <f aca="false">IF($G1607="","",$U1607*1000000+ROW())</f>
        <v/>
      </c>
      <c r="AA1607" s="36" t="str">
        <f aca="false">IF($G1607="","",MID(IF($C1607="",", no division","")&amp;IF($E1607="",", no unit","")&amp;IF($H1607="",", no career level","")&amp;IF(N($L1607)&lt;=0,", no quarter split","")&amp;IF($R1607="",", no driver","")&amp;IF(AND($H1607&lt;&gt;"",COUNTIF(CareerLevels,$H1607)=0),", a career level that is not on the ladder","")&amp;IF(AND($R1607&lt;&gt;"",COUNTIF(DriverList,$R1607)=0),", a driver that is not on the list","")&amp;IF(ABS(N($L1607)-(N($M1607)+N($N1607)+N($O1607)+N($P1607)))&gt;0.001,", a total that does not match its quarters",""),3,300))</f>
        <v/>
      </c>
    </row>
    <row r="1608" customFormat="false" ht="15" hidden="false" customHeight="false" outlineLevel="0" collapsed="false">
      <c r="A1608" s="33" t="str">
        <f aca="false">IF($G1608="","","Retail Banking Group")</f>
        <v/>
      </c>
      <c r="B1608" s="19"/>
      <c r="C1608" s="19"/>
      <c r="D1608" s="19"/>
      <c r="E1608" s="19"/>
      <c r="F1608" s="19"/>
      <c r="G1608" s="19"/>
      <c r="H1608" s="19"/>
      <c r="I1608" s="19"/>
      <c r="J1608" s="19"/>
      <c r="K1608" s="19"/>
      <c r="L1608" s="19"/>
      <c r="M1608" s="19"/>
      <c r="N1608" s="19"/>
      <c r="O1608" s="19"/>
      <c r="P1608" s="19"/>
      <c r="Q1608" s="19"/>
      <c r="R1608" s="19"/>
      <c r="S1608" s="19"/>
      <c r="T1608" s="34" t="str">
        <f aca="false">IF($R1608="","",IFERROR(INDEX(DriverCategory,MATCH($R1608,DriverList,0)),"BAU"))</f>
        <v/>
      </c>
      <c r="U1608" s="34" t="str">
        <f aca="false">IF($R1608="","",IFERROR(INDEX(DriverRank,MATCH($R1608,DriverList,0)),99))</f>
        <v/>
      </c>
      <c r="V1608" s="35" t="n">
        <f aca="false">IF($H1608="",0,IFERROR(INDEX(LevelBasic,MATCH($H1608,LevelList,0))+INDEX(LevelHousing,MATCH($H1608,LevelList,0))+INDEX(LevelTransport,MATCH($H1608,LevelList,0))+INDEX(LevelBasic,MATCH($H1608,LevelList,0))*INDEX(LevelBonus,MATCH($H1608,LevelList,0))+(INDEX(LevelBasic,MATCH($H1608,LevelList,0))+INDEX(LevelHousing,MATCH($H1608,LevelList,0)))*GosiSaudi,0))</f>
        <v>0</v>
      </c>
      <c r="W1608" s="35" t="n">
        <f aca="false">IFERROR(INDEX(LevelOneOff,MATCH($H1608,LevelList,0)),0)</f>
        <v>0</v>
      </c>
      <c r="X1608" s="35" t="str">
        <f aca="false">IF($G1608="","",$V1608*N($L1608))</f>
        <v/>
      </c>
      <c r="Y1608" s="35" t="str">
        <f aca="false">IF($G1608="","",$V1608*(N($M1608)*1+N($N1608)*0.75+N($O1608)*0.5+N($P1608)*0.25)+$W1608*N($L1608))</f>
        <v/>
      </c>
      <c r="Z1608" s="35" t="str">
        <f aca="false">IF($G1608="","",$U1608*1000000+ROW())</f>
        <v/>
      </c>
      <c r="AA1608" s="36" t="str">
        <f aca="false">IF($G1608="","",MID(IF($C1608="",", no division","")&amp;IF($E1608="",", no unit","")&amp;IF($H1608="",", no career level","")&amp;IF(N($L1608)&lt;=0,", no quarter split","")&amp;IF($R1608="",", no driver","")&amp;IF(AND($H1608&lt;&gt;"",COUNTIF(CareerLevels,$H1608)=0),", a career level that is not on the ladder","")&amp;IF(AND($R1608&lt;&gt;"",COUNTIF(DriverList,$R1608)=0),", a driver that is not on the list","")&amp;IF(ABS(N($L1608)-(N($M1608)+N($N1608)+N($O1608)+N($P1608)))&gt;0.001,", a total that does not match its quarters",""),3,300))</f>
        <v/>
      </c>
    </row>
    <row r="1609" customFormat="false" ht="15" hidden="false" customHeight="false" outlineLevel="0" collapsed="false">
      <c r="A1609" s="33" t="str">
        <f aca="false">IF($G1609="","","Retail Banking Group")</f>
        <v/>
      </c>
      <c r="B1609" s="19"/>
      <c r="C1609" s="19"/>
      <c r="D1609" s="19"/>
      <c r="E1609" s="19"/>
      <c r="F1609" s="19"/>
      <c r="G1609" s="19"/>
      <c r="H1609" s="19"/>
      <c r="I1609" s="19"/>
      <c r="J1609" s="19"/>
      <c r="K1609" s="19"/>
      <c r="L1609" s="19"/>
      <c r="M1609" s="19"/>
      <c r="N1609" s="19"/>
      <c r="O1609" s="19"/>
      <c r="P1609" s="19"/>
      <c r="Q1609" s="19"/>
      <c r="R1609" s="19"/>
      <c r="S1609" s="19"/>
      <c r="T1609" s="34" t="str">
        <f aca="false">IF($R1609="","",IFERROR(INDEX(DriverCategory,MATCH($R1609,DriverList,0)),"BAU"))</f>
        <v/>
      </c>
      <c r="U1609" s="34" t="str">
        <f aca="false">IF($R1609="","",IFERROR(INDEX(DriverRank,MATCH($R1609,DriverList,0)),99))</f>
        <v/>
      </c>
      <c r="V1609" s="35" t="n">
        <f aca="false">IF($H1609="",0,IFERROR(INDEX(LevelBasic,MATCH($H1609,LevelList,0))+INDEX(LevelHousing,MATCH($H1609,LevelList,0))+INDEX(LevelTransport,MATCH($H1609,LevelList,0))+INDEX(LevelBasic,MATCH($H1609,LevelList,0))*INDEX(LevelBonus,MATCH($H1609,LevelList,0))+(INDEX(LevelBasic,MATCH($H1609,LevelList,0))+INDEX(LevelHousing,MATCH($H1609,LevelList,0)))*GosiSaudi,0))</f>
        <v>0</v>
      </c>
      <c r="W1609" s="35" t="n">
        <f aca="false">IFERROR(INDEX(LevelOneOff,MATCH($H1609,LevelList,0)),0)</f>
        <v>0</v>
      </c>
      <c r="X1609" s="35" t="str">
        <f aca="false">IF($G1609="","",$V1609*N($L1609))</f>
        <v/>
      </c>
      <c r="Y1609" s="35" t="str">
        <f aca="false">IF($G1609="","",$V1609*(N($M1609)*1+N($N1609)*0.75+N($O1609)*0.5+N($P1609)*0.25)+$W1609*N($L1609))</f>
        <v/>
      </c>
      <c r="Z1609" s="35" t="str">
        <f aca="false">IF($G1609="","",$U1609*1000000+ROW())</f>
        <v/>
      </c>
      <c r="AA1609" s="36" t="str">
        <f aca="false">IF($G1609="","",MID(IF($C1609="",", no division","")&amp;IF($E1609="",", no unit","")&amp;IF($H1609="",", no career level","")&amp;IF(N($L1609)&lt;=0,", no quarter split","")&amp;IF($R1609="",", no driver","")&amp;IF(AND($H1609&lt;&gt;"",COUNTIF(CareerLevels,$H1609)=0),", a career level that is not on the ladder","")&amp;IF(AND($R1609&lt;&gt;"",COUNTIF(DriverList,$R1609)=0),", a driver that is not on the list","")&amp;IF(ABS(N($L1609)-(N($M1609)+N($N1609)+N($O1609)+N($P1609)))&gt;0.001,", a total that does not match its quarters",""),3,300))</f>
        <v/>
      </c>
    </row>
    <row r="1610" customFormat="false" ht="15" hidden="false" customHeight="false" outlineLevel="0" collapsed="false">
      <c r="A1610" s="33" t="str">
        <f aca="false">IF($G1610="","","Retail Banking Group")</f>
        <v/>
      </c>
      <c r="B1610" s="19"/>
      <c r="C1610" s="19"/>
      <c r="D1610" s="19"/>
      <c r="E1610" s="19"/>
      <c r="F1610" s="19"/>
      <c r="G1610" s="19"/>
      <c r="H1610" s="19"/>
      <c r="I1610" s="19"/>
      <c r="J1610" s="19"/>
      <c r="K1610" s="19"/>
      <c r="L1610" s="19"/>
      <c r="M1610" s="19"/>
      <c r="N1610" s="19"/>
      <c r="O1610" s="19"/>
      <c r="P1610" s="19"/>
      <c r="Q1610" s="19"/>
      <c r="R1610" s="19"/>
      <c r="S1610" s="19"/>
      <c r="T1610" s="34" t="str">
        <f aca="false">IF($R1610="","",IFERROR(INDEX(DriverCategory,MATCH($R1610,DriverList,0)),"BAU"))</f>
        <v/>
      </c>
      <c r="U1610" s="34" t="str">
        <f aca="false">IF($R1610="","",IFERROR(INDEX(DriverRank,MATCH($R1610,DriverList,0)),99))</f>
        <v/>
      </c>
      <c r="V1610" s="35" t="n">
        <f aca="false">IF($H1610="",0,IFERROR(INDEX(LevelBasic,MATCH($H1610,LevelList,0))+INDEX(LevelHousing,MATCH($H1610,LevelList,0))+INDEX(LevelTransport,MATCH($H1610,LevelList,0))+INDEX(LevelBasic,MATCH($H1610,LevelList,0))*INDEX(LevelBonus,MATCH($H1610,LevelList,0))+(INDEX(LevelBasic,MATCH($H1610,LevelList,0))+INDEX(LevelHousing,MATCH($H1610,LevelList,0)))*GosiSaudi,0))</f>
        <v>0</v>
      </c>
      <c r="W1610" s="35" t="n">
        <f aca="false">IFERROR(INDEX(LevelOneOff,MATCH($H1610,LevelList,0)),0)</f>
        <v>0</v>
      </c>
      <c r="X1610" s="35" t="str">
        <f aca="false">IF($G1610="","",$V1610*N($L1610))</f>
        <v/>
      </c>
      <c r="Y1610" s="35" t="str">
        <f aca="false">IF($G1610="","",$V1610*(N($M1610)*1+N($N1610)*0.75+N($O1610)*0.5+N($P1610)*0.25)+$W1610*N($L1610))</f>
        <v/>
      </c>
      <c r="Z1610" s="35" t="str">
        <f aca="false">IF($G1610="","",$U1610*1000000+ROW())</f>
        <v/>
      </c>
      <c r="AA1610" s="36" t="str">
        <f aca="false">IF($G1610="","",MID(IF($C1610="",", no division","")&amp;IF($E1610="",", no unit","")&amp;IF($H1610="",", no career level","")&amp;IF(N($L1610)&lt;=0,", no quarter split","")&amp;IF($R1610="",", no driver","")&amp;IF(AND($H1610&lt;&gt;"",COUNTIF(CareerLevels,$H1610)=0),", a career level that is not on the ladder","")&amp;IF(AND($R1610&lt;&gt;"",COUNTIF(DriverList,$R1610)=0),", a driver that is not on the list","")&amp;IF(ABS(N($L1610)-(N($M1610)+N($N1610)+N($O1610)+N($P1610)))&gt;0.001,", a total that does not match its quarters",""),3,300))</f>
        <v/>
      </c>
    </row>
    <row r="1611" customFormat="false" ht="15" hidden="false" customHeight="false" outlineLevel="0" collapsed="false">
      <c r="A1611" s="33" t="str">
        <f aca="false">IF($G1611="","","Retail Banking Group")</f>
        <v/>
      </c>
      <c r="B1611" s="19"/>
      <c r="C1611" s="19"/>
      <c r="D1611" s="19"/>
      <c r="E1611" s="19"/>
      <c r="F1611" s="19"/>
      <c r="G1611" s="19"/>
      <c r="H1611" s="19"/>
      <c r="I1611" s="19"/>
      <c r="J1611" s="19"/>
      <c r="K1611" s="19"/>
      <c r="L1611" s="19"/>
      <c r="M1611" s="19"/>
      <c r="N1611" s="19"/>
      <c r="O1611" s="19"/>
      <c r="P1611" s="19"/>
      <c r="Q1611" s="19"/>
      <c r="R1611" s="19"/>
      <c r="S1611" s="19"/>
      <c r="T1611" s="34" t="str">
        <f aca="false">IF($R1611="","",IFERROR(INDEX(DriverCategory,MATCH($R1611,DriverList,0)),"BAU"))</f>
        <v/>
      </c>
      <c r="U1611" s="34" t="str">
        <f aca="false">IF($R1611="","",IFERROR(INDEX(DriverRank,MATCH($R1611,DriverList,0)),99))</f>
        <v/>
      </c>
      <c r="V1611" s="35" t="n">
        <f aca="false">IF($H1611="",0,IFERROR(INDEX(LevelBasic,MATCH($H1611,LevelList,0))+INDEX(LevelHousing,MATCH($H1611,LevelList,0))+INDEX(LevelTransport,MATCH($H1611,LevelList,0))+INDEX(LevelBasic,MATCH($H1611,LevelList,0))*INDEX(LevelBonus,MATCH($H1611,LevelList,0))+(INDEX(LevelBasic,MATCH($H1611,LevelList,0))+INDEX(LevelHousing,MATCH($H1611,LevelList,0)))*GosiSaudi,0))</f>
        <v>0</v>
      </c>
      <c r="W1611" s="35" t="n">
        <f aca="false">IFERROR(INDEX(LevelOneOff,MATCH($H1611,LevelList,0)),0)</f>
        <v>0</v>
      </c>
      <c r="X1611" s="35" t="str">
        <f aca="false">IF($G1611="","",$V1611*N($L1611))</f>
        <v/>
      </c>
      <c r="Y1611" s="35" t="str">
        <f aca="false">IF($G1611="","",$V1611*(N($M1611)*1+N($N1611)*0.75+N($O1611)*0.5+N($P1611)*0.25)+$W1611*N($L1611))</f>
        <v/>
      </c>
      <c r="Z1611" s="35" t="str">
        <f aca="false">IF($G1611="","",$U1611*1000000+ROW())</f>
        <v/>
      </c>
      <c r="AA1611" s="36" t="str">
        <f aca="false">IF($G1611="","",MID(IF($C1611="",", no division","")&amp;IF($E1611="",", no unit","")&amp;IF($H1611="",", no career level","")&amp;IF(N($L1611)&lt;=0,", no quarter split","")&amp;IF($R1611="",", no driver","")&amp;IF(AND($H1611&lt;&gt;"",COUNTIF(CareerLevels,$H1611)=0),", a career level that is not on the ladder","")&amp;IF(AND($R1611&lt;&gt;"",COUNTIF(DriverList,$R1611)=0),", a driver that is not on the list","")&amp;IF(ABS(N($L1611)-(N($M1611)+N($N1611)+N($O1611)+N($P1611)))&gt;0.001,", a total that does not match its quarters",""),3,300))</f>
        <v/>
      </c>
    </row>
    <row r="1612" customFormat="false" ht="15" hidden="false" customHeight="false" outlineLevel="0" collapsed="false">
      <c r="A1612" s="33" t="str">
        <f aca="false">IF($G1612="","","Retail Banking Group")</f>
        <v/>
      </c>
      <c r="B1612" s="19"/>
      <c r="C1612" s="19"/>
      <c r="D1612" s="19"/>
      <c r="E1612" s="19"/>
      <c r="F1612" s="19"/>
      <c r="G1612" s="19"/>
      <c r="H1612" s="19"/>
      <c r="I1612" s="19"/>
      <c r="J1612" s="19"/>
      <c r="K1612" s="19"/>
      <c r="L1612" s="19"/>
      <c r="M1612" s="19"/>
      <c r="N1612" s="19"/>
      <c r="O1612" s="19"/>
      <c r="P1612" s="19"/>
      <c r="Q1612" s="19"/>
      <c r="R1612" s="19"/>
      <c r="S1612" s="19"/>
      <c r="T1612" s="34" t="str">
        <f aca="false">IF($R1612="","",IFERROR(INDEX(DriverCategory,MATCH($R1612,DriverList,0)),"BAU"))</f>
        <v/>
      </c>
      <c r="U1612" s="34" t="str">
        <f aca="false">IF($R1612="","",IFERROR(INDEX(DriverRank,MATCH($R1612,DriverList,0)),99))</f>
        <v/>
      </c>
      <c r="V1612" s="35" t="n">
        <f aca="false">IF($H1612="",0,IFERROR(INDEX(LevelBasic,MATCH($H1612,LevelList,0))+INDEX(LevelHousing,MATCH($H1612,LevelList,0))+INDEX(LevelTransport,MATCH($H1612,LevelList,0))+INDEX(LevelBasic,MATCH($H1612,LevelList,0))*INDEX(LevelBonus,MATCH($H1612,LevelList,0))+(INDEX(LevelBasic,MATCH($H1612,LevelList,0))+INDEX(LevelHousing,MATCH($H1612,LevelList,0)))*GosiSaudi,0))</f>
        <v>0</v>
      </c>
      <c r="W1612" s="35" t="n">
        <f aca="false">IFERROR(INDEX(LevelOneOff,MATCH($H1612,LevelList,0)),0)</f>
        <v>0</v>
      </c>
      <c r="X1612" s="35" t="str">
        <f aca="false">IF($G1612="","",$V1612*N($L1612))</f>
        <v/>
      </c>
      <c r="Y1612" s="35" t="str">
        <f aca="false">IF($G1612="","",$V1612*(N($M1612)*1+N($N1612)*0.75+N($O1612)*0.5+N($P1612)*0.25)+$W1612*N($L1612))</f>
        <v/>
      </c>
      <c r="Z1612" s="35" t="str">
        <f aca="false">IF($G1612="","",$U1612*1000000+ROW())</f>
        <v/>
      </c>
      <c r="AA1612" s="36" t="str">
        <f aca="false">IF($G1612="","",MID(IF($C1612="",", no division","")&amp;IF($E1612="",", no unit","")&amp;IF($H1612="",", no career level","")&amp;IF(N($L1612)&lt;=0,", no quarter split","")&amp;IF($R1612="",", no driver","")&amp;IF(AND($H1612&lt;&gt;"",COUNTIF(CareerLevels,$H1612)=0),", a career level that is not on the ladder","")&amp;IF(AND($R1612&lt;&gt;"",COUNTIF(DriverList,$R1612)=0),", a driver that is not on the list","")&amp;IF(ABS(N($L1612)-(N($M1612)+N($N1612)+N($O1612)+N($P1612)))&gt;0.001,", a total that does not match its quarters",""),3,300))</f>
        <v/>
      </c>
    </row>
    <row r="1613" customFormat="false" ht="15" hidden="false" customHeight="false" outlineLevel="0" collapsed="false">
      <c r="A1613" s="33" t="str">
        <f aca="false">IF($G1613="","","Retail Banking Group")</f>
        <v/>
      </c>
      <c r="B1613" s="19"/>
      <c r="C1613" s="19"/>
      <c r="D1613" s="19"/>
      <c r="E1613" s="19"/>
      <c r="F1613" s="19"/>
      <c r="G1613" s="19"/>
      <c r="H1613" s="19"/>
      <c r="I1613" s="19"/>
      <c r="J1613" s="19"/>
      <c r="K1613" s="19"/>
      <c r="L1613" s="19"/>
      <c r="M1613" s="19"/>
      <c r="N1613" s="19"/>
      <c r="O1613" s="19"/>
      <c r="P1613" s="19"/>
      <c r="Q1613" s="19"/>
      <c r="R1613" s="19"/>
      <c r="S1613" s="19"/>
      <c r="T1613" s="34" t="str">
        <f aca="false">IF($R1613="","",IFERROR(INDEX(DriverCategory,MATCH($R1613,DriverList,0)),"BAU"))</f>
        <v/>
      </c>
      <c r="U1613" s="34" t="str">
        <f aca="false">IF($R1613="","",IFERROR(INDEX(DriverRank,MATCH($R1613,DriverList,0)),99))</f>
        <v/>
      </c>
      <c r="V1613" s="35" t="n">
        <f aca="false">IF($H1613="",0,IFERROR(INDEX(LevelBasic,MATCH($H1613,LevelList,0))+INDEX(LevelHousing,MATCH($H1613,LevelList,0))+INDEX(LevelTransport,MATCH($H1613,LevelList,0))+INDEX(LevelBasic,MATCH($H1613,LevelList,0))*INDEX(LevelBonus,MATCH($H1613,LevelList,0))+(INDEX(LevelBasic,MATCH($H1613,LevelList,0))+INDEX(LevelHousing,MATCH($H1613,LevelList,0)))*GosiSaudi,0))</f>
        <v>0</v>
      </c>
      <c r="W1613" s="35" t="n">
        <f aca="false">IFERROR(INDEX(LevelOneOff,MATCH($H1613,LevelList,0)),0)</f>
        <v>0</v>
      </c>
      <c r="X1613" s="35" t="str">
        <f aca="false">IF($G1613="","",$V1613*N($L1613))</f>
        <v/>
      </c>
      <c r="Y1613" s="35" t="str">
        <f aca="false">IF($G1613="","",$V1613*(N($M1613)*1+N($N1613)*0.75+N($O1613)*0.5+N($P1613)*0.25)+$W1613*N($L1613))</f>
        <v/>
      </c>
      <c r="Z1613" s="35" t="str">
        <f aca="false">IF($G1613="","",$U1613*1000000+ROW())</f>
        <v/>
      </c>
      <c r="AA1613" s="36" t="str">
        <f aca="false">IF($G1613="","",MID(IF($C1613="",", no division","")&amp;IF($E1613="",", no unit","")&amp;IF($H1613="",", no career level","")&amp;IF(N($L1613)&lt;=0,", no quarter split","")&amp;IF($R1613="",", no driver","")&amp;IF(AND($H1613&lt;&gt;"",COUNTIF(CareerLevels,$H1613)=0),", a career level that is not on the ladder","")&amp;IF(AND($R1613&lt;&gt;"",COUNTIF(DriverList,$R1613)=0),", a driver that is not on the list","")&amp;IF(ABS(N($L1613)-(N($M1613)+N($N1613)+N($O1613)+N($P1613)))&gt;0.001,", a total that does not match its quarters",""),3,300))</f>
        <v/>
      </c>
    </row>
    <row r="1614" customFormat="false" ht="15" hidden="false" customHeight="false" outlineLevel="0" collapsed="false">
      <c r="A1614" s="33" t="str">
        <f aca="false">IF($G1614="","","Retail Banking Group")</f>
        <v/>
      </c>
      <c r="B1614" s="19"/>
      <c r="C1614" s="19"/>
      <c r="D1614" s="19"/>
      <c r="E1614" s="19"/>
      <c r="F1614" s="19"/>
      <c r="G1614" s="19"/>
      <c r="H1614" s="19"/>
      <c r="I1614" s="19"/>
      <c r="J1614" s="19"/>
      <c r="K1614" s="19"/>
      <c r="L1614" s="19"/>
      <c r="M1614" s="19"/>
      <c r="N1614" s="19"/>
      <c r="O1614" s="19"/>
      <c r="P1614" s="19"/>
      <c r="Q1614" s="19"/>
      <c r="R1614" s="19"/>
      <c r="S1614" s="19"/>
      <c r="T1614" s="34" t="str">
        <f aca="false">IF($R1614="","",IFERROR(INDEX(DriverCategory,MATCH($R1614,DriverList,0)),"BAU"))</f>
        <v/>
      </c>
      <c r="U1614" s="34" t="str">
        <f aca="false">IF($R1614="","",IFERROR(INDEX(DriverRank,MATCH($R1614,DriverList,0)),99))</f>
        <v/>
      </c>
      <c r="V1614" s="35" t="n">
        <f aca="false">IF($H1614="",0,IFERROR(INDEX(LevelBasic,MATCH($H1614,LevelList,0))+INDEX(LevelHousing,MATCH($H1614,LevelList,0))+INDEX(LevelTransport,MATCH($H1614,LevelList,0))+INDEX(LevelBasic,MATCH($H1614,LevelList,0))*INDEX(LevelBonus,MATCH($H1614,LevelList,0))+(INDEX(LevelBasic,MATCH($H1614,LevelList,0))+INDEX(LevelHousing,MATCH($H1614,LevelList,0)))*GosiSaudi,0))</f>
        <v>0</v>
      </c>
      <c r="W1614" s="35" t="n">
        <f aca="false">IFERROR(INDEX(LevelOneOff,MATCH($H1614,LevelList,0)),0)</f>
        <v>0</v>
      </c>
      <c r="X1614" s="35" t="str">
        <f aca="false">IF($G1614="","",$V1614*N($L1614))</f>
        <v/>
      </c>
      <c r="Y1614" s="35" t="str">
        <f aca="false">IF($G1614="","",$V1614*(N($M1614)*1+N($N1614)*0.75+N($O1614)*0.5+N($P1614)*0.25)+$W1614*N($L1614))</f>
        <v/>
      </c>
      <c r="Z1614" s="35" t="str">
        <f aca="false">IF($G1614="","",$U1614*1000000+ROW())</f>
        <v/>
      </c>
      <c r="AA1614" s="36" t="str">
        <f aca="false">IF($G1614="","",MID(IF($C1614="",", no division","")&amp;IF($E1614="",", no unit","")&amp;IF($H1614="",", no career level","")&amp;IF(N($L1614)&lt;=0,", no quarter split","")&amp;IF($R1614="",", no driver","")&amp;IF(AND($H1614&lt;&gt;"",COUNTIF(CareerLevels,$H1614)=0),", a career level that is not on the ladder","")&amp;IF(AND($R1614&lt;&gt;"",COUNTIF(DriverList,$R1614)=0),", a driver that is not on the list","")&amp;IF(ABS(N($L1614)-(N($M1614)+N($N1614)+N($O1614)+N($P1614)))&gt;0.001,", a total that does not match its quarters",""),3,300))</f>
        <v/>
      </c>
    </row>
    <row r="1615" customFormat="false" ht="15" hidden="false" customHeight="false" outlineLevel="0" collapsed="false">
      <c r="A1615" s="33" t="str">
        <f aca="false">IF($G1615="","","Retail Banking Group")</f>
        <v/>
      </c>
      <c r="B1615" s="19"/>
      <c r="C1615" s="19"/>
      <c r="D1615" s="19"/>
      <c r="E1615" s="19"/>
      <c r="F1615" s="19"/>
      <c r="G1615" s="19"/>
      <c r="H1615" s="19"/>
      <c r="I1615" s="19"/>
      <c r="J1615" s="19"/>
      <c r="K1615" s="19"/>
      <c r="L1615" s="19"/>
      <c r="M1615" s="19"/>
      <c r="N1615" s="19"/>
      <c r="O1615" s="19"/>
      <c r="P1615" s="19"/>
      <c r="Q1615" s="19"/>
      <c r="R1615" s="19"/>
      <c r="S1615" s="19"/>
      <c r="T1615" s="34" t="str">
        <f aca="false">IF($R1615="","",IFERROR(INDEX(DriverCategory,MATCH($R1615,DriverList,0)),"BAU"))</f>
        <v/>
      </c>
      <c r="U1615" s="34" t="str">
        <f aca="false">IF($R1615="","",IFERROR(INDEX(DriverRank,MATCH($R1615,DriverList,0)),99))</f>
        <v/>
      </c>
      <c r="V1615" s="35" t="n">
        <f aca="false">IF($H1615="",0,IFERROR(INDEX(LevelBasic,MATCH($H1615,LevelList,0))+INDEX(LevelHousing,MATCH($H1615,LevelList,0))+INDEX(LevelTransport,MATCH($H1615,LevelList,0))+INDEX(LevelBasic,MATCH($H1615,LevelList,0))*INDEX(LevelBonus,MATCH($H1615,LevelList,0))+(INDEX(LevelBasic,MATCH($H1615,LevelList,0))+INDEX(LevelHousing,MATCH($H1615,LevelList,0)))*GosiSaudi,0))</f>
        <v>0</v>
      </c>
      <c r="W1615" s="35" t="n">
        <f aca="false">IFERROR(INDEX(LevelOneOff,MATCH($H1615,LevelList,0)),0)</f>
        <v>0</v>
      </c>
      <c r="X1615" s="35" t="str">
        <f aca="false">IF($G1615="","",$V1615*N($L1615))</f>
        <v/>
      </c>
      <c r="Y1615" s="35" t="str">
        <f aca="false">IF($G1615="","",$V1615*(N($M1615)*1+N($N1615)*0.75+N($O1615)*0.5+N($P1615)*0.25)+$W1615*N($L1615))</f>
        <v/>
      </c>
      <c r="Z1615" s="35" t="str">
        <f aca="false">IF($G1615="","",$U1615*1000000+ROW())</f>
        <v/>
      </c>
      <c r="AA1615" s="36" t="str">
        <f aca="false">IF($G1615="","",MID(IF($C1615="",", no division","")&amp;IF($E1615="",", no unit","")&amp;IF($H1615="",", no career level","")&amp;IF(N($L1615)&lt;=0,", no quarter split","")&amp;IF($R1615="",", no driver","")&amp;IF(AND($H1615&lt;&gt;"",COUNTIF(CareerLevels,$H1615)=0),", a career level that is not on the ladder","")&amp;IF(AND($R1615&lt;&gt;"",COUNTIF(DriverList,$R1615)=0),", a driver that is not on the list","")&amp;IF(ABS(N($L1615)-(N($M1615)+N($N1615)+N($O1615)+N($P1615)))&gt;0.001,", a total that does not match its quarters",""),3,300))</f>
        <v/>
      </c>
    </row>
    <row r="1616" customFormat="false" ht="15" hidden="false" customHeight="false" outlineLevel="0" collapsed="false">
      <c r="A1616" s="33" t="str">
        <f aca="false">IF($G1616="","","Retail Banking Group")</f>
        <v/>
      </c>
      <c r="B1616" s="19"/>
      <c r="C1616" s="19"/>
      <c r="D1616" s="19"/>
      <c r="E1616" s="19"/>
      <c r="F1616" s="19"/>
      <c r="G1616" s="19"/>
      <c r="H1616" s="19"/>
      <c r="I1616" s="19"/>
      <c r="J1616" s="19"/>
      <c r="K1616" s="19"/>
      <c r="L1616" s="19"/>
      <c r="M1616" s="19"/>
      <c r="N1616" s="19"/>
      <c r="O1616" s="19"/>
      <c r="P1616" s="19"/>
      <c r="Q1616" s="19"/>
      <c r="R1616" s="19"/>
      <c r="S1616" s="19"/>
      <c r="T1616" s="34" t="str">
        <f aca="false">IF($R1616="","",IFERROR(INDEX(DriverCategory,MATCH($R1616,DriverList,0)),"BAU"))</f>
        <v/>
      </c>
      <c r="U1616" s="34" t="str">
        <f aca="false">IF($R1616="","",IFERROR(INDEX(DriverRank,MATCH($R1616,DriverList,0)),99))</f>
        <v/>
      </c>
      <c r="V1616" s="35" t="n">
        <f aca="false">IF($H1616="",0,IFERROR(INDEX(LevelBasic,MATCH($H1616,LevelList,0))+INDEX(LevelHousing,MATCH($H1616,LevelList,0))+INDEX(LevelTransport,MATCH($H1616,LevelList,0))+INDEX(LevelBasic,MATCH($H1616,LevelList,0))*INDEX(LevelBonus,MATCH($H1616,LevelList,0))+(INDEX(LevelBasic,MATCH($H1616,LevelList,0))+INDEX(LevelHousing,MATCH($H1616,LevelList,0)))*GosiSaudi,0))</f>
        <v>0</v>
      </c>
      <c r="W1616" s="35" t="n">
        <f aca="false">IFERROR(INDEX(LevelOneOff,MATCH($H1616,LevelList,0)),0)</f>
        <v>0</v>
      </c>
      <c r="X1616" s="35" t="str">
        <f aca="false">IF($G1616="","",$V1616*N($L1616))</f>
        <v/>
      </c>
      <c r="Y1616" s="35" t="str">
        <f aca="false">IF($G1616="","",$V1616*(N($M1616)*1+N($N1616)*0.75+N($O1616)*0.5+N($P1616)*0.25)+$W1616*N($L1616))</f>
        <v/>
      </c>
      <c r="Z1616" s="35" t="str">
        <f aca="false">IF($G1616="","",$U1616*1000000+ROW())</f>
        <v/>
      </c>
      <c r="AA1616" s="36" t="str">
        <f aca="false">IF($G1616="","",MID(IF($C1616="",", no division","")&amp;IF($E1616="",", no unit","")&amp;IF($H1616="",", no career level","")&amp;IF(N($L1616)&lt;=0,", no quarter split","")&amp;IF($R1616="",", no driver","")&amp;IF(AND($H1616&lt;&gt;"",COUNTIF(CareerLevels,$H1616)=0),", a career level that is not on the ladder","")&amp;IF(AND($R1616&lt;&gt;"",COUNTIF(DriverList,$R1616)=0),", a driver that is not on the list","")&amp;IF(ABS(N($L1616)-(N($M1616)+N($N1616)+N($O1616)+N($P1616)))&gt;0.001,", a total that does not match its quarters",""),3,300))</f>
        <v/>
      </c>
    </row>
    <row r="1617" customFormat="false" ht="15" hidden="false" customHeight="false" outlineLevel="0" collapsed="false">
      <c r="A1617" s="33" t="str">
        <f aca="false">IF($G1617="","","Retail Banking Group")</f>
        <v/>
      </c>
      <c r="B1617" s="19"/>
      <c r="C1617" s="19"/>
      <c r="D1617" s="19"/>
      <c r="E1617" s="19"/>
      <c r="F1617" s="19"/>
      <c r="G1617" s="19"/>
      <c r="H1617" s="19"/>
      <c r="I1617" s="19"/>
      <c r="J1617" s="19"/>
      <c r="K1617" s="19"/>
      <c r="L1617" s="19"/>
      <c r="M1617" s="19"/>
      <c r="N1617" s="19"/>
      <c r="O1617" s="19"/>
      <c r="P1617" s="19"/>
      <c r="Q1617" s="19"/>
      <c r="R1617" s="19"/>
      <c r="S1617" s="19"/>
      <c r="T1617" s="34" t="str">
        <f aca="false">IF($R1617="","",IFERROR(INDEX(DriverCategory,MATCH($R1617,DriverList,0)),"BAU"))</f>
        <v/>
      </c>
      <c r="U1617" s="34" t="str">
        <f aca="false">IF($R1617="","",IFERROR(INDEX(DriverRank,MATCH($R1617,DriverList,0)),99))</f>
        <v/>
      </c>
      <c r="V1617" s="35" t="n">
        <f aca="false">IF($H1617="",0,IFERROR(INDEX(LevelBasic,MATCH($H1617,LevelList,0))+INDEX(LevelHousing,MATCH($H1617,LevelList,0))+INDEX(LevelTransport,MATCH($H1617,LevelList,0))+INDEX(LevelBasic,MATCH($H1617,LevelList,0))*INDEX(LevelBonus,MATCH($H1617,LevelList,0))+(INDEX(LevelBasic,MATCH($H1617,LevelList,0))+INDEX(LevelHousing,MATCH($H1617,LevelList,0)))*GosiSaudi,0))</f>
        <v>0</v>
      </c>
      <c r="W1617" s="35" t="n">
        <f aca="false">IFERROR(INDEX(LevelOneOff,MATCH($H1617,LevelList,0)),0)</f>
        <v>0</v>
      </c>
      <c r="X1617" s="35" t="str">
        <f aca="false">IF($G1617="","",$V1617*N($L1617))</f>
        <v/>
      </c>
      <c r="Y1617" s="35" t="str">
        <f aca="false">IF($G1617="","",$V1617*(N($M1617)*1+N($N1617)*0.75+N($O1617)*0.5+N($P1617)*0.25)+$W1617*N($L1617))</f>
        <v/>
      </c>
      <c r="Z1617" s="35" t="str">
        <f aca="false">IF($G1617="","",$U1617*1000000+ROW())</f>
        <v/>
      </c>
      <c r="AA1617" s="36" t="str">
        <f aca="false">IF($G1617="","",MID(IF($C1617="",", no division","")&amp;IF($E1617="",", no unit","")&amp;IF($H1617="",", no career level","")&amp;IF(N($L1617)&lt;=0,", no quarter split","")&amp;IF($R1617="",", no driver","")&amp;IF(AND($H1617&lt;&gt;"",COUNTIF(CareerLevels,$H1617)=0),", a career level that is not on the ladder","")&amp;IF(AND($R1617&lt;&gt;"",COUNTIF(DriverList,$R1617)=0),", a driver that is not on the list","")&amp;IF(ABS(N($L1617)-(N($M1617)+N($N1617)+N($O1617)+N($P1617)))&gt;0.001,", a total that does not match its quarters",""),3,300))</f>
        <v/>
      </c>
    </row>
    <row r="1618" customFormat="false" ht="15" hidden="false" customHeight="false" outlineLevel="0" collapsed="false">
      <c r="A1618" s="33" t="str">
        <f aca="false">IF($G1618="","","Retail Banking Group")</f>
        <v/>
      </c>
      <c r="B1618" s="19"/>
      <c r="C1618" s="19"/>
      <c r="D1618" s="19"/>
      <c r="E1618" s="19"/>
      <c r="F1618" s="19"/>
      <c r="G1618" s="19"/>
      <c r="H1618" s="19"/>
      <c r="I1618" s="19"/>
      <c r="J1618" s="19"/>
      <c r="K1618" s="19"/>
      <c r="L1618" s="19"/>
      <c r="M1618" s="19"/>
      <c r="N1618" s="19"/>
      <c r="O1618" s="19"/>
      <c r="P1618" s="19"/>
      <c r="Q1618" s="19"/>
      <c r="R1618" s="19"/>
      <c r="S1618" s="19"/>
      <c r="T1618" s="34" t="str">
        <f aca="false">IF($R1618="","",IFERROR(INDEX(DriverCategory,MATCH($R1618,DriverList,0)),"BAU"))</f>
        <v/>
      </c>
      <c r="U1618" s="34" t="str">
        <f aca="false">IF($R1618="","",IFERROR(INDEX(DriverRank,MATCH($R1618,DriverList,0)),99))</f>
        <v/>
      </c>
      <c r="V1618" s="35" t="n">
        <f aca="false">IF($H1618="",0,IFERROR(INDEX(LevelBasic,MATCH($H1618,LevelList,0))+INDEX(LevelHousing,MATCH($H1618,LevelList,0))+INDEX(LevelTransport,MATCH($H1618,LevelList,0))+INDEX(LevelBasic,MATCH($H1618,LevelList,0))*INDEX(LevelBonus,MATCH($H1618,LevelList,0))+(INDEX(LevelBasic,MATCH($H1618,LevelList,0))+INDEX(LevelHousing,MATCH($H1618,LevelList,0)))*GosiSaudi,0))</f>
        <v>0</v>
      </c>
      <c r="W1618" s="35" t="n">
        <f aca="false">IFERROR(INDEX(LevelOneOff,MATCH($H1618,LevelList,0)),0)</f>
        <v>0</v>
      </c>
      <c r="X1618" s="35" t="str">
        <f aca="false">IF($G1618="","",$V1618*N($L1618))</f>
        <v/>
      </c>
      <c r="Y1618" s="35" t="str">
        <f aca="false">IF($G1618="","",$V1618*(N($M1618)*1+N($N1618)*0.75+N($O1618)*0.5+N($P1618)*0.25)+$W1618*N($L1618))</f>
        <v/>
      </c>
      <c r="Z1618" s="35" t="str">
        <f aca="false">IF($G1618="","",$U1618*1000000+ROW())</f>
        <v/>
      </c>
      <c r="AA1618" s="36" t="str">
        <f aca="false">IF($G1618="","",MID(IF($C1618="",", no division","")&amp;IF($E1618="",", no unit","")&amp;IF($H1618="",", no career level","")&amp;IF(N($L1618)&lt;=0,", no quarter split","")&amp;IF($R1618="",", no driver","")&amp;IF(AND($H1618&lt;&gt;"",COUNTIF(CareerLevels,$H1618)=0),", a career level that is not on the ladder","")&amp;IF(AND($R1618&lt;&gt;"",COUNTIF(DriverList,$R1618)=0),", a driver that is not on the list","")&amp;IF(ABS(N($L1618)-(N($M1618)+N($N1618)+N($O1618)+N($P1618)))&gt;0.001,", a total that does not match its quarters",""),3,300))</f>
        <v/>
      </c>
    </row>
    <row r="1619" customFormat="false" ht="15" hidden="false" customHeight="false" outlineLevel="0" collapsed="false">
      <c r="A1619" s="33" t="str">
        <f aca="false">IF($G1619="","","Retail Banking Group")</f>
        <v/>
      </c>
      <c r="B1619" s="19"/>
      <c r="C1619" s="19"/>
      <c r="D1619" s="19"/>
      <c r="E1619" s="19"/>
      <c r="F1619" s="19"/>
      <c r="G1619" s="19"/>
      <c r="H1619" s="19"/>
      <c r="I1619" s="19"/>
      <c r="J1619" s="19"/>
      <c r="K1619" s="19"/>
      <c r="L1619" s="19"/>
      <c r="M1619" s="19"/>
      <c r="N1619" s="19"/>
      <c r="O1619" s="19"/>
      <c r="P1619" s="19"/>
      <c r="Q1619" s="19"/>
      <c r="R1619" s="19"/>
      <c r="S1619" s="19"/>
      <c r="T1619" s="34" t="str">
        <f aca="false">IF($R1619="","",IFERROR(INDEX(DriverCategory,MATCH($R1619,DriverList,0)),"BAU"))</f>
        <v/>
      </c>
      <c r="U1619" s="34" t="str">
        <f aca="false">IF($R1619="","",IFERROR(INDEX(DriverRank,MATCH($R1619,DriverList,0)),99))</f>
        <v/>
      </c>
      <c r="V1619" s="35" t="n">
        <f aca="false">IF($H1619="",0,IFERROR(INDEX(LevelBasic,MATCH($H1619,LevelList,0))+INDEX(LevelHousing,MATCH($H1619,LevelList,0))+INDEX(LevelTransport,MATCH($H1619,LevelList,0))+INDEX(LevelBasic,MATCH($H1619,LevelList,0))*INDEX(LevelBonus,MATCH($H1619,LevelList,0))+(INDEX(LevelBasic,MATCH($H1619,LevelList,0))+INDEX(LevelHousing,MATCH($H1619,LevelList,0)))*GosiSaudi,0))</f>
        <v>0</v>
      </c>
      <c r="W1619" s="35" t="n">
        <f aca="false">IFERROR(INDEX(LevelOneOff,MATCH($H1619,LevelList,0)),0)</f>
        <v>0</v>
      </c>
      <c r="X1619" s="35" t="str">
        <f aca="false">IF($G1619="","",$V1619*N($L1619))</f>
        <v/>
      </c>
      <c r="Y1619" s="35" t="str">
        <f aca="false">IF($G1619="","",$V1619*(N($M1619)*1+N($N1619)*0.75+N($O1619)*0.5+N($P1619)*0.25)+$W1619*N($L1619))</f>
        <v/>
      </c>
      <c r="Z1619" s="35" t="str">
        <f aca="false">IF($G1619="","",$U1619*1000000+ROW())</f>
        <v/>
      </c>
      <c r="AA1619" s="36" t="str">
        <f aca="false">IF($G1619="","",MID(IF($C1619="",", no division","")&amp;IF($E1619="",", no unit","")&amp;IF($H1619="",", no career level","")&amp;IF(N($L1619)&lt;=0,", no quarter split","")&amp;IF($R1619="",", no driver","")&amp;IF(AND($H1619&lt;&gt;"",COUNTIF(CareerLevels,$H1619)=0),", a career level that is not on the ladder","")&amp;IF(AND($R1619&lt;&gt;"",COUNTIF(DriverList,$R1619)=0),", a driver that is not on the list","")&amp;IF(ABS(N($L1619)-(N($M1619)+N($N1619)+N($O1619)+N($P1619)))&gt;0.001,", a total that does not match its quarters",""),3,300))</f>
        <v/>
      </c>
    </row>
    <row r="1620" customFormat="false" ht="15" hidden="false" customHeight="false" outlineLevel="0" collapsed="false">
      <c r="A1620" s="33" t="str">
        <f aca="false">IF($G1620="","","Retail Banking Group")</f>
        <v/>
      </c>
      <c r="B1620" s="19"/>
      <c r="C1620" s="19"/>
      <c r="D1620" s="19"/>
      <c r="E1620" s="19"/>
      <c r="F1620" s="19"/>
      <c r="G1620" s="19"/>
      <c r="H1620" s="19"/>
      <c r="I1620" s="19"/>
      <c r="J1620" s="19"/>
      <c r="K1620" s="19"/>
      <c r="L1620" s="19"/>
      <c r="M1620" s="19"/>
      <c r="N1620" s="19"/>
      <c r="O1620" s="19"/>
      <c r="P1620" s="19"/>
      <c r="Q1620" s="19"/>
      <c r="R1620" s="19"/>
      <c r="S1620" s="19"/>
      <c r="T1620" s="34" t="str">
        <f aca="false">IF($R1620="","",IFERROR(INDEX(DriverCategory,MATCH($R1620,DriverList,0)),"BAU"))</f>
        <v/>
      </c>
      <c r="U1620" s="34" t="str">
        <f aca="false">IF($R1620="","",IFERROR(INDEX(DriverRank,MATCH($R1620,DriverList,0)),99))</f>
        <v/>
      </c>
      <c r="V1620" s="35" t="n">
        <f aca="false">IF($H1620="",0,IFERROR(INDEX(LevelBasic,MATCH($H1620,LevelList,0))+INDEX(LevelHousing,MATCH($H1620,LevelList,0))+INDEX(LevelTransport,MATCH($H1620,LevelList,0))+INDEX(LevelBasic,MATCH($H1620,LevelList,0))*INDEX(LevelBonus,MATCH($H1620,LevelList,0))+(INDEX(LevelBasic,MATCH($H1620,LevelList,0))+INDEX(LevelHousing,MATCH($H1620,LevelList,0)))*GosiSaudi,0))</f>
        <v>0</v>
      </c>
      <c r="W1620" s="35" t="n">
        <f aca="false">IFERROR(INDEX(LevelOneOff,MATCH($H1620,LevelList,0)),0)</f>
        <v>0</v>
      </c>
      <c r="X1620" s="35" t="str">
        <f aca="false">IF($G1620="","",$V1620*N($L1620))</f>
        <v/>
      </c>
      <c r="Y1620" s="35" t="str">
        <f aca="false">IF($G1620="","",$V1620*(N($M1620)*1+N($N1620)*0.75+N($O1620)*0.5+N($P1620)*0.25)+$W1620*N($L1620))</f>
        <v/>
      </c>
      <c r="Z1620" s="35" t="str">
        <f aca="false">IF($G1620="","",$U1620*1000000+ROW())</f>
        <v/>
      </c>
      <c r="AA1620" s="36" t="str">
        <f aca="false">IF($G1620="","",MID(IF($C1620="",", no division","")&amp;IF($E1620="",", no unit","")&amp;IF($H1620="",", no career level","")&amp;IF(N($L1620)&lt;=0,", no quarter split","")&amp;IF($R1620="",", no driver","")&amp;IF(AND($H1620&lt;&gt;"",COUNTIF(CareerLevels,$H1620)=0),", a career level that is not on the ladder","")&amp;IF(AND($R1620&lt;&gt;"",COUNTIF(DriverList,$R1620)=0),", a driver that is not on the list","")&amp;IF(ABS(N($L1620)-(N($M1620)+N($N1620)+N($O1620)+N($P1620)))&gt;0.001,", a total that does not match its quarters",""),3,300))</f>
        <v/>
      </c>
    </row>
    <row r="1621" customFormat="false" ht="15" hidden="false" customHeight="false" outlineLevel="0" collapsed="false">
      <c r="A1621" s="33" t="str">
        <f aca="false">IF($G1621="","","Retail Banking Group")</f>
        <v/>
      </c>
      <c r="B1621" s="19"/>
      <c r="C1621" s="19"/>
      <c r="D1621" s="19"/>
      <c r="E1621" s="19"/>
      <c r="F1621" s="19"/>
      <c r="G1621" s="19"/>
      <c r="H1621" s="19"/>
      <c r="I1621" s="19"/>
      <c r="J1621" s="19"/>
      <c r="K1621" s="19"/>
      <c r="L1621" s="19"/>
      <c r="M1621" s="19"/>
      <c r="N1621" s="19"/>
      <c r="O1621" s="19"/>
      <c r="P1621" s="19"/>
      <c r="Q1621" s="19"/>
      <c r="R1621" s="19"/>
      <c r="S1621" s="19"/>
      <c r="T1621" s="34" t="str">
        <f aca="false">IF($R1621="","",IFERROR(INDEX(DriverCategory,MATCH($R1621,DriverList,0)),"BAU"))</f>
        <v/>
      </c>
      <c r="U1621" s="34" t="str">
        <f aca="false">IF($R1621="","",IFERROR(INDEX(DriverRank,MATCH($R1621,DriverList,0)),99))</f>
        <v/>
      </c>
      <c r="V1621" s="35" t="n">
        <f aca="false">IF($H1621="",0,IFERROR(INDEX(LevelBasic,MATCH($H1621,LevelList,0))+INDEX(LevelHousing,MATCH($H1621,LevelList,0))+INDEX(LevelTransport,MATCH($H1621,LevelList,0))+INDEX(LevelBasic,MATCH($H1621,LevelList,0))*INDEX(LevelBonus,MATCH($H1621,LevelList,0))+(INDEX(LevelBasic,MATCH($H1621,LevelList,0))+INDEX(LevelHousing,MATCH($H1621,LevelList,0)))*GosiSaudi,0))</f>
        <v>0</v>
      </c>
      <c r="W1621" s="35" t="n">
        <f aca="false">IFERROR(INDEX(LevelOneOff,MATCH($H1621,LevelList,0)),0)</f>
        <v>0</v>
      </c>
      <c r="X1621" s="35" t="str">
        <f aca="false">IF($G1621="","",$V1621*N($L1621))</f>
        <v/>
      </c>
      <c r="Y1621" s="35" t="str">
        <f aca="false">IF($G1621="","",$V1621*(N($M1621)*1+N($N1621)*0.75+N($O1621)*0.5+N($P1621)*0.25)+$W1621*N($L1621))</f>
        <v/>
      </c>
      <c r="Z1621" s="35" t="str">
        <f aca="false">IF($G1621="","",$U1621*1000000+ROW())</f>
        <v/>
      </c>
      <c r="AA1621" s="36" t="str">
        <f aca="false">IF($G1621="","",MID(IF($C1621="",", no division","")&amp;IF($E1621="",", no unit","")&amp;IF($H1621="",", no career level","")&amp;IF(N($L1621)&lt;=0,", no quarter split","")&amp;IF($R1621="",", no driver","")&amp;IF(AND($H1621&lt;&gt;"",COUNTIF(CareerLevels,$H1621)=0),", a career level that is not on the ladder","")&amp;IF(AND($R1621&lt;&gt;"",COUNTIF(DriverList,$R1621)=0),", a driver that is not on the list","")&amp;IF(ABS(N($L1621)-(N($M1621)+N($N1621)+N($O1621)+N($P1621)))&gt;0.001,", a total that does not match its quarters",""),3,300))</f>
        <v/>
      </c>
    </row>
    <row r="1622" customFormat="false" ht="15" hidden="false" customHeight="false" outlineLevel="0" collapsed="false">
      <c r="A1622" s="33" t="str">
        <f aca="false">IF($G1622="","","Retail Banking Group")</f>
        <v/>
      </c>
      <c r="B1622" s="19"/>
      <c r="C1622" s="19"/>
      <c r="D1622" s="19"/>
      <c r="E1622" s="19"/>
      <c r="F1622" s="19"/>
      <c r="G1622" s="19"/>
      <c r="H1622" s="19"/>
      <c r="I1622" s="19"/>
      <c r="J1622" s="19"/>
      <c r="K1622" s="19"/>
      <c r="L1622" s="19"/>
      <c r="M1622" s="19"/>
      <c r="N1622" s="19"/>
      <c r="O1622" s="19"/>
      <c r="P1622" s="19"/>
      <c r="Q1622" s="19"/>
      <c r="R1622" s="19"/>
      <c r="S1622" s="19"/>
      <c r="T1622" s="34" t="str">
        <f aca="false">IF($R1622="","",IFERROR(INDEX(DriverCategory,MATCH($R1622,DriverList,0)),"BAU"))</f>
        <v/>
      </c>
      <c r="U1622" s="34" t="str">
        <f aca="false">IF($R1622="","",IFERROR(INDEX(DriverRank,MATCH($R1622,DriverList,0)),99))</f>
        <v/>
      </c>
      <c r="V1622" s="35" t="n">
        <f aca="false">IF($H1622="",0,IFERROR(INDEX(LevelBasic,MATCH($H1622,LevelList,0))+INDEX(LevelHousing,MATCH($H1622,LevelList,0))+INDEX(LevelTransport,MATCH($H1622,LevelList,0))+INDEX(LevelBasic,MATCH($H1622,LevelList,0))*INDEX(LevelBonus,MATCH($H1622,LevelList,0))+(INDEX(LevelBasic,MATCH($H1622,LevelList,0))+INDEX(LevelHousing,MATCH($H1622,LevelList,0)))*GosiSaudi,0))</f>
        <v>0</v>
      </c>
      <c r="W1622" s="35" t="n">
        <f aca="false">IFERROR(INDEX(LevelOneOff,MATCH($H1622,LevelList,0)),0)</f>
        <v>0</v>
      </c>
      <c r="X1622" s="35" t="str">
        <f aca="false">IF($G1622="","",$V1622*N($L1622))</f>
        <v/>
      </c>
      <c r="Y1622" s="35" t="str">
        <f aca="false">IF($G1622="","",$V1622*(N($M1622)*1+N($N1622)*0.75+N($O1622)*0.5+N($P1622)*0.25)+$W1622*N($L1622))</f>
        <v/>
      </c>
      <c r="Z1622" s="35" t="str">
        <f aca="false">IF($G1622="","",$U1622*1000000+ROW())</f>
        <v/>
      </c>
      <c r="AA1622" s="36" t="str">
        <f aca="false">IF($G1622="","",MID(IF($C1622="",", no division","")&amp;IF($E1622="",", no unit","")&amp;IF($H1622="",", no career level","")&amp;IF(N($L1622)&lt;=0,", no quarter split","")&amp;IF($R1622="",", no driver","")&amp;IF(AND($H1622&lt;&gt;"",COUNTIF(CareerLevels,$H1622)=0),", a career level that is not on the ladder","")&amp;IF(AND($R1622&lt;&gt;"",COUNTIF(DriverList,$R1622)=0),", a driver that is not on the list","")&amp;IF(ABS(N($L1622)-(N($M1622)+N($N1622)+N($O1622)+N($P1622)))&gt;0.001,", a total that does not match its quarters",""),3,300))</f>
        <v/>
      </c>
    </row>
    <row r="1623" customFormat="false" ht="15" hidden="false" customHeight="false" outlineLevel="0" collapsed="false">
      <c r="A1623" s="33" t="str">
        <f aca="false">IF($G1623="","","Retail Banking Group")</f>
        <v/>
      </c>
      <c r="B1623" s="19"/>
      <c r="C1623" s="19"/>
      <c r="D1623" s="19"/>
      <c r="E1623" s="19"/>
      <c r="F1623" s="19"/>
      <c r="G1623" s="19"/>
      <c r="H1623" s="19"/>
      <c r="I1623" s="19"/>
      <c r="J1623" s="19"/>
      <c r="K1623" s="19"/>
      <c r="L1623" s="19"/>
      <c r="M1623" s="19"/>
      <c r="N1623" s="19"/>
      <c r="O1623" s="19"/>
      <c r="P1623" s="19"/>
      <c r="Q1623" s="19"/>
      <c r="R1623" s="19"/>
      <c r="S1623" s="19"/>
      <c r="T1623" s="34" t="str">
        <f aca="false">IF($R1623="","",IFERROR(INDEX(DriverCategory,MATCH($R1623,DriverList,0)),"BAU"))</f>
        <v/>
      </c>
      <c r="U1623" s="34" t="str">
        <f aca="false">IF($R1623="","",IFERROR(INDEX(DriverRank,MATCH($R1623,DriverList,0)),99))</f>
        <v/>
      </c>
      <c r="V1623" s="35" t="n">
        <f aca="false">IF($H1623="",0,IFERROR(INDEX(LevelBasic,MATCH($H1623,LevelList,0))+INDEX(LevelHousing,MATCH($H1623,LevelList,0))+INDEX(LevelTransport,MATCH($H1623,LevelList,0))+INDEX(LevelBasic,MATCH($H1623,LevelList,0))*INDEX(LevelBonus,MATCH($H1623,LevelList,0))+(INDEX(LevelBasic,MATCH($H1623,LevelList,0))+INDEX(LevelHousing,MATCH($H1623,LevelList,0)))*GosiSaudi,0))</f>
        <v>0</v>
      </c>
      <c r="W1623" s="35" t="n">
        <f aca="false">IFERROR(INDEX(LevelOneOff,MATCH($H1623,LevelList,0)),0)</f>
        <v>0</v>
      </c>
      <c r="X1623" s="35" t="str">
        <f aca="false">IF($G1623="","",$V1623*N($L1623))</f>
        <v/>
      </c>
      <c r="Y1623" s="35" t="str">
        <f aca="false">IF($G1623="","",$V1623*(N($M1623)*1+N($N1623)*0.75+N($O1623)*0.5+N($P1623)*0.25)+$W1623*N($L1623))</f>
        <v/>
      </c>
      <c r="Z1623" s="35" t="str">
        <f aca="false">IF($G1623="","",$U1623*1000000+ROW())</f>
        <v/>
      </c>
      <c r="AA1623" s="36" t="str">
        <f aca="false">IF($G1623="","",MID(IF($C1623="",", no division","")&amp;IF($E1623="",", no unit","")&amp;IF($H1623="",", no career level","")&amp;IF(N($L1623)&lt;=0,", no quarter split","")&amp;IF($R1623="",", no driver","")&amp;IF(AND($H1623&lt;&gt;"",COUNTIF(CareerLevels,$H1623)=0),", a career level that is not on the ladder","")&amp;IF(AND($R1623&lt;&gt;"",COUNTIF(DriverList,$R1623)=0),", a driver that is not on the list","")&amp;IF(ABS(N($L1623)-(N($M1623)+N($N1623)+N($O1623)+N($P1623)))&gt;0.001,", a total that does not match its quarters",""),3,300))</f>
        <v/>
      </c>
    </row>
    <row r="1624" customFormat="false" ht="15" hidden="false" customHeight="false" outlineLevel="0" collapsed="false">
      <c r="A1624" s="33" t="str">
        <f aca="false">IF($G1624="","","Retail Banking Group")</f>
        <v/>
      </c>
      <c r="B1624" s="19"/>
      <c r="C1624" s="19"/>
      <c r="D1624" s="19"/>
      <c r="E1624" s="19"/>
      <c r="F1624" s="19"/>
      <c r="G1624" s="19"/>
      <c r="H1624" s="19"/>
      <c r="I1624" s="19"/>
      <c r="J1624" s="19"/>
      <c r="K1624" s="19"/>
      <c r="L1624" s="19"/>
      <c r="M1624" s="19"/>
      <c r="N1624" s="19"/>
      <c r="O1624" s="19"/>
      <c r="P1624" s="19"/>
      <c r="Q1624" s="19"/>
      <c r="R1624" s="19"/>
      <c r="S1624" s="19"/>
      <c r="T1624" s="34" t="str">
        <f aca="false">IF($R1624="","",IFERROR(INDEX(DriverCategory,MATCH($R1624,DriverList,0)),"BAU"))</f>
        <v/>
      </c>
      <c r="U1624" s="34" t="str">
        <f aca="false">IF($R1624="","",IFERROR(INDEX(DriverRank,MATCH($R1624,DriverList,0)),99))</f>
        <v/>
      </c>
      <c r="V1624" s="35" t="n">
        <f aca="false">IF($H1624="",0,IFERROR(INDEX(LevelBasic,MATCH($H1624,LevelList,0))+INDEX(LevelHousing,MATCH($H1624,LevelList,0))+INDEX(LevelTransport,MATCH($H1624,LevelList,0))+INDEX(LevelBasic,MATCH($H1624,LevelList,0))*INDEX(LevelBonus,MATCH($H1624,LevelList,0))+(INDEX(LevelBasic,MATCH($H1624,LevelList,0))+INDEX(LevelHousing,MATCH($H1624,LevelList,0)))*GosiSaudi,0))</f>
        <v>0</v>
      </c>
      <c r="W1624" s="35" t="n">
        <f aca="false">IFERROR(INDEX(LevelOneOff,MATCH($H1624,LevelList,0)),0)</f>
        <v>0</v>
      </c>
      <c r="X1624" s="35" t="str">
        <f aca="false">IF($G1624="","",$V1624*N($L1624))</f>
        <v/>
      </c>
      <c r="Y1624" s="35" t="str">
        <f aca="false">IF($G1624="","",$V1624*(N($M1624)*1+N($N1624)*0.75+N($O1624)*0.5+N($P1624)*0.25)+$W1624*N($L1624))</f>
        <v/>
      </c>
      <c r="Z1624" s="35" t="str">
        <f aca="false">IF($G1624="","",$U1624*1000000+ROW())</f>
        <v/>
      </c>
      <c r="AA1624" s="36" t="str">
        <f aca="false">IF($G1624="","",MID(IF($C1624="",", no division","")&amp;IF($E1624="",", no unit","")&amp;IF($H1624="",", no career level","")&amp;IF(N($L1624)&lt;=0,", no quarter split","")&amp;IF($R1624="",", no driver","")&amp;IF(AND($H1624&lt;&gt;"",COUNTIF(CareerLevels,$H1624)=0),", a career level that is not on the ladder","")&amp;IF(AND($R1624&lt;&gt;"",COUNTIF(DriverList,$R1624)=0),", a driver that is not on the list","")&amp;IF(ABS(N($L1624)-(N($M1624)+N($N1624)+N($O1624)+N($P1624)))&gt;0.001,", a total that does not match its quarters",""),3,300))</f>
        <v/>
      </c>
    </row>
    <row r="1625" customFormat="false" ht="15" hidden="false" customHeight="false" outlineLevel="0" collapsed="false">
      <c r="A1625" s="33" t="str">
        <f aca="false">IF($G1625="","","Retail Banking Group")</f>
        <v/>
      </c>
      <c r="B1625" s="19"/>
      <c r="C1625" s="19"/>
      <c r="D1625" s="19"/>
      <c r="E1625" s="19"/>
      <c r="F1625" s="19"/>
      <c r="G1625" s="19"/>
      <c r="H1625" s="19"/>
      <c r="I1625" s="19"/>
      <c r="J1625" s="19"/>
      <c r="K1625" s="19"/>
      <c r="L1625" s="19"/>
      <c r="M1625" s="19"/>
      <c r="N1625" s="19"/>
      <c r="O1625" s="19"/>
      <c r="P1625" s="19"/>
      <c r="Q1625" s="19"/>
      <c r="R1625" s="19"/>
      <c r="S1625" s="19"/>
      <c r="T1625" s="34" t="str">
        <f aca="false">IF($R1625="","",IFERROR(INDEX(DriverCategory,MATCH($R1625,DriverList,0)),"BAU"))</f>
        <v/>
      </c>
      <c r="U1625" s="34" t="str">
        <f aca="false">IF($R1625="","",IFERROR(INDEX(DriverRank,MATCH($R1625,DriverList,0)),99))</f>
        <v/>
      </c>
      <c r="V1625" s="35" t="n">
        <f aca="false">IF($H1625="",0,IFERROR(INDEX(LevelBasic,MATCH($H1625,LevelList,0))+INDEX(LevelHousing,MATCH($H1625,LevelList,0))+INDEX(LevelTransport,MATCH($H1625,LevelList,0))+INDEX(LevelBasic,MATCH($H1625,LevelList,0))*INDEX(LevelBonus,MATCH($H1625,LevelList,0))+(INDEX(LevelBasic,MATCH($H1625,LevelList,0))+INDEX(LevelHousing,MATCH($H1625,LevelList,0)))*GosiSaudi,0))</f>
        <v>0</v>
      </c>
      <c r="W1625" s="35" t="n">
        <f aca="false">IFERROR(INDEX(LevelOneOff,MATCH($H1625,LevelList,0)),0)</f>
        <v>0</v>
      </c>
      <c r="X1625" s="35" t="str">
        <f aca="false">IF($G1625="","",$V1625*N($L1625))</f>
        <v/>
      </c>
      <c r="Y1625" s="35" t="str">
        <f aca="false">IF($G1625="","",$V1625*(N($M1625)*1+N($N1625)*0.75+N($O1625)*0.5+N($P1625)*0.25)+$W1625*N($L1625))</f>
        <v/>
      </c>
      <c r="Z1625" s="35" t="str">
        <f aca="false">IF($G1625="","",$U1625*1000000+ROW())</f>
        <v/>
      </c>
      <c r="AA1625" s="36" t="str">
        <f aca="false">IF($G1625="","",MID(IF($C1625="",", no division","")&amp;IF($E1625="",", no unit","")&amp;IF($H1625="",", no career level","")&amp;IF(N($L1625)&lt;=0,", no quarter split","")&amp;IF($R1625="",", no driver","")&amp;IF(AND($H1625&lt;&gt;"",COUNTIF(CareerLevels,$H1625)=0),", a career level that is not on the ladder","")&amp;IF(AND($R1625&lt;&gt;"",COUNTIF(DriverList,$R1625)=0),", a driver that is not on the list","")&amp;IF(ABS(N($L1625)-(N($M1625)+N($N1625)+N($O1625)+N($P1625)))&gt;0.001,", a total that does not match its quarters",""),3,300))</f>
        <v/>
      </c>
    </row>
    <row r="1626" customFormat="false" ht="15" hidden="false" customHeight="false" outlineLevel="0" collapsed="false">
      <c r="A1626" s="33" t="str">
        <f aca="false">IF($G1626="","","Retail Banking Group")</f>
        <v/>
      </c>
      <c r="B1626" s="19"/>
      <c r="C1626" s="19"/>
      <c r="D1626" s="19"/>
      <c r="E1626" s="19"/>
      <c r="F1626" s="19"/>
      <c r="G1626" s="19"/>
      <c r="H1626" s="19"/>
      <c r="I1626" s="19"/>
      <c r="J1626" s="19"/>
      <c r="K1626" s="19"/>
      <c r="L1626" s="19"/>
      <c r="M1626" s="19"/>
      <c r="N1626" s="19"/>
      <c r="O1626" s="19"/>
      <c r="P1626" s="19"/>
      <c r="Q1626" s="19"/>
      <c r="R1626" s="19"/>
      <c r="S1626" s="19"/>
      <c r="T1626" s="34" t="str">
        <f aca="false">IF($R1626="","",IFERROR(INDEX(DriverCategory,MATCH($R1626,DriverList,0)),"BAU"))</f>
        <v/>
      </c>
      <c r="U1626" s="34" t="str">
        <f aca="false">IF($R1626="","",IFERROR(INDEX(DriverRank,MATCH($R1626,DriverList,0)),99))</f>
        <v/>
      </c>
      <c r="V1626" s="35" t="n">
        <f aca="false">IF($H1626="",0,IFERROR(INDEX(LevelBasic,MATCH($H1626,LevelList,0))+INDEX(LevelHousing,MATCH($H1626,LevelList,0))+INDEX(LevelTransport,MATCH($H1626,LevelList,0))+INDEX(LevelBasic,MATCH($H1626,LevelList,0))*INDEX(LevelBonus,MATCH($H1626,LevelList,0))+(INDEX(LevelBasic,MATCH($H1626,LevelList,0))+INDEX(LevelHousing,MATCH($H1626,LevelList,0)))*GosiSaudi,0))</f>
        <v>0</v>
      </c>
      <c r="W1626" s="35" t="n">
        <f aca="false">IFERROR(INDEX(LevelOneOff,MATCH($H1626,LevelList,0)),0)</f>
        <v>0</v>
      </c>
      <c r="X1626" s="35" t="str">
        <f aca="false">IF($G1626="","",$V1626*N($L1626))</f>
        <v/>
      </c>
      <c r="Y1626" s="35" t="str">
        <f aca="false">IF($G1626="","",$V1626*(N($M1626)*1+N($N1626)*0.75+N($O1626)*0.5+N($P1626)*0.25)+$W1626*N($L1626))</f>
        <v/>
      </c>
      <c r="Z1626" s="35" t="str">
        <f aca="false">IF($G1626="","",$U1626*1000000+ROW())</f>
        <v/>
      </c>
      <c r="AA1626" s="36" t="str">
        <f aca="false">IF($G1626="","",MID(IF($C1626="",", no division","")&amp;IF($E1626="",", no unit","")&amp;IF($H1626="",", no career level","")&amp;IF(N($L1626)&lt;=0,", no quarter split","")&amp;IF($R1626="",", no driver","")&amp;IF(AND($H1626&lt;&gt;"",COUNTIF(CareerLevels,$H1626)=0),", a career level that is not on the ladder","")&amp;IF(AND($R1626&lt;&gt;"",COUNTIF(DriverList,$R1626)=0),", a driver that is not on the list","")&amp;IF(ABS(N($L1626)-(N($M1626)+N($N1626)+N($O1626)+N($P1626)))&gt;0.001,", a total that does not match its quarters",""),3,300))</f>
        <v/>
      </c>
    </row>
    <row r="1627" customFormat="false" ht="15" hidden="false" customHeight="false" outlineLevel="0" collapsed="false">
      <c r="A1627" s="33" t="str">
        <f aca="false">IF($G1627="","","Retail Banking Group")</f>
        <v/>
      </c>
      <c r="B1627" s="19"/>
      <c r="C1627" s="19"/>
      <c r="D1627" s="19"/>
      <c r="E1627" s="19"/>
      <c r="F1627" s="19"/>
      <c r="G1627" s="19"/>
      <c r="H1627" s="19"/>
      <c r="I1627" s="19"/>
      <c r="J1627" s="19"/>
      <c r="K1627" s="19"/>
      <c r="L1627" s="19"/>
      <c r="M1627" s="19"/>
      <c r="N1627" s="19"/>
      <c r="O1627" s="19"/>
      <c r="P1627" s="19"/>
      <c r="Q1627" s="19"/>
      <c r="R1627" s="19"/>
      <c r="S1627" s="19"/>
      <c r="T1627" s="34" t="str">
        <f aca="false">IF($R1627="","",IFERROR(INDEX(DriverCategory,MATCH($R1627,DriverList,0)),"BAU"))</f>
        <v/>
      </c>
      <c r="U1627" s="34" t="str">
        <f aca="false">IF($R1627="","",IFERROR(INDEX(DriverRank,MATCH($R1627,DriverList,0)),99))</f>
        <v/>
      </c>
      <c r="V1627" s="35" t="n">
        <f aca="false">IF($H1627="",0,IFERROR(INDEX(LevelBasic,MATCH($H1627,LevelList,0))+INDEX(LevelHousing,MATCH($H1627,LevelList,0))+INDEX(LevelTransport,MATCH($H1627,LevelList,0))+INDEX(LevelBasic,MATCH($H1627,LevelList,0))*INDEX(LevelBonus,MATCH($H1627,LevelList,0))+(INDEX(LevelBasic,MATCH($H1627,LevelList,0))+INDEX(LevelHousing,MATCH($H1627,LevelList,0)))*GosiSaudi,0))</f>
        <v>0</v>
      </c>
      <c r="W1627" s="35" t="n">
        <f aca="false">IFERROR(INDEX(LevelOneOff,MATCH($H1627,LevelList,0)),0)</f>
        <v>0</v>
      </c>
      <c r="X1627" s="35" t="str">
        <f aca="false">IF($G1627="","",$V1627*N($L1627))</f>
        <v/>
      </c>
      <c r="Y1627" s="35" t="str">
        <f aca="false">IF($G1627="","",$V1627*(N($M1627)*1+N($N1627)*0.75+N($O1627)*0.5+N($P1627)*0.25)+$W1627*N($L1627))</f>
        <v/>
      </c>
      <c r="Z1627" s="35" t="str">
        <f aca="false">IF($G1627="","",$U1627*1000000+ROW())</f>
        <v/>
      </c>
      <c r="AA1627" s="36" t="str">
        <f aca="false">IF($G1627="","",MID(IF($C1627="",", no division","")&amp;IF($E1627="",", no unit","")&amp;IF($H1627="",", no career level","")&amp;IF(N($L1627)&lt;=0,", no quarter split","")&amp;IF($R1627="",", no driver","")&amp;IF(AND($H1627&lt;&gt;"",COUNTIF(CareerLevels,$H1627)=0),", a career level that is not on the ladder","")&amp;IF(AND($R1627&lt;&gt;"",COUNTIF(DriverList,$R1627)=0),", a driver that is not on the list","")&amp;IF(ABS(N($L1627)-(N($M1627)+N($N1627)+N($O1627)+N($P1627)))&gt;0.001,", a total that does not match its quarters",""),3,300))</f>
        <v/>
      </c>
    </row>
    <row r="1628" customFormat="false" ht="15" hidden="false" customHeight="false" outlineLevel="0" collapsed="false">
      <c r="A1628" s="33" t="str">
        <f aca="false">IF($G1628="","","Retail Banking Group")</f>
        <v/>
      </c>
      <c r="B1628" s="19"/>
      <c r="C1628" s="19"/>
      <c r="D1628" s="19"/>
      <c r="E1628" s="19"/>
      <c r="F1628" s="19"/>
      <c r="G1628" s="19"/>
      <c r="H1628" s="19"/>
      <c r="I1628" s="19"/>
      <c r="J1628" s="19"/>
      <c r="K1628" s="19"/>
      <c r="L1628" s="19"/>
      <c r="M1628" s="19"/>
      <c r="N1628" s="19"/>
      <c r="O1628" s="19"/>
      <c r="P1628" s="19"/>
      <c r="Q1628" s="19"/>
      <c r="R1628" s="19"/>
      <c r="S1628" s="19"/>
      <c r="T1628" s="34" t="str">
        <f aca="false">IF($R1628="","",IFERROR(INDEX(DriverCategory,MATCH($R1628,DriverList,0)),"BAU"))</f>
        <v/>
      </c>
      <c r="U1628" s="34" t="str">
        <f aca="false">IF($R1628="","",IFERROR(INDEX(DriverRank,MATCH($R1628,DriverList,0)),99))</f>
        <v/>
      </c>
      <c r="V1628" s="35" t="n">
        <f aca="false">IF($H1628="",0,IFERROR(INDEX(LevelBasic,MATCH($H1628,LevelList,0))+INDEX(LevelHousing,MATCH($H1628,LevelList,0))+INDEX(LevelTransport,MATCH($H1628,LevelList,0))+INDEX(LevelBasic,MATCH($H1628,LevelList,0))*INDEX(LevelBonus,MATCH($H1628,LevelList,0))+(INDEX(LevelBasic,MATCH($H1628,LevelList,0))+INDEX(LevelHousing,MATCH($H1628,LevelList,0)))*GosiSaudi,0))</f>
        <v>0</v>
      </c>
      <c r="W1628" s="35" t="n">
        <f aca="false">IFERROR(INDEX(LevelOneOff,MATCH($H1628,LevelList,0)),0)</f>
        <v>0</v>
      </c>
      <c r="X1628" s="35" t="str">
        <f aca="false">IF($G1628="","",$V1628*N($L1628))</f>
        <v/>
      </c>
      <c r="Y1628" s="35" t="str">
        <f aca="false">IF($G1628="","",$V1628*(N($M1628)*1+N($N1628)*0.75+N($O1628)*0.5+N($P1628)*0.25)+$W1628*N($L1628))</f>
        <v/>
      </c>
      <c r="Z1628" s="35" t="str">
        <f aca="false">IF($G1628="","",$U1628*1000000+ROW())</f>
        <v/>
      </c>
      <c r="AA1628" s="36" t="str">
        <f aca="false">IF($G1628="","",MID(IF($C1628="",", no division","")&amp;IF($E1628="",", no unit","")&amp;IF($H1628="",", no career level","")&amp;IF(N($L1628)&lt;=0,", no quarter split","")&amp;IF($R1628="",", no driver","")&amp;IF(AND($H1628&lt;&gt;"",COUNTIF(CareerLevels,$H1628)=0),", a career level that is not on the ladder","")&amp;IF(AND($R1628&lt;&gt;"",COUNTIF(DriverList,$R1628)=0),", a driver that is not on the list","")&amp;IF(ABS(N($L1628)-(N($M1628)+N($N1628)+N($O1628)+N($P1628)))&gt;0.001,", a total that does not match its quarters",""),3,300))</f>
        <v/>
      </c>
    </row>
    <row r="1629" customFormat="false" ht="15" hidden="false" customHeight="false" outlineLevel="0" collapsed="false">
      <c r="A1629" s="33" t="str">
        <f aca="false">IF($G1629="","","Retail Banking Group")</f>
        <v/>
      </c>
      <c r="B1629" s="19"/>
      <c r="C1629" s="19"/>
      <c r="D1629" s="19"/>
      <c r="E1629" s="19"/>
      <c r="F1629" s="19"/>
      <c r="G1629" s="19"/>
      <c r="H1629" s="19"/>
      <c r="I1629" s="19"/>
      <c r="J1629" s="19"/>
      <c r="K1629" s="19"/>
      <c r="L1629" s="19"/>
      <c r="M1629" s="19"/>
      <c r="N1629" s="19"/>
      <c r="O1629" s="19"/>
      <c r="P1629" s="19"/>
      <c r="Q1629" s="19"/>
      <c r="R1629" s="19"/>
      <c r="S1629" s="19"/>
      <c r="T1629" s="34" t="str">
        <f aca="false">IF($R1629="","",IFERROR(INDEX(DriverCategory,MATCH($R1629,DriverList,0)),"BAU"))</f>
        <v/>
      </c>
      <c r="U1629" s="34" t="str">
        <f aca="false">IF($R1629="","",IFERROR(INDEX(DriverRank,MATCH($R1629,DriverList,0)),99))</f>
        <v/>
      </c>
      <c r="V1629" s="35" t="n">
        <f aca="false">IF($H1629="",0,IFERROR(INDEX(LevelBasic,MATCH($H1629,LevelList,0))+INDEX(LevelHousing,MATCH($H1629,LevelList,0))+INDEX(LevelTransport,MATCH($H1629,LevelList,0))+INDEX(LevelBasic,MATCH($H1629,LevelList,0))*INDEX(LevelBonus,MATCH($H1629,LevelList,0))+(INDEX(LevelBasic,MATCH($H1629,LevelList,0))+INDEX(LevelHousing,MATCH($H1629,LevelList,0)))*GosiSaudi,0))</f>
        <v>0</v>
      </c>
      <c r="W1629" s="35" t="n">
        <f aca="false">IFERROR(INDEX(LevelOneOff,MATCH($H1629,LevelList,0)),0)</f>
        <v>0</v>
      </c>
      <c r="X1629" s="35" t="str">
        <f aca="false">IF($G1629="","",$V1629*N($L1629))</f>
        <v/>
      </c>
      <c r="Y1629" s="35" t="str">
        <f aca="false">IF($G1629="","",$V1629*(N($M1629)*1+N($N1629)*0.75+N($O1629)*0.5+N($P1629)*0.25)+$W1629*N($L1629))</f>
        <v/>
      </c>
      <c r="Z1629" s="35" t="str">
        <f aca="false">IF($G1629="","",$U1629*1000000+ROW())</f>
        <v/>
      </c>
      <c r="AA1629" s="36" t="str">
        <f aca="false">IF($G1629="","",MID(IF($C1629="",", no division","")&amp;IF($E1629="",", no unit","")&amp;IF($H1629="",", no career level","")&amp;IF(N($L1629)&lt;=0,", no quarter split","")&amp;IF($R1629="",", no driver","")&amp;IF(AND($H1629&lt;&gt;"",COUNTIF(CareerLevels,$H1629)=0),", a career level that is not on the ladder","")&amp;IF(AND($R1629&lt;&gt;"",COUNTIF(DriverList,$R1629)=0),", a driver that is not on the list","")&amp;IF(ABS(N($L1629)-(N($M1629)+N($N1629)+N($O1629)+N($P1629)))&gt;0.001,", a total that does not match its quarters",""),3,300))</f>
        <v/>
      </c>
    </row>
    <row r="1630" customFormat="false" ht="15" hidden="false" customHeight="false" outlineLevel="0" collapsed="false">
      <c r="A1630" s="33" t="str">
        <f aca="false">IF($G1630="","","Retail Banking Group")</f>
        <v/>
      </c>
      <c r="B1630" s="19"/>
      <c r="C1630" s="19"/>
      <c r="D1630" s="19"/>
      <c r="E1630" s="19"/>
      <c r="F1630" s="19"/>
      <c r="G1630" s="19"/>
      <c r="H1630" s="19"/>
      <c r="I1630" s="19"/>
      <c r="J1630" s="19"/>
      <c r="K1630" s="19"/>
      <c r="L1630" s="19"/>
      <c r="M1630" s="19"/>
      <c r="N1630" s="19"/>
      <c r="O1630" s="19"/>
      <c r="P1630" s="19"/>
      <c r="Q1630" s="19"/>
      <c r="R1630" s="19"/>
      <c r="S1630" s="19"/>
      <c r="T1630" s="34" t="str">
        <f aca="false">IF($R1630="","",IFERROR(INDEX(DriverCategory,MATCH($R1630,DriverList,0)),"BAU"))</f>
        <v/>
      </c>
      <c r="U1630" s="34" t="str">
        <f aca="false">IF($R1630="","",IFERROR(INDEX(DriverRank,MATCH($R1630,DriverList,0)),99))</f>
        <v/>
      </c>
      <c r="V1630" s="35" t="n">
        <f aca="false">IF($H1630="",0,IFERROR(INDEX(LevelBasic,MATCH($H1630,LevelList,0))+INDEX(LevelHousing,MATCH($H1630,LevelList,0))+INDEX(LevelTransport,MATCH($H1630,LevelList,0))+INDEX(LevelBasic,MATCH($H1630,LevelList,0))*INDEX(LevelBonus,MATCH($H1630,LevelList,0))+(INDEX(LevelBasic,MATCH($H1630,LevelList,0))+INDEX(LevelHousing,MATCH($H1630,LevelList,0)))*GosiSaudi,0))</f>
        <v>0</v>
      </c>
      <c r="W1630" s="35" t="n">
        <f aca="false">IFERROR(INDEX(LevelOneOff,MATCH($H1630,LevelList,0)),0)</f>
        <v>0</v>
      </c>
      <c r="X1630" s="35" t="str">
        <f aca="false">IF($G1630="","",$V1630*N($L1630))</f>
        <v/>
      </c>
      <c r="Y1630" s="35" t="str">
        <f aca="false">IF($G1630="","",$V1630*(N($M1630)*1+N($N1630)*0.75+N($O1630)*0.5+N($P1630)*0.25)+$W1630*N($L1630))</f>
        <v/>
      </c>
      <c r="Z1630" s="35" t="str">
        <f aca="false">IF($G1630="","",$U1630*1000000+ROW())</f>
        <v/>
      </c>
      <c r="AA1630" s="36" t="str">
        <f aca="false">IF($G1630="","",MID(IF($C1630="",", no division","")&amp;IF($E1630="",", no unit","")&amp;IF($H1630="",", no career level","")&amp;IF(N($L1630)&lt;=0,", no quarter split","")&amp;IF($R1630="",", no driver","")&amp;IF(AND($H1630&lt;&gt;"",COUNTIF(CareerLevels,$H1630)=0),", a career level that is not on the ladder","")&amp;IF(AND($R1630&lt;&gt;"",COUNTIF(DriverList,$R1630)=0),", a driver that is not on the list","")&amp;IF(ABS(N($L1630)-(N($M1630)+N($N1630)+N($O1630)+N($P1630)))&gt;0.001,", a total that does not match its quarters",""),3,300))</f>
        <v/>
      </c>
    </row>
    <row r="1631" customFormat="false" ht="15" hidden="false" customHeight="false" outlineLevel="0" collapsed="false">
      <c r="A1631" s="33" t="str">
        <f aca="false">IF($G1631="","","Retail Banking Group")</f>
        <v/>
      </c>
      <c r="B1631" s="19"/>
      <c r="C1631" s="19"/>
      <c r="D1631" s="19"/>
      <c r="E1631" s="19"/>
      <c r="F1631" s="19"/>
      <c r="G1631" s="19"/>
      <c r="H1631" s="19"/>
      <c r="I1631" s="19"/>
      <c r="J1631" s="19"/>
      <c r="K1631" s="19"/>
      <c r="L1631" s="19"/>
      <c r="M1631" s="19"/>
      <c r="N1631" s="19"/>
      <c r="O1631" s="19"/>
      <c r="P1631" s="19"/>
      <c r="Q1631" s="19"/>
      <c r="R1631" s="19"/>
      <c r="S1631" s="19"/>
      <c r="T1631" s="34" t="str">
        <f aca="false">IF($R1631="","",IFERROR(INDEX(DriverCategory,MATCH($R1631,DriverList,0)),"BAU"))</f>
        <v/>
      </c>
      <c r="U1631" s="34" t="str">
        <f aca="false">IF($R1631="","",IFERROR(INDEX(DriverRank,MATCH($R1631,DriverList,0)),99))</f>
        <v/>
      </c>
      <c r="V1631" s="35" t="n">
        <f aca="false">IF($H1631="",0,IFERROR(INDEX(LevelBasic,MATCH($H1631,LevelList,0))+INDEX(LevelHousing,MATCH($H1631,LevelList,0))+INDEX(LevelTransport,MATCH($H1631,LevelList,0))+INDEX(LevelBasic,MATCH($H1631,LevelList,0))*INDEX(LevelBonus,MATCH($H1631,LevelList,0))+(INDEX(LevelBasic,MATCH($H1631,LevelList,0))+INDEX(LevelHousing,MATCH($H1631,LevelList,0)))*GosiSaudi,0))</f>
        <v>0</v>
      </c>
      <c r="W1631" s="35" t="n">
        <f aca="false">IFERROR(INDEX(LevelOneOff,MATCH($H1631,LevelList,0)),0)</f>
        <v>0</v>
      </c>
      <c r="X1631" s="35" t="str">
        <f aca="false">IF($G1631="","",$V1631*N($L1631))</f>
        <v/>
      </c>
      <c r="Y1631" s="35" t="str">
        <f aca="false">IF($G1631="","",$V1631*(N($M1631)*1+N($N1631)*0.75+N($O1631)*0.5+N($P1631)*0.25)+$W1631*N($L1631))</f>
        <v/>
      </c>
      <c r="Z1631" s="35" t="str">
        <f aca="false">IF($G1631="","",$U1631*1000000+ROW())</f>
        <v/>
      </c>
      <c r="AA1631" s="36" t="str">
        <f aca="false">IF($G1631="","",MID(IF($C1631="",", no division","")&amp;IF($E1631="",", no unit","")&amp;IF($H1631="",", no career level","")&amp;IF(N($L1631)&lt;=0,", no quarter split","")&amp;IF($R1631="",", no driver","")&amp;IF(AND($H1631&lt;&gt;"",COUNTIF(CareerLevels,$H1631)=0),", a career level that is not on the ladder","")&amp;IF(AND($R1631&lt;&gt;"",COUNTIF(DriverList,$R1631)=0),", a driver that is not on the list","")&amp;IF(ABS(N($L1631)-(N($M1631)+N($N1631)+N($O1631)+N($P1631)))&gt;0.001,", a total that does not match its quarters",""),3,300))</f>
        <v/>
      </c>
    </row>
    <row r="1632" customFormat="false" ht="15" hidden="false" customHeight="false" outlineLevel="0" collapsed="false">
      <c r="A1632" s="33" t="str">
        <f aca="false">IF($G1632="","","Retail Banking Group")</f>
        <v/>
      </c>
      <c r="B1632" s="19"/>
      <c r="C1632" s="19"/>
      <c r="D1632" s="19"/>
      <c r="E1632" s="19"/>
      <c r="F1632" s="19"/>
      <c r="G1632" s="19"/>
      <c r="H1632" s="19"/>
      <c r="I1632" s="19"/>
      <c r="J1632" s="19"/>
      <c r="K1632" s="19"/>
      <c r="L1632" s="19"/>
      <c r="M1632" s="19"/>
      <c r="N1632" s="19"/>
      <c r="O1632" s="19"/>
      <c r="P1632" s="19"/>
      <c r="Q1632" s="19"/>
      <c r="R1632" s="19"/>
      <c r="S1632" s="19"/>
      <c r="T1632" s="34" t="str">
        <f aca="false">IF($R1632="","",IFERROR(INDEX(DriverCategory,MATCH($R1632,DriverList,0)),"BAU"))</f>
        <v/>
      </c>
      <c r="U1632" s="34" t="str">
        <f aca="false">IF($R1632="","",IFERROR(INDEX(DriverRank,MATCH($R1632,DriverList,0)),99))</f>
        <v/>
      </c>
      <c r="V1632" s="35" t="n">
        <f aca="false">IF($H1632="",0,IFERROR(INDEX(LevelBasic,MATCH($H1632,LevelList,0))+INDEX(LevelHousing,MATCH($H1632,LevelList,0))+INDEX(LevelTransport,MATCH($H1632,LevelList,0))+INDEX(LevelBasic,MATCH($H1632,LevelList,0))*INDEX(LevelBonus,MATCH($H1632,LevelList,0))+(INDEX(LevelBasic,MATCH($H1632,LevelList,0))+INDEX(LevelHousing,MATCH($H1632,LevelList,0)))*GosiSaudi,0))</f>
        <v>0</v>
      </c>
      <c r="W1632" s="35" t="n">
        <f aca="false">IFERROR(INDEX(LevelOneOff,MATCH($H1632,LevelList,0)),0)</f>
        <v>0</v>
      </c>
      <c r="X1632" s="35" t="str">
        <f aca="false">IF($G1632="","",$V1632*N($L1632))</f>
        <v/>
      </c>
      <c r="Y1632" s="35" t="str">
        <f aca="false">IF($G1632="","",$V1632*(N($M1632)*1+N($N1632)*0.75+N($O1632)*0.5+N($P1632)*0.25)+$W1632*N($L1632))</f>
        <v/>
      </c>
      <c r="Z1632" s="35" t="str">
        <f aca="false">IF($G1632="","",$U1632*1000000+ROW())</f>
        <v/>
      </c>
      <c r="AA1632" s="36" t="str">
        <f aca="false">IF($G1632="","",MID(IF($C1632="",", no division","")&amp;IF($E1632="",", no unit","")&amp;IF($H1632="",", no career level","")&amp;IF(N($L1632)&lt;=0,", no quarter split","")&amp;IF($R1632="",", no driver","")&amp;IF(AND($H1632&lt;&gt;"",COUNTIF(CareerLevels,$H1632)=0),", a career level that is not on the ladder","")&amp;IF(AND($R1632&lt;&gt;"",COUNTIF(DriverList,$R1632)=0),", a driver that is not on the list","")&amp;IF(ABS(N($L1632)-(N($M1632)+N($N1632)+N($O1632)+N($P1632)))&gt;0.001,", a total that does not match its quarters",""),3,300))</f>
        <v/>
      </c>
    </row>
    <row r="1633" customFormat="false" ht="15" hidden="false" customHeight="false" outlineLevel="0" collapsed="false">
      <c r="A1633" s="33" t="str">
        <f aca="false">IF($G1633="","","Retail Banking Group")</f>
        <v/>
      </c>
      <c r="B1633" s="19"/>
      <c r="C1633" s="19"/>
      <c r="D1633" s="19"/>
      <c r="E1633" s="19"/>
      <c r="F1633" s="19"/>
      <c r="G1633" s="19"/>
      <c r="H1633" s="19"/>
      <c r="I1633" s="19"/>
      <c r="J1633" s="19"/>
      <c r="K1633" s="19"/>
      <c r="L1633" s="19"/>
      <c r="M1633" s="19"/>
      <c r="N1633" s="19"/>
      <c r="O1633" s="19"/>
      <c r="P1633" s="19"/>
      <c r="Q1633" s="19"/>
      <c r="R1633" s="19"/>
      <c r="S1633" s="19"/>
      <c r="T1633" s="34" t="str">
        <f aca="false">IF($R1633="","",IFERROR(INDEX(DriverCategory,MATCH($R1633,DriverList,0)),"BAU"))</f>
        <v/>
      </c>
      <c r="U1633" s="34" t="str">
        <f aca="false">IF($R1633="","",IFERROR(INDEX(DriverRank,MATCH($R1633,DriverList,0)),99))</f>
        <v/>
      </c>
      <c r="V1633" s="35" t="n">
        <f aca="false">IF($H1633="",0,IFERROR(INDEX(LevelBasic,MATCH($H1633,LevelList,0))+INDEX(LevelHousing,MATCH($H1633,LevelList,0))+INDEX(LevelTransport,MATCH($H1633,LevelList,0))+INDEX(LevelBasic,MATCH($H1633,LevelList,0))*INDEX(LevelBonus,MATCH($H1633,LevelList,0))+(INDEX(LevelBasic,MATCH($H1633,LevelList,0))+INDEX(LevelHousing,MATCH($H1633,LevelList,0)))*GosiSaudi,0))</f>
        <v>0</v>
      </c>
      <c r="W1633" s="35" t="n">
        <f aca="false">IFERROR(INDEX(LevelOneOff,MATCH($H1633,LevelList,0)),0)</f>
        <v>0</v>
      </c>
      <c r="X1633" s="35" t="str">
        <f aca="false">IF($G1633="","",$V1633*N($L1633))</f>
        <v/>
      </c>
      <c r="Y1633" s="35" t="str">
        <f aca="false">IF($G1633="","",$V1633*(N($M1633)*1+N($N1633)*0.75+N($O1633)*0.5+N($P1633)*0.25)+$W1633*N($L1633))</f>
        <v/>
      </c>
      <c r="Z1633" s="35" t="str">
        <f aca="false">IF($G1633="","",$U1633*1000000+ROW())</f>
        <v/>
      </c>
      <c r="AA1633" s="36" t="str">
        <f aca="false">IF($G1633="","",MID(IF($C1633="",", no division","")&amp;IF($E1633="",", no unit","")&amp;IF($H1633="",", no career level","")&amp;IF(N($L1633)&lt;=0,", no quarter split","")&amp;IF($R1633="",", no driver","")&amp;IF(AND($H1633&lt;&gt;"",COUNTIF(CareerLevels,$H1633)=0),", a career level that is not on the ladder","")&amp;IF(AND($R1633&lt;&gt;"",COUNTIF(DriverList,$R1633)=0),", a driver that is not on the list","")&amp;IF(ABS(N($L1633)-(N($M1633)+N($N1633)+N($O1633)+N($P1633)))&gt;0.001,", a total that does not match its quarters",""),3,300))</f>
        <v/>
      </c>
    </row>
    <row r="1634" customFormat="false" ht="15" hidden="false" customHeight="false" outlineLevel="0" collapsed="false">
      <c r="A1634" s="33" t="str">
        <f aca="false">IF($G1634="","","Retail Banking Group")</f>
        <v/>
      </c>
      <c r="B1634" s="19"/>
      <c r="C1634" s="19"/>
      <c r="D1634" s="19"/>
      <c r="E1634" s="19"/>
      <c r="F1634" s="19"/>
      <c r="G1634" s="19"/>
      <c r="H1634" s="19"/>
      <c r="I1634" s="19"/>
      <c r="J1634" s="19"/>
      <c r="K1634" s="19"/>
      <c r="L1634" s="19"/>
      <c r="M1634" s="19"/>
      <c r="N1634" s="19"/>
      <c r="O1634" s="19"/>
      <c r="P1634" s="19"/>
      <c r="Q1634" s="19"/>
      <c r="R1634" s="19"/>
      <c r="S1634" s="19"/>
      <c r="T1634" s="34" t="str">
        <f aca="false">IF($R1634="","",IFERROR(INDEX(DriverCategory,MATCH($R1634,DriverList,0)),"BAU"))</f>
        <v/>
      </c>
      <c r="U1634" s="34" t="str">
        <f aca="false">IF($R1634="","",IFERROR(INDEX(DriverRank,MATCH($R1634,DriverList,0)),99))</f>
        <v/>
      </c>
      <c r="V1634" s="35" t="n">
        <f aca="false">IF($H1634="",0,IFERROR(INDEX(LevelBasic,MATCH($H1634,LevelList,0))+INDEX(LevelHousing,MATCH($H1634,LevelList,0))+INDEX(LevelTransport,MATCH($H1634,LevelList,0))+INDEX(LevelBasic,MATCH($H1634,LevelList,0))*INDEX(LevelBonus,MATCH($H1634,LevelList,0))+(INDEX(LevelBasic,MATCH($H1634,LevelList,0))+INDEX(LevelHousing,MATCH($H1634,LevelList,0)))*GosiSaudi,0))</f>
        <v>0</v>
      </c>
      <c r="W1634" s="35" t="n">
        <f aca="false">IFERROR(INDEX(LevelOneOff,MATCH($H1634,LevelList,0)),0)</f>
        <v>0</v>
      </c>
      <c r="X1634" s="35" t="str">
        <f aca="false">IF($G1634="","",$V1634*N($L1634))</f>
        <v/>
      </c>
      <c r="Y1634" s="35" t="str">
        <f aca="false">IF($G1634="","",$V1634*(N($M1634)*1+N($N1634)*0.75+N($O1634)*0.5+N($P1634)*0.25)+$W1634*N($L1634))</f>
        <v/>
      </c>
      <c r="Z1634" s="35" t="str">
        <f aca="false">IF($G1634="","",$U1634*1000000+ROW())</f>
        <v/>
      </c>
      <c r="AA1634" s="36" t="str">
        <f aca="false">IF($G1634="","",MID(IF($C1634="",", no division","")&amp;IF($E1634="",", no unit","")&amp;IF($H1634="",", no career level","")&amp;IF(N($L1634)&lt;=0,", no quarter split","")&amp;IF($R1634="",", no driver","")&amp;IF(AND($H1634&lt;&gt;"",COUNTIF(CareerLevels,$H1634)=0),", a career level that is not on the ladder","")&amp;IF(AND($R1634&lt;&gt;"",COUNTIF(DriverList,$R1634)=0),", a driver that is not on the list","")&amp;IF(ABS(N($L1634)-(N($M1634)+N($N1634)+N($O1634)+N($P1634)))&gt;0.001,", a total that does not match its quarters",""),3,300))</f>
        <v/>
      </c>
    </row>
    <row r="1635" customFormat="false" ht="15" hidden="false" customHeight="false" outlineLevel="0" collapsed="false">
      <c r="A1635" s="33" t="str">
        <f aca="false">IF($G1635="","","Retail Banking Group")</f>
        <v/>
      </c>
      <c r="B1635" s="19"/>
      <c r="C1635" s="19"/>
      <c r="D1635" s="19"/>
      <c r="E1635" s="19"/>
      <c r="F1635" s="19"/>
      <c r="G1635" s="19"/>
      <c r="H1635" s="19"/>
      <c r="I1635" s="19"/>
      <c r="J1635" s="19"/>
      <c r="K1635" s="19"/>
      <c r="L1635" s="19"/>
      <c r="M1635" s="19"/>
      <c r="N1635" s="19"/>
      <c r="O1635" s="19"/>
      <c r="P1635" s="19"/>
      <c r="Q1635" s="19"/>
      <c r="R1635" s="19"/>
      <c r="S1635" s="19"/>
      <c r="T1635" s="34" t="str">
        <f aca="false">IF($R1635="","",IFERROR(INDEX(DriverCategory,MATCH($R1635,DriverList,0)),"BAU"))</f>
        <v/>
      </c>
      <c r="U1635" s="34" t="str">
        <f aca="false">IF($R1635="","",IFERROR(INDEX(DriverRank,MATCH($R1635,DriverList,0)),99))</f>
        <v/>
      </c>
      <c r="V1635" s="35" t="n">
        <f aca="false">IF($H1635="",0,IFERROR(INDEX(LevelBasic,MATCH($H1635,LevelList,0))+INDEX(LevelHousing,MATCH($H1635,LevelList,0))+INDEX(LevelTransport,MATCH($H1635,LevelList,0))+INDEX(LevelBasic,MATCH($H1635,LevelList,0))*INDEX(LevelBonus,MATCH($H1635,LevelList,0))+(INDEX(LevelBasic,MATCH($H1635,LevelList,0))+INDEX(LevelHousing,MATCH($H1635,LevelList,0)))*GosiSaudi,0))</f>
        <v>0</v>
      </c>
      <c r="W1635" s="35" t="n">
        <f aca="false">IFERROR(INDEX(LevelOneOff,MATCH($H1635,LevelList,0)),0)</f>
        <v>0</v>
      </c>
      <c r="X1635" s="35" t="str">
        <f aca="false">IF($G1635="","",$V1635*N($L1635))</f>
        <v/>
      </c>
      <c r="Y1635" s="35" t="str">
        <f aca="false">IF($G1635="","",$V1635*(N($M1635)*1+N($N1635)*0.75+N($O1635)*0.5+N($P1635)*0.25)+$W1635*N($L1635))</f>
        <v/>
      </c>
      <c r="Z1635" s="35" t="str">
        <f aca="false">IF($G1635="","",$U1635*1000000+ROW())</f>
        <v/>
      </c>
      <c r="AA1635" s="36" t="str">
        <f aca="false">IF($G1635="","",MID(IF($C1635="",", no division","")&amp;IF($E1635="",", no unit","")&amp;IF($H1635="",", no career level","")&amp;IF(N($L1635)&lt;=0,", no quarter split","")&amp;IF($R1635="",", no driver","")&amp;IF(AND($H1635&lt;&gt;"",COUNTIF(CareerLevels,$H1635)=0),", a career level that is not on the ladder","")&amp;IF(AND($R1635&lt;&gt;"",COUNTIF(DriverList,$R1635)=0),", a driver that is not on the list","")&amp;IF(ABS(N($L1635)-(N($M1635)+N($N1635)+N($O1635)+N($P1635)))&gt;0.001,", a total that does not match its quarters",""),3,300))</f>
        <v/>
      </c>
    </row>
    <row r="1636" customFormat="false" ht="15" hidden="false" customHeight="false" outlineLevel="0" collapsed="false">
      <c r="A1636" s="33" t="str">
        <f aca="false">IF($G1636="","","Retail Banking Group")</f>
        <v/>
      </c>
      <c r="B1636" s="19"/>
      <c r="C1636" s="19"/>
      <c r="D1636" s="19"/>
      <c r="E1636" s="19"/>
      <c r="F1636" s="19"/>
      <c r="G1636" s="19"/>
      <c r="H1636" s="19"/>
      <c r="I1636" s="19"/>
      <c r="J1636" s="19"/>
      <c r="K1636" s="19"/>
      <c r="L1636" s="19"/>
      <c r="M1636" s="19"/>
      <c r="N1636" s="19"/>
      <c r="O1636" s="19"/>
      <c r="P1636" s="19"/>
      <c r="Q1636" s="19"/>
      <c r="R1636" s="19"/>
      <c r="S1636" s="19"/>
      <c r="T1636" s="34" t="str">
        <f aca="false">IF($R1636="","",IFERROR(INDEX(DriverCategory,MATCH($R1636,DriverList,0)),"BAU"))</f>
        <v/>
      </c>
      <c r="U1636" s="34" t="str">
        <f aca="false">IF($R1636="","",IFERROR(INDEX(DriverRank,MATCH($R1636,DriverList,0)),99))</f>
        <v/>
      </c>
      <c r="V1636" s="35" t="n">
        <f aca="false">IF($H1636="",0,IFERROR(INDEX(LevelBasic,MATCH($H1636,LevelList,0))+INDEX(LevelHousing,MATCH($H1636,LevelList,0))+INDEX(LevelTransport,MATCH($H1636,LevelList,0))+INDEX(LevelBasic,MATCH($H1636,LevelList,0))*INDEX(LevelBonus,MATCH($H1636,LevelList,0))+(INDEX(LevelBasic,MATCH($H1636,LevelList,0))+INDEX(LevelHousing,MATCH($H1636,LevelList,0)))*GosiSaudi,0))</f>
        <v>0</v>
      </c>
      <c r="W1636" s="35" t="n">
        <f aca="false">IFERROR(INDEX(LevelOneOff,MATCH($H1636,LevelList,0)),0)</f>
        <v>0</v>
      </c>
      <c r="X1636" s="35" t="str">
        <f aca="false">IF($G1636="","",$V1636*N($L1636))</f>
        <v/>
      </c>
      <c r="Y1636" s="35" t="str">
        <f aca="false">IF($G1636="","",$V1636*(N($M1636)*1+N($N1636)*0.75+N($O1636)*0.5+N($P1636)*0.25)+$W1636*N($L1636))</f>
        <v/>
      </c>
      <c r="Z1636" s="35" t="str">
        <f aca="false">IF($G1636="","",$U1636*1000000+ROW())</f>
        <v/>
      </c>
      <c r="AA1636" s="36" t="str">
        <f aca="false">IF($G1636="","",MID(IF($C1636="",", no division","")&amp;IF($E1636="",", no unit","")&amp;IF($H1636="",", no career level","")&amp;IF(N($L1636)&lt;=0,", no quarter split","")&amp;IF($R1636="",", no driver","")&amp;IF(AND($H1636&lt;&gt;"",COUNTIF(CareerLevels,$H1636)=0),", a career level that is not on the ladder","")&amp;IF(AND($R1636&lt;&gt;"",COUNTIF(DriverList,$R1636)=0),", a driver that is not on the list","")&amp;IF(ABS(N($L1636)-(N($M1636)+N($N1636)+N($O1636)+N($P1636)))&gt;0.001,", a total that does not match its quarters",""),3,300))</f>
        <v/>
      </c>
    </row>
    <row r="1637" customFormat="false" ht="15" hidden="false" customHeight="false" outlineLevel="0" collapsed="false">
      <c r="A1637" s="33" t="str">
        <f aca="false">IF($G1637="","","Retail Banking Group")</f>
        <v/>
      </c>
      <c r="B1637" s="19"/>
      <c r="C1637" s="19"/>
      <c r="D1637" s="19"/>
      <c r="E1637" s="19"/>
      <c r="F1637" s="19"/>
      <c r="G1637" s="19"/>
      <c r="H1637" s="19"/>
      <c r="I1637" s="19"/>
      <c r="J1637" s="19"/>
      <c r="K1637" s="19"/>
      <c r="L1637" s="19"/>
      <c r="M1637" s="19"/>
      <c r="N1637" s="19"/>
      <c r="O1637" s="19"/>
      <c r="P1637" s="19"/>
      <c r="Q1637" s="19"/>
      <c r="R1637" s="19"/>
      <c r="S1637" s="19"/>
      <c r="T1637" s="34" t="str">
        <f aca="false">IF($R1637="","",IFERROR(INDEX(DriverCategory,MATCH($R1637,DriverList,0)),"BAU"))</f>
        <v/>
      </c>
      <c r="U1637" s="34" t="str">
        <f aca="false">IF($R1637="","",IFERROR(INDEX(DriverRank,MATCH($R1637,DriverList,0)),99))</f>
        <v/>
      </c>
      <c r="V1637" s="35" t="n">
        <f aca="false">IF($H1637="",0,IFERROR(INDEX(LevelBasic,MATCH($H1637,LevelList,0))+INDEX(LevelHousing,MATCH($H1637,LevelList,0))+INDEX(LevelTransport,MATCH($H1637,LevelList,0))+INDEX(LevelBasic,MATCH($H1637,LevelList,0))*INDEX(LevelBonus,MATCH($H1637,LevelList,0))+(INDEX(LevelBasic,MATCH($H1637,LevelList,0))+INDEX(LevelHousing,MATCH($H1637,LevelList,0)))*GosiSaudi,0))</f>
        <v>0</v>
      </c>
      <c r="W1637" s="35" t="n">
        <f aca="false">IFERROR(INDEX(LevelOneOff,MATCH($H1637,LevelList,0)),0)</f>
        <v>0</v>
      </c>
      <c r="X1637" s="35" t="str">
        <f aca="false">IF($G1637="","",$V1637*N($L1637))</f>
        <v/>
      </c>
      <c r="Y1637" s="35" t="str">
        <f aca="false">IF($G1637="","",$V1637*(N($M1637)*1+N($N1637)*0.75+N($O1637)*0.5+N($P1637)*0.25)+$W1637*N($L1637))</f>
        <v/>
      </c>
      <c r="Z1637" s="35" t="str">
        <f aca="false">IF($G1637="","",$U1637*1000000+ROW())</f>
        <v/>
      </c>
      <c r="AA1637" s="36" t="str">
        <f aca="false">IF($G1637="","",MID(IF($C1637="",", no division","")&amp;IF($E1637="",", no unit","")&amp;IF($H1637="",", no career level","")&amp;IF(N($L1637)&lt;=0,", no quarter split","")&amp;IF($R1637="",", no driver","")&amp;IF(AND($H1637&lt;&gt;"",COUNTIF(CareerLevels,$H1637)=0),", a career level that is not on the ladder","")&amp;IF(AND($R1637&lt;&gt;"",COUNTIF(DriverList,$R1637)=0),", a driver that is not on the list","")&amp;IF(ABS(N($L1637)-(N($M1637)+N($N1637)+N($O1637)+N($P1637)))&gt;0.001,", a total that does not match its quarters",""),3,300))</f>
        <v/>
      </c>
    </row>
    <row r="1638" customFormat="false" ht="15" hidden="false" customHeight="false" outlineLevel="0" collapsed="false">
      <c r="A1638" s="33" t="str">
        <f aca="false">IF($G1638="","","Retail Banking Group")</f>
        <v/>
      </c>
      <c r="B1638" s="19"/>
      <c r="C1638" s="19"/>
      <c r="D1638" s="19"/>
      <c r="E1638" s="19"/>
      <c r="F1638" s="19"/>
      <c r="G1638" s="19"/>
      <c r="H1638" s="19"/>
      <c r="I1638" s="19"/>
      <c r="J1638" s="19"/>
      <c r="K1638" s="19"/>
      <c r="L1638" s="19"/>
      <c r="M1638" s="19"/>
      <c r="N1638" s="19"/>
      <c r="O1638" s="19"/>
      <c r="P1638" s="19"/>
      <c r="Q1638" s="19"/>
      <c r="R1638" s="19"/>
      <c r="S1638" s="19"/>
      <c r="T1638" s="34" t="str">
        <f aca="false">IF($R1638="","",IFERROR(INDEX(DriverCategory,MATCH($R1638,DriverList,0)),"BAU"))</f>
        <v/>
      </c>
      <c r="U1638" s="34" t="str">
        <f aca="false">IF($R1638="","",IFERROR(INDEX(DriverRank,MATCH($R1638,DriverList,0)),99))</f>
        <v/>
      </c>
      <c r="V1638" s="35" t="n">
        <f aca="false">IF($H1638="",0,IFERROR(INDEX(LevelBasic,MATCH($H1638,LevelList,0))+INDEX(LevelHousing,MATCH($H1638,LevelList,0))+INDEX(LevelTransport,MATCH($H1638,LevelList,0))+INDEX(LevelBasic,MATCH($H1638,LevelList,0))*INDEX(LevelBonus,MATCH($H1638,LevelList,0))+(INDEX(LevelBasic,MATCH($H1638,LevelList,0))+INDEX(LevelHousing,MATCH($H1638,LevelList,0)))*GosiSaudi,0))</f>
        <v>0</v>
      </c>
      <c r="W1638" s="35" t="n">
        <f aca="false">IFERROR(INDEX(LevelOneOff,MATCH($H1638,LevelList,0)),0)</f>
        <v>0</v>
      </c>
      <c r="X1638" s="35" t="str">
        <f aca="false">IF($G1638="","",$V1638*N($L1638))</f>
        <v/>
      </c>
      <c r="Y1638" s="35" t="str">
        <f aca="false">IF($G1638="","",$V1638*(N($M1638)*1+N($N1638)*0.75+N($O1638)*0.5+N($P1638)*0.25)+$W1638*N($L1638))</f>
        <v/>
      </c>
      <c r="Z1638" s="35" t="str">
        <f aca="false">IF($G1638="","",$U1638*1000000+ROW())</f>
        <v/>
      </c>
      <c r="AA1638" s="36" t="str">
        <f aca="false">IF($G1638="","",MID(IF($C1638="",", no division","")&amp;IF($E1638="",", no unit","")&amp;IF($H1638="",", no career level","")&amp;IF(N($L1638)&lt;=0,", no quarter split","")&amp;IF($R1638="",", no driver","")&amp;IF(AND($H1638&lt;&gt;"",COUNTIF(CareerLevels,$H1638)=0),", a career level that is not on the ladder","")&amp;IF(AND($R1638&lt;&gt;"",COUNTIF(DriverList,$R1638)=0),", a driver that is not on the list","")&amp;IF(ABS(N($L1638)-(N($M1638)+N($N1638)+N($O1638)+N($P1638)))&gt;0.001,", a total that does not match its quarters",""),3,300))</f>
        <v/>
      </c>
    </row>
    <row r="1639" customFormat="false" ht="15" hidden="false" customHeight="false" outlineLevel="0" collapsed="false">
      <c r="A1639" s="33" t="str">
        <f aca="false">IF($G1639="","","Retail Banking Group")</f>
        <v/>
      </c>
      <c r="B1639" s="19"/>
      <c r="C1639" s="19"/>
      <c r="D1639" s="19"/>
      <c r="E1639" s="19"/>
      <c r="F1639" s="19"/>
      <c r="G1639" s="19"/>
      <c r="H1639" s="19"/>
      <c r="I1639" s="19"/>
      <c r="J1639" s="19"/>
      <c r="K1639" s="19"/>
      <c r="L1639" s="19"/>
      <c r="M1639" s="19"/>
      <c r="N1639" s="19"/>
      <c r="O1639" s="19"/>
      <c r="P1639" s="19"/>
      <c r="Q1639" s="19"/>
      <c r="R1639" s="19"/>
      <c r="S1639" s="19"/>
      <c r="T1639" s="34" t="str">
        <f aca="false">IF($R1639="","",IFERROR(INDEX(DriverCategory,MATCH($R1639,DriverList,0)),"BAU"))</f>
        <v/>
      </c>
      <c r="U1639" s="34" t="str">
        <f aca="false">IF($R1639="","",IFERROR(INDEX(DriverRank,MATCH($R1639,DriverList,0)),99))</f>
        <v/>
      </c>
      <c r="V1639" s="35" t="n">
        <f aca="false">IF($H1639="",0,IFERROR(INDEX(LevelBasic,MATCH($H1639,LevelList,0))+INDEX(LevelHousing,MATCH($H1639,LevelList,0))+INDEX(LevelTransport,MATCH($H1639,LevelList,0))+INDEX(LevelBasic,MATCH($H1639,LevelList,0))*INDEX(LevelBonus,MATCH($H1639,LevelList,0))+(INDEX(LevelBasic,MATCH($H1639,LevelList,0))+INDEX(LevelHousing,MATCH($H1639,LevelList,0)))*GosiSaudi,0))</f>
        <v>0</v>
      </c>
      <c r="W1639" s="35" t="n">
        <f aca="false">IFERROR(INDEX(LevelOneOff,MATCH($H1639,LevelList,0)),0)</f>
        <v>0</v>
      </c>
      <c r="X1639" s="35" t="str">
        <f aca="false">IF($G1639="","",$V1639*N($L1639))</f>
        <v/>
      </c>
      <c r="Y1639" s="35" t="str">
        <f aca="false">IF($G1639="","",$V1639*(N($M1639)*1+N($N1639)*0.75+N($O1639)*0.5+N($P1639)*0.25)+$W1639*N($L1639))</f>
        <v/>
      </c>
      <c r="Z1639" s="35" t="str">
        <f aca="false">IF($G1639="","",$U1639*1000000+ROW())</f>
        <v/>
      </c>
      <c r="AA1639" s="36" t="str">
        <f aca="false">IF($G1639="","",MID(IF($C1639="",", no division","")&amp;IF($E1639="",", no unit","")&amp;IF($H1639="",", no career level","")&amp;IF(N($L1639)&lt;=0,", no quarter split","")&amp;IF($R1639="",", no driver","")&amp;IF(AND($H1639&lt;&gt;"",COUNTIF(CareerLevels,$H1639)=0),", a career level that is not on the ladder","")&amp;IF(AND($R1639&lt;&gt;"",COUNTIF(DriverList,$R1639)=0),", a driver that is not on the list","")&amp;IF(ABS(N($L1639)-(N($M1639)+N($N1639)+N($O1639)+N($P1639)))&gt;0.001,", a total that does not match its quarters",""),3,300))</f>
        <v/>
      </c>
    </row>
    <row r="1640" customFormat="false" ht="15" hidden="false" customHeight="false" outlineLevel="0" collapsed="false">
      <c r="A1640" s="33" t="str">
        <f aca="false">IF($G1640="","","Retail Banking Group")</f>
        <v/>
      </c>
      <c r="B1640" s="19"/>
      <c r="C1640" s="19"/>
      <c r="D1640" s="19"/>
      <c r="E1640" s="19"/>
      <c r="F1640" s="19"/>
      <c r="G1640" s="19"/>
      <c r="H1640" s="19"/>
      <c r="I1640" s="19"/>
      <c r="J1640" s="19"/>
      <c r="K1640" s="19"/>
      <c r="L1640" s="19"/>
      <c r="M1640" s="19"/>
      <c r="N1640" s="19"/>
      <c r="O1640" s="19"/>
      <c r="P1640" s="19"/>
      <c r="Q1640" s="19"/>
      <c r="R1640" s="19"/>
      <c r="S1640" s="19"/>
      <c r="T1640" s="34" t="str">
        <f aca="false">IF($R1640="","",IFERROR(INDEX(DriverCategory,MATCH($R1640,DriverList,0)),"BAU"))</f>
        <v/>
      </c>
      <c r="U1640" s="34" t="str">
        <f aca="false">IF($R1640="","",IFERROR(INDEX(DriverRank,MATCH($R1640,DriverList,0)),99))</f>
        <v/>
      </c>
      <c r="V1640" s="35" t="n">
        <f aca="false">IF($H1640="",0,IFERROR(INDEX(LevelBasic,MATCH($H1640,LevelList,0))+INDEX(LevelHousing,MATCH($H1640,LevelList,0))+INDEX(LevelTransport,MATCH($H1640,LevelList,0))+INDEX(LevelBasic,MATCH($H1640,LevelList,0))*INDEX(LevelBonus,MATCH($H1640,LevelList,0))+(INDEX(LevelBasic,MATCH($H1640,LevelList,0))+INDEX(LevelHousing,MATCH($H1640,LevelList,0)))*GosiSaudi,0))</f>
        <v>0</v>
      </c>
      <c r="W1640" s="35" t="n">
        <f aca="false">IFERROR(INDEX(LevelOneOff,MATCH($H1640,LevelList,0)),0)</f>
        <v>0</v>
      </c>
      <c r="X1640" s="35" t="str">
        <f aca="false">IF($G1640="","",$V1640*N($L1640))</f>
        <v/>
      </c>
      <c r="Y1640" s="35" t="str">
        <f aca="false">IF($G1640="","",$V1640*(N($M1640)*1+N($N1640)*0.75+N($O1640)*0.5+N($P1640)*0.25)+$W1640*N($L1640))</f>
        <v/>
      </c>
      <c r="Z1640" s="35" t="str">
        <f aca="false">IF($G1640="","",$U1640*1000000+ROW())</f>
        <v/>
      </c>
      <c r="AA1640" s="36" t="str">
        <f aca="false">IF($G1640="","",MID(IF($C1640="",", no division","")&amp;IF($E1640="",", no unit","")&amp;IF($H1640="",", no career level","")&amp;IF(N($L1640)&lt;=0,", no quarter split","")&amp;IF($R1640="",", no driver","")&amp;IF(AND($H1640&lt;&gt;"",COUNTIF(CareerLevels,$H1640)=0),", a career level that is not on the ladder","")&amp;IF(AND($R1640&lt;&gt;"",COUNTIF(DriverList,$R1640)=0),", a driver that is not on the list","")&amp;IF(ABS(N($L1640)-(N($M1640)+N($N1640)+N($O1640)+N($P1640)))&gt;0.001,", a total that does not match its quarters",""),3,300))</f>
        <v/>
      </c>
    </row>
    <row r="1641" customFormat="false" ht="15" hidden="false" customHeight="false" outlineLevel="0" collapsed="false">
      <c r="A1641" s="33" t="str">
        <f aca="false">IF($G1641="","","Retail Banking Group")</f>
        <v/>
      </c>
      <c r="B1641" s="19"/>
      <c r="C1641" s="19"/>
      <c r="D1641" s="19"/>
      <c r="E1641" s="19"/>
      <c r="F1641" s="19"/>
      <c r="G1641" s="19"/>
      <c r="H1641" s="19"/>
      <c r="I1641" s="19"/>
      <c r="J1641" s="19"/>
      <c r="K1641" s="19"/>
      <c r="L1641" s="19"/>
      <c r="M1641" s="19"/>
      <c r="N1641" s="19"/>
      <c r="O1641" s="19"/>
      <c r="P1641" s="19"/>
      <c r="Q1641" s="19"/>
      <c r="R1641" s="19"/>
      <c r="S1641" s="19"/>
      <c r="T1641" s="34" t="str">
        <f aca="false">IF($R1641="","",IFERROR(INDEX(DriverCategory,MATCH($R1641,DriverList,0)),"BAU"))</f>
        <v/>
      </c>
      <c r="U1641" s="34" t="str">
        <f aca="false">IF($R1641="","",IFERROR(INDEX(DriverRank,MATCH($R1641,DriverList,0)),99))</f>
        <v/>
      </c>
      <c r="V1641" s="35" t="n">
        <f aca="false">IF($H1641="",0,IFERROR(INDEX(LevelBasic,MATCH($H1641,LevelList,0))+INDEX(LevelHousing,MATCH($H1641,LevelList,0))+INDEX(LevelTransport,MATCH($H1641,LevelList,0))+INDEX(LevelBasic,MATCH($H1641,LevelList,0))*INDEX(LevelBonus,MATCH($H1641,LevelList,0))+(INDEX(LevelBasic,MATCH($H1641,LevelList,0))+INDEX(LevelHousing,MATCH($H1641,LevelList,0)))*GosiSaudi,0))</f>
        <v>0</v>
      </c>
      <c r="W1641" s="35" t="n">
        <f aca="false">IFERROR(INDEX(LevelOneOff,MATCH($H1641,LevelList,0)),0)</f>
        <v>0</v>
      </c>
      <c r="X1641" s="35" t="str">
        <f aca="false">IF($G1641="","",$V1641*N($L1641))</f>
        <v/>
      </c>
      <c r="Y1641" s="35" t="str">
        <f aca="false">IF($G1641="","",$V1641*(N($M1641)*1+N($N1641)*0.75+N($O1641)*0.5+N($P1641)*0.25)+$W1641*N($L1641))</f>
        <v/>
      </c>
      <c r="Z1641" s="35" t="str">
        <f aca="false">IF($G1641="","",$U1641*1000000+ROW())</f>
        <v/>
      </c>
      <c r="AA1641" s="36" t="str">
        <f aca="false">IF($G1641="","",MID(IF($C1641="",", no division","")&amp;IF($E1641="",", no unit","")&amp;IF($H1641="",", no career level","")&amp;IF(N($L1641)&lt;=0,", no quarter split","")&amp;IF($R1641="",", no driver","")&amp;IF(AND($H1641&lt;&gt;"",COUNTIF(CareerLevels,$H1641)=0),", a career level that is not on the ladder","")&amp;IF(AND($R1641&lt;&gt;"",COUNTIF(DriverList,$R1641)=0),", a driver that is not on the list","")&amp;IF(ABS(N($L1641)-(N($M1641)+N($N1641)+N($O1641)+N($P1641)))&gt;0.001,", a total that does not match its quarters",""),3,300))</f>
        <v/>
      </c>
    </row>
    <row r="1642" customFormat="false" ht="15" hidden="false" customHeight="false" outlineLevel="0" collapsed="false">
      <c r="A1642" s="33" t="str">
        <f aca="false">IF($G1642="","","Retail Banking Group")</f>
        <v/>
      </c>
      <c r="B1642" s="19"/>
      <c r="C1642" s="19"/>
      <c r="D1642" s="19"/>
      <c r="E1642" s="19"/>
      <c r="F1642" s="19"/>
      <c r="G1642" s="19"/>
      <c r="H1642" s="19"/>
      <c r="I1642" s="19"/>
      <c r="J1642" s="19"/>
      <c r="K1642" s="19"/>
      <c r="L1642" s="19"/>
      <c r="M1642" s="19"/>
      <c r="N1642" s="19"/>
      <c r="O1642" s="19"/>
      <c r="P1642" s="19"/>
      <c r="Q1642" s="19"/>
      <c r="R1642" s="19"/>
      <c r="S1642" s="19"/>
      <c r="T1642" s="34" t="str">
        <f aca="false">IF($R1642="","",IFERROR(INDEX(DriverCategory,MATCH($R1642,DriverList,0)),"BAU"))</f>
        <v/>
      </c>
      <c r="U1642" s="34" t="str">
        <f aca="false">IF($R1642="","",IFERROR(INDEX(DriverRank,MATCH($R1642,DriverList,0)),99))</f>
        <v/>
      </c>
      <c r="V1642" s="35" t="n">
        <f aca="false">IF($H1642="",0,IFERROR(INDEX(LevelBasic,MATCH($H1642,LevelList,0))+INDEX(LevelHousing,MATCH($H1642,LevelList,0))+INDEX(LevelTransport,MATCH($H1642,LevelList,0))+INDEX(LevelBasic,MATCH($H1642,LevelList,0))*INDEX(LevelBonus,MATCH($H1642,LevelList,0))+(INDEX(LevelBasic,MATCH($H1642,LevelList,0))+INDEX(LevelHousing,MATCH($H1642,LevelList,0)))*GosiSaudi,0))</f>
        <v>0</v>
      </c>
      <c r="W1642" s="35" t="n">
        <f aca="false">IFERROR(INDEX(LevelOneOff,MATCH($H1642,LevelList,0)),0)</f>
        <v>0</v>
      </c>
      <c r="X1642" s="35" t="str">
        <f aca="false">IF($G1642="","",$V1642*N($L1642))</f>
        <v/>
      </c>
      <c r="Y1642" s="35" t="str">
        <f aca="false">IF($G1642="","",$V1642*(N($M1642)*1+N($N1642)*0.75+N($O1642)*0.5+N($P1642)*0.25)+$W1642*N($L1642))</f>
        <v/>
      </c>
      <c r="Z1642" s="35" t="str">
        <f aca="false">IF($G1642="","",$U1642*1000000+ROW())</f>
        <v/>
      </c>
      <c r="AA1642" s="36" t="str">
        <f aca="false">IF($G1642="","",MID(IF($C1642="",", no division","")&amp;IF($E1642="",", no unit","")&amp;IF($H1642="",", no career level","")&amp;IF(N($L1642)&lt;=0,", no quarter split","")&amp;IF($R1642="",", no driver","")&amp;IF(AND($H1642&lt;&gt;"",COUNTIF(CareerLevels,$H1642)=0),", a career level that is not on the ladder","")&amp;IF(AND($R1642&lt;&gt;"",COUNTIF(DriverList,$R1642)=0),", a driver that is not on the list","")&amp;IF(ABS(N($L1642)-(N($M1642)+N($N1642)+N($O1642)+N($P1642)))&gt;0.001,", a total that does not match its quarters",""),3,300))</f>
        <v/>
      </c>
    </row>
    <row r="1643" customFormat="false" ht="15" hidden="false" customHeight="false" outlineLevel="0" collapsed="false">
      <c r="A1643" s="33" t="str">
        <f aca="false">IF($G1643="","","Retail Banking Group")</f>
        <v/>
      </c>
      <c r="B1643" s="19"/>
      <c r="C1643" s="19"/>
      <c r="D1643" s="19"/>
      <c r="E1643" s="19"/>
      <c r="F1643" s="19"/>
      <c r="G1643" s="19"/>
      <c r="H1643" s="19"/>
      <c r="I1643" s="19"/>
      <c r="J1643" s="19"/>
      <c r="K1643" s="19"/>
      <c r="L1643" s="19"/>
      <c r="M1643" s="19"/>
      <c r="N1643" s="19"/>
      <c r="O1643" s="19"/>
      <c r="P1643" s="19"/>
      <c r="Q1643" s="19"/>
      <c r="R1643" s="19"/>
      <c r="S1643" s="19"/>
      <c r="T1643" s="34" t="str">
        <f aca="false">IF($R1643="","",IFERROR(INDEX(DriverCategory,MATCH($R1643,DriverList,0)),"BAU"))</f>
        <v/>
      </c>
      <c r="U1643" s="34" t="str">
        <f aca="false">IF($R1643="","",IFERROR(INDEX(DriverRank,MATCH($R1643,DriverList,0)),99))</f>
        <v/>
      </c>
      <c r="V1643" s="35" t="n">
        <f aca="false">IF($H1643="",0,IFERROR(INDEX(LevelBasic,MATCH($H1643,LevelList,0))+INDEX(LevelHousing,MATCH($H1643,LevelList,0))+INDEX(LevelTransport,MATCH($H1643,LevelList,0))+INDEX(LevelBasic,MATCH($H1643,LevelList,0))*INDEX(LevelBonus,MATCH($H1643,LevelList,0))+(INDEX(LevelBasic,MATCH($H1643,LevelList,0))+INDEX(LevelHousing,MATCH($H1643,LevelList,0)))*GosiSaudi,0))</f>
        <v>0</v>
      </c>
      <c r="W1643" s="35" t="n">
        <f aca="false">IFERROR(INDEX(LevelOneOff,MATCH($H1643,LevelList,0)),0)</f>
        <v>0</v>
      </c>
      <c r="X1643" s="35" t="str">
        <f aca="false">IF($G1643="","",$V1643*N($L1643))</f>
        <v/>
      </c>
      <c r="Y1643" s="35" t="str">
        <f aca="false">IF($G1643="","",$V1643*(N($M1643)*1+N($N1643)*0.75+N($O1643)*0.5+N($P1643)*0.25)+$W1643*N($L1643))</f>
        <v/>
      </c>
      <c r="Z1643" s="35" t="str">
        <f aca="false">IF($G1643="","",$U1643*1000000+ROW())</f>
        <v/>
      </c>
      <c r="AA1643" s="36" t="str">
        <f aca="false">IF($G1643="","",MID(IF($C1643="",", no division","")&amp;IF($E1643="",", no unit","")&amp;IF($H1643="",", no career level","")&amp;IF(N($L1643)&lt;=0,", no quarter split","")&amp;IF($R1643="",", no driver","")&amp;IF(AND($H1643&lt;&gt;"",COUNTIF(CareerLevels,$H1643)=0),", a career level that is not on the ladder","")&amp;IF(AND($R1643&lt;&gt;"",COUNTIF(DriverList,$R1643)=0),", a driver that is not on the list","")&amp;IF(ABS(N($L1643)-(N($M1643)+N($N1643)+N($O1643)+N($P1643)))&gt;0.001,", a total that does not match its quarters",""),3,300))</f>
        <v/>
      </c>
    </row>
    <row r="1644" customFormat="false" ht="15" hidden="false" customHeight="false" outlineLevel="0" collapsed="false">
      <c r="A1644" s="33" t="str">
        <f aca="false">IF($G1644="","","Retail Banking Group")</f>
        <v/>
      </c>
      <c r="B1644" s="19"/>
      <c r="C1644" s="19"/>
      <c r="D1644" s="19"/>
      <c r="E1644" s="19"/>
      <c r="F1644" s="19"/>
      <c r="G1644" s="19"/>
      <c r="H1644" s="19"/>
      <c r="I1644" s="19"/>
      <c r="J1644" s="19"/>
      <c r="K1644" s="19"/>
      <c r="L1644" s="19"/>
      <c r="M1644" s="19"/>
      <c r="N1644" s="19"/>
      <c r="O1644" s="19"/>
      <c r="P1644" s="19"/>
      <c r="Q1644" s="19"/>
      <c r="R1644" s="19"/>
      <c r="S1644" s="19"/>
      <c r="T1644" s="34" t="str">
        <f aca="false">IF($R1644="","",IFERROR(INDEX(DriverCategory,MATCH($R1644,DriverList,0)),"BAU"))</f>
        <v/>
      </c>
      <c r="U1644" s="34" t="str">
        <f aca="false">IF($R1644="","",IFERROR(INDEX(DriverRank,MATCH($R1644,DriverList,0)),99))</f>
        <v/>
      </c>
      <c r="V1644" s="35" t="n">
        <f aca="false">IF($H1644="",0,IFERROR(INDEX(LevelBasic,MATCH($H1644,LevelList,0))+INDEX(LevelHousing,MATCH($H1644,LevelList,0))+INDEX(LevelTransport,MATCH($H1644,LevelList,0))+INDEX(LevelBasic,MATCH($H1644,LevelList,0))*INDEX(LevelBonus,MATCH($H1644,LevelList,0))+(INDEX(LevelBasic,MATCH($H1644,LevelList,0))+INDEX(LevelHousing,MATCH($H1644,LevelList,0)))*GosiSaudi,0))</f>
        <v>0</v>
      </c>
      <c r="W1644" s="35" t="n">
        <f aca="false">IFERROR(INDEX(LevelOneOff,MATCH($H1644,LevelList,0)),0)</f>
        <v>0</v>
      </c>
      <c r="X1644" s="35" t="str">
        <f aca="false">IF($G1644="","",$V1644*N($L1644))</f>
        <v/>
      </c>
      <c r="Y1644" s="35" t="str">
        <f aca="false">IF($G1644="","",$V1644*(N($M1644)*1+N($N1644)*0.75+N($O1644)*0.5+N($P1644)*0.25)+$W1644*N($L1644))</f>
        <v/>
      </c>
      <c r="Z1644" s="35" t="str">
        <f aca="false">IF($G1644="","",$U1644*1000000+ROW())</f>
        <v/>
      </c>
      <c r="AA1644" s="36" t="str">
        <f aca="false">IF($G1644="","",MID(IF($C1644="",", no division","")&amp;IF($E1644="",", no unit","")&amp;IF($H1644="",", no career level","")&amp;IF(N($L1644)&lt;=0,", no quarter split","")&amp;IF($R1644="",", no driver","")&amp;IF(AND($H1644&lt;&gt;"",COUNTIF(CareerLevels,$H1644)=0),", a career level that is not on the ladder","")&amp;IF(AND($R1644&lt;&gt;"",COUNTIF(DriverList,$R1644)=0),", a driver that is not on the list","")&amp;IF(ABS(N($L1644)-(N($M1644)+N($N1644)+N($O1644)+N($P1644)))&gt;0.001,", a total that does not match its quarters",""),3,300))</f>
        <v/>
      </c>
    </row>
    <row r="1645" customFormat="false" ht="15" hidden="false" customHeight="false" outlineLevel="0" collapsed="false">
      <c r="A1645" s="33" t="str">
        <f aca="false">IF($G1645="","","Retail Banking Group")</f>
        <v/>
      </c>
      <c r="B1645" s="19"/>
      <c r="C1645" s="19"/>
      <c r="D1645" s="19"/>
      <c r="E1645" s="19"/>
      <c r="F1645" s="19"/>
      <c r="G1645" s="19"/>
      <c r="H1645" s="19"/>
      <c r="I1645" s="19"/>
      <c r="J1645" s="19"/>
      <c r="K1645" s="19"/>
      <c r="L1645" s="19"/>
      <c r="M1645" s="19"/>
      <c r="N1645" s="19"/>
      <c r="O1645" s="19"/>
      <c r="P1645" s="19"/>
      <c r="Q1645" s="19"/>
      <c r="R1645" s="19"/>
      <c r="S1645" s="19"/>
      <c r="T1645" s="34" t="str">
        <f aca="false">IF($R1645="","",IFERROR(INDEX(DriverCategory,MATCH($R1645,DriverList,0)),"BAU"))</f>
        <v/>
      </c>
      <c r="U1645" s="34" t="str">
        <f aca="false">IF($R1645="","",IFERROR(INDEX(DriverRank,MATCH($R1645,DriverList,0)),99))</f>
        <v/>
      </c>
      <c r="V1645" s="35" t="n">
        <f aca="false">IF($H1645="",0,IFERROR(INDEX(LevelBasic,MATCH($H1645,LevelList,0))+INDEX(LevelHousing,MATCH($H1645,LevelList,0))+INDEX(LevelTransport,MATCH($H1645,LevelList,0))+INDEX(LevelBasic,MATCH($H1645,LevelList,0))*INDEX(LevelBonus,MATCH($H1645,LevelList,0))+(INDEX(LevelBasic,MATCH($H1645,LevelList,0))+INDEX(LevelHousing,MATCH($H1645,LevelList,0)))*GosiSaudi,0))</f>
        <v>0</v>
      </c>
      <c r="W1645" s="35" t="n">
        <f aca="false">IFERROR(INDEX(LevelOneOff,MATCH($H1645,LevelList,0)),0)</f>
        <v>0</v>
      </c>
      <c r="X1645" s="35" t="str">
        <f aca="false">IF($G1645="","",$V1645*N($L1645))</f>
        <v/>
      </c>
      <c r="Y1645" s="35" t="str">
        <f aca="false">IF($G1645="","",$V1645*(N($M1645)*1+N($N1645)*0.75+N($O1645)*0.5+N($P1645)*0.25)+$W1645*N($L1645))</f>
        <v/>
      </c>
      <c r="Z1645" s="35" t="str">
        <f aca="false">IF($G1645="","",$U1645*1000000+ROW())</f>
        <v/>
      </c>
      <c r="AA1645" s="36" t="str">
        <f aca="false">IF($G1645="","",MID(IF($C1645="",", no division","")&amp;IF($E1645="",", no unit","")&amp;IF($H1645="",", no career level","")&amp;IF(N($L1645)&lt;=0,", no quarter split","")&amp;IF($R1645="",", no driver","")&amp;IF(AND($H1645&lt;&gt;"",COUNTIF(CareerLevels,$H1645)=0),", a career level that is not on the ladder","")&amp;IF(AND($R1645&lt;&gt;"",COUNTIF(DriverList,$R1645)=0),", a driver that is not on the list","")&amp;IF(ABS(N($L1645)-(N($M1645)+N($N1645)+N($O1645)+N($P1645)))&gt;0.001,", a total that does not match its quarters",""),3,300))</f>
        <v/>
      </c>
    </row>
    <row r="1646" customFormat="false" ht="15" hidden="false" customHeight="false" outlineLevel="0" collapsed="false">
      <c r="A1646" s="33" t="str">
        <f aca="false">IF($G1646="","","Retail Banking Group")</f>
        <v/>
      </c>
      <c r="B1646" s="19"/>
      <c r="C1646" s="19"/>
      <c r="D1646" s="19"/>
      <c r="E1646" s="19"/>
      <c r="F1646" s="19"/>
      <c r="G1646" s="19"/>
      <c r="H1646" s="19"/>
      <c r="I1646" s="19"/>
      <c r="J1646" s="19"/>
      <c r="K1646" s="19"/>
      <c r="L1646" s="19"/>
      <c r="M1646" s="19"/>
      <c r="N1646" s="19"/>
      <c r="O1646" s="19"/>
      <c r="P1646" s="19"/>
      <c r="Q1646" s="19"/>
      <c r="R1646" s="19"/>
      <c r="S1646" s="19"/>
      <c r="T1646" s="34" t="str">
        <f aca="false">IF($R1646="","",IFERROR(INDEX(DriverCategory,MATCH($R1646,DriverList,0)),"BAU"))</f>
        <v/>
      </c>
      <c r="U1646" s="34" t="str">
        <f aca="false">IF($R1646="","",IFERROR(INDEX(DriverRank,MATCH($R1646,DriverList,0)),99))</f>
        <v/>
      </c>
      <c r="V1646" s="35" t="n">
        <f aca="false">IF($H1646="",0,IFERROR(INDEX(LevelBasic,MATCH($H1646,LevelList,0))+INDEX(LevelHousing,MATCH($H1646,LevelList,0))+INDEX(LevelTransport,MATCH($H1646,LevelList,0))+INDEX(LevelBasic,MATCH($H1646,LevelList,0))*INDEX(LevelBonus,MATCH($H1646,LevelList,0))+(INDEX(LevelBasic,MATCH($H1646,LevelList,0))+INDEX(LevelHousing,MATCH($H1646,LevelList,0)))*GosiSaudi,0))</f>
        <v>0</v>
      </c>
      <c r="W1646" s="35" t="n">
        <f aca="false">IFERROR(INDEX(LevelOneOff,MATCH($H1646,LevelList,0)),0)</f>
        <v>0</v>
      </c>
      <c r="X1646" s="35" t="str">
        <f aca="false">IF($G1646="","",$V1646*N($L1646))</f>
        <v/>
      </c>
      <c r="Y1646" s="35" t="str">
        <f aca="false">IF($G1646="","",$V1646*(N($M1646)*1+N($N1646)*0.75+N($O1646)*0.5+N($P1646)*0.25)+$W1646*N($L1646))</f>
        <v/>
      </c>
      <c r="Z1646" s="35" t="str">
        <f aca="false">IF($G1646="","",$U1646*1000000+ROW())</f>
        <v/>
      </c>
      <c r="AA1646" s="36" t="str">
        <f aca="false">IF($G1646="","",MID(IF($C1646="",", no division","")&amp;IF($E1646="",", no unit","")&amp;IF($H1646="",", no career level","")&amp;IF(N($L1646)&lt;=0,", no quarter split","")&amp;IF($R1646="",", no driver","")&amp;IF(AND($H1646&lt;&gt;"",COUNTIF(CareerLevels,$H1646)=0),", a career level that is not on the ladder","")&amp;IF(AND($R1646&lt;&gt;"",COUNTIF(DriverList,$R1646)=0),", a driver that is not on the list","")&amp;IF(ABS(N($L1646)-(N($M1646)+N($N1646)+N($O1646)+N($P1646)))&gt;0.001,", a total that does not match its quarters",""),3,300))</f>
        <v/>
      </c>
    </row>
    <row r="1647" customFormat="false" ht="15" hidden="false" customHeight="false" outlineLevel="0" collapsed="false">
      <c r="A1647" s="33" t="str">
        <f aca="false">IF($G1647="","","Retail Banking Group")</f>
        <v/>
      </c>
      <c r="B1647" s="19"/>
      <c r="C1647" s="19"/>
      <c r="D1647" s="19"/>
      <c r="E1647" s="19"/>
      <c r="F1647" s="19"/>
      <c r="G1647" s="19"/>
      <c r="H1647" s="19"/>
      <c r="I1647" s="19"/>
      <c r="J1647" s="19"/>
      <c r="K1647" s="19"/>
      <c r="L1647" s="19"/>
      <c r="M1647" s="19"/>
      <c r="N1647" s="19"/>
      <c r="O1647" s="19"/>
      <c r="P1647" s="19"/>
      <c r="Q1647" s="19"/>
      <c r="R1647" s="19"/>
      <c r="S1647" s="19"/>
      <c r="T1647" s="34" t="str">
        <f aca="false">IF($R1647="","",IFERROR(INDEX(DriverCategory,MATCH($R1647,DriverList,0)),"BAU"))</f>
        <v/>
      </c>
      <c r="U1647" s="34" t="str">
        <f aca="false">IF($R1647="","",IFERROR(INDEX(DriverRank,MATCH($R1647,DriverList,0)),99))</f>
        <v/>
      </c>
      <c r="V1647" s="35" t="n">
        <f aca="false">IF($H1647="",0,IFERROR(INDEX(LevelBasic,MATCH($H1647,LevelList,0))+INDEX(LevelHousing,MATCH($H1647,LevelList,0))+INDEX(LevelTransport,MATCH($H1647,LevelList,0))+INDEX(LevelBasic,MATCH($H1647,LevelList,0))*INDEX(LevelBonus,MATCH($H1647,LevelList,0))+(INDEX(LevelBasic,MATCH($H1647,LevelList,0))+INDEX(LevelHousing,MATCH($H1647,LevelList,0)))*GosiSaudi,0))</f>
        <v>0</v>
      </c>
      <c r="W1647" s="35" t="n">
        <f aca="false">IFERROR(INDEX(LevelOneOff,MATCH($H1647,LevelList,0)),0)</f>
        <v>0</v>
      </c>
      <c r="X1647" s="35" t="str">
        <f aca="false">IF($G1647="","",$V1647*N($L1647))</f>
        <v/>
      </c>
      <c r="Y1647" s="35" t="str">
        <f aca="false">IF($G1647="","",$V1647*(N($M1647)*1+N($N1647)*0.75+N($O1647)*0.5+N($P1647)*0.25)+$W1647*N($L1647))</f>
        <v/>
      </c>
      <c r="Z1647" s="35" t="str">
        <f aca="false">IF($G1647="","",$U1647*1000000+ROW())</f>
        <v/>
      </c>
      <c r="AA1647" s="36" t="str">
        <f aca="false">IF($G1647="","",MID(IF($C1647="",", no division","")&amp;IF($E1647="",", no unit","")&amp;IF($H1647="",", no career level","")&amp;IF(N($L1647)&lt;=0,", no quarter split","")&amp;IF($R1647="",", no driver","")&amp;IF(AND($H1647&lt;&gt;"",COUNTIF(CareerLevels,$H1647)=0),", a career level that is not on the ladder","")&amp;IF(AND($R1647&lt;&gt;"",COUNTIF(DriverList,$R1647)=0),", a driver that is not on the list","")&amp;IF(ABS(N($L1647)-(N($M1647)+N($N1647)+N($O1647)+N($P1647)))&gt;0.001,", a total that does not match its quarters",""),3,300))</f>
        <v/>
      </c>
    </row>
    <row r="1648" customFormat="false" ht="15" hidden="false" customHeight="false" outlineLevel="0" collapsed="false">
      <c r="A1648" s="33" t="str">
        <f aca="false">IF($G1648="","","Retail Banking Group")</f>
        <v/>
      </c>
      <c r="B1648" s="19"/>
      <c r="C1648" s="19"/>
      <c r="D1648" s="19"/>
      <c r="E1648" s="19"/>
      <c r="F1648" s="19"/>
      <c r="G1648" s="19"/>
      <c r="H1648" s="19"/>
      <c r="I1648" s="19"/>
      <c r="J1648" s="19"/>
      <c r="K1648" s="19"/>
      <c r="L1648" s="19"/>
      <c r="M1648" s="19"/>
      <c r="N1648" s="19"/>
      <c r="O1648" s="19"/>
      <c r="P1648" s="19"/>
      <c r="Q1648" s="19"/>
      <c r="R1648" s="19"/>
      <c r="S1648" s="19"/>
      <c r="T1648" s="34" t="str">
        <f aca="false">IF($R1648="","",IFERROR(INDEX(DriverCategory,MATCH($R1648,DriverList,0)),"BAU"))</f>
        <v/>
      </c>
      <c r="U1648" s="34" t="str">
        <f aca="false">IF($R1648="","",IFERROR(INDEX(DriverRank,MATCH($R1648,DriverList,0)),99))</f>
        <v/>
      </c>
      <c r="V1648" s="35" t="n">
        <f aca="false">IF($H1648="",0,IFERROR(INDEX(LevelBasic,MATCH($H1648,LevelList,0))+INDEX(LevelHousing,MATCH($H1648,LevelList,0))+INDEX(LevelTransport,MATCH($H1648,LevelList,0))+INDEX(LevelBasic,MATCH($H1648,LevelList,0))*INDEX(LevelBonus,MATCH($H1648,LevelList,0))+(INDEX(LevelBasic,MATCH($H1648,LevelList,0))+INDEX(LevelHousing,MATCH($H1648,LevelList,0)))*GosiSaudi,0))</f>
        <v>0</v>
      </c>
      <c r="W1648" s="35" t="n">
        <f aca="false">IFERROR(INDEX(LevelOneOff,MATCH($H1648,LevelList,0)),0)</f>
        <v>0</v>
      </c>
      <c r="X1648" s="35" t="str">
        <f aca="false">IF($G1648="","",$V1648*N($L1648))</f>
        <v/>
      </c>
      <c r="Y1648" s="35" t="str">
        <f aca="false">IF($G1648="","",$V1648*(N($M1648)*1+N($N1648)*0.75+N($O1648)*0.5+N($P1648)*0.25)+$W1648*N($L1648))</f>
        <v/>
      </c>
      <c r="Z1648" s="35" t="str">
        <f aca="false">IF($G1648="","",$U1648*1000000+ROW())</f>
        <v/>
      </c>
      <c r="AA1648" s="36" t="str">
        <f aca="false">IF($G1648="","",MID(IF($C1648="",", no division","")&amp;IF($E1648="",", no unit","")&amp;IF($H1648="",", no career level","")&amp;IF(N($L1648)&lt;=0,", no quarter split","")&amp;IF($R1648="",", no driver","")&amp;IF(AND($H1648&lt;&gt;"",COUNTIF(CareerLevels,$H1648)=0),", a career level that is not on the ladder","")&amp;IF(AND($R1648&lt;&gt;"",COUNTIF(DriverList,$R1648)=0),", a driver that is not on the list","")&amp;IF(ABS(N($L1648)-(N($M1648)+N($N1648)+N($O1648)+N($P1648)))&gt;0.001,", a total that does not match its quarters",""),3,300))</f>
        <v/>
      </c>
    </row>
    <row r="1649" customFormat="false" ht="15" hidden="false" customHeight="false" outlineLevel="0" collapsed="false">
      <c r="A1649" s="33" t="str">
        <f aca="false">IF($G1649="","","Retail Banking Group")</f>
        <v/>
      </c>
      <c r="B1649" s="19"/>
      <c r="C1649" s="19"/>
      <c r="D1649" s="19"/>
      <c r="E1649" s="19"/>
      <c r="F1649" s="19"/>
      <c r="G1649" s="19"/>
      <c r="H1649" s="19"/>
      <c r="I1649" s="19"/>
      <c r="J1649" s="19"/>
      <c r="K1649" s="19"/>
      <c r="L1649" s="19"/>
      <c r="M1649" s="19"/>
      <c r="N1649" s="19"/>
      <c r="O1649" s="19"/>
      <c r="P1649" s="19"/>
      <c r="Q1649" s="19"/>
      <c r="R1649" s="19"/>
      <c r="S1649" s="19"/>
      <c r="T1649" s="34" t="str">
        <f aca="false">IF($R1649="","",IFERROR(INDEX(DriverCategory,MATCH($R1649,DriverList,0)),"BAU"))</f>
        <v/>
      </c>
      <c r="U1649" s="34" t="str">
        <f aca="false">IF($R1649="","",IFERROR(INDEX(DriverRank,MATCH($R1649,DriverList,0)),99))</f>
        <v/>
      </c>
      <c r="V1649" s="35" t="n">
        <f aca="false">IF($H1649="",0,IFERROR(INDEX(LevelBasic,MATCH($H1649,LevelList,0))+INDEX(LevelHousing,MATCH($H1649,LevelList,0))+INDEX(LevelTransport,MATCH($H1649,LevelList,0))+INDEX(LevelBasic,MATCH($H1649,LevelList,0))*INDEX(LevelBonus,MATCH($H1649,LevelList,0))+(INDEX(LevelBasic,MATCH($H1649,LevelList,0))+INDEX(LevelHousing,MATCH($H1649,LevelList,0)))*GosiSaudi,0))</f>
        <v>0</v>
      </c>
      <c r="W1649" s="35" t="n">
        <f aca="false">IFERROR(INDEX(LevelOneOff,MATCH($H1649,LevelList,0)),0)</f>
        <v>0</v>
      </c>
      <c r="X1649" s="35" t="str">
        <f aca="false">IF($G1649="","",$V1649*N($L1649))</f>
        <v/>
      </c>
      <c r="Y1649" s="35" t="str">
        <f aca="false">IF($G1649="","",$V1649*(N($M1649)*1+N($N1649)*0.75+N($O1649)*0.5+N($P1649)*0.25)+$W1649*N($L1649))</f>
        <v/>
      </c>
      <c r="Z1649" s="35" t="str">
        <f aca="false">IF($G1649="","",$U1649*1000000+ROW())</f>
        <v/>
      </c>
      <c r="AA1649" s="36" t="str">
        <f aca="false">IF($G1649="","",MID(IF($C1649="",", no division","")&amp;IF($E1649="",", no unit","")&amp;IF($H1649="",", no career level","")&amp;IF(N($L1649)&lt;=0,", no quarter split","")&amp;IF($R1649="",", no driver","")&amp;IF(AND($H1649&lt;&gt;"",COUNTIF(CareerLevels,$H1649)=0),", a career level that is not on the ladder","")&amp;IF(AND($R1649&lt;&gt;"",COUNTIF(DriverList,$R1649)=0),", a driver that is not on the list","")&amp;IF(ABS(N($L1649)-(N($M1649)+N($N1649)+N($O1649)+N($P1649)))&gt;0.001,", a total that does not match its quarters",""),3,300))</f>
        <v/>
      </c>
    </row>
    <row r="1650" customFormat="false" ht="15" hidden="false" customHeight="false" outlineLevel="0" collapsed="false">
      <c r="A1650" s="33" t="str">
        <f aca="false">IF($G1650="","","Retail Banking Group")</f>
        <v/>
      </c>
      <c r="B1650" s="19"/>
      <c r="C1650" s="19"/>
      <c r="D1650" s="19"/>
      <c r="E1650" s="19"/>
      <c r="F1650" s="19"/>
      <c r="G1650" s="19"/>
      <c r="H1650" s="19"/>
      <c r="I1650" s="19"/>
      <c r="J1650" s="19"/>
      <c r="K1650" s="19"/>
      <c r="L1650" s="19"/>
      <c r="M1650" s="19"/>
      <c r="N1650" s="19"/>
      <c r="O1650" s="19"/>
      <c r="P1650" s="19"/>
      <c r="Q1650" s="19"/>
      <c r="R1650" s="19"/>
      <c r="S1650" s="19"/>
      <c r="T1650" s="34" t="str">
        <f aca="false">IF($R1650="","",IFERROR(INDEX(DriverCategory,MATCH($R1650,DriverList,0)),"BAU"))</f>
        <v/>
      </c>
      <c r="U1650" s="34" t="str">
        <f aca="false">IF($R1650="","",IFERROR(INDEX(DriverRank,MATCH($R1650,DriverList,0)),99))</f>
        <v/>
      </c>
      <c r="V1650" s="35" t="n">
        <f aca="false">IF($H1650="",0,IFERROR(INDEX(LevelBasic,MATCH($H1650,LevelList,0))+INDEX(LevelHousing,MATCH($H1650,LevelList,0))+INDEX(LevelTransport,MATCH($H1650,LevelList,0))+INDEX(LevelBasic,MATCH($H1650,LevelList,0))*INDEX(LevelBonus,MATCH($H1650,LevelList,0))+(INDEX(LevelBasic,MATCH($H1650,LevelList,0))+INDEX(LevelHousing,MATCH($H1650,LevelList,0)))*GosiSaudi,0))</f>
        <v>0</v>
      </c>
      <c r="W1650" s="35" t="n">
        <f aca="false">IFERROR(INDEX(LevelOneOff,MATCH($H1650,LevelList,0)),0)</f>
        <v>0</v>
      </c>
      <c r="X1650" s="35" t="str">
        <f aca="false">IF($G1650="","",$V1650*N($L1650))</f>
        <v/>
      </c>
      <c r="Y1650" s="35" t="str">
        <f aca="false">IF($G1650="","",$V1650*(N($M1650)*1+N($N1650)*0.75+N($O1650)*0.5+N($P1650)*0.25)+$W1650*N($L1650))</f>
        <v/>
      </c>
      <c r="Z1650" s="35" t="str">
        <f aca="false">IF($G1650="","",$U1650*1000000+ROW())</f>
        <v/>
      </c>
      <c r="AA1650" s="36" t="str">
        <f aca="false">IF($G1650="","",MID(IF($C1650="",", no division","")&amp;IF($E1650="",", no unit","")&amp;IF($H1650="",", no career level","")&amp;IF(N($L1650)&lt;=0,", no quarter split","")&amp;IF($R1650="",", no driver","")&amp;IF(AND($H1650&lt;&gt;"",COUNTIF(CareerLevels,$H1650)=0),", a career level that is not on the ladder","")&amp;IF(AND($R1650&lt;&gt;"",COUNTIF(DriverList,$R1650)=0),", a driver that is not on the list","")&amp;IF(ABS(N($L1650)-(N($M1650)+N($N1650)+N($O1650)+N($P1650)))&gt;0.001,", a total that does not match its quarters",""),3,300))</f>
        <v/>
      </c>
    </row>
    <row r="1651" customFormat="false" ht="15" hidden="false" customHeight="false" outlineLevel="0" collapsed="false">
      <c r="A1651" s="33" t="str">
        <f aca="false">IF($G1651="","","Retail Banking Group")</f>
        <v/>
      </c>
      <c r="B1651" s="19"/>
      <c r="C1651" s="19"/>
      <c r="D1651" s="19"/>
      <c r="E1651" s="19"/>
      <c r="F1651" s="19"/>
      <c r="G1651" s="19"/>
      <c r="H1651" s="19"/>
      <c r="I1651" s="19"/>
      <c r="J1651" s="19"/>
      <c r="K1651" s="19"/>
      <c r="L1651" s="19"/>
      <c r="M1651" s="19"/>
      <c r="N1651" s="19"/>
      <c r="O1651" s="19"/>
      <c r="P1651" s="19"/>
      <c r="Q1651" s="19"/>
      <c r="R1651" s="19"/>
      <c r="S1651" s="19"/>
      <c r="T1651" s="34" t="str">
        <f aca="false">IF($R1651="","",IFERROR(INDEX(DriverCategory,MATCH($R1651,DriverList,0)),"BAU"))</f>
        <v/>
      </c>
      <c r="U1651" s="34" t="str">
        <f aca="false">IF($R1651="","",IFERROR(INDEX(DriverRank,MATCH($R1651,DriverList,0)),99))</f>
        <v/>
      </c>
      <c r="V1651" s="35" t="n">
        <f aca="false">IF($H1651="",0,IFERROR(INDEX(LevelBasic,MATCH($H1651,LevelList,0))+INDEX(LevelHousing,MATCH($H1651,LevelList,0))+INDEX(LevelTransport,MATCH($H1651,LevelList,0))+INDEX(LevelBasic,MATCH($H1651,LevelList,0))*INDEX(LevelBonus,MATCH($H1651,LevelList,0))+(INDEX(LevelBasic,MATCH($H1651,LevelList,0))+INDEX(LevelHousing,MATCH($H1651,LevelList,0)))*GosiSaudi,0))</f>
        <v>0</v>
      </c>
      <c r="W1651" s="35" t="n">
        <f aca="false">IFERROR(INDEX(LevelOneOff,MATCH($H1651,LevelList,0)),0)</f>
        <v>0</v>
      </c>
      <c r="X1651" s="35" t="str">
        <f aca="false">IF($G1651="","",$V1651*N($L1651))</f>
        <v/>
      </c>
      <c r="Y1651" s="35" t="str">
        <f aca="false">IF($G1651="","",$V1651*(N($M1651)*1+N($N1651)*0.75+N($O1651)*0.5+N($P1651)*0.25)+$W1651*N($L1651))</f>
        <v/>
      </c>
      <c r="Z1651" s="35" t="str">
        <f aca="false">IF($G1651="","",$U1651*1000000+ROW())</f>
        <v/>
      </c>
      <c r="AA1651" s="36" t="str">
        <f aca="false">IF($G1651="","",MID(IF($C1651="",", no division","")&amp;IF($E1651="",", no unit","")&amp;IF($H1651="",", no career level","")&amp;IF(N($L1651)&lt;=0,", no quarter split","")&amp;IF($R1651="",", no driver","")&amp;IF(AND($H1651&lt;&gt;"",COUNTIF(CareerLevels,$H1651)=0),", a career level that is not on the ladder","")&amp;IF(AND($R1651&lt;&gt;"",COUNTIF(DriverList,$R1651)=0),", a driver that is not on the list","")&amp;IF(ABS(N($L1651)-(N($M1651)+N($N1651)+N($O1651)+N($P1651)))&gt;0.001,", a total that does not match its quarters",""),3,300))</f>
        <v/>
      </c>
    </row>
    <row r="1652" customFormat="false" ht="15" hidden="false" customHeight="false" outlineLevel="0" collapsed="false">
      <c r="A1652" s="33" t="str">
        <f aca="false">IF($G1652="","","Retail Banking Group")</f>
        <v/>
      </c>
      <c r="B1652" s="19"/>
      <c r="C1652" s="19"/>
      <c r="D1652" s="19"/>
      <c r="E1652" s="19"/>
      <c r="F1652" s="19"/>
      <c r="G1652" s="19"/>
      <c r="H1652" s="19"/>
      <c r="I1652" s="19"/>
      <c r="J1652" s="19"/>
      <c r="K1652" s="19"/>
      <c r="L1652" s="19"/>
      <c r="M1652" s="19"/>
      <c r="N1652" s="19"/>
      <c r="O1652" s="19"/>
      <c r="P1652" s="19"/>
      <c r="Q1652" s="19"/>
      <c r="R1652" s="19"/>
      <c r="S1652" s="19"/>
      <c r="T1652" s="34" t="str">
        <f aca="false">IF($R1652="","",IFERROR(INDEX(DriverCategory,MATCH($R1652,DriverList,0)),"BAU"))</f>
        <v/>
      </c>
      <c r="U1652" s="34" t="str">
        <f aca="false">IF($R1652="","",IFERROR(INDEX(DriverRank,MATCH($R1652,DriverList,0)),99))</f>
        <v/>
      </c>
      <c r="V1652" s="35" t="n">
        <f aca="false">IF($H1652="",0,IFERROR(INDEX(LevelBasic,MATCH($H1652,LevelList,0))+INDEX(LevelHousing,MATCH($H1652,LevelList,0))+INDEX(LevelTransport,MATCH($H1652,LevelList,0))+INDEX(LevelBasic,MATCH($H1652,LevelList,0))*INDEX(LevelBonus,MATCH($H1652,LevelList,0))+(INDEX(LevelBasic,MATCH($H1652,LevelList,0))+INDEX(LevelHousing,MATCH($H1652,LevelList,0)))*GosiSaudi,0))</f>
        <v>0</v>
      </c>
      <c r="W1652" s="35" t="n">
        <f aca="false">IFERROR(INDEX(LevelOneOff,MATCH($H1652,LevelList,0)),0)</f>
        <v>0</v>
      </c>
      <c r="X1652" s="35" t="str">
        <f aca="false">IF($G1652="","",$V1652*N($L1652))</f>
        <v/>
      </c>
      <c r="Y1652" s="35" t="str">
        <f aca="false">IF($G1652="","",$V1652*(N($M1652)*1+N($N1652)*0.75+N($O1652)*0.5+N($P1652)*0.25)+$W1652*N($L1652))</f>
        <v/>
      </c>
      <c r="Z1652" s="35" t="str">
        <f aca="false">IF($G1652="","",$U1652*1000000+ROW())</f>
        <v/>
      </c>
      <c r="AA1652" s="36" t="str">
        <f aca="false">IF($G1652="","",MID(IF($C1652="",", no division","")&amp;IF($E1652="",", no unit","")&amp;IF($H1652="",", no career level","")&amp;IF(N($L1652)&lt;=0,", no quarter split","")&amp;IF($R1652="",", no driver","")&amp;IF(AND($H1652&lt;&gt;"",COUNTIF(CareerLevels,$H1652)=0),", a career level that is not on the ladder","")&amp;IF(AND($R1652&lt;&gt;"",COUNTIF(DriverList,$R1652)=0),", a driver that is not on the list","")&amp;IF(ABS(N($L1652)-(N($M1652)+N($N1652)+N($O1652)+N($P1652)))&gt;0.001,", a total that does not match its quarters",""),3,300))</f>
        <v/>
      </c>
    </row>
    <row r="1653" customFormat="false" ht="15" hidden="false" customHeight="false" outlineLevel="0" collapsed="false">
      <c r="A1653" s="33" t="str">
        <f aca="false">IF($G1653="","","Retail Banking Group")</f>
        <v/>
      </c>
      <c r="B1653" s="19"/>
      <c r="C1653" s="19"/>
      <c r="D1653" s="19"/>
      <c r="E1653" s="19"/>
      <c r="F1653" s="19"/>
      <c r="G1653" s="19"/>
      <c r="H1653" s="19"/>
      <c r="I1653" s="19"/>
      <c r="J1653" s="19"/>
      <c r="K1653" s="19"/>
      <c r="L1653" s="19"/>
      <c r="M1653" s="19"/>
      <c r="N1653" s="19"/>
      <c r="O1653" s="19"/>
      <c r="P1653" s="19"/>
      <c r="Q1653" s="19"/>
      <c r="R1653" s="19"/>
      <c r="S1653" s="19"/>
      <c r="T1653" s="34" t="str">
        <f aca="false">IF($R1653="","",IFERROR(INDEX(DriverCategory,MATCH($R1653,DriverList,0)),"BAU"))</f>
        <v/>
      </c>
      <c r="U1653" s="34" t="str">
        <f aca="false">IF($R1653="","",IFERROR(INDEX(DriverRank,MATCH($R1653,DriverList,0)),99))</f>
        <v/>
      </c>
      <c r="V1653" s="35" t="n">
        <f aca="false">IF($H1653="",0,IFERROR(INDEX(LevelBasic,MATCH($H1653,LevelList,0))+INDEX(LevelHousing,MATCH($H1653,LevelList,0))+INDEX(LevelTransport,MATCH($H1653,LevelList,0))+INDEX(LevelBasic,MATCH($H1653,LevelList,0))*INDEX(LevelBonus,MATCH($H1653,LevelList,0))+(INDEX(LevelBasic,MATCH($H1653,LevelList,0))+INDEX(LevelHousing,MATCH($H1653,LevelList,0)))*GosiSaudi,0))</f>
        <v>0</v>
      </c>
      <c r="W1653" s="35" t="n">
        <f aca="false">IFERROR(INDEX(LevelOneOff,MATCH($H1653,LevelList,0)),0)</f>
        <v>0</v>
      </c>
      <c r="X1653" s="35" t="str">
        <f aca="false">IF($G1653="","",$V1653*N($L1653))</f>
        <v/>
      </c>
      <c r="Y1653" s="35" t="str">
        <f aca="false">IF($G1653="","",$V1653*(N($M1653)*1+N($N1653)*0.75+N($O1653)*0.5+N($P1653)*0.25)+$W1653*N($L1653))</f>
        <v/>
      </c>
      <c r="Z1653" s="35" t="str">
        <f aca="false">IF($G1653="","",$U1653*1000000+ROW())</f>
        <v/>
      </c>
      <c r="AA1653" s="36" t="str">
        <f aca="false">IF($G1653="","",MID(IF($C1653="",", no division","")&amp;IF($E1653="",", no unit","")&amp;IF($H1653="",", no career level","")&amp;IF(N($L1653)&lt;=0,", no quarter split","")&amp;IF($R1653="",", no driver","")&amp;IF(AND($H1653&lt;&gt;"",COUNTIF(CareerLevels,$H1653)=0),", a career level that is not on the ladder","")&amp;IF(AND($R1653&lt;&gt;"",COUNTIF(DriverList,$R1653)=0),", a driver that is not on the list","")&amp;IF(ABS(N($L1653)-(N($M1653)+N($N1653)+N($O1653)+N($P1653)))&gt;0.001,", a total that does not match its quarters",""),3,300))</f>
        <v/>
      </c>
    </row>
    <row r="1654" customFormat="false" ht="15" hidden="false" customHeight="false" outlineLevel="0" collapsed="false">
      <c r="A1654" s="33" t="str">
        <f aca="false">IF($G1654="","","Retail Banking Group")</f>
        <v/>
      </c>
      <c r="B1654" s="19"/>
      <c r="C1654" s="19"/>
      <c r="D1654" s="19"/>
      <c r="E1654" s="19"/>
      <c r="F1654" s="19"/>
      <c r="G1654" s="19"/>
      <c r="H1654" s="19"/>
      <c r="I1654" s="19"/>
      <c r="J1654" s="19"/>
      <c r="K1654" s="19"/>
      <c r="L1654" s="19"/>
      <c r="M1654" s="19"/>
      <c r="N1654" s="19"/>
      <c r="O1654" s="19"/>
      <c r="P1654" s="19"/>
      <c r="Q1654" s="19"/>
      <c r="R1654" s="19"/>
      <c r="S1654" s="19"/>
      <c r="T1654" s="34" t="str">
        <f aca="false">IF($R1654="","",IFERROR(INDEX(DriverCategory,MATCH($R1654,DriverList,0)),"BAU"))</f>
        <v/>
      </c>
      <c r="U1654" s="34" t="str">
        <f aca="false">IF($R1654="","",IFERROR(INDEX(DriverRank,MATCH($R1654,DriverList,0)),99))</f>
        <v/>
      </c>
      <c r="V1654" s="35" t="n">
        <f aca="false">IF($H1654="",0,IFERROR(INDEX(LevelBasic,MATCH($H1654,LevelList,0))+INDEX(LevelHousing,MATCH($H1654,LevelList,0))+INDEX(LevelTransport,MATCH($H1654,LevelList,0))+INDEX(LevelBasic,MATCH($H1654,LevelList,0))*INDEX(LevelBonus,MATCH($H1654,LevelList,0))+(INDEX(LevelBasic,MATCH($H1654,LevelList,0))+INDEX(LevelHousing,MATCH($H1654,LevelList,0)))*GosiSaudi,0))</f>
        <v>0</v>
      </c>
      <c r="W1654" s="35" t="n">
        <f aca="false">IFERROR(INDEX(LevelOneOff,MATCH($H1654,LevelList,0)),0)</f>
        <v>0</v>
      </c>
      <c r="X1654" s="35" t="str">
        <f aca="false">IF($G1654="","",$V1654*N($L1654))</f>
        <v/>
      </c>
      <c r="Y1654" s="35" t="str">
        <f aca="false">IF($G1654="","",$V1654*(N($M1654)*1+N($N1654)*0.75+N($O1654)*0.5+N($P1654)*0.25)+$W1654*N($L1654))</f>
        <v/>
      </c>
      <c r="Z1654" s="35" t="str">
        <f aca="false">IF($G1654="","",$U1654*1000000+ROW())</f>
        <v/>
      </c>
      <c r="AA1654" s="36" t="str">
        <f aca="false">IF($G1654="","",MID(IF($C1654="",", no division","")&amp;IF($E1654="",", no unit","")&amp;IF($H1654="",", no career level","")&amp;IF(N($L1654)&lt;=0,", no quarter split","")&amp;IF($R1654="",", no driver","")&amp;IF(AND($H1654&lt;&gt;"",COUNTIF(CareerLevels,$H1654)=0),", a career level that is not on the ladder","")&amp;IF(AND($R1654&lt;&gt;"",COUNTIF(DriverList,$R1654)=0),", a driver that is not on the list","")&amp;IF(ABS(N($L1654)-(N($M1654)+N($N1654)+N($O1654)+N($P1654)))&gt;0.001,", a total that does not match its quarters",""),3,300))</f>
        <v/>
      </c>
    </row>
    <row r="1655" customFormat="false" ht="15" hidden="false" customHeight="false" outlineLevel="0" collapsed="false">
      <c r="A1655" s="33" t="str">
        <f aca="false">IF($G1655="","","Retail Banking Group")</f>
        <v/>
      </c>
      <c r="B1655" s="19"/>
      <c r="C1655" s="19"/>
      <c r="D1655" s="19"/>
      <c r="E1655" s="19"/>
      <c r="F1655" s="19"/>
      <c r="G1655" s="19"/>
      <c r="H1655" s="19"/>
      <c r="I1655" s="19"/>
      <c r="J1655" s="19"/>
      <c r="K1655" s="19"/>
      <c r="L1655" s="19"/>
      <c r="M1655" s="19"/>
      <c r="N1655" s="19"/>
      <c r="O1655" s="19"/>
      <c r="P1655" s="19"/>
      <c r="Q1655" s="19"/>
      <c r="R1655" s="19"/>
      <c r="S1655" s="19"/>
      <c r="T1655" s="34" t="str">
        <f aca="false">IF($R1655="","",IFERROR(INDEX(DriverCategory,MATCH($R1655,DriverList,0)),"BAU"))</f>
        <v/>
      </c>
      <c r="U1655" s="34" t="str">
        <f aca="false">IF($R1655="","",IFERROR(INDEX(DriverRank,MATCH($R1655,DriverList,0)),99))</f>
        <v/>
      </c>
      <c r="V1655" s="35" t="n">
        <f aca="false">IF($H1655="",0,IFERROR(INDEX(LevelBasic,MATCH($H1655,LevelList,0))+INDEX(LevelHousing,MATCH($H1655,LevelList,0))+INDEX(LevelTransport,MATCH($H1655,LevelList,0))+INDEX(LevelBasic,MATCH($H1655,LevelList,0))*INDEX(LevelBonus,MATCH($H1655,LevelList,0))+(INDEX(LevelBasic,MATCH($H1655,LevelList,0))+INDEX(LevelHousing,MATCH($H1655,LevelList,0)))*GosiSaudi,0))</f>
        <v>0</v>
      </c>
      <c r="W1655" s="35" t="n">
        <f aca="false">IFERROR(INDEX(LevelOneOff,MATCH($H1655,LevelList,0)),0)</f>
        <v>0</v>
      </c>
      <c r="X1655" s="35" t="str">
        <f aca="false">IF($G1655="","",$V1655*N($L1655))</f>
        <v/>
      </c>
      <c r="Y1655" s="35" t="str">
        <f aca="false">IF($G1655="","",$V1655*(N($M1655)*1+N($N1655)*0.75+N($O1655)*0.5+N($P1655)*0.25)+$W1655*N($L1655))</f>
        <v/>
      </c>
      <c r="Z1655" s="35" t="str">
        <f aca="false">IF($G1655="","",$U1655*1000000+ROW())</f>
        <v/>
      </c>
      <c r="AA1655" s="36" t="str">
        <f aca="false">IF($G1655="","",MID(IF($C1655="",", no division","")&amp;IF($E1655="",", no unit","")&amp;IF($H1655="",", no career level","")&amp;IF(N($L1655)&lt;=0,", no quarter split","")&amp;IF($R1655="",", no driver","")&amp;IF(AND($H1655&lt;&gt;"",COUNTIF(CareerLevels,$H1655)=0),", a career level that is not on the ladder","")&amp;IF(AND($R1655&lt;&gt;"",COUNTIF(DriverList,$R1655)=0),", a driver that is not on the list","")&amp;IF(ABS(N($L1655)-(N($M1655)+N($N1655)+N($O1655)+N($P1655)))&gt;0.001,", a total that does not match its quarters",""),3,300))</f>
        <v/>
      </c>
    </row>
    <row r="1656" customFormat="false" ht="15" hidden="false" customHeight="false" outlineLevel="0" collapsed="false">
      <c r="A1656" s="33" t="str">
        <f aca="false">IF($G1656="","","Retail Banking Group")</f>
        <v/>
      </c>
      <c r="B1656" s="19"/>
      <c r="C1656" s="19"/>
      <c r="D1656" s="19"/>
      <c r="E1656" s="19"/>
      <c r="F1656" s="19"/>
      <c r="G1656" s="19"/>
      <c r="H1656" s="19"/>
      <c r="I1656" s="19"/>
      <c r="J1656" s="19"/>
      <c r="K1656" s="19"/>
      <c r="L1656" s="19"/>
      <c r="M1656" s="19"/>
      <c r="N1656" s="19"/>
      <c r="O1656" s="19"/>
      <c r="P1656" s="19"/>
      <c r="Q1656" s="19"/>
      <c r="R1656" s="19"/>
      <c r="S1656" s="19"/>
      <c r="T1656" s="34" t="str">
        <f aca="false">IF($R1656="","",IFERROR(INDEX(DriverCategory,MATCH($R1656,DriverList,0)),"BAU"))</f>
        <v/>
      </c>
      <c r="U1656" s="34" t="str">
        <f aca="false">IF($R1656="","",IFERROR(INDEX(DriverRank,MATCH($R1656,DriverList,0)),99))</f>
        <v/>
      </c>
      <c r="V1656" s="35" t="n">
        <f aca="false">IF($H1656="",0,IFERROR(INDEX(LevelBasic,MATCH($H1656,LevelList,0))+INDEX(LevelHousing,MATCH($H1656,LevelList,0))+INDEX(LevelTransport,MATCH($H1656,LevelList,0))+INDEX(LevelBasic,MATCH($H1656,LevelList,0))*INDEX(LevelBonus,MATCH($H1656,LevelList,0))+(INDEX(LevelBasic,MATCH($H1656,LevelList,0))+INDEX(LevelHousing,MATCH($H1656,LevelList,0)))*GosiSaudi,0))</f>
        <v>0</v>
      </c>
      <c r="W1656" s="35" t="n">
        <f aca="false">IFERROR(INDEX(LevelOneOff,MATCH($H1656,LevelList,0)),0)</f>
        <v>0</v>
      </c>
      <c r="X1656" s="35" t="str">
        <f aca="false">IF($G1656="","",$V1656*N($L1656))</f>
        <v/>
      </c>
      <c r="Y1656" s="35" t="str">
        <f aca="false">IF($G1656="","",$V1656*(N($M1656)*1+N($N1656)*0.75+N($O1656)*0.5+N($P1656)*0.25)+$W1656*N($L1656))</f>
        <v/>
      </c>
      <c r="Z1656" s="35" t="str">
        <f aca="false">IF($G1656="","",$U1656*1000000+ROW())</f>
        <v/>
      </c>
      <c r="AA1656" s="36" t="str">
        <f aca="false">IF($G1656="","",MID(IF($C1656="",", no division","")&amp;IF($E1656="",", no unit","")&amp;IF($H1656="",", no career level","")&amp;IF(N($L1656)&lt;=0,", no quarter split","")&amp;IF($R1656="",", no driver","")&amp;IF(AND($H1656&lt;&gt;"",COUNTIF(CareerLevels,$H1656)=0),", a career level that is not on the ladder","")&amp;IF(AND($R1656&lt;&gt;"",COUNTIF(DriverList,$R1656)=0),", a driver that is not on the list","")&amp;IF(ABS(N($L1656)-(N($M1656)+N($N1656)+N($O1656)+N($P1656)))&gt;0.001,", a total that does not match its quarters",""),3,300))</f>
        <v/>
      </c>
    </row>
    <row r="1657" customFormat="false" ht="15" hidden="false" customHeight="false" outlineLevel="0" collapsed="false">
      <c r="A1657" s="33" t="str">
        <f aca="false">IF($G1657="","","Retail Banking Group")</f>
        <v/>
      </c>
      <c r="B1657" s="19"/>
      <c r="C1657" s="19"/>
      <c r="D1657" s="19"/>
      <c r="E1657" s="19"/>
      <c r="F1657" s="19"/>
      <c r="G1657" s="19"/>
      <c r="H1657" s="19"/>
      <c r="I1657" s="19"/>
      <c r="J1657" s="19"/>
      <c r="K1657" s="19"/>
      <c r="L1657" s="19"/>
      <c r="M1657" s="19"/>
      <c r="N1657" s="19"/>
      <c r="O1657" s="19"/>
      <c r="P1657" s="19"/>
      <c r="Q1657" s="19"/>
      <c r="R1657" s="19"/>
      <c r="S1657" s="19"/>
      <c r="T1657" s="34" t="str">
        <f aca="false">IF($R1657="","",IFERROR(INDEX(DriverCategory,MATCH($R1657,DriverList,0)),"BAU"))</f>
        <v/>
      </c>
      <c r="U1657" s="34" t="str">
        <f aca="false">IF($R1657="","",IFERROR(INDEX(DriverRank,MATCH($R1657,DriverList,0)),99))</f>
        <v/>
      </c>
      <c r="V1657" s="35" t="n">
        <f aca="false">IF($H1657="",0,IFERROR(INDEX(LevelBasic,MATCH($H1657,LevelList,0))+INDEX(LevelHousing,MATCH($H1657,LevelList,0))+INDEX(LevelTransport,MATCH($H1657,LevelList,0))+INDEX(LevelBasic,MATCH($H1657,LevelList,0))*INDEX(LevelBonus,MATCH($H1657,LevelList,0))+(INDEX(LevelBasic,MATCH($H1657,LevelList,0))+INDEX(LevelHousing,MATCH($H1657,LevelList,0)))*GosiSaudi,0))</f>
        <v>0</v>
      </c>
      <c r="W1657" s="35" t="n">
        <f aca="false">IFERROR(INDEX(LevelOneOff,MATCH($H1657,LevelList,0)),0)</f>
        <v>0</v>
      </c>
      <c r="X1657" s="35" t="str">
        <f aca="false">IF($G1657="","",$V1657*N($L1657))</f>
        <v/>
      </c>
      <c r="Y1657" s="35" t="str">
        <f aca="false">IF($G1657="","",$V1657*(N($M1657)*1+N($N1657)*0.75+N($O1657)*0.5+N($P1657)*0.25)+$W1657*N($L1657))</f>
        <v/>
      </c>
      <c r="Z1657" s="35" t="str">
        <f aca="false">IF($G1657="","",$U1657*1000000+ROW())</f>
        <v/>
      </c>
      <c r="AA1657" s="36" t="str">
        <f aca="false">IF($G1657="","",MID(IF($C1657="",", no division","")&amp;IF($E1657="",", no unit","")&amp;IF($H1657="",", no career level","")&amp;IF(N($L1657)&lt;=0,", no quarter split","")&amp;IF($R1657="",", no driver","")&amp;IF(AND($H1657&lt;&gt;"",COUNTIF(CareerLevels,$H1657)=0),", a career level that is not on the ladder","")&amp;IF(AND($R1657&lt;&gt;"",COUNTIF(DriverList,$R1657)=0),", a driver that is not on the list","")&amp;IF(ABS(N($L1657)-(N($M1657)+N($N1657)+N($O1657)+N($P1657)))&gt;0.001,", a total that does not match its quarters",""),3,300))</f>
        <v/>
      </c>
    </row>
    <row r="1658" customFormat="false" ht="15" hidden="false" customHeight="false" outlineLevel="0" collapsed="false">
      <c r="A1658" s="33" t="str">
        <f aca="false">IF($G1658="","","Retail Banking Group")</f>
        <v/>
      </c>
      <c r="B1658" s="19"/>
      <c r="C1658" s="19"/>
      <c r="D1658" s="19"/>
      <c r="E1658" s="19"/>
      <c r="F1658" s="19"/>
      <c r="G1658" s="19"/>
      <c r="H1658" s="19"/>
      <c r="I1658" s="19"/>
      <c r="J1658" s="19"/>
      <c r="K1658" s="19"/>
      <c r="L1658" s="19"/>
      <c r="M1658" s="19"/>
      <c r="N1658" s="19"/>
      <c r="O1658" s="19"/>
      <c r="P1658" s="19"/>
      <c r="Q1658" s="19"/>
      <c r="R1658" s="19"/>
      <c r="S1658" s="19"/>
      <c r="T1658" s="34" t="str">
        <f aca="false">IF($R1658="","",IFERROR(INDEX(DriverCategory,MATCH($R1658,DriverList,0)),"BAU"))</f>
        <v/>
      </c>
      <c r="U1658" s="34" t="str">
        <f aca="false">IF($R1658="","",IFERROR(INDEX(DriverRank,MATCH($R1658,DriverList,0)),99))</f>
        <v/>
      </c>
      <c r="V1658" s="35" t="n">
        <f aca="false">IF($H1658="",0,IFERROR(INDEX(LevelBasic,MATCH($H1658,LevelList,0))+INDEX(LevelHousing,MATCH($H1658,LevelList,0))+INDEX(LevelTransport,MATCH($H1658,LevelList,0))+INDEX(LevelBasic,MATCH($H1658,LevelList,0))*INDEX(LevelBonus,MATCH($H1658,LevelList,0))+(INDEX(LevelBasic,MATCH($H1658,LevelList,0))+INDEX(LevelHousing,MATCH($H1658,LevelList,0)))*GosiSaudi,0))</f>
        <v>0</v>
      </c>
      <c r="W1658" s="35" t="n">
        <f aca="false">IFERROR(INDEX(LevelOneOff,MATCH($H1658,LevelList,0)),0)</f>
        <v>0</v>
      </c>
      <c r="X1658" s="35" t="str">
        <f aca="false">IF($G1658="","",$V1658*N($L1658))</f>
        <v/>
      </c>
      <c r="Y1658" s="35" t="str">
        <f aca="false">IF($G1658="","",$V1658*(N($M1658)*1+N($N1658)*0.75+N($O1658)*0.5+N($P1658)*0.25)+$W1658*N($L1658))</f>
        <v/>
      </c>
      <c r="Z1658" s="35" t="str">
        <f aca="false">IF($G1658="","",$U1658*1000000+ROW())</f>
        <v/>
      </c>
      <c r="AA1658" s="36" t="str">
        <f aca="false">IF($G1658="","",MID(IF($C1658="",", no division","")&amp;IF($E1658="",", no unit","")&amp;IF($H1658="",", no career level","")&amp;IF(N($L1658)&lt;=0,", no quarter split","")&amp;IF($R1658="",", no driver","")&amp;IF(AND($H1658&lt;&gt;"",COUNTIF(CareerLevels,$H1658)=0),", a career level that is not on the ladder","")&amp;IF(AND($R1658&lt;&gt;"",COUNTIF(DriverList,$R1658)=0),", a driver that is not on the list","")&amp;IF(ABS(N($L1658)-(N($M1658)+N($N1658)+N($O1658)+N($P1658)))&gt;0.001,", a total that does not match its quarters",""),3,300))</f>
        <v/>
      </c>
    </row>
    <row r="1659" customFormat="false" ht="15" hidden="false" customHeight="false" outlineLevel="0" collapsed="false">
      <c r="A1659" s="33" t="str">
        <f aca="false">IF($G1659="","","Retail Banking Group")</f>
        <v/>
      </c>
      <c r="B1659" s="19"/>
      <c r="C1659" s="19"/>
      <c r="D1659" s="19"/>
      <c r="E1659" s="19"/>
      <c r="F1659" s="19"/>
      <c r="G1659" s="19"/>
      <c r="H1659" s="19"/>
      <c r="I1659" s="19"/>
      <c r="J1659" s="19"/>
      <c r="K1659" s="19"/>
      <c r="L1659" s="19"/>
      <c r="M1659" s="19"/>
      <c r="N1659" s="19"/>
      <c r="O1659" s="19"/>
      <c r="P1659" s="19"/>
      <c r="Q1659" s="19"/>
      <c r="R1659" s="19"/>
      <c r="S1659" s="19"/>
      <c r="T1659" s="34" t="str">
        <f aca="false">IF($R1659="","",IFERROR(INDEX(DriverCategory,MATCH($R1659,DriverList,0)),"BAU"))</f>
        <v/>
      </c>
      <c r="U1659" s="34" t="str">
        <f aca="false">IF($R1659="","",IFERROR(INDEX(DriverRank,MATCH($R1659,DriverList,0)),99))</f>
        <v/>
      </c>
      <c r="V1659" s="35" t="n">
        <f aca="false">IF($H1659="",0,IFERROR(INDEX(LevelBasic,MATCH($H1659,LevelList,0))+INDEX(LevelHousing,MATCH($H1659,LevelList,0))+INDEX(LevelTransport,MATCH($H1659,LevelList,0))+INDEX(LevelBasic,MATCH($H1659,LevelList,0))*INDEX(LevelBonus,MATCH($H1659,LevelList,0))+(INDEX(LevelBasic,MATCH($H1659,LevelList,0))+INDEX(LevelHousing,MATCH($H1659,LevelList,0)))*GosiSaudi,0))</f>
        <v>0</v>
      </c>
      <c r="W1659" s="35" t="n">
        <f aca="false">IFERROR(INDEX(LevelOneOff,MATCH($H1659,LevelList,0)),0)</f>
        <v>0</v>
      </c>
      <c r="X1659" s="35" t="str">
        <f aca="false">IF($G1659="","",$V1659*N($L1659))</f>
        <v/>
      </c>
      <c r="Y1659" s="35" t="str">
        <f aca="false">IF($G1659="","",$V1659*(N($M1659)*1+N($N1659)*0.75+N($O1659)*0.5+N($P1659)*0.25)+$W1659*N($L1659))</f>
        <v/>
      </c>
      <c r="Z1659" s="35" t="str">
        <f aca="false">IF($G1659="","",$U1659*1000000+ROW())</f>
        <v/>
      </c>
      <c r="AA1659" s="36" t="str">
        <f aca="false">IF($G1659="","",MID(IF($C1659="",", no division","")&amp;IF($E1659="",", no unit","")&amp;IF($H1659="",", no career level","")&amp;IF(N($L1659)&lt;=0,", no quarter split","")&amp;IF($R1659="",", no driver","")&amp;IF(AND($H1659&lt;&gt;"",COUNTIF(CareerLevels,$H1659)=0),", a career level that is not on the ladder","")&amp;IF(AND($R1659&lt;&gt;"",COUNTIF(DriverList,$R1659)=0),", a driver that is not on the list","")&amp;IF(ABS(N($L1659)-(N($M1659)+N($N1659)+N($O1659)+N($P1659)))&gt;0.001,", a total that does not match its quarters",""),3,300))</f>
        <v/>
      </c>
    </row>
    <row r="1660" customFormat="false" ht="15" hidden="false" customHeight="false" outlineLevel="0" collapsed="false">
      <c r="A1660" s="33" t="str">
        <f aca="false">IF($G1660="","","Retail Banking Group")</f>
        <v/>
      </c>
      <c r="B1660" s="19"/>
      <c r="C1660" s="19"/>
      <c r="D1660" s="19"/>
      <c r="E1660" s="19"/>
      <c r="F1660" s="19"/>
      <c r="G1660" s="19"/>
      <c r="H1660" s="19"/>
      <c r="I1660" s="19"/>
      <c r="J1660" s="19"/>
      <c r="K1660" s="19"/>
      <c r="L1660" s="19"/>
      <c r="M1660" s="19"/>
      <c r="N1660" s="19"/>
      <c r="O1660" s="19"/>
      <c r="P1660" s="19"/>
      <c r="Q1660" s="19"/>
      <c r="R1660" s="19"/>
      <c r="S1660" s="19"/>
      <c r="T1660" s="34" t="str">
        <f aca="false">IF($R1660="","",IFERROR(INDEX(DriverCategory,MATCH($R1660,DriverList,0)),"BAU"))</f>
        <v/>
      </c>
      <c r="U1660" s="34" t="str">
        <f aca="false">IF($R1660="","",IFERROR(INDEX(DriverRank,MATCH($R1660,DriverList,0)),99))</f>
        <v/>
      </c>
      <c r="V1660" s="35" t="n">
        <f aca="false">IF($H1660="",0,IFERROR(INDEX(LevelBasic,MATCH($H1660,LevelList,0))+INDEX(LevelHousing,MATCH($H1660,LevelList,0))+INDEX(LevelTransport,MATCH($H1660,LevelList,0))+INDEX(LevelBasic,MATCH($H1660,LevelList,0))*INDEX(LevelBonus,MATCH($H1660,LevelList,0))+(INDEX(LevelBasic,MATCH($H1660,LevelList,0))+INDEX(LevelHousing,MATCH($H1660,LevelList,0)))*GosiSaudi,0))</f>
        <v>0</v>
      </c>
      <c r="W1660" s="35" t="n">
        <f aca="false">IFERROR(INDEX(LevelOneOff,MATCH($H1660,LevelList,0)),0)</f>
        <v>0</v>
      </c>
      <c r="X1660" s="35" t="str">
        <f aca="false">IF($G1660="","",$V1660*N($L1660))</f>
        <v/>
      </c>
      <c r="Y1660" s="35" t="str">
        <f aca="false">IF($G1660="","",$V1660*(N($M1660)*1+N($N1660)*0.75+N($O1660)*0.5+N($P1660)*0.25)+$W1660*N($L1660))</f>
        <v/>
      </c>
      <c r="Z1660" s="35" t="str">
        <f aca="false">IF($G1660="","",$U1660*1000000+ROW())</f>
        <v/>
      </c>
      <c r="AA1660" s="36" t="str">
        <f aca="false">IF($G1660="","",MID(IF($C1660="",", no division","")&amp;IF($E1660="",", no unit","")&amp;IF($H1660="",", no career level","")&amp;IF(N($L1660)&lt;=0,", no quarter split","")&amp;IF($R1660="",", no driver","")&amp;IF(AND($H1660&lt;&gt;"",COUNTIF(CareerLevels,$H1660)=0),", a career level that is not on the ladder","")&amp;IF(AND($R1660&lt;&gt;"",COUNTIF(DriverList,$R1660)=0),", a driver that is not on the list","")&amp;IF(ABS(N($L1660)-(N($M1660)+N($N1660)+N($O1660)+N($P1660)))&gt;0.001,", a total that does not match its quarters",""),3,300))</f>
        <v/>
      </c>
    </row>
    <row r="1661" customFormat="false" ht="15" hidden="false" customHeight="false" outlineLevel="0" collapsed="false">
      <c r="A1661" s="33" t="str">
        <f aca="false">IF($G1661="","","Retail Banking Group")</f>
        <v/>
      </c>
      <c r="B1661" s="19"/>
      <c r="C1661" s="19"/>
      <c r="D1661" s="19"/>
      <c r="E1661" s="19"/>
      <c r="F1661" s="19"/>
      <c r="G1661" s="19"/>
      <c r="H1661" s="19"/>
      <c r="I1661" s="19"/>
      <c r="J1661" s="19"/>
      <c r="K1661" s="19"/>
      <c r="L1661" s="19"/>
      <c r="M1661" s="19"/>
      <c r="N1661" s="19"/>
      <c r="O1661" s="19"/>
      <c r="P1661" s="19"/>
      <c r="Q1661" s="19"/>
      <c r="R1661" s="19"/>
      <c r="S1661" s="19"/>
      <c r="T1661" s="34" t="str">
        <f aca="false">IF($R1661="","",IFERROR(INDEX(DriverCategory,MATCH($R1661,DriverList,0)),"BAU"))</f>
        <v/>
      </c>
      <c r="U1661" s="34" t="str">
        <f aca="false">IF($R1661="","",IFERROR(INDEX(DriverRank,MATCH($R1661,DriverList,0)),99))</f>
        <v/>
      </c>
      <c r="V1661" s="35" t="n">
        <f aca="false">IF($H1661="",0,IFERROR(INDEX(LevelBasic,MATCH($H1661,LevelList,0))+INDEX(LevelHousing,MATCH($H1661,LevelList,0))+INDEX(LevelTransport,MATCH($H1661,LevelList,0))+INDEX(LevelBasic,MATCH($H1661,LevelList,0))*INDEX(LevelBonus,MATCH($H1661,LevelList,0))+(INDEX(LevelBasic,MATCH($H1661,LevelList,0))+INDEX(LevelHousing,MATCH($H1661,LevelList,0)))*GosiSaudi,0))</f>
        <v>0</v>
      </c>
      <c r="W1661" s="35" t="n">
        <f aca="false">IFERROR(INDEX(LevelOneOff,MATCH($H1661,LevelList,0)),0)</f>
        <v>0</v>
      </c>
      <c r="X1661" s="35" t="str">
        <f aca="false">IF($G1661="","",$V1661*N($L1661))</f>
        <v/>
      </c>
      <c r="Y1661" s="35" t="str">
        <f aca="false">IF($G1661="","",$V1661*(N($M1661)*1+N($N1661)*0.75+N($O1661)*0.5+N($P1661)*0.25)+$W1661*N($L1661))</f>
        <v/>
      </c>
      <c r="Z1661" s="35" t="str">
        <f aca="false">IF($G1661="","",$U1661*1000000+ROW())</f>
        <v/>
      </c>
      <c r="AA1661" s="36" t="str">
        <f aca="false">IF($G1661="","",MID(IF($C1661="",", no division","")&amp;IF($E1661="",", no unit","")&amp;IF($H1661="",", no career level","")&amp;IF(N($L1661)&lt;=0,", no quarter split","")&amp;IF($R1661="",", no driver","")&amp;IF(AND($H1661&lt;&gt;"",COUNTIF(CareerLevels,$H1661)=0),", a career level that is not on the ladder","")&amp;IF(AND($R1661&lt;&gt;"",COUNTIF(DriverList,$R1661)=0),", a driver that is not on the list","")&amp;IF(ABS(N($L1661)-(N($M1661)+N($N1661)+N($O1661)+N($P1661)))&gt;0.001,", a total that does not match its quarters",""),3,300))</f>
        <v/>
      </c>
    </row>
    <row r="1662" customFormat="false" ht="15" hidden="false" customHeight="false" outlineLevel="0" collapsed="false">
      <c r="A1662" s="33" t="str">
        <f aca="false">IF($G1662="","","Retail Banking Group")</f>
        <v/>
      </c>
      <c r="B1662" s="19"/>
      <c r="C1662" s="19"/>
      <c r="D1662" s="19"/>
      <c r="E1662" s="19"/>
      <c r="F1662" s="19"/>
      <c r="G1662" s="19"/>
      <c r="H1662" s="19"/>
      <c r="I1662" s="19"/>
      <c r="J1662" s="19"/>
      <c r="K1662" s="19"/>
      <c r="L1662" s="19"/>
      <c r="M1662" s="19"/>
      <c r="N1662" s="19"/>
      <c r="O1662" s="19"/>
      <c r="P1662" s="19"/>
      <c r="Q1662" s="19"/>
      <c r="R1662" s="19"/>
      <c r="S1662" s="19"/>
      <c r="T1662" s="34" t="str">
        <f aca="false">IF($R1662="","",IFERROR(INDEX(DriverCategory,MATCH($R1662,DriverList,0)),"BAU"))</f>
        <v/>
      </c>
      <c r="U1662" s="34" t="str">
        <f aca="false">IF($R1662="","",IFERROR(INDEX(DriverRank,MATCH($R1662,DriverList,0)),99))</f>
        <v/>
      </c>
      <c r="V1662" s="35" t="n">
        <f aca="false">IF($H1662="",0,IFERROR(INDEX(LevelBasic,MATCH($H1662,LevelList,0))+INDEX(LevelHousing,MATCH($H1662,LevelList,0))+INDEX(LevelTransport,MATCH($H1662,LevelList,0))+INDEX(LevelBasic,MATCH($H1662,LevelList,0))*INDEX(LevelBonus,MATCH($H1662,LevelList,0))+(INDEX(LevelBasic,MATCH($H1662,LevelList,0))+INDEX(LevelHousing,MATCH($H1662,LevelList,0)))*GosiSaudi,0))</f>
        <v>0</v>
      </c>
      <c r="W1662" s="35" t="n">
        <f aca="false">IFERROR(INDEX(LevelOneOff,MATCH($H1662,LevelList,0)),0)</f>
        <v>0</v>
      </c>
      <c r="X1662" s="35" t="str">
        <f aca="false">IF($G1662="","",$V1662*N($L1662))</f>
        <v/>
      </c>
      <c r="Y1662" s="35" t="str">
        <f aca="false">IF($G1662="","",$V1662*(N($M1662)*1+N($N1662)*0.75+N($O1662)*0.5+N($P1662)*0.25)+$W1662*N($L1662))</f>
        <v/>
      </c>
      <c r="Z1662" s="35" t="str">
        <f aca="false">IF($G1662="","",$U1662*1000000+ROW())</f>
        <v/>
      </c>
      <c r="AA1662" s="36" t="str">
        <f aca="false">IF($G1662="","",MID(IF($C1662="",", no division","")&amp;IF($E1662="",", no unit","")&amp;IF($H1662="",", no career level","")&amp;IF(N($L1662)&lt;=0,", no quarter split","")&amp;IF($R1662="",", no driver","")&amp;IF(AND($H1662&lt;&gt;"",COUNTIF(CareerLevels,$H1662)=0),", a career level that is not on the ladder","")&amp;IF(AND($R1662&lt;&gt;"",COUNTIF(DriverList,$R1662)=0),", a driver that is not on the list","")&amp;IF(ABS(N($L1662)-(N($M1662)+N($N1662)+N($O1662)+N($P1662)))&gt;0.001,", a total that does not match its quarters",""),3,300))</f>
        <v/>
      </c>
    </row>
    <row r="1663" customFormat="false" ht="15" hidden="false" customHeight="false" outlineLevel="0" collapsed="false">
      <c r="A1663" s="33" t="str">
        <f aca="false">IF($G1663="","","Retail Banking Group")</f>
        <v/>
      </c>
      <c r="B1663" s="19"/>
      <c r="C1663" s="19"/>
      <c r="D1663" s="19"/>
      <c r="E1663" s="19"/>
      <c r="F1663" s="19"/>
      <c r="G1663" s="19"/>
      <c r="H1663" s="19"/>
      <c r="I1663" s="19"/>
      <c r="J1663" s="19"/>
      <c r="K1663" s="19"/>
      <c r="L1663" s="19"/>
      <c r="M1663" s="19"/>
      <c r="N1663" s="19"/>
      <c r="O1663" s="19"/>
      <c r="P1663" s="19"/>
      <c r="Q1663" s="19"/>
      <c r="R1663" s="19"/>
      <c r="S1663" s="19"/>
      <c r="T1663" s="34" t="str">
        <f aca="false">IF($R1663="","",IFERROR(INDEX(DriverCategory,MATCH($R1663,DriverList,0)),"BAU"))</f>
        <v/>
      </c>
      <c r="U1663" s="34" t="str">
        <f aca="false">IF($R1663="","",IFERROR(INDEX(DriverRank,MATCH($R1663,DriverList,0)),99))</f>
        <v/>
      </c>
      <c r="V1663" s="35" t="n">
        <f aca="false">IF($H1663="",0,IFERROR(INDEX(LevelBasic,MATCH($H1663,LevelList,0))+INDEX(LevelHousing,MATCH($H1663,LevelList,0))+INDEX(LevelTransport,MATCH($H1663,LevelList,0))+INDEX(LevelBasic,MATCH($H1663,LevelList,0))*INDEX(LevelBonus,MATCH($H1663,LevelList,0))+(INDEX(LevelBasic,MATCH($H1663,LevelList,0))+INDEX(LevelHousing,MATCH($H1663,LevelList,0)))*GosiSaudi,0))</f>
        <v>0</v>
      </c>
      <c r="W1663" s="35" t="n">
        <f aca="false">IFERROR(INDEX(LevelOneOff,MATCH($H1663,LevelList,0)),0)</f>
        <v>0</v>
      </c>
      <c r="X1663" s="35" t="str">
        <f aca="false">IF($G1663="","",$V1663*N($L1663))</f>
        <v/>
      </c>
      <c r="Y1663" s="35" t="str">
        <f aca="false">IF($G1663="","",$V1663*(N($M1663)*1+N($N1663)*0.75+N($O1663)*0.5+N($P1663)*0.25)+$W1663*N($L1663))</f>
        <v/>
      </c>
      <c r="Z1663" s="35" t="str">
        <f aca="false">IF($G1663="","",$U1663*1000000+ROW())</f>
        <v/>
      </c>
      <c r="AA1663" s="36" t="str">
        <f aca="false">IF($G1663="","",MID(IF($C1663="",", no division","")&amp;IF($E1663="",", no unit","")&amp;IF($H1663="",", no career level","")&amp;IF(N($L1663)&lt;=0,", no quarter split","")&amp;IF($R1663="",", no driver","")&amp;IF(AND($H1663&lt;&gt;"",COUNTIF(CareerLevels,$H1663)=0),", a career level that is not on the ladder","")&amp;IF(AND($R1663&lt;&gt;"",COUNTIF(DriverList,$R1663)=0),", a driver that is not on the list","")&amp;IF(ABS(N($L1663)-(N($M1663)+N($N1663)+N($O1663)+N($P1663)))&gt;0.001,", a total that does not match its quarters",""),3,300))</f>
        <v/>
      </c>
    </row>
    <row r="1664" customFormat="false" ht="15" hidden="false" customHeight="false" outlineLevel="0" collapsed="false">
      <c r="A1664" s="33" t="str">
        <f aca="false">IF($G1664="","","Retail Banking Group")</f>
        <v/>
      </c>
      <c r="B1664" s="19"/>
      <c r="C1664" s="19"/>
      <c r="D1664" s="19"/>
      <c r="E1664" s="19"/>
      <c r="F1664" s="19"/>
      <c r="G1664" s="19"/>
      <c r="H1664" s="19"/>
      <c r="I1664" s="19"/>
      <c r="J1664" s="19"/>
      <c r="K1664" s="19"/>
      <c r="L1664" s="19"/>
      <c r="M1664" s="19"/>
      <c r="N1664" s="19"/>
      <c r="O1664" s="19"/>
      <c r="P1664" s="19"/>
      <c r="Q1664" s="19"/>
      <c r="R1664" s="19"/>
      <c r="S1664" s="19"/>
      <c r="T1664" s="34" t="str">
        <f aca="false">IF($R1664="","",IFERROR(INDEX(DriverCategory,MATCH($R1664,DriverList,0)),"BAU"))</f>
        <v/>
      </c>
      <c r="U1664" s="34" t="str">
        <f aca="false">IF($R1664="","",IFERROR(INDEX(DriverRank,MATCH($R1664,DriverList,0)),99))</f>
        <v/>
      </c>
      <c r="V1664" s="35" t="n">
        <f aca="false">IF($H1664="",0,IFERROR(INDEX(LevelBasic,MATCH($H1664,LevelList,0))+INDEX(LevelHousing,MATCH($H1664,LevelList,0))+INDEX(LevelTransport,MATCH($H1664,LevelList,0))+INDEX(LevelBasic,MATCH($H1664,LevelList,0))*INDEX(LevelBonus,MATCH($H1664,LevelList,0))+(INDEX(LevelBasic,MATCH($H1664,LevelList,0))+INDEX(LevelHousing,MATCH($H1664,LevelList,0)))*GosiSaudi,0))</f>
        <v>0</v>
      </c>
      <c r="W1664" s="35" t="n">
        <f aca="false">IFERROR(INDEX(LevelOneOff,MATCH($H1664,LevelList,0)),0)</f>
        <v>0</v>
      </c>
      <c r="X1664" s="35" t="str">
        <f aca="false">IF($G1664="","",$V1664*N($L1664))</f>
        <v/>
      </c>
      <c r="Y1664" s="35" t="str">
        <f aca="false">IF($G1664="","",$V1664*(N($M1664)*1+N($N1664)*0.75+N($O1664)*0.5+N($P1664)*0.25)+$W1664*N($L1664))</f>
        <v/>
      </c>
      <c r="Z1664" s="35" t="str">
        <f aca="false">IF($G1664="","",$U1664*1000000+ROW())</f>
        <v/>
      </c>
      <c r="AA1664" s="36" t="str">
        <f aca="false">IF($G1664="","",MID(IF($C1664="",", no division","")&amp;IF($E1664="",", no unit","")&amp;IF($H1664="",", no career level","")&amp;IF(N($L1664)&lt;=0,", no quarter split","")&amp;IF($R1664="",", no driver","")&amp;IF(AND($H1664&lt;&gt;"",COUNTIF(CareerLevels,$H1664)=0),", a career level that is not on the ladder","")&amp;IF(AND($R1664&lt;&gt;"",COUNTIF(DriverList,$R1664)=0),", a driver that is not on the list","")&amp;IF(ABS(N($L1664)-(N($M1664)+N($N1664)+N($O1664)+N($P1664)))&gt;0.001,", a total that does not match its quarters",""),3,300))</f>
        <v/>
      </c>
    </row>
    <row r="1665" customFormat="false" ht="15" hidden="false" customHeight="false" outlineLevel="0" collapsed="false">
      <c r="A1665" s="33" t="str">
        <f aca="false">IF($G1665="","","Retail Banking Group")</f>
        <v/>
      </c>
      <c r="B1665" s="19"/>
      <c r="C1665" s="19"/>
      <c r="D1665" s="19"/>
      <c r="E1665" s="19"/>
      <c r="F1665" s="19"/>
      <c r="G1665" s="19"/>
      <c r="H1665" s="19"/>
      <c r="I1665" s="19"/>
      <c r="J1665" s="19"/>
      <c r="K1665" s="19"/>
      <c r="L1665" s="19"/>
      <c r="M1665" s="19"/>
      <c r="N1665" s="19"/>
      <c r="O1665" s="19"/>
      <c r="P1665" s="19"/>
      <c r="Q1665" s="19"/>
      <c r="R1665" s="19"/>
      <c r="S1665" s="19"/>
      <c r="T1665" s="34" t="str">
        <f aca="false">IF($R1665="","",IFERROR(INDEX(DriverCategory,MATCH($R1665,DriverList,0)),"BAU"))</f>
        <v/>
      </c>
      <c r="U1665" s="34" t="str">
        <f aca="false">IF($R1665="","",IFERROR(INDEX(DriverRank,MATCH($R1665,DriverList,0)),99))</f>
        <v/>
      </c>
      <c r="V1665" s="35" t="n">
        <f aca="false">IF($H1665="",0,IFERROR(INDEX(LevelBasic,MATCH($H1665,LevelList,0))+INDEX(LevelHousing,MATCH($H1665,LevelList,0))+INDEX(LevelTransport,MATCH($H1665,LevelList,0))+INDEX(LevelBasic,MATCH($H1665,LevelList,0))*INDEX(LevelBonus,MATCH($H1665,LevelList,0))+(INDEX(LevelBasic,MATCH($H1665,LevelList,0))+INDEX(LevelHousing,MATCH($H1665,LevelList,0)))*GosiSaudi,0))</f>
        <v>0</v>
      </c>
      <c r="W1665" s="35" t="n">
        <f aca="false">IFERROR(INDEX(LevelOneOff,MATCH($H1665,LevelList,0)),0)</f>
        <v>0</v>
      </c>
      <c r="X1665" s="35" t="str">
        <f aca="false">IF($G1665="","",$V1665*N($L1665))</f>
        <v/>
      </c>
      <c r="Y1665" s="35" t="str">
        <f aca="false">IF($G1665="","",$V1665*(N($M1665)*1+N($N1665)*0.75+N($O1665)*0.5+N($P1665)*0.25)+$W1665*N($L1665))</f>
        <v/>
      </c>
      <c r="Z1665" s="35" t="str">
        <f aca="false">IF($G1665="","",$U1665*1000000+ROW())</f>
        <v/>
      </c>
      <c r="AA1665" s="36" t="str">
        <f aca="false">IF($G1665="","",MID(IF($C1665="",", no division","")&amp;IF($E1665="",", no unit","")&amp;IF($H1665="",", no career level","")&amp;IF(N($L1665)&lt;=0,", no quarter split","")&amp;IF($R1665="",", no driver","")&amp;IF(AND($H1665&lt;&gt;"",COUNTIF(CareerLevels,$H1665)=0),", a career level that is not on the ladder","")&amp;IF(AND($R1665&lt;&gt;"",COUNTIF(DriverList,$R1665)=0),", a driver that is not on the list","")&amp;IF(ABS(N($L1665)-(N($M1665)+N($N1665)+N($O1665)+N($P1665)))&gt;0.001,", a total that does not match its quarters",""),3,300))</f>
        <v/>
      </c>
    </row>
    <row r="1666" customFormat="false" ht="15" hidden="false" customHeight="false" outlineLevel="0" collapsed="false">
      <c r="A1666" s="33" t="str">
        <f aca="false">IF($G1666="","","Retail Banking Group")</f>
        <v/>
      </c>
      <c r="B1666" s="19"/>
      <c r="C1666" s="19"/>
      <c r="D1666" s="19"/>
      <c r="E1666" s="19"/>
      <c r="F1666" s="19"/>
      <c r="G1666" s="19"/>
      <c r="H1666" s="19"/>
      <c r="I1666" s="19"/>
      <c r="J1666" s="19"/>
      <c r="K1666" s="19"/>
      <c r="L1666" s="19"/>
      <c r="M1666" s="19"/>
      <c r="N1666" s="19"/>
      <c r="O1666" s="19"/>
      <c r="P1666" s="19"/>
      <c r="Q1666" s="19"/>
      <c r="R1666" s="19"/>
      <c r="S1666" s="19"/>
      <c r="T1666" s="34" t="str">
        <f aca="false">IF($R1666="","",IFERROR(INDEX(DriverCategory,MATCH($R1666,DriverList,0)),"BAU"))</f>
        <v/>
      </c>
      <c r="U1666" s="34" t="str">
        <f aca="false">IF($R1666="","",IFERROR(INDEX(DriverRank,MATCH($R1666,DriverList,0)),99))</f>
        <v/>
      </c>
      <c r="V1666" s="35" t="n">
        <f aca="false">IF($H1666="",0,IFERROR(INDEX(LevelBasic,MATCH($H1666,LevelList,0))+INDEX(LevelHousing,MATCH($H1666,LevelList,0))+INDEX(LevelTransport,MATCH($H1666,LevelList,0))+INDEX(LevelBasic,MATCH($H1666,LevelList,0))*INDEX(LevelBonus,MATCH($H1666,LevelList,0))+(INDEX(LevelBasic,MATCH($H1666,LevelList,0))+INDEX(LevelHousing,MATCH($H1666,LevelList,0)))*GosiSaudi,0))</f>
        <v>0</v>
      </c>
      <c r="W1666" s="35" t="n">
        <f aca="false">IFERROR(INDEX(LevelOneOff,MATCH($H1666,LevelList,0)),0)</f>
        <v>0</v>
      </c>
      <c r="X1666" s="35" t="str">
        <f aca="false">IF($G1666="","",$V1666*N($L1666))</f>
        <v/>
      </c>
      <c r="Y1666" s="35" t="str">
        <f aca="false">IF($G1666="","",$V1666*(N($M1666)*1+N($N1666)*0.75+N($O1666)*0.5+N($P1666)*0.25)+$W1666*N($L1666))</f>
        <v/>
      </c>
      <c r="Z1666" s="35" t="str">
        <f aca="false">IF($G1666="","",$U1666*1000000+ROW())</f>
        <v/>
      </c>
      <c r="AA1666" s="36" t="str">
        <f aca="false">IF($G1666="","",MID(IF($C1666="",", no division","")&amp;IF($E1666="",", no unit","")&amp;IF($H1666="",", no career level","")&amp;IF(N($L1666)&lt;=0,", no quarter split","")&amp;IF($R1666="",", no driver","")&amp;IF(AND($H1666&lt;&gt;"",COUNTIF(CareerLevels,$H1666)=0),", a career level that is not on the ladder","")&amp;IF(AND($R1666&lt;&gt;"",COUNTIF(DriverList,$R1666)=0),", a driver that is not on the list","")&amp;IF(ABS(N($L1666)-(N($M1666)+N($N1666)+N($O1666)+N($P1666)))&gt;0.001,", a total that does not match its quarters",""),3,300))</f>
        <v/>
      </c>
    </row>
    <row r="1667" customFormat="false" ht="15" hidden="false" customHeight="false" outlineLevel="0" collapsed="false">
      <c r="A1667" s="33" t="str">
        <f aca="false">IF($G1667="","","Retail Banking Group")</f>
        <v/>
      </c>
      <c r="B1667" s="19"/>
      <c r="C1667" s="19"/>
      <c r="D1667" s="19"/>
      <c r="E1667" s="19"/>
      <c r="F1667" s="19"/>
      <c r="G1667" s="19"/>
      <c r="H1667" s="19"/>
      <c r="I1667" s="19"/>
      <c r="J1667" s="19"/>
      <c r="K1667" s="19"/>
      <c r="L1667" s="19"/>
      <c r="M1667" s="19"/>
      <c r="N1667" s="19"/>
      <c r="O1667" s="19"/>
      <c r="P1667" s="19"/>
      <c r="Q1667" s="19"/>
      <c r="R1667" s="19"/>
      <c r="S1667" s="19"/>
      <c r="T1667" s="34" t="str">
        <f aca="false">IF($R1667="","",IFERROR(INDEX(DriverCategory,MATCH($R1667,DriverList,0)),"BAU"))</f>
        <v/>
      </c>
      <c r="U1667" s="34" t="str">
        <f aca="false">IF($R1667="","",IFERROR(INDEX(DriverRank,MATCH($R1667,DriverList,0)),99))</f>
        <v/>
      </c>
      <c r="V1667" s="35" t="n">
        <f aca="false">IF($H1667="",0,IFERROR(INDEX(LevelBasic,MATCH($H1667,LevelList,0))+INDEX(LevelHousing,MATCH($H1667,LevelList,0))+INDEX(LevelTransport,MATCH($H1667,LevelList,0))+INDEX(LevelBasic,MATCH($H1667,LevelList,0))*INDEX(LevelBonus,MATCH($H1667,LevelList,0))+(INDEX(LevelBasic,MATCH($H1667,LevelList,0))+INDEX(LevelHousing,MATCH($H1667,LevelList,0)))*GosiSaudi,0))</f>
        <v>0</v>
      </c>
      <c r="W1667" s="35" t="n">
        <f aca="false">IFERROR(INDEX(LevelOneOff,MATCH($H1667,LevelList,0)),0)</f>
        <v>0</v>
      </c>
      <c r="X1667" s="35" t="str">
        <f aca="false">IF($G1667="","",$V1667*N($L1667))</f>
        <v/>
      </c>
      <c r="Y1667" s="35" t="str">
        <f aca="false">IF($G1667="","",$V1667*(N($M1667)*1+N($N1667)*0.75+N($O1667)*0.5+N($P1667)*0.25)+$W1667*N($L1667))</f>
        <v/>
      </c>
      <c r="Z1667" s="35" t="str">
        <f aca="false">IF($G1667="","",$U1667*1000000+ROW())</f>
        <v/>
      </c>
      <c r="AA1667" s="36" t="str">
        <f aca="false">IF($G1667="","",MID(IF($C1667="",", no division","")&amp;IF($E1667="",", no unit","")&amp;IF($H1667="",", no career level","")&amp;IF(N($L1667)&lt;=0,", no quarter split","")&amp;IF($R1667="",", no driver","")&amp;IF(AND($H1667&lt;&gt;"",COUNTIF(CareerLevels,$H1667)=0),", a career level that is not on the ladder","")&amp;IF(AND($R1667&lt;&gt;"",COUNTIF(DriverList,$R1667)=0),", a driver that is not on the list","")&amp;IF(ABS(N($L1667)-(N($M1667)+N($N1667)+N($O1667)+N($P1667)))&gt;0.001,", a total that does not match its quarters",""),3,300))</f>
        <v/>
      </c>
    </row>
    <row r="1668" customFormat="false" ht="15" hidden="false" customHeight="false" outlineLevel="0" collapsed="false">
      <c r="A1668" s="33" t="str">
        <f aca="false">IF($G1668="","","Retail Banking Group")</f>
        <v/>
      </c>
      <c r="B1668" s="19"/>
      <c r="C1668" s="19"/>
      <c r="D1668" s="19"/>
      <c r="E1668" s="19"/>
      <c r="F1668" s="19"/>
      <c r="G1668" s="19"/>
      <c r="H1668" s="19"/>
      <c r="I1668" s="19"/>
      <c r="J1668" s="19"/>
      <c r="K1668" s="19"/>
      <c r="L1668" s="19"/>
      <c r="M1668" s="19"/>
      <c r="N1668" s="19"/>
      <c r="O1668" s="19"/>
      <c r="P1668" s="19"/>
      <c r="Q1668" s="19"/>
      <c r="R1668" s="19"/>
      <c r="S1668" s="19"/>
      <c r="T1668" s="34" t="str">
        <f aca="false">IF($R1668="","",IFERROR(INDEX(DriverCategory,MATCH($R1668,DriverList,0)),"BAU"))</f>
        <v/>
      </c>
      <c r="U1668" s="34" t="str">
        <f aca="false">IF($R1668="","",IFERROR(INDEX(DriverRank,MATCH($R1668,DriverList,0)),99))</f>
        <v/>
      </c>
      <c r="V1668" s="35" t="n">
        <f aca="false">IF($H1668="",0,IFERROR(INDEX(LevelBasic,MATCH($H1668,LevelList,0))+INDEX(LevelHousing,MATCH($H1668,LevelList,0))+INDEX(LevelTransport,MATCH($H1668,LevelList,0))+INDEX(LevelBasic,MATCH($H1668,LevelList,0))*INDEX(LevelBonus,MATCH($H1668,LevelList,0))+(INDEX(LevelBasic,MATCH($H1668,LevelList,0))+INDEX(LevelHousing,MATCH($H1668,LevelList,0)))*GosiSaudi,0))</f>
        <v>0</v>
      </c>
      <c r="W1668" s="35" t="n">
        <f aca="false">IFERROR(INDEX(LevelOneOff,MATCH($H1668,LevelList,0)),0)</f>
        <v>0</v>
      </c>
      <c r="X1668" s="35" t="str">
        <f aca="false">IF($G1668="","",$V1668*N($L1668))</f>
        <v/>
      </c>
      <c r="Y1668" s="35" t="str">
        <f aca="false">IF($G1668="","",$V1668*(N($M1668)*1+N($N1668)*0.75+N($O1668)*0.5+N($P1668)*0.25)+$W1668*N($L1668))</f>
        <v/>
      </c>
      <c r="Z1668" s="35" t="str">
        <f aca="false">IF($G1668="","",$U1668*1000000+ROW())</f>
        <v/>
      </c>
      <c r="AA1668" s="36" t="str">
        <f aca="false">IF($G1668="","",MID(IF($C1668="",", no division","")&amp;IF($E1668="",", no unit","")&amp;IF($H1668="",", no career level","")&amp;IF(N($L1668)&lt;=0,", no quarter split","")&amp;IF($R1668="",", no driver","")&amp;IF(AND($H1668&lt;&gt;"",COUNTIF(CareerLevels,$H1668)=0),", a career level that is not on the ladder","")&amp;IF(AND($R1668&lt;&gt;"",COUNTIF(DriverList,$R1668)=0),", a driver that is not on the list","")&amp;IF(ABS(N($L1668)-(N($M1668)+N($N1668)+N($O1668)+N($P1668)))&gt;0.001,", a total that does not match its quarters",""),3,300))</f>
        <v/>
      </c>
    </row>
    <row r="1669" customFormat="false" ht="15" hidden="false" customHeight="false" outlineLevel="0" collapsed="false">
      <c r="A1669" s="33" t="str">
        <f aca="false">IF($G1669="","","Retail Banking Group")</f>
        <v/>
      </c>
      <c r="B1669" s="19"/>
      <c r="C1669" s="19"/>
      <c r="D1669" s="19"/>
      <c r="E1669" s="19"/>
      <c r="F1669" s="19"/>
      <c r="G1669" s="19"/>
      <c r="H1669" s="19"/>
      <c r="I1669" s="19"/>
      <c r="J1669" s="19"/>
      <c r="K1669" s="19"/>
      <c r="L1669" s="19"/>
      <c r="M1669" s="19"/>
      <c r="N1669" s="19"/>
      <c r="O1669" s="19"/>
      <c r="P1669" s="19"/>
      <c r="Q1669" s="19"/>
      <c r="R1669" s="19"/>
      <c r="S1669" s="19"/>
      <c r="T1669" s="34" t="str">
        <f aca="false">IF($R1669="","",IFERROR(INDEX(DriverCategory,MATCH($R1669,DriverList,0)),"BAU"))</f>
        <v/>
      </c>
      <c r="U1669" s="34" t="str">
        <f aca="false">IF($R1669="","",IFERROR(INDEX(DriverRank,MATCH($R1669,DriverList,0)),99))</f>
        <v/>
      </c>
      <c r="V1669" s="35" t="n">
        <f aca="false">IF($H1669="",0,IFERROR(INDEX(LevelBasic,MATCH($H1669,LevelList,0))+INDEX(LevelHousing,MATCH($H1669,LevelList,0))+INDEX(LevelTransport,MATCH($H1669,LevelList,0))+INDEX(LevelBasic,MATCH($H1669,LevelList,0))*INDEX(LevelBonus,MATCH($H1669,LevelList,0))+(INDEX(LevelBasic,MATCH($H1669,LevelList,0))+INDEX(LevelHousing,MATCH($H1669,LevelList,0)))*GosiSaudi,0))</f>
        <v>0</v>
      </c>
      <c r="W1669" s="35" t="n">
        <f aca="false">IFERROR(INDEX(LevelOneOff,MATCH($H1669,LevelList,0)),0)</f>
        <v>0</v>
      </c>
      <c r="X1669" s="35" t="str">
        <f aca="false">IF($G1669="","",$V1669*N($L1669))</f>
        <v/>
      </c>
      <c r="Y1669" s="35" t="str">
        <f aca="false">IF($G1669="","",$V1669*(N($M1669)*1+N($N1669)*0.75+N($O1669)*0.5+N($P1669)*0.25)+$W1669*N($L1669))</f>
        <v/>
      </c>
      <c r="Z1669" s="35" t="str">
        <f aca="false">IF($G1669="","",$U1669*1000000+ROW())</f>
        <v/>
      </c>
      <c r="AA1669" s="36" t="str">
        <f aca="false">IF($G1669="","",MID(IF($C1669="",", no division","")&amp;IF($E1669="",", no unit","")&amp;IF($H1669="",", no career level","")&amp;IF(N($L1669)&lt;=0,", no quarter split","")&amp;IF($R1669="",", no driver","")&amp;IF(AND($H1669&lt;&gt;"",COUNTIF(CareerLevels,$H1669)=0),", a career level that is not on the ladder","")&amp;IF(AND($R1669&lt;&gt;"",COUNTIF(DriverList,$R1669)=0),", a driver that is not on the list","")&amp;IF(ABS(N($L1669)-(N($M1669)+N($N1669)+N($O1669)+N($P1669)))&gt;0.001,", a total that does not match its quarters",""),3,300))</f>
        <v/>
      </c>
    </row>
    <row r="1670" customFormat="false" ht="15" hidden="false" customHeight="false" outlineLevel="0" collapsed="false">
      <c r="A1670" s="33" t="str">
        <f aca="false">IF($G1670="","","Retail Banking Group")</f>
        <v/>
      </c>
      <c r="B1670" s="19"/>
      <c r="C1670" s="19"/>
      <c r="D1670" s="19"/>
      <c r="E1670" s="19"/>
      <c r="F1670" s="19"/>
      <c r="G1670" s="19"/>
      <c r="H1670" s="19"/>
      <c r="I1670" s="19"/>
      <c r="J1670" s="19"/>
      <c r="K1670" s="19"/>
      <c r="L1670" s="19"/>
      <c r="M1670" s="19"/>
      <c r="N1670" s="19"/>
      <c r="O1670" s="19"/>
      <c r="P1670" s="19"/>
      <c r="Q1670" s="19"/>
      <c r="R1670" s="19"/>
      <c r="S1670" s="19"/>
      <c r="T1670" s="34" t="str">
        <f aca="false">IF($R1670="","",IFERROR(INDEX(DriverCategory,MATCH($R1670,DriverList,0)),"BAU"))</f>
        <v/>
      </c>
      <c r="U1670" s="34" t="str">
        <f aca="false">IF($R1670="","",IFERROR(INDEX(DriverRank,MATCH($R1670,DriverList,0)),99))</f>
        <v/>
      </c>
      <c r="V1670" s="35" t="n">
        <f aca="false">IF($H1670="",0,IFERROR(INDEX(LevelBasic,MATCH($H1670,LevelList,0))+INDEX(LevelHousing,MATCH($H1670,LevelList,0))+INDEX(LevelTransport,MATCH($H1670,LevelList,0))+INDEX(LevelBasic,MATCH($H1670,LevelList,0))*INDEX(LevelBonus,MATCH($H1670,LevelList,0))+(INDEX(LevelBasic,MATCH($H1670,LevelList,0))+INDEX(LevelHousing,MATCH($H1670,LevelList,0)))*GosiSaudi,0))</f>
        <v>0</v>
      </c>
      <c r="W1670" s="35" t="n">
        <f aca="false">IFERROR(INDEX(LevelOneOff,MATCH($H1670,LevelList,0)),0)</f>
        <v>0</v>
      </c>
      <c r="X1670" s="35" t="str">
        <f aca="false">IF($G1670="","",$V1670*N($L1670))</f>
        <v/>
      </c>
      <c r="Y1670" s="35" t="str">
        <f aca="false">IF($G1670="","",$V1670*(N($M1670)*1+N($N1670)*0.75+N($O1670)*0.5+N($P1670)*0.25)+$W1670*N($L1670))</f>
        <v/>
      </c>
      <c r="Z1670" s="35" t="str">
        <f aca="false">IF($G1670="","",$U1670*1000000+ROW())</f>
        <v/>
      </c>
      <c r="AA1670" s="36" t="str">
        <f aca="false">IF($G1670="","",MID(IF($C1670="",", no division","")&amp;IF($E1670="",", no unit","")&amp;IF($H1670="",", no career level","")&amp;IF(N($L1670)&lt;=0,", no quarter split","")&amp;IF($R1670="",", no driver","")&amp;IF(AND($H1670&lt;&gt;"",COUNTIF(CareerLevels,$H1670)=0),", a career level that is not on the ladder","")&amp;IF(AND($R1670&lt;&gt;"",COUNTIF(DriverList,$R1670)=0),", a driver that is not on the list","")&amp;IF(ABS(N($L1670)-(N($M1670)+N($N1670)+N($O1670)+N($P1670)))&gt;0.001,", a total that does not match its quarters",""),3,300))</f>
        <v/>
      </c>
    </row>
    <row r="1671" customFormat="false" ht="15" hidden="false" customHeight="false" outlineLevel="0" collapsed="false">
      <c r="A1671" s="33" t="str">
        <f aca="false">IF($G1671="","","Retail Banking Group")</f>
        <v/>
      </c>
      <c r="B1671" s="19"/>
      <c r="C1671" s="19"/>
      <c r="D1671" s="19"/>
      <c r="E1671" s="19"/>
      <c r="F1671" s="19"/>
      <c r="G1671" s="19"/>
      <c r="H1671" s="19"/>
      <c r="I1671" s="19"/>
      <c r="J1671" s="19"/>
      <c r="K1671" s="19"/>
      <c r="L1671" s="19"/>
      <c r="M1671" s="19"/>
      <c r="N1671" s="19"/>
      <c r="O1671" s="19"/>
      <c r="P1671" s="19"/>
      <c r="Q1671" s="19"/>
      <c r="R1671" s="19"/>
      <c r="S1671" s="19"/>
      <c r="T1671" s="34" t="str">
        <f aca="false">IF($R1671="","",IFERROR(INDEX(DriverCategory,MATCH($R1671,DriverList,0)),"BAU"))</f>
        <v/>
      </c>
      <c r="U1671" s="34" t="str">
        <f aca="false">IF($R1671="","",IFERROR(INDEX(DriverRank,MATCH($R1671,DriverList,0)),99))</f>
        <v/>
      </c>
      <c r="V1671" s="35" t="n">
        <f aca="false">IF($H1671="",0,IFERROR(INDEX(LevelBasic,MATCH($H1671,LevelList,0))+INDEX(LevelHousing,MATCH($H1671,LevelList,0))+INDEX(LevelTransport,MATCH($H1671,LevelList,0))+INDEX(LevelBasic,MATCH($H1671,LevelList,0))*INDEX(LevelBonus,MATCH($H1671,LevelList,0))+(INDEX(LevelBasic,MATCH($H1671,LevelList,0))+INDEX(LevelHousing,MATCH($H1671,LevelList,0)))*GosiSaudi,0))</f>
        <v>0</v>
      </c>
      <c r="W1671" s="35" t="n">
        <f aca="false">IFERROR(INDEX(LevelOneOff,MATCH($H1671,LevelList,0)),0)</f>
        <v>0</v>
      </c>
      <c r="X1671" s="35" t="str">
        <f aca="false">IF($G1671="","",$V1671*N($L1671))</f>
        <v/>
      </c>
      <c r="Y1671" s="35" t="str">
        <f aca="false">IF($G1671="","",$V1671*(N($M1671)*1+N($N1671)*0.75+N($O1671)*0.5+N($P1671)*0.25)+$W1671*N($L1671))</f>
        <v/>
      </c>
      <c r="Z1671" s="35" t="str">
        <f aca="false">IF($G1671="","",$U1671*1000000+ROW())</f>
        <v/>
      </c>
      <c r="AA1671" s="36" t="str">
        <f aca="false">IF($G1671="","",MID(IF($C1671="",", no division","")&amp;IF($E1671="",", no unit","")&amp;IF($H1671="",", no career level","")&amp;IF(N($L1671)&lt;=0,", no quarter split","")&amp;IF($R1671="",", no driver","")&amp;IF(AND($H1671&lt;&gt;"",COUNTIF(CareerLevels,$H1671)=0),", a career level that is not on the ladder","")&amp;IF(AND($R1671&lt;&gt;"",COUNTIF(DriverList,$R1671)=0),", a driver that is not on the list","")&amp;IF(ABS(N($L1671)-(N($M1671)+N($N1671)+N($O1671)+N($P1671)))&gt;0.001,", a total that does not match its quarters",""),3,300))</f>
        <v/>
      </c>
    </row>
    <row r="1672" customFormat="false" ht="15" hidden="false" customHeight="false" outlineLevel="0" collapsed="false">
      <c r="A1672" s="33" t="str">
        <f aca="false">IF($G1672="","","Retail Banking Group")</f>
        <v/>
      </c>
      <c r="B1672" s="19"/>
      <c r="C1672" s="19"/>
      <c r="D1672" s="19"/>
      <c r="E1672" s="19"/>
      <c r="F1672" s="19"/>
      <c r="G1672" s="19"/>
      <c r="H1672" s="19"/>
      <c r="I1672" s="19"/>
      <c r="J1672" s="19"/>
      <c r="K1672" s="19"/>
      <c r="L1672" s="19"/>
      <c r="M1672" s="19"/>
      <c r="N1672" s="19"/>
      <c r="O1672" s="19"/>
      <c r="P1672" s="19"/>
      <c r="Q1672" s="19"/>
      <c r="R1672" s="19"/>
      <c r="S1672" s="19"/>
      <c r="T1672" s="34" t="str">
        <f aca="false">IF($R1672="","",IFERROR(INDEX(DriverCategory,MATCH($R1672,DriverList,0)),"BAU"))</f>
        <v/>
      </c>
      <c r="U1672" s="34" t="str">
        <f aca="false">IF($R1672="","",IFERROR(INDEX(DriverRank,MATCH($R1672,DriverList,0)),99))</f>
        <v/>
      </c>
      <c r="V1672" s="35" t="n">
        <f aca="false">IF($H1672="",0,IFERROR(INDEX(LevelBasic,MATCH($H1672,LevelList,0))+INDEX(LevelHousing,MATCH($H1672,LevelList,0))+INDEX(LevelTransport,MATCH($H1672,LevelList,0))+INDEX(LevelBasic,MATCH($H1672,LevelList,0))*INDEX(LevelBonus,MATCH($H1672,LevelList,0))+(INDEX(LevelBasic,MATCH($H1672,LevelList,0))+INDEX(LevelHousing,MATCH($H1672,LevelList,0)))*GosiSaudi,0))</f>
        <v>0</v>
      </c>
      <c r="W1672" s="35" t="n">
        <f aca="false">IFERROR(INDEX(LevelOneOff,MATCH($H1672,LevelList,0)),0)</f>
        <v>0</v>
      </c>
      <c r="X1672" s="35" t="str">
        <f aca="false">IF($G1672="","",$V1672*N($L1672))</f>
        <v/>
      </c>
      <c r="Y1672" s="35" t="str">
        <f aca="false">IF($G1672="","",$V1672*(N($M1672)*1+N($N1672)*0.75+N($O1672)*0.5+N($P1672)*0.25)+$W1672*N($L1672))</f>
        <v/>
      </c>
      <c r="Z1672" s="35" t="str">
        <f aca="false">IF($G1672="","",$U1672*1000000+ROW())</f>
        <v/>
      </c>
      <c r="AA1672" s="36" t="str">
        <f aca="false">IF($G1672="","",MID(IF($C1672="",", no division","")&amp;IF($E1672="",", no unit","")&amp;IF($H1672="",", no career level","")&amp;IF(N($L1672)&lt;=0,", no quarter split","")&amp;IF($R1672="",", no driver","")&amp;IF(AND($H1672&lt;&gt;"",COUNTIF(CareerLevels,$H1672)=0),", a career level that is not on the ladder","")&amp;IF(AND($R1672&lt;&gt;"",COUNTIF(DriverList,$R1672)=0),", a driver that is not on the list","")&amp;IF(ABS(N($L1672)-(N($M1672)+N($N1672)+N($O1672)+N($P1672)))&gt;0.001,", a total that does not match its quarters",""),3,300))</f>
        <v/>
      </c>
    </row>
    <row r="1673" customFormat="false" ht="15" hidden="false" customHeight="false" outlineLevel="0" collapsed="false">
      <c r="A1673" s="33" t="str">
        <f aca="false">IF($G1673="","","Retail Banking Group")</f>
        <v/>
      </c>
      <c r="B1673" s="19"/>
      <c r="C1673" s="19"/>
      <c r="D1673" s="19"/>
      <c r="E1673" s="19"/>
      <c r="F1673" s="19"/>
      <c r="G1673" s="19"/>
      <c r="H1673" s="19"/>
      <c r="I1673" s="19"/>
      <c r="J1673" s="19"/>
      <c r="K1673" s="19"/>
      <c r="L1673" s="19"/>
      <c r="M1673" s="19"/>
      <c r="N1673" s="19"/>
      <c r="O1673" s="19"/>
      <c r="P1673" s="19"/>
      <c r="Q1673" s="19"/>
      <c r="R1673" s="19"/>
      <c r="S1673" s="19"/>
      <c r="T1673" s="34" t="str">
        <f aca="false">IF($R1673="","",IFERROR(INDEX(DriverCategory,MATCH($R1673,DriverList,0)),"BAU"))</f>
        <v/>
      </c>
      <c r="U1673" s="34" t="str">
        <f aca="false">IF($R1673="","",IFERROR(INDEX(DriverRank,MATCH($R1673,DriverList,0)),99))</f>
        <v/>
      </c>
      <c r="V1673" s="35" t="n">
        <f aca="false">IF($H1673="",0,IFERROR(INDEX(LevelBasic,MATCH($H1673,LevelList,0))+INDEX(LevelHousing,MATCH($H1673,LevelList,0))+INDEX(LevelTransport,MATCH($H1673,LevelList,0))+INDEX(LevelBasic,MATCH($H1673,LevelList,0))*INDEX(LevelBonus,MATCH($H1673,LevelList,0))+(INDEX(LevelBasic,MATCH($H1673,LevelList,0))+INDEX(LevelHousing,MATCH($H1673,LevelList,0)))*GosiSaudi,0))</f>
        <v>0</v>
      </c>
      <c r="W1673" s="35" t="n">
        <f aca="false">IFERROR(INDEX(LevelOneOff,MATCH($H1673,LevelList,0)),0)</f>
        <v>0</v>
      </c>
      <c r="X1673" s="35" t="str">
        <f aca="false">IF($G1673="","",$V1673*N($L1673))</f>
        <v/>
      </c>
      <c r="Y1673" s="35" t="str">
        <f aca="false">IF($G1673="","",$V1673*(N($M1673)*1+N($N1673)*0.75+N($O1673)*0.5+N($P1673)*0.25)+$W1673*N($L1673))</f>
        <v/>
      </c>
      <c r="Z1673" s="35" t="str">
        <f aca="false">IF($G1673="","",$U1673*1000000+ROW())</f>
        <v/>
      </c>
      <c r="AA1673" s="36" t="str">
        <f aca="false">IF($G1673="","",MID(IF($C1673="",", no division","")&amp;IF($E1673="",", no unit","")&amp;IF($H1673="",", no career level","")&amp;IF(N($L1673)&lt;=0,", no quarter split","")&amp;IF($R1673="",", no driver","")&amp;IF(AND($H1673&lt;&gt;"",COUNTIF(CareerLevels,$H1673)=0),", a career level that is not on the ladder","")&amp;IF(AND($R1673&lt;&gt;"",COUNTIF(DriverList,$R1673)=0),", a driver that is not on the list","")&amp;IF(ABS(N($L1673)-(N($M1673)+N($N1673)+N($O1673)+N($P1673)))&gt;0.001,", a total that does not match its quarters",""),3,300))</f>
        <v/>
      </c>
    </row>
    <row r="1674" customFormat="false" ht="15" hidden="false" customHeight="false" outlineLevel="0" collapsed="false">
      <c r="A1674" s="33" t="str">
        <f aca="false">IF($G1674="","","Retail Banking Group")</f>
        <v/>
      </c>
      <c r="B1674" s="19"/>
      <c r="C1674" s="19"/>
      <c r="D1674" s="19"/>
      <c r="E1674" s="19"/>
      <c r="F1674" s="19"/>
      <c r="G1674" s="19"/>
      <c r="H1674" s="19"/>
      <c r="I1674" s="19"/>
      <c r="J1674" s="19"/>
      <c r="K1674" s="19"/>
      <c r="L1674" s="19"/>
      <c r="M1674" s="19"/>
      <c r="N1674" s="19"/>
      <c r="O1674" s="19"/>
      <c r="P1674" s="19"/>
      <c r="Q1674" s="19"/>
      <c r="R1674" s="19"/>
      <c r="S1674" s="19"/>
      <c r="T1674" s="34" t="str">
        <f aca="false">IF($R1674="","",IFERROR(INDEX(DriverCategory,MATCH($R1674,DriverList,0)),"BAU"))</f>
        <v/>
      </c>
      <c r="U1674" s="34" t="str">
        <f aca="false">IF($R1674="","",IFERROR(INDEX(DriverRank,MATCH($R1674,DriverList,0)),99))</f>
        <v/>
      </c>
      <c r="V1674" s="35" t="n">
        <f aca="false">IF($H1674="",0,IFERROR(INDEX(LevelBasic,MATCH($H1674,LevelList,0))+INDEX(LevelHousing,MATCH($H1674,LevelList,0))+INDEX(LevelTransport,MATCH($H1674,LevelList,0))+INDEX(LevelBasic,MATCH($H1674,LevelList,0))*INDEX(LevelBonus,MATCH($H1674,LevelList,0))+(INDEX(LevelBasic,MATCH($H1674,LevelList,0))+INDEX(LevelHousing,MATCH($H1674,LevelList,0)))*GosiSaudi,0))</f>
        <v>0</v>
      </c>
      <c r="W1674" s="35" t="n">
        <f aca="false">IFERROR(INDEX(LevelOneOff,MATCH($H1674,LevelList,0)),0)</f>
        <v>0</v>
      </c>
      <c r="X1674" s="35" t="str">
        <f aca="false">IF($G1674="","",$V1674*N($L1674))</f>
        <v/>
      </c>
      <c r="Y1674" s="35" t="str">
        <f aca="false">IF($G1674="","",$V1674*(N($M1674)*1+N($N1674)*0.75+N($O1674)*0.5+N($P1674)*0.25)+$W1674*N($L1674))</f>
        <v/>
      </c>
      <c r="Z1674" s="35" t="str">
        <f aca="false">IF($G1674="","",$U1674*1000000+ROW())</f>
        <v/>
      </c>
      <c r="AA1674" s="36" t="str">
        <f aca="false">IF($G1674="","",MID(IF($C1674="",", no division","")&amp;IF($E1674="",", no unit","")&amp;IF($H1674="",", no career level","")&amp;IF(N($L1674)&lt;=0,", no quarter split","")&amp;IF($R1674="",", no driver","")&amp;IF(AND($H1674&lt;&gt;"",COUNTIF(CareerLevels,$H1674)=0),", a career level that is not on the ladder","")&amp;IF(AND($R1674&lt;&gt;"",COUNTIF(DriverList,$R1674)=0),", a driver that is not on the list","")&amp;IF(ABS(N($L1674)-(N($M1674)+N($N1674)+N($O1674)+N($P1674)))&gt;0.001,", a total that does not match its quarters",""),3,300))</f>
        <v/>
      </c>
    </row>
    <row r="1675" customFormat="false" ht="15" hidden="false" customHeight="false" outlineLevel="0" collapsed="false">
      <c r="A1675" s="33" t="str">
        <f aca="false">IF($G1675="","","Retail Banking Group")</f>
        <v/>
      </c>
      <c r="B1675" s="19"/>
      <c r="C1675" s="19"/>
      <c r="D1675" s="19"/>
      <c r="E1675" s="19"/>
      <c r="F1675" s="19"/>
      <c r="G1675" s="19"/>
      <c r="H1675" s="19"/>
      <c r="I1675" s="19"/>
      <c r="J1675" s="19"/>
      <c r="K1675" s="19"/>
      <c r="L1675" s="19"/>
      <c r="M1675" s="19"/>
      <c r="N1675" s="19"/>
      <c r="O1675" s="19"/>
      <c r="P1675" s="19"/>
      <c r="Q1675" s="19"/>
      <c r="R1675" s="19"/>
      <c r="S1675" s="19"/>
      <c r="T1675" s="34" t="str">
        <f aca="false">IF($R1675="","",IFERROR(INDEX(DriverCategory,MATCH($R1675,DriverList,0)),"BAU"))</f>
        <v/>
      </c>
      <c r="U1675" s="34" t="str">
        <f aca="false">IF($R1675="","",IFERROR(INDEX(DriverRank,MATCH($R1675,DriverList,0)),99))</f>
        <v/>
      </c>
      <c r="V1675" s="35" t="n">
        <f aca="false">IF($H1675="",0,IFERROR(INDEX(LevelBasic,MATCH($H1675,LevelList,0))+INDEX(LevelHousing,MATCH($H1675,LevelList,0))+INDEX(LevelTransport,MATCH($H1675,LevelList,0))+INDEX(LevelBasic,MATCH($H1675,LevelList,0))*INDEX(LevelBonus,MATCH($H1675,LevelList,0))+(INDEX(LevelBasic,MATCH($H1675,LevelList,0))+INDEX(LevelHousing,MATCH($H1675,LevelList,0)))*GosiSaudi,0))</f>
        <v>0</v>
      </c>
      <c r="W1675" s="35" t="n">
        <f aca="false">IFERROR(INDEX(LevelOneOff,MATCH($H1675,LevelList,0)),0)</f>
        <v>0</v>
      </c>
      <c r="X1675" s="35" t="str">
        <f aca="false">IF($G1675="","",$V1675*N($L1675))</f>
        <v/>
      </c>
      <c r="Y1675" s="35" t="str">
        <f aca="false">IF($G1675="","",$V1675*(N($M1675)*1+N($N1675)*0.75+N($O1675)*0.5+N($P1675)*0.25)+$W1675*N($L1675))</f>
        <v/>
      </c>
      <c r="Z1675" s="35" t="str">
        <f aca="false">IF($G1675="","",$U1675*1000000+ROW())</f>
        <v/>
      </c>
      <c r="AA1675" s="36" t="str">
        <f aca="false">IF($G1675="","",MID(IF($C1675="",", no division","")&amp;IF($E1675="",", no unit","")&amp;IF($H1675="",", no career level","")&amp;IF(N($L1675)&lt;=0,", no quarter split","")&amp;IF($R1675="",", no driver","")&amp;IF(AND($H1675&lt;&gt;"",COUNTIF(CareerLevels,$H1675)=0),", a career level that is not on the ladder","")&amp;IF(AND($R1675&lt;&gt;"",COUNTIF(DriverList,$R1675)=0),", a driver that is not on the list","")&amp;IF(ABS(N($L1675)-(N($M1675)+N($N1675)+N($O1675)+N($P1675)))&gt;0.001,", a total that does not match its quarters",""),3,300))</f>
        <v/>
      </c>
    </row>
    <row r="1676" customFormat="false" ht="15" hidden="false" customHeight="false" outlineLevel="0" collapsed="false">
      <c r="A1676" s="33" t="str">
        <f aca="false">IF($G1676="","","Retail Banking Group")</f>
        <v/>
      </c>
      <c r="B1676" s="19"/>
      <c r="C1676" s="19"/>
      <c r="D1676" s="19"/>
      <c r="E1676" s="19"/>
      <c r="F1676" s="19"/>
      <c r="G1676" s="19"/>
      <c r="H1676" s="19"/>
      <c r="I1676" s="19"/>
      <c r="J1676" s="19"/>
      <c r="K1676" s="19"/>
      <c r="L1676" s="19"/>
      <c r="M1676" s="19"/>
      <c r="N1676" s="19"/>
      <c r="O1676" s="19"/>
      <c r="P1676" s="19"/>
      <c r="Q1676" s="19"/>
      <c r="R1676" s="19"/>
      <c r="S1676" s="19"/>
      <c r="T1676" s="34" t="str">
        <f aca="false">IF($R1676="","",IFERROR(INDEX(DriverCategory,MATCH($R1676,DriverList,0)),"BAU"))</f>
        <v/>
      </c>
      <c r="U1676" s="34" t="str">
        <f aca="false">IF($R1676="","",IFERROR(INDEX(DriverRank,MATCH($R1676,DriverList,0)),99))</f>
        <v/>
      </c>
      <c r="V1676" s="35" t="n">
        <f aca="false">IF($H1676="",0,IFERROR(INDEX(LevelBasic,MATCH($H1676,LevelList,0))+INDEX(LevelHousing,MATCH($H1676,LevelList,0))+INDEX(LevelTransport,MATCH($H1676,LevelList,0))+INDEX(LevelBasic,MATCH($H1676,LevelList,0))*INDEX(LevelBonus,MATCH($H1676,LevelList,0))+(INDEX(LevelBasic,MATCH($H1676,LevelList,0))+INDEX(LevelHousing,MATCH($H1676,LevelList,0)))*GosiSaudi,0))</f>
        <v>0</v>
      </c>
      <c r="W1676" s="35" t="n">
        <f aca="false">IFERROR(INDEX(LevelOneOff,MATCH($H1676,LevelList,0)),0)</f>
        <v>0</v>
      </c>
      <c r="X1676" s="35" t="str">
        <f aca="false">IF($G1676="","",$V1676*N($L1676))</f>
        <v/>
      </c>
      <c r="Y1676" s="35" t="str">
        <f aca="false">IF($G1676="","",$V1676*(N($M1676)*1+N($N1676)*0.75+N($O1676)*0.5+N($P1676)*0.25)+$W1676*N($L1676))</f>
        <v/>
      </c>
      <c r="Z1676" s="35" t="str">
        <f aca="false">IF($G1676="","",$U1676*1000000+ROW())</f>
        <v/>
      </c>
      <c r="AA1676" s="36" t="str">
        <f aca="false">IF($G1676="","",MID(IF($C1676="",", no division","")&amp;IF($E1676="",", no unit","")&amp;IF($H1676="",", no career level","")&amp;IF(N($L1676)&lt;=0,", no quarter split","")&amp;IF($R1676="",", no driver","")&amp;IF(AND($H1676&lt;&gt;"",COUNTIF(CareerLevels,$H1676)=0),", a career level that is not on the ladder","")&amp;IF(AND($R1676&lt;&gt;"",COUNTIF(DriverList,$R1676)=0),", a driver that is not on the list","")&amp;IF(ABS(N($L1676)-(N($M1676)+N($N1676)+N($O1676)+N($P1676)))&gt;0.001,", a total that does not match its quarters",""),3,300))</f>
        <v/>
      </c>
    </row>
    <row r="1677" customFormat="false" ht="15" hidden="false" customHeight="false" outlineLevel="0" collapsed="false">
      <c r="A1677" s="33" t="str">
        <f aca="false">IF($G1677="","","Retail Banking Group")</f>
        <v/>
      </c>
      <c r="B1677" s="19"/>
      <c r="C1677" s="19"/>
      <c r="D1677" s="19"/>
      <c r="E1677" s="19"/>
      <c r="F1677" s="19"/>
      <c r="G1677" s="19"/>
      <c r="H1677" s="19"/>
      <c r="I1677" s="19"/>
      <c r="J1677" s="19"/>
      <c r="K1677" s="19"/>
      <c r="L1677" s="19"/>
      <c r="M1677" s="19"/>
      <c r="N1677" s="19"/>
      <c r="O1677" s="19"/>
      <c r="P1677" s="19"/>
      <c r="Q1677" s="19"/>
      <c r="R1677" s="19"/>
      <c r="S1677" s="19"/>
      <c r="T1677" s="34" t="str">
        <f aca="false">IF($R1677="","",IFERROR(INDEX(DriverCategory,MATCH($R1677,DriverList,0)),"BAU"))</f>
        <v/>
      </c>
      <c r="U1677" s="34" t="str">
        <f aca="false">IF($R1677="","",IFERROR(INDEX(DriverRank,MATCH($R1677,DriverList,0)),99))</f>
        <v/>
      </c>
      <c r="V1677" s="35" t="n">
        <f aca="false">IF($H1677="",0,IFERROR(INDEX(LevelBasic,MATCH($H1677,LevelList,0))+INDEX(LevelHousing,MATCH($H1677,LevelList,0))+INDEX(LevelTransport,MATCH($H1677,LevelList,0))+INDEX(LevelBasic,MATCH($H1677,LevelList,0))*INDEX(LevelBonus,MATCH($H1677,LevelList,0))+(INDEX(LevelBasic,MATCH($H1677,LevelList,0))+INDEX(LevelHousing,MATCH($H1677,LevelList,0)))*GosiSaudi,0))</f>
        <v>0</v>
      </c>
      <c r="W1677" s="35" t="n">
        <f aca="false">IFERROR(INDEX(LevelOneOff,MATCH($H1677,LevelList,0)),0)</f>
        <v>0</v>
      </c>
      <c r="X1677" s="35" t="str">
        <f aca="false">IF($G1677="","",$V1677*N($L1677))</f>
        <v/>
      </c>
      <c r="Y1677" s="35" t="str">
        <f aca="false">IF($G1677="","",$V1677*(N($M1677)*1+N($N1677)*0.75+N($O1677)*0.5+N($P1677)*0.25)+$W1677*N($L1677))</f>
        <v/>
      </c>
      <c r="Z1677" s="35" t="str">
        <f aca="false">IF($G1677="","",$U1677*1000000+ROW())</f>
        <v/>
      </c>
      <c r="AA1677" s="36" t="str">
        <f aca="false">IF($G1677="","",MID(IF($C1677="",", no division","")&amp;IF($E1677="",", no unit","")&amp;IF($H1677="",", no career level","")&amp;IF(N($L1677)&lt;=0,", no quarter split","")&amp;IF($R1677="",", no driver","")&amp;IF(AND($H1677&lt;&gt;"",COUNTIF(CareerLevels,$H1677)=0),", a career level that is not on the ladder","")&amp;IF(AND($R1677&lt;&gt;"",COUNTIF(DriverList,$R1677)=0),", a driver that is not on the list","")&amp;IF(ABS(N($L1677)-(N($M1677)+N($N1677)+N($O1677)+N($P1677)))&gt;0.001,", a total that does not match its quarters",""),3,300))</f>
        <v/>
      </c>
    </row>
    <row r="1678" customFormat="false" ht="15" hidden="false" customHeight="false" outlineLevel="0" collapsed="false">
      <c r="A1678" s="33" t="str">
        <f aca="false">IF($G1678="","","Retail Banking Group")</f>
        <v/>
      </c>
      <c r="B1678" s="19"/>
      <c r="C1678" s="19"/>
      <c r="D1678" s="19"/>
      <c r="E1678" s="19"/>
      <c r="F1678" s="19"/>
      <c r="G1678" s="19"/>
      <c r="H1678" s="19"/>
      <c r="I1678" s="19"/>
      <c r="J1678" s="19"/>
      <c r="K1678" s="19"/>
      <c r="L1678" s="19"/>
      <c r="M1678" s="19"/>
      <c r="N1678" s="19"/>
      <c r="O1678" s="19"/>
      <c r="P1678" s="19"/>
      <c r="Q1678" s="19"/>
      <c r="R1678" s="19"/>
      <c r="S1678" s="19"/>
      <c r="T1678" s="34" t="str">
        <f aca="false">IF($R1678="","",IFERROR(INDEX(DriverCategory,MATCH($R1678,DriverList,0)),"BAU"))</f>
        <v/>
      </c>
      <c r="U1678" s="34" t="str">
        <f aca="false">IF($R1678="","",IFERROR(INDEX(DriverRank,MATCH($R1678,DriverList,0)),99))</f>
        <v/>
      </c>
      <c r="V1678" s="35" t="n">
        <f aca="false">IF($H1678="",0,IFERROR(INDEX(LevelBasic,MATCH($H1678,LevelList,0))+INDEX(LevelHousing,MATCH($H1678,LevelList,0))+INDEX(LevelTransport,MATCH($H1678,LevelList,0))+INDEX(LevelBasic,MATCH($H1678,LevelList,0))*INDEX(LevelBonus,MATCH($H1678,LevelList,0))+(INDEX(LevelBasic,MATCH($H1678,LevelList,0))+INDEX(LevelHousing,MATCH($H1678,LevelList,0)))*GosiSaudi,0))</f>
        <v>0</v>
      </c>
      <c r="W1678" s="35" t="n">
        <f aca="false">IFERROR(INDEX(LevelOneOff,MATCH($H1678,LevelList,0)),0)</f>
        <v>0</v>
      </c>
      <c r="X1678" s="35" t="str">
        <f aca="false">IF($G1678="","",$V1678*N($L1678))</f>
        <v/>
      </c>
      <c r="Y1678" s="35" t="str">
        <f aca="false">IF($G1678="","",$V1678*(N($M1678)*1+N($N1678)*0.75+N($O1678)*0.5+N($P1678)*0.25)+$W1678*N($L1678))</f>
        <v/>
      </c>
      <c r="Z1678" s="35" t="str">
        <f aca="false">IF($G1678="","",$U1678*1000000+ROW())</f>
        <v/>
      </c>
      <c r="AA1678" s="36" t="str">
        <f aca="false">IF($G1678="","",MID(IF($C1678="",", no division","")&amp;IF($E1678="",", no unit","")&amp;IF($H1678="",", no career level","")&amp;IF(N($L1678)&lt;=0,", no quarter split","")&amp;IF($R1678="",", no driver","")&amp;IF(AND($H1678&lt;&gt;"",COUNTIF(CareerLevels,$H1678)=0),", a career level that is not on the ladder","")&amp;IF(AND($R1678&lt;&gt;"",COUNTIF(DriverList,$R1678)=0),", a driver that is not on the list","")&amp;IF(ABS(N($L1678)-(N($M1678)+N($N1678)+N($O1678)+N($P1678)))&gt;0.001,", a total that does not match its quarters",""),3,300))</f>
        <v/>
      </c>
    </row>
    <row r="1679" customFormat="false" ht="15" hidden="false" customHeight="false" outlineLevel="0" collapsed="false">
      <c r="A1679" s="33" t="str">
        <f aca="false">IF($G1679="","","Retail Banking Group")</f>
        <v/>
      </c>
      <c r="B1679" s="19"/>
      <c r="C1679" s="19"/>
      <c r="D1679" s="19"/>
      <c r="E1679" s="19"/>
      <c r="F1679" s="19"/>
      <c r="G1679" s="19"/>
      <c r="H1679" s="19"/>
      <c r="I1679" s="19"/>
      <c r="J1679" s="19"/>
      <c r="K1679" s="19"/>
      <c r="L1679" s="19"/>
      <c r="M1679" s="19"/>
      <c r="N1679" s="19"/>
      <c r="O1679" s="19"/>
      <c r="P1679" s="19"/>
      <c r="Q1679" s="19"/>
      <c r="R1679" s="19"/>
      <c r="S1679" s="19"/>
      <c r="T1679" s="34" t="str">
        <f aca="false">IF($R1679="","",IFERROR(INDEX(DriverCategory,MATCH($R1679,DriverList,0)),"BAU"))</f>
        <v/>
      </c>
      <c r="U1679" s="34" t="str">
        <f aca="false">IF($R1679="","",IFERROR(INDEX(DriverRank,MATCH($R1679,DriverList,0)),99))</f>
        <v/>
      </c>
      <c r="V1679" s="35" t="n">
        <f aca="false">IF($H1679="",0,IFERROR(INDEX(LevelBasic,MATCH($H1679,LevelList,0))+INDEX(LevelHousing,MATCH($H1679,LevelList,0))+INDEX(LevelTransport,MATCH($H1679,LevelList,0))+INDEX(LevelBasic,MATCH($H1679,LevelList,0))*INDEX(LevelBonus,MATCH($H1679,LevelList,0))+(INDEX(LevelBasic,MATCH($H1679,LevelList,0))+INDEX(LevelHousing,MATCH($H1679,LevelList,0)))*GosiSaudi,0))</f>
        <v>0</v>
      </c>
      <c r="W1679" s="35" t="n">
        <f aca="false">IFERROR(INDEX(LevelOneOff,MATCH($H1679,LevelList,0)),0)</f>
        <v>0</v>
      </c>
      <c r="X1679" s="35" t="str">
        <f aca="false">IF($G1679="","",$V1679*N($L1679))</f>
        <v/>
      </c>
      <c r="Y1679" s="35" t="str">
        <f aca="false">IF($G1679="","",$V1679*(N($M1679)*1+N($N1679)*0.75+N($O1679)*0.5+N($P1679)*0.25)+$W1679*N($L1679))</f>
        <v/>
      </c>
      <c r="Z1679" s="35" t="str">
        <f aca="false">IF($G1679="","",$U1679*1000000+ROW())</f>
        <v/>
      </c>
      <c r="AA1679" s="36" t="str">
        <f aca="false">IF($G1679="","",MID(IF($C1679="",", no division","")&amp;IF($E1679="",", no unit","")&amp;IF($H1679="",", no career level","")&amp;IF(N($L1679)&lt;=0,", no quarter split","")&amp;IF($R1679="",", no driver","")&amp;IF(AND($H1679&lt;&gt;"",COUNTIF(CareerLevels,$H1679)=0),", a career level that is not on the ladder","")&amp;IF(AND($R1679&lt;&gt;"",COUNTIF(DriverList,$R1679)=0),", a driver that is not on the list","")&amp;IF(ABS(N($L1679)-(N($M1679)+N($N1679)+N($O1679)+N($P1679)))&gt;0.001,", a total that does not match its quarters",""),3,300))</f>
        <v/>
      </c>
    </row>
    <row r="1680" customFormat="false" ht="15" hidden="false" customHeight="false" outlineLevel="0" collapsed="false">
      <c r="A1680" s="33" t="str">
        <f aca="false">IF($G1680="","","Retail Banking Group")</f>
        <v/>
      </c>
      <c r="B1680" s="19"/>
      <c r="C1680" s="19"/>
      <c r="D1680" s="19"/>
      <c r="E1680" s="19"/>
      <c r="F1680" s="19"/>
      <c r="G1680" s="19"/>
      <c r="H1680" s="19"/>
      <c r="I1680" s="19"/>
      <c r="J1680" s="19"/>
      <c r="K1680" s="19"/>
      <c r="L1680" s="19"/>
      <c r="M1680" s="19"/>
      <c r="N1680" s="19"/>
      <c r="O1680" s="19"/>
      <c r="P1680" s="19"/>
      <c r="Q1680" s="19"/>
      <c r="R1680" s="19"/>
      <c r="S1680" s="19"/>
      <c r="T1680" s="34" t="str">
        <f aca="false">IF($R1680="","",IFERROR(INDEX(DriverCategory,MATCH($R1680,DriverList,0)),"BAU"))</f>
        <v/>
      </c>
      <c r="U1680" s="34" t="str">
        <f aca="false">IF($R1680="","",IFERROR(INDEX(DriverRank,MATCH($R1680,DriverList,0)),99))</f>
        <v/>
      </c>
      <c r="V1680" s="35" t="n">
        <f aca="false">IF($H1680="",0,IFERROR(INDEX(LevelBasic,MATCH($H1680,LevelList,0))+INDEX(LevelHousing,MATCH($H1680,LevelList,0))+INDEX(LevelTransport,MATCH($H1680,LevelList,0))+INDEX(LevelBasic,MATCH($H1680,LevelList,0))*INDEX(LevelBonus,MATCH($H1680,LevelList,0))+(INDEX(LevelBasic,MATCH($H1680,LevelList,0))+INDEX(LevelHousing,MATCH($H1680,LevelList,0)))*GosiSaudi,0))</f>
        <v>0</v>
      </c>
      <c r="W1680" s="35" t="n">
        <f aca="false">IFERROR(INDEX(LevelOneOff,MATCH($H1680,LevelList,0)),0)</f>
        <v>0</v>
      </c>
      <c r="X1680" s="35" t="str">
        <f aca="false">IF($G1680="","",$V1680*N($L1680))</f>
        <v/>
      </c>
      <c r="Y1680" s="35" t="str">
        <f aca="false">IF($G1680="","",$V1680*(N($M1680)*1+N($N1680)*0.75+N($O1680)*0.5+N($P1680)*0.25)+$W1680*N($L1680))</f>
        <v/>
      </c>
      <c r="Z1680" s="35" t="str">
        <f aca="false">IF($G1680="","",$U1680*1000000+ROW())</f>
        <v/>
      </c>
      <c r="AA1680" s="36" t="str">
        <f aca="false">IF($G1680="","",MID(IF($C1680="",", no division","")&amp;IF($E1680="",", no unit","")&amp;IF($H1680="",", no career level","")&amp;IF(N($L1680)&lt;=0,", no quarter split","")&amp;IF($R1680="",", no driver","")&amp;IF(AND($H1680&lt;&gt;"",COUNTIF(CareerLevels,$H1680)=0),", a career level that is not on the ladder","")&amp;IF(AND($R1680&lt;&gt;"",COUNTIF(DriverList,$R1680)=0),", a driver that is not on the list","")&amp;IF(ABS(N($L1680)-(N($M1680)+N($N1680)+N($O1680)+N($P1680)))&gt;0.001,", a total that does not match its quarters",""),3,300))</f>
        <v/>
      </c>
    </row>
    <row r="1681" customFormat="false" ht="15" hidden="false" customHeight="false" outlineLevel="0" collapsed="false">
      <c r="A1681" s="33" t="str">
        <f aca="false">IF($G1681="","","Retail Banking Group")</f>
        <v/>
      </c>
      <c r="B1681" s="19"/>
      <c r="C1681" s="19"/>
      <c r="D1681" s="19"/>
      <c r="E1681" s="19"/>
      <c r="F1681" s="19"/>
      <c r="G1681" s="19"/>
      <c r="H1681" s="19"/>
      <c r="I1681" s="19"/>
      <c r="J1681" s="19"/>
      <c r="K1681" s="19"/>
      <c r="L1681" s="19"/>
      <c r="M1681" s="19"/>
      <c r="N1681" s="19"/>
      <c r="O1681" s="19"/>
      <c r="P1681" s="19"/>
      <c r="Q1681" s="19"/>
      <c r="R1681" s="19"/>
      <c r="S1681" s="19"/>
      <c r="T1681" s="34" t="str">
        <f aca="false">IF($R1681="","",IFERROR(INDEX(DriverCategory,MATCH($R1681,DriverList,0)),"BAU"))</f>
        <v/>
      </c>
      <c r="U1681" s="34" t="str">
        <f aca="false">IF($R1681="","",IFERROR(INDEX(DriverRank,MATCH($R1681,DriverList,0)),99))</f>
        <v/>
      </c>
      <c r="V1681" s="35" t="n">
        <f aca="false">IF($H1681="",0,IFERROR(INDEX(LevelBasic,MATCH($H1681,LevelList,0))+INDEX(LevelHousing,MATCH($H1681,LevelList,0))+INDEX(LevelTransport,MATCH($H1681,LevelList,0))+INDEX(LevelBasic,MATCH($H1681,LevelList,0))*INDEX(LevelBonus,MATCH($H1681,LevelList,0))+(INDEX(LevelBasic,MATCH($H1681,LevelList,0))+INDEX(LevelHousing,MATCH($H1681,LevelList,0)))*GosiSaudi,0))</f>
        <v>0</v>
      </c>
      <c r="W1681" s="35" t="n">
        <f aca="false">IFERROR(INDEX(LevelOneOff,MATCH($H1681,LevelList,0)),0)</f>
        <v>0</v>
      </c>
      <c r="X1681" s="35" t="str">
        <f aca="false">IF($G1681="","",$V1681*N($L1681))</f>
        <v/>
      </c>
      <c r="Y1681" s="35" t="str">
        <f aca="false">IF($G1681="","",$V1681*(N($M1681)*1+N($N1681)*0.75+N($O1681)*0.5+N($P1681)*0.25)+$W1681*N($L1681))</f>
        <v/>
      </c>
      <c r="Z1681" s="35" t="str">
        <f aca="false">IF($G1681="","",$U1681*1000000+ROW())</f>
        <v/>
      </c>
      <c r="AA1681" s="36" t="str">
        <f aca="false">IF($G1681="","",MID(IF($C1681="",", no division","")&amp;IF($E1681="",", no unit","")&amp;IF($H1681="",", no career level","")&amp;IF(N($L1681)&lt;=0,", no quarter split","")&amp;IF($R1681="",", no driver","")&amp;IF(AND($H1681&lt;&gt;"",COUNTIF(CareerLevels,$H1681)=0),", a career level that is not on the ladder","")&amp;IF(AND($R1681&lt;&gt;"",COUNTIF(DriverList,$R1681)=0),", a driver that is not on the list","")&amp;IF(ABS(N($L1681)-(N($M1681)+N($N1681)+N($O1681)+N($P1681)))&gt;0.001,", a total that does not match its quarters",""),3,300))</f>
        <v/>
      </c>
    </row>
    <row r="1682" customFormat="false" ht="15" hidden="false" customHeight="false" outlineLevel="0" collapsed="false">
      <c r="A1682" s="33" t="str">
        <f aca="false">IF($G1682="","","Retail Banking Group")</f>
        <v/>
      </c>
      <c r="B1682" s="19"/>
      <c r="C1682" s="19"/>
      <c r="D1682" s="19"/>
      <c r="E1682" s="19"/>
      <c r="F1682" s="19"/>
      <c r="G1682" s="19"/>
      <c r="H1682" s="19"/>
      <c r="I1682" s="19"/>
      <c r="J1682" s="19"/>
      <c r="K1682" s="19"/>
      <c r="L1682" s="19"/>
      <c r="M1682" s="19"/>
      <c r="N1682" s="19"/>
      <c r="O1682" s="19"/>
      <c r="P1682" s="19"/>
      <c r="Q1682" s="19"/>
      <c r="R1682" s="19"/>
      <c r="S1682" s="19"/>
      <c r="T1682" s="34" t="str">
        <f aca="false">IF($R1682="","",IFERROR(INDEX(DriverCategory,MATCH($R1682,DriverList,0)),"BAU"))</f>
        <v/>
      </c>
      <c r="U1682" s="34" t="str">
        <f aca="false">IF($R1682="","",IFERROR(INDEX(DriverRank,MATCH($R1682,DriverList,0)),99))</f>
        <v/>
      </c>
      <c r="V1682" s="35" t="n">
        <f aca="false">IF($H1682="",0,IFERROR(INDEX(LevelBasic,MATCH($H1682,LevelList,0))+INDEX(LevelHousing,MATCH($H1682,LevelList,0))+INDEX(LevelTransport,MATCH($H1682,LevelList,0))+INDEX(LevelBasic,MATCH($H1682,LevelList,0))*INDEX(LevelBonus,MATCH($H1682,LevelList,0))+(INDEX(LevelBasic,MATCH($H1682,LevelList,0))+INDEX(LevelHousing,MATCH($H1682,LevelList,0)))*GosiSaudi,0))</f>
        <v>0</v>
      </c>
      <c r="W1682" s="35" t="n">
        <f aca="false">IFERROR(INDEX(LevelOneOff,MATCH($H1682,LevelList,0)),0)</f>
        <v>0</v>
      </c>
      <c r="X1682" s="35" t="str">
        <f aca="false">IF($G1682="","",$V1682*N($L1682))</f>
        <v/>
      </c>
      <c r="Y1682" s="35" t="str">
        <f aca="false">IF($G1682="","",$V1682*(N($M1682)*1+N($N1682)*0.75+N($O1682)*0.5+N($P1682)*0.25)+$W1682*N($L1682))</f>
        <v/>
      </c>
      <c r="Z1682" s="35" t="str">
        <f aca="false">IF($G1682="","",$U1682*1000000+ROW())</f>
        <v/>
      </c>
      <c r="AA1682" s="36" t="str">
        <f aca="false">IF($G1682="","",MID(IF($C1682="",", no division","")&amp;IF($E1682="",", no unit","")&amp;IF($H1682="",", no career level","")&amp;IF(N($L1682)&lt;=0,", no quarter split","")&amp;IF($R1682="",", no driver","")&amp;IF(AND($H1682&lt;&gt;"",COUNTIF(CareerLevels,$H1682)=0),", a career level that is not on the ladder","")&amp;IF(AND($R1682&lt;&gt;"",COUNTIF(DriverList,$R1682)=0),", a driver that is not on the list","")&amp;IF(ABS(N($L1682)-(N($M1682)+N($N1682)+N($O1682)+N($P1682)))&gt;0.001,", a total that does not match its quarters",""),3,300))</f>
        <v/>
      </c>
    </row>
    <row r="1683" customFormat="false" ht="15" hidden="false" customHeight="false" outlineLevel="0" collapsed="false">
      <c r="A1683" s="33" t="str">
        <f aca="false">IF($G1683="","","Retail Banking Group")</f>
        <v/>
      </c>
      <c r="B1683" s="19"/>
      <c r="C1683" s="19"/>
      <c r="D1683" s="19"/>
      <c r="E1683" s="19"/>
      <c r="F1683" s="19"/>
      <c r="G1683" s="19"/>
      <c r="H1683" s="19"/>
      <c r="I1683" s="19"/>
      <c r="J1683" s="19"/>
      <c r="K1683" s="19"/>
      <c r="L1683" s="19"/>
      <c r="M1683" s="19"/>
      <c r="N1683" s="19"/>
      <c r="O1683" s="19"/>
      <c r="P1683" s="19"/>
      <c r="Q1683" s="19"/>
      <c r="R1683" s="19"/>
      <c r="S1683" s="19"/>
      <c r="T1683" s="34" t="str">
        <f aca="false">IF($R1683="","",IFERROR(INDEX(DriverCategory,MATCH($R1683,DriverList,0)),"BAU"))</f>
        <v/>
      </c>
      <c r="U1683" s="34" t="str">
        <f aca="false">IF($R1683="","",IFERROR(INDEX(DriverRank,MATCH($R1683,DriverList,0)),99))</f>
        <v/>
      </c>
      <c r="V1683" s="35" t="n">
        <f aca="false">IF($H1683="",0,IFERROR(INDEX(LevelBasic,MATCH($H1683,LevelList,0))+INDEX(LevelHousing,MATCH($H1683,LevelList,0))+INDEX(LevelTransport,MATCH($H1683,LevelList,0))+INDEX(LevelBasic,MATCH($H1683,LevelList,0))*INDEX(LevelBonus,MATCH($H1683,LevelList,0))+(INDEX(LevelBasic,MATCH($H1683,LevelList,0))+INDEX(LevelHousing,MATCH($H1683,LevelList,0)))*GosiSaudi,0))</f>
        <v>0</v>
      </c>
      <c r="W1683" s="35" t="n">
        <f aca="false">IFERROR(INDEX(LevelOneOff,MATCH($H1683,LevelList,0)),0)</f>
        <v>0</v>
      </c>
      <c r="X1683" s="35" t="str">
        <f aca="false">IF($G1683="","",$V1683*N($L1683))</f>
        <v/>
      </c>
      <c r="Y1683" s="35" t="str">
        <f aca="false">IF($G1683="","",$V1683*(N($M1683)*1+N($N1683)*0.75+N($O1683)*0.5+N($P1683)*0.25)+$W1683*N($L1683))</f>
        <v/>
      </c>
      <c r="Z1683" s="35" t="str">
        <f aca="false">IF($G1683="","",$U1683*1000000+ROW())</f>
        <v/>
      </c>
      <c r="AA1683" s="36" t="str">
        <f aca="false">IF($G1683="","",MID(IF($C1683="",", no division","")&amp;IF($E1683="",", no unit","")&amp;IF($H1683="",", no career level","")&amp;IF(N($L1683)&lt;=0,", no quarter split","")&amp;IF($R1683="",", no driver","")&amp;IF(AND($H1683&lt;&gt;"",COUNTIF(CareerLevels,$H1683)=0),", a career level that is not on the ladder","")&amp;IF(AND($R1683&lt;&gt;"",COUNTIF(DriverList,$R1683)=0),", a driver that is not on the list","")&amp;IF(ABS(N($L1683)-(N($M1683)+N($N1683)+N($O1683)+N($P1683)))&gt;0.001,", a total that does not match its quarters",""),3,300))</f>
        <v/>
      </c>
    </row>
    <row r="1684" customFormat="false" ht="15" hidden="false" customHeight="false" outlineLevel="0" collapsed="false">
      <c r="A1684" s="33" t="str">
        <f aca="false">IF($G1684="","","Retail Banking Group")</f>
        <v/>
      </c>
      <c r="B1684" s="19"/>
      <c r="C1684" s="19"/>
      <c r="D1684" s="19"/>
      <c r="E1684" s="19"/>
      <c r="F1684" s="19"/>
      <c r="G1684" s="19"/>
      <c r="H1684" s="19"/>
      <c r="I1684" s="19"/>
      <c r="J1684" s="19"/>
      <c r="K1684" s="19"/>
      <c r="L1684" s="19"/>
      <c r="M1684" s="19"/>
      <c r="N1684" s="19"/>
      <c r="O1684" s="19"/>
      <c r="P1684" s="19"/>
      <c r="Q1684" s="19"/>
      <c r="R1684" s="19"/>
      <c r="S1684" s="19"/>
      <c r="T1684" s="34" t="str">
        <f aca="false">IF($R1684="","",IFERROR(INDEX(DriverCategory,MATCH($R1684,DriverList,0)),"BAU"))</f>
        <v/>
      </c>
      <c r="U1684" s="34" t="str">
        <f aca="false">IF($R1684="","",IFERROR(INDEX(DriverRank,MATCH($R1684,DriverList,0)),99))</f>
        <v/>
      </c>
      <c r="V1684" s="35" t="n">
        <f aca="false">IF($H1684="",0,IFERROR(INDEX(LevelBasic,MATCH($H1684,LevelList,0))+INDEX(LevelHousing,MATCH($H1684,LevelList,0))+INDEX(LevelTransport,MATCH($H1684,LevelList,0))+INDEX(LevelBasic,MATCH($H1684,LevelList,0))*INDEX(LevelBonus,MATCH($H1684,LevelList,0))+(INDEX(LevelBasic,MATCH($H1684,LevelList,0))+INDEX(LevelHousing,MATCH($H1684,LevelList,0)))*GosiSaudi,0))</f>
        <v>0</v>
      </c>
      <c r="W1684" s="35" t="n">
        <f aca="false">IFERROR(INDEX(LevelOneOff,MATCH($H1684,LevelList,0)),0)</f>
        <v>0</v>
      </c>
      <c r="X1684" s="35" t="str">
        <f aca="false">IF($G1684="","",$V1684*N($L1684))</f>
        <v/>
      </c>
      <c r="Y1684" s="35" t="str">
        <f aca="false">IF($G1684="","",$V1684*(N($M1684)*1+N($N1684)*0.75+N($O1684)*0.5+N($P1684)*0.25)+$W1684*N($L1684))</f>
        <v/>
      </c>
      <c r="Z1684" s="35" t="str">
        <f aca="false">IF($G1684="","",$U1684*1000000+ROW())</f>
        <v/>
      </c>
      <c r="AA1684" s="36" t="str">
        <f aca="false">IF($G1684="","",MID(IF($C1684="",", no division","")&amp;IF($E1684="",", no unit","")&amp;IF($H1684="",", no career level","")&amp;IF(N($L1684)&lt;=0,", no quarter split","")&amp;IF($R1684="",", no driver","")&amp;IF(AND($H1684&lt;&gt;"",COUNTIF(CareerLevels,$H1684)=0),", a career level that is not on the ladder","")&amp;IF(AND($R1684&lt;&gt;"",COUNTIF(DriverList,$R1684)=0),", a driver that is not on the list","")&amp;IF(ABS(N($L1684)-(N($M1684)+N($N1684)+N($O1684)+N($P1684)))&gt;0.001,", a total that does not match its quarters",""),3,300))</f>
        <v/>
      </c>
    </row>
    <row r="1685" customFormat="false" ht="15" hidden="false" customHeight="false" outlineLevel="0" collapsed="false">
      <c r="A1685" s="33" t="str">
        <f aca="false">IF($G1685="","","Retail Banking Group")</f>
        <v/>
      </c>
      <c r="B1685" s="19"/>
      <c r="C1685" s="19"/>
      <c r="D1685" s="19"/>
      <c r="E1685" s="19"/>
      <c r="F1685" s="19"/>
      <c r="G1685" s="19"/>
      <c r="H1685" s="19"/>
      <c r="I1685" s="19"/>
      <c r="J1685" s="19"/>
      <c r="K1685" s="19"/>
      <c r="L1685" s="19"/>
      <c r="M1685" s="19"/>
      <c r="N1685" s="19"/>
      <c r="O1685" s="19"/>
      <c r="P1685" s="19"/>
      <c r="Q1685" s="19"/>
      <c r="R1685" s="19"/>
      <c r="S1685" s="19"/>
      <c r="T1685" s="34" t="str">
        <f aca="false">IF($R1685="","",IFERROR(INDEX(DriverCategory,MATCH($R1685,DriverList,0)),"BAU"))</f>
        <v/>
      </c>
      <c r="U1685" s="34" t="str">
        <f aca="false">IF($R1685="","",IFERROR(INDEX(DriverRank,MATCH($R1685,DriverList,0)),99))</f>
        <v/>
      </c>
      <c r="V1685" s="35" t="n">
        <f aca="false">IF($H1685="",0,IFERROR(INDEX(LevelBasic,MATCH($H1685,LevelList,0))+INDEX(LevelHousing,MATCH($H1685,LevelList,0))+INDEX(LevelTransport,MATCH($H1685,LevelList,0))+INDEX(LevelBasic,MATCH($H1685,LevelList,0))*INDEX(LevelBonus,MATCH($H1685,LevelList,0))+(INDEX(LevelBasic,MATCH($H1685,LevelList,0))+INDEX(LevelHousing,MATCH($H1685,LevelList,0)))*GosiSaudi,0))</f>
        <v>0</v>
      </c>
      <c r="W1685" s="35" t="n">
        <f aca="false">IFERROR(INDEX(LevelOneOff,MATCH($H1685,LevelList,0)),0)</f>
        <v>0</v>
      </c>
      <c r="X1685" s="35" t="str">
        <f aca="false">IF($G1685="","",$V1685*N($L1685))</f>
        <v/>
      </c>
      <c r="Y1685" s="35" t="str">
        <f aca="false">IF($G1685="","",$V1685*(N($M1685)*1+N($N1685)*0.75+N($O1685)*0.5+N($P1685)*0.25)+$W1685*N($L1685))</f>
        <v/>
      </c>
      <c r="Z1685" s="35" t="str">
        <f aca="false">IF($G1685="","",$U1685*1000000+ROW())</f>
        <v/>
      </c>
      <c r="AA1685" s="36" t="str">
        <f aca="false">IF($G1685="","",MID(IF($C1685="",", no division","")&amp;IF($E1685="",", no unit","")&amp;IF($H1685="",", no career level","")&amp;IF(N($L1685)&lt;=0,", no quarter split","")&amp;IF($R1685="",", no driver","")&amp;IF(AND($H1685&lt;&gt;"",COUNTIF(CareerLevels,$H1685)=0),", a career level that is not on the ladder","")&amp;IF(AND($R1685&lt;&gt;"",COUNTIF(DriverList,$R1685)=0),", a driver that is not on the list","")&amp;IF(ABS(N($L1685)-(N($M1685)+N($N1685)+N($O1685)+N($P1685)))&gt;0.001,", a total that does not match its quarters",""),3,300))</f>
        <v/>
      </c>
    </row>
    <row r="1686" customFormat="false" ht="15" hidden="false" customHeight="false" outlineLevel="0" collapsed="false">
      <c r="A1686" s="33" t="str">
        <f aca="false">IF($G1686="","","Retail Banking Group")</f>
        <v/>
      </c>
      <c r="B1686" s="19"/>
      <c r="C1686" s="19"/>
      <c r="D1686" s="19"/>
      <c r="E1686" s="19"/>
      <c r="F1686" s="19"/>
      <c r="G1686" s="19"/>
      <c r="H1686" s="19"/>
      <c r="I1686" s="19"/>
      <c r="J1686" s="19"/>
      <c r="K1686" s="19"/>
      <c r="L1686" s="19"/>
      <c r="M1686" s="19"/>
      <c r="N1686" s="19"/>
      <c r="O1686" s="19"/>
      <c r="P1686" s="19"/>
      <c r="Q1686" s="19"/>
      <c r="R1686" s="19"/>
      <c r="S1686" s="19"/>
      <c r="T1686" s="34" t="str">
        <f aca="false">IF($R1686="","",IFERROR(INDEX(DriverCategory,MATCH($R1686,DriverList,0)),"BAU"))</f>
        <v/>
      </c>
      <c r="U1686" s="34" t="str">
        <f aca="false">IF($R1686="","",IFERROR(INDEX(DriverRank,MATCH($R1686,DriverList,0)),99))</f>
        <v/>
      </c>
      <c r="V1686" s="35" t="n">
        <f aca="false">IF($H1686="",0,IFERROR(INDEX(LevelBasic,MATCH($H1686,LevelList,0))+INDEX(LevelHousing,MATCH($H1686,LevelList,0))+INDEX(LevelTransport,MATCH($H1686,LevelList,0))+INDEX(LevelBasic,MATCH($H1686,LevelList,0))*INDEX(LevelBonus,MATCH($H1686,LevelList,0))+(INDEX(LevelBasic,MATCH($H1686,LevelList,0))+INDEX(LevelHousing,MATCH($H1686,LevelList,0)))*GosiSaudi,0))</f>
        <v>0</v>
      </c>
      <c r="W1686" s="35" t="n">
        <f aca="false">IFERROR(INDEX(LevelOneOff,MATCH($H1686,LevelList,0)),0)</f>
        <v>0</v>
      </c>
      <c r="X1686" s="35" t="str">
        <f aca="false">IF($G1686="","",$V1686*N($L1686))</f>
        <v/>
      </c>
      <c r="Y1686" s="35" t="str">
        <f aca="false">IF($G1686="","",$V1686*(N($M1686)*1+N($N1686)*0.75+N($O1686)*0.5+N($P1686)*0.25)+$W1686*N($L1686))</f>
        <v/>
      </c>
      <c r="Z1686" s="35" t="str">
        <f aca="false">IF($G1686="","",$U1686*1000000+ROW())</f>
        <v/>
      </c>
      <c r="AA1686" s="36" t="str">
        <f aca="false">IF($G1686="","",MID(IF($C1686="",", no division","")&amp;IF($E1686="",", no unit","")&amp;IF($H1686="",", no career level","")&amp;IF(N($L1686)&lt;=0,", no quarter split","")&amp;IF($R1686="",", no driver","")&amp;IF(AND($H1686&lt;&gt;"",COUNTIF(CareerLevels,$H1686)=0),", a career level that is not on the ladder","")&amp;IF(AND($R1686&lt;&gt;"",COUNTIF(DriverList,$R1686)=0),", a driver that is not on the list","")&amp;IF(ABS(N($L1686)-(N($M1686)+N($N1686)+N($O1686)+N($P1686)))&gt;0.001,", a total that does not match its quarters",""),3,300))</f>
        <v/>
      </c>
    </row>
    <row r="1687" customFormat="false" ht="15" hidden="false" customHeight="false" outlineLevel="0" collapsed="false">
      <c r="A1687" s="33" t="str">
        <f aca="false">IF($G1687="","","Retail Banking Group")</f>
        <v/>
      </c>
      <c r="B1687" s="19"/>
      <c r="C1687" s="19"/>
      <c r="D1687" s="19"/>
      <c r="E1687" s="19"/>
      <c r="F1687" s="19"/>
      <c r="G1687" s="19"/>
      <c r="H1687" s="19"/>
      <c r="I1687" s="19"/>
      <c r="J1687" s="19"/>
      <c r="K1687" s="19"/>
      <c r="L1687" s="19"/>
      <c r="M1687" s="19"/>
      <c r="N1687" s="19"/>
      <c r="O1687" s="19"/>
      <c r="P1687" s="19"/>
      <c r="Q1687" s="19"/>
      <c r="R1687" s="19"/>
      <c r="S1687" s="19"/>
      <c r="T1687" s="34" t="str">
        <f aca="false">IF($R1687="","",IFERROR(INDEX(DriverCategory,MATCH($R1687,DriverList,0)),"BAU"))</f>
        <v/>
      </c>
      <c r="U1687" s="34" t="str">
        <f aca="false">IF($R1687="","",IFERROR(INDEX(DriverRank,MATCH($R1687,DriverList,0)),99))</f>
        <v/>
      </c>
      <c r="V1687" s="35" t="n">
        <f aca="false">IF($H1687="",0,IFERROR(INDEX(LevelBasic,MATCH($H1687,LevelList,0))+INDEX(LevelHousing,MATCH($H1687,LevelList,0))+INDEX(LevelTransport,MATCH($H1687,LevelList,0))+INDEX(LevelBasic,MATCH($H1687,LevelList,0))*INDEX(LevelBonus,MATCH($H1687,LevelList,0))+(INDEX(LevelBasic,MATCH($H1687,LevelList,0))+INDEX(LevelHousing,MATCH($H1687,LevelList,0)))*GosiSaudi,0))</f>
        <v>0</v>
      </c>
      <c r="W1687" s="35" t="n">
        <f aca="false">IFERROR(INDEX(LevelOneOff,MATCH($H1687,LevelList,0)),0)</f>
        <v>0</v>
      </c>
      <c r="X1687" s="35" t="str">
        <f aca="false">IF($G1687="","",$V1687*N($L1687))</f>
        <v/>
      </c>
      <c r="Y1687" s="35" t="str">
        <f aca="false">IF($G1687="","",$V1687*(N($M1687)*1+N($N1687)*0.75+N($O1687)*0.5+N($P1687)*0.25)+$W1687*N($L1687))</f>
        <v/>
      </c>
      <c r="Z1687" s="35" t="str">
        <f aca="false">IF($G1687="","",$U1687*1000000+ROW())</f>
        <v/>
      </c>
      <c r="AA1687" s="36" t="str">
        <f aca="false">IF($G1687="","",MID(IF($C1687="",", no division","")&amp;IF($E1687="",", no unit","")&amp;IF($H1687="",", no career level","")&amp;IF(N($L1687)&lt;=0,", no quarter split","")&amp;IF($R1687="",", no driver","")&amp;IF(AND($H1687&lt;&gt;"",COUNTIF(CareerLevels,$H1687)=0),", a career level that is not on the ladder","")&amp;IF(AND($R1687&lt;&gt;"",COUNTIF(DriverList,$R1687)=0),", a driver that is not on the list","")&amp;IF(ABS(N($L1687)-(N($M1687)+N($N1687)+N($O1687)+N($P1687)))&gt;0.001,", a total that does not match its quarters",""),3,300))</f>
        <v/>
      </c>
    </row>
    <row r="1688" customFormat="false" ht="15" hidden="false" customHeight="false" outlineLevel="0" collapsed="false">
      <c r="A1688" s="33" t="str">
        <f aca="false">IF($G1688="","","Retail Banking Group")</f>
        <v/>
      </c>
      <c r="B1688" s="19"/>
      <c r="C1688" s="19"/>
      <c r="D1688" s="19"/>
      <c r="E1688" s="19"/>
      <c r="F1688" s="19"/>
      <c r="G1688" s="19"/>
      <c r="H1688" s="19"/>
      <c r="I1688" s="19"/>
      <c r="J1688" s="19"/>
      <c r="K1688" s="19"/>
      <c r="L1688" s="19"/>
      <c r="M1688" s="19"/>
      <c r="N1688" s="19"/>
      <c r="O1688" s="19"/>
      <c r="P1688" s="19"/>
      <c r="Q1688" s="19"/>
      <c r="R1688" s="19"/>
      <c r="S1688" s="19"/>
      <c r="T1688" s="34" t="str">
        <f aca="false">IF($R1688="","",IFERROR(INDEX(DriverCategory,MATCH($R1688,DriverList,0)),"BAU"))</f>
        <v/>
      </c>
      <c r="U1688" s="34" t="str">
        <f aca="false">IF($R1688="","",IFERROR(INDEX(DriverRank,MATCH($R1688,DriverList,0)),99))</f>
        <v/>
      </c>
      <c r="V1688" s="35" t="n">
        <f aca="false">IF($H1688="",0,IFERROR(INDEX(LevelBasic,MATCH($H1688,LevelList,0))+INDEX(LevelHousing,MATCH($H1688,LevelList,0))+INDEX(LevelTransport,MATCH($H1688,LevelList,0))+INDEX(LevelBasic,MATCH($H1688,LevelList,0))*INDEX(LevelBonus,MATCH($H1688,LevelList,0))+(INDEX(LevelBasic,MATCH($H1688,LevelList,0))+INDEX(LevelHousing,MATCH($H1688,LevelList,0)))*GosiSaudi,0))</f>
        <v>0</v>
      </c>
      <c r="W1688" s="35" t="n">
        <f aca="false">IFERROR(INDEX(LevelOneOff,MATCH($H1688,LevelList,0)),0)</f>
        <v>0</v>
      </c>
      <c r="X1688" s="35" t="str">
        <f aca="false">IF($G1688="","",$V1688*N($L1688))</f>
        <v/>
      </c>
      <c r="Y1688" s="35" t="str">
        <f aca="false">IF($G1688="","",$V1688*(N($M1688)*1+N($N1688)*0.75+N($O1688)*0.5+N($P1688)*0.25)+$W1688*N($L1688))</f>
        <v/>
      </c>
      <c r="Z1688" s="35" t="str">
        <f aca="false">IF($G1688="","",$U1688*1000000+ROW())</f>
        <v/>
      </c>
      <c r="AA1688" s="36" t="str">
        <f aca="false">IF($G1688="","",MID(IF($C1688="",", no division","")&amp;IF($E1688="",", no unit","")&amp;IF($H1688="",", no career level","")&amp;IF(N($L1688)&lt;=0,", no quarter split","")&amp;IF($R1688="",", no driver","")&amp;IF(AND($H1688&lt;&gt;"",COUNTIF(CareerLevels,$H1688)=0),", a career level that is not on the ladder","")&amp;IF(AND($R1688&lt;&gt;"",COUNTIF(DriverList,$R1688)=0),", a driver that is not on the list","")&amp;IF(ABS(N($L1688)-(N($M1688)+N($N1688)+N($O1688)+N($P1688)))&gt;0.001,", a total that does not match its quarters",""),3,300))</f>
        <v/>
      </c>
    </row>
    <row r="1689" customFormat="false" ht="15" hidden="false" customHeight="false" outlineLevel="0" collapsed="false">
      <c r="A1689" s="33" t="str">
        <f aca="false">IF($G1689="","","Retail Banking Group")</f>
        <v/>
      </c>
      <c r="B1689" s="19"/>
      <c r="C1689" s="19"/>
      <c r="D1689" s="19"/>
      <c r="E1689" s="19"/>
      <c r="F1689" s="19"/>
      <c r="G1689" s="19"/>
      <c r="H1689" s="19"/>
      <c r="I1689" s="19"/>
      <c r="J1689" s="19"/>
      <c r="K1689" s="19"/>
      <c r="L1689" s="19"/>
      <c r="M1689" s="19"/>
      <c r="N1689" s="19"/>
      <c r="O1689" s="19"/>
      <c r="P1689" s="19"/>
      <c r="Q1689" s="19"/>
      <c r="R1689" s="19"/>
      <c r="S1689" s="19"/>
      <c r="T1689" s="34" t="str">
        <f aca="false">IF($R1689="","",IFERROR(INDEX(DriverCategory,MATCH($R1689,DriverList,0)),"BAU"))</f>
        <v/>
      </c>
      <c r="U1689" s="34" t="str">
        <f aca="false">IF($R1689="","",IFERROR(INDEX(DriverRank,MATCH($R1689,DriverList,0)),99))</f>
        <v/>
      </c>
      <c r="V1689" s="35" t="n">
        <f aca="false">IF($H1689="",0,IFERROR(INDEX(LevelBasic,MATCH($H1689,LevelList,0))+INDEX(LevelHousing,MATCH($H1689,LevelList,0))+INDEX(LevelTransport,MATCH($H1689,LevelList,0))+INDEX(LevelBasic,MATCH($H1689,LevelList,0))*INDEX(LevelBonus,MATCH($H1689,LevelList,0))+(INDEX(LevelBasic,MATCH($H1689,LevelList,0))+INDEX(LevelHousing,MATCH($H1689,LevelList,0)))*GosiSaudi,0))</f>
        <v>0</v>
      </c>
      <c r="W1689" s="35" t="n">
        <f aca="false">IFERROR(INDEX(LevelOneOff,MATCH($H1689,LevelList,0)),0)</f>
        <v>0</v>
      </c>
      <c r="X1689" s="35" t="str">
        <f aca="false">IF($G1689="","",$V1689*N($L1689))</f>
        <v/>
      </c>
      <c r="Y1689" s="35" t="str">
        <f aca="false">IF($G1689="","",$V1689*(N($M1689)*1+N($N1689)*0.75+N($O1689)*0.5+N($P1689)*0.25)+$W1689*N($L1689))</f>
        <v/>
      </c>
      <c r="Z1689" s="35" t="str">
        <f aca="false">IF($G1689="","",$U1689*1000000+ROW())</f>
        <v/>
      </c>
      <c r="AA1689" s="36" t="str">
        <f aca="false">IF($G1689="","",MID(IF($C1689="",", no division","")&amp;IF($E1689="",", no unit","")&amp;IF($H1689="",", no career level","")&amp;IF(N($L1689)&lt;=0,", no quarter split","")&amp;IF($R1689="",", no driver","")&amp;IF(AND($H1689&lt;&gt;"",COUNTIF(CareerLevels,$H1689)=0),", a career level that is not on the ladder","")&amp;IF(AND($R1689&lt;&gt;"",COUNTIF(DriverList,$R1689)=0),", a driver that is not on the list","")&amp;IF(ABS(N($L1689)-(N($M1689)+N($N1689)+N($O1689)+N($P1689)))&gt;0.001,", a total that does not match its quarters",""),3,300))</f>
        <v/>
      </c>
    </row>
    <row r="1690" customFormat="false" ht="15" hidden="false" customHeight="false" outlineLevel="0" collapsed="false">
      <c r="A1690" s="33" t="str">
        <f aca="false">IF($G1690="","","Retail Banking Group")</f>
        <v/>
      </c>
      <c r="B1690" s="19"/>
      <c r="C1690" s="19"/>
      <c r="D1690" s="19"/>
      <c r="E1690" s="19"/>
      <c r="F1690" s="19"/>
      <c r="G1690" s="19"/>
      <c r="H1690" s="19"/>
      <c r="I1690" s="19"/>
      <c r="J1690" s="19"/>
      <c r="K1690" s="19"/>
      <c r="L1690" s="19"/>
      <c r="M1690" s="19"/>
      <c r="N1690" s="19"/>
      <c r="O1690" s="19"/>
      <c r="P1690" s="19"/>
      <c r="Q1690" s="19"/>
      <c r="R1690" s="19"/>
      <c r="S1690" s="19"/>
      <c r="T1690" s="34" t="str">
        <f aca="false">IF($R1690="","",IFERROR(INDEX(DriverCategory,MATCH($R1690,DriverList,0)),"BAU"))</f>
        <v/>
      </c>
      <c r="U1690" s="34" t="str">
        <f aca="false">IF($R1690="","",IFERROR(INDEX(DriverRank,MATCH($R1690,DriverList,0)),99))</f>
        <v/>
      </c>
      <c r="V1690" s="35" t="n">
        <f aca="false">IF($H1690="",0,IFERROR(INDEX(LevelBasic,MATCH($H1690,LevelList,0))+INDEX(LevelHousing,MATCH($H1690,LevelList,0))+INDEX(LevelTransport,MATCH($H1690,LevelList,0))+INDEX(LevelBasic,MATCH($H1690,LevelList,0))*INDEX(LevelBonus,MATCH($H1690,LevelList,0))+(INDEX(LevelBasic,MATCH($H1690,LevelList,0))+INDEX(LevelHousing,MATCH($H1690,LevelList,0)))*GosiSaudi,0))</f>
        <v>0</v>
      </c>
      <c r="W1690" s="35" t="n">
        <f aca="false">IFERROR(INDEX(LevelOneOff,MATCH($H1690,LevelList,0)),0)</f>
        <v>0</v>
      </c>
      <c r="X1690" s="35" t="str">
        <f aca="false">IF($G1690="","",$V1690*N($L1690))</f>
        <v/>
      </c>
      <c r="Y1690" s="35" t="str">
        <f aca="false">IF($G1690="","",$V1690*(N($M1690)*1+N($N1690)*0.75+N($O1690)*0.5+N($P1690)*0.25)+$W1690*N($L1690))</f>
        <v/>
      </c>
      <c r="Z1690" s="35" t="str">
        <f aca="false">IF($G1690="","",$U1690*1000000+ROW())</f>
        <v/>
      </c>
      <c r="AA1690" s="36" t="str">
        <f aca="false">IF($G1690="","",MID(IF($C1690="",", no division","")&amp;IF($E1690="",", no unit","")&amp;IF($H1690="",", no career level","")&amp;IF(N($L1690)&lt;=0,", no quarter split","")&amp;IF($R1690="",", no driver","")&amp;IF(AND($H1690&lt;&gt;"",COUNTIF(CareerLevels,$H1690)=0),", a career level that is not on the ladder","")&amp;IF(AND($R1690&lt;&gt;"",COUNTIF(DriverList,$R1690)=0),", a driver that is not on the list","")&amp;IF(ABS(N($L1690)-(N($M1690)+N($N1690)+N($O1690)+N($P1690)))&gt;0.001,", a total that does not match its quarters",""),3,300))</f>
        <v/>
      </c>
    </row>
    <row r="1691" customFormat="false" ht="15" hidden="false" customHeight="false" outlineLevel="0" collapsed="false">
      <c r="A1691" s="33" t="str">
        <f aca="false">IF($G1691="","","Retail Banking Group")</f>
        <v/>
      </c>
      <c r="B1691" s="19"/>
      <c r="C1691" s="19"/>
      <c r="D1691" s="19"/>
      <c r="E1691" s="19"/>
      <c r="F1691" s="19"/>
      <c r="G1691" s="19"/>
      <c r="H1691" s="19"/>
      <c r="I1691" s="19"/>
      <c r="J1691" s="19"/>
      <c r="K1691" s="19"/>
      <c r="L1691" s="19"/>
      <c r="M1691" s="19"/>
      <c r="N1691" s="19"/>
      <c r="O1691" s="19"/>
      <c r="P1691" s="19"/>
      <c r="Q1691" s="19"/>
      <c r="R1691" s="19"/>
      <c r="S1691" s="19"/>
      <c r="T1691" s="34" t="str">
        <f aca="false">IF($R1691="","",IFERROR(INDEX(DriverCategory,MATCH($R1691,DriverList,0)),"BAU"))</f>
        <v/>
      </c>
      <c r="U1691" s="34" t="str">
        <f aca="false">IF($R1691="","",IFERROR(INDEX(DriverRank,MATCH($R1691,DriverList,0)),99))</f>
        <v/>
      </c>
      <c r="V1691" s="35" t="n">
        <f aca="false">IF($H1691="",0,IFERROR(INDEX(LevelBasic,MATCH($H1691,LevelList,0))+INDEX(LevelHousing,MATCH($H1691,LevelList,0))+INDEX(LevelTransport,MATCH($H1691,LevelList,0))+INDEX(LevelBasic,MATCH($H1691,LevelList,0))*INDEX(LevelBonus,MATCH($H1691,LevelList,0))+(INDEX(LevelBasic,MATCH($H1691,LevelList,0))+INDEX(LevelHousing,MATCH($H1691,LevelList,0)))*GosiSaudi,0))</f>
        <v>0</v>
      </c>
      <c r="W1691" s="35" t="n">
        <f aca="false">IFERROR(INDEX(LevelOneOff,MATCH($H1691,LevelList,0)),0)</f>
        <v>0</v>
      </c>
      <c r="X1691" s="35" t="str">
        <f aca="false">IF($G1691="","",$V1691*N($L1691))</f>
        <v/>
      </c>
      <c r="Y1691" s="35" t="str">
        <f aca="false">IF($G1691="","",$V1691*(N($M1691)*1+N($N1691)*0.75+N($O1691)*0.5+N($P1691)*0.25)+$W1691*N($L1691))</f>
        <v/>
      </c>
      <c r="Z1691" s="35" t="str">
        <f aca="false">IF($G1691="","",$U1691*1000000+ROW())</f>
        <v/>
      </c>
      <c r="AA1691" s="36" t="str">
        <f aca="false">IF($G1691="","",MID(IF($C1691="",", no division","")&amp;IF($E1691="",", no unit","")&amp;IF($H1691="",", no career level","")&amp;IF(N($L1691)&lt;=0,", no quarter split","")&amp;IF($R1691="",", no driver","")&amp;IF(AND($H1691&lt;&gt;"",COUNTIF(CareerLevels,$H1691)=0),", a career level that is not on the ladder","")&amp;IF(AND($R1691&lt;&gt;"",COUNTIF(DriverList,$R1691)=0),", a driver that is not on the list","")&amp;IF(ABS(N($L1691)-(N($M1691)+N($N1691)+N($O1691)+N($P1691)))&gt;0.001,", a total that does not match its quarters",""),3,300))</f>
        <v/>
      </c>
    </row>
    <row r="1692" customFormat="false" ht="15" hidden="false" customHeight="false" outlineLevel="0" collapsed="false">
      <c r="A1692" s="33" t="str">
        <f aca="false">IF($G1692="","","Retail Banking Group")</f>
        <v/>
      </c>
      <c r="B1692" s="19"/>
      <c r="C1692" s="19"/>
      <c r="D1692" s="19"/>
      <c r="E1692" s="19"/>
      <c r="F1692" s="19"/>
      <c r="G1692" s="19"/>
      <c r="H1692" s="19"/>
      <c r="I1692" s="19"/>
      <c r="J1692" s="19"/>
      <c r="K1692" s="19"/>
      <c r="L1692" s="19"/>
      <c r="M1692" s="19"/>
      <c r="N1692" s="19"/>
      <c r="O1692" s="19"/>
      <c r="P1692" s="19"/>
      <c r="Q1692" s="19"/>
      <c r="R1692" s="19"/>
      <c r="S1692" s="19"/>
      <c r="T1692" s="34" t="str">
        <f aca="false">IF($R1692="","",IFERROR(INDEX(DriverCategory,MATCH($R1692,DriverList,0)),"BAU"))</f>
        <v/>
      </c>
      <c r="U1692" s="34" t="str">
        <f aca="false">IF($R1692="","",IFERROR(INDEX(DriverRank,MATCH($R1692,DriverList,0)),99))</f>
        <v/>
      </c>
      <c r="V1692" s="35" t="n">
        <f aca="false">IF($H1692="",0,IFERROR(INDEX(LevelBasic,MATCH($H1692,LevelList,0))+INDEX(LevelHousing,MATCH($H1692,LevelList,0))+INDEX(LevelTransport,MATCH($H1692,LevelList,0))+INDEX(LevelBasic,MATCH($H1692,LevelList,0))*INDEX(LevelBonus,MATCH($H1692,LevelList,0))+(INDEX(LevelBasic,MATCH($H1692,LevelList,0))+INDEX(LevelHousing,MATCH($H1692,LevelList,0)))*GosiSaudi,0))</f>
        <v>0</v>
      </c>
      <c r="W1692" s="35" t="n">
        <f aca="false">IFERROR(INDEX(LevelOneOff,MATCH($H1692,LevelList,0)),0)</f>
        <v>0</v>
      </c>
      <c r="X1692" s="35" t="str">
        <f aca="false">IF($G1692="","",$V1692*N($L1692))</f>
        <v/>
      </c>
      <c r="Y1692" s="35" t="str">
        <f aca="false">IF($G1692="","",$V1692*(N($M1692)*1+N($N1692)*0.75+N($O1692)*0.5+N($P1692)*0.25)+$W1692*N($L1692))</f>
        <v/>
      </c>
      <c r="Z1692" s="35" t="str">
        <f aca="false">IF($G1692="","",$U1692*1000000+ROW())</f>
        <v/>
      </c>
      <c r="AA1692" s="36" t="str">
        <f aca="false">IF($G1692="","",MID(IF($C1692="",", no division","")&amp;IF($E1692="",", no unit","")&amp;IF($H1692="",", no career level","")&amp;IF(N($L1692)&lt;=0,", no quarter split","")&amp;IF($R1692="",", no driver","")&amp;IF(AND($H1692&lt;&gt;"",COUNTIF(CareerLevels,$H1692)=0),", a career level that is not on the ladder","")&amp;IF(AND($R1692&lt;&gt;"",COUNTIF(DriverList,$R1692)=0),", a driver that is not on the list","")&amp;IF(ABS(N($L1692)-(N($M1692)+N($N1692)+N($O1692)+N($P1692)))&gt;0.001,", a total that does not match its quarters",""),3,300))</f>
        <v/>
      </c>
    </row>
    <row r="1693" customFormat="false" ht="15" hidden="false" customHeight="false" outlineLevel="0" collapsed="false">
      <c r="A1693" s="33" t="str">
        <f aca="false">IF($G1693="","","Retail Banking Group")</f>
        <v/>
      </c>
      <c r="B1693" s="19"/>
      <c r="C1693" s="19"/>
      <c r="D1693" s="19"/>
      <c r="E1693" s="19"/>
      <c r="F1693" s="19"/>
      <c r="G1693" s="19"/>
      <c r="H1693" s="19"/>
      <c r="I1693" s="19"/>
      <c r="J1693" s="19"/>
      <c r="K1693" s="19"/>
      <c r="L1693" s="19"/>
      <c r="M1693" s="19"/>
      <c r="N1693" s="19"/>
      <c r="O1693" s="19"/>
      <c r="P1693" s="19"/>
      <c r="Q1693" s="19"/>
      <c r="R1693" s="19"/>
      <c r="S1693" s="19"/>
      <c r="T1693" s="34" t="str">
        <f aca="false">IF($R1693="","",IFERROR(INDEX(DriverCategory,MATCH($R1693,DriverList,0)),"BAU"))</f>
        <v/>
      </c>
      <c r="U1693" s="34" t="str">
        <f aca="false">IF($R1693="","",IFERROR(INDEX(DriverRank,MATCH($R1693,DriverList,0)),99))</f>
        <v/>
      </c>
      <c r="V1693" s="35" t="n">
        <f aca="false">IF($H1693="",0,IFERROR(INDEX(LevelBasic,MATCH($H1693,LevelList,0))+INDEX(LevelHousing,MATCH($H1693,LevelList,0))+INDEX(LevelTransport,MATCH($H1693,LevelList,0))+INDEX(LevelBasic,MATCH($H1693,LevelList,0))*INDEX(LevelBonus,MATCH($H1693,LevelList,0))+(INDEX(LevelBasic,MATCH($H1693,LevelList,0))+INDEX(LevelHousing,MATCH($H1693,LevelList,0)))*GosiSaudi,0))</f>
        <v>0</v>
      </c>
      <c r="W1693" s="35" t="n">
        <f aca="false">IFERROR(INDEX(LevelOneOff,MATCH($H1693,LevelList,0)),0)</f>
        <v>0</v>
      </c>
      <c r="X1693" s="35" t="str">
        <f aca="false">IF($G1693="","",$V1693*N($L1693))</f>
        <v/>
      </c>
      <c r="Y1693" s="35" t="str">
        <f aca="false">IF($G1693="","",$V1693*(N($M1693)*1+N($N1693)*0.75+N($O1693)*0.5+N($P1693)*0.25)+$W1693*N($L1693))</f>
        <v/>
      </c>
      <c r="Z1693" s="35" t="str">
        <f aca="false">IF($G1693="","",$U1693*1000000+ROW())</f>
        <v/>
      </c>
      <c r="AA1693" s="36" t="str">
        <f aca="false">IF($G1693="","",MID(IF($C1693="",", no division","")&amp;IF($E1693="",", no unit","")&amp;IF($H1693="",", no career level","")&amp;IF(N($L1693)&lt;=0,", no quarter split","")&amp;IF($R1693="",", no driver","")&amp;IF(AND($H1693&lt;&gt;"",COUNTIF(CareerLevels,$H1693)=0),", a career level that is not on the ladder","")&amp;IF(AND($R1693&lt;&gt;"",COUNTIF(DriverList,$R1693)=0),", a driver that is not on the list","")&amp;IF(ABS(N($L1693)-(N($M1693)+N($N1693)+N($O1693)+N($P1693)))&gt;0.001,", a total that does not match its quarters",""),3,300))</f>
        <v/>
      </c>
    </row>
    <row r="1694" customFormat="false" ht="15" hidden="false" customHeight="false" outlineLevel="0" collapsed="false">
      <c r="A1694" s="33" t="str">
        <f aca="false">IF($G1694="","","Retail Banking Group")</f>
        <v/>
      </c>
      <c r="B1694" s="19"/>
      <c r="C1694" s="19"/>
      <c r="D1694" s="19"/>
      <c r="E1694" s="19"/>
      <c r="F1694" s="19"/>
      <c r="G1694" s="19"/>
      <c r="H1694" s="19"/>
      <c r="I1694" s="19"/>
      <c r="J1694" s="19"/>
      <c r="K1694" s="19"/>
      <c r="L1694" s="19"/>
      <c r="M1694" s="19"/>
      <c r="N1694" s="19"/>
      <c r="O1694" s="19"/>
      <c r="P1694" s="19"/>
      <c r="Q1694" s="19"/>
      <c r="R1694" s="19"/>
      <c r="S1694" s="19"/>
      <c r="T1694" s="34" t="str">
        <f aca="false">IF($R1694="","",IFERROR(INDEX(DriverCategory,MATCH($R1694,DriverList,0)),"BAU"))</f>
        <v/>
      </c>
      <c r="U1694" s="34" t="str">
        <f aca="false">IF($R1694="","",IFERROR(INDEX(DriverRank,MATCH($R1694,DriverList,0)),99))</f>
        <v/>
      </c>
      <c r="V1694" s="35" t="n">
        <f aca="false">IF($H1694="",0,IFERROR(INDEX(LevelBasic,MATCH($H1694,LevelList,0))+INDEX(LevelHousing,MATCH($H1694,LevelList,0))+INDEX(LevelTransport,MATCH($H1694,LevelList,0))+INDEX(LevelBasic,MATCH($H1694,LevelList,0))*INDEX(LevelBonus,MATCH($H1694,LevelList,0))+(INDEX(LevelBasic,MATCH($H1694,LevelList,0))+INDEX(LevelHousing,MATCH($H1694,LevelList,0)))*GosiSaudi,0))</f>
        <v>0</v>
      </c>
      <c r="W1694" s="35" t="n">
        <f aca="false">IFERROR(INDEX(LevelOneOff,MATCH($H1694,LevelList,0)),0)</f>
        <v>0</v>
      </c>
      <c r="X1694" s="35" t="str">
        <f aca="false">IF($G1694="","",$V1694*N($L1694))</f>
        <v/>
      </c>
      <c r="Y1694" s="35" t="str">
        <f aca="false">IF($G1694="","",$V1694*(N($M1694)*1+N($N1694)*0.75+N($O1694)*0.5+N($P1694)*0.25)+$W1694*N($L1694))</f>
        <v/>
      </c>
      <c r="Z1694" s="35" t="str">
        <f aca="false">IF($G1694="","",$U1694*1000000+ROW())</f>
        <v/>
      </c>
      <c r="AA1694" s="36" t="str">
        <f aca="false">IF($G1694="","",MID(IF($C1694="",", no division","")&amp;IF($E1694="",", no unit","")&amp;IF($H1694="",", no career level","")&amp;IF(N($L1694)&lt;=0,", no quarter split","")&amp;IF($R1694="",", no driver","")&amp;IF(AND($H1694&lt;&gt;"",COUNTIF(CareerLevels,$H1694)=0),", a career level that is not on the ladder","")&amp;IF(AND($R1694&lt;&gt;"",COUNTIF(DriverList,$R1694)=0),", a driver that is not on the list","")&amp;IF(ABS(N($L1694)-(N($M1694)+N($N1694)+N($O1694)+N($P1694)))&gt;0.001,", a total that does not match its quarters",""),3,300))</f>
        <v/>
      </c>
    </row>
    <row r="1695" customFormat="false" ht="15" hidden="false" customHeight="false" outlineLevel="0" collapsed="false">
      <c r="A1695" s="33" t="str">
        <f aca="false">IF($G1695="","","Retail Banking Group")</f>
        <v/>
      </c>
      <c r="B1695" s="19"/>
      <c r="C1695" s="19"/>
      <c r="D1695" s="19"/>
      <c r="E1695" s="19"/>
      <c r="F1695" s="19"/>
      <c r="G1695" s="19"/>
      <c r="H1695" s="19"/>
      <c r="I1695" s="19"/>
      <c r="J1695" s="19"/>
      <c r="K1695" s="19"/>
      <c r="L1695" s="19"/>
      <c r="M1695" s="19"/>
      <c r="N1695" s="19"/>
      <c r="O1695" s="19"/>
      <c r="P1695" s="19"/>
      <c r="Q1695" s="19"/>
      <c r="R1695" s="19"/>
      <c r="S1695" s="19"/>
      <c r="T1695" s="34" t="str">
        <f aca="false">IF($R1695="","",IFERROR(INDEX(DriverCategory,MATCH($R1695,DriverList,0)),"BAU"))</f>
        <v/>
      </c>
      <c r="U1695" s="34" t="str">
        <f aca="false">IF($R1695="","",IFERROR(INDEX(DriverRank,MATCH($R1695,DriverList,0)),99))</f>
        <v/>
      </c>
      <c r="V1695" s="35" t="n">
        <f aca="false">IF($H1695="",0,IFERROR(INDEX(LevelBasic,MATCH($H1695,LevelList,0))+INDEX(LevelHousing,MATCH($H1695,LevelList,0))+INDEX(LevelTransport,MATCH($H1695,LevelList,0))+INDEX(LevelBasic,MATCH($H1695,LevelList,0))*INDEX(LevelBonus,MATCH($H1695,LevelList,0))+(INDEX(LevelBasic,MATCH($H1695,LevelList,0))+INDEX(LevelHousing,MATCH($H1695,LevelList,0)))*GosiSaudi,0))</f>
        <v>0</v>
      </c>
      <c r="W1695" s="35" t="n">
        <f aca="false">IFERROR(INDEX(LevelOneOff,MATCH($H1695,LevelList,0)),0)</f>
        <v>0</v>
      </c>
      <c r="X1695" s="35" t="str">
        <f aca="false">IF($G1695="","",$V1695*N($L1695))</f>
        <v/>
      </c>
      <c r="Y1695" s="35" t="str">
        <f aca="false">IF($G1695="","",$V1695*(N($M1695)*1+N($N1695)*0.75+N($O1695)*0.5+N($P1695)*0.25)+$W1695*N($L1695))</f>
        <v/>
      </c>
      <c r="Z1695" s="35" t="str">
        <f aca="false">IF($G1695="","",$U1695*1000000+ROW())</f>
        <v/>
      </c>
      <c r="AA1695" s="36" t="str">
        <f aca="false">IF($G1695="","",MID(IF($C1695="",", no division","")&amp;IF($E1695="",", no unit","")&amp;IF($H1695="",", no career level","")&amp;IF(N($L1695)&lt;=0,", no quarter split","")&amp;IF($R1695="",", no driver","")&amp;IF(AND($H1695&lt;&gt;"",COUNTIF(CareerLevels,$H1695)=0),", a career level that is not on the ladder","")&amp;IF(AND($R1695&lt;&gt;"",COUNTIF(DriverList,$R1695)=0),", a driver that is not on the list","")&amp;IF(ABS(N($L1695)-(N($M1695)+N($N1695)+N($O1695)+N($P1695)))&gt;0.001,", a total that does not match its quarters",""),3,300))</f>
        <v/>
      </c>
    </row>
    <row r="1696" customFormat="false" ht="15" hidden="false" customHeight="false" outlineLevel="0" collapsed="false">
      <c r="A1696" s="33" t="str">
        <f aca="false">IF($G1696="","","Retail Banking Group")</f>
        <v/>
      </c>
      <c r="B1696" s="19"/>
      <c r="C1696" s="19"/>
      <c r="D1696" s="19"/>
      <c r="E1696" s="19"/>
      <c r="F1696" s="19"/>
      <c r="G1696" s="19"/>
      <c r="H1696" s="19"/>
      <c r="I1696" s="19"/>
      <c r="J1696" s="19"/>
      <c r="K1696" s="19"/>
      <c r="L1696" s="19"/>
      <c r="M1696" s="19"/>
      <c r="N1696" s="19"/>
      <c r="O1696" s="19"/>
      <c r="P1696" s="19"/>
      <c r="Q1696" s="19"/>
      <c r="R1696" s="19"/>
      <c r="S1696" s="19"/>
      <c r="T1696" s="34" t="str">
        <f aca="false">IF($R1696="","",IFERROR(INDEX(DriverCategory,MATCH($R1696,DriverList,0)),"BAU"))</f>
        <v/>
      </c>
      <c r="U1696" s="34" t="str">
        <f aca="false">IF($R1696="","",IFERROR(INDEX(DriverRank,MATCH($R1696,DriverList,0)),99))</f>
        <v/>
      </c>
      <c r="V1696" s="35" t="n">
        <f aca="false">IF($H1696="",0,IFERROR(INDEX(LevelBasic,MATCH($H1696,LevelList,0))+INDEX(LevelHousing,MATCH($H1696,LevelList,0))+INDEX(LevelTransport,MATCH($H1696,LevelList,0))+INDEX(LevelBasic,MATCH($H1696,LevelList,0))*INDEX(LevelBonus,MATCH($H1696,LevelList,0))+(INDEX(LevelBasic,MATCH($H1696,LevelList,0))+INDEX(LevelHousing,MATCH($H1696,LevelList,0)))*GosiSaudi,0))</f>
        <v>0</v>
      </c>
      <c r="W1696" s="35" t="n">
        <f aca="false">IFERROR(INDEX(LevelOneOff,MATCH($H1696,LevelList,0)),0)</f>
        <v>0</v>
      </c>
      <c r="X1696" s="35" t="str">
        <f aca="false">IF($G1696="","",$V1696*N($L1696))</f>
        <v/>
      </c>
      <c r="Y1696" s="35" t="str">
        <f aca="false">IF($G1696="","",$V1696*(N($M1696)*1+N($N1696)*0.75+N($O1696)*0.5+N($P1696)*0.25)+$W1696*N($L1696))</f>
        <v/>
      </c>
      <c r="Z1696" s="35" t="str">
        <f aca="false">IF($G1696="","",$U1696*1000000+ROW())</f>
        <v/>
      </c>
      <c r="AA1696" s="36" t="str">
        <f aca="false">IF($G1696="","",MID(IF($C1696="",", no division","")&amp;IF($E1696="",", no unit","")&amp;IF($H1696="",", no career level","")&amp;IF(N($L1696)&lt;=0,", no quarter split","")&amp;IF($R1696="",", no driver","")&amp;IF(AND($H1696&lt;&gt;"",COUNTIF(CareerLevels,$H1696)=0),", a career level that is not on the ladder","")&amp;IF(AND($R1696&lt;&gt;"",COUNTIF(DriverList,$R1696)=0),", a driver that is not on the list","")&amp;IF(ABS(N($L1696)-(N($M1696)+N($N1696)+N($O1696)+N($P1696)))&gt;0.001,", a total that does not match its quarters",""),3,300))</f>
        <v/>
      </c>
    </row>
    <row r="1697" customFormat="false" ht="15" hidden="false" customHeight="false" outlineLevel="0" collapsed="false">
      <c r="A1697" s="33" t="str">
        <f aca="false">IF($G1697="","","Retail Banking Group")</f>
        <v/>
      </c>
      <c r="B1697" s="19"/>
      <c r="C1697" s="19"/>
      <c r="D1697" s="19"/>
      <c r="E1697" s="19"/>
      <c r="F1697" s="19"/>
      <c r="G1697" s="19"/>
      <c r="H1697" s="19"/>
      <c r="I1697" s="19"/>
      <c r="J1697" s="19"/>
      <c r="K1697" s="19"/>
      <c r="L1697" s="19"/>
      <c r="M1697" s="19"/>
      <c r="N1697" s="19"/>
      <c r="O1697" s="19"/>
      <c r="P1697" s="19"/>
      <c r="Q1697" s="19"/>
      <c r="R1697" s="19"/>
      <c r="S1697" s="19"/>
      <c r="T1697" s="34" t="str">
        <f aca="false">IF($R1697="","",IFERROR(INDEX(DriverCategory,MATCH($R1697,DriverList,0)),"BAU"))</f>
        <v/>
      </c>
      <c r="U1697" s="34" t="str">
        <f aca="false">IF($R1697="","",IFERROR(INDEX(DriverRank,MATCH($R1697,DriverList,0)),99))</f>
        <v/>
      </c>
      <c r="V1697" s="35" t="n">
        <f aca="false">IF($H1697="",0,IFERROR(INDEX(LevelBasic,MATCH($H1697,LevelList,0))+INDEX(LevelHousing,MATCH($H1697,LevelList,0))+INDEX(LevelTransport,MATCH($H1697,LevelList,0))+INDEX(LevelBasic,MATCH($H1697,LevelList,0))*INDEX(LevelBonus,MATCH($H1697,LevelList,0))+(INDEX(LevelBasic,MATCH($H1697,LevelList,0))+INDEX(LevelHousing,MATCH($H1697,LevelList,0)))*GosiSaudi,0))</f>
        <v>0</v>
      </c>
      <c r="W1697" s="35" t="n">
        <f aca="false">IFERROR(INDEX(LevelOneOff,MATCH($H1697,LevelList,0)),0)</f>
        <v>0</v>
      </c>
      <c r="X1697" s="35" t="str">
        <f aca="false">IF($G1697="","",$V1697*N($L1697))</f>
        <v/>
      </c>
      <c r="Y1697" s="35" t="str">
        <f aca="false">IF($G1697="","",$V1697*(N($M1697)*1+N($N1697)*0.75+N($O1697)*0.5+N($P1697)*0.25)+$W1697*N($L1697))</f>
        <v/>
      </c>
      <c r="Z1697" s="35" t="str">
        <f aca="false">IF($G1697="","",$U1697*1000000+ROW())</f>
        <v/>
      </c>
      <c r="AA1697" s="36" t="str">
        <f aca="false">IF($G1697="","",MID(IF($C1697="",", no division","")&amp;IF($E1697="",", no unit","")&amp;IF($H1697="",", no career level","")&amp;IF(N($L1697)&lt;=0,", no quarter split","")&amp;IF($R1697="",", no driver","")&amp;IF(AND($H1697&lt;&gt;"",COUNTIF(CareerLevels,$H1697)=0),", a career level that is not on the ladder","")&amp;IF(AND($R1697&lt;&gt;"",COUNTIF(DriverList,$R1697)=0),", a driver that is not on the list","")&amp;IF(ABS(N($L1697)-(N($M1697)+N($N1697)+N($O1697)+N($P1697)))&gt;0.001,", a total that does not match its quarters",""),3,300))</f>
        <v/>
      </c>
    </row>
    <row r="1698" customFormat="false" ht="15" hidden="false" customHeight="false" outlineLevel="0" collapsed="false">
      <c r="A1698" s="33" t="str">
        <f aca="false">IF($G1698="","","Retail Banking Group")</f>
        <v/>
      </c>
      <c r="B1698" s="19"/>
      <c r="C1698" s="19"/>
      <c r="D1698" s="19"/>
      <c r="E1698" s="19"/>
      <c r="F1698" s="19"/>
      <c r="G1698" s="19"/>
      <c r="H1698" s="19"/>
      <c r="I1698" s="19"/>
      <c r="J1698" s="19"/>
      <c r="K1698" s="19"/>
      <c r="L1698" s="19"/>
      <c r="M1698" s="19"/>
      <c r="N1698" s="19"/>
      <c r="O1698" s="19"/>
      <c r="P1698" s="19"/>
      <c r="Q1698" s="19"/>
      <c r="R1698" s="19"/>
      <c r="S1698" s="19"/>
      <c r="T1698" s="34" t="str">
        <f aca="false">IF($R1698="","",IFERROR(INDEX(DriverCategory,MATCH($R1698,DriverList,0)),"BAU"))</f>
        <v/>
      </c>
      <c r="U1698" s="34" t="str">
        <f aca="false">IF($R1698="","",IFERROR(INDEX(DriverRank,MATCH($R1698,DriverList,0)),99))</f>
        <v/>
      </c>
      <c r="V1698" s="35" t="n">
        <f aca="false">IF($H1698="",0,IFERROR(INDEX(LevelBasic,MATCH($H1698,LevelList,0))+INDEX(LevelHousing,MATCH($H1698,LevelList,0))+INDEX(LevelTransport,MATCH($H1698,LevelList,0))+INDEX(LevelBasic,MATCH($H1698,LevelList,0))*INDEX(LevelBonus,MATCH($H1698,LevelList,0))+(INDEX(LevelBasic,MATCH($H1698,LevelList,0))+INDEX(LevelHousing,MATCH($H1698,LevelList,0)))*GosiSaudi,0))</f>
        <v>0</v>
      </c>
      <c r="W1698" s="35" t="n">
        <f aca="false">IFERROR(INDEX(LevelOneOff,MATCH($H1698,LevelList,0)),0)</f>
        <v>0</v>
      </c>
      <c r="X1698" s="35" t="str">
        <f aca="false">IF($G1698="","",$V1698*N($L1698))</f>
        <v/>
      </c>
      <c r="Y1698" s="35" t="str">
        <f aca="false">IF($G1698="","",$V1698*(N($M1698)*1+N($N1698)*0.75+N($O1698)*0.5+N($P1698)*0.25)+$W1698*N($L1698))</f>
        <v/>
      </c>
      <c r="Z1698" s="35" t="str">
        <f aca="false">IF($G1698="","",$U1698*1000000+ROW())</f>
        <v/>
      </c>
      <c r="AA1698" s="36" t="str">
        <f aca="false">IF($G1698="","",MID(IF($C1698="",", no division","")&amp;IF($E1698="",", no unit","")&amp;IF($H1698="",", no career level","")&amp;IF(N($L1698)&lt;=0,", no quarter split","")&amp;IF($R1698="",", no driver","")&amp;IF(AND($H1698&lt;&gt;"",COUNTIF(CareerLevels,$H1698)=0),", a career level that is not on the ladder","")&amp;IF(AND($R1698&lt;&gt;"",COUNTIF(DriverList,$R1698)=0),", a driver that is not on the list","")&amp;IF(ABS(N($L1698)-(N($M1698)+N($N1698)+N($O1698)+N($P1698)))&gt;0.001,", a total that does not match its quarters",""),3,300))</f>
        <v/>
      </c>
    </row>
    <row r="1699" customFormat="false" ht="15" hidden="false" customHeight="false" outlineLevel="0" collapsed="false">
      <c r="A1699" s="33" t="str">
        <f aca="false">IF($G1699="","","Retail Banking Group")</f>
        <v/>
      </c>
      <c r="B1699" s="19"/>
      <c r="C1699" s="19"/>
      <c r="D1699" s="19"/>
      <c r="E1699" s="19"/>
      <c r="F1699" s="19"/>
      <c r="G1699" s="19"/>
      <c r="H1699" s="19"/>
      <c r="I1699" s="19"/>
      <c r="J1699" s="19"/>
      <c r="K1699" s="19"/>
      <c r="L1699" s="19"/>
      <c r="M1699" s="19"/>
      <c r="N1699" s="19"/>
      <c r="O1699" s="19"/>
      <c r="P1699" s="19"/>
      <c r="Q1699" s="19"/>
      <c r="R1699" s="19"/>
      <c r="S1699" s="19"/>
      <c r="T1699" s="34" t="str">
        <f aca="false">IF($R1699="","",IFERROR(INDEX(DriverCategory,MATCH($R1699,DriverList,0)),"BAU"))</f>
        <v/>
      </c>
      <c r="U1699" s="34" t="str">
        <f aca="false">IF($R1699="","",IFERROR(INDEX(DriverRank,MATCH($R1699,DriverList,0)),99))</f>
        <v/>
      </c>
      <c r="V1699" s="35" t="n">
        <f aca="false">IF($H1699="",0,IFERROR(INDEX(LevelBasic,MATCH($H1699,LevelList,0))+INDEX(LevelHousing,MATCH($H1699,LevelList,0))+INDEX(LevelTransport,MATCH($H1699,LevelList,0))+INDEX(LevelBasic,MATCH($H1699,LevelList,0))*INDEX(LevelBonus,MATCH($H1699,LevelList,0))+(INDEX(LevelBasic,MATCH($H1699,LevelList,0))+INDEX(LevelHousing,MATCH($H1699,LevelList,0)))*GosiSaudi,0))</f>
        <v>0</v>
      </c>
      <c r="W1699" s="35" t="n">
        <f aca="false">IFERROR(INDEX(LevelOneOff,MATCH($H1699,LevelList,0)),0)</f>
        <v>0</v>
      </c>
      <c r="X1699" s="35" t="str">
        <f aca="false">IF($G1699="","",$V1699*N($L1699))</f>
        <v/>
      </c>
      <c r="Y1699" s="35" t="str">
        <f aca="false">IF($G1699="","",$V1699*(N($M1699)*1+N($N1699)*0.75+N($O1699)*0.5+N($P1699)*0.25)+$W1699*N($L1699))</f>
        <v/>
      </c>
      <c r="Z1699" s="35" t="str">
        <f aca="false">IF($G1699="","",$U1699*1000000+ROW())</f>
        <v/>
      </c>
      <c r="AA1699" s="36" t="str">
        <f aca="false">IF($G1699="","",MID(IF($C1699="",", no division","")&amp;IF($E1699="",", no unit","")&amp;IF($H1699="",", no career level","")&amp;IF(N($L1699)&lt;=0,", no quarter split","")&amp;IF($R1699="",", no driver","")&amp;IF(AND($H1699&lt;&gt;"",COUNTIF(CareerLevels,$H1699)=0),", a career level that is not on the ladder","")&amp;IF(AND($R1699&lt;&gt;"",COUNTIF(DriverList,$R1699)=0),", a driver that is not on the list","")&amp;IF(ABS(N($L1699)-(N($M1699)+N($N1699)+N($O1699)+N($P1699)))&gt;0.001,", a total that does not match its quarters",""),3,300))</f>
        <v/>
      </c>
    </row>
    <row r="1700" customFormat="false" ht="15" hidden="false" customHeight="false" outlineLevel="0" collapsed="false">
      <c r="A1700" s="33" t="str">
        <f aca="false">IF($G1700="","","Retail Banking Group")</f>
        <v/>
      </c>
      <c r="B1700" s="19"/>
      <c r="C1700" s="19"/>
      <c r="D1700" s="19"/>
      <c r="E1700" s="19"/>
      <c r="F1700" s="19"/>
      <c r="G1700" s="19"/>
      <c r="H1700" s="19"/>
      <c r="I1700" s="19"/>
      <c r="J1700" s="19"/>
      <c r="K1700" s="19"/>
      <c r="L1700" s="19"/>
      <c r="M1700" s="19"/>
      <c r="N1700" s="19"/>
      <c r="O1700" s="19"/>
      <c r="P1700" s="19"/>
      <c r="Q1700" s="19"/>
      <c r="R1700" s="19"/>
      <c r="S1700" s="19"/>
      <c r="T1700" s="34" t="str">
        <f aca="false">IF($R1700="","",IFERROR(INDEX(DriverCategory,MATCH($R1700,DriverList,0)),"BAU"))</f>
        <v/>
      </c>
      <c r="U1700" s="34" t="str">
        <f aca="false">IF($R1700="","",IFERROR(INDEX(DriverRank,MATCH($R1700,DriverList,0)),99))</f>
        <v/>
      </c>
      <c r="V1700" s="35" t="n">
        <f aca="false">IF($H1700="",0,IFERROR(INDEX(LevelBasic,MATCH($H1700,LevelList,0))+INDEX(LevelHousing,MATCH($H1700,LevelList,0))+INDEX(LevelTransport,MATCH($H1700,LevelList,0))+INDEX(LevelBasic,MATCH($H1700,LevelList,0))*INDEX(LevelBonus,MATCH($H1700,LevelList,0))+(INDEX(LevelBasic,MATCH($H1700,LevelList,0))+INDEX(LevelHousing,MATCH($H1700,LevelList,0)))*GosiSaudi,0))</f>
        <v>0</v>
      </c>
      <c r="W1700" s="35" t="n">
        <f aca="false">IFERROR(INDEX(LevelOneOff,MATCH($H1700,LevelList,0)),0)</f>
        <v>0</v>
      </c>
      <c r="X1700" s="35" t="str">
        <f aca="false">IF($G1700="","",$V1700*N($L1700))</f>
        <v/>
      </c>
      <c r="Y1700" s="35" t="str">
        <f aca="false">IF($G1700="","",$V1700*(N($M1700)*1+N($N1700)*0.75+N($O1700)*0.5+N($P1700)*0.25)+$W1700*N($L1700))</f>
        <v/>
      </c>
      <c r="Z1700" s="35" t="str">
        <f aca="false">IF($G1700="","",$U1700*1000000+ROW())</f>
        <v/>
      </c>
      <c r="AA1700" s="36" t="str">
        <f aca="false">IF($G1700="","",MID(IF($C1700="",", no division","")&amp;IF($E1700="",", no unit","")&amp;IF($H1700="",", no career level","")&amp;IF(N($L1700)&lt;=0,", no quarter split","")&amp;IF($R1700="",", no driver","")&amp;IF(AND($H1700&lt;&gt;"",COUNTIF(CareerLevels,$H1700)=0),", a career level that is not on the ladder","")&amp;IF(AND($R1700&lt;&gt;"",COUNTIF(DriverList,$R1700)=0),", a driver that is not on the list","")&amp;IF(ABS(N($L1700)-(N($M1700)+N($N1700)+N($O1700)+N($P1700)))&gt;0.001,", a total that does not match its quarters",""),3,300))</f>
        <v/>
      </c>
    </row>
    <row r="1701" customFormat="false" ht="15" hidden="false" customHeight="false" outlineLevel="0" collapsed="false">
      <c r="A1701" s="33" t="str">
        <f aca="false">IF($G1701="","","Retail Banking Group")</f>
        <v/>
      </c>
      <c r="B1701" s="19"/>
      <c r="C1701" s="19"/>
      <c r="D1701" s="19"/>
      <c r="E1701" s="19"/>
      <c r="F1701" s="19"/>
      <c r="G1701" s="19"/>
      <c r="H1701" s="19"/>
      <c r="I1701" s="19"/>
      <c r="J1701" s="19"/>
      <c r="K1701" s="19"/>
      <c r="L1701" s="19"/>
      <c r="M1701" s="19"/>
      <c r="N1701" s="19"/>
      <c r="O1701" s="19"/>
      <c r="P1701" s="19"/>
      <c r="Q1701" s="19"/>
      <c r="R1701" s="19"/>
      <c r="S1701" s="19"/>
      <c r="T1701" s="34" t="str">
        <f aca="false">IF($R1701="","",IFERROR(INDEX(DriverCategory,MATCH($R1701,DriverList,0)),"BAU"))</f>
        <v/>
      </c>
      <c r="U1701" s="34" t="str">
        <f aca="false">IF($R1701="","",IFERROR(INDEX(DriverRank,MATCH($R1701,DriverList,0)),99))</f>
        <v/>
      </c>
      <c r="V1701" s="35" t="n">
        <f aca="false">IF($H1701="",0,IFERROR(INDEX(LevelBasic,MATCH($H1701,LevelList,0))+INDEX(LevelHousing,MATCH($H1701,LevelList,0))+INDEX(LevelTransport,MATCH($H1701,LevelList,0))+INDEX(LevelBasic,MATCH($H1701,LevelList,0))*INDEX(LevelBonus,MATCH($H1701,LevelList,0))+(INDEX(LevelBasic,MATCH($H1701,LevelList,0))+INDEX(LevelHousing,MATCH($H1701,LevelList,0)))*GosiSaudi,0))</f>
        <v>0</v>
      </c>
      <c r="W1701" s="35" t="n">
        <f aca="false">IFERROR(INDEX(LevelOneOff,MATCH($H1701,LevelList,0)),0)</f>
        <v>0</v>
      </c>
      <c r="X1701" s="35" t="str">
        <f aca="false">IF($G1701="","",$V1701*N($L1701))</f>
        <v/>
      </c>
      <c r="Y1701" s="35" t="str">
        <f aca="false">IF($G1701="","",$V1701*(N($M1701)*1+N($N1701)*0.75+N($O1701)*0.5+N($P1701)*0.25)+$W1701*N($L1701))</f>
        <v/>
      </c>
      <c r="Z1701" s="35" t="str">
        <f aca="false">IF($G1701="","",$U1701*1000000+ROW())</f>
        <v/>
      </c>
      <c r="AA1701" s="36" t="str">
        <f aca="false">IF($G1701="","",MID(IF($C1701="",", no division","")&amp;IF($E1701="",", no unit","")&amp;IF($H1701="",", no career level","")&amp;IF(N($L1701)&lt;=0,", no quarter split","")&amp;IF($R1701="",", no driver","")&amp;IF(AND($H1701&lt;&gt;"",COUNTIF(CareerLevels,$H1701)=0),", a career level that is not on the ladder","")&amp;IF(AND($R1701&lt;&gt;"",COUNTIF(DriverList,$R1701)=0),", a driver that is not on the list","")&amp;IF(ABS(N($L1701)-(N($M1701)+N($N1701)+N($O1701)+N($P1701)))&gt;0.001,", a total that does not match its quarters",""),3,300))</f>
        <v/>
      </c>
    </row>
    <row r="1702" customFormat="false" ht="15" hidden="false" customHeight="false" outlineLevel="0" collapsed="false">
      <c r="A1702" s="33" t="str">
        <f aca="false">IF($G1702="","","Retail Banking Group")</f>
        <v/>
      </c>
      <c r="B1702" s="19"/>
      <c r="C1702" s="19"/>
      <c r="D1702" s="19"/>
      <c r="E1702" s="19"/>
      <c r="F1702" s="19"/>
      <c r="G1702" s="19"/>
      <c r="H1702" s="19"/>
      <c r="I1702" s="19"/>
      <c r="J1702" s="19"/>
      <c r="K1702" s="19"/>
      <c r="L1702" s="19"/>
      <c r="M1702" s="19"/>
      <c r="N1702" s="19"/>
      <c r="O1702" s="19"/>
      <c r="P1702" s="19"/>
      <c r="Q1702" s="19"/>
      <c r="R1702" s="19"/>
      <c r="S1702" s="19"/>
      <c r="T1702" s="34" t="str">
        <f aca="false">IF($R1702="","",IFERROR(INDEX(DriverCategory,MATCH($R1702,DriverList,0)),"BAU"))</f>
        <v/>
      </c>
      <c r="U1702" s="34" t="str">
        <f aca="false">IF($R1702="","",IFERROR(INDEX(DriverRank,MATCH($R1702,DriverList,0)),99))</f>
        <v/>
      </c>
      <c r="V1702" s="35" t="n">
        <f aca="false">IF($H1702="",0,IFERROR(INDEX(LevelBasic,MATCH($H1702,LevelList,0))+INDEX(LevelHousing,MATCH($H1702,LevelList,0))+INDEX(LevelTransport,MATCH($H1702,LevelList,0))+INDEX(LevelBasic,MATCH($H1702,LevelList,0))*INDEX(LevelBonus,MATCH($H1702,LevelList,0))+(INDEX(LevelBasic,MATCH($H1702,LevelList,0))+INDEX(LevelHousing,MATCH($H1702,LevelList,0)))*GosiSaudi,0))</f>
        <v>0</v>
      </c>
      <c r="W1702" s="35" t="n">
        <f aca="false">IFERROR(INDEX(LevelOneOff,MATCH($H1702,LevelList,0)),0)</f>
        <v>0</v>
      </c>
      <c r="X1702" s="35" t="str">
        <f aca="false">IF($G1702="","",$V1702*N($L1702))</f>
        <v/>
      </c>
      <c r="Y1702" s="35" t="str">
        <f aca="false">IF($G1702="","",$V1702*(N($M1702)*1+N($N1702)*0.75+N($O1702)*0.5+N($P1702)*0.25)+$W1702*N($L1702))</f>
        <v/>
      </c>
      <c r="Z1702" s="35" t="str">
        <f aca="false">IF($G1702="","",$U1702*1000000+ROW())</f>
        <v/>
      </c>
      <c r="AA1702" s="36" t="str">
        <f aca="false">IF($G1702="","",MID(IF($C1702="",", no division","")&amp;IF($E1702="",", no unit","")&amp;IF($H1702="",", no career level","")&amp;IF(N($L1702)&lt;=0,", no quarter split","")&amp;IF($R1702="",", no driver","")&amp;IF(AND($H1702&lt;&gt;"",COUNTIF(CareerLevels,$H1702)=0),", a career level that is not on the ladder","")&amp;IF(AND($R1702&lt;&gt;"",COUNTIF(DriverList,$R1702)=0),", a driver that is not on the list","")&amp;IF(ABS(N($L1702)-(N($M1702)+N($N1702)+N($O1702)+N($P1702)))&gt;0.001,", a total that does not match its quarters",""),3,300))</f>
        <v/>
      </c>
    </row>
    <row r="1703" customFormat="false" ht="15" hidden="false" customHeight="false" outlineLevel="0" collapsed="false">
      <c r="A1703" s="33" t="str">
        <f aca="false">IF($G1703="","","Retail Banking Group")</f>
        <v/>
      </c>
      <c r="B1703" s="19"/>
      <c r="C1703" s="19"/>
      <c r="D1703" s="19"/>
      <c r="E1703" s="19"/>
      <c r="F1703" s="19"/>
      <c r="G1703" s="19"/>
      <c r="H1703" s="19"/>
      <c r="I1703" s="19"/>
      <c r="J1703" s="19"/>
      <c r="K1703" s="19"/>
      <c r="L1703" s="19"/>
      <c r="M1703" s="19"/>
      <c r="N1703" s="19"/>
      <c r="O1703" s="19"/>
      <c r="P1703" s="19"/>
      <c r="Q1703" s="19"/>
      <c r="R1703" s="19"/>
      <c r="S1703" s="19"/>
      <c r="T1703" s="34" t="str">
        <f aca="false">IF($R1703="","",IFERROR(INDEX(DriverCategory,MATCH($R1703,DriverList,0)),"BAU"))</f>
        <v/>
      </c>
      <c r="U1703" s="34" t="str">
        <f aca="false">IF($R1703="","",IFERROR(INDEX(DriverRank,MATCH($R1703,DriverList,0)),99))</f>
        <v/>
      </c>
      <c r="V1703" s="35" t="n">
        <f aca="false">IF($H1703="",0,IFERROR(INDEX(LevelBasic,MATCH($H1703,LevelList,0))+INDEX(LevelHousing,MATCH($H1703,LevelList,0))+INDEX(LevelTransport,MATCH($H1703,LevelList,0))+INDEX(LevelBasic,MATCH($H1703,LevelList,0))*INDEX(LevelBonus,MATCH($H1703,LevelList,0))+(INDEX(LevelBasic,MATCH($H1703,LevelList,0))+INDEX(LevelHousing,MATCH($H1703,LevelList,0)))*GosiSaudi,0))</f>
        <v>0</v>
      </c>
      <c r="W1703" s="35" t="n">
        <f aca="false">IFERROR(INDEX(LevelOneOff,MATCH($H1703,LevelList,0)),0)</f>
        <v>0</v>
      </c>
      <c r="X1703" s="35" t="str">
        <f aca="false">IF($G1703="","",$V1703*N($L1703))</f>
        <v/>
      </c>
      <c r="Y1703" s="35" t="str">
        <f aca="false">IF($G1703="","",$V1703*(N($M1703)*1+N($N1703)*0.75+N($O1703)*0.5+N($P1703)*0.25)+$W1703*N($L1703))</f>
        <v/>
      </c>
      <c r="Z1703" s="35" t="str">
        <f aca="false">IF($G1703="","",$U1703*1000000+ROW())</f>
        <v/>
      </c>
      <c r="AA1703" s="36" t="str">
        <f aca="false">IF($G1703="","",MID(IF($C1703="",", no division","")&amp;IF($E1703="",", no unit","")&amp;IF($H1703="",", no career level","")&amp;IF(N($L1703)&lt;=0,", no quarter split","")&amp;IF($R1703="",", no driver","")&amp;IF(AND($H1703&lt;&gt;"",COUNTIF(CareerLevels,$H1703)=0),", a career level that is not on the ladder","")&amp;IF(AND($R1703&lt;&gt;"",COUNTIF(DriverList,$R1703)=0),", a driver that is not on the list","")&amp;IF(ABS(N($L1703)-(N($M1703)+N($N1703)+N($O1703)+N($P1703)))&gt;0.001,", a total that does not match its quarters",""),3,300))</f>
        <v/>
      </c>
    </row>
    <row r="1704" customFormat="false" ht="15" hidden="false" customHeight="false" outlineLevel="0" collapsed="false">
      <c r="A1704" s="33" t="str">
        <f aca="false">IF($G1704="","","Retail Banking Group")</f>
        <v/>
      </c>
      <c r="B1704" s="19"/>
      <c r="C1704" s="19"/>
      <c r="D1704" s="19"/>
      <c r="E1704" s="19"/>
      <c r="F1704" s="19"/>
      <c r="G1704" s="19"/>
      <c r="H1704" s="19"/>
      <c r="I1704" s="19"/>
      <c r="J1704" s="19"/>
      <c r="K1704" s="19"/>
      <c r="L1704" s="19"/>
      <c r="M1704" s="19"/>
      <c r="N1704" s="19"/>
      <c r="O1704" s="19"/>
      <c r="P1704" s="19"/>
      <c r="Q1704" s="19"/>
      <c r="R1704" s="19"/>
      <c r="S1704" s="19"/>
      <c r="T1704" s="34" t="str">
        <f aca="false">IF($R1704="","",IFERROR(INDEX(DriverCategory,MATCH($R1704,DriverList,0)),"BAU"))</f>
        <v/>
      </c>
      <c r="U1704" s="34" t="str">
        <f aca="false">IF($R1704="","",IFERROR(INDEX(DriverRank,MATCH($R1704,DriverList,0)),99))</f>
        <v/>
      </c>
      <c r="V1704" s="35" t="n">
        <f aca="false">IF($H1704="",0,IFERROR(INDEX(LevelBasic,MATCH($H1704,LevelList,0))+INDEX(LevelHousing,MATCH($H1704,LevelList,0))+INDEX(LevelTransport,MATCH($H1704,LevelList,0))+INDEX(LevelBasic,MATCH($H1704,LevelList,0))*INDEX(LevelBonus,MATCH($H1704,LevelList,0))+(INDEX(LevelBasic,MATCH($H1704,LevelList,0))+INDEX(LevelHousing,MATCH($H1704,LevelList,0)))*GosiSaudi,0))</f>
        <v>0</v>
      </c>
      <c r="W1704" s="35" t="n">
        <f aca="false">IFERROR(INDEX(LevelOneOff,MATCH($H1704,LevelList,0)),0)</f>
        <v>0</v>
      </c>
      <c r="X1704" s="35" t="str">
        <f aca="false">IF($G1704="","",$V1704*N($L1704))</f>
        <v/>
      </c>
      <c r="Y1704" s="35" t="str">
        <f aca="false">IF($G1704="","",$V1704*(N($M1704)*1+N($N1704)*0.75+N($O1704)*0.5+N($P1704)*0.25)+$W1704*N($L1704))</f>
        <v/>
      </c>
      <c r="Z1704" s="35" t="str">
        <f aca="false">IF($G1704="","",$U1704*1000000+ROW())</f>
        <v/>
      </c>
      <c r="AA1704" s="36" t="str">
        <f aca="false">IF($G1704="","",MID(IF($C1704="",", no division","")&amp;IF($E1704="",", no unit","")&amp;IF($H1704="",", no career level","")&amp;IF(N($L1704)&lt;=0,", no quarter split","")&amp;IF($R1704="",", no driver","")&amp;IF(AND($H1704&lt;&gt;"",COUNTIF(CareerLevels,$H1704)=0),", a career level that is not on the ladder","")&amp;IF(AND($R1704&lt;&gt;"",COUNTIF(DriverList,$R1704)=0),", a driver that is not on the list","")&amp;IF(ABS(N($L1704)-(N($M1704)+N($N1704)+N($O1704)+N($P1704)))&gt;0.001,", a total that does not match its quarters",""),3,300))</f>
        <v/>
      </c>
    </row>
    <row r="1705" customFormat="false" ht="15" hidden="false" customHeight="false" outlineLevel="0" collapsed="false">
      <c r="A1705" s="33" t="str">
        <f aca="false">IF($G1705="","","Retail Banking Group")</f>
        <v/>
      </c>
      <c r="B1705" s="19"/>
      <c r="C1705" s="19"/>
      <c r="D1705" s="19"/>
      <c r="E1705" s="19"/>
      <c r="F1705" s="19"/>
      <c r="G1705" s="19"/>
      <c r="H1705" s="19"/>
      <c r="I1705" s="19"/>
      <c r="J1705" s="19"/>
      <c r="K1705" s="19"/>
      <c r="L1705" s="19"/>
      <c r="M1705" s="19"/>
      <c r="N1705" s="19"/>
      <c r="O1705" s="19"/>
      <c r="P1705" s="19"/>
      <c r="Q1705" s="19"/>
      <c r="R1705" s="19"/>
      <c r="S1705" s="19"/>
      <c r="T1705" s="34" t="str">
        <f aca="false">IF($R1705="","",IFERROR(INDEX(DriverCategory,MATCH($R1705,DriverList,0)),"BAU"))</f>
        <v/>
      </c>
      <c r="U1705" s="34" t="str">
        <f aca="false">IF($R1705="","",IFERROR(INDEX(DriverRank,MATCH($R1705,DriverList,0)),99))</f>
        <v/>
      </c>
      <c r="V1705" s="35" t="n">
        <f aca="false">IF($H1705="",0,IFERROR(INDEX(LevelBasic,MATCH($H1705,LevelList,0))+INDEX(LevelHousing,MATCH($H1705,LevelList,0))+INDEX(LevelTransport,MATCH($H1705,LevelList,0))+INDEX(LevelBasic,MATCH($H1705,LevelList,0))*INDEX(LevelBonus,MATCH($H1705,LevelList,0))+(INDEX(LevelBasic,MATCH($H1705,LevelList,0))+INDEX(LevelHousing,MATCH($H1705,LevelList,0)))*GosiSaudi,0))</f>
        <v>0</v>
      </c>
      <c r="W1705" s="35" t="n">
        <f aca="false">IFERROR(INDEX(LevelOneOff,MATCH($H1705,LevelList,0)),0)</f>
        <v>0</v>
      </c>
      <c r="X1705" s="35" t="str">
        <f aca="false">IF($G1705="","",$V1705*N($L1705))</f>
        <v/>
      </c>
      <c r="Y1705" s="35" t="str">
        <f aca="false">IF($G1705="","",$V1705*(N($M1705)*1+N($N1705)*0.75+N($O1705)*0.5+N($P1705)*0.25)+$W1705*N($L1705))</f>
        <v/>
      </c>
      <c r="Z1705" s="35" t="str">
        <f aca="false">IF($G1705="","",$U1705*1000000+ROW())</f>
        <v/>
      </c>
      <c r="AA1705" s="36" t="str">
        <f aca="false">IF($G1705="","",MID(IF($C1705="",", no division","")&amp;IF($E1705="",", no unit","")&amp;IF($H1705="",", no career level","")&amp;IF(N($L1705)&lt;=0,", no quarter split","")&amp;IF($R1705="",", no driver","")&amp;IF(AND($H1705&lt;&gt;"",COUNTIF(CareerLevels,$H1705)=0),", a career level that is not on the ladder","")&amp;IF(AND($R1705&lt;&gt;"",COUNTIF(DriverList,$R1705)=0),", a driver that is not on the list","")&amp;IF(ABS(N($L1705)-(N($M1705)+N($N1705)+N($O1705)+N($P1705)))&gt;0.001,", a total that does not match its quarters",""),3,300))</f>
        <v/>
      </c>
    </row>
    <row r="1706" customFormat="false" ht="15" hidden="false" customHeight="false" outlineLevel="0" collapsed="false">
      <c r="A1706" s="33" t="str">
        <f aca="false">IF($G1706="","","Retail Banking Group")</f>
        <v/>
      </c>
      <c r="B1706" s="19"/>
      <c r="C1706" s="19"/>
      <c r="D1706" s="19"/>
      <c r="E1706" s="19"/>
      <c r="F1706" s="19"/>
      <c r="G1706" s="19"/>
      <c r="H1706" s="19"/>
      <c r="I1706" s="19"/>
      <c r="J1706" s="19"/>
      <c r="K1706" s="19"/>
      <c r="L1706" s="19"/>
      <c r="M1706" s="19"/>
      <c r="N1706" s="19"/>
      <c r="O1706" s="19"/>
      <c r="P1706" s="19"/>
      <c r="Q1706" s="19"/>
      <c r="R1706" s="19"/>
      <c r="S1706" s="19"/>
      <c r="T1706" s="34" t="str">
        <f aca="false">IF($R1706="","",IFERROR(INDEX(DriverCategory,MATCH($R1706,DriverList,0)),"BAU"))</f>
        <v/>
      </c>
      <c r="U1706" s="34" t="str">
        <f aca="false">IF($R1706="","",IFERROR(INDEX(DriverRank,MATCH($R1706,DriverList,0)),99))</f>
        <v/>
      </c>
      <c r="V1706" s="35" t="n">
        <f aca="false">IF($H1706="",0,IFERROR(INDEX(LevelBasic,MATCH($H1706,LevelList,0))+INDEX(LevelHousing,MATCH($H1706,LevelList,0))+INDEX(LevelTransport,MATCH($H1706,LevelList,0))+INDEX(LevelBasic,MATCH($H1706,LevelList,0))*INDEX(LevelBonus,MATCH($H1706,LevelList,0))+(INDEX(LevelBasic,MATCH($H1706,LevelList,0))+INDEX(LevelHousing,MATCH($H1706,LevelList,0)))*GosiSaudi,0))</f>
        <v>0</v>
      </c>
      <c r="W1706" s="35" t="n">
        <f aca="false">IFERROR(INDEX(LevelOneOff,MATCH($H1706,LevelList,0)),0)</f>
        <v>0</v>
      </c>
      <c r="X1706" s="35" t="str">
        <f aca="false">IF($G1706="","",$V1706*N($L1706))</f>
        <v/>
      </c>
      <c r="Y1706" s="35" t="str">
        <f aca="false">IF($G1706="","",$V1706*(N($M1706)*1+N($N1706)*0.75+N($O1706)*0.5+N($P1706)*0.25)+$W1706*N($L1706))</f>
        <v/>
      </c>
      <c r="Z1706" s="35" t="str">
        <f aca="false">IF($G1706="","",$U1706*1000000+ROW())</f>
        <v/>
      </c>
      <c r="AA1706" s="36" t="str">
        <f aca="false">IF($G1706="","",MID(IF($C1706="",", no division","")&amp;IF($E1706="",", no unit","")&amp;IF($H1706="",", no career level","")&amp;IF(N($L1706)&lt;=0,", no quarter split","")&amp;IF($R1706="",", no driver","")&amp;IF(AND($H1706&lt;&gt;"",COUNTIF(CareerLevels,$H1706)=0),", a career level that is not on the ladder","")&amp;IF(AND($R1706&lt;&gt;"",COUNTIF(DriverList,$R1706)=0),", a driver that is not on the list","")&amp;IF(ABS(N($L1706)-(N($M1706)+N($N1706)+N($O1706)+N($P1706)))&gt;0.001,", a total that does not match its quarters",""),3,300))</f>
        <v/>
      </c>
    </row>
    <row r="1707" customFormat="false" ht="15" hidden="false" customHeight="false" outlineLevel="0" collapsed="false">
      <c r="A1707" s="33" t="str">
        <f aca="false">IF($G1707="","","Retail Banking Group")</f>
        <v/>
      </c>
      <c r="B1707" s="19"/>
      <c r="C1707" s="19"/>
      <c r="D1707" s="19"/>
      <c r="E1707" s="19"/>
      <c r="F1707" s="19"/>
      <c r="G1707" s="19"/>
      <c r="H1707" s="19"/>
      <c r="I1707" s="19"/>
      <c r="J1707" s="19"/>
      <c r="K1707" s="19"/>
      <c r="L1707" s="19"/>
      <c r="M1707" s="19"/>
      <c r="N1707" s="19"/>
      <c r="O1707" s="19"/>
      <c r="P1707" s="19"/>
      <c r="Q1707" s="19"/>
      <c r="R1707" s="19"/>
      <c r="S1707" s="19"/>
      <c r="T1707" s="34" t="str">
        <f aca="false">IF($R1707="","",IFERROR(INDEX(DriverCategory,MATCH($R1707,DriverList,0)),"BAU"))</f>
        <v/>
      </c>
      <c r="U1707" s="34" t="str">
        <f aca="false">IF($R1707="","",IFERROR(INDEX(DriverRank,MATCH($R1707,DriverList,0)),99))</f>
        <v/>
      </c>
      <c r="V1707" s="35" t="n">
        <f aca="false">IF($H1707="",0,IFERROR(INDEX(LevelBasic,MATCH($H1707,LevelList,0))+INDEX(LevelHousing,MATCH($H1707,LevelList,0))+INDEX(LevelTransport,MATCH($H1707,LevelList,0))+INDEX(LevelBasic,MATCH($H1707,LevelList,0))*INDEX(LevelBonus,MATCH($H1707,LevelList,0))+(INDEX(LevelBasic,MATCH($H1707,LevelList,0))+INDEX(LevelHousing,MATCH($H1707,LevelList,0)))*GosiSaudi,0))</f>
        <v>0</v>
      </c>
      <c r="W1707" s="35" t="n">
        <f aca="false">IFERROR(INDEX(LevelOneOff,MATCH($H1707,LevelList,0)),0)</f>
        <v>0</v>
      </c>
      <c r="X1707" s="35" t="str">
        <f aca="false">IF($G1707="","",$V1707*N($L1707))</f>
        <v/>
      </c>
      <c r="Y1707" s="35" t="str">
        <f aca="false">IF($G1707="","",$V1707*(N($M1707)*1+N($N1707)*0.75+N($O1707)*0.5+N($P1707)*0.25)+$W1707*N($L1707))</f>
        <v/>
      </c>
      <c r="Z1707" s="35" t="str">
        <f aca="false">IF($G1707="","",$U1707*1000000+ROW())</f>
        <v/>
      </c>
      <c r="AA1707" s="36" t="str">
        <f aca="false">IF($G1707="","",MID(IF($C1707="",", no division","")&amp;IF($E1707="",", no unit","")&amp;IF($H1707="",", no career level","")&amp;IF(N($L1707)&lt;=0,", no quarter split","")&amp;IF($R1707="",", no driver","")&amp;IF(AND($H1707&lt;&gt;"",COUNTIF(CareerLevels,$H1707)=0),", a career level that is not on the ladder","")&amp;IF(AND($R1707&lt;&gt;"",COUNTIF(DriverList,$R1707)=0),", a driver that is not on the list","")&amp;IF(ABS(N($L1707)-(N($M1707)+N($N1707)+N($O1707)+N($P1707)))&gt;0.001,", a total that does not match its quarters",""),3,300))</f>
        <v/>
      </c>
    </row>
    <row r="1708" customFormat="false" ht="15" hidden="false" customHeight="false" outlineLevel="0" collapsed="false">
      <c r="A1708" s="33" t="str">
        <f aca="false">IF($G1708="","","Retail Banking Group")</f>
        <v/>
      </c>
      <c r="B1708" s="19"/>
      <c r="C1708" s="19"/>
      <c r="D1708" s="19"/>
      <c r="E1708" s="19"/>
      <c r="F1708" s="19"/>
      <c r="G1708" s="19"/>
      <c r="H1708" s="19"/>
      <c r="I1708" s="19"/>
      <c r="J1708" s="19"/>
      <c r="K1708" s="19"/>
      <c r="L1708" s="19"/>
      <c r="M1708" s="19"/>
      <c r="N1708" s="19"/>
      <c r="O1708" s="19"/>
      <c r="P1708" s="19"/>
      <c r="Q1708" s="19"/>
      <c r="R1708" s="19"/>
      <c r="S1708" s="19"/>
      <c r="T1708" s="34" t="str">
        <f aca="false">IF($R1708="","",IFERROR(INDEX(DriverCategory,MATCH($R1708,DriverList,0)),"BAU"))</f>
        <v/>
      </c>
      <c r="U1708" s="34" t="str">
        <f aca="false">IF($R1708="","",IFERROR(INDEX(DriverRank,MATCH($R1708,DriverList,0)),99))</f>
        <v/>
      </c>
      <c r="V1708" s="35" t="n">
        <f aca="false">IF($H1708="",0,IFERROR(INDEX(LevelBasic,MATCH($H1708,LevelList,0))+INDEX(LevelHousing,MATCH($H1708,LevelList,0))+INDEX(LevelTransport,MATCH($H1708,LevelList,0))+INDEX(LevelBasic,MATCH($H1708,LevelList,0))*INDEX(LevelBonus,MATCH($H1708,LevelList,0))+(INDEX(LevelBasic,MATCH($H1708,LevelList,0))+INDEX(LevelHousing,MATCH($H1708,LevelList,0)))*GosiSaudi,0))</f>
        <v>0</v>
      </c>
      <c r="W1708" s="35" t="n">
        <f aca="false">IFERROR(INDEX(LevelOneOff,MATCH($H1708,LevelList,0)),0)</f>
        <v>0</v>
      </c>
      <c r="X1708" s="35" t="str">
        <f aca="false">IF($G1708="","",$V1708*N($L1708))</f>
        <v/>
      </c>
      <c r="Y1708" s="35" t="str">
        <f aca="false">IF($G1708="","",$V1708*(N($M1708)*1+N($N1708)*0.75+N($O1708)*0.5+N($P1708)*0.25)+$W1708*N($L1708))</f>
        <v/>
      </c>
      <c r="Z1708" s="35" t="str">
        <f aca="false">IF($G1708="","",$U1708*1000000+ROW())</f>
        <v/>
      </c>
      <c r="AA1708" s="36" t="str">
        <f aca="false">IF($G1708="","",MID(IF($C1708="",", no division","")&amp;IF($E1708="",", no unit","")&amp;IF($H1708="",", no career level","")&amp;IF(N($L1708)&lt;=0,", no quarter split","")&amp;IF($R1708="",", no driver","")&amp;IF(AND($H1708&lt;&gt;"",COUNTIF(CareerLevels,$H1708)=0),", a career level that is not on the ladder","")&amp;IF(AND($R1708&lt;&gt;"",COUNTIF(DriverList,$R1708)=0),", a driver that is not on the list","")&amp;IF(ABS(N($L1708)-(N($M1708)+N($N1708)+N($O1708)+N($P1708)))&gt;0.001,", a total that does not match its quarters",""),3,300))</f>
        <v/>
      </c>
    </row>
    <row r="1709" customFormat="false" ht="15" hidden="false" customHeight="false" outlineLevel="0" collapsed="false">
      <c r="A1709" s="33" t="str">
        <f aca="false">IF($G1709="","","Retail Banking Group")</f>
        <v/>
      </c>
      <c r="B1709" s="19"/>
      <c r="C1709" s="19"/>
      <c r="D1709" s="19"/>
      <c r="E1709" s="19"/>
      <c r="F1709" s="19"/>
      <c r="G1709" s="19"/>
      <c r="H1709" s="19"/>
      <c r="I1709" s="19"/>
      <c r="J1709" s="19"/>
      <c r="K1709" s="19"/>
      <c r="L1709" s="19"/>
      <c r="M1709" s="19"/>
      <c r="N1709" s="19"/>
      <c r="O1709" s="19"/>
      <c r="P1709" s="19"/>
      <c r="Q1709" s="19"/>
      <c r="R1709" s="19"/>
      <c r="S1709" s="19"/>
      <c r="T1709" s="34" t="str">
        <f aca="false">IF($R1709="","",IFERROR(INDEX(DriverCategory,MATCH($R1709,DriverList,0)),"BAU"))</f>
        <v/>
      </c>
      <c r="U1709" s="34" t="str">
        <f aca="false">IF($R1709="","",IFERROR(INDEX(DriverRank,MATCH($R1709,DriverList,0)),99))</f>
        <v/>
      </c>
      <c r="V1709" s="35" t="n">
        <f aca="false">IF($H1709="",0,IFERROR(INDEX(LevelBasic,MATCH($H1709,LevelList,0))+INDEX(LevelHousing,MATCH($H1709,LevelList,0))+INDEX(LevelTransport,MATCH($H1709,LevelList,0))+INDEX(LevelBasic,MATCH($H1709,LevelList,0))*INDEX(LevelBonus,MATCH($H1709,LevelList,0))+(INDEX(LevelBasic,MATCH($H1709,LevelList,0))+INDEX(LevelHousing,MATCH($H1709,LevelList,0)))*GosiSaudi,0))</f>
        <v>0</v>
      </c>
      <c r="W1709" s="35" t="n">
        <f aca="false">IFERROR(INDEX(LevelOneOff,MATCH($H1709,LevelList,0)),0)</f>
        <v>0</v>
      </c>
      <c r="X1709" s="35" t="str">
        <f aca="false">IF($G1709="","",$V1709*N($L1709))</f>
        <v/>
      </c>
      <c r="Y1709" s="35" t="str">
        <f aca="false">IF($G1709="","",$V1709*(N($M1709)*1+N($N1709)*0.75+N($O1709)*0.5+N($P1709)*0.25)+$W1709*N($L1709))</f>
        <v/>
      </c>
      <c r="Z1709" s="35" t="str">
        <f aca="false">IF($G1709="","",$U1709*1000000+ROW())</f>
        <v/>
      </c>
      <c r="AA1709" s="36" t="str">
        <f aca="false">IF($G1709="","",MID(IF($C1709="",", no division","")&amp;IF($E1709="",", no unit","")&amp;IF($H1709="",", no career level","")&amp;IF(N($L1709)&lt;=0,", no quarter split","")&amp;IF($R1709="",", no driver","")&amp;IF(AND($H1709&lt;&gt;"",COUNTIF(CareerLevels,$H1709)=0),", a career level that is not on the ladder","")&amp;IF(AND($R1709&lt;&gt;"",COUNTIF(DriverList,$R1709)=0),", a driver that is not on the list","")&amp;IF(ABS(N($L1709)-(N($M1709)+N($N1709)+N($O1709)+N($P1709)))&gt;0.001,", a total that does not match its quarters",""),3,300))</f>
        <v/>
      </c>
    </row>
    <row r="1710" customFormat="false" ht="15" hidden="false" customHeight="false" outlineLevel="0" collapsed="false">
      <c r="A1710" s="33" t="str">
        <f aca="false">IF($G1710="","","Retail Banking Group")</f>
        <v/>
      </c>
      <c r="B1710" s="19"/>
      <c r="C1710" s="19"/>
      <c r="D1710" s="19"/>
      <c r="E1710" s="19"/>
      <c r="F1710" s="19"/>
      <c r="G1710" s="19"/>
      <c r="H1710" s="19"/>
      <c r="I1710" s="19"/>
      <c r="J1710" s="19"/>
      <c r="K1710" s="19"/>
      <c r="L1710" s="19"/>
      <c r="M1710" s="19"/>
      <c r="N1710" s="19"/>
      <c r="O1710" s="19"/>
      <c r="P1710" s="19"/>
      <c r="Q1710" s="19"/>
      <c r="R1710" s="19"/>
      <c r="S1710" s="19"/>
      <c r="T1710" s="34" t="str">
        <f aca="false">IF($R1710="","",IFERROR(INDEX(DriverCategory,MATCH($R1710,DriverList,0)),"BAU"))</f>
        <v/>
      </c>
      <c r="U1710" s="34" t="str">
        <f aca="false">IF($R1710="","",IFERROR(INDEX(DriverRank,MATCH($R1710,DriverList,0)),99))</f>
        <v/>
      </c>
      <c r="V1710" s="35" t="n">
        <f aca="false">IF($H1710="",0,IFERROR(INDEX(LevelBasic,MATCH($H1710,LevelList,0))+INDEX(LevelHousing,MATCH($H1710,LevelList,0))+INDEX(LevelTransport,MATCH($H1710,LevelList,0))+INDEX(LevelBasic,MATCH($H1710,LevelList,0))*INDEX(LevelBonus,MATCH($H1710,LevelList,0))+(INDEX(LevelBasic,MATCH($H1710,LevelList,0))+INDEX(LevelHousing,MATCH($H1710,LevelList,0)))*GosiSaudi,0))</f>
        <v>0</v>
      </c>
      <c r="W1710" s="35" t="n">
        <f aca="false">IFERROR(INDEX(LevelOneOff,MATCH($H1710,LevelList,0)),0)</f>
        <v>0</v>
      </c>
      <c r="X1710" s="35" t="str">
        <f aca="false">IF($G1710="","",$V1710*N($L1710))</f>
        <v/>
      </c>
      <c r="Y1710" s="35" t="str">
        <f aca="false">IF($G1710="","",$V1710*(N($M1710)*1+N($N1710)*0.75+N($O1710)*0.5+N($P1710)*0.25)+$W1710*N($L1710))</f>
        <v/>
      </c>
      <c r="Z1710" s="35" t="str">
        <f aca="false">IF($G1710="","",$U1710*1000000+ROW())</f>
        <v/>
      </c>
      <c r="AA1710" s="36" t="str">
        <f aca="false">IF($G1710="","",MID(IF($C1710="",", no division","")&amp;IF($E1710="",", no unit","")&amp;IF($H1710="",", no career level","")&amp;IF(N($L1710)&lt;=0,", no quarter split","")&amp;IF($R1710="",", no driver","")&amp;IF(AND($H1710&lt;&gt;"",COUNTIF(CareerLevels,$H1710)=0),", a career level that is not on the ladder","")&amp;IF(AND($R1710&lt;&gt;"",COUNTIF(DriverList,$R1710)=0),", a driver that is not on the list","")&amp;IF(ABS(N($L1710)-(N($M1710)+N($N1710)+N($O1710)+N($P1710)))&gt;0.001,", a total that does not match its quarters",""),3,300))</f>
        <v/>
      </c>
    </row>
    <row r="1711" customFormat="false" ht="15" hidden="false" customHeight="false" outlineLevel="0" collapsed="false">
      <c r="A1711" s="33" t="str">
        <f aca="false">IF($G1711="","","Retail Banking Group")</f>
        <v/>
      </c>
      <c r="B1711" s="19"/>
      <c r="C1711" s="19"/>
      <c r="D1711" s="19"/>
      <c r="E1711" s="19"/>
      <c r="F1711" s="19"/>
      <c r="G1711" s="19"/>
      <c r="H1711" s="19"/>
      <c r="I1711" s="19"/>
      <c r="J1711" s="19"/>
      <c r="K1711" s="19"/>
      <c r="L1711" s="19"/>
      <c r="M1711" s="19"/>
      <c r="N1711" s="19"/>
      <c r="O1711" s="19"/>
      <c r="P1711" s="19"/>
      <c r="Q1711" s="19"/>
      <c r="R1711" s="19"/>
      <c r="S1711" s="19"/>
      <c r="T1711" s="34" t="str">
        <f aca="false">IF($R1711="","",IFERROR(INDEX(DriverCategory,MATCH($R1711,DriverList,0)),"BAU"))</f>
        <v/>
      </c>
      <c r="U1711" s="34" t="str">
        <f aca="false">IF($R1711="","",IFERROR(INDEX(DriverRank,MATCH($R1711,DriverList,0)),99))</f>
        <v/>
      </c>
      <c r="V1711" s="35" t="n">
        <f aca="false">IF($H1711="",0,IFERROR(INDEX(LevelBasic,MATCH($H1711,LevelList,0))+INDEX(LevelHousing,MATCH($H1711,LevelList,0))+INDEX(LevelTransport,MATCH($H1711,LevelList,0))+INDEX(LevelBasic,MATCH($H1711,LevelList,0))*INDEX(LevelBonus,MATCH($H1711,LevelList,0))+(INDEX(LevelBasic,MATCH($H1711,LevelList,0))+INDEX(LevelHousing,MATCH($H1711,LevelList,0)))*GosiSaudi,0))</f>
        <v>0</v>
      </c>
      <c r="W1711" s="35" t="n">
        <f aca="false">IFERROR(INDEX(LevelOneOff,MATCH($H1711,LevelList,0)),0)</f>
        <v>0</v>
      </c>
      <c r="X1711" s="35" t="str">
        <f aca="false">IF($G1711="","",$V1711*N($L1711))</f>
        <v/>
      </c>
      <c r="Y1711" s="35" t="str">
        <f aca="false">IF($G1711="","",$V1711*(N($M1711)*1+N($N1711)*0.75+N($O1711)*0.5+N($P1711)*0.25)+$W1711*N($L1711))</f>
        <v/>
      </c>
      <c r="Z1711" s="35" t="str">
        <f aca="false">IF($G1711="","",$U1711*1000000+ROW())</f>
        <v/>
      </c>
      <c r="AA1711" s="36" t="str">
        <f aca="false">IF($G1711="","",MID(IF($C1711="",", no division","")&amp;IF($E1711="",", no unit","")&amp;IF($H1711="",", no career level","")&amp;IF(N($L1711)&lt;=0,", no quarter split","")&amp;IF($R1711="",", no driver","")&amp;IF(AND($H1711&lt;&gt;"",COUNTIF(CareerLevels,$H1711)=0),", a career level that is not on the ladder","")&amp;IF(AND($R1711&lt;&gt;"",COUNTIF(DriverList,$R1711)=0),", a driver that is not on the list","")&amp;IF(ABS(N($L1711)-(N($M1711)+N($N1711)+N($O1711)+N($P1711)))&gt;0.001,", a total that does not match its quarters",""),3,300))</f>
        <v/>
      </c>
    </row>
    <row r="1712" customFormat="false" ht="15" hidden="false" customHeight="false" outlineLevel="0" collapsed="false">
      <c r="A1712" s="33" t="str">
        <f aca="false">IF($G1712="","","Retail Banking Group")</f>
        <v/>
      </c>
      <c r="B1712" s="19"/>
      <c r="C1712" s="19"/>
      <c r="D1712" s="19"/>
      <c r="E1712" s="19"/>
      <c r="F1712" s="19"/>
      <c r="G1712" s="19"/>
      <c r="H1712" s="19"/>
      <c r="I1712" s="19"/>
      <c r="J1712" s="19"/>
      <c r="K1712" s="19"/>
      <c r="L1712" s="19"/>
      <c r="M1712" s="19"/>
      <c r="N1712" s="19"/>
      <c r="O1712" s="19"/>
      <c r="P1712" s="19"/>
      <c r="Q1712" s="19"/>
      <c r="R1712" s="19"/>
      <c r="S1712" s="19"/>
      <c r="T1712" s="34" t="str">
        <f aca="false">IF($R1712="","",IFERROR(INDEX(DriverCategory,MATCH($R1712,DriverList,0)),"BAU"))</f>
        <v/>
      </c>
      <c r="U1712" s="34" t="str">
        <f aca="false">IF($R1712="","",IFERROR(INDEX(DriverRank,MATCH($R1712,DriverList,0)),99))</f>
        <v/>
      </c>
      <c r="V1712" s="35" t="n">
        <f aca="false">IF($H1712="",0,IFERROR(INDEX(LevelBasic,MATCH($H1712,LevelList,0))+INDEX(LevelHousing,MATCH($H1712,LevelList,0))+INDEX(LevelTransport,MATCH($H1712,LevelList,0))+INDEX(LevelBasic,MATCH($H1712,LevelList,0))*INDEX(LevelBonus,MATCH($H1712,LevelList,0))+(INDEX(LevelBasic,MATCH($H1712,LevelList,0))+INDEX(LevelHousing,MATCH($H1712,LevelList,0)))*GosiSaudi,0))</f>
        <v>0</v>
      </c>
      <c r="W1712" s="35" t="n">
        <f aca="false">IFERROR(INDEX(LevelOneOff,MATCH($H1712,LevelList,0)),0)</f>
        <v>0</v>
      </c>
      <c r="X1712" s="35" t="str">
        <f aca="false">IF($G1712="","",$V1712*N($L1712))</f>
        <v/>
      </c>
      <c r="Y1712" s="35" t="str">
        <f aca="false">IF($G1712="","",$V1712*(N($M1712)*1+N($N1712)*0.75+N($O1712)*0.5+N($P1712)*0.25)+$W1712*N($L1712))</f>
        <v/>
      </c>
      <c r="Z1712" s="35" t="str">
        <f aca="false">IF($G1712="","",$U1712*1000000+ROW())</f>
        <v/>
      </c>
      <c r="AA1712" s="36" t="str">
        <f aca="false">IF($G1712="","",MID(IF($C1712="",", no division","")&amp;IF($E1712="",", no unit","")&amp;IF($H1712="",", no career level","")&amp;IF(N($L1712)&lt;=0,", no quarter split","")&amp;IF($R1712="",", no driver","")&amp;IF(AND($H1712&lt;&gt;"",COUNTIF(CareerLevels,$H1712)=0),", a career level that is not on the ladder","")&amp;IF(AND($R1712&lt;&gt;"",COUNTIF(DriverList,$R1712)=0),", a driver that is not on the list","")&amp;IF(ABS(N($L1712)-(N($M1712)+N($N1712)+N($O1712)+N($P1712)))&gt;0.001,", a total that does not match its quarters",""),3,300))</f>
        <v/>
      </c>
    </row>
    <row r="1713" customFormat="false" ht="15" hidden="false" customHeight="false" outlineLevel="0" collapsed="false">
      <c r="A1713" s="33" t="str">
        <f aca="false">IF($G1713="","","Retail Banking Group")</f>
        <v/>
      </c>
      <c r="B1713" s="19"/>
      <c r="C1713" s="19"/>
      <c r="D1713" s="19"/>
      <c r="E1713" s="19"/>
      <c r="F1713" s="19"/>
      <c r="G1713" s="19"/>
      <c r="H1713" s="19"/>
      <c r="I1713" s="19"/>
      <c r="J1713" s="19"/>
      <c r="K1713" s="19"/>
      <c r="L1713" s="19"/>
      <c r="M1713" s="19"/>
      <c r="N1713" s="19"/>
      <c r="O1713" s="19"/>
      <c r="P1713" s="19"/>
      <c r="Q1713" s="19"/>
      <c r="R1713" s="19"/>
      <c r="S1713" s="19"/>
      <c r="T1713" s="34" t="str">
        <f aca="false">IF($R1713="","",IFERROR(INDEX(DriverCategory,MATCH($R1713,DriverList,0)),"BAU"))</f>
        <v/>
      </c>
      <c r="U1713" s="34" t="str">
        <f aca="false">IF($R1713="","",IFERROR(INDEX(DriverRank,MATCH($R1713,DriverList,0)),99))</f>
        <v/>
      </c>
      <c r="V1713" s="35" t="n">
        <f aca="false">IF($H1713="",0,IFERROR(INDEX(LevelBasic,MATCH($H1713,LevelList,0))+INDEX(LevelHousing,MATCH($H1713,LevelList,0))+INDEX(LevelTransport,MATCH($H1713,LevelList,0))+INDEX(LevelBasic,MATCH($H1713,LevelList,0))*INDEX(LevelBonus,MATCH($H1713,LevelList,0))+(INDEX(LevelBasic,MATCH($H1713,LevelList,0))+INDEX(LevelHousing,MATCH($H1713,LevelList,0)))*GosiSaudi,0))</f>
        <v>0</v>
      </c>
      <c r="W1713" s="35" t="n">
        <f aca="false">IFERROR(INDEX(LevelOneOff,MATCH($H1713,LevelList,0)),0)</f>
        <v>0</v>
      </c>
      <c r="X1713" s="35" t="str">
        <f aca="false">IF($G1713="","",$V1713*N($L1713))</f>
        <v/>
      </c>
      <c r="Y1713" s="35" t="str">
        <f aca="false">IF($G1713="","",$V1713*(N($M1713)*1+N($N1713)*0.75+N($O1713)*0.5+N($P1713)*0.25)+$W1713*N($L1713))</f>
        <v/>
      </c>
      <c r="Z1713" s="35" t="str">
        <f aca="false">IF($G1713="","",$U1713*1000000+ROW())</f>
        <v/>
      </c>
      <c r="AA1713" s="36" t="str">
        <f aca="false">IF($G1713="","",MID(IF($C1713="",", no division","")&amp;IF($E1713="",", no unit","")&amp;IF($H1713="",", no career level","")&amp;IF(N($L1713)&lt;=0,", no quarter split","")&amp;IF($R1713="",", no driver","")&amp;IF(AND($H1713&lt;&gt;"",COUNTIF(CareerLevels,$H1713)=0),", a career level that is not on the ladder","")&amp;IF(AND($R1713&lt;&gt;"",COUNTIF(DriverList,$R1713)=0),", a driver that is not on the list","")&amp;IF(ABS(N($L1713)-(N($M1713)+N($N1713)+N($O1713)+N($P1713)))&gt;0.001,", a total that does not match its quarters",""),3,300))</f>
        <v/>
      </c>
    </row>
    <row r="1714" customFormat="false" ht="15" hidden="false" customHeight="false" outlineLevel="0" collapsed="false">
      <c r="A1714" s="33" t="str">
        <f aca="false">IF($G1714="","","Retail Banking Group")</f>
        <v/>
      </c>
      <c r="B1714" s="19"/>
      <c r="C1714" s="19"/>
      <c r="D1714" s="19"/>
      <c r="E1714" s="19"/>
      <c r="F1714" s="19"/>
      <c r="G1714" s="19"/>
      <c r="H1714" s="19"/>
      <c r="I1714" s="19"/>
      <c r="J1714" s="19"/>
      <c r="K1714" s="19"/>
      <c r="L1714" s="19"/>
      <c r="M1714" s="19"/>
      <c r="N1714" s="19"/>
      <c r="O1714" s="19"/>
      <c r="P1714" s="19"/>
      <c r="Q1714" s="19"/>
      <c r="R1714" s="19"/>
      <c r="S1714" s="19"/>
      <c r="T1714" s="34" t="str">
        <f aca="false">IF($R1714="","",IFERROR(INDEX(DriverCategory,MATCH($R1714,DriverList,0)),"BAU"))</f>
        <v/>
      </c>
      <c r="U1714" s="34" t="str">
        <f aca="false">IF($R1714="","",IFERROR(INDEX(DriverRank,MATCH($R1714,DriverList,0)),99))</f>
        <v/>
      </c>
      <c r="V1714" s="35" t="n">
        <f aca="false">IF($H1714="",0,IFERROR(INDEX(LevelBasic,MATCH($H1714,LevelList,0))+INDEX(LevelHousing,MATCH($H1714,LevelList,0))+INDEX(LevelTransport,MATCH($H1714,LevelList,0))+INDEX(LevelBasic,MATCH($H1714,LevelList,0))*INDEX(LevelBonus,MATCH($H1714,LevelList,0))+(INDEX(LevelBasic,MATCH($H1714,LevelList,0))+INDEX(LevelHousing,MATCH($H1714,LevelList,0)))*GosiSaudi,0))</f>
        <v>0</v>
      </c>
      <c r="W1714" s="35" t="n">
        <f aca="false">IFERROR(INDEX(LevelOneOff,MATCH($H1714,LevelList,0)),0)</f>
        <v>0</v>
      </c>
      <c r="X1714" s="35" t="str">
        <f aca="false">IF($G1714="","",$V1714*N($L1714))</f>
        <v/>
      </c>
      <c r="Y1714" s="35" t="str">
        <f aca="false">IF($G1714="","",$V1714*(N($M1714)*1+N($N1714)*0.75+N($O1714)*0.5+N($P1714)*0.25)+$W1714*N($L1714))</f>
        <v/>
      </c>
      <c r="Z1714" s="35" t="str">
        <f aca="false">IF($G1714="","",$U1714*1000000+ROW())</f>
        <v/>
      </c>
      <c r="AA1714" s="36" t="str">
        <f aca="false">IF($G1714="","",MID(IF($C1714="",", no division","")&amp;IF($E1714="",", no unit","")&amp;IF($H1714="",", no career level","")&amp;IF(N($L1714)&lt;=0,", no quarter split","")&amp;IF($R1714="",", no driver","")&amp;IF(AND($H1714&lt;&gt;"",COUNTIF(CareerLevels,$H1714)=0),", a career level that is not on the ladder","")&amp;IF(AND($R1714&lt;&gt;"",COUNTIF(DriverList,$R1714)=0),", a driver that is not on the list","")&amp;IF(ABS(N($L1714)-(N($M1714)+N($N1714)+N($O1714)+N($P1714)))&gt;0.001,", a total that does not match its quarters",""),3,300))</f>
        <v/>
      </c>
    </row>
    <row r="1715" customFormat="false" ht="15" hidden="false" customHeight="false" outlineLevel="0" collapsed="false">
      <c r="A1715" s="33" t="str">
        <f aca="false">IF($G1715="","","Retail Banking Group")</f>
        <v/>
      </c>
      <c r="B1715" s="19"/>
      <c r="C1715" s="19"/>
      <c r="D1715" s="19"/>
      <c r="E1715" s="19"/>
      <c r="F1715" s="19"/>
      <c r="G1715" s="19"/>
      <c r="H1715" s="19"/>
      <c r="I1715" s="19"/>
      <c r="J1715" s="19"/>
      <c r="K1715" s="19"/>
      <c r="L1715" s="19"/>
      <c r="M1715" s="19"/>
      <c r="N1715" s="19"/>
      <c r="O1715" s="19"/>
      <c r="P1715" s="19"/>
      <c r="Q1715" s="19"/>
      <c r="R1715" s="19"/>
      <c r="S1715" s="19"/>
      <c r="T1715" s="34" t="str">
        <f aca="false">IF($R1715="","",IFERROR(INDEX(DriverCategory,MATCH($R1715,DriverList,0)),"BAU"))</f>
        <v/>
      </c>
      <c r="U1715" s="34" t="str">
        <f aca="false">IF($R1715="","",IFERROR(INDEX(DriverRank,MATCH($R1715,DriverList,0)),99))</f>
        <v/>
      </c>
      <c r="V1715" s="35" t="n">
        <f aca="false">IF($H1715="",0,IFERROR(INDEX(LevelBasic,MATCH($H1715,LevelList,0))+INDEX(LevelHousing,MATCH($H1715,LevelList,0))+INDEX(LevelTransport,MATCH($H1715,LevelList,0))+INDEX(LevelBasic,MATCH($H1715,LevelList,0))*INDEX(LevelBonus,MATCH($H1715,LevelList,0))+(INDEX(LevelBasic,MATCH($H1715,LevelList,0))+INDEX(LevelHousing,MATCH($H1715,LevelList,0)))*GosiSaudi,0))</f>
        <v>0</v>
      </c>
      <c r="W1715" s="35" t="n">
        <f aca="false">IFERROR(INDEX(LevelOneOff,MATCH($H1715,LevelList,0)),0)</f>
        <v>0</v>
      </c>
      <c r="X1715" s="35" t="str">
        <f aca="false">IF($G1715="","",$V1715*N($L1715))</f>
        <v/>
      </c>
      <c r="Y1715" s="35" t="str">
        <f aca="false">IF($G1715="","",$V1715*(N($M1715)*1+N($N1715)*0.75+N($O1715)*0.5+N($P1715)*0.25)+$W1715*N($L1715))</f>
        <v/>
      </c>
      <c r="Z1715" s="35" t="str">
        <f aca="false">IF($G1715="","",$U1715*1000000+ROW())</f>
        <v/>
      </c>
      <c r="AA1715" s="36" t="str">
        <f aca="false">IF($G1715="","",MID(IF($C1715="",", no division","")&amp;IF($E1715="",", no unit","")&amp;IF($H1715="",", no career level","")&amp;IF(N($L1715)&lt;=0,", no quarter split","")&amp;IF($R1715="",", no driver","")&amp;IF(AND($H1715&lt;&gt;"",COUNTIF(CareerLevels,$H1715)=0),", a career level that is not on the ladder","")&amp;IF(AND($R1715&lt;&gt;"",COUNTIF(DriverList,$R1715)=0),", a driver that is not on the list","")&amp;IF(ABS(N($L1715)-(N($M1715)+N($N1715)+N($O1715)+N($P1715)))&gt;0.001,", a total that does not match its quarters",""),3,300))</f>
        <v/>
      </c>
    </row>
    <row r="1716" customFormat="false" ht="15" hidden="false" customHeight="false" outlineLevel="0" collapsed="false">
      <c r="A1716" s="33" t="str">
        <f aca="false">IF($G1716="","","Retail Banking Group")</f>
        <v/>
      </c>
      <c r="B1716" s="19"/>
      <c r="C1716" s="19"/>
      <c r="D1716" s="19"/>
      <c r="E1716" s="19"/>
      <c r="F1716" s="19"/>
      <c r="G1716" s="19"/>
      <c r="H1716" s="19"/>
      <c r="I1716" s="19"/>
      <c r="J1716" s="19"/>
      <c r="K1716" s="19"/>
      <c r="L1716" s="19"/>
      <c r="M1716" s="19"/>
      <c r="N1716" s="19"/>
      <c r="O1716" s="19"/>
      <c r="P1716" s="19"/>
      <c r="Q1716" s="19"/>
      <c r="R1716" s="19"/>
      <c r="S1716" s="19"/>
      <c r="T1716" s="34" t="str">
        <f aca="false">IF($R1716="","",IFERROR(INDEX(DriverCategory,MATCH($R1716,DriverList,0)),"BAU"))</f>
        <v/>
      </c>
      <c r="U1716" s="34" t="str">
        <f aca="false">IF($R1716="","",IFERROR(INDEX(DriverRank,MATCH($R1716,DriverList,0)),99))</f>
        <v/>
      </c>
      <c r="V1716" s="35" t="n">
        <f aca="false">IF($H1716="",0,IFERROR(INDEX(LevelBasic,MATCH($H1716,LevelList,0))+INDEX(LevelHousing,MATCH($H1716,LevelList,0))+INDEX(LevelTransport,MATCH($H1716,LevelList,0))+INDEX(LevelBasic,MATCH($H1716,LevelList,0))*INDEX(LevelBonus,MATCH($H1716,LevelList,0))+(INDEX(LevelBasic,MATCH($H1716,LevelList,0))+INDEX(LevelHousing,MATCH($H1716,LevelList,0)))*GosiSaudi,0))</f>
        <v>0</v>
      </c>
      <c r="W1716" s="35" t="n">
        <f aca="false">IFERROR(INDEX(LevelOneOff,MATCH($H1716,LevelList,0)),0)</f>
        <v>0</v>
      </c>
      <c r="X1716" s="35" t="str">
        <f aca="false">IF($G1716="","",$V1716*N($L1716))</f>
        <v/>
      </c>
      <c r="Y1716" s="35" t="str">
        <f aca="false">IF($G1716="","",$V1716*(N($M1716)*1+N($N1716)*0.75+N($O1716)*0.5+N($P1716)*0.25)+$W1716*N($L1716))</f>
        <v/>
      </c>
      <c r="Z1716" s="35" t="str">
        <f aca="false">IF($G1716="","",$U1716*1000000+ROW())</f>
        <v/>
      </c>
      <c r="AA1716" s="36" t="str">
        <f aca="false">IF($G1716="","",MID(IF($C1716="",", no division","")&amp;IF($E1716="",", no unit","")&amp;IF($H1716="",", no career level","")&amp;IF(N($L1716)&lt;=0,", no quarter split","")&amp;IF($R1716="",", no driver","")&amp;IF(AND($H1716&lt;&gt;"",COUNTIF(CareerLevels,$H1716)=0),", a career level that is not on the ladder","")&amp;IF(AND($R1716&lt;&gt;"",COUNTIF(DriverList,$R1716)=0),", a driver that is not on the list","")&amp;IF(ABS(N($L1716)-(N($M1716)+N($N1716)+N($O1716)+N($P1716)))&gt;0.001,", a total that does not match its quarters",""),3,300))</f>
        <v/>
      </c>
    </row>
    <row r="1717" customFormat="false" ht="15" hidden="false" customHeight="false" outlineLevel="0" collapsed="false">
      <c r="A1717" s="33" t="str">
        <f aca="false">IF($G1717="","","Retail Banking Group")</f>
        <v/>
      </c>
      <c r="B1717" s="19"/>
      <c r="C1717" s="19"/>
      <c r="D1717" s="19"/>
      <c r="E1717" s="19"/>
      <c r="F1717" s="19"/>
      <c r="G1717" s="19"/>
      <c r="H1717" s="19"/>
      <c r="I1717" s="19"/>
      <c r="J1717" s="19"/>
      <c r="K1717" s="19"/>
      <c r="L1717" s="19"/>
      <c r="M1717" s="19"/>
      <c r="N1717" s="19"/>
      <c r="O1717" s="19"/>
      <c r="P1717" s="19"/>
      <c r="Q1717" s="19"/>
      <c r="R1717" s="19"/>
      <c r="S1717" s="19"/>
      <c r="T1717" s="34" t="str">
        <f aca="false">IF($R1717="","",IFERROR(INDEX(DriverCategory,MATCH($R1717,DriverList,0)),"BAU"))</f>
        <v/>
      </c>
      <c r="U1717" s="34" t="str">
        <f aca="false">IF($R1717="","",IFERROR(INDEX(DriverRank,MATCH($R1717,DriverList,0)),99))</f>
        <v/>
      </c>
      <c r="V1717" s="35" t="n">
        <f aca="false">IF($H1717="",0,IFERROR(INDEX(LevelBasic,MATCH($H1717,LevelList,0))+INDEX(LevelHousing,MATCH($H1717,LevelList,0))+INDEX(LevelTransport,MATCH($H1717,LevelList,0))+INDEX(LevelBasic,MATCH($H1717,LevelList,0))*INDEX(LevelBonus,MATCH($H1717,LevelList,0))+(INDEX(LevelBasic,MATCH($H1717,LevelList,0))+INDEX(LevelHousing,MATCH($H1717,LevelList,0)))*GosiSaudi,0))</f>
        <v>0</v>
      </c>
      <c r="W1717" s="35" t="n">
        <f aca="false">IFERROR(INDEX(LevelOneOff,MATCH($H1717,LevelList,0)),0)</f>
        <v>0</v>
      </c>
      <c r="X1717" s="35" t="str">
        <f aca="false">IF($G1717="","",$V1717*N($L1717))</f>
        <v/>
      </c>
      <c r="Y1717" s="35" t="str">
        <f aca="false">IF($G1717="","",$V1717*(N($M1717)*1+N($N1717)*0.75+N($O1717)*0.5+N($P1717)*0.25)+$W1717*N($L1717))</f>
        <v/>
      </c>
      <c r="Z1717" s="35" t="str">
        <f aca="false">IF($G1717="","",$U1717*1000000+ROW())</f>
        <v/>
      </c>
      <c r="AA1717" s="36" t="str">
        <f aca="false">IF($G1717="","",MID(IF($C1717="",", no division","")&amp;IF($E1717="",", no unit","")&amp;IF($H1717="",", no career level","")&amp;IF(N($L1717)&lt;=0,", no quarter split","")&amp;IF($R1717="",", no driver","")&amp;IF(AND($H1717&lt;&gt;"",COUNTIF(CareerLevels,$H1717)=0),", a career level that is not on the ladder","")&amp;IF(AND($R1717&lt;&gt;"",COUNTIF(DriverList,$R1717)=0),", a driver that is not on the list","")&amp;IF(ABS(N($L1717)-(N($M1717)+N($N1717)+N($O1717)+N($P1717)))&gt;0.001,", a total that does not match its quarters",""),3,300))</f>
        <v/>
      </c>
    </row>
    <row r="1718" customFormat="false" ht="15" hidden="false" customHeight="false" outlineLevel="0" collapsed="false">
      <c r="A1718" s="33" t="str">
        <f aca="false">IF($G1718="","","Retail Banking Group")</f>
        <v/>
      </c>
      <c r="B1718" s="19"/>
      <c r="C1718" s="19"/>
      <c r="D1718" s="19"/>
      <c r="E1718" s="19"/>
      <c r="F1718" s="19"/>
      <c r="G1718" s="19"/>
      <c r="H1718" s="19"/>
      <c r="I1718" s="19"/>
      <c r="J1718" s="19"/>
      <c r="K1718" s="19"/>
      <c r="L1718" s="19"/>
      <c r="M1718" s="19"/>
      <c r="N1718" s="19"/>
      <c r="O1718" s="19"/>
      <c r="P1718" s="19"/>
      <c r="Q1718" s="19"/>
      <c r="R1718" s="19"/>
      <c r="S1718" s="19"/>
      <c r="T1718" s="34" t="str">
        <f aca="false">IF($R1718="","",IFERROR(INDEX(DriverCategory,MATCH($R1718,DriverList,0)),"BAU"))</f>
        <v/>
      </c>
      <c r="U1718" s="34" t="str">
        <f aca="false">IF($R1718="","",IFERROR(INDEX(DriverRank,MATCH($R1718,DriverList,0)),99))</f>
        <v/>
      </c>
      <c r="V1718" s="35" t="n">
        <f aca="false">IF($H1718="",0,IFERROR(INDEX(LevelBasic,MATCH($H1718,LevelList,0))+INDEX(LevelHousing,MATCH($H1718,LevelList,0))+INDEX(LevelTransport,MATCH($H1718,LevelList,0))+INDEX(LevelBasic,MATCH($H1718,LevelList,0))*INDEX(LevelBonus,MATCH($H1718,LevelList,0))+(INDEX(LevelBasic,MATCH($H1718,LevelList,0))+INDEX(LevelHousing,MATCH($H1718,LevelList,0)))*GosiSaudi,0))</f>
        <v>0</v>
      </c>
      <c r="W1718" s="35" t="n">
        <f aca="false">IFERROR(INDEX(LevelOneOff,MATCH($H1718,LevelList,0)),0)</f>
        <v>0</v>
      </c>
      <c r="X1718" s="35" t="str">
        <f aca="false">IF($G1718="","",$V1718*N($L1718))</f>
        <v/>
      </c>
      <c r="Y1718" s="35" t="str">
        <f aca="false">IF($G1718="","",$V1718*(N($M1718)*1+N($N1718)*0.75+N($O1718)*0.5+N($P1718)*0.25)+$W1718*N($L1718))</f>
        <v/>
      </c>
      <c r="Z1718" s="35" t="str">
        <f aca="false">IF($G1718="","",$U1718*1000000+ROW())</f>
        <v/>
      </c>
      <c r="AA1718" s="36" t="str">
        <f aca="false">IF($G1718="","",MID(IF($C1718="",", no division","")&amp;IF($E1718="",", no unit","")&amp;IF($H1718="",", no career level","")&amp;IF(N($L1718)&lt;=0,", no quarter split","")&amp;IF($R1718="",", no driver","")&amp;IF(AND($H1718&lt;&gt;"",COUNTIF(CareerLevels,$H1718)=0),", a career level that is not on the ladder","")&amp;IF(AND($R1718&lt;&gt;"",COUNTIF(DriverList,$R1718)=0),", a driver that is not on the list","")&amp;IF(ABS(N($L1718)-(N($M1718)+N($N1718)+N($O1718)+N($P1718)))&gt;0.001,", a total that does not match its quarters",""),3,300))</f>
        <v/>
      </c>
    </row>
    <row r="1719" customFormat="false" ht="15" hidden="false" customHeight="false" outlineLevel="0" collapsed="false">
      <c r="A1719" s="33" t="str">
        <f aca="false">IF($G1719="","","Retail Banking Group")</f>
        <v/>
      </c>
      <c r="B1719" s="19"/>
      <c r="C1719" s="19"/>
      <c r="D1719" s="19"/>
      <c r="E1719" s="19"/>
      <c r="F1719" s="19"/>
      <c r="G1719" s="19"/>
      <c r="H1719" s="19"/>
      <c r="I1719" s="19"/>
      <c r="J1719" s="19"/>
      <c r="K1719" s="19"/>
      <c r="L1719" s="19"/>
      <c r="M1719" s="19"/>
      <c r="N1719" s="19"/>
      <c r="O1719" s="19"/>
      <c r="P1719" s="19"/>
      <c r="Q1719" s="19"/>
      <c r="R1719" s="19"/>
      <c r="S1719" s="19"/>
      <c r="T1719" s="34" t="str">
        <f aca="false">IF($R1719="","",IFERROR(INDEX(DriverCategory,MATCH($R1719,DriverList,0)),"BAU"))</f>
        <v/>
      </c>
      <c r="U1719" s="34" t="str">
        <f aca="false">IF($R1719="","",IFERROR(INDEX(DriverRank,MATCH($R1719,DriverList,0)),99))</f>
        <v/>
      </c>
      <c r="V1719" s="35" t="n">
        <f aca="false">IF($H1719="",0,IFERROR(INDEX(LevelBasic,MATCH($H1719,LevelList,0))+INDEX(LevelHousing,MATCH($H1719,LevelList,0))+INDEX(LevelTransport,MATCH($H1719,LevelList,0))+INDEX(LevelBasic,MATCH($H1719,LevelList,0))*INDEX(LevelBonus,MATCH($H1719,LevelList,0))+(INDEX(LevelBasic,MATCH($H1719,LevelList,0))+INDEX(LevelHousing,MATCH($H1719,LevelList,0)))*GosiSaudi,0))</f>
        <v>0</v>
      </c>
      <c r="W1719" s="35" t="n">
        <f aca="false">IFERROR(INDEX(LevelOneOff,MATCH($H1719,LevelList,0)),0)</f>
        <v>0</v>
      </c>
      <c r="X1719" s="35" t="str">
        <f aca="false">IF($G1719="","",$V1719*N($L1719))</f>
        <v/>
      </c>
      <c r="Y1719" s="35" t="str">
        <f aca="false">IF($G1719="","",$V1719*(N($M1719)*1+N($N1719)*0.75+N($O1719)*0.5+N($P1719)*0.25)+$W1719*N($L1719))</f>
        <v/>
      </c>
      <c r="Z1719" s="35" t="str">
        <f aca="false">IF($G1719="","",$U1719*1000000+ROW())</f>
        <v/>
      </c>
      <c r="AA1719" s="36" t="str">
        <f aca="false">IF($G1719="","",MID(IF($C1719="",", no division","")&amp;IF($E1719="",", no unit","")&amp;IF($H1719="",", no career level","")&amp;IF(N($L1719)&lt;=0,", no quarter split","")&amp;IF($R1719="",", no driver","")&amp;IF(AND($H1719&lt;&gt;"",COUNTIF(CareerLevels,$H1719)=0),", a career level that is not on the ladder","")&amp;IF(AND($R1719&lt;&gt;"",COUNTIF(DriverList,$R1719)=0),", a driver that is not on the list","")&amp;IF(ABS(N($L1719)-(N($M1719)+N($N1719)+N($O1719)+N($P1719)))&gt;0.001,", a total that does not match its quarters",""),3,300))</f>
        <v/>
      </c>
    </row>
    <row r="1720" customFormat="false" ht="15" hidden="false" customHeight="false" outlineLevel="0" collapsed="false">
      <c r="A1720" s="33" t="str">
        <f aca="false">IF($G1720="","","Retail Banking Group")</f>
        <v/>
      </c>
      <c r="B1720" s="19"/>
      <c r="C1720" s="19"/>
      <c r="D1720" s="19"/>
      <c r="E1720" s="19"/>
      <c r="F1720" s="19"/>
      <c r="G1720" s="19"/>
      <c r="H1720" s="19"/>
      <c r="I1720" s="19"/>
      <c r="J1720" s="19"/>
      <c r="K1720" s="19"/>
      <c r="L1720" s="19"/>
      <c r="M1720" s="19"/>
      <c r="N1720" s="19"/>
      <c r="O1720" s="19"/>
      <c r="P1720" s="19"/>
      <c r="Q1720" s="19"/>
      <c r="R1720" s="19"/>
      <c r="S1720" s="19"/>
      <c r="T1720" s="34" t="str">
        <f aca="false">IF($R1720="","",IFERROR(INDEX(DriverCategory,MATCH($R1720,DriverList,0)),"BAU"))</f>
        <v/>
      </c>
      <c r="U1720" s="34" t="str">
        <f aca="false">IF($R1720="","",IFERROR(INDEX(DriverRank,MATCH($R1720,DriverList,0)),99))</f>
        <v/>
      </c>
      <c r="V1720" s="35" t="n">
        <f aca="false">IF($H1720="",0,IFERROR(INDEX(LevelBasic,MATCH($H1720,LevelList,0))+INDEX(LevelHousing,MATCH($H1720,LevelList,0))+INDEX(LevelTransport,MATCH($H1720,LevelList,0))+INDEX(LevelBasic,MATCH($H1720,LevelList,0))*INDEX(LevelBonus,MATCH($H1720,LevelList,0))+(INDEX(LevelBasic,MATCH($H1720,LevelList,0))+INDEX(LevelHousing,MATCH($H1720,LevelList,0)))*GosiSaudi,0))</f>
        <v>0</v>
      </c>
      <c r="W1720" s="35" t="n">
        <f aca="false">IFERROR(INDEX(LevelOneOff,MATCH($H1720,LevelList,0)),0)</f>
        <v>0</v>
      </c>
      <c r="X1720" s="35" t="str">
        <f aca="false">IF($G1720="","",$V1720*N($L1720))</f>
        <v/>
      </c>
      <c r="Y1720" s="35" t="str">
        <f aca="false">IF($G1720="","",$V1720*(N($M1720)*1+N($N1720)*0.75+N($O1720)*0.5+N($P1720)*0.25)+$W1720*N($L1720))</f>
        <v/>
      </c>
      <c r="Z1720" s="35" t="str">
        <f aca="false">IF($G1720="","",$U1720*1000000+ROW())</f>
        <v/>
      </c>
      <c r="AA1720" s="36" t="str">
        <f aca="false">IF($G1720="","",MID(IF($C1720="",", no division","")&amp;IF($E1720="",", no unit","")&amp;IF($H1720="",", no career level","")&amp;IF(N($L1720)&lt;=0,", no quarter split","")&amp;IF($R1720="",", no driver","")&amp;IF(AND($H1720&lt;&gt;"",COUNTIF(CareerLevels,$H1720)=0),", a career level that is not on the ladder","")&amp;IF(AND($R1720&lt;&gt;"",COUNTIF(DriverList,$R1720)=0),", a driver that is not on the list","")&amp;IF(ABS(N($L1720)-(N($M1720)+N($N1720)+N($O1720)+N($P1720)))&gt;0.001,", a total that does not match its quarters",""),3,300))</f>
        <v/>
      </c>
    </row>
    <row r="1721" customFormat="false" ht="15" hidden="false" customHeight="false" outlineLevel="0" collapsed="false">
      <c r="A1721" s="33" t="str">
        <f aca="false">IF($G1721="","","Retail Banking Group")</f>
        <v/>
      </c>
      <c r="B1721" s="19"/>
      <c r="C1721" s="19"/>
      <c r="D1721" s="19"/>
      <c r="E1721" s="19"/>
      <c r="F1721" s="19"/>
      <c r="G1721" s="19"/>
      <c r="H1721" s="19"/>
      <c r="I1721" s="19"/>
      <c r="J1721" s="19"/>
      <c r="K1721" s="19"/>
      <c r="L1721" s="19"/>
      <c r="M1721" s="19"/>
      <c r="N1721" s="19"/>
      <c r="O1721" s="19"/>
      <c r="P1721" s="19"/>
      <c r="Q1721" s="19"/>
      <c r="R1721" s="19"/>
      <c r="S1721" s="19"/>
      <c r="T1721" s="34" t="str">
        <f aca="false">IF($R1721="","",IFERROR(INDEX(DriverCategory,MATCH($R1721,DriverList,0)),"BAU"))</f>
        <v/>
      </c>
      <c r="U1721" s="34" t="str">
        <f aca="false">IF($R1721="","",IFERROR(INDEX(DriverRank,MATCH($R1721,DriverList,0)),99))</f>
        <v/>
      </c>
      <c r="V1721" s="35" t="n">
        <f aca="false">IF($H1721="",0,IFERROR(INDEX(LevelBasic,MATCH($H1721,LevelList,0))+INDEX(LevelHousing,MATCH($H1721,LevelList,0))+INDEX(LevelTransport,MATCH($H1721,LevelList,0))+INDEX(LevelBasic,MATCH($H1721,LevelList,0))*INDEX(LevelBonus,MATCH($H1721,LevelList,0))+(INDEX(LevelBasic,MATCH($H1721,LevelList,0))+INDEX(LevelHousing,MATCH($H1721,LevelList,0)))*GosiSaudi,0))</f>
        <v>0</v>
      </c>
      <c r="W1721" s="35" t="n">
        <f aca="false">IFERROR(INDEX(LevelOneOff,MATCH($H1721,LevelList,0)),0)</f>
        <v>0</v>
      </c>
      <c r="X1721" s="35" t="str">
        <f aca="false">IF($G1721="","",$V1721*N($L1721))</f>
        <v/>
      </c>
      <c r="Y1721" s="35" t="str">
        <f aca="false">IF($G1721="","",$V1721*(N($M1721)*1+N($N1721)*0.75+N($O1721)*0.5+N($P1721)*0.25)+$W1721*N($L1721))</f>
        <v/>
      </c>
      <c r="Z1721" s="35" t="str">
        <f aca="false">IF($G1721="","",$U1721*1000000+ROW())</f>
        <v/>
      </c>
      <c r="AA1721" s="36" t="str">
        <f aca="false">IF($G1721="","",MID(IF($C1721="",", no division","")&amp;IF($E1721="",", no unit","")&amp;IF($H1721="",", no career level","")&amp;IF(N($L1721)&lt;=0,", no quarter split","")&amp;IF($R1721="",", no driver","")&amp;IF(AND($H1721&lt;&gt;"",COUNTIF(CareerLevels,$H1721)=0),", a career level that is not on the ladder","")&amp;IF(AND($R1721&lt;&gt;"",COUNTIF(DriverList,$R1721)=0),", a driver that is not on the list","")&amp;IF(ABS(N($L1721)-(N($M1721)+N($N1721)+N($O1721)+N($P1721)))&gt;0.001,", a total that does not match its quarters",""),3,300))</f>
        <v/>
      </c>
    </row>
    <row r="1722" customFormat="false" ht="15" hidden="false" customHeight="false" outlineLevel="0" collapsed="false">
      <c r="A1722" s="33" t="str">
        <f aca="false">IF($G1722="","","Retail Banking Group")</f>
        <v/>
      </c>
      <c r="B1722" s="19"/>
      <c r="C1722" s="19"/>
      <c r="D1722" s="19"/>
      <c r="E1722" s="19"/>
      <c r="F1722" s="19"/>
      <c r="G1722" s="19"/>
      <c r="H1722" s="19"/>
      <c r="I1722" s="19"/>
      <c r="J1722" s="19"/>
      <c r="K1722" s="19"/>
      <c r="L1722" s="19"/>
      <c r="M1722" s="19"/>
      <c r="N1722" s="19"/>
      <c r="O1722" s="19"/>
      <c r="P1722" s="19"/>
      <c r="Q1722" s="19"/>
      <c r="R1722" s="19"/>
      <c r="S1722" s="19"/>
      <c r="T1722" s="34" t="str">
        <f aca="false">IF($R1722="","",IFERROR(INDEX(DriverCategory,MATCH($R1722,DriverList,0)),"BAU"))</f>
        <v/>
      </c>
      <c r="U1722" s="34" t="str">
        <f aca="false">IF($R1722="","",IFERROR(INDEX(DriverRank,MATCH($R1722,DriverList,0)),99))</f>
        <v/>
      </c>
      <c r="V1722" s="35" t="n">
        <f aca="false">IF($H1722="",0,IFERROR(INDEX(LevelBasic,MATCH($H1722,LevelList,0))+INDEX(LevelHousing,MATCH($H1722,LevelList,0))+INDEX(LevelTransport,MATCH($H1722,LevelList,0))+INDEX(LevelBasic,MATCH($H1722,LevelList,0))*INDEX(LevelBonus,MATCH($H1722,LevelList,0))+(INDEX(LevelBasic,MATCH($H1722,LevelList,0))+INDEX(LevelHousing,MATCH($H1722,LevelList,0)))*GosiSaudi,0))</f>
        <v>0</v>
      </c>
      <c r="W1722" s="35" t="n">
        <f aca="false">IFERROR(INDEX(LevelOneOff,MATCH($H1722,LevelList,0)),0)</f>
        <v>0</v>
      </c>
      <c r="X1722" s="35" t="str">
        <f aca="false">IF($G1722="","",$V1722*N($L1722))</f>
        <v/>
      </c>
      <c r="Y1722" s="35" t="str">
        <f aca="false">IF($G1722="","",$V1722*(N($M1722)*1+N($N1722)*0.75+N($O1722)*0.5+N($P1722)*0.25)+$W1722*N($L1722))</f>
        <v/>
      </c>
      <c r="Z1722" s="35" t="str">
        <f aca="false">IF($G1722="","",$U1722*1000000+ROW())</f>
        <v/>
      </c>
      <c r="AA1722" s="36" t="str">
        <f aca="false">IF($G1722="","",MID(IF($C1722="",", no division","")&amp;IF($E1722="",", no unit","")&amp;IF($H1722="",", no career level","")&amp;IF(N($L1722)&lt;=0,", no quarter split","")&amp;IF($R1722="",", no driver","")&amp;IF(AND($H1722&lt;&gt;"",COUNTIF(CareerLevels,$H1722)=0),", a career level that is not on the ladder","")&amp;IF(AND($R1722&lt;&gt;"",COUNTIF(DriverList,$R1722)=0),", a driver that is not on the list","")&amp;IF(ABS(N($L1722)-(N($M1722)+N($N1722)+N($O1722)+N($P1722)))&gt;0.001,", a total that does not match its quarters",""),3,300))</f>
        <v/>
      </c>
    </row>
    <row r="1723" customFormat="false" ht="15" hidden="false" customHeight="false" outlineLevel="0" collapsed="false">
      <c r="A1723" s="33" t="str">
        <f aca="false">IF($G1723="","","Retail Banking Group")</f>
        <v/>
      </c>
      <c r="B1723" s="19"/>
      <c r="C1723" s="19"/>
      <c r="D1723" s="19"/>
      <c r="E1723" s="19"/>
      <c r="F1723" s="19"/>
      <c r="G1723" s="19"/>
      <c r="H1723" s="19"/>
      <c r="I1723" s="19"/>
      <c r="J1723" s="19"/>
      <c r="K1723" s="19"/>
      <c r="L1723" s="19"/>
      <c r="M1723" s="19"/>
      <c r="N1723" s="19"/>
      <c r="O1723" s="19"/>
      <c r="P1723" s="19"/>
      <c r="Q1723" s="19"/>
      <c r="R1723" s="19"/>
      <c r="S1723" s="19"/>
      <c r="T1723" s="34" t="str">
        <f aca="false">IF($R1723="","",IFERROR(INDEX(DriverCategory,MATCH($R1723,DriverList,0)),"BAU"))</f>
        <v/>
      </c>
      <c r="U1723" s="34" t="str">
        <f aca="false">IF($R1723="","",IFERROR(INDEX(DriverRank,MATCH($R1723,DriverList,0)),99))</f>
        <v/>
      </c>
      <c r="V1723" s="35" t="n">
        <f aca="false">IF($H1723="",0,IFERROR(INDEX(LevelBasic,MATCH($H1723,LevelList,0))+INDEX(LevelHousing,MATCH($H1723,LevelList,0))+INDEX(LevelTransport,MATCH($H1723,LevelList,0))+INDEX(LevelBasic,MATCH($H1723,LevelList,0))*INDEX(LevelBonus,MATCH($H1723,LevelList,0))+(INDEX(LevelBasic,MATCH($H1723,LevelList,0))+INDEX(LevelHousing,MATCH($H1723,LevelList,0)))*GosiSaudi,0))</f>
        <v>0</v>
      </c>
      <c r="W1723" s="35" t="n">
        <f aca="false">IFERROR(INDEX(LevelOneOff,MATCH($H1723,LevelList,0)),0)</f>
        <v>0</v>
      </c>
      <c r="X1723" s="35" t="str">
        <f aca="false">IF($G1723="","",$V1723*N($L1723))</f>
        <v/>
      </c>
      <c r="Y1723" s="35" t="str">
        <f aca="false">IF($G1723="","",$V1723*(N($M1723)*1+N($N1723)*0.75+N($O1723)*0.5+N($P1723)*0.25)+$W1723*N($L1723))</f>
        <v/>
      </c>
      <c r="Z1723" s="35" t="str">
        <f aca="false">IF($G1723="","",$U1723*1000000+ROW())</f>
        <v/>
      </c>
      <c r="AA1723" s="36" t="str">
        <f aca="false">IF($G1723="","",MID(IF($C1723="",", no division","")&amp;IF($E1723="",", no unit","")&amp;IF($H1723="",", no career level","")&amp;IF(N($L1723)&lt;=0,", no quarter split","")&amp;IF($R1723="",", no driver","")&amp;IF(AND($H1723&lt;&gt;"",COUNTIF(CareerLevels,$H1723)=0),", a career level that is not on the ladder","")&amp;IF(AND($R1723&lt;&gt;"",COUNTIF(DriverList,$R1723)=0),", a driver that is not on the list","")&amp;IF(ABS(N($L1723)-(N($M1723)+N($N1723)+N($O1723)+N($P1723)))&gt;0.001,", a total that does not match its quarters",""),3,300))</f>
        <v/>
      </c>
    </row>
    <row r="1724" customFormat="false" ht="15" hidden="false" customHeight="false" outlineLevel="0" collapsed="false">
      <c r="A1724" s="33" t="str">
        <f aca="false">IF($G1724="","","Retail Banking Group")</f>
        <v/>
      </c>
      <c r="B1724" s="19"/>
      <c r="C1724" s="19"/>
      <c r="D1724" s="19"/>
      <c r="E1724" s="19"/>
      <c r="F1724" s="19"/>
      <c r="G1724" s="19"/>
      <c r="H1724" s="19"/>
      <c r="I1724" s="19"/>
      <c r="J1724" s="19"/>
      <c r="K1724" s="19"/>
      <c r="L1724" s="19"/>
      <c r="M1724" s="19"/>
      <c r="N1724" s="19"/>
      <c r="O1724" s="19"/>
      <c r="P1724" s="19"/>
      <c r="Q1724" s="19"/>
      <c r="R1724" s="19"/>
      <c r="S1724" s="19"/>
      <c r="T1724" s="34" t="str">
        <f aca="false">IF($R1724="","",IFERROR(INDEX(DriverCategory,MATCH($R1724,DriverList,0)),"BAU"))</f>
        <v/>
      </c>
      <c r="U1724" s="34" t="str">
        <f aca="false">IF($R1724="","",IFERROR(INDEX(DriverRank,MATCH($R1724,DriverList,0)),99))</f>
        <v/>
      </c>
      <c r="V1724" s="35" t="n">
        <f aca="false">IF($H1724="",0,IFERROR(INDEX(LevelBasic,MATCH($H1724,LevelList,0))+INDEX(LevelHousing,MATCH($H1724,LevelList,0))+INDEX(LevelTransport,MATCH($H1724,LevelList,0))+INDEX(LevelBasic,MATCH($H1724,LevelList,0))*INDEX(LevelBonus,MATCH($H1724,LevelList,0))+(INDEX(LevelBasic,MATCH($H1724,LevelList,0))+INDEX(LevelHousing,MATCH($H1724,LevelList,0)))*GosiSaudi,0))</f>
        <v>0</v>
      </c>
      <c r="W1724" s="35" t="n">
        <f aca="false">IFERROR(INDEX(LevelOneOff,MATCH($H1724,LevelList,0)),0)</f>
        <v>0</v>
      </c>
      <c r="X1724" s="35" t="str">
        <f aca="false">IF($G1724="","",$V1724*N($L1724))</f>
        <v/>
      </c>
      <c r="Y1724" s="35" t="str">
        <f aca="false">IF($G1724="","",$V1724*(N($M1724)*1+N($N1724)*0.75+N($O1724)*0.5+N($P1724)*0.25)+$W1724*N($L1724))</f>
        <v/>
      </c>
      <c r="Z1724" s="35" t="str">
        <f aca="false">IF($G1724="","",$U1724*1000000+ROW())</f>
        <v/>
      </c>
      <c r="AA1724" s="36" t="str">
        <f aca="false">IF($G1724="","",MID(IF($C1724="",", no division","")&amp;IF($E1724="",", no unit","")&amp;IF($H1724="",", no career level","")&amp;IF(N($L1724)&lt;=0,", no quarter split","")&amp;IF($R1724="",", no driver","")&amp;IF(AND($H1724&lt;&gt;"",COUNTIF(CareerLevels,$H1724)=0),", a career level that is not on the ladder","")&amp;IF(AND($R1724&lt;&gt;"",COUNTIF(DriverList,$R1724)=0),", a driver that is not on the list","")&amp;IF(ABS(N($L1724)-(N($M1724)+N($N1724)+N($O1724)+N($P1724)))&gt;0.001,", a total that does not match its quarters",""),3,300))</f>
        <v/>
      </c>
    </row>
    <row r="1725" customFormat="false" ht="15" hidden="false" customHeight="false" outlineLevel="0" collapsed="false">
      <c r="A1725" s="33" t="str">
        <f aca="false">IF($G1725="","","Retail Banking Group")</f>
        <v/>
      </c>
      <c r="B1725" s="19"/>
      <c r="C1725" s="19"/>
      <c r="D1725" s="19"/>
      <c r="E1725" s="19"/>
      <c r="F1725" s="19"/>
      <c r="G1725" s="19"/>
      <c r="H1725" s="19"/>
      <c r="I1725" s="19"/>
      <c r="J1725" s="19"/>
      <c r="K1725" s="19"/>
      <c r="L1725" s="19"/>
      <c r="M1725" s="19"/>
      <c r="N1725" s="19"/>
      <c r="O1725" s="19"/>
      <c r="P1725" s="19"/>
      <c r="Q1725" s="19"/>
      <c r="R1725" s="19"/>
      <c r="S1725" s="19"/>
      <c r="T1725" s="34" t="str">
        <f aca="false">IF($R1725="","",IFERROR(INDEX(DriverCategory,MATCH($R1725,DriverList,0)),"BAU"))</f>
        <v/>
      </c>
      <c r="U1725" s="34" t="str">
        <f aca="false">IF($R1725="","",IFERROR(INDEX(DriverRank,MATCH($R1725,DriverList,0)),99))</f>
        <v/>
      </c>
      <c r="V1725" s="35" t="n">
        <f aca="false">IF($H1725="",0,IFERROR(INDEX(LevelBasic,MATCH($H1725,LevelList,0))+INDEX(LevelHousing,MATCH($H1725,LevelList,0))+INDEX(LevelTransport,MATCH($H1725,LevelList,0))+INDEX(LevelBasic,MATCH($H1725,LevelList,0))*INDEX(LevelBonus,MATCH($H1725,LevelList,0))+(INDEX(LevelBasic,MATCH($H1725,LevelList,0))+INDEX(LevelHousing,MATCH($H1725,LevelList,0)))*GosiSaudi,0))</f>
        <v>0</v>
      </c>
      <c r="W1725" s="35" t="n">
        <f aca="false">IFERROR(INDEX(LevelOneOff,MATCH($H1725,LevelList,0)),0)</f>
        <v>0</v>
      </c>
      <c r="X1725" s="35" t="str">
        <f aca="false">IF($G1725="","",$V1725*N($L1725))</f>
        <v/>
      </c>
      <c r="Y1725" s="35" t="str">
        <f aca="false">IF($G1725="","",$V1725*(N($M1725)*1+N($N1725)*0.75+N($O1725)*0.5+N($P1725)*0.25)+$W1725*N($L1725))</f>
        <v/>
      </c>
      <c r="Z1725" s="35" t="str">
        <f aca="false">IF($G1725="","",$U1725*1000000+ROW())</f>
        <v/>
      </c>
      <c r="AA1725" s="36" t="str">
        <f aca="false">IF($G1725="","",MID(IF($C1725="",", no division","")&amp;IF($E1725="",", no unit","")&amp;IF($H1725="",", no career level","")&amp;IF(N($L1725)&lt;=0,", no quarter split","")&amp;IF($R1725="",", no driver","")&amp;IF(AND($H1725&lt;&gt;"",COUNTIF(CareerLevels,$H1725)=0),", a career level that is not on the ladder","")&amp;IF(AND($R1725&lt;&gt;"",COUNTIF(DriverList,$R1725)=0),", a driver that is not on the list","")&amp;IF(ABS(N($L1725)-(N($M1725)+N($N1725)+N($O1725)+N($P1725)))&gt;0.001,", a total that does not match its quarters",""),3,300))</f>
        <v/>
      </c>
    </row>
    <row r="1726" customFormat="false" ht="15" hidden="false" customHeight="false" outlineLevel="0" collapsed="false">
      <c r="A1726" s="33" t="str">
        <f aca="false">IF($G1726="","","Retail Banking Group")</f>
        <v/>
      </c>
      <c r="B1726" s="19"/>
      <c r="C1726" s="19"/>
      <c r="D1726" s="19"/>
      <c r="E1726" s="19"/>
      <c r="F1726" s="19"/>
      <c r="G1726" s="19"/>
      <c r="H1726" s="19"/>
      <c r="I1726" s="19"/>
      <c r="J1726" s="19"/>
      <c r="K1726" s="19"/>
      <c r="L1726" s="19"/>
      <c r="M1726" s="19"/>
      <c r="N1726" s="19"/>
      <c r="O1726" s="19"/>
      <c r="P1726" s="19"/>
      <c r="Q1726" s="19"/>
      <c r="R1726" s="19"/>
      <c r="S1726" s="19"/>
      <c r="T1726" s="34" t="str">
        <f aca="false">IF($R1726="","",IFERROR(INDEX(DriverCategory,MATCH($R1726,DriverList,0)),"BAU"))</f>
        <v/>
      </c>
      <c r="U1726" s="34" t="str">
        <f aca="false">IF($R1726="","",IFERROR(INDEX(DriverRank,MATCH($R1726,DriverList,0)),99))</f>
        <v/>
      </c>
      <c r="V1726" s="35" t="n">
        <f aca="false">IF($H1726="",0,IFERROR(INDEX(LevelBasic,MATCH($H1726,LevelList,0))+INDEX(LevelHousing,MATCH($H1726,LevelList,0))+INDEX(LevelTransport,MATCH($H1726,LevelList,0))+INDEX(LevelBasic,MATCH($H1726,LevelList,0))*INDEX(LevelBonus,MATCH($H1726,LevelList,0))+(INDEX(LevelBasic,MATCH($H1726,LevelList,0))+INDEX(LevelHousing,MATCH($H1726,LevelList,0)))*GosiSaudi,0))</f>
        <v>0</v>
      </c>
      <c r="W1726" s="35" t="n">
        <f aca="false">IFERROR(INDEX(LevelOneOff,MATCH($H1726,LevelList,0)),0)</f>
        <v>0</v>
      </c>
      <c r="X1726" s="35" t="str">
        <f aca="false">IF($G1726="","",$V1726*N($L1726))</f>
        <v/>
      </c>
      <c r="Y1726" s="35" t="str">
        <f aca="false">IF($G1726="","",$V1726*(N($M1726)*1+N($N1726)*0.75+N($O1726)*0.5+N($P1726)*0.25)+$W1726*N($L1726))</f>
        <v/>
      </c>
      <c r="Z1726" s="35" t="str">
        <f aca="false">IF($G1726="","",$U1726*1000000+ROW())</f>
        <v/>
      </c>
      <c r="AA1726" s="36" t="str">
        <f aca="false">IF($G1726="","",MID(IF($C1726="",", no division","")&amp;IF($E1726="",", no unit","")&amp;IF($H1726="",", no career level","")&amp;IF(N($L1726)&lt;=0,", no quarter split","")&amp;IF($R1726="",", no driver","")&amp;IF(AND($H1726&lt;&gt;"",COUNTIF(CareerLevels,$H1726)=0),", a career level that is not on the ladder","")&amp;IF(AND($R1726&lt;&gt;"",COUNTIF(DriverList,$R1726)=0),", a driver that is not on the list","")&amp;IF(ABS(N($L1726)-(N($M1726)+N($N1726)+N($O1726)+N($P1726)))&gt;0.001,", a total that does not match its quarters",""),3,300))</f>
        <v/>
      </c>
    </row>
    <row r="1727" customFormat="false" ht="15" hidden="false" customHeight="false" outlineLevel="0" collapsed="false">
      <c r="A1727" s="33" t="str">
        <f aca="false">IF($G1727="","","Retail Banking Group")</f>
        <v/>
      </c>
      <c r="B1727" s="19"/>
      <c r="C1727" s="19"/>
      <c r="D1727" s="19"/>
      <c r="E1727" s="19"/>
      <c r="F1727" s="19"/>
      <c r="G1727" s="19"/>
      <c r="H1727" s="19"/>
      <c r="I1727" s="19"/>
      <c r="J1727" s="19"/>
      <c r="K1727" s="19"/>
      <c r="L1727" s="19"/>
      <c r="M1727" s="19"/>
      <c r="N1727" s="19"/>
      <c r="O1727" s="19"/>
      <c r="P1727" s="19"/>
      <c r="Q1727" s="19"/>
      <c r="R1727" s="19"/>
      <c r="S1727" s="19"/>
      <c r="T1727" s="34" t="str">
        <f aca="false">IF($R1727="","",IFERROR(INDEX(DriverCategory,MATCH($R1727,DriverList,0)),"BAU"))</f>
        <v/>
      </c>
      <c r="U1727" s="34" t="str">
        <f aca="false">IF($R1727="","",IFERROR(INDEX(DriverRank,MATCH($R1727,DriverList,0)),99))</f>
        <v/>
      </c>
      <c r="V1727" s="35" t="n">
        <f aca="false">IF($H1727="",0,IFERROR(INDEX(LevelBasic,MATCH($H1727,LevelList,0))+INDEX(LevelHousing,MATCH($H1727,LevelList,0))+INDEX(LevelTransport,MATCH($H1727,LevelList,0))+INDEX(LevelBasic,MATCH($H1727,LevelList,0))*INDEX(LevelBonus,MATCH($H1727,LevelList,0))+(INDEX(LevelBasic,MATCH($H1727,LevelList,0))+INDEX(LevelHousing,MATCH($H1727,LevelList,0)))*GosiSaudi,0))</f>
        <v>0</v>
      </c>
      <c r="W1727" s="35" t="n">
        <f aca="false">IFERROR(INDEX(LevelOneOff,MATCH($H1727,LevelList,0)),0)</f>
        <v>0</v>
      </c>
      <c r="X1727" s="35" t="str">
        <f aca="false">IF($G1727="","",$V1727*N($L1727))</f>
        <v/>
      </c>
      <c r="Y1727" s="35" t="str">
        <f aca="false">IF($G1727="","",$V1727*(N($M1727)*1+N($N1727)*0.75+N($O1727)*0.5+N($P1727)*0.25)+$W1727*N($L1727))</f>
        <v/>
      </c>
      <c r="Z1727" s="35" t="str">
        <f aca="false">IF($G1727="","",$U1727*1000000+ROW())</f>
        <v/>
      </c>
      <c r="AA1727" s="36" t="str">
        <f aca="false">IF($G1727="","",MID(IF($C1727="",", no division","")&amp;IF($E1727="",", no unit","")&amp;IF($H1727="",", no career level","")&amp;IF(N($L1727)&lt;=0,", no quarter split","")&amp;IF($R1727="",", no driver","")&amp;IF(AND($H1727&lt;&gt;"",COUNTIF(CareerLevels,$H1727)=0),", a career level that is not on the ladder","")&amp;IF(AND($R1727&lt;&gt;"",COUNTIF(DriverList,$R1727)=0),", a driver that is not on the list","")&amp;IF(ABS(N($L1727)-(N($M1727)+N($N1727)+N($O1727)+N($P1727)))&gt;0.001,", a total that does not match its quarters",""),3,300))</f>
        <v/>
      </c>
    </row>
    <row r="1728" customFormat="false" ht="15" hidden="false" customHeight="false" outlineLevel="0" collapsed="false">
      <c r="A1728" s="33" t="str">
        <f aca="false">IF($G1728="","","Retail Banking Group")</f>
        <v/>
      </c>
      <c r="B1728" s="19"/>
      <c r="C1728" s="19"/>
      <c r="D1728" s="19"/>
      <c r="E1728" s="19"/>
      <c r="F1728" s="19"/>
      <c r="G1728" s="19"/>
      <c r="H1728" s="19"/>
      <c r="I1728" s="19"/>
      <c r="J1728" s="19"/>
      <c r="K1728" s="19"/>
      <c r="L1728" s="19"/>
      <c r="M1728" s="19"/>
      <c r="N1728" s="19"/>
      <c r="O1728" s="19"/>
      <c r="P1728" s="19"/>
      <c r="Q1728" s="19"/>
      <c r="R1728" s="19"/>
      <c r="S1728" s="19"/>
      <c r="T1728" s="34" t="str">
        <f aca="false">IF($R1728="","",IFERROR(INDEX(DriverCategory,MATCH($R1728,DriverList,0)),"BAU"))</f>
        <v/>
      </c>
      <c r="U1728" s="34" t="str">
        <f aca="false">IF($R1728="","",IFERROR(INDEX(DriverRank,MATCH($R1728,DriverList,0)),99))</f>
        <v/>
      </c>
      <c r="V1728" s="35" t="n">
        <f aca="false">IF($H1728="",0,IFERROR(INDEX(LevelBasic,MATCH($H1728,LevelList,0))+INDEX(LevelHousing,MATCH($H1728,LevelList,0))+INDEX(LevelTransport,MATCH($H1728,LevelList,0))+INDEX(LevelBasic,MATCH($H1728,LevelList,0))*INDEX(LevelBonus,MATCH($H1728,LevelList,0))+(INDEX(LevelBasic,MATCH($H1728,LevelList,0))+INDEX(LevelHousing,MATCH($H1728,LevelList,0)))*GosiSaudi,0))</f>
        <v>0</v>
      </c>
      <c r="W1728" s="35" t="n">
        <f aca="false">IFERROR(INDEX(LevelOneOff,MATCH($H1728,LevelList,0)),0)</f>
        <v>0</v>
      </c>
      <c r="X1728" s="35" t="str">
        <f aca="false">IF($G1728="","",$V1728*N($L1728))</f>
        <v/>
      </c>
      <c r="Y1728" s="35" t="str">
        <f aca="false">IF($G1728="","",$V1728*(N($M1728)*1+N($N1728)*0.75+N($O1728)*0.5+N($P1728)*0.25)+$W1728*N($L1728))</f>
        <v/>
      </c>
      <c r="Z1728" s="35" t="str">
        <f aca="false">IF($G1728="","",$U1728*1000000+ROW())</f>
        <v/>
      </c>
      <c r="AA1728" s="36" t="str">
        <f aca="false">IF($G1728="","",MID(IF($C1728="",", no division","")&amp;IF($E1728="",", no unit","")&amp;IF($H1728="",", no career level","")&amp;IF(N($L1728)&lt;=0,", no quarter split","")&amp;IF($R1728="",", no driver","")&amp;IF(AND($H1728&lt;&gt;"",COUNTIF(CareerLevels,$H1728)=0),", a career level that is not on the ladder","")&amp;IF(AND($R1728&lt;&gt;"",COUNTIF(DriverList,$R1728)=0),", a driver that is not on the list","")&amp;IF(ABS(N($L1728)-(N($M1728)+N($N1728)+N($O1728)+N($P1728)))&gt;0.001,", a total that does not match its quarters",""),3,300))</f>
        <v/>
      </c>
    </row>
    <row r="1729" customFormat="false" ht="15" hidden="false" customHeight="false" outlineLevel="0" collapsed="false">
      <c r="A1729" s="33" t="str">
        <f aca="false">IF($G1729="","","Retail Banking Group")</f>
        <v/>
      </c>
      <c r="B1729" s="19"/>
      <c r="C1729" s="19"/>
      <c r="D1729" s="19"/>
      <c r="E1729" s="19"/>
      <c r="F1729" s="19"/>
      <c r="G1729" s="19"/>
      <c r="H1729" s="19"/>
      <c r="I1729" s="19"/>
      <c r="J1729" s="19"/>
      <c r="K1729" s="19"/>
      <c r="L1729" s="19"/>
      <c r="M1729" s="19"/>
      <c r="N1729" s="19"/>
      <c r="O1729" s="19"/>
      <c r="P1729" s="19"/>
      <c r="Q1729" s="19"/>
      <c r="R1729" s="19"/>
      <c r="S1729" s="19"/>
      <c r="T1729" s="34" t="str">
        <f aca="false">IF($R1729="","",IFERROR(INDEX(DriverCategory,MATCH($R1729,DriverList,0)),"BAU"))</f>
        <v/>
      </c>
      <c r="U1729" s="34" t="str">
        <f aca="false">IF($R1729="","",IFERROR(INDEX(DriverRank,MATCH($R1729,DriverList,0)),99))</f>
        <v/>
      </c>
      <c r="V1729" s="35" t="n">
        <f aca="false">IF($H1729="",0,IFERROR(INDEX(LevelBasic,MATCH($H1729,LevelList,0))+INDEX(LevelHousing,MATCH($H1729,LevelList,0))+INDEX(LevelTransport,MATCH($H1729,LevelList,0))+INDEX(LevelBasic,MATCH($H1729,LevelList,0))*INDEX(LevelBonus,MATCH($H1729,LevelList,0))+(INDEX(LevelBasic,MATCH($H1729,LevelList,0))+INDEX(LevelHousing,MATCH($H1729,LevelList,0)))*GosiSaudi,0))</f>
        <v>0</v>
      </c>
      <c r="W1729" s="35" t="n">
        <f aca="false">IFERROR(INDEX(LevelOneOff,MATCH($H1729,LevelList,0)),0)</f>
        <v>0</v>
      </c>
      <c r="X1729" s="35" t="str">
        <f aca="false">IF($G1729="","",$V1729*N($L1729))</f>
        <v/>
      </c>
      <c r="Y1729" s="35" t="str">
        <f aca="false">IF($G1729="","",$V1729*(N($M1729)*1+N($N1729)*0.75+N($O1729)*0.5+N($P1729)*0.25)+$W1729*N($L1729))</f>
        <v/>
      </c>
      <c r="Z1729" s="35" t="str">
        <f aca="false">IF($G1729="","",$U1729*1000000+ROW())</f>
        <v/>
      </c>
      <c r="AA1729" s="36" t="str">
        <f aca="false">IF($G1729="","",MID(IF($C1729="",", no division","")&amp;IF($E1729="",", no unit","")&amp;IF($H1729="",", no career level","")&amp;IF(N($L1729)&lt;=0,", no quarter split","")&amp;IF($R1729="",", no driver","")&amp;IF(AND($H1729&lt;&gt;"",COUNTIF(CareerLevels,$H1729)=0),", a career level that is not on the ladder","")&amp;IF(AND($R1729&lt;&gt;"",COUNTIF(DriverList,$R1729)=0),", a driver that is not on the list","")&amp;IF(ABS(N($L1729)-(N($M1729)+N($N1729)+N($O1729)+N($P1729)))&gt;0.001,", a total that does not match its quarters",""),3,300))</f>
        <v/>
      </c>
    </row>
    <row r="1730" customFormat="false" ht="15" hidden="false" customHeight="false" outlineLevel="0" collapsed="false">
      <c r="A1730" s="33" t="str">
        <f aca="false">IF($G1730="","","Retail Banking Group")</f>
        <v/>
      </c>
      <c r="B1730" s="19"/>
      <c r="C1730" s="19"/>
      <c r="D1730" s="19"/>
      <c r="E1730" s="19"/>
      <c r="F1730" s="19"/>
      <c r="G1730" s="19"/>
      <c r="H1730" s="19"/>
      <c r="I1730" s="19"/>
      <c r="J1730" s="19"/>
      <c r="K1730" s="19"/>
      <c r="L1730" s="19"/>
      <c r="M1730" s="19"/>
      <c r="N1730" s="19"/>
      <c r="O1730" s="19"/>
      <c r="P1730" s="19"/>
      <c r="Q1730" s="19"/>
      <c r="R1730" s="19"/>
      <c r="S1730" s="19"/>
      <c r="T1730" s="34" t="str">
        <f aca="false">IF($R1730="","",IFERROR(INDEX(DriverCategory,MATCH($R1730,DriverList,0)),"BAU"))</f>
        <v/>
      </c>
      <c r="U1730" s="34" t="str">
        <f aca="false">IF($R1730="","",IFERROR(INDEX(DriverRank,MATCH($R1730,DriverList,0)),99))</f>
        <v/>
      </c>
      <c r="V1730" s="35" t="n">
        <f aca="false">IF($H1730="",0,IFERROR(INDEX(LevelBasic,MATCH($H1730,LevelList,0))+INDEX(LevelHousing,MATCH($H1730,LevelList,0))+INDEX(LevelTransport,MATCH($H1730,LevelList,0))+INDEX(LevelBasic,MATCH($H1730,LevelList,0))*INDEX(LevelBonus,MATCH($H1730,LevelList,0))+(INDEX(LevelBasic,MATCH($H1730,LevelList,0))+INDEX(LevelHousing,MATCH($H1730,LevelList,0)))*GosiSaudi,0))</f>
        <v>0</v>
      </c>
      <c r="W1730" s="35" t="n">
        <f aca="false">IFERROR(INDEX(LevelOneOff,MATCH($H1730,LevelList,0)),0)</f>
        <v>0</v>
      </c>
      <c r="X1730" s="35" t="str">
        <f aca="false">IF($G1730="","",$V1730*N($L1730))</f>
        <v/>
      </c>
      <c r="Y1730" s="35" t="str">
        <f aca="false">IF($G1730="","",$V1730*(N($M1730)*1+N($N1730)*0.75+N($O1730)*0.5+N($P1730)*0.25)+$W1730*N($L1730))</f>
        <v/>
      </c>
      <c r="Z1730" s="35" t="str">
        <f aca="false">IF($G1730="","",$U1730*1000000+ROW())</f>
        <v/>
      </c>
      <c r="AA1730" s="36" t="str">
        <f aca="false">IF($G1730="","",MID(IF($C1730="",", no division","")&amp;IF($E1730="",", no unit","")&amp;IF($H1730="",", no career level","")&amp;IF(N($L1730)&lt;=0,", no quarter split","")&amp;IF($R1730="",", no driver","")&amp;IF(AND($H1730&lt;&gt;"",COUNTIF(CareerLevels,$H1730)=0),", a career level that is not on the ladder","")&amp;IF(AND($R1730&lt;&gt;"",COUNTIF(DriverList,$R1730)=0),", a driver that is not on the list","")&amp;IF(ABS(N($L1730)-(N($M1730)+N($N1730)+N($O1730)+N($P1730)))&gt;0.001,", a total that does not match its quarters",""),3,300))</f>
        <v/>
      </c>
    </row>
    <row r="1731" customFormat="false" ht="15" hidden="false" customHeight="false" outlineLevel="0" collapsed="false">
      <c r="A1731" s="33" t="str">
        <f aca="false">IF($G1731="","","Retail Banking Group")</f>
        <v/>
      </c>
      <c r="B1731" s="19"/>
      <c r="C1731" s="19"/>
      <c r="D1731" s="19"/>
      <c r="E1731" s="19"/>
      <c r="F1731" s="19"/>
      <c r="G1731" s="19"/>
      <c r="H1731" s="19"/>
      <c r="I1731" s="19"/>
      <c r="J1731" s="19"/>
      <c r="K1731" s="19"/>
      <c r="L1731" s="19"/>
      <c r="M1731" s="19"/>
      <c r="N1731" s="19"/>
      <c r="O1731" s="19"/>
      <c r="P1731" s="19"/>
      <c r="Q1731" s="19"/>
      <c r="R1731" s="19"/>
      <c r="S1731" s="19"/>
      <c r="T1731" s="34" t="str">
        <f aca="false">IF($R1731="","",IFERROR(INDEX(DriverCategory,MATCH($R1731,DriverList,0)),"BAU"))</f>
        <v/>
      </c>
      <c r="U1731" s="34" t="str">
        <f aca="false">IF($R1731="","",IFERROR(INDEX(DriverRank,MATCH($R1731,DriverList,0)),99))</f>
        <v/>
      </c>
      <c r="V1731" s="35" t="n">
        <f aca="false">IF($H1731="",0,IFERROR(INDEX(LevelBasic,MATCH($H1731,LevelList,0))+INDEX(LevelHousing,MATCH($H1731,LevelList,0))+INDEX(LevelTransport,MATCH($H1731,LevelList,0))+INDEX(LevelBasic,MATCH($H1731,LevelList,0))*INDEX(LevelBonus,MATCH($H1731,LevelList,0))+(INDEX(LevelBasic,MATCH($H1731,LevelList,0))+INDEX(LevelHousing,MATCH($H1731,LevelList,0)))*GosiSaudi,0))</f>
        <v>0</v>
      </c>
      <c r="W1731" s="35" t="n">
        <f aca="false">IFERROR(INDEX(LevelOneOff,MATCH($H1731,LevelList,0)),0)</f>
        <v>0</v>
      </c>
      <c r="X1731" s="35" t="str">
        <f aca="false">IF($G1731="","",$V1731*N($L1731))</f>
        <v/>
      </c>
      <c r="Y1731" s="35" t="str">
        <f aca="false">IF($G1731="","",$V1731*(N($M1731)*1+N($N1731)*0.75+N($O1731)*0.5+N($P1731)*0.25)+$W1731*N($L1731))</f>
        <v/>
      </c>
      <c r="Z1731" s="35" t="str">
        <f aca="false">IF($G1731="","",$U1731*1000000+ROW())</f>
        <v/>
      </c>
      <c r="AA1731" s="36" t="str">
        <f aca="false">IF($G1731="","",MID(IF($C1731="",", no division","")&amp;IF($E1731="",", no unit","")&amp;IF($H1731="",", no career level","")&amp;IF(N($L1731)&lt;=0,", no quarter split","")&amp;IF($R1731="",", no driver","")&amp;IF(AND($H1731&lt;&gt;"",COUNTIF(CareerLevels,$H1731)=0),", a career level that is not on the ladder","")&amp;IF(AND($R1731&lt;&gt;"",COUNTIF(DriverList,$R1731)=0),", a driver that is not on the list","")&amp;IF(ABS(N($L1731)-(N($M1731)+N($N1731)+N($O1731)+N($P1731)))&gt;0.001,", a total that does not match its quarters",""),3,300))</f>
        <v/>
      </c>
    </row>
    <row r="1732" customFormat="false" ht="15" hidden="false" customHeight="false" outlineLevel="0" collapsed="false">
      <c r="A1732" s="33" t="str">
        <f aca="false">IF($G1732="","","Retail Banking Group")</f>
        <v/>
      </c>
      <c r="B1732" s="19"/>
      <c r="C1732" s="19"/>
      <c r="D1732" s="19"/>
      <c r="E1732" s="19"/>
      <c r="F1732" s="19"/>
      <c r="G1732" s="19"/>
      <c r="H1732" s="19"/>
      <c r="I1732" s="19"/>
      <c r="J1732" s="19"/>
      <c r="K1732" s="19"/>
      <c r="L1732" s="19"/>
      <c r="M1732" s="19"/>
      <c r="N1732" s="19"/>
      <c r="O1732" s="19"/>
      <c r="P1732" s="19"/>
      <c r="Q1732" s="19"/>
      <c r="R1732" s="19"/>
      <c r="S1732" s="19"/>
      <c r="T1732" s="34" t="str">
        <f aca="false">IF($R1732="","",IFERROR(INDEX(DriverCategory,MATCH($R1732,DriverList,0)),"BAU"))</f>
        <v/>
      </c>
      <c r="U1732" s="34" t="str">
        <f aca="false">IF($R1732="","",IFERROR(INDEX(DriverRank,MATCH($R1732,DriverList,0)),99))</f>
        <v/>
      </c>
      <c r="V1732" s="35" t="n">
        <f aca="false">IF($H1732="",0,IFERROR(INDEX(LevelBasic,MATCH($H1732,LevelList,0))+INDEX(LevelHousing,MATCH($H1732,LevelList,0))+INDEX(LevelTransport,MATCH($H1732,LevelList,0))+INDEX(LevelBasic,MATCH($H1732,LevelList,0))*INDEX(LevelBonus,MATCH($H1732,LevelList,0))+(INDEX(LevelBasic,MATCH($H1732,LevelList,0))+INDEX(LevelHousing,MATCH($H1732,LevelList,0)))*GosiSaudi,0))</f>
        <v>0</v>
      </c>
      <c r="W1732" s="35" t="n">
        <f aca="false">IFERROR(INDEX(LevelOneOff,MATCH($H1732,LevelList,0)),0)</f>
        <v>0</v>
      </c>
      <c r="X1732" s="35" t="str">
        <f aca="false">IF($G1732="","",$V1732*N($L1732))</f>
        <v/>
      </c>
      <c r="Y1732" s="35" t="str">
        <f aca="false">IF($G1732="","",$V1732*(N($M1732)*1+N($N1732)*0.75+N($O1732)*0.5+N($P1732)*0.25)+$W1732*N($L1732))</f>
        <v/>
      </c>
      <c r="Z1732" s="35" t="str">
        <f aca="false">IF($G1732="","",$U1732*1000000+ROW())</f>
        <v/>
      </c>
      <c r="AA1732" s="36" t="str">
        <f aca="false">IF($G1732="","",MID(IF($C1732="",", no division","")&amp;IF($E1732="",", no unit","")&amp;IF($H1732="",", no career level","")&amp;IF(N($L1732)&lt;=0,", no quarter split","")&amp;IF($R1732="",", no driver","")&amp;IF(AND($H1732&lt;&gt;"",COUNTIF(CareerLevels,$H1732)=0),", a career level that is not on the ladder","")&amp;IF(AND($R1732&lt;&gt;"",COUNTIF(DriverList,$R1732)=0),", a driver that is not on the list","")&amp;IF(ABS(N($L1732)-(N($M1732)+N($N1732)+N($O1732)+N($P1732)))&gt;0.001,", a total that does not match its quarters",""),3,300))</f>
        <v/>
      </c>
    </row>
    <row r="1733" customFormat="false" ht="15" hidden="false" customHeight="false" outlineLevel="0" collapsed="false">
      <c r="A1733" s="33" t="str">
        <f aca="false">IF($G1733="","","Retail Banking Group")</f>
        <v/>
      </c>
      <c r="B1733" s="19"/>
      <c r="C1733" s="19"/>
      <c r="D1733" s="19"/>
      <c r="E1733" s="19"/>
      <c r="F1733" s="19"/>
      <c r="G1733" s="19"/>
      <c r="H1733" s="19"/>
      <c r="I1733" s="19"/>
      <c r="J1733" s="19"/>
      <c r="K1733" s="19"/>
      <c r="L1733" s="19"/>
      <c r="M1733" s="19"/>
      <c r="N1733" s="19"/>
      <c r="O1733" s="19"/>
      <c r="P1733" s="19"/>
      <c r="Q1733" s="19"/>
      <c r="R1733" s="19"/>
      <c r="S1733" s="19"/>
      <c r="T1733" s="34" t="str">
        <f aca="false">IF($R1733="","",IFERROR(INDEX(DriverCategory,MATCH($R1733,DriverList,0)),"BAU"))</f>
        <v/>
      </c>
      <c r="U1733" s="34" t="str">
        <f aca="false">IF($R1733="","",IFERROR(INDEX(DriverRank,MATCH($R1733,DriverList,0)),99))</f>
        <v/>
      </c>
      <c r="V1733" s="35" t="n">
        <f aca="false">IF($H1733="",0,IFERROR(INDEX(LevelBasic,MATCH($H1733,LevelList,0))+INDEX(LevelHousing,MATCH($H1733,LevelList,0))+INDEX(LevelTransport,MATCH($H1733,LevelList,0))+INDEX(LevelBasic,MATCH($H1733,LevelList,0))*INDEX(LevelBonus,MATCH($H1733,LevelList,0))+(INDEX(LevelBasic,MATCH($H1733,LevelList,0))+INDEX(LevelHousing,MATCH($H1733,LevelList,0)))*GosiSaudi,0))</f>
        <v>0</v>
      </c>
      <c r="W1733" s="35" t="n">
        <f aca="false">IFERROR(INDEX(LevelOneOff,MATCH($H1733,LevelList,0)),0)</f>
        <v>0</v>
      </c>
      <c r="X1733" s="35" t="str">
        <f aca="false">IF($G1733="","",$V1733*N($L1733))</f>
        <v/>
      </c>
      <c r="Y1733" s="35" t="str">
        <f aca="false">IF($G1733="","",$V1733*(N($M1733)*1+N($N1733)*0.75+N($O1733)*0.5+N($P1733)*0.25)+$W1733*N($L1733))</f>
        <v/>
      </c>
      <c r="Z1733" s="35" t="str">
        <f aca="false">IF($G1733="","",$U1733*1000000+ROW())</f>
        <v/>
      </c>
      <c r="AA1733" s="36" t="str">
        <f aca="false">IF($G1733="","",MID(IF($C1733="",", no division","")&amp;IF($E1733="",", no unit","")&amp;IF($H1733="",", no career level","")&amp;IF(N($L1733)&lt;=0,", no quarter split","")&amp;IF($R1733="",", no driver","")&amp;IF(AND($H1733&lt;&gt;"",COUNTIF(CareerLevels,$H1733)=0),", a career level that is not on the ladder","")&amp;IF(AND($R1733&lt;&gt;"",COUNTIF(DriverList,$R1733)=0),", a driver that is not on the list","")&amp;IF(ABS(N($L1733)-(N($M1733)+N($N1733)+N($O1733)+N($P1733)))&gt;0.001,", a total that does not match its quarters",""),3,300))</f>
        <v/>
      </c>
    </row>
    <row r="1734" customFormat="false" ht="15" hidden="false" customHeight="false" outlineLevel="0" collapsed="false">
      <c r="A1734" s="33" t="str">
        <f aca="false">IF($G1734="","","Retail Banking Group")</f>
        <v/>
      </c>
      <c r="B1734" s="19"/>
      <c r="C1734" s="19"/>
      <c r="D1734" s="19"/>
      <c r="E1734" s="19"/>
      <c r="F1734" s="19"/>
      <c r="G1734" s="19"/>
      <c r="H1734" s="19"/>
      <c r="I1734" s="19"/>
      <c r="J1734" s="19"/>
      <c r="K1734" s="19"/>
      <c r="L1734" s="19"/>
      <c r="M1734" s="19"/>
      <c r="N1734" s="19"/>
      <c r="O1734" s="19"/>
      <c r="P1734" s="19"/>
      <c r="Q1734" s="19"/>
      <c r="R1734" s="19"/>
      <c r="S1734" s="19"/>
      <c r="T1734" s="34" t="str">
        <f aca="false">IF($R1734="","",IFERROR(INDEX(DriverCategory,MATCH($R1734,DriverList,0)),"BAU"))</f>
        <v/>
      </c>
      <c r="U1734" s="34" t="str">
        <f aca="false">IF($R1734="","",IFERROR(INDEX(DriverRank,MATCH($R1734,DriverList,0)),99))</f>
        <v/>
      </c>
      <c r="V1734" s="35" t="n">
        <f aca="false">IF($H1734="",0,IFERROR(INDEX(LevelBasic,MATCH($H1734,LevelList,0))+INDEX(LevelHousing,MATCH($H1734,LevelList,0))+INDEX(LevelTransport,MATCH($H1734,LevelList,0))+INDEX(LevelBasic,MATCH($H1734,LevelList,0))*INDEX(LevelBonus,MATCH($H1734,LevelList,0))+(INDEX(LevelBasic,MATCH($H1734,LevelList,0))+INDEX(LevelHousing,MATCH($H1734,LevelList,0)))*GosiSaudi,0))</f>
        <v>0</v>
      </c>
      <c r="W1734" s="35" t="n">
        <f aca="false">IFERROR(INDEX(LevelOneOff,MATCH($H1734,LevelList,0)),0)</f>
        <v>0</v>
      </c>
      <c r="X1734" s="35" t="str">
        <f aca="false">IF($G1734="","",$V1734*N($L1734))</f>
        <v/>
      </c>
      <c r="Y1734" s="35" t="str">
        <f aca="false">IF($G1734="","",$V1734*(N($M1734)*1+N($N1734)*0.75+N($O1734)*0.5+N($P1734)*0.25)+$W1734*N($L1734))</f>
        <v/>
      </c>
      <c r="Z1734" s="35" t="str">
        <f aca="false">IF($G1734="","",$U1734*1000000+ROW())</f>
        <v/>
      </c>
      <c r="AA1734" s="36" t="str">
        <f aca="false">IF($G1734="","",MID(IF($C1734="",", no division","")&amp;IF($E1734="",", no unit","")&amp;IF($H1734="",", no career level","")&amp;IF(N($L1734)&lt;=0,", no quarter split","")&amp;IF($R1734="",", no driver","")&amp;IF(AND($H1734&lt;&gt;"",COUNTIF(CareerLevels,$H1734)=0),", a career level that is not on the ladder","")&amp;IF(AND($R1734&lt;&gt;"",COUNTIF(DriverList,$R1734)=0),", a driver that is not on the list","")&amp;IF(ABS(N($L1734)-(N($M1734)+N($N1734)+N($O1734)+N($P1734)))&gt;0.001,", a total that does not match its quarters",""),3,300))</f>
        <v/>
      </c>
    </row>
    <row r="1735" customFormat="false" ht="15" hidden="false" customHeight="false" outlineLevel="0" collapsed="false">
      <c r="A1735" s="33" t="str">
        <f aca="false">IF($G1735="","","Retail Banking Group")</f>
        <v/>
      </c>
      <c r="B1735" s="19"/>
      <c r="C1735" s="19"/>
      <c r="D1735" s="19"/>
      <c r="E1735" s="19"/>
      <c r="F1735" s="19"/>
      <c r="G1735" s="19"/>
      <c r="H1735" s="19"/>
      <c r="I1735" s="19"/>
      <c r="J1735" s="19"/>
      <c r="K1735" s="19"/>
      <c r="L1735" s="19"/>
      <c r="M1735" s="19"/>
      <c r="N1735" s="19"/>
      <c r="O1735" s="19"/>
      <c r="P1735" s="19"/>
      <c r="Q1735" s="19"/>
      <c r="R1735" s="19"/>
      <c r="S1735" s="19"/>
      <c r="T1735" s="34" t="str">
        <f aca="false">IF($R1735="","",IFERROR(INDEX(DriverCategory,MATCH($R1735,DriverList,0)),"BAU"))</f>
        <v/>
      </c>
      <c r="U1735" s="34" t="str">
        <f aca="false">IF($R1735="","",IFERROR(INDEX(DriverRank,MATCH($R1735,DriverList,0)),99))</f>
        <v/>
      </c>
      <c r="V1735" s="35" t="n">
        <f aca="false">IF($H1735="",0,IFERROR(INDEX(LevelBasic,MATCH($H1735,LevelList,0))+INDEX(LevelHousing,MATCH($H1735,LevelList,0))+INDEX(LevelTransport,MATCH($H1735,LevelList,0))+INDEX(LevelBasic,MATCH($H1735,LevelList,0))*INDEX(LevelBonus,MATCH($H1735,LevelList,0))+(INDEX(LevelBasic,MATCH($H1735,LevelList,0))+INDEX(LevelHousing,MATCH($H1735,LevelList,0)))*GosiSaudi,0))</f>
        <v>0</v>
      </c>
      <c r="W1735" s="35" t="n">
        <f aca="false">IFERROR(INDEX(LevelOneOff,MATCH($H1735,LevelList,0)),0)</f>
        <v>0</v>
      </c>
      <c r="X1735" s="35" t="str">
        <f aca="false">IF($G1735="","",$V1735*N($L1735))</f>
        <v/>
      </c>
      <c r="Y1735" s="35" t="str">
        <f aca="false">IF($G1735="","",$V1735*(N($M1735)*1+N($N1735)*0.75+N($O1735)*0.5+N($P1735)*0.25)+$W1735*N($L1735))</f>
        <v/>
      </c>
      <c r="Z1735" s="35" t="str">
        <f aca="false">IF($G1735="","",$U1735*1000000+ROW())</f>
        <v/>
      </c>
      <c r="AA1735" s="36" t="str">
        <f aca="false">IF($G1735="","",MID(IF($C1735="",", no division","")&amp;IF($E1735="",", no unit","")&amp;IF($H1735="",", no career level","")&amp;IF(N($L1735)&lt;=0,", no quarter split","")&amp;IF($R1735="",", no driver","")&amp;IF(AND($H1735&lt;&gt;"",COUNTIF(CareerLevels,$H1735)=0),", a career level that is not on the ladder","")&amp;IF(AND($R1735&lt;&gt;"",COUNTIF(DriverList,$R1735)=0),", a driver that is not on the list","")&amp;IF(ABS(N($L1735)-(N($M1735)+N($N1735)+N($O1735)+N($P1735)))&gt;0.001,", a total that does not match its quarters",""),3,300))</f>
        <v/>
      </c>
    </row>
    <row r="1736" customFormat="false" ht="15" hidden="false" customHeight="false" outlineLevel="0" collapsed="false">
      <c r="A1736" s="33" t="str">
        <f aca="false">IF($G1736="","","Retail Banking Group")</f>
        <v/>
      </c>
      <c r="B1736" s="19"/>
      <c r="C1736" s="19"/>
      <c r="D1736" s="19"/>
      <c r="E1736" s="19"/>
      <c r="F1736" s="19"/>
      <c r="G1736" s="19"/>
      <c r="H1736" s="19"/>
      <c r="I1736" s="19"/>
      <c r="J1736" s="19"/>
      <c r="K1736" s="19"/>
      <c r="L1736" s="19"/>
      <c r="M1736" s="19"/>
      <c r="N1736" s="19"/>
      <c r="O1736" s="19"/>
      <c r="P1736" s="19"/>
      <c r="Q1736" s="19"/>
      <c r="R1736" s="19"/>
      <c r="S1736" s="19"/>
      <c r="T1736" s="34" t="str">
        <f aca="false">IF($R1736="","",IFERROR(INDEX(DriverCategory,MATCH($R1736,DriverList,0)),"BAU"))</f>
        <v/>
      </c>
      <c r="U1736" s="34" t="str">
        <f aca="false">IF($R1736="","",IFERROR(INDEX(DriverRank,MATCH($R1736,DriverList,0)),99))</f>
        <v/>
      </c>
      <c r="V1736" s="35" t="n">
        <f aca="false">IF($H1736="",0,IFERROR(INDEX(LevelBasic,MATCH($H1736,LevelList,0))+INDEX(LevelHousing,MATCH($H1736,LevelList,0))+INDEX(LevelTransport,MATCH($H1736,LevelList,0))+INDEX(LevelBasic,MATCH($H1736,LevelList,0))*INDEX(LevelBonus,MATCH($H1736,LevelList,0))+(INDEX(LevelBasic,MATCH($H1736,LevelList,0))+INDEX(LevelHousing,MATCH($H1736,LevelList,0)))*GosiSaudi,0))</f>
        <v>0</v>
      </c>
      <c r="W1736" s="35" t="n">
        <f aca="false">IFERROR(INDEX(LevelOneOff,MATCH($H1736,LevelList,0)),0)</f>
        <v>0</v>
      </c>
      <c r="X1736" s="35" t="str">
        <f aca="false">IF($G1736="","",$V1736*N($L1736))</f>
        <v/>
      </c>
      <c r="Y1736" s="35" t="str">
        <f aca="false">IF($G1736="","",$V1736*(N($M1736)*1+N($N1736)*0.75+N($O1736)*0.5+N($P1736)*0.25)+$W1736*N($L1736))</f>
        <v/>
      </c>
      <c r="Z1736" s="35" t="str">
        <f aca="false">IF($G1736="","",$U1736*1000000+ROW())</f>
        <v/>
      </c>
      <c r="AA1736" s="36" t="str">
        <f aca="false">IF($G1736="","",MID(IF($C1736="",", no division","")&amp;IF($E1736="",", no unit","")&amp;IF($H1736="",", no career level","")&amp;IF(N($L1736)&lt;=0,", no quarter split","")&amp;IF($R1736="",", no driver","")&amp;IF(AND($H1736&lt;&gt;"",COUNTIF(CareerLevels,$H1736)=0),", a career level that is not on the ladder","")&amp;IF(AND($R1736&lt;&gt;"",COUNTIF(DriverList,$R1736)=0),", a driver that is not on the list","")&amp;IF(ABS(N($L1736)-(N($M1736)+N($N1736)+N($O1736)+N($P1736)))&gt;0.001,", a total that does not match its quarters",""),3,300))</f>
        <v/>
      </c>
    </row>
    <row r="1737" customFormat="false" ht="15" hidden="false" customHeight="false" outlineLevel="0" collapsed="false">
      <c r="A1737" s="33" t="str">
        <f aca="false">IF($G1737="","","Retail Banking Group")</f>
        <v/>
      </c>
      <c r="B1737" s="19"/>
      <c r="C1737" s="19"/>
      <c r="D1737" s="19"/>
      <c r="E1737" s="19"/>
      <c r="F1737" s="19"/>
      <c r="G1737" s="19"/>
      <c r="H1737" s="19"/>
      <c r="I1737" s="19"/>
      <c r="J1737" s="19"/>
      <c r="K1737" s="19"/>
      <c r="L1737" s="19"/>
      <c r="M1737" s="19"/>
      <c r="N1737" s="19"/>
      <c r="O1737" s="19"/>
      <c r="P1737" s="19"/>
      <c r="Q1737" s="19"/>
      <c r="R1737" s="19"/>
      <c r="S1737" s="19"/>
      <c r="T1737" s="34" t="str">
        <f aca="false">IF($R1737="","",IFERROR(INDEX(DriverCategory,MATCH($R1737,DriverList,0)),"BAU"))</f>
        <v/>
      </c>
      <c r="U1737" s="34" t="str">
        <f aca="false">IF($R1737="","",IFERROR(INDEX(DriverRank,MATCH($R1737,DriverList,0)),99))</f>
        <v/>
      </c>
      <c r="V1737" s="35" t="n">
        <f aca="false">IF($H1737="",0,IFERROR(INDEX(LevelBasic,MATCH($H1737,LevelList,0))+INDEX(LevelHousing,MATCH($H1737,LevelList,0))+INDEX(LevelTransport,MATCH($H1737,LevelList,0))+INDEX(LevelBasic,MATCH($H1737,LevelList,0))*INDEX(LevelBonus,MATCH($H1737,LevelList,0))+(INDEX(LevelBasic,MATCH($H1737,LevelList,0))+INDEX(LevelHousing,MATCH($H1737,LevelList,0)))*GosiSaudi,0))</f>
        <v>0</v>
      </c>
      <c r="W1737" s="35" t="n">
        <f aca="false">IFERROR(INDEX(LevelOneOff,MATCH($H1737,LevelList,0)),0)</f>
        <v>0</v>
      </c>
      <c r="X1737" s="35" t="str">
        <f aca="false">IF($G1737="","",$V1737*N($L1737))</f>
        <v/>
      </c>
      <c r="Y1737" s="35" t="str">
        <f aca="false">IF($G1737="","",$V1737*(N($M1737)*1+N($N1737)*0.75+N($O1737)*0.5+N($P1737)*0.25)+$W1737*N($L1737))</f>
        <v/>
      </c>
      <c r="Z1737" s="35" t="str">
        <f aca="false">IF($G1737="","",$U1737*1000000+ROW())</f>
        <v/>
      </c>
      <c r="AA1737" s="36" t="str">
        <f aca="false">IF($G1737="","",MID(IF($C1737="",", no division","")&amp;IF($E1737="",", no unit","")&amp;IF($H1737="",", no career level","")&amp;IF(N($L1737)&lt;=0,", no quarter split","")&amp;IF($R1737="",", no driver","")&amp;IF(AND($H1737&lt;&gt;"",COUNTIF(CareerLevels,$H1737)=0),", a career level that is not on the ladder","")&amp;IF(AND($R1737&lt;&gt;"",COUNTIF(DriverList,$R1737)=0),", a driver that is not on the list","")&amp;IF(ABS(N($L1737)-(N($M1737)+N($N1737)+N($O1737)+N($P1737)))&gt;0.001,", a total that does not match its quarters",""),3,300))</f>
        <v/>
      </c>
    </row>
    <row r="1738" customFormat="false" ht="15" hidden="false" customHeight="false" outlineLevel="0" collapsed="false">
      <c r="A1738" s="33" t="str">
        <f aca="false">IF($G1738="","","Retail Banking Group")</f>
        <v/>
      </c>
      <c r="B1738" s="19"/>
      <c r="C1738" s="19"/>
      <c r="D1738" s="19"/>
      <c r="E1738" s="19"/>
      <c r="F1738" s="19"/>
      <c r="G1738" s="19"/>
      <c r="H1738" s="19"/>
      <c r="I1738" s="19"/>
      <c r="J1738" s="19"/>
      <c r="K1738" s="19"/>
      <c r="L1738" s="19"/>
      <c r="M1738" s="19"/>
      <c r="N1738" s="19"/>
      <c r="O1738" s="19"/>
      <c r="P1738" s="19"/>
      <c r="Q1738" s="19"/>
      <c r="R1738" s="19"/>
      <c r="S1738" s="19"/>
      <c r="T1738" s="34" t="str">
        <f aca="false">IF($R1738="","",IFERROR(INDEX(DriverCategory,MATCH($R1738,DriverList,0)),"BAU"))</f>
        <v/>
      </c>
      <c r="U1738" s="34" t="str">
        <f aca="false">IF($R1738="","",IFERROR(INDEX(DriverRank,MATCH($R1738,DriverList,0)),99))</f>
        <v/>
      </c>
      <c r="V1738" s="35" t="n">
        <f aca="false">IF($H1738="",0,IFERROR(INDEX(LevelBasic,MATCH($H1738,LevelList,0))+INDEX(LevelHousing,MATCH($H1738,LevelList,0))+INDEX(LevelTransport,MATCH($H1738,LevelList,0))+INDEX(LevelBasic,MATCH($H1738,LevelList,0))*INDEX(LevelBonus,MATCH($H1738,LevelList,0))+(INDEX(LevelBasic,MATCH($H1738,LevelList,0))+INDEX(LevelHousing,MATCH($H1738,LevelList,0)))*GosiSaudi,0))</f>
        <v>0</v>
      </c>
      <c r="W1738" s="35" t="n">
        <f aca="false">IFERROR(INDEX(LevelOneOff,MATCH($H1738,LevelList,0)),0)</f>
        <v>0</v>
      </c>
      <c r="X1738" s="35" t="str">
        <f aca="false">IF($G1738="","",$V1738*N($L1738))</f>
        <v/>
      </c>
      <c r="Y1738" s="35" t="str">
        <f aca="false">IF($G1738="","",$V1738*(N($M1738)*1+N($N1738)*0.75+N($O1738)*0.5+N($P1738)*0.25)+$W1738*N($L1738))</f>
        <v/>
      </c>
      <c r="Z1738" s="35" t="str">
        <f aca="false">IF($G1738="","",$U1738*1000000+ROW())</f>
        <v/>
      </c>
      <c r="AA1738" s="36" t="str">
        <f aca="false">IF($G1738="","",MID(IF($C1738="",", no division","")&amp;IF($E1738="",", no unit","")&amp;IF($H1738="",", no career level","")&amp;IF(N($L1738)&lt;=0,", no quarter split","")&amp;IF($R1738="",", no driver","")&amp;IF(AND($H1738&lt;&gt;"",COUNTIF(CareerLevels,$H1738)=0),", a career level that is not on the ladder","")&amp;IF(AND($R1738&lt;&gt;"",COUNTIF(DriverList,$R1738)=0),", a driver that is not on the list","")&amp;IF(ABS(N($L1738)-(N($M1738)+N($N1738)+N($O1738)+N($P1738)))&gt;0.001,", a total that does not match its quarters",""),3,300))</f>
        <v/>
      </c>
    </row>
    <row r="1739" customFormat="false" ht="15" hidden="false" customHeight="false" outlineLevel="0" collapsed="false">
      <c r="A1739" s="33" t="str">
        <f aca="false">IF($G1739="","","Retail Banking Group")</f>
        <v/>
      </c>
      <c r="B1739" s="19"/>
      <c r="C1739" s="19"/>
      <c r="D1739" s="19"/>
      <c r="E1739" s="19"/>
      <c r="F1739" s="19"/>
      <c r="G1739" s="19"/>
      <c r="H1739" s="19"/>
      <c r="I1739" s="19"/>
      <c r="J1739" s="19"/>
      <c r="K1739" s="19"/>
      <c r="L1739" s="19"/>
      <c r="M1739" s="19"/>
      <c r="N1739" s="19"/>
      <c r="O1739" s="19"/>
      <c r="P1739" s="19"/>
      <c r="Q1739" s="19"/>
      <c r="R1739" s="19"/>
      <c r="S1739" s="19"/>
      <c r="T1739" s="34" t="str">
        <f aca="false">IF($R1739="","",IFERROR(INDEX(DriverCategory,MATCH($R1739,DriverList,0)),"BAU"))</f>
        <v/>
      </c>
      <c r="U1739" s="34" t="str">
        <f aca="false">IF($R1739="","",IFERROR(INDEX(DriverRank,MATCH($R1739,DriverList,0)),99))</f>
        <v/>
      </c>
      <c r="V1739" s="35" t="n">
        <f aca="false">IF($H1739="",0,IFERROR(INDEX(LevelBasic,MATCH($H1739,LevelList,0))+INDEX(LevelHousing,MATCH($H1739,LevelList,0))+INDEX(LevelTransport,MATCH($H1739,LevelList,0))+INDEX(LevelBasic,MATCH($H1739,LevelList,0))*INDEX(LevelBonus,MATCH($H1739,LevelList,0))+(INDEX(LevelBasic,MATCH($H1739,LevelList,0))+INDEX(LevelHousing,MATCH($H1739,LevelList,0)))*GosiSaudi,0))</f>
        <v>0</v>
      </c>
      <c r="W1739" s="35" t="n">
        <f aca="false">IFERROR(INDEX(LevelOneOff,MATCH($H1739,LevelList,0)),0)</f>
        <v>0</v>
      </c>
      <c r="X1739" s="35" t="str">
        <f aca="false">IF($G1739="","",$V1739*N($L1739))</f>
        <v/>
      </c>
      <c r="Y1739" s="35" t="str">
        <f aca="false">IF($G1739="","",$V1739*(N($M1739)*1+N($N1739)*0.75+N($O1739)*0.5+N($P1739)*0.25)+$W1739*N($L1739))</f>
        <v/>
      </c>
      <c r="Z1739" s="35" t="str">
        <f aca="false">IF($G1739="","",$U1739*1000000+ROW())</f>
        <v/>
      </c>
      <c r="AA1739" s="36" t="str">
        <f aca="false">IF($G1739="","",MID(IF($C1739="",", no division","")&amp;IF($E1739="",", no unit","")&amp;IF($H1739="",", no career level","")&amp;IF(N($L1739)&lt;=0,", no quarter split","")&amp;IF($R1739="",", no driver","")&amp;IF(AND($H1739&lt;&gt;"",COUNTIF(CareerLevels,$H1739)=0),", a career level that is not on the ladder","")&amp;IF(AND($R1739&lt;&gt;"",COUNTIF(DriverList,$R1739)=0),", a driver that is not on the list","")&amp;IF(ABS(N($L1739)-(N($M1739)+N($N1739)+N($O1739)+N($P1739)))&gt;0.001,", a total that does not match its quarters",""),3,300))</f>
        <v/>
      </c>
    </row>
    <row r="1740" customFormat="false" ht="15" hidden="false" customHeight="false" outlineLevel="0" collapsed="false">
      <c r="A1740" s="33" t="str">
        <f aca="false">IF($G1740="","","Retail Banking Group")</f>
        <v/>
      </c>
      <c r="B1740" s="19"/>
      <c r="C1740" s="19"/>
      <c r="D1740" s="19"/>
      <c r="E1740" s="19"/>
      <c r="F1740" s="19"/>
      <c r="G1740" s="19"/>
      <c r="H1740" s="19"/>
      <c r="I1740" s="19"/>
      <c r="J1740" s="19"/>
      <c r="K1740" s="19"/>
      <c r="L1740" s="19"/>
      <c r="M1740" s="19"/>
      <c r="N1740" s="19"/>
      <c r="O1740" s="19"/>
      <c r="P1740" s="19"/>
      <c r="Q1740" s="19"/>
      <c r="R1740" s="19"/>
      <c r="S1740" s="19"/>
      <c r="T1740" s="34" t="str">
        <f aca="false">IF($R1740="","",IFERROR(INDEX(DriverCategory,MATCH($R1740,DriverList,0)),"BAU"))</f>
        <v/>
      </c>
      <c r="U1740" s="34" t="str">
        <f aca="false">IF($R1740="","",IFERROR(INDEX(DriverRank,MATCH($R1740,DriverList,0)),99))</f>
        <v/>
      </c>
      <c r="V1740" s="35" t="n">
        <f aca="false">IF($H1740="",0,IFERROR(INDEX(LevelBasic,MATCH($H1740,LevelList,0))+INDEX(LevelHousing,MATCH($H1740,LevelList,0))+INDEX(LevelTransport,MATCH($H1740,LevelList,0))+INDEX(LevelBasic,MATCH($H1740,LevelList,0))*INDEX(LevelBonus,MATCH($H1740,LevelList,0))+(INDEX(LevelBasic,MATCH($H1740,LevelList,0))+INDEX(LevelHousing,MATCH($H1740,LevelList,0)))*GosiSaudi,0))</f>
        <v>0</v>
      </c>
      <c r="W1740" s="35" t="n">
        <f aca="false">IFERROR(INDEX(LevelOneOff,MATCH($H1740,LevelList,0)),0)</f>
        <v>0</v>
      </c>
      <c r="X1740" s="35" t="str">
        <f aca="false">IF($G1740="","",$V1740*N($L1740))</f>
        <v/>
      </c>
      <c r="Y1740" s="35" t="str">
        <f aca="false">IF($G1740="","",$V1740*(N($M1740)*1+N($N1740)*0.75+N($O1740)*0.5+N($P1740)*0.25)+$W1740*N($L1740))</f>
        <v/>
      </c>
      <c r="Z1740" s="35" t="str">
        <f aca="false">IF($G1740="","",$U1740*1000000+ROW())</f>
        <v/>
      </c>
      <c r="AA1740" s="36" t="str">
        <f aca="false">IF($G1740="","",MID(IF($C1740="",", no division","")&amp;IF($E1740="",", no unit","")&amp;IF($H1740="",", no career level","")&amp;IF(N($L1740)&lt;=0,", no quarter split","")&amp;IF($R1740="",", no driver","")&amp;IF(AND($H1740&lt;&gt;"",COUNTIF(CareerLevels,$H1740)=0),", a career level that is not on the ladder","")&amp;IF(AND($R1740&lt;&gt;"",COUNTIF(DriverList,$R1740)=0),", a driver that is not on the list","")&amp;IF(ABS(N($L1740)-(N($M1740)+N($N1740)+N($O1740)+N($P1740)))&gt;0.001,", a total that does not match its quarters",""),3,300))</f>
        <v/>
      </c>
    </row>
    <row r="1741" customFormat="false" ht="15" hidden="false" customHeight="false" outlineLevel="0" collapsed="false">
      <c r="A1741" s="33" t="str">
        <f aca="false">IF($G1741="","","Retail Banking Group")</f>
        <v/>
      </c>
      <c r="B1741" s="19"/>
      <c r="C1741" s="19"/>
      <c r="D1741" s="19"/>
      <c r="E1741" s="19"/>
      <c r="F1741" s="19"/>
      <c r="G1741" s="19"/>
      <c r="H1741" s="19"/>
      <c r="I1741" s="19"/>
      <c r="J1741" s="19"/>
      <c r="K1741" s="19"/>
      <c r="L1741" s="19"/>
      <c r="M1741" s="19"/>
      <c r="N1741" s="19"/>
      <c r="O1741" s="19"/>
      <c r="P1741" s="19"/>
      <c r="Q1741" s="19"/>
      <c r="R1741" s="19"/>
      <c r="S1741" s="19"/>
      <c r="T1741" s="34" t="str">
        <f aca="false">IF($R1741="","",IFERROR(INDEX(DriverCategory,MATCH($R1741,DriverList,0)),"BAU"))</f>
        <v/>
      </c>
      <c r="U1741" s="34" t="str">
        <f aca="false">IF($R1741="","",IFERROR(INDEX(DriverRank,MATCH($R1741,DriverList,0)),99))</f>
        <v/>
      </c>
      <c r="V1741" s="35" t="n">
        <f aca="false">IF($H1741="",0,IFERROR(INDEX(LevelBasic,MATCH($H1741,LevelList,0))+INDEX(LevelHousing,MATCH($H1741,LevelList,0))+INDEX(LevelTransport,MATCH($H1741,LevelList,0))+INDEX(LevelBasic,MATCH($H1741,LevelList,0))*INDEX(LevelBonus,MATCH($H1741,LevelList,0))+(INDEX(LevelBasic,MATCH($H1741,LevelList,0))+INDEX(LevelHousing,MATCH($H1741,LevelList,0)))*GosiSaudi,0))</f>
        <v>0</v>
      </c>
      <c r="W1741" s="35" t="n">
        <f aca="false">IFERROR(INDEX(LevelOneOff,MATCH($H1741,LevelList,0)),0)</f>
        <v>0</v>
      </c>
      <c r="X1741" s="35" t="str">
        <f aca="false">IF($G1741="","",$V1741*N($L1741))</f>
        <v/>
      </c>
      <c r="Y1741" s="35" t="str">
        <f aca="false">IF($G1741="","",$V1741*(N($M1741)*1+N($N1741)*0.75+N($O1741)*0.5+N($P1741)*0.25)+$W1741*N($L1741))</f>
        <v/>
      </c>
      <c r="Z1741" s="35" t="str">
        <f aca="false">IF($G1741="","",$U1741*1000000+ROW())</f>
        <v/>
      </c>
      <c r="AA1741" s="36" t="str">
        <f aca="false">IF($G1741="","",MID(IF($C1741="",", no division","")&amp;IF($E1741="",", no unit","")&amp;IF($H1741="",", no career level","")&amp;IF(N($L1741)&lt;=0,", no quarter split","")&amp;IF($R1741="",", no driver","")&amp;IF(AND($H1741&lt;&gt;"",COUNTIF(CareerLevels,$H1741)=0),", a career level that is not on the ladder","")&amp;IF(AND($R1741&lt;&gt;"",COUNTIF(DriverList,$R1741)=0),", a driver that is not on the list","")&amp;IF(ABS(N($L1741)-(N($M1741)+N($N1741)+N($O1741)+N($P1741)))&gt;0.001,", a total that does not match its quarters",""),3,300))</f>
        <v/>
      </c>
    </row>
    <row r="1742" customFormat="false" ht="15" hidden="false" customHeight="false" outlineLevel="0" collapsed="false">
      <c r="A1742" s="33" t="str">
        <f aca="false">IF($G1742="","","Retail Banking Group")</f>
        <v/>
      </c>
      <c r="B1742" s="19"/>
      <c r="C1742" s="19"/>
      <c r="D1742" s="19"/>
      <c r="E1742" s="19"/>
      <c r="F1742" s="19"/>
      <c r="G1742" s="19"/>
      <c r="H1742" s="19"/>
      <c r="I1742" s="19"/>
      <c r="J1742" s="19"/>
      <c r="K1742" s="19"/>
      <c r="L1742" s="19"/>
      <c r="M1742" s="19"/>
      <c r="N1742" s="19"/>
      <c r="O1742" s="19"/>
      <c r="P1742" s="19"/>
      <c r="Q1742" s="19"/>
      <c r="R1742" s="19"/>
      <c r="S1742" s="19"/>
      <c r="T1742" s="34" t="str">
        <f aca="false">IF($R1742="","",IFERROR(INDEX(DriverCategory,MATCH($R1742,DriverList,0)),"BAU"))</f>
        <v/>
      </c>
      <c r="U1742" s="34" t="str">
        <f aca="false">IF($R1742="","",IFERROR(INDEX(DriverRank,MATCH($R1742,DriverList,0)),99))</f>
        <v/>
      </c>
      <c r="V1742" s="35" t="n">
        <f aca="false">IF($H1742="",0,IFERROR(INDEX(LevelBasic,MATCH($H1742,LevelList,0))+INDEX(LevelHousing,MATCH($H1742,LevelList,0))+INDEX(LevelTransport,MATCH($H1742,LevelList,0))+INDEX(LevelBasic,MATCH($H1742,LevelList,0))*INDEX(LevelBonus,MATCH($H1742,LevelList,0))+(INDEX(LevelBasic,MATCH($H1742,LevelList,0))+INDEX(LevelHousing,MATCH($H1742,LevelList,0)))*GosiSaudi,0))</f>
        <v>0</v>
      </c>
      <c r="W1742" s="35" t="n">
        <f aca="false">IFERROR(INDEX(LevelOneOff,MATCH($H1742,LevelList,0)),0)</f>
        <v>0</v>
      </c>
      <c r="X1742" s="35" t="str">
        <f aca="false">IF($G1742="","",$V1742*N($L1742))</f>
        <v/>
      </c>
      <c r="Y1742" s="35" t="str">
        <f aca="false">IF($G1742="","",$V1742*(N($M1742)*1+N($N1742)*0.75+N($O1742)*0.5+N($P1742)*0.25)+$W1742*N($L1742))</f>
        <v/>
      </c>
      <c r="Z1742" s="35" t="str">
        <f aca="false">IF($G1742="","",$U1742*1000000+ROW())</f>
        <v/>
      </c>
      <c r="AA1742" s="36" t="str">
        <f aca="false">IF($G1742="","",MID(IF($C1742="",", no division","")&amp;IF($E1742="",", no unit","")&amp;IF($H1742="",", no career level","")&amp;IF(N($L1742)&lt;=0,", no quarter split","")&amp;IF($R1742="",", no driver","")&amp;IF(AND($H1742&lt;&gt;"",COUNTIF(CareerLevels,$H1742)=0),", a career level that is not on the ladder","")&amp;IF(AND($R1742&lt;&gt;"",COUNTIF(DriverList,$R1742)=0),", a driver that is not on the list","")&amp;IF(ABS(N($L1742)-(N($M1742)+N($N1742)+N($O1742)+N($P1742)))&gt;0.001,", a total that does not match its quarters",""),3,300))</f>
        <v/>
      </c>
    </row>
    <row r="1743" customFormat="false" ht="15" hidden="false" customHeight="false" outlineLevel="0" collapsed="false">
      <c r="A1743" s="33" t="str">
        <f aca="false">IF($G1743="","","Retail Banking Group")</f>
        <v/>
      </c>
      <c r="B1743" s="19"/>
      <c r="C1743" s="19"/>
      <c r="D1743" s="19"/>
      <c r="E1743" s="19"/>
      <c r="F1743" s="19"/>
      <c r="G1743" s="19"/>
      <c r="H1743" s="19"/>
      <c r="I1743" s="19"/>
      <c r="J1743" s="19"/>
      <c r="K1743" s="19"/>
      <c r="L1743" s="19"/>
      <c r="M1743" s="19"/>
      <c r="N1743" s="19"/>
      <c r="O1743" s="19"/>
      <c r="P1743" s="19"/>
      <c r="Q1743" s="19"/>
      <c r="R1743" s="19"/>
      <c r="S1743" s="19"/>
      <c r="T1743" s="34" t="str">
        <f aca="false">IF($R1743="","",IFERROR(INDEX(DriverCategory,MATCH($R1743,DriverList,0)),"BAU"))</f>
        <v/>
      </c>
      <c r="U1743" s="34" t="str">
        <f aca="false">IF($R1743="","",IFERROR(INDEX(DriverRank,MATCH($R1743,DriverList,0)),99))</f>
        <v/>
      </c>
      <c r="V1743" s="35" t="n">
        <f aca="false">IF($H1743="",0,IFERROR(INDEX(LevelBasic,MATCH($H1743,LevelList,0))+INDEX(LevelHousing,MATCH($H1743,LevelList,0))+INDEX(LevelTransport,MATCH($H1743,LevelList,0))+INDEX(LevelBasic,MATCH($H1743,LevelList,0))*INDEX(LevelBonus,MATCH($H1743,LevelList,0))+(INDEX(LevelBasic,MATCH($H1743,LevelList,0))+INDEX(LevelHousing,MATCH($H1743,LevelList,0)))*GosiSaudi,0))</f>
        <v>0</v>
      </c>
      <c r="W1743" s="35" t="n">
        <f aca="false">IFERROR(INDEX(LevelOneOff,MATCH($H1743,LevelList,0)),0)</f>
        <v>0</v>
      </c>
      <c r="X1743" s="35" t="str">
        <f aca="false">IF($G1743="","",$V1743*N($L1743))</f>
        <v/>
      </c>
      <c r="Y1743" s="35" t="str">
        <f aca="false">IF($G1743="","",$V1743*(N($M1743)*1+N($N1743)*0.75+N($O1743)*0.5+N($P1743)*0.25)+$W1743*N($L1743))</f>
        <v/>
      </c>
      <c r="Z1743" s="35" t="str">
        <f aca="false">IF($G1743="","",$U1743*1000000+ROW())</f>
        <v/>
      </c>
      <c r="AA1743" s="36" t="str">
        <f aca="false">IF($G1743="","",MID(IF($C1743="",", no division","")&amp;IF($E1743="",", no unit","")&amp;IF($H1743="",", no career level","")&amp;IF(N($L1743)&lt;=0,", no quarter split","")&amp;IF($R1743="",", no driver","")&amp;IF(AND($H1743&lt;&gt;"",COUNTIF(CareerLevels,$H1743)=0),", a career level that is not on the ladder","")&amp;IF(AND($R1743&lt;&gt;"",COUNTIF(DriverList,$R1743)=0),", a driver that is not on the list","")&amp;IF(ABS(N($L1743)-(N($M1743)+N($N1743)+N($O1743)+N($P1743)))&gt;0.001,", a total that does not match its quarters",""),3,300))</f>
        <v/>
      </c>
    </row>
    <row r="1744" customFormat="false" ht="15" hidden="false" customHeight="false" outlineLevel="0" collapsed="false">
      <c r="A1744" s="33" t="str">
        <f aca="false">IF($G1744="","","Retail Banking Group")</f>
        <v/>
      </c>
      <c r="B1744" s="19"/>
      <c r="C1744" s="19"/>
      <c r="D1744" s="19"/>
      <c r="E1744" s="19"/>
      <c r="F1744" s="19"/>
      <c r="G1744" s="19"/>
      <c r="H1744" s="19"/>
      <c r="I1744" s="19"/>
      <c r="J1744" s="19"/>
      <c r="K1744" s="19"/>
      <c r="L1744" s="19"/>
      <c r="M1744" s="19"/>
      <c r="N1744" s="19"/>
      <c r="O1744" s="19"/>
      <c r="P1744" s="19"/>
      <c r="Q1744" s="19"/>
      <c r="R1744" s="19"/>
      <c r="S1744" s="19"/>
      <c r="T1744" s="34" t="str">
        <f aca="false">IF($R1744="","",IFERROR(INDEX(DriverCategory,MATCH($R1744,DriverList,0)),"BAU"))</f>
        <v/>
      </c>
      <c r="U1744" s="34" t="str">
        <f aca="false">IF($R1744="","",IFERROR(INDEX(DriverRank,MATCH($R1744,DriverList,0)),99))</f>
        <v/>
      </c>
      <c r="V1744" s="35" t="n">
        <f aca="false">IF($H1744="",0,IFERROR(INDEX(LevelBasic,MATCH($H1744,LevelList,0))+INDEX(LevelHousing,MATCH($H1744,LevelList,0))+INDEX(LevelTransport,MATCH($H1744,LevelList,0))+INDEX(LevelBasic,MATCH($H1744,LevelList,0))*INDEX(LevelBonus,MATCH($H1744,LevelList,0))+(INDEX(LevelBasic,MATCH($H1744,LevelList,0))+INDEX(LevelHousing,MATCH($H1744,LevelList,0)))*GosiSaudi,0))</f>
        <v>0</v>
      </c>
      <c r="W1744" s="35" t="n">
        <f aca="false">IFERROR(INDEX(LevelOneOff,MATCH($H1744,LevelList,0)),0)</f>
        <v>0</v>
      </c>
      <c r="X1744" s="35" t="str">
        <f aca="false">IF($G1744="","",$V1744*N($L1744))</f>
        <v/>
      </c>
      <c r="Y1744" s="35" t="str">
        <f aca="false">IF($G1744="","",$V1744*(N($M1744)*1+N($N1744)*0.75+N($O1744)*0.5+N($P1744)*0.25)+$W1744*N($L1744))</f>
        <v/>
      </c>
      <c r="Z1744" s="35" t="str">
        <f aca="false">IF($G1744="","",$U1744*1000000+ROW())</f>
        <v/>
      </c>
      <c r="AA1744" s="36" t="str">
        <f aca="false">IF($G1744="","",MID(IF($C1744="",", no division","")&amp;IF($E1744="",", no unit","")&amp;IF($H1744="",", no career level","")&amp;IF(N($L1744)&lt;=0,", no quarter split","")&amp;IF($R1744="",", no driver","")&amp;IF(AND($H1744&lt;&gt;"",COUNTIF(CareerLevels,$H1744)=0),", a career level that is not on the ladder","")&amp;IF(AND($R1744&lt;&gt;"",COUNTIF(DriverList,$R1744)=0),", a driver that is not on the list","")&amp;IF(ABS(N($L1744)-(N($M1744)+N($N1744)+N($O1744)+N($P1744)))&gt;0.001,", a total that does not match its quarters",""),3,300))</f>
        <v/>
      </c>
    </row>
    <row r="1745" customFormat="false" ht="15" hidden="false" customHeight="false" outlineLevel="0" collapsed="false">
      <c r="A1745" s="33" t="str">
        <f aca="false">IF($G1745="","","Retail Banking Group")</f>
        <v/>
      </c>
      <c r="B1745" s="19"/>
      <c r="C1745" s="19"/>
      <c r="D1745" s="19"/>
      <c r="E1745" s="19"/>
      <c r="F1745" s="19"/>
      <c r="G1745" s="19"/>
      <c r="H1745" s="19"/>
      <c r="I1745" s="19"/>
      <c r="J1745" s="19"/>
      <c r="K1745" s="19"/>
      <c r="L1745" s="19"/>
      <c r="M1745" s="19"/>
      <c r="N1745" s="19"/>
      <c r="O1745" s="19"/>
      <c r="P1745" s="19"/>
      <c r="Q1745" s="19"/>
      <c r="R1745" s="19"/>
      <c r="S1745" s="19"/>
      <c r="T1745" s="34" t="str">
        <f aca="false">IF($R1745="","",IFERROR(INDEX(DriverCategory,MATCH($R1745,DriverList,0)),"BAU"))</f>
        <v/>
      </c>
      <c r="U1745" s="34" t="str">
        <f aca="false">IF($R1745="","",IFERROR(INDEX(DriverRank,MATCH($R1745,DriverList,0)),99))</f>
        <v/>
      </c>
      <c r="V1745" s="35" t="n">
        <f aca="false">IF($H1745="",0,IFERROR(INDEX(LevelBasic,MATCH($H1745,LevelList,0))+INDEX(LevelHousing,MATCH($H1745,LevelList,0))+INDEX(LevelTransport,MATCH($H1745,LevelList,0))+INDEX(LevelBasic,MATCH($H1745,LevelList,0))*INDEX(LevelBonus,MATCH($H1745,LevelList,0))+(INDEX(LevelBasic,MATCH($H1745,LevelList,0))+INDEX(LevelHousing,MATCH($H1745,LevelList,0)))*GosiSaudi,0))</f>
        <v>0</v>
      </c>
      <c r="W1745" s="35" t="n">
        <f aca="false">IFERROR(INDEX(LevelOneOff,MATCH($H1745,LevelList,0)),0)</f>
        <v>0</v>
      </c>
      <c r="X1745" s="35" t="str">
        <f aca="false">IF($G1745="","",$V1745*N($L1745))</f>
        <v/>
      </c>
      <c r="Y1745" s="35" t="str">
        <f aca="false">IF($G1745="","",$V1745*(N($M1745)*1+N($N1745)*0.75+N($O1745)*0.5+N($P1745)*0.25)+$W1745*N($L1745))</f>
        <v/>
      </c>
      <c r="Z1745" s="35" t="str">
        <f aca="false">IF($G1745="","",$U1745*1000000+ROW())</f>
        <v/>
      </c>
      <c r="AA1745" s="36" t="str">
        <f aca="false">IF($G1745="","",MID(IF($C1745="",", no division","")&amp;IF($E1745="",", no unit","")&amp;IF($H1745="",", no career level","")&amp;IF(N($L1745)&lt;=0,", no quarter split","")&amp;IF($R1745="",", no driver","")&amp;IF(AND($H1745&lt;&gt;"",COUNTIF(CareerLevels,$H1745)=0),", a career level that is not on the ladder","")&amp;IF(AND($R1745&lt;&gt;"",COUNTIF(DriverList,$R1745)=0),", a driver that is not on the list","")&amp;IF(ABS(N($L1745)-(N($M1745)+N($N1745)+N($O1745)+N($P1745)))&gt;0.001,", a total that does not match its quarters",""),3,300))</f>
        <v/>
      </c>
    </row>
    <row r="1746" customFormat="false" ht="15" hidden="false" customHeight="false" outlineLevel="0" collapsed="false">
      <c r="A1746" s="33" t="str">
        <f aca="false">IF($G1746="","","Retail Banking Group")</f>
        <v/>
      </c>
      <c r="B1746" s="19"/>
      <c r="C1746" s="19"/>
      <c r="D1746" s="19"/>
      <c r="E1746" s="19"/>
      <c r="F1746" s="19"/>
      <c r="G1746" s="19"/>
      <c r="H1746" s="19"/>
      <c r="I1746" s="19"/>
      <c r="J1746" s="19"/>
      <c r="K1746" s="19"/>
      <c r="L1746" s="19"/>
      <c r="M1746" s="19"/>
      <c r="N1746" s="19"/>
      <c r="O1746" s="19"/>
      <c r="P1746" s="19"/>
      <c r="Q1746" s="19"/>
      <c r="R1746" s="19"/>
      <c r="S1746" s="19"/>
      <c r="T1746" s="34" t="str">
        <f aca="false">IF($R1746="","",IFERROR(INDEX(DriverCategory,MATCH($R1746,DriverList,0)),"BAU"))</f>
        <v/>
      </c>
      <c r="U1746" s="34" t="str">
        <f aca="false">IF($R1746="","",IFERROR(INDEX(DriverRank,MATCH($R1746,DriverList,0)),99))</f>
        <v/>
      </c>
      <c r="V1746" s="35" t="n">
        <f aca="false">IF($H1746="",0,IFERROR(INDEX(LevelBasic,MATCH($H1746,LevelList,0))+INDEX(LevelHousing,MATCH($H1746,LevelList,0))+INDEX(LevelTransport,MATCH($H1746,LevelList,0))+INDEX(LevelBasic,MATCH($H1746,LevelList,0))*INDEX(LevelBonus,MATCH($H1746,LevelList,0))+(INDEX(LevelBasic,MATCH($H1746,LevelList,0))+INDEX(LevelHousing,MATCH($H1746,LevelList,0)))*GosiSaudi,0))</f>
        <v>0</v>
      </c>
      <c r="W1746" s="35" t="n">
        <f aca="false">IFERROR(INDEX(LevelOneOff,MATCH($H1746,LevelList,0)),0)</f>
        <v>0</v>
      </c>
      <c r="X1746" s="35" t="str">
        <f aca="false">IF($G1746="","",$V1746*N($L1746))</f>
        <v/>
      </c>
      <c r="Y1746" s="35" t="str">
        <f aca="false">IF($G1746="","",$V1746*(N($M1746)*1+N($N1746)*0.75+N($O1746)*0.5+N($P1746)*0.25)+$W1746*N($L1746))</f>
        <v/>
      </c>
      <c r="Z1746" s="35" t="str">
        <f aca="false">IF($G1746="","",$U1746*1000000+ROW())</f>
        <v/>
      </c>
      <c r="AA1746" s="36" t="str">
        <f aca="false">IF($G1746="","",MID(IF($C1746="",", no division","")&amp;IF($E1746="",", no unit","")&amp;IF($H1746="",", no career level","")&amp;IF(N($L1746)&lt;=0,", no quarter split","")&amp;IF($R1746="",", no driver","")&amp;IF(AND($H1746&lt;&gt;"",COUNTIF(CareerLevels,$H1746)=0),", a career level that is not on the ladder","")&amp;IF(AND($R1746&lt;&gt;"",COUNTIF(DriverList,$R1746)=0),", a driver that is not on the list","")&amp;IF(ABS(N($L1746)-(N($M1746)+N($N1746)+N($O1746)+N($P1746)))&gt;0.001,", a total that does not match its quarters",""),3,300))</f>
        <v/>
      </c>
    </row>
    <row r="1747" customFormat="false" ht="15" hidden="false" customHeight="false" outlineLevel="0" collapsed="false">
      <c r="A1747" s="33" t="str">
        <f aca="false">IF($G1747="","","Retail Banking Group")</f>
        <v/>
      </c>
      <c r="B1747" s="19"/>
      <c r="C1747" s="19"/>
      <c r="D1747" s="19"/>
      <c r="E1747" s="19"/>
      <c r="F1747" s="19"/>
      <c r="G1747" s="19"/>
      <c r="H1747" s="19"/>
      <c r="I1747" s="19"/>
      <c r="J1747" s="19"/>
      <c r="K1747" s="19"/>
      <c r="L1747" s="19"/>
      <c r="M1747" s="19"/>
      <c r="N1747" s="19"/>
      <c r="O1747" s="19"/>
      <c r="P1747" s="19"/>
      <c r="Q1747" s="19"/>
      <c r="R1747" s="19"/>
      <c r="S1747" s="19"/>
      <c r="T1747" s="34" t="str">
        <f aca="false">IF($R1747="","",IFERROR(INDEX(DriverCategory,MATCH($R1747,DriverList,0)),"BAU"))</f>
        <v/>
      </c>
      <c r="U1747" s="34" t="str">
        <f aca="false">IF($R1747="","",IFERROR(INDEX(DriverRank,MATCH($R1747,DriverList,0)),99))</f>
        <v/>
      </c>
      <c r="V1747" s="35" t="n">
        <f aca="false">IF($H1747="",0,IFERROR(INDEX(LevelBasic,MATCH($H1747,LevelList,0))+INDEX(LevelHousing,MATCH($H1747,LevelList,0))+INDEX(LevelTransport,MATCH($H1747,LevelList,0))+INDEX(LevelBasic,MATCH($H1747,LevelList,0))*INDEX(LevelBonus,MATCH($H1747,LevelList,0))+(INDEX(LevelBasic,MATCH($H1747,LevelList,0))+INDEX(LevelHousing,MATCH($H1747,LevelList,0)))*GosiSaudi,0))</f>
        <v>0</v>
      </c>
      <c r="W1747" s="35" t="n">
        <f aca="false">IFERROR(INDEX(LevelOneOff,MATCH($H1747,LevelList,0)),0)</f>
        <v>0</v>
      </c>
      <c r="X1747" s="35" t="str">
        <f aca="false">IF($G1747="","",$V1747*N($L1747))</f>
        <v/>
      </c>
      <c r="Y1747" s="35" t="str">
        <f aca="false">IF($G1747="","",$V1747*(N($M1747)*1+N($N1747)*0.75+N($O1747)*0.5+N($P1747)*0.25)+$W1747*N($L1747))</f>
        <v/>
      </c>
      <c r="Z1747" s="35" t="str">
        <f aca="false">IF($G1747="","",$U1747*1000000+ROW())</f>
        <v/>
      </c>
      <c r="AA1747" s="36" t="str">
        <f aca="false">IF($G1747="","",MID(IF($C1747="",", no division","")&amp;IF($E1747="",", no unit","")&amp;IF($H1747="",", no career level","")&amp;IF(N($L1747)&lt;=0,", no quarter split","")&amp;IF($R1747="",", no driver","")&amp;IF(AND($H1747&lt;&gt;"",COUNTIF(CareerLevels,$H1747)=0),", a career level that is not on the ladder","")&amp;IF(AND($R1747&lt;&gt;"",COUNTIF(DriverList,$R1747)=0),", a driver that is not on the list","")&amp;IF(ABS(N($L1747)-(N($M1747)+N($N1747)+N($O1747)+N($P1747)))&gt;0.001,", a total that does not match its quarters",""),3,300))</f>
        <v/>
      </c>
    </row>
    <row r="1748" customFormat="false" ht="15" hidden="false" customHeight="false" outlineLevel="0" collapsed="false">
      <c r="A1748" s="33" t="str">
        <f aca="false">IF($G1748="","","Retail Banking Group")</f>
        <v/>
      </c>
      <c r="B1748" s="19"/>
      <c r="C1748" s="19"/>
      <c r="D1748" s="19"/>
      <c r="E1748" s="19"/>
      <c r="F1748" s="19"/>
      <c r="G1748" s="19"/>
      <c r="H1748" s="19"/>
      <c r="I1748" s="19"/>
      <c r="J1748" s="19"/>
      <c r="K1748" s="19"/>
      <c r="L1748" s="19"/>
      <c r="M1748" s="19"/>
      <c r="N1748" s="19"/>
      <c r="O1748" s="19"/>
      <c r="P1748" s="19"/>
      <c r="Q1748" s="19"/>
      <c r="R1748" s="19"/>
      <c r="S1748" s="19"/>
      <c r="T1748" s="34" t="str">
        <f aca="false">IF($R1748="","",IFERROR(INDEX(DriverCategory,MATCH($R1748,DriverList,0)),"BAU"))</f>
        <v/>
      </c>
      <c r="U1748" s="34" t="str">
        <f aca="false">IF($R1748="","",IFERROR(INDEX(DriverRank,MATCH($R1748,DriverList,0)),99))</f>
        <v/>
      </c>
      <c r="V1748" s="35" t="n">
        <f aca="false">IF($H1748="",0,IFERROR(INDEX(LevelBasic,MATCH($H1748,LevelList,0))+INDEX(LevelHousing,MATCH($H1748,LevelList,0))+INDEX(LevelTransport,MATCH($H1748,LevelList,0))+INDEX(LevelBasic,MATCH($H1748,LevelList,0))*INDEX(LevelBonus,MATCH($H1748,LevelList,0))+(INDEX(LevelBasic,MATCH($H1748,LevelList,0))+INDEX(LevelHousing,MATCH($H1748,LevelList,0)))*GosiSaudi,0))</f>
        <v>0</v>
      </c>
      <c r="W1748" s="35" t="n">
        <f aca="false">IFERROR(INDEX(LevelOneOff,MATCH($H1748,LevelList,0)),0)</f>
        <v>0</v>
      </c>
      <c r="X1748" s="35" t="str">
        <f aca="false">IF($G1748="","",$V1748*N($L1748))</f>
        <v/>
      </c>
      <c r="Y1748" s="35" t="str">
        <f aca="false">IF($G1748="","",$V1748*(N($M1748)*1+N($N1748)*0.75+N($O1748)*0.5+N($P1748)*0.25)+$W1748*N($L1748))</f>
        <v/>
      </c>
      <c r="Z1748" s="35" t="str">
        <f aca="false">IF($G1748="","",$U1748*1000000+ROW())</f>
        <v/>
      </c>
      <c r="AA1748" s="36" t="str">
        <f aca="false">IF($G1748="","",MID(IF($C1748="",", no division","")&amp;IF($E1748="",", no unit","")&amp;IF($H1748="",", no career level","")&amp;IF(N($L1748)&lt;=0,", no quarter split","")&amp;IF($R1748="",", no driver","")&amp;IF(AND($H1748&lt;&gt;"",COUNTIF(CareerLevels,$H1748)=0),", a career level that is not on the ladder","")&amp;IF(AND($R1748&lt;&gt;"",COUNTIF(DriverList,$R1748)=0),", a driver that is not on the list","")&amp;IF(ABS(N($L1748)-(N($M1748)+N($N1748)+N($O1748)+N($P1748)))&gt;0.001,", a total that does not match its quarters",""),3,300))</f>
        <v/>
      </c>
    </row>
    <row r="1749" customFormat="false" ht="15" hidden="false" customHeight="false" outlineLevel="0" collapsed="false">
      <c r="A1749" s="33" t="str">
        <f aca="false">IF($G1749="","","Retail Banking Group")</f>
        <v/>
      </c>
      <c r="B1749" s="19"/>
      <c r="C1749" s="19"/>
      <c r="D1749" s="19"/>
      <c r="E1749" s="19"/>
      <c r="F1749" s="19"/>
      <c r="G1749" s="19"/>
      <c r="H1749" s="19"/>
      <c r="I1749" s="19"/>
      <c r="J1749" s="19"/>
      <c r="K1749" s="19"/>
      <c r="L1749" s="19"/>
      <c r="M1749" s="19"/>
      <c r="N1749" s="19"/>
      <c r="O1749" s="19"/>
      <c r="P1749" s="19"/>
      <c r="Q1749" s="19"/>
      <c r="R1749" s="19"/>
      <c r="S1749" s="19"/>
      <c r="T1749" s="34" t="str">
        <f aca="false">IF($R1749="","",IFERROR(INDEX(DriverCategory,MATCH($R1749,DriverList,0)),"BAU"))</f>
        <v/>
      </c>
      <c r="U1749" s="34" t="str">
        <f aca="false">IF($R1749="","",IFERROR(INDEX(DriverRank,MATCH($R1749,DriverList,0)),99))</f>
        <v/>
      </c>
      <c r="V1749" s="35" t="n">
        <f aca="false">IF($H1749="",0,IFERROR(INDEX(LevelBasic,MATCH($H1749,LevelList,0))+INDEX(LevelHousing,MATCH($H1749,LevelList,0))+INDEX(LevelTransport,MATCH($H1749,LevelList,0))+INDEX(LevelBasic,MATCH($H1749,LevelList,0))*INDEX(LevelBonus,MATCH($H1749,LevelList,0))+(INDEX(LevelBasic,MATCH($H1749,LevelList,0))+INDEX(LevelHousing,MATCH($H1749,LevelList,0)))*GosiSaudi,0))</f>
        <v>0</v>
      </c>
      <c r="W1749" s="35" t="n">
        <f aca="false">IFERROR(INDEX(LevelOneOff,MATCH($H1749,LevelList,0)),0)</f>
        <v>0</v>
      </c>
      <c r="X1749" s="35" t="str">
        <f aca="false">IF($G1749="","",$V1749*N($L1749))</f>
        <v/>
      </c>
      <c r="Y1749" s="35" t="str">
        <f aca="false">IF($G1749="","",$V1749*(N($M1749)*1+N($N1749)*0.75+N($O1749)*0.5+N($P1749)*0.25)+$W1749*N($L1749))</f>
        <v/>
      </c>
      <c r="Z1749" s="35" t="str">
        <f aca="false">IF($G1749="","",$U1749*1000000+ROW())</f>
        <v/>
      </c>
      <c r="AA1749" s="36" t="str">
        <f aca="false">IF($G1749="","",MID(IF($C1749="",", no division","")&amp;IF($E1749="",", no unit","")&amp;IF($H1749="",", no career level","")&amp;IF(N($L1749)&lt;=0,", no quarter split","")&amp;IF($R1749="",", no driver","")&amp;IF(AND($H1749&lt;&gt;"",COUNTIF(CareerLevels,$H1749)=0),", a career level that is not on the ladder","")&amp;IF(AND($R1749&lt;&gt;"",COUNTIF(DriverList,$R1749)=0),", a driver that is not on the list","")&amp;IF(ABS(N($L1749)-(N($M1749)+N($N1749)+N($O1749)+N($P1749)))&gt;0.001,", a total that does not match its quarters",""),3,300))</f>
        <v/>
      </c>
    </row>
    <row r="1750" customFormat="false" ht="15" hidden="false" customHeight="false" outlineLevel="0" collapsed="false">
      <c r="A1750" s="33" t="str">
        <f aca="false">IF($G1750="","","Retail Banking Group")</f>
        <v/>
      </c>
      <c r="B1750" s="19"/>
      <c r="C1750" s="19"/>
      <c r="D1750" s="19"/>
      <c r="E1750" s="19"/>
      <c r="F1750" s="19"/>
      <c r="G1750" s="19"/>
      <c r="H1750" s="19"/>
      <c r="I1750" s="19"/>
      <c r="J1750" s="19"/>
      <c r="K1750" s="19"/>
      <c r="L1750" s="19"/>
      <c r="M1750" s="19"/>
      <c r="N1750" s="19"/>
      <c r="O1750" s="19"/>
      <c r="P1750" s="19"/>
      <c r="Q1750" s="19"/>
      <c r="R1750" s="19"/>
      <c r="S1750" s="19"/>
      <c r="T1750" s="34" t="str">
        <f aca="false">IF($R1750="","",IFERROR(INDEX(DriverCategory,MATCH($R1750,DriverList,0)),"BAU"))</f>
        <v/>
      </c>
      <c r="U1750" s="34" t="str">
        <f aca="false">IF($R1750="","",IFERROR(INDEX(DriverRank,MATCH($R1750,DriverList,0)),99))</f>
        <v/>
      </c>
      <c r="V1750" s="35" t="n">
        <f aca="false">IF($H1750="",0,IFERROR(INDEX(LevelBasic,MATCH($H1750,LevelList,0))+INDEX(LevelHousing,MATCH($H1750,LevelList,0))+INDEX(LevelTransport,MATCH($H1750,LevelList,0))+INDEX(LevelBasic,MATCH($H1750,LevelList,0))*INDEX(LevelBonus,MATCH($H1750,LevelList,0))+(INDEX(LevelBasic,MATCH($H1750,LevelList,0))+INDEX(LevelHousing,MATCH($H1750,LevelList,0)))*GosiSaudi,0))</f>
        <v>0</v>
      </c>
      <c r="W1750" s="35" t="n">
        <f aca="false">IFERROR(INDEX(LevelOneOff,MATCH($H1750,LevelList,0)),0)</f>
        <v>0</v>
      </c>
      <c r="X1750" s="35" t="str">
        <f aca="false">IF($G1750="","",$V1750*N($L1750))</f>
        <v/>
      </c>
      <c r="Y1750" s="35" t="str">
        <f aca="false">IF($G1750="","",$V1750*(N($M1750)*1+N($N1750)*0.75+N($O1750)*0.5+N($P1750)*0.25)+$W1750*N($L1750))</f>
        <v/>
      </c>
      <c r="Z1750" s="35" t="str">
        <f aca="false">IF($G1750="","",$U1750*1000000+ROW())</f>
        <v/>
      </c>
      <c r="AA1750" s="36" t="str">
        <f aca="false">IF($G1750="","",MID(IF($C1750="",", no division","")&amp;IF($E1750="",", no unit","")&amp;IF($H1750="",", no career level","")&amp;IF(N($L1750)&lt;=0,", no quarter split","")&amp;IF($R1750="",", no driver","")&amp;IF(AND($H1750&lt;&gt;"",COUNTIF(CareerLevels,$H1750)=0),", a career level that is not on the ladder","")&amp;IF(AND($R1750&lt;&gt;"",COUNTIF(DriverList,$R1750)=0),", a driver that is not on the list","")&amp;IF(ABS(N($L1750)-(N($M1750)+N($N1750)+N($O1750)+N($P1750)))&gt;0.001,", a total that does not match its quarters",""),3,300))</f>
        <v/>
      </c>
    </row>
    <row r="1751" customFormat="false" ht="15" hidden="false" customHeight="false" outlineLevel="0" collapsed="false">
      <c r="A1751" s="33" t="str">
        <f aca="false">IF($G1751="","","Retail Banking Group")</f>
        <v/>
      </c>
      <c r="B1751" s="19"/>
      <c r="C1751" s="19"/>
      <c r="D1751" s="19"/>
      <c r="E1751" s="19"/>
      <c r="F1751" s="19"/>
      <c r="G1751" s="19"/>
      <c r="H1751" s="19"/>
      <c r="I1751" s="19"/>
      <c r="J1751" s="19"/>
      <c r="K1751" s="19"/>
      <c r="L1751" s="19"/>
      <c r="M1751" s="19"/>
      <c r="N1751" s="19"/>
      <c r="O1751" s="19"/>
      <c r="P1751" s="19"/>
      <c r="Q1751" s="19"/>
      <c r="R1751" s="19"/>
      <c r="S1751" s="19"/>
      <c r="T1751" s="34" t="str">
        <f aca="false">IF($R1751="","",IFERROR(INDEX(DriverCategory,MATCH($R1751,DriverList,0)),"BAU"))</f>
        <v/>
      </c>
      <c r="U1751" s="34" t="str">
        <f aca="false">IF($R1751="","",IFERROR(INDEX(DriverRank,MATCH($R1751,DriverList,0)),99))</f>
        <v/>
      </c>
      <c r="V1751" s="35" t="n">
        <f aca="false">IF($H1751="",0,IFERROR(INDEX(LevelBasic,MATCH($H1751,LevelList,0))+INDEX(LevelHousing,MATCH($H1751,LevelList,0))+INDEX(LevelTransport,MATCH($H1751,LevelList,0))+INDEX(LevelBasic,MATCH($H1751,LevelList,0))*INDEX(LevelBonus,MATCH($H1751,LevelList,0))+(INDEX(LevelBasic,MATCH($H1751,LevelList,0))+INDEX(LevelHousing,MATCH($H1751,LevelList,0)))*GosiSaudi,0))</f>
        <v>0</v>
      </c>
      <c r="W1751" s="35" t="n">
        <f aca="false">IFERROR(INDEX(LevelOneOff,MATCH($H1751,LevelList,0)),0)</f>
        <v>0</v>
      </c>
      <c r="X1751" s="35" t="str">
        <f aca="false">IF($G1751="","",$V1751*N($L1751))</f>
        <v/>
      </c>
      <c r="Y1751" s="35" t="str">
        <f aca="false">IF($G1751="","",$V1751*(N($M1751)*1+N($N1751)*0.75+N($O1751)*0.5+N($P1751)*0.25)+$W1751*N($L1751))</f>
        <v/>
      </c>
      <c r="Z1751" s="35" t="str">
        <f aca="false">IF($G1751="","",$U1751*1000000+ROW())</f>
        <v/>
      </c>
      <c r="AA1751" s="36" t="str">
        <f aca="false">IF($G1751="","",MID(IF($C1751="",", no division","")&amp;IF($E1751="",", no unit","")&amp;IF($H1751="",", no career level","")&amp;IF(N($L1751)&lt;=0,", no quarter split","")&amp;IF($R1751="",", no driver","")&amp;IF(AND($H1751&lt;&gt;"",COUNTIF(CareerLevels,$H1751)=0),", a career level that is not on the ladder","")&amp;IF(AND($R1751&lt;&gt;"",COUNTIF(DriverList,$R1751)=0),", a driver that is not on the list","")&amp;IF(ABS(N($L1751)-(N($M1751)+N($N1751)+N($O1751)+N($P1751)))&gt;0.001,", a total that does not match its quarters",""),3,300))</f>
        <v/>
      </c>
    </row>
    <row r="1752" customFormat="false" ht="15" hidden="false" customHeight="false" outlineLevel="0" collapsed="false">
      <c r="A1752" s="33" t="str">
        <f aca="false">IF($G1752="","","Retail Banking Group")</f>
        <v/>
      </c>
      <c r="B1752" s="19"/>
      <c r="C1752" s="19"/>
      <c r="D1752" s="19"/>
      <c r="E1752" s="19"/>
      <c r="F1752" s="19"/>
      <c r="G1752" s="19"/>
      <c r="H1752" s="19"/>
      <c r="I1752" s="19"/>
      <c r="J1752" s="19"/>
      <c r="K1752" s="19"/>
      <c r="L1752" s="19"/>
      <c r="M1752" s="19"/>
      <c r="N1752" s="19"/>
      <c r="O1752" s="19"/>
      <c r="P1752" s="19"/>
      <c r="Q1752" s="19"/>
      <c r="R1752" s="19"/>
      <c r="S1752" s="19"/>
      <c r="T1752" s="34" t="str">
        <f aca="false">IF($R1752="","",IFERROR(INDEX(DriverCategory,MATCH($R1752,DriverList,0)),"BAU"))</f>
        <v/>
      </c>
      <c r="U1752" s="34" t="str">
        <f aca="false">IF($R1752="","",IFERROR(INDEX(DriverRank,MATCH($R1752,DriverList,0)),99))</f>
        <v/>
      </c>
      <c r="V1752" s="35" t="n">
        <f aca="false">IF($H1752="",0,IFERROR(INDEX(LevelBasic,MATCH($H1752,LevelList,0))+INDEX(LevelHousing,MATCH($H1752,LevelList,0))+INDEX(LevelTransport,MATCH($H1752,LevelList,0))+INDEX(LevelBasic,MATCH($H1752,LevelList,0))*INDEX(LevelBonus,MATCH($H1752,LevelList,0))+(INDEX(LevelBasic,MATCH($H1752,LevelList,0))+INDEX(LevelHousing,MATCH($H1752,LevelList,0)))*GosiSaudi,0))</f>
        <v>0</v>
      </c>
      <c r="W1752" s="35" t="n">
        <f aca="false">IFERROR(INDEX(LevelOneOff,MATCH($H1752,LevelList,0)),0)</f>
        <v>0</v>
      </c>
      <c r="X1752" s="35" t="str">
        <f aca="false">IF($G1752="","",$V1752*N($L1752))</f>
        <v/>
      </c>
      <c r="Y1752" s="35" t="str">
        <f aca="false">IF($G1752="","",$V1752*(N($M1752)*1+N($N1752)*0.75+N($O1752)*0.5+N($P1752)*0.25)+$W1752*N($L1752))</f>
        <v/>
      </c>
      <c r="Z1752" s="35" t="str">
        <f aca="false">IF($G1752="","",$U1752*1000000+ROW())</f>
        <v/>
      </c>
      <c r="AA1752" s="36" t="str">
        <f aca="false">IF($G1752="","",MID(IF($C1752="",", no division","")&amp;IF($E1752="",", no unit","")&amp;IF($H1752="",", no career level","")&amp;IF(N($L1752)&lt;=0,", no quarter split","")&amp;IF($R1752="",", no driver","")&amp;IF(AND($H1752&lt;&gt;"",COUNTIF(CareerLevels,$H1752)=0),", a career level that is not on the ladder","")&amp;IF(AND($R1752&lt;&gt;"",COUNTIF(DriverList,$R1752)=0),", a driver that is not on the list","")&amp;IF(ABS(N($L1752)-(N($M1752)+N($N1752)+N($O1752)+N($P1752)))&gt;0.001,", a total that does not match its quarters",""),3,300))</f>
        <v/>
      </c>
    </row>
    <row r="1753" customFormat="false" ht="15" hidden="false" customHeight="false" outlineLevel="0" collapsed="false">
      <c r="A1753" s="33" t="str">
        <f aca="false">IF($G1753="","","Retail Banking Group")</f>
        <v/>
      </c>
      <c r="B1753" s="19"/>
      <c r="C1753" s="19"/>
      <c r="D1753" s="19"/>
      <c r="E1753" s="19"/>
      <c r="F1753" s="19"/>
      <c r="G1753" s="19"/>
      <c r="H1753" s="19"/>
      <c r="I1753" s="19"/>
      <c r="J1753" s="19"/>
      <c r="K1753" s="19"/>
      <c r="L1753" s="19"/>
      <c r="M1753" s="19"/>
      <c r="N1753" s="19"/>
      <c r="O1753" s="19"/>
      <c r="P1753" s="19"/>
      <c r="Q1753" s="19"/>
      <c r="R1753" s="19"/>
      <c r="S1753" s="19"/>
      <c r="T1753" s="34" t="str">
        <f aca="false">IF($R1753="","",IFERROR(INDEX(DriverCategory,MATCH($R1753,DriverList,0)),"BAU"))</f>
        <v/>
      </c>
      <c r="U1753" s="34" t="str">
        <f aca="false">IF($R1753="","",IFERROR(INDEX(DriverRank,MATCH($R1753,DriverList,0)),99))</f>
        <v/>
      </c>
      <c r="V1753" s="35" t="n">
        <f aca="false">IF($H1753="",0,IFERROR(INDEX(LevelBasic,MATCH($H1753,LevelList,0))+INDEX(LevelHousing,MATCH($H1753,LevelList,0))+INDEX(LevelTransport,MATCH($H1753,LevelList,0))+INDEX(LevelBasic,MATCH($H1753,LevelList,0))*INDEX(LevelBonus,MATCH($H1753,LevelList,0))+(INDEX(LevelBasic,MATCH($H1753,LevelList,0))+INDEX(LevelHousing,MATCH($H1753,LevelList,0)))*GosiSaudi,0))</f>
        <v>0</v>
      </c>
      <c r="W1753" s="35" t="n">
        <f aca="false">IFERROR(INDEX(LevelOneOff,MATCH($H1753,LevelList,0)),0)</f>
        <v>0</v>
      </c>
      <c r="X1753" s="35" t="str">
        <f aca="false">IF($G1753="","",$V1753*N($L1753))</f>
        <v/>
      </c>
      <c r="Y1753" s="35" t="str">
        <f aca="false">IF($G1753="","",$V1753*(N($M1753)*1+N($N1753)*0.75+N($O1753)*0.5+N($P1753)*0.25)+$W1753*N($L1753))</f>
        <v/>
      </c>
      <c r="Z1753" s="35" t="str">
        <f aca="false">IF($G1753="","",$U1753*1000000+ROW())</f>
        <v/>
      </c>
      <c r="AA1753" s="36" t="str">
        <f aca="false">IF($G1753="","",MID(IF($C1753="",", no division","")&amp;IF($E1753="",", no unit","")&amp;IF($H1753="",", no career level","")&amp;IF(N($L1753)&lt;=0,", no quarter split","")&amp;IF($R1753="",", no driver","")&amp;IF(AND($H1753&lt;&gt;"",COUNTIF(CareerLevels,$H1753)=0),", a career level that is not on the ladder","")&amp;IF(AND($R1753&lt;&gt;"",COUNTIF(DriverList,$R1753)=0),", a driver that is not on the list","")&amp;IF(ABS(N($L1753)-(N($M1753)+N($N1753)+N($O1753)+N($P1753)))&gt;0.001,", a total that does not match its quarters",""),3,300))</f>
        <v/>
      </c>
    </row>
    <row r="1754" customFormat="false" ht="15" hidden="false" customHeight="false" outlineLevel="0" collapsed="false">
      <c r="A1754" s="33" t="str">
        <f aca="false">IF($G1754="","","Retail Banking Group")</f>
        <v/>
      </c>
      <c r="B1754" s="19"/>
      <c r="C1754" s="19"/>
      <c r="D1754" s="19"/>
      <c r="E1754" s="19"/>
      <c r="F1754" s="19"/>
      <c r="G1754" s="19"/>
      <c r="H1754" s="19"/>
      <c r="I1754" s="19"/>
      <c r="J1754" s="19"/>
      <c r="K1754" s="19"/>
      <c r="L1754" s="19"/>
      <c r="M1754" s="19"/>
      <c r="N1754" s="19"/>
      <c r="O1754" s="19"/>
      <c r="P1754" s="19"/>
      <c r="Q1754" s="19"/>
      <c r="R1754" s="19"/>
      <c r="S1754" s="19"/>
      <c r="T1754" s="34" t="str">
        <f aca="false">IF($R1754="","",IFERROR(INDEX(DriverCategory,MATCH($R1754,DriverList,0)),"BAU"))</f>
        <v/>
      </c>
      <c r="U1754" s="34" t="str">
        <f aca="false">IF($R1754="","",IFERROR(INDEX(DriverRank,MATCH($R1754,DriverList,0)),99))</f>
        <v/>
      </c>
      <c r="V1754" s="35" t="n">
        <f aca="false">IF($H1754="",0,IFERROR(INDEX(LevelBasic,MATCH($H1754,LevelList,0))+INDEX(LevelHousing,MATCH($H1754,LevelList,0))+INDEX(LevelTransport,MATCH($H1754,LevelList,0))+INDEX(LevelBasic,MATCH($H1754,LevelList,0))*INDEX(LevelBonus,MATCH($H1754,LevelList,0))+(INDEX(LevelBasic,MATCH($H1754,LevelList,0))+INDEX(LevelHousing,MATCH($H1754,LevelList,0)))*GosiSaudi,0))</f>
        <v>0</v>
      </c>
      <c r="W1754" s="35" t="n">
        <f aca="false">IFERROR(INDEX(LevelOneOff,MATCH($H1754,LevelList,0)),0)</f>
        <v>0</v>
      </c>
      <c r="X1754" s="35" t="str">
        <f aca="false">IF($G1754="","",$V1754*N($L1754))</f>
        <v/>
      </c>
      <c r="Y1754" s="35" t="str">
        <f aca="false">IF($G1754="","",$V1754*(N($M1754)*1+N($N1754)*0.75+N($O1754)*0.5+N($P1754)*0.25)+$W1754*N($L1754))</f>
        <v/>
      </c>
      <c r="Z1754" s="35" t="str">
        <f aca="false">IF($G1754="","",$U1754*1000000+ROW())</f>
        <v/>
      </c>
      <c r="AA1754" s="36" t="str">
        <f aca="false">IF($G1754="","",MID(IF($C1754="",", no division","")&amp;IF($E1754="",", no unit","")&amp;IF($H1754="",", no career level","")&amp;IF(N($L1754)&lt;=0,", no quarter split","")&amp;IF($R1754="",", no driver","")&amp;IF(AND($H1754&lt;&gt;"",COUNTIF(CareerLevels,$H1754)=0),", a career level that is not on the ladder","")&amp;IF(AND($R1754&lt;&gt;"",COUNTIF(DriverList,$R1754)=0),", a driver that is not on the list","")&amp;IF(ABS(N($L1754)-(N($M1754)+N($N1754)+N($O1754)+N($P1754)))&gt;0.001,", a total that does not match its quarters",""),3,300))</f>
        <v/>
      </c>
    </row>
    <row r="1755" customFormat="false" ht="15" hidden="false" customHeight="false" outlineLevel="0" collapsed="false">
      <c r="A1755" s="33" t="str">
        <f aca="false">IF($G1755="","","Retail Banking Group")</f>
        <v/>
      </c>
      <c r="B1755" s="19"/>
      <c r="C1755" s="19"/>
      <c r="D1755" s="19"/>
      <c r="E1755" s="19"/>
      <c r="F1755" s="19"/>
      <c r="G1755" s="19"/>
      <c r="H1755" s="19"/>
      <c r="I1755" s="19"/>
      <c r="J1755" s="19"/>
      <c r="K1755" s="19"/>
      <c r="L1755" s="19"/>
      <c r="M1755" s="19"/>
      <c r="N1755" s="19"/>
      <c r="O1755" s="19"/>
      <c r="P1755" s="19"/>
      <c r="Q1755" s="19"/>
      <c r="R1755" s="19"/>
      <c r="S1755" s="19"/>
      <c r="T1755" s="34" t="str">
        <f aca="false">IF($R1755="","",IFERROR(INDEX(DriverCategory,MATCH($R1755,DriverList,0)),"BAU"))</f>
        <v/>
      </c>
      <c r="U1755" s="34" t="str">
        <f aca="false">IF($R1755="","",IFERROR(INDEX(DriverRank,MATCH($R1755,DriverList,0)),99))</f>
        <v/>
      </c>
      <c r="V1755" s="35" t="n">
        <f aca="false">IF($H1755="",0,IFERROR(INDEX(LevelBasic,MATCH($H1755,LevelList,0))+INDEX(LevelHousing,MATCH($H1755,LevelList,0))+INDEX(LevelTransport,MATCH($H1755,LevelList,0))+INDEX(LevelBasic,MATCH($H1755,LevelList,0))*INDEX(LevelBonus,MATCH($H1755,LevelList,0))+(INDEX(LevelBasic,MATCH($H1755,LevelList,0))+INDEX(LevelHousing,MATCH($H1755,LevelList,0)))*GosiSaudi,0))</f>
        <v>0</v>
      </c>
      <c r="W1755" s="35" t="n">
        <f aca="false">IFERROR(INDEX(LevelOneOff,MATCH($H1755,LevelList,0)),0)</f>
        <v>0</v>
      </c>
      <c r="X1755" s="35" t="str">
        <f aca="false">IF($G1755="","",$V1755*N($L1755))</f>
        <v/>
      </c>
      <c r="Y1755" s="35" t="str">
        <f aca="false">IF($G1755="","",$V1755*(N($M1755)*1+N($N1755)*0.75+N($O1755)*0.5+N($P1755)*0.25)+$W1755*N($L1755))</f>
        <v/>
      </c>
      <c r="Z1755" s="35" t="str">
        <f aca="false">IF($G1755="","",$U1755*1000000+ROW())</f>
        <v/>
      </c>
      <c r="AA1755" s="36" t="str">
        <f aca="false">IF($G1755="","",MID(IF($C1755="",", no division","")&amp;IF($E1755="",", no unit","")&amp;IF($H1755="",", no career level","")&amp;IF(N($L1755)&lt;=0,", no quarter split","")&amp;IF($R1755="",", no driver","")&amp;IF(AND($H1755&lt;&gt;"",COUNTIF(CareerLevels,$H1755)=0),", a career level that is not on the ladder","")&amp;IF(AND($R1755&lt;&gt;"",COUNTIF(DriverList,$R1755)=0),", a driver that is not on the list","")&amp;IF(ABS(N($L1755)-(N($M1755)+N($N1755)+N($O1755)+N($P1755)))&gt;0.001,", a total that does not match its quarters",""),3,300))</f>
        <v/>
      </c>
    </row>
    <row r="1756" customFormat="false" ht="15" hidden="false" customHeight="false" outlineLevel="0" collapsed="false">
      <c r="A1756" s="33" t="str">
        <f aca="false">IF($G1756="","","Retail Banking Group")</f>
        <v/>
      </c>
      <c r="B1756" s="19"/>
      <c r="C1756" s="19"/>
      <c r="D1756" s="19"/>
      <c r="E1756" s="19"/>
      <c r="F1756" s="19"/>
      <c r="G1756" s="19"/>
      <c r="H1756" s="19"/>
      <c r="I1756" s="19"/>
      <c r="J1756" s="19"/>
      <c r="K1756" s="19"/>
      <c r="L1756" s="19"/>
      <c r="M1756" s="19"/>
      <c r="N1756" s="19"/>
      <c r="O1756" s="19"/>
      <c r="P1756" s="19"/>
      <c r="Q1756" s="19"/>
      <c r="R1756" s="19"/>
      <c r="S1756" s="19"/>
      <c r="T1756" s="34" t="str">
        <f aca="false">IF($R1756="","",IFERROR(INDEX(DriverCategory,MATCH($R1756,DriverList,0)),"BAU"))</f>
        <v/>
      </c>
      <c r="U1756" s="34" t="str">
        <f aca="false">IF($R1756="","",IFERROR(INDEX(DriverRank,MATCH($R1756,DriverList,0)),99))</f>
        <v/>
      </c>
      <c r="V1756" s="35" t="n">
        <f aca="false">IF($H1756="",0,IFERROR(INDEX(LevelBasic,MATCH($H1756,LevelList,0))+INDEX(LevelHousing,MATCH($H1756,LevelList,0))+INDEX(LevelTransport,MATCH($H1756,LevelList,0))+INDEX(LevelBasic,MATCH($H1756,LevelList,0))*INDEX(LevelBonus,MATCH($H1756,LevelList,0))+(INDEX(LevelBasic,MATCH($H1756,LevelList,0))+INDEX(LevelHousing,MATCH($H1756,LevelList,0)))*GosiSaudi,0))</f>
        <v>0</v>
      </c>
      <c r="W1756" s="35" t="n">
        <f aca="false">IFERROR(INDEX(LevelOneOff,MATCH($H1756,LevelList,0)),0)</f>
        <v>0</v>
      </c>
      <c r="X1756" s="35" t="str">
        <f aca="false">IF($G1756="","",$V1756*N($L1756))</f>
        <v/>
      </c>
      <c r="Y1756" s="35" t="str">
        <f aca="false">IF($G1756="","",$V1756*(N($M1756)*1+N($N1756)*0.75+N($O1756)*0.5+N($P1756)*0.25)+$W1756*N($L1756))</f>
        <v/>
      </c>
      <c r="Z1756" s="35" t="str">
        <f aca="false">IF($G1756="","",$U1756*1000000+ROW())</f>
        <v/>
      </c>
      <c r="AA1756" s="36" t="str">
        <f aca="false">IF($G1756="","",MID(IF($C1756="",", no division","")&amp;IF($E1756="",", no unit","")&amp;IF($H1756="",", no career level","")&amp;IF(N($L1756)&lt;=0,", no quarter split","")&amp;IF($R1756="",", no driver","")&amp;IF(AND($H1756&lt;&gt;"",COUNTIF(CareerLevels,$H1756)=0),", a career level that is not on the ladder","")&amp;IF(AND($R1756&lt;&gt;"",COUNTIF(DriverList,$R1756)=0),", a driver that is not on the list","")&amp;IF(ABS(N($L1756)-(N($M1756)+N($N1756)+N($O1756)+N($P1756)))&gt;0.001,", a total that does not match its quarters",""),3,300))</f>
        <v/>
      </c>
    </row>
    <row r="1757" customFormat="false" ht="15" hidden="false" customHeight="false" outlineLevel="0" collapsed="false">
      <c r="A1757" s="33" t="str">
        <f aca="false">IF($G1757="","","Retail Banking Group")</f>
        <v/>
      </c>
      <c r="B1757" s="19"/>
      <c r="C1757" s="19"/>
      <c r="D1757" s="19"/>
      <c r="E1757" s="19"/>
      <c r="F1757" s="19"/>
      <c r="G1757" s="19"/>
      <c r="H1757" s="19"/>
      <c r="I1757" s="19"/>
      <c r="J1757" s="19"/>
      <c r="K1757" s="19"/>
      <c r="L1757" s="19"/>
      <c r="M1757" s="19"/>
      <c r="N1757" s="19"/>
      <c r="O1757" s="19"/>
      <c r="P1757" s="19"/>
      <c r="Q1757" s="19"/>
      <c r="R1757" s="19"/>
      <c r="S1757" s="19"/>
      <c r="T1757" s="34" t="str">
        <f aca="false">IF($R1757="","",IFERROR(INDEX(DriverCategory,MATCH($R1757,DriverList,0)),"BAU"))</f>
        <v/>
      </c>
      <c r="U1757" s="34" t="str">
        <f aca="false">IF($R1757="","",IFERROR(INDEX(DriverRank,MATCH($R1757,DriverList,0)),99))</f>
        <v/>
      </c>
      <c r="V1757" s="35" t="n">
        <f aca="false">IF($H1757="",0,IFERROR(INDEX(LevelBasic,MATCH($H1757,LevelList,0))+INDEX(LevelHousing,MATCH($H1757,LevelList,0))+INDEX(LevelTransport,MATCH($H1757,LevelList,0))+INDEX(LevelBasic,MATCH($H1757,LevelList,0))*INDEX(LevelBonus,MATCH($H1757,LevelList,0))+(INDEX(LevelBasic,MATCH($H1757,LevelList,0))+INDEX(LevelHousing,MATCH($H1757,LevelList,0)))*GosiSaudi,0))</f>
        <v>0</v>
      </c>
      <c r="W1757" s="35" t="n">
        <f aca="false">IFERROR(INDEX(LevelOneOff,MATCH($H1757,LevelList,0)),0)</f>
        <v>0</v>
      </c>
      <c r="X1757" s="35" t="str">
        <f aca="false">IF($G1757="","",$V1757*N($L1757))</f>
        <v/>
      </c>
      <c r="Y1757" s="35" t="str">
        <f aca="false">IF($G1757="","",$V1757*(N($M1757)*1+N($N1757)*0.75+N($O1757)*0.5+N($P1757)*0.25)+$W1757*N($L1757))</f>
        <v/>
      </c>
      <c r="Z1757" s="35" t="str">
        <f aca="false">IF($G1757="","",$U1757*1000000+ROW())</f>
        <v/>
      </c>
      <c r="AA1757" s="36" t="str">
        <f aca="false">IF($G1757="","",MID(IF($C1757="",", no division","")&amp;IF($E1757="",", no unit","")&amp;IF($H1757="",", no career level","")&amp;IF(N($L1757)&lt;=0,", no quarter split","")&amp;IF($R1757="",", no driver","")&amp;IF(AND($H1757&lt;&gt;"",COUNTIF(CareerLevels,$H1757)=0),", a career level that is not on the ladder","")&amp;IF(AND($R1757&lt;&gt;"",COUNTIF(DriverList,$R1757)=0),", a driver that is not on the list","")&amp;IF(ABS(N($L1757)-(N($M1757)+N($N1757)+N($O1757)+N($P1757)))&gt;0.001,", a total that does not match its quarters",""),3,300))</f>
        <v/>
      </c>
    </row>
    <row r="1758" customFormat="false" ht="15" hidden="false" customHeight="false" outlineLevel="0" collapsed="false">
      <c r="A1758" s="33" t="str">
        <f aca="false">IF($G1758="","","Retail Banking Group")</f>
        <v/>
      </c>
      <c r="B1758" s="19"/>
      <c r="C1758" s="19"/>
      <c r="D1758" s="19"/>
      <c r="E1758" s="19"/>
      <c r="F1758" s="19"/>
      <c r="G1758" s="19"/>
      <c r="H1758" s="19"/>
      <c r="I1758" s="19"/>
      <c r="J1758" s="19"/>
      <c r="K1758" s="19"/>
      <c r="L1758" s="19"/>
      <c r="M1758" s="19"/>
      <c r="N1758" s="19"/>
      <c r="O1758" s="19"/>
      <c r="P1758" s="19"/>
      <c r="Q1758" s="19"/>
      <c r="R1758" s="19"/>
      <c r="S1758" s="19"/>
      <c r="T1758" s="34" t="str">
        <f aca="false">IF($R1758="","",IFERROR(INDEX(DriverCategory,MATCH($R1758,DriverList,0)),"BAU"))</f>
        <v/>
      </c>
      <c r="U1758" s="34" t="str">
        <f aca="false">IF($R1758="","",IFERROR(INDEX(DriverRank,MATCH($R1758,DriverList,0)),99))</f>
        <v/>
      </c>
      <c r="V1758" s="35" t="n">
        <f aca="false">IF($H1758="",0,IFERROR(INDEX(LevelBasic,MATCH($H1758,LevelList,0))+INDEX(LevelHousing,MATCH($H1758,LevelList,0))+INDEX(LevelTransport,MATCH($H1758,LevelList,0))+INDEX(LevelBasic,MATCH($H1758,LevelList,0))*INDEX(LevelBonus,MATCH($H1758,LevelList,0))+(INDEX(LevelBasic,MATCH($H1758,LevelList,0))+INDEX(LevelHousing,MATCH($H1758,LevelList,0)))*GosiSaudi,0))</f>
        <v>0</v>
      </c>
      <c r="W1758" s="35" t="n">
        <f aca="false">IFERROR(INDEX(LevelOneOff,MATCH($H1758,LevelList,0)),0)</f>
        <v>0</v>
      </c>
      <c r="X1758" s="35" t="str">
        <f aca="false">IF($G1758="","",$V1758*N($L1758))</f>
        <v/>
      </c>
      <c r="Y1758" s="35" t="str">
        <f aca="false">IF($G1758="","",$V1758*(N($M1758)*1+N($N1758)*0.75+N($O1758)*0.5+N($P1758)*0.25)+$W1758*N($L1758))</f>
        <v/>
      </c>
      <c r="Z1758" s="35" t="str">
        <f aca="false">IF($G1758="","",$U1758*1000000+ROW())</f>
        <v/>
      </c>
      <c r="AA1758" s="36" t="str">
        <f aca="false">IF($G1758="","",MID(IF($C1758="",", no division","")&amp;IF($E1758="",", no unit","")&amp;IF($H1758="",", no career level","")&amp;IF(N($L1758)&lt;=0,", no quarter split","")&amp;IF($R1758="",", no driver","")&amp;IF(AND($H1758&lt;&gt;"",COUNTIF(CareerLevels,$H1758)=0),", a career level that is not on the ladder","")&amp;IF(AND($R1758&lt;&gt;"",COUNTIF(DriverList,$R1758)=0),", a driver that is not on the list","")&amp;IF(ABS(N($L1758)-(N($M1758)+N($N1758)+N($O1758)+N($P1758)))&gt;0.001,", a total that does not match its quarters",""),3,300))</f>
        <v/>
      </c>
    </row>
    <row r="1759" customFormat="false" ht="15" hidden="false" customHeight="false" outlineLevel="0" collapsed="false">
      <c r="A1759" s="33" t="str">
        <f aca="false">IF($G1759="","","Retail Banking Group")</f>
        <v/>
      </c>
      <c r="B1759" s="19"/>
      <c r="C1759" s="19"/>
      <c r="D1759" s="19"/>
      <c r="E1759" s="19"/>
      <c r="F1759" s="19"/>
      <c r="G1759" s="19"/>
      <c r="H1759" s="19"/>
      <c r="I1759" s="19"/>
      <c r="J1759" s="19"/>
      <c r="K1759" s="19"/>
      <c r="L1759" s="19"/>
      <c r="M1759" s="19"/>
      <c r="N1759" s="19"/>
      <c r="O1759" s="19"/>
      <c r="P1759" s="19"/>
      <c r="Q1759" s="19"/>
      <c r="R1759" s="19"/>
      <c r="S1759" s="19"/>
      <c r="T1759" s="34" t="str">
        <f aca="false">IF($R1759="","",IFERROR(INDEX(DriverCategory,MATCH($R1759,DriverList,0)),"BAU"))</f>
        <v/>
      </c>
      <c r="U1759" s="34" t="str">
        <f aca="false">IF($R1759="","",IFERROR(INDEX(DriverRank,MATCH($R1759,DriverList,0)),99))</f>
        <v/>
      </c>
      <c r="V1759" s="35" t="n">
        <f aca="false">IF($H1759="",0,IFERROR(INDEX(LevelBasic,MATCH($H1759,LevelList,0))+INDEX(LevelHousing,MATCH($H1759,LevelList,0))+INDEX(LevelTransport,MATCH($H1759,LevelList,0))+INDEX(LevelBasic,MATCH($H1759,LevelList,0))*INDEX(LevelBonus,MATCH($H1759,LevelList,0))+(INDEX(LevelBasic,MATCH($H1759,LevelList,0))+INDEX(LevelHousing,MATCH($H1759,LevelList,0)))*GosiSaudi,0))</f>
        <v>0</v>
      </c>
      <c r="W1759" s="35" t="n">
        <f aca="false">IFERROR(INDEX(LevelOneOff,MATCH($H1759,LevelList,0)),0)</f>
        <v>0</v>
      </c>
      <c r="X1759" s="35" t="str">
        <f aca="false">IF($G1759="","",$V1759*N($L1759))</f>
        <v/>
      </c>
      <c r="Y1759" s="35" t="str">
        <f aca="false">IF($G1759="","",$V1759*(N($M1759)*1+N($N1759)*0.75+N($O1759)*0.5+N($P1759)*0.25)+$W1759*N($L1759))</f>
        <v/>
      </c>
      <c r="Z1759" s="35" t="str">
        <f aca="false">IF($G1759="","",$U1759*1000000+ROW())</f>
        <v/>
      </c>
      <c r="AA1759" s="36" t="str">
        <f aca="false">IF($G1759="","",MID(IF($C1759="",", no division","")&amp;IF($E1759="",", no unit","")&amp;IF($H1759="",", no career level","")&amp;IF(N($L1759)&lt;=0,", no quarter split","")&amp;IF($R1759="",", no driver","")&amp;IF(AND($H1759&lt;&gt;"",COUNTIF(CareerLevels,$H1759)=0),", a career level that is not on the ladder","")&amp;IF(AND($R1759&lt;&gt;"",COUNTIF(DriverList,$R1759)=0),", a driver that is not on the list","")&amp;IF(ABS(N($L1759)-(N($M1759)+N($N1759)+N($O1759)+N($P1759)))&gt;0.001,", a total that does not match its quarters",""),3,300))</f>
        <v/>
      </c>
    </row>
    <row r="1760" customFormat="false" ht="15" hidden="false" customHeight="false" outlineLevel="0" collapsed="false">
      <c r="A1760" s="33" t="str">
        <f aca="false">IF($G1760="","","Retail Banking Group")</f>
        <v/>
      </c>
      <c r="B1760" s="19"/>
      <c r="C1760" s="19"/>
      <c r="D1760" s="19"/>
      <c r="E1760" s="19"/>
      <c r="F1760" s="19"/>
      <c r="G1760" s="19"/>
      <c r="H1760" s="19"/>
      <c r="I1760" s="19"/>
      <c r="J1760" s="19"/>
      <c r="K1760" s="19"/>
      <c r="L1760" s="19"/>
      <c r="M1760" s="19"/>
      <c r="N1760" s="19"/>
      <c r="O1760" s="19"/>
      <c r="P1760" s="19"/>
      <c r="Q1760" s="19"/>
      <c r="R1760" s="19"/>
      <c r="S1760" s="19"/>
      <c r="T1760" s="34" t="str">
        <f aca="false">IF($R1760="","",IFERROR(INDEX(DriverCategory,MATCH($R1760,DriverList,0)),"BAU"))</f>
        <v/>
      </c>
      <c r="U1760" s="34" t="str">
        <f aca="false">IF($R1760="","",IFERROR(INDEX(DriverRank,MATCH($R1760,DriverList,0)),99))</f>
        <v/>
      </c>
      <c r="V1760" s="35" t="n">
        <f aca="false">IF($H1760="",0,IFERROR(INDEX(LevelBasic,MATCH($H1760,LevelList,0))+INDEX(LevelHousing,MATCH($H1760,LevelList,0))+INDEX(LevelTransport,MATCH($H1760,LevelList,0))+INDEX(LevelBasic,MATCH($H1760,LevelList,0))*INDEX(LevelBonus,MATCH($H1760,LevelList,0))+(INDEX(LevelBasic,MATCH($H1760,LevelList,0))+INDEX(LevelHousing,MATCH($H1760,LevelList,0)))*GosiSaudi,0))</f>
        <v>0</v>
      </c>
      <c r="W1760" s="35" t="n">
        <f aca="false">IFERROR(INDEX(LevelOneOff,MATCH($H1760,LevelList,0)),0)</f>
        <v>0</v>
      </c>
      <c r="X1760" s="35" t="str">
        <f aca="false">IF($G1760="","",$V1760*N($L1760))</f>
        <v/>
      </c>
      <c r="Y1760" s="35" t="str">
        <f aca="false">IF($G1760="","",$V1760*(N($M1760)*1+N($N1760)*0.75+N($O1760)*0.5+N($P1760)*0.25)+$W1760*N($L1760))</f>
        <v/>
      </c>
      <c r="Z1760" s="35" t="str">
        <f aca="false">IF($G1760="","",$U1760*1000000+ROW())</f>
        <v/>
      </c>
      <c r="AA1760" s="36" t="str">
        <f aca="false">IF($G1760="","",MID(IF($C1760="",", no division","")&amp;IF($E1760="",", no unit","")&amp;IF($H1760="",", no career level","")&amp;IF(N($L1760)&lt;=0,", no quarter split","")&amp;IF($R1760="",", no driver","")&amp;IF(AND($H1760&lt;&gt;"",COUNTIF(CareerLevels,$H1760)=0),", a career level that is not on the ladder","")&amp;IF(AND($R1760&lt;&gt;"",COUNTIF(DriverList,$R1760)=0),", a driver that is not on the list","")&amp;IF(ABS(N($L1760)-(N($M1760)+N($N1760)+N($O1760)+N($P1760)))&gt;0.001,", a total that does not match its quarters",""),3,300))</f>
        <v/>
      </c>
    </row>
    <row r="1761" customFormat="false" ht="15" hidden="false" customHeight="false" outlineLevel="0" collapsed="false">
      <c r="A1761" s="33" t="str">
        <f aca="false">IF($G1761="","","Retail Banking Group")</f>
        <v/>
      </c>
      <c r="B1761" s="19"/>
      <c r="C1761" s="19"/>
      <c r="D1761" s="19"/>
      <c r="E1761" s="19"/>
      <c r="F1761" s="19"/>
      <c r="G1761" s="19"/>
      <c r="H1761" s="19"/>
      <c r="I1761" s="19"/>
      <c r="J1761" s="19"/>
      <c r="K1761" s="19"/>
      <c r="L1761" s="19"/>
      <c r="M1761" s="19"/>
      <c r="N1761" s="19"/>
      <c r="O1761" s="19"/>
      <c r="P1761" s="19"/>
      <c r="Q1761" s="19"/>
      <c r="R1761" s="19"/>
      <c r="S1761" s="19"/>
      <c r="T1761" s="34" t="str">
        <f aca="false">IF($R1761="","",IFERROR(INDEX(DriverCategory,MATCH($R1761,DriverList,0)),"BAU"))</f>
        <v/>
      </c>
      <c r="U1761" s="34" t="str">
        <f aca="false">IF($R1761="","",IFERROR(INDEX(DriverRank,MATCH($R1761,DriverList,0)),99))</f>
        <v/>
      </c>
      <c r="V1761" s="35" t="n">
        <f aca="false">IF($H1761="",0,IFERROR(INDEX(LevelBasic,MATCH($H1761,LevelList,0))+INDEX(LevelHousing,MATCH($H1761,LevelList,0))+INDEX(LevelTransport,MATCH($H1761,LevelList,0))+INDEX(LevelBasic,MATCH($H1761,LevelList,0))*INDEX(LevelBonus,MATCH($H1761,LevelList,0))+(INDEX(LevelBasic,MATCH($H1761,LevelList,0))+INDEX(LevelHousing,MATCH($H1761,LevelList,0)))*GosiSaudi,0))</f>
        <v>0</v>
      </c>
      <c r="W1761" s="35" t="n">
        <f aca="false">IFERROR(INDEX(LevelOneOff,MATCH($H1761,LevelList,0)),0)</f>
        <v>0</v>
      </c>
      <c r="X1761" s="35" t="str">
        <f aca="false">IF($G1761="","",$V1761*N($L1761))</f>
        <v/>
      </c>
      <c r="Y1761" s="35" t="str">
        <f aca="false">IF($G1761="","",$V1761*(N($M1761)*1+N($N1761)*0.75+N($O1761)*0.5+N($P1761)*0.25)+$W1761*N($L1761))</f>
        <v/>
      </c>
      <c r="Z1761" s="35" t="str">
        <f aca="false">IF($G1761="","",$U1761*1000000+ROW())</f>
        <v/>
      </c>
      <c r="AA1761" s="36" t="str">
        <f aca="false">IF($G1761="","",MID(IF($C1761="",", no division","")&amp;IF($E1761="",", no unit","")&amp;IF($H1761="",", no career level","")&amp;IF(N($L1761)&lt;=0,", no quarter split","")&amp;IF($R1761="",", no driver","")&amp;IF(AND($H1761&lt;&gt;"",COUNTIF(CareerLevels,$H1761)=0),", a career level that is not on the ladder","")&amp;IF(AND($R1761&lt;&gt;"",COUNTIF(DriverList,$R1761)=0),", a driver that is not on the list","")&amp;IF(ABS(N($L1761)-(N($M1761)+N($N1761)+N($O1761)+N($P1761)))&gt;0.001,", a total that does not match its quarters",""),3,300))</f>
        <v/>
      </c>
    </row>
    <row r="1762" customFormat="false" ht="15" hidden="false" customHeight="false" outlineLevel="0" collapsed="false">
      <c r="A1762" s="33" t="str">
        <f aca="false">IF($G1762="","","Retail Banking Group")</f>
        <v/>
      </c>
      <c r="B1762" s="19"/>
      <c r="C1762" s="19"/>
      <c r="D1762" s="19"/>
      <c r="E1762" s="19"/>
      <c r="F1762" s="19"/>
      <c r="G1762" s="19"/>
      <c r="H1762" s="19"/>
      <c r="I1762" s="19"/>
      <c r="J1762" s="19"/>
      <c r="K1762" s="19"/>
      <c r="L1762" s="19"/>
      <c r="M1762" s="19"/>
      <c r="N1762" s="19"/>
      <c r="O1762" s="19"/>
      <c r="P1762" s="19"/>
      <c r="Q1762" s="19"/>
      <c r="R1762" s="19"/>
      <c r="S1762" s="19"/>
      <c r="T1762" s="34" t="str">
        <f aca="false">IF($R1762="","",IFERROR(INDEX(DriverCategory,MATCH($R1762,DriverList,0)),"BAU"))</f>
        <v/>
      </c>
      <c r="U1762" s="34" t="str">
        <f aca="false">IF($R1762="","",IFERROR(INDEX(DriverRank,MATCH($R1762,DriverList,0)),99))</f>
        <v/>
      </c>
      <c r="V1762" s="35" t="n">
        <f aca="false">IF($H1762="",0,IFERROR(INDEX(LevelBasic,MATCH($H1762,LevelList,0))+INDEX(LevelHousing,MATCH($H1762,LevelList,0))+INDEX(LevelTransport,MATCH($H1762,LevelList,0))+INDEX(LevelBasic,MATCH($H1762,LevelList,0))*INDEX(LevelBonus,MATCH($H1762,LevelList,0))+(INDEX(LevelBasic,MATCH($H1762,LevelList,0))+INDEX(LevelHousing,MATCH($H1762,LevelList,0)))*GosiSaudi,0))</f>
        <v>0</v>
      </c>
      <c r="W1762" s="35" t="n">
        <f aca="false">IFERROR(INDEX(LevelOneOff,MATCH($H1762,LevelList,0)),0)</f>
        <v>0</v>
      </c>
      <c r="X1762" s="35" t="str">
        <f aca="false">IF($G1762="","",$V1762*N($L1762))</f>
        <v/>
      </c>
      <c r="Y1762" s="35" t="str">
        <f aca="false">IF($G1762="","",$V1762*(N($M1762)*1+N($N1762)*0.75+N($O1762)*0.5+N($P1762)*0.25)+$W1762*N($L1762))</f>
        <v/>
      </c>
      <c r="Z1762" s="35" t="str">
        <f aca="false">IF($G1762="","",$U1762*1000000+ROW())</f>
        <v/>
      </c>
      <c r="AA1762" s="36" t="str">
        <f aca="false">IF($G1762="","",MID(IF($C1762="",", no division","")&amp;IF($E1762="",", no unit","")&amp;IF($H1762="",", no career level","")&amp;IF(N($L1762)&lt;=0,", no quarter split","")&amp;IF($R1762="",", no driver","")&amp;IF(AND($H1762&lt;&gt;"",COUNTIF(CareerLevels,$H1762)=0),", a career level that is not on the ladder","")&amp;IF(AND($R1762&lt;&gt;"",COUNTIF(DriverList,$R1762)=0),", a driver that is not on the list","")&amp;IF(ABS(N($L1762)-(N($M1762)+N($N1762)+N($O1762)+N($P1762)))&gt;0.001,", a total that does not match its quarters",""),3,300))</f>
        <v/>
      </c>
    </row>
    <row r="1763" customFormat="false" ht="15" hidden="false" customHeight="false" outlineLevel="0" collapsed="false">
      <c r="A1763" s="33" t="str">
        <f aca="false">IF($G1763="","","Retail Banking Group")</f>
        <v/>
      </c>
      <c r="B1763" s="19"/>
      <c r="C1763" s="19"/>
      <c r="D1763" s="19"/>
      <c r="E1763" s="19"/>
      <c r="F1763" s="19"/>
      <c r="G1763" s="19"/>
      <c r="H1763" s="19"/>
      <c r="I1763" s="19"/>
      <c r="J1763" s="19"/>
      <c r="K1763" s="19"/>
      <c r="L1763" s="19"/>
      <c r="M1763" s="19"/>
      <c r="N1763" s="19"/>
      <c r="O1763" s="19"/>
      <c r="P1763" s="19"/>
      <c r="Q1763" s="19"/>
      <c r="R1763" s="19"/>
      <c r="S1763" s="19"/>
      <c r="T1763" s="34" t="str">
        <f aca="false">IF($R1763="","",IFERROR(INDEX(DriverCategory,MATCH($R1763,DriverList,0)),"BAU"))</f>
        <v/>
      </c>
      <c r="U1763" s="34" t="str">
        <f aca="false">IF($R1763="","",IFERROR(INDEX(DriverRank,MATCH($R1763,DriverList,0)),99))</f>
        <v/>
      </c>
      <c r="V1763" s="35" t="n">
        <f aca="false">IF($H1763="",0,IFERROR(INDEX(LevelBasic,MATCH($H1763,LevelList,0))+INDEX(LevelHousing,MATCH($H1763,LevelList,0))+INDEX(LevelTransport,MATCH($H1763,LevelList,0))+INDEX(LevelBasic,MATCH($H1763,LevelList,0))*INDEX(LevelBonus,MATCH($H1763,LevelList,0))+(INDEX(LevelBasic,MATCH($H1763,LevelList,0))+INDEX(LevelHousing,MATCH($H1763,LevelList,0)))*GosiSaudi,0))</f>
        <v>0</v>
      </c>
      <c r="W1763" s="35" t="n">
        <f aca="false">IFERROR(INDEX(LevelOneOff,MATCH($H1763,LevelList,0)),0)</f>
        <v>0</v>
      </c>
      <c r="X1763" s="35" t="str">
        <f aca="false">IF($G1763="","",$V1763*N($L1763))</f>
        <v/>
      </c>
      <c r="Y1763" s="35" t="str">
        <f aca="false">IF($G1763="","",$V1763*(N($M1763)*1+N($N1763)*0.75+N($O1763)*0.5+N($P1763)*0.25)+$W1763*N($L1763))</f>
        <v/>
      </c>
      <c r="Z1763" s="35" t="str">
        <f aca="false">IF($G1763="","",$U1763*1000000+ROW())</f>
        <v/>
      </c>
      <c r="AA1763" s="36" t="str">
        <f aca="false">IF($G1763="","",MID(IF($C1763="",", no division","")&amp;IF($E1763="",", no unit","")&amp;IF($H1763="",", no career level","")&amp;IF(N($L1763)&lt;=0,", no quarter split","")&amp;IF($R1763="",", no driver","")&amp;IF(AND($H1763&lt;&gt;"",COUNTIF(CareerLevels,$H1763)=0),", a career level that is not on the ladder","")&amp;IF(AND($R1763&lt;&gt;"",COUNTIF(DriverList,$R1763)=0),", a driver that is not on the list","")&amp;IF(ABS(N($L1763)-(N($M1763)+N($N1763)+N($O1763)+N($P1763)))&gt;0.001,", a total that does not match its quarters",""),3,300))</f>
        <v/>
      </c>
    </row>
    <row r="1764" customFormat="false" ht="15" hidden="false" customHeight="false" outlineLevel="0" collapsed="false">
      <c r="A1764" s="33" t="str">
        <f aca="false">IF($G1764="","","Retail Banking Group")</f>
        <v/>
      </c>
      <c r="B1764" s="19"/>
      <c r="C1764" s="19"/>
      <c r="D1764" s="19"/>
      <c r="E1764" s="19"/>
      <c r="F1764" s="19"/>
      <c r="G1764" s="19"/>
      <c r="H1764" s="19"/>
      <c r="I1764" s="19"/>
      <c r="J1764" s="19"/>
      <c r="K1764" s="19"/>
      <c r="L1764" s="19"/>
      <c r="M1764" s="19"/>
      <c r="N1764" s="19"/>
      <c r="O1764" s="19"/>
      <c r="P1764" s="19"/>
      <c r="Q1764" s="19"/>
      <c r="R1764" s="19"/>
      <c r="S1764" s="19"/>
      <c r="T1764" s="34" t="str">
        <f aca="false">IF($R1764="","",IFERROR(INDEX(DriverCategory,MATCH($R1764,DriverList,0)),"BAU"))</f>
        <v/>
      </c>
      <c r="U1764" s="34" t="str">
        <f aca="false">IF($R1764="","",IFERROR(INDEX(DriverRank,MATCH($R1764,DriverList,0)),99))</f>
        <v/>
      </c>
      <c r="V1764" s="35" t="n">
        <f aca="false">IF($H1764="",0,IFERROR(INDEX(LevelBasic,MATCH($H1764,LevelList,0))+INDEX(LevelHousing,MATCH($H1764,LevelList,0))+INDEX(LevelTransport,MATCH($H1764,LevelList,0))+INDEX(LevelBasic,MATCH($H1764,LevelList,0))*INDEX(LevelBonus,MATCH($H1764,LevelList,0))+(INDEX(LevelBasic,MATCH($H1764,LevelList,0))+INDEX(LevelHousing,MATCH($H1764,LevelList,0)))*GosiSaudi,0))</f>
        <v>0</v>
      </c>
      <c r="W1764" s="35" t="n">
        <f aca="false">IFERROR(INDEX(LevelOneOff,MATCH($H1764,LevelList,0)),0)</f>
        <v>0</v>
      </c>
      <c r="X1764" s="35" t="str">
        <f aca="false">IF($G1764="","",$V1764*N($L1764))</f>
        <v/>
      </c>
      <c r="Y1764" s="35" t="str">
        <f aca="false">IF($G1764="","",$V1764*(N($M1764)*1+N($N1764)*0.75+N($O1764)*0.5+N($P1764)*0.25)+$W1764*N($L1764))</f>
        <v/>
      </c>
      <c r="Z1764" s="35" t="str">
        <f aca="false">IF($G1764="","",$U1764*1000000+ROW())</f>
        <v/>
      </c>
      <c r="AA1764" s="36" t="str">
        <f aca="false">IF($G1764="","",MID(IF($C1764="",", no division","")&amp;IF($E1764="",", no unit","")&amp;IF($H1764="",", no career level","")&amp;IF(N($L1764)&lt;=0,", no quarter split","")&amp;IF($R1764="",", no driver","")&amp;IF(AND($H1764&lt;&gt;"",COUNTIF(CareerLevels,$H1764)=0),", a career level that is not on the ladder","")&amp;IF(AND($R1764&lt;&gt;"",COUNTIF(DriverList,$R1764)=0),", a driver that is not on the list","")&amp;IF(ABS(N($L1764)-(N($M1764)+N($N1764)+N($O1764)+N($P1764)))&gt;0.001,", a total that does not match its quarters",""),3,300))</f>
        <v/>
      </c>
    </row>
    <row r="1765" customFormat="false" ht="15" hidden="false" customHeight="false" outlineLevel="0" collapsed="false">
      <c r="A1765" s="33" t="str">
        <f aca="false">IF($G1765="","","Retail Banking Group")</f>
        <v/>
      </c>
      <c r="B1765" s="19"/>
      <c r="C1765" s="19"/>
      <c r="D1765" s="19"/>
      <c r="E1765" s="19"/>
      <c r="F1765" s="19"/>
      <c r="G1765" s="19"/>
      <c r="H1765" s="19"/>
      <c r="I1765" s="19"/>
      <c r="J1765" s="19"/>
      <c r="K1765" s="19"/>
      <c r="L1765" s="19"/>
      <c r="M1765" s="19"/>
      <c r="N1765" s="19"/>
      <c r="O1765" s="19"/>
      <c r="P1765" s="19"/>
      <c r="Q1765" s="19"/>
      <c r="R1765" s="19"/>
      <c r="S1765" s="19"/>
      <c r="T1765" s="34" t="str">
        <f aca="false">IF($R1765="","",IFERROR(INDEX(DriverCategory,MATCH($R1765,DriverList,0)),"BAU"))</f>
        <v/>
      </c>
      <c r="U1765" s="34" t="str">
        <f aca="false">IF($R1765="","",IFERROR(INDEX(DriverRank,MATCH($R1765,DriverList,0)),99))</f>
        <v/>
      </c>
      <c r="V1765" s="35" t="n">
        <f aca="false">IF($H1765="",0,IFERROR(INDEX(LevelBasic,MATCH($H1765,LevelList,0))+INDEX(LevelHousing,MATCH($H1765,LevelList,0))+INDEX(LevelTransport,MATCH($H1765,LevelList,0))+INDEX(LevelBasic,MATCH($H1765,LevelList,0))*INDEX(LevelBonus,MATCH($H1765,LevelList,0))+(INDEX(LevelBasic,MATCH($H1765,LevelList,0))+INDEX(LevelHousing,MATCH($H1765,LevelList,0)))*GosiSaudi,0))</f>
        <v>0</v>
      </c>
      <c r="W1765" s="35" t="n">
        <f aca="false">IFERROR(INDEX(LevelOneOff,MATCH($H1765,LevelList,0)),0)</f>
        <v>0</v>
      </c>
      <c r="X1765" s="35" t="str">
        <f aca="false">IF($G1765="","",$V1765*N($L1765))</f>
        <v/>
      </c>
      <c r="Y1765" s="35" t="str">
        <f aca="false">IF($G1765="","",$V1765*(N($M1765)*1+N($N1765)*0.75+N($O1765)*0.5+N($P1765)*0.25)+$W1765*N($L1765))</f>
        <v/>
      </c>
      <c r="Z1765" s="35" t="str">
        <f aca="false">IF($G1765="","",$U1765*1000000+ROW())</f>
        <v/>
      </c>
      <c r="AA1765" s="36" t="str">
        <f aca="false">IF($G1765="","",MID(IF($C1765="",", no division","")&amp;IF($E1765="",", no unit","")&amp;IF($H1765="",", no career level","")&amp;IF(N($L1765)&lt;=0,", no quarter split","")&amp;IF($R1765="",", no driver","")&amp;IF(AND($H1765&lt;&gt;"",COUNTIF(CareerLevels,$H1765)=0),", a career level that is not on the ladder","")&amp;IF(AND($R1765&lt;&gt;"",COUNTIF(DriverList,$R1765)=0),", a driver that is not on the list","")&amp;IF(ABS(N($L1765)-(N($M1765)+N($N1765)+N($O1765)+N($P1765)))&gt;0.001,", a total that does not match its quarters",""),3,300))</f>
        <v/>
      </c>
    </row>
    <row r="1766" customFormat="false" ht="15" hidden="false" customHeight="false" outlineLevel="0" collapsed="false">
      <c r="A1766" s="33" t="str">
        <f aca="false">IF($G1766="","","Retail Banking Group")</f>
        <v/>
      </c>
      <c r="B1766" s="19"/>
      <c r="C1766" s="19"/>
      <c r="D1766" s="19"/>
      <c r="E1766" s="19"/>
      <c r="F1766" s="19"/>
      <c r="G1766" s="19"/>
      <c r="H1766" s="19"/>
      <c r="I1766" s="19"/>
      <c r="J1766" s="19"/>
      <c r="K1766" s="19"/>
      <c r="L1766" s="19"/>
      <c r="M1766" s="19"/>
      <c r="N1766" s="19"/>
      <c r="O1766" s="19"/>
      <c r="P1766" s="19"/>
      <c r="Q1766" s="19"/>
      <c r="R1766" s="19"/>
      <c r="S1766" s="19"/>
      <c r="T1766" s="34" t="str">
        <f aca="false">IF($R1766="","",IFERROR(INDEX(DriverCategory,MATCH($R1766,DriverList,0)),"BAU"))</f>
        <v/>
      </c>
      <c r="U1766" s="34" t="str">
        <f aca="false">IF($R1766="","",IFERROR(INDEX(DriverRank,MATCH($R1766,DriverList,0)),99))</f>
        <v/>
      </c>
      <c r="V1766" s="35" t="n">
        <f aca="false">IF($H1766="",0,IFERROR(INDEX(LevelBasic,MATCH($H1766,LevelList,0))+INDEX(LevelHousing,MATCH($H1766,LevelList,0))+INDEX(LevelTransport,MATCH($H1766,LevelList,0))+INDEX(LevelBasic,MATCH($H1766,LevelList,0))*INDEX(LevelBonus,MATCH($H1766,LevelList,0))+(INDEX(LevelBasic,MATCH($H1766,LevelList,0))+INDEX(LevelHousing,MATCH($H1766,LevelList,0)))*GosiSaudi,0))</f>
        <v>0</v>
      </c>
      <c r="W1766" s="35" t="n">
        <f aca="false">IFERROR(INDEX(LevelOneOff,MATCH($H1766,LevelList,0)),0)</f>
        <v>0</v>
      </c>
      <c r="X1766" s="35" t="str">
        <f aca="false">IF($G1766="","",$V1766*N($L1766))</f>
        <v/>
      </c>
      <c r="Y1766" s="35" t="str">
        <f aca="false">IF($G1766="","",$V1766*(N($M1766)*1+N($N1766)*0.75+N($O1766)*0.5+N($P1766)*0.25)+$W1766*N($L1766))</f>
        <v/>
      </c>
      <c r="Z1766" s="35" t="str">
        <f aca="false">IF($G1766="","",$U1766*1000000+ROW())</f>
        <v/>
      </c>
      <c r="AA1766" s="36" t="str">
        <f aca="false">IF($G1766="","",MID(IF($C1766="",", no division","")&amp;IF($E1766="",", no unit","")&amp;IF($H1766="",", no career level","")&amp;IF(N($L1766)&lt;=0,", no quarter split","")&amp;IF($R1766="",", no driver","")&amp;IF(AND($H1766&lt;&gt;"",COUNTIF(CareerLevels,$H1766)=0),", a career level that is not on the ladder","")&amp;IF(AND($R1766&lt;&gt;"",COUNTIF(DriverList,$R1766)=0),", a driver that is not on the list","")&amp;IF(ABS(N($L1766)-(N($M1766)+N($N1766)+N($O1766)+N($P1766)))&gt;0.001,", a total that does not match its quarters",""),3,300))</f>
        <v/>
      </c>
    </row>
    <row r="1767" customFormat="false" ht="15" hidden="false" customHeight="false" outlineLevel="0" collapsed="false">
      <c r="A1767" s="33" t="str">
        <f aca="false">IF($G1767="","","Retail Banking Group")</f>
        <v/>
      </c>
      <c r="B1767" s="19"/>
      <c r="C1767" s="19"/>
      <c r="D1767" s="19"/>
      <c r="E1767" s="19"/>
      <c r="F1767" s="19"/>
      <c r="G1767" s="19"/>
      <c r="H1767" s="19"/>
      <c r="I1767" s="19"/>
      <c r="J1767" s="19"/>
      <c r="K1767" s="19"/>
      <c r="L1767" s="19"/>
      <c r="M1767" s="19"/>
      <c r="N1767" s="19"/>
      <c r="O1767" s="19"/>
      <c r="P1767" s="19"/>
      <c r="Q1767" s="19"/>
      <c r="R1767" s="19"/>
      <c r="S1767" s="19"/>
      <c r="T1767" s="34" t="str">
        <f aca="false">IF($R1767="","",IFERROR(INDEX(DriverCategory,MATCH($R1767,DriverList,0)),"BAU"))</f>
        <v/>
      </c>
      <c r="U1767" s="34" t="str">
        <f aca="false">IF($R1767="","",IFERROR(INDEX(DriverRank,MATCH($R1767,DriverList,0)),99))</f>
        <v/>
      </c>
      <c r="V1767" s="35" t="n">
        <f aca="false">IF($H1767="",0,IFERROR(INDEX(LevelBasic,MATCH($H1767,LevelList,0))+INDEX(LevelHousing,MATCH($H1767,LevelList,0))+INDEX(LevelTransport,MATCH($H1767,LevelList,0))+INDEX(LevelBasic,MATCH($H1767,LevelList,0))*INDEX(LevelBonus,MATCH($H1767,LevelList,0))+(INDEX(LevelBasic,MATCH($H1767,LevelList,0))+INDEX(LevelHousing,MATCH($H1767,LevelList,0)))*GosiSaudi,0))</f>
        <v>0</v>
      </c>
      <c r="W1767" s="35" t="n">
        <f aca="false">IFERROR(INDEX(LevelOneOff,MATCH($H1767,LevelList,0)),0)</f>
        <v>0</v>
      </c>
      <c r="X1767" s="35" t="str">
        <f aca="false">IF($G1767="","",$V1767*N($L1767))</f>
        <v/>
      </c>
      <c r="Y1767" s="35" t="str">
        <f aca="false">IF($G1767="","",$V1767*(N($M1767)*1+N($N1767)*0.75+N($O1767)*0.5+N($P1767)*0.25)+$W1767*N($L1767))</f>
        <v/>
      </c>
      <c r="Z1767" s="35" t="str">
        <f aca="false">IF($G1767="","",$U1767*1000000+ROW())</f>
        <v/>
      </c>
      <c r="AA1767" s="36" t="str">
        <f aca="false">IF($G1767="","",MID(IF($C1767="",", no division","")&amp;IF($E1767="",", no unit","")&amp;IF($H1767="",", no career level","")&amp;IF(N($L1767)&lt;=0,", no quarter split","")&amp;IF($R1767="",", no driver","")&amp;IF(AND($H1767&lt;&gt;"",COUNTIF(CareerLevels,$H1767)=0),", a career level that is not on the ladder","")&amp;IF(AND($R1767&lt;&gt;"",COUNTIF(DriverList,$R1767)=0),", a driver that is not on the list","")&amp;IF(ABS(N($L1767)-(N($M1767)+N($N1767)+N($O1767)+N($P1767)))&gt;0.001,", a total that does not match its quarters",""),3,300))</f>
        <v/>
      </c>
    </row>
    <row r="1768" customFormat="false" ht="15" hidden="false" customHeight="false" outlineLevel="0" collapsed="false">
      <c r="A1768" s="33" t="str">
        <f aca="false">IF($G1768="","","Retail Banking Group")</f>
        <v/>
      </c>
      <c r="B1768" s="19"/>
      <c r="C1768" s="19"/>
      <c r="D1768" s="19"/>
      <c r="E1768" s="19"/>
      <c r="F1768" s="19"/>
      <c r="G1768" s="19"/>
      <c r="H1768" s="19"/>
      <c r="I1768" s="19"/>
      <c r="J1768" s="19"/>
      <c r="K1768" s="19"/>
      <c r="L1768" s="19"/>
      <c r="M1768" s="19"/>
      <c r="N1768" s="19"/>
      <c r="O1768" s="19"/>
      <c r="P1768" s="19"/>
      <c r="Q1768" s="19"/>
      <c r="R1768" s="19"/>
      <c r="S1768" s="19"/>
      <c r="T1768" s="34" t="str">
        <f aca="false">IF($R1768="","",IFERROR(INDEX(DriverCategory,MATCH($R1768,DriverList,0)),"BAU"))</f>
        <v/>
      </c>
      <c r="U1768" s="34" t="str">
        <f aca="false">IF($R1768="","",IFERROR(INDEX(DriverRank,MATCH($R1768,DriverList,0)),99))</f>
        <v/>
      </c>
      <c r="V1768" s="35" t="n">
        <f aca="false">IF($H1768="",0,IFERROR(INDEX(LevelBasic,MATCH($H1768,LevelList,0))+INDEX(LevelHousing,MATCH($H1768,LevelList,0))+INDEX(LevelTransport,MATCH($H1768,LevelList,0))+INDEX(LevelBasic,MATCH($H1768,LevelList,0))*INDEX(LevelBonus,MATCH($H1768,LevelList,0))+(INDEX(LevelBasic,MATCH($H1768,LevelList,0))+INDEX(LevelHousing,MATCH($H1768,LevelList,0)))*GosiSaudi,0))</f>
        <v>0</v>
      </c>
      <c r="W1768" s="35" t="n">
        <f aca="false">IFERROR(INDEX(LevelOneOff,MATCH($H1768,LevelList,0)),0)</f>
        <v>0</v>
      </c>
      <c r="X1768" s="35" t="str">
        <f aca="false">IF($G1768="","",$V1768*N($L1768))</f>
        <v/>
      </c>
      <c r="Y1768" s="35" t="str">
        <f aca="false">IF($G1768="","",$V1768*(N($M1768)*1+N($N1768)*0.75+N($O1768)*0.5+N($P1768)*0.25)+$W1768*N($L1768))</f>
        <v/>
      </c>
      <c r="Z1768" s="35" t="str">
        <f aca="false">IF($G1768="","",$U1768*1000000+ROW())</f>
        <v/>
      </c>
      <c r="AA1768" s="36" t="str">
        <f aca="false">IF($G1768="","",MID(IF($C1768="",", no division","")&amp;IF($E1768="",", no unit","")&amp;IF($H1768="",", no career level","")&amp;IF(N($L1768)&lt;=0,", no quarter split","")&amp;IF($R1768="",", no driver","")&amp;IF(AND($H1768&lt;&gt;"",COUNTIF(CareerLevels,$H1768)=0),", a career level that is not on the ladder","")&amp;IF(AND($R1768&lt;&gt;"",COUNTIF(DriverList,$R1768)=0),", a driver that is not on the list","")&amp;IF(ABS(N($L1768)-(N($M1768)+N($N1768)+N($O1768)+N($P1768)))&gt;0.001,", a total that does not match its quarters",""),3,300))</f>
        <v/>
      </c>
    </row>
    <row r="1769" customFormat="false" ht="15" hidden="false" customHeight="false" outlineLevel="0" collapsed="false">
      <c r="A1769" s="33" t="str">
        <f aca="false">IF($G1769="","","Retail Banking Group")</f>
        <v/>
      </c>
      <c r="B1769" s="19"/>
      <c r="C1769" s="19"/>
      <c r="D1769" s="19"/>
      <c r="E1769" s="19"/>
      <c r="F1769" s="19"/>
      <c r="G1769" s="19"/>
      <c r="H1769" s="19"/>
      <c r="I1769" s="19"/>
      <c r="J1769" s="19"/>
      <c r="K1769" s="19"/>
      <c r="L1769" s="19"/>
      <c r="M1769" s="19"/>
      <c r="N1769" s="19"/>
      <c r="O1769" s="19"/>
      <c r="P1769" s="19"/>
      <c r="Q1769" s="19"/>
      <c r="R1769" s="19"/>
      <c r="S1769" s="19"/>
      <c r="T1769" s="34" t="str">
        <f aca="false">IF($R1769="","",IFERROR(INDEX(DriverCategory,MATCH($R1769,DriverList,0)),"BAU"))</f>
        <v/>
      </c>
      <c r="U1769" s="34" t="str">
        <f aca="false">IF($R1769="","",IFERROR(INDEX(DriverRank,MATCH($R1769,DriverList,0)),99))</f>
        <v/>
      </c>
      <c r="V1769" s="35" t="n">
        <f aca="false">IF($H1769="",0,IFERROR(INDEX(LevelBasic,MATCH($H1769,LevelList,0))+INDEX(LevelHousing,MATCH($H1769,LevelList,0))+INDEX(LevelTransport,MATCH($H1769,LevelList,0))+INDEX(LevelBasic,MATCH($H1769,LevelList,0))*INDEX(LevelBonus,MATCH($H1769,LevelList,0))+(INDEX(LevelBasic,MATCH($H1769,LevelList,0))+INDEX(LevelHousing,MATCH($H1769,LevelList,0)))*GosiSaudi,0))</f>
        <v>0</v>
      </c>
      <c r="W1769" s="35" t="n">
        <f aca="false">IFERROR(INDEX(LevelOneOff,MATCH($H1769,LevelList,0)),0)</f>
        <v>0</v>
      </c>
      <c r="X1769" s="35" t="str">
        <f aca="false">IF($G1769="","",$V1769*N($L1769))</f>
        <v/>
      </c>
      <c r="Y1769" s="35" t="str">
        <f aca="false">IF($G1769="","",$V1769*(N($M1769)*1+N($N1769)*0.75+N($O1769)*0.5+N($P1769)*0.25)+$W1769*N($L1769))</f>
        <v/>
      </c>
      <c r="Z1769" s="35" t="str">
        <f aca="false">IF($G1769="","",$U1769*1000000+ROW())</f>
        <v/>
      </c>
      <c r="AA1769" s="36" t="str">
        <f aca="false">IF($G1769="","",MID(IF($C1769="",", no division","")&amp;IF($E1769="",", no unit","")&amp;IF($H1769="",", no career level","")&amp;IF(N($L1769)&lt;=0,", no quarter split","")&amp;IF($R1769="",", no driver","")&amp;IF(AND($H1769&lt;&gt;"",COUNTIF(CareerLevels,$H1769)=0),", a career level that is not on the ladder","")&amp;IF(AND($R1769&lt;&gt;"",COUNTIF(DriverList,$R1769)=0),", a driver that is not on the list","")&amp;IF(ABS(N($L1769)-(N($M1769)+N($N1769)+N($O1769)+N($P1769)))&gt;0.001,", a total that does not match its quarters",""),3,300))</f>
        <v/>
      </c>
    </row>
    <row r="1770" customFormat="false" ht="15" hidden="false" customHeight="false" outlineLevel="0" collapsed="false">
      <c r="A1770" s="33" t="str">
        <f aca="false">IF($G1770="","","Retail Banking Group")</f>
        <v/>
      </c>
      <c r="B1770" s="19"/>
      <c r="C1770" s="19"/>
      <c r="D1770" s="19"/>
      <c r="E1770" s="19"/>
      <c r="F1770" s="19"/>
      <c r="G1770" s="19"/>
      <c r="H1770" s="19"/>
      <c r="I1770" s="19"/>
      <c r="J1770" s="19"/>
      <c r="K1770" s="19"/>
      <c r="L1770" s="19"/>
      <c r="M1770" s="19"/>
      <c r="N1770" s="19"/>
      <c r="O1770" s="19"/>
      <c r="P1770" s="19"/>
      <c r="Q1770" s="19"/>
      <c r="R1770" s="19"/>
      <c r="S1770" s="19"/>
      <c r="T1770" s="34" t="str">
        <f aca="false">IF($R1770="","",IFERROR(INDEX(DriverCategory,MATCH($R1770,DriverList,0)),"BAU"))</f>
        <v/>
      </c>
      <c r="U1770" s="34" t="str">
        <f aca="false">IF($R1770="","",IFERROR(INDEX(DriverRank,MATCH($R1770,DriverList,0)),99))</f>
        <v/>
      </c>
      <c r="V1770" s="35" t="n">
        <f aca="false">IF($H1770="",0,IFERROR(INDEX(LevelBasic,MATCH($H1770,LevelList,0))+INDEX(LevelHousing,MATCH($H1770,LevelList,0))+INDEX(LevelTransport,MATCH($H1770,LevelList,0))+INDEX(LevelBasic,MATCH($H1770,LevelList,0))*INDEX(LevelBonus,MATCH($H1770,LevelList,0))+(INDEX(LevelBasic,MATCH($H1770,LevelList,0))+INDEX(LevelHousing,MATCH($H1770,LevelList,0)))*GosiSaudi,0))</f>
        <v>0</v>
      </c>
      <c r="W1770" s="35" t="n">
        <f aca="false">IFERROR(INDEX(LevelOneOff,MATCH($H1770,LevelList,0)),0)</f>
        <v>0</v>
      </c>
      <c r="X1770" s="35" t="str">
        <f aca="false">IF($G1770="","",$V1770*N($L1770))</f>
        <v/>
      </c>
      <c r="Y1770" s="35" t="str">
        <f aca="false">IF($G1770="","",$V1770*(N($M1770)*1+N($N1770)*0.75+N($O1770)*0.5+N($P1770)*0.25)+$W1770*N($L1770))</f>
        <v/>
      </c>
      <c r="Z1770" s="35" t="str">
        <f aca="false">IF($G1770="","",$U1770*1000000+ROW())</f>
        <v/>
      </c>
      <c r="AA1770" s="36" t="str">
        <f aca="false">IF($G1770="","",MID(IF($C1770="",", no division","")&amp;IF($E1770="",", no unit","")&amp;IF($H1770="",", no career level","")&amp;IF(N($L1770)&lt;=0,", no quarter split","")&amp;IF($R1770="",", no driver","")&amp;IF(AND($H1770&lt;&gt;"",COUNTIF(CareerLevels,$H1770)=0),", a career level that is not on the ladder","")&amp;IF(AND($R1770&lt;&gt;"",COUNTIF(DriverList,$R1770)=0),", a driver that is not on the list","")&amp;IF(ABS(N($L1770)-(N($M1770)+N($N1770)+N($O1770)+N($P1770)))&gt;0.001,", a total that does not match its quarters",""),3,300))</f>
        <v/>
      </c>
    </row>
    <row r="1771" customFormat="false" ht="15" hidden="false" customHeight="false" outlineLevel="0" collapsed="false">
      <c r="A1771" s="33" t="str">
        <f aca="false">IF($G1771="","","Retail Banking Group")</f>
        <v/>
      </c>
      <c r="B1771" s="19"/>
      <c r="C1771" s="19"/>
      <c r="D1771" s="19"/>
      <c r="E1771" s="19"/>
      <c r="F1771" s="19"/>
      <c r="G1771" s="19"/>
      <c r="H1771" s="19"/>
      <c r="I1771" s="19"/>
      <c r="J1771" s="19"/>
      <c r="K1771" s="19"/>
      <c r="L1771" s="19"/>
      <c r="M1771" s="19"/>
      <c r="N1771" s="19"/>
      <c r="O1771" s="19"/>
      <c r="P1771" s="19"/>
      <c r="Q1771" s="19"/>
      <c r="R1771" s="19"/>
      <c r="S1771" s="19"/>
      <c r="T1771" s="34" t="str">
        <f aca="false">IF($R1771="","",IFERROR(INDEX(DriverCategory,MATCH($R1771,DriverList,0)),"BAU"))</f>
        <v/>
      </c>
      <c r="U1771" s="34" t="str">
        <f aca="false">IF($R1771="","",IFERROR(INDEX(DriverRank,MATCH($R1771,DriverList,0)),99))</f>
        <v/>
      </c>
      <c r="V1771" s="35" t="n">
        <f aca="false">IF($H1771="",0,IFERROR(INDEX(LevelBasic,MATCH($H1771,LevelList,0))+INDEX(LevelHousing,MATCH($H1771,LevelList,0))+INDEX(LevelTransport,MATCH($H1771,LevelList,0))+INDEX(LevelBasic,MATCH($H1771,LevelList,0))*INDEX(LevelBonus,MATCH($H1771,LevelList,0))+(INDEX(LevelBasic,MATCH($H1771,LevelList,0))+INDEX(LevelHousing,MATCH($H1771,LevelList,0)))*GosiSaudi,0))</f>
        <v>0</v>
      </c>
      <c r="W1771" s="35" t="n">
        <f aca="false">IFERROR(INDEX(LevelOneOff,MATCH($H1771,LevelList,0)),0)</f>
        <v>0</v>
      </c>
      <c r="X1771" s="35" t="str">
        <f aca="false">IF($G1771="","",$V1771*N($L1771))</f>
        <v/>
      </c>
      <c r="Y1771" s="35" t="str">
        <f aca="false">IF($G1771="","",$V1771*(N($M1771)*1+N($N1771)*0.75+N($O1771)*0.5+N($P1771)*0.25)+$W1771*N($L1771))</f>
        <v/>
      </c>
      <c r="Z1771" s="35" t="str">
        <f aca="false">IF($G1771="","",$U1771*1000000+ROW())</f>
        <v/>
      </c>
      <c r="AA1771" s="36" t="str">
        <f aca="false">IF($G1771="","",MID(IF($C1771="",", no division","")&amp;IF($E1771="",", no unit","")&amp;IF($H1771="",", no career level","")&amp;IF(N($L1771)&lt;=0,", no quarter split","")&amp;IF($R1771="",", no driver","")&amp;IF(AND($H1771&lt;&gt;"",COUNTIF(CareerLevels,$H1771)=0),", a career level that is not on the ladder","")&amp;IF(AND($R1771&lt;&gt;"",COUNTIF(DriverList,$R1771)=0),", a driver that is not on the list","")&amp;IF(ABS(N($L1771)-(N($M1771)+N($N1771)+N($O1771)+N($P1771)))&gt;0.001,", a total that does not match its quarters",""),3,300))</f>
        <v/>
      </c>
    </row>
    <row r="1772" customFormat="false" ht="15" hidden="false" customHeight="false" outlineLevel="0" collapsed="false">
      <c r="A1772" s="33" t="str">
        <f aca="false">IF($G1772="","","Retail Banking Group")</f>
        <v/>
      </c>
      <c r="B1772" s="19"/>
      <c r="C1772" s="19"/>
      <c r="D1772" s="19"/>
      <c r="E1772" s="19"/>
      <c r="F1772" s="19"/>
      <c r="G1772" s="19"/>
      <c r="H1772" s="19"/>
      <c r="I1772" s="19"/>
      <c r="J1772" s="19"/>
      <c r="K1772" s="19"/>
      <c r="L1772" s="19"/>
      <c r="M1772" s="19"/>
      <c r="N1772" s="19"/>
      <c r="O1772" s="19"/>
      <c r="P1772" s="19"/>
      <c r="Q1772" s="19"/>
      <c r="R1772" s="19"/>
      <c r="S1772" s="19"/>
      <c r="T1772" s="34" t="str">
        <f aca="false">IF($R1772="","",IFERROR(INDEX(DriverCategory,MATCH($R1772,DriverList,0)),"BAU"))</f>
        <v/>
      </c>
      <c r="U1772" s="34" t="str">
        <f aca="false">IF($R1772="","",IFERROR(INDEX(DriverRank,MATCH($R1772,DriverList,0)),99))</f>
        <v/>
      </c>
      <c r="V1772" s="35" t="n">
        <f aca="false">IF($H1772="",0,IFERROR(INDEX(LevelBasic,MATCH($H1772,LevelList,0))+INDEX(LevelHousing,MATCH($H1772,LevelList,0))+INDEX(LevelTransport,MATCH($H1772,LevelList,0))+INDEX(LevelBasic,MATCH($H1772,LevelList,0))*INDEX(LevelBonus,MATCH($H1772,LevelList,0))+(INDEX(LevelBasic,MATCH($H1772,LevelList,0))+INDEX(LevelHousing,MATCH($H1772,LevelList,0)))*GosiSaudi,0))</f>
        <v>0</v>
      </c>
      <c r="W1772" s="35" t="n">
        <f aca="false">IFERROR(INDEX(LevelOneOff,MATCH($H1772,LevelList,0)),0)</f>
        <v>0</v>
      </c>
      <c r="X1772" s="35" t="str">
        <f aca="false">IF($G1772="","",$V1772*N($L1772))</f>
        <v/>
      </c>
      <c r="Y1772" s="35" t="str">
        <f aca="false">IF($G1772="","",$V1772*(N($M1772)*1+N($N1772)*0.75+N($O1772)*0.5+N($P1772)*0.25)+$W1772*N($L1772))</f>
        <v/>
      </c>
      <c r="Z1772" s="35" t="str">
        <f aca="false">IF($G1772="","",$U1772*1000000+ROW())</f>
        <v/>
      </c>
      <c r="AA1772" s="36" t="str">
        <f aca="false">IF($G1772="","",MID(IF($C1772="",", no division","")&amp;IF($E1772="",", no unit","")&amp;IF($H1772="",", no career level","")&amp;IF(N($L1772)&lt;=0,", no quarter split","")&amp;IF($R1772="",", no driver","")&amp;IF(AND($H1772&lt;&gt;"",COUNTIF(CareerLevels,$H1772)=0),", a career level that is not on the ladder","")&amp;IF(AND($R1772&lt;&gt;"",COUNTIF(DriverList,$R1772)=0),", a driver that is not on the list","")&amp;IF(ABS(N($L1772)-(N($M1772)+N($N1772)+N($O1772)+N($P1772)))&gt;0.001,", a total that does not match its quarters",""),3,300))</f>
        <v/>
      </c>
    </row>
    <row r="1773" customFormat="false" ht="15" hidden="false" customHeight="false" outlineLevel="0" collapsed="false">
      <c r="A1773" s="33" t="str">
        <f aca="false">IF($G1773="","","Retail Banking Group")</f>
        <v/>
      </c>
      <c r="B1773" s="19"/>
      <c r="C1773" s="19"/>
      <c r="D1773" s="19"/>
      <c r="E1773" s="19"/>
      <c r="F1773" s="19"/>
      <c r="G1773" s="19"/>
      <c r="H1773" s="19"/>
      <c r="I1773" s="19"/>
      <c r="J1773" s="19"/>
      <c r="K1773" s="19"/>
      <c r="L1773" s="19"/>
      <c r="M1773" s="19"/>
      <c r="N1773" s="19"/>
      <c r="O1773" s="19"/>
      <c r="P1773" s="19"/>
      <c r="Q1773" s="19"/>
      <c r="R1773" s="19"/>
      <c r="S1773" s="19"/>
      <c r="T1773" s="34" t="str">
        <f aca="false">IF($R1773="","",IFERROR(INDEX(DriverCategory,MATCH($R1773,DriverList,0)),"BAU"))</f>
        <v/>
      </c>
      <c r="U1773" s="34" t="str">
        <f aca="false">IF($R1773="","",IFERROR(INDEX(DriverRank,MATCH($R1773,DriverList,0)),99))</f>
        <v/>
      </c>
      <c r="V1773" s="35" t="n">
        <f aca="false">IF($H1773="",0,IFERROR(INDEX(LevelBasic,MATCH($H1773,LevelList,0))+INDEX(LevelHousing,MATCH($H1773,LevelList,0))+INDEX(LevelTransport,MATCH($H1773,LevelList,0))+INDEX(LevelBasic,MATCH($H1773,LevelList,0))*INDEX(LevelBonus,MATCH($H1773,LevelList,0))+(INDEX(LevelBasic,MATCH($H1773,LevelList,0))+INDEX(LevelHousing,MATCH($H1773,LevelList,0)))*GosiSaudi,0))</f>
        <v>0</v>
      </c>
      <c r="W1773" s="35" t="n">
        <f aca="false">IFERROR(INDEX(LevelOneOff,MATCH($H1773,LevelList,0)),0)</f>
        <v>0</v>
      </c>
      <c r="X1773" s="35" t="str">
        <f aca="false">IF($G1773="","",$V1773*N($L1773))</f>
        <v/>
      </c>
      <c r="Y1773" s="35" t="str">
        <f aca="false">IF($G1773="","",$V1773*(N($M1773)*1+N($N1773)*0.75+N($O1773)*0.5+N($P1773)*0.25)+$W1773*N($L1773))</f>
        <v/>
      </c>
      <c r="Z1773" s="35" t="str">
        <f aca="false">IF($G1773="","",$U1773*1000000+ROW())</f>
        <v/>
      </c>
      <c r="AA1773" s="36" t="str">
        <f aca="false">IF($G1773="","",MID(IF($C1773="",", no division","")&amp;IF($E1773="",", no unit","")&amp;IF($H1773="",", no career level","")&amp;IF(N($L1773)&lt;=0,", no quarter split","")&amp;IF($R1773="",", no driver","")&amp;IF(AND($H1773&lt;&gt;"",COUNTIF(CareerLevels,$H1773)=0),", a career level that is not on the ladder","")&amp;IF(AND($R1773&lt;&gt;"",COUNTIF(DriverList,$R1773)=0),", a driver that is not on the list","")&amp;IF(ABS(N($L1773)-(N($M1773)+N($N1773)+N($O1773)+N($P1773)))&gt;0.001,", a total that does not match its quarters",""),3,300))</f>
        <v/>
      </c>
    </row>
    <row r="1774" customFormat="false" ht="15" hidden="false" customHeight="false" outlineLevel="0" collapsed="false">
      <c r="A1774" s="33" t="str">
        <f aca="false">IF($G1774="","","Retail Banking Group")</f>
        <v/>
      </c>
      <c r="B1774" s="19"/>
      <c r="C1774" s="19"/>
      <c r="D1774" s="19"/>
      <c r="E1774" s="19"/>
      <c r="F1774" s="19"/>
      <c r="G1774" s="19"/>
      <c r="H1774" s="19"/>
      <c r="I1774" s="19"/>
      <c r="J1774" s="19"/>
      <c r="K1774" s="19"/>
      <c r="L1774" s="19"/>
      <c r="M1774" s="19"/>
      <c r="N1774" s="19"/>
      <c r="O1774" s="19"/>
      <c r="P1774" s="19"/>
      <c r="Q1774" s="19"/>
      <c r="R1774" s="19"/>
      <c r="S1774" s="19"/>
      <c r="T1774" s="34" t="str">
        <f aca="false">IF($R1774="","",IFERROR(INDEX(DriverCategory,MATCH($R1774,DriverList,0)),"BAU"))</f>
        <v/>
      </c>
      <c r="U1774" s="34" t="str">
        <f aca="false">IF($R1774="","",IFERROR(INDEX(DriverRank,MATCH($R1774,DriverList,0)),99))</f>
        <v/>
      </c>
      <c r="V1774" s="35" t="n">
        <f aca="false">IF($H1774="",0,IFERROR(INDEX(LevelBasic,MATCH($H1774,LevelList,0))+INDEX(LevelHousing,MATCH($H1774,LevelList,0))+INDEX(LevelTransport,MATCH($H1774,LevelList,0))+INDEX(LevelBasic,MATCH($H1774,LevelList,0))*INDEX(LevelBonus,MATCH($H1774,LevelList,0))+(INDEX(LevelBasic,MATCH($H1774,LevelList,0))+INDEX(LevelHousing,MATCH($H1774,LevelList,0)))*GosiSaudi,0))</f>
        <v>0</v>
      </c>
      <c r="W1774" s="35" t="n">
        <f aca="false">IFERROR(INDEX(LevelOneOff,MATCH($H1774,LevelList,0)),0)</f>
        <v>0</v>
      </c>
      <c r="X1774" s="35" t="str">
        <f aca="false">IF($G1774="","",$V1774*N($L1774))</f>
        <v/>
      </c>
      <c r="Y1774" s="35" t="str">
        <f aca="false">IF($G1774="","",$V1774*(N($M1774)*1+N($N1774)*0.75+N($O1774)*0.5+N($P1774)*0.25)+$W1774*N($L1774))</f>
        <v/>
      </c>
      <c r="Z1774" s="35" t="str">
        <f aca="false">IF($G1774="","",$U1774*1000000+ROW())</f>
        <v/>
      </c>
      <c r="AA1774" s="36" t="str">
        <f aca="false">IF($G1774="","",MID(IF($C1774="",", no division","")&amp;IF($E1774="",", no unit","")&amp;IF($H1774="",", no career level","")&amp;IF(N($L1774)&lt;=0,", no quarter split","")&amp;IF($R1774="",", no driver","")&amp;IF(AND($H1774&lt;&gt;"",COUNTIF(CareerLevels,$H1774)=0),", a career level that is not on the ladder","")&amp;IF(AND($R1774&lt;&gt;"",COUNTIF(DriverList,$R1774)=0),", a driver that is not on the list","")&amp;IF(ABS(N($L1774)-(N($M1774)+N($N1774)+N($O1774)+N($P1774)))&gt;0.001,", a total that does not match its quarters",""),3,300))</f>
        <v/>
      </c>
    </row>
    <row r="1775" customFormat="false" ht="15" hidden="false" customHeight="false" outlineLevel="0" collapsed="false">
      <c r="A1775" s="33" t="str">
        <f aca="false">IF($G1775="","","Retail Banking Group")</f>
        <v/>
      </c>
      <c r="B1775" s="19"/>
      <c r="C1775" s="19"/>
      <c r="D1775" s="19"/>
      <c r="E1775" s="19"/>
      <c r="F1775" s="19"/>
      <c r="G1775" s="19"/>
      <c r="H1775" s="19"/>
      <c r="I1775" s="19"/>
      <c r="J1775" s="19"/>
      <c r="K1775" s="19"/>
      <c r="L1775" s="19"/>
      <c r="M1775" s="19"/>
      <c r="N1775" s="19"/>
      <c r="O1775" s="19"/>
      <c r="P1775" s="19"/>
      <c r="Q1775" s="19"/>
      <c r="R1775" s="19"/>
      <c r="S1775" s="19"/>
      <c r="T1775" s="34" t="str">
        <f aca="false">IF($R1775="","",IFERROR(INDEX(DriverCategory,MATCH($R1775,DriverList,0)),"BAU"))</f>
        <v/>
      </c>
      <c r="U1775" s="34" t="str">
        <f aca="false">IF($R1775="","",IFERROR(INDEX(DriverRank,MATCH($R1775,DriverList,0)),99))</f>
        <v/>
      </c>
      <c r="V1775" s="35" t="n">
        <f aca="false">IF($H1775="",0,IFERROR(INDEX(LevelBasic,MATCH($H1775,LevelList,0))+INDEX(LevelHousing,MATCH($H1775,LevelList,0))+INDEX(LevelTransport,MATCH($H1775,LevelList,0))+INDEX(LevelBasic,MATCH($H1775,LevelList,0))*INDEX(LevelBonus,MATCH($H1775,LevelList,0))+(INDEX(LevelBasic,MATCH($H1775,LevelList,0))+INDEX(LevelHousing,MATCH($H1775,LevelList,0)))*GosiSaudi,0))</f>
        <v>0</v>
      </c>
      <c r="W1775" s="35" t="n">
        <f aca="false">IFERROR(INDEX(LevelOneOff,MATCH($H1775,LevelList,0)),0)</f>
        <v>0</v>
      </c>
      <c r="X1775" s="35" t="str">
        <f aca="false">IF($G1775="","",$V1775*N($L1775))</f>
        <v/>
      </c>
      <c r="Y1775" s="35" t="str">
        <f aca="false">IF($G1775="","",$V1775*(N($M1775)*1+N($N1775)*0.75+N($O1775)*0.5+N($P1775)*0.25)+$W1775*N($L1775))</f>
        <v/>
      </c>
      <c r="Z1775" s="35" t="str">
        <f aca="false">IF($G1775="","",$U1775*1000000+ROW())</f>
        <v/>
      </c>
      <c r="AA1775" s="36" t="str">
        <f aca="false">IF($G1775="","",MID(IF($C1775="",", no division","")&amp;IF($E1775="",", no unit","")&amp;IF($H1775="",", no career level","")&amp;IF(N($L1775)&lt;=0,", no quarter split","")&amp;IF($R1775="",", no driver","")&amp;IF(AND($H1775&lt;&gt;"",COUNTIF(CareerLevels,$H1775)=0),", a career level that is not on the ladder","")&amp;IF(AND($R1775&lt;&gt;"",COUNTIF(DriverList,$R1775)=0),", a driver that is not on the list","")&amp;IF(ABS(N($L1775)-(N($M1775)+N($N1775)+N($O1775)+N($P1775)))&gt;0.001,", a total that does not match its quarters",""),3,300))</f>
        <v/>
      </c>
    </row>
    <row r="1776" customFormat="false" ht="15" hidden="false" customHeight="false" outlineLevel="0" collapsed="false">
      <c r="A1776" s="33" t="str">
        <f aca="false">IF($G1776="","","Retail Banking Group")</f>
        <v/>
      </c>
      <c r="B1776" s="19"/>
      <c r="C1776" s="19"/>
      <c r="D1776" s="19"/>
      <c r="E1776" s="19"/>
      <c r="F1776" s="19"/>
      <c r="G1776" s="19"/>
      <c r="H1776" s="19"/>
      <c r="I1776" s="19"/>
      <c r="J1776" s="19"/>
      <c r="K1776" s="19"/>
      <c r="L1776" s="19"/>
      <c r="M1776" s="19"/>
      <c r="N1776" s="19"/>
      <c r="O1776" s="19"/>
      <c r="P1776" s="19"/>
      <c r="Q1776" s="19"/>
      <c r="R1776" s="19"/>
      <c r="S1776" s="19"/>
      <c r="T1776" s="34" t="str">
        <f aca="false">IF($R1776="","",IFERROR(INDEX(DriverCategory,MATCH($R1776,DriverList,0)),"BAU"))</f>
        <v/>
      </c>
      <c r="U1776" s="34" t="str">
        <f aca="false">IF($R1776="","",IFERROR(INDEX(DriverRank,MATCH($R1776,DriverList,0)),99))</f>
        <v/>
      </c>
      <c r="V1776" s="35" t="n">
        <f aca="false">IF($H1776="",0,IFERROR(INDEX(LevelBasic,MATCH($H1776,LevelList,0))+INDEX(LevelHousing,MATCH($H1776,LevelList,0))+INDEX(LevelTransport,MATCH($H1776,LevelList,0))+INDEX(LevelBasic,MATCH($H1776,LevelList,0))*INDEX(LevelBonus,MATCH($H1776,LevelList,0))+(INDEX(LevelBasic,MATCH($H1776,LevelList,0))+INDEX(LevelHousing,MATCH($H1776,LevelList,0)))*GosiSaudi,0))</f>
        <v>0</v>
      </c>
      <c r="W1776" s="35" t="n">
        <f aca="false">IFERROR(INDEX(LevelOneOff,MATCH($H1776,LevelList,0)),0)</f>
        <v>0</v>
      </c>
      <c r="X1776" s="35" t="str">
        <f aca="false">IF($G1776="","",$V1776*N($L1776))</f>
        <v/>
      </c>
      <c r="Y1776" s="35" t="str">
        <f aca="false">IF($G1776="","",$V1776*(N($M1776)*1+N($N1776)*0.75+N($O1776)*0.5+N($P1776)*0.25)+$W1776*N($L1776))</f>
        <v/>
      </c>
      <c r="Z1776" s="35" t="str">
        <f aca="false">IF($G1776="","",$U1776*1000000+ROW())</f>
        <v/>
      </c>
      <c r="AA1776" s="36" t="str">
        <f aca="false">IF($G1776="","",MID(IF($C1776="",", no division","")&amp;IF($E1776="",", no unit","")&amp;IF($H1776="",", no career level","")&amp;IF(N($L1776)&lt;=0,", no quarter split","")&amp;IF($R1776="",", no driver","")&amp;IF(AND($H1776&lt;&gt;"",COUNTIF(CareerLevels,$H1776)=0),", a career level that is not on the ladder","")&amp;IF(AND($R1776&lt;&gt;"",COUNTIF(DriverList,$R1776)=0),", a driver that is not on the list","")&amp;IF(ABS(N($L1776)-(N($M1776)+N($N1776)+N($O1776)+N($P1776)))&gt;0.001,", a total that does not match its quarters",""),3,300))</f>
        <v/>
      </c>
    </row>
    <row r="1777" customFormat="false" ht="15" hidden="false" customHeight="false" outlineLevel="0" collapsed="false">
      <c r="A1777" s="33" t="str">
        <f aca="false">IF($G1777="","","Retail Banking Group")</f>
        <v/>
      </c>
      <c r="B1777" s="19"/>
      <c r="C1777" s="19"/>
      <c r="D1777" s="19"/>
      <c r="E1777" s="19"/>
      <c r="F1777" s="19"/>
      <c r="G1777" s="19"/>
      <c r="H1777" s="19"/>
      <c r="I1777" s="19"/>
      <c r="J1777" s="19"/>
      <c r="K1777" s="19"/>
      <c r="L1777" s="19"/>
      <c r="M1777" s="19"/>
      <c r="N1777" s="19"/>
      <c r="O1777" s="19"/>
      <c r="P1777" s="19"/>
      <c r="Q1777" s="19"/>
      <c r="R1777" s="19"/>
      <c r="S1777" s="19"/>
      <c r="T1777" s="34" t="str">
        <f aca="false">IF($R1777="","",IFERROR(INDEX(DriverCategory,MATCH($R1777,DriverList,0)),"BAU"))</f>
        <v/>
      </c>
      <c r="U1777" s="34" t="str">
        <f aca="false">IF($R1777="","",IFERROR(INDEX(DriverRank,MATCH($R1777,DriverList,0)),99))</f>
        <v/>
      </c>
      <c r="V1777" s="35" t="n">
        <f aca="false">IF($H1777="",0,IFERROR(INDEX(LevelBasic,MATCH($H1777,LevelList,0))+INDEX(LevelHousing,MATCH($H1777,LevelList,0))+INDEX(LevelTransport,MATCH($H1777,LevelList,0))+INDEX(LevelBasic,MATCH($H1777,LevelList,0))*INDEX(LevelBonus,MATCH($H1777,LevelList,0))+(INDEX(LevelBasic,MATCH($H1777,LevelList,0))+INDEX(LevelHousing,MATCH($H1777,LevelList,0)))*GosiSaudi,0))</f>
        <v>0</v>
      </c>
      <c r="W1777" s="35" t="n">
        <f aca="false">IFERROR(INDEX(LevelOneOff,MATCH($H1777,LevelList,0)),0)</f>
        <v>0</v>
      </c>
      <c r="X1777" s="35" t="str">
        <f aca="false">IF($G1777="","",$V1777*N($L1777))</f>
        <v/>
      </c>
      <c r="Y1777" s="35" t="str">
        <f aca="false">IF($G1777="","",$V1777*(N($M1777)*1+N($N1777)*0.75+N($O1777)*0.5+N($P1777)*0.25)+$W1777*N($L1777))</f>
        <v/>
      </c>
      <c r="Z1777" s="35" t="str">
        <f aca="false">IF($G1777="","",$U1777*1000000+ROW())</f>
        <v/>
      </c>
      <c r="AA1777" s="36" t="str">
        <f aca="false">IF($G1777="","",MID(IF($C1777="",", no division","")&amp;IF($E1777="",", no unit","")&amp;IF($H1777="",", no career level","")&amp;IF(N($L1777)&lt;=0,", no quarter split","")&amp;IF($R1777="",", no driver","")&amp;IF(AND($H1777&lt;&gt;"",COUNTIF(CareerLevels,$H1777)=0),", a career level that is not on the ladder","")&amp;IF(AND($R1777&lt;&gt;"",COUNTIF(DriverList,$R1777)=0),", a driver that is not on the list","")&amp;IF(ABS(N($L1777)-(N($M1777)+N($N1777)+N($O1777)+N($P1777)))&gt;0.001,", a total that does not match its quarters",""),3,300))</f>
        <v/>
      </c>
    </row>
    <row r="1778" customFormat="false" ht="15" hidden="false" customHeight="false" outlineLevel="0" collapsed="false">
      <c r="A1778" s="33" t="str">
        <f aca="false">IF($G1778="","","Retail Banking Group")</f>
        <v/>
      </c>
      <c r="B1778" s="19"/>
      <c r="C1778" s="19"/>
      <c r="D1778" s="19"/>
      <c r="E1778" s="19"/>
      <c r="F1778" s="19"/>
      <c r="G1778" s="19"/>
      <c r="H1778" s="19"/>
      <c r="I1778" s="19"/>
      <c r="J1778" s="19"/>
      <c r="K1778" s="19"/>
      <c r="L1778" s="19"/>
      <c r="M1778" s="19"/>
      <c r="N1778" s="19"/>
      <c r="O1778" s="19"/>
      <c r="P1778" s="19"/>
      <c r="Q1778" s="19"/>
      <c r="R1778" s="19"/>
      <c r="S1778" s="19"/>
      <c r="T1778" s="34" t="str">
        <f aca="false">IF($R1778="","",IFERROR(INDEX(DriverCategory,MATCH($R1778,DriverList,0)),"BAU"))</f>
        <v/>
      </c>
      <c r="U1778" s="34" t="str">
        <f aca="false">IF($R1778="","",IFERROR(INDEX(DriverRank,MATCH($R1778,DriverList,0)),99))</f>
        <v/>
      </c>
      <c r="V1778" s="35" t="n">
        <f aca="false">IF($H1778="",0,IFERROR(INDEX(LevelBasic,MATCH($H1778,LevelList,0))+INDEX(LevelHousing,MATCH($H1778,LevelList,0))+INDEX(LevelTransport,MATCH($H1778,LevelList,0))+INDEX(LevelBasic,MATCH($H1778,LevelList,0))*INDEX(LevelBonus,MATCH($H1778,LevelList,0))+(INDEX(LevelBasic,MATCH($H1778,LevelList,0))+INDEX(LevelHousing,MATCH($H1778,LevelList,0)))*GosiSaudi,0))</f>
        <v>0</v>
      </c>
      <c r="W1778" s="35" t="n">
        <f aca="false">IFERROR(INDEX(LevelOneOff,MATCH($H1778,LevelList,0)),0)</f>
        <v>0</v>
      </c>
      <c r="X1778" s="35" t="str">
        <f aca="false">IF($G1778="","",$V1778*N($L1778))</f>
        <v/>
      </c>
      <c r="Y1778" s="35" t="str">
        <f aca="false">IF($G1778="","",$V1778*(N($M1778)*1+N($N1778)*0.75+N($O1778)*0.5+N($P1778)*0.25)+$W1778*N($L1778))</f>
        <v/>
      </c>
      <c r="Z1778" s="35" t="str">
        <f aca="false">IF($G1778="","",$U1778*1000000+ROW())</f>
        <v/>
      </c>
      <c r="AA1778" s="36" t="str">
        <f aca="false">IF($G1778="","",MID(IF($C1778="",", no division","")&amp;IF($E1778="",", no unit","")&amp;IF($H1778="",", no career level","")&amp;IF(N($L1778)&lt;=0,", no quarter split","")&amp;IF($R1778="",", no driver","")&amp;IF(AND($H1778&lt;&gt;"",COUNTIF(CareerLevels,$H1778)=0),", a career level that is not on the ladder","")&amp;IF(AND($R1778&lt;&gt;"",COUNTIF(DriverList,$R1778)=0),", a driver that is not on the list","")&amp;IF(ABS(N($L1778)-(N($M1778)+N($N1778)+N($O1778)+N($P1778)))&gt;0.001,", a total that does not match its quarters",""),3,300))</f>
        <v/>
      </c>
    </row>
    <row r="1779" customFormat="false" ht="15" hidden="false" customHeight="false" outlineLevel="0" collapsed="false">
      <c r="A1779" s="33" t="str">
        <f aca="false">IF($G1779="","","Retail Banking Group")</f>
        <v/>
      </c>
      <c r="B1779" s="19"/>
      <c r="C1779" s="19"/>
      <c r="D1779" s="19"/>
      <c r="E1779" s="19"/>
      <c r="F1779" s="19"/>
      <c r="G1779" s="19"/>
      <c r="H1779" s="19"/>
      <c r="I1779" s="19"/>
      <c r="J1779" s="19"/>
      <c r="K1779" s="19"/>
      <c r="L1779" s="19"/>
      <c r="M1779" s="19"/>
      <c r="N1779" s="19"/>
      <c r="O1779" s="19"/>
      <c r="P1779" s="19"/>
      <c r="Q1779" s="19"/>
      <c r="R1779" s="19"/>
      <c r="S1779" s="19"/>
      <c r="T1779" s="34" t="str">
        <f aca="false">IF($R1779="","",IFERROR(INDEX(DriverCategory,MATCH($R1779,DriverList,0)),"BAU"))</f>
        <v/>
      </c>
      <c r="U1779" s="34" t="str">
        <f aca="false">IF($R1779="","",IFERROR(INDEX(DriverRank,MATCH($R1779,DriverList,0)),99))</f>
        <v/>
      </c>
      <c r="V1779" s="35" t="n">
        <f aca="false">IF($H1779="",0,IFERROR(INDEX(LevelBasic,MATCH($H1779,LevelList,0))+INDEX(LevelHousing,MATCH($H1779,LevelList,0))+INDEX(LevelTransport,MATCH($H1779,LevelList,0))+INDEX(LevelBasic,MATCH($H1779,LevelList,0))*INDEX(LevelBonus,MATCH($H1779,LevelList,0))+(INDEX(LevelBasic,MATCH($H1779,LevelList,0))+INDEX(LevelHousing,MATCH($H1779,LevelList,0)))*GosiSaudi,0))</f>
        <v>0</v>
      </c>
      <c r="W1779" s="35" t="n">
        <f aca="false">IFERROR(INDEX(LevelOneOff,MATCH($H1779,LevelList,0)),0)</f>
        <v>0</v>
      </c>
      <c r="X1779" s="35" t="str">
        <f aca="false">IF($G1779="","",$V1779*N($L1779))</f>
        <v/>
      </c>
      <c r="Y1779" s="35" t="str">
        <f aca="false">IF($G1779="","",$V1779*(N($M1779)*1+N($N1779)*0.75+N($O1779)*0.5+N($P1779)*0.25)+$W1779*N($L1779))</f>
        <v/>
      </c>
      <c r="Z1779" s="35" t="str">
        <f aca="false">IF($G1779="","",$U1779*1000000+ROW())</f>
        <v/>
      </c>
      <c r="AA1779" s="36" t="str">
        <f aca="false">IF($G1779="","",MID(IF($C1779="",", no division","")&amp;IF($E1779="",", no unit","")&amp;IF($H1779="",", no career level","")&amp;IF(N($L1779)&lt;=0,", no quarter split","")&amp;IF($R1779="",", no driver","")&amp;IF(AND($H1779&lt;&gt;"",COUNTIF(CareerLevels,$H1779)=0),", a career level that is not on the ladder","")&amp;IF(AND($R1779&lt;&gt;"",COUNTIF(DriverList,$R1779)=0),", a driver that is not on the list","")&amp;IF(ABS(N($L1779)-(N($M1779)+N($N1779)+N($O1779)+N($P1779)))&gt;0.001,", a total that does not match its quarters",""),3,300))</f>
        <v/>
      </c>
    </row>
    <row r="1780" customFormat="false" ht="15" hidden="false" customHeight="false" outlineLevel="0" collapsed="false">
      <c r="A1780" s="33" t="str">
        <f aca="false">IF($G1780="","","Retail Banking Group")</f>
        <v/>
      </c>
      <c r="B1780" s="19"/>
      <c r="C1780" s="19"/>
      <c r="D1780" s="19"/>
      <c r="E1780" s="19"/>
      <c r="F1780" s="19"/>
      <c r="G1780" s="19"/>
      <c r="H1780" s="19"/>
      <c r="I1780" s="19"/>
      <c r="J1780" s="19"/>
      <c r="K1780" s="19"/>
      <c r="L1780" s="19"/>
      <c r="M1780" s="19"/>
      <c r="N1780" s="19"/>
      <c r="O1780" s="19"/>
      <c r="P1780" s="19"/>
      <c r="Q1780" s="19"/>
      <c r="R1780" s="19"/>
      <c r="S1780" s="19"/>
      <c r="T1780" s="34" t="str">
        <f aca="false">IF($R1780="","",IFERROR(INDEX(DriverCategory,MATCH($R1780,DriverList,0)),"BAU"))</f>
        <v/>
      </c>
      <c r="U1780" s="34" t="str">
        <f aca="false">IF($R1780="","",IFERROR(INDEX(DriverRank,MATCH($R1780,DriverList,0)),99))</f>
        <v/>
      </c>
      <c r="V1780" s="35" t="n">
        <f aca="false">IF($H1780="",0,IFERROR(INDEX(LevelBasic,MATCH($H1780,LevelList,0))+INDEX(LevelHousing,MATCH($H1780,LevelList,0))+INDEX(LevelTransport,MATCH($H1780,LevelList,0))+INDEX(LevelBasic,MATCH($H1780,LevelList,0))*INDEX(LevelBonus,MATCH($H1780,LevelList,0))+(INDEX(LevelBasic,MATCH($H1780,LevelList,0))+INDEX(LevelHousing,MATCH($H1780,LevelList,0)))*GosiSaudi,0))</f>
        <v>0</v>
      </c>
      <c r="W1780" s="35" t="n">
        <f aca="false">IFERROR(INDEX(LevelOneOff,MATCH($H1780,LevelList,0)),0)</f>
        <v>0</v>
      </c>
      <c r="X1780" s="35" t="str">
        <f aca="false">IF($G1780="","",$V1780*N($L1780))</f>
        <v/>
      </c>
      <c r="Y1780" s="35" t="str">
        <f aca="false">IF($G1780="","",$V1780*(N($M1780)*1+N($N1780)*0.75+N($O1780)*0.5+N($P1780)*0.25)+$W1780*N($L1780))</f>
        <v/>
      </c>
      <c r="Z1780" s="35" t="str">
        <f aca="false">IF($G1780="","",$U1780*1000000+ROW())</f>
        <v/>
      </c>
      <c r="AA1780" s="36" t="str">
        <f aca="false">IF($G1780="","",MID(IF($C1780="",", no division","")&amp;IF($E1780="",", no unit","")&amp;IF($H1780="",", no career level","")&amp;IF(N($L1780)&lt;=0,", no quarter split","")&amp;IF($R1780="",", no driver","")&amp;IF(AND($H1780&lt;&gt;"",COUNTIF(CareerLevels,$H1780)=0),", a career level that is not on the ladder","")&amp;IF(AND($R1780&lt;&gt;"",COUNTIF(DriverList,$R1780)=0),", a driver that is not on the list","")&amp;IF(ABS(N($L1780)-(N($M1780)+N($N1780)+N($O1780)+N($P1780)))&gt;0.001,", a total that does not match its quarters",""),3,300))</f>
        <v/>
      </c>
    </row>
    <row r="1781" customFormat="false" ht="15" hidden="false" customHeight="false" outlineLevel="0" collapsed="false">
      <c r="A1781" s="33" t="str">
        <f aca="false">IF($G1781="","","Retail Banking Group")</f>
        <v/>
      </c>
      <c r="B1781" s="19"/>
      <c r="C1781" s="19"/>
      <c r="D1781" s="19"/>
      <c r="E1781" s="19"/>
      <c r="F1781" s="19"/>
      <c r="G1781" s="19"/>
      <c r="H1781" s="19"/>
      <c r="I1781" s="19"/>
      <c r="J1781" s="19"/>
      <c r="K1781" s="19"/>
      <c r="L1781" s="19"/>
      <c r="M1781" s="19"/>
      <c r="N1781" s="19"/>
      <c r="O1781" s="19"/>
      <c r="P1781" s="19"/>
      <c r="Q1781" s="19"/>
      <c r="R1781" s="19"/>
      <c r="S1781" s="19"/>
      <c r="T1781" s="34" t="str">
        <f aca="false">IF($R1781="","",IFERROR(INDEX(DriverCategory,MATCH($R1781,DriverList,0)),"BAU"))</f>
        <v/>
      </c>
      <c r="U1781" s="34" t="str">
        <f aca="false">IF($R1781="","",IFERROR(INDEX(DriverRank,MATCH($R1781,DriverList,0)),99))</f>
        <v/>
      </c>
      <c r="V1781" s="35" t="n">
        <f aca="false">IF($H1781="",0,IFERROR(INDEX(LevelBasic,MATCH($H1781,LevelList,0))+INDEX(LevelHousing,MATCH($H1781,LevelList,0))+INDEX(LevelTransport,MATCH($H1781,LevelList,0))+INDEX(LevelBasic,MATCH($H1781,LevelList,0))*INDEX(LevelBonus,MATCH($H1781,LevelList,0))+(INDEX(LevelBasic,MATCH($H1781,LevelList,0))+INDEX(LevelHousing,MATCH($H1781,LevelList,0)))*GosiSaudi,0))</f>
        <v>0</v>
      </c>
      <c r="W1781" s="35" t="n">
        <f aca="false">IFERROR(INDEX(LevelOneOff,MATCH($H1781,LevelList,0)),0)</f>
        <v>0</v>
      </c>
      <c r="X1781" s="35" t="str">
        <f aca="false">IF($G1781="","",$V1781*N($L1781))</f>
        <v/>
      </c>
      <c r="Y1781" s="35" t="str">
        <f aca="false">IF($G1781="","",$V1781*(N($M1781)*1+N($N1781)*0.75+N($O1781)*0.5+N($P1781)*0.25)+$W1781*N($L1781))</f>
        <v/>
      </c>
      <c r="Z1781" s="35" t="str">
        <f aca="false">IF($G1781="","",$U1781*1000000+ROW())</f>
        <v/>
      </c>
      <c r="AA1781" s="36" t="str">
        <f aca="false">IF($G1781="","",MID(IF($C1781="",", no division","")&amp;IF($E1781="",", no unit","")&amp;IF($H1781="",", no career level","")&amp;IF(N($L1781)&lt;=0,", no quarter split","")&amp;IF($R1781="",", no driver","")&amp;IF(AND($H1781&lt;&gt;"",COUNTIF(CareerLevels,$H1781)=0),", a career level that is not on the ladder","")&amp;IF(AND($R1781&lt;&gt;"",COUNTIF(DriverList,$R1781)=0),", a driver that is not on the list","")&amp;IF(ABS(N($L1781)-(N($M1781)+N($N1781)+N($O1781)+N($P1781)))&gt;0.001,", a total that does not match its quarters",""),3,300))</f>
        <v/>
      </c>
    </row>
    <row r="1782" customFormat="false" ht="15" hidden="false" customHeight="false" outlineLevel="0" collapsed="false">
      <c r="A1782" s="33" t="str">
        <f aca="false">IF($G1782="","","Retail Banking Group")</f>
        <v/>
      </c>
      <c r="B1782" s="19"/>
      <c r="C1782" s="19"/>
      <c r="D1782" s="19"/>
      <c r="E1782" s="19"/>
      <c r="F1782" s="19"/>
      <c r="G1782" s="19"/>
      <c r="H1782" s="19"/>
      <c r="I1782" s="19"/>
      <c r="J1782" s="19"/>
      <c r="K1782" s="19"/>
      <c r="L1782" s="19"/>
      <c r="M1782" s="19"/>
      <c r="N1782" s="19"/>
      <c r="O1782" s="19"/>
      <c r="P1782" s="19"/>
      <c r="Q1782" s="19"/>
      <c r="R1782" s="19"/>
      <c r="S1782" s="19"/>
      <c r="T1782" s="34" t="str">
        <f aca="false">IF($R1782="","",IFERROR(INDEX(DriverCategory,MATCH($R1782,DriverList,0)),"BAU"))</f>
        <v/>
      </c>
      <c r="U1782" s="34" t="str">
        <f aca="false">IF($R1782="","",IFERROR(INDEX(DriverRank,MATCH($R1782,DriverList,0)),99))</f>
        <v/>
      </c>
      <c r="V1782" s="35" t="n">
        <f aca="false">IF($H1782="",0,IFERROR(INDEX(LevelBasic,MATCH($H1782,LevelList,0))+INDEX(LevelHousing,MATCH($H1782,LevelList,0))+INDEX(LevelTransport,MATCH($H1782,LevelList,0))+INDEX(LevelBasic,MATCH($H1782,LevelList,0))*INDEX(LevelBonus,MATCH($H1782,LevelList,0))+(INDEX(LevelBasic,MATCH($H1782,LevelList,0))+INDEX(LevelHousing,MATCH($H1782,LevelList,0)))*GosiSaudi,0))</f>
        <v>0</v>
      </c>
      <c r="W1782" s="35" t="n">
        <f aca="false">IFERROR(INDEX(LevelOneOff,MATCH($H1782,LevelList,0)),0)</f>
        <v>0</v>
      </c>
      <c r="X1782" s="35" t="str">
        <f aca="false">IF($G1782="","",$V1782*N($L1782))</f>
        <v/>
      </c>
      <c r="Y1782" s="35" t="str">
        <f aca="false">IF($G1782="","",$V1782*(N($M1782)*1+N($N1782)*0.75+N($O1782)*0.5+N($P1782)*0.25)+$W1782*N($L1782))</f>
        <v/>
      </c>
      <c r="Z1782" s="35" t="str">
        <f aca="false">IF($G1782="","",$U1782*1000000+ROW())</f>
        <v/>
      </c>
      <c r="AA1782" s="36" t="str">
        <f aca="false">IF($G1782="","",MID(IF($C1782="",", no division","")&amp;IF($E1782="",", no unit","")&amp;IF($H1782="",", no career level","")&amp;IF(N($L1782)&lt;=0,", no quarter split","")&amp;IF($R1782="",", no driver","")&amp;IF(AND($H1782&lt;&gt;"",COUNTIF(CareerLevels,$H1782)=0),", a career level that is not on the ladder","")&amp;IF(AND($R1782&lt;&gt;"",COUNTIF(DriverList,$R1782)=0),", a driver that is not on the list","")&amp;IF(ABS(N($L1782)-(N($M1782)+N($N1782)+N($O1782)+N($P1782)))&gt;0.001,", a total that does not match its quarters",""),3,300))</f>
        <v/>
      </c>
    </row>
    <row r="1783" customFormat="false" ht="15" hidden="false" customHeight="false" outlineLevel="0" collapsed="false">
      <c r="A1783" s="33" t="str">
        <f aca="false">IF($G1783="","","Retail Banking Group")</f>
        <v/>
      </c>
      <c r="B1783" s="19"/>
      <c r="C1783" s="19"/>
      <c r="D1783" s="19"/>
      <c r="E1783" s="19"/>
      <c r="F1783" s="19"/>
      <c r="G1783" s="19"/>
      <c r="H1783" s="19"/>
      <c r="I1783" s="19"/>
      <c r="J1783" s="19"/>
      <c r="K1783" s="19"/>
      <c r="L1783" s="19"/>
      <c r="M1783" s="19"/>
      <c r="N1783" s="19"/>
      <c r="O1783" s="19"/>
      <c r="P1783" s="19"/>
      <c r="Q1783" s="19"/>
      <c r="R1783" s="19"/>
      <c r="S1783" s="19"/>
      <c r="T1783" s="34" t="str">
        <f aca="false">IF($R1783="","",IFERROR(INDEX(DriverCategory,MATCH($R1783,DriverList,0)),"BAU"))</f>
        <v/>
      </c>
      <c r="U1783" s="34" t="str">
        <f aca="false">IF($R1783="","",IFERROR(INDEX(DriverRank,MATCH($R1783,DriverList,0)),99))</f>
        <v/>
      </c>
      <c r="V1783" s="35" t="n">
        <f aca="false">IF($H1783="",0,IFERROR(INDEX(LevelBasic,MATCH($H1783,LevelList,0))+INDEX(LevelHousing,MATCH($H1783,LevelList,0))+INDEX(LevelTransport,MATCH($H1783,LevelList,0))+INDEX(LevelBasic,MATCH($H1783,LevelList,0))*INDEX(LevelBonus,MATCH($H1783,LevelList,0))+(INDEX(LevelBasic,MATCH($H1783,LevelList,0))+INDEX(LevelHousing,MATCH($H1783,LevelList,0)))*GosiSaudi,0))</f>
        <v>0</v>
      </c>
      <c r="W1783" s="35" t="n">
        <f aca="false">IFERROR(INDEX(LevelOneOff,MATCH($H1783,LevelList,0)),0)</f>
        <v>0</v>
      </c>
      <c r="X1783" s="35" t="str">
        <f aca="false">IF($G1783="","",$V1783*N($L1783))</f>
        <v/>
      </c>
      <c r="Y1783" s="35" t="str">
        <f aca="false">IF($G1783="","",$V1783*(N($M1783)*1+N($N1783)*0.75+N($O1783)*0.5+N($P1783)*0.25)+$W1783*N($L1783))</f>
        <v/>
      </c>
      <c r="Z1783" s="35" t="str">
        <f aca="false">IF($G1783="","",$U1783*1000000+ROW())</f>
        <v/>
      </c>
      <c r="AA1783" s="36" t="str">
        <f aca="false">IF($G1783="","",MID(IF($C1783="",", no division","")&amp;IF($E1783="",", no unit","")&amp;IF($H1783="",", no career level","")&amp;IF(N($L1783)&lt;=0,", no quarter split","")&amp;IF($R1783="",", no driver","")&amp;IF(AND($H1783&lt;&gt;"",COUNTIF(CareerLevels,$H1783)=0),", a career level that is not on the ladder","")&amp;IF(AND($R1783&lt;&gt;"",COUNTIF(DriverList,$R1783)=0),", a driver that is not on the list","")&amp;IF(ABS(N($L1783)-(N($M1783)+N($N1783)+N($O1783)+N($P1783)))&gt;0.001,", a total that does not match its quarters",""),3,300))</f>
        <v/>
      </c>
    </row>
    <row r="1784" customFormat="false" ht="15" hidden="false" customHeight="false" outlineLevel="0" collapsed="false">
      <c r="A1784" s="33" t="str">
        <f aca="false">IF($G1784="","","Retail Banking Group")</f>
        <v/>
      </c>
      <c r="B1784" s="19"/>
      <c r="C1784" s="19"/>
      <c r="D1784" s="19"/>
      <c r="E1784" s="19"/>
      <c r="F1784" s="19"/>
      <c r="G1784" s="19"/>
      <c r="H1784" s="19"/>
      <c r="I1784" s="19"/>
      <c r="J1784" s="19"/>
      <c r="K1784" s="19"/>
      <c r="L1784" s="19"/>
      <c r="M1784" s="19"/>
      <c r="N1784" s="19"/>
      <c r="O1784" s="19"/>
      <c r="P1784" s="19"/>
      <c r="Q1784" s="19"/>
      <c r="R1784" s="19"/>
      <c r="S1784" s="19"/>
      <c r="T1784" s="34" t="str">
        <f aca="false">IF($R1784="","",IFERROR(INDEX(DriverCategory,MATCH($R1784,DriverList,0)),"BAU"))</f>
        <v/>
      </c>
      <c r="U1784" s="34" t="str">
        <f aca="false">IF($R1784="","",IFERROR(INDEX(DriverRank,MATCH($R1784,DriverList,0)),99))</f>
        <v/>
      </c>
      <c r="V1784" s="35" t="n">
        <f aca="false">IF($H1784="",0,IFERROR(INDEX(LevelBasic,MATCH($H1784,LevelList,0))+INDEX(LevelHousing,MATCH($H1784,LevelList,0))+INDEX(LevelTransport,MATCH($H1784,LevelList,0))+INDEX(LevelBasic,MATCH($H1784,LevelList,0))*INDEX(LevelBonus,MATCH($H1784,LevelList,0))+(INDEX(LevelBasic,MATCH($H1784,LevelList,0))+INDEX(LevelHousing,MATCH($H1784,LevelList,0)))*GosiSaudi,0))</f>
        <v>0</v>
      </c>
      <c r="W1784" s="35" t="n">
        <f aca="false">IFERROR(INDEX(LevelOneOff,MATCH($H1784,LevelList,0)),0)</f>
        <v>0</v>
      </c>
      <c r="X1784" s="35" t="str">
        <f aca="false">IF($G1784="","",$V1784*N($L1784))</f>
        <v/>
      </c>
      <c r="Y1784" s="35" t="str">
        <f aca="false">IF($G1784="","",$V1784*(N($M1784)*1+N($N1784)*0.75+N($O1784)*0.5+N($P1784)*0.25)+$W1784*N($L1784))</f>
        <v/>
      </c>
      <c r="Z1784" s="35" t="str">
        <f aca="false">IF($G1784="","",$U1784*1000000+ROW())</f>
        <v/>
      </c>
      <c r="AA1784" s="36" t="str">
        <f aca="false">IF($G1784="","",MID(IF($C1784="",", no division","")&amp;IF($E1784="",", no unit","")&amp;IF($H1784="",", no career level","")&amp;IF(N($L1784)&lt;=0,", no quarter split","")&amp;IF($R1784="",", no driver","")&amp;IF(AND($H1784&lt;&gt;"",COUNTIF(CareerLevels,$H1784)=0),", a career level that is not on the ladder","")&amp;IF(AND($R1784&lt;&gt;"",COUNTIF(DriverList,$R1784)=0),", a driver that is not on the list","")&amp;IF(ABS(N($L1784)-(N($M1784)+N($N1784)+N($O1784)+N($P1784)))&gt;0.001,", a total that does not match its quarters",""),3,300))</f>
        <v/>
      </c>
    </row>
    <row r="1785" customFormat="false" ht="15" hidden="false" customHeight="false" outlineLevel="0" collapsed="false">
      <c r="A1785" s="33" t="str">
        <f aca="false">IF($G1785="","","Retail Banking Group")</f>
        <v/>
      </c>
      <c r="B1785" s="19"/>
      <c r="C1785" s="19"/>
      <c r="D1785" s="19"/>
      <c r="E1785" s="19"/>
      <c r="F1785" s="19"/>
      <c r="G1785" s="19"/>
      <c r="H1785" s="19"/>
      <c r="I1785" s="19"/>
      <c r="J1785" s="19"/>
      <c r="K1785" s="19"/>
      <c r="L1785" s="19"/>
      <c r="M1785" s="19"/>
      <c r="N1785" s="19"/>
      <c r="O1785" s="19"/>
      <c r="P1785" s="19"/>
      <c r="Q1785" s="19"/>
      <c r="R1785" s="19"/>
      <c r="S1785" s="19"/>
      <c r="T1785" s="34" t="str">
        <f aca="false">IF($R1785="","",IFERROR(INDEX(DriverCategory,MATCH($R1785,DriverList,0)),"BAU"))</f>
        <v/>
      </c>
      <c r="U1785" s="34" t="str">
        <f aca="false">IF($R1785="","",IFERROR(INDEX(DriverRank,MATCH($R1785,DriverList,0)),99))</f>
        <v/>
      </c>
      <c r="V1785" s="35" t="n">
        <f aca="false">IF($H1785="",0,IFERROR(INDEX(LevelBasic,MATCH($H1785,LevelList,0))+INDEX(LevelHousing,MATCH($H1785,LevelList,0))+INDEX(LevelTransport,MATCH($H1785,LevelList,0))+INDEX(LevelBasic,MATCH($H1785,LevelList,0))*INDEX(LevelBonus,MATCH($H1785,LevelList,0))+(INDEX(LevelBasic,MATCH($H1785,LevelList,0))+INDEX(LevelHousing,MATCH($H1785,LevelList,0)))*GosiSaudi,0))</f>
        <v>0</v>
      </c>
      <c r="W1785" s="35" t="n">
        <f aca="false">IFERROR(INDEX(LevelOneOff,MATCH($H1785,LevelList,0)),0)</f>
        <v>0</v>
      </c>
      <c r="X1785" s="35" t="str">
        <f aca="false">IF($G1785="","",$V1785*N($L1785))</f>
        <v/>
      </c>
      <c r="Y1785" s="35" t="str">
        <f aca="false">IF($G1785="","",$V1785*(N($M1785)*1+N($N1785)*0.75+N($O1785)*0.5+N($P1785)*0.25)+$W1785*N($L1785))</f>
        <v/>
      </c>
      <c r="Z1785" s="35" t="str">
        <f aca="false">IF($G1785="","",$U1785*1000000+ROW())</f>
        <v/>
      </c>
      <c r="AA1785" s="36" t="str">
        <f aca="false">IF($G1785="","",MID(IF($C1785="",", no division","")&amp;IF($E1785="",", no unit","")&amp;IF($H1785="",", no career level","")&amp;IF(N($L1785)&lt;=0,", no quarter split","")&amp;IF($R1785="",", no driver","")&amp;IF(AND($H1785&lt;&gt;"",COUNTIF(CareerLevels,$H1785)=0),", a career level that is not on the ladder","")&amp;IF(AND($R1785&lt;&gt;"",COUNTIF(DriverList,$R1785)=0),", a driver that is not on the list","")&amp;IF(ABS(N($L1785)-(N($M1785)+N($N1785)+N($O1785)+N($P1785)))&gt;0.001,", a total that does not match its quarters",""),3,300))</f>
        <v/>
      </c>
    </row>
    <row r="1786" customFormat="false" ht="15" hidden="false" customHeight="false" outlineLevel="0" collapsed="false">
      <c r="A1786" s="33" t="str">
        <f aca="false">IF($G1786="","","Retail Banking Group")</f>
        <v/>
      </c>
      <c r="B1786" s="19"/>
      <c r="C1786" s="19"/>
      <c r="D1786" s="19"/>
      <c r="E1786" s="19"/>
      <c r="F1786" s="19"/>
      <c r="G1786" s="19"/>
      <c r="H1786" s="19"/>
      <c r="I1786" s="19"/>
      <c r="J1786" s="19"/>
      <c r="K1786" s="19"/>
      <c r="L1786" s="19"/>
      <c r="M1786" s="19"/>
      <c r="N1786" s="19"/>
      <c r="O1786" s="19"/>
      <c r="P1786" s="19"/>
      <c r="Q1786" s="19"/>
      <c r="R1786" s="19"/>
      <c r="S1786" s="19"/>
      <c r="T1786" s="34" t="str">
        <f aca="false">IF($R1786="","",IFERROR(INDEX(DriverCategory,MATCH($R1786,DriverList,0)),"BAU"))</f>
        <v/>
      </c>
      <c r="U1786" s="34" t="str">
        <f aca="false">IF($R1786="","",IFERROR(INDEX(DriverRank,MATCH($R1786,DriverList,0)),99))</f>
        <v/>
      </c>
      <c r="V1786" s="35" t="n">
        <f aca="false">IF($H1786="",0,IFERROR(INDEX(LevelBasic,MATCH($H1786,LevelList,0))+INDEX(LevelHousing,MATCH($H1786,LevelList,0))+INDEX(LevelTransport,MATCH($H1786,LevelList,0))+INDEX(LevelBasic,MATCH($H1786,LevelList,0))*INDEX(LevelBonus,MATCH($H1786,LevelList,0))+(INDEX(LevelBasic,MATCH($H1786,LevelList,0))+INDEX(LevelHousing,MATCH($H1786,LevelList,0)))*GosiSaudi,0))</f>
        <v>0</v>
      </c>
      <c r="W1786" s="35" t="n">
        <f aca="false">IFERROR(INDEX(LevelOneOff,MATCH($H1786,LevelList,0)),0)</f>
        <v>0</v>
      </c>
      <c r="X1786" s="35" t="str">
        <f aca="false">IF($G1786="","",$V1786*N($L1786))</f>
        <v/>
      </c>
      <c r="Y1786" s="35" t="str">
        <f aca="false">IF($G1786="","",$V1786*(N($M1786)*1+N($N1786)*0.75+N($O1786)*0.5+N($P1786)*0.25)+$W1786*N($L1786))</f>
        <v/>
      </c>
      <c r="Z1786" s="35" t="str">
        <f aca="false">IF($G1786="","",$U1786*1000000+ROW())</f>
        <v/>
      </c>
      <c r="AA1786" s="36" t="str">
        <f aca="false">IF($G1786="","",MID(IF($C1786="",", no division","")&amp;IF($E1786="",", no unit","")&amp;IF($H1786="",", no career level","")&amp;IF(N($L1786)&lt;=0,", no quarter split","")&amp;IF($R1786="",", no driver","")&amp;IF(AND($H1786&lt;&gt;"",COUNTIF(CareerLevels,$H1786)=0),", a career level that is not on the ladder","")&amp;IF(AND($R1786&lt;&gt;"",COUNTIF(DriverList,$R1786)=0),", a driver that is not on the list","")&amp;IF(ABS(N($L1786)-(N($M1786)+N($N1786)+N($O1786)+N($P1786)))&gt;0.001,", a total that does not match its quarters",""),3,300))</f>
        <v/>
      </c>
    </row>
    <row r="1787" customFormat="false" ht="15" hidden="false" customHeight="false" outlineLevel="0" collapsed="false">
      <c r="A1787" s="33" t="str">
        <f aca="false">IF($G1787="","","Retail Banking Group")</f>
        <v/>
      </c>
      <c r="B1787" s="19"/>
      <c r="C1787" s="19"/>
      <c r="D1787" s="19"/>
      <c r="E1787" s="19"/>
      <c r="F1787" s="19"/>
      <c r="G1787" s="19"/>
      <c r="H1787" s="19"/>
      <c r="I1787" s="19"/>
      <c r="J1787" s="19"/>
      <c r="K1787" s="19"/>
      <c r="L1787" s="19"/>
      <c r="M1787" s="19"/>
      <c r="N1787" s="19"/>
      <c r="O1787" s="19"/>
      <c r="P1787" s="19"/>
      <c r="Q1787" s="19"/>
      <c r="R1787" s="19"/>
      <c r="S1787" s="19"/>
      <c r="T1787" s="34" t="str">
        <f aca="false">IF($R1787="","",IFERROR(INDEX(DriverCategory,MATCH($R1787,DriverList,0)),"BAU"))</f>
        <v/>
      </c>
      <c r="U1787" s="34" t="str">
        <f aca="false">IF($R1787="","",IFERROR(INDEX(DriverRank,MATCH($R1787,DriverList,0)),99))</f>
        <v/>
      </c>
      <c r="V1787" s="35" t="n">
        <f aca="false">IF($H1787="",0,IFERROR(INDEX(LevelBasic,MATCH($H1787,LevelList,0))+INDEX(LevelHousing,MATCH($H1787,LevelList,0))+INDEX(LevelTransport,MATCH($H1787,LevelList,0))+INDEX(LevelBasic,MATCH($H1787,LevelList,0))*INDEX(LevelBonus,MATCH($H1787,LevelList,0))+(INDEX(LevelBasic,MATCH($H1787,LevelList,0))+INDEX(LevelHousing,MATCH($H1787,LevelList,0)))*GosiSaudi,0))</f>
        <v>0</v>
      </c>
      <c r="W1787" s="35" t="n">
        <f aca="false">IFERROR(INDEX(LevelOneOff,MATCH($H1787,LevelList,0)),0)</f>
        <v>0</v>
      </c>
      <c r="X1787" s="35" t="str">
        <f aca="false">IF($G1787="","",$V1787*N($L1787))</f>
        <v/>
      </c>
      <c r="Y1787" s="35" t="str">
        <f aca="false">IF($G1787="","",$V1787*(N($M1787)*1+N($N1787)*0.75+N($O1787)*0.5+N($P1787)*0.25)+$W1787*N($L1787))</f>
        <v/>
      </c>
      <c r="Z1787" s="35" t="str">
        <f aca="false">IF($G1787="","",$U1787*1000000+ROW())</f>
        <v/>
      </c>
      <c r="AA1787" s="36" t="str">
        <f aca="false">IF($G1787="","",MID(IF($C1787="",", no division","")&amp;IF($E1787="",", no unit","")&amp;IF($H1787="",", no career level","")&amp;IF(N($L1787)&lt;=0,", no quarter split","")&amp;IF($R1787="",", no driver","")&amp;IF(AND($H1787&lt;&gt;"",COUNTIF(CareerLevels,$H1787)=0),", a career level that is not on the ladder","")&amp;IF(AND($R1787&lt;&gt;"",COUNTIF(DriverList,$R1787)=0),", a driver that is not on the list","")&amp;IF(ABS(N($L1787)-(N($M1787)+N($N1787)+N($O1787)+N($P1787)))&gt;0.001,", a total that does not match its quarters",""),3,300))</f>
        <v/>
      </c>
    </row>
    <row r="1788" customFormat="false" ht="15" hidden="false" customHeight="false" outlineLevel="0" collapsed="false">
      <c r="A1788" s="33" t="str">
        <f aca="false">IF($G1788="","","Retail Banking Group")</f>
        <v/>
      </c>
      <c r="B1788" s="19"/>
      <c r="C1788" s="19"/>
      <c r="D1788" s="19"/>
      <c r="E1788" s="19"/>
      <c r="F1788" s="19"/>
      <c r="G1788" s="19"/>
      <c r="H1788" s="19"/>
      <c r="I1788" s="19"/>
      <c r="J1788" s="19"/>
      <c r="K1788" s="19"/>
      <c r="L1788" s="19"/>
      <c r="M1788" s="19"/>
      <c r="N1788" s="19"/>
      <c r="O1788" s="19"/>
      <c r="P1788" s="19"/>
      <c r="Q1788" s="19"/>
      <c r="R1788" s="19"/>
      <c r="S1788" s="19"/>
      <c r="T1788" s="34" t="str">
        <f aca="false">IF($R1788="","",IFERROR(INDEX(DriverCategory,MATCH($R1788,DriverList,0)),"BAU"))</f>
        <v/>
      </c>
      <c r="U1788" s="34" t="str">
        <f aca="false">IF($R1788="","",IFERROR(INDEX(DriverRank,MATCH($R1788,DriverList,0)),99))</f>
        <v/>
      </c>
      <c r="V1788" s="35" t="n">
        <f aca="false">IF($H1788="",0,IFERROR(INDEX(LevelBasic,MATCH($H1788,LevelList,0))+INDEX(LevelHousing,MATCH($H1788,LevelList,0))+INDEX(LevelTransport,MATCH($H1788,LevelList,0))+INDEX(LevelBasic,MATCH($H1788,LevelList,0))*INDEX(LevelBonus,MATCH($H1788,LevelList,0))+(INDEX(LevelBasic,MATCH($H1788,LevelList,0))+INDEX(LevelHousing,MATCH($H1788,LevelList,0)))*GosiSaudi,0))</f>
        <v>0</v>
      </c>
      <c r="W1788" s="35" t="n">
        <f aca="false">IFERROR(INDEX(LevelOneOff,MATCH($H1788,LevelList,0)),0)</f>
        <v>0</v>
      </c>
      <c r="X1788" s="35" t="str">
        <f aca="false">IF($G1788="","",$V1788*N($L1788))</f>
        <v/>
      </c>
      <c r="Y1788" s="35" t="str">
        <f aca="false">IF($G1788="","",$V1788*(N($M1788)*1+N($N1788)*0.75+N($O1788)*0.5+N($P1788)*0.25)+$W1788*N($L1788))</f>
        <v/>
      </c>
      <c r="Z1788" s="35" t="str">
        <f aca="false">IF($G1788="","",$U1788*1000000+ROW())</f>
        <v/>
      </c>
      <c r="AA1788" s="36" t="str">
        <f aca="false">IF($G1788="","",MID(IF($C1788="",", no division","")&amp;IF($E1788="",", no unit","")&amp;IF($H1788="",", no career level","")&amp;IF(N($L1788)&lt;=0,", no quarter split","")&amp;IF($R1788="",", no driver","")&amp;IF(AND($H1788&lt;&gt;"",COUNTIF(CareerLevels,$H1788)=0),", a career level that is not on the ladder","")&amp;IF(AND($R1788&lt;&gt;"",COUNTIF(DriverList,$R1788)=0),", a driver that is not on the list","")&amp;IF(ABS(N($L1788)-(N($M1788)+N($N1788)+N($O1788)+N($P1788)))&gt;0.001,", a total that does not match its quarters",""),3,300))</f>
        <v/>
      </c>
    </row>
    <row r="1789" customFormat="false" ht="15" hidden="false" customHeight="false" outlineLevel="0" collapsed="false">
      <c r="A1789" s="33" t="str">
        <f aca="false">IF($G1789="","","Retail Banking Group")</f>
        <v/>
      </c>
      <c r="B1789" s="19"/>
      <c r="C1789" s="19"/>
      <c r="D1789" s="19"/>
      <c r="E1789" s="19"/>
      <c r="F1789" s="19"/>
      <c r="G1789" s="19"/>
      <c r="H1789" s="19"/>
      <c r="I1789" s="19"/>
      <c r="J1789" s="19"/>
      <c r="K1789" s="19"/>
      <c r="L1789" s="19"/>
      <c r="M1789" s="19"/>
      <c r="N1789" s="19"/>
      <c r="O1789" s="19"/>
      <c r="P1789" s="19"/>
      <c r="Q1789" s="19"/>
      <c r="R1789" s="19"/>
      <c r="S1789" s="19"/>
      <c r="T1789" s="34" t="str">
        <f aca="false">IF($R1789="","",IFERROR(INDEX(DriverCategory,MATCH($R1789,DriverList,0)),"BAU"))</f>
        <v/>
      </c>
      <c r="U1789" s="34" t="str">
        <f aca="false">IF($R1789="","",IFERROR(INDEX(DriverRank,MATCH($R1789,DriverList,0)),99))</f>
        <v/>
      </c>
      <c r="V1789" s="35" t="n">
        <f aca="false">IF($H1789="",0,IFERROR(INDEX(LevelBasic,MATCH($H1789,LevelList,0))+INDEX(LevelHousing,MATCH($H1789,LevelList,0))+INDEX(LevelTransport,MATCH($H1789,LevelList,0))+INDEX(LevelBasic,MATCH($H1789,LevelList,0))*INDEX(LevelBonus,MATCH($H1789,LevelList,0))+(INDEX(LevelBasic,MATCH($H1789,LevelList,0))+INDEX(LevelHousing,MATCH($H1789,LevelList,0)))*GosiSaudi,0))</f>
        <v>0</v>
      </c>
      <c r="W1789" s="35" t="n">
        <f aca="false">IFERROR(INDEX(LevelOneOff,MATCH($H1789,LevelList,0)),0)</f>
        <v>0</v>
      </c>
      <c r="X1789" s="35" t="str">
        <f aca="false">IF($G1789="","",$V1789*N($L1789))</f>
        <v/>
      </c>
      <c r="Y1789" s="35" t="str">
        <f aca="false">IF($G1789="","",$V1789*(N($M1789)*1+N($N1789)*0.75+N($O1789)*0.5+N($P1789)*0.25)+$W1789*N($L1789))</f>
        <v/>
      </c>
      <c r="Z1789" s="35" t="str">
        <f aca="false">IF($G1789="","",$U1789*1000000+ROW())</f>
        <v/>
      </c>
      <c r="AA1789" s="36" t="str">
        <f aca="false">IF($G1789="","",MID(IF($C1789="",", no division","")&amp;IF($E1789="",", no unit","")&amp;IF($H1789="",", no career level","")&amp;IF(N($L1789)&lt;=0,", no quarter split","")&amp;IF($R1789="",", no driver","")&amp;IF(AND($H1789&lt;&gt;"",COUNTIF(CareerLevels,$H1789)=0),", a career level that is not on the ladder","")&amp;IF(AND($R1789&lt;&gt;"",COUNTIF(DriverList,$R1789)=0),", a driver that is not on the list","")&amp;IF(ABS(N($L1789)-(N($M1789)+N($N1789)+N($O1789)+N($P1789)))&gt;0.001,", a total that does not match its quarters",""),3,300))</f>
        <v/>
      </c>
    </row>
    <row r="1790" customFormat="false" ht="15" hidden="false" customHeight="false" outlineLevel="0" collapsed="false">
      <c r="A1790" s="33" t="str">
        <f aca="false">IF($G1790="","","Retail Banking Group")</f>
        <v/>
      </c>
      <c r="B1790" s="19"/>
      <c r="C1790" s="19"/>
      <c r="D1790" s="19"/>
      <c r="E1790" s="19"/>
      <c r="F1790" s="19"/>
      <c r="G1790" s="19"/>
      <c r="H1790" s="19"/>
      <c r="I1790" s="19"/>
      <c r="J1790" s="19"/>
      <c r="K1790" s="19"/>
      <c r="L1790" s="19"/>
      <c r="M1790" s="19"/>
      <c r="N1790" s="19"/>
      <c r="O1790" s="19"/>
      <c r="P1790" s="19"/>
      <c r="Q1790" s="19"/>
      <c r="R1790" s="19"/>
      <c r="S1790" s="19"/>
      <c r="T1790" s="34" t="str">
        <f aca="false">IF($R1790="","",IFERROR(INDEX(DriverCategory,MATCH($R1790,DriverList,0)),"BAU"))</f>
        <v/>
      </c>
      <c r="U1790" s="34" t="str">
        <f aca="false">IF($R1790="","",IFERROR(INDEX(DriverRank,MATCH($R1790,DriverList,0)),99))</f>
        <v/>
      </c>
      <c r="V1790" s="35" t="n">
        <f aca="false">IF($H1790="",0,IFERROR(INDEX(LevelBasic,MATCH($H1790,LevelList,0))+INDEX(LevelHousing,MATCH($H1790,LevelList,0))+INDEX(LevelTransport,MATCH($H1790,LevelList,0))+INDEX(LevelBasic,MATCH($H1790,LevelList,0))*INDEX(LevelBonus,MATCH($H1790,LevelList,0))+(INDEX(LevelBasic,MATCH($H1790,LevelList,0))+INDEX(LevelHousing,MATCH($H1790,LevelList,0)))*GosiSaudi,0))</f>
        <v>0</v>
      </c>
      <c r="W1790" s="35" t="n">
        <f aca="false">IFERROR(INDEX(LevelOneOff,MATCH($H1790,LevelList,0)),0)</f>
        <v>0</v>
      </c>
      <c r="X1790" s="35" t="str">
        <f aca="false">IF($G1790="","",$V1790*N($L1790))</f>
        <v/>
      </c>
      <c r="Y1790" s="35" t="str">
        <f aca="false">IF($G1790="","",$V1790*(N($M1790)*1+N($N1790)*0.75+N($O1790)*0.5+N($P1790)*0.25)+$W1790*N($L1790))</f>
        <v/>
      </c>
      <c r="Z1790" s="35" t="str">
        <f aca="false">IF($G1790="","",$U1790*1000000+ROW())</f>
        <v/>
      </c>
      <c r="AA1790" s="36" t="str">
        <f aca="false">IF($G1790="","",MID(IF($C1790="",", no division","")&amp;IF($E1790="",", no unit","")&amp;IF($H1790="",", no career level","")&amp;IF(N($L1790)&lt;=0,", no quarter split","")&amp;IF($R1790="",", no driver","")&amp;IF(AND($H1790&lt;&gt;"",COUNTIF(CareerLevels,$H1790)=0),", a career level that is not on the ladder","")&amp;IF(AND($R1790&lt;&gt;"",COUNTIF(DriverList,$R1790)=0),", a driver that is not on the list","")&amp;IF(ABS(N($L1790)-(N($M1790)+N($N1790)+N($O1790)+N($P1790)))&gt;0.001,", a total that does not match its quarters",""),3,300))</f>
        <v/>
      </c>
    </row>
    <row r="1791" customFormat="false" ht="15" hidden="false" customHeight="false" outlineLevel="0" collapsed="false">
      <c r="A1791" s="33" t="str">
        <f aca="false">IF($G1791="","","Retail Banking Group")</f>
        <v/>
      </c>
      <c r="B1791" s="19"/>
      <c r="C1791" s="19"/>
      <c r="D1791" s="19"/>
      <c r="E1791" s="19"/>
      <c r="F1791" s="19"/>
      <c r="G1791" s="19"/>
      <c r="H1791" s="19"/>
      <c r="I1791" s="19"/>
      <c r="J1791" s="19"/>
      <c r="K1791" s="19"/>
      <c r="L1791" s="19"/>
      <c r="M1791" s="19"/>
      <c r="N1791" s="19"/>
      <c r="O1791" s="19"/>
      <c r="P1791" s="19"/>
      <c r="Q1791" s="19"/>
      <c r="R1791" s="19"/>
      <c r="S1791" s="19"/>
      <c r="T1791" s="34" t="str">
        <f aca="false">IF($R1791="","",IFERROR(INDEX(DriverCategory,MATCH($R1791,DriverList,0)),"BAU"))</f>
        <v/>
      </c>
      <c r="U1791" s="34" t="str">
        <f aca="false">IF($R1791="","",IFERROR(INDEX(DriverRank,MATCH($R1791,DriverList,0)),99))</f>
        <v/>
      </c>
      <c r="V1791" s="35" t="n">
        <f aca="false">IF($H1791="",0,IFERROR(INDEX(LevelBasic,MATCH($H1791,LevelList,0))+INDEX(LevelHousing,MATCH($H1791,LevelList,0))+INDEX(LevelTransport,MATCH($H1791,LevelList,0))+INDEX(LevelBasic,MATCH($H1791,LevelList,0))*INDEX(LevelBonus,MATCH($H1791,LevelList,0))+(INDEX(LevelBasic,MATCH($H1791,LevelList,0))+INDEX(LevelHousing,MATCH($H1791,LevelList,0)))*GosiSaudi,0))</f>
        <v>0</v>
      </c>
      <c r="W1791" s="35" t="n">
        <f aca="false">IFERROR(INDEX(LevelOneOff,MATCH($H1791,LevelList,0)),0)</f>
        <v>0</v>
      </c>
      <c r="X1791" s="35" t="str">
        <f aca="false">IF($G1791="","",$V1791*N($L1791))</f>
        <v/>
      </c>
      <c r="Y1791" s="35" t="str">
        <f aca="false">IF($G1791="","",$V1791*(N($M1791)*1+N($N1791)*0.75+N($O1791)*0.5+N($P1791)*0.25)+$W1791*N($L1791))</f>
        <v/>
      </c>
      <c r="Z1791" s="35" t="str">
        <f aca="false">IF($G1791="","",$U1791*1000000+ROW())</f>
        <v/>
      </c>
      <c r="AA1791" s="36" t="str">
        <f aca="false">IF($G1791="","",MID(IF($C1791="",", no division","")&amp;IF($E1791="",", no unit","")&amp;IF($H1791="",", no career level","")&amp;IF(N($L1791)&lt;=0,", no quarter split","")&amp;IF($R1791="",", no driver","")&amp;IF(AND($H1791&lt;&gt;"",COUNTIF(CareerLevels,$H1791)=0),", a career level that is not on the ladder","")&amp;IF(AND($R1791&lt;&gt;"",COUNTIF(DriverList,$R1791)=0),", a driver that is not on the list","")&amp;IF(ABS(N($L1791)-(N($M1791)+N($N1791)+N($O1791)+N($P1791)))&gt;0.001,", a total that does not match its quarters",""),3,300))</f>
        <v/>
      </c>
    </row>
    <row r="1792" customFormat="false" ht="15" hidden="false" customHeight="false" outlineLevel="0" collapsed="false">
      <c r="A1792" s="33" t="str">
        <f aca="false">IF($G1792="","","Retail Banking Group")</f>
        <v/>
      </c>
      <c r="B1792" s="19"/>
      <c r="C1792" s="19"/>
      <c r="D1792" s="19"/>
      <c r="E1792" s="19"/>
      <c r="F1792" s="19"/>
      <c r="G1792" s="19"/>
      <c r="H1792" s="19"/>
      <c r="I1792" s="19"/>
      <c r="J1792" s="19"/>
      <c r="K1792" s="19"/>
      <c r="L1792" s="19"/>
      <c r="M1792" s="19"/>
      <c r="N1792" s="19"/>
      <c r="O1792" s="19"/>
      <c r="P1792" s="19"/>
      <c r="Q1792" s="19"/>
      <c r="R1792" s="19"/>
      <c r="S1792" s="19"/>
      <c r="T1792" s="34" t="str">
        <f aca="false">IF($R1792="","",IFERROR(INDEX(DriverCategory,MATCH($R1792,DriverList,0)),"BAU"))</f>
        <v/>
      </c>
      <c r="U1792" s="34" t="str">
        <f aca="false">IF($R1792="","",IFERROR(INDEX(DriverRank,MATCH($R1792,DriverList,0)),99))</f>
        <v/>
      </c>
      <c r="V1792" s="35" t="n">
        <f aca="false">IF($H1792="",0,IFERROR(INDEX(LevelBasic,MATCH($H1792,LevelList,0))+INDEX(LevelHousing,MATCH($H1792,LevelList,0))+INDEX(LevelTransport,MATCH($H1792,LevelList,0))+INDEX(LevelBasic,MATCH($H1792,LevelList,0))*INDEX(LevelBonus,MATCH($H1792,LevelList,0))+(INDEX(LevelBasic,MATCH($H1792,LevelList,0))+INDEX(LevelHousing,MATCH($H1792,LevelList,0)))*GosiSaudi,0))</f>
        <v>0</v>
      </c>
      <c r="W1792" s="35" t="n">
        <f aca="false">IFERROR(INDEX(LevelOneOff,MATCH($H1792,LevelList,0)),0)</f>
        <v>0</v>
      </c>
      <c r="X1792" s="35" t="str">
        <f aca="false">IF($G1792="","",$V1792*N($L1792))</f>
        <v/>
      </c>
      <c r="Y1792" s="35" t="str">
        <f aca="false">IF($G1792="","",$V1792*(N($M1792)*1+N($N1792)*0.75+N($O1792)*0.5+N($P1792)*0.25)+$W1792*N($L1792))</f>
        <v/>
      </c>
      <c r="Z1792" s="35" t="str">
        <f aca="false">IF($G1792="","",$U1792*1000000+ROW())</f>
        <v/>
      </c>
      <c r="AA1792" s="36" t="str">
        <f aca="false">IF($G1792="","",MID(IF($C1792="",", no division","")&amp;IF($E1792="",", no unit","")&amp;IF($H1792="",", no career level","")&amp;IF(N($L1792)&lt;=0,", no quarter split","")&amp;IF($R1792="",", no driver","")&amp;IF(AND($H1792&lt;&gt;"",COUNTIF(CareerLevels,$H1792)=0),", a career level that is not on the ladder","")&amp;IF(AND($R1792&lt;&gt;"",COUNTIF(DriverList,$R1792)=0),", a driver that is not on the list","")&amp;IF(ABS(N($L1792)-(N($M1792)+N($N1792)+N($O1792)+N($P1792)))&gt;0.001,", a total that does not match its quarters",""),3,300))</f>
        <v/>
      </c>
    </row>
    <row r="1793" customFormat="false" ht="15" hidden="false" customHeight="false" outlineLevel="0" collapsed="false">
      <c r="A1793" s="33" t="str">
        <f aca="false">IF($G1793="","","Retail Banking Group")</f>
        <v/>
      </c>
      <c r="B1793" s="19"/>
      <c r="C1793" s="19"/>
      <c r="D1793" s="19"/>
      <c r="E1793" s="19"/>
      <c r="F1793" s="19"/>
      <c r="G1793" s="19"/>
      <c r="H1793" s="19"/>
      <c r="I1793" s="19"/>
      <c r="J1793" s="19"/>
      <c r="K1793" s="19"/>
      <c r="L1793" s="19"/>
      <c r="M1793" s="19"/>
      <c r="N1793" s="19"/>
      <c r="O1793" s="19"/>
      <c r="P1793" s="19"/>
      <c r="Q1793" s="19"/>
      <c r="R1793" s="19"/>
      <c r="S1793" s="19"/>
      <c r="T1793" s="34" t="str">
        <f aca="false">IF($R1793="","",IFERROR(INDEX(DriverCategory,MATCH($R1793,DriverList,0)),"BAU"))</f>
        <v/>
      </c>
      <c r="U1793" s="34" t="str">
        <f aca="false">IF($R1793="","",IFERROR(INDEX(DriverRank,MATCH($R1793,DriverList,0)),99))</f>
        <v/>
      </c>
      <c r="V1793" s="35" t="n">
        <f aca="false">IF($H1793="",0,IFERROR(INDEX(LevelBasic,MATCH($H1793,LevelList,0))+INDEX(LevelHousing,MATCH($H1793,LevelList,0))+INDEX(LevelTransport,MATCH($H1793,LevelList,0))+INDEX(LevelBasic,MATCH($H1793,LevelList,0))*INDEX(LevelBonus,MATCH($H1793,LevelList,0))+(INDEX(LevelBasic,MATCH($H1793,LevelList,0))+INDEX(LevelHousing,MATCH($H1793,LevelList,0)))*GosiSaudi,0))</f>
        <v>0</v>
      </c>
      <c r="W1793" s="35" t="n">
        <f aca="false">IFERROR(INDEX(LevelOneOff,MATCH($H1793,LevelList,0)),0)</f>
        <v>0</v>
      </c>
      <c r="X1793" s="35" t="str">
        <f aca="false">IF($G1793="","",$V1793*N($L1793))</f>
        <v/>
      </c>
      <c r="Y1793" s="35" t="str">
        <f aca="false">IF($G1793="","",$V1793*(N($M1793)*1+N($N1793)*0.75+N($O1793)*0.5+N($P1793)*0.25)+$W1793*N($L1793))</f>
        <v/>
      </c>
      <c r="Z1793" s="35" t="str">
        <f aca="false">IF($G1793="","",$U1793*1000000+ROW())</f>
        <v/>
      </c>
      <c r="AA1793" s="36" t="str">
        <f aca="false">IF($G1793="","",MID(IF($C1793="",", no division","")&amp;IF($E1793="",", no unit","")&amp;IF($H1793="",", no career level","")&amp;IF(N($L1793)&lt;=0,", no quarter split","")&amp;IF($R1793="",", no driver","")&amp;IF(AND($H1793&lt;&gt;"",COUNTIF(CareerLevels,$H1793)=0),", a career level that is not on the ladder","")&amp;IF(AND($R1793&lt;&gt;"",COUNTIF(DriverList,$R1793)=0),", a driver that is not on the list","")&amp;IF(ABS(N($L1793)-(N($M1793)+N($N1793)+N($O1793)+N($P1793)))&gt;0.001,", a total that does not match its quarters",""),3,300))</f>
        <v/>
      </c>
    </row>
    <row r="1794" customFormat="false" ht="15" hidden="false" customHeight="false" outlineLevel="0" collapsed="false">
      <c r="A1794" s="33" t="str">
        <f aca="false">IF($G1794="","","Retail Banking Group")</f>
        <v/>
      </c>
      <c r="B1794" s="19"/>
      <c r="C1794" s="19"/>
      <c r="D1794" s="19"/>
      <c r="E1794" s="19"/>
      <c r="F1794" s="19"/>
      <c r="G1794" s="19"/>
      <c r="H1794" s="19"/>
      <c r="I1794" s="19"/>
      <c r="J1794" s="19"/>
      <c r="K1794" s="19"/>
      <c r="L1794" s="19"/>
      <c r="M1794" s="19"/>
      <c r="N1794" s="19"/>
      <c r="O1794" s="19"/>
      <c r="P1794" s="19"/>
      <c r="Q1794" s="19"/>
      <c r="R1794" s="19"/>
      <c r="S1794" s="19"/>
      <c r="T1794" s="34" t="str">
        <f aca="false">IF($R1794="","",IFERROR(INDEX(DriverCategory,MATCH($R1794,DriverList,0)),"BAU"))</f>
        <v/>
      </c>
      <c r="U1794" s="34" t="str">
        <f aca="false">IF($R1794="","",IFERROR(INDEX(DriverRank,MATCH($R1794,DriverList,0)),99))</f>
        <v/>
      </c>
      <c r="V1794" s="35" t="n">
        <f aca="false">IF($H1794="",0,IFERROR(INDEX(LevelBasic,MATCH($H1794,LevelList,0))+INDEX(LevelHousing,MATCH($H1794,LevelList,0))+INDEX(LevelTransport,MATCH($H1794,LevelList,0))+INDEX(LevelBasic,MATCH($H1794,LevelList,0))*INDEX(LevelBonus,MATCH($H1794,LevelList,0))+(INDEX(LevelBasic,MATCH($H1794,LevelList,0))+INDEX(LevelHousing,MATCH($H1794,LevelList,0)))*GosiSaudi,0))</f>
        <v>0</v>
      </c>
      <c r="W1794" s="35" t="n">
        <f aca="false">IFERROR(INDEX(LevelOneOff,MATCH($H1794,LevelList,0)),0)</f>
        <v>0</v>
      </c>
      <c r="X1794" s="35" t="str">
        <f aca="false">IF($G1794="","",$V1794*N($L1794))</f>
        <v/>
      </c>
      <c r="Y1794" s="35" t="str">
        <f aca="false">IF($G1794="","",$V1794*(N($M1794)*1+N($N1794)*0.75+N($O1794)*0.5+N($P1794)*0.25)+$W1794*N($L1794))</f>
        <v/>
      </c>
      <c r="Z1794" s="35" t="str">
        <f aca="false">IF($G1794="","",$U1794*1000000+ROW())</f>
        <v/>
      </c>
      <c r="AA1794" s="36" t="str">
        <f aca="false">IF($G1794="","",MID(IF($C1794="",", no division","")&amp;IF($E1794="",", no unit","")&amp;IF($H1794="",", no career level","")&amp;IF(N($L1794)&lt;=0,", no quarter split","")&amp;IF($R1794="",", no driver","")&amp;IF(AND($H1794&lt;&gt;"",COUNTIF(CareerLevels,$H1794)=0),", a career level that is not on the ladder","")&amp;IF(AND($R1794&lt;&gt;"",COUNTIF(DriverList,$R1794)=0),", a driver that is not on the list","")&amp;IF(ABS(N($L1794)-(N($M1794)+N($N1794)+N($O1794)+N($P1794)))&gt;0.001,", a total that does not match its quarters",""),3,300))</f>
        <v/>
      </c>
    </row>
    <row r="1795" customFormat="false" ht="15" hidden="false" customHeight="false" outlineLevel="0" collapsed="false">
      <c r="A1795" s="33" t="str">
        <f aca="false">IF($G1795="","","Retail Banking Group")</f>
        <v/>
      </c>
      <c r="B1795" s="19"/>
      <c r="C1795" s="19"/>
      <c r="D1795" s="19"/>
      <c r="E1795" s="19"/>
      <c r="F1795" s="19"/>
      <c r="G1795" s="19"/>
      <c r="H1795" s="19"/>
      <c r="I1795" s="19"/>
      <c r="J1795" s="19"/>
      <c r="K1795" s="19"/>
      <c r="L1795" s="19"/>
      <c r="M1795" s="19"/>
      <c r="N1795" s="19"/>
      <c r="O1795" s="19"/>
      <c r="P1795" s="19"/>
      <c r="Q1795" s="19"/>
      <c r="R1795" s="19"/>
      <c r="S1795" s="19"/>
      <c r="T1795" s="34" t="str">
        <f aca="false">IF($R1795="","",IFERROR(INDEX(DriverCategory,MATCH($R1795,DriverList,0)),"BAU"))</f>
        <v/>
      </c>
      <c r="U1795" s="34" t="str">
        <f aca="false">IF($R1795="","",IFERROR(INDEX(DriverRank,MATCH($R1795,DriverList,0)),99))</f>
        <v/>
      </c>
      <c r="V1795" s="35" t="n">
        <f aca="false">IF($H1795="",0,IFERROR(INDEX(LevelBasic,MATCH($H1795,LevelList,0))+INDEX(LevelHousing,MATCH($H1795,LevelList,0))+INDEX(LevelTransport,MATCH($H1795,LevelList,0))+INDEX(LevelBasic,MATCH($H1795,LevelList,0))*INDEX(LevelBonus,MATCH($H1795,LevelList,0))+(INDEX(LevelBasic,MATCH($H1795,LevelList,0))+INDEX(LevelHousing,MATCH($H1795,LevelList,0)))*GosiSaudi,0))</f>
        <v>0</v>
      </c>
      <c r="W1795" s="35" t="n">
        <f aca="false">IFERROR(INDEX(LevelOneOff,MATCH($H1795,LevelList,0)),0)</f>
        <v>0</v>
      </c>
      <c r="X1795" s="35" t="str">
        <f aca="false">IF($G1795="","",$V1795*N($L1795))</f>
        <v/>
      </c>
      <c r="Y1795" s="35" t="str">
        <f aca="false">IF($G1795="","",$V1795*(N($M1795)*1+N($N1795)*0.75+N($O1795)*0.5+N($P1795)*0.25)+$W1795*N($L1795))</f>
        <v/>
      </c>
      <c r="Z1795" s="35" t="str">
        <f aca="false">IF($G1795="","",$U1795*1000000+ROW())</f>
        <v/>
      </c>
      <c r="AA1795" s="36" t="str">
        <f aca="false">IF($G1795="","",MID(IF($C1795="",", no division","")&amp;IF($E1795="",", no unit","")&amp;IF($H1795="",", no career level","")&amp;IF(N($L1795)&lt;=0,", no quarter split","")&amp;IF($R1795="",", no driver","")&amp;IF(AND($H1795&lt;&gt;"",COUNTIF(CareerLevels,$H1795)=0),", a career level that is not on the ladder","")&amp;IF(AND($R1795&lt;&gt;"",COUNTIF(DriverList,$R1795)=0),", a driver that is not on the list","")&amp;IF(ABS(N($L1795)-(N($M1795)+N($N1795)+N($O1795)+N($P1795)))&gt;0.001,", a total that does not match its quarters",""),3,300))</f>
        <v/>
      </c>
    </row>
    <row r="1796" customFormat="false" ht="15" hidden="false" customHeight="false" outlineLevel="0" collapsed="false">
      <c r="A1796" s="33" t="str">
        <f aca="false">IF($G1796="","","Retail Banking Group")</f>
        <v/>
      </c>
      <c r="B1796" s="19"/>
      <c r="C1796" s="19"/>
      <c r="D1796" s="19"/>
      <c r="E1796" s="19"/>
      <c r="F1796" s="19"/>
      <c r="G1796" s="19"/>
      <c r="H1796" s="19"/>
      <c r="I1796" s="19"/>
      <c r="J1796" s="19"/>
      <c r="K1796" s="19"/>
      <c r="L1796" s="19"/>
      <c r="M1796" s="19"/>
      <c r="N1796" s="19"/>
      <c r="O1796" s="19"/>
      <c r="P1796" s="19"/>
      <c r="Q1796" s="19"/>
      <c r="R1796" s="19"/>
      <c r="S1796" s="19"/>
      <c r="T1796" s="34" t="str">
        <f aca="false">IF($R1796="","",IFERROR(INDEX(DriverCategory,MATCH($R1796,DriverList,0)),"BAU"))</f>
        <v/>
      </c>
      <c r="U1796" s="34" t="str">
        <f aca="false">IF($R1796="","",IFERROR(INDEX(DriverRank,MATCH($R1796,DriverList,0)),99))</f>
        <v/>
      </c>
      <c r="V1796" s="35" t="n">
        <f aca="false">IF($H1796="",0,IFERROR(INDEX(LevelBasic,MATCH($H1796,LevelList,0))+INDEX(LevelHousing,MATCH($H1796,LevelList,0))+INDEX(LevelTransport,MATCH($H1796,LevelList,0))+INDEX(LevelBasic,MATCH($H1796,LevelList,0))*INDEX(LevelBonus,MATCH($H1796,LevelList,0))+(INDEX(LevelBasic,MATCH($H1796,LevelList,0))+INDEX(LevelHousing,MATCH($H1796,LevelList,0)))*GosiSaudi,0))</f>
        <v>0</v>
      </c>
      <c r="W1796" s="35" t="n">
        <f aca="false">IFERROR(INDEX(LevelOneOff,MATCH($H1796,LevelList,0)),0)</f>
        <v>0</v>
      </c>
      <c r="X1796" s="35" t="str">
        <f aca="false">IF($G1796="","",$V1796*N($L1796))</f>
        <v/>
      </c>
      <c r="Y1796" s="35" t="str">
        <f aca="false">IF($G1796="","",$V1796*(N($M1796)*1+N($N1796)*0.75+N($O1796)*0.5+N($P1796)*0.25)+$W1796*N($L1796))</f>
        <v/>
      </c>
      <c r="Z1796" s="35" t="str">
        <f aca="false">IF($G1796="","",$U1796*1000000+ROW())</f>
        <v/>
      </c>
      <c r="AA1796" s="36" t="str">
        <f aca="false">IF($G1796="","",MID(IF($C1796="",", no division","")&amp;IF($E1796="",", no unit","")&amp;IF($H1796="",", no career level","")&amp;IF(N($L1796)&lt;=0,", no quarter split","")&amp;IF($R1796="",", no driver","")&amp;IF(AND($H1796&lt;&gt;"",COUNTIF(CareerLevels,$H1796)=0),", a career level that is not on the ladder","")&amp;IF(AND($R1796&lt;&gt;"",COUNTIF(DriverList,$R1796)=0),", a driver that is not on the list","")&amp;IF(ABS(N($L1796)-(N($M1796)+N($N1796)+N($O1796)+N($P1796)))&gt;0.001,", a total that does not match its quarters",""),3,300))</f>
        <v/>
      </c>
    </row>
    <row r="1797" customFormat="false" ht="15" hidden="false" customHeight="false" outlineLevel="0" collapsed="false">
      <c r="A1797" s="33" t="str">
        <f aca="false">IF($G1797="","","Retail Banking Group")</f>
        <v/>
      </c>
      <c r="B1797" s="19"/>
      <c r="C1797" s="19"/>
      <c r="D1797" s="19"/>
      <c r="E1797" s="19"/>
      <c r="F1797" s="19"/>
      <c r="G1797" s="19"/>
      <c r="H1797" s="19"/>
      <c r="I1797" s="19"/>
      <c r="J1797" s="19"/>
      <c r="K1797" s="19"/>
      <c r="L1797" s="19"/>
      <c r="M1797" s="19"/>
      <c r="N1797" s="19"/>
      <c r="O1797" s="19"/>
      <c r="P1797" s="19"/>
      <c r="Q1797" s="19"/>
      <c r="R1797" s="19"/>
      <c r="S1797" s="19"/>
      <c r="T1797" s="34" t="str">
        <f aca="false">IF($R1797="","",IFERROR(INDEX(DriverCategory,MATCH($R1797,DriverList,0)),"BAU"))</f>
        <v/>
      </c>
      <c r="U1797" s="34" t="str">
        <f aca="false">IF($R1797="","",IFERROR(INDEX(DriverRank,MATCH($R1797,DriverList,0)),99))</f>
        <v/>
      </c>
      <c r="V1797" s="35" t="n">
        <f aca="false">IF($H1797="",0,IFERROR(INDEX(LevelBasic,MATCH($H1797,LevelList,0))+INDEX(LevelHousing,MATCH($H1797,LevelList,0))+INDEX(LevelTransport,MATCH($H1797,LevelList,0))+INDEX(LevelBasic,MATCH($H1797,LevelList,0))*INDEX(LevelBonus,MATCH($H1797,LevelList,0))+(INDEX(LevelBasic,MATCH($H1797,LevelList,0))+INDEX(LevelHousing,MATCH($H1797,LevelList,0)))*GosiSaudi,0))</f>
        <v>0</v>
      </c>
      <c r="W1797" s="35" t="n">
        <f aca="false">IFERROR(INDEX(LevelOneOff,MATCH($H1797,LevelList,0)),0)</f>
        <v>0</v>
      </c>
      <c r="X1797" s="35" t="str">
        <f aca="false">IF($G1797="","",$V1797*N($L1797))</f>
        <v/>
      </c>
      <c r="Y1797" s="35" t="str">
        <f aca="false">IF($G1797="","",$V1797*(N($M1797)*1+N($N1797)*0.75+N($O1797)*0.5+N($P1797)*0.25)+$W1797*N($L1797))</f>
        <v/>
      </c>
      <c r="Z1797" s="35" t="str">
        <f aca="false">IF($G1797="","",$U1797*1000000+ROW())</f>
        <v/>
      </c>
      <c r="AA1797" s="36" t="str">
        <f aca="false">IF($G1797="","",MID(IF($C1797="",", no division","")&amp;IF($E1797="",", no unit","")&amp;IF($H1797="",", no career level","")&amp;IF(N($L1797)&lt;=0,", no quarter split","")&amp;IF($R1797="",", no driver","")&amp;IF(AND($H1797&lt;&gt;"",COUNTIF(CareerLevels,$H1797)=0),", a career level that is not on the ladder","")&amp;IF(AND($R1797&lt;&gt;"",COUNTIF(DriverList,$R1797)=0),", a driver that is not on the list","")&amp;IF(ABS(N($L1797)-(N($M1797)+N($N1797)+N($O1797)+N($P1797)))&gt;0.001,", a total that does not match its quarters",""),3,300))</f>
        <v/>
      </c>
    </row>
    <row r="1798" customFormat="false" ht="15" hidden="false" customHeight="false" outlineLevel="0" collapsed="false">
      <c r="A1798" s="33" t="str">
        <f aca="false">IF($G1798="","","Retail Banking Group")</f>
        <v/>
      </c>
      <c r="B1798" s="19"/>
      <c r="C1798" s="19"/>
      <c r="D1798" s="19"/>
      <c r="E1798" s="19"/>
      <c r="F1798" s="19"/>
      <c r="G1798" s="19"/>
      <c r="H1798" s="19"/>
      <c r="I1798" s="19"/>
      <c r="J1798" s="19"/>
      <c r="K1798" s="19"/>
      <c r="L1798" s="19"/>
      <c r="M1798" s="19"/>
      <c r="N1798" s="19"/>
      <c r="O1798" s="19"/>
      <c r="P1798" s="19"/>
      <c r="Q1798" s="19"/>
      <c r="R1798" s="19"/>
      <c r="S1798" s="19"/>
      <c r="T1798" s="34" t="str">
        <f aca="false">IF($R1798="","",IFERROR(INDEX(DriverCategory,MATCH($R1798,DriverList,0)),"BAU"))</f>
        <v/>
      </c>
      <c r="U1798" s="34" t="str">
        <f aca="false">IF($R1798="","",IFERROR(INDEX(DriverRank,MATCH($R1798,DriverList,0)),99))</f>
        <v/>
      </c>
      <c r="V1798" s="35" t="n">
        <f aca="false">IF($H1798="",0,IFERROR(INDEX(LevelBasic,MATCH($H1798,LevelList,0))+INDEX(LevelHousing,MATCH($H1798,LevelList,0))+INDEX(LevelTransport,MATCH($H1798,LevelList,0))+INDEX(LevelBasic,MATCH($H1798,LevelList,0))*INDEX(LevelBonus,MATCH($H1798,LevelList,0))+(INDEX(LevelBasic,MATCH($H1798,LevelList,0))+INDEX(LevelHousing,MATCH($H1798,LevelList,0)))*GosiSaudi,0))</f>
        <v>0</v>
      </c>
      <c r="W1798" s="35" t="n">
        <f aca="false">IFERROR(INDEX(LevelOneOff,MATCH($H1798,LevelList,0)),0)</f>
        <v>0</v>
      </c>
      <c r="X1798" s="35" t="str">
        <f aca="false">IF($G1798="","",$V1798*N($L1798))</f>
        <v/>
      </c>
      <c r="Y1798" s="35" t="str">
        <f aca="false">IF($G1798="","",$V1798*(N($M1798)*1+N($N1798)*0.75+N($O1798)*0.5+N($P1798)*0.25)+$W1798*N($L1798))</f>
        <v/>
      </c>
      <c r="Z1798" s="35" t="str">
        <f aca="false">IF($G1798="","",$U1798*1000000+ROW())</f>
        <v/>
      </c>
      <c r="AA1798" s="36" t="str">
        <f aca="false">IF($G1798="","",MID(IF($C1798="",", no division","")&amp;IF($E1798="",", no unit","")&amp;IF($H1798="",", no career level","")&amp;IF(N($L1798)&lt;=0,", no quarter split","")&amp;IF($R1798="",", no driver","")&amp;IF(AND($H1798&lt;&gt;"",COUNTIF(CareerLevels,$H1798)=0),", a career level that is not on the ladder","")&amp;IF(AND($R1798&lt;&gt;"",COUNTIF(DriverList,$R1798)=0),", a driver that is not on the list","")&amp;IF(ABS(N($L1798)-(N($M1798)+N($N1798)+N($O1798)+N($P1798)))&gt;0.001,", a total that does not match its quarters",""),3,300))</f>
        <v/>
      </c>
    </row>
    <row r="1799" customFormat="false" ht="15" hidden="false" customHeight="false" outlineLevel="0" collapsed="false">
      <c r="A1799" s="33" t="str">
        <f aca="false">IF($G1799="","","Retail Banking Group")</f>
        <v/>
      </c>
      <c r="B1799" s="19"/>
      <c r="C1799" s="19"/>
      <c r="D1799" s="19"/>
      <c r="E1799" s="19"/>
      <c r="F1799" s="19"/>
      <c r="G1799" s="19"/>
      <c r="H1799" s="19"/>
      <c r="I1799" s="19"/>
      <c r="J1799" s="19"/>
      <c r="K1799" s="19"/>
      <c r="L1799" s="19"/>
      <c r="M1799" s="19"/>
      <c r="N1799" s="19"/>
      <c r="O1799" s="19"/>
      <c r="P1799" s="19"/>
      <c r="Q1799" s="19"/>
      <c r="R1799" s="19"/>
      <c r="S1799" s="19"/>
      <c r="T1799" s="34" t="str">
        <f aca="false">IF($R1799="","",IFERROR(INDEX(DriverCategory,MATCH($R1799,DriverList,0)),"BAU"))</f>
        <v/>
      </c>
      <c r="U1799" s="34" t="str">
        <f aca="false">IF($R1799="","",IFERROR(INDEX(DriverRank,MATCH($R1799,DriverList,0)),99))</f>
        <v/>
      </c>
      <c r="V1799" s="35" t="n">
        <f aca="false">IF($H1799="",0,IFERROR(INDEX(LevelBasic,MATCH($H1799,LevelList,0))+INDEX(LevelHousing,MATCH($H1799,LevelList,0))+INDEX(LevelTransport,MATCH($H1799,LevelList,0))+INDEX(LevelBasic,MATCH($H1799,LevelList,0))*INDEX(LevelBonus,MATCH($H1799,LevelList,0))+(INDEX(LevelBasic,MATCH($H1799,LevelList,0))+INDEX(LevelHousing,MATCH($H1799,LevelList,0)))*GosiSaudi,0))</f>
        <v>0</v>
      </c>
      <c r="W1799" s="35" t="n">
        <f aca="false">IFERROR(INDEX(LevelOneOff,MATCH($H1799,LevelList,0)),0)</f>
        <v>0</v>
      </c>
      <c r="X1799" s="35" t="str">
        <f aca="false">IF($G1799="","",$V1799*N($L1799))</f>
        <v/>
      </c>
      <c r="Y1799" s="35" t="str">
        <f aca="false">IF($G1799="","",$V1799*(N($M1799)*1+N($N1799)*0.75+N($O1799)*0.5+N($P1799)*0.25)+$W1799*N($L1799))</f>
        <v/>
      </c>
      <c r="Z1799" s="35" t="str">
        <f aca="false">IF($G1799="","",$U1799*1000000+ROW())</f>
        <v/>
      </c>
      <c r="AA1799" s="36" t="str">
        <f aca="false">IF($G1799="","",MID(IF($C1799="",", no division","")&amp;IF($E1799="",", no unit","")&amp;IF($H1799="",", no career level","")&amp;IF(N($L1799)&lt;=0,", no quarter split","")&amp;IF($R1799="",", no driver","")&amp;IF(AND($H1799&lt;&gt;"",COUNTIF(CareerLevels,$H1799)=0),", a career level that is not on the ladder","")&amp;IF(AND($R1799&lt;&gt;"",COUNTIF(DriverList,$R1799)=0),", a driver that is not on the list","")&amp;IF(ABS(N($L1799)-(N($M1799)+N($N1799)+N($O1799)+N($P1799)))&gt;0.001,", a total that does not match its quarters",""),3,300))</f>
        <v/>
      </c>
    </row>
    <row r="1800" customFormat="false" ht="15" hidden="false" customHeight="false" outlineLevel="0" collapsed="false">
      <c r="A1800" s="33" t="str">
        <f aca="false">IF($G1800="","","Retail Banking Group")</f>
        <v/>
      </c>
      <c r="B1800" s="19"/>
      <c r="C1800" s="19"/>
      <c r="D1800" s="19"/>
      <c r="E1800" s="19"/>
      <c r="F1800" s="19"/>
      <c r="G1800" s="19"/>
      <c r="H1800" s="19"/>
      <c r="I1800" s="19"/>
      <c r="J1800" s="19"/>
      <c r="K1800" s="19"/>
      <c r="L1800" s="19"/>
      <c r="M1800" s="19"/>
      <c r="N1800" s="19"/>
      <c r="O1800" s="19"/>
      <c r="P1800" s="19"/>
      <c r="Q1800" s="19"/>
      <c r="R1800" s="19"/>
      <c r="S1800" s="19"/>
      <c r="T1800" s="34" t="str">
        <f aca="false">IF($R1800="","",IFERROR(INDEX(DriverCategory,MATCH($R1800,DriverList,0)),"BAU"))</f>
        <v/>
      </c>
      <c r="U1800" s="34" t="str">
        <f aca="false">IF($R1800="","",IFERROR(INDEX(DriverRank,MATCH($R1800,DriverList,0)),99))</f>
        <v/>
      </c>
      <c r="V1800" s="35" t="n">
        <f aca="false">IF($H1800="",0,IFERROR(INDEX(LevelBasic,MATCH($H1800,LevelList,0))+INDEX(LevelHousing,MATCH($H1800,LevelList,0))+INDEX(LevelTransport,MATCH($H1800,LevelList,0))+INDEX(LevelBasic,MATCH($H1800,LevelList,0))*INDEX(LevelBonus,MATCH($H1800,LevelList,0))+(INDEX(LevelBasic,MATCH($H1800,LevelList,0))+INDEX(LevelHousing,MATCH($H1800,LevelList,0)))*GosiSaudi,0))</f>
        <v>0</v>
      </c>
      <c r="W1800" s="35" t="n">
        <f aca="false">IFERROR(INDEX(LevelOneOff,MATCH($H1800,LevelList,0)),0)</f>
        <v>0</v>
      </c>
      <c r="X1800" s="35" t="str">
        <f aca="false">IF($G1800="","",$V1800*N($L1800))</f>
        <v/>
      </c>
      <c r="Y1800" s="35" t="str">
        <f aca="false">IF($G1800="","",$V1800*(N($M1800)*1+N($N1800)*0.75+N($O1800)*0.5+N($P1800)*0.25)+$W1800*N($L1800))</f>
        <v/>
      </c>
      <c r="Z1800" s="35" t="str">
        <f aca="false">IF($G1800="","",$U1800*1000000+ROW())</f>
        <v/>
      </c>
      <c r="AA1800" s="36" t="str">
        <f aca="false">IF($G1800="","",MID(IF($C1800="",", no division","")&amp;IF($E1800="",", no unit","")&amp;IF($H1800="",", no career level","")&amp;IF(N($L1800)&lt;=0,", no quarter split","")&amp;IF($R1800="",", no driver","")&amp;IF(AND($H1800&lt;&gt;"",COUNTIF(CareerLevels,$H1800)=0),", a career level that is not on the ladder","")&amp;IF(AND($R1800&lt;&gt;"",COUNTIF(DriverList,$R1800)=0),", a driver that is not on the list","")&amp;IF(ABS(N($L1800)-(N($M1800)+N($N1800)+N($O1800)+N($P1800)))&gt;0.001,", a total that does not match its quarters",""),3,300))</f>
        <v/>
      </c>
    </row>
    <row r="1801" customFormat="false" ht="15" hidden="false" customHeight="false" outlineLevel="0" collapsed="false">
      <c r="A1801" s="33" t="str">
        <f aca="false">IF($G1801="","","Retail Banking Group")</f>
        <v/>
      </c>
      <c r="B1801" s="19"/>
      <c r="C1801" s="19"/>
      <c r="D1801" s="19"/>
      <c r="E1801" s="19"/>
      <c r="F1801" s="19"/>
      <c r="G1801" s="19"/>
      <c r="H1801" s="19"/>
      <c r="I1801" s="19"/>
      <c r="J1801" s="19"/>
      <c r="K1801" s="19"/>
      <c r="L1801" s="19"/>
      <c r="M1801" s="19"/>
      <c r="N1801" s="19"/>
      <c r="O1801" s="19"/>
      <c r="P1801" s="19"/>
      <c r="Q1801" s="19"/>
      <c r="R1801" s="19"/>
      <c r="S1801" s="19"/>
      <c r="T1801" s="34" t="str">
        <f aca="false">IF($R1801="","",IFERROR(INDEX(DriverCategory,MATCH($R1801,DriverList,0)),"BAU"))</f>
        <v/>
      </c>
      <c r="U1801" s="34" t="str">
        <f aca="false">IF($R1801="","",IFERROR(INDEX(DriverRank,MATCH($R1801,DriverList,0)),99))</f>
        <v/>
      </c>
      <c r="V1801" s="35" t="n">
        <f aca="false">IF($H1801="",0,IFERROR(INDEX(LevelBasic,MATCH($H1801,LevelList,0))+INDEX(LevelHousing,MATCH($H1801,LevelList,0))+INDEX(LevelTransport,MATCH($H1801,LevelList,0))+INDEX(LevelBasic,MATCH($H1801,LevelList,0))*INDEX(LevelBonus,MATCH($H1801,LevelList,0))+(INDEX(LevelBasic,MATCH($H1801,LevelList,0))+INDEX(LevelHousing,MATCH($H1801,LevelList,0)))*GosiSaudi,0))</f>
        <v>0</v>
      </c>
      <c r="W1801" s="35" t="n">
        <f aca="false">IFERROR(INDEX(LevelOneOff,MATCH($H1801,LevelList,0)),0)</f>
        <v>0</v>
      </c>
      <c r="X1801" s="35" t="str">
        <f aca="false">IF($G1801="","",$V1801*N($L1801))</f>
        <v/>
      </c>
      <c r="Y1801" s="35" t="str">
        <f aca="false">IF($G1801="","",$V1801*(N($M1801)*1+N($N1801)*0.75+N($O1801)*0.5+N($P1801)*0.25)+$W1801*N($L1801))</f>
        <v/>
      </c>
      <c r="Z1801" s="35" t="str">
        <f aca="false">IF($G1801="","",$U1801*1000000+ROW())</f>
        <v/>
      </c>
      <c r="AA1801" s="36" t="str">
        <f aca="false">IF($G1801="","",MID(IF($C1801="",", no division","")&amp;IF($E1801="",", no unit","")&amp;IF($H1801="",", no career level","")&amp;IF(N($L1801)&lt;=0,", no quarter split","")&amp;IF($R1801="",", no driver","")&amp;IF(AND($H1801&lt;&gt;"",COUNTIF(CareerLevels,$H1801)=0),", a career level that is not on the ladder","")&amp;IF(AND($R1801&lt;&gt;"",COUNTIF(DriverList,$R1801)=0),", a driver that is not on the list","")&amp;IF(ABS(N($L1801)-(N($M1801)+N($N1801)+N($O1801)+N($P1801)))&gt;0.001,", a total that does not match its quarters",""),3,300))</f>
        <v/>
      </c>
    </row>
    <row r="1802" customFormat="false" ht="15" hidden="false" customHeight="false" outlineLevel="0" collapsed="false">
      <c r="A1802" s="33" t="str">
        <f aca="false">IF($G1802="","","Retail Banking Group")</f>
        <v/>
      </c>
      <c r="B1802" s="19"/>
      <c r="C1802" s="19"/>
      <c r="D1802" s="19"/>
      <c r="E1802" s="19"/>
      <c r="F1802" s="19"/>
      <c r="G1802" s="19"/>
      <c r="H1802" s="19"/>
      <c r="I1802" s="19"/>
      <c r="J1802" s="19"/>
      <c r="K1802" s="19"/>
      <c r="L1802" s="19"/>
      <c r="M1802" s="19"/>
      <c r="N1802" s="19"/>
      <c r="O1802" s="19"/>
      <c r="P1802" s="19"/>
      <c r="Q1802" s="19"/>
      <c r="R1802" s="19"/>
      <c r="S1802" s="19"/>
      <c r="T1802" s="34" t="str">
        <f aca="false">IF($R1802="","",IFERROR(INDEX(DriverCategory,MATCH($R1802,DriverList,0)),"BAU"))</f>
        <v/>
      </c>
      <c r="U1802" s="34" t="str">
        <f aca="false">IF($R1802="","",IFERROR(INDEX(DriverRank,MATCH($R1802,DriverList,0)),99))</f>
        <v/>
      </c>
      <c r="V1802" s="35" t="n">
        <f aca="false">IF($H1802="",0,IFERROR(INDEX(LevelBasic,MATCH($H1802,LevelList,0))+INDEX(LevelHousing,MATCH($H1802,LevelList,0))+INDEX(LevelTransport,MATCH($H1802,LevelList,0))+INDEX(LevelBasic,MATCH($H1802,LevelList,0))*INDEX(LevelBonus,MATCH($H1802,LevelList,0))+(INDEX(LevelBasic,MATCH($H1802,LevelList,0))+INDEX(LevelHousing,MATCH($H1802,LevelList,0)))*GosiSaudi,0))</f>
        <v>0</v>
      </c>
      <c r="W1802" s="35" t="n">
        <f aca="false">IFERROR(INDEX(LevelOneOff,MATCH($H1802,LevelList,0)),0)</f>
        <v>0</v>
      </c>
      <c r="X1802" s="35" t="str">
        <f aca="false">IF($G1802="","",$V1802*N($L1802))</f>
        <v/>
      </c>
      <c r="Y1802" s="35" t="str">
        <f aca="false">IF($G1802="","",$V1802*(N($M1802)*1+N($N1802)*0.75+N($O1802)*0.5+N($P1802)*0.25)+$W1802*N($L1802))</f>
        <v/>
      </c>
      <c r="Z1802" s="35" t="str">
        <f aca="false">IF($G1802="","",$U1802*1000000+ROW())</f>
        <v/>
      </c>
      <c r="AA1802" s="36" t="str">
        <f aca="false">IF($G1802="","",MID(IF($C1802="",", no division","")&amp;IF($E1802="",", no unit","")&amp;IF($H1802="",", no career level","")&amp;IF(N($L1802)&lt;=0,", no quarter split","")&amp;IF($R1802="",", no driver","")&amp;IF(AND($H1802&lt;&gt;"",COUNTIF(CareerLevels,$H1802)=0),", a career level that is not on the ladder","")&amp;IF(AND($R1802&lt;&gt;"",COUNTIF(DriverList,$R1802)=0),", a driver that is not on the list","")&amp;IF(ABS(N($L1802)-(N($M1802)+N($N1802)+N($O1802)+N($P1802)))&gt;0.001,", a total that does not match its quarters",""),3,300))</f>
        <v/>
      </c>
    </row>
    <row r="1803" customFormat="false" ht="15" hidden="false" customHeight="false" outlineLevel="0" collapsed="false">
      <c r="A1803" s="33" t="str">
        <f aca="false">IF($G1803="","","Retail Banking Group")</f>
        <v/>
      </c>
      <c r="B1803" s="19"/>
      <c r="C1803" s="19"/>
      <c r="D1803" s="19"/>
      <c r="E1803" s="19"/>
      <c r="F1803" s="19"/>
      <c r="G1803" s="19"/>
      <c r="H1803" s="19"/>
      <c r="I1803" s="19"/>
      <c r="J1803" s="19"/>
      <c r="K1803" s="19"/>
      <c r="L1803" s="19"/>
      <c r="M1803" s="19"/>
      <c r="N1803" s="19"/>
      <c r="O1803" s="19"/>
      <c r="P1803" s="19"/>
      <c r="Q1803" s="19"/>
      <c r="R1803" s="19"/>
      <c r="S1803" s="19"/>
      <c r="T1803" s="34" t="str">
        <f aca="false">IF($R1803="","",IFERROR(INDEX(DriverCategory,MATCH($R1803,DriverList,0)),"BAU"))</f>
        <v/>
      </c>
      <c r="U1803" s="34" t="str">
        <f aca="false">IF($R1803="","",IFERROR(INDEX(DriverRank,MATCH($R1803,DriverList,0)),99))</f>
        <v/>
      </c>
      <c r="V1803" s="35" t="n">
        <f aca="false">IF($H1803="",0,IFERROR(INDEX(LevelBasic,MATCH($H1803,LevelList,0))+INDEX(LevelHousing,MATCH($H1803,LevelList,0))+INDEX(LevelTransport,MATCH($H1803,LevelList,0))+INDEX(LevelBasic,MATCH($H1803,LevelList,0))*INDEX(LevelBonus,MATCH($H1803,LevelList,0))+(INDEX(LevelBasic,MATCH($H1803,LevelList,0))+INDEX(LevelHousing,MATCH($H1803,LevelList,0)))*GosiSaudi,0))</f>
        <v>0</v>
      </c>
      <c r="W1803" s="35" t="n">
        <f aca="false">IFERROR(INDEX(LevelOneOff,MATCH($H1803,LevelList,0)),0)</f>
        <v>0</v>
      </c>
      <c r="X1803" s="35" t="str">
        <f aca="false">IF($G1803="","",$V1803*N($L1803))</f>
        <v/>
      </c>
      <c r="Y1803" s="35" t="str">
        <f aca="false">IF($G1803="","",$V1803*(N($M1803)*1+N($N1803)*0.75+N($O1803)*0.5+N($P1803)*0.25)+$W1803*N($L1803))</f>
        <v/>
      </c>
      <c r="Z1803" s="35" t="str">
        <f aca="false">IF($G1803="","",$U1803*1000000+ROW())</f>
        <v/>
      </c>
      <c r="AA1803" s="36" t="str">
        <f aca="false">IF($G1803="","",MID(IF($C1803="",", no division","")&amp;IF($E1803="",", no unit","")&amp;IF($H1803="",", no career level","")&amp;IF(N($L1803)&lt;=0,", no quarter split","")&amp;IF($R1803="",", no driver","")&amp;IF(AND($H1803&lt;&gt;"",COUNTIF(CareerLevels,$H1803)=0),", a career level that is not on the ladder","")&amp;IF(AND($R1803&lt;&gt;"",COUNTIF(DriverList,$R1803)=0),", a driver that is not on the list","")&amp;IF(ABS(N($L1803)-(N($M1803)+N($N1803)+N($O1803)+N($P1803)))&gt;0.001,", a total that does not match its quarters",""),3,300))</f>
        <v/>
      </c>
    </row>
    <row r="1804" customFormat="false" ht="15" hidden="false" customHeight="false" outlineLevel="0" collapsed="false">
      <c r="A1804" s="33" t="str">
        <f aca="false">IF($G1804="","","Retail Banking Group")</f>
        <v/>
      </c>
      <c r="B1804" s="19"/>
      <c r="C1804" s="19"/>
      <c r="D1804" s="19"/>
      <c r="E1804" s="19"/>
      <c r="F1804" s="19"/>
      <c r="G1804" s="19"/>
      <c r="H1804" s="19"/>
      <c r="I1804" s="19"/>
      <c r="J1804" s="19"/>
      <c r="K1804" s="19"/>
      <c r="L1804" s="19"/>
      <c r="M1804" s="19"/>
      <c r="N1804" s="19"/>
      <c r="O1804" s="19"/>
      <c r="P1804" s="19"/>
      <c r="Q1804" s="19"/>
      <c r="R1804" s="19"/>
      <c r="S1804" s="19"/>
      <c r="T1804" s="34" t="str">
        <f aca="false">IF($R1804="","",IFERROR(INDEX(DriverCategory,MATCH($R1804,DriverList,0)),"BAU"))</f>
        <v/>
      </c>
      <c r="U1804" s="34" t="str">
        <f aca="false">IF($R1804="","",IFERROR(INDEX(DriverRank,MATCH($R1804,DriverList,0)),99))</f>
        <v/>
      </c>
      <c r="V1804" s="35" t="n">
        <f aca="false">IF($H1804="",0,IFERROR(INDEX(LevelBasic,MATCH($H1804,LevelList,0))+INDEX(LevelHousing,MATCH($H1804,LevelList,0))+INDEX(LevelTransport,MATCH($H1804,LevelList,0))+INDEX(LevelBasic,MATCH($H1804,LevelList,0))*INDEX(LevelBonus,MATCH($H1804,LevelList,0))+(INDEX(LevelBasic,MATCH($H1804,LevelList,0))+INDEX(LevelHousing,MATCH($H1804,LevelList,0)))*GosiSaudi,0))</f>
        <v>0</v>
      </c>
      <c r="W1804" s="35" t="n">
        <f aca="false">IFERROR(INDEX(LevelOneOff,MATCH($H1804,LevelList,0)),0)</f>
        <v>0</v>
      </c>
      <c r="X1804" s="35" t="str">
        <f aca="false">IF($G1804="","",$V1804*N($L1804))</f>
        <v/>
      </c>
      <c r="Y1804" s="35" t="str">
        <f aca="false">IF($G1804="","",$V1804*(N($M1804)*1+N($N1804)*0.75+N($O1804)*0.5+N($P1804)*0.25)+$W1804*N($L1804))</f>
        <v/>
      </c>
      <c r="Z1804" s="35" t="str">
        <f aca="false">IF($G1804="","",$U1804*1000000+ROW())</f>
        <v/>
      </c>
      <c r="AA1804" s="36" t="str">
        <f aca="false">IF($G1804="","",MID(IF($C1804="",", no division","")&amp;IF($E1804="",", no unit","")&amp;IF($H1804="",", no career level","")&amp;IF(N($L1804)&lt;=0,", no quarter split","")&amp;IF($R1804="",", no driver","")&amp;IF(AND($H1804&lt;&gt;"",COUNTIF(CareerLevels,$H1804)=0),", a career level that is not on the ladder","")&amp;IF(AND($R1804&lt;&gt;"",COUNTIF(DriverList,$R1804)=0),", a driver that is not on the list","")&amp;IF(ABS(N($L1804)-(N($M1804)+N($N1804)+N($O1804)+N($P1804)))&gt;0.001,", a total that does not match its quarters",""),3,300))</f>
        <v/>
      </c>
    </row>
    <row r="1805" customFormat="false" ht="15" hidden="false" customHeight="false" outlineLevel="0" collapsed="false">
      <c r="A1805" s="33" t="str">
        <f aca="false">IF($G1805="","","Retail Banking Group")</f>
        <v/>
      </c>
      <c r="B1805" s="19"/>
      <c r="C1805" s="19"/>
      <c r="D1805" s="19"/>
      <c r="E1805" s="19"/>
      <c r="F1805" s="19"/>
      <c r="G1805" s="19"/>
      <c r="H1805" s="19"/>
      <c r="I1805" s="19"/>
      <c r="J1805" s="19"/>
      <c r="K1805" s="19"/>
      <c r="L1805" s="19"/>
      <c r="M1805" s="19"/>
      <c r="N1805" s="19"/>
      <c r="O1805" s="19"/>
      <c r="P1805" s="19"/>
      <c r="Q1805" s="19"/>
      <c r="R1805" s="19"/>
      <c r="S1805" s="19"/>
      <c r="T1805" s="34" t="str">
        <f aca="false">IF($R1805="","",IFERROR(INDEX(DriverCategory,MATCH($R1805,DriverList,0)),"BAU"))</f>
        <v/>
      </c>
      <c r="U1805" s="34" t="str">
        <f aca="false">IF($R1805="","",IFERROR(INDEX(DriverRank,MATCH($R1805,DriverList,0)),99))</f>
        <v/>
      </c>
      <c r="V1805" s="35" t="n">
        <f aca="false">IF($H1805="",0,IFERROR(INDEX(LevelBasic,MATCH($H1805,LevelList,0))+INDEX(LevelHousing,MATCH($H1805,LevelList,0))+INDEX(LevelTransport,MATCH($H1805,LevelList,0))+INDEX(LevelBasic,MATCH($H1805,LevelList,0))*INDEX(LevelBonus,MATCH($H1805,LevelList,0))+(INDEX(LevelBasic,MATCH($H1805,LevelList,0))+INDEX(LevelHousing,MATCH($H1805,LevelList,0)))*GosiSaudi,0))</f>
        <v>0</v>
      </c>
      <c r="W1805" s="35" t="n">
        <f aca="false">IFERROR(INDEX(LevelOneOff,MATCH($H1805,LevelList,0)),0)</f>
        <v>0</v>
      </c>
      <c r="X1805" s="35" t="str">
        <f aca="false">IF($G1805="","",$V1805*N($L1805))</f>
        <v/>
      </c>
      <c r="Y1805" s="35" t="str">
        <f aca="false">IF($G1805="","",$V1805*(N($M1805)*1+N($N1805)*0.75+N($O1805)*0.5+N($P1805)*0.25)+$W1805*N($L1805))</f>
        <v/>
      </c>
      <c r="Z1805" s="35" t="str">
        <f aca="false">IF($G1805="","",$U1805*1000000+ROW())</f>
        <v/>
      </c>
      <c r="AA1805" s="36" t="str">
        <f aca="false">IF($G1805="","",MID(IF($C1805="",", no division","")&amp;IF($E1805="",", no unit","")&amp;IF($H1805="",", no career level","")&amp;IF(N($L1805)&lt;=0,", no quarter split","")&amp;IF($R1805="",", no driver","")&amp;IF(AND($H1805&lt;&gt;"",COUNTIF(CareerLevels,$H1805)=0),", a career level that is not on the ladder","")&amp;IF(AND($R1805&lt;&gt;"",COUNTIF(DriverList,$R1805)=0),", a driver that is not on the list","")&amp;IF(ABS(N($L1805)-(N($M1805)+N($N1805)+N($O1805)+N($P1805)))&gt;0.001,", a total that does not match its quarters",""),3,300))</f>
        <v/>
      </c>
    </row>
    <row r="1806" customFormat="false" ht="15" hidden="false" customHeight="false" outlineLevel="0" collapsed="false">
      <c r="A1806" s="28" t="str">
        <f aca="false">IF($G1806="","","Risk Group")</f>
        <v/>
      </c>
      <c r="B1806" s="29"/>
      <c r="C1806" s="29"/>
      <c r="D1806" s="29"/>
      <c r="E1806" s="29"/>
      <c r="F1806" s="29"/>
      <c r="G1806" s="29"/>
      <c r="H1806" s="29"/>
      <c r="I1806" s="29"/>
      <c r="J1806" s="29"/>
      <c r="K1806" s="29"/>
      <c r="L1806" s="29"/>
      <c r="M1806" s="29"/>
      <c r="N1806" s="29"/>
      <c r="O1806" s="29"/>
      <c r="P1806" s="29"/>
      <c r="Q1806" s="29"/>
      <c r="R1806" s="29"/>
      <c r="S1806" s="29"/>
      <c r="T1806" s="30" t="str">
        <f aca="false">IF($R1806="","",IFERROR(INDEX(DriverCategory,MATCH($R1806,DriverList,0)),"BAU"))</f>
        <v/>
      </c>
      <c r="U1806" s="30" t="str">
        <f aca="false">IF($R1806="","",IFERROR(INDEX(DriverRank,MATCH($R1806,DriverList,0)),99))</f>
        <v/>
      </c>
      <c r="V1806" s="31" t="n">
        <f aca="false">IF($H1806="",0,IFERROR(INDEX(LevelBasic,MATCH($H1806,LevelList,0))+INDEX(LevelHousing,MATCH($H1806,LevelList,0))+INDEX(LevelTransport,MATCH($H1806,LevelList,0))+INDEX(LevelBasic,MATCH($H1806,LevelList,0))*INDEX(LevelBonus,MATCH($H1806,LevelList,0))+(INDEX(LevelBasic,MATCH($H1806,LevelList,0))+INDEX(LevelHousing,MATCH($H1806,LevelList,0)))*GosiSaudi,0))</f>
        <v>0</v>
      </c>
      <c r="W1806" s="31" t="n">
        <f aca="false">IFERROR(INDEX(LevelOneOff,MATCH($H1806,LevelList,0)),0)</f>
        <v>0</v>
      </c>
      <c r="X1806" s="31" t="str">
        <f aca="false">IF($G1806="","",$V1806*N($L1806))</f>
        <v/>
      </c>
      <c r="Y1806" s="31" t="str">
        <f aca="false">IF($G1806="","",$V1806*(N($M1806)*1+N($N1806)*0.75+N($O1806)*0.5+N($P1806)*0.25)+$W1806*N($L1806))</f>
        <v/>
      </c>
      <c r="Z1806" s="31" t="str">
        <f aca="false">IF($G1806="","",$U1806*1000000+ROW())</f>
        <v/>
      </c>
      <c r="AA1806" s="32" t="str">
        <f aca="false">IF($G1806="","",MID(IF($C1806="",", no division","")&amp;IF($E1806="",", no unit","")&amp;IF($H1806="",", no career level","")&amp;IF(N($L1806)&lt;=0,", no quarter split","")&amp;IF($R1806="",", no driver","")&amp;IF(AND($H1806&lt;&gt;"",COUNTIF(CareerLevels,$H1806)=0),", a career level that is not on the ladder","")&amp;IF(AND($R1806&lt;&gt;"",COUNTIF(DriverList,$R1806)=0),", a driver that is not on the list","")&amp;IF(ABS(N($L1806)-(N($M1806)+N($N1806)+N($O1806)+N($P1806)))&gt;0.001,", a total that does not match its quarters",""),3,300))</f>
        <v/>
      </c>
    </row>
    <row r="1807" customFormat="false" ht="15" hidden="false" customHeight="false" outlineLevel="0" collapsed="false">
      <c r="A1807" s="33" t="str">
        <f aca="false">IF($G1807="","","Risk Group")</f>
        <v/>
      </c>
      <c r="B1807" s="19"/>
      <c r="C1807" s="19"/>
      <c r="D1807" s="19"/>
      <c r="E1807" s="19"/>
      <c r="F1807" s="19"/>
      <c r="G1807" s="19"/>
      <c r="H1807" s="19"/>
      <c r="I1807" s="19"/>
      <c r="J1807" s="19"/>
      <c r="K1807" s="19"/>
      <c r="L1807" s="19"/>
      <c r="M1807" s="19"/>
      <c r="N1807" s="19"/>
      <c r="O1807" s="19"/>
      <c r="P1807" s="19"/>
      <c r="Q1807" s="19"/>
      <c r="R1807" s="19"/>
      <c r="S1807" s="19"/>
      <c r="T1807" s="34" t="str">
        <f aca="false">IF($R1807="","",IFERROR(INDEX(DriverCategory,MATCH($R1807,DriverList,0)),"BAU"))</f>
        <v/>
      </c>
      <c r="U1807" s="34" t="str">
        <f aca="false">IF($R1807="","",IFERROR(INDEX(DriverRank,MATCH($R1807,DriverList,0)),99))</f>
        <v/>
      </c>
      <c r="V1807" s="35" t="n">
        <f aca="false">IF($H1807="",0,IFERROR(INDEX(LevelBasic,MATCH($H1807,LevelList,0))+INDEX(LevelHousing,MATCH($H1807,LevelList,0))+INDEX(LevelTransport,MATCH($H1807,LevelList,0))+INDEX(LevelBasic,MATCH($H1807,LevelList,0))*INDEX(LevelBonus,MATCH($H1807,LevelList,0))+(INDEX(LevelBasic,MATCH($H1807,LevelList,0))+INDEX(LevelHousing,MATCH($H1807,LevelList,0)))*GosiSaudi,0))</f>
        <v>0</v>
      </c>
      <c r="W1807" s="35" t="n">
        <f aca="false">IFERROR(INDEX(LevelOneOff,MATCH($H1807,LevelList,0)),0)</f>
        <v>0</v>
      </c>
      <c r="X1807" s="35" t="str">
        <f aca="false">IF($G1807="","",$V1807*N($L1807))</f>
        <v/>
      </c>
      <c r="Y1807" s="35" t="str">
        <f aca="false">IF($G1807="","",$V1807*(N($M1807)*1+N($N1807)*0.75+N($O1807)*0.5+N($P1807)*0.25)+$W1807*N($L1807))</f>
        <v/>
      </c>
      <c r="Z1807" s="35" t="str">
        <f aca="false">IF($G1807="","",$U1807*1000000+ROW())</f>
        <v/>
      </c>
      <c r="AA1807" s="36" t="str">
        <f aca="false">IF($G1807="","",MID(IF($C1807="",", no division","")&amp;IF($E1807="",", no unit","")&amp;IF($H1807="",", no career level","")&amp;IF(N($L1807)&lt;=0,", no quarter split","")&amp;IF($R1807="",", no driver","")&amp;IF(AND($H1807&lt;&gt;"",COUNTIF(CareerLevels,$H1807)=0),", a career level that is not on the ladder","")&amp;IF(AND($R1807&lt;&gt;"",COUNTIF(DriverList,$R1807)=0),", a driver that is not on the list","")&amp;IF(ABS(N($L1807)-(N($M1807)+N($N1807)+N($O1807)+N($P1807)))&gt;0.001,", a total that does not match its quarters",""),3,300))</f>
        <v/>
      </c>
    </row>
    <row r="1808" customFormat="false" ht="15" hidden="false" customHeight="false" outlineLevel="0" collapsed="false">
      <c r="A1808" s="33" t="str">
        <f aca="false">IF($G1808="","","Risk Group")</f>
        <v/>
      </c>
      <c r="B1808" s="19"/>
      <c r="C1808" s="19"/>
      <c r="D1808" s="19"/>
      <c r="E1808" s="19"/>
      <c r="F1808" s="19"/>
      <c r="G1808" s="19"/>
      <c r="H1808" s="19"/>
      <c r="I1808" s="19"/>
      <c r="J1808" s="19"/>
      <c r="K1808" s="19"/>
      <c r="L1808" s="19"/>
      <c r="M1808" s="19"/>
      <c r="N1808" s="19"/>
      <c r="O1808" s="19"/>
      <c r="P1808" s="19"/>
      <c r="Q1808" s="19"/>
      <c r="R1808" s="19"/>
      <c r="S1808" s="19"/>
      <c r="T1808" s="34" t="str">
        <f aca="false">IF($R1808="","",IFERROR(INDEX(DriverCategory,MATCH($R1808,DriverList,0)),"BAU"))</f>
        <v/>
      </c>
      <c r="U1808" s="34" t="str">
        <f aca="false">IF($R1808="","",IFERROR(INDEX(DriverRank,MATCH($R1808,DriverList,0)),99))</f>
        <v/>
      </c>
      <c r="V1808" s="35" t="n">
        <f aca="false">IF($H1808="",0,IFERROR(INDEX(LevelBasic,MATCH($H1808,LevelList,0))+INDEX(LevelHousing,MATCH($H1808,LevelList,0))+INDEX(LevelTransport,MATCH($H1808,LevelList,0))+INDEX(LevelBasic,MATCH($H1808,LevelList,0))*INDEX(LevelBonus,MATCH($H1808,LevelList,0))+(INDEX(LevelBasic,MATCH($H1808,LevelList,0))+INDEX(LevelHousing,MATCH($H1808,LevelList,0)))*GosiSaudi,0))</f>
        <v>0</v>
      </c>
      <c r="W1808" s="35" t="n">
        <f aca="false">IFERROR(INDEX(LevelOneOff,MATCH($H1808,LevelList,0)),0)</f>
        <v>0</v>
      </c>
      <c r="X1808" s="35" t="str">
        <f aca="false">IF($G1808="","",$V1808*N($L1808))</f>
        <v/>
      </c>
      <c r="Y1808" s="35" t="str">
        <f aca="false">IF($G1808="","",$V1808*(N($M1808)*1+N($N1808)*0.75+N($O1808)*0.5+N($P1808)*0.25)+$W1808*N($L1808))</f>
        <v/>
      </c>
      <c r="Z1808" s="35" t="str">
        <f aca="false">IF($G1808="","",$U1808*1000000+ROW())</f>
        <v/>
      </c>
      <c r="AA1808" s="36" t="str">
        <f aca="false">IF($G1808="","",MID(IF($C1808="",", no division","")&amp;IF($E1808="",", no unit","")&amp;IF($H1808="",", no career level","")&amp;IF(N($L1808)&lt;=0,", no quarter split","")&amp;IF($R1808="",", no driver","")&amp;IF(AND($H1808&lt;&gt;"",COUNTIF(CareerLevels,$H1808)=0),", a career level that is not on the ladder","")&amp;IF(AND($R1808&lt;&gt;"",COUNTIF(DriverList,$R1808)=0),", a driver that is not on the list","")&amp;IF(ABS(N($L1808)-(N($M1808)+N($N1808)+N($O1808)+N($P1808)))&gt;0.001,", a total that does not match its quarters",""),3,300))</f>
        <v/>
      </c>
    </row>
    <row r="1809" customFormat="false" ht="15" hidden="false" customHeight="false" outlineLevel="0" collapsed="false">
      <c r="A1809" s="33" t="str">
        <f aca="false">IF($G1809="","","Risk Group")</f>
        <v/>
      </c>
      <c r="B1809" s="19"/>
      <c r="C1809" s="19"/>
      <c r="D1809" s="19"/>
      <c r="E1809" s="19"/>
      <c r="F1809" s="19"/>
      <c r="G1809" s="19"/>
      <c r="H1809" s="19"/>
      <c r="I1809" s="19"/>
      <c r="J1809" s="19"/>
      <c r="K1809" s="19"/>
      <c r="L1809" s="19"/>
      <c r="M1809" s="19"/>
      <c r="N1809" s="19"/>
      <c r="O1809" s="19"/>
      <c r="P1809" s="19"/>
      <c r="Q1809" s="19"/>
      <c r="R1809" s="19"/>
      <c r="S1809" s="19"/>
      <c r="T1809" s="34" t="str">
        <f aca="false">IF($R1809="","",IFERROR(INDEX(DriverCategory,MATCH($R1809,DriverList,0)),"BAU"))</f>
        <v/>
      </c>
      <c r="U1809" s="34" t="str">
        <f aca="false">IF($R1809="","",IFERROR(INDEX(DriverRank,MATCH($R1809,DriverList,0)),99))</f>
        <v/>
      </c>
      <c r="V1809" s="35" t="n">
        <f aca="false">IF($H1809="",0,IFERROR(INDEX(LevelBasic,MATCH($H1809,LevelList,0))+INDEX(LevelHousing,MATCH($H1809,LevelList,0))+INDEX(LevelTransport,MATCH($H1809,LevelList,0))+INDEX(LevelBasic,MATCH($H1809,LevelList,0))*INDEX(LevelBonus,MATCH($H1809,LevelList,0))+(INDEX(LevelBasic,MATCH($H1809,LevelList,0))+INDEX(LevelHousing,MATCH($H1809,LevelList,0)))*GosiSaudi,0))</f>
        <v>0</v>
      </c>
      <c r="W1809" s="35" t="n">
        <f aca="false">IFERROR(INDEX(LevelOneOff,MATCH($H1809,LevelList,0)),0)</f>
        <v>0</v>
      </c>
      <c r="X1809" s="35" t="str">
        <f aca="false">IF($G1809="","",$V1809*N($L1809))</f>
        <v/>
      </c>
      <c r="Y1809" s="35" t="str">
        <f aca="false">IF($G1809="","",$V1809*(N($M1809)*1+N($N1809)*0.75+N($O1809)*0.5+N($P1809)*0.25)+$W1809*N($L1809))</f>
        <v/>
      </c>
      <c r="Z1809" s="35" t="str">
        <f aca="false">IF($G1809="","",$U1809*1000000+ROW())</f>
        <v/>
      </c>
      <c r="AA1809" s="36" t="str">
        <f aca="false">IF($G1809="","",MID(IF($C1809="",", no division","")&amp;IF($E1809="",", no unit","")&amp;IF($H1809="",", no career level","")&amp;IF(N($L1809)&lt;=0,", no quarter split","")&amp;IF($R1809="",", no driver","")&amp;IF(AND($H1809&lt;&gt;"",COUNTIF(CareerLevels,$H1809)=0),", a career level that is not on the ladder","")&amp;IF(AND($R1809&lt;&gt;"",COUNTIF(DriverList,$R1809)=0),", a driver that is not on the list","")&amp;IF(ABS(N($L1809)-(N($M1809)+N($N1809)+N($O1809)+N($P1809)))&gt;0.001,", a total that does not match its quarters",""),3,300))</f>
        <v/>
      </c>
    </row>
    <row r="1810" customFormat="false" ht="15" hidden="false" customHeight="false" outlineLevel="0" collapsed="false">
      <c r="A1810" s="33" t="str">
        <f aca="false">IF($G1810="","","Risk Group")</f>
        <v/>
      </c>
      <c r="B1810" s="19"/>
      <c r="C1810" s="19"/>
      <c r="D1810" s="19"/>
      <c r="E1810" s="19"/>
      <c r="F1810" s="19"/>
      <c r="G1810" s="19"/>
      <c r="H1810" s="19"/>
      <c r="I1810" s="19"/>
      <c r="J1810" s="19"/>
      <c r="K1810" s="19"/>
      <c r="L1810" s="19"/>
      <c r="M1810" s="19"/>
      <c r="N1810" s="19"/>
      <c r="O1810" s="19"/>
      <c r="P1810" s="19"/>
      <c r="Q1810" s="19"/>
      <c r="R1810" s="19"/>
      <c r="S1810" s="19"/>
      <c r="T1810" s="34" t="str">
        <f aca="false">IF($R1810="","",IFERROR(INDEX(DriverCategory,MATCH($R1810,DriverList,0)),"BAU"))</f>
        <v/>
      </c>
      <c r="U1810" s="34" t="str">
        <f aca="false">IF($R1810="","",IFERROR(INDEX(DriverRank,MATCH($R1810,DriverList,0)),99))</f>
        <v/>
      </c>
      <c r="V1810" s="35" t="n">
        <f aca="false">IF($H1810="",0,IFERROR(INDEX(LevelBasic,MATCH($H1810,LevelList,0))+INDEX(LevelHousing,MATCH($H1810,LevelList,0))+INDEX(LevelTransport,MATCH($H1810,LevelList,0))+INDEX(LevelBasic,MATCH($H1810,LevelList,0))*INDEX(LevelBonus,MATCH($H1810,LevelList,0))+(INDEX(LevelBasic,MATCH($H1810,LevelList,0))+INDEX(LevelHousing,MATCH($H1810,LevelList,0)))*GosiSaudi,0))</f>
        <v>0</v>
      </c>
      <c r="W1810" s="35" t="n">
        <f aca="false">IFERROR(INDEX(LevelOneOff,MATCH($H1810,LevelList,0)),0)</f>
        <v>0</v>
      </c>
      <c r="X1810" s="35" t="str">
        <f aca="false">IF($G1810="","",$V1810*N($L1810))</f>
        <v/>
      </c>
      <c r="Y1810" s="35" t="str">
        <f aca="false">IF($G1810="","",$V1810*(N($M1810)*1+N($N1810)*0.75+N($O1810)*0.5+N($P1810)*0.25)+$W1810*N($L1810))</f>
        <v/>
      </c>
      <c r="Z1810" s="35" t="str">
        <f aca="false">IF($G1810="","",$U1810*1000000+ROW())</f>
        <v/>
      </c>
      <c r="AA1810" s="36" t="str">
        <f aca="false">IF($G1810="","",MID(IF($C1810="",", no division","")&amp;IF($E1810="",", no unit","")&amp;IF($H1810="",", no career level","")&amp;IF(N($L1810)&lt;=0,", no quarter split","")&amp;IF($R1810="",", no driver","")&amp;IF(AND($H1810&lt;&gt;"",COUNTIF(CareerLevels,$H1810)=0),", a career level that is not on the ladder","")&amp;IF(AND($R1810&lt;&gt;"",COUNTIF(DriverList,$R1810)=0),", a driver that is not on the list","")&amp;IF(ABS(N($L1810)-(N($M1810)+N($N1810)+N($O1810)+N($P1810)))&gt;0.001,", a total that does not match its quarters",""),3,300))</f>
        <v/>
      </c>
    </row>
    <row r="1811" customFormat="false" ht="15" hidden="false" customHeight="false" outlineLevel="0" collapsed="false">
      <c r="A1811" s="33" t="str">
        <f aca="false">IF($G1811="","","Risk Group")</f>
        <v/>
      </c>
      <c r="B1811" s="19"/>
      <c r="C1811" s="19"/>
      <c r="D1811" s="19"/>
      <c r="E1811" s="19"/>
      <c r="F1811" s="19"/>
      <c r="G1811" s="19"/>
      <c r="H1811" s="19"/>
      <c r="I1811" s="19"/>
      <c r="J1811" s="19"/>
      <c r="K1811" s="19"/>
      <c r="L1811" s="19"/>
      <c r="M1811" s="19"/>
      <c r="N1811" s="19"/>
      <c r="O1811" s="19"/>
      <c r="P1811" s="19"/>
      <c r="Q1811" s="19"/>
      <c r="R1811" s="19"/>
      <c r="S1811" s="19"/>
      <c r="T1811" s="34" t="str">
        <f aca="false">IF($R1811="","",IFERROR(INDEX(DriverCategory,MATCH($R1811,DriverList,0)),"BAU"))</f>
        <v/>
      </c>
      <c r="U1811" s="34" t="str">
        <f aca="false">IF($R1811="","",IFERROR(INDEX(DriverRank,MATCH($R1811,DriverList,0)),99))</f>
        <v/>
      </c>
      <c r="V1811" s="35" t="n">
        <f aca="false">IF($H1811="",0,IFERROR(INDEX(LevelBasic,MATCH($H1811,LevelList,0))+INDEX(LevelHousing,MATCH($H1811,LevelList,0))+INDEX(LevelTransport,MATCH($H1811,LevelList,0))+INDEX(LevelBasic,MATCH($H1811,LevelList,0))*INDEX(LevelBonus,MATCH($H1811,LevelList,0))+(INDEX(LevelBasic,MATCH($H1811,LevelList,0))+INDEX(LevelHousing,MATCH($H1811,LevelList,0)))*GosiSaudi,0))</f>
        <v>0</v>
      </c>
      <c r="W1811" s="35" t="n">
        <f aca="false">IFERROR(INDEX(LevelOneOff,MATCH($H1811,LevelList,0)),0)</f>
        <v>0</v>
      </c>
      <c r="X1811" s="35" t="str">
        <f aca="false">IF($G1811="","",$V1811*N($L1811))</f>
        <v/>
      </c>
      <c r="Y1811" s="35" t="str">
        <f aca="false">IF($G1811="","",$V1811*(N($M1811)*1+N($N1811)*0.75+N($O1811)*0.5+N($P1811)*0.25)+$W1811*N($L1811))</f>
        <v/>
      </c>
      <c r="Z1811" s="35" t="str">
        <f aca="false">IF($G1811="","",$U1811*1000000+ROW())</f>
        <v/>
      </c>
      <c r="AA1811" s="36" t="str">
        <f aca="false">IF($G1811="","",MID(IF($C1811="",", no division","")&amp;IF($E1811="",", no unit","")&amp;IF($H1811="",", no career level","")&amp;IF(N($L1811)&lt;=0,", no quarter split","")&amp;IF($R1811="",", no driver","")&amp;IF(AND($H1811&lt;&gt;"",COUNTIF(CareerLevels,$H1811)=0),", a career level that is not on the ladder","")&amp;IF(AND($R1811&lt;&gt;"",COUNTIF(DriverList,$R1811)=0),", a driver that is not on the list","")&amp;IF(ABS(N($L1811)-(N($M1811)+N($N1811)+N($O1811)+N($P1811)))&gt;0.001,", a total that does not match its quarters",""),3,300))</f>
        <v/>
      </c>
    </row>
    <row r="1812" customFormat="false" ht="15" hidden="false" customHeight="false" outlineLevel="0" collapsed="false">
      <c r="A1812" s="33" t="str">
        <f aca="false">IF($G1812="","","Risk Group")</f>
        <v/>
      </c>
      <c r="B1812" s="19"/>
      <c r="C1812" s="19"/>
      <c r="D1812" s="19"/>
      <c r="E1812" s="19"/>
      <c r="F1812" s="19"/>
      <c r="G1812" s="19"/>
      <c r="H1812" s="19"/>
      <c r="I1812" s="19"/>
      <c r="J1812" s="19"/>
      <c r="K1812" s="19"/>
      <c r="L1812" s="19"/>
      <c r="M1812" s="19"/>
      <c r="N1812" s="19"/>
      <c r="O1812" s="19"/>
      <c r="P1812" s="19"/>
      <c r="Q1812" s="19"/>
      <c r="R1812" s="19"/>
      <c r="S1812" s="19"/>
      <c r="T1812" s="34" t="str">
        <f aca="false">IF($R1812="","",IFERROR(INDEX(DriverCategory,MATCH($R1812,DriverList,0)),"BAU"))</f>
        <v/>
      </c>
      <c r="U1812" s="34" t="str">
        <f aca="false">IF($R1812="","",IFERROR(INDEX(DriverRank,MATCH($R1812,DriverList,0)),99))</f>
        <v/>
      </c>
      <c r="V1812" s="35" t="n">
        <f aca="false">IF($H1812="",0,IFERROR(INDEX(LevelBasic,MATCH($H1812,LevelList,0))+INDEX(LevelHousing,MATCH($H1812,LevelList,0))+INDEX(LevelTransport,MATCH($H1812,LevelList,0))+INDEX(LevelBasic,MATCH($H1812,LevelList,0))*INDEX(LevelBonus,MATCH($H1812,LevelList,0))+(INDEX(LevelBasic,MATCH($H1812,LevelList,0))+INDEX(LevelHousing,MATCH($H1812,LevelList,0)))*GosiSaudi,0))</f>
        <v>0</v>
      </c>
      <c r="W1812" s="35" t="n">
        <f aca="false">IFERROR(INDEX(LevelOneOff,MATCH($H1812,LevelList,0)),0)</f>
        <v>0</v>
      </c>
      <c r="X1812" s="35" t="str">
        <f aca="false">IF($G1812="","",$V1812*N($L1812))</f>
        <v/>
      </c>
      <c r="Y1812" s="35" t="str">
        <f aca="false">IF($G1812="","",$V1812*(N($M1812)*1+N($N1812)*0.75+N($O1812)*0.5+N($P1812)*0.25)+$W1812*N($L1812))</f>
        <v/>
      </c>
      <c r="Z1812" s="35" t="str">
        <f aca="false">IF($G1812="","",$U1812*1000000+ROW())</f>
        <v/>
      </c>
      <c r="AA1812" s="36" t="str">
        <f aca="false">IF($G1812="","",MID(IF($C1812="",", no division","")&amp;IF($E1812="",", no unit","")&amp;IF($H1812="",", no career level","")&amp;IF(N($L1812)&lt;=0,", no quarter split","")&amp;IF($R1812="",", no driver","")&amp;IF(AND($H1812&lt;&gt;"",COUNTIF(CareerLevels,$H1812)=0),", a career level that is not on the ladder","")&amp;IF(AND($R1812&lt;&gt;"",COUNTIF(DriverList,$R1812)=0),", a driver that is not on the list","")&amp;IF(ABS(N($L1812)-(N($M1812)+N($N1812)+N($O1812)+N($P1812)))&gt;0.001,", a total that does not match its quarters",""),3,300))</f>
        <v/>
      </c>
    </row>
    <row r="1813" customFormat="false" ht="15" hidden="false" customHeight="false" outlineLevel="0" collapsed="false">
      <c r="A1813" s="33" t="str">
        <f aca="false">IF($G1813="","","Risk Group")</f>
        <v/>
      </c>
      <c r="B1813" s="19"/>
      <c r="C1813" s="19"/>
      <c r="D1813" s="19"/>
      <c r="E1813" s="19"/>
      <c r="F1813" s="19"/>
      <c r="G1813" s="19"/>
      <c r="H1813" s="19"/>
      <c r="I1813" s="19"/>
      <c r="J1813" s="19"/>
      <c r="K1813" s="19"/>
      <c r="L1813" s="19"/>
      <c r="M1813" s="19"/>
      <c r="N1813" s="19"/>
      <c r="O1813" s="19"/>
      <c r="P1813" s="19"/>
      <c r="Q1813" s="19"/>
      <c r="R1813" s="19"/>
      <c r="S1813" s="19"/>
      <c r="T1813" s="34" t="str">
        <f aca="false">IF($R1813="","",IFERROR(INDEX(DriverCategory,MATCH($R1813,DriverList,0)),"BAU"))</f>
        <v/>
      </c>
      <c r="U1813" s="34" t="str">
        <f aca="false">IF($R1813="","",IFERROR(INDEX(DriverRank,MATCH($R1813,DriverList,0)),99))</f>
        <v/>
      </c>
      <c r="V1813" s="35" t="n">
        <f aca="false">IF($H1813="",0,IFERROR(INDEX(LevelBasic,MATCH($H1813,LevelList,0))+INDEX(LevelHousing,MATCH($H1813,LevelList,0))+INDEX(LevelTransport,MATCH($H1813,LevelList,0))+INDEX(LevelBasic,MATCH($H1813,LevelList,0))*INDEX(LevelBonus,MATCH($H1813,LevelList,0))+(INDEX(LevelBasic,MATCH($H1813,LevelList,0))+INDEX(LevelHousing,MATCH($H1813,LevelList,0)))*GosiSaudi,0))</f>
        <v>0</v>
      </c>
      <c r="W1813" s="35" t="n">
        <f aca="false">IFERROR(INDEX(LevelOneOff,MATCH($H1813,LevelList,0)),0)</f>
        <v>0</v>
      </c>
      <c r="X1813" s="35" t="str">
        <f aca="false">IF($G1813="","",$V1813*N($L1813))</f>
        <v/>
      </c>
      <c r="Y1813" s="35" t="str">
        <f aca="false">IF($G1813="","",$V1813*(N($M1813)*1+N($N1813)*0.75+N($O1813)*0.5+N($P1813)*0.25)+$W1813*N($L1813))</f>
        <v/>
      </c>
      <c r="Z1813" s="35" t="str">
        <f aca="false">IF($G1813="","",$U1813*1000000+ROW())</f>
        <v/>
      </c>
      <c r="AA1813" s="36" t="str">
        <f aca="false">IF($G1813="","",MID(IF($C1813="",", no division","")&amp;IF($E1813="",", no unit","")&amp;IF($H1813="",", no career level","")&amp;IF(N($L1813)&lt;=0,", no quarter split","")&amp;IF($R1813="",", no driver","")&amp;IF(AND($H1813&lt;&gt;"",COUNTIF(CareerLevels,$H1813)=0),", a career level that is not on the ladder","")&amp;IF(AND($R1813&lt;&gt;"",COUNTIF(DriverList,$R1813)=0),", a driver that is not on the list","")&amp;IF(ABS(N($L1813)-(N($M1813)+N($N1813)+N($O1813)+N($P1813)))&gt;0.001,", a total that does not match its quarters",""),3,300))</f>
        <v/>
      </c>
    </row>
    <row r="1814" customFormat="false" ht="15" hidden="false" customHeight="false" outlineLevel="0" collapsed="false">
      <c r="A1814" s="33" t="str">
        <f aca="false">IF($G1814="","","Risk Group")</f>
        <v/>
      </c>
      <c r="B1814" s="19"/>
      <c r="C1814" s="19"/>
      <c r="D1814" s="19"/>
      <c r="E1814" s="19"/>
      <c r="F1814" s="19"/>
      <c r="G1814" s="19"/>
      <c r="H1814" s="19"/>
      <c r="I1814" s="19"/>
      <c r="J1814" s="19"/>
      <c r="K1814" s="19"/>
      <c r="L1814" s="19"/>
      <c r="M1814" s="19"/>
      <c r="N1814" s="19"/>
      <c r="O1814" s="19"/>
      <c r="P1814" s="19"/>
      <c r="Q1814" s="19"/>
      <c r="R1814" s="19"/>
      <c r="S1814" s="19"/>
      <c r="T1814" s="34" t="str">
        <f aca="false">IF($R1814="","",IFERROR(INDEX(DriverCategory,MATCH($R1814,DriverList,0)),"BAU"))</f>
        <v/>
      </c>
      <c r="U1814" s="34" t="str">
        <f aca="false">IF($R1814="","",IFERROR(INDEX(DriverRank,MATCH($R1814,DriverList,0)),99))</f>
        <v/>
      </c>
      <c r="V1814" s="35" t="n">
        <f aca="false">IF($H1814="",0,IFERROR(INDEX(LevelBasic,MATCH($H1814,LevelList,0))+INDEX(LevelHousing,MATCH($H1814,LevelList,0))+INDEX(LevelTransport,MATCH($H1814,LevelList,0))+INDEX(LevelBasic,MATCH($H1814,LevelList,0))*INDEX(LevelBonus,MATCH($H1814,LevelList,0))+(INDEX(LevelBasic,MATCH($H1814,LevelList,0))+INDEX(LevelHousing,MATCH($H1814,LevelList,0)))*GosiSaudi,0))</f>
        <v>0</v>
      </c>
      <c r="W1814" s="35" t="n">
        <f aca="false">IFERROR(INDEX(LevelOneOff,MATCH($H1814,LevelList,0)),0)</f>
        <v>0</v>
      </c>
      <c r="X1814" s="35" t="str">
        <f aca="false">IF($G1814="","",$V1814*N($L1814))</f>
        <v/>
      </c>
      <c r="Y1814" s="35" t="str">
        <f aca="false">IF($G1814="","",$V1814*(N($M1814)*1+N($N1814)*0.75+N($O1814)*0.5+N($P1814)*0.25)+$W1814*N($L1814))</f>
        <v/>
      </c>
      <c r="Z1814" s="35" t="str">
        <f aca="false">IF($G1814="","",$U1814*1000000+ROW())</f>
        <v/>
      </c>
      <c r="AA1814" s="36" t="str">
        <f aca="false">IF($G1814="","",MID(IF($C1814="",", no division","")&amp;IF($E1814="",", no unit","")&amp;IF($H1814="",", no career level","")&amp;IF(N($L1814)&lt;=0,", no quarter split","")&amp;IF($R1814="",", no driver","")&amp;IF(AND($H1814&lt;&gt;"",COUNTIF(CareerLevels,$H1814)=0),", a career level that is not on the ladder","")&amp;IF(AND($R1814&lt;&gt;"",COUNTIF(DriverList,$R1814)=0),", a driver that is not on the list","")&amp;IF(ABS(N($L1814)-(N($M1814)+N($N1814)+N($O1814)+N($P1814)))&gt;0.001,", a total that does not match its quarters",""),3,300))</f>
        <v/>
      </c>
    </row>
    <row r="1815" customFormat="false" ht="15" hidden="false" customHeight="false" outlineLevel="0" collapsed="false">
      <c r="A1815" s="33" t="str">
        <f aca="false">IF($G1815="","","Risk Group")</f>
        <v/>
      </c>
      <c r="B1815" s="19"/>
      <c r="C1815" s="19"/>
      <c r="D1815" s="19"/>
      <c r="E1815" s="19"/>
      <c r="F1815" s="19"/>
      <c r="G1815" s="19"/>
      <c r="H1815" s="19"/>
      <c r="I1815" s="19"/>
      <c r="J1815" s="19"/>
      <c r="K1815" s="19"/>
      <c r="L1815" s="19"/>
      <c r="M1815" s="19"/>
      <c r="N1815" s="19"/>
      <c r="O1815" s="19"/>
      <c r="P1815" s="19"/>
      <c r="Q1815" s="19"/>
      <c r="R1815" s="19"/>
      <c r="S1815" s="19"/>
      <c r="T1815" s="34" t="str">
        <f aca="false">IF($R1815="","",IFERROR(INDEX(DriverCategory,MATCH($R1815,DriverList,0)),"BAU"))</f>
        <v/>
      </c>
      <c r="U1815" s="34" t="str">
        <f aca="false">IF($R1815="","",IFERROR(INDEX(DriverRank,MATCH($R1815,DriverList,0)),99))</f>
        <v/>
      </c>
      <c r="V1815" s="35" t="n">
        <f aca="false">IF($H1815="",0,IFERROR(INDEX(LevelBasic,MATCH($H1815,LevelList,0))+INDEX(LevelHousing,MATCH($H1815,LevelList,0))+INDEX(LevelTransport,MATCH($H1815,LevelList,0))+INDEX(LevelBasic,MATCH($H1815,LevelList,0))*INDEX(LevelBonus,MATCH($H1815,LevelList,0))+(INDEX(LevelBasic,MATCH($H1815,LevelList,0))+INDEX(LevelHousing,MATCH($H1815,LevelList,0)))*GosiSaudi,0))</f>
        <v>0</v>
      </c>
      <c r="W1815" s="35" t="n">
        <f aca="false">IFERROR(INDEX(LevelOneOff,MATCH($H1815,LevelList,0)),0)</f>
        <v>0</v>
      </c>
      <c r="X1815" s="35" t="str">
        <f aca="false">IF($G1815="","",$V1815*N($L1815))</f>
        <v/>
      </c>
      <c r="Y1815" s="35" t="str">
        <f aca="false">IF($G1815="","",$V1815*(N($M1815)*1+N($N1815)*0.75+N($O1815)*0.5+N($P1815)*0.25)+$W1815*N($L1815))</f>
        <v/>
      </c>
      <c r="Z1815" s="35" t="str">
        <f aca="false">IF($G1815="","",$U1815*1000000+ROW())</f>
        <v/>
      </c>
      <c r="AA1815" s="36" t="str">
        <f aca="false">IF($G1815="","",MID(IF($C1815="",", no division","")&amp;IF($E1815="",", no unit","")&amp;IF($H1815="",", no career level","")&amp;IF(N($L1815)&lt;=0,", no quarter split","")&amp;IF($R1815="",", no driver","")&amp;IF(AND($H1815&lt;&gt;"",COUNTIF(CareerLevels,$H1815)=0),", a career level that is not on the ladder","")&amp;IF(AND($R1815&lt;&gt;"",COUNTIF(DriverList,$R1815)=0),", a driver that is not on the list","")&amp;IF(ABS(N($L1815)-(N($M1815)+N($N1815)+N($O1815)+N($P1815)))&gt;0.001,", a total that does not match its quarters",""),3,300))</f>
        <v/>
      </c>
    </row>
    <row r="1816" customFormat="false" ht="15" hidden="false" customHeight="false" outlineLevel="0" collapsed="false">
      <c r="A1816" s="33" t="str">
        <f aca="false">IF($G1816="","","Risk Group")</f>
        <v/>
      </c>
      <c r="B1816" s="19"/>
      <c r="C1816" s="19"/>
      <c r="D1816" s="19"/>
      <c r="E1816" s="19"/>
      <c r="F1816" s="19"/>
      <c r="G1816" s="19"/>
      <c r="H1816" s="19"/>
      <c r="I1816" s="19"/>
      <c r="J1816" s="19"/>
      <c r="K1816" s="19"/>
      <c r="L1816" s="19"/>
      <c r="M1816" s="19"/>
      <c r="N1816" s="19"/>
      <c r="O1816" s="19"/>
      <c r="P1816" s="19"/>
      <c r="Q1816" s="19"/>
      <c r="R1816" s="19"/>
      <c r="S1816" s="19"/>
      <c r="T1816" s="34" t="str">
        <f aca="false">IF($R1816="","",IFERROR(INDEX(DriverCategory,MATCH($R1816,DriverList,0)),"BAU"))</f>
        <v/>
      </c>
      <c r="U1816" s="34" t="str">
        <f aca="false">IF($R1816="","",IFERROR(INDEX(DriverRank,MATCH($R1816,DriverList,0)),99))</f>
        <v/>
      </c>
      <c r="V1816" s="35" t="n">
        <f aca="false">IF($H1816="",0,IFERROR(INDEX(LevelBasic,MATCH($H1816,LevelList,0))+INDEX(LevelHousing,MATCH($H1816,LevelList,0))+INDEX(LevelTransport,MATCH($H1816,LevelList,0))+INDEX(LevelBasic,MATCH($H1816,LevelList,0))*INDEX(LevelBonus,MATCH($H1816,LevelList,0))+(INDEX(LevelBasic,MATCH($H1816,LevelList,0))+INDEX(LevelHousing,MATCH($H1816,LevelList,0)))*GosiSaudi,0))</f>
        <v>0</v>
      </c>
      <c r="W1816" s="35" t="n">
        <f aca="false">IFERROR(INDEX(LevelOneOff,MATCH($H1816,LevelList,0)),0)</f>
        <v>0</v>
      </c>
      <c r="X1816" s="35" t="str">
        <f aca="false">IF($G1816="","",$V1816*N($L1816))</f>
        <v/>
      </c>
      <c r="Y1816" s="35" t="str">
        <f aca="false">IF($G1816="","",$V1816*(N($M1816)*1+N($N1816)*0.75+N($O1816)*0.5+N($P1816)*0.25)+$W1816*N($L1816))</f>
        <v/>
      </c>
      <c r="Z1816" s="35" t="str">
        <f aca="false">IF($G1816="","",$U1816*1000000+ROW())</f>
        <v/>
      </c>
      <c r="AA1816" s="36" t="str">
        <f aca="false">IF($G1816="","",MID(IF($C1816="",", no division","")&amp;IF($E1816="",", no unit","")&amp;IF($H1816="",", no career level","")&amp;IF(N($L1816)&lt;=0,", no quarter split","")&amp;IF($R1816="",", no driver","")&amp;IF(AND($H1816&lt;&gt;"",COUNTIF(CareerLevels,$H1816)=0),", a career level that is not on the ladder","")&amp;IF(AND($R1816&lt;&gt;"",COUNTIF(DriverList,$R1816)=0),", a driver that is not on the list","")&amp;IF(ABS(N($L1816)-(N($M1816)+N($N1816)+N($O1816)+N($P1816)))&gt;0.001,", a total that does not match its quarters",""),3,300))</f>
        <v/>
      </c>
    </row>
    <row r="1817" customFormat="false" ht="15" hidden="false" customHeight="false" outlineLevel="0" collapsed="false">
      <c r="A1817" s="33" t="str">
        <f aca="false">IF($G1817="","","Risk Group")</f>
        <v/>
      </c>
      <c r="B1817" s="19"/>
      <c r="C1817" s="19"/>
      <c r="D1817" s="19"/>
      <c r="E1817" s="19"/>
      <c r="F1817" s="19"/>
      <c r="G1817" s="19"/>
      <c r="H1817" s="19"/>
      <c r="I1817" s="19"/>
      <c r="J1817" s="19"/>
      <c r="K1817" s="19"/>
      <c r="L1817" s="19"/>
      <c r="M1817" s="19"/>
      <c r="N1817" s="19"/>
      <c r="O1817" s="19"/>
      <c r="P1817" s="19"/>
      <c r="Q1817" s="19"/>
      <c r="R1817" s="19"/>
      <c r="S1817" s="19"/>
      <c r="T1817" s="34" t="str">
        <f aca="false">IF($R1817="","",IFERROR(INDEX(DriverCategory,MATCH($R1817,DriverList,0)),"BAU"))</f>
        <v/>
      </c>
      <c r="U1817" s="34" t="str">
        <f aca="false">IF($R1817="","",IFERROR(INDEX(DriverRank,MATCH($R1817,DriverList,0)),99))</f>
        <v/>
      </c>
      <c r="V1817" s="35" t="n">
        <f aca="false">IF($H1817="",0,IFERROR(INDEX(LevelBasic,MATCH($H1817,LevelList,0))+INDEX(LevelHousing,MATCH($H1817,LevelList,0))+INDEX(LevelTransport,MATCH($H1817,LevelList,0))+INDEX(LevelBasic,MATCH($H1817,LevelList,0))*INDEX(LevelBonus,MATCH($H1817,LevelList,0))+(INDEX(LevelBasic,MATCH($H1817,LevelList,0))+INDEX(LevelHousing,MATCH($H1817,LevelList,0)))*GosiSaudi,0))</f>
        <v>0</v>
      </c>
      <c r="W1817" s="35" t="n">
        <f aca="false">IFERROR(INDEX(LevelOneOff,MATCH($H1817,LevelList,0)),0)</f>
        <v>0</v>
      </c>
      <c r="X1817" s="35" t="str">
        <f aca="false">IF($G1817="","",$V1817*N($L1817))</f>
        <v/>
      </c>
      <c r="Y1817" s="35" t="str">
        <f aca="false">IF($G1817="","",$V1817*(N($M1817)*1+N($N1817)*0.75+N($O1817)*0.5+N($P1817)*0.25)+$W1817*N($L1817))</f>
        <v/>
      </c>
      <c r="Z1817" s="35" t="str">
        <f aca="false">IF($G1817="","",$U1817*1000000+ROW())</f>
        <v/>
      </c>
      <c r="AA1817" s="36" t="str">
        <f aca="false">IF($G1817="","",MID(IF($C1817="",", no division","")&amp;IF($E1817="",", no unit","")&amp;IF($H1817="",", no career level","")&amp;IF(N($L1817)&lt;=0,", no quarter split","")&amp;IF($R1817="",", no driver","")&amp;IF(AND($H1817&lt;&gt;"",COUNTIF(CareerLevels,$H1817)=0),", a career level that is not on the ladder","")&amp;IF(AND($R1817&lt;&gt;"",COUNTIF(DriverList,$R1817)=0),", a driver that is not on the list","")&amp;IF(ABS(N($L1817)-(N($M1817)+N($N1817)+N($O1817)+N($P1817)))&gt;0.001,", a total that does not match its quarters",""),3,300))</f>
        <v/>
      </c>
    </row>
    <row r="1818" customFormat="false" ht="15" hidden="false" customHeight="false" outlineLevel="0" collapsed="false">
      <c r="A1818" s="33" t="str">
        <f aca="false">IF($G1818="","","Risk Group")</f>
        <v/>
      </c>
      <c r="B1818" s="19"/>
      <c r="C1818" s="19"/>
      <c r="D1818" s="19"/>
      <c r="E1818" s="19"/>
      <c r="F1818" s="19"/>
      <c r="G1818" s="19"/>
      <c r="H1818" s="19"/>
      <c r="I1818" s="19"/>
      <c r="J1818" s="19"/>
      <c r="K1818" s="19"/>
      <c r="L1818" s="19"/>
      <c r="M1818" s="19"/>
      <c r="N1818" s="19"/>
      <c r="O1818" s="19"/>
      <c r="P1818" s="19"/>
      <c r="Q1818" s="19"/>
      <c r="R1818" s="19"/>
      <c r="S1818" s="19"/>
      <c r="T1818" s="34" t="str">
        <f aca="false">IF($R1818="","",IFERROR(INDEX(DriverCategory,MATCH($R1818,DriverList,0)),"BAU"))</f>
        <v/>
      </c>
      <c r="U1818" s="34" t="str">
        <f aca="false">IF($R1818="","",IFERROR(INDEX(DriverRank,MATCH($R1818,DriverList,0)),99))</f>
        <v/>
      </c>
      <c r="V1818" s="35" t="n">
        <f aca="false">IF($H1818="",0,IFERROR(INDEX(LevelBasic,MATCH($H1818,LevelList,0))+INDEX(LevelHousing,MATCH($H1818,LevelList,0))+INDEX(LevelTransport,MATCH($H1818,LevelList,0))+INDEX(LevelBasic,MATCH($H1818,LevelList,0))*INDEX(LevelBonus,MATCH($H1818,LevelList,0))+(INDEX(LevelBasic,MATCH($H1818,LevelList,0))+INDEX(LevelHousing,MATCH($H1818,LevelList,0)))*GosiSaudi,0))</f>
        <v>0</v>
      </c>
      <c r="W1818" s="35" t="n">
        <f aca="false">IFERROR(INDEX(LevelOneOff,MATCH($H1818,LevelList,0)),0)</f>
        <v>0</v>
      </c>
      <c r="X1818" s="35" t="str">
        <f aca="false">IF($G1818="","",$V1818*N($L1818))</f>
        <v/>
      </c>
      <c r="Y1818" s="35" t="str">
        <f aca="false">IF($G1818="","",$V1818*(N($M1818)*1+N($N1818)*0.75+N($O1818)*0.5+N($P1818)*0.25)+$W1818*N($L1818))</f>
        <v/>
      </c>
      <c r="Z1818" s="35" t="str">
        <f aca="false">IF($G1818="","",$U1818*1000000+ROW())</f>
        <v/>
      </c>
      <c r="AA1818" s="36" t="str">
        <f aca="false">IF($G1818="","",MID(IF($C1818="",", no division","")&amp;IF($E1818="",", no unit","")&amp;IF($H1818="",", no career level","")&amp;IF(N($L1818)&lt;=0,", no quarter split","")&amp;IF($R1818="",", no driver","")&amp;IF(AND($H1818&lt;&gt;"",COUNTIF(CareerLevels,$H1818)=0),", a career level that is not on the ladder","")&amp;IF(AND($R1818&lt;&gt;"",COUNTIF(DriverList,$R1818)=0),", a driver that is not on the list","")&amp;IF(ABS(N($L1818)-(N($M1818)+N($N1818)+N($O1818)+N($P1818)))&gt;0.001,", a total that does not match its quarters",""),3,300))</f>
        <v/>
      </c>
    </row>
    <row r="1819" customFormat="false" ht="15" hidden="false" customHeight="false" outlineLevel="0" collapsed="false">
      <c r="A1819" s="33" t="str">
        <f aca="false">IF($G1819="","","Risk Group")</f>
        <v/>
      </c>
      <c r="B1819" s="19"/>
      <c r="C1819" s="19"/>
      <c r="D1819" s="19"/>
      <c r="E1819" s="19"/>
      <c r="F1819" s="19"/>
      <c r="G1819" s="19"/>
      <c r="H1819" s="19"/>
      <c r="I1819" s="19"/>
      <c r="J1819" s="19"/>
      <c r="K1819" s="19"/>
      <c r="L1819" s="19"/>
      <c r="M1819" s="19"/>
      <c r="N1819" s="19"/>
      <c r="O1819" s="19"/>
      <c r="P1819" s="19"/>
      <c r="Q1819" s="19"/>
      <c r="R1819" s="19"/>
      <c r="S1819" s="19"/>
      <c r="T1819" s="34" t="str">
        <f aca="false">IF($R1819="","",IFERROR(INDEX(DriverCategory,MATCH($R1819,DriverList,0)),"BAU"))</f>
        <v/>
      </c>
      <c r="U1819" s="34" t="str">
        <f aca="false">IF($R1819="","",IFERROR(INDEX(DriverRank,MATCH($R1819,DriverList,0)),99))</f>
        <v/>
      </c>
      <c r="V1819" s="35" t="n">
        <f aca="false">IF($H1819="",0,IFERROR(INDEX(LevelBasic,MATCH($H1819,LevelList,0))+INDEX(LevelHousing,MATCH($H1819,LevelList,0))+INDEX(LevelTransport,MATCH($H1819,LevelList,0))+INDEX(LevelBasic,MATCH($H1819,LevelList,0))*INDEX(LevelBonus,MATCH($H1819,LevelList,0))+(INDEX(LevelBasic,MATCH($H1819,LevelList,0))+INDEX(LevelHousing,MATCH($H1819,LevelList,0)))*GosiSaudi,0))</f>
        <v>0</v>
      </c>
      <c r="W1819" s="35" t="n">
        <f aca="false">IFERROR(INDEX(LevelOneOff,MATCH($H1819,LevelList,0)),0)</f>
        <v>0</v>
      </c>
      <c r="X1819" s="35" t="str">
        <f aca="false">IF($G1819="","",$V1819*N($L1819))</f>
        <v/>
      </c>
      <c r="Y1819" s="35" t="str">
        <f aca="false">IF($G1819="","",$V1819*(N($M1819)*1+N($N1819)*0.75+N($O1819)*0.5+N($P1819)*0.25)+$W1819*N($L1819))</f>
        <v/>
      </c>
      <c r="Z1819" s="35" t="str">
        <f aca="false">IF($G1819="","",$U1819*1000000+ROW())</f>
        <v/>
      </c>
      <c r="AA1819" s="36" t="str">
        <f aca="false">IF($G1819="","",MID(IF($C1819="",", no division","")&amp;IF($E1819="",", no unit","")&amp;IF($H1819="",", no career level","")&amp;IF(N($L1819)&lt;=0,", no quarter split","")&amp;IF($R1819="",", no driver","")&amp;IF(AND($H1819&lt;&gt;"",COUNTIF(CareerLevels,$H1819)=0),", a career level that is not on the ladder","")&amp;IF(AND($R1819&lt;&gt;"",COUNTIF(DriverList,$R1819)=0),", a driver that is not on the list","")&amp;IF(ABS(N($L1819)-(N($M1819)+N($N1819)+N($O1819)+N($P1819)))&gt;0.001,", a total that does not match its quarters",""),3,300))</f>
        <v/>
      </c>
    </row>
    <row r="1820" customFormat="false" ht="15" hidden="false" customHeight="false" outlineLevel="0" collapsed="false">
      <c r="A1820" s="33" t="str">
        <f aca="false">IF($G1820="","","Risk Group")</f>
        <v/>
      </c>
      <c r="B1820" s="19"/>
      <c r="C1820" s="19"/>
      <c r="D1820" s="19"/>
      <c r="E1820" s="19"/>
      <c r="F1820" s="19"/>
      <c r="G1820" s="19"/>
      <c r="H1820" s="19"/>
      <c r="I1820" s="19"/>
      <c r="J1820" s="19"/>
      <c r="K1820" s="19"/>
      <c r="L1820" s="19"/>
      <c r="M1820" s="19"/>
      <c r="N1820" s="19"/>
      <c r="O1820" s="19"/>
      <c r="P1820" s="19"/>
      <c r="Q1820" s="19"/>
      <c r="R1820" s="19"/>
      <c r="S1820" s="19"/>
      <c r="T1820" s="34" t="str">
        <f aca="false">IF($R1820="","",IFERROR(INDEX(DriverCategory,MATCH($R1820,DriverList,0)),"BAU"))</f>
        <v/>
      </c>
      <c r="U1820" s="34" t="str">
        <f aca="false">IF($R1820="","",IFERROR(INDEX(DriverRank,MATCH($R1820,DriverList,0)),99))</f>
        <v/>
      </c>
      <c r="V1820" s="35" t="n">
        <f aca="false">IF($H1820="",0,IFERROR(INDEX(LevelBasic,MATCH($H1820,LevelList,0))+INDEX(LevelHousing,MATCH($H1820,LevelList,0))+INDEX(LevelTransport,MATCH($H1820,LevelList,0))+INDEX(LevelBasic,MATCH($H1820,LevelList,0))*INDEX(LevelBonus,MATCH($H1820,LevelList,0))+(INDEX(LevelBasic,MATCH($H1820,LevelList,0))+INDEX(LevelHousing,MATCH($H1820,LevelList,0)))*GosiSaudi,0))</f>
        <v>0</v>
      </c>
      <c r="W1820" s="35" t="n">
        <f aca="false">IFERROR(INDEX(LevelOneOff,MATCH($H1820,LevelList,0)),0)</f>
        <v>0</v>
      </c>
      <c r="X1820" s="35" t="str">
        <f aca="false">IF($G1820="","",$V1820*N($L1820))</f>
        <v/>
      </c>
      <c r="Y1820" s="35" t="str">
        <f aca="false">IF($G1820="","",$V1820*(N($M1820)*1+N($N1820)*0.75+N($O1820)*0.5+N($P1820)*0.25)+$W1820*N($L1820))</f>
        <v/>
      </c>
      <c r="Z1820" s="35" t="str">
        <f aca="false">IF($G1820="","",$U1820*1000000+ROW())</f>
        <v/>
      </c>
      <c r="AA1820" s="36" t="str">
        <f aca="false">IF($G1820="","",MID(IF($C1820="",", no division","")&amp;IF($E1820="",", no unit","")&amp;IF($H1820="",", no career level","")&amp;IF(N($L1820)&lt;=0,", no quarter split","")&amp;IF($R1820="",", no driver","")&amp;IF(AND($H1820&lt;&gt;"",COUNTIF(CareerLevels,$H1820)=0),", a career level that is not on the ladder","")&amp;IF(AND($R1820&lt;&gt;"",COUNTIF(DriverList,$R1820)=0),", a driver that is not on the list","")&amp;IF(ABS(N($L1820)-(N($M1820)+N($N1820)+N($O1820)+N($P1820)))&gt;0.001,", a total that does not match its quarters",""),3,300))</f>
        <v/>
      </c>
    </row>
    <row r="1821" customFormat="false" ht="15" hidden="false" customHeight="false" outlineLevel="0" collapsed="false">
      <c r="A1821" s="33" t="str">
        <f aca="false">IF($G1821="","","Risk Group")</f>
        <v/>
      </c>
      <c r="B1821" s="19"/>
      <c r="C1821" s="19"/>
      <c r="D1821" s="19"/>
      <c r="E1821" s="19"/>
      <c r="F1821" s="19"/>
      <c r="G1821" s="19"/>
      <c r="H1821" s="19"/>
      <c r="I1821" s="19"/>
      <c r="J1821" s="19"/>
      <c r="K1821" s="19"/>
      <c r="L1821" s="19"/>
      <c r="M1821" s="19"/>
      <c r="N1821" s="19"/>
      <c r="O1821" s="19"/>
      <c r="P1821" s="19"/>
      <c r="Q1821" s="19"/>
      <c r="R1821" s="19"/>
      <c r="S1821" s="19"/>
      <c r="T1821" s="34" t="str">
        <f aca="false">IF($R1821="","",IFERROR(INDEX(DriverCategory,MATCH($R1821,DriverList,0)),"BAU"))</f>
        <v/>
      </c>
      <c r="U1821" s="34" t="str">
        <f aca="false">IF($R1821="","",IFERROR(INDEX(DriverRank,MATCH($R1821,DriverList,0)),99))</f>
        <v/>
      </c>
      <c r="V1821" s="35" t="n">
        <f aca="false">IF($H1821="",0,IFERROR(INDEX(LevelBasic,MATCH($H1821,LevelList,0))+INDEX(LevelHousing,MATCH($H1821,LevelList,0))+INDEX(LevelTransport,MATCH($H1821,LevelList,0))+INDEX(LevelBasic,MATCH($H1821,LevelList,0))*INDEX(LevelBonus,MATCH($H1821,LevelList,0))+(INDEX(LevelBasic,MATCH($H1821,LevelList,0))+INDEX(LevelHousing,MATCH($H1821,LevelList,0)))*GosiSaudi,0))</f>
        <v>0</v>
      </c>
      <c r="W1821" s="35" t="n">
        <f aca="false">IFERROR(INDEX(LevelOneOff,MATCH($H1821,LevelList,0)),0)</f>
        <v>0</v>
      </c>
      <c r="X1821" s="35" t="str">
        <f aca="false">IF($G1821="","",$V1821*N($L1821))</f>
        <v/>
      </c>
      <c r="Y1821" s="35" t="str">
        <f aca="false">IF($G1821="","",$V1821*(N($M1821)*1+N($N1821)*0.75+N($O1821)*0.5+N($P1821)*0.25)+$W1821*N($L1821))</f>
        <v/>
      </c>
      <c r="Z1821" s="35" t="str">
        <f aca="false">IF($G1821="","",$U1821*1000000+ROW())</f>
        <v/>
      </c>
      <c r="AA1821" s="36" t="str">
        <f aca="false">IF($G1821="","",MID(IF($C1821="",", no division","")&amp;IF($E1821="",", no unit","")&amp;IF($H1821="",", no career level","")&amp;IF(N($L1821)&lt;=0,", no quarter split","")&amp;IF($R1821="",", no driver","")&amp;IF(AND($H1821&lt;&gt;"",COUNTIF(CareerLevels,$H1821)=0),", a career level that is not on the ladder","")&amp;IF(AND($R1821&lt;&gt;"",COUNTIF(DriverList,$R1821)=0),", a driver that is not on the list","")&amp;IF(ABS(N($L1821)-(N($M1821)+N($N1821)+N($O1821)+N($P1821)))&gt;0.001,", a total that does not match its quarters",""),3,300))</f>
        <v/>
      </c>
    </row>
    <row r="1822" customFormat="false" ht="15" hidden="false" customHeight="false" outlineLevel="0" collapsed="false">
      <c r="A1822" s="33" t="str">
        <f aca="false">IF($G1822="","","Risk Group")</f>
        <v/>
      </c>
      <c r="B1822" s="19"/>
      <c r="C1822" s="19"/>
      <c r="D1822" s="19"/>
      <c r="E1822" s="19"/>
      <c r="F1822" s="19"/>
      <c r="G1822" s="19"/>
      <c r="H1822" s="19"/>
      <c r="I1822" s="19"/>
      <c r="J1822" s="19"/>
      <c r="K1822" s="19"/>
      <c r="L1822" s="19"/>
      <c r="M1822" s="19"/>
      <c r="N1822" s="19"/>
      <c r="O1822" s="19"/>
      <c r="P1822" s="19"/>
      <c r="Q1822" s="19"/>
      <c r="R1822" s="19"/>
      <c r="S1822" s="19"/>
      <c r="T1822" s="34" t="str">
        <f aca="false">IF($R1822="","",IFERROR(INDEX(DriverCategory,MATCH($R1822,DriverList,0)),"BAU"))</f>
        <v/>
      </c>
      <c r="U1822" s="34" t="str">
        <f aca="false">IF($R1822="","",IFERROR(INDEX(DriverRank,MATCH($R1822,DriverList,0)),99))</f>
        <v/>
      </c>
      <c r="V1822" s="35" t="n">
        <f aca="false">IF($H1822="",0,IFERROR(INDEX(LevelBasic,MATCH($H1822,LevelList,0))+INDEX(LevelHousing,MATCH($H1822,LevelList,0))+INDEX(LevelTransport,MATCH($H1822,LevelList,0))+INDEX(LevelBasic,MATCH($H1822,LevelList,0))*INDEX(LevelBonus,MATCH($H1822,LevelList,0))+(INDEX(LevelBasic,MATCH($H1822,LevelList,0))+INDEX(LevelHousing,MATCH($H1822,LevelList,0)))*GosiSaudi,0))</f>
        <v>0</v>
      </c>
      <c r="W1822" s="35" t="n">
        <f aca="false">IFERROR(INDEX(LevelOneOff,MATCH($H1822,LevelList,0)),0)</f>
        <v>0</v>
      </c>
      <c r="X1822" s="35" t="str">
        <f aca="false">IF($G1822="","",$V1822*N($L1822))</f>
        <v/>
      </c>
      <c r="Y1822" s="35" t="str">
        <f aca="false">IF($G1822="","",$V1822*(N($M1822)*1+N($N1822)*0.75+N($O1822)*0.5+N($P1822)*0.25)+$W1822*N($L1822))</f>
        <v/>
      </c>
      <c r="Z1822" s="35" t="str">
        <f aca="false">IF($G1822="","",$U1822*1000000+ROW())</f>
        <v/>
      </c>
      <c r="AA1822" s="36" t="str">
        <f aca="false">IF($G1822="","",MID(IF($C1822="",", no division","")&amp;IF($E1822="",", no unit","")&amp;IF($H1822="",", no career level","")&amp;IF(N($L1822)&lt;=0,", no quarter split","")&amp;IF($R1822="",", no driver","")&amp;IF(AND($H1822&lt;&gt;"",COUNTIF(CareerLevels,$H1822)=0),", a career level that is not on the ladder","")&amp;IF(AND($R1822&lt;&gt;"",COUNTIF(DriverList,$R1822)=0),", a driver that is not on the list","")&amp;IF(ABS(N($L1822)-(N($M1822)+N($N1822)+N($O1822)+N($P1822)))&gt;0.001,", a total that does not match its quarters",""),3,300))</f>
        <v/>
      </c>
    </row>
    <row r="1823" customFormat="false" ht="15" hidden="false" customHeight="false" outlineLevel="0" collapsed="false">
      <c r="A1823" s="33" t="str">
        <f aca="false">IF($G1823="","","Risk Group")</f>
        <v/>
      </c>
      <c r="B1823" s="19"/>
      <c r="C1823" s="19"/>
      <c r="D1823" s="19"/>
      <c r="E1823" s="19"/>
      <c r="F1823" s="19"/>
      <c r="G1823" s="19"/>
      <c r="H1823" s="19"/>
      <c r="I1823" s="19"/>
      <c r="J1823" s="19"/>
      <c r="K1823" s="19"/>
      <c r="L1823" s="19"/>
      <c r="M1823" s="19"/>
      <c r="N1823" s="19"/>
      <c r="O1823" s="19"/>
      <c r="P1823" s="19"/>
      <c r="Q1823" s="19"/>
      <c r="R1823" s="19"/>
      <c r="S1823" s="19"/>
      <c r="T1823" s="34" t="str">
        <f aca="false">IF($R1823="","",IFERROR(INDEX(DriverCategory,MATCH($R1823,DriverList,0)),"BAU"))</f>
        <v/>
      </c>
      <c r="U1823" s="34" t="str">
        <f aca="false">IF($R1823="","",IFERROR(INDEX(DriverRank,MATCH($R1823,DriverList,0)),99))</f>
        <v/>
      </c>
      <c r="V1823" s="35" t="n">
        <f aca="false">IF($H1823="",0,IFERROR(INDEX(LevelBasic,MATCH($H1823,LevelList,0))+INDEX(LevelHousing,MATCH($H1823,LevelList,0))+INDEX(LevelTransport,MATCH($H1823,LevelList,0))+INDEX(LevelBasic,MATCH($H1823,LevelList,0))*INDEX(LevelBonus,MATCH($H1823,LevelList,0))+(INDEX(LevelBasic,MATCH($H1823,LevelList,0))+INDEX(LevelHousing,MATCH($H1823,LevelList,0)))*GosiSaudi,0))</f>
        <v>0</v>
      </c>
      <c r="W1823" s="35" t="n">
        <f aca="false">IFERROR(INDEX(LevelOneOff,MATCH($H1823,LevelList,0)),0)</f>
        <v>0</v>
      </c>
      <c r="X1823" s="35" t="str">
        <f aca="false">IF($G1823="","",$V1823*N($L1823))</f>
        <v/>
      </c>
      <c r="Y1823" s="35" t="str">
        <f aca="false">IF($G1823="","",$V1823*(N($M1823)*1+N($N1823)*0.75+N($O1823)*0.5+N($P1823)*0.25)+$W1823*N($L1823))</f>
        <v/>
      </c>
      <c r="Z1823" s="35" t="str">
        <f aca="false">IF($G1823="","",$U1823*1000000+ROW())</f>
        <v/>
      </c>
      <c r="AA1823" s="36" t="str">
        <f aca="false">IF($G1823="","",MID(IF($C1823="",", no division","")&amp;IF($E1823="",", no unit","")&amp;IF($H1823="",", no career level","")&amp;IF(N($L1823)&lt;=0,", no quarter split","")&amp;IF($R1823="",", no driver","")&amp;IF(AND($H1823&lt;&gt;"",COUNTIF(CareerLevels,$H1823)=0),", a career level that is not on the ladder","")&amp;IF(AND($R1823&lt;&gt;"",COUNTIF(DriverList,$R1823)=0),", a driver that is not on the list","")&amp;IF(ABS(N($L1823)-(N($M1823)+N($N1823)+N($O1823)+N($P1823)))&gt;0.001,", a total that does not match its quarters",""),3,300))</f>
        <v/>
      </c>
    </row>
    <row r="1824" customFormat="false" ht="15" hidden="false" customHeight="false" outlineLevel="0" collapsed="false">
      <c r="A1824" s="33" t="str">
        <f aca="false">IF($G1824="","","Risk Group")</f>
        <v/>
      </c>
      <c r="B1824" s="19"/>
      <c r="C1824" s="19"/>
      <c r="D1824" s="19"/>
      <c r="E1824" s="19"/>
      <c r="F1824" s="19"/>
      <c r="G1824" s="19"/>
      <c r="H1824" s="19"/>
      <c r="I1824" s="19"/>
      <c r="J1824" s="19"/>
      <c r="K1824" s="19"/>
      <c r="L1824" s="19"/>
      <c r="M1824" s="19"/>
      <c r="N1824" s="19"/>
      <c r="O1824" s="19"/>
      <c r="P1824" s="19"/>
      <c r="Q1824" s="19"/>
      <c r="R1824" s="19"/>
      <c r="S1824" s="19"/>
      <c r="T1824" s="34" t="str">
        <f aca="false">IF($R1824="","",IFERROR(INDEX(DriverCategory,MATCH($R1824,DriverList,0)),"BAU"))</f>
        <v/>
      </c>
      <c r="U1824" s="34" t="str">
        <f aca="false">IF($R1824="","",IFERROR(INDEX(DriverRank,MATCH($R1824,DriverList,0)),99))</f>
        <v/>
      </c>
      <c r="V1824" s="35" t="n">
        <f aca="false">IF($H1824="",0,IFERROR(INDEX(LevelBasic,MATCH($H1824,LevelList,0))+INDEX(LevelHousing,MATCH($H1824,LevelList,0))+INDEX(LevelTransport,MATCH($H1824,LevelList,0))+INDEX(LevelBasic,MATCH($H1824,LevelList,0))*INDEX(LevelBonus,MATCH($H1824,LevelList,0))+(INDEX(LevelBasic,MATCH($H1824,LevelList,0))+INDEX(LevelHousing,MATCH($H1824,LevelList,0)))*GosiSaudi,0))</f>
        <v>0</v>
      </c>
      <c r="W1824" s="35" t="n">
        <f aca="false">IFERROR(INDEX(LevelOneOff,MATCH($H1824,LevelList,0)),0)</f>
        <v>0</v>
      </c>
      <c r="X1824" s="35" t="str">
        <f aca="false">IF($G1824="","",$V1824*N($L1824))</f>
        <v/>
      </c>
      <c r="Y1824" s="35" t="str">
        <f aca="false">IF($G1824="","",$V1824*(N($M1824)*1+N($N1824)*0.75+N($O1824)*0.5+N($P1824)*0.25)+$W1824*N($L1824))</f>
        <v/>
      </c>
      <c r="Z1824" s="35" t="str">
        <f aca="false">IF($G1824="","",$U1824*1000000+ROW())</f>
        <v/>
      </c>
      <c r="AA1824" s="36" t="str">
        <f aca="false">IF($G1824="","",MID(IF($C1824="",", no division","")&amp;IF($E1824="",", no unit","")&amp;IF($H1824="",", no career level","")&amp;IF(N($L1824)&lt;=0,", no quarter split","")&amp;IF($R1824="",", no driver","")&amp;IF(AND($H1824&lt;&gt;"",COUNTIF(CareerLevels,$H1824)=0),", a career level that is not on the ladder","")&amp;IF(AND($R1824&lt;&gt;"",COUNTIF(DriverList,$R1824)=0),", a driver that is not on the list","")&amp;IF(ABS(N($L1824)-(N($M1824)+N($N1824)+N($O1824)+N($P1824)))&gt;0.001,", a total that does not match its quarters",""),3,300))</f>
        <v/>
      </c>
    </row>
    <row r="1825" customFormat="false" ht="15" hidden="false" customHeight="false" outlineLevel="0" collapsed="false">
      <c r="A1825" s="33" t="str">
        <f aca="false">IF($G1825="","","Risk Group")</f>
        <v/>
      </c>
      <c r="B1825" s="19"/>
      <c r="C1825" s="19"/>
      <c r="D1825" s="19"/>
      <c r="E1825" s="19"/>
      <c r="F1825" s="19"/>
      <c r="G1825" s="19"/>
      <c r="H1825" s="19"/>
      <c r="I1825" s="19"/>
      <c r="J1825" s="19"/>
      <c r="K1825" s="19"/>
      <c r="L1825" s="19"/>
      <c r="M1825" s="19"/>
      <c r="N1825" s="19"/>
      <c r="O1825" s="19"/>
      <c r="P1825" s="19"/>
      <c r="Q1825" s="19"/>
      <c r="R1825" s="19"/>
      <c r="S1825" s="19"/>
      <c r="T1825" s="34" t="str">
        <f aca="false">IF($R1825="","",IFERROR(INDEX(DriverCategory,MATCH($R1825,DriverList,0)),"BAU"))</f>
        <v/>
      </c>
      <c r="U1825" s="34" t="str">
        <f aca="false">IF($R1825="","",IFERROR(INDEX(DriverRank,MATCH($R1825,DriverList,0)),99))</f>
        <v/>
      </c>
      <c r="V1825" s="35" t="n">
        <f aca="false">IF($H1825="",0,IFERROR(INDEX(LevelBasic,MATCH($H1825,LevelList,0))+INDEX(LevelHousing,MATCH($H1825,LevelList,0))+INDEX(LevelTransport,MATCH($H1825,LevelList,0))+INDEX(LevelBasic,MATCH($H1825,LevelList,0))*INDEX(LevelBonus,MATCH($H1825,LevelList,0))+(INDEX(LevelBasic,MATCH($H1825,LevelList,0))+INDEX(LevelHousing,MATCH($H1825,LevelList,0)))*GosiSaudi,0))</f>
        <v>0</v>
      </c>
      <c r="W1825" s="35" t="n">
        <f aca="false">IFERROR(INDEX(LevelOneOff,MATCH($H1825,LevelList,0)),0)</f>
        <v>0</v>
      </c>
      <c r="X1825" s="35" t="str">
        <f aca="false">IF($G1825="","",$V1825*N($L1825))</f>
        <v/>
      </c>
      <c r="Y1825" s="35" t="str">
        <f aca="false">IF($G1825="","",$V1825*(N($M1825)*1+N($N1825)*0.75+N($O1825)*0.5+N($P1825)*0.25)+$W1825*N($L1825))</f>
        <v/>
      </c>
      <c r="Z1825" s="35" t="str">
        <f aca="false">IF($G1825="","",$U1825*1000000+ROW())</f>
        <v/>
      </c>
      <c r="AA1825" s="36" t="str">
        <f aca="false">IF($G1825="","",MID(IF($C1825="",", no division","")&amp;IF($E1825="",", no unit","")&amp;IF($H1825="",", no career level","")&amp;IF(N($L1825)&lt;=0,", no quarter split","")&amp;IF($R1825="",", no driver","")&amp;IF(AND($H1825&lt;&gt;"",COUNTIF(CareerLevels,$H1825)=0),", a career level that is not on the ladder","")&amp;IF(AND($R1825&lt;&gt;"",COUNTIF(DriverList,$R1825)=0),", a driver that is not on the list","")&amp;IF(ABS(N($L1825)-(N($M1825)+N($N1825)+N($O1825)+N($P1825)))&gt;0.001,", a total that does not match its quarters",""),3,300))</f>
        <v/>
      </c>
    </row>
    <row r="1826" customFormat="false" ht="15" hidden="false" customHeight="false" outlineLevel="0" collapsed="false">
      <c r="A1826" s="33" t="str">
        <f aca="false">IF($G1826="","","Risk Group")</f>
        <v/>
      </c>
      <c r="B1826" s="19"/>
      <c r="C1826" s="19"/>
      <c r="D1826" s="19"/>
      <c r="E1826" s="19"/>
      <c r="F1826" s="19"/>
      <c r="G1826" s="19"/>
      <c r="H1826" s="19"/>
      <c r="I1826" s="19"/>
      <c r="J1826" s="19"/>
      <c r="K1826" s="19"/>
      <c r="L1826" s="19"/>
      <c r="M1826" s="19"/>
      <c r="N1826" s="19"/>
      <c r="O1826" s="19"/>
      <c r="P1826" s="19"/>
      <c r="Q1826" s="19"/>
      <c r="R1826" s="19"/>
      <c r="S1826" s="19"/>
      <c r="T1826" s="34" t="str">
        <f aca="false">IF($R1826="","",IFERROR(INDEX(DriverCategory,MATCH($R1826,DriverList,0)),"BAU"))</f>
        <v/>
      </c>
      <c r="U1826" s="34" t="str">
        <f aca="false">IF($R1826="","",IFERROR(INDEX(DriverRank,MATCH($R1826,DriverList,0)),99))</f>
        <v/>
      </c>
      <c r="V1826" s="35" t="n">
        <f aca="false">IF($H1826="",0,IFERROR(INDEX(LevelBasic,MATCH($H1826,LevelList,0))+INDEX(LevelHousing,MATCH($H1826,LevelList,0))+INDEX(LevelTransport,MATCH($H1826,LevelList,0))+INDEX(LevelBasic,MATCH($H1826,LevelList,0))*INDEX(LevelBonus,MATCH($H1826,LevelList,0))+(INDEX(LevelBasic,MATCH($H1826,LevelList,0))+INDEX(LevelHousing,MATCH($H1826,LevelList,0)))*GosiSaudi,0))</f>
        <v>0</v>
      </c>
      <c r="W1826" s="35" t="n">
        <f aca="false">IFERROR(INDEX(LevelOneOff,MATCH($H1826,LevelList,0)),0)</f>
        <v>0</v>
      </c>
      <c r="X1826" s="35" t="str">
        <f aca="false">IF($G1826="","",$V1826*N($L1826))</f>
        <v/>
      </c>
      <c r="Y1826" s="35" t="str">
        <f aca="false">IF($G1826="","",$V1826*(N($M1826)*1+N($N1826)*0.75+N($O1826)*0.5+N($P1826)*0.25)+$W1826*N($L1826))</f>
        <v/>
      </c>
      <c r="Z1826" s="35" t="str">
        <f aca="false">IF($G1826="","",$U1826*1000000+ROW())</f>
        <v/>
      </c>
      <c r="AA1826" s="36" t="str">
        <f aca="false">IF($G1826="","",MID(IF($C1826="",", no division","")&amp;IF($E1826="",", no unit","")&amp;IF($H1826="",", no career level","")&amp;IF(N($L1826)&lt;=0,", no quarter split","")&amp;IF($R1826="",", no driver","")&amp;IF(AND($H1826&lt;&gt;"",COUNTIF(CareerLevels,$H1826)=0),", a career level that is not on the ladder","")&amp;IF(AND($R1826&lt;&gt;"",COUNTIF(DriverList,$R1826)=0),", a driver that is not on the list","")&amp;IF(ABS(N($L1826)-(N($M1826)+N($N1826)+N($O1826)+N($P1826)))&gt;0.001,", a total that does not match its quarters",""),3,300))</f>
        <v/>
      </c>
    </row>
    <row r="1827" customFormat="false" ht="15" hidden="false" customHeight="false" outlineLevel="0" collapsed="false">
      <c r="A1827" s="33" t="str">
        <f aca="false">IF($G1827="","","Risk Group")</f>
        <v/>
      </c>
      <c r="B1827" s="19"/>
      <c r="C1827" s="19"/>
      <c r="D1827" s="19"/>
      <c r="E1827" s="19"/>
      <c r="F1827" s="19"/>
      <c r="G1827" s="19"/>
      <c r="H1827" s="19"/>
      <c r="I1827" s="19"/>
      <c r="J1827" s="19"/>
      <c r="K1827" s="19"/>
      <c r="L1827" s="19"/>
      <c r="M1827" s="19"/>
      <c r="N1827" s="19"/>
      <c r="O1827" s="19"/>
      <c r="P1827" s="19"/>
      <c r="Q1827" s="19"/>
      <c r="R1827" s="19"/>
      <c r="S1827" s="19"/>
      <c r="T1827" s="34" t="str">
        <f aca="false">IF($R1827="","",IFERROR(INDEX(DriverCategory,MATCH($R1827,DriverList,0)),"BAU"))</f>
        <v/>
      </c>
      <c r="U1827" s="34" t="str">
        <f aca="false">IF($R1827="","",IFERROR(INDEX(DriverRank,MATCH($R1827,DriverList,0)),99))</f>
        <v/>
      </c>
      <c r="V1827" s="35" t="n">
        <f aca="false">IF($H1827="",0,IFERROR(INDEX(LevelBasic,MATCH($H1827,LevelList,0))+INDEX(LevelHousing,MATCH($H1827,LevelList,0))+INDEX(LevelTransport,MATCH($H1827,LevelList,0))+INDEX(LevelBasic,MATCH($H1827,LevelList,0))*INDEX(LevelBonus,MATCH($H1827,LevelList,0))+(INDEX(LevelBasic,MATCH($H1827,LevelList,0))+INDEX(LevelHousing,MATCH($H1827,LevelList,0)))*GosiSaudi,0))</f>
        <v>0</v>
      </c>
      <c r="W1827" s="35" t="n">
        <f aca="false">IFERROR(INDEX(LevelOneOff,MATCH($H1827,LevelList,0)),0)</f>
        <v>0</v>
      </c>
      <c r="X1827" s="35" t="str">
        <f aca="false">IF($G1827="","",$V1827*N($L1827))</f>
        <v/>
      </c>
      <c r="Y1827" s="35" t="str">
        <f aca="false">IF($G1827="","",$V1827*(N($M1827)*1+N($N1827)*0.75+N($O1827)*0.5+N($P1827)*0.25)+$W1827*N($L1827))</f>
        <v/>
      </c>
      <c r="Z1827" s="35" t="str">
        <f aca="false">IF($G1827="","",$U1827*1000000+ROW())</f>
        <v/>
      </c>
      <c r="AA1827" s="36" t="str">
        <f aca="false">IF($G1827="","",MID(IF($C1827="",", no division","")&amp;IF($E1827="",", no unit","")&amp;IF($H1827="",", no career level","")&amp;IF(N($L1827)&lt;=0,", no quarter split","")&amp;IF($R1827="",", no driver","")&amp;IF(AND($H1827&lt;&gt;"",COUNTIF(CareerLevels,$H1827)=0),", a career level that is not on the ladder","")&amp;IF(AND($R1827&lt;&gt;"",COUNTIF(DriverList,$R1827)=0),", a driver that is not on the list","")&amp;IF(ABS(N($L1827)-(N($M1827)+N($N1827)+N($O1827)+N($P1827)))&gt;0.001,", a total that does not match its quarters",""),3,300))</f>
        <v/>
      </c>
    </row>
    <row r="1828" customFormat="false" ht="15" hidden="false" customHeight="false" outlineLevel="0" collapsed="false">
      <c r="A1828" s="33" t="str">
        <f aca="false">IF($G1828="","","Risk Group")</f>
        <v/>
      </c>
      <c r="B1828" s="19"/>
      <c r="C1828" s="19"/>
      <c r="D1828" s="19"/>
      <c r="E1828" s="19"/>
      <c r="F1828" s="19"/>
      <c r="G1828" s="19"/>
      <c r="H1828" s="19"/>
      <c r="I1828" s="19"/>
      <c r="J1828" s="19"/>
      <c r="K1828" s="19"/>
      <c r="L1828" s="19"/>
      <c r="M1828" s="19"/>
      <c r="N1828" s="19"/>
      <c r="O1828" s="19"/>
      <c r="P1828" s="19"/>
      <c r="Q1828" s="19"/>
      <c r="R1828" s="19"/>
      <c r="S1828" s="19"/>
      <c r="T1828" s="34" t="str">
        <f aca="false">IF($R1828="","",IFERROR(INDEX(DriverCategory,MATCH($R1828,DriverList,0)),"BAU"))</f>
        <v/>
      </c>
      <c r="U1828" s="34" t="str">
        <f aca="false">IF($R1828="","",IFERROR(INDEX(DriverRank,MATCH($R1828,DriverList,0)),99))</f>
        <v/>
      </c>
      <c r="V1828" s="35" t="n">
        <f aca="false">IF($H1828="",0,IFERROR(INDEX(LevelBasic,MATCH($H1828,LevelList,0))+INDEX(LevelHousing,MATCH($H1828,LevelList,0))+INDEX(LevelTransport,MATCH($H1828,LevelList,0))+INDEX(LevelBasic,MATCH($H1828,LevelList,0))*INDEX(LevelBonus,MATCH($H1828,LevelList,0))+(INDEX(LevelBasic,MATCH($H1828,LevelList,0))+INDEX(LevelHousing,MATCH($H1828,LevelList,0)))*GosiSaudi,0))</f>
        <v>0</v>
      </c>
      <c r="W1828" s="35" t="n">
        <f aca="false">IFERROR(INDEX(LevelOneOff,MATCH($H1828,LevelList,0)),0)</f>
        <v>0</v>
      </c>
      <c r="X1828" s="35" t="str">
        <f aca="false">IF($G1828="","",$V1828*N($L1828))</f>
        <v/>
      </c>
      <c r="Y1828" s="35" t="str">
        <f aca="false">IF($G1828="","",$V1828*(N($M1828)*1+N($N1828)*0.75+N($O1828)*0.5+N($P1828)*0.25)+$W1828*N($L1828))</f>
        <v/>
      </c>
      <c r="Z1828" s="35" t="str">
        <f aca="false">IF($G1828="","",$U1828*1000000+ROW())</f>
        <v/>
      </c>
      <c r="AA1828" s="36" t="str">
        <f aca="false">IF($G1828="","",MID(IF($C1828="",", no division","")&amp;IF($E1828="",", no unit","")&amp;IF($H1828="",", no career level","")&amp;IF(N($L1828)&lt;=0,", no quarter split","")&amp;IF($R1828="",", no driver","")&amp;IF(AND($H1828&lt;&gt;"",COUNTIF(CareerLevels,$H1828)=0),", a career level that is not on the ladder","")&amp;IF(AND($R1828&lt;&gt;"",COUNTIF(DriverList,$R1828)=0),", a driver that is not on the list","")&amp;IF(ABS(N($L1828)-(N($M1828)+N($N1828)+N($O1828)+N($P1828)))&gt;0.001,", a total that does not match its quarters",""),3,300))</f>
        <v/>
      </c>
    </row>
    <row r="1829" customFormat="false" ht="15" hidden="false" customHeight="false" outlineLevel="0" collapsed="false">
      <c r="A1829" s="33" t="str">
        <f aca="false">IF($G1829="","","Risk Group")</f>
        <v/>
      </c>
      <c r="B1829" s="19"/>
      <c r="C1829" s="19"/>
      <c r="D1829" s="19"/>
      <c r="E1829" s="19"/>
      <c r="F1829" s="19"/>
      <c r="G1829" s="19"/>
      <c r="H1829" s="19"/>
      <c r="I1829" s="19"/>
      <c r="J1829" s="19"/>
      <c r="K1829" s="19"/>
      <c r="L1829" s="19"/>
      <c r="M1829" s="19"/>
      <c r="N1829" s="19"/>
      <c r="O1829" s="19"/>
      <c r="P1829" s="19"/>
      <c r="Q1829" s="19"/>
      <c r="R1829" s="19"/>
      <c r="S1829" s="19"/>
      <c r="T1829" s="34" t="str">
        <f aca="false">IF($R1829="","",IFERROR(INDEX(DriverCategory,MATCH($R1829,DriverList,0)),"BAU"))</f>
        <v/>
      </c>
      <c r="U1829" s="34" t="str">
        <f aca="false">IF($R1829="","",IFERROR(INDEX(DriverRank,MATCH($R1829,DriverList,0)),99))</f>
        <v/>
      </c>
      <c r="V1829" s="35" t="n">
        <f aca="false">IF($H1829="",0,IFERROR(INDEX(LevelBasic,MATCH($H1829,LevelList,0))+INDEX(LevelHousing,MATCH($H1829,LevelList,0))+INDEX(LevelTransport,MATCH($H1829,LevelList,0))+INDEX(LevelBasic,MATCH($H1829,LevelList,0))*INDEX(LevelBonus,MATCH($H1829,LevelList,0))+(INDEX(LevelBasic,MATCH($H1829,LevelList,0))+INDEX(LevelHousing,MATCH($H1829,LevelList,0)))*GosiSaudi,0))</f>
        <v>0</v>
      </c>
      <c r="W1829" s="35" t="n">
        <f aca="false">IFERROR(INDEX(LevelOneOff,MATCH($H1829,LevelList,0)),0)</f>
        <v>0</v>
      </c>
      <c r="X1829" s="35" t="str">
        <f aca="false">IF($G1829="","",$V1829*N($L1829))</f>
        <v/>
      </c>
      <c r="Y1829" s="35" t="str">
        <f aca="false">IF($G1829="","",$V1829*(N($M1829)*1+N($N1829)*0.75+N($O1829)*0.5+N($P1829)*0.25)+$W1829*N($L1829))</f>
        <v/>
      </c>
      <c r="Z1829" s="35" t="str">
        <f aca="false">IF($G1829="","",$U1829*1000000+ROW())</f>
        <v/>
      </c>
      <c r="AA1829" s="36" t="str">
        <f aca="false">IF($G1829="","",MID(IF($C1829="",", no division","")&amp;IF($E1829="",", no unit","")&amp;IF($H1829="",", no career level","")&amp;IF(N($L1829)&lt;=0,", no quarter split","")&amp;IF($R1829="",", no driver","")&amp;IF(AND($H1829&lt;&gt;"",COUNTIF(CareerLevels,$H1829)=0),", a career level that is not on the ladder","")&amp;IF(AND($R1829&lt;&gt;"",COUNTIF(DriverList,$R1829)=0),", a driver that is not on the list","")&amp;IF(ABS(N($L1829)-(N($M1829)+N($N1829)+N($O1829)+N($P1829)))&gt;0.001,", a total that does not match its quarters",""),3,300))</f>
        <v/>
      </c>
    </row>
    <row r="1830" customFormat="false" ht="15" hidden="false" customHeight="false" outlineLevel="0" collapsed="false">
      <c r="A1830" s="33" t="str">
        <f aca="false">IF($G1830="","","Risk Group")</f>
        <v/>
      </c>
      <c r="B1830" s="19"/>
      <c r="C1830" s="19"/>
      <c r="D1830" s="19"/>
      <c r="E1830" s="19"/>
      <c r="F1830" s="19"/>
      <c r="G1830" s="19"/>
      <c r="H1830" s="19"/>
      <c r="I1830" s="19"/>
      <c r="J1830" s="19"/>
      <c r="K1830" s="19"/>
      <c r="L1830" s="19"/>
      <c r="M1830" s="19"/>
      <c r="N1830" s="19"/>
      <c r="O1830" s="19"/>
      <c r="P1830" s="19"/>
      <c r="Q1830" s="19"/>
      <c r="R1830" s="19"/>
      <c r="S1830" s="19"/>
      <c r="T1830" s="34" t="str">
        <f aca="false">IF($R1830="","",IFERROR(INDEX(DriverCategory,MATCH($R1830,DriverList,0)),"BAU"))</f>
        <v/>
      </c>
      <c r="U1830" s="34" t="str">
        <f aca="false">IF($R1830="","",IFERROR(INDEX(DriverRank,MATCH($R1830,DriverList,0)),99))</f>
        <v/>
      </c>
      <c r="V1830" s="35" t="n">
        <f aca="false">IF($H1830="",0,IFERROR(INDEX(LevelBasic,MATCH($H1830,LevelList,0))+INDEX(LevelHousing,MATCH($H1830,LevelList,0))+INDEX(LevelTransport,MATCH($H1830,LevelList,0))+INDEX(LevelBasic,MATCH($H1830,LevelList,0))*INDEX(LevelBonus,MATCH($H1830,LevelList,0))+(INDEX(LevelBasic,MATCH($H1830,LevelList,0))+INDEX(LevelHousing,MATCH($H1830,LevelList,0)))*GosiSaudi,0))</f>
        <v>0</v>
      </c>
      <c r="W1830" s="35" t="n">
        <f aca="false">IFERROR(INDEX(LevelOneOff,MATCH($H1830,LevelList,0)),0)</f>
        <v>0</v>
      </c>
      <c r="X1830" s="35" t="str">
        <f aca="false">IF($G1830="","",$V1830*N($L1830))</f>
        <v/>
      </c>
      <c r="Y1830" s="35" t="str">
        <f aca="false">IF($G1830="","",$V1830*(N($M1830)*1+N($N1830)*0.75+N($O1830)*0.5+N($P1830)*0.25)+$W1830*N($L1830))</f>
        <v/>
      </c>
      <c r="Z1830" s="35" t="str">
        <f aca="false">IF($G1830="","",$U1830*1000000+ROW())</f>
        <v/>
      </c>
      <c r="AA1830" s="36" t="str">
        <f aca="false">IF($G1830="","",MID(IF($C1830="",", no division","")&amp;IF($E1830="",", no unit","")&amp;IF($H1830="",", no career level","")&amp;IF(N($L1830)&lt;=0,", no quarter split","")&amp;IF($R1830="",", no driver","")&amp;IF(AND($H1830&lt;&gt;"",COUNTIF(CareerLevels,$H1830)=0),", a career level that is not on the ladder","")&amp;IF(AND($R1830&lt;&gt;"",COUNTIF(DriverList,$R1830)=0),", a driver that is not on the list","")&amp;IF(ABS(N($L1830)-(N($M1830)+N($N1830)+N($O1830)+N($P1830)))&gt;0.001,", a total that does not match its quarters",""),3,300))</f>
        <v/>
      </c>
    </row>
    <row r="1831" customFormat="false" ht="15" hidden="false" customHeight="false" outlineLevel="0" collapsed="false">
      <c r="A1831" s="33" t="str">
        <f aca="false">IF($G1831="","","Risk Group")</f>
        <v/>
      </c>
      <c r="B1831" s="19"/>
      <c r="C1831" s="19"/>
      <c r="D1831" s="19"/>
      <c r="E1831" s="19"/>
      <c r="F1831" s="19"/>
      <c r="G1831" s="19"/>
      <c r="H1831" s="19"/>
      <c r="I1831" s="19"/>
      <c r="J1831" s="19"/>
      <c r="K1831" s="19"/>
      <c r="L1831" s="19"/>
      <c r="M1831" s="19"/>
      <c r="N1831" s="19"/>
      <c r="O1831" s="19"/>
      <c r="P1831" s="19"/>
      <c r="Q1831" s="19"/>
      <c r="R1831" s="19"/>
      <c r="S1831" s="19"/>
      <c r="T1831" s="34" t="str">
        <f aca="false">IF($R1831="","",IFERROR(INDEX(DriverCategory,MATCH($R1831,DriverList,0)),"BAU"))</f>
        <v/>
      </c>
      <c r="U1831" s="34" t="str">
        <f aca="false">IF($R1831="","",IFERROR(INDEX(DriverRank,MATCH($R1831,DriverList,0)),99))</f>
        <v/>
      </c>
      <c r="V1831" s="35" t="n">
        <f aca="false">IF($H1831="",0,IFERROR(INDEX(LevelBasic,MATCH($H1831,LevelList,0))+INDEX(LevelHousing,MATCH($H1831,LevelList,0))+INDEX(LevelTransport,MATCH($H1831,LevelList,0))+INDEX(LevelBasic,MATCH($H1831,LevelList,0))*INDEX(LevelBonus,MATCH($H1831,LevelList,0))+(INDEX(LevelBasic,MATCH($H1831,LevelList,0))+INDEX(LevelHousing,MATCH($H1831,LevelList,0)))*GosiSaudi,0))</f>
        <v>0</v>
      </c>
      <c r="W1831" s="35" t="n">
        <f aca="false">IFERROR(INDEX(LevelOneOff,MATCH($H1831,LevelList,0)),0)</f>
        <v>0</v>
      </c>
      <c r="X1831" s="35" t="str">
        <f aca="false">IF($G1831="","",$V1831*N($L1831))</f>
        <v/>
      </c>
      <c r="Y1831" s="35" t="str">
        <f aca="false">IF($G1831="","",$V1831*(N($M1831)*1+N($N1831)*0.75+N($O1831)*0.5+N($P1831)*0.25)+$W1831*N($L1831))</f>
        <v/>
      </c>
      <c r="Z1831" s="35" t="str">
        <f aca="false">IF($G1831="","",$U1831*1000000+ROW())</f>
        <v/>
      </c>
      <c r="AA1831" s="36" t="str">
        <f aca="false">IF($G1831="","",MID(IF($C1831="",", no division","")&amp;IF($E1831="",", no unit","")&amp;IF($H1831="",", no career level","")&amp;IF(N($L1831)&lt;=0,", no quarter split","")&amp;IF($R1831="",", no driver","")&amp;IF(AND($H1831&lt;&gt;"",COUNTIF(CareerLevels,$H1831)=0),", a career level that is not on the ladder","")&amp;IF(AND($R1831&lt;&gt;"",COUNTIF(DriverList,$R1831)=0),", a driver that is not on the list","")&amp;IF(ABS(N($L1831)-(N($M1831)+N($N1831)+N($O1831)+N($P1831)))&gt;0.001,", a total that does not match its quarters",""),3,300))</f>
        <v/>
      </c>
    </row>
    <row r="1832" customFormat="false" ht="15" hidden="false" customHeight="false" outlineLevel="0" collapsed="false">
      <c r="A1832" s="33" t="str">
        <f aca="false">IF($G1832="","","Risk Group")</f>
        <v/>
      </c>
      <c r="B1832" s="19"/>
      <c r="C1832" s="19"/>
      <c r="D1832" s="19"/>
      <c r="E1832" s="19"/>
      <c r="F1832" s="19"/>
      <c r="G1832" s="19"/>
      <c r="H1832" s="19"/>
      <c r="I1832" s="19"/>
      <c r="J1832" s="19"/>
      <c r="K1832" s="19"/>
      <c r="L1832" s="19"/>
      <c r="M1832" s="19"/>
      <c r="N1832" s="19"/>
      <c r="O1832" s="19"/>
      <c r="P1832" s="19"/>
      <c r="Q1832" s="19"/>
      <c r="R1832" s="19"/>
      <c r="S1832" s="19"/>
      <c r="T1832" s="34" t="str">
        <f aca="false">IF($R1832="","",IFERROR(INDEX(DriverCategory,MATCH($R1832,DriverList,0)),"BAU"))</f>
        <v/>
      </c>
      <c r="U1832" s="34" t="str">
        <f aca="false">IF($R1832="","",IFERROR(INDEX(DriverRank,MATCH($R1832,DriverList,0)),99))</f>
        <v/>
      </c>
      <c r="V1832" s="35" t="n">
        <f aca="false">IF($H1832="",0,IFERROR(INDEX(LevelBasic,MATCH($H1832,LevelList,0))+INDEX(LevelHousing,MATCH($H1832,LevelList,0))+INDEX(LevelTransport,MATCH($H1832,LevelList,0))+INDEX(LevelBasic,MATCH($H1832,LevelList,0))*INDEX(LevelBonus,MATCH($H1832,LevelList,0))+(INDEX(LevelBasic,MATCH($H1832,LevelList,0))+INDEX(LevelHousing,MATCH($H1832,LevelList,0)))*GosiSaudi,0))</f>
        <v>0</v>
      </c>
      <c r="W1832" s="35" t="n">
        <f aca="false">IFERROR(INDEX(LevelOneOff,MATCH($H1832,LevelList,0)),0)</f>
        <v>0</v>
      </c>
      <c r="X1832" s="35" t="str">
        <f aca="false">IF($G1832="","",$V1832*N($L1832))</f>
        <v/>
      </c>
      <c r="Y1832" s="35" t="str">
        <f aca="false">IF($G1832="","",$V1832*(N($M1832)*1+N($N1832)*0.75+N($O1832)*0.5+N($P1832)*0.25)+$W1832*N($L1832))</f>
        <v/>
      </c>
      <c r="Z1832" s="35" t="str">
        <f aca="false">IF($G1832="","",$U1832*1000000+ROW())</f>
        <v/>
      </c>
      <c r="AA1832" s="36" t="str">
        <f aca="false">IF($G1832="","",MID(IF($C1832="",", no division","")&amp;IF($E1832="",", no unit","")&amp;IF($H1832="",", no career level","")&amp;IF(N($L1832)&lt;=0,", no quarter split","")&amp;IF($R1832="",", no driver","")&amp;IF(AND($H1832&lt;&gt;"",COUNTIF(CareerLevels,$H1832)=0),", a career level that is not on the ladder","")&amp;IF(AND($R1832&lt;&gt;"",COUNTIF(DriverList,$R1832)=0),", a driver that is not on the list","")&amp;IF(ABS(N($L1832)-(N($M1832)+N($N1832)+N($O1832)+N($P1832)))&gt;0.001,", a total that does not match its quarters",""),3,300))</f>
        <v/>
      </c>
    </row>
    <row r="1833" customFormat="false" ht="15" hidden="false" customHeight="false" outlineLevel="0" collapsed="false">
      <c r="A1833" s="33" t="str">
        <f aca="false">IF($G1833="","","Risk Group")</f>
        <v/>
      </c>
      <c r="B1833" s="19"/>
      <c r="C1833" s="19"/>
      <c r="D1833" s="19"/>
      <c r="E1833" s="19"/>
      <c r="F1833" s="19"/>
      <c r="G1833" s="19"/>
      <c r="H1833" s="19"/>
      <c r="I1833" s="19"/>
      <c r="J1833" s="19"/>
      <c r="K1833" s="19"/>
      <c r="L1833" s="19"/>
      <c r="M1833" s="19"/>
      <c r="N1833" s="19"/>
      <c r="O1833" s="19"/>
      <c r="P1833" s="19"/>
      <c r="Q1833" s="19"/>
      <c r="R1833" s="19"/>
      <c r="S1833" s="19"/>
      <c r="T1833" s="34" t="str">
        <f aca="false">IF($R1833="","",IFERROR(INDEX(DriverCategory,MATCH($R1833,DriverList,0)),"BAU"))</f>
        <v/>
      </c>
      <c r="U1833" s="34" t="str">
        <f aca="false">IF($R1833="","",IFERROR(INDEX(DriverRank,MATCH($R1833,DriverList,0)),99))</f>
        <v/>
      </c>
      <c r="V1833" s="35" t="n">
        <f aca="false">IF($H1833="",0,IFERROR(INDEX(LevelBasic,MATCH($H1833,LevelList,0))+INDEX(LevelHousing,MATCH($H1833,LevelList,0))+INDEX(LevelTransport,MATCH($H1833,LevelList,0))+INDEX(LevelBasic,MATCH($H1833,LevelList,0))*INDEX(LevelBonus,MATCH($H1833,LevelList,0))+(INDEX(LevelBasic,MATCH($H1833,LevelList,0))+INDEX(LevelHousing,MATCH($H1833,LevelList,0)))*GosiSaudi,0))</f>
        <v>0</v>
      </c>
      <c r="W1833" s="35" t="n">
        <f aca="false">IFERROR(INDEX(LevelOneOff,MATCH($H1833,LevelList,0)),0)</f>
        <v>0</v>
      </c>
      <c r="X1833" s="35" t="str">
        <f aca="false">IF($G1833="","",$V1833*N($L1833))</f>
        <v/>
      </c>
      <c r="Y1833" s="35" t="str">
        <f aca="false">IF($G1833="","",$V1833*(N($M1833)*1+N($N1833)*0.75+N($O1833)*0.5+N($P1833)*0.25)+$W1833*N($L1833))</f>
        <v/>
      </c>
      <c r="Z1833" s="35" t="str">
        <f aca="false">IF($G1833="","",$U1833*1000000+ROW())</f>
        <v/>
      </c>
      <c r="AA1833" s="36" t="str">
        <f aca="false">IF($G1833="","",MID(IF($C1833="",", no division","")&amp;IF($E1833="",", no unit","")&amp;IF($H1833="",", no career level","")&amp;IF(N($L1833)&lt;=0,", no quarter split","")&amp;IF($R1833="",", no driver","")&amp;IF(AND($H1833&lt;&gt;"",COUNTIF(CareerLevels,$H1833)=0),", a career level that is not on the ladder","")&amp;IF(AND($R1833&lt;&gt;"",COUNTIF(DriverList,$R1833)=0),", a driver that is not on the list","")&amp;IF(ABS(N($L1833)-(N($M1833)+N($N1833)+N($O1833)+N($P1833)))&gt;0.001,", a total that does not match its quarters",""),3,300))</f>
        <v/>
      </c>
    </row>
    <row r="1834" customFormat="false" ht="15" hidden="false" customHeight="false" outlineLevel="0" collapsed="false">
      <c r="A1834" s="33" t="str">
        <f aca="false">IF($G1834="","","Risk Group")</f>
        <v/>
      </c>
      <c r="B1834" s="19"/>
      <c r="C1834" s="19"/>
      <c r="D1834" s="19"/>
      <c r="E1834" s="19"/>
      <c r="F1834" s="19"/>
      <c r="G1834" s="19"/>
      <c r="H1834" s="19"/>
      <c r="I1834" s="19"/>
      <c r="J1834" s="19"/>
      <c r="K1834" s="19"/>
      <c r="L1834" s="19"/>
      <c r="M1834" s="19"/>
      <c r="N1834" s="19"/>
      <c r="O1834" s="19"/>
      <c r="P1834" s="19"/>
      <c r="Q1834" s="19"/>
      <c r="R1834" s="19"/>
      <c r="S1834" s="19"/>
      <c r="T1834" s="34" t="str">
        <f aca="false">IF($R1834="","",IFERROR(INDEX(DriverCategory,MATCH($R1834,DriverList,0)),"BAU"))</f>
        <v/>
      </c>
      <c r="U1834" s="34" t="str">
        <f aca="false">IF($R1834="","",IFERROR(INDEX(DriverRank,MATCH($R1834,DriverList,0)),99))</f>
        <v/>
      </c>
      <c r="V1834" s="35" t="n">
        <f aca="false">IF($H1834="",0,IFERROR(INDEX(LevelBasic,MATCH($H1834,LevelList,0))+INDEX(LevelHousing,MATCH($H1834,LevelList,0))+INDEX(LevelTransport,MATCH($H1834,LevelList,0))+INDEX(LevelBasic,MATCH($H1834,LevelList,0))*INDEX(LevelBonus,MATCH($H1834,LevelList,0))+(INDEX(LevelBasic,MATCH($H1834,LevelList,0))+INDEX(LevelHousing,MATCH($H1834,LevelList,0)))*GosiSaudi,0))</f>
        <v>0</v>
      </c>
      <c r="W1834" s="35" t="n">
        <f aca="false">IFERROR(INDEX(LevelOneOff,MATCH($H1834,LevelList,0)),0)</f>
        <v>0</v>
      </c>
      <c r="X1834" s="35" t="str">
        <f aca="false">IF($G1834="","",$V1834*N($L1834))</f>
        <v/>
      </c>
      <c r="Y1834" s="35" t="str">
        <f aca="false">IF($G1834="","",$V1834*(N($M1834)*1+N($N1834)*0.75+N($O1834)*0.5+N($P1834)*0.25)+$W1834*N($L1834))</f>
        <v/>
      </c>
      <c r="Z1834" s="35" t="str">
        <f aca="false">IF($G1834="","",$U1834*1000000+ROW())</f>
        <v/>
      </c>
      <c r="AA1834" s="36" t="str">
        <f aca="false">IF($G1834="","",MID(IF($C1834="",", no division","")&amp;IF($E1834="",", no unit","")&amp;IF($H1834="",", no career level","")&amp;IF(N($L1834)&lt;=0,", no quarter split","")&amp;IF($R1834="",", no driver","")&amp;IF(AND($H1834&lt;&gt;"",COUNTIF(CareerLevels,$H1834)=0),", a career level that is not on the ladder","")&amp;IF(AND($R1834&lt;&gt;"",COUNTIF(DriverList,$R1834)=0),", a driver that is not on the list","")&amp;IF(ABS(N($L1834)-(N($M1834)+N($N1834)+N($O1834)+N($P1834)))&gt;0.001,", a total that does not match its quarters",""),3,300))</f>
        <v/>
      </c>
    </row>
    <row r="1835" customFormat="false" ht="15" hidden="false" customHeight="false" outlineLevel="0" collapsed="false">
      <c r="A1835" s="33" t="str">
        <f aca="false">IF($G1835="","","Risk Group")</f>
        <v/>
      </c>
      <c r="B1835" s="19"/>
      <c r="C1835" s="19"/>
      <c r="D1835" s="19"/>
      <c r="E1835" s="19"/>
      <c r="F1835" s="19"/>
      <c r="G1835" s="19"/>
      <c r="H1835" s="19"/>
      <c r="I1835" s="19"/>
      <c r="J1835" s="19"/>
      <c r="K1835" s="19"/>
      <c r="L1835" s="19"/>
      <c r="M1835" s="19"/>
      <c r="N1835" s="19"/>
      <c r="O1835" s="19"/>
      <c r="P1835" s="19"/>
      <c r="Q1835" s="19"/>
      <c r="R1835" s="19"/>
      <c r="S1835" s="19"/>
      <c r="T1835" s="34" t="str">
        <f aca="false">IF($R1835="","",IFERROR(INDEX(DriverCategory,MATCH($R1835,DriverList,0)),"BAU"))</f>
        <v/>
      </c>
      <c r="U1835" s="34" t="str">
        <f aca="false">IF($R1835="","",IFERROR(INDEX(DriverRank,MATCH($R1835,DriverList,0)),99))</f>
        <v/>
      </c>
      <c r="V1835" s="35" t="n">
        <f aca="false">IF($H1835="",0,IFERROR(INDEX(LevelBasic,MATCH($H1835,LevelList,0))+INDEX(LevelHousing,MATCH($H1835,LevelList,0))+INDEX(LevelTransport,MATCH($H1835,LevelList,0))+INDEX(LevelBasic,MATCH($H1835,LevelList,0))*INDEX(LevelBonus,MATCH($H1835,LevelList,0))+(INDEX(LevelBasic,MATCH($H1835,LevelList,0))+INDEX(LevelHousing,MATCH($H1835,LevelList,0)))*GosiSaudi,0))</f>
        <v>0</v>
      </c>
      <c r="W1835" s="35" t="n">
        <f aca="false">IFERROR(INDEX(LevelOneOff,MATCH($H1835,LevelList,0)),0)</f>
        <v>0</v>
      </c>
      <c r="X1835" s="35" t="str">
        <f aca="false">IF($G1835="","",$V1835*N($L1835))</f>
        <v/>
      </c>
      <c r="Y1835" s="35" t="str">
        <f aca="false">IF($G1835="","",$V1835*(N($M1835)*1+N($N1835)*0.75+N($O1835)*0.5+N($P1835)*0.25)+$W1835*N($L1835))</f>
        <v/>
      </c>
      <c r="Z1835" s="35" t="str">
        <f aca="false">IF($G1835="","",$U1835*1000000+ROW())</f>
        <v/>
      </c>
      <c r="AA1835" s="36" t="str">
        <f aca="false">IF($G1835="","",MID(IF($C1835="",", no division","")&amp;IF($E1835="",", no unit","")&amp;IF($H1835="",", no career level","")&amp;IF(N($L1835)&lt;=0,", no quarter split","")&amp;IF($R1835="",", no driver","")&amp;IF(AND($H1835&lt;&gt;"",COUNTIF(CareerLevels,$H1835)=0),", a career level that is not on the ladder","")&amp;IF(AND($R1835&lt;&gt;"",COUNTIF(DriverList,$R1835)=0),", a driver that is not on the list","")&amp;IF(ABS(N($L1835)-(N($M1835)+N($N1835)+N($O1835)+N($P1835)))&gt;0.001,", a total that does not match its quarters",""),3,300))</f>
        <v/>
      </c>
    </row>
    <row r="1836" customFormat="false" ht="15" hidden="false" customHeight="false" outlineLevel="0" collapsed="false">
      <c r="A1836" s="33" t="str">
        <f aca="false">IF($G1836="","","Risk Group")</f>
        <v/>
      </c>
      <c r="B1836" s="19"/>
      <c r="C1836" s="19"/>
      <c r="D1836" s="19"/>
      <c r="E1836" s="19"/>
      <c r="F1836" s="19"/>
      <c r="G1836" s="19"/>
      <c r="H1836" s="19"/>
      <c r="I1836" s="19"/>
      <c r="J1836" s="19"/>
      <c r="K1836" s="19"/>
      <c r="L1836" s="19"/>
      <c r="M1836" s="19"/>
      <c r="N1836" s="19"/>
      <c r="O1836" s="19"/>
      <c r="P1836" s="19"/>
      <c r="Q1836" s="19"/>
      <c r="R1836" s="19"/>
      <c r="S1836" s="19"/>
      <c r="T1836" s="34" t="str">
        <f aca="false">IF($R1836="","",IFERROR(INDEX(DriverCategory,MATCH($R1836,DriverList,0)),"BAU"))</f>
        <v/>
      </c>
      <c r="U1836" s="34" t="str">
        <f aca="false">IF($R1836="","",IFERROR(INDEX(DriverRank,MATCH($R1836,DriverList,0)),99))</f>
        <v/>
      </c>
      <c r="V1836" s="35" t="n">
        <f aca="false">IF($H1836="",0,IFERROR(INDEX(LevelBasic,MATCH($H1836,LevelList,0))+INDEX(LevelHousing,MATCH($H1836,LevelList,0))+INDEX(LevelTransport,MATCH($H1836,LevelList,0))+INDEX(LevelBasic,MATCH($H1836,LevelList,0))*INDEX(LevelBonus,MATCH($H1836,LevelList,0))+(INDEX(LevelBasic,MATCH($H1836,LevelList,0))+INDEX(LevelHousing,MATCH($H1836,LevelList,0)))*GosiSaudi,0))</f>
        <v>0</v>
      </c>
      <c r="W1836" s="35" t="n">
        <f aca="false">IFERROR(INDEX(LevelOneOff,MATCH($H1836,LevelList,0)),0)</f>
        <v>0</v>
      </c>
      <c r="X1836" s="35" t="str">
        <f aca="false">IF($G1836="","",$V1836*N($L1836))</f>
        <v/>
      </c>
      <c r="Y1836" s="35" t="str">
        <f aca="false">IF($G1836="","",$V1836*(N($M1836)*1+N($N1836)*0.75+N($O1836)*0.5+N($P1836)*0.25)+$W1836*N($L1836))</f>
        <v/>
      </c>
      <c r="Z1836" s="35" t="str">
        <f aca="false">IF($G1836="","",$U1836*1000000+ROW())</f>
        <v/>
      </c>
      <c r="AA1836" s="36" t="str">
        <f aca="false">IF($G1836="","",MID(IF($C1836="",", no division","")&amp;IF($E1836="",", no unit","")&amp;IF($H1836="",", no career level","")&amp;IF(N($L1836)&lt;=0,", no quarter split","")&amp;IF($R1836="",", no driver","")&amp;IF(AND($H1836&lt;&gt;"",COUNTIF(CareerLevels,$H1836)=0),", a career level that is not on the ladder","")&amp;IF(AND($R1836&lt;&gt;"",COUNTIF(DriverList,$R1836)=0),", a driver that is not on the list","")&amp;IF(ABS(N($L1836)-(N($M1836)+N($N1836)+N($O1836)+N($P1836)))&gt;0.001,", a total that does not match its quarters",""),3,300))</f>
        <v/>
      </c>
    </row>
    <row r="1837" customFormat="false" ht="15" hidden="false" customHeight="false" outlineLevel="0" collapsed="false">
      <c r="A1837" s="33" t="str">
        <f aca="false">IF($G1837="","","Risk Group")</f>
        <v/>
      </c>
      <c r="B1837" s="19"/>
      <c r="C1837" s="19"/>
      <c r="D1837" s="19"/>
      <c r="E1837" s="19"/>
      <c r="F1837" s="19"/>
      <c r="G1837" s="19"/>
      <c r="H1837" s="19"/>
      <c r="I1837" s="19"/>
      <c r="J1837" s="19"/>
      <c r="K1837" s="19"/>
      <c r="L1837" s="19"/>
      <c r="M1837" s="19"/>
      <c r="N1837" s="19"/>
      <c r="O1837" s="19"/>
      <c r="P1837" s="19"/>
      <c r="Q1837" s="19"/>
      <c r="R1837" s="19"/>
      <c r="S1837" s="19"/>
      <c r="T1837" s="34" t="str">
        <f aca="false">IF($R1837="","",IFERROR(INDEX(DriverCategory,MATCH($R1837,DriverList,0)),"BAU"))</f>
        <v/>
      </c>
      <c r="U1837" s="34" t="str">
        <f aca="false">IF($R1837="","",IFERROR(INDEX(DriverRank,MATCH($R1837,DriverList,0)),99))</f>
        <v/>
      </c>
      <c r="V1837" s="35" t="n">
        <f aca="false">IF($H1837="",0,IFERROR(INDEX(LevelBasic,MATCH($H1837,LevelList,0))+INDEX(LevelHousing,MATCH($H1837,LevelList,0))+INDEX(LevelTransport,MATCH($H1837,LevelList,0))+INDEX(LevelBasic,MATCH($H1837,LevelList,0))*INDEX(LevelBonus,MATCH($H1837,LevelList,0))+(INDEX(LevelBasic,MATCH($H1837,LevelList,0))+INDEX(LevelHousing,MATCH($H1837,LevelList,0)))*GosiSaudi,0))</f>
        <v>0</v>
      </c>
      <c r="W1837" s="35" t="n">
        <f aca="false">IFERROR(INDEX(LevelOneOff,MATCH($H1837,LevelList,0)),0)</f>
        <v>0</v>
      </c>
      <c r="X1837" s="35" t="str">
        <f aca="false">IF($G1837="","",$V1837*N($L1837))</f>
        <v/>
      </c>
      <c r="Y1837" s="35" t="str">
        <f aca="false">IF($G1837="","",$V1837*(N($M1837)*1+N($N1837)*0.75+N($O1837)*0.5+N($P1837)*0.25)+$W1837*N($L1837))</f>
        <v/>
      </c>
      <c r="Z1837" s="35" t="str">
        <f aca="false">IF($G1837="","",$U1837*1000000+ROW())</f>
        <v/>
      </c>
      <c r="AA1837" s="36" t="str">
        <f aca="false">IF($G1837="","",MID(IF($C1837="",", no division","")&amp;IF($E1837="",", no unit","")&amp;IF($H1837="",", no career level","")&amp;IF(N($L1837)&lt;=0,", no quarter split","")&amp;IF($R1837="",", no driver","")&amp;IF(AND($H1837&lt;&gt;"",COUNTIF(CareerLevels,$H1837)=0),", a career level that is not on the ladder","")&amp;IF(AND($R1837&lt;&gt;"",COUNTIF(DriverList,$R1837)=0),", a driver that is not on the list","")&amp;IF(ABS(N($L1837)-(N($M1837)+N($N1837)+N($O1837)+N($P1837)))&gt;0.001,", a total that does not match its quarters",""),3,300))</f>
        <v/>
      </c>
    </row>
    <row r="1838" customFormat="false" ht="15" hidden="false" customHeight="false" outlineLevel="0" collapsed="false">
      <c r="A1838" s="33" t="str">
        <f aca="false">IF($G1838="","","Risk Group")</f>
        <v/>
      </c>
      <c r="B1838" s="19"/>
      <c r="C1838" s="19"/>
      <c r="D1838" s="19"/>
      <c r="E1838" s="19"/>
      <c r="F1838" s="19"/>
      <c r="G1838" s="19"/>
      <c r="H1838" s="19"/>
      <c r="I1838" s="19"/>
      <c r="J1838" s="19"/>
      <c r="K1838" s="19"/>
      <c r="L1838" s="19"/>
      <c r="M1838" s="19"/>
      <c r="N1838" s="19"/>
      <c r="O1838" s="19"/>
      <c r="P1838" s="19"/>
      <c r="Q1838" s="19"/>
      <c r="R1838" s="19"/>
      <c r="S1838" s="19"/>
      <c r="T1838" s="34" t="str">
        <f aca="false">IF($R1838="","",IFERROR(INDEX(DriverCategory,MATCH($R1838,DriverList,0)),"BAU"))</f>
        <v/>
      </c>
      <c r="U1838" s="34" t="str">
        <f aca="false">IF($R1838="","",IFERROR(INDEX(DriverRank,MATCH($R1838,DriverList,0)),99))</f>
        <v/>
      </c>
      <c r="V1838" s="35" t="n">
        <f aca="false">IF($H1838="",0,IFERROR(INDEX(LevelBasic,MATCH($H1838,LevelList,0))+INDEX(LevelHousing,MATCH($H1838,LevelList,0))+INDEX(LevelTransport,MATCH($H1838,LevelList,0))+INDEX(LevelBasic,MATCH($H1838,LevelList,0))*INDEX(LevelBonus,MATCH($H1838,LevelList,0))+(INDEX(LevelBasic,MATCH($H1838,LevelList,0))+INDEX(LevelHousing,MATCH($H1838,LevelList,0)))*GosiSaudi,0))</f>
        <v>0</v>
      </c>
      <c r="W1838" s="35" t="n">
        <f aca="false">IFERROR(INDEX(LevelOneOff,MATCH($H1838,LevelList,0)),0)</f>
        <v>0</v>
      </c>
      <c r="X1838" s="35" t="str">
        <f aca="false">IF($G1838="","",$V1838*N($L1838))</f>
        <v/>
      </c>
      <c r="Y1838" s="35" t="str">
        <f aca="false">IF($G1838="","",$V1838*(N($M1838)*1+N($N1838)*0.75+N($O1838)*0.5+N($P1838)*0.25)+$W1838*N($L1838))</f>
        <v/>
      </c>
      <c r="Z1838" s="35" t="str">
        <f aca="false">IF($G1838="","",$U1838*1000000+ROW())</f>
        <v/>
      </c>
      <c r="AA1838" s="36" t="str">
        <f aca="false">IF($G1838="","",MID(IF($C1838="",", no division","")&amp;IF($E1838="",", no unit","")&amp;IF($H1838="",", no career level","")&amp;IF(N($L1838)&lt;=0,", no quarter split","")&amp;IF($R1838="",", no driver","")&amp;IF(AND($H1838&lt;&gt;"",COUNTIF(CareerLevels,$H1838)=0),", a career level that is not on the ladder","")&amp;IF(AND($R1838&lt;&gt;"",COUNTIF(DriverList,$R1838)=0),", a driver that is not on the list","")&amp;IF(ABS(N($L1838)-(N($M1838)+N($N1838)+N($O1838)+N($P1838)))&gt;0.001,", a total that does not match its quarters",""),3,300))</f>
        <v/>
      </c>
    </row>
    <row r="1839" customFormat="false" ht="15" hidden="false" customHeight="false" outlineLevel="0" collapsed="false">
      <c r="A1839" s="33" t="str">
        <f aca="false">IF($G1839="","","Risk Group")</f>
        <v/>
      </c>
      <c r="B1839" s="19"/>
      <c r="C1839" s="19"/>
      <c r="D1839" s="19"/>
      <c r="E1839" s="19"/>
      <c r="F1839" s="19"/>
      <c r="G1839" s="19"/>
      <c r="H1839" s="19"/>
      <c r="I1839" s="19"/>
      <c r="J1839" s="19"/>
      <c r="K1839" s="19"/>
      <c r="L1839" s="19"/>
      <c r="M1839" s="19"/>
      <c r="N1839" s="19"/>
      <c r="O1839" s="19"/>
      <c r="P1839" s="19"/>
      <c r="Q1839" s="19"/>
      <c r="R1839" s="19"/>
      <c r="S1839" s="19"/>
      <c r="T1839" s="34" t="str">
        <f aca="false">IF($R1839="","",IFERROR(INDEX(DriverCategory,MATCH($R1839,DriverList,0)),"BAU"))</f>
        <v/>
      </c>
      <c r="U1839" s="34" t="str">
        <f aca="false">IF($R1839="","",IFERROR(INDEX(DriverRank,MATCH($R1839,DriverList,0)),99))</f>
        <v/>
      </c>
      <c r="V1839" s="35" t="n">
        <f aca="false">IF($H1839="",0,IFERROR(INDEX(LevelBasic,MATCH($H1839,LevelList,0))+INDEX(LevelHousing,MATCH($H1839,LevelList,0))+INDEX(LevelTransport,MATCH($H1839,LevelList,0))+INDEX(LevelBasic,MATCH($H1839,LevelList,0))*INDEX(LevelBonus,MATCH($H1839,LevelList,0))+(INDEX(LevelBasic,MATCH($H1839,LevelList,0))+INDEX(LevelHousing,MATCH($H1839,LevelList,0)))*GosiSaudi,0))</f>
        <v>0</v>
      </c>
      <c r="W1839" s="35" t="n">
        <f aca="false">IFERROR(INDEX(LevelOneOff,MATCH($H1839,LevelList,0)),0)</f>
        <v>0</v>
      </c>
      <c r="X1839" s="35" t="str">
        <f aca="false">IF($G1839="","",$V1839*N($L1839))</f>
        <v/>
      </c>
      <c r="Y1839" s="35" t="str">
        <f aca="false">IF($G1839="","",$V1839*(N($M1839)*1+N($N1839)*0.75+N($O1839)*0.5+N($P1839)*0.25)+$W1839*N($L1839))</f>
        <v/>
      </c>
      <c r="Z1839" s="35" t="str">
        <f aca="false">IF($G1839="","",$U1839*1000000+ROW())</f>
        <v/>
      </c>
      <c r="AA1839" s="36" t="str">
        <f aca="false">IF($G1839="","",MID(IF($C1839="",", no division","")&amp;IF($E1839="",", no unit","")&amp;IF($H1839="",", no career level","")&amp;IF(N($L1839)&lt;=0,", no quarter split","")&amp;IF($R1839="",", no driver","")&amp;IF(AND($H1839&lt;&gt;"",COUNTIF(CareerLevels,$H1839)=0),", a career level that is not on the ladder","")&amp;IF(AND($R1839&lt;&gt;"",COUNTIF(DriverList,$R1839)=0),", a driver that is not on the list","")&amp;IF(ABS(N($L1839)-(N($M1839)+N($N1839)+N($O1839)+N($P1839)))&gt;0.001,", a total that does not match its quarters",""),3,300))</f>
        <v/>
      </c>
    </row>
    <row r="1840" customFormat="false" ht="15" hidden="false" customHeight="false" outlineLevel="0" collapsed="false">
      <c r="A1840" s="33" t="str">
        <f aca="false">IF($G1840="","","Risk Group")</f>
        <v/>
      </c>
      <c r="B1840" s="19"/>
      <c r="C1840" s="19"/>
      <c r="D1840" s="19"/>
      <c r="E1840" s="19"/>
      <c r="F1840" s="19"/>
      <c r="G1840" s="19"/>
      <c r="H1840" s="19"/>
      <c r="I1840" s="19"/>
      <c r="J1840" s="19"/>
      <c r="K1840" s="19"/>
      <c r="L1840" s="19"/>
      <c r="M1840" s="19"/>
      <c r="N1840" s="19"/>
      <c r="O1840" s="19"/>
      <c r="P1840" s="19"/>
      <c r="Q1840" s="19"/>
      <c r="R1840" s="19"/>
      <c r="S1840" s="19"/>
      <c r="T1840" s="34" t="str">
        <f aca="false">IF($R1840="","",IFERROR(INDEX(DriverCategory,MATCH($R1840,DriverList,0)),"BAU"))</f>
        <v/>
      </c>
      <c r="U1840" s="34" t="str">
        <f aca="false">IF($R1840="","",IFERROR(INDEX(DriverRank,MATCH($R1840,DriverList,0)),99))</f>
        <v/>
      </c>
      <c r="V1840" s="35" t="n">
        <f aca="false">IF($H1840="",0,IFERROR(INDEX(LevelBasic,MATCH($H1840,LevelList,0))+INDEX(LevelHousing,MATCH($H1840,LevelList,0))+INDEX(LevelTransport,MATCH($H1840,LevelList,0))+INDEX(LevelBasic,MATCH($H1840,LevelList,0))*INDEX(LevelBonus,MATCH($H1840,LevelList,0))+(INDEX(LevelBasic,MATCH($H1840,LevelList,0))+INDEX(LevelHousing,MATCH($H1840,LevelList,0)))*GosiSaudi,0))</f>
        <v>0</v>
      </c>
      <c r="W1840" s="35" t="n">
        <f aca="false">IFERROR(INDEX(LevelOneOff,MATCH($H1840,LevelList,0)),0)</f>
        <v>0</v>
      </c>
      <c r="X1840" s="35" t="str">
        <f aca="false">IF($G1840="","",$V1840*N($L1840))</f>
        <v/>
      </c>
      <c r="Y1840" s="35" t="str">
        <f aca="false">IF($G1840="","",$V1840*(N($M1840)*1+N($N1840)*0.75+N($O1840)*0.5+N($P1840)*0.25)+$W1840*N($L1840))</f>
        <v/>
      </c>
      <c r="Z1840" s="35" t="str">
        <f aca="false">IF($G1840="","",$U1840*1000000+ROW())</f>
        <v/>
      </c>
      <c r="AA1840" s="36" t="str">
        <f aca="false">IF($G1840="","",MID(IF($C1840="",", no division","")&amp;IF($E1840="",", no unit","")&amp;IF($H1840="",", no career level","")&amp;IF(N($L1840)&lt;=0,", no quarter split","")&amp;IF($R1840="",", no driver","")&amp;IF(AND($H1840&lt;&gt;"",COUNTIF(CareerLevels,$H1840)=0),", a career level that is not on the ladder","")&amp;IF(AND($R1840&lt;&gt;"",COUNTIF(DriverList,$R1840)=0),", a driver that is not on the list","")&amp;IF(ABS(N($L1840)-(N($M1840)+N($N1840)+N($O1840)+N($P1840)))&gt;0.001,", a total that does not match its quarters",""),3,300))</f>
        <v/>
      </c>
    </row>
    <row r="1841" customFormat="false" ht="15" hidden="false" customHeight="false" outlineLevel="0" collapsed="false">
      <c r="A1841" s="33" t="str">
        <f aca="false">IF($G1841="","","Risk Group")</f>
        <v/>
      </c>
      <c r="B1841" s="19"/>
      <c r="C1841" s="19"/>
      <c r="D1841" s="19"/>
      <c r="E1841" s="19"/>
      <c r="F1841" s="19"/>
      <c r="G1841" s="19"/>
      <c r="H1841" s="19"/>
      <c r="I1841" s="19"/>
      <c r="J1841" s="19"/>
      <c r="K1841" s="19"/>
      <c r="L1841" s="19"/>
      <c r="M1841" s="19"/>
      <c r="N1841" s="19"/>
      <c r="O1841" s="19"/>
      <c r="P1841" s="19"/>
      <c r="Q1841" s="19"/>
      <c r="R1841" s="19"/>
      <c r="S1841" s="19"/>
      <c r="T1841" s="34" t="str">
        <f aca="false">IF($R1841="","",IFERROR(INDEX(DriverCategory,MATCH($R1841,DriverList,0)),"BAU"))</f>
        <v/>
      </c>
      <c r="U1841" s="34" t="str">
        <f aca="false">IF($R1841="","",IFERROR(INDEX(DriverRank,MATCH($R1841,DriverList,0)),99))</f>
        <v/>
      </c>
      <c r="V1841" s="35" t="n">
        <f aca="false">IF($H1841="",0,IFERROR(INDEX(LevelBasic,MATCH($H1841,LevelList,0))+INDEX(LevelHousing,MATCH($H1841,LevelList,0))+INDEX(LevelTransport,MATCH($H1841,LevelList,0))+INDEX(LevelBasic,MATCH($H1841,LevelList,0))*INDEX(LevelBonus,MATCH($H1841,LevelList,0))+(INDEX(LevelBasic,MATCH($H1841,LevelList,0))+INDEX(LevelHousing,MATCH($H1841,LevelList,0)))*GosiSaudi,0))</f>
        <v>0</v>
      </c>
      <c r="W1841" s="35" t="n">
        <f aca="false">IFERROR(INDEX(LevelOneOff,MATCH($H1841,LevelList,0)),0)</f>
        <v>0</v>
      </c>
      <c r="X1841" s="35" t="str">
        <f aca="false">IF($G1841="","",$V1841*N($L1841))</f>
        <v/>
      </c>
      <c r="Y1841" s="35" t="str">
        <f aca="false">IF($G1841="","",$V1841*(N($M1841)*1+N($N1841)*0.75+N($O1841)*0.5+N($P1841)*0.25)+$W1841*N($L1841))</f>
        <v/>
      </c>
      <c r="Z1841" s="35" t="str">
        <f aca="false">IF($G1841="","",$U1841*1000000+ROW())</f>
        <v/>
      </c>
      <c r="AA1841" s="36" t="str">
        <f aca="false">IF($G1841="","",MID(IF($C1841="",", no division","")&amp;IF($E1841="",", no unit","")&amp;IF($H1841="",", no career level","")&amp;IF(N($L1841)&lt;=0,", no quarter split","")&amp;IF($R1841="",", no driver","")&amp;IF(AND($H1841&lt;&gt;"",COUNTIF(CareerLevels,$H1841)=0),", a career level that is not on the ladder","")&amp;IF(AND($R1841&lt;&gt;"",COUNTIF(DriverList,$R1841)=0),", a driver that is not on the list","")&amp;IF(ABS(N($L1841)-(N($M1841)+N($N1841)+N($O1841)+N($P1841)))&gt;0.001,", a total that does not match its quarters",""),3,300))</f>
        <v/>
      </c>
    </row>
    <row r="1842" customFormat="false" ht="15" hidden="false" customHeight="false" outlineLevel="0" collapsed="false">
      <c r="A1842" s="33" t="str">
        <f aca="false">IF($G1842="","","Risk Group")</f>
        <v/>
      </c>
      <c r="B1842" s="19"/>
      <c r="C1842" s="19"/>
      <c r="D1842" s="19"/>
      <c r="E1842" s="19"/>
      <c r="F1842" s="19"/>
      <c r="G1842" s="19"/>
      <c r="H1842" s="19"/>
      <c r="I1842" s="19"/>
      <c r="J1842" s="19"/>
      <c r="K1842" s="19"/>
      <c r="L1842" s="19"/>
      <c r="M1842" s="19"/>
      <c r="N1842" s="19"/>
      <c r="O1842" s="19"/>
      <c r="P1842" s="19"/>
      <c r="Q1842" s="19"/>
      <c r="R1842" s="19"/>
      <c r="S1842" s="19"/>
      <c r="T1842" s="34" t="str">
        <f aca="false">IF($R1842="","",IFERROR(INDEX(DriverCategory,MATCH($R1842,DriverList,0)),"BAU"))</f>
        <v/>
      </c>
      <c r="U1842" s="34" t="str">
        <f aca="false">IF($R1842="","",IFERROR(INDEX(DriverRank,MATCH($R1842,DriverList,0)),99))</f>
        <v/>
      </c>
      <c r="V1842" s="35" t="n">
        <f aca="false">IF($H1842="",0,IFERROR(INDEX(LevelBasic,MATCH($H1842,LevelList,0))+INDEX(LevelHousing,MATCH($H1842,LevelList,0))+INDEX(LevelTransport,MATCH($H1842,LevelList,0))+INDEX(LevelBasic,MATCH($H1842,LevelList,0))*INDEX(LevelBonus,MATCH($H1842,LevelList,0))+(INDEX(LevelBasic,MATCH($H1842,LevelList,0))+INDEX(LevelHousing,MATCH($H1842,LevelList,0)))*GosiSaudi,0))</f>
        <v>0</v>
      </c>
      <c r="W1842" s="35" t="n">
        <f aca="false">IFERROR(INDEX(LevelOneOff,MATCH($H1842,LevelList,0)),0)</f>
        <v>0</v>
      </c>
      <c r="X1842" s="35" t="str">
        <f aca="false">IF($G1842="","",$V1842*N($L1842))</f>
        <v/>
      </c>
      <c r="Y1842" s="35" t="str">
        <f aca="false">IF($G1842="","",$V1842*(N($M1842)*1+N($N1842)*0.75+N($O1842)*0.5+N($P1842)*0.25)+$W1842*N($L1842))</f>
        <v/>
      </c>
      <c r="Z1842" s="35" t="str">
        <f aca="false">IF($G1842="","",$U1842*1000000+ROW())</f>
        <v/>
      </c>
      <c r="AA1842" s="36" t="str">
        <f aca="false">IF($G1842="","",MID(IF($C1842="",", no division","")&amp;IF($E1842="",", no unit","")&amp;IF($H1842="",", no career level","")&amp;IF(N($L1842)&lt;=0,", no quarter split","")&amp;IF($R1842="",", no driver","")&amp;IF(AND($H1842&lt;&gt;"",COUNTIF(CareerLevels,$H1842)=0),", a career level that is not on the ladder","")&amp;IF(AND($R1842&lt;&gt;"",COUNTIF(DriverList,$R1842)=0),", a driver that is not on the list","")&amp;IF(ABS(N($L1842)-(N($M1842)+N($N1842)+N($O1842)+N($P1842)))&gt;0.001,", a total that does not match its quarters",""),3,300))</f>
        <v/>
      </c>
    </row>
    <row r="1843" customFormat="false" ht="15" hidden="false" customHeight="false" outlineLevel="0" collapsed="false">
      <c r="A1843" s="33" t="str">
        <f aca="false">IF($G1843="","","Risk Group")</f>
        <v/>
      </c>
      <c r="B1843" s="19"/>
      <c r="C1843" s="19"/>
      <c r="D1843" s="19"/>
      <c r="E1843" s="19"/>
      <c r="F1843" s="19"/>
      <c r="G1843" s="19"/>
      <c r="H1843" s="19"/>
      <c r="I1843" s="19"/>
      <c r="J1843" s="19"/>
      <c r="K1843" s="19"/>
      <c r="L1843" s="19"/>
      <c r="M1843" s="19"/>
      <c r="N1843" s="19"/>
      <c r="O1843" s="19"/>
      <c r="P1843" s="19"/>
      <c r="Q1843" s="19"/>
      <c r="R1843" s="19"/>
      <c r="S1843" s="19"/>
      <c r="T1843" s="34" t="str">
        <f aca="false">IF($R1843="","",IFERROR(INDEX(DriverCategory,MATCH($R1843,DriverList,0)),"BAU"))</f>
        <v/>
      </c>
      <c r="U1843" s="34" t="str">
        <f aca="false">IF($R1843="","",IFERROR(INDEX(DriverRank,MATCH($R1843,DriverList,0)),99))</f>
        <v/>
      </c>
      <c r="V1843" s="35" t="n">
        <f aca="false">IF($H1843="",0,IFERROR(INDEX(LevelBasic,MATCH($H1843,LevelList,0))+INDEX(LevelHousing,MATCH($H1843,LevelList,0))+INDEX(LevelTransport,MATCH($H1843,LevelList,0))+INDEX(LevelBasic,MATCH($H1843,LevelList,0))*INDEX(LevelBonus,MATCH($H1843,LevelList,0))+(INDEX(LevelBasic,MATCH($H1843,LevelList,0))+INDEX(LevelHousing,MATCH($H1843,LevelList,0)))*GosiSaudi,0))</f>
        <v>0</v>
      </c>
      <c r="W1843" s="35" t="n">
        <f aca="false">IFERROR(INDEX(LevelOneOff,MATCH($H1843,LevelList,0)),0)</f>
        <v>0</v>
      </c>
      <c r="X1843" s="35" t="str">
        <f aca="false">IF($G1843="","",$V1843*N($L1843))</f>
        <v/>
      </c>
      <c r="Y1843" s="35" t="str">
        <f aca="false">IF($G1843="","",$V1843*(N($M1843)*1+N($N1843)*0.75+N($O1843)*0.5+N($P1843)*0.25)+$W1843*N($L1843))</f>
        <v/>
      </c>
      <c r="Z1843" s="35" t="str">
        <f aca="false">IF($G1843="","",$U1843*1000000+ROW())</f>
        <v/>
      </c>
      <c r="AA1843" s="36" t="str">
        <f aca="false">IF($G1843="","",MID(IF($C1843="",", no division","")&amp;IF($E1843="",", no unit","")&amp;IF($H1843="",", no career level","")&amp;IF(N($L1843)&lt;=0,", no quarter split","")&amp;IF($R1843="",", no driver","")&amp;IF(AND($H1843&lt;&gt;"",COUNTIF(CareerLevels,$H1843)=0),", a career level that is not on the ladder","")&amp;IF(AND($R1843&lt;&gt;"",COUNTIF(DriverList,$R1843)=0),", a driver that is not on the list","")&amp;IF(ABS(N($L1843)-(N($M1843)+N($N1843)+N($O1843)+N($P1843)))&gt;0.001,", a total that does not match its quarters",""),3,300))</f>
        <v/>
      </c>
    </row>
    <row r="1844" customFormat="false" ht="15" hidden="false" customHeight="false" outlineLevel="0" collapsed="false">
      <c r="A1844" s="33" t="str">
        <f aca="false">IF($G1844="","","Risk Group")</f>
        <v/>
      </c>
      <c r="B1844" s="19"/>
      <c r="C1844" s="19"/>
      <c r="D1844" s="19"/>
      <c r="E1844" s="19"/>
      <c r="F1844" s="19"/>
      <c r="G1844" s="19"/>
      <c r="H1844" s="19"/>
      <c r="I1844" s="19"/>
      <c r="J1844" s="19"/>
      <c r="K1844" s="19"/>
      <c r="L1844" s="19"/>
      <c r="M1844" s="19"/>
      <c r="N1844" s="19"/>
      <c r="O1844" s="19"/>
      <c r="P1844" s="19"/>
      <c r="Q1844" s="19"/>
      <c r="R1844" s="19"/>
      <c r="S1844" s="19"/>
      <c r="T1844" s="34" t="str">
        <f aca="false">IF($R1844="","",IFERROR(INDEX(DriverCategory,MATCH($R1844,DriverList,0)),"BAU"))</f>
        <v/>
      </c>
      <c r="U1844" s="34" t="str">
        <f aca="false">IF($R1844="","",IFERROR(INDEX(DriverRank,MATCH($R1844,DriverList,0)),99))</f>
        <v/>
      </c>
      <c r="V1844" s="35" t="n">
        <f aca="false">IF($H1844="",0,IFERROR(INDEX(LevelBasic,MATCH($H1844,LevelList,0))+INDEX(LevelHousing,MATCH($H1844,LevelList,0))+INDEX(LevelTransport,MATCH($H1844,LevelList,0))+INDEX(LevelBasic,MATCH($H1844,LevelList,0))*INDEX(LevelBonus,MATCH($H1844,LevelList,0))+(INDEX(LevelBasic,MATCH($H1844,LevelList,0))+INDEX(LevelHousing,MATCH($H1844,LevelList,0)))*GosiSaudi,0))</f>
        <v>0</v>
      </c>
      <c r="W1844" s="35" t="n">
        <f aca="false">IFERROR(INDEX(LevelOneOff,MATCH($H1844,LevelList,0)),0)</f>
        <v>0</v>
      </c>
      <c r="X1844" s="35" t="str">
        <f aca="false">IF($G1844="","",$V1844*N($L1844))</f>
        <v/>
      </c>
      <c r="Y1844" s="35" t="str">
        <f aca="false">IF($G1844="","",$V1844*(N($M1844)*1+N($N1844)*0.75+N($O1844)*0.5+N($P1844)*0.25)+$W1844*N($L1844))</f>
        <v/>
      </c>
      <c r="Z1844" s="35" t="str">
        <f aca="false">IF($G1844="","",$U1844*1000000+ROW())</f>
        <v/>
      </c>
      <c r="AA1844" s="36" t="str">
        <f aca="false">IF($G1844="","",MID(IF($C1844="",", no division","")&amp;IF($E1844="",", no unit","")&amp;IF($H1844="",", no career level","")&amp;IF(N($L1844)&lt;=0,", no quarter split","")&amp;IF($R1844="",", no driver","")&amp;IF(AND($H1844&lt;&gt;"",COUNTIF(CareerLevels,$H1844)=0),", a career level that is not on the ladder","")&amp;IF(AND($R1844&lt;&gt;"",COUNTIF(DriverList,$R1844)=0),", a driver that is not on the list","")&amp;IF(ABS(N($L1844)-(N($M1844)+N($N1844)+N($O1844)+N($P1844)))&gt;0.001,", a total that does not match its quarters",""),3,300))</f>
        <v/>
      </c>
    </row>
    <row r="1845" customFormat="false" ht="15" hidden="false" customHeight="false" outlineLevel="0" collapsed="false">
      <c r="A1845" s="33" t="str">
        <f aca="false">IF($G1845="","","Risk Group")</f>
        <v/>
      </c>
      <c r="B1845" s="19"/>
      <c r="C1845" s="19"/>
      <c r="D1845" s="19"/>
      <c r="E1845" s="19"/>
      <c r="F1845" s="19"/>
      <c r="G1845" s="19"/>
      <c r="H1845" s="19"/>
      <c r="I1845" s="19"/>
      <c r="J1845" s="19"/>
      <c r="K1845" s="19"/>
      <c r="L1845" s="19"/>
      <c r="M1845" s="19"/>
      <c r="N1845" s="19"/>
      <c r="O1845" s="19"/>
      <c r="P1845" s="19"/>
      <c r="Q1845" s="19"/>
      <c r="R1845" s="19"/>
      <c r="S1845" s="19"/>
      <c r="T1845" s="34" t="str">
        <f aca="false">IF($R1845="","",IFERROR(INDEX(DriverCategory,MATCH($R1845,DriverList,0)),"BAU"))</f>
        <v/>
      </c>
      <c r="U1845" s="34" t="str">
        <f aca="false">IF($R1845="","",IFERROR(INDEX(DriverRank,MATCH($R1845,DriverList,0)),99))</f>
        <v/>
      </c>
      <c r="V1845" s="35" t="n">
        <f aca="false">IF($H1845="",0,IFERROR(INDEX(LevelBasic,MATCH($H1845,LevelList,0))+INDEX(LevelHousing,MATCH($H1845,LevelList,0))+INDEX(LevelTransport,MATCH($H1845,LevelList,0))+INDEX(LevelBasic,MATCH($H1845,LevelList,0))*INDEX(LevelBonus,MATCH($H1845,LevelList,0))+(INDEX(LevelBasic,MATCH($H1845,LevelList,0))+INDEX(LevelHousing,MATCH($H1845,LevelList,0)))*GosiSaudi,0))</f>
        <v>0</v>
      </c>
      <c r="W1845" s="35" t="n">
        <f aca="false">IFERROR(INDEX(LevelOneOff,MATCH($H1845,LevelList,0)),0)</f>
        <v>0</v>
      </c>
      <c r="X1845" s="35" t="str">
        <f aca="false">IF($G1845="","",$V1845*N($L1845))</f>
        <v/>
      </c>
      <c r="Y1845" s="35" t="str">
        <f aca="false">IF($G1845="","",$V1845*(N($M1845)*1+N($N1845)*0.75+N($O1845)*0.5+N($P1845)*0.25)+$W1845*N($L1845))</f>
        <v/>
      </c>
      <c r="Z1845" s="35" t="str">
        <f aca="false">IF($G1845="","",$U1845*1000000+ROW())</f>
        <v/>
      </c>
      <c r="AA1845" s="36" t="str">
        <f aca="false">IF($G1845="","",MID(IF($C1845="",", no division","")&amp;IF($E1845="",", no unit","")&amp;IF($H1845="",", no career level","")&amp;IF(N($L1845)&lt;=0,", no quarter split","")&amp;IF($R1845="",", no driver","")&amp;IF(AND($H1845&lt;&gt;"",COUNTIF(CareerLevels,$H1845)=0),", a career level that is not on the ladder","")&amp;IF(AND($R1845&lt;&gt;"",COUNTIF(DriverList,$R1845)=0),", a driver that is not on the list","")&amp;IF(ABS(N($L1845)-(N($M1845)+N($N1845)+N($O1845)+N($P1845)))&gt;0.001,", a total that does not match its quarters",""),3,300))</f>
        <v/>
      </c>
    </row>
    <row r="1846" customFormat="false" ht="15" hidden="false" customHeight="false" outlineLevel="0" collapsed="false">
      <c r="A1846" s="33" t="str">
        <f aca="false">IF($G1846="","","Risk Group")</f>
        <v/>
      </c>
      <c r="B1846" s="19"/>
      <c r="C1846" s="19"/>
      <c r="D1846" s="19"/>
      <c r="E1846" s="19"/>
      <c r="F1846" s="19"/>
      <c r="G1846" s="19"/>
      <c r="H1846" s="19"/>
      <c r="I1846" s="19"/>
      <c r="J1846" s="19"/>
      <c r="K1846" s="19"/>
      <c r="L1846" s="19"/>
      <c r="M1846" s="19"/>
      <c r="N1846" s="19"/>
      <c r="O1846" s="19"/>
      <c r="P1846" s="19"/>
      <c r="Q1846" s="19"/>
      <c r="R1846" s="19"/>
      <c r="S1846" s="19"/>
      <c r="T1846" s="34" t="str">
        <f aca="false">IF($R1846="","",IFERROR(INDEX(DriverCategory,MATCH($R1846,DriverList,0)),"BAU"))</f>
        <v/>
      </c>
      <c r="U1846" s="34" t="str">
        <f aca="false">IF($R1846="","",IFERROR(INDEX(DriverRank,MATCH($R1846,DriverList,0)),99))</f>
        <v/>
      </c>
      <c r="V1846" s="35" t="n">
        <f aca="false">IF($H1846="",0,IFERROR(INDEX(LevelBasic,MATCH($H1846,LevelList,0))+INDEX(LevelHousing,MATCH($H1846,LevelList,0))+INDEX(LevelTransport,MATCH($H1846,LevelList,0))+INDEX(LevelBasic,MATCH($H1846,LevelList,0))*INDEX(LevelBonus,MATCH($H1846,LevelList,0))+(INDEX(LevelBasic,MATCH($H1846,LevelList,0))+INDEX(LevelHousing,MATCH($H1846,LevelList,0)))*GosiSaudi,0))</f>
        <v>0</v>
      </c>
      <c r="W1846" s="35" t="n">
        <f aca="false">IFERROR(INDEX(LevelOneOff,MATCH($H1846,LevelList,0)),0)</f>
        <v>0</v>
      </c>
      <c r="X1846" s="35" t="str">
        <f aca="false">IF($G1846="","",$V1846*N($L1846))</f>
        <v/>
      </c>
      <c r="Y1846" s="35" t="str">
        <f aca="false">IF($G1846="","",$V1846*(N($M1846)*1+N($N1846)*0.75+N($O1846)*0.5+N($P1846)*0.25)+$W1846*N($L1846))</f>
        <v/>
      </c>
      <c r="Z1846" s="35" t="str">
        <f aca="false">IF($G1846="","",$U1846*1000000+ROW())</f>
        <v/>
      </c>
      <c r="AA1846" s="36" t="str">
        <f aca="false">IF($G1846="","",MID(IF($C1846="",", no division","")&amp;IF($E1846="",", no unit","")&amp;IF($H1846="",", no career level","")&amp;IF(N($L1846)&lt;=0,", no quarter split","")&amp;IF($R1846="",", no driver","")&amp;IF(AND($H1846&lt;&gt;"",COUNTIF(CareerLevels,$H1846)=0),", a career level that is not on the ladder","")&amp;IF(AND($R1846&lt;&gt;"",COUNTIF(DriverList,$R1846)=0),", a driver that is not on the list","")&amp;IF(ABS(N($L1846)-(N($M1846)+N($N1846)+N($O1846)+N($P1846)))&gt;0.001,", a total that does not match its quarters",""),3,300))</f>
        <v/>
      </c>
    </row>
    <row r="1847" customFormat="false" ht="15" hidden="false" customHeight="false" outlineLevel="0" collapsed="false">
      <c r="A1847" s="33" t="str">
        <f aca="false">IF($G1847="","","Risk Group")</f>
        <v/>
      </c>
      <c r="B1847" s="19"/>
      <c r="C1847" s="19"/>
      <c r="D1847" s="19"/>
      <c r="E1847" s="19"/>
      <c r="F1847" s="19"/>
      <c r="G1847" s="19"/>
      <c r="H1847" s="19"/>
      <c r="I1847" s="19"/>
      <c r="J1847" s="19"/>
      <c r="K1847" s="19"/>
      <c r="L1847" s="19"/>
      <c r="M1847" s="19"/>
      <c r="N1847" s="19"/>
      <c r="O1847" s="19"/>
      <c r="P1847" s="19"/>
      <c r="Q1847" s="19"/>
      <c r="R1847" s="19"/>
      <c r="S1847" s="19"/>
      <c r="T1847" s="34" t="str">
        <f aca="false">IF($R1847="","",IFERROR(INDEX(DriverCategory,MATCH($R1847,DriverList,0)),"BAU"))</f>
        <v/>
      </c>
      <c r="U1847" s="34" t="str">
        <f aca="false">IF($R1847="","",IFERROR(INDEX(DriverRank,MATCH($R1847,DriverList,0)),99))</f>
        <v/>
      </c>
      <c r="V1847" s="35" t="n">
        <f aca="false">IF($H1847="",0,IFERROR(INDEX(LevelBasic,MATCH($H1847,LevelList,0))+INDEX(LevelHousing,MATCH($H1847,LevelList,0))+INDEX(LevelTransport,MATCH($H1847,LevelList,0))+INDEX(LevelBasic,MATCH($H1847,LevelList,0))*INDEX(LevelBonus,MATCH($H1847,LevelList,0))+(INDEX(LevelBasic,MATCH($H1847,LevelList,0))+INDEX(LevelHousing,MATCH($H1847,LevelList,0)))*GosiSaudi,0))</f>
        <v>0</v>
      </c>
      <c r="W1847" s="35" t="n">
        <f aca="false">IFERROR(INDEX(LevelOneOff,MATCH($H1847,LevelList,0)),0)</f>
        <v>0</v>
      </c>
      <c r="X1847" s="35" t="str">
        <f aca="false">IF($G1847="","",$V1847*N($L1847))</f>
        <v/>
      </c>
      <c r="Y1847" s="35" t="str">
        <f aca="false">IF($G1847="","",$V1847*(N($M1847)*1+N($N1847)*0.75+N($O1847)*0.5+N($P1847)*0.25)+$W1847*N($L1847))</f>
        <v/>
      </c>
      <c r="Z1847" s="35" t="str">
        <f aca="false">IF($G1847="","",$U1847*1000000+ROW())</f>
        <v/>
      </c>
      <c r="AA1847" s="36" t="str">
        <f aca="false">IF($G1847="","",MID(IF($C1847="",", no division","")&amp;IF($E1847="",", no unit","")&amp;IF($H1847="",", no career level","")&amp;IF(N($L1847)&lt;=0,", no quarter split","")&amp;IF($R1847="",", no driver","")&amp;IF(AND($H1847&lt;&gt;"",COUNTIF(CareerLevels,$H1847)=0),", a career level that is not on the ladder","")&amp;IF(AND($R1847&lt;&gt;"",COUNTIF(DriverList,$R1847)=0),", a driver that is not on the list","")&amp;IF(ABS(N($L1847)-(N($M1847)+N($N1847)+N($O1847)+N($P1847)))&gt;0.001,", a total that does not match its quarters",""),3,300))</f>
        <v/>
      </c>
    </row>
    <row r="1848" customFormat="false" ht="15" hidden="false" customHeight="false" outlineLevel="0" collapsed="false">
      <c r="A1848" s="33" t="str">
        <f aca="false">IF($G1848="","","Risk Group")</f>
        <v/>
      </c>
      <c r="B1848" s="19"/>
      <c r="C1848" s="19"/>
      <c r="D1848" s="19"/>
      <c r="E1848" s="19"/>
      <c r="F1848" s="19"/>
      <c r="G1848" s="19"/>
      <c r="H1848" s="19"/>
      <c r="I1848" s="19"/>
      <c r="J1848" s="19"/>
      <c r="K1848" s="19"/>
      <c r="L1848" s="19"/>
      <c r="M1848" s="19"/>
      <c r="N1848" s="19"/>
      <c r="O1848" s="19"/>
      <c r="P1848" s="19"/>
      <c r="Q1848" s="19"/>
      <c r="R1848" s="19"/>
      <c r="S1848" s="19"/>
      <c r="T1848" s="34" t="str">
        <f aca="false">IF($R1848="","",IFERROR(INDEX(DriverCategory,MATCH($R1848,DriverList,0)),"BAU"))</f>
        <v/>
      </c>
      <c r="U1848" s="34" t="str">
        <f aca="false">IF($R1848="","",IFERROR(INDEX(DriverRank,MATCH($R1848,DriverList,0)),99))</f>
        <v/>
      </c>
      <c r="V1848" s="35" t="n">
        <f aca="false">IF($H1848="",0,IFERROR(INDEX(LevelBasic,MATCH($H1848,LevelList,0))+INDEX(LevelHousing,MATCH($H1848,LevelList,0))+INDEX(LevelTransport,MATCH($H1848,LevelList,0))+INDEX(LevelBasic,MATCH($H1848,LevelList,0))*INDEX(LevelBonus,MATCH($H1848,LevelList,0))+(INDEX(LevelBasic,MATCH($H1848,LevelList,0))+INDEX(LevelHousing,MATCH($H1848,LevelList,0)))*GosiSaudi,0))</f>
        <v>0</v>
      </c>
      <c r="W1848" s="35" t="n">
        <f aca="false">IFERROR(INDEX(LevelOneOff,MATCH($H1848,LevelList,0)),0)</f>
        <v>0</v>
      </c>
      <c r="X1848" s="35" t="str">
        <f aca="false">IF($G1848="","",$V1848*N($L1848))</f>
        <v/>
      </c>
      <c r="Y1848" s="35" t="str">
        <f aca="false">IF($G1848="","",$V1848*(N($M1848)*1+N($N1848)*0.75+N($O1848)*0.5+N($P1848)*0.25)+$W1848*N($L1848))</f>
        <v/>
      </c>
      <c r="Z1848" s="35" t="str">
        <f aca="false">IF($G1848="","",$U1848*1000000+ROW())</f>
        <v/>
      </c>
      <c r="AA1848" s="36" t="str">
        <f aca="false">IF($G1848="","",MID(IF($C1848="",", no division","")&amp;IF($E1848="",", no unit","")&amp;IF($H1848="",", no career level","")&amp;IF(N($L1848)&lt;=0,", no quarter split","")&amp;IF($R1848="",", no driver","")&amp;IF(AND($H1848&lt;&gt;"",COUNTIF(CareerLevels,$H1848)=0),", a career level that is not on the ladder","")&amp;IF(AND($R1848&lt;&gt;"",COUNTIF(DriverList,$R1848)=0),", a driver that is not on the list","")&amp;IF(ABS(N($L1848)-(N($M1848)+N($N1848)+N($O1848)+N($P1848)))&gt;0.001,", a total that does not match its quarters",""),3,300))</f>
        <v/>
      </c>
    </row>
    <row r="1849" customFormat="false" ht="15" hidden="false" customHeight="false" outlineLevel="0" collapsed="false">
      <c r="A1849" s="33" t="str">
        <f aca="false">IF($G1849="","","Risk Group")</f>
        <v/>
      </c>
      <c r="B1849" s="19"/>
      <c r="C1849" s="19"/>
      <c r="D1849" s="19"/>
      <c r="E1849" s="19"/>
      <c r="F1849" s="19"/>
      <c r="G1849" s="19"/>
      <c r="H1849" s="19"/>
      <c r="I1849" s="19"/>
      <c r="J1849" s="19"/>
      <c r="K1849" s="19"/>
      <c r="L1849" s="19"/>
      <c r="M1849" s="19"/>
      <c r="N1849" s="19"/>
      <c r="O1849" s="19"/>
      <c r="P1849" s="19"/>
      <c r="Q1849" s="19"/>
      <c r="R1849" s="19"/>
      <c r="S1849" s="19"/>
      <c r="T1849" s="34" t="str">
        <f aca="false">IF($R1849="","",IFERROR(INDEX(DriverCategory,MATCH($R1849,DriverList,0)),"BAU"))</f>
        <v/>
      </c>
      <c r="U1849" s="34" t="str">
        <f aca="false">IF($R1849="","",IFERROR(INDEX(DriverRank,MATCH($R1849,DriverList,0)),99))</f>
        <v/>
      </c>
      <c r="V1849" s="35" t="n">
        <f aca="false">IF($H1849="",0,IFERROR(INDEX(LevelBasic,MATCH($H1849,LevelList,0))+INDEX(LevelHousing,MATCH($H1849,LevelList,0))+INDEX(LevelTransport,MATCH($H1849,LevelList,0))+INDEX(LevelBasic,MATCH($H1849,LevelList,0))*INDEX(LevelBonus,MATCH($H1849,LevelList,0))+(INDEX(LevelBasic,MATCH($H1849,LevelList,0))+INDEX(LevelHousing,MATCH($H1849,LevelList,0)))*GosiSaudi,0))</f>
        <v>0</v>
      </c>
      <c r="W1849" s="35" t="n">
        <f aca="false">IFERROR(INDEX(LevelOneOff,MATCH($H1849,LevelList,0)),0)</f>
        <v>0</v>
      </c>
      <c r="X1849" s="35" t="str">
        <f aca="false">IF($G1849="","",$V1849*N($L1849))</f>
        <v/>
      </c>
      <c r="Y1849" s="35" t="str">
        <f aca="false">IF($G1849="","",$V1849*(N($M1849)*1+N($N1849)*0.75+N($O1849)*0.5+N($P1849)*0.25)+$W1849*N($L1849))</f>
        <v/>
      </c>
      <c r="Z1849" s="35" t="str">
        <f aca="false">IF($G1849="","",$U1849*1000000+ROW())</f>
        <v/>
      </c>
      <c r="AA1849" s="36" t="str">
        <f aca="false">IF($G1849="","",MID(IF($C1849="",", no division","")&amp;IF($E1849="",", no unit","")&amp;IF($H1849="",", no career level","")&amp;IF(N($L1849)&lt;=0,", no quarter split","")&amp;IF($R1849="",", no driver","")&amp;IF(AND($H1849&lt;&gt;"",COUNTIF(CareerLevels,$H1849)=0),", a career level that is not on the ladder","")&amp;IF(AND($R1849&lt;&gt;"",COUNTIF(DriverList,$R1849)=0),", a driver that is not on the list","")&amp;IF(ABS(N($L1849)-(N($M1849)+N($N1849)+N($O1849)+N($P1849)))&gt;0.001,", a total that does not match its quarters",""),3,300))</f>
        <v/>
      </c>
    </row>
    <row r="1850" customFormat="false" ht="15" hidden="false" customHeight="false" outlineLevel="0" collapsed="false">
      <c r="A1850" s="33" t="str">
        <f aca="false">IF($G1850="","","Risk Group")</f>
        <v/>
      </c>
      <c r="B1850" s="19"/>
      <c r="C1850" s="19"/>
      <c r="D1850" s="19"/>
      <c r="E1850" s="19"/>
      <c r="F1850" s="19"/>
      <c r="G1850" s="19"/>
      <c r="H1850" s="19"/>
      <c r="I1850" s="19"/>
      <c r="J1850" s="19"/>
      <c r="K1850" s="19"/>
      <c r="L1850" s="19"/>
      <c r="M1850" s="19"/>
      <c r="N1850" s="19"/>
      <c r="O1850" s="19"/>
      <c r="P1850" s="19"/>
      <c r="Q1850" s="19"/>
      <c r="R1850" s="19"/>
      <c r="S1850" s="19"/>
      <c r="T1850" s="34" t="str">
        <f aca="false">IF($R1850="","",IFERROR(INDEX(DriverCategory,MATCH($R1850,DriverList,0)),"BAU"))</f>
        <v/>
      </c>
      <c r="U1850" s="34" t="str">
        <f aca="false">IF($R1850="","",IFERROR(INDEX(DriverRank,MATCH($R1850,DriverList,0)),99))</f>
        <v/>
      </c>
      <c r="V1850" s="35" t="n">
        <f aca="false">IF($H1850="",0,IFERROR(INDEX(LevelBasic,MATCH($H1850,LevelList,0))+INDEX(LevelHousing,MATCH($H1850,LevelList,0))+INDEX(LevelTransport,MATCH($H1850,LevelList,0))+INDEX(LevelBasic,MATCH($H1850,LevelList,0))*INDEX(LevelBonus,MATCH($H1850,LevelList,0))+(INDEX(LevelBasic,MATCH($H1850,LevelList,0))+INDEX(LevelHousing,MATCH($H1850,LevelList,0)))*GosiSaudi,0))</f>
        <v>0</v>
      </c>
      <c r="W1850" s="35" t="n">
        <f aca="false">IFERROR(INDEX(LevelOneOff,MATCH($H1850,LevelList,0)),0)</f>
        <v>0</v>
      </c>
      <c r="X1850" s="35" t="str">
        <f aca="false">IF($G1850="","",$V1850*N($L1850))</f>
        <v/>
      </c>
      <c r="Y1850" s="35" t="str">
        <f aca="false">IF($G1850="","",$V1850*(N($M1850)*1+N($N1850)*0.75+N($O1850)*0.5+N($P1850)*0.25)+$W1850*N($L1850))</f>
        <v/>
      </c>
      <c r="Z1850" s="35" t="str">
        <f aca="false">IF($G1850="","",$U1850*1000000+ROW())</f>
        <v/>
      </c>
      <c r="AA1850" s="36" t="str">
        <f aca="false">IF($G1850="","",MID(IF($C1850="",", no division","")&amp;IF($E1850="",", no unit","")&amp;IF($H1850="",", no career level","")&amp;IF(N($L1850)&lt;=0,", no quarter split","")&amp;IF($R1850="",", no driver","")&amp;IF(AND($H1850&lt;&gt;"",COUNTIF(CareerLevels,$H1850)=0),", a career level that is not on the ladder","")&amp;IF(AND($R1850&lt;&gt;"",COUNTIF(DriverList,$R1850)=0),", a driver that is not on the list","")&amp;IF(ABS(N($L1850)-(N($M1850)+N($N1850)+N($O1850)+N($P1850)))&gt;0.001,", a total that does not match its quarters",""),3,300))</f>
        <v/>
      </c>
    </row>
    <row r="1851" customFormat="false" ht="15" hidden="false" customHeight="false" outlineLevel="0" collapsed="false">
      <c r="A1851" s="33" t="str">
        <f aca="false">IF($G1851="","","Risk Group")</f>
        <v/>
      </c>
      <c r="B1851" s="19"/>
      <c r="C1851" s="19"/>
      <c r="D1851" s="19"/>
      <c r="E1851" s="19"/>
      <c r="F1851" s="19"/>
      <c r="G1851" s="19"/>
      <c r="H1851" s="19"/>
      <c r="I1851" s="19"/>
      <c r="J1851" s="19"/>
      <c r="K1851" s="19"/>
      <c r="L1851" s="19"/>
      <c r="M1851" s="19"/>
      <c r="N1851" s="19"/>
      <c r="O1851" s="19"/>
      <c r="P1851" s="19"/>
      <c r="Q1851" s="19"/>
      <c r="R1851" s="19"/>
      <c r="S1851" s="19"/>
      <c r="T1851" s="34" t="str">
        <f aca="false">IF($R1851="","",IFERROR(INDEX(DriverCategory,MATCH($R1851,DriverList,0)),"BAU"))</f>
        <v/>
      </c>
      <c r="U1851" s="34" t="str">
        <f aca="false">IF($R1851="","",IFERROR(INDEX(DriverRank,MATCH($R1851,DriverList,0)),99))</f>
        <v/>
      </c>
      <c r="V1851" s="35" t="n">
        <f aca="false">IF($H1851="",0,IFERROR(INDEX(LevelBasic,MATCH($H1851,LevelList,0))+INDEX(LevelHousing,MATCH($H1851,LevelList,0))+INDEX(LevelTransport,MATCH($H1851,LevelList,0))+INDEX(LevelBasic,MATCH($H1851,LevelList,0))*INDEX(LevelBonus,MATCH($H1851,LevelList,0))+(INDEX(LevelBasic,MATCH($H1851,LevelList,0))+INDEX(LevelHousing,MATCH($H1851,LevelList,0)))*GosiSaudi,0))</f>
        <v>0</v>
      </c>
      <c r="W1851" s="35" t="n">
        <f aca="false">IFERROR(INDEX(LevelOneOff,MATCH($H1851,LevelList,0)),0)</f>
        <v>0</v>
      </c>
      <c r="X1851" s="35" t="str">
        <f aca="false">IF($G1851="","",$V1851*N($L1851))</f>
        <v/>
      </c>
      <c r="Y1851" s="35" t="str">
        <f aca="false">IF($G1851="","",$V1851*(N($M1851)*1+N($N1851)*0.75+N($O1851)*0.5+N($P1851)*0.25)+$W1851*N($L1851))</f>
        <v/>
      </c>
      <c r="Z1851" s="35" t="str">
        <f aca="false">IF($G1851="","",$U1851*1000000+ROW())</f>
        <v/>
      </c>
      <c r="AA1851" s="36" t="str">
        <f aca="false">IF($G1851="","",MID(IF($C1851="",", no division","")&amp;IF($E1851="",", no unit","")&amp;IF($H1851="",", no career level","")&amp;IF(N($L1851)&lt;=0,", no quarter split","")&amp;IF($R1851="",", no driver","")&amp;IF(AND($H1851&lt;&gt;"",COUNTIF(CareerLevels,$H1851)=0),", a career level that is not on the ladder","")&amp;IF(AND($R1851&lt;&gt;"",COUNTIF(DriverList,$R1851)=0),", a driver that is not on the list","")&amp;IF(ABS(N($L1851)-(N($M1851)+N($N1851)+N($O1851)+N($P1851)))&gt;0.001,", a total that does not match its quarters",""),3,300))</f>
        <v/>
      </c>
    </row>
    <row r="1852" customFormat="false" ht="15" hidden="false" customHeight="false" outlineLevel="0" collapsed="false">
      <c r="A1852" s="33" t="str">
        <f aca="false">IF($G1852="","","Risk Group")</f>
        <v/>
      </c>
      <c r="B1852" s="19"/>
      <c r="C1852" s="19"/>
      <c r="D1852" s="19"/>
      <c r="E1852" s="19"/>
      <c r="F1852" s="19"/>
      <c r="G1852" s="19"/>
      <c r="H1852" s="19"/>
      <c r="I1852" s="19"/>
      <c r="J1852" s="19"/>
      <c r="K1852" s="19"/>
      <c r="L1852" s="19"/>
      <c r="M1852" s="19"/>
      <c r="N1852" s="19"/>
      <c r="O1852" s="19"/>
      <c r="P1852" s="19"/>
      <c r="Q1852" s="19"/>
      <c r="R1852" s="19"/>
      <c r="S1852" s="19"/>
      <c r="T1852" s="34" t="str">
        <f aca="false">IF($R1852="","",IFERROR(INDEX(DriverCategory,MATCH($R1852,DriverList,0)),"BAU"))</f>
        <v/>
      </c>
      <c r="U1852" s="34" t="str">
        <f aca="false">IF($R1852="","",IFERROR(INDEX(DriverRank,MATCH($R1852,DriverList,0)),99))</f>
        <v/>
      </c>
      <c r="V1852" s="35" t="n">
        <f aca="false">IF($H1852="",0,IFERROR(INDEX(LevelBasic,MATCH($H1852,LevelList,0))+INDEX(LevelHousing,MATCH($H1852,LevelList,0))+INDEX(LevelTransport,MATCH($H1852,LevelList,0))+INDEX(LevelBasic,MATCH($H1852,LevelList,0))*INDEX(LevelBonus,MATCH($H1852,LevelList,0))+(INDEX(LevelBasic,MATCH($H1852,LevelList,0))+INDEX(LevelHousing,MATCH($H1852,LevelList,0)))*GosiSaudi,0))</f>
        <v>0</v>
      </c>
      <c r="W1852" s="35" t="n">
        <f aca="false">IFERROR(INDEX(LevelOneOff,MATCH($H1852,LevelList,0)),0)</f>
        <v>0</v>
      </c>
      <c r="X1852" s="35" t="str">
        <f aca="false">IF($G1852="","",$V1852*N($L1852))</f>
        <v/>
      </c>
      <c r="Y1852" s="35" t="str">
        <f aca="false">IF($G1852="","",$V1852*(N($M1852)*1+N($N1852)*0.75+N($O1852)*0.5+N($P1852)*0.25)+$W1852*N($L1852))</f>
        <v/>
      </c>
      <c r="Z1852" s="35" t="str">
        <f aca="false">IF($G1852="","",$U1852*1000000+ROW())</f>
        <v/>
      </c>
      <c r="AA1852" s="36" t="str">
        <f aca="false">IF($G1852="","",MID(IF($C1852="",", no division","")&amp;IF($E1852="",", no unit","")&amp;IF($H1852="",", no career level","")&amp;IF(N($L1852)&lt;=0,", no quarter split","")&amp;IF($R1852="",", no driver","")&amp;IF(AND($H1852&lt;&gt;"",COUNTIF(CareerLevels,$H1852)=0),", a career level that is not on the ladder","")&amp;IF(AND($R1852&lt;&gt;"",COUNTIF(DriverList,$R1852)=0),", a driver that is not on the list","")&amp;IF(ABS(N($L1852)-(N($M1852)+N($N1852)+N($O1852)+N($P1852)))&gt;0.001,", a total that does not match its quarters",""),3,300))</f>
        <v/>
      </c>
    </row>
    <row r="1853" customFormat="false" ht="15" hidden="false" customHeight="false" outlineLevel="0" collapsed="false">
      <c r="A1853" s="33" t="str">
        <f aca="false">IF($G1853="","","Risk Group")</f>
        <v/>
      </c>
      <c r="B1853" s="19"/>
      <c r="C1853" s="19"/>
      <c r="D1853" s="19"/>
      <c r="E1853" s="19"/>
      <c r="F1853" s="19"/>
      <c r="G1853" s="19"/>
      <c r="H1853" s="19"/>
      <c r="I1853" s="19"/>
      <c r="J1853" s="19"/>
      <c r="K1853" s="19"/>
      <c r="L1853" s="19"/>
      <c r="M1853" s="19"/>
      <c r="N1853" s="19"/>
      <c r="O1853" s="19"/>
      <c r="P1853" s="19"/>
      <c r="Q1853" s="19"/>
      <c r="R1853" s="19"/>
      <c r="S1853" s="19"/>
      <c r="T1853" s="34" t="str">
        <f aca="false">IF($R1853="","",IFERROR(INDEX(DriverCategory,MATCH($R1853,DriverList,0)),"BAU"))</f>
        <v/>
      </c>
      <c r="U1853" s="34" t="str">
        <f aca="false">IF($R1853="","",IFERROR(INDEX(DriverRank,MATCH($R1853,DriverList,0)),99))</f>
        <v/>
      </c>
      <c r="V1853" s="35" t="n">
        <f aca="false">IF($H1853="",0,IFERROR(INDEX(LevelBasic,MATCH($H1853,LevelList,0))+INDEX(LevelHousing,MATCH($H1853,LevelList,0))+INDEX(LevelTransport,MATCH($H1853,LevelList,0))+INDEX(LevelBasic,MATCH($H1853,LevelList,0))*INDEX(LevelBonus,MATCH($H1853,LevelList,0))+(INDEX(LevelBasic,MATCH($H1853,LevelList,0))+INDEX(LevelHousing,MATCH($H1853,LevelList,0)))*GosiSaudi,0))</f>
        <v>0</v>
      </c>
      <c r="W1853" s="35" t="n">
        <f aca="false">IFERROR(INDEX(LevelOneOff,MATCH($H1853,LevelList,0)),0)</f>
        <v>0</v>
      </c>
      <c r="X1853" s="35" t="str">
        <f aca="false">IF($G1853="","",$V1853*N($L1853))</f>
        <v/>
      </c>
      <c r="Y1853" s="35" t="str">
        <f aca="false">IF($G1853="","",$V1853*(N($M1853)*1+N($N1853)*0.75+N($O1853)*0.5+N($P1853)*0.25)+$W1853*N($L1853))</f>
        <v/>
      </c>
      <c r="Z1853" s="35" t="str">
        <f aca="false">IF($G1853="","",$U1853*1000000+ROW())</f>
        <v/>
      </c>
      <c r="AA1853" s="36" t="str">
        <f aca="false">IF($G1853="","",MID(IF($C1853="",", no division","")&amp;IF($E1853="",", no unit","")&amp;IF($H1853="",", no career level","")&amp;IF(N($L1853)&lt;=0,", no quarter split","")&amp;IF($R1853="",", no driver","")&amp;IF(AND($H1853&lt;&gt;"",COUNTIF(CareerLevels,$H1853)=0),", a career level that is not on the ladder","")&amp;IF(AND($R1853&lt;&gt;"",COUNTIF(DriverList,$R1853)=0),", a driver that is not on the list","")&amp;IF(ABS(N($L1853)-(N($M1853)+N($N1853)+N($O1853)+N($P1853)))&gt;0.001,", a total that does not match its quarters",""),3,300))</f>
        <v/>
      </c>
    </row>
    <row r="1854" customFormat="false" ht="15" hidden="false" customHeight="false" outlineLevel="0" collapsed="false">
      <c r="A1854" s="33" t="str">
        <f aca="false">IF($G1854="","","Risk Group")</f>
        <v/>
      </c>
      <c r="B1854" s="19"/>
      <c r="C1854" s="19"/>
      <c r="D1854" s="19"/>
      <c r="E1854" s="19"/>
      <c r="F1854" s="19"/>
      <c r="G1854" s="19"/>
      <c r="H1854" s="19"/>
      <c r="I1854" s="19"/>
      <c r="J1854" s="19"/>
      <c r="K1854" s="19"/>
      <c r="L1854" s="19"/>
      <c r="M1854" s="19"/>
      <c r="N1854" s="19"/>
      <c r="O1854" s="19"/>
      <c r="P1854" s="19"/>
      <c r="Q1854" s="19"/>
      <c r="R1854" s="19"/>
      <c r="S1854" s="19"/>
      <c r="T1854" s="34" t="str">
        <f aca="false">IF($R1854="","",IFERROR(INDEX(DriverCategory,MATCH($R1854,DriverList,0)),"BAU"))</f>
        <v/>
      </c>
      <c r="U1854" s="34" t="str">
        <f aca="false">IF($R1854="","",IFERROR(INDEX(DriverRank,MATCH($R1854,DriverList,0)),99))</f>
        <v/>
      </c>
      <c r="V1854" s="35" t="n">
        <f aca="false">IF($H1854="",0,IFERROR(INDEX(LevelBasic,MATCH($H1854,LevelList,0))+INDEX(LevelHousing,MATCH($H1854,LevelList,0))+INDEX(LevelTransport,MATCH($H1854,LevelList,0))+INDEX(LevelBasic,MATCH($H1854,LevelList,0))*INDEX(LevelBonus,MATCH($H1854,LevelList,0))+(INDEX(LevelBasic,MATCH($H1854,LevelList,0))+INDEX(LevelHousing,MATCH($H1854,LevelList,0)))*GosiSaudi,0))</f>
        <v>0</v>
      </c>
      <c r="W1854" s="35" t="n">
        <f aca="false">IFERROR(INDEX(LevelOneOff,MATCH($H1854,LevelList,0)),0)</f>
        <v>0</v>
      </c>
      <c r="X1854" s="35" t="str">
        <f aca="false">IF($G1854="","",$V1854*N($L1854))</f>
        <v/>
      </c>
      <c r="Y1854" s="35" t="str">
        <f aca="false">IF($G1854="","",$V1854*(N($M1854)*1+N($N1854)*0.75+N($O1854)*0.5+N($P1854)*0.25)+$W1854*N($L1854))</f>
        <v/>
      </c>
      <c r="Z1854" s="35" t="str">
        <f aca="false">IF($G1854="","",$U1854*1000000+ROW())</f>
        <v/>
      </c>
      <c r="AA1854" s="36" t="str">
        <f aca="false">IF($G1854="","",MID(IF($C1854="",", no division","")&amp;IF($E1854="",", no unit","")&amp;IF($H1854="",", no career level","")&amp;IF(N($L1854)&lt;=0,", no quarter split","")&amp;IF($R1854="",", no driver","")&amp;IF(AND($H1854&lt;&gt;"",COUNTIF(CareerLevels,$H1854)=0),", a career level that is not on the ladder","")&amp;IF(AND($R1854&lt;&gt;"",COUNTIF(DriverList,$R1854)=0),", a driver that is not on the list","")&amp;IF(ABS(N($L1854)-(N($M1854)+N($N1854)+N($O1854)+N($P1854)))&gt;0.001,", a total that does not match its quarters",""),3,300))</f>
        <v/>
      </c>
    </row>
    <row r="1855" customFormat="false" ht="15" hidden="false" customHeight="false" outlineLevel="0" collapsed="false">
      <c r="A1855" s="33" t="str">
        <f aca="false">IF($G1855="","","Risk Group")</f>
        <v/>
      </c>
      <c r="B1855" s="19"/>
      <c r="C1855" s="19"/>
      <c r="D1855" s="19"/>
      <c r="E1855" s="19"/>
      <c r="F1855" s="19"/>
      <c r="G1855" s="19"/>
      <c r="H1855" s="19"/>
      <c r="I1855" s="19"/>
      <c r="J1855" s="19"/>
      <c r="K1855" s="19"/>
      <c r="L1855" s="19"/>
      <c r="M1855" s="19"/>
      <c r="N1855" s="19"/>
      <c r="O1855" s="19"/>
      <c r="P1855" s="19"/>
      <c r="Q1855" s="19"/>
      <c r="R1855" s="19"/>
      <c r="S1855" s="19"/>
      <c r="T1855" s="34" t="str">
        <f aca="false">IF($R1855="","",IFERROR(INDEX(DriverCategory,MATCH($R1855,DriverList,0)),"BAU"))</f>
        <v/>
      </c>
      <c r="U1855" s="34" t="str">
        <f aca="false">IF($R1855="","",IFERROR(INDEX(DriverRank,MATCH($R1855,DriverList,0)),99))</f>
        <v/>
      </c>
      <c r="V1855" s="35" t="n">
        <f aca="false">IF($H1855="",0,IFERROR(INDEX(LevelBasic,MATCH($H1855,LevelList,0))+INDEX(LevelHousing,MATCH($H1855,LevelList,0))+INDEX(LevelTransport,MATCH($H1855,LevelList,0))+INDEX(LevelBasic,MATCH($H1855,LevelList,0))*INDEX(LevelBonus,MATCH($H1855,LevelList,0))+(INDEX(LevelBasic,MATCH($H1855,LevelList,0))+INDEX(LevelHousing,MATCH($H1855,LevelList,0)))*GosiSaudi,0))</f>
        <v>0</v>
      </c>
      <c r="W1855" s="35" t="n">
        <f aca="false">IFERROR(INDEX(LevelOneOff,MATCH($H1855,LevelList,0)),0)</f>
        <v>0</v>
      </c>
      <c r="X1855" s="35" t="str">
        <f aca="false">IF($G1855="","",$V1855*N($L1855))</f>
        <v/>
      </c>
      <c r="Y1855" s="35" t="str">
        <f aca="false">IF($G1855="","",$V1855*(N($M1855)*1+N($N1855)*0.75+N($O1855)*0.5+N($P1855)*0.25)+$W1855*N($L1855))</f>
        <v/>
      </c>
      <c r="Z1855" s="35" t="str">
        <f aca="false">IF($G1855="","",$U1855*1000000+ROW())</f>
        <v/>
      </c>
      <c r="AA1855" s="36" t="str">
        <f aca="false">IF($G1855="","",MID(IF($C1855="",", no division","")&amp;IF($E1855="",", no unit","")&amp;IF($H1855="",", no career level","")&amp;IF(N($L1855)&lt;=0,", no quarter split","")&amp;IF($R1855="",", no driver","")&amp;IF(AND($H1855&lt;&gt;"",COUNTIF(CareerLevels,$H1855)=0),", a career level that is not on the ladder","")&amp;IF(AND($R1855&lt;&gt;"",COUNTIF(DriverList,$R1855)=0),", a driver that is not on the list","")&amp;IF(ABS(N($L1855)-(N($M1855)+N($N1855)+N($O1855)+N($P1855)))&gt;0.001,", a total that does not match its quarters",""),3,300))</f>
        <v/>
      </c>
    </row>
    <row r="1856" customFormat="false" ht="15" hidden="false" customHeight="false" outlineLevel="0" collapsed="false">
      <c r="A1856" s="33" t="str">
        <f aca="false">IF($G1856="","","Risk Group")</f>
        <v/>
      </c>
      <c r="B1856" s="19"/>
      <c r="C1856" s="19"/>
      <c r="D1856" s="19"/>
      <c r="E1856" s="19"/>
      <c r="F1856" s="19"/>
      <c r="G1856" s="19"/>
      <c r="H1856" s="19"/>
      <c r="I1856" s="19"/>
      <c r="J1856" s="19"/>
      <c r="K1856" s="19"/>
      <c r="L1856" s="19"/>
      <c r="M1856" s="19"/>
      <c r="N1856" s="19"/>
      <c r="O1856" s="19"/>
      <c r="P1856" s="19"/>
      <c r="Q1856" s="19"/>
      <c r="R1856" s="19"/>
      <c r="S1856" s="19"/>
      <c r="T1856" s="34" t="str">
        <f aca="false">IF($R1856="","",IFERROR(INDEX(DriverCategory,MATCH($R1856,DriverList,0)),"BAU"))</f>
        <v/>
      </c>
      <c r="U1856" s="34" t="str">
        <f aca="false">IF($R1856="","",IFERROR(INDEX(DriverRank,MATCH($R1856,DriverList,0)),99))</f>
        <v/>
      </c>
      <c r="V1856" s="35" t="n">
        <f aca="false">IF($H1856="",0,IFERROR(INDEX(LevelBasic,MATCH($H1856,LevelList,0))+INDEX(LevelHousing,MATCH($H1856,LevelList,0))+INDEX(LevelTransport,MATCH($H1856,LevelList,0))+INDEX(LevelBasic,MATCH($H1856,LevelList,0))*INDEX(LevelBonus,MATCH($H1856,LevelList,0))+(INDEX(LevelBasic,MATCH($H1856,LevelList,0))+INDEX(LevelHousing,MATCH($H1856,LevelList,0)))*GosiSaudi,0))</f>
        <v>0</v>
      </c>
      <c r="W1856" s="35" t="n">
        <f aca="false">IFERROR(INDEX(LevelOneOff,MATCH($H1856,LevelList,0)),0)</f>
        <v>0</v>
      </c>
      <c r="X1856" s="35" t="str">
        <f aca="false">IF($G1856="","",$V1856*N($L1856))</f>
        <v/>
      </c>
      <c r="Y1856" s="35" t="str">
        <f aca="false">IF($G1856="","",$V1856*(N($M1856)*1+N($N1856)*0.75+N($O1856)*0.5+N($P1856)*0.25)+$W1856*N($L1856))</f>
        <v/>
      </c>
      <c r="Z1856" s="35" t="str">
        <f aca="false">IF($G1856="","",$U1856*1000000+ROW())</f>
        <v/>
      </c>
      <c r="AA1856" s="36" t="str">
        <f aca="false">IF($G1856="","",MID(IF($C1856="",", no division","")&amp;IF($E1856="",", no unit","")&amp;IF($H1856="",", no career level","")&amp;IF(N($L1856)&lt;=0,", no quarter split","")&amp;IF($R1856="",", no driver","")&amp;IF(AND($H1856&lt;&gt;"",COUNTIF(CareerLevels,$H1856)=0),", a career level that is not on the ladder","")&amp;IF(AND($R1856&lt;&gt;"",COUNTIF(DriverList,$R1856)=0),", a driver that is not on the list","")&amp;IF(ABS(N($L1856)-(N($M1856)+N($N1856)+N($O1856)+N($P1856)))&gt;0.001,", a total that does not match its quarters",""),3,300))</f>
        <v/>
      </c>
    </row>
    <row r="1857" customFormat="false" ht="15" hidden="false" customHeight="false" outlineLevel="0" collapsed="false">
      <c r="A1857" s="33" t="str">
        <f aca="false">IF($G1857="","","Risk Group")</f>
        <v/>
      </c>
      <c r="B1857" s="19"/>
      <c r="C1857" s="19"/>
      <c r="D1857" s="19"/>
      <c r="E1857" s="19"/>
      <c r="F1857" s="19"/>
      <c r="G1857" s="19"/>
      <c r="H1857" s="19"/>
      <c r="I1857" s="19"/>
      <c r="J1857" s="19"/>
      <c r="K1857" s="19"/>
      <c r="L1857" s="19"/>
      <c r="M1857" s="19"/>
      <c r="N1857" s="19"/>
      <c r="O1857" s="19"/>
      <c r="P1857" s="19"/>
      <c r="Q1857" s="19"/>
      <c r="R1857" s="19"/>
      <c r="S1857" s="19"/>
      <c r="T1857" s="34" t="str">
        <f aca="false">IF($R1857="","",IFERROR(INDEX(DriverCategory,MATCH($R1857,DriverList,0)),"BAU"))</f>
        <v/>
      </c>
      <c r="U1857" s="34" t="str">
        <f aca="false">IF($R1857="","",IFERROR(INDEX(DriverRank,MATCH($R1857,DriverList,0)),99))</f>
        <v/>
      </c>
      <c r="V1857" s="35" t="n">
        <f aca="false">IF($H1857="",0,IFERROR(INDEX(LevelBasic,MATCH($H1857,LevelList,0))+INDEX(LevelHousing,MATCH($H1857,LevelList,0))+INDEX(LevelTransport,MATCH($H1857,LevelList,0))+INDEX(LevelBasic,MATCH($H1857,LevelList,0))*INDEX(LevelBonus,MATCH($H1857,LevelList,0))+(INDEX(LevelBasic,MATCH($H1857,LevelList,0))+INDEX(LevelHousing,MATCH($H1857,LevelList,0)))*GosiSaudi,0))</f>
        <v>0</v>
      </c>
      <c r="W1857" s="35" t="n">
        <f aca="false">IFERROR(INDEX(LevelOneOff,MATCH($H1857,LevelList,0)),0)</f>
        <v>0</v>
      </c>
      <c r="X1857" s="35" t="str">
        <f aca="false">IF($G1857="","",$V1857*N($L1857))</f>
        <v/>
      </c>
      <c r="Y1857" s="35" t="str">
        <f aca="false">IF($G1857="","",$V1857*(N($M1857)*1+N($N1857)*0.75+N($O1857)*0.5+N($P1857)*0.25)+$W1857*N($L1857))</f>
        <v/>
      </c>
      <c r="Z1857" s="35" t="str">
        <f aca="false">IF($G1857="","",$U1857*1000000+ROW())</f>
        <v/>
      </c>
      <c r="AA1857" s="36" t="str">
        <f aca="false">IF($G1857="","",MID(IF($C1857="",", no division","")&amp;IF($E1857="",", no unit","")&amp;IF($H1857="",", no career level","")&amp;IF(N($L1857)&lt;=0,", no quarter split","")&amp;IF($R1857="",", no driver","")&amp;IF(AND($H1857&lt;&gt;"",COUNTIF(CareerLevels,$H1857)=0),", a career level that is not on the ladder","")&amp;IF(AND($R1857&lt;&gt;"",COUNTIF(DriverList,$R1857)=0),", a driver that is not on the list","")&amp;IF(ABS(N($L1857)-(N($M1857)+N($N1857)+N($O1857)+N($P1857)))&gt;0.001,", a total that does not match its quarters",""),3,300))</f>
        <v/>
      </c>
    </row>
    <row r="1858" customFormat="false" ht="15" hidden="false" customHeight="false" outlineLevel="0" collapsed="false">
      <c r="A1858" s="33" t="str">
        <f aca="false">IF($G1858="","","Risk Group")</f>
        <v/>
      </c>
      <c r="B1858" s="19"/>
      <c r="C1858" s="19"/>
      <c r="D1858" s="19"/>
      <c r="E1858" s="19"/>
      <c r="F1858" s="19"/>
      <c r="G1858" s="19"/>
      <c r="H1858" s="19"/>
      <c r="I1858" s="19"/>
      <c r="J1858" s="19"/>
      <c r="K1858" s="19"/>
      <c r="L1858" s="19"/>
      <c r="M1858" s="19"/>
      <c r="N1858" s="19"/>
      <c r="O1858" s="19"/>
      <c r="P1858" s="19"/>
      <c r="Q1858" s="19"/>
      <c r="R1858" s="19"/>
      <c r="S1858" s="19"/>
      <c r="T1858" s="34" t="str">
        <f aca="false">IF($R1858="","",IFERROR(INDEX(DriverCategory,MATCH($R1858,DriverList,0)),"BAU"))</f>
        <v/>
      </c>
      <c r="U1858" s="34" t="str">
        <f aca="false">IF($R1858="","",IFERROR(INDEX(DriverRank,MATCH($R1858,DriverList,0)),99))</f>
        <v/>
      </c>
      <c r="V1858" s="35" t="n">
        <f aca="false">IF($H1858="",0,IFERROR(INDEX(LevelBasic,MATCH($H1858,LevelList,0))+INDEX(LevelHousing,MATCH($H1858,LevelList,0))+INDEX(LevelTransport,MATCH($H1858,LevelList,0))+INDEX(LevelBasic,MATCH($H1858,LevelList,0))*INDEX(LevelBonus,MATCH($H1858,LevelList,0))+(INDEX(LevelBasic,MATCH($H1858,LevelList,0))+INDEX(LevelHousing,MATCH($H1858,LevelList,0)))*GosiSaudi,0))</f>
        <v>0</v>
      </c>
      <c r="W1858" s="35" t="n">
        <f aca="false">IFERROR(INDEX(LevelOneOff,MATCH($H1858,LevelList,0)),0)</f>
        <v>0</v>
      </c>
      <c r="X1858" s="35" t="str">
        <f aca="false">IF($G1858="","",$V1858*N($L1858))</f>
        <v/>
      </c>
      <c r="Y1858" s="35" t="str">
        <f aca="false">IF($G1858="","",$V1858*(N($M1858)*1+N($N1858)*0.75+N($O1858)*0.5+N($P1858)*0.25)+$W1858*N($L1858))</f>
        <v/>
      </c>
      <c r="Z1858" s="35" t="str">
        <f aca="false">IF($G1858="","",$U1858*1000000+ROW())</f>
        <v/>
      </c>
      <c r="AA1858" s="36" t="str">
        <f aca="false">IF($G1858="","",MID(IF($C1858="",", no division","")&amp;IF($E1858="",", no unit","")&amp;IF($H1858="",", no career level","")&amp;IF(N($L1858)&lt;=0,", no quarter split","")&amp;IF($R1858="",", no driver","")&amp;IF(AND($H1858&lt;&gt;"",COUNTIF(CareerLevels,$H1858)=0),", a career level that is not on the ladder","")&amp;IF(AND($R1858&lt;&gt;"",COUNTIF(DriverList,$R1858)=0),", a driver that is not on the list","")&amp;IF(ABS(N($L1858)-(N($M1858)+N($N1858)+N($O1858)+N($P1858)))&gt;0.001,", a total that does not match its quarters",""),3,300))</f>
        <v/>
      </c>
    </row>
    <row r="1859" customFormat="false" ht="15" hidden="false" customHeight="false" outlineLevel="0" collapsed="false">
      <c r="A1859" s="33" t="str">
        <f aca="false">IF($G1859="","","Risk Group")</f>
        <v/>
      </c>
      <c r="B1859" s="19"/>
      <c r="C1859" s="19"/>
      <c r="D1859" s="19"/>
      <c r="E1859" s="19"/>
      <c r="F1859" s="19"/>
      <c r="G1859" s="19"/>
      <c r="H1859" s="19"/>
      <c r="I1859" s="19"/>
      <c r="J1859" s="19"/>
      <c r="K1859" s="19"/>
      <c r="L1859" s="19"/>
      <c r="M1859" s="19"/>
      <c r="N1859" s="19"/>
      <c r="O1859" s="19"/>
      <c r="P1859" s="19"/>
      <c r="Q1859" s="19"/>
      <c r="R1859" s="19"/>
      <c r="S1859" s="19"/>
      <c r="T1859" s="34" t="str">
        <f aca="false">IF($R1859="","",IFERROR(INDEX(DriverCategory,MATCH($R1859,DriverList,0)),"BAU"))</f>
        <v/>
      </c>
      <c r="U1859" s="34" t="str">
        <f aca="false">IF($R1859="","",IFERROR(INDEX(DriverRank,MATCH($R1859,DriverList,0)),99))</f>
        <v/>
      </c>
      <c r="V1859" s="35" t="n">
        <f aca="false">IF($H1859="",0,IFERROR(INDEX(LevelBasic,MATCH($H1859,LevelList,0))+INDEX(LevelHousing,MATCH($H1859,LevelList,0))+INDEX(LevelTransport,MATCH($H1859,LevelList,0))+INDEX(LevelBasic,MATCH($H1859,LevelList,0))*INDEX(LevelBonus,MATCH($H1859,LevelList,0))+(INDEX(LevelBasic,MATCH($H1859,LevelList,0))+INDEX(LevelHousing,MATCH($H1859,LevelList,0)))*GosiSaudi,0))</f>
        <v>0</v>
      </c>
      <c r="W1859" s="35" t="n">
        <f aca="false">IFERROR(INDEX(LevelOneOff,MATCH($H1859,LevelList,0)),0)</f>
        <v>0</v>
      </c>
      <c r="X1859" s="35" t="str">
        <f aca="false">IF($G1859="","",$V1859*N($L1859))</f>
        <v/>
      </c>
      <c r="Y1859" s="35" t="str">
        <f aca="false">IF($G1859="","",$V1859*(N($M1859)*1+N($N1859)*0.75+N($O1859)*0.5+N($P1859)*0.25)+$W1859*N($L1859))</f>
        <v/>
      </c>
      <c r="Z1859" s="35" t="str">
        <f aca="false">IF($G1859="","",$U1859*1000000+ROW())</f>
        <v/>
      </c>
      <c r="AA1859" s="36" t="str">
        <f aca="false">IF($G1859="","",MID(IF($C1859="",", no division","")&amp;IF($E1859="",", no unit","")&amp;IF($H1859="",", no career level","")&amp;IF(N($L1859)&lt;=0,", no quarter split","")&amp;IF($R1859="",", no driver","")&amp;IF(AND($H1859&lt;&gt;"",COUNTIF(CareerLevels,$H1859)=0),", a career level that is not on the ladder","")&amp;IF(AND($R1859&lt;&gt;"",COUNTIF(DriverList,$R1859)=0),", a driver that is not on the list","")&amp;IF(ABS(N($L1859)-(N($M1859)+N($N1859)+N($O1859)+N($P1859)))&gt;0.001,", a total that does not match its quarters",""),3,300))</f>
        <v/>
      </c>
    </row>
    <row r="1860" customFormat="false" ht="15" hidden="false" customHeight="false" outlineLevel="0" collapsed="false">
      <c r="A1860" s="33" t="str">
        <f aca="false">IF($G1860="","","Risk Group")</f>
        <v/>
      </c>
      <c r="B1860" s="19"/>
      <c r="C1860" s="19"/>
      <c r="D1860" s="19"/>
      <c r="E1860" s="19"/>
      <c r="F1860" s="19"/>
      <c r="G1860" s="19"/>
      <c r="H1860" s="19"/>
      <c r="I1860" s="19"/>
      <c r="J1860" s="19"/>
      <c r="K1860" s="19"/>
      <c r="L1860" s="19"/>
      <c r="M1860" s="19"/>
      <c r="N1860" s="19"/>
      <c r="O1860" s="19"/>
      <c r="P1860" s="19"/>
      <c r="Q1860" s="19"/>
      <c r="R1860" s="19"/>
      <c r="S1860" s="19"/>
      <c r="T1860" s="34" t="str">
        <f aca="false">IF($R1860="","",IFERROR(INDEX(DriverCategory,MATCH($R1860,DriverList,0)),"BAU"))</f>
        <v/>
      </c>
      <c r="U1860" s="34" t="str">
        <f aca="false">IF($R1860="","",IFERROR(INDEX(DriverRank,MATCH($R1860,DriverList,0)),99))</f>
        <v/>
      </c>
      <c r="V1860" s="35" t="n">
        <f aca="false">IF($H1860="",0,IFERROR(INDEX(LevelBasic,MATCH($H1860,LevelList,0))+INDEX(LevelHousing,MATCH($H1860,LevelList,0))+INDEX(LevelTransport,MATCH($H1860,LevelList,0))+INDEX(LevelBasic,MATCH($H1860,LevelList,0))*INDEX(LevelBonus,MATCH($H1860,LevelList,0))+(INDEX(LevelBasic,MATCH($H1860,LevelList,0))+INDEX(LevelHousing,MATCH($H1860,LevelList,0)))*GosiSaudi,0))</f>
        <v>0</v>
      </c>
      <c r="W1860" s="35" t="n">
        <f aca="false">IFERROR(INDEX(LevelOneOff,MATCH($H1860,LevelList,0)),0)</f>
        <v>0</v>
      </c>
      <c r="X1860" s="35" t="str">
        <f aca="false">IF($G1860="","",$V1860*N($L1860))</f>
        <v/>
      </c>
      <c r="Y1860" s="35" t="str">
        <f aca="false">IF($G1860="","",$V1860*(N($M1860)*1+N($N1860)*0.75+N($O1860)*0.5+N($P1860)*0.25)+$W1860*N($L1860))</f>
        <v/>
      </c>
      <c r="Z1860" s="35" t="str">
        <f aca="false">IF($G1860="","",$U1860*1000000+ROW())</f>
        <v/>
      </c>
      <c r="AA1860" s="36" t="str">
        <f aca="false">IF($G1860="","",MID(IF($C1860="",", no division","")&amp;IF($E1860="",", no unit","")&amp;IF($H1860="",", no career level","")&amp;IF(N($L1860)&lt;=0,", no quarter split","")&amp;IF($R1860="",", no driver","")&amp;IF(AND($H1860&lt;&gt;"",COUNTIF(CareerLevels,$H1860)=0),", a career level that is not on the ladder","")&amp;IF(AND($R1860&lt;&gt;"",COUNTIF(DriverList,$R1860)=0),", a driver that is not on the list","")&amp;IF(ABS(N($L1860)-(N($M1860)+N($N1860)+N($O1860)+N($P1860)))&gt;0.001,", a total that does not match its quarters",""),3,300))</f>
        <v/>
      </c>
    </row>
    <row r="1861" customFormat="false" ht="15" hidden="false" customHeight="false" outlineLevel="0" collapsed="false">
      <c r="A1861" s="33" t="str">
        <f aca="false">IF($G1861="","","Risk Group")</f>
        <v/>
      </c>
      <c r="B1861" s="19"/>
      <c r="C1861" s="19"/>
      <c r="D1861" s="19"/>
      <c r="E1861" s="19"/>
      <c r="F1861" s="19"/>
      <c r="G1861" s="19"/>
      <c r="H1861" s="19"/>
      <c r="I1861" s="19"/>
      <c r="J1861" s="19"/>
      <c r="K1861" s="19"/>
      <c r="L1861" s="19"/>
      <c r="M1861" s="19"/>
      <c r="N1861" s="19"/>
      <c r="O1861" s="19"/>
      <c r="P1861" s="19"/>
      <c r="Q1861" s="19"/>
      <c r="R1861" s="19"/>
      <c r="S1861" s="19"/>
      <c r="T1861" s="34" t="str">
        <f aca="false">IF($R1861="","",IFERROR(INDEX(DriverCategory,MATCH($R1861,DriverList,0)),"BAU"))</f>
        <v/>
      </c>
      <c r="U1861" s="34" t="str">
        <f aca="false">IF($R1861="","",IFERROR(INDEX(DriverRank,MATCH($R1861,DriverList,0)),99))</f>
        <v/>
      </c>
      <c r="V1861" s="35" t="n">
        <f aca="false">IF($H1861="",0,IFERROR(INDEX(LevelBasic,MATCH($H1861,LevelList,0))+INDEX(LevelHousing,MATCH($H1861,LevelList,0))+INDEX(LevelTransport,MATCH($H1861,LevelList,0))+INDEX(LevelBasic,MATCH($H1861,LevelList,0))*INDEX(LevelBonus,MATCH($H1861,LevelList,0))+(INDEX(LevelBasic,MATCH($H1861,LevelList,0))+INDEX(LevelHousing,MATCH($H1861,LevelList,0)))*GosiSaudi,0))</f>
        <v>0</v>
      </c>
      <c r="W1861" s="35" t="n">
        <f aca="false">IFERROR(INDEX(LevelOneOff,MATCH($H1861,LevelList,0)),0)</f>
        <v>0</v>
      </c>
      <c r="X1861" s="35" t="str">
        <f aca="false">IF($G1861="","",$V1861*N($L1861))</f>
        <v/>
      </c>
      <c r="Y1861" s="35" t="str">
        <f aca="false">IF($G1861="","",$V1861*(N($M1861)*1+N($N1861)*0.75+N($O1861)*0.5+N($P1861)*0.25)+$W1861*N($L1861))</f>
        <v/>
      </c>
      <c r="Z1861" s="35" t="str">
        <f aca="false">IF($G1861="","",$U1861*1000000+ROW())</f>
        <v/>
      </c>
      <c r="AA1861" s="36" t="str">
        <f aca="false">IF($G1861="","",MID(IF($C1861="",", no division","")&amp;IF($E1861="",", no unit","")&amp;IF($H1861="",", no career level","")&amp;IF(N($L1861)&lt;=0,", no quarter split","")&amp;IF($R1861="",", no driver","")&amp;IF(AND($H1861&lt;&gt;"",COUNTIF(CareerLevels,$H1861)=0),", a career level that is not on the ladder","")&amp;IF(AND($R1861&lt;&gt;"",COUNTIF(DriverList,$R1861)=0),", a driver that is not on the list","")&amp;IF(ABS(N($L1861)-(N($M1861)+N($N1861)+N($O1861)+N($P1861)))&gt;0.001,", a total that does not match its quarters",""),3,300))</f>
        <v/>
      </c>
    </row>
    <row r="1862" customFormat="false" ht="15" hidden="false" customHeight="false" outlineLevel="0" collapsed="false">
      <c r="A1862" s="33" t="str">
        <f aca="false">IF($G1862="","","Risk Group")</f>
        <v/>
      </c>
      <c r="B1862" s="19"/>
      <c r="C1862" s="19"/>
      <c r="D1862" s="19"/>
      <c r="E1862" s="19"/>
      <c r="F1862" s="19"/>
      <c r="G1862" s="19"/>
      <c r="H1862" s="19"/>
      <c r="I1862" s="19"/>
      <c r="J1862" s="19"/>
      <c r="K1862" s="19"/>
      <c r="L1862" s="19"/>
      <c r="M1862" s="19"/>
      <c r="N1862" s="19"/>
      <c r="O1862" s="19"/>
      <c r="P1862" s="19"/>
      <c r="Q1862" s="19"/>
      <c r="R1862" s="19"/>
      <c r="S1862" s="19"/>
      <c r="T1862" s="34" t="str">
        <f aca="false">IF($R1862="","",IFERROR(INDEX(DriverCategory,MATCH($R1862,DriverList,0)),"BAU"))</f>
        <v/>
      </c>
      <c r="U1862" s="34" t="str">
        <f aca="false">IF($R1862="","",IFERROR(INDEX(DriverRank,MATCH($R1862,DriverList,0)),99))</f>
        <v/>
      </c>
      <c r="V1862" s="35" t="n">
        <f aca="false">IF($H1862="",0,IFERROR(INDEX(LevelBasic,MATCH($H1862,LevelList,0))+INDEX(LevelHousing,MATCH($H1862,LevelList,0))+INDEX(LevelTransport,MATCH($H1862,LevelList,0))+INDEX(LevelBasic,MATCH($H1862,LevelList,0))*INDEX(LevelBonus,MATCH($H1862,LevelList,0))+(INDEX(LevelBasic,MATCH($H1862,LevelList,0))+INDEX(LevelHousing,MATCH($H1862,LevelList,0)))*GosiSaudi,0))</f>
        <v>0</v>
      </c>
      <c r="W1862" s="35" t="n">
        <f aca="false">IFERROR(INDEX(LevelOneOff,MATCH($H1862,LevelList,0)),0)</f>
        <v>0</v>
      </c>
      <c r="X1862" s="35" t="str">
        <f aca="false">IF($G1862="","",$V1862*N($L1862))</f>
        <v/>
      </c>
      <c r="Y1862" s="35" t="str">
        <f aca="false">IF($G1862="","",$V1862*(N($M1862)*1+N($N1862)*0.75+N($O1862)*0.5+N($P1862)*0.25)+$W1862*N($L1862))</f>
        <v/>
      </c>
      <c r="Z1862" s="35" t="str">
        <f aca="false">IF($G1862="","",$U1862*1000000+ROW())</f>
        <v/>
      </c>
      <c r="AA1862" s="36" t="str">
        <f aca="false">IF($G1862="","",MID(IF($C1862="",", no division","")&amp;IF($E1862="",", no unit","")&amp;IF($H1862="",", no career level","")&amp;IF(N($L1862)&lt;=0,", no quarter split","")&amp;IF($R1862="",", no driver","")&amp;IF(AND($H1862&lt;&gt;"",COUNTIF(CareerLevels,$H1862)=0),", a career level that is not on the ladder","")&amp;IF(AND($R1862&lt;&gt;"",COUNTIF(DriverList,$R1862)=0),", a driver that is not on the list","")&amp;IF(ABS(N($L1862)-(N($M1862)+N($N1862)+N($O1862)+N($P1862)))&gt;0.001,", a total that does not match its quarters",""),3,300))</f>
        <v/>
      </c>
    </row>
    <row r="1863" customFormat="false" ht="15" hidden="false" customHeight="false" outlineLevel="0" collapsed="false">
      <c r="A1863" s="33" t="str">
        <f aca="false">IF($G1863="","","Risk Group")</f>
        <v/>
      </c>
      <c r="B1863" s="19"/>
      <c r="C1863" s="19"/>
      <c r="D1863" s="19"/>
      <c r="E1863" s="19"/>
      <c r="F1863" s="19"/>
      <c r="G1863" s="19"/>
      <c r="H1863" s="19"/>
      <c r="I1863" s="19"/>
      <c r="J1863" s="19"/>
      <c r="K1863" s="19"/>
      <c r="L1863" s="19"/>
      <c r="M1863" s="19"/>
      <c r="N1863" s="19"/>
      <c r="O1863" s="19"/>
      <c r="P1863" s="19"/>
      <c r="Q1863" s="19"/>
      <c r="R1863" s="19"/>
      <c r="S1863" s="19"/>
      <c r="T1863" s="34" t="str">
        <f aca="false">IF($R1863="","",IFERROR(INDEX(DriverCategory,MATCH($R1863,DriverList,0)),"BAU"))</f>
        <v/>
      </c>
      <c r="U1863" s="34" t="str">
        <f aca="false">IF($R1863="","",IFERROR(INDEX(DriverRank,MATCH($R1863,DriverList,0)),99))</f>
        <v/>
      </c>
      <c r="V1863" s="35" t="n">
        <f aca="false">IF($H1863="",0,IFERROR(INDEX(LevelBasic,MATCH($H1863,LevelList,0))+INDEX(LevelHousing,MATCH($H1863,LevelList,0))+INDEX(LevelTransport,MATCH($H1863,LevelList,0))+INDEX(LevelBasic,MATCH($H1863,LevelList,0))*INDEX(LevelBonus,MATCH($H1863,LevelList,0))+(INDEX(LevelBasic,MATCH($H1863,LevelList,0))+INDEX(LevelHousing,MATCH($H1863,LevelList,0)))*GosiSaudi,0))</f>
        <v>0</v>
      </c>
      <c r="W1863" s="35" t="n">
        <f aca="false">IFERROR(INDEX(LevelOneOff,MATCH($H1863,LevelList,0)),0)</f>
        <v>0</v>
      </c>
      <c r="X1863" s="35" t="str">
        <f aca="false">IF($G1863="","",$V1863*N($L1863))</f>
        <v/>
      </c>
      <c r="Y1863" s="35" t="str">
        <f aca="false">IF($G1863="","",$V1863*(N($M1863)*1+N($N1863)*0.75+N($O1863)*0.5+N($P1863)*0.25)+$W1863*N($L1863))</f>
        <v/>
      </c>
      <c r="Z1863" s="35" t="str">
        <f aca="false">IF($G1863="","",$U1863*1000000+ROW())</f>
        <v/>
      </c>
      <c r="AA1863" s="36" t="str">
        <f aca="false">IF($G1863="","",MID(IF($C1863="",", no division","")&amp;IF($E1863="",", no unit","")&amp;IF($H1863="",", no career level","")&amp;IF(N($L1863)&lt;=0,", no quarter split","")&amp;IF($R1863="",", no driver","")&amp;IF(AND($H1863&lt;&gt;"",COUNTIF(CareerLevels,$H1863)=0),", a career level that is not on the ladder","")&amp;IF(AND($R1863&lt;&gt;"",COUNTIF(DriverList,$R1863)=0),", a driver that is not on the list","")&amp;IF(ABS(N($L1863)-(N($M1863)+N($N1863)+N($O1863)+N($P1863)))&gt;0.001,", a total that does not match its quarters",""),3,300))</f>
        <v/>
      </c>
    </row>
    <row r="1864" customFormat="false" ht="15" hidden="false" customHeight="false" outlineLevel="0" collapsed="false">
      <c r="A1864" s="33" t="str">
        <f aca="false">IF($G1864="","","Risk Group")</f>
        <v/>
      </c>
      <c r="B1864" s="19"/>
      <c r="C1864" s="19"/>
      <c r="D1864" s="19"/>
      <c r="E1864" s="19"/>
      <c r="F1864" s="19"/>
      <c r="G1864" s="19"/>
      <c r="H1864" s="19"/>
      <c r="I1864" s="19"/>
      <c r="J1864" s="19"/>
      <c r="K1864" s="19"/>
      <c r="L1864" s="19"/>
      <c r="M1864" s="19"/>
      <c r="N1864" s="19"/>
      <c r="O1864" s="19"/>
      <c r="P1864" s="19"/>
      <c r="Q1864" s="19"/>
      <c r="R1864" s="19"/>
      <c r="S1864" s="19"/>
      <c r="T1864" s="34" t="str">
        <f aca="false">IF($R1864="","",IFERROR(INDEX(DriverCategory,MATCH($R1864,DriverList,0)),"BAU"))</f>
        <v/>
      </c>
      <c r="U1864" s="34" t="str">
        <f aca="false">IF($R1864="","",IFERROR(INDEX(DriverRank,MATCH($R1864,DriverList,0)),99))</f>
        <v/>
      </c>
      <c r="V1864" s="35" t="n">
        <f aca="false">IF($H1864="",0,IFERROR(INDEX(LevelBasic,MATCH($H1864,LevelList,0))+INDEX(LevelHousing,MATCH($H1864,LevelList,0))+INDEX(LevelTransport,MATCH($H1864,LevelList,0))+INDEX(LevelBasic,MATCH($H1864,LevelList,0))*INDEX(LevelBonus,MATCH($H1864,LevelList,0))+(INDEX(LevelBasic,MATCH($H1864,LevelList,0))+INDEX(LevelHousing,MATCH($H1864,LevelList,0)))*GosiSaudi,0))</f>
        <v>0</v>
      </c>
      <c r="W1864" s="35" t="n">
        <f aca="false">IFERROR(INDEX(LevelOneOff,MATCH($H1864,LevelList,0)),0)</f>
        <v>0</v>
      </c>
      <c r="X1864" s="35" t="str">
        <f aca="false">IF($G1864="","",$V1864*N($L1864))</f>
        <v/>
      </c>
      <c r="Y1864" s="35" t="str">
        <f aca="false">IF($G1864="","",$V1864*(N($M1864)*1+N($N1864)*0.75+N($O1864)*0.5+N($P1864)*0.25)+$W1864*N($L1864))</f>
        <v/>
      </c>
      <c r="Z1864" s="35" t="str">
        <f aca="false">IF($G1864="","",$U1864*1000000+ROW())</f>
        <v/>
      </c>
      <c r="AA1864" s="36" t="str">
        <f aca="false">IF($G1864="","",MID(IF($C1864="",", no division","")&amp;IF($E1864="",", no unit","")&amp;IF($H1864="",", no career level","")&amp;IF(N($L1864)&lt;=0,", no quarter split","")&amp;IF($R1864="",", no driver","")&amp;IF(AND($H1864&lt;&gt;"",COUNTIF(CareerLevels,$H1864)=0),", a career level that is not on the ladder","")&amp;IF(AND($R1864&lt;&gt;"",COUNTIF(DriverList,$R1864)=0),", a driver that is not on the list","")&amp;IF(ABS(N($L1864)-(N($M1864)+N($N1864)+N($O1864)+N($P1864)))&gt;0.001,", a total that does not match its quarters",""),3,300))</f>
        <v/>
      </c>
    </row>
    <row r="1865" customFormat="false" ht="15" hidden="false" customHeight="false" outlineLevel="0" collapsed="false">
      <c r="A1865" s="33" t="str">
        <f aca="false">IF($G1865="","","Risk Group")</f>
        <v/>
      </c>
      <c r="B1865" s="19"/>
      <c r="C1865" s="19"/>
      <c r="D1865" s="19"/>
      <c r="E1865" s="19"/>
      <c r="F1865" s="19"/>
      <c r="G1865" s="19"/>
      <c r="H1865" s="19"/>
      <c r="I1865" s="19"/>
      <c r="J1865" s="19"/>
      <c r="K1865" s="19"/>
      <c r="L1865" s="19"/>
      <c r="M1865" s="19"/>
      <c r="N1865" s="19"/>
      <c r="O1865" s="19"/>
      <c r="P1865" s="19"/>
      <c r="Q1865" s="19"/>
      <c r="R1865" s="19"/>
      <c r="S1865" s="19"/>
      <c r="T1865" s="34" t="str">
        <f aca="false">IF($R1865="","",IFERROR(INDEX(DriverCategory,MATCH($R1865,DriverList,0)),"BAU"))</f>
        <v/>
      </c>
      <c r="U1865" s="34" t="str">
        <f aca="false">IF($R1865="","",IFERROR(INDEX(DriverRank,MATCH($R1865,DriverList,0)),99))</f>
        <v/>
      </c>
      <c r="V1865" s="35" t="n">
        <f aca="false">IF($H1865="",0,IFERROR(INDEX(LevelBasic,MATCH($H1865,LevelList,0))+INDEX(LevelHousing,MATCH($H1865,LevelList,0))+INDEX(LevelTransport,MATCH($H1865,LevelList,0))+INDEX(LevelBasic,MATCH($H1865,LevelList,0))*INDEX(LevelBonus,MATCH($H1865,LevelList,0))+(INDEX(LevelBasic,MATCH($H1865,LevelList,0))+INDEX(LevelHousing,MATCH($H1865,LevelList,0)))*GosiSaudi,0))</f>
        <v>0</v>
      </c>
      <c r="W1865" s="35" t="n">
        <f aca="false">IFERROR(INDEX(LevelOneOff,MATCH($H1865,LevelList,0)),0)</f>
        <v>0</v>
      </c>
      <c r="X1865" s="35" t="str">
        <f aca="false">IF($G1865="","",$V1865*N($L1865))</f>
        <v/>
      </c>
      <c r="Y1865" s="35" t="str">
        <f aca="false">IF($G1865="","",$V1865*(N($M1865)*1+N($N1865)*0.75+N($O1865)*0.5+N($P1865)*0.25)+$W1865*N($L1865))</f>
        <v/>
      </c>
      <c r="Z1865" s="35" t="str">
        <f aca="false">IF($G1865="","",$U1865*1000000+ROW())</f>
        <v/>
      </c>
      <c r="AA1865" s="36" t="str">
        <f aca="false">IF($G1865="","",MID(IF($C1865="",", no division","")&amp;IF($E1865="",", no unit","")&amp;IF($H1865="",", no career level","")&amp;IF(N($L1865)&lt;=0,", no quarter split","")&amp;IF($R1865="",", no driver","")&amp;IF(AND($H1865&lt;&gt;"",COUNTIF(CareerLevels,$H1865)=0),", a career level that is not on the ladder","")&amp;IF(AND($R1865&lt;&gt;"",COUNTIF(DriverList,$R1865)=0),", a driver that is not on the list","")&amp;IF(ABS(N($L1865)-(N($M1865)+N($N1865)+N($O1865)+N($P1865)))&gt;0.001,", a total that does not match its quarters",""),3,300))</f>
        <v/>
      </c>
    </row>
    <row r="1866" customFormat="false" ht="15" hidden="false" customHeight="false" outlineLevel="0" collapsed="false">
      <c r="A1866" s="33" t="str">
        <f aca="false">IF($G1866="","","Risk Group")</f>
        <v/>
      </c>
      <c r="B1866" s="19"/>
      <c r="C1866" s="19"/>
      <c r="D1866" s="19"/>
      <c r="E1866" s="19"/>
      <c r="F1866" s="19"/>
      <c r="G1866" s="19"/>
      <c r="H1866" s="19"/>
      <c r="I1866" s="19"/>
      <c r="J1866" s="19"/>
      <c r="K1866" s="19"/>
      <c r="L1866" s="19"/>
      <c r="M1866" s="19"/>
      <c r="N1866" s="19"/>
      <c r="O1866" s="19"/>
      <c r="P1866" s="19"/>
      <c r="Q1866" s="19"/>
      <c r="R1866" s="19"/>
      <c r="S1866" s="19"/>
      <c r="T1866" s="34" t="str">
        <f aca="false">IF($R1866="","",IFERROR(INDEX(DriverCategory,MATCH($R1866,DriverList,0)),"BAU"))</f>
        <v/>
      </c>
      <c r="U1866" s="34" t="str">
        <f aca="false">IF($R1866="","",IFERROR(INDEX(DriverRank,MATCH($R1866,DriverList,0)),99))</f>
        <v/>
      </c>
      <c r="V1866" s="35" t="n">
        <f aca="false">IF($H1866="",0,IFERROR(INDEX(LevelBasic,MATCH($H1866,LevelList,0))+INDEX(LevelHousing,MATCH($H1866,LevelList,0))+INDEX(LevelTransport,MATCH($H1866,LevelList,0))+INDEX(LevelBasic,MATCH($H1866,LevelList,0))*INDEX(LevelBonus,MATCH($H1866,LevelList,0))+(INDEX(LevelBasic,MATCH($H1866,LevelList,0))+INDEX(LevelHousing,MATCH($H1866,LevelList,0)))*GosiSaudi,0))</f>
        <v>0</v>
      </c>
      <c r="W1866" s="35" t="n">
        <f aca="false">IFERROR(INDEX(LevelOneOff,MATCH($H1866,LevelList,0)),0)</f>
        <v>0</v>
      </c>
      <c r="X1866" s="35" t="str">
        <f aca="false">IF($G1866="","",$V1866*N($L1866))</f>
        <v/>
      </c>
      <c r="Y1866" s="35" t="str">
        <f aca="false">IF($G1866="","",$V1866*(N($M1866)*1+N($N1866)*0.75+N($O1866)*0.5+N($P1866)*0.25)+$W1866*N($L1866))</f>
        <v/>
      </c>
      <c r="Z1866" s="35" t="str">
        <f aca="false">IF($G1866="","",$U1866*1000000+ROW())</f>
        <v/>
      </c>
      <c r="AA1866" s="36" t="str">
        <f aca="false">IF($G1866="","",MID(IF($C1866="",", no division","")&amp;IF($E1866="",", no unit","")&amp;IF($H1866="",", no career level","")&amp;IF(N($L1866)&lt;=0,", no quarter split","")&amp;IF($R1866="",", no driver","")&amp;IF(AND($H1866&lt;&gt;"",COUNTIF(CareerLevels,$H1866)=0),", a career level that is not on the ladder","")&amp;IF(AND($R1866&lt;&gt;"",COUNTIF(DriverList,$R1866)=0),", a driver that is not on the list","")&amp;IF(ABS(N($L1866)-(N($M1866)+N($N1866)+N($O1866)+N($P1866)))&gt;0.001,", a total that does not match its quarters",""),3,300))</f>
        <v/>
      </c>
    </row>
    <row r="1867" customFormat="false" ht="15" hidden="false" customHeight="false" outlineLevel="0" collapsed="false">
      <c r="A1867" s="33" t="str">
        <f aca="false">IF($G1867="","","Risk Group")</f>
        <v/>
      </c>
      <c r="B1867" s="19"/>
      <c r="C1867" s="19"/>
      <c r="D1867" s="19"/>
      <c r="E1867" s="19"/>
      <c r="F1867" s="19"/>
      <c r="G1867" s="19"/>
      <c r="H1867" s="19"/>
      <c r="I1867" s="19"/>
      <c r="J1867" s="19"/>
      <c r="K1867" s="19"/>
      <c r="L1867" s="19"/>
      <c r="M1867" s="19"/>
      <c r="N1867" s="19"/>
      <c r="O1867" s="19"/>
      <c r="P1867" s="19"/>
      <c r="Q1867" s="19"/>
      <c r="R1867" s="19"/>
      <c r="S1867" s="19"/>
      <c r="T1867" s="34" t="str">
        <f aca="false">IF($R1867="","",IFERROR(INDEX(DriverCategory,MATCH($R1867,DriverList,0)),"BAU"))</f>
        <v/>
      </c>
      <c r="U1867" s="34" t="str">
        <f aca="false">IF($R1867="","",IFERROR(INDEX(DriverRank,MATCH($R1867,DriverList,0)),99))</f>
        <v/>
      </c>
      <c r="V1867" s="35" t="n">
        <f aca="false">IF($H1867="",0,IFERROR(INDEX(LevelBasic,MATCH($H1867,LevelList,0))+INDEX(LevelHousing,MATCH($H1867,LevelList,0))+INDEX(LevelTransport,MATCH($H1867,LevelList,0))+INDEX(LevelBasic,MATCH($H1867,LevelList,0))*INDEX(LevelBonus,MATCH($H1867,LevelList,0))+(INDEX(LevelBasic,MATCH($H1867,LevelList,0))+INDEX(LevelHousing,MATCH($H1867,LevelList,0)))*GosiSaudi,0))</f>
        <v>0</v>
      </c>
      <c r="W1867" s="35" t="n">
        <f aca="false">IFERROR(INDEX(LevelOneOff,MATCH($H1867,LevelList,0)),0)</f>
        <v>0</v>
      </c>
      <c r="X1867" s="35" t="str">
        <f aca="false">IF($G1867="","",$V1867*N($L1867))</f>
        <v/>
      </c>
      <c r="Y1867" s="35" t="str">
        <f aca="false">IF($G1867="","",$V1867*(N($M1867)*1+N($N1867)*0.75+N($O1867)*0.5+N($P1867)*0.25)+$W1867*N($L1867))</f>
        <v/>
      </c>
      <c r="Z1867" s="35" t="str">
        <f aca="false">IF($G1867="","",$U1867*1000000+ROW())</f>
        <v/>
      </c>
      <c r="AA1867" s="36" t="str">
        <f aca="false">IF($G1867="","",MID(IF($C1867="",", no division","")&amp;IF($E1867="",", no unit","")&amp;IF($H1867="",", no career level","")&amp;IF(N($L1867)&lt;=0,", no quarter split","")&amp;IF($R1867="",", no driver","")&amp;IF(AND($H1867&lt;&gt;"",COUNTIF(CareerLevels,$H1867)=0),", a career level that is not on the ladder","")&amp;IF(AND($R1867&lt;&gt;"",COUNTIF(DriverList,$R1867)=0),", a driver that is not on the list","")&amp;IF(ABS(N($L1867)-(N($M1867)+N($N1867)+N($O1867)+N($P1867)))&gt;0.001,", a total that does not match its quarters",""),3,300))</f>
        <v/>
      </c>
    </row>
    <row r="1868" customFormat="false" ht="15" hidden="false" customHeight="false" outlineLevel="0" collapsed="false">
      <c r="A1868" s="33" t="str">
        <f aca="false">IF($G1868="","","Risk Group")</f>
        <v/>
      </c>
      <c r="B1868" s="19"/>
      <c r="C1868" s="19"/>
      <c r="D1868" s="19"/>
      <c r="E1868" s="19"/>
      <c r="F1868" s="19"/>
      <c r="G1868" s="19"/>
      <c r="H1868" s="19"/>
      <c r="I1868" s="19"/>
      <c r="J1868" s="19"/>
      <c r="K1868" s="19"/>
      <c r="L1868" s="19"/>
      <c r="M1868" s="19"/>
      <c r="N1868" s="19"/>
      <c r="O1868" s="19"/>
      <c r="P1868" s="19"/>
      <c r="Q1868" s="19"/>
      <c r="R1868" s="19"/>
      <c r="S1868" s="19"/>
      <c r="T1868" s="34" t="str">
        <f aca="false">IF($R1868="","",IFERROR(INDEX(DriverCategory,MATCH($R1868,DriverList,0)),"BAU"))</f>
        <v/>
      </c>
      <c r="U1868" s="34" t="str">
        <f aca="false">IF($R1868="","",IFERROR(INDEX(DriverRank,MATCH($R1868,DriverList,0)),99))</f>
        <v/>
      </c>
      <c r="V1868" s="35" t="n">
        <f aca="false">IF($H1868="",0,IFERROR(INDEX(LevelBasic,MATCH($H1868,LevelList,0))+INDEX(LevelHousing,MATCH($H1868,LevelList,0))+INDEX(LevelTransport,MATCH($H1868,LevelList,0))+INDEX(LevelBasic,MATCH($H1868,LevelList,0))*INDEX(LevelBonus,MATCH($H1868,LevelList,0))+(INDEX(LevelBasic,MATCH($H1868,LevelList,0))+INDEX(LevelHousing,MATCH($H1868,LevelList,0)))*GosiSaudi,0))</f>
        <v>0</v>
      </c>
      <c r="W1868" s="35" t="n">
        <f aca="false">IFERROR(INDEX(LevelOneOff,MATCH($H1868,LevelList,0)),0)</f>
        <v>0</v>
      </c>
      <c r="X1868" s="35" t="str">
        <f aca="false">IF($G1868="","",$V1868*N($L1868))</f>
        <v/>
      </c>
      <c r="Y1868" s="35" t="str">
        <f aca="false">IF($G1868="","",$V1868*(N($M1868)*1+N($N1868)*0.75+N($O1868)*0.5+N($P1868)*0.25)+$W1868*N($L1868))</f>
        <v/>
      </c>
      <c r="Z1868" s="35" t="str">
        <f aca="false">IF($G1868="","",$U1868*1000000+ROW())</f>
        <v/>
      </c>
      <c r="AA1868" s="36" t="str">
        <f aca="false">IF($G1868="","",MID(IF($C1868="",", no division","")&amp;IF($E1868="",", no unit","")&amp;IF($H1868="",", no career level","")&amp;IF(N($L1868)&lt;=0,", no quarter split","")&amp;IF($R1868="",", no driver","")&amp;IF(AND($H1868&lt;&gt;"",COUNTIF(CareerLevels,$H1868)=0),", a career level that is not on the ladder","")&amp;IF(AND($R1868&lt;&gt;"",COUNTIF(DriverList,$R1868)=0),", a driver that is not on the list","")&amp;IF(ABS(N($L1868)-(N($M1868)+N($N1868)+N($O1868)+N($P1868)))&gt;0.001,", a total that does not match its quarters",""),3,300))</f>
        <v/>
      </c>
    </row>
    <row r="1869" customFormat="false" ht="15" hidden="false" customHeight="false" outlineLevel="0" collapsed="false">
      <c r="A1869" s="33" t="str">
        <f aca="false">IF($G1869="","","Risk Group")</f>
        <v/>
      </c>
      <c r="B1869" s="19"/>
      <c r="C1869" s="19"/>
      <c r="D1869" s="19"/>
      <c r="E1869" s="19"/>
      <c r="F1869" s="19"/>
      <c r="G1869" s="19"/>
      <c r="H1869" s="19"/>
      <c r="I1869" s="19"/>
      <c r="J1869" s="19"/>
      <c r="K1869" s="19"/>
      <c r="L1869" s="19"/>
      <c r="M1869" s="19"/>
      <c r="N1869" s="19"/>
      <c r="O1869" s="19"/>
      <c r="P1869" s="19"/>
      <c r="Q1869" s="19"/>
      <c r="R1869" s="19"/>
      <c r="S1869" s="19"/>
      <c r="T1869" s="34" t="str">
        <f aca="false">IF($R1869="","",IFERROR(INDEX(DriverCategory,MATCH($R1869,DriverList,0)),"BAU"))</f>
        <v/>
      </c>
      <c r="U1869" s="34" t="str">
        <f aca="false">IF($R1869="","",IFERROR(INDEX(DriverRank,MATCH($R1869,DriverList,0)),99))</f>
        <v/>
      </c>
      <c r="V1869" s="35" t="n">
        <f aca="false">IF($H1869="",0,IFERROR(INDEX(LevelBasic,MATCH($H1869,LevelList,0))+INDEX(LevelHousing,MATCH($H1869,LevelList,0))+INDEX(LevelTransport,MATCH($H1869,LevelList,0))+INDEX(LevelBasic,MATCH($H1869,LevelList,0))*INDEX(LevelBonus,MATCH($H1869,LevelList,0))+(INDEX(LevelBasic,MATCH($H1869,LevelList,0))+INDEX(LevelHousing,MATCH($H1869,LevelList,0)))*GosiSaudi,0))</f>
        <v>0</v>
      </c>
      <c r="W1869" s="35" t="n">
        <f aca="false">IFERROR(INDEX(LevelOneOff,MATCH($H1869,LevelList,0)),0)</f>
        <v>0</v>
      </c>
      <c r="X1869" s="35" t="str">
        <f aca="false">IF($G1869="","",$V1869*N($L1869))</f>
        <v/>
      </c>
      <c r="Y1869" s="35" t="str">
        <f aca="false">IF($G1869="","",$V1869*(N($M1869)*1+N($N1869)*0.75+N($O1869)*0.5+N($P1869)*0.25)+$W1869*N($L1869))</f>
        <v/>
      </c>
      <c r="Z1869" s="35" t="str">
        <f aca="false">IF($G1869="","",$U1869*1000000+ROW())</f>
        <v/>
      </c>
      <c r="AA1869" s="36" t="str">
        <f aca="false">IF($G1869="","",MID(IF($C1869="",", no division","")&amp;IF($E1869="",", no unit","")&amp;IF($H1869="",", no career level","")&amp;IF(N($L1869)&lt;=0,", no quarter split","")&amp;IF($R1869="",", no driver","")&amp;IF(AND($H1869&lt;&gt;"",COUNTIF(CareerLevels,$H1869)=0),", a career level that is not on the ladder","")&amp;IF(AND($R1869&lt;&gt;"",COUNTIF(DriverList,$R1869)=0),", a driver that is not on the list","")&amp;IF(ABS(N($L1869)-(N($M1869)+N($N1869)+N($O1869)+N($P1869)))&gt;0.001,", a total that does not match its quarters",""),3,300))</f>
        <v/>
      </c>
    </row>
    <row r="1870" customFormat="false" ht="15" hidden="false" customHeight="false" outlineLevel="0" collapsed="false">
      <c r="A1870" s="33" t="str">
        <f aca="false">IF($G1870="","","Risk Group")</f>
        <v/>
      </c>
      <c r="B1870" s="19"/>
      <c r="C1870" s="19"/>
      <c r="D1870" s="19"/>
      <c r="E1870" s="19"/>
      <c r="F1870" s="19"/>
      <c r="G1870" s="19"/>
      <c r="H1870" s="19"/>
      <c r="I1870" s="19"/>
      <c r="J1870" s="19"/>
      <c r="K1870" s="19"/>
      <c r="L1870" s="19"/>
      <c r="M1870" s="19"/>
      <c r="N1870" s="19"/>
      <c r="O1870" s="19"/>
      <c r="P1870" s="19"/>
      <c r="Q1870" s="19"/>
      <c r="R1870" s="19"/>
      <c r="S1870" s="19"/>
      <c r="T1870" s="34" t="str">
        <f aca="false">IF($R1870="","",IFERROR(INDEX(DriverCategory,MATCH($R1870,DriverList,0)),"BAU"))</f>
        <v/>
      </c>
      <c r="U1870" s="34" t="str">
        <f aca="false">IF($R1870="","",IFERROR(INDEX(DriverRank,MATCH($R1870,DriverList,0)),99))</f>
        <v/>
      </c>
      <c r="V1870" s="35" t="n">
        <f aca="false">IF($H1870="",0,IFERROR(INDEX(LevelBasic,MATCH($H1870,LevelList,0))+INDEX(LevelHousing,MATCH($H1870,LevelList,0))+INDEX(LevelTransport,MATCH($H1870,LevelList,0))+INDEX(LevelBasic,MATCH($H1870,LevelList,0))*INDEX(LevelBonus,MATCH($H1870,LevelList,0))+(INDEX(LevelBasic,MATCH($H1870,LevelList,0))+INDEX(LevelHousing,MATCH($H1870,LevelList,0)))*GosiSaudi,0))</f>
        <v>0</v>
      </c>
      <c r="W1870" s="35" t="n">
        <f aca="false">IFERROR(INDEX(LevelOneOff,MATCH($H1870,LevelList,0)),0)</f>
        <v>0</v>
      </c>
      <c r="X1870" s="35" t="str">
        <f aca="false">IF($G1870="","",$V1870*N($L1870))</f>
        <v/>
      </c>
      <c r="Y1870" s="35" t="str">
        <f aca="false">IF($G1870="","",$V1870*(N($M1870)*1+N($N1870)*0.75+N($O1870)*0.5+N($P1870)*0.25)+$W1870*N($L1870))</f>
        <v/>
      </c>
      <c r="Z1870" s="35" t="str">
        <f aca="false">IF($G1870="","",$U1870*1000000+ROW())</f>
        <v/>
      </c>
      <c r="AA1870" s="36" t="str">
        <f aca="false">IF($G1870="","",MID(IF($C1870="",", no division","")&amp;IF($E1870="",", no unit","")&amp;IF($H1870="",", no career level","")&amp;IF(N($L1870)&lt;=0,", no quarter split","")&amp;IF($R1870="",", no driver","")&amp;IF(AND($H1870&lt;&gt;"",COUNTIF(CareerLevels,$H1870)=0),", a career level that is not on the ladder","")&amp;IF(AND($R1870&lt;&gt;"",COUNTIF(DriverList,$R1870)=0),", a driver that is not on the list","")&amp;IF(ABS(N($L1870)-(N($M1870)+N($N1870)+N($O1870)+N($P1870)))&gt;0.001,", a total that does not match its quarters",""),3,300))</f>
        <v/>
      </c>
    </row>
    <row r="1871" customFormat="false" ht="15" hidden="false" customHeight="false" outlineLevel="0" collapsed="false">
      <c r="A1871" s="33" t="str">
        <f aca="false">IF($G1871="","","Risk Group")</f>
        <v/>
      </c>
      <c r="B1871" s="19"/>
      <c r="C1871" s="19"/>
      <c r="D1871" s="19"/>
      <c r="E1871" s="19"/>
      <c r="F1871" s="19"/>
      <c r="G1871" s="19"/>
      <c r="H1871" s="19"/>
      <c r="I1871" s="19"/>
      <c r="J1871" s="19"/>
      <c r="K1871" s="19"/>
      <c r="L1871" s="19"/>
      <c r="M1871" s="19"/>
      <c r="N1871" s="19"/>
      <c r="O1871" s="19"/>
      <c r="P1871" s="19"/>
      <c r="Q1871" s="19"/>
      <c r="R1871" s="19"/>
      <c r="S1871" s="19"/>
      <c r="T1871" s="34" t="str">
        <f aca="false">IF($R1871="","",IFERROR(INDEX(DriverCategory,MATCH($R1871,DriverList,0)),"BAU"))</f>
        <v/>
      </c>
      <c r="U1871" s="34" t="str">
        <f aca="false">IF($R1871="","",IFERROR(INDEX(DriverRank,MATCH($R1871,DriverList,0)),99))</f>
        <v/>
      </c>
      <c r="V1871" s="35" t="n">
        <f aca="false">IF($H1871="",0,IFERROR(INDEX(LevelBasic,MATCH($H1871,LevelList,0))+INDEX(LevelHousing,MATCH($H1871,LevelList,0))+INDEX(LevelTransport,MATCH($H1871,LevelList,0))+INDEX(LevelBasic,MATCH($H1871,LevelList,0))*INDEX(LevelBonus,MATCH($H1871,LevelList,0))+(INDEX(LevelBasic,MATCH($H1871,LevelList,0))+INDEX(LevelHousing,MATCH($H1871,LevelList,0)))*GosiSaudi,0))</f>
        <v>0</v>
      </c>
      <c r="W1871" s="35" t="n">
        <f aca="false">IFERROR(INDEX(LevelOneOff,MATCH($H1871,LevelList,0)),0)</f>
        <v>0</v>
      </c>
      <c r="X1871" s="35" t="str">
        <f aca="false">IF($G1871="","",$V1871*N($L1871))</f>
        <v/>
      </c>
      <c r="Y1871" s="35" t="str">
        <f aca="false">IF($G1871="","",$V1871*(N($M1871)*1+N($N1871)*0.75+N($O1871)*0.5+N($P1871)*0.25)+$W1871*N($L1871))</f>
        <v/>
      </c>
      <c r="Z1871" s="35" t="str">
        <f aca="false">IF($G1871="","",$U1871*1000000+ROW())</f>
        <v/>
      </c>
      <c r="AA1871" s="36" t="str">
        <f aca="false">IF($G1871="","",MID(IF($C1871="",", no division","")&amp;IF($E1871="",", no unit","")&amp;IF($H1871="",", no career level","")&amp;IF(N($L1871)&lt;=0,", no quarter split","")&amp;IF($R1871="",", no driver","")&amp;IF(AND($H1871&lt;&gt;"",COUNTIF(CareerLevels,$H1871)=0),", a career level that is not on the ladder","")&amp;IF(AND($R1871&lt;&gt;"",COUNTIF(DriverList,$R1871)=0),", a driver that is not on the list","")&amp;IF(ABS(N($L1871)-(N($M1871)+N($N1871)+N($O1871)+N($P1871)))&gt;0.001,", a total that does not match its quarters",""),3,300))</f>
        <v/>
      </c>
    </row>
    <row r="1872" customFormat="false" ht="15" hidden="false" customHeight="false" outlineLevel="0" collapsed="false">
      <c r="A1872" s="33" t="str">
        <f aca="false">IF($G1872="","","Risk Group")</f>
        <v/>
      </c>
      <c r="B1872" s="19"/>
      <c r="C1872" s="19"/>
      <c r="D1872" s="19"/>
      <c r="E1872" s="19"/>
      <c r="F1872" s="19"/>
      <c r="G1872" s="19"/>
      <c r="H1872" s="19"/>
      <c r="I1872" s="19"/>
      <c r="J1872" s="19"/>
      <c r="K1872" s="19"/>
      <c r="L1872" s="19"/>
      <c r="M1872" s="19"/>
      <c r="N1872" s="19"/>
      <c r="O1872" s="19"/>
      <c r="P1872" s="19"/>
      <c r="Q1872" s="19"/>
      <c r="R1872" s="19"/>
      <c r="S1872" s="19"/>
      <c r="T1872" s="34" t="str">
        <f aca="false">IF($R1872="","",IFERROR(INDEX(DriverCategory,MATCH($R1872,DriverList,0)),"BAU"))</f>
        <v/>
      </c>
      <c r="U1872" s="34" t="str">
        <f aca="false">IF($R1872="","",IFERROR(INDEX(DriverRank,MATCH($R1872,DriverList,0)),99))</f>
        <v/>
      </c>
      <c r="V1872" s="35" t="n">
        <f aca="false">IF($H1872="",0,IFERROR(INDEX(LevelBasic,MATCH($H1872,LevelList,0))+INDEX(LevelHousing,MATCH($H1872,LevelList,0))+INDEX(LevelTransport,MATCH($H1872,LevelList,0))+INDEX(LevelBasic,MATCH($H1872,LevelList,0))*INDEX(LevelBonus,MATCH($H1872,LevelList,0))+(INDEX(LevelBasic,MATCH($H1872,LevelList,0))+INDEX(LevelHousing,MATCH($H1872,LevelList,0)))*GosiSaudi,0))</f>
        <v>0</v>
      </c>
      <c r="W1872" s="35" t="n">
        <f aca="false">IFERROR(INDEX(LevelOneOff,MATCH($H1872,LevelList,0)),0)</f>
        <v>0</v>
      </c>
      <c r="X1872" s="35" t="str">
        <f aca="false">IF($G1872="","",$V1872*N($L1872))</f>
        <v/>
      </c>
      <c r="Y1872" s="35" t="str">
        <f aca="false">IF($G1872="","",$V1872*(N($M1872)*1+N($N1872)*0.75+N($O1872)*0.5+N($P1872)*0.25)+$W1872*N($L1872))</f>
        <v/>
      </c>
      <c r="Z1872" s="35" t="str">
        <f aca="false">IF($G1872="","",$U1872*1000000+ROW())</f>
        <v/>
      </c>
      <c r="AA1872" s="36" t="str">
        <f aca="false">IF($G1872="","",MID(IF($C1872="",", no division","")&amp;IF($E1872="",", no unit","")&amp;IF($H1872="",", no career level","")&amp;IF(N($L1872)&lt;=0,", no quarter split","")&amp;IF($R1872="",", no driver","")&amp;IF(AND($H1872&lt;&gt;"",COUNTIF(CareerLevels,$H1872)=0),", a career level that is not on the ladder","")&amp;IF(AND($R1872&lt;&gt;"",COUNTIF(DriverList,$R1872)=0),", a driver that is not on the list","")&amp;IF(ABS(N($L1872)-(N($M1872)+N($N1872)+N($O1872)+N($P1872)))&gt;0.001,", a total that does not match its quarters",""),3,300))</f>
        <v/>
      </c>
    </row>
    <row r="1873" customFormat="false" ht="15" hidden="false" customHeight="false" outlineLevel="0" collapsed="false">
      <c r="A1873" s="33" t="str">
        <f aca="false">IF($G1873="","","Risk Group")</f>
        <v/>
      </c>
      <c r="B1873" s="19"/>
      <c r="C1873" s="19"/>
      <c r="D1873" s="19"/>
      <c r="E1873" s="19"/>
      <c r="F1873" s="19"/>
      <c r="G1873" s="19"/>
      <c r="H1873" s="19"/>
      <c r="I1873" s="19"/>
      <c r="J1873" s="19"/>
      <c r="K1873" s="19"/>
      <c r="L1873" s="19"/>
      <c r="M1873" s="19"/>
      <c r="N1873" s="19"/>
      <c r="O1873" s="19"/>
      <c r="P1873" s="19"/>
      <c r="Q1873" s="19"/>
      <c r="R1873" s="19"/>
      <c r="S1873" s="19"/>
      <c r="T1873" s="34" t="str">
        <f aca="false">IF($R1873="","",IFERROR(INDEX(DriverCategory,MATCH($R1873,DriverList,0)),"BAU"))</f>
        <v/>
      </c>
      <c r="U1873" s="34" t="str">
        <f aca="false">IF($R1873="","",IFERROR(INDEX(DriverRank,MATCH($R1873,DriverList,0)),99))</f>
        <v/>
      </c>
      <c r="V1873" s="35" t="n">
        <f aca="false">IF($H1873="",0,IFERROR(INDEX(LevelBasic,MATCH($H1873,LevelList,0))+INDEX(LevelHousing,MATCH($H1873,LevelList,0))+INDEX(LevelTransport,MATCH($H1873,LevelList,0))+INDEX(LevelBasic,MATCH($H1873,LevelList,0))*INDEX(LevelBonus,MATCH($H1873,LevelList,0))+(INDEX(LevelBasic,MATCH($H1873,LevelList,0))+INDEX(LevelHousing,MATCH($H1873,LevelList,0)))*GosiSaudi,0))</f>
        <v>0</v>
      </c>
      <c r="W1873" s="35" t="n">
        <f aca="false">IFERROR(INDEX(LevelOneOff,MATCH($H1873,LevelList,0)),0)</f>
        <v>0</v>
      </c>
      <c r="X1873" s="35" t="str">
        <f aca="false">IF($G1873="","",$V1873*N($L1873))</f>
        <v/>
      </c>
      <c r="Y1873" s="35" t="str">
        <f aca="false">IF($G1873="","",$V1873*(N($M1873)*1+N($N1873)*0.75+N($O1873)*0.5+N($P1873)*0.25)+$W1873*N($L1873))</f>
        <v/>
      </c>
      <c r="Z1873" s="35" t="str">
        <f aca="false">IF($G1873="","",$U1873*1000000+ROW())</f>
        <v/>
      </c>
      <c r="AA1873" s="36" t="str">
        <f aca="false">IF($G1873="","",MID(IF($C1873="",", no division","")&amp;IF($E1873="",", no unit","")&amp;IF($H1873="",", no career level","")&amp;IF(N($L1873)&lt;=0,", no quarter split","")&amp;IF($R1873="",", no driver","")&amp;IF(AND($H1873&lt;&gt;"",COUNTIF(CareerLevels,$H1873)=0),", a career level that is not on the ladder","")&amp;IF(AND($R1873&lt;&gt;"",COUNTIF(DriverList,$R1873)=0),", a driver that is not on the list","")&amp;IF(ABS(N($L1873)-(N($M1873)+N($N1873)+N($O1873)+N($P1873)))&gt;0.001,", a total that does not match its quarters",""),3,300))</f>
        <v/>
      </c>
    </row>
    <row r="1874" customFormat="false" ht="15" hidden="false" customHeight="false" outlineLevel="0" collapsed="false">
      <c r="A1874" s="33" t="str">
        <f aca="false">IF($G1874="","","Risk Group")</f>
        <v/>
      </c>
      <c r="B1874" s="19"/>
      <c r="C1874" s="19"/>
      <c r="D1874" s="19"/>
      <c r="E1874" s="19"/>
      <c r="F1874" s="19"/>
      <c r="G1874" s="19"/>
      <c r="H1874" s="19"/>
      <c r="I1874" s="19"/>
      <c r="J1874" s="19"/>
      <c r="K1874" s="19"/>
      <c r="L1874" s="19"/>
      <c r="M1874" s="19"/>
      <c r="N1874" s="19"/>
      <c r="O1874" s="19"/>
      <c r="P1874" s="19"/>
      <c r="Q1874" s="19"/>
      <c r="R1874" s="19"/>
      <c r="S1874" s="19"/>
      <c r="T1874" s="34" t="str">
        <f aca="false">IF($R1874="","",IFERROR(INDEX(DriverCategory,MATCH($R1874,DriverList,0)),"BAU"))</f>
        <v/>
      </c>
      <c r="U1874" s="34" t="str">
        <f aca="false">IF($R1874="","",IFERROR(INDEX(DriverRank,MATCH($R1874,DriverList,0)),99))</f>
        <v/>
      </c>
      <c r="V1874" s="35" t="n">
        <f aca="false">IF($H1874="",0,IFERROR(INDEX(LevelBasic,MATCH($H1874,LevelList,0))+INDEX(LevelHousing,MATCH($H1874,LevelList,0))+INDEX(LevelTransport,MATCH($H1874,LevelList,0))+INDEX(LevelBasic,MATCH($H1874,LevelList,0))*INDEX(LevelBonus,MATCH($H1874,LevelList,0))+(INDEX(LevelBasic,MATCH($H1874,LevelList,0))+INDEX(LevelHousing,MATCH($H1874,LevelList,0)))*GosiSaudi,0))</f>
        <v>0</v>
      </c>
      <c r="W1874" s="35" t="n">
        <f aca="false">IFERROR(INDEX(LevelOneOff,MATCH($H1874,LevelList,0)),0)</f>
        <v>0</v>
      </c>
      <c r="X1874" s="35" t="str">
        <f aca="false">IF($G1874="","",$V1874*N($L1874))</f>
        <v/>
      </c>
      <c r="Y1874" s="35" t="str">
        <f aca="false">IF($G1874="","",$V1874*(N($M1874)*1+N($N1874)*0.75+N($O1874)*0.5+N($P1874)*0.25)+$W1874*N($L1874))</f>
        <v/>
      </c>
      <c r="Z1874" s="35" t="str">
        <f aca="false">IF($G1874="","",$U1874*1000000+ROW())</f>
        <v/>
      </c>
      <c r="AA1874" s="36" t="str">
        <f aca="false">IF($G1874="","",MID(IF($C1874="",", no division","")&amp;IF($E1874="",", no unit","")&amp;IF($H1874="",", no career level","")&amp;IF(N($L1874)&lt;=0,", no quarter split","")&amp;IF($R1874="",", no driver","")&amp;IF(AND($H1874&lt;&gt;"",COUNTIF(CareerLevels,$H1874)=0),", a career level that is not on the ladder","")&amp;IF(AND($R1874&lt;&gt;"",COUNTIF(DriverList,$R1874)=0),", a driver that is not on the list","")&amp;IF(ABS(N($L1874)-(N($M1874)+N($N1874)+N($O1874)+N($P1874)))&gt;0.001,", a total that does not match its quarters",""),3,300))</f>
        <v/>
      </c>
    </row>
    <row r="1875" customFormat="false" ht="15" hidden="false" customHeight="false" outlineLevel="0" collapsed="false">
      <c r="A1875" s="33" t="str">
        <f aca="false">IF($G1875="","","Risk Group")</f>
        <v/>
      </c>
      <c r="B1875" s="19"/>
      <c r="C1875" s="19"/>
      <c r="D1875" s="19"/>
      <c r="E1875" s="19"/>
      <c r="F1875" s="19"/>
      <c r="G1875" s="19"/>
      <c r="H1875" s="19"/>
      <c r="I1875" s="19"/>
      <c r="J1875" s="19"/>
      <c r="K1875" s="19"/>
      <c r="L1875" s="19"/>
      <c r="M1875" s="19"/>
      <c r="N1875" s="19"/>
      <c r="O1875" s="19"/>
      <c r="P1875" s="19"/>
      <c r="Q1875" s="19"/>
      <c r="R1875" s="19"/>
      <c r="S1875" s="19"/>
      <c r="T1875" s="34" t="str">
        <f aca="false">IF($R1875="","",IFERROR(INDEX(DriverCategory,MATCH($R1875,DriverList,0)),"BAU"))</f>
        <v/>
      </c>
      <c r="U1875" s="34" t="str">
        <f aca="false">IF($R1875="","",IFERROR(INDEX(DriverRank,MATCH($R1875,DriverList,0)),99))</f>
        <v/>
      </c>
      <c r="V1875" s="35" t="n">
        <f aca="false">IF($H1875="",0,IFERROR(INDEX(LevelBasic,MATCH($H1875,LevelList,0))+INDEX(LevelHousing,MATCH($H1875,LevelList,0))+INDEX(LevelTransport,MATCH($H1875,LevelList,0))+INDEX(LevelBasic,MATCH($H1875,LevelList,0))*INDEX(LevelBonus,MATCH($H1875,LevelList,0))+(INDEX(LevelBasic,MATCH($H1875,LevelList,0))+INDEX(LevelHousing,MATCH($H1875,LevelList,0)))*GosiSaudi,0))</f>
        <v>0</v>
      </c>
      <c r="W1875" s="35" t="n">
        <f aca="false">IFERROR(INDEX(LevelOneOff,MATCH($H1875,LevelList,0)),0)</f>
        <v>0</v>
      </c>
      <c r="X1875" s="35" t="str">
        <f aca="false">IF($G1875="","",$V1875*N($L1875))</f>
        <v/>
      </c>
      <c r="Y1875" s="35" t="str">
        <f aca="false">IF($G1875="","",$V1875*(N($M1875)*1+N($N1875)*0.75+N($O1875)*0.5+N($P1875)*0.25)+$W1875*N($L1875))</f>
        <v/>
      </c>
      <c r="Z1875" s="35" t="str">
        <f aca="false">IF($G1875="","",$U1875*1000000+ROW())</f>
        <v/>
      </c>
      <c r="AA1875" s="36" t="str">
        <f aca="false">IF($G1875="","",MID(IF($C1875="",", no division","")&amp;IF($E1875="",", no unit","")&amp;IF($H1875="",", no career level","")&amp;IF(N($L1875)&lt;=0,", no quarter split","")&amp;IF($R1875="",", no driver","")&amp;IF(AND($H1875&lt;&gt;"",COUNTIF(CareerLevels,$H1875)=0),", a career level that is not on the ladder","")&amp;IF(AND($R1875&lt;&gt;"",COUNTIF(DriverList,$R1875)=0),", a driver that is not on the list","")&amp;IF(ABS(N($L1875)-(N($M1875)+N($N1875)+N($O1875)+N($P1875)))&gt;0.001,", a total that does not match its quarters",""),3,300))</f>
        <v/>
      </c>
    </row>
    <row r="1876" customFormat="false" ht="15" hidden="false" customHeight="false" outlineLevel="0" collapsed="false">
      <c r="A1876" s="33" t="str">
        <f aca="false">IF($G1876="","","Risk Group")</f>
        <v/>
      </c>
      <c r="B1876" s="19"/>
      <c r="C1876" s="19"/>
      <c r="D1876" s="19"/>
      <c r="E1876" s="19"/>
      <c r="F1876" s="19"/>
      <c r="G1876" s="19"/>
      <c r="H1876" s="19"/>
      <c r="I1876" s="19"/>
      <c r="J1876" s="19"/>
      <c r="K1876" s="19"/>
      <c r="L1876" s="19"/>
      <c r="M1876" s="19"/>
      <c r="N1876" s="19"/>
      <c r="O1876" s="19"/>
      <c r="P1876" s="19"/>
      <c r="Q1876" s="19"/>
      <c r="R1876" s="19"/>
      <c r="S1876" s="19"/>
      <c r="T1876" s="34" t="str">
        <f aca="false">IF($R1876="","",IFERROR(INDEX(DriverCategory,MATCH($R1876,DriverList,0)),"BAU"))</f>
        <v/>
      </c>
      <c r="U1876" s="34" t="str">
        <f aca="false">IF($R1876="","",IFERROR(INDEX(DriverRank,MATCH($R1876,DriverList,0)),99))</f>
        <v/>
      </c>
      <c r="V1876" s="35" t="n">
        <f aca="false">IF($H1876="",0,IFERROR(INDEX(LevelBasic,MATCH($H1876,LevelList,0))+INDEX(LevelHousing,MATCH($H1876,LevelList,0))+INDEX(LevelTransport,MATCH($H1876,LevelList,0))+INDEX(LevelBasic,MATCH($H1876,LevelList,0))*INDEX(LevelBonus,MATCH($H1876,LevelList,0))+(INDEX(LevelBasic,MATCH($H1876,LevelList,0))+INDEX(LevelHousing,MATCH($H1876,LevelList,0)))*GosiSaudi,0))</f>
        <v>0</v>
      </c>
      <c r="W1876" s="35" t="n">
        <f aca="false">IFERROR(INDEX(LevelOneOff,MATCH($H1876,LevelList,0)),0)</f>
        <v>0</v>
      </c>
      <c r="X1876" s="35" t="str">
        <f aca="false">IF($G1876="","",$V1876*N($L1876))</f>
        <v/>
      </c>
      <c r="Y1876" s="35" t="str">
        <f aca="false">IF($G1876="","",$V1876*(N($M1876)*1+N($N1876)*0.75+N($O1876)*0.5+N($P1876)*0.25)+$W1876*N($L1876))</f>
        <v/>
      </c>
      <c r="Z1876" s="35" t="str">
        <f aca="false">IF($G1876="","",$U1876*1000000+ROW())</f>
        <v/>
      </c>
      <c r="AA1876" s="36" t="str">
        <f aca="false">IF($G1876="","",MID(IF($C1876="",", no division","")&amp;IF($E1876="",", no unit","")&amp;IF($H1876="",", no career level","")&amp;IF(N($L1876)&lt;=0,", no quarter split","")&amp;IF($R1876="",", no driver","")&amp;IF(AND($H1876&lt;&gt;"",COUNTIF(CareerLevels,$H1876)=0),", a career level that is not on the ladder","")&amp;IF(AND($R1876&lt;&gt;"",COUNTIF(DriverList,$R1876)=0),", a driver that is not on the list","")&amp;IF(ABS(N($L1876)-(N($M1876)+N($N1876)+N($O1876)+N($P1876)))&gt;0.001,", a total that does not match its quarters",""),3,300))</f>
        <v/>
      </c>
    </row>
    <row r="1877" customFormat="false" ht="15" hidden="false" customHeight="false" outlineLevel="0" collapsed="false">
      <c r="A1877" s="33" t="str">
        <f aca="false">IF($G1877="","","Risk Group")</f>
        <v/>
      </c>
      <c r="B1877" s="19"/>
      <c r="C1877" s="19"/>
      <c r="D1877" s="19"/>
      <c r="E1877" s="19"/>
      <c r="F1877" s="19"/>
      <c r="G1877" s="19"/>
      <c r="H1877" s="19"/>
      <c r="I1877" s="19"/>
      <c r="J1877" s="19"/>
      <c r="K1877" s="19"/>
      <c r="L1877" s="19"/>
      <c r="M1877" s="19"/>
      <c r="N1877" s="19"/>
      <c r="O1877" s="19"/>
      <c r="P1877" s="19"/>
      <c r="Q1877" s="19"/>
      <c r="R1877" s="19"/>
      <c r="S1877" s="19"/>
      <c r="T1877" s="34" t="str">
        <f aca="false">IF($R1877="","",IFERROR(INDEX(DriverCategory,MATCH($R1877,DriverList,0)),"BAU"))</f>
        <v/>
      </c>
      <c r="U1877" s="34" t="str">
        <f aca="false">IF($R1877="","",IFERROR(INDEX(DriverRank,MATCH($R1877,DriverList,0)),99))</f>
        <v/>
      </c>
      <c r="V1877" s="35" t="n">
        <f aca="false">IF($H1877="",0,IFERROR(INDEX(LevelBasic,MATCH($H1877,LevelList,0))+INDEX(LevelHousing,MATCH($H1877,LevelList,0))+INDEX(LevelTransport,MATCH($H1877,LevelList,0))+INDEX(LevelBasic,MATCH($H1877,LevelList,0))*INDEX(LevelBonus,MATCH($H1877,LevelList,0))+(INDEX(LevelBasic,MATCH($H1877,LevelList,0))+INDEX(LevelHousing,MATCH($H1877,LevelList,0)))*GosiSaudi,0))</f>
        <v>0</v>
      </c>
      <c r="W1877" s="35" t="n">
        <f aca="false">IFERROR(INDEX(LevelOneOff,MATCH($H1877,LevelList,0)),0)</f>
        <v>0</v>
      </c>
      <c r="X1877" s="35" t="str">
        <f aca="false">IF($G1877="","",$V1877*N($L1877))</f>
        <v/>
      </c>
      <c r="Y1877" s="35" t="str">
        <f aca="false">IF($G1877="","",$V1877*(N($M1877)*1+N($N1877)*0.75+N($O1877)*0.5+N($P1877)*0.25)+$W1877*N($L1877))</f>
        <v/>
      </c>
      <c r="Z1877" s="35" t="str">
        <f aca="false">IF($G1877="","",$U1877*1000000+ROW())</f>
        <v/>
      </c>
      <c r="AA1877" s="36" t="str">
        <f aca="false">IF($G1877="","",MID(IF($C1877="",", no division","")&amp;IF($E1877="",", no unit","")&amp;IF($H1877="",", no career level","")&amp;IF(N($L1877)&lt;=0,", no quarter split","")&amp;IF($R1877="",", no driver","")&amp;IF(AND($H1877&lt;&gt;"",COUNTIF(CareerLevels,$H1877)=0),", a career level that is not on the ladder","")&amp;IF(AND($R1877&lt;&gt;"",COUNTIF(DriverList,$R1877)=0),", a driver that is not on the list","")&amp;IF(ABS(N($L1877)-(N($M1877)+N($N1877)+N($O1877)+N($P1877)))&gt;0.001,", a total that does not match its quarters",""),3,300))</f>
        <v/>
      </c>
    </row>
    <row r="1878" customFormat="false" ht="15" hidden="false" customHeight="false" outlineLevel="0" collapsed="false">
      <c r="A1878" s="33" t="str">
        <f aca="false">IF($G1878="","","Risk Group")</f>
        <v/>
      </c>
      <c r="B1878" s="19"/>
      <c r="C1878" s="19"/>
      <c r="D1878" s="19"/>
      <c r="E1878" s="19"/>
      <c r="F1878" s="19"/>
      <c r="G1878" s="19"/>
      <c r="H1878" s="19"/>
      <c r="I1878" s="19"/>
      <c r="J1878" s="19"/>
      <c r="K1878" s="19"/>
      <c r="L1878" s="19"/>
      <c r="M1878" s="19"/>
      <c r="N1878" s="19"/>
      <c r="O1878" s="19"/>
      <c r="P1878" s="19"/>
      <c r="Q1878" s="19"/>
      <c r="R1878" s="19"/>
      <c r="S1878" s="19"/>
      <c r="T1878" s="34" t="str">
        <f aca="false">IF($R1878="","",IFERROR(INDEX(DriverCategory,MATCH($R1878,DriverList,0)),"BAU"))</f>
        <v/>
      </c>
      <c r="U1878" s="34" t="str">
        <f aca="false">IF($R1878="","",IFERROR(INDEX(DriverRank,MATCH($R1878,DriverList,0)),99))</f>
        <v/>
      </c>
      <c r="V1878" s="35" t="n">
        <f aca="false">IF($H1878="",0,IFERROR(INDEX(LevelBasic,MATCH($H1878,LevelList,0))+INDEX(LevelHousing,MATCH($H1878,LevelList,0))+INDEX(LevelTransport,MATCH($H1878,LevelList,0))+INDEX(LevelBasic,MATCH($H1878,LevelList,0))*INDEX(LevelBonus,MATCH($H1878,LevelList,0))+(INDEX(LevelBasic,MATCH($H1878,LevelList,0))+INDEX(LevelHousing,MATCH($H1878,LevelList,0)))*GosiSaudi,0))</f>
        <v>0</v>
      </c>
      <c r="W1878" s="35" t="n">
        <f aca="false">IFERROR(INDEX(LevelOneOff,MATCH($H1878,LevelList,0)),0)</f>
        <v>0</v>
      </c>
      <c r="X1878" s="35" t="str">
        <f aca="false">IF($G1878="","",$V1878*N($L1878))</f>
        <v/>
      </c>
      <c r="Y1878" s="35" t="str">
        <f aca="false">IF($G1878="","",$V1878*(N($M1878)*1+N($N1878)*0.75+N($O1878)*0.5+N($P1878)*0.25)+$W1878*N($L1878))</f>
        <v/>
      </c>
      <c r="Z1878" s="35" t="str">
        <f aca="false">IF($G1878="","",$U1878*1000000+ROW())</f>
        <v/>
      </c>
      <c r="AA1878" s="36" t="str">
        <f aca="false">IF($G1878="","",MID(IF($C1878="",", no division","")&amp;IF($E1878="",", no unit","")&amp;IF($H1878="",", no career level","")&amp;IF(N($L1878)&lt;=0,", no quarter split","")&amp;IF($R1878="",", no driver","")&amp;IF(AND($H1878&lt;&gt;"",COUNTIF(CareerLevels,$H1878)=0),", a career level that is not on the ladder","")&amp;IF(AND($R1878&lt;&gt;"",COUNTIF(DriverList,$R1878)=0),", a driver that is not on the list","")&amp;IF(ABS(N($L1878)-(N($M1878)+N($N1878)+N($O1878)+N($P1878)))&gt;0.001,", a total that does not match its quarters",""),3,300))</f>
        <v/>
      </c>
    </row>
    <row r="1879" customFormat="false" ht="15" hidden="false" customHeight="false" outlineLevel="0" collapsed="false">
      <c r="A1879" s="33" t="str">
        <f aca="false">IF($G1879="","","Risk Group")</f>
        <v/>
      </c>
      <c r="B1879" s="19"/>
      <c r="C1879" s="19"/>
      <c r="D1879" s="19"/>
      <c r="E1879" s="19"/>
      <c r="F1879" s="19"/>
      <c r="G1879" s="19"/>
      <c r="H1879" s="19"/>
      <c r="I1879" s="19"/>
      <c r="J1879" s="19"/>
      <c r="K1879" s="19"/>
      <c r="L1879" s="19"/>
      <c r="M1879" s="19"/>
      <c r="N1879" s="19"/>
      <c r="O1879" s="19"/>
      <c r="P1879" s="19"/>
      <c r="Q1879" s="19"/>
      <c r="R1879" s="19"/>
      <c r="S1879" s="19"/>
      <c r="T1879" s="34" t="str">
        <f aca="false">IF($R1879="","",IFERROR(INDEX(DriverCategory,MATCH($R1879,DriverList,0)),"BAU"))</f>
        <v/>
      </c>
      <c r="U1879" s="34" t="str">
        <f aca="false">IF($R1879="","",IFERROR(INDEX(DriverRank,MATCH($R1879,DriverList,0)),99))</f>
        <v/>
      </c>
      <c r="V1879" s="35" t="n">
        <f aca="false">IF($H1879="",0,IFERROR(INDEX(LevelBasic,MATCH($H1879,LevelList,0))+INDEX(LevelHousing,MATCH($H1879,LevelList,0))+INDEX(LevelTransport,MATCH($H1879,LevelList,0))+INDEX(LevelBasic,MATCH($H1879,LevelList,0))*INDEX(LevelBonus,MATCH($H1879,LevelList,0))+(INDEX(LevelBasic,MATCH($H1879,LevelList,0))+INDEX(LevelHousing,MATCH($H1879,LevelList,0)))*GosiSaudi,0))</f>
        <v>0</v>
      </c>
      <c r="W1879" s="35" t="n">
        <f aca="false">IFERROR(INDEX(LevelOneOff,MATCH($H1879,LevelList,0)),0)</f>
        <v>0</v>
      </c>
      <c r="X1879" s="35" t="str">
        <f aca="false">IF($G1879="","",$V1879*N($L1879))</f>
        <v/>
      </c>
      <c r="Y1879" s="35" t="str">
        <f aca="false">IF($G1879="","",$V1879*(N($M1879)*1+N($N1879)*0.75+N($O1879)*0.5+N($P1879)*0.25)+$W1879*N($L1879))</f>
        <v/>
      </c>
      <c r="Z1879" s="35" t="str">
        <f aca="false">IF($G1879="","",$U1879*1000000+ROW())</f>
        <v/>
      </c>
      <c r="AA1879" s="36" t="str">
        <f aca="false">IF($G1879="","",MID(IF($C1879="",", no division","")&amp;IF($E1879="",", no unit","")&amp;IF($H1879="",", no career level","")&amp;IF(N($L1879)&lt;=0,", no quarter split","")&amp;IF($R1879="",", no driver","")&amp;IF(AND($H1879&lt;&gt;"",COUNTIF(CareerLevels,$H1879)=0),", a career level that is not on the ladder","")&amp;IF(AND($R1879&lt;&gt;"",COUNTIF(DriverList,$R1879)=0),", a driver that is not on the list","")&amp;IF(ABS(N($L1879)-(N($M1879)+N($N1879)+N($O1879)+N($P1879)))&gt;0.001,", a total that does not match its quarters",""),3,300))</f>
        <v/>
      </c>
    </row>
    <row r="1880" customFormat="false" ht="15" hidden="false" customHeight="false" outlineLevel="0" collapsed="false">
      <c r="A1880" s="33" t="str">
        <f aca="false">IF($G1880="","","Risk Group")</f>
        <v/>
      </c>
      <c r="B1880" s="19"/>
      <c r="C1880" s="19"/>
      <c r="D1880" s="19"/>
      <c r="E1880" s="19"/>
      <c r="F1880" s="19"/>
      <c r="G1880" s="19"/>
      <c r="H1880" s="19"/>
      <c r="I1880" s="19"/>
      <c r="J1880" s="19"/>
      <c r="K1880" s="19"/>
      <c r="L1880" s="19"/>
      <c r="M1880" s="19"/>
      <c r="N1880" s="19"/>
      <c r="O1880" s="19"/>
      <c r="P1880" s="19"/>
      <c r="Q1880" s="19"/>
      <c r="R1880" s="19"/>
      <c r="S1880" s="19"/>
      <c r="T1880" s="34" t="str">
        <f aca="false">IF($R1880="","",IFERROR(INDEX(DriverCategory,MATCH($R1880,DriverList,0)),"BAU"))</f>
        <v/>
      </c>
      <c r="U1880" s="34" t="str">
        <f aca="false">IF($R1880="","",IFERROR(INDEX(DriverRank,MATCH($R1880,DriverList,0)),99))</f>
        <v/>
      </c>
      <c r="V1880" s="35" t="n">
        <f aca="false">IF($H1880="",0,IFERROR(INDEX(LevelBasic,MATCH($H1880,LevelList,0))+INDEX(LevelHousing,MATCH($H1880,LevelList,0))+INDEX(LevelTransport,MATCH($H1880,LevelList,0))+INDEX(LevelBasic,MATCH($H1880,LevelList,0))*INDEX(LevelBonus,MATCH($H1880,LevelList,0))+(INDEX(LevelBasic,MATCH($H1880,LevelList,0))+INDEX(LevelHousing,MATCH($H1880,LevelList,0)))*GosiSaudi,0))</f>
        <v>0</v>
      </c>
      <c r="W1880" s="35" t="n">
        <f aca="false">IFERROR(INDEX(LevelOneOff,MATCH($H1880,LevelList,0)),0)</f>
        <v>0</v>
      </c>
      <c r="X1880" s="35" t="str">
        <f aca="false">IF($G1880="","",$V1880*N($L1880))</f>
        <v/>
      </c>
      <c r="Y1880" s="35" t="str">
        <f aca="false">IF($G1880="","",$V1880*(N($M1880)*1+N($N1880)*0.75+N($O1880)*0.5+N($P1880)*0.25)+$W1880*N($L1880))</f>
        <v/>
      </c>
      <c r="Z1880" s="35" t="str">
        <f aca="false">IF($G1880="","",$U1880*1000000+ROW())</f>
        <v/>
      </c>
      <c r="AA1880" s="36" t="str">
        <f aca="false">IF($G1880="","",MID(IF($C1880="",", no division","")&amp;IF($E1880="",", no unit","")&amp;IF($H1880="",", no career level","")&amp;IF(N($L1880)&lt;=0,", no quarter split","")&amp;IF($R1880="",", no driver","")&amp;IF(AND($H1880&lt;&gt;"",COUNTIF(CareerLevels,$H1880)=0),", a career level that is not on the ladder","")&amp;IF(AND($R1880&lt;&gt;"",COUNTIF(DriverList,$R1880)=0),", a driver that is not on the list","")&amp;IF(ABS(N($L1880)-(N($M1880)+N($N1880)+N($O1880)+N($P1880)))&gt;0.001,", a total that does not match its quarters",""),3,300))</f>
        <v/>
      </c>
    </row>
    <row r="1881" customFormat="false" ht="15" hidden="false" customHeight="false" outlineLevel="0" collapsed="false">
      <c r="A1881" s="33" t="str">
        <f aca="false">IF($G1881="","","Risk Group")</f>
        <v/>
      </c>
      <c r="B1881" s="19"/>
      <c r="C1881" s="19"/>
      <c r="D1881" s="19"/>
      <c r="E1881" s="19"/>
      <c r="F1881" s="19"/>
      <c r="G1881" s="19"/>
      <c r="H1881" s="19"/>
      <c r="I1881" s="19"/>
      <c r="J1881" s="19"/>
      <c r="K1881" s="19"/>
      <c r="L1881" s="19"/>
      <c r="M1881" s="19"/>
      <c r="N1881" s="19"/>
      <c r="O1881" s="19"/>
      <c r="P1881" s="19"/>
      <c r="Q1881" s="19"/>
      <c r="R1881" s="19"/>
      <c r="S1881" s="19"/>
      <c r="T1881" s="34" t="str">
        <f aca="false">IF($R1881="","",IFERROR(INDEX(DriverCategory,MATCH($R1881,DriverList,0)),"BAU"))</f>
        <v/>
      </c>
      <c r="U1881" s="34" t="str">
        <f aca="false">IF($R1881="","",IFERROR(INDEX(DriverRank,MATCH($R1881,DriverList,0)),99))</f>
        <v/>
      </c>
      <c r="V1881" s="35" t="n">
        <f aca="false">IF($H1881="",0,IFERROR(INDEX(LevelBasic,MATCH($H1881,LevelList,0))+INDEX(LevelHousing,MATCH($H1881,LevelList,0))+INDEX(LevelTransport,MATCH($H1881,LevelList,0))+INDEX(LevelBasic,MATCH($H1881,LevelList,0))*INDEX(LevelBonus,MATCH($H1881,LevelList,0))+(INDEX(LevelBasic,MATCH($H1881,LevelList,0))+INDEX(LevelHousing,MATCH($H1881,LevelList,0)))*GosiSaudi,0))</f>
        <v>0</v>
      </c>
      <c r="W1881" s="35" t="n">
        <f aca="false">IFERROR(INDEX(LevelOneOff,MATCH($H1881,LevelList,0)),0)</f>
        <v>0</v>
      </c>
      <c r="X1881" s="35" t="str">
        <f aca="false">IF($G1881="","",$V1881*N($L1881))</f>
        <v/>
      </c>
      <c r="Y1881" s="35" t="str">
        <f aca="false">IF($G1881="","",$V1881*(N($M1881)*1+N($N1881)*0.75+N($O1881)*0.5+N($P1881)*0.25)+$W1881*N($L1881))</f>
        <v/>
      </c>
      <c r="Z1881" s="35" t="str">
        <f aca="false">IF($G1881="","",$U1881*1000000+ROW())</f>
        <v/>
      </c>
      <c r="AA1881" s="36" t="str">
        <f aca="false">IF($G1881="","",MID(IF($C1881="",", no division","")&amp;IF($E1881="",", no unit","")&amp;IF($H1881="",", no career level","")&amp;IF(N($L1881)&lt;=0,", no quarter split","")&amp;IF($R1881="",", no driver","")&amp;IF(AND($H1881&lt;&gt;"",COUNTIF(CareerLevels,$H1881)=0),", a career level that is not on the ladder","")&amp;IF(AND($R1881&lt;&gt;"",COUNTIF(DriverList,$R1881)=0),", a driver that is not on the list","")&amp;IF(ABS(N($L1881)-(N($M1881)+N($N1881)+N($O1881)+N($P1881)))&gt;0.001,", a total that does not match its quarters",""),3,300))</f>
        <v/>
      </c>
    </row>
    <row r="1882" customFormat="false" ht="15" hidden="false" customHeight="false" outlineLevel="0" collapsed="false">
      <c r="A1882" s="33" t="str">
        <f aca="false">IF($G1882="","","Risk Group")</f>
        <v/>
      </c>
      <c r="B1882" s="19"/>
      <c r="C1882" s="19"/>
      <c r="D1882" s="19"/>
      <c r="E1882" s="19"/>
      <c r="F1882" s="19"/>
      <c r="G1882" s="19"/>
      <c r="H1882" s="19"/>
      <c r="I1882" s="19"/>
      <c r="J1882" s="19"/>
      <c r="K1882" s="19"/>
      <c r="L1882" s="19"/>
      <c r="M1882" s="19"/>
      <c r="N1882" s="19"/>
      <c r="O1882" s="19"/>
      <c r="P1882" s="19"/>
      <c r="Q1882" s="19"/>
      <c r="R1882" s="19"/>
      <c r="S1882" s="19"/>
      <c r="T1882" s="34" t="str">
        <f aca="false">IF($R1882="","",IFERROR(INDEX(DriverCategory,MATCH($R1882,DriverList,0)),"BAU"))</f>
        <v/>
      </c>
      <c r="U1882" s="34" t="str">
        <f aca="false">IF($R1882="","",IFERROR(INDEX(DriverRank,MATCH($R1882,DriverList,0)),99))</f>
        <v/>
      </c>
      <c r="V1882" s="35" t="n">
        <f aca="false">IF($H1882="",0,IFERROR(INDEX(LevelBasic,MATCH($H1882,LevelList,0))+INDEX(LevelHousing,MATCH($H1882,LevelList,0))+INDEX(LevelTransport,MATCH($H1882,LevelList,0))+INDEX(LevelBasic,MATCH($H1882,LevelList,0))*INDEX(LevelBonus,MATCH($H1882,LevelList,0))+(INDEX(LevelBasic,MATCH($H1882,LevelList,0))+INDEX(LevelHousing,MATCH($H1882,LevelList,0)))*GosiSaudi,0))</f>
        <v>0</v>
      </c>
      <c r="W1882" s="35" t="n">
        <f aca="false">IFERROR(INDEX(LevelOneOff,MATCH($H1882,LevelList,0)),0)</f>
        <v>0</v>
      </c>
      <c r="X1882" s="35" t="str">
        <f aca="false">IF($G1882="","",$V1882*N($L1882))</f>
        <v/>
      </c>
      <c r="Y1882" s="35" t="str">
        <f aca="false">IF($G1882="","",$V1882*(N($M1882)*1+N($N1882)*0.75+N($O1882)*0.5+N($P1882)*0.25)+$W1882*N($L1882))</f>
        <v/>
      </c>
      <c r="Z1882" s="35" t="str">
        <f aca="false">IF($G1882="","",$U1882*1000000+ROW())</f>
        <v/>
      </c>
      <c r="AA1882" s="36" t="str">
        <f aca="false">IF($G1882="","",MID(IF($C1882="",", no division","")&amp;IF($E1882="",", no unit","")&amp;IF($H1882="",", no career level","")&amp;IF(N($L1882)&lt;=0,", no quarter split","")&amp;IF($R1882="",", no driver","")&amp;IF(AND($H1882&lt;&gt;"",COUNTIF(CareerLevels,$H1882)=0),", a career level that is not on the ladder","")&amp;IF(AND($R1882&lt;&gt;"",COUNTIF(DriverList,$R1882)=0),", a driver that is not on the list","")&amp;IF(ABS(N($L1882)-(N($M1882)+N($N1882)+N($O1882)+N($P1882)))&gt;0.001,", a total that does not match its quarters",""),3,300))</f>
        <v/>
      </c>
    </row>
    <row r="1883" customFormat="false" ht="15" hidden="false" customHeight="false" outlineLevel="0" collapsed="false">
      <c r="A1883" s="33" t="str">
        <f aca="false">IF($G1883="","","Risk Group")</f>
        <v/>
      </c>
      <c r="B1883" s="19"/>
      <c r="C1883" s="19"/>
      <c r="D1883" s="19"/>
      <c r="E1883" s="19"/>
      <c r="F1883" s="19"/>
      <c r="G1883" s="19"/>
      <c r="H1883" s="19"/>
      <c r="I1883" s="19"/>
      <c r="J1883" s="19"/>
      <c r="K1883" s="19"/>
      <c r="L1883" s="19"/>
      <c r="M1883" s="19"/>
      <c r="N1883" s="19"/>
      <c r="O1883" s="19"/>
      <c r="P1883" s="19"/>
      <c r="Q1883" s="19"/>
      <c r="R1883" s="19"/>
      <c r="S1883" s="19"/>
      <c r="T1883" s="34" t="str">
        <f aca="false">IF($R1883="","",IFERROR(INDEX(DriverCategory,MATCH($R1883,DriverList,0)),"BAU"))</f>
        <v/>
      </c>
      <c r="U1883" s="34" t="str">
        <f aca="false">IF($R1883="","",IFERROR(INDEX(DriverRank,MATCH($R1883,DriverList,0)),99))</f>
        <v/>
      </c>
      <c r="V1883" s="35" t="n">
        <f aca="false">IF($H1883="",0,IFERROR(INDEX(LevelBasic,MATCH($H1883,LevelList,0))+INDEX(LevelHousing,MATCH($H1883,LevelList,0))+INDEX(LevelTransport,MATCH($H1883,LevelList,0))+INDEX(LevelBasic,MATCH($H1883,LevelList,0))*INDEX(LevelBonus,MATCH($H1883,LevelList,0))+(INDEX(LevelBasic,MATCH($H1883,LevelList,0))+INDEX(LevelHousing,MATCH($H1883,LevelList,0)))*GosiSaudi,0))</f>
        <v>0</v>
      </c>
      <c r="W1883" s="35" t="n">
        <f aca="false">IFERROR(INDEX(LevelOneOff,MATCH($H1883,LevelList,0)),0)</f>
        <v>0</v>
      </c>
      <c r="X1883" s="35" t="str">
        <f aca="false">IF($G1883="","",$V1883*N($L1883))</f>
        <v/>
      </c>
      <c r="Y1883" s="35" t="str">
        <f aca="false">IF($G1883="","",$V1883*(N($M1883)*1+N($N1883)*0.75+N($O1883)*0.5+N($P1883)*0.25)+$W1883*N($L1883))</f>
        <v/>
      </c>
      <c r="Z1883" s="35" t="str">
        <f aca="false">IF($G1883="","",$U1883*1000000+ROW())</f>
        <v/>
      </c>
      <c r="AA1883" s="36" t="str">
        <f aca="false">IF($G1883="","",MID(IF($C1883="",", no division","")&amp;IF($E1883="",", no unit","")&amp;IF($H1883="",", no career level","")&amp;IF(N($L1883)&lt;=0,", no quarter split","")&amp;IF($R1883="",", no driver","")&amp;IF(AND($H1883&lt;&gt;"",COUNTIF(CareerLevels,$H1883)=0),", a career level that is not on the ladder","")&amp;IF(AND($R1883&lt;&gt;"",COUNTIF(DriverList,$R1883)=0),", a driver that is not on the list","")&amp;IF(ABS(N($L1883)-(N($M1883)+N($N1883)+N($O1883)+N($P1883)))&gt;0.001,", a total that does not match its quarters",""),3,300))</f>
        <v/>
      </c>
    </row>
    <row r="1884" customFormat="false" ht="15" hidden="false" customHeight="false" outlineLevel="0" collapsed="false">
      <c r="A1884" s="33" t="str">
        <f aca="false">IF($G1884="","","Risk Group")</f>
        <v/>
      </c>
      <c r="B1884" s="19"/>
      <c r="C1884" s="19"/>
      <c r="D1884" s="19"/>
      <c r="E1884" s="19"/>
      <c r="F1884" s="19"/>
      <c r="G1884" s="19"/>
      <c r="H1884" s="19"/>
      <c r="I1884" s="19"/>
      <c r="J1884" s="19"/>
      <c r="K1884" s="19"/>
      <c r="L1884" s="19"/>
      <c r="M1884" s="19"/>
      <c r="N1884" s="19"/>
      <c r="O1884" s="19"/>
      <c r="P1884" s="19"/>
      <c r="Q1884" s="19"/>
      <c r="R1884" s="19"/>
      <c r="S1884" s="19"/>
      <c r="T1884" s="34" t="str">
        <f aca="false">IF($R1884="","",IFERROR(INDEX(DriverCategory,MATCH($R1884,DriverList,0)),"BAU"))</f>
        <v/>
      </c>
      <c r="U1884" s="34" t="str">
        <f aca="false">IF($R1884="","",IFERROR(INDEX(DriverRank,MATCH($R1884,DriverList,0)),99))</f>
        <v/>
      </c>
      <c r="V1884" s="35" t="n">
        <f aca="false">IF($H1884="",0,IFERROR(INDEX(LevelBasic,MATCH($H1884,LevelList,0))+INDEX(LevelHousing,MATCH($H1884,LevelList,0))+INDEX(LevelTransport,MATCH($H1884,LevelList,0))+INDEX(LevelBasic,MATCH($H1884,LevelList,0))*INDEX(LevelBonus,MATCH($H1884,LevelList,0))+(INDEX(LevelBasic,MATCH($H1884,LevelList,0))+INDEX(LevelHousing,MATCH($H1884,LevelList,0)))*GosiSaudi,0))</f>
        <v>0</v>
      </c>
      <c r="W1884" s="35" t="n">
        <f aca="false">IFERROR(INDEX(LevelOneOff,MATCH($H1884,LevelList,0)),0)</f>
        <v>0</v>
      </c>
      <c r="X1884" s="35" t="str">
        <f aca="false">IF($G1884="","",$V1884*N($L1884))</f>
        <v/>
      </c>
      <c r="Y1884" s="35" t="str">
        <f aca="false">IF($G1884="","",$V1884*(N($M1884)*1+N($N1884)*0.75+N($O1884)*0.5+N($P1884)*0.25)+$W1884*N($L1884))</f>
        <v/>
      </c>
      <c r="Z1884" s="35" t="str">
        <f aca="false">IF($G1884="","",$U1884*1000000+ROW())</f>
        <v/>
      </c>
      <c r="AA1884" s="36" t="str">
        <f aca="false">IF($G1884="","",MID(IF($C1884="",", no division","")&amp;IF($E1884="",", no unit","")&amp;IF($H1884="",", no career level","")&amp;IF(N($L1884)&lt;=0,", no quarter split","")&amp;IF($R1884="",", no driver","")&amp;IF(AND($H1884&lt;&gt;"",COUNTIF(CareerLevels,$H1884)=0),", a career level that is not on the ladder","")&amp;IF(AND($R1884&lt;&gt;"",COUNTIF(DriverList,$R1884)=0),", a driver that is not on the list","")&amp;IF(ABS(N($L1884)-(N($M1884)+N($N1884)+N($O1884)+N($P1884)))&gt;0.001,", a total that does not match its quarters",""),3,300))</f>
        <v/>
      </c>
    </row>
    <row r="1885" customFormat="false" ht="15" hidden="false" customHeight="false" outlineLevel="0" collapsed="false">
      <c r="A1885" s="33" t="str">
        <f aca="false">IF($G1885="","","Risk Group")</f>
        <v/>
      </c>
      <c r="B1885" s="19"/>
      <c r="C1885" s="19"/>
      <c r="D1885" s="19"/>
      <c r="E1885" s="19"/>
      <c r="F1885" s="19"/>
      <c r="G1885" s="19"/>
      <c r="H1885" s="19"/>
      <c r="I1885" s="19"/>
      <c r="J1885" s="19"/>
      <c r="K1885" s="19"/>
      <c r="L1885" s="19"/>
      <c r="M1885" s="19"/>
      <c r="N1885" s="19"/>
      <c r="O1885" s="19"/>
      <c r="P1885" s="19"/>
      <c r="Q1885" s="19"/>
      <c r="R1885" s="19"/>
      <c r="S1885" s="19"/>
      <c r="T1885" s="34" t="str">
        <f aca="false">IF($R1885="","",IFERROR(INDEX(DriverCategory,MATCH($R1885,DriverList,0)),"BAU"))</f>
        <v/>
      </c>
      <c r="U1885" s="34" t="str">
        <f aca="false">IF($R1885="","",IFERROR(INDEX(DriverRank,MATCH($R1885,DriverList,0)),99))</f>
        <v/>
      </c>
      <c r="V1885" s="35" t="n">
        <f aca="false">IF($H1885="",0,IFERROR(INDEX(LevelBasic,MATCH($H1885,LevelList,0))+INDEX(LevelHousing,MATCH($H1885,LevelList,0))+INDEX(LevelTransport,MATCH($H1885,LevelList,0))+INDEX(LevelBasic,MATCH($H1885,LevelList,0))*INDEX(LevelBonus,MATCH($H1885,LevelList,0))+(INDEX(LevelBasic,MATCH($H1885,LevelList,0))+INDEX(LevelHousing,MATCH($H1885,LevelList,0)))*GosiSaudi,0))</f>
        <v>0</v>
      </c>
      <c r="W1885" s="35" t="n">
        <f aca="false">IFERROR(INDEX(LevelOneOff,MATCH($H1885,LevelList,0)),0)</f>
        <v>0</v>
      </c>
      <c r="X1885" s="35" t="str">
        <f aca="false">IF($G1885="","",$V1885*N($L1885))</f>
        <v/>
      </c>
      <c r="Y1885" s="35" t="str">
        <f aca="false">IF($G1885="","",$V1885*(N($M1885)*1+N($N1885)*0.75+N($O1885)*0.5+N($P1885)*0.25)+$W1885*N($L1885))</f>
        <v/>
      </c>
      <c r="Z1885" s="35" t="str">
        <f aca="false">IF($G1885="","",$U1885*1000000+ROW())</f>
        <v/>
      </c>
      <c r="AA1885" s="36" t="str">
        <f aca="false">IF($G1885="","",MID(IF($C1885="",", no division","")&amp;IF($E1885="",", no unit","")&amp;IF($H1885="",", no career level","")&amp;IF(N($L1885)&lt;=0,", no quarter split","")&amp;IF($R1885="",", no driver","")&amp;IF(AND($H1885&lt;&gt;"",COUNTIF(CareerLevels,$H1885)=0),", a career level that is not on the ladder","")&amp;IF(AND($R1885&lt;&gt;"",COUNTIF(DriverList,$R1885)=0),", a driver that is not on the list","")&amp;IF(ABS(N($L1885)-(N($M1885)+N($N1885)+N($O1885)+N($P1885)))&gt;0.001,", a total that does not match its quarters",""),3,300))</f>
        <v/>
      </c>
    </row>
    <row r="1886" customFormat="false" ht="15" hidden="false" customHeight="false" outlineLevel="0" collapsed="false">
      <c r="A1886" s="33" t="str">
        <f aca="false">IF($G1886="","","Risk Group")</f>
        <v/>
      </c>
      <c r="B1886" s="19"/>
      <c r="C1886" s="19"/>
      <c r="D1886" s="19"/>
      <c r="E1886" s="19"/>
      <c r="F1886" s="19"/>
      <c r="G1886" s="19"/>
      <c r="H1886" s="19"/>
      <c r="I1886" s="19"/>
      <c r="J1886" s="19"/>
      <c r="K1886" s="19"/>
      <c r="L1886" s="19"/>
      <c r="M1886" s="19"/>
      <c r="N1886" s="19"/>
      <c r="O1886" s="19"/>
      <c r="P1886" s="19"/>
      <c r="Q1886" s="19"/>
      <c r="R1886" s="19"/>
      <c r="S1886" s="19"/>
      <c r="T1886" s="34" t="str">
        <f aca="false">IF($R1886="","",IFERROR(INDEX(DriverCategory,MATCH($R1886,DriverList,0)),"BAU"))</f>
        <v/>
      </c>
      <c r="U1886" s="34" t="str">
        <f aca="false">IF($R1886="","",IFERROR(INDEX(DriverRank,MATCH($R1886,DriverList,0)),99))</f>
        <v/>
      </c>
      <c r="V1886" s="35" t="n">
        <f aca="false">IF($H1886="",0,IFERROR(INDEX(LevelBasic,MATCH($H1886,LevelList,0))+INDEX(LevelHousing,MATCH($H1886,LevelList,0))+INDEX(LevelTransport,MATCH($H1886,LevelList,0))+INDEX(LevelBasic,MATCH($H1886,LevelList,0))*INDEX(LevelBonus,MATCH($H1886,LevelList,0))+(INDEX(LevelBasic,MATCH($H1886,LevelList,0))+INDEX(LevelHousing,MATCH($H1886,LevelList,0)))*GosiSaudi,0))</f>
        <v>0</v>
      </c>
      <c r="W1886" s="35" t="n">
        <f aca="false">IFERROR(INDEX(LevelOneOff,MATCH($H1886,LevelList,0)),0)</f>
        <v>0</v>
      </c>
      <c r="X1886" s="35" t="str">
        <f aca="false">IF($G1886="","",$V1886*N($L1886))</f>
        <v/>
      </c>
      <c r="Y1886" s="35" t="str">
        <f aca="false">IF($G1886="","",$V1886*(N($M1886)*1+N($N1886)*0.75+N($O1886)*0.5+N($P1886)*0.25)+$W1886*N($L1886))</f>
        <v/>
      </c>
      <c r="Z1886" s="35" t="str">
        <f aca="false">IF($G1886="","",$U1886*1000000+ROW())</f>
        <v/>
      </c>
      <c r="AA1886" s="36" t="str">
        <f aca="false">IF($G1886="","",MID(IF($C1886="",", no division","")&amp;IF($E1886="",", no unit","")&amp;IF($H1886="",", no career level","")&amp;IF(N($L1886)&lt;=0,", no quarter split","")&amp;IF($R1886="",", no driver","")&amp;IF(AND($H1886&lt;&gt;"",COUNTIF(CareerLevels,$H1886)=0),", a career level that is not on the ladder","")&amp;IF(AND($R1886&lt;&gt;"",COUNTIF(DriverList,$R1886)=0),", a driver that is not on the list","")&amp;IF(ABS(N($L1886)-(N($M1886)+N($N1886)+N($O1886)+N($P1886)))&gt;0.001,", a total that does not match its quarters",""),3,300))</f>
        <v/>
      </c>
    </row>
    <row r="1887" customFormat="false" ht="15" hidden="false" customHeight="false" outlineLevel="0" collapsed="false">
      <c r="A1887" s="33" t="str">
        <f aca="false">IF($G1887="","","Risk Group")</f>
        <v/>
      </c>
      <c r="B1887" s="19"/>
      <c r="C1887" s="19"/>
      <c r="D1887" s="19"/>
      <c r="E1887" s="19"/>
      <c r="F1887" s="19"/>
      <c r="G1887" s="19"/>
      <c r="H1887" s="19"/>
      <c r="I1887" s="19"/>
      <c r="J1887" s="19"/>
      <c r="K1887" s="19"/>
      <c r="L1887" s="19"/>
      <c r="M1887" s="19"/>
      <c r="N1887" s="19"/>
      <c r="O1887" s="19"/>
      <c r="P1887" s="19"/>
      <c r="Q1887" s="19"/>
      <c r="R1887" s="19"/>
      <c r="S1887" s="19"/>
      <c r="T1887" s="34" t="str">
        <f aca="false">IF($R1887="","",IFERROR(INDEX(DriverCategory,MATCH($R1887,DriverList,0)),"BAU"))</f>
        <v/>
      </c>
      <c r="U1887" s="34" t="str">
        <f aca="false">IF($R1887="","",IFERROR(INDEX(DriverRank,MATCH($R1887,DriverList,0)),99))</f>
        <v/>
      </c>
      <c r="V1887" s="35" t="n">
        <f aca="false">IF($H1887="",0,IFERROR(INDEX(LevelBasic,MATCH($H1887,LevelList,0))+INDEX(LevelHousing,MATCH($H1887,LevelList,0))+INDEX(LevelTransport,MATCH($H1887,LevelList,0))+INDEX(LevelBasic,MATCH($H1887,LevelList,0))*INDEX(LevelBonus,MATCH($H1887,LevelList,0))+(INDEX(LevelBasic,MATCH($H1887,LevelList,0))+INDEX(LevelHousing,MATCH($H1887,LevelList,0)))*GosiSaudi,0))</f>
        <v>0</v>
      </c>
      <c r="W1887" s="35" t="n">
        <f aca="false">IFERROR(INDEX(LevelOneOff,MATCH($H1887,LevelList,0)),0)</f>
        <v>0</v>
      </c>
      <c r="X1887" s="35" t="str">
        <f aca="false">IF($G1887="","",$V1887*N($L1887))</f>
        <v/>
      </c>
      <c r="Y1887" s="35" t="str">
        <f aca="false">IF($G1887="","",$V1887*(N($M1887)*1+N($N1887)*0.75+N($O1887)*0.5+N($P1887)*0.25)+$W1887*N($L1887))</f>
        <v/>
      </c>
      <c r="Z1887" s="35" t="str">
        <f aca="false">IF($G1887="","",$U1887*1000000+ROW())</f>
        <v/>
      </c>
      <c r="AA1887" s="36" t="str">
        <f aca="false">IF($G1887="","",MID(IF($C1887="",", no division","")&amp;IF($E1887="",", no unit","")&amp;IF($H1887="",", no career level","")&amp;IF(N($L1887)&lt;=0,", no quarter split","")&amp;IF($R1887="",", no driver","")&amp;IF(AND($H1887&lt;&gt;"",COUNTIF(CareerLevels,$H1887)=0),", a career level that is not on the ladder","")&amp;IF(AND($R1887&lt;&gt;"",COUNTIF(DriverList,$R1887)=0),", a driver that is not on the list","")&amp;IF(ABS(N($L1887)-(N($M1887)+N($N1887)+N($O1887)+N($P1887)))&gt;0.001,", a total that does not match its quarters",""),3,300))</f>
        <v/>
      </c>
    </row>
    <row r="1888" customFormat="false" ht="15" hidden="false" customHeight="false" outlineLevel="0" collapsed="false">
      <c r="A1888" s="33" t="str">
        <f aca="false">IF($G1888="","","Risk Group")</f>
        <v/>
      </c>
      <c r="B1888" s="19"/>
      <c r="C1888" s="19"/>
      <c r="D1888" s="19"/>
      <c r="E1888" s="19"/>
      <c r="F1888" s="19"/>
      <c r="G1888" s="19"/>
      <c r="H1888" s="19"/>
      <c r="I1888" s="19"/>
      <c r="J1888" s="19"/>
      <c r="K1888" s="19"/>
      <c r="L1888" s="19"/>
      <c r="M1888" s="19"/>
      <c r="N1888" s="19"/>
      <c r="O1888" s="19"/>
      <c r="P1888" s="19"/>
      <c r="Q1888" s="19"/>
      <c r="R1888" s="19"/>
      <c r="S1888" s="19"/>
      <c r="T1888" s="34" t="str">
        <f aca="false">IF($R1888="","",IFERROR(INDEX(DriverCategory,MATCH($R1888,DriverList,0)),"BAU"))</f>
        <v/>
      </c>
      <c r="U1888" s="34" t="str">
        <f aca="false">IF($R1888="","",IFERROR(INDEX(DriverRank,MATCH($R1888,DriverList,0)),99))</f>
        <v/>
      </c>
      <c r="V1888" s="35" t="n">
        <f aca="false">IF($H1888="",0,IFERROR(INDEX(LevelBasic,MATCH($H1888,LevelList,0))+INDEX(LevelHousing,MATCH($H1888,LevelList,0))+INDEX(LevelTransport,MATCH($H1888,LevelList,0))+INDEX(LevelBasic,MATCH($H1888,LevelList,0))*INDEX(LevelBonus,MATCH($H1888,LevelList,0))+(INDEX(LevelBasic,MATCH($H1888,LevelList,0))+INDEX(LevelHousing,MATCH($H1888,LevelList,0)))*GosiSaudi,0))</f>
        <v>0</v>
      </c>
      <c r="W1888" s="35" t="n">
        <f aca="false">IFERROR(INDEX(LevelOneOff,MATCH($H1888,LevelList,0)),0)</f>
        <v>0</v>
      </c>
      <c r="X1888" s="35" t="str">
        <f aca="false">IF($G1888="","",$V1888*N($L1888))</f>
        <v/>
      </c>
      <c r="Y1888" s="35" t="str">
        <f aca="false">IF($G1888="","",$V1888*(N($M1888)*1+N($N1888)*0.75+N($O1888)*0.5+N($P1888)*0.25)+$W1888*N($L1888))</f>
        <v/>
      </c>
      <c r="Z1888" s="35" t="str">
        <f aca="false">IF($G1888="","",$U1888*1000000+ROW())</f>
        <v/>
      </c>
      <c r="AA1888" s="36" t="str">
        <f aca="false">IF($G1888="","",MID(IF($C1888="",", no division","")&amp;IF($E1888="",", no unit","")&amp;IF($H1888="",", no career level","")&amp;IF(N($L1888)&lt;=0,", no quarter split","")&amp;IF($R1888="",", no driver","")&amp;IF(AND($H1888&lt;&gt;"",COUNTIF(CareerLevels,$H1888)=0),", a career level that is not on the ladder","")&amp;IF(AND($R1888&lt;&gt;"",COUNTIF(DriverList,$R1888)=0),", a driver that is not on the list","")&amp;IF(ABS(N($L1888)-(N($M1888)+N($N1888)+N($O1888)+N($P1888)))&gt;0.001,", a total that does not match its quarters",""),3,300))</f>
        <v/>
      </c>
    </row>
    <row r="1889" customFormat="false" ht="15" hidden="false" customHeight="false" outlineLevel="0" collapsed="false">
      <c r="A1889" s="33" t="str">
        <f aca="false">IF($G1889="","","Risk Group")</f>
        <v/>
      </c>
      <c r="B1889" s="19"/>
      <c r="C1889" s="19"/>
      <c r="D1889" s="19"/>
      <c r="E1889" s="19"/>
      <c r="F1889" s="19"/>
      <c r="G1889" s="19"/>
      <c r="H1889" s="19"/>
      <c r="I1889" s="19"/>
      <c r="J1889" s="19"/>
      <c r="K1889" s="19"/>
      <c r="L1889" s="19"/>
      <c r="M1889" s="19"/>
      <c r="N1889" s="19"/>
      <c r="O1889" s="19"/>
      <c r="P1889" s="19"/>
      <c r="Q1889" s="19"/>
      <c r="R1889" s="19"/>
      <c r="S1889" s="19"/>
      <c r="T1889" s="34" t="str">
        <f aca="false">IF($R1889="","",IFERROR(INDEX(DriverCategory,MATCH($R1889,DriverList,0)),"BAU"))</f>
        <v/>
      </c>
      <c r="U1889" s="34" t="str">
        <f aca="false">IF($R1889="","",IFERROR(INDEX(DriverRank,MATCH($R1889,DriverList,0)),99))</f>
        <v/>
      </c>
      <c r="V1889" s="35" t="n">
        <f aca="false">IF($H1889="",0,IFERROR(INDEX(LevelBasic,MATCH($H1889,LevelList,0))+INDEX(LevelHousing,MATCH($H1889,LevelList,0))+INDEX(LevelTransport,MATCH($H1889,LevelList,0))+INDEX(LevelBasic,MATCH($H1889,LevelList,0))*INDEX(LevelBonus,MATCH($H1889,LevelList,0))+(INDEX(LevelBasic,MATCH($H1889,LevelList,0))+INDEX(LevelHousing,MATCH($H1889,LevelList,0)))*GosiSaudi,0))</f>
        <v>0</v>
      </c>
      <c r="W1889" s="35" t="n">
        <f aca="false">IFERROR(INDEX(LevelOneOff,MATCH($H1889,LevelList,0)),0)</f>
        <v>0</v>
      </c>
      <c r="X1889" s="35" t="str">
        <f aca="false">IF($G1889="","",$V1889*N($L1889))</f>
        <v/>
      </c>
      <c r="Y1889" s="35" t="str">
        <f aca="false">IF($G1889="","",$V1889*(N($M1889)*1+N($N1889)*0.75+N($O1889)*0.5+N($P1889)*0.25)+$W1889*N($L1889))</f>
        <v/>
      </c>
      <c r="Z1889" s="35" t="str">
        <f aca="false">IF($G1889="","",$U1889*1000000+ROW())</f>
        <v/>
      </c>
      <c r="AA1889" s="36" t="str">
        <f aca="false">IF($G1889="","",MID(IF($C1889="",", no division","")&amp;IF($E1889="",", no unit","")&amp;IF($H1889="",", no career level","")&amp;IF(N($L1889)&lt;=0,", no quarter split","")&amp;IF($R1889="",", no driver","")&amp;IF(AND($H1889&lt;&gt;"",COUNTIF(CareerLevels,$H1889)=0),", a career level that is not on the ladder","")&amp;IF(AND($R1889&lt;&gt;"",COUNTIF(DriverList,$R1889)=0),", a driver that is not on the list","")&amp;IF(ABS(N($L1889)-(N($M1889)+N($N1889)+N($O1889)+N($P1889)))&gt;0.001,", a total that does not match its quarters",""),3,300))</f>
        <v/>
      </c>
    </row>
    <row r="1890" customFormat="false" ht="15" hidden="false" customHeight="false" outlineLevel="0" collapsed="false">
      <c r="A1890" s="33" t="str">
        <f aca="false">IF($G1890="","","Risk Group")</f>
        <v/>
      </c>
      <c r="B1890" s="19"/>
      <c r="C1890" s="19"/>
      <c r="D1890" s="19"/>
      <c r="E1890" s="19"/>
      <c r="F1890" s="19"/>
      <c r="G1890" s="19"/>
      <c r="H1890" s="19"/>
      <c r="I1890" s="19"/>
      <c r="J1890" s="19"/>
      <c r="K1890" s="19"/>
      <c r="L1890" s="19"/>
      <c r="M1890" s="19"/>
      <c r="N1890" s="19"/>
      <c r="O1890" s="19"/>
      <c r="P1890" s="19"/>
      <c r="Q1890" s="19"/>
      <c r="R1890" s="19"/>
      <c r="S1890" s="19"/>
      <c r="T1890" s="34" t="str">
        <f aca="false">IF($R1890="","",IFERROR(INDEX(DriverCategory,MATCH($R1890,DriverList,0)),"BAU"))</f>
        <v/>
      </c>
      <c r="U1890" s="34" t="str">
        <f aca="false">IF($R1890="","",IFERROR(INDEX(DriverRank,MATCH($R1890,DriverList,0)),99))</f>
        <v/>
      </c>
      <c r="V1890" s="35" t="n">
        <f aca="false">IF($H1890="",0,IFERROR(INDEX(LevelBasic,MATCH($H1890,LevelList,0))+INDEX(LevelHousing,MATCH($H1890,LevelList,0))+INDEX(LevelTransport,MATCH($H1890,LevelList,0))+INDEX(LevelBasic,MATCH($H1890,LevelList,0))*INDEX(LevelBonus,MATCH($H1890,LevelList,0))+(INDEX(LevelBasic,MATCH($H1890,LevelList,0))+INDEX(LevelHousing,MATCH($H1890,LevelList,0)))*GosiSaudi,0))</f>
        <v>0</v>
      </c>
      <c r="W1890" s="35" t="n">
        <f aca="false">IFERROR(INDEX(LevelOneOff,MATCH($H1890,LevelList,0)),0)</f>
        <v>0</v>
      </c>
      <c r="X1890" s="35" t="str">
        <f aca="false">IF($G1890="","",$V1890*N($L1890))</f>
        <v/>
      </c>
      <c r="Y1890" s="35" t="str">
        <f aca="false">IF($G1890="","",$V1890*(N($M1890)*1+N($N1890)*0.75+N($O1890)*0.5+N($P1890)*0.25)+$W1890*N($L1890))</f>
        <v/>
      </c>
      <c r="Z1890" s="35" t="str">
        <f aca="false">IF($G1890="","",$U1890*1000000+ROW())</f>
        <v/>
      </c>
      <c r="AA1890" s="36" t="str">
        <f aca="false">IF($G1890="","",MID(IF($C1890="",", no division","")&amp;IF($E1890="",", no unit","")&amp;IF($H1890="",", no career level","")&amp;IF(N($L1890)&lt;=0,", no quarter split","")&amp;IF($R1890="",", no driver","")&amp;IF(AND($H1890&lt;&gt;"",COUNTIF(CareerLevels,$H1890)=0),", a career level that is not on the ladder","")&amp;IF(AND($R1890&lt;&gt;"",COUNTIF(DriverList,$R1890)=0),", a driver that is not on the list","")&amp;IF(ABS(N($L1890)-(N($M1890)+N($N1890)+N($O1890)+N($P1890)))&gt;0.001,", a total that does not match its quarters",""),3,300))</f>
        <v/>
      </c>
    </row>
    <row r="1891" customFormat="false" ht="15" hidden="false" customHeight="false" outlineLevel="0" collapsed="false">
      <c r="A1891" s="33" t="str">
        <f aca="false">IF($G1891="","","Risk Group")</f>
        <v/>
      </c>
      <c r="B1891" s="19"/>
      <c r="C1891" s="19"/>
      <c r="D1891" s="19"/>
      <c r="E1891" s="19"/>
      <c r="F1891" s="19"/>
      <c r="G1891" s="19"/>
      <c r="H1891" s="19"/>
      <c r="I1891" s="19"/>
      <c r="J1891" s="19"/>
      <c r="K1891" s="19"/>
      <c r="L1891" s="19"/>
      <c r="M1891" s="19"/>
      <c r="N1891" s="19"/>
      <c r="O1891" s="19"/>
      <c r="P1891" s="19"/>
      <c r="Q1891" s="19"/>
      <c r="R1891" s="19"/>
      <c r="S1891" s="19"/>
      <c r="T1891" s="34" t="str">
        <f aca="false">IF($R1891="","",IFERROR(INDEX(DriverCategory,MATCH($R1891,DriverList,0)),"BAU"))</f>
        <v/>
      </c>
      <c r="U1891" s="34" t="str">
        <f aca="false">IF($R1891="","",IFERROR(INDEX(DriverRank,MATCH($R1891,DriverList,0)),99))</f>
        <v/>
      </c>
      <c r="V1891" s="35" t="n">
        <f aca="false">IF($H1891="",0,IFERROR(INDEX(LevelBasic,MATCH($H1891,LevelList,0))+INDEX(LevelHousing,MATCH($H1891,LevelList,0))+INDEX(LevelTransport,MATCH($H1891,LevelList,0))+INDEX(LevelBasic,MATCH($H1891,LevelList,0))*INDEX(LevelBonus,MATCH($H1891,LevelList,0))+(INDEX(LevelBasic,MATCH($H1891,LevelList,0))+INDEX(LevelHousing,MATCH($H1891,LevelList,0)))*GosiSaudi,0))</f>
        <v>0</v>
      </c>
      <c r="W1891" s="35" t="n">
        <f aca="false">IFERROR(INDEX(LevelOneOff,MATCH($H1891,LevelList,0)),0)</f>
        <v>0</v>
      </c>
      <c r="X1891" s="35" t="str">
        <f aca="false">IF($G1891="","",$V1891*N($L1891))</f>
        <v/>
      </c>
      <c r="Y1891" s="35" t="str">
        <f aca="false">IF($G1891="","",$V1891*(N($M1891)*1+N($N1891)*0.75+N($O1891)*0.5+N($P1891)*0.25)+$W1891*N($L1891))</f>
        <v/>
      </c>
      <c r="Z1891" s="35" t="str">
        <f aca="false">IF($G1891="","",$U1891*1000000+ROW())</f>
        <v/>
      </c>
      <c r="AA1891" s="36" t="str">
        <f aca="false">IF($G1891="","",MID(IF($C1891="",", no division","")&amp;IF($E1891="",", no unit","")&amp;IF($H1891="",", no career level","")&amp;IF(N($L1891)&lt;=0,", no quarter split","")&amp;IF($R1891="",", no driver","")&amp;IF(AND($H1891&lt;&gt;"",COUNTIF(CareerLevels,$H1891)=0),", a career level that is not on the ladder","")&amp;IF(AND($R1891&lt;&gt;"",COUNTIF(DriverList,$R1891)=0),", a driver that is not on the list","")&amp;IF(ABS(N($L1891)-(N($M1891)+N($N1891)+N($O1891)+N($P1891)))&gt;0.001,", a total that does not match its quarters",""),3,300))</f>
        <v/>
      </c>
    </row>
    <row r="1892" customFormat="false" ht="15" hidden="false" customHeight="false" outlineLevel="0" collapsed="false">
      <c r="A1892" s="33" t="str">
        <f aca="false">IF($G1892="","","Risk Group")</f>
        <v/>
      </c>
      <c r="B1892" s="19"/>
      <c r="C1892" s="19"/>
      <c r="D1892" s="19"/>
      <c r="E1892" s="19"/>
      <c r="F1892" s="19"/>
      <c r="G1892" s="19"/>
      <c r="H1892" s="19"/>
      <c r="I1892" s="19"/>
      <c r="J1892" s="19"/>
      <c r="K1892" s="19"/>
      <c r="L1892" s="19"/>
      <c r="M1892" s="19"/>
      <c r="N1892" s="19"/>
      <c r="O1892" s="19"/>
      <c r="P1892" s="19"/>
      <c r="Q1892" s="19"/>
      <c r="R1892" s="19"/>
      <c r="S1892" s="19"/>
      <c r="T1892" s="34" t="str">
        <f aca="false">IF($R1892="","",IFERROR(INDEX(DriverCategory,MATCH($R1892,DriverList,0)),"BAU"))</f>
        <v/>
      </c>
      <c r="U1892" s="34" t="str">
        <f aca="false">IF($R1892="","",IFERROR(INDEX(DriverRank,MATCH($R1892,DriverList,0)),99))</f>
        <v/>
      </c>
      <c r="V1892" s="35" t="n">
        <f aca="false">IF($H1892="",0,IFERROR(INDEX(LevelBasic,MATCH($H1892,LevelList,0))+INDEX(LevelHousing,MATCH($H1892,LevelList,0))+INDEX(LevelTransport,MATCH($H1892,LevelList,0))+INDEX(LevelBasic,MATCH($H1892,LevelList,0))*INDEX(LevelBonus,MATCH($H1892,LevelList,0))+(INDEX(LevelBasic,MATCH($H1892,LevelList,0))+INDEX(LevelHousing,MATCH($H1892,LevelList,0)))*GosiSaudi,0))</f>
        <v>0</v>
      </c>
      <c r="W1892" s="35" t="n">
        <f aca="false">IFERROR(INDEX(LevelOneOff,MATCH($H1892,LevelList,0)),0)</f>
        <v>0</v>
      </c>
      <c r="X1892" s="35" t="str">
        <f aca="false">IF($G1892="","",$V1892*N($L1892))</f>
        <v/>
      </c>
      <c r="Y1892" s="35" t="str">
        <f aca="false">IF($G1892="","",$V1892*(N($M1892)*1+N($N1892)*0.75+N($O1892)*0.5+N($P1892)*0.25)+$W1892*N($L1892))</f>
        <v/>
      </c>
      <c r="Z1892" s="35" t="str">
        <f aca="false">IF($G1892="","",$U1892*1000000+ROW())</f>
        <v/>
      </c>
      <c r="AA1892" s="36" t="str">
        <f aca="false">IF($G1892="","",MID(IF($C1892="",", no division","")&amp;IF($E1892="",", no unit","")&amp;IF($H1892="",", no career level","")&amp;IF(N($L1892)&lt;=0,", no quarter split","")&amp;IF($R1892="",", no driver","")&amp;IF(AND($H1892&lt;&gt;"",COUNTIF(CareerLevels,$H1892)=0),", a career level that is not on the ladder","")&amp;IF(AND($R1892&lt;&gt;"",COUNTIF(DriverList,$R1892)=0),", a driver that is not on the list","")&amp;IF(ABS(N($L1892)-(N($M1892)+N($N1892)+N($O1892)+N($P1892)))&gt;0.001,", a total that does not match its quarters",""),3,300))</f>
        <v/>
      </c>
    </row>
    <row r="1893" customFormat="false" ht="15" hidden="false" customHeight="false" outlineLevel="0" collapsed="false">
      <c r="A1893" s="33" t="str">
        <f aca="false">IF($G1893="","","Risk Group")</f>
        <v/>
      </c>
      <c r="B1893" s="19"/>
      <c r="C1893" s="19"/>
      <c r="D1893" s="19"/>
      <c r="E1893" s="19"/>
      <c r="F1893" s="19"/>
      <c r="G1893" s="19"/>
      <c r="H1893" s="19"/>
      <c r="I1893" s="19"/>
      <c r="J1893" s="19"/>
      <c r="K1893" s="19"/>
      <c r="L1893" s="19"/>
      <c r="M1893" s="19"/>
      <c r="N1893" s="19"/>
      <c r="O1893" s="19"/>
      <c r="P1893" s="19"/>
      <c r="Q1893" s="19"/>
      <c r="R1893" s="19"/>
      <c r="S1893" s="19"/>
      <c r="T1893" s="34" t="str">
        <f aca="false">IF($R1893="","",IFERROR(INDEX(DriverCategory,MATCH($R1893,DriverList,0)),"BAU"))</f>
        <v/>
      </c>
      <c r="U1893" s="34" t="str">
        <f aca="false">IF($R1893="","",IFERROR(INDEX(DriverRank,MATCH($R1893,DriverList,0)),99))</f>
        <v/>
      </c>
      <c r="V1893" s="35" t="n">
        <f aca="false">IF($H1893="",0,IFERROR(INDEX(LevelBasic,MATCH($H1893,LevelList,0))+INDEX(LevelHousing,MATCH($H1893,LevelList,0))+INDEX(LevelTransport,MATCH($H1893,LevelList,0))+INDEX(LevelBasic,MATCH($H1893,LevelList,0))*INDEX(LevelBonus,MATCH($H1893,LevelList,0))+(INDEX(LevelBasic,MATCH($H1893,LevelList,0))+INDEX(LevelHousing,MATCH($H1893,LevelList,0)))*GosiSaudi,0))</f>
        <v>0</v>
      </c>
      <c r="W1893" s="35" t="n">
        <f aca="false">IFERROR(INDEX(LevelOneOff,MATCH($H1893,LevelList,0)),0)</f>
        <v>0</v>
      </c>
      <c r="X1893" s="35" t="str">
        <f aca="false">IF($G1893="","",$V1893*N($L1893))</f>
        <v/>
      </c>
      <c r="Y1893" s="35" t="str">
        <f aca="false">IF($G1893="","",$V1893*(N($M1893)*1+N($N1893)*0.75+N($O1893)*0.5+N($P1893)*0.25)+$W1893*N($L1893))</f>
        <v/>
      </c>
      <c r="Z1893" s="35" t="str">
        <f aca="false">IF($G1893="","",$U1893*1000000+ROW())</f>
        <v/>
      </c>
      <c r="AA1893" s="36" t="str">
        <f aca="false">IF($G1893="","",MID(IF($C1893="",", no division","")&amp;IF($E1893="",", no unit","")&amp;IF($H1893="",", no career level","")&amp;IF(N($L1893)&lt;=0,", no quarter split","")&amp;IF($R1893="",", no driver","")&amp;IF(AND($H1893&lt;&gt;"",COUNTIF(CareerLevels,$H1893)=0),", a career level that is not on the ladder","")&amp;IF(AND($R1893&lt;&gt;"",COUNTIF(DriverList,$R1893)=0),", a driver that is not on the list","")&amp;IF(ABS(N($L1893)-(N($M1893)+N($N1893)+N($O1893)+N($P1893)))&gt;0.001,", a total that does not match its quarters",""),3,300))</f>
        <v/>
      </c>
    </row>
    <row r="1894" customFormat="false" ht="15" hidden="false" customHeight="false" outlineLevel="0" collapsed="false">
      <c r="A1894" s="33" t="str">
        <f aca="false">IF($G1894="","","Risk Group")</f>
        <v/>
      </c>
      <c r="B1894" s="19"/>
      <c r="C1894" s="19"/>
      <c r="D1894" s="19"/>
      <c r="E1894" s="19"/>
      <c r="F1894" s="19"/>
      <c r="G1894" s="19"/>
      <c r="H1894" s="19"/>
      <c r="I1894" s="19"/>
      <c r="J1894" s="19"/>
      <c r="K1894" s="19"/>
      <c r="L1894" s="19"/>
      <c r="M1894" s="19"/>
      <c r="N1894" s="19"/>
      <c r="O1894" s="19"/>
      <c r="P1894" s="19"/>
      <c r="Q1894" s="19"/>
      <c r="R1894" s="19"/>
      <c r="S1894" s="19"/>
      <c r="T1894" s="34" t="str">
        <f aca="false">IF($R1894="","",IFERROR(INDEX(DriverCategory,MATCH($R1894,DriverList,0)),"BAU"))</f>
        <v/>
      </c>
      <c r="U1894" s="34" t="str">
        <f aca="false">IF($R1894="","",IFERROR(INDEX(DriverRank,MATCH($R1894,DriverList,0)),99))</f>
        <v/>
      </c>
      <c r="V1894" s="35" t="n">
        <f aca="false">IF($H1894="",0,IFERROR(INDEX(LevelBasic,MATCH($H1894,LevelList,0))+INDEX(LevelHousing,MATCH($H1894,LevelList,0))+INDEX(LevelTransport,MATCH($H1894,LevelList,0))+INDEX(LevelBasic,MATCH($H1894,LevelList,0))*INDEX(LevelBonus,MATCH($H1894,LevelList,0))+(INDEX(LevelBasic,MATCH($H1894,LevelList,0))+INDEX(LevelHousing,MATCH($H1894,LevelList,0)))*GosiSaudi,0))</f>
        <v>0</v>
      </c>
      <c r="W1894" s="35" t="n">
        <f aca="false">IFERROR(INDEX(LevelOneOff,MATCH($H1894,LevelList,0)),0)</f>
        <v>0</v>
      </c>
      <c r="X1894" s="35" t="str">
        <f aca="false">IF($G1894="","",$V1894*N($L1894))</f>
        <v/>
      </c>
      <c r="Y1894" s="35" t="str">
        <f aca="false">IF($G1894="","",$V1894*(N($M1894)*1+N($N1894)*0.75+N($O1894)*0.5+N($P1894)*0.25)+$W1894*N($L1894))</f>
        <v/>
      </c>
      <c r="Z1894" s="35" t="str">
        <f aca="false">IF($G1894="","",$U1894*1000000+ROW())</f>
        <v/>
      </c>
      <c r="AA1894" s="36" t="str">
        <f aca="false">IF($G1894="","",MID(IF($C1894="",", no division","")&amp;IF($E1894="",", no unit","")&amp;IF($H1894="",", no career level","")&amp;IF(N($L1894)&lt;=0,", no quarter split","")&amp;IF($R1894="",", no driver","")&amp;IF(AND($H1894&lt;&gt;"",COUNTIF(CareerLevels,$H1894)=0),", a career level that is not on the ladder","")&amp;IF(AND($R1894&lt;&gt;"",COUNTIF(DriverList,$R1894)=0),", a driver that is not on the list","")&amp;IF(ABS(N($L1894)-(N($M1894)+N($N1894)+N($O1894)+N($P1894)))&gt;0.001,", a total that does not match its quarters",""),3,300))</f>
        <v/>
      </c>
    </row>
    <row r="1895" customFormat="false" ht="15" hidden="false" customHeight="false" outlineLevel="0" collapsed="false">
      <c r="A1895" s="33" t="str">
        <f aca="false">IF($G1895="","","Risk Group")</f>
        <v/>
      </c>
      <c r="B1895" s="19"/>
      <c r="C1895" s="19"/>
      <c r="D1895" s="19"/>
      <c r="E1895" s="19"/>
      <c r="F1895" s="19"/>
      <c r="G1895" s="19"/>
      <c r="H1895" s="19"/>
      <c r="I1895" s="19"/>
      <c r="J1895" s="19"/>
      <c r="K1895" s="19"/>
      <c r="L1895" s="19"/>
      <c r="M1895" s="19"/>
      <c r="N1895" s="19"/>
      <c r="O1895" s="19"/>
      <c r="P1895" s="19"/>
      <c r="Q1895" s="19"/>
      <c r="R1895" s="19"/>
      <c r="S1895" s="19"/>
      <c r="T1895" s="34" t="str">
        <f aca="false">IF($R1895="","",IFERROR(INDEX(DriverCategory,MATCH($R1895,DriverList,0)),"BAU"))</f>
        <v/>
      </c>
      <c r="U1895" s="34" t="str">
        <f aca="false">IF($R1895="","",IFERROR(INDEX(DriverRank,MATCH($R1895,DriverList,0)),99))</f>
        <v/>
      </c>
      <c r="V1895" s="35" t="n">
        <f aca="false">IF($H1895="",0,IFERROR(INDEX(LevelBasic,MATCH($H1895,LevelList,0))+INDEX(LevelHousing,MATCH($H1895,LevelList,0))+INDEX(LevelTransport,MATCH($H1895,LevelList,0))+INDEX(LevelBasic,MATCH($H1895,LevelList,0))*INDEX(LevelBonus,MATCH($H1895,LevelList,0))+(INDEX(LevelBasic,MATCH($H1895,LevelList,0))+INDEX(LevelHousing,MATCH($H1895,LevelList,0)))*GosiSaudi,0))</f>
        <v>0</v>
      </c>
      <c r="W1895" s="35" t="n">
        <f aca="false">IFERROR(INDEX(LevelOneOff,MATCH($H1895,LevelList,0)),0)</f>
        <v>0</v>
      </c>
      <c r="X1895" s="35" t="str">
        <f aca="false">IF($G1895="","",$V1895*N($L1895))</f>
        <v/>
      </c>
      <c r="Y1895" s="35" t="str">
        <f aca="false">IF($G1895="","",$V1895*(N($M1895)*1+N($N1895)*0.75+N($O1895)*0.5+N($P1895)*0.25)+$W1895*N($L1895))</f>
        <v/>
      </c>
      <c r="Z1895" s="35" t="str">
        <f aca="false">IF($G1895="","",$U1895*1000000+ROW())</f>
        <v/>
      </c>
      <c r="AA1895" s="36" t="str">
        <f aca="false">IF($G1895="","",MID(IF($C1895="",", no division","")&amp;IF($E1895="",", no unit","")&amp;IF($H1895="",", no career level","")&amp;IF(N($L1895)&lt;=0,", no quarter split","")&amp;IF($R1895="",", no driver","")&amp;IF(AND($H1895&lt;&gt;"",COUNTIF(CareerLevels,$H1895)=0),", a career level that is not on the ladder","")&amp;IF(AND($R1895&lt;&gt;"",COUNTIF(DriverList,$R1895)=0),", a driver that is not on the list","")&amp;IF(ABS(N($L1895)-(N($M1895)+N($N1895)+N($O1895)+N($P1895)))&gt;0.001,", a total that does not match its quarters",""),3,300))</f>
        <v/>
      </c>
    </row>
    <row r="1896" customFormat="false" ht="15" hidden="false" customHeight="false" outlineLevel="0" collapsed="false">
      <c r="A1896" s="33" t="str">
        <f aca="false">IF($G1896="","","Risk Group")</f>
        <v/>
      </c>
      <c r="B1896" s="19"/>
      <c r="C1896" s="19"/>
      <c r="D1896" s="19"/>
      <c r="E1896" s="19"/>
      <c r="F1896" s="19"/>
      <c r="G1896" s="19"/>
      <c r="H1896" s="19"/>
      <c r="I1896" s="19"/>
      <c r="J1896" s="19"/>
      <c r="K1896" s="19"/>
      <c r="L1896" s="19"/>
      <c r="M1896" s="19"/>
      <c r="N1896" s="19"/>
      <c r="O1896" s="19"/>
      <c r="P1896" s="19"/>
      <c r="Q1896" s="19"/>
      <c r="R1896" s="19"/>
      <c r="S1896" s="19"/>
      <c r="T1896" s="34" t="str">
        <f aca="false">IF($R1896="","",IFERROR(INDEX(DriverCategory,MATCH($R1896,DriverList,0)),"BAU"))</f>
        <v/>
      </c>
      <c r="U1896" s="34" t="str">
        <f aca="false">IF($R1896="","",IFERROR(INDEX(DriverRank,MATCH($R1896,DriverList,0)),99))</f>
        <v/>
      </c>
      <c r="V1896" s="35" t="n">
        <f aca="false">IF($H1896="",0,IFERROR(INDEX(LevelBasic,MATCH($H1896,LevelList,0))+INDEX(LevelHousing,MATCH($H1896,LevelList,0))+INDEX(LevelTransport,MATCH($H1896,LevelList,0))+INDEX(LevelBasic,MATCH($H1896,LevelList,0))*INDEX(LevelBonus,MATCH($H1896,LevelList,0))+(INDEX(LevelBasic,MATCH($H1896,LevelList,0))+INDEX(LevelHousing,MATCH($H1896,LevelList,0)))*GosiSaudi,0))</f>
        <v>0</v>
      </c>
      <c r="W1896" s="35" t="n">
        <f aca="false">IFERROR(INDEX(LevelOneOff,MATCH($H1896,LevelList,0)),0)</f>
        <v>0</v>
      </c>
      <c r="X1896" s="35" t="str">
        <f aca="false">IF($G1896="","",$V1896*N($L1896))</f>
        <v/>
      </c>
      <c r="Y1896" s="35" t="str">
        <f aca="false">IF($G1896="","",$V1896*(N($M1896)*1+N($N1896)*0.75+N($O1896)*0.5+N($P1896)*0.25)+$W1896*N($L1896))</f>
        <v/>
      </c>
      <c r="Z1896" s="35" t="str">
        <f aca="false">IF($G1896="","",$U1896*1000000+ROW())</f>
        <v/>
      </c>
      <c r="AA1896" s="36" t="str">
        <f aca="false">IF($G1896="","",MID(IF($C1896="",", no division","")&amp;IF($E1896="",", no unit","")&amp;IF($H1896="",", no career level","")&amp;IF(N($L1896)&lt;=0,", no quarter split","")&amp;IF($R1896="",", no driver","")&amp;IF(AND($H1896&lt;&gt;"",COUNTIF(CareerLevels,$H1896)=0),", a career level that is not on the ladder","")&amp;IF(AND($R1896&lt;&gt;"",COUNTIF(DriverList,$R1896)=0),", a driver that is not on the list","")&amp;IF(ABS(N($L1896)-(N($M1896)+N($N1896)+N($O1896)+N($P1896)))&gt;0.001,", a total that does not match its quarters",""),3,300))</f>
        <v/>
      </c>
    </row>
    <row r="1897" customFormat="false" ht="15" hidden="false" customHeight="false" outlineLevel="0" collapsed="false">
      <c r="A1897" s="33" t="str">
        <f aca="false">IF($G1897="","","Risk Group")</f>
        <v/>
      </c>
      <c r="B1897" s="19"/>
      <c r="C1897" s="19"/>
      <c r="D1897" s="19"/>
      <c r="E1897" s="19"/>
      <c r="F1897" s="19"/>
      <c r="G1897" s="19"/>
      <c r="H1897" s="19"/>
      <c r="I1897" s="19"/>
      <c r="J1897" s="19"/>
      <c r="K1897" s="19"/>
      <c r="L1897" s="19"/>
      <c r="M1897" s="19"/>
      <c r="N1897" s="19"/>
      <c r="O1897" s="19"/>
      <c r="P1897" s="19"/>
      <c r="Q1897" s="19"/>
      <c r="R1897" s="19"/>
      <c r="S1897" s="19"/>
      <c r="T1897" s="34" t="str">
        <f aca="false">IF($R1897="","",IFERROR(INDEX(DriverCategory,MATCH($R1897,DriverList,0)),"BAU"))</f>
        <v/>
      </c>
      <c r="U1897" s="34" t="str">
        <f aca="false">IF($R1897="","",IFERROR(INDEX(DriverRank,MATCH($R1897,DriverList,0)),99))</f>
        <v/>
      </c>
      <c r="V1897" s="35" t="n">
        <f aca="false">IF($H1897="",0,IFERROR(INDEX(LevelBasic,MATCH($H1897,LevelList,0))+INDEX(LevelHousing,MATCH($H1897,LevelList,0))+INDEX(LevelTransport,MATCH($H1897,LevelList,0))+INDEX(LevelBasic,MATCH($H1897,LevelList,0))*INDEX(LevelBonus,MATCH($H1897,LevelList,0))+(INDEX(LevelBasic,MATCH($H1897,LevelList,0))+INDEX(LevelHousing,MATCH($H1897,LevelList,0)))*GosiSaudi,0))</f>
        <v>0</v>
      </c>
      <c r="W1897" s="35" t="n">
        <f aca="false">IFERROR(INDEX(LevelOneOff,MATCH($H1897,LevelList,0)),0)</f>
        <v>0</v>
      </c>
      <c r="X1897" s="35" t="str">
        <f aca="false">IF($G1897="","",$V1897*N($L1897))</f>
        <v/>
      </c>
      <c r="Y1897" s="35" t="str">
        <f aca="false">IF($G1897="","",$V1897*(N($M1897)*1+N($N1897)*0.75+N($O1897)*0.5+N($P1897)*0.25)+$W1897*N($L1897))</f>
        <v/>
      </c>
      <c r="Z1897" s="35" t="str">
        <f aca="false">IF($G1897="","",$U1897*1000000+ROW())</f>
        <v/>
      </c>
      <c r="AA1897" s="36" t="str">
        <f aca="false">IF($G1897="","",MID(IF($C1897="",", no division","")&amp;IF($E1897="",", no unit","")&amp;IF($H1897="",", no career level","")&amp;IF(N($L1897)&lt;=0,", no quarter split","")&amp;IF($R1897="",", no driver","")&amp;IF(AND($H1897&lt;&gt;"",COUNTIF(CareerLevels,$H1897)=0),", a career level that is not on the ladder","")&amp;IF(AND($R1897&lt;&gt;"",COUNTIF(DriverList,$R1897)=0),", a driver that is not on the list","")&amp;IF(ABS(N($L1897)-(N($M1897)+N($N1897)+N($O1897)+N($P1897)))&gt;0.001,", a total that does not match its quarters",""),3,300))</f>
        <v/>
      </c>
    </row>
    <row r="1898" customFormat="false" ht="15" hidden="false" customHeight="false" outlineLevel="0" collapsed="false">
      <c r="A1898" s="33" t="str">
        <f aca="false">IF($G1898="","","Risk Group")</f>
        <v/>
      </c>
      <c r="B1898" s="19"/>
      <c r="C1898" s="19"/>
      <c r="D1898" s="19"/>
      <c r="E1898" s="19"/>
      <c r="F1898" s="19"/>
      <c r="G1898" s="19"/>
      <c r="H1898" s="19"/>
      <c r="I1898" s="19"/>
      <c r="J1898" s="19"/>
      <c r="K1898" s="19"/>
      <c r="L1898" s="19"/>
      <c r="M1898" s="19"/>
      <c r="N1898" s="19"/>
      <c r="O1898" s="19"/>
      <c r="P1898" s="19"/>
      <c r="Q1898" s="19"/>
      <c r="R1898" s="19"/>
      <c r="S1898" s="19"/>
      <c r="T1898" s="34" t="str">
        <f aca="false">IF($R1898="","",IFERROR(INDEX(DriverCategory,MATCH($R1898,DriverList,0)),"BAU"))</f>
        <v/>
      </c>
      <c r="U1898" s="34" t="str">
        <f aca="false">IF($R1898="","",IFERROR(INDEX(DriverRank,MATCH($R1898,DriverList,0)),99))</f>
        <v/>
      </c>
      <c r="V1898" s="35" t="n">
        <f aca="false">IF($H1898="",0,IFERROR(INDEX(LevelBasic,MATCH($H1898,LevelList,0))+INDEX(LevelHousing,MATCH($H1898,LevelList,0))+INDEX(LevelTransport,MATCH($H1898,LevelList,0))+INDEX(LevelBasic,MATCH($H1898,LevelList,0))*INDEX(LevelBonus,MATCH($H1898,LevelList,0))+(INDEX(LevelBasic,MATCH($H1898,LevelList,0))+INDEX(LevelHousing,MATCH($H1898,LevelList,0)))*GosiSaudi,0))</f>
        <v>0</v>
      </c>
      <c r="W1898" s="35" t="n">
        <f aca="false">IFERROR(INDEX(LevelOneOff,MATCH($H1898,LevelList,0)),0)</f>
        <v>0</v>
      </c>
      <c r="X1898" s="35" t="str">
        <f aca="false">IF($G1898="","",$V1898*N($L1898))</f>
        <v/>
      </c>
      <c r="Y1898" s="35" t="str">
        <f aca="false">IF($G1898="","",$V1898*(N($M1898)*1+N($N1898)*0.75+N($O1898)*0.5+N($P1898)*0.25)+$W1898*N($L1898))</f>
        <v/>
      </c>
      <c r="Z1898" s="35" t="str">
        <f aca="false">IF($G1898="","",$U1898*1000000+ROW())</f>
        <v/>
      </c>
      <c r="AA1898" s="36" t="str">
        <f aca="false">IF($G1898="","",MID(IF($C1898="",", no division","")&amp;IF($E1898="",", no unit","")&amp;IF($H1898="",", no career level","")&amp;IF(N($L1898)&lt;=0,", no quarter split","")&amp;IF($R1898="",", no driver","")&amp;IF(AND($H1898&lt;&gt;"",COUNTIF(CareerLevels,$H1898)=0),", a career level that is not on the ladder","")&amp;IF(AND($R1898&lt;&gt;"",COUNTIF(DriverList,$R1898)=0),", a driver that is not on the list","")&amp;IF(ABS(N($L1898)-(N($M1898)+N($N1898)+N($O1898)+N($P1898)))&gt;0.001,", a total that does not match its quarters",""),3,300))</f>
        <v/>
      </c>
    </row>
    <row r="1899" customFormat="false" ht="15" hidden="false" customHeight="false" outlineLevel="0" collapsed="false">
      <c r="A1899" s="33" t="str">
        <f aca="false">IF($G1899="","","Risk Group")</f>
        <v/>
      </c>
      <c r="B1899" s="19"/>
      <c r="C1899" s="19"/>
      <c r="D1899" s="19"/>
      <c r="E1899" s="19"/>
      <c r="F1899" s="19"/>
      <c r="G1899" s="19"/>
      <c r="H1899" s="19"/>
      <c r="I1899" s="19"/>
      <c r="J1899" s="19"/>
      <c r="K1899" s="19"/>
      <c r="L1899" s="19"/>
      <c r="M1899" s="19"/>
      <c r="N1899" s="19"/>
      <c r="O1899" s="19"/>
      <c r="P1899" s="19"/>
      <c r="Q1899" s="19"/>
      <c r="R1899" s="19"/>
      <c r="S1899" s="19"/>
      <c r="T1899" s="34" t="str">
        <f aca="false">IF($R1899="","",IFERROR(INDEX(DriverCategory,MATCH($R1899,DriverList,0)),"BAU"))</f>
        <v/>
      </c>
      <c r="U1899" s="34" t="str">
        <f aca="false">IF($R1899="","",IFERROR(INDEX(DriverRank,MATCH($R1899,DriverList,0)),99))</f>
        <v/>
      </c>
      <c r="V1899" s="35" t="n">
        <f aca="false">IF($H1899="",0,IFERROR(INDEX(LevelBasic,MATCH($H1899,LevelList,0))+INDEX(LevelHousing,MATCH($H1899,LevelList,0))+INDEX(LevelTransport,MATCH($H1899,LevelList,0))+INDEX(LevelBasic,MATCH($H1899,LevelList,0))*INDEX(LevelBonus,MATCH($H1899,LevelList,0))+(INDEX(LevelBasic,MATCH($H1899,LevelList,0))+INDEX(LevelHousing,MATCH($H1899,LevelList,0)))*GosiSaudi,0))</f>
        <v>0</v>
      </c>
      <c r="W1899" s="35" t="n">
        <f aca="false">IFERROR(INDEX(LevelOneOff,MATCH($H1899,LevelList,0)),0)</f>
        <v>0</v>
      </c>
      <c r="X1899" s="35" t="str">
        <f aca="false">IF($G1899="","",$V1899*N($L1899))</f>
        <v/>
      </c>
      <c r="Y1899" s="35" t="str">
        <f aca="false">IF($G1899="","",$V1899*(N($M1899)*1+N($N1899)*0.75+N($O1899)*0.5+N($P1899)*0.25)+$W1899*N($L1899))</f>
        <v/>
      </c>
      <c r="Z1899" s="35" t="str">
        <f aca="false">IF($G1899="","",$U1899*1000000+ROW())</f>
        <v/>
      </c>
      <c r="AA1899" s="36" t="str">
        <f aca="false">IF($G1899="","",MID(IF($C1899="",", no division","")&amp;IF($E1899="",", no unit","")&amp;IF($H1899="",", no career level","")&amp;IF(N($L1899)&lt;=0,", no quarter split","")&amp;IF($R1899="",", no driver","")&amp;IF(AND($H1899&lt;&gt;"",COUNTIF(CareerLevels,$H1899)=0),", a career level that is not on the ladder","")&amp;IF(AND($R1899&lt;&gt;"",COUNTIF(DriverList,$R1899)=0),", a driver that is not on the list","")&amp;IF(ABS(N($L1899)-(N($M1899)+N($N1899)+N($O1899)+N($P1899)))&gt;0.001,", a total that does not match its quarters",""),3,300))</f>
        <v/>
      </c>
    </row>
    <row r="1900" customFormat="false" ht="15" hidden="false" customHeight="false" outlineLevel="0" collapsed="false">
      <c r="A1900" s="33" t="str">
        <f aca="false">IF($G1900="","","Risk Group")</f>
        <v/>
      </c>
      <c r="B1900" s="19"/>
      <c r="C1900" s="19"/>
      <c r="D1900" s="19"/>
      <c r="E1900" s="19"/>
      <c r="F1900" s="19"/>
      <c r="G1900" s="19"/>
      <c r="H1900" s="19"/>
      <c r="I1900" s="19"/>
      <c r="J1900" s="19"/>
      <c r="K1900" s="19"/>
      <c r="L1900" s="19"/>
      <c r="M1900" s="19"/>
      <c r="N1900" s="19"/>
      <c r="O1900" s="19"/>
      <c r="P1900" s="19"/>
      <c r="Q1900" s="19"/>
      <c r="R1900" s="19"/>
      <c r="S1900" s="19"/>
      <c r="T1900" s="34" t="str">
        <f aca="false">IF($R1900="","",IFERROR(INDEX(DriverCategory,MATCH($R1900,DriverList,0)),"BAU"))</f>
        <v/>
      </c>
      <c r="U1900" s="34" t="str">
        <f aca="false">IF($R1900="","",IFERROR(INDEX(DriverRank,MATCH($R1900,DriverList,0)),99))</f>
        <v/>
      </c>
      <c r="V1900" s="35" t="n">
        <f aca="false">IF($H1900="",0,IFERROR(INDEX(LevelBasic,MATCH($H1900,LevelList,0))+INDEX(LevelHousing,MATCH($H1900,LevelList,0))+INDEX(LevelTransport,MATCH($H1900,LevelList,0))+INDEX(LevelBasic,MATCH($H1900,LevelList,0))*INDEX(LevelBonus,MATCH($H1900,LevelList,0))+(INDEX(LevelBasic,MATCH($H1900,LevelList,0))+INDEX(LevelHousing,MATCH($H1900,LevelList,0)))*GosiSaudi,0))</f>
        <v>0</v>
      </c>
      <c r="W1900" s="35" t="n">
        <f aca="false">IFERROR(INDEX(LevelOneOff,MATCH($H1900,LevelList,0)),0)</f>
        <v>0</v>
      </c>
      <c r="X1900" s="35" t="str">
        <f aca="false">IF($G1900="","",$V1900*N($L1900))</f>
        <v/>
      </c>
      <c r="Y1900" s="35" t="str">
        <f aca="false">IF($G1900="","",$V1900*(N($M1900)*1+N($N1900)*0.75+N($O1900)*0.5+N($P1900)*0.25)+$W1900*N($L1900))</f>
        <v/>
      </c>
      <c r="Z1900" s="35" t="str">
        <f aca="false">IF($G1900="","",$U1900*1000000+ROW())</f>
        <v/>
      </c>
      <c r="AA1900" s="36" t="str">
        <f aca="false">IF($G1900="","",MID(IF($C1900="",", no division","")&amp;IF($E1900="",", no unit","")&amp;IF($H1900="",", no career level","")&amp;IF(N($L1900)&lt;=0,", no quarter split","")&amp;IF($R1900="",", no driver","")&amp;IF(AND($H1900&lt;&gt;"",COUNTIF(CareerLevels,$H1900)=0),", a career level that is not on the ladder","")&amp;IF(AND($R1900&lt;&gt;"",COUNTIF(DriverList,$R1900)=0),", a driver that is not on the list","")&amp;IF(ABS(N($L1900)-(N($M1900)+N($N1900)+N($O1900)+N($P1900)))&gt;0.001,", a total that does not match its quarters",""),3,300))</f>
        <v/>
      </c>
    </row>
    <row r="1901" customFormat="false" ht="15" hidden="false" customHeight="false" outlineLevel="0" collapsed="false">
      <c r="A1901" s="33" t="str">
        <f aca="false">IF($G1901="","","Risk Group")</f>
        <v/>
      </c>
      <c r="B1901" s="19"/>
      <c r="C1901" s="19"/>
      <c r="D1901" s="19"/>
      <c r="E1901" s="19"/>
      <c r="F1901" s="19"/>
      <c r="G1901" s="19"/>
      <c r="H1901" s="19"/>
      <c r="I1901" s="19"/>
      <c r="J1901" s="19"/>
      <c r="K1901" s="19"/>
      <c r="L1901" s="19"/>
      <c r="M1901" s="19"/>
      <c r="N1901" s="19"/>
      <c r="O1901" s="19"/>
      <c r="P1901" s="19"/>
      <c r="Q1901" s="19"/>
      <c r="R1901" s="19"/>
      <c r="S1901" s="19"/>
      <c r="T1901" s="34" t="str">
        <f aca="false">IF($R1901="","",IFERROR(INDEX(DriverCategory,MATCH($R1901,DriverList,0)),"BAU"))</f>
        <v/>
      </c>
      <c r="U1901" s="34" t="str">
        <f aca="false">IF($R1901="","",IFERROR(INDEX(DriverRank,MATCH($R1901,DriverList,0)),99))</f>
        <v/>
      </c>
      <c r="V1901" s="35" t="n">
        <f aca="false">IF($H1901="",0,IFERROR(INDEX(LevelBasic,MATCH($H1901,LevelList,0))+INDEX(LevelHousing,MATCH($H1901,LevelList,0))+INDEX(LevelTransport,MATCH($H1901,LevelList,0))+INDEX(LevelBasic,MATCH($H1901,LevelList,0))*INDEX(LevelBonus,MATCH($H1901,LevelList,0))+(INDEX(LevelBasic,MATCH($H1901,LevelList,0))+INDEX(LevelHousing,MATCH($H1901,LevelList,0)))*GosiSaudi,0))</f>
        <v>0</v>
      </c>
      <c r="W1901" s="35" t="n">
        <f aca="false">IFERROR(INDEX(LevelOneOff,MATCH($H1901,LevelList,0)),0)</f>
        <v>0</v>
      </c>
      <c r="X1901" s="35" t="str">
        <f aca="false">IF($G1901="","",$V1901*N($L1901))</f>
        <v/>
      </c>
      <c r="Y1901" s="35" t="str">
        <f aca="false">IF($G1901="","",$V1901*(N($M1901)*1+N($N1901)*0.75+N($O1901)*0.5+N($P1901)*0.25)+$W1901*N($L1901))</f>
        <v/>
      </c>
      <c r="Z1901" s="35" t="str">
        <f aca="false">IF($G1901="","",$U1901*1000000+ROW())</f>
        <v/>
      </c>
      <c r="AA1901" s="36" t="str">
        <f aca="false">IF($G1901="","",MID(IF($C1901="",", no division","")&amp;IF($E1901="",", no unit","")&amp;IF($H1901="",", no career level","")&amp;IF(N($L1901)&lt;=0,", no quarter split","")&amp;IF($R1901="",", no driver","")&amp;IF(AND($H1901&lt;&gt;"",COUNTIF(CareerLevels,$H1901)=0),", a career level that is not on the ladder","")&amp;IF(AND($R1901&lt;&gt;"",COUNTIF(DriverList,$R1901)=0),", a driver that is not on the list","")&amp;IF(ABS(N($L1901)-(N($M1901)+N($N1901)+N($O1901)+N($P1901)))&gt;0.001,", a total that does not match its quarters",""),3,300))</f>
        <v/>
      </c>
    </row>
    <row r="1902" customFormat="false" ht="15" hidden="false" customHeight="false" outlineLevel="0" collapsed="false">
      <c r="A1902" s="33" t="str">
        <f aca="false">IF($G1902="","","Risk Group")</f>
        <v/>
      </c>
      <c r="B1902" s="19"/>
      <c r="C1902" s="19"/>
      <c r="D1902" s="19"/>
      <c r="E1902" s="19"/>
      <c r="F1902" s="19"/>
      <c r="G1902" s="19"/>
      <c r="H1902" s="19"/>
      <c r="I1902" s="19"/>
      <c r="J1902" s="19"/>
      <c r="K1902" s="19"/>
      <c r="L1902" s="19"/>
      <c r="M1902" s="19"/>
      <c r="N1902" s="19"/>
      <c r="O1902" s="19"/>
      <c r="P1902" s="19"/>
      <c r="Q1902" s="19"/>
      <c r="R1902" s="19"/>
      <c r="S1902" s="19"/>
      <c r="T1902" s="34" t="str">
        <f aca="false">IF($R1902="","",IFERROR(INDEX(DriverCategory,MATCH($R1902,DriverList,0)),"BAU"))</f>
        <v/>
      </c>
      <c r="U1902" s="34" t="str">
        <f aca="false">IF($R1902="","",IFERROR(INDEX(DriverRank,MATCH($R1902,DriverList,0)),99))</f>
        <v/>
      </c>
      <c r="V1902" s="35" t="n">
        <f aca="false">IF($H1902="",0,IFERROR(INDEX(LevelBasic,MATCH($H1902,LevelList,0))+INDEX(LevelHousing,MATCH($H1902,LevelList,0))+INDEX(LevelTransport,MATCH($H1902,LevelList,0))+INDEX(LevelBasic,MATCH($H1902,LevelList,0))*INDEX(LevelBonus,MATCH($H1902,LevelList,0))+(INDEX(LevelBasic,MATCH($H1902,LevelList,0))+INDEX(LevelHousing,MATCH($H1902,LevelList,0)))*GosiSaudi,0))</f>
        <v>0</v>
      </c>
      <c r="W1902" s="35" t="n">
        <f aca="false">IFERROR(INDEX(LevelOneOff,MATCH($H1902,LevelList,0)),0)</f>
        <v>0</v>
      </c>
      <c r="X1902" s="35" t="str">
        <f aca="false">IF($G1902="","",$V1902*N($L1902))</f>
        <v/>
      </c>
      <c r="Y1902" s="35" t="str">
        <f aca="false">IF($G1902="","",$V1902*(N($M1902)*1+N($N1902)*0.75+N($O1902)*0.5+N($P1902)*0.25)+$W1902*N($L1902))</f>
        <v/>
      </c>
      <c r="Z1902" s="35" t="str">
        <f aca="false">IF($G1902="","",$U1902*1000000+ROW())</f>
        <v/>
      </c>
      <c r="AA1902" s="36" t="str">
        <f aca="false">IF($G1902="","",MID(IF($C1902="",", no division","")&amp;IF($E1902="",", no unit","")&amp;IF($H1902="",", no career level","")&amp;IF(N($L1902)&lt;=0,", no quarter split","")&amp;IF($R1902="",", no driver","")&amp;IF(AND($H1902&lt;&gt;"",COUNTIF(CareerLevels,$H1902)=0),", a career level that is not on the ladder","")&amp;IF(AND($R1902&lt;&gt;"",COUNTIF(DriverList,$R1902)=0),", a driver that is not on the list","")&amp;IF(ABS(N($L1902)-(N($M1902)+N($N1902)+N($O1902)+N($P1902)))&gt;0.001,", a total that does not match its quarters",""),3,300))</f>
        <v/>
      </c>
    </row>
    <row r="1903" customFormat="false" ht="15" hidden="false" customHeight="false" outlineLevel="0" collapsed="false">
      <c r="A1903" s="33" t="str">
        <f aca="false">IF($G1903="","","Risk Group")</f>
        <v/>
      </c>
      <c r="B1903" s="19"/>
      <c r="C1903" s="19"/>
      <c r="D1903" s="19"/>
      <c r="E1903" s="19"/>
      <c r="F1903" s="19"/>
      <c r="G1903" s="19"/>
      <c r="H1903" s="19"/>
      <c r="I1903" s="19"/>
      <c r="J1903" s="19"/>
      <c r="K1903" s="19"/>
      <c r="L1903" s="19"/>
      <c r="M1903" s="19"/>
      <c r="N1903" s="19"/>
      <c r="O1903" s="19"/>
      <c r="P1903" s="19"/>
      <c r="Q1903" s="19"/>
      <c r="R1903" s="19"/>
      <c r="S1903" s="19"/>
      <c r="T1903" s="34" t="str">
        <f aca="false">IF($R1903="","",IFERROR(INDEX(DriverCategory,MATCH($R1903,DriverList,0)),"BAU"))</f>
        <v/>
      </c>
      <c r="U1903" s="34" t="str">
        <f aca="false">IF($R1903="","",IFERROR(INDEX(DriverRank,MATCH($R1903,DriverList,0)),99))</f>
        <v/>
      </c>
      <c r="V1903" s="35" t="n">
        <f aca="false">IF($H1903="",0,IFERROR(INDEX(LevelBasic,MATCH($H1903,LevelList,0))+INDEX(LevelHousing,MATCH($H1903,LevelList,0))+INDEX(LevelTransport,MATCH($H1903,LevelList,0))+INDEX(LevelBasic,MATCH($H1903,LevelList,0))*INDEX(LevelBonus,MATCH($H1903,LevelList,0))+(INDEX(LevelBasic,MATCH($H1903,LevelList,0))+INDEX(LevelHousing,MATCH($H1903,LevelList,0)))*GosiSaudi,0))</f>
        <v>0</v>
      </c>
      <c r="W1903" s="35" t="n">
        <f aca="false">IFERROR(INDEX(LevelOneOff,MATCH($H1903,LevelList,0)),0)</f>
        <v>0</v>
      </c>
      <c r="X1903" s="35" t="str">
        <f aca="false">IF($G1903="","",$V1903*N($L1903))</f>
        <v/>
      </c>
      <c r="Y1903" s="35" t="str">
        <f aca="false">IF($G1903="","",$V1903*(N($M1903)*1+N($N1903)*0.75+N($O1903)*0.5+N($P1903)*0.25)+$W1903*N($L1903))</f>
        <v/>
      </c>
      <c r="Z1903" s="35" t="str">
        <f aca="false">IF($G1903="","",$U1903*1000000+ROW())</f>
        <v/>
      </c>
      <c r="AA1903" s="36" t="str">
        <f aca="false">IF($G1903="","",MID(IF($C1903="",", no division","")&amp;IF($E1903="",", no unit","")&amp;IF($H1903="",", no career level","")&amp;IF(N($L1903)&lt;=0,", no quarter split","")&amp;IF($R1903="",", no driver","")&amp;IF(AND($H1903&lt;&gt;"",COUNTIF(CareerLevels,$H1903)=0),", a career level that is not on the ladder","")&amp;IF(AND($R1903&lt;&gt;"",COUNTIF(DriverList,$R1903)=0),", a driver that is not on the list","")&amp;IF(ABS(N($L1903)-(N($M1903)+N($N1903)+N($O1903)+N($P1903)))&gt;0.001,", a total that does not match its quarters",""),3,300))</f>
        <v/>
      </c>
    </row>
    <row r="1904" customFormat="false" ht="15" hidden="false" customHeight="false" outlineLevel="0" collapsed="false">
      <c r="A1904" s="33" t="str">
        <f aca="false">IF($G1904="","","Risk Group")</f>
        <v/>
      </c>
      <c r="B1904" s="19"/>
      <c r="C1904" s="19"/>
      <c r="D1904" s="19"/>
      <c r="E1904" s="19"/>
      <c r="F1904" s="19"/>
      <c r="G1904" s="19"/>
      <c r="H1904" s="19"/>
      <c r="I1904" s="19"/>
      <c r="J1904" s="19"/>
      <c r="K1904" s="19"/>
      <c r="L1904" s="19"/>
      <c r="M1904" s="19"/>
      <c r="N1904" s="19"/>
      <c r="O1904" s="19"/>
      <c r="P1904" s="19"/>
      <c r="Q1904" s="19"/>
      <c r="R1904" s="19"/>
      <c r="S1904" s="19"/>
      <c r="T1904" s="34" t="str">
        <f aca="false">IF($R1904="","",IFERROR(INDEX(DriverCategory,MATCH($R1904,DriverList,0)),"BAU"))</f>
        <v/>
      </c>
      <c r="U1904" s="34" t="str">
        <f aca="false">IF($R1904="","",IFERROR(INDEX(DriverRank,MATCH($R1904,DriverList,0)),99))</f>
        <v/>
      </c>
      <c r="V1904" s="35" t="n">
        <f aca="false">IF($H1904="",0,IFERROR(INDEX(LevelBasic,MATCH($H1904,LevelList,0))+INDEX(LevelHousing,MATCH($H1904,LevelList,0))+INDEX(LevelTransport,MATCH($H1904,LevelList,0))+INDEX(LevelBasic,MATCH($H1904,LevelList,0))*INDEX(LevelBonus,MATCH($H1904,LevelList,0))+(INDEX(LevelBasic,MATCH($H1904,LevelList,0))+INDEX(LevelHousing,MATCH($H1904,LevelList,0)))*GosiSaudi,0))</f>
        <v>0</v>
      </c>
      <c r="W1904" s="35" t="n">
        <f aca="false">IFERROR(INDEX(LevelOneOff,MATCH($H1904,LevelList,0)),0)</f>
        <v>0</v>
      </c>
      <c r="X1904" s="35" t="str">
        <f aca="false">IF($G1904="","",$V1904*N($L1904))</f>
        <v/>
      </c>
      <c r="Y1904" s="35" t="str">
        <f aca="false">IF($G1904="","",$V1904*(N($M1904)*1+N($N1904)*0.75+N($O1904)*0.5+N($P1904)*0.25)+$W1904*N($L1904))</f>
        <v/>
      </c>
      <c r="Z1904" s="35" t="str">
        <f aca="false">IF($G1904="","",$U1904*1000000+ROW())</f>
        <v/>
      </c>
      <c r="AA1904" s="36" t="str">
        <f aca="false">IF($G1904="","",MID(IF($C1904="",", no division","")&amp;IF($E1904="",", no unit","")&amp;IF($H1904="",", no career level","")&amp;IF(N($L1904)&lt;=0,", no quarter split","")&amp;IF($R1904="",", no driver","")&amp;IF(AND($H1904&lt;&gt;"",COUNTIF(CareerLevels,$H1904)=0),", a career level that is not on the ladder","")&amp;IF(AND($R1904&lt;&gt;"",COUNTIF(DriverList,$R1904)=0),", a driver that is not on the list","")&amp;IF(ABS(N($L1904)-(N($M1904)+N($N1904)+N($O1904)+N($P1904)))&gt;0.001,", a total that does not match its quarters",""),3,300))</f>
        <v/>
      </c>
    </row>
    <row r="1905" customFormat="false" ht="15" hidden="false" customHeight="false" outlineLevel="0" collapsed="false">
      <c r="A1905" s="33" t="str">
        <f aca="false">IF($G1905="","","Risk Group")</f>
        <v/>
      </c>
      <c r="B1905" s="19"/>
      <c r="C1905" s="19"/>
      <c r="D1905" s="19"/>
      <c r="E1905" s="19"/>
      <c r="F1905" s="19"/>
      <c r="G1905" s="19"/>
      <c r="H1905" s="19"/>
      <c r="I1905" s="19"/>
      <c r="J1905" s="19"/>
      <c r="K1905" s="19"/>
      <c r="L1905" s="19"/>
      <c r="M1905" s="19"/>
      <c r="N1905" s="19"/>
      <c r="O1905" s="19"/>
      <c r="P1905" s="19"/>
      <c r="Q1905" s="19"/>
      <c r="R1905" s="19"/>
      <c r="S1905" s="19"/>
      <c r="T1905" s="34" t="str">
        <f aca="false">IF($R1905="","",IFERROR(INDEX(DriverCategory,MATCH($R1905,DriverList,0)),"BAU"))</f>
        <v/>
      </c>
      <c r="U1905" s="34" t="str">
        <f aca="false">IF($R1905="","",IFERROR(INDEX(DriverRank,MATCH($R1905,DriverList,0)),99))</f>
        <v/>
      </c>
      <c r="V1905" s="35" t="n">
        <f aca="false">IF($H1905="",0,IFERROR(INDEX(LevelBasic,MATCH($H1905,LevelList,0))+INDEX(LevelHousing,MATCH($H1905,LevelList,0))+INDEX(LevelTransport,MATCH($H1905,LevelList,0))+INDEX(LevelBasic,MATCH($H1905,LevelList,0))*INDEX(LevelBonus,MATCH($H1905,LevelList,0))+(INDEX(LevelBasic,MATCH($H1905,LevelList,0))+INDEX(LevelHousing,MATCH($H1905,LevelList,0)))*GosiSaudi,0))</f>
        <v>0</v>
      </c>
      <c r="W1905" s="35" t="n">
        <f aca="false">IFERROR(INDEX(LevelOneOff,MATCH($H1905,LevelList,0)),0)</f>
        <v>0</v>
      </c>
      <c r="X1905" s="35" t="str">
        <f aca="false">IF($G1905="","",$V1905*N($L1905))</f>
        <v/>
      </c>
      <c r="Y1905" s="35" t="str">
        <f aca="false">IF($G1905="","",$V1905*(N($M1905)*1+N($N1905)*0.75+N($O1905)*0.5+N($P1905)*0.25)+$W1905*N($L1905))</f>
        <v/>
      </c>
      <c r="Z1905" s="35" t="str">
        <f aca="false">IF($G1905="","",$U1905*1000000+ROW())</f>
        <v/>
      </c>
      <c r="AA1905" s="36" t="str">
        <f aca="false">IF($G1905="","",MID(IF($C1905="",", no division","")&amp;IF($E1905="",", no unit","")&amp;IF($H1905="",", no career level","")&amp;IF(N($L1905)&lt;=0,", no quarter split","")&amp;IF($R1905="",", no driver","")&amp;IF(AND($H1905&lt;&gt;"",COUNTIF(CareerLevels,$H1905)=0),", a career level that is not on the ladder","")&amp;IF(AND($R1905&lt;&gt;"",COUNTIF(DriverList,$R1905)=0),", a driver that is not on the list","")&amp;IF(ABS(N($L1905)-(N($M1905)+N($N1905)+N($O1905)+N($P1905)))&gt;0.001,", a total that does not match its quarters",""),3,300))</f>
        <v/>
      </c>
    </row>
    <row r="1906" customFormat="false" ht="15" hidden="false" customHeight="false" outlineLevel="0" collapsed="false">
      <c r="A1906" s="33" t="str">
        <f aca="false">IF($G1906="","","Risk Group")</f>
        <v/>
      </c>
      <c r="B1906" s="19"/>
      <c r="C1906" s="19"/>
      <c r="D1906" s="19"/>
      <c r="E1906" s="19"/>
      <c r="F1906" s="19"/>
      <c r="G1906" s="19"/>
      <c r="H1906" s="19"/>
      <c r="I1906" s="19"/>
      <c r="J1906" s="19"/>
      <c r="K1906" s="19"/>
      <c r="L1906" s="19"/>
      <c r="M1906" s="19"/>
      <c r="N1906" s="19"/>
      <c r="O1906" s="19"/>
      <c r="P1906" s="19"/>
      <c r="Q1906" s="19"/>
      <c r="R1906" s="19"/>
      <c r="S1906" s="19"/>
      <c r="T1906" s="34" t="str">
        <f aca="false">IF($R1906="","",IFERROR(INDEX(DriverCategory,MATCH($R1906,DriverList,0)),"BAU"))</f>
        <v/>
      </c>
      <c r="U1906" s="34" t="str">
        <f aca="false">IF($R1906="","",IFERROR(INDEX(DriverRank,MATCH($R1906,DriverList,0)),99))</f>
        <v/>
      </c>
      <c r="V1906" s="35" t="n">
        <f aca="false">IF($H1906="",0,IFERROR(INDEX(LevelBasic,MATCH($H1906,LevelList,0))+INDEX(LevelHousing,MATCH($H1906,LevelList,0))+INDEX(LevelTransport,MATCH($H1906,LevelList,0))+INDEX(LevelBasic,MATCH($H1906,LevelList,0))*INDEX(LevelBonus,MATCH($H1906,LevelList,0))+(INDEX(LevelBasic,MATCH($H1906,LevelList,0))+INDEX(LevelHousing,MATCH($H1906,LevelList,0)))*GosiSaudi,0))</f>
        <v>0</v>
      </c>
      <c r="W1906" s="35" t="n">
        <f aca="false">IFERROR(INDEX(LevelOneOff,MATCH($H1906,LevelList,0)),0)</f>
        <v>0</v>
      </c>
      <c r="X1906" s="35" t="str">
        <f aca="false">IF($G1906="","",$V1906*N($L1906))</f>
        <v/>
      </c>
      <c r="Y1906" s="35" t="str">
        <f aca="false">IF($G1906="","",$V1906*(N($M1906)*1+N($N1906)*0.75+N($O1906)*0.5+N($P1906)*0.25)+$W1906*N($L1906))</f>
        <v/>
      </c>
      <c r="Z1906" s="35" t="str">
        <f aca="false">IF($G1906="","",$U1906*1000000+ROW())</f>
        <v/>
      </c>
      <c r="AA1906" s="36" t="str">
        <f aca="false">IF($G1906="","",MID(IF($C1906="",", no division","")&amp;IF($E1906="",", no unit","")&amp;IF($H1906="",", no career level","")&amp;IF(N($L1906)&lt;=0,", no quarter split","")&amp;IF($R1906="",", no driver","")&amp;IF(AND($H1906&lt;&gt;"",COUNTIF(CareerLevels,$H1906)=0),", a career level that is not on the ladder","")&amp;IF(AND($R1906&lt;&gt;"",COUNTIF(DriverList,$R1906)=0),", a driver that is not on the list","")&amp;IF(ABS(N($L1906)-(N($M1906)+N($N1906)+N($O1906)+N($P1906)))&gt;0.001,", a total that does not match its quarters",""),3,300))</f>
        <v/>
      </c>
    </row>
    <row r="1907" customFormat="false" ht="15" hidden="false" customHeight="false" outlineLevel="0" collapsed="false">
      <c r="A1907" s="33" t="str">
        <f aca="false">IF($G1907="","","Risk Group")</f>
        <v/>
      </c>
      <c r="B1907" s="19"/>
      <c r="C1907" s="19"/>
      <c r="D1907" s="19"/>
      <c r="E1907" s="19"/>
      <c r="F1907" s="19"/>
      <c r="G1907" s="19"/>
      <c r="H1907" s="19"/>
      <c r="I1907" s="19"/>
      <c r="J1907" s="19"/>
      <c r="K1907" s="19"/>
      <c r="L1907" s="19"/>
      <c r="M1907" s="19"/>
      <c r="N1907" s="19"/>
      <c r="O1907" s="19"/>
      <c r="P1907" s="19"/>
      <c r="Q1907" s="19"/>
      <c r="R1907" s="19"/>
      <c r="S1907" s="19"/>
      <c r="T1907" s="34" t="str">
        <f aca="false">IF($R1907="","",IFERROR(INDEX(DriverCategory,MATCH($R1907,DriverList,0)),"BAU"))</f>
        <v/>
      </c>
      <c r="U1907" s="34" t="str">
        <f aca="false">IF($R1907="","",IFERROR(INDEX(DriverRank,MATCH($R1907,DriverList,0)),99))</f>
        <v/>
      </c>
      <c r="V1907" s="35" t="n">
        <f aca="false">IF($H1907="",0,IFERROR(INDEX(LevelBasic,MATCH($H1907,LevelList,0))+INDEX(LevelHousing,MATCH($H1907,LevelList,0))+INDEX(LevelTransport,MATCH($H1907,LevelList,0))+INDEX(LevelBasic,MATCH($H1907,LevelList,0))*INDEX(LevelBonus,MATCH($H1907,LevelList,0))+(INDEX(LevelBasic,MATCH($H1907,LevelList,0))+INDEX(LevelHousing,MATCH($H1907,LevelList,0)))*GosiSaudi,0))</f>
        <v>0</v>
      </c>
      <c r="W1907" s="35" t="n">
        <f aca="false">IFERROR(INDEX(LevelOneOff,MATCH($H1907,LevelList,0)),0)</f>
        <v>0</v>
      </c>
      <c r="X1907" s="35" t="str">
        <f aca="false">IF($G1907="","",$V1907*N($L1907))</f>
        <v/>
      </c>
      <c r="Y1907" s="35" t="str">
        <f aca="false">IF($G1907="","",$V1907*(N($M1907)*1+N($N1907)*0.75+N($O1907)*0.5+N($P1907)*0.25)+$W1907*N($L1907))</f>
        <v/>
      </c>
      <c r="Z1907" s="35" t="str">
        <f aca="false">IF($G1907="","",$U1907*1000000+ROW())</f>
        <v/>
      </c>
      <c r="AA1907" s="36" t="str">
        <f aca="false">IF($G1907="","",MID(IF($C1907="",", no division","")&amp;IF($E1907="",", no unit","")&amp;IF($H1907="",", no career level","")&amp;IF(N($L1907)&lt;=0,", no quarter split","")&amp;IF($R1907="",", no driver","")&amp;IF(AND($H1907&lt;&gt;"",COUNTIF(CareerLevels,$H1907)=0),", a career level that is not on the ladder","")&amp;IF(AND($R1907&lt;&gt;"",COUNTIF(DriverList,$R1907)=0),", a driver that is not on the list","")&amp;IF(ABS(N($L1907)-(N($M1907)+N($N1907)+N($O1907)+N($P1907)))&gt;0.001,", a total that does not match its quarters",""),3,300))</f>
        <v/>
      </c>
    </row>
    <row r="1908" customFormat="false" ht="15" hidden="false" customHeight="false" outlineLevel="0" collapsed="false">
      <c r="A1908" s="33" t="str">
        <f aca="false">IF($G1908="","","Risk Group")</f>
        <v/>
      </c>
      <c r="B1908" s="19"/>
      <c r="C1908" s="19"/>
      <c r="D1908" s="19"/>
      <c r="E1908" s="19"/>
      <c r="F1908" s="19"/>
      <c r="G1908" s="19"/>
      <c r="H1908" s="19"/>
      <c r="I1908" s="19"/>
      <c r="J1908" s="19"/>
      <c r="K1908" s="19"/>
      <c r="L1908" s="19"/>
      <c r="M1908" s="19"/>
      <c r="N1908" s="19"/>
      <c r="O1908" s="19"/>
      <c r="P1908" s="19"/>
      <c r="Q1908" s="19"/>
      <c r="R1908" s="19"/>
      <c r="S1908" s="19"/>
      <c r="T1908" s="34" t="str">
        <f aca="false">IF($R1908="","",IFERROR(INDEX(DriverCategory,MATCH($R1908,DriverList,0)),"BAU"))</f>
        <v/>
      </c>
      <c r="U1908" s="34" t="str">
        <f aca="false">IF($R1908="","",IFERROR(INDEX(DriverRank,MATCH($R1908,DriverList,0)),99))</f>
        <v/>
      </c>
      <c r="V1908" s="35" t="n">
        <f aca="false">IF($H1908="",0,IFERROR(INDEX(LevelBasic,MATCH($H1908,LevelList,0))+INDEX(LevelHousing,MATCH($H1908,LevelList,0))+INDEX(LevelTransport,MATCH($H1908,LevelList,0))+INDEX(LevelBasic,MATCH($H1908,LevelList,0))*INDEX(LevelBonus,MATCH($H1908,LevelList,0))+(INDEX(LevelBasic,MATCH($H1908,LevelList,0))+INDEX(LevelHousing,MATCH($H1908,LevelList,0)))*GosiSaudi,0))</f>
        <v>0</v>
      </c>
      <c r="W1908" s="35" t="n">
        <f aca="false">IFERROR(INDEX(LevelOneOff,MATCH($H1908,LevelList,0)),0)</f>
        <v>0</v>
      </c>
      <c r="X1908" s="35" t="str">
        <f aca="false">IF($G1908="","",$V1908*N($L1908))</f>
        <v/>
      </c>
      <c r="Y1908" s="35" t="str">
        <f aca="false">IF($G1908="","",$V1908*(N($M1908)*1+N($N1908)*0.75+N($O1908)*0.5+N($P1908)*0.25)+$W1908*N($L1908))</f>
        <v/>
      </c>
      <c r="Z1908" s="35" t="str">
        <f aca="false">IF($G1908="","",$U1908*1000000+ROW())</f>
        <v/>
      </c>
      <c r="AA1908" s="36" t="str">
        <f aca="false">IF($G1908="","",MID(IF($C1908="",", no division","")&amp;IF($E1908="",", no unit","")&amp;IF($H1908="",", no career level","")&amp;IF(N($L1908)&lt;=0,", no quarter split","")&amp;IF($R1908="",", no driver","")&amp;IF(AND($H1908&lt;&gt;"",COUNTIF(CareerLevels,$H1908)=0),", a career level that is not on the ladder","")&amp;IF(AND($R1908&lt;&gt;"",COUNTIF(DriverList,$R1908)=0),", a driver that is not on the list","")&amp;IF(ABS(N($L1908)-(N($M1908)+N($N1908)+N($O1908)+N($P1908)))&gt;0.001,", a total that does not match its quarters",""),3,300))</f>
        <v/>
      </c>
    </row>
    <row r="1909" customFormat="false" ht="15" hidden="false" customHeight="false" outlineLevel="0" collapsed="false">
      <c r="A1909" s="33" t="str">
        <f aca="false">IF($G1909="","","Risk Group")</f>
        <v/>
      </c>
      <c r="B1909" s="19"/>
      <c r="C1909" s="19"/>
      <c r="D1909" s="19"/>
      <c r="E1909" s="19"/>
      <c r="F1909" s="19"/>
      <c r="G1909" s="19"/>
      <c r="H1909" s="19"/>
      <c r="I1909" s="19"/>
      <c r="J1909" s="19"/>
      <c r="K1909" s="19"/>
      <c r="L1909" s="19"/>
      <c r="M1909" s="19"/>
      <c r="N1909" s="19"/>
      <c r="O1909" s="19"/>
      <c r="P1909" s="19"/>
      <c r="Q1909" s="19"/>
      <c r="R1909" s="19"/>
      <c r="S1909" s="19"/>
      <c r="T1909" s="34" t="str">
        <f aca="false">IF($R1909="","",IFERROR(INDEX(DriverCategory,MATCH($R1909,DriverList,0)),"BAU"))</f>
        <v/>
      </c>
      <c r="U1909" s="34" t="str">
        <f aca="false">IF($R1909="","",IFERROR(INDEX(DriverRank,MATCH($R1909,DriverList,0)),99))</f>
        <v/>
      </c>
      <c r="V1909" s="35" t="n">
        <f aca="false">IF($H1909="",0,IFERROR(INDEX(LevelBasic,MATCH($H1909,LevelList,0))+INDEX(LevelHousing,MATCH($H1909,LevelList,0))+INDEX(LevelTransport,MATCH($H1909,LevelList,0))+INDEX(LevelBasic,MATCH($H1909,LevelList,0))*INDEX(LevelBonus,MATCH($H1909,LevelList,0))+(INDEX(LevelBasic,MATCH($H1909,LevelList,0))+INDEX(LevelHousing,MATCH($H1909,LevelList,0)))*GosiSaudi,0))</f>
        <v>0</v>
      </c>
      <c r="W1909" s="35" t="n">
        <f aca="false">IFERROR(INDEX(LevelOneOff,MATCH($H1909,LevelList,0)),0)</f>
        <v>0</v>
      </c>
      <c r="X1909" s="35" t="str">
        <f aca="false">IF($G1909="","",$V1909*N($L1909))</f>
        <v/>
      </c>
      <c r="Y1909" s="35" t="str">
        <f aca="false">IF($G1909="","",$V1909*(N($M1909)*1+N($N1909)*0.75+N($O1909)*0.5+N($P1909)*0.25)+$W1909*N($L1909))</f>
        <v/>
      </c>
      <c r="Z1909" s="35" t="str">
        <f aca="false">IF($G1909="","",$U1909*1000000+ROW())</f>
        <v/>
      </c>
      <c r="AA1909" s="36" t="str">
        <f aca="false">IF($G1909="","",MID(IF($C1909="",", no division","")&amp;IF($E1909="",", no unit","")&amp;IF($H1909="",", no career level","")&amp;IF(N($L1909)&lt;=0,", no quarter split","")&amp;IF($R1909="",", no driver","")&amp;IF(AND($H1909&lt;&gt;"",COUNTIF(CareerLevels,$H1909)=0),", a career level that is not on the ladder","")&amp;IF(AND($R1909&lt;&gt;"",COUNTIF(DriverList,$R1909)=0),", a driver that is not on the list","")&amp;IF(ABS(N($L1909)-(N($M1909)+N($N1909)+N($O1909)+N($P1909)))&gt;0.001,", a total that does not match its quarters",""),3,300))</f>
        <v/>
      </c>
    </row>
    <row r="1910" customFormat="false" ht="15" hidden="false" customHeight="false" outlineLevel="0" collapsed="false">
      <c r="A1910" s="33" t="str">
        <f aca="false">IF($G1910="","","Risk Group")</f>
        <v/>
      </c>
      <c r="B1910" s="19"/>
      <c r="C1910" s="19"/>
      <c r="D1910" s="19"/>
      <c r="E1910" s="19"/>
      <c r="F1910" s="19"/>
      <c r="G1910" s="19"/>
      <c r="H1910" s="19"/>
      <c r="I1910" s="19"/>
      <c r="J1910" s="19"/>
      <c r="K1910" s="19"/>
      <c r="L1910" s="19"/>
      <c r="M1910" s="19"/>
      <c r="N1910" s="19"/>
      <c r="O1910" s="19"/>
      <c r="P1910" s="19"/>
      <c r="Q1910" s="19"/>
      <c r="R1910" s="19"/>
      <c r="S1910" s="19"/>
      <c r="T1910" s="34" t="str">
        <f aca="false">IF($R1910="","",IFERROR(INDEX(DriverCategory,MATCH($R1910,DriverList,0)),"BAU"))</f>
        <v/>
      </c>
      <c r="U1910" s="34" t="str">
        <f aca="false">IF($R1910="","",IFERROR(INDEX(DriverRank,MATCH($R1910,DriverList,0)),99))</f>
        <v/>
      </c>
      <c r="V1910" s="35" t="n">
        <f aca="false">IF($H1910="",0,IFERROR(INDEX(LevelBasic,MATCH($H1910,LevelList,0))+INDEX(LevelHousing,MATCH($H1910,LevelList,0))+INDEX(LevelTransport,MATCH($H1910,LevelList,0))+INDEX(LevelBasic,MATCH($H1910,LevelList,0))*INDEX(LevelBonus,MATCH($H1910,LevelList,0))+(INDEX(LevelBasic,MATCH($H1910,LevelList,0))+INDEX(LevelHousing,MATCH($H1910,LevelList,0)))*GosiSaudi,0))</f>
        <v>0</v>
      </c>
      <c r="W1910" s="35" t="n">
        <f aca="false">IFERROR(INDEX(LevelOneOff,MATCH($H1910,LevelList,0)),0)</f>
        <v>0</v>
      </c>
      <c r="X1910" s="35" t="str">
        <f aca="false">IF($G1910="","",$V1910*N($L1910))</f>
        <v/>
      </c>
      <c r="Y1910" s="35" t="str">
        <f aca="false">IF($G1910="","",$V1910*(N($M1910)*1+N($N1910)*0.75+N($O1910)*0.5+N($P1910)*0.25)+$W1910*N($L1910))</f>
        <v/>
      </c>
      <c r="Z1910" s="35" t="str">
        <f aca="false">IF($G1910="","",$U1910*1000000+ROW())</f>
        <v/>
      </c>
      <c r="AA1910" s="36" t="str">
        <f aca="false">IF($G1910="","",MID(IF($C1910="",", no division","")&amp;IF($E1910="",", no unit","")&amp;IF($H1910="",", no career level","")&amp;IF(N($L1910)&lt;=0,", no quarter split","")&amp;IF($R1910="",", no driver","")&amp;IF(AND($H1910&lt;&gt;"",COUNTIF(CareerLevels,$H1910)=0),", a career level that is not on the ladder","")&amp;IF(AND($R1910&lt;&gt;"",COUNTIF(DriverList,$R1910)=0),", a driver that is not on the list","")&amp;IF(ABS(N($L1910)-(N($M1910)+N($N1910)+N($O1910)+N($P1910)))&gt;0.001,", a total that does not match its quarters",""),3,300))</f>
        <v/>
      </c>
    </row>
    <row r="1911" customFormat="false" ht="15" hidden="false" customHeight="false" outlineLevel="0" collapsed="false">
      <c r="A1911" s="33" t="str">
        <f aca="false">IF($G1911="","","Risk Group")</f>
        <v/>
      </c>
      <c r="B1911" s="19"/>
      <c r="C1911" s="19"/>
      <c r="D1911" s="19"/>
      <c r="E1911" s="19"/>
      <c r="F1911" s="19"/>
      <c r="G1911" s="19"/>
      <c r="H1911" s="19"/>
      <c r="I1911" s="19"/>
      <c r="J1911" s="19"/>
      <c r="K1911" s="19"/>
      <c r="L1911" s="19"/>
      <c r="M1911" s="19"/>
      <c r="N1911" s="19"/>
      <c r="O1911" s="19"/>
      <c r="P1911" s="19"/>
      <c r="Q1911" s="19"/>
      <c r="R1911" s="19"/>
      <c r="S1911" s="19"/>
      <c r="T1911" s="34" t="str">
        <f aca="false">IF($R1911="","",IFERROR(INDEX(DriverCategory,MATCH($R1911,DriverList,0)),"BAU"))</f>
        <v/>
      </c>
      <c r="U1911" s="34" t="str">
        <f aca="false">IF($R1911="","",IFERROR(INDEX(DriverRank,MATCH($R1911,DriverList,0)),99))</f>
        <v/>
      </c>
      <c r="V1911" s="35" t="n">
        <f aca="false">IF($H1911="",0,IFERROR(INDEX(LevelBasic,MATCH($H1911,LevelList,0))+INDEX(LevelHousing,MATCH($H1911,LevelList,0))+INDEX(LevelTransport,MATCH($H1911,LevelList,0))+INDEX(LevelBasic,MATCH($H1911,LevelList,0))*INDEX(LevelBonus,MATCH($H1911,LevelList,0))+(INDEX(LevelBasic,MATCH($H1911,LevelList,0))+INDEX(LevelHousing,MATCH($H1911,LevelList,0)))*GosiSaudi,0))</f>
        <v>0</v>
      </c>
      <c r="W1911" s="35" t="n">
        <f aca="false">IFERROR(INDEX(LevelOneOff,MATCH($H1911,LevelList,0)),0)</f>
        <v>0</v>
      </c>
      <c r="X1911" s="35" t="str">
        <f aca="false">IF($G1911="","",$V1911*N($L1911))</f>
        <v/>
      </c>
      <c r="Y1911" s="35" t="str">
        <f aca="false">IF($G1911="","",$V1911*(N($M1911)*1+N($N1911)*0.75+N($O1911)*0.5+N($P1911)*0.25)+$W1911*N($L1911))</f>
        <v/>
      </c>
      <c r="Z1911" s="35" t="str">
        <f aca="false">IF($G1911="","",$U1911*1000000+ROW())</f>
        <v/>
      </c>
      <c r="AA1911" s="36" t="str">
        <f aca="false">IF($G1911="","",MID(IF($C1911="",", no division","")&amp;IF($E1911="",", no unit","")&amp;IF($H1911="",", no career level","")&amp;IF(N($L1911)&lt;=0,", no quarter split","")&amp;IF($R1911="",", no driver","")&amp;IF(AND($H1911&lt;&gt;"",COUNTIF(CareerLevels,$H1911)=0),", a career level that is not on the ladder","")&amp;IF(AND($R1911&lt;&gt;"",COUNTIF(DriverList,$R1911)=0),", a driver that is not on the list","")&amp;IF(ABS(N($L1911)-(N($M1911)+N($N1911)+N($O1911)+N($P1911)))&gt;0.001,", a total that does not match its quarters",""),3,300))</f>
        <v/>
      </c>
    </row>
    <row r="1912" customFormat="false" ht="15" hidden="false" customHeight="false" outlineLevel="0" collapsed="false">
      <c r="A1912" s="33" t="str">
        <f aca="false">IF($G1912="","","Risk Group")</f>
        <v/>
      </c>
      <c r="B1912" s="19"/>
      <c r="C1912" s="19"/>
      <c r="D1912" s="19"/>
      <c r="E1912" s="19"/>
      <c r="F1912" s="19"/>
      <c r="G1912" s="19"/>
      <c r="H1912" s="19"/>
      <c r="I1912" s="19"/>
      <c r="J1912" s="19"/>
      <c r="K1912" s="19"/>
      <c r="L1912" s="19"/>
      <c r="M1912" s="19"/>
      <c r="N1912" s="19"/>
      <c r="O1912" s="19"/>
      <c r="P1912" s="19"/>
      <c r="Q1912" s="19"/>
      <c r="R1912" s="19"/>
      <c r="S1912" s="19"/>
      <c r="T1912" s="34" t="str">
        <f aca="false">IF($R1912="","",IFERROR(INDEX(DriverCategory,MATCH($R1912,DriverList,0)),"BAU"))</f>
        <v/>
      </c>
      <c r="U1912" s="34" t="str">
        <f aca="false">IF($R1912="","",IFERROR(INDEX(DriverRank,MATCH($R1912,DriverList,0)),99))</f>
        <v/>
      </c>
      <c r="V1912" s="35" t="n">
        <f aca="false">IF($H1912="",0,IFERROR(INDEX(LevelBasic,MATCH($H1912,LevelList,0))+INDEX(LevelHousing,MATCH($H1912,LevelList,0))+INDEX(LevelTransport,MATCH($H1912,LevelList,0))+INDEX(LevelBasic,MATCH($H1912,LevelList,0))*INDEX(LevelBonus,MATCH($H1912,LevelList,0))+(INDEX(LevelBasic,MATCH($H1912,LevelList,0))+INDEX(LevelHousing,MATCH($H1912,LevelList,0)))*GosiSaudi,0))</f>
        <v>0</v>
      </c>
      <c r="W1912" s="35" t="n">
        <f aca="false">IFERROR(INDEX(LevelOneOff,MATCH($H1912,LevelList,0)),0)</f>
        <v>0</v>
      </c>
      <c r="X1912" s="35" t="str">
        <f aca="false">IF($G1912="","",$V1912*N($L1912))</f>
        <v/>
      </c>
      <c r="Y1912" s="35" t="str">
        <f aca="false">IF($G1912="","",$V1912*(N($M1912)*1+N($N1912)*0.75+N($O1912)*0.5+N($P1912)*0.25)+$W1912*N($L1912))</f>
        <v/>
      </c>
      <c r="Z1912" s="35" t="str">
        <f aca="false">IF($G1912="","",$U1912*1000000+ROW())</f>
        <v/>
      </c>
      <c r="AA1912" s="36" t="str">
        <f aca="false">IF($G1912="","",MID(IF($C1912="",", no division","")&amp;IF($E1912="",", no unit","")&amp;IF($H1912="",", no career level","")&amp;IF(N($L1912)&lt;=0,", no quarter split","")&amp;IF($R1912="",", no driver","")&amp;IF(AND($H1912&lt;&gt;"",COUNTIF(CareerLevels,$H1912)=0),", a career level that is not on the ladder","")&amp;IF(AND($R1912&lt;&gt;"",COUNTIF(DriverList,$R1912)=0),", a driver that is not on the list","")&amp;IF(ABS(N($L1912)-(N($M1912)+N($N1912)+N($O1912)+N($P1912)))&gt;0.001,", a total that does not match its quarters",""),3,300))</f>
        <v/>
      </c>
    </row>
    <row r="1913" customFormat="false" ht="15" hidden="false" customHeight="false" outlineLevel="0" collapsed="false">
      <c r="A1913" s="33" t="str">
        <f aca="false">IF($G1913="","","Risk Group")</f>
        <v/>
      </c>
      <c r="B1913" s="19"/>
      <c r="C1913" s="19"/>
      <c r="D1913" s="19"/>
      <c r="E1913" s="19"/>
      <c r="F1913" s="19"/>
      <c r="G1913" s="19"/>
      <c r="H1913" s="19"/>
      <c r="I1913" s="19"/>
      <c r="J1913" s="19"/>
      <c r="K1913" s="19"/>
      <c r="L1913" s="19"/>
      <c r="M1913" s="19"/>
      <c r="N1913" s="19"/>
      <c r="O1913" s="19"/>
      <c r="P1913" s="19"/>
      <c r="Q1913" s="19"/>
      <c r="R1913" s="19"/>
      <c r="S1913" s="19"/>
      <c r="T1913" s="34" t="str">
        <f aca="false">IF($R1913="","",IFERROR(INDEX(DriverCategory,MATCH($R1913,DriverList,0)),"BAU"))</f>
        <v/>
      </c>
      <c r="U1913" s="34" t="str">
        <f aca="false">IF($R1913="","",IFERROR(INDEX(DriverRank,MATCH($R1913,DriverList,0)),99))</f>
        <v/>
      </c>
      <c r="V1913" s="35" t="n">
        <f aca="false">IF($H1913="",0,IFERROR(INDEX(LevelBasic,MATCH($H1913,LevelList,0))+INDEX(LevelHousing,MATCH($H1913,LevelList,0))+INDEX(LevelTransport,MATCH($H1913,LevelList,0))+INDEX(LevelBasic,MATCH($H1913,LevelList,0))*INDEX(LevelBonus,MATCH($H1913,LevelList,0))+(INDEX(LevelBasic,MATCH($H1913,LevelList,0))+INDEX(LevelHousing,MATCH($H1913,LevelList,0)))*GosiSaudi,0))</f>
        <v>0</v>
      </c>
      <c r="W1913" s="35" t="n">
        <f aca="false">IFERROR(INDEX(LevelOneOff,MATCH($H1913,LevelList,0)),0)</f>
        <v>0</v>
      </c>
      <c r="X1913" s="35" t="str">
        <f aca="false">IF($G1913="","",$V1913*N($L1913))</f>
        <v/>
      </c>
      <c r="Y1913" s="35" t="str">
        <f aca="false">IF($G1913="","",$V1913*(N($M1913)*1+N($N1913)*0.75+N($O1913)*0.5+N($P1913)*0.25)+$W1913*N($L1913))</f>
        <v/>
      </c>
      <c r="Z1913" s="35" t="str">
        <f aca="false">IF($G1913="","",$U1913*1000000+ROW())</f>
        <v/>
      </c>
      <c r="AA1913" s="36" t="str">
        <f aca="false">IF($G1913="","",MID(IF($C1913="",", no division","")&amp;IF($E1913="",", no unit","")&amp;IF($H1913="",", no career level","")&amp;IF(N($L1913)&lt;=0,", no quarter split","")&amp;IF($R1913="",", no driver","")&amp;IF(AND($H1913&lt;&gt;"",COUNTIF(CareerLevels,$H1913)=0),", a career level that is not on the ladder","")&amp;IF(AND($R1913&lt;&gt;"",COUNTIF(DriverList,$R1913)=0),", a driver that is not on the list","")&amp;IF(ABS(N($L1913)-(N($M1913)+N($N1913)+N($O1913)+N($P1913)))&gt;0.001,", a total that does not match its quarters",""),3,300))</f>
        <v/>
      </c>
    </row>
    <row r="1914" customFormat="false" ht="15" hidden="false" customHeight="false" outlineLevel="0" collapsed="false">
      <c r="A1914" s="33" t="str">
        <f aca="false">IF($G1914="","","Risk Group")</f>
        <v/>
      </c>
      <c r="B1914" s="19"/>
      <c r="C1914" s="19"/>
      <c r="D1914" s="19"/>
      <c r="E1914" s="19"/>
      <c r="F1914" s="19"/>
      <c r="G1914" s="19"/>
      <c r="H1914" s="19"/>
      <c r="I1914" s="19"/>
      <c r="J1914" s="19"/>
      <c r="K1914" s="19"/>
      <c r="L1914" s="19"/>
      <c r="M1914" s="19"/>
      <c r="N1914" s="19"/>
      <c r="O1914" s="19"/>
      <c r="P1914" s="19"/>
      <c r="Q1914" s="19"/>
      <c r="R1914" s="19"/>
      <c r="S1914" s="19"/>
      <c r="T1914" s="34" t="str">
        <f aca="false">IF($R1914="","",IFERROR(INDEX(DriverCategory,MATCH($R1914,DriverList,0)),"BAU"))</f>
        <v/>
      </c>
      <c r="U1914" s="34" t="str">
        <f aca="false">IF($R1914="","",IFERROR(INDEX(DriverRank,MATCH($R1914,DriverList,0)),99))</f>
        <v/>
      </c>
      <c r="V1914" s="35" t="n">
        <f aca="false">IF($H1914="",0,IFERROR(INDEX(LevelBasic,MATCH($H1914,LevelList,0))+INDEX(LevelHousing,MATCH($H1914,LevelList,0))+INDEX(LevelTransport,MATCH($H1914,LevelList,0))+INDEX(LevelBasic,MATCH($H1914,LevelList,0))*INDEX(LevelBonus,MATCH($H1914,LevelList,0))+(INDEX(LevelBasic,MATCH($H1914,LevelList,0))+INDEX(LevelHousing,MATCH($H1914,LevelList,0)))*GosiSaudi,0))</f>
        <v>0</v>
      </c>
      <c r="W1914" s="35" t="n">
        <f aca="false">IFERROR(INDEX(LevelOneOff,MATCH($H1914,LevelList,0)),0)</f>
        <v>0</v>
      </c>
      <c r="X1914" s="35" t="str">
        <f aca="false">IF($G1914="","",$V1914*N($L1914))</f>
        <v/>
      </c>
      <c r="Y1914" s="35" t="str">
        <f aca="false">IF($G1914="","",$V1914*(N($M1914)*1+N($N1914)*0.75+N($O1914)*0.5+N($P1914)*0.25)+$W1914*N($L1914))</f>
        <v/>
      </c>
      <c r="Z1914" s="35" t="str">
        <f aca="false">IF($G1914="","",$U1914*1000000+ROW())</f>
        <v/>
      </c>
      <c r="AA1914" s="36" t="str">
        <f aca="false">IF($G1914="","",MID(IF($C1914="",", no division","")&amp;IF($E1914="",", no unit","")&amp;IF($H1914="",", no career level","")&amp;IF(N($L1914)&lt;=0,", no quarter split","")&amp;IF($R1914="",", no driver","")&amp;IF(AND($H1914&lt;&gt;"",COUNTIF(CareerLevels,$H1914)=0),", a career level that is not on the ladder","")&amp;IF(AND($R1914&lt;&gt;"",COUNTIF(DriverList,$R1914)=0),", a driver that is not on the list","")&amp;IF(ABS(N($L1914)-(N($M1914)+N($N1914)+N($O1914)+N($P1914)))&gt;0.001,", a total that does not match its quarters",""),3,300))</f>
        <v/>
      </c>
    </row>
    <row r="1915" customFormat="false" ht="15" hidden="false" customHeight="false" outlineLevel="0" collapsed="false">
      <c r="A1915" s="33" t="str">
        <f aca="false">IF($G1915="","","Risk Group")</f>
        <v/>
      </c>
      <c r="B1915" s="19"/>
      <c r="C1915" s="19"/>
      <c r="D1915" s="19"/>
      <c r="E1915" s="19"/>
      <c r="F1915" s="19"/>
      <c r="G1915" s="19"/>
      <c r="H1915" s="19"/>
      <c r="I1915" s="19"/>
      <c r="J1915" s="19"/>
      <c r="K1915" s="19"/>
      <c r="L1915" s="19"/>
      <c r="M1915" s="19"/>
      <c r="N1915" s="19"/>
      <c r="O1915" s="19"/>
      <c r="P1915" s="19"/>
      <c r="Q1915" s="19"/>
      <c r="R1915" s="19"/>
      <c r="S1915" s="19"/>
      <c r="T1915" s="34" t="str">
        <f aca="false">IF($R1915="","",IFERROR(INDEX(DriverCategory,MATCH($R1915,DriverList,0)),"BAU"))</f>
        <v/>
      </c>
      <c r="U1915" s="34" t="str">
        <f aca="false">IF($R1915="","",IFERROR(INDEX(DriverRank,MATCH($R1915,DriverList,0)),99))</f>
        <v/>
      </c>
      <c r="V1915" s="35" t="n">
        <f aca="false">IF($H1915="",0,IFERROR(INDEX(LevelBasic,MATCH($H1915,LevelList,0))+INDEX(LevelHousing,MATCH($H1915,LevelList,0))+INDEX(LevelTransport,MATCH($H1915,LevelList,0))+INDEX(LevelBasic,MATCH($H1915,LevelList,0))*INDEX(LevelBonus,MATCH($H1915,LevelList,0))+(INDEX(LevelBasic,MATCH($H1915,LevelList,0))+INDEX(LevelHousing,MATCH($H1915,LevelList,0)))*GosiSaudi,0))</f>
        <v>0</v>
      </c>
      <c r="W1915" s="35" t="n">
        <f aca="false">IFERROR(INDEX(LevelOneOff,MATCH($H1915,LevelList,0)),0)</f>
        <v>0</v>
      </c>
      <c r="X1915" s="35" t="str">
        <f aca="false">IF($G1915="","",$V1915*N($L1915))</f>
        <v/>
      </c>
      <c r="Y1915" s="35" t="str">
        <f aca="false">IF($G1915="","",$V1915*(N($M1915)*1+N($N1915)*0.75+N($O1915)*0.5+N($P1915)*0.25)+$W1915*N($L1915))</f>
        <v/>
      </c>
      <c r="Z1915" s="35" t="str">
        <f aca="false">IF($G1915="","",$U1915*1000000+ROW())</f>
        <v/>
      </c>
      <c r="AA1915" s="36" t="str">
        <f aca="false">IF($G1915="","",MID(IF($C1915="",", no division","")&amp;IF($E1915="",", no unit","")&amp;IF($H1915="",", no career level","")&amp;IF(N($L1915)&lt;=0,", no quarter split","")&amp;IF($R1915="",", no driver","")&amp;IF(AND($H1915&lt;&gt;"",COUNTIF(CareerLevels,$H1915)=0),", a career level that is not on the ladder","")&amp;IF(AND($R1915&lt;&gt;"",COUNTIF(DriverList,$R1915)=0),", a driver that is not on the list","")&amp;IF(ABS(N($L1915)-(N($M1915)+N($N1915)+N($O1915)+N($P1915)))&gt;0.001,", a total that does not match its quarters",""),3,300))</f>
        <v/>
      </c>
    </row>
    <row r="1916" customFormat="false" ht="15" hidden="false" customHeight="false" outlineLevel="0" collapsed="false">
      <c r="A1916" s="33" t="str">
        <f aca="false">IF($G1916="","","Risk Group")</f>
        <v/>
      </c>
      <c r="B1916" s="19"/>
      <c r="C1916" s="19"/>
      <c r="D1916" s="19"/>
      <c r="E1916" s="19"/>
      <c r="F1916" s="19"/>
      <c r="G1916" s="19"/>
      <c r="H1916" s="19"/>
      <c r="I1916" s="19"/>
      <c r="J1916" s="19"/>
      <c r="K1916" s="19"/>
      <c r="L1916" s="19"/>
      <c r="M1916" s="19"/>
      <c r="N1916" s="19"/>
      <c r="O1916" s="19"/>
      <c r="P1916" s="19"/>
      <c r="Q1916" s="19"/>
      <c r="R1916" s="19"/>
      <c r="S1916" s="19"/>
      <c r="T1916" s="34" t="str">
        <f aca="false">IF($R1916="","",IFERROR(INDEX(DriverCategory,MATCH($R1916,DriverList,0)),"BAU"))</f>
        <v/>
      </c>
      <c r="U1916" s="34" t="str">
        <f aca="false">IF($R1916="","",IFERROR(INDEX(DriverRank,MATCH($R1916,DriverList,0)),99))</f>
        <v/>
      </c>
      <c r="V1916" s="35" t="n">
        <f aca="false">IF($H1916="",0,IFERROR(INDEX(LevelBasic,MATCH($H1916,LevelList,0))+INDEX(LevelHousing,MATCH($H1916,LevelList,0))+INDEX(LevelTransport,MATCH($H1916,LevelList,0))+INDEX(LevelBasic,MATCH($H1916,LevelList,0))*INDEX(LevelBonus,MATCH($H1916,LevelList,0))+(INDEX(LevelBasic,MATCH($H1916,LevelList,0))+INDEX(LevelHousing,MATCH($H1916,LevelList,0)))*GosiSaudi,0))</f>
        <v>0</v>
      </c>
      <c r="W1916" s="35" t="n">
        <f aca="false">IFERROR(INDEX(LevelOneOff,MATCH($H1916,LevelList,0)),0)</f>
        <v>0</v>
      </c>
      <c r="X1916" s="35" t="str">
        <f aca="false">IF($G1916="","",$V1916*N($L1916))</f>
        <v/>
      </c>
      <c r="Y1916" s="35" t="str">
        <f aca="false">IF($G1916="","",$V1916*(N($M1916)*1+N($N1916)*0.75+N($O1916)*0.5+N($P1916)*0.25)+$W1916*N($L1916))</f>
        <v/>
      </c>
      <c r="Z1916" s="35" t="str">
        <f aca="false">IF($G1916="","",$U1916*1000000+ROW())</f>
        <v/>
      </c>
      <c r="AA1916" s="36" t="str">
        <f aca="false">IF($G1916="","",MID(IF($C1916="",", no division","")&amp;IF($E1916="",", no unit","")&amp;IF($H1916="",", no career level","")&amp;IF(N($L1916)&lt;=0,", no quarter split","")&amp;IF($R1916="",", no driver","")&amp;IF(AND($H1916&lt;&gt;"",COUNTIF(CareerLevels,$H1916)=0),", a career level that is not on the ladder","")&amp;IF(AND($R1916&lt;&gt;"",COUNTIF(DriverList,$R1916)=0),", a driver that is not on the list","")&amp;IF(ABS(N($L1916)-(N($M1916)+N($N1916)+N($O1916)+N($P1916)))&gt;0.001,", a total that does not match its quarters",""),3,300))</f>
        <v/>
      </c>
    </row>
    <row r="1917" customFormat="false" ht="15" hidden="false" customHeight="false" outlineLevel="0" collapsed="false">
      <c r="A1917" s="33" t="str">
        <f aca="false">IF($G1917="","","Risk Group")</f>
        <v/>
      </c>
      <c r="B1917" s="19"/>
      <c r="C1917" s="19"/>
      <c r="D1917" s="19"/>
      <c r="E1917" s="19"/>
      <c r="F1917" s="19"/>
      <c r="G1917" s="19"/>
      <c r="H1917" s="19"/>
      <c r="I1917" s="19"/>
      <c r="J1917" s="19"/>
      <c r="K1917" s="19"/>
      <c r="L1917" s="19"/>
      <c r="M1917" s="19"/>
      <c r="N1917" s="19"/>
      <c r="O1917" s="19"/>
      <c r="P1917" s="19"/>
      <c r="Q1917" s="19"/>
      <c r="R1917" s="19"/>
      <c r="S1917" s="19"/>
      <c r="T1917" s="34" t="str">
        <f aca="false">IF($R1917="","",IFERROR(INDEX(DriverCategory,MATCH($R1917,DriverList,0)),"BAU"))</f>
        <v/>
      </c>
      <c r="U1917" s="34" t="str">
        <f aca="false">IF($R1917="","",IFERROR(INDEX(DriverRank,MATCH($R1917,DriverList,0)),99))</f>
        <v/>
      </c>
      <c r="V1917" s="35" t="n">
        <f aca="false">IF($H1917="",0,IFERROR(INDEX(LevelBasic,MATCH($H1917,LevelList,0))+INDEX(LevelHousing,MATCH($H1917,LevelList,0))+INDEX(LevelTransport,MATCH($H1917,LevelList,0))+INDEX(LevelBasic,MATCH($H1917,LevelList,0))*INDEX(LevelBonus,MATCH($H1917,LevelList,0))+(INDEX(LevelBasic,MATCH($H1917,LevelList,0))+INDEX(LevelHousing,MATCH($H1917,LevelList,0)))*GosiSaudi,0))</f>
        <v>0</v>
      </c>
      <c r="W1917" s="35" t="n">
        <f aca="false">IFERROR(INDEX(LevelOneOff,MATCH($H1917,LevelList,0)),0)</f>
        <v>0</v>
      </c>
      <c r="X1917" s="35" t="str">
        <f aca="false">IF($G1917="","",$V1917*N($L1917))</f>
        <v/>
      </c>
      <c r="Y1917" s="35" t="str">
        <f aca="false">IF($G1917="","",$V1917*(N($M1917)*1+N($N1917)*0.75+N($O1917)*0.5+N($P1917)*0.25)+$W1917*N($L1917))</f>
        <v/>
      </c>
      <c r="Z1917" s="35" t="str">
        <f aca="false">IF($G1917="","",$U1917*1000000+ROW())</f>
        <v/>
      </c>
      <c r="AA1917" s="36" t="str">
        <f aca="false">IF($G1917="","",MID(IF($C1917="",", no division","")&amp;IF($E1917="",", no unit","")&amp;IF($H1917="",", no career level","")&amp;IF(N($L1917)&lt;=0,", no quarter split","")&amp;IF($R1917="",", no driver","")&amp;IF(AND($H1917&lt;&gt;"",COUNTIF(CareerLevels,$H1917)=0),", a career level that is not on the ladder","")&amp;IF(AND($R1917&lt;&gt;"",COUNTIF(DriverList,$R1917)=0),", a driver that is not on the list","")&amp;IF(ABS(N($L1917)-(N($M1917)+N($N1917)+N($O1917)+N($P1917)))&gt;0.001,", a total that does not match its quarters",""),3,300))</f>
        <v/>
      </c>
    </row>
    <row r="1918" customFormat="false" ht="15" hidden="false" customHeight="false" outlineLevel="0" collapsed="false">
      <c r="A1918" s="33" t="str">
        <f aca="false">IF($G1918="","","Risk Group")</f>
        <v/>
      </c>
      <c r="B1918" s="19"/>
      <c r="C1918" s="19"/>
      <c r="D1918" s="19"/>
      <c r="E1918" s="19"/>
      <c r="F1918" s="19"/>
      <c r="G1918" s="19"/>
      <c r="H1918" s="19"/>
      <c r="I1918" s="19"/>
      <c r="J1918" s="19"/>
      <c r="K1918" s="19"/>
      <c r="L1918" s="19"/>
      <c r="M1918" s="19"/>
      <c r="N1918" s="19"/>
      <c r="O1918" s="19"/>
      <c r="P1918" s="19"/>
      <c r="Q1918" s="19"/>
      <c r="R1918" s="19"/>
      <c r="S1918" s="19"/>
      <c r="T1918" s="34" t="str">
        <f aca="false">IF($R1918="","",IFERROR(INDEX(DriverCategory,MATCH($R1918,DriverList,0)),"BAU"))</f>
        <v/>
      </c>
      <c r="U1918" s="34" t="str">
        <f aca="false">IF($R1918="","",IFERROR(INDEX(DriverRank,MATCH($R1918,DriverList,0)),99))</f>
        <v/>
      </c>
      <c r="V1918" s="35" t="n">
        <f aca="false">IF($H1918="",0,IFERROR(INDEX(LevelBasic,MATCH($H1918,LevelList,0))+INDEX(LevelHousing,MATCH($H1918,LevelList,0))+INDEX(LevelTransport,MATCH($H1918,LevelList,0))+INDEX(LevelBasic,MATCH($H1918,LevelList,0))*INDEX(LevelBonus,MATCH($H1918,LevelList,0))+(INDEX(LevelBasic,MATCH($H1918,LevelList,0))+INDEX(LevelHousing,MATCH($H1918,LevelList,0)))*GosiSaudi,0))</f>
        <v>0</v>
      </c>
      <c r="W1918" s="35" t="n">
        <f aca="false">IFERROR(INDEX(LevelOneOff,MATCH($H1918,LevelList,0)),0)</f>
        <v>0</v>
      </c>
      <c r="X1918" s="35" t="str">
        <f aca="false">IF($G1918="","",$V1918*N($L1918))</f>
        <v/>
      </c>
      <c r="Y1918" s="35" t="str">
        <f aca="false">IF($G1918="","",$V1918*(N($M1918)*1+N($N1918)*0.75+N($O1918)*0.5+N($P1918)*0.25)+$W1918*N($L1918))</f>
        <v/>
      </c>
      <c r="Z1918" s="35" t="str">
        <f aca="false">IF($G1918="","",$U1918*1000000+ROW())</f>
        <v/>
      </c>
      <c r="AA1918" s="36" t="str">
        <f aca="false">IF($G1918="","",MID(IF($C1918="",", no division","")&amp;IF($E1918="",", no unit","")&amp;IF($H1918="",", no career level","")&amp;IF(N($L1918)&lt;=0,", no quarter split","")&amp;IF($R1918="",", no driver","")&amp;IF(AND($H1918&lt;&gt;"",COUNTIF(CareerLevels,$H1918)=0),", a career level that is not on the ladder","")&amp;IF(AND($R1918&lt;&gt;"",COUNTIF(DriverList,$R1918)=0),", a driver that is not on the list","")&amp;IF(ABS(N($L1918)-(N($M1918)+N($N1918)+N($O1918)+N($P1918)))&gt;0.001,", a total that does not match its quarters",""),3,300))</f>
        <v/>
      </c>
    </row>
    <row r="1919" customFormat="false" ht="15" hidden="false" customHeight="false" outlineLevel="0" collapsed="false">
      <c r="A1919" s="33" t="str">
        <f aca="false">IF($G1919="","","Risk Group")</f>
        <v/>
      </c>
      <c r="B1919" s="19"/>
      <c r="C1919" s="19"/>
      <c r="D1919" s="19"/>
      <c r="E1919" s="19"/>
      <c r="F1919" s="19"/>
      <c r="G1919" s="19"/>
      <c r="H1919" s="19"/>
      <c r="I1919" s="19"/>
      <c r="J1919" s="19"/>
      <c r="K1919" s="19"/>
      <c r="L1919" s="19"/>
      <c r="M1919" s="19"/>
      <c r="N1919" s="19"/>
      <c r="O1919" s="19"/>
      <c r="P1919" s="19"/>
      <c r="Q1919" s="19"/>
      <c r="R1919" s="19"/>
      <c r="S1919" s="19"/>
      <c r="T1919" s="34" t="str">
        <f aca="false">IF($R1919="","",IFERROR(INDEX(DriverCategory,MATCH($R1919,DriverList,0)),"BAU"))</f>
        <v/>
      </c>
      <c r="U1919" s="34" t="str">
        <f aca="false">IF($R1919="","",IFERROR(INDEX(DriverRank,MATCH($R1919,DriverList,0)),99))</f>
        <v/>
      </c>
      <c r="V1919" s="35" t="n">
        <f aca="false">IF($H1919="",0,IFERROR(INDEX(LevelBasic,MATCH($H1919,LevelList,0))+INDEX(LevelHousing,MATCH($H1919,LevelList,0))+INDEX(LevelTransport,MATCH($H1919,LevelList,0))+INDEX(LevelBasic,MATCH($H1919,LevelList,0))*INDEX(LevelBonus,MATCH($H1919,LevelList,0))+(INDEX(LevelBasic,MATCH($H1919,LevelList,0))+INDEX(LevelHousing,MATCH($H1919,LevelList,0)))*GosiSaudi,0))</f>
        <v>0</v>
      </c>
      <c r="W1919" s="35" t="n">
        <f aca="false">IFERROR(INDEX(LevelOneOff,MATCH($H1919,LevelList,0)),0)</f>
        <v>0</v>
      </c>
      <c r="X1919" s="35" t="str">
        <f aca="false">IF($G1919="","",$V1919*N($L1919))</f>
        <v/>
      </c>
      <c r="Y1919" s="35" t="str">
        <f aca="false">IF($G1919="","",$V1919*(N($M1919)*1+N($N1919)*0.75+N($O1919)*0.5+N($P1919)*0.25)+$W1919*N($L1919))</f>
        <v/>
      </c>
      <c r="Z1919" s="35" t="str">
        <f aca="false">IF($G1919="","",$U1919*1000000+ROW())</f>
        <v/>
      </c>
      <c r="AA1919" s="36" t="str">
        <f aca="false">IF($G1919="","",MID(IF($C1919="",", no division","")&amp;IF($E1919="",", no unit","")&amp;IF($H1919="",", no career level","")&amp;IF(N($L1919)&lt;=0,", no quarter split","")&amp;IF($R1919="",", no driver","")&amp;IF(AND($H1919&lt;&gt;"",COUNTIF(CareerLevels,$H1919)=0),", a career level that is not on the ladder","")&amp;IF(AND($R1919&lt;&gt;"",COUNTIF(DriverList,$R1919)=0),", a driver that is not on the list","")&amp;IF(ABS(N($L1919)-(N($M1919)+N($N1919)+N($O1919)+N($P1919)))&gt;0.001,", a total that does not match its quarters",""),3,300))</f>
        <v/>
      </c>
    </row>
    <row r="1920" customFormat="false" ht="15" hidden="false" customHeight="false" outlineLevel="0" collapsed="false">
      <c r="A1920" s="33" t="str">
        <f aca="false">IF($G1920="","","Risk Group")</f>
        <v/>
      </c>
      <c r="B1920" s="19"/>
      <c r="C1920" s="19"/>
      <c r="D1920" s="19"/>
      <c r="E1920" s="19"/>
      <c r="F1920" s="19"/>
      <c r="G1920" s="19"/>
      <c r="H1920" s="19"/>
      <c r="I1920" s="19"/>
      <c r="J1920" s="19"/>
      <c r="K1920" s="19"/>
      <c r="L1920" s="19"/>
      <c r="M1920" s="19"/>
      <c r="N1920" s="19"/>
      <c r="O1920" s="19"/>
      <c r="P1920" s="19"/>
      <c r="Q1920" s="19"/>
      <c r="R1920" s="19"/>
      <c r="S1920" s="19"/>
      <c r="T1920" s="34" t="str">
        <f aca="false">IF($R1920="","",IFERROR(INDEX(DriverCategory,MATCH($R1920,DriverList,0)),"BAU"))</f>
        <v/>
      </c>
      <c r="U1920" s="34" t="str">
        <f aca="false">IF($R1920="","",IFERROR(INDEX(DriverRank,MATCH($R1920,DriverList,0)),99))</f>
        <v/>
      </c>
      <c r="V1920" s="35" t="n">
        <f aca="false">IF($H1920="",0,IFERROR(INDEX(LevelBasic,MATCH($H1920,LevelList,0))+INDEX(LevelHousing,MATCH($H1920,LevelList,0))+INDEX(LevelTransport,MATCH($H1920,LevelList,0))+INDEX(LevelBasic,MATCH($H1920,LevelList,0))*INDEX(LevelBonus,MATCH($H1920,LevelList,0))+(INDEX(LevelBasic,MATCH($H1920,LevelList,0))+INDEX(LevelHousing,MATCH($H1920,LevelList,0)))*GosiSaudi,0))</f>
        <v>0</v>
      </c>
      <c r="W1920" s="35" t="n">
        <f aca="false">IFERROR(INDEX(LevelOneOff,MATCH($H1920,LevelList,0)),0)</f>
        <v>0</v>
      </c>
      <c r="X1920" s="35" t="str">
        <f aca="false">IF($G1920="","",$V1920*N($L1920))</f>
        <v/>
      </c>
      <c r="Y1920" s="35" t="str">
        <f aca="false">IF($G1920="","",$V1920*(N($M1920)*1+N($N1920)*0.75+N($O1920)*0.5+N($P1920)*0.25)+$W1920*N($L1920))</f>
        <v/>
      </c>
      <c r="Z1920" s="35" t="str">
        <f aca="false">IF($G1920="","",$U1920*1000000+ROW())</f>
        <v/>
      </c>
      <c r="AA1920" s="36" t="str">
        <f aca="false">IF($G1920="","",MID(IF($C1920="",", no division","")&amp;IF($E1920="",", no unit","")&amp;IF($H1920="",", no career level","")&amp;IF(N($L1920)&lt;=0,", no quarter split","")&amp;IF($R1920="",", no driver","")&amp;IF(AND($H1920&lt;&gt;"",COUNTIF(CareerLevels,$H1920)=0),", a career level that is not on the ladder","")&amp;IF(AND($R1920&lt;&gt;"",COUNTIF(DriverList,$R1920)=0),", a driver that is not on the list","")&amp;IF(ABS(N($L1920)-(N($M1920)+N($N1920)+N($O1920)+N($P1920)))&gt;0.001,", a total that does not match its quarters",""),3,300))</f>
        <v/>
      </c>
    </row>
    <row r="1921" customFormat="false" ht="15" hidden="false" customHeight="false" outlineLevel="0" collapsed="false">
      <c r="A1921" s="33" t="str">
        <f aca="false">IF($G1921="","","Risk Group")</f>
        <v/>
      </c>
      <c r="B1921" s="19"/>
      <c r="C1921" s="19"/>
      <c r="D1921" s="19"/>
      <c r="E1921" s="19"/>
      <c r="F1921" s="19"/>
      <c r="G1921" s="19"/>
      <c r="H1921" s="19"/>
      <c r="I1921" s="19"/>
      <c r="J1921" s="19"/>
      <c r="K1921" s="19"/>
      <c r="L1921" s="19"/>
      <c r="M1921" s="19"/>
      <c r="N1921" s="19"/>
      <c r="O1921" s="19"/>
      <c r="P1921" s="19"/>
      <c r="Q1921" s="19"/>
      <c r="R1921" s="19"/>
      <c r="S1921" s="19"/>
      <c r="T1921" s="34" t="str">
        <f aca="false">IF($R1921="","",IFERROR(INDEX(DriverCategory,MATCH($R1921,DriverList,0)),"BAU"))</f>
        <v/>
      </c>
      <c r="U1921" s="34" t="str">
        <f aca="false">IF($R1921="","",IFERROR(INDEX(DriverRank,MATCH($R1921,DriverList,0)),99))</f>
        <v/>
      </c>
      <c r="V1921" s="35" t="n">
        <f aca="false">IF($H1921="",0,IFERROR(INDEX(LevelBasic,MATCH($H1921,LevelList,0))+INDEX(LevelHousing,MATCH($H1921,LevelList,0))+INDEX(LevelTransport,MATCH($H1921,LevelList,0))+INDEX(LevelBasic,MATCH($H1921,LevelList,0))*INDEX(LevelBonus,MATCH($H1921,LevelList,0))+(INDEX(LevelBasic,MATCH($H1921,LevelList,0))+INDEX(LevelHousing,MATCH($H1921,LevelList,0)))*GosiSaudi,0))</f>
        <v>0</v>
      </c>
      <c r="W1921" s="35" t="n">
        <f aca="false">IFERROR(INDEX(LevelOneOff,MATCH($H1921,LevelList,0)),0)</f>
        <v>0</v>
      </c>
      <c r="X1921" s="35" t="str">
        <f aca="false">IF($G1921="","",$V1921*N($L1921))</f>
        <v/>
      </c>
      <c r="Y1921" s="35" t="str">
        <f aca="false">IF($G1921="","",$V1921*(N($M1921)*1+N($N1921)*0.75+N($O1921)*0.5+N($P1921)*0.25)+$W1921*N($L1921))</f>
        <v/>
      </c>
      <c r="Z1921" s="35" t="str">
        <f aca="false">IF($G1921="","",$U1921*1000000+ROW())</f>
        <v/>
      </c>
      <c r="AA1921" s="36" t="str">
        <f aca="false">IF($G1921="","",MID(IF($C1921="",", no division","")&amp;IF($E1921="",", no unit","")&amp;IF($H1921="",", no career level","")&amp;IF(N($L1921)&lt;=0,", no quarter split","")&amp;IF($R1921="",", no driver","")&amp;IF(AND($H1921&lt;&gt;"",COUNTIF(CareerLevels,$H1921)=0),", a career level that is not on the ladder","")&amp;IF(AND($R1921&lt;&gt;"",COUNTIF(DriverList,$R1921)=0),", a driver that is not on the list","")&amp;IF(ABS(N($L1921)-(N($M1921)+N($N1921)+N($O1921)+N($P1921)))&gt;0.001,", a total that does not match its quarters",""),3,300))</f>
        <v/>
      </c>
    </row>
    <row r="1922" customFormat="false" ht="15" hidden="false" customHeight="false" outlineLevel="0" collapsed="false">
      <c r="A1922" s="33" t="str">
        <f aca="false">IF($G1922="","","Risk Group")</f>
        <v/>
      </c>
      <c r="B1922" s="19"/>
      <c r="C1922" s="19"/>
      <c r="D1922" s="19"/>
      <c r="E1922" s="19"/>
      <c r="F1922" s="19"/>
      <c r="G1922" s="19"/>
      <c r="H1922" s="19"/>
      <c r="I1922" s="19"/>
      <c r="J1922" s="19"/>
      <c r="K1922" s="19"/>
      <c r="L1922" s="19"/>
      <c r="M1922" s="19"/>
      <c r="N1922" s="19"/>
      <c r="O1922" s="19"/>
      <c r="P1922" s="19"/>
      <c r="Q1922" s="19"/>
      <c r="R1922" s="19"/>
      <c r="S1922" s="19"/>
      <c r="T1922" s="34" t="str">
        <f aca="false">IF($R1922="","",IFERROR(INDEX(DriverCategory,MATCH($R1922,DriverList,0)),"BAU"))</f>
        <v/>
      </c>
      <c r="U1922" s="34" t="str">
        <f aca="false">IF($R1922="","",IFERROR(INDEX(DriverRank,MATCH($R1922,DriverList,0)),99))</f>
        <v/>
      </c>
      <c r="V1922" s="35" t="n">
        <f aca="false">IF($H1922="",0,IFERROR(INDEX(LevelBasic,MATCH($H1922,LevelList,0))+INDEX(LevelHousing,MATCH($H1922,LevelList,0))+INDEX(LevelTransport,MATCH($H1922,LevelList,0))+INDEX(LevelBasic,MATCH($H1922,LevelList,0))*INDEX(LevelBonus,MATCH($H1922,LevelList,0))+(INDEX(LevelBasic,MATCH($H1922,LevelList,0))+INDEX(LevelHousing,MATCH($H1922,LevelList,0)))*GosiSaudi,0))</f>
        <v>0</v>
      </c>
      <c r="W1922" s="35" t="n">
        <f aca="false">IFERROR(INDEX(LevelOneOff,MATCH($H1922,LevelList,0)),0)</f>
        <v>0</v>
      </c>
      <c r="X1922" s="35" t="str">
        <f aca="false">IF($G1922="","",$V1922*N($L1922))</f>
        <v/>
      </c>
      <c r="Y1922" s="35" t="str">
        <f aca="false">IF($G1922="","",$V1922*(N($M1922)*1+N($N1922)*0.75+N($O1922)*0.5+N($P1922)*0.25)+$W1922*N($L1922))</f>
        <v/>
      </c>
      <c r="Z1922" s="35" t="str">
        <f aca="false">IF($G1922="","",$U1922*1000000+ROW())</f>
        <v/>
      </c>
      <c r="AA1922" s="36" t="str">
        <f aca="false">IF($G1922="","",MID(IF($C1922="",", no division","")&amp;IF($E1922="",", no unit","")&amp;IF($H1922="",", no career level","")&amp;IF(N($L1922)&lt;=0,", no quarter split","")&amp;IF($R1922="",", no driver","")&amp;IF(AND($H1922&lt;&gt;"",COUNTIF(CareerLevels,$H1922)=0),", a career level that is not on the ladder","")&amp;IF(AND($R1922&lt;&gt;"",COUNTIF(DriverList,$R1922)=0),", a driver that is not on the list","")&amp;IF(ABS(N($L1922)-(N($M1922)+N($N1922)+N($O1922)+N($P1922)))&gt;0.001,", a total that does not match its quarters",""),3,300))</f>
        <v/>
      </c>
    </row>
    <row r="1923" customFormat="false" ht="15" hidden="false" customHeight="false" outlineLevel="0" collapsed="false">
      <c r="A1923" s="33" t="str">
        <f aca="false">IF($G1923="","","Risk Group")</f>
        <v/>
      </c>
      <c r="B1923" s="19"/>
      <c r="C1923" s="19"/>
      <c r="D1923" s="19"/>
      <c r="E1923" s="19"/>
      <c r="F1923" s="19"/>
      <c r="G1923" s="19"/>
      <c r="H1923" s="19"/>
      <c r="I1923" s="19"/>
      <c r="J1923" s="19"/>
      <c r="K1923" s="19"/>
      <c r="L1923" s="19"/>
      <c r="M1923" s="19"/>
      <c r="N1923" s="19"/>
      <c r="O1923" s="19"/>
      <c r="P1923" s="19"/>
      <c r="Q1923" s="19"/>
      <c r="R1923" s="19"/>
      <c r="S1923" s="19"/>
      <c r="T1923" s="34" t="str">
        <f aca="false">IF($R1923="","",IFERROR(INDEX(DriverCategory,MATCH($R1923,DriverList,0)),"BAU"))</f>
        <v/>
      </c>
      <c r="U1923" s="34" t="str">
        <f aca="false">IF($R1923="","",IFERROR(INDEX(DriverRank,MATCH($R1923,DriverList,0)),99))</f>
        <v/>
      </c>
      <c r="V1923" s="35" t="n">
        <f aca="false">IF($H1923="",0,IFERROR(INDEX(LevelBasic,MATCH($H1923,LevelList,0))+INDEX(LevelHousing,MATCH($H1923,LevelList,0))+INDEX(LevelTransport,MATCH($H1923,LevelList,0))+INDEX(LevelBasic,MATCH($H1923,LevelList,0))*INDEX(LevelBonus,MATCH($H1923,LevelList,0))+(INDEX(LevelBasic,MATCH($H1923,LevelList,0))+INDEX(LevelHousing,MATCH($H1923,LevelList,0)))*GosiSaudi,0))</f>
        <v>0</v>
      </c>
      <c r="W1923" s="35" t="n">
        <f aca="false">IFERROR(INDEX(LevelOneOff,MATCH($H1923,LevelList,0)),0)</f>
        <v>0</v>
      </c>
      <c r="X1923" s="35" t="str">
        <f aca="false">IF($G1923="","",$V1923*N($L1923))</f>
        <v/>
      </c>
      <c r="Y1923" s="35" t="str">
        <f aca="false">IF($G1923="","",$V1923*(N($M1923)*1+N($N1923)*0.75+N($O1923)*0.5+N($P1923)*0.25)+$W1923*N($L1923))</f>
        <v/>
      </c>
      <c r="Z1923" s="35" t="str">
        <f aca="false">IF($G1923="","",$U1923*1000000+ROW())</f>
        <v/>
      </c>
      <c r="AA1923" s="36" t="str">
        <f aca="false">IF($G1923="","",MID(IF($C1923="",", no division","")&amp;IF($E1923="",", no unit","")&amp;IF($H1923="",", no career level","")&amp;IF(N($L1923)&lt;=0,", no quarter split","")&amp;IF($R1923="",", no driver","")&amp;IF(AND($H1923&lt;&gt;"",COUNTIF(CareerLevels,$H1923)=0),", a career level that is not on the ladder","")&amp;IF(AND($R1923&lt;&gt;"",COUNTIF(DriverList,$R1923)=0),", a driver that is not on the list","")&amp;IF(ABS(N($L1923)-(N($M1923)+N($N1923)+N($O1923)+N($P1923)))&gt;0.001,", a total that does not match its quarters",""),3,300))</f>
        <v/>
      </c>
    </row>
    <row r="1924" customFormat="false" ht="15" hidden="false" customHeight="false" outlineLevel="0" collapsed="false">
      <c r="A1924" s="33" t="str">
        <f aca="false">IF($G1924="","","Risk Group")</f>
        <v/>
      </c>
      <c r="B1924" s="19"/>
      <c r="C1924" s="19"/>
      <c r="D1924" s="19"/>
      <c r="E1924" s="19"/>
      <c r="F1924" s="19"/>
      <c r="G1924" s="19"/>
      <c r="H1924" s="19"/>
      <c r="I1924" s="19"/>
      <c r="J1924" s="19"/>
      <c r="K1924" s="19"/>
      <c r="L1924" s="19"/>
      <c r="M1924" s="19"/>
      <c r="N1924" s="19"/>
      <c r="O1924" s="19"/>
      <c r="P1924" s="19"/>
      <c r="Q1924" s="19"/>
      <c r="R1924" s="19"/>
      <c r="S1924" s="19"/>
      <c r="T1924" s="34" t="str">
        <f aca="false">IF($R1924="","",IFERROR(INDEX(DriverCategory,MATCH($R1924,DriverList,0)),"BAU"))</f>
        <v/>
      </c>
      <c r="U1924" s="34" t="str">
        <f aca="false">IF($R1924="","",IFERROR(INDEX(DriverRank,MATCH($R1924,DriverList,0)),99))</f>
        <v/>
      </c>
      <c r="V1924" s="35" t="n">
        <f aca="false">IF($H1924="",0,IFERROR(INDEX(LevelBasic,MATCH($H1924,LevelList,0))+INDEX(LevelHousing,MATCH($H1924,LevelList,0))+INDEX(LevelTransport,MATCH($H1924,LevelList,0))+INDEX(LevelBasic,MATCH($H1924,LevelList,0))*INDEX(LevelBonus,MATCH($H1924,LevelList,0))+(INDEX(LevelBasic,MATCH($H1924,LevelList,0))+INDEX(LevelHousing,MATCH($H1924,LevelList,0)))*GosiSaudi,0))</f>
        <v>0</v>
      </c>
      <c r="W1924" s="35" t="n">
        <f aca="false">IFERROR(INDEX(LevelOneOff,MATCH($H1924,LevelList,0)),0)</f>
        <v>0</v>
      </c>
      <c r="X1924" s="35" t="str">
        <f aca="false">IF($G1924="","",$V1924*N($L1924))</f>
        <v/>
      </c>
      <c r="Y1924" s="35" t="str">
        <f aca="false">IF($G1924="","",$V1924*(N($M1924)*1+N($N1924)*0.75+N($O1924)*0.5+N($P1924)*0.25)+$W1924*N($L1924))</f>
        <v/>
      </c>
      <c r="Z1924" s="35" t="str">
        <f aca="false">IF($G1924="","",$U1924*1000000+ROW())</f>
        <v/>
      </c>
      <c r="AA1924" s="36" t="str">
        <f aca="false">IF($G1924="","",MID(IF($C1924="",", no division","")&amp;IF($E1924="",", no unit","")&amp;IF($H1924="",", no career level","")&amp;IF(N($L1924)&lt;=0,", no quarter split","")&amp;IF($R1924="",", no driver","")&amp;IF(AND($H1924&lt;&gt;"",COUNTIF(CareerLevels,$H1924)=0),", a career level that is not on the ladder","")&amp;IF(AND($R1924&lt;&gt;"",COUNTIF(DriverList,$R1924)=0),", a driver that is not on the list","")&amp;IF(ABS(N($L1924)-(N($M1924)+N($N1924)+N($O1924)+N($P1924)))&gt;0.001,", a total that does not match its quarters",""),3,300))</f>
        <v/>
      </c>
    </row>
    <row r="1925" customFormat="false" ht="15" hidden="false" customHeight="false" outlineLevel="0" collapsed="false">
      <c r="A1925" s="33" t="str">
        <f aca="false">IF($G1925="","","Risk Group")</f>
        <v/>
      </c>
      <c r="B1925" s="19"/>
      <c r="C1925" s="19"/>
      <c r="D1925" s="19"/>
      <c r="E1925" s="19"/>
      <c r="F1925" s="19"/>
      <c r="G1925" s="19"/>
      <c r="H1925" s="19"/>
      <c r="I1925" s="19"/>
      <c r="J1925" s="19"/>
      <c r="K1925" s="19"/>
      <c r="L1925" s="19"/>
      <c r="M1925" s="19"/>
      <c r="N1925" s="19"/>
      <c r="O1925" s="19"/>
      <c r="P1925" s="19"/>
      <c r="Q1925" s="19"/>
      <c r="R1925" s="19"/>
      <c r="S1925" s="19"/>
      <c r="T1925" s="34" t="str">
        <f aca="false">IF($R1925="","",IFERROR(INDEX(DriverCategory,MATCH($R1925,DriverList,0)),"BAU"))</f>
        <v/>
      </c>
      <c r="U1925" s="34" t="str">
        <f aca="false">IF($R1925="","",IFERROR(INDEX(DriverRank,MATCH($R1925,DriverList,0)),99))</f>
        <v/>
      </c>
      <c r="V1925" s="35" t="n">
        <f aca="false">IF($H1925="",0,IFERROR(INDEX(LevelBasic,MATCH($H1925,LevelList,0))+INDEX(LevelHousing,MATCH($H1925,LevelList,0))+INDEX(LevelTransport,MATCH($H1925,LevelList,0))+INDEX(LevelBasic,MATCH($H1925,LevelList,0))*INDEX(LevelBonus,MATCH($H1925,LevelList,0))+(INDEX(LevelBasic,MATCH($H1925,LevelList,0))+INDEX(LevelHousing,MATCH($H1925,LevelList,0)))*GosiSaudi,0))</f>
        <v>0</v>
      </c>
      <c r="W1925" s="35" t="n">
        <f aca="false">IFERROR(INDEX(LevelOneOff,MATCH($H1925,LevelList,0)),0)</f>
        <v>0</v>
      </c>
      <c r="X1925" s="35" t="str">
        <f aca="false">IF($G1925="","",$V1925*N($L1925))</f>
        <v/>
      </c>
      <c r="Y1925" s="35" t="str">
        <f aca="false">IF($G1925="","",$V1925*(N($M1925)*1+N($N1925)*0.75+N($O1925)*0.5+N($P1925)*0.25)+$W1925*N($L1925))</f>
        <v/>
      </c>
      <c r="Z1925" s="35" t="str">
        <f aca="false">IF($G1925="","",$U1925*1000000+ROW())</f>
        <v/>
      </c>
      <c r="AA1925" s="36" t="str">
        <f aca="false">IF($G1925="","",MID(IF($C1925="",", no division","")&amp;IF($E1925="",", no unit","")&amp;IF($H1925="",", no career level","")&amp;IF(N($L1925)&lt;=0,", no quarter split","")&amp;IF($R1925="",", no driver","")&amp;IF(AND($H1925&lt;&gt;"",COUNTIF(CareerLevels,$H1925)=0),", a career level that is not on the ladder","")&amp;IF(AND($R1925&lt;&gt;"",COUNTIF(DriverList,$R1925)=0),", a driver that is not on the list","")&amp;IF(ABS(N($L1925)-(N($M1925)+N($N1925)+N($O1925)+N($P1925)))&gt;0.001,", a total that does not match its quarters",""),3,300))</f>
        <v/>
      </c>
    </row>
    <row r="1926" customFormat="false" ht="15" hidden="false" customHeight="false" outlineLevel="0" collapsed="false">
      <c r="A1926" s="33" t="str">
        <f aca="false">IF($G1926="","","Risk Group")</f>
        <v/>
      </c>
      <c r="B1926" s="19"/>
      <c r="C1926" s="19"/>
      <c r="D1926" s="19"/>
      <c r="E1926" s="19"/>
      <c r="F1926" s="19"/>
      <c r="G1926" s="19"/>
      <c r="H1926" s="19"/>
      <c r="I1926" s="19"/>
      <c r="J1926" s="19"/>
      <c r="K1926" s="19"/>
      <c r="L1926" s="19"/>
      <c r="M1926" s="19"/>
      <c r="N1926" s="19"/>
      <c r="O1926" s="19"/>
      <c r="P1926" s="19"/>
      <c r="Q1926" s="19"/>
      <c r="R1926" s="19"/>
      <c r="S1926" s="19"/>
      <c r="T1926" s="34" t="str">
        <f aca="false">IF($R1926="","",IFERROR(INDEX(DriverCategory,MATCH($R1926,DriverList,0)),"BAU"))</f>
        <v/>
      </c>
      <c r="U1926" s="34" t="str">
        <f aca="false">IF($R1926="","",IFERROR(INDEX(DriverRank,MATCH($R1926,DriverList,0)),99))</f>
        <v/>
      </c>
      <c r="V1926" s="35" t="n">
        <f aca="false">IF($H1926="",0,IFERROR(INDEX(LevelBasic,MATCH($H1926,LevelList,0))+INDEX(LevelHousing,MATCH($H1926,LevelList,0))+INDEX(LevelTransport,MATCH($H1926,LevelList,0))+INDEX(LevelBasic,MATCH($H1926,LevelList,0))*INDEX(LevelBonus,MATCH($H1926,LevelList,0))+(INDEX(LevelBasic,MATCH($H1926,LevelList,0))+INDEX(LevelHousing,MATCH($H1926,LevelList,0)))*GosiSaudi,0))</f>
        <v>0</v>
      </c>
      <c r="W1926" s="35" t="n">
        <f aca="false">IFERROR(INDEX(LevelOneOff,MATCH($H1926,LevelList,0)),0)</f>
        <v>0</v>
      </c>
      <c r="X1926" s="35" t="str">
        <f aca="false">IF($G1926="","",$V1926*N($L1926))</f>
        <v/>
      </c>
      <c r="Y1926" s="35" t="str">
        <f aca="false">IF($G1926="","",$V1926*(N($M1926)*1+N($N1926)*0.75+N($O1926)*0.5+N($P1926)*0.25)+$W1926*N($L1926))</f>
        <v/>
      </c>
      <c r="Z1926" s="35" t="str">
        <f aca="false">IF($G1926="","",$U1926*1000000+ROW())</f>
        <v/>
      </c>
      <c r="AA1926" s="36" t="str">
        <f aca="false">IF($G1926="","",MID(IF($C1926="",", no division","")&amp;IF($E1926="",", no unit","")&amp;IF($H1926="",", no career level","")&amp;IF(N($L1926)&lt;=0,", no quarter split","")&amp;IF($R1926="",", no driver","")&amp;IF(AND($H1926&lt;&gt;"",COUNTIF(CareerLevels,$H1926)=0),", a career level that is not on the ladder","")&amp;IF(AND($R1926&lt;&gt;"",COUNTIF(DriverList,$R1926)=0),", a driver that is not on the list","")&amp;IF(ABS(N($L1926)-(N($M1926)+N($N1926)+N($O1926)+N($P1926)))&gt;0.001,", a total that does not match its quarters",""),3,300))</f>
        <v/>
      </c>
    </row>
    <row r="1927" customFormat="false" ht="15" hidden="false" customHeight="false" outlineLevel="0" collapsed="false">
      <c r="A1927" s="33" t="str">
        <f aca="false">IF($G1927="","","Risk Group")</f>
        <v/>
      </c>
      <c r="B1927" s="19"/>
      <c r="C1927" s="19"/>
      <c r="D1927" s="19"/>
      <c r="E1927" s="19"/>
      <c r="F1927" s="19"/>
      <c r="G1927" s="19"/>
      <c r="H1927" s="19"/>
      <c r="I1927" s="19"/>
      <c r="J1927" s="19"/>
      <c r="K1927" s="19"/>
      <c r="L1927" s="19"/>
      <c r="M1927" s="19"/>
      <c r="N1927" s="19"/>
      <c r="O1927" s="19"/>
      <c r="P1927" s="19"/>
      <c r="Q1927" s="19"/>
      <c r="R1927" s="19"/>
      <c r="S1927" s="19"/>
      <c r="T1927" s="34" t="str">
        <f aca="false">IF($R1927="","",IFERROR(INDEX(DriverCategory,MATCH($R1927,DriverList,0)),"BAU"))</f>
        <v/>
      </c>
      <c r="U1927" s="34" t="str">
        <f aca="false">IF($R1927="","",IFERROR(INDEX(DriverRank,MATCH($R1927,DriverList,0)),99))</f>
        <v/>
      </c>
      <c r="V1927" s="35" t="n">
        <f aca="false">IF($H1927="",0,IFERROR(INDEX(LevelBasic,MATCH($H1927,LevelList,0))+INDEX(LevelHousing,MATCH($H1927,LevelList,0))+INDEX(LevelTransport,MATCH($H1927,LevelList,0))+INDEX(LevelBasic,MATCH($H1927,LevelList,0))*INDEX(LevelBonus,MATCH($H1927,LevelList,0))+(INDEX(LevelBasic,MATCH($H1927,LevelList,0))+INDEX(LevelHousing,MATCH($H1927,LevelList,0)))*GosiSaudi,0))</f>
        <v>0</v>
      </c>
      <c r="W1927" s="35" t="n">
        <f aca="false">IFERROR(INDEX(LevelOneOff,MATCH($H1927,LevelList,0)),0)</f>
        <v>0</v>
      </c>
      <c r="X1927" s="35" t="str">
        <f aca="false">IF($G1927="","",$V1927*N($L1927))</f>
        <v/>
      </c>
      <c r="Y1927" s="35" t="str">
        <f aca="false">IF($G1927="","",$V1927*(N($M1927)*1+N($N1927)*0.75+N($O1927)*0.5+N($P1927)*0.25)+$W1927*N($L1927))</f>
        <v/>
      </c>
      <c r="Z1927" s="35" t="str">
        <f aca="false">IF($G1927="","",$U1927*1000000+ROW())</f>
        <v/>
      </c>
      <c r="AA1927" s="36" t="str">
        <f aca="false">IF($G1927="","",MID(IF($C1927="",", no division","")&amp;IF($E1927="",", no unit","")&amp;IF($H1927="",", no career level","")&amp;IF(N($L1927)&lt;=0,", no quarter split","")&amp;IF($R1927="",", no driver","")&amp;IF(AND($H1927&lt;&gt;"",COUNTIF(CareerLevels,$H1927)=0),", a career level that is not on the ladder","")&amp;IF(AND($R1927&lt;&gt;"",COUNTIF(DriverList,$R1927)=0),", a driver that is not on the list","")&amp;IF(ABS(N($L1927)-(N($M1927)+N($N1927)+N($O1927)+N($P1927)))&gt;0.001,", a total that does not match its quarters",""),3,300))</f>
        <v/>
      </c>
    </row>
    <row r="1928" customFormat="false" ht="15" hidden="false" customHeight="false" outlineLevel="0" collapsed="false">
      <c r="A1928" s="33" t="str">
        <f aca="false">IF($G1928="","","Risk Group")</f>
        <v/>
      </c>
      <c r="B1928" s="19"/>
      <c r="C1928" s="19"/>
      <c r="D1928" s="19"/>
      <c r="E1928" s="19"/>
      <c r="F1928" s="19"/>
      <c r="G1928" s="19"/>
      <c r="H1928" s="19"/>
      <c r="I1928" s="19"/>
      <c r="J1928" s="19"/>
      <c r="K1928" s="19"/>
      <c r="L1928" s="19"/>
      <c r="M1928" s="19"/>
      <c r="N1928" s="19"/>
      <c r="O1928" s="19"/>
      <c r="P1928" s="19"/>
      <c r="Q1928" s="19"/>
      <c r="R1928" s="19"/>
      <c r="S1928" s="19"/>
      <c r="T1928" s="34" t="str">
        <f aca="false">IF($R1928="","",IFERROR(INDEX(DriverCategory,MATCH($R1928,DriverList,0)),"BAU"))</f>
        <v/>
      </c>
      <c r="U1928" s="34" t="str">
        <f aca="false">IF($R1928="","",IFERROR(INDEX(DriverRank,MATCH($R1928,DriverList,0)),99))</f>
        <v/>
      </c>
      <c r="V1928" s="35" t="n">
        <f aca="false">IF($H1928="",0,IFERROR(INDEX(LevelBasic,MATCH($H1928,LevelList,0))+INDEX(LevelHousing,MATCH($H1928,LevelList,0))+INDEX(LevelTransport,MATCH($H1928,LevelList,0))+INDEX(LevelBasic,MATCH($H1928,LevelList,0))*INDEX(LevelBonus,MATCH($H1928,LevelList,0))+(INDEX(LevelBasic,MATCH($H1928,LevelList,0))+INDEX(LevelHousing,MATCH($H1928,LevelList,0)))*GosiSaudi,0))</f>
        <v>0</v>
      </c>
      <c r="W1928" s="35" t="n">
        <f aca="false">IFERROR(INDEX(LevelOneOff,MATCH($H1928,LevelList,0)),0)</f>
        <v>0</v>
      </c>
      <c r="X1928" s="35" t="str">
        <f aca="false">IF($G1928="","",$V1928*N($L1928))</f>
        <v/>
      </c>
      <c r="Y1928" s="35" t="str">
        <f aca="false">IF($G1928="","",$V1928*(N($M1928)*1+N($N1928)*0.75+N($O1928)*0.5+N($P1928)*0.25)+$W1928*N($L1928))</f>
        <v/>
      </c>
      <c r="Z1928" s="35" t="str">
        <f aca="false">IF($G1928="","",$U1928*1000000+ROW())</f>
        <v/>
      </c>
      <c r="AA1928" s="36" t="str">
        <f aca="false">IF($G1928="","",MID(IF($C1928="",", no division","")&amp;IF($E1928="",", no unit","")&amp;IF($H1928="",", no career level","")&amp;IF(N($L1928)&lt;=0,", no quarter split","")&amp;IF($R1928="",", no driver","")&amp;IF(AND($H1928&lt;&gt;"",COUNTIF(CareerLevels,$H1928)=0),", a career level that is not on the ladder","")&amp;IF(AND($R1928&lt;&gt;"",COUNTIF(DriverList,$R1928)=0),", a driver that is not on the list","")&amp;IF(ABS(N($L1928)-(N($M1928)+N($N1928)+N($O1928)+N($P1928)))&gt;0.001,", a total that does not match its quarters",""),3,300))</f>
        <v/>
      </c>
    </row>
    <row r="1929" customFormat="false" ht="15" hidden="false" customHeight="false" outlineLevel="0" collapsed="false">
      <c r="A1929" s="33" t="str">
        <f aca="false">IF($G1929="","","Risk Group")</f>
        <v/>
      </c>
      <c r="B1929" s="19"/>
      <c r="C1929" s="19"/>
      <c r="D1929" s="19"/>
      <c r="E1929" s="19"/>
      <c r="F1929" s="19"/>
      <c r="G1929" s="19"/>
      <c r="H1929" s="19"/>
      <c r="I1929" s="19"/>
      <c r="J1929" s="19"/>
      <c r="K1929" s="19"/>
      <c r="L1929" s="19"/>
      <c r="M1929" s="19"/>
      <c r="N1929" s="19"/>
      <c r="O1929" s="19"/>
      <c r="P1929" s="19"/>
      <c r="Q1929" s="19"/>
      <c r="R1929" s="19"/>
      <c r="S1929" s="19"/>
      <c r="T1929" s="34" t="str">
        <f aca="false">IF($R1929="","",IFERROR(INDEX(DriverCategory,MATCH($R1929,DriverList,0)),"BAU"))</f>
        <v/>
      </c>
      <c r="U1929" s="34" t="str">
        <f aca="false">IF($R1929="","",IFERROR(INDEX(DriverRank,MATCH($R1929,DriverList,0)),99))</f>
        <v/>
      </c>
      <c r="V1929" s="35" t="n">
        <f aca="false">IF($H1929="",0,IFERROR(INDEX(LevelBasic,MATCH($H1929,LevelList,0))+INDEX(LevelHousing,MATCH($H1929,LevelList,0))+INDEX(LevelTransport,MATCH($H1929,LevelList,0))+INDEX(LevelBasic,MATCH($H1929,LevelList,0))*INDEX(LevelBonus,MATCH($H1929,LevelList,0))+(INDEX(LevelBasic,MATCH($H1929,LevelList,0))+INDEX(LevelHousing,MATCH($H1929,LevelList,0)))*GosiSaudi,0))</f>
        <v>0</v>
      </c>
      <c r="W1929" s="35" t="n">
        <f aca="false">IFERROR(INDEX(LevelOneOff,MATCH($H1929,LevelList,0)),0)</f>
        <v>0</v>
      </c>
      <c r="X1929" s="35" t="str">
        <f aca="false">IF($G1929="","",$V1929*N($L1929))</f>
        <v/>
      </c>
      <c r="Y1929" s="35" t="str">
        <f aca="false">IF($G1929="","",$V1929*(N($M1929)*1+N($N1929)*0.75+N($O1929)*0.5+N($P1929)*0.25)+$W1929*N($L1929))</f>
        <v/>
      </c>
      <c r="Z1929" s="35" t="str">
        <f aca="false">IF($G1929="","",$U1929*1000000+ROW())</f>
        <v/>
      </c>
      <c r="AA1929" s="36" t="str">
        <f aca="false">IF($G1929="","",MID(IF($C1929="",", no division","")&amp;IF($E1929="",", no unit","")&amp;IF($H1929="",", no career level","")&amp;IF(N($L1929)&lt;=0,", no quarter split","")&amp;IF($R1929="",", no driver","")&amp;IF(AND($H1929&lt;&gt;"",COUNTIF(CareerLevels,$H1929)=0),", a career level that is not on the ladder","")&amp;IF(AND($R1929&lt;&gt;"",COUNTIF(DriverList,$R1929)=0),", a driver that is not on the list","")&amp;IF(ABS(N($L1929)-(N($M1929)+N($N1929)+N($O1929)+N($P1929)))&gt;0.001,", a total that does not match its quarters",""),3,300))</f>
        <v/>
      </c>
    </row>
    <row r="1930" customFormat="false" ht="15" hidden="false" customHeight="false" outlineLevel="0" collapsed="false">
      <c r="A1930" s="33" t="str">
        <f aca="false">IF($G1930="","","Risk Group")</f>
        <v/>
      </c>
      <c r="B1930" s="19"/>
      <c r="C1930" s="19"/>
      <c r="D1930" s="19"/>
      <c r="E1930" s="19"/>
      <c r="F1930" s="19"/>
      <c r="G1930" s="19"/>
      <c r="H1930" s="19"/>
      <c r="I1930" s="19"/>
      <c r="J1930" s="19"/>
      <c r="K1930" s="19"/>
      <c r="L1930" s="19"/>
      <c r="M1930" s="19"/>
      <c r="N1930" s="19"/>
      <c r="O1930" s="19"/>
      <c r="P1930" s="19"/>
      <c r="Q1930" s="19"/>
      <c r="R1930" s="19"/>
      <c r="S1930" s="19"/>
      <c r="T1930" s="34" t="str">
        <f aca="false">IF($R1930="","",IFERROR(INDEX(DriverCategory,MATCH($R1930,DriverList,0)),"BAU"))</f>
        <v/>
      </c>
      <c r="U1930" s="34" t="str">
        <f aca="false">IF($R1930="","",IFERROR(INDEX(DriverRank,MATCH($R1930,DriverList,0)),99))</f>
        <v/>
      </c>
      <c r="V1930" s="35" t="n">
        <f aca="false">IF($H1930="",0,IFERROR(INDEX(LevelBasic,MATCH($H1930,LevelList,0))+INDEX(LevelHousing,MATCH($H1930,LevelList,0))+INDEX(LevelTransport,MATCH($H1930,LevelList,0))+INDEX(LevelBasic,MATCH($H1930,LevelList,0))*INDEX(LevelBonus,MATCH($H1930,LevelList,0))+(INDEX(LevelBasic,MATCH($H1930,LevelList,0))+INDEX(LevelHousing,MATCH($H1930,LevelList,0)))*GosiSaudi,0))</f>
        <v>0</v>
      </c>
      <c r="W1930" s="35" t="n">
        <f aca="false">IFERROR(INDEX(LevelOneOff,MATCH($H1930,LevelList,0)),0)</f>
        <v>0</v>
      </c>
      <c r="X1930" s="35" t="str">
        <f aca="false">IF($G1930="","",$V1930*N($L1930))</f>
        <v/>
      </c>
      <c r="Y1930" s="35" t="str">
        <f aca="false">IF($G1930="","",$V1930*(N($M1930)*1+N($N1930)*0.75+N($O1930)*0.5+N($P1930)*0.25)+$W1930*N($L1930))</f>
        <v/>
      </c>
      <c r="Z1930" s="35" t="str">
        <f aca="false">IF($G1930="","",$U1930*1000000+ROW())</f>
        <v/>
      </c>
      <c r="AA1930" s="36" t="str">
        <f aca="false">IF($G1930="","",MID(IF($C1930="",", no division","")&amp;IF($E1930="",", no unit","")&amp;IF($H1930="",", no career level","")&amp;IF(N($L1930)&lt;=0,", no quarter split","")&amp;IF($R1930="",", no driver","")&amp;IF(AND($H1930&lt;&gt;"",COUNTIF(CareerLevels,$H1930)=0),", a career level that is not on the ladder","")&amp;IF(AND($R1930&lt;&gt;"",COUNTIF(DriverList,$R1930)=0),", a driver that is not on the list","")&amp;IF(ABS(N($L1930)-(N($M1930)+N($N1930)+N($O1930)+N($P1930)))&gt;0.001,", a total that does not match its quarters",""),3,300))</f>
        <v/>
      </c>
    </row>
    <row r="1931" customFormat="false" ht="15" hidden="false" customHeight="false" outlineLevel="0" collapsed="false">
      <c r="A1931" s="33" t="str">
        <f aca="false">IF($G1931="","","Risk Group")</f>
        <v/>
      </c>
      <c r="B1931" s="19"/>
      <c r="C1931" s="19"/>
      <c r="D1931" s="19"/>
      <c r="E1931" s="19"/>
      <c r="F1931" s="19"/>
      <c r="G1931" s="19"/>
      <c r="H1931" s="19"/>
      <c r="I1931" s="19"/>
      <c r="J1931" s="19"/>
      <c r="K1931" s="19"/>
      <c r="L1931" s="19"/>
      <c r="M1931" s="19"/>
      <c r="N1931" s="19"/>
      <c r="O1931" s="19"/>
      <c r="P1931" s="19"/>
      <c r="Q1931" s="19"/>
      <c r="R1931" s="19"/>
      <c r="S1931" s="19"/>
      <c r="T1931" s="34" t="str">
        <f aca="false">IF($R1931="","",IFERROR(INDEX(DriverCategory,MATCH($R1931,DriverList,0)),"BAU"))</f>
        <v/>
      </c>
      <c r="U1931" s="34" t="str">
        <f aca="false">IF($R1931="","",IFERROR(INDEX(DriverRank,MATCH($R1931,DriverList,0)),99))</f>
        <v/>
      </c>
      <c r="V1931" s="35" t="n">
        <f aca="false">IF($H1931="",0,IFERROR(INDEX(LevelBasic,MATCH($H1931,LevelList,0))+INDEX(LevelHousing,MATCH($H1931,LevelList,0))+INDEX(LevelTransport,MATCH($H1931,LevelList,0))+INDEX(LevelBasic,MATCH($H1931,LevelList,0))*INDEX(LevelBonus,MATCH($H1931,LevelList,0))+(INDEX(LevelBasic,MATCH($H1931,LevelList,0))+INDEX(LevelHousing,MATCH($H1931,LevelList,0)))*GosiSaudi,0))</f>
        <v>0</v>
      </c>
      <c r="W1931" s="35" t="n">
        <f aca="false">IFERROR(INDEX(LevelOneOff,MATCH($H1931,LevelList,0)),0)</f>
        <v>0</v>
      </c>
      <c r="X1931" s="35" t="str">
        <f aca="false">IF($G1931="","",$V1931*N($L1931))</f>
        <v/>
      </c>
      <c r="Y1931" s="35" t="str">
        <f aca="false">IF($G1931="","",$V1931*(N($M1931)*1+N($N1931)*0.75+N($O1931)*0.5+N($P1931)*0.25)+$W1931*N($L1931))</f>
        <v/>
      </c>
      <c r="Z1931" s="35" t="str">
        <f aca="false">IF($G1931="","",$U1931*1000000+ROW())</f>
        <v/>
      </c>
      <c r="AA1931" s="36" t="str">
        <f aca="false">IF($G1931="","",MID(IF($C1931="",", no division","")&amp;IF($E1931="",", no unit","")&amp;IF($H1931="",", no career level","")&amp;IF(N($L1931)&lt;=0,", no quarter split","")&amp;IF($R1931="",", no driver","")&amp;IF(AND($H1931&lt;&gt;"",COUNTIF(CareerLevels,$H1931)=0),", a career level that is not on the ladder","")&amp;IF(AND($R1931&lt;&gt;"",COUNTIF(DriverList,$R1931)=0),", a driver that is not on the list","")&amp;IF(ABS(N($L1931)-(N($M1931)+N($N1931)+N($O1931)+N($P1931)))&gt;0.001,", a total that does not match its quarters",""),3,300))</f>
        <v/>
      </c>
    </row>
    <row r="1932" customFormat="false" ht="15" hidden="false" customHeight="false" outlineLevel="0" collapsed="false">
      <c r="A1932" s="33" t="str">
        <f aca="false">IF($G1932="","","Risk Group")</f>
        <v/>
      </c>
      <c r="B1932" s="19"/>
      <c r="C1932" s="19"/>
      <c r="D1932" s="19"/>
      <c r="E1932" s="19"/>
      <c r="F1932" s="19"/>
      <c r="G1932" s="19"/>
      <c r="H1932" s="19"/>
      <c r="I1932" s="19"/>
      <c r="J1932" s="19"/>
      <c r="K1932" s="19"/>
      <c r="L1932" s="19"/>
      <c r="M1932" s="19"/>
      <c r="N1932" s="19"/>
      <c r="O1932" s="19"/>
      <c r="P1932" s="19"/>
      <c r="Q1932" s="19"/>
      <c r="R1932" s="19"/>
      <c r="S1932" s="19"/>
      <c r="T1932" s="34" t="str">
        <f aca="false">IF($R1932="","",IFERROR(INDEX(DriverCategory,MATCH($R1932,DriverList,0)),"BAU"))</f>
        <v/>
      </c>
      <c r="U1932" s="34" t="str">
        <f aca="false">IF($R1932="","",IFERROR(INDEX(DriverRank,MATCH($R1932,DriverList,0)),99))</f>
        <v/>
      </c>
      <c r="V1932" s="35" t="n">
        <f aca="false">IF($H1932="",0,IFERROR(INDEX(LevelBasic,MATCH($H1932,LevelList,0))+INDEX(LevelHousing,MATCH($H1932,LevelList,0))+INDEX(LevelTransport,MATCH($H1932,LevelList,0))+INDEX(LevelBasic,MATCH($H1932,LevelList,0))*INDEX(LevelBonus,MATCH($H1932,LevelList,0))+(INDEX(LevelBasic,MATCH($H1932,LevelList,0))+INDEX(LevelHousing,MATCH($H1932,LevelList,0)))*GosiSaudi,0))</f>
        <v>0</v>
      </c>
      <c r="W1932" s="35" t="n">
        <f aca="false">IFERROR(INDEX(LevelOneOff,MATCH($H1932,LevelList,0)),0)</f>
        <v>0</v>
      </c>
      <c r="X1932" s="35" t="str">
        <f aca="false">IF($G1932="","",$V1932*N($L1932))</f>
        <v/>
      </c>
      <c r="Y1932" s="35" t="str">
        <f aca="false">IF($G1932="","",$V1932*(N($M1932)*1+N($N1932)*0.75+N($O1932)*0.5+N($P1932)*0.25)+$W1932*N($L1932))</f>
        <v/>
      </c>
      <c r="Z1932" s="35" t="str">
        <f aca="false">IF($G1932="","",$U1932*1000000+ROW())</f>
        <v/>
      </c>
      <c r="AA1932" s="36" t="str">
        <f aca="false">IF($G1932="","",MID(IF($C1932="",", no division","")&amp;IF($E1932="",", no unit","")&amp;IF($H1932="",", no career level","")&amp;IF(N($L1932)&lt;=0,", no quarter split","")&amp;IF($R1932="",", no driver","")&amp;IF(AND($H1932&lt;&gt;"",COUNTIF(CareerLevels,$H1932)=0),", a career level that is not on the ladder","")&amp;IF(AND($R1932&lt;&gt;"",COUNTIF(DriverList,$R1932)=0),", a driver that is not on the list","")&amp;IF(ABS(N($L1932)-(N($M1932)+N($N1932)+N($O1932)+N($P1932)))&gt;0.001,", a total that does not match its quarters",""),3,300))</f>
        <v/>
      </c>
    </row>
    <row r="1933" customFormat="false" ht="15" hidden="false" customHeight="false" outlineLevel="0" collapsed="false">
      <c r="A1933" s="33" t="str">
        <f aca="false">IF($G1933="","","Risk Group")</f>
        <v/>
      </c>
      <c r="B1933" s="19"/>
      <c r="C1933" s="19"/>
      <c r="D1933" s="19"/>
      <c r="E1933" s="19"/>
      <c r="F1933" s="19"/>
      <c r="G1933" s="19"/>
      <c r="H1933" s="19"/>
      <c r="I1933" s="19"/>
      <c r="J1933" s="19"/>
      <c r="K1933" s="19"/>
      <c r="L1933" s="19"/>
      <c r="M1933" s="19"/>
      <c r="N1933" s="19"/>
      <c r="O1933" s="19"/>
      <c r="P1933" s="19"/>
      <c r="Q1933" s="19"/>
      <c r="R1933" s="19"/>
      <c r="S1933" s="19"/>
      <c r="T1933" s="34" t="str">
        <f aca="false">IF($R1933="","",IFERROR(INDEX(DriverCategory,MATCH($R1933,DriverList,0)),"BAU"))</f>
        <v/>
      </c>
      <c r="U1933" s="34" t="str">
        <f aca="false">IF($R1933="","",IFERROR(INDEX(DriverRank,MATCH($R1933,DriverList,0)),99))</f>
        <v/>
      </c>
      <c r="V1933" s="35" t="n">
        <f aca="false">IF($H1933="",0,IFERROR(INDEX(LevelBasic,MATCH($H1933,LevelList,0))+INDEX(LevelHousing,MATCH($H1933,LevelList,0))+INDEX(LevelTransport,MATCH($H1933,LevelList,0))+INDEX(LevelBasic,MATCH($H1933,LevelList,0))*INDEX(LevelBonus,MATCH($H1933,LevelList,0))+(INDEX(LevelBasic,MATCH($H1933,LevelList,0))+INDEX(LevelHousing,MATCH($H1933,LevelList,0)))*GosiSaudi,0))</f>
        <v>0</v>
      </c>
      <c r="W1933" s="35" t="n">
        <f aca="false">IFERROR(INDEX(LevelOneOff,MATCH($H1933,LevelList,0)),0)</f>
        <v>0</v>
      </c>
      <c r="X1933" s="35" t="str">
        <f aca="false">IF($G1933="","",$V1933*N($L1933))</f>
        <v/>
      </c>
      <c r="Y1933" s="35" t="str">
        <f aca="false">IF($G1933="","",$V1933*(N($M1933)*1+N($N1933)*0.75+N($O1933)*0.5+N($P1933)*0.25)+$W1933*N($L1933))</f>
        <v/>
      </c>
      <c r="Z1933" s="35" t="str">
        <f aca="false">IF($G1933="","",$U1933*1000000+ROW())</f>
        <v/>
      </c>
      <c r="AA1933" s="36" t="str">
        <f aca="false">IF($G1933="","",MID(IF($C1933="",", no division","")&amp;IF($E1933="",", no unit","")&amp;IF($H1933="",", no career level","")&amp;IF(N($L1933)&lt;=0,", no quarter split","")&amp;IF($R1933="",", no driver","")&amp;IF(AND($H1933&lt;&gt;"",COUNTIF(CareerLevels,$H1933)=0),", a career level that is not on the ladder","")&amp;IF(AND($R1933&lt;&gt;"",COUNTIF(DriverList,$R1933)=0),", a driver that is not on the list","")&amp;IF(ABS(N($L1933)-(N($M1933)+N($N1933)+N($O1933)+N($P1933)))&gt;0.001,", a total that does not match its quarters",""),3,300))</f>
        <v/>
      </c>
    </row>
    <row r="1934" customFormat="false" ht="15" hidden="false" customHeight="false" outlineLevel="0" collapsed="false">
      <c r="A1934" s="33" t="str">
        <f aca="false">IF($G1934="","","Risk Group")</f>
        <v/>
      </c>
      <c r="B1934" s="19"/>
      <c r="C1934" s="19"/>
      <c r="D1934" s="19"/>
      <c r="E1934" s="19"/>
      <c r="F1934" s="19"/>
      <c r="G1934" s="19"/>
      <c r="H1934" s="19"/>
      <c r="I1934" s="19"/>
      <c r="J1934" s="19"/>
      <c r="K1934" s="19"/>
      <c r="L1934" s="19"/>
      <c r="M1934" s="19"/>
      <c r="N1934" s="19"/>
      <c r="O1934" s="19"/>
      <c r="P1934" s="19"/>
      <c r="Q1934" s="19"/>
      <c r="R1934" s="19"/>
      <c r="S1934" s="19"/>
      <c r="T1934" s="34" t="str">
        <f aca="false">IF($R1934="","",IFERROR(INDEX(DriverCategory,MATCH($R1934,DriverList,0)),"BAU"))</f>
        <v/>
      </c>
      <c r="U1934" s="34" t="str">
        <f aca="false">IF($R1934="","",IFERROR(INDEX(DriverRank,MATCH($R1934,DriverList,0)),99))</f>
        <v/>
      </c>
      <c r="V1934" s="35" t="n">
        <f aca="false">IF($H1934="",0,IFERROR(INDEX(LevelBasic,MATCH($H1934,LevelList,0))+INDEX(LevelHousing,MATCH($H1934,LevelList,0))+INDEX(LevelTransport,MATCH($H1934,LevelList,0))+INDEX(LevelBasic,MATCH($H1934,LevelList,0))*INDEX(LevelBonus,MATCH($H1934,LevelList,0))+(INDEX(LevelBasic,MATCH($H1934,LevelList,0))+INDEX(LevelHousing,MATCH($H1934,LevelList,0)))*GosiSaudi,0))</f>
        <v>0</v>
      </c>
      <c r="W1934" s="35" t="n">
        <f aca="false">IFERROR(INDEX(LevelOneOff,MATCH($H1934,LevelList,0)),0)</f>
        <v>0</v>
      </c>
      <c r="X1934" s="35" t="str">
        <f aca="false">IF($G1934="","",$V1934*N($L1934))</f>
        <v/>
      </c>
      <c r="Y1934" s="35" t="str">
        <f aca="false">IF($G1934="","",$V1934*(N($M1934)*1+N($N1934)*0.75+N($O1934)*0.5+N($P1934)*0.25)+$W1934*N($L1934))</f>
        <v/>
      </c>
      <c r="Z1934" s="35" t="str">
        <f aca="false">IF($G1934="","",$U1934*1000000+ROW())</f>
        <v/>
      </c>
      <c r="AA1934" s="36" t="str">
        <f aca="false">IF($G1934="","",MID(IF($C1934="",", no division","")&amp;IF($E1934="",", no unit","")&amp;IF($H1934="",", no career level","")&amp;IF(N($L1934)&lt;=0,", no quarter split","")&amp;IF($R1934="",", no driver","")&amp;IF(AND($H1934&lt;&gt;"",COUNTIF(CareerLevels,$H1934)=0),", a career level that is not on the ladder","")&amp;IF(AND($R1934&lt;&gt;"",COUNTIF(DriverList,$R1934)=0),", a driver that is not on the list","")&amp;IF(ABS(N($L1934)-(N($M1934)+N($N1934)+N($O1934)+N($P1934)))&gt;0.001,", a total that does not match its quarters",""),3,300))</f>
        <v/>
      </c>
    </row>
    <row r="1935" customFormat="false" ht="15" hidden="false" customHeight="false" outlineLevel="0" collapsed="false">
      <c r="A1935" s="33" t="str">
        <f aca="false">IF($G1935="","","Risk Group")</f>
        <v/>
      </c>
      <c r="B1935" s="19"/>
      <c r="C1935" s="19"/>
      <c r="D1935" s="19"/>
      <c r="E1935" s="19"/>
      <c r="F1935" s="19"/>
      <c r="G1935" s="19"/>
      <c r="H1935" s="19"/>
      <c r="I1935" s="19"/>
      <c r="J1935" s="19"/>
      <c r="K1935" s="19"/>
      <c r="L1935" s="19"/>
      <c r="M1935" s="19"/>
      <c r="N1935" s="19"/>
      <c r="O1935" s="19"/>
      <c r="P1935" s="19"/>
      <c r="Q1935" s="19"/>
      <c r="R1935" s="19"/>
      <c r="S1935" s="19"/>
      <c r="T1935" s="34" t="str">
        <f aca="false">IF($R1935="","",IFERROR(INDEX(DriverCategory,MATCH($R1935,DriverList,0)),"BAU"))</f>
        <v/>
      </c>
      <c r="U1935" s="34" t="str">
        <f aca="false">IF($R1935="","",IFERROR(INDEX(DriverRank,MATCH($R1935,DriverList,0)),99))</f>
        <v/>
      </c>
      <c r="V1935" s="35" t="n">
        <f aca="false">IF($H1935="",0,IFERROR(INDEX(LevelBasic,MATCH($H1935,LevelList,0))+INDEX(LevelHousing,MATCH($H1935,LevelList,0))+INDEX(LevelTransport,MATCH($H1935,LevelList,0))+INDEX(LevelBasic,MATCH($H1935,LevelList,0))*INDEX(LevelBonus,MATCH($H1935,LevelList,0))+(INDEX(LevelBasic,MATCH($H1935,LevelList,0))+INDEX(LevelHousing,MATCH($H1935,LevelList,0)))*GosiSaudi,0))</f>
        <v>0</v>
      </c>
      <c r="W1935" s="35" t="n">
        <f aca="false">IFERROR(INDEX(LevelOneOff,MATCH($H1935,LevelList,0)),0)</f>
        <v>0</v>
      </c>
      <c r="X1935" s="35" t="str">
        <f aca="false">IF($G1935="","",$V1935*N($L1935))</f>
        <v/>
      </c>
      <c r="Y1935" s="35" t="str">
        <f aca="false">IF($G1935="","",$V1935*(N($M1935)*1+N($N1935)*0.75+N($O1935)*0.5+N($P1935)*0.25)+$W1935*N($L1935))</f>
        <v/>
      </c>
      <c r="Z1935" s="35" t="str">
        <f aca="false">IF($G1935="","",$U1935*1000000+ROW())</f>
        <v/>
      </c>
      <c r="AA1935" s="36" t="str">
        <f aca="false">IF($G1935="","",MID(IF($C1935="",", no division","")&amp;IF($E1935="",", no unit","")&amp;IF($H1935="",", no career level","")&amp;IF(N($L1935)&lt;=0,", no quarter split","")&amp;IF($R1935="",", no driver","")&amp;IF(AND($H1935&lt;&gt;"",COUNTIF(CareerLevels,$H1935)=0),", a career level that is not on the ladder","")&amp;IF(AND($R1935&lt;&gt;"",COUNTIF(DriverList,$R1935)=0),", a driver that is not on the list","")&amp;IF(ABS(N($L1935)-(N($M1935)+N($N1935)+N($O1935)+N($P1935)))&gt;0.001,", a total that does not match its quarters",""),3,300))</f>
        <v/>
      </c>
    </row>
    <row r="1936" customFormat="false" ht="15" hidden="false" customHeight="false" outlineLevel="0" collapsed="false">
      <c r="A1936" s="33" t="str">
        <f aca="false">IF($G1936="","","Risk Group")</f>
        <v/>
      </c>
      <c r="B1936" s="19"/>
      <c r="C1936" s="19"/>
      <c r="D1936" s="19"/>
      <c r="E1936" s="19"/>
      <c r="F1936" s="19"/>
      <c r="G1936" s="19"/>
      <c r="H1936" s="19"/>
      <c r="I1936" s="19"/>
      <c r="J1936" s="19"/>
      <c r="K1936" s="19"/>
      <c r="L1936" s="19"/>
      <c r="M1936" s="19"/>
      <c r="N1936" s="19"/>
      <c r="O1936" s="19"/>
      <c r="P1936" s="19"/>
      <c r="Q1936" s="19"/>
      <c r="R1936" s="19"/>
      <c r="S1936" s="19"/>
      <c r="T1936" s="34" t="str">
        <f aca="false">IF($R1936="","",IFERROR(INDEX(DriverCategory,MATCH($R1936,DriverList,0)),"BAU"))</f>
        <v/>
      </c>
      <c r="U1936" s="34" t="str">
        <f aca="false">IF($R1936="","",IFERROR(INDEX(DriverRank,MATCH($R1936,DriverList,0)),99))</f>
        <v/>
      </c>
      <c r="V1936" s="35" t="n">
        <f aca="false">IF($H1936="",0,IFERROR(INDEX(LevelBasic,MATCH($H1936,LevelList,0))+INDEX(LevelHousing,MATCH($H1936,LevelList,0))+INDEX(LevelTransport,MATCH($H1936,LevelList,0))+INDEX(LevelBasic,MATCH($H1936,LevelList,0))*INDEX(LevelBonus,MATCH($H1936,LevelList,0))+(INDEX(LevelBasic,MATCH($H1936,LevelList,0))+INDEX(LevelHousing,MATCH($H1936,LevelList,0)))*GosiSaudi,0))</f>
        <v>0</v>
      </c>
      <c r="W1936" s="35" t="n">
        <f aca="false">IFERROR(INDEX(LevelOneOff,MATCH($H1936,LevelList,0)),0)</f>
        <v>0</v>
      </c>
      <c r="X1936" s="35" t="str">
        <f aca="false">IF($G1936="","",$V1936*N($L1936))</f>
        <v/>
      </c>
      <c r="Y1936" s="35" t="str">
        <f aca="false">IF($G1936="","",$V1936*(N($M1936)*1+N($N1936)*0.75+N($O1936)*0.5+N($P1936)*0.25)+$W1936*N($L1936))</f>
        <v/>
      </c>
      <c r="Z1936" s="35" t="str">
        <f aca="false">IF($G1936="","",$U1936*1000000+ROW())</f>
        <v/>
      </c>
      <c r="AA1936" s="36" t="str">
        <f aca="false">IF($G1936="","",MID(IF($C1936="",", no division","")&amp;IF($E1936="",", no unit","")&amp;IF($H1936="",", no career level","")&amp;IF(N($L1936)&lt;=0,", no quarter split","")&amp;IF($R1936="",", no driver","")&amp;IF(AND($H1936&lt;&gt;"",COUNTIF(CareerLevels,$H1936)=0),", a career level that is not on the ladder","")&amp;IF(AND($R1936&lt;&gt;"",COUNTIF(DriverList,$R1936)=0),", a driver that is not on the list","")&amp;IF(ABS(N($L1936)-(N($M1936)+N($N1936)+N($O1936)+N($P1936)))&gt;0.001,", a total that does not match its quarters",""),3,300))</f>
        <v/>
      </c>
    </row>
    <row r="1937" customFormat="false" ht="15" hidden="false" customHeight="false" outlineLevel="0" collapsed="false">
      <c r="A1937" s="33" t="str">
        <f aca="false">IF($G1937="","","Risk Group")</f>
        <v/>
      </c>
      <c r="B1937" s="19"/>
      <c r="C1937" s="19"/>
      <c r="D1937" s="19"/>
      <c r="E1937" s="19"/>
      <c r="F1937" s="19"/>
      <c r="G1937" s="19"/>
      <c r="H1937" s="19"/>
      <c r="I1937" s="19"/>
      <c r="J1937" s="19"/>
      <c r="K1937" s="19"/>
      <c r="L1937" s="19"/>
      <c r="M1937" s="19"/>
      <c r="N1937" s="19"/>
      <c r="O1937" s="19"/>
      <c r="P1937" s="19"/>
      <c r="Q1937" s="19"/>
      <c r="R1937" s="19"/>
      <c r="S1937" s="19"/>
      <c r="T1937" s="34" t="str">
        <f aca="false">IF($R1937="","",IFERROR(INDEX(DriverCategory,MATCH($R1937,DriverList,0)),"BAU"))</f>
        <v/>
      </c>
      <c r="U1937" s="34" t="str">
        <f aca="false">IF($R1937="","",IFERROR(INDEX(DriverRank,MATCH($R1937,DriverList,0)),99))</f>
        <v/>
      </c>
      <c r="V1937" s="35" t="n">
        <f aca="false">IF($H1937="",0,IFERROR(INDEX(LevelBasic,MATCH($H1937,LevelList,0))+INDEX(LevelHousing,MATCH($H1937,LevelList,0))+INDEX(LevelTransport,MATCH($H1937,LevelList,0))+INDEX(LevelBasic,MATCH($H1937,LevelList,0))*INDEX(LevelBonus,MATCH($H1937,LevelList,0))+(INDEX(LevelBasic,MATCH($H1937,LevelList,0))+INDEX(LevelHousing,MATCH($H1937,LevelList,0)))*GosiSaudi,0))</f>
        <v>0</v>
      </c>
      <c r="W1937" s="35" t="n">
        <f aca="false">IFERROR(INDEX(LevelOneOff,MATCH($H1937,LevelList,0)),0)</f>
        <v>0</v>
      </c>
      <c r="X1937" s="35" t="str">
        <f aca="false">IF($G1937="","",$V1937*N($L1937))</f>
        <v/>
      </c>
      <c r="Y1937" s="35" t="str">
        <f aca="false">IF($G1937="","",$V1937*(N($M1937)*1+N($N1937)*0.75+N($O1937)*0.5+N($P1937)*0.25)+$W1937*N($L1937))</f>
        <v/>
      </c>
      <c r="Z1937" s="35" t="str">
        <f aca="false">IF($G1937="","",$U1937*1000000+ROW())</f>
        <v/>
      </c>
      <c r="AA1937" s="36" t="str">
        <f aca="false">IF($G1937="","",MID(IF($C1937="",", no division","")&amp;IF($E1937="",", no unit","")&amp;IF($H1937="",", no career level","")&amp;IF(N($L1937)&lt;=0,", no quarter split","")&amp;IF($R1937="",", no driver","")&amp;IF(AND($H1937&lt;&gt;"",COUNTIF(CareerLevels,$H1937)=0),", a career level that is not on the ladder","")&amp;IF(AND($R1937&lt;&gt;"",COUNTIF(DriverList,$R1937)=0),", a driver that is not on the list","")&amp;IF(ABS(N($L1937)-(N($M1937)+N($N1937)+N($O1937)+N($P1937)))&gt;0.001,", a total that does not match its quarters",""),3,300))</f>
        <v/>
      </c>
    </row>
    <row r="1938" customFormat="false" ht="15" hidden="false" customHeight="false" outlineLevel="0" collapsed="false">
      <c r="A1938" s="33" t="str">
        <f aca="false">IF($G1938="","","Risk Group")</f>
        <v/>
      </c>
      <c r="B1938" s="19"/>
      <c r="C1938" s="19"/>
      <c r="D1938" s="19"/>
      <c r="E1938" s="19"/>
      <c r="F1938" s="19"/>
      <c r="G1938" s="19"/>
      <c r="H1938" s="19"/>
      <c r="I1938" s="19"/>
      <c r="J1938" s="19"/>
      <c r="K1938" s="19"/>
      <c r="L1938" s="19"/>
      <c r="M1938" s="19"/>
      <c r="N1938" s="19"/>
      <c r="O1938" s="19"/>
      <c r="P1938" s="19"/>
      <c r="Q1938" s="19"/>
      <c r="R1938" s="19"/>
      <c r="S1938" s="19"/>
      <c r="T1938" s="34" t="str">
        <f aca="false">IF($R1938="","",IFERROR(INDEX(DriverCategory,MATCH($R1938,DriverList,0)),"BAU"))</f>
        <v/>
      </c>
      <c r="U1938" s="34" t="str">
        <f aca="false">IF($R1938="","",IFERROR(INDEX(DriverRank,MATCH($R1938,DriverList,0)),99))</f>
        <v/>
      </c>
      <c r="V1938" s="35" t="n">
        <f aca="false">IF($H1938="",0,IFERROR(INDEX(LevelBasic,MATCH($H1938,LevelList,0))+INDEX(LevelHousing,MATCH($H1938,LevelList,0))+INDEX(LevelTransport,MATCH($H1938,LevelList,0))+INDEX(LevelBasic,MATCH($H1938,LevelList,0))*INDEX(LevelBonus,MATCH($H1938,LevelList,0))+(INDEX(LevelBasic,MATCH($H1938,LevelList,0))+INDEX(LevelHousing,MATCH($H1938,LevelList,0)))*GosiSaudi,0))</f>
        <v>0</v>
      </c>
      <c r="W1938" s="35" t="n">
        <f aca="false">IFERROR(INDEX(LevelOneOff,MATCH($H1938,LevelList,0)),0)</f>
        <v>0</v>
      </c>
      <c r="X1938" s="35" t="str">
        <f aca="false">IF($G1938="","",$V1938*N($L1938))</f>
        <v/>
      </c>
      <c r="Y1938" s="35" t="str">
        <f aca="false">IF($G1938="","",$V1938*(N($M1938)*1+N($N1938)*0.75+N($O1938)*0.5+N($P1938)*0.25)+$W1938*N($L1938))</f>
        <v/>
      </c>
      <c r="Z1938" s="35" t="str">
        <f aca="false">IF($G1938="","",$U1938*1000000+ROW())</f>
        <v/>
      </c>
      <c r="AA1938" s="36" t="str">
        <f aca="false">IF($G1938="","",MID(IF($C1938="",", no division","")&amp;IF($E1938="",", no unit","")&amp;IF($H1938="",", no career level","")&amp;IF(N($L1938)&lt;=0,", no quarter split","")&amp;IF($R1938="",", no driver","")&amp;IF(AND($H1938&lt;&gt;"",COUNTIF(CareerLevels,$H1938)=0),", a career level that is not on the ladder","")&amp;IF(AND($R1938&lt;&gt;"",COUNTIF(DriverList,$R1938)=0),", a driver that is not on the list","")&amp;IF(ABS(N($L1938)-(N($M1938)+N($N1938)+N($O1938)+N($P1938)))&gt;0.001,", a total that does not match its quarters",""),3,300))</f>
        <v/>
      </c>
    </row>
    <row r="1939" customFormat="false" ht="15" hidden="false" customHeight="false" outlineLevel="0" collapsed="false">
      <c r="A1939" s="33" t="str">
        <f aca="false">IF($G1939="","","Risk Group")</f>
        <v/>
      </c>
      <c r="B1939" s="19"/>
      <c r="C1939" s="19"/>
      <c r="D1939" s="19"/>
      <c r="E1939" s="19"/>
      <c r="F1939" s="19"/>
      <c r="G1939" s="19"/>
      <c r="H1939" s="19"/>
      <c r="I1939" s="19"/>
      <c r="J1939" s="19"/>
      <c r="K1939" s="19"/>
      <c r="L1939" s="19"/>
      <c r="M1939" s="19"/>
      <c r="N1939" s="19"/>
      <c r="O1939" s="19"/>
      <c r="P1939" s="19"/>
      <c r="Q1939" s="19"/>
      <c r="R1939" s="19"/>
      <c r="S1939" s="19"/>
      <c r="T1939" s="34" t="str">
        <f aca="false">IF($R1939="","",IFERROR(INDEX(DriverCategory,MATCH($R1939,DriverList,0)),"BAU"))</f>
        <v/>
      </c>
      <c r="U1939" s="34" t="str">
        <f aca="false">IF($R1939="","",IFERROR(INDEX(DriverRank,MATCH($R1939,DriverList,0)),99))</f>
        <v/>
      </c>
      <c r="V1939" s="35" t="n">
        <f aca="false">IF($H1939="",0,IFERROR(INDEX(LevelBasic,MATCH($H1939,LevelList,0))+INDEX(LevelHousing,MATCH($H1939,LevelList,0))+INDEX(LevelTransport,MATCH($H1939,LevelList,0))+INDEX(LevelBasic,MATCH($H1939,LevelList,0))*INDEX(LevelBonus,MATCH($H1939,LevelList,0))+(INDEX(LevelBasic,MATCH($H1939,LevelList,0))+INDEX(LevelHousing,MATCH($H1939,LevelList,0)))*GosiSaudi,0))</f>
        <v>0</v>
      </c>
      <c r="W1939" s="35" t="n">
        <f aca="false">IFERROR(INDEX(LevelOneOff,MATCH($H1939,LevelList,0)),0)</f>
        <v>0</v>
      </c>
      <c r="X1939" s="35" t="str">
        <f aca="false">IF($G1939="","",$V1939*N($L1939))</f>
        <v/>
      </c>
      <c r="Y1939" s="35" t="str">
        <f aca="false">IF($G1939="","",$V1939*(N($M1939)*1+N($N1939)*0.75+N($O1939)*0.5+N($P1939)*0.25)+$W1939*N($L1939))</f>
        <v/>
      </c>
      <c r="Z1939" s="35" t="str">
        <f aca="false">IF($G1939="","",$U1939*1000000+ROW())</f>
        <v/>
      </c>
      <c r="AA1939" s="36" t="str">
        <f aca="false">IF($G1939="","",MID(IF($C1939="",", no division","")&amp;IF($E1939="",", no unit","")&amp;IF($H1939="",", no career level","")&amp;IF(N($L1939)&lt;=0,", no quarter split","")&amp;IF($R1939="",", no driver","")&amp;IF(AND($H1939&lt;&gt;"",COUNTIF(CareerLevels,$H1939)=0),", a career level that is not on the ladder","")&amp;IF(AND($R1939&lt;&gt;"",COUNTIF(DriverList,$R1939)=0),", a driver that is not on the list","")&amp;IF(ABS(N($L1939)-(N($M1939)+N($N1939)+N($O1939)+N($P1939)))&gt;0.001,", a total that does not match its quarters",""),3,300))</f>
        <v/>
      </c>
    </row>
    <row r="1940" customFormat="false" ht="15" hidden="false" customHeight="false" outlineLevel="0" collapsed="false">
      <c r="A1940" s="33" t="str">
        <f aca="false">IF($G1940="","","Risk Group")</f>
        <v/>
      </c>
      <c r="B1940" s="19"/>
      <c r="C1940" s="19"/>
      <c r="D1940" s="19"/>
      <c r="E1940" s="19"/>
      <c r="F1940" s="19"/>
      <c r="G1940" s="19"/>
      <c r="H1940" s="19"/>
      <c r="I1940" s="19"/>
      <c r="J1940" s="19"/>
      <c r="K1940" s="19"/>
      <c r="L1940" s="19"/>
      <c r="M1940" s="19"/>
      <c r="N1940" s="19"/>
      <c r="O1940" s="19"/>
      <c r="P1940" s="19"/>
      <c r="Q1940" s="19"/>
      <c r="R1940" s="19"/>
      <c r="S1940" s="19"/>
      <c r="T1940" s="34" t="str">
        <f aca="false">IF($R1940="","",IFERROR(INDEX(DriverCategory,MATCH($R1940,DriverList,0)),"BAU"))</f>
        <v/>
      </c>
      <c r="U1940" s="34" t="str">
        <f aca="false">IF($R1940="","",IFERROR(INDEX(DriverRank,MATCH($R1940,DriverList,0)),99))</f>
        <v/>
      </c>
      <c r="V1940" s="35" t="n">
        <f aca="false">IF($H1940="",0,IFERROR(INDEX(LevelBasic,MATCH($H1940,LevelList,0))+INDEX(LevelHousing,MATCH($H1940,LevelList,0))+INDEX(LevelTransport,MATCH($H1940,LevelList,0))+INDEX(LevelBasic,MATCH($H1940,LevelList,0))*INDEX(LevelBonus,MATCH($H1940,LevelList,0))+(INDEX(LevelBasic,MATCH($H1940,LevelList,0))+INDEX(LevelHousing,MATCH($H1940,LevelList,0)))*GosiSaudi,0))</f>
        <v>0</v>
      </c>
      <c r="W1940" s="35" t="n">
        <f aca="false">IFERROR(INDEX(LevelOneOff,MATCH($H1940,LevelList,0)),0)</f>
        <v>0</v>
      </c>
      <c r="X1940" s="35" t="str">
        <f aca="false">IF($G1940="","",$V1940*N($L1940))</f>
        <v/>
      </c>
      <c r="Y1940" s="35" t="str">
        <f aca="false">IF($G1940="","",$V1940*(N($M1940)*1+N($N1940)*0.75+N($O1940)*0.5+N($P1940)*0.25)+$W1940*N($L1940))</f>
        <v/>
      </c>
      <c r="Z1940" s="35" t="str">
        <f aca="false">IF($G1940="","",$U1940*1000000+ROW())</f>
        <v/>
      </c>
      <c r="AA1940" s="36" t="str">
        <f aca="false">IF($G1940="","",MID(IF($C1940="",", no division","")&amp;IF($E1940="",", no unit","")&amp;IF($H1940="",", no career level","")&amp;IF(N($L1940)&lt;=0,", no quarter split","")&amp;IF($R1940="",", no driver","")&amp;IF(AND($H1940&lt;&gt;"",COUNTIF(CareerLevels,$H1940)=0),", a career level that is not on the ladder","")&amp;IF(AND($R1940&lt;&gt;"",COUNTIF(DriverList,$R1940)=0),", a driver that is not on the list","")&amp;IF(ABS(N($L1940)-(N($M1940)+N($N1940)+N($O1940)+N($P1940)))&gt;0.001,", a total that does not match its quarters",""),3,300))</f>
        <v/>
      </c>
    </row>
    <row r="1941" customFormat="false" ht="15" hidden="false" customHeight="false" outlineLevel="0" collapsed="false">
      <c r="A1941" s="33" t="str">
        <f aca="false">IF($G1941="","","Risk Group")</f>
        <v/>
      </c>
      <c r="B1941" s="19"/>
      <c r="C1941" s="19"/>
      <c r="D1941" s="19"/>
      <c r="E1941" s="19"/>
      <c r="F1941" s="19"/>
      <c r="G1941" s="19"/>
      <c r="H1941" s="19"/>
      <c r="I1941" s="19"/>
      <c r="J1941" s="19"/>
      <c r="K1941" s="19"/>
      <c r="L1941" s="19"/>
      <c r="M1941" s="19"/>
      <c r="N1941" s="19"/>
      <c r="O1941" s="19"/>
      <c r="P1941" s="19"/>
      <c r="Q1941" s="19"/>
      <c r="R1941" s="19"/>
      <c r="S1941" s="19"/>
      <c r="T1941" s="34" t="str">
        <f aca="false">IF($R1941="","",IFERROR(INDEX(DriverCategory,MATCH($R1941,DriverList,0)),"BAU"))</f>
        <v/>
      </c>
      <c r="U1941" s="34" t="str">
        <f aca="false">IF($R1941="","",IFERROR(INDEX(DriverRank,MATCH($R1941,DriverList,0)),99))</f>
        <v/>
      </c>
      <c r="V1941" s="35" t="n">
        <f aca="false">IF($H1941="",0,IFERROR(INDEX(LevelBasic,MATCH($H1941,LevelList,0))+INDEX(LevelHousing,MATCH($H1941,LevelList,0))+INDEX(LevelTransport,MATCH($H1941,LevelList,0))+INDEX(LevelBasic,MATCH($H1941,LevelList,0))*INDEX(LevelBonus,MATCH($H1941,LevelList,0))+(INDEX(LevelBasic,MATCH($H1941,LevelList,0))+INDEX(LevelHousing,MATCH($H1941,LevelList,0)))*GosiSaudi,0))</f>
        <v>0</v>
      </c>
      <c r="W1941" s="35" t="n">
        <f aca="false">IFERROR(INDEX(LevelOneOff,MATCH($H1941,LevelList,0)),0)</f>
        <v>0</v>
      </c>
      <c r="X1941" s="35" t="str">
        <f aca="false">IF($G1941="","",$V1941*N($L1941))</f>
        <v/>
      </c>
      <c r="Y1941" s="35" t="str">
        <f aca="false">IF($G1941="","",$V1941*(N($M1941)*1+N($N1941)*0.75+N($O1941)*0.5+N($P1941)*0.25)+$W1941*N($L1941))</f>
        <v/>
      </c>
      <c r="Z1941" s="35" t="str">
        <f aca="false">IF($G1941="","",$U1941*1000000+ROW())</f>
        <v/>
      </c>
      <c r="AA1941" s="36" t="str">
        <f aca="false">IF($G1941="","",MID(IF($C1941="",", no division","")&amp;IF($E1941="",", no unit","")&amp;IF($H1941="",", no career level","")&amp;IF(N($L1941)&lt;=0,", no quarter split","")&amp;IF($R1941="",", no driver","")&amp;IF(AND($H1941&lt;&gt;"",COUNTIF(CareerLevels,$H1941)=0),", a career level that is not on the ladder","")&amp;IF(AND($R1941&lt;&gt;"",COUNTIF(DriverList,$R1941)=0),", a driver that is not on the list","")&amp;IF(ABS(N($L1941)-(N($M1941)+N($N1941)+N($O1941)+N($P1941)))&gt;0.001,", a total that does not match its quarters",""),3,300))</f>
        <v/>
      </c>
    </row>
    <row r="1942" customFormat="false" ht="15" hidden="false" customHeight="false" outlineLevel="0" collapsed="false">
      <c r="A1942" s="33" t="str">
        <f aca="false">IF($G1942="","","Risk Group")</f>
        <v/>
      </c>
      <c r="B1942" s="19"/>
      <c r="C1942" s="19"/>
      <c r="D1942" s="19"/>
      <c r="E1942" s="19"/>
      <c r="F1942" s="19"/>
      <c r="G1942" s="19"/>
      <c r="H1942" s="19"/>
      <c r="I1942" s="19"/>
      <c r="J1942" s="19"/>
      <c r="K1942" s="19"/>
      <c r="L1942" s="19"/>
      <c r="M1942" s="19"/>
      <c r="N1942" s="19"/>
      <c r="O1942" s="19"/>
      <c r="P1942" s="19"/>
      <c r="Q1942" s="19"/>
      <c r="R1942" s="19"/>
      <c r="S1942" s="19"/>
      <c r="T1942" s="34" t="str">
        <f aca="false">IF($R1942="","",IFERROR(INDEX(DriverCategory,MATCH($R1942,DriverList,0)),"BAU"))</f>
        <v/>
      </c>
      <c r="U1942" s="34" t="str">
        <f aca="false">IF($R1942="","",IFERROR(INDEX(DriverRank,MATCH($R1942,DriverList,0)),99))</f>
        <v/>
      </c>
      <c r="V1942" s="35" t="n">
        <f aca="false">IF($H1942="",0,IFERROR(INDEX(LevelBasic,MATCH($H1942,LevelList,0))+INDEX(LevelHousing,MATCH($H1942,LevelList,0))+INDEX(LevelTransport,MATCH($H1942,LevelList,0))+INDEX(LevelBasic,MATCH($H1942,LevelList,0))*INDEX(LevelBonus,MATCH($H1942,LevelList,0))+(INDEX(LevelBasic,MATCH($H1942,LevelList,0))+INDEX(LevelHousing,MATCH($H1942,LevelList,0)))*GosiSaudi,0))</f>
        <v>0</v>
      </c>
      <c r="W1942" s="35" t="n">
        <f aca="false">IFERROR(INDEX(LevelOneOff,MATCH($H1942,LevelList,0)),0)</f>
        <v>0</v>
      </c>
      <c r="X1942" s="35" t="str">
        <f aca="false">IF($G1942="","",$V1942*N($L1942))</f>
        <v/>
      </c>
      <c r="Y1942" s="35" t="str">
        <f aca="false">IF($G1942="","",$V1942*(N($M1942)*1+N($N1942)*0.75+N($O1942)*0.5+N($P1942)*0.25)+$W1942*N($L1942))</f>
        <v/>
      </c>
      <c r="Z1942" s="35" t="str">
        <f aca="false">IF($G1942="","",$U1942*1000000+ROW())</f>
        <v/>
      </c>
      <c r="AA1942" s="36" t="str">
        <f aca="false">IF($G1942="","",MID(IF($C1942="",", no division","")&amp;IF($E1942="",", no unit","")&amp;IF($H1942="",", no career level","")&amp;IF(N($L1942)&lt;=0,", no quarter split","")&amp;IF($R1942="",", no driver","")&amp;IF(AND($H1942&lt;&gt;"",COUNTIF(CareerLevels,$H1942)=0),", a career level that is not on the ladder","")&amp;IF(AND($R1942&lt;&gt;"",COUNTIF(DriverList,$R1942)=0),", a driver that is not on the list","")&amp;IF(ABS(N($L1942)-(N($M1942)+N($N1942)+N($O1942)+N($P1942)))&gt;0.001,", a total that does not match its quarters",""),3,300))</f>
        <v/>
      </c>
    </row>
    <row r="1943" customFormat="false" ht="15" hidden="false" customHeight="false" outlineLevel="0" collapsed="false">
      <c r="A1943" s="33" t="str">
        <f aca="false">IF($G1943="","","Risk Group")</f>
        <v/>
      </c>
      <c r="B1943" s="19"/>
      <c r="C1943" s="19"/>
      <c r="D1943" s="19"/>
      <c r="E1943" s="19"/>
      <c r="F1943" s="19"/>
      <c r="G1943" s="19"/>
      <c r="H1943" s="19"/>
      <c r="I1943" s="19"/>
      <c r="J1943" s="19"/>
      <c r="K1943" s="19"/>
      <c r="L1943" s="19"/>
      <c r="M1943" s="19"/>
      <c r="N1943" s="19"/>
      <c r="O1943" s="19"/>
      <c r="P1943" s="19"/>
      <c r="Q1943" s="19"/>
      <c r="R1943" s="19"/>
      <c r="S1943" s="19"/>
      <c r="T1943" s="34" t="str">
        <f aca="false">IF($R1943="","",IFERROR(INDEX(DriverCategory,MATCH($R1943,DriverList,0)),"BAU"))</f>
        <v/>
      </c>
      <c r="U1943" s="34" t="str">
        <f aca="false">IF($R1943="","",IFERROR(INDEX(DriverRank,MATCH($R1943,DriverList,0)),99))</f>
        <v/>
      </c>
      <c r="V1943" s="35" t="n">
        <f aca="false">IF($H1943="",0,IFERROR(INDEX(LevelBasic,MATCH($H1943,LevelList,0))+INDEX(LevelHousing,MATCH($H1943,LevelList,0))+INDEX(LevelTransport,MATCH($H1943,LevelList,0))+INDEX(LevelBasic,MATCH($H1943,LevelList,0))*INDEX(LevelBonus,MATCH($H1943,LevelList,0))+(INDEX(LevelBasic,MATCH($H1943,LevelList,0))+INDEX(LevelHousing,MATCH($H1943,LevelList,0)))*GosiSaudi,0))</f>
        <v>0</v>
      </c>
      <c r="W1943" s="35" t="n">
        <f aca="false">IFERROR(INDEX(LevelOneOff,MATCH($H1943,LevelList,0)),0)</f>
        <v>0</v>
      </c>
      <c r="X1943" s="35" t="str">
        <f aca="false">IF($G1943="","",$V1943*N($L1943))</f>
        <v/>
      </c>
      <c r="Y1943" s="35" t="str">
        <f aca="false">IF($G1943="","",$V1943*(N($M1943)*1+N($N1943)*0.75+N($O1943)*0.5+N($P1943)*0.25)+$W1943*N($L1943))</f>
        <v/>
      </c>
      <c r="Z1943" s="35" t="str">
        <f aca="false">IF($G1943="","",$U1943*1000000+ROW())</f>
        <v/>
      </c>
      <c r="AA1943" s="36" t="str">
        <f aca="false">IF($G1943="","",MID(IF($C1943="",", no division","")&amp;IF($E1943="",", no unit","")&amp;IF($H1943="",", no career level","")&amp;IF(N($L1943)&lt;=0,", no quarter split","")&amp;IF($R1943="",", no driver","")&amp;IF(AND($H1943&lt;&gt;"",COUNTIF(CareerLevels,$H1943)=0),", a career level that is not on the ladder","")&amp;IF(AND($R1943&lt;&gt;"",COUNTIF(DriverList,$R1943)=0),", a driver that is not on the list","")&amp;IF(ABS(N($L1943)-(N($M1943)+N($N1943)+N($O1943)+N($P1943)))&gt;0.001,", a total that does not match its quarters",""),3,300))</f>
        <v/>
      </c>
    </row>
    <row r="1944" customFormat="false" ht="15" hidden="false" customHeight="false" outlineLevel="0" collapsed="false">
      <c r="A1944" s="33" t="str">
        <f aca="false">IF($G1944="","","Risk Group")</f>
        <v/>
      </c>
      <c r="B1944" s="19"/>
      <c r="C1944" s="19"/>
      <c r="D1944" s="19"/>
      <c r="E1944" s="19"/>
      <c r="F1944" s="19"/>
      <c r="G1944" s="19"/>
      <c r="H1944" s="19"/>
      <c r="I1944" s="19"/>
      <c r="J1944" s="19"/>
      <c r="K1944" s="19"/>
      <c r="L1944" s="19"/>
      <c r="M1944" s="19"/>
      <c r="N1944" s="19"/>
      <c r="O1944" s="19"/>
      <c r="P1944" s="19"/>
      <c r="Q1944" s="19"/>
      <c r="R1944" s="19"/>
      <c r="S1944" s="19"/>
      <c r="T1944" s="34" t="str">
        <f aca="false">IF($R1944="","",IFERROR(INDEX(DriverCategory,MATCH($R1944,DriverList,0)),"BAU"))</f>
        <v/>
      </c>
      <c r="U1944" s="34" t="str">
        <f aca="false">IF($R1944="","",IFERROR(INDEX(DriverRank,MATCH($R1944,DriverList,0)),99))</f>
        <v/>
      </c>
      <c r="V1944" s="35" t="n">
        <f aca="false">IF($H1944="",0,IFERROR(INDEX(LevelBasic,MATCH($H1944,LevelList,0))+INDEX(LevelHousing,MATCH($H1944,LevelList,0))+INDEX(LevelTransport,MATCH($H1944,LevelList,0))+INDEX(LevelBasic,MATCH($H1944,LevelList,0))*INDEX(LevelBonus,MATCH($H1944,LevelList,0))+(INDEX(LevelBasic,MATCH($H1944,LevelList,0))+INDEX(LevelHousing,MATCH($H1944,LevelList,0)))*GosiSaudi,0))</f>
        <v>0</v>
      </c>
      <c r="W1944" s="35" t="n">
        <f aca="false">IFERROR(INDEX(LevelOneOff,MATCH($H1944,LevelList,0)),0)</f>
        <v>0</v>
      </c>
      <c r="X1944" s="35" t="str">
        <f aca="false">IF($G1944="","",$V1944*N($L1944))</f>
        <v/>
      </c>
      <c r="Y1944" s="35" t="str">
        <f aca="false">IF($G1944="","",$V1944*(N($M1944)*1+N($N1944)*0.75+N($O1944)*0.5+N($P1944)*0.25)+$W1944*N($L1944))</f>
        <v/>
      </c>
      <c r="Z1944" s="35" t="str">
        <f aca="false">IF($G1944="","",$U1944*1000000+ROW())</f>
        <v/>
      </c>
      <c r="AA1944" s="36" t="str">
        <f aca="false">IF($G1944="","",MID(IF($C1944="",", no division","")&amp;IF($E1944="",", no unit","")&amp;IF($H1944="",", no career level","")&amp;IF(N($L1944)&lt;=0,", no quarter split","")&amp;IF($R1944="",", no driver","")&amp;IF(AND($H1944&lt;&gt;"",COUNTIF(CareerLevels,$H1944)=0),", a career level that is not on the ladder","")&amp;IF(AND($R1944&lt;&gt;"",COUNTIF(DriverList,$R1944)=0),", a driver that is not on the list","")&amp;IF(ABS(N($L1944)-(N($M1944)+N($N1944)+N($O1944)+N($P1944)))&gt;0.001,", a total that does not match its quarters",""),3,300))</f>
        <v/>
      </c>
    </row>
    <row r="1945" customFormat="false" ht="15" hidden="false" customHeight="false" outlineLevel="0" collapsed="false">
      <c r="A1945" s="33" t="str">
        <f aca="false">IF($G1945="","","Risk Group")</f>
        <v/>
      </c>
      <c r="B1945" s="19"/>
      <c r="C1945" s="19"/>
      <c r="D1945" s="19"/>
      <c r="E1945" s="19"/>
      <c r="F1945" s="19"/>
      <c r="G1945" s="19"/>
      <c r="H1945" s="19"/>
      <c r="I1945" s="19"/>
      <c r="J1945" s="19"/>
      <c r="K1945" s="19"/>
      <c r="L1945" s="19"/>
      <c r="M1945" s="19"/>
      <c r="N1945" s="19"/>
      <c r="O1945" s="19"/>
      <c r="P1945" s="19"/>
      <c r="Q1945" s="19"/>
      <c r="R1945" s="19"/>
      <c r="S1945" s="19"/>
      <c r="T1945" s="34" t="str">
        <f aca="false">IF($R1945="","",IFERROR(INDEX(DriverCategory,MATCH($R1945,DriverList,0)),"BAU"))</f>
        <v/>
      </c>
      <c r="U1945" s="34" t="str">
        <f aca="false">IF($R1945="","",IFERROR(INDEX(DriverRank,MATCH($R1945,DriverList,0)),99))</f>
        <v/>
      </c>
      <c r="V1945" s="35" t="n">
        <f aca="false">IF($H1945="",0,IFERROR(INDEX(LevelBasic,MATCH($H1945,LevelList,0))+INDEX(LevelHousing,MATCH($H1945,LevelList,0))+INDEX(LevelTransport,MATCH($H1945,LevelList,0))+INDEX(LevelBasic,MATCH($H1945,LevelList,0))*INDEX(LevelBonus,MATCH($H1945,LevelList,0))+(INDEX(LevelBasic,MATCH($H1945,LevelList,0))+INDEX(LevelHousing,MATCH($H1945,LevelList,0)))*GosiSaudi,0))</f>
        <v>0</v>
      </c>
      <c r="W1945" s="35" t="n">
        <f aca="false">IFERROR(INDEX(LevelOneOff,MATCH($H1945,LevelList,0)),0)</f>
        <v>0</v>
      </c>
      <c r="X1945" s="35" t="str">
        <f aca="false">IF($G1945="","",$V1945*N($L1945))</f>
        <v/>
      </c>
      <c r="Y1945" s="35" t="str">
        <f aca="false">IF($G1945="","",$V1945*(N($M1945)*1+N($N1945)*0.75+N($O1945)*0.5+N($P1945)*0.25)+$W1945*N($L1945))</f>
        <v/>
      </c>
      <c r="Z1945" s="35" t="str">
        <f aca="false">IF($G1945="","",$U1945*1000000+ROW())</f>
        <v/>
      </c>
      <c r="AA1945" s="36" t="str">
        <f aca="false">IF($G1945="","",MID(IF($C1945="",", no division","")&amp;IF($E1945="",", no unit","")&amp;IF($H1945="",", no career level","")&amp;IF(N($L1945)&lt;=0,", no quarter split","")&amp;IF($R1945="",", no driver","")&amp;IF(AND($H1945&lt;&gt;"",COUNTIF(CareerLevels,$H1945)=0),", a career level that is not on the ladder","")&amp;IF(AND($R1945&lt;&gt;"",COUNTIF(DriverList,$R1945)=0),", a driver that is not on the list","")&amp;IF(ABS(N($L1945)-(N($M1945)+N($N1945)+N($O1945)+N($P1945)))&gt;0.001,", a total that does not match its quarters",""),3,300))</f>
        <v/>
      </c>
    </row>
    <row r="1946" customFormat="false" ht="15" hidden="false" customHeight="false" outlineLevel="0" collapsed="false">
      <c r="A1946" s="33" t="str">
        <f aca="false">IF($G1946="","","Risk Group")</f>
        <v/>
      </c>
      <c r="B1946" s="19"/>
      <c r="C1946" s="19"/>
      <c r="D1946" s="19"/>
      <c r="E1946" s="19"/>
      <c r="F1946" s="19"/>
      <c r="G1946" s="19"/>
      <c r="H1946" s="19"/>
      <c r="I1946" s="19"/>
      <c r="J1946" s="19"/>
      <c r="K1946" s="19"/>
      <c r="L1946" s="19"/>
      <c r="M1946" s="19"/>
      <c r="N1946" s="19"/>
      <c r="O1946" s="19"/>
      <c r="P1946" s="19"/>
      <c r="Q1946" s="19"/>
      <c r="R1946" s="19"/>
      <c r="S1946" s="19"/>
      <c r="T1946" s="34" t="str">
        <f aca="false">IF($R1946="","",IFERROR(INDEX(DriverCategory,MATCH($R1946,DriverList,0)),"BAU"))</f>
        <v/>
      </c>
      <c r="U1946" s="34" t="str">
        <f aca="false">IF($R1946="","",IFERROR(INDEX(DriverRank,MATCH($R1946,DriverList,0)),99))</f>
        <v/>
      </c>
      <c r="V1946" s="35" t="n">
        <f aca="false">IF($H1946="",0,IFERROR(INDEX(LevelBasic,MATCH($H1946,LevelList,0))+INDEX(LevelHousing,MATCH($H1946,LevelList,0))+INDEX(LevelTransport,MATCH($H1946,LevelList,0))+INDEX(LevelBasic,MATCH($H1946,LevelList,0))*INDEX(LevelBonus,MATCH($H1946,LevelList,0))+(INDEX(LevelBasic,MATCH($H1946,LevelList,0))+INDEX(LevelHousing,MATCH($H1946,LevelList,0)))*GosiSaudi,0))</f>
        <v>0</v>
      </c>
      <c r="W1946" s="35" t="n">
        <f aca="false">IFERROR(INDEX(LevelOneOff,MATCH($H1946,LevelList,0)),0)</f>
        <v>0</v>
      </c>
      <c r="X1946" s="35" t="str">
        <f aca="false">IF($G1946="","",$V1946*N($L1946))</f>
        <v/>
      </c>
      <c r="Y1946" s="35" t="str">
        <f aca="false">IF($G1946="","",$V1946*(N($M1946)*1+N($N1946)*0.75+N($O1946)*0.5+N($P1946)*0.25)+$W1946*N($L1946))</f>
        <v/>
      </c>
      <c r="Z1946" s="35" t="str">
        <f aca="false">IF($G1946="","",$U1946*1000000+ROW())</f>
        <v/>
      </c>
      <c r="AA1946" s="36" t="str">
        <f aca="false">IF($G1946="","",MID(IF($C1946="",", no division","")&amp;IF($E1946="",", no unit","")&amp;IF($H1946="",", no career level","")&amp;IF(N($L1946)&lt;=0,", no quarter split","")&amp;IF($R1946="",", no driver","")&amp;IF(AND($H1946&lt;&gt;"",COUNTIF(CareerLevels,$H1946)=0),", a career level that is not on the ladder","")&amp;IF(AND($R1946&lt;&gt;"",COUNTIF(DriverList,$R1946)=0),", a driver that is not on the list","")&amp;IF(ABS(N($L1946)-(N($M1946)+N($N1946)+N($O1946)+N($P1946)))&gt;0.001,", a total that does not match its quarters",""),3,300))</f>
        <v/>
      </c>
    </row>
    <row r="1947" customFormat="false" ht="15" hidden="false" customHeight="false" outlineLevel="0" collapsed="false">
      <c r="A1947" s="33" t="str">
        <f aca="false">IF($G1947="","","Risk Group")</f>
        <v/>
      </c>
      <c r="B1947" s="19"/>
      <c r="C1947" s="19"/>
      <c r="D1947" s="19"/>
      <c r="E1947" s="19"/>
      <c r="F1947" s="19"/>
      <c r="G1947" s="19"/>
      <c r="H1947" s="19"/>
      <c r="I1947" s="19"/>
      <c r="J1947" s="19"/>
      <c r="K1947" s="19"/>
      <c r="L1947" s="19"/>
      <c r="M1947" s="19"/>
      <c r="N1947" s="19"/>
      <c r="O1947" s="19"/>
      <c r="P1947" s="19"/>
      <c r="Q1947" s="19"/>
      <c r="R1947" s="19"/>
      <c r="S1947" s="19"/>
      <c r="T1947" s="34" t="str">
        <f aca="false">IF($R1947="","",IFERROR(INDEX(DriverCategory,MATCH($R1947,DriverList,0)),"BAU"))</f>
        <v/>
      </c>
      <c r="U1947" s="34" t="str">
        <f aca="false">IF($R1947="","",IFERROR(INDEX(DriverRank,MATCH($R1947,DriverList,0)),99))</f>
        <v/>
      </c>
      <c r="V1947" s="35" t="n">
        <f aca="false">IF($H1947="",0,IFERROR(INDEX(LevelBasic,MATCH($H1947,LevelList,0))+INDEX(LevelHousing,MATCH($H1947,LevelList,0))+INDEX(LevelTransport,MATCH($H1947,LevelList,0))+INDEX(LevelBasic,MATCH($H1947,LevelList,0))*INDEX(LevelBonus,MATCH($H1947,LevelList,0))+(INDEX(LevelBasic,MATCH($H1947,LevelList,0))+INDEX(LevelHousing,MATCH($H1947,LevelList,0)))*GosiSaudi,0))</f>
        <v>0</v>
      </c>
      <c r="W1947" s="35" t="n">
        <f aca="false">IFERROR(INDEX(LevelOneOff,MATCH($H1947,LevelList,0)),0)</f>
        <v>0</v>
      </c>
      <c r="X1947" s="35" t="str">
        <f aca="false">IF($G1947="","",$V1947*N($L1947))</f>
        <v/>
      </c>
      <c r="Y1947" s="35" t="str">
        <f aca="false">IF($G1947="","",$V1947*(N($M1947)*1+N($N1947)*0.75+N($O1947)*0.5+N($P1947)*0.25)+$W1947*N($L1947))</f>
        <v/>
      </c>
      <c r="Z1947" s="35" t="str">
        <f aca="false">IF($G1947="","",$U1947*1000000+ROW())</f>
        <v/>
      </c>
      <c r="AA1947" s="36" t="str">
        <f aca="false">IF($G1947="","",MID(IF($C1947="",", no division","")&amp;IF($E1947="",", no unit","")&amp;IF($H1947="",", no career level","")&amp;IF(N($L1947)&lt;=0,", no quarter split","")&amp;IF($R1947="",", no driver","")&amp;IF(AND($H1947&lt;&gt;"",COUNTIF(CareerLevels,$H1947)=0),", a career level that is not on the ladder","")&amp;IF(AND($R1947&lt;&gt;"",COUNTIF(DriverList,$R1947)=0),", a driver that is not on the list","")&amp;IF(ABS(N($L1947)-(N($M1947)+N($N1947)+N($O1947)+N($P1947)))&gt;0.001,", a total that does not match its quarters",""),3,300))</f>
        <v/>
      </c>
    </row>
    <row r="1948" customFormat="false" ht="15" hidden="false" customHeight="false" outlineLevel="0" collapsed="false">
      <c r="A1948" s="33" t="str">
        <f aca="false">IF($G1948="","","Risk Group")</f>
        <v/>
      </c>
      <c r="B1948" s="19"/>
      <c r="C1948" s="19"/>
      <c r="D1948" s="19"/>
      <c r="E1948" s="19"/>
      <c r="F1948" s="19"/>
      <c r="G1948" s="19"/>
      <c r="H1948" s="19"/>
      <c r="I1948" s="19"/>
      <c r="J1948" s="19"/>
      <c r="K1948" s="19"/>
      <c r="L1948" s="19"/>
      <c r="M1948" s="19"/>
      <c r="N1948" s="19"/>
      <c r="O1948" s="19"/>
      <c r="P1948" s="19"/>
      <c r="Q1948" s="19"/>
      <c r="R1948" s="19"/>
      <c r="S1948" s="19"/>
      <c r="T1948" s="34" t="str">
        <f aca="false">IF($R1948="","",IFERROR(INDEX(DriverCategory,MATCH($R1948,DriverList,0)),"BAU"))</f>
        <v/>
      </c>
      <c r="U1948" s="34" t="str">
        <f aca="false">IF($R1948="","",IFERROR(INDEX(DriverRank,MATCH($R1948,DriverList,0)),99))</f>
        <v/>
      </c>
      <c r="V1948" s="35" t="n">
        <f aca="false">IF($H1948="",0,IFERROR(INDEX(LevelBasic,MATCH($H1948,LevelList,0))+INDEX(LevelHousing,MATCH($H1948,LevelList,0))+INDEX(LevelTransport,MATCH($H1948,LevelList,0))+INDEX(LevelBasic,MATCH($H1948,LevelList,0))*INDEX(LevelBonus,MATCH($H1948,LevelList,0))+(INDEX(LevelBasic,MATCH($H1948,LevelList,0))+INDEX(LevelHousing,MATCH($H1948,LevelList,0)))*GosiSaudi,0))</f>
        <v>0</v>
      </c>
      <c r="W1948" s="35" t="n">
        <f aca="false">IFERROR(INDEX(LevelOneOff,MATCH($H1948,LevelList,0)),0)</f>
        <v>0</v>
      </c>
      <c r="X1948" s="35" t="str">
        <f aca="false">IF($G1948="","",$V1948*N($L1948))</f>
        <v/>
      </c>
      <c r="Y1948" s="35" t="str">
        <f aca="false">IF($G1948="","",$V1948*(N($M1948)*1+N($N1948)*0.75+N($O1948)*0.5+N($P1948)*0.25)+$W1948*N($L1948))</f>
        <v/>
      </c>
      <c r="Z1948" s="35" t="str">
        <f aca="false">IF($G1948="","",$U1948*1000000+ROW())</f>
        <v/>
      </c>
      <c r="AA1948" s="36" t="str">
        <f aca="false">IF($G1948="","",MID(IF($C1948="",", no division","")&amp;IF($E1948="",", no unit","")&amp;IF($H1948="",", no career level","")&amp;IF(N($L1948)&lt;=0,", no quarter split","")&amp;IF($R1948="",", no driver","")&amp;IF(AND($H1948&lt;&gt;"",COUNTIF(CareerLevels,$H1948)=0),", a career level that is not on the ladder","")&amp;IF(AND($R1948&lt;&gt;"",COUNTIF(DriverList,$R1948)=0),", a driver that is not on the list","")&amp;IF(ABS(N($L1948)-(N($M1948)+N($N1948)+N($O1948)+N($P1948)))&gt;0.001,", a total that does not match its quarters",""),3,300))</f>
        <v/>
      </c>
    </row>
    <row r="1949" customFormat="false" ht="15" hidden="false" customHeight="false" outlineLevel="0" collapsed="false">
      <c r="A1949" s="33" t="str">
        <f aca="false">IF($G1949="","","Risk Group")</f>
        <v/>
      </c>
      <c r="B1949" s="19"/>
      <c r="C1949" s="19"/>
      <c r="D1949" s="19"/>
      <c r="E1949" s="19"/>
      <c r="F1949" s="19"/>
      <c r="G1949" s="19"/>
      <c r="H1949" s="19"/>
      <c r="I1949" s="19"/>
      <c r="J1949" s="19"/>
      <c r="K1949" s="19"/>
      <c r="L1949" s="19"/>
      <c r="M1949" s="19"/>
      <c r="N1949" s="19"/>
      <c r="O1949" s="19"/>
      <c r="P1949" s="19"/>
      <c r="Q1949" s="19"/>
      <c r="R1949" s="19"/>
      <c r="S1949" s="19"/>
      <c r="T1949" s="34" t="str">
        <f aca="false">IF($R1949="","",IFERROR(INDEX(DriverCategory,MATCH($R1949,DriverList,0)),"BAU"))</f>
        <v/>
      </c>
      <c r="U1949" s="34" t="str">
        <f aca="false">IF($R1949="","",IFERROR(INDEX(DriverRank,MATCH($R1949,DriverList,0)),99))</f>
        <v/>
      </c>
      <c r="V1949" s="35" t="n">
        <f aca="false">IF($H1949="",0,IFERROR(INDEX(LevelBasic,MATCH($H1949,LevelList,0))+INDEX(LevelHousing,MATCH($H1949,LevelList,0))+INDEX(LevelTransport,MATCH($H1949,LevelList,0))+INDEX(LevelBasic,MATCH($H1949,LevelList,0))*INDEX(LevelBonus,MATCH($H1949,LevelList,0))+(INDEX(LevelBasic,MATCH($H1949,LevelList,0))+INDEX(LevelHousing,MATCH($H1949,LevelList,0)))*GosiSaudi,0))</f>
        <v>0</v>
      </c>
      <c r="W1949" s="35" t="n">
        <f aca="false">IFERROR(INDEX(LevelOneOff,MATCH($H1949,LevelList,0)),0)</f>
        <v>0</v>
      </c>
      <c r="X1949" s="35" t="str">
        <f aca="false">IF($G1949="","",$V1949*N($L1949))</f>
        <v/>
      </c>
      <c r="Y1949" s="35" t="str">
        <f aca="false">IF($G1949="","",$V1949*(N($M1949)*1+N($N1949)*0.75+N($O1949)*0.5+N($P1949)*0.25)+$W1949*N($L1949))</f>
        <v/>
      </c>
      <c r="Z1949" s="35" t="str">
        <f aca="false">IF($G1949="","",$U1949*1000000+ROW())</f>
        <v/>
      </c>
      <c r="AA1949" s="36" t="str">
        <f aca="false">IF($G1949="","",MID(IF($C1949="",", no division","")&amp;IF($E1949="",", no unit","")&amp;IF($H1949="",", no career level","")&amp;IF(N($L1949)&lt;=0,", no quarter split","")&amp;IF($R1949="",", no driver","")&amp;IF(AND($H1949&lt;&gt;"",COUNTIF(CareerLevels,$H1949)=0),", a career level that is not on the ladder","")&amp;IF(AND($R1949&lt;&gt;"",COUNTIF(DriverList,$R1949)=0),", a driver that is not on the list","")&amp;IF(ABS(N($L1949)-(N($M1949)+N($N1949)+N($O1949)+N($P1949)))&gt;0.001,", a total that does not match its quarters",""),3,300))</f>
        <v/>
      </c>
    </row>
    <row r="1950" customFormat="false" ht="15" hidden="false" customHeight="false" outlineLevel="0" collapsed="false">
      <c r="A1950" s="33" t="str">
        <f aca="false">IF($G1950="","","Risk Group")</f>
        <v/>
      </c>
      <c r="B1950" s="19"/>
      <c r="C1950" s="19"/>
      <c r="D1950" s="19"/>
      <c r="E1950" s="19"/>
      <c r="F1950" s="19"/>
      <c r="G1950" s="19"/>
      <c r="H1950" s="19"/>
      <c r="I1950" s="19"/>
      <c r="J1950" s="19"/>
      <c r="K1950" s="19"/>
      <c r="L1950" s="19"/>
      <c r="M1950" s="19"/>
      <c r="N1950" s="19"/>
      <c r="O1950" s="19"/>
      <c r="P1950" s="19"/>
      <c r="Q1950" s="19"/>
      <c r="R1950" s="19"/>
      <c r="S1950" s="19"/>
      <c r="T1950" s="34" t="str">
        <f aca="false">IF($R1950="","",IFERROR(INDEX(DriverCategory,MATCH($R1950,DriverList,0)),"BAU"))</f>
        <v/>
      </c>
      <c r="U1950" s="34" t="str">
        <f aca="false">IF($R1950="","",IFERROR(INDEX(DriverRank,MATCH($R1950,DriverList,0)),99))</f>
        <v/>
      </c>
      <c r="V1950" s="35" t="n">
        <f aca="false">IF($H1950="",0,IFERROR(INDEX(LevelBasic,MATCH($H1950,LevelList,0))+INDEX(LevelHousing,MATCH($H1950,LevelList,0))+INDEX(LevelTransport,MATCH($H1950,LevelList,0))+INDEX(LevelBasic,MATCH($H1950,LevelList,0))*INDEX(LevelBonus,MATCH($H1950,LevelList,0))+(INDEX(LevelBasic,MATCH($H1950,LevelList,0))+INDEX(LevelHousing,MATCH($H1950,LevelList,0)))*GosiSaudi,0))</f>
        <v>0</v>
      </c>
      <c r="W1950" s="35" t="n">
        <f aca="false">IFERROR(INDEX(LevelOneOff,MATCH($H1950,LevelList,0)),0)</f>
        <v>0</v>
      </c>
      <c r="X1950" s="35" t="str">
        <f aca="false">IF($G1950="","",$V1950*N($L1950))</f>
        <v/>
      </c>
      <c r="Y1950" s="35" t="str">
        <f aca="false">IF($G1950="","",$V1950*(N($M1950)*1+N($N1950)*0.75+N($O1950)*0.5+N($P1950)*0.25)+$W1950*N($L1950))</f>
        <v/>
      </c>
      <c r="Z1950" s="35" t="str">
        <f aca="false">IF($G1950="","",$U1950*1000000+ROW())</f>
        <v/>
      </c>
      <c r="AA1950" s="36" t="str">
        <f aca="false">IF($G1950="","",MID(IF($C1950="",", no division","")&amp;IF($E1950="",", no unit","")&amp;IF($H1950="",", no career level","")&amp;IF(N($L1950)&lt;=0,", no quarter split","")&amp;IF($R1950="",", no driver","")&amp;IF(AND($H1950&lt;&gt;"",COUNTIF(CareerLevels,$H1950)=0),", a career level that is not on the ladder","")&amp;IF(AND($R1950&lt;&gt;"",COUNTIF(DriverList,$R1950)=0),", a driver that is not on the list","")&amp;IF(ABS(N($L1950)-(N($M1950)+N($N1950)+N($O1950)+N($P1950)))&gt;0.001,", a total that does not match its quarters",""),3,300))</f>
        <v/>
      </c>
    </row>
    <row r="1951" customFormat="false" ht="15" hidden="false" customHeight="false" outlineLevel="0" collapsed="false">
      <c r="A1951" s="33" t="str">
        <f aca="false">IF($G1951="","","Risk Group")</f>
        <v/>
      </c>
      <c r="B1951" s="19"/>
      <c r="C1951" s="19"/>
      <c r="D1951" s="19"/>
      <c r="E1951" s="19"/>
      <c r="F1951" s="19"/>
      <c r="G1951" s="19"/>
      <c r="H1951" s="19"/>
      <c r="I1951" s="19"/>
      <c r="J1951" s="19"/>
      <c r="K1951" s="19"/>
      <c r="L1951" s="19"/>
      <c r="M1951" s="19"/>
      <c r="N1951" s="19"/>
      <c r="O1951" s="19"/>
      <c r="P1951" s="19"/>
      <c r="Q1951" s="19"/>
      <c r="R1951" s="19"/>
      <c r="S1951" s="19"/>
      <c r="T1951" s="34" t="str">
        <f aca="false">IF($R1951="","",IFERROR(INDEX(DriverCategory,MATCH($R1951,DriverList,0)),"BAU"))</f>
        <v/>
      </c>
      <c r="U1951" s="34" t="str">
        <f aca="false">IF($R1951="","",IFERROR(INDEX(DriverRank,MATCH($R1951,DriverList,0)),99))</f>
        <v/>
      </c>
      <c r="V1951" s="35" t="n">
        <f aca="false">IF($H1951="",0,IFERROR(INDEX(LevelBasic,MATCH($H1951,LevelList,0))+INDEX(LevelHousing,MATCH($H1951,LevelList,0))+INDEX(LevelTransport,MATCH($H1951,LevelList,0))+INDEX(LevelBasic,MATCH($H1951,LevelList,0))*INDEX(LevelBonus,MATCH($H1951,LevelList,0))+(INDEX(LevelBasic,MATCH($H1951,LevelList,0))+INDEX(LevelHousing,MATCH($H1951,LevelList,0)))*GosiSaudi,0))</f>
        <v>0</v>
      </c>
      <c r="W1951" s="35" t="n">
        <f aca="false">IFERROR(INDEX(LevelOneOff,MATCH($H1951,LevelList,0)),0)</f>
        <v>0</v>
      </c>
      <c r="X1951" s="35" t="str">
        <f aca="false">IF($G1951="","",$V1951*N($L1951))</f>
        <v/>
      </c>
      <c r="Y1951" s="35" t="str">
        <f aca="false">IF($G1951="","",$V1951*(N($M1951)*1+N($N1951)*0.75+N($O1951)*0.5+N($P1951)*0.25)+$W1951*N($L1951))</f>
        <v/>
      </c>
      <c r="Z1951" s="35" t="str">
        <f aca="false">IF($G1951="","",$U1951*1000000+ROW())</f>
        <v/>
      </c>
      <c r="AA1951" s="36" t="str">
        <f aca="false">IF($G1951="","",MID(IF($C1951="",", no division","")&amp;IF($E1951="",", no unit","")&amp;IF($H1951="",", no career level","")&amp;IF(N($L1951)&lt;=0,", no quarter split","")&amp;IF($R1951="",", no driver","")&amp;IF(AND($H1951&lt;&gt;"",COUNTIF(CareerLevels,$H1951)=0),", a career level that is not on the ladder","")&amp;IF(AND($R1951&lt;&gt;"",COUNTIF(DriverList,$R1951)=0),", a driver that is not on the list","")&amp;IF(ABS(N($L1951)-(N($M1951)+N($N1951)+N($O1951)+N($P1951)))&gt;0.001,", a total that does not match its quarters",""),3,300))</f>
        <v/>
      </c>
    </row>
    <row r="1952" customFormat="false" ht="15" hidden="false" customHeight="false" outlineLevel="0" collapsed="false">
      <c r="A1952" s="33" t="str">
        <f aca="false">IF($G1952="","","Risk Group")</f>
        <v/>
      </c>
      <c r="B1952" s="19"/>
      <c r="C1952" s="19"/>
      <c r="D1952" s="19"/>
      <c r="E1952" s="19"/>
      <c r="F1952" s="19"/>
      <c r="G1952" s="19"/>
      <c r="H1952" s="19"/>
      <c r="I1952" s="19"/>
      <c r="J1952" s="19"/>
      <c r="K1952" s="19"/>
      <c r="L1952" s="19"/>
      <c r="M1952" s="19"/>
      <c r="N1952" s="19"/>
      <c r="O1952" s="19"/>
      <c r="P1952" s="19"/>
      <c r="Q1952" s="19"/>
      <c r="R1952" s="19"/>
      <c r="S1952" s="19"/>
      <c r="T1952" s="34" t="str">
        <f aca="false">IF($R1952="","",IFERROR(INDEX(DriverCategory,MATCH($R1952,DriverList,0)),"BAU"))</f>
        <v/>
      </c>
      <c r="U1952" s="34" t="str">
        <f aca="false">IF($R1952="","",IFERROR(INDEX(DriverRank,MATCH($R1952,DriverList,0)),99))</f>
        <v/>
      </c>
      <c r="V1952" s="35" t="n">
        <f aca="false">IF($H1952="",0,IFERROR(INDEX(LevelBasic,MATCH($H1952,LevelList,0))+INDEX(LevelHousing,MATCH($H1952,LevelList,0))+INDEX(LevelTransport,MATCH($H1952,LevelList,0))+INDEX(LevelBasic,MATCH($H1952,LevelList,0))*INDEX(LevelBonus,MATCH($H1952,LevelList,0))+(INDEX(LevelBasic,MATCH($H1952,LevelList,0))+INDEX(LevelHousing,MATCH($H1952,LevelList,0)))*GosiSaudi,0))</f>
        <v>0</v>
      </c>
      <c r="W1952" s="35" t="n">
        <f aca="false">IFERROR(INDEX(LevelOneOff,MATCH($H1952,LevelList,0)),0)</f>
        <v>0</v>
      </c>
      <c r="X1952" s="35" t="str">
        <f aca="false">IF($G1952="","",$V1952*N($L1952))</f>
        <v/>
      </c>
      <c r="Y1952" s="35" t="str">
        <f aca="false">IF($G1952="","",$V1952*(N($M1952)*1+N($N1952)*0.75+N($O1952)*0.5+N($P1952)*0.25)+$W1952*N($L1952))</f>
        <v/>
      </c>
      <c r="Z1952" s="35" t="str">
        <f aca="false">IF($G1952="","",$U1952*1000000+ROW())</f>
        <v/>
      </c>
      <c r="AA1952" s="36" t="str">
        <f aca="false">IF($G1952="","",MID(IF($C1952="",", no division","")&amp;IF($E1952="",", no unit","")&amp;IF($H1952="",", no career level","")&amp;IF(N($L1952)&lt;=0,", no quarter split","")&amp;IF($R1952="",", no driver","")&amp;IF(AND($H1952&lt;&gt;"",COUNTIF(CareerLevels,$H1952)=0),", a career level that is not on the ladder","")&amp;IF(AND($R1952&lt;&gt;"",COUNTIF(DriverList,$R1952)=0),", a driver that is not on the list","")&amp;IF(ABS(N($L1952)-(N($M1952)+N($N1952)+N($O1952)+N($P1952)))&gt;0.001,", a total that does not match its quarters",""),3,300))</f>
        <v/>
      </c>
    </row>
    <row r="1953" customFormat="false" ht="15" hidden="false" customHeight="false" outlineLevel="0" collapsed="false">
      <c r="A1953" s="33" t="str">
        <f aca="false">IF($G1953="","","Risk Group")</f>
        <v/>
      </c>
      <c r="B1953" s="19"/>
      <c r="C1953" s="19"/>
      <c r="D1953" s="19"/>
      <c r="E1953" s="19"/>
      <c r="F1953" s="19"/>
      <c r="G1953" s="19"/>
      <c r="H1953" s="19"/>
      <c r="I1953" s="19"/>
      <c r="J1953" s="19"/>
      <c r="K1953" s="19"/>
      <c r="L1953" s="19"/>
      <c r="M1953" s="19"/>
      <c r="N1953" s="19"/>
      <c r="O1953" s="19"/>
      <c r="P1953" s="19"/>
      <c r="Q1953" s="19"/>
      <c r="R1953" s="19"/>
      <c r="S1953" s="19"/>
      <c r="T1953" s="34" t="str">
        <f aca="false">IF($R1953="","",IFERROR(INDEX(DriverCategory,MATCH($R1953,DriverList,0)),"BAU"))</f>
        <v/>
      </c>
      <c r="U1953" s="34" t="str">
        <f aca="false">IF($R1953="","",IFERROR(INDEX(DriverRank,MATCH($R1953,DriverList,0)),99))</f>
        <v/>
      </c>
      <c r="V1953" s="35" t="n">
        <f aca="false">IF($H1953="",0,IFERROR(INDEX(LevelBasic,MATCH($H1953,LevelList,0))+INDEX(LevelHousing,MATCH($H1953,LevelList,0))+INDEX(LevelTransport,MATCH($H1953,LevelList,0))+INDEX(LevelBasic,MATCH($H1953,LevelList,0))*INDEX(LevelBonus,MATCH($H1953,LevelList,0))+(INDEX(LevelBasic,MATCH($H1953,LevelList,0))+INDEX(LevelHousing,MATCH($H1953,LevelList,0)))*GosiSaudi,0))</f>
        <v>0</v>
      </c>
      <c r="W1953" s="35" t="n">
        <f aca="false">IFERROR(INDEX(LevelOneOff,MATCH($H1953,LevelList,0)),0)</f>
        <v>0</v>
      </c>
      <c r="X1953" s="35" t="str">
        <f aca="false">IF($G1953="","",$V1953*N($L1953))</f>
        <v/>
      </c>
      <c r="Y1953" s="35" t="str">
        <f aca="false">IF($G1953="","",$V1953*(N($M1953)*1+N($N1953)*0.75+N($O1953)*0.5+N($P1953)*0.25)+$W1953*N($L1953))</f>
        <v/>
      </c>
      <c r="Z1953" s="35" t="str">
        <f aca="false">IF($G1953="","",$U1953*1000000+ROW())</f>
        <v/>
      </c>
      <c r="AA1953" s="36" t="str">
        <f aca="false">IF($G1953="","",MID(IF($C1953="",", no division","")&amp;IF($E1953="",", no unit","")&amp;IF($H1953="",", no career level","")&amp;IF(N($L1953)&lt;=0,", no quarter split","")&amp;IF($R1953="",", no driver","")&amp;IF(AND($H1953&lt;&gt;"",COUNTIF(CareerLevels,$H1953)=0),", a career level that is not on the ladder","")&amp;IF(AND($R1953&lt;&gt;"",COUNTIF(DriverList,$R1953)=0),", a driver that is not on the list","")&amp;IF(ABS(N($L1953)-(N($M1953)+N($N1953)+N($O1953)+N($P1953)))&gt;0.001,", a total that does not match its quarters",""),3,300))</f>
        <v/>
      </c>
    </row>
    <row r="1954" customFormat="false" ht="15" hidden="false" customHeight="false" outlineLevel="0" collapsed="false">
      <c r="A1954" s="33" t="str">
        <f aca="false">IF($G1954="","","Risk Group")</f>
        <v/>
      </c>
      <c r="B1954" s="19"/>
      <c r="C1954" s="19"/>
      <c r="D1954" s="19"/>
      <c r="E1954" s="19"/>
      <c r="F1954" s="19"/>
      <c r="G1954" s="19"/>
      <c r="H1954" s="19"/>
      <c r="I1954" s="19"/>
      <c r="J1954" s="19"/>
      <c r="K1954" s="19"/>
      <c r="L1954" s="19"/>
      <c r="M1954" s="19"/>
      <c r="N1954" s="19"/>
      <c r="O1954" s="19"/>
      <c r="P1954" s="19"/>
      <c r="Q1954" s="19"/>
      <c r="R1954" s="19"/>
      <c r="S1954" s="19"/>
      <c r="T1954" s="34" t="str">
        <f aca="false">IF($R1954="","",IFERROR(INDEX(DriverCategory,MATCH($R1954,DriverList,0)),"BAU"))</f>
        <v/>
      </c>
      <c r="U1954" s="34" t="str">
        <f aca="false">IF($R1954="","",IFERROR(INDEX(DriverRank,MATCH($R1954,DriverList,0)),99))</f>
        <v/>
      </c>
      <c r="V1954" s="35" t="n">
        <f aca="false">IF($H1954="",0,IFERROR(INDEX(LevelBasic,MATCH($H1954,LevelList,0))+INDEX(LevelHousing,MATCH($H1954,LevelList,0))+INDEX(LevelTransport,MATCH($H1954,LevelList,0))+INDEX(LevelBasic,MATCH($H1954,LevelList,0))*INDEX(LevelBonus,MATCH($H1954,LevelList,0))+(INDEX(LevelBasic,MATCH($H1954,LevelList,0))+INDEX(LevelHousing,MATCH($H1954,LevelList,0)))*GosiSaudi,0))</f>
        <v>0</v>
      </c>
      <c r="W1954" s="35" t="n">
        <f aca="false">IFERROR(INDEX(LevelOneOff,MATCH($H1954,LevelList,0)),0)</f>
        <v>0</v>
      </c>
      <c r="X1954" s="35" t="str">
        <f aca="false">IF($G1954="","",$V1954*N($L1954))</f>
        <v/>
      </c>
      <c r="Y1954" s="35" t="str">
        <f aca="false">IF($G1954="","",$V1954*(N($M1954)*1+N($N1954)*0.75+N($O1954)*0.5+N($P1954)*0.25)+$W1954*N($L1954))</f>
        <v/>
      </c>
      <c r="Z1954" s="35" t="str">
        <f aca="false">IF($G1954="","",$U1954*1000000+ROW())</f>
        <v/>
      </c>
      <c r="AA1954" s="36" t="str">
        <f aca="false">IF($G1954="","",MID(IF($C1954="",", no division","")&amp;IF($E1954="",", no unit","")&amp;IF($H1954="",", no career level","")&amp;IF(N($L1954)&lt;=0,", no quarter split","")&amp;IF($R1954="",", no driver","")&amp;IF(AND($H1954&lt;&gt;"",COUNTIF(CareerLevels,$H1954)=0),", a career level that is not on the ladder","")&amp;IF(AND($R1954&lt;&gt;"",COUNTIF(DriverList,$R1954)=0),", a driver that is not on the list","")&amp;IF(ABS(N($L1954)-(N($M1954)+N($N1954)+N($O1954)+N($P1954)))&gt;0.001,", a total that does not match its quarters",""),3,300))</f>
        <v/>
      </c>
    </row>
    <row r="1955" customFormat="false" ht="15" hidden="false" customHeight="false" outlineLevel="0" collapsed="false">
      <c r="A1955" s="33" t="str">
        <f aca="false">IF($G1955="","","Risk Group")</f>
        <v/>
      </c>
      <c r="B1955" s="19"/>
      <c r="C1955" s="19"/>
      <c r="D1955" s="19"/>
      <c r="E1955" s="19"/>
      <c r="F1955" s="19"/>
      <c r="G1955" s="19"/>
      <c r="H1955" s="19"/>
      <c r="I1955" s="19"/>
      <c r="J1955" s="19"/>
      <c r="K1955" s="19"/>
      <c r="L1955" s="19"/>
      <c r="M1955" s="19"/>
      <c r="N1955" s="19"/>
      <c r="O1955" s="19"/>
      <c r="P1955" s="19"/>
      <c r="Q1955" s="19"/>
      <c r="R1955" s="19"/>
      <c r="S1955" s="19"/>
      <c r="T1955" s="34" t="str">
        <f aca="false">IF($R1955="","",IFERROR(INDEX(DriverCategory,MATCH($R1955,DriverList,0)),"BAU"))</f>
        <v/>
      </c>
      <c r="U1955" s="34" t="str">
        <f aca="false">IF($R1955="","",IFERROR(INDEX(DriverRank,MATCH($R1955,DriverList,0)),99))</f>
        <v/>
      </c>
      <c r="V1955" s="35" t="n">
        <f aca="false">IF($H1955="",0,IFERROR(INDEX(LevelBasic,MATCH($H1955,LevelList,0))+INDEX(LevelHousing,MATCH($H1955,LevelList,0))+INDEX(LevelTransport,MATCH($H1955,LevelList,0))+INDEX(LevelBasic,MATCH($H1955,LevelList,0))*INDEX(LevelBonus,MATCH($H1955,LevelList,0))+(INDEX(LevelBasic,MATCH($H1955,LevelList,0))+INDEX(LevelHousing,MATCH($H1955,LevelList,0)))*GosiSaudi,0))</f>
        <v>0</v>
      </c>
      <c r="W1955" s="35" t="n">
        <f aca="false">IFERROR(INDEX(LevelOneOff,MATCH($H1955,LevelList,0)),0)</f>
        <v>0</v>
      </c>
      <c r="X1955" s="35" t="str">
        <f aca="false">IF($G1955="","",$V1955*N($L1955))</f>
        <v/>
      </c>
      <c r="Y1955" s="35" t="str">
        <f aca="false">IF($G1955="","",$V1955*(N($M1955)*1+N($N1955)*0.75+N($O1955)*0.5+N($P1955)*0.25)+$W1955*N($L1955))</f>
        <v/>
      </c>
      <c r="Z1955" s="35" t="str">
        <f aca="false">IF($G1955="","",$U1955*1000000+ROW())</f>
        <v/>
      </c>
      <c r="AA1955" s="36" t="str">
        <f aca="false">IF($G1955="","",MID(IF($C1955="",", no division","")&amp;IF($E1955="",", no unit","")&amp;IF($H1955="",", no career level","")&amp;IF(N($L1955)&lt;=0,", no quarter split","")&amp;IF($R1955="",", no driver","")&amp;IF(AND($H1955&lt;&gt;"",COUNTIF(CareerLevels,$H1955)=0),", a career level that is not on the ladder","")&amp;IF(AND($R1955&lt;&gt;"",COUNTIF(DriverList,$R1955)=0),", a driver that is not on the list","")&amp;IF(ABS(N($L1955)-(N($M1955)+N($N1955)+N($O1955)+N($P1955)))&gt;0.001,", a total that does not match its quarters",""),3,300))</f>
        <v/>
      </c>
    </row>
    <row r="1956" customFormat="false" ht="15" hidden="false" customHeight="false" outlineLevel="0" collapsed="false">
      <c r="A1956" s="33" t="str">
        <f aca="false">IF($G1956="","","Risk Group")</f>
        <v/>
      </c>
      <c r="B1956" s="19"/>
      <c r="C1956" s="19"/>
      <c r="D1956" s="19"/>
      <c r="E1956" s="19"/>
      <c r="F1956" s="19"/>
      <c r="G1956" s="19"/>
      <c r="H1956" s="19"/>
      <c r="I1956" s="19"/>
      <c r="J1956" s="19"/>
      <c r="K1956" s="19"/>
      <c r="L1956" s="19"/>
      <c r="M1956" s="19"/>
      <c r="N1956" s="19"/>
      <c r="O1956" s="19"/>
      <c r="P1956" s="19"/>
      <c r="Q1956" s="19"/>
      <c r="R1956" s="19"/>
      <c r="S1956" s="19"/>
      <c r="T1956" s="34" t="str">
        <f aca="false">IF($R1956="","",IFERROR(INDEX(DriverCategory,MATCH($R1956,DriverList,0)),"BAU"))</f>
        <v/>
      </c>
      <c r="U1956" s="34" t="str">
        <f aca="false">IF($R1956="","",IFERROR(INDEX(DriverRank,MATCH($R1956,DriverList,0)),99))</f>
        <v/>
      </c>
      <c r="V1956" s="35" t="n">
        <f aca="false">IF($H1956="",0,IFERROR(INDEX(LevelBasic,MATCH($H1956,LevelList,0))+INDEX(LevelHousing,MATCH($H1956,LevelList,0))+INDEX(LevelTransport,MATCH($H1956,LevelList,0))+INDEX(LevelBasic,MATCH($H1956,LevelList,0))*INDEX(LevelBonus,MATCH($H1956,LevelList,0))+(INDEX(LevelBasic,MATCH($H1956,LevelList,0))+INDEX(LevelHousing,MATCH($H1956,LevelList,0)))*GosiSaudi,0))</f>
        <v>0</v>
      </c>
      <c r="W1956" s="35" t="n">
        <f aca="false">IFERROR(INDEX(LevelOneOff,MATCH($H1956,LevelList,0)),0)</f>
        <v>0</v>
      </c>
      <c r="X1956" s="35" t="str">
        <f aca="false">IF($G1956="","",$V1956*N($L1956))</f>
        <v/>
      </c>
      <c r="Y1956" s="35" t="str">
        <f aca="false">IF($G1956="","",$V1956*(N($M1956)*1+N($N1956)*0.75+N($O1956)*0.5+N($P1956)*0.25)+$W1956*N($L1956))</f>
        <v/>
      </c>
      <c r="Z1956" s="35" t="str">
        <f aca="false">IF($G1956="","",$U1956*1000000+ROW())</f>
        <v/>
      </c>
      <c r="AA1956" s="36" t="str">
        <f aca="false">IF($G1956="","",MID(IF($C1956="",", no division","")&amp;IF($E1956="",", no unit","")&amp;IF($H1956="",", no career level","")&amp;IF(N($L1956)&lt;=0,", no quarter split","")&amp;IF($R1956="",", no driver","")&amp;IF(AND($H1956&lt;&gt;"",COUNTIF(CareerLevels,$H1956)=0),", a career level that is not on the ladder","")&amp;IF(AND($R1956&lt;&gt;"",COUNTIF(DriverList,$R1956)=0),", a driver that is not on the list","")&amp;IF(ABS(N($L1956)-(N($M1956)+N($N1956)+N($O1956)+N($P1956)))&gt;0.001,", a total that does not match its quarters",""),3,300))</f>
        <v/>
      </c>
    </row>
    <row r="1957" customFormat="false" ht="15" hidden="false" customHeight="false" outlineLevel="0" collapsed="false">
      <c r="A1957" s="33" t="str">
        <f aca="false">IF($G1957="","","Risk Group")</f>
        <v/>
      </c>
      <c r="B1957" s="19"/>
      <c r="C1957" s="19"/>
      <c r="D1957" s="19"/>
      <c r="E1957" s="19"/>
      <c r="F1957" s="19"/>
      <c r="G1957" s="19"/>
      <c r="H1957" s="19"/>
      <c r="I1957" s="19"/>
      <c r="J1957" s="19"/>
      <c r="K1957" s="19"/>
      <c r="L1957" s="19"/>
      <c r="M1957" s="19"/>
      <c r="N1957" s="19"/>
      <c r="O1957" s="19"/>
      <c r="P1957" s="19"/>
      <c r="Q1957" s="19"/>
      <c r="R1957" s="19"/>
      <c r="S1957" s="19"/>
      <c r="T1957" s="34" t="str">
        <f aca="false">IF($R1957="","",IFERROR(INDEX(DriverCategory,MATCH($R1957,DriverList,0)),"BAU"))</f>
        <v/>
      </c>
      <c r="U1957" s="34" t="str">
        <f aca="false">IF($R1957="","",IFERROR(INDEX(DriverRank,MATCH($R1957,DriverList,0)),99))</f>
        <v/>
      </c>
      <c r="V1957" s="35" t="n">
        <f aca="false">IF($H1957="",0,IFERROR(INDEX(LevelBasic,MATCH($H1957,LevelList,0))+INDEX(LevelHousing,MATCH($H1957,LevelList,0))+INDEX(LevelTransport,MATCH($H1957,LevelList,0))+INDEX(LevelBasic,MATCH($H1957,LevelList,0))*INDEX(LevelBonus,MATCH($H1957,LevelList,0))+(INDEX(LevelBasic,MATCH($H1957,LevelList,0))+INDEX(LevelHousing,MATCH($H1957,LevelList,0)))*GosiSaudi,0))</f>
        <v>0</v>
      </c>
      <c r="W1957" s="35" t="n">
        <f aca="false">IFERROR(INDEX(LevelOneOff,MATCH($H1957,LevelList,0)),0)</f>
        <v>0</v>
      </c>
      <c r="X1957" s="35" t="str">
        <f aca="false">IF($G1957="","",$V1957*N($L1957))</f>
        <v/>
      </c>
      <c r="Y1957" s="35" t="str">
        <f aca="false">IF($G1957="","",$V1957*(N($M1957)*1+N($N1957)*0.75+N($O1957)*0.5+N($P1957)*0.25)+$W1957*N($L1957))</f>
        <v/>
      </c>
      <c r="Z1957" s="35" t="str">
        <f aca="false">IF($G1957="","",$U1957*1000000+ROW())</f>
        <v/>
      </c>
      <c r="AA1957" s="36" t="str">
        <f aca="false">IF($G1957="","",MID(IF($C1957="",", no division","")&amp;IF($E1957="",", no unit","")&amp;IF($H1957="",", no career level","")&amp;IF(N($L1957)&lt;=0,", no quarter split","")&amp;IF($R1957="",", no driver","")&amp;IF(AND($H1957&lt;&gt;"",COUNTIF(CareerLevels,$H1957)=0),", a career level that is not on the ladder","")&amp;IF(AND($R1957&lt;&gt;"",COUNTIF(DriverList,$R1957)=0),", a driver that is not on the list","")&amp;IF(ABS(N($L1957)-(N($M1957)+N($N1957)+N($O1957)+N($P1957)))&gt;0.001,", a total that does not match its quarters",""),3,300))</f>
        <v/>
      </c>
    </row>
    <row r="1958" customFormat="false" ht="15" hidden="false" customHeight="false" outlineLevel="0" collapsed="false">
      <c r="A1958" s="33" t="str">
        <f aca="false">IF($G1958="","","Risk Group")</f>
        <v/>
      </c>
      <c r="B1958" s="19"/>
      <c r="C1958" s="19"/>
      <c r="D1958" s="19"/>
      <c r="E1958" s="19"/>
      <c r="F1958" s="19"/>
      <c r="G1958" s="19"/>
      <c r="H1958" s="19"/>
      <c r="I1958" s="19"/>
      <c r="J1958" s="19"/>
      <c r="K1958" s="19"/>
      <c r="L1958" s="19"/>
      <c r="M1958" s="19"/>
      <c r="N1958" s="19"/>
      <c r="O1958" s="19"/>
      <c r="P1958" s="19"/>
      <c r="Q1958" s="19"/>
      <c r="R1958" s="19"/>
      <c r="S1958" s="19"/>
      <c r="T1958" s="34" t="str">
        <f aca="false">IF($R1958="","",IFERROR(INDEX(DriverCategory,MATCH($R1958,DriverList,0)),"BAU"))</f>
        <v/>
      </c>
      <c r="U1958" s="34" t="str">
        <f aca="false">IF($R1958="","",IFERROR(INDEX(DriverRank,MATCH($R1958,DriverList,0)),99))</f>
        <v/>
      </c>
      <c r="V1958" s="35" t="n">
        <f aca="false">IF($H1958="",0,IFERROR(INDEX(LevelBasic,MATCH($H1958,LevelList,0))+INDEX(LevelHousing,MATCH($H1958,LevelList,0))+INDEX(LevelTransport,MATCH($H1958,LevelList,0))+INDEX(LevelBasic,MATCH($H1958,LevelList,0))*INDEX(LevelBonus,MATCH($H1958,LevelList,0))+(INDEX(LevelBasic,MATCH($H1958,LevelList,0))+INDEX(LevelHousing,MATCH($H1958,LevelList,0)))*GosiSaudi,0))</f>
        <v>0</v>
      </c>
      <c r="W1958" s="35" t="n">
        <f aca="false">IFERROR(INDEX(LevelOneOff,MATCH($H1958,LevelList,0)),0)</f>
        <v>0</v>
      </c>
      <c r="X1958" s="35" t="str">
        <f aca="false">IF($G1958="","",$V1958*N($L1958))</f>
        <v/>
      </c>
      <c r="Y1958" s="35" t="str">
        <f aca="false">IF($G1958="","",$V1958*(N($M1958)*1+N($N1958)*0.75+N($O1958)*0.5+N($P1958)*0.25)+$W1958*N($L1958))</f>
        <v/>
      </c>
      <c r="Z1958" s="35" t="str">
        <f aca="false">IF($G1958="","",$U1958*1000000+ROW())</f>
        <v/>
      </c>
      <c r="AA1958" s="36" t="str">
        <f aca="false">IF($G1958="","",MID(IF($C1958="",", no division","")&amp;IF($E1958="",", no unit","")&amp;IF($H1958="",", no career level","")&amp;IF(N($L1958)&lt;=0,", no quarter split","")&amp;IF($R1958="",", no driver","")&amp;IF(AND($H1958&lt;&gt;"",COUNTIF(CareerLevels,$H1958)=0),", a career level that is not on the ladder","")&amp;IF(AND($R1958&lt;&gt;"",COUNTIF(DriverList,$R1958)=0),", a driver that is not on the list","")&amp;IF(ABS(N($L1958)-(N($M1958)+N($N1958)+N($O1958)+N($P1958)))&gt;0.001,", a total that does not match its quarters",""),3,300))</f>
        <v/>
      </c>
    </row>
    <row r="1959" customFormat="false" ht="15" hidden="false" customHeight="false" outlineLevel="0" collapsed="false">
      <c r="A1959" s="33" t="str">
        <f aca="false">IF($G1959="","","Risk Group")</f>
        <v/>
      </c>
      <c r="B1959" s="19"/>
      <c r="C1959" s="19"/>
      <c r="D1959" s="19"/>
      <c r="E1959" s="19"/>
      <c r="F1959" s="19"/>
      <c r="G1959" s="19"/>
      <c r="H1959" s="19"/>
      <c r="I1959" s="19"/>
      <c r="J1959" s="19"/>
      <c r="K1959" s="19"/>
      <c r="L1959" s="19"/>
      <c r="M1959" s="19"/>
      <c r="N1959" s="19"/>
      <c r="O1959" s="19"/>
      <c r="P1959" s="19"/>
      <c r="Q1959" s="19"/>
      <c r="R1959" s="19"/>
      <c r="S1959" s="19"/>
      <c r="T1959" s="34" t="str">
        <f aca="false">IF($R1959="","",IFERROR(INDEX(DriverCategory,MATCH($R1959,DriverList,0)),"BAU"))</f>
        <v/>
      </c>
      <c r="U1959" s="34" t="str">
        <f aca="false">IF($R1959="","",IFERROR(INDEX(DriverRank,MATCH($R1959,DriverList,0)),99))</f>
        <v/>
      </c>
      <c r="V1959" s="35" t="n">
        <f aca="false">IF($H1959="",0,IFERROR(INDEX(LevelBasic,MATCH($H1959,LevelList,0))+INDEX(LevelHousing,MATCH($H1959,LevelList,0))+INDEX(LevelTransport,MATCH($H1959,LevelList,0))+INDEX(LevelBasic,MATCH($H1959,LevelList,0))*INDEX(LevelBonus,MATCH($H1959,LevelList,0))+(INDEX(LevelBasic,MATCH($H1959,LevelList,0))+INDEX(LevelHousing,MATCH($H1959,LevelList,0)))*GosiSaudi,0))</f>
        <v>0</v>
      </c>
      <c r="W1959" s="35" t="n">
        <f aca="false">IFERROR(INDEX(LevelOneOff,MATCH($H1959,LevelList,0)),0)</f>
        <v>0</v>
      </c>
      <c r="X1959" s="35" t="str">
        <f aca="false">IF($G1959="","",$V1959*N($L1959))</f>
        <v/>
      </c>
      <c r="Y1959" s="35" t="str">
        <f aca="false">IF($G1959="","",$V1959*(N($M1959)*1+N($N1959)*0.75+N($O1959)*0.5+N($P1959)*0.25)+$W1959*N($L1959))</f>
        <v/>
      </c>
      <c r="Z1959" s="35" t="str">
        <f aca="false">IF($G1959="","",$U1959*1000000+ROW())</f>
        <v/>
      </c>
      <c r="AA1959" s="36" t="str">
        <f aca="false">IF($G1959="","",MID(IF($C1959="",", no division","")&amp;IF($E1959="",", no unit","")&amp;IF($H1959="",", no career level","")&amp;IF(N($L1959)&lt;=0,", no quarter split","")&amp;IF($R1959="",", no driver","")&amp;IF(AND($H1959&lt;&gt;"",COUNTIF(CareerLevels,$H1959)=0),", a career level that is not on the ladder","")&amp;IF(AND($R1959&lt;&gt;"",COUNTIF(DriverList,$R1959)=0),", a driver that is not on the list","")&amp;IF(ABS(N($L1959)-(N($M1959)+N($N1959)+N($O1959)+N($P1959)))&gt;0.001,", a total that does not match its quarters",""),3,300))</f>
        <v/>
      </c>
    </row>
    <row r="1960" customFormat="false" ht="15" hidden="false" customHeight="false" outlineLevel="0" collapsed="false">
      <c r="A1960" s="33" t="str">
        <f aca="false">IF($G1960="","","Risk Group")</f>
        <v/>
      </c>
      <c r="B1960" s="19"/>
      <c r="C1960" s="19"/>
      <c r="D1960" s="19"/>
      <c r="E1960" s="19"/>
      <c r="F1960" s="19"/>
      <c r="G1960" s="19"/>
      <c r="H1960" s="19"/>
      <c r="I1960" s="19"/>
      <c r="J1960" s="19"/>
      <c r="K1960" s="19"/>
      <c r="L1960" s="19"/>
      <c r="M1960" s="19"/>
      <c r="N1960" s="19"/>
      <c r="O1960" s="19"/>
      <c r="P1960" s="19"/>
      <c r="Q1960" s="19"/>
      <c r="R1960" s="19"/>
      <c r="S1960" s="19"/>
      <c r="T1960" s="34" t="str">
        <f aca="false">IF($R1960="","",IFERROR(INDEX(DriverCategory,MATCH($R1960,DriverList,0)),"BAU"))</f>
        <v/>
      </c>
      <c r="U1960" s="34" t="str">
        <f aca="false">IF($R1960="","",IFERROR(INDEX(DriverRank,MATCH($R1960,DriverList,0)),99))</f>
        <v/>
      </c>
      <c r="V1960" s="35" t="n">
        <f aca="false">IF($H1960="",0,IFERROR(INDEX(LevelBasic,MATCH($H1960,LevelList,0))+INDEX(LevelHousing,MATCH($H1960,LevelList,0))+INDEX(LevelTransport,MATCH($H1960,LevelList,0))+INDEX(LevelBasic,MATCH($H1960,LevelList,0))*INDEX(LevelBonus,MATCH($H1960,LevelList,0))+(INDEX(LevelBasic,MATCH($H1960,LevelList,0))+INDEX(LevelHousing,MATCH($H1960,LevelList,0)))*GosiSaudi,0))</f>
        <v>0</v>
      </c>
      <c r="W1960" s="35" t="n">
        <f aca="false">IFERROR(INDEX(LevelOneOff,MATCH($H1960,LevelList,0)),0)</f>
        <v>0</v>
      </c>
      <c r="X1960" s="35" t="str">
        <f aca="false">IF($G1960="","",$V1960*N($L1960))</f>
        <v/>
      </c>
      <c r="Y1960" s="35" t="str">
        <f aca="false">IF($G1960="","",$V1960*(N($M1960)*1+N($N1960)*0.75+N($O1960)*0.5+N($P1960)*0.25)+$W1960*N($L1960))</f>
        <v/>
      </c>
      <c r="Z1960" s="35" t="str">
        <f aca="false">IF($G1960="","",$U1960*1000000+ROW())</f>
        <v/>
      </c>
      <c r="AA1960" s="36" t="str">
        <f aca="false">IF($G1960="","",MID(IF($C1960="",", no division","")&amp;IF($E1960="",", no unit","")&amp;IF($H1960="",", no career level","")&amp;IF(N($L1960)&lt;=0,", no quarter split","")&amp;IF($R1960="",", no driver","")&amp;IF(AND($H1960&lt;&gt;"",COUNTIF(CareerLevels,$H1960)=0),", a career level that is not on the ladder","")&amp;IF(AND($R1960&lt;&gt;"",COUNTIF(DriverList,$R1960)=0),", a driver that is not on the list","")&amp;IF(ABS(N($L1960)-(N($M1960)+N($N1960)+N($O1960)+N($P1960)))&gt;0.001,", a total that does not match its quarters",""),3,300))</f>
        <v/>
      </c>
    </row>
    <row r="1961" customFormat="false" ht="15" hidden="false" customHeight="false" outlineLevel="0" collapsed="false">
      <c r="A1961" s="33" t="str">
        <f aca="false">IF($G1961="","","Risk Group")</f>
        <v/>
      </c>
      <c r="B1961" s="19"/>
      <c r="C1961" s="19"/>
      <c r="D1961" s="19"/>
      <c r="E1961" s="19"/>
      <c r="F1961" s="19"/>
      <c r="G1961" s="19"/>
      <c r="H1961" s="19"/>
      <c r="I1961" s="19"/>
      <c r="J1961" s="19"/>
      <c r="K1961" s="19"/>
      <c r="L1961" s="19"/>
      <c r="M1961" s="19"/>
      <c r="N1961" s="19"/>
      <c r="O1961" s="19"/>
      <c r="P1961" s="19"/>
      <c r="Q1961" s="19"/>
      <c r="R1961" s="19"/>
      <c r="S1961" s="19"/>
      <c r="T1961" s="34" t="str">
        <f aca="false">IF($R1961="","",IFERROR(INDEX(DriverCategory,MATCH($R1961,DriverList,0)),"BAU"))</f>
        <v/>
      </c>
      <c r="U1961" s="34" t="str">
        <f aca="false">IF($R1961="","",IFERROR(INDEX(DriverRank,MATCH($R1961,DriverList,0)),99))</f>
        <v/>
      </c>
      <c r="V1961" s="35" t="n">
        <f aca="false">IF($H1961="",0,IFERROR(INDEX(LevelBasic,MATCH($H1961,LevelList,0))+INDEX(LevelHousing,MATCH($H1961,LevelList,0))+INDEX(LevelTransport,MATCH($H1961,LevelList,0))+INDEX(LevelBasic,MATCH($H1961,LevelList,0))*INDEX(LevelBonus,MATCH($H1961,LevelList,0))+(INDEX(LevelBasic,MATCH($H1961,LevelList,0))+INDEX(LevelHousing,MATCH($H1961,LevelList,0)))*GosiSaudi,0))</f>
        <v>0</v>
      </c>
      <c r="W1961" s="35" t="n">
        <f aca="false">IFERROR(INDEX(LevelOneOff,MATCH($H1961,LevelList,0)),0)</f>
        <v>0</v>
      </c>
      <c r="X1961" s="35" t="str">
        <f aca="false">IF($G1961="","",$V1961*N($L1961))</f>
        <v/>
      </c>
      <c r="Y1961" s="35" t="str">
        <f aca="false">IF($G1961="","",$V1961*(N($M1961)*1+N($N1961)*0.75+N($O1961)*0.5+N($P1961)*0.25)+$W1961*N($L1961))</f>
        <v/>
      </c>
      <c r="Z1961" s="35" t="str">
        <f aca="false">IF($G1961="","",$U1961*1000000+ROW())</f>
        <v/>
      </c>
      <c r="AA1961" s="36" t="str">
        <f aca="false">IF($G1961="","",MID(IF($C1961="",", no division","")&amp;IF($E1961="",", no unit","")&amp;IF($H1961="",", no career level","")&amp;IF(N($L1961)&lt;=0,", no quarter split","")&amp;IF($R1961="",", no driver","")&amp;IF(AND($H1961&lt;&gt;"",COUNTIF(CareerLevels,$H1961)=0),", a career level that is not on the ladder","")&amp;IF(AND($R1961&lt;&gt;"",COUNTIF(DriverList,$R1961)=0),", a driver that is not on the list","")&amp;IF(ABS(N($L1961)-(N($M1961)+N($N1961)+N($O1961)+N($P1961)))&gt;0.001,", a total that does not match its quarters",""),3,300))</f>
        <v/>
      </c>
    </row>
    <row r="1962" customFormat="false" ht="15" hidden="false" customHeight="false" outlineLevel="0" collapsed="false">
      <c r="A1962" s="33" t="str">
        <f aca="false">IF($G1962="","","Risk Group")</f>
        <v/>
      </c>
      <c r="B1962" s="19"/>
      <c r="C1962" s="19"/>
      <c r="D1962" s="19"/>
      <c r="E1962" s="19"/>
      <c r="F1962" s="19"/>
      <c r="G1962" s="19"/>
      <c r="H1962" s="19"/>
      <c r="I1962" s="19"/>
      <c r="J1962" s="19"/>
      <c r="K1962" s="19"/>
      <c r="L1962" s="19"/>
      <c r="M1962" s="19"/>
      <c r="N1962" s="19"/>
      <c r="O1962" s="19"/>
      <c r="P1962" s="19"/>
      <c r="Q1962" s="19"/>
      <c r="R1962" s="19"/>
      <c r="S1962" s="19"/>
      <c r="T1962" s="34" t="str">
        <f aca="false">IF($R1962="","",IFERROR(INDEX(DriverCategory,MATCH($R1962,DriverList,0)),"BAU"))</f>
        <v/>
      </c>
      <c r="U1962" s="34" t="str">
        <f aca="false">IF($R1962="","",IFERROR(INDEX(DriverRank,MATCH($R1962,DriverList,0)),99))</f>
        <v/>
      </c>
      <c r="V1962" s="35" t="n">
        <f aca="false">IF($H1962="",0,IFERROR(INDEX(LevelBasic,MATCH($H1962,LevelList,0))+INDEX(LevelHousing,MATCH($H1962,LevelList,0))+INDEX(LevelTransport,MATCH($H1962,LevelList,0))+INDEX(LevelBasic,MATCH($H1962,LevelList,0))*INDEX(LevelBonus,MATCH($H1962,LevelList,0))+(INDEX(LevelBasic,MATCH($H1962,LevelList,0))+INDEX(LevelHousing,MATCH($H1962,LevelList,0)))*GosiSaudi,0))</f>
        <v>0</v>
      </c>
      <c r="W1962" s="35" t="n">
        <f aca="false">IFERROR(INDEX(LevelOneOff,MATCH($H1962,LevelList,0)),0)</f>
        <v>0</v>
      </c>
      <c r="X1962" s="35" t="str">
        <f aca="false">IF($G1962="","",$V1962*N($L1962))</f>
        <v/>
      </c>
      <c r="Y1962" s="35" t="str">
        <f aca="false">IF($G1962="","",$V1962*(N($M1962)*1+N($N1962)*0.75+N($O1962)*0.5+N($P1962)*0.25)+$W1962*N($L1962))</f>
        <v/>
      </c>
      <c r="Z1962" s="35" t="str">
        <f aca="false">IF($G1962="","",$U1962*1000000+ROW())</f>
        <v/>
      </c>
      <c r="AA1962" s="36" t="str">
        <f aca="false">IF($G1962="","",MID(IF($C1962="",", no division","")&amp;IF($E1962="",", no unit","")&amp;IF($H1962="",", no career level","")&amp;IF(N($L1962)&lt;=0,", no quarter split","")&amp;IF($R1962="",", no driver","")&amp;IF(AND($H1962&lt;&gt;"",COUNTIF(CareerLevels,$H1962)=0),", a career level that is not on the ladder","")&amp;IF(AND($R1962&lt;&gt;"",COUNTIF(DriverList,$R1962)=0),", a driver that is not on the list","")&amp;IF(ABS(N($L1962)-(N($M1962)+N($N1962)+N($O1962)+N($P1962)))&gt;0.001,", a total that does not match its quarters",""),3,300))</f>
        <v/>
      </c>
    </row>
    <row r="1963" customFormat="false" ht="15" hidden="false" customHeight="false" outlineLevel="0" collapsed="false">
      <c r="A1963" s="33" t="str">
        <f aca="false">IF($G1963="","","Risk Group")</f>
        <v/>
      </c>
      <c r="B1963" s="19"/>
      <c r="C1963" s="19"/>
      <c r="D1963" s="19"/>
      <c r="E1963" s="19"/>
      <c r="F1963" s="19"/>
      <c r="G1963" s="19"/>
      <c r="H1963" s="19"/>
      <c r="I1963" s="19"/>
      <c r="J1963" s="19"/>
      <c r="K1963" s="19"/>
      <c r="L1963" s="19"/>
      <c r="M1963" s="19"/>
      <c r="N1963" s="19"/>
      <c r="O1963" s="19"/>
      <c r="P1963" s="19"/>
      <c r="Q1963" s="19"/>
      <c r="R1963" s="19"/>
      <c r="S1963" s="19"/>
      <c r="T1963" s="34" t="str">
        <f aca="false">IF($R1963="","",IFERROR(INDEX(DriverCategory,MATCH($R1963,DriverList,0)),"BAU"))</f>
        <v/>
      </c>
      <c r="U1963" s="34" t="str">
        <f aca="false">IF($R1963="","",IFERROR(INDEX(DriverRank,MATCH($R1963,DriverList,0)),99))</f>
        <v/>
      </c>
      <c r="V1963" s="35" t="n">
        <f aca="false">IF($H1963="",0,IFERROR(INDEX(LevelBasic,MATCH($H1963,LevelList,0))+INDEX(LevelHousing,MATCH($H1963,LevelList,0))+INDEX(LevelTransport,MATCH($H1963,LevelList,0))+INDEX(LevelBasic,MATCH($H1963,LevelList,0))*INDEX(LevelBonus,MATCH($H1963,LevelList,0))+(INDEX(LevelBasic,MATCH($H1963,LevelList,0))+INDEX(LevelHousing,MATCH($H1963,LevelList,0)))*GosiSaudi,0))</f>
        <v>0</v>
      </c>
      <c r="W1963" s="35" t="n">
        <f aca="false">IFERROR(INDEX(LevelOneOff,MATCH($H1963,LevelList,0)),0)</f>
        <v>0</v>
      </c>
      <c r="X1963" s="35" t="str">
        <f aca="false">IF($G1963="","",$V1963*N($L1963))</f>
        <v/>
      </c>
      <c r="Y1963" s="35" t="str">
        <f aca="false">IF($G1963="","",$V1963*(N($M1963)*1+N($N1963)*0.75+N($O1963)*0.5+N($P1963)*0.25)+$W1963*N($L1963))</f>
        <v/>
      </c>
      <c r="Z1963" s="35" t="str">
        <f aca="false">IF($G1963="","",$U1963*1000000+ROW())</f>
        <v/>
      </c>
      <c r="AA1963" s="36" t="str">
        <f aca="false">IF($G1963="","",MID(IF($C1963="",", no division","")&amp;IF($E1963="",", no unit","")&amp;IF($H1963="",", no career level","")&amp;IF(N($L1963)&lt;=0,", no quarter split","")&amp;IF($R1963="",", no driver","")&amp;IF(AND($H1963&lt;&gt;"",COUNTIF(CareerLevels,$H1963)=0),", a career level that is not on the ladder","")&amp;IF(AND($R1963&lt;&gt;"",COUNTIF(DriverList,$R1963)=0),", a driver that is not on the list","")&amp;IF(ABS(N($L1963)-(N($M1963)+N($N1963)+N($O1963)+N($P1963)))&gt;0.001,", a total that does not match its quarters",""),3,300))</f>
        <v/>
      </c>
    </row>
    <row r="1964" customFormat="false" ht="15" hidden="false" customHeight="false" outlineLevel="0" collapsed="false">
      <c r="A1964" s="33" t="str">
        <f aca="false">IF($G1964="","","Risk Group")</f>
        <v/>
      </c>
      <c r="B1964" s="19"/>
      <c r="C1964" s="19"/>
      <c r="D1964" s="19"/>
      <c r="E1964" s="19"/>
      <c r="F1964" s="19"/>
      <c r="G1964" s="19"/>
      <c r="H1964" s="19"/>
      <c r="I1964" s="19"/>
      <c r="J1964" s="19"/>
      <c r="K1964" s="19"/>
      <c r="L1964" s="19"/>
      <c r="M1964" s="19"/>
      <c r="N1964" s="19"/>
      <c r="O1964" s="19"/>
      <c r="P1964" s="19"/>
      <c r="Q1964" s="19"/>
      <c r="R1964" s="19"/>
      <c r="S1964" s="19"/>
      <c r="T1964" s="34" t="str">
        <f aca="false">IF($R1964="","",IFERROR(INDEX(DriverCategory,MATCH($R1964,DriverList,0)),"BAU"))</f>
        <v/>
      </c>
      <c r="U1964" s="34" t="str">
        <f aca="false">IF($R1964="","",IFERROR(INDEX(DriverRank,MATCH($R1964,DriverList,0)),99))</f>
        <v/>
      </c>
      <c r="V1964" s="35" t="n">
        <f aca="false">IF($H1964="",0,IFERROR(INDEX(LevelBasic,MATCH($H1964,LevelList,0))+INDEX(LevelHousing,MATCH($H1964,LevelList,0))+INDEX(LevelTransport,MATCH($H1964,LevelList,0))+INDEX(LevelBasic,MATCH($H1964,LevelList,0))*INDEX(LevelBonus,MATCH($H1964,LevelList,0))+(INDEX(LevelBasic,MATCH($H1964,LevelList,0))+INDEX(LevelHousing,MATCH($H1964,LevelList,0)))*GosiSaudi,0))</f>
        <v>0</v>
      </c>
      <c r="W1964" s="35" t="n">
        <f aca="false">IFERROR(INDEX(LevelOneOff,MATCH($H1964,LevelList,0)),0)</f>
        <v>0</v>
      </c>
      <c r="X1964" s="35" t="str">
        <f aca="false">IF($G1964="","",$V1964*N($L1964))</f>
        <v/>
      </c>
      <c r="Y1964" s="35" t="str">
        <f aca="false">IF($G1964="","",$V1964*(N($M1964)*1+N($N1964)*0.75+N($O1964)*0.5+N($P1964)*0.25)+$W1964*N($L1964))</f>
        <v/>
      </c>
      <c r="Z1964" s="35" t="str">
        <f aca="false">IF($G1964="","",$U1964*1000000+ROW())</f>
        <v/>
      </c>
      <c r="AA1964" s="36" t="str">
        <f aca="false">IF($G1964="","",MID(IF($C1964="",", no division","")&amp;IF($E1964="",", no unit","")&amp;IF($H1964="",", no career level","")&amp;IF(N($L1964)&lt;=0,", no quarter split","")&amp;IF($R1964="",", no driver","")&amp;IF(AND($H1964&lt;&gt;"",COUNTIF(CareerLevels,$H1964)=0),", a career level that is not on the ladder","")&amp;IF(AND($R1964&lt;&gt;"",COUNTIF(DriverList,$R1964)=0),", a driver that is not on the list","")&amp;IF(ABS(N($L1964)-(N($M1964)+N($N1964)+N($O1964)+N($P1964)))&gt;0.001,", a total that does not match its quarters",""),3,300))</f>
        <v/>
      </c>
    </row>
    <row r="1965" customFormat="false" ht="15" hidden="false" customHeight="false" outlineLevel="0" collapsed="false">
      <c r="A1965" s="33" t="str">
        <f aca="false">IF($G1965="","","Risk Group")</f>
        <v/>
      </c>
      <c r="B1965" s="19"/>
      <c r="C1965" s="19"/>
      <c r="D1965" s="19"/>
      <c r="E1965" s="19"/>
      <c r="F1965" s="19"/>
      <c r="G1965" s="19"/>
      <c r="H1965" s="19"/>
      <c r="I1965" s="19"/>
      <c r="J1965" s="19"/>
      <c r="K1965" s="19"/>
      <c r="L1965" s="19"/>
      <c r="M1965" s="19"/>
      <c r="N1965" s="19"/>
      <c r="O1965" s="19"/>
      <c r="P1965" s="19"/>
      <c r="Q1965" s="19"/>
      <c r="R1965" s="19"/>
      <c r="S1965" s="19"/>
      <c r="T1965" s="34" t="str">
        <f aca="false">IF($R1965="","",IFERROR(INDEX(DriverCategory,MATCH($R1965,DriverList,0)),"BAU"))</f>
        <v/>
      </c>
      <c r="U1965" s="34" t="str">
        <f aca="false">IF($R1965="","",IFERROR(INDEX(DriverRank,MATCH($R1965,DriverList,0)),99))</f>
        <v/>
      </c>
      <c r="V1965" s="35" t="n">
        <f aca="false">IF($H1965="",0,IFERROR(INDEX(LevelBasic,MATCH($H1965,LevelList,0))+INDEX(LevelHousing,MATCH($H1965,LevelList,0))+INDEX(LevelTransport,MATCH($H1965,LevelList,0))+INDEX(LevelBasic,MATCH($H1965,LevelList,0))*INDEX(LevelBonus,MATCH($H1965,LevelList,0))+(INDEX(LevelBasic,MATCH($H1965,LevelList,0))+INDEX(LevelHousing,MATCH($H1965,LevelList,0)))*GosiSaudi,0))</f>
        <v>0</v>
      </c>
      <c r="W1965" s="35" t="n">
        <f aca="false">IFERROR(INDEX(LevelOneOff,MATCH($H1965,LevelList,0)),0)</f>
        <v>0</v>
      </c>
      <c r="X1965" s="35" t="str">
        <f aca="false">IF($G1965="","",$V1965*N($L1965))</f>
        <v/>
      </c>
      <c r="Y1965" s="35" t="str">
        <f aca="false">IF($G1965="","",$V1965*(N($M1965)*1+N($N1965)*0.75+N($O1965)*0.5+N($P1965)*0.25)+$W1965*N($L1965))</f>
        <v/>
      </c>
      <c r="Z1965" s="35" t="str">
        <f aca="false">IF($G1965="","",$U1965*1000000+ROW())</f>
        <v/>
      </c>
      <c r="AA1965" s="36" t="str">
        <f aca="false">IF($G1965="","",MID(IF($C1965="",", no division","")&amp;IF($E1965="",", no unit","")&amp;IF($H1965="",", no career level","")&amp;IF(N($L1965)&lt;=0,", no quarter split","")&amp;IF($R1965="",", no driver","")&amp;IF(AND($H1965&lt;&gt;"",COUNTIF(CareerLevels,$H1965)=0),", a career level that is not on the ladder","")&amp;IF(AND($R1965&lt;&gt;"",COUNTIF(DriverList,$R1965)=0),", a driver that is not on the list","")&amp;IF(ABS(N($L1965)-(N($M1965)+N($N1965)+N($O1965)+N($P1965)))&gt;0.001,", a total that does not match its quarters",""),3,300))</f>
        <v/>
      </c>
    </row>
    <row r="1966" customFormat="false" ht="15" hidden="false" customHeight="false" outlineLevel="0" collapsed="false">
      <c r="A1966" s="33" t="str">
        <f aca="false">IF($G1966="","","Risk Group")</f>
        <v/>
      </c>
      <c r="B1966" s="19"/>
      <c r="C1966" s="19"/>
      <c r="D1966" s="19"/>
      <c r="E1966" s="19"/>
      <c r="F1966" s="19"/>
      <c r="G1966" s="19"/>
      <c r="H1966" s="19"/>
      <c r="I1966" s="19"/>
      <c r="J1966" s="19"/>
      <c r="K1966" s="19"/>
      <c r="L1966" s="19"/>
      <c r="M1966" s="19"/>
      <c r="N1966" s="19"/>
      <c r="O1966" s="19"/>
      <c r="P1966" s="19"/>
      <c r="Q1966" s="19"/>
      <c r="R1966" s="19"/>
      <c r="S1966" s="19"/>
      <c r="T1966" s="34" t="str">
        <f aca="false">IF($R1966="","",IFERROR(INDEX(DriverCategory,MATCH($R1966,DriverList,0)),"BAU"))</f>
        <v/>
      </c>
      <c r="U1966" s="34" t="str">
        <f aca="false">IF($R1966="","",IFERROR(INDEX(DriverRank,MATCH($R1966,DriverList,0)),99))</f>
        <v/>
      </c>
      <c r="V1966" s="35" t="n">
        <f aca="false">IF($H1966="",0,IFERROR(INDEX(LevelBasic,MATCH($H1966,LevelList,0))+INDEX(LevelHousing,MATCH($H1966,LevelList,0))+INDEX(LevelTransport,MATCH($H1966,LevelList,0))+INDEX(LevelBasic,MATCH($H1966,LevelList,0))*INDEX(LevelBonus,MATCH($H1966,LevelList,0))+(INDEX(LevelBasic,MATCH($H1966,LevelList,0))+INDEX(LevelHousing,MATCH($H1966,LevelList,0)))*GosiSaudi,0))</f>
        <v>0</v>
      </c>
      <c r="W1966" s="35" t="n">
        <f aca="false">IFERROR(INDEX(LevelOneOff,MATCH($H1966,LevelList,0)),0)</f>
        <v>0</v>
      </c>
      <c r="X1966" s="35" t="str">
        <f aca="false">IF($G1966="","",$V1966*N($L1966))</f>
        <v/>
      </c>
      <c r="Y1966" s="35" t="str">
        <f aca="false">IF($G1966="","",$V1966*(N($M1966)*1+N($N1966)*0.75+N($O1966)*0.5+N($P1966)*0.25)+$W1966*N($L1966))</f>
        <v/>
      </c>
      <c r="Z1966" s="35" t="str">
        <f aca="false">IF($G1966="","",$U1966*1000000+ROW())</f>
        <v/>
      </c>
      <c r="AA1966" s="36" t="str">
        <f aca="false">IF($G1966="","",MID(IF($C1966="",", no division","")&amp;IF($E1966="",", no unit","")&amp;IF($H1966="",", no career level","")&amp;IF(N($L1966)&lt;=0,", no quarter split","")&amp;IF($R1966="",", no driver","")&amp;IF(AND($H1966&lt;&gt;"",COUNTIF(CareerLevels,$H1966)=0),", a career level that is not on the ladder","")&amp;IF(AND($R1966&lt;&gt;"",COUNTIF(DriverList,$R1966)=0),", a driver that is not on the list","")&amp;IF(ABS(N($L1966)-(N($M1966)+N($N1966)+N($O1966)+N($P1966)))&gt;0.001,", a total that does not match its quarters",""),3,300))</f>
        <v/>
      </c>
    </row>
    <row r="1967" customFormat="false" ht="15" hidden="false" customHeight="false" outlineLevel="0" collapsed="false">
      <c r="A1967" s="33" t="str">
        <f aca="false">IF($G1967="","","Risk Group")</f>
        <v/>
      </c>
      <c r="B1967" s="19"/>
      <c r="C1967" s="19"/>
      <c r="D1967" s="19"/>
      <c r="E1967" s="19"/>
      <c r="F1967" s="19"/>
      <c r="G1967" s="19"/>
      <c r="H1967" s="19"/>
      <c r="I1967" s="19"/>
      <c r="J1967" s="19"/>
      <c r="K1967" s="19"/>
      <c r="L1967" s="19"/>
      <c r="M1967" s="19"/>
      <c r="N1967" s="19"/>
      <c r="O1967" s="19"/>
      <c r="P1967" s="19"/>
      <c r="Q1967" s="19"/>
      <c r="R1967" s="19"/>
      <c r="S1967" s="19"/>
      <c r="T1967" s="34" t="str">
        <f aca="false">IF($R1967="","",IFERROR(INDEX(DriverCategory,MATCH($R1967,DriverList,0)),"BAU"))</f>
        <v/>
      </c>
      <c r="U1967" s="34" t="str">
        <f aca="false">IF($R1967="","",IFERROR(INDEX(DriverRank,MATCH($R1967,DriverList,0)),99))</f>
        <v/>
      </c>
      <c r="V1967" s="35" t="n">
        <f aca="false">IF($H1967="",0,IFERROR(INDEX(LevelBasic,MATCH($H1967,LevelList,0))+INDEX(LevelHousing,MATCH($H1967,LevelList,0))+INDEX(LevelTransport,MATCH($H1967,LevelList,0))+INDEX(LevelBasic,MATCH($H1967,LevelList,0))*INDEX(LevelBonus,MATCH($H1967,LevelList,0))+(INDEX(LevelBasic,MATCH($H1967,LevelList,0))+INDEX(LevelHousing,MATCH($H1967,LevelList,0)))*GosiSaudi,0))</f>
        <v>0</v>
      </c>
      <c r="W1967" s="35" t="n">
        <f aca="false">IFERROR(INDEX(LevelOneOff,MATCH($H1967,LevelList,0)),0)</f>
        <v>0</v>
      </c>
      <c r="X1967" s="35" t="str">
        <f aca="false">IF($G1967="","",$V1967*N($L1967))</f>
        <v/>
      </c>
      <c r="Y1967" s="35" t="str">
        <f aca="false">IF($G1967="","",$V1967*(N($M1967)*1+N($N1967)*0.75+N($O1967)*0.5+N($P1967)*0.25)+$W1967*N($L1967))</f>
        <v/>
      </c>
      <c r="Z1967" s="35" t="str">
        <f aca="false">IF($G1967="","",$U1967*1000000+ROW())</f>
        <v/>
      </c>
      <c r="AA1967" s="36" t="str">
        <f aca="false">IF($G1967="","",MID(IF($C1967="",", no division","")&amp;IF($E1967="",", no unit","")&amp;IF($H1967="",", no career level","")&amp;IF(N($L1967)&lt;=0,", no quarter split","")&amp;IF($R1967="",", no driver","")&amp;IF(AND($H1967&lt;&gt;"",COUNTIF(CareerLevels,$H1967)=0),", a career level that is not on the ladder","")&amp;IF(AND($R1967&lt;&gt;"",COUNTIF(DriverList,$R1967)=0),", a driver that is not on the list","")&amp;IF(ABS(N($L1967)-(N($M1967)+N($N1967)+N($O1967)+N($P1967)))&gt;0.001,", a total that does not match its quarters",""),3,300))</f>
        <v/>
      </c>
    </row>
    <row r="1968" customFormat="false" ht="15" hidden="false" customHeight="false" outlineLevel="0" collapsed="false">
      <c r="A1968" s="33" t="str">
        <f aca="false">IF($G1968="","","Risk Group")</f>
        <v/>
      </c>
      <c r="B1968" s="19"/>
      <c r="C1968" s="19"/>
      <c r="D1968" s="19"/>
      <c r="E1968" s="19"/>
      <c r="F1968" s="19"/>
      <c r="G1968" s="19"/>
      <c r="H1968" s="19"/>
      <c r="I1968" s="19"/>
      <c r="J1968" s="19"/>
      <c r="K1968" s="19"/>
      <c r="L1968" s="19"/>
      <c r="M1968" s="19"/>
      <c r="N1968" s="19"/>
      <c r="O1968" s="19"/>
      <c r="P1968" s="19"/>
      <c r="Q1968" s="19"/>
      <c r="R1968" s="19"/>
      <c r="S1968" s="19"/>
      <c r="T1968" s="34" t="str">
        <f aca="false">IF($R1968="","",IFERROR(INDEX(DriverCategory,MATCH($R1968,DriverList,0)),"BAU"))</f>
        <v/>
      </c>
      <c r="U1968" s="34" t="str">
        <f aca="false">IF($R1968="","",IFERROR(INDEX(DriverRank,MATCH($R1968,DriverList,0)),99))</f>
        <v/>
      </c>
      <c r="V1968" s="35" t="n">
        <f aca="false">IF($H1968="",0,IFERROR(INDEX(LevelBasic,MATCH($H1968,LevelList,0))+INDEX(LevelHousing,MATCH($H1968,LevelList,0))+INDEX(LevelTransport,MATCH($H1968,LevelList,0))+INDEX(LevelBasic,MATCH($H1968,LevelList,0))*INDEX(LevelBonus,MATCH($H1968,LevelList,0))+(INDEX(LevelBasic,MATCH($H1968,LevelList,0))+INDEX(LevelHousing,MATCH($H1968,LevelList,0)))*GosiSaudi,0))</f>
        <v>0</v>
      </c>
      <c r="W1968" s="35" t="n">
        <f aca="false">IFERROR(INDEX(LevelOneOff,MATCH($H1968,LevelList,0)),0)</f>
        <v>0</v>
      </c>
      <c r="X1968" s="35" t="str">
        <f aca="false">IF($G1968="","",$V1968*N($L1968))</f>
        <v/>
      </c>
      <c r="Y1968" s="35" t="str">
        <f aca="false">IF($G1968="","",$V1968*(N($M1968)*1+N($N1968)*0.75+N($O1968)*0.5+N($P1968)*0.25)+$W1968*N($L1968))</f>
        <v/>
      </c>
      <c r="Z1968" s="35" t="str">
        <f aca="false">IF($G1968="","",$U1968*1000000+ROW())</f>
        <v/>
      </c>
      <c r="AA1968" s="36" t="str">
        <f aca="false">IF($G1968="","",MID(IF($C1968="",", no division","")&amp;IF($E1968="",", no unit","")&amp;IF($H1968="",", no career level","")&amp;IF(N($L1968)&lt;=0,", no quarter split","")&amp;IF($R1968="",", no driver","")&amp;IF(AND($H1968&lt;&gt;"",COUNTIF(CareerLevels,$H1968)=0),", a career level that is not on the ladder","")&amp;IF(AND($R1968&lt;&gt;"",COUNTIF(DriverList,$R1968)=0),", a driver that is not on the list","")&amp;IF(ABS(N($L1968)-(N($M1968)+N($N1968)+N($O1968)+N($P1968)))&gt;0.001,", a total that does not match its quarters",""),3,300))</f>
        <v/>
      </c>
    </row>
    <row r="1969" customFormat="false" ht="15" hidden="false" customHeight="false" outlineLevel="0" collapsed="false">
      <c r="A1969" s="33" t="str">
        <f aca="false">IF($G1969="","","Risk Group")</f>
        <v/>
      </c>
      <c r="B1969" s="19"/>
      <c r="C1969" s="19"/>
      <c r="D1969" s="19"/>
      <c r="E1969" s="19"/>
      <c r="F1969" s="19"/>
      <c r="G1969" s="19"/>
      <c r="H1969" s="19"/>
      <c r="I1969" s="19"/>
      <c r="J1969" s="19"/>
      <c r="K1969" s="19"/>
      <c r="L1969" s="19"/>
      <c r="M1969" s="19"/>
      <c r="N1969" s="19"/>
      <c r="O1969" s="19"/>
      <c r="P1969" s="19"/>
      <c r="Q1969" s="19"/>
      <c r="R1969" s="19"/>
      <c r="S1969" s="19"/>
      <c r="T1969" s="34" t="str">
        <f aca="false">IF($R1969="","",IFERROR(INDEX(DriverCategory,MATCH($R1969,DriverList,0)),"BAU"))</f>
        <v/>
      </c>
      <c r="U1969" s="34" t="str">
        <f aca="false">IF($R1969="","",IFERROR(INDEX(DriverRank,MATCH($R1969,DriverList,0)),99))</f>
        <v/>
      </c>
      <c r="V1969" s="35" t="n">
        <f aca="false">IF($H1969="",0,IFERROR(INDEX(LevelBasic,MATCH($H1969,LevelList,0))+INDEX(LevelHousing,MATCH($H1969,LevelList,0))+INDEX(LevelTransport,MATCH($H1969,LevelList,0))+INDEX(LevelBasic,MATCH($H1969,LevelList,0))*INDEX(LevelBonus,MATCH($H1969,LevelList,0))+(INDEX(LevelBasic,MATCH($H1969,LevelList,0))+INDEX(LevelHousing,MATCH($H1969,LevelList,0)))*GosiSaudi,0))</f>
        <v>0</v>
      </c>
      <c r="W1969" s="35" t="n">
        <f aca="false">IFERROR(INDEX(LevelOneOff,MATCH($H1969,LevelList,0)),0)</f>
        <v>0</v>
      </c>
      <c r="X1969" s="35" t="str">
        <f aca="false">IF($G1969="","",$V1969*N($L1969))</f>
        <v/>
      </c>
      <c r="Y1969" s="35" t="str">
        <f aca="false">IF($G1969="","",$V1969*(N($M1969)*1+N($N1969)*0.75+N($O1969)*0.5+N($P1969)*0.25)+$W1969*N($L1969))</f>
        <v/>
      </c>
      <c r="Z1969" s="35" t="str">
        <f aca="false">IF($G1969="","",$U1969*1000000+ROW())</f>
        <v/>
      </c>
      <c r="AA1969" s="36" t="str">
        <f aca="false">IF($G1969="","",MID(IF($C1969="",", no division","")&amp;IF($E1969="",", no unit","")&amp;IF($H1969="",", no career level","")&amp;IF(N($L1969)&lt;=0,", no quarter split","")&amp;IF($R1969="",", no driver","")&amp;IF(AND($H1969&lt;&gt;"",COUNTIF(CareerLevels,$H1969)=0),", a career level that is not on the ladder","")&amp;IF(AND($R1969&lt;&gt;"",COUNTIF(DriverList,$R1969)=0),", a driver that is not on the list","")&amp;IF(ABS(N($L1969)-(N($M1969)+N($N1969)+N($O1969)+N($P1969)))&gt;0.001,", a total that does not match its quarters",""),3,300))</f>
        <v/>
      </c>
    </row>
    <row r="1970" customFormat="false" ht="15" hidden="false" customHeight="false" outlineLevel="0" collapsed="false">
      <c r="A1970" s="33" t="str">
        <f aca="false">IF($G1970="","","Risk Group")</f>
        <v/>
      </c>
      <c r="B1970" s="19"/>
      <c r="C1970" s="19"/>
      <c r="D1970" s="19"/>
      <c r="E1970" s="19"/>
      <c r="F1970" s="19"/>
      <c r="G1970" s="19"/>
      <c r="H1970" s="19"/>
      <c r="I1970" s="19"/>
      <c r="J1970" s="19"/>
      <c r="K1970" s="19"/>
      <c r="L1970" s="19"/>
      <c r="M1970" s="19"/>
      <c r="N1970" s="19"/>
      <c r="O1970" s="19"/>
      <c r="P1970" s="19"/>
      <c r="Q1970" s="19"/>
      <c r="R1970" s="19"/>
      <c r="S1970" s="19"/>
      <c r="T1970" s="34" t="str">
        <f aca="false">IF($R1970="","",IFERROR(INDEX(DriverCategory,MATCH($R1970,DriverList,0)),"BAU"))</f>
        <v/>
      </c>
      <c r="U1970" s="34" t="str">
        <f aca="false">IF($R1970="","",IFERROR(INDEX(DriverRank,MATCH($R1970,DriverList,0)),99))</f>
        <v/>
      </c>
      <c r="V1970" s="35" t="n">
        <f aca="false">IF($H1970="",0,IFERROR(INDEX(LevelBasic,MATCH($H1970,LevelList,0))+INDEX(LevelHousing,MATCH($H1970,LevelList,0))+INDEX(LevelTransport,MATCH($H1970,LevelList,0))+INDEX(LevelBasic,MATCH($H1970,LevelList,0))*INDEX(LevelBonus,MATCH($H1970,LevelList,0))+(INDEX(LevelBasic,MATCH($H1970,LevelList,0))+INDEX(LevelHousing,MATCH($H1970,LevelList,0)))*GosiSaudi,0))</f>
        <v>0</v>
      </c>
      <c r="W1970" s="35" t="n">
        <f aca="false">IFERROR(INDEX(LevelOneOff,MATCH($H1970,LevelList,0)),0)</f>
        <v>0</v>
      </c>
      <c r="X1970" s="35" t="str">
        <f aca="false">IF($G1970="","",$V1970*N($L1970))</f>
        <v/>
      </c>
      <c r="Y1970" s="35" t="str">
        <f aca="false">IF($G1970="","",$V1970*(N($M1970)*1+N($N1970)*0.75+N($O1970)*0.5+N($P1970)*0.25)+$W1970*N($L1970))</f>
        <v/>
      </c>
      <c r="Z1970" s="35" t="str">
        <f aca="false">IF($G1970="","",$U1970*1000000+ROW())</f>
        <v/>
      </c>
      <c r="AA1970" s="36" t="str">
        <f aca="false">IF($G1970="","",MID(IF($C1970="",", no division","")&amp;IF($E1970="",", no unit","")&amp;IF($H1970="",", no career level","")&amp;IF(N($L1970)&lt;=0,", no quarter split","")&amp;IF($R1970="",", no driver","")&amp;IF(AND($H1970&lt;&gt;"",COUNTIF(CareerLevels,$H1970)=0),", a career level that is not on the ladder","")&amp;IF(AND($R1970&lt;&gt;"",COUNTIF(DriverList,$R1970)=0),", a driver that is not on the list","")&amp;IF(ABS(N($L1970)-(N($M1970)+N($N1970)+N($O1970)+N($P1970)))&gt;0.001,", a total that does not match its quarters",""),3,300))</f>
        <v/>
      </c>
    </row>
    <row r="1971" customFormat="false" ht="15" hidden="false" customHeight="false" outlineLevel="0" collapsed="false">
      <c r="A1971" s="33" t="str">
        <f aca="false">IF($G1971="","","Risk Group")</f>
        <v/>
      </c>
      <c r="B1971" s="19"/>
      <c r="C1971" s="19"/>
      <c r="D1971" s="19"/>
      <c r="E1971" s="19"/>
      <c r="F1971" s="19"/>
      <c r="G1971" s="19"/>
      <c r="H1971" s="19"/>
      <c r="I1971" s="19"/>
      <c r="J1971" s="19"/>
      <c r="K1971" s="19"/>
      <c r="L1971" s="19"/>
      <c r="M1971" s="19"/>
      <c r="N1971" s="19"/>
      <c r="O1971" s="19"/>
      <c r="P1971" s="19"/>
      <c r="Q1971" s="19"/>
      <c r="R1971" s="19"/>
      <c r="S1971" s="19"/>
      <c r="T1971" s="34" t="str">
        <f aca="false">IF($R1971="","",IFERROR(INDEX(DriverCategory,MATCH($R1971,DriverList,0)),"BAU"))</f>
        <v/>
      </c>
      <c r="U1971" s="34" t="str">
        <f aca="false">IF($R1971="","",IFERROR(INDEX(DriverRank,MATCH($R1971,DriverList,0)),99))</f>
        <v/>
      </c>
      <c r="V1971" s="35" t="n">
        <f aca="false">IF($H1971="",0,IFERROR(INDEX(LevelBasic,MATCH($H1971,LevelList,0))+INDEX(LevelHousing,MATCH($H1971,LevelList,0))+INDEX(LevelTransport,MATCH($H1971,LevelList,0))+INDEX(LevelBasic,MATCH($H1971,LevelList,0))*INDEX(LevelBonus,MATCH($H1971,LevelList,0))+(INDEX(LevelBasic,MATCH($H1971,LevelList,0))+INDEX(LevelHousing,MATCH($H1971,LevelList,0)))*GosiSaudi,0))</f>
        <v>0</v>
      </c>
      <c r="W1971" s="35" t="n">
        <f aca="false">IFERROR(INDEX(LevelOneOff,MATCH($H1971,LevelList,0)),0)</f>
        <v>0</v>
      </c>
      <c r="X1971" s="35" t="str">
        <f aca="false">IF($G1971="","",$V1971*N($L1971))</f>
        <v/>
      </c>
      <c r="Y1971" s="35" t="str">
        <f aca="false">IF($G1971="","",$V1971*(N($M1971)*1+N($N1971)*0.75+N($O1971)*0.5+N($P1971)*0.25)+$W1971*N($L1971))</f>
        <v/>
      </c>
      <c r="Z1971" s="35" t="str">
        <f aca="false">IF($G1971="","",$U1971*1000000+ROW())</f>
        <v/>
      </c>
      <c r="AA1971" s="36" t="str">
        <f aca="false">IF($G1971="","",MID(IF($C1971="",", no division","")&amp;IF($E1971="",", no unit","")&amp;IF($H1971="",", no career level","")&amp;IF(N($L1971)&lt;=0,", no quarter split","")&amp;IF($R1971="",", no driver","")&amp;IF(AND($H1971&lt;&gt;"",COUNTIF(CareerLevels,$H1971)=0),", a career level that is not on the ladder","")&amp;IF(AND($R1971&lt;&gt;"",COUNTIF(DriverList,$R1971)=0),", a driver that is not on the list","")&amp;IF(ABS(N($L1971)-(N($M1971)+N($N1971)+N($O1971)+N($P1971)))&gt;0.001,", a total that does not match its quarters",""),3,300))</f>
        <v/>
      </c>
    </row>
    <row r="1972" customFormat="false" ht="15" hidden="false" customHeight="false" outlineLevel="0" collapsed="false">
      <c r="A1972" s="33" t="str">
        <f aca="false">IF($G1972="","","Risk Group")</f>
        <v/>
      </c>
      <c r="B1972" s="19"/>
      <c r="C1972" s="19"/>
      <c r="D1972" s="19"/>
      <c r="E1972" s="19"/>
      <c r="F1972" s="19"/>
      <c r="G1972" s="19"/>
      <c r="H1972" s="19"/>
      <c r="I1972" s="19"/>
      <c r="J1972" s="19"/>
      <c r="K1972" s="19"/>
      <c r="L1972" s="19"/>
      <c r="M1972" s="19"/>
      <c r="N1972" s="19"/>
      <c r="O1972" s="19"/>
      <c r="P1972" s="19"/>
      <c r="Q1972" s="19"/>
      <c r="R1972" s="19"/>
      <c r="S1972" s="19"/>
      <c r="T1972" s="34" t="str">
        <f aca="false">IF($R1972="","",IFERROR(INDEX(DriverCategory,MATCH($R1972,DriverList,0)),"BAU"))</f>
        <v/>
      </c>
      <c r="U1972" s="34" t="str">
        <f aca="false">IF($R1972="","",IFERROR(INDEX(DriverRank,MATCH($R1972,DriverList,0)),99))</f>
        <v/>
      </c>
      <c r="V1972" s="35" t="n">
        <f aca="false">IF($H1972="",0,IFERROR(INDEX(LevelBasic,MATCH($H1972,LevelList,0))+INDEX(LevelHousing,MATCH($H1972,LevelList,0))+INDEX(LevelTransport,MATCH($H1972,LevelList,0))+INDEX(LevelBasic,MATCH($H1972,LevelList,0))*INDEX(LevelBonus,MATCH($H1972,LevelList,0))+(INDEX(LevelBasic,MATCH($H1972,LevelList,0))+INDEX(LevelHousing,MATCH($H1972,LevelList,0)))*GosiSaudi,0))</f>
        <v>0</v>
      </c>
      <c r="W1972" s="35" t="n">
        <f aca="false">IFERROR(INDEX(LevelOneOff,MATCH($H1972,LevelList,0)),0)</f>
        <v>0</v>
      </c>
      <c r="X1972" s="35" t="str">
        <f aca="false">IF($G1972="","",$V1972*N($L1972))</f>
        <v/>
      </c>
      <c r="Y1972" s="35" t="str">
        <f aca="false">IF($G1972="","",$V1972*(N($M1972)*1+N($N1972)*0.75+N($O1972)*0.5+N($P1972)*0.25)+$W1972*N($L1972))</f>
        <v/>
      </c>
      <c r="Z1972" s="35" t="str">
        <f aca="false">IF($G1972="","",$U1972*1000000+ROW())</f>
        <v/>
      </c>
      <c r="AA1972" s="36" t="str">
        <f aca="false">IF($G1972="","",MID(IF($C1972="",", no division","")&amp;IF($E1972="",", no unit","")&amp;IF($H1972="",", no career level","")&amp;IF(N($L1972)&lt;=0,", no quarter split","")&amp;IF($R1972="",", no driver","")&amp;IF(AND($H1972&lt;&gt;"",COUNTIF(CareerLevels,$H1972)=0),", a career level that is not on the ladder","")&amp;IF(AND($R1972&lt;&gt;"",COUNTIF(DriverList,$R1972)=0),", a driver that is not on the list","")&amp;IF(ABS(N($L1972)-(N($M1972)+N($N1972)+N($O1972)+N($P1972)))&gt;0.001,", a total that does not match its quarters",""),3,300))</f>
        <v/>
      </c>
    </row>
    <row r="1973" customFormat="false" ht="15" hidden="false" customHeight="false" outlineLevel="0" collapsed="false">
      <c r="A1973" s="33" t="str">
        <f aca="false">IF($G1973="","","Risk Group")</f>
        <v/>
      </c>
      <c r="B1973" s="19"/>
      <c r="C1973" s="19"/>
      <c r="D1973" s="19"/>
      <c r="E1973" s="19"/>
      <c r="F1973" s="19"/>
      <c r="G1973" s="19"/>
      <c r="H1973" s="19"/>
      <c r="I1973" s="19"/>
      <c r="J1973" s="19"/>
      <c r="K1973" s="19"/>
      <c r="L1973" s="19"/>
      <c r="M1973" s="19"/>
      <c r="N1973" s="19"/>
      <c r="O1973" s="19"/>
      <c r="P1973" s="19"/>
      <c r="Q1973" s="19"/>
      <c r="R1973" s="19"/>
      <c r="S1973" s="19"/>
      <c r="T1973" s="34" t="str">
        <f aca="false">IF($R1973="","",IFERROR(INDEX(DriverCategory,MATCH($R1973,DriverList,0)),"BAU"))</f>
        <v/>
      </c>
      <c r="U1973" s="34" t="str">
        <f aca="false">IF($R1973="","",IFERROR(INDEX(DriverRank,MATCH($R1973,DriverList,0)),99))</f>
        <v/>
      </c>
      <c r="V1973" s="35" t="n">
        <f aca="false">IF($H1973="",0,IFERROR(INDEX(LevelBasic,MATCH($H1973,LevelList,0))+INDEX(LevelHousing,MATCH($H1973,LevelList,0))+INDEX(LevelTransport,MATCH($H1973,LevelList,0))+INDEX(LevelBasic,MATCH($H1973,LevelList,0))*INDEX(LevelBonus,MATCH($H1973,LevelList,0))+(INDEX(LevelBasic,MATCH($H1973,LevelList,0))+INDEX(LevelHousing,MATCH($H1973,LevelList,0)))*GosiSaudi,0))</f>
        <v>0</v>
      </c>
      <c r="W1973" s="35" t="n">
        <f aca="false">IFERROR(INDEX(LevelOneOff,MATCH($H1973,LevelList,0)),0)</f>
        <v>0</v>
      </c>
      <c r="X1973" s="35" t="str">
        <f aca="false">IF($G1973="","",$V1973*N($L1973))</f>
        <v/>
      </c>
      <c r="Y1973" s="35" t="str">
        <f aca="false">IF($G1973="","",$V1973*(N($M1973)*1+N($N1973)*0.75+N($O1973)*0.5+N($P1973)*0.25)+$W1973*N($L1973))</f>
        <v/>
      </c>
      <c r="Z1973" s="35" t="str">
        <f aca="false">IF($G1973="","",$U1973*1000000+ROW())</f>
        <v/>
      </c>
      <c r="AA1973" s="36" t="str">
        <f aca="false">IF($G1973="","",MID(IF($C1973="",", no division","")&amp;IF($E1973="",", no unit","")&amp;IF($H1973="",", no career level","")&amp;IF(N($L1973)&lt;=0,", no quarter split","")&amp;IF($R1973="",", no driver","")&amp;IF(AND($H1973&lt;&gt;"",COUNTIF(CareerLevels,$H1973)=0),", a career level that is not on the ladder","")&amp;IF(AND($R1973&lt;&gt;"",COUNTIF(DriverList,$R1973)=0),", a driver that is not on the list","")&amp;IF(ABS(N($L1973)-(N($M1973)+N($N1973)+N($O1973)+N($P1973)))&gt;0.001,", a total that does not match its quarters",""),3,300))</f>
        <v/>
      </c>
    </row>
    <row r="1974" customFormat="false" ht="15" hidden="false" customHeight="false" outlineLevel="0" collapsed="false">
      <c r="A1974" s="33" t="str">
        <f aca="false">IF($G1974="","","Risk Group")</f>
        <v/>
      </c>
      <c r="B1974" s="19"/>
      <c r="C1974" s="19"/>
      <c r="D1974" s="19"/>
      <c r="E1974" s="19"/>
      <c r="F1974" s="19"/>
      <c r="G1974" s="19"/>
      <c r="H1974" s="19"/>
      <c r="I1974" s="19"/>
      <c r="J1974" s="19"/>
      <c r="K1974" s="19"/>
      <c r="L1974" s="19"/>
      <c r="M1974" s="19"/>
      <c r="N1974" s="19"/>
      <c r="O1974" s="19"/>
      <c r="P1974" s="19"/>
      <c r="Q1974" s="19"/>
      <c r="R1974" s="19"/>
      <c r="S1974" s="19"/>
      <c r="T1974" s="34" t="str">
        <f aca="false">IF($R1974="","",IFERROR(INDEX(DriverCategory,MATCH($R1974,DriverList,0)),"BAU"))</f>
        <v/>
      </c>
      <c r="U1974" s="34" t="str">
        <f aca="false">IF($R1974="","",IFERROR(INDEX(DriverRank,MATCH($R1974,DriverList,0)),99))</f>
        <v/>
      </c>
      <c r="V1974" s="35" t="n">
        <f aca="false">IF($H1974="",0,IFERROR(INDEX(LevelBasic,MATCH($H1974,LevelList,0))+INDEX(LevelHousing,MATCH($H1974,LevelList,0))+INDEX(LevelTransport,MATCH($H1974,LevelList,0))+INDEX(LevelBasic,MATCH($H1974,LevelList,0))*INDEX(LevelBonus,MATCH($H1974,LevelList,0))+(INDEX(LevelBasic,MATCH($H1974,LevelList,0))+INDEX(LevelHousing,MATCH($H1974,LevelList,0)))*GosiSaudi,0))</f>
        <v>0</v>
      </c>
      <c r="W1974" s="35" t="n">
        <f aca="false">IFERROR(INDEX(LevelOneOff,MATCH($H1974,LevelList,0)),0)</f>
        <v>0</v>
      </c>
      <c r="X1974" s="35" t="str">
        <f aca="false">IF($G1974="","",$V1974*N($L1974))</f>
        <v/>
      </c>
      <c r="Y1974" s="35" t="str">
        <f aca="false">IF($G1974="","",$V1974*(N($M1974)*1+N($N1974)*0.75+N($O1974)*0.5+N($P1974)*0.25)+$W1974*N($L1974))</f>
        <v/>
      </c>
      <c r="Z1974" s="35" t="str">
        <f aca="false">IF($G1974="","",$U1974*1000000+ROW())</f>
        <v/>
      </c>
      <c r="AA1974" s="36" t="str">
        <f aca="false">IF($G1974="","",MID(IF($C1974="",", no division","")&amp;IF($E1974="",", no unit","")&amp;IF($H1974="",", no career level","")&amp;IF(N($L1974)&lt;=0,", no quarter split","")&amp;IF($R1974="",", no driver","")&amp;IF(AND($H1974&lt;&gt;"",COUNTIF(CareerLevels,$H1974)=0),", a career level that is not on the ladder","")&amp;IF(AND($R1974&lt;&gt;"",COUNTIF(DriverList,$R1974)=0),", a driver that is not on the list","")&amp;IF(ABS(N($L1974)-(N($M1974)+N($N1974)+N($O1974)+N($P1974)))&gt;0.001,", a total that does not match its quarters",""),3,300))</f>
        <v/>
      </c>
    </row>
    <row r="1975" customFormat="false" ht="15" hidden="false" customHeight="false" outlineLevel="0" collapsed="false">
      <c r="A1975" s="33" t="str">
        <f aca="false">IF($G1975="","","Risk Group")</f>
        <v/>
      </c>
      <c r="B1975" s="19"/>
      <c r="C1975" s="19"/>
      <c r="D1975" s="19"/>
      <c r="E1975" s="19"/>
      <c r="F1975" s="19"/>
      <c r="G1975" s="19"/>
      <c r="H1975" s="19"/>
      <c r="I1975" s="19"/>
      <c r="J1975" s="19"/>
      <c r="K1975" s="19"/>
      <c r="L1975" s="19"/>
      <c r="M1975" s="19"/>
      <c r="N1975" s="19"/>
      <c r="O1975" s="19"/>
      <c r="P1975" s="19"/>
      <c r="Q1975" s="19"/>
      <c r="R1975" s="19"/>
      <c r="S1975" s="19"/>
      <c r="T1975" s="34" t="str">
        <f aca="false">IF($R1975="","",IFERROR(INDEX(DriverCategory,MATCH($R1975,DriverList,0)),"BAU"))</f>
        <v/>
      </c>
      <c r="U1975" s="34" t="str">
        <f aca="false">IF($R1975="","",IFERROR(INDEX(DriverRank,MATCH($R1975,DriverList,0)),99))</f>
        <v/>
      </c>
      <c r="V1975" s="35" t="n">
        <f aca="false">IF($H1975="",0,IFERROR(INDEX(LevelBasic,MATCH($H1975,LevelList,0))+INDEX(LevelHousing,MATCH($H1975,LevelList,0))+INDEX(LevelTransport,MATCH($H1975,LevelList,0))+INDEX(LevelBasic,MATCH($H1975,LevelList,0))*INDEX(LevelBonus,MATCH($H1975,LevelList,0))+(INDEX(LevelBasic,MATCH($H1975,LevelList,0))+INDEX(LevelHousing,MATCH($H1975,LevelList,0)))*GosiSaudi,0))</f>
        <v>0</v>
      </c>
      <c r="W1975" s="35" t="n">
        <f aca="false">IFERROR(INDEX(LevelOneOff,MATCH($H1975,LevelList,0)),0)</f>
        <v>0</v>
      </c>
      <c r="X1975" s="35" t="str">
        <f aca="false">IF($G1975="","",$V1975*N($L1975))</f>
        <v/>
      </c>
      <c r="Y1975" s="35" t="str">
        <f aca="false">IF($G1975="","",$V1975*(N($M1975)*1+N($N1975)*0.75+N($O1975)*0.5+N($P1975)*0.25)+$W1975*N($L1975))</f>
        <v/>
      </c>
      <c r="Z1975" s="35" t="str">
        <f aca="false">IF($G1975="","",$U1975*1000000+ROW())</f>
        <v/>
      </c>
      <c r="AA1975" s="36" t="str">
        <f aca="false">IF($G1975="","",MID(IF($C1975="",", no division","")&amp;IF($E1975="",", no unit","")&amp;IF($H1975="",", no career level","")&amp;IF(N($L1975)&lt;=0,", no quarter split","")&amp;IF($R1975="",", no driver","")&amp;IF(AND($H1975&lt;&gt;"",COUNTIF(CareerLevels,$H1975)=0),", a career level that is not on the ladder","")&amp;IF(AND($R1975&lt;&gt;"",COUNTIF(DriverList,$R1975)=0),", a driver that is not on the list","")&amp;IF(ABS(N($L1975)-(N($M1975)+N($N1975)+N($O1975)+N($P1975)))&gt;0.001,", a total that does not match its quarters",""),3,300))</f>
        <v/>
      </c>
    </row>
    <row r="1976" customFormat="false" ht="15" hidden="false" customHeight="false" outlineLevel="0" collapsed="false">
      <c r="A1976" s="33" t="str">
        <f aca="false">IF($G1976="","","Risk Group")</f>
        <v/>
      </c>
      <c r="B1976" s="19"/>
      <c r="C1976" s="19"/>
      <c r="D1976" s="19"/>
      <c r="E1976" s="19"/>
      <c r="F1976" s="19"/>
      <c r="G1976" s="19"/>
      <c r="H1976" s="19"/>
      <c r="I1976" s="19"/>
      <c r="J1976" s="19"/>
      <c r="K1976" s="19"/>
      <c r="L1976" s="19"/>
      <c r="M1976" s="19"/>
      <c r="N1976" s="19"/>
      <c r="O1976" s="19"/>
      <c r="P1976" s="19"/>
      <c r="Q1976" s="19"/>
      <c r="R1976" s="19"/>
      <c r="S1976" s="19"/>
      <c r="T1976" s="34" t="str">
        <f aca="false">IF($R1976="","",IFERROR(INDEX(DriverCategory,MATCH($R1976,DriverList,0)),"BAU"))</f>
        <v/>
      </c>
      <c r="U1976" s="34" t="str">
        <f aca="false">IF($R1976="","",IFERROR(INDEX(DriverRank,MATCH($R1976,DriverList,0)),99))</f>
        <v/>
      </c>
      <c r="V1976" s="35" t="n">
        <f aca="false">IF($H1976="",0,IFERROR(INDEX(LevelBasic,MATCH($H1976,LevelList,0))+INDEX(LevelHousing,MATCH($H1976,LevelList,0))+INDEX(LevelTransport,MATCH($H1976,LevelList,0))+INDEX(LevelBasic,MATCH($H1976,LevelList,0))*INDEX(LevelBonus,MATCH($H1976,LevelList,0))+(INDEX(LevelBasic,MATCH($H1976,LevelList,0))+INDEX(LevelHousing,MATCH($H1976,LevelList,0)))*GosiSaudi,0))</f>
        <v>0</v>
      </c>
      <c r="W1976" s="35" t="n">
        <f aca="false">IFERROR(INDEX(LevelOneOff,MATCH($H1976,LevelList,0)),0)</f>
        <v>0</v>
      </c>
      <c r="X1976" s="35" t="str">
        <f aca="false">IF($G1976="","",$V1976*N($L1976))</f>
        <v/>
      </c>
      <c r="Y1976" s="35" t="str">
        <f aca="false">IF($G1976="","",$V1976*(N($M1976)*1+N($N1976)*0.75+N($O1976)*0.5+N($P1976)*0.25)+$W1976*N($L1976))</f>
        <v/>
      </c>
      <c r="Z1976" s="35" t="str">
        <f aca="false">IF($G1976="","",$U1976*1000000+ROW())</f>
        <v/>
      </c>
      <c r="AA1976" s="36" t="str">
        <f aca="false">IF($G1976="","",MID(IF($C1976="",", no division","")&amp;IF($E1976="",", no unit","")&amp;IF($H1976="",", no career level","")&amp;IF(N($L1976)&lt;=0,", no quarter split","")&amp;IF($R1976="",", no driver","")&amp;IF(AND($H1976&lt;&gt;"",COUNTIF(CareerLevels,$H1976)=0),", a career level that is not on the ladder","")&amp;IF(AND($R1976&lt;&gt;"",COUNTIF(DriverList,$R1976)=0),", a driver that is not on the list","")&amp;IF(ABS(N($L1976)-(N($M1976)+N($N1976)+N($O1976)+N($P1976)))&gt;0.001,", a total that does not match its quarters",""),3,300))</f>
        <v/>
      </c>
    </row>
    <row r="1977" customFormat="false" ht="15" hidden="false" customHeight="false" outlineLevel="0" collapsed="false">
      <c r="A1977" s="33" t="str">
        <f aca="false">IF($G1977="","","Risk Group")</f>
        <v/>
      </c>
      <c r="B1977" s="19"/>
      <c r="C1977" s="19"/>
      <c r="D1977" s="19"/>
      <c r="E1977" s="19"/>
      <c r="F1977" s="19"/>
      <c r="G1977" s="19"/>
      <c r="H1977" s="19"/>
      <c r="I1977" s="19"/>
      <c r="J1977" s="19"/>
      <c r="K1977" s="19"/>
      <c r="L1977" s="19"/>
      <c r="M1977" s="19"/>
      <c r="N1977" s="19"/>
      <c r="O1977" s="19"/>
      <c r="P1977" s="19"/>
      <c r="Q1977" s="19"/>
      <c r="R1977" s="19"/>
      <c r="S1977" s="19"/>
      <c r="T1977" s="34" t="str">
        <f aca="false">IF($R1977="","",IFERROR(INDEX(DriverCategory,MATCH($R1977,DriverList,0)),"BAU"))</f>
        <v/>
      </c>
      <c r="U1977" s="34" t="str">
        <f aca="false">IF($R1977="","",IFERROR(INDEX(DriverRank,MATCH($R1977,DriverList,0)),99))</f>
        <v/>
      </c>
      <c r="V1977" s="35" t="n">
        <f aca="false">IF($H1977="",0,IFERROR(INDEX(LevelBasic,MATCH($H1977,LevelList,0))+INDEX(LevelHousing,MATCH($H1977,LevelList,0))+INDEX(LevelTransport,MATCH($H1977,LevelList,0))+INDEX(LevelBasic,MATCH($H1977,LevelList,0))*INDEX(LevelBonus,MATCH($H1977,LevelList,0))+(INDEX(LevelBasic,MATCH($H1977,LevelList,0))+INDEX(LevelHousing,MATCH($H1977,LevelList,0)))*GosiSaudi,0))</f>
        <v>0</v>
      </c>
      <c r="W1977" s="35" t="n">
        <f aca="false">IFERROR(INDEX(LevelOneOff,MATCH($H1977,LevelList,0)),0)</f>
        <v>0</v>
      </c>
      <c r="X1977" s="35" t="str">
        <f aca="false">IF($G1977="","",$V1977*N($L1977))</f>
        <v/>
      </c>
      <c r="Y1977" s="35" t="str">
        <f aca="false">IF($G1977="","",$V1977*(N($M1977)*1+N($N1977)*0.75+N($O1977)*0.5+N($P1977)*0.25)+$W1977*N($L1977))</f>
        <v/>
      </c>
      <c r="Z1977" s="35" t="str">
        <f aca="false">IF($G1977="","",$U1977*1000000+ROW())</f>
        <v/>
      </c>
      <c r="AA1977" s="36" t="str">
        <f aca="false">IF($G1977="","",MID(IF($C1977="",", no division","")&amp;IF($E1977="",", no unit","")&amp;IF($H1977="",", no career level","")&amp;IF(N($L1977)&lt;=0,", no quarter split","")&amp;IF($R1977="",", no driver","")&amp;IF(AND($H1977&lt;&gt;"",COUNTIF(CareerLevels,$H1977)=0),", a career level that is not on the ladder","")&amp;IF(AND($R1977&lt;&gt;"",COUNTIF(DriverList,$R1977)=0),", a driver that is not on the list","")&amp;IF(ABS(N($L1977)-(N($M1977)+N($N1977)+N($O1977)+N($P1977)))&gt;0.001,", a total that does not match its quarters",""),3,300))</f>
        <v/>
      </c>
    </row>
    <row r="1978" customFormat="false" ht="15" hidden="false" customHeight="false" outlineLevel="0" collapsed="false">
      <c r="A1978" s="33" t="str">
        <f aca="false">IF($G1978="","","Risk Group")</f>
        <v/>
      </c>
      <c r="B1978" s="19"/>
      <c r="C1978" s="19"/>
      <c r="D1978" s="19"/>
      <c r="E1978" s="19"/>
      <c r="F1978" s="19"/>
      <c r="G1978" s="19"/>
      <c r="H1978" s="19"/>
      <c r="I1978" s="19"/>
      <c r="J1978" s="19"/>
      <c r="K1978" s="19"/>
      <c r="L1978" s="19"/>
      <c r="M1978" s="19"/>
      <c r="N1978" s="19"/>
      <c r="O1978" s="19"/>
      <c r="P1978" s="19"/>
      <c r="Q1978" s="19"/>
      <c r="R1978" s="19"/>
      <c r="S1978" s="19"/>
      <c r="T1978" s="34" t="str">
        <f aca="false">IF($R1978="","",IFERROR(INDEX(DriverCategory,MATCH($R1978,DriverList,0)),"BAU"))</f>
        <v/>
      </c>
      <c r="U1978" s="34" t="str">
        <f aca="false">IF($R1978="","",IFERROR(INDEX(DriverRank,MATCH($R1978,DriverList,0)),99))</f>
        <v/>
      </c>
      <c r="V1978" s="35" t="n">
        <f aca="false">IF($H1978="",0,IFERROR(INDEX(LevelBasic,MATCH($H1978,LevelList,0))+INDEX(LevelHousing,MATCH($H1978,LevelList,0))+INDEX(LevelTransport,MATCH($H1978,LevelList,0))+INDEX(LevelBasic,MATCH($H1978,LevelList,0))*INDEX(LevelBonus,MATCH($H1978,LevelList,0))+(INDEX(LevelBasic,MATCH($H1978,LevelList,0))+INDEX(LevelHousing,MATCH($H1978,LevelList,0)))*GosiSaudi,0))</f>
        <v>0</v>
      </c>
      <c r="W1978" s="35" t="n">
        <f aca="false">IFERROR(INDEX(LevelOneOff,MATCH($H1978,LevelList,0)),0)</f>
        <v>0</v>
      </c>
      <c r="X1978" s="35" t="str">
        <f aca="false">IF($G1978="","",$V1978*N($L1978))</f>
        <v/>
      </c>
      <c r="Y1978" s="35" t="str">
        <f aca="false">IF($G1978="","",$V1978*(N($M1978)*1+N($N1978)*0.75+N($O1978)*0.5+N($P1978)*0.25)+$W1978*N($L1978))</f>
        <v/>
      </c>
      <c r="Z1978" s="35" t="str">
        <f aca="false">IF($G1978="","",$U1978*1000000+ROW())</f>
        <v/>
      </c>
      <c r="AA1978" s="36" t="str">
        <f aca="false">IF($G1978="","",MID(IF($C1978="",", no division","")&amp;IF($E1978="",", no unit","")&amp;IF($H1978="",", no career level","")&amp;IF(N($L1978)&lt;=0,", no quarter split","")&amp;IF($R1978="",", no driver","")&amp;IF(AND($H1978&lt;&gt;"",COUNTIF(CareerLevels,$H1978)=0),", a career level that is not on the ladder","")&amp;IF(AND($R1978&lt;&gt;"",COUNTIF(DriverList,$R1978)=0),", a driver that is not on the list","")&amp;IF(ABS(N($L1978)-(N($M1978)+N($N1978)+N($O1978)+N($P1978)))&gt;0.001,", a total that does not match its quarters",""),3,300))</f>
        <v/>
      </c>
    </row>
    <row r="1979" customFormat="false" ht="15" hidden="false" customHeight="false" outlineLevel="0" collapsed="false">
      <c r="A1979" s="33" t="str">
        <f aca="false">IF($G1979="","","Risk Group")</f>
        <v/>
      </c>
      <c r="B1979" s="19"/>
      <c r="C1979" s="19"/>
      <c r="D1979" s="19"/>
      <c r="E1979" s="19"/>
      <c r="F1979" s="19"/>
      <c r="G1979" s="19"/>
      <c r="H1979" s="19"/>
      <c r="I1979" s="19"/>
      <c r="J1979" s="19"/>
      <c r="K1979" s="19"/>
      <c r="L1979" s="19"/>
      <c r="M1979" s="19"/>
      <c r="N1979" s="19"/>
      <c r="O1979" s="19"/>
      <c r="P1979" s="19"/>
      <c r="Q1979" s="19"/>
      <c r="R1979" s="19"/>
      <c r="S1979" s="19"/>
      <c r="T1979" s="34" t="str">
        <f aca="false">IF($R1979="","",IFERROR(INDEX(DriverCategory,MATCH($R1979,DriverList,0)),"BAU"))</f>
        <v/>
      </c>
      <c r="U1979" s="34" t="str">
        <f aca="false">IF($R1979="","",IFERROR(INDEX(DriverRank,MATCH($R1979,DriverList,0)),99))</f>
        <v/>
      </c>
      <c r="V1979" s="35" t="n">
        <f aca="false">IF($H1979="",0,IFERROR(INDEX(LevelBasic,MATCH($H1979,LevelList,0))+INDEX(LevelHousing,MATCH($H1979,LevelList,0))+INDEX(LevelTransport,MATCH($H1979,LevelList,0))+INDEX(LevelBasic,MATCH($H1979,LevelList,0))*INDEX(LevelBonus,MATCH($H1979,LevelList,0))+(INDEX(LevelBasic,MATCH($H1979,LevelList,0))+INDEX(LevelHousing,MATCH($H1979,LevelList,0)))*GosiSaudi,0))</f>
        <v>0</v>
      </c>
      <c r="W1979" s="35" t="n">
        <f aca="false">IFERROR(INDEX(LevelOneOff,MATCH($H1979,LevelList,0)),0)</f>
        <v>0</v>
      </c>
      <c r="X1979" s="35" t="str">
        <f aca="false">IF($G1979="","",$V1979*N($L1979))</f>
        <v/>
      </c>
      <c r="Y1979" s="35" t="str">
        <f aca="false">IF($G1979="","",$V1979*(N($M1979)*1+N($N1979)*0.75+N($O1979)*0.5+N($P1979)*0.25)+$W1979*N($L1979))</f>
        <v/>
      </c>
      <c r="Z1979" s="35" t="str">
        <f aca="false">IF($G1979="","",$U1979*1000000+ROW())</f>
        <v/>
      </c>
      <c r="AA1979" s="36" t="str">
        <f aca="false">IF($G1979="","",MID(IF($C1979="",", no division","")&amp;IF($E1979="",", no unit","")&amp;IF($H1979="",", no career level","")&amp;IF(N($L1979)&lt;=0,", no quarter split","")&amp;IF($R1979="",", no driver","")&amp;IF(AND($H1979&lt;&gt;"",COUNTIF(CareerLevels,$H1979)=0),", a career level that is not on the ladder","")&amp;IF(AND($R1979&lt;&gt;"",COUNTIF(DriverList,$R1979)=0),", a driver that is not on the list","")&amp;IF(ABS(N($L1979)-(N($M1979)+N($N1979)+N($O1979)+N($P1979)))&gt;0.001,", a total that does not match its quarters",""),3,300))</f>
        <v/>
      </c>
    </row>
    <row r="1980" customFormat="false" ht="15" hidden="false" customHeight="false" outlineLevel="0" collapsed="false">
      <c r="A1980" s="33" t="str">
        <f aca="false">IF($G1980="","","Risk Group")</f>
        <v/>
      </c>
      <c r="B1980" s="19"/>
      <c r="C1980" s="19"/>
      <c r="D1980" s="19"/>
      <c r="E1980" s="19"/>
      <c r="F1980" s="19"/>
      <c r="G1980" s="19"/>
      <c r="H1980" s="19"/>
      <c r="I1980" s="19"/>
      <c r="J1980" s="19"/>
      <c r="K1980" s="19"/>
      <c r="L1980" s="19"/>
      <c r="M1980" s="19"/>
      <c r="N1980" s="19"/>
      <c r="O1980" s="19"/>
      <c r="P1980" s="19"/>
      <c r="Q1980" s="19"/>
      <c r="R1980" s="19"/>
      <c r="S1980" s="19"/>
      <c r="T1980" s="34" t="str">
        <f aca="false">IF($R1980="","",IFERROR(INDEX(DriverCategory,MATCH($R1980,DriverList,0)),"BAU"))</f>
        <v/>
      </c>
      <c r="U1980" s="34" t="str">
        <f aca="false">IF($R1980="","",IFERROR(INDEX(DriverRank,MATCH($R1980,DriverList,0)),99))</f>
        <v/>
      </c>
      <c r="V1980" s="35" t="n">
        <f aca="false">IF($H1980="",0,IFERROR(INDEX(LevelBasic,MATCH($H1980,LevelList,0))+INDEX(LevelHousing,MATCH($H1980,LevelList,0))+INDEX(LevelTransport,MATCH($H1980,LevelList,0))+INDEX(LevelBasic,MATCH($H1980,LevelList,0))*INDEX(LevelBonus,MATCH($H1980,LevelList,0))+(INDEX(LevelBasic,MATCH($H1980,LevelList,0))+INDEX(LevelHousing,MATCH($H1980,LevelList,0)))*GosiSaudi,0))</f>
        <v>0</v>
      </c>
      <c r="W1980" s="35" t="n">
        <f aca="false">IFERROR(INDEX(LevelOneOff,MATCH($H1980,LevelList,0)),0)</f>
        <v>0</v>
      </c>
      <c r="X1980" s="35" t="str">
        <f aca="false">IF($G1980="","",$V1980*N($L1980))</f>
        <v/>
      </c>
      <c r="Y1980" s="35" t="str">
        <f aca="false">IF($G1980="","",$V1980*(N($M1980)*1+N($N1980)*0.75+N($O1980)*0.5+N($P1980)*0.25)+$W1980*N($L1980))</f>
        <v/>
      </c>
      <c r="Z1980" s="35" t="str">
        <f aca="false">IF($G1980="","",$U1980*1000000+ROW())</f>
        <v/>
      </c>
      <c r="AA1980" s="36" t="str">
        <f aca="false">IF($G1980="","",MID(IF($C1980="",", no division","")&amp;IF($E1980="",", no unit","")&amp;IF($H1980="",", no career level","")&amp;IF(N($L1980)&lt;=0,", no quarter split","")&amp;IF($R1980="",", no driver","")&amp;IF(AND($H1980&lt;&gt;"",COUNTIF(CareerLevels,$H1980)=0),", a career level that is not on the ladder","")&amp;IF(AND($R1980&lt;&gt;"",COUNTIF(DriverList,$R1980)=0),", a driver that is not on the list","")&amp;IF(ABS(N($L1980)-(N($M1980)+N($N1980)+N($O1980)+N($P1980)))&gt;0.001,", a total that does not match its quarters",""),3,300))</f>
        <v/>
      </c>
    </row>
    <row r="1981" customFormat="false" ht="15" hidden="false" customHeight="false" outlineLevel="0" collapsed="false">
      <c r="A1981" s="33" t="str">
        <f aca="false">IF($G1981="","","Risk Group")</f>
        <v/>
      </c>
      <c r="B1981" s="19"/>
      <c r="C1981" s="19"/>
      <c r="D1981" s="19"/>
      <c r="E1981" s="19"/>
      <c r="F1981" s="19"/>
      <c r="G1981" s="19"/>
      <c r="H1981" s="19"/>
      <c r="I1981" s="19"/>
      <c r="J1981" s="19"/>
      <c r="K1981" s="19"/>
      <c r="L1981" s="19"/>
      <c r="M1981" s="19"/>
      <c r="N1981" s="19"/>
      <c r="O1981" s="19"/>
      <c r="P1981" s="19"/>
      <c r="Q1981" s="19"/>
      <c r="R1981" s="19"/>
      <c r="S1981" s="19"/>
      <c r="T1981" s="34" t="str">
        <f aca="false">IF($R1981="","",IFERROR(INDEX(DriverCategory,MATCH($R1981,DriverList,0)),"BAU"))</f>
        <v/>
      </c>
      <c r="U1981" s="34" t="str">
        <f aca="false">IF($R1981="","",IFERROR(INDEX(DriverRank,MATCH($R1981,DriverList,0)),99))</f>
        <v/>
      </c>
      <c r="V1981" s="35" t="n">
        <f aca="false">IF($H1981="",0,IFERROR(INDEX(LevelBasic,MATCH($H1981,LevelList,0))+INDEX(LevelHousing,MATCH($H1981,LevelList,0))+INDEX(LevelTransport,MATCH($H1981,LevelList,0))+INDEX(LevelBasic,MATCH($H1981,LevelList,0))*INDEX(LevelBonus,MATCH($H1981,LevelList,0))+(INDEX(LevelBasic,MATCH($H1981,LevelList,0))+INDEX(LevelHousing,MATCH($H1981,LevelList,0)))*GosiSaudi,0))</f>
        <v>0</v>
      </c>
      <c r="W1981" s="35" t="n">
        <f aca="false">IFERROR(INDEX(LevelOneOff,MATCH($H1981,LevelList,0)),0)</f>
        <v>0</v>
      </c>
      <c r="X1981" s="35" t="str">
        <f aca="false">IF($G1981="","",$V1981*N($L1981))</f>
        <v/>
      </c>
      <c r="Y1981" s="35" t="str">
        <f aca="false">IF($G1981="","",$V1981*(N($M1981)*1+N($N1981)*0.75+N($O1981)*0.5+N($P1981)*0.25)+$W1981*N($L1981))</f>
        <v/>
      </c>
      <c r="Z1981" s="35" t="str">
        <f aca="false">IF($G1981="","",$U1981*1000000+ROW())</f>
        <v/>
      </c>
      <c r="AA1981" s="36" t="str">
        <f aca="false">IF($G1981="","",MID(IF($C1981="",", no division","")&amp;IF($E1981="",", no unit","")&amp;IF($H1981="",", no career level","")&amp;IF(N($L1981)&lt;=0,", no quarter split","")&amp;IF($R1981="",", no driver","")&amp;IF(AND($H1981&lt;&gt;"",COUNTIF(CareerLevels,$H1981)=0),", a career level that is not on the ladder","")&amp;IF(AND($R1981&lt;&gt;"",COUNTIF(DriverList,$R1981)=0),", a driver that is not on the list","")&amp;IF(ABS(N($L1981)-(N($M1981)+N($N1981)+N($O1981)+N($P1981)))&gt;0.001,", a total that does not match its quarters",""),3,300))</f>
        <v/>
      </c>
    </row>
    <row r="1982" customFormat="false" ht="15" hidden="false" customHeight="false" outlineLevel="0" collapsed="false">
      <c r="A1982" s="33" t="str">
        <f aca="false">IF($G1982="","","Risk Group")</f>
        <v/>
      </c>
      <c r="B1982" s="19"/>
      <c r="C1982" s="19"/>
      <c r="D1982" s="19"/>
      <c r="E1982" s="19"/>
      <c r="F1982" s="19"/>
      <c r="G1982" s="19"/>
      <c r="H1982" s="19"/>
      <c r="I1982" s="19"/>
      <c r="J1982" s="19"/>
      <c r="K1982" s="19"/>
      <c r="L1982" s="19"/>
      <c r="M1982" s="19"/>
      <c r="N1982" s="19"/>
      <c r="O1982" s="19"/>
      <c r="P1982" s="19"/>
      <c r="Q1982" s="19"/>
      <c r="R1982" s="19"/>
      <c r="S1982" s="19"/>
      <c r="T1982" s="34" t="str">
        <f aca="false">IF($R1982="","",IFERROR(INDEX(DriverCategory,MATCH($R1982,DriverList,0)),"BAU"))</f>
        <v/>
      </c>
      <c r="U1982" s="34" t="str">
        <f aca="false">IF($R1982="","",IFERROR(INDEX(DriverRank,MATCH($R1982,DriverList,0)),99))</f>
        <v/>
      </c>
      <c r="V1982" s="35" t="n">
        <f aca="false">IF($H1982="",0,IFERROR(INDEX(LevelBasic,MATCH($H1982,LevelList,0))+INDEX(LevelHousing,MATCH($H1982,LevelList,0))+INDEX(LevelTransport,MATCH($H1982,LevelList,0))+INDEX(LevelBasic,MATCH($H1982,LevelList,0))*INDEX(LevelBonus,MATCH($H1982,LevelList,0))+(INDEX(LevelBasic,MATCH($H1982,LevelList,0))+INDEX(LevelHousing,MATCH($H1982,LevelList,0)))*GosiSaudi,0))</f>
        <v>0</v>
      </c>
      <c r="W1982" s="35" t="n">
        <f aca="false">IFERROR(INDEX(LevelOneOff,MATCH($H1982,LevelList,0)),0)</f>
        <v>0</v>
      </c>
      <c r="X1982" s="35" t="str">
        <f aca="false">IF($G1982="","",$V1982*N($L1982))</f>
        <v/>
      </c>
      <c r="Y1982" s="35" t="str">
        <f aca="false">IF($G1982="","",$V1982*(N($M1982)*1+N($N1982)*0.75+N($O1982)*0.5+N($P1982)*0.25)+$W1982*N($L1982))</f>
        <v/>
      </c>
      <c r="Z1982" s="35" t="str">
        <f aca="false">IF($G1982="","",$U1982*1000000+ROW())</f>
        <v/>
      </c>
      <c r="AA1982" s="36" t="str">
        <f aca="false">IF($G1982="","",MID(IF($C1982="",", no division","")&amp;IF($E1982="",", no unit","")&amp;IF($H1982="",", no career level","")&amp;IF(N($L1982)&lt;=0,", no quarter split","")&amp;IF($R1982="",", no driver","")&amp;IF(AND($H1982&lt;&gt;"",COUNTIF(CareerLevels,$H1982)=0),", a career level that is not on the ladder","")&amp;IF(AND($R1982&lt;&gt;"",COUNTIF(DriverList,$R1982)=0),", a driver that is not on the list","")&amp;IF(ABS(N($L1982)-(N($M1982)+N($N1982)+N($O1982)+N($P1982)))&gt;0.001,", a total that does not match its quarters",""),3,300))</f>
        <v/>
      </c>
    </row>
    <row r="1983" customFormat="false" ht="15" hidden="false" customHeight="false" outlineLevel="0" collapsed="false">
      <c r="A1983" s="33" t="str">
        <f aca="false">IF($G1983="","","Risk Group")</f>
        <v/>
      </c>
      <c r="B1983" s="19"/>
      <c r="C1983" s="19"/>
      <c r="D1983" s="19"/>
      <c r="E1983" s="19"/>
      <c r="F1983" s="19"/>
      <c r="G1983" s="19"/>
      <c r="H1983" s="19"/>
      <c r="I1983" s="19"/>
      <c r="J1983" s="19"/>
      <c r="K1983" s="19"/>
      <c r="L1983" s="19"/>
      <c r="M1983" s="19"/>
      <c r="N1983" s="19"/>
      <c r="O1983" s="19"/>
      <c r="P1983" s="19"/>
      <c r="Q1983" s="19"/>
      <c r="R1983" s="19"/>
      <c r="S1983" s="19"/>
      <c r="T1983" s="34" t="str">
        <f aca="false">IF($R1983="","",IFERROR(INDEX(DriverCategory,MATCH($R1983,DriverList,0)),"BAU"))</f>
        <v/>
      </c>
      <c r="U1983" s="34" t="str">
        <f aca="false">IF($R1983="","",IFERROR(INDEX(DriverRank,MATCH($R1983,DriverList,0)),99))</f>
        <v/>
      </c>
      <c r="V1983" s="35" t="n">
        <f aca="false">IF($H1983="",0,IFERROR(INDEX(LevelBasic,MATCH($H1983,LevelList,0))+INDEX(LevelHousing,MATCH($H1983,LevelList,0))+INDEX(LevelTransport,MATCH($H1983,LevelList,0))+INDEX(LevelBasic,MATCH($H1983,LevelList,0))*INDEX(LevelBonus,MATCH($H1983,LevelList,0))+(INDEX(LevelBasic,MATCH($H1983,LevelList,0))+INDEX(LevelHousing,MATCH($H1983,LevelList,0)))*GosiSaudi,0))</f>
        <v>0</v>
      </c>
      <c r="W1983" s="35" t="n">
        <f aca="false">IFERROR(INDEX(LevelOneOff,MATCH($H1983,LevelList,0)),0)</f>
        <v>0</v>
      </c>
      <c r="X1983" s="35" t="str">
        <f aca="false">IF($G1983="","",$V1983*N($L1983))</f>
        <v/>
      </c>
      <c r="Y1983" s="35" t="str">
        <f aca="false">IF($G1983="","",$V1983*(N($M1983)*1+N($N1983)*0.75+N($O1983)*0.5+N($P1983)*0.25)+$W1983*N($L1983))</f>
        <v/>
      </c>
      <c r="Z1983" s="35" t="str">
        <f aca="false">IF($G1983="","",$U1983*1000000+ROW())</f>
        <v/>
      </c>
      <c r="AA1983" s="36" t="str">
        <f aca="false">IF($G1983="","",MID(IF($C1983="",", no division","")&amp;IF($E1983="",", no unit","")&amp;IF($H1983="",", no career level","")&amp;IF(N($L1983)&lt;=0,", no quarter split","")&amp;IF($R1983="",", no driver","")&amp;IF(AND($H1983&lt;&gt;"",COUNTIF(CareerLevels,$H1983)=0),", a career level that is not on the ladder","")&amp;IF(AND($R1983&lt;&gt;"",COUNTIF(DriverList,$R1983)=0),", a driver that is not on the list","")&amp;IF(ABS(N($L1983)-(N($M1983)+N($N1983)+N($O1983)+N($P1983)))&gt;0.001,", a total that does not match its quarters",""),3,300))</f>
        <v/>
      </c>
    </row>
    <row r="1984" customFormat="false" ht="15" hidden="false" customHeight="false" outlineLevel="0" collapsed="false">
      <c r="A1984" s="33" t="str">
        <f aca="false">IF($G1984="","","Risk Group")</f>
        <v/>
      </c>
      <c r="B1984" s="19"/>
      <c r="C1984" s="19"/>
      <c r="D1984" s="19"/>
      <c r="E1984" s="19"/>
      <c r="F1984" s="19"/>
      <c r="G1984" s="19"/>
      <c r="H1984" s="19"/>
      <c r="I1984" s="19"/>
      <c r="J1984" s="19"/>
      <c r="K1984" s="19"/>
      <c r="L1984" s="19"/>
      <c r="M1984" s="19"/>
      <c r="N1984" s="19"/>
      <c r="O1984" s="19"/>
      <c r="P1984" s="19"/>
      <c r="Q1984" s="19"/>
      <c r="R1984" s="19"/>
      <c r="S1984" s="19"/>
      <c r="T1984" s="34" t="str">
        <f aca="false">IF($R1984="","",IFERROR(INDEX(DriverCategory,MATCH($R1984,DriverList,0)),"BAU"))</f>
        <v/>
      </c>
      <c r="U1984" s="34" t="str">
        <f aca="false">IF($R1984="","",IFERROR(INDEX(DriverRank,MATCH($R1984,DriverList,0)),99))</f>
        <v/>
      </c>
      <c r="V1984" s="35" t="n">
        <f aca="false">IF($H1984="",0,IFERROR(INDEX(LevelBasic,MATCH($H1984,LevelList,0))+INDEX(LevelHousing,MATCH($H1984,LevelList,0))+INDEX(LevelTransport,MATCH($H1984,LevelList,0))+INDEX(LevelBasic,MATCH($H1984,LevelList,0))*INDEX(LevelBonus,MATCH($H1984,LevelList,0))+(INDEX(LevelBasic,MATCH($H1984,LevelList,0))+INDEX(LevelHousing,MATCH($H1984,LevelList,0)))*GosiSaudi,0))</f>
        <v>0</v>
      </c>
      <c r="W1984" s="35" t="n">
        <f aca="false">IFERROR(INDEX(LevelOneOff,MATCH($H1984,LevelList,0)),0)</f>
        <v>0</v>
      </c>
      <c r="X1984" s="35" t="str">
        <f aca="false">IF($G1984="","",$V1984*N($L1984))</f>
        <v/>
      </c>
      <c r="Y1984" s="35" t="str">
        <f aca="false">IF($G1984="","",$V1984*(N($M1984)*1+N($N1984)*0.75+N($O1984)*0.5+N($P1984)*0.25)+$W1984*N($L1984))</f>
        <v/>
      </c>
      <c r="Z1984" s="35" t="str">
        <f aca="false">IF($G1984="","",$U1984*1000000+ROW())</f>
        <v/>
      </c>
      <c r="AA1984" s="36" t="str">
        <f aca="false">IF($G1984="","",MID(IF($C1984="",", no division","")&amp;IF($E1984="",", no unit","")&amp;IF($H1984="",", no career level","")&amp;IF(N($L1984)&lt;=0,", no quarter split","")&amp;IF($R1984="",", no driver","")&amp;IF(AND($H1984&lt;&gt;"",COUNTIF(CareerLevels,$H1984)=0),", a career level that is not on the ladder","")&amp;IF(AND($R1984&lt;&gt;"",COUNTIF(DriverList,$R1984)=0),", a driver that is not on the list","")&amp;IF(ABS(N($L1984)-(N($M1984)+N($N1984)+N($O1984)+N($P1984)))&gt;0.001,", a total that does not match its quarters",""),3,300))</f>
        <v/>
      </c>
    </row>
    <row r="1985" customFormat="false" ht="15" hidden="false" customHeight="false" outlineLevel="0" collapsed="false">
      <c r="A1985" s="33" t="str">
        <f aca="false">IF($G1985="","","Risk Group")</f>
        <v/>
      </c>
      <c r="B1985" s="19"/>
      <c r="C1985" s="19"/>
      <c r="D1985" s="19"/>
      <c r="E1985" s="19"/>
      <c r="F1985" s="19"/>
      <c r="G1985" s="19"/>
      <c r="H1985" s="19"/>
      <c r="I1985" s="19"/>
      <c r="J1985" s="19"/>
      <c r="K1985" s="19"/>
      <c r="L1985" s="19"/>
      <c r="M1985" s="19"/>
      <c r="N1985" s="19"/>
      <c r="O1985" s="19"/>
      <c r="P1985" s="19"/>
      <c r="Q1985" s="19"/>
      <c r="R1985" s="19"/>
      <c r="S1985" s="19"/>
      <c r="T1985" s="34" t="str">
        <f aca="false">IF($R1985="","",IFERROR(INDEX(DriverCategory,MATCH($R1985,DriverList,0)),"BAU"))</f>
        <v/>
      </c>
      <c r="U1985" s="34" t="str">
        <f aca="false">IF($R1985="","",IFERROR(INDEX(DriverRank,MATCH($R1985,DriverList,0)),99))</f>
        <v/>
      </c>
      <c r="V1985" s="35" t="n">
        <f aca="false">IF($H1985="",0,IFERROR(INDEX(LevelBasic,MATCH($H1985,LevelList,0))+INDEX(LevelHousing,MATCH($H1985,LevelList,0))+INDEX(LevelTransport,MATCH($H1985,LevelList,0))+INDEX(LevelBasic,MATCH($H1985,LevelList,0))*INDEX(LevelBonus,MATCH($H1985,LevelList,0))+(INDEX(LevelBasic,MATCH($H1985,LevelList,0))+INDEX(LevelHousing,MATCH($H1985,LevelList,0)))*GosiSaudi,0))</f>
        <v>0</v>
      </c>
      <c r="W1985" s="35" t="n">
        <f aca="false">IFERROR(INDEX(LevelOneOff,MATCH($H1985,LevelList,0)),0)</f>
        <v>0</v>
      </c>
      <c r="X1985" s="35" t="str">
        <f aca="false">IF($G1985="","",$V1985*N($L1985))</f>
        <v/>
      </c>
      <c r="Y1985" s="35" t="str">
        <f aca="false">IF($G1985="","",$V1985*(N($M1985)*1+N($N1985)*0.75+N($O1985)*0.5+N($P1985)*0.25)+$W1985*N($L1985))</f>
        <v/>
      </c>
      <c r="Z1985" s="35" t="str">
        <f aca="false">IF($G1985="","",$U1985*1000000+ROW())</f>
        <v/>
      </c>
      <c r="AA1985" s="36" t="str">
        <f aca="false">IF($G1985="","",MID(IF($C1985="",", no division","")&amp;IF($E1985="",", no unit","")&amp;IF($H1985="",", no career level","")&amp;IF(N($L1985)&lt;=0,", no quarter split","")&amp;IF($R1985="",", no driver","")&amp;IF(AND($H1985&lt;&gt;"",COUNTIF(CareerLevels,$H1985)=0),", a career level that is not on the ladder","")&amp;IF(AND($R1985&lt;&gt;"",COUNTIF(DriverList,$R1985)=0),", a driver that is not on the list","")&amp;IF(ABS(N($L1985)-(N($M1985)+N($N1985)+N($O1985)+N($P1985)))&gt;0.001,", a total that does not match its quarters",""),3,300))</f>
        <v/>
      </c>
    </row>
    <row r="1986" customFormat="false" ht="15" hidden="false" customHeight="false" outlineLevel="0" collapsed="false">
      <c r="A1986" s="33" t="str">
        <f aca="false">IF($G1986="","","Risk Group")</f>
        <v/>
      </c>
      <c r="B1986" s="19"/>
      <c r="C1986" s="19"/>
      <c r="D1986" s="19"/>
      <c r="E1986" s="19"/>
      <c r="F1986" s="19"/>
      <c r="G1986" s="19"/>
      <c r="H1986" s="19"/>
      <c r="I1986" s="19"/>
      <c r="J1986" s="19"/>
      <c r="K1986" s="19"/>
      <c r="L1986" s="19"/>
      <c r="M1986" s="19"/>
      <c r="N1986" s="19"/>
      <c r="O1986" s="19"/>
      <c r="P1986" s="19"/>
      <c r="Q1986" s="19"/>
      <c r="R1986" s="19"/>
      <c r="S1986" s="19"/>
      <c r="T1986" s="34" t="str">
        <f aca="false">IF($R1986="","",IFERROR(INDEX(DriverCategory,MATCH($R1986,DriverList,0)),"BAU"))</f>
        <v/>
      </c>
      <c r="U1986" s="34" t="str">
        <f aca="false">IF($R1986="","",IFERROR(INDEX(DriverRank,MATCH($R1986,DriverList,0)),99))</f>
        <v/>
      </c>
      <c r="V1986" s="35" t="n">
        <f aca="false">IF($H1986="",0,IFERROR(INDEX(LevelBasic,MATCH($H1986,LevelList,0))+INDEX(LevelHousing,MATCH($H1986,LevelList,0))+INDEX(LevelTransport,MATCH($H1986,LevelList,0))+INDEX(LevelBasic,MATCH($H1986,LevelList,0))*INDEX(LevelBonus,MATCH($H1986,LevelList,0))+(INDEX(LevelBasic,MATCH($H1986,LevelList,0))+INDEX(LevelHousing,MATCH($H1986,LevelList,0)))*GosiSaudi,0))</f>
        <v>0</v>
      </c>
      <c r="W1986" s="35" t="n">
        <f aca="false">IFERROR(INDEX(LevelOneOff,MATCH($H1986,LevelList,0)),0)</f>
        <v>0</v>
      </c>
      <c r="X1986" s="35" t="str">
        <f aca="false">IF($G1986="","",$V1986*N($L1986))</f>
        <v/>
      </c>
      <c r="Y1986" s="35" t="str">
        <f aca="false">IF($G1986="","",$V1986*(N($M1986)*1+N($N1986)*0.75+N($O1986)*0.5+N($P1986)*0.25)+$W1986*N($L1986))</f>
        <v/>
      </c>
      <c r="Z1986" s="35" t="str">
        <f aca="false">IF($G1986="","",$U1986*1000000+ROW())</f>
        <v/>
      </c>
      <c r="AA1986" s="36" t="str">
        <f aca="false">IF($G1986="","",MID(IF($C1986="",", no division","")&amp;IF($E1986="",", no unit","")&amp;IF($H1986="",", no career level","")&amp;IF(N($L1986)&lt;=0,", no quarter split","")&amp;IF($R1986="",", no driver","")&amp;IF(AND($H1986&lt;&gt;"",COUNTIF(CareerLevels,$H1986)=0),", a career level that is not on the ladder","")&amp;IF(AND($R1986&lt;&gt;"",COUNTIF(DriverList,$R1986)=0),", a driver that is not on the list","")&amp;IF(ABS(N($L1986)-(N($M1986)+N($N1986)+N($O1986)+N($P1986)))&gt;0.001,", a total that does not match its quarters",""),3,300))</f>
        <v/>
      </c>
    </row>
    <row r="1987" customFormat="false" ht="15" hidden="false" customHeight="false" outlineLevel="0" collapsed="false">
      <c r="A1987" s="33" t="str">
        <f aca="false">IF($G1987="","","Risk Group")</f>
        <v/>
      </c>
      <c r="B1987" s="19"/>
      <c r="C1987" s="19"/>
      <c r="D1987" s="19"/>
      <c r="E1987" s="19"/>
      <c r="F1987" s="19"/>
      <c r="G1987" s="19"/>
      <c r="H1987" s="19"/>
      <c r="I1987" s="19"/>
      <c r="J1987" s="19"/>
      <c r="K1987" s="19"/>
      <c r="L1987" s="19"/>
      <c r="M1987" s="19"/>
      <c r="N1987" s="19"/>
      <c r="O1987" s="19"/>
      <c r="P1987" s="19"/>
      <c r="Q1987" s="19"/>
      <c r="R1987" s="19"/>
      <c r="S1987" s="19"/>
      <c r="T1987" s="34" t="str">
        <f aca="false">IF($R1987="","",IFERROR(INDEX(DriverCategory,MATCH($R1987,DriverList,0)),"BAU"))</f>
        <v/>
      </c>
      <c r="U1987" s="34" t="str">
        <f aca="false">IF($R1987="","",IFERROR(INDEX(DriverRank,MATCH($R1987,DriverList,0)),99))</f>
        <v/>
      </c>
      <c r="V1987" s="35" t="n">
        <f aca="false">IF($H1987="",0,IFERROR(INDEX(LevelBasic,MATCH($H1987,LevelList,0))+INDEX(LevelHousing,MATCH($H1987,LevelList,0))+INDEX(LevelTransport,MATCH($H1987,LevelList,0))+INDEX(LevelBasic,MATCH($H1987,LevelList,0))*INDEX(LevelBonus,MATCH($H1987,LevelList,0))+(INDEX(LevelBasic,MATCH($H1987,LevelList,0))+INDEX(LevelHousing,MATCH($H1987,LevelList,0)))*GosiSaudi,0))</f>
        <v>0</v>
      </c>
      <c r="W1987" s="35" t="n">
        <f aca="false">IFERROR(INDEX(LevelOneOff,MATCH($H1987,LevelList,0)),0)</f>
        <v>0</v>
      </c>
      <c r="X1987" s="35" t="str">
        <f aca="false">IF($G1987="","",$V1987*N($L1987))</f>
        <v/>
      </c>
      <c r="Y1987" s="35" t="str">
        <f aca="false">IF($G1987="","",$V1987*(N($M1987)*1+N($N1987)*0.75+N($O1987)*0.5+N($P1987)*0.25)+$W1987*N($L1987))</f>
        <v/>
      </c>
      <c r="Z1987" s="35" t="str">
        <f aca="false">IF($G1987="","",$U1987*1000000+ROW())</f>
        <v/>
      </c>
      <c r="AA1987" s="36" t="str">
        <f aca="false">IF($G1987="","",MID(IF($C1987="",", no division","")&amp;IF($E1987="",", no unit","")&amp;IF($H1987="",", no career level","")&amp;IF(N($L1987)&lt;=0,", no quarter split","")&amp;IF($R1987="",", no driver","")&amp;IF(AND($H1987&lt;&gt;"",COUNTIF(CareerLevels,$H1987)=0),", a career level that is not on the ladder","")&amp;IF(AND($R1987&lt;&gt;"",COUNTIF(DriverList,$R1987)=0),", a driver that is not on the list","")&amp;IF(ABS(N($L1987)-(N($M1987)+N($N1987)+N($O1987)+N($P1987)))&gt;0.001,", a total that does not match its quarters",""),3,300))</f>
        <v/>
      </c>
    </row>
    <row r="1988" customFormat="false" ht="15" hidden="false" customHeight="false" outlineLevel="0" collapsed="false">
      <c r="A1988" s="33" t="str">
        <f aca="false">IF($G1988="","","Risk Group")</f>
        <v/>
      </c>
      <c r="B1988" s="19"/>
      <c r="C1988" s="19"/>
      <c r="D1988" s="19"/>
      <c r="E1988" s="19"/>
      <c r="F1988" s="19"/>
      <c r="G1988" s="19"/>
      <c r="H1988" s="19"/>
      <c r="I1988" s="19"/>
      <c r="J1988" s="19"/>
      <c r="K1988" s="19"/>
      <c r="L1988" s="19"/>
      <c r="M1988" s="19"/>
      <c r="N1988" s="19"/>
      <c r="O1988" s="19"/>
      <c r="P1988" s="19"/>
      <c r="Q1988" s="19"/>
      <c r="R1988" s="19"/>
      <c r="S1988" s="19"/>
      <c r="T1988" s="34" t="str">
        <f aca="false">IF($R1988="","",IFERROR(INDEX(DriverCategory,MATCH($R1988,DriverList,0)),"BAU"))</f>
        <v/>
      </c>
      <c r="U1988" s="34" t="str">
        <f aca="false">IF($R1988="","",IFERROR(INDEX(DriverRank,MATCH($R1988,DriverList,0)),99))</f>
        <v/>
      </c>
      <c r="V1988" s="35" t="n">
        <f aca="false">IF($H1988="",0,IFERROR(INDEX(LevelBasic,MATCH($H1988,LevelList,0))+INDEX(LevelHousing,MATCH($H1988,LevelList,0))+INDEX(LevelTransport,MATCH($H1988,LevelList,0))+INDEX(LevelBasic,MATCH($H1988,LevelList,0))*INDEX(LevelBonus,MATCH($H1988,LevelList,0))+(INDEX(LevelBasic,MATCH($H1988,LevelList,0))+INDEX(LevelHousing,MATCH($H1988,LevelList,0)))*GosiSaudi,0))</f>
        <v>0</v>
      </c>
      <c r="W1988" s="35" t="n">
        <f aca="false">IFERROR(INDEX(LevelOneOff,MATCH($H1988,LevelList,0)),0)</f>
        <v>0</v>
      </c>
      <c r="X1988" s="35" t="str">
        <f aca="false">IF($G1988="","",$V1988*N($L1988))</f>
        <v/>
      </c>
      <c r="Y1988" s="35" t="str">
        <f aca="false">IF($G1988="","",$V1988*(N($M1988)*1+N($N1988)*0.75+N($O1988)*0.5+N($P1988)*0.25)+$W1988*N($L1988))</f>
        <v/>
      </c>
      <c r="Z1988" s="35" t="str">
        <f aca="false">IF($G1988="","",$U1988*1000000+ROW())</f>
        <v/>
      </c>
      <c r="AA1988" s="36" t="str">
        <f aca="false">IF($G1988="","",MID(IF($C1988="",", no division","")&amp;IF($E1988="",", no unit","")&amp;IF($H1988="",", no career level","")&amp;IF(N($L1988)&lt;=0,", no quarter split","")&amp;IF($R1988="",", no driver","")&amp;IF(AND($H1988&lt;&gt;"",COUNTIF(CareerLevels,$H1988)=0),", a career level that is not on the ladder","")&amp;IF(AND($R1988&lt;&gt;"",COUNTIF(DriverList,$R1988)=0),", a driver that is not on the list","")&amp;IF(ABS(N($L1988)-(N($M1988)+N($N1988)+N($O1988)+N($P1988)))&gt;0.001,", a total that does not match its quarters",""),3,300))</f>
        <v/>
      </c>
    </row>
    <row r="1989" customFormat="false" ht="15" hidden="false" customHeight="false" outlineLevel="0" collapsed="false">
      <c r="A1989" s="33" t="str">
        <f aca="false">IF($G1989="","","Risk Group")</f>
        <v/>
      </c>
      <c r="B1989" s="19"/>
      <c r="C1989" s="19"/>
      <c r="D1989" s="19"/>
      <c r="E1989" s="19"/>
      <c r="F1989" s="19"/>
      <c r="G1989" s="19"/>
      <c r="H1989" s="19"/>
      <c r="I1989" s="19"/>
      <c r="J1989" s="19"/>
      <c r="K1989" s="19"/>
      <c r="L1989" s="19"/>
      <c r="M1989" s="19"/>
      <c r="N1989" s="19"/>
      <c r="O1989" s="19"/>
      <c r="P1989" s="19"/>
      <c r="Q1989" s="19"/>
      <c r="R1989" s="19"/>
      <c r="S1989" s="19"/>
      <c r="T1989" s="34" t="str">
        <f aca="false">IF($R1989="","",IFERROR(INDEX(DriverCategory,MATCH($R1989,DriverList,0)),"BAU"))</f>
        <v/>
      </c>
      <c r="U1989" s="34" t="str">
        <f aca="false">IF($R1989="","",IFERROR(INDEX(DriverRank,MATCH($R1989,DriverList,0)),99))</f>
        <v/>
      </c>
      <c r="V1989" s="35" t="n">
        <f aca="false">IF($H1989="",0,IFERROR(INDEX(LevelBasic,MATCH($H1989,LevelList,0))+INDEX(LevelHousing,MATCH($H1989,LevelList,0))+INDEX(LevelTransport,MATCH($H1989,LevelList,0))+INDEX(LevelBasic,MATCH($H1989,LevelList,0))*INDEX(LevelBonus,MATCH($H1989,LevelList,0))+(INDEX(LevelBasic,MATCH($H1989,LevelList,0))+INDEX(LevelHousing,MATCH($H1989,LevelList,0)))*GosiSaudi,0))</f>
        <v>0</v>
      </c>
      <c r="W1989" s="35" t="n">
        <f aca="false">IFERROR(INDEX(LevelOneOff,MATCH($H1989,LevelList,0)),0)</f>
        <v>0</v>
      </c>
      <c r="X1989" s="35" t="str">
        <f aca="false">IF($G1989="","",$V1989*N($L1989))</f>
        <v/>
      </c>
      <c r="Y1989" s="35" t="str">
        <f aca="false">IF($G1989="","",$V1989*(N($M1989)*1+N($N1989)*0.75+N($O1989)*0.5+N($P1989)*0.25)+$W1989*N($L1989))</f>
        <v/>
      </c>
      <c r="Z1989" s="35" t="str">
        <f aca="false">IF($G1989="","",$U1989*1000000+ROW())</f>
        <v/>
      </c>
      <c r="AA1989" s="36" t="str">
        <f aca="false">IF($G1989="","",MID(IF($C1989="",", no division","")&amp;IF($E1989="",", no unit","")&amp;IF($H1989="",", no career level","")&amp;IF(N($L1989)&lt;=0,", no quarter split","")&amp;IF($R1989="",", no driver","")&amp;IF(AND($H1989&lt;&gt;"",COUNTIF(CareerLevels,$H1989)=0),", a career level that is not on the ladder","")&amp;IF(AND($R1989&lt;&gt;"",COUNTIF(DriverList,$R1989)=0),", a driver that is not on the list","")&amp;IF(ABS(N($L1989)-(N($M1989)+N($N1989)+N($O1989)+N($P1989)))&gt;0.001,", a total that does not match its quarters",""),3,300))</f>
        <v/>
      </c>
    </row>
    <row r="1990" customFormat="false" ht="15" hidden="false" customHeight="false" outlineLevel="0" collapsed="false">
      <c r="A1990" s="33" t="str">
        <f aca="false">IF($G1990="","","Risk Group")</f>
        <v/>
      </c>
      <c r="B1990" s="19"/>
      <c r="C1990" s="19"/>
      <c r="D1990" s="19"/>
      <c r="E1990" s="19"/>
      <c r="F1990" s="19"/>
      <c r="G1990" s="19"/>
      <c r="H1990" s="19"/>
      <c r="I1990" s="19"/>
      <c r="J1990" s="19"/>
      <c r="K1990" s="19"/>
      <c r="L1990" s="19"/>
      <c r="M1990" s="19"/>
      <c r="N1990" s="19"/>
      <c r="O1990" s="19"/>
      <c r="P1990" s="19"/>
      <c r="Q1990" s="19"/>
      <c r="R1990" s="19"/>
      <c r="S1990" s="19"/>
      <c r="T1990" s="34" t="str">
        <f aca="false">IF($R1990="","",IFERROR(INDEX(DriverCategory,MATCH($R1990,DriverList,0)),"BAU"))</f>
        <v/>
      </c>
      <c r="U1990" s="34" t="str">
        <f aca="false">IF($R1990="","",IFERROR(INDEX(DriverRank,MATCH($R1990,DriverList,0)),99))</f>
        <v/>
      </c>
      <c r="V1990" s="35" t="n">
        <f aca="false">IF($H1990="",0,IFERROR(INDEX(LevelBasic,MATCH($H1990,LevelList,0))+INDEX(LevelHousing,MATCH($H1990,LevelList,0))+INDEX(LevelTransport,MATCH($H1990,LevelList,0))+INDEX(LevelBasic,MATCH($H1990,LevelList,0))*INDEX(LevelBonus,MATCH($H1990,LevelList,0))+(INDEX(LevelBasic,MATCH($H1990,LevelList,0))+INDEX(LevelHousing,MATCH($H1990,LevelList,0)))*GosiSaudi,0))</f>
        <v>0</v>
      </c>
      <c r="W1990" s="35" t="n">
        <f aca="false">IFERROR(INDEX(LevelOneOff,MATCH($H1990,LevelList,0)),0)</f>
        <v>0</v>
      </c>
      <c r="X1990" s="35" t="str">
        <f aca="false">IF($G1990="","",$V1990*N($L1990))</f>
        <v/>
      </c>
      <c r="Y1990" s="35" t="str">
        <f aca="false">IF($G1990="","",$V1990*(N($M1990)*1+N($N1990)*0.75+N($O1990)*0.5+N($P1990)*0.25)+$W1990*N($L1990))</f>
        <v/>
      </c>
      <c r="Z1990" s="35" t="str">
        <f aca="false">IF($G1990="","",$U1990*1000000+ROW())</f>
        <v/>
      </c>
      <c r="AA1990" s="36" t="str">
        <f aca="false">IF($G1990="","",MID(IF($C1990="",", no division","")&amp;IF($E1990="",", no unit","")&amp;IF($H1990="",", no career level","")&amp;IF(N($L1990)&lt;=0,", no quarter split","")&amp;IF($R1990="",", no driver","")&amp;IF(AND($H1990&lt;&gt;"",COUNTIF(CareerLevels,$H1990)=0),", a career level that is not on the ladder","")&amp;IF(AND($R1990&lt;&gt;"",COUNTIF(DriverList,$R1990)=0),", a driver that is not on the list","")&amp;IF(ABS(N($L1990)-(N($M1990)+N($N1990)+N($O1990)+N($P1990)))&gt;0.001,", a total that does not match its quarters",""),3,300))</f>
        <v/>
      </c>
    </row>
    <row r="1991" customFormat="false" ht="15" hidden="false" customHeight="false" outlineLevel="0" collapsed="false">
      <c r="A1991" s="33" t="str">
        <f aca="false">IF($G1991="","","Risk Group")</f>
        <v/>
      </c>
      <c r="B1991" s="19"/>
      <c r="C1991" s="19"/>
      <c r="D1991" s="19"/>
      <c r="E1991" s="19"/>
      <c r="F1991" s="19"/>
      <c r="G1991" s="19"/>
      <c r="H1991" s="19"/>
      <c r="I1991" s="19"/>
      <c r="J1991" s="19"/>
      <c r="K1991" s="19"/>
      <c r="L1991" s="19"/>
      <c r="M1991" s="19"/>
      <c r="N1991" s="19"/>
      <c r="O1991" s="19"/>
      <c r="P1991" s="19"/>
      <c r="Q1991" s="19"/>
      <c r="R1991" s="19"/>
      <c r="S1991" s="19"/>
      <c r="T1991" s="34" t="str">
        <f aca="false">IF($R1991="","",IFERROR(INDEX(DriverCategory,MATCH($R1991,DriverList,0)),"BAU"))</f>
        <v/>
      </c>
      <c r="U1991" s="34" t="str">
        <f aca="false">IF($R1991="","",IFERROR(INDEX(DriverRank,MATCH($R1991,DriverList,0)),99))</f>
        <v/>
      </c>
      <c r="V1991" s="35" t="n">
        <f aca="false">IF($H1991="",0,IFERROR(INDEX(LevelBasic,MATCH($H1991,LevelList,0))+INDEX(LevelHousing,MATCH($H1991,LevelList,0))+INDEX(LevelTransport,MATCH($H1991,LevelList,0))+INDEX(LevelBasic,MATCH($H1991,LevelList,0))*INDEX(LevelBonus,MATCH($H1991,LevelList,0))+(INDEX(LevelBasic,MATCH($H1991,LevelList,0))+INDEX(LevelHousing,MATCH($H1991,LevelList,0)))*GosiSaudi,0))</f>
        <v>0</v>
      </c>
      <c r="W1991" s="35" t="n">
        <f aca="false">IFERROR(INDEX(LevelOneOff,MATCH($H1991,LevelList,0)),0)</f>
        <v>0</v>
      </c>
      <c r="X1991" s="35" t="str">
        <f aca="false">IF($G1991="","",$V1991*N($L1991))</f>
        <v/>
      </c>
      <c r="Y1991" s="35" t="str">
        <f aca="false">IF($G1991="","",$V1991*(N($M1991)*1+N($N1991)*0.75+N($O1991)*0.5+N($P1991)*0.25)+$W1991*N($L1991))</f>
        <v/>
      </c>
      <c r="Z1991" s="35" t="str">
        <f aca="false">IF($G1991="","",$U1991*1000000+ROW())</f>
        <v/>
      </c>
      <c r="AA1991" s="36" t="str">
        <f aca="false">IF($G1991="","",MID(IF($C1991="",", no division","")&amp;IF($E1991="",", no unit","")&amp;IF($H1991="",", no career level","")&amp;IF(N($L1991)&lt;=0,", no quarter split","")&amp;IF($R1991="",", no driver","")&amp;IF(AND($H1991&lt;&gt;"",COUNTIF(CareerLevels,$H1991)=0),", a career level that is not on the ladder","")&amp;IF(AND($R1991&lt;&gt;"",COUNTIF(DriverList,$R1991)=0),", a driver that is not on the list","")&amp;IF(ABS(N($L1991)-(N($M1991)+N($N1991)+N($O1991)+N($P1991)))&gt;0.001,", a total that does not match its quarters",""),3,300))</f>
        <v/>
      </c>
    </row>
    <row r="1992" customFormat="false" ht="15" hidden="false" customHeight="false" outlineLevel="0" collapsed="false">
      <c r="A1992" s="33" t="str">
        <f aca="false">IF($G1992="","","Risk Group")</f>
        <v/>
      </c>
      <c r="B1992" s="19"/>
      <c r="C1992" s="19"/>
      <c r="D1992" s="19"/>
      <c r="E1992" s="19"/>
      <c r="F1992" s="19"/>
      <c r="G1992" s="19"/>
      <c r="H1992" s="19"/>
      <c r="I1992" s="19"/>
      <c r="J1992" s="19"/>
      <c r="K1992" s="19"/>
      <c r="L1992" s="19"/>
      <c r="M1992" s="19"/>
      <c r="N1992" s="19"/>
      <c r="O1992" s="19"/>
      <c r="P1992" s="19"/>
      <c r="Q1992" s="19"/>
      <c r="R1992" s="19"/>
      <c r="S1992" s="19"/>
      <c r="T1992" s="34" t="str">
        <f aca="false">IF($R1992="","",IFERROR(INDEX(DriverCategory,MATCH($R1992,DriverList,0)),"BAU"))</f>
        <v/>
      </c>
      <c r="U1992" s="34" t="str">
        <f aca="false">IF($R1992="","",IFERROR(INDEX(DriverRank,MATCH($R1992,DriverList,0)),99))</f>
        <v/>
      </c>
      <c r="V1992" s="35" t="n">
        <f aca="false">IF($H1992="",0,IFERROR(INDEX(LevelBasic,MATCH($H1992,LevelList,0))+INDEX(LevelHousing,MATCH($H1992,LevelList,0))+INDEX(LevelTransport,MATCH($H1992,LevelList,0))+INDEX(LevelBasic,MATCH($H1992,LevelList,0))*INDEX(LevelBonus,MATCH($H1992,LevelList,0))+(INDEX(LevelBasic,MATCH($H1992,LevelList,0))+INDEX(LevelHousing,MATCH($H1992,LevelList,0)))*GosiSaudi,0))</f>
        <v>0</v>
      </c>
      <c r="W1992" s="35" t="n">
        <f aca="false">IFERROR(INDEX(LevelOneOff,MATCH($H1992,LevelList,0)),0)</f>
        <v>0</v>
      </c>
      <c r="X1992" s="35" t="str">
        <f aca="false">IF($G1992="","",$V1992*N($L1992))</f>
        <v/>
      </c>
      <c r="Y1992" s="35" t="str">
        <f aca="false">IF($G1992="","",$V1992*(N($M1992)*1+N($N1992)*0.75+N($O1992)*0.5+N($P1992)*0.25)+$W1992*N($L1992))</f>
        <v/>
      </c>
      <c r="Z1992" s="35" t="str">
        <f aca="false">IF($G1992="","",$U1992*1000000+ROW())</f>
        <v/>
      </c>
      <c r="AA1992" s="36" t="str">
        <f aca="false">IF($G1992="","",MID(IF($C1992="",", no division","")&amp;IF($E1992="",", no unit","")&amp;IF($H1992="",", no career level","")&amp;IF(N($L1992)&lt;=0,", no quarter split","")&amp;IF($R1992="",", no driver","")&amp;IF(AND($H1992&lt;&gt;"",COUNTIF(CareerLevels,$H1992)=0),", a career level that is not on the ladder","")&amp;IF(AND($R1992&lt;&gt;"",COUNTIF(DriverList,$R1992)=0),", a driver that is not on the list","")&amp;IF(ABS(N($L1992)-(N($M1992)+N($N1992)+N($O1992)+N($P1992)))&gt;0.001,", a total that does not match its quarters",""),3,300))</f>
        <v/>
      </c>
    </row>
    <row r="1993" customFormat="false" ht="15" hidden="false" customHeight="false" outlineLevel="0" collapsed="false">
      <c r="A1993" s="33" t="str">
        <f aca="false">IF($G1993="","","Risk Group")</f>
        <v/>
      </c>
      <c r="B1993" s="19"/>
      <c r="C1993" s="19"/>
      <c r="D1993" s="19"/>
      <c r="E1993" s="19"/>
      <c r="F1993" s="19"/>
      <c r="G1993" s="19"/>
      <c r="H1993" s="19"/>
      <c r="I1993" s="19"/>
      <c r="J1993" s="19"/>
      <c r="K1993" s="19"/>
      <c r="L1993" s="19"/>
      <c r="M1993" s="19"/>
      <c r="N1993" s="19"/>
      <c r="O1993" s="19"/>
      <c r="P1993" s="19"/>
      <c r="Q1993" s="19"/>
      <c r="R1993" s="19"/>
      <c r="S1993" s="19"/>
      <c r="T1993" s="34" t="str">
        <f aca="false">IF($R1993="","",IFERROR(INDEX(DriverCategory,MATCH($R1993,DriverList,0)),"BAU"))</f>
        <v/>
      </c>
      <c r="U1993" s="34" t="str">
        <f aca="false">IF($R1993="","",IFERROR(INDEX(DriverRank,MATCH($R1993,DriverList,0)),99))</f>
        <v/>
      </c>
      <c r="V1993" s="35" t="n">
        <f aca="false">IF($H1993="",0,IFERROR(INDEX(LevelBasic,MATCH($H1993,LevelList,0))+INDEX(LevelHousing,MATCH($H1993,LevelList,0))+INDEX(LevelTransport,MATCH($H1993,LevelList,0))+INDEX(LevelBasic,MATCH($H1993,LevelList,0))*INDEX(LevelBonus,MATCH($H1993,LevelList,0))+(INDEX(LevelBasic,MATCH($H1993,LevelList,0))+INDEX(LevelHousing,MATCH($H1993,LevelList,0)))*GosiSaudi,0))</f>
        <v>0</v>
      </c>
      <c r="W1993" s="35" t="n">
        <f aca="false">IFERROR(INDEX(LevelOneOff,MATCH($H1993,LevelList,0)),0)</f>
        <v>0</v>
      </c>
      <c r="X1993" s="35" t="str">
        <f aca="false">IF($G1993="","",$V1993*N($L1993))</f>
        <v/>
      </c>
      <c r="Y1993" s="35" t="str">
        <f aca="false">IF($G1993="","",$V1993*(N($M1993)*1+N($N1993)*0.75+N($O1993)*0.5+N($P1993)*0.25)+$W1993*N($L1993))</f>
        <v/>
      </c>
      <c r="Z1993" s="35" t="str">
        <f aca="false">IF($G1993="","",$U1993*1000000+ROW())</f>
        <v/>
      </c>
      <c r="AA1993" s="36" t="str">
        <f aca="false">IF($G1993="","",MID(IF($C1993="",", no division","")&amp;IF($E1993="",", no unit","")&amp;IF($H1993="",", no career level","")&amp;IF(N($L1993)&lt;=0,", no quarter split","")&amp;IF($R1993="",", no driver","")&amp;IF(AND($H1993&lt;&gt;"",COUNTIF(CareerLevels,$H1993)=0),", a career level that is not on the ladder","")&amp;IF(AND($R1993&lt;&gt;"",COUNTIF(DriverList,$R1993)=0),", a driver that is not on the list","")&amp;IF(ABS(N($L1993)-(N($M1993)+N($N1993)+N($O1993)+N($P1993)))&gt;0.001,", a total that does not match its quarters",""),3,300))</f>
        <v/>
      </c>
    </row>
    <row r="1994" customFormat="false" ht="15" hidden="false" customHeight="false" outlineLevel="0" collapsed="false">
      <c r="A1994" s="33" t="str">
        <f aca="false">IF($G1994="","","Risk Group")</f>
        <v/>
      </c>
      <c r="B1994" s="19"/>
      <c r="C1994" s="19"/>
      <c r="D1994" s="19"/>
      <c r="E1994" s="19"/>
      <c r="F1994" s="19"/>
      <c r="G1994" s="19"/>
      <c r="H1994" s="19"/>
      <c r="I1994" s="19"/>
      <c r="J1994" s="19"/>
      <c r="K1994" s="19"/>
      <c r="L1994" s="19"/>
      <c r="M1994" s="19"/>
      <c r="N1994" s="19"/>
      <c r="O1994" s="19"/>
      <c r="P1994" s="19"/>
      <c r="Q1994" s="19"/>
      <c r="R1994" s="19"/>
      <c r="S1994" s="19"/>
      <c r="T1994" s="34" t="str">
        <f aca="false">IF($R1994="","",IFERROR(INDEX(DriverCategory,MATCH($R1994,DriverList,0)),"BAU"))</f>
        <v/>
      </c>
      <c r="U1994" s="34" t="str">
        <f aca="false">IF($R1994="","",IFERROR(INDEX(DriverRank,MATCH($R1994,DriverList,0)),99))</f>
        <v/>
      </c>
      <c r="V1994" s="35" t="n">
        <f aca="false">IF($H1994="",0,IFERROR(INDEX(LevelBasic,MATCH($H1994,LevelList,0))+INDEX(LevelHousing,MATCH($H1994,LevelList,0))+INDEX(LevelTransport,MATCH($H1994,LevelList,0))+INDEX(LevelBasic,MATCH($H1994,LevelList,0))*INDEX(LevelBonus,MATCH($H1994,LevelList,0))+(INDEX(LevelBasic,MATCH($H1994,LevelList,0))+INDEX(LevelHousing,MATCH($H1994,LevelList,0)))*GosiSaudi,0))</f>
        <v>0</v>
      </c>
      <c r="W1994" s="35" t="n">
        <f aca="false">IFERROR(INDEX(LevelOneOff,MATCH($H1994,LevelList,0)),0)</f>
        <v>0</v>
      </c>
      <c r="X1994" s="35" t="str">
        <f aca="false">IF($G1994="","",$V1994*N($L1994))</f>
        <v/>
      </c>
      <c r="Y1994" s="35" t="str">
        <f aca="false">IF($G1994="","",$V1994*(N($M1994)*1+N($N1994)*0.75+N($O1994)*0.5+N($P1994)*0.25)+$W1994*N($L1994))</f>
        <v/>
      </c>
      <c r="Z1994" s="35" t="str">
        <f aca="false">IF($G1994="","",$U1994*1000000+ROW())</f>
        <v/>
      </c>
      <c r="AA1994" s="36" t="str">
        <f aca="false">IF($G1994="","",MID(IF($C1994="",", no division","")&amp;IF($E1994="",", no unit","")&amp;IF($H1994="",", no career level","")&amp;IF(N($L1994)&lt;=0,", no quarter split","")&amp;IF($R1994="",", no driver","")&amp;IF(AND($H1994&lt;&gt;"",COUNTIF(CareerLevels,$H1994)=0),", a career level that is not on the ladder","")&amp;IF(AND($R1994&lt;&gt;"",COUNTIF(DriverList,$R1994)=0),", a driver that is not on the list","")&amp;IF(ABS(N($L1994)-(N($M1994)+N($N1994)+N($O1994)+N($P1994)))&gt;0.001,", a total that does not match its quarters",""),3,300))</f>
        <v/>
      </c>
    </row>
    <row r="1995" customFormat="false" ht="15" hidden="false" customHeight="false" outlineLevel="0" collapsed="false">
      <c r="A1995" s="33" t="str">
        <f aca="false">IF($G1995="","","Risk Group")</f>
        <v/>
      </c>
      <c r="B1995" s="19"/>
      <c r="C1995" s="19"/>
      <c r="D1995" s="19"/>
      <c r="E1995" s="19"/>
      <c r="F1995" s="19"/>
      <c r="G1995" s="19"/>
      <c r="H1995" s="19"/>
      <c r="I1995" s="19"/>
      <c r="J1995" s="19"/>
      <c r="K1995" s="19"/>
      <c r="L1995" s="19"/>
      <c r="M1995" s="19"/>
      <c r="N1995" s="19"/>
      <c r="O1995" s="19"/>
      <c r="P1995" s="19"/>
      <c r="Q1995" s="19"/>
      <c r="R1995" s="19"/>
      <c r="S1995" s="19"/>
      <c r="T1995" s="34" t="str">
        <f aca="false">IF($R1995="","",IFERROR(INDEX(DriverCategory,MATCH($R1995,DriverList,0)),"BAU"))</f>
        <v/>
      </c>
      <c r="U1995" s="34" t="str">
        <f aca="false">IF($R1995="","",IFERROR(INDEX(DriverRank,MATCH($R1995,DriverList,0)),99))</f>
        <v/>
      </c>
      <c r="V1995" s="35" t="n">
        <f aca="false">IF($H1995="",0,IFERROR(INDEX(LevelBasic,MATCH($H1995,LevelList,0))+INDEX(LevelHousing,MATCH($H1995,LevelList,0))+INDEX(LevelTransport,MATCH($H1995,LevelList,0))+INDEX(LevelBasic,MATCH($H1995,LevelList,0))*INDEX(LevelBonus,MATCH($H1995,LevelList,0))+(INDEX(LevelBasic,MATCH($H1995,LevelList,0))+INDEX(LevelHousing,MATCH($H1995,LevelList,0)))*GosiSaudi,0))</f>
        <v>0</v>
      </c>
      <c r="W1995" s="35" t="n">
        <f aca="false">IFERROR(INDEX(LevelOneOff,MATCH($H1995,LevelList,0)),0)</f>
        <v>0</v>
      </c>
      <c r="X1995" s="35" t="str">
        <f aca="false">IF($G1995="","",$V1995*N($L1995))</f>
        <v/>
      </c>
      <c r="Y1995" s="35" t="str">
        <f aca="false">IF($G1995="","",$V1995*(N($M1995)*1+N($N1995)*0.75+N($O1995)*0.5+N($P1995)*0.25)+$W1995*N($L1995))</f>
        <v/>
      </c>
      <c r="Z1995" s="35" t="str">
        <f aca="false">IF($G1995="","",$U1995*1000000+ROW())</f>
        <v/>
      </c>
      <c r="AA1995" s="36" t="str">
        <f aca="false">IF($G1995="","",MID(IF($C1995="",", no division","")&amp;IF($E1995="",", no unit","")&amp;IF($H1995="",", no career level","")&amp;IF(N($L1995)&lt;=0,", no quarter split","")&amp;IF($R1995="",", no driver","")&amp;IF(AND($H1995&lt;&gt;"",COUNTIF(CareerLevels,$H1995)=0),", a career level that is not on the ladder","")&amp;IF(AND($R1995&lt;&gt;"",COUNTIF(DriverList,$R1995)=0),", a driver that is not on the list","")&amp;IF(ABS(N($L1995)-(N($M1995)+N($N1995)+N($O1995)+N($P1995)))&gt;0.001,", a total that does not match its quarters",""),3,300))</f>
        <v/>
      </c>
    </row>
    <row r="1996" customFormat="false" ht="15" hidden="false" customHeight="false" outlineLevel="0" collapsed="false">
      <c r="A1996" s="33" t="str">
        <f aca="false">IF($G1996="","","Risk Group")</f>
        <v/>
      </c>
      <c r="B1996" s="19"/>
      <c r="C1996" s="19"/>
      <c r="D1996" s="19"/>
      <c r="E1996" s="19"/>
      <c r="F1996" s="19"/>
      <c r="G1996" s="19"/>
      <c r="H1996" s="19"/>
      <c r="I1996" s="19"/>
      <c r="J1996" s="19"/>
      <c r="K1996" s="19"/>
      <c r="L1996" s="19"/>
      <c r="M1996" s="19"/>
      <c r="N1996" s="19"/>
      <c r="O1996" s="19"/>
      <c r="P1996" s="19"/>
      <c r="Q1996" s="19"/>
      <c r="R1996" s="19"/>
      <c r="S1996" s="19"/>
      <c r="T1996" s="34" t="str">
        <f aca="false">IF($R1996="","",IFERROR(INDEX(DriverCategory,MATCH($R1996,DriverList,0)),"BAU"))</f>
        <v/>
      </c>
      <c r="U1996" s="34" t="str">
        <f aca="false">IF($R1996="","",IFERROR(INDEX(DriverRank,MATCH($R1996,DriverList,0)),99))</f>
        <v/>
      </c>
      <c r="V1996" s="35" t="n">
        <f aca="false">IF($H1996="",0,IFERROR(INDEX(LevelBasic,MATCH($H1996,LevelList,0))+INDEX(LevelHousing,MATCH($H1996,LevelList,0))+INDEX(LevelTransport,MATCH($H1996,LevelList,0))+INDEX(LevelBasic,MATCH($H1996,LevelList,0))*INDEX(LevelBonus,MATCH($H1996,LevelList,0))+(INDEX(LevelBasic,MATCH($H1996,LevelList,0))+INDEX(LevelHousing,MATCH($H1996,LevelList,0)))*GosiSaudi,0))</f>
        <v>0</v>
      </c>
      <c r="W1996" s="35" t="n">
        <f aca="false">IFERROR(INDEX(LevelOneOff,MATCH($H1996,LevelList,0)),0)</f>
        <v>0</v>
      </c>
      <c r="X1996" s="35" t="str">
        <f aca="false">IF($G1996="","",$V1996*N($L1996))</f>
        <v/>
      </c>
      <c r="Y1996" s="35" t="str">
        <f aca="false">IF($G1996="","",$V1996*(N($M1996)*1+N($N1996)*0.75+N($O1996)*0.5+N($P1996)*0.25)+$W1996*N($L1996))</f>
        <v/>
      </c>
      <c r="Z1996" s="35" t="str">
        <f aca="false">IF($G1996="","",$U1996*1000000+ROW())</f>
        <v/>
      </c>
      <c r="AA1996" s="36" t="str">
        <f aca="false">IF($G1996="","",MID(IF($C1996="",", no division","")&amp;IF($E1996="",", no unit","")&amp;IF($H1996="",", no career level","")&amp;IF(N($L1996)&lt;=0,", no quarter split","")&amp;IF($R1996="",", no driver","")&amp;IF(AND($H1996&lt;&gt;"",COUNTIF(CareerLevels,$H1996)=0),", a career level that is not on the ladder","")&amp;IF(AND($R1996&lt;&gt;"",COUNTIF(DriverList,$R1996)=0),", a driver that is not on the list","")&amp;IF(ABS(N($L1996)-(N($M1996)+N($N1996)+N($O1996)+N($P1996)))&gt;0.001,", a total that does not match its quarters",""),3,300))</f>
        <v/>
      </c>
    </row>
    <row r="1997" customFormat="false" ht="15" hidden="false" customHeight="false" outlineLevel="0" collapsed="false">
      <c r="A1997" s="33" t="str">
        <f aca="false">IF($G1997="","","Risk Group")</f>
        <v/>
      </c>
      <c r="B1997" s="19"/>
      <c r="C1997" s="19"/>
      <c r="D1997" s="19"/>
      <c r="E1997" s="19"/>
      <c r="F1997" s="19"/>
      <c r="G1997" s="19"/>
      <c r="H1997" s="19"/>
      <c r="I1997" s="19"/>
      <c r="J1997" s="19"/>
      <c r="K1997" s="19"/>
      <c r="L1997" s="19"/>
      <c r="M1997" s="19"/>
      <c r="N1997" s="19"/>
      <c r="O1997" s="19"/>
      <c r="P1997" s="19"/>
      <c r="Q1997" s="19"/>
      <c r="R1997" s="19"/>
      <c r="S1997" s="19"/>
      <c r="T1997" s="34" t="str">
        <f aca="false">IF($R1997="","",IFERROR(INDEX(DriverCategory,MATCH($R1997,DriverList,0)),"BAU"))</f>
        <v/>
      </c>
      <c r="U1997" s="34" t="str">
        <f aca="false">IF($R1997="","",IFERROR(INDEX(DriverRank,MATCH($R1997,DriverList,0)),99))</f>
        <v/>
      </c>
      <c r="V1997" s="35" t="n">
        <f aca="false">IF($H1997="",0,IFERROR(INDEX(LevelBasic,MATCH($H1997,LevelList,0))+INDEX(LevelHousing,MATCH($H1997,LevelList,0))+INDEX(LevelTransport,MATCH($H1997,LevelList,0))+INDEX(LevelBasic,MATCH($H1997,LevelList,0))*INDEX(LevelBonus,MATCH($H1997,LevelList,0))+(INDEX(LevelBasic,MATCH($H1997,LevelList,0))+INDEX(LevelHousing,MATCH($H1997,LevelList,0)))*GosiSaudi,0))</f>
        <v>0</v>
      </c>
      <c r="W1997" s="35" t="n">
        <f aca="false">IFERROR(INDEX(LevelOneOff,MATCH($H1997,LevelList,0)),0)</f>
        <v>0</v>
      </c>
      <c r="X1997" s="35" t="str">
        <f aca="false">IF($G1997="","",$V1997*N($L1997))</f>
        <v/>
      </c>
      <c r="Y1997" s="35" t="str">
        <f aca="false">IF($G1997="","",$V1997*(N($M1997)*1+N($N1997)*0.75+N($O1997)*0.5+N($P1997)*0.25)+$W1997*N($L1997))</f>
        <v/>
      </c>
      <c r="Z1997" s="35" t="str">
        <f aca="false">IF($G1997="","",$U1997*1000000+ROW())</f>
        <v/>
      </c>
      <c r="AA1997" s="36" t="str">
        <f aca="false">IF($G1997="","",MID(IF($C1997="",", no division","")&amp;IF($E1997="",", no unit","")&amp;IF($H1997="",", no career level","")&amp;IF(N($L1997)&lt;=0,", no quarter split","")&amp;IF($R1997="",", no driver","")&amp;IF(AND($H1997&lt;&gt;"",COUNTIF(CareerLevels,$H1997)=0),", a career level that is not on the ladder","")&amp;IF(AND($R1997&lt;&gt;"",COUNTIF(DriverList,$R1997)=0),", a driver that is not on the list","")&amp;IF(ABS(N($L1997)-(N($M1997)+N($N1997)+N($O1997)+N($P1997)))&gt;0.001,", a total that does not match its quarters",""),3,300))</f>
        <v/>
      </c>
    </row>
    <row r="1998" customFormat="false" ht="15" hidden="false" customHeight="false" outlineLevel="0" collapsed="false">
      <c r="A1998" s="33" t="str">
        <f aca="false">IF($G1998="","","Risk Group")</f>
        <v/>
      </c>
      <c r="B1998" s="19"/>
      <c r="C1998" s="19"/>
      <c r="D1998" s="19"/>
      <c r="E1998" s="19"/>
      <c r="F1998" s="19"/>
      <c r="G1998" s="19"/>
      <c r="H1998" s="19"/>
      <c r="I1998" s="19"/>
      <c r="J1998" s="19"/>
      <c r="K1998" s="19"/>
      <c r="L1998" s="19"/>
      <c r="M1998" s="19"/>
      <c r="N1998" s="19"/>
      <c r="O1998" s="19"/>
      <c r="P1998" s="19"/>
      <c r="Q1998" s="19"/>
      <c r="R1998" s="19"/>
      <c r="S1998" s="19"/>
      <c r="T1998" s="34" t="str">
        <f aca="false">IF($R1998="","",IFERROR(INDEX(DriverCategory,MATCH($R1998,DriverList,0)),"BAU"))</f>
        <v/>
      </c>
      <c r="U1998" s="34" t="str">
        <f aca="false">IF($R1998="","",IFERROR(INDEX(DriverRank,MATCH($R1998,DriverList,0)),99))</f>
        <v/>
      </c>
      <c r="V1998" s="35" t="n">
        <f aca="false">IF($H1998="",0,IFERROR(INDEX(LevelBasic,MATCH($H1998,LevelList,0))+INDEX(LevelHousing,MATCH($H1998,LevelList,0))+INDEX(LevelTransport,MATCH($H1998,LevelList,0))+INDEX(LevelBasic,MATCH($H1998,LevelList,0))*INDEX(LevelBonus,MATCH($H1998,LevelList,0))+(INDEX(LevelBasic,MATCH($H1998,LevelList,0))+INDEX(LevelHousing,MATCH($H1998,LevelList,0)))*GosiSaudi,0))</f>
        <v>0</v>
      </c>
      <c r="W1998" s="35" t="n">
        <f aca="false">IFERROR(INDEX(LevelOneOff,MATCH($H1998,LevelList,0)),0)</f>
        <v>0</v>
      </c>
      <c r="X1998" s="35" t="str">
        <f aca="false">IF($G1998="","",$V1998*N($L1998))</f>
        <v/>
      </c>
      <c r="Y1998" s="35" t="str">
        <f aca="false">IF($G1998="","",$V1998*(N($M1998)*1+N($N1998)*0.75+N($O1998)*0.5+N($P1998)*0.25)+$W1998*N($L1998))</f>
        <v/>
      </c>
      <c r="Z1998" s="35" t="str">
        <f aca="false">IF($G1998="","",$U1998*1000000+ROW())</f>
        <v/>
      </c>
      <c r="AA1998" s="36" t="str">
        <f aca="false">IF($G1998="","",MID(IF($C1998="",", no division","")&amp;IF($E1998="",", no unit","")&amp;IF($H1998="",", no career level","")&amp;IF(N($L1998)&lt;=0,", no quarter split","")&amp;IF($R1998="",", no driver","")&amp;IF(AND($H1998&lt;&gt;"",COUNTIF(CareerLevels,$H1998)=0),", a career level that is not on the ladder","")&amp;IF(AND($R1998&lt;&gt;"",COUNTIF(DriverList,$R1998)=0),", a driver that is not on the list","")&amp;IF(ABS(N($L1998)-(N($M1998)+N($N1998)+N($O1998)+N($P1998)))&gt;0.001,", a total that does not match its quarters",""),3,300))</f>
        <v/>
      </c>
    </row>
    <row r="1999" customFormat="false" ht="15" hidden="false" customHeight="false" outlineLevel="0" collapsed="false">
      <c r="A1999" s="33" t="str">
        <f aca="false">IF($G1999="","","Risk Group")</f>
        <v/>
      </c>
      <c r="B1999" s="19"/>
      <c r="C1999" s="19"/>
      <c r="D1999" s="19"/>
      <c r="E1999" s="19"/>
      <c r="F1999" s="19"/>
      <c r="G1999" s="19"/>
      <c r="H1999" s="19"/>
      <c r="I1999" s="19"/>
      <c r="J1999" s="19"/>
      <c r="K1999" s="19"/>
      <c r="L1999" s="19"/>
      <c r="M1999" s="19"/>
      <c r="N1999" s="19"/>
      <c r="O1999" s="19"/>
      <c r="P1999" s="19"/>
      <c r="Q1999" s="19"/>
      <c r="R1999" s="19"/>
      <c r="S1999" s="19"/>
      <c r="T1999" s="34" t="str">
        <f aca="false">IF($R1999="","",IFERROR(INDEX(DriverCategory,MATCH($R1999,DriverList,0)),"BAU"))</f>
        <v/>
      </c>
      <c r="U1999" s="34" t="str">
        <f aca="false">IF($R1999="","",IFERROR(INDEX(DriverRank,MATCH($R1999,DriverList,0)),99))</f>
        <v/>
      </c>
      <c r="V1999" s="35" t="n">
        <f aca="false">IF($H1999="",0,IFERROR(INDEX(LevelBasic,MATCH($H1999,LevelList,0))+INDEX(LevelHousing,MATCH($H1999,LevelList,0))+INDEX(LevelTransport,MATCH($H1999,LevelList,0))+INDEX(LevelBasic,MATCH($H1999,LevelList,0))*INDEX(LevelBonus,MATCH($H1999,LevelList,0))+(INDEX(LevelBasic,MATCH($H1999,LevelList,0))+INDEX(LevelHousing,MATCH($H1999,LevelList,0)))*GosiSaudi,0))</f>
        <v>0</v>
      </c>
      <c r="W1999" s="35" t="n">
        <f aca="false">IFERROR(INDEX(LevelOneOff,MATCH($H1999,LevelList,0)),0)</f>
        <v>0</v>
      </c>
      <c r="X1999" s="35" t="str">
        <f aca="false">IF($G1999="","",$V1999*N($L1999))</f>
        <v/>
      </c>
      <c r="Y1999" s="35" t="str">
        <f aca="false">IF($G1999="","",$V1999*(N($M1999)*1+N($N1999)*0.75+N($O1999)*0.5+N($P1999)*0.25)+$W1999*N($L1999))</f>
        <v/>
      </c>
      <c r="Z1999" s="35" t="str">
        <f aca="false">IF($G1999="","",$U1999*1000000+ROW())</f>
        <v/>
      </c>
      <c r="AA1999" s="36" t="str">
        <f aca="false">IF($G1999="","",MID(IF($C1999="",", no division","")&amp;IF($E1999="",", no unit","")&amp;IF($H1999="",", no career level","")&amp;IF(N($L1999)&lt;=0,", no quarter split","")&amp;IF($R1999="",", no driver","")&amp;IF(AND($H1999&lt;&gt;"",COUNTIF(CareerLevels,$H1999)=0),", a career level that is not on the ladder","")&amp;IF(AND($R1999&lt;&gt;"",COUNTIF(DriverList,$R1999)=0),", a driver that is not on the list","")&amp;IF(ABS(N($L1999)-(N($M1999)+N($N1999)+N($O1999)+N($P1999)))&gt;0.001,", a total that does not match its quarters",""),3,300))</f>
        <v/>
      </c>
    </row>
    <row r="2000" customFormat="false" ht="15" hidden="false" customHeight="false" outlineLevel="0" collapsed="false">
      <c r="A2000" s="33" t="str">
        <f aca="false">IF($G2000="","","Risk Group")</f>
        <v/>
      </c>
      <c r="B2000" s="19"/>
      <c r="C2000" s="19"/>
      <c r="D2000" s="19"/>
      <c r="E2000" s="19"/>
      <c r="F2000" s="19"/>
      <c r="G2000" s="19"/>
      <c r="H2000" s="19"/>
      <c r="I2000" s="19"/>
      <c r="J2000" s="19"/>
      <c r="K2000" s="19"/>
      <c r="L2000" s="19"/>
      <c r="M2000" s="19"/>
      <c r="N2000" s="19"/>
      <c r="O2000" s="19"/>
      <c r="P2000" s="19"/>
      <c r="Q2000" s="19"/>
      <c r="R2000" s="19"/>
      <c r="S2000" s="19"/>
      <c r="T2000" s="34" t="str">
        <f aca="false">IF($R2000="","",IFERROR(INDEX(DriverCategory,MATCH($R2000,DriverList,0)),"BAU"))</f>
        <v/>
      </c>
      <c r="U2000" s="34" t="str">
        <f aca="false">IF($R2000="","",IFERROR(INDEX(DriverRank,MATCH($R2000,DriverList,0)),99))</f>
        <v/>
      </c>
      <c r="V2000" s="35" t="n">
        <f aca="false">IF($H2000="",0,IFERROR(INDEX(LevelBasic,MATCH($H2000,LevelList,0))+INDEX(LevelHousing,MATCH($H2000,LevelList,0))+INDEX(LevelTransport,MATCH($H2000,LevelList,0))+INDEX(LevelBasic,MATCH($H2000,LevelList,0))*INDEX(LevelBonus,MATCH($H2000,LevelList,0))+(INDEX(LevelBasic,MATCH($H2000,LevelList,0))+INDEX(LevelHousing,MATCH($H2000,LevelList,0)))*GosiSaudi,0))</f>
        <v>0</v>
      </c>
      <c r="W2000" s="35" t="n">
        <f aca="false">IFERROR(INDEX(LevelOneOff,MATCH($H2000,LevelList,0)),0)</f>
        <v>0</v>
      </c>
      <c r="X2000" s="35" t="str">
        <f aca="false">IF($G2000="","",$V2000*N($L2000))</f>
        <v/>
      </c>
      <c r="Y2000" s="35" t="str">
        <f aca="false">IF($G2000="","",$V2000*(N($M2000)*1+N($N2000)*0.75+N($O2000)*0.5+N($P2000)*0.25)+$W2000*N($L2000))</f>
        <v/>
      </c>
      <c r="Z2000" s="35" t="str">
        <f aca="false">IF($G2000="","",$U2000*1000000+ROW())</f>
        <v/>
      </c>
      <c r="AA2000" s="36" t="str">
        <f aca="false">IF($G2000="","",MID(IF($C2000="",", no division","")&amp;IF($E2000="",", no unit","")&amp;IF($H2000="",", no career level","")&amp;IF(N($L2000)&lt;=0,", no quarter split","")&amp;IF($R2000="",", no driver","")&amp;IF(AND($H2000&lt;&gt;"",COUNTIF(CareerLevels,$H2000)=0),", a career level that is not on the ladder","")&amp;IF(AND($R2000&lt;&gt;"",COUNTIF(DriverList,$R2000)=0),", a driver that is not on the list","")&amp;IF(ABS(N($L2000)-(N($M2000)+N($N2000)+N($O2000)+N($P2000)))&gt;0.001,", a total that does not match its quarters",""),3,300))</f>
        <v/>
      </c>
    </row>
    <row r="2001" customFormat="false" ht="15" hidden="false" customHeight="false" outlineLevel="0" collapsed="false">
      <c r="A2001" s="33" t="str">
        <f aca="false">IF($G2001="","","Risk Group")</f>
        <v/>
      </c>
      <c r="B2001" s="19"/>
      <c r="C2001" s="19"/>
      <c r="D2001" s="19"/>
      <c r="E2001" s="19"/>
      <c r="F2001" s="19"/>
      <c r="G2001" s="19"/>
      <c r="H2001" s="19"/>
      <c r="I2001" s="19"/>
      <c r="J2001" s="19"/>
      <c r="K2001" s="19"/>
      <c r="L2001" s="19"/>
      <c r="M2001" s="19"/>
      <c r="N2001" s="19"/>
      <c r="O2001" s="19"/>
      <c r="P2001" s="19"/>
      <c r="Q2001" s="19"/>
      <c r="R2001" s="19"/>
      <c r="S2001" s="19"/>
      <c r="T2001" s="34" t="str">
        <f aca="false">IF($R2001="","",IFERROR(INDEX(DriverCategory,MATCH($R2001,DriverList,0)),"BAU"))</f>
        <v/>
      </c>
      <c r="U2001" s="34" t="str">
        <f aca="false">IF($R2001="","",IFERROR(INDEX(DriverRank,MATCH($R2001,DriverList,0)),99))</f>
        <v/>
      </c>
      <c r="V2001" s="35" t="n">
        <f aca="false">IF($H2001="",0,IFERROR(INDEX(LevelBasic,MATCH($H2001,LevelList,0))+INDEX(LevelHousing,MATCH($H2001,LevelList,0))+INDEX(LevelTransport,MATCH($H2001,LevelList,0))+INDEX(LevelBasic,MATCH($H2001,LevelList,0))*INDEX(LevelBonus,MATCH($H2001,LevelList,0))+(INDEX(LevelBasic,MATCH($H2001,LevelList,0))+INDEX(LevelHousing,MATCH($H2001,LevelList,0)))*GosiSaudi,0))</f>
        <v>0</v>
      </c>
      <c r="W2001" s="35" t="n">
        <f aca="false">IFERROR(INDEX(LevelOneOff,MATCH($H2001,LevelList,0)),0)</f>
        <v>0</v>
      </c>
      <c r="X2001" s="35" t="str">
        <f aca="false">IF($G2001="","",$V2001*N($L2001))</f>
        <v/>
      </c>
      <c r="Y2001" s="35" t="str">
        <f aca="false">IF($G2001="","",$V2001*(N($M2001)*1+N($N2001)*0.75+N($O2001)*0.5+N($P2001)*0.25)+$W2001*N($L2001))</f>
        <v/>
      </c>
      <c r="Z2001" s="35" t="str">
        <f aca="false">IF($G2001="","",$U2001*1000000+ROW())</f>
        <v/>
      </c>
      <c r="AA2001" s="36" t="str">
        <f aca="false">IF($G2001="","",MID(IF($C2001="",", no division","")&amp;IF($E2001="",", no unit","")&amp;IF($H2001="",", no career level","")&amp;IF(N($L2001)&lt;=0,", no quarter split","")&amp;IF($R2001="",", no driver","")&amp;IF(AND($H2001&lt;&gt;"",COUNTIF(CareerLevels,$H2001)=0),", a career level that is not on the ladder","")&amp;IF(AND($R2001&lt;&gt;"",COUNTIF(DriverList,$R2001)=0),", a driver that is not on the list","")&amp;IF(ABS(N($L2001)-(N($M2001)+N($N2001)+N($O2001)+N($P2001)))&gt;0.001,", a total that does not match its quarters",""),3,300))</f>
        <v/>
      </c>
    </row>
    <row r="2002" customFormat="false" ht="15" hidden="false" customHeight="false" outlineLevel="0" collapsed="false">
      <c r="A2002" s="33" t="str">
        <f aca="false">IF($G2002="","","Risk Group")</f>
        <v/>
      </c>
      <c r="B2002" s="19"/>
      <c r="C2002" s="19"/>
      <c r="D2002" s="19"/>
      <c r="E2002" s="19"/>
      <c r="F2002" s="19"/>
      <c r="G2002" s="19"/>
      <c r="H2002" s="19"/>
      <c r="I2002" s="19"/>
      <c r="J2002" s="19"/>
      <c r="K2002" s="19"/>
      <c r="L2002" s="19"/>
      <c r="M2002" s="19"/>
      <c r="N2002" s="19"/>
      <c r="O2002" s="19"/>
      <c r="P2002" s="19"/>
      <c r="Q2002" s="19"/>
      <c r="R2002" s="19"/>
      <c r="S2002" s="19"/>
      <c r="T2002" s="34" t="str">
        <f aca="false">IF($R2002="","",IFERROR(INDEX(DriverCategory,MATCH($R2002,DriverList,0)),"BAU"))</f>
        <v/>
      </c>
      <c r="U2002" s="34" t="str">
        <f aca="false">IF($R2002="","",IFERROR(INDEX(DriverRank,MATCH($R2002,DriverList,0)),99))</f>
        <v/>
      </c>
      <c r="V2002" s="35" t="n">
        <f aca="false">IF($H2002="",0,IFERROR(INDEX(LevelBasic,MATCH($H2002,LevelList,0))+INDEX(LevelHousing,MATCH($H2002,LevelList,0))+INDEX(LevelTransport,MATCH($H2002,LevelList,0))+INDEX(LevelBasic,MATCH($H2002,LevelList,0))*INDEX(LevelBonus,MATCH($H2002,LevelList,0))+(INDEX(LevelBasic,MATCH($H2002,LevelList,0))+INDEX(LevelHousing,MATCH($H2002,LevelList,0)))*GosiSaudi,0))</f>
        <v>0</v>
      </c>
      <c r="W2002" s="35" t="n">
        <f aca="false">IFERROR(INDEX(LevelOneOff,MATCH($H2002,LevelList,0)),0)</f>
        <v>0</v>
      </c>
      <c r="X2002" s="35" t="str">
        <f aca="false">IF($G2002="","",$V2002*N($L2002))</f>
        <v/>
      </c>
      <c r="Y2002" s="35" t="str">
        <f aca="false">IF($G2002="","",$V2002*(N($M2002)*1+N($N2002)*0.75+N($O2002)*0.5+N($P2002)*0.25)+$W2002*N($L2002))</f>
        <v/>
      </c>
      <c r="Z2002" s="35" t="str">
        <f aca="false">IF($G2002="","",$U2002*1000000+ROW())</f>
        <v/>
      </c>
      <c r="AA2002" s="36" t="str">
        <f aca="false">IF($G2002="","",MID(IF($C2002="",", no division","")&amp;IF($E2002="",", no unit","")&amp;IF($H2002="",", no career level","")&amp;IF(N($L2002)&lt;=0,", no quarter split","")&amp;IF($R2002="",", no driver","")&amp;IF(AND($H2002&lt;&gt;"",COUNTIF(CareerLevels,$H2002)=0),", a career level that is not on the ladder","")&amp;IF(AND($R2002&lt;&gt;"",COUNTIF(DriverList,$R2002)=0),", a driver that is not on the list","")&amp;IF(ABS(N($L2002)-(N($M2002)+N($N2002)+N($O2002)+N($P2002)))&gt;0.001,", a total that does not match its quarters",""),3,300))</f>
        <v/>
      </c>
    </row>
    <row r="2003" customFormat="false" ht="15" hidden="false" customHeight="false" outlineLevel="0" collapsed="false">
      <c r="A2003" s="33" t="str">
        <f aca="false">IF($G2003="","","Risk Group")</f>
        <v/>
      </c>
      <c r="B2003" s="19"/>
      <c r="C2003" s="19"/>
      <c r="D2003" s="19"/>
      <c r="E2003" s="19"/>
      <c r="F2003" s="19"/>
      <c r="G2003" s="19"/>
      <c r="H2003" s="19"/>
      <c r="I2003" s="19"/>
      <c r="J2003" s="19"/>
      <c r="K2003" s="19"/>
      <c r="L2003" s="19"/>
      <c r="M2003" s="19"/>
      <c r="N2003" s="19"/>
      <c r="O2003" s="19"/>
      <c r="P2003" s="19"/>
      <c r="Q2003" s="19"/>
      <c r="R2003" s="19"/>
      <c r="S2003" s="19"/>
      <c r="T2003" s="34" t="str">
        <f aca="false">IF($R2003="","",IFERROR(INDEX(DriverCategory,MATCH($R2003,DriverList,0)),"BAU"))</f>
        <v/>
      </c>
      <c r="U2003" s="34" t="str">
        <f aca="false">IF($R2003="","",IFERROR(INDEX(DriverRank,MATCH($R2003,DriverList,0)),99))</f>
        <v/>
      </c>
      <c r="V2003" s="35" t="n">
        <f aca="false">IF($H2003="",0,IFERROR(INDEX(LevelBasic,MATCH($H2003,LevelList,0))+INDEX(LevelHousing,MATCH($H2003,LevelList,0))+INDEX(LevelTransport,MATCH($H2003,LevelList,0))+INDEX(LevelBasic,MATCH($H2003,LevelList,0))*INDEX(LevelBonus,MATCH($H2003,LevelList,0))+(INDEX(LevelBasic,MATCH($H2003,LevelList,0))+INDEX(LevelHousing,MATCH($H2003,LevelList,0)))*GosiSaudi,0))</f>
        <v>0</v>
      </c>
      <c r="W2003" s="35" t="n">
        <f aca="false">IFERROR(INDEX(LevelOneOff,MATCH($H2003,LevelList,0)),0)</f>
        <v>0</v>
      </c>
      <c r="X2003" s="35" t="str">
        <f aca="false">IF($G2003="","",$V2003*N($L2003))</f>
        <v/>
      </c>
      <c r="Y2003" s="35" t="str">
        <f aca="false">IF($G2003="","",$V2003*(N($M2003)*1+N($N2003)*0.75+N($O2003)*0.5+N($P2003)*0.25)+$W2003*N($L2003))</f>
        <v/>
      </c>
      <c r="Z2003" s="35" t="str">
        <f aca="false">IF($G2003="","",$U2003*1000000+ROW())</f>
        <v/>
      </c>
      <c r="AA2003" s="36" t="str">
        <f aca="false">IF($G2003="","",MID(IF($C2003="",", no division","")&amp;IF($E2003="",", no unit","")&amp;IF($H2003="",", no career level","")&amp;IF(N($L2003)&lt;=0,", no quarter split","")&amp;IF($R2003="",", no driver","")&amp;IF(AND($H2003&lt;&gt;"",COUNTIF(CareerLevels,$H2003)=0),", a career level that is not on the ladder","")&amp;IF(AND($R2003&lt;&gt;"",COUNTIF(DriverList,$R2003)=0),", a driver that is not on the list","")&amp;IF(ABS(N($L2003)-(N($M2003)+N($N2003)+N($O2003)+N($P2003)))&gt;0.001,", a total that does not match its quarters",""),3,300))</f>
        <v/>
      </c>
    </row>
    <row r="2004" customFormat="false" ht="15" hidden="false" customHeight="false" outlineLevel="0" collapsed="false">
      <c r="A2004" s="33" t="str">
        <f aca="false">IF($G2004="","","Risk Group")</f>
        <v/>
      </c>
      <c r="B2004" s="19"/>
      <c r="C2004" s="19"/>
      <c r="D2004" s="19"/>
      <c r="E2004" s="19"/>
      <c r="F2004" s="19"/>
      <c r="G2004" s="19"/>
      <c r="H2004" s="19"/>
      <c r="I2004" s="19"/>
      <c r="J2004" s="19"/>
      <c r="K2004" s="19"/>
      <c r="L2004" s="19"/>
      <c r="M2004" s="19"/>
      <c r="N2004" s="19"/>
      <c r="O2004" s="19"/>
      <c r="P2004" s="19"/>
      <c r="Q2004" s="19"/>
      <c r="R2004" s="19"/>
      <c r="S2004" s="19"/>
      <c r="T2004" s="34" t="str">
        <f aca="false">IF($R2004="","",IFERROR(INDEX(DriverCategory,MATCH($R2004,DriverList,0)),"BAU"))</f>
        <v/>
      </c>
      <c r="U2004" s="34" t="str">
        <f aca="false">IF($R2004="","",IFERROR(INDEX(DriverRank,MATCH($R2004,DriverList,0)),99))</f>
        <v/>
      </c>
      <c r="V2004" s="35" t="n">
        <f aca="false">IF($H2004="",0,IFERROR(INDEX(LevelBasic,MATCH($H2004,LevelList,0))+INDEX(LevelHousing,MATCH($H2004,LevelList,0))+INDEX(LevelTransport,MATCH($H2004,LevelList,0))+INDEX(LevelBasic,MATCH($H2004,LevelList,0))*INDEX(LevelBonus,MATCH($H2004,LevelList,0))+(INDEX(LevelBasic,MATCH($H2004,LevelList,0))+INDEX(LevelHousing,MATCH($H2004,LevelList,0)))*GosiSaudi,0))</f>
        <v>0</v>
      </c>
      <c r="W2004" s="35" t="n">
        <f aca="false">IFERROR(INDEX(LevelOneOff,MATCH($H2004,LevelList,0)),0)</f>
        <v>0</v>
      </c>
      <c r="X2004" s="35" t="str">
        <f aca="false">IF($G2004="","",$V2004*N($L2004))</f>
        <v/>
      </c>
      <c r="Y2004" s="35" t="str">
        <f aca="false">IF($G2004="","",$V2004*(N($M2004)*1+N($N2004)*0.75+N($O2004)*0.5+N($P2004)*0.25)+$W2004*N($L2004))</f>
        <v/>
      </c>
      <c r="Z2004" s="35" t="str">
        <f aca="false">IF($G2004="","",$U2004*1000000+ROW())</f>
        <v/>
      </c>
      <c r="AA2004" s="36" t="str">
        <f aca="false">IF($G2004="","",MID(IF($C2004="",", no division","")&amp;IF($E2004="",", no unit","")&amp;IF($H2004="",", no career level","")&amp;IF(N($L2004)&lt;=0,", no quarter split","")&amp;IF($R2004="",", no driver","")&amp;IF(AND($H2004&lt;&gt;"",COUNTIF(CareerLevels,$H2004)=0),", a career level that is not on the ladder","")&amp;IF(AND($R2004&lt;&gt;"",COUNTIF(DriverList,$R2004)=0),", a driver that is not on the list","")&amp;IF(ABS(N($L2004)-(N($M2004)+N($N2004)+N($O2004)+N($P2004)))&gt;0.001,", a total that does not match its quarters",""),3,300))</f>
        <v/>
      </c>
    </row>
    <row r="2005" customFormat="false" ht="15" hidden="false" customHeight="false" outlineLevel="0" collapsed="false">
      <c r="A2005" s="33" t="str">
        <f aca="false">IF($G2005="","","Risk Group")</f>
        <v/>
      </c>
      <c r="B2005" s="19"/>
      <c r="C2005" s="19"/>
      <c r="D2005" s="19"/>
      <c r="E2005" s="19"/>
      <c r="F2005" s="19"/>
      <c r="G2005" s="19"/>
      <c r="H2005" s="19"/>
      <c r="I2005" s="19"/>
      <c r="J2005" s="19"/>
      <c r="K2005" s="19"/>
      <c r="L2005" s="19"/>
      <c r="M2005" s="19"/>
      <c r="N2005" s="19"/>
      <c r="O2005" s="19"/>
      <c r="P2005" s="19"/>
      <c r="Q2005" s="19"/>
      <c r="R2005" s="19"/>
      <c r="S2005" s="19"/>
      <c r="T2005" s="34" t="str">
        <f aca="false">IF($R2005="","",IFERROR(INDEX(DriverCategory,MATCH($R2005,DriverList,0)),"BAU"))</f>
        <v/>
      </c>
      <c r="U2005" s="34" t="str">
        <f aca="false">IF($R2005="","",IFERROR(INDEX(DriverRank,MATCH($R2005,DriverList,0)),99))</f>
        <v/>
      </c>
      <c r="V2005" s="35" t="n">
        <f aca="false">IF($H2005="",0,IFERROR(INDEX(LevelBasic,MATCH($H2005,LevelList,0))+INDEX(LevelHousing,MATCH($H2005,LevelList,0))+INDEX(LevelTransport,MATCH($H2005,LevelList,0))+INDEX(LevelBasic,MATCH($H2005,LevelList,0))*INDEX(LevelBonus,MATCH($H2005,LevelList,0))+(INDEX(LevelBasic,MATCH($H2005,LevelList,0))+INDEX(LevelHousing,MATCH($H2005,LevelList,0)))*GosiSaudi,0))</f>
        <v>0</v>
      </c>
      <c r="W2005" s="35" t="n">
        <f aca="false">IFERROR(INDEX(LevelOneOff,MATCH($H2005,LevelList,0)),0)</f>
        <v>0</v>
      </c>
      <c r="X2005" s="35" t="str">
        <f aca="false">IF($G2005="","",$V2005*N($L2005))</f>
        <v/>
      </c>
      <c r="Y2005" s="35" t="str">
        <f aca="false">IF($G2005="","",$V2005*(N($M2005)*1+N($N2005)*0.75+N($O2005)*0.5+N($P2005)*0.25)+$W2005*N($L2005))</f>
        <v/>
      </c>
      <c r="Z2005" s="35" t="str">
        <f aca="false">IF($G2005="","",$U2005*1000000+ROW())</f>
        <v/>
      </c>
      <c r="AA2005" s="36" t="str">
        <f aca="false">IF($G2005="","",MID(IF($C2005="",", no division","")&amp;IF($E2005="",", no unit","")&amp;IF($H2005="",", no career level","")&amp;IF(N($L2005)&lt;=0,", no quarter split","")&amp;IF($R2005="",", no driver","")&amp;IF(AND($H2005&lt;&gt;"",COUNTIF(CareerLevels,$H2005)=0),", a career level that is not on the ladder","")&amp;IF(AND($R2005&lt;&gt;"",COUNTIF(DriverList,$R2005)=0),", a driver that is not on the list","")&amp;IF(ABS(N($L2005)-(N($M2005)+N($N2005)+N($O2005)+N($P2005)))&gt;0.001,", a total that does not match its quarters",""),3,300))</f>
        <v/>
      </c>
    </row>
    <row r="2006" customFormat="false" ht="15" hidden="false" customHeight="false" outlineLevel="0" collapsed="false">
      <c r="A2006" s="28" t="str">
        <f aca="false">IF($G2006="","","Technology Group")</f>
        <v/>
      </c>
      <c r="B2006" s="29"/>
      <c r="C2006" s="29"/>
      <c r="D2006" s="29"/>
      <c r="E2006" s="29"/>
      <c r="F2006" s="29"/>
      <c r="G2006" s="29"/>
      <c r="H2006" s="29"/>
      <c r="I2006" s="29"/>
      <c r="J2006" s="29"/>
      <c r="K2006" s="29"/>
      <c r="L2006" s="29"/>
      <c r="M2006" s="29"/>
      <c r="N2006" s="29"/>
      <c r="O2006" s="29"/>
      <c r="P2006" s="29"/>
      <c r="Q2006" s="29"/>
      <c r="R2006" s="29"/>
      <c r="S2006" s="29"/>
      <c r="T2006" s="30" t="str">
        <f aca="false">IF($R2006="","",IFERROR(INDEX(DriverCategory,MATCH($R2006,DriverList,0)),"BAU"))</f>
        <v/>
      </c>
      <c r="U2006" s="30" t="str">
        <f aca="false">IF($R2006="","",IFERROR(INDEX(DriverRank,MATCH($R2006,DriverList,0)),99))</f>
        <v/>
      </c>
      <c r="V2006" s="31" t="n">
        <f aca="false">IF($H2006="",0,IFERROR(INDEX(LevelBasic,MATCH($H2006,LevelList,0))+INDEX(LevelHousing,MATCH($H2006,LevelList,0))+INDEX(LevelTransport,MATCH($H2006,LevelList,0))+INDEX(LevelBasic,MATCH($H2006,LevelList,0))*INDEX(LevelBonus,MATCH($H2006,LevelList,0))+(INDEX(LevelBasic,MATCH($H2006,LevelList,0))+INDEX(LevelHousing,MATCH($H2006,LevelList,0)))*GosiSaudi,0))</f>
        <v>0</v>
      </c>
      <c r="W2006" s="31" t="n">
        <f aca="false">IFERROR(INDEX(LevelOneOff,MATCH($H2006,LevelList,0)),0)</f>
        <v>0</v>
      </c>
      <c r="X2006" s="31" t="str">
        <f aca="false">IF($G2006="","",$V2006*N($L2006))</f>
        <v/>
      </c>
      <c r="Y2006" s="31" t="str">
        <f aca="false">IF($G2006="","",$V2006*(N($M2006)*1+N($N2006)*0.75+N($O2006)*0.5+N($P2006)*0.25)+$W2006*N($L2006))</f>
        <v/>
      </c>
      <c r="Z2006" s="31" t="str">
        <f aca="false">IF($G2006="","",$U2006*1000000+ROW())</f>
        <v/>
      </c>
      <c r="AA2006" s="32" t="str">
        <f aca="false">IF($G2006="","",MID(IF($C2006="",", no division","")&amp;IF($E2006="",", no unit","")&amp;IF($H2006="",", no career level","")&amp;IF(N($L2006)&lt;=0,", no quarter split","")&amp;IF($R2006="",", no driver","")&amp;IF(AND($H2006&lt;&gt;"",COUNTIF(CareerLevels,$H2006)=0),", a career level that is not on the ladder","")&amp;IF(AND($R2006&lt;&gt;"",COUNTIF(DriverList,$R2006)=0),", a driver that is not on the list","")&amp;IF(ABS(N($L2006)-(N($M2006)+N($N2006)+N($O2006)+N($P2006)))&gt;0.001,", a total that does not match its quarters",""),3,300))</f>
        <v/>
      </c>
    </row>
    <row r="2007" customFormat="false" ht="15" hidden="false" customHeight="false" outlineLevel="0" collapsed="false">
      <c r="A2007" s="33" t="str">
        <f aca="false">IF($G2007="","","Technology Group")</f>
        <v/>
      </c>
      <c r="B2007" s="19"/>
      <c r="C2007" s="19"/>
      <c r="D2007" s="19"/>
      <c r="E2007" s="19"/>
      <c r="F2007" s="19"/>
      <c r="G2007" s="19"/>
      <c r="H2007" s="19"/>
      <c r="I2007" s="19"/>
      <c r="J2007" s="19"/>
      <c r="K2007" s="19"/>
      <c r="L2007" s="19"/>
      <c r="M2007" s="19"/>
      <c r="N2007" s="19"/>
      <c r="O2007" s="19"/>
      <c r="P2007" s="19"/>
      <c r="Q2007" s="19"/>
      <c r="R2007" s="19"/>
      <c r="S2007" s="19"/>
      <c r="T2007" s="34" t="str">
        <f aca="false">IF($R2007="","",IFERROR(INDEX(DriverCategory,MATCH($R2007,DriverList,0)),"BAU"))</f>
        <v/>
      </c>
      <c r="U2007" s="34" t="str">
        <f aca="false">IF($R2007="","",IFERROR(INDEX(DriverRank,MATCH($R2007,DriverList,0)),99))</f>
        <v/>
      </c>
      <c r="V2007" s="35" t="n">
        <f aca="false">IF($H2007="",0,IFERROR(INDEX(LevelBasic,MATCH($H2007,LevelList,0))+INDEX(LevelHousing,MATCH($H2007,LevelList,0))+INDEX(LevelTransport,MATCH($H2007,LevelList,0))+INDEX(LevelBasic,MATCH($H2007,LevelList,0))*INDEX(LevelBonus,MATCH($H2007,LevelList,0))+(INDEX(LevelBasic,MATCH($H2007,LevelList,0))+INDEX(LevelHousing,MATCH($H2007,LevelList,0)))*GosiSaudi,0))</f>
        <v>0</v>
      </c>
      <c r="W2007" s="35" t="n">
        <f aca="false">IFERROR(INDEX(LevelOneOff,MATCH($H2007,LevelList,0)),0)</f>
        <v>0</v>
      </c>
      <c r="X2007" s="35" t="str">
        <f aca="false">IF($G2007="","",$V2007*N($L2007))</f>
        <v/>
      </c>
      <c r="Y2007" s="35" t="str">
        <f aca="false">IF($G2007="","",$V2007*(N($M2007)*1+N($N2007)*0.75+N($O2007)*0.5+N($P2007)*0.25)+$W2007*N($L2007))</f>
        <v/>
      </c>
      <c r="Z2007" s="35" t="str">
        <f aca="false">IF($G2007="","",$U2007*1000000+ROW())</f>
        <v/>
      </c>
      <c r="AA2007" s="36" t="str">
        <f aca="false">IF($G2007="","",MID(IF($C2007="",", no division","")&amp;IF($E2007="",", no unit","")&amp;IF($H2007="",", no career level","")&amp;IF(N($L2007)&lt;=0,", no quarter split","")&amp;IF($R2007="",", no driver","")&amp;IF(AND($H2007&lt;&gt;"",COUNTIF(CareerLevels,$H2007)=0),", a career level that is not on the ladder","")&amp;IF(AND($R2007&lt;&gt;"",COUNTIF(DriverList,$R2007)=0),", a driver that is not on the list","")&amp;IF(ABS(N($L2007)-(N($M2007)+N($N2007)+N($O2007)+N($P2007)))&gt;0.001,", a total that does not match its quarters",""),3,300))</f>
        <v/>
      </c>
    </row>
    <row r="2008" customFormat="false" ht="15" hidden="false" customHeight="false" outlineLevel="0" collapsed="false">
      <c r="A2008" s="33" t="str">
        <f aca="false">IF($G2008="","","Technology Group")</f>
        <v/>
      </c>
      <c r="B2008" s="19"/>
      <c r="C2008" s="19"/>
      <c r="D2008" s="19"/>
      <c r="E2008" s="19"/>
      <c r="F2008" s="19"/>
      <c r="G2008" s="19"/>
      <c r="H2008" s="19"/>
      <c r="I2008" s="19"/>
      <c r="J2008" s="19"/>
      <c r="K2008" s="19"/>
      <c r="L2008" s="19"/>
      <c r="M2008" s="19"/>
      <c r="N2008" s="19"/>
      <c r="O2008" s="19"/>
      <c r="P2008" s="19"/>
      <c r="Q2008" s="19"/>
      <c r="R2008" s="19"/>
      <c r="S2008" s="19"/>
      <c r="T2008" s="34" t="str">
        <f aca="false">IF($R2008="","",IFERROR(INDEX(DriverCategory,MATCH($R2008,DriverList,0)),"BAU"))</f>
        <v/>
      </c>
      <c r="U2008" s="34" t="str">
        <f aca="false">IF($R2008="","",IFERROR(INDEX(DriverRank,MATCH($R2008,DriverList,0)),99))</f>
        <v/>
      </c>
      <c r="V2008" s="35" t="n">
        <f aca="false">IF($H2008="",0,IFERROR(INDEX(LevelBasic,MATCH($H2008,LevelList,0))+INDEX(LevelHousing,MATCH($H2008,LevelList,0))+INDEX(LevelTransport,MATCH($H2008,LevelList,0))+INDEX(LevelBasic,MATCH($H2008,LevelList,0))*INDEX(LevelBonus,MATCH($H2008,LevelList,0))+(INDEX(LevelBasic,MATCH($H2008,LevelList,0))+INDEX(LevelHousing,MATCH($H2008,LevelList,0)))*GosiSaudi,0))</f>
        <v>0</v>
      </c>
      <c r="W2008" s="35" t="n">
        <f aca="false">IFERROR(INDEX(LevelOneOff,MATCH($H2008,LevelList,0)),0)</f>
        <v>0</v>
      </c>
      <c r="X2008" s="35" t="str">
        <f aca="false">IF($G2008="","",$V2008*N($L2008))</f>
        <v/>
      </c>
      <c r="Y2008" s="35" t="str">
        <f aca="false">IF($G2008="","",$V2008*(N($M2008)*1+N($N2008)*0.75+N($O2008)*0.5+N($P2008)*0.25)+$W2008*N($L2008))</f>
        <v/>
      </c>
      <c r="Z2008" s="35" t="str">
        <f aca="false">IF($G2008="","",$U2008*1000000+ROW())</f>
        <v/>
      </c>
      <c r="AA2008" s="36" t="str">
        <f aca="false">IF($G2008="","",MID(IF($C2008="",", no division","")&amp;IF($E2008="",", no unit","")&amp;IF($H2008="",", no career level","")&amp;IF(N($L2008)&lt;=0,", no quarter split","")&amp;IF($R2008="",", no driver","")&amp;IF(AND($H2008&lt;&gt;"",COUNTIF(CareerLevels,$H2008)=0),", a career level that is not on the ladder","")&amp;IF(AND($R2008&lt;&gt;"",COUNTIF(DriverList,$R2008)=0),", a driver that is not on the list","")&amp;IF(ABS(N($L2008)-(N($M2008)+N($N2008)+N($O2008)+N($P2008)))&gt;0.001,", a total that does not match its quarters",""),3,300))</f>
        <v/>
      </c>
    </row>
    <row r="2009" customFormat="false" ht="15" hidden="false" customHeight="false" outlineLevel="0" collapsed="false">
      <c r="A2009" s="33" t="str">
        <f aca="false">IF($G2009="","","Technology Group")</f>
        <v/>
      </c>
      <c r="B2009" s="19"/>
      <c r="C2009" s="19"/>
      <c r="D2009" s="19"/>
      <c r="E2009" s="19"/>
      <c r="F2009" s="19"/>
      <c r="G2009" s="19"/>
      <c r="H2009" s="19"/>
      <c r="I2009" s="19"/>
      <c r="J2009" s="19"/>
      <c r="K2009" s="19"/>
      <c r="L2009" s="19"/>
      <c r="M2009" s="19"/>
      <c r="N2009" s="19"/>
      <c r="O2009" s="19"/>
      <c r="P2009" s="19"/>
      <c r="Q2009" s="19"/>
      <c r="R2009" s="19"/>
      <c r="S2009" s="19"/>
      <c r="T2009" s="34" t="str">
        <f aca="false">IF($R2009="","",IFERROR(INDEX(DriverCategory,MATCH($R2009,DriverList,0)),"BAU"))</f>
        <v/>
      </c>
      <c r="U2009" s="34" t="str">
        <f aca="false">IF($R2009="","",IFERROR(INDEX(DriverRank,MATCH($R2009,DriverList,0)),99))</f>
        <v/>
      </c>
      <c r="V2009" s="35" t="n">
        <f aca="false">IF($H2009="",0,IFERROR(INDEX(LevelBasic,MATCH($H2009,LevelList,0))+INDEX(LevelHousing,MATCH($H2009,LevelList,0))+INDEX(LevelTransport,MATCH($H2009,LevelList,0))+INDEX(LevelBasic,MATCH($H2009,LevelList,0))*INDEX(LevelBonus,MATCH($H2009,LevelList,0))+(INDEX(LevelBasic,MATCH($H2009,LevelList,0))+INDEX(LevelHousing,MATCH($H2009,LevelList,0)))*GosiSaudi,0))</f>
        <v>0</v>
      </c>
      <c r="W2009" s="35" t="n">
        <f aca="false">IFERROR(INDEX(LevelOneOff,MATCH($H2009,LevelList,0)),0)</f>
        <v>0</v>
      </c>
      <c r="X2009" s="35" t="str">
        <f aca="false">IF($G2009="","",$V2009*N($L2009))</f>
        <v/>
      </c>
      <c r="Y2009" s="35" t="str">
        <f aca="false">IF($G2009="","",$V2009*(N($M2009)*1+N($N2009)*0.75+N($O2009)*0.5+N($P2009)*0.25)+$W2009*N($L2009))</f>
        <v/>
      </c>
      <c r="Z2009" s="35" t="str">
        <f aca="false">IF($G2009="","",$U2009*1000000+ROW())</f>
        <v/>
      </c>
      <c r="AA2009" s="36" t="str">
        <f aca="false">IF($G2009="","",MID(IF($C2009="",", no division","")&amp;IF($E2009="",", no unit","")&amp;IF($H2009="",", no career level","")&amp;IF(N($L2009)&lt;=0,", no quarter split","")&amp;IF($R2009="",", no driver","")&amp;IF(AND($H2009&lt;&gt;"",COUNTIF(CareerLevels,$H2009)=0),", a career level that is not on the ladder","")&amp;IF(AND($R2009&lt;&gt;"",COUNTIF(DriverList,$R2009)=0),", a driver that is not on the list","")&amp;IF(ABS(N($L2009)-(N($M2009)+N($N2009)+N($O2009)+N($P2009)))&gt;0.001,", a total that does not match its quarters",""),3,300))</f>
        <v/>
      </c>
    </row>
    <row r="2010" customFormat="false" ht="15" hidden="false" customHeight="false" outlineLevel="0" collapsed="false">
      <c r="A2010" s="33" t="str">
        <f aca="false">IF($G2010="","","Technology Group")</f>
        <v/>
      </c>
      <c r="B2010" s="19"/>
      <c r="C2010" s="19"/>
      <c r="D2010" s="19"/>
      <c r="E2010" s="19"/>
      <c r="F2010" s="19"/>
      <c r="G2010" s="19"/>
      <c r="H2010" s="19"/>
      <c r="I2010" s="19"/>
      <c r="J2010" s="19"/>
      <c r="K2010" s="19"/>
      <c r="L2010" s="19"/>
      <c r="M2010" s="19"/>
      <c r="N2010" s="19"/>
      <c r="O2010" s="19"/>
      <c r="P2010" s="19"/>
      <c r="Q2010" s="19"/>
      <c r="R2010" s="19"/>
      <c r="S2010" s="19"/>
      <c r="T2010" s="34" t="str">
        <f aca="false">IF($R2010="","",IFERROR(INDEX(DriverCategory,MATCH($R2010,DriverList,0)),"BAU"))</f>
        <v/>
      </c>
      <c r="U2010" s="34" t="str">
        <f aca="false">IF($R2010="","",IFERROR(INDEX(DriverRank,MATCH($R2010,DriverList,0)),99))</f>
        <v/>
      </c>
      <c r="V2010" s="35" t="n">
        <f aca="false">IF($H2010="",0,IFERROR(INDEX(LevelBasic,MATCH($H2010,LevelList,0))+INDEX(LevelHousing,MATCH($H2010,LevelList,0))+INDEX(LevelTransport,MATCH($H2010,LevelList,0))+INDEX(LevelBasic,MATCH($H2010,LevelList,0))*INDEX(LevelBonus,MATCH($H2010,LevelList,0))+(INDEX(LevelBasic,MATCH($H2010,LevelList,0))+INDEX(LevelHousing,MATCH($H2010,LevelList,0)))*GosiSaudi,0))</f>
        <v>0</v>
      </c>
      <c r="W2010" s="35" t="n">
        <f aca="false">IFERROR(INDEX(LevelOneOff,MATCH($H2010,LevelList,0)),0)</f>
        <v>0</v>
      </c>
      <c r="X2010" s="35" t="str">
        <f aca="false">IF($G2010="","",$V2010*N($L2010))</f>
        <v/>
      </c>
      <c r="Y2010" s="35" t="str">
        <f aca="false">IF($G2010="","",$V2010*(N($M2010)*1+N($N2010)*0.75+N($O2010)*0.5+N($P2010)*0.25)+$W2010*N($L2010))</f>
        <v/>
      </c>
      <c r="Z2010" s="35" t="str">
        <f aca="false">IF($G2010="","",$U2010*1000000+ROW())</f>
        <v/>
      </c>
      <c r="AA2010" s="36" t="str">
        <f aca="false">IF($G2010="","",MID(IF($C2010="",", no division","")&amp;IF($E2010="",", no unit","")&amp;IF($H2010="",", no career level","")&amp;IF(N($L2010)&lt;=0,", no quarter split","")&amp;IF($R2010="",", no driver","")&amp;IF(AND($H2010&lt;&gt;"",COUNTIF(CareerLevels,$H2010)=0),", a career level that is not on the ladder","")&amp;IF(AND($R2010&lt;&gt;"",COUNTIF(DriverList,$R2010)=0),", a driver that is not on the list","")&amp;IF(ABS(N($L2010)-(N($M2010)+N($N2010)+N($O2010)+N($P2010)))&gt;0.001,", a total that does not match its quarters",""),3,300))</f>
        <v/>
      </c>
    </row>
    <row r="2011" customFormat="false" ht="15" hidden="false" customHeight="false" outlineLevel="0" collapsed="false">
      <c r="A2011" s="33" t="str">
        <f aca="false">IF($G2011="","","Technology Group")</f>
        <v/>
      </c>
      <c r="B2011" s="19"/>
      <c r="C2011" s="19"/>
      <c r="D2011" s="19"/>
      <c r="E2011" s="19"/>
      <c r="F2011" s="19"/>
      <c r="G2011" s="19"/>
      <c r="H2011" s="19"/>
      <c r="I2011" s="19"/>
      <c r="J2011" s="19"/>
      <c r="K2011" s="19"/>
      <c r="L2011" s="19"/>
      <c r="M2011" s="19"/>
      <c r="N2011" s="19"/>
      <c r="O2011" s="19"/>
      <c r="P2011" s="19"/>
      <c r="Q2011" s="19"/>
      <c r="R2011" s="19"/>
      <c r="S2011" s="19"/>
      <c r="T2011" s="34" t="str">
        <f aca="false">IF($R2011="","",IFERROR(INDEX(DriverCategory,MATCH($R2011,DriverList,0)),"BAU"))</f>
        <v/>
      </c>
      <c r="U2011" s="34" t="str">
        <f aca="false">IF($R2011="","",IFERROR(INDEX(DriverRank,MATCH($R2011,DriverList,0)),99))</f>
        <v/>
      </c>
      <c r="V2011" s="35" t="n">
        <f aca="false">IF($H2011="",0,IFERROR(INDEX(LevelBasic,MATCH($H2011,LevelList,0))+INDEX(LevelHousing,MATCH($H2011,LevelList,0))+INDEX(LevelTransport,MATCH($H2011,LevelList,0))+INDEX(LevelBasic,MATCH($H2011,LevelList,0))*INDEX(LevelBonus,MATCH($H2011,LevelList,0))+(INDEX(LevelBasic,MATCH($H2011,LevelList,0))+INDEX(LevelHousing,MATCH($H2011,LevelList,0)))*GosiSaudi,0))</f>
        <v>0</v>
      </c>
      <c r="W2011" s="35" t="n">
        <f aca="false">IFERROR(INDEX(LevelOneOff,MATCH($H2011,LevelList,0)),0)</f>
        <v>0</v>
      </c>
      <c r="X2011" s="35" t="str">
        <f aca="false">IF($G2011="","",$V2011*N($L2011))</f>
        <v/>
      </c>
      <c r="Y2011" s="35" t="str">
        <f aca="false">IF($G2011="","",$V2011*(N($M2011)*1+N($N2011)*0.75+N($O2011)*0.5+N($P2011)*0.25)+$W2011*N($L2011))</f>
        <v/>
      </c>
      <c r="Z2011" s="35" t="str">
        <f aca="false">IF($G2011="","",$U2011*1000000+ROW())</f>
        <v/>
      </c>
      <c r="AA2011" s="36" t="str">
        <f aca="false">IF($G2011="","",MID(IF($C2011="",", no division","")&amp;IF($E2011="",", no unit","")&amp;IF($H2011="",", no career level","")&amp;IF(N($L2011)&lt;=0,", no quarter split","")&amp;IF($R2011="",", no driver","")&amp;IF(AND($H2011&lt;&gt;"",COUNTIF(CareerLevels,$H2011)=0),", a career level that is not on the ladder","")&amp;IF(AND($R2011&lt;&gt;"",COUNTIF(DriverList,$R2011)=0),", a driver that is not on the list","")&amp;IF(ABS(N($L2011)-(N($M2011)+N($N2011)+N($O2011)+N($P2011)))&gt;0.001,", a total that does not match its quarters",""),3,300))</f>
        <v/>
      </c>
    </row>
    <row r="2012" customFormat="false" ht="15" hidden="false" customHeight="false" outlineLevel="0" collapsed="false">
      <c r="A2012" s="33" t="str">
        <f aca="false">IF($G2012="","","Technology Group")</f>
        <v/>
      </c>
      <c r="B2012" s="19"/>
      <c r="C2012" s="19"/>
      <c r="D2012" s="19"/>
      <c r="E2012" s="19"/>
      <c r="F2012" s="19"/>
      <c r="G2012" s="19"/>
      <c r="H2012" s="19"/>
      <c r="I2012" s="19"/>
      <c r="J2012" s="19"/>
      <c r="K2012" s="19"/>
      <c r="L2012" s="19"/>
      <c r="M2012" s="19"/>
      <c r="N2012" s="19"/>
      <c r="O2012" s="19"/>
      <c r="P2012" s="19"/>
      <c r="Q2012" s="19"/>
      <c r="R2012" s="19"/>
      <c r="S2012" s="19"/>
      <c r="T2012" s="34" t="str">
        <f aca="false">IF($R2012="","",IFERROR(INDEX(DriverCategory,MATCH($R2012,DriverList,0)),"BAU"))</f>
        <v/>
      </c>
      <c r="U2012" s="34" t="str">
        <f aca="false">IF($R2012="","",IFERROR(INDEX(DriverRank,MATCH($R2012,DriverList,0)),99))</f>
        <v/>
      </c>
      <c r="V2012" s="35" t="n">
        <f aca="false">IF($H2012="",0,IFERROR(INDEX(LevelBasic,MATCH($H2012,LevelList,0))+INDEX(LevelHousing,MATCH($H2012,LevelList,0))+INDEX(LevelTransport,MATCH($H2012,LevelList,0))+INDEX(LevelBasic,MATCH($H2012,LevelList,0))*INDEX(LevelBonus,MATCH($H2012,LevelList,0))+(INDEX(LevelBasic,MATCH($H2012,LevelList,0))+INDEX(LevelHousing,MATCH($H2012,LevelList,0)))*GosiSaudi,0))</f>
        <v>0</v>
      </c>
      <c r="W2012" s="35" t="n">
        <f aca="false">IFERROR(INDEX(LevelOneOff,MATCH($H2012,LevelList,0)),0)</f>
        <v>0</v>
      </c>
      <c r="X2012" s="35" t="str">
        <f aca="false">IF($G2012="","",$V2012*N($L2012))</f>
        <v/>
      </c>
      <c r="Y2012" s="35" t="str">
        <f aca="false">IF($G2012="","",$V2012*(N($M2012)*1+N($N2012)*0.75+N($O2012)*0.5+N($P2012)*0.25)+$W2012*N($L2012))</f>
        <v/>
      </c>
      <c r="Z2012" s="35" t="str">
        <f aca="false">IF($G2012="","",$U2012*1000000+ROW())</f>
        <v/>
      </c>
      <c r="AA2012" s="36" t="str">
        <f aca="false">IF($G2012="","",MID(IF($C2012="",", no division","")&amp;IF($E2012="",", no unit","")&amp;IF($H2012="",", no career level","")&amp;IF(N($L2012)&lt;=0,", no quarter split","")&amp;IF($R2012="",", no driver","")&amp;IF(AND($H2012&lt;&gt;"",COUNTIF(CareerLevels,$H2012)=0),", a career level that is not on the ladder","")&amp;IF(AND($R2012&lt;&gt;"",COUNTIF(DriverList,$R2012)=0),", a driver that is not on the list","")&amp;IF(ABS(N($L2012)-(N($M2012)+N($N2012)+N($O2012)+N($P2012)))&gt;0.001,", a total that does not match its quarters",""),3,300))</f>
        <v/>
      </c>
    </row>
    <row r="2013" customFormat="false" ht="15" hidden="false" customHeight="false" outlineLevel="0" collapsed="false">
      <c r="A2013" s="33" t="str">
        <f aca="false">IF($G2013="","","Technology Group")</f>
        <v/>
      </c>
      <c r="B2013" s="19"/>
      <c r="C2013" s="19"/>
      <c r="D2013" s="19"/>
      <c r="E2013" s="19"/>
      <c r="F2013" s="19"/>
      <c r="G2013" s="19"/>
      <c r="H2013" s="19"/>
      <c r="I2013" s="19"/>
      <c r="J2013" s="19"/>
      <c r="K2013" s="19"/>
      <c r="L2013" s="19"/>
      <c r="M2013" s="19"/>
      <c r="N2013" s="19"/>
      <c r="O2013" s="19"/>
      <c r="P2013" s="19"/>
      <c r="Q2013" s="19"/>
      <c r="R2013" s="19"/>
      <c r="S2013" s="19"/>
      <c r="T2013" s="34" t="str">
        <f aca="false">IF($R2013="","",IFERROR(INDEX(DriverCategory,MATCH($R2013,DriverList,0)),"BAU"))</f>
        <v/>
      </c>
      <c r="U2013" s="34" t="str">
        <f aca="false">IF($R2013="","",IFERROR(INDEX(DriverRank,MATCH($R2013,DriverList,0)),99))</f>
        <v/>
      </c>
      <c r="V2013" s="35" t="n">
        <f aca="false">IF($H2013="",0,IFERROR(INDEX(LevelBasic,MATCH($H2013,LevelList,0))+INDEX(LevelHousing,MATCH($H2013,LevelList,0))+INDEX(LevelTransport,MATCH($H2013,LevelList,0))+INDEX(LevelBasic,MATCH($H2013,LevelList,0))*INDEX(LevelBonus,MATCH($H2013,LevelList,0))+(INDEX(LevelBasic,MATCH($H2013,LevelList,0))+INDEX(LevelHousing,MATCH($H2013,LevelList,0)))*GosiSaudi,0))</f>
        <v>0</v>
      </c>
      <c r="W2013" s="35" t="n">
        <f aca="false">IFERROR(INDEX(LevelOneOff,MATCH($H2013,LevelList,0)),0)</f>
        <v>0</v>
      </c>
      <c r="X2013" s="35" t="str">
        <f aca="false">IF($G2013="","",$V2013*N($L2013))</f>
        <v/>
      </c>
      <c r="Y2013" s="35" t="str">
        <f aca="false">IF($G2013="","",$V2013*(N($M2013)*1+N($N2013)*0.75+N($O2013)*0.5+N($P2013)*0.25)+$W2013*N($L2013))</f>
        <v/>
      </c>
      <c r="Z2013" s="35" t="str">
        <f aca="false">IF($G2013="","",$U2013*1000000+ROW())</f>
        <v/>
      </c>
      <c r="AA2013" s="36" t="str">
        <f aca="false">IF($G2013="","",MID(IF($C2013="",", no division","")&amp;IF($E2013="",", no unit","")&amp;IF($H2013="",", no career level","")&amp;IF(N($L2013)&lt;=0,", no quarter split","")&amp;IF($R2013="",", no driver","")&amp;IF(AND($H2013&lt;&gt;"",COUNTIF(CareerLevels,$H2013)=0),", a career level that is not on the ladder","")&amp;IF(AND($R2013&lt;&gt;"",COUNTIF(DriverList,$R2013)=0),", a driver that is not on the list","")&amp;IF(ABS(N($L2013)-(N($M2013)+N($N2013)+N($O2013)+N($P2013)))&gt;0.001,", a total that does not match its quarters",""),3,300))</f>
        <v/>
      </c>
    </row>
    <row r="2014" customFormat="false" ht="15" hidden="false" customHeight="false" outlineLevel="0" collapsed="false">
      <c r="A2014" s="33" t="str">
        <f aca="false">IF($G2014="","","Technology Group")</f>
        <v/>
      </c>
      <c r="B2014" s="19"/>
      <c r="C2014" s="19"/>
      <c r="D2014" s="19"/>
      <c r="E2014" s="19"/>
      <c r="F2014" s="19"/>
      <c r="G2014" s="19"/>
      <c r="H2014" s="19"/>
      <c r="I2014" s="19"/>
      <c r="J2014" s="19"/>
      <c r="K2014" s="19"/>
      <c r="L2014" s="19"/>
      <c r="M2014" s="19"/>
      <c r="N2014" s="19"/>
      <c r="O2014" s="19"/>
      <c r="P2014" s="19"/>
      <c r="Q2014" s="19"/>
      <c r="R2014" s="19"/>
      <c r="S2014" s="19"/>
      <c r="T2014" s="34" t="str">
        <f aca="false">IF($R2014="","",IFERROR(INDEX(DriverCategory,MATCH($R2014,DriverList,0)),"BAU"))</f>
        <v/>
      </c>
      <c r="U2014" s="34" t="str">
        <f aca="false">IF($R2014="","",IFERROR(INDEX(DriverRank,MATCH($R2014,DriverList,0)),99))</f>
        <v/>
      </c>
      <c r="V2014" s="35" t="n">
        <f aca="false">IF($H2014="",0,IFERROR(INDEX(LevelBasic,MATCH($H2014,LevelList,0))+INDEX(LevelHousing,MATCH($H2014,LevelList,0))+INDEX(LevelTransport,MATCH($H2014,LevelList,0))+INDEX(LevelBasic,MATCH($H2014,LevelList,0))*INDEX(LevelBonus,MATCH($H2014,LevelList,0))+(INDEX(LevelBasic,MATCH($H2014,LevelList,0))+INDEX(LevelHousing,MATCH($H2014,LevelList,0)))*GosiSaudi,0))</f>
        <v>0</v>
      </c>
      <c r="W2014" s="35" t="n">
        <f aca="false">IFERROR(INDEX(LevelOneOff,MATCH($H2014,LevelList,0)),0)</f>
        <v>0</v>
      </c>
      <c r="X2014" s="35" t="str">
        <f aca="false">IF($G2014="","",$V2014*N($L2014))</f>
        <v/>
      </c>
      <c r="Y2014" s="35" t="str">
        <f aca="false">IF($G2014="","",$V2014*(N($M2014)*1+N($N2014)*0.75+N($O2014)*0.5+N($P2014)*0.25)+$W2014*N($L2014))</f>
        <v/>
      </c>
      <c r="Z2014" s="35" t="str">
        <f aca="false">IF($G2014="","",$U2014*1000000+ROW())</f>
        <v/>
      </c>
      <c r="AA2014" s="36" t="str">
        <f aca="false">IF($G2014="","",MID(IF($C2014="",", no division","")&amp;IF($E2014="",", no unit","")&amp;IF($H2014="",", no career level","")&amp;IF(N($L2014)&lt;=0,", no quarter split","")&amp;IF($R2014="",", no driver","")&amp;IF(AND($H2014&lt;&gt;"",COUNTIF(CareerLevels,$H2014)=0),", a career level that is not on the ladder","")&amp;IF(AND($R2014&lt;&gt;"",COUNTIF(DriverList,$R2014)=0),", a driver that is not on the list","")&amp;IF(ABS(N($L2014)-(N($M2014)+N($N2014)+N($O2014)+N($P2014)))&gt;0.001,", a total that does not match its quarters",""),3,300))</f>
        <v/>
      </c>
    </row>
    <row r="2015" customFormat="false" ht="15" hidden="false" customHeight="false" outlineLevel="0" collapsed="false">
      <c r="A2015" s="33" t="str">
        <f aca="false">IF($G2015="","","Technology Group")</f>
        <v/>
      </c>
      <c r="B2015" s="19"/>
      <c r="C2015" s="19"/>
      <c r="D2015" s="19"/>
      <c r="E2015" s="19"/>
      <c r="F2015" s="19"/>
      <c r="G2015" s="19"/>
      <c r="H2015" s="19"/>
      <c r="I2015" s="19"/>
      <c r="J2015" s="19"/>
      <c r="K2015" s="19"/>
      <c r="L2015" s="19"/>
      <c r="M2015" s="19"/>
      <c r="N2015" s="19"/>
      <c r="O2015" s="19"/>
      <c r="P2015" s="19"/>
      <c r="Q2015" s="19"/>
      <c r="R2015" s="19"/>
      <c r="S2015" s="19"/>
      <c r="T2015" s="34" t="str">
        <f aca="false">IF($R2015="","",IFERROR(INDEX(DriverCategory,MATCH($R2015,DriverList,0)),"BAU"))</f>
        <v/>
      </c>
      <c r="U2015" s="34" t="str">
        <f aca="false">IF($R2015="","",IFERROR(INDEX(DriverRank,MATCH($R2015,DriverList,0)),99))</f>
        <v/>
      </c>
      <c r="V2015" s="35" t="n">
        <f aca="false">IF($H2015="",0,IFERROR(INDEX(LevelBasic,MATCH($H2015,LevelList,0))+INDEX(LevelHousing,MATCH($H2015,LevelList,0))+INDEX(LevelTransport,MATCH($H2015,LevelList,0))+INDEX(LevelBasic,MATCH($H2015,LevelList,0))*INDEX(LevelBonus,MATCH($H2015,LevelList,0))+(INDEX(LevelBasic,MATCH($H2015,LevelList,0))+INDEX(LevelHousing,MATCH($H2015,LevelList,0)))*GosiSaudi,0))</f>
        <v>0</v>
      </c>
      <c r="W2015" s="35" t="n">
        <f aca="false">IFERROR(INDEX(LevelOneOff,MATCH($H2015,LevelList,0)),0)</f>
        <v>0</v>
      </c>
      <c r="X2015" s="35" t="str">
        <f aca="false">IF($G2015="","",$V2015*N($L2015))</f>
        <v/>
      </c>
      <c r="Y2015" s="35" t="str">
        <f aca="false">IF($G2015="","",$V2015*(N($M2015)*1+N($N2015)*0.75+N($O2015)*0.5+N($P2015)*0.25)+$W2015*N($L2015))</f>
        <v/>
      </c>
      <c r="Z2015" s="35" t="str">
        <f aca="false">IF($G2015="","",$U2015*1000000+ROW())</f>
        <v/>
      </c>
      <c r="AA2015" s="36" t="str">
        <f aca="false">IF($G2015="","",MID(IF($C2015="",", no division","")&amp;IF($E2015="",", no unit","")&amp;IF($H2015="",", no career level","")&amp;IF(N($L2015)&lt;=0,", no quarter split","")&amp;IF($R2015="",", no driver","")&amp;IF(AND($H2015&lt;&gt;"",COUNTIF(CareerLevels,$H2015)=0),", a career level that is not on the ladder","")&amp;IF(AND($R2015&lt;&gt;"",COUNTIF(DriverList,$R2015)=0),", a driver that is not on the list","")&amp;IF(ABS(N($L2015)-(N($M2015)+N($N2015)+N($O2015)+N($P2015)))&gt;0.001,", a total that does not match its quarters",""),3,300))</f>
        <v/>
      </c>
    </row>
    <row r="2016" customFormat="false" ht="15" hidden="false" customHeight="false" outlineLevel="0" collapsed="false">
      <c r="A2016" s="33" t="str">
        <f aca="false">IF($G2016="","","Technology Group")</f>
        <v/>
      </c>
      <c r="B2016" s="19"/>
      <c r="C2016" s="19"/>
      <c r="D2016" s="19"/>
      <c r="E2016" s="19"/>
      <c r="F2016" s="19"/>
      <c r="G2016" s="19"/>
      <c r="H2016" s="19"/>
      <c r="I2016" s="19"/>
      <c r="J2016" s="19"/>
      <c r="K2016" s="19"/>
      <c r="L2016" s="19"/>
      <c r="M2016" s="19"/>
      <c r="N2016" s="19"/>
      <c r="O2016" s="19"/>
      <c r="P2016" s="19"/>
      <c r="Q2016" s="19"/>
      <c r="R2016" s="19"/>
      <c r="S2016" s="19"/>
      <c r="T2016" s="34" t="str">
        <f aca="false">IF($R2016="","",IFERROR(INDEX(DriverCategory,MATCH($R2016,DriverList,0)),"BAU"))</f>
        <v/>
      </c>
      <c r="U2016" s="34" t="str">
        <f aca="false">IF($R2016="","",IFERROR(INDEX(DriverRank,MATCH($R2016,DriverList,0)),99))</f>
        <v/>
      </c>
      <c r="V2016" s="35" t="n">
        <f aca="false">IF($H2016="",0,IFERROR(INDEX(LevelBasic,MATCH($H2016,LevelList,0))+INDEX(LevelHousing,MATCH($H2016,LevelList,0))+INDEX(LevelTransport,MATCH($H2016,LevelList,0))+INDEX(LevelBasic,MATCH($H2016,LevelList,0))*INDEX(LevelBonus,MATCH($H2016,LevelList,0))+(INDEX(LevelBasic,MATCH($H2016,LevelList,0))+INDEX(LevelHousing,MATCH($H2016,LevelList,0)))*GosiSaudi,0))</f>
        <v>0</v>
      </c>
      <c r="W2016" s="35" t="n">
        <f aca="false">IFERROR(INDEX(LevelOneOff,MATCH($H2016,LevelList,0)),0)</f>
        <v>0</v>
      </c>
      <c r="X2016" s="35" t="str">
        <f aca="false">IF($G2016="","",$V2016*N($L2016))</f>
        <v/>
      </c>
      <c r="Y2016" s="35" t="str">
        <f aca="false">IF($G2016="","",$V2016*(N($M2016)*1+N($N2016)*0.75+N($O2016)*0.5+N($P2016)*0.25)+$W2016*N($L2016))</f>
        <v/>
      </c>
      <c r="Z2016" s="35" t="str">
        <f aca="false">IF($G2016="","",$U2016*1000000+ROW())</f>
        <v/>
      </c>
      <c r="AA2016" s="36" t="str">
        <f aca="false">IF($G2016="","",MID(IF($C2016="",", no division","")&amp;IF($E2016="",", no unit","")&amp;IF($H2016="",", no career level","")&amp;IF(N($L2016)&lt;=0,", no quarter split","")&amp;IF($R2016="",", no driver","")&amp;IF(AND($H2016&lt;&gt;"",COUNTIF(CareerLevels,$H2016)=0),", a career level that is not on the ladder","")&amp;IF(AND($R2016&lt;&gt;"",COUNTIF(DriverList,$R2016)=0),", a driver that is not on the list","")&amp;IF(ABS(N($L2016)-(N($M2016)+N($N2016)+N($O2016)+N($P2016)))&gt;0.001,", a total that does not match its quarters",""),3,300))</f>
        <v/>
      </c>
    </row>
    <row r="2017" customFormat="false" ht="15" hidden="false" customHeight="false" outlineLevel="0" collapsed="false">
      <c r="A2017" s="33" t="str">
        <f aca="false">IF($G2017="","","Technology Group")</f>
        <v/>
      </c>
      <c r="B2017" s="19"/>
      <c r="C2017" s="19"/>
      <c r="D2017" s="19"/>
      <c r="E2017" s="19"/>
      <c r="F2017" s="19"/>
      <c r="G2017" s="19"/>
      <c r="H2017" s="19"/>
      <c r="I2017" s="19"/>
      <c r="J2017" s="19"/>
      <c r="K2017" s="19"/>
      <c r="L2017" s="19"/>
      <c r="M2017" s="19"/>
      <c r="N2017" s="19"/>
      <c r="O2017" s="19"/>
      <c r="P2017" s="19"/>
      <c r="Q2017" s="19"/>
      <c r="R2017" s="19"/>
      <c r="S2017" s="19"/>
      <c r="T2017" s="34" t="str">
        <f aca="false">IF($R2017="","",IFERROR(INDEX(DriverCategory,MATCH($R2017,DriverList,0)),"BAU"))</f>
        <v/>
      </c>
      <c r="U2017" s="34" t="str">
        <f aca="false">IF($R2017="","",IFERROR(INDEX(DriverRank,MATCH($R2017,DriverList,0)),99))</f>
        <v/>
      </c>
      <c r="V2017" s="35" t="n">
        <f aca="false">IF($H2017="",0,IFERROR(INDEX(LevelBasic,MATCH($H2017,LevelList,0))+INDEX(LevelHousing,MATCH($H2017,LevelList,0))+INDEX(LevelTransport,MATCH($H2017,LevelList,0))+INDEX(LevelBasic,MATCH($H2017,LevelList,0))*INDEX(LevelBonus,MATCH($H2017,LevelList,0))+(INDEX(LevelBasic,MATCH($H2017,LevelList,0))+INDEX(LevelHousing,MATCH($H2017,LevelList,0)))*GosiSaudi,0))</f>
        <v>0</v>
      </c>
      <c r="W2017" s="35" t="n">
        <f aca="false">IFERROR(INDEX(LevelOneOff,MATCH($H2017,LevelList,0)),0)</f>
        <v>0</v>
      </c>
      <c r="X2017" s="35" t="str">
        <f aca="false">IF($G2017="","",$V2017*N($L2017))</f>
        <v/>
      </c>
      <c r="Y2017" s="35" t="str">
        <f aca="false">IF($G2017="","",$V2017*(N($M2017)*1+N($N2017)*0.75+N($O2017)*0.5+N($P2017)*0.25)+$W2017*N($L2017))</f>
        <v/>
      </c>
      <c r="Z2017" s="35" t="str">
        <f aca="false">IF($G2017="","",$U2017*1000000+ROW())</f>
        <v/>
      </c>
      <c r="AA2017" s="36" t="str">
        <f aca="false">IF($G2017="","",MID(IF($C2017="",", no division","")&amp;IF($E2017="",", no unit","")&amp;IF($H2017="",", no career level","")&amp;IF(N($L2017)&lt;=0,", no quarter split","")&amp;IF($R2017="",", no driver","")&amp;IF(AND($H2017&lt;&gt;"",COUNTIF(CareerLevels,$H2017)=0),", a career level that is not on the ladder","")&amp;IF(AND($R2017&lt;&gt;"",COUNTIF(DriverList,$R2017)=0),", a driver that is not on the list","")&amp;IF(ABS(N($L2017)-(N($M2017)+N($N2017)+N($O2017)+N($P2017)))&gt;0.001,", a total that does not match its quarters",""),3,300))</f>
        <v/>
      </c>
    </row>
    <row r="2018" customFormat="false" ht="15" hidden="false" customHeight="false" outlineLevel="0" collapsed="false">
      <c r="A2018" s="33" t="str">
        <f aca="false">IF($G2018="","","Technology Group")</f>
        <v/>
      </c>
      <c r="B2018" s="19"/>
      <c r="C2018" s="19"/>
      <c r="D2018" s="19"/>
      <c r="E2018" s="19"/>
      <c r="F2018" s="19"/>
      <c r="G2018" s="19"/>
      <c r="H2018" s="19"/>
      <c r="I2018" s="19"/>
      <c r="J2018" s="19"/>
      <c r="K2018" s="19"/>
      <c r="L2018" s="19"/>
      <c r="M2018" s="19"/>
      <c r="N2018" s="19"/>
      <c r="O2018" s="19"/>
      <c r="P2018" s="19"/>
      <c r="Q2018" s="19"/>
      <c r="R2018" s="19"/>
      <c r="S2018" s="19"/>
      <c r="T2018" s="34" t="str">
        <f aca="false">IF($R2018="","",IFERROR(INDEX(DriverCategory,MATCH($R2018,DriverList,0)),"BAU"))</f>
        <v/>
      </c>
      <c r="U2018" s="34" t="str">
        <f aca="false">IF($R2018="","",IFERROR(INDEX(DriverRank,MATCH($R2018,DriverList,0)),99))</f>
        <v/>
      </c>
      <c r="V2018" s="35" t="n">
        <f aca="false">IF($H2018="",0,IFERROR(INDEX(LevelBasic,MATCH($H2018,LevelList,0))+INDEX(LevelHousing,MATCH($H2018,LevelList,0))+INDEX(LevelTransport,MATCH($H2018,LevelList,0))+INDEX(LevelBasic,MATCH($H2018,LevelList,0))*INDEX(LevelBonus,MATCH($H2018,LevelList,0))+(INDEX(LevelBasic,MATCH($H2018,LevelList,0))+INDEX(LevelHousing,MATCH($H2018,LevelList,0)))*GosiSaudi,0))</f>
        <v>0</v>
      </c>
      <c r="W2018" s="35" t="n">
        <f aca="false">IFERROR(INDEX(LevelOneOff,MATCH($H2018,LevelList,0)),0)</f>
        <v>0</v>
      </c>
      <c r="X2018" s="35" t="str">
        <f aca="false">IF($G2018="","",$V2018*N($L2018))</f>
        <v/>
      </c>
      <c r="Y2018" s="35" t="str">
        <f aca="false">IF($G2018="","",$V2018*(N($M2018)*1+N($N2018)*0.75+N($O2018)*0.5+N($P2018)*0.25)+$W2018*N($L2018))</f>
        <v/>
      </c>
      <c r="Z2018" s="35" t="str">
        <f aca="false">IF($G2018="","",$U2018*1000000+ROW())</f>
        <v/>
      </c>
      <c r="AA2018" s="36" t="str">
        <f aca="false">IF($G2018="","",MID(IF($C2018="",", no division","")&amp;IF($E2018="",", no unit","")&amp;IF($H2018="",", no career level","")&amp;IF(N($L2018)&lt;=0,", no quarter split","")&amp;IF($R2018="",", no driver","")&amp;IF(AND($H2018&lt;&gt;"",COUNTIF(CareerLevels,$H2018)=0),", a career level that is not on the ladder","")&amp;IF(AND($R2018&lt;&gt;"",COUNTIF(DriverList,$R2018)=0),", a driver that is not on the list","")&amp;IF(ABS(N($L2018)-(N($M2018)+N($N2018)+N($O2018)+N($P2018)))&gt;0.001,", a total that does not match its quarters",""),3,300))</f>
        <v/>
      </c>
    </row>
    <row r="2019" customFormat="false" ht="15" hidden="false" customHeight="false" outlineLevel="0" collapsed="false">
      <c r="A2019" s="33" t="str">
        <f aca="false">IF($G2019="","","Technology Group")</f>
        <v/>
      </c>
      <c r="B2019" s="19"/>
      <c r="C2019" s="19"/>
      <c r="D2019" s="19"/>
      <c r="E2019" s="19"/>
      <c r="F2019" s="19"/>
      <c r="G2019" s="19"/>
      <c r="H2019" s="19"/>
      <c r="I2019" s="19"/>
      <c r="J2019" s="19"/>
      <c r="K2019" s="19"/>
      <c r="L2019" s="19"/>
      <c r="M2019" s="19"/>
      <c r="N2019" s="19"/>
      <c r="O2019" s="19"/>
      <c r="P2019" s="19"/>
      <c r="Q2019" s="19"/>
      <c r="R2019" s="19"/>
      <c r="S2019" s="19"/>
      <c r="T2019" s="34" t="str">
        <f aca="false">IF($R2019="","",IFERROR(INDEX(DriverCategory,MATCH($R2019,DriverList,0)),"BAU"))</f>
        <v/>
      </c>
      <c r="U2019" s="34" t="str">
        <f aca="false">IF($R2019="","",IFERROR(INDEX(DriverRank,MATCH($R2019,DriverList,0)),99))</f>
        <v/>
      </c>
      <c r="V2019" s="35" t="n">
        <f aca="false">IF($H2019="",0,IFERROR(INDEX(LevelBasic,MATCH($H2019,LevelList,0))+INDEX(LevelHousing,MATCH($H2019,LevelList,0))+INDEX(LevelTransport,MATCH($H2019,LevelList,0))+INDEX(LevelBasic,MATCH($H2019,LevelList,0))*INDEX(LevelBonus,MATCH($H2019,LevelList,0))+(INDEX(LevelBasic,MATCH($H2019,LevelList,0))+INDEX(LevelHousing,MATCH($H2019,LevelList,0)))*GosiSaudi,0))</f>
        <v>0</v>
      </c>
      <c r="W2019" s="35" t="n">
        <f aca="false">IFERROR(INDEX(LevelOneOff,MATCH($H2019,LevelList,0)),0)</f>
        <v>0</v>
      </c>
      <c r="X2019" s="35" t="str">
        <f aca="false">IF($G2019="","",$V2019*N($L2019))</f>
        <v/>
      </c>
      <c r="Y2019" s="35" t="str">
        <f aca="false">IF($G2019="","",$V2019*(N($M2019)*1+N($N2019)*0.75+N($O2019)*0.5+N($P2019)*0.25)+$W2019*N($L2019))</f>
        <v/>
      </c>
      <c r="Z2019" s="35" t="str">
        <f aca="false">IF($G2019="","",$U2019*1000000+ROW())</f>
        <v/>
      </c>
      <c r="AA2019" s="36" t="str">
        <f aca="false">IF($G2019="","",MID(IF($C2019="",", no division","")&amp;IF($E2019="",", no unit","")&amp;IF($H2019="",", no career level","")&amp;IF(N($L2019)&lt;=0,", no quarter split","")&amp;IF($R2019="",", no driver","")&amp;IF(AND($H2019&lt;&gt;"",COUNTIF(CareerLevels,$H2019)=0),", a career level that is not on the ladder","")&amp;IF(AND($R2019&lt;&gt;"",COUNTIF(DriverList,$R2019)=0),", a driver that is not on the list","")&amp;IF(ABS(N($L2019)-(N($M2019)+N($N2019)+N($O2019)+N($P2019)))&gt;0.001,", a total that does not match its quarters",""),3,300))</f>
        <v/>
      </c>
    </row>
    <row r="2020" customFormat="false" ht="15" hidden="false" customHeight="false" outlineLevel="0" collapsed="false">
      <c r="A2020" s="33" t="str">
        <f aca="false">IF($G2020="","","Technology Group")</f>
        <v/>
      </c>
      <c r="B2020" s="19"/>
      <c r="C2020" s="19"/>
      <c r="D2020" s="19"/>
      <c r="E2020" s="19"/>
      <c r="F2020" s="19"/>
      <c r="G2020" s="19"/>
      <c r="H2020" s="19"/>
      <c r="I2020" s="19"/>
      <c r="J2020" s="19"/>
      <c r="K2020" s="19"/>
      <c r="L2020" s="19"/>
      <c r="M2020" s="19"/>
      <c r="N2020" s="19"/>
      <c r="O2020" s="19"/>
      <c r="P2020" s="19"/>
      <c r="Q2020" s="19"/>
      <c r="R2020" s="19"/>
      <c r="S2020" s="19"/>
      <c r="T2020" s="34" t="str">
        <f aca="false">IF($R2020="","",IFERROR(INDEX(DriverCategory,MATCH($R2020,DriverList,0)),"BAU"))</f>
        <v/>
      </c>
      <c r="U2020" s="34" t="str">
        <f aca="false">IF($R2020="","",IFERROR(INDEX(DriverRank,MATCH($R2020,DriverList,0)),99))</f>
        <v/>
      </c>
      <c r="V2020" s="35" t="n">
        <f aca="false">IF($H2020="",0,IFERROR(INDEX(LevelBasic,MATCH($H2020,LevelList,0))+INDEX(LevelHousing,MATCH($H2020,LevelList,0))+INDEX(LevelTransport,MATCH($H2020,LevelList,0))+INDEX(LevelBasic,MATCH($H2020,LevelList,0))*INDEX(LevelBonus,MATCH($H2020,LevelList,0))+(INDEX(LevelBasic,MATCH($H2020,LevelList,0))+INDEX(LevelHousing,MATCH($H2020,LevelList,0)))*GosiSaudi,0))</f>
        <v>0</v>
      </c>
      <c r="W2020" s="35" t="n">
        <f aca="false">IFERROR(INDEX(LevelOneOff,MATCH($H2020,LevelList,0)),0)</f>
        <v>0</v>
      </c>
      <c r="X2020" s="35" t="str">
        <f aca="false">IF($G2020="","",$V2020*N($L2020))</f>
        <v/>
      </c>
      <c r="Y2020" s="35" t="str">
        <f aca="false">IF($G2020="","",$V2020*(N($M2020)*1+N($N2020)*0.75+N($O2020)*0.5+N($P2020)*0.25)+$W2020*N($L2020))</f>
        <v/>
      </c>
      <c r="Z2020" s="35" t="str">
        <f aca="false">IF($G2020="","",$U2020*1000000+ROW())</f>
        <v/>
      </c>
      <c r="AA2020" s="36" t="str">
        <f aca="false">IF($G2020="","",MID(IF($C2020="",", no division","")&amp;IF($E2020="",", no unit","")&amp;IF($H2020="",", no career level","")&amp;IF(N($L2020)&lt;=0,", no quarter split","")&amp;IF($R2020="",", no driver","")&amp;IF(AND($H2020&lt;&gt;"",COUNTIF(CareerLevels,$H2020)=0),", a career level that is not on the ladder","")&amp;IF(AND($R2020&lt;&gt;"",COUNTIF(DriverList,$R2020)=0),", a driver that is not on the list","")&amp;IF(ABS(N($L2020)-(N($M2020)+N($N2020)+N($O2020)+N($P2020)))&gt;0.001,", a total that does not match its quarters",""),3,300))</f>
        <v/>
      </c>
    </row>
    <row r="2021" customFormat="false" ht="15" hidden="false" customHeight="false" outlineLevel="0" collapsed="false">
      <c r="A2021" s="33" t="str">
        <f aca="false">IF($G2021="","","Technology Group")</f>
        <v/>
      </c>
      <c r="B2021" s="19"/>
      <c r="C2021" s="19"/>
      <c r="D2021" s="19"/>
      <c r="E2021" s="19"/>
      <c r="F2021" s="19"/>
      <c r="G2021" s="19"/>
      <c r="H2021" s="19"/>
      <c r="I2021" s="19"/>
      <c r="J2021" s="19"/>
      <c r="K2021" s="19"/>
      <c r="L2021" s="19"/>
      <c r="M2021" s="19"/>
      <c r="N2021" s="19"/>
      <c r="O2021" s="19"/>
      <c r="P2021" s="19"/>
      <c r="Q2021" s="19"/>
      <c r="R2021" s="19"/>
      <c r="S2021" s="19"/>
      <c r="T2021" s="34" t="str">
        <f aca="false">IF($R2021="","",IFERROR(INDEX(DriverCategory,MATCH($R2021,DriverList,0)),"BAU"))</f>
        <v/>
      </c>
      <c r="U2021" s="34" t="str">
        <f aca="false">IF($R2021="","",IFERROR(INDEX(DriverRank,MATCH($R2021,DriverList,0)),99))</f>
        <v/>
      </c>
      <c r="V2021" s="35" t="n">
        <f aca="false">IF($H2021="",0,IFERROR(INDEX(LevelBasic,MATCH($H2021,LevelList,0))+INDEX(LevelHousing,MATCH($H2021,LevelList,0))+INDEX(LevelTransport,MATCH($H2021,LevelList,0))+INDEX(LevelBasic,MATCH($H2021,LevelList,0))*INDEX(LevelBonus,MATCH($H2021,LevelList,0))+(INDEX(LevelBasic,MATCH($H2021,LevelList,0))+INDEX(LevelHousing,MATCH($H2021,LevelList,0)))*GosiSaudi,0))</f>
        <v>0</v>
      </c>
      <c r="W2021" s="35" t="n">
        <f aca="false">IFERROR(INDEX(LevelOneOff,MATCH($H2021,LevelList,0)),0)</f>
        <v>0</v>
      </c>
      <c r="X2021" s="35" t="str">
        <f aca="false">IF($G2021="","",$V2021*N($L2021))</f>
        <v/>
      </c>
      <c r="Y2021" s="35" t="str">
        <f aca="false">IF($G2021="","",$V2021*(N($M2021)*1+N($N2021)*0.75+N($O2021)*0.5+N($P2021)*0.25)+$W2021*N($L2021))</f>
        <v/>
      </c>
      <c r="Z2021" s="35" t="str">
        <f aca="false">IF($G2021="","",$U2021*1000000+ROW())</f>
        <v/>
      </c>
      <c r="AA2021" s="36" t="str">
        <f aca="false">IF($G2021="","",MID(IF($C2021="",", no division","")&amp;IF($E2021="",", no unit","")&amp;IF($H2021="",", no career level","")&amp;IF(N($L2021)&lt;=0,", no quarter split","")&amp;IF($R2021="",", no driver","")&amp;IF(AND($H2021&lt;&gt;"",COUNTIF(CareerLevels,$H2021)=0),", a career level that is not on the ladder","")&amp;IF(AND($R2021&lt;&gt;"",COUNTIF(DriverList,$R2021)=0),", a driver that is not on the list","")&amp;IF(ABS(N($L2021)-(N($M2021)+N($N2021)+N($O2021)+N($P2021)))&gt;0.001,", a total that does not match its quarters",""),3,300))</f>
        <v/>
      </c>
    </row>
    <row r="2022" customFormat="false" ht="15" hidden="false" customHeight="false" outlineLevel="0" collapsed="false">
      <c r="A2022" s="33" t="str">
        <f aca="false">IF($G2022="","","Technology Group")</f>
        <v/>
      </c>
      <c r="B2022" s="19"/>
      <c r="C2022" s="19"/>
      <c r="D2022" s="19"/>
      <c r="E2022" s="19"/>
      <c r="F2022" s="19"/>
      <c r="G2022" s="19"/>
      <c r="H2022" s="19"/>
      <c r="I2022" s="19"/>
      <c r="J2022" s="19"/>
      <c r="K2022" s="19"/>
      <c r="L2022" s="19"/>
      <c r="M2022" s="19"/>
      <c r="N2022" s="19"/>
      <c r="O2022" s="19"/>
      <c r="P2022" s="19"/>
      <c r="Q2022" s="19"/>
      <c r="R2022" s="19"/>
      <c r="S2022" s="19"/>
      <c r="T2022" s="34" t="str">
        <f aca="false">IF($R2022="","",IFERROR(INDEX(DriverCategory,MATCH($R2022,DriverList,0)),"BAU"))</f>
        <v/>
      </c>
      <c r="U2022" s="34" t="str">
        <f aca="false">IF($R2022="","",IFERROR(INDEX(DriverRank,MATCH($R2022,DriverList,0)),99))</f>
        <v/>
      </c>
      <c r="V2022" s="35" t="n">
        <f aca="false">IF($H2022="",0,IFERROR(INDEX(LevelBasic,MATCH($H2022,LevelList,0))+INDEX(LevelHousing,MATCH($H2022,LevelList,0))+INDEX(LevelTransport,MATCH($H2022,LevelList,0))+INDEX(LevelBasic,MATCH($H2022,LevelList,0))*INDEX(LevelBonus,MATCH($H2022,LevelList,0))+(INDEX(LevelBasic,MATCH($H2022,LevelList,0))+INDEX(LevelHousing,MATCH($H2022,LevelList,0)))*GosiSaudi,0))</f>
        <v>0</v>
      </c>
      <c r="W2022" s="35" t="n">
        <f aca="false">IFERROR(INDEX(LevelOneOff,MATCH($H2022,LevelList,0)),0)</f>
        <v>0</v>
      </c>
      <c r="X2022" s="35" t="str">
        <f aca="false">IF($G2022="","",$V2022*N($L2022))</f>
        <v/>
      </c>
      <c r="Y2022" s="35" t="str">
        <f aca="false">IF($G2022="","",$V2022*(N($M2022)*1+N($N2022)*0.75+N($O2022)*0.5+N($P2022)*0.25)+$W2022*N($L2022))</f>
        <v/>
      </c>
      <c r="Z2022" s="35" t="str">
        <f aca="false">IF($G2022="","",$U2022*1000000+ROW())</f>
        <v/>
      </c>
      <c r="AA2022" s="36" t="str">
        <f aca="false">IF($G2022="","",MID(IF($C2022="",", no division","")&amp;IF($E2022="",", no unit","")&amp;IF($H2022="",", no career level","")&amp;IF(N($L2022)&lt;=0,", no quarter split","")&amp;IF($R2022="",", no driver","")&amp;IF(AND($H2022&lt;&gt;"",COUNTIF(CareerLevels,$H2022)=0),", a career level that is not on the ladder","")&amp;IF(AND($R2022&lt;&gt;"",COUNTIF(DriverList,$R2022)=0),", a driver that is not on the list","")&amp;IF(ABS(N($L2022)-(N($M2022)+N($N2022)+N($O2022)+N($P2022)))&gt;0.001,", a total that does not match its quarters",""),3,300))</f>
        <v/>
      </c>
    </row>
    <row r="2023" customFormat="false" ht="15" hidden="false" customHeight="false" outlineLevel="0" collapsed="false">
      <c r="A2023" s="33" t="str">
        <f aca="false">IF($G2023="","","Technology Group")</f>
        <v/>
      </c>
      <c r="B2023" s="19"/>
      <c r="C2023" s="19"/>
      <c r="D2023" s="19"/>
      <c r="E2023" s="19"/>
      <c r="F2023" s="19"/>
      <c r="G2023" s="19"/>
      <c r="H2023" s="19"/>
      <c r="I2023" s="19"/>
      <c r="J2023" s="19"/>
      <c r="K2023" s="19"/>
      <c r="L2023" s="19"/>
      <c r="M2023" s="19"/>
      <c r="N2023" s="19"/>
      <c r="O2023" s="19"/>
      <c r="P2023" s="19"/>
      <c r="Q2023" s="19"/>
      <c r="R2023" s="19"/>
      <c r="S2023" s="19"/>
      <c r="T2023" s="34" t="str">
        <f aca="false">IF($R2023="","",IFERROR(INDEX(DriverCategory,MATCH($R2023,DriverList,0)),"BAU"))</f>
        <v/>
      </c>
      <c r="U2023" s="34" t="str">
        <f aca="false">IF($R2023="","",IFERROR(INDEX(DriverRank,MATCH($R2023,DriverList,0)),99))</f>
        <v/>
      </c>
      <c r="V2023" s="35" t="n">
        <f aca="false">IF($H2023="",0,IFERROR(INDEX(LevelBasic,MATCH($H2023,LevelList,0))+INDEX(LevelHousing,MATCH($H2023,LevelList,0))+INDEX(LevelTransport,MATCH($H2023,LevelList,0))+INDEX(LevelBasic,MATCH($H2023,LevelList,0))*INDEX(LevelBonus,MATCH($H2023,LevelList,0))+(INDEX(LevelBasic,MATCH($H2023,LevelList,0))+INDEX(LevelHousing,MATCH($H2023,LevelList,0)))*GosiSaudi,0))</f>
        <v>0</v>
      </c>
      <c r="W2023" s="35" t="n">
        <f aca="false">IFERROR(INDEX(LevelOneOff,MATCH($H2023,LevelList,0)),0)</f>
        <v>0</v>
      </c>
      <c r="X2023" s="35" t="str">
        <f aca="false">IF($G2023="","",$V2023*N($L2023))</f>
        <v/>
      </c>
      <c r="Y2023" s="35" t="str">
        <f aca="false">IF($G2023="","",$V2023*(N($M2023)*1+N($N2023)*0.75+N($O2023)*0.5+N($P2023)*0.25)+$W2023*N($L2023))</f>
        <v/>
      </c>
      <c r="Z2023" s="35" t="str">
        <f aca="false">IF($G2023="","",$U2023*1000000+ROW())</f>
        <v/>
      </c>
      <c r="AA2023" s="36" t="str">
        <f aca="false">IF($G2023="","",MID(IF($C2023="",", no division","")&amp;IF($E2023="",", no unit","")&amp;IF($H2023="",", no career level","")&amp;IF(N($L2023)&lt;=0,", no quarter split","")&amp;IF($R2023="",", no driver","")&amp;IF(AND($H2023&lt;&gt;"",COUNTIF(CareerLevels,$H2023)=0),", a career level that is not on the ladder","")&amp;IF(AND($R2023&lt;&gt;"",COUNTIF(DriverList,$R2023)=0),", a driver that is not on the list","")&amp;IF(ABS(N($L2023)-(N($M2023)+N($N2023)+N($O2023)+N($P2023)))&gt;0.001,", a total that does not match its quarters",""),3,300))</f>
        <v/>
      </c>
    </row>
    <row r="2024" customFormat="false" ht="15" hidden="false" customHeight="false" outlineLevel="0" collapsed="false">
      <c r="A2024" s="33" t="str">
        <f aca="false">IF($G2024="","","Technology Group")</f>
        <v/>
      </c>
      <c r="B2024" s="19"/>
      <c r="C2024" s="19"/>
      <c r="D2024" s="19"/>
      <c r="E2024" s="19"/>
      <c r="F2024" s="19"/>
      <c r="G2024" s="19"/>
      <c r="H2024" s="19"/>
      <c r="I2024" s="19"/>
      <c r="J2024" s="19"/>
      <c r="K2024" s="19"/>
      <c r="L2024" s="19"/>
      <c r="M2024" s="19"/>
      <c r="N2024" s="19"/>
      <c r="O2024" s="19"/>
      <c r="P2024" s="19"/>
      <c r="Q2024" s="19"/>
      <c r="R2024" s="19"/>
      <c r="S2024" s="19"/>
      <c r="T2024" s="34" t="str">
        <f aca="false">IF($R2024="","",IFERROR(INDEX(DriverCategory,MATCH($R2024,DriverList,0)),"BAU"))</f>
        <v/>
      </c>
      <c r="U2024" s="34" t="str">
        <f aca="false">IF($R2024="","",IFERROR(INDEX(DriverRank,MATCH($R2024,DriverList,0)),99))</f>
        <v/>
      </c>
      <c r="V2024" s="35" t="n">
        <f aca="false">IF($H2024="",0,IFERROR(INDEX(LevelBasic,MATCH($H2024,LevelList,0))+INDEX(LevelHousing,MATCH($H2024,LevelList,0))+INDEX(LevelTransport,MATCH($H2024,LevelList,0))+INDEX(LevelBasic,MATCH($H2024,LevelList,0))*INDEX(LevelBonus,MATCH($H2024,LevelList,0))+(INDEX(LevelBasic,MATCH($H2024,LevelList,0))+INDEX(LevelHousing,MATCH($H2024,LevelList,0)))*GosiSaudi,0))</f>
        <v>0</v>
      </c>
      <c r="W2024" s="35" t="n">
        <f aca="false">IFERROR(INDEX(LevelOneOff,MATCH($H2024,LevelList,0)),0)</f>
        <v>0</v>
      </c>
      <c r="X2024" s="35" t="str">
        <f aca="false">IF($G2024="","",$V2024*N($L2024))</f>
        <v/>
      </c>
      <c r="Y2024" s="35" t="str">
        <f aca="false">IF($G2024="","",$V2024*(N($M2024)*1+N($N2024)*0.75+N($O2024)*0.5+N($P2024)*0.25)+$W2024*N($L2024))</f>
        <v/>
      </c>
      <c r="Z2024" s="35" t="str">
        <f aca="false">IF($G2024="","",$U2024*1000000+ROW())</f>
        <v/>
      </c>
      <c r="AA2024" s="36" t="str">
        <f aca="false">IF($G2024="","",MID(IF($C2024="",", no division","")&amp;IF($E2024="",", no unit","")&amp;IF($H2024="",", no career level","")&amp;IF(N($L2024)&lt;=0,", no quarter split","")&amp;IF($R2024="",", no driver","")&amp;IF(AND($H2024&lt;&gt;"",COUNTIF(CareerLevels,$H2024)=0),", a career level that is not on the ladder","")&amp;IF(AND($R2024&lt;&gt;"",COUNTIF(DriverList,$R2024)=0),", a driver that is not on the list","")&amp;IF(ABS(N($L2024)-(N($M2024)+N($N2024)+N($O2024)+N($P2024)))&gt;0.001,", a total that does not match its quarters",""),3,300))</f>
        <v/>
      </c>
    </row>
    <row r="2025" customFormat="false" ht="15" hidden="false" customHeight="false" outlineLevel="0" collapsed="false">
      <c r="A2025" s="33" t="str">
        <f aca="false">IF($G2025="","","Technology Group")</f>
        <v/>
      </c>
      <c r="B2025" s="19"/>
      <c r="C2025" s="19"/>
      <c r="D2025" s="19"/>
      <c r="E2025" s="19"/>
      <c r="F2025" s="19"/>
      <c r="G2025" s="19"/>
      <c r="H2025" s="19"/>
      <c r="I2025" s="19"/>
      <c r="J2025" s="19"/>
      <c r="K2025" s="19"/>
      <c r="L2025" s="19"/>
      <c r="M2025" s="19"/>
      <c r="N2025" s="19"/>
      <c r="O2025" s="19"/>
      <c r="P2025" s="19"/>
      <c r="Q2025" s="19"/>
      <c r="R2025" s="19"/>
      <c r="S2025" s="19"/>
      <c r="T2025" s="34" t="str">
        <f aca="false">IF($R2025="","",IFERROR(INDEX(DriverCategory,MATCH($R2025,DriverList,0)),"BAU"))</f>
        <v/>
      </c>
      <c r="U2025" s="34" t="str">
        <f aca="false">IF($R2025="","",IFERROR(INDEX(DriverRank,MATCH($R2025,DriverList,0)),99))</f>
        <v/>
      </c>
      <c r="V2025" s="35" t="n">
        <f aca="false">IF($H2025="",0,IFERROR(INDEX(LevelBasic,MATCH($H2025,LevelList,0))+INDEX(LevelHousing,MATCH($H2025,LevelList,0))+INDEX(LevelTransport,MATCH($H2025,LevelList,0))+INDEX(LevelBasic,MATCH($H2025,LevelList,0))*INDEX(LevelBonus,MATCH($H2025,LevelList,0))+(INDEX(LevelBasic,MATCH($H2025,LevelList,0))+INDEX(LevelHousing,MATCH($H2025,LevelList,0)))*GosiSaudi,0))</f>
        <v>0</v>
      </c>
      <c r="W2025" s="35" t="n">
        <f aca="false">IFERROR(INDEX(LevelOneOff,MATCH($H2025,LevelList,0)),0)</f>
        <v>0</v>
      </c>
      <c r="X2025" s="35" t="str">
        <f aca="false">IF($G2025="","",$V2025*N($L2025))</f>
        <v/>
      </c>
      <c r="Y2025" s="35" t="str">
        <f aca="false">IF($G2025="","",$V2025*(N($M2025)*1+N($N2025)*0.75+N($O2025)*0.5+N($P2025)*0.25)+$W2025*N($L2025))</f>
        <v/>
      </c>
      <c r="Z2025" s="35" t="str">
        <f aca="false">IF($G2025="","",$U2025*1000000+ROW())</f>
        <v/>
      </c>
      <c r="AA2025" s="36" t="str">
        <f aca="false">IF($G2025="","",MID(IF($C2025="",", no division","")&amp;IF($E2025="",", no unit","")&amp;IF($H2025="",", no career level","")&amp;IF(N($L2025)&lt;=0,", no quarter split","")&amp;IF($R2025="",", no driver","")&amp;IF(AND($H2025&lt;&gt;"",COUNTIF(CareerLevels,$H2025)=0),", a career level that is not on the ladder","")&amp;IF(AND($R2025&lt;&gt;"",COUNTIF(DriverList,$R2025)=0),", a driver that is not on the list","")&amp;IF(ABS(N($L2025)-(N($M2025)+N($N2025)+N($O2025)+N($P2025)))&gt;0.001,", a total that does not match its quarters",""),3,300))</f>
        <v/>
      </c>
    </row>
    <row r="2026" customFormat="false" ht="15" hidden="false" customHeight="false" outlineLevel="0" collapsed="false">
      <c r="A2026" s="33" t="str">
        <f aca="false">IF($G2026="","","Technology Group")</f>
        <v/>
      </c>
      <c r="B2026" s="19"/>
      <c r="C2026" s="19"/>
      <c r="D2026" s="19"/>
      <c r="E2026" s="19"/>
      <c r="F2026" s="19"/>
      <c r="G2026" s="19"/>
      <c r="H2026" s="19"/>
      <c r="I2026" s="19"/>
      <c r="J2026" s="19"/>
      <c r="K2026" s="19"/>
      <c r="L2026" s="19"/>
      <c r="M2026" s="19"/>
      <c r="N2026" s="19"/>
      <c r="O2026" s="19"/>
      <c r="P2026" s="19"/>
      <c r="Q2026" s="19"/>
      <c r="R2026" s="19"/>
      <c r="S2026" s="19"/>
      <c r="T2026" s="34" t="str">
        <f aca="false">IF($R2026="","",IFERROR(INDEX(DriverCategory,MATCH($R2026,DriverList,0)),"BAU"))</f>
        <v/>
      </c>
      <c r="U2026" s="34" t="str">
        <f aca="false">IF($R2026="","",IFERROR(INDEX(DriverRank,MATCH($R2026,DriverList,0)),99))</f>
        <v/>
      </c>
      <c r="V2026" s="35" t="n">
        <f aca="false">IF($H2026="",0,IFERROR(INDEX(LevelBasic,MATCH($H2026,LevelList,0))+INDEX(LevelHousing,MATCH($H2026,LevelList,0))+INDEX(LevelTransport,MATCH($H2026,LevelList,0))+INDEX(LevelBasic,MATCH($H2026,LevelList,0))*INDEX(LevelBonus,MATCH($H2026,LevelList,0))+(INDEX(LevelBasic,MATCH($H2026,LevelList,0))+INDEX(LevelHousing,MATCH($H2026,LevelList,0)))*GosiSaudi,0))</f>
        <v>0</v>
      </c>
      <c r="W2026" s="35" t="n">
        <f aca="false">IFERROR(INDEX(LevelOneOff,MATCH($H2026,LevelList,0)),0)</f>
        <v>0</v>
      </c>
      <c r="X2026" s="35" t="str">
        <f aca="false">IF($G2026="","",$V2026*N($L2026))</f>
        <v/>
      </c>
      <c r="Y2026" s="35" t="str">
        <f aca="false">IF($G2026="","",$V2026*(N($M2026)*1+N($N2026)*0.75+N($O2026)*0.5+N($P2026)*0.25)+$W2026*N($L2026))</f>
        <v/>
      </c>
      <c r="Z2026" s="35" t="str">
        <f aca="false">IF($G2026="","",$U2026*1000000+ROW())</f>
        <v/>
      </c>
      <c r="AA2026" s="36" t="str">
        <f aca="false">IF($G2026="","",MID(IF($C2026="",", no division","")&amp;IF($E2026="",", no unit","")&amp;IF($H2026="",", no career level","")&amp;IF(N($L2026)&lt;=0,", no quarter split","")&amp;IF($R2026="",", no driver","")&amp;IF(AND($H2026&lt;&gt;"",COUNTIF(CareerLevels,$H2026)=0),", a career level that is not on the ladder","")&amp;IF(AND($R2026&lt;&gt;"",COUNTIF(DriverList,$R2026)=0),", a driver that is not on the list","")&amp;IF(ABS(N($L2026)-(N($M2026)+N($N2026)+N($O2026)+N($P2026)))&gt;0.001,", a total that does not match its quarters",""),3,300))</f>
        <v/>
      </c>
    </row>
    <row r="2027" customFormat="false" ht="15" hidden="false" customHeight="false" outlineLevel="0" collapsed="false">
      <c r="A2027" s="33" t="str">
        <f aca="false">IF($G2027="","","Technology Group")</f>
        <v/>
      </c>
      <c r="B2027" s="19"/>
      <c r="C2027" s="19"/>
      <c r="D2027" s="19"/>
      <c r="E2027" s="19"/>
      <c r="F2027" s="19"/>
      <c r="G2027" s="19"/>
      <c r="H2027" s="19"/>
      <c r="I2027" s="19"/>
      <c r="J2027" s="19"/>
      <c r="K2027" s="19"/>
      <c r="L2027" s="19"/>
      <c r="M2027" s="19"/>
      <c r="N2027" s="19"/>
      <c r="O2027" s="19"/>
      <c r="P2027" s="19"/>
      <c r="Q2027" s="19"/>
      <c r="R2027" s="19"/>
      <c r="S2027" s="19"/>
      <c r="T2027" s="34" t="str">
        <f aca="false">IF($R2027="","",IFERROR(INDEX(DriverCategory,MATCH($R2027,DriverList,0)),"BAU"))</f>
        <v/>
      </c>
      <c r="U2027" s="34" t="str">
        <f aca="false">IF($R2027="","",IFERROR(INDEX(DriverRank,MATCH($R2027,DriverList,0)),99))</f>
        <v/>
      </c>
      <c r="V2027" s="35" t="n">
        <f aca="false">IF($H2027="",0,IFERROR(INDEX(LevelBasic,MATCH($H2027,LevelList,0))+INDEX(LevelHousing,MATCH($H2027,LevelList,0))+INDEX(LevelTransport,MATCH($H2027,LevelList,0))+INDEX(LevelBasic,MATCH($H2027,LevelList,0))*INDEX(LevelBonus,MATCH($H2027,LevelList,0))+(INDEX(LevelBasic,MATCH($H2027,LevelList,0))+INDEX(LevelHousing,MATCH($H2027,LevelList,0)))*GosiSaudi,0))</f>
        <v>0</v>
      </c>
      <c r="W2027" s="35" t="n">
        <f aca="false">IFERROR(INDEX(LevelOneOff,MATCH($H2027,LevelList,0)),0)</f>
        <v>0</v>
      </c>
      <c r="X2027" s="35" t="str">
        <f aca="false">IF($G2027="","",$V2027*N($L2027))</f>
        <v/>
      </c>
      <c r="Y2027" s="35" t="str">
        <f aca="false">IF($G2027="","",$V2027*(N($M2027)*1+N($N2027)*0.75+N($O2027)*0.5+N($P2027)*0.25)+$W2027*N($L2027))</f>
        <v/>
      </c>
      <c r="Z2027" s="35" t="str">
        <f aca="false">IF($G2027="","",$U2027*1000000+ROW())</f>
        <v/>
      </c>
      <c r="AA2027" s="36" t="str">
        <f aca="false">IF($G2027="","",MID(IF($C2027="",", no division","")&amp;IF($E2027="",", no unit","")&amp;IF($H2027="",", no career level","")&amp;IF(N($L2027)&lt;=0,", no quarter split","")&amp;IF($R2027="",", no driver","")&amp;IF(AND($H2027&lt;&gt;"",COUNTIF(CareerLevels,$H2027)=0),", a career level that is not on the ladder","")&amp;IF(AND($R2027&lt;&gt;"",COUNTIF(DriverList,$R2027)=0),", a driver that is not on the list","")&amp;IF(ABS(N($L2027)-(N($M2027)+N($N2027)+N($O2027)+N($P2027)))&gt;0.001,", a total that does not match its quarters",""),3,300))</f>
        <v/>
      </c>
    </row>
    <row r="2028" customFormat="false" ht="15" hidden="false" customHeight="false" outlineLevel="0" collapsed="false">
      <c r="A2028" s="33" t="str">
        <f aca="false">IF($G2028="","","Technology Group")</f>
        <v/>
      </c>
      <c r="B2028" s="19"/>
      <c r="C2028" s="19"/>
      <c r="D2028" s="19"/>
      <c r="E2028" s="19"/>
      <c r="F2028" s="19"/>
      <c r="G2028" s="19"/>
      <c r="H2028" s="19"/>
      <c r="I2028" s="19"/>
      <c r="J2028" s="19"/>
      <c r="K2028" s="19"/>
      <c r="L2028" s="19"/>
      <c r="M2028" s="19"/>
      <c r="N2028" s="19"/>
      <c r="O2028" s="19"/>
      <c r="P2028" s="19"/>
      <c r="Q2028" s="19"/>
      <c r="R2028" s="19"/>
      <c r="S2028" s="19"/>
      <c r="T2028" s="34" t="str">
        <f aca="false">IF($R2028="","",IFERROR(INDEX(DriverCategory,MATCH($R2028,DriverList,0)),"BAU"))</f>
        <v/>
      </c>
      <c r="U2028" s="34" t="str">
        <f aca="false">IF($R2028="","",IFERROR(INDEX(DriverRank,MATCH($R2028,DriverList,0)),99))</f>
        <v/>
      </c>
      <c r="V2028" s="35" t="n">
        <f aca="false">IF($H2028="",0,IFERROR(INDEX(LevelBasic,MATCH($H2028,LevelList,0))+INDEX(LevelHousing,MATCH($H2028,LevelList,0))+INDEX(LevelTransport,MATCH($H2028,LevelList,0))+INDEX(LevelBasic,MATCH($H2028,LevelList,0))*INDEX(LevelBonus,MATCH($H2028,LevelList,0))+(INDEX(LevelBasic,MATCH($H2028,LevelList,0))+INDEX(LevelHousing,MATCH($H2028,LevelList,0)))*GosiSaudi,0))</f>
        <v>0</v>
      </c>
      <c r="W2028" s="35" t="n">
        <f aca="false">IFERROR(INDEX(LevelOneOff,MATCH($H2028,LevelList,0)),0)</f>
        <v>0</v>
      </c>
      <c r="X2028" s="35" t="str">
        <f aca="false">IF($G2028="","",$V2028*N($L2028))</f>
        <v/>
      </c>
      <c r="Y2028" s="35" t="str">
        <f aca="false">IF($G2028="","",$V2028*(N($M2028)*1+N($N2028)*0.75+N($O2028)*0.5+N($P2028)*0.25)+$W2028*N($L2028))</f>
        <v/>
      </c>
      <c r="Z2028" s="35" t="str">
        <f aca="false">IF($G2028="","",$U2028*1000000+ROW())</f>
        <v/>
      </c>
      <c r="AA2028" s="36" t="str">
        <f aca="false">IF($G2028="","",MID(IF($C2028="",", no division","")&amp;IF($E2028="",", no unit","")&amp;IF($H2028="",", no career level","")&amp;IF(N($L2028)&lt;=0,", no quarter split","")&amp;IF($R2028="",", no driver","")&amp;IF(AND($H2028&lt;&gt;"",COUNTIF(CareerLevels,$H2028)=0),", a career level that is not on the ladder","")&amp;IF(AND($R2028&lt;&gt;"",COUNTIF(DriverList,$R2028)=0),", a driver that is not on the list","")&amp;IF(ABS(N($L2028)-(N($M2028)+N($N2028)+N($O2028)+N($P2028)))&gt;0.001,", a total that does not match its quarters",""),3,300))</f>
        <v/>
      </c>
    </row>
    <row r="2029" customFormat="false" ht="15" hidden="false" customHeight="false" outlineLevel="0" collapsed="false">
      <c r="A2029" s="33" t="str">
        <f aca="false">IF($G2029="","","Technology Group")</f>
        <v/>
      </c>
      <c r="B2029" s="19"/>
      <c r="C2029" s="19"/>
      <c r="D2029" s="19"/>
      <c r="E2029" s="19"/>
      <c r="F2029" s="19"/>
      <c r="G2029" s="19"/>
      <c r="H2029" s="19"/>
      <c r="I2029" s="19"/>
      <c r="J2029" s="19"/>
      <c r="K2029" s="19"/>
      <c r="L2029" s="19"/>
      <c r="M2029" s="19"/>
      <c r="N2029" s="19"/>
      <c r="O2029" s="19"/>
      <c r="P2029" s="19"/>
      <c r="Q2029" s="19"/>
      <c r="R2029" s="19"/>
      <c r="S2029" s="19"/>
      <c r="T2029" s="34" t="str">
        <f aca="false">IF($R2029="","",IFERROR(INDEX(DriverCategory,MATCH($R2029,DriverList,0)),"BAU"))</f>
        <v/>
      </c>
      <c r="U2029" s="34" t="str">
        <f aca="false">IF($R2029="","",IFERROR(INDEX(DriverRank,MATCH($R2029,DriverList,0)),99))</f>
        <v/>
      </c>
      <c r="V2029" s="35" t="n">
        <f aca="false">IF($H2029="",0,IFERROR(INDEX(LevelBasic,MATCH($H2029,LevelList,0))+INDEX(LevelHousing,MATCH($H2029,LevelList,0))+INDEX(LevelTransport,MATCH($H2029,LevelList,0))+INDEX(LevelBasic,MATCH($H2029,LevelList,0))*INDEX(LevelBonus,MATCH($H2029,LevelList,0))+(INDEX(LevelBasic,MATCH($H2029,LevelList,0))+INDEX(LevelHousing,MATCH($H2029,LevelList,0)))*GosiSaudi,0))</f>
        <v>0</v>
      </c>
      <c r="W2029" s="35" t="n">
        <f aca="false">IFERROR(INDEX(LevelOneOff,MATCH($H2029,LevelList,0)),0)</f>
        <v>0</v>
      </c>
      <c r="X2029" s="35" t="str">
        <f aca="false">IF($G2029="","",$V2029*N($L2029))</f>
        <v/>
      </c>
      <c r="Y2029" s="35" t="str">
        <f aca="false">IF($G2029="","",$V2029*(N($M2029)*1+N($N2029)*0.75+N($O2029)*0.5+N($P2029)*0.25)+$W2029*N($L2029))</f>
        <v/>
      </c>
      <c r="Z2029" s="35" t="str">
        <f aca="false">IF($G2029="","",$U2029*1000000+ROW())</f>
        <v/>
      </c>
      <c r="AA2029" s="36" t="str">
        <f aca="false">IF($G2029="","",MID(IF($C2029="",", no division","")&amp;IF($E2029="",", no unit","")&amp;IF($H2029="",", no career level","")&amp;IF(N($L2029)&lt;=0,", no quarter split","")&amp;IF($R2029="",", no driver","")&amp;IF(AND($H2029&lt;&gt;"",COUNTIF(CareerLevels,$H2029)=0),", a career level that is not on the ladder","")&amp;IF(AND($R2029&lt;&gt;"",COUNTIF(DriverList,$R2029)=0),", a driver that is not on the list","")&amp;IF(ABS(N($L2029)-(N($M2029)+N($N2029)+N($O2029)+N($P2029)))&gt;0.001,", a total that does not match its quarters",""),3,300))</f>
        <v/>
      </c>
    </row>
    <row r="2030" customFormat="false" ht="15" hidden="false" customHeight="false" outlineLevel="0" collapsed="false">
      <c r="A2030" s="33" t="str">
        <f aca="false">IF($G2030="","","Technology Group")</f>
        <v/>
      </c>
      <c r="B2030" s="19"/>
      <c r="C2030" s="19"/>
      <c r="D2030" s="19"/>
      <c r="E2030" s="19"/>
      <c r="F2030" s="19"/>
      <c r="G2030" s="19"/>
      <c r="H2030" s="19"/>
      <c r="I2030" s="19"/>
      <c r="J2030" s="19"/>
      <c r="K2030" s="19"/>
      <c r="L2030" s="19"/>
      <c r="M2030" s="19"/>
      <c r="N2030" s="19"/>
      <c r="O2030" s="19"/>
      <c r="P2030" s="19"/>
      <c r="Q2030" s="19"/>
      <c r="R2030" s="19"/>
      <c r="S2030" s="19"/>
      <c r="T2030" s="34" t="str">
        <f aca="false">IF($R2030="","",IFERROR(INDEX(DriverCategory,MATCH($R2030,DriverList,0)),"BAU"))</f>
        <v/>
      </c>
      <c r="U2030" s="34" t="str">
        <f aca="false">IF($R2030="","",IFERROR(INDEX(DriverRank,MATCH($R2030,DriverList,0)),99))</f>
        <v/>
      </c>
      <c r="V2030" s="35" t="n">
        <f aca="false">IF($H2030="",0,IFERROR(INDEX(LevelBasic,MATCH($H2030,LevelList,0))+INDEX(LevelHousing,MATCH($H2030,LevelList,0))+INDEX(LevelTransport,MATCH($H2030,LevelList,0))+INDEX(LevelBasic,MATCH($H2030,LevelList,0))*INDEX(LevelBonus,MATCH($H2030,LevelList,0))+(INDEX(LevelBasic,MATCH($H2030,LevelList,0))+INDEX(LevelHousing,MATCH($H2030,LevelList,0)))*GosiSaudi,0))</f>
        <v>0</v>
      </c>
      <c r="W2030" s="35" t="n">
        <f aca="false">IFERROR(INDEX(LevelOneOff,MATCH($H2030,LevelList,0)),0)</f>
        <v>0</v>
      </c>
      <c r="X2030" s="35" t="str">
        <f aca="false">IF($G2030="","",$V2030*N($L2030))</f>
        <v/>
      </c>
      <c r="Y2030" s="35" t="str">
        <f aca="false">IF($G2030="","",$V2030*(N($M2030)*1+N($N2030)*0.75+N($O2030)*0.5+N($P2030)*0.25)+$W2030*N($L2030))</f>
        <v/>
      </c>
      <c r="Z2030" s="35" t="str">
        <f aca="false">IF($G2030="","",$U2030*1000000+ROW())</f>
        <v/>
      </c>
      <c r="AA2030" s="36" t="str">
        <f aca="false">IF($G2030="","",MID(IF($C2030="",", no division","")&amp;IF($E2030="",", no unit","")&amp;IF($H2030="",", no career level","")&amp;IF(N($L2030)&lt;=0,", no quarter split","")&amp;IF($R2030="",", no driver","")&amp;IF(AND($H2030&lt;&gt;"",COUNTIF(CareerLevels,$H2030)=0),", a career level that is not on the ladder","")&amp;IF(AND($R2030&lt;&gt;"",COUNTIF(DriverList,$R2030)=0),", a driver that is not on the list","")&amp;IF(ABS(N($L2030)-(N($M2030)+N($N2030)+N($O2030)+N($P2030)))&gt;0.001,", a total that does not match its quarters",""),3,300))</f>
        <v/>
      </c>
    </row>
    <row r="2031" customFormat="false" ht="15" hidden="false" customHeight="false" outlineLevel="0" collapsed="false">
      <c r="A2031" s="33" t="str">
        <f aca="false">IF($G2031="","","Technology Group")</f>
        <v/>
      </c>
      <c r="B2031" s="19"/>
      <c r="C2031" s="19"/>
      <c r="D2031" s="19"/>
      <c r="E2031" s="19"/>
      <c r="F2031" s="19"/>
      <c r="G2031" s="19"/>
      <c r="H2031" s="19"/>
      <c r="I2031" s="19"/>
      <c r="J2031" s="19"/>
      <c r="K2031" s="19"/>
      <c r="L2031" s="19"/>
      <c r="M2031" s="19"/>
      <c r="N2031" s="19"/>
      <c r="O2031" s="19"/>
      <c r="P2031" s="19"/>
      <c r="Q2031" s="19"/>
      <c r="R2031" s="19"/>
      <c r="S2031" s="19"/>
      <c r="T2031" s="34" t="str">
        <f aca="false">IF($R2031="","",IFERROR(INDEX(DriverCategory,MATCH($R2031,DriverList,0)),"BAU"))</f>
        <v/>
      </c>
      <c r="U2031" s="34" t="str">
        <f aca="false">IF($R2031="","",IFERROR(INDEX(DriverRank,MATCH($R2031,DriverList,0)),99))</f>
        <v/>
      </c>
      <c r="V2031" s="35" t="n">
        <f aca="false">IF($H2031="",0,IFERROR(INDEX(LevelBasic,MATCH($H2031,LevelList,0))+INDEX(LevelHousing,MATCH($H2031,LevelList,0))+INDEX(LevelTransport,MATCH($H2031,LevelList,0))+INDEX(LevelBasic,MATCH($H2031,LevelList,0))*INDEX(LevelBonus,MATCH($H2031,LevelList,0))+(INDEX(LevelBasic,MATCH($H2031,LevelList,0))+INDEX(LevelHousing,MATCH($H2031,LevelList,0)))*GosiSaudi,0))</f>
        <v>0</v>
      </c>
      <c r="W2031" s="35" t="n">
        <f aca="false">IFERROR(INDEX(LevelOneOff,MATCH($H2031,LevelList,0)),0)</f>
        <v>0</v>
      </c>
      <c r="X2031" s="35" t="str">
        <f aca="false">IF($G2031="","",$V2031*N($L2031))</f>
        <v/>
      </c>
      <c r="Y2031" s="35" t="str">
        <f aca="false">IF($G2031="","",$V2031*(N($M2031)*1+N($N2031)*0.75+N($O2031)*0.5+N($P2031)*0.25)+$W2031*N($L2031))</f>
        <v/>
      </c>
      <c r="Z2031" s="35" t="str">
        <f aca="false">IF($G2031="","",$U2031*1000000+ROW())</f>
        <v/>
      </c>
      <c r="AA2031" s="36" t="str">
        <f aca="false">IF($G2031="","",MID(IF($C2031="",", no division","")&amp;IF($E2031="",", no unit","")&amp;IF($H2031="",", no career level","")&amp;IF(N($L2031)&lt;=0,", no quarter split","")&amp;IF($R2031="",", no driver","")&amp;IF(AND($H2031&lt;&gt;"",COUNTIF(CareerLevels,$H2031)=0),", a career level that is not on the ladder","")&amp;IF(AND($R2031&lt;&gt;"",COUNTIF(DriverList,$R2031)=0),", a driver that is not on the list","")&amp;IF(ABS(N($L2031)-(N($M2031)+N($N2031)+N($O2031)+N($P2031)))&gt;0.001,", a total that does not match its quarters",""),3,300))</f>
        <v/>
      </c>
    </row>
    <row r="2032" customFormat="false" ht="15" hidden="false" customHeight="false" outlineLevel="0" collapsed="false">
      <c r="A2032" s="33" t="str">
        <f aca="false">IF($G2032="","","Technology Group")</f>
        <v/>
      </c>
      <c r="B2032" s="19"/>
      <c r="C2032" s="19"/>
      <c r="D2032" s="19"/>
      <c r="E2032" s="19"/>
      <c r="F2032" s="19"/>
      <c r="G2032" s="19"/>
      <c r="H2032" s="19"/>
      <c r="I2032" s="19"/>
      <c r="J2032" s="19"/>
      <c r="K2032" s="19"/>
      <c r="L2032" s="19"/>
      <c r="M2032" s="19"/>
      <c r="N2032" s="19"/>
      <c r="O2032" s="19"/>
      <c r="P2032" s="19"/>
      <c r="Q2032" s="19"/>
      <c r="R2032" s="19"/>
      <c r="S2032" s="19"/>
      <c r="T2032" s="34" t="str">
        <f aca="false">IF($R2032="","",IFERROR(INDEX(DriverCategory,MATCH($R2032,DriverList,0)),"BAU"))</f>
        <v/>
      </c>
      <c r="U2032" s="34" t="str">
        <f aca="false">IF($R2032="","",IFERROR(INDEX(DriverRank,MATCH($R2032,DriverList,0)),99))</f>
        <v/>
      </c>
      <c r="V2032" s="35" t="n">
        <f aca="false">IF($H2032="",0,IFERROR(INDEX(LevelBasic,MATCH($H2032,LevelList,0))+INDEX(LevelHousing,MATCH($H2032,LevelList,0))+INDEX(LevelTransport,MATCH($H2032,LevelList,0))+INDEX(LevelBasic,MATCH($H2032,LevelList,0))*INDEX(LevelBonus,MATCH($H2032,LevelList,0))+(INDEX(LevelBasic,MATCH($H2032,LevelList,0))+INDEX(LevelHousing,MATCH($H2032,LevelList,0)))*GosiSaudi,0))</f>
        <v>0</v>
      </c>
      <c r="W2032" s="35" t="n">
        <f aca="false">IFERROR(INDEX(LevelOneOff,MATCH($H2032,LevelList,0)),0)</f>
        <v>0</v>
      </c>
      <c r="X2032" s="35" t="str">
        <f aca="false">IF($G2032="","",$V2032*N($L2032))</f>
        <v/>
      </c>
      <c r="Y2032" s="35" t="str">
        <f aca="false">IF($G2032="","",$V2032*(N($M2032)*1+N($N2032)*0.75+N($O2032)*0.5+N($P2032)*0.25)+$W2032*N($L2032))</f>
        <v/>
      </c>
      <c r="Z2032" s="35" t="str">
        <f aca="false">IF($G2032="","",$U2032*1000000+ROW())</f>
        <v/>
      </c>
      <c r="AA2032" s="36" t="str">
        <f aca="false">IF($G2032="","",MID(IF($C2032="",", no division","")&amp;IF($E2032="",", no unit","")&amp;IF($H2032="",", no career level","")&amp;IF(N($L2032)&lt;=0,", no quarter split","")&amp;IF($R2032="",", no driver","")&amp;IF(AND($H2032&lt;&gt;"",COUNTIF(CareerLevels,$H2032)=0),", a career level that is not on the ladder","")&amp;IF(AND($R2032&lt;&gt;"",COUNTIF(DriverList,$R2032)=0),", a driver that is not on the list","")&amp;IF(ABS(N($L2032)-(N($M2032)+N($N2032)+N($O2032)+N($P2032)))&gt;0.001,", a total that does not match its quarters",""),3,300))</f>
        <v/>
      </c>
    </row>
    <row r="2033" customFormat="false" ht="15" hidden="false" customHeight="false" outlineLevel="0" collapsed="false">
      <c r="A2033" s="33" t="str">
        <f aca="false">IF($G2033="","","Technology Group")</f>
        <v/>
      </c>
      <c r="B2033" s="19"/>
      <c r="C2033" s="19"/>
      <c r="D2033" s="19"/>
      <c r="E2033" s="19"/>
      <c r="F2033" s="19"/>
      <c r="G2033" s="19"/>
      <c r="H2033" s="19"/>
      <c r="I2033" s="19"/>
      <c r="J2033" s="19"/>
      <c r="K2033" s="19"/>
      <c r="L2033" s="19"/>
      <c r="M2033" s="19"/>
      <c r="N2033" s="19"/>
      <c r="O2033" s="19"/>
      <c r="P2033" s="19"/>
      <c r="Q2033" s="19"/>
      <c r="R2033" s="19"/>
      <c r="S2033" s="19"/>
      <c r="T2033" s="34" t="str">
        <f aca="false">IF($R2033="","",IFERROR(INDEX(DriverCategory,MATCH($R2033,DriverList,0)),"BAU"))</f>
        <v/>
      </c>
      <c r="U2033" s="34" t="str">
        <f aca="false">IF($R2033="","",IFERROR(INDEX(DriverRank,MATCH($R2033,DriverList,0)),99))</f>
        <v/>
      </c>
      <c r="V2033" s="35" t="n">
        <f aca="false">IF($H2033="",0,IFERROR(INDEX(LevelBasic,MATCH($H2033,LevelList,0))+INDEX(LevelHousing,MATCH($H2033,LevelList,0))+INDEX(LevelTransport,MATCH($H2033,LevelList,0))+INDEX(LevelBasic,MATCH($H2033,LevelList,0))*INDEX(LevelBonus,MATCH($H2033,LevelList,0))+(INDEX(LevelBasic,MATCH($H2033,LevelList,0))+INDEX(LevelHousing,MATCH($H2033,LevelList,0)))*GosiSaudi,0))</f>
        <v>0</v>
      </c>
      <c r="W2033" s="35" t="n">
        <f aca="false">IFERROR(INDEX(LevelOneOff,MATCH($H2033,LevelList,0)),0)</f>
        <v>0</v>
      </c>
      <c r="X2033" s="35" t="str">
        <f aca="false">IF($G2033="","",$V2033*N($L2033))</f>
        <v/>
      </c>
      <c r="Y2033" s="35" t="str">
        <f aca="false">IF($G2033="","",$V2033*(N($M2033)*1+N($N2033)*0.75+N($O2033)*0.5+N($P2033)*0.25)+$W2033*N($L2033))</f>
        <v/>
      </c>
      <c r="Z2033" s="35" t="str">
        <f aca="false">IF($G2033="","",$U2033*1000000+ROW())</f>
        <v/>
      </c>
      <c r="AA2033" s="36" t="str">
        <f aca="false">IF($G2033="","",MID(IF($C2033="",", no division","")&amp;IF($E2033="",", no unit","")&amp;IF($H2033="",", no career level","")&amp;IF(N($L2033)&lt;=0,", no quarter split","")&amp;IF($R2033="",", no driver","")&amp;IF(AND($H2033&lt;&gt;"",COUNTIF(CareerLevels,$H2033)=0),", a career level that is not on the ladder","")&amp;IF(AND($R2033&lt;&gt;"",COUNTIF(DriverList,$R2033)=0),", a driver that is not on the list","")&amp;IF(ABS(N($L2033)-(N($M2033)+N($N2033)+N($O2033)+N($P2033)))&gt;0.001,", a total that does not match its quarters",""),3,300))</f>
        <v/>
      </c>
    </row>
    <row r="2034" customFormat="false" ht="15" hidden="false" customHeight="false" outlineLevel="0" collapsed="false">
      <c r="A2034" s="33" t="str">
        <f aca="false">IF($G2034="","","Technology Group")</f>
        <v/>
      </c>
      <c r="B2034" s="19"/>
      <c r="C2034" s="19"/>
      <c r="D2034" s="19"/>
      <c r="E2034" s="19"/>
      <c r="F2034" s="19"/>
      <c r="G2034" s="19"/>
      <c r="H2034" s="19"/>
      <c r="I2034" s="19"/>
      <c r="J2034" s="19"/>
      <c r="K2034" s="19"/>
      <c r="L2034" s="19"/>
      <c r="M2034" s="19"/>
      <c r="N2034" s="19"/>
      <c r="O2034" s="19"/>
      <c r="P2034" s="19"/>
      <c r="Q2034" s="19"/>
      <c r="R2034" s="19"/>
      <c r="S2034" s="19"/>
      <c r="T2034" s="34" t="str">
        <f aca="false">IF($R2034="","",IFERROR(INDEX(DriverCategory,MATCH($R2034,DriverList,0)),"BAU"))</f>
        <v/>
      </c>
      <c r="U2034" s="34" t="str">
        <f aca="false">IF($R2034="","",IFERROR(INDEX(DriverRank,MATCH($R2034,DriverList,0)),99))</f>
        <v/>
      </c>
      <c r="V2034" s="35" t="n">
        <f aca="false">IF($H2034="",0,IFERROR(INDEX(LevelBasic,MATCH($H2034,LevelList,0))+INDEX(LevelHousing,MATCH($H2034,LevelList,0))+INDEX(LevelTransport,MATCH($H2034,LevelList,0))+INDEX(LevelBasic,MATCH($H2034,LevelList,0))*INDEX(LevelBonus,MATCH($H2034,LevelList,0))+(INDEX(LevelBasic,MATCH($H2034,LevelList,0))+INDEX(LevelHousing,MATCH($H2034,LevelList,0)))*GosiSaudi,0))</f>
        <v>0</v>
      </c>
      <c r="W2034" s="35" t="n">
        <f aca="false">IFERROR(INDEX(LevelOneOff,MATCH($H2034,LevelList,0)),0)</f>
        <v>0</v>
      </c>
      <c r="X2034" s="35" t="str">
        <f aca="false">IF($G2034="","",$V2034*N($L2034))</f>
        <v/>
      </c>
      <c r="Y2034" s="35" t="str">
        <f aca="false">IF($G2034="","",$V2034*(N($M2034)*1+N($N2034)*0.75+N($O2034)*0.5+N($P2034)*0.25)+$W2034*N($L2034))</f>
        <v/>
      </c>
      <c r="Z2034" s="35" t="str">
        <f aca="false">IF($G2034="","",$U2034*1000000+ROW())</f>
        <v/>
      </c>
      <c r="AA2034" s="36" t="str">
        <f aca="false">IF($G2034="","",MID(IF($C2034="",", no division","")&amp;IF($E2034="",", no unit","")&amp;IF($H2034="",", no career level","")&amp;IF(N($L2034)&lt;=0,", no quarter split","")&amp;IF($R2034="",", no driver","")&amp;IF(AND($H2034&lt;&gt;"",COUNTIF(CareerLevels,$H2034)=0),", a career level that is not on the ladder","")&amp;IF(AND($R2034&lt;&gt;"",COUNTIF(DriverList,$R2034)=0),", a driver that is not on the list","")&amp;IF(ABS(N($L2034)-(N($M2034)+N($N2034)+N($O2034)+N($P2034)))&gt;0.001,", a total that does not match its quarters",""),3,300))</f>
        <v/>
      </c>
    </row>
    <row r="2035" customFormat="false" ht="15" hidden="false" customHeight="false" outlineLevel="0" collapsed="false">
      <c r="A2035" s="33" t="str">
        <f aca="false">IF($G2035="","","Technology Group")</f>
        <v/>
      </c>
      <c r="B2035" s="19"/>
      <c r="C2035" s="19"/>
      <c r="D2035" s="19"/>
      <c r="E2035" s="19"/>
      <c r="F2035" s="19"/>
      <c r="G2035" s="19"/>
      <c r="H2035" s="19"/>
      <c r="I2035" s="19"/>
      <c r="J2035" s="19"/>
      <c r="K2035" s="19"/>
      <c r="L2035" s="19"/>
      <c r="M2035" s="19"/>
      <c r="N2035" s="19"/>
      <c r="O2035" s="19"/>
      <c r="P2035" s="19"/>
      <c r="Q2035" s="19"/>
      <c r="R2035" s="19"/>
      <c r="S2035" s="19"/>
      <c r="T2035" s="34" t="str">
        <f aca="false">IF($R2035="","",IFERROR(INDEX(DriverCategory,MATCH($R2035,DriverList,0)),"BAU"))</f>
        <v/>
      </c>
      <c r="U2035" s="34" t="str">
        <f aca="false">IF($R2035="","",IFERROR(INDEX(DriverRank,MATCH($R2035,DriverList,0)),99))</f>
        <v/>
      </c>
      <c r="V2035" s="35" t="n">
        <f aca="false">IF($H2035="",0,IFERROR(INDEX(LevelBasic,MATCH($H2035,LevelList,0))+INDEX(LevelHousing,MATCH($H2035,LevelList,0))+INDEX(LevelTransport,MATCH($H2035,LevelList,0))+INDEX(LevelBasic,MATCH($H2035,LevelList,0))*INDEX(LevelBonus,MATCH($H2035,LevelList,0))+(INDEX(LevelBasic,MATCH($H2035,LevelList,0))+INDEX(LevelHousing,MATCH($H2035,LevelList,0)))*GosiSaudi,0))</f>
        <v>0</v>
      </c>
      <c r="W2035" s="35" t="n">
        <f aca="false">IFERROR(INDEX(LevelOneOff,MATCH($H2035,LevelList,0)),0)</f>
        <v>0</v>
      </c>
      <c r="X2035" s="35" t="str">
        <f aca="false">IF($G2035="","",$V2035*N($L2035))</f>
        <v/>
      </c>
      <c r="Y2035" s="35" t="str">
        <f aca="false">IF($G2035="","",$V2035*(N($M2035)*1+N($N2035)*0.75+N($O2035)*0.5+N($P2035)*0.25)+$W2035*N($L2035))</f>
        <v/>
      </c>
      <c r="Z2035" s="35" t="str">
        <f aca="false">IF($G2035="","",$U2035*1000000+ROW())</f>
        <v/>
      </c>
      <c r="AA2035" s="36" t="str">
        <f aca="false">IF($G2035="","",MID(IF($C2035="",", no division","")&amp;IF($E2035="",", no unit","")&amp;IF($H2035="",", no career level","")&amp;IF(N($L2035)&lt;=0,", no quarter split","")&amp;IF($R2035="",", no driver","")&amp;IF(AND($H2035&lt;&gt;"",COUNTIF(CareerLevels,$H2035)=0),", a career level that is not on the ladder","")&amp;IF(AND($R2035&lt;&gt;"",COUNTIF(DriverList,$R2035)=0),", a driver that is not on the list","")&amp;IF(ABS(N($L2035)-(N($M2035)+N($N2035)+N($O2035)+N($P2035)))&gt;0.001,", a total that does not match its quarters",""),3,300))</f>
        <v/>
      </c>
    </row>
    <row r="2036" customFormat="false" ht="15" hidden="false" customHeight="false" outlineLevel="0" collapsed="false">
      <c r="A2036" s="33" t="str">
        <f aca="false">IF($G2036="","","Technology Group")</f>
        <v/>
      </c>
      <c r="B2036" s="19"/>
      <c r="C2036" s="19"/>
      <c r="D2036" s="19"/>
      <c r="E2036" s="19"/>
      <c r="F2036" s="19"/>
      <c r="G2036" s="19"/>
      <c r="H2036" s="19"/>
      <c r="I2036" s="19"/>
      <c r="J2036" s="19"/>
      <c r="K2036" s="19"/>
      <c r="L2036" s="19"/>
      <c r="M2036" s="19"/>
      <c r="N2036" s="19"/>
      <c r="O2036" s="19"/>
      <c r="P2036" s="19"/>
      <c r="Q2036" s="19"/>
      <c r="R2036" s="19"/>
      <c r="S2036" s="19"/>
      <c r="T2036" s="34" t="str">
        <f aca="false">IF($R2036="","",IFERROR(INDEX(DriverCategory,MATCH($R2036,DriverList,0)),"BAU"))</f>
        <v/>
      </c>
      <c r="U2036" s="34" t="str">
        <f aca="false">IF($R2036="","",IFERROR(INDEX(DriverRank,MATCH($R2036,DriverList,0)),99))</f>
        <v/>
      </c>
      <c r="V2036" s="35" t="n">
        <f aca="false">IF($H2036="",0,IFERROR(INDEX(LevelBasic,MATCH($H2036,LevelList,0))+INDEX(LevelHousing,MATCH($H2036,LevelList,0))+INDEX(LevelTransport,MATCH($H2036,LevelList,0))+INDEX(LevelBasic,MATCH($H2036,LevelList,0))*INDEX(LevelBonus,MATCH($H2036,LevelList,0))+(INDEX(LevelBasic,MATCH($H2036,LevelList,0))+INDEX(LevelHousing,MATCH($H2036,LevelList,0)))*GosiSaudi,0))</f>
        <v>0</v>
      </c>
      <c r="W2036" s="35" t="n">
        <f aca="false">IFERROR(INDEX(LevelOneOff,MATCH($H2036,LevelList,0)),0)</f>
        <v>0</v>
      </c>
      <c r="X2036" s="35" t="str">
        <f aca="false">IF($G2036="","",$V2036*N($L2036))</f>
        <v/>
      </c>
      <c r="Y2036" s="35" t="str">
        <f aca="false">IF($G2036="","",$V2036*(N($M2036)*1+N($N2036)*0.75+N($O2036)*0.5+N($P2036)*0.25)+$W2036*N($L2036))</f>
        <v/>
      </c>
      <c r="Z2036" s="35" t="str">
        <f aca="false">IF($G2036="","",$U2036*1000000+ROW())</f>
        <v/>
      </c>
      <c r="AA2036" s="36" t="str">
        <f aca="false">IF($G2036="","",MID(IF($C2036="",", no division","")&amp;IF($E2036="",", no unit","")&amp;IF($H2036="",", no career level","")&amp;IF(N($L2036)&lt;=0,", no quarter split","")&amp;IF($R2036="",", no driver","")&amp;IF(AND($H2036&lt;&gt;"",COUNTIF(CareerLevels,$H2036)=0),", a career level that is not on the ladder","")&amp;IF(AND($R2036&lt;&gt;"",COUNTIF(DriverList,$R2036)=0),", a driver that is not on the list","")&amp;IF(ABS(N($L2036)-(N($M2036)+N($N2036)+N($O2036)+N($P2036)))&gt;0.001,", a total that does not match its quarters",""),3,300))</f>
        <v/>
      </c>
    </row>
    <row r="2037" customFormat="false" ht="15" hidden="false" customHeight="false" outlineLevel="0" collapsed="false">
      <c r="A2037" s="33" t="str">
        <f aca="false">IF($G2037="","","Technology Group")</f>
        <v/>
      </c>
      <c r="B2037" s="19"/>
      <c r="C2037" s="19"/>
      <c r="D2037" s="19"/>
      <c r="E2037" s="19"/>
      <c r="F2037" s="19"/>
      <c r="G2037" s="19"/>
      <c r="H2037" s="19"/>
      <c r="I2037" s="19"/>
      <c r="J2037" s="19"/>
      <c r="K2037" s="19"/>
      <c r="L2037" s="19"/>
      <c r="M2037" s="19"/>
      <c r="N2037" s="19"/>
      <c r="O2037" s="19"/>
      <c r="P2037" s="19"/>
      <c r="Q2037" s="19"/>
      <c r="R2037" s="19"/>
      <c r="S2037" s="19"/>
      <c r="T2037" s="34" t="str">
        <f aca="false">IF($R2037="","",IFERROR(INDEX(DriverCategory,MATCH($R2037,DriverList,0)),"BAU"))</f>
        <v/>
      </c>
      <c r="U2037" s="34" t="str">
        <f aca="false">IF($R2037="","",IFERROR(INDEX(DriverRank,MATCH($R2037,DriverList,0)),99))</f>
        <v/>
      </c>
      <c r="V2037" s="35" t="n">
        <f aca="false">IF($H2037="",0,IFERROR(INDEX(LevelBasic,MATCH($H2037,LevelList,0))+INDEX(LevelHousing,MATCH($H2037,LevelList,0))+INDEX(LevelTransport,MATCH($H2037,LevelList,0))+INDEX(LevelBasic,MATCH($H2037,LevelList,0))*INDEX(LevelBonus,MATCH($H2037,LevelList,0))+(INDEX(LevelBasic,MATCH($H2037,LevelList,0))+INDEX(LevelHousing,MATCH($H2037,LevelList,0)))*GosiSaudi,0))</f>
        <v>0</v>
      </c>
      <c r="W2037" s="35" t="n">
        <f aca="false">IFERROR(INDEX(LevelOneOff,MATCH($H2037,LevelList,0)),0)</f>
        <v>0</v>
      </c>
      <c r="X2037" s="35" t="str">
        <f aca="false">IF($G2037="","",$V2037*N($L2037))</f>
        <v/>
      </c>
      <c r="Y2037" s="35" t="str">
        <f aca="false">IF($G2037="","",$V2037*(N($M2037)*1+N($N2037)*0.75+N($O2037)*0.5+N($P2037)*0.25)+$W2037*N($L2037))</f>
        <v/>
      </c>
      <c r="Z2037" s="35" t="str">
        <f aca="false">IF($G2037="","",$U2037*1000000+ROW())</f>
        <v/>
      </c>
      <c r="AA2037" s="36" t="str">
        <f aca="false">IF($G2037="","",MID(IF($C2037="",", no division","")&amp;IF($E2037="",", no unit","")&amp;IF($H2037="",", no career level","")&amp;IF(N($L2037)&lt;=0,", no quarter split","")&amp;IF($R2037="",", no driver","")&amp;IF(AND($H2037&lt;&gt;"",COUNTIF(CareerLevels,$H2037)=0),", a career level that is not on the ladder","")&amp;IF(AND($R2037&lt;&gt;"",COUNTIF(DriverList,$R2037)=0),", a driver that is not on the list","")&amp;IF(ABS(N($L2037)-(N($M2037)+N($N2037)+N($O2037)+N($P2037)))&gt;0.001,", a total that does not match its quarters",""),3,300))</f>
        <v/>
      </c>
    </row>
    <row r="2038" customFormat="false" ht="15" hidden="false" customHeight="false" outlineLevel="0" collapsed="false">
      <c r="A2038" s="33" t="str">
        <f aca="false">IF($G2038="","","Technology Group")</f>
        <v/>
      </c>
      <c r="B2038" s="19"/>
      <c r="C2038" s="19"/>
      <c r="D2038" s="19"/>
      <c r="E2038" s="19"/>
      <c r="F2038" s="19"/>
      <c r="G2038" s="19"/>
      <c r="H2038" s="19"/>
      <c r="I2038" s="19"/>
      <c r="J2038" s="19"/>
      <c r="K2038" s="19"/>
      <c r="L2038" s="19"/>
      <c r="M2038" s="19"/>
      <c r="N2038" s="19"/>
      <c r="O2038" s="19"/>
      <c r="P2038" s="19"/>
      <c r="Q2038" s="19"/>
      <c r="R2038" s="19"/>
      <c r="S2038" s="19"/>
      <c r="T2038" s="34" t="str">
        <f aca="false">IF($R2038="","",IFERROR(INDEX(DriverCategory,MATCH($R2038,DriverList,0)),"BAU"))</f>
        <v/>
      </c>
      <c r="U2038" s="34" t="str">
        <f aca="false">IF($R2038="","",IFERROR(INDEX(DriverRank,MATCH($R2038,DriverList,0)),99))</f>
        <v/>
      </c>
      <c r="V2038" s="35" t="n">
        <f aca="false">IF($H2038="",0,IFERROR(INDEX(LevelBasic,MATCH($H2038,LevelList,0))+INDEX(LevelHousing,MATCH($H2038,LevelList,0))+INDEX(LevelTransport,MATCH($H2038,LevelList,0))+INDEX(LevelBasic,MATCH($H2038,LevelList,0))*INDEX(LevelBonus,MATCH($H2038,LevelList,0))+(INDEX(LevelBasic,MATCH($H2038,LevelList,0))+INDEX(LevelHousing,MATCH($H2038,LevelList,0)))*GosiSaudi,0))</f>
        <v>0</v>
      </c>
      <c r="W2038" s="35" t="n">
        <f aca="false">IFERROR(INDEX(LevelOneOff,MATCH($H2038,LevelList,0)),0)</f>
        <v>0</v>
      </c>
      <c r="X2038" s="35" t="str">
        <f aca="false">IF($G2038="","",$V2038*N($L2038))</f>
        <v/>
      </c>
      <c r="Y2038" s="35" t="str">
        <f aca="false">IF($G2038="","",$V2038*(N($M2038)*1+N($N2038)*0.75+N($O2038)*0.5+N($P2038)*0.25)+$W2038*N($L2038))</f>
        <v/>
      </c>
      <c r="Z2038" s="35" t="str">
        <f aca="false">IF($G2038="","",$U2038*1000000+ROW())</f>
        <v/>
      </c>
      <c r="AA2038" s="36" t="str">
        <f aca="false">IF($G2038="","",MID(IF($C2038="",", no division","")&amp;IF($E2038="",", no unit","")&amp;IF($H2038="",", no career level","")&amp;IF(N($L2038)&lt;=0,", no quarter split","")&amp;IF($R2038="",", no driver","")&amp;IF(AND($H2038&lt;&gt;"",COUNTIF(CareerLevels,$H2038)=0),", a career level that is not on the ladder","")&amp;IF(AND($R2038&lt;&gt;"",COUNTIF(DriverList,$R2038)=0),", a driver that is not on the list","")&amp;IF(ABS(N($L2038)-(N($M2038)+N($N2038)+N($O2038)+N($P2038)))&gt;0.001,", a total that does not match its quarters",""),3,300))</f>
        <v/>
      </c>
    </row>
    <row r="2039" customFormat="false" ht="15" hidden="false" customHeight="false" outlineLevel="0" collapsed="false">
      <c r="A2039" s="33" t="str">
        <f aca="false">IF($G2039="","","Technology Group")</f>
        <v/>
      </c>
      <c r="B2039" s="19"/>
      <c r="C2039" s="19"/>
      <c r="D2039" s="19"/>
      <c r="E2039" s="19"/>
      <c r="F2039" s="19"/>
      <c r="G2039" s="19"/>
      <c r="H2039" s="19"/>
      <c r="I2039" s="19"/>
      <c r="J2039" s="19"/>
      <c r="K2039" s="19"/>
      <c r="L2039" s="19"/>
      <c r="M2039" s="19"/>
      <c r="N2039" s="19"/>
      <c r="O2039" s="19"/>
      <c r="P2039" s="19"/>
      <c r="Q2039" s="19"/>
      <c r="R2039" s="19"/>
      <c r="S2039" s="19"/>
      <c r="T2039" s="34" t="str">
        <f aca="false">IF($R2039="","",IFERROR(INDEX(DriverCategory,MATCH($R2039,DriverList,0)),"BAU"))</f>
        <v/>
      </c>
      <c r="U2039" s="34" t="str">
        <f aca="false">IF($R2039="","",IFERROR(INDEX(DriverRank,MATCH($R2039,DriverList,0)),99))</f>
        <v/>
      </c>
      <c r="V2039" s="35" t="n">
        <f aca="false">IF($H2039="",0,IFERROR(INDEX(LevelBasic,MATCH($H2039,LevelList,0))+INDEX(LevelHousing,MATCH($H2039,LevelList,0))+INDEX(LevelTransport,MATCH($H2039,LevelList,0))+INDEX(LevelBasic,MATCH($H2039,LevelList,0))*INDEX(LevelBonus,MATCH($H2039,LevelList,0))+(INDEX(LevelBasic,MATCH($H2039,LevelList,0))+INDEX(LevelHousing,MATCH($H2039,LevelList,0)))*GosiSaudi,0))</f>
        <v>0</v>
      </c>
      <c r="W2039" s="35" t="n">
        <f aca="false">IFERROR(INDEX(LevelOneOff,MATCH($H2039,LevelList,0)),0)</f>
        <v>0</v>
      </c>
      <c r="X2039" s="35" t="str">
        <f aca="false">IF($G2039="","",$V2039*N($L2039))</f>
        <v/>
      </c>
      <c r="Y2039" s="35" t="str">
        <f aca="false">IF($G2039="","",$V2039*(N($M2039)*1+N($N2039)*0.75+N($O2039)*0.5+N($P2039)*0.25)+$W2039*N($L2039))</f>
        <v/>
      </c>
      <c r="Z2039" s="35" t="str">
        <f aca="false">IF($G2039="","",$U2039*1000000+ROW())</f>
        <v/>
      </c>
      <c r="AA2039" s="36" t="str">
        <f aca="false">IF($G2039="","",MID(IF($C2039="",", no division","")&amp;IF($E2039="",", no unit","")&amp;IF($H2039="",", no career level","")&amp;IF(N($L2039)&lt;=0,", no quarter split","")&amp;IF($R2039="",", no driver","")&amp;IF(AND($H2039&lt;&gt;"",COUNTIF(CareerLevels,$H2039)=0),", a career level that is not on the ladder","")&amp;IF(AND($R2039&lt;&gt;"",COUNTIF(DriverList,$R2039)=0),", a driver that is not on the list","")&amp;IF(ABS(N($L2039)-(N($M2039)+N($N2039)+N($O2039)+N($P2039)))&gt;0.001,", a total that does not match its quarters",""),3,300))</f>
        <v/>
      </c>
    </row>
    <row r="2040" customFormat="false" ht="15" hidden="false" customHeight="false" outlineLevel="0" collapsed="false">
      <c r="A2040" s="33" t="str">
        <f aca="false">IF($G2040="","","Technology Group")</f>
        <v/>
      </c>
      <c r="B2040" s="19"/>
      <c r="C2040" s="19"/>
      <c r="D2040" s="19"/>
      <c r="E2040" s="19"/>
      <c r="F2040" s="19"/>
      <c r="G2040" s="19"/>
      <c r="H2040" s="19"/>
      <c r="I2040" s="19"/>
      <c r="J2040" s="19"/>
      <c r="K2040" s="19"/>
      <c r="L2040" s="19"/>
      <c r="M2040" s="19"/>
      <c r="N2040" s="19"/>
      <c r="O2040" s="19"/>
      <c r="P2040" s="19"/>
      <c r="Q2040" s="19"/>
      <c r="R2040" s="19"/>
      <c r="S2040" s="19"/>
      <c r="T2040" s="34" t="str">
        <f aca="false">IF($R2040="","",IFERROR(INDEX(DriverCategory,MATCH($R2040,DriverList,0)),"BAU"))</f>
        <v/>
      </c>
      <c r="U2040" s="34" t="str">
        <f aca="false">IF($R2040="","",IFERROR(INDEX(DriverRank,MATCH($R2040,DriverList,0)),99))</f>
        <v/>
      </c>
      <c r="V2040" s="35" t="n">
        <f aca="false">IF($H2040="",0,IFERROR(INDEX(LevelBasic,MATCH($H2040,LevelList,0))+INDEX(LevelHousing,MATCH($H2040,LevelList,0))+INDEX(LevelTransport,MATCH($H2040,LevelList,0))+INDEX(LevelBasic,MATCH($H2040,LevelList,0))*INDEX(LevelBonus,MATCH($H2040,LevelList,0))+(INDEX(LevelBasic,MATCH($H2040,LevelList,0))+INDEX(LevelHousing,MATCH($H2040,LevelList,0)))*GosiSaudi,0))</f>
        <v>0</v>
      </c>
      <c r="W2040" s="35" t="n">
        <f aca="false">IFERROR(INDEX(LevelOneOff,MATCH($H2040,LevelList,0)),0)</f>
        <v>0</v>
      </c>
      <c r="X2040" s="35" t="str">
        <f aca="false">IF($G2040="","",$V2040*N($L2040))</f>
        <v/>
      </c>
      <c r="Y2040" s="35" t="str">
        <f aca="false">IF($G2040="","",$V2040*(N($M2040)*1+N($N2040)*0.75+N($O2040)*0.5+N($P2040)*0.25)+$W2040*N($L2040))</f>
        <v/>
      </c>
      <c r="Z2040" s="35" t="str">
        <f aca="false">IF($G2040="","",$U2040*1000000+ROW())</f>
        <v/>
      </c>
      <c r="AA2040" s="36" t="str">
        <f aca="false">IF($G2040="","",MID(IF($C2040="",", no division","")&amp;IF($E2040="",", no unit","")&amp;IF($H2040="",", no career level","")&amp;IF(N($L2040)&lt;=0,", no quarter split","")&amp;IF($R2040="",", no driver","")&amp;IF(AND($H2040&lt;&gt;"",COUNTIF(CareerLevels,$H2040)=0),", a career level that is not on the ladder","")&amp;IF(AND($R2040&lt;&gt;"",COUNTIF(DriverList,$R2040)=0),", a driver that is not on the list","")&amp;IF(ABS(N($L2040)-(N($M2040)+N($N2040)+N($O2040)+N($P2040)))&gt;0.001,", a total that does not match its quarters",""),3,300))</f>
        <v/>
      </c>
    </row>
    <row r="2041" customFormat="false" ht="15" hidden="false" customHeight="false" outlineLevel="0" collapsed="false">
      <c r="A2041" s="33" t="str">
        <f aca="false">IF($G2041="","","Technology Group")</f>
        <v/>
      </c>
      <c r="B2041" s="19"/>
      <c r="C2041" s="19"/>
      <c r="D2041" s="19"/>
      <c r="E2041" s="19"/>
      <c r="F2041" s="19"/>
      <c r="G2041" s="19"/>
      <c r="H2041" s="19"/>
      <c r="I2041" s="19"/>
      <c r="J2041" s="19"/>
      <c r="K2041" s="19"/>
      <c r="L2041" s="19"/>
      <c r="M2041" s="19"/>
      <c r="N2041" s="19"/>
      <c r="O2041" s="19"/>
      <c r="P2041" s="19"/>
      <c r="Q2041" s="19"/>
      <c r="R2041" s="19"/>
      <c r="S2041" s="19"/>
      <c r="T2041" s="34" t="str">
        <f aca="false">IF($R2041="","",IFERROR(INDEX(DriverCategory,MATCH($R2041,DriverList,0)),"BAU"))</f>
        <v/>
      </c>
      <c r="U2041" s="34" t="str">
        <f aca="false">IF($R2041="","",IFERROR(INDEX(DriverRank,MATCH($R2041,DriverList,0)),99))</f>
        <v/>
      </c>
      <c r="V2041" s="35" t="n">
        <f aca="false">IF($H2041="",0,IFERROR(INDEX(LevelBasic,MATCH($H2041,LevelList,0))+INDEX(LevelHousing,MATCH($H2041,LevelList,0))+INDEX(LevelTransport,MATCH($H2041,LevelList,0))+INDEX(LevelBasic,MATCH($H2041,LevelList,0))*INDEX(LevelBonus,MATCH($H2041,LevelList,0))+(INDEX(LevelBasic,MATCH($H2041,LevelList,0))+INDEX(LevelHousing,MATCH($H2041,LevelList,0)))*GosiSaudi,0))</f>
        <v>0</v>
      </c>
      <c r="W2041" s="35" t="n">
        <f aca="false">IFERROR(INDEX(LevelOneOff,MATCH($H2041,LevelList,0)),0)</f>
        <v>0</v>
      </c>
      <c r="X2041" s="35" t="str">
        <f aca="false">IF($G2041="","",$V2041*N($L2041))</f>
        <v/>
      </c>
      <c r="Y2041" s="35" t="str">
        <f aca="false">IF($G2041="","",$V2041*(N($M2041)*1+N($N2041)*0.75+N($O2041)*0.5+N($P2041)*0.25)+$W2041*N($L2041))</f>
        <v/>
      </c>
      <c r="Z2041" s="35" t="str">
        <f aca="false">IF($G2041="","",$U2041*1000000+ROW())</f>
        <v/>
      </c>
      <c r="AA2041" s="36" t="str">
        <f aca="false">IF($G2041="","",MID(IF($C2041="",", no division","")&amp;IF($E2041="",", no unit","")&amp;IF($H2041="",", no career level","")&amp;IF(N($L2041)&lt;=0,", no quarter split","")&amp;IF($R2041="",", no driver","")&amp;IF(AND($H2041&lt;&gt;"",COUNTIF(CareerLevels,$H2041)=0),", a career level that is not on the ladder","")&amp;IF(AND($R2041&lt;&gt;"",COUNTIF(DriverList,$R2041)=0),", a driver that is not on the list","")&amp;IF(ABS(N($L2041)-(N($M2041)+N($N2041)+N($O2041)+N($P2041)))&gt;0.001,", a total that does not match its quarters",""),3,300))</f>
        <v/>
      </c>
    </row>
    <row r="2042" customFormat="false" ht="15" hidden="false" customHeight="false" outlineLevel="0" collapsed="false">
      <c r="A2042" s="33" t="str">
        <f aca="false">IF($G2042="","","Technology Group")</f>
        <v/>
      </c>
      <c r="B2042" s="19"/>
      <c r="C2042" s="19"/>
      <c r="D2042" s="19"/>
      <c r="E2042" s="19"/>
      <c r="F2042" s="19"/>
      <c r="G2042" s="19"/>
      <c r="H2042" s="19"/>
      <c r="I2042" s="19"/>
      <c r="J2042" s="19"/>
      <c r="K2042" s="19"/>
      <c r="L2042" s="19"/>
      <c r="M2042" s="19"/>
      <c r="N2042" s="19"/>
      <c r="O2042" s="19"/>
      <c r="P2042" s="19"/>
      <c r="Q2042" s="19"/>
      <c r="R2042" s="19"/>
      <c r="S2042" s="19"/>
      <c r="T2042" s="34" t="str">
        <f aca="false">IF($R2042="","",IFERROR(INDEX(DriverCategory,MATCH($R2042,DriverList,0)),"BAU"))</f>
        <v/>
      </c>
      <c r="U2042" s="34" t="str">
        <f aca="false">IF($R2042="","",IFERROR(INDEX(DriverRank,MATCH($R2042,DriverList,0)),99))</f>
        <v/>
      </c>
      <c r="V2042" s="35" t="n">
        <f aca="false">IF($H2042="",0,IFERROR(INDEX(LevelBasic,MATCH($H2042,LevelList,0))+INDEX(LevelHousing,MATCH($H2042,LevelList,0))+INDEX(LevelTransport,MATCH($H2042,LevelList,0))+INDEX(LevelBasic,MATCH($H2042,LevelList,0))*INDEX(LevelBonus,MATCH($H2042,LevelList,0))+(INDEX(LevelBasic,MATCH($H2042,LevelList,0))+INDEX(LevelHousing,MATCH($H2042,LevelList,0)))*GosiSaudi,0))</f>
        <v>0</v>
      </c>
      <c r="W2042" s="35" t="n">
        <f aca="false">IFERROR(INDEX(LevelOneOff,MATCH($H2042,LevelList,0)),0)</f>
        <v>0</v>
      </c>
      <c r="X2042" s="35" t="str">
        <f aca="false">IF($G2042="","",$V2042*N($L2042))</f>
        <v/>
      </c>
      <c r="Y2042" s="35" t="str">
        <f aca="false">IF($G2042="","",$V2042*(N($M2042)*1+N($N2042)*0.75+N($O2042)*0.5+N($P2042)*0.25)+$W2042*N($L2042))</f>
        <v/>
      </c>
      <c r="Z2042" s="35" t="str">
        <f aca="false">IF($G2042="","",$U2042*1000000+ROW())</f>
        <v/>
      </c>
      <c r="AA2042" s="36" t="str">
        <f aca="false">IF($G2042="","",MID(IF($C2042="",", no division","")&amp;IF($E2042="",", no unit","")&amp;IF($H2042="",", no career level","")&amp;IF(N($L2042)&lt;=0,", no quarter split","")&amp;IF($R2042="",", no driver","")&amp;IF(AND($H2042&lt;&gt;"",COUNTIF(CareerLevels,$H2042)=0),", a career level that is not on the ladder","")&amp;IF(AND($R2042&lt;&gt;"",COUNTIF(DriverList,$R2042)=0),", a driver that is not on the list","")&amp;IF(ABS(N($L2042)-(N($M2042)+N($N2042)+N($O2042)+N($P2042)))&gt;0.001,", a total that does not match its quarters",""),3,300))</f>
        <v/>
      </c>
    </row>
    <row r="2043" customFormat="false" ht="15" hidden="false" customHeight="false" outlineLevel="0" collapsed="false">
      <c r="A2043" s="33" t="str">
        <f aca="false">IF($G2043="","","Technology Group")</f>
        <v/>
      </c>
      <c r="B2043" s="19"/>
      <c r="C2043" s="19"/>
      <c r="D2043" s="19"/>
      <c r="E2043" s="19"/>
      <c r="F2043" s="19"/>
      <c r="G2043" s="19"/>
      <c r="H2043" s="19"/>
      <c r="I2043" s="19"/>
      <c r="J2043" s="19"/>
      <c r="K2043" s="19"/>
      <c r="L2043" s="19"/>
      <c r="M2043" s="19"/>
      <c r="N2043" s="19"/>
      <c r="O2043" s="19"/>
      <c r="P2043" s="19"/>
      <c r="Q2043" s="19"/>
      <c r="R2043" s="19"/>
      <c r="S2043" s="19"/>
      <c r="T2043" s="34" t="str">
        <f aca="false">IF($R2043="","",IFERROR(INDEX(DriverCategory,MATCH($R2043,DriverList,0)),"BAU"))</f>
        <v/>
      </c>
      <c r="U2043" s="34" t="str">
        <f aca="false">IF($R2043="","",IFERROR(INDEX(DriverRank,MATCH($R2043,DriverList,0)),99))</f>
        <v/>
      </c>
      <c r="V2043" s="35" t="n">
        <f aca="false">IF($H2043="",0,IFERROR(INDEX(LevelBasic,MATCH($H2043,LevelList,0))+INDEX(LevelHousing,MATCH($H2043,LevelList,0))+INDEX(LevelTransport,MATCH($H2043,LevelList,0))+INDEX(LevelBasic,MATCH($H2043,LevelList,0))*INDEX(LevelBonus,MATCH($H2043,LevelList,0))+(INDEX(LevelBasic,MATCH($H2043,LevelList,0))+INDEX(LevelHousing,MATCH($H2043,LevelList,0)))*GosiSaudi,0))</f>
        <v>0</v>
      </c>
      <c r="W2043" s="35" t="n">
        <f aca="false">IFERROR(INDEX(LevelOneOff,MATCH($H2043,LevelList,0)),0)</f>
        <v>0</v>
      </c>
      <c r="X2043" s="35" t="str">
        <f aca="false">IF($G2043="","",$V2043*N($L2043))</f>
        <v/>
      </c>
      <c r="Y2043" s="35" t="str">
        <f aca="false">IF($G2043="","",$V2043*(N($M2043)*1+N($N2043)*0.75+N($O2043)*0.5+N($P2043)*0.25)+$W2043*N($L2043))</f>
        <v/>
      </c>
      <c r="Z2043" s="35" t="str">
        <f aca="false">IF($G2043="","",$U2043*1000000+ROW())</f>
        <v/>
      </c>
      <c r="AA2043" s="36" t="str">
        <f aca="false">IF($G2043="","",MID(IF($C2043="",", no division","")&amp;IF($E2043="",", no unit","")&amp;IF($H2043="",", no career level","")&amp;IF(N($L2043)&lt;=0,", no quarter split","")&amp;IF($R2043="",", no driver","")&amp;IF(AND($H2043&lt;&gt;"",COUNTIF(CareerLevels,$H2043)=0),", a career level that is not on the ladder","")&amp;IF(AND($R2043&lt;&gt;"",COUNTIF(DriverList,$R2043)=0),", a driver that is not on the list","")&amp;IF(ABS(N($L2043)-(N($M2043)+N($N2043)+N($O2043)+N($P2043)))&gt;0.001,", a total that does not match its quarters",""),3,300))</f>
        <v/>
      </c>
    </row>
    <row r="2044" customFormat="false" ht="15" hidden="false" customHeight="false" outlineLevel="0" collapsed="false">
      <c r="A2044" s="33" t="str">
        <f aca="false">IF($G2044="","","Technology Group")</f>
        <v/>
      </c>
      <c r="B2044" s="19"/>
      <c r="C2044" s="19"/>
      <c r="D2044" s="19"/>
      <c r="E2044" s="19"/>
      <c r="F2044" s="19"/>
      <c r="G2044" s="19"/>
      <c r="H2044" s="19"/>
      <c r="I2044" s="19"/>
      <c r="J2044" s="19"/>
      <c r="K2044" s="19"/>
      <c r="L2044" s="19"/>
      <c r="M2044" s="19"/>
      <c r="N2044" s="19"/>
      <c r="O2044" s="19"/>
      <c r="P2044" s="19"/>
      <c r="Q2044" s="19"/>
      <c r="R2044" s="19"/>
      <c r="S2044" s="19"/>
      <c r="T2044" s="34" t="str">
        <f aca="false">IF($R2044="","",IFERROR(INDEX(DriverCategory,MATCH($R2044,DriverList,0)),"BAU"))</f>
        <v/>
      </c>
      <c r="U2044" s="34" t="str">
        <f aca="false">IF($R2044="","",IFERROR(INDEX(DriverRank,MATCH($R2044,DriverList,0)),99))</f>
        <v/>
      </c>
      <c r="V2044" s="35" t="n">
        <f aca="false">IF($H2044="",0,IFERROR(INDEX(LevelBasic,MATCH($H2044,LevelList,0))+INDEX(LevelHousing,MATCH($H2044,LevelList,0))+INDEX(LevelTransport,MATCH($H2044,LevelList,0))+INDEX(LevelBasic,MATCH($H2044,LevelList,0))*INDEX(LevelBonus,MATCH($H2044,LevelList,0))+(INDEX(LevelBasic,MATCH($H2044,LevelList,0))+INDEX(LevelHousing,MATCH($H2044,LevelList,0)))*GosiSaudi,0))</f>
        <v>0</v>
      </c>
      <c r="W2044" s="35" t="n">
        <f aca="false">IFERROR(INDEX(LevelOneOff,MATCH($H2044,LevelList,0)),0)</f>
        <v>0</v>
      </c>
      <c r="X2044" s="35" t="str">
        <f aca="false">IF($G2044="","",$V2044*N($L2044))</f>
        <v/>
      </c>
      <c r="Y2044" s="35" t="str">
        <f aca="false">IF($G2044="","",$V2044*(N($M2044)*1+N($N2044)*0.75+N($O2044)*0.5+N($P2044)*0.25)+$W2044*N($L2044))</f>
        <v/>
      </c>
      <c r="Z2044" s="35" t="str">
        <f aca="false">IF($G2044="","",$U2044*1000000+ROW())</f>
        <v/>
      </c>
      <c r="AA2044" s="36" t="str">
        <f aca="false">IF($G2044="","",MID(IF($C2044="",", no division","")&amp;IF($E2044="",", no unit","")&amp;IF($H2044="",", no career level","")&amp;IF(N($L2044)&lt;=0,", no quarter split","")&amp;IF($R2044="",", no driver","")&amp;IF(AND($H2044&lt;&gt;"",COUNTIF(CareerLevels,$H2044)=0),", a career level that is not on the ladder","")&amp;IF(AND($R2044&lt;&gt;"",COUNTIF(DriverList,$R2044)=0),", a driver that is not on the list","")&amp;IF(ABS(N($L2044)-(N($M2044)+N($N2044)+N($O2044)+N($P2044)))&gt;0.001,", a total that does not match its quarters",""),3,300))</f>
        <v/>
      </c>
    </row>
    <row r="2045" customFormat="false" ht="15" hidden="false" customHeight="false" outlineLevel="0" collapsed="false">
      <c r="A2045" s="33" t="str">
        <f aca="false">IF($G2045="","","Technology Group")</f>
        <v/>
      </c>
      <c r="B2045" s="19"/>
      <c r="C2045" s="19"/>
      <c r="D2045" s="19"/>
      <c r="E2045" s="19"/>
      <c r="F2045" s="19"/>
      <c r="G2045" s="19"/>
      <c r="H2045" s="19"/>
      <c r="I2045" s="19"/>
      <c r="J2045" s="19"/>
      <c r="K2045" s="19"/>
      <c r="L2045" s="19"/>
      <c r="M2045" s="19"/>
      <c r="N2045" s="19"/>
      <c r="O2045" s="19"/>
      <c r="P2045" s="19"/>
      <c r="Q2045" s="19"/>
      <c r="R2045" s="19"/>
      <c r="S2045" s="19"/>
      <c r="T2045" s="34" t="str">
        <f aca="false">IF($R2045="","",IFERROR(INDEX(DriverCategory,MATCH($R2045,DriverList,0)),"BAU"))</f>
        <v/>
      </c>
      <c r="U2045" s="34" t="str">
        <f aca="false">IF($R2045="","",IFERROR(INDEX(DriverRank,MATCH($R2045,DriverList,0)),99))</f>
        <v/>
      </c>
      <c r="V2045" s="35" t="n">
        <f aca="false">IF($H2045="",0,IFERROR(INDEX(LevelBasic,MATCH($H2045,LevelList,0))+INDEX(LevelHousing,MATCH($H2045,LevelList,0))+INDEX(LevelTransport,MATCH($H2045,LevelList,0))+INDEX(LevelBasic,MATCH($H2045,LevelList,0))*INDEX(LevelBonus,MATCH($H2045,LevelList,0))+(INDEX(LevelBasic,MATCH($H2045,LevelList,0))+INDEX(LevelHousing,MATCH($H2045,LevelList,0)))*GosiSaudi,0))</f>
        <v>0</v>
      </c>
      <c r="W2045" s="35" t="n">
        <f aca="false">IFERROR(INDEX(LevelOneOff,MATCH($H2045,LevelList,0)),0)</f>
        <v>0</v>
      </c>
      <c r="X2045" s="35" t="str">
        <f aca="false">IF($G2045="","",$V2045*N($L2045))</f>
        <v/>
      </c>
      <c r="Y2045" s="35" t="str">
        <f aca="false">IF($G2045="","",$V2045*(N($M2045)*1+N($N2045)*0.75+N($O2045)*0.5+N($P2045)*0.25)+$W2045*N($L2045))</f>
        <v/>
      </c>
      <c r="Z2045" s="35" t="str">
        <f aca="false">IF($G2045="","",$U2045*1000000+ROW())</f>
        <v/>
      </c>
      <c r="AA2045" s="36" t="str">
        <f aca="false">IF($G2045="","",MID(IF($C2045="",", no division","")&amp;IF($E2045="",", no unit","")&amp;IF($H2045="",", no career level","")&amp;IF(N($L2045)&lt;=0,", no quarter split","")&amp;IF($R2045="",", no driver","")&amp;IF(AND($H2045&lt;&gt;"",COUNTIF(CareerLevels,$H2045)=0),", a career level that is not on the ladder","")&amp;IF(AND($R2045&lt;&gt;"",COUNTIF(DriverList,$R2045)=0),", a driver that is not on the list","")&amp;IF(ABS(N($L2045)-(N($M2045)+N($N2045)+N($O2045)+N($P2045)))&gt;0.001,", a total that does not match its quarters",""),3,300))</f>
        <v/>
      </c>
    </row>
    <row r="2046" customFormat="false" ht="15" hidden="false" customHeight="false" outlineLevel="0" collapsed="false">
      <c r="A2046" s="33" t="str">
        <f aca="false">IF($G2046="","","Technology Group")</f>
        <v/>
      </c>
      <c r="B2046" s="19"/>
      <c r="C2046" s="19"/>
      <c r="D2046" s="19"/>
      <c r="E2046" s="19"/>
      <c r="F2046" s="19"/>
      <c r="G2046" s="19"/>
      <c r="H2046" s="19"/>
      <c r="I2046" s="19"/>
      <c r="J2046" s="19"/>
      <c r="K2046" s="19"/>
      <c r="L2046" s="19"/>
      <c r="M2046" s="19"/>
      <c r="N2046" s="19"/>
      <c r="O2046" s="19"/>
      <c r="P2046" s="19"/>
      <c r="Q2046" s="19"/>
      <c r="R2046" s="19"/>
      <c r="S2046" s="19"/>
      <c r="T2046" s="34" t="str">
        <f aca="false">IF($R2046="","",IFERROR(INDEX(DriverCategory,MATCH($R2046,DriverList,0)),"BAU"))</f>
        <v/>
      </c>
      <c r="U2046" s="34" t="str">
        <f aca="false">IF($R2046="","",IFERROR(INDEX(DriverRank,MATCH($R2046,DriverList,0)),99))</f>
        <v/>
      </c>
      <c r="V2046" s="35" t="n">
        <f aca="false">IF($H2046="",0,IFERROR(INDEX(LevelBasic,MATCH($H2046,LevelList,0))+INDEX(LevelHousing,MATCH($H2046,LevelList,0))+INDEX(LevelTransport,MATCH($H2046,LevelList,0))+INDEX(LevelBasic,MATCH($H2046,LevelList,0))*INDEX(LevelBonus,MATCH($H2046,LevelList,0))+(INDEX(LevelBasic,MATCH($H2046,LevelList,0))+INDEX(LevelHousing,MATCH($H2046,LevelList,0)))*GosiSaudi,0))</f>
        <v>0</v>
      </c>
      <c r="W2046" s="35" t="n">
        <f aca="false">IFERROR(INDEX(LevelOneOff,MATCH($H2046,LevelList,0)),0)</f>
        <v>0</v>
      </c>
      <c r="X2046" s="35" t="str">
        <f aca="false">IF($G2046="","",$V2046*N($L2046))</f>
        <v/>
      </c>
      <c r="Y2046" s="35" t="str">
        <f aca="false">IF($G2046="","",$V2046*(N($M2046)*1+N($N2046)*0.75+N($O2046)*0.5+N($P2046)*0.25)+$W2046*N($L2046))</f>
        <v/>
      </c>
      <c r="Z2046" s="35" t="str">
        <f aca="false">IF($G2046="","",$U2046*1000000+ROW())</f>
        <v/>
      </c>
      <c r="AA2046" s="36" t="str">
        <f aca="false">IF($G2046="","",MID(IF($C2046="",", no division","")&amp;IF($E2046="",", no unit","")&amp;IF($H2046="",", no career level","")&amp;IF(N($L2046)&lt;=0,", no quarter split","")&amp;IF($R2046="",", no driver","")&amp;IF(AND($H2046&lt;&gt;"",COUNTIF(CareerLevels,$H2046)=0),", a career level that is not on the ladder","")&amp;IF(AND($R2046&lt;&gt;"",COUNTIF(DriverList,$R2046)=0),", a driver that is not on the list","")&amp;IF(ABS(N($L2046)-(N($M2046)+N($N2046)+N($O2046)+N($P2046)))&gt;0.001,", a total that does not match its quarters",""),3,300))</f>
        <v/>
      </c>
    </row>
    <row r="2047" customFormat="false" ht="15" hidden="false" customHeight="false" outlineLevel="0" collapsed="false">
      <c r="A2047" s="33" t="str">
        <f aca="false">IF($G2047="","","Technology Group")</f>
        <v/>
      </c>
      <c r="B2047" s="19"/>
      <c r="C2047" s="19"/>
      <c r="D2047" s="19"/>
      <c r="E2047" s="19"/>
      <c r="F2047" s="19"/>
      <c r="G2047" s="19"/>
      <c r="H2047" s="19"/>
      <c r="I2047" s="19"/>
      <c r="J2047" s="19"/>
      <c r="K2047" s="19"/>
      <c r="L2047" s="19"/>
      <c r="M2047" s="19"/>
      <c r="N2047" s="19"/>
      <c r="O2047" s="19"/>
      <c r="P2047" s="19"/>
      <c r="Q2047" s="19"/>
      <c r="R2047" s="19"/>
      <c r="S2047" s="19"/>
      <c r="T2047" s="34" t="str">
        <f aca="false">IF($R2047="","",IFERROR(INDEX(DriverCategory,MATCH($R2047,DriverList,0)),"BAU"))</f>
        <v/>
      </c>
      <c r="U2047" s="34" t="str">
        <f aca="false">IF($R2047="","",IFERROR(INDEX(DriverRank,MATCH($R2047,DriverList,0)),99))</f>
        <v/>
      </c>
      <c r="V2047" s="35" t="n">
        <f aca="false">IF($H2047="",0,IFERROR(INDEX(LevelBasic,MATCH($H2047,LevelList,0))+INDEX(LevelHousing,MATCH($H2047,LevelList,0))+INDEX(LevelTransport,MATCH($H2047,LevelList,0))+INDEX(LevelBasic,MATCH($H2047,LevelList,0))*INDEX(LevelBonus,MATCH($H2047,LevelList,0))+(INDEX(LevelBasic,MATCH($H2047,LevelList,0))+INDEX(LevelHousing,MATCH($H2047,LevelList,0)))*GosiSaudi,0))</f>
        <v>0</v>
      </c>
      <c r="W2047" s="35" t="n">
        <f aca="false">IFERROR(INDEX(LevelOneOff,MATCH($H2047,LevelList,0)),0)</f>
        <v>0</v>
      </c>
      <c r="X2047" s="35" t="str">
        <f aca="false">IF($G2047="","",$V2047*N($L2047))</f>
        <v/>
      </c>
      <c r="Y2047" s="35" t="str">
        <f aca="false">IF($G2047="","",$V2047*(N($M2047)*1+N($N2047)*0.75+N($O2047)*0.5+N($P2047)*0.25)+$W2047*N($L2047))</f>
        <v/>
      </c>
      <c r="Z2047" s="35" t="str">
        <f aca="false">IF($G2047="","",$U2047*1000000+ROW())</f>
        <v/>
      </c>
      <c r="AA2047" s="36" t="str">
        <f aca="false">IF($G2047="","",MID(IF($C2047="",", no division","")&amp;IF($E2047="",", no unit","")&amp;IF($H2047="",", no career level","")&amp;IF(N($L2047)&lt;=0,", no quarter split","")&amp;IF($R2047="",", no driver","")&amp;IF(AND($H2047&lt;&gt;"",COUNTIF(CareerLevels,$H2047)=0),", a career level that is not on the ladder","")&amp;IF(AND($R2047&lt;&gt;"",COUNTIF(DriverList,$R2047)=0),", a driver that is not on the list","")&amp;IF(ABS(N($L2047)-(N($M2047)+N($N2047)+N($O2047)+N($P2047)))&gt;0.001,", a total that does not match its quarters",""),3,300))</f>
        <v/>
      </c>
    </row>
    <row r="2048" customFormat="false" ht="15" hidden="false" customHeight="false" outlineLevel="0" collapsed="false">
      <c r="A2048" s="33" t="str">
        <f aca="false">IF($G2048="","","Technology Group")</f>
        <v/>
      </c>
      <c r="B2048" s="19"/>
      <c r="C2048" s="19"/>
      <c r="D2048" s="19"/>
      <c r="E2048" s="19"/>
      <c r="F2048" s="19"/>
      <c r="G2048" s="19"/>
      <c r="H2048" s="19"/>
      <c r="I2048" s="19"/>
      <c r="J2048" s="19"/>
      <c r="K2048" s="19"/>
      <c r="L2048" s="19"/>
      <c r="M2048" s="19"/>
      <c r="N2048" s="19"/>
      <c r="O2048" s="19"/>
      <c r="P2048" s="19"/>
      <c r="Q2048" s="19"/>
      <c r="R2048" s="19"/>
      <c r="S2048" s="19"/>
      <c r="T2048" s="34" t="str">
        <f aca="false">IF($R2048="","",IFERROR(INDEX(DriverCategory,MATCH($R2048,DriverList,0)),"BAU"))</f>
        <v/>
      </c>
      <c r="U2048" s="34" t="str">
        <f aca="false">IF($R2048="","",IFERROR(INDEX(DriverRank,MATCH($R2048,DriverList,0)),99))</f>
        <v/>
      </c>
      <c r="V2048" s="35" t="n">
        <f aca="false">IF($H2048="",0,IFERROR(INDEX(LevelBasic,MATCH($H2048,LevelList,0))+INDEX(LevelHousing,MATCH($H2048,LevelList,0))+INDEX(LevelTransport,MATCH($H2048,LevelList,0))+INDEX(LevelBasic,MATCH($H2048,LevelList,0))*INDEX(LevelBonus,MATCH($H2048,LevelList,0))+(INDEX(LevelBasic,MATCH($H2048,LevelList,0))+INDEX(LevelHousing,MATCH($H2048,LevelList,0)))*GosiSaudi,0))</f>
        <v>0</v>
      </c>
      <c r="W2048" s="35" t="n">
        <f aca="false">IFERROR(INDEX(LevelOneOff,MATCH($H2048,LevelList,0)),0)</f>
        <v>0</v>
      </c>
      <c r="X2048" s="35" t="str">
        <f aca="false">IF($G2048="","",$V2048*N($L2048))</f>
        <v/>
      </c>
      <c r="Y2048" s="35" t="str">
        <f aca="false">IF($G2048="","",$V2048*(N($M2048)*1+N($N2048)*0.75+N($O2048)*0.5+N($P2048)*0.25)+$W2048*N($L2048))</f>
        <v/>
      </c>
      <c r="Z2048" s="35" t="str">
        <f aca="false">IF($G2048="","",$U2048*1000000+ROW())</f>
        <v/>
      </c>
      <c r="AA2048" s="36" t="str">
        <f aca="false">IF($G2048="","",MID(IF($C2048="",", no division","")&amp;IF($E2048="",", no unit","")&amp;IF($H2048="",", no career level","")&amp;IF(N($L2048)&lt;=0,", no quarter split","")&amp;IF($R2048="",", no driver","")&amp;IF(AND($H2048&lt;&gt;"",COUNTIF(CareerLevels,$H2048)=0),", a career level that is not on the ladder","")&amp;IF(AND($R2048&lt;&gt;"",COUNTIF(DriverList,$R2048)=0),", a driver that is not on the list","")&amp;IF(ABS(N($L2048)-(N($M2048)+N($N2048)+N($O2048)+N($P2048)))&gt;0.001,", a total that does not match its quarters",""),3,300))</f>
        <v/>
      </c>
    </row>
    <row r="2049" customFormat="false" ht="15" hidden="false" customHeight="false" outlineLevel="0" collapsed="false">
      <c r="A2049" s="33" t="str">
        <f aca="false">IF($G2049="","","Technology Group")</f>
        <v/>
      </c>
      <c r="B2049" s="19"/>
      <c r="C2049" s="19"/>
      <c r="D2049" s="19"/>
      <c r="E2049" s="19"/>
      <c r="F2049" s="19"/>
      <c r="G2049" s="19"/>
      <c r="H2049" s="19"/>
      <c r="I2049" s="19"/>
      <c r="J2049" s="19"/>
      <c r="K2049" s="19"/>
      <c r="L2049" s="19"/>
      <c r="M2049" s="19"/>
      <c r="N2049" s="19"/>
      <c r="O2049" s="19"/>
      <c r="P2049" s="19"/>
      <c r="Q2049" s="19"/>
      <c r="R2049" s="19"/>
      <c r="S2049" s="19"/>
      <c r="T2049" s="34" t="str">
        <f aca="false">IF($R2049="","",IFERROR(INDEX(DriverCategory,MATCH($R2049,DriverList,0)),"BAU"))</f>
        <v/>
      </c>
      <c r="U2049" s="34" t="str">
        <f aca="false">IF($R2049="","",IFERROR(INDEX(DriverRank,MATCH($R2049,DriverList,0)),99))</f>
        <v/>
      </c>
      <c r="V2049" s="35" t="n">
        <f aca="false">IF($H2049="",0,IFERROR(INDEX(LevelBasic,MATCH($H2049,LevelList,0))+INDEX(LevelHousing,MATCH($H2049,LevelList,0))+INDEX(LevelTransport,MATCH($H2049,LevelList,0))+INDEX(LevelBasic,MATCH($H2049,LevelList,0))*INDEX(LevelBonus,MATCH($H2049,LevelList,0))+(INDEX(LevelBasic,MATCH($H2049,LevelList,0))+INDEX(LevelHousing,MATCH($H2049,LevelList,0)))*GosiSaudi,0))</f>
        <v>0</v>
      </c>
      <c r="W2049" s="35" t="n">
        <f aca="false">IFERROR(INDEX(LevelOneOff,MATCH($H2049,LevelList,0)),0)</f>
        <v>0</v>
      </c>
      <c r="X2049" s="35" t="str">
        <f aca="false">IF($G2049="","",$V2049*N($L2049))</f>
        <v/>
      </c>
      <c r="Y2049" s="35" t="str">
        <f aca="false">IF($G2049="","",$V2049*(N($M2049)*1+N($N2049)*0.75+N($O2049)*0.5+N($P2049)*0.25)+$W2049*N($L2049))</f>
        <v/>
      </c>
      <c r="Z2049" s="35" t="str">
        <f aca="false">IF($G2049="","",$U2049*1000000+ROW())</f>
        <v/>
      </c>
      <c r="AA2049" s="36" t="str">
        <f aca="false">IF($G2049="","",MID(IF($C2049="",", no division","")&amp;IF($E2049="",", no unit","")&amp;IF($H2049="",", no career level","")&amp;IF(N($L2049)&lt;=0,", no quarter split","")&amp;IF($R2049="",", no driver","")&amp;IF(AND($H2049&lt;&gt;"",COUNTIF(CareerLevels,$H2049)=0),", a career level that is not on the ladder","")&amp;IF(AND($R2049&lt;&gt;"",COUNTIF(DriverList,$R2049)=0),", a driver that is not on the list","")&amp;IF(ABS(N($L2049)-(N($M2049)+N($N2049)+N($O2049)+N($P2049)))&gt;0.001,", a total that does not match its quarters",""),3,300))</f>
        <v/>
      </c>
    </row>
    <row r="2050" customFormat="false" ht="15" hidden="false" customHeight="false" outlineLevel="0" collapsed="false">
      <c r="A2050" s="33" t="str">
        <f aca="false">IF($G2050="","","Technology Group")</f>
        <v/>
      </c>
      <c r="B2050" s="19"/>
      <c r="C2050" s="19"/>
      <c r="D2050" s="19"/>
      <c r="E2050" s="19"/>
      <c r="F2050" s="19"/>
      <c r="G2050" s="19"/>
      <c r="H2050" s="19"/>
      <c r="I2050" s="19"/>
      <c r="J2050" s="19"/>
      <c r="K2050" s="19"/>
      <c r="L2050" s="19"/>
      <c r="M2050" s="19"/>
      <c r="N2050" s="19"/>
      <c r="O2050" s="19"/>
      <c r="P2050" s="19"/>
      <c r="Q2050" s="19"/>
      <c r="R2050" s="19"/>
      <c r="S2050" s="19"/>
      <c r="T2050" s="34" t="str">
        <f aca="false">IF($R2050="","",IFERROR(INDEX(DriverCategory,MATCH($R2050,DriverList,0)),"BAU"))</f>
        <v/>
      </c>
      <c r="U2050" s="34" t="str">
        <f aca="false">IF($R2050="","",IFERROR(INDEX(DriverRank,MATCH($R2050,DriverList,0)),99))</f>
        <v/>
      </c>
      <c r="V2050" s="35" t="n">
        <f aca="false">IF($H2050="",0,IFERROR(INDEX(LevelBasic,MATCH($H2050,LevelList,0))+INDEX(LevelHousing,MATCH($H2050,LevelList,0))+INDEX(LevelTransport,MATCH($H2050,LevelList,0))+INDEX(LevelBasic,MATCH($H2050,LevelList,0))*INDEX(LevelBonus,MATCH($H2050,LevelList,0))+(INDEX(LevelBasic,MATCH($H2050,LevelList,0))+INDEX(LevelHousing,MATCH($H2050,LevelList,0)))*GosiSaudi,0))</f>
        <v>0</v>
      </c>
      <c r="W2050" s="35" t="n">
        <f aca="false">IFERROR(INDEX(LevelOneOff,MATCH($H2050,LevelList,0)),0)</f>
        <v>0</v>
      </c>
      <c r="X2050" s="35" t="str">
        <f aca="false">IF($G2050="","",$V2050*N($L2050))</f>
        <v/>
      </c>
      <c r="Y2050" s="35" t="str">
        <f aca="false">IF($G2050="","",$V2050*(N($M2050)*1+N($N2050)*0.75+N($O2050)*0.5+N($P2050)*0.25)+$W2050*N($L2050))</f>
        <v/>
      </c>
      <c r="Z2050" s="35" t="str">
        <f aca="false">IF($G2050="","",$U2050*1000000+ROW())</f>
        <v/>
      </c>
      <c r="AA2050" s="36" t="str">
        <f aca="false">IF($G2050="","",MID(IF($C2050="",", no division","")&amp;IF($E2050="",", no unit","")&amp;IF($H2050="",", no career level","")&amp;IF(N($L2050)&lt;=0,", no quarter split","")&amp;IF($R2050="",", no driver","")&amp;IF(AND($H2050&lt;&gt;"",COUNTIF(CareerLevels,$H2050)=0),", a career level that is not on the ladder","")&amp;IF(AND($R2050&lt;&gt;"",COUNTIF(DriverList,$R2050)=0),", a driver that is not on the list","")&amp;IF(ABS(N($L2050)-(N($M2050)+N($N2050)+N($O2050)+N($P2050)))&gt;0.001,", a total that does not match its quarters",""),3,300))</f>
        <v/>
      </c>
    </row>
    <row r="2051" customFormat="false" ht="15" hidden="false" customHeight="false" outlineLevel="0" collapsed="false">
      <c r="A2051" s="33" t="str">
        <f aca="false">IF($G2051="","","Technology Group")</f>
        <v/>
      </c>
      <c r="B2051" s="19"/>
      <c r="C2051" s="19"/>
      <c r="D2051" s="19"/>
      <c r="E2051" s="19"/>
      <c r="F2051" s="19"/>
      <c r="G2051" s="19"/>
      <c r="H2051" s="19"/>
      <c r="I2051" s="19"/>
      <c r="J2051" s="19"/>
      <c r="K2051" s="19"/>
      <c r="L2051" s="19"/>
      <c r="M2051" s="19"/>
      <c r="N2051" s="19"/>
      <c r="O2051" s="19"/>
      <c r="P2051" s="19"/>
      <c r="Q2051" s="19"/>
      <c r="R2051" s="19"/>
      <c r="S2051" s="19"/>
      <c r="T2051" s="34" t="str">
        <f aca="false">IF($R2051="","",IFERROR(INDEX(DriverCategory,MATCH($R2051,DriverList,0)),"BAU"))</f>
        <v/>
      </c>
      <c r="U2051" s="34" t="str">
        <f aca="false">IF($R2051="","",IFERROR(INDEX(DriverRank,MATCH($R2051,DriverList,0)),99))</f>
        <v/>
      </c>
      <c r="V2051" s="35" t="n">
        <f aca="false">IF($H2051="",0,IFERROR(INDEX(LevelBasic,MATCH($H2051,LevelList,0))+INDEX(LevelHousing,MATCH($H2051,LevelList,0))+INDEX(LevelTransport,MATCH($H2051,LevelList,0))+INDEX(LevelBasic,MATCH($H2051,LevelList,0))*INDEX(LevelBonus,MATCH($H2051,LevelList,0))+(INDEX(LevelBasic,MATCH($H2051,LevelList,0))+INDEX(LevelHousing,MATCH($H2051,LevelList,0)))*GosiSaudi,0))</f>
        <v>0</v>
      </c>
      <c r="W2051" s="35" t="n">
        <f aca="false">IFERROR(INDEX(LevelOneOff,MATCH($H2051,LevelList,0)),0)</f>
        <v>0</v>
      </c>
      <c r="X2051" s="35" t="str">
        <f aca="false">IF($G2051="","",$V2051*N($L2051))</f>
        <v/>
      </c>
      <c r="Y2051" s="35" t="str">
        <f aca="false">IF($G2051="","",$V2051*(N($M2051)*1+N($N2051)*0.75+N($O2051)*0.5+N($P2051)*0.25)+$W2051*N($L2051))</f>
        <v/>
      </c>
      <c r="Z2051" s="35" t="str">
        <f aca="false">IF($G2051="","",$U2051*1000000+ROW())</f>
        <v/>
      </c>
      <c r="AA2051" s="36" t="str">
        <f aca="false">IF($G2051="","",MID(IF($C2051="",", no division","")&amp;IF($E2051="",", no unit","")&amp;IF($H2051="",", no career level","")&amp;IF(N($L2051)&lt;=0,", no quarter split","")&amp;IF($R2051="",", no driver","")&amp;IF(AND($H2051&lt;&gt;"",COUNTIF(CareerLevels,$H2051)=0),", a career level that is not on the ladder","")&amp;IF(AND($R2051&lt;&gt;"",COUNTIF(DriverList,$R2051)=0),", a driver that is not on the list","")&amp;IF(ABS(N($L2051)-(N($M2051)+N($N2051)+N($O2051)+N($P2051)))&gt;0.001,", a total that does not match its quarters",""),3,300))</f>
        <v/>
      </c>
    </row>
    <row r="2052" customFormat="false" ht="15" hidden="false" customHeight="false" outlineLevel="0" collapsed="false">
      <c r="A2052" s="33" t="str">
        <f aca="false">IF($G2052="","","Technology Group")</f>
        <v/>
      </c>
      <c r="B2052" s="19"/>
      <c r="C2052" s="19"/>
      <c r="D2052" s="19"/>
      <c r="E2052" s="19"/>
      <c r="F2052" s="19"/>
      <c r="G2052" s="19"/>
      <c r="H2052" s="19"/>
      <c r="I2052" s="19"/>
      <c r="J2052" s="19"/>
      <c r="K2052" s="19"/>
      <c r="L2052" s="19"/>
      <c r="M2052" s="19"/>
      <c r="N2052" s="19"/>
      <c r="O2052" s="19"/>
      <c r="P2052" s="19"/>
      <c r="Q2052" s="19"/>
      <c r="R2052" s="19"/>
      <c r="S2052" s="19"/>
      <c r="T2052" s="34" t="str">
        <f aca="false">IF($R2052="","",IFERROR(INDEX(DriverCategory,MATCH($R2052,DriverList,0)),"BAU"))</f>
        <v/>
      </c>
      <c r="U2052" s="34" t="str">
        <f aca="false">IF($R2052="","",IFERROR(INDEX(DriverRank,MATCH($R2052,DriverList,0)),99))</f>
        <v/>
      </c>
      <c r="V2052" s="35" t="n">
        <f aca="false">IF($H2052="",0,IFERROR(INDEX(LevelBasic,MATCH($H2052,LevelList,0))+INDEX(LevelHousing,MATCH($H2052,LevelList,0))+INDEX(LevelTransport,MATCH($H2052,LevelList,0))+INDEX(LevelBasic,MATCH($H2052,LevelList,0))*INDEX(LevelBonus,MATCH($H2052,LevelList,0))+(INDEX(LevelBasic,MATCH($H2052,LevelList,0))+INDEX(LevelHousing,MATCH($H2052,LevelList,0)))*GosiSaudi,0))</f>
        <v>0</v>
      </c>
      <c r="W2052" s="35" t="n">
        <f aca="false">IFERROR(INDEX(LevelOneOff,MATCH($H2052,LevelList,0)),0)</f>
        <v>0</v>
      </c>
      <c r="X2052" s="35" t="str">
        <f aca="false">IF($G2052="","",$V2052*N($L2052))</f>
        <v/>
      </c>
      <c r="Y2052" s="35" t="str">
        <f aca="false">IF($G2052="","",$V2052*(N($M2052)*1+N($N2052)*0.75+N($O2052)*0.5+N($P2052)*0.25)+$W2052*N($L2052))</f>
        <v/>
      </c>
      <c r="Z2052" s="35" t="str">
        <f aca="false">IF($G2052="","",$U2052*1000000+ROW())</f>
        <v/>
      </c>
      <c r="AA2052" s="36" t="str">
        <f aca="false">IF($G2052="","",MID(IF($C2052="",", no division","")&amp;IF($E2052="",", no unit","")&amp;IF($H2052="",", no career level","")&amp;IF(N($L2052)&lt;=0,", no quarter split","")&amp;IF($R2052="",", no driver","")&amp;IF(AND($H2052&lt;&gt;"",COUNTIF(CareerLevels,$H2052)=0),", a career level that is not on the ladder","")&amp;IF(AND($R2052&lt;&gt;"",COUNTIF(DriverList,$R2052)=0),", a driver that is not on the list","")&amp;IF(ABS(N($L2052)-(N($M2052)+N($N2052)+N($O2052)+N($P2052)))&gt;0.001,", a total that does not match its quarters",""),3,300))</f>
        <v/>
      </c>
    </row>
    <row r="2053" customFormat="false" ht="15" hidden="false" customHeight="false" outlineLevel="0" collapsed="false">
      <c r="A2053" s="33" t="str">
        <f aca="false">IF($G2053="","","Technology Group")</f>
        <v/>
      </c>
      <c r="B2053" s="19"/>
      <c r="C2053" s="19"/>
      <c r="D2053" s="19"/>
      <c r="E2053" s="19"/>
      <c r="F2053" s="19"/>
      <c r="G2053" s="19"/>
      <c r="H2053" s="19"/>
      <c r="I2053" s="19"/>
      <c r="J2053" s="19"/>
      <c r="K2053" s="19"/>
      <c r="L2053" s="19"/>
      <c r="M2053" s="19"/>
      <c r="N2053" s="19"/>
      <c r="O2053" s="19"/>
      <c r="P2053" s="19"/>
      <c r="Q2053" s="19"/>
      <c r="R2053" s="19"/>
      <c r="S2053" s="19"/>
      <c r="T2053" s="34" t="str">
        <f aca="false">IF($R2053="","",IFERROR(INDEX(DriverCategory,MATCH($R2053,DriverList,0)),"BAU"))</f>
        <v/>
      </c>
      <c r="U2053" s="34" t="str">
        <f aca="false">IF($R2053="","",IFERROR(INDEX(DriverRank,MATCH($R2053,DriverList,0)),99))</f>
        <v/>
      </c>
      <c r="V2053" s="35" t="n">
        <f aca="false">IF($H2053="",0,IFERROR(INDEX(LevelBasic,MATCH($H2053,LevelList,0))+INDEX(LevelHousing,MATCH($H2053,LevelList,0))+INDEX(LevelTransport,MATCH($H2053,LevelList,0))+INDEX(LevelBasic,MATCH($H2053,LevelList,0))*INDEX(LevelBonus,MATCH($H2053,LevelList,0))+(INDEX(LevelBasic,MATCH($H2053,LevelList,0))+INDEX(LevelHousing,MATCH($H2053,LevelList,0)))*GosiSaudi,0))</f>
        <v>0</v>
      </c>
      <c r="W2053" s="35" t="n">
        <f aca="false">IFERROR(INDEX(LevelOneOff,MATCH($H2053,LevelList,0)),0)</f>
        <v>0</v>
      </c>
      <c r="X2053" s="35" t="str">
        <f aca="false">IF($G2053="","",$V2053*N($L2053))</f>
        <v/>
      </c>
      <c r="Y2053" s="35" t="str">
        <f aca="false">IF($G2053="","",$V2053*(N($M2053)*1+N($N2053)*0.75+N($O2053)*0.5+N($P2053)*0.25)+$W2053*N($L2053))</f>
        <v/>
      </c>
      <c r="Z2053" s="35" t="str">
        <f aca="false">IF($G2053="","",$U2053*1000000+ROW())</f>
        <v/>
      </c>
      <c r="AA2053" s="36" t="str">
        <f aca="false">IF($G2053="","",MID(IF($C2053="",", no division","")&amp;IF($E2053="",", no unit","")&amp;IF($H2053="",", no career level","")&amp;IF(N($L2053)&lt;=0,", no quarter split","")&amp;IF($R2053="",", no driver","")&amp;IF(AND($H2053&lt;&gt;"",COUNTIF(CareerLevels,$H2053)=0),", a career level that is not on the ladder","")&amp;IF(AND($R2053&lt;&gt;"",COUNTIF(DriverList,$R2053)=0),", a driver that is not on the list","")&amp;IF(ABS(N($L2053)-(N($M2053)+N($N2053)+N($O2053)+N($P2053)))&gt;0.001,", a total that does not match its quarters",""),3,300))</f>
        <v/>
      </c>
    </row>
    <row r="2054" customFormat="false" ht="15" hidden="false" customHeight="false" outlineLevel="0" collapsed="false">
      <c r="A2054" s="33" t="str">
        <f aca="false">IF($G2054="","","Technology Group")</f>
        <v/>
      </c>
      <c r="B2054" s="19"/>
      <c r="C2054" s="19"/>
      <c r="D2054" s="19"/>
      <c r="E2054" s="19"/>
      <c r="F2054" s="19"/>
      <c r="G2054" s="19"/>
      <c r="H2054" s="19"/>
      <c r="I2054" s="19"/>
      <c r="J2054" s="19"/>
      <c r="K2054" s="19"/>
      <c r="L2054" s="19"/>
      <c r="M2054" s="19"/>
      <c r="N2054" s="19"/>
      <c r="O2054" s="19"/>
      <c r="P2054" s="19"/>
      <c r="Q2054" s="19"/>
      <c r="R2054" s="19"/>
      <c r="S2054" s="19"/>
      <c r="T2054" s="34" t="str">
        <f aca="false">IF($R2054="","",IFERROR(INDEX(DriverCategory,MATCH($R2054,DriverList,0)),"BAU"))</f>
        <v/>
      </c>
      <c r="U2054" s="34" t="str">
        <f aca="false">IF($R2054="","",IFERROR(INDEX(DriverRank,MATCH($R2054,DriverList,0)),99))</f>
        <v/>
      </c>
      <c r="V2054" s="35" t="n">
        <f aca="false">IF($H2054="",0,IFERROR(INDEX(LevelBasic,MATCH($H2054,LevelList,0))+INDEX(LevelHousing,MATCH($H2054,LevelList,0))+INDEX(LevelTransport,MATCH($H2054,LevelList,0))+INDEX(LevelBasic,MATCH($H2054,LevelList,0))*INDEX(LevelBonus,MATCH($H2054,LevelList,0))+(INDEX(LevelBasic,MATCH($H2054,LevelList,0))+INDEX(LevelHousing,MATCH($H2054,LevelList,0)))*GosiSaudi,0))</f>
        <v>0</v>
      </c>
      <c r="W2054" s="35" t="n">
        <f aca="false">IFERROR(INDEX(LevelOneOff,MATCH($H2054,LevelList,0)),0)</f>
        <v>0</v>
      </c>
      <c r="X2054" s="35" t="str">
        <f aca="false">IF($G2054="","",$V2054*N($L2054))</f>
        <v/>
      </c>
      <c r="Y2054" s="35" t="str">
        <f aca="false">IF($G2054="","",$V2054*(N($M2054)*1+N($N2054)*0.75+N($O2054)*0.5+N($P2054)*0.25)+$W2054*N($L2054))</f>
        <v/>
      </c>
      <c r="Z2054" s="35" t="str">
        <f aca="false">IF($G2054="","",$U2054*1000000+ROW())</f>
        <v/>
      </c>
      <c r="AA2054" s="36" t="str">
        <f aca="false">IF($G2054="","",MID(IF($C2054="",", no division","")&amp;IF($E2054="",", no unit","")&amp;IF($H2054="",", no career level","")&amp;IF(N($L2054)&lt;=0,", no quarter split","")&amp;IF($R2054="",", no driver","")&amp;IF(AND($H2054&lt;&gt;"",COUNTIF(CareerLevels,$H2054)=0),", a career level that is not on the ladder","")&amp;IF(AND($R2054&lt;&gt;"",COUNTIF(DriverList,$R2054)=0),", a driver that is not on the list","")&amp;IF(ABS(N($L2054)-(N($M2054)+N($N2054)+N($O2054)+N($P2054)))&gt;0.001,", a total that does not match its quarters",""),3,300))</f>
        <v/>
      </c>
    </row>
    <row r="2055" customFormat="false" ht="15" hidden="false" customHeight="false" outlineLevel="0" collapsed="false">
      <c r="A2055" s="33" t="str">
        <f aca="false">IF($G2055="","","Technology Group")</f>
        <v/>
      </c>
      <c r="B2055" s="19"/>
      <c r="C2055" s="19"/>
      <c r="D2055" s="19"/>
      <c r="E2055" s="19"/>
      <c r="F2055" s="19"/>
      <c r="G2055" s="19"/>
      <c r="H2055" s="19"/>
      <c r="I2055" s="19"/>
      <c r="J2055" s="19"/>
      <c r="K2055" s="19"/>
      <c r="L2055" s="19"/>
      <c r="M2055" s="19"/>
      <c r="N2055" s="19"/>
      <c r="O2055" s="19"/>
      <c r="P2055" s="19"/>
      <c r="Q2055" s="19"/>
      <c r="R2055" s="19"/>
      <c r="S2055" s="19"/>
      <c r="T2055" s="34" t="str">
        <f aca="false">IF($R2055="","",IFERROR(INDEX(DriverCategory,MATCH($R2055,DriverList,0)),"BAU"))</f>
        <v/>
      </c>
      <c r="U2055" s="34" t="str">
        <f aca="false">IF($R2055="","",IFERROR(INDEX(DriverRank,MATCH($R2055,DriverList,0)),99))</f>
        <v/>
      </c>
      <c r="V2055" s="35" t="n">
        <f aca="false">IF($H2055="",0,IFERROR(INDEX(LevelBasic,MATCH($H2055,LevelList,0))+INDEX(LevelHousing,MATCH($H2055,LevelList,0))+INDEX(LevelTransport,MATCH($H2055,LevelList,0))+INDEX(LevelBasic,MATCH($H2055,LevelList,0))*INDEX(LevelBonus,MATCH($H2055,LevelList,0))+(INDEX(LevelBasic,MATCH($H2055,LevelList,0))+INDEX(LevelHousing,MATCH($H2055,LevelList,0)))*GosiSaudi,0))</f>
        <v>0</v>
      </c>
      <c r="W2055" s="35" t="n">
        <f aca="false">IFERROR(INDEX(LevelOneOff,MATCH($H2055,LevelList,0)),0)</f>
        <v>0</v>
      </c>
      <c r="X2055" s="35" t="str">
        <f aca="false">IF($G2055="","",$V2055*N($L2055))</f>
        <v/>
      </c>
      <c r="Y2055" s="35" t="str">
        <f aca="false">IF($G2055="","",$V2055*(N($M2055)*1+N($N2055)*0.75+N($O2055)*0.5+N($P2055)*0.25)+$W2055*N($L2055))</f>
        <v/>
      </c>
      <c r="Z2055" s="35" t="str">
        <f aca="false">IF($G2055="","",$U2055*1000000+ROW())</f>
        <v/>
      </c>
      <c r="AA2055" s="36" t="str">
        <f aca="false">IF($G2055="","",MID(IF($C2055="",", no division","")&amp;IF($E2055="",", no unit","")&amp;IF($H2055="",", no career level","")&amp;IF(N($L2055)&lt;=0,", no quarter split","")&amp;IF($R2055="",", no driver","")&amp;IF(AND($H2055&lt;&gt;"",COUNTIF(CareerLevels,$H2055)=0),", a career level that is not on the ladder","")&amp;IF(AND($R2055&lt;&gt;"",COUNTIF(DriverList,$R2055)=0),", a driver that is not on the list","")&amp;IF(ABS(N($L2055)-(N($M2055)+N($N2055)+N($O2055)+N($P2055)))&gt;0.001,", a total that does not match its quarters",""),3,300))</f>
        <v/>
      </c>
    </row>
    <row r="2056" customFormat="false" ht="15" hidden="false" customHeight="false" outlineLevel="0" collapsed="false">
      <c r="A2056" s="33" t="str">
        <f aca="false">IF($G2056="","","Technology Group")</f>
        <v/>
      </c>
      <c r="B2056" s="19"/>
      <c r="C2056" s="19"/>
      <c r="D2056" s="19"/>
      <c r="E2056" s="19"/>
      <c r="F2056" s="19"/>
      <c r="G2056" s="19"/>
      <c r="H2056" s="19"/>
      <c r="I2056" s="19"/>
      <c r="J2056" s="19"/>
      <c r="K2056" s="19"/>
      <c r="L2056" s="19"/>
      <c r="M2056" s="19"/>
      <c r="N2056" s="19"/>
      <c r="O2056" s="19"/>
      <c r="P2056" s="19"/>
      <c r="Q2056" s="19"/>
      <c r="R2056" s="19"/>
      <c r="S2056" s="19"/>
      <c r="T2056" s="34" t="str">
        <f aca="false">IF($R2056="","",IFERROR(INDEX(DriverCategory,MATCH($R2056,DriverList,0)),"BAU"))</f>
        <v/>
      </c>
      <c r="U2056" s="34" t="str">
        <f aca="false">IF($R2056="","",IFERROR(INDEX(DriverRank,MATCH($R2056,DriverList,0)),99))</f>
        <v/>
      </c>
      <c r="V2056" s="35" t="n">
        <f aca="false">IF($H2056="",0,IFERROR(INDEX(LevelBasic,MATCH($H2056,LevelList,0))+INDEX(LevelHousing,MATCH($H2056,LevelList,0))+INDEX(LevelTransport,MATCH($H2056,LevelList,0))+INDEX(LevelBasic,MATCH($H2056,LevelList,0))*INDEX(LevelBonus,MATCH($H2056,LevelList,0))+(INDEX(LevelBasic,MATCH($H2056,LevelList,0))+INDEX(LevelHousing,MATCH($H2056,LevelList,0)))*GosiSaudi,0))</f>
        <v>0</v>
      </c>
      <c r="W2056" s="35" t="n">
        <f aca="false">IFERROR(INDEX(LevelOneOff,MATCH($H2056,LevelList,0)),0)</f>
        <v>0</v>
      </c>
      <c r="X2056" s="35" t="str">
        <f aca="false">IF($G2056="","",$V2056*N($L2056))</f>
        <v/>
      </c>
      <c r="Y2056" s="35" t="str">
        <f aca="false">IF($G2056="","",$V2056*(N($M2056)*1+N($N2056)*0.75+N($O2056)*0.5+N($P2056)*0.25)+$W2056*N($L2056))</f>
        <v/>
      </c>
      <c r="Z2056" s="35" t="str">
        <f aca="false">IF($G2056="","",$U2056*1000000+ROW())</f>
        <v/>
      </c>
      <c r="AA2056" s="36" t="str">
        <f aca="false">IF($G2056="","",MID(IF($C2056="",", no division","")&amp;IF($E2056="",", no unit","")&amp;IF($H2056="",", no career level","")&amp;IF(N($L2056)&lt;=0,", no quarter split","")&amp;IF($R2056="",", no driver","")&amp;IF(AND($H2056&lt;&gt;"",COUNTIF(CareerLevels,$H2056)=0),", a career level that is not on the ladder","")&amp;IF(AND($R2056&lt;&gt;"",COUNTIF(DriverList,$R2056)=0),", a driver that is not on the list","")&amp;IF(ABS(N($L2056)-(N($M2056)+N($N2056)+N($O2056)+N($P2056)))&gt;0.001,", a total that does not match its quarters",""),3,300))</f>
        <v/>
      </c>
    </row>
    <row r="2057" customFormat="false" ht="15" hidden="false" customHeight="false" outlineLevel="0" collapsed="false">
      <c r="A2057" s="33" t="str">
        <f aca="false">IF($G2057="","","Technology Group")</f>
        <v/>
      </c>
      <c r="B2057" s="19"/>
      <c r="C2057" s="19"/>
      <c r="D2057" s="19"/>
      <c r="E2057" s="19"/>
      <c r="F2057" s="19"/>
      <c r="G2057" s="19"/>
      <c r="H2057" s="19"/>
      <c r="I2057" s="19"/>
      <c r="J2057" s="19"/>
      <c r="K2057" s="19"/>
      <c r="L2057" s="19"/>
      <c r="M2057" s="19"/>
      <c r="N2057" s="19"/>
      <c r="O2057" s="19"/>
      <c r="P2057" s="19"/>
      <c r="Q2057" s="19"/>
      <c r="R2057" s="19"/>
      <c r="S2057" s="19"/>
      <c r="T2057" s="34" t="str">
        <f aca="false">IF($R2057="","",IFERROR(INDEX(DriverCategory,MATCH($R2057,DriverList,0)),"BAU"))</f>
        <v/>
      </c>
      <c r="U2057" s="34" t="str">
        <f aca="false">IF($R2057="","",IFERROR(INDEX(DriverRank,MATCH($R2057,DriverList,0)),99))</f>
        <v/>
      </c>
      <c r="V2057" s="35" t="n">
        <f aca="false">IF($H2057="",0,IFERROR(INDEX(LevelBasic,MATCH($H2057,LevelList,0))+INDEX(LevelHousing,MATCH($H2057,LevelList,0))+INDEX(LevelTransport,MATCH($H2057,LevelList,0))+INDEX(LevelBasic,MATCH($H2057,LevelList,0))*INDEX(LevelBonus,MATCH($H2057,LevelList,0))+(INDEX(LevelBasic,MATCH($H2057,LevelList,0))+INDEX(LevelHousing,MATCH($H2057,LevelList,0)))*GosiSaudi,0))</f>
        <v>0</v>
      </c>
      <c r="W2057" s="35" t="n">
        <f aca="false">IFERROR(INDEX(LevelOneOff,MATCH($H2057,LevelList,0)),0)</f>
        <v>0</v>
      </c>
      <c r="X2057" s="35" t="str">
        <f aca="false">IF($G2057="","",$V2057*N($L2057))</f>
        <v/>
      </c>
      <c r="Y2057" s="35" t="str">
        <f aca="false">IF($G2057="","",$V2057*(N($M2057)*1+N($N2057)*0.75+N($O2057)*0.5+N($P2057)*0.25)+$W2057*N($L2057))</f>
        <v/>
      </c>
      <c r="Z2057" s="35" t="str">
        <f aca="false">IF($G2057="","",$U2057*1000000+ROW())</f>
        <v/>
      </c>
      <c r="AA2057" s="36" t="str">
        <f aca="false">IF($G2057="","",MID(IF($C2057="",", no division","")&amp;IF($E2057="",", no unit","")&amp;IF($H2057="",", no career level","")&amp;IF(N($L2057)&lt;=0,", no quarter split","")&amp;IF($R2057="",", no driver","")&amp;IF(AND($H2057&lt;&gt;"",COUNTIF(CareerLevels,$H2057)=0),", a career level that is not on the ladder","")&amp;IF(AND($R2057&lt;&gt;"",COUNTIF(DriverList,$R2057)=0),", a driver that is not on the list","")&amp;IF(ABS(N($L2057)-(N($M2057)+N($N2057)+N($O2057)+N($P2057)))&gt;0.001,", a total that does not match its quarters",""),3,300))</f>
        <v/>
      </c>
    </row>
    <row r="2058" customFormat="false" ht="15" hidden="false" customHeight="false" outlineLevel="0" collapsed="false">
      <c r="A2058" s="33" t="str">
        <f aca="false">IF($G2058="","","Technology Group")</f>
        <v/>
      </c>
      <c r="B2058" s="19"/>
      <c r="C2058" s="19"/>
      <c r="D2058" s="19"/>
      <c r="E2058" s="19"/>
      <c r="F2058" s="19"/>
      <c r="G2058" s="19"/>
      <c r="H2058" s="19"/>
      <c r="I2058" s="19"/>
      <c r="J2058" s="19"/>
      <c r="K2058" s="19"/>
      <c r="L2058" s="19"/>
      <c r="M2058" s="19"/>
      <c r="N2058" s="19"/>
      <c r="O2058" s="19"/>
      <c r="P2058" s="19"/>
      <c r="Q2058" s="19"/>
      <c r="R2058" s="19"/>
      <c r="S2058" s="19"/>
      <c r="T2058" s="34" t="str">
        <f aca="false">IF($R2058="","",IFERROR(INDEX(DriverCategory,MATCH($R2058,DriverList,0)),"BAU"))</f>
        <v/>
      </c>
      <c r="U2058" s="34" t="str">
        <f aca="false">IF($R2058="","",IFERROR(INDEX(DriverRank,MATCH($R2058,DriverList,0)),99))</f>
        <v/>
      </c>
      <c r="V2058" s="35" t="n">
        <f aca="false">IF($H2058="",0,IFERROR(INDEX(LevelBasic,MATCH($H2058,LevelList,0))+INDEX(LevelHousing,MATCH($H2058,LevelList,0))+INDEX(LevelTransport,MATCH($H2058,LevelList,0))+INDEX(LevelBasic,MATCH($H2058,LevelList,0))*INDEX(LevelBonus,MATCH($H2058,LevelList,0))+(INDEX(LevelBasic,MATCH($H2058,LevelList,0))+INDEX(LevelHousing,MATCH($H2058,LevelList,0)))*GosiSaudi,0))</f>
        <v>0</v>
      </c>
      <c r="W2058" s="35" t="n">
        <f aca="false">IFERROR(INDEX(LevelOneOff,MATCH($H2058,LevelList,0)),0)</f>
        <v>0</v>
      </c>
      <c r="X2058" s="35" t="str">
        <f aca="false">IF($G2058="","",$V2058*N($L2058))</f>
        <v/>
      </c>
      <c r="Y2058" s="35" t="str">
        <f aca="false">IF($G2058="","",$V2058*(N($M2058)*1+N($N2058)*0.75+N($O2058)*0.5+N($P2058)*0.25)+$W2058*N($L2058))</f>
        <v/>
      </c>
      <c r="Z2058" s="35" t="str">
        <f aca="false">IF($G2058="","",$U2058*1000000+ROW())</f>
        <v/>
      </c>
      <c r="AA2058" s="36" t="str">
        <f aca="false">IF($G2058="","",MID(IF($C2058="",", no division","")&amp;IF($E2058="",", no unit","")&amp;IF($H2058="",", no career level","")&amp;IF(N($L2058)&lt;=0,", no quarter split","")&amp;IF($R2058="",", no driver","")&amp;IF(AND($H2058&lt;&gt;"",COUNTIF(CareerLevels,$H2058)=0),", a career level that is not on the ladder","")&amp;IF(AND($R2058&lt;&gt;"",COUNTIF(DriverList,$R2058)=0),", a driver that is not on the list","")&amp;IF(ABS(N($L2058)-(N($M2058)+N($N2058)+N($O2058)+N($P2058)))&gt;0.001,", a total that does not match its quarters",""),3,300))</f>
        <v/>
      </c>
    </row>
    <row r="2059" customFormat="false" ht="15" hidden="false" customHeight="false" outlineLevel="0" collapsed="false">
      <c r="A2059" s="33" t="str">
        <f aca="false">IF($G2059="","","Technology Group")</f>
        <v/>
      </c>
      <c r="B2059" s="19"/>
      <c r="C2059" s="19"/>
      <c r="D2059" s="19"/>
      <c r="E2059" s="19"/>
      <c r="F2059" s="19"/>
      <c r="G2059" s="19"/>
      <c r="H2059" s="19"/>
      <c r="I2059" s="19"/>
      <c r="J2059" s="19"/>
      <c r="K2059" s="19"/>
      <c r="L2059" s="19"/>
      <c r="M2059" s="19"/>
      <c r="N2059" s="19"/>
      <c r="O2059" s="19"/>
      <c r="P2059" s="19"/>
      <c r="Q2059" s="19"/>
      <c r="R2059" s="19"/>
      <c r="S2059" s="19"/>
      <c r="T2059" s="34" t="str">
        <f aca="false">IF($R2059="","",IFERROR(INDEX(DriverCategory,MATCH($R2059,DriverList,0)),"BAU"))</f>
        <v/>
      </c>
      <c r="U2059" s="34" t="str">
        <f aca="false">IF($R2059="","",IFERROR(INDEX(DriverRank,MATCH($R2059,DriverList,0)),99))</f>
        <v/>
      </c>
      <c r="V2059" s="35" t="n">
        <f aca="false">IF($H2059="",0,IFERROR(INDEX(LevelBasic,MATCH($H2059,LevelList,0))+INDEX(LevelHousing,MATCH($H2059,LevelList,0))+INDEX(LevelTransport,MATCH($H2059,LevelList,0))+INDEX(LevelBasic,MATCH($H2059,LevelList,0))*INDEX(LevelBonus,MATCH($H2059,LevelList,0))+(INDEX(LevelBasic,MATCH($H2059,LevelList,0))+INDEX(LevelHousing,MATCH($H2059,LevelList,0)))*GosiSaudi,0))</f>
        <v>0</v>
      </c>
      <c r="W2059" s="35" t="n">
        <f aca="false">IFERROR(INDEX(LevelOneOff,MATCH($H2059,LevelList,0)),0)</f>
        <v>0</v>
      </c>
      <c r="X2059" s="35" t="str">
        <f aca="false">IF($G2059="","",$V2059*N($L2059))</f>
        <v/>
      </c>
      <c r="Y2059" s="35" t="str">
        <f aca="false">IF($G2059="","",$V2059*(N($M2059)*1+N($N2059)*0.75+N($O2059)*0.5+N($P2059)*0.25)+$W2059*N($L2059))</f>
        <v/>
      </c>
      <c r="Z2059" s="35" t="str">
        <f aca="false">IF($G2059="","",$U2059*1000000+ROW())</f>
        <v/>
      </c>
      <c r="AA2059" s="36" t="str">
        <f aca="false">IF($G2059="","",MID(IF($C2059="",", no division","")&amp;IF($E2059="",", no unit","")&amp;IF($H2059="",", no career level","")&amp;IF(N($L2059)&lt;=0,", no quarter split","")&amp;IF($R2059="",", no driver","")&amp;IF(AND($H2059&lt;&gt;"",COUNTIF(CareerLevels,$H2059)=0),", a career level that is not on the ladder","")&amp;IF(AND($R2059&lt;&gt;"",COUNTIF(DriverList,$R2059)=0),", a driver that is not on the list","")&amp;IF(ABS(N($L2059)-(N($M2059)+N($N2059)+N($O2059)+N($P2059)))&gt;0.001,", a total that does not match its quarters",""),3,300))</f>
        <v/>
      </c>
    </row>
    <row r="2060" customFormat="false" ht="15" hidden="false" customHeight="false" outlineLevel="0" collapsed="false">
      <c r="A2060" s="33" t="str">
        <f aca="false">IF($G2060="","","Technology Group")</f>
        <v/>
      </c>
      <c r="B2060" s="19"/>
      <c r="C2060" s="19"/>
      <c r="D2060" s="19"/>
      <c r="E2060" s="19"/>
      <c r="F2060" s="19"/>
      <c r="G2060" s="19"/>
      <c r="H2060" s="19"/>
      <c r="I2060" s="19"/>
      <c r="J2060" s="19"/>
      <c r="K2060" s="19"/>
      <c r="L2060" s="19"/>
      <c r="M2060" s="19"/>
      <c r="N2060" s="19"/>
      <c r="O2060" s="19"/>
      <c r="P2060" s="19"/>
      <c r="Q2060" s="19"/>
      <c r="R2060" s="19"/>
      <c r="S2060" s="19"/>
      <c r="T2060" s="34" t="str">
        <f aca="false">IF($R2060="","",IFERROR(INDEX(DriverCategory,MATCH($R2060,DriverList,0)),"BAU"))</f>
        <v/>
      </c>
      <c r="U2060" s="34" t="str">
        <f aca="false">IF($R2060="","",IFERROR(INDEX(DriverRank,MATCH($R2060,DriverList,0)),99))</f>
        <v/>
      </c>
      <c r="V2060" s="35" t="n">
        <f aca="false">IF($H2060="",0,IFERROR(INDEX(LevelBasic,MATCH($H2060,LevelList,0))+INDEX(LevelHousing,MATCH($H2060,LevelList,0))+INDEX(LevelTransport,MATCH($H2060,LevelList,0))+INDEX(LevelBasic,MATCH($H2060,LevelList,0))*INDEX(LevelBonus,MATCH($H2060,LevelList,0))+(INDEX(LevelBasic,MATCH($H2060,LevelList,0))+INDEX(LevelHousing,MATCH($H2060,LevelList,0)))*GosiSaudi,0))</f>
        <v>0</v>
      </c>
      <c r="W2060" s="35" t="n">
        <f aca="false">IFERROR(INDEX(LevelOneOff,MATCH($H2060,LevelList,0)),0)</f>
        <v>0</v>
      </c>
      <c r="X2060" s="35" t="str">
        <f aca="false">IF($G2060="","",$V2060*N($L2060))</f>
        <v/>
      </c>
      <c r="Y2060" s="35" t="str">
        <f aca="false">IF($G2060="","",$V2060*(N($M2060)*1+N($N2060)*0.75+N($O2060)*0.5+N($P2060)*0.25)+$W2060*N($L2060))</f>
        <v/>
      </c>
      <c r="Z2060" s="35" t="str">
        <f aca="false">IF($G2060="","",$U2060*1000000+ROW())</f>
        <v/>
      </c>
      <c r="AA2060" s="36" t="str">
        <f aca="false">IF($G2060="","",MID(IF($C2060="",", no division","")&amp;IF($E2060="",", no unit","")&amp;IF($H2060="",", no career level","")&amp;IF(N($L2060)&lt;=0,", no quarter split","")&amp;IF($R2060="",", no driver","")&amp;IF(AND($H2060&lt;&gt;"",COUNTIF(CareerLevels,$H2060)=0),", a career level that is not on the ladder","")&amp;IF(AND($R2060&lt;&gt;"",COUNTIF(DriverList,$R2060)=0),", a driver that is not on the list","")&amp;IF(ABS(N($L2060)-(N($M2060)+N($N2060)+N($O2060)+N($P2060)))&gt;0.001,", a total that does not match its quarters",""),3,300))</f>
        <v/>
      </c>
    </row>
    <row r="2061" customFormat="false" ht="15" hidden="false" customHeight="false" outlineLevel="0" collapsed="false">
      <c r="A2061" s="33" t="str">
        <f aca="false">IF($G2061="","","Technology Group")</f>
        <v/>
      </c>
      <c r="B2061" s="19"/>
      <c r="C2061" s="19"/>
      <c r="D2061" s="19"/>
      <c r="E2061" s="19"/>
      <c r="F2061" s="19"/>
      <c r="G2061" s="19"/>
      <c r="H2061" s="19"/>
      <c r="I2061" s="19"/>
      <c r="J2061" s="19"/>
      <c r="K2061" s="19"/>
      <c r="L2061" s="19"/>
      <c r="M2061" s="19"/>
      <c r="N2061" s="19"/>
      <c r="O2061" s="19"/>
      <c r="P2061" s="19"/>
      <c r="Q2061" s="19"/>
      <c r="R2061" s="19"/>
      <c r="S2061" s="19"/>
      <c r="T2061" s="34" t="str">
        <f aca="false">IF($R2061="","",IFERROR(INDEX(DriverCategory,MATCH($R2061,DriverList,0)),"BAU"))</f>
        <v/>
      </c>
      <c r="U2061" s="34" t="str">
        <f aca="false">IF($R2061="","",IFERROR(INDEX(DriverRank,MATCH($R2061,DriverList,0)),99))</f>
        <v/>
      </c>
      <c r="V2061" s="35" t="n">
        <f aca="false">IF($H2061="",0,IFERROR(INDEX(LevelBasic,MATCH($H2061,LevelList,0))+INDEX(LevelHousing,MATCH($H2061,LevelList,0))+INDEX(LevelTransport,MATCH($H2061,LevelList,0))+INDEX(LevelBasic,MATCH($H2061,LevelList,0))*INDEX(LevelBonus,MATCH($H2061,LevelList,0))+(INDEX(LevelBasic,MATCH($H2061,LevelList,0))+INDEX(LevelHousing,MATCH($H2061,LevelList,0)))*GosiSaudi,0))</f>
        <v>0</v>
      </c>
      <c r="W2061" s="35" t="n">
        <f aca="false">IFERROR(INDEX(LevelOneOff,MATCH($H2061,LevelList,0)),0)</f>
        <v>0</v>
      </c>
      <c r="X2061" s="35" t="str">
        <f aca="false">IF($G2061="","",$V2061*N($L2061))</f>
        <v/>
      </c>
      <c r="Y2061" s="35" t="str">
        <f aca="false">IF($G2061="","",$V2061*(N($M2061)*1+N($N2061)*0.75+N($O2061)*0.5+N($P2061)*0.25)+$W2061*N($L2061))</f>
        <v/>
      </c>
      <c r="Z2061" s="35" t="str">
        <f aca="false">IF($G2061="","",$U2061*1000000+ROW())</f>
        <v/>
      </c>
      <c r="AA2061" s="36" t="str">
        <f aca="false">IF($G2061="","",MID(IF($C2061="",", no division","")&amp;IF($E2061="",", no unit","")&amp;IF($H2061="",", no career level","")&amp;IF(N($L2061)&lt;=0,", no quarter split","")&amp;IF($R2061="",", no driver","")&amp;IF(AND($H2061&lt;&gt;"",COUNTIF(CareerLevels,$H2061)=0),", a career level that is not on the ladder","")&amp;IF(AND($R2061&lt;&gt;"",COUNTIF(DriverList,$R2061)=0),", a driver that is not on the list","")&amp;IF(ABS(N($L2061)-(N($M2061)+N($N2061)+N($O2061)+N($P2061)))&gt;0.001,", a total that does not match its quarters",""),3,300))</f>
        <v/>
      </c>
    </row>
    <row r="2062" customFormat="false" ht="15" hidden="false" customHeight="false" outlineLevel="0" collapsed="false">
      <c r="A2062" s="33" t="str">
        <f aca="false">IF($G2062="","","Technology Group")</f>
        <v/>
      </c>
      <c r="B2062" s="19"/>
      <c r="C2062" s="19"/>
      <c r="D2062" s="19"/>
      <c r="E2062" s="19"/>
      <c r="F2062" s="19"/>
      <c r="G2062" s="19"/>
      <c r="H2062" s="19"/>
      <c r="I2062" s="19"/>
      <c r="J2062" s="19"/>
      <c r="K2062" s="19"/>
      <c r="L2062" s="19"/>
      <c r="M2062" s="19"/>
      <c r="N2062" s="19"/>
      <c r="O2062" s="19"/>
      <c r="P2062" s="19"/>
      <c r="Q2062" s="19"/>
      <c r="R2062" s="19"/>
      <c r="S2062" s="19"/>
      <c r="T2062" s="34" t="str">
        <f aca="false">IF($R2062="","",IFERROR(INDEX(DriverCategory,MATCH($R2062,DriverList,0)),"BAU"))</f>
        <v/>
      </c>
      <c r="U2062" s="34" t="str">
        <f aca="false">IF($R2062="","",IFERROR(INDEX(DriverRank,MATCH($R2062,DriverList,0)),99))</f>
        <v/>
      </c>
      <c r="V2062" s="35" t="n">
        <f aca="false">IF($H2062="",0,IFERROR(INDEX(LevelBasic,MATCH($H2062,LevelList,0))+INDEX(LevelHousing,MATCH($H2062,LevelList,0))+INDEX(LevelTransport,MATCH($H2062,LevelList,0))+INDEX(LevelBasic,MATCH($H2062,LevelList,0))*INDEX(LevelBonus,MATCH($H2062,LevelList,0))+(INDEX(LevelBasic,MATCH($H2062,LevelList,0))+INDEX(LevelHousing,MATCH($H2062,LevelList,0)))*GosiSaudi,0))</f>
        <v>0</v>
      </c>
      <c r="W2062" s="35" t="n">
        <f aca="false">IFERROR(INDEX(LevelOneOff,MATCH($H2062,LevelList,0)),0)</f>
        <v>0</v>
      </c>
      <c r="X2062" s="35" t="str">
        <f aca="false">IF($G2062="","",$V2062*N($L2062))</f>
        <v/>
      </c>
      <c r="Y2062" s="35" t="str">
        <f aca="false">IF($G2062="","",$V2062*(N($M2062)*1+N($N2062)*0.75+N($O2062)*0.5+N($P2062)*0.25)+$W2062*N($L2062))</f>
        <v/>
      </c>
      <c r="Z2062" s="35" t="str">
        <f aca="false">IF($G2062="","",$U2062*1000000+ROW())</f>
        <v/>
      </c>
      <c r="AA2062" s="36" t="str">
        <f aca="false">IF($G2062="","",MID(IF($C2062="",", no division","")&amp;IF($E2062="",", no unit","")&amp;IF($H2062="",", no career level","")&amp;IF(N($L2062)&lt;=0,", no quarter split","")&amp;IF($R2062="",", no driver","")&amp;IF(AND($H2062&lt;&gt;"",COUNTIF(CareerLevels,$H2062)=0),", a career level that is not on the ladder","")&amp;IF(AND($R2062&lt;&gt;"",COUNTIF(DriverList,$R2062)=0),", a driver that is not on the list","")&amp;IF(ABS(N($L2062)-(N($M2062)+N($N2062)+N($O2062)+N($P2062)))&gt;0.001,", a total that does not match its quarters",""),3,300))</f>
        <v/>
      </c>
    </row>
    <row r="2063" customFormat="false" ht="15" hidden="false" customHeight="false" outlineLevel="0" collapsed="false">
      <c r="A2063" s="33" t="str">
        <f aca="false">IF($G2063="","","Technology Group")</f>
        <v/>
      </c>
      <c r="B2063" s="19"/>
      <c r="C2063" s="19"/>
      <c r="D2063" s="19"/>
      <c r="E2063" s="19"/>
      <c r="F2063" s="19"/>
      <c r="G2063" s="19"/>
      <c r="H2063" s="19"/>
      <c r="I2063" s="19"/>
      <c r="J2063" s="19"/>
      <c r="K2063" s="19"/>
      <c r="L2063" s="19"/>
      <c r="M2063" s="19"/>
      <c r="N2063" s="19"/>
      <c r="O2063" s="19"/>
      <c r="P2063" s="19"/>
      <c r="Q2063" s="19"/>
      <c r="R2063" s="19"/>
      <c r="S2063" s="19"/>
      <c r="T2063" s="34" t="str">
        <f aca="false">IF($R2063="","",IFERROR(INDEX(DriverCategory,MATCH($R2063,DriverList,0)),"BAU"))</f>
        <v/>
      </c>
      <c r="U2063" s="34" t="str">
        <f aca="false">IF($R2063="","",IFERROR(INDEX(DriverRank,MATCH($R2063,DriverList,0)),99))</f>
        <v/>
      </c>
      <c r="V2063" s="35" t="n">
        <f aca="false">IF($H2063="",0,IFERROR(INDEX(LevelBasic,MATCH($H2063,LevelList,0))+INDEX(LevelHousing,MATCH($H2063,LevelList,0))+INDEX(LevelTransport,MATCH($H2063,LevelList,0))+INDEX(LevelBasic,MATCH($H2063,LevelList,0))*INDEX(LevelBonus,MATCH($H2063,LevelList,0))+(INDEX(LevelBasic,MATCH($H2063,LevelList,0))+INDEX(LevelHousing,MATCH($H2063,LevelList,0)))*GosiSaudi,0))</f>
        <v>0</v>
      </c>
      <c r="W2063" s="35" t="n">
        <f aca="false">IFERROR(INDEX(LevelOneOff,MATCH($H2063,LevelList,0)),0)</f>
        <v>0</v>
      </c>
      <c r="X2063" s="35" t="str">
        <f aca="false">IF($G2063="","",$V2063*N($L2063))</f>
        <v/>
      </c>
      <c r="Y2063" s="35" t="str">
        <f aca="false">IF($G2063="","",$V2063*(N($M2063)*1+N($N2063)*0.75+N($O2063)*0.5+N($P2063)*0.25)+$W2063*N($L2063))</f>
        <v/>
      </c>
      <c r="Z2063" s="35" t="str">
        <f aca="false">IF($G2063="","",$U2063*1000000+ROW())</f>
        <v/>
      </c>
      <c r="AA2063" s="36" t="str">
        <f aca="false">IF($G2063="","",MID(IF($C2063="",", no division","")&amp;IF($E2063="",", no unit","")&amp;IF($H2063="",", no career level","")&amp;IF(N($L2063)&lt;=0,", no quarter split","")&amp;IF($R2063="",", no driver","")&amp;IF(AND($H2063&lt;&gt;"",COUNTIF(CareerLevels,$H2063)=0),", a career level that is not on the ladder","")&amp;IF(AND($R2063&lt;&gt;"",COUNTIF(DriverList,$R2063)=0),", a driver that is not on the list","")&amp;IF(ABS(N($L2063)-(N($M2063)+N($N2063)+N($O2063)+N($P2063)))&gt;0.001,", a total that does not match its quarters",""),3,300))</f>
        <v/>
      </c>
    </row>
    <row r="2064" customFormat="false" ht="15" hidden="false" customHeight="false" outlineLevel="0" collapsed="false">
      <c r="A2064" s="33" t="str">
        <f aca="false">IF($G2064="","","Technology Group")</f>
        <v/>
      </c>
      <c r="B2064" s="19"/>
      <c r="C2064" s="19"/>
      <c r="D2064" s="19"/>
      <c r="E2064" s="19"/>
      <c r="F2064" s="19"/>
      <c r="G2064" s="19"/>
      <c r="H2064" s="19"/>
      <c r="I2064" s="19"/>
      <c r="J2064" s="19"/>
      <c r="K2064" s="19"/>
      <c r="L2064" s="19"/>
      <c r="M2064" s="19"/>
      <c r="N2064" s="19"/>
      <c r="O2064" s="19"/>
      <c r="P2064" s="19"/>
      <c r="Q2064" s="19"/>
      <c r="R2064" s="19"/>
      <c r="S2064" s="19"/>
      <c r="T2064" s="34" t="str">
        <f aca="false">IF($R2064="","",IFERROR(INDEX(DriverCategory,MATCH($R2064,DriverList,0)),"BAU"))</f>
        <v/>
      </c>
      <c r="U2064" s="34" t="str">
        <f aca="false">IF($R2064="","",IFERROR(INDEX(DriverRank,MATCH($R2064,DriverList,0)),99))</f>
        <v/>
      </c>
      <c r="V2064" s="35" t="n">
        <f aca="false">IF($H2064="",0,IFERROR(INDEX(LevelBasic,MATCH($H2064,LevelList,0))+INDEX(LevelHousing,MATCH($H2064,LevelList,0))+INDEX(LevelTransport,MATCH($H2064,LevelList,0))+INDEX(LevelBasic,MATCH($H2064,LevelList,0))*INDEX(LevelBonus,MATCH($H2064,LevelList,0))+(INDEX(LevelBasic,MATCH($H2064,LevelList,0))+INDEX(LevelHousing,MATCH($H2064,LevelList,0)))*GosiSaudi,0))</f>
        <v>0</v>
      </c>
      <c r="W2064" s="35" t="n">
        <f aca="false">IFERROR(INDEX(LevelOneOff,MATCH($H2064,LevelList,0)),0)</f>
        <v>0</v>
      </c>
      <c r="X2064" s="35" t="str">
        <f aca="false">IF($G2064="","",$V2064*N($L2064))</f>
        <v/>
      </c>
      <c r="Y2064" s="35" t="str">
        <f aca="false">IF($G2064="","",$V2064*(N($M2064)*1+N($N2064)*0.75+N($O2064)*0.5+N($P2064)*0.25)+$W2064*N($L2064))</f>
        <v/>
      </c>
      <c r="Z2064" s="35" t="str">
        <f aca="false">IF($G2064="","",$U2064*1000000+ROW())</f>
        <v/>
      </c>
      <c r="AA2064" s="36" t="str">
        <f aca="false">IF($G2064="","",MID(IF($C2064="",", no division","")&amp;IF($E2064="",", no unit","")&amp;IF($H2064="",", no career level","")&amp;IF(N($L2064)&lt;=0,", no quarter split","")&amp;IF($R2064="",", no driver","")&amp;IF(AND($H2064&lt;&gt;"",COUNTIF(CareerLevels,$H2064)=0),", a career level that is not on the ladder","")&amp;IF(AND($R2064&lt;&gt;"",COUNTIF(DriverList,$R2064)=0),", a driver that is not on the list","")&amp;IF(ABS(N($L2064)-(N($M2064)+N($N2064)+N($O2064)+N($P2064)))&gt;0.001,", a total that does not match its quarters",""),3,300))</f>
        <v/>
      </c>
    </row>
    <row r="2065" customFormat="false" ht="15" hidden="false" customHeight="false" outlineLevel="0" collapsed="false">
      <c r="A2065" s="33" t="str">
        <f aca="false">IF($G2065="","","Technology Group")</f>
        <v/>
      </c>
      <c r="B2065" s="19"/>
      <c r="C2065" s="19"/>
      <c r="D2065" s="19"/>
      <c r="E2065" s="19"/>
      <c r="F2065" s="19"/>
      <c r="G2065" s="19"/>
      <c r="H2065" s="19"/>
      <c r="I2065" s="19"/>
      <c r="J2065" s="19"/>
      <c r="K2065" s="19"/>
      <c r="L2065" s="19"/>
      <c r="M2065" s="19"/>
      <c r="N2065" s="19"/>
      <c r="O2065" s="19"/>
      <c r="P2065" s="19"/>
      <c r="Q2065" s="19"/>
      <c r="R2065" s="19"/>
      <c r="S2065" s="19"/>
      <c r="T2065" s="34" t="str">
        <f aca="false">IF($R2065="","",IFERROR(INDEX(DriverCategory,MATCH($R2065,DriverList,0)),"BAU"))</f>
        <v/>
      </c>
      <c r="U2065" s="34" t="str">
        <f aca="false">IF($R2065="","",IFERROR(INDEX(DriverRank,MATCH($R2065,DriverList,0)),99))</f>
        <v/>
      </c>
      <c r="V2065" s="35" t="n">
        <f aca="false">IF($H2065="",0,IFERROR(INDEX(LevelBasic,MATCH($H2065,LevelList,0))+INDEX(LevelHousing,MATCH($H2065,LevelList,0))+INDEX(LevelTransport,MATCH($H2065,LevelList,0))+INDEX(LevelBasic,MATCH($H2065,LevelList,0))*INDEX(LevelBonus,MATCH($H2065,LevelList,0))+(INDEX(LevelBasic,MATCH($H2065,LevelList,0))+INDEX(LevelHousing,MATCH($H2065,LevelList,0)))*GosiSaudi,0))</f>
        <v>0</v>
      </c>
      <c r="W2065" s="35" t="n">
        <f aca="false">IFERROR(INDEX(LevelOneOff,MATCH($H2065,LevelList,0)),0)</f>
        <v>0</v>
      </c>
      <c r="X2065" s="35" t="str">
        <f aca="false">IF($G2065="","",$V2065*N($L2065))</f>
        <v/>
      </c>
      <c r="Y2065" s="35" t="str">
        <f aca="false">IF($G2065="","",$V2065*(N($M2065)*1+N($N2065)*0.75+N($O2065)*0.5+N($P2065)*0.25)+$W2065*N($L2065))</f>
        <v/>
      </c>
      <c r="Z2065" s="35" t="str">
        <f aca="false">IF($G2065="","",$U2065*1000000+ROW())</f>
        <v/>
      </c>
      <c r="AA2065" s="36" t="str">
        <f aca="false">IF($G2065="","",MID(IF($C2065="",", no division","")&amp;IF($E2065="",", no unit","")&amp;IF($H2065="",", no career level","")&amp;IF(N($L2065)&lt;=0,", no quarter split","")&amp;IF($R2065="",", no driver","")&amp;IF(AND($H2065&lt;&gt;"",COUNTIF(CareerLevels,$H2065)=0),", a career level that is not on the ladder","")&amp;IF(AND($R2065&lt;&gt;"",COUNTIF(DriverList,$R2065)=0),", a driver that is not on the list","")&amp;IF(ABS(N($L2065)-(N($M2065)+N($N2065)+N($O2065)+N($P2065)))&gt;0.001,", a total that does not match its quarters",""),3,300))</f>
        <v/>
      </c>
    </row>
    <row r="2066" customFormat="false" ht="15" hidden="false" customHeight="false" outlineLevel="0" collapsed="false">
      <c r="A2066" s="33" t="str">
        <f aca="false">IF($G2066="","","Technology Group")</f>
        <v/>
      </c>
      <c r="B2066" s="19"/>
      <c r="C2066" s="19"/>
      <c r="D2066" s="19"/>
      <c r="E2066" s="19"/>
      <c r="F2066" s="19"/>
      <c r="G2066" s="19"/>
      <c r="H2066" s="19"/>
      <c r="I2066" s="19"/>
      <c r="J2066" s="19"/>
      <c r="K2066" s="19"/>
      <c r="L2066" s="19"/>
      <c r="M2066" s="19"/>
      <c r="N2066" s="19"/>
      <c r="O2066" s="19"/>
      <c r="P2066" s="19"/>
      <c r="Q2066" s="19"/>
      <c r="R2066" s="19"/>
      <c r="S2066" s="19"/>
      <c r="T2066" s="34" t="str">
        <f aca="false">IF($R2066="","",IFERROR(INDEX(DriverCategory,MATCH($R2066,DriverList,0)),"BAU"))</f>
        <v/>
      </c>
      <c r="U2066" s="34" t="str">
        <f aca="false">IF($R2066="","",IFERROR(INDEX(DriverRank,MATCH($R2066,DriverList,0)),99))</f>
        <v/>
      </c>
      <c r="V2066" s="35" t="n">
        <f aca="false">IF($H2066="",0,IFERROR(INDEX(LevelBasic,MATCH($H2066,LevelList,0))+INDEX(LevelHousing,MATCH($H2066,LevelList,0))+INDEX(LevelTransport,MATCH($H2066,LevelList,0))+INDEX(LevelBasic,MATCH($H2066,LevelList,0))*INDEX(LevelBonus,MATCH($H2066,LevelList,0))+(INDEX(LevelBasic,MATCH($H2066,LevelList,0))+INDEX(LevelHousing,MATCH($H2066,LevelList,0)))*GosiSaudi,0))</f>
        <v>0</v>
      </c>
      <c r="W2066" s="35" t="n">
        <f aca="false">IFERROR(INDEX(LevelOneOff,MATCH($H2066,LevelList,0)),0)</f>
        <v>0</v>
      </c>
      <c r="X2066" s="35" t="str">
        <f aca="false">IF($G2066="","",$V2066*N($L2066))</f>
        <v/>
      </c>
      <c r="Y2066" s="35" t="str">
        <f aca="false">IF($G2066="","",$V2066*(N($M2066)*1+N($N2066)*0.75+N($O2066)*0.5+N($P2066)*0.25)+$W2066*N($L2066))</f>
        <v/>
      </c>
      <c r="Z2066" s="35" t="str">
        <f aca="false">IF($G2066="","",$U2066*1000000+ROW())</f>
        <v/>
      </c>
      <c r="AA2066" s="36" t="str">
        <f aca="false">IF($G2066="","",MID(IF($C2066="",", no division","")&amp;IF($E2066="",", no unit","")&amp;IF($H2066="",", no career level","")&amp;IF(N($L2066)&lt;=0,", no quarter split","")&amp;IF($R2066="",", no driver","")&amp;IF(AND($H2066&lt;&gt;"",COUNTIF(CareerLevels,$H2066)=0),", a career level that is not on the ladder","")&amp;IF(AND($R2066&lt;&gt;"",COUNTIF(DriverList,$R2066)=0),", a driver that is not on the list","")&amp;IF(ABS(N($L2066)-(N($M2066)+N($N2066)+N($O2066)+N($P2066)))&gt;0.001,", a total that does not match its quarters",""),3,300))</f>
        <v/>
      </c>
    </row>
    <row r="2067" customFormat="false" ht="15" hidden="false" customHeight="false" outlineLevel="0" collapsed="false">
      <c r="A2067" s="33" t="str">
        <f aca="false">IF($G2067="","","Technology Group")</f>
        <v/>
      </c>
      <c r="B2067" s="19"/>
      <c r="C2067" s="19"/>
      <c r="D2067" s="19"/>
      <c r="E2067" s="19"/>
      <c r="F2067" s="19"/>
      <c r="G2067" s="19"/>
      <c r="H2067" s="19"/>
      <c r="I2067" s="19"/>
      <c r="J2067" s="19"/>
      <c r="K2067" s="19"/>
      <c r="L2067" s="19"/>
      <c r="M2067" s="19"/>
      <c r="N2067" s="19"/>
      <c r="O2067" s="19"/>
      <c r="P2067" s="19"/>
      <c r="Q2067" s="19"/>
      <c r="R2067" s="19"/>
      <c r="S2067" s="19"/>
      <c r="T2067" s="34" t="str">
        <f aca="false">IF($R2067="","",IFERROR(INDEX(DriverCategory,MATCH($R2067,DriverList,0)),"BAU"))</f>
        <v/>
      </c>
      <c r="U2067" s="34" t="str">
        <f aca="false">IF($R2067="","",IFERROR(INDEX(DriverRank,MATCH($R2067,DriverList,0)),99))</f>
        <v/>
      </c>
      <c r="V2067" s="35" t="n">
        <f aca="false">IF($H2067="",0,IFERROR(INDEX(LevelBasic,MATCH($H2067,LevelList,0))+INDEX(LevelHousing,MATCH($H2067,LevelList,0))+INDEX(LevelTransport,MATCH($H2067,LevelList,0))+INDEX(LevelBasic,MATCH($H2067,LevelList,0))*INDEX(LevelBonus,MATCH($H2067,LevelList,0))+(INDEX(LevelBasic,MATCH($H2067,LevelList,0))+INDEX(LevelHousing,MATCH($H2067,LevelList,0)))*GosiSaudi,0))</f>
        <v>0</v>
      </c>
      <c r="W2067" s="35" t="n">
        <f aca="false">IFERROR(INDEX(LevelOneOff,MATCH($H2067,LevelList,0)),0)</f>
        <v>0</v>
      </c>
      <c r="X2067" s="35" t="str">
        <f aca="false">IF($G2067="","",$V2067*N($L2067))</f>
        <v/>
      </c>
      <c r="Y2067" s="35" t="str">
        <f aca="false">IF($G2067="","",$V2067*(N($M2067)*1+N($N2067)*0.75+N($O2067)*0.5+N($P2067)*0.25)+$W2067*N($L2067))</f>
        <v/>
      </c>
      <c r="Z2067" s="35" t="str">
        <f aca="false">IF($G2067="","",$U2067*1000000+ROW())</f>
        <v/>
      </c>
      <c r="AA2067" s="36" t="str">
        <f aca="false">IF($G2067="","",MID(IF($C2067="",", no division","")&amp;IF($E2067="",", no unit","")&amp;IF($H2067="",", no career level","")&amp;IF(N($L2067)&lt;=0,", no quarter split","")&amp;IF($R2067="",", no driver","")&amp;IF(AND($H2067&lt;&gt;"",COUNTIF(CareerLevels,$H2067)=0),", a career level that is not on the ladder","")&amp;IF(AND($R2067&lt;&gt;"",COUNTIF(DriverList,$R2067)=0),", a driver that is not on the list","")&amp;IF(ABS(N($L2067)-(N($M2067)+N($N2067)+N($O2067)+N($P2067)))&gt;0.001,", a total that does not match its quarters",""),3,300))</f>
        <v/>
      </c>
    </row>
    <row r="2068" customFormat="false" ht="15" hidden="false" customHeight="false" outlineLevel="0" collapsed="false">
      <c r="A2068" s="33" t="str">
        <f aca="false">IF($G2068="","","Technology Group")</f>
        <v/>
      </c>
      <c r="B2068" s="19"/>
      <c r="C2068" s="19"/>
      <c r="D2068" s="19"/>
      <c r="E2068" s="19"/>
      <c r="F2068" s="19"/>
      <c r="G2068" s="19"/>
      <c r="H2068" s="19"/>
      <c r="I2068" s="19"/>
      <c r="J2068" s="19"/>
      <c r="K2068" s="19"/>
      <c r="L2068" s="19"/>
      <c r="M2068" s="19"/>
      <c r="N2068" s="19"/>
      <c r="O2068" s="19"/>
      <c r="P2068" s="19"/>
      <c r="Q2068" s="19"/>
      <c r="R2068" s="19"/>
      <c r="S2068" s="19"/>
      <c r="T2068" s="34" t="str">
        <f aca="false">IF($R2068="","",IFERROR(INDEX(DriverCategory,MATCH($R2068,DriverList,0)),"BAU"))</f>
        <v/>
      </c>
      <c r="U2068" s="34" t="str">
        <f aca="false">IF($R2068="","",IFERROR(INDEX(DriverRank,MATCH($R2068,DriverList,0)),99))</f>
        <v/>
      </c>
      <c r="V2068" s="35" t="n">
        <f aca="false">IF($H2068="",0,IFERROR(INDEX(LevelBasic,MATCH($H2068,LevelList,0))+INDEX(LevelHousing,MATCH($H2068,LevelList,0))+INDEX(LevelTransport,MATCH($H2068,LevelList,0))+INDEX(LevelBasic,MATCH($H2068,LevelList,0))*INDEX(LevelBonus,MATCH($H2068,LevelList,0))+(INDEX(LevelBasic,MATCH($H2068,LevelList,0))+INDEX(LevelHousing,MATCH($H2068,LevelList,0)))*GosiSaudi,0))</f>
        <v>0</v>
      </c>
      <c r="W2068" s="35" t="n">
        <f aca="false">IFERROR(INDEX(LevelOneOff,MATCH($H2068,LevelList,0)),0)</f>
        <v>0</v>
      </c>
      <c r="X2068" s="35" t="str">
        <f aca="false">IF($G2068="","",$V2068*N($L2068))</f>
        <v/>
      </c>
      <c r="Y2068" s="35" t="str">
        <f aca="false">IF($G2068="","",$V2068*(N($M2068)*1+N($N2068)*0.75+N($O2068)*0.5+N($P2068)*0.25)+$W2068*N($L2068))</f>
        <v/>
      </c>
      <c r="Z2068" s="35" t="str">
        <f aca="false">IF($G2068="","",$U2068*1000000+ROW())</f>
        <v/>
      </c>
      <c r="AA2068" s="36" t="str">
        <f aca="false">IF($G2068="","",MID(IF($C2068="",", no division","")&amp;IF($E2068="",", no unit","")&amp;IF($H2068="",", no career level","")&amp;IF(N($L2068)&lt;=0,", no quarter split","")&amp;IF($R2068="",", no driver","")&amp;IF(AND($H2068&lt;&gt;"",COUNTIF(CareerLevels,$H2068)=0),", a career level that is not on the ladder","")&amp;IF(AND($R2068&lt;&gt;"",COUNTIF(DriverList,$R2068)=0),", a driver that is not on the list","")&amp;IF(ABS(N($L2068)-(N($M2068)+N($N2068)+N($O2068)+N($P2068)))&gt;0.001,", a total that does not match its quarters",""),3,300))</f>
        <v/>
      </c>
    </row>
    <row r="2069" customFormat="false" ht="15" hidden="false" customHeight="false" outlineLevel="0" collapsed="false">
      <c r="A2069" s="33" t="str">
        <f aca="false">IF($G2069="","","Technology Group")</f>
        <v/>
      </c>
      <c r="B2069" s="19"/>
      <c r="C2069" s="19"/>
      <c r="D2069" s="19"/>
      <c r="E2069" s="19"/>
      <c r="F2069" s="19"/>
      <c r="G2069" s="19"/>
      <c r="H2069" s="19"/>
      <c r="I2069" s="19"/>
      <c r="J2069" s="19"/>
      <c r="K2069" s="19"/>
      <c r="L2069" s="19"/>
      <c r="M2069" s="19"/>
      <c r="N2069" s="19"/>
      <c r="O2069" s="19"/>
      <c r="P2069" s="19"/>
      <c r="Q2069" s="19"/>
      <c r="R2069" s="19"/>
      <c r="S2069" s="19"/>
      <c r="T2069" s="34" t="str">
        <f aca="false">IF($R2069="","",IFERROR(INDEX(DriverCategory,MATCH($R2069,DriverList,0)),"BAU"))</f>
        <v/>
      </c>
      <c r="U2069" s="34" t="str">
        <f aca="false">IF($R2069="","",IFERROR(INDEX(DriverRank,MATCH($R2069,DriverList,0)),99))</f>
        <v/>
      </c>
      <c r="V2069" s="35" t="n">
        <f aca="false">IF($H2069="",0,IFERROR(INDEX(LevelBasic,MATCH($H2069,LevelList,0))+INDEX(LevelHousing,MATCH($H2069,LevelList,0))+INDEX(LevelTransport,MATCH($H2069,LevelList,0))+INDEX(LevelBasic,MATCH($H2069,LevelList,0))*INDEX(LevelBonus,MATCH($H2069,LevelList,0))+(INDEX(LevelBasic,MATCH($H2069,LevelList,0))+INDEX(LevelHousing,MATCH($H2069,LevelList,0)))*GosiSaudi,0))</f>
        <v>0</v>
      </c>
      <c r="W2069" s="35" t="n">
        <f aca="false">IFERROR(INDEX(LevelOneOff,MATCH($H2069,LevelList,0)),0)</f>
        <v>0</v>
      </c>
      <c r="X2069" s="35" t="str">
        <f aca="false">IF($G2069="","",$V2069*N($L2069))</f>
        <v/>
      </c>
      <c r="Y2069" s="35" t="str">
        <f aca="false">IF($G2069="","",$V2069*(N($M2069)*1+N($N2069)*0.75+N($O2069)*0.5+N($P2069)*0.25)+$W2069*N($L2069))</f>
        <v/>
      </c>
      <c r="Z2069" s="35" t="str">
        <f aca="false">IF($G2069="","",$U2069*1000000+ROW())</f>
        <v/>
      </c>
      <c r="AA2069" s="36" t="str">
        <f aca="false">IF($G2069="","",MID(IF($C2069="",", no division","")&amp;IF($E2069="",", no unit","")&amp;IF($H2069="",", no career level","")&amp;IF(N($L2069)&lt;=0,", no quarter split","")&amp;IF($R2069="",", no driver","")&amp;IF(AND($H2069&lt;&gt;"",COUNTIF(CareerLevels,$H2069)=0),", a career level that is not on the ladder","")&amp;IF(AND($R2069&lt;&gt;"",COUNTIF(DriverList,$R2069)=0),", a driver that is not on the list","")&amp;IF(ABS(N($L2069)-(N($M2069)+N($N2069)+N($O2069)+N($P2069)))&gt;0.001,", a total that does not match its quarters",""),3,300))</f>
        <v/>
      </c>
    </row>
    <row r="2070" customFormat="false" ht="15" hidden="false" customHeight="false" outlineLevel="0" collapsed="false">
      <c r="A2070" s="33" t="str">
        <f aca="false">IF($G2070="","","Technology Group")</f>
        <v/>
      </c>
      <c r="B2070" s="19"/>
      <c r="C2070" s="19"/>
      <c r="D2070" s="19"/>
      <c r="E2070" s="19"/>
      <c r="F2070" s="19"/>
      <c r="G2070" s="19"/>
      <c r="H2070" s="19"/>
      <c r="I2070" s="19"/>
      <c r="J2070" s="19"/>
      <c r="K2070" s="19"/>
      <c r="L2070" s="19"/>
      <c r="M2070" s="19"/>
      <c r="N2070" s="19"/>
      <c r="O2070" s="19"/>
      <c r="P2070" s="19"/>
      <c r="Q2070" s="19"/>
      <c r="R2070" s="19"/>
      <c r="S2070" s="19"/>
      <c r="T2070" s="34" t="str">
        <f aca="false">IF($R2070="","",IFERROR(INDEX(DriverCategory,MATCH($R2070,DriverList,0)),"BAU"))</f>
        <v/>
      </c>
      <c r="U2070" s="34" t="str">
        <f aca="false">IF($R2070="","",IFERROR(INDEX(DriverRank,MATCH($R2070,DriverList,0)),99))</f>
        <v/>
      </c>
      <c r="V2070" s="35" t="n">
        <f aca="false">IF($H2070="",0,IFERROR(INDEX(LevelBasic,MATCH($H2070,LevelList,0))+INDEX(LevelHousing,MATCH($H2070,LevelList,0))+INDEX(LevelTransport,MATCH($H2070,LevelList,0))+INDEX(LevelBasic,MATCH($H2070,LevelList,0))*INDEX(LevelBonus,MATCH($H2070,LevelList,0))+(INDEX(LevelBasic,MATCH($H2070,LevelList,0))+INDEX(LevelHousing,MATCH($H2070,LevelList,0)))*GosiSaudi,0))</f>
        <v>0</v>
      </c>
      <c r="W2070" s="35" t="n">
        <f aca="false">IFERROR(INDEX(LevelOneOff,MATCH($H2070,LevelList,0)),0)</f>
        <v>0</v>
      </c>
      <c r="X2070" s="35" t="str">
        <f aca="false">IF($G2070="","",$V2070*N($L2070))</f>
        <v/>
      </c>
      <c r="Y2070" s="35" t="str">
        <f aca="false">IF($G2070="","",$V2070*(N($M2070)*1+N($N2070)*0.75+N($O2070)*0.5+N($P2070)*0.25)+$W2070*N($L2070))</f>
        <v/>
      </c>
      <c r="Z2070" s="35" t="str">
        <f aca="false">IF($G2070="","",$U2070*1000000+ROW())</f>
        <v/>
      </c>
      <c r="AA2070" s="36" t="str">
        <f aca="false">IF($G2070="","",MID(IF($C2070="",", no division","")&amp;IF($E2070="",", no unit","")&amp;IF($H2070="",", no career level","")&amp;IF(N($L2070)&lt;=0,", no quarter split","")&amp;IF($R2070="",", no driver","")&amp;IF(AND($H2070&lt;&gt;"",COUNTIF(CareerLevels,$H2070)=0),", a career level that is not on the ladder","")&amp;IF(AND($R2070&lt;&gt;"",COUNTIF(DriverList,$R2070)=0),", a driver that is not on the list","")&amp;IF(ABS(N($L2070)-(N($M2070)+N($N2070)+N($O2070)+N($P2070)))&gt;0.001,", a total that does not match its quarters",""),3,300))</f>
        <v/>
      </c>
    </row>
    <row r="2071" customFormat="false" ht="15" hidden="false" customHeight="false" outlineLevel="0" collapsed="false">
      <c r="A2071" s="33" t="str">
        <f aca="false">IF($G2071="","","Technology Group")</f>
        <v/>
      </c>
      <c r="B2071" s="19"/>
      <c r="C2071" s="19"/>
      <c r="D2071" s="19"/>
      <c r="E2071" s="19"/>
      <c r="F2071" s="19"/>
      <c r="G2071" s="19"/>
      <c r="H2071" s="19"/>
      <c r="I2071" s="19"/>
      <c r="J2071" s="19"/>
      <c r="K2071" s="19"/>
      <c r="L2071" s="19"/>
      <c r="M2071" s="19"/>
      <c r="N2071" s="19"/>
      <c r="O2071" s="19"/>
      <c r="P2071" s="19"/>
      <c r="Q2071" s="19"/>
      <c r="R2071" s="19"/>
      <c r="S2071" s="19"/>
      <c r="T2071" s="34" t="str">
        <f aca="false">IF($R2071="","",IFERROR(INDEX(DriverCategory,MATCH($R2071,DriverList,0)),"BAU"))</f>
        <v/>
      </c>
      <c r="U2071" s="34" t="str">
        <f aca="false">IF($R2071="","",IFERROR(INDEX(DriverRank,MATCH($R2071,DriverList,0)),99))</f>
        <v/>
      </c>
      <c r="V2071" s="35" t="n">
        <f aca="false">IF($H2071="",0,IFERROR(INDEX(LevelBasic,MATCH($H2071,LevelList,0))+INDEX(LevelHousing,MATCH($H2071,LevelList,0))+INDEX(LevelTransport,MATCH($H2071,LevelList,0))+INDEX(LevelBasic,MATCH($H2071,LevelList,0))*INDEX(LevelBonus,MATCH($H2071,LevelList,0))+(INDEX(LevelBasic,MATCH($H2071,LevelList,0))+INDEX(LevelHousing,MATCH($H2071,LevelList,0)))*GosiSaudi,0))</f>
        <v>0</v>
      </c>
      <c r="W2071" s="35" t="n">
        <f aca="false">IFERROR(INDEX(LevelOneOff,MATCH($H2071,LevelList,0)),0)</f>
        <v>0</v>
      </c>
      <c r="X2071" s="35" t="str">
        <f aca="false">IF($G2071="","",$V2071*N($L2071))</f>
        <v/>
      </c>
      <c r="Y2071" s="35" t="str">
        <f aca="false">IF($G2071="","",$V2071*(N($M2071)*1+N($N2071)*0.75+N($O2071)*0.5+N($P2071)*0.25)+$W2071*N($L2071))</f>
        <v/>
      </c>
      <c r="Z2071" s="35" t="str">
        <f aca="false">IF($G2071="","",$U2071*1000000+ROW())</f>
        <v/>
      </c>
      <c r="AA2071" s="36" t="str">
        <f aca="false">IF($G2071="","",MID(IF($C2071="",", no division","")&amp;IF($E2071="",", no unit","")&amp;IF($H2071="",", no career level","")&amp;IF(N($L2071)&lt;=0,", no quarter split","")&amp;IF($R2071="",", no driver","")&amp;IF(AND($H2071&lt;&gt;"",COUNTIF(CareerLevels,$H2071)=0),", a career level that is not on the ladder","")&amp;IF(AND($R2071&lt;&gt;"",COUNTIF(DriverList,$R2071)=0),", a driver that is not on the list","")&amp;IF(ABS(N($L2071)-(N($M2071)+N($N2071)+N($O2071)+N($P2071)))&gt;0.001,", a total that does not match its quarters",""),3,300))</f>
        <v/>
      </c>
    </row>
    <row r="2072" customFormat="false" ht="15" hidden="false" customHeight="false" outlineLevel="0" collapsed="false">
      <c r="A2072" s="33" t="str">
        <f aca="false">IF($G2072="","","Technology Group")</f>
        <v/>
      </c>
      <c r="B2072" s="19"/>
      <c r="C2072" s="19"/>
      <c r="D2072" s="19"/>
      <c r="E2072" s="19"/>
      <c r="F2072" s="19"/>
      <c r="G2072" s="19"/>
      <c r="H2072" s="19"/>
      <c r="I2072" s="19"/>
      <c r="J2072" s="19"/>
      <c r="K2072" s="19"/>
      <c r="L2072" s="19"/>
      <c r="M2072" s="19"/>
      <c r="N2072" s="19"/>
      <c r="O2072" s="19"/>
      <c r="P2072" s="19"/>
      <c r="Q2072" s="19"/>
      <c r="R2072" s="19"/>
      <c r="S2072" s="19"/>
      <c r="T2072" s="34" t="str">
        <f aca="false">IF($R2072="","",IFERROR(INDEX(DriverCategory,MATCH($R2072,DriverList,0)),"BAU"))</f>
        <v/>
      </c>
      <c r="U2072" s="34" t="str">
        <f aca="false">IF($R2072="","",IFERROR(INDEX(DriverRank,MATCH($R2072,DriverList,0)),99))</f>
        <v/>
      </c>
      <c r="V2072" s="35" t="n">
        <f aca="false">IF($H2072="",0,IFERROR(INDEX(LevelBasic,MATCH($H2072,LevelList,0))+INDEX(LevelHousing,MATCH($H2072,LevelList,0))+INDEX(LevelTransport,MATCH($H2072,LevelList,0))+INDEX(LevelBasic,MATCH($H2072,LevelList,0))*INDEX(LevelBonus,MATCH($H2072,LevelList,0))+(INDEX(LevelBasic,MATCH($H2072,LevelList,0))+INDEX(LevelHousing,MATCH($H2072,LevelList,0)))*GosiSaudi,0))</f>
        <v>0</v>
      </c>
      <c r="W2072" s="35" t="n">
        <f aca="false">IFERROR(INDEX(LevelOneOff,MATCH($H2072,LevelList,0)),0)</f>
        <v>0</v>
      </c>
      <c r="X2072" s="35" t="str">
        <f aca="false">IF($G2072="","",$V2072*N($L2072))</f>
        <v/>
      </c>
      <c r="Y2072" s="35" t="str">
        <f aca="false">IF($G2072="","",$V2072*(N($M2072)*1+N($N2072)*0.75+N($O2072)*0.5+N($P2072)*0.25)+$W2072*N($L2072))</f>
        <v/>
      </c>
      <c r="Z2072" s="35" t="str">
        <f aca="false">IF($G2072="","",$U2072*1000000+ROW())</f>
        <v/>
      </c>
      <c r="AA2072" s="36" t="str">
        <f aca="false">IF($G2072="","",MID(IF($C2072="",", no division","")&amp;IF($E2072="",", no unit","")&amp;IF($H2072="",", no career level","")&amp;IF(N($L2072)&lt;=0,", no quarter split","")&amp;IF($R2072="",", no driver","")&amp;IF(AND($H2072&lt;&gt;"",COUNTIF(CareerLevels,$H2072)=0),", a career level that is not on the ladder","")&amp;IF(AND($R2072&lt;&gt;"",COUNTIF(DriverList,$R2072)=0),", a driver that is not on the list","")&amp;IF(ABS(N($L2072)-(N($M2072)+N($N2072)+N($O2072)+N($P2072)))&gt;0.001,", a total that does not match its quarters",""),3,300))</f>
        <v/>
      </c>
    </row>
    <row r="2073" customFormat="false" ht="15" hidden="false" customHeight="false" outlineLevel="0" collapsed="false">
      <c r="A2073" s="33" t="str">
        <f aca="false">IF($G2073="","","Technology Group")</f>
        <v/>
      </c>
      <c r="B2073" s="19"/>
      <c r="C2073" s="19"/>
      <c r="D2073" s="19"/>
      <c r="E2073" s="19"/>
      <c r="F2073" s="19"/>
      <c r="G2073" s="19"/>
      <c r="H2073" s="19"/>
      <c r="I2073" s="19"/>
      <c r="J2073" s="19"/>
      <c r="K2073" s="19"/>
      <c r="L2073" s="19"/>
      <c r="M2073" s="19"/>
      <c r="N2073" s="19"/>
      <c r="O2073" s="19"/>
      <c r="P2073" s="19"/>
      <c r="Q2073" s="19"/>
      <c r="R2073" s="19"/>
      <c r="S2073" s="19"/>
      <c r="T2073" s="34" t="str">
        <f aca="false">IF($R2073="","",IFERROR(INDEX(DriverCategory,MATCH($R2073,DriverList,0)),"BAU"))</f>
        <v/>
      </c>
      <c r="U2073" s="34" t="str">
        <f aca="false">IF($R2073="","",IFERROR(INDEX(DriverRank,MATCH($R2073,DriverList,0)),99))</f>
        <v/>
      </c>
      <c r="V2073" s="35" t="n">
        <f aca="false">IF($H2073="",0,IFERROR(INDEX(LevelBasic,MATCH($H2073,LevelList,0))+INDEX(LevelHousing,MATCH($H2073,LevelList,0))+INDEX(LevelTransport,MATCH($H2073,LevelList,0))+INDEX(LevelBasic,MATCH($H2073,LevelList,0))*INDEX(LevelBonus,MATCH($H2073,LevelList,0))+(INDEX(LevelBasic,MATCH($H2073,LevelList,0))+INDEX(LevelHousing,MATCH($H2073,LevelList,0)))*GosiSaudi,0))</f>
        <v>0</v>
      </c>
      <c r="W2073" s="35" t="n">
        <f aca="false">IFERROR(INDEX(LevelOneOff,MATCH($H2073,LevelList,0)),0)</f>
        <v>0</v>
      </c>
      <c r="X2073" s="35" t="str">
        <f aca="false">IF($G2073="","",$V2073*N($L2073))</f>
        <v/>
      </c>
      <c r="Y2073" s="35" t="str">
        <f aca="false">IF($G2073="","",$V2073*(N($M2073)*1+N($N2073)*0.75+N($O2073)*0.5+N($P2073)*0.25)+$W2073*N($L2073))</f>
        <v/>
      </c>
      <c r="Z2073" s="35" t="str">
        <f aca="false">IF($G2073="","",$U2073*1000000+ROW())</f>
        <v/>
      </c>
      <c r="AA2073" s="36" t="str">
        <f aca="false">IF($G2073="","",MID(IF($C2073="",", no division","")&amp;IF($E2073="",", no unit","")&amp;IF($H2073="",", no career level","")&amp;IF(N($L2073)&lt;=0,", no quarter split","")&amp;IF($R2073="",", no driver","")&amp;IF(AND($H2073&lt;&gt;"",COUNTIF(CareerLevels,$H2073)=0),", a career level that is not on the ladder","")&amp;IF(AND($R2073&lt;&gt;"",COUNTIF(DriverList,$R2073)=0),", a driver that is not on the list","")&amp;IF(ABS(N($L2073)-(N($M2073)+N($N2073)+N($O2073)+N($P2073)))&gt;0.001,", a total that does not match its quarters",""),3,300))</f>
        <v/>
      </c>
    </row>
    <row r="2074" customFormat="false" ht="15" hidden="false" customHeight="false" outlineLevel="0" collapsed="false">
      <c r="A2074" s="33" t="str">
        <f aca="false">IF($G2074="","","Technology Group")</f>
        <v/>
      </c>
      <c r="B2074" s="19"/>
      <c r="C2074" s="19"/>
      <c r="D2074" s="19"/>
      <c r="E2074" s="19"/>
      <c r="F2074" s="19"/>
      <c r="G2074" s="19"/>
      <c r="H2074" s="19"/>
      <c r="I2074" s="19"/>
      <c r="J2074" s="19"/>
      <c r="K2074" s="19"/>
      <c r="L2074" s="19"/>
      <c r="M2074" s="19"/>
      <c r="N2074" s="19"/>
      <c r="O2074" s="19"/>
      <c r="P2074" s="19"/>
      <c r="Q2074" s="19"/>
      <c r="R2074" s="19"/>
      <c r="S2074" s="19"/>
      <c r="T2074" s="34" t="str">
        <f aca="false">IF($R2074="","",IFERROR(INDEX(DriverCategory,MATCH($R2074,DriverList,0)),"BAU"))</f>
        <v/>
      </c>
      <c r="U2074" s="34" t="str">
        <f aca="false">IF($R2074="","",IFERROR(INDEX(DriverRank,MATCH($R2074,DriverList,0)),99))</f>
        <v/>
      </c>
      <c r="V2074" s="35" t="n">
        <f aca="false">IF($H2074="",0,IFERROR(INDEX(LevelBasic,MATCH($H2074,LevelList,0))+INDEX(LevelHousing,MATCH($H2074,LevelList,0))+INDEX(LevelTransport,MATCH($H2074,LevelList,0))+INDEX(LevelBasic,MATCH($H2074,LevelList,0))*INDEX(LevelBonus,MATCH($H2074,LevelList,0))+(INDEX(LevelBasic,MATCH($H2074,LevelList,0))+INDEX(LevelHousing,MATCH($H2074,LevelList,0)))*GosiSaudi,0))</f>
        <v>0</v>
      </c>
      <c r="W2074" s="35" t="n">
        <f aca="false">IFERROR(INDEX(LevelOneOff,MATCH($H2074,LevelList,0)),0)</f>
        <v>0</v>
      </c>
      <c r="X2074" s="35" t="str">
        <f aca="false">IF($G2074="","",$V2074*N($L2074))</f>
        <v/>
      </c>
      <c r="Y2074" s="35" t="str">
        <f aca="false">IF($G2074="","",$V2074*(N($M2074)*1+N($N2074)*0.75+N($O2074)*0.5+N($P2074)*0.25)+$W2074*N($L2074))</f>
        <v/>
      </c>
      <c r="Z2074" s="35" t="str">
        <f aca="false">IF($G2074="","",$U2074*1000000+ROW())</f>
        <v/>
      </c>
      <c r="AA2074" s="36" t="str">
        <f aca="false">IF($G2074="","",MID(IF($C2074="",", no division","")&amp;IF($E2074="",", no unit","")&amp;IF($H2074="",", no career level","")&amp;IF(N($L2074)&lt;=0,", no quarter split","")&amp;IF($R2074="",", no driver","")&amp;IF(AND($H2074&lt;&gt;"",COUNTIF(CareerLevels,$H2074)=0),", a career level that is not on the ladder","")&amp;IF(AND($R2074&lt;&gt;"",COUNTIF(DriverList,$R2074)=0),", a driver that is not on the list","")&amp;IF(ABS(N($L2074)-(N($M2074)+N($N2074)+N($O2074)+N($P2074)))&gt;0.001,", a total that does not match its quarters",""),3,300))</f>
        <v/>
      </c>
    </row>
    <row r="2075" customFormat="false" ht="15" hidden="false" customHeight="false" outlineLevel="0" collapsed="false">
      <c r="A2075" s="33" t="str">
        <f aca="false">IF($G2075="","","Technology Group")</f>
        <v/>
      </c>
      <c r="B2075" s="19"/>
      <c r="C2075" s="19"/>
      <c r="D2075" s="19"/>
      <c r="E2075" s="19"/>
      <c r="F2075" s="19"/>
      <c r="G2075" s="19"/>
      <c r="H2075" s="19"/>
      <c r="I2075" s="19"/>
      <c r="J2075" s="19"/>
      <c r="K2075" s="19"/>
      <c r="L2075" s="19"/>
      <c r="M2075" s="19"/>
      <c r="N2075" s="19"/>
      <c r="O2075" s="19"/>
      <c r="P2075" s="19"/>
      <c r="Q2075" s="19"/>
      <c r="R2075" s="19"/>
      <c r="S2075" s="19"/>
      <c r="T2075" s="34" t="str">
        <f aca="false">IF($R2075="","",IFERROR(INDEX(DriverCategory,MATCH($R2075,DriverList,0)),"BAU"))</f>
        <v/>
      </c>
      <c r="U2075" s="34" t="str">
        <f aca="false">IF($R2075="","",IFERROR(INDEX(DriverRank,MATCH($R2075,DriverList,0)),99))</f>
        <v/>
      </c>
      <c r="V2075" s="35" t="n">
        <f aca="false">IF($H2075="",0,IFERROR(INDEX(LevelBasic,MATCH($H2075,LevelList,0))+INDEX(LevelHousing,MATCH($H2075,LevelList,0))+INDEX(LevelTransport,MATCH($H2075,LevelList,0))+INDEX(LevelBasic,MATCH($H2075,LevelList,0))*INDEX(LevelBonus,MATCH($H2075,LevelList,0))+(INDEX(LevelBasic,MATCH($H2075,LevelList,0))+INDEX(LevelHousing,MATCH($H2075,LevelList,0)))*GosiSaudi,0))</f>
        <v>0</v>
      </c>
      <c r="W2075" s="35" t="n">
        <f aca="false">IFERROR(INDEX(LevelOneOff,MATCH($H2075,LevelList,0)),0)</f>
        <v>0</v>
      </c>
      <c r="X2075" s="35" t="str">
        <f aca="false">IF($G2075="","",$V2075*N($L2075))</f>
        <v/>
      </c>
      <c r="Y2075" s="35" t="str">
        <f aca="false">IF($G2075="","",$V2075*(N($M2075)*1+N($N2075)*0.75+N($O2075)*0.5+N($P2075)*0.25)+$W2075*N($L2075))</f>
        <v/>
      </c>
      <c r="Z2075" s="35" t="str">
        <f aca="false">IF($G2075="","",$U2075*1000000+ROW())</f>
        <v/>
      </c>
      <c r="AA2075" s="36" t="str">
        <f aca="false">IF($G2075="","",MID(IF($C2075="",", no division","")&amp;IF($E2075="",", no unit","")&amp;IF($H2075="",", no career level","")&amp;IF(N($L2075)&lt;=0,", no quarter split","")&amp;IF($R2075="",", no driver","")&amp;IF(AND($H2075&lt;&gt;"",COUNTIF(CareerLevels,$H2075)=0),", a career level that is not on the ladder","")&amp;IF(AND($R2075&lt;&gt;"",COUNTIF(DriverList,$R2075)=0),", a driver that is not on the list","")&amp;IF(ABS(N($L2075)-(N($M2075)+N($N2075)+N($O2075)+N($P2075)))&gt;0.001,", a total that does not match its quarters",""),3,300))</f>
        <v/>
      </c>
    </row>
    <row r="2076" customFormat="false" ht="15" hidden="false" customHeight="false" outlineLevel="0" collapsed="false">
      <c r="A2076" s="33" t="str">
        <f aca="false">IF($G2076="","","Technology Group")</f>
        <v/>
      </c>
      <c r="B2076" s="19"/>
      <c r="C2076" s="19"/>
      <c r="D2076" s="19"/>
      <c r="E2076" s="19"/>
      <c r="F2076" s="19"/>
      <c r="G2076" s="19"/>
      <c r="H2076" s="19"/>
      <c r="I2076" s="19"/>
      <c r="J2076" s="19"/>
      <c r="K2076" s="19"/>
      <c r="L2076" s="19"/>
      <c r="M2076" s="19"/>
      <c r="N2076" s="19"/>
      <c r="O2076" s="19"/>
      <c r="P2076" s="19"/>
      <c r="Q2076" s="19"/>
      <c r="R2076" s="19"/>
      <c r="S2076" s="19"/>
      <c r="T2076" s="34" t="str">
        <f aca="false">IF($R2076="","",IFERROR(INDEX(DriverCategory,MATCH($R2076,DriverList,0)),"BAU"))</f>
        <v/>
      </c>
      <c r="U2076" s="34" t="str">
        <f aca="false">IF($R2076="","",IFERROR(INDEX(DriverRank,MATCH($R2076,DriverList,0)),99))</f>
        <v/>
      </c>
      <c r="V2076" s="35" t="n">
        <f aca="false">IF($H2076="",0,IFERROR(INDEX(LevelBasic,MATCH($H2076,LevelList,0))+INDEX(LevelHousing,MATCH($H2076,LevelList,0))+INDEX(LevelTransport,MATCH($H2076,LevelList,0))+INDEX(LevelBasic,MATCH($H2076,LevelList,0))*INDEX(LevelBonus,MATCH($H2076,LevelList,0))+(INDEX(LevelBasic,MATCH($H2076,LevelList,0))+INDEX(LevelHousing,MATCH($H2076,LevelList,0)))*GosiSaudi,0))</f>
        <v>0</v>
      </c>
      <c r="W2076" s="35" t="n">
        <f aca="false">IFERROR(INDEX(LevelOneOff,MATCH($H2076,LevelList,0)),0)</f>
        <v>0</v>
      </c>
      <c r="X2076" s="35" t="str">
        <f aca="false">IF($G2076="","",$V2076*N($L2076))</f>
        <v/>
      </c>
      <c r="Y2076" s="35" t="str">
        <f aca="false">IF($G2076="","",$V2076*(N($M2076)*1+N($N2076)*0.75+N($O2076)*0.5+N($P2076)*0.25)+$W2076*N($L2076))</f>
        <v/>
      </c>
      <c r="Z2076" s="35" t="str">
        <f aca="false">IF($G2076="","",$U2076*1000000+ROW())</f>
        <v/>
      </c>
      <c r="AA2076" s="36" t="str">
        <f aca="false">IF($G2076="","",MID(IF($C2076="",", no division","")&amp;IF($E2076="",", no unit","")&amp;IF($H2076="",", no career level","")&amp;IF(N($L2076)&lt;=0,", no quarter split","")&amp;IF($R2076="",", no driver","")&amp;IF(AND($H2076&lt;&gt;"",COUNTIF(CareerLevels,$H2076)=0),", a career level that is not on the ladder","")&amp;IF(AND($R2076&lt;&gt;"",COUNTIF(DriverList,$R2076)=0),", a driver that is not on the list","")&amp;IF(ABS(N($L2076)-(N($M2076)+N($N2076)+N($O2076)+N($P2076)))&gt;0.001,", a total that does not match its quarters",""),3,300))</f>
        <v/>
      </c>
    </row>
    <row r="2077" customFormat="false" ht="15" hidden="false" customHeight="false" outlineLevel="0" collapsed="false">
      <c r="A2077" s="33" t="str">
        <f aca="false">IF($G2077="","","Technology Group")</f>
        <v/>
      </c>
      <c r="B2077" s="19"/>
      <c r="C2077" s="19"/>
      <c r="D2077" s="19"/>
      <c r="E2077" s="19"/>
      <c r="F2077" s="19"/>
      <c r="G2077" s="19"/>
      <c r="H2077" s="19"/>
      <c r="I2077" s="19"/>
      <c r="J2077" s="19"/>
      <c r="K2077" s="19"/>
      <c r="L2077" s="19"/>
      <c r="M2077" s="19"/>
      <c r="N2077" s="19"/>
      <c r="O2077" s="19"/>
      <c r="P2077" s="19"/>
      <c r="Q2077" s="19"/>
      <c r="R2077" s="19"/>
      <c r="S2077" s="19"/>
      <c r="T2077" s="34" t="str">
        <f aca="false">IF($R2077="","",IFERROR(INDEX(DriverCategory,MATCH($R2077,DriverList,0)),"BAU"))</f>
        <v/>
      </c>
      <c r="U2077" s="34" t="str">
        <f aca="false">IF($R2077="","",IFERROR(INDEX(DriverRank,MATCH($R2077,DriverList,0)),99))</f>
        <v/>
      </c>
      <c r="V2077" s="35" t="n">
        <f aca="false">IF($H2077="",0,IFERROR(INDEX(LevelBasic,MATCH($H2077,LevelList,0))+INDEX(LevelHousing,MATCH($H2077,LevelList,0))+INDEX(LevelTransport,MATCH($H2077,LevelList,0))+INDEX(LevelBasic,MATCH($H2077,LevelList,0))*INDEX(LevelBonus,MATCH($H2077,LevelList,0))+(INDEX(LevelBasic,MATCH($H2077,LevelList,0))+INDEX(LevelHousing,MATCH($H2077,LevelList,0)))*GosiSaudi,0))</f>
        <v>0</v>
      </c>
      <c r="W2077" s="35" t="n">
        <f aca="false">IFERROR(INDEX(LevelOneOff,MATCH($H2077,LevelList,0)),0)</f>
        <v>0</v>
      </c>
      <c r="X2077" s="35" t="str">
        <f aca="false">IF($G2077="","",$V2077*N($L2077))</f>
        <v/>
      </c>
      <c r="Y2077" s="35" t="str">
        <f aca="false">IF($G2077="","",$V2077*(N($M2077)*1+N($N2077)*0.75+N($O2077)*0.5+N($P2077)*0.25)+$W2077*N($L2077))</f>
        <v/>
      </c>
      <c r="Z2077" s="35" t="str">
        <f aca="false">IF($G2077="","",$U2077*1000000+ROW())</f>
        <v/>
      </c>
      <c r="AA2077" s="36" t="str">
        <f aca="false">IF($G2077="","",MID(IF($C2077="",", no division","")&amp;IF($E2077="",", no unit","")&amp;IF($H2077="",", no career level","")&amp;IF(N($L2077)&lt;=0,", no quarter split","")&amp;IF($R2077="",", no driver","")&amp;IF(AND($H2077&lt;&gt;"",COUNTIF(CareerLevels,$H2077)=0),", a career level that is not on the ladder","")&amp;IF(AND($R2077&lt;&gt;"",COUNTIF(DriverList,$R2077)=0),", a driver that is not on the list","")&amp;IF(ABS(N($L2077)-(N($M2077)+N($N2077)+N($O2077)+N($P2077)))&gt;0.001,", a total that does not match its quarters",""),3,300))</f>
        <v/>
      </c>
    </row>
    <row r="2078" customFormat="false" ht="15" hidden="false" customHeight="false" outlineLevel="0" collapsed="false">
      <c r="A2078" s="33" t="str">
        <f aca="false">IF($G2078="","","Technology Group")</f>
        <v/>
      </c>
      <c r="B2078" s="19"/>
      <c r="C2078" s="19"/>
      <c r="D2078" s="19"/>
      <c r="E2078" s="19"/>
      <c r="F2078" s="19"/>
      <c r="G2078" s="19"/>
      <c r="H2078" s="19"/>
      <c r="I2078" s="19"/>
      <c r="J2078" s="19"/>
      <c r="K2078" s="19"/>
      <c r="L2078" s="19"/>
      <c r="M2078" s="19"/>
      <c r="N2078" s="19"/>
      <c r="O2078" s="19"/>
      <c r="P2078" s="19"/>
      <c r="Q2078" s="19"/>
      <c r="R2078" s="19"/>
      <c r="S2078" s="19"/>
      <c r="T2078" s="34" t="str">
        <f aca="false">IF($R2078="","",IFERROR(INDEX(DriverCategory,MATCH($R2078,DriverList,0)),"BAU"))</f>
        <v/>
      </c>
      <c r="U2078" s="34" t="str">
        <f aca="false">IF($R2078="","",IFERROR(INDEX(DriverRank,MATCH($R2078,DriverList,0)),99))</f>
        <v/>
      </c>
      <c r="V2078" s="35" t="n">
        <f aca="false">IF($H2078="",0,IFERROR(INDEX(LevelBasic,MATCH($H2078,LevelList,0))+INDEX(LevelHousing,MATCH($H2078,LevelList,0))+INDEX(LevelTransport,MATCH($H2078,LevelList,0))+INDEX(LevelBasic,MATCH($H2078,LevelList,0))*INDEX(LevelBonus,MATCH($H2078,LevelList,0))+(INDEX(LevelBasic,MATCH($H2078,LevelList,0))+INDEX(LevelHousing,MATCH($H2078,LevelList,0)))*GosiSaudi,0))</f>
        <v>0</v>
      </c>
      <c r="W2078" s="35" t="n">
        <f aca="false">IFERROR(INDEX(LevelOneOff,MATCH($H2078,LevelList,0)),0)</f>
        <v>0</v>
      </c>
      <c r="X2078" s="35" t="str">
        <f aca="false">IF($G2078="","",$V2078*N($L2078))</f>
        <v/>
      </c>
      <c r="Y2078" s="35" t="str">
        <f aca="false">IF($G2078="","",$V2078*(N($M2078)*1+N($N2078)*0.75+N($O2078)*0.5+N($P2078)*0.25)+$W2078*N($L2078))</f>
        <v/>
      </c>
      <c r="Z2078" s="35" t="str">
        <f aca="false">IF($G2078="","",$U2078*1000000+ROW())</f>
        <v/>
      </c>
      <c r="AA2078" s="36" t="str">
        <f aca="false">IF($G2078="","",MID(IF($C2078="",", no division","")&amp;IF($E2078="",", no unit","")&amp;IF($H2078="",", no career level","")&amp;IF(N($L2078)&lt;=0,", no quarter split","")&amp;IF($R2078="",", no driver","")&amp;IF(AND($H2078&lt;&gt;"",COUNTIF(CareerLevels,$H2078)=0),", a career level that is not on the ladder","")&amp;IF(AND($R2078&lt;&gt;"",COUNTIF(DriverList,$R2078)=0),", a driver that is not on the list","")&amp;IF(ABS(N($L2078)-(N($M2078)+N($N2078)+N($O2078)+N($P2078)))&gt;0.001,", a total that does not match its quarters",""),3,300))</f>
        <v/>
      </c>
    </row>
    <row r="2079" customFormat="false" ht="15" hidden="false" customHeight="false" outlineLevel="0" collapsed="false">
      <c r="A2079" s="33" t="str">
        <f aca="false">IF($G2079="","","Technology Group")</f>
        <v/>
      </c>
      <c r="B2079" s="19"/>
      <c r="C2079" s="19"/>
      <c r="D2079" s="19"/>
      <c r="E2079" s="19"/>
      <c r="F2079" s="19"/>
      <c r="G2079" s="19"/>
      <c r="H2079" s="19"/>
      <c r="I2079" s="19"/>
      <c r="J2079" s="19"/>
      <c r="K2079" s="19"/>
      <c r="L2079" s="19"/>
      <c r="M2079" s="19"/>
      <c r="N2079" s="19"/>
      <c r="O2079" s="19"/>
      <c r="P2079" s="19"/>
      <c r="Q2079" s="19"/>
      <c r="R2079" s="19"/>
      <c r="S2079" s="19"/>
      <c r="T2079" s="34" t="str">
        <f aca="false">IF($R2079="","",IFERROR(INDEX(DriverCategory,MATCH($R2079,DriverList,0)),"BAU"))</f>
        <v/>
      </c>
      <c r="U2079" s="34" t="str">
        <f aca="false">IF($R2079="","",IFERROR(INDEX(DriverRank,MATCH($R2079,DriverList,0)),99))</f>
        <v/>
      </c>
      <c r="V2079" s="35" t="n">
        <f aca="false">IF($H2079="",0,IFERROR(INDEX(LevelBasic,MATCH($H2079,LevelList,0))+INDEX(LevelHousing,MATCH($H2079,LevelList,0))+INDEX(LevelTransport,MATCH($H2079,LevelList,0))+INDEX(LevelBasic,MATCH($H2079,LevelList,0))*INDEX(LevelBonus,MATCH($H2079,LevelList,0))+(INDEX(LevelBasic,MATCH($H2079,LevelList,0))+INDEX(LevelHousing,MATCH($H2079,LevelList,0)))*GosiSaudi,0))</f>
        <v>0</v>
      </c>
      <c r="W2079" s="35" t="n">
        <f aca="false">IFERROR(INDEX(LevelOneOff,MATCH($H2079,LevelList,0)),0)</f>
        <v>0</v>
      </c>
      <c r="X2079" s="35" t="str">
        <f aca="false">IF($G2079="","",$V2079*N($L2079))</f>
        <v/>
      </c>
      <c r="Y2079" s="35" t="str">
        <f aca="false">IF($G2079="","",$V2079*(N($M2079)*1+N($N2079)*0.75+N($O2079)*0.5+N($P2079)*0.25)+$W2079*N($L2079))</f>
        <v/>
      </c>
      <c r="Z2079" s="35" t="str">
        <f aca="false">IF($G2079="","",$U2079*1000000+ROW())</f>
        <v/>
      </c>
      <c r="AA2079" s="36" t="str">
        <f aca="false">IF($G2079="","",MID(IF($C2079="",", no division","")&amp;IF($E2079="",", no unit","")&amp;IF($H2079="",", no career level","")&amp;IF(N($L2079)&lt;=0,", no quarter split","")&amp;IF($R2079="",", no driver","")&amp;IF(AND($H2079&lt;&gt;"",COUNTIF(CareerLevels,$H2079)=0),", a career level that is not on the ladder","")&amp;IF(AND($R2079&lt;&gt;"",COUNTIF(DriverList,$R2079)=0),", a driver that is not on the list","")&amp;IF(ABS(N($L2079)-(N($M2079)+N($N2079)+N($O2079)+N($P2079)))&gt;0.001,", a total that does not match its quarters",""),3,300))</f>
        <v/>
      </c>
    </row>
    <row r="2080" customFormat="false" ht="15" hidden="false" customHeight="false" outlineLevel="0" collapsed="false">
      <c r="A2080" s="33" t="str">
        <f aca="false">IF($G2080="","","Technology Group")</f>
        <v/>
      </c>
      <c r="B2080" s="19"/>
      <c r="C2080" s="19"/>
      <c r="D2080" s="19"/>
      <c r="E2080" s="19"/>
      <c r="F2080" s="19"/>
      <c r="G2080" s="19"/>
      <c r="H2080" s="19"/>
      <c r="I2080" s="19"/>
      <c r="J2080" s="19"/>
      <c r="K2080" s="19"/>
      <c r="L2080" s="19"/>
      <c r="M2080" s="19"/>
      <c r="N2080" s="19"/>
      <c r="O2080" s="19"/>
      <c r="P2080" s="19"/>
      <c r="Q2080" s="19"/>
      <c r="R2080" s="19"/>
      <c r="S2080" s="19"/>
      <c r="T2080" s="34" t="str">
        <f aca="false">IF($R2080="","",IFERROR(INDEX(DriverCategory,MATCH($R2080,DriverList,0)),"BAU"))</f>
        <v/>
      </c>
      <c r="U2080" s="34" t="str">
        <f aca="false">IF($R2080="","",IFERROR(INDEX(DriverRank,MATCH($R2080,DriverList,0)),99))</f>
        <v/>
      </c>
      <c r="V2080" s="35" t="n">
        <f aca="false">IF($H2080="",0,IFERROR(INDEX(LevelBasic,MATCH($H2080,LevelList,0))+INDEX(LevelHousing,MATCH($H2080,LevelList,0))+INDEX(LevelTransport,MATCH($H2080,LevelList,0))+INDEX(LevelBasic,MATCH($H2080,LevelList,0))*INDEX(LevelBonus,MATCH($H2080,LevelList,0))+(INDEX(LevelBasic,MATCH($H2080,LevelList,0))+INDEX(LevelHousing,MATCH($H2080,LevelList,0)))*GosiSaudi,0))</f>
        <v>0</v>
      </c>
      <c r="W2080" s="35" t="n">
        <f aca="false">IFERROR(INDEX(LevelOneOff,MATCH($H2080,LevelList,0)),0)</f>
        <v>0</v>
      </c>
      <c r="X2080" s="35" t="str">
        <f aca="false">IF($G2080="","",$V2080*N($L2080))</f>
        <v/>
      </c>
      <c r="Y2080" s="35" t="str">
        <f aca="false">IF($G2080="","",$V2080*(N($M2080)*1+N($N2080)*0.75+N($O2080)*0.5+N($P2080)*0.25)+$W2080*N($L2080))</f>
        <v/>
      </c>
      <c r="Z2080" s="35" t="str">
        <f aca="false">IF($G2080="","",$U2080*1000000+ROW())</f>
        <v/>
      </c>
      <c r="AA2080" s="36" t="str">
        <f aca="false">IF($G2080="","",MID(IF($C2080="",", no division","")&amp;IF($E2080="",", no unit","")&amp;IF($H2080="",", no career level","")&amp;IF(N($L2080)&lt;=0,", no quarter split","")&amp;IF($R2080="",", no driver","")&amp;IF(AND($H2080&lt;&gt;"",COUNTIF(CareerLevels,$H2080)=0),", a career level that is not on the ladder","")&amp;IF(AND($R2080&lt;&gt;"",COUNTIF(DriverList,$R2080)=0),", a driver that is not on the list","")&amp;IF(ABS(N($L2080)-(N($M2080)+N($N2080)+N($O2080)+N($P2080)))&gt;0.001,", a total that does not match its quarters",""),3,300))</f>
        <v/>
      </c>
    </row>
    <row r="2081" customFormat="false" ht="15" hidden="false" customHeight="false" outlineLevel="0" collapsed="false">
      <c r="A2081" s="33" t="str">
        <f aca="false">IF($G2081="","","Technology Group")</f>
        <v/>
      </c>
      <c r="B2081" s="19"/>
      <c r="C2081" s="19"/>
      <c r="D2081" s="19"/>
      <c r="E2081" s="19"/>
      <c r="F2081" s="19"/>
      <c r="G2081" s="19"/>
      <c r="H2081" s="19"/>
      <c r="I2081" s="19"/>
      <c r="J2081" s="19"/>
      <c r="K2081" s="19"/>
      <c r="L2081" s="19"/>
      <c r="M2081" s="19"/>
      <c r="N2081" s="19"/>
      <c r="O2081" s="19"/>
      <c r="P2081" s="19"/>
      <c r="Q2081" s="19"/>
      <c r="R2081" s="19"/>
      <c r="S2081" s="19"/>
      <c r="T2081" s="34" t="str">
        <f aca="false">IF($R2081="","",IFERROR(INDEX(DriverCategory,MATCH($R2081,DriverList,0)),"BAU"))</f>
        <v/>
      </c>
      <c r="U2081" s="34" t="str">
        <f aca="false">IF($R2081="","",IFERROR(INDEX(DriverRank,MATCH($R2081,DriverList,0)),99))</f>
        <v/>
      </c>
      <c r="V2081" s="35" t="n">
        <f aca="false">IF($H2081="",0,IFERROR(INDEX(LevelBasic,MATCH($H2081,LevelList,0))+INDEX(LevelHousing,MATCH($H2081,LevelList,0))+INDEX(LevelTransport,MATCH($H2081,LevelList,0))+INDEX(LevelBasic,MATCH($H2081,LevelList,0))*INDEX(LevelBonus,MATCH($H2081,LevelList,0))+(INDEX(LevelBasic,MATCH($H2081,LevelList,0))+INDEX(LevelHousing,MATCH($H2081,LevelList,0)))*GosiSaudi,0))</f>
        <v>0</v>
      </c>
      <c r="W2081" s="35" t="n">
        <f aca="false">IFERROR(INDEX(LevelOneOff,MATCH($H2081,LevelList,0)),0)</f>
        <v>0</v>
      </c>
      <c r="X2081" s="35" t="str">
        <f aca="false">IF($G2081="","",$V2081*N($L2081))</f>
        <v/>
      </c>
      <c r="Y2081" s="35" t="str">
        <f aca="false">IF($G2081="","",$V2081*(N($M2081)*1+N($N2081)*0.75+N($O2081)*0.5+N($P2081)*0.25)+$W2081*N($L2081))</f>
        <v/>
      </c>
      <c r="Z2081" s="35" t="str">
        <f aca="false">IF($G2081="","",$U2081*1000000+ROW())</f>
        <v/>
      </c>
      <c r="AA2081" s="36" t="str">
        <f aca="false">IF($G2081="","",MID(IF($C2081="",", no division","")&amp;IF($E2081="",", no unit","")&amp;IF($H2081="",", no career level","")&amp;IF(N($L2081)&lt;=0,", no quarter split","")&amp;IF($R2081="",", no driver","")&amp;IF(AND($H2081&lt;&gt;"",COUNTIF(CareerLevels,$H2081)=0),", a career level that is not on the ladder","")&amp;IF(AND($R2081&lt;&gt;"",COUNTIF(DriverList,$R2081)=0),", a driver that is not on the list","")&amp;IF(ABS(N($L2081)-(N($M2081)+N($N2081)+N($O2081)+N($P2081)))&gt;0.001,", a total that does not match its quarters",""),3,300))</f>
        <v/>
      </c>
    </row>
    <row r="2082" customFormat="false" ht="15" hidden="false" customHeight="false" outlineLevel="0" collapsed="false">
      <c r="A2082" s="33" t="str">
        <f aca="false">IF($G2082="","","Technology Group")</f>
        <v/>
      </c>
      <c r="B2082" s="19"/>
      <c r="C2082" s="19"/>
      <c r="D2082" s="19"/>
      <c r="E2082" s="19"/>
      <c r="F2082" s="19"/>
      <c r="G2082" s="19"/>
      <c r="H2082" s="19"/>
      <c r="I2082" s="19"/>
      <c r="J2082" s="19"/>
      <c r="K2082" s="19"/>
      <c r="L2082" s="19"/>
      <c r="M2082" s="19"/>
      <c r="N2082" s="19"/>
      <c r="O2082" s="19"/>
      <c r="P2082" s="19"/>
      <c r="Q2082" s="19"/>
      <c r="R2082" s="19"/>
      <c r="S2082" s="19"/>
      <c r="T2082" s="34" t="str">
        <f aca="false">IF($R2082="","",IFERROR(INDEX(DriverCategory,MATCH($R2082,DriverList,0)),"BAU"))</f>
        <v/>
      </c>
      <c r="U2082" s="34" t="str">
        <f aca="false">IF($R2082="","",IFERROR(INDEX(DriverRank,MATCH($R2082,DriverList,0)),99))</f>
        <v/>
      </c>
      <c r="V2082" s="35" t="n">
        <f aca="false">IF($H2082="",0,IFERROR(INDEX(LevelBasic,MATCH($H2082,LevelList,0))+INDEX(LevelHousing,MATCH($H2082,LevelList,0))+INDEX(LevelTransport,MATCH($H2082,LevelList,0))+INDEX(LevelBasic,MATCH($H2082,LevelList,0))*INDEX(LevelBonus,MATCH($H2082,LevelList,0))+(INDEX(LevelBasic,MATCH($H2082,LevelList,0))+INDEX(LevelHousing,MATCH($H2082,LevelList,0)))*GosiSaudi,0))</f>
        <v>0</v>
      </c>
      <c r="W2082" s="35" t="n">
        <f aca="false">IFERROR(INDEX(LevelOneOff,MATCH($H2082,LevelList,0)),0)</f>
        <v>0</v>
      </c>
      <c r="X2082" s="35" t="str">
        <f aca="false">IF($G2082="","",$V2082*N($L2082))</f>
        <v/>
      </c>
      <c r="Y2082" s="35" t="str">
        <f aca="false">IF($G2082="","",$V2082*(N($M2082)*1+N($N2082)*0.75+N($O2082)*0.5+N($P2082)*0.25)+$W2082*N($L2082))</f>
        <v/>
      </c>
      <c r="Z2082" s="35" t="str">
        <f aca="false">IF($G2082="","",$U2082*1000000+ROW())</f>
        <v/>
      </c>
      <c r="AA2082" s="36" t="str">
        <f aca="false">IF($G2082="","",MID(IF($C2082="",", no division","")&amp;IF($E2082="",", no unit","")&amp;IF($H2082="",", no career level","")&amp;IF(N($L2082)&lt;=0,", no quarter split","")&amp;IF($R2082="",", no driver","")&amp;IF(AND($H2082&lt;&gt;"",COUNTIF(CareerLevels,$H2082)=0),", a career level that is not on the ladder","")&amp;IF(AND($R2082&lt;&gt;"",COUNTIF(DriverList,$R2082)=0),", a driver that is not on the list","")&amp;IF(ABS(N($L2082)-(N($M2082)+N($N2082)+N($O2082)+N($P2082)))&gt;0.001,", a total that does not match its quarters",""),3,300))</f>
        <v/>
      </c>
    </row>
    <row r="2083" customFormat="false" ht="15" hidden="false" customHeight="false" outlineLevel="0" collapsed="false">
      <c r="A2083" s="33" t="str">
        <f aca="false">IF($G2083="","","Technology Group")</f>
        <v/>
      </c>
      <c r="B2083" s="19"/>
      <c r="C2083" s="19"/>
      <c r="D2083" s="19"/>
      <c r="E2083" s="19"/>
      <c r="F2083" s="19"/>
      <c r="G2083" s="19"/>
      <c r="H2083" s="19"/>
      <c r="I2083" s="19"/>
      <c r="J2083" s="19"/>
      <c r="K2083" s="19"/>
      <c r="L2083" s="19"/>
      <c r="M2083" s="19"/>
      <c r="N2083" s="19"/>
      <c r="O2083" s="19"/>
      <c r="P2083" s="19"/>
      <c r="Q2083" s="19"/>
      <c r="R2083" s="19"/>
      <c r="S2083" s="19"/>
      <c r="T2083" s="34" t="str">
        <f aca="false">IF($R2083="","",IFERROR(INDEX(DriverCategory,MATCH($R2083,DriverList,0)),"BAU"))</f>
        <v/>
      </c>
      <c r="U2083" s="34" t="str">
        <f aca="false">IF($R2083="","",IFERROR(INDEX(DriverRank,MATCH($R2083,DriverList,0)),99))</f>
        <v/>
      </c>
      <c r="V2083" s="35" t="n">
        <f aca="false">IF($H2083="",0,IFERROR(INDEX(LevelBasic,MATCH($H2083,LevelList,0))+INDEX(LevelHousing,MATCH($H2083,LevelList,0))+INDEX(LevelTransport,MATCH($H2083,LevelList,0))+INDEX(LevelBasic,MATCH($H2083,LevelList,0))*INDEX(LevelBonus,MATCH($H2083,LevelList,0))+(INDEX(LevelBasic,MATCH($H2083,LevelList,0))+INDEX(LevelHousing,MATCH($H2083,LevelList,0)))*GosiSaudi,0))</f>
        <v>0</v>
      </c>
      <c r="W2083" s="35" t="n">
        <f aca="false">IFERROR(INDEX(LevelOneOff,MATCH($H2083,LevelList,0)),0)</f>
        <v>0</v>
      </c>
      <c r="X2083" s="35" t="str">
        <f aca="false">IF($G2083="","",$V2083*N($L2083))</f>
        <v/>
      </c>
      <c r="Y2083" s="35" t="str">
        <f aca="false">IF($G2083="","",$V2083*(N($M2083)*1+N($N2083)*0.75+N($O2083)*0.5+N($P2083)*0.25)+$W2083*N($L2083))</f>
        <v/>
      </c>
      <c r="Z2083" s="35" t="str">
        <f aca="false">IF($G2083="","",$U2083*1000000+ROW())</f>
        <v/>
      </c>
      <c r="AA2083" s="36" t="str">
        <f aca="false">IF($G2083="","",MID(IF($C2083="",", no division","")&amp;IF($E2083="",", no unit","")&amp;IF($H2083="",", no career level","")&amp;IF(N($L2083)&lt;=0,", no quarter split","")&amp;IF($R2083="",", no driver","")&amp;IF(AND($H2083&lt;&gt;"",COUNTIF(CareerLevels,$H2083)=0),", a career level that is not on the ladder","")&amp;IF(AND($R2083&lt;&gt;"",COUNTIF(DriverList,$R2083)=0),", a driver that is not on the list","")&amp;IF(ABS(N($L2083)-(N($M2083)+N($N2083)+N($O2083)+N($P2083)))&gt;0.001,", a total that does not match its quarters",""),3,300))</f>
        <v/>
      </c>
    </row>
    <row r="2084" customFormat="false" ht="15" hidden="false" customHeight="false" outlineLevel="0" collapsed="false">
      <c r="A2084" s="33" t="str">
        <f aca="false">IF($G2084="","","Technology Group")</f>
        <v/>
      </c>
      <c r="B2084" s="19"/>
      <c r="C2084" s="19"/>
      <c r="D2084" s="19"/>
      <c r="E2084" s="19"/>
      <c r="F2084" s="19"/>
      <c r="G2084" s="19"/>
      <c r="H2084" s="19"/>
      <c r="I2084" s="19"/>
      <c r="J2084" s="19"/>
      <c r="K2084" s="19"/>
      <c r="L2084" s="19"/>
      <c r="M2084" s="19"/>
      <c r="N2084" s="19"/>
      <c r="O2084" s="19"/>
      <c r="P2084" s="19"/>
      <c r="Q2084" s="19"/>
      <c r="R2084" s="19"/>
      <c r="S2084" s="19"/>
      <c r="T2084" s="34" t="str">
        <f aca="false">IF($R2084="","",IFERROR(INDEX(DriverCategory,MATCH($R2084,DriverList,0)),"BAU"))</f>
        <v/>
      </c>
      <c r="U2084" s="34" t="str">
        <f aca="false">IF($R2084="","",IFERROR(INDEX(DriverRank,MATCH($R2084,DriverList,0)),99))</f>
        <v/>
      </c>
      <c r="V2084" s="35" t="n">
        <f aca="false">IF($H2084="",0,IFERROR(INDEX(LevelBasic,MATCH($H2084,LevelList,0))+INDEX(LevelHousing,MATCH($H2084,LevelList,0))+INDEX(LevelTransport,MATCH($H2084,LevelList,0))+INDEX(LevelBasic,MATCH($H2084,LevelList,0))*INDEX(LevelBonus,MATCH($H2084,LevelList,0))+(INDEX(LevelBasic,MATCH($H2084,LevelList,0))+INDEX(LevelHousing,MATCH($H2084,LevelList,0)))*GosiSaudi,0))</f>
        <v>0</v>
      </c>
      <c r="W2084" s="35" t="n">
        <f aca="false">IFERROR(INDEX(LevelOneOff,MATCH($H2084,LevelList,0)),0)</f>
        <v>0</v>
      </c>
      <c r="X2084" s="35" t="str">
        <f aca="false">IF($G2084="","",$V2084*N($L2084))</f>
        <v/>
      </c>
      <c r="Y2084" s="35" t="str">
        <f aca="false">IF($G2084="","",$V2084*(N($M2084)*1+N($N2084)*0.75+N($O2084)*0.5+N($P2084)*0.25)+$W2084*N($L2084))</f>
        <v/>
      </c>
      <c r="Z2084" s="35" t="str">
        <f aca="false">IF($G2084="","",$U2084*1000000+ROW())</f>
        <v/>
      </c>
      <c r="AA2084" s="36" t="str">
        <f aca="false">IF($G2084="","",MID(IF($C2084="",", no division","")&amp;IF($E2084="",", no unit","")&amp;IF($H2084="",", no career level","")&amp;IF(N($L2084)&lt;=0,", no quarter split","")&amp;IF($R2084="",", no driver","")&amp;IF(AND($H2084&lt;&gt;"",COUNTIF(CareerLevels,$H2084)=0),", a career level that is not on the ladder","")&amp;IF(AND($R2084&lt;&gt;"",COUNTIF(DriverList,$R2084)=0),", a driver that is not on the list","")&amp;IF(ABS(N($L2084)-(N($M2084)+N($N2084)+N($O2084)+N($P2084)))&gt;0.001,", a total that does not match its quarters",""),3,300))</f>
        <v/>
      </c>
    </row>
    <row r="2085" customFormat="false" ht="15" hidden="false" customHeight="false" outlineLevel="0" collapsed="false">
      <c r="A2085" s="33" t="str">
        <f aca="false">IF($G2085="","","Technology Group")</f>
        <v/>
      </c>
      <c r="B2085" s="19"/>
      <c r="C2085" s="19"/>
      <c r="D2085" s="19"/>
      <c r="E2085" s="19"/>
      <c r="F2085" s="19"/>
      <c r="G2085" s="19"/>
      <c r="H2085" s="19"/>
      <c r="I2085" s="19"/>
      <c r="J2085" s="19"/>
      <c r="K2085" s="19"/>
      <c r="L2085" s="19"/>
      <c r="M2085" s="19"/>
      <c r="N2085" s="19"/>
      <c r="O2085" s="19"/>
      <c r="P2085" s="19"/>
      <c r="Q2085" s="19"/>
      <c r="R2085" s="19"/>
      <c r="S2085" s="19"/>
      <c r="T2085" s="34" t="str">
        <f aca="false">IF($R2085="","",IFERROR(INDEX(DriverCategory,MATCH($R2085,DriverList,0)),"BAU"))</f>
        <v/>
      </c>
      <c r="U2085" s="34" t="str">
        <f aca="false">IF($R2085="","",IFERROR(INDEX(DriverRank,MATCH($R2085,DriverList,0)),99))</f>
        <v/>
      </c>
      <c r="V2085" s="35" t="n">
        <f aca="false">IF($H2085="",0,IFERROR(INDEX(LevelBasic,MATCH($H2085,LevelList,0))+INDEX(LevelHousing,MATCH($H2085,LevelList,0))+INDEX(LevelTransport,MATCH($H2085,LevelList,0))+INDEX(LevelBasic,MATCH($H2085,LevelList,0))*INDEX(LevelBonus,MATCH($H2085,LevelList,0))+(INDEX(LevelBasic,MATCH($H2085,LevelList,0))+INDEX(LevelHousing,MATCH($H2085,LevelList,0)))*GosiSaudi,0))</f>
        <v>0</v>
      </c>
      <c r="W2085" s="35" t="n">
        <f aca="false">IFERROR(INDEX(LevelOneOff,MATCH($H2085,LevelList,0)),0)</f>
        <v>0</v>
      </c>
      <c r="X2085" s="35" t="str">
        <f aca="false">IF($G2085="","",$V2085*N($L2085))</f>
        <v/>
      </c>
      <c r="Y2085" s="35" t="str">
        <f aca="false">IF($G2085="","",$V2085*(N($M2085)*1+N($N2085)*0.75+N($O2085)*0.5+N($P2085)*0.25)+$W2085*N($L2085))</f>
        <v/>
      </c>
      <c r="Z2085" s="35" t="str">
        <f aca="false">IF($G2085="","",$U2085*1000000+ROW())</f>
        <v/>
      </c>
      <c r="AA2085" s="36" t="str">
        <f aca="false">IF($G2085="","",MID(IF($C2085="",", no division","")&amp;IF($E2085="",", no unit","")&amp;IF($H2085="",", no career level","")&amp;IF(N($L2085)&lt;=0,", no quarter split","")&amp;IF($R2085="",", no driver","")&amp;IF(AND($H2085&lt;&gt;"",COUNTIF(CareerLevels,$H2085)=0),", a career level that is not on the ladder","")&amp;IF(AND($R2085&lt;&gt;"",COUNTIF(DriverList,$R2085)=0),", a driver that is not on the list","")&amp;IF(ABS(N($L2085)-(N($M2085)+N($N2085)+N($O2085)+N($P2085)))&gt;0.001,", a total that does not match its quarters",""),3,300))</f>
        <v/>
      </c>
    </row>
    <row r="2086" customFormat="false" ht="15" hidden="false" customHeight="false" outlineLevel="0" collapsed="false">
      <c r="A2086" s="33" t="str">
        <f aca="false">IF($G2086="","","Technology Group")</f>
        <v/>
      </c>
      <c r="B2086" s="19"/>
      <c r="C2086" s="19"/>
      <c r="D2086" s="19"/>
      <c r="E2086" s="19"/>
      <c r="F2086" s="19"/>
      <c r="G2086" s="19"/>
      <c r="H2086" s="19"/>
      <c r="I2086" s="19"/>
      <c r="J2086" s="19"/>
      <c r="K2086" s="19"/>
      <c r="L2086" s="19"/>
      <c r="M2086" s="19"/>
      <c r="N2086" s="19"/>
      <c r="O2086" s="19"/>
      <c r="P2086" s="19"/>
      <c r="Q2086" s="19"/>
      <c r="R2086" s="19"/>
      <c r="S2086" s="19"/>
      <c r="T2086" s="34" t="str">
        <f aca="false">IF($R2086="","",IFERROR(INDEX(DriverCategory,MATCH($R2086,DriverList,0)),"BAU"))</f>
        <v/>
      </c>
      <c r="U2086" s="34" t="str">
        <f aca="false">IF($R2086="","",IFERROR(INDEX(DriverRank,MATCH($R2086,DriverList,0)),99))</f>
        <v/>
      </c>
      <c r="V2086" s="35" t="n">
        <f aca="false">IF($H2086="",0,IFERROR(INDEX(LevelBasic,MATCH($H2086,LevelList,0))+INDEX(LevelHousing,MATCH($H2086,LevelList,0))+INDEX(LevelTransport,MATCH($H2086,LevelList,0))+INDEX(LevelBasic,MATCH($H2086,LevelList,0))*INDEX(LevelBonus,MATCH($H2086,LevelList,0))+(INDEX(LevelBasic,MATCH($H2086,LevelList,0))+INDEX(LevelHousing,MATCH($H2086,LevelList,0)))*GosiSaudi,0))</f>
        <v>0</v>
      </c>
      <c r="W2086" s="35" t="n">
        <f aca="false">IFERROR(INDEX(LevelOneOff,MATCH($H2086,LevelList,0)),0)</f>
        <v>0</v>
      </c>
      <c r="X2086" s="35" t="str">
        <f aca="false">IF($G2086="","",$V2086*N($L2086))</f>
        <v/>
      </c>
      <c r="Y2086" s="35" t="str">
        <f aca="false">IF($G2086="","",$V2086*(N($M2086)*1+N($N2086)*0.75+N($O2086)*0.5+N($P2086)*0.25)+$W2086*N($L2086))</f>
        <v/>
      </c>
      <c r="Z2086" s="35" t="str">
        <f aca="false">IF($G2086="","",$U2086*1000000+ROW())</f>
        <v/>
      </c>
      <c r="AA2086" s="36" t="str">
        <f aca="false">IF($G2086="","",MID(IF($C2086="",", no division","")&amp;IF($E2086="",", no unit","")&amp;IF($H2086="",", no career level","")&amp;IF(N($L2086)&lt;=0,", no quarter split","")&amp;IF($R2086="",", no driver","")&amp;IF(AND($H2086&lt;&gt;"",COUNTIF(CareerLevels,$H2086)=0),", a career level that is not on the ladder","")&amp;IF(AND($R2086&lt;&gt;"",COUNTIF(DriverList,$R2086)=0),", a driver that is not on the list","")&amp;IF(ABS(N($L2086)-(N($M2086)+N($N2086)+N($O2086)+N($P2086)))&gt;0.001,", a total that does not match its quarters",""),3,300))</f>
        <v/>
      </c>
    </row>
    <row r="2087" customFormat="false" ht="15" hidden="false" customHeight="false" outlineLevel="0" collapsed="false">
      <c r="A2087" s="33" t="str">
        <f aca="false">IF($G2087="","","Technology Group")</f>
        <v/>
      </c>
      <c r="B2087" s="19"/>
      <c r="C2087" s="19"/>
      <c r="D2087" s="19"/>
      <c r="E2087" s="19"/>
      <c r="F2087" s="19"/>
      <c r="G2087" s="19"/>
      <c r="H2087" s="19"/>
      <c r="I2087" s="19"/>
      <c r="J2087" s="19"/>
      <c r="K2087" s="19"/>
      <c r="L2087" s="19"/>
      <c r="M2087" s="19"/>
      <c r="N2087" s="19"/>
      <c r="O2087" s="19"/>
      <c r="P2087" s="19"/>
      <c r="Q2087" s="19"/>
      <c r="R2087" s="19"/>
      <c r="S2087" s="19"/>
      <c r="T2087" s="34" t="str">
        <f aca="false">IF($R2087="","",IFERROR(INDEX(DriverCategory,MATCH($R2087,DriverList,0)),"BAU"))</f>
        <v/>
      </c>
      <c r="U2087" s="34" t="str">
        <f aca="false">IF($R2087="","",IFERROR(INDEX(DriverRank,MATCH($R2087,DriverList,0)),99))</f>
        <v/>
      </c>
      <c r="V2087" s="35" t="n">
        <f aca="false">IF($H2087="",0,IFERROR(INDEX(LevelBasic,MATCH($H2087,LevelList,0))+INDEX(LevelHousing,MATCH($H2087,LevelList,0))+INDEX(LevelTransport,MATCH($H2087,LevelList,0))+INDEX(LevelBasic,MATCH($H2087,LevelList,0))*INDEX(LevelBonus,MATCH($H2087,LevelList,0))+(INDEX(LevelBasic,MATCH($H2087,LevelList,0))+INDEX(LevelHousing,MATCH($H2087,LevelList,0)))*GosiSaudi,0))</f>
        <v>0</v>
      </c>
      <c r="W2087" s="35" t="n">
        <f aca="false">IFERROR(INDEX(LevelOneOff,MATCH($H2087,LevelList,0)),0)</f>
        <v>0</v>
      </c>
      <c r="X2087" s="35" t="str">
        <f aca="false">IF($G2087="","",$V2087*N($L2087))</f>
        <v/>
      </c>
      <c r="Y2087" s="35" t="str">
        <f aca="false">IF($G2087="","",$V2087*(N($M2087)*1+N($N2087)*0.75+N($O2087)*0.5+N($P2087)*0.25)+$W2087*N($L2087))</f>
        <v/>
      </c>
      <c r="Z2087" s="35" t="str">
        <f aca="false">IF($G2087="","",$U2087*1000000+ROW())</f>
        <v/>
      </c>
      <c r="AA2087" s="36" t="str">
        <f aca="false">IF($G2087="","",MID(IF($C2087="",", no division","")&amp;IF($E2087="",", no unit","")&amp;IF($H2087="",", no career level","")&amp;IF(N($L2087)&lt;=0,", no quarter split","")&amp;IF($R2087="",", no driver","")&amp;IF(AND($H2087&lt;&gt;"",COUNTIF(CareerLevels,$H2087)=0),", a career level that is not on the ladder","")&amp;IF(AND($R2087&lt;&gt;"",COUNTIF(DriverList,$R2087)=0),", a driver that is not on the list","")&amp;IF(ABS(N($L2087)-(N($M2087)+N($N2087)+N($O2087)+N($P2087)))&gt;0.001,", a total that does not match its quarters",""),3,300))</f>
        <v/>
      </c>
    </row>
    <row r="2088" customFormat="false" ht="15" hidden="false" customHeight="false" outlineLevel="0" collapsed="false">
      <c r="A2088" s="33" t="str">
        <f aca="false">IF($G2088="","","Technology Group")</f>
        <v/>
      </c>
      <c r="B2088" s="19"/>
      <c r="C2088" s="19"/>
      <c r="D2088" s="19"/>
      <c r="E2088" s="19"/>
      <c r="F2088" s="19"/>
      <c r="G2088" s="19"/>
      <c r="H2088" s="19"/>
      <c r="I2088" s="19"/>
      <c r="J2088" s="19"/>
      <c r="K2088" s="19"/>
      <c r="L2088" s="19"/>
      <c r="M2088" s="19"/>
      <c r="N2088" s="19"/>
      <c r="O2088" s="19"/>
      <c r="P2088" s="19"/>
      <c r="Q2088" s="19"/>
      <c r="R2088" s="19"/>
      <c r="S2088" s="19"/>
      <c r="T2088" s="34" t="str">
        <f aca="false">IF($R2088="","",IFERROR(INDEX(DriverCategory,MATCH($R2088,DriverList,0)),"BAU"))</f>
        <v/>
      </c>
      <c r="U2088" s="34" t="str">
        <f aca="false">IF($R2088="","",IFERROR(INDEX(DriverRank,MATCH($R2088,DriverList,0)),99))</f>
        <v/>
      </c>
      <c r="V2088" s="35" t="n">
        <f aca="false">IF($H2088="",0,IFERROR(INDEX(LevelBasic,MATCH($H2088,LevelList,0))+INDEX(LevelHousing,MATCH($H2088,LevelList,0))+INDEX(LevelTransport,MATCH($H2088,LevelList,0))+INDEX(LevelBasic,MATCH($H2088,LevelList,0))*INDEX(LevelBonus,MATCH($H2088,LevelList,0))+(INDEX(LevelBasic,MATCH($H2088,LevelList,0))+INDEX(LevelHousing,MATCH($H2088,LevelList,0)))*GosiSaudi,0))</f>
        <v>0</v>
      </c>
      <c r="W2088" s="35" t="n">
        <f aca="false">IFERROR(INDEX(LevelOneOff,MATCH($H2088,LevelList,0)),0)</f>
        <v>0</v>
      </c>
      <c r="X2088" s="35" t="str">
        <f aca="false">IF($G2088="","",$V2088*N($L2088))</f>
        <v/>
      </c>
      <c r="Y2088" s="35" t="str">
        <f aca="false">IF($G2088="","",$V2088*(N($M2088)*1+N($N2088)*0.75+N($O2088)*0.5+N($P2088)*0.25)+$W2088*N($L2088))</f>
        <v/>
      </c>
      <c r="Z2088" s="35" t="str">
        <f aca="false">IF($G2088="","",$U2088*1000000+ROW())</f>
        <v/>
      </c>
      <c r="AA2088" s="36" t="str">
        <f aca="false">IF($G2088="","",MID(IF($C2088="",", no division","")&amp;IF($E2088="",", no unit","")&amp;IF($H2088="",", no career level","")&amp;IF(N($L2088)&lt;=0,", no quarter split","")&amp;IF($R2088="",", no driver","")&amp;IF(AND($H2088&lt;&gt;"",COUNTIF(CareerLevels,$H2088)=0),", a career level that is not on the ladder","")&amp;IF(AND($R2088&lt;&gt;"",COUNTIF(DriverList,$R2088)=0),", a driver that is not on the list","")&amp;IF(ABS(N($L2088)-(N($M2088)+N($N2088)+N($O2088)+N($P2088)))&gt;0.001,", a total that does not match its quarters",""),3,300))</f>
        <v/>
      </c>
    </row>
    <row r="2089" customFormat="false" ht="15" hidden="false" customHeight="false" outlineLevel="0" collapsed="false">
      <c r="A2089" s="33" t="str">
        <f aca="false">IF($G2089="","","Technology Group")</f>
        <v/>
      </c>
      <c r="B2089" s="19"/>
      <c r="C2089" s="19"/>
      <c r="D2089" s="19"/>
      <c r="E2089" s="19"/>
      <c r="F2089" s="19"/>
      <c r="G2089" s="19"/>
      <c r="H2089" s="19"/>
      <c r="I2089" s="19"/>
      <c r="J2089" s="19"/>
      <c r="K2089" s="19"/>
      <c r="L2089" s="19"/>
      <c r="M2089" s="19"/>
      <c r="N2089" s="19"/>
      <c r="O2089" s="19"/>
      <c r="P2089" s="19"/>
      <c r="Q2089" s="19"/>
      <c r="R2089" s="19"/>
      <c r="S2089" s="19"/>
      <c r="T2089" s="34" t="str">
        <f aca="false">IF($R2089="","",IFERROR(INDEX(DriverCategory,MATCH($R2089,DriverList,0)),"BAU"))</f>
        <v/>
      </c>
      <c r="U2089" s="34" t="str">
        <f aca="false">IF($R2089="","",IFERROR(INDEX(DriverRank,MATCH($R2089,DriverList,0)),99))</f>
        <v/>
      </c>
      <c r="V2089" s="35" t="n">
        <f aca="false">IF($H2089="",0,IFERROR(INDEX(LevelBasic,MATCH($H2089,LevelList,0))+INDEX(LevelHousing,MATCH($H2089,LevelList,0))+INDEX(LevelTransport,MATCH($H2089,LevelList,0))+INDEX(LevelBasic,MATCH($H2089,LevelList,0))*INDEX(LevelBonus,MATCH($H2089,LevelList,0))+(INDEX(LevelBasic,MATCH($H2089,LevelList,0))+INDEX(LevelHousing,MATCH($H2089,LevelList,0)))*GosiSaudi,0))</f>
        <v>0</v>
      </c>
      <c r="W2089" s="35" t="n">
        <f aca="false">IFERROR(INDEX(LevelOneOff,MATCH($H2089,LevelList,0)),0)</f>
        <v>0</v>
      </c>
      <c r="X2089" s="35" t="str">
        <f aca="false">IF($G2089="","",$V2089*N($L2089))</f>
        <v/>
      </c>
      <c r="Y2089" s="35" t="str">
        <f aca="false">IF($G2089="","",$V2089*(N($M2089)*1+N($N2089)*0.75+N($O2089)*0.5+N($P2089)*0.25)+$W2089*N($L2089))</f>
        <v/>
      </c>
      <c r="Z2089" s="35" t="str">
        <f aca="false">IF($G2089="","",$U2089*1000000+ROW())</f>
        <v/>
      </c>
      <c r="AA2089" s="36" t="str">
        <f aca="false">IF($G2089="","",MID(IF($C2089="",", no division","")&amp;IF($E2089="",", no unit","")&amp;IF($H2089="",", no career level","")&amp;IF(N($L2089)&lt;=0,", no quarter split","")&amp;IF($R2089="",", no driver","")&amp;IF(AND($H2089&lt;&gt;"",COUNTIF(CareerLevels,$H2089)=0),", a career level that is not on the ladder","")&amp;IF(AND($R2089&lt;&gt;"",COUNTIF(DriverList,$R2089)=0),", a driver that is not on the list","")&amp;IF(ABS(N($L2089)-(N($M2089)+N($N2089)+N($O2089)+N($P2089)))&gt;0.001,", a total that does not match its quarters",""),3,300))</f>
        <v/>
      </c>
    </row>
    <row r="2090" customFormat="false" ht="15" hidden="false" customHeight="false" outlineLevel="0" collapsed="false">
      <c r="A2090" s="33" t="str">
        <f aca="false">IF($G2090="","","Technology Group")</f>
        <v/>
      </c>
      <c r="B2090" s="19"/>
      <c r="C2090" s="19"/>
      <c r="D2090" s="19"/>
      <c r="E2090" s="19"/>
      <c r="F2090" s="19"/>
      <c r="G2090" s="19"/>
      <c r="H2090" s="19"/>
      <c r="I2090" s="19"/>
      <c r="J2090" s="19"/>
      <c r="K2090" s="19"/>
      <c r="L2090" s="19"/>
      <c r="M2090" s="19"/>
      <c r="N2090" s="19"/>
      <c r="O2090" s="19"/>
      <c r="P2090" s="19"/>
      <c r="Q2090" s="19"/>
      <c r="R2090" s="19"/>
      <c r="S2090" s="19"/>
      <c r="T2090" s="34" t="str">
        <f aca="false">IF($R2090="","",IFERROR(INDEX(DriverCategory,MATCH($R2090,DriverList,0)),"BAU"))</f>
        <v/>
      </c>
      <c r="U2090" s="34" t="str">
        <f aca="false">IF($R2090="","",IFERROR(INDEX(DriverRank,MATCH($R2090,DriverList,0)),99))</f>
        <v/>
      </c>
      <c r="V2090" s="35" t="n">
        <f aca="false">IF($H2090="",0,IFERROR(INDEX(LevelBasic,MATCH($H2090,LevelList,0))+INDEX(LevelHousing,MATCH($H2090,LevelList,0))+INDEX(LevelTransport,MATCH($H2090,LevelList,0))+INDEX(LevelBasic,MATCH($H2090,LevelList,0))*INDEX(LevelBonus,MATCH($H2090,LevelList,0))+(INDEX(LevelBasic,MATCH($H2090,LevelList,0))+INDEX(LevelHousing,MATCH($H2090,LevelList,0)))*GosiSaudi,0))</f>
        <v>0</v>
      </c>
      <c r="W2090" s="35" t="n">
        <f aca="false">IFERROR(INDEX(LevelOneOff,MATCH($H2090,LevelList,0)),0)</f>
        <v>0</v>
      </c>
      <c r="X2090" s="35" t="str">
        <f aca="false">IF($G2090="","",$V2090*N($L2090))</f>
        <v/>
      </c>
      <c r="Y2090" s="35" t="str">
        <f aca="false">IF($G2090="","",$V2090*(N($M2090)*1+N($N2090)*0.75+N($O2090)*0.5+N($P2090)*0.25)+$W2090*N($L2090))</f>
        <v/>
      </c>
      <c r="Z2090" s="35" t="str">
        <f aca="false">IF($G2090="","",$U2090*1000000+ROW())</f>
        <v/>
      </c>
      <c r="AA2090" s="36" t="str">
        <f aca="false">IF($G2090="","",MID(IF($C2090="",", no division","")&amp;IF($E2090="",", no unit","")&amp;IF($H2090="",", no career level","")&amp;IF(N($L2090)&lt;=0,", no quarter split","")&amp;IF($R2090="",", no driver","")&amp;IF(AND($H2090&lt;&gt;"",COUNTIF(CareerLevels,$H2090)=0),", a career level that is not on the ladder","")&amp;IF(AND($R2090&lt;&gt;"",COUNTIF(DriverList,$R2090)=0),", a driver that is not on the list","")&amp;IF(ABS(N($L2090)-(N($M2090)+N($N2090)+N($O2090)+N($P2090)))&gt;0.001,", a total that does not match its quarters",""),3,300))</f>
        <v/>
      </c>
    </row>
    <row r="2091" customFormat="false" ht="15" hidden="false" customHeight="false" outlineLevel="0" collapsed="false">
      <c r="A2091" s="33" t="str">
        <f aca="false">IF($G2091="","","Technology Group")</f>
        <v/>
      </c>
      <c r="B2091" s="19"/>
      <c r="C2091" s="19"/>
      <c r="D2091" s="19"/>
      <c r="E2091" s="19"/>
      <c r="F2091" s="19"/>
      <c r="G2091" s="19"/>
      <c r="H2091" s="19"/>
      <c r="I2091" s="19"/>
      <c r="J2091" s="19"/>
      <c r="K2091" s="19"/>
      <c r="L2091" s="19"/>
      <c r="M2091" s="19"/>
      <c r="N2091" s="19"/>
      <c r="O2091" s="19"/>
      <c r="P2091" s="19"/>
      <c r="Q2091" s="19"/>
      <c r="R2091" s="19"/>
      <c r="S2091" s="19"/>
      <c r="T2091" s="34" t="str">
        <f aca="false">IF($R2091="","",IFERROR(INDEX(DriverCategory,MATCH($R2091,DriverList,0)),"BAU"))</f>
        <v/>
      </c>
      <c r="U2091" s="34" t="str">
        <f aca="false">IF($R2091="","",IFERROR(INDEX(DriverRank,MATCH($R2091,DriverList,0)),99))</f>
        <v/>
      </c>
      <c r="V2091" s="35" t="n">
        <f aca="false">IF($H2091="",0,IFERROR(INDEX(LevelBasic,MATCH($H2091,LevelList,0))+INDEX(LevelHousing,MATCH($H2091,LevelList,0))+INDEX(LevelTransport,MATCH($H2091,LevelList,0))+INDEX(LevelBasic,MATCH($H2091,LevelList,0))*INDEX(LevelBonus,MATCH($H2091,LevelList,0))+(INDEX(LevelBasic,MATCH($H2091,LevelList,0))+INDEX(LevelHousing,MATCH($H2091,LevelList,0)))*GosiSaudi,0))</f>
        <v>0</v>
      </c>
      <c r="W2091" s="35" t="n">
        <f aca="false">IFERROR(INDEX(LevelOneOff,MATCH($H2091,LevelList,0)),0)</f>
        <v>0</v>
      </c>
      <c r="X2091" s="35" t="str">
        <f aca="false">IF($G2091="","",$V2091*N($L2091))</f>
        <v/>
      </c>
      <c r="Y2091" s="35" t="str">
        <f aca="false">IF($G2091="","",$V2091*(N($M2091)*1+N($N2091)*0.75+N($O2091)*0.5+N($P2091)*0.25)+$W2091*N($L2091))</f>
        <v/>
      </c>
      <c r="Z2091" s="35" t="str">
        <f aca="false">IF($G2091="","",$U2091*1000000+ROW())</f>
        <v/>
      </c>
      <c r="AA2091" s="36" t="str">
        <f aca="false">IF($G2091="","",MID(IF($C2091="",", no division","")&amp;IF($E2091="",", no unit","")&amp;IF($H2091="",", no career level","")&amp;IF(N($L2091)&lt;=0,", no quarter split","")&amp;IF($R2091="",", no driver","")&amp;IF(AND($H2091&lt;&gt;"",COUNTIF(CareerLevels,$H2091)=0),", a career level that is not on the ladder","")&amp;IF(AND($R2091&lt;&gt;"",COUNTIF(DriverList,$R2091)=0),", a driver that is not on the list","")&amp;IF(ABS(N($L2091)-(N($M2091)+N($N2091)+N($O2091)+N($P2091)))&gt;0.001,", a total that does not match its quarters",""),3,300))</f>
        <v/>
      </c>
    </row>
    <row r="2092" customFormat="false" ht="15" hidden="false" customHeight="false" outlineLevel="0" collapsed="false">
      <c r="A2092" s="33" t="str">
        <f aca="false">IF($G2092="","","Technology Group")</f>
        <v/>
      </c>
      <c r="B2092" s="19"/>
      <c r="C2092" s="19"/>
      <c r="D2092" s="19"/>
      <c r="E2092" s="19"/>
      <c r="F2092" s="19"/>
      <c r="G2092" s="19"/>
      <c r="H2092" s="19"/>
      <c r="I2092" s="19"/>
      <c r="J2092" s="19"/>
      <c r="K2092" s="19"/>
      <c r="L2092" s="19"/>
      <c r="M2092" s="19"/>
      <c r="N2092" s="19"/>
      <c r="O2092" s="19"/>
      <c r="P2092" s="19"/>
      <c r="Q2092" s="19"/>
      <c r="R2092" s="19"/>
      <c r="S2092" s="19"/>
      <c r="T2092" s="34" t="str">
        <f aca="false">IF($R2092="","",IFERROR(INDEX(DriverCategory,MATCH($R2092,DriverList,0)),"BAU"))</f>
        <v/>
      </c>
      <c r="U2092" s="34" t="str">
        <f aca="false">IF($R2092="","",IFERROR(INDEX(DriverRank,MATCH($R2092,DriverList,0)),99))</f>
        <v/>
      </c>
      <c r="V2092" s="35" t="n">
        <f aca="false">IF($H2092="",0,IFERROR(INDEX(LevelBasic,MATCH($H2092,LevelList,0))+INDEX(LevelHousing,MATCH($H2092,LevelList,0))+INDEX(LevelTransport,MATCH($H2092,LevelList,0))+INDEX(LevelBasic,MATCH($H2092,LevelList,0))*INDEX(LevelBonus,MATCH($H2092,LevelList,0))+(INDEX(LevelBasic,MATCH($H2092,LevelList,0))+INDEX(LevelHousing,MATCH($H2092,LevelList,0)))*GosiSaudi,0))</f>
        <v>0</v>
      </c>
      <c r="W2092" s="35" t="n">
        <f aca="false">IFERROR(INDEX(LevelOneOff,MATCH($H2092,LevelList,0)),0)</f>
        <v>0</v>
      </c>
      <c r="X2092" s="35" t="str">
        <f aca="false">IF($G2092="","",$V2092*N($L2092))</f>
        <v/>
      </c>
      <c r="Y2092" s="35" t="str">
        <f aca="false">IF($G2092="","",$V2092*(N($M2092)*1+N($N2092)*0.75+N($O2092)*0.5+N($P2092)*0.25)+$W2092*N($L2092))</f>
        <v/>
      </c>
      <c r="Z2092" s="35" t="str">
        <f aca="false">IF($G2092="","",$U2092*1000000+ROW())</f>
        <v/>
      </c>
      <c r="AA2092" s="36" t="str">
        <f aca="false">IF($G2092="","",MID(IF($C2092="",", no division","")&amp;IF($E2092="",", no unit","")&amp;IF($H2092="",", no career level","")&amp;IF(N($L2092)&lt;=0,", no quarter split","")&amp;IF($R2092="",", no driver","")&amp;IF(AND($H2092&lt;&gt;"",COUNTIF(CareerLevels,$H2092)=0),", a career level that is not on the ladder","")&amp;IF(AND($R2092&lt;&gt;"",COUNTIF(DriverList,$R2092)=0),", a driver that is not on the list","")&amp;IF(ABS(N($L2092)-(N($M2092)+N($N2092)+N($O2092)+N($P2092)))&gt;0.001,", a total that does not match its quarters",""),3,300))</f>
        <v/>
      </c>
    </row>
    <row r="2093" customFormat="false" ht="15" hidden="false" customHeight="false" outlineLevel="0" collapsed="false">
      <c r="A2093" s="33" t="str">
        <f aca="false">IF($G2093="","","Technology Group")</f>
        <v/>
      </c>
      <c r="B2093" s="19"/>
      <c r="C2093" s="19"/>
      <c r="D2093" s="19"/>
      <c r="E2093" s="19"/>
      <c r="F2093" s="19"/>
      <c r="G2093" s="19"/>
      <c r="H2093" s="19"/>
      <c r="I2093" s="19"/>
      <c r="J2093" s="19"/>
      <c r="K2093" s="19"/>
      <c r="L2093" s="19"/>
      <c r="M2093" s="19"/>
      <c r="N2093" s="19"/>
      <c r="O2093" s="19"/>
      <c r="P2093" s="19"/>
      <c r="Q2093" s="19"/>
      <c r="R2093" s="19"/>
      <c r="S2093" s="19"/>
      <c r="T2093" s="34" t="str">
        <f aca="false">IF($R2093="","",IFERROR(INDEX(DriverCategory,MATCH($R2093,DriverList,0)),"BAU"))</f>
        <v/>
      </c>
      <c r="U2093" s="34" t="str">
        <f aca="false">IF($R2093="","",IFERROR(INDEX(DriverRank,MATCH($R2093,DriverList,0)),99))</f>
        <v/>
      </c>
      <c r="V2093" s="35" t="n">
        <f aca="false">IF($H2093="",0,IFERROR(INDEX(LevelBasic,MATCH($H2093,LevelList,0))+INDEX(LevelHousing,MATCH($H2093,LevelList,0))+INDEX(LevelTransport,MATCH($H2093,LevelList,0))+INDEX(LevelBasic,MATCH($H2093,LevelList,0))*INDEX(LevelBonus,MATCH($H2093,LevelList,0))+(INDEX(LevelBasic,MATCH($H2093,LevelList,0))+INDEX(LevelHousing,MATCH($H2093,LevelList,0)))*GosiSaudi,0))</f>
        <v>0</v>
      </c>
      <c r="W2093" s="35" t="n">
        <f aca="false">IFERROR(INDEX(LevelOneOff,MATCH($H2093,LevelList,0)),0)</f>
        <v>0</v>
      </c>
      <c r="X2093" s="35" t="str">
        <f aca="false">IF($G2093="","",$V2093*N($L2093))</f>
        <v/>
      </c>
      <c r="Y2093" s="35" t="str">
        <f aca="false">IF($G2093="","",$V2093*(N($M2093)*1+N($N2093)*0.75+N($O2093)*0.5+N($P2093)*0.25)+$W2093*N($L2093))</f>
        <v/>
      </c>
      <c r="Z2093" s="35" t="str">
        <f aca="false">IF($G2093="","",$U2093*1000000+ROW())</f>
        <v/>
      </c>
      <c r="AA2093" s="36" t="str">
        <f aca="false">IF($G2093="","",MID(IF($C2093="",", no division","")&amp;IF($E2093="",", no unit","")&amp;IF($H2093="",", no career level","")&amp;IF(N($L2093)&lt;=0,", no quarter split","")&amp;IF($R2093="",", no driver","")&amp;IF(AND($H2093&lt;&gt;"",COUNTIF(CareerLevels,$H2093)=0),", a career level that is not on the ladder","")&amp;IF(AND($R2093&lt;&gt;"",COUNTIF(DriverList,$R2093)=0),", a driver that is not on the list","")&amp;IF(ABS(N($L2093)-(N($M2093)+N($N2093)+N($O2093)+N($P2093)))&gt;0.001,", a total that does not match its quarters",""),3,300))</f>
        <v/>
      </c>
    </row>
    <row r="2094" customFormat="false" ht="15" hidden="false" customHeight="false" outlineLevel="0" collapsed="false">
      <c r="A2094" s="33" t="str">
        <f aca="false">IF($G2094="","","Technology Group")</f>
        <v/>
      </c>
      <c r="B2094" s="19"/>
      <c r="C2094" s="19"/>
      <c r="D2094" s="19"/>
      <c r="E2094" s="19"/>
      <c r="F2094" s="19"/>
      <c r="G2094" s="19"/>
      <c r="H2094" s="19"/>
      <c r="I2094" s="19"/>
      <c r="J2094" s="19"/>
      <c r="K2094" s="19"/>
      <c r="L2094" s="19"/>
      <c r="M2094" s="19"/>
      <c r="N2094" s="19"/>
      <c r="O2094" s="19"/>
      <c r="P2094" s="19"/>
      <c r="Q2094" s="19"/>
      <c r="R2094" s="19"/>
      <c r="S2094" s="19"/>
      <c r="T2094" s="34" t="str">
        <f aca="false">IF($R2094="","",IFERROR(INDEX(DriverCategory,MATCH($R2094,DriverList,0)),"BAU"))</f>
        <v/>
      </c>
      <c r="U2094" s="34" t="str">
        <f aca="false">IF($R2094="","",IFERROR(INDEX(DriverRank,MATCH($R2094,DriverList,0)),99))</f>
        <v/>
      </c>
      <c r="V2094" s="35" t="n">
        <f aca="false">IF($H2094="",0,IFERROR(INDEX(LevelBasic,MATCH($H2094,LevelList,0))+INDEX(LevelHousing,MATCH($H2094,LevelList,0))+INDEX(LevelTransport,MATCH($H2094,LevelList,0))+INDEX(LevelBasic,MATCH($H2094,LevelList,0))*INDEX(LevelBonus,MATCH($H2094,LevelList,0))+(INDEX(LevelBasic,MATCH($H2094,LevelList,0))+INDEX(LevelHousing,MATCH($H2094,LevelList,0)))*GosiSaudi,0))</f>
        <v>0</v>
      </c>
      <c r="W2094" s="35" t="n">
        <f aca="false">IFERROR(INDEX(LevelOneOff,MATCH($H2094,LevelList,0)),0)</f>
        <v>0</v>
      </c>
      <c r="X2094" s="35" t="str">
        <f aca="false">IF($G2094="","",$V2094*N($L2094))</f>
        <v/>
      </c>
      <c r="Y2094" s="35" t="str">
        <f aca="false">IF($G2094="","",$V2094*(N($M2094)*1+N($N2094)*0.75+N($O2094)*0.5+N($P2094)*0.25)+$W2094*N($L2094))</f>
        <v/>
      </c>
      <c r="Z2094" s="35" t="str">
        <f aca="false">IF($G2094="","",$U2094*1000000+ROW())</f>
        <v/>
      </c>
      <c r="AA2094" s="36" t="str">
        <f aca="false">IF($G2094="","",MID(IF($C2094="",", no division","")&amp;IF($E2094="",", no unit","")&amp;IF($H2094="",", no career level","")&amp;IF(N($L2094)&lt;=0,", no quarter split","")&amp;IF($R2094="",", no driver","")&amp;IF(AND($H2094&lt;&gt;"",COUNTIF(CareerLevels,$H2094)=0),", a career level that is not on the ladder","")&amp;IF(AND($R2094&lt;&gt;"",COUNTIF(DriverList,$R2094)=0),", a driver that is not on the list","")&amp;IF(ABS(N($L2094)-(N($M2094)+N($N2094)+N($O2094)+N($P2094)))&gt;0.001,", a total that does not match its quarters",""),3,300))</f>
        <v/>
      </c>
    </row>
    <row r="2095" customFormat="false" ht="15" hidden="false" customHeight="false" outlineLevel="0" collapsed="false">
      <c r="A2095" s="33" t="str">
        <f aca="false">IF($G2095="","","Technology Group")</f>
        <v/>
      </c>
      <c r="B2095" s="19"/>
      <c r="C2095" s="19"/>
      <c r="D2095" s="19"/>
      <c r="E2095" s="19"/>
      <c r="F2095" s="19"/>
      <c r="G2095" s="19"/>
      <c r="H2095" s="19"/>
      <c r="I2095" s="19"/>
      <c r="J2095" s="19"/>
      <c r="K2095" s="19"/>
      <c r="L2095" s="19"/>
      <c r="M2095" s="19"/>
      <c r="N2095" s="19"/>
      <c r="O2095" s="19"/>
      <c r="P2095" s="19"/>
      <c r="Q2095" s="19"/>
      <c r="R2095" s="19"/>
      <c r="S2095" s="19"/>
      <c r="T2095" s="34" t="str">
        <f aca="false">IF($R2095="","",IFERROR(INDEX(DriverCategory,MATCH($R2095,DriverList,0)),"BAU"))</f>
        <v/>
      </c>
      <c r="U2095" s="34" t="str">
        <f aca="false">IF($R2095="","",IFERROR(INDEX(DriverRank,MATCH($R2095,DriverList,0)),99))</f>
        <v/>
      </c>
      <c r="V2095" s="35" t="n">
        <f aca="false">IF($H2095="",0,IFERROR(INDEX(LevelBasic,MATCH($H2095,LevelList,0))+INDEX(LevelHousing,MATCH($H2095,LevelList,0))+INDEX(LevelTransport,MATCH($H2095,LevelList,0))+INDEX(LevelBasic,MATCH($H2095,LevelList,0))*INDEX(LevelBonus,MATCH($H2095,LevelList,0))+(INDEX(LevelBasic,MATCH($H2095,LevelList,0))+INDEX(LevelHousing,MATCH($H2095,LevelList,0)))*GosiSaudi,0))</f>
        <v>0</v>
      </c>
      <c r="W2095" s="35" t="n">
        <f aca="false">IFERROR(INDEX(LevelOneOff,MATCH($H2095,LevelList,0)),0)</f>
        <v>0</v>
      </c>
      <c r="X2095" s="35" t="str">
        <f aca="false">IF($G2095="","",$V2095*N($L2095))</f>
        <v/>
      </c>
      <c r="Y2095" s="35" t="str">
        <f aca="false">IF($G2095="","",$V2095*(N($M2095)*1+N($N2095)*0.75+N($O2095)*0.5+N($P2095)*0.25)+$W2095*N($L2095))</f>
        <v/>
      </c>
      <c r="Z2095" s="35" t="str">
        <f aca="false">IF($G2095="","",$U2095*1000000+ROW())</f>
        <v/>
      </c>
      <c r="AA2095" s="36" t="str">
        <f aca="false">IF($G2095="","",MID(IF($C2095="",", no division","")&amp;IF($E2095="",", no unit","")&amp;IF($H2095="",", no career level","")&amp;IF(N($L2095)&lt;=0,", no quarter split","")&amp;IF($R2095="",", no driver","")&amp;IF(AND($H2095&lt;&gt;"",COUNTIF(CareerLevels,$H2095)=0),", a career level that is not on the ladder","")&amp;IF(AND($R2095&lt;&gt;"",COUNTIF(DriverList,$R2095)=0),", a driver that is not on the list","")&amp;IF(ABS(N($L2095)-(N($M2095)+N($N2095)+N($O2095)+N($P2095)))&gt;0.001,", a total that does not match its quarters",""),3,300))</f>
        <v/>
      </c>
    </row>
    <row r="2096" customFormat="false" ht="15" hidden="false" customHeight="false" outlineLevel="0" collapsed="false">
      <c r="A2096" s="33" t="str">
        <f aca="false">IF($G2096="","","Technology Group")</f>
        <v/>
      </c>
      <c r="B2096" s="19"/>
      <c r="C2096" s="19"/>
      <c r="D2096" s="19"/>
      <c r="E2096" s="19"/>
      <c r="F2096" s="19"/>
      <c r="G2096" s="19"/>
      <c r="H2096" s="19"/>
      <c r="I2096" s="19"/>
      <c r="J2096" s="19"/>
      <c r="K2096" s="19"/>
      <c r="L2096" s="19"/>
      <c r="M2096" s="19"/>
      <c r="N2096" s="19"/>
      <c r="O2096" s="19"/>
      <c r="P2096" s="19"/>
      <c r="Q2096" s="19"/>
      <c r="R2096" s="19"/>
      <c r="S2096" s="19"/>
      <c r="T2096" s="34" t="str">
        <f aca="false">IF($R2096="","",IFERROR(INDEX(DriverCategory,MATCH($R2096,DriverList,0)),"BAU"))</f>
        <v/>
      </c>
      <c r="U2096" s="34" t="str">
        <f aca="false">IF($R2096="","",IFERROR(INDEX(DriverRank,MATCH($R2096,DriverList,0)),99))</f>
        <v/>
      </c>
      <c r="V2096" s="35" t="n">
        <f aca="false">IF($H2096="",0,IFERROR(INDEX(LevelBasic,MATCH($H2096,LevelList,0))+INDEX(LevelHousing,MATCH($H2096,LevelList,0))+INDEX(LevelTransport,MATCH($H2096,LevelList,0))+INDEX(LevelBasic,MATCH($H2096,LevelList,0))*INDEX(LevelBonus,MATCH($H2096,LevelList,0))+(INDEX(LevelBasic,MATCH($H2096,LevelList,0))+INDEX(LevelHousing,MATCH($H2096,LevelList,0)))*GosiSaudi,0))</f>
        <v>0</v>
      </c>
      <c r="W2096" s="35" t="n">
        <f aca="false">IFERROR(INDEX(LevelOneOff,MATCH($H2096,LevelList,0)),0)</f>
        <v>0</v>
      </c>
      <c r="X2096" s="35" t="str">
        <f aca="false">IF($G2096="","",$V2096*N($L2096))</f>
        <v/>
      </c>
      <c r="Y2096" s="35" t="str">
        <f aca="false">IF($G2096="","",$V2096*(N($M2096)*1+N($N2096)*0.75+N($O2096)*0.5+N($P2096)*0.25)+$W2096*N($L2096))</f>
        <v/>
      </c>
      <c r="Z2096" s="35" t="str">
        <f aca="false">IF($G2096="","",$U2096*1000000+ROW())</f>
        <v/>
      </c>
      <c r="AA2096" s="36" t="str">
        <f aca="false">IF($G2096="","",MID(IF($C2096="",", no division","")&amp;IF($E2096="",", no unit","")&amp;IF($H2096="",", no career level","")&amp;IF(N($L2096)&lt;=0,", no quarter split","")&amp;IF($R2096="",", no driver","")&amp;IF(AND($H2096&lt;&gt;"",COUNTIF(CareerLevels,$H2096)=0),", a career level that is not on the ladder","")&amp;IF(AND($R2096&lt;&gt;"",COUNTIF(DriverList,$R2096)=0),", a driver that is not on the list","")&amp;IF(ABS(N($L2096)-(N($M2096)+N($N2096)+N($O2096)+N($P2096)))&gt;0.001,", a total that does not match its quarters",""),3,300))</f>
        <v/>
      </c>
    </row>
    <row r="2097" customFormat="false" ht="15" hidden="false" customHeight="false" outlineLevel="0" collapsed="false">
      <c r="A2097" s="33" t="str">
        <f aca="false">IF($G2097="","","Technology Group")</f>
        <v/>
      </c>
      <c r="B2097" s="19"/>
      <c r="C2097" s="19"/>
      <c r="D2097" s="19"/>
      <c r="E2097" s="19"/>
      <c r="F2097" s="19"/>
      <c r="G2097" s="19"/>
      <c r="H2097" s="19"/>
      <c r="I2097" s="19"/>
      <c r="J2097" s="19"/>
      <c r="K2097" s="19"/>
      <c r="L2097" s="19"/>
      <c r="M2097" s="19"/>
      <c r="N2097" s="19"/>
      <c r="O2097" s="19"/>
      <c r="P2097" s="19"/>
      <c r="Q2097" s="19"/>
      <c r="R2097" s="19"/>
      <c r="S2097" s="19"/>
      <c r="T2097" s="34" t="str">
        <f aca="false">IF($R2097="","",IFERROR(INDEX(DriverCategory,MATCH($R2097,DriverList,0)),"BAU"))</f>
        <v/>
      </c>
      <c r="U2097" s="34" t="str">
        <f aca="false">IF($R2097="","",IFERROR(INDEX(DriverRank,MATCH($R2097,DriverList,0)),99))</f>
        <v/>
      </c>
      <c r="V2097" s="35" t="n">
        <f aca="false">IF($H2097="",0,IFERROR(INDEX(LevelBasic,MATCH($H2097,LevelList,0))+INDEX(LevelHousing,MATCH($H2097,LevelList,0))+INDEX(LevelTransport,MATCH($H2097,LevelList,0))+INDEX(LevelBasic,MATCH($H2097,LevelList,0))*INDEX(LevelBonus,MATCH($H2097,LevelList,0))+(INDEX(LevelBasic,MATCH($H2097,LevelList,0))+INDEX(LevelHousing,MATCH($H2097,LevelList,0)))*GosiSaudi,0))</f>
        <v>0</v>
      </c>
      <c r="W2097" s="35" t="n">
        <f aca="false">IFERROR(INDEX(LevelOneOff,MATCH($H2097,LevelList,0)),0)</f>
        <v>0</v>
      </c>
      <c r="X2097" s="35" t="str">
        <f aca="false">IF($G2097="","",$V2097*N($L2097))</f>
        <v/>
      </c>
      <c r="Y2097" s="35" t="str">
        <f aca="false">IF($G2097="","",$V2097*(N($M2097)*1+N($N2097)*0.75+N($O2097)*0.5+N($P2097)*0.25)+$W2097*N($L2097))</f>
        <v/>
      </c>
      <c r="Z2097" s="35" t="str">
        <f aca="false">IF($G2097="","",$U2097*1000000+ROW())</f>
        <v/>
      </c>
      <c r="AA2097" s="36" t="str">
        <f aca="false">IF($G2097="","",MID(IF($C2097="",", no division","")&amp;IF($E2097="",", no unit","")&amp;IF($H2097="",", no career level","")&amp;IF(N($L2097)&lt;=0,", no quarter split","")&amp;IF($R2097="",", no driver","")&amp;IF(AND($H2097&lt;&gt;"",COUNTIF(CareerLevels,$H2097)=0),", a career level that is not on the ladder","")&amp;IF(AND($R2097&lt;&gt;"",COUNTIF(DriverList,$R2097)=0),", a driver that is not on the list","")&amp;IF(ABS(N($L2097)-(N($M2097)+N($N2097)+N($O2097)+N($P2097)))&gt;0.001,", a total that does not match its quarters",""),3,300))</f>
        <v/>
      </c>
    </row>
    <row r="2098" customFormat="false" ht="15" hidden="false" customHeight="false" outlineLevel="0" collapsed="false">
      <c r="A2098" s="33" t="str">
        <f aca="false">IF($G2098="","","Technology Group")</f>
        <v/>
      </c>
      <c r="B2098" s="19"/>
      <c r="C2098" s="19"/>
      <c r="D2098" s="19"/>
      <c r="E2098" s="19"/>
      <c r="F2098" s="19"/>
      <c r="G2098" s="19"/>
      <c r="H2098" s="19"/>
      <c r="I2098" s="19"/>
      <c r="J2098" s="19"/>
      <c r="K2098" s="19"/>
      <c r="L2098" s="19"/>
      <c r="M2098" s="19"/>
      <c r="N2098" s="19"/>
      <c r="O2098" s="19"/>
      <c r="P2098" s="19"/>
      <c r="Q2098" s="19"/>
      <c r="R2098" s="19"/>
      <c r="S2098" s="19"/>
      <c r="T2098" s="34" t="str">
        <f aca="false">IF($R2098="","",IFERROR(INDEX(DriverCategory,MATCH($R2098,DriverList,0)),"BAU"))</f>
        <v/>
      </c>
      <c r="U2098" s="34" t="str">
        <f aca="false">IF($R2098="","",IFERROR(INDEX(DriverRank,MATCH($R2098,DriverList,0)),99))</f>
        <v/>
      </c>
      <c r="V2098" s="35" t="n">
        <f aca="false">IF($H2098="",0,IFERROR(INDEX(LevelBasic,MATCH($H2098,LevelList,0))+INDEX(LevelHousing,MATCH($H2098,LevelList,0))+INDEX(LevelTransport,MATCH($H2098,LevelList,0))+INDEX(LevelBasic,MATCH($H2098,LevelList,0))*INDEX(LevelBonus,MATCH($H2098,LevelList,0))+(INDEX(LevelBasic,MATCH($H2098,LevelList,0))+INDEX(LevelHousing,MATCH($H2098,LevelList,0)))*GosiSaudi,0))</f>
        <v>0</v>
      </c>
      <c r="W2098" s="35" t="n">
        <f aca="false">IFERROR(INDEX(LevelOneOff,MATCH($H2098,LevelList,0)),0)</f>
        <v>0</v>
      </c>
      <c r="X2098" s="35" t="str">
        <f aca="false">IF($G2098="","",$V2098*N($L2098))</f>
        <v/>
      </c>
      <c r="Y2098" s="35" t="str">
        <f aca="false">IF($G2098="","",$V2098*(N($M2098)*1+N($N2098)*0.75+N($O2098)*0.5+N($P2098)*0.25)+$W2098*N($L2098))</f>
        <v/>
      </c>
      <c r="Z2098" s="35" t="str">
        <f aca="false">IF($G2098="","",$U2098*1000000+ROW())</f>
        <v/>
      </c>
      <c r="AA2098" s="36" t="str">
        <f aca="false">IF($G2098="","",MID(IF($C2098="",", no division","")&amp;IF($E2098="",", no unit","")&amp;IF($H2098="",", no career level","")&amp;IF(N($L2098)&lt;=0,", no quarter split","")&amp;IF($R2098="",", no driver","")&amp;IF(AND($H2098&lt;&gt;"",COUNTIF(CareerLevels,$H2098)=0),", a career level that is not on the ladder","")&amp;IF(AND($R2098&lt;&gt;"",COUNTIF(DriverList,$R2098)=0),", a driver that is not on the list","")&amp;IF(ABS(N($L2098)-(N($M2098)+N($N2098)+N($O2098)+N($P2098)))&gt;0.001,", a total that does not match its quarters",""),3,300))</f>
        <v/>
      </c>
    </row>
    <row r="2099" customFormat="false" ht="15" hidden="false" customHeight="false" outlineLevel="0" collapsed="false">
      <c r="A2099" s="33" t="str">
        <f aca="false">IF($G2099="","","Technology Group")</f>
        <v/>
      </c>
      <c r="B2099" s="19"/>
      <c r="C2099" s="19"/>
      <c r="D2099" s="19"/>
      <c r="E2099" s="19"/>
      <c r="F2099" s="19"/>
      <c r="G2099" s="19"/>
      <c r="H2099" s="19"/>
      <c r="I2099" s="19"/>
      <c r="J2099" s="19"/>
      <c r="K2099" s="19"/>
      <c r="L2099" s="19"/>
      <c r="M2099" s="19"/>
      <c r="N2099" s="19"/>
      <c r="O2099" s="19"/>
      <c r="P2099" s="19"/>
      <c r="Q2099" s="19"/>
      <c r="R2099" s="19"/>
      <c r="S2099" s="19"/>
      <c r="T2099" s="34" t="str">
        <f aca="false">IF($R2099="","",IFERROR(INDEX(DriverCategory,MATCH($R2099,DriverList,0)),"BAU"))</f>
        <v/>
      </c>
      <c r="U2099" s="34" t="str">
        <f aca="false">IF($R2099="","",IFERROR(INDEX(DriverRank,MATCH($R2099,DriverList,0)),99))</f>
        <v/>
      </c>
      <c r="V2099" s="35" t="n">
        <f aca="false">IF($H2099="",0,IFERROR(INDEX(LevelBasic,MATCH($H2099,LevelList,0))+INDEX(LevelHousing,MATCH($H2099,LevelList,0))+INDEX(LevelTransport,MATCH($H2099,LevelList,0))+INDEX(LevelBasic,MATCH($H2099,LevelList,0))*INDEX(LevelBonus,MATCH($H2099,LevelList,0))+(INDEX(LevelBasic,MATCH($H2099,LevelList,0))+INDEX(LevelHousing,MATCH($H2099,LevelList,0)))*GosiSaudi,0))</f>
        <v>0</v>
      </c>
      <c r="W2099" s="35" t="n">
        <f aca="false">IFERROR(INDEX(LevelOneOff,MATCH($H2099,LevelList,0)),0)</f>
        <v>0</v>
      </c>
      <c r="X2099" s="35" t="str">
        <f aca="false">IF($G2099="","",$V2099*N($L2099))</f>
        <v/>
      </c>
      <c r="Y2099" s="35" t="str">
        <f aca="false">IF($G2099="","",$V2099*(N($M2099)*1+N($N2099)*0.75+N($O2099)*0.5+N($P2099)*0.25)+$W2099*N($L2099))</f>
        <v/>
      </c>
      <c r="Z2099" s="35" t="str">
        <f aca="false">IF($G2099="","",$U2099*1000000+ROW())</f>
        <v/>
      </c>
      <c r="AA2099" s="36" t="str">
        <f aca="false">IF($G2099="","",MID(IF($C2099="",", no division","")&amp;IF($E2099="",", no unit","")&amp;IF($H2099="",", no career level","")&amp;IF(N($L2099)&lt;=0,", no quarter split","")&amp;IF($R2099="",", no driver","")&amp;IF(AND($H2099&lt;&gt;"",COUNTIF(CareerLevels,$H2099)=0),", a career level that is not on the ladder","")&amp;IF(AND($R2099&lt;&gt;"",COUNTIF(DriverList,$R2099)=0),", a driver that is not on the list","")&amp;IF(ABS(N($L2099)-(N($M2099)+N($N2099)+N($O2099)+N($P2099)))&gt;0.001,", a total that does not match its quarters",""),3,300))</f>
        <v/>
      </c>
    </row>
    <row r="2100" customFormat="false" ht="15" hidden="false" customHeight="false" outlineLevel="0" collapsed="false">
      <c r="A2100" s="33" t="str">
        <f aca="false">IF($G2100="","","Technology Group")</f>
        <v/>
      </c>
      <c r="B2100" s="19"/>
      <c r="C2100" s="19"/>
      <c r="D2100" s="19"/>
      <c r="E2100" s="19"/>
      <c r="F2100" s="19"/>
      <c r="G2100" s="19"/>
      <c r="H2100" s="19"/>
      <c r="I2100" s="19"/>
      <c r="J2100" s="19"/>
      <c r="K2100" s="19"/>
      <c r="L2100" s="19"/>
      <c r="M2100" s="19"/>
      <c r="N2100" s="19"/>
      <c r="O2100" s="19"/>
      <c r="P2100" s="19"/>
      <c r="Q2100" s="19"/>
      <c r="R2100" s="19"/>
      <c r="S2100" s="19"/>
      <c r="T2100" s="34" t="str">
        <f aca="false">IF($R2100="","",IFERROR(INDEX(DriverCategory,MATCH($R2100,DriverList,0)),"BAU"))</f>
        <v/>
      </c>
      <c r="U2100" s="34" t="str">
        <f aca="false">IF($R2100="","",IFERROR(INDEX(DriverRank,MATCH($R2100,DriverList,0)),99))</f>
        <v/>
      </c>
      <c r="V2100" s="35" t="n">
        <f aca="false">IF($H2100="",0,IFERROR(INDEX(LevelBasic,MATCH($H2100,LevelList,0))+INDEX(LevelHousing,MATCH($H2100,LevelList,0))+INDEX(LevelTransport,MATCH($H2100,LevelList,0))+INDEX(LevelBasic,MATCH($H2100,LevelList,0))*INDEX(LevelBonus,MATCH($H2100,LevelList,0))+(INDEX(LevelBasic,MATCH($H2100,LevelList,0))+INDEX(LevelHousing,MATCH($H2100,LevelList,0)))*GosiSaudi,0))</f>
        <v>0</v>
      </c>
      <c r="W2100" s="35" t="n">
        <f aca="false">IFERROR(INDEX(LevelOneOff,MATCH($H2100,LevelList,0)),0)</f>
        <v>0</v>
      </c>
      <c r="X2100" s="35" t="str">
        <f aca="false">IF($G2100="","",$V2100*N($L2100))</f>
        <v/>
      </c>
      <c r="Y2100" s="35" t="str">
        <f aca="false">IF($G2100="","",$V2100*(N($M2100)*1+N($N2100)*0.75+N($O2100)*0.5+N($P2100)*0.25)+$W2100*N($L2100))</f>
        <v/>
      </c>
      <c r="Z2100" s="35" t="str">
        <f aca="false">IF($G2100="","",$U2100*1000000+ROW())</f>
        <v/>
      </c>
      <c r="AA2100" s="36" t="str">
        <f aca="false">IF($G2100="","",MID(IF($C2100="",", no division","")&amp;IF($E2100="",", no unit","")&amp;IF($H2100="",", no career level","")&amp;IF(N($L2100)&lt;=0,", no quarter split","")&amp;IF($R2100="",", no driver","")&amp;IF(AND($H2100&lt;&gt;"",COUNTIF(CareerLevels,$H2100)=0),", a career level that is not on the ladder","")&amp;IF(AND($R2100&lt;&gt;"",COUNTIF(DriverList,$R2100)=0),", a driver that is not on the list","")&amp;IF(ABS(N($L2100)-(N($M2100)+N($N2100)+N($O2100)+N($P2100)))&gt;0.001,", a total that does not match its quarters",""),3,300))</f>
        <v/>
      </c>
    </row>
    <row r="2101" customFormat="false" ht="15" hidden="false" customHeight="false" outlineLevel="0" collapsed="false">
      <c r="A2101" s="33" t="str">
        <f aca="false">IF($G2101="","","Technology Group")</f>
        <v/>
      </c>
      <c r="B2101" s="19"/>
      <c r="C2101" s="19"/>
      <c r="D2101" s="19"/>
      <c r="E2101" s="19"/>
      <c r="F2101" s="19"/>
      <c r="G2101" s="19"/>
      <c r="H2101" s="19"/>
      <c r="I2101" s="19"/>
      <c r="J2101" s="19"/>
      <c r="K2101" s="19"/>
      <c r="L2101" s="19"/>
      <c r="M2101" s="19"/>
      <c r="N2101" s="19"/>
      <c r="O2101" s="19"/>
      <c r="P2101" s="19"/>
      <c r="Q2101" s="19"/>
      <c r="R2101" s="19"/>
      <c r="S2101" s="19"/>
      <c r="T2101" s="34" t="str">
        <f aca="false">IF($R2101="","",IFERROR(INDEX(DriverCategory,MATCH($R2101,DriverList,0)),"BAU"))</f>
        <v/>
      </c>
      <c r="U2101" s="34" t="str">
        <f aca="false">IF($R2101="","",IFERROR(INDEX(DriverRank,MATCH($R2101,DriverList,0)),99))</f>
        <v/>
      </c>
      <c r="V2101" s="35" t="n">
        <f aca="false">IF($H2101="",0,IFERROR(INDEX(LevelBasic,MATCH($H2101,LevelList,0))+INDEX(LevelHousing,MATCH($H2101,LevelList,0))+INDEX(LevelTransport,MATCH($H2101,LevelList,0))+INDEX(LevelBasic,MATCH($H2101,LevelList,0))*INDEX(LevelBonus,MATCH($H2101,LevelList,0))+(INDEX(LevelBasic,MATCH($H2101,LevelList,0))+INDEX(LevelHousing,MATCH($H2101,LevelList,0)))*GosiSaudi,0))</f>
        <v>0</v>
      </c>
      <c r="W2101" s="35" t="n">
        <f aca="false">IFERROR(INDEX(LevelOneOff,MATCH($H2101,LevelList,0)),0)</f>
        <v>0</v>
      </c>
      <c r="X2101" s="35" t="str">
        <f aca="false">IF($G2101="","",$V2101*N($L2101))</f>
        <v/>
      </c>
      <c r="Y2101" s="35" t="str">
        <f aca="false">IF($G2101="","",$V2101*(N($M2101)*1+N($N2101)*0.75+N($O2101)*0.5+N($P2101)*0.25)+$W2101*N($L2101))</f>
        <v/>
      </c>
      <c r="Z2101" s="35" t="str">
        <f aca="false">IF($G2101="","",$U2101*1000000+ROW())</f>
        <v/>
      </c>
      <c r="AA2101" s="36" t="str">
        <f aca="false">IF($G2101="","",MID(IF($C2101="",", no division","")&amp;IF($E2101="",", no unit","")&amp;IF($H2101="",", no career level","")&amp;IF(N($L2101)&lt;=0,", no quarter split","")&amp;IF($R2101="",", no driver","")&amp;IF(AND($H2101&lt;&gt;"",COUNTIF(CareerLevels,$H2101)=0),", a career level that is not on the ladder","")&amp;IF(AND($R2101&lt;&gt;"",COUNTIF(DriverList,$R2101)=0),", a driver that is not on the list","")&amp;IF(ABS(N($L2101)-(N($M2101)+N($N2101)+N($O2101)+N($P2101)))&gt;0.001,", a total that does not match its quarters",""),3,300))</f>
        <v/>
      </c>
    </row>
    <row r="2102" customFormat="false" ht="15" hidden="false" customHeight="false" outlineLevel="0" collapsed="false">
      <c r="A2102" s="33" t="str">
        <f aca="false">IF($G2102="","","Technology Group")</f>
        <v/>
      </c>
      <c r="B2102" s="19"/>
      <c r="C2102" s="19"/>
      <c r="D2102" s="19"/>
      <c r="E2102" s="19"/>
      <c r="F2102" s="19"/>
      <c r="G2102" s="19"/>
      <c r="H2102" s="19"/>
      <c r="I2102" s="19"/>
      <c r="J2102" s="19"/>
      <c r="K2102" s="19"/>
      <c r="L2102" s="19"/>
      <c r="M2102" s="19"/>
      <c r="N2102" s="19"/>
      <c r="O2102" s="19"/>
      <c r="P2102" s="19"/>
      <c r="Q2102" s="19"/>
      <c r="R2102" s="19"/>
      <c r="S2102" s="19"/>
      <c r="T2102" s="34" t="str">
        <f aca="false">IF($R2102="","",IFERROR(INDEX(DriverCategory,MATCH($R2102,DriverList,0)),"BAU"))</f>
        <v/>
      </c>
      <c r="U2102" s="34" t="str">
        <f aca="false">IF($R2102="","",IFERROR(INDEX(DriverRank,MATCH($R2102,DriverList,0)),99))</f>
        <v/>
      </c>
      <c r="V2102" s="35" t="n">
        <f aca="false">IF($H2102="",0,IFERROR(INDEX(LevelBasic,MATCH($H2102,LevelList,0))+INDEX(LevelHousing,MATCH($H2102,LevelList,0))+INDEX(LevelTransport,MATCH($H2102,LevelList,0))+INDEX(LevelBasic,MATCH($H2102,LevelList,0))*INDEX(LevelBonus,MATCH($H2102,LevelList,0))+(INDEX(LevelBasic,MATCH($H2102,LevelList,0))+INDEX(LevelHousing,MATCH($H2102,LevelList,0)))*GosiSaudi,0))</f>
        <v>0</v>
      </c>
      <c r="W2102" s="35" t="n">
        <f aca="false">IFERROR(INDEX(LevelOneOff,MATCH($H2102,LevelList,0)),0)</f>
        <v>0</v>
      </c>
      <c r="X2102" s="35" t="str">
        <f aca="false">IF($G2102="","",$V2102*N($L2102))</f>
        <v/>
      </c>
      <c r="Y2102" s="35" t="str">
        <f aca="false">IF($G2102="","",$V2102*(N($M2102)*1+N($N2102)*0.75+N($O2102)*0.5+N($P2102)*0.25)+$W2102*N($L2102))</f>
        <v/>
      </c>
      <c r="Z2102" s="35" t="str">
        <f aca="false">IF($G2102="","",$U2102*1000000+ROW())</f>
        <v/>
      </c>
      <c r="AA2102" s="36" t="str">
        <f aca="false">IF($G2102="","",MID(IF($C2102="",", no division","")&amp;IF($E2102="",", no unit","")&amp;IF($H2102="",", no career level","")&amp;IF(N($L2102)&lt;=0,", no quarter split","")&amp;IF($R2102="",", no driver","")&amp;IF(AND($H2102&lt;&gt;"",COUNTIF(CareerLevels,$H2102)=0),", a career level that is not on the ladder","")&amp;IF(AND($R2102&lt;&gt;"",COUNTIF(DriverList,$R2102)=0),", a driver that is not on the list","")&amp;IF(ABS(N($L2102)-(N($M2102)+N($N2102)+N($O2102)+N($P2102)))&gt;0.001,", a total that does not match its quarters",""),3,300))</f>
        <v/>
      </c>
    </row>
    <row r="2103" customFormat="false" ht="15" hidden="false" customHeight="false" outlineLevel="0" collapsed="false">
      <c r="A2103" s="33" t="str">
        <f aca="false">IF($G2103="","","Technology Group")</f>
        <v/>
      </c>
      <c r="B2103" s="19"/>
      <c r="C2103" s="19"/>
      <c r="D2103" s="19"/>
      <c r="E2103" s="19"/>
      <c r="F2103" s="19"/>
      <c r="G2103" s="19"/>
      <c r="H2103" s="19"/>
      <c r="I2103" s="19"/>
      <c r="J2103" s="19"/>
      <c r="K2103" s="19"/>
      <c r="L2103" s="19"/>
      <c r="M2103" s="19"/>
      <c r="N2103" s="19"/>
      <c r="O2103" s="19"/>
      <c r="P2103" s="19"/>
      <c r="Q2103" s="19"/>
      <c r="R2103" s="19"/>
      <c r="S2103" s="19"/>
      <c r="T2103" s="34" t="str">
        <f aca="false">IF($R2103="","",IFERROR(INDEX(DriverCategory,MATCH($R2103,DriverList,0)),"BAU"))</f>
        <v/>
      </c>
      <c r="U2103" s="34" t="str">
        <f aca="false">IF($R2103="","",IFERROR(INDEX(DriverRank,MATCH($R2103,DriverList,0)),99))</f>
        <v/>
      </c>
      <c r="V2103" s="35" t="n">
        <f aca="false">IF($H2103="",0,IFERROR(INDEX(LevelBasic,MATCH($H2103,LevelList,0))+INDEX(LevelHousing,MATCH($H2103,LevelList,0))+INDEX(LevelTransport,MATCH($H2103,LevelList,0))+INDEX(LevelBasic,MATCH($H2103,LevelList,0))*INDEX(LevelBonus,MATCH($H2103,LevelList,0))+(INDEX(LevelBasic,MATCH($H2103,LevelList,0))+INDEX(LevelHousing,MATCH($H2103,LevelList,0)))*GosiSaudi,0))</f>
        <v>0</v>
      </c>
      <c r="W2103" s="35" t="n">
        <f aca="false">IFERROR(INDEX(LevelOneOff,MATCH($H2103,LevelList,0)),0)</f>
        <v>0</v>
      </c>
      <c r="X2103" s="35" t="str">
        <f aca="false">IF($G2103="","",$V2103*N($L2103))</f>
        <v/>
      </c>
      <c r="Y2103" s="35" t="str">
        <f aca="false">IF($G2103="","",$V2103*(N($M2103)*1+N($N2103)*0.75+N($O2103)*0.5+N($P2103)*0.25)+$W2103*N($L2103))</f>
        <v/>
      </c>
      <c r="Z2103" s="35" t="str">
        <f aca="false">IF($G2103="","",$U2103*1000000+ROW())</f>
        <v/>
      </c>
      <c r="AA2103" s="36" t="str">
        <f aca="false">IF($G2103="","",MID(IF($C2103="",", no division","")&amp;IF($E2103="",", no unit","")&amp;IF($H2103="",", no career level","")&amp;IF(N($L2103)&lt;=0,", no quarter split","")&amp;IF($R2103="",", no driver","")&amp;IF(AND($H2103&lt;&gt;"",COUNTIF(CareerLevels,$H2103)=0),", a career level that is not on the ladder","")&amp;IF(AND($R2103&lt;&gt;"",COUNTIF(DriverList,$R2103)=0),", a driver that is not on the list","")&amp;IF(ABS(N($L2103)-(N($M2103)+N($N2103)+N($O2103)+N($P2103)))&gt;0.001,", a total that does not match its quarters",""),3,300))</f>
        <v/>
      </c>
    </row>
    <row r="2104" customFormat="false" ht="15" hidden="false" customHeight="false" outlineLevel="0" collapsed="false">
      <c r="A2104" s="33" t="str">
        <f aca="false">IF($G2104="","","Technology Group")</f>
        <v/>
      </c>
      <c r="B2104" s="19"/>
      <c r="C2104" s="19"/>
      <c r="D2104" s="19"/>
      <c r="E2104" s="19"/>
      <c r="F2104" s="19"/>
      <c r="G2104" s="19"/>
      <c r="H2104" s="19"/>
      <c r="I2104" s="19"/>
      <c r="J2104" s="19"/>
      <c r="K2104" s="19"/>
      <c r="L2104" s="19"/>
      <c r="M2104" s="19"/>
      <c r="N2104" s="19"/>
      <c r="O2104" s="19"/>
      <c r="P2104" s="19"/>
      <c r="Q2104" s="19"/>
      <c r="R2104" s="19"/>
      <c r="S2104" s="19"/>
      <c r="T2104" s="34" t="str">
        <f aca="false">IF($R2104="","",IFERROR(INDEX(DriverCategory,MATCH($R2104,DriverList,0)),"BAU"))</f>
        <v/>
      </c>
      <c r="U2104" s="34" t="str">
        <f aca="false">IF($R2104="","",IFERROR(INDEX(DriverRank,MATCH($R2104,DriverList,0)),99))</f>
        <v/>
      </c>
      <c r="V2104" s="35" t="n">
        <f aca="false">IF($H2104="",0,IFERROR(INDEX(LevelBasic,MATCH($H2104,LevelList,0))+INDEX(LevelHousing,MATCH($H2104,LevelList,0))+INDEX(LevelTransport,MATCH($H2104,LevelList,0))+INDEX(LevelBasic,MATCH($H2104,LevelList,0))*INDEX(LevelBonus,MATCH($H2104,LevelList,0))+(INDEX(LevelBasic,MATCH($H2104,LevelList,0))+INDEX(LevelHousing,MATCH($H2104,LevelList,0)))*GosiSaudi,0))</f>
        <v>0</v>
      </c>
      <c r="W2104" s="35" t="n">
        <f aca="false">IFERROR(INDEX(LevelOneOff,MATCH($H2104,LevelList,0)),0)</f>
        <v>0</v>
      </c>
      <c r="X2104" s="35" t="str">
        <f aca="false">IF($G2104="","",$V2104*N($L2104))</f>
        <v/>
      </c>
      <c r="Y2104" s="35" t="str">
        <f aca="false">IF($G2104="","",$V2104*(N($M2104)*1+N($N2104)*0.75+N($O2104)*0.5+N($P2104)*0.25)+$W2104*N($L2104))</f>
        <v/>
      </c>
      <c r="Z2104" s="35" t="str">
        <f aca="false">IF($G2104="","",$U2104*1000000+ROW())</f>
        <v/>
      </c>
      <c r="AA2104" s="36" t="str">
        <f aca="false">IF($G2104="","",MID(IF($C2104="",", no division","")&amp;IF($E2104="",", no unit","")&amp;IF($H2104="",", no career level","")&amp;IF(N($L2104)&lt;=0,", no quarter split","")&amp;IF($R2104="",", no driver","")&amp;IF(AND($H2104&lt;&gt;"",COUNTIF(CareerLevels,$H2104)=0),", a career level that is not on the ladder","")&amp;IF(AND($R2104&lt;&gt;"",COUNTIF(DriverList,$R2104)=0),", a driver that is not on the list","")&amp;IF(ABS(N($L2104)-(N($M2104)+N($N2104)+N($O2104)+N($P2104)))&gt;0.001,", a total that does not match its quarters",""),3,300))</f>
        <v/>
      </c>
    </row>
    <row r="2105" customFormat="false" ht="15" hidden="false" customHeight="false" outlineLevel="0" collapsed="false">
      <c r="A2105" s="33" t="str">
        <f aca="false">IF($G2105="","","Technology Group")</f>
        <v/>
      </c>
      <c r="B2105" s="19"/>
      <c r="C2105" s="19"/>
      <c r="D2105" s="19"/>
      <c r="E2105" s="19"/>
      <c r="F2105" s="19"/>
      <c r="G2105" s="19"/>
      <c r="H2105" s="19"/>
      <c r="I2105" s="19"/>
      <c r="J2105" s="19"/>
      <c r="K2105" s="19"/>
      <c r="L2105" s="19"/>
      <c r="M2105" s="19"/>
      <c r="N2105" s="19"/>
      <c r="O2105" s="19"/>
      <c r="P2105" s="19"/>
      <c r="Q2105" s="19"/>
      <c r="R2105" s="19"/>
      <c r="S2105" s="19"/>
      <c r="T2105" s="34" t="str">
        <f aca="false">IF($R2105="","",IFERROR(INDEX(DriverCategory,MATCH($R2105,DriverList,0)),"BAU"))</f>
        <v/>
      </c>
      <c r="U2105" s="34" t="str">
        <f aca="false">IF($R2105="","",IFERROR(INDEX(DriverRank,MATCH($R2105,DriverList,0)),99))</f>
        <v/>
      </c>
      <c r="V2105" s="35" t="n">
        <f aca="false">IF($H2105="",0,IFERROR(INDEX(LevelBasic,MATCH($H2105,LevelList,0))+INDEX(LevelHousing,MATCH($H2105,LevelList,0))+INDEX(LevelTransport,MATCH($H2105,LevelList,0))+INDEX(LevelBasic,MATCH($H2105,LevelList,0))*INDEX(LevelBonus,MATCH($H2105,LevelList,0))+(INDEX(LevelBasic,MATCH($H2105,LevelList,0))+INDEX(LevelHousing,MATCH($H2105,LevelList,0)))*GosiSaudi,0))</f>
        <v>0</v>
      </c>
      <c r="W2105" s="35" t="n">
        <f aca="false">IFERROR(INDEX(LevelOneOff,MATCH($H2105,LevelList,0)),0)</f>
        <v>0</v>
      </c>
      <c r="X2105" s="35" t="str">
        <f aca="false">IF($G2105="","",$V2105*N($L2105))</f>
        <v/>
      </c>
      <c r="Y2105" s="35" t="str">
        <f aca="false">IF($G2105="","",$V2105*(N($M2105)*1+N($N2105)*0.75+N($O2105)*0.5+N($P2105)*0.25)+$W2105*N($L2105))</f>
        <v/>
      </c>
      <c r="Z2105" s="35" t="str">
        <f aca="false">IF($G2105="","",$U2105*1000000+ROW())</f>
        <v/>
      </c>
      <c r="AA2105" s="36" t="str">
        <f aca="false">IF($G2105="","",MID(IF($C2105="",", no division","")&amp;IF($E2105="",", no unit","")&amp;IF($H2105="",", no career level","")&amp;IF(N($L2105)&lt;=0,", no quarter split","")&amp;IF($R2105="",", no driver","")&amp;IF(AND($H2105&lt;&gt;"",COUNTIF(CareerLevels,$H2105)=0),", a career level that is not on the ladder","")&amp;IF(AND($R2105&lt;&gt;"",COUNTIF(DriverList,$R2105)=0),", a driver that is not on the list","")&amp;IF(ABS(N($L2105)-(N($M2105)+N($N2105)+N($O2105)+N($P2105)))&gt;0.001,", a total that does not match its quarters",""),3,300))</f>
        <v/>
      </c>
    </row>
    <row r="2106" customFormat="false" ht="15" hidden="false" customHeight="false" outlineLevel="0" collapsed="false">
      <c r="A2106" s="33" t="str">
        <f aca="false">IF($G2106="","","Technology Group")</f>
        <v/>
      </c>
      <c r="B2106" s="19"/>
      <c r="C2106" s="19"/>
      <c r="D2106" s="19"/>
      <c r="E2106" s="19"/>
      <c r="F2106" s="19"/>
      <c r="G2106" s="19"/>
      <c r="H2106" s="19"/>
      <c r="I2106" s="19"/>
      <c r="J2106" s="19"/>
      <c r="K2106" s="19"/>
      <c r="L2106" s="19"/>
      <c r="M2106" s="19"/>
      <c r="N2106" s="19"/>
      <c r="O2106" s="19"/>
      <c r="P2106" s="19"/>
      <c r="Q2106" s="19"/>
      <c r="R2106" s="19"/>
      <c r="S2106" s="19"/>
      <c r="T2106" s="34" t="str">
        <f aca="false">IF($R2106="","",IFERROR(INDEX(DriverCategory,MATCH($R2106,DriverList,0)),"BAU"))</f>
        <v/>
      </c>
      <c r="U2106" s="34" t="str">
        <f aca="false">IF($R2106="","",IFERROR(INDEX(DriverRank,MATCH($R2106,DriverList,0)),99))</f>
        <v/>
      </c>
      <c r="V2106" s="35" t="n">
        <f aca="false">IF($H2106="",0,IFERROR(INDEX(LevelBasic,MATCH($H2106,LevelList,0))+INDEX(LevelHousing,MATCH($H2106,LevelList,0))+INDEX(LevelTransport,MATCH($H2106,LevelList,0))+INDEX(LevelBasic,MATCH($H2106,LevelList,0))*INDEX(LevelBonus,MATCH($H2106,LevelList,0))+(INDEX(LevelBasic,MATCH($H2106,LevelList,0))+INDEX(LevelHousing,MATCH($H2106,LevelList,0)))*GosiSaudi,0))</f>
        <v>0</v>
      </c>
      <c r="W2106" s="35" t="n">
        <f aca="false">IFERROR(INDEX(LevelOneOff,MATCH($H2106,LevelList,0)),0)</f>
        <v>0</v>
      </c>
      <c r="X2106" s="35" t="str">
        <f aca="false">IF($G2106="","",$V2106*N($L2106))</f>
        <v/>
      </c>
      <c r="Y2106" s="35" t="str">
        <f aca="false">IF($G2106="","",$V2106*(N($M2106)*1+N($N2106)*0.75+N($O2106)*0.5+N($P2106)*0.25)+$W2106*N($L2106))</f>
        <v/>
      </c>
      <c r="Z2106" s="35" t="str">
        <f aca="false">IF($G2106="","",$U2106*1000000+ROW())</f>
        <v/>
      </c>
      <c r="AA2106" s="36" t="str">
        <f aca="false">IF($G2106="","",MID(IF($C2106="",", no division","")&amp;IF($E2106="",", no unit","")&amp;IF($H2106="",", no career level","")&amp;IF(N($L2106)&lt;=0,", no quarter split","")&amp;IF($R2106="",", no driver","")&amp;IF(AND($H2106&lt;&gt;"",COUNTIF(CareerLevels,$H2106)=0),", a career level that is not on the ladder","")&amp;IF(AND($R2106&lt;&gt;"",COUNTIF(DriverList,$R2106)=0),", a driver that is not on the list","")&amp;IF(ABS(N($L2106)-(N($M2106)+N($N2106)+N($O2106)+N($P2106)))&gt;0.001,", a total that does not match its quarters",""),3,300))</f>
        <v/>
      </c>
    </row>
    <row r="2107" customFormat="false" ht="15" hidden="false" customHeight="false" outlineLevel="0" collapsed="false">
      <c r="A2107" s="33" t="str">
        <f aca="false">IF($G2107="","","Technology Group")</f>
        <v/>
      </c>
      <c r="B2107" s="19"/>
      <c r="C2107" s="19"/>
      <c r="D2107" s="19"/>
      <c r="E2107" s="19"/>
      <c r="F2107" s="19"/>
      <c r="G2107" s="19"/>
      <c r="H2107" s="19"/>
      <c r="I2107" s="19"/>
      <c r="J2107" s="19"/>
      <c r="K2107" s="19"/>
      <c r="L2107" s="19"/>
      <c r="M2107" s="19"/>
      <c r="N2107" s="19"/>
      <c r="O2107" s="19"/>
      <c r="P2107" s="19"/>
      <c r="Q2107" s="19"/>
      <c r="R2107" s="19"/>
      <c r="S2107" s="19"/>
      <c r="T2107" s="34" t="str">
        <f aca="false">IF($R2107="","",IFERROR(INDEX(DriverCategory,MATCH($R2107,DriverList,0)),"BAU"))</f>
        <v/>
      </c>
      <c r="U2107" s="34" t="str">
        <f aca="false">IF($R2107="","",IFERROR(INDEX(DriverRank,MATCH($R2107,DriverList,0)),99))</f>
        <v/>
      </c>
      <c r="V2107" s="35" t="n">
        <f aca="false">IF($H2107="",0,IFERROR(INDEX(LevelBasic,MATCH($H2107,LevelList,0))+INDEX(LevelHousing,MATCH($H2107,LevelList,0))+INDEX(LevelTransport,MATCH($H2107,LevelList,0))+INDEX(LevelBasic,MATCH($H2107,LevelList,0))*INDEX(LevelBonus,MATCH($H2107,LevelList,0))+(INDEX(LevelBasic,MATCH($H2107,LevelList,0))+INDEX(LevelHousing,MATCH($H2107,LevelList,0)))*GosiSaudi,0))</f>
        <v>0</v>
      </c>
      <c r="W2107" s="35" t="n">
        <f aca="false">IFERROR(INDEX(LevelOneOff,MATCH($H2107,LevelList,0)),0)</f>
        <v>0</v>
      </c>
      <c r="X2107" s="35" t="str">
        <f aca="false">IF($G2107="","",$V2107*N($L2107))</f>
        <v/>
      </c>
      <c r="Y2107" s="35" t="str">
        <f aca="false">IF($G2107="","",$V2107*(N($M2107)*1+N($N2107)*0.75+N($O2107)*0.5+N($P2107)*0.25)+$W2107*N($L2107))</f>
        <v/>
      </c>
      <c r="Z2107" s="35" t="str">
        <f aca="false">IF($G2107="","",$U2107*1000000+ROW())</f>
        <v/>
      </c>
      <c r="AA2107" s="36" t="str">
        <f aca="false">IF($G2107="","",MID(IF($C2107="",", no division","")&amp;IF($E2107="",", no unit","")&amp;IF($H2107="",", no career level","")&amp;IF(N($L2107)&lt;=0,", no quarter split","")&amp;IF($R2107="",", no driver","")&amp;IF(AND($H2107&lt;&gt;"",COUNTIF(CareerLevels,$H2107)=0),", a career level that is not on the ladder","")&amp;IF(AND($R2107&lt;&gt;"",COUNTIF(DriverList,$R2107)=0),", a driver that is not on the list","")&amp;IF(ABS(N($L2107)-(N($M2107)+N($N2107)+N($O2107)+N($P2107)))&gt;0.001,", a total that does not match its quarters",""),3,300))</f>
        <v/>
      </c>
    </row>
    <row r="2108" customFormat="false" ht="15" hidden="false" customHeight="false" outlineLevel="0" collapsed="false">
      <c r="A2108" s="33" t="str">
        <f aca="false">IF($G2108="","","Technology Group")</f>
        <v/>
      </c>
      <c r="B2108" s="19"/>
      <c r="C2108" s="19"/>
      <c r="D2108" s="19"/>
      <c r="E2108" s="19"/>
      <c r="F2108" s="19"/>
      <c r="G2108" s="19"/>
      <c r="H2108" s="19"/>
      <c r="I2108" s="19"/>
      <c r="J2108" s="19"/>
      <c r="K2108" s="19"/>
      <c r="L2108" s="19"/>
      <c r="M2108" s="19"/>
      <c r="N2108" s="19"/>
      <c r="O2108" s="19"/>
      <c r="P2108" s="19"/>
      <c r="Q2108" s="19"/>
      <c r="R2108" s="19"/>
      <c r="S2108" s="19"/>
      <c r="T2108" s="34" t="str">
        <f aca="false">IF($R2108="","",IFERROR(INDEX(DriverCategory,MATCH($R2108,DriverList,0)),"BAU"))</f>
        <v/>
      </c>
      <c r="U2108" s="34" t="str">
        <f aca="false">IF($R2108="","",IFERROR(INDEX(DriverRank,MATCH($R2108,DriverList,0)),99))</f>
        <v/>
      </c>
      <c r="V2108" s="35" t="n">
        <f aca="false">IF($H2108="",0,IFERROR(INDEX(LevelBasic,MATCH($H2108,LevelList,0))+INDEX(LevelHousing,MATCH($H2108,LevelList,0))+INDEX(LevelTransport,MATCH($H2108,LevelList,0))+INDEX(LevelBasic,MATCH($H2108,LevelList,0))*INDEX(LevelBonus,MATCH($H2108,LevelList,0))+(INDEX(LevelBasic,MATCH($H2108,LevelList,0))+INDEX(LevelHousing,MATCH($H2108,LevelList,0)))*GosiSaudi,0))</f>
        <v>0</v>
      </c>
      <c r="W2108" s="35" t="n">
        <f aca="false">IFERROR(INDEX(LevelOneOff,MATCH($H2108,LevelList,0)),0)</f>
        <v>0</v>
      </c>
      <c r="X2108" s="35" t="str">
        <f aca="false">IF($G2108="","",$V2108*N($L2108))</f>
        <v/>
      </c>
      <c r="Y2108" s="35" t="str">
        <f aca="false">IF($G2108="","",$V2108*(N($M2108)*1+N($N2108)*0.75+N($O2108)*0.5+N($P2108)*0.25)+$W2108*N($L2108))</f>
        <v/>
      </c>
      <c r="Z2108" s="35" t="str">
        <f aca="false">IF($G2108="","",$U2108*1000000+ROW())</f>
        <v/>
      </c>
      <c r="AA2108" s="36" t="str">
        <f aca="false">IF($G2108="","",MID(IF($C2108="",", no division","")&amp;IF($E2108="",", no unit","")&amp;IF($H2108="",", no career level","")&amp;IF(N($L2108)&lt;=0,", no quarter split","")&amp;IF($R2108="",", no driver","")&amp;IF(AND($H2108&lt;&gt;"",COUNTIF(CareerLevels,$H2108)=0),", a career level that is not on the ladder","")&amp;IF(AND($R2108&lt;&gt;"",COUNTIF(DriverList,$R2108)=0),", a driver that is not on the list","")&amp;IF(ABS(N($L2108)-(N($M2108)+N($N2108)+N($O2108)+N($P2108)))&gt;0.001,", a total that does not match its quarters",""),3,300))</f>
        <v/>
      </c>
    </row>
    <row r="2109" customFormat="false" ht="15" hidden="false" customHeight="false" outlineLevel="0" collapsed="false">
      <c r="A2109" s="33" t="str">
        <f aca="false">IF($G2109="","","Technology Group")</f>
        <v/>
      </c>
      <c r="B2109" s="19"/>
      <c r="C2109" s="19"/>
      <c r="D2109" s="19"/>
      <c r="E2109" s="19"/>
      <c r="F2109" s="19"/>
      <c r="G2109" s="19"/>
      <c r="H2109" s="19"/>
      <c r="I2109" s="19"/>
      <c r="J2109" s="19"/>
      <c r="K2109" s="19"/>
      <c r="L2109" s="19"/>
      <c r="M2109" s="19"/>
      <c r="N2109" s="19"/>
      <c r="O2109" s="19"/>
      <c r="P2109" s="19"/>
      <c r="Q2109" s="19"/>
      <c r="R2109" s="19"/>
      <c r="S2109" s="19"/>
      <c r="T2109" s="34" t="str">
        <f aca="false">IF($R2109="","",IFERROR(INDEX(DriverCategory,MATCH($R2109,DriverList,0)),"BAU"))</f>
        <v/>
      </c>
      <c r="U2109" s="34" t="str">
        <f aca="false">IF($R2109="","",IFERROR(INDEX(DriverRank,MATCH($R2109,DriverList,0)),99))</f>
        <v/>
      </c>
      <c r="V2109" s="35" t="n">
        <f aca="false">IF($H2109="",0,IFERROR(INDEX(LevelBasic,MATCH($H2109,LevelList,0))+INDEX(LevelHousing,MATCH($H2109,LevelList,0))+INDEX(LevelTransport,MATCH($H2109,LevelList,0))+INDEX(LevelBasic,MATCH($H2109,LevelList,0))*INDEX(LevelBonus,MATCH($H2109,LevelList,0))+(INDEX(LevelBasic,MATCH($H2109,LevelList,0))+INDEX(LevelHousing,MATCH($H2109,LevelList,0)))*GosiSaudi,0))</f>
        <v>0</v>
      </c>
      <c r="W2109" s="35" t="n">
        <f aca="false">IFERROR(INDEX(LevelOneOff,MATCH($H2109,LevelList,0)),0)</f>
        <v>0</v>
      </c>
      <c r="X2109" s="35" t="str">
        <f aca="false">IF($G2109="","",$V2109*N($L2109))</f>
        <v/>
      </c>
      <c r="Y2109" s="35" t="str">
        <f aca="false">IF($G2109="","",$V2109*(N($M2109)*1+N($N2109)*0.75+N($O2109)*0.5+N($P2109)*0.25)+$W2109*N($L2109))</f>
        <v/>
      </c>
      <c r="Z2109" s="35" t="str">
        <f aca="false">IF($G2109="","",$U2109*1000000+ROW())</f>
        <v/>
      </c>
      <c r="AA2109" s="36" t="str">
        <f aca="false">IF($G2109="","",MID(IF($C2109="",", no division","")&amp;IF($E2109="",", no unit","")&amp;IF($H2109="",", no career level","")&amp;IF(N($L2109)&lt;=0,", no quarter split","")&amp;IF($R2109="",", no driver","")&amp;IF(AND($H2109&lt;&gt;"",COUNTIF(CareerLevels,$H2109)=0),", a career level that is not on the ladder","")&amp;IF(AND($R2109&lt;&gt;"",COUNTIF(DriverList,$R2109)=0),", a driver that is not on the list","")&amp;IF(ABS(N($L2109)-(N($M2109)+N($N2109)+N($O2109)+N($P2109)))&gt;0.001,", a total that does not match its quarters",""),3,300))</f>
        <v/>
      </c>
    </row>
    <row r="2110" customFormat="false" ht="15" hidden="false" customHeight="false" outlineLevel="0" collapsed="false">
      <c r="A2110" s="33" t="str">
        <f aca="false">IF($G2110="","","Technology Group")</f>
        <v/>
      </c>
      <c r="B2110" s="19"/>
      <c r="C2110" s="19"/>
      <c r="D2110" s="19"/>
      <c r="E2110" s="19"/>
      <c r="F2110" s="19"/>
      <c r="G2110" s="19"/>
      <c r="H2110" s="19"/>
      <c r="I2110" s="19"/>
      <c r="J2110" s="19"/>
      <c r="K2110" s="19"/>
      <c r="L2110" s="19"/>
      <c r="M2110" s="19"/>
      <c r="N2110" s="19"/>
      <c r="O2110" s="19"/>
      <c r="P2110" s="19"/>
      <c r="Q2110" s="19"/>
      <c r="R2110" s="19"/>
      <c r="S2110" s="19"/>
      <c r="T2110" s="34" t="str">
        <f aca="false">IF($R2110="","",IFERROR(INDEX(DriverCategory,MATCH($R2110,DriverList,0)),"BAU"))</f>
        <v/>
      </c>
      <c r="U2110" s="34" t="str">
        <f aca="false">IF($R2110="","",IFERROR(INDEX(DriverRank,MATCH($R2110,DriverList,0)),99))</f>
        <v/>
      </c>
      <c r="V2110" s="35" t="n">
        <f aca="false">IF($H2110="",0,IFERROR(INDEX(LevelBasic,MATCH($H2110,LevelList,0))+INDEX(LevelHousing,MATCH($H2110,LevelList,0))+INDEX(LevelTransport,MATCH($H2110,LevelList,0))+INDEX(LevelBasic,MATCH($H2110,LevelList,0))*INDEX(LevelBonus,MATCH($H2110,LevelList,0))+(INDEX(LevelBasic,MATCH($H2110,LevelList,0))+INDEX(LevelHousing,MATCH($H2110,LevelList,0)))*GosiSaudi,0))</f>
        <v>0</v>
      </c>
      <c r="W2110" s="35" t="n">
        <f aca="false">IFERROR(INDEX(LevelOneOff,MATCH($H2110,LevelList,0)),0)</f>
        <v>0</v>
      </c>
      <c r="X2110" s="35" t="str">
        <f aca="false">IF($G2110="","",$V2110*N($L2110))</f>
        <v/>
      </c>
      <c r="Y2110" s="35" t="str">
        <f aca="false">IF($G2110="","",$V2110*(N($M2110)*1+N($N2110)*0.75+N($O2110)*0.5+N($P2110)*0.25)+$W2110*N($L2110))</f>
        <v/>
      </c>
      <c r="Z2110" s="35" t="str">
        <f aca="false">IF($G2110="","",$U2110*1000000+ROW())</f>
        <v/>
      </c>
      <c r="AA2110" s="36" t="str">
        <f aca="false">IF($G2110="","",MID(IF($C2110="",", no division","")&amp;IF($E2110="",", no unit","")&amp;IF($H2110="",", no career level","")&amp;IF(N($L2110)&lt;=0,", no quarter split","")&amp;IF($R2110="",", no driver","")&amp;IF(AND($H2110&lt;&gt;"",COUNTIF(CareerLevels,$H2110)=0),", a career level that is not on the ladder","")&amp;IF(AND($R2110&lt;&gt;"",COUNTIF(DriverList,$R2110)=0),", a driver that is not on the list","")&amp;IF(ABS(N($L2110)-(N($M2110)+N($N2110)+N($O2110)+N($P2110)))&gt;0.001,", a total that does not match its quarters",""),3,300))</f>
        <v/>
      </c>
    </row>
    <row r="2111" customFormat="false" ht="15" hidden="false" customHeight="false" outlineLevel="0" collapsed="false">
      <c r="A2111" s="33" t="str">
        <f aca="false">IF($G2111="","","Technology Group")</f>
        <v/>
      </c>
      <c r="B2111" s="19"/>
      <c r="C2111" s="19"/>
      <c r="D2111" s="19"/>
      <c r="E2111" s="19"/>
      <c r="F2111" s="19"/>
      <c r="G2111" s="19"/>
      <c r="H2111" s="19"/>
      <c r="I2111" s="19"/>
      <c r="J2111" s="19"/>
      <c r="K2111" s="19"/>
      <c r="L2111" s="19"/>
      <c r="M2111" s="19"/>
      <c r="N2111" s="19"/>
      <c r="O2111" s="19"/>
      <c r="P2111" s="19"/>
      <c r="Q2111" s="19"/>
      <c r="R2111" s="19"/>
      <c r="S2111" s="19"/>
      <c r="T2111" s="34" t="str">
        <f aca="false">IF($R2111="","",IFERROR(INDEX(DriverCategory,MATCH($R2111,DriverList,0)),"BAU"))</f>
        <v/>
      </c>
      <c r="U2111" s="34" t="str">
        <f aca="false">IF($R2111="","",IFERROR(INDEX(DriverRank,MATCH($R2111,DriverList,0)),99))</f>
        <v/>
      </c>
      <c r="V2111" s="35" t="n">
        <f aca="false">IF($H2111="",0,IFERROR(INDEX(LevelBasic,MATCH($H2111,LevelList,0))+INDEX(LevelHousing,MATCH($H2111,LevelList,0))+INDEX(LevelTransport,MATCH($H2111,LevelList,0))+INDEX(LevelBasic,MATCH($H2111,LevelList,0))*INDEX(LevelBonus,MATCH($H2111,LevelList,0))+(INDEX(LevelBasic,MATCH($H2111,LevelList,0))+INDEX(LevelHousing,MATCH($H2111,LevelList,0)))*GosiSaudi,0))</f>
        <v>0</v>
      </c>
      <c r="W2111" s="35" t="n">
        <f aca="false">IFERROR(INDEX(LevelOneOff,MATCH($H2111,LevelList,0)),0)</f>
        <v>0</v>
      </c>
      <c r="X2111" s="35" t="str">
        <f aca="false">IF($G2111="","",$V2111*N($L2111))</f>
        <v/>
      </c>
      <c r="Y2111" s="35" t="str">
        <f aca="false">IF($G2111="","",$V2111*(N($M2111)*1+N($N2111)*0.75+N($O2111)*0.5+N($P2111)*0.25)+$W2111*N($L2111))</f>
        <v/>
      </c>
      <c r="Z2111" s="35" t="str">
        <f aca="false">IF($G2111="","",$U2111*1000000+ROW())</f>
        <v/>
      </c>
      <c r="AA2111" s="36" t="str">
        <f aca="false">IF($G2111="","",MID(IF($C2111="",", no division","")&amp;IF($E2111="",", no unit","")&amp;IF($H2111="",", no career level","")&amp;IF(N($L2111)&lt;=0,", no quarter split","")&amp;IF($R2111="",", no driver","")&amp;IF(AND($H2111&lt;&gt;"",COUNTIF(CareerLevels,$H2111)=0),", a career level that is not on the ladder","")&amp;IF(AND($R2111&lt;&gt;"",COUNTIF(DriverList,$R2111)=0),", a driver that is not on the list","")&amp;IF(ABS(N($L2111)-(N($M2111)+N($N2111)+N($O2111)+N($P2111)))&gt;0.001,", a total that does not match its quarters",""),3,300))</f>
        <v/>
      </c>
    </row>
    <row r="2112" customFormat="false" ht="15" hidden="false" customHeight="false" outlineLevel="0" collapsed="false">
      <c r="A2112" s="33" t="str">
        <f aca="false">IF($G2112="","","Technology Group")</f>
        <v/>
      </c>
      <c r="B2112" s="19"/>
      <c r="C2112" s="19"/>
      <c r="D2112" s="19"/>
      <c r="E2112" s="19"/>
      <c r="F2112" s="19"/>
      <c r="G2112" s="19"/>
      <c r="H2112" s="19"/>
      <c r="I2112" s="19"/>
      <c r="J2112" s="19"/>
      <c r="K2112" s="19"/>
      <c r="L2112" s="19"/>
      <c r="M2112" s="19"/>
      <c r="N2112" s="19"/>
      <c r="O2112" s="19"/>
      <c r="P2112" s="19"/>
      <c r="Q2112" s="19"/>
      <c r="R2112" s="19"/>
      <c r="S2112" s="19"/>
      <c r="T2112" s="34" t="str">
        <f aca="false">IF($R2112="","",IFERROR(INDEX(DriverCategory,MATCH($R2112,DriverList,0)),"BAU"))</f>
        <v/>
      </c>
      <c r="U2112" s="34" t="str">
        <f aca="false">IF($R2112="","",IFERROR(INDEX(DriverRank,MATCH($R2112,DriverList,0)),99))</f>
        <v/>
      </c>
      <c r="V2112" s="35" t="n">
        <f aca="false">IF($H2112="",0,IFERROR(INDEX(LevelBasic,MATCH($H2112,LevelList,0))+INDEX(LevelHousing,MATCH($H2112,LevelList,0))+INDEX(LevelTransport,MATCH($H2112,LevelList,0))+INDEX(LevelBasic,MATCH($H2112,LevelList,0))*INDEX(LevelBonus,MATCH($H2112,LevelList,0))+(INDEX(LevelBasic,MATCH($H2112,LevelList,0))+INDEX(LevelHousing,MATCH($H2112,LevelList,0)))*GosiSaudi,0))</f>
        <v>0</v>
      </c>
      <c r="W2112" s="35" t="n">
        <f aca="false">IFERROR(INDEX(LevelOneOff,MATCH($H2112,LevelList,0)),0)</f>
        <v>0</v>
      </c>
      <c r="X2112" s="35" t="str">
        <f aca="false">IF($G2112="","",$V2112*N($L2112))</f>
        <v/>
      </c>
      <c r="Y2112" s="35" t="str">
        <f aca="false">IF($G2112="","",$V2112*(N($M2112)*1+N($N2112)*0.75+N($O2112)*0.5+N($P2112)*0.25)+$W2112*N($L2112))</f>
        <v/>
      </c>
      <c r="Z2112" s="35" t="str">
        <f aca="false">IF($G2112="","",$U2112*1000000+ROW())</f>
        <v/>
      </c>
      <c r="AA2112" s="36" t="str">
        <f aca="false">IF($G2112="","",MID(IF($C2112="",", no division","")&amp;IF($E2112="",", no unit","")&amp;IF($H2112="",", no career level","")&amp;IF(N($L2112)&lt;=0,", no quarter split","")&amp;IF($R2112="",", no driver","")&amp;IF(AND($H2112&lt;&gt;"",COUNTIF(CareerLevels,$H2112)=0),", a career level that is not on the ladder","")&amp;IF(AND($R2112&lt;&gt;"",COUNTIF(DriverList,$R2112)=0),", a driver that is not on the list","")&amp;IF(ABS(N($L2112)-(N($M2112)+N($N2112)+N($O2112)+N($P2112)))&gt;0.001,", a total that does not match its quarters",""),3,300))</f>
        <v/>
      </c>
    </row>
    <row r="2113" customFormat="false" ht="15" hidden="false" customHeight="false" outlineLevel="0" collapsed="false">
      <c r="A2113" s="33" t="str">
        <f aca="false">IF($G2113="","","Technology Group")</f>
        <v/>
      </c>
      <c r="B2113" s="19"/>
      <c r="C2113" s="19"/>
      <c r="D2113" s="19"/>
      <c r="E2113" s="19"/>
      <c r="F2113" s="19"/>
      <c r="G2113" s="19"/>
      <c r="H2113" s="19"/>
      <c r="I2113" s="19"/>
      <c r="J2113" s="19"/>
      <c r="K2113" s="19"/>
      <c r="L2113" s="19"/>
      <c r="M2113" s="19"/>
      <c r="N2113" s="19"/>
      <c r="O2113" s="19"/>
      <c r="P2113" s="19"/>
      <c r="Q2113" s="19"/>
      <c r="R2113" s="19"/>
      <c r="S2113" s="19"/>
      <c r="T2113" s="34" t="str">
        <f aca="false">IF($R2113="","",IFERROR(INDEX(DriverCategory,MATCH($R2113,DriverList,0)),"BAU"))</f>
        <v/>
      </c>
      <c r="U2113" s="34" t="str">
        <f aca="false">IF($R2113="","",IFERROR(INDEX(DriverRank,MATCH($R2113,DriverList,0)),99))</f>
        <v/>
      </c>
      <c r="V2113" s="35" t="n">
        <f aca="false">IF($H2113="",0,IFERROR(INDEX(LevelBasic,MATCH($H2113,LevelList,0))+INDEX(LevelHousing,MATCH($H2113,LevelList,0))+INDEX(LevelTransport,MATCH($H2113,LevelList,0))+INDEX(LevelBasic,MATCH($H2113,LevelList,0))*INDEX(LevelBonus,MATCH($H2113,LevelList,0))+(INDEX(LevelBasic,MATCH($H2113,LevelList,0))+INDEX(LevelHousing,MATCH($H2113,LevelList,0)))*GosiSaudi,0))</f>
        <v>0</v>
      </c>
      <c r="W2113" s="35" t="n">
        <f aca="false">IFERROR(INDEX(LevelOneOff,MATCH($H2113,LevelList,0)),0)</f>
        <v>0</v>
      </c>
      <c r="X2113" s="35" t="str">
        <f aca="false">IF($G2113="","",$V2113*N($L2113))</f>
        <v/>
      </c>
      <c r="Y2113" s="35" t="str">
        <f aca="false">IF($G2113="","",$V2113*(N($M2113)*1+N($N2113)*0.75+N($O2113)*0.5+N($P2113)*0.25)+$W2113*N($L2113))</f>
        <v/>
      </c>
      <c r="Z2113" s="35" t="str">
        <f aca="false">IF($G2113="","",$U2113*1000000+ROW())</f>
        <v/>
      </c>
      <c r="AA2113" s="36" t="str">
        <f aca="false">IF($G2113="","",MID(IF($C2113="",", no division","")&amp;IF($E2113="",", no unit","")&amp;IF($H2113="",", no career level","")&amp;IF(N($L2113)&lt;=0,", no quarter split","")&amp;IF($R2113="",", no driver","")&amp;IF(AND($H2113&lt;&gt;"",COUNTIF(CareerLevels,$H2113)=0),", a career level that is not on the ladder","")&amp;IF(AND($R2113&lt;&gt;"",COUNTIF(DriverList,$R2113)=0),", a driver that is not on the list","")&amp;IF(ABS(N($L2113)-(N($M2113)+N($N2113)+N($O2113)+N($P2113)))&gt;0.001,", a total that does not match its quarters",""),3,300))</f>
        <v/>
      </c>
    </row>
    <row r="2114" customFormat="false" ht="15" hidden="false" customHeight="false" outlineLevel="0" collapsed="false">
      <c r="A2114" s="33" t="str">
        <f aca="false">IF($G2114="","","Technology Group")</f>
        <v/>
      </c>
      <c r="B2114" s="19"/>
      <c r="C2114" s="19"/>
      <c r="D2114" s="19"/>
      <c r="E2114" s="19"/>
      <c r="F2114" s="19"/>
      <c r="G2114" s="19"/>
      <c r="H2114" s="19"/>
      <c r="I2114" s="19"/>
      <c r="J2114" s="19"/>
      <c r="K2114" s="19"/>
      <c r="L2114" s="19"/>
      <c r="M2114" s="19"/>
      <c r="N2114" s="19"/>
      <c r="O2114" s="19"/>
      <c r="P2114" s="19"/>
      <c r="Q2114" s="19"/>
      <c r="R2114" s="19"/>
      <c r="S2114" s="19"/>
      <c r="T2114" s="34" t="str">
        <f aca="false">IF($R2114="","",IFERROR(INDEX(DriverCategory,MATCH($R2114,DriverList,0)),"BAU"))</f>
        <v/>
      </c>
      <c r="U2114" s="34" t="str">
        <f aca="false">IF($R2114="","",IFERROR(INDEX(DriverRank,MATCH($R2114,DriverList,0)),99))</f>
        <v/>
      </c>
      <c r="V2114" s="35" t="n">
        <f aca="false">IF($H2114="",0,IFERROR(INDEX(LevelBasic,MATCH($H2114,LevelList,0))+INDEX(LevelHousing,MATCH($H2114,LevelList,0))+INDEX(LevelTransport,MATCH($H2114,LevelList,0))+INDEX(LevelBasic,MATCH($H2114,LevelList,0))*INDEX(LevelBonus,MATCH($H2114,LevelList,0))+(INDEX(LevelBasic,MATCH($H2114,LevelList,0))+INDEX(LevelHousing,MATCH($H2114,LevelList,0)))*GosiSaudi,0))</f>
        <v>0</v>
      </c>
      <c r="W2114" s="35" t="n">
        <f aca="false">IFERROR(INDEX(LevelOneOff,MATCH($H2114,LevelList,0)),0)</f>
        <v>0</v>
      </c>
      <c r="X2114" s="35" t="str">
        <f aca="false">IF($G2114="","",$V2114*N($L2114))</f>
        <v/>
      </c>
      <c r="Y2114" s="35" t="str">
        <f aca="false">IF($G2114="","",$V2114*(N($M2114)*1+N($N2114)*0.75+N($O2114)*0.5+N($P2114)*0.25)+$W2114*N($L2114))</f>
        <v/>
      </c>
      <c r="Z2114" s="35" t="str">
        <f aca="false">IF($G2114="","",$U2114*1000000+ROW())</f>
        <v/>
      </c>
      <c r="AA2114" s="36" t="str">
        <f aca="false">IF($G2114="","",MID(IF($C2114="",", no division","")&amp;IF($E2114="",", no unit","")&amp;IF($H2114="",", no career level","")&amp;IF(N($L2114)&lt;=0,", no quarter split","")&amp;IF($R2114="",", no driver","")&amp;IF(AND($H2114&lt;&gt;"",COUNTIF(CareerLevels,$H2114)=0),", a career level that is not on the ladder","")&amp;IF(AND($R2114&lt;&gt;"",COUNTIF(DriverList,$R2114)=0),", a driver that is not on the list","")&amp;IF(ABS(N($L2114)-(N($M2114)+N($N2114)+N($O2114)+N($P2114)))&gt;0.001,", a total that does not match its quarters",""),3,300))</f>
        <v/>
      </c>
    </row>
    <row r="2115" customFormat="false" ht="15" hidden="false" customHeight="false" outlineLevel="0" collapsed="false">
      <c r="A2115" s="33" t="str">
        <f aca="false">IF($G2115="","","Technology Group")</f>
        <v/>
      </c>
      <c r="B2115" s="19"/>
      <c r="C2115" s="19"/>
      <c r="D2115" s="19"/>
      <c r="E2115" s="19"/>
      <c r="F2115" s="19"/>
      <c r="G2115" s="19"/>
      <c r="H2115" s="19"/>
      <c r="I2115" s="19"/>
      <c r="J2115" s="19"/>
      <c r="K2115" s="19"/>
      <c r="L2115" s="19"/>
      <c r="M2115" s="19"/>
      <c r="N2115" s="19"/>
      <c r="O2115" s="19"/>
      <c r="P2115" s="19"/>
      <c r="Q2115" s="19"/>
      <c r="R2115" s="19"/>
      <c r="S2115" s="19"/>
      <c r="T2115" s="34" t="str">
        <f aca="false">IF($R2115="","",IFERROR(INDEX(DriverCategory,MATCH($R2115,DriverList,0)),"BAU"))</f>
        <v/>
      </c>
      <c r="U2115" s="34" t="str">
        <f aca="false">IF($R2115="","",IFERROR(INDEX(DriverRank,MATCH($R2115,DriverList,0)),99))</f>
        <v/>
      </c>
      <c r="V2115" s="35" t="n">
        <f aca="false">IF($H2115="",0,IFERROR(INDEX(LevelBasic,MATCH($H2115,LevelList,0))+INDEX(LevelHousing,MATCH($H2115,LevelList,0))+INDEX(LevelTransport,MATCH($H2115,LevelList,0))+INDEX(LevelBasic,MATCH($H2115,LevelList,0))*INDEX(LevelBonus,MATCH($H2115,LevelList,0))+(INDEX(LevelBasic,MATCH($H2115,LevelList,0))+INDEX(LevelHousing,MATCH($H2115,LevelList,0)))*GosiSaudi,0))</f>
        <v>0</v>
      </c>
      <c r="W2115" s="35" t="n">
        <f aca="false">IFERROR(INDEX(LevelOneOff,MATCH($H2115,LevelList,0)),0)</f>
        <v>0</v>
      </c>
      <c r="X2115" s="35" t="str">
        <f aca="false">IF($G2115="","",$V2115*N($L2115))</f>
        <v/>
      </c>
      <c r="Y2115" s="35" t="str">
        <f aca="false">IF($G2115="","",$V2115*(N($M2115)*1+N($N2115)*0.75+N($O2115)*0.5+N($P2115)*0.25)+$W2115*N($L2115))</f>
        <v/>
      </c>
      <c r="Z2115" s="35" t="str">
        <f aca="false">IF($G2115="","",$U2115*1000000+ROW())</f>
        <v/>
      </c>
      <c r="AA2115" s="36" t="str">
        <f aca="false">IF($G2115="","",MID(IF($C2115="",", no division","")&amp;IF($E2115="",", no unit","")&amp;IF($H2115="",", no career level","")&amp;IF(N($L2115)&lt;=0,", no quarter split","")&amp;IF($R2115="",", no driver","")&amp;IF(AND($H2115&lt;&gt;"",COUNTIF(CareerLevels,$H2115)=0),", a career level that is not on the ladder","")&amp;IF(AND($R2115&lt;&gt;"",COUNTIF(DriverList,$R2115)=0),", a driver that is not on the list","")&amp;IF(ABS(N($L2115)-(N($M2115)+N($N2115)+N($O2115)+N($P2115)))&gt;0.001,", a total that does not match its quarters",""),3,300))</f>
        <v/>
      </c>
    </row>
    <row r="2116" customFormat="false" ht="15" hidden="false" customHeight="false" outlineLevel="0" collapsed="false">
      <c r="A2116" s="33" t="str">
        <f aca="false">IF($G2116="","","Technology Group")</f>
        <v/>
      </c>
      <c r="B2116" s="19"/>
      <c r="C2116" s="19"/>
      <c r="D2116" s="19"/>
      <c r="E2116" s="19"/>
      <c r="F2116" s="19"/>
      <c r="G2116" s="19"/>
      <c r="H2116" s="19"/>
      <c r="I2116" s="19"/>
      <c r="J2116" s="19"/>
      <c r="K2116" s="19"/>
      <c r="L2116" s="19"/>
      <c r="M2116" s="19"/>
      <c r="N2116" s="19"/>
      <c r="O2116" s="19"/>
      <c r="P2116" s="19"/>
      <c r="Q2116" s="19"/>
      <c r="R2116" s="19"/>
      <c r="S2116" s="19"/>
      <c r="T2116" s="34" t="str">
        <f aca="false">IF($R2116="","",IFERROR(INDEX(DriverCategory,MATCH($R2116,DriverList,0)),"BAU"))</f>
        <v/>
      </c>
      <c r="U2116" s="34" t="str">
        <f aca="false">IF($R2116="","",IFERROR(INDEX(DriverRank,MATCH($R2116,DriverList,0)),99))</f>
        <v/>
      </c>
      <c r="V2116" s="35" t="n">
        <f aca="false">IF($H2116="",0,IFERROR(INDEX(LevelBasic,MATCH($H2116,LevelList,0))+INDEX(LevelHousing,MATCH($H2116,LevelList,0))+INDEX(LevelTransport,MATCH($H2116,LevelList,0))+INDEX(LevelBasic,MATCH($H2116,LevelList,0))*INDEX(LevelBonus,MATCH($H2116,LevelList,0))+(INDEX(LevelBasic,MATCH($H2116,LevelList,0))+INDEX(LevelHousing,MATCH($H2116,LevelList,0)))*GosiSaudi,0))</f>
        <v>0</v>
      </c>
      <c r="W2116" s="35" t="n">
        <f aca="false">IFERROR(INDEX(LevelOneOff,MATCH($H2116,LevelList,0)),0)</f>
        <v>0</v>
      </c>
      <c r="X2116" s="35" t="str">
        <f aca="false">IF($G2116="","",$V2116*N($L2116))</f>
        <v/>
      </c>
      <c r="Y2116" s="35" t="str">
        <f aca="false">IF($G2116="","",$V2116*(N($M2116)*1+N($N2116)*0.75+N($O2116)*0.5+N($P2116)*0.25)+$W2116*N($L2116))</f>
        <v/>
      </c>
      <c r="Z2116" s="35" t="str">
        <f aca="false">IF($G2116="","",$U2116*1000000+ROW())</f>
        <v/>
      </c>
      <c r="AA2116" s="36" t="str">
        <f aca="false">IF($G2116="","",MID(IF($C2116="",", no division","")&amp;IF($E2116="",", no unit","")&amp;IF($H2116="",", no career level","")&amp;IF(N($L2116)&lt;=0,", no quarter split","")&amp;IF($R2116="",", no driver","")&amp;IF(AND($H2116&lt;&gt;"",COUNTIF(CareerLevels,$H2116)=0),", a career level that is not on the ladder","")&amp;IF(AND($R2116&lt;&gt;"",COUNTIF(DriverList,$R2116)=0),", a driver that is not on the list","")&amp;IF(ABS(N($L2116)-(N($M2116)+N($N2116)+N($O2116)+N($P2116)))&gt;0.001,", a total that does not match its quarters",""),3,300))</f>
        <v/>
      </c>
    </row>
    <row r="2117" customFormat="false" ht="15" hidden="false" customHeight="false" outlineLevel="0" collapsed="false">
      <c r="A2117" s="33" t="str">
        <f aca="false">IF($G2117="","","Technology Group")</f>
        <v/>
      </c>
      <c r="B2117" s="19"/>
      <c r="C2117" s="19"/>
      <c r="D2117" s="19"/>
      <c r="E2117" s="19"/>
      <c r="F2117" s="19"/>
      <c r="G2117" s="19"/>
      <c r="H2117" s="19"/>
      <c r="I2117" s="19"/>
      <c r="J2117" s="19"/>
      <c r="K2117" s="19"/>
      <c r="L2117" s="19"/>
      <c r="M2117" s="19"/>
      <c r="N2117" s="19"/>
      <c r="O2117" s="19"/>
      <c r="P2117" s="19"/>
      <c r="Q2117" s="19"/>
      <c r="R2117" s="19"/>
      <c r="S2117" s="19"/>
      <c r="T2117" s="34" t="str">
        <f aca="false">IF($R2117="","",IFERROR(INDEX(DriverCategory,MATCH($R2117,DriverList,0)),"BAU"))</f>
        <v/>
      </c>
      <c r="U2117" s="34" t="str">
        <f aca="false">IF($R2117="","",IFERROR(INDEX(DriverRank,MATCH($R2117,DriverList,0)),99))</f>
        <v/>
      </c>
      <c r="V2117" s="35" t="n">
        <f aca="false">IF($H2117="",0,IFERROR(INDEX(LevelBasic,MATCH($H2117,LevelList,0))+INDEX(LevelHousing,MATCH($H2117,LevelList,0))+INDEX(LevelTransport,MATCH($H2117,LevelList,0))+INDEX(LevelBasic,MATCH($H2117,LevelList,0))*INDEX(LevelBonus,MATCH($H2117,LevelList,0))+(INDEX(LevelBasic,MATCH($H2117,LevelList,0))+INDEX(LevelHousing,MATCH($H2117,LevelList,0)))*GosiSaudi,0))</f>
        <v>0</v>
      </c>
      <c r="W2117" s="35" t="n">
        <f aca="false">IFERROR(INDEX(LevelOneOff,MATCH($H2117,LevelList,0)),0)</f>
        <v>0</v>
      </c>
      <c r="X2117" s="35" t="str">
        <f aca="false">IF($G2117="","",$V2117*N($L2117))</f>
        <v/>
      </c>
      <c r="Y2117" s="35" t="str">
        <f aca="false">IF($G2117="","",$V2117*(N($M2117)*1+N($N2117)*0.75+N($O2117)*0.5+N($P2117)*0.25)+$W2117*N($L2117))</f>
        <v/>
      </c>
      <c r="Z2117" s="35" t="str">
        <f aca="false">IF($G2117="","",$U2117*1000000+ROW())</f>
        <v/>
      </c>
      <c r="AA2117" s="36" t="str">
        <f aca="false">IF($G2117="","",MID(IF($C2117="",", no division","")&amp;IF($E2117="",", no unit","")&amp;IF($H2117="",", no career level","")&amp;IF(N($L2117)&lt;=0,", no quarter split","")&amp;IF($R2117="",", no driver","")&amp;IF(AND($H2117&lt;&gt;"",COUNTIF(CareerLevels,$H2117)=0),", a career level that is not on the ladder","")&amp;IF(AND($R2117&lt;&gt;"",COUNTIF(DriverList,$R2117)=0),", a driver that is not on the list","")&amp;IF(ABS(N($L2117)-(N($M2117)+N($N2117)+N($O2117)+N($P2117)))&gt;0.001,", a total that does not match its quarters",""),3,300))</f>
        <v/>
      </c>
    </row>
    <row r="2118" customFormat="false" ht="15" hidden="false" customHeight="false" outlineLevel="0" collapsed="false">
      <c r="A2118" s="33" t="str">
        <f aca="false">IF($G2118="","","Technology Group")</f>
        <v/>
      </c>
      <c r="B2118" s="19"/>
      <c r="C2118" s="19"/>
      <c r="D2118" s="19"/>
      <c r="E2118" s="19"/>
      <c r="F2118" s="19"/>
      <c r="G2118" s="19"/>
      <c r="H2118" s="19"/>
      <c r="I2118" s="19"/>
      <c r="J2118" s="19"/>
      <c r="K2118" s="19"/>
      <c r="L2118" s="19"/>
      <c r="M2118" s="19"/>
      <c r="N2118" s="19"/>
      <c r="O2118" s="19"/>
      <c r="P2118" s="19"/>
      <c r="Q2118" s="19"/>
      <c r="R2118" s="19"/>
      <c r="S2118" s="19"/>
      <c r="T2118" s="34" t="str">
        <f aca="false">IF($R2118="","",IFERROR(INDEX(DriverCategory,MATCH($R2118,DriverList,0)),"BAU"))</f>
        <v/>
      </c>
      <c r="U2118" s="34" t="str">
        <f aca="false">IF($R2118="","",IFERROR(INDEX(DriverRank,MATCH($R2118,DriverList,0)),99))</f>
        <v/>
      </c>
      <c r="V2118" s="35" t="n">
        <f aca="false">IF($H2118="",0,IFERROR(INDEX(LevelBasic,MATCH($H2118,LevelList,0))+INDEX(LevelHousing,MATCH($H2118,LevelList,0))+INDEX(LevelTransport,MATCH($H2118,LevelList,0))+INDEX(LevelBasic,MATCH($H2118,LevelList,0))*INDEX(LevelBonus,MATCH($H2118,LevelList,0))+(INDEX(LevelBasic,MATCH($H2118,LevelList,0))+INDEX(LevelHousing,MATCH($H2118,LevelList,0)))*GosiSaudi,0))</f>
        <v>0</v>
      </c>
      <c r="W2118" s="35" t="n">
        <f aca="false">IFERROR(INDEX(LevelOneOff,MATCH($H2118,LevelList,0)),0)</f>
        <v>0</v>
      </c>
      <c r="X2118" s="35" t="str">
        <f aca="false">IF($G2118="","",$V2118*N($L2118))</f>
        <v/>
      </c>
      <c r="Y2118" s="35" t="str">
        <f aca="false">IF($G2118="","",$V2118*(N($M2118)*1+N($N2118)*0.75+N($O2118)*0.5+N($P2118)*0.25)+$W2118*N($L2118))</f>
        <v/>
      </c>
      <c r="Z2118" s="35" t="str">
        <f aca="false">IF($G2118="","",$U2118*1000000+ROW())</f>
        <v/>
      </c>
      <c r="AA2118" s="36" t="str">
        <f aca="false">IF($G2118="","",MID(IF($C2118="",", no division","")&amp;IF($E2118="",", no unit","")&amp;IF($H2118="",", no career level","")&amp;IF(N($L2118)&lt;=0,", no quarter split","")&amp;IF($R2118="",", no driver","")&amp;IF(AND($H2118&lt;&gt;"",COUNTIF(CareerLevels,$H2118)=0),", a career level that is not on the ladder","")&amp;IF(AND($R2118&lt;&gt;"",COUNTIF(DriverList,$R2118)=0),", a driver that is not on the list","")&amp;IF(ABS(N($L2118)-(N($M2118)+N($N2118)+N($O2118)+N($P2118)))&gt;0.001,", a total that does not match its quarters",""),3,300))</f>
        <v/>
      </c>
    </row>
    <row r="2119" customFormat="false" ht="15" hidden="false" customHeight="false" outlineLevel="0" collapsed="false">
      <c r="A2119" s="33" t="str">
        <f aca="false">IF($G2119="","","Technology Group")</f>
        <v/>
      </c>
      <c r="B2119" s="19"/>
      <c r="C2119" s="19"/>
      <c r="D2119" s="19"/>
      <c r="E2119" s="19"/>
      <c r="F2119" s="19"/>
      <c r="G2119" s="19"/>
      <c r="H2119" s="19"/>
      <c r="I2119" s="19"/>
      <c r="J2119" s="19"/>
      <c r="K2119" s="19"/>
      <c r="L2119" s="19"/>
      <c r="M2119" s="19"/>
      <c r="N2119" s="19"/>
      <c r="O2119" s="19"/>
      <c r="P2119" s="19"/>
      <c r="Q2119" s="19"/>
      <c r="R2119" s="19"/>
      <c r="S2119" s="19"/>
      <c r="T2119" s="34" t="str">
        <f aca="false">IF($R2119="","",IFERROR(INDEX(DriverCategory,MATCH($R2119,DriverList,0)),"BAU"))</f>
        <v/>
      </c>
      <c r="U2119" s="34" t="str">
        <f aca="false">IF($R2119="","",IFERROR(INDEX(DriverRank,MATCH($R2119,DriverList,0)),99))</f>
        <v/>
      </c>
      <c r="V2119" s="35" t="n">
        <f aca="false">IF($H2119="",0,IFERROR(INDEX(LevelBasic,MATCH($H2119,LevelList,0))+INDEX(LevelHousing,MATCH($H2119,LevelList,0))+INDEX(LevelTransport,MATCH($H2119,LevelList,0))+INDEX(LevelBasic,MATCH($H2119,LevelList,0))*INDEX(LevelBonus,MATCH($H2119,LevelList,0))+(INDEX(LevelBasic,MATCH($H2119,LevelList,0))+INDEX(LevelHousing,MATCH($H2119,LevelList,0)))*GosiSaudi,0))</f>
        <v>0</v>
      </c>
      <c r="W2119" s="35" t="n">
        <f aca="false">IFERROR(INDEX(LevelOneOff,MATCH($H2119,LevelList,0)),0)</f>
        <v>0</v>
      </c>
      <c r="X2119" s="35" t="str">
        <f aca="false">IF($G2119="","",$V2119*N($L2119))</f>
        <v/>
      </c>
      <c r="Y2119" s="35" t="str">
        <f aca="false">IF($G2119="","",$V2119*(N($M2119)*1+N($N2119)*0.75+N($O2119)*0.5+N($P2119)*0.25)+$W2119*N($L2119))</f>
        <v/>
      </c>
      <c r="Z2119" s="35" t="str">
        <f aca="false">IF($G2119="","",$U2119*1000000+ROW())</f>
        <v/>
      </c>
      <c r="AA2119" s="36" t="str">
        <f aca="false">IF($G2119="","",MID(IF($C2119="",", no division","")&amp;IF($E2119="",", no unit","")&amp;IF($H2119="",", no career level","")&amp;IF(N($L2119)&lt;=0,", no quarter split","")&amp;IF($R2119="",", no driver","")&amp;IF(AND($H2119&lt;&gt;"",COUNTIF(CareerLevels,$H2119)=0),", a career level that is not on the ladder","")&amp;IF(AND($R2119&lt;&gt;"",COUNTIF(DriverList,$R2119)=0),", a driver that is not on the list","")&amp;IF(ABS(N($L2119)-(N($M2119)+N($N2119)+N($O2119)+N($P2119)))&gt;0.001,", a total that does not match its quarters",""),3,300))</f>
        <v/>
      </c>
    </row>
    <row r="2120" customFormat="false" ht="15" hidden="false" customHeight="false" outlineLevel="0" collapsed="false">
      <c r="A2120" s="33" t="str">
        <f aca="false">IF($G2120="","","Technology Group")</f>
        <v/>
      </c>
      <c r="B2120" s="19"/>
      <c r="C2120" s="19"/>
      <c r="D2120" s="19"/>
      <c r="E2120" s="19"/>
      <c r="F2120" s="19"/>
      <c r="G2120" s="19"/>
      <c r="H2120" s="19"/>
      <c r="I2120" s="19"/>
      <c r="J2120" s="19"/>
      <c r="K2120" s="19"/>
      <c r="L2120" s="19"/>
      <c r="M2120" s="19"/>
      <c r="N2120" s="19"/>
      <c r="O2120" s="19"/>
      <c r="P2120" s="19"/>
      <c r="Q2120" s="19"/>
      <c r="R2120" s="19"/>
      <c r="S2120" s="19"/>
      <c r="T2120" s="34" t="str">
        <f aca="false">IF($R2120="","",IFERROR(INDEX(DriverCategory,MATCH($R2120,DriverList,0)),"BAU"))</f>
        <v/>
      </c>
      <c r="U2120" s="34" t="str">
        <f aca="false">IF($R2120="","",IFERROR(INDEX(DriverRank,MATCH($R2120,DriverList,0)),99))</f>
        <v/>
      </c>
      <c r="V2120" s="35" t="n">
        <f aca="false">IF($H2120="",0,IFERROR(INDEX(LevelBasic,MATCH($H2120,LevelList,0))+INDEX(LevelHousing,MATCH($H2120,LevelList,0))+INDEX(LevelTransport,MATCH($H2120,LevelList,0))+INDEX(LevelBasic,MATCH($H2120,LevelList,0))*INDEX(LevelBonus,MATCH($H2120,LevelList,0))+(INDEX(LevelBasic,MATCH($H2120,LevelList,0))+INDEX(LevelHousing,MATCH($H2120,LevelList,0)))*GosiSaudi,0))</f>
        <v>0</v>
      </c>
      <c r="W2120" s="35" t="n">
        <f aca="false">IFERROR(INDEX(LevelOneOff,MATCH($H2120,LevelList,0)),0)</f>
        <v>0</v>
      </c>
      <c r="X2120" s="35" t="str">
        <f aca="false">IF($G2120="","",$V2120*N($L2120))</f>
        <v/>
      </c>
      <c r="Y2120" s="35" t="str">
        <f aca="false">IF($G2120="","",$V2120*(N($M2120)*1+N($N2120)*0.75+N($O2120)*0.5+N($P2120)*0.25)+$W2120*N($L2120))</f>
        <v/>
      </c>
      <c r="Z2120" s="35" t="str">
        <f aca="false">IF($G2120="","",$U2120*1000000+ROW())</f>
        <v/>
      </c>
      <c r="AA2120" s="36" t="str">
        <f aca="false">IF($G2120="","",MID(IF($C2120="",", no division","")&amp;IF($E2120="",", no unit","")&amp;IF($H2120="",", no career level","")&amp;IF(N($L2120)&lt;=0,", no quarter split","")&amp;IF($R2120="",", no driver","")&amp;IF(AND($H2120&lt;&gt;"",COUNTIF(CareerLevels,$H2120)=0),", a career level that is not on the ladder","")&amp;IF(AND($R2120&lt;&gt;"",COUNTIF(DriverList,$R2120)=0),", a driver that is not on the list","")&amp;IF(ABS(N($L2120)-(N($M2120)+N($N2120)+N($O2120)+N($P2120)))&gt;0.001,", a total that does not match its quarters",""),3,300))</f>
        <v/>
      </c>
    </row>
    <row r="2121" customFormat="false" ht="15" hidden="false" customHeight="false" outlineLevel="0" collapsed="false">
      <c r="A2121" s="33" t="str">
        <f aca="false">IF($G2121="","","Technology Group")</f>
        <v/>
      </c>
      <c r="B2121" s="19"/>
      <c r="C2121" s="19"/>
      <c r="D2121" s="19"/>
      <c r="E2121" s="19"/>
      <c r="F2121" s="19"/>
      <c r="G2121" s="19"/>
      <c r="H2121" s="19"/>
      <c r="I2121" s="19"/>
      <c r="J2121" s="19"/>
      <c r="K2121" s="19"/>
      <c r="L2121" s="19"/>
      <c r="M2121" s="19"/>
      <c r="N2121" s="19"/>
      <c r="O2121" s="19"/>
      <c r="P2121" s="19"/>
      <c r="Q2121" s="19"/>
      <c r="R2121" s="19"/>
      <c r="S2121" s="19"/>
      <c r="T2121" s="34" t="str">
        <f aca="false">IF($R2121="","",IFERROR(INDEX(DriverCategory,MATCH($R2121,DriverList,0)),"BAU"))</f>
        <v/>
      </c>
      <c r="U2121" s="34" t="str">
        <f aca="false">IF($R2121="","",IFERROR(INDEX(DriverRank,MATCH($R2121,DriverList,0)),99))</f>
        <v/>
      </c>
      <c r="V2121" s="35" t="n">
        <f aca="false">IF($H2121="",0,IFERROR(INDEX(LevelBasic,MATCH($H2121,LevelList,0))+INDEX(LevelHousing,MATCH($H2121,LevelList,0))+INDEX(LevelTransport,MATCH($H2121,LevelList,0))+INDEX(LevelBasic,MATCH($H2121,LevelList,0))*INDEX(LevelBonus,MATCH($H2121,LevelList,0))+(INDEX(LevelBasic,MATCH($H2121,LevelList,0))+INDEX(LevelHousing,MATCH($H2121,LevelList,0)))*GosiSaudi,0))</f>
        <v>0</v>
      </c>
      <c r="W2121" s="35" t="n">
        <f aca="false">IFERROR(INDEX(LevelOneOff,MATCH($H2121,LevelList,0)),0)</f>
        <v>0</v>
      </c>
      <c r="X2121" s="35" t="str">
        <f aca="false">IF($G2121="","",$V2121*N($L2121))</f>
        <v/>
      </c>
      <c r="Y2121" s="35" t="str">
        <f aca="false">IF($G2121="","",$V2121*(N($M2121)*1+N($N2121)*0.75+N($O2121)*0.5+N($P2121)*0.25)+$W2121*N($L2121))</f>
        <v/>
      </c>
      <c r="Z2121" s="35" t="str">
        <f aca="false">IF($G2121="","",$U2121*1000000+ROW())</f>
        <v/>
      </c>
      <c r="AA2121" s="36" t="str">
        <f aca="false">IF($G2121="","",MID(IF($C2121="",", no division","")&amp;IF($E2121="",", no unit","")&amp;IF($H2121="",", no career level","")&amp;IF(N($L2121)&lt;=0,", no quarter split","")&amp;IF($R2121="",", no driver","")&amp;IF(AND($H2121&lt;&gt;"",COUNTIF(CareerLevels,$H2121)=0),", a career level that is not on the ladder","")&amp;IF(AND($R2121&lt;&gt;"",COUNTIF(DriverList,$R2121)=0),", a driver that is not on the list","")&amp;IF(ABS(N($L2121)-(N($M2121)+N($N2121)+N($O2121)+N($P2121)))&gt;0.001,", a total that does not match its quarters",""),3,300))</f>
        <v/>
      </c>
    </row>
    <row r="2122" customFormat="false" ht="15" hidden="false" customHeight="false" outlineLevel="0" collapsed="false">
      <c r="A2122" s="33" t="str">
        <f aca="false">IF($G2122="","","Technology Group")</f>
        <v/>
      </c>
      <c r="B2122" s="19"/>
      <c r="C2122" s="19"/>
      <c r="D2122" s="19"/>
      <c r="E2122" s="19"/>
      <c r="F2122" s="19"/>
      <c r="G2122" s="19"/>
      <c r="H2122" s="19"/>
      <c r="I2122" s="19"/>
      <c r="J2122" s="19"/>
      <c r="K2122" s="19"/>
      <c r="L2122" s="19"/>
      <c r="M2122" s="19"/>
      <c r="N2122" s="19"/>
      <c r="O2122" s="19"/>
      <c r="P2122" s="19"/>
      <c r="Q2122" s="19"/>
      <c r="R2122" s="19"/>
      <c r="S2122" s="19"/>
      <c r="T2122" s="34" t="str">
        <f aca="false">IF($R2122="","",IFERROR(INDEX(DriverCategory,MATCH($R2122,DriverList,0)),"BAU"))</f>
        <v/>
      </c>
      <c r="U2122" s="34" t="str">
        <f aca="false">IF($R2122="","",IFERROR(INDEX(DriverRank,MATCH($R2122,DriverList,0)),99))</f>
        <v/>
      </c>
      <c r="V2122" s="35" t="n">
        <f aca="false">IF($H2122="",0,IFERROR(INDEX(LevelBasic,MATCH($H2122,LevelList,0))+INDEX(LevelHousing,MATCH($H2122,LevelList,0))+INDEX(LevelTransport,MATCH($H2122,LevelList,0))+INDEX(LevelBasic,MATCH($H2122,LevelList,0))*INDEX(LevelBonus,MATCH($H2122,LevelList,0))+(INDEX(LevelBasic,MATCH($H2122,LevelList,0))+INDEX(LevelHousing,MATCH($H2122,LevelList,0)))*GosiSaudi,0))</f>
        <v>0</v>
      </c>
      <c r="W2122" s="35" t="n">
        <f aca="false">IFERROR(INDEX(LevelOneOff,MATCH($H2122,LevelList,0)),0)</f>
        <v>0</v>
      </c>
      <c r="X2122" s="35" t="str">
        <f aca="false">IF($G2122="","",$V2122*N($L2122))</f>
        <v/>
      </c>
      <c r="Y2122" s="35" t="str">
        <f aca="false">IF($G2122="","",$V2122*(N($M2122)*1+N($N2122)*0.75+N($O2122)*0.5+N($P2122)*0.25)+$W2122*N($L2122))</f>
        <v/>
      </c>
      <c r="Z2122" s="35" t="str">
        <f aca="false">IF($G2122="","",$U2122*1000000+ROW())</f>
        <v/>
      </c>
      <c r="AA2122" s="36" t="str">
        <f aca="false">IF($G2122="","",MID(IF($C2122="",", no division","")&amp;IF($E2122="",", no unit","")&amp;IF($H2122="",", no career level","")&amp;IF(N($L2122)&lt;=0,", no quarter split","")&amp;IF($R2122="",", no driver","")&amp;IF(AND($H2122&lt;&gt;"",COUNTIF(CareerLevels,$H2122)=0),", a career level that is not on the ladder","")&amp;IF(AND($R2122&lt;&gt;"",COUNTIF(DriverList,$R2122)=0),", a driver that is not on the list","")&amp;IF(ABS(N($L2122)-(N($M2122)+N($N2122)+N($O2122)+N($P2122)))&gt;0.001,", a total that does not match its quarters",""),3,300))</f>
        <v/>
      </c>
    </row>
    <row r="2123" customFormat="false" ht="15" hidden="false" customHeight="false" outlineLevel="0" collapsed="false">
      <c r="A2123" s="33" t="str">
        <f aca="false">IF($G2123="","","Technology Group")</f>
        <v/>
      </c>
      <c r="B2123" s="19"/>
      <c r="C2123" s="19"/>
      <c r="D2123" s="19"/>
      <c r="E2123" s="19"/>
      <c r="F2123" s="19"/>
      <c r="G2123" s="19"/>
      <c r="H2123" s="19"/>
      <c r="I2123" s="19"/>
      <c r="J2123" s="19"/>
      <c r="K2123" s="19"/>
      <c r="L2123" s="19"/>
      <c r="M2123" s="19"/>
      <c r="N2123" s="19"/>
      <c r="O2123" s="19"/>
      <c r="P2123" s="19"/>
      <c r="Q2123" s="19"/>
      <c r="R2123" s="19"/>
      <c r="S2123" s="19"/>
      <c r="T2123" s="34" t="str">
        <f aca="false">IF($R2123="","",IFERROR(INDEX(DriverCategory,MATCH($R2123,DriverList,0)),"BAU"))</f>
        <v/>
      </c>
      <c r="U2123" s="34" t="str">
        <f aca="false">IF($R2123="","",IFERROR(INDEX(DriverRank,MATCH($R2123,DriverList,0)),99))</f>
        <v/>
      </c>
      <c r="V2123" s="35" t="n">
        <f aca="false">IF($H2123="",0,IFERROR(INDEX(LevelBasic,MATCH($H2123,LevelList,0))+INDEX(LevelHousing,MATCH($H2123,LevelList,0))+INDEX(LevelTransport,MATCH($H2123,LevelList,0))+INDEX(LevelBasic,MATCH($H2123,LevelList,0))*INDEX(LevelBonus,MATCH($H2123,LevelList,0))+(INDEX(LevelBasic,MATCH($H2123,LevelList,0))+INDEX(LevelHousing,MATCH($H2123,LevelList,0)))*GosiSaudi,0))</f>
        <v>0</v>
      </c>
      <c r="W2123" s="35" t="n">
        <f aca="false">IFERROR(INDEX(LevelOneOff,MATCH($H2123,LevelList,0)),0)</f>
        <v>0</v>
      </c>
      <c r="X2123" s="35" t="str">
        <f aca="false">IF($G2123="","",$V2123*N($L2123))</f>
        <v/>
      </c>
      <c r="Y2123" s="35" t="str">
        <f aca="false">IF($G2123="","",$V2123*(N($M2123)*1+N($N2123)*0.75+N($O2123)*0.5+N($P2123)*0.25)+$W2123*N($L2123))</f>
        <v/>
      </c>
      <c r="Z2123" s="35" t="str">
        <f aca="false">IF($G2123="","",$U2123*1000000+ROW())</f>
        <v/>
      </c>
      <c r="AA2123" s="36" t="str">
        <f aca="false">IF($G2123="","",MID(IF($C2123="",", no division","")&amp;IF($E2123="",", no unit","")&amp;IF($H2123="",", no career level","")&amp;IF(N($L2123)&lt;=0,", no quarter split","")&amp;IF($R2123="",", no driver","")&amp;IF(AND($H2123&lt;&gt;"",COUNTIF(CareerLevels,$H2123)=0),", a career level that is not on the ladder","")&amp;IF(AND($R2123&lt;&gt;"",COUNTIF(DriverList,$R2123)=0),", a driver that is not on the list","")&amp;IF(ABS(N($L2123)-(N($M2123)+N($N2123)+N($O2123)+N($P2123)))&gt;0.001,", a total that does not match its quarters",""),3,300))</f>
        <v/>
      </c>
    </row>
    <row r="2124" customFormat="false" ht="15" hidden="false" customHeight="false" outlineLevel="0" collapsed="false">
      <c r="A2124" s="33" t="str">
        <f aca="false">IF($G2124="","","Technology Group")</f>
        <v/>
      </c>
      <c r="B2124" s="19"/>
      <c r="C2124" s="19"/>
      <c r="D2124" s="19"/>
      <c r="E2124" s="19"/>
      <c r="F2124" s="19"/>
      <c r="G2124" s="19"/>
      <c r="H2124" s="19"/>
      <c r="I2124" s="19"/>
      <c r="J2124" s="19"/>
      <c r="K2124" s="19"/>
      <c r="L2124" s="19"/>
      <c r="M2124" s="19"/>
      <c r="N2124" s="19"/>
      <c r="O2124" s="19"/>
      <c r="P2124" s="19"/>
      <c r="Q2124" s="19"/>
      <c r="R2124" s="19"/>
      <c r="S2124" s="19"/>
      <c r="T2124" s="34" t="str">
        <f aca="false">IF($R2124="","",IFERROR(INDEX(DriverCategory,MATCH($R2124,DriverList,0)),"BAU"))</f>
        <v/>
      </c>
      <c r="U2124" s="34" t="str">
        <f aca="false">IF($R2124="","",IFERROR(INDEX(DriverRank,MATCH($R2124,DriverList,0)),99))</f>
        <v/>
      </c>
      <c r="V2124" s="35" t="n">
        <f aca="false">IF($H2124="",0,IFERROR(INDEX(LevelBasic,MATCH($H2124,LevelList,0))+INDEX(LevelHousing,MATCH($H2124,LevelList,0))+INDEX(LevelTransport,MATCH($H2124,LevelList,0))+INDEX(LevelBasic,MATCH($H2124,LevelList,0))*INDEX(LevelBonus,MATCH($H2124,LevelList,0))+(INDEX(LevelBasic,MATCH($H2124,LevelList,0))+INDEX(LevelHousing,MATCH($H2124,LevelList,0)))*GosiSaudi,0))</f>
        <v>0</v>
      </c>
      <c r="W2124" s="35" t="n">
        <f aca="false">IFERROR(INDEX(LevelOneOff,MATCH($H2124,LevelList,0)),0)</f>
        <v>0</v>
      </c>
      <c r="X2124" s="35" t="str">
        <f aca="false">IF($G2124="","",$V2124*N($L2124))</f>
        <v/>
      </c>
      <c r="Y2124" s="35" t="str">
        <f aca="false">IF($G2124="","",$V2124*(N($M2124)*1+N($N2124)*0.75+N($O2124)*0.5+N($P2124)*0.25)+$W2124*N($L2124))</f>
        <v/>
      </c>
      <c r="Z2124" s="35" t="str">
        <f aca="false">IF($G2124="","",$U2124*1000000+ROW())</f>
        <v/>
      </c>
      <c r="AA2124" s="36" t="str">
        <f aca="false">IF($G2124="","",MID(IF($C2124="",", no division","")&amp;IF($E2124="",", no unit","")&amp;IF($H2124="",", no career level","")&amp;IF(N($L2124)&lt;=0,", no quarter split","")&amp;IF($R2124="",", no driver","")&amp;IF(AND($H2124&lt;&gt;"",COUNTIF(CareerLevels,$H2124)=0),", a career level that is not on the ladder","")&amp;IF(AND($R2124&lt;&gt;"",COUNTIF(DriverList,$R2124)=0),", a driver that is not on the list","")&amp;IF(ABS(N($L2124)-(N($M2124)+N($N2124)+N($O2124)+N($P2124)))&gt;0.001,", a total that does not match its quarters",""),3,300))</f>
        <v/>
      </c>
    </row>
    <row r="2125" customFormat="false" ht="15" hidden="false" customHeight="false" outlineLevel="0" collapsed="false">
      <c r="A2125" s="33" t="str">
        <f aca="false">IF($G2125="","","Technology Group")</f>
        <v/>
      </c>
      <c r="B2125" s="19"/>
      <c r="C2125" s="19"/>
      <c r="D2125" s="19"/>
      <c r="E2125" s="19"/>
      <c r="F2125" s="19"/>
      <c r="G2125" s="19"/>
      <c r="H2125" s="19"/>
      <c r="I2125" s="19"/>
      <c r="J2125" s="19"/>
      <c r="K2125" s="19"/>
      <c r="L2125" s="19"/>
      <c r="M2125" s="19"/>
      <c r="N2125" s="19"/>
      <c r="O2125" s="19"/>
      <c r="P2125" s="19"/>
      <c r="Q2125" s="19"/>
      <c r="R2125" s="19"/>
      <c r="S2125" s="19"/>
      <c r="T2125" s="34" t="str">
        <f aca="false">IF($R2125="","",IFERROR(INDEX(DriverCategory,MATCH($R2125,DriverList,0)),"BAU"))</f>
        <v/>
      </c>
      <c r="U2125" s="34" t="str">
        <f aca="false">IF($R2125="","",IFERROR(INDEX(DriverRank,MATCH($R2125,DriverList,0)),99))</f>
        <v/>
      </c>
      <c r="V2125" s="35" t="n">
        <f aca="false">IF($H2125="",0,IFERROR(INDEX(LevelBasic,MATCH($H2125,LevelList,0))+INDEX(LevelHousing,MATCH($H2125,LevelList,0))+INDEX(LevelTransport,MATCH($H2125,LevelList,0))+INDEX(LevelBasic,MATCH($H2125,LevelList,0))*INDEX(LevelBonus,MATCH($H2125,LevelList,0))+(INDEX(LevelBasic,MATCH($H2125,LevelList,0))+INDEX(LevelHousing,MATCH($H2125,LevelList,0)))*GosiSaudi,0))</f>
        <v>0</v>
      </c>
      <c r="W2125" s="35" t="n">
        <f aca="false">IFERROR(INDEX(LevelOneOff,MATCH($H2125,LevelList,0)),0)</f>
        <v>0</v>
      </c>
      <c r="X2125" s="35" t="str">
        <f aca="false">IF($G2125="","",$V2125*N($L2125))</f>
        <v/>
      </c>
      <c r="Y2125" s="35" t="str">
        <f aca="false">IF($G2125="","",$V2125*(N($M2125)*1+N($N2125)*0.75+N($O2125)*0.5+N($P2125)*0.25)+$W2125*N($L2125))</f>
        <v/>
      </c>
      <c r="Z2125" s="35" t="str">
        <f aca="false">IF($G2125="","",$U2125*1000000+ROW())</f>
        <v/>
      </c>
      <c r="AA2125" s="36" t="str">
        <f aca="false">IF($G2125="","",MID(IF($C2125="",", no division","")&amp;IF($E2125="",", no unit","")&amp;IF($H2125="",", no career level","")&amp;IF(N($L2125)&lt;=0,", no quarter split","")&amp;IF($R2125="",", no driver","")&amp;IF(AND($H2125&lt;&gt;"",COUNTIF(CareerLevels,$H2125)=0),", a career level that is not on the ladder","")&amp;IF(AND($R2125&lt;&gt;"",COUNTIF(DriverList,$R2125)=0),", a driver that is not on the list","")&amp;IF(ABS(N($L2125)-(N($M2125)+N($N2125)+N($O2125)+N($P2125)))&gt;0.001,", a total that does not match its quarters",""),3,300))</f>
        <v/>
      </c>
    </row>
    <row r="2126" customFormat="false" ht="15" hidden="false" customHeight="false" outlineLevel="0" collapsed="false">
      <c r="A2126" s="33" t="str">
        <f aca="false">IF($G2126="","","Technology Group")</f>
        <v/>
      </c>
      <c r="B2126" s="19"/>
      <c r="C2126" s="19"/>
      <c r="D2126" s="19"/>
      <c r="E2126" s="19"/>
      <c r="F2126" s="19"/>
      <c r="G2126" s="19"/>
      <c r="H2126" s="19"/>
      <c r="I2126" s="19"/>
      <c r="J2126" s="19"/>
      <c r="K2126" s="19"/>
      <c r="L2126" s="19"/>
      <c r="M2126" s="19"/>
      <c r="N2126" s="19"/>
      <c r="O2126" s="19"/>
      <c r="P2126" s="19"/>
      <c r="Q2126" s="19"/>
      <c r="R2126" s="19"/>
      <c r="S2126" s="19"/>
      <c r="T2126" s="34" t="str">
        <f aca="false">IF($R2126="","",IFERROR(INDEX(DriverCategory,MATCH($R2126,DriverList,0)),"BAU"))</f>
        <v/>
      </c>
      <c r="U2126" s="34" t="str">
        <f aca="false">IF($R2126="","",IFERROR(INDEX(DriverRank,MATCH($R2126,DriverList,0)),99))</f>
        <v/>
      </c>
      <c r="V2126" s="35" t="n">
        <f aca="false">IF($H2126="",0,IFERROR(INDEX(LevelBasic,MATCH($H2126,LevelList,0))+INDEX(LevelHousing,MATCH($H2126,LevelList,0))+INDEX(LevelTransport,MATCH($H2126,LevelList,0))+INDEX(LevelBasic,MATCH($H2126,LevelList,0))*INDEX(LevelBonus,MATCH($H2126,LevelList,0))+(INDEX(LevelBasic,MATCH($H2126,LevelList,0))+INDEX(LevelHousing,MATCH($H2126,LevelList,0)))*GosiSaudi,0))</f>
        <v>0</v>
      </c>
      <c r="W2126" s="35" t="n">
        <f aca="false">IFERROR(INDEX(LevelOneOff,MATCH($H2126,LevelList,0)),0)</f>
        <v>0</v>
      </c>
      <c r="X2126" s="35" t="str">
        <f aca="false">IF($G2126="","",$V2126*N($L2126))</f>
        <v/>
      </c>
      <c r="Y2126" s="35" t="str">
        <f aca="false">IF($G2126="","",$V2126*(N($M2126)*1+N($N2126)*0.75+N($O2126)*0.5+N($P2126)*0.25)+$W2126*N($L2126))</f>
        <v/>
      </c>
      <c r="Z2126" s="35" t="str">
        <f aca="false">IF($G2126="","",$U2126*1000000+ROW())</f>
        <v/>
      </c>
      <c r="AA2126" s="36" t="str">
        <f aca="false">IF($G2126="","",MID(IF($C2126="",", no division","")&amp;IF($E2126="",", no unit","")&amp;IF($H2126="",", no career level","")&amp;IF(N($L2126)&lt;=0,", no quarter split","")&amp;IF($R2126="",", no driver","")&amp;IF(AND($H2126&lt;&gt;"",COUNTIF(CareerLevels,$H2126)=0),", a career level that is not on the ladder","")&amp;IF(AND($R2126&lt;&gt;"",COUNTIF(DriverList,$R2126)=0),", a driver that is not on the list","")&amp;IF(ABS(N($L2126)-(N($M2126)+N($N2126)+N($O2126)+N($P2126)))&gt;0.001,", a total that does not match its quarters",""),3,300))</f>
        <v/>
      </c>
    </row>
    <row r="2127" customFormat="false" ht="15" hidden="false" customHeight="false" outlineLevel="0" collapsed="false">
      <c r="A2127" s="33" t="str">
        <f aca="false">IF($G2127="","","Technology Group")</f>
        <v/>
      </c>
      <c r="B2127" s="19"/>
      <c r="C2127" s="19"/>
      <c r="D2127" s="19"/>
      <c r="E2127" s="19"/>
      <c r="F2127" s="19"/>
      <c r="G2127" s="19"/>
      <c r="H2127" s="19"/>
      <c r="I2127" s="19"/>
      <c r="J2127" s="19"/>
      <c r="K2127" s="19"/>
      <c r="L2127" s="19"/>
      <c r="M2127" s="19"/>
      <c r="N2127" s="19"/>
      <c r="O2127" s="19"/>
      <c r="P2127" s="19"/>
      <c r="Q2127" s="19"/>
      <c r="R2127" s="19"/>
      <c r="S2127" s="19"/>
      <c r="T2127" s="34" t="str">
        <f aca="false">IF($R2127="","",IFERROR(INDEX(DriverCategory,MATCH($R2127,DriverList,0)),"BAU"))</f>
        <v/>
      </c>
      <c r="U2127" s="34" t="str">
        <f aca="false">IF($R2127="","",IFERROR(INDEX(DriverRank,MATCH($R2127,DriverList,0)),99))</f>
        <v/>
      </c>
      <c r="V2127" s="35" t="n">
        <f aca="false">IF($H2127="",0,IFERROR(INDEX(LevelBasic,MATCH($H2127,LevelList,0))+INDEX(LevelHousing,MATCH($H2127,LevelList,0))+INDEX(LevelTransport,MATCH($H2127,LevelList,0))+INDEX(LevelBasic,MATCH($H2127,LevelList,0))*INDEX(LevelBonus,MATCH($H2127,LevelList,0))+(INDEX(LevelBasic,MATCH($H2127,LevelList,0))+INDEX(LevelHousing,MATCH($H2127,LevelList,0)))*GosiSaudi,0))</f>
        <v>0</v>
      </c>
      <c r="W2127" s="35" t="n">
        <f aca="false">IFERROR(INDEX(LevelOneOff,MATCH($H2127,LevelList,0)),0)</f>
        <v>0</v>
      </c>
      <c r="X2127" s="35" t="str">
        <f aca="false">IF($G2127="","",$V2127*N($L2127))</f>
        <v/>
      </c>
      <c r="Y2127" s="35" t="str">
        <f aca="false">IF($G2127="","",$V2127*(N($M2127)*1+N($N2127)*0.75+N($O2127)*0.5+N($P2127)*0.25)+$W2127*N($L2127))</f>
        <v/>
      </c>
      <c r="Z2127" s="35" t="str">
        <f aca="false">IF($G2127="","",$U2127*1000000+ROW())</f>
        <v/>
      </c>
      <c r="AA2127" s="36" t="str">
        <f aca="false">IF($G2127="","",MID(IF($C2127="",", no division","")&amp;IF($E2127="",", no unit","")&amp;IF($H2127="",", no career level","")&amp;IF(N($L2127)&lt;=0,", no quarter split","")&amp;IF($R2127="",", no driver","")&amp;IF(AND($H2127&lt;&gt;"",COUNTIF(CareerLevels,$H2127)=0),", a career level that is not on the ladder","")&amp;IF(AND($R2127&lt;&gt;"",COUNTIF(DriverList,$R2127)=0),", a driver that is not on the list","")&amp;IF(ABS(N($L2127)-(N($M2127)+N($N2127)+N($O2127)+N($P2127)))&gt;0.001,", a total that does not match its quarters",""),3,300))</f>
        <v/>
      </c>
    </row>
    <row r="2128" customFormat="false" ht="15" hidden="false" customHeight="false" outlineLevel="0" collapsed="false">
      <c r="A2128" s="33" t="str">
        <f aca="false">IF($G2128="","","Technology Group")</f>
        <v/>
      </c>
      <c r="B2128" s="19"/>
      <c r="C2128" s="19"/>
      <c r="D2128" s="19"/>
      <c r="E2128" s="19"/>
      <c r="F2128" s="19"/>
      <c r="G2128" s="19"/>
      <c r="H2128" s="19"/>
      <c r="I2128" s="19"/>
      <c r="J2128" s="19"/>
      <c r="K2128" s="19"/>
      <c r="L2128" s="19"/>
      <c r="M2128" s="19"/>
      <c r="N2128" s="19"/>
      <c r="O2128" s="19"/>
      <c r="P2128" s="19"/>
      <c r="Q2128" s="19"/>
      <c r="R2128" s="19"/>
      <c r="S2128" s="19"/>
      <c r="T2128" s="34" t="str">
        <f aca="false">IF($R2128="","",IFERROR(INDEX(DriverCategory,MATCH($R2128,DriverList,0)),"BAU"))</f>
        <v/>
      </c>
      <c r="U2128" s="34" t="str">
        <f aca="false">IF($R2128="","",IFERROR(INDEX(DriverRank,MATCH($R2128,DriverList,0)),99))</f>
        <v/>
      </c>
      <c r="V2128" s="35" t="n">
        <f aca="false">IF($H2128="",0,IFERROR(INDEX(LevelBasic,MATCH($H2128,LevelList,0))+INDEX(LevelHousing,MATCH($H2128,LevelList,0))+INDEX(LevelTransport,MATCH($H2128,LevelList,0))+INDEX(LevelBasic,MATCH($H2128,LevelList,0))*INDEX(LevelBonus,MATCH($H2128,LevelList,0))+(INDEX(LevelBasic,MATCH($H2128,LevelList,0))+INDEX(LevelHousing,MATCH($H2128,LevelList,0)))*GosiSaudi,0))</f>
        <v>0</v>
      </c>
      <c r="W2128" s="35" t="n">
        <f aca="false">IFERROR(INDEX(LevelOneOff,MATCH($H2128,LevelList,0)),0)</f>
        <v>0</v>
      </c>
      <c r="X2128" s="35" t="str">
        <f aca="false">IF($G2128="","",$V2128*N($L2128))</f>
        <v/>
      </c>
      <c r="Y2128" s="35" t="str">
        <f aca="false">IF($G2128="","",$V2128*(N($M2128)*1+N($N2128)*0.75+N($O2128)*0.5+N($P2128)*0.25)+$W2128*N($L2128))</f>
        <v/>
      </c>
      <c r="Z2128" s="35" t="str">
        <f aca="false">IF($G2128="","",$U2128*1000000+ROW())</f>
        <v/>
      </c>
      <c r="AA2128" s="36" t="str">
        <f aca="false">IF($G2128="","",MID(IF($C2128="",", no division","")&amp;IF($E2128="",", no unit","")&amp;IF($H2128="",", no career level","")&amp;IF(N($L2128)&lt;=0,", no quarter split","")&amp;IF($R2128="",", no driver","")&amp;IF(AND($H2128&lt;&gt;"",COUNTIF(CareerLevels,$H2128)=0),", a career level that is not on the ladder","")&amp;IF(AND($R2128&lt;&gt;"",COUNTIF(DriverList,$R2128)=0),", a driver that is not on the list","")&amp;IF(ABS(N($L2128)-(N($M2128)+N($N2128)+N($O2128)+N($P2128)))&gt;0.001,", a total that does not match its quarters",""),3,300))</f>
        <v/>
      </c>
    </row>
    <row r="2129" customFormat="false" ht="15" hidden="false" customHeight="false" outlineLevel="0" collapsed="false">
      <c r="A2129" s="33" t="str">
        <f aca="false">IF($G2129="","","Technology Group")</f>
        <v/>
      </c>
      <c r="B2129" s="19"/>
      <c r="C2129" s="19"/>
      <c r="D2129" s="19"/>
      <c r="E2129" s="19"/>
      <c r="F2129" s="19"/>
      <c r="G2129" s="19"/>
      <c r="H2129" s="19"/>
      <c r="I2129" s="19"/>
      <c r="J2129" s="19"/>
      <c r="K2129" s="19"/>
      <c r="L2129" s="19"/>
      <c r="M2129" s="19"/>
      <c r="N2129" s="19"/>
      <c r="O2129" s="19"/>
      <c r="P2129" s="19"/>
      <c r="Q2129" s="19"/>
      <c r="R2129" s="19"/>
      <c r="S2129" s="19"/>
      <c r="T2129" s="34" t="str">
        <f aca="false">IF($R2129="","",IFERROR(INDEX(DriverCategory,MATCH($R2129,DriverList,0)),"BAU"))</f>
        <v/>
      </c>
      <c r="U2129" s="34" t="str">
        <f aca="false">IF($R2129="","",IFERROR(INDEX(DriverRank,MATCH($R2129,DriverList,0)),99))</f>
        <v/>
      </c>
      <c r="V2129" s="35" t="n">
        <f aca="false">IF($H2129="",0,IFERROR(INDEX(LevelBasic,MATCH($H2129,LevelList,0))+INDEX(LevelHousing,MATCH($H2129,LevelList,0))+INDEX(LevelTransport,MATCH($H2129,LevelList,0))+INDEX(LevelBasic,MATCH($H2129,LevelList,0))*INDEX(LevelBonus,MATCH($H2129,LevelList,0))+(INDEX(LevelBasic,MATCH($H2129,LevelList,0))+INDEX(LevelHousing,MATCH($H2129,LevelList,0)))*GosiSaudi,0))</f>
        <v>0</v>
      </c>
      <c r="W2129" s="35" t="n">
        <f aca="false">IFERROR(INDEX(LevelOneOff,MATCH($H2129,LevelList,0)),0)</f>
        <v>0</v>
      </c>
      <c r="X2129" s="35" t="str">
        <f aca="false">IF($G2129="","",$V2129*N($L2129))</f>
        <v/>
      </c>
      <c r="Y2129" s="35" t="str">
        <f aca="false">IF($G2129="","",$V2129*(N($M2129)*1+N($N2129)*0.75+N($O2129)*0.5+N($P2129)*0.25)+$W2129*N($L2129))</f>
        <v/>
      </c>
      <c r="Z2129" s="35" t="str">
        <f aca="false">IF($G2129="","",$U2129*1000000+ROW())</f>
        <v/>
      </c>
      <c r="AA2129" s="36" t="str">
        <f aca="false">IF($G2129="","",MID(IF($C2129="",", no division","")&amp;IF($E2129="",", no unit","")&amp;IF($H2129="",", no career level","")&amp;IF(N($L2129)&lt;=0,", no quarter split","")&amp;IF($R2129="",", no driver","")&amp;IF(AND($H2129&lt;&gt;"",COUNTIF(CareerLevels,$H2129)=0),", a career level that is not on the ladder","")&amp;IF(AND($R2129&lt;&gt;"",COUNTIF(DriverList,$R2129)=0),", a driver that is not on the list","")&amp;IF(ABS(N($L2129)-(N($M2129)+N($N2129)+N($O2129)+N($P2129)))&gt;0.001,", a total that does not match its quarters",""),3,300))</f>
        <v/>
      </c>
    </row>
    <row r="2130" customFormat="false" ht="15" hidden="false" customHeight="false" outlineLevel="0" collapsed="false">
      <c r="A2130" s="33" t="str">
        <f aca="false">IF($G2130="","","Technology Group")</f>
        <v/>
      </c>
      <c r="B2130" s="19"/>
      <c r="C2130" s="19"/>
      <c r="D2130" s="19"/>
      <c r="E2130" s="19"/>
      <c r="F2130" s="19"/>
      <c r="G2130" s="19"/>
      <c r="H2130" s="19"/>
      <c r="I2130" s="19"/>
      <c r="J2130" s="19"/>
      <c r="K2130" s="19"/>
      <c r="L2130" s="19"/>
      <c r="M2130" s="19"/>
      <c r="N2130" s="19"/>
      <c r="O2130" s="19"/>
      <c r="P2130" s="19"/>
      <c r="Q2130" s="19"/>
      <c r="R2130" s="19"/>
      <c r="S2130" s="19"/>
      <c r="T2130" s="34" t="str">
        <f aca="false">IF($R2130="","",IFERROR(INDEX(DriverCategory,MATCH($R2130,DriverList,0)),"BAU"))</f>
        <v/>
      </c>
      <c r="U2130" s="34" t="str">
        <f aca="false">IF($R2130="","",IFERROR(INDEX(DriverRank,MATCH($R2130,DriverList,0)),99))</f>
        <v/>
      </c>
      <c r="V2130" s="35" t="n">
        <f aca="false">IF($H2130="",0,IFERROR(INDEX(LevelBasic,MATCH($H2130,LevelList,0))+INDEX(LevelHousing,MATCH($H2130,LevelList,0))+INDEX(LevelTransport,MATCH($H2130,LevelList,0))+INDEX(LevelBasic,MATCH($H2130,LevelList,0))*INDEX(LevelBonus,MATCH($H2130,LevelList,0))+(INDEX(LevelBasic,MATCH($H2130,LevelList,0))+INDEX(LevelHousing,MATCH($H2130,LevelList,0)))*GosiSaudi,0))</f>
        <v>0</v>
      </c>
      <c r="W2130" s="35" t="n">
        <f aca="false">IFERROR(INDEX(LevelOneOff,MATCH($H2130,LevelList,0)),0)</f>
        <v>0</v>
      </c>
      <c r="X2130" s="35" t="str">
        <f aca="false">IF($G2130="","",$V2130*N($L2130))</f>
        <v/>
      </c>
      <c r="Y2130" s="35" t="str">
        <f aca="false">IF($G2130="","",$V2130*(N($M2130)*1+N($N2130)*0.75+N($O2130)*0.5+N($P2130)*0.25)+$W2130*N($L2130))</f>
        <v/>
      </c>
      <c r="Z2130" s="35" t="str">
        <f aca="false">IF($G2130="","",$U2130*1000000+ROW())</f>
        <v/>
      </c>
      <c r="AA2130" s="36" t="str">
        <f aca="false">IF($G2130="","",MID(IF($C2130="",", no division","")&amp;IF($E2130="",", no unit","")&amp;IF($H2130="",", no career level","")&amp;IF(N($L2130)&lt;=0,", no quarter split","")&amp;IF($R2130="",", no driver","")&amp;IF(AND($H2130&lt;&gt;"",COUNTIF(CareerLevels,$H2130)=0),", a career level that is not on the ladder","")&amp;IF(AND($R2130&lt;&gt;"",COUNTIF(DriverList,$R2130)=0),", a driver that is not on the list","")&amp;IF(ABS(N($L2130)-(N($M2130)+N($N2130)+N($O2130)+N($P2130)))&gt;0.001,", a total that does not match its quarters",""),3,300))</f>
        <v/>
      </c>
    </row>
    <row r="2131" customFormat="false" ht="15" hidden="false" customHeight="false" outlineLevel="0" collapsed="false">
      <c r="A2131" s="33" t="str">
        <f aca="false">IF($G2131="","","Technology Group")</f>
        <v/>
      </c>
      <c r="B2131" s="19"/>
      <c r="C2131" s="19"/>
      <c r="D2131" s="19"/>
      <c r="E2131" s="19"/>
      <c r="F2131" s="19"/>
      <c r="G2131" s="19"/>
      <c r="H2131" s="19"/>
      <c r="I2131" s="19"/>
      <c r="J2131" s="19"/>
      <c r="K2131" s="19"/>
      <c r="L2131" s="19"/>
      <c r="M2131" s="19"/>
      <c r="N2131" s="19"/>
      <c r="O2131" s="19"/>
      <c r="P2131" s="19"/>
      <c r="Q2131" s="19"/>
      <c r="R2131" s="19"/>
      <c r="S2131" s="19"/>
      <c r="T2131" s="34" t="str">
        <f aca="false">IF($R2131="","",IFERROR(INDEX(DriverCategory,MATCH($R2131,DriverList,0)),"BAU"))</f>
        <v/>
      </c>
      <c r="U2131" s="34" t="str">
        <f aca="false">IF($R2131="","",IFERROR(INDEX(DriverRank,MATCH($R2131,DriverList,0)),99))</f>
        <v/>
      </c>
      <c r="V2131" s="35" t="n">
        <f aca="false">IF($H2131="",0,IFERROR(INDEX(LevelBasic,MATCH($H2131,LevelList,0))+INDEX(LevelHousing,MATCH($H2131,LevelList,0))+INDEX(LevelTransport,MATCH($H2131,LevelList,0))+INDEX(LevelBasic,MATCH($H2131,LevelList,0))*INDEX(LevelBonus,MATCH($H2131,LevelList,0))+(INDEX(LevelBasic,MATCH($H2131,LevelList,0))+INDEX(LevelHousing,MATCH($H2131,LevelList,0)))*GosiSaudi,0))</f>
        <v>0</v>
      </c>
      <c r="W2131" s="35" t="n">
        <f aca="false">IFERROR(INDEX(LevelOneOff,MATCH($H2131,LevelList,0)),0)</f>
        <v>0</v>
      </c>
      <c r="X2131" s="35" t="str">
        <f aca="false">IF($G2131="","",$V2131*N($L2131))</f>
        <v/>
      </c>
      <c r="Y2131" s="35" t="str">
        <f aca="false">IF($G2131="","",$V2131*(N($M2131)*1+N($N2131)*0.75+N($O2131)*0.5+N($P2131)*0.25)+$W2131*N($L2131))</f>
        <v/>
      </c>
      <c r="Z2131" s="35" t="str">
        <f aca="false">IF($G2131="","",$U2131*1000000+ROW())</f>
        <v/>
      </c>
      <c r="AA2131" s="36" t="str">
        <f aca="false">IF($G2131="","",MID(IF($C2131="",", no division","")&amp;IF($E2131="",", no unit","")&amp;IF($H2131="",", no career level","")&amp;IF(N($L2131)&lt;=0,", no quarter split","")&amp;IF($R2131="",", no driver","")&amp;IF(AND($H2131&lt;&gt;"",COUNTIF(CareerLevels,$H2131)=0),", a career level that is not on the ladder","")&amp;IF(AND($R2131&lt;&gt;"",COUNTIF(DriverList,$R2131)=0),", a driver that is not on the list","")&amp;IF(ABS(N($L2131)-(N($M2131)+N($N2131)+N($O2131)+N($P2131)))&gt;0.001,", a total that does not match its quarters",""),3,300))</f>
        <v/>
      </c>
    </row>
    <row r="2132" customFormat="false" ht="15" hidden="false" customHeight="false" outlineLevel="0" collapsed="false">
      <c r="A2132" s="33" t="str">
        <f aca="false">IF($G2132="","","Technology Group")</f>
        <v/>
      </c>
      <c r="B2132" s="19"/>
      <c r="C2132" s="19"/>
      <c r="D2132" s="19"/>
      <c r="E2132" s="19"/>
      <c r="F2132" s="19"/>
      <c r="G2132" s="19"/>
      <c r="H2132" s="19"/>
      <c r="I2132" s="19"/>
      <c r="J2132" s="19"/>
      <c r="K2132" s="19"/>
      <c r="L2132" s="19"/>
      <c r="M2132" s="19"/>
      <c r="N2132" s="19"/>
      <c r="O2132" s="19"/>
      <c r="P2132" s="19"/>
      <c r="Q2132" s="19"/>
      <c r="R2132" s="19"/>
      <c r="S2132" s="19"/>
      <c r="T2132" s="34" t="str">
        <f aca="false">IF($R2132="","",IFERROR(INDEX(DriverCategory,MATCH($R2132,DriverList,0)),"BAU"))</f>
        <v/>
      </c>
      <c r="U2132" s="34" t="str">
        <f aca="false">IF($R2132="","",IFERROR(INDEX(DriverRank,MATCH($R2132,DriverList,0)),99))</f>
        <v/>
      </c>
      <c r="V2132" s="35" t="n">
        <f aca="false">IF($H2132="",0,IFERROR(INDEX(LevelBasic,MATCH($H2132,LevelList,0))+INDEX(LevelHousing,MATCH($H2132,LevelList,0))+INDEX(LevelTransport,MATCH($H2132,LevelList,0))+INDEX(LevelBasic,MATCH($H2132,LevelList,0))*INDEX(LevelBonus,MATCH($H2132,LevelList,0))+(INDEX(LevelBasic,MATCH($H2132,LevelList,0))+INDEX(LevelHousing,MATCH($H2132,LevelList,0)))*GosiSaudi,0))</f>
        <v>0</v>
      </c>
      <c r="W2132" s="35" t="n">
        <f aca="false">IFERROR(INDEX(LevelOneOff,MATCH($H2132,LevelList,0)),0)</f>
        <v>0</v>
      </c>
      <c r="X2132" s="35" t="str">
        <f aca="false">IF($G2132="","",$V2132*N($L2132))</f>
        <v/>
      </c>
      <c r="Y2132" s="35" t="str">
        <f aca="false">IF($G2132="","",$V2132*(N($M2132)*1+N($N2132)*0.75+N($O2132)*0.5+N($P2132)*0.25)+$W2132*N($L2132))</f>
        <v/>
      </c>
      <c r="Z2132" s="35" t="str">
        <f aca="false">IF($G2132="","",$U2132*1000000+ROW())</f>
        <v/>
      </c>
      <c r="AA2132" s="36" t="str">
        <f aca="false">IF($G2132="","",MID(IF($C2132="",", no division","")&amp;IF($E2132="",", no unit","")&amp;IF($H2132="",", no career level","")&amp;IF(N($L2132)&lt;=0,", no quarter split","")&amp;IF($R2132="",", no driver","")&amp;IF(AND($H2132&lt;&gt;"",COUNTIF(CareerLevels,$H2132)=0),", a career level that is not on the ladder","")&amp;IF(AND($R2132&lt;&gt;"",COUNTIF(DriverList,$R2132)=0),", a driver that is not on the list","")&amp;IF(ABS(N($L2132)-(N($M2132)+N($N2132)+N($O2132)+N($P2132)))&gt;0.001,", a total that does not match its quarters",""),3,300))</f>
        <v/>
      </c>
    </row>
    <row r="2133" customFormat="false" ht="15" hidden="false" customHeight="false" outlineLevel="0" collapsed="false">
      <c r="A2133" s="33" t="str">
        <f aca="false">IF($G2133="","","Technology Group")</f>
        <v/>
      </c>
      <c r="B2133" s="19"/>
      <c r="C2133" s="19"/>
      <c r="D2133" s="19"/>
      <c r="E2133" s="19"/>
      <c r="F2133" s="19"/>
      <c r="G2133" s="19"/>
      <c r="H2133" s="19"/>
      <c r="I2133" s="19"/>
      <c r="J2133" s="19"/>
      <c r="K2133" s="19"/>
      <c r="L2133" s="19"/>
      <c r="M2133" s="19"/>
      <c r="N2133" s="19"/>
      <c r="O2133" s="19"/>
      <c r="P2133" s="19"/>
      <c r="Q2133" s="19"/>
      <c r="R2133" s="19"/>
      <c r="S2133" s="19"/>
      <c r="T2133" s="34" t="str">
        <f aca="false">IF($R2133="","",IFERROR(INDEX(DriverCategory,MATCH($R2133,DriverList,0)),"BAU"))</f>
        <v/>
      </c>
      <c r="U2133" s="34" t="str">
        <f aca="false">IF($R2133="","",IFERROR(INDEX(DriverRank,MATCH($R2133,DriverList,0)),99))</f>
        <v/>
      </c>
      <c r="V2133" s="35" t="n">
        <f aca="false">IF($H2133="",0,IFERROR(INDEX(LevelBasic,MATCH($H2133,LevelList,0))+INDEX(LevelHousing,MATCH($H2133,LevelList,0))+INDEX(LevelTransport,MATCH($H2133,LevelList,0))+INDEX(LevelBasic,MATCH($H2133,LevelList,0))*INDEX(LevelBonus,MATCH($H2133,LevelList,0))+(INDEX(LevelBasic,MATCH($H2133,LevelList,0))+INDEX(LevelHousing,MATCH($H2133,LevelList,0)))*GosiSaudi,0))</f>
        <v>0</v>
      </c>
      <c r="W2133" s="35" t="n">
        <f aca="false">IFERROR(INDEX(LevelOneOff,MATCH($H2133,LevelList,0)),0)</f>
        <v>0</v>
      </c>
      <c r="X2133" s="35" t="str">
        <f aca="false">IF($G2133="","",$V2133*N($L2133))</f>
        <v/>
      </c>
      <c r="Y2133" s="35" t="str">
        <f aca="false">IF($G2133="","",$V2133*(N($M2133)*1+N($N2133)*0.75+N($O2133)*0.5+N($P2133)*0.25)+$W2133*N($L2133))</f>
        <v/>
      </c>
      <c r="Z2133" s="35" t="str">
        <f aca="false">IF($G2133="","",$U2133*1000000+ROW())</f>
        <v/>
      </c>
      <c r="AA2133" s="36" t="str">
        <f aca="false">IF($G2133="","",MID(IF($C2133="",", no division","")&amp;IF($E2133="",", no unit","")&amp;IF($H2133="",", no career level","")&amp;IF(N($L2133)&lt;=0,", no quarter split","")&amp;IF($R2133="",", no driver","")&amp;IF(AND($H2133&lt;&gt;"",COUNTIF(CareerLevels,$H2133)=0),", a career level that is not on the ladder","")&amp;IF(AND($R2133&lt;&gt;"",COUNTIF(DriverList,$R2133)=0),", a driver that is not on the list","")&amp;IF(ABS(N($L2133)-(N($M2133)+N($N2133)+N($O2133)+N($P2133)))&gt;0.001,", a total that does not match its quarters",""),3,300))</f>
        <v/>
      </c>
    </row>
    <row r="2134" customFormat="false" ht="15" hidden="false" customHeight="false" outlineLevel="0" collapsed="false">
      <c r="A2134" s="33" t="str">
        <f aca="false">IF($G2134="","","Technology Group")</f>
        <v/>
      </c>
      <c r="B2134" s="19"/>
      <c r="C2134" s="19"/>
      <c r="D2134" s="19"/>
      <c r="E2134" s="19"/>
      <c r="F2134" s="19"/>
      <c r="G2134" s="19"/>
      <c r="H2134" s="19"/>
      <c r="I2134" s="19"/>
      <c r="J2134" s="19"/>
      <c r="K2134" s="19"/>
      <c r="L2134" s="19"/>
      <c r="M2134" s="19"/>
      <c r="N2134" s="19"/>
      <c r="O2134" s="19"/>
      <c r="P2134" s="19"/>
      <c r="Q2134" s="19"/>
      <c r="R2134" s="19"/>
      <c r="S2134" s="19"/>
      <c r="T2134" s="34" t="str">
        <f aca="false">IF($R2134="","",IFERROR(INDEX(DriverCategory,MATCH($R2134,DriverList,0)),"BAU"))</f>
        <v/>
      </c>
      <c r="U2134" s="34" t="str">
        <f aca="false">IF($R2134="","",IFERROR(INDEX(DriverRank,MATCH($R2134,DriverList,0)),99))</f>
        <v/>
      </c>
      <c r="V2134" s="35" t="n">
        <f aca="false">IF($H2134="",0,IFERROR(INDEX(LevelBasic,MATCH($H2134,LevelList,0))+INDEX(LevelHousing,MATCH($H2134,LevelList,0))+INDEX(LevelTransport,MATCH($H2134,LevelList,0))+INDEX(LevelBasic,MATCH($H2134,LevelList,0))*INDEX(LevelBonus,MATCH($H2134,LevelList,0))+(INDEX(LevelBasic,MATCH($H2134,LevelList,0))+INDEX(LevelHousing,MATCH($H2134,LevelList,0)))*GosiSaudi,0))</f>
        <v>0</v>
      </c>
      <c r="W2134" s="35" t="n">
        <f aca="false">IFERROR(INDEX(LevelOneOff,MATCH($H2134,LevelList,0)),0)</f>
        <v>0</v>
      </c>
      <c r="X2134" s="35" t="str">
        <f aca="false">IF($G2134="","",$V2134*N($L2134))</f>
        <v/>
      </c>
      <c r="Y2134" s="35" t="str">
        <f aca="false">IF($G2134="","",$V2134*(N($M2134)*1+N($N2134)*0.75+N($O2134)*0.5+N($P2134)*0.25)+$W2134*N($L2134))</f>
        <v/>
      </c>
      <c r="Z2134" s="35" t="str">
        <f aca="false">IF($G2134="","",$U2134*1000000+ROW())</f>
        <v/>
      </c>
      <c r="AA2134" s="36" t="str">
        <f aca="false">IF($G2134="","",MID(IF($C2134="",", no division","")&amp;IF($E2134="",", no unit","")&amp;IF($H2134="",", no career level","")&amp;IF(N($L2134)&lt;=0,", no quarter split","")&amp;IF($R2134="",", no driver","")&amp;IF(AND($H2134&lt;&gt;"",COUNTIF(CareerLevels,$H2134)=0),", a career level that is not on the ladder","")&amp;IF(AND($R2134&lt;&gt;"",COUNTIF(DriverList,$R2134)=0),", a driver that is not on the list","")&amp;IF(ABS(N($L2134)-(N($M2134)+N($N2134)+N($O2134)+N($P2134)))&gt;0.001,", a total that does not match its quarters",""),3,300))</f>
        <v/>
      </c>
    </row>
    <row r="2135" customFormat="false" ht="15" hidden="false" customHeight="false" outlineLevel="0" collapsed="false">
      <c r="A2135" s="33" t="str">
        <f aca="false">IF($G2135="","","Technology Group")</f>
        <v/>
      </c>
      <c r="B2135" s="19"/>
      <c r="C2135" s="19"/>
      <c r="D2135" s="19"/>
      <c r="E2135" s="19"/>
      <c r="F2135" s="19"/>
      <c r="G2135" s="19"/>
      <c r="H2135" s="19"/>
      <c r="I2135" s="19"/>
      <c r="J2135" s="19"/>
      <c r="K2135" s="19"/>
      <c r="L2135" s="19"/>
      <c r="M2135" s="19"/>
      <c r="N2135" s="19"/>
      <c r="O2135" s="19"/>
      <c r="P2135" s="19"/>
      <c r="Q2135" s="19"/>
      <c r="R2135" s="19"/>
      <c r="S2135" s="19"/>
      <c r="T2135" s="34" t="str">
        <f aca="false">IF($R2135="","",IFERROR(INDEX(DriverCategory,MATCH($R2135,DriverList,0)),"BAU"))</f>
        <v/>
      </c>
      <c r="U2135" s="34" t="str">
        <f aca="false">IF($R2135="","",IFERROR(INDEX(DriverRank,MATCH($R2135,DriverList,0)),99))</f>
        <v/>
      </c>
      <c r="V2135" s="35" t="n">
        <f aca="false">IF($H2135="",0,IFERROR(INDEX(LevelBasic,MATCH($H2135,LevelList,0))+INDEX(LevelHousing,MATCH($H2135,LevelList,0))+INDEX(LevelTransport,MATCH($H2135,LevelList,0))+INDEX(LevelBasic,MATCH($H2135,LevelList,0))*INDEX(LevelBonus,MATCH($H2135,LevelList,0))+(INDEX(LevelBasic,MATCH($H2135,LevelList,0))+INDEX(LevelHousing,MATCH($H2135,LevelList,0)))*GosiSaudi,0))</f>
        <v>0</v>
      </c>
      <c r="W2135" s="35" t="n">
        <f aca="false">IFERROR(INDEX(LevelOneOff,MATCH($H2135,LevelList,0)),0)</f>
        <v>0</v>
      </c>
      <c r="X2135" s="35" t="str">
        <f aca="false">IF($G2135="","",$V2135*N($L2135))</f>
        <v/>
      </c>
      <c r="Y2135" s="35" t="str">
        <f aca="false">IF($G2135="","",$V2135*(N($M2135)*1+N($N2135)*0.75+N($O2135)*0.5+N($P2135)*0.25)+$W2135*N($L2135))</f>
        <v/>
      </c>
      <c r="Z2135" s="35" t="str">
        <f aca="false">IF($G2135="","",$U2135*1000000+ROW())</f>
        <v/>
      </c>
      <c r="AA2135" s="36" t="str">
        <f aca="false">IF($G2135="","",MID(IF($C2135="",", no division","")&amp;IF($E2135="",", no unit","")&amp;IF($H2135="",", no career level","")&amp;IF(N($L2135)&lt;=0,", no quarter split","")&amp;IF($R2135="",", no driver","")&amp;IF(AND($H2135&lt;&gt;"",COUNTIF(CareerLevels,$H2135)=0),", a career level that is not on the ladder","")&amp;IF(AND($R2135&lt;&gt;"",COUNTIF(DriverList,$R2135)=0),", a driver that is not on the list","")&amp;IF(ABS(N($L2135)-(N($M2135)+N($N2135)+N($O2135)+N($P2135)))&gt;0.001,", a total that does not match its quarters",""),3,300))</f>
        <v/>
      </c>
    </row>
    <row r="2136" customFormat="false" ht="15" hidden="false" customHeight="false" outlineLevel="0" collapsed="false">
      <c r="A2136" s="33" t="str">
        <f aca="false">IF($G2136="","","Technology Group")</f>
        <v/>
      </c>
      <c r="B2136" s="19"/>
      <c r="C2136" s="19"/>
      <c r="D2136" s="19"/>
      <c r="E2136" s="19"/>
      <c r="F2136" s="19"/>
      <c r="G2136" s="19"/>
      <c r="H2136" s="19"/>
      <c r="I2136" s="19"/>
      <c r="J2136" s="19"/>
      <c r="K2136" s="19"/>
      <c r="L2136" s="19"/>
      <c r="M2136" s="19"/>
      <c r="N2136" s="19"/>
      <c r="O2136" s="19"/>
      <c r="P2136" s="19"/>
      <c r="Q2136" s="19"/>
      <c r="R2136" s="19"/>
      <c r="S2136" s="19"/>
      <c r="T2136" s="34" t="str">
        <f aca="false">IF($R2136="","",IFERROR(INDEX(DriverCategory,MATCH($R2136,DriverList,0)),"BAU"))</f>
        <v/>
      </c>
      <c r="U2136" s="34" t="str">
        <f aca="false">IF($R2136="","",IFERROR(INDEX(DriverRank,MATCH($R2136,DriverList,0)),99))</f>
        <v/>
      </c>
      <c r="V2136" s="35" t="n">
        <f aca="false">IF($H2136="",0,IFERROR(INDEX(LevelBasic,MATCH($H2136,LevelList,0))+INDEX(LevelHousing,MATCH($H2136,LevelList,0))+INDEX(LevelTransport,MATCH($H2136,LevelList,0))+INDEX(LevelBasic,MATCH($H2136,LevelList,0))*INDEX(LevelBonus,MATCH($H2136,LevelList,0))+(INDEX(LevelBasic,MATCH($H2136,LevelList,0))+INDEX(LevelHousing,MATCH($H2136,LevelList,0)))*GosiSaudi,0))</f>
        <v>0</v>
      </c>
      <c r="W2136" s="35" t="n">
        <f aca="false">IFERROR(INDEX(LevelOneOff,MATCH($H2136,LevelList,0)),0)</f>
        <v>0</v>
      </c>
      <c r="X2136" s="35" t="str">
        <f aca="false">IF($G2136="","",$V2136*N($L2136))</f>
        <v/>
      </c>
      <c r="Y2136" s="35" t="str">
        <f aca="false">IF($G2136="","",$V2136*(N($M2136)*1+N($N2136)*0.75+N($O2136)*0.5+N($P2136)*0.25)+$W2136*N($L2136))</f>
        <v/>
      </c>
      <c r="Z2136" s="35" t="str">
        <f aca="false">IF($G2136="","",$U2136*1000000+ROW())</f>
        <v/>
      </c>
      <c r="AA2136" s="36" t="str">
        <f aca="false">IF($G2136="","",MID(IF($C2136="",", no division","")&amp;IF($E2136="",", no unit","")&amp;IF($H2136="",", no career level","")&amp;IF(N($L2136)&lt;=0,", no quarter split","")&amp;IF($R2136="",", no driver","")&amp;IF(AND($H2136&lt;&gt;"",COUNTIF(CareerLevels,$H2136)=0),", a career level that is not on the ladder","")&amp;IF(AND($R2136&lt;&gt;"",COUNTIF(DriverList,$R2136)=0),", a driver that is not on the list","")&amp;IF(ABS(N($L2136)-(N($M2136)+N($N2136)+N($O2136)+N($P2136)))&gt;0.001,", a total that does not match its quarters",""),3,300))</f>
        <v/>
      </c>
    </row>
    <row r="2137" customFormat="false" ht="15" hidden="false" customHeight="false" outlineLevel="0" collapsed="false">
      <c r="A2137" s="33" t="str">
        <f aca="false">IF($G2137="","","Technology Group")</f>
        <v/>
      </c>
      <c r="B2137" s="19"/>
      <c r="C2137" s="19"/>
      <c r="D2137" s="19"/>
      <c r="E2137" s="19"/>
      <c r="F2137" s="19"/>
      <c r="G2137" s="19"/>
      <c r="H2137" s="19"/>
      <c r="I2137" s="19"/>
      <c r="J2137" s="19"/>
      <c r="K2137" s="19"/>
      <c r="L2137" s="19"/>
      <c r="M2137" s="19"/>
      <c r="N2137" s="19"/>
      <c r="O2137" s="19"/>
      <c r="P2137" s="19"/>
      <c r="Q2137" s="19"/>
      <c r="R2137" s="19"/>
      <c r="S2137" s="19"/>
      <c r="T2137" s="34" t="str">
        <f aca="false">IF($R2137="","",IFERROR(INDEX(DriverCategory,MATCH($R2137,DriverList,0)),"BAU"))</f>
        <v/>
      </c>
      <c r="U2137" s="34" t="str">
        <f aca="false">IF($R2137="","",IFERROR(INDEX(DriverRank,MATCH($R2137,DriverList,0)),99))</f>
        <v/>
      </c>
      <c r="V2137" s="35" t="n">
        <f aca="false">IF($H2137="",0,IFERROR(INDEX(LevelBasic,MATCH($H2137,LevelList,0))+INDEX(LevelHousing,MATCH($H2137,LevelList,0))+INDEX(LevelTransport,MATCH($H2137,LevelList,0))+INDEX(LevelBasic,MATCH($H2137,LevelList,0))*INDEX(LevelBonus,MATCH($H2137,LevelList,0))+(INDEX(LevelBasic,MATCH($H2137,LevelList,0))+INDEX(LevelHousing,MATCH($H2137,LevelList,0)))*GosiSaudi,0))</f>
        <v>0</v>
      </c>
      <c r="W2137" s="35" t="n">
        <f aca="false">IFERROR(INDEX(LevelOneOff,MATCH($H2137,LevelList,0)),0)</f>
        <v>0</v>
      </c>
      <c r="X2137" s="35" t="str">
        <f aca="false">IF($G2137="","",$V2137*N($L2137))</f>
        <v/>
      </c>
      <c r="Y2137" s="35" t="str">
        <f aca="false">IF($G2137="","",$V2137*(N($M2137)*1+N($N2137)*0.75+N($O2137)*0.5+N($P2137)*0.25)+$W2137*N($L2137))</f>
        <v/>
      </c>
      <c r="Z2137" s="35" t="str">
        <f aca="false">IF($G2137="","",$U2137*1000000+ROW())</f>
        <v/>
      </c>
      <c r="AA2137" s="36" t="str">
        <f aca="false">IF($G2137="","",MID(IF($C2137="",", no division","")&amp;IF($E2137="",", no unit","")&amp;IF($H2137="",", no career level","")&amp;IF(N($L2137)&lt;=0,", no quarter split","")&amp;IF($R2137="",", no driver","")&amp;IF(AND($H2137&lt;&gt;"",COUNTIF(CareerLevels,$H2137)=0),", a career level that is not on the ladder","")&amp;IF(AND($R2137&lt;&gt;"",COUNTIF(DriverList,$R2137)=0),", a driver that is not on the list","")&amp;IF(ABS(N($L2137)-(N($M2137)+N($N2137)+N($O2137)+N($P2137)))&gt;0.001,", a total that does not match its quarters",""),3,300))</f>
        <v/>
      </c>
    </row>
    <row r="2138" customFormat="false" ht="15" hidden="false" customHeight="false" outlineLevel="0" collapsed="false">
      <c r="A2138" s="33" t="str">
        <f aca="false">IF($G2138="","","Technology Group")</f>
        <v/>
      </c>
      <c r="B2138" s="19"/>
      <c r="C2138" s="19"/>
      <c r="D2138" s="19"/>
      <c r="E2138" s="19"/>
      <c r="F2138" s="19"/>
      <c r="G2138" s="19"/>
      <c r="H2138" s="19"/>
      <c r="I2138" s="19"/>
      <c r="J2138" s="19"/>
      <c r="K2138" s="19"/>
      <c r="L2138" s="19"/>
      <c r="M2138" s="19"/>
      <c r="N2138" s="19"/>
      <c r="O2138" s="19"/>
      <c r="P2138" s="19"/>
      <c r="Q2138" s="19"/>
      <c r="R2138" s="19"/>
      <c r="S2138" s="19"/>
      <c r="T2138" s="34" t="str">
        <f aca="false">IF($R2138="","",IFERROR(INDEX(DriverCategory,MATCH($R2138,DriverList,0)),"BAU"))</f>
        <v/>
      </c>
      <c r="U2138" s="34" t="str">
        <f aca="false">IF($R2138="","",IFERROR(INDEX(DriverRank,MATCH($R2138,DriverList,0)),99))</f>
        <v/>
      </c>
      <c r="V2138" s="35" t="n">
        <f aca="false">IF($H2138="",0,IFERROR(INDEX(LevelBasic,MATCH($H2138,LevelList,0))+INDEX(LevelHousing,MATCH($H2138,LevelList,0))+INDEX(LevelTransport,MATCH($H2138,LevelList,0))+INDEX(LevelBasic,MATCH($H2138,LevelList,0))*INDEX(LevelBonus,MATCH($H2138,LevelList,0))+(INDEX(LevelBasic,MATCH($H2138,LevelList,0))+INDEX(LevelHousing,MATCH($H2138,LevelList,0)))*GosiSaudi,0))</f>
        <v>0</v>
      </c>
      <c r="W2138" s="35" t="n">
        <f aca="false">IFERROR(INDEX(LevelOneOff,MATCH($H2138,LevelList,0)),0)</f>
        <v>0</v>
      </c>
      <c r="X2138" s="35" t="str">
        <f aca="false">IF($G2138="","",$V2138*N($L2138))</f>
        <v/>
      </c>
      <c r="Y2138" s="35" t="str">
        <f aca="false">IF($G2138="","",$V2138*(N($M2138)*1+N($N2138)*0.75+N($O2138)*0.5+N($P2138)*0.25)+$W2138*N($L2138))</f>
        <v/>
      </c>
      <c r="Z2138" s="35" t="str">
        <f aca="false">IF($G2138="","",$U2138*1000000+ROW())</f>
        <v/>
      </c>
      <c r="AA2138" s="36" t="str">
        <f aca="false">IF($G2138="","",MID(IF($C2138="",", no division","")&amp;IF($E2138="",", no unit","")&amp;IF($H2138="",", no career level","")&amp;IF(N($L2138)&lt;=0,", no quarter split","")&amp;IF($R2138="",", no driver","")&amp;IF(AND($H2138&lt;&gt;"",COUNTIF(CareerLevels,$H2138)=0),", a career level that is not on the ladder","")&amp;IF(AND($R2138&lt;&gt;"",COUNTIF(DriverList,$R2138)=0),", a driver that is not on the list","")&amp;IF(ABS(N($L2138)-(N($M2138)+N($N2138)+N($O2138)+N($P2138)))&gt;0.001,", a total that does not match its quarters",""),3,300))</f>
        <v/>
      </c>
    </row>
    <row r="2139" customFormat="false" ht="15" hidden="false" customHeight="false" outlineLevel="0" collapsed="false">
      <c r="A2139" s="33" t="str">
        <f aca="false">IF($G2139="","","Technology Group")</f>
        <v/>
      </c>
      <c r="B2139" s="19"/>
      <c r="C2139" s="19"/>
      <c r="D2139" s="19"/>
      <c r="E2139" s="19"/>
      <c r="F2139" s="19"/>
      <c r="G2139" s="19"/>
      <c r="H2139" s="19"/>
      <c r="I2139" s="19"/>
      <c r="J2139" s="19"/>
      <c r="K2139" s="19"/>
      <c r="L2139" s="19"/>
      <c r="M2139" s="19"/>
      <c r="N2139" s="19"/>
      <c r="O2139" s="19"/>
      <c r="P2139" s="19"/>
      <c r="Q2139" s="19"/>
      <c r="R2139" s="19"/>
      <c r="S2139" s="19"/>
      <c r="T2139" s="34" t="str">
        <f aca="false">IF($R2139="","",IFERROR(INDEX(DriverCategory,MATCH($R2139,DriverList,0)),"BAU"))</f>
        <v/>
      </c>
      <c r="U2139" s="34" t="str">
        <f aca="false">IF($R2139="","",IFERROR(INDEX(DriverRank,MATCH($R2139,DriverList,0)),99))</f>
        <v/>
      </c>
      <c r="V2139" s="35" t="n">
        <f aca="false">IF($H2139="",0,IFERROR(INDEX(LevelBasic,MATCH($H2139,LevelList,0))+INDEX(LevelHousing,MATCH($H2139,LevelList,0))+INDEX(LevelTransport,MATCH($H2139,LevelList,0))+INDEX(LevelBasic,MATCH($H2139,LevelList,0))*INDEX(LevelBonus,MATCH($H2139,LevelList,0))+(INDEX(LevelBasic,MATCH($H2139,LevelList,0))+INDEX(LevelHousing,MATCH($H2139,LevelList,0)))*GosiSaudi,0))</f>
        <v>0</v>
      </c>
      <c r="W2139" s="35" t="n">
        <f aca="false">IFERROR(INDEX(LevelOneOff,MATCH($H2139,LevelList,0)),0)</f>
        <v>0</v>
      </c>
      <c r="X2139" s="35" t="str">
        <f aca="false">IF($G2139="","",$V2139*N($L2139))</f>
        <v/>
      </c>
      <c r="Y2139" s="35" t="str">
        <f aca="false">IF($G2139="","",$V2139*(N($M2139)*1+N($N2139)*0.75+N($O2139)*0.5+N($P2139)*0.25)+$W2139*N($L2139))</f>
        <v/>
      </c>
      <c r="Z2139" s="35" t="str">
        <f aca="false">IF($G2139="","",$U2139*1000000+ROW())</f>
        <v/>
      </c>
      <c r="AA2139" s="36" t="str">
        <f aca="false">IF($G2139="","",MID(IF($C2139="",", no division","")&amp;IF($E2139="",", no unit","")&amp;IF($H2139="",", no career level","")&amp;IF(N($L2139)&lt;=0,", no quarter split","")&amp;IF($R2139="",", no driver","")&amp;IF(AND($H2139&lt;&gt;"",COUNTIF(CareerLevels,$H2139)=0),", a career level that is not on the ladder","")&amp;IF(AND($R2139&lt;&gt;"",COUNTIF(DriverList,$R2139)=0),", a driver that is not on the list","")&amp;IF(ABS(N($L2139)-(N($M2139)+N($N2139)+N($O2139)+N($P2139)))&gt;0.001,", a total that does not match its quarters",""),3,300))</f>
        <v/>
      </c>
    </row>
    <row r="2140" customFormat="false" ht="15" hidden="false" customHeight="false" outlineLevel="0" collapsed="false">
      <c r="A2140" s="33" t="str">
        <f aca="false">IF($G2140="","","Technology Group")</f>
        <v/>
      </c>
      <c r="B2140" s="19"/>
      <c r="C2140" s="19"/>
      <c r="D2140" s="19"/>
      <c r="E2140" s="19"/>
      <c r="F2140" s="19"/>
      <c r="G2140" s="19"/>
      <c r="H2140" s="19"/>
      <c r="I2140" s="19"/>
      <c r="J2140" s="19"/>
      <c r="K2140" s="19"/>
      <c r="L2140" s="19"/>
      <c r="M2140" s="19"/>
      <c r="N2140" s="19"/>
      <c r="O2140" s="19"/>
      <c r="P2140" s="19"/>
      <c r="Q2140" s="19"/>
      <c r="R2140" s="19"/>
      <c r="S2140" s="19"/>
      <c r="T2140" s="34" t="str">
        <f aca="false">IF($R2140="","",IFERROR(INDEX(DriverCategory,MATCH($R2140,DriverList,0)),"BAU"))</f>
        <v/>
      </c>
      <c r="U2140" s="34" t="str">
        <f aca="false">IF($R2140="","",IFERROR(INDEX(DriverRank,MATCH($R2140,DriverList,0)),99))</f>
        <v/>
      </c>
      <c r="V2140" s="35" t="n">
        <f aca="false">IF($H2140="",0,IFERROR(INDEX(LevelBasic,MATCH($H2140,LevelList,0))+INDEX(LevelHousing,MATCH($H2140,LevelList,0))+INDEX(LevelTransport,MATCH($H2140,LevelList,0))+INDEX(LevelBasic,MATCH($H2140,LevelList,0))*INDEX(LevelBonus,MATCH($H2140,LevelList,0))+(INDEX(LevelBasic,MATCH($H2140,LevelList,0))+INDEX(LevelHousing,MATCH($H2140,LevelList,0)))*GosiSaudi,0))</f>
        <v>0</v>
      </c>
      <c r="W2140" s="35" t="n">
        <f aca="false">IFERROR(INDEX(LevelOneOff,MATCH($H2140,LevelList,0)),0)</f>
        <v>0</v>
      </c>
      <c r="X2140" s="35" t="str">
        <f aca="false">IF($G2140="","",$V2140*N($L2140))</f>
        <v/>
      </c>
      <c r="Y2140" s="35" t="str">
        <f aca="false">IF($G2140="","",$V2140*(N($M2140)*1+N($N2140)*0.75+N($O2140)*0.5+N($P2140)*0.25)+$W2140*N($L2140))</f>
        <v/>
      </c>
      <c r="Z2140" s="35" t="str">
        <f aca="false">IF($G2140="","",$U2140*1000000+ROW())</f>
        <v/>
      </c>
      <c r="AA2140" s="36" t="str">
        <f aca="false">IF($G2140="","",MID(IF($C2140="",", no division","")&amp;IF($E2140="",", no unit","")&amp;IF($H2140="",", no career level","")&amp;IF(N($L2140)&lt;=0,", no quarter split","")&amp;IF($R2140="",", no driver","")&amp;IF(AND($H2140&lt;&gt;"",COUNTIF(CareerLevels,$H2140)=0),", a career level that is not on the ladder","")&amp;IF(AND($R2140&lt;&gt;"",COUNTIF(DriverList,$R2140)=0),", a driver that is not on the list","")&amp;IF(ABS(N($L2140)-(N($M2140)+N($N2140)+N($O2140)+N($P2140)))&gt;0.001,", a total that does not match its quarters",""),3,300))</f>
        <v/>
      </c>
    </row>
    <row r="2141" customFormat="false" ht="15" hidden="false" customHeight="false" outlineLevel="0" collapsed="false">
      <c r="A2141" s="33" t="str">
        <f aca="false">IF($G2141="","","Technology Group")</f>
        <v/>
      </c>
      <c r="B2141" s="19"/>
      <c r="C2141" s="19"/>
      <c r="D2141" s="19"/>
      <c r="E2141" s="19"/>
      <c r="F2141" s="19"/>
      <c r="G2141" s="19"/>
      <c r="H2141" s="19"/>
      <c r="I2141" s="19"/>
      <c r="J2141" s="19"/>
      <c r="K2141" s="19"/>
      <c r="L2141" s="19"/>
      <c r="M2141" s="19"/>
      <c r="N2141" s="19"/>
      <c r="O2141" s="19"/>
      <c r="P2141" s="19"/>
      <c r="Q2141" s="19"/>
      <c r="R2141" s="19"/>
      <c r="S2141" s="19"/>
      <c r="T2141" s="34" t="str">
        <f aca="false">IF($R2141="","",IFERROR(INDEX(DriverCategory,MATCH($R2141,DriverList,0)),"BAU"))</f>
        <v/>
      </c>
      <c r="U2141" s="34" t="str">
        <f aca="false">IF($R2141="","",IFERROR(INDEX(DriverRank,MATCH($R2141,DriverList,0)),99))</f>
        <v/>
      </c>
      <c r="V2141" s="35" t="n">
        <f aca="false">IF($H2141="",0,IFERROR(INDEX(LevelBasic,MATCH($H2141,LevelList,0))+INDEX(LevelHousing,MATCH($H2141,LevelList,0))+INDEX(LevelTransport,MATCH($H2141,LevelList,0))+INDEX(LevelBasic,MATCH($H2141,LevelList,0))*INDEX(LevelBonus,MATCH($H2141,LevelList,0))+(INDEX(LevelBasic,MATCH($H2141,LevelList,0))+INDEX(LevelHousing,MATCH($H2141,LevelList,0)))*GosiSaudi,0))</f>
        <v>0</v>
      </c>
      <c r="W2141" s="35" t="n">
        <f aca="false">IFERROR(INDEX(LevelOneOff,MATCH($H2141,LevelList,0)),0)</f>
        <v>0</v>
      </c>
      <c r="X2141" s="35" t="str">
        <f aca="false">IF($G2141="","",$V2141*N($L2141))</f>
        <v/>
      </c>
      <c r="Y2141" s="35" t="str">
        <f aca="false">IF($G2141="","",$V2141*(N($M2141)*1+N($N2141)*0.75+N($O2141)*0.5+N($P2141)*0.25)+$W2141*N($L2141))</f>
        <v/>
      </c>
      <c r="Z2141" s="35" t="str">
        <f aca="false">IF($G2141="","",$U2141*1000000+ROW())</f>
        <v/>
      </c>
      <c r="AA2141" s="36" t="str">
        <f aca="false">IF($G2141="","",MID(IF($C2141="",", no division","")&amp;IF($E2141="",", no unit","")&amp;IF($H2141="",", no career level","")&amp;IF(N($L2141)&lt;=0,", no quarter split","")&amp;IF($R2141="",", no driver","")&amp;IF(AND($H2141&lt;&gt;"",COUNTIF(CareerLevels,$H2141)=0),", a career level that is not on the ladder","")&amp;IF(AND($R2141&lt;&gt;"",COUNTIF(DriverList,$R2141)=0),", a driver that is not on the list","")&amp;IF(ABS(N($L2141)-(N($M2141)+N($N2141)+N($O2141)+N($P2141)))&gt;0.001,", a total that does not match its quarters",""),3,300))</f>
        <v/>
      </c>
    </row>
    <row r="2142" customFormat="false" ht="15" hidden="false" customHeight="false" outlineLevel="0" collapsed="false">
      <c r="A2142" s="33" t="str">
        <f aca="false">IF($G2142="","","Technology Group")</f>
        <v/>
      </c>
      <c r="B2142" s="19"/>
      <c r="C2142" s="19"/>
      <c r="D2142" s="19"/>
      <c r="E2142" s="19"/>
      <c r="F2142" s="19"/>
      <c r="G2142" s="19"/>
      <c r="H2142" s="19"/>
      <c r="I2142" s="19"/>
      <c r="J2142" s="19"/>
      <c r="K2142" s="19"/>
      <c r="L2142" s="19"/>
      <c r="M2142" s="19"/>
      <c r="N2142" s="19"/>
      <c r="O2142" s="19"/>
      <c r="P2142" s="19"/>
      <c r="Q2142" s="19"/>
      <c r="R2142" s="19"/>
      <c r="S2142" s="19"/>
      <c r="T2142" s="34" t="str">
        <f aca="false">IF($R2142="","",IFERROR(INDEX(DriverCategory,MATCH($R2142,DriverList,0)),"BAU"))</f>
        <v/>
      </c>
      <c r="U2142" s="34" t="str">
        <f aca="false">IF($R2142="","",IFERROR(INDEX(DriverRank,MATCH($R2142,DriverList,0)),99))</f>
        <v/>
      </c>
      <c r="V2142" s="35" t="n">
        <f aca="false">IF($H2142="",0,IFERROR(INDEX(LevelBasic,MATCH($H2142,LevelList,0))+INDEX(LevelHousing,MATCH($H2142,LevelList,0))+INDEX(LevelTransport,MATCH($H2142,LevelList,0))+INDEX(LevelBasic,MATCH($H2142,LevelList,0))*INDEX(LevelBonus,MATCH($H2142,LevelList,0))+(INDEX(LevelBasic,MATCH($H2142,LevelList,0))+INDEX(LevelHousing,MATCH($H2142,LevelList,0)))*GosiSaudi,0))</f>
        <v>0</v>
      </c>
      <c r="W2142" s="35" t="n">
        <f aca="false">IFERROR(INDEX(LevelOneOff,MATCH($H2142,LevelList,0)),0)</f>
        <v>0</v>
      </c>
      <c r="X2142" s="35" t="str">
        <f aca="false">IF($G2142="","",$V2142*N($L2142))</f>
        <v/>
      </c>
      <c r="Y2142" s="35" t="str">
        <f aca="false">IF($G2142="","",$V2142*(N($M2142)*1+N($N2142)*0.75+N($O2142)*0.5+N($P2142)*0.25)+$W2142*N($L2142))</f>
        <v/>
      </c>
      <c r="Z2142" s="35" t="str">
        <f aca="false">IF($G2142="","",$U2142*1000000+ROW())</f>
        <v/>
      </c>
      <c r="AA2142" s="36" t="str">
        <f aca="false">IF($G2142="","",MID(IF($C2142="",", no division","")&amp;IF($E2142="",", no unit","")&amp;IF($H2142="",", no career level","")&amp;IF(N($L2142)&lt;=0,", no quarter split","")&amp;IF($R2142="",", no driver","")&amp;IF(AND($H2142&lt;&gt;"",COUNTIF(CareerLevels,$H2142)=0),", a career level that is not on the ladder","")&amp;IF(AND($R2142&lt;&gt;"",COUNTIF(DriverList,$R2142)=0),", a driver that is not on the list","")&amp;IF(ABS(N($L2142)-(N($M2142)+N($N2142)+N($O2142)+N($P2142)))&gt;0.001,", a total that does not match its quarters",""),3,300))</f>
        <v/>
      </c>
    </row>
    <row r="2143" customFormat="false" ht="15" hidden="false" customHeight="false" outlineLevel="0" collapsed="false">
      <c r="A2143" s="33" t="str">
        <f aca="false">IF($G2143="","","Technology Group")</f>
        <v/>
      </c>
      <c r="B2143" s="19"/>
      <c r="C2143" s="19"/>
      <c r="D2143" s="19"/>
      <c r="E2143" s="19"/>
      <c r="F2143" s="19"/>
      <c r="G2143" s="19"/>
      <c r="H2143" s="19"/>
      <c r="I2143" s="19"/>
      <c r="J2143" s="19"/>
      <c r="K2143" s="19"/>
      <c r="L2143" s="19"/>
      <c r="M2143" s="19"/>
      <c r="N2143" s="19"/>
      <c r="O2143" s="19"/>
      <c r="P2143" s="19"/>
      <c r="Q2143" s="19"/>
      <c r="R2143" s="19"/>
      <c r="S2143" s="19"/>
      <c r="T2143" s="34" t="str">
        <f aca="false">IF($R2143="","",IFERROR(INDEX(DriverCategory,MATCH($R2143,DriverList,0)),"BAU"))</f>
        <v/>
      </c>
      <c r="U2143" s="34" t="str">
        <f aca="false">IF($R2143="","",IFERROR(INDEX(DriverRank,MATCH($R2143,DriverList,0)),99))</f>
        <v/>
      </c>
      <c r="V2143" s="35" t="n">
        <f aca="false">IF($H2143="",0,IFERROR(INDEX(LevelBasic,MATCH($H2143,LevelList,0))+INDEX(LevelHousing,MATCH($H2143,LevelList,0))+INDEX(LevelTransport,MATCH($H2143,LevelList,0))+INDEX(LevelBasic,MATCH($H2143,LevelList,0))*INDEX(LevelBonus,MATCH($H2143,LevelList,0))+(INDEX(LevelBasic,MATCH($H2143,LevelList,0))+INDEX(LevelHousing,MATCH($H2143,LevelList,0)))*GosiSaudi,0))</f>
        <v>0</v>
      </c>
      <c r="W2143" s="35" t="n">
        <f aca="false">IFERROR(INDEX(LevelOneOff,MATCH($H2143,LevelList,0)),0)</f>
        <v>0</v>
      </c>
      <c r="X2143" s="35" t="str">
        <f aca="false">IF($G2143="","",$V2143*N($L2143))</f>
        <v/>
      </c>
      <c r="Y2143" s="35" t="str">
        <f aca="false">IF($G2143="","",$V2143*(N($M2143)*1+N($N2143)*0.75+N($O2143)*0.5+N($P2143)*0.25)+$W2143*N($L2143))</f>
        <v/>
      </c>
      <c r="Z2143" s="35" t="str">
        <f aca="false">IF($G2143="","",$U2143*1000000+ROW())</f>
        <v/>
      </c>
      <c r="AA2143" s="36" t="str">
        <f aca="false">IF($G2143="","",MID(IF($C2143="",", no division","")&amp;IF($E2143="",", no unit","")&amp;IF($H2143="",", no career level","")&amp;IF(N($L2143)&lt;=0,", no quarter split","")&amp;IF($R2143="",", no driver","")&amp;IF(AND($H2143&lt;&gt;"",COUNTIF(CareerLevels,$H2143)=0),", a career level that is not on the ladder","")&amp;IF(AND($R2143&lt;&gt;"",COUNTIF(DriverList,$R2143)=0),", a driver that is not on the list","")&amp;IF(ABS(N($L2143)-(N($M2143)+N($N2143)+N($O2143)+N($P2143)))&gt;0.001,", a total that does not match its quarters",""),3,300))</f>
        <v/>
      </c>
    </row>
    <row r="2144" customFormat="false" ht="15" hidden="false" customHeight="false" outlineLevel="0" collapsed="false">
      <c r="A2144" s="33" t="str">
        <f aca="false">IF($G2144="","","Technology Group")</f>
        <v/>
      </c>
      <c r="B2144" s="19"/>
      <c r="C2144" s="19"/>
      <c r="D2144" s="19"/>
      <c r="E2144" s="19"/>
      <c r="F2144" s="19"/>
      <c r="G2144" s="19"/>
      <c r="H2144" s="19"/>
      <c r="I2144" s="19"/>
      <c r="J2144" s="19"/>
      <c r="K2144" s="19"/>
      <c r="L2144" s="19"/>
      <c r="M2144" s="19"/>
      <c r="N2144" s="19"/>
      <c r="O2144" s="19"/>
      <c r="P2144" s="19"/>
      <c r="Q2144" s="19"/>
      <c r="R2144" s="19"/>
      <c r="S2144" s="19"/>
      <c r="T2144" s="34" t="str">
        <f aca="false">IF($R2144="","",IFERROR(INDEX(DriverCategory,MATCH($R2144,DriverList,0)),"BAU"))</f>
        <v/>
      </c>
      <c r="U2144" s="34" t="str">
        <f aca="false">IF($R2144="","",IFERROR(INDEX(DriverRank,MATCH($R2144,DriverList,0)),99))</f>
        <v/>
      </c>
      <c r="V2144" s="35" t="n">
        <f aca="false">IF($H2144="",0,IFERROR(INDEX(LevelBasic,MATCH($H2144,LevelList,0))+INDEX(LevelHousing,MATCH($H2144,LevelList,0))+INDEX(LevelTransport,MATCH($H2144,LevelList,0))+INDEX(LevelBasic,MATCH($H2144,LevelList,0))*INDEX(LevelBonus,MATCH($H2144,LevelList,0))+(INDEX(LevelBasic,MATCH($H2144,LevelList,0))+INDEX(LevelHousing,MATCH($H2144,LevelList,0)))*GosiSaudi,0))</f>
        <v>0</v>
      </c>
      <c r="W2144" s="35" t="n">
        <f aca="false">IFERROR(INDEX(LevelOneOff,MATCH($H2144,LevelList,0)),0)</f>
        <v>0</v>
      </c>
      <c r="X2144" s="35" t="str">
        <f aca="false">IF($G2144="","",$V2144*N($L2144))</f>
        <v/>
      </c>
      <c r="Y2144" s="35" t="str">
        <f aca="false">IF($G2144="","",$V2144*(N($M2144)*1+N($N2144)*0.75+N($O2144)*0.5+N($P2144)*0.25)+$W2144*N($L2144))</f>
        <v/>
      </c>
      <c r="Z2144" s="35" t="str">
        <f aca="false">IF($G2144="","",$U2144*1000000+ROW())</f>
        <v/>
      </c>
      <c r="AA2144" s="36" t="str">
        <f aca="false">IF($G2144="","",MID(IF($C2144="",", no division","")&amp;IF($E2144="",", no unit","")&amp;IF($H2144="",", no career level","")&amp;IF(N($L2144)&lt;=0,", no quarter split","")&amp;IF($R2144="",", no driver","")&amp;IF(AND($H2144&lt;&gt;"",COUNTIF(CareerLevels,$H2144)=0),", a career level that is not on the ladder","")&amp;IF(AND($R2144&lt;&gt;"",COUNTIF(DriverList,$R2144)=0),", a driver that is not on the list","")&amp;IF(ABS(N($L2144)-(N($M2144)+N($N2144)+N($O2144)+N($P2144)))&gt;0.001,", a total that does not match its quarters",""),3,300))</f>
        <v/>
      </c>
    </row>
    <row r="2145" customFormat="false" ht="15" hidden="false" customHeight="false" outlineLevel="0" collapsed="false">
      <c r="A2145" s="33" t="str">
        <f aca="false">IF($G2145="","","Technology Group")</f>
        <v/>
      </c>
      <c r="B2145" s="19"/>
      <c r="C2145" s="19"/>
      <c r="D2145" s="19"/>
      <c r="E2145" s="19"/>
      <c r="F2145" s="19"/>
      <c r="G2145" s="19"/>
      <c r="H2145" s="19"/>
      <c r="I2145" s="19"/>
      <c r="J2145" s="19"/>
      <c r="K2145" s="19"/>
      <c r="L2145" s="19"/>
      <c r="M2145" s="19"/>
      <c r="N2145" s="19"/>
      <c r="O2145" s="19"/>
      <c r="P2145" s="19"/>
      <c r="Q2145" s="19"/>
      <c r="R2145" s="19"/>
      <c r="S2145" s="19"/>
      <c r="T2145" s="34" t="str">
        <f aca="false">IF($R2145="","",IFERROR(INDEX(DriverCategory,MATCH($R2145,DriverList,0)),"BAU"))</f>
        <v/>
      </c>
      <c r="U2145" s="34" t="str">
        <f aca="false">IF($R2145="","",IFERROR(INDEX(DriverRank,MATCH($R2145,DriverList,0)),99))</f>
        <v/>
      </c>
      <c r="V2145" s="35" t="n">
        <f aca="false">IF($H2145="",0,IFERROR(INDEX(LevelBasic,MATCH($H2145,LevelList,0))+INDEX(LevelHousing,MATCH($H2145,LevelList,0))+INDEX(LevelTransport,MATCH($H2145,LevelList,0))+INDEX(LevelBasic,MATCH($H2145,LevelList,0))*INDEX(LevelBonus,MATCH($H2145,LevelList,0))+(INDEX(LevelBasic,MATCH($H2145,LevelList,0))+INDEX(LevelHousing,MATCH($H2145,LevelList,0)))*GosiSaudi,0))</f>
        <v>0</v>
      </c>
      <c r="W2145" s="35" t="n">
        <f aca="false">IFERROR(INDEX(LevelOneOff,MATCH($H2145,LevelList,0)),0)</f>
        <v>0</v>
      </c>
      <c r="X2145" s="35" t="str">
        <f aca="false">IF($G2145="","",$V2145*N($L2145))</f>
        <v/>
      </c>
      <c r="Y2145" s="35" t="str">
        <f aca="false">IF($G2145="","",$V2145*(N($M2145)*1+N($N2145)*0.75+N($O2145)*0.5+N($P2145)*0.25)+$W2145*N($L2145))</f>
        <v/>
      </c>
      <c r="Z2145" s="35" t="str">
        <f aca="false">IF($G2145="","",$U2145*1000000+ROW())</f>
        <v/>
      </c>
      <c r="AA2145" s="36" t="str">
        <f aca="false">IF($G2145="","",MID(IF($C2145="",", no division","")&amp;IF($E2145="",", no unit","")&amp;IF($H2145="",", no career level","")&amp;IF(N($L2145)&lt;=0,", no quarter split","")&amp;IF($R2145="",", no driver","")&amp;IF(AND($H2145&lt;&gt;"",COUNTIF(CareerLevels,$H2145)=0),", a career level that is not on the ladder","")&amp;IF(AND($R2145&lt;&gt;"",COUNTIF(DriverList,$R2145)=0),", a driver that is not on the list","")&amp;IF(ABS(N($L2145)-(N($M2145)+N($N2145)+N($O2145)+N($P2145)))&gt;0.001,", a total that does not match its quarters",""),3,300))</f>
        <v/>
      </c>
    </row>
    <row r="2146" customFormat="false" ht="15" hidden="false" customHeight="false" outlineLevel="0" collapsed="false">
      <c r="A2146" s="33" t="str">
        <f aca="false">IF($G2146="","","Technology Group")</f>
        <v/>
      </c>
      <c r="B2146" s="19"/>
      <c r="C2146" s="19"/>
      <c r="D2146" s="19"/>
      <c r="E2146" s="19"/>
      <c r="F2146" s="19"/>
      <c r="G2146" s="19"/>
      <c r="H2146" s="19"/>
      <c r="I2146" s="19"/>
      <c r="J2146" s="19"/>
      <c r="K2146" s="19"/>
      <c r="L2146" s="19"/>
      <c r="M2146" s="19"/>
      <c r="N2146" s="19"/>
      <c r="O2146" s="19"/>
      <c r="P2146" s="19"/>
      <c r="Q2146" s="19"/>
      <c r="R2146" s="19"/>
      <c r="S2146" s="19"/>
      <c r="T2146" s="34" t="str">
        <f aca="false">IF($R2146="","",IFERROR(INDEX(DriverCategory,MATCH($R2146,DriverList,0)),"BAU"))</f>
        <v/>
      </c>
      <c r="U2146" s="34" t="str">
        <f aca="false">IF($R2146="","",IFERROR(INDEX(DriverRank,MATCH($R2146,DriverList,0)),99))</f>
        <v/>
      </c>
      <c r="V2146" s="35" t="n">
        <f aca="false">IF($H2146="",0,IFERROR(INDEX(LevelBasic,MATCH($H2146,LevelList,0))+INDEX(LevelHousing,MATCH($H2146,LevelList,0))+INDEX(LevelTransport,MATCH($H2146,LevelList,0))+INDEX(LevelBasic,MATCH($H2146,LevelList,0))*INDEX(LevelBonus,MATCH($H2146,LevelList,0))+(INDEX(LevelBasic,MATCH($H2146,LevelList,0))+INDEX(LevelHousing,MATCH($H2146,LevelList,0)))*GosiSaudi,0))</f>
        <v>0</v>
      </c>
      <c r="W2146" s="35" t="n">
        <f aca="false">IFERROR(INDEX(LevelOneOff,MATCH($H2146,LevelList,0)),0)</f>
        <v>0</v>
      </c>
      <c r="X2146" s="35" t="str">
        <f aca="false">IF($G2146="","",$V2146*N($L2146))</f>
        <v/>
      </c>
      <c r="Y2146" s="35" t="str">
        <f aca="false">IF($G2146="","",$V2146*(N($M2146)*1+N($N2146)*0.75+N($O2146)*0.5+N($P2146)*0.25)+$W2146*N($L2146))</f>
        <v/>
      </c>
      <c r="Z2146" s="35" t="str">
        <f aca="false">IF($G2146="","",$U2146*1000000+ROW())</f>
        <v/>
      </c>
      <c r="AA2146" s="36" t="str">
        <f aca="false">IF($G2146="","",MID(IF($C2146="",", no division","")&amp;IF($E2146="",", no unit","")&amp;IF($H2146="",", no career level","")&amp;IF(N($L2146)&lt;=0,", no quarter split","")&amp;IF($R2146="",", no driver","")&amp;IF(AND($H2146&lt;&gt;"",COUNTIF(CareerLevels,$H2146)=0),", a career level that is not on the ladder","")&amp;IF(AND($R2146&lt;&gt;"",COUNTIF(DriverList,$R2146)=0),", a driver that is not on the list","")&amp;IF(ABS(N($L2146)-(N($M2146)+N($N2146)+N($O2146)+N($P2146)))&gt;0.001,", a total that does not match its quarters",""),3,300))</f>
        <v/>
      </c>
    </row>
    <row r="2147" customFormat="false" ht="15" hidden="false" customHeight="false" outlineLevel="0" collapsed="false">
      <c r="A2147" s="33" t="str">
        <f aca="false">IF($G2147="","","Technology Group")</f>
        <v/>
      </c>
      <c r="B2147" s="19"/>
      <c r="C2147" s="19"/>
      <c r="D2147" s="19"/>
      <c r="E2147" s="19"/>
      <c r="F2147" s="19"/>
      <c r="G2147" s="19"/>
      <c r="H2147" s="19"/>
      <c r="I2147" s="19"/>
      <c r="J2147" s="19"/>
      <c r="K2147" s="19"/>
      <c r="L2147" s="19"/>
      <c r="M2147" s="19"/>
      <c r="N2147" s="19"/>
      <c r="O2147" s="19"/>
      <c r="P2147" s="19"/>
      <c r="Q2147" s="19"/>
      <c r="R2147" s="19"/>
      <c r="S2147" s="19"/>
      <c r="T2147" s="34" t="str">
        <f aca="false">IF($R2147="","",IFERROR(INDEX(DriverCategory,MATCH($R2147,DriverList,0)),"BAU"))</f>
        <v/>
      </c>
      <c r="U2147" s="34" t="str">
        <f aca="false">IF($R2147="","",IFERROR(INDEX(DriverRank,MATCH($R2147,DriverList,0)),99))</f>
        <v/>
      </c>
      <c r="V2147" s="35" t="n">
        <f aca="false">IF($H2147="",0,IFERROR(INDEX(LevelBasic,MATCH($H2147,LevelList,0))+INDEX(LevelHousing,MATCH($H2147,LevelList,0))+INDEX(LevelTransport,MATCH($H2147,LevelList,0))+INDEX(LevelBasic,MATCH($H2147,LevelList,0))*INDEX(LevelBonus,MATCH($H2147,LevelList,0))+(INDEX(LevelBasic,MATCH($H2147,LevelList,0))+INDEX(LevelHousing,MATCH($H2147,LevelList,0)))*GosiSaudi,0))</f>
        <v>0</v>
      </c>
      <c r="W2147" s="35" t="n">
        <f aca="false">IFERROR(INDEX(LevelOneOff,MATCH($H2147,LevelList,0)),0)</f>
        <v>0</v>
      </c>
      <c r="X2147" s="35" t="str">
        <f aca="false">IF($G2147="","",$V2147*N($L2147))</f>
        <v/>
      </c>
      <c r="Y2147" s="35" t="str">
        <f aca="false">IF($G2147="","",$V2147*(N($M2147)*1+N($N2147)*0.75+N($O2147)*0.5+N($P2147)*0.25)+$W2147*N($L2147))</f>
        <v/>
      </c>
      <c r="Z2147" s="35" t="str">
        <f aca="false">IF($G2147="","",$U2147*1000000+ROW())</f>
        <v/>
      </c>
      <c r="AA2147" s="36" t="str">
        <f aca="false">IF($G2147="","",MID(IF($C2147="",", no division","")&amp;IF($E2147="",", no unit","")&amp;IF($H2147="",", no career level","")&amp;IF(N($L2147)&lt;=0,", no quarter split","")&amp;IF($R2147="",", no driver","")&amp;IF(AND($H2147&lt;&gt;"",COUNTIF(CareerLevels,$H2147)=0),", a career level that is not on the ladder","")&amp;IF(AND($R2147&lt;&gt;"",COUNTIF(DriverList,$R2147)=0),", a driver that is not on the list","")&amp;IF(ABS(N($L2147)-(N($M2147)+N($N2147)+N($O2147)+N($P2147)))&gt;0.001,", a total that does not match its quarters",""),3,300))</f>
        <v/>
      </c>
    </row>
    <row r="2148" customFormat="false" ht="15" hidden="false" customHeight="false" outlineLevel="0" collapsed="false">
      <c r="A2148" s="33" t="str">
        <f aca="false">IF($G2148="","","Technology Group")</f>
        <v/>
      </c>
      <c r="B2148" s="19"/>
      <c r="C2148" s="19"/>
      <c r="D2148" s="19"/>
      <c r="E2148" s="19"/>
      <c r="F2148" s="19"/>
      <c r="G2148" s="19"/>
      <c r="H2148" s="19"/>
      <c r="I2148" s="19"/>
      <c r="J2148" s="19"/>
      <c r="K2148" s="19"/>
      <c r="L2148" s="19"/>
      <c r="M2148" s="19"/>
      <c r="N2148" s="19"/>
      <c r="O2148" s="19"/>
      <c r="P2148" s="19"/>
      <c r="Q2148" s="19"/>
      <c r="R2148" s="19"/>
      <c r="S2148" s="19"/>
      <c r="T2148" s="34" t="str">
        <f aca="false">IF($R2148="","",IFERROR(INDEX(DriverCategory,MATCH($R2148,DriverList,0)),"BAU"))</f>
        <v/>
      </c>
      <c r="U2148" s="34" t="str">
        <f aca="false">IF($R2148="","",IFERROR(INDEX(DriverRank,MATCH($R2148,DriverList,0)),99))</f>
        <v/>
      </c>
      <c r="V2148" s="35" t="n">
        <f aca="false">IF($H2148="",0,IFERROR(INDEX(LevelBasic,MATCH($H2148,LevelList,0))+INDEX(LevelHousing,MATCH($H2148,LevelList,0))+INDEX(LevelTransport,MATCH($H2148,LevelList,0))+INDEX(LevelBasic,MATCH($H2148,LevelList,0))*INDEX(LevelBonus,MATCH($H2148,LevelList,0))+(INDEX(LevelBasic,MATCH($H2148,LevelList,0))+INDEX(LevelHousing,MATCH($H2148,LevelList,0)))*GosiSaudi,0))</f>
        <v>0</v>
      </c>
      <c r="W2148" s="35" t="n">
        <f aca="false">IFERROR(INDEX(LevelOneOff,MATCH($H2148,LevelList,0)),0)</f>
        <v>0</v>
      </c>
      <c r="X2148" s="35" t="str">
        <f aca="false">IF($G2148="","",$V2148*N($L2148))</f>
        <v/>
      </c>
      <c r="Y2148" s="35" t="str">
        <f aca="false">IF($G2148="","",$V2148*(N($M2148)*1+N($N2148)*0.75+N($O2148)*0.5+N($P2148)*0.25)+$W2148*N($L2148))</f>
        <v/>
      </c>
      <c r="Z2148" s="35" t="str">
        <f aca="false">IF($G2148="","",$U2148*1000000+ROW())</f>
        <v/>
      </c>
      <c r="AA2148" s="36" t="str">
        <f aca="false">IF($G2148="","",MID(IF($C2148="",", no division","")&amp;IF($E2148="",", no unit","")&amp;IF($H2148="",", no career level","")&amp;IF(N($L2148)&lt;=0,", no quarter split","")&amp;IF($R2148="",", no driver","")&amp;IF(AND($H2148&lt;&gt;"",COUNTIF(CareerLevels,$H2148)=0),", a career level that is not on the ladder","")&amp;IF(AND($R2148&lt;&gt;"",COUNTIF(DriverList,$R2148)=0),", a driver that is not on the list","")&amp;IF(ABS(N($L2148)-(N($M2148)+N($N2148)+N($O2148)+N($P2148)))&gt;0.001,", a total that does not match its quarters",""),3,300))</f>
        <v/>
      </c>
    </row>
    <row r="2149" customFormat="false" ht="15" hidden="false" customHeight="false" outlineLevel="0" collapsed="false">
      <c r="A2149" s="33" t="str">
        <f aca="false">IF($G2149="","","Technology Group")</f>
        <v/>
      </c>
      <c r="B2149" s="19"/>
      <c r="C2149" s="19"/>
      <c r="D2149" s="19"/>
      <c r="E2149" s="19"/>
      <c r="F2149" s="19"/>
      <c r="G2149" s="19"/>
      <c r="H2149" s="19"/>
      <c r="I2149" s="19"/>
      <c r="J2149" s="19"/>
      <c r="K2149" s="19"/>
      <c r="L2149" s="19"/>
      <c r="M2149" s="19"/>
      <c r="N2149" s="19"/>
      <c r="O2149" s="19"/>
      <c r="P2149" s="19"/>
      <c r="Q2149" s="19"/>
      <c r="R2149" s="19"/>
      <c r="S2149" s="19"/>
      <c r="T2149" s="34" t="str">
        <f aca="false">IF($R2149="","",IFERROR(INDEX(DriverCategory,MATCH($R2149,DriverList,0)),"BAU"))</f>
        <v/>
      </c>
      <c r="U2149" s="34" t="str">
        <f aca="false">IF($R2149="","",IFERROR(INDEX(DriverRank,MATCH($R2149,DriverList,0)),99))</f>
        <v/>
      </c>
      <c r="V2149" s="35" t="n">
        <f aca="false">IF($H2149="",0,IFERROR(INDEX(LevelBasic,MATCH($H2149,LevelList,0))+INDEX(LevelHousing,MATCH($H2149,LevelList,0))+INDEX(LevelTransport,MATCH($H2149,LevelList,0))+INDEX(LevelBasic,MATCH($H2149,LevelList,0))*INDEX(LevelBonus,MATCH($H2149,LevelList,0))+(INDEX(LevelBasic,MATCH($H2149,LevelList,0))+INDEX(LevelHousing,MATCH($H2149,LevelList,0)))*GosiSaudi,0))</f>
        <v>0</v>
      </c>
      <c r="W2149" s="35" t="n">
        <f aca="false">IFERROR(INDEX(LevelOneOff,MATCH($H2149,LevelList,0)),0)</f>
        <v>0</v>
      </c>
      <c r="X2149" s="35" t="str">
        <f aca="false">IF($G2149="","",$V2149*N($L2149))</f>
        <v/>
      </c>
      <c r="Y2149" s="35" t="str">
        <f aca="false">IF($G2149="","",$V2149*(N($M2149)*1+N($N2149)*0.75+N($O2149)*0.5+N($P2149)*0.25)+$W2149*N($L2149))</f>
        <v/>
      </c>
      <c r="Z2149" s="35" t="str">
        <f aca="false">IF($G2149="","",$U2149*1000000+ROW())</f>
        <v/>
      </c>
      <c r="AA2149" s="36" t="str">
        <f aca="false">IF($G2149="","",MID(IF($C2149="",", no division","")&amp;IF($E2149="",", no unit","")&amp;IF($H2149="",", no career level","")&amp;IF(N($L2149)&lt;=0,", no quarter split","")&amp;IF($R2149="",", no driver","")&amp;IF(AND($H2149&lt;&gt;"",COUNTIF(CareerLevels,$H2149)=0),", a career level that is not on the ladder","")&amp;IF(AND($R2149&lt;&gt;"",COUNTIF(DriverList,$R2149)=0),", a driver that is not on the list","")&amp;IF(ABS(N($L2149)-(N($M2149)+N($N2149)+N($O2149)+N($P2149)))&gt;0.001,", a total that does not match its quarters",""),3,300))</f>
        <v/>
      </c>
    </row>
    <row r="2150" customFormat="false" ht="15" hidden="false" customHeight="false" outlineLevel="0" collapsed="false">
      <c r="A2150" s="33" t="str">
        <f aca="false">IF($G2150="","","Technology Group")</f>
        <v/>
      </c>
      <c r="B2150" s="19"/>
      <c r="C2150" s="19"/>
      <c r="D2150" s="19"/>
      <c r="E2150" s="19"/>
      <c r="F2150" s="19"/>
      <c r="G2150" s="19"/>
      <c r="H2150" s="19"/>
      <c r="I2150" s="19"/>
      <c r="J2150" s="19"/>
      <c r="K2150" s="19"/>
      <c r="L2150" s="19"/>
      <c r="M2150" s="19"/>
      <c r="N2150" s="19"/>
      <c r="O2150" s="19"/>
      <c r="P2150" s="19"/>
      <c r="Q2150" s="19"/>
      <c r="R2150" s="19"/>
      <c r="S2150" s="19"/>
      <c r="T2150" s="34" t="str">
        <f aca="false">IF($R2150="","",IFERROR(INDEX(DriverCategory,MATCH($R2150,DriverList,0)),"BAU"))</f>
        <v/>
      </c>
      <c r="U2150" s="34" t="str">
        <f aca="false">IF($R2150="","",IFERROR(INDEX(DriverRank,MATCH($R2150,DriverList,0)),99))</f>
        <v/>
      </c>
      <c r="V2150" s="35" t="n">
        <f aca="false">IF($H2150="",0,IFERROR(INDEX(LevelBasic,MATCH($H2150,LevelList,0))+INDEX(LevelHousing,MATCH($H2150,LevelList,0))+INDEX(LevelTransport,MATCH($H2150,LevelList,0))+INDEX(LevelBasic,MATCH($H2150,LevelList,0))*INDEX(LevelBonus,MATCH($H2150,LevelList,0))+(INDEX(LevelBasic,MATCH($H2150,LevelList,0))+INDEX(LevelHousing,MATCH($H2150,LevelList,0)))*GosiSaudi,0))</f>
        <v>0</v>
      </c>
      <c r="W2150" s="35" t="n">
        <f aca="false">IFERROR(INDEX(LevelOneOff,MATCH($H2150,LevelList,0)),0)</f>
        <v>0</v>
      </c>
      <c r="X2150" s="35" t="str">
        <f aca="false">IF($G2150="","",$V2150*N($L2150))</f>
        <v/>
      </c>
      <c r="Y2150" s="35" t="str">
        <f aca="false">IF($G2150="","",$V2150*(N($M2150)*1+N($N2150)*0.75+N($O2150)*0.5+N($P2150)*0.25)+$W2150*N($L2150))</f>
        <v/>
      </c>
      <c r="Z2150" s="35" t="str">
        <f aca="false">IF($G2150="","",$U2150*1000000+ROW())</f>
        <v/>
      </c>
      <c r="AA2150" s="36" t="str">
        <f aca="false">IF($G2150="","",MID(IF($C2150="",", no division","")&amp;IF($E2150="",", no unit","")&amp;IF($H2150="",", no career level","")&amp;IF(N($L2150)&lt;=0,", no quarter split","")&amp;IF($R2150="",", no driver","")&amp;IF(AND($H2150&lt;&gt;"",COUNTIF(CareerLevels,$H2150)=0),", a career level that is not on the ladder","")&amp;IF(AND($R2150&lt;&gt;"",COUNTIF(DriverList,$R2150)=0),", a driver that is not on the list","")&amp;IF(ABS(N($L2150)-(N($M2150)+N($N2150)+N($O2150)+N($P2150)))&gt;0.001,", a total that does not match its quarters",""),3,300))</f>
        <v/>
      </c>
    </row>
    <row r="2151" customFormat="false" ht="15" hidden="false" customHeight="false" outlineLevel="0" collapsed="false">
      <c r="A2151" s="33" t="str">
        <f aca="false">IF($G2151="","","Technology Group")</f>
        <v/>
      </c>
      <c r="B2151" s="19"/>
      <c r="C2151" s="19"/>
      <c r="D2151" s="19"/>
      <c r="E2151" s="19"/>
      <c r="F2151" s="19"/>
      <c r="G2151" s="19"/>
      <c r="H2151" s="19"/>
      <c r="I2151" s="19"/>
      <c r="J2151" s="19"/>
      <c r="K2151" s="19"/>
      <c r="L2151" s="19"/>
      <c r="M2151" s="19"/>
      <c r="N2151" s="19"/>
      <c r="O2151" s="19"/>
      <c r="P2151" s="19"/>
      <c r="Q2151" s="19"/>
      <c r="R2151" s="19"/>
      <c r="S2151" s="19"/>
      <c r="T2151" s="34" t="str">
        <f aca="false">IF($R2151="","",IFERROR(INDEX(DriverCategory,MATCH($R2151,DriverList,0)),"BAU"))</f>
        <v/>
      </c>
      <c r="U2151" s="34" t="str">
        <f aca="false">IF($R2151="","",IFERROR(INDEX(DriverRank,MATCH($R2151,DriverList,0)),99))</f>
        <v/>
      </c>
      <c r="V2151" s="35" t="n">
        <f aca="false">IF($H2151="",0,IFERROR(INDEX(LevelBasic,MATCH($H2151,LevelList,0))+INDEX(LevelHousing,MATCH($H2151,LevelList,0))+INDEX(LevelTransport,MATCH($H2151,LevelList,0))+INDEX(LevelBasic,MATCH($H2151,LevelList,0))*INDEX(LevelBonus,MATCH($H2151,LevelList,0))+(INDEX(LevelBasic,MATCH($H2151,LevelList,0))+INDEX(LevelHousing,MATCH($H2151,LevelList,0)))*GosiSaudi,0))</f>
        <v>0</v>
      </c>
      <c r="W2151" s="35" t="n">
        <f aca="false">IFERROR(INDEX(LevelOneOff,MATCH($H2151,LevelList,0)),0)</f>
        <v>0</v>
      </c>
      <c r="X2151" s="35" t="str">
        <f aca="false">IF($G2151="","",$V2151*N($L2151))</f>
        <v/>
      </c>
      <c r="Y2151" s="35" t="str">
        <f aca="false">IF($G2151="","",$V2151*(N($M2151)*1+N($N2151)*0.75+N($O2151)*0.5+N($P2151)*0.25)+$W2151*N($L2151))</f>
        <v/>
      </c>
      <c r="Z2151" s="35" t="str">
        <f aca="false">IF($G2151="","",$U2151*1000000+ROW())</f>
        <v/>
      </c>
      <c r="AA2151" s="36" t="str">
        <f aca="false">IF($G2151="","",MID(IF($C2151="",", no division","")&amp;IF($E2151="",", no unit","")&amp;IF($H2151="",", no career level","")&amp;IF(N($L2151)&lt;=0,", no quarter split","")&amp;IF($R2151="",", no driver","")&amp;IF(AND($H2151&lt;&gt;"",COUNTIF(CareerLevels,$H2151)=0),", a career level that is not on the ladder","")&amp;IF(AND($R2151&lt;&gt;"",COUNTIF(DriverList,$R2151)=0),", a driver that is not on the list","")&amp;IF(ABS(N($L2151)-(N($M2151)+N($N2151)+N($O2151)+N($P2151)))&gt;0.001,", a total that does not match its quarters",""),3,300))</f>
        <v/>
      </c>
    </row>
    <row r="2152" customFormat="false" ht="15" hidden="false" customHeight="false" outlineLevel="0" collapsed="false">
      <c r="A2152" s="33" t="str">
        <f aca="false">IF($G2152="","","Technology Group")</f>
        <v/>
      </c>
      <c r="B2152" s="19"/>
      <c r="C2152" s="19"/>
      <c r="D2152" s="19"/>
      <c r="E2152" s="19"/>
      <c r="F2152" s="19"/>
      <c r="G2152" s="19"/>
      <c r="H2152" s="19"/>
      <c r="I2152" s="19"/>
      <c r="J2152" s="19"/>
      <c r="K2152" s="19"/>
      <c r="L2152" s="19"/>
      <c r="M2152" s="19"/>
      <c r="N2152" s="19"/>
      <c r="O2152" s="19"/>
      <c r="P2152" s="19"/>
      <c r="Q2152" s="19"/>
      <c r="R2152" s="19"/>
      <c r="S2152" s="19"/>
      <c r="T2152" s="34" t="str">
        <f aca="false">IF($R2152="","",IFERROR(INDEX(DriverCategory,MATCH($R2152,DriverList,0)),"BAU"))</f>
        <v/>
      </c>
      <c r="U2152" s="34" t="str">
        <f aca="false">IF($R2152="","",IFERROR(INDEX(DriverRank,MATCH($R2152,DriverList,0)),99))</f>
        <v/>
      </c>
      <c r="V2152" s="35" t="n">
        <f aca="false">IF($H2152="",0,IFERROR(INDEX(LevelBasic,MATCH($H2152,LevelList,0))+INDEX(LevelHousing,MATCH($H2152,LevelList,0))+INDEX(LevelTransport,MATCH($H2152,LevelList,0))+INDEX(LevelBasic,MATCH($H2152,LevelList,0))*INDEX(LevelBonus,MATCH($H2152,LevelList,0))+(INDEX(LevelBasic,MATCH($H2152,LevelList,0))+INDEX(LevelHousing,MATCH($H2152,LevelList,0)))*GosiSaudi,0))</f>
        <v>0</v>
      </c>
      <c r="W2152" s="35" t="n">
        <f aca="false">IFERROR(INDEX(LevelOneOff,MATCH($H2152,LevelList,0)),0)</f>
        <v>0</v>
      </c>
      <c r="X2152" s="35" t="str">
        <f aca="false">IF($G2152="","",$V2152*N($L2152))</f>
        <v/>
      </c>
      <c r="Y2152" s="35" t="str">
        <f aca="false">IF($G2152="","",$V2152*(N($M2152)*1+N($N2152)*0.75+N($O2152)*0.5+N($P2152)*0.25)+$W2152*N($L2152))</f>
        <v/>
      </c>
      <c r="Z2152" s="35" t="str">
        <f aca="false">IF($G2152="","",$U2152*1000000+ROW())</f>
        <v/>
      </c>
      <c r="AA2152" s="36" t="str">
        <f aca="false">IF($G2152="","",MID(IF($C2152="",", no division","")&amp;IF($E2152="",", no unit","")&amp;IF($H2152="",", no career level","")&amp;IF(N($L2152)&lt;=0,", no quarter split","")&amp;IF($R2152="",", no driver","")&amp;IF(AND($H2152&lt;&gt;"",COUNTIF(CareerLevels,$H2152)=0),", a career level that is not on the ladder","")&amp;IF(AND($R2152&lt;&gt;"",COUNTIF(DriverList,$R2152)=0),", a driver that is not on the list","")&amp;IF(ABS(N($L2152)-(N($M2152)+N($N2152)+N($O2152)+N($P2152)))&gt;0.001,", a total that does not match its quarters",""),3,300))</f>
        <v/>
      </c>
    </row>
    <row r="2153" customFormat="false" ht="15" hidden="false" customHeight="false" outlineLevel="0" collapsed="false">
      <c r="A2153" s="33" t="str">
        <f aca="false">IF($G2153="","","Technology Group")</f>
        <v/>
      </c>
      <c r="B2153" s="19"/>
      <c r="C2153" s="19"/>
      <c r="D2153" s="19"/>
      <c r="E2153" s="19"/>
      <c r="F2153" s="19"/>
      <c r="G2153" s="19"/>
      <c r="H2153" s="19"/>
      <c r="I2153" s="19"/>
      <c r="J2153" s="19"/>
      <c r="K2153" s="19"/>
      <c r="L2153" s="19"/>
      <c r="M2153" s="19"/>
      <c r="N2153" s="19"/>
      <c r="O2153" s="19"/>
      <c r="P2153" s="19"/>
      <c r="Q2153" s="19"/>
      <c r="R2153" s="19"/>
      <c r="S2153" s="19"/>
      <c r="T2153" s="34" t="str">
        <f aca="false">IF($R2153="","",IFERROR(INDEX(DriverCategory,MATCH($R2153,DriverList,0)),"BAU"))</f>
        <v/>
      </c>
      <c r="U2153" s="34" t="str">
        <f aca="false">IF($R2153="","",IFERROR(INDEX(DriverRank,MATCH($R2153,DriverList,0)),99))</f>
        <v/>
      </c>
      <c r="V2153" s="35" t="n">
        <f aca="false">IF($H2153="",0,IFERROR(INDEX(LevelBasic,MATCH($H2153,LevelList,0))+INDEX(LevelHousing,MATCH($H2153,LevelList,0))+INDEX(LevelTransport,MATCH($H2153,LevelList,0))+INDEX(LevelBasic,MATCH($H2153,LevelList,0))*INDEX(LevelBonus,MATCH($H2153,LevelList,0))+(INDEX(LevelBasic,MATCH($H2153,LevelList,0))+INDEX(LevelHousing,MATCH($H2153,LevelList,0)))*GosiSaudi,0))</f>
        <v>0</v>
      </c>
      <c r="W2153" s="35" t="n">
        <f aca="false">IFERROR(INDEX(LevelOneOff,MATCH($H2153,LevelList,0)),0)</f>
        <v>0</v>
      </c>
      <c r="X2153" s="35" t="str">
        <f aca="false">IF($G2153="","",$V2153*N($L2153))</f>
        <v/>
      </c>
      <c r="Y2153" s="35" t="str">
        <f aca="false">IF($G2153="","",$V2153*(N($M2153)*1+N($N2153)*0.75+N($O2153)*0.5+N($P2153)*0.25)+$W2153*N($L2153))</f>
        <v/>
      </c>
      <c r="Z2153" s="35" t="str">
        <f aca="false">IF($G2153="","",$U2153*1000000+ROW())</f>
        <v/>
      </c>
      <c r="AA2153" s="36" t="str">
        <f aca="false">IF($G2153="","",MID(IF($C2153="",", no division","")&amp;IF($E2153="",", no unit","")&amp;IF($H2153="",", no career level","")&amp;IF(N($L2153)&lt;=0,", no quarter split","")&amp;IF($R2153="",", no driver","")&amp;IF(AND($H2153&lt;&gt;"",COUNTIF(CareerLevels,$H2153)=0),", a career level that is not on the ladder","")&amp;IF(AND($R2153&lt;&gt;"",COUNTIF(DriverList,$R2153)=0),", a driver that is not on the list","")&amp;IF(ABS(N($L2153)-(N($M2153)+N($N2153)+N($O2153)+N($P2153)))&gt;0.001,", a total that does not match its quarters",""),3,300))</f>
        <v/>
      </c>
    </row>
    <row r="2154" customFormat="false" ht="15" hidden="false" customHeight="false" outlineLevel="0" collapsed="false">
      <c r="A2154" s="33" t="str">
        <f aca="false">IF($G2154="","","Technology Group")</f>
        <v/>
      </c>
      <c r="B2154" s="19"/>
      <c r="C2154" s="19"/>
      <c r="D2154" s="19"/>
      <c r="E2154" s="19"/>
      <c r="F2154" s="19"/>
      <c r="G2154" s="19"/>
      <c r="H2154" s="19"/>
      <c r="I2154" s="19"/>
      <c r="J2154" s="19"/>
      <c r="K2154" s="19"/>
      <c r="L2154" s="19"/>
      <c r="M2154" s="19"/>
      <c r="N2154" s="19"/>
      <c r="O2154" s="19"/>
      <c r="P2154" s="19"/>
      <c r="Q2154" s="19"/>
      <c r="R2154" s="19"/>
      <c r="S2154" s="19"/>
      <c r="T2154" s="34" t="str">
        <f aca="false">IF($R2154="","",IFERROR(INDEX(DriverCategory,MATCH($R2154,DriverList,0)),"BAU"))</f>
        <v/>
      </c>
      <c r="U2154" s="34" t="str">
        <f aca="false">IF($R2154="","",IFERROR(INDEX(DriverRank,MATCH($R2154,DriverList,0)),99))</f>
        <v/>
      </c>
      <c r="V2154" s="35" t="n">
        <f aca="false">IF($H2154="",0,IFERROR(INDEX(LevelBasic,MATCH($H2154,LevelList,0))+INDEX(LevelHousing,MATCH($H2154,LevelList,0))+INDEX(LevelTransport,MATCH($H2154,LevelList,0))+INDEX(LevelBasic,MATCH($H2154,LevelList,0))*INDEX(LevelBonus,MATCH($H2154,LevelList,0))+(INDEX(LevelBasic,MATCH($H2154,LevelList,0))+INDEX(LevelHousing,MATCH($H2154,LevelList,0)))*GosiSaudi,0))</f>
        <v>0</v>
      </c>
      <c r="W2154" s="35" t="n">
        <f aca="false">IFERROR(INDEX(LevelOneOff,MATCH($H2154,LevelList,0)),0)</f>
        <v>0</v>
      </c>
      <c r="X2154" s="35" t="str">
        <f aca="false">IF($G2154="","",$V2154*N($L2154))</f>
        <v/>
      </c>
      <c r="Y2154" s="35" t="str">
        <f aca="false">IF($G2154="","",$V2154*(N($M2154)*1+N($N2154)*0.75+N($O2154)*0.5+N($P2154)*0.25)+$W2154*N($L2154))</f>
        <v/>
      </c>
      <c r="Z2154" s="35" t="str">
        <f aca="false">IF($G2154="","",$U2154*1000000+ROW())</f>
        <v/>
      </c>
      <c r="AA2154" s="36" t="str">
        <f aca="false">IF($G2154="","",MID(IF($C2154="",", no division","")&amp;IF($E2154="",", no unit","")&amp;IF($H2154="",", no career level","")&amp;IF(N($L2154)&lt;=0,", no quarter split","")&amp;IF($R2154="",", no driver","")&amp;IF(AND($H2154&lt;&gt;"",COUNTIF(CareerLevels,$H2154)=0),", a career level that is not on the ladder","")&amp;IF(AND($R2154&lt;&gt;"",COUNTIF(DriverList,$R2154)=0),", a driver that is not on the list","")&amp;IF(ABS(N($L2154)-(N($M2154)+N($N2154)+N($O2154)+N($P2154)))&gt;0.001,", a total that does not match its quarters",""),3,300))</f>
        <v/>
      </c>
    </row>
    <row r="2155" customFormat="false" ht="15" hidden="false" customHeight="false" outlineLevel="0" collapsed="false">
      <c r="A2155" s="33" t="str">
        <f aca="false">IF($G2155="","","Technology Group")</f>
        <v/>
      </c>
      <c r="B2155" s="19"/>
      <c r="C2155" s="19"/>
      <c r="D2155" s="19"/>
      <c r="E2155" s="19"/>
      <c r="F2155" s="19"/>
      <c r="G2155" s="19"/>
      <c r="H2155" s="19"/>
      <c r="I2155" s="19"/>
      <c r="J2155" s="19"/>
      <c r="K2155" s="19"/>
      <c r="L2155" s="19"/>
      <c r="M2155" s="19"/>
      <c r="N2155" s="19"/>
      <c r="O2155" s="19"/>
      <c r="P2155" s="19"/>
      <c r="Q2155" s="19"/>
      <c r="R2155" s="19"/>
      <c r="S2155" s="19"/>
      <c r="T2155" s="34" t="str">
        <f aca="false">IF($R2155="","",IFERROR(INDEX(DriverCategory,MATCH($R2155,DriverList,0)),"BAU"))</f>
        <v/>
      </c>
      <c r="U2155" s="34" t="str">
        <f aca="false">IF($R2155="","",IFERROR(INDEX(DriverRank,MATCH($R2155,DriverList,0)),99))</f>
        <v/>
      </c>
      <c r="V2155" s="35" t="n">
        <f aca="false">IF($H2155="",0,IFERROR(INDEX(LevelBasic,MATCH($H2155,LevelList,0))+INDEX(LevelHousing,MATCH($H2155,LevelList,0))+INDEX(LevelTransport,MATCH($H2155,LevelList,0))+INDEX(LevelBasic,MATCH($H2155,LevelList,0))*INDEX(LevelBonus,MATCH($H2155,LevelList,0))+(INDEX(LevelBasic,MATCH($H2155,LevelList,0))+INDEX(LevelHousing,MATCH($H2155,LevelList,0)))*GosiSaudi,0))</f>
        <v>0</v>
      </c>
      <c r="W2155" s="35" t="n">
        <f aca="false">IFERROR(INDEX(LevelOneOff,MATCH($H2155,LevelList,0)),0)</f>
        <v>0</v>
      </c>
      <c r="X2155" s="35" t="str">
        <f aca="false">IF($G2155="","",$V2155*N($L2155))</f>
        <v/>
      </c>
      <c r="Y2155" s="35" t="str">
        <f aca="false">IF($G2155="","",$V2155*(N($M2155)*1+N($N2155)*0.75+N($O2155)*0.5+N($P2155)*0.25)+$W2155*N($L2155))</f>
        <v/>
      </c>
      <c r="Z2155" s="35" t="str">
        <f aca="false">IF($G2155="","",$U2155*1000000+ROW())</f>
        <v/>
      </c>
      <c r="AA2155" s="36" t="str">
        <f aca="false">IF($G2155="","",MID(IF($C2155="",", no division","")&amp;IF($E2155="",", no unit","")&amp;IF($H2155="",", no career level","")&amp;IF(N($L2155)&lt;=0,", no quarter split","")&amp;IF($R2155="",", no driver","")&amp;IF(AND($H2155&lt;&gt;"",COUNTIF(CareerLevels,$H2155)=0),", a career level that is not on the ladder","")&amp;IF(AND($R2155&lt;&gt;"",COUNTIF(DriverList,$R2155)=0),", a driver that is not on the list","")&amp;IF(ABS(N($L2155)-(N($M2155)+N($N2155)+N($O2155)+N($P2155)))&gt;0.001,", a total that does not match its quarters",""),3,300))</f>
        <v/>
      </c>
    </row>
    <row r="2156" customFormat="false" ht="15" hidden="false" customHeight="false" outlineLevel="0" collapsed="false">
      <c r="A2156" s="33" t="str">
        <f aca="false">IF($G2156="","","Technology Group")</f>
        <v/>
      </c>
      <c r="B2156" s="19"/>
      <c r="C2156" s="19"/>
      <c r="D2156" s="19"/>
      <c r="E2156" s="19"/>
      <c r="F2156" s="19"/>
      <c r="G2156" s="19"/>
      <c r="H2156" s="19"/>
      <c r="I2156" s="19"/>
      <c r="J2156" s="19"/>
      <c r="K2156" s="19"/>
      <c r="L2156" s="19"/>
      <c r="M2156" s="19"/>
      <c r="N2156" s="19"/>
      <c r="O2156" s="19"/>
      <c r="P2156" s="19"/>
      <c r="Q2156" s="19"/>
      <c r="R2156" s="19"/>
      <c r="S2156" s="19"/>
      <c r="T2156" s="34" t="str">
        <f aca="false">IF($R2156="","",IFERROR(INDEX(DriverCategory,MATCH($R2156,DriverList,0)),"BAU"))</f>
        <v/>
      </c>
      <c r="U2156" s="34" t="str">
        <f aca="false">IF($R2156="","",IFERROR(INDEX(DriverRank,MATCH($R2156,DriverList,0)),99))</f>
        <v/>
      </c>
      <c r="V2156" s="35" t="n">
        <f aca="false">IF($H2156="",0,IFERROR(INDEX(LevelBasic,MATCH($H2156,LevelList,0))+INDEX(LevelHousing,MATCH($H2156,LevelList,0))+INDEX(LevelTransport,MATCH($H2156,LevelList,0))+INDEX(LevelBasic,MATCH($H2156,LevelList,0))*INDEX(LevelBonus,MATCH($H2156,LevelList,0))+(INDEX(LevelBasic,MATCH($H2156,LevelList,0))+INDEX(LevelHousing,MATCH($H2156,LevelList,0)))*GosiSaudi,0))</f>
        <v>0</v>
      </c>
      <c r="W2156" s="35" t="n">
        <f aca="false">IFERROR(INDEX(LevelOneOff,MATCH($H2156,LevelList,0)),0)</f>
        <v>0</v>
      </c>
      <c r="X2156" s="35" t="str">
        <f aca="false">IF($G2156="","",$V2156*N($L2156))</f>
        <v/>
      </c>
      <c r="Y2156" s="35" t="str">
        <f aca="false">IF($G2156="","",$V2156*(N($M2156)*1+N($N2156)*0.75+N($O2156)*0.5+N($P2156)*0.25)+$W2156*N($L2156))</f>
        <v/>
      </c>
      <c r="Z2156" s="35" t="str">
        <f aca="false">IF($G2156="","",$U2156*1000000+ROW())</f>
        <v/>
      </c>
      <c r="AA2156" s="36" t="str">
        <f aca="false">IF($G2156="","",MID(IF($C2156="",", no division","")&amp;IF($E2156="",", no unit","")&amp;IF($H2156="",", no career level","")&amp;IF(N($L2156)&lt;=0,", no quarter split","")&amp;IF($R2156="",", no driver","")&amp;IF(AND($H2156&lt;&gt;"",COUNTIF(CareerLevels,$H2156)=0),", a career level that is not on the ladder","")&amp;IF(AND($R2156&lt;&gt;"",COUNTIF(DriverList,$R2156)=0),", a driver that is not on the list","")&amp;IF(ABS(N($L2156)-(N($M2156)+N($N2156)+N($O2156)+N($P2156)))&gt;0.001,", a total that does not match its quarters",""),3,300))</f>
        <v/>
      </c>
    </row>
    <row r="2157" customFormat="false" ht="15" hidden="false" customHeight="false" outlineLevel="0" collapsed="false">
      <c r="A2157" s="33" t="str">
        <f aca="false">IF($G2157="","","Technology Group")</f>
        <v/>
      </c>
      <c r="B2157" s="19"/>
      <c r="C2157" s="19"/>
      <c r="D2157" s="19"/>
      <c r="E2157" s="19"/>
      <c r="F2157" s="19"/>
      <c r="G2157" s="19"/>
      <c r="H2157" s="19"/>
      <c r="I2157" s="19"/>
      <c r="J2157" s="19"/>
      <c r="K2157" s="19"/>
      <c r="L2157" s="19"/>
      <c r="M2157" s="19"/>
      <c r="N2157" s="19"/>
      <c r="O2157" s="19"/>
      <c r="P2157" s="19"/>
      <c r="Q2157" s="19"/>
      <c r="R2157" s="19"/>
      <c r="S2157" s="19"/>
      <c r="T2157" s="34" t="str">
        <f aca="false">IF($R2157="","",IFERROR(INDEX(DriverCategory,MATCH($R2157,DriverList,0)),"BAU"))</f>
        <v/>
      </c>
      <c r="U2157" s="34" t="str">
        <f aca="false">IF($R2157="","",IFERROR(INDEX(DriverRank,MATCH($R2157,DriverList,0)),99))</f>
        <v/>
      </c>
      <c r="V2157" s="35" t="n">
        <f aca="false">IF($H2157="",0,IFERROR(INDEX(LevelBasic,MATCH($H2157,LevelList,0))+INDEX(LevelHousing,MATCH($H2157,LevelList,0))+INDEX(LevelTransport,MATCH($H2157,LevelList,0))+INDEX(LevelBasic,MATCH($H2157,LevelList,0))*INDEX(LevelBonus,MATCH($H2157,LevelList,0))+(INDEX(LevelBasic,MATCH($H2157,LevelList,0))+INDEX(LevelHousing,MATCH($H2157,LevelList,0)))*GosiSaudi,0))</f>
        <v>0</v>
      </c>
      <c r="W2157" s="35" t="n">
        <f aca="false">IFERROR(INDEX(LevelOneOff,MATCH($H2157,LevelList,0)),0)</f>
        <v>0</v>
      </c>
      <c r="X2157" s="35" t="str">
        <f aca="false">IF($G2157="","",$V2157*N($L2157))</f>
        <v/>
      </c>
      <c r="Y2157" s="35" t="str">
        <f aca="false">IF($G2157="","",$V2157*(N($M2157)*1+N($N2157)*0.75+N($O2157)*0.5+N($P2157)*0.25)+$W2157*N($L2157))</f>
        <v/>
      </c>
      <c r="Z2157" s="35" t="str">
        <f aca="false">IF($G2157="","",$U2157*1000000+ROW())</f>
        <v/>
      </c>
      <c r="AA2157" s="36" t="str">
        <f aca="false">IF($G2157="","",MID(IF($C2157="",", no division","")&amp;IF($E2157="",", no unit","")&amp;IF($H2157="",", no career level","")&amp;IF(N($L2157)&lt;=0,", no quarter split","")&amp;IF($R2157="",", no driver","")&amp;IF(AND($H2157&lt;&gt;"",COUNTIF(CareerLevels,$H2157)=0),", a career level that is not on the ladder","")&amp;IF(AND($R2157&lt;&gt;"",COUNTIF(DriverList,$R2157)=0),", a driver that is not on the list","")&amp;IF(ABS(N($L2157)-(N($M2157)+N($N2157)+N($O2157)+N($P2157)))&gt;0.001,", a total that does not match its quarters",""),3,300))</f>
        <v/>
      </c>
    </row>
    <row r="2158" customFormat="false" ht="15" hidden="false" customHeight="false" outlineLevel="0" collapsed="false">
      <c r="A2158" s="33" t="str">
        <f aca="false">IF($G2158="","","Technology Group")</f>
        <v/>
      </c>
      <c r="B2158" s="19"/>
      <c r="C2158" s="19"/>
      <c r="D2158" s="19"/>
      <c r="E2158" s="19"/>
      <c r="F2158" s="19"/>
      <c r="G2158" s="19"/>
      <c r="H2158" s="19"/>
      <c r="I2158" s="19"/>
      <c r="J2158" s="19"/>
      <c r="K2158" s="19"/>
      <c r="L2158" s="19"/>
      <c r="M2158" s="19"/>
      <c r="N2158" s="19"/>
      <c r="O2158" s="19"/>
      <c r="P2158" s="19"/>
      <c r="Q2158" s="19"/>
      <c r="R2158" s="19"/>
      <c r="S2158" s="19"/>
      <c r="T2158" s="34" t="str">
        <f aca="false">IF($R2158="","",IFERROR(INDEX(DriverCategory,MATCH($R2158,DriverList,0)),"BAU"))</f>
        <v/>
      </c>
      <c r="U2158" s="34" t="str">
        <f aca="false">IF($R2158="","",IFERROR(INDEX(DriverRank,MATCH($R2158,DriverList,0)),99))</f>
        <v/>
      </c>
      <c r="V2158" s="35" t="n">
        <f aca="false">IF($H2158="",0,IFERROR(INDEX(LevelBasic,MATCH($H2158,LevelList,0))+INDEX(LevelHousing,MATCH($H2158,LevelList,0))+INDEX(LevelTransport,MATCH($H2158,LevelList,0))+INDEX(LevelBasic,MATCH($H2158,LevelList,0))*INDEX(LevelBonus,MATCH($H2158,LevelList,0))+(INDEX(LevelBasic,MATCH($H2158,LevelList,0))+INDEX(LevelHousing,MATCH($H2158,LevelList,0)))*GosiSaudi,0))</f>
        <v>0</v>
      </c>
      <c r="W2158" s="35" t="n">
        <f aca="false">IFERROR(INDEX(LevelOneOff,MATCH($H2158,LevelList,0)),0)</f>
        <v>0</v>
      </c>
      <c r="X2158" s="35" t="str">
        <f aca="false">IF($G2158="","",$V2158*N($L2158))</f>
        <v/>
      </c>
      <c r="Y2158" s="35" t="str">
        <f aca="false">IF($G2158="","",$V2158*(N($M2158)*1+N($N2158)*0.75+N($O2158)*0.5+N($P2158)*0.25)+$W2158*N($L2158))</f>
        <v/>
      </c>
      <c r="Z2158" s="35" t="str">
        <f aca="false">IF($G2158="","",$U2158*1000000+ROW())</f>
        <v/>
      </c>
      <c r="AA2158" s="36" t="str">
        <f aca="false">IF($G2158="","",MID(IF($C2158="",", no division","")&amp;IF($E2158="",", no unit","")&amp;IF($H2158="",", no career level","")&amp;IF(N($L2158)&lt;=0,", no quarter split","")&amp;IF($R2158="",", no driver","")&amp;IF(AND($H2158&lt;&gt;"",COUNTIF(CareerLevels,$H2158)=0),", a career level that is not on the ladder","")&amp;IF(AND($R2158&lt;&gt;"",COUNTIF(DriverList,$R2158)=0),", a driver that is not on the list","")&amp;IF(ABS(N($L2158)-(N($M2158)+N($N2158)+N($O2158)+N($P2158)))&gt;0.001,", a total that does not match its quarters",""),3,300))</f>
        <v/>
      </c>
    </row>
    <row r="2159" customFormat="false" ht="15" hidden="false" customHeight="false" outlineLevel="0" collapsed="false">
      <c r="A2159" s="33" t="str">
        <f aca="false">IF($G2159="","","Technology Group")</f>
        <v/>
      </c>
      <c r="B2159" s="19"/>
      <c r="C2159" s="19"/>
      <c r="D2159" s="19"/>
      <c r="E2159" s="19"/>
      <c r="F2159" s="19"/>
      <c r="G2159" s="19"/>
      <c r="H2159" s="19"/>
      <c r="I2159" s="19"/>
      <c r="J2159" s="19"/>
      <c r="K2159" s="19"/>
      <c r="L2159" s="19"/>
      <c r="M2159" s="19"/>
      <c r="N2159" s="19"/>
      <c r="O2159" s="19"/>
      <c r="P2159" s="19"/>
      <c r="Q2159" s="19"/>
      <c r="R2159" s="19"/>
      <c r="S2159" s="19"/>
      <c r="T2159" s="34" t="str">
        <f aca="false">IF($R2159="","",IFERROR(INDEX(DriverCategory,MATCH($R2159,DriverList,0)),"BAU"))</f>
        <v/>
      </c>
      <c r="U2159" s="34" t="str">
        <f aca="false">IF($R2159="","",IFERROR(INDEX(DriverRank,MATCH($R2159,DriverList,0)),99))</f>
        <v/>
      </c>
      <c r="V2159" s="35" t="n">
        <f aca="false">IF($H2159="",0,IFERROR(INDEX(LevelBasic,MATCH($H2159,LevelList,0))+INDEX(LevelHousing,MATCH($H2159,LevelList,0))+INDEX(LevelTransport,MATCH($H2159,LevelList,0))+INDEX(LevelBasic,MATCH($H2159,LevelList,0))*INDEX(LevelBonus,MATCH($H2159,LevelList,0))+(INDEX(LevelBasic,MATCH($H2159,LevelList,0))+INDEX(LevelHousing,MATCH($H2159,LevelList,0)))*GosiSaudi,0))</f>
        <v>0</v>
      </c>
      <c r="W2159" s="35" t="n">
        <f aca="false">IFERROR(INDEX(LevelOneOff,MATCH($H2159,LevelList,0)),0)</f>
        <v>0</v>
      </c>
      <c r="X2159" s="35" t="str">
        <f aca="false">IF($G2159="","",$V2159*N($L2159))</f>
        <v/>
      </c>
      <c r="Y2159" s="35" t="str">
        <f aca="false">IF($G2159="","",$V2159*(N($M2159)*1+N($N2159)*0.75+N($O2159)*0.5+N($P2159)*0.25)+$W2159*N($L2159))</f>
        <v/>
      </c>
      <c r="Z2159" s="35" t="str">
        <f aca="false">IF($G2159="","",$U2159*1000000+ROW())</f>
        <v/>
      </c>
      <c r="AA2159" s="36" t="str">
        <f aca="false">IF($G2159="","",MID(IF($C2159="",", no division","")&amp;IF($E2159="",", no unit","")&amp;IF($H2159="",", no career level","")&amp;IF(N($L2159)&lt;=0,", no quarter split","")&amp;IF($R2159="",", no driver","")&amp;IF(AND($H2159&lt;&gt;"",COUNTIF(CareerLevels,$H2159)=0),", a career level that is not on the ladder","")&amp;IF(AND($R2159&lt;&gt;"",COUNTIF(DriverList,$R2159)=0),", a driver that is not on the list","")&amp;IF(ABS(N($L2159)-(N($M2159)+N($N2159)+N($O2159)+N($P2159)))&gt;0.001,", a total that does not match its quarters",""),3,300))</f>
        <v/>
      </c>
    </row>
    <row r="2160" customFormat="false" ht="15" hidden="false" customHeight="false" outlineLevel="0" collapsed="false">
      <c r="A2160" s="33" t="str">
        <f aca="false">IF($G2160="","","Technology Group")</f>
        <v/>
      </c>
      <c r="B2160" s="19"/>
      <c r="C2160" s="19"/>
      <c r="D2160" s="19"/>
      <c r="E2160" s="19"/>
      <c r="F2160" s="19"/>
      <c r="G2160" s="19"/>
      <c r="H2160" s="19"/>
      <c r="I2160" s="19"/>
      <c r="J2160" s="19"/>
      <c r="K2160" s="19"/>
      <c r="L2160" s="19"/>
      <c r="M2160" s="19"/>
      <c r="N2160" s="19"/>
      <c r="O2160" s="19"/>
      <c r="P2160" s="19"/>
      <c r="Q2160" s="19"/>
      <c r="R2160" s="19"/>
      <c r="S2160" s="19"/>
      <c r="T2160" s="34" t="str">
        <f aca="false">IF($R2160="","",IFERROR(INDEX(DriverCategory,MATCH($R2160,DriverList,0)),"BAU"))</f>
        <v/>
      </c>
      <c r="U2160" s="34" t="str">
        <f aca="false">IF($R2160="","",IFERROR(INDEX(DriverRank,MATCH($R2160,DriverList,0)),99))</f>
        <v/>
      </c>
      <c r="V2160" s="35" t="n">
        <f aca="false">IF($H2160="",0,IFERROR(INDEX(LevelBasic,MATCH($H2160,LevelList,0))+INDEX(LevelHousing,MATCH($H2160,LevelList,0))+INDEX(LevelTransport,MATCH($H2160,LevelList,0))+INDEX(LevelBasic,MATCH($H2160,LevelList,0))*INDEX(LevelBonus,MATCH($H2160,LevelList,0))+(INDEX(LevelBasic,MATCH($H2160,LevelList,0))+INDEX(LevelHousing,MATCH($H2160,LevelList,0)))*GosiSaudi,0))</f>
        <v>0</v>
      </c>
      <c r="W2160" s="35" t="n">
        <f aca="false">IFERROR(INDEX(LevelOneOff,MATCH($H2160,LevelList,0)),0)</f>
        <v>0</v>
      </c>
      <c r="X2160" s="35" t="str">
        <f aca="false">IF($G2160="","",$V2160*N($L2160))</f>
        <v/>
      </c>
      <c r="Y2160" s="35" t="str">
        <f aca="false">IF($G2160="","",$V2160*(N($M2160)*1+N($N2160)*0.75+N($O2160)*0.5+N($P2160)*0.25)+$W2160*N($L2160))</f>
        <v/>
      </c>
      <c r="Z2160" s="35" t="str">
        <f aca="false">IF($G2160="","",$U2160*1000000+ROW())</f>
        <v/>
      </c>
      <c r="AA2160" s="36" t="str">
        <f aca="false">IF($G2160="","",MID(IF($C2160="",", no division","")&amp;IF($E2160="",", no unit","")&amp;IF($H2160="",", no career level","")&amp;IF(N($L2160)&lt;=0,", no quarter split","")&amp;IF($R2160="",", no driver","")&amp;IF(AND($H2160&lt;&gt;"",COUNTIF(CareerLevels,$H2160)=0),", a career level that is not on the ladder","")&amp;IF(AND($R2160&lt;&gt;"",COUNTIF(DriverList,$R2160)=0),", a driver that is not on the list","")&amp;IF(ABS(N($L2160)-(N($M2160)+N($N2160)+N($O2160)+N($P2160)))&gt;0.001,", a total that does not match its quarters",""),3,300))</f>
        <v/>
      </c>
    </row>
    <row r="2161" customFormat="false" ht="15" hidden="false" customHeight="false" outlineLevel="0" collapsed="false">
      <c r="A2161" s="33" t="str">
        <f aca="false">IF($G2161="","","Technology Group")</f>
        <v/>
      </c>
      <c r="B2161" s="19"/>
      <c r="C2161" s="19"/>
      <c r="D2161" s="19"/>
      <c r="E2161" s="19"/>
      <c r="F2161" s="19"/>
      <c r="G2161" s="19"/>
      <c r="H2161" s="19"/>
      <c r="I2161" s="19"/>
      <c r="J2161" s="19"/>
      <c r="K2161" s="19"/>
      <c r="L2161" s="19"/>
      <c r="M2161" s="19"/>
      <c r="N2161" s="19"/>
      <c r="O2161" s="19"/>
      <c r="P2161" s="19"/>
      <c r="Q2161" s="19"/>
      <c r="R2161" s="19"/>
      <c r="S2161" s="19"/>
      <c r="T2161" s="34" t="str">
        <f aca="false">IF($R2161="","",IFERROR(INDEX(DriverCategory,MATCH($R2161,DriverList,0)),"BAU"))</f>
        <v/>
      </c>
      <c r="U2161" s="34" t="str">
        <f aca="false">IF($R2161="","",IFERROR(INDEX(DriverRank,MATCH($R2161,DriverList,0)),99))</f>
        <v/>
      </c>
      <c r="V2161" s="35" t="n">
        <f aca="false">IF($H2161="",0,IFERROR(INDEX(LevelBasic,MATCH($H2161,LevelList,0))+INDEX(LevelHousing,MATCH($H2161,LevelList,0))+INDEX(LevelTransport,MATCH($H2161,LevelList,0))+INDEX(LevelBasic,MATCH($H2161,LevelList,0))*INDEX(LevelBonus,MATCH($H2161,LevelList,0))+(INDEX(LevelBasic,MATCH($H2161,LevelList,0))+INDEX(LevelHousing,MATCH($H2161,LevelList,0)))*GosiSaudi,0))</f>
        <v>0</v>
      </c>
      <c r="W2161" s="35" t="n">
        <f aca="false">IFERROR(INDEX(LevelOneOff,MATCH($H2161,LevelList,0)),0)</f>
        <v>0</v>
      </c>
      <c r="X2161" s="35" t="str">
        <f aca="false">IF($G2161="","",$V2161*N($L2161))</f>
        <v/>
      </c>
      <c r="Y2161" s="35" t="str">
        <f aca="false">IF($G2161="","",$V2161*(N($M2161)*1+N($N2161)*0.75+N($O2161)*0.5+N($P2161)*0.25)+$W2161*N($L2161))</f>
        <v/>
      </c>
      <c r="Z2161" s="35" t="str">
        <f aca="false">IF($G2161="","",$U2161*1000000+ROW())</f>
        <v/>
      </c>
      <c r="AA2161" s="36" t="str">
        <f aca="false">IF($G2161="","",MID(IF($C2161="",", no division","")&amp;IF($E2161="",", no unit","")&amp;IF($H2161="",", no career level","")&amp;IF(N($L2161)&lt;=0,", no quarter split","")&amp;IF($R2161="",", no driver","")&amp;IF(AND($H2161&lt;&gt;"",COUNTIF(CareerLevels,$H2161)=0),", a career level that is not on the ladder","")&amp;IF(AND($R2161&lt;&gt;"",COUNTIF(DriverList,$R2161)=0),", a driver that is not on the list","")&amp;IF(ABS(N($L2161)-(N($M2161)+N($N2161)+N($O2161)+N($P2161)))&gt;0.001,", a total that does not match its quarters",""),3,300))</f>
        <v/>
      </c>
    </row>
    <row r="2162" customFormat="false" ht="15" hidden="false" customHeight="false" outlineLevel="0" collapsed="false">
      <c r="A2162" s="33" t="str">
        <f aca="false">IF($G2162="","","Technology Group")</f>
        <v/>
      </c>
      <c r="B2162" s="19"/>
      <c r="C2162" s="19"/>
      <c r="D2162" s="19"/>
      <c r="E2162" s="19"/>
      <c r="F2162" s="19"/>
      <c r="G2162" s="19"/>
      <c r="H2162" s="19"/>
      <c r="I2162" s="19"/>
      <c r="J2162" s="19"/>
      <c r="K2162" s="19"/>
      <c r="L2162" s="19"/>
      <c r="M2162" s="19"/>
      <c r="N2162" s="19"/>
      <c r="O2162" s="19"/>
      <c r="P2162" s="19"/>
      <c r="Q2162" s="19"/>
      <c r="R2162" s="19"/>
      <c r="S2162" s="19"/>
      <c r="T2162" s="34" t="str">
        <f aca="false">IF($R2162="","",IFERROR(INDEX(DriverCategory,MATCH($R2162,DriverList,0)),"BAU"))</f>
        <v/>
      </c>
      <c r="U2162" s="34" t="str">
        <f aca="false">IF($R2162="","",IFERROR(INDEX(DriverRank,MATCH($R2162,DriverList,0)),99))</f>
        <v/>
      </c>
      <c r="V2162" s="35" t="n">
        <f aca="false">IF($H2162="",0,IFERROR(INDEX(LevelBasic,MATCH($H2162,LevelList,0))+INDEX(LevelHousing,MATCH($H2162,LevelList,0))+INDEX(LevelTransport,MATCH($H2162,LevelList,0))+INDEX(LevelBasic,MATCH($H2162,LevelList,0))*INDEX(LevelBonus,MATCH($H2162,LevelList,0))+(INDEX(LevelBasic,MATCH($H2162,LevelList,0))+INDEX(LevelHousing,MATCH($H2162,LevelList,0)))*GosiSaudi,0))</f>
        <v>0</v>
      </c>
      <c r="W2162" s="35" t="n">
        <f aca="false">IFERROR(INDEX(LevelOneOff,MATCH($H2162,LevelList,0)),0)</f>
        <v>0</v>
      </c>
      <c r="X2162" s="35" t="str">
        <f aca="false">IF($G2162="","",$V2162*N($L2162))</f>
        <v/>
      </c>
      <c r="Y2162" s="35" t="str">
        <f aca="false">IF($G2162="","",$V2162*(N($M2162)*1+N($N2162)*0.75+N($O2162)*0.5+N($P2162)*0.25)+$W2162*N($L2162))</f>
        <v/>
      </c>
      <c r="Z2162" s="35" t="str">
        <f aca="false">IF($G2162="","",$U2162*1000000+ROW())</f>
        <v/>
      </c>
      <c r="AA2162" s="36" t="str">
        <f aca="false">IF($G2162="","",MID(IF($C2162="",", no division","")&amp;IF($E2162="",", no unit","")&amp;IF($H2162="",", no career level","")&amp;IF(N($L2162)&lt;=0,", no quarter split","")&amp;IF($R2162="",", no driver","")&amp;IF(AND($H2162&lt;&gt;"",COUNTIF(CareerLevels,$H2162)=0),", a career level that is not on the ladder","")&amp;IF(AND($R2162&lt;&gt;"",COUNTIF(DriverList,$R2162)=0),", a driver that is not on the list","")&amp;IF(ABS(N($L2162)-(N($M2162)+N($N2162)+N($O2162)+N($P2162)))&gt;0.001,", a total that does not match its quarters",""),3,300))</f>
        <v/>
      </c>
    </row>
    <row r="2163" customFormat="false" ht="15" hidden="false" customHeight="false" outlineLevel="0" collapsed="false">
      <c r="A2163" s="33" t="str">
        <f aca="false">IF($G2163="","","Technology Group")</f>
        <v/>
      </c>
      <c r="B2163" s="19"/>
      <c r="C2163" s="19"/>
      <c r="D2163" s="19"/>
      <c r="E2163" s="19"/>
      <c r="F2163" s="19"/>
      <c r="G2163" s="19"/>
      <c r="H2163" s="19"/>
      <c r="I2163" s="19"/>
      <c r="J2163" s="19"/>
      <c r="K2163" s="19"/>
      <c r="L2163" s="19"/>
      <c r="M2163" s="19"/>
      <c r="N2163" s="19"/>
      <c r="O2163" s="19"/>
      <c r="P2163" s="19"/>
      <c r="Q2163" s="19"/>
      <c r="R2163" s="19"/>
      <c r="S2163" s="19"/>
      <c r="T2163" s="34" t="str">
        <f aca="false">IF($R2163="","",IFERROR(INDEX(DriverCategory,MATCH($R2163,DriverList,0)),"BAU"))</f>
        <v/>
      </c>
      <c r="U2163" s="34" t="str">
        <f aca="false">IF($R2163="","",IFERROR(INDEX(DriverRank,MATCH($R2163,DriverList,0)),99))</f>
        <v/>
      </c>
      <c r="V2163" s="35" t="n">
        <f aca="false">IF($H2163="",0,IFERROR(INDEX(LevelBasic,MATCH($H2163,LevelList,0))+INDEX(LevelHousing,MATCH($H2163,LevelList,0))+INDEX(LevelTransport,MATCH($H2163,LevelList,0))+INDEX(LevelBasic,MATCH($H2163,LevelList,0))*INDEX(LevelBonus,MATCH($H2163,LevelList,0))+(INDEX(LevelBasic,MATCH($H2163,LevelList,0))+INDEX(LevelHousing,MATCH($H2163,LevelList,0)))*GosiSaudi,0))</f>
        <v>0</v>
      </c>
      <c r="W2163" s="35" t="n">
        <f aca="false">IFERROR(INDEX(LevelOneOff,MATCH($H2163,LevelList,0)),0)</f>
        <v>0</v>
      </c>
      <c r="X2163" s="35" t="str">
        <f aca="false">IF($G2163="","",$V2163*N($L2163))</f>
        <v/>
      </c>
      <c r="Y2163" s="35" t="str">
        <f aca="false">IF($G2163="","",$V2163*(N($M2163)*1+N($N2163)*0.75+N($O2163)*0.5+N($P2163)*0.25)+$W2163*N($L2163))</f>
        <v/>
      </c>
      <c r="Z2163" s="35" t="str">
        <f aca="false">IF($G2163="","",$U2163*1000000+ROW())</f>
        <v/>
      </c>
      <c r="AA2163" s="36" t="str">
        <f aca="false">IF($G2163="","",MID(IF($C2163="",", no division","")&amp;IF($E2163="",", no unit","")&amp;IF($H2163="",", no career level","")&amp;IF(N($L2163)&lt;=0,", no quarter split","")&amp;IF($R2163="",", no driver","")&amp;IF(AND($H2163&lt;&gt;"",COUNTIF(CareerLevels,$H2163)=0),", a career level that is not on the ladder","")&amp;IF(AND($R2163&lt;&gt;"",COUNTIF(DriverList,$R2163)=0),", a driver that is not on the list","")&amp;IF(ABS(N($L2163)-(N($M2163)+N($N2163)+N($O2163)+N($P2163)))&gt;0.001,", a total that does not match its quarters",""),3,300))</f>
        <v/>
      </c>
    </row>
    <row r="2164" customFormat="false" ht="15" hidden="false" customHeight="false" outlineLevel="0" collapsed="false">
      <c r="A2164" s="33" t="str">
        <f aca="false">IF($G2164="","","Technology Group")</f>
        <v/>
      </c>
      <c r="B2164" s="19"/>
      <c r="C2164" s="19"/>
      <c r="D2164" s="19"/>
      <c r="E2164" s="19"/>
      <c r="F2164" s="19"/>
      <c r="G2164" s="19"/>
      <c r="H2164" s="19"/>
      <c r="I2164" s="19"/>
      <c r="J2164" s="19"/>
      <c r="K2164" s="19"/>
      <c r="L2164" s="19"/>
      <c r="M2164" s="19"/>
      <c r="N2164" s="19"/>
      <c r="O2164" s="19"/>
      <c r="P2164" s="19"/>
      <c r="Q2164" s="19"/>
      <c r="R2164" s="19"/>
      <c r="S2164" s="19"/>
      <c r="T2164" s="34" t="str">
        <f aca="false">IF($R2164="","",IFERROR(INDEX(DriverCategory,MATCH($R2164,DriverList,0)),"BAU"))</f>
        <v/>
      </c>
      <c r="U2164" s="34" t="str">
        <f aca="false">IF($R2164="","",IFERROR(INDEX(DriverRank,MATCH($R2164,DriverList,0)),99))</f>
        <v/>
      </c>
      <c r="V2164" s="35" t="n">
        <f aca="false">IF($H2164="",0,IFERROR(INDEX(LevelBasic,MATCH($H2164,LevelList,0))+INDEX(LevelHousing,MATCH($H2164,LevelList,0))+INDEX(LevelTransport,MATCH($H2164,LevelList,0))+INDEX(LevelBasic,MATCH($H2164,LevelList,0))*INDEX(LevelBonus,MATCH($H2164,LevelList,0))+(INDEX(LevelBasic,MATCH($H2164,LevelList,0))+INDEX(LevelHousing,MATCH($H2164,LevelList,0)))*GosiSaudi,0))</f>
        <v>0</v>
      </c>
      <c r="W2164" s="35" t="n">
        <f aca="false">IFERROR(INDEX(LevelOneOff,MATCH($H2164,LevelList,0)),0)</f>
        <v>0</v>
      </c>
      <c r="X2164" s="35" t="str">
        <f aca="false">IF($G2164="","",$V2164*N($L2164))</f>
        <v/>
      </c>
      <c r="Y2164" s="35" t="str">
        <f aca="false">IF($G2164="","",$V2164*(N($M2164)*1+N($N2164)*0.75+N($O2164)*0.5+N($P2164)*0.25)+$W2164*N($L2164))</f>
        <v/>
      </c>
      <c r="Z2164" s="35" t="str">
        <f aca="false">IF($G2164="","",$U2164*1000000+ROW())</f>
        <v/>
      </c>
      <c r="AA2164" s="36" t="str">
        <f aca="false">IF($G2164="","",MID(IF($C2164="",", no division","")&amp;IF($E2164="",", no unit","")&amp;IF($H2164="",", no career level","")&amp;IF(N($L2164)&lt;=0,", no quarter split","")&amp;IF($R2164="",", no driver","")&amp;IF(AND($H2164&lt;&gt;"",COUNTIF(CareerLevels,$H2164)=0),", a career level that is not on the ladder","")&amp;IF(AND($R2164&lt;&gt;"",COUNTIF(DriverList,$R2164)=0),", a driver that is not on the list","")&amp;IF(ABS(N($L2164)-(N($M2164)+N($N2164)+N($O2164)+N($P2164)))&gt;0.001,", a total that does not match its quarters",""),3,300))</f>
        <v/>
      </c>
    </row>
    <row r="2165" customFormat="false" ht="15" hidden="false" customHeight="false" outlineLevel="0" collapsed="false">
      <c r="A2165" s="33" t="str">
        <f aca="false">IF($G2165="","","Technology Group")</f>
        <v/>
      </c>
      <c r="B2165" s="19"/>
      <c r="C2165" s="19"/>
      <c r="D2165" s="19"/>
      <c r="E2165" s="19"/>
      <c r="F2165" s="19"/>
      <c r="G2165" s="19"/>
      <c r="H2165" s="19"/>
      <c r="I2165" s="19"/>
      <c r="J2165" s="19"/>
      <c r="K2165" s="19"/>
      <c r="L2165" s="19"/>
      <c r="M2165" s="19"/>
      <c r="N2165" s="19"/>
      <c r="O2165" s="19"/>
      <c r="P2165" s="19"/>
      <c r="Q2165" s="19"/>
      <c r="R2165" s="19"/>
      <c r="S2165" s="19"/>
      <c r="T2165" s="34" t="str">
        <f aca="false">IF($R2165="","",IFERROR(INDEX(DriverCategory,MATCH($R2165,DriverList,0)),"BAU"))</f>
        <v/>
      </c>
      <c r="U2165" s="34" t="str">
        <f aca="false">IF($R2165="","",IFERROR(INDEX(DriverRank,MATCH($R2165,DriverList,0)),99))</f>
        <v/>
      </c>
      <c r="V2165" s="35" t="n">
        <f aca="false">IF($H2165="",0,IFERROR(INDEX(LevelBasic,MATCH($H2165,LevelList,0))+INDEX(LevelHousing,MATCH($H2165,LevelList,0))+INDEX(LevelTransport,MATCH($H2165,LevelList,0))+INDEX(LevelBasic,MATCH($H2165,LevelList,0))*INDEX(LevelBonus,MATCH($H2165,LevelList,0))+(INDEX(LevelBasic,MATCH($H2165,LevelList,0))+INDEX(LevelHousing,MATCH($H2165,LevelList,0)))*GosiSaudi,0))</f>
        <v>0</v>
      </c>
      <c r="W2165" s="35" t="n">
        <f aca="false">IFERROR(INDEX(LevelOneOff,MATCH($H2165,LevelList,0)),0)</f>
        <v>0</v>
      </c>
      <c r="X2165" s="35" t="str">
        <f aca="false">IF($G2165="","",$V2165*N($L2165))</f>
        <v/>
      </c>
      <c r="Y2165" s="35" t="str">
        <f aca="false">IF($G2165="","",$V2165*(N($M2165)*1+N($N2165)*0.75+N($O2165)*0.5+N($P2165)*0.25)+$W2165*N($L2165))</f>
        <v/>
      </c>
      <c r="Z2165" s="35" t="str">
        <f aca="false">IF($G2165="","",$U2165*1000000+ROW())</f>
        <v/>
      </c>
      <c r="AA2165" s="36" t="str">
        <f aca="false">IF($G2165="","",MID(IF($C2165="",", no division","")&amp;IF($E2165="",", no unit","")&amp;IF($H2165="",", no career level","")&amp;IF(N($L2165)&lt;=0,", no quarter split","")&amp;IF($R2165="",", no driver","")&amp;IF(AND($H2165&lt;&gt;"",COUNTIF(CareerLevels,$H2165)=0),", a career level that is not on the ladder","")&amp;IF(AND($R2165&lt;&gt;"",COUNTIF(DriverList,$R2165)=0),", a driver that is not on the list","")&amp;IF(ABS(N($L2165)-(N($M2165)+N($N2165)+N($O2165)+N($P2165)))&gt;0.001,", a total that does not match its quarters",""),3,300))</f>
        <v/>
      </c>
    </row>
    <row r="2166" customFormat="false" ht="15" hidden="false" customHeight="false" outlineLevel="0" collapsed="false">
      <c r="A2166" s="33" t="str">
        <f aca="false">IF($G2166="","","Technology Group")</f>
        <v/>
      </c>
      <c r="B2166" s="19"/>
      <c r="C2166" s="19"/>
      <c r="D2166" s="19"/>
      <c r="E2166" s="19"/>
      <c r="F2166" s="19"/>
      <c r="G2166" s="19"/>
      <c r="H2166" s="19"/>
      <c r="I2166" s="19"/>
      <c r="J2166" s="19"/>
      <c r="K2166" s="19"/>
      <c r="L2166" s="19"/>
      <c r="M2166" s="19"/>
      <c r="N2166" s="19"/>
      <c r="O2166" s="19"/>
      <c r="P2166" s="19"/>
      <c r="Q2166" s="19"/>
      <c r="R2166" s="19"/>
      <c r="S2166" s="19"/>
      <c r="T2166" s="34" t="str">
        <f aca="false">IF($R2166="","",IFERROR(INDEX(DriverCategory,MATCH($R2166,DriverList,0)),"BAU"))</f>
        <v/>
      </c>
      <c r="U2166" s="34" t="str">
        <f aca="false">IF($R2166="","",IFERROR(INDEX(DriverRank,MATCH($R2166,DriverList,0)),99))</f>
        <v/>
      </c>
      <c r="V2166" s="35" t="n">
        <f aca="false">IF($H2166="",0,IFERROR(INDEX(LevelBasic,MATCH($H2166,LevelList,0))+INDEX(LevelHousing,MATCH($H2166,LevelList,0))+INDEX(LevelTransport,MATCH($H2166,LevelList,0))+INDEX(LevelBasic,MATCH($H2166,LevelList,0))*INDEX(LevelBonus,MATCH($H2166,LevelList,0))+(INDEX(LevelBasic,MATCH($H2166,LevelList,0))+INDEX(LevelHousing,MATCH($H2166,LevelList,0)))*GosiSaudi,0))</f>
        <v>0</v>
      </c>
      <c r="W2166" s="35" t="n">
        <f aca="false">IFERROR(INDEX(LevelOneOff,MATCH($H2166,LevelList,0)),0)</f>
        <v>0</v>
      </c>
      <c r="X2166" s="35" t="str">
        <f aca="false">IF($G2166="","",$V2166*N($L2166))</f>
        <v/>
      </c>
      <c r="Y2166" s="35" t="str">
        <f aca="false">IF($G2166="","",$V2166*(N($M2166)*1+N($N2166)*0.75+N($O2166)*0.5+N($P2166)*0.25)+$W2166*N($L2166))</f>
        <v/>
      </c>
      <c r="Z2166" s="35" t="str">
        <f aca="false">IF($G2166="","",$U2166*1000000+ROW())</f>
        <v/>
      </c>
      <c r="AA2166" s="36" t="str">
        <f aca="false">IF($G2166="","",MID(IF($C2166="",", no division","")&amp;IF($E2166="",", no unit","")&amp;IF($H2166="",", no career level","")&amp;IF(N($L2166)&lt;=0,", no quarter split","")&amp;IF($R2166="",", no driver","")&amp;IF(AND($H2166&lt;&gt;"",COUNTIF(CareerLevels,$H2166)=0),", a career level that is not on the ladder","")&amp;IF(AND($R2166&lt;&gt;"",COUNTIF(DriverList,$R2166)=0),", a driver that is not on the list","")&amp;IF(ABS(N($L2166)-(N($M2166)+N($N2166)+N($O2166)+N($P2166)))&gt;0.001,", a total that does not match its quarters",""),3,300))</f>
        <v/>
      </c>
    </row>
    <row r="2167" customFormat="false" ht="15" hidden="false" customHeight="false" outlineLevel="0" collapsed="false">
      <c r="A2167" s="33" t="str">
        <f aca="false">IF($G2167="","","Technology Group")</f>
        <v/>
      </c>
      <c r="B2167" s="19"/>
      <c r="C2167" s="19"/>
      <c r="D2167" s="19"/>
      <c r="E2167" s="19"/>
      <c r="F2167" s="19"/>
      <c r="G2167" s="19"/>
      <c r="H2167" s="19"/>
      <c r="I2167" s="19"/>
      <c r="J2167" s="19"/>
      <c r="K2167" s="19"/>
      <c r="L2167" s="19"/>
      <c r="M2167" s="19"/>
      <c r="N2167" s="19"/>
      <c r="O2167" s="19"/>
      <c r="P2167" s="19"/>
      <c r="Q2167" s="19"/>
      <c r="R2167" s="19"/>
      <c r="S2167" s="19"/>
      <c r="T2167" s="34" t="str">
        <f aca="false">IF($R2167="","",IFERROR(INDEX(DriverCategory,MATCH($R2167,DriverList,0)),"BAU"))</f>
        <v/>
      </c>
      <c r="U2167" s="34" t="str">
        <f aca="false">IF($R2167="","",IFERROR(INDEX(DriverRank,MATCH($R2167,DriverList,0)),99))</f>
        <v/>
      </c>
      <c r="V2167" s="35" t="n">
        <f aca="false">IF($H2167="",0,IFERROR(INDEX(LevelBasic,MATCH($H2167,LevelList,0))+INDEX(LevelHousing,MATCH($H2167,LevelList,0))+INDEX(LevelTransport,MATCH($H2167,LevelList,0))+INDEX(LevelBasic,MATCH($H2167,LevelList,0))*INDEX(LevelBonus,MATCH($H2167,LevelList,0))+(INDEX(LevelBasic,MATCH($H2167,LevelList,0))+INDEX(LevelHousing,MATCH($H2167,LevelList,0)))*GosiSaudi,0))</f>
        <v>0</v>
      </c>
      <c r="W2167" s="35" t="n">
        <f aca="false">IFERROR(INDEX(LevelOneOff,MATCH($H2167,LevelList,0)),0)</f>
        <v>0</v>
      </c>
      <c r="X2167" s="35" t="str">
        <f aca="false">IF($G2167="","",$V2167*N($L2167))</f>
        <v/>
      </c>
      <c r="Y2167" s="35" t="str">
        <f aca="false">IF($G2167="","",$V2167*(N($M2167)*1+N($N2167)*0.75+N($O2167)*0.5+N($P2167)*0.25)+$W2167*N($L2167))</f>
        <v/>
      </c>
      <c r="Z2167" s="35" t="str">
        <f aca="false">IF($G2167="","",$U2167*1000000+ROW())</f>
        <v/>
      </c>
      <c r="AA2167" s="36" t="str">
        <f aca="false">IF($G2167="","",MID(IF($C2167="",", no division","")&amp;IF($E2167="",", no unit","")&amp;IF($H2167="",", no career level","")&amp;IF(N($L2167)&lt;=0,", no quarter split","")&amp;IF($R2167="",", no driver","")&amp;IF(AND($H2167&lt;&gt;"",COUNTIF(CareerLevels,$H2167)=0),", a career level that is not on the ladder","")&amp;IF(AND($R2167&lt;&gt;"",COUNTIF(DriverList,$R2167)=0),", a driver that is not on the list","")&amp;IF(ABS(N($L2167)-(N($M2167)+N($N2167)+N($O2167)+N($P2167)))&gt;0.001,", a total that does not match its quarters",""),3,300))</f>
        <v/>
      </c>
    </row>
    <row r="2168" customFormat="false" ht="15" hidden="false" customHeight="false" outlineLevel="0" collapsed="false">
      <c r="A2168" s="33" t="str">
        <f aca="false">IF($G2168="","","Technology Group")</f>
        <v/>
      </c>
      <c r="B2168" s="19"/>
      <c r="C2168" s="19"/>
      <c r="D2168" s="19"/>
      <c r="E2168" s="19"/>
      <c r="F2168" s="19"/>
      <c r="G2168" s="19"/>
      <c r="H2168" s="19"/>
      <c r="I2168" s="19"/>
      <c r="J2168" s="19"/>
      <c r="K2168" s="19"/>
      <c r="L2168" s="19"/>
      <c r="M2168" s="19"/>
      <c r="N2168" s="19"/>
      <c r="O2168" s="19"/>
      <c r="P2168" s="19"/>
      <c r="Q2168" s="19"/>
      <c r="R2168" s="19"/>
      <c r="S2168" s="19"/>
      <c r="T2168" s="34" t="str">
        <f aca="false">IF($R2168="","",IFERROR(INDEX(DriverCategory,MATCH($R2168,DriverList,0)),"BAU"))</f>
        <v/>
      </c>
      <c r="U2168" s="34" t="str">
        <f aca="false">IF($R2168="","",IFERROR(INDEX(DriverRank,MATCH($R2168,DriverList,0)),99))</f>
        <v/>
      </c>
      <c r="V2168" s="35" t="n">
        <f aca="false">IF($H2168="",0,IFERROR(INDEX(LevelBasic,MATCH($H2168,LevelList,0))+INDEX(LevelHousing,MATCH($H2168,LevelList,0))+INDEX(LevelTransport,MATCH($H2168,LevelList,0))+INDEX(LevelBasic,MATCH($H2168,LevelList,0))*INDEX(LevelBonus,MATCH($H2168,LevelList,0))+(INDEX(LevelBasic,MATCH($H2168,LevelList,0))+INDEX(LevelHousing,MATCH($H2168,LevelList,0)))*GosiSaudi,0))</f>
        <v>0</v>
      </c>
      <c r="W2168" s="35" t="n">
        <f aca="false">IFERROR(INDEX(LevelOneOff,MATCH($H2168,LevelList,0)),0)</f>
        <v>0</v>
      </c>
      <c r="X2168" s="35" t="str">
        <f aca="false">IF($G2168="","",$V2168*N($L2168))</f>
        <v/>
      </c>
      <c r="Y2168" s="35" t="str">
        <f aca="false">IF($G2168="","",$V2168*(N($M2168)*1+N($N2168)*0.75+N($O2168)*0.5+N($P2168)*0.25)+$W2168*N($L2168))</f>
        <v/>
      </c>
      <c r="Z2168" s="35" t="str">
        <f aca="false">IF($G2168="","",$U2168*1000000+ROW())</f>
        <v/>
      </c>
      <c r="AA2168" s="36" t="str">
        <f aca="false">IF($G2168="","",MID(IF($C2168="",", no division","")&amp;IF($E2168="",", no unit","")&amp;IF($H2168="",", no career level","")&amp;IF(N($L2168)&lt;=0,", no quarter split","")&amp;IF($R2168="",", no driver","")&amp;IF(AND($H2168&lt;&gt;"",COUNTIF(CareerLevels,$H2168)=0),", a career level that is not on the ladder","")&amp;IF(AND($R2168&lt;&gt;"",COUNTIF(DriverList,$R2168)=0),", a driver that is not on the list","")&amp;IF(ABS(N($L2168)-(N($M2168)+N($N2168)+N($O2168)+N($P2168)))&gt;0.001,", a total that does not match its quarters",""),3,300))</f>
        <v/>
      </c>
    </row>
    <row r="2169" customFormat="false" ht="15" hidden="false" customHeight="false" outlineLevel="0" collapsed="false">
      <c r="A2169" s="33" t="str">
        <f aca="false">IF($G2169="","","Technology Group")</f>
        <v/>
      </c>
      <c r="B2169" s="19"/>
      <c r="C2169" s="19"/>
      <c r="D2169" s="19"/>
      <c r="E2169" s="19"/>
      <c r="F2169" s="19"/>
      <c r="G2169" s="19"/>
      <c r="H2169" s="19"/>
      <c r="I2169" s="19"/>
      <c r="J2169" s="19"/>
      <c r="K2169" s="19"/>
      <c r="L2169" s="19"/>
      <c r="M2169" s="19"/>
      <c r="N2169" s="19"/>
      <c r="O2169" s="19"/>
      <c r="P2169" s="19"/>
      <c r="Q2169" s="19"/>
      <c r="R2169" s="19"/>
      <c r="S2169" s="19"/>
      <c r="T2169" s="34" t="str">
        <f aca="false">IF($R2169="","",IFERROR(INDEX(DriverCategory,MATCH($R2169,DriverList,0)),"BAU"))</f>
        <v/>
      </c>
      <c r="U2169" s="34" t="str">
        <f aca="false">IF($R2169="","",IFERROR(INDEX(DriverRank,MATCH($R2169,DriverList,0)),99))</f>
        <v/>
      </c>
      <c r="V2169" s="35" t="n">
        <f aca="false">IF($H2169="",0,IFERROR(INDEX(LevelBasic,MATCH($H2169,LevelList,0))+INDEX(LevelHousing,MATCH($H2169,LevelList,0))+INDEX(LevelTransport,MATCH($H2169,LevelList,0))+INDEX(LevelBasic,MATCH($H2169,LevelList,0))*INDEX(LevelBonus,MATCH($H2169,LevelList,0))+(INDEX(LevelBasic,MATCH($H2169,LevelList,0))+INDEX(LevelHousing,MATCH($H2169,LevelList,0)))*GosiSaudi,0))</f>
        <v>0</v>
      </c>
      <c r="W2169" s="35" t="n">
        <f aca="false">IFERROR(INDEX(LevelOneOff,MATCH($H2169,LevelList,0)),0)</f>
        <v>0</v>
      </c>
      <c r="X2169" s="35" t="str">
        <f aca="false">IF($G2169="","",$V2169*N($L2169))</f>
        <v/>
      </c>
      <c r="Y2169" s="35" t="str">
        <f aca="false">IF($G2169="","",$V2169*(N($M2169)*1+N($N2169)*0.75+N($O2169)*0.5+N($P2169)*0.25)+$W2169*N($L2169))</f>
        <v/>
      </c>
      <c r="Z2169" s="35" t="str">
        <f aca="false">IF($G2169="","",$U2169*1000000+ROW())</f>
        <v/>
      </c>
      <c r="AA2169" s="36" t="str">
        <f aca="false">IF($G2169="","",MID(IF($C2169="",", no division","")&amp;IF($E2169="",", no unit","")&amp;IF($H2169="",", no career level","")&amp;IF(N($L2169)&lt;=0,", no quarter split","")&amp;IF($R2169="",", no driver","")&amp;IF(AND($H2169&lt;&gt;"",COUNTIF(CareerLevels,$H2169)=0),", a career level that is not on the ladder","")&amp;IF(AND($R2169&lt;&gt;"",COUNTIF(DriverList,$R2169)=0),", a driver that is not on the list","")&amp;IF(ABS(N($L2169)-(N($M2169)+N($N2169)+N($O2169)+N($P2169)))&gt;0.001,", a total that does not match its quarters",""),3,300))</f>
        <v/>
      </c>
    </row>
    <row r="2170" customFormat="false" ht="15" hidden="false" customHeight="false" outlineLevel="0" collapsed="false">
      <c r="A2170" s="33" t="str">
        <f aca="false">IF($G2170="","","Technology Group")</f>
        <v/>
      </c>
      <c r="B2170" s="19"/>
      <c r="C2170" s="19"/>
      <c r="D2170" s="19"/>
      <c r="E2170" s="19"/>
      <c r="F2170" s="19"/>
      <c r="G2170" s="19"/>
      <c r="H2170" s="19"/>
      <c r="I2170" s="19"/>
      <c r="J2170" s="19"/>
      <c r="K2170" s="19"/>
      <c r="L2170" s="19"/>
      <c r="M2170" s="19"/>
      <c r="N2170" s="19"/>
      <c r="O2170" s="19"/>
      <c r="P2170" s="19"/>
      <c r="Q2170" s="19"/>
      <c r="R2170" s="19"/>
      <c r="S2170" s="19"/>
      <c r="T2170" s="34" t="str">
        <f aca="false">IF($R2170="","",IFERROR(INDEX(DriverCategory,MATCH($R2170,DriverList,0)),"BAU"))</f>
        <v/>
      </c>
      <c r="U2170" s="34" t="str">
        <f aca="false">IF($R2170="","",IFERROR(INDEX(DriverRank,MATCH($R2170,DriverList,0)),99))</f>
        <v/>
      </c>
      <c r="V2170" s="35" t="n">
        <f aca="false">IF($H2170="",0,IFERROR(INDEX(LevelBasic,MATCH($H2170,LevelList,0))+INDEX(LevelHousing,MATCH($H2170,LevelList,0))+INDEX(LevelTransport,MATCH($H2170,LevelList,0))+INDEX(LevelBasic,MATCH($H2170,LevelList,0))*INDEX(LevelBonus,MATCH($H2170,LevelList,0))+(INDEX(LevelBasic,MATCH($H2170,LevelList,0))+INDEX(LevelHousing,MATCH($H2170,LevelList,0)))*GosiSaudi,0))</f>
        <v>0</v>
      </c>
      <c r="W2170" s="35" t="n">
        <f aca="false">IFERROR(INDEX(LevelOneOff,MATCH($H2170,LevelList,0)),0)</f>
        <v>0</v>
      </c>
      <c r="X2170" s="35" t="str">
        <f aca="false">IF($G2170="","",$V2170*N($L2170))</f>
        <v/>
      </c>
      <c r="Y2170" s="35" t="str">
        <f aca="false">IF($G2170="","",$V2170*(N($M2170)*1+N($N2170)*0.75+N($O2170)*0.5+N($P2170)*0.25)+$W2170*N($L2170))</f>
        <v/>
      </c>
      <c r="Z2170" s="35" t="str">
        <f aca="false">IF($G2170="","",$U2170*1000000+ROW())</f>
        <v/>
      </c>
      <c r="AA2170" s="36" t="str">
        <f aca="false">IF($G2170="","",MID(IF($C2170="",", no division","")&amp;IF($E2170="",", no unit","")&amp;IF($H2170="",", no career level","")&amp;IF(N($L2170)&lt;=0,", no quarter split","")&amp;IF($R2170="",", no driver","")&amp;IF(AND($H2170&lt;&gt;"",COUNTIF(CareerLevels,$H2170)=0),", a career level that is not on the ladder","")&amp;IF(AND($R2170&lt;&gt;"",COUNTIF(DriverList,$R2170)=0),", a driver that is not on the list","")&amp;IF(ABS(N($L2170)-(N($M2170)+N($N2170)+N($O2170)+N($P2170)))&gt;0.001,", a total that does not match its quarters",""),3,300))</f>
        <v/>
      </c>
    </row>
    <row r="2171" customFormat="false" ht="15" hidden="false" customHeight="false" outlineLevel="0" collapsed="false">
      <c r="A2171" s="33" t="str">
        <f aca="false">IF($G2171="","","Technology Group")</f>
        <v/>
      </c>
      <c r="B2171" s="19"/>
      <c r="C2171" s="19"/>
      <c r="D2171" s="19"/>
      <c r="E2171" s="19"/>
      <c r="F2171" s="19"/>
      <c r="G2171" s="19"/>
      <c r="H2171" s="19"/>
      <c r="I2171" s="19"/>
      <c r="J2171" s="19"/>
      <c r="K2171" s="19"/>
      <c r="L2171" s="19"/>
      <c r="M2171" s="19"/>
      <c r="N2171" s="19"/>
      <c r="O2171" s="19"/>
      <c r="P2171" s="19"/>
      <c r="Q2171" s="19"/>
      <c r="R2171" s="19"/>
      <c r="S2171" s="19"/>
      <c r="T2171" s="34" t="str">
        <f aca="false">IF($R2171="","",IFERROR(INDEX(DriverCategory,MATCH($R2171,DriverList,0)),"BAU"))</f>
        <v/>
      </c>
      <c r="U2171" s="34" t="str">
        <f aca="false">IF($R2171="","",IFERROR(INDEX(DriverRank,MATCH($R2171,DriverList,0)),99))</f>
        <v/>
      </c>
      <c r="V2171" s="35" t="n">
        <f aca="false">IF($H2171="",0,IFERROR(INDEX(LevelBasic,MATCH($H2171,LevelList,0))+INDEX(LevelHousing,MATCH($H2171,LevelList,0))+INDEX(LevelTransport,MATCH($H2171,LevelList,0))+INDEX(LevelBasic,MATCH($H2171,LevelList,0))*INDEX(LevelBonus,MATCH($H2171,LevelList,0))+(INDEX(LevelBasic,MATCH($H2171,LevelList,0))+INDEX(LevelHousing,MATCH($H2171,LevelList,0)))*GosiSaudi,0))</f>
        <v>0</v>
      </c>
      <c r="W2171" s="35" t="n">
        <f aca="false">IFERROR(INDEX(LevelOneOff,MATCH($H2171,LevelList,0)),0)</f>
        <v>0</v>
      </c>
      <c r="X2171" s="35" t="str">
        <f aca="false">IF($G2171="","",$V2171*N($L2171))</f>
        <v/>
      </c>
      <c r="Y2171" s="35" t="str">
        <f aca="false">IF($G2171="","",$V2171*(N($M2171)*1+N($N2171)*0.75+N($O2171)*0.5+N($P2171)*0.25)+$W2171*N($L2171))</f>
        <v/>
      </c>
      <c r="Z2171" s="35" t="str">
        <f aca="false">IF($G2171="","",$U2171*1000000+ROW())</f>
        <v/>
      </c>
      <c r="AA2171" s="36" t="str">
        <f aca="false">IF($G2171="","",MID(IF($C2171="",", no division","")&amp;IF($E2171="",", no unit","")&amp;IF($H2171="",", no career level","")&amp;IF(N($L2171)&lt;=0,", no quarter split","")&amp;IF($R2171="",", no driver","")&amp;IF(AND($H2171&lt;&gt;"",COUNTIF(CareerLevels,$H2171)=0),", a career level that is not on the ladder","")&amp;IF(AND($R2171&lt;&gt;"",COUNTIF(DriverList,$R2171)=0),", a driver that is not on the list","")&amp;IF(ABS(N($L2171)-(N($M2171)+N($N2171)+N($O2171)+N($P2171)))&gt;0.001,", a total that does not match its quarters",""),3,300))</f>
        <v/>
      </c>
    </row>
    <row r="2172" customFormat="false" ht="15" hidden="false" customHeight="false" outlineLevel="0" collapsed="false">
      <c r="A2172" s="33" t="str">
        <f aca="false">IF($G2172="","","Technology Group")</f>
        <v/>
      </c>
      <c r="B2172" s="19"/>
      <c r="C2172" s="19"/>
      <c r="D2172" s="19"/>
      <c r="E2172" s="19"/>
      <c r="F2172" s="19"/>
      <c r="G2172" s="19"/>
      <c r="H2172" s="19"/>
      <c r="I2172" s="19"/>
      <c r="J2172" s="19"/>
      <c r="K2172" s="19"/>
      <c r="L2172" s="19"/>
      <c r="M2172" s="19"/>
      <c r="N2172" s="19"/>
      <c r="O2172" s="19"/>
      <c r="P2172" s="19"/>
      <c r="Q2172" s="19"/>
      <c r="R2172" s="19"/>
      <c r="S2172" s="19"/>
      <c r="T2172" s="34" t="str">
        <f aca="false">IF($R2172="","",IFERROR(INDEX(DriverCategory,MATCH($R2172,DriverList,0)),"BAU"))</f>
        <v/>
      </c>
      <c r="U2172" s="34" t="str">
        <f aca="false">IF($R2172="","",IFERROR(INDEX(DriverRank,MATCH($R2172,DriverList,0)),99))</f>
        <v/>
      </c>
      <c r="V2172" s="35" t="n">
        <f aca="false">IF($H2172="",0,IFERROR(INDEX(LevelBasic,MATCH($H2172,LevelList,0))+INDEX(LevelHousing,MATCH($H2172,LevelList,0))+INDEX(LevelTransport,MATCH($H2172,LevelList,0))+INDEX(LevelBasic,MATCH($H2172,LevelList,0))*INDEX(LevelBonus,MATCH($H2172,LevelList,0))+(INDEX(LevelBasic,MATCH($H2172,LevelList,0))+INDEX(LevelHousing,MATCH($H2172,LevelList,0)))*GosiSaudi,0))</f>
        <v>0</v>
      </c>
      <c r="W2172" s="35" t="n">
        <f aca="false">IFERROR(INDEX(LevelOneOff,MATCH($H2172,LevelList,0)),0)</f>
        <v>0</v>
      </c>
      <c r="X2172" s="35" t="str">
        <f aca="false">IF($G2172="","",$V2172*N($L2172))</f>
        <v/>
      </c>
      <c r="Y2172" s="35" t="str">
        <f aca="false">IF($G2172="","",$V2172*(N($M2172)*1+N($N2172)*0.75+N($O2172)*0.5+N($P2172)*0.25)+$W2172*N($L2172))</f>
        <v/>
      </c>
      <c r="Z2172" s="35" t="str">
        <f aca="false">IF($G2172="","",$U2172*1000000+ROW())</f>
        <v/>
      </c>
      <c r="AA2172" s="36" t="str">
        <f aca="false">IF($G2172="","",MID(IF($C2172="",", no division","")&amp;IF($E2172="",", no unit","")&amp;IF($H2172="",", no career level","")&amp;IF(N($L2172)&lt;=0,", no quarter split","")&amp;IF($R2172="",", no driver","")&amp;IF(AND($H2172&lt;&gt;"",COUNTIF(CareerLevels,$H2172)=0),", a career level that is not on the ladder","")&amp;IF(AND($R2172&lt;&gt;"",COUNTIF(DriverList,$R2172)=0),", a driver that is not on the list","")&amp;IF(ABS(N($L2172)-(N($M2172)+N($N2172)+N($O2172)+N($P2172)))&gt;0.001,", a total that does not match its quarters",""),3,300))</f>
        <v/>
      </c>
    </row>
    <row r="2173" customFormat="false" ht="15" hidden="false" customHeight="false" outlineLevel="0" collapsed="false">
      <c r="A2173" s="33" t="str">
        <f aca="false">IF($G2173="","","Technology Group")</f>
        <v/>
      </c>
      <c r="B2173" s="19"/>
      <c r="C2173" s="19"/>
      <c r="D2173" s="19"/>
      <c r="E2173" s="19"/>
      <c r="F2173" s="19"/>
      <c r="G2173" s="19"/>
      <c r="H2173" s="19"/>
      <c r="I2173" s="19"/>
      <c r="J2173" s="19"/>
      <c r="K2173" s="19"/>
      <c r="L2173" s="19"/>
      <c r="M2173" s="19"/>
      <c r="N2173" s="19"/>
      <c r="O2173" s="19"/>
      <c r="P2173" s="19"/>
      <c r="Q2173" s="19"/>
      <c r="R2173" s="19"/>
      <c r="S2173" s="19"/>
      <c r="T2173" s="34" t="str">
        <f aca="false">IF($R2173="","",IFERROR(INDEX(DriverCategory,MATCH($R2173,DriverList,0)),"BAU"))</f>
        <v/>
      </c>
      <c r="U2173" s="34" t="str">
        <f aca="false">IF($R2173="","",IFERROR(INDEX(DriverRank,MATCH($R2173,DriverList,0)),99))</f>
        <v/>
      </c>
      <c r="V2173" s="35" t="n">
        <f aca="false">IF($H2173="",0,IFERROR(INDEX(LevelBasic,MATCH($H2173,LevelList,0))+INDEX(LevelHousing,MATCH($H2173,LevelList,0))+INDEX(LevelTransport,MATCH($H2173,LevelList,0))+INDEX(LevelBasic,MATCH($H2173,LevelList,0))*INDEX(LevelBonus,MATCH($H2173,LevelList,0))+(INDEX(LevelBasic,MATCH($H2173,LevelList,0))+INDEX(LevelHousing,MATCH($H2173,LevelList,0)))*GosiSaudi,0))</f>
        <v>0</v>
      </c>
      <c r="W2173" s="35" t="n">
        <f aca="false">IFERROR(INDEX(LevelOneOff,MATCH($H2173,LevelList,0)),0)</f>
        <v>0</v>
      </c>
      <c r="X2173" s="35" t="str">
        <f aca="false">IF($G2173="","",$V2173*N($L2173))</f>
        <v/>
      </c>
      <c r="Y2173" s="35" t="str">
        <f aca="false">IF($G2173="","",$V2173*(N($M2173)*1+N($N2173)*0.75+N($O2173)*0.5+N($P2173)*0.25)+$W2173*N($L2173))</f>
        <v/>
      </c>
      <c r="Z2173" s="35" t="str">
        <f aca="false">IF($G2173="","",$U2173*1000000+ROW())</f>
        <v/>
      </c>
      <c r="AA2173" s="36" t="str">
        <f aca="false">IF($G2173="","",MID(IF($C2173="",", no division","")&amp;IF($E2173="",", no unit","")&amp;IF($H2173="",", no career level","")&amp;IF(N($L2173)&lt;=0,", no quarter split","")&amp;IF($R2173="",", no driver","")&amp;IF(AND($H2173&lt;&gt;"",COUNTIF(CareerLevels,$H2173)=0),", a career level that is not on the ladder","")&amp;IF(AND($R2173&lt;&gt;"",COUNTIF(DriverList,$R2173)=0),", a driver that is not on the list","")&amp;IF(ABS(N($L2173)-(N($M2173)+N($N2173)+N($O2173)+N($P2173)))&gt;0.001,", a total that does not match its quarters",""),3,300))</f>
        <v/>
      </c>
    </row>
    <row r="2174" customFormat="false" ht="15" hidden="false" customHeight="false" outlineLevel="0" collapsed="false">
      <c r="A2174" s="33" t="str">
        <f aca="false">IF($G2174="","","Technology Group")</f>
        <v/>
      </c>
      <c r="B2174" s="19"/>
      <c r="C2174" s="19"/>
      <c r="D2174" s="19"/>
      <c r="E2174" s="19"/>
      <c r="F2174" s="19"/>
      <c r="G2174" s="19"/>
      <c r="H2174" s="19"/>
      <c r="I2174" s="19"/>
      <c r="J2174" s="19"/>
      <c r="K2174" s="19"/>
      <c r="L2174" s="19"/>
      <c r="M2174" s="19"/>
      <c r="N2174" s="19"/>
      <c r="O2174" s="19"/>
      <c r="P2174" s="19"/>
      <c r="Q2174" s="19"/>
      <c r="R2174" s="19"/>
      <c r="S2174" s="19"/>
      <c r="T2174" s="34" t="str">
        <f aca="false">IF($R2174="","",IFERROR(INDEX(DriverCategory,MATCH($R2174,DriverList,0)),"BAU"))</f>
        <v/>
      </c>
      <c r="U2174" s="34" t="str">
        <f aca="false">IF($R2174="","",IFERROR(INDEX(DriverRank,MATCH($R2174,DriverList,0)),99))</f>
        <v/>
      </c>
      <c r="V2174" s="35" t="n">
        <f aca="false">IF($H2174="",0,IFERROR(INDEX(LevelBasic,MATCH($H2174,LevelList,0))+INDEX(LevelHousing,MATCH($H2174,LevelList,0))+INDEX(LevelTransport,MATCH($H2174,LevelList,0))+INDEX(LevelBasic,MATCH($H2174,LevelList,0))*INDEX(LevelBonus,MATCH($H2174,LevelList,0))+(INDEX(LevelBasic,MATCH($H2174,LevelList,0))+INDEX(LevelHousing,MATCH($H2174,LevelList,0)))*GosiSaudi,0))</f>
        <v>0</v>
      </c>
      <c r="W2174" s="35" t="n">
        <f aca="false">IFERROR(INDEX(LevelOneOff,MATCH($H2174,LevelList,0)),0)</f>
        <v>0</v>
      </c>
      <c r="X2174" s="35" t="str">
        <f aca="false">IF($G2174="","",$V2174*N($L2174))</f>
        <v/>
      </c>
      <c r="Y2174" s="35" t="str">
        <f aca="false">IF($G2174="","",$V2174*(N($M2174)*1+N($N2174)*0.75+N($O2174)*0.5+N($P2174)*0.25)+$W2174*N($L2174))</f>
        <v/>
      </c>
      <c r="Z2174" s="35" t="str">
        <f aca="false">IF($G2174="","",$U2174*1000000+ROW())</f>
        <v/>
      </c>
      <c r="AA2174" s="36" t="str">
        <f aca="false">IF($G2174="","",MID(IF($C2174="",", no division","")&amp;IF($E2174="",", no unit","")&amp;IF($H2174="",", no career level","")&amp;IF(N($L2174)&lt;=0,", no quarter split","")&amp;IF($R2174="",", no driver","")&amp;IF(AND($H2174&lt;&gt;"",COUNTIF(CareerLevels,$H2174)=0),", a career level that is not on the ladder","")&amp;IF(AND($R2174&lt;&gt;"",COUNTIF(DriverList,$R2174)=0),", a driver that is not on the list","")&amp;IF(ABS(N($L2174)-(N($M2174)+N($N2174)+N($O2174)+N($P2174)))&gt;0.001,", a total that does not match its quarters",""),3,300))</f>
        <v/>
      </c>
    </row>
    <row r="2175" customFormat="false" ht="15" hidden="false" customHeight="false" outlineLevel="0" collapsed="false">
      <c r="A2175" s="33" t="str">
        <f aca="false">IF($G2175="","","Technology Group")</f>
        <v/>
      </c>
      <c r="B2175" s="19"/>
      <c r="C2175" s="19"/>
      <c r="D2175" s="19"/>
      <c r="E2175" s="19"/>
      <c r="F2175" s="19"/>
      <c r="G2175" s="19"/>
      <c r="H2175" s="19"/>
      <c r="I2175" s="19"/>
      <c r="J2175" s="19"/>
      <c r="K2175" s="19"/>
      <c r="L2175" s="19"/>
      <c r="M2175" s="19"/>
      <c r="N2175" s="19"/>
      <c r="O2175" s="19"/>
      <c r="P2175" s="19"/>
      <c r="Q2175" s="19"/>
      <c r="R2175" s="19"/>
      <c r="S2175" s="19"/>
      <c r="T2175" s="34" t="str">
        <f aca="false">IF($R2175="","",IFERROR(INDEX(DriverCategory,MATCH($R2175,DriverList,0)),"BAU"))</f>
        <v/>
      </c>
      <c r="U2175" s="34" t="str">
        <f aca="false">IF($R2175="","",IFERROR(INDEX(DriverRank,MATCH($R2175,DriverList,0)),99))</f>
        <v/>
      </c>
      <c r="V2175" s="35" t="n">
        <f aca="false">IF($H2175="",0,IFERROR(INDEX(LevelBasic,MATCH($H2175,LevelList,0))+INDEX(LevelHousing,MATCH($H2175,LevelList,0))+INDEX(LevelTransport,MATCH($H2175,LevelList,0))+INDEX(LevelBasic,MATCH($H2175,LevelList,0))*INDEX(LevelBonus,MATCH($H2175,LevelList,0))+(INDEX(LevelBasic,MATCH($H2175,LevelList,0))+INDEX(LevelHousing,MATCH($H2175,LevelList,0)))*GosiSaudi,0))</f>
        <v>0</v>
      </c>
      <c r="W2175" s="35" t="n">
        <f aca="false">IFERROR(INDEX(LevelOneOff,MATCH($H2175,LevelList,0)),0)</f>
        <v>0</v>
      </c>
      <c r="X2175" s="35" t="str">
        <f aca="false">IF($G2175="","",$V2175*N($L2175))</f>
        <v/>
      </c>
      <c r="Y2175" s="35" t="str">
        <f aca="false">IF($G2175="","",$V2175*(N($M2175)*1+N($N2175)*0.75+N($O2175)*0.5+N($P2175)*0.25)+$W2175*N($L2175))</f>
        <v/>
      </c>
      <c r="Z2175" s="35" t="str">
        <f aca="false">IF($G2175="","",$U2175*1000000+ROW())</f>
        <v/>
      </c>
      <c r="AA2175" s="36" t="str">
        <f aca="false">IF($G2175="","",MID(IF($C2175="",", no division","")&amp;IF($E2175="",", no unit","")&amp;IF($H2175="",", no career level","")&amp;IF(N($L2175)&lt;=0,", no quarter split","")&amp;IF($R2175="",", no driver","")&amp;IF(AND($H2175&lt;&gt;"",COUNTIF(CareerLevels,$H2175)=0),", a career level that is not on the ladder","")&amp;IF(AND($R2175&lt;&gt;"",COUNTIF(DriverList,$R2175)=0),", a driver that is not on the list","")&amp;IF(ABS(N($L2175)-(N($M2175)+N($N2175)+N($O2175)+N($P2175)))&gt;0.001,", a total that does not match its quarters",""),3,300))</f>
        <v/>
      </c>
    </row>
    <row r="2176" customFormat="false" ht="15" hidden="false" customHeight="false" outlineLevel="0" collapsed="false">
      <c r="A2176" s="33" t="str">
        <f aca="false">IF($G2176="","","Technology Group")</f>
        <v/>
      </c>
      <c r="B2176" s="19"/>
      <c r="C2176" s="19"/>
      <c r="D2176" s="19"/>
      <c r="E2176" s="19"/>
      <c r="F2176" s="19"/>
      <c r="G2176" s="19"/>
      <c r="H2176" s="19"/>
      <c r="I2176" s="19"/>
      <c r="J2176" s="19"/>
      <c r="K2176" s="19"/>
      <c r="L2176" s="19"/>
      <c r="M2176" s="19"/>
      <c r="N2176" s="19"/>
      <c r="O2176" s="19"/>
      <c r="P2176" s="19"/>
      <c r="Q2176" s="19"/>
      <c r="R2176" s="19"/>
      <c r="S2176" s="19"/>
      <c r="T2176" s="34" t="str">
        <f aca="false">IF($R2176="","",IFERROR(INDEX(DriverCategory,MATCH($R2176,DriverList,0)),"BAU"))</f>
        <v/>
      </c>
      <c r="U2176" s="34" t="str">
        <f aca="false">IF($R2176="","",IFERROR(INDEX(DriverRank,MATCH($R2176,DriverList,0)),99))</f>
        <v/>
      </c>
      <c r="V2176" s="35" t="n">
        <f aca="false">IF($H2176="",0,IFERROR(INDEX(LevelBasic,MATCH($H2176,LevelList,0))+INDEX(LevelHousing,MATCH($H2176,LevelList,0))+INDEX(LevelTransport,MATCH($H2176,LevelList,0))+INDEX(LevelBasic,MATCH($H2176,LevelList,0))*INDEX(LevelBonus,MATCH($H2176,LevelList,0))+(INDEX(LevelBasic,MATCH($H2176,LevelList,0))+INDEX(LevelHousing,MATCH($H2176,LevelList,0)))*GosiSaudi,0))</f>
        <v>0</v>
      </c>
      <c r="W2176" s="35" t="n">
        <f aca="false">IFERROR(INDEX(LevelOneOff,MATCH($H2176,LevelList,0)),0)</f>
        <v>0</v>
      </c>
      <c r="X2176" s="35" t="str">
        <f aca="false">IF($G2176="","",$V2176*N($L2176))</f>
        <v/>
      </c>
      <c r="Y2176" s="35" t="str">
        <f aca="false">IF($G2176="","",$V2176*(N($M2176)*1+N($N2176)*0.75+N($O2176)*0.5+N($P2176)*0.25)+$W2176*N($L2176))</f>
        <v/>
      </c>
      <c r="Z2176" s="35" t="str">
        <f aca="false">IF($G2176="","",$U2176*1000000+ROW())</f>
        <v/>
      </c>
      <c r="AA2176" s="36" t="str">
        <f aca="false">IF($G2176="","",MID(IF($C2176="",", no division","")&amp;IF($E2176="",", no unit","")&amp;IF($H2176="",", no career level","")&amp;IF(N($L2176)&lt;=0,", no quarter split","")&amp;IF($R2176="",", no driver","")&amp;IF(AND($H2176&lt;&gt;"",COUNTIF(CareerLevels,$H2176)=0),", a career level that is not on the ladder","")&amp;IF(AND($R2176&lt;&gt;"",COUNTIF(DriverList,$R2176)=0),", a driver that is not on the list","")&amp;IF(ABS(N($L2176)-(N($M2176)+N($N2176)+N($O2176)+N($P2176)))&gt;0.001,", a total that does not match its quarters",""),3,300))</f>
        <v/>
      </c>
    </row>
    <row r="2177" customFormat="false" ht="15" hidden="false" customHeight="false" outlineLevel="0" collapsed="false">
      <c r="A2177" s="33" t="str">
        <f aca="false">IF($G2177="","","Technology Group")</f>
        <v/>
      </c>
      <c r="B2177" s="19"/>
      <c r="C2177" s="19"/>
      <c r="D2177" s="19"/>
      <c r="E2177" s="19"/>
      <c r="F2177" s="19"/>
      <c r="G2177" s="19"/>
      <c r="H2177" s="19"/>
      <c r="I2177" s="19"/>
      <c r="J2177" s="19"/>
      <c r="K2177" s="19"/>
      <c r="L2177" s="19"/>
      <c r="M2177" s="19"/>
      <c r="N2177" s="19"/>
      <c r="O2177" s="19"/>
      <c r="P2177" s="19"/>
      <c r="Q2177" s="19"/>
      <c r="R2177" s="19"/>
      <c r="S2177" s="19"/>
      <c r="T2177" s="34" t="str">
        <f aca="false">IF($R2177="","",IFERROR(INDEX(DriverCategory,MATCH($R2177,DriverList,0)),"BAU"))</f>
        <v/>
      </c>
      <c r="U2177" s="34" t="str">
        <f aca="false">IF($R2177="","",IFERROR(INDEX(DriverRank,MATCH($R2177,DriverList,0)),99))</f>
        <v/>
      </c>
      <c r="V2177" s="35" t="n">
        <f aca="false">IF($H2177="",0,IFERROR(INDEX(LevelBasic,MATCH($H2177,LevelList,0))+INDEX(LevelHousing,MATCH($H2177,LevelList,0))+INDEX(LevelTransport,MATCH($H2177,LevelList,0))+INDEX(LevelBasic,MATCH($H2177,LevelList,0))*INDEX(LevelBonus,MATCH($H2177,LevelList,0))+(INDEX(LevelBasic,MATCH($H2177,LevelList,0))+INDEX(LevelHousing,MATCH($H2177,LevelList,0)))*GosiSaudi,0))</f>
        <v>0</v>
      </c>
      <c r="W2177" s="35" t="n">
        <f aca="false">IFERROR(INDEX(LevelOneOff,MATCH($H2177,LevelList,0)),0)</f>
        <v>0</v>
      </c>
      <c r="X2177" s="35" t="str">
        <f aca="false">IF($G2177="","",$V2177*N($L2177))</f>
        <v/>
      </c>
      <c r="Y2177" s="35" t="str">
        <f aca="false">IF($G2177="","",$V2177*(N($M2177)*1+N($N2177)*0.75+N($O2177)*0.5+N($P2177)*0.25)+$W2177*N($L2177))</f>
        <v/>
      </c>
      <c r="Z2177" s="35" t="str">
        <f aca="false">IF($G2177="","",$U2177*1000000+ROW())</f>
        <v/>
      </c>
      <c r="AA2177" s="36" t="str">
        <f aca="false">IF($G2177="","",MID(IF($C2177="",", no division","")&amp;IF($E2177="",", no unit","")&amp;IF($H2177="",", no career level","")&amp;IF(N($L2177)&lt;=0,", no quarter split","")&amp;IF($R2177="",", no driver","")&amp;IF(AND($H2177&lt;&gt;"",COUNTIF(CareerLevels,$H2177)=0),", a career level that is not on the ladder","")&amp;IF(AND($R2177&lt;&gt;"",COUNTIF(DriverList,$R2177)=0),", a driver that is not on the list","")&amp;IF(ABS(N($L2177)-(N($M2177)+N($N2177)+N($O2177)+N($P2177)))&gt;0.001,", a total that does not match its quarters",""),3,300))</f>
        <v/>
      </c>
    </row>
    <row r="2178" customFormat="false" ht="15" hidden="false" customHeight="false" outlineLevel="0" collapsed="false">
      <c r="A2178" s="33" t="str">
        <f aca="false">IF($G2178="","","Technology Group")</f>
        <v/>
      </c>
      <c r="B2178" s="19"/>
      <c r="C2178" s="19"/>
      <c r="D2178" s="19"/>
      <c r="E2178" s="19"/>
      <c r="F2178" s="19"/>
      <c r="G2178" s="19"/>
      <c r="H2178" s="19"/>
      <c r="I2178" s="19"/>
      <c r="J2178" s="19"/>
      <c r="K2178" s="19"/>
      <c r="L2178" s="19"/>
      <c r="M2178" s="19"/>
      <c r="N2178" s="19"/>
      <c r="O2178" s="19"/>
      <c r="P2178" s="19"/>
      <c r="Q2178" s="19"/>
      <c r="R2178" s="19"/>
      <c r="S2178" s="19"/>
      <c r="T2178" s="34" t="str">
        <f aca="false">IF($R2178="","",IFERROR(INDEX(DriverCategory,MATCH($R2178,DriverList,0)),"BAU"))</f>
        <v/>
      </c>
      <c r="U2178" s="34" t="str">
        <f aca="false">IF($R2178="","",IFERROR(INDEX(DriverRank,MATCH($R2178,DriverList,0)),99))</f>
        <v/>
      </c>
      <c r="V2178" s="35" t="n">
        <f aca="false">IF($H2178="",0,IFERROR(INDEX(LevelBasic,MATCH($H2178,LevelList,0))+INDEX(LevelHousing,MATCH($H2178,LevelList,0))+INDEX(LevelTransport,MATCH($H2178,LevelList,0))+INDEX(LevelBasic,MATCH($H2178,LevelList,0))*INDEX(LevelBonus,MATCH($H2178,LevelList,0))+(INDEX(LevelBasic,MATCH($H2178,LevelList,0))+INDEX(LevelHousing,MATCH($H2178,LevelList,0)))*GosiSaudi,0))</f>
        <v>0</v>
      </c>
      <c r="W2178" s="35" t="n">
        <f aca="false">IFERROR(INDEX(LevelOneOff,MATCH($H2178,LevelList,0)),0)</f>
        <v>0</v>
      </c>
      <c r="X2178" s="35" t="str">
        <f aca="false">IF($G2178="","",$V2178*N($L2178))</f>
        <v/>
      </c>
      <c r="Y2178" s="35" t="str">
        <f aca="false">IF($G2178="","",$V2178*(N($M2178)*1+N($N2178)*0.75+N($O2178)*0.5+N($P2178)*0.25)+$W2178*N($L2178))</f>
        <v/>
      </c>
      <c r="Z2178" s="35" t="str">
        <f aca="false">IF($G2178="","",$U2178*1000000+ROW())</f>
        <v/>
      </c>
      <c r="AA2178" s="36" t="str">
        <f aca="false">IF($G2178="","",MID(IF($C2178="",", no division","")&amp;IF($E2178="",", no unit","")&amp;IF($H2178="",", no career level","")&amp;IF(N($L2178)&lt;=0,", no quarter split","")&amp;IF($R2178="",", no driver","")&amp;IF(AND($H2178&lt;&gt;"",COUNTIF(CareerLevels,$H2178)=0),", a career level that is not on the ladder","")&amp;IF(AND($R2178&lt;&gt;"",COUNTIF(DriverList,$R2178)=0),", a driver that is not on the list","")&amp;IF(ABS(N($L2178)-(N($M2178)+N($N2178)+N($O2178)+N($P2178)))&gt;0.001,", a total that does not match its quarters",""),3,300))</f>
        <v/>
      </c>
    </row>
    <row r="2179" customFormat="false" ht="15" hidden="false" customHeight="false" outlineLevel="0" collapsed="false">
      <c r="A2179" s="33" t="str">
        <f aca="false">IF($G2179="","","Technology Group")</f>
        <v/>
      </c>
      <c r="B2179" s="19"/>
      <c r="C2179" s="19"/>
      <c r="D2179" s="19"/>
      <c r="E2179" s="19"/>
      <c r="F2179" s="19"/>
      <c r="G2179" s="19"/>
      <c r="H2179" s="19"/>
      <c r="I2179" s="19"/>
      <c r="J2179" s="19"/>
      <c r="K2179" s="19"/>
      <c r="L2179" s="19"/>
      <c r="M2179" s="19"/>
      <c r="N2179" s="19"/>
      <c r="O2179" s="19"/>
      <c r="P2179" s="19"/>
      <c r="Q2179" s="19"/>
      <c r="R2179" s="19"/>
      <c r="S2179" s="19"/>
      <c r="T2179" s="34" t="str">
        <f aca="false">IF($R2179="","",IFERROR(INDEX(DriverCategory,MATCH($R2179,DriverList,0)),"BAU"))</f>
        <v/>
      </c>
      <c r="U2179" s="34" t="str">
        <f aca="false">IF($R2179="","",IFERROR(INDEX(DriverRank,MATCH($R2179,DriverList,0)),99))</f>
        <v/>
      </c>
      <c r="V2179" s="35" t="n">
        <f aca="false">IF($H2179="",0,IFERROR(INDEX(LevelBasic,MATCH($H2179,LevelList,0))+INDEX(LevelHousing,MATCH($H2179,LevelList,0))+INDEX(LevelTransport,MATCH($H2179,LevelList,0))+INDEX(LevelBasic,MATCH($H2179,LevelList,0))*INDEX(LevelBonus,MATCH($H2179,LevelList,0))+(INDEX(LevelBasic,MATCH($H2179,LevelList,0))+INDEX(LevelHousing,MATCH($H2179,LevelList,0)))*GosiSaudi,0))</f>
        <v>0</v>
      </c>
      <c r="W2179" s="35" t="n">
        <f aca="false">IFERROR(INDEX(LevelOneOff,MATCH($H2179,LevelList,0)),0)</f>
        <v>0</v>
      </c>
      <c r="X2179" s="35" t="str">
        <f aca="false">IF($G2179="","",$V2179*N($L2179))</f>
        <v/>
      </c>
      <c r="Y2179" s="35" t="str">
        <f aca="false">IF($G2179="","",$V2179*(N($M2179)*1+N($N2179)*0.75+N($O2179)*0.5+N($P2179)*0.25)+$W2179*N($L2179))</f>
        <v/>
      </c>
      <c r="Z2179" s="35" t="str">
        <f aca="false">IF($G2179="","",$U2179*1000000+ROW())</f>
        <v/>
      </c>
      <c r="AA2179" s="36" t="str">
        <f aca="false">IF($G2179="","",MID(IF($C2179="",", no division","")&amp;IF($E2179="",", no unit","")&amp;IF($H2179="",", no career level","")&amp;IF(N($L2179)&lt;=0,", no quarter split","")&amp;IF($R2179="",", no driver","")&amp;IF(AND($H2179&lt;&gt;"",COUNTIF(CareerLevels,$H2179)=0),", a career level that is not on the ladder","")&amp;IF(AND($R2179&lt;&gt;"",COUNTIF(DriverList,$R2179)=0),", a driver that is not on the list","")&amp;IF(ABS(N($L2179)-(N($M2179)+N($N2179)+N($O2179)+N($P2179)))&gt;0.001,", a total that does not match its quarters",""),3,300))</f>
        <v/>
      </c>
    </row>
    <row r="2180" customFormat="false" ht="15" hidden="false" customHeight="false" outlineLevel="0" collapsed="false">
      <c r="A2180" s="33" t="str">
        <f aca="false">IF($G2180="","","Technology Group")</f>
        <v/>
      </c>
      <c r="B2180" s="19"/>
      <c r="C2180" s="19"/>
      <c r="D2180" s="19"/>
      <c r="E2180" s="19"/>
      <c r="F2180" s="19"/>
      <c r="G2180" s="19"/>
      <c r="H2180" s="19"/>
      <c r="I2180" s="19"/>
      <c r="J2180" s="19"/>
      <c r="K2180" s="19"/>
      <c r="L2180" s="19"/>
      <c r="M2180" s="19"/>
      <c r="N2180" s="19"/>
      <c r="O2180" s="19"/>
      <c r="P2180" s="19"/>
      <c r="Q2180" s="19"/>
      <c r="R2180" s="19"/>
      <c r="S2180" s="19"/>
      <c r="T2180" s="34" t="str">
        <f aca="false">IF($R2180="","",IFERROR(INDEX(DriverCategory,MATCH($R2180,DriverList,0)),"BAU"))</f>
        <v/>
      </c>
      <c r="U2180" s="34" t="str">
        <f aca="false">IF($R2180="","",IFERROR(INDEX(DriverRank,MATCH($R2180,DriverList,0)),99))</f>
        <v/>
      </c>
      <c r="V2180" s="35" t="n">
        <f aca="false">IF($H2180="",0,IFERROR(INDEX(LevelBasic,MATCH($H2180,LevelList,0))+INDEX(LevelHousing,MATCH($H2180,LevelList,0))+INDEX(LevelTransport,MATCH($H2180,LevelList,0))+INDEX(LevelBasic,MATCH($H2180,LevelList,0))*INDEX(LevelBonus,MATCH($H2180,LevelList,0))+(INDEX(LevelBasic,MATCH($H2180,LevelList,0))+INDEX(LevelHousing,MATCH($H2180,LevelList,0)))*GosiSaudi,0))</f>
        <v>0</v>
      </c>
      <c r="W2180" s="35" t="n">
        <f aca="false">IFERROR(INDEX(LevelOneOff,MATCH($H2180,LevelList,0)),0)</f>
        <v>0</v>
      </c>
      <c r="X2180" s="35" t="str">
        <f aca="false">IF($G2180="","",$V2180*N($L2180))</f>
        <v/>
      </c>
      <c r="Y2180" s="35" t="str">
        <f aca="false">IF($G2180="","",$V2180*(N($M2180)*1+N($N2180)*0.75+N($O2180)*0.5+N($P2180)*0.25)+$W2180*N($L2180))</f>
        <v/>
      </c>
      <c r="Z2180" s="35" t="str">
        <f aca="false">IF($G2180="","",$U2180*1000000+ROW())</f>
        <v/>
      </c>
      <c r="AA2180" s="36" t="str">
        <f aca="false">IF($G2180="","",MID(IF($C2180="",", no division","")&amp;IF($E2180="",", no unit","")&amp;IF($H2180="",", no career level","")&amp;IF(N($L2180)&lt;=0,", no quarter split","")&amp;IF($R2180="",", no driver","")&amp;IF(AND($H2180&lt;&gt;"",COUNTIF(CareerLevels,$H2180)=0),", a career level that is not on the ladder","")&amp;IF(AND($R2180&lt;&gt;"",COUNTIF(DriverList,$R2180)=0),", a driver that is not on the list","")&amp;IF(ABS(N($L2180)-(N($M2180)+N($N2180)+N($O2180)+N($P2180)))&gt;0.001,", a total that does not match its quarters",""),3,300))</f>
        <v/>
      </c>
    </row>
    <row r="2181" customFormat="false" ht="15" hidden="false" customHeight="false" outlineLevel="0" collapsed="false">
      <c r="A2181" s="33" t="str">
        <f aca="false">IF($G2181="","","Technology Group")</f>
        <v/>
      </c>
      <c r="B2181" s="19"/>
      <c r="C2181" s="19"/>
      <c r="D2181" s="19"/>
      <c r="E2181" s="19"/>
      <c r="F2181" s="19"/>
      <c r="G2181" s="19"/>
      <c r="H2181" s="19"/>
      <c r="I2181" s="19"/>
      <c r="J2181" s="19"/>
      <c r="K2181" s="19"/>
      <c r="L2181" s="19"/>
      <c r="M2181" s="19"/>
      <c r="N2181" s="19"/>
      <c r="O2181" s="19"/>
      <c r="P2181" s="19"/>
      <c r="Q2181" s="19"/>
      <c r="R2181" s="19"/>
      <c r="S2181" s="19"/>
      <c r="T2181" s="34" t="str">
        <f aca="false">IF($R2181="","",IFERROR(INDEX(DriverCategory,MATCH($R2181,DriverList,0)),"BAU"))</f>
        <v/>
      </c>
      <c r="U2181" s="34" t="str">
        <f aca="false">IF($R2181="","",IFERROR(INDEX(DriverRank,MATCH($R2181,DriverList,0)),99))</f>
        <v/>
      </c>
      <c r="V2181" s="35" t="n">
        <f aca="false">IF($H2181="",0,IFERROR(INDEX(LevelBasic,MATCH($H2181,LevelList,0))+INDEX(LevelHousing,MATCH($H2181,LevelList,0))+INDEX(LevelTransport,MATCH($H2181,LevelList,0))+INDEX(LevelBasic,MATCH($H2181,LevelList,0))*INDEX(LevelBonus,MATCH($H2181,LevelList,0))+(INDEX(LevelBasic,MATCH($H2181,LevelList,0))+INDEX(LevelHousing,MATCH($H2181,LevelList,0)))*GosiSaudi,0))</f>
        <v>0</v>
      </c>
      <c r="W2181" s="35" t="n">
        <f aca="false">IFERROR(INDEX(LevelOneOff,MATCH($H2181,LevelList,0)),0)</f>
        <v>0</v>
      </c>
      <c r="X2181" s="35" t="str">
        <f aca="false">IF($G2181="","",$V2181*N($L2181))</f>
        <v/>
      </c>
      <c r="Y2181" s="35" t="str">
        <f aca="false">IF($G2181="","",$V2181*(N($M2181)*1+N($N2181)*0.75+N($O2181)*0.5+N($P2181)*0.25)+$W2181*N($L2181))</f>
        <v/>
      </c>
      <c r="Z2181" s="35" t="str">
        <f aca="false">IF($G2181="","",$U2181*1000000+ROW())</f>
        <v/>
      </c>
      <c r="AA2181" s="36" t="str">
        <f aca="false">IF($G2181="","",MID(IF($C2181="",", no division","")&amp;IF($E2181="",", no unit","")&amp;IF($H2181="",", no career level","")&amp;IF(N($L2181)&lt;=0,", no quarter split","")&amp;IF($R2181="",", no driver","")&amp;IF(AND($H2181&lt;&gt;"",COUNTIF(CareerLevels,$H2181)=0),", a career level that is not on the ladder","")&amp;IF(AND($R2181&lt;&gt;"",COUNTIF(DriverList,$R2181)=0),", a driver that is not on the list","")&amp;IF(ABS(N($L2181)-(N($M2181)+N($N2181)+N($O2181)+N($P2181)))&gt;0.001,", a total that does not match its quarters",""),3,300))</f>
        <v/>
      </c>
    </row>
    <row r="2182" customFormat="false" ht="15" hidden="false" customHeight="false" outlineLevel="0" collapsed="false">
      <c r="A2182" s="33" t="str">
        <f aca="false">IF($G2182="","","Technology Group")</f>
        <v/>
      </c>
      <c r="B2182" s="19"/>
      <c r="C2182" s="19"/>
      <c r="D2182" s="19"/>
      <c r="E2182" s="19"/>
      <c r="F2182" s="19"/>
      <c r="G2182" s="19"/>
      <c r="H2182" s="19"/>
      <c r="I2182" s="19"/>
      <c r="J2182" s="19"/>
      <c r="K2182" s="19"/>
      <c r="L2182" s="19"/>
      <c r="M2182" s="19"/>
      <c r="N2182" s="19"/>
      <c r="O2182" s="19"/>
      <c r="P2182" s="19"/>
      <c r="Q2182" s="19"/>
      <c r="R2182" s="19"/>
      <c r="S2182" s="19"/>
      <c r="T2182" s="34" t="str">
        <f aca="false">IF($R2182="","",IFERROR(INDEX(DriverCategory,MATCH($R2182,DriverList,0)),"BAU"))</f>
        <v/>
      </c>
      <c r="U2182" s="34" t="str">
        <f aca="false">IF($R2182="","",IFERROR(INDEX(DriverRank,MATCH($R2182,DriverList,0)),99))</f>
        <v/>
      </c>
      <c r="V2182" s="35" t="n">
        <f aca="false">IF($H2182="",0,IFERROR(INDEX(LevelBasic,MATCH($H2182,LevelList,0))+INDEX(LevelHousing,MATCH($H2182,LevelList,0))+INDEX(LevelTransport,MATCH($H2182,LevelList,0))+INDEX(LevelBasic,MATCH($H2182,LevelList,0))*INDEX(LevelBonus,MATCH($H2182,LevelList,0))+(INDEX(LevelBasic,MATCH($H2182,LevelList,0))+INDEX(LevelHousing,MATCH($H2182,LevelList,0)))*GosiSaudi,0))</f>
        <v>0</v>
      </c>
      <c r="W2182" s="35" t="n">
        <f aca="false">IFERROR(INDEX(LevelOneOff,MATCH($H2182,LevelList,0)),0)</f>
        <v>0</v>
      </c>
      <c r="X2182" s="35" t="str">
        <f aca="false">IF($G2182="","",$V2182*N($L2182))</f>
        <v/>
      </c>
      <c r="Y2182" s="35" t="str">
        <f aca="false">IF($G2182="","",$V2182*(N($M2182)*1+N($N2182)*0.75+N($O2182)*0.5+N($P2182)*0.25)+$W2182*N($L2182))</f>
        <v/>
      </c>
      <c r="Z2182" s="35" t="str">
        <f aca="false">IF($G2182="","",$U2182*1000000+ROW())</f>
        <v/>
      </c>
      <c r="AA2182" s="36" t="str">
        <f aca="false">IF($G2182="","",MID(IF($C2182="",", no division","")&amp;IF($E2182="",", no unit","")&amp;IF($H2182="",", no career level","")&amp;IF(N($L2182)&lt;=0,", no quarter split","")&amp;IF($R2182="",", no driver","")&amp;IF(AND($H2182&lt;&gt;"",COUNTIF(CareerLevels,$H2182)=0),", a career level that is not on the ladder","")&amp;IF(AND($R2182&lt;&gt;"",COUNTIF(DriverList,$R2182)=0),", a driver that is not on the list","")&amp;IF(ABS(N($L2182)-(N($M2182)+N($N2182)+N($O2182)+N($P2182)))&gt;0.001,", a total that does not match its quarters",""),3,300))</f>
        <v/>
      </c>
    </row>
    <row r="2183" customFormat="false" ht="15" hidden="false" customHeight="false" outlineLevel="0" collapsed="false">
      <c r="A2183" s="33" t="str">
        <f aca="false">IF($G2183="","","Technology Group")</f>
        <v/>
      </c>
      <c r="B2183" s="19"/>
      <c r="C2183" s="19"/>
      <c r="D2183" s="19"/>
      <c r="E2183" s="19"/>
      <c r="F2183" s="19"/>
      <c r="G2183" s="19"/>
      <c r="H2183" s="19"/>
      <c r="I2183" s="19"/>
      <c r="J2183" s="19"/>
      <c r="K2183" s="19"/>
      <c r="L2183" s="19"/>
      <c r="M2183" s="19"/>
      <c r="N2183" s="19"/>
      <c r="O2183" s="19"/>
      <c r="P2183" s="19"/>
      <c r="Q2183" s="19"/>
      <c r="R2183" s="19"/>
      <c r="S2183" s="19"/>
      <c r="T2183" s="34" t="str">
        <f aca="false">IF($R2183="","",IFERROR(INDEX(DriverCategory,MATCH($R2183,DriverList,0)),"BAU"))</f>
        <v/>
      </c>
      <c r="U2183" s="34" t="str">
        <f aca="false">IF($R2183="","",IFERROR(INDEX(DriverRank,MATCH($R2183,DriverList,0)),99))</f>
        <v/>
      </c>
      <c r="V2183" s="35" t="n">
        <f aca="false">IF($H2183="",0,IFERROR(INDEX(LevelBasic,MATCH($H2183,LevelList,0))+INDEX(LevelHousing,MATCH($H2183,LevelList,0))+INDEX(LevelTransport,MATCH($H2183,LevelList,0))+INDEX(LevelBasic,MATCH($H2183,LevelList,0))*INDEX(LevelBonus,MATCH($H2183,LevelList,0))+(INDEX(LevelBasic,MATCH($H2183,LevelList,0))+INDEX(LevelHousing,MATCH($H2183,LevelList,0)))*GosiSaudi,0))</f>
        <v>0</v>
      </c>
      <c r="W2183" s="35" t="n">
        <f aca="false">IFERROR(INDEX(LevelOneOff,MATCH($H2183,LevelList,0)),0)</f>
        <v>0</v>
      </c>
      <c r="X2183" s="35" t="str">
        <f aca="false">IF($G2183="","",$V2183*N($L2183))</f>
        <v/>
      </c>
      <c r="Y2183" s="35" t="str">
        <f aca="false">IF($G2183="","",$V2183*(N($M2183)*1+N($N2183)*0.75+N($O2183)*0.5+N($P2183)*0.25)+$W2183*N($L2183))</f>
        <v/>
      </c>
      <c r="Z2183" s="35" t="str">
        <f aca="false">IF($G2183="","",$U2183*1000000+ROW())</f>
        <v/>
      </c>
      <c r="AA2183" s="36" t="str">
        <f aca="false">IF($G2183="","",MID(IF($C2183="",", no division","")&amp;IF($E2183="",", no unit","")&amp;IF($H2183="",", no career level","")&amp;IF(N($L2183)&lt;=0,", no quarter split","")&amp;IF($R2183="",", no driver","")&amp;IF(AND($H2183&lt;&gt;"",COUNTIF(CareerLevels,$H2183)=0),", a career level that is not on the ladder","")&amp;IF(AND($R2183&lt;&gt;"",COUNTIF(DriverList,$R2183)=0),", a driver that is not on the list","")&amp;IF(ABS(N($L2183)-(N($M2183)+N($N2183)+N($O2183)+N($P2183)))&gt;0.001,", a total that does not match its quarters",""),3,300))</f>
        <v/>
      </c>
    </row>
    <row r="2184" customFormat="false" ht="15" hidden="false" customHeight="false" outlineLevel="0" collapsed="false">
      <c r="A2184" s="33" t="str">
        <f aca="false">IF($G2184="","","Technology Group")</f>
        <v/>
      </c>
      <c r="B2184" s="19"/>
      <c r="C2184" s="19"/>
      <c r="D2184" s="19"/>
      <c r="E2184" s="19"/>
      <c r="F2184" s="19"/>
      <c r="G2184" s="19"/>
      <c r="H2184" s="19"/>
      <c r="I2184" s="19"/>
      <c r="J2184" s="19"/>
      <c r="K2184" s="19"/>
      <c r="L2184" s="19"/>
      <c r="M2184" s="19"/>
      <c r="N2184" s="19"/>
      <c r="O2184" s="19"/>
      <c r="P2184" s="19"/>
      <c r="Q2184" s="19"/>
      <c r="R2184" s="19"/>
      <c r="S2184" s="19"/>
      <c r="T2184" s="34" t="str">
        <f aca="false">IF($R2184="","",IFERROR(INDEX(DriverCategory,MATCH($R2184,DriverList,0)),"BAU"))</f>
        <v/>
      </c>
      <c r="U2184" s="34" t="str">
        <f aca="false">IF($R2184="","",IFERROR(INDEX(DriverRank,MATCH($R2184,DriverList,0)),99))</f>
        <v/>
      </c>
      <c r="V2184" s="35" t="n">
        <f aca="false">IF($H2184="",0,IFERROR(INDEX(LevelBasic,MATCH($H2184,LevelList,0))+INDEX(LevelHousing,MATCH($H2184,LevelList,0))+INDEX(LevelTransport,MATCH($H2184,LevelList,0))+INDEX(LevelBasic,MATCH($H2184,LevelList,0))*INDEX(LevelBonus,MATCH($H2184,LevelList,0))+(INDEX(LevelBasic,MATCH($H2184,LevelList,0))+INDEX(LevelHousing,MATCH($H2184,LevelList,0)))*GosiSaudi,0))</f>
        <v>0</v>
      </c>
      <c r="W2184" s="35" t="n">
        <f aca="false">IFERROR(INDEX(LevelOneOff,MATCH($H2184,LevelList,0)),0)</f>
        <v>0</v>
      </c>
      <c r="X2184" s="35" t="str">
        <f aca="false">IF($G2184="","",$V2184*N($L2184))</f>
        <v/>
      </c>
      <c r="Y2184" s="35" t="str">
        <f aca="false">IF($G2184="","",$V2184*(N($M2184)*1+N($N2184)*0.75+N($O2184)*0.5+N($P2184)*0.25)+$W2184*N($L2184))</f>
        <v/>
      </c>
      <c r="Z2184" s="35" t="str">
        <f aca="false">IF($G2184="","",$U2184*1000000+ROW())</f>
        <v/>
      </c>
      <c r="AA2184" s="36" t="str">
        <f aca="false">IF($G2184="","",MID(IF($C2184="",", no division","")&amp;IF($E2184="",", no unit","")&amp;IF($H2184="",", no career level","")&amp;IF(N($L2184)&lt;=0,", no quarter split","")&amp;IF($R2184="",", no driver","")&amp;IF(AND($H2184&lt;&gt;"",COUNTIF(CareerLevels,$H2184)=0),", a career level that is not on the ladder","")&amp;IF(AND($R2184&lt;&gt;"",COUNTIF(DriverList,$R2184)=0),", a driver that is not on the list","")&amp;IF(ABS(N($L2184)-(N($M2184)+N($N2184)+N($O2184)+N($P2184)))&gt;0.001,", a total that does not match its quarters",""),3,300))</f>
        <v/>
      </c>
    </row>
    <row r="2185" customFormat="false" ht="15" hidden="false" customHeight="false" outlineLevel="0" collapsed="false">
      <c r="A2185" s="33" t="str">
        <f aca="false">IF($G2185="","","Technology Group")</f>
        <v/>
      </c>
      <c r="B2185" s="19"/>
      <c r="C2185" s="19"/>
      <c r="D2185" s="19"/>
      <c r="E2185" s="19"/>
      <c r="F2185" s="19"/>
      <c r="G2185" s="19"/>
      <c r="H2185" s="19"/>
      <c r="I2185" s="19"/>
      <c r="J2185" s="19"/>
      <c r="K2185" s="19"/>
      <c r="L2185" s="19"/>
      <c r="M2185" s="19"/>
      <c r="N2185" s="19"/>
      <c r="O2185" s="19"/>
      <c r="P2185" s="19"/>
      <c r="Q2185" s="19"/>
      <c r="R2185" s="19"/>
      <c r="S2185" s="19"/>
      <c r="T2185" s="34" t="str">
        <f aca="false">IF($R2185="","",IFERROR(INDEX(DriverCategory,MATCH($R2185,DriverList,0)),"BAU"))</f>
        <v/>
      </c>
      <c r="U2185" s="34" t="str">
        <f aca="false">IF($R2185="","",IFERROR(INDEX(DriverRank,MATCH($R2185,DriverList,0)),99))</f>
        <v/>
      </c>
      <c r="V2185" s="35" t="n">
        <f aca="false">IF($H2185="",0,IFERROR(INDEX(LevelBasic,MATCH($H2185,LevelList,0))+INDEX(LevelHousing,MATCH($H2185,LevelList,0))+INDEX(LevelTransport,MATCH($H2185,LevelList,0))+INDEX(LevelBasic,MATCH($H2185,LevelList,0))*INDEX(LevelBonus,MATCH($H2185,LevelList,0))+(INDEX(LevelBasic,MATCH($H2185,LevelList,0))+INDEX(LevelHousing,MATCH($H2185,LevelList,0)))*GosiSaudi,0))</f>
        <v>0</v>
      </c>
      <c r="W2185" s="35" t="n">
        <f aca="false">IFERROR(INDEX(LevelOneOff,MATCH($H2185,LevelList,0)),0)</f>
        <v>0</v>
      </c>
      <c r="X2185" s="35" t="str">
        <f aca="false">IF($G2185="","",$V2185*N($L2185))</f>
        <v/>
      </c>
      <c r="Y2185" s="35" t="str">
        <f aca="false">IF($G2185="","",$V2185*(N($M2185)*1+N($N2185)*0.75+N($O2185)*0.5+N($P2185)*0.25)+$W2185*N($L2185))</f>
        <v/>
      </c>
      <c r="Z2185" s="35" t="str">
        <f aca="false">IF($G2185="","",$U2185*1000000+ROW())</f>
        <v/>
      </c>
      <c r="AA2185" s="36" t="str">
        <f aca="false">IF($G2185="","",MID(IF($C2185="",", no division","")&amp;IF($E2185="",", no unit","")&amp;IF($H2185="",", no career level","")&amp;IF(N($L2185)&lt;=0,", no quarter split","")&amp;IF($R2185="",", no driver","")&amp;IF(AND($H2185&lt;&gt;"",COUNTIF(CareerLevels,$H2185)=0),", a career level that is not on the ladder","")&amp;IF(AND($R2185&lt;&gt;"",COUNTIF(DriverList,$R2185)=0),", a driver that is not on the list","")&amp;IF(ABS(N($L2185)-(N($M2185)+N($N2185)+N($O2185)+N($P2185)))&gt;0.001,", a total that does not match its quarters",""),3,300))</f>
        <v/>
      </c>
    </row>
    <row r="2186" customFormat="false" ht="15" hidden="false" customHeight="false" outlineLevel="0" collapsed="false">
      <c r="A2186" s="33" t="str">
        <f aca="false">IF($G2186="","","Technology Group")</f>
        <v/>
      </c>
      <c r="B2186" s="19"/>
      <c r="C2186" s="19"/>
      <c r="D2186" s="19"/>
      <c r="E2186" s="19"/>
      <c r="F2186" s="19"/>
      <c r="G2186" s="19"/>
      <c r="H2186" s="19"/>
      <c r="I2186" s="19"/>
      <c r="J2186" s="19"/>
      <c r="K2186" s="19"/>
      <c r="L2186" s="19"/>
      <c r="M2186" s="19"/>
      <c r="N2186" s="19"/>
      <c r="O2186" s="19"/>
      <c r="P2186" s="19"/>
      <c r="Q2186" s="19"/>
      <c r="R2186" s="19"/>
      <c r="S2186" s="19"/>
      <c r="T2186" s="34" t="str">
        <f aca="false">IF($R2186="","",IFERROR(INDEX(DriverCategory,MATCH($R2186,DriverList,0)),"BAU"))</f>
        <v/>
      </c>
      <c r="U2186" s="34" t="str">
        <f aca="false">IF($R2186="","",IFERROR(INDEX(DriverRank,MATCH($R2186,DriverList,0)),99))</f>
        <v/>
      </c>
      <c r="V2186" s="35" t="n">
        <f aca="false">IF($H2186="",0,IFERROR(INDEX(LevelBasic,MATCH($H2186,LevelList,0))+INDEX(LevelHousing,MATCH($H2186,LevelList,0))+INDEX(LevelTransport,MATCH($H2186,LevelList,0))+INDEX(LevelBasic,MATCH($H2186,LevelList,0))*INDEX(LevelBonus,MATCH($H2186,LevelList,0))+(INDEX(LevelBasic,MATCH($H2186,LevelList,0))+INDEX(LevelHousing,MATCH($H2186,LevelList,0)))*GosiSaudi,0))</f>
        <v>0</v>
      </c>
      <c r="W2186" s="35" t="n">
        <f aca="false">IFERROR(INDEX(LevelOneOff,MATCH($H2186,LevelList,0)),0)</f>
        <v>0</v>
      </c>
      <c r="X2186" s="35" t="str">
        <f aca="false">IF($G2186="","",$V2186*N($L2186))</f>
        <v/>
      </c>
      <c r="Y2186" s="35" t="str">
        <f aca="false">IF($G2186="","",$V2186*(N($M2186)*1+N($N2186)*0.75+N($O2186)*0.5+N($P2186)*0.25)+$W2186*N($L2186))</f>
        <v/>
      </c>
      <c r="Z2186" s="35" t="str">
        <f aca="false">IF($G2186="","",$U2186*1000000+ROW())</f>
        <v/>
      </c>
      <c r="AA2186" s="36" t="str">
        <f aca="false">IF($G2186="","",MID(IF($C2186="",", no division","")&amp;IF($E2186="",", no unit","")&amp;IF($H2186="",", no career level","")&amp;IF(N($L2186)&lt;=0,", no quarter split","")&amp;IF($R2186="",", no driver","")&amp;IF(AND($H2186&lt;&gt;"",COUNTIF(CareerLevels,$H2186)=0),", a career level that is not on the ladder","")&amp;IF(AND($R2186&lt;&gt;"",COUNTIF(DriverList,$R2186)=0),", a driver that is not on the list","")&amp;IF(ABS(N($L2186)-(N($M2186)+N($N2186)+N($O2186)+N($P2186)))&gt;0.001,", a total that does not match its quarters",""),3,300))</f>
        <v/>
      </c>
    </row>
    <row r="2187" customFormat="false" ht="15" hidden="false" customHeight="false" outlineLevel="0" collapsed="false">
      <c r="A2187" s="33" t="str">
        <f aca="false">IF($G2187="","","Technology Group")</f>
        <v/>
      </c>
      <c r="B2187" s="19"/>
      <c r="C2187" s="19"/>
      <c r="D2187" s="19"/>
      <c r="E2187" s="19"/>
      <c r="F2187" s="19"/>
      <c r="G2187" s="19"/>
      <c r="H2187" s="19"/>
      <c r="I2187" s="19"/>
      <c r="J2187" s="19"/>
      <c r="K2187" s="19"/>
      <c r="L2187" s="19"/>
      <c r="M2187" s="19"/>
      <c r="N2187" s="19"/>
      <c r="O2187" s="19"/>
      <c r="P2187" s="19"/>
      <c r="Q2187" s="19"/>
      <c r="R2187" s="19"/>
      <c r="S2187" s="19"/>
      <c r="T2187" s="34" t="str">
        <f aca="false">IF($R2187="","",IFERROR(INDEX(DriverCategory,MATCH($R2187,DriverList,0)),"BAU"))</f>
        <v/>
      </c>
      <c r="U2187" s="34" t="str">
        <f aca="false">IF($R2187="","",IFERROR(INDEX(DriverRank,MATCH($R2187,DriverList,0)),99))</f>
        <v/>
      </c>
      <c r="V2187" s="35" t="n">
        <f aca="false">IF($H2187="",0,IFERROR(INDEX(LevelBasic,MATCH($H2187,LevelList,0))+INDEX(LevelHousing,MATCH($H2187,LevelList,0))+INDEX(LevelTransport,MATCH($H2187,LevelList,0))+INDEX(LevelBasic,MATCH($H2187,LevelList,0))*INDEX(LevelBonus,MATCH($H2187,LevelList,0))+(INDEX(LevelBasic,MATCH($H2187,LevelList,0))+INDEX(LevelHousing,MATCH($H2187,LevelList,0)))*GosiSaudi,0))</f>
        <v>0</v>
      </c>
      <c r="W2187" s="35" t="n">
        <f aca="false">IFERROR(INDEX(LevelOneOff,MATCH($H2187,LevelList,0)),0)</f>
        <v>0</v>
      </c>
      <c r="X2187" s="35" t="str">
        <f aca="false">IF($G2187="","",$V2187*N($L2187))</f>
        <v/>
      </c>
      <c r="Y2187" s="35" t="str">
        <f aca="false">IF($G2187="","",$V2187*(N($M2187)*1+N($N2187)*0.75+N($O2187)*0.5+N($P2187)*0.25)+$W2187*N($L2187))</f>
        <v/>
      </c>
      <c r="Z2187" s="35" t="str">
        <f aca="false">IF($G2187="","",$U2187*1000000+ROW())</f>
        <v/>
      </c>
      <c r="AA2187" s="36" t="str">
        <f aca="false">IF($G2187="","",MID(IF($C2187="",", no division","")&amp;IF($E2187="",", no unit","")&amp;IF($H2187="",", no career level","")&amp;IF(N($L2187)&lt;=0,", no quarter split","")&amp;IF($R2187="",", no driver","")&amp;IF(AND($H2187&lt;&gt;"",COUNTIF(CareerLevels,$H2187)=0),", a career level that is not on the ladder","")&amp;IF(AND($R2187&lt;&gt;"",COUNTIF(DriverList,$R2187)=0),", a driver that is not on the list","")&amp;IF(ABS(N($L2187)-(N($M2187)+N($N2187)+N($O2187)+N($P2187)))&gt;0.001,", a total that does not match its quarters",""),3,300))</f>
        <v/>
      </c>
    </row>
    <row r="2188" customFormat="false" ht="15" hidden="false" customHeight="false" outlineLevel="0" collapsed="false">
      <c r="A2188" s="33" t="str">
        <f aca="false">IF($G2188="","","Technology Group")</f>
        <v/>
      </c>
      <c r="B2188" s="19"/>
      <c r="C2188" s="19"/>
      <c r="D2188" s="19"/>
      <c r="E2188" s="19"/>
      <c r="F2188" s="19"/>
      <c r="G2188" s="19"/>
      <c r="H2188" s="19"/>
      <c r="I2188" s="19"/>
      <c r="J2188" s="19"/>
      <c r="K2188" s="19"/>
      <c r="L2188" s="19"/>
      <c r="M2188" s="19"/>
      <c r="N2188" s="19"/>
      <c r="O2188" s="19"/>
      <c r="P2188" s="19"/>
      <c r="Q2188" s="19"/>
      <c r="R2188" s="19"/>
      <c r="S2188" s="19"/>
      <c r="T2188" s="34" t="str">
        <f aca="false">IF($R2188="","",IFERROR(INDEX(DriverCategory,MATCH($R2188,DriverList,0)),"BAU"))</f>
        <v/>
      </c>
      <c r="U2188" s="34" t="str">
        <f aca="false">IF($R2188="","",IFERROR(INDEX(DriverRank,MATCH($R2188,DriverList,0)),99))</f>
        <v/>
      </c>
      <c r="V2188" s="35" t="n">
        <f aca="false">IF($H2188="",0,IFERROR(INDEX(LevelBasic,MATCH($H2188,LevelList,0))+INDEX(LevelHousing,MATCH($H2188,LevelList,0))+INDEX(LevelTransport,MATCH($H2188,LevelList,0))+INDEX(LevelBasic,MATCH($H2188,LevelList,0))*INDEX(LevelBonus,MATCH($H2188,LevelList,0))+(INDEX(LevelBasic,MATCH($H2188,LevelList,0))+INDEX(LevelHousing,MATCH($H2188,LevelList,0)))*GosiSaudi,0))</f>
        <v>0</v>
      </c>
      <c r="W2188" s="35" t="n">
        <f aca="false">IFERROR(INDEX(LevelOneOff,MATCH($H2188,LevelList,0)),0)</f>
        <v>0</v>
      </c>
      <c r="X2188" s="35" t="str">
        <f aca="false">IF($G2188="","",$V2188*N($L2188))</f>
        <v/>
      </c>
      <c r="Y2188" s="35" t="str">
        <f aca="false">IF($G2188="","",$V2188*(N($M2188)*1+N($N2188)*0.75+N($O2188)*0.5+N($P2188)*0.25)+$W2188*N($L2188))</f>
        <v/>
      </c>
      <c r="Z2188" s="35" t="str">
        <f aca="false">IF($G2188="","",$U2188*1000000+ROW())</f>
        <v/>
      </c>
      <c r="AA2188" s="36" t="str">
        <f aca="false">IF($G2188="","",MID(IF($C2188="",", no division","")&amp;IF($E2188="",", no unit","")&amp;IF($H2188="",", no career level","")&amp;IF(N($L2188)&lt;=0,", no quarter split","")&amp;IF($R2188="",", no driver","")&amp;IF(AND($H2188&lt;&gt;"",COUNTIF(CareerLevels,$H2188)=0),", a career level that is not on the ladder","")&amp;IF(AND($R2188&lt;&gt;"",COUNTIF(DriverList,$R2188)=0),", a driver that is not on the list","")&amp;IF(ABS(N($L2188)-(N($M2188)+N($N2188)+N($O2188)+N($P2188)))&gt;0.001,", a total that does not match its quarters",""),3,300))</f>
        <v/>
      </c>
    </row>
    <row r="2189" customFormat="false" ht="15" hidden="false" customHeight="false" outlineLevel="0" collapsed="false">
      <c r="A2189" s="33" t="str">
        <f aca="false">IF($G2189="","","Technology Group")</f>
        <v/>
      </c>
      <c r="B2189" s="19"/>
      <c r="C2189" s="19"/>
      <c r="D2189" s="19"/>
      <c r="E2189" s="19"/>
      <c r="F2189" s="19"/>
      <c r="G2189" s="19"/>
      <c r="H2189" s="19"/>
      <c r="I2189" s="19"/>
      <c r="J2189" s="19"/>
      <c r="K2189" s="19"/>
      <c r="L2189" s="19"/>
      <c r="M2189" s="19"/>
      <c r="N2189" s="19"/>
      <c r="O2189" s="19"/>
      <c r="P2189" s="19"/>
      <c r="Q2189" s="19"/>
      <c r="R2189" s="19"/>
      <c r="S2189" s="19"/>
      <c r="T2189" s="34" t="str">
        <f aca="false">IF($R2189="","",IFERROR(INDEX(DriverCategory,MATCH($R2189,DriverList,0)),"BAU"))</f>
        <v/>
      </c>
      <c r="U2189" s="34" t="str">
        <f aca="false">IF($R2189="","",IFERROR(INDEX(DriverRank,MATCH($R2189,DriverList,0)),99))</f>
        <v/>
      </c>
      <c r="V2189" s="35" t="n">
        <f aca="false">IF($H2189="",0,IFERROR(INDEX(LevelBasic,MATCH($H2189,LevelList,0))+INDEX(LevelHousing,MATCH($H2189,LevelList,0))+INDEX(LevelTransport,MATCH($H2189,LevelList,0))+INDEX(LevelBasic,MATCH($H2189,LevelList,0))*INDEX(LevelBonus,MATCH($H2189,LevelList,0))+(INDEX(LevelBasic,MATCH($H2189,LevelList,0))+INDEX(LevelHousing,MATCH($H2189,LevelList,0)))*GosiSaudi,0))</f>
        <v>0</v>
      </c>
      <c r="W2189" s="35" t="n">
        <f aca="false">IFERROR(INDEX(LevelOneOff,MATCH($H2189,LevelList,0)),0)</f>
        <v>0</v>
      </c>
      <c r="X2189" s="35" t="str">
        <f aca="false">IF($G2189="","",$V2189*N($L2189))</f>
        <v/>
      </c>
      <c r="Y2189" s="35" t="str">
        <f aca="false">IF($G2189="","",$V2189*(N($M2189)*1+N($N2189)*0.75+N($O2189)*0.5+N($P2189)*0.25)+$W2189*N($L2189))</f>
        <v/>
      </c>
      <c r="Z2189" s="35" t="str">
        <f aca="false">IF($G2189="","",$U2189*1000000+ROW())</f>
        <v/>
      </c>
      <c r="AA2189" s="36" t="str">
        <f aca="false">IF($G2189="","",MID(IF($C2189="",", no division","")&amp;IF($E2189="",", no unit","")&amp;IF($H2189="",", no career level","")&amp;IF(N($L2189)&lt;=0,", no quarter split","")&amp;IF($R2189="",", no driver","")&amp;IF(AND($H2189&lt;&gt;"",COUNTIF(CareerLevels,$H2189)=0),", a career level that is not on the ladder","")&amp;IF(AND($R2189&lt;&gt;"",COUNTIF(DriverList,$R2189)=0),", a driver that is not on the list","")&amp;IF(ABS(N($L2189)-(N($M2189)+N($N2189)+N($O2189)+N($P2189)))&gt;0.001,", a total that does not match its quarters",""),3,300))</f>
        <v/>
      </c>
    </row>
    <row r="2190" customFormat="false" ht="15" hidden="false" customHeight="false" outlineLevel="0" collapsed="false">
      <c r="A2190" s="33" t="str">
        <f aca="false">IF($G2190="","","Technology Group")</f>
        <v/>
      </c>
      <c r="B2190" s="19"/>
      <c r="C2190" s="19"/>
      <c r="D2190" s="19"/>
      <c r="E2190" s="19"/>
      <c r="F2190" s="19"/>
      <c r="G2190" s="19"/>
      <c r="H2190" s="19"/>
      <c r="I2190" s="19"/>
      <c r="J2190" s="19"/>
      <c r="K2190" s="19"/>
      <c r="L2190" s="19"/>
      <c r="M2190" s="19"/>
      <c r="N2190" s="19"/>
      <c r="O2190" s="19"/>
      <c r="P2190" s="19"/>
      <c r="Q2190" s="19"/>
      <c r="R2190" s="19"/>
      <c r="S2190" s="19"/>
      <c r="T2190" s="34" t="str">
        <f aca="false">IF($R2190="","",IFERROR(INDEX(DriverCategory,MATCH($R2190,DriverList,0)),"BAU"))</f>
        <v/>
      </c>
      <c r="U2190" s="34" t="str">
        <f aca="false">IF($R2190="","",IFERROR(INDEX(DriverRank,MATCH($R2190,DriverList,0)),99))</f>
        <v/>
      </c>
      <c r="V2190" s="35" t="n">
        <f aca="false">IF($H2190="",0,IFERROR(INDEX(LevelBasic,MATCH($H2190,LevelList,0))+INDEX(LevelHousing,MATCH($H2190,LevelList,0))+INDEX(LevelTransport,MATCH($H2190,LevelList,0))+INDEX(LevelBasic,MATCH($H2190,LevelList,0))*INDEX(LevelBonus,MATCH($H2190,LevelList,0))+(INDEX(LevelBasic,MATCH($H2190,LevelList,0))+INDEX(LevelHousing,MATCH($H2190,LevelList,0)))*GosiSaudi,0))</f>
        <v>0</v>
      </c>
      <c r="W2190" s="35" t="n">
        <f aca="false">IFERROR(INDEX(LevelOneOff,MATCH($H2190,LevelList,0)),0)</f>
        <v>0</v>
      </c>
      <c r="X2190" s="35" t="str">
        <f aca="false">IF($G2190="","",$V2190*N($L2190))</f>
        <v/>
      </c>
      <c r="Y2190" s="35" t="str">
        <f aca="false">IF($G2190="","",$V2190*(N($M2190)*1+N($N2190)*0.75+N($O2190)*0.5+N($P2190)*0.25)+$W2190*N($L2190))</f>
        <v/>
      </c>
      <c r="Z2190" s="35" t="str">
        <f aca="false">IF($G2190="","",$U2190*1000000+ROW())</f>
        <v/>
      </c>
      <c r="AA2190" s="36" t="str">
        <f aca="false">IF($G2190="","",MID(IF($C2190="",", no division","")&amp;IF($E2190="",", no unit","")&amp;IF($H2190="",", no career level","")&amp;IF(N($L2190)&lt;=0,", no quarter split","")&amp;IF($R2190="",", no driver","")&amp;IF(AND($H2190&lt;&gt;"",COUNTIF(CareerLevels,$H2190)=0),", a career level that is not on the ladder","")&amp;IF(AND($R2190&lt;&gt;"",COUNTIF(DriverList,$R2190)=0),", a driver that is not on the list","")&amp;IF(ABS(N($L2190)-(N($M2190)+N($N2190)+N($O2190)+N($P2190)))&gt;0.001,", a total that does not match its quarters",""),3,300))</f>
        <v/>
      </c>
    </row>
    <row r="2191" customFormat="false" ht="15" hidden="false" customHeight="false" outlineLevel="0" collapsed="false">
      <c r="A2191" s="33" t="str">
        <f aca="false">IF($G2191="","","Technology Group")</f>
        <v/>
      </c>
      <c r="B2191" s="19"/>
      <c r="C2191" s="19"/>
      <c r="D2191" s="19"/>
      <c r="E2191" s="19"/>
      <c r="F2191" s="19"/>
      <c r="G2191" s="19"/>
      <c r="H2191" s="19"/>
      <c r="I2191" s="19"/>
      <c r="J2191" s="19"/>
      <c r="K2191" s="19"/>
      <c r="L2191" s="19"/>
      <c r="M2191" s="19"/>
      <c r="N2191" s="19"/>
      <c r="O2191" s="19"/>
      <c r="P2191" s="19"/>
      <c r="Q2191" s="19"/>
      <c r="R2191" s="19"/>
      <c r="S2191" s="19"/>
      <c r="T2191" s="34" t="str">
        <f aca="false">IF($R2191="","",IFERROR(INDEX(DriverCategory,MATCH($R2191,DriverList,0)),"BAU"))</f>
        <v/>
      </c>
      <c r="U2191" s="34" t="str">
        <f aca="false">IF($R2191="","",IFERROR(INDEX(DriverRank,MATCH($R2191,DriverList,0)),99))</f>
        <v/>
      </c>
      <c r="V2191" s="35" t="n">
        <f aca="false">IF($H2191="",0,IFERROR(INDEX(LevelBasic,MATCH($H2191,LevelList,0))+INDEX(LevelHousing,MATCH($H2191,LevelList,0))+INDEX(LevelTransport,MATCH($H2191,LevelList,0))+INDEX(LevelBasic,MATCH($H2191,LevelList,0))*INDEX(LevelBonus,MATCH($H2191,LevelList,0))+(INDEX(LevelBasic,MATCH($H2191,LevelList,0))+INDEX(LevelHousing,MATCH($H2191,LevelList,0)))*GosiSaudi,0))</f>
        <v>0</v>
      </c>
      <c r="W2191" s="35" t="n">
        <f aca="false">IFERROR(INDEX(LevelOneOff,MATCH($H2191,LevelList,0)),0)</f>
        <v>0</v>
      </c>
      <c r="X2191" s="35" t="str">
        <f aca="false">IF($G2191="","",$V2191*N($L2191))</f>
        <v/>
      </c>
      <c r="Y2191" s="35" t="str">
        <f aca="false">IF($G2191="","",$V2191*(N($M2191)*1+N($N2191)*0.75+N($O2191)*0.5+N($P2191)*0.25)+$W2191*N($L2191))</f>
        <v/>
      </c>
      <c r="Z2191" s="35" t="str">
        <f aca="false">IF($G2191="","",$U2191*1000000+ROW())</f>
        <v/>
      </c>
      <c r="AA2191" s="36" t="str">
        <f aca="false">IF($G2191="","",MID(IF($C2191="",", no division","")&amp;IF($E2191="",", no unit","")&amp;IF($H2191="",", no career level","")&amp;IF(N($L2191)&lt;=0,", no quarter split","")&amp;IF($R2191="",", no driver","")&amp;IF(AND($H2191&lt;&gt;"",COUNTIF(CareerLevels,$H2191)=0),", a career level that is not on the ladder","")&amp;IF(AND($R2191&lt;&gt;"",COUNTIF(DriverList,$R2191)=0),", a driver that is not on the list","")&amp;IF(ABS(N($L2191)-(N($M2191)+N($N2191)+N($O2191)+N($P2191)))&gt;0.001,", a total that does not match its quarters",""),3,300))</f>
        <v/>
      </c>
    </row>
    <row r="2192" customFormat="false" ht="15" hidden="false" customHeight="false" outlineLevel="0" collapsed="false">
      <c r="A2192" s="33" t="str">
        <f aca="false">IF($G2192="","","Technology Group")</f>
        <v/>
      </c>
      <c r="B2192" s="19"/>
      <c r="C2192" s="19"/>
      <c r="D2192" s="19"/>
      <c r="E2192" s="19"/>
      <c r="F2192" s="19"/>
      <c r="G2192" s="19"/>
      <c r="H2192" s="19"/>
      <c r="I2192" s="19"/>
      <c r="J2192" s="19"/>
      <c r="K2192" s="19"/>
      <c r="L2192" s="19"/>
      <c r="M2192" s="19"/>
      <c r="N2192" s="19"/>
      <c r="O2192" s="19"/>
      <c r="P2192" s="19"/>
      <c r="Q2192" s="19"/>
      <c r="R2192" s="19"/>
      <c r="S2192" s="19"/>
      <c r="T2192" s="34" t="str">
        <f aca="false">IF($R2192="","",IFERROR(INDEX(DriverCategory,MATCH($R2192,DriverList,0)),"BAU"))</f>
        <v/>
      </c>
      <c r="U2192" s="34" t="str">
        <f aca="false">IF($R2192="","",IFERROR(INDEX(DriverRank,MATCH($R2192,DriverList,0)),99))</f>
        <v/>
      </c>
      <c r="V2192" s="35" t="n">
        <f aca="false">IF($H2192="",0,IFERROR(INDEX(LevelBasic,MATCH($H2192,LevelList,0))+INDEX(LevelHousing,MATCH($H2192,LevelList,0))+INDEX(LevelTransport,MATCH($H2192,LevelList,0))+INDEX(LevelBasic,MATCH($H2192,LevelList,0))*INDEX(LevelBonus,MATCH($H2192,LevelList,0))+(INDEX(LevelBasic,MATCH($H2192,LevelList,0))+INDEX(LevelHousing,MATCH($H2192,LevelList,0)))*GosiSaudi,0))</f>
        <v>0</v>
      </c>
      <c r="W2192" s="35" t="n">
        <f aca="false">IFERROR(INDEX(LevelOneOff,MATCH($H2192,LevelList,0)),0)</f>
        <v>0</v>
      </c>
      <c r="X2192" s="35" t="str">
        <f aca="false">IF($G2192="","",$V2192*N($L2192))</f>
        <v/>
      </c>
      <c r="Y2192" s="35" t="str">
        <f aca="false">IF($G2192="","",$V2192*(N($M2192)*1+N($N2192)*0.75+N($O2192)*0.5+N($P2192)*0.25)+$W2192*N($L2192))</f>
        <v/>
      </c>
      <c r="Z2192" s="35" t="str">
        <f aca="false">IF($G2192="","",$U2192*1000000+ROW())</f>
        <v/>
      </c>
      <c r="AA2192" s="36" t="str">
        <f aca="false">IF($G2192="","",MID(IF($C2192="",", no division","")&amp;IF($E2192="",", no unit","")&amp;IF($H2192="",", no career level","")&amp;IF(N($L2192)&lt;=0,", no quarter split","")&amp;IF($R2192="",", no driver","")&amp;IF(AND($H2192&lt;&gt;"",COUNTIF(CareerLevels,$H2192)=0),", a career level that is not on the ladder","")&amp;IF(AND($R2192&lt;&gt;"",COUNTIF(DriverList,$R2192)=0),", a driver that is not on the list","")&amp;IF(ABS(N($L2192)-(N($M2192)+N($N2192)+N($O2192)+N($P2192)))&gt;0.001,", a total that does not match its quarters",""),3,300))</f>
        <v/>
      </c>
    </row>
    <row r="2193" customFormat="false" ht="15" hidden="false" customHeight="false" outlineLevel="0" collapsed="false">
      <c r="A2193" s="33" t="str">
        <f aca="false">IF($G2193="","","Technology Group")</f>
        <v/>
      </c>
      <c r="B2193" s="19"/>
      <c r="C2193" s="19"/>
      <c r="D2193" s="19"/>
      <c r="E2193" s="19"/>
      <c r="F2193" s="19"/>
      <c r="G2193" s="19"/>
      <c r="H2193" s="19"/>
      <c r="I2193" s="19"/>
      <c r="J2193" s="19"/>
      <c r="K2193" s="19"/>
      <c r="L2193" s="19"/>
      <c r="M2193" s="19"/>
      <c r="N2193" s="19"/>
      <c r="O2193" s="19"/>
      <c r="P2193" s="19"/>
      <c r="Q2193" s="19"/>
      <c r="R2193" s="19"/>
      <c r="S2193" s="19"/>
      <c r="T2193" s="34" t="str">
        <f aca="false">IF($R2193="","",IFERROR(INDEX(DriverCategory,MATCH($R2193,DriverList,0)),"BAU"))</f>
        <v/>
      </c>
      <c r="U2193" s="34" t="str">
        <f aca="false">IF($R2193="","",IFERROR(INDEX(DriverRank,MATCH($R2193,DriverList,0)),99))</f>
        <v/>
      </c>
      <c r="V2193" s="35" t="n">
        <f aca="false">IF($H2193="",0,IFERROR(INDEX(LevelBasic,MATCH($H2193,LevelList,0))+INDEX(LevelHousing,MATCH($H2193,LevelList,0))+INDEX(LevelTransport,MATCH($H2193,LevelList,0))+INDEX(LevelBasic,MATCH($H2193,LevelList,0))*INDEX(LevelBonus,MATCH($H2193,LevelList,0))+(INDEX(LevelBasic,MATCH($H2193,LevelList,0))+INDEX(LevelHousing,MATCH($H2193,LevelList,0)))*GosiSaudi,0))</f>
        <v>0</v>
      </c>
      <c r="W2193" s="35" t="n">
        <f aca="false">IFERROR(INDEX(LevelOneOff,MATCH($H2193,LevelList,0)),0)</f>
        <v>0</v>
      </c>
      <c r="X2193" s="35" t="str">
        <f aca="false">IF($G2193="","",$V2193*N($L2193))</f>
        <v/>
      </c>
      <c r="Y2193" s="35" t="str">
        <f aca="false">IF($G2193="","",$V2193*(N($M2193)*1+N($N2193)*0.75+N($O2193)*0.5+N($P2193)*0.25)+$W2193*N($L2193))</f>
        <v/>
      </c>
      <c r="Z2193" s="35" t="str">
        <f aca="false">IF($G2193="","",$U2193*1000000+ROW())</f>
        <v/>
      </c>
      <c r="AA2193" s="36" t="str">
        <f aca="false">IF($G2193="","",MID(IF($C2193="",", no division","")&amp;IF($E2193="",", no unit","")&amp;IF($H2193="",", no career level","")&amp;IF(N($L2193)&lt;=0,", no quarter split","")&amp;IF($R2193="",", no driver","")&amp;IF(AND($H2193&lt;&gt;"",COUNTIF(CareerLevels,$H2193)=0),", a career level that is not on the ladder","")&amp;IF(AND($R2193&lt;&gt;"",COUNTIF(DriverList,$R2193)=0),", a driver that is not on the list","")&amp;IF(ABS(N($L2193)-(N($M2193)+N($N2193)+N($O2193)+N($P2193)))&gt;0.001,", a total that does not match its quarters",""),3,300))</f>
        <v/>
      </c>
    </row>
    <row r="2194" customFormat="false" ht="15" hidden="false" customHeight="false" outlineLevel="0" collapsed="false">
      <c r="A2194" s="33" t="str">
        <f aca="false">IF($G2194="","","Technology Group")</f>
        <v/>
      </c>
      <c r="B2194" s="19"/>
      <c r="C2194" s="19"/>
      <c r="D2194" s="19"/>
      <c r="E2194" s="19"/>
      <c r="F2194" s="19"/>
      <c r="G2194" s="19"/>
      <c r="H2194" s="19"/>
      <c r="I2194" s="19"/>
      <c r="J2194" s="19"/>
      <c r="K2194" s="19"/>
      <c r="L2194" s="19"/>
      <c r="M2194" s="19"/>
      <c r="N2194" s="19"/>
      <c r="O2194" s="19"/>
      <c r="P2194" s="19"/>
      <c r="Q2194" s="19"/>
      <c r="R2194" s="19"/>
      <c r="S2194" s="19"/>
      <c r="T2194" s="34" t="str">
        <f aca="false">IF($R2194="","",IFERROR(INDEX(DriverCategory,MATCH($R2194,DriverList,0)),"BAU"))</f>
        <v/>
      </c>
      <c r="U2194" s="34" t="str">
        <f aca="false">IF($R2194="","",IFERROR(INDEX(DriverRank,MATCH($R2194,DriverList,0)),99))</f>
        <v/>
      </c>
      <c r="V2194" s="35" t="n">
        <f aca="false">IF($H2194="",0,IFERROR(INDEX(LevelBasic,MATCH($H2194,LevelList,0))+INDEX(LevelHousing,MATCH($H2194,LevelList,0))+INDEX(LevelTransport,MATCH($H2194,LevelList,0))+INDEX(LevelBasic,MATCH($H2194,LevelList,0))*INDEX(LevelBonus,MATCH($H2194,LevelList,0))+(INDEX(LevelBasic,MATCH($H2194,LevelList,0))+INDEX(LevelHousing,MATCH($H2194,LevelList,0)))*GosiSaudi,0))</f>
        <v>0</v>
      </c>
      <c r="W2194" s="35" t="n">
        <f aca="false">IFERROR(INDEX(LevelOneOff,MATCH($H2194,LevelList,0)),0)</f>
        <v>0</v>
      </c>
      <c r="X2194" s="35" t="str">
        <f aca="false">IF($G2194="","",$V2194*N($L2194))</f>
        <v/>
      </c>
      <c r="Y2194" s="35" t="str">
        <f aca="false">IF($G2194="","",$V2194*(N($M2194)*1+N($N2194)*0.75+N($O2194)*0.5+N($P2194)*0.25)+$W2194*N($L2194))</f>
        <v/>
      </c>
      <c r="Z2194" s="35" t="str">
        <f aca="false">IF($G2194="","",$U2194*1000000+ROW())</f>
        <v/>
      </c>
      <c r="AA2194" s="36" t="str">
        <f aca="false">IF($G2194="","",MID(IF($C2194="",", no division","")&amp;IF($E2194="",", no unit","")&amp;IF($H2194="",", no career level","")&amp;IF(N($L2194)&lt;=0,", no quarter split","")&amp;IF($R2194="",", no driver","")&amp;IF(AND($H2194&lt;&gt;"",COUNTIF(CareerLevels,$H2194)=0),", a career level that is not on the ladder","")&amp;IF(AND($R2194&lt;&gt;"",COUNTIF(DriverList,$R2194)=0),", a driver that is not on the list","")&amp;IF(ABS(N($L2194)-(N($M2194)+N($N2194)+N($O2194)+N($P2194)))&gt;0.001,", a total that does not match its quarters",""),3,300))</f>
        <v/>
      </c>
    </row>
    <row r="2195" customFormat="false" ht="15" hidden="false" customHeight="false" outlineLevel="0" collapsed="false">
      <c r="A2195" s="33" t="str">
        <f aca="false">IF($G2195="","","Technology Group")</f>
        <v/>
      </c>
      <c r="B2195" s="19"/>
      <c r="C2195" s="19"/>
      <c r="D2195" s="19"/>
      <c r="E2195" s="19"/>
      <c r="F2195" s="19"/>
      <c r="G2195" s="19"/>
      <c r="H2195" s="19"/>
      <c r="I2195" s="19"/>
      <c r="J2195" s="19"/>
      <c r="K2195" s="19"/>
      <c r="L2195" s="19"/>
      <c r="M2195" s="19"/>
      <c r="N2195" s="19"/>
      <c r="O2195" s="19"/>
      <c r="P2195" s="19"/>
      <c r="Q2195" s="19"/>
      <c r="R2195" s="19"/>
      <c r="S2195" s="19"/>
      <c r="T2195" s="34" t="str">
        <f aca="false">IF($R2195="","",IFERROR(INDEX(DriverCategory,MATCH($R2195,DriverList,0)),"BAU"))</f>
        <v/>
      </c>
      <c r="U2195" s="34" t="str">
        <f aca="false">IF($R2195="","",IFERROR(INDEX(DriverRank,MATCH($R2195,DriverList,0)),99))</f>
        <v/>
      </c>
      <c r="V2195" s="35" t="n">
        <f aca="false">IF($H2195="",0,IFERROR(INDEX(LevelBasic,MATCH($H2195,LevelList,0))+INDEX(LevelHousing,MATCH($H2195,LevelList,0))+INDEX(LevelTransport,MATCH($H2195,LevelList,0))+INDEX(LevelBasic,MATCH($H2195,LevelList,0))*INDEX(LevelBonus,MATCH($H2195,LevelList,0))+(INDEX(LevelBasic,MATCH($H2195,LevelList,0))+INDEX(LevelHousing,MATCH($H2195,LevelList,0)))*GosiSaudi,0))</f>
        <v>0</v>
      </c>
      <c r="W2195" s="35" t="n">
        <f aca="false">IFERROR(INDEX(LevelOneOff,MATCH($H2195,LevelList,0)),0)</f>
        <v>0</v>
      </c>
      <c r="X2195" s="35" t="str">
        <f aca="false">IF($G2195="","",$V2195*N($L2195))</f>
        <v/>
      </c>
      <c r="Y2195" s="35" t="str">
        <f aca="false">IF($G2195="","",$V2195*(N($M2195)*1+N($N2195)*0.75+N($O2195)*0.5+N($P2195)*0.25)+$W2195*N($L2195))</f>
        <v/>
      </c>
      <c r="Z2195" s="35" t="str">
        <f aca="false">IF($G2195="","",$U2195*1000000+ROW())</f>
        <v/>
      </c>
      <c r="AA2195" s="36" t="str">
        <f aca="false">IF($G2195="","",MID(IF($C2195="",", no division","")&amp;IF($E2195="",", no unit","")&amp;IF($H2195="",", no career level","")&amp;IF(N($L2195)&lt;=0,", no quarter split","")&amp;IF($R2195="",", no driver","")&amp;IF(AND($H2195&lt;&gt;"",COUNTIF(CareerLevels,$H2195)=0),", a career level that is not on the ladder","")&amp;IF(AND($R2195&lt;&gt;"",COUNTIF(DriverList,$R2195)=0),", a driver that is not on the list","")&amp;IF(ABS(N($L2195)-(N($M2195)+N($N2195)+N($O2195)+N($P2195)))&gt;0.001,", a total that does not match its quarters",""),3,300))</f>
        <v/>
      </c>
    </row>
    <row r="2196" customFormat="false" ht="15" hidden="false" customHeight="false" outlineLevel="0" collapsed="false">
      <c r="A2196" s="33" t="str">
        <f aca="false">IF($G2196="","","Technology Group")</f>
        <v/>
      </c>
      <c r="B2196" s="19"/>
      <c r="C2196" s="19"/>
      <c r="D2196" s="19"/>
      <c r="E2196" s="19"/>
      <c r="F2196" s="19"/>
      <c r="G2196" s="19"/>
      <c r="H2196" s="19"/>
      <c r="I2196" s="19"/>
      <c r="J2196" s="19"/>
      <c r="K2196" s="19"/>
      <c r="L2196" s="19"/>
      <c r="M2196" s="19"/>
      <c r="N2196" s="19"/>
      <c r="O2196" s="19"/>
      <c r="P2196" s="19"/>
      <c r="Q2196" s="19"/>
      <c r="R2196" s="19"/>
      <c r="S2196" s="19"/>
      <c r="T2196" s="34" t="str">
        <f aca="false">IF($R2196="","",IFERROR(INDEX(DriverCategory,MATCH($R2196,DriverList,0)),"BAU"))</f>
        <v/>
      </c>
      <c r="U2196" s="34" t="str">
        <f aca="false">IF($R2196="","",IFERROR(INDEX(DriverRank,MATCH($R2196,DriverList,0)),99))</f>
        <v/>
      </c>
      <c r="V2196" s="35" t="n">
        <f aca="false">IF($H2196="",0,IFERROR(INDEX(LevelBasic,MATCH($H2196,LevelList,0))+INDEX(LevelHousing,MATCH($H2196,LevelList,0))+INDEX(LevelTransport,MATCH($H2196,LevelList,0))+INDEX(LevelBasic,MATCH($H2196,LevelList,0))*INDEX(LevelBonus,MATCH($H2196,LevelList,0))+(INDEX(LevelBasic,MATCH($H2196,LevelList,0))+INDEX(LevelHousing,MATCH($H2196,LevelList,0)))*GosiSaudi,0))</f>
        <v>0</v>
      </c>
      <c r="W2196" s="35" t="n">
        <f aca="false">IFERROR(INDEX(LevelOneOff,MATCH($H2196,LevelList,0)),0)</f>
        <v>0</v>
      </c>
      <c r="X2196" s="35" t="str">
        <f aca="false">IF($G2196="","",$V2196*N($L2196))</f>
        <v/>
      </c>
      <c r="Y2196" s="35" t="str">
        <f aca="false">IF($G2196="","",$V2196*(N($M2196)*1+N($N2196)*0.75+N($O2196)*0.5+N($P2196)*0.25)+$W2196*N($L2196))</f>
        <v/>
      </c>
      <c r="Z2196" s="35" t="str">
        <f aca="false">IF($G2196="","",$U2196*1000000+ROW())</f>
        <v/>
      </c>
      <c r="AA2196" s="36" t="str">
        <f aca="false">IF($G2196="","",MID(IF($C2196="",", no division","")&amp;IF($E2196="",", no unit","")&amp;IF($H2196="",", no career level","")&amp;IF(N($L2196)&lt;=0,", no quarter split","")&amp;IF($R2196="",", no driver","")&amp;IF(AND($H2196&lt;&gt;"",COUNTIF(CareerLevels,$H2196)=0),", a career level that is not on the ladder","")&amp;IF(AND($R2196&lt;&gt;"",COUNTIF(DriverList,$R2196)=0),", a driver that is not on the list","")&amp;IF(ABS(N($L2196)-(N($M2196)+N($N2196)+N($O2196)+N($P2196)))&gt;0.001,", a total that does not match its quarters",""),3,300))</f>
        <v/>
      </c>
    </row>
    <row r="2197" customFormat="false" ht="15" hidden="false" customHeight="false" outlineLevel="0" collapsed="false">
      <c r="A2197" s="33" t="str">
        <f aca="false">IF($G2197="","","Technology Group")</f>
        <v/>
      </c>
      <c r="B2197" s="19"/>
      <c r="C2197" s="19"/>
      <c r="D2197" s="19"/>
      <c r="E2197" s="19"/>
      <c r="F2197" s="19"/>
      <c r="G2197" s="19"/>
      <c r="H2197" s="19"/>
      <c r="I2197" s="19"/>
      <c r="J2197" s="19"/>
      <c r="K2197" s="19"/>
      <c r="L2197" s="19"/>
      <c r="M2197" s="19"/>
      <c r="N2197" s="19"/>
      <c r="O2197" s="19"/>
      <c r="P2197" s="19"/>
      <c r="Q2197" s="19"/>
      <c r="R2197" s="19"/>
      <c r="S2197" s="19"/>
      <c r="T2197" s="34" t="str">
        <f aca="false">IF($R2197="","",IFERROR(INDEX(DriverCategory,MATCH($R2197,DriverList,0)),"BAU"))</f>
        <v/>
      </c>
      <c r="U2197" s="34" t="str">
        <f aca="false">IF($R2197="","",IFERROR(INDEX(DriverRank,MATCH($R2197,DriverList,0)),99))</f>
        <v/>
      </c>
      <c r="V2197" s="35" t="n">
        <f aca="false">IF($H2197="",0,IFERROR(INDEX(LevelBasic,MATCH($H2197,LevelList,0))+INDEX(LevelHousing,MATCH($H2197,LevelList,0))+INDEX(LevelTransport,MATCH($H2197,LevelList,0))+INDEX(LevelBasic,MATCH($H2197,LevelList,0))*INDEX(LevelBonus,MATCH($H2197,LevelList,0))+(INDEX(LevelBasic,MATCH($H2197,LevelList,0))+INDEX(LevelHousing,MATCH($H2197,LevelList,0)))*GosiSaudi,0))</f>
        <v>0</v>
      </c>
      <c r="W2197" s="35" t="n">
        <f aca="false">IFERROR(INDEX(LevelOneOff,MATCH($H2197,LevelList,0)),0)</f>
        <v>0</v>
      </c>
      <c r="X2197" s="35" t="str">
        <f aca="false">IF($G2197="","",$V2197*N($L2197))</f>
        <v/>
      </c>
      <c r="Y2197" s="35" t="str">
        <f aca="false">IF($G2197="","",$V2197*(N($M2197)*1+N($N2197)*0.75+N($O2197)*0.5+N($P2197)*0.25)+$W2197*N($L2197))</f>
        <v/>
      </c>
      <c r="Z2197" s="35" t="str">
        <f aca="false">IF($G2197="","",$U2197*1000000+ROW())</f>
        <v/>
      </c>
      <c r="AA2197" s="36" t="str">
        <f aca="false">IF($G2197="","",MID(IF($C2197="",", no division","")&amp;IF($E2197="",", no unit","")&amp;IF($H2197="",", no career level","")&amp;IF(N($L2197)&lt;=0,", no quarter split","")&amp;IF($R2197="",", no driver","")&amp;IF(AND($H2197&lt;&gt;"",COUNTIF(CareerLevels,$H2197)=0),", a career level that is not on the ladder","")&amp;IF(AND($R2197&lt;&gt;"",COUNTIF(DriverList,$R2197)=0),", a driver that is not on the list","")&amp;IF(ABS(N($L2197)-(N($M2197)+N($N2197)+N($O2197)+N($P2197)))&gt;0.001,", a total that does not match its quarters",""),3,300))</f>
        <v/>
      </c>
    </row>
    <row r="2198" customFormat="false" ht="15" hidden="false" customHeight="false" outlineLevel="0" collapsed="false">
      <c r="A2198" s="33" t="str">
        <f aca="false">IF($G2198="","","Technology Group")</f>
        <v/>
      </c>
      <c r="B2198" s="19"/>
      <c r="C2198" s="19"/>
      <c r="D2198" s="19"/>
      <c r="E2198" s="19"/>
      <c r="F2198" s="19"/>
      <c r="G2198" s="19"/>
      <c r="H2198" s="19"/>
      <c r="I2198" s="19"/>
      <c r="J2198" s="19"/>
      <c r="K2198" s="19"/>
      <c r="L2198" s="19"/>
      <c r="M2198" s="19"/>
      <c r="N2198" s="19"/>
      <c r="O2198" s="19"/>
      <c r="P2198" s="19"/>
      <c r="Q2198" s="19"/>
      <c r="R2198" s="19"/>
      <c r="S2198" s="19"/>
      <c r="T2198" s="34" t="str">
        <f aca="false">IF($R2198="","",IFERROR(INDEX(DriverCategory,MATCH($R2198,DriverList,0)),"BAU"))</f>
        <v/>
      </c>
      <c r="U2198" s="34" t="str">
        <f aca="false">IF($R2198="","",IFERROR(INDEX(DriverRank,MATCH($R2198,DriverList,0)),99))</f>
        <v/>
      </c>
      <c r="V2198" s="35" t="n">
        <f aca="false">IF($H2198="",0,IFERROR(INDEX(LevelBasic,MATCH($H2198,LevelList,0))+INDEX(LevelHousing,MATCH($H2198,LevelList,0))+INDEX(LevelTransport,MATCH($H2198,LevelList,0))+INDEX(LevelBasic,MATCH($H2198,LevelList,0))*INDEX(LevelBonus,MATCH($H2198,LevelList,0))+(INDEX(LevelBasic,MATCH($H2198,LevelList,0))+INDEX(LevelHousing,MATCH($H2198,LevelList,0)))*GosiSaudi,0))</f>
        <v>0</v>
      </c>
      <c r="W2198" s="35" t="n">
        <f aca="false">IFERROR(INDEX(LevelOneOff,MATCH($H2198,LevelList,0)),0)</f>
        <v>0</v>
      </c>
      <c r="X2198" s="35" t="str">
        <f aca="false">IF($G2198="","",$V2198*N($L2198))</f>
        <v/>
      </c>
      <c r="Y2198" s="35" t="str">
        <f aca="false">IF($G2198="","",$V2198*(N($M2198)*1+N($N2198)*0.75+N($O2198)*0.5+N($P2198)*0.25)+$W2198*N($L2198))</f>
        <v/>
      </c>
      <c r="Z2198" s="35" t="str">
        <f aca="false">IF($G2198="","",$U2198*1000000+ROW())</f>
        <v/>
      </c>
      <c r="AA2198" s="36" t="str">
        <f aca="false">IF($G2198="","",MID(IF($C2198="",", no division","")&amp;IF($E2198="",", no unit","")&amp;IF($H2198="",", no career level","")&amp;IF(N($L2198)&lt;=0,", no quarter split","")&amp;IF($R2198="",", no driver","")&amp;IF(AND($H2198&lt;&gt;"",COUNTIF(CareerLevels,$H2198)=0),", a career level that is not on the ladder","")&amp;IF(AND($R2198&lt;&gt;"",COUNTIF(DriverList,$R2198)=0),", a driver that is not on the list","")&amp;IF(ABS(N($L2198)-(N($M2198)+N($N2198)+N($O2198)+N($P2198)))&gt;0.001,", a total that does not match its quarters",""),3,300))</f>
        <v/>
      </c>
    </row>
    <row r="2199" customFormat="false" ht="15" hidden="false" customHeight="false" outlineLevel="0" collapsed="false">
      <c r="A2199" s="33" t="str">
        <f aca="false">IF($G2199="","","Technology Group")</f>
        <v/>
      </c>
      <c r="B2199" s="19"/>
      <c r="C2199" s="19"/>
      <c r="D2199" s="19"/>
      <c r="E2199" s="19"/>
      <c r="F2199" s="19"/>
      <c r="G2199" s="19"/>
      <c r="H2199" s="19"/>
      <c r="I2199" s="19"/>
      <c r="J2199" s="19"/>
      <c r="K2199" s="19"/>
      <c r="L2199" s="19"/>
      <c r="M2199" s="19"/>
      <c r="N2199" s="19"/>
      <c r="O2199" s="19"/>
      <c r="P2199" s="19"/>
      <c r="Q2199" s="19"/>
      <c r="R2199" s="19"/>
      <c r="S2199" s="19"/>
      <c r="T2199" s="34" t="str">
        <f aca="false">IF($R2199="","",IFERROR(INDEX(DriverCategory,MATCH($R2199,DriverList,0)),"BAU"))</f>
        <v/>
      </c>
      <c r="U2199" s="34" t="str">
        <f aca="false">IF($R2199="","",IFERROR(INDEX(DriverRank,MATCH($R2199,DriverList,0)),99))</f>
        <v/>
      </c>
      <c r="V2199" s="35" t="n">
        <f aca="false">IF($H2199="",0,IFERROR(INDEX(LevelBasic,MATCH($H2199,LevelList,0))+INDEX(LevelHousing,MATCH($H2199,LevelList,0))+INDEX(LevelTransport,MATCH($H2199,LevelList,0))+INDEX(LevelBasic,MATCH($H2199,LevelList,0))*INDEX(LevelBonus,MATCH($H2199,LevelList,0))+(INDEX(LevelBasic,MATCH($H2199,LevelList,0))+INDEX(LevelHousing,MATCH($H2199,LevelList,0)))*GosiSaudi,0))</f>
        <v>0</v>
      </c>
      <c r="W2199" s="35" t="n">
        <f aca="false">IFERROR(INDEX(LevelOneOff,MATCH($H2199,LevelList,0)),0)</f>
        <v>0</v>
      </c>
      <c r="X2199" s="35" t="str">
        <f aca="false">IF($G2199="","",$V2199*N($L2199))</f>
        <v/>
      </c>
      <c r="Y2199" s="35" t="str">
        <f aca="false">IF($G2199="","",$V2199*(N($M2199)*1+N($N2199)*0.75+N($O2199)*0.5+N($P2199)*0.25)+$W2199*N($L2199))</f>
        <v/>
      </c>
      <c r="Z2199" s="35" t="str">
        <f aca="false">IF($G2199="","",$U2199*1000000+ROW())</f>
        <v/>
      </c>
      <c r="AA2199" s="36" t="str">
        <f aca="false">IF($G2199="","",MID(IF($C2199="",", no division","")&amp;IF($E2199="",", no unit","")&amp;IF($H2199="",", no career level","")&amp;IF(N($L2199)&lt;=0,", no quarter split","")&amp;IF($R2199="",", no driver","")&amp;IF(AND($H2199&lt;&gt;"",COUNTIF(CareerLevels,$H2199)=0),", a career level that is not on the ladder","")&amp;IF(AND($R2199&lt;&gt;"",COUNTIF(DriverList,$R2199)=0),", a driver that is not on the list","")&amp;IF(ABS(N($L2199)-(N($M2199)+N($N2199)+N($O2199)+N($P2199)))&gt;0.001,", a total that does not match its quarters",""),3,300))</f>
        <v/>
      </c>
    </row>
    <row r="2200" customFormat="false" ht="15" hidden="false" customHeight="false" outlineLevel="0" collapsed="false">
      <c r="A2200" s="33" t="str">
        <f aca="false">IF($G2200="","","Technology Group")</f>
        <v/>
      </c>
      <c r="B2200" s="19"/>
      <c r="C2200" s="19"/>
      <c r="D2200" s="19"/>
      <c r="E2200" s="19"/>
      <c r="F2200" s="19"/>
      <c r="G2200" s="19"/>
      <c r="H2200" s="19"/>
      <c r="I2200" s="19"/>
      <c r="J2200" s="19"/>
      <c r="K2200" s="19"/>
      <c r="L2200" s="19"/>
      <c r="M2200" s="19"/>
      <c r="N2200" s="19"/>
      <c r="O2200" s="19"/>
      <c r="P2200" s="19"/>
      <c r="Q2200" s="19"/>
      <c r="R2200" s="19"/>
      <c r="S2200" s="19"/>
      <c r="T2200" s="34" t="str">
        <f aca="false">IF($R2200="","",IFERROR(INDEX(DriverCategory,MATCH($R2200,DriverList,0)),"BAU"))</f>
        <v/>
      </c>
      <c r="U2200" s="34" t="str">
        <f aca="false">IF($R2200="","",IFERROR(INDEX(DriverRank,MATCH($R2200,DriverList,0)),99))</f>
        <v/>
      </c>
      <c r="V2200" s="35" t="n">
        <f aca="false">IF($H2200="",0,IFERROR(INDEX(LevelBasic,MATCH($H2200,LevelList,0))+INDEX(LevelHousing,MATCH($H2200,LevelList,0))+INDEX(LevelTransport,MATCH($H2200,LevelList,0))+INDEX(LevelBasic,MATCH($H2200,LevelList,0))*INDEX(LevelBonus,MATCH($H2200,LevelList,0))+(INDEX(LevelBasic,MATCH($H2200,LevelList,0))+INDEX(LevelHousing,MATCH($H2200,LevelList,0)))*GosiSaudi,0))</f>
        <v>0</v>
      </c>
      <c r="W2200" s="35" t="n">
        <f aca="false">IFERROR(INDEX(LevelOneOff,MATCH($H2200,LevelList,0)),0)</f>
        <v>0</v>
      </c>
      <c r="X2200" s="35" t="str">
        <f aca="false">IF($G2200="","",$V2200*N($L2200))</f>
        <v/>
      </c>
      <c r="Y2200" s="35" t="str">
        <f aca="false">IF($G2200="","",$V2200*(N($M2200)*1+N($N2200)*0.75+N($O2200)*0.5+N($P2200)*0.25)+$W2200*N($L2200))</f>
        <v/>
      </c>
      <c r="Z2200" s="35" t="str">
        <f aca="false">IF($G2200="","",$U2200*1000000+ROW())</f>
        <v/>
      </c>
      <c r="AA2200" s="36" t="str">
        <f aca="false">IF($G2200="","",MID(IF($C2200="",", no division","")&amp;IF($E2200="",", no unit","")&amp;IF($H2200="",", no career level","")&amp;IF(N($L2200)&lt;=0,", no quarter split","")&amp;IF($R2200="",", no driver","")&amp;IF(AND($H2200&lt;&gt;"",COUNTIF(CareerLevels,$H2200)=0),", a career level that is not on the ladder","")&amp;IF(AND($R2200&lt;&gt;"",COUNTIF(DriverList,$R2200)=0),", a driver that is not on the list","")&amp;IF(ABS(N($L2200)-(N($M2200)+N($N2200)+N($O2200)+N($P2200)))&gt;0.001,", a total that does not match its quarters",""),3,300))</f>
        <v/>
      </c>
    </row>
    <row r="2201" customFormat="false" ht="15" hidden="false" customHeight="false" outlineLevel="0" collapsed="false">
      <c r="A2201" s="33" t="str">
        <f aca="false">IF($G2201="","","Technology Group")</f>
        <v/>
      </c>
      <c r="B2201" s="19"/>
      <c r="C2201" s="19"/>
      <c r="D2201" s="19"/>
      <c r="E2201" s="19"/>
      <c r="F2201" s="19"/>
      <c r="G2201" s="19"/>
      <c r="H2201" s="19"/>
      <c r="I2201" s="19"/>
      <c r="J2201" s="19"/>
      <c r="K2201" s="19"/>
      <c r="L2201" s="19"/>
      <c r="M2201" s="19"/>
      <c r="N2201" s="19"/>
      <c r="O2201" s="19"/>
      <c r="P2201" s="19"/>
      <c r="Q2201" s="19"/>
      <c r="R2201" s="19"/>
      <c r="S2201" s="19"/>
      <c r="T2201" s="34" t="str">
        <f aca="false">IF($R2201="","",IFERROR(INDEX(DriverCategory,MATCH($R2201,DriverList,0)),"BAU"))</f>
        <v/>
      </c>
      <c r="U2201" s="34" t="str">
        <f aca="false">IF($R2201="","",IFERROR(INDEX(DriverRank,MATCH($R2201,DriverList,0)),99))</f>
        <v/>
      </c>
      <c r="V2201" s="35" t="n">
        <f aca="false">IF($H2201="",0,IFERROR(INDEX(LevelBasic,MATCH($H2201,LevelList,0))+INDEX(LevelHousing,MATCH($H2201,LevelList,0))+INDEX(LevelTransport,MATCH($H2201,LevelList,0))+INDEX(LevelBasic,MATCH($H2201,LevelList,0))*INDEX(LevelBonus,MATCH($H2201,LevelList,0))+(INDEX(LevelBasic,MATCH($H2201,LevelList,0))+INDEX(LevelHousing,MATCH($H2201,LevelList,0)))*GosiSaudi,0))</f>
        <v>0</v>
      </c>
      <c r="W2201" s="35" t="n">
        <f aca="false">IFERROR(INDEX(LevelOneOff,MATCH($H2201,LevelList,0)),0)</f>
        <v>0</v>
      </c>
      <c r="X2201" s="35" t="str">
        <f aca="false">IF($G2201="","",$V2201*N($L2201))</f>
        <v/>
      </c>
      <c r="Y2201" s="35" t="str">
        <f aca="false">IF($G2201="","",$V2201*(N($M2201)*1+N($N2201)*0.75+N($O2201)*0.5+N($P2201)*0.25)+$W2201*N($L2201))</f>
        <v/>
      </c>
      <c r="Z2201" s="35" t="str">
        <f aca="false">IF($G2201="","",$U2201*1000000+ROW())</f>
        <v/>
      </c>
      <c r="AA2201" s="36" t="str">
        <f aca="false">IF($G2201="","",MID(IF($C2201="",", no division","")&amp;IF($E2201="",", no unit","")&amp;IF($H2201="",", no career level","")&amp;IF(N($L2201)&lt;=0,", no quarter split","")&amp;IF($R2201="",", no driver","")&amp;IF(AND($H2201&lt;&gt;"",COUNTIF(CareerLevels,$H2201)=0),", a career level that is not on the ladder","")&amp;IF(AND($R2201&lt;&gt;"",COUNTIF(DriverList,$R2201)=0),", a driver that is not on the list","")&amp;IF(ABS(N($L2201)-(N($M2201)+N($N2201)+N($O2201)+N($P2201)))&gt;0.001,", a total that does not match its quarters",""),3,300))</f>
        <v/>
      </c>
    </row>
    <row r="2202" customFormat="false" ht="15" hidden="false" customHeight="false" outlineLevel="0" collapsed="false">
      <c r="A2202" s="33" t="str">
        <f aca="false">IF($G2202="","","Technology Group")</f>
        <v/>
      </c>
      <c r="B2202" s="19"/>
      <c r="C2202" s="19"/>
      <c r="D2202" s="19"/>
      <c r="E2202" s="19"/>
      <c r="F2202" s="19"/>
      <c r="G2202" s="19"/>
      <c r="H2202" s="19"/>
      <c r="I2202" s="19"/>
      <c r="J2202" s="19"/>
      <c r="K2202" s="19"/>
      <c r="L2202" s="19"/>
      <c r="M2202" s="19"/>
      <c r="N2202" s="19"/>
      <c r="O2202" s="19"/>
      <c r="P2202" s="19"/>
      <c r="Q2202" s="19"/>
      <c r="R2202" s="19"/>
      <c r="S2202" s="19"/>
      <c r="T2202" s="34" t="str">
        <f aca="false">IF($R2202="","",IFERROR(INDEX(DriverCategory,MATCH($R2202,DriverList,0)),"BAU"))</f>
        <v/>
      </c>
      <c r="U2202" s="34" t="str">
        <f aca="false">IF($R2202="","",IFERROR(INDEX(DriverRank,MATCH($R2202,DriverList,0)),99))</f>
        <v/>
      </c>
      <c r="V2202" s="35" t="n">
        <f aca="false">IF($H2202="",0,IFERROR(INDEX(LevelBasic,MATCH($H2202,LevelList,0))+INDEX(LevelHousing,MATCH($H2202,LevelList,0))+INDEX(LevelTransport,MATCH($H2202,LevelList,0))+INDEX(LevelBasic,MATCH($H2202,LevelList,0))*INDEX(LevelBonus,MATCH($H2202,LevelList,0))+(INDEX(LevelBasic,MATCH($H2202,LevelList,0))+INDEX(LevelHousing,MATCH($H2202,LevelList,0)))*GosiSaudi,0))</f>
        <v>0</v>
      </c>
      <c r="W2202" s="35" t="n">
        <f aca="false">IFERROR(INDEX(LevelOneOff,MATCH($H2202,LevelList,0)),0)</f>
        <v>0</v>
      </c>
      <c r="X2202" s="35" t="str">
        <f aca="false">IF($G2202="","",$V2202*N($L2202))</f>
        <v/>
      </c>
      <c r="Y2202" s="35" t="str">
        <f aca="false">IF($G2202="","",$V2202*(N($M2202)*1+N($N2202)*0.75+N($O2202)*0.5+N($P2202)*0.25)+$W2202*N($L2202))</f>
        <v/>
      </c>
      <c r="Z2202" s="35" t="str">
        <f aca="false">IF($G2202="","",$U2202*1000000+ROW())</f>
        <v/>
      </c>
      <c r="AA2202" s="36" t="str">
        <f aca="false">IF($G2202="","",MID(IF($C2202="",", no division","")&amp;IF($E2202="",", no unit","")&amp;IF($H2202="",", no career level","")&amp;IF(N($L2202)&lt;=0,", no quarter split","")&amp;IF($R2202="",", no driver","")&amp;IF(AND($H2202&lt;&gt;"",COUNTIF(CareerLevels,$H2202)=0),", a career level that is not on the ladder","")&amp;IF(AND($R2202&lt;&gt;"",COUNTIF(DriverList,$R2202)=0),", a driver that is not on the list","")&amp;IF(ABS(N($L2202)-(N($M2202)+N($N2202)+N($O2202)+N($P2202)))&gt;0.001,", a total that does not match its quarters",""),3,300))</f>
        <v/>
      </c>
    </row>
    <row r="2203" customFormat="false" ht="15" hidden="false" customHeight="false" outlineLevel="0" collapsed="false">
      <c r="A2203" s="33" t="str">
        <f aca="false">IF($G2203="","","Technology Group")</f>
        <v/>
      </c>
      <c r="B2203" s="19"/>
      <c r="C2203" s="19"/>
      <c r="D2203" s="19"/>
      <c r="E2203" s="19"/>
      <c r="F2203" s="19"/>
      <c r="G2203" s="19"/>
      <c r="H2203" s="19"/>
      <c r="I2203" s="19"/>
      <c r="J2203" s="19"/>
      <c r="K2203" s="19"/>
      <c r="L2203" s="19"/>
      <c r="M2203" s="19"/>
      <c r="N2203" s="19"/>
      <c r="O2203" s="19"/>
      <c r="P2203" s="19"/>
      <c r="Q2203" s="19"/>
      <c r="R2203" s="19"/>
      <c r="S2203" s="19"/>
      <c r="T2203" s="34" t="str">
        <f aca="false">IF($R2203="","",IFERROR(INDEX(DriverCategory,MATCH($R2203,DriverList,0)),"BAU"))</f>
        <v/>
      </c>
      <c r="U2203" s="34" t="str">
        <f aca="false">IF($R2203="","",IFERROR(INDEX(DriverRank,MATCH($R2203,DriverList,0)),99))</f>
        <v/>
      </c>
      <c r="V2203" s="35" t="n">
        <f aca="false">IF($H2203="",0,IFERROR(INDEX(LevelBasic,MATCH($H2203,LevelList,0))+INDEX(LevelHousing,MATCH($H2203,LevelList,0))+INDEX(LevelTransport,MATCH($H2203,LevelList,0))+INDEX(LevelBasic,MATCH($H2203,LevelList,0))*INDEX(LevelBonus,MATCH($H2203,LevelList,0))+(INDEX(LevelBasic,MATCH($H2203,LevelList,0))+INDEX(LevelHousing,MATCH($H2203,LevelList,0)))*GosiSaudi,0))</f>
        <v>0</v>
      </c>
      <c r="W2203" s="35" t="n">
        <f aca="false">IFERROR(INDEX(LevelOneOff,MATCH($H2203,LevelList,0)),0)</f>
        <v>0</v>
      </c>
      <c r="X2203" s="35" t="str">
        <f aca="false">IF($G2203="","",$V2203*N($L2203))</f>
        <v/>
      </c>
      <c r="Y2203" s="35" t="str">
        <f aca="false">IF($G2203="","",$V2203*(N($M2203)*1+N($N2203)*0.75+N($O2203)*0.5+N($P2203)*0.25)+$W2203*N($L2203))</f>
        <v/>
      </c>
      <c r="Z2203" s="35" t="str">
        <f aca="false">IF($G2203="","",$U2203*1000000+ROW())</f>
        <v/>
      </c>
      <c r="AA2203" s="36" t="str">
        <f aca="false">IF($G2203="","",MID(IF($C2203="",", no division","")&amp;IF($E2203="",", no unit","")&amp;IF($H2203="",", no career level","")&amp;IF(N($L2203)&lt;=0,", no quarter split","")&amp;IF($R2203="",", no driver","")&amp;IF(AND($H2203&lt;&gt;"",COUNTIF(CareerLevels,$H2203)=0),", a career level that is not on the ladder","")&amp;IF(AND($R2203&lt;&gt;"",COUNTIF(DriverList,$R2203)=0),", a driver that is not on the list","")&amp;IF(ABS(N($L2203)-(N($M2203)+N($N2203)+N($O2203)+N($P2203)))&gt;0.001,", a total that does not match its quarters",""),3,300))</f>
        <v/>
      </c>
    </row>
    <row r="2204" customFormat="false" ht="15" hidden="false" customHeight="false" outlineLevel="0" collapsed="false">
      <c r="A2204" s="33" t="str">
        <f aca="false">IF($G2204="","","Technology Group")</f>
        <v/>
      </c>
      <c r="B2204" s="19"/>
      <c r="C2204" s="19"/>
      <c r="D2204" s="19"/>
      <c r="E2204" s="19"/>
      <c r="F2204" s="19"/>
      <c r="G2204" s="19"/>
      <c r="H2204" s="19"/>
      <c r="I2204" s="19"/>
      <c r="J2204" s="19"/>
      <c r="K2204" s="19"/>
      <c r="L2204" s="19"/>
      <c r="M2204" s="19"/>
      <c r="N2204" s="19"/>
      <c r="O2204" s="19"/>
      <c r="P2204" s="19"/>
      <c r="Q2204" s="19"/>
      <c r="R2204" s="19"/>
      <c r="S2204" s="19"/>
      <c r="T2204" s="34" t="str">
        <f aca="false">IF($R2204="","",IFERROR(INDEX(DriverCategory,MATCH($R2204,DriverList,0)),"BAU"))</f>
        <v/>
      </c>
      <c r="U2204" s="34" t="str">
        <f aca="false">IF($R2204="","",IFERROR(INDEX(DriverRank,MATCH($R2204,DriverList,0)),99))</f>
        <v/>
      </c>
      <c r="V2204" s="35" t="n">
        <f aca="false">IF($H2204="",0,IFERROR(INDEX(LevelBasic,MATCH($H2204,LevelList,0))+INDEX(LevelHousing,MATCH($H2204,LevelList,0))+INDEX(LevelTransport,MATCH($H2204,LevelList,0))+INDEX(LevelBasic,MATCH($H2204,LevelList,0))*INDEX(LevelBonus,MATCH($H2204,LevelList,0))+(INDEX(LevelBasic,MATCH($H2204,LevelList,0))+INDEX(LevelHousing,MATCH($H2204,LevelList,0)))*GosiSaudi,0))</f>
        <v>0</v>
      </c>
      <c r="W2204" s="35" t="n">
        <f aca="false">IFERROR(INDEX(LevelOneOff,MATCH($H2204,LevelList,0)),0)</f>
        <v>0</v>
      </c>
      <c r="X2204" s="35" t="str">
        <f aca="false">IF($G2204="","",$V2204*N($L2204))</f>
        <v/>
      </c>
      <c r="Y2204" s="35" t="str">
        <f aca="false">IF($G2204="","",$V2204*(N($M2204)*1+N($N2204)*0.75+N($O2204)*0.5+N($P2204)*0.25)+$W2204*N($L2204))</f>
        <v/>
      </c>
      <c r="Z2204" s="35" t="str">
        <f aca="false">IF($G2204="","",$U2204*1000000+ROW())</f>
        <v/>
      </c>
      <c r="AA2204" s="36" t="str">
        <f aca="false">IF($G2204="","",MID(IF($C2204="",", no division","")&amp;IF($E2204="",", no unit","")&amp;IF($H2204="",", no career level","")&amp;IF(N($L2204)&lt;=0,", no quarter split","")&amp;IF($R2204="",", no driver","")&amp;IF(AND($H2204&lt;&gt;"",COUNTIF(CareerLevels,$H2204)=0),", a career level that is not on the ladder","")&amp;IF(AND($R2204&lt;&gt;"",COUNTIF(DriverList,$R2204)=0),", a driver that is not on the list","")&amp;IF(ABS(N($L2204)-(N($M2204)+N($N2204)+N($O2204)+N($P2204)))&gt;0.001,", a total that does not match its quarters",""),3,300))</f>
        <v/>
      </c>
    </row>
    <row r="2205" customFormat="false" ht="15" hidden="false" customHeight="false" outlineLevel="0" collapsed="false">
      <c r="A2205" s="33" t="str">
        <f aca="false">IF($G2205="","","Technology Group")</f>
        <v/>
      </c>
      <c r="B2205" s="19"/>
      <c r="C2205" s="19"/>
      <c r="D2205" s="19"/>
      <c r="E2205" s="19"/>
      <c r="F2205" s="19"/>
      <c r="G2205" s="19"/>
      <c r="H2205" s="19"/>
      <c r="I2205" s="19"/>
      <c r="J2205" s="19"/>
      <c r="K2205" s="19"/>
      <c r="L2205" s="19"/>
      <c r="M2205" s="19"/>
      <c r="N2205" s="19"/>
      <c r="O2205" s="19"/>
      <c r="P2205" s="19"/>
      <c r="Q2205" s="19"/>
      <c r="R2205" s="19"/>
      <c r="S2205" s="19"/>
      <c r="T2205" s="34" t="str">
        <f aca="false">IF($R2205="","",IFERROR(INDEX(DriverCategory,MATCH($R2205,DriverList,0)),"BAU"))</f>
        <v/>
      </c>
      <c r="U2205" s="34" t="str">
        <f aca="false">IF($R2205="","",IFERROR(INDEX(DriverRank,MATCH($R2205,DriverList,0)),99))</f>
        <v/>
      </c>
      <c r="V2205" s="35" t="n">
        <f aca="false">IF($H2205="",0,IFERROR(INDEX(LevelBasic,MATCH($H2205,LevelList,0))+INDEX(LevelHousing,MATCH($H2205,LevelList,0))+INDEX(LevelTransport,MATCH($H2205,LevelList,0))+INDEX(LevelBasic,MATCH($H2205,LevelList,0))*INDEX(LevelBonus,MATCH($H2205,LevelList,0))+(INDEX(LevelBasic,MATCH($H2205,LevelList,0))+INDEX(LevelHousing,MATCH($H2205,LevelList,0)))*GosiSaudi,0))</f>
        <v>0</v>
      </c>
      <c r="W2205" s="35" t="n">
        <f aca="false">IFERROR(INDEX(LevelOneOff,MATCH($H2205,LevelList,0)),0)</f>
        <v>0</v>
      </c>
      <c r="X2205" s="35" t="str">
        <f aca="false">IF($G2205="","",$V2205*N($L2205))</f>
        <v/>
      </c>
      <c r="Y2205" s="35" t="str">
        <f aca="false">IF($G2205="","",$V2205*(N($M2205)*1+N($N2205)*0.75+N($O2205)*0.5+N($P2205)*0.25)+$W2205*N($L2205))</f>
        <v/>
      </c>
      <c r="Z2205" s="35" t="str">
        <f aca="false">IF($G2205="","",$U2205*1000000+ROW())</f>
        <v/>
      </c>
      <c r="AA2205" s="36" t="str">
        <f aca="false">IF($G2205="","",MID(IF($C2205="",", no division","")&amp;IF($E2205="",", no unit","")&amp;IF($H2205="",", no career level","")&amp;IF(N($L2205)&lt;=0,", no quarter split","")&amp;IF($R2205="",", no driver","")&amp;IF(AND($H2205&lt;&gt;"",COUNTIF(CareerLevels,$H2205)=0),", a career level that is not on the ladder","")&amp;IF(AND($R2205&lt;&gt;"",COUNTIF(DriverList,$R2205)=0),", a driver that is not on the list","")&amp;IF(ABS(N($L2205)-(N($M2205)+N($N2205)+N($O2205)+N($P2205)))&gt;0.001,", a total that does not match its quarters",""),3,300))</f>
        <v/>
      </c>
    </row>
    <row r="2206" customFormat="false" ht="15" hidden="false" customHeight="false" outlineLevel="0" collapsed="false">
      <c r="A2206" s="28" t="str">
        <f aca="false">IF($G2206="","","Treasury &amp; Investments Group")</f>
        <v/>
      </c>
      <c r="B2206" s="29"/>
      <c r="C2206" s="29"/>
      <c r="D2206" s="29"/>
      <c r="E2206" s="29"/>
      <c r="F2206" s="29"/>
      <c r="G2206" s="29"/>
      <c r="H2206" s="29"/>
      <c r="I2206" s="29"/>
      <c r="J2206" s="29"/>
      <c r="K2206" s="29"/>
      <c r="L2206" s="29"/>
      <c r="M2206" s="29"/>
      <c r="N2206" s="29"/>
      <c r="O2206" s="29"/>
      <c r="P2206" s="29"/>
      <c r="Q2206" s="29"/>
      <c r="R2206" s="29"/>
      <c r="S2206" s="29"/>
      <c r="T2206" s="30" t="str">
        <f aca="false">IF($R2206="","",IFERROR(INDEX(DriverCategory,MATCH($R2206,DriverList,0)),"BAU"))</f>
        <v/>
      </c>
      <c r="U2206" s="30" t="str">
        <f aca="false">IF($R2206="","",IFERROR(INDEX(DriverRank,MATCH($R2206,DriverList,0)),99))</f>
        <v/>
      </c>
      <c r="V2206" s="31" t="n">
        <f aca="false">IF($H2206="",0,IFERROR(INDEX(LevelBasic,MATCH($H2206,LevelList,0))+INDEX(LevelHousing,MATCH($H2206,LevelList,0))+INDEX(LevelTransport,MATCH($H2206,LevelList,0))+INDEX(LevelBasic,MATCH($H2206,LevelList,0))*INDEX(LevelBonus,MATCH($H2206,LevelList,0))+(INDEX(LevelBasic,MATCH($H2206,LevelList,0))+INDEX(LevelHousing,MATCH($H2206,LevelList,0)))*GosiSaudi,0))</f>
        <v>0</v>
      </c>
      <c r="W2206" s="31" t="n">
        <f aca="false">IFERROR(INDEX(LevelOneOff,MATCH($H2206,LevelList,0)),0)</f>
        <v>0</v>
      </c>
      <c r="X2206" s="31" t="str">
        <f aca="false">IF($G2206="","",$V2206*N($L2206))</f>
        <v/>
      </c>
      <c r="Y2206" s="31" t="str">
        <f aca="false">IF($G2206="","",$V2206*(N($M2206)*1+N($N2206)*0.75+N($O2206)*0.5+N($P2206)*0.25)+$W2206*N($L2206))</f>
        <v/>
      </c>
      <c r="Z2206" s="31" t="str">
        <f aca="false">IF($G2206="","",$U2206*1000000+ROW())</f>
        <v/>
      </c>
      <c r="AA2206" s="32" t="str">
        <f aca="false">IF($G2206="","",MID(IF($C2206="",", no division","")&amp;IF($E2206="",", no unit","")&amp;IF($H2206="",", no career level","")&amp;IF(N($L2206)&lt;=0,", no quarter split","")&amp;IF($R2206="",", no driver","")&amp;IF(AND($H2206&lt;&gt;"",COUNTIF(CareerLevels,$H2206)=0),", a career level that is not on the ladder","")&amp;IF(AND($R2206&lt;&gt;"",COUNTIF(DriverList,$R2206)=0),", a driver that is not on the list","")&amp;IF(ABS(N($L2206)-(N($M2206)+N($N2206)+N($O2206)+N($P2206)))&gt;0.001,", a total that does not match its quarters",""),3,300))</f>
        <v/>
      </c>
    </row>
    <row r="2207" customFormat="false" ht="15" hidden="false" customHeight="false" outlineLevel="0" collapsed="false">
      <c r="A2207" s="33" t="str">
        <f aca="false">IF($G2207="","","Treasury &amp; Investments Group")</f>
        <v/>
      </c>
      <c r="B2207" s="19"/>
      <c r="C2207" s="19"/>
      <c r="D2207" s="19"/>
      <c r="E2207" s="19"/>
      <c r="F2207" s="19"/>
      <c r="G2207" s="19"/>
      <c r="H2207" s="19"/>
      <c r="I2207" s="19"/>
      <c r="J2207" s="19"/>
      <c r="K2207" s="19"/>
      <c r="L2207" s="19"/>
      <c r="M2207" s="19"/>
      <c r="N2207" s="19"/>
      <c r="O2207" s="19"/>
      <c r="P2207" s="19"/>
      <c r="Q2207" s="19"/>
      <c r="R2207" s="19"/>
      <c r="S2207" s="19"/>
      <c r="T2207" s="34" t="str">
        <f aca="false">IF($R2207="","",IFERROR(INDEX(DriverCategory,MATCH($R2207,DriverList,0)),"BAU"))</f>
        <v/>
      </c>
      <c r="U2207" s="34" t="str">
        <f aca="false">IF($R2207="","",IFERROR(INDEX(DriverRank,MATCH($R2207,DriverList,0)),99))</f>
        <v/>
      </c>
      <c r="V2207" s="35" t="n">
        <f aca="false">IF($H2207="",0,IFERROR(INDEX(LevelBasic,MATCH($H2207,LevelList,0))+INDEX(LevelHousing,MATCH($H2207,LevelList,0))+INDEX(LevelTransport,MATCH($H2207,LevelList,0))+INDEX(LevelBasic,MATCH($H2207,LevelList,0))*INDEX(LevelBonus,MATCH($H2207,LevelList,0))+(INDEX(LevelBasic,MATCH($H2207,LevelList,0))+INDEX(LevelHousing,MATCH($H2207,LevelList,0)))*GosiSaudi,0))</f>
        <v>0</v>
      </c>
      <c r="W2207" s="35" t="n">
        <f aca="false">IFERROR(INDEX(LevelOneOff,MATCH($H2207,LevelList,0)),0)</f>
        <v>0</v>
      </c>
      <c r="X2207" s="35" t="str">
        <f aca="false">IF($G2207="","",$V2207*N($L2207))</f>
        <v/>
      </c>
      <c r="Y2207" s="35" t="str">
        <f aca="false">IF($G2207="","",$V2207*(N($M2207)*1+N($N2207)*0.75+N($O2207)*0.5+N($P2207)*0.25)+$W2207*N($L2207))</f>
        <v/>
      </c>
      <c r="Z2207" s="35" t="str">
        <f aca="false">IF($G2207="","",$U2207*1000000+ROW())</f>
        <v/>
      </c>
      <c r="AA2207" s="36" t="str">
        <f aca="false">IF($G2207="","",MID(IF($C2207="",", no division","")&amp;IF($E2207="",", no unit","")&amp;IF($H2207="",", no career level","")&amp;IF(N($L2207)&lt;=0,", no quarter split","")&amp;IF($R2207="",", no driver","")&amp;IF(AND($H2207&lt;&gt;"",COUNTIF(CareerLevels,$H2207)=0),", a career level that is not on the ladder","")&amp;IF(AND($R2207&lt;&gt;"",COUNTIF(DriverList,$R2207)=0),", a driver that is not on the list","")&amp;IF(ABS(N($L2207)-(N($M2207)+N($N2207)+N($O2207)+N($P2207)))&gt;0.001,", a total that does not match its quarters",""),3,300))</f>
        <v/>
      </c>
    </row>
    <row r="2208" customFormat="false" ht="15" hidden="false" customHeight="false" outlineLevel="0" collapsed="false">
      <c r="A2208" s="33" t="str">
        <f aca="false">IF($G2208="","","Treasury &amp; Investments Group")</f>
        <v/>
      </c>
      <c r="B2208" s="19"/>
      <c r="C2208" s="19"/>
      <c r="D2208" s="19"/>
      <c r="E2208" s="19"/>
      <c r="F2208" s="19"/>
      <c r="G2208" s="19"/>
      <c r="H2208" s="19"/>
      <c r="I2208" s="19"/>
      <c r="J2208" s="19"/>
      <c r="K2208" s="19"/>
      <c r="L2208" s="19"/>
      <c r="M2208" s="19"/>
      <c r="N2208" s="19"/>
      <c r="O2208" s="19"/>
      <c r="P2208" s="19"/>
      <c r="Q2208" s="19"/>
      <c r="R2208" s="19"/>
      <c r="S2208" s="19"/>
      <c r="T2208" s="34" t="str">
        <f aca="false">IF($R2208="","",IFERROR(INDEX(DriverCategory,MATCH($R2208,DriverList,0)),"BAU"))</f>
        <v/>
      </c>
      <c r="U2208" s="34" t="str">
        <f aca="false">IF($R2208="","",IFERROR(INDEX(DriverRank,MATCH($R2208,DriverList,0)),99))</f>
        <v/>
      </c>
      <c r="V2208" s="35" t="n">
        <f aca="false">IF($H2208="",0,IFERROR(INDEX(LevelBasic,MATCH($H2208,LevelList,0))+INDEX(LevelHousing,MATCH($H2208,LevelList,0))+INDEX(LevelTransport,MATCH($H2208,LevelList,0))+INDEX(LevelBasic,MATCH($H2208,LevelList,0))*INDEX(LevelBonus,MATCH($H2208,LevelList,0))+(INDEX(LevelBasic,MATCH($H2208,LevelList,0))+INDEX(LevelHousing,MATCH($H2208,LevelList,0)))*GosiSaudi,0))</f>
        <v>0</v>
      </c>
      <c r="W2208" s="35" t="n">
        <f aca="false">IFERROR(INDEX(LevelOneOff,MATCH($H2208,LevelList,0)),0)</f>
        <v>0</v>
      </c>
      <c r="X2208" s="35" t="str">
        <f aca="false">IF($G2208="","",$V2208*N($L2208))</f>
        <v/>
      </c>
      <c r="Y2208" s="35" t="str">
        <f aca="false">IF($G2208="","",$V2208*(N($M2208)*1+N($N2208)*0.75+N($O2208)*0.5+N($P2208)*0.25)+$W2208*N($L2208))</f>
        <v/>
      </c>
      <c r="Z2208" s="35" t="str">
        <f aca="false">IF($G2208="","",$U2208*1000000+ROW())</f>
        <v/>
      </c>
      <c r="AA2208" s="36" t="str">
        <f aca="false">IF($G2208="","",MID(IF($C2208="",", no division","")&amp;IF($E2208="",", no unit","")&amp;IF($H2208="",", no career level","")&amp;IF(N($L2208)&lt;=0,", no quarter split","")&amp;IF($R2208="",", no driver","")&amp;IF(AND($H2208&lt;&gt;"",COUNTIF(CareerLevels,$H2208)=0),", a career level that is not on the ladder","")&amp;IF(AND($R2208&lt;&gt;"",COUNTIF(DriverList,$R2208)=0),", a driver that is not on the list","")&amp;IF(ABS(N($L2208)-(N($M2208)+N($N2208)+N($O2208)+N($P2208)))&gt;0.001,", a total that does not match its quarters",""),3,300))</f>
        <v/>
      </c>
    </row>
    <row r="2209" customFormat="false" ht="15" hidden="false" customHeight="false" outlineLevel="0" collapsed="false">
      <c r="A2209" s="33" t="str">
        <f aca="false">IF($G2209="","","Treasury &amp; Investments Group")</f>
        <v/>
      </c>
      <c r="B2209" s="19"/>
      <c r="C2209" s="19"/>
      <c r="D2209" s="19"/>
      <c r="E2209" s="19"/>
      <c r="F2209" s="19"/>
      <c r="G2209" s="19"/>
      <c r="H2209" s="19"/>
      <c r="I2209" s="19"/>
      <c r="J2209" s="19"/>
      <c r="K2209" s="19"/>
      <c r="L2209" s="19"/>
      <c r="M2209" s="19"/>
      <c r="N2209" s="19"/>
      <c r="O2209" s="19"/>
      <c r="P2209" s="19"/>
      <c r="Q2209" s="19"/>
      <c r="R2209" s="19"/>
      <c r="S2209" s="19"/>
      <c r="T2209" s="34" t="str">
        <f aca="false">IF($R2209="","",IFERROR(INDEX(DriverCategory,MATCH($R2209,DriverList,0)),"BAU"))</f>
        <v/>
      </c>
      <c r="U2209" s="34" t="str">
        <f aca="false">IF($R2209="","",IFERROR(INDEX(DriverRank,MATCH($R2209,DriverList,0)),99))</f>
        <v/>
      </c>
      <c r="V2209" s="35" t="n">
        <f aca="false">IF($H2209="",0,IFERROR(INDEX(LevelBasic,MATCH($H2209,LevelList,0))+INDEX(LevelHousing,MATCH($H2209,LevelList,0))+INDEX(LevelTransport,MATCH($H2209,LevelList,0))+INDEX(LevelBasic,MATCH($H2209,LevelList,0))*INDEX(LevelBonus,MATCH($H2209,LevelList,0))+(INDEX(LevelBasic,MATCH($H2209,LevelList,0))+INDEX(LevelHousing,MATCH($H2209,LevelList,0)))*GosiSaudi,0))</f>
        <v>0</v>
      </c>
      <c r="W2209" s="35" t="n">
        <f aca="false">IFERROR(INDEX(LevelOneOff,MATCH($H2209,LevelList,0)),0)</f>
        <v>0</v>
      </c>
      <c r="X2209" s="35" t="str">
        <f aca="false">IF($G2209="","",$V2209*N($L2209))</f>
        <v/>
      </c>
      <c r="Y2209" s="35" t="str">
        <f aca="false">IF($G2209="","",$V2209*(N($M2209)*1+N($N2209)*0.75+N($O2209)*0.5+N($P2209)*0.25)+$W2209*N($L2209))</f>
        <v/>
      </c>
      <c r="Z2209" s="35" t="str">
        <f aca="false">IF($G2209="","",$U2209*1000000+ROW())</f>
        <v/>
      </c>
      <c r="AA2209" s="36" t="str">
        <f aca="false">IF($G2209="","",MID(IF($C2209="",", no division","")&amp;IF($E2209="",", no unit","")&amp;IF($H2209="",", no career level","")&amp;IF(N($L2209)&lt;=0,", no quarter split","")&amp;IF($R2209="",", no driver","")&amp;IF(AND($H2209&lt;&gt;"",COUNTIF(CareerLevels,$H2209)=0),", a career level that is not on the ladder","")&amp;IF(AND($R2209&lt;&gt;"",COUNTIF(DriverList,$R2209)=0),", a driver that is not on the list","")&amp;IF(ABS(N($L2209)-(N($M2209)+N($N2209)+N($O2209)+N($P2209)))&gt;0.001,", a total that does not match its quarters",""),3,300))</f>
        <v/>
      </c>
    </row>
    <row r="2210" customFormat="false" ht="15" hidden="false" customHeight="false" outlineLevel="0" collapsed="false">
      <c r="A2210" s="33" t="str">
        <f aca="false">IF($G2210="","","Treasury &amp; Investments Group")</f>
        <v/>
      </c>
      <c r="B2210" s="19"/>
      <c r="C2210" s="19"/>
      <c r="D2210" s="19"/>
      <c r="E2210" s="19"/>
      <c r="F2210" s="19"/>
      <c r="G2210" s="19"/>
      <c r="H2210" s="19"/>
      <c r="I2210" s="19"/>
      <c r="J2210" s="19"/>
      <c r="K2210" s="19"/>
      <c r="L2210" s="19"/>
      <c r="M2210" s="19"/>
      <c r="N2210" s="19"/>
      <c r="O2210" s="19"/>
      <c r="P2210" s="19"/>
      <c r="Q2210" s="19"/>
      <c r="R2210" s="19"/>
      <c r="S2210" s="19"/>
      <c r="T2210" s="34" t="str">
        <f aca="false">IF($R2210="","",IFERROR(INDEX(DriverCategory,MATCH($R2210,DriverList,0)),"BAU"))</f>
        <v/>
      </c>
      <c r="U2210" s="34" t="str">
        <f aca="false">IF($R2210="","",IFERROR(INDEX(DriverRank,MATCH($R2210,DriverList,0)),99))</f>
        <v/>
      </c>
      <c r="V2210" s="35" t="n">
        <f aca="false">IF($H2210="",0,IFERROR(INDEX(LevelBasic,MATCH($H2210,LevelList,0))+INDEX(LevelHousing,MATCH($H2210,LevelList,0))+INDEX(LevelTransport,MATCH($H2210,LevelList,0))+INDEX(LevelBasic,MATCH($H2210,LevelList,0))*INDEX(LevelBonus,MATCH($H2210,LevelList,0))+(INDEX(LevelBasic,MATCH($H2210,LevelList,0))+INDEX(LevelHousing,MATCH($H2210,LevelList,0)))*GosiSaudi,0))</f>
        <v>0</v>
      </c>
      <c r="W2210" s="35" t="n">
        <f aca="false">IFERROR(INDEX(LevelOneOff,MATCH($H2210,LevelList,0)),0)</f>
        <v>0</v>
      </c>
      <c r="X2210" s="35" t="str">
        <f aca="false">IF($G2210="","",$V2210*N($L2210))</f>
        <v/>
      </c>
      <c r="Y2210" s="35" t="str">
        <f aca="false">IF($G2210="","",$V2210*(N($M2210)*1+N($N2210)*0.75+N($O2210)*0.5+N($P2210)*0.25)+$W2210*N($L2210))</f>
        <v/>
      </c>
      <c r="Z2210" s="35" t="str">
        <f aca="false">IF($G2210="","",$U2210*1000000+ROW())</f>
        <v/>
      </c>
      <c r="AA2210" s="36" t="str">
        <f aca="false">IF($G2210="","",MID(IF($C2210="",", no division","")&amp;IF($E2210="",", no unit","")&amp;IF($H2210="",", no career level","")&amp;IF(N($L2210)&lt;=0,", no quarter split","")&amp;IF($R2210="",", no driver","")&amp;IF(AND($H2210&lt;&gt;"",COUNTIF(CareerLevels,$H2210)=0),", a career level that is not on the ladder","")&amp;IF(AND($R2210&lt;&gt;"",COUNTIF(DriverList,$R2210)=0),", a driver that is not on the list","")&amp;IF(ABS(N($L2210)-(N($M2210)+N($N2210)+N($O2210)+N($P2210)))&gt;0.001,", a total that does not match its quarters",""),3,300))</f>
        <v/>
      </c>
    </row>
    <row r="2211" customFormat="false" ht="15" hidden="false" customHeight="false" outlineLevel="0" collapsed="false">
      <c r="A2211" s="33" t="str">
        <f aca="false">IF($G2211="","","Treasury &amp; Investments Group")</f>
        <v/>
      </c>
      <c r="B2211" s="19"/>
      <c r="C2211" s="19"/>
      <c r="D2211" s="19"/>
      <c r="E2211" s="19"/>
      <c r="F2211" s="19"/>
      <c r="G2211" s="19"/>
      <c r="H2211" s="19"/>
      <c r="I2211" s="19"/>
      <c r="J2211" s="19"/>
      <c r="K2211" s="19"/>
      <c r="L2211" s="19"/>
      <c r="M2211" s="19"/>
      <c r="N2211" s="19"/>
      <c r="O2211" s="19"/>
      <c r="P2211" s="19"/>
      <c r="Q2211" s="19"/>
      <c r="R2211" s="19"/>
      <c r="S2211" s="19"/>
      <c r="T2211" s="34" t="str">
        <f aca="false">IF($R2211="","",IFERROR(INDEX(DriverCategory,MATCH($R2211,DriverList,0)),"BAU"))</f>
        <v/>
      </c>
      <c r="U2211" s="34" t="str">
        <f aca="false">IF($R2211="","",IFERROR(INDEX(DriverRank,MATCH($R2211,DriverList,0)),99))</f>
        <v/>
      </c>
      <c r="V2211" s="35" t="n">
        <f aca="false">IF($H2211="",0,IFERROR(INDEX(LevelBasic,MATCH($H2211,LevelList,0))+INDEX(LevelHousing,MATCH($H2211,LevelList,0))+INDEX(LevelTransport,MATCH($H2211,LevelList,0))+INDEX(LevelBasic,MATCH($H2211,LevelList,0))*INDEX(LevelBonus,MATCH($H2211,LevelList,0))+(INDEX(LevelBasic,MATCH($H2211,LevelList,0))+INDEX(LevelHousing,MATCH($H2211,LevelList,0)))*GosiSaudi,0))</f>
        <v>0</v>
      </c>
      <c r="W2211" s="35" t="n">
        <f aca="false">IFERROR(INDEX(LevelOneOff,MATCH($H2211,LevelList,0)),0)</f>
        <v>0</v>
      </c>
      <c r="X2211" s="35" t="str">
        <f aca="false">IF($G2211="","",$V2211*N($L2211))</f>
        <v/>
      </c>
      <c r="Y2211" s="35" t="str">
        <f aca="false">IF($G2211="","",$V2211*(N($M2211)*1+N($N2211)*0.75+N($O2211)*0.5+N($P2211)*0.25)+$W2211*N($L2211))</f>
        <v/>
      </c>
      <c r="Z2211" s="35" t="str">
        <f aca="false">IF($G2211="","",$U2211*1000000+ROW())</f>
        <v/>
      </c>
      <c r="AA2211" s="36" t="str">
        <f aca="false">IF($G2211="","",MID(IF($C2211="",", no division","")&amp;IF($E2211="",", no unit","")&amp;IF($H2211="",", no career level","")&amp;IF(N($L2211)&lt;=0,", no quarter split","")&amp;IF($R2211="",", no driver","")&amp;IF(AND($H2211&lt;&gt;"",COUNTIF(CareerLevels,$H2211)=0),", a career level that is not on the ladder","")&amp;IF(AND($R2211&lt;&gt;"",COUNTIF(DriverList,$R2211)=0),", a driver that is not on the list","")&amp;IF(ABS(N($L2211)-(N($M2211)+N($N2211)+N($O2211)+N($P2211)))&gt;0.001,", a total that does not match its quarters",""),3,300))</f>
        <v/>
      </c>
    </row>
    <row r="2212" customFormat="false" ht="15" hidden="false" customHeight="false" outlineLevel="0" collapsed="false">
      <c r="A2212" s="33" t="str">
        <f aca="false">IF($G2212="","","Treasury &amp; Investments Group")</f>
        <v/>
      </c>
      <c r="B2212" s="19"/>
      <c r="C2212" s="19"/>
      <c r="D2212" s="19"/>
      <c r="E2212" s="19"/>
      <c r="F2212" s="19"/>
      <c r="G2212" s="19"/>
      <c r="H2212" s="19"/>
      <c r="I2212" s="19"/>
      <c r="J2212" s="19"/>
      <c r="K2212" s="19"/>
      <c r="L2212" s="19"/>
      <c r="M2212" s="19"/>
      <c r="N2212" s="19"/>
      <c r="O2212" s="19"/>
      <c r="P2212" s="19"/>
      <c r="Q2212" s="19"/>
      <c r="R2212" s="19"/>
      <c r="S2212" s="19"/>
      <c r="T2212" s="34" t="str">
        <f aca="false">IF($R2212="","",IFERROR(INDEX(DriverCategory,MATCH($R2212,DriverList,0)),"BAU"))</f>
        <v/>
      </c>
      <c r="U2212" s="34" t="str">
        <f aca="false">IF($R2212="","",IFERROR(INDEX(DriverRank,MATCH($R2212,DriverList,0)),99))</f>
        <v/>
      </c>
      <c r="V2212" s="35" t="n">
        <f aca="false">IF($H2212="",0,IFERROR(INDEX(LevelBasic,MATCH($H2212,LevelList,0))+INDEX(LevelHousing,MATCH($H2212,LevelList,0))+INDEX(LevelTransport,MATCH($H2212,LevelList,0))+INDEX(LevelBasic,MATCH($H2212,LevelList,0))*INDEX(LevelBonus,MATCH($H2212,LevelList,0))+(INDEX(LevelBasic,MATCH($H2212,LevelList,0))+INDEX(LevelHousing,MATCH($H2212,LevelList,0)))*GosiSaudi,0))</f>
        <v>0</v>
      </c>
      <c r="W2212" s="35" t="n">
        <f aca="false">IFERROR(INDEX(LevelOneOff,MATCH($H2212,LevelList,0)),0)</f>
        <v>0</v>
      </c>
      <c r="X2212" s="35" t="str">
        <f aca="false">IF($G2212="","",$V2212*N($L2212))</f>
        <v/>
      </c>
      <c r="Y2212" s="35" t="str">
        <f aca="false">IF($G2212="","",$V2212*(N($M2212)*1+N($N2212)*0.75+N($O2212)*0.5+N($P2212)*0.25)+$W2212*N($L2212))</f>
        <v/>
      </c>
      <c r="Z2212" s="35" t="str">
        <f aca="false">IF($G2212="","",$U2212*1000000+ROW())</f>
        <v/>
      </c>
      <c r="AA2212" s="36" t="str">
        <f aca="false">IF($G2212="","",MID(IF($C2212="",", no division","")&amp;IF($E2212="",", no unit","")&amp;IF($H2212="",", no career level","")&amp;IF(N($L2212)&lt;=0,", no quarter split","")&amp;IF($R2212="",", no driver","")&amp;IF(AND($H2212&lt;&gt;"",COUNTIF(CareerLevels,$H2212)=0),", a career level that is not on the ladder","")&amp;IF(AND($R2212&lt;&gt;"",COUNTIF(DriverList,$R2212)=0),", a driver that is not on the list","")&amp;IF(ABS(N($L2212)-(N($M2212)+N($N2212)+N($O2212)+N($P2212)))&gt;0.001,", a total that does not match its quarters",""),3,300))</f>
        <v/>
      </c>
    </row>
    <row r="2213" customFormat="false" ht="15" hidden="false" customHeight="false" outlineLevel="0" collapsed="false">
      <c r="A2213" s="33" t="str">
        <f aca="false">IF($G2213="","","Treasury &amp; Investments Group")</f>
        <v/>
      </c>
      <c r="B2213" s="19"/>
      <c r="C2213" s="19"/>
      <c r="D2213" s="19"/>
      <c r="E2213" s="19"/>
      <c r="F2213" s="19"/>
      <c r="G2213" s="19"/>
      <c r="H2213" s="19"/>
      <c r="I2213" s="19"/>
      <c r="J2213" s="19"/>
      <c r="K2213" s="19"/>
      <c r="L2213" s="19"/>
      <c r="M2213" s="19"/>
      <c r="N2213" s="19"/>
      <c r="O2213" s="19"/>
      <c r="P2213" s="19"/>
      <c r="Q2213" s="19"/>
      <c r="R2213" s="19"/>
      <c r="S2213" s="19"/>
      <c r="T2213" s="34" t="str">
        <f aca="false">IF($R2213="","",IFERROR(INDEX(DriverCategory,MATCH($R2213,DriverList,0)),"BAU"))</f>
        <v/>
      </c>
      <c r="U2213" s="34" t="str">
        <f aca="false">IF($R2213="","",IFERROR(INDEX(DriverRank,MATCH($R2213,DriverList,0)),99))</f>
        <v/>
      </c>
      <c r="V2213" s="35" t="n">
        <f aca="false">IF($H2213="",0,IFERROR(INDEX(LevelBasic,MATCH($H2213,LevelList,0))+INDEX(LevelHousing,MATCH($H2213,LevelList,0))+INDEX(LevelTransport,MATCH($H2213,LevelList,0))+INDEX(LevelBasic,MATCH($H2213,LevelList,0))*INDEX(LevelBonus,MATCH($H2213,LevelList,0))+(INDEX(LevelBasic,MATCH($H2213,LevelList,0))+INDEX(LevelHousing,MATCH($H2213,LevelList,0)))*GosiSaudi,0))</f>
        <v>0</v>
      </c>
      <c r="W2213" s="35" t="n">
        <f aca="false">IFERROR(INDEX(LevelOneOff,MATCH($H2213,LevelList,0)),0)</f>
        <v>0</v>
      </c>
      <c r="X2213" s="35" t="str">
        <f aca="false">IF($G2213="","",$V2213*N($L2213))</f>
        <v/>
      </c>
      <c r="Y2213" s="35" t="str">
        <f aca="false">IF($G2213="","",$V2213*(N($M2213)*1+N($N2213)*0.75+N($O2213)*0.5+N($P2213)*0.25)+$W2213*N($L2213))</f>
        <v/>
      </c>
      <c r="Z2213" s="35" t="str">
        <f aca="false">IF($G2213="","",$U2213*1000000+ROW())</f>
        <v/>
      </c>
      <c r="AA2213" s="36" t="str">
        <f aca="false">IF($G2213="","",MID(IF($C2213="",", no division","")&amp;IF($E2213="",", no unit","")&amp;IF($H2213="",", no career level","")&amp;IF(N($L2213)&lt;=0,", no quarter split","")&amp;IF($R2213="",", no driver","")&amp;IF(AND($H2213&lt;&gt;"",COUNTIF(CareerLevels,$H2213)=0),", a career level that is not on the ladder","")&amp;IF(AND($R2213&lt;&gt;"",COUNTIF(DriverList,$R2213)=0),", a driver that is not on the list","")&amp;IF(ABS(N($L2213)-(N($M2213)+N($N2213)+N($O2213)+N($P2213)))&gt;0.001,", a total that does not match its quarters",""),3,300))</f>
        <v/>
      </c>
    </row>
    <row r="2214" customFormat="false" ht="15" hidden="false" customHeight="false" outlineLevel="0" collapsed="false">
      <c r="A2214" s="33" t="str">
        <f aca="false">IF($G2214="","","Treasury &amp; Investments Group")</f>
        <v/>
      </c>
      <c r="B2214" s="19"/>
      <c r="C2214" s="19"/>
      <c r="D2214" s="19"/>
      <c r="E2214" s="19"/>
      <c r="F2214" s="19"/>
      <c r="G2214" s="19"/>
      <c r="H2214" s="19"/>
      <c r="I2214" s="19"/>
      <c r="J2214" s="19"/>
      <c r="K2214" s="19"/>
      <c r="L2214" s="19"/>
      <c r="M2214" s="19"/>
      <c r="N2214" s="19"/>
      <c r="O2214" s="19"/>
      <c r="P2214" s="19"/>
      <c r="Q2214" s="19"/>
      <c r="R2214" s="19"/>
      <c r="S2214" s="19"/>
      <c r="T2214" s="34" t="str">
        <f aca="false">IF($R2214="","",IFERROR(INDEX(DriverCategory,MATCH($R2214,DriverList,0)),"BAU"))</f>
        <v/>
      </c>
      <c r="U2214" s="34" t="str">
        <f aca="false">IF($R2214="","",IFERROR(INDEX(DriverRank,MATCH($R2214,DriverList,0)),99))</f>
        <v/>
      </c>
      <c r="V2214" s="35" t="n">
        <f aca="false">IF($H2214="",0,IFERROR(INDEX(LevelBasic,MATCH($H2214,LevelList,0))+INDEX(LevelHousing,MATCH($H2214,LevelList,0))+INDEX(LevelTransport,MATCH($H2214,LevelList,0))+INDEX(LevelBasic,MATCH($H2214,LevelList,0))*INDEX(LevelBonus,MATCH($H2214,LevelList,0))+(INDEX(LevelBasic,MATCH($H2214,LevelList,0))+INDEX(LevelHousing,MATCH($H2214,LevelList,0)))*GosiSaudi,0))</f>
        <v>0</v>
      </c>
      <c r="W2214" s="35" t="n">
        <f aca="false">IFERROR(INDEX(LevelOneOff,MATCH($H2214,LevelList,0)),0)</f>
        <v>0</v>
      </c>
      <c r="X2214" s="35" t="str">
        <f aca="false">IF($G2214="","",$V2214*N($L2214))</f>
        <v/>
      </c>
      <c r="Y2214" s="35" t="str">
        <f aca="false">IF($G2214="","",$V2214*(N($M2214)*1+N($N2214)*0.75+N($O2214)*0.5+N($P2214)*0.25)+$W2214*N($L2214))</f>
        <v/>
      </c>
      <c r="Z2214" s="35" t="str">
        <f aca="false">IF($G2214="","",$U2214*1000000+ROW())</f>
        <v/>
      </c>
      <c r="AA2214" s="36" t="str">
        <f aca="false">IF($G2214="","",MID(IF($C2214="",", no division","")&amp;IF($E2214="",", no unit","")&amp;IF($H2214="",", no career level","")&amp;IF(N($L2214)&lt;=0,", no quarter split","")&amp;IF($R2214="",", no driver","")&amp;IF(AND($H2214&lt;&gt;"",COUNTIF(CareerLevels,$H2214)=0),", a career level that is not on the ladder","")&amp;IF(AND($R2214&lt;&gt;"",COUNTIF(DriverList,$R2214)=0),", a driver that is not on the list","")&amp;IF(ABS(N($L2214)-(N($M2214)+N($N2214)+N($O2214)+N($P2214)))&gt;0.001,", a total that does not match its quarters",""),3,300))</f>
        <v/>
      </c>
    </row>
    <row r="2215" customFormat="false" ht="15" hidden="false" customHeight="false" outlineLevel="0" collapsed="false">
      <c r="A2215" s="33" t="str">
        <f aca="false">IF($G2215="","","Treasury &amp; Investments Group")</f>
        <v/>
      </c>
      <c r="B2215" s="19"/>
      <c r="C2215" s="19"/>
      <c r="D2215" s="19"/>
      <c r="E2215" s="19"/>
      <c r="F2215" s="19"/>
      <c r="G2215" s="19"/>
      <c r="H2215" s="19"/>
      <c r="I2215" s="19"/>
      <c r="J2215" s="19"/>
      <c r="K2215" s="19"/>
      <c r="L2215" s="19"/>
      <c r="M2215" s="19"/>
      <c r="N2215" s="19"/>
      <c r="O2215" s="19"/>
      <c r="P2215" s="19"/>
      <c r="Q2215" s="19"/>
      <c r="R2215" s="19"/>
      <c r="S2215" s="19"/>
      <c r="T2215" s="34" t="str">
        <f aca="false">IF($R2215="","",IFERROR(INDEX(DriverCategory,MATCH($R2215,DriverList,0)),"BAU"))</f>
        <v/>
      </c>
      <c r="U2215" s="34" t="str">
        <f aca="false">IF($R2215="","",IFERROR(INDEX(DriverRank,MATCH($R2215,DriverList,0)),99))</f>
        <v/>
      </c>
      <c r="V2215" s="35" t="n">
        <f aca="false">IF($H2215="",0,IFERROR(INDEX(LevelBasic,MATCH($H2215,LevelList,0))+INDEX(LevelHousing,MATCH($H2215,LevelList,0))+INDEX(LevelTransport,MATCH($H2215,LevelList,0))+INDEX(LevelBasic,MATCH($H2215,LevelList,0))*INDEX(LevelBonus,MATCH($H2215,LevelList,0))+(INDEX(LevelBasic,MATCH($H2215,LevelList,0))+INDEX(LevelHousing,MATCH($H2215,LevelList,0)))*GosiSaudi,0))</f>
        <v>0</v>
      </c>
      <c r="W2215" s="35" t="n">
        <f aca="false">IFERROR(INDEX(LevelOneOff,MATCH($H2215,LevelList,0)),0)</f>
        <v>0</v>
      </c>
      <c r="X2215" s="35" t="str">
        <f aca="false">IF($G2215="","",$V2215*N($L2215))</f>
        <v/>
      </c>
      <c r="Y2215" s="35" t="str">
        <f aca="false">IF($G2215="","",$V2215*(N($M2215)*1+N($N2215)*0.75+N($O2215)*0.5+N($P2215)*0.25)+$W2215*N($L2215))</f>
        <v/>
      </c>
      <c r="Z2215" s="35" t="str">
        <f aca="false">IF($G2215="","",$U2215*1000000+ROW())</f>
        <v/>
      </c>
      <c r="AA2215" s="36" t="str">
        <f aca="false">IF($G2215="","",MID(IF($C2215="",", no division","")&amp;IF($E2215="",", no unit","")&amp;IF($H2215="",", no career level","")&amp;IF(N($L2215)&lt;=0,", no quarter split","")&amp;IF($R2215="",", no driver","")&amp;IF(AND($H2215&lt;&gt;"",COUNTIF(CareerLevels,$H2215)=0),", a career level that is not on the ladder","")&amp;IF(AND($R2215&lt;&gt;"",COUNTIF(DriverList,$R2215)=0),", a driver that is not on the list","")&amp;IF(ABS(N($L2215)-(N($M2215)+N($N2215)+N($O2215)+N($P2215)))&gt;0.001,", a total that does not match its quarters",""),3,300))</f>
        <v/>
      </c>
    </row>
    <row r="2216" customFormat="false" ht="15" hidden="false" customHeight="false" outlineLevel="0" collapsed="false">
      <c r="A2216" s="33" t="str">
        <f aca="false">IF($G2216="","","Treasury &amp; Investments Group")</f>
        <v/>
      </c>
      <c r="B2216" s="19"/>
      <c r="C2216" s="19"/>
      <c r="D2216" s="19"/>
      <c r="E2216" s="19"/>
      <c r="F2216" s="19"/>
      <c r="G2216" s="19"/>
      <c r="H2216" s="19"/>
      <c r="I2216" s="19"/>
      <c r="J2216" s="19"/>
      <c r="K2216" s="19"/>
      <c r="L2216" s="19"/>
      <c r="M2216" s="19"/>
      <c r="N2216" s="19"/>
      <c r="O2216" s="19"/>
      <c r="P2216" s="19"/>
      <c r="Q2216" s="19"/>
      <c r="R2216" s="19"/>
      <c r="S2216" s="19"/>
      <c r="T2216" s="34" t="str">
        <f aca="false">IF($R2216="","",IFERROR(INDEX(DriverCategory,MATCH($R2216,DriverList,0)),"BAU"))</f>
        <v/>
      </c>
      <c r="U2216" s="34" t="str">
        <f aca="false">IF($R2216="","",IFERROR(INDEX(DriverRank,MATCH($R2216,DriverList,0)),99))</f>
        <v/>
      </c>
      <c r="V2216" s="35" t="n">
        <f aca="false">IF($H2216="",0,IFERROR(INDEX(LevelBasic,MATCH($H2216,LevelList,0))+INDEX(LevelHousing,MATCH($H2216,LevelList,0))+INDEX(LevelTransport,MATCH($H2216,LevelList,0))+INDEX(LevelBasic,MATCH($H2216,LevelList,0))*INDEX(LevelBonus,MATCH($H2216,LevelList,0))+(INDEX(LevelBasic,MATCH($H2216,LevelList,0))+INDEX(LevelHousing,MATCH($H2216,LevelList,0)))*GosiSaudi,0))</f>
        <v>0</v>
      </c>
      <c r="W2216" s="35" t="n">
        <f aca="false">IFERROR(INDEX(LevelOneOff,MATCH($H2216,LevelList,0)),0)</f>
        <v>0</v>
      </c>
      <c r="X2216" s="35" t="str">
        <f aca="false">IF($G2216="","",$V2216*N($L2216))</f>
        <v/>
      </c>
      <c r="Y2216" s="35" t="str">
        <f aca="false">IF($G2216="","",$V2216*(N($M2216)*1+N($N2216)*0.75+N($O2216)*0.5+N($P2216)*0.25)+$W2216*N($L2216))</f>
        <v/>
      </c>
      <c r="Z2216" s="35" t="str">
        <f aca="false">IF($G2216="","",$U2216*1000000+ROW())</f>
        <v/>
      </c>
      <c r="AA2216" s="36" t="str">
        <f aca="false">IF($G2216="","",MID(IF($C2216="",", no division","")&amp;IF($E2216="",", no unit","")&amp;IF($H2216="",", no career level","")&amp;IF(N($L2216)&lt;=0,", no quarter split","")&amp;IF($R2216="",", no driver","")&amp;IF(AND($H2216&lt;&gt;"",COUNTIF(CareerLevels,$H2216)=0),", a career level that is not on the ladder","")&amp;IF(AND($R2216&lt;&gt;"",COUNTIF(DriverList,$R2216)=0),", a driver that is not on the list","")&amp;IF(ABS(N($L2216)-(N($M2216)+N($N2216)+N($O2216)+N($P2216)))&gt;0.001,", a total that does not match its quarters",""),3,300))</f>
        <v/>
      </c>
    </row>
    <row r="2217" customFormat="false" ht="15" hidden="false" customHeight="false" outlineLevel="0" collapsed="false">
      <c r="A2217" s="33" t="str">
        <f aca="false">IF($G2217="","","Treasury &amp; Investments Group")</f>
        <v/>
      </c>
      <c r="B2217" s="19"/>
      <c r="C2217" s="19"/>
      <c r="D2217" s="19"/>
      <c r="E2217" s="19"/>
      <c r="F2217" s="19"/>
      <c r="G2217" s="19"/>
      <c r="H2217" s="19"/>
      <c r="I2217" s="19"/>
      <c r="J2217" s="19"/>
      <c r="K2217" s="19"/>
      <c r="L2217" s="19"/>
      <c r="M2217" s="19"/>
      <c r="N2217" s="19"/>
      <c r="O2217" s="19"/>
      <c r="P2217" s="19"/>
      <c r="Q2217" s="19"/>
      <c r="R2217" s="19"/>
      <c r="S2217" s="19"/>
      <c r="T2217" s="34" t="str">
        <f aca="false">IF($R2217="","",IFERROR(INDEX(DriverCategory,MATCH($R2217,DriverList,0)),"BAU"))</f>
        <v/>
      </c>
      <c r="U2217" s="34" t="str">
        <f aca="false">IF($R2217="","",IFERROR(INDEX(DriverRank,MATCH($R2217,DriverList,0)),99))</f>
        <v/>
      </c>
      <c r="V2217" s="35" t="n">
        <f aca="false">IF($H2217="",0,IFERROR(INDEX(LevelBasic,MATCH($H2217,LevelList,0))+INDEX(LevelHousing,MATCH($H2217,LevelList,0))+INDEX(LevelTransport,MATCH($H2217,LevelList,0))+INDEX(LevelBasic,MATCH($H2217,LevelList,0))*INDEX(LevelBonus,MATCH($H2217,LevelList,0))+(INDEX(LevelBasic,MATCH($H2217,LevelList,0))+INDEX(LevelHousing,MATCH($H2217,LevelList,0)))*GosiSaudi,0))</f>
        <v>0</v>
      </c>
      <c r="W2217" s="35" t="n">
        <f aca="false">IFERROR(INDEX(LevelOneOff,MATCH($H2217,LevelList,0)),0)</f>
        <v>0</v>
      </c>
      <c r="X2217" s="35" t="str">
        <f aca="false">IF($G2217="","",$V2217*N($L2217))</f>
        <v/>
      </c>
      <c r="Y2217" s="35" t="str">
        <f aca="false">IF($G2217="","",$V2217*(N($M2217)*1+N($N2217)*0.75+N($O2217)*0.5+N($P2217)*0.25)+$W2217*N($L2217))</f>
        <v/>
      </c>
      <c r="Z2217" s="35" t="str">
        <f aca="false">IF($G2217="","",$U2217*1000000+ROW())</f>
        <v/>
      </c>
      <c r="AA2217" s="36" t="str">
        <f aca="false">IF($G2217="","",MID(IF($C2217="",", no division","")&amp;IF($E2217="",", no unit","")&amp;IF($H2217="",", no career level","")&amp;IF(N($L2217)&lt;=0,", no quarter split","")&amp;IF($R2217="",", no driver","")&amp;IF(AND($H2217&lt;&gt;"",COUNTIF(CareerLevels,$H2217)=0),", a career level that is not on the ladder","")&amp;IF(AND($R2217&lt;&gt;"",COUNTIF(DriverList,$R2217)=0),", a driver that is not on the list","")&amp;IF(ABS(N($L2217)-(N($M2217)+N($N2217)+N($O2217)+N($P2217)))&gt;0.001,", a total that does not match its quarters",""),3,300))</f>
        <v/>
      </c>
    </row>
    <row r="2218" customFormat="false" ht="15" hidden="false" customHeight="false" outlineLevel="0" collapsed="false">
      <c r="A2218" s="33" t="str">
        <f aca="false">IF($G2218="","","Treasury &amp; Investments Group")</f>
        <v/>
      </c>
      <c r="B2218" s="19"/>
      <c r="C2218" s="19"/>
      <c r="D2218" s="19"/>
      <c r="E2218" s="19"/>
      <c r="F2218" s="19"/>
      <c r="G2218" s="19"/>
      <c r="H2218" s="19"/>
      <c r="I2218" s="19"/>
      <c r="J2218" s="19"/>
      <c r="K2218" s="19"/>
      <c r="L2218" s="19"/>
      <c r="M2218" s="19"/>
      <c r="N2218" s="19"/>
      <c r="O2218" s="19"/>
      <c r="P2218" s="19"/>
      <c r="Q2218" s="19"/>
      <c r="R2218" s="19"/>
      <c r="S2218" s="19"/>
      <c r="T2218" s="34" t="str">
        <f aca="false">IF($R2218="","",IFERROR(INDEX(DriverCategory,MATCH($R2218,DriverList,0)),"BAU"))</f>
        <v/>
      </c>
      <c r="U2218" s="34" t="str">
        <f aca="false">IF($R2218="","",IFERROR(INDEX(DriverRank,MATCH($R2218,DriverList,0)),99))</f>
        <v/>
      </c>
      <c r="V2218" s="35" t="n">
        <f aca="false">IF($H2218="",0,IFERROR(INDEX(LevelBasic,MATCH($H2218,LevelList,0))+INDEX(LevelHousing,MATCH($H2218,LevelList,0))+INDEX(LevelTransport,MATCH($H2218,LevelList,0))+INDEX(LevelBasic,MATCH($H2218,LevelList,0))*INDEX(LevelBonus,MATCH($H2218,LevelList,0))+(INDEX(LevelBasic,MATCH($H2218,LevelList,0))+INDEX(LevelHousing,MATCH($H2218,LevelList,0)))*GosiSaudi,0))</f>
        <v>0</v>
      </c>
      <c r="W2218" s="35" t="n">
        <f aca="false">IFERROR(INDEX(LevelOneOff,MATCH($H2218,LevelList,0)),0)</f>
        <v>0</v>
      </c>
      <c r="X2218" s="35" t="str">
        <f aca="false">IF($G2218="","",$V2218*N($L2218))</f>
        <v/>
      </c>
      <c r="Y2218" s="35" t="str">
        <f aca="false">IF($G2218="","",$V2218*(N($M2218)*1+N($N2218)*0.75+N($O2218)*0.5+N($P2218)*0.25)+$W2218*N($L2218))</f>
        <v/>
      </c>
      <c r="Z2218" s="35" t="str">
        <f aca="false">IF($G2218="","",$U2218*1000000+ROW())</f>
        <v/>
      </c>
      <c r="AA2218" s="36" t="str">
        <f aca="false">IF($G2218="","",MID(IF($C2218="",", no division","")&amp;IF($E2218="",", no unit","")&amp;IF($H2218="",", no career level","")&amp;IF(N($L2218)&lt;=0,", no quarter split","")&amp;IF($R2218="",", no driver","")&amp;IF(AND($H2218&lt;&gt;"",COUNTIF(CareerLevels,$H2218)=0),", a career level that is not on the ladder","")&amp;IF(AND($R2218&lt;&gt;"",COUNTIF(DriverList,$R2218)=0),", a driver that is not on the list","")&amp;IF(ABS(N($L2218)-(N($M2218)+N($N2218)+N($O2218)+N($P2218)))&gt;0.001,", a total that does not match its quarters",""),3,300))</f>
        <v/>
      </c>
    </row>
    <row r="2219" customFormat="false" ht="15" hidden="false" customHeight="false" outlineLevel="0" collapsed="false">
      <c r="A2219" s="33" t="str">
        <f aca="false">IF($G2219="","","Treasury &amp; Investments Group")</f>
        <v/>
      </c>
      <c r="B2219" s="19"/>
      <c r="C2219" s="19"/>
      <c r="D2219" s="19"/>
      <c r="E2219" s="19"/>
      <c r="F2219" s="19"/>
      <c r="G2219" s="19"/>
      <c r="H2219" s="19"/>
      <c r="I2219" s="19"/>
      <c r="J2219" s="19"/>
      <c r="K2219" s="19"/>
      <c r="L2219" s="19"/>
      <c r="M2219" s="19"/>
      <c r="N2219" s="19"/>
      <c r="O2219" s="19"/>
      <c r="P2219" s="19"/>
      <c r="Q2219" s="19"/>
      <c r="R2219" s="19"/>
      <c r="S2219" s="19"/>
      <c r="T2219" s="34" t="str">
        <f aca="false">IF($R2219="","",IFERROR(INDEX(DriverCategory,MATCH($R2219,DriverList,0)),"BAU"))</f>
        <v/>
      </c>
      <c r="U2219" s="34" t="str">
        <f aca="false">IF($R2219="","",IFERROR(INDEX(DriverRank,MATCH($R2219,DriverList,0)),99))</f>
        <v/>
      </c>
      <c r="V2219" s="35" t="n">
        <f aca="false">IF($H2219="",0,IFERROR(INDEX(LevelBasic,MATCH($H2219,LevelList,0))+INDEX(LevelHousing,MATCH($H2219,LevelList,0))+INDEX(LevelTransport,MATCH($H2219,LevelList,0))+INDEX(LevelBasic,MATCH($H2219,LevelList,0))*INDEX(LevelBonus,MATCH($H2219,LevelList,0))+(INDEX(LevelBasic,MATCH($H2219,LevelList,0))+INDEX(LevelHousing,MATCH($H2219,LevelList,0)))*GosiSaudi,0))</f>
        <v>0</v>
      </c>
      <c r="W2219" s="35" t="n">
        <f aca="false">IFERROR(INDEX(LevelOneOff,MATCH($H2219,LevelList,0)),0)</f>
        <v>0</v>
      </c>
      <c r="X2219" s="35" t="str">
        <f aca="false">IF($G2219="","",$V2219*N($L2219))</f>
        <v/>
      </c>
      <c r="Y2219" s="35" t="str">
        <f aca="false">IF($G2219="","",$V2219*(N($M2219)*1+N($N2219)*0.75+N($O2219)*0.5+N($P2219)*0.25)+$W2219*N($L2219))</f>
        <v/>
      </c>
      <c r="Z2219" s="35" t="str">
        <f aca="false">IF($G2219="","",$U2219*1000000+ROW())</f>
        <v/>
      </c>
      <c r="AA2219" s="36" t="str">
        <f aca="false">IF($G2219="","",MID(IF($C2219="",", no division","")&amp;IF($E2219="",", no unit","")&amp;IF($H2219="",", no career level","")&amp;IF(N($L2219)&lt;=0,", no quarter split","")&amp;IF($R2219="",", no driver","")&amp;IF(AND($H2219&lt;&gt;"",COUNTIF(CareerLevels,$H2219)=0),", a career level that is not on the ladder","")&amp;IF(AND($R2219&lt;&gt;"",COUNTIF(DriverList,$R2219)=0),", a driver that is not on the list","")&amp;IF(ABS(N($L2219)-(N($M2219)+N($N2219)+N($O2219)+N($P2219)))&gt;0.001,", a total that does not match its quarters",""),3,300))</f>
        <v/>
      </c>
    </row>
    <row r="2220" customFormat="false" ht="15" hidden="false" customHeight="false" outlineLevel="0" collapsed="false">
      <c r="A2220" s="33" t="str">
        <f aca="false">IF($G2220="","","Treasury &amp; Investments Group")</f>
        <v/>
      </c>
      <c r="B2220" s="19"/>
      <c r="C2220" s="19"/>
      <c r="D2220" s="19"/>
      <c r="E2220" s="19"/>
      <c r="F2220" s="19"/>
      <c r="G2220" s="19"/>
      <c r="H2220" s="19"/>
      <c r="I2220" s="19"/>
      <c r="J2220" s="19"/>
      <c r="K2220" s="19"/>
      <c r="L2220" s="19"/>
      <c r="M2220" s="19"/>
      <c r="N2220" s="19"/>
      <c r="O2220" s="19"/>
      <c r="P2220" s="19"/>
      <c r="Q2220" s="19"/>
      <c r="R2220" s="19"/>
      <c r="S2220" s="19"/>
      <c r="T2220" s="34" t="str">
        <f aca="false">IF($R2220="","",IFERROR(INDEX(DriverCategory,MATCH($R2220,DriverList,0)),"BAU"))</f>
        <v/>
      </c>
      <c r="U2220" s="34" t="str">
        <f aca="false">IF($R2220="","",IFERROR(INDEX(DriverRank,MATCH($R2220,DriverList,0)),99))</f>
        <v/>
      </c>
      <c r="V2220" s="35" t="n">
        <f aca="false">IF($H2220="",0,IFERROR(INDEX(LevelBasic,MATCH($H2220,LevelList,0))+INDEX(LevelHousing,MATCH($H2220,LevelList,0))+INDEX(LevelTransport,MATCH($H2220,LevelList,0))+INDEX(LevelBasic,MATCH($H2220,LevelList,0))*INDEX(LevelBonus,MATCH($H2220,LevelList,0))+(INDEX(LevelBasic,MATCH($H2220,LevelList,0))+INDEX(LevelHousing,MATCH($H2220,LevelList,0)))*GosiSaudi,0))</f>
        <v>0</v>
      </c>
      <c r="W2220" s="35" t="n">
        <f aca="false">IFERROR(INDEX(LevelOneOff,MATCH($H2220,LevelList,0)),0)</f>
        <v>0</v>
      </c>
      <c r="X2220" s="35" t="str">
        <f aca="false">IF($G2220="","",$V2220*N($L2220))</f>
        <v/>
      </c>
      <c r="Y2220" s="35" t="str">
        <f aca="false">IF($G2220="","",$V2220*(N($M2220)*1+N($N2220)*0.75+N($O2220)*0.5+N($P2220)*0.25)+$W2220*N($L2220))</f>
        <v/>
      </c>
      <c r="Z2220" s="35" t="str">
        <f aca="false">IF($G2220="","",$U2220*1000000+ROW())</f>
        <v/>
      </c>
      <c r="AA2220" s="36" t="str">
        <f aca="false">IF($G2220="","",MID(IF($C2220="",", no division","")&amp;IF($E2220="",", no unit","")&amp;IF($H2220="",", no career level","")&amp;IF(N($L2220)&lt;=0,", no quarter split","")&amp;IF($R2220="",", no driver","")&amp;IF(AND($H2220&lt;&gt;"",COUNTIF(CareerLevels,$H2220)=0),", a career level that is not on the ladder","")&amp;IF(AND($R2220&lt;&gt;"",COUNTIF(DriverList,$R2220)=0),", a driver that is not on the list","")&amp;IF(ABS(N($L2220)-(N($M2220)+N($N2220)+N($O2220)+N($P2220)))&gt;0.001,", a total that does not match its quarters",""),3,300))</f>
        <v/>
      </c>
    </row>
    <row r="2221" customFormat="false" ht="15" hidden="false" customHeight="false" outlineLevel="0" collapsed="false">
      <c r="A2221" s="33" t="str">
        <f aca="false">IF($G2221="","","Treasury &amp; Investments Group")</f>
        <v/>
      </c>
      <c r="B2221" s="19"/>
      <c r="C2221" s="19"/>
      <c r="D2221" s="19"/>
      <c r="E2221" s="19"/>
      <c r="F2221" s="19"/>
      <c r="G2221" s="19"/>
      <c r="H2221" s="19"/>
      <c r="I2221" s="19"/>
      <c r="J2221" s="19"/>
      <c r="K2221" s="19"/>
      <c r="L2221" s="19"/>
      <c r="M2221" s="19"/>
      <c r="N2221" s="19"/>
      <c r="O2221" s="19"/>
      <c r="P2221" s="19"/>
      <c r="Q2221" s="19"/>
      <c r="R2221" s="19"/>
      <c r="S2221" s="19"/>
      <c r="T2221" s="34" t="str">
        <f aca="false">IF($R2221="","",IFERROR(INDEX(DriverCategory,MATCH($R2221,DriverList,0)),"BAU"))</f>
        <v/>
      </c>
      <c r="U2221" s="34" t="str">
        <f aca="false">IF($R2221="","",IFERROR(INDEX(DriverRank,MATCH($R2221,DriverList,0)),99))</f>
        <v/>
      </c>
      <c r="V2221" s="35" t="n">
        <f aca="false">IF($H2221="",0,IFERROR(INDEX(LevelBasic,MATCH($H2221,LevelList,0))+INDEX(LevelHousing,MATCH($H2221,LevelList,0))+INDEX(LevelTransport,MATCH($H2221,LevelList,0))+INDEX(LevelBasic,MATCH($H2221,LevelList,0))*INDEX(LevelBonus,MATCH($H2221,LevelList,0))+(INDEX(LevelBasic,MATCH($H2221,LevelList,0))+INDEX(LevelHousing,MATCH($H2221,LevelList,0)))*GosiSaudi,0))</f>
        <v>0</v>
      </c>
      <c r="W2221" s="35" t="n">
        <f aca="false">IFERROR(INDEX(LevelOneOff,MATCH($H2221,LevelList,0)),0)</f>
        <v>0</v>
      </c>
      <c r="X2221" s="35" t="str">
        <f aca="false">IF($G2221="","",$V2221*N($L2221))</f>
        <v/>
      </c>
      <c r="Y2221" s="35" t="str">
        <f aca="false">IF($G2221="","",$V2221*(N($M2221)*1+N($N2221)*0.75+N($O2221)*0.5+N($P2221)*0.25)+$W2221*N($L2221))</f>
        <v/>
      </c>
      <c r="Z2221" s="35" t="str">
        <f aca="false">IF($G2221="","",$U2221*1000000+ROW())</f>
        <v/>
      </c>
      <c r="AA2221" s="36" t="str">
        <f aca="false">IF($G2221="","",MID(IF($C2221="",", no division","")&amp;IF($E2221="",", no unit","")&amp;IF($H2221="",", no career level","")&amp;IF(N($L2221)&lt;=0,", no quarter split","")&amp;IF($R2221="",", no driver","")&amp;IF(AND($H2221&lt;&gt;"",COUNTIF(CareerLevels,$H2221)=0),", a career level that is not on the ladder","")&amp;IF(AND($R2221&lt;&gt;"",COUNTIF(DriverList,$R2221)=0),", a driver that is not on the list","")&amp;IF(ABS(N($L2221)-(N($M2221)+N($N2221)+N($O2221)+N($P2221)))&gt;0.001,", a total that does not match its quarters",""),3,300))</f>
        <v/>
      </c>
    </row>
    <row r="2222" customFormat="false" ht="15" hidden="false" customHeight="false" outlineLevel="0" collapsed="false">
      <c r="A2222" s="33" t="str">
        <f aca="false">IF($G2222="","","Treasury &amp; Investments Group")</f>
        <v/>
      </c>
      <c r="B2222" s="19"/>
      <c r="C2222" s="19"/>
      <c r="D2222" s="19"/>
      <c r="E2222" s="19"/>
      <c r="F2222" s="19"/>
      <c r="G2222" s="19"/>
      <c r="H2222" s="19"/>
      <c r="I2222" s="19"/>
      <c r="J2222" s="19"/>
      <c r="K2222" s="19"/>
      <c r="L2222" s="19"/>
      <c r="M2222" s="19"/>
      <c r="N2222" s="19"/>
      <c r="O2222" s="19"/>
      <c r="P2222" s="19"/>
      <c r="Q2222" s="19"/>
      <c r="R2222" s="19"/>
      <c r="S2222" s="19"/>
      <c r="T2222" s="34" t="str">
        <f aca="false">IF($R2222="","",IFERROR(INDEX(DriverCategory,MATCH($R2222,DriverList,0)),"BAU"))</f>
        <v/>
      </c>
      <c r="U2222" s="34" t="str">
        <f aca="false">IF($R2222="","",IFERROR(INDEX(DriverRank,MATCH($R2222,DriverList,0)),99))</f>
        <v/>
      </c>
      <c r="V2222" s="35" t="n">
        <f aca="false">IF($H2222="",0,IFERROR(INDEX(LevelBasic,MATCH($H2222,LevelList,0))+INDEX(LevelHousing,MATCH($H2222,LevelList,0))+INDEX(LevelTransport,MATCH($H2222,LevelList,0))+INDEX(LevelBasic,MATCH($H2222,LevelList,0))*INDEX(LevelBonus,MATCH($H2222,LevelList,0))+(INDEX(LevelBasic,MATCH($H2222,LevelList,0))+INDEX(LevelHousing,MATCH($H2222,LevelList,0)))*GosiSaudi,0))</f>
        <v>0</v>
      </c>
      <c r="W2222" s="35" t="n">
        <f aca="false">IFERROR(INDEX(LevelOneOff,MATCH($H2222,LevelList,0)),0)</f>
        <v>0</v>
      </c>
      <c r="X2222" s="35" t="str">
        <f aca="false">IF($G2222="","",$V2222*N($L2222))</f>
        <v/>
      </c>
      <c r="Y2222" s="35" t="str">
        <f aca="false">IF($G2222="","",$V2222*(N($M2222)*1+N($N2222)*0.75+N($O2222)*0.5+N($P2222)*0.25)+$W2222*N($L2222))</f>
        <v/>
      </c>
      <c r="Z2222" s="35" t="str">
        <f aca="false">IF($G2222="","",$U2222*1000000+ROW())</f>
        <v/>
      </c>
      <c r="AA2222" s="36" t="str">
        <f aca="false">IF($G2222="","",MID(IF($C2222="",", no division","")&amp;IF($E2222="",", no unit","")&amp;IF($H2222="",", no career level","")&amp;IF(N($L2222)&lt;=0,", no quarter split","")&amp;IF($R2222="",", no driver","")&amp;IF(AND($H2222&lt;&gt;"",COUNTIF(CareerLevels,$H2222)=0),", a career level that is not on the ladder","")&amp;IF(AND($R2222&lt;&gt;"",COUNTIF(DriverList,$R2222)=0),", a driver that is not on the list","")&amp;IF(ABS(N($L2222)-(N($M2222)+N($N2222)+N($O2222)+N($P2222)))&gt;0.001,", a total that does not match its quarters",""),3,300))</f>
        <v/>
      </c>
    </row>
    <row r="2223" customFormat="false" ht="15" hidden="false" customHeight="false" outlineLevel="0" collapsed="false">
      <c r="A2223" s="33" t="str">
        <f aca="false">IF($G2223="","","Treasury &amp; Investments Group")</f>
        <v/>
      </c>
      <c r="B2223" s="19"/>
      <c r="C2223" s="19"/>
      <c r="D2223" s="19"/>
      <c r="E2223" s="19"/>
      <c r="F2223" s="19"/>
      <c r="G2223" s="19"/>
      <c r="H2223" s="19"/>
      <c r="I2223" s="19"/>
      <c r="J2223" s="19"/>
      <c r="K2223" s="19"/>
      <c r="L2223" s="19"/>
      <c r="M2223" s="19"/>
      <c r="N2223" s="19"/>
      <c r="O2223" s="19"/>
      <c r="P2223" s="19"/>
      <c r="Q2223" s="19"/>
      <c r="R2223" s="19"/>
      <c r="S2223" s="19"/>
      <c r="T2223" s="34" t="str">
        <f aca="false">IF($R2223="","",IFERROR(INDEX(DriverCategory,MATCH($R2223,DriverList,0)),"BAU"))</f>
        <v/>
      </c>
      <c r="U2223" s="34" t="str">
        <f aca="false">IF($R2223="","",IFERROR(INDEX(DriverRank,MATCH($R2223,DriverList,0)),99))</f>
        <v/>
      </c>
      <c r="V2223" s="35" t="n">
        <f aca="false">IF($H2223="",0,IFERROR(INDEX(LevelBasic,MATCH($H2223,LevelList,0))+INDEX(LevelHousing,MATCH($H2223,LevelList,0))+INDEX(LevelTransport,MATCH($H2223,LevelList,0))+INDEX(LevelBasic,MATCH($H2223,LevelList,0))*INDEX(LevelBonus,MATCH($H2223,LevelList,0))+(INDEX(LevelBasic,MATCH($H2223,LevelList,0))+INDEX(LevelHousing,MATCH($H2223,LevelList,0)))*GosiSaudi,0))</f>
        <v>0</v>
      </c>
      <c r="W2223" s="35" t="n">
        <f aca="false">IFERROR(INDEX(LevelOneOff,MATCH($H2223,LevelList,0)),0)</f>
        <v>0</v>
      </c>
      <c r="X2223" s="35" t="str">
        <f aca="false">IF($G2223="","",$V2223*N($L2223))</f>
        <v/>
      </c>
      <c r="Y2223" s="35" t="str">
        <f aca="false">IF($G2223="","",$V2223*(N($M2223)*1+N($N2223)*0.75+N($O2223)*0.5+N($P2223)*0.25)+$W2223*N($L2223))</f>
        <v/>
      </c>
      <c r="Z2223" s="35" t="str">
        <f aca="false">IF($G2223="","",$U2223*1000000+ROW())</f>
        <v/>
      </c>
      <c r="AA2223" s="36" t="str">
        <f aca="false">IF($G2223="","",MID(IF($C2223="",", no division","")&amp;IF($E2223="",", no unit","")&amp;IF($H2223="",", no career level","")&amp;IF(N($L2223)&lt;=0,", no quarter split","")&amp;IF($R2223="",", no driver","")&amp;IF(AND($H2223&lt;&gt;"",COUNTIF(CareerLevels,$H2223)=0),", a career level that is not on the ladder","")&amp;IF(AND($R2223&lt;&gt;"",COUNTIF(DriverList,$R2223)=0),", a driver that is not on the list","")&amp;IF(ABS(N($L2223)-(N($M2223)+N($N2223)+N($O2223)+N($P2223)))&gt;0.001,", a total that does not match its quarters",""),3,300))</f>
        <v/>
      </c>
    </row>
    <row r="2224" customFormat="false" ht="15" hidden="false" customHeight="false" outlineLevel="0" collapsed="false">
      <c r="A2224" s="33" t="str">
        <f aca="false">IF($G2224="","","Treasury &amp; Investments Group")</f>
        <v/>
      </c>
      <c r="B2224" s="19"/>
      <c r="C2224" s="19"/>
      <c r="D2224" s="19"/>
      <c r="E2224" s="19"/>
      <c r="F2224" s="19"/>
      <c r="G2224" s="19"/>
      <c r="H2224" s="19"/>
      <c r="I2224" s="19"/>
      <c r="J2224" s="19"/>
      <c r="K2224" s="19"/>
      <c r="L2224" s="19"/>
      <c r="M2224" s="19"/>
      <c r="N2224" s="19"/>
      <c r="O2224" s="19"/>
      <c r="P2224" s="19"/>
      <c r="Q2224" s="19"/>
      <c r="R2224" s="19"/>
      <c r="S2224" s="19"/>
      <c r="T2224" s="34" t="str">
        <f aca="false">IF($R2224="","",IFERROR(INDEX(DriverCategory,MATCH($R2224,DriverList,0)),"BAU"))</f>
        <v/>
      </c>
      <c r="U2224" s="34" t="str">
        <f aca="false">IF($R2224="","",IFERROR(INDEX(DriverRank,MATCH($R2224,DriverList,0)),99))</f>
        <v/>
      </c>
      <c r="V2224" s="35" t="n">
        <f aca="false">IF($H2224="",0,IFERROR(INDEX(LevelBasic,MATCH($H2224,LevelList,0))+INDEX(LevelHousing,MATCH($H2224,LevelList,0))+INDEX(LevelTransport,MATCH($H2224,LevelList,0))+INDEX(LevelBasic,MATCH($H2224,LevelList,0))*INDEX(LevelBonus,MATCH($H2224,LevelList,0))+(INDEX(LevelBasic,MATCH($H2224,LevelList,0))+INDEX(LevelHousing,MATCH($H2224,LevelList,0)))*GosiSaudi,0))</f>
        <v>0</v>
      </c>
      <c r="W2224" s="35" t="n">
        <f aca="false">IFERROR(INDEX(LevelOneOff,MATCH($H2224,LevelList,0)),0)</f>
        <v>0</v>
      </c>
      <c r="X2224" s="35" t="str">
        <f aca="false">IF($G2224="","",$V2224*N($L2224))</f>
        <v/>
      </c>
      <c r="Y2224" s="35" t="str">
        <f aca="false">IF($G2224="","",$V2224*(N($M2224)*1+N($N2224)*0.75+N($O2224)*0.5+N($P2224)*0.25)+$W2224*N($L2224))</f>
        <v/>
      </c>
      <c r="Z2224" s="35" t="str">
        <f aca="false">IF($G2224="","",$U2224*1000000+ROW())</f>
        <v/>
      </c>
      <c r="AA2224" s="36" t="str">
        <f aca="false">IF($G2224="","",MID(IF($C2224="",", no division","")&amp;IF($E2224="",", no unit","")&amp;IF($H2224="",", no career level","")&amp;IF(N($L2224)&lt;=0,", no quarter split","")&amp;IF($R2224="",", no driver","")&amp;IF(AND($H2224&lt;&gt;"",COUNTIF(CareerLevels,$H2224)=0),", a career level that is not on the ladder","")&amp;IF(AND($R2224&lt;&gt;"",COUNTIF(DriverList,$R2224)=0),", a driver that is not on the list","")&amp;IF(ABS(N($L2224)-(N($M2224)+N($N2224)+N($O2224)+N($P2224)))&gt;0.001,", a total that does not match its quarters",""),3,300))</f>
        <v/>
      </c>
    </row>
    <row r="2225" customFormat="false" ht="15" hidden="false" customHeight="false" outlineLevel="0" collapsed="false">
      <c r="A2225" s="33" t="str">
        <f aca="false">IF($G2225="","","Treasury &amp; Investments Group")</f>
        <v/>
      </c>
      <c r="B2225" s="19"/>
      <c r="C2225" s="19"/>
      <c r="D2225" s="19"/>
      <c r="E2225" s="19"/>
      <c r="F2225" s="19"/>
      <c r="G2225" s="19"/>
      <c r="H2225" s="19"/>
      <c r="I2225" s="19"/>
      <c r="J2225" s="19"/>
      <c r="K2225" s="19"/>
      <c r="L2225" s="19"/>
      <c r="M2225" s="19"/>
      <c r="N2225" s="19"/>
      <c r="O2225" s="19"/>
      <c r="P2225" s="19"/>
      <c r="Q2225" s="19"/>
      <c r="R2225" s="19"/>
      <c r="S2225" s="19"/>
      <c r="T2225" s="34" t="str">
        <f aca="false">IF($R2225="","",IFERROR(INDEX(DriverCategory,MATCH($R2225,DriverList,0)),"BAU"))</f>
        <v/>
      </c>
      <c r="U2225" s="34" t="str">
        <f aca="false">IF($R2225="","",IFERROR(INDEX(DriverRank,MATCH($R2225,DriverList,0)),99))</f>
        <v/>
      </c>
      <c r="V2225" s="35" t="n">
        <f aca="false">IF($H2225="",0,IFERROR(INDEX(LevelBasic,MATCH($H2225,LevelList,0))+INDEX(LevelHousing,MATCH($H2225,LevelList,0))+INDEX(LevelTransport,MATCH($H2225,LevelList,0))+INDEX(LevelBasic,MATCH($H2225,LevelList,0))*INDEX(LevelBonus,MATCH($H2225,LevelList,0))+(INDEX(LevelBasic,MATCH($H2225,LevelList,0))+INDEX(LevelHousing,MATCH($H2225,LevelList,0)))*GosiSaudi,0))</f>
        <v>0</v>
      </c>
      <c r="W2225" s="35" t="n">
        <f aca="false">IFERROR(INDEX(LevelOneOff,MATCH($H2225,LevelList,0)),0)</f>
        <v>0</v>
      </c>
      <c r="X2225" s="35" t="str">
        <f aca="false">IF($G2225="","",$V2225*N($L2225))</f>
        <v/>
      </c>
      <c r="Y2225" s="35" t="str">
        <f aca="false">IF($G2225="","",$V2225*(N($M2225)*1+N($N2225)*0.75+N($O2225)*0.5+N($P2225)*0.25)+$W2225*N($L2225))</f>
        <v/>
      </c>
      <c r="Z2225" s="35" t="str">
        <f aca="false">IF($G2225="","",$U2225*1000000+ROW())</f>
        <v/>
      </c>
      <c r="AA2225" s="36" t="str">
        <f aca="false">IF($G2225="","",MID(IF($C2225="",", no division","")&amp;IF($E2225="",", no unit","")&amp;IF($H2225="",", no career level","")&amp;IF(N($L2225)&lt;=0,", no quarter split","")&amp;IF($R2225="",", no driver","")&amp;IF(AND($H2225&lt;&gt;"",COUNTIF(CareerLevels,$H2225)=0),", a career level that is not on the ladder","")&amp;IF(AND($R2225&lt;&gt;"",COUNTIF(DriverList,$R2225)=0),", a driver that is not on the list","")&amp;IF(ABS(N($L2225)-(N($M2225)+N($N2225)+N($O2225)+N($P2225)))&gt;0.001,", a total that does not match its quarters",""),3,300))</f>
        <v/>
      </c>
    </row>
    <row r="2226" customFormat="false" ht="15" hidden="false" customHeight="false" outlineLevel="0" collapsed="false">
      <c r="A2226" s="33" t="str">
        <f aca="false">IF($G2226="","","Treasury &amp; Investments Group")</f>
        <v/>
      </c>
      <c r="B2226" s="19"/>
      <c r="C2226" s="19"/>
      <c r="D2226" s="19"/>
      <c r="E2226" s="19"/>
      <c r="F2226" s="19"/>
      <c r="G2226" s="19"/>
      <c r="H2226" s="19"/>
      <c r="I2226" s="19"/>
      <c r="J2226" s="19"/>
      <c r="K2226" s="19"/>
      <c r="L2226" s="19"/>
      <c r="M2226" s="19"/>
      <c r="N2226" s="19"/>
      <c r="O2226" s="19"/>
      <c r="P2226" s="19"/>
      <c r="Q2226" s="19"/>
      <c r="R2226" s="19"/>
      <c r="S2226" s="19"/>
      <c r="T2226" s="34" t="str">
        <f aca="false">IF($R2226="","",IFERROR(INDEX(DriverCategory,MATCH($R2226,DriverList,0)),"BAU"))</f>
        <v/>
      </c>
      <c r="U2226" s="34" t="str">
        <f aca="false">IF($R2226="","",IFERROR(INDEX(DriverRank,MATCH($R2226,DriverList,0)),99))</f>
        <v/>
      </c>
      <c r="V2226" s="35" t="n">
        <f aca="false">IF($H2226="",0,IFERROR(INDEX(LevelBasic,MATCH($H2226,LevelList,0))+INDEX(LevelHousing,MATCH($H2226,LevelList,0))+INDEX(LevelTransport,MATCH($H2226,LevelList,0))+INDEX(LevelBasic,MATCH($H2226,LevelList,0))*INDEX(LevelBonus,MATCH($H2226,LevelList,0))+(INDEX(LevelBasic,MATCH($H2226,LevelList,0))+INDEX(LevelHousing,MATCH($H2226,LevelList,0)))*GosiSaudi,0))</f>
        <v>0</v>
      </c>
      <c r="W2226" s="35" t="n">
        <f aca="false">IFERROR(INDEX(LevelOneOff,MATCH($H2226,LevelList,0)),0)</f>
        <v>0</v>
      </c>
      <c r="X2226" s="35" t="str">
        <f aca="false">IF($G2226="","",$V2226*N($L2226))</f>
        <v/>
      </c>
      <c r="Y2226" s="35" t="str">
        <f aca="false">IF($G2226="","",$V2226*(N($M2226)*1+N($N2226)*0.75+N($O2226)*0.5+N($P2226)*0.25)+$W2226*N($L2226))</f>
        <v/>
      </c>
      <c r="Z2226" s="35" t="str">
        <f aca="false">IF($G2226="","",$U2226*1000000+ROW())</f>
        <v/>
      </c>
      <c r="AA2226" s="36" t="str">
        <f aca="false">IF($G2226="","",MID(IF($C2226="",", no division","")&amp;IF($E2226="",", no unit","")&amp;IF($H2226="",", no career level","")&amp;IF(N($L2226)&lt;=0,", no quarter split","")&amp;IF($R2226="",", no driver","")&amp;IF(AND($H2226&lt;&gt;"",COUNTIF(CareerLevels,$H2226)=0),", a career level that is not on the ladder","")&amp;IF(AND($R2226&lt;&gt;"",COUNTIF(DriverList,$R2226)=0),", a driver that is not on the list","")&amp;IF(ABS(N($L2226)-(N($M2226)+N($N2226)+N($O2226)+N($P2226)))&gt;0.001,", a total that does not match its quarters",""),3,300))</f>
        <v/>
      </c>
    </row>
    <row r="2227" customFormat="false" ht="15" hidden="false" customHeight="false" outlineLevel="0" collapsed="false">
      <c r="A2227" s="33" t="str">
        <f aca="false">IF($G2227="","","Treasury &amp; Investments Group")</f>
        <v/>
      </c>
      <c r="B2227" s="19"/>
      <c r="C2227" s="19"/>
      <c r="D2227" s="19"/>
      <c r="E2227" s="19"/>
      <c r="F2227" s="19"/>
      <c r="G2227" s="19"/>
      <c r="H2227" s="19"/>
      <c r="I2227" s="19"/>
      <c r="J2227" s="19"/>
      <c r="K2227" s="19"/>
      <c r="L2227" s="19"/>
      <c r="M2227" s="19"/>
      <c r="N2227" s="19"/>
      <c r="O2227" s="19"/>
      <c r="P2227" s="19"/>
      <c r="Q2227" s="19"/>
      <c r="R2227" s="19"/>
      <c r="S2227" s="19"/>
      <c r="T2227" s="34" t="str">
        <f aca="false">IF($R2227="","",IFERROR(INDEX(DriverCategory,MATCH($R2227,DriverList,0)),"BAU"))</f>
        <v/>
      </c>
      <c r="U2227" s="34" t="str">
        <f aca="false">IF($R2227="","",IFERROR(INDEX(DriverRank,MATCH($R2227,DriverList,0)),99))</f>
        <v/>
      </c>
      <c r="V2227" s="35" t="n">
        <f aca="false">IF($H2227="",0,IFERROR(INDEX(LevelBasic,MATCH($H2227,LevelList,0))+INDEX(LevelHousing,MATCH($H2227,LevelList,0))+INDEX(LevelTransport,MATCH($H2227,LevelList,0))+INDEX(LevelBasic,MATCH($H2227,LevelList,0))*INDEX(LevelBonus,MATCH($H2227,LevelList,0))+(INDEX(LevelBasic,MATCH($H2227,LevelList,0))+INDEX(LevelHousing,MATCH($H2227,LevelList,0)))*GosiSaudi,0))</f>
        <v>0</v>
      </c>
      <c r="W2227" s="35" t="n">
        <f aca="false">IFERROR(INDEX(LevelOneOff,MATCH($H2227,LevelList,0)),0)</f>
        <v>0</v>
      </c>
      <c r="X2227" s="35" t="str">
        <f aca="false">IF($G2227="","",$V2227*N($L2227))</f>
        <v/>
      </c>
      <c r="Y2227" s="35" t="str">
        <f aca="false">IF($G2227="","",$V2227*(N($M2227)*1+N($N2227)*0.75+N($O2227)*0.5+N($P2227)*0.25)+$W2227*N($L2227))</f>
        <v/>
      </c>
      <c r="Z2227" s="35" t="str">
        <f aca="false">IF($G2227="","",$U2227*1000000+ROW())</f>
        <v/>
      </c>
      <c r="AA2227" s="36" t="str">
        <f aca="false">IF($G2227="","",MID(IF($C2227="",", no division","")&amp;IF($E2227="",", no unit","")&amp;IF($H2227="",", no career level","")&amp;IF(N($L2227)&lt;=0,", no quarter split","")&amp;IF($R2227="",", no driver","")&amp;IF(AND($H2227&lt;&gt;"",COUNTIF(CareerLevels,$H2227)=0),", a career level that is not on the ladder","")&amp;IF(AND($R2227&lt;&gt;"",COUNTIF(DriverList,$R2227)=0),", a driver that is not on the list","")&amp;IF(ABS(N($L2227)-(N($M2227)+N($N2227)+N($O2227)+N($P2227)))&gt;0.001,", a total that does not match its quarters",""),3,300))</f>
        <v/>
      </c>
    </row>
    <row r="2228" customFormat="false" ht="15" hidden="false" customHeight="false" outlineLevel="0" collapsed="false">
      <c r="A2228" s="33" t="str">
        <f aca="false">IF($G2228="","","Treasury &amp; Investments Group")</f>
        <v/>
      </c>
      <c r="B2228" s="19"/>
      <c r="C2228" s="19"/>
      <c r="D2228" s="19"/>
      <c r="E2228" s="19"/>
      <c r="F2228" s="19"/>
      <c r="G2228" s="19"/>
      <c r="H2228" s="19"/>
      <c r="I2228" s="19"/>
      <c r="J2228" s="19"/>
      <c r="K2228" s="19"/>
      <c r="L2228" s="19"/>
      <c r="M2228" s="19"/>
      <c r="N2228" s="19"/>
      <c r="O2228" s="19"/>
      <c r="P2228" s="19"/>
      <c r="Q2228" s="19"/>
      <c r="R2228" s="19"/>
      <c r="S2228" s="19"/>
      <c r="T2228" s="34" t="str">
        <f aca="false">IF($R2228="","",IFERROR(INDEX(DriverCategory,MATCH($R2228,DriverList,0)),"BAU"))</f>
        <v/>
      </c>
      <c r="U2228" s="34" t="str">
        <f aca="false">IF($R2228="","",IFERROR(INDEX(DriverRank,MATCH($R2228,DriverList,0)),99))</f>
        <v/>
      </c>
      <c r="V2228" s="35" t="n">
        <f aca="false">IF($H2228="",0,IFERROR(INDEX(LevelBasic,MATCH($H2228,LevelList,0))+INDEX(LevelHousing,MATCH($H2228,LevelList,0))+INDEX(LevelTransport,MATCH($H2228,LevelList,0))+INDEX(LevelBasic,MATCH($H2228,LevelList,0))*INDEX(LevelBonus,MATCH($H2228,LevelList,0))+(INDEX(LevelBasic,MATCH($H2228,LevelList,0))+INDEX(LevelHousing,MATCH($H2228,LevelList,0)))*GosiSaudi,0))</f>
        <v>0</v>
      </c>
      <c r="W2228" s="35" t="n">
        <f aca="false">IFERROR(INDEX(LevelOneOff,MATCH($H2228,LevelList,0)),0)</f>
        <v>0</v>
      </c>
      <c r="X2228" s="35" t="str">
        <f aca="false">IF($G2228="","",$V2228*N($L2228))</f>
        <v/>
      </c>
      <c r="Y2228" s="35" t="str">
        <f aca="false">IF($G2228="","",$V2228*(N($M2228)*1+N($N2228)*0.75+N($O2228)*0.5+N($P2228)*0.25)+$W2228*N($L2228))</f>
        <v/>
      </c>
      <c r="Z2228" s="35" t="str">
        <f aca="false">IF($G2228="","",$U2228*1000000+ROW())</f>
        <v/>
      </c>
      <c r="AA2228" s="36" t="str">
        <f aca="false">IF($G2228="","",MID(IF($C2228="",", no division","")&amp;IF($E2228="",", no unit","")&amp;IF($H2228="",", no career level","")&amp;IF(N($L2228)&lt;=0,", no quarter split","")&amp;IF($R2228="",", no driver","")&amp;IF(AND($H2228&lt;&gt;"",COUNTIF(CareerLevels,$H2228)=0),", a career level that is not on the ladder","")&amp;IF(AND($R2228&lt;&gt;"",COUNTIF(DriverList,$R2228)=0),", a driver that is not on the list","")&amp;IF(ABS(N($L2228)-(N($M2228)+N($N2228)+N($O2228)+N($P2228)))&gt;0.001,", a total that does not match its quarters",""),3,300))</f>
        <v/>
      </c>
    </row>
    <row r="2229" customFormat="false" ht="15" hidden="false" customHeight="false" outlineLevel="0" collapsed="false">
      <c r="A2229" s="33" t="str">
        <f aca="false">IF($G2229="","","Treasury &amp; Investments Group")</f>
        <v/>
      </c>
      <c r="B2229" s="19"/>
      <c r="C2229" s="19"/>
      <c r="D2229" s="19"/>
      <c r="E2229" s="19"/>
      <c r="F2229" s="19"/>
      <c r="G2229" s="19"/>
      <c r="H2229" s="19"/>
      <c r="I2229" s="19"/>
      <c r="J2229" s="19"/>
      <c r="K2229" s="19"/>
      <c r="L2229" s="19"/>
      <c r="M2229" s="19"/>
      <c r="N2229" s="19"/>
      <c r="O2229" s="19"/>
      <c r="P2229" s="19"/>
      <c r="Q2229" s="19"/>
      <c r="R2229" s="19"/>
      <c r="S2229" s="19"/>
      <c r="T2229" s="34" t="str">
        <f aca="false">IF($R2229="","",IFERROR(INDEX(DriverCategory,MATCH($R2229,DriverList,0)),"BAU"))</f>
        <v/>
      </c>
      <c r="U2229" s="34" t="str">
        <f aca="false">IF($R2229="","",IFERROR(INDEX(DriverRank,MATCH($R2229,DriverList,0)),99))</f>
        <v/>
      </c>
      <c r="V2229" s="35" t="n">
        <f aca="false">IF($H2229="",0,IFERROR(INDEX(LevelBasic,MATCH($H2229,LevelList,0))+INDEX(LevelHousing,MATCH($H2229,LevelList,0))+INDEX(LevelTransport,MATCH($H2229,LevelList,0))+INDEX(LevelBasic,MATCH($H2229,LevelList,0))*INDEX(LevelBonus,MATCH($H2229,LevelList,0))+(INDEX(LevelBasic,MATCH($H2229,LevelList,0))+INDEX(LevelHousing,MATCH($H2229,LevelList,0)))*GosiSaudi,0))</f>
        <v>0</v>
      </c>
      <c r="W2229" s="35" t="n">
        <f aca="false">IFERROR(INDEX(LevelOneOff,MATCH($H2229,LevelList,0)),0)</f>
        <v>0</v>
      </c>
      <c r="X2229" s="35" t="str">
        <f aca="false">IF($G2229="","",$V2229*N($L2229))</f>
        <v/>
      </c>
      <c r="Y2229" s="35" t="str">
        <f aca="false">IF($G2229="","",$V2229*(N($M2229)*1+N($N2229)*0.75+N($O2229)*0.5+N($P2229)*0.25)+$W2229*N($L2229))</f>
        <v/>
      </c>
      <c r="Z2229" s="35" t="str">
        <f aca="false">IF($G2229="","",$U2229*1000000+ROW())</f>
        <v/>
      </c>
      <c r="AA2229" s="36" t="str">
        <f aca="false">IF($G2229="","",MID(IF($C2229="",", no division","")&amp;IF($E2229="",", no unit","")&amp;IF($H2229="",", no career level","")&amp;IF(N($L2229)&lt;=0,", no quarter split","")&amp;IF($R2229="",", no driver","")&amp;IF(AND($H2229&lt;&gt;"",COUNTIF(CareerLevels,$H2229)=0),", a career level that is not on the ladder","")&amp;IF(AND($R2229&lt;&gt;"",COUNTIF(DriverList,$R2229)=0),", a driver that is not on the list","")&amp;IF(ABS(N($L2229)-(N($M2229)+N($N2229)+N($O2229)+N($P2229)))&gt;0.001,", a total that does not match its quarters",""),3,300))</f>
        <v/>
      </c>
    </row>
    <row r="2230" customFormat="false" ht="15" hidden="false" customHeight="false" outlineLevel="0" collapsed="false">
      <c r="A2230" s="33" t="str">
        <f aca="false">IF($G2230="","","Treasury &amp; Investments Group")</f>
        <v/>
      </c>
      <c r="B2230" s="19"/>
      <c r="C2230" s="19"/>
      <c r="D2230" s="19"/>
      <c r="E2230" s="19"/>
      <c r="F2230" s="19"/>
      <c r="G2230" s="19"/>
      <c r="H2230" s="19"/>
      <c r="I2230" s="19"/>
      <c r="J2230" s="19"/>
      <c r="K2230" s="19"/>
      <c r="L2230" s="19"/>
      <c r="M2230" s="19"/>
      <c r="N2230" s="19"/>
      <c r="O2230" s="19"/>
      <c r="P2230" s="19"/>
      <c r="Q2230" s="19"/>
      <c r="R2230" s="19"/>
      <c r="S2230" s="19"/>
      <c r="T2230" s="34" t="str">
        <f aca="false">IF($R2230="","",IFERROR(INDEX(DriverCategory,MATCH($R2230,DriverList,0)),"BAU"))</f>
        <v/>
      </c>
      <c r="U2230" s="34" t="str">
        <f aca="false">IF($R2230="","",IFERROR(INDEX(DriverRank,MATCH($R2230,DriverList,0)),99))</f>
        <v/>
      </c>
      <c r="V2230" s="35" t="n">
        <f aca="false">IF($H2230="",0,IFERROR(INDEX(LevelBasic,MATCH($H2230,LevelList,0))+INDEX(LevelHousing,MATCH($H2230,LevelList,0))+INDEX(LevelTransport,MATCH($H2230,LevelList,0))+INDEX(LevelBasic,MATCH($H2230,LevelList,0))*INDEX(LevelBonus,MATCH($H2230,LevelList,0))+(INDEX(LevelBasic,MATCH($H2230,LevelList,0))+INDEX(LevelHousing,MATCH($H2230,LevelList,0)))*GosiSaudi,0))</f>
        <v>0</v>
      </c>
      <c r="W2230" s="35" t="n">
        <f aca="false">IFERROR(INDEX(LevelOneOff,MATCH($H2230,LevelList,0)),0)</f>
        <v>0</v>
      </c>
      <c r="X2230" s="35" t="str">
        <f aca="false">IF($G2230="","",$V2230*N($L2230))</f>
        <v/>
      </c>
      <c r="Y2230" s="35" t="str">
        <f aca="false">IF($G2230="","",$V2230*(N($M2230)*1+N($N2230)*0.75+N($O2230)*0.5+N($P2230)*0.25)+$W2230*N($L2230))</f>
        <v/>
      </c>
      <c r="Z2230" s="35" t="str">
        <f aca="false">IF($G2230="","",$U2230*1000000+ROW())</f>
        <v/>
      </c>
      <c r="AA2230" s="36" t="str">
        <f aca="false">IF($G2230="","",MID(IF($C2230="",", no division","")&amp;IF($E2230="",", no unit","")&amp;IF($H2230="",", no career level","")&amp;IF(N($L2230)&lt;=0,", no quarter split","")&amp;IF($R2230="",", no driver","")&amp;IF(AND($H2230&lt;&gt;"",COUNTIF(CareerLevels,$H2230)=0),", a career level that is not on the ladder","")&amp;IF(AND($R2230&lt;&gt;"",COUNTIF(DriverList,$R2230)=0),", a driver that is not on the list","")&amp;IF(ABS(N($L2230)-(N($M2230)+N($N2230)+N($O2230)+N($P2230)))&gt;0.001,", a total that does not match its quarters",""),3,300))</f>
        <v/>
      </c>
    </row>
    <row r="2231" customFormat="false" ht="15" hidden="false" customHeight="false" outlineLevel="0" collapsed="false">
      <c r="A2231" s="33" t="str">
        <f aca="false">IF($G2231="","","Treasury &amp; Investments Group")</f>
        <v/>
      </c>
      <c r="B2231" s="19"/>
      <c r="C2231" s="19"/>
      <c r="D2231" s="19"/>
      <c r="E2231" s="19"/>
      <c r="F2231" s="19"/>
      <c r="G2231" s="19"/>
      <c r="H2231" s="19"/>
      <c r="I2231" s="19"/>
      <c r="J2231" s="19"/>
      <c r="K2231" s="19"/>
      <c r="L2231" s="19"/>
      <c r="M2231" s="19"/>
      <c r="N2231" s="19"/>
      <c r="O2231" s="19"/>
      <c r="P2231" s="19"/>
      <c r="Q2231" s="19"/>
      <c r="R2231" s="19"/>
      <c r="S2231" s="19"/>
      <c r="T2231" s="34" t="str">
        <f aca="false">IF($R2231="","",IFERROR(INDEX(DriverCategory,MATCH($R2231,DriverList,0)),"BAU"))</f>
        <v/>
      </c>
      <c r="U2231" s="34" t="str">
        <f aca="false">IF($R2231="","",IFERROR(INDEX(DriverRank,MATCH($R2231,DriverList,0)),99))</f>
        <v/>
      </c>
      <c r="V2231" s="35" t="n">
        <f aca="false">IF($H2231="",0,IFERROR(INDEX(LevelBasic,MATCH($H2231,LevelList,0))+INDEX(LevelHousing,MATCH($H2231,LevelList,0))+INDEX(LevelTransport,MATCH($H2231,LevelList,0))+INDEX(LevelBasic,MATCH($H2231,LevelList,0))*INDEX(LevelBonus,MATCH($H2231,LevelList,0))+(INDEX(LevelBasic,MATCH($H2231,LevelList,0))+INDEX(LevelHousing,MATCH($H2231,LevelList,0)))*GosiSaudi,0))</f>
        <v>0</v>
      </c>
      <c r="W2231" s="35" t="n">
        <f aca="false">IFERROR(INDEX(LevelOneOff,MATCH($H2231,LevelList,0)),0)</f>
        <v>0</v>
      </c>
      <c r="X2231" s="35" t="str">
        <f aca="false">IF($G2231="","",$V2231*N($L2231))</f>
        <v/>
      </c>
      <c r="Y2231" s="35" t="str">
        <f aca="false">IF($G2231="","",$V2231*(N($M2231)*1+N($N2231)*0.75+N($O2231)*0.5+N($P2231)*0.25)+$W2231*N($L2231))</f>
        <v/>
      </c>
      <c r="Z2231" s="35" t="str">
        <f aca="false">IF($G2231="","",$U2231*1000000+ROW())</f>
        <v/>
      </c>
      <c r="AA2231" s="36" t="str">
        <f aca="false">IF($G2231="","",MID(IF($C2231="",", no division","")&amp;IF($E2231="",", no unit","")&amp;IF($H2231="",", no career level","")&amp;IF(N($L2231)&lt;=0,", no quarter split","")&amp;IF($R2231="",", no driver","")&amp;IF(AND($H2231&lt;&gt;"",COUNTIF(CareerLevels,$H2231)=0),", a career level that is not on the ladder","")&amp;IF(AND($R2231&lt;&gt;"",COUNTIF(DriverList,$R2231)=0),", a driver that is not on the list","")&amp;IF(ABS(N($L2231)-(N($M2231)+N($N2231)+N($O2231)+N($P2231)))&gt;0.001,", a total that does not match its quarters",""),3,300))</f>
        <v/>
      </c>
    </row>
    <row r="2232" customFormat="false" ht="15" hidden="false" customHeight="false" outlineLevel="0" collapsed="false">
      <c r="A2232" s="33" t="str">
        <f aca="false">IF($G2232="","","Treasury &amp; Investments Group")</f>
        <v/>
      </c>
      <c r="B2232" s="19"/>
      <c r="C2232" s="19"/>
      <c r="D2232" s="19"/>
      <c r="E2232" s="19"/>
      <c r="F2232" s="19"/>
      <c r="G2232" s="19"/>
      <c r="H2232" s="19"/>
      <c r="I2232" s="19"/>
      <c r="J2232" s="19"/>
      <c r="K2232" s="19"/>
      <c r="L2232" s="19"/>
      <c r="M2232" s="19"/>
      <c r="N2232" s="19"/>
      <c r="O2232" s="19"/>
      <c r="P2232" s="19"/>
      <c r="Q2232" s="19"/>
      <c r="R2232" s="19"/>
      <c r="S2232" s="19"/>
      <c r="T2232" s="34" t="str">
        <f aca="false">IF($R2232="","",IFERROR(INDEX(DriverCategory,MATCH($R2232,DriverList,0)),"BAU"))</f>
        <v/>
      </c>
      <c r="U2232" s="34" t="str">
        <f aca="false">IF($R2232="","",IFERROR(INDEX(DriverRank,MATCH($R2232,DriverList,0)),99))</f>
        <v/>
      </c>
      <c r="V2232" s="35" t="n">
        <f aca="false">IF($H2232="",0,IFERROR(INDEX(LevelBasic,MATCH($H2232,LevelList,0))+INDEX(LevelHousing,MATCH($H2232,LevelList,0))+INDEX(LevelTransport,MATCH($H2232,LevelList,0))+INDEX(LevelBasic,MATCH($H2232,LevelList,0))*INDEX(LevelBonus,MATCH($H2232,LevelList,0))+(INDEX(LevelBasic,MATCH($H2232,LevelList,0))+INDEX(LevelHousing,MATCH($H2232,LevelList,0)))*GosiSaudi,0))</f>
        <v>0</v>
      </c>
      <c r="W2232" s="35" t="n">
        <f aca="false">IFERROR(INDEX(LevelOneOff,MATCH($H2232,LevelList,0)),0)</f>
        <v>0</v>
      </c>
      <c r="X2232" s="35" t="str">
        <f aca="false">IF($G2232="","",$V2232*N($L2232))</f>
        <v/>
      </c>
      <c r="Y2232" s="35" t="str">
        <f aca="false">IF($G2232="","",$V2232*(N($M2232)*1+N($N2232)*0.75+N($O2232)*0.5+N($P2232)*0.25)+$W2232*N($L2232))</f>
        <v/>
      </c>
      <c r="Z2232" s="35" t="str">
        <f aca="false">IF($G2232="","",$U2232*1000000+ROW())</f>
        <v/>
      </c>
      <c r="AA2232" s="36" t="str">
        <f aca="false">IF($G2232="","",MID(IF($C2232="",", no division","")&amp;IF($E2232="",", no unit","")&amp;IF($H2232="",", no career level","")&amp;IF(N($L2232)&lt;=0,", no quarter split","")&amp;IF($R2232="",", no driver","")&amp;IF(AND($H2232&lt;&gt;"",COUNTIF(CareerLevels,$H2232)=0),", a career level that is not on the ladder","")&amp;IF(AND($R2232&lt;&gt;"",COUNTIF(DriverList,$R2232)=0),", a driver that is not on the list","")&amp;IF(ABS(N($L2232)-(N($M2232)+N($N2232)+N($O2232)+N($P2232)))&gt;0.001,", a total that does not match its quarters",""),3,300))</f>
        <v/>
      </c>
    </row>
    <row r="2233" customFormat="false" ht="15" hidden="false" customHeight="false" outlineLevel="0" collapsed="false">
      <c r="A2233" s="33" t="str">
        <f aca="false">IF($G2233="","","Treasury &amp; Investments Group")</f>
        <v/>
      </c>
      <c r="B2233" s="19"/>
      <c r="C2233" s="19"/>
      <c r="D2233" s="19"/>
      <c r="E2233" s="19"/>
      <c r="F2233" s="19"/>
      <c r="G2233" s="19"/>
      <c r="H2233" s="19"/>
      <c r="I2233" s="19"/>
      <c r="J2233" s="19"/>
      <c r="K2233" s="19"/>
      <c r="L2233" s="19"/>
      <c r="M2233" s="19"/>
      <c r="N2233" s="19"/>
      <c r="O2233" s="19"/>
      <c r="P2233" s="19"/>
      <c r="Q2233" s="19"/>
      <c r="R2233" s="19"/>
      <c r="S2233" s="19"/>
      <c r="T2233" s="34" t="str">
        <f aca="false">IF($R2233="","",IFERROR(INDEX(DriverCategory,MATCH($R2233,DriverList,0)),"BAU"))</f>
        <v/>
      </c>
      <c r="U2233" s="34" t="str">
        <f aca="false">IF($R2233="","",IFERROR(INDEX(DriverRank,MATCH($R2233,DriverList,0)),99))</f>
        <v/>
      </c>
      <c r="V2233" s="35" t="n">
        <f aca="false">IF($H2233="",0,IFERROR(INDEX(LevelBasic,MATCH($H2233,LevelList,0))+INDEX(LevelHousing,MATCH($H2233,LevelList,0))+INDEX(LevelTransport,MATCH($H2233,LevelList,0))+INDEX(LevelBasic,MATCH($H2233,LevelList,0))*INDEX(LevelBonus,MATCH($H2233,LevelList,0))+(INDEX(LevelBasic,MATCH($H2233,LevelList,0))+INDEX(LevelHousing,MATCH($H2233,LevelList,0)))*GosiSaudi,0))</f>
        <v>0</v>
      </c>
      <c r="W2233" s="35" t="n">
        <f aca="false">IFERROR(INDEX(LevelOneOff,MATCH($H2233,LevelList,0)),0)</f>
        <v>0</v>
      </c>
      <c r="X2233" s="35" t="str">
        <f aca="false">IF($G2233="","",$V2233*N($L2233))</f>
        <v/>
      </c>
      <c r="Y2233" s="35" t="str">
        <f aca="false">IF($G2233="","",$V2233*(N($M2233)*1+N($N2233)*0.75+N($O2233)*0.5+N($P2233)*0.25)+$W2233*N($L2233))</f>
        <v/>
      </c>
      <c r="Z2233" s="35" t="str">
        <f aca="false">IF($G2233="","",$U2233*1000000+ROW())</f>
        <v/>
      </c>
      <c r="AA2233" s="36" t="str">
        <f aca="false">IF($G2233="","",MID(IF($C2233="",", no division","")&amp;IF($E2233="",", no unit","")&amp;IF($H2233="",", no career level","")&amp;IF(N($L2233)&lt;=0,", no quarter split","")&amp;IF($R2233="",", no driver","")&amp;IF(AND($H2233&lt;&gt;"",COUNTIF(CareerLevels,$H2233)=0),", a career level that is not on the ladder","")&amp;IF(AND($R2233&lt;&gt;"",COUNTIF(DriverList,$R2233)=0),", a driver that is not on the list","")&amp;IF(ABS(N($L2233)-(N($M2233)+N($N2233)+N($O2233)+N($P2233)))&gt;0.001,", a total that does not match its quarters",""),3,300))</f>
        <v/>
      </c>
    </row>
    <row r="2234" customFormat="false" ht="15" hidden="false" customHeight="false" outlineLevel="0" collapsed="false">
      <c r="A2234" s="33" t="str">
        <f aca="false">IF($G2234="","","Treasury &amp; Investments Group")</f>
        <v/>
      </c>
      <c r="B2234" s="19"/>
      <c r="C2234" s="19"/>
      <c r="D2234" s="19"/>
      <c r="E2234" s="19"/>
      <c r="F2234" s="19"/>
      <c r="G2234" s="19"/>
      <c r="H2234" s="19"/>
      <c r="I2234" s="19"/>
      <c r="J2234" s="19"/>
      <c r="K2234" s="19"/>
      <c r="L2234" s="19"/>
      <c r="M2234" s="19"/>
      <c r="N2234" s="19"/>
      <c r="O2234" s="19"/>
      <c r="P2234" s="19"/>
      <c r="Q2234" s="19"/>
      <c r="R2234" s="19"/>
      <c r="S2234" s="19"/>
      <c r="T2234" s="34" t="str">
        <f aca="false">IF($R2234="","",IFERROR(INDEX(DriverCategory,MATCH($R2234,DriverList,0)),"BAU"))</f>
        <v/>
      </c>
      <c r="U2234" s="34" t="str">
        <f aca="false">IF($R2234="","",IFERROR(INDEX(DriverRank,MATCH($R2234,DriverList,0)),99))</f>
        <v/>
      </c>
      <c r="V2234" s="35" t="n">
        <f aca="false">IF($H2234="",0,IFERROR(INDEX(LevelBasic,MATCH($H2234,LevelList,0))+INDEX(LevelHousing,MATCH($H2234,LevelList,0))+INDEX(LevelTransport,MATCH($H2234,LevelList,0))+INDEX(LevelBasic,MATCH($H2234,LevelList,0))*INDEX(LevelBonus,MATCH($H2234,LevelList,0))+(INDEX(LevelBasic,MATCH($H2234,LevelList,0))+INDEX(LevelHousing,MATCH($H2234,LevelList,0)))*GosiSaudi,0))</f>
        <v>0</v>
      </c>
      <c r="W2234" s="35" t="n">
        <f aca="false">IFERROR(INDEX(LevelOneOff,MATCH($H2234,LevelList,0)),0)</f>
        <v>0</v>
      </c>
      <c r="X2234" s="35" t="str">
        <f aca="false">IF($G2234="","",$V2234*N($L2234))</f>
        <v/>
      </c>
      <c r="Y2234" s="35" t="str">
        <f aca="false">IF($G2234="","",$V2234*(N($M2234)*1+N($N2234)*0.75+N($O2234)*0.5+N($P2234)*0.25)+$W2234*N($L2234))</f>
        <v/>
      </c>
      <c r="Z2234" s="35" t="str">
        <f aca="false">IF($G2234="","",$U2234*1000000+ROW())</f>
        <v/>
      </c>
      <c r="AA2234" s="36" t="str">
        <f aca="false">IF($G2234="","",MID(IF($C2234="",", no division","")&amp;IF($E2234="",", no unit","")&amp;IF($H2234="",", no career level","")&amp;IF(N($L2234)&lt;=0,", no quarter split","")&amp;IF($R2234="",", no driver","")&amp;IF(AND($H2234&lt;&gt;"",COUNTIF(CareerLevels,$H2234)=0),", a career level that is not on the ladder","")&amp;IF(AND($R2234&lt;&gt;"",COUNTIF(DriverList,$R2234)=0),", a driver that is not on the list","")&amp;IF(ABS(N($L2234)-(N($M2234)+N($N2234)+N($O2234)+N($P2234)))&gt;0.001,", a total that does not match its quarters",""),3,300))</f>
        <v/>
      </c>
    </row>
    <row r="2235" customFormat="false" ht="15" hidden="false" customHeight="false" outlineLevel="0" collapsed="false">
      <c r="A2235" s="33" t="str">
        <f aca="false">IF($G2235="","","Treasury &amp; Investments Group")</f>
        <v/>
      </c>
      <c r="B2235" s="19"/>
      <c r="C2235" s="19"/>
      <c r="D2235" s="19"/>
      <c r="E2235" s="19"/>
      <c r="F2235" s="19"/>
      <c r="G2235" s="19"/>
      <c r="H2235" s="19"/>
      <c r="I2235" s="19"/>
      <c r="J2235" s="19"/>
      <c r="K2235" s="19"/>
      <c r="L2235" s="19"/>
      <c r="M2235" s="19"/>
      <c r="N2235" s="19"/>
      <c r="O2235" s="19"/>
      <c r="P2235" s="19"/>
      <c r="Q2235" s="19"/>
      <c r="R2235" s="19"/>
      <c r="S2235" s="19"/>
      <c r="T2235" s="34" t="str">
        <f aca="false">IF($R2235="","",IFERROR(INDEX(DriverCategory,MATCH($R2235,DriverList,0)),"BAU"))</f>
        <v/>
      </c>
      <c r="U2235" s="34" t="str">
        <f aca="false">IF($R2235="","",IFERROR(INDEX(DriverRank,MATCH($R2235,DriverList,0)),99))</f>
        <v/>
      </c>
      <c r="V2235" s="35" t="n">
        <f aca="false">IF($H2235="",0,IFERROR(INDEX(LevelBasic,MATCH($H2235,LevelList,0))+INDEX(LevelHousing,MATCH($H2235,LevelList,0))+INDEX(LevelTransport,MATCH($H2235,LevelList,0))+INDEX(LevelBasic,MATCH($H2235,LevelList,0))*INDEX(LevelBonus,MATCH($H2235,LevelList,0))+(INDEX(LevelBasic,MATCH($H2235,LevelList,0))+INDEX(LevelHousing,MATCH($H2235,LevelList,0)))*GosiSaudi,0))</f>
        <v>0</v>
      </c>
      <c r="W2235" s="35" t="n">
        <f aca="false">IFERROR(INDEX(LevelOneOff,MATCH($H2235,LevelList,0)),0)</f>
        <v>0</v>
      </c>
      <c r="X2235" s="35" t="str">
        <f aca="false">IF($G2235="","",$V2235*N($L2235))</f>
        <v/>
      </c>
      <c r="Y2235" s="35" t="str">
        <f aca="false">IF($G2235="","",$V2235*(N($M2235)*1+N($N2235)*0.75+N($O2235)*0.5+N($P2235)*0.25)+$W2235*N($L2235))</f>
        <v/>
      </c>
      <c r="Z2235" s="35" t="str">
        <f aca="false">IF($G2235="","",$U2235*1000000+ROW())</f>
        <v/>
      </c>
      <c r="AA2235" s="36" t="str">
        <f aca="false">IF($G2235="","",MID(IF($C2235="",", no division","")&amp;IF($E2235="",", no unit","")&amp;IF($H2235="",", no career level","")&amp;IF(N($L2235)&lt;=0,", no quarter split","")&amp;IF($R2235="",", no driver","")&amp;IF(AND($H2235&lt;&gt;"",COUNTIF(CareerLevels,$H2235)=0),", a career level that is not on the ladder","")&amp;IF(AND($R2235&lt;&gt;"",COUNTIF(DriverList,$R2235)=0),", a driver that is not on the list","")&amp;IF(ABS(N($L2235)-(N($M2235)+N($N2235)+N($O2235)+N($P2235)))&gt;0.001,", a total that does not match its quarters",""),3,300))</f>
        <v/>
      </c>
    </row>
    <row r="2236" customFormat="false" ht="15" hidden="false" customHeight="false" outlineLevel="0" collapsed="false">
      <c r="A2236" s="33" t="str">
        <f aca="false">IF($G2236="","","Treasury &amp; Investments Group")</f>
        <v/>
      </c>
      <c r="B2236" s="19"/>
      <c r="C2236" s="19"/>
      <c r="D2236" s="19"/>
      <c r="E2236" s="19"/>
      <c r="F2236" s="19"/>
      <c r="G2236" s="19"/>
      <c r="H2236" s="19"/>
      <c r="I2236" s="19"/>
      <c r="J2236" s="19"/>
      <c r="K2236" s="19"/>
      <c r="L2236" s="19"/>
      <c r="M2236" s="19"/>
      <c r="N2236" s="19"/>
      <c r="O2236" s="19"/>
      <c r="P2236" s="19"/>
      <c r="Q2236" s="19"/>
      <c r="R2236" s="19"/>
      <c r="S2236" s="19"/>
      <c r="T2236" s="34" t="str">
        <f aca="false">IF($R2236="","",IFERROR(INDEX(DriverCategory,MATCH($R2236,DriverList,0)),"BAU"))</f>
        <v/>
      </c>
      <c r="U2236" s="34" t="str">
        <f aca="false">IF($R2236="","",IFERROR(INDEX(DriverRank,MATCH($R2236,DriverList,0)),99))</f>
        <v/>
      </c>
      <c r="V2236" s="35" t="n">
        <f aca="false">IF($H2236="",0,IFERROR(INDEX(LevelBasic,MATCH($H2236,LevelList,0))+INDEX(LevelHousing,MATCH($H2236,LevelList,0))+INDEX(LevelTransport,MATCH($H2236,LevelList,0))+INDEX(LevelBasic,MATCH($H2236,LevelList,0))*INDEX(LevelBonus,MATCH($H2236,LevelList,0))+(INDEX(LevelBasic,MATCH($H2236,LevelList,0))+INDEX(LevelHousing,MATCH($H2236,LevelList,0)))*GosiSaudi,0))</f>
        <v>0</v>
      </c>
      <c r="W2236" s="35" t="n">
        <f aca="false">IFERROR(INDEX(LevelOneOff,MATCH($H2236,LevelList,0)),0)</f>
        <v>0</v>
      </c>
      <c r="X2236" s="35" t="str">
        <f aca="false">IF($G2236="","",$V2236*N($L2236))</f>
        <v/>
      </c>
      <c r="Y2236" s="35" t="str">
        <f aca="false">IF($G2236="","",$V2236*(N($M2236)*1+N($N2236)*0.75+N($O2236)*0.5+N($P2236)*0.25)+$W2236*N($L2236))</f>
        <v/>
      </c>
      <c r="Z2236" s="35" t="str">
        <f aca="false">IF($G2236="","",$U2236*1000000+ROW())</f>
        <v/>
      </c>
      <c r="AA2236" s="36" t="str">
        <f aca="false">IF($G2236="","",MID(IF($C2236="",", no division","")&amp;IF($E2236="",", no unit","")&amp;IF($H2236="",", no career level","")&amp;IF(N($L2236)&lt;=0,", no quarter split","")&amp;IF($R2236="",", no driver","")&amp;IF(AND($H2236&lt;&gt;"",COUNTIF(CareerLevels,$H2236)=0),", a career level that is not on the ladder","")&amp;IF(AND($R2236&lt;&gt;"",COUNTIF(DriverList,$R2236)=0),", a driver that is not on the list","")&amp;IF(ABS(N($L2236)-(N($M2236)+N($N2236)+N($O2236)+N($P2236)))&gt;0.001,", a total that does not match its quarters",""),3,300))</f>
        <v/>
      </c>
    </row>
    <row r="2237" customFormat="false" ht="15" hidden="false" customHeight="false" outlineLevel="0" collapsed="false">
      <c r="A2237" s="33" t="str">
        <f aca="false">IF($G2237="","","Treasury &amp; Investments Group")</f>
        <v/>
      </c>
      <c r="B2237" s="19"/>
      <c r="C2237" s="19"/>
      <c r="D2237" s="19"/>
      <c r="E2237" s="19"/>
      <c r="F2237" s="19"/>
      <c r="G2237" s="19"/>
      <c r="H2237" s="19"/>
      <c r="I2237" s="19"/>
      <c r="J2237" s="19"/>
      <c r="K2237" s="19"/>
      <c r="L2237" s="19"/>
      <c r="M2237" s="19"/>
      <c r="N2237" s="19"/>
      <c r="O2237" s="19"/>
      <c r="P2237" s="19"/>
      <c r="Q2237" s="19"/>
      <c r="R2237" s="19"/>
      <c r="S2237" s="19"/>
      <c r="T2237" s="34" t="str">
        <f aca="false">IF($R2237="","",IFERROR(INDEX(DriverCategory,MATCH($R2237,DriverList,0)),"BAU"))</f>
        <v/>
      </c>
      <c r="U2237" s="34" t="str">
        <f aca="false">IF($R2237="","",IFERROR(INDEX(DriverRank,MATCH($R2237,DriverList,0)),99))</f>
        <v/>
      </c>
      <c r="V2237" s="35" t="n">
        <f aca="false">IF($H2237="",0,IFERROR(INDEX(LevelBasic,MATCH($H2237,LevelList,0))+INDEX(LevelHousing,MATCH($H2237,LevelList,0))+INDEX(LevelTransport,MATCH($H2237,LevelList,0))+INDEX(LevelBasic,MATCH($H2237,LevelList,0))*INDEX(LevelBonus,MATCH($H2237,LevelList,0))+(INDEX(LevelBasic,MATCH($H2237,LevelList,0))+INDEX(LevelHousing,MATCH($H2237,LevelList,0)))*GosiSaudi,0))</f>
        <v>0</v>
      </c>
      <c r="W2237" s="35" t="n">
        <f aca="false">IFERROR(INDEX(LevelOneOff,MATCH($H2237,LevelList,0)),0)</f>
        <v>0</v>
      </c>
      <c r="X2237" s="35" t="str">
        <f aca="false">IF($G2237="","",$V2237*N($L2237))</f>
        <v/>
      </c>
      <c r="Y2237" s="35" t="str">
        <f aca="false">IF($G2237="","",$V2237*(N($M2237)*1+N($N2237)*0.75+N($O2237)*0.5+N($P2237)*0.25)+$W2237*N($L2237))</f>
        <v/>
      </c>
      <c r="Z2237" s="35" t="str">
        <f aca="false">IF($G2237="","",$U2237*1000000+ROW())</f>
        <v/>
      </c>
      <c r="AA2237" s="36" t="str">
        <f aca="false">IF($G2237="","",MID(IF($C2237="",", no division","")&amp;IF($E2237="",", no unit","")&amp;IF($H2237="",", no career level","")&amp;IF(N($L2237)&lt;=0,", no quarter split","")&amp;IF($R2237="",", no driver","")&amp;IF(AND($H2237&lt;&gt;"",COUNTIF(CareerLevels,$H2237)=0),", a career level that is not on the ladder","")&amp;IF(AND($R2237&lt;&gt;"",COUNTIF(DriverList,$R2237)=0),", a driver that is not on the list","")&amp;IF(ABS(N($L2237)-(N($M2237)+N($N2237)+N($O2237)+N($P2237)))&gt;0.001,", a total that does not match its quarters",""),3,300))</f>
        <v/>
      </c>
    </row>
    <row r="2238" customFormat="false" ht="15" hidden="false" customHeight="false" outlineLevel="0" collapsed="false">
      <c r="A2238" s="33" t="str">
        <f aca="false">IF($G2238="","","Treasury &amp; Investments Group")</f>
        <v/>
      </c>
      <c r="B2238" s="19"/>
      <c r="C2238" s="19"/>
      <c r="D2238" s="19"/>
      <c r="E2238" s="19"/>
      <c r="F2238" s="19"/>
      <c r="G2238" s="19"/>
      <c r="H2238" s="19"/>
      <c r="I2238" s="19"/>
      <c r="J2238" s="19"/>
      <c r="K2238" s="19"/>
      <c r="L2238" s="19"/>
      <c r="M2238" s="19"/>
      <c r="N2238" s="19"/>
      <c r="O2238" s="19"/>
      <c r="P2238" s="19"/>
      <c r="Q2238" s="19"/>
      <c r="R2238" s="19"/>
      <c r="S2238" s="19"/>
      <c r="T2238" s="34" t="str">
        <f aca="false">IF($R2238="","",IFERROR(INDEX(DriverCategory,MATCH($R2238,DriverList,0)),"BAU"))</f>
        <v/>
      </c>
      <c r="U2238" s="34" t="str">
        <f aca="false">IF($R2238="","",IFERROR(INDEX(DriverRank,MATCH($R2238,DriverList,0)),99))</f>
        <v/>
      </c>
      <c r="V2238" s="35" t="n">
        <f aca="false">IF($H2238="",0,IFERROR(INDEX(LevelBasic,MATCH($H2238,LevelList,0))+INDEX(LevelHousing,MATCH($H2238,LevelList,0))+INDEX(LevelTransport,MATCH($H2238,LevelList,0))+INDEX(LevelBasic,MATCH($H2238,LevelList,0))*INDEX(LevelBonus,MATCH($H2238,LevelList,0))+(INDEX(LevelBasic,MATCH($H2238,LevelList,0))+INDEX(LevelHousing,MATCH($H2238,LevelList,0)))*GosiSaudi,0))</f>
        <v>0</v>
      </c>
      <c r="W2238" s="35" t="n">
        <f aca="false">IFERROR(INDEX(LevelOneOff,MATCH($H2238,LevelList,0)),0)</f>
        <v>0</v>
      </c>
      <c r="X2238" s="35" t="str">
        <f aca="false">IF($G2238="","",$V2238*N($L2238))</f>
        <v/>
      </c>
      <c r="Y2238" s="35" t="str">
        <f aca="false">IF($G2238="","",$V2238*(N($M2238)*1+N($N2238)*0.75+N($O2238)*0.5+N($P2238)*0.25)+$W2238*N($L2238))</f>
        <v/>
      </c>
      <c r="Z2238" s="35" t="str">
        <f aca="false">IF($G2238="","",$U2238*1000000+ROW())</f>
        <v/>
      </c>
      <c r="AA2238" s="36" t="str">
        <f aca="false">IF($G2238="","",MID(IF($C2238="",", no division","")&amp;IF($E2238="",", no unit","")&amp;IF($H2238="",", no career level","")&amp;IF(N($L2238)&lt;=0,", no quarter split","")&amp;IF($R2238="",", no driver","")&amp;IF(AND($H2238&lt;&gt;"",COUNTIF(CareerLevels,$H2238)=0),", a career level that is not on the ladder","")&amp;IF(AND($R2238&lt;&gt;"",COUNTIF(DriverList,$R2238)=0),", a driver that is not on the list","")&amp;IF(ABS(N($L2238)-(N($M2238)+N($N2238)+N($O2238)+N($P2238)))&gt;0.001,", a total that does not match its quarters",""),3,300))</f>
        <v/>
      </c>
    </row>
    <row r="2239" customFormat="false" ht="15" hidden="false" customHeight="false" outlineLevel="0" collapsed="false">
      <c r="A2239" s="33" t="str">
        <f aca="false">IF($G2239="","","Treasury &amp; Investments Group")</f>
        <v/>
      </c>
      <c r="B2239" s="19"/>
      <c r="C2239" s="19"/>
      <c r="D2239" s="19"/>
      <c r="E2239" s="19"/>
      <c r="F2239" s="19"/>
      <c r="G2239" s="19"/>
      <c r="H2239" s="19"/>
      <c r="I2239" s="19"/>
      <c r="J2239" s="19"/>
      <c r="K2239" s="19"/>
      <c r="L2239" s="19"/>
      <c r="M2239" s="19"/>
      <c r="N2239" s="19"/>
      <c r="O2239" s="19"/>
      <c r="P2239" s="19"/>
      <c r="Q2239" s="19"/>
      <c r="R2239" s="19"/>
      <c r="S2239" s="19"/>
      <c r="T2239" s="34" t="str">
        <f aca="false">IF($R2239="","",IFERROR(INDEX(DriverCategory,MATCH($R2239,DriverList,0)),"BAU"))</f>
        <v/>
      </c>
      <c r="U2239" s="34" t="str">
        <f aca="false">IF($R2239="","",IFERROR(INDEX(DriverRank,MATCH($R2239,DriverList,0)),99))</f>
        <v/>
      </c>
      <c r="V2239" s="35" t="n">
        <f aca="false">IF($H2239="",0,IFERROR(INDEX(LevelBasic,MATCH($H2239,LevelList,0))+INDEX(LevelHousing,MATCH($H2239,LevelList,0))+INDEX(LevelTransport,MATCH($H2239,LevelList,0))+INDEX(LevelBasic,MATCH($H2239,LevelList,0))*INDEX(LevelBonus,MATCH($H2239,LevelList,0))+(INDEX(LevelBasic,MATCH($H2239,LevelList,0))+INDEX(LevelHousing,MATCH($H2239,LevelList,0)))*GosiSaudi,0))</f>
        <v>0</v>
      </c>
      <c r="W2239" s="35" t="n">
        <f aca="false">IFERROR(INDEX(LevelOneOff,MATCH($H2239,LevelList,0)),0)</f>
        <v>0</v>
      </c>
      <c r="X2239" s="35" t="str">
        <f aca="false">IF($G2239="","",$V2239*N($L2239))</f>
        <v/>
      </c>
      <c r="Y2239" s="35" t="str">
        <f aca="false">IF($G2239="","",$V2239*(N($M2239)*1+N($N2239)*0.75+N($O2239)*0.5+N($P2239)*0.25)+$W2239*N($L2239))</f>
        <v/>
      </c>
      <c r="Z2239" s="35" t="str">
        <f aca="false">IF($G2239="","",$U2239*1000000+ROW())</f>
        <v/>
      </c>
      <c r="AA2239" s="36" t="str">
        <f aca="false">IF($G2239="","",MID(IF($C2239="",", no division","")&amp;IF($E2239="",", no unit","")&amp;IF($H2239="",", no career level","")&amp;IF(N($L2239)&lt;=0,", no quarter split","")&amp;IF($R2239="",", no driver","")&amp;IF(AND($H2239&lt;&gt;"",COUNTIF(CareerLevels,$H2239)=0),", a career level that is not on the ladder","")&amp;IF(AND($R2239&lt;&gt;"",COUNTIF(DriverList,$R2239)=0),", a driver that is not on the list","")&amp;IF(ABS(N($L2239)-(N($M2239)+N($N2239)+N($O2239)+N($P2239)))&gt;0.001,", a total that does not match its quarters",""),3,300))</f>
        <v/>
      </c>
    </row>
    <row r="2240" customFormat="false" ht="15" hidden="false" customHeight="false" outlineLevel="0" collapsed="false">
      <c r="A2240" s="33" t="str">
        <f aca="false">IF($G2240="","","Treasury &amp; Investments Group")</f>
        <v/>
      </c>
      <c r="B2240" s="19"/>
      <c r="C2240" s="19"/>
      <c r="D2240" s="19"/>
      <c r="E2240" s="19"/>
      <c r="F2240" s="19"/>
      <c r="G2240" s="19"/>
      <c r="H2240" s="19"/>
      <c r="I2240" s="19"/>
      <c r="J2240" s="19"/>
      <c r="K2240" s="19"/>
      <c r="L2240" s="19"/>
      <c r="M2240" s="19"/>
      <c r="N2240" s="19"/>
      <c r="O2240" s="19"/>
      <c r="P2240" s="19"/>
      <c r="Q2240" s="19"/>
      <c r="R2240" s="19"/>
      <c r="S2240" s="19"/>
      <c r="T2240" s="34" t="str">
        <f aca="false">IF($R2240="","",IFERROR(INDEX(DriverCategory,MATCH($R2240,DriverList,0)),"BAU"))</f>
        <v/>
      </c>
      <c r="U2240" s="34" t="str">
        <f aca="false">IF($R2240="","",IFERROR(INDEX(DriverRank,MATCH($R2240,DriverList,0)),99))</f>
        <v/>
      </c>
      <c r="V2240" s="35" t="n">
        <f aca="false">IF($H2240="",0,IFERROR(INDEX(LevelBasic,MATCH($H2240,LevelList,0))+INDEX(LevelHousing,MATCH($H2240,LevelList,0))+INDEX(LevelTransport,MATCH($H2240,LevelList,0))+INDEX(LevelBasic,MATCH($H2240,LevelList,0))*INDEX(LevelBonus,MATCH($H2240,LevelList,0))+(INDEX(LevelBasic,MATCH($H2240,LevelList,0))+INDEX(LevelHousing,MATCH($H2240,LevelList,0)))*GosiSaudi,0))</f>
        <v>0</v>
      </c>
      <c r="W2240" s="35" t="n">
        <f aca="false">IFERROR(INDEX(LevelOneOff,MATCH($H2240,LevelList,0)),0)</f>
        <v>0</v>
      </c>
      <c r="X2240" s="35" t="str">
        <f aca="false">IF($G2240="","",$V2240*N($L2240))</f>
        <v/>
      </c>
      <c r="Y2240" s="35" t="str">
        <f aca="false">IF($G2240="","",$V2240*(N($M2240)*1+N($N2240)*0.75+N($O2240)*0.5+N($P2240)*0.25)+$W2240*N($L2240))</f>
        <v/>
      </c>
      <c r="Z2240" s="35" t="str">
        <f aca="false">IF($G2240="","",$U2240*1000000+ROW())</f>
        <v/>
      </c>
      <c r="AA2240" s="36" t="str">
        <f aca="false">IF($G2240="","",MID(IF($C2240="",", no division","")&amp;IF($E2240="",", no unit","")&amp;IF($H2240="",", no career level","")&amp;IF(N($L2240)&lt;=0,", no quarter split","")&amp;IF($R2240="",", no driver","")&amp;IF(AND($H2240&lt;&gt;"",COUNTIF(CareerLevels,$H2240)=0),", a career level that is not on the ladder","")&amp;IF(AND($R2240&lt;&gt;"",COUNTIF(DriverList,$R2240)=0),", a driver that is not on the list","")&amp;IF(ABS(N($L2240)-(N($M2240)+N($N2240)+N($O2240)+N($P2240)))&gt;0.001,", a total that does not match its quarters",""),3,300))</f>
        <v/>
      </c>
    </row>
    <row r="2241" customFormat="false" ht="15" hidden="false" customHeight="false" outlineLevel="0" collapsed="false">
      <c r="A2241" s="33" t="str">
        <f aca="false">IF($G2241="","","Treasury &amp; Investments Group")</f>
        <v/>
      </c>
      <c r="B2241" s="19"/>
      <c r="C2241" s="19"/>
      <c r="D2241" s="19"/>
      <c r="E2241" s="19"/>
      <c r="F2241" s="19"/>
      <c r="G2241" s="19"/>
      <c r="H2241" s="19"/>
      <c r="I2241" s="19"/>
      <c r="J2241" s="19"/>
      <c r="K2241" s="19"/>
      <c r="L2241" s="19"/>
      <c r="M2241" s="19"/>
      <c r="N2241" s="19"/>
      <c r="O2241" s="19"/>
      <c r="P2241" s="19"/>
      <c r="Q2241" s="19"/>
      <c r="R2241" s="19"/>
      <c r="S2241" s="19"/>
      <c r="T2241" s="34" t="str">
        <f aca="false">IF($R2241="","",IFERROR(INDEX(DriverCategory,MATCH($R2241,DriverList,0)),"BAU"))</f>
        <v/>
      </c>
      <c r="U2241" s="34" t="str">
        <f aca="false">IF($R2241="","",IFERROR(INDEX(DriverRank,MATCH($R2241,DriverList,0)),99))</f>
        <v/>
      </c>
      <c r="V2241" s="35" t="n">
        <f aca="false">IF($H2241="",0,IFERROR(INDEX(LevelBasic,MATCH($H2241,LevelList,0))+INDEX(LevelHousing,MATCH($H2241,LevelList,0))+INDEX(LevelTransport,MATCH($H2241,LevelList,0))+INDEX(LevelBasic,MATCH($H2241,LevelList,0))*INDEX(LevelBonus,MATCH($H2241,LevelList,0))+(INDEX(LevelBasic,MATCH($H2241,LevelList,0))+INDEX(LevelHousing,MATCH($H2241,LevelList,0)))*GosiSaudi,0))</f>
        <v>0</v>
      </c>
      <c r="W2241" s="35" t="n">
        <f aca="false">IFERROR(INDEX(LevelOneOff,MATCH($H2241,LevelList,0)),0)</f>
        <v>0</v>
      </c>
      <c r="X2241" s="35" t="str">
        <f aca="false">IF($G2241="","",$V2241*N($L2241))</f>
        <v/>
      </c>
      <c r="Y2241" s="35" t="str">
        <f aca="false">IF($G2241="","",$V2241*(N($M2241)*1+N($N2241)*0.75+N($O2241)*0.5+N($P2241)*0.25)+$W2241*N($L2241))</f>
        <v/>
      </c>
      <c r="Z2241" s="35" t="str">
        <f aca="false">IF($G2241="","",$U2241*1000000+ROW())</f>
        <v/>
      </c>
      <c r="AA2241" s="36" t="str">
        <f aca="false">IF($G2241="","",MID(IF($C2241="",", no division","")&amp;IF($E2241="",", no unit","")&amp;IF($H2241="",", no career level","")&amp;IF(N($L2241)&lt;=0,", no quarter split","")&amp;IF($R2241="",", no driver","")&amp;IF(AND($H2241&lt;&gt;"",COUNTIF(CareerLevels,$H2241)=0),", a career level that is not on the ladder","")&amp;IF(AND($R2241&lt;&gt;"",COUNTIF(DriverList,$R2241)=0),", a driver that is not on the list","")&amp;IF(ABS(N($L2241)-(N($M2241)+N($N2241)+N($O2241)+N($P2241)))&gt;0.001,", a total that does not match its quarters",""),3,300))</f>
        <v/>
      </c>
    </row>
    <row r="2242" customFormat="false" ht="15" hidden="false" customHeight="false" outlineLevel="0" collapsed="false">
      <c r="A2242" s="33" t="str">
        <f aca="false">IF($G2242="","","Treasury &amp; Investments Group")</f>
        <v/>
      </c>
      <c r="B2242" s="19"/>
      <c r="C2242" s="19"/>
      <c r="D2242" s="19"/>
      <c r="E2242" s="19"/>
      <c r="F2242" s="19"/>
      <c r="G2242" s="19"/>
      <c r="H2242" s="19"/>
      <c r="I2242" s="19"/>
      <c r="J2242" s="19"/>
      <c r="K2242" s="19"/>
      <c r="L2242" s="19"/>
      <c r="M2242" s="19"/>
      <c r="N2242" s="19"/>
      <c r="O2242" s="19"/>
      <c r="P2242" s="19"/>
      <c r="Q2242" s="19"/>
      <c r="R2242" s="19"/>
      <c r="S2242" s="19"/>
      <c r="T2242" s="34" t="str">
        <f aca="false">IF($R2242="","",IFERROR(INDEX(DriverCategory,MATCH($R2242,DriverList,0)),"BAU"))</f>
        <v/>
      </c>
      <c r="U2242" s="34" t="str">
        <f aca="false">IF($R2242="","",IFERROR(INDEX(DriverRank,MATCH($R2242,DriverList,0)),99))</f>
        <v/>
      </c>
      <c r="V2242" s="35" t="n">
        <f aca="false">IF($H2242="",0,IFERROR(INDEX(LevelBasic,MATCH($H2242,LevelList,0))+INDEX(LevelHousing,MATCH($H2242,LevelList,0))+INDEX(LevelTransport,MATCH($H2242,LevelList,0))+INDEX(LevelBasic,MATCH($H2242,LevelList,0))*INDEX(LevelBonus,MATCH($H2242,LevelList,0))+(INDEX(LevelBasic,MATCH($H2242,LevelList,0))+INDEX(LevelHousing,MATCH($H2242,LevelList,0)))*GosiSaudi,0))</f>
        <v>0</v>
      </c>
      <c r="W2242" s="35" t="n">
        <f aca="false">IFERROR(INDEX(LevelOneOff,MATCH($H2242,LevelList,0)),0)</f>
        <v>0</v>
      </c>
      <c r="X2242" s="35" t="str">
        <f aca="false">IF($G2242="","",$V2242*N($L2242))</f>
        <v/>
      </c>
      <c r="Y2242" s="35" t="str">
        <f aca="false">IF($G2242="","",$V2242*(N($M2242)*1+N($N2242)*0.75+N($O2242)*0.5+N($P2242)*0.25)+$W2242*N($L2242))</f>
        <v/>
      </c>
      <c r="Z2242" s="35" t="str">
        <f aca="false">IF($G2242="","",$U2242*1000000+ROW())</f>
        <v/>
      </c>
      <c r="AA2242" s="36" t="str">
        <f aca="false">IF($G2242="","",MID(IF($C2242="",", no division","")&amp;IF($E2242="",", no unit","")&amp;IF($H2242="",", no career level","")&amp;IF(N($L2242)&lt;=0,", no quarter split","")&amp;IF($R2242="",", no driver","")&amp;IF(AND($H2242&lt;&gt;"",COUNTIF(CareerLevels,$H2242)=0),", a career level that is not on the ladder","")&amp;IF(AND($R2242&lt;&gt;"",COUNTIF(DriverList,$R2242)=0),", a driver that is not on the list","")&amp;IF(ABS(N($L2242)-(N($M2242)+N($N2242)+N($O2242)+N($P2242)))&gt;0.001,", a total that does not match its quarters",""),3,300))</f>
        <v/>
      </c>
    </row>
    <row r="2243" customFormat="false" ht="15" hidden="false" customHeight="false" outlineLevel="0" collapsed="false">
      <c r="A2243" s="33" t="str">
        <f aca="false">IF($G2243="","","Treasury &amp; Investments Group")</f>
        <v/>
      </c>
      <c r="B2243" s="19"/>
      <c r="C2243" s="19"/>
      <c r="D2243" s="19"/>
      <c r="E2243" s="19"/>
      <c r="F2243" s="19"/>
      <c r="G2243" s="19"/>
      <c r="H2243" s="19"/>
      <c r="I2243" s="19"/>
      <c r="J2243" s="19"/>
      <c r="K2243" s="19"/>
      <c r="L2243" s="19"/>
      <c r="M2243" s="19"/>
      <c r="N2243" s="19"/>
      <c r="O2243" s="19"/>
      <c r="P2243" s="19"/>
      <c r="Q2243" s="19"/>
      <c r="R2243" s="19"/>
      <c r="S2243" s="19"/>
      <c r="T2243" s="34" t="str">
        <f aca="false">IF($R2243="","",IFERROR(INDEX(DriverCategory,MATCH($R2243,DriverList,0)),"BAU"))</f>
        <v/>
      </c>
      <c r="U2243" s="34" t="str">
        <f aca="false">IF($R2243="","",IFERROR(INDEX(DriverRank,MATCH($R2243,DriverList,0)),99))</f>
        <v/>
      </c>
      <c r="V2243" s="35" t="n">
        <f aca="false">IF($H2243="",0,IFERROR(INDEX(LevelBasic,MATCH($H2243,LevelList,0))+INDEX(LevelHousing,MATCH($H2243,LevelList,0))+INDEX(LevelTransport,MATCH($H2243,LevelList,0))+INDEX(LevelBasic,MATCH($H2243,LevelList,0))*INDEX(LevelBonus,MATCH($H2243,LevelList,0))+(INDEX(LevelBasic,MATCH($H2243,LevelList,0))+INDEX(LevelHousing,MATCH($H2243,LevelList,0)))*GosiSaudi,0))</f>
        <v>0</v>
      </c>
      <c r="W2243" s="35" t="n">
        <f aca="false">IFERROR(INDEX(LevelOneOff,MATCH($H2243,LevelList,0)),0)</f>
        <v>0</v>
      </c>
      <c r="X2243" s="35" t="str">
        <f aca="false">IF($G2243="","",$V2243*N($L2243))</f>
        <v/>
      </c>
      <c r="Y2243" s="35" t="str">
        <f aca="false">IF($G2243="","",$V2243*(N($M2243)*1+N($N2243)*0.75+N($O2243)*0.5+N($P2243)*0.25)+$W2243*N($L2243))</f>
        <v/>
      </c>
      <c r="Z2243" s="35" t="str">
        <f aca="false">IF($G2243="","",$U2243*1000000+ROW())</f>
        <v/>
      </c>
      <c r="AA2243" s="36" t="str">
        <f aca="false">IF($G2243="","",MID(IF($C2243="",", no division","")&amp;IF($E2243="",", no unit","")&amp;IF($H2243="",", no career level","")&amp;IF(N($L2243)&lt;=0,", no quarter split","")&amp;IF($R2243="",", no driver","")&amp;IF(AND($H2243&lt;&gt;"",COUNTIF(CareerLevels,$H2243)=0),", a career level that is not on the ladder","")&amp;IF(AND($R2243&lt;&gt;"",COUNTIF(DriverList,$R2243)=0),", a driver that is not on the list","")&amp;IF(ABS(N($L2243)-(N($M2243)+N($N2243)+N($O2243)+N($P2243)))&gt;0.001,", a total that does not match its quarters",""),3,300))</f>
        <v/>
      </c>
    </row>
    <row r="2244" customFormat="false" ht="15" hidden="false" customHeight="false" outlineLevel="0" collapsed="false">
      <c r="A2244" s="33" t="str">
        <f aca="false">IF($G2244="","","Treasury &amp; Investments Group")</f>
        <v/>
      </c>
      <c r="B2244" s="19"/>
      <c r="C2244" s="19"/>
      <c r="D2244" s="19"/>
      <c r="E2244" s="19"/>
      <c r="F2244" s="19"/>
      <c r="G2244" s="19"/>
      <c r="H2244" s="19"/>
      <c r="I2244" s="19"/>
      <c r="J2244" s="19"/>
      <c r="K2244" s="19"/>
      <c r="L2244" s="19"/>
      <c r="M2244" s="19"/>
      <c r="N2244" s="19"/>
      <c r="O2244" s="19"/>
      <c r="P2244" s="19"/>
      <c r="Q2244" s="19"/>
      <c r="R2244" s="19"/>
      <c r="S2244" s="19"/>
      <c r="T2244" s="34" t="str">
        <f aca="false">IF($R2244="","",IFERROR(INDEX(DriverCategory,MATCH($R2244,DriverList,0)),"BAU"))</f>
        <v/>
      </c>
      <c r="U2244" s="34" t="str">
        <f aca="false">IF($R2244="","",IFERROR(INDEX(DriverRank,MATCH($R2244,DriverList,0)),99))</f>
        <v/>
      </c>
      <c r="V2244" s="35" t="n">
        <f aca="false">IF($H2244="",0,IFERROR(INDEX(LevelBasic,MATCH($H2244,LevelList,0))+INDEX(LevelHousing,MATCH($H2244,LevelList,0))+INDEX(LevelTransport,MATCH($H2244,LevelList,0))+INDEX(LevelBasic,MATCH($H2244,LevelList,0))*INDEX(LevelBonus,MATCH($H2244,LevelList,0))+(INDEX(LevelBasic,MATCH($H2244,LevelList,0))+INDEX(LevelHousing,MATCH($H2244,LevelList,0)))*GosiSaudi,0))</f>
        <v>0</v>
      </c>
      <c r="W2244" s="35" t="n">
        <f aca="false">IFERROR(INDEX(LevelOneOff,MATCH($H2244,LevelList,0)),0)</f>
        <v>0</v>
      </c>
      <c r="X2244" s="35" t="str">
        <f aca="false">IF($G2244="","",$V2244*N($L2244))</f>
        <v/>
      </c>
      <c r="Y2244" s="35" t="str">
        <f aca="false">IF($G2244="","",$V2244*(N($M2244)*1+N($N2244)*0.75+N($O2244)*0.5+N($P2244)*0.25)+$W2244*N($L2244))</f>
        <v/>
      </c>
      <c r="Z2244" s="35" t="str">
        <f aca="false">IF($G2244="","",$U2244*1000000+ROW())</f>
        <v/>
      </c>
      <c r="AA2244" s="36" t="str">
        <f aca="false">IF($G2244="","",MID(IF($C2244="",", no division","")&amp;IF($E2244="",", no unit","")&amp;IF($H2244="",", no career level","")&amp;IF(N($L2244)&lt;=0,", no quarter split","")&amp;IF($R2244="",", no driver","")&amp;IF(AND($H2244&lt;&gt;"",COUNTIF(CareerLevels,$H2244)=0),", a career level that is not on the ladder","")&amp;IF(AND($R2244&lt;&gt;"",COUNTIF(DriverList,$R2244)=0),", a driver that is not on the list","")&amp;IF(ABS(N($L2244)-(N($M2244)+N($N2244)+N($O2244)+N($P2244)))&gt;0.001,", a total that does not match its quarters",""),3,300))</f>
        <v/>
      </c>
    </row>
    <row r="2245" customFormat="false" ht="15" hidden="false" customHeight="false" outlineLevel="0" collapsed="false">
      <c r="A2245" s="33" t="str">
        <f aca="false">IF($G2245="","","Treasury &amp; Investments Group")</f>
        <v/>
      </c>
      <c r="B2245" s="19"/>
      <c r="C2245" s="19"/>
      <c r="D2245" s="19"/>
      <c r="E2245" s="19"/>
      <c r="F2245" s="19"/>
      <c r="G2245" s="19"/>
      <c r="H2245" s="19"/>
      <c r="I2245" s="19"/>
      <c r="J2245" s="19"/>
      <c r="K2245" s="19"/>
      <c r="L2245" s="19"/>
      <c r="M2245" s="19"/>
      <c r="N2245" s="19"/>
      <c r="O2245" s="19"/>
      <c r="P2245" s="19"/>
      <c r="Q2245" s="19"/>
      <c r="R2245" s="19"/>
      <c r="S2245" s="19"/>
      <c r="T2245" s="34" t="str">
        <f aca="false">IF($R2245="","",IFERROR(INDEX(DriverCategory,MATCH($R2245,DriverList,0)),"BAU"))</f>
        <v/>
      </c>
      <c r="U2245" s="34" t="str">
        <f aca="false">IF($R2245="","",IFERROR(INDEX(DriverRank,MATCH($R2245,DriverList,0)),99))</f>
        <v/>
      </c>
      <c r="V2245" s="35" t="n">
        <f aca="false">IF($H2245="",0,IFERROR(INDEX(LevelBasic,MATCH($H2245,LevelList,0))+INDEX(LevelHousing,MATCH($H2245,LevelList,0))+INDEX(LevelTransport,MATCH($H2245,LevelList,0))+INDEX(LevelBasic,MATCH($H2245,LevelList,0))*INDEX(LevelBonus,MATCH($H2245,LevelList,0))+(INDEX(LevelBasic,MATCH($H2245,LevelList,0))+INDEX(LevelHousing,MATCH($H2245,LevelList,0)))*GosiSaudi,0))</f>
        <v>0</v>
      </c>
      <c r="W2245" s="35" t="n">
        <f aca="false">IFERROR(INDEX(LevelOneOff,MATCH($H2245,LevelList,0)),0)</f>
        <v>0</v>
      </c>
      <c r="X2245" s="35" t="str">
        <f aca="false">IF($G2245="","",$V2245*N($L2245))</f>
        <v/>
      </c>
      <c r="Y2245" s="35" t="str">
        <f aca="false">IF($G2245="","",$V2245*(N($M2245)*1+N($N2245)*0.75+N($O2245)*0.5+N($P2245)*0.25)+$W2245*N($L2245))</f>
        <v/>
      </c>
      <c r="Z2245" s="35" t="str">
        <f aca="false">IF($G2245="","",$U2245*1000000+ROW())</f>
        <v/>
      </c>
      <c r="AA2245" s="36" t="str">
        <f aca="false">IF($G2245="","",MID(IF($C2245="",", no division","")&amp;IF($E2245="",", no unit","")&amp;IF($H2245="",", no career level","")&amp;IF(N($L2245)&lt;=0,", no quarter split","")&amp;IF($R2245="",", no driver","")&amp;IF(AND($H2245&lt;&gt;"",COUNTIF(CareerLevels,$H2245)=0),", a career level that is not on the ladder","")&amp;IF(AND($R2245&lt;&gt;"",COUNTIF(DriverList,$R2245)=0),", a driver that is not on the list","")&amp;IF(ABS(N($L2245)-(N($M2245)+N($N2245)+N($O2245)+N($P2245)))&gt;0.001,", a total that does not match its quarters",""),3,300))</f>
        <v/>
      </c>
    </row>
    <row r="2246" customFormat="false" ht="15" hidden="false" customHeight="false" outlineLevel="0" collapsed="false">
      <c r="A2246" s="33" t="str">
        <f aca="false">IF($G2246="","","Treasury &amp; Investments Group")</f>
        <v/>
      </c>
      <c r="B2246" s="19"/>
      <c r="C2246" s="19"/>
      <c r="D2246" s="19"/>
      <c r="E2246" s="19"/>
      <c r="F2246" s="19"/>
      <c r="G2246" s="19"/>
      <c r="H2246" s="19"/>
      <c r="I2246" s="19"/>
      <c r="J2246" s="19"/>
      <c r="K2246" s="19"/>
      <c r="L2246" s="19"/>
      <c r="M2246" s="19"/>
      <c r="N2246" s="19"/>
      <c r="O2246" s="19"/>
      <c r="P2246" s="19"/>
      <c r="Q2246" s="19"/>
      <c r="R2246" s="19"/>
      <c r="S2246" s="19"/>
      <c r="T2246" s="34" t="str">
        <f aca="false">IF($R2246="","",IFERROR(INDEX(DriverCategory,MATCH($R2246,DriverList,0)),"BAU"))</f>
        <v/>
      </c>
      <c r="U2246" s="34" t="str">
        <f aca="false">IF($R2246="","",IFERROR(INDEX(DriverRank,MATCH($R2246,DriverList,0)),99))</f>
        <v/>
      </c>
      <c r="V2246" s="35" t="n">
        <f aca="false">IF($H2246="",0,IFERROR(INDEX(LevelBasic,MATCH($H2246,LevelList,0))+INDEX(LevelHousing,MATCH($H2246,LevelList,0))+INDEX(LevelTransport,MATCH($H2246,LevelList,0))+INDEX(LevelBasic,MATCH($H2246,LevelList,0))*INDEX(LevelBonus,MATCH($H2246,LevelList,0))+(INDEX(LevelBasic,MATCH($H2246,LevelList,0))+INDEX(LevelHousing,MATCH($H2246,LevelList,0)))*GosiSaudi,0))</f>
        <v>0</v>
      </c>
      <c r="W2246" s="35" t="n">
        <f aca="false">IFERROR(INDEX(LevelOneOff,MATCH($H2246,LevelList,0)),0)</f>
        <v>0</v>
      </c>
      <c r="X2246" s="35" t="str">
        <f aca="false">IF($G2246="","",$V2246*N($L2246))</f>
        <v/>
      </c>
      <c r="Y2246" s="35" t="str">
        <f aca="false">IF($G2246="","",$V2246*(N($M2246)*1+N($N2246)*0.75+N($O2246)*0.5+N($P2246)*0.25)+$W2246*N($L2246))</f>
        <v/>
      </c>
      <c r="Z2246" s="35" t="str">
        <f aca="false">IF($G2246="","",$U2246*1000000+ROW())</f>
        <v/>
      </c>
      <c r="AA2246" s="36" t="str">
        <f aca="false">IF($G2246="","",MID(IF($C2246="",", no division","")&amp;IF($E2246="",", no unit","")&amp;IF($H2246="",", no career level","")&amp;IF(N($L2246)&lt;=0,", no quarter split","")&amp;IF($R2246="",", no driver","")&amp;IF(AND($H2246&lt;&gt;"",COUNTIF(CareerLevels,$H2246)=0),", a career level that is not on the ladder","")&amp;IF(AND($R2246&lt;&gt;"",COUNTIF(DriverList,$R2246)=0),", a driver that is not on the list","")&amp;IF(ABS(N($L2246)-(N($M2246)+N($N2246)+N($O2246)+N($P2246)))&gt;0.001,", a total that does not match its quarters",""),3,300))</f>
        <v/>
      </c>
    </row>
    <row r="2247" customFormat="false" ht="15" hidden="false" customHeight="false" outlineLevel="0" collapsed="false">
      <c r="A2247" s="33" t="str">
        <f aca="false">IF($G2247="","","Treasury &amp; Investments Group")</f>
        <v/>
      </c>
      <c r="B2247" s="19"/>
      <c r="C2247" s="19"/>
      <c r="D2247" s="19"/>
      <c r="E2247" s="19"/>
      <c r="F2247" s="19"/>
      <c r="G2247" s="19"/>
      <c r="H2247" s="19"/>
      <c r="I2247" s="19"/>
      <c r="J2247" s="19"/>
      <c r="K2247" s="19"/>
      <c r="L2247" s="19"/>
      <c r="M2247" s="19"/>
      <c r="N2247" s="19"/>
      <c r="O2247" s="19"/>
      <c r="P2247" s="19"/>
      <c r="Q2247" s="19"/>
      <c r="R2247" s="19"/>
      <c r="S2247" s="19"/>
      <c r="T2247" s="34" t="str">
        <f aca="false">IF($R2247="","",IFERROR(INDEX(DriverCategory,MATCH($R2247,DriverList,0)),"BAU"))</f>
        <v/>
      </c>
      <c r="U2247" s="34" t="str">
        <f aca="false">IF($R2247="","",IFERROR(INDEX(DriverRank,MATCH($R2247,DriverList,0)),99))</f>
        <v/>
      </c>
      <c r="V2247" s="35" t="n">
        <f aca="false">IF($H2247="",0,IFERROR(INDEX(LevelBasic,MATCH($H2247,LevelList,0))+INDEX(LevelHousing,MATCH($H2247,LevelList,0))+INDEX(LevelTransport,MATCH($H2247,LevelList,0))+INDEX(LevelBasic,MATCH($H2247,LevelList,0))*INDEX(LevelBonus,MATCH($H2247,LevelList,0))+(INDEX(LevelBasic,MATCH($H2247,LevelList,0))+INDEX(LevelHousing,MATCH($H2247,LevelList,0)))*GosiSaudi,0))</f>
        <v>0</v>
      </c>
      <c r="W2247" s="35" t="n">
        <f aca="false">IFERROR(INDEX(LevelOneOff,MATCH($H2247,LevelList,0)),0)</f>
        <v>0</v>
      </c>
      <c r="X2247" s="35" t="str">
        <f aca="false">IF($G2247="","",$V2247*N($L2247))</f>
        <v/>
      </c>
      <c r="Y2247" s="35" t="str">
        <f aca="false">IF($G2247="","",$V2247*(N($M2247)*1+N($N2247)*0.75+N($O2247)*0.5+N($P2247)*0.25)+$W2247*N($L2247))</f>
        <v/>
      </c>
      <c r="Z2247" s="35" t="str">
        <f aca="false">IF($G2247="","",$U2247*1000000+ROW())</f>
        <v/>
      </c>
      <c r="AA2247" s="36" t="str">
        <f aca="false">IF($G2247="","",MID(IF($C2247="",", no division","")&amp;IF($E2247="",", no unit","")&amp;IF($H2247="",", no career level","")&amp;IF(N($L2247)&lt;=0,", no quarter split","")&amp;IF($R2247="",", no driver","")&amp;IF(AND($H2247&lt;&gt;"",COUNTIF(CareerLevels,$H2247)=0),", a career level that is not on the ladder","")&amp;IF(AND($R2247&lt;&gt;"",COUNTIF(DriverList,$R2247)=0),", a driver that is not on the list","")&amp;IF(ABS(N($L2247)-(N($M2247)+N($N2247)+N($O2247)+N($P2247)))&gt;0.001,", a total that does not match its quarters",""),3,300))</f>
        <v/>
      </c>
    </row>
    <row r="2248" customFormat="false" ht="15" hidden="false" customHeight="false" outlineLevel="0" collapsed="false">
      <c r="A2248" s="33" t="str">
        <f aca="false">IF($G2248="","","Treasury &amp; Investments Group")</f>
        <v/>
      </c>
      <c r="B2248" s="19"/>
      <c r="C2248" s="19"/>
      <c r="D2248" s="19"/>
      <c r="E2248" s="19"/>
      <c r="F2248" s="19"/>
      <c r="G2248" s="19"/>
      <c r="H2248" s="19"/>
      <c r="I2248" s="19"/>
      <c r="J2248" s="19"/>
      <c r="K2248" s="19"/>
      <c r="L2248" s="19"/>
      <c r="M2248" s="19"/>
      <c r="N2248" s="19"/>
      <c r="O2248" s="19"/>
      <c r="P2248" s="19"/>
      <c r="Q2248" s="19"/>
      <c r="R2248" s="19"/>
      <c r="S2248" s="19"/>
      <c r="T2248" s="34" t="str">
        <f aca="false">IF($R2248="","",IFERROR(INDEX(DriverCategory,MATCH($R2248,DriverList,0)),"BAU"))</f>
        <v/>
      </c>
      <c r="U2248" s="34" t="str">
        <f aca="false">IF($R2248="","",IFERROR(INDEX(DriverRank,MATCH($R2248,DriverList,0)),99))</f>
        <v/>
      </c>
      <c r="V2248" s="35" t="n">
        <f aca="false">IF($H2248="",0,IFERROR(INDEX(LevelBasic,MATCH($H2248,LevelList,0))+INDEX(LevelHousing,MATCH($H2248,LevelList,0))+INDEX(LevelTransport,MATCH($H2248,LevelList,0))+INDEX(LevelBasic,MATCH($H2248,LevelList,0))*INDEX(LevelBonus,MATCH($H2248,LevelList,0))+(INDEX(LevelBasic,MATCH($H2248,LevelList,0))+INDEX(LevelHousing,MATCH($H2248,LevelList,0)))*GosiSaudi,0))</f>
        <v>0</v>
      </c>
      <c r="W2248" s="35" t="n">
        <f aca="false">IFERROR(INDEX(LevelOneOff,MATCH($H2248,LevelList,0)),0)</f>
        <v>0</v>
      </c>
      <c r="X2248" s="35" t="str">
        <f aca="false">IF($G2248="","",$V2248*N($L2248))</f>
        <v/>
      </c>
      <c r="Y2248" s="35" t="str">
        <f aca="false">IF($G2248="","",$V2248*(N($M2248)*1+N($N2248)*0.75+N($O2248)*0.5+N($P2248)*0.25)+$W2248*N($L2248))</f>
        <v/>
      </c>
      <c r="Z2248" s="35" t="str">
        <f aca="false">IF($G2248="","",$U2248*1000000+ROW())</f>
        <v/>
      </c>
      <c r="AA2248" s="36" t="str">
        <f aca="false">IF($G2248="","",MID(IF($C2248="",", no division","")&amp;IF($E2248="",", no unit","")&amp;IF($H2248="",", no career level","")&amp;IF(N($L2248)&lt;=0,", no quarter split","")&amp;IF($R2248="",", no driver","")&amp;IF(AND($H2248&lt;&gt;"",COUNTIF(CareerLevels,$H2248)=0),", a career level that is not on the ladder","")&amp;IF(AND($R2248&lt;&gt;"",COUNTIF(DriverList,$R2248)=0),", a driver that is not on the list","")&amp;IF(ABS(N($L2248)-(N($M2248)+N($N2248)+N($O2248)+N($P2248)))&gt;0.001,", a total that does not match its quarters",""),3,300))</f>
        <v/>
      </c>
    </row>
    <row r="2249" customFormat="false" ht="15" hidden="false" customHeight="false" outlineLevel="0" collapsed="false">
      <c r="A2249" s="33" t="str">
        <f aca="false">IF($G2249="","","Treasury &amp; Investments Group")</f>
        <v/>
      </c>
      <c r="B2249" s="19"/>
      <c r="C2249" s="19"/>
      <c r="D2249" s="19"/>
      <c r="E2249" s="19"/>
      <c r="F2249" s="19"/>
      <c r="G2249" s="19"/>
      <c r="H2249" s="19"/>
      <c r="I2249" s="19"/>
      <c r="J2249" s="19"/>
      <c r="K2249" s="19"/>
      <c r="L2249" s="19"/>
      <c r="M2249" s="19"/>
      <c r="N2249" s="19"/>
      <c r="O2249" s="19"/>
      <c r="P2249" s="19"/>
      <c r="Q2249" s="19"/>
      <c r="R2249" s="19"/>
      <c r="S2249" s="19"/>
      <c r="T2249" s="34" t="str">
        <f aca="false">IF($R2249="","",IFERROR(INDEX(DriverCategory,MATCH($R2249,DriverList,0)),"BAU"))</f>
        <v/>
      </c>
      <c r="U2249" s="34" t="str">
        <f aca="false">IF($R2249="","",IFERROR(INDEX(DriverRank,MATCH($R2249,DriverList,0)),99))</f>
        <v/>
      </c>
      <c r="V2249" s="35" t="n">
        <f aca="false">IF($H2249="",0,IFERROR(INDEX(LevelBasic,MATCH($H2249,LevelList,0))+INDEX(LevelHousing,MATCH($H2249,LevelList,0))+INDEX(LevelTransport,MATCH($H2249,LevelList,0))+INDEX(LevelBasic,MATCH($H2249,LevelList,0))*INDEX(LevelBonus,MATCH($H2249,LevelList,0))+(INDEX(LevelBasic,MATCH($H2249,LevelList,0))+INDEX(LevelHousing,MATCH($H2249,LevelList,0)))*GosiSaudi,0))</f>
        <v>0</v>
      </c>
      <c r="W2249" s="35" t="n">
        <f aca="false">IFERROR(INDEX(LevelOneOff,MATCH($H2249,LevelList,0)),0)</f>
        <v>0</v>
      </c>
      <c r="X2249" s="35" t="str">
        <f aca="false">IF($G2249="","",$V2249*N($L2249))</f>
        <v/>
      </c>
      <c r="Y2249" s="35" t="str">
        <f aca="false">IF($G2249="","",$V2249*(N($M2249)*1+N($N2249)*0.75+N($O2249)*0.5+N($P2249)*0.25)+$W2249*N($L2249))</f>
        <v/>
      </c>
      <c r="Z2249" s="35" t="str">
        <f aca="false">IF($G2249="","",$U2249*1000000+ROW())</f>
        <v/>
      </c>
      <c r="AA2249" s="36" t="str">
        <f aca="false">IF($G2249="","",MID(IF($C2249="",", no division","")&amp;IF($E2249="",", no unit","")&amp;IF($H2249="",", no career level","")&amp;IF(N($L2249)&lt;=0,", no quarter split","")&amp;IF($R2249="",", no driver","")&amp;IF(AND($H2249&lt;&gt;"",COUNTIF(CareerLevels,$H2249)=0),", a career level that is not on the ladder","")&amp;IF(AND($R2249&lt;&gt;"",COUNTIF(DriverList,$R2249)=0),", a driver that is not on the list","")&amp;IF(ABS(N($L2249)-(N($M2249)+N($N2249)+N($O2249)+N($P2249)))&gt;0.001,", a total that does not match its quarters",""),3,300))</f>
        <v/>
      </c>
    </row>
    <row r="2250" customFormat="false" ht="15" hidden="false" customHeight="false" outlineLevel="0" collapsed="false">
      <c r="A2250" s="33" t="str">
        <f aca="false">IF($G2250="","","Treasury &amp; Investments Group")</f>
        <v/>
      </c>
      <c r="B2250" s="19"/>
      <c r="C2250" s="19"/>
      <c r="D2250" s="19"/>
      <c r="E2250" s="19"/>
      <c r="F2250" s="19"/>
      <c r="G2250" s="19"/>
      <c r="H2250" s="19"/>
      <c r="I2250" s="19"/>
      <c r="J2250" s="19"/>
      <c r="K2250" s="19"/>
      <c r="L2250" s="19"/>
      <c r="M2250" s="19"/>
      <c r="N2250" s="19"/>
      <c r="O2250" s="19"/>
      <c r="P2250" s="19"/>
      <c r="Q2250" s="19"/>
      <c r="R2250" s="19"/>
      <c r="S2250" s="19"/>
      <c r="T2250" s="34" t="str">
        <f aca="false">IF($R2250="","",IFERROR(INDEX(DriverCategory,MATCH($R2250,DriverList,0)),"BAU"))</f>
        <v/>
      </c>
      <c r="U2250" s="34" t="str">
        <f aca="false">IF($R2250="","",IFERROR(INDEX(DriverRank,MATCH($R2250,DriverList,0)),99))</f>
        <v/>
      </c>
      <c r="V2250" s="35" t="n">
        <f aca="false">IF($H2250="",0,IFERROR(INDEX(LevelBasic,MATCH($H2250,LevelList,0))+INDEX(LevelHousing,MATCH($H2250,LevelList,0))+INDEX(LevelTransport,MATCH($H2250,LevelList,0))+INDEX(LevelBasic,MATCH($H2250,LevelList,0))*INDEX(LevelBonus,MATCH($H2250,LevelList,0))+(INDEX(LevelBasic,MATCH($H2250,LevelList,0))+INDEX(LevelHousing,MATCH($H2250,LevelList,0)))*GosiSaudi,0))</f>
        <v>0</v>
      </c>
      <c r="W2250" s="35" t="n">
        <f aca="false">IFERROR(INDEX(LevelOneOff,MATCH($H2250,LevelList,0)),0)</f>
        <v>0</v>
      </c>
      <c r="X2250" s="35" t="str">
        <f aca="false">IF($G2250="","",$V2250*N($L2250))</f>
        <v/>
      </c>
      <c r="Y2250" s="35" t="str">
        <f aca="false">IF($G2250="","",$V2250*(N($M2250)*1+N($N2250)*0.75+N($O2250)*0.5+N($P2250)*0.25)+$W2250*N($L2250))</f>
        <v/>
      </c>
      <c r="Z2250" s="35" t="str">
        <f aca="false">IF($G2250="","",$U2250*1000000+ROW())</f>
        <v/>
      </c>
      <c r="AA2250" s="36" t="str">
        <f aca="false">IF($G2250="","",MID(IF($C2250="",", no division","")&amp;IF($E2250="",", no unit","")&amp;IF($H2250="",", no career level","")&amp;IF(N($L2250)&lt;=0,", no quarter split","")&amp;IF($R2250="",", no driver","")&amp;IF(AND($H2250&lt;&gt;"",COUNTIF(CareerLevels,$H2250)=0),", a career level that is not on the ladder","")&amp;IF(AND($R2250&lt;&gt;"",COUNTIF(DriverList,$R2250)=0),", a driver that is not on the list","")&amp;IF(ABS(N($L2250)-(N($M2250)+N($N2250)+N($O2250)+N($P2250)))&gt;0.001,", a total that does not match its quarters",""),3,300))</f>
        <v/>
      </c>
    </row>
    <row r="2251" customFormat="false" ht="15" hidden="false" customHeight="false" outlineLevel="0" collapsed="false">
      <c r="A2251" s="33" t="str">
        <f aca="false">IF($G2251="","","Treasury &amp; Investments Group")</f>
        <v/>
      </c>
      <c r="B2251" s="19"/>
      <c r="C2251" s="19"/>
      <c r="D2251" s="19"/>
      <c r="E2251" s="19"/>
      <c r="F2251" s="19"/>
      <c r="G2251" s="19"/>
      <c r="H2251" s="19"/>
      <c r="I2251" s="19"/>
      <c r="J2251" s="19"/>
      <c r="K2251" s="19"/>
      <c r="L2251" s="19"/>
      <c r="M2251" s="19"/>
      <c r="N2251" s="19"/>
      <c r="O2251" s="19"/>
      <c r="P2251" s="19"/>
      <c r="Q2251" s="19"/>
      <c r="R2251" s="19"/>
      <c r="S2251" s="19"/>
      <c r="T2251" s="34" t="str">
        <f aca="false">IF($R2251="","",IFERROR(INDEX(DriverCategory,MATCH($R2251,DriverList,0)),"BAU"))</f>
        <v/>
      </c>
      <c r="U2251" s="34" t="str">
        <f aca="false">IF($R2251="","",IFERROR(INDEX(DriverRank,MATCH($R2251,DriverList,0)),99))</f>
        <v/>
      </c>
      <c r="V2251" s="35" t="n">
        <f aca="false">IF($H2251="",0,IFERROR(INDEX(LevelBasic,MATCH($H2251,LevelList,0))+INDEX(LevelHousing,MATCH($H2251,LevelList,0))+INDEX(LevelTransport,MATCH($H2251,LevelList,0))+INDEX(LevelBasic,MATCH($H2251,LevelList,0))*INDEX(LevelBonus,MATCH($H2251,LevelList,0))+(INDEX(LevelBasic,MATCH($H2251,LevelList,0))+INDEX(LevelHousing,MATCH($H2251,LevelList,0)))*GosiSaudi,0))</f>
        <v>0</v>
      </c>
      <c r="W2251" s="35" t="n">
        <f aca="false">IFERROR(INDEX(LevelOneOff,MATCH($H2251,LevelList,0)),0)</f>
        <v>0</v>
      </c>
      <c r="X2251" s="35" t="str">
        <f aca="false">IF($G2251="","",$V2251*N($L2251))</f>
        <v/>
      </c>
      <c r="Y2251" s="35" t="str">
        <f aca="false">IF($G2251="","",$V2251*(N($M2251)*1+N($N2251)*0.75+N($O2251)*0.5+N($P2251)*0.25)+$W2251*N($L2251))</f>
        <v/>
      </c>
      <c r="Z2251" s="35" t="str">
        <f aca="false">IF($G2251="","",$U2251*1000000+ROW())</f>
        <v/>
      </c>
      <c r="AA2251" s="36" t="str">
        <f aca="false">IF($G2251="","",MID(IF($C2251="",", no division","")&amp;IF($E2251="",", no unit","")&amp;IF($H2251="",", no career level","")&amp;IF(N($L2251)&lt;=0,", no quarter split","")&amp;IF($R2251="",", no driver","")&amp;IF(AND($H2251&lt;&gt;"",COUNTIF(CareerLevels,$H2251)=0),", a career level that is not on the ladder","")&amp;IF(AND($R2251&lt;&gt;"",COUNTIF(DriverList,$R2251)=0),", a driver that is not on the list","")&amp;IF(ABS(N($L2251)-(N($M2251)+N($N2251)+N($O2251)+N($P2251)))&gt;0.001,", a total that does not match its quarters",""),3,300))</f>
        <v/>
      </c>
    </row>
    <row r="2252" customFormat="false" ht="15" hidden="false" customHeight="false" outlineLevel="0" collapsed="false">
      <c r="A2252" s="33" t="str">
        <f aca="false">IF($G2252="","","Treasury &amp; Investments Group")</f>
        <v/>
      </c>
      <c r="B2252" s="19"/>
      <c r="C2252" s="19"/>
      <c r="D2252" s="19"/>
      <c r="E2252" s="19"/>
      <c r="F2252" s="19"/>
      <c r="G2252" s="19"/>
      <c r="H2252" s="19"/>
      <c r="I2252" s="19"/>
      <c r="J2252" s="19"/>
      <c r="K2252" s="19"/>
      <c r="L2252" s="19"/>
      <c r="M2252" s="19"/>
      <c r="N2252" s="19"/>
      <c r="O2252" s="19"/>
      <c r="P2252" s="19"/>
      <c r="Q2252" s="19"/>
      <c r="R2252" s="19"/>
      <c r="S2252" s="19"/>
      <c r="T2252" s="34" t="str">
        <f aca="false">IF($R2252="","",IFERROR(INDEX(DriverCategory,MATCH($R2252,DriverList,0)),"BAU"))</f>
        <v/>
      </c>
      <c r="U2252" s="34" t="str">
        <f aca="false">IF($R2252="","",IFERROR(INDEX(DriverRank,MATCH($R2252,DriverList,0)),99))</f>
        <v/>
      </c>
      <c r="V2252" s="35" t="n">
        <f aca="false">IF($H2252="",0,IFERROR(INDEX(LevelBasic,MATCH($H2252,LevelList,0))+INDEX(LevelHousing,MATCH($H2252,LevelList,0))+INDEX(LevelTransport,MATCH($H2252,LevelList,0))+INDEX(LevelBasic,MATCH($H2252,LevelList,0))*INDEX(LevelBonus,MATCH($H2252,LevelList,0))+(INDEX(LevelBasic,MATCH($H2252,LevelList,0))+INDEX(LevelHousing,MATCH($H2252,LevelList,0)))*GosiSaudi,0))</f>
        <v>0</v>
      </c>
      <c r="W2252" s="35" t="n">
        <f aca="false">IFERROR(INDEX(LevelOneOff,MATCH($H2252,LevelList,0)),0)</f>
        <v>0</v>
      </c>
      <c r="X2252" s="35" t="str">
        <f aca="false">IF($G2252="","",$V2252*N($L2252))</f>
        <v/>
      </c>
      <c r="Y2252" s="35" t="str">
        <f aca="false">IF($G2252="","",$V2252*(N($M2252)*1+N($N2252)*0.75+N($O2252)*0.5+N($P2252)*0.25)+$W2252*N($L2252))</f>
        <v/>
      </c>
      <c r="Z2252" s="35" t="str">
        <f aca="false">IF($G2252="","",$U2252*1000000+ROW())</f>
        <v/>
      </c>
      <c r="AA2252" s="36" t="str">
        <f aca="false">IF($G2252="","",MID(IF($C2252="",", no division","")&amp;IF($E2252="",", no unit","")&amp;IF($H2252="",", no career level","")&amp;IF(N($L2252)&lt;=0,", no quarter split","")&amp;IF($R2252="",", no driver","")&amp;IF(AND($H2252&lt;&gt;"",COUNTIF(CareerLevels,$H2252)=0),", a career level that is not on the ladder","")&amp;IF(AND($R2252&lt;&gt;"",COUNTIF(DriverList,$R2252)=0),", a driver that is not on the list","")&amp;IF(ABS(N($L2252)-(N($M2252)+N($N2252)+N($O2252)+N($P2252)))&gt;0.001,", a total that does not match its quarters",""),3,300))</f>
        <v/>
      </c>
    </row>
    <row r="2253" customFormat="false" ht="15" hidden="false" customHeight="false" outlineLevel="0" collapsed="false">
      <c r="A2253" s="33" t="str">
        <f aca="false">IF($G2253="","","Treasury &amp; Investments Group")</f>
        <v/>
      </c>
      <c r="B2253" s="19"/>
      <c r="C2253" s="19"/>
      <c r="D2253" s="19"/>
      <c r="E2253" s="19"/>
      <c r="F2253" s="19"/>
      <c r="G2253" s="19"/>
      <c r="H2253" s="19"/>
      <c r="I2253" s="19"/>
      <c r="J2253" s="19"/>
      <c r="K2253" s="19"/>
      <c r="L2253" s="19"/>
      <c r="M2253" s="19"/>
      <c r="N2253" s="19"/>
      <c r="O2253" s="19"/>
      <c r="P2253" s="19"/>
      <c r="Q2253" s="19"/>
      <c r="R2253" s="19"/>
      <c r="S2253" s="19"/>
      <c r="T2253" s="34" t="str">
        <f aca="false">IF($R2253="","",IFERROR(INDEX(DriverCategory,MATCH($R2253,DriverList,0)),"BAU"))</f>
        <v/>
      </c>
      <c r="U2253" s="34" t="str">
        <f aca="false">IF($R2253="","",IFERROR(INDEX(DriverRank,MATCH($R2253,DriverList,0)),99))</f>
        <v/>
      </c>
      <c r="V2253" s="35" t="n">
        <f aca="false">IF($H2253="",0,IFERROR(INDEX(LevelBasic,MATCH($H2253,LevelList,0))+INDEX(LevelHousing,MATCH($H2253,LevelList,0))+INDEX(LevelTransport,MATCH($H2253,LevelList,0))+INDEX(LevelBasic,MATCH($H2253,LevelList,0))*INDEX(LevelBonus,MATCH($H2253,LevelList,0))+(INDEX(LevelBasic,MATCH($H2253,LevelList,0))+INDEX(LevelHousing,MATCH($H2253,LevelList,0)))*GosiSaudi,0))</f>
        <v>0</v>
      </c>
      <c r="W2253" s="35" t="n">
        <f aca="false">IFERROR(INDEX(LevelOneOff,MATCH($H2253,LevelList,0)),0)</f>
        <v>0</v>
      </c>
      <c r="X2253" s="35" t="str">
        <f aca="false">IF($G2253="","",$V2253*N($L2253))</f>
        <v/>
      </c>
      <c r="Y2253" s="35" t="str">
        <f aca="false">IF($G2253="","",$V2253*(N($M2253)*1+N($N2253)*0.75+N($O2253)*0.5+N($P2253)*0.25)+$W2253*N($L2253))</f>
        <v/>
      </c>
      <c r="Z2253" s="35" t="str">
        <f aca="false">IF($G2253="","",$U2253*1000000+ROW())</f>
        <v/>
      </c>
      <c r="AA2253" s="36" t="str">
        <f aca="false">IF($G2253="","",MID(IF($C2253="",", no division","")&amp;IF($E2253="",", no unit","")&amp;IF($H2253="",", no career level","")&amp;IF(N($L2253)&lt;=0,", no quarter split","")&amp;IF($R2253="",", no driver","")&amp;IF(AND($H2253&lt;&gt;"",COUNTIF(CareerLevels,$H2253)=0),", a career level that is not on the ladder","")&amp;IF(AND($R2253&lt;&gt;"",COUNTIF(DriverList,$R2253)=0),", a driver that is not on the list","")&amp;IF(ABS(N($L2253)-(N($M2253)+N($N2253)+N($O2253)+N($P2253)))&gt;0.001,", a total that does not match its quarters",""),3,300))</f>
        <v/>
      </c>
    </row>
    <row r="2254" customFormat="false" ht="15" hidden="false" customHeight="false" outlineLevel="0" collapsed="false">
      <c r="A2254" s="33" t="str">
        <f aca="false">IF($G2254="","","Treasury &amp; Investments Group")</f>
        <v/>
      </c>
      <c r="B2254" s="19"/>
      <c r="C2254" s="19"/>
      <c r="D2254" s="19"/>
      <c r="E2254" s="19"/>
      <c r="F2254" s="19"/>
      <c r="G2254" s="19"/>
      <c r="H2254" s="19"/>
      <c r="I2254" s="19"/>
      <c r="J2254" s="19"/>
      <c r="K2254" s="19"/>
      <c r="L2254" s="19"/>
      <c r="M2254" s="19"/>
      <c r="N2254" s="19"/>
      <c r="O2254" s="19"/>
      <c r="P2254" s="19"/>
      <c r="Q2254" s="19"/>
      <c r="R2254" s="19"/>
      <c r="S2254" s="19"/>
      <c r="T2254" s="34" t="str">
        <f aca="false">IF($R2254="","",IFERROR(INDEX(DriverCategory,MATCH($R2254,DriverList,0)),"BAU"))</f>
        <v/>
      </c>
      <c r="U2254" s="34" t="str">
        <f aca="false">IF($R2254="","",IFERROR(INDEX(DriverRank,MATCH($R2254,DriverList,0)),99))</f>
        <v/>
      </c>
      <c r="V2254" s="35" t="n">
        <f aca="false">IF($H2254="",0,IFERROR(INDEX(LevelBasic,MATCH($H2254,LevelList,0))+INDEX(LevelHousing,MATCH($H2254,LevelList,0))+INDEX(LevelTransport,MATCH($H2254,LevelList,0))+INDEX(LevelBasic,MATCH($H2254,LevelList,0))*INDEX(LevelBonus,MATCH($H2254,LevelList,0))+(INDEX(LevelBasic,MATCH($H2254,LevelList,0))+INDEX(LevelHousing,MATCH($H2254,LevelList,0)))*GosiSaudi,0))</f>
        <v>0</v>
      </c>
      <c r="W2254" s="35" t="n">
        <f aca="false">IFERROR(INDEX(LevelOneOff,MATCH($H2254,LevelList,0)),0)</f>
        <v>0</v>
      </c>
      <c r="X2254" s="35" t="str">
        <f aca="false">IF($G2254="","",$V2254*N($L2254))</f>
        <v/>
      </c>
      <c r="Y2254" s="35" t="str">
        <f aca="false">IF($G2254="","",$V2254*(N($M2254)*1+N($N2254)*0.75+N($O2254)*0.5+N($P2254)*0.25)+$W2254*N($L2254))</f>
        <v/>
      </c>
      <c r="Z2254" s="35" t="str">
        <f aca="false">IF($G2254="","",$U2254*1000000+ROW())</f>
        <v/>
      </c>
      <c r="AA2254" s="36" t="str">
        <f aca="false">IF($G2254="","",MID(IF($C2254="",", no division","")&amp;IF($E2254="",", no unit","")&amp;IF($H2254="",", no career level","")&amp;IF(N($L2254)&lt;=0,", no quarter split","")&amp;IF($R2254="",", no driver","")&amp;IF(AND($H2254&lt;&gt;"",COUNTIF(CareerLevels,$H2254)=0),", a career level that is not on the ladder","")&amp;IF(AND($R2254&lt;&gt;"",COUNTIF(DriverList,$R2254)=0),", a driver that is not on the list","")&amp;IF(ABS(N($L2254)-(N($M2254)+N($N2254)+N($O2254)+N($P2254)))&gt;0.001,", a total that does not match its quarters",""),3,300))</f>
        <v/>
      </c>
    </row>
    <row r="2255" customFormat="false" ht="15" hidden="false" customHeight="false" outlineLevel="0" collapsed="false">
      <c r="A2255" s="33" t="str">
        <f aca="false">IF($G2255="","","Treasury &amp; Investments Group")</f>
        <v/>
      </c>
      <c r="B2255" s="19"/>
      <c r="C2255" s="19"/>
      <c r="D2255" s="19"/>
      <c r="E2255" s="19"/>
      <c r="F2255" s="19"/>
      <c r="G2255" s="19"/>
      <c r="H2255" s="19"/>
      <c r="I2255" s="19"/>
      <c r="J2255" s="19"/>
      <c r="K2255" s="19"/>
      <c r="L2255" s="19"/>
      <c r="M2255" s="19"/>
      <c r="N2255" s="19"/>
      <c r="O2255" s="19"/>
      <c r="P2255" s="19"/>
      <c r="Q2255" s="19"/>
      <c r="R2255" s="19"/>
      <c r="S2255" s="19"/>
      <c r="T2255" s="34" t="str">
        <f aca="false">IF($R2255="","",IFERROR(INDEX(DriverCategory,MATCH($R2255,DriverList,0)),"BAU"))</f>
        <v/>
      </c>
      <c r="U2255" s="34" t="str">
        <f aca="false">IF($R2255="","",IFERROR(INDEX(DriverRank,MATCH($R2255,DriverList,0)),99))</f>
        <v/>
      </c>
      <c r="V2255" s="35" t="n">
        <f aca="false">IF($H2255="",0,IFERROR(INDEX(LevelBasic,MATCH($H2255,LevelList,0))+INDEX(LevelHousing,MATCH($H2255,LevelList,0))+INDEX(LevelTransport,MATCH($H2255,LevelList,0))+INDEX(LevelBasic,MATCH($H2255,LevelList,0))*INDEX(LevelBonus,MATCH($H2255,LevelList,0))+(INDEX(LevelBasic,MATCH($H2255,LevelList,0))+INDEX(LevelHousing,MATCH($H2255,LevelList,0)))*GosiSaudi,0))</f>
        <v>0</v>
      </c>
      <c r="W2255" s="35" t="n">
        <f aca="false">IFERROR(INDEX(LevelOneOff,MATCH($H2255,LevelList,0)),0)</f>
        <v>0</v>
      </c>
      <c r="X2255" s="35" t="str">
        <f aca="false">IF($G2255="","",$V2255*N($L2255))</f>
        <v/>
      </c>
      <c r="Y2255" s="35" t="str">
        <f aca="false">IF($G2255="","",$V2255*(N($M2255)*1+N($N2255)*0.75+N($O2255)*0.5+N($P2255)*0.25)+$W2255*N($L2255))</f>
        <v/>
      </c>
      <c r="Z2255" s="35" t="str">
        <f aca="false">IF($G2255="","",$U2255*1000000+ROW())</f>
        <v/>
      </c>
      <c r="AA2255" s="36" t="str">
        <f aca="false">IF($G2255="","",MID(IF($C2255="",", no division","")&amp;IF($E2255="",", no unit","")&amp;IF($H2255="",", no career level","")&amp;IF(N($L2255)&lt;=0,", no quarter split","")&amp;IF($R2255="",", no driver","")&amp;IF(AND($H2255&lt;&gt;"",COUNTIF(CareerLevels,$H2255)=0),", a career level that is not on the ladder","")&amp;IF(AND($R2255&lt;&gt;"",COUNTIF(DriverList,$R2255)=0),", a driver that is not on the list","")&amp;IF(ABS(N($L2255)-(N($M2255)+N($N2255)+N($O2255)+N($P2255)))&gt;0.001,", a total that does not match its quarters",""),3,300))</f>
        <v/>
      </c>
    </row>
    <row r="2256" customFormat="false" ht="15" hidden="false" customHeight="false" outlineLevel="0" collapsed="false">
      <c r="A2256" s="33" t="str">
        <f aca="false">IF($G2256="","","Treasury &amp; Investments Group")</f>
        <v/>
      </c>
      <c r="B2256" s="19"/>
      <c r="C2256" s="19"/>
      <c r="D2256" s="19"/>
      <c r="E2256" s="19"/>
      <c r="F2256" s="19"/>
      <c r="G2256" s="19"/>
      <c r="H2256" s="19"/>
      <c r="I2256" s="19"/>
      <c r="J2256" s="19"/>
      <c r="K2256" s="19"/>
      <c r="L2256" s="19"/>
      <c r="M2256" s="19"/>
      <c r="N2256" s="19"/>
      <c r="O2256" s="19"/>
      <c r="P2256" s="19"/>
      <c r="Q2256" s="19"/>
      <c r="R2256" s="19"/>
      <c r="S2256" s="19"/>
      <c r="T2256" s="34" t="str">
        <f aca="false">IF($R2256="","",IFERROR(INDEX(DriverCategory,MATCH($R2256,DriverList,0)),"BAU"))</f>
        <v/>
      </c>
      <c r="U2256" s="34" t="str">
        <f aca="false">IF($R2256="","",IFERROR(INDEX(DriverRank,MATCH($R2256,DriverList,0)),99))</f>
        <v/>
      </c>
      <c r="V2256" s="35" t="n">
        <f aca="false">IF($H2256="",0,IFERROR(INDEX(LevelBasic,MATCH($H2256,LevelList,0))+INDEX(LevelHousing,MATCH($H2256,LevelList,0))+INDEX(LevelTransport,MATCH($H2256,LevelList,0))+INDEX(LevelBasic,MATCH($H2256,LevelList,0))*INDEX(LevelBonus,MATCH($H2256,LevelList,0))+(INDEX(LevelBasic,MATCH($H2256,LevelList,0))+INDEX(LevelHousing,MATCH($H2256,LevelList,0)))*GosiSaudi,0))</f>
        <v>0</v>
      </c>
      <c r="W2256" s="35" t="n">
        <f aca="false">IFERROR(INDEX(LevelOneOff,MATCH($H2256,LevelList,0)),0)</f>
        <v>0</v>
      </c>
      <c r="X2256" s="35" t="str">
        <f aca="false">IF($G2256="","",$V2256*N($L2256))</f>
        <v/>
      </c>
      <c r="Y2256" s="35" t="str">
        <f aca="false">IF($G2256="","",$V2256*(N($M2256)*1+N($N2256)*0.75+N($O2256)*0.5+N($P2256)*0.25)+$W2256*N($L2256))</f>
        <v/>
      </c>
      <c r="Z2256" s="35" t="str">
        <f aca="false">IF($G2256="","",$U2256*1000000+ROW())</f>
        <v/>
      </c>
      <c r="AA2256" s="36" t="str">
        <f aca="false">IF($G2256="","",MID(IF($C2256="",", no division","")&amp;IF($E2256="",", no unit","")&amp;IF($H2256="",", no career level","")&amp;IF(N($L2256)&lt;=0,", no quarter split","")&amp;IF($R2256="",", no driver","")&amp;IF(AND($H2256&lt;&gt;"",COUNTIF(CareerLevels,$H2256)=0),", a career level that is not on the ladder","")&amp;IF(AND($R2256&lt;&gt;"",COUNTIF(DriverList,$R2256)=0),", a driver that is not on the list","")&amp;IF(ABS(N($L2256)-(N($M2256)+N($N2256)+N($O2256)+N($P2256)))&gt;0.001,", a total that does not match its quarters",""),3,300))</f>
        <v/>
      </c>
    </row>
    <row r="2257" customFormat="false" ht="15" hidden="false" customHeight="false" outlineLevel="0" collapsed="false">
      <c r="A2257" s="33" t="str">
        <f aca="false">IF($G2257="","","Treasury &amp; Investments Group")</f>
        <v/>
      </c>
      <c r="B2257" s="19"/>
      <c r="C2257" s="19"/>
      <c r="D2257" s="19"/>
      <c r="E2257" s="19"/>
      <c r="F2257" s="19"/>
      <c r="G2257" s="19"/>
      <c r="H2257" s="19"/>
      <c r="I2257" s="19"/>
      <c r="J2257" s="19"/>
      <c r="K2257" s="19"/>
      <c r="L2257" s="19"/>
      <c r="M2257" s="19"/>
      <c r="N2257" s="19"/>
      <c r="O2257" s="19"/>
      <c r="P2257" s="19"/>
      <c r="Q2257" s="19"/>
      <c r="R2257" s="19"/>
      <c r="S2257" s="19"/>
      <c r="T2257" s="34" t="str">
        <f aca="false">IF($R2257="","",IFERROR(INDEX(DriverCategory,MATCH($R2257,DriverList,0)),"BAU"))</f>
        <v/>
      </c>
      <c r="U2257" s="34" t="str">
        <f aca="false">IF($R2257="","",IFERROR(INDEX(DriverRank,MATCH($R2257,DriverList,0)),99))</f>
        <v/>
      </c>
      <c r="V2257" s="35" t="n">
        <f aca="false">IF($H2257="",0,IFERROR(INDEX(LevelBasic,MATCH($H2257,LevelList,0))+INDEX(LevelHousing,MATCH($H2257,LevelList,0))+INDEX(LevelTransport,MATCH($H2257,LevelList,0))+INDEX(LevelBasic,MATCH($H2257,LevelList,0))*INDEX(LevelBonus,MATCH($H2257,LevelList,0))+(INDEX(LevelBasic,MATCH($H2257,LevelList,0))+INDEX(LevelHousing,MATCH($H2257,LevelList,0)))*GosiSaudi,0))</f>
        <v>0</v>
      </c>
      <c r="W2257" s="35" t="n">
        <f aca="false">IFERROR(INDEX(LevelOneOff,MATCH($H2257,LevelList,0)),0)</f>
        <v>0</v>
      </c>
      <c r="X2257" s="35" t="str">
        <f aca="false">IF($G2257="","",$V2257*N($L2257))</f>
        <v/>
      </c>
      <c r="Y2257" s="35" t="str">
        <f aca="false">IF($G2257="","",$V2257*(N($M2257)*1+N($N2257)*0.75+N($O2257)*0.5+N($P2257)*0.25)+$W2257*N($L2257))</f>
        <v/>
      </c>
      <c r="Z2257" s="35" t="str">
        <f aca="false">IF($G2257="","",$U2257*1000000+ROW())</f>
        <v/>
      </c>
      <c r="AA2257" s="36" t="str">
        <f aca="false">IF($G2257="","",MID(IF($C2257="",", no division","")&amp;IF($E2257="",", no unit","")&amp;IF($H2257="",", no career level","")&amp;IF(N($L2257)&lt;=0,", no quarter split","")&amp;IF($R2257="",", no driver","")&amp;IF(AND($H2257&lt;&gt;"",COUNTIF(CareerLevels,$H2257)=0),", a career level that is not on the ladder","")&amp;IF(AND($R2257&lt;&gt;"",COUNTIF(DriverList,$R2257)=0),", a driver that is not on the list","")&amp;IF(ABS(N($L2257)-(N($M2257)+N($N2257)+N($O2257)+N($P2257)))&gt;0.001,", a total that does not match its quarters",""),3,300))</f>
        <v/>
      </c>
    </row>
    <row r="2258" customFormat="false" ht="15" hidden="false" customHeight="false" outlineLevel="0" collapsed="false">
      <c r="A2258" s="33" t="str">
        <f aca="false">IF($G2258="","","Treasury &amp; Investments Group")</f>
        <v/>
      </c>
      <c r="B2258" s="19"/>
      <c r="C2258" s="19"/>
      <c r="D2258" s="19"/>
      <c r="E2258" s="19"/>
      <c r="F2258" s="19"/>
      <c r="G2258" s="19"/>
      <c r="H2258" s="19"/>
      <c r="I2258" s="19"/>
      <c r="J2258" s="19"/>
      <c r="K2258" s="19"/>
      <c r="L2258" s="19"/>
      <c r="M2258" s="19"/>
      <c r="N2258" s="19"/>
      <c r="O2258" s="19"/>
      <c r="P2258" s="19"/>
      <c r="Q2258" s="19"/>
      <c r="R2258" s="19"/>
      <c r="S2258" s="19"/>
      <c r="T2258" s="34" t="str">
        <f aca="false">IF($R2258="","",IFERROR(INDEX(DriverCategory,MATCH($R2258,DriverList,0)),"BAU"))</f>
        <v/>
      </c>
      <c r="U2258" s="34" t="str">
        <f aca="false">IF($R2258="","",IFERROR(INDEX(DriverRank,MATCH($R2258,DriverList,0)),99))</f>
        <v/>
      </c>
      <c r="V2258" s="35" t="n">
        <f aca="false">IF($H2258="",0,IFERROR(INDEX(LevelBasic,MATCH($H2258,LevelList,0))+INDEX(LevelHousing,MATCH($H2258,LevelList,0))+INDEX(LevelTransport,MATCH($H2258,LevelList,0))+INDEX(LevelBasic,MATCH($H2258,LevelList,0))*INDEX(LevelBonus,MATCH($H2258,LevelList,0))+(INDEX(LevelBasic,MATCH($H2258,LevelList,0))+INDEX(LevelHousing,MATCH($H2258,LevelList,0)))*GosiSaudi,0))</f>
        <v>0</v>
      </c>
      <c r="W2258" s="35" t="n">
        <f aca="false">IFERROR(INDEX(LevelOneOff,MATCH($H2258,LevelList,0)),0)</f>
        <v>0</v>
      </c>
      <c r="X2258" s="35" t="str">
        <f aca="false">IF($G2258="","",$V2258*N($L2258))</f>
        <v/>
      </c>
      <c r="Y2258" s="35" t="str">
        <f aca="false">IF($G2258="","",$V2258*(N($M2258)*1+N($N2258)*0.75+N($O2258)*0.5+N($P2258)*0.25)+$W2258*N($L2258))</f>
        <v/>
      </c>
      <c r="Z2258" s="35" t="str">
        <f aca="false">IF($G2258="","",$U2258*1000000+ROW())</f>
        <v/>
      </c>
      <c r="AA2258" s="36" t="str">
        <f aca="false">IF($G2258="","",MID(IF($C2258="",", no division","")&amp;IF($E2258="",", no unit","")&amp;IF($H2258="",", no career level","")&amp;IF(N($L2258)&lt;=0,", no quarter split","")&amp;IF($R2258="",", no driver","")&amp;IF(AND($H2258&lt;&gt;"",COUNTIF(CareerLevels,$H2258)=0),", a career level that is not on the ladder","")&amp;IF(AND($R2258&lt;&gt;"",COUNTIF(DriverList,$R2258)=0),", a driver that is not on the list","")&amp;IF(ABS(N($L2258)-(N($M2258)+N($N2258)+N($O2258)+N($P2258)))&gt;0.001,", a total that does not match its quarters",""),3,300))</f>
        <v/>
      </c>
    </row>
    <row r="2259" customFormat="false" ht="15" hidden="false" customHeight="false" outlineLevel="0" collapsed="false">
      <c r="A2259" s="33" t="str">
        <f aca="false">IF($G2259="","","Treasury &amp; Investments Group")</f>
        <v/>
      </c>
      <c r="B2259" s="19"/>
      <c r="C2259" s="19"/>
      <c r="D2259" s="19"/>
      <c r="E2259" s="19"/>
      <c r="F2259" s="19"/>
      <c r="G2259" s="19"/>
      <c r="H2259" s="19"/>
      <c r="I2259" s="19"/>
      <c r="J2259" s="19"/>
      <c r="K2259" s="19"/>
      <c r="L2259" s="19"/>
      <c r="M2259" s="19"/>
      <c r="N2259" s="19"/>
      <c r="O2259" s="19"/>
      <c r="P2259" s="19"/>
      <c r="Q2259" s="19"/>
      <c r="R2259" s="19"/>
      <c r="S2259" s="19"/>
      <c r="T2259" s="34" t="str">
        <f aca="false">IF($R2259="","",IFERROR(INDEX(DriverCategory,MATCH($R2259,DriverList,0)),"BAU"))</f>
        <v/>
      </c>
      <c r="U2259" s="34" t="str">
        <f aca="false">IF($R2259="","",IFERROR(INDEX(DriverRank,MATCH($R2259,DriverList,0)),99))</f>
        <v/>
      </c>
      <c r="V2259" s="35" t="n">
        <f aca="false">IF($H2259="",0,IFERROR(INDEX(LevelBasic,MATCH($H2259,LevelList,0))+INDEX(LevelHousing,MATCH($H2259,LevelList,0))+INDEX(LevelTransport,MATCH($H2259,LevelList,0))+INDEX(LevelBasic,MATCH($H2259,LevelList,0))*INDEX(LevelBonus,MATCH($H2259,LevelList,0))+(INDEX(LevelBasic,MATCH($H2259,LevelList,0))+INDEX(LevelHousing,MATCH($H2259,LevelList,0)))*GosiSaudi,0))</f>
        <v>0</v>
      </c>
      <c r="W2259" s="35" t="n">
        <f aca="false">IFERROR(INDEX(LevelOneOff,MATCH($H2259,LevelList,0)),0)</f>
        <v>0</v>
      </c>
      <c r="X2259" s="35" t="str">
        <f aca="false">IF($G2259="","",$V2259*N($L2259))</f>
        <v/>
      </c>
      <c r="Y2259" s="35" t="str">
        <f aca="false">IF($G2259="","",$V2259*(N($M2259)*1+N($N2259)*0.75+N($O2259)*0.5+N($P2259)*0.25)+$W2259*N($L2259))</f>
        <v/>
      </c>
      <c r="Z2259" s="35" t="str">
        <f aca="false">IF($G2259="","",$U2259*1000000+ROW())</f>
        <v/>
      </c>
      <c r="AA2259" s="36" t="str">
        <f aca="false">IF($G2259="","",MID(IF($C2259="",", no division","")&amp;IF($E2259="",", no unit","")&amp;IF($H2259="",", no career level","")&amp;IF(N($L2259)&lt;=0,", no quarter split","")&amp;IF($R2259="",", no driver","")&amp;IF(AND($H2259&lt;&gt;"",COUNTIF(CareerLevels,$H2259)=0),", a career level that is not on the ladder","")&amp;IF(AND($R2259&lt;&gt;"",COUNTIF(DriverList,$R2259)=0),", a driver that is not on the list","")&amp;IF(ABS(N($L2259)-(N($M2259)+N($N2259)+N($O2259)+N($P2259)))&gt;0.001,", a total that does not match its quarters",""),3,300))</f>
        <v/>
      </c>
    </row>
    <row r="2260" customFormat="false" ht="15" hidden="false" customHeight="false" outlineLevel="0" collapsed="false">
      <c r="A2260" s="33" t="str">
        <f aca="false">IF($G2260="","","Treasury &amp; Investments Group")</f>
        <v/>
      </c>
      <c r="B2260" s="19"/>
      <c r="C2260" s="19"/>
      <c r="D2260" s="19"/>
      <c r="E2260" s="19"/>
      <c r="F2260" s="19"/>
      <c r="G2260" s="19"/>
      <c r="H2260" s="19"/>
      <c r="I2260" s="19"/>
      <c r="J2260" s="19"/>
      <c r="K2260" s="19"/>
      <c r="L2260" s="19"/>
      <c r="M2260" s="19"/>
      <c r="N2260" s="19"/>
      <c r="O2260" s="19"/>
      <c r="P2260" s="19"/>
      <c r="Q2260" s="19"/>
      <c r="R2260" s="19"/>
      <c r="S2260" s="19"/>
      <c r="T2260" s="34" t="str">
        <f aca="false">IF($R2260="","",IFERROR(INDEX(DriverCategory,MATCH($R2260,DriverList,0)),"BAU"))</f>
        <v/>
      </c>
      <c r="U2260" s="34" t="str">
        <f aca="false">IF($R2260="","",IFERROR(INDEX(DriverRank,MATCH($R2260,DriverList,0)),99))</f>
        <v/>
      </c>
      <c r="V2260" s="35" t="n">
        <f aca="false">IF($H2260="",0,IFERROR(INDEX(LevelBasic,MATCH($H2260,LevelList,0))+INDEX(LevelHousing,MATCH($H2260,LevelList,0))+INDEX(LevelTransport,MATCH($H2260,LevelList,0))+INDEX(LevelBasic,MATCH($H2260,LevelList,0))*INDEX(LevelBonus,MATCH($H2260,LevelList,0))+(INDEX(LevelBasic,MATCH($H2260,LevelList,0))+INDEX(LevelHousing,MATCH($H2260,LevelList,0)))*GosiSaudi,0))</f>
        <v>0</v>
      </c>
      <c r="W2260" s="35" t="n">
        <f aca="false">IFERROR(INDEX(LevelOneOff,MATCH($H2260,LevelList,0)),0)</f>
        <v>0</v>
      </c>
      <c r="X2260" s="35" t="str">
        <f aca="false">IF($G2260="","",$V2260*N($L2260))</f>
        <v/>
      </c>
      <c r="Y2260" s="35" t="str">
        <f aca="false">IF($G2260="","",$V2260*(N($M2260)*1+N($N2260)*0.75+N($O2260)*0.5+N($P2260)*0.25)+$W2260*N($L2260))</f>
        <v/>
      </c>
      <c r="Z2260" s="35" t="str">
        <f aca="false">IF($G2260="","",$U2260*1000000+ROW())</f>
        <v/>
      </c>
      <c r="AA2260" s="36" t="str">
        <f aca="false">IF($G2260="","",MID(IF($C2260="",", no division","")&amp;IF($E2260="",", no unit","")&amp;IF($H2260="",", no career level","")&amp;IF(N($L2260)&lt;=0,", no quarter split","")&amp;IF($R2260="",", no driver","")&amp;IF(AND($H2260&lt;&gt;"",COUNTIF(CareerLevels,$H2260)=0),", a career level that is not on the ladder","")&amp;IF(AND($R2260&lt;&gt;"",COUNTIF(DriverList,$R2260)=0),", a driver that is not on the list","")&amp;IF(ABS(N($L2260)-(N($M2260)+N($N2260)+N($O2260)+N($P2260)))&gt;0.001,", a total that does not match its quarters",""),3,300))</f>
        <v/>
      </c>
    </row>
    <row r="2261" customFormat="false" ht="15" hidden="false" customHeight="false" outlineLevel="0" collapsed="false">
      <c r="A2261" s="33" t="str">
        <f aca="false">IF($G2261="","","Treasury &amp; Investments Group")</f>
        <v/>
      </c>
      <c r="B2261" s="19"/>
      <c r="C2261" s="19"/>
      <c r="D2261" s="19"/>
      <c r="E2261" s="19"/>
      <c r="F2261" s="19"/>
      <c r="G2261" s="19"/>
      <c r="H2261" s="19"/>
      <c r="I2261" s="19"/>
      <c r="J2261" s="19"/>
      <c r="K2261" s="19"/>
      <c r="L2261" s="19"/>
      <c r="M2261" s="19"/>
      <c r="N2261" s="19"/>
      <c r="O2261" s="19"/>
      <c r="P2261" s="19"/>
      <c r="Q2261" s="19"/>
      <c r="R2261" s="19"/>
      <c r="S2261" s="19"/>
      <c r="T2261" s="34" t="str">
        <f aca="false">IF($R2261="","",IFERROR(INDEX(DriverCategory,MATCH($R2261,DriverList,0)),"BAU"))</f>
        <v/>
      </c>
      <c r="U2261" s="34" t="str">
        <f aca="false">IF($R2261="","",IFERROR(INDEX(DriverRank,MATCH($R2261,DriverList,0)),99))</f>
        <v/>
      </c>
      <c r="V2261" s="35" t="n">
        <f aca="false">IF($H2261="",0,IFERROR(INDEX(LevelBasic,MATCH($H2261,LevelList,0))+INDEX(LevelHousing,MATCH($H2261,LevelList,0))+INDEX(LevelTransport,MATCH($H2261,LevelList,0))+INDEX(LevelBasic,MATCH($H2261,LevelList,0))*INDEX(LevelBonus,MATCH($H2261,LevelList,0))+(INDEX(LevelBasic,MATCH($H2261,LevelList,0))+INDEX(LevelHousing,MATCH($H2261,LevelList,0)))*GosiSaudi,0))</f>
        <v>0</v>
      </c>
      <c r="W2261" s="35" t="n">
        <f aca="false">IFERROR(INDEX(LevelOneOff,MATCH($H2261,LevelList,0)),0)</f>
        <v>0</v>
      </c>
      <c r="X2261" s="35" t="str">
        <f aca="false">IF($G2261="","",$V2261*N($L2261))</f>
        <v/>
      </c>
      <c r="Y2261" s="35" t="str">
        <f aca="false">IF($G2261="","",$V2261*(N($M2261)*1+N($N2261)*0.75+N($O2261)*0.5+N($P2261)*0.25)+$W2261*N($L2261))</f>
        <v/>
      </c>
      <c r="Z2261" s="35" t="str">
        <f aca="false">IF($G2261="","",$U2261*1000000+ROW())</f>
        <v/>
      </c>
      <c r="AA2261" s="36" t="str">
        <f aca="false">IF($G2261="","",MID(IF($C2261="",", no division","")&amp;IF($E2261="",", no unit","")&amp;IF($H2261="",", no career level","")&amp;IF(N($L2261)&lt;=0,", no quarter split","")&amp;IF($R2261="",", no driver","")&amp;IF(AND($H2261&lt;&gt;"",COUNTIF(CareerLevels,$H2261)=0),", a career level that is not on the ladder","")&amp;IF(AND($R2261&lt;&gt;"",COUNTIF(DriverList,$R2261)=0),", a driver that is not on the list","")&amp;IF(ABS(N($L2261)-(N($M2261)+N($N2261)+N($O2261)+N($P2261)))&gt;0.001,", a total that does not match its quarters",""),3,300))</f>
        <v/>
      </c>
    </row>
    <row r="2262" customFormat="false" ht="15" hidden="false" customHeight="false" outlineLevel="0" collapsed="false">
      <c r="A2262" s="33" t="str">
        <f aca="false">IF($G2262="","","Treasury &amp; Investments Group")</f>
        <v/>
      </c>
      <c r="B2262" s="19"/>
      <c r="C2262" s="19"/>
      <c r="D2262" s="19"/>
      <c r="E2262" s="19"/>
      <c r="F2262" s="19"/>
      <c r="G2262" s="19"/>
      <c r="H2262" s="19"/>
      <c r="I2262" s="19"/>
      <c r="J2262" s="19"/>
      <c r="K2262" s="19"/>
      <c r="L2262" s="19"/>
      <c r="M2262" s="19"/>
      <c r="N2262" s="19"/>
      <c r="O2262" s="19"/>
      <c r="P2262" s="19"/>
      <c r="Q2262" s="19"/>
      <c r="R2262" s="19"/>
      <c r="S2262" s="19"/>
      <c r="T2262" s="34" t="str">
        <f aca="false">IF($R2262="","",IFERROR(INDEX(DriverCategory,MATCH($R2262,DriverList,0)),"BAU"))</f>
        <v/>
      </c>
      <c r="U2262" s="34" t="str">
        <f aca="false">IF($R2262="","",IFERROR(INDEX(DriverRank,MATCH($R2262,DriverList,0)),99))</f>
        <v/>
      </c>
      <c r="V2262" s="35" t="n">
        <f aca="false">IF($H2262="",0,IFERROR(INDEX(LevelBasic,MATCH($H2262,LevelList,0))+INDEX(LevelHousing,MATCH($H2262,LevelList,0))+INDEX(LevelTransport,MATCH($H2262,LevelList,0))+INDEX(LevelBasic,MATCH($H2262,LevelList,0))*INDEX(LevelBonus,MATCH($H2262,LevelList,0))+(INDEX(LevelBasic,MATCH($H2262,LevelList,0))+INDEX(LevelHousing,MATCH($H2262,LevelList,0)))*GosiSaudi,0))</f>
        <v>0</v>
      </c>
      <c r="W2262" s="35" t="n">
        <f aca="false">IFERROR(INDEX(LevelOneOff,MATCH($H2262,LevelList,0)),0)</f>
        <v>0</v>
      </c>
      <c r="X2262" s="35" t="str">
        <f aca="false">IF($G2262="","",$V2262*N($L2262))</f>
        <v/>
      </c>
      <c r="Y2262" s="35" t="str">
        <f aca="false">IF($G2262="","",$V2262*(N($M2262)*1+N($N2262)*0.75+N($O2262)*0.5+N($P2262)*0.25)+$W2262*N($L2262))</f>
        <v/>
      </c>
      <c r="Z2262" s="35" t="str">
        <f aca="false">IF($G2262="","",$U2262*1000000+ROW())</f>
        <v/>
      </c>
      <c r="AA2262" s="36" t="str">
        <f aca="false">IF($G2262="","",MID(IF($C2262="",", no division","")&amp;IF($E2262="",", no unit","")&amp;IF($H2262="",", no career level","")&amp;IF(N($L2262)&lt;=0,", no quarter split","")&amp;IF($R2262="",", no driver","")&amp;IF(AND($H2262&lt;&gt;"",COUNTIF(CareerLevels,$H2262)=0),", a career level that is not on the ladder","")&amp;IF(AND($R2262&lt;&gt;"",COUNTIF(DriverList,$R2262)=0),", a driver that is not on the list","")&amp;IF(ABS(N($L2262)-(N($M2262)+N($N2262)+N($O2262)+N($P2262)))&gt;0.001,", a total that does not match its quarters",""),3,300))</f>
        <v/>
      </c>
    </row>
    <row r="2263" customFormat="false" ht="15" hidden="false" customHeight="false" outlineLevel="0" collapsed="false">
      <c r="A2263" s="33" t="str">
        <f aca="false">IF($G2263="","","Treasury &amp; Investments Group")</f>
        <v/>
      </c>
      <c r="B2263" s="19"/>
      <c r="C2263" s="19"/>
      <c r="D2263" s="19"/>
      <c r="E2263" s="19"/>
      <c r="F2263" s="19"/>
      <c r="G2263" s="19"/>
      <c r="H2263" s="19"/>
      <c r="I2263" s="19"/>
      <c r="J2263" s="19"/>
      <c r="K2263" s="19"/>
      <c r="L2263" s="19"/>
      <c r="M2263" s="19"/>
      <c r="N2263" s="19"/>
      <c r="O2263" s="19"/>
      <c r="P2263" s="19"/>
      <c r="Q2263" s="19"/>
      <c r="R2263" s="19"/>
      <c r="S2263" s="19"/>
      <c r="T2263" s="34" t="str">
        <f aca="false">IF($R2263="","",IFERROR(INDEX(DriverCategory,MATCH($R2263,DriverList,0)),"BAU"))</f>
        <v/>
      </c>
      <c r="U2263" s="34" t="str">
        <f aca="false">IF($R2263="","",IFERROR(INDEX(DriverRank,MATCH($R2263,DriverList,0)),99))</f>
        <v/>
      </c>
      <c r="V2263" s="35" t="n">
        <f aca="false">IF($H2263="",0,IFERROR(INDEX(LevelBasic,MATCH($H2263,LevelList,0))+INDEX(LevelHousing,MATCH($H2263,LevelList,0))+INDEX(LevelTransport,MATCH($H2263,LevelList,0))+INDEX(LevelBasic,MATCH($H2263,LevelList,0))*INDEX(LevelBonus,MATCH($H2263,LevelList,0))+(INDEX(LevelBasic,MATCH($H2263,LevelList,0))+INDEX(LevelHousing,MATCH($H2263,LevelList,0)))*GosiSaudi,0))</f>
        <v>0</v>
      </c>
      <c r="W2263" s="35" t="n">
        <f aca="false">IFERROR(INDEX(LevelOneOff,MATCH($H2263,LevelList,0)),0)</f>
        <v>0</v>
      </c>
      <c r="X2263" s="35" t="str">
        <f aca="false">IF($G2263="","",$V2263*N($L2263))</f>
        <v/>
      </c>
      <c r="Y2263" s="35" t="str">
        <f aca="false">IF($G2263="","",$V2263*(N($M2263)*1+N($N2263)*0.75+N($O2263)*0.5+N($P2263)*0.25)+$W2263*N($L2263))</f>
        <v/>
      </c>
      <c r="Z2263" s="35" t="str">
        <f aca="false">IF($G2263="","",$U2263*1000000+ROW())</f>
        <v/>
      </c>
      <c r="AA2263" s="36" t="str">
        <f aca="false">IF($G2263="","",MID(IF($C2263="",", no division","")&amp;IF($E2263="",", no unit","")&amp;IF($H2263="",", no career level","")&amp;IF(N($L2263)&lt;=0,", no quarter split","")&amp;IF($R2263="",", no driver","")&amp;IF(AND($H2263&lt;&gt;"",COUNTIF(CareerLevels,$H2263)=0),", a career level that is not on the ladder","")&amp;IF(AND($R2263&lt;&gt;"",COUNTIF(DriverList,$R2263)=0),", a driver that is not on the list","")&amp;IF(ABS(N($L2263)-(N($M2263)+N($N2263)+N($O2263)+N($P2263)))&gt;0.001,", a total that does not match its quarters",""),3,300))</f>
        <v/>
      </c>
    </row>
    <row r="2264" customFormat="false" ht="15" hidden="false" customHeight="false" outlineLevel="0" collapsed="false">
      <c r="A2264" s="33" t="str">
        <f aca="false">IF($G2264="","","Treasury &amp; Investments Group")</f>
        <v/>
      </c>
      <c r="B2264" s="19"/>
      <c r="C2264" s="19"/>
      <c r="D2264" s="19"/>
      <c r="E2264" s="19"/>
      <c r="F2264" s="19"/>
      <c r="G2264" s="19"/>
      <c r="H2264" s="19"/>
      <c r="I2264" s="19"/>
      <c r="J2264" s="19"/>
      <c r="K2264" s="19"/>
      <c r="L2264" s="19"/>
      <c r="M2264" s="19"/>
      <c r="N2264" s="19"/>
      <c r="O2264" s="19"/>
      <c r="P2264" s="19"/>
      <c r="Q2264" s="19"/>
      <c r="R2264" s="19"/>
      <c r="S2264" s="19"/>
      <c r="T2264" s="34" t="str">
        <f aca="false">IF($R2264="","",IFERROR(INDEX(DriverCategory,MATCH($R2264,DriverList,0)),"BAU"))</f>
        <v/>
      </c>
      <c r="U2264" s="34" t="str">
        <f aca="false">IF($R2264="","",IFERROR(INDEX(DriverRank,MATCH($R2264,DriverList,0)),99))</f>
        <v/>
      </c>
      <c r="V2264" s="35" t="n">
        <f aca="false">IF($H2264="",0,IFERROR(INDEX(LevelBasic,MATCH($H2264,LevelList,0))+INDEX(LevelHousing,MATCH($H2264,LevelList,0))+INDEX(LevelTransport,MATCH($H2264,LevelList,0))+INDEX(LevelBasic,MATCH($H2264,LevelList,0))*INDEX(LevelBonus,MATCH($H2264,LevelList,0))+(INDEX(LevelBasic,MATCH($H2264,LevelList,0))+INDEX(LevelHousing,MATCH($H2264,LevelList,0)))*GosiSaudi,0))</f>
        <v>0</v>
      </c>
      <c r="W2264" s="35" t="n">
        <f aca="false">IFERROR(INDEX(LevelOneOff,MATCH($H2264,LevelList,0)),0)</f>
        <v>0</v>
      </c>
      <c r="X2264" s="35" t="str">
        <f aca="false">IF($G2264="","",$V2264*N($L2264))</f>
        <v/>
      </c>
      <c r="Y2264" s="35" t="str">
        <f aca="false">IF($G2264="","",$V2264*(N($M2264)*1+N($N2264)*0.75+N($O2264)*0.5+N($P2264)*0.25)+$W2264*N($L2264))</f>
        <v/>
      </c>
      <c r="Z2264" s="35" t="str">
        <f aca="false">IF($G2264="","",$U2264*1000000+ROW())</f>
        <v/>
      </c>
      <c r="AA2264" s="36" t="str">
        <f aca="false">IF($G2264="","",MID(IF($C2264="",", no division","")&amp;IF($E2264="",", no unit","")&amp;IF($H2264="",", no career level","")&amp;IF(N($L2264)&lt;=0,", no quarter split","")&amp;IF($R2264="",", no driver","")&amp;IF(AND($H2264&lt;&gt;"",COUNTIF(CareerLevels,$H2264)=0),", a career level that is not on the ladder","")&amp;IF(AND($R2264&lt;&gt;"",COUNTIF(DriverList,$R2264)=0),", a driver that is not on the list","")&amp;IF(ABS(N($L2264)-(N($M2264)+N($N2264)+N($O2264)+N($P2264)))&gt;0.001,", a total that does not match its quarters",""),3,300))</f>
        <v/>
      </c>
    </row>
    <row r="2265" customFormat="false" ht="15" hidden="false" customHeight="false" outlineLevel="0" collapsed="false">
      <c r="A2265" s="33" t="str">
        <f aca="false">IF($G2265="","","Treasury &amp; Investments Group")</f>
        <v/>
      </c>
      <c r="B2265" s="19"/>
      <c r="C2265" s="19"/>
      <c r="D2265" s="19"/>
      <c r="E2265" s="19"/>
      <c r="F2265" s="19"/>
      <c r="G2265" s="19"/>
      <c r="H2265" s="19"/>
      <c r="I2265" s="19"/>
      <c r="J2265" s="19"/>
      <c r="K2265" s="19"/>
      <c r="L2265" s="19"/>
      <c r="M2265" s="19"/>
      <c r="N2265" s="19"/>
      <c r="O2265" s="19"/>
      <c r="P2265" s="19"/>
      <c r="Q2265" s="19"/>
      <c r="R2265" s="19"/>
      <c r="S2265" s="19"/>
      <c r="T2265" s="34" t="str">
        <f aca="false">IF($R2265="","",IFERROR(INDEX(DriverCategory,MATCH($R2265,DriverList,0)),"BAU"))</f>
        <v/>
      </c>
      <c r="U2265" s="34" t="str">
        <f aca="false">IF($R2265="","",IFERROR(INDEX(DriverRank,MATCH($R2265,DriverList,0)),99))</f>
        <v/>
      </c>
      <c r="V2265" s="35" t="n">
        <f aca="false">IF($H2265="",0,IFERROR(INDEX(LevelBasic,MATCH($H2265,LevelList,0))+INDEX(LevelHousing,MATCH($H2265,LevelList,0))+INDEX(LevelTransport,MATCH($H2265,LevelList,0))+INDEX(LevelBasic,MATCH($H2265,LevelList,0))*INDEX(LevelBonus,MATCH($H2265,LevelList,0))+(INDEX(LevelBasic,MATCH($H2265,LevelList,0))+INDEX(LevelHousing,MATCH($H2265,LevelList,0)))*GosiSaudi,0))</f>
        <v>0</v>
      </c>
      <c r="W2265" s="35" t="n">
        <f aca="false">IFERROR(INDEX(LevelOneOff,MATCH($H2265,LevelList,0)),0)</f>
        <v>0</v>
      </c>
      <c r="X2265" s="35" t="str">
        <f aca="false">IF($G2265="","",$V2265*N($L2265))</f>
        <v/>
      </c>
      <c r="Y2265" s="35" t="str">
        <f aca="false">IF($G2265="","",$V2265*(N($M2265)*1+N($N2265)*0.75+N($O2265)*0.5+N($P2265)*0.25)+$W2265*N($L2265))</f>
        <v/>
      </c>
      <c r="Z2265" s="35" t="str">
        <f aca="false">IF($G2265="","",$U2265*1000000+ROW())</f>
        <v/>
      </c>
      <c r="AA2265" s="36" t="str">
        <f aca="false">IF($G2265="","",MID(IF($C2265="",", no division","")&amp;IF($E2265="",", no unit","")&amp;IF($H2265="",", no career level","")&amp;IF(N($L2265)&lt;=0,", no quarter split","")&amp;IF($R2265="",", no driver","")&amp;IF(AND($H2265&lt;&gt;"",COUNTIF(CareerLevels,$H2265)=0),", a career level that is not on the ladder","")&amp;IF(AND($R2265&lt;&gt;"",COUNTIF(DriverList,$R2265)=0),", a driver that is not on the list","")&amp;IF(ABS(N($L2265)-(N($M2265)+N($N2265)+N($O2265)+N($P2265)))&gt;0.001,", a total that does not match its quarters",""),3,300))</f>
        <v/>
      </c>
    </row>
    <row r="2266" customFormat="false" ht="15" hidden="false" customHeight="false" outlineLevel="0" collapsed="false">
      <c r="A2266" s="33" t="str">
        <f aca="false">IF($G2266="","","Treasury &amp; Investments Group")</f>
        <v/>
      </c>
      <c r="B2266" s="19"/>
      <c r="C2266" s="19"/>
      <c r="D2266" s="19"/>
      <c r="E2266" s="19"/>
      <c r="F2266" s="19"/>
      <c r="G2266" s="19"/>
      <c r="H2266" s="19"/>
      <c r="I2266" s="19"/>
      <c r="J2266" s="19"/>
      <c r="K2266" s="19"/>
      <c r="L2266" s="19"/>
      <c r="M2266" s="19"/>
      <c r="N2266" s="19"/>
      <c r="O2266" s="19"/>
      <c r="P2266" s="19"/>
      <c r="Q2266" s="19"/>
      <c r="R2266" s="19"/>
      <c r="S2266" s="19"/>
      <c r="T2266" s="34" t="str">
        <f aca="false">IF($R2266="","",IFERROR(INDEX(DriverCategory,MATCH($R2266,DriverList,0)),"BAU"))</f>
        <v/>
      </c>
      <c r="U2266" s="34" t="str">
        <f aca="false">IF($R2266="","",IFERROR(INDEX(DriverRank,MATCH($R2266,DriverList,0)),99))</f>
        <v/>
      </c>
      <c r="V2266" s="35" t="n">
        <f aca="false">IF($H2266="",0,IFERROR(INDEX(LevelBasic,MATCH($H2266,LevelList,0))+INDEX(LevelHousing,MATCH($H2266,LevelList,0))+INDEX(LevelTransport,MATCH($H2266,LevelList,0))+INDEX(LevelBasic,MATCH($H2266,LevelList,0))*INDEX(LevelBonus,MATCH($H2266,LevelList,0))+(INDEX(LevelBasic,MATCH($H2266,LevelList,0))+INDEX(LevelHousing,MATCH($H2266,LevelList,0)))*GosiSaudi,0))</f>
        <v>0</v>
      </c>
      <c r="W2266" s="35" t="n">
        <f aca="false">IFERROR(INDEX(LevelOneOff,MATCH($H2266,LevelList,0)),0)</f>
        <v>0</v>
      </c>
      <c r="X2266" s="35" t="str">
        <f aca="false">IF($G2266="","",$V2266*N($L2266))</f>
        <v/>
      </c>
      <c r="Y2266" s="35" t="str">
        <f aca="false">IF($G2266="","",$V2266*(N($M2266)*1+N($N2266)*0.75+N($O2266)*0.5+N($P2266)*0.25)+$W2266*N($L2266))</f>
        <v/>
      </c>
      <c r="Z2266" s="35" t="str">
        <f aca="false">IF($G2266="","",$U2266*1000000+ROW())</f>
        <v/>
      </c>
      <c r="AA2266" s="36" t="str">
        <f aca="false">IF($G2266="","",MID(IF($C2266="",", no division","")&amp;IF($E2266="",", no unit","")&amp;IF($H2266="",", no career level","")&amp;IF(N($L2266)&lt;=0,", no quarter split","")&amp;IF($R2266="",", no driver","")&amp;IF(AND($H2266&lt;&gt;"",COUNTIF(CareerLevels,$H2266)=0),", a career level that is not on the ladder","")&amp;IF(AND($R2266&lt;&gt;"",COUNTIF(DriverList,$R2266)=0),", a driver that is not on the list","")&amp;IF(ABS(N($L2266)-(N($M2266)+N($N2266)+N($O2266)+N($P2266)))&gt;0.001,", a total that does not match its quarters",""),3,300))</f>
        <v/>
      </c>
    </row>
    <row r="2267" customFormat="false" ht="15" hidden="false" customHeight="false" outlineLevel="0" collapsed="false">
      <c r="A2267" s="33" t="str">
        <f aca="false">IF($G2267="","","Treasury &amp; Investments Group")</f>
        <v/>
      </c>
      <c r="B2267" s="19"/>
      <c r="C2267" s="19"/>
      <c r="D2267" s="19"/>
      <c r="E2267" s="19"/>
      <c r="F2267" s="19"/>
      <c r="G2267" s="19"/>
      <c r="H2267" s="19"/>
      <c r="I2267" s="19"/>
      <c r="J2267" s="19"/>
      <c r="K2267" s="19"/>
      <c r="L2267" s="19"/>
      <c r="M2267" s="19"/>
      <c r="N2267" s="19"/>
      <c r="O2267" s="19"/>
      <c r="P2267" s="19"/>
      <c r="Q2267" s="19"/>
      <c r="R2267" s="19"/>
      <c r="S2267" s="19"/>
      <c r="T2267" s="34" t="str">
        <f aca="false">IF($R2267="","",IFERROR(INDEX(DriverCategory,MATCH($R2267,DriverList,0)),"BAU"))</f>
        <v/>
      </c>
      <c r="U2267" s="34" t="str">
        <f aca="false">IF($R2267="","",IFERROR(INDEX(DriverRank,MATCH($R2267,DriverList,0)),99))</f>
        <v/>
      </c>
      <c r="V2267" s="35" t="n">
        <f aca="false">IF($H2267="",0,IFERROR(INDEX(LevelBasic,MATCH($H2267,LevelList,0))+INDEX(LevelHousing,MATCH($H2267,LevelList,0))+INDEX(LevelTransport,MATCH($H2267,LevelList,0))+INDEX(LevelBasic,MATCH($H2267,LevelList,0))*INDEX(LevelBonus,MATCH($H2267,LevelList,0))+(INDEX(LevelBasic,MATCH($H2267,LevelList,0))+INDEX(LevelHousing,MATCH($H2267,LevelList,0)))*GosiSaudi,0))</f>
        <v>0</v>
      </c>
      <c r="W2267" s="35" t="n">
        <f aca="false">IFERROR(INDEX(LevelOneOff,MATCH($H2267,LevelList,0)),0)</f>
        <v>0</v>
      </c>
      <c r="X2267" s="35" t="str">
        <f aca="false">IF($G2267="","",$V2267*N($L2267))</f>
        <v/>
      </c>
      <c r="Y2267" s="35" t="str">
        <f aca="false">IF($G2267="","",$V2267*(N($M2267)*1+N($N2267)*0.75+N($O2267)*0.5+N($P2267)*0.25)+$W2267*N($L2267))</f>
        <v/>
      </c>
      <c r="Z2267" s="35" t="str">
        <f aca="false">IF($G2267="","",$U2267*1000000+ROW())</f>
        <v/>
      </c>
      <c r="AA2267" s="36" t="str">
        <f aca="false">IF($G2267="","",MID(IF($C2267="",", no division","")&amp;IF($E2267="",", no unit","")&amp;IF($H2267="",", no career level","")&amp;IF(N($L2267)&lt;=0,", no quarter split","")&amp;IF($R2267="",", no driver","")&amp;IF(AND($H2267&lt;&gt;"",COUNTIF(CareerLevels,$H2267)=0),", a career level that is not on the ladder","")&amp;IF(AND($R2267&lt;&gt;"",COUNTIF(DriverList,$R2267)=0),", a driver that is not on the list","")&amp;IF(ABS(N($L2267)-(N($M2267)+N($N2267)+N($O2267)+N($P2267)))&gt;0.001,", a total that does not match its quarters",""),3,300))</f>
        <v/>
      </c>
    </row>
    <row r="2268" customFormat="false" ht="15" hidden="false" customHeight="false" outlineLevel="0" collapsed="false">
      <c r="A2268" s="33" t="str">
        <f aca="false">IF($G2268="","","Treasury &amp; Investments Group")</f>
        <v/>
      </c>
      <c r="B2268" s="19"/>
      <c r="C2268" s="19"/>
      <c r="D2268" s="19"/>
      <c r="E2268" s="19"/>
      <c r="F2268" s="19"/>
      <c r="G2268" s="19"/>
      <c r="H2268" s="19"/>
      <c r="I2268" s="19"/>
      <c r="J2268" s="19"/>
      <c r="K2268" s="19"/>
      <c r="L2268" s="19"/>
      <c r="M2268" s="19"/>
      <c r="N2268" s="19"/>
      <c r="O2268" s="19"/>
      <c r="P2268" s="19"/>
      <c r="Q2268" s="19"/>
      <c r="R2268" s="19"/>
      <c r="S2268" s="19"/>
      <c r="T2268" s="34" t="str">
        <f aca="false">IF($R2268="","",IFERROR(INDEX(DriverCategory,MATCH($R2268,DriverList,0)),"BAU"))</f>
        <v/>
      </c>
      <c r="U2268" s="34" t="str">
        <f aca="false">IF($R2268="","",IFERROR(INDEX(DriverRank,MATCH($R2268,DriverList,0)),99))</f>
        <v/>
      </c>
      <c r="V2268" s="35" t="n">
        <f aca="false">IF($H2268="",0,IFERROR(INDEX(LevelBasic,MATCH($H2268,LevelList,0))+INDEX(LevelHousing,MATCH($H2268,LevelList,0))+INDEX(LevelTransport,MATCH($H2268,LevelList,0))+INDEX(LevelBasic,MATCH($H2268,LevelList,0))*INDEX(LevelBonus,MATCH($H2268,LevelList,0))+(INDEX(LevelBasic,MATCH($H2268,LevelList,0))+INDEX(LevelHousing,MATCH($H2268,LevelList,0)))*GosiSaudi,0))</f>
        <v>0</v>
      </c>
      <c r="W2268" s="35" t="n">
        <f aca="false">IFERROR(INDEX(LevelOneOff,MATCH($H2268,LevelList,0)),0)</f>
        <v>0</v>
      </c>
      <c r="X2268" s="35" t="str">
        <f aca="false">IF($G2268="","",$V2268*N($L2268))</f>
        <v/>
      </c>
      <c r="Y2268" s="35" t="str">
        <f aca="false">IF($G2268="","",$V2268*(N($M2268)*1+N($N2268)*0.75+N($O2268)*0.5+N($P2268)*0.25)+$W2268*N($L2268))</f>
        <v/>
      </c>
      <c r="Z2268" s="35" t="str">
        <f aca="false">IF($G2268="","",$U2268*1000000+ROW())</f>
        <v/>
      </c>
      <c r="AA2268" s="36" t="str">
        <f aca="false">IF($G2268="","",MID(IF($C2268="",", no division","")&amp;IF($E2268="",", no unit","")&amp;IF($H2268="",", no career level","")&amp;IF(N($L2268)&lt;=0,", no quarter split","")&amp;IF($R2268="",", no driver","")&amp;IF(AND($H2268&lt;&gt;"",COUNTIF(CareerLevels,$H2268)=0),", a career level that is not on the ladder","")&amp;IF(AND($R2268&lt;&gt;"",COUNTIF(DriverList,$R2268)=0),", a driver that is not on the list","")&amp;IF(ABS(N($L2268)-(N($M2268)+N($N2268)+N($O2268)+N($P2268)))&gt;0.001,", a total that does not match its quarters",""),3,300))</f>
        <v/>
      </c>
    </row>
    <row r="2269" customFormat="false" ht="15" hidden="false" customHeight="false" outlineLevel="0" collapsed="false">
      <c r="A2269" s="33" t="str">
        <f aca="false">IF($G2269="","","Treasury &amp; Investments Group")</f>
        <v/>
      </c>
      <c r="B2269" s="19"/>
      <c r="C2269" s="19"/>
      <c r="D2269" s="19"/>
      <c r="E2269" s="19"/>
      <c r="F2269" s="19"/>
      <c r="G2269" s="19"/>
      <c r="H2269" s="19"/>
      <c r="I2269" s="19"/>
      <c r="J2269" s="19"/>
      <c r="K2269" s="19"/>
      <c r="L2269" s="19"/>
      <c r="M2269" s="19"/>
      <c r="N2269" s="19"/>
      <c r="O2269" s="19"/>
      <c r="P2269" s="19"/>
      <c r="Q2269" s="19"/>
      <c r="R2269" s="19"/>
      <c r="S2269" s="19"/>
      <c r="T2269" s="34" t="str">
        <f aca="false">IF($R2269="","",IFERROR(INDEX(DriverCategory,MATCH($R2269,DriverList,0)),"BAU"))</f>
        <v/>
      </c>
      <c r="U2269" s="34" t="str">
        <f aca="false">IF($R2269="","",IFERROR(INDEX(DriverRank,MATCH($R2269,DriverList,0)),99))</f>
        <v/>
      </c>
      <c r="V2269" s="35" t="n">
        <f aca="false">IF($H2269="",0,IFERROR(INDEX(LevelBasic,MATCH($H2269,LevelList,0))+INDEX(LevelHousing,MATCH($H2269,LevelList,0))+INDEX(LevelTransport,MATCH($H2269,LevelList,0))+INDEX(LevelBasic,MATCH($H2269,LevelList,0))*INDEX(LevelBonus,MATCH($H2269,LevelList,0))+(INDEX(LevelBasic,MATCH($H2269,LevelList,0))+INDEX(LevelHousing,MATCH($H2269,LevelList,0)))*GosiSaudi,0))</f>
        <v>0</v>
      </c>
      <c r="W2269" s="35" t="n">
        <f aca="false">IFERROR(INDEX(LevelOneOff,MATCH($H2269,LevelList,0)),0)</f>
        <v>0</v>
      </c>
      <c r="X2269" s="35" t="str">
        <f aca="false">IF($G2269="","",$V2269*N($L2269))</f>
        <v/>
      </c>
      <c r="Y2269" s="35" t="str">
        <f aca="false">IF($G2269="","",$V2269*(N($M2269)*1+N($N2269)*0.75+N($O2269)*0.5+N($P2269)*0.25)+$W2269*N($L2269))</f>
        <v/>
      </c>
      <c r="Z2269" s="35" t="str">
        <f aca="false">IF($G2269="","",$U2269*1000000+ROW())</f>
        <v/>
      </c>
      <c r="AA2269" s="36" t="str">
        <f aca="false">IF($G2269="","",MID(IF($C2269="",", no division","")&amp;IF($E2269="",", no unit","")&amp;IF($H2269="",", no career level","")&amp;IF(N($L2269)&lt;=0,", no quarter split","")&amp;IF($R2269="",", no driver","")&amp;IF(AND($H2269&lt;&gt;"",COUNTIF(CareerLevels,$H2269)=0),", a career level that is not on the ladder","")&amp;IF(AND($R2269&lt;&gt;"",COUNTIF(DriverList,$R2269)=0),", a driver that is not on the list","")&amp;IF(ABS(N($L2269)-(N($M2269)+N($N2269)+N($O2269)+N($P2269)))&gt;0.001,", a total that does not match its quarters",""),3,300))</f>
        <v/>
      </c>
    </row>
    <row r="2270" customFormat="false" ht="15" hidden="false" customHeight="false" outlineLevel="0" collapsed="false">
      <c r="A2270" s="33" t="str">
        <f aca="false">IF($G2270="","","Treasury &amp; Investments Group")</f>
        <v/>
      </c>
      <c r="B2270" s="19"/>
      <c r="C2270" s="19"/>
      <c r="D2270" s="19"/>
      <c r="E2270" s="19"/>
      <c r="F2270" s="19"/>
      <c r="G2270" s="19"/>
      <c r="H2270" s="19"/>
      <c r="I2270" s="19"/>
      <c r="J2270" s="19"/>
      <c r="K2270" s="19"/>
      <c r="L2270" s="19"/>
      <c r="M2270" s="19"/>
      <c r="N2270" s="19"/>
      <c r="O2270" s="19"/>
      <c r="P2270" s="19"/>
      <c r="Q2270" s="19"/>
      <c r="R2270" s="19"/>
      <c r="S2270" s="19"/>
      <c r="T2270" s="34" t="str">
        <f aca="false">IF($R2270="","",IFERROR(INDEX(DriverCategory,MATCH($R2270,DriverList,0)),"BAU"))</f>
        <v/>
      </c>
      <c r="U2270" s="34" t="str">
        <f aca="false">IF($R2270="","",IFERROR(INDEX(DriverRank,MATCH($R2270,DriverList,0)),99))</f>
        <v/>
      </c>
      <c r="V2270" s="35" t="n">
        <f aca="false">IF($H2270="",0,IFERROR(INDEX(LevelBasic,MATCH($H2270,LevelList,0))+INDEX(LevelHousing,MATCH($H2270,LevelList,0))+INDEX(LevelTransport,MATCH($H2270,LevelList,0))+INDEX(LevelBasic,MATCH($H2270,LevelList,0))*INDEX(LevelBonus,MATCH($H2270,LevelList,0))+(INDEX(LevelBasic,MATCH($H2270,LevelList,0))+INDEX(LevelHousing,MATCH($H2270,LevelList,0)))*GosiSaudi,0))</f>
        <v>0</v>
      </c>
      <c r="W2270" s="35" t="n">
        <f aca="false">IFERROR(INDEX(LevelOneOff,MATCH($H2270,LevelList,0)),0)</f>
        <v>0</v>
      </c>
      <c r="X2270" s="35" t="str">
        <f aca="false">IF($G2270="","",$V2270*N($L2270))</f>
        <v/>
      </c>
      <c r="Y2270" s="35" t="str">
        <f aca="false">IF($G2270="","",$V2270*(N($M2270)*1+N($N2270)*0.75+N($O2270)*0.5+N($P2270)*0.25)+$W2270*N($L2270))</f>
        <v/>
      </c>
      <c r="Z2270" s="35" t="str">
        <f aca="false">IF($G2270="","",$U2270*1000000+ROW())</f>
        <v/>
      </c>
      <c r="AA2270" s="36" t="str">
        <f aca="false">IF($G2270="","",MID(IF($C2270="",", no division","")&amp;IF($E2270="",", no unit","")&amp;IF($H2270="",", no career level","")&amp;IF(N($L2270)&lt;=0,", no quarter split","")&amp;IF($R2270="",", no driver","")&amp;IF(AND($H2270&lt;&gt;"",COUNTIF(CareerLevels,$H2270)=0),", a career level that is not on the ladder","")&amp;IF(AND($R2270&lt;&gt;"",COUNTIF(DriverList,$R2270)=0),", a driver that is not on the list","")&amp;IF(ABS(N($L2270)-(N($M2270)+N($N2270)+N($O2270)+N($P2270)))&gt;0.001,", a total that does not match its quarters",""),3,300))</f>
        <v/>
      </c>
    </row>
    <row r="2271" customFormat="false" ht="15" hidden="false" customHeight="false" outlineLevel="0" collapsed="false">
      <c r="A2271" s="33" t="str">
        <f aca="false">IF($G2271="","","Treasury &amp; Investments Group")</f>
        <v/>
      </c>
      <c r="B2271" s="19"/>
      <c r="C2271" s="19"/>
      <c r="D2271" s="19"/>
      <c r="E2271" s="19"/>
      <c r="F2271" s="19"/>
      <c r="G2271" s="19"/>
      <c r="H2271" s="19"/>
      <c r="I2271" s="19"/>
      <c r="J2271" s="19"/>
      <c r="K2271" s="19"/>
      <c r="L2271" s="19"/>
      <c r="M2271" s="19"/>
      <c r="N2271" s="19"/>
      <c r="O2271" s="19"/>
      <c r="P2271" s="19"/>
      <c r="Q2271" s="19"/>
      <c r="R2271" s="19"/>
      <c r="S2271" s="19"/>
      <c r="T2271" s="34" t="str">
        <f aca="false">IF($R2271="","",IFERROR(INDEX(DriverCategory,MATCH($R2271,DriverList,0)),"BAU"))</f>
        <v/>
      </c>
      <c r="U2271" s="34" t="str">
        <f aca="false">IF($R2271="","",IFERROR(INDEX(DriverRank,MATCH($R2271,DriverList,0)),99))</f>
        <v/>
      </c>
      <c r="V2271" s="35" t="n">
        <f aca="false">IF($H2271="",0,IFERROR(INDEX(LevelBasic,MATCH($H2271,LevelList,0))+INDEX(LevelHousing,MATCH($H2271,LevelList,0))+INDEX(LevelTransport,MATCH($H2271,LevelList,0))+INDEX(LevelBasic,MATCH($H2271,LevelList,0))*INDEX(LevelBonus,MATCH($H2271,LevelList,0))+(INDEX(LevelBasic,MATCH($H2271,LevelList,0))+INDEX(LevelHousing,MATCH($H2271,LevelList,0)))*GosiSaudi,0))</f>
        <v>0</v>
      </c>
      <c r="W2271" s="35" t="n">
        <f aca="false">IFERROR(INDEX(LevelOneOff,MATCH($H2271,LevelList,0)),0)</f>
        <v>0</v>
      </c>
      <c r="X2271" s="35" t="str">
        <f aca="false">IF($G2271="","",$V2271*N($L2271))</f>
        <v/>
      </c>
      <c r="Y2271" s="35" t="str">
        <f aca="false">IF($G2271="","",$V2271*(N($M2271)*1+N($N2271)*0.75+N($O2271)*0.5+N($P2271)*0.25)+$W2271*N($L2271))</f>
        <v/>
      </c>
      <c r="Z2271" s="35" t="str">
        <f aca="false">IF($G2271="","",$U2271*1000000+ROW())</f>
        <v/>
      </c>
      <c r="AA2271" s="36" t="str">
        <f aca="false">IF($G2271="","",MID(IF($C2271="",", no division","")&amp;IF($E2271="",", no unit","")&amp;IF($H2271="",", no career level","")&amp;IF(N($L2271)&lt;=0,", no quarter split","")&amp;IF($R2271="",", no driver","")&amp;IF(AND($H2271&lt;&gt;"",COUNTIF(CareerLevels,$H2271)=0),", a career level that is not on the ladder","")&amp;IF(AND($R2271&lt;&gt;"",COUNTIF(DriverList,$R2271)=0),", a driver that is not on the list","")&amp;IF(ABS(N($L2271)-(N($M2271)+N($N2271)+N($O2271)+N($P2271)))&gt;0.001,", a total that does not match its quarters",""),3,300))</f>
        <v/>
      </c>
    </row>
    <row r="2272" customFormat="false" ht="15" hidden="false" customHeight="false" outlineLevel="0" collapsed="false">
      <c r="A2272" s="33" t="str">
        <f aca="false">IF($G2272="","","Treasury &amp; Investments Group")</f>
        <v/>
      </c>
      <c r="B2272" s="19"/>
      <c r="C2272" s="19"/>
      <c r="D2272" s="19"/>
      <c r="E2272" s="19"/>
      <c r="F2272" s="19"/>
      <c r="G2272" s="19"/>
      <c r="H2272" s="19"/>
      <c r="I2272" s="19"/>
      <c r="J2272" s="19"/>
      <c r="K2272" s="19"/>
      <c r="L2272" s="19"/>
      <c r="M2272" s="19"/>
      <c r="N2272" s="19"/>
      <c r="O2272" s="19"/>
      <c r="P2272" s="19"/>
      <c r="Q2272" s="19"/>
      <c r="R2272" s="19"/>
      <c r="S2272" s="19"/>
      <c r="T2272" s="34" t="str">
        <f aca="false">IF($R2272="","",IFERROR(INDEX(DriverCategory,MATCH($R2272,DriverList,0)),"BAU"))</f>
        <v/>
      </c>
      <c r="U2272" s="34" t="str">
        <f aca="false">IF($R2272="","",IFERROR(INDEX(DriverRank,MATCH($R2272,DriverList,0)),99))</f>
        <v/>
      </c>
      <c r="V2272" s="35" t="n">
        <f aca="false">IF($H2272="",0,IFERROR(INDEX(LevelBasic,MATCH($H2272,LevelList,0))+INDEX(LevelHousing,MATCH($H2272,LevelList,0))+INDEX(LevelTransport,MATCH($H2272,LevelList,0))+INDEX(LevelBasic,MATCH($H2272,LevelList,0))*INDEX(LevelBonus,MATCH($H2272,LevelList,0))+(INDEX(LevelBasic,MATCH($H2272,LevelList,0))+INDEX(LevelHousing,MATCH($H2272,LevelList,0)))*GosiSaudi,0))</f>
        <v>0</v>
      </c>
      <c r="W2272" s="35" t="n">
        <f aca="false">IFERROR(INDEX(LevelOneOff,MATCH($H2272,LevelList,0)),0)</f>
        <v>0</v>
      </c>
      <c r="X2272" s="35" t="str">
        <f aca="false">IF($G2272="","",$V2272*N($L2272))</f>
        <v/>
      </c>
      <c r="Y2272" s="35" t="str">
        <f aca="false">IF($G2272="","",$V2272*(N($M2272)*1+N($N2272)*0.75+N($O2272)*0.5+N($P2272)*0.25)+$W2272*N($L2272))</f>
        <v/>
      </c>
      <c r="Z2272" s="35" t="str">
        <f aca="false">IF($G2272="","",$U2272*1000000+ROW())</f>
        <v/>
      </c>
      <c r="AA2272" s="36" t="str">
        <f aca="false">IF($G2272="","",MID(IF($C2272="",", no division","")&amp;IF($E2272="",", no unit","")&amp;IF($H2272="",", no career level","")&amp;IF(N($L2272)&lt;=0,", no quarter split","")&amp;IF($R2272="",", no driver","")&amp;IF(AND($H2272&lt;&gt;"",COUNTIF(CareerLevels,$H2272)=0),", a career level that is not on the ladder","")&amp;IF(AND($R2272&lt;&gt;"",COUNTIF(DriverList,$R2272)=0),", a driver that is not on the list","")&amp;IF(ABS(N($L2272)-(N($M2272)+N($N2272)+N($O2272)+N($P2272)))&gt;0.001,", a total that does not match its quarters",""),3,300))</f>
        <v/>
      </c>
    </row>
    <row r="2273" customFormat="false" ht="15" hidden="false" customHeight="false" outlineLevel="0" collapsed="false">
      <c r="A2273" s="33" t="str">
        <f aca="false">IF($G2273="","","Treasury &amp; Investments Group")</f>
        <v/>
      </c>
      <c r="B2273" s="19"/>
      <c r="C2273" s="19"/>
      <c r="D2273" s="19"/>
      <c r="E2273" s="19"/>
      <c r="F2273" s="19"/>
      <c r="G2273" s="19"/>
      <c r="H2273" s="19"/>
      <c r="I2273" s="19"/>
      <c r="J2273" s="19"/>
      <c r="K2273" s="19"/>
      <c r="L2273" s="19"/>
      <c r="M2273" s="19"/>
      <c r="N2273" s="19"/>
      <c r="O2273" s="19"/>
      <c r="P2273" s="19"/>
      <c r="Q2273" s="19"/>
      <c r="R2273" s="19"/>
      <c r="S2273" s="19"/>
      <c r="T2273" s="34" t="str">
        <f aca="false">IF($R2273="","",IFERROR(INDEX(DriverCategory,MATCH($R2273,DriverList,0)),"BAU"))</f>
        <v/>
      </c>
      <c r="U2273" s="34" t="str">
        <f aca="false">IF($R2273="","",IFERROR(INDEX(DriverRank,MATCH($R2273,DriverList,0)),99))</f>
        <v/>
      </c>
      <c r="V2273" s="35" t="n">
        <f aca="false">IF($H2273="",0,IFERROR(INDEX(LevelBasic,MATCH($H2273,LevelList,0))+INDEX(LevelHousing,MATCH($H2273,LevelList,0))+INDEX(LevelTransport,MATCH($H2273,LevelList,0))+INDEX(LevelBasic,MATCH($H2273,LevelList,0))*INDEX(LevelBonus,MATCH($H2273,LevelList,0))+(INDEX(LevelBasic,MATCH($H2273,LevelList,0))+INDEX(LevelHousing,MATCH($H2273,LevelList,0)))*GosiSaudi,0))</f>
        <v>0</v>
      </c>
      <c r="W2273" s="35" t="n">
        <f aca="false">IFERROR(INDEX(LevelOneOff,MATCH($H2273,LevelList,0)),0)</f>
        <v>0</v>
      </c>
      <c r="X2273" s="35" t="str">
        <f aca="false">IF($G2273="","",$V2273*N($L2273))</f>
        <v/>
      </c>
      <c r="Y2273" s="35" t="str">
        <f aca="false">IF($G2273="","",$V2273*(N($M2273)*1+N($N2273)*0.75+N($O2273)*0.5+N($P2273)*0.25)+$W2273*N($L2273))</f>
        <v/>
      </c>
      <c r="Z2273" s="35" t="str">
        <f aca="false">IF($G2273="","",$U2273*1000000+ROW())</f>
        <v/>
      </c>
      <c r="AA2273" s="36" t="str">
        <f aca="false">IF($G2273="","",MID(IF($C2273="",", no division","")&amp;IF($E2273="",", no unit","")&amp;IF($H2273="",", no career level","")&amp;IF(N($L2273)&lt;=0,", no quarter split","")&amp;IF($R2273="",", no driver","")&amp;IF(AND($H2273&lt;&gt;"",COUNTIF(CareerLevels,$H2273)=0),", a career level that is not on the ladder","")&amp;IF(AND($R2273&lt;&gt;"",COUNTIF(DriverList,$R2273)=0),", a driver that is not on the list","")&amp;IF(ABS(N($L2273)-(N($M2273)+N($N2273)+N($O2273)+N($P2273)))&gt;0.001,", a total that does not match its quarters",""),3,300))</f>
        <v/>
      </c>
    </row>
    <row r="2274" customFormat="false" ht="15" hidden="false" customHeight="false" outlineLevel="0" collapsed="false">
      <c r="A2274" s="33" t="str">
        <f aca="false">IF($G2274="","","Treasury &amp; Investments Group")</f>
        <v/>
      </c>
      <c r="B2274" s="19"/>
      <c r="C2274" s="19"/>
      <c r="D2274" s="19"/>
      <c r="E2274" s="19"/>
      <c r="F2274" s="19"/>
      <c r="G2274" s="19"/>
      <c r="H2274" s="19"/>
      <c r="I2274" s="19"/>
      <c r="J2274" s="19"/>
      <c r="K2274" s="19"/>
      <c r="L2274" s="19"/>
      <c r="M2274" s="19"/>
      <c r="N2274" s="19"/>
      <c r="O2274" s="19"/>
      <c r="P2274" s="19"/>
      <c r="Q2274" s="19"/>
      <c r="R2274" s="19"/>
      <c r="S2274" s="19"/>
      <c r="T2274" s="34" t="str">
        <f aca="false">IF($R2274="","",IFERROR(INDEX(DriverCategory,MATCH($R2274,DriverList,0)),"BAU"))</f>
        <v/>
      </c>
      <c r="U2274" s="34" t="str">
        <f aca="false">IF($R2274="","",IFERROR(INDEX(DriverRank,MATCH($R2274,DriverList,0)),99))</f>
        <v/>
      </c>
      <c r="V2274" s="35" t="n">
        <f aca="false">IF($H2274="",0,IFERROR(INDEX(LevelBasic,MATCH($H2274,LevelList,0))+INDEX(LevelHousing,MATCH($H2274,LevelList,0))+INDEX(LevelTransport,MATCH($H2274,LevelList,0))+INDEX(LevelBasic,MATCH($H2274,LevelList,0))*INDEX(LevelBonus,MATCH($H2274,LevelList,0))+(INDEX(LevelBasic,MATCH($H2274,LevelList,0))+INDEX(LevelHousing,MATCH($H2274,LevelList,0)))*GosiSaudi,0))</f>
        <v>0</v>
      </c>
      <c r="W2274" s="35" t="n">
        <f aca="false">IFERROR(INDEX(LevelOneOff,MATCH($H2274,LevelList,0)),0)</f>
        <v>0</v>
      </c>
      <c r="X2274" s="35" t="str">
        <f aca="false">IF($G2274="","",$V2274*N($L2274))</f>
        <v/>
      </c>
      <c r="Y2274" s="35" t="str">
        <f aca="false">IF($G2274="","",$V2274*(N($M2274)*1+N($N2274)*0.75+N($O2274)*0.5+N($P2274)*0.25)+$W2274*N($L2274))</f>
        <v/>
      </c>
      <c r="Z2274" s="35" t="str">
        <f aca="false">IF($G2274="","",$U2274*1000000+ROW())</f>
        <v/>
      </c>
      <c r="AA2274" s="36" t="str">
        <f aca="false">IF($G2274="","",MID(IF($C2274="",", no division","")&amp;IF($E2274="",", no unit","")&amp;IF($H2274="",", no career level","")&amp;IF(N($L2274)&lt;=0,", no quarter split","")&amp;IF($R2274="",", no driver","")&amp;IF(AND($H2274&lt;&gt;"",COUNTIF(CareerLevels,$H2274)=0),", a career level that is not on the ladder","")&amp;IF(AND($R2274&lt;&gt;"",COUNTIF(DriverList,$R2274)=0),", a driver that is not on the list","")&amp;IF(ABS(N($L2274)-(N($M2274)+N($N2274)+N($O2274)+N($P2274)))&gt;0.001,", a total that does not match its quarters",""),3,300))</f>
        <v/>
      </c>
    </row>
    <row r="2275" customFormat="false" ht="15" hidden="false" customHeight="false" outlineLevel="0" collapsed="false">
      <c r="A2275" s="33" t="str">
        <f aca="false">IF($G2275="","","Treasury &amp; Investments Group")</f>
        <v/>
      </c>
      <c r="B2275" s="19"/>
      <c r="C2275" s="19"/>
      <c r="D2275" s="19"/>
      <c r="E2275" s="19"/>
      <c r="F2275" s="19"/>
      <c r="G2275" s="19"/>
      <c r="H2275" s="19"/>
      <c r="I2275" s="19"/>
      <c r="J2275" s="19"/>
      <c r="K2275" s="19"/>
      <c r="L2275" s="19"/>
      <c r="M2275" s="19"/>
      <c r="N2275" s="19"/>
      <c r="O2275" s="19"/>
      <c r="P2275" s="19"/>
      <c r="Q2275" s="19"/>
      <c r="R2275" s="19"/>
      <c r="S2275" s="19"/>
      <c r="T2275" s="34" t="str">
        <f aca="false">IF($R2275="","",IFERROR(INDEX(DriverCategory,MATCH($R2275,DriverList,0)),"BAU"))</f>
        <v/>
      </c>
      <c r="U2275" s="34" t="str">
        <f aca="false">IF($R2275="","",IFERROR(INDEX(DriverRank,MATCH($R2275,DriverList,0)),99))</f>
        <v/>
      </c>
      <c r="V2275" s="35" t="n">
        <f aca="false">IF($H2275="",0,IFERROR(INDEX(LevelBasic,MATCH($H2275,LevelList,0))+INDEX(LevelHousing,MATCH($H2275,LevelList,0))+INDEX(LevelTransport,MATCH($H2275,LevelList,0))+INDEX(LevelBasic,MATCH($H2275,LevelList,0))*INDEX(LevelBonus,MATCH($H2275,LevelList,0))+(INDEX(LevelBasic,MATCH($H2275,LevelList,0))+INDEX(LevelHousing,MATCH($H2275,LevelList,0)))*GosiSaudi,0))</f>
        <v>0</v>
      </c>
      <c r="W2275" s="35" t="n">
        <f aca="false">IFERROR(INDEX(LevelOneOff,MATCH($H2275,LevelList,0)),0)</f>
        <v>0</v>
      </c>
      <c r="X2275" s="35" t="str">
        <f aca="false">IF($G2275="","",$V2275*N($L2275))</f>
        <v/>
      </c>
      <c r="Y2275" s="35" t="str">
        <f aca="false">IF($G2275="","",$V2275*(N($M2275)*1+N($N2275)*0.75+N($O2275)*0.5+N($P2275)*0.25)+$W2275*N($L2275))</f>
        <v/>
      </c>
      <c r="Z2275" s="35" t="str">
        <f aca="false">IF($G2275="","",$U2275*1000000+ROW())</f>
        <v/>
      </c>
      <c r="AA2275" s="36" t="str">
        <f aca="false">IF($G2275="","",MID(IF($C2275="",", no division","")&amp;IF($E2275="",", no unit","")&amp;IF($H2275="",", no career level","")&amp;IF(N($L2275)&lt;=0,", no quarter split","")&amp;IF($R2275="",", no driver","")&amp;IF(AND($H2275&lt;&gt;"",COUNTIF(CareerLevels,$H2275)=0),", a career level that is not on the ladder","")&amp;IF(AND($R2275&lt;&gt;"",COUNTIF(DriverList,$R2275)=0),", a driver that is not on the list","")&amp;IF(ABS(N($L2275)-(N($M2275)+N($N2275)+N($O2275)+N($P2275)))&gt;0.001,", a total that does not match its quarters",""),3,300))</f>
        <v/>
      </c>
    </row>
    <row r="2276" customFormat="false" ht="15" hidden="false" customHeight="false" outlineLevel="0" collapsed="false">
      <c r="A2276" s="33" t="str">
        <f aca="false">IF($G2276="","","Treasury &amp; Investments Group")</f>
        <v/>
      </c>
      <c r="B2276" s="19"/>
      <c r="C2276" s="19"/>
      <c r="D2276" s="19"/>
      <c r="E2276" s="19"/>
      <c r="F2276" s="19"/>
      <c r="G2276" s="19"/>
      <c r="H2276" s="19"/>
      <c r="I2276" s="19"/>
      <c r="J2276" s="19"/>
      <c r="K2276" s="19"/>
      <c r="L2276" s="19"/>
      <c r="M2276" s="19"/>
      <c r="N2276" s="19"/>
      <c r="O2276" s="19"/>
      <c r="P2276" s="19"/>
      <c r="Q2276" s="19"/>
      <c r="R2276" s="19"/>
      <c r="S2276" s="19"/>
      <c r="T2276" s="34" t="str">
        <f aca="false">IF($R2276="","",IFERROR(INDEX(DriverCategory,MATCH($R2276,DriverList,0)),"BAU"))</f>
        <v/>
      </c>
      <c r="U2276" s="34" t="str">
        <f aca="false">IF($R2276="","",IFERROR(INDEX(DriverRank,MATCH($R2276,DriverList,0)),99))</f>
        <v/>
      </c>
      <c r="V2276" s="35" t="n">
        <f aca="false">IF($H2276="",0,IFERROR(INDEX(LevelBasic,MATCH($H2276,LevelList,0))+INDEX(LevelHousing,MATCH($H2276,LevelList,0))+INDEX(LevelTransport,MATCH($H2276,LevelList,0))+INDEX(LevelBasic,MATCH($H2276,LevelList,0))*INDEX(LevelBonus,MATCH($H2276,LevelList,0))+(INDEX(LevelBasic,MATCH($H2276,LevelList,0))+INDEX(LevelHousing,MATCH($H2276,LevelList,0)))*GosiSaudi,0))</f>
        <v>0</v>
      </c>
      <c r="W2276" s="35" t="n">
        <f aca="false">IFERROR(INDEX(LevelOneOff,MATCH($H2276,LevelList,0)),0)</f>
        <v>0</v>
      </c>
      <c r="X2276" s="35" t="str">
        <f aca="false">IF($G2276="","",$V2276*N($L2276))</f>
        <v/>
      </c>
      <c r="Y2276" s="35" t="str">
        <f aca="false">IF($G2276="","",$V2276*(N($M2276)*1+N($N2276)*0.75+N($O2276)*0.5+N($P2276)*0.25)+$W2276*N($L2276))</f>
        <v/>
      </c>
      <c r="Z2276" s="35" t="str">
        <f aca="false">IF($G2276="","",$U2276*1000000+ROW())</f>
        <v/>
      </c>
      <c r="AA2276" s="36" t="str">
        <f aca="false">IF($G2276="","",MID(IF($C2276="",", no division","")&amp;IF($E2276="",", no unit","")&amp;IF($H2276="",", no career level","")&amp;IF(N($L2276)&lt;=0,", no quarter split","")&amp;IF($R2276="",", no driver","")&amp;IF(AND($H2276&lt;&gt;"",COUNTIF(CareerLevels,$H2276)=0),", a career level that is not on the ladder","")&amp;IF(AND($R2276&lt;&gt;"",COUNTIF(DriverList,$R2276)=0),", a driver that is not on the list","")&amp;IF(ABS(N($L2276)-(N($M2276)+N($N2276)+N($O2276)+N($P2276)))&gt;0.001,", a total that does not match its quarters",""),3,300))</f>
        <v/>
      </c>
    </row>
    <row r="2277" customFormat="false" ht="15" hidden="false" customHeight="false" outlineLevel="0" collapsed="false">
      <c r="A2277" s="33" t="str">
        <f aca="false">IF($G2277="","","Treasury &amp; Investments Group")</f>
        <v/>
      </c>
      <c r="B2277" s="19"/>
      <c r="C2277" s="19"/>
      <c r="D2277" s="19"/>
      <c r="E2277" s="19"/>
      <c r="F2277" s="19"/>
      <c r="G2277" s="19"/>
      <c r="H2277" s="19"/>
      <c r="I2277" s="19"/>
      <c r="J2277" s="19"/>
      <c r="K2277" s="19"/>
      <c r="L2277" s="19"/>
      <c r="M2277" s="19"/>
      <c r="N2277" s="19"/>
      <c r="O2277" s="19"/>
      <c r="P2277" s="19"/>
      <c r="Q2277" s="19"/>
      <c r="R2277" s="19"/>
      <c r="S2277" s="19"/>
      <c r="T2277" s="34" t="str">
        <f aca="false">IF($R2277="","",IFERROR(INDEX(DriverCategory,MATCH($R2277,DriverList,0)),"BAU"))</f>
        <v/>
      </c>
      <c r="U2277" s="34" t="str">
        <f aca="false">IF($R2277="","",IFERROR(INDEX(DriverRank,MATCH($R2277,DriverList,0)),99))</f>
        <v/>
      </c>
      <c r="V2277" s="35" t="n">
        <f aca="false">IF($H2277="",0,IFERROR(INDEX(LevelBasic,MATCH($H2277,LevelList,0))+INDEX(LevelHousing,MATCH($H2277,LevelList,0))+INDEX(LevelTransport,MATCH($H2277,LevelList,0))+INDEX(LevelBasic,MATCH($H2277,LevelList,0))*INDEX(LevelBonus,MATCH($H2277,LevelList,0))+(INDEX(LevelBasic,MATCH($H2277,LevelList,0))+INDEX(LevelHousing,MATCH($H2277,LevelList,0)))*GosiSaudi,0))</f>
        <v>0</v>
      </c>
      <c r="W2277" s="35" t="n">
        <f aca="false">IFERROR(INDEX(LevelOneOff,MATCH($H2277,LevelList,0)),0)</f>
        <v>0</v>
      </c>
      <c r="X2277" s="35" t="str">
        <f aca="false">IF($G2277="","",$V2277*N($L2277))</f>
        <v/>
      </c>
      <c r="Y2277" s="35" t="str">
        <f aca="false">IF($G2277="","",$V2277*(N($M2277)*1+N($N2277)*0.75+N($O2277)*0.5+N($P2277)*0.25)+$W2277*N($L2277))</f>
        <v/>
      </c>
      <c r="Z2277" s="35" t="str">
        <f aca="false">IF($G2277="","",$U2277*1000000+ROW())</f>
        <v/>
      </c>
      <c r="AA2277" s="36" t="str">
        <f aca="false">IF($G2277="","",MID(IF($C2277="",", no division","")&amp;IF($E2277="",", no unit","")&amp;IF($H2277="",", no career level","")&amp;IF(N($L2277)&lt;=0,", no quarter split","")&amp;IF($R2277="",", no driver","")&amp;IF(AND($H2277&lt;&gt;"",COUNTIF(CareerLevels,$H2277)=0),", a career level that is not on the ladder","")&amp;IF(AND($R2277&lt;&gt;"",COUNTIF(DriverList,$R2277)=0),", a driver that is not on the list","")&amp;IF(ABS(N($L2277)-(N($M2277)+N($N2277)+N($O2277)+N($P2277)))&gt;0.001,", a total that does not match its quarters",""),3,300))</f>
        <v/>
      </c>
    </row>
    <row r="2278" customFormat="false" ht="15" hidden="false" customHeight="false" outlineLevel="0" collapsed="false">
      <c r="A2278" s="33" t="str">
        <f aca="false">IF($G2278="","","Treasury &amp; Investments Group")</f>
        <v/>
      </c>
      <c r="B2278" s="19"/>
      <c r="C2278" s="19"/>
      <c r="D2278" s="19"/>
      <c r="E2278" s="19"/>
      <c r="F2278" s="19"/>
      <c r="G2278" s="19"/>
      <c r="H2278" s="19"/>
      <c r="I2278" s="19"/>
      <c r="J2278" s="19"/>
      <c r="K2278" s="19"/>
      <c r="L2278" s="19"/>
      <c r="M2278" s="19"/>
      <c r="N2278" s="19"/>
      <c r="O2278" s="19"/>
      <c r="P2278" s="19"/>
      <c r="Q2278" s="19"/>
      <c r="R2278" s="19"/>
      <c r="S2278" s="19"/>
      <c r="T2278" s="34" t="str">
        <f aca="false">IF($R2278="","",IFERROR(INDEX(DriverCategory,MATCH($R2278,DriverList,0)),"BAU"))</f>
        <v/>
      </c>
      <c r="U2278" s="34" t="str">
        <f aca="false">IF($R2278="","",IFERROR(INDEX(DriverRank,MATCH($R2278,DriverList,0)),99))</f>
        <v/>
      </c>
      <c r="V2278" s="35" t="n">
        <f aca="false">IF($H2278="",0,IFERROR(INDEX(LevelBasic,MATCH($H2278,LevelList,0))+INDEX(LevelHousing,MATCH($H2278,LevelList,0))+INDEX(LevelTransport,MATCH($H2278,LevelList,0))+INDEX(LevelBasic,MATCH($H2278,LevelList,0))*INDEX(LevelBonus,MATCH($H2278,LevelList,0))+(INDEX(LevelBasic,MATCH($H2278,LevelList,0))+INDEX(LevelHousing,MATCH($H2278,LevelList,0)))*GosiSaudi,0))</f>
        <v>0</v>
      </c>
      <c r="W2278" s="35" t="n">
        <f aca="false">IFERROR(INDEX(LevelOneOff,MATCH($H2278,LevelList,0)),0)</f>
        <v>0</v>
      </c>
      <c r="X2278" s="35" t="str">
        <f aca="false">IF($G2278="","",$V2278*N($L2278))</f>
        <v/>
      </c>
      <c r="Y2278" s="35" t="str">
        <f aca="false">IF($G2278="","",$V2278*(N($M2278)*1+N($N2278)*0.75+N($O2278)*0.5+N($P2278)*0.25)+$W2278*N($L2278))</f>
        <v/>
      </c>
      <c r="Z2278" s="35" t="str">
        <f aca="false">IF($G2278="","",$U2278*1000000+ROW())</f>
        <v/>
      </c>
      <c r="AA2278" s="36" t="str">
        <f aca="false">IF($G2278="","",MID(IF($C2278="",", no division","")&amp;IF($E2278="",", no unit","")&amp;IF($H2278="",", no career level","")&amp;IF(N($L2278)&lt;=0,", no quarter split","")&amp;IF($R2278="",", no driver","")&amp;IF(AND($H2278&lt;&gt;"",COUNTIF(CareerLevels,$H2278)=0),", a career level that is not on the ladder","")&amp;IF(AND($R2278&lt;&gt;"",COUNTIF(DriverList,$R2278)=0),", a driver that is not on the list","")&amp;IF(ABS(N($L2278)-(N($M2278)+N($N2278)+N($O2278)+N($P2278)))&gt;0.001,", a total that does not match its quarters",""),3,300))</f>
        <v/>
      </c>
    </row>
    <row r="2279" customFormat="false" ht="15" hidden="false" customHeight="false" outlineLevel="0" collapsed="false">
      <c r="A2279" s="33" t="str">
        <f aca="false">IF($G2279="","","Treasury &amp; Investments Group")</f>
        <v/>
      </c>
      <c r="B2279" s="19"/>
      <c r="C2279" s="19"/>
      <c r="D2279" s="19"/>
      <c r="E2279" s="19"/>
      <c r="F2279" s="19"/>
      <c r="G2279" s="19"/>
      <c r="H2279" s="19"/>
      <c r="I2279" s="19"/>
      <c r="J2279" s="19"/>
      <c r="K2279" s="19"/>
      <c r="L2279" s="19"/>
      <c r="M2279" s="19"/>
      <c r="N2279" s="19"/>
      <c r="O2279" s="19"/>
      <c r="P2279" s="19"/>
      <c r="Q2279" s="19"/>
      <c r="R2279" s="19"/>
      <c r="S2279" s="19"/>
      <c r="T2279" s="34" t="str">
        <f aca="false">IF($R2279="","",IFERROR(INDEX(DriverCategory,MATCH($R2279,DriverList,0)),"BAU"))</f>
        <v/>
      </c>
      <c r="U2279" s="34" t="str">
        <f aca="false">IF($R2279="","",IFERROR(INDEX(DriverRank,MATCH($R2279,DriverList,0)),99))</f>
        <v/>
      </c>
      <c r="V2279" s="35" t="n">
        <f aca="false">IF($H2279="",0,IFERROR(INDEX(LevelBasic,MATCH($H2279,LevelList,0))+INDEX(LevelHousing,MATCH($H2279,LevelList,0))+INDEX(LevelTransport,MATCH($H2279,LevelList,0))+INDEX(LevelBasic,MATCH($H2279,LevelList,0))*INDEX(LevelBonus,MATCH($H2279,LevelList,0))+(INDEX(LevelBasic,MATCH($H2279,LevelList,0))+INDEX(LevelHousing,MATCH($H2279,LevelList,0)))*GosiSaudi,0))</f>
        <v>0</v>
      </c>
      <c r="W2279" s="35" t="n">
        <f aca="false">IFERROR(INDEX(LevelOneOff,MATCH($H2279,LevelList,0)),0)</f>
        <v>0</v>
      </c>
      <c r="X2279" s="35" t="str">
        <f aca="false">IF($G2279="","",$V2279*N($L2279))</f>
        <v/>
      </c>
      <c r="Y2279" s="35" t="str">
        <f aca="false">IF($G2279="","",$V2279*(N($M2279)*1+N($N2279)*0.75+N($O2279)*0.5+N($P2279)*0.25)+$W2279*N($L2279))</f>
        <v/>
      </c>
      <c r="Z2279" s="35" t="str">
        <f aca="false">IF($G2279="","",$U2279*1000000+ROW())</f>
        <v/>
      </c>
      <c r="AA2279" s="36" t="str">
        <f aca="false">IF($G2279="","",MID(IF($C2279="",", no division","")&amp;IF($E2279="",", no unit","")&amp;IF($H2279="",", no career level","")&amp;IF(N($L2279)&lt;=0,", no quarter split","")&amp;IF($R2279="",", no driver","")&amp;IF(AND($H2279&lt;&gt;"",COUNTIF(CareerLevels,$H2279)=0),", a career level that is not on the ladder","")&amp;IF(AND($R2279&lt;&gt;"",COUNTIF(DriverList,$R2279)=0),", a driver that is not on the list","")&amp;IF(ABS(N($L2279)-(N($M2279)+N($N2279)+N($O2279)+N($P2279)))&gt;0.001,", a total that does not match its quarters",""),3,300))</f>
        <v/>
      </c>
    </row>
    <row r="2280" customFormat="false" ht="15" hidden="false" customHeight="false" outlineLevel="0" collapsed="false">
      <c r="A2280" s="33" t="str">
        <f aca="false">IF($G2280="","","Treasury &amp; Investments Group")</f>
        <v/>
      </c>
      <c r="B2280" s="19"/>
      <c r="C2280" s="19"/>
      <c r="D2280" s="19"/>
      <c r="E2280" s="19"/>
      <c r="F2280" s="19"/>
      <c r="G2280" s="19"/>
      <c r="H2280" s="19"/>
      <c r="I2280" s="19"/>
      <c r="J2280" s="19"/>
      <c r="K2280" s="19"/>
      <c r="L2280" s="19"/>
      <c r="M2280" s="19"/>
      <c r="N2280" s="19"/>
      <c r="O2280" s="19"/>
      <c r="P2280" s="19"/>
      <c r="Q2280" s="19"/>
      <c r="R2280" s="19"/>
      <c r="S2280" s="19"/>
      <c r="T2280" s="34" t="str">
        <f aca="false">IF($R2280="","",IFERROR(INDEX(DriverCategory,MATCH($R2280,DriverList,0)),"BAU"))</f>
        <v/>
      </c>
      <c r="U2280" s="34" t="str">
        <f aca="false">IF($R2280="","",IFERROR(INDEX(DriverRank,MATCH($R2280,DriverList,0)),99))</f>
        <v/>
      </c>
      <c r="V2280" s="35" t="n">
        <f aca="false">IF($H2280="",0,IFERROR(INDEX(LevelBasic,MATCH($H2280,LevelList,0))+INDEX(LevelHousing,MATCH($H2280,LevelList,0))+INDEX(LevelTransport,MATCH($H2280,LevelList,0))+INDEX(LevelBasic,MATCH($H2280,LevelList,0))*INDEX(LevelBonus,MATCH($H2280,LevelList,0))+(INDEX(LevelBasic,MATCH($H2280,LevelList,0))+INDEX(LevelHousing,MATCH($H2280,LevelList,0)))*GosiSaudi,0))</f>
        <v>0</v>
      </c>
      <c r="W2280" s="35" t="n">
        <f aca="false">IFERROR(INDEX(LevelOneOff,MATCH($H2280,LevelList,0)),0)</f>
        <v>0</v>
      </c>
      <c r="X2280" s="35" t="str">
        <f aca="false">IF($G2280="","",$V2280*N($L2280))</f>
        <v/>
      </c>
      <c r="Y2280" s="35" t="str">
        <f aca="false">IF($G2280="","",$V2280*(N($M2280)*1+N($N2280)*0.75+N($O2280)*0.5+N($P2280)*0.25)+$W2280*N($L2280))</f>
        <v/>
      </c>
      <c r="Z2280" s="35" t="str">
        <f aca="false">IF($G2280="","",$U2280*1000000+ROW())</f>
        <v/>
      </c>
      <c r="AA2280" s="36" t="str">
        <f aca="false">IF($G2280="","",MID(IF($C2280="",", no division","")&amp;IF($E2280="",", no unit","")&amp;IF($H2280="",", no career level","")&amp;IF(N($L2280)&lt;=0,", no quarter split","")&amp;IF($R2280="",", no driver","")&amp;IF(AND($H2280&lt;&gt;"",COUNTIF(CareerLevels,$H2280)=0),", a career level that is not on the ladder","")&amp;IF(AND($R2280&lt;&gt;"",COUNTIF(DriverList,$R2280)=0),", a driver that is not on the list","")&amp;IF(ABS(N($L2280)-(N($M2280)+N($N2280)+N($O2280)+N($P2280)))&gt;0.001,", a total that does not match its quarters",""),3,300))</f>
        <v/>
      </c>
    </row>
    <row r="2281" customFormat="false" ht="15" hidden="false" customHeight="false" outlineLevel="0" collapsed="false">
      <c r="A2281" s="33" t="str">
        <f aca="false">IF($G2281="","","Treasury &amp; Investments Group")</f>
        <v/>
      </c>
      <c r="B2281" s="19"/>
      <c r="C2281" s="19"/>
      <c r="D2281" s="19"/>
      <c r="E2281" s="19"/>
      <c r="F2281" s="19"/>
      <c r="G2281" s="19"/>
      <c r="H2281" s="19"/>
      <c r="I2281" s="19"/>
      <c r="J2281" s="19"/>
      <c r="K2281" s="19"/>
      <c r="L2281" s="19"/>
      <c r="M2281" s="19"/>
      <c r="N2281" s="19"/>
      <c r="O2281" s="19"/>
      <c r="P2281" s="19"/>
      <c r="Q2281" s="19"/>
      <c r="R2281" s="19"/>
      <c r="S2281" s="19"/>
      <c r="T2281" s="34" t="str">
        <f aca="false">IF($R2281="","",IFERROR(INDEX(DriverCategory,MATCH($R2281,DriverList,0)),"BAU"))</f>
        <v/>
      </c>
      <c r="U2281" s="34" t="str">
        <f aca="false">IF($R2281="","",IFERROR(INDEX(DriverRank,MATCH($R2281,DriverList,0)),99))</f>
        <v/>
      </c>
      <c r="V2281" s="35" t="n">
        <f aca="false">IF($H2281="",0,IFERROR(INDEX(LevelBasic,MATCH($H2281,LevelList,0))+INDEX(LevelHousing,MATCH($H2281,LevelList,0))+INDEX(LevelTransport,MATCH($H2281,LevelList,0))+INDEX(LevelBasic,MATCH($H2281,LevelList,0))*INDEX(LevelBonus,MATCH($H2281,LevelList,0))+(INDEX(LevelBasic,MATCH($H2281,LevelList,0))+INDEX(LevelHousing,MATCH($H2281,LevelList,0)))*GosiSaudi,0))</f>
        <v>0</v>
      </c>
      <c r="W2281" s="35" t="n">
        <f aca="false">IFERROR(INDEX(LevelOneOff,MATCH($H2281,LevelList,0)),0)</f>
        <v>0</v>
      </c>
      <c r="X2281" s="35" t="str">
        <f aca="false">IF($G2281="","",$V2281*N($L2281))</f>
        <v/>
      </c>
      <c r="Y2281" s="35" t="str">
        <f aca="false">IF($G2281="","",$V2281*(N($M2281)*1+N($N2281)*0.75+N($O2281)*0.5+N($P2281)*0.25)+$W2281*N($L2281))</f>
        <v/>
      </c>
      <c r="Z2281" s="35" t="str">
        <f aca="false">IF($G2281="","",$U2281*1000000+ROW())</f>
        <v/>
      </c>
      <c r="AA2281" s="36" t="str">
        <f aca="false">IF($G2281="","",MID(IF($C2281="",", no division","")&amp;IF($E2281="",", no unit","")&amp;IF($H2281="",", no career level","")&amp;IF(N($L2281)&lt;=0,", no quarter split","")&amp;IF($R2281="",", no driver","")&amp;IF(AND($H2281&lt;&gt;"",COUNTIF(CareerLevels,$H2281)=0),", a career level that is not on the ladder","")&amp;IF(AND($R2281&lt;&gt;"",COUNTIF(DriverList,$R2281)=0),", a driver that is not on the list","")&amp;IF(ABS(N($L2281)-(N($M2281)+N($N2281)+N($O2281)+N($P2281)))&gt;0.001,", a total that does not match its quarters",""),3,300))</f>
        <v/>
      </c>
    </row>
    <row r="2282" customFormat="false" ht="15" hidden="false" customHeight="false" outlineLevel="0" collapsed="false">
      <c r="A2282" s="33" t="str">
        <f aca="false">IF($G2282="","","Treasury &amp; Investments Group")</f>
        <v/>
      </c>
      <c r="B2282" s="19"/>
      <c r="C2282" s="19"/>
      <c r="D2282" s="19"/>
      <c r="E2282" s="19"/>
      <c r="F2282" s="19"/>
      <c r="G2282" s="19"/>
      <c r="H2282" s="19"/>
      <c r="I2282" s="19"/>
      <c r="J2282" s="19"/>
      <c r="K2282" s="19"/>
      <c r="L2282" s="19"/>
      <c r="M2282" s="19"/>
      <c r="N2282" s="19"/>
      <c r="O2282" s="19"/>
      <c r="P2282" s="19"/>
      <c r="Q2282" s="19"/>
      <c r="R2282" s="19"/>
      <c r="S2282" s="19"/>
      <c r="T2282" s="34" t="str">
        <f aca="false">IF($R2282="","",IFERROR(INDEX(DriverCategory,MATCH($R2282,DriverList,0)),"BAU"))</f>
        <v/>
      </c>
      <c r="U2282" s="34" t="str">
        <f aca="false">IF($R2282="","",IFERROR(INDEX(DriverRank,MATCH($R2282,DriverList,0)),99))</f>
        <v/>
      </c>
      <c r="V2282" s="35" t="n">
        <f aca="false">IF($H2282="",0,IFERROR(INDEX(LevelBasic,MATCH($H2282,LevelList,0))+INDEX(LevelHousing,MATCH($H2282,LevelList,0))+INDEX(LevelTransport,MATCH($H2282,LevelList,0))+INDEX(LevelBasic,MATCH($H2282,LevelList,0))*INDEX(LevelBonus,MATCH($H2282,LevelList,0))+(INDEX(LevelBasic,MATCH($H2282,LevelList,0))+INDEX(LevelHousing,MATCH($H2282,LevelList,0)))*GosiSaudi,0))</f>
        <v>0</v>
      </c>
      <c r="W2282" s="35" t="n">
        <f aca="false">IFERROR(INDEX(LevelOneOff,MATCH($H2282,LevelList,0)),0)</f>
        <v>0</v>
      </c>
      <c r="X2282" s="35" t="str">
        <f aca="false">IF($G2282="","",$V2282*N($L2282))</f>
        <v/>
      </c>
      <c r="Y2282" s="35" t="str">
        <f aca="false">IF($G2282="","",$V2282*(N($M2282)*1+N($N2282)*0.75+N($O2282)*0.5+N($P2282)*0.25)+$W2282*N($L2282))</f>
        <v/>
      </c>
      <c r="Z2282" s="35" t="str">
        <f aca="false">IF($G2282="","",$U2282*1000000+ROW())</f>
        <v/>
      </c>
      <c r="AA2282" s="36" t="str">
        <f aca="false">IF($G2282="","",MID(IF($C2282="",", no division","")&amp;IF($E2282="",", no unit","")&amp;IF($H2282="",", no career level","")&amp;IF(N($L2282)&lt;=0,", no quarter split","")&amp;IF($R2282="",", no driver","")&amp;IF(AND($H2282&lt;&gt;"",COUNTIF(CareerLevels,$H2282)=0),", a career level that is not on the ladder","")&amp;IF(AND($R2282&lt;&gt;"",COUNTIF(DriverList,$R2282)=0),", a driver that is not on the list","")&amp;IF(ABS(N($L2282)-(N($M2282)+N($N2282)+N($O2282)+N($P2282)))&gt;0.001,", a total that does not match its quarters",""),3,300))</f>
        <v/>
      </c>
    </row>
    <row r="2283" customFormat="false" ht="15" hidden="false" customHeight="false" outlineLevel="0" collapsed="false">
      <c r="A2283" s="33" t="str">
        <f aca="false">IF($G2283="","","Treasury &amp; Investments Group")</f>
        <v/>
      </c>
      <c r="B2283" s="19"/>
      <c r="C2283" s="19"/>
      <c r="D2283" s="19"/>
      <c r="E2283" s="19"/>
      <c r="F2283" s="19"/>
      <c r="G2283" s="19"/>
      <c r="H2283" s="19"/>
      <c r="I2283" s="19"/>
      <c r="J2283" s="19"/>
      <c r="K2283" s="19"/>
      <c r="L2283" s="19"/>
      <c r="M2283" s="19"/>
      <c r="N2283" s="19"/>
      <c r="O2283" s="19"/>
      <c r="P2283" s="19"/>
      <c r="Q2283" s="19"/>
      <c r="R2283" s="19"/>
      <c r="S2283" s="19"/>
      <c r="T2283" s="34" t="str">
        <f aca="false">IF($R2283="","",IFERROR(INDEX(DriverCategory,MATCH($R2283,DriverList,0)),"BAU"))</f>
        <v/>
      </c>
      <c r="U2283" s="34" t="str">
        <f aca="false">IF($R2283="","",IFERROR(INDEX(DriverRank,MATCH($R2283,DriverList,0)),99))</f>
        <v/>
      </c>
      <c r="V2283" s="35" t="n">
        <f aca="false">IF($H2283="",0,IFERROR(INDEX(LevelBasic,MATCH($H2283,LevelList,0))+INDEX(LevelHousing,MATCH($H2283,LevelList,0))+INDEX(LevelTransport,MATCH($H2283,LevelList,0))+INDEX(LevelBasic,MATCH($H2283,LevelList,0))*INDEX(LevelBonus,MATCH($H2283,LevelList,0))+(INDEX(LevelBasic,MATCH($H2283,LevelList,0))+INDEX(LevelHousing,MATCH($H2283,LevelList,0)))*GosiSaudi,0))</f>
        <v>0</v>
      </c>
      <c r="W2283" s="35" t="n">
        <f aca="false">IFERROR(INDEX(LevelOneOff,MATCH($H2283,LevelList,0)),0)</f>
        <v>0</v>
      </c>
      <c r="X2283" s="35" t="str">
        <f aca="false">IF($G2283="","",$V2283*N($L2283))</f>
        <v/>
      </c>
      <c r="Y2283" s="35" t="str">
        <f aca="false">IF($G2283="","",$V2283*(N($M2283)*1+N($N2283)*0.75+N($O2283)*0.5+N($P2283)*0.25)+$W2283*N($L2283))</f>
        <v/>
      </c>
      <c r="Z2283" s="35" t="str">
        <f aca="false">IF($G2283="","",$U2283*1000000+ROW())</f>
        <v/>
      </c>
      <c r="AA2283" s="36" t="str">
        <f aca="false">IF($G2283="","",MID(IF($C2283="",", no division","")&amp;IF($E2283="",", no unit","")&amp;IF($H2283="",", no career level","")&amp;IF(N($L2283)&lt;=0,", no quarter split","")&amp;IF($R2283="",", no driver","")&amp;IF(AND($H2283&lt;&gt;"",COUNTIF(CareerLevels,$H2283)=0),", a career level that is not on the ladder","")&amp;IF(AND($R2283&lt;&gt;"",COUNTIF(DriverList,$R2283)=0),", a driver that is not on the list","")&amp;IF(ABS(N($L2283)-(N($M2283)+N($N2283)+N($O2283)+N($P2283)))&gt;0.001,", a total that does not match its quarters",""),3,300))</f>
        <v/>
      </c>
    </row>
    <row r="2284" customFormat="false" ht="15" hidden="false" customHeight="false" outlineLevel="0" collapsed="false">
      <c r="A2284" s="33" t="str">
        <f aca="false">IF($G2284="","","Treasury &amp; Investments Group")</f>
        <v/>
      </c>
      <c r="B2284" s="19"/>
      <c r="C2284" s="19"/>
      <c r="D2284" s="19"/>
      <c r="E2284" s="19"/>
      <c r="F2284" s="19"/>
      <c r="G2284" s="19"/>
      <c r="H2284" s="19"/>
      <c r="I2284" s="19"/>
      <c r="J2284" s="19"/>
      <c r="K2284" s="19"/>
      <c r="L2284" s="19"/>
      <c r="M2284" s="19"/>
      <c r="N2284" s="19"/>
      <c r="O2284" s="19"/>
      <c r="P2284" s="19"/>
      <c r="Q2284" s="19"/>
      <c r="R2284" s="19"/>
      <c r="S2284" s="19"/>
      <c r="T2284" s="34" t="str">
        <f aca="false">IF($R2284="","",IFERROR(INDEX(DriverCategory,MATCH($R2284,DriverList,0)),"BAU"))</f>
        <v/>
      </c>
      <c r="U2284" s="34" t="str">
        <f aca="false">IF($R2284="","",IFERROR(INDEX(DriverRank,MATCH($R2284,DriverList,0)),99))</f>
        <v/>
      </c>
      <c r="V2284" s="35" t="n">
        <f aca="false">IF($H2284="",0,IFERROR(INDEX(LevelBasic,MATCH($H2284,LevelList,0))+INDEX(LevelHousing,MATCH($H2284,LevelList,0))+INDEX(LevelTransport,MATCH($H2284,LevelList,0))+INDEX(LevelBasic,MATCH($H2284,LevelList,0))*INDEX(LevelBonus,MATCH($H2284,LevelList,0))+(INDEX(LevelBasic,MATCH($H2284,LevelList,0))+INDEX(LevelHousing,MATCH($H2284,LevelList,0)))*GosiSaudi,0))</f>
        <v>0</v>
      </c>
      <c r="W2284" s="35" t="n">
        <f aca="false">IFERROR(INDEX(LevelOneOff,MATCH($H2284,LevelList,0)),0)</f>
        <v>0</v>
      </c>
      <c r="X2284" s="35" t="str">
        <f aca="false">IF($G2284="","",$V2284*N($L2284))</f>
        <v/>
      </c>
      <c r="Y2284" s="35" t="str">
        <f aca="false">IF($G2284="","",$V2284*(N($M2284)*1+N($N2284)*0.75+N($O2284)*0.5+N($P2284)*0.25)+$W2284*N($L2284))</f>
        <v/>
      </c>
      <c r="Z2284" s="35" t="str">
        <f aca="false">IF($G2284="","",$U2284*1000000+ROW())</f>
        <v/>
      </c>
      <c r="AA2284" s="36" t="str">
        <f aca="false">IF($G2284="","",MID(IF($C2284="",", no division","")&amp;IF($E2284="",", no unit","")&amp;IF($H2284="",", no career level","")&amp;IF(N($L2284)&lt;=0,", no quarter split","")&amp;IF($R2284="",", no driver","")&amp;IF(AND($H2284&lt;&gt;"",COUNTIF(CareerLevels,$H2284)=0),", a career level that is not on the ladder","")&amp;IF(AND($R2284&lt;&gt;"",COUNTIF(DriverList,$R2284)=0),", a driver that is not on the list","")&amp;IF(ABS(N($L2284)-(N($M2284)+N($N2284)+N($O2284)+N($P2284)))&gt;0.001,", a total that does not match its quarters",""),3,300))</f>
        <v/>
      </c>
    </row>
    <row r="2285" customFormat="false" ht="15" hidden="false" customHeight="false" outlineLevel="0" collapsed="false">
      <c r="A2285" s="33" t="str">
        <f aca="false">IF($G2285="","","Treasury &amp; Investments Group")</f>
        <v/>
      </c>
      <c r="B2285" s="19"/>
      <c r="C2285" s="19"/>
      <c r="D2285" s="19"/>
      <c r="E2285" s="19"/>
      <c r="F2285" s="19"/>
      <c r="G2285" s="19"/>
      <c r="H2285" s="19"/>
      <c r="I2285" s="19"/>
      <c r="J2285" s="19"/>
      <c r="K2285" s="19"/>
      <c r="L2285" s="19"/>
      <c r="M2285" s="19"/>
      <c r="N2285" s="19"/>
      <c r="O2285" s="19"/>
      <c r="P2285" s="19"/>
      <c r="Q2285" s="19"/>
      <c r="R2285" s="19"/>
      <c r="S2285" s="19"/>
      <c r="T2285" s="34" t="str">
        <f aca="false">IF($R2285="","",IFERROR(INDEX(DriverCategory,MATCH($R2285,DriverList,0)),"BAU"))</f>
        <v/>
      </c>
      <c r="U2285" s="34" t="str">
        <f aca="false">IF($R2285="","",IFERROR(INDEX(DriverRank,MATCH($R2285,DriverList,0)),99))</f>
        <v/>
      </c>
      <c r="V2285" s="35" t="n">
        <f aca="false">IF($H2285="",0,IFERROR(INDEX(LevelBasic,MATCH($H2285,LevelList,0))+INDEX(LevelHousing,MATCH($H2285,LevelList,0))+INDEX(LevelTransport,MATCH($H2285,LevelList,0))+INDEX(LevelBasic,MATCH($H2285,LevelList,0))*INDEX(LevelBonus,MATCH($H2285,LevelList,0))+(INDEX(LevelBasic,MATCH($H2285,LevelList,0))+INDEX(LevelHousing,MATCH($H2285,LevelList,0)))*GosiSaudi,0))</f>
        <v>0</v>
      </c>
      <c r="W2285" s="35" t="n">
        <f aca="false">IFERROR(INDEX(LevelOneOff,MATCH($H2285,LevelList,0)),0)</f>
        <v>0</v>
      </c>
      <c r="X2285" s="35" t="str">
        <f aca="false">IF($G2285="","",$V2285*N($L2285))</f>
        <v/>
      </c>
      <c r="Y2285" s="35" t="str">
        <f aca="false">IF($G2285="","",$V2285*(N($M2285)*1+N($N2285)*0.75+N($O2285)*0.5+N($P2285)*0.25)+$W2285*N($L2285))</f>
        <v/>
      </c>
      <c r="Z2285" s="35" t="str">
        <f aca="false">IF($G2285="","",$U2285*1000000+ROW())</f>
        <v/>
      </c>
      <c r="AA2285" s="36" t="str">
        <f aca="false">IF($G2285="","",MID(IF($C2285="",", no division","")&amp;IF($E2285="",", no unit","")&amp;IF($H2285="",", no career level","")&amp;IF(N($L2285)&lt;=0,", no quarter split","")&amp;IF($R2285="",", no driver","")&amp;IF(AND($H2285&lt;&gt;"",COUNTIF(CareerLevels,$H2285)=0),", a career level that is not on the ladder","")&amp;IF(AND($R2285&lt;&gt;"",COUNTIF(DriverList,$R2285)=0),", a driver that is not on the list","")&amp;IF(ABS(N($L2285)-(N($M2285)+N($N2285)+N($O2285)+N($P2285)))&gt;0.001,", a total that does not match its quarters",""),3,300))</f>
        <v/>
      </c>
    </row>
    <row r="2286" customFormat="false" ht="15" hidden="false" customHeight="false" outlineLevel="0" collapsed="false">
      <c r="A2286" s="33" t="str">
        <f aca="false">IF($G2286="","","Treasury &amp; Investments Group")</f>
        <v/>
      </c>
      <c r="B2286" s="19"/>
      <c r="C2286" s="19"/>
      <c r="D2286" s="19"/>
      <c r="E2286" s="19"/>
      <c r="F2286" s="19"/>
      <c r="G2286" s="19"/>
      <c r="H2286" s="19"/>
      <c r="I2286" s="19"/>
      <c r="J2286" s="19"/>
      <c r="K2286" s="19"/>
      <c r="L2286" s="19"/>
      <c r="M2286" s="19"/>
      <c r="N2286" s="19"/>
      <c r="O2286" s="19"/>
      <c r="P2286" s="19"/>
      <c r="Q2286" s="19"/>
      <c r="R2286" s="19"/>
      <c r="S2286" s="19"/>
      <c r="T2286" s="34" t="str">
        <f aca="false">IF($R2286="","",IFERROR(INDEX(DriverCategory,MATCH($R2286,DriverList,0)),"BAU"))</f>
        <v/>
      </c>
      <c r="U2286" s="34" t="str">
        <f aca="false">IF($R2286="","",IFERROR(INDEX(DriverRank,MATCH($R2286,DriverList,0)),99))</f>
        <v/>
      </c>
      <c r="V2286" s="35" t="n">
        <f aca="false">IF($H2286="",0,IFERROR(INDEX(LevelBasic,MATCH($H2286,LevelList,0))+INDEX(LevelHousing,MATCH($H2286,LevelList,0))+INDEX(LevelTransport,MATCH($H2286,LevelList,0))+INDEX(LevelBasic,MATCH($H2286,LevelList,0))*INDEX(LevelBonus,MATCH($H2286,LevelList,0))+(INDEX(LevelBasic,MATCH($H2286,LevelList,0))+INDEX(LevelHousing,MATCH($H2286,LevelList,0)))*GosiSaudi,0))</f>
        <v>0</v>
      </c>
      <c r="W2286" s="35" t="n">
        <f aca="false">IFERROR(INDEX(LevelOneOff,MATCH($H2286,LevelList,0)),0)</f>
        <v>0</v>
      </c>
      <c r="X2286" s="35" t="str">
        <f aca="false">IF($G2286="","",$V2286*N($L2286))</f>
        <v/>
      </c>
      <c r="Y2286" s="35" t="str">
        <f aca="false">IF($G2286="","",$V2286*(N($M2286)*1+N($N2286)*0.75+N($O2286)*0.5+N($P2286)*0.25)+$W2286*N($L2286))</f>
        <v/>
      </c>
      <c r="Z2286" s="35" t="str">
        <f aca="false">IF($G2286="","",$U2286*1000000+ROW())</f>
        <v/>
      </c>
      <c r="AA2286" s="36" t="str">
        <f aca="false">IF($G2286="","",MID(IF($C2286="",", no division","")&amp;IF($E2286="",", no unit","")&amp;IF($H2286="",", no career level","")&amp;IF(N($L2286)&lt;=0,", no quarter split","")&amp;IF($R2286="",", no driver","")&amp;IF(AND($H2286&lt;&gt;"",COUNTIF(CareerLevels,$H2286)=0),", a career level that is not on the ladder","")&amp;IF(AND($R2286&lt;&gt;"",COUNTIF(DriverList,$R2286)=0),", a driver that is not on the list","")&amp;IF(ABS(N($L2286)-(N($M2286)+N($N2286)+N($O2286)+N($P2286)))&gt;0.001,", a total that does not match its quarters",""),3,300))</f>
        <v/>
      </c>
    </row>
    <row r="2287" customFormat="false" ht="15" hidden="false" customHeight="false" outlineLevel="0" collapsed="false">
      <c r="A2287" s="33" t="str">
        <f aca="false">IF($G2287="","","Treasury &amp; Investments Group")</f>
        <v/>
      </c>
      <c r="B2287" s="19"/>
      <c r="C2287" s="19"/>
      <c r="D2287" s="19"/>
      <c r="E2287" s="19"/>
      <c r="F2287" s="19"/>
      <c r="G2287" s="19"/>
      <c r="H2287" s="19"/>
      <c r="I2287" s="19"/>
      <c r="J2287" s="19"/>
      <c r="K2287" s="19"/>
      <c r="L2287" s="19"/>
      <c r="M2287" s="19"/>
      <c r="N2287" s="19"/>
      <c r="O2287" s="19"/>
      <c r="P2287" s="19"/>
      <c r="Q2287" s="19"/>
      <c r="R2287" s="19"/>
      <c r="S2287" s="19"/>
      <c r="T2287" s="34" t="str">
        <f aca="false">IF($R2287="","",IFERROR(INDEX(DriverCategory,MATCH($R2287,DriverList,0)),"BAU"))</f>
        <v/>
      </c>
      <c r="U2287" s="34" t="str">
        <f aca="false">IF($R2287="","",IFERROR(INDEX(DriverRank,MATCH($R2287,DriverList,0)),99))</f>
        <v/>
      </c>
      <c r="V2287" s="35" t="n">
        <f aca="false">IF($H2287="",0,IFERROR(INDEX(LevelBasic,MATCH($H2287,LevelList,0))+INDEX(LevelHousing,MATCH($H2287,LevelList,0))+INDEX(LevelTransport,MATCH($H2287,LevelList,0))+INDEX(LevelBasic,MATCH($H2287,LevelList,0))*INDEX(LevelBonus,MATCH($H2287,LevelList,0))+(INDEX(LevelBasic,MATCH($H2287,LevelList,0))+INDEX(LevelHousing,MATCH($H2287,LevelList,0)))*GosiSaudi,0))</f>
        <v>0</v>
      </c>
      <c r="W2287" s="35" t="n">
        <f aca="false">IFERROR(INDEX(LevelOneOff,MATCH($H2287,LevelList,0)),0)</f>
        <v>0</v>
      </c>
      <c r="X2287" s="35" t="str">
        <f aca="false">IF($G2287="","",$V2287*N($L2287))</f>
        <v/>
      </c>
      <c r="Y2287" s="35" t="str">
        <f aca="false">IF($G2287="","",$V2287*(N($M2287)*1+N($N2287)*0.75+N($O2287)*0.5+N($P2287)*0.25)+$W2287*N($L2287))</f>
        <v/>
      </c>
      <c r="Z2287" s="35" t="str">
        <f aca="false">IF($G2287="","",$U2287*1000000+ROW())</f>
        <v/>
      </c>
      <c r="AA2287" s="36" t="str">
        <f aca="false">IF($G2287="","",MID(IF($C2287="",", no division","")&amp;IF($E2287="",", no unit","")&amp;IF($H2287="",", no career level","")&amp;IF(N($L2287)&lt;=0,", no quarter split","")&amp;IF($R2287="",", no driver","")&amp;IF(AND($H2287&lt;&gt;"",COUNTIF(CareerLevels,$H2287)=0),", a career level that is not on the ladder","")&amp;IF(AND($R2287&lt;&gt;"",COUNTIF(DriverList,$R2287)=0),", a driver that is not on the list","")&amp;IF(ABS(N($L2287)-(N($M2287)+N($N2287)+N($O2287)+N($P2287)))&gt;0.001,", a total that does not match its quarters",""),3,300))</f>
        <v/>
      </c>
    </row>
    <row r="2288" customFormat="false" ht="15" hidden="false" customHeight="false" outlineLevel="0" collapsed="false">
      <c r="A2288" s="33" t="str">
        <f aca="false">IF($G2288="","","Treasury &amp; Investments Group")</f>
        <v/>
      </c>
      <c r="B2288" s="19"/>
      <c r="C2288" s="19"/>
      <c r="D2288" s="19"/>
      <c r="E2288" s="19"/>
      <c r="F2288" s="19"/>
      <c r="G2288" s="19"/>
      <c r="H2288" s="19"/>
      <c r="I2288" s="19"/>
      <c r="J2288" s="19"/>
      <c r="K2288" s="19"/>
      <c r="L2288" s="19"/>
      <c r="M2288" s="19"/>
      <c r="N2288" s="19"/>
      <c r="O2288" s="19"/>
      <c r="P2288" s="19"/>
      <c r="Q2288" s="19"/>
      <c r="R2288" s="19"/>
      <c r="S2288" s="19"/>
      <c r="T2288" s="34" t="str">
        <f aca="false">IF($R2288="","",IFERROR(INDEX(DriverCategory,MATCH($R2288,DriverList,0)),"BAU"))</f>
        <v/>
      </c>
      <c r="U2288" s="34" t="str">
        <f aca="false">IF($R2288="","",IFERROR(INDEX(DriverRank,MATCH($R2288,DriverList,0)),99))</f>
        <v/>
      </c>
      <c r="V2288" s="35" t="n">
        <f aca="false">IF($H2288="",0,IFERROR(INDEX(LevelBasic,MATCH($H2288,LevelList,0))+INDEX(LevelHousing,MATCH($H2288,LevelList,0))+INDEX(LevelTransport,MATCH($H2288,LevelList,0))+INDEX(LevelBasic,MATCH($H2288,LevelList,0))*INDEX(LevelBonus,MATCH($H2288,LevelList,0))+(INDEX(LevelBasic,MATCH($H2288,LevelList,0))+INDEX(LevelHousing,MATCH($H2288,LevelList,0)))*GosiSaudi,0))</f>
        <v>0</v>
      </c>
      <c r="W2288" s="35" t="n">
        <f aca="false">IFERROR(INDEX(LevelOneOff,MATCH($H2288,LevelList,0)),0)</f>
        <v>0</v>
      </c>
      <c r="X2288" s="35" t="str">
        <f aca="false">IF($G2288="","",$V2288*N($L2288))</f>
        <v/>
      </c>
      <c r="Y2288" s="35" t="str">
        <f aca="false">IF($G2288="","",$V2288*(N($M2288)*1+N($N2288)*0.75+N($O2288)*0.5+N($P2288)*0.25)+$W2288*N($L2288))</f>
        <v/>
      </c>
      <c r="Z2288" s="35" t="str">
        <f aca="false">IF($G2288="","",$U2288*1000000+ROW())</f>
        <v/>
      </c>
      <c r="AA2288" s="36" t="str">
        <f aca="false">IF($G2288="","",MID(IF($C2288="",", no division","")&amp;IF($E2288="",", no unit","")&amp;IF($H2288="",", no career level","")&amp;IF(N($L2288)&lt;=0,", no quarter split","")&amp;IF($R2288="",", no driver","")&amp;IF(AND($H2288&lt;&gt;"",COUNTIF(CareerLevels,$H2288)=0),", a career level that is not on the ladder","")&amp;IF(AND($R2288&lt;&gt;"",COUNTIF(DriverList,$R2288)=0),", a driver that is not on the list","")&amp;IF(ABS(N($L2288)-(N($M2288)+N($N2288)+N($O2288)+N($P2288)))&gt;0.001,", a total that does not match its quarters",""),3,300))</f>
        <v/>
      </c>
    </row>
    <row r="2289" customFormat="false" ht="15" hidden="false" customHeight="false" outlineLevel="0" collapsed="false">
      <c r="A2289" s="33" t="str">
        <f aca="false">IF($G2289="","","Treasury &amp; Investments Group")</f>
        <v/>
      </c>
      <c r="B2289" s="19"/>
      <c r="C2289" s="19"/>
      <c r="D2289" s="19"/>
      <c r="E2289" s="19"/>
      <c r="F2289" s="19"/>
      <c r="G2289" s="19"/>
      <c r="H2289" s="19"/>
      <c r="I2289" s="19"/>
      <c r="J2289" s="19"/>
      <c r="K2289" s="19"/>
      <c r="L2289" s="19"/>
      <c r="M2289" s="19"/>
      <c r="N2289" s="19"/>
      <c r="O2289" s="19"/>
      <c r="P2289" s="19"/>
      <c r="Q2289" s="19"/>
      <c r="R2289" s="19"/>
      <c r="S2289" s="19"/>
      <c r="T2289" s="34" t="str">
        <f aca="false">IF($R2289="","",IFERROR(INDEX(DriverCategory,MATCH($R2289,DriverList,0)),"BAU"))</f>
        <v/>
      </c>
      <c r="U2289" s="34" t="str">
        <f aca="false">IF($R2289="","",IFERROR(INDEX(DriverRank,MATCH($R2289,DriverList,0)),99))</f>
        <v/>
      </c>
      <c r="V2289" s="35" t="n">
        <f aca="false">IF($H2289="",0,IFERROR(INDEX(LevelBasic,MATCH($H2289,LevelList,0))+INDEX(LevelHousing,MATCH($H2289,LevelList,0))+INDEX(LevelTransport,MATCH($H2289,LevelList,0))+INDEX(LevelBasic,MATCH($H2289,LevelList,0))*INDEX(LevelBonus,MATCH($H2289,LevelList,0))+(INDEX(LevelBasic,MATCH($H2289,LevelList,0))+INDEX(LevelHousing,MATCH($H2289,LevelList,0)))*GosiSaudi,0))</f>
        <v>0</v>
      </c>
      <c r="W2289" s="35" t="n">
        <f aca="false">IFERROR(INDEX(LevelOneOff,MATCH($H2289,LevelList,0)),0)</f>
        <v>0</v>
      </c>
      <c r="X2289" s="35" t="str">
        <f aca="false">IF($G2289="","",$V2289*N($L2289))</f>
        <v/>
      </c>
      <c r="Y2289" s="35" t="str">
        <f aca="false">IF($G2289="","",$V2289*(N($M2289)*1+N($N2289)*0.75+N($O2289)*0.5+N($P2289)*0.25)+$W2289*N($L2289))</f>
        <v/>
      </c>
      <c r="Z2289" s="35" t="str">
        <f aca="false">IF($G2289="","",$U2289*1000000+ROW())</f>
        <v/>
      </c>
      <c r="AA2289" s="36" t="str">
        <f aca="false">IF($G2289="","",MID(IF($C2289="",", no division","")&amp;IF($E2289="",", no unit","")&amp;IF($H2289="",", no career level","")&amp;IF(N($L2289)&lt;=0,", no quarter split","")&amp;IF($R2289="",", no driver","")&amp;IF(AND($H2289&lt;&gt;"",COUNTIF(CareerLevels,$H2289)=0),", a career level that is not on the ladder","")&amp;IF(AND($R2289&lt;&gt;"",COUNTIF(DriverList,$R2289)=0),", a driver that is not on the list","")&amp;IF(ABS(N($L2289)-(N($M2289)+N($N2289)+N($O2289)+N($P2289)))&gt;0.001,", a total that does not match its quarters",""),3,300))</f>
        <v/>
      </c>
    </row>
    <row r="2290" customFormat="false" ht="15" hidden="false" customHeight="false" outlineLevel="0" collapsed="false">
      <c r="A2290" s="33" t="str">
        <f aca="false">IF($G2290="","","Treasury &amp; Investments Group")</f>
        <v/>
      </c>
      <c r="B2290" s="19"/>
      <c r="C2290" s="19"/>
      <c r="D2290" s="19"/>
      <c r="E2290" s="19"/>
      <c r="F2290" s="19"/>
      <c r="G2290" s="19"/>
      <c r="H2290" s="19"/>
      <c r="I2290" s="19"/>
      <c r="J2290" s="19"/>
      <c r="K2290" s="19"/>
      <c r="L2290" s="19"/>
      <c r="M2290" s="19"/>
      <c r="N2290" s="19"/>
      <c r="O2290" s="19"/>
      <c r="P2290" s="19"/>
      <c r="Q2290" s="19"/>
      <c r="R2290" s="19"/>
      <c r="S2290" s="19"/>
      <c r="T2290" s="34" t="str">
        <f aca="false">IF($R2290="","",IFERROR(INDEX(DriverCategory,MATCH($R2290,DriverList,0)),"BAU"))</f>
        <v/>
      </c>
      <c r="U2290" s="34" t="str">
        <f aca="false">IF($R2290="","",IFERROR(INDEX(DriverRank,MATCH($R2290,DriverList,0)),99))</f>
        <v/>
      </c>
      <c r="V2290" s="35" t="n">
        <f aca="false">IF($H2290="",0,IFERROR(INDEX(LevelBasic,MATCH($H2290,LevelList,0))+INDEX(LevelHousing,MATCH($H2290,LevelList,0))+INDEX(LevelTransport,MATCH($H2290,LevelList,0))+INDEX(LevelBasic,MATCH($H2290,LevelList,0))*INDEX(LevelBonus,MATCH($H2290,LevelList,0))+(INDEX(LevelBasic,MATCH($H2290,LevelList,0))+INDEX(LevelHousing,MATCH($H2290,LevelList,0)))*GosiSaudi,0))</f>
        <v>0</v>
      </c>
      <c r="W2290" s="35" t="n">
        <f aca="false">IFERROR(INDEX(LevelOneOff,MATCH($H2290,LevelList,0)),0)</f>
        <v>0</v>
      </c>
      <c r="X2290" s="35" t="str">
        <f aca="false">IF($G2290="","",$V2290*N($L2290))</f>
        <v/>
      </c>
      <c r="Y2290" s="35" t="str">
        <f aca="false">IF($G2290="","",$V2290*(N($M2290)*1+N($N2290)*0.75+N($O2290)*0.5+N($P2290)*0.25)+$W2290*N($L2290))</f>
        <v/>
      </c>
      <c r="Z2290" s="35" t="str">
        <f aca="false">IF($G2290="","",$U2290*1000000+ROW())</f>
        <v/>
      </c>
      <c r="AA2290" s="36" t="str">
        <f aca="false">IF($G2290="","",MID(IF($C2290="",", no division","")&amp;IF($E2290="",", no unit","")&amp;IF($H2290="",", no career level","")&amp;IF(N($L2290)&lt;=0,", no quarter split","")&amp;IF($R2290="",", no driver","")&amp;IF(AND($H2290&lt;&gt;"",COUNTIF(CareerLevels,$H2290)=0),", a career level that is not on the ladder","")&amp;IF(AND($R2290&lt;&gt;"",COUNTIF(DriverList,$R2290)=0),", a driver that is not on the list","")&amp;IF(ABS(N($L2290)-(N($M2290)+N($N2290)+N($O2290)+N($P2290)))&gt;0.001,", a total that does not match its quarters",""),3,300))</f>
        <v/>
      </c>
    </row>
    <row r="2291" customFormat="false" ht="15" hidden="false" customHeight="false" outlineLevel="0" collapsed="false">
      <c r="A2291" s="33" t="str">
        <f aca="false">IF($G2291="","","Treasury &amp; Investments Group")</f>
        <v/>
      </c>
      <c r="B2291" s="19"/>
      <c r="C2291" s="19"/>
      <c r="D2291" s="19"/>
      <c r="E2291" s="19"/>
      <c r="F2291" s="19"/>
      <c r="G2291" s="19"/>
      <c r="H2291" s="19"/>
      <c r="I2291" s="19"/>
      <c r="J2291" s="19"/>
      <c r="K2291" s="19"/>
      <c r="L2291" s="19"/>
      <c r="M2291" s="19"/>
      <c r="N2291" s="19"/>
      <c r="O2291" s="19"/>
      <c r="P2291" s="19"/>
      <c r="Q2291" s="19"/>
      <c r="R2291" s="19"/>
      <c r="S2291" s="19"/>
      <c r="T2291" s="34" t="str">
        <f aca="false">IF($R2291="","",IFERROR(INDEX(DriverCategory,MATCH($R2291,DriverList,0)),"BAU"))</f>
        <v/>
      </c>
      <c r="U2291" s="34" t="str">
        <f aca="false">IF($R2291="","",IFERROR(INDEX(DriverRank,MATCH($R2291,DriverList,0)),99))</f>
        <v/>
      </c>
      <c r="V2291" s="35" t="n">
        <f aca="false">IF($H2291="",0,IFERROR(INDEX(LevelBasic,MATCH($H2291,LevelList,0))+INDEX(LevelHousing,MATCH($H2291,LevelList,0))+INDEX(LevelTransport,MATCH($H2291,LevelList,0))+INDEX(LevelBasic,MATCH($H2291,LevelList,0))*INDEX(LevelBonus,MATCH($H2291,LevelList,0))+(INDEX(LevelBasic,MATCH($H2291,LevelList,0))+INDEX(LevelHousing,MATCH($H2291,LevelList,0)))*GosiSaudi,0))</f>
        <v>0</v>
      </c>
      <c r="W2291" s="35" t="n">
        <f aca="false">IFERROR(INDEX(LevelOneOff,MATCH($H2291,LevelList,0)),0)</f>
        <v>0</v>
      </c>
      <c r="X2291" s="35" t="str">
        <f aca="false">IF($G2291="","",$V2291*N($L2291))</f>
        <v/>
      </c>
      <c r="Y2291" s="35" t="str">
        <f aca="false">IF($G2291="","",$V2291*(N($M2291)*1+N($N2291)*0.75+N($O2291)*0.5+N($P2291)*0.25)+$W2291*N($L2291))</f>
        <v/>
      </c>
      <c r="Z2291" s="35" t="str">
        <f aca="false">IF($G2291="","",$U2291*1000000+ROW())</f>
        <v/>
      </c>
      <c r="AA2291" s="36" t="str">
        <f aca="false">IF($G2291="","",MID(IF($C2291="",", no division","")&amp;IF($E2291="",", no unit","")&amp;IF($H2291="",", no career level","")&amp;IF(N($L2291)&lt;=0,", no quarter split","")&amp;IF($R2291="",", no driver","")&amp;IF(AND($H2291&lt;&gt;"",COUNTIF(CareerLevels,$H2291)=0),", a career level that is not on the ladder","")&amp;IF(AND($R2291&lt;&gt;"",COUNTIF(DriverList,$R2291)=0),", a driver that is not on the list","")&amp;IF(ABS(N($L2291)-(N($M2291)+N($N2291)+N($O2291)+N($P2291)))&gt;0.001,", a total that does not match its quarters",""),3,300))</f>
        <v/>
      </c>
    </row>
    <row r="2292" customFormat="false" ht="15" hidden="false" customHeight="false" outlineLevel="0" collapsed="false">
      <c r="A2292" s="33" t="str">
        <f aca="false">IF($G2292="","","Treasury &amp; Investments Group")</f>
        <v/>
      </c>
      <c r="B2292" s="19"/>
      <c r="C2292" s="19"/>
      <c r="D2292" s="19"/>
      <c r="E2292" s="19"/>
      <c r="F2292" s="19"/>
      <c r="G2292" s="19"/>
      <c r="H2292" s="19"/>
      <c r="I2292" s="19"/>
      <c r="J2292" s="19"/>
      <c r="K2292" s="19"/>
      <c r="L2292" s="19"/>
      <c r="M2292" s="19"/>
      <c r="N2292" s="19"/>
      <c r="O2292" s="19"/>
      <c r="P2292" s="19"/>
      <c r="Q2292" s="19"/>
      <c r="R2292" s="19"/>
      <c r="S2292" s="19"/>
      <c r="T2292" s="34" t="str">
        <f aca="false">IF($R2292="","",IFERROR(INDEX(DriverCategory,MATCH($R2292,DriverList,0)),"BAU"))</f>
        <v/>
      </c>
      <c r="U2292" s="34" t="str">
        <f aca="false">IF($R2292="","",IFERROR(INDEX(DriverRank,MATCH($R2292,DriverList,0)),99))</f>
        <v/>
      </c>
      <c r="V2292" s="35" t="n">
        <f aca="false">IF($H2292="",0,IFERROR(INDEX(LevelBasic,MATCH($H2292,LevelList,0))+INDEX(LevelHousing,MATCH($H2292,LevelList,0))+INDEX(LevelTransport,MATCH($H2292,LevelList,0))+INDEX(LevelBasic,MATCH($H2292,LevelList,0))*INDEX(LevelBonus,MATCH($H2292,LevelList,0))+(INDEX(LevelBasic,MATCH($H2292,LevelList,0))+INDEX(LevelHousing,MATCH($H2292,LevelList,0)))*GosiSaudi,0))</f>
        <v>0</v>
      </c>
      <c r="W2292" s="35" t="n">
        <f aca="false">IFERROR(INDEX(LevelOneOff,MATCH($H2292,LevelList,0)),0)</f>
        <v>0</v>
      </c>
      <c r="X2292" s="35" t="str">
        <f aca="false">IF($G2292="","",$V2292*N($L2292))</f>
        <v/>
      </c>
      <c r="Y2292" s="35" t="str">
        <f aca="false">IF($G2292="","",$V2292*(N($M2292)*1+N($N2292)*0.75+N($O2292)*0.5+N($P2292)*0.25)+$W2292*N($L2292))</f>
        <v/>
      </c>
      <c r="Z2292" s="35" t="str">
        <f aca="false">IF($G2292="","",$U2292*1000000+ROW())</f>
        <v/>
      </c>
      <c r="AA2292" s="36" t="str">
        <f aca="false">IF($G2292="","",MID(IF($C2292="",", no division","")&amp;IF($E2292="",", no unit","")&amp;IF($H2292="",", no career level","")&amp;IF(N($L2292)&lt;=0,", no quarter split","")&amp;IF($R2292="",", no driver","")&amp;IF(AND($H2292&lt;&gt;"",COUNTIF(CareerLevels,$H2292)=0),", a career level that is not on the ladder","")&amp;IF(AND($R2292&lt;&gt;"",COUNTIF(DriverList,$R2292)=0),", a driver that is not on the list","")&amp;IF(ABS(N($L2292)-(N($M2292)+N($N2292)+N($O2292)+N($P2292)))&gt;0.001,", a total that does not match its quarters",""),3,300))</f>
        <v/>
      </c>
    </row>
    <row r="2293" customFormat="false" ht="15" hidden="false" customHeight="false" outlineLevel="0" collapsed="false">
      <c r="A2293" s="33" t="str">
        <f aca="false">IF($G2293="","","Treasury &amp; Investments Group")</f>
        <v/>
      </c>
      <c r="B2293" s="19"/>
      <c r="C2293" s="19"/>
      <c r="D2293" s="19"/>
      <c r="E2293" s="19"/>
      <c r="F2293" s="19"/>
      <c r="G2293" s="19"/>
      <c r="H2293" s="19"/>
      <c r="I2293" s="19"/>
      <c r="J2293" s="19"/>
      <c r="K2293" s="19"/>
      <c r="L2293" s="19"/>
      <c r="M2293" s="19"/>
      <c r="N2293" s="19"/>
      <c r="O2293" s="19"/>
      <c r="P2293" s="19"/>
      <c r="Q2293" s="19"/>
      <c r="R2293" s="19"/>
      <c r="S2293" s="19"/>
      <c r="T2293" s="34" t="str">
        <f aca="false">IF($R2293="","",IFERROR(INDEX(DriverCategory,MATCH($R2293,DriverList,0)),"BAU"))</f>
        <v/>
      </c>
      <c r="U2293" s="34" t="str">
        <f aca="false">IF($R2293="","",IFERROR(INDEX(DriverRank,MATCH($R2293,DriverList,0)),99))</f>
        <v/>
      </c>
      <c r="V2293" s="35" t="n">
        <f aca="false">IF($H2293="",0,IFERROR(INDEX(LevelBasic,MATCH($H2293,LevelList,0))+INDEX(LevelHousing,MATCH($H2293,LevelList,0))+INDEX(LevelTransport,MATCH($H2293,LevelList,0))+INDEX(LevelBasic,MATCH($H2293,LevelList,0))*INDEX(LevelBonus,MATCH($H2293,LevelList,0))+(INDEX(LevelBasic,MATCH($H2293,LevelList,0))+INDEX(LevelHousing,MATCH($H2293,LevelList,0)))*GosiSaudi,0))</f>
        <v>0</v>
      </c>
      <c r="W2293" s="35" t="n">
        <f aca="false">IFERROR(INDEX(LevelOneOff,MATCH($H2293,LevelList,0)),0)</f>
        <v>0</v>
      </c>
      <c r="X2293" s="35" t="str">
        <f aca="false">IF($G2293="","",$V2293*N($L2293))</f>
        <v/>
      </c>
      <c r="Y2293" s="35" t="str">
        <f aca="false">IF($G2293="","",$V2293*(N($M2293)*1+N($N2293)*0.75+N($O2293)*0.5+N($P2293)*0.25)+$W2293*N($L2293))</f>
        <v/>
      </c>
      <c r="Z2293" s="35" t="str">
        <f aca="false">IF($G2293="","",$U2293*1000000+ROW())</f>
        <v/>
      </c>
      <c r="AA2293" s="36" t="str">
        <f aca="false">IF($G2293="","",MID(IF($C2293="",", no division","")&amp;IF($E2293="",", no unit","")&amp;IF($H2293="",", no career level","")&amp;IF(N($L2293)&lt;=0,", no quarter split","")&amp;IF($R2293="",", no driver","")&amp;IF(AND($H2293&lt;&gt;"",COUNTIF(CareerLevels,$H2293)=0),", a career level that is not on the ladder","")&amp;IF(AND($R2293&lt;&gt;"",COUNTIF(DriverList,$R2293)=0),", a driver that is not on the list","")&amp;IF(ABS(N($L2293)-(N($M2293)+N($N2293)+N($O2293)+N($P2293)))&gt;0.001,", a total that does not match its quarters",""),3,300))</f>
        <v/>
      </c>
    </row>
    <row r="2294" customFormat="false" ht="15" hidden="false" customHeight="false" outlineLevel="0" collapsed="false">
      <c r="A2294" s="33" t="str">
        <f aca="false">IF($G2294="","","Treasury &amp; Investments Group")</f>
        <v/>
      </c>
      <c r="B2294" s="19"/>
      <c r="C2294" s="19"/>
      <c r="D2294" s="19"/>
      <c r="E2294" s="19"/>
      <c r="F2294" s="19"/>
      <c r="G2294" s="19"/>
      <c r="H2294" s="19"/>
      <c r="I2294" s="19"/>
      <c r="J2294" s="19"/>
      <c r="K2294" s="19"/>
      <c r="L2294" s="19"/>
      <c r="M2294" s="19"/>
      <c r="N2294" s="19"/>
      <c r="O2294" s="19"/>
      <c r="P2294" s="19"/>
      <c r="Q2294" s="19"/>
      <c r="R2294" s="19"/>
      <c r="S2294" s="19"/>
      <c r="T2294" s="34" t="str">
        <f aca="false">IF($R2294="","",IFERROR(INDEX(DriverCategory,MATCH($R2294,DriverList,0)),"BAU"))</f>
        <v/>
      </c>
      <c r="U2294" s="34" t="str">
        <f aca="false">IF($R2294="","",IFERROR(INDEX(DriverRank,MATCH($R2294,DriverList,0)),99))</f>
        <v/>
      </c>
      <c r="V2294" s="35" t="n">
        <f aca="false">IF($H2294="",0,IFERROR(INDEX(LevelBasic,MATCH($H2294,LevelList,0))+INDEX(LevelHousing,MATCH($H2294,LevelList,0))+INDEX(LevelTransport,MATCH($H2294,LevelList,0))+INDEX(LevelBasic,MATCH($H2294,LevelList,0))*INDEX(LevelBonus,MATCH($H2294,LevelList,0))+(INDEX(LevelBasic,MATCH($H2294,LevelList,0))+INDEX(LevelHousing,MATCH($H2294,LevelList,0)))*GosiSaudi,0))</f>
        <v>0</v>
      </c>
      <c r="W2294" s="35" t="n">
        <f aca="false">IFERROR(INDEX(LevelOneOff,MATCH($H2294,LevelList,0)),0)</f>
        <v>0</v>
      </c>
      <c r="X2294" s="35" t="str">
        <f aca="false">IF($G2294="","",$V2294*N($L2294))</f>
        <v/>
      </c>
      <c r="Y2294" s="35" t="str">
        <f aca="false">IF($G2294="","",$V2294*(N($M2294)*1+N($N2294)*0.75+N($O2294)*0.5+N($P2294)*0.25)+$W2294*N($L2294))</f>
        <v/>
      </c>
      <c r="Z2294" s="35" t="str">
        <f aca="false">IF($G2294="","",$U2294*1000000+ROW())</f>
        <v/>
      </c>
      <c r="AA2294" s="36" t="str">
        <f aca="false">IF($G2294="","",MID(IF($C2294="",", no division","")&amp;IF($E2294="",", no unit","")&amp;IF($H2294="",", no career level","")&amp;IF(N($L2294)&lt;=0,", no quarter split","")&amp;IF($R2294="",", no driver","")&amp;IF(AND($H2294&lt;&gt;"",COUNTIF(CareerLevels,$H2294)=0),", a career level that is not on the ladder","")&amp;IF(AND($R2294&lt;&gt;"",COUNTIF(DriverList,$R2294)=0),", a driver that is not on the list","")&amp;IF(ABS(N($L2294)-(N($M2294)+N($N2294)+N($O2294)+N($P2294)))&gt;0.001,", a total that does not match its quarters",""),3,300))</f>
        <v/>
      </c>
    </row>
    <row r="2295" customFormat="false" ht="15" hidden="false" customHeight="false" outlineLevel="0" collapsed="false">
      <c r="A2295" s="33" t="str">
        <f aca="false">IF($G2295="","","Treasury &amp; Investments Group")</f>
        <v/>
      </c>
      <c r="B2295" s="19"/>
      <c r="C2295" s="19"/>
      <c r="D2295" s="19"/>
      <c r="E2295" s="19"/>
      <c r="F2295" s="19"/>
      <c r="G2295" s="19"/>
      <c r="H2295" s="19"/>
      <c r="I2295" s="19"/>
      <c r="J2295" s="19"/>
      <c r="K2295" s="19"/>
      <c r="L2295" s="19"/>
      <c r="M2295" s="19"/>
      <c r="N2295" s="19"/>
      <c r="O2295" s="19"/>
      <c r="P2295" s="19"/>
      <c r="Q2295" s="19"/>
      <c r="R2295" s="19"/>
      <c r="S2295" s="19"/>
      <c r="T2295" s="34" t="str">
        <f aca="false">IF($R2295="","",IFERROR(INDEX(DriverCategory,MATCH($R2295,DriverList,0)),"BAU"))</f>
        <v/>
      </c>
      <c r="U2295" s="34" t="str">
        <f aca="false">IF($R2295="","",IFERROR(INDEX(DriverRank,MATCH($R2295,DriverList,0)),99))</f>
        <v/>
      </c>
      <c r="V2295" s="35" t="n">
        <f aca="false">IF($H2295="",0,IFERROR(INDEX(LevelBasic,MATCH($H2295,LevelList,0))+INDEX(LevelHousing,MATCH($H2295,LevelList,0))+INDEX(LevelTransport,MATCH($H2295,LevelList,0))+INDEX(LevelBasic,MATCH($H2295,LevelList,0))*INDEX(LevelBonus,MATCH($H2295,LevelList,0))+(INDEX(LevelBasic,MATCH($H2295,LevelList,0))+INDEX(LevelHousing,MATCH($H2295,LevelList,0)))*GosiSaudi,0))</f>
        <v>0</v>
      </c>
      <c r="W2295" s="35" t="n">
        <f aca="false">IFERROR(INDEX(LevelOneOff,MATCH($H2295,LevelList,0)),0)</f>
        <v>0</v>
      </c>
      <c r="X2295" s="35" t="str">
        <f aca="false">IF($G2295="","",$V2295*N($L2295))</f>
        <v/>
      </c>
      <c r="Y2295" s="35" t="str">
        <f aca="false">IF($G2295="","",$V2295*(N($M2295)*1+N($N2295)*0.75+N($O2295)*0.5+N($P2295)*0.25)+$W2295*N($L2295))</f>
        <v/>
      </c>
      <c r="Z2295" s="35" t="str">
        <f aca="false">IF($G2295="","",$U2295*1000000+ROW())</f>
        <v/>
      </c>
      <c r="AA2295" s="36" t="str">
        <f aca="false">IF($G2295="","",MID(IF($C2295="",", no division","")&amp;IF($E2295="",", no unit","")&amp;IF($H2295="",", no career level","")&amp;IF(N($L2295)&lt;=0,", no quarter split","")&amp;IF($R2295="",", no driver","")&amp;IF(AND($H2295&lt;&gt;"",COUNTIF(CareerLevels,$H2295)=0),", a career level that is not on the ladder","")&amp;IF(AND($R2295&lt;&gt;"",COUNTIF(DriverList,$R2295)=0),", a driver that is not on the list","")&amp;IF(ABS(N($L2295)-(N($M2295)+N($N2295)+N($O2295)+N($P2295)))&gt;0.001,", a total that does not match its quarters",""),3,300))</f>
        <v/>
      </c>
    </row>
    <row r="2296" customFormat="false" ht="15" hidden="false" customHeight="false" outlineLevel="0" collapsed="false">
      <c r="A2296" s="33" t="str">
        <f aca="false">IF($G2296="","","Treasury &amp; Investments Group")</f>
        <v/>
      </c>
      <c r="B2296" s="19"/>
      <c r="C2296" s="19"/>
      <c r="D2296" s="19"/>
      <c r="E2296" s="19"/>
      <c r="F2296" s="19"/>
      <c r="G2296" s="19"/>
      <c r="H2296" s="19"/>
      <c r="I2296" s="19"/>
      <c r="J2296" s="19"/>
      <c r="K2296" s="19"/>
      <c r="L2296" s="19"/>
      <c r="M2296" s="19"/>
      <c r="N2296" s="19"/>
      <c r="O2296" s="19"/>
      <c r="P2296" s="19"/>
      <c r="Q2296" s="19"/>
      <c r="R2296" s="19"/>
      <c r="S2296" s="19"/>
      <c r="T2296" s="34" t="str">
        <f aca="false">IF($R2296="","",IFERROR(INDEX(DriverCategory,MATCH($R2296,DriverList,0)),"BAU"))</f>
        <v/>
      </c>
      <c r="U2296" s="34" t="str">
        <f aca="false">IF($R2296="","",IFERROR(INDEX(DriverRank,MATCH($R2296,DriverList,0)),99))</f>
        <v/>
      </c>
      <c r="V2296" s="35" t="n">
        <f aca="false">IF($H2296="",0,IFERROR(INDEX(LevelBasic,MATCH($H2296,LevelList,0))+INDEX(LevelHousing,MATCH($H2296,LevelList,0))+INDEX(LevelTransport,MATCH($H2296,LevelList,0))+INDEX(LevelBasic,MATCH($H2296,LevelList,0))*INDEX(LevelBonus,MATCH($H2296,LevelList,0))+(INDEX(LevelBasic,MATCH($H2296,LevelList,0))+INDEX(LevelHousing,MATCH($H2296,LevelList,0)))*GosiSaudi,0))</f>
        <v>0</v>
      </c>
      <c r="W2296" s="35" t="n">
        <f aca="false">IFERROR(INDEX(LevelOneOff,MATCH($H2296,LevelList,0)),0)</f>
        <v>0</v>
      </c>
      <c r="X2296" s="35" t="str">
        <f aca="false">IF($G2296="","",$V2296*N($L2296))</f>
        <v/>
      </c>
      <c r="Y2296" s="35" t="str">
        <f aca="false">IF($G2296="","",$V2296*(N($M2296)*1+N($N2296)*0.75+N($O2296)*0.5+N($P2296)*0.25)+$W2296*N($L2296))</f>
        <v/>
      </c>
      <c r="Z2296" s="35" t="str">
        <f aca="false">IF($G2296="","",$U2296*1000000+ROW())</f>
        <v/>
      </c>
      <c r="AA2296" s="36" t="str">
        <f aca="false">IF($G2296="","",MID(IF($C2296="",", no division","")&amp;IF($E2296="",", no unit","")&amp;IF($H2296="",", no career level","")&amp;IF(N($L2296)&lt;=0,", no quarter split","")&amp;IF($R2296="",", no driver","")&amp;IF(AND($H2296&lt;&gt;"",COUNTIF(CareerLevels,$H2296)=0),", a career level that is not on the ladder","")&amp;IF(AND($R2296&lt;&gt;"",COUNTIF(DriverList,$R2296)=0),", a driver that is not on the list","")&amp;IF(ABS(N($L2296)-(N($M2296)+N($N2296)+N($O2296)+N($P2296)))&gt;0.001,", a total that does not match its quarters",""),3,300))</f>
        <v/>
      </c>
    </row>
    <row r="2297" customFormat="false" ht="15" hidden="false" customHeight="false" outlineLevel="0" collapsed="false">
      <c r="A2297" s="33" t="str">
        <f aca="false">IF($G2297="","","Treasury &amp; Investments Group")</f>
        <v/>
      </c>
      <c r="B2297" s="19"/>
      <c r="C2297" s="19"/>
      <c r="D2297" s="19"/>
      <c r="E2297" s="19"/>
      <c r="F2297" s="19"/>
      <c r="G2297" s="19"/>
      <c r="H2297" s="19"/>
      <c r="I2297" s="19"/>
      <c r="J2297" s="19"/>
      <c r="K2297" s="19"/>
      <c r="L2297" s="19"/>
      <c r="M2297" s="19"/>
      <c r="N2297" s="19"/>
      <c r="O2297" s="19"/>
      <c r="P2297" s="19"/>
      <c r="Q2297" s="19"/>
      <c r="R2297" s="19"/>
      <c r="S2297" s="19"/>
      <c r="T2297" s="34" t="str">
        <f aca="false">IF($R2297="","",IFERROR(INDEX(DriverCategory,MATCH($R2297,DriverList,0)),"BAU"))</f>
        <v/>
      </c>
      <c r="U2297" s="34" t="str">
        <f aca="false">IF($R2297="","",IFERROR(INDEX(DriverRank,MATCH($R2297,DriverList,0)),99))</f>
        <v/>
      </c>
      <c r="V2297" s="35" t="n">
        <f aca="false">IF($H2297="",0,IFERROR(INDEX(LevelBasic,MATCH($H2297,LevelList,0))+INDEX(LevelHousing,MATCH($H2297,LevelList,0))+INDEX(LevelTransport,MATCH($H2297,LevelList,0))+INDEX(LevelBasic,MATCH($H2297,LevelList,0))*INDEX(LevelBonus,MATCH($H2297,LevelList,0))+(INDEX(LevelBasic,MATCH($H2297,LevelList,0))+INDEX(LevelHousing,MATCH($H2297,LevelList,0)))*GosiSaudi,0))</f>
        <v>0</v>
      </c>
      <c r="W2297" s="35" t="n">
        <f aca="false">IFERROR(INDEX(LevelOneOff,MATCH($H2297,LevelList,0)),0)</f>
        <v>0</v>
      </c>
      <c r="X2297" s="35" t="str">
        <f aca="false">IF($G2297="","",$V2297*N($L2297))</f>
        <v/>
      </c>
      <c r="Y2297" s="35" t="str">
        <f aca="false">IF($G2297="","",$V2297*(N($M2297)*1+N($N2297)*0.75+N($O2297)*0.5+N($P2297)*0.25)+$W2297*N($L2297))</f>
        <v/>
      </c>
      <c r="Z2297" s="35" t="str">
        <f aca="false">IF($G2297="","",$U2297*1000000+ROW())</f>
        <v/>
      </c>
      <c r="AA2297" s="36" t="str">
        <f aca="false">IF($G2297="","",MID(IF($C2297="",", no division","")&amp;IF($E2297="",", no unit","")&amp;IF($H2297="",", no career level","")&amp;IF(N($L2297)&lt;=0,", no quarter split","")&amp;IF($R2297="",", no driver","")&amp;IF(AND($H2297&lt;&gt;"",COUNTIF(CareerLevels,$H2297)=0),", a career level that is not on the ladder","")&amp;IF(AND($R2297&lt;&gt;"",COUNTIF(DriverList,$R2297)=0),", a driver that is not on the list","")&amp;IF(ABS(N($L2297)-(N($M2297)+N($N2297)+N($O2297)+N($P2297)))&gt;0.001,", a total that does not match its quarters",""),3,300))</f>
        <v/>
      </c>
    </row>
    <row r="2298" customFormat="false" ht="15" hidden="false" customHeight="false" outlineLevel="0" collapsed="false">
      <c r="A2298" s="33" t="str">
        <f aca="false">IF($G2298="","","Treasury &amp; Investments Group")</f>
        <v/>
      </c>
      <c r="B2298" s="19"/>
      <c r="C2298" s="19"/>
      <c r="D2298" s="19"/>
      <c r="E2298" s="19"/>
      <c r="F2298" s="19"/>
      <c r="G2298" s="19"/>
      <c r="H2298" s="19"/>
      <c r="I2298" s="19"/>
      <c r="J2298" s="19"/>
      <c r="K2298" s="19"/>
      <c r="L2298" s="19"/>
      <c r="M2298" s="19"/>
      <c r="N2298" s="19"/>
      <c r="O2298" s="19"/>
      <c r="P2298" s="19"/>
      <c r="Q2298" s="19"/>
      <c r="R2298" s="19"/>
      <c r="S2298" s="19"/>
      <c r="T2298" s="34" t="str">
        <f aca="false">IF($R2298="","",IFERROR(INDEX(DriverCategory,MATCH($R2298,DriverList,0)),"BAU"))</f>
        <v/>
      </c>
      <c r="U2298" s="34" t="str">
        <f aca="false">IF($R2298="","",IFERROR(INDEX(DriverRank,MATCH($R2298,DriverList,0)),99))</f>
        <v/>
      </c>
      <c r="V2298" s="35" t="n">
        <f aca="false">IF($H2298="",0,IFERROR(INDEX(LevelBasic,MATCH($H2298,LevelList,0))+INDEX(LevelHousing,MATCH($H2298,LevelList,0))+INDEX(LevelTransport,MATCH($H2298,LevelList,0))+INDEX(LevelBasic,MATCH($H2298,LevelList,0))*INDEX(LevelBonus,MATCH($H2298,LevelList,0))+(INDEX(LevelBasic,MATCH($H2298,LevelList,0))+INDEX(LevelHousing,MATCH($H2298,LevelList,0)))*GosiSaudi,0))</f>
        <v>0</v>
      </c>
      <c r="W2298" s="35" t="n">
        <f aca="false">IFERROR(INDEX(LevelOneOff,MATCH($H2298,LevelList,0)),0)</f>
        <v>0</v>
      </c>
      <c r="X2298" s="35" t="str">
        <f aca="false">IF($G2298="","",$V2298*N($L2298))</f>
        <v/>
      </c>
      <c r="Y2298" s="35" t="str">
        <f aca="false">IF($G2298="","",$V2298*(N($M2298)*1+N($N2298)*0.75+N($O2298)*0.5+N($P2298)*0.25)+$W2298*N($L2298))</f>
        <v/>
      </c>
      <c r="Z2298" s="35" t="str">
        <f aca="false">IF($G2298="","",$U2298*1000000+ROW())</f>
        <v/>
      </c>
      <c r="AA2298" s="36" t="str">
        <f aca="false">IF($G2298="","",MID(IF($C2298="",", no division","")&amp;IF($E2298="",", no unit","")&amp;IF($H2298="",", no career level","")&amp;IF(N($L2298)&lt;=0,", no quarter split","")&amp;IF($R2298="",", no driver","")&amp;IF(AND($H2298&lt;&gt;"",COUNTIF(CareerLevels,$H2298)=0),", a career level that is not on the ladder","")&amp;IF(AND($R2298&lt;&gt;"",COUNTIF(DriverList,$R2298)=0),", a driver that is not on the list","")&amp;IF(ABS(N($L2298)-(N($M2298)+N($N2298)+N($O2298)+N($P2298)))&gt;0.001,", a total that does not match its quarters",""),3,300))</f>
        <v/>
      </c>
    </row>
    <row r="2299" customFormat="false" ht="15" hidden="false" customHeight="false" outlineLevel="0" collapsed="false">
      <c r="A2299" s="33" t="str">
        <f aca="false">IF($G2299="","","Treasury &amp; Investments Group")</f>
        <v/>
      </c>
      <c r="B2299" s="19"/>
      <c r="C2299" s="19"/>
      <c r="D2299" s="19"/>
      <c r="E2299" s="19"/>
      <c r="F2299" s="19"/>
      <c r="G2299" s="19"/>
      <c r="H2299" s="19"/>
      <c r="I2299" s="19"/>
      <c r="J2299" s="19"/>
      <c r="K2299" s="19"/>
      <c r="L2299" s="19"/>
      <c r="M2299" s="19"/>
      <c r="N2299" s="19"/>
      <c r="O2299" s="19"/>
      <c r="P2299" s="19"/>
      <c r="Q2299" s="19"/>
      <c r="R2299" s="19"/>
      <c r="S2299" s="19"/>
      <c r="T2299" s="34" t="str">
        <f aca="false">IF($R2299="","",IFERROR(INDEX(DriverCategory,MATCH($R2299,DriverList,0)),"BAU"))</f>
        <v/>
      </c>
      <c r="U2299" s="34" t="str">
        <f aca="false">IF($R2299="","",IFERROR(INDEX(DriverRank,MATCH($R2299,DriverList,0)),99))</f>
        <v/>
      </c>
      <c r="V2299" s="35" t="n">
        <f aca="false">IF($H2299="",0,IFERROR(INDEX(LevelBasic,MATCH($H2299,LevelList,0))+INDEX(LevelHousing,MATCH($H2299,LevelList,0))+INDEX(LevelTransport,MATCH($H2299,LevelList,0))+INDEX(LevelBasic,MATCH($H2299,LevelList,0))*INDEX(LevelBonus,MATCH($H2299,LevelList,0))+(INDEX(LevelBasic,MATCH($H2299,LevelList,0))+INDEX(LevelHousing,MATCH($H2299,LevelList,0)))*GosiSaudi,0))</f>
        <v>0</v>
      </c>
      <c r="W2299" s="35" t="n">
        <f aca="false">IFERROR(INDEX(LevelOneOff,MATCH($H2299,LevelList,0)),0)</f>
        <v>0</v>
      </c>
      <c r="X2299" s="35" t="str">
        <f aca="false">IF($G2299="","",$V2299*N($L2299))</f>
        <v/>
      </c>
      <c r="Y2299" s="35" t="str">
        <f aca="false">IF($G2299="","",$V2299*(N($M2299)*1+N($N2299)*0.75+N($O2299)*0.5+N($P2299)*0.25)+$W2299*N($L2299))</f>
        <v/>
      </c>
      <c r="Z2299" s="35" t="str">
        <f aca="false">IF($G2299="","",$U2299*1000000+ROW())</f>
        <v/>
      </c>
      <c r="AA2299" s="36" t="str">
        <f aca="false">IF($G2299="","",MID(IF($C2299="",", no division","")&amp;IF($E2299="",", no unit","")&amp;IF($H2299="",", no career level","")&amp;IF(N($L2299)&lt;=0,", no quarter split","")&amp;IF($R2299="",", no driver","")&amp;IF(AND($H2299&lt;&gt;"",COUNTIF(CareerLevels,$H2299)=0),", a career level that is not on the ladder","")&amp;IF(AND($R2299&lt;&gt;"",COUNTIF(DriverList,$R2299)=0),", a driver that is not on the list","")&amp;IF(ABS(N($L2299)-(N($M2299)+N($N2299)+N($O2299)+N($P2299)))&gt;0.001,", a total that does not match its quarters",""),3,300))</f>
        <v/>
      </c>
    </row>
    <row r="2300" customFormat="false" ht="15" hidden="false" customHeight="false" outlineLevel="0" collapsed="false">
      <c r="A2300" s="33" t="str">
        <f aca="false">IF($G2300="","","Treasury &amp; Investments Group")</f>
        <v/>
      </c>
      <c r="B2300" s="19"/>
      <c r="C2300" s="19"/>
      <c r="D2300" s="19"/>
      <c r="E2300" s="19"/>
      <c r="F2300" s="19"/>
      <c r="G2300" s="19"/>
      <c r="H2300" s="19"/>
      <c r="I2300" s="19"/>
      <c r="J2300" s="19"/>
      <c r="K2300" s="19"/>
      <c r="L2300" s="19"/>
      <c r="M2300" s="19"/>
      <c r="N2300" s="19"/>
      <c r="O2300" s="19"/>
      <c r="P2300" s="19"/>
      <c r="Q2300" s="19"/>
      <c r="R2300" s="19"/>
      <c r="S2300" s="19"/>
      <c r="T2300" s="34" t="str">
        <f aca="false">IF($R2300="","",IFERROR(INDEX(DriverCategory,MATCH($R2300,DriverList,0)),"BAU"))</f>
        <v/>
      </c>
      <c r="U2300" s="34" t="str">
        <f aca="false">IF($R2300="","",IFERROR(INDEX(DriverRank,MATCH($R2300,DriverList,0)),99))</f>
        <v/>
      </c>
      <c r="V2300" s="35" t="n">
        <f aca="false">IF($H2300="",0,IFERROR(INDEX(LevelBasic,MATCH($H2300,LevelList,0))+INDEX(LevelHousing,MATCH($H2300,LevelList,0))+INDEX(LevelTransport,MATCH($H2300,LevelList,0))+INDEX(LevelBasic,MATCH($H2300,LevelList,0))*INDEX(LevelBonus,MATCH($H2300,LevelList,0))+(INDEX(LevelBasic,MATCH($H2300,LevelList,0))+INDEX(LevelHousing,MATCH($H2300,LevelList,0)))*GosiSaudi,0))</f>
        <v>0</v>
      </c>
      <c r="W2300" s="35" t="n">
        <f aca="false">IFERROR(INDEX(LevelOneOff,MATCH($H2300,LevelList,0)),0)</f>
        <v>0</v>
      </c>
      <c r="X2300" s="35" t="str">
        <f aca="false">IF($G2300="","",$V2300*N($L2300))</f>
        <v/>
      </c>
      <c r="Y2300" s="35" t="str">
        <f aca="false">IF($G2300="","",$V2300*(N($M2300)*1+N($N2300)*0.75+N($O2300)*0.5+N($P2300)*0.25)+$W2300*N($L2300))</f>
        <v/>
      </c>
      <c r="Z2300" s="35" t="str">
        <f aca="false">IF($G2300="","",$U2300*1000000+ROW())</f>
        <v/>
      </c>
      <c r="AA2300" s="36" t="str">
        <f aca="false">IF($G2300="","",MID(IF($C2300="",", no division","")&amp;IF($E2300="",", no unit","")&amp;IF($H2300="",", no career level","")&amp;IF(N($L2300)&lt;=0,", no quarter split","")&amp;IF($R2300="",", no driver","")&amp;IF(AND($H2300&lt;&gt;"",COUNTIF(CareerLevels,$H2300)=0),", a career level that is not on the ladder","")&amp;IF(AND($R2300&lt;&gt;"",COUNTIF(DriverList,$R2300)=0),", a driver that is not on the list","")&amp;IF(ABS(N($L2300)-(N($M2300)+N($N2300)+N($O2300)+N($P2300)))&gt;0.001,", a total that does not match its quarters",""),3,300))</f>
        <v/>
      </c>
    </row>
    <row r="2301" customFormat="false" ht="15" hidden="false" customHeight="false" outlineLevel="0" collapsed="false">
      <c r="A2301" s="33" t="str">
        <f aca="false">IF($G2301="","","Treasury &amp; Investments Group")</f>
        <v/>
      </c>
      <c r="B2301" s="19"/>
      <c r="C2301" s="19"/>
      <c r="D2301" s="19"/>
      <c r="E2301" s="19"/>
      <c r="F2301" s="19"/>
      <c r="G2301" s="19"/>
      <c r="H2301" s="19"/>
      <c r="I2301" s="19"/>
      <c r="J2301" s="19"/>
      <c r="K2301" s="19"/>
      <c r="L2301" s="19"/>
      <c r="M2301" s="19"/>
      <c r="N2301" s="19"/>
      <c r="O2301" s="19"/>
      <c r="P2301" s="19"/>
      <c r="Q2301" s="19"/>
      <c r="R2301" s="19"/>
      <c r="S2301" s="19"/>
      <c r="T2301" s="34" t="str">
        <f aca="false">IF($R2301="","",IFERROR(INDEX(DriverCategory,MATCH($R2301,DriverList,0)),"BAU"))</f>
        <v/>
      </c>
      <c r="U2301" s="34" t="str">
        <f aca="false">IF($R2301="","",IFERROR(INDEX(DriverRank,MATCH($R2301,DriverList,0)),99))</f>
        <v/>
      </c>
      <c r="V2301" s="35" t="n">
        <f aca="false">IF($H2301="",0,IFERROR(INDEX(LevelBasic,MATCH($H2301,LevelList,0))+INDEX(LevelHousing,MATCH($H2301,LevelList,0))+INDEX(LevelTransport,MATCH($H2301,LevelList,0))+INDEX(LevelBasic,MATCH($H2301,LevelList,0))*INDEX(LevelBonus,MATCH($H2301,LevelList,0))+(INDEX(LevelBasic,MATCH($H2301,LevelList,0))+INDEX(LevelHousing,MATCH($H2301,LevelList,0)))*GosiSaudi,0))</f>
        <v>0</v>
      </c>
      <c r="W2301" s="35" t="n">
        <f aca="false">IFERROR(INDEX(LevelOneOff,MATCH($H2301,LevelList,0)),0)</f>
        <v>0</v>
      </c>
      <c r="X2301" s="35" t="str">
        <f aca="false">IF($G2301="","",$V2301*N($L2301))</f>
        <v/>
      </c>
      <c r="Y2301" s="35" t="str">
        <f aca="false">IF($G2301="","",$V2301*(N($M2301)*1+N($N2301)*0.75+N($O2301)*0.5+N($P2301)*0.25)+$W2301*N($L2301))</f>
        <v/>
      </c>
      <c r="Z2301" s="35" t="str">
        <f aca="false">IF($G2301="","",$U2301*1000000+ROW())</f>
        <v/>
      </c>
      <c r="AA2301" s="36" t="str">
        <f aca="false">IF($G2301="","",MID(IF($C2301="",", no division","")&amp;IF($E2301="",", no unit","")&amp;IF($H2301="",", no career level","")&amp;IF(N($L2301)&lt;=0,", no quarter split","")&amp;IF($R2301="",", no driver","")&amp;IF(AND($H2301&lt;&gt;"",COUNTIF(CareerLevels,$H2301)=0),", a career level that is not on the ladder","")&amp;IF(AND($R2301&lt;&gt;"",COUNTIF(DriverList,$R2301)=0),", a driver that is not on the list","")&amp;IF(ABS(N($L2301)-(N($M2301)+N($N2301)+N($O2301)+N($P2301)))&gt;0.001,", a total that does not match its quarters",""),3,300))</f>
        <v/>
      </c>
    </row>
    <row r="2302" customFormat="false" ht="15" hidden="false" customHeight="false" outlineLevel="0" collapsed="false">
      <c r="A2302" s="33" t="str">
        <f aca="false">IF($G2302="","","Treasury &amp; Investments Group")</f>
        <v/>
      </c>
      <c r="B2302" s="19"/>
      <c r="C2302" s="19"/>
      <c r="D2302" s="19"/>
      <c r="E2302" s="19"/>
      <c r="F2302" s="19"/>
      <c r="G2302" s="19"/>
      <c r="H2302" s="19"/>
      <c r="I2302" s="19"/>
      <c r="J2302" s="19"/>
      <c r="K2302" s="19"/>
      <c r="L2302" s="19"/>
      <c r="M2302" s="19"/>
      <c r="N2302" s="19"/>
      <c r="O2302" s="19"/>
      <c r="P2302" s="19"/>
      <c r="Q2302" s="19"/>
      <c r="R2302" s="19"/>
      <c r="S2302" s="19"/>
      <c r="T2302" s="34" t="str">
        <f aca="false">IF($R2302="","",IFERROR(INDEX(DriverCategory,MATCH($R2302,DriverList,0)),"BAU"))</f>
        <v/>
      </c>
      <c r="U2302" s="34" t="str">
        <f aca="false">IF($R2302="","",IFERROR(INDEX(DriverRank,MATCH($R2302,DriverList,0)),99))</f>
        <v/>
      </c>
      <c r="V2302" s="35" t="n">
        <f aca="false">IF($H2302="",0,IFERROR(INDEX(LevelBasic,MATCH($H2302,LevelList,0))+INDEX(LevelHousing,MATCH($H2302,LevelList,0))+INDEX(LevelTransport,MATCH($H2302,LevelList,0))+INDEX(LevelBasic,MATCH($H2302,LevelList,0))*INDEX(LevelBonus,MATCH($H2302,LevelList,0))+(INDEX(LevelBasic,MATCH($H2302,LevelList,0))+INDEX(LevelHousing,MATCH($H2302,LevelList,0)))*GosiSaudi,0))</f>
        <v>0</v>
      </c>
      <c r="W2302" s="35" t="n">
        <f aca="false">IFERROR(INDEX(LevelOneOff,MATCH($H2302,LevelList,0)),0)</f>
        <v>0</v>
      </c>
      <c r="X2302" s="35" t="str">
        <f aca="false">IF($G2302="","",$V2302*N($L2302))</f>
        <v/>
      </c>
      <c r="Y2302" s="35" t="str">
        <f aca="false">IF($G2302="","",$V2302*(N($M2302)*1+N($N2302)*0.75+N($O2302)*0.5+N($P2302)*0.25)+$W2302*N($L2302))</f>
        <v/>
      </c>
      <c r="Z2302" s="35" t="str">
        <f aca="false">IF($G2302="","",$U2302*1000000+ROW())</f>
        <v/>
      </c>
      <c r="AA2302" s="36" t="str">
        <f aca="false">IF($G2302="","",MID(IF($C2302="",", no division","")&amp;IF($E2302="",", no unit","")&amp;IF($H2302="",", no career level","")&amp;IF(N($L2302)&lt;=0,", no quarter split","")&amp;IF($R2302="",", no driver","")&amp;IF(AND($H2302&lt;&gt;"",COUNTIF(CareerLevels,$H2302)=0),", a career level that is not on the ladder","")&amp;IF(AND($R2302&lt;&gt;"",COUNTIF(DriverList,$R2302)=0),", a driver that is not on the list","")&amp;IF(ABS(N($L2302)-(N($M2302)+N($N2302)+N($O2302)+N($P2302)))&gt;0.001,", a total that does not match its quarters",""),3,300))</f>
        <v/>
      </c>
    </row>
    <row r="2303" customFormat="false" ht="15" hidden="false" customHeight="false" outlineLevel="0" collapsed="false">
      <c r="A2303" s="33" t="str">
        <f aca="false">IF($G2303="","","Treasury &amp; Investments Group")</f>
        <v/>
      </c>
      <c r="B2303" s="19"/>
      <c r="C2303" s="19"/>
      <c r="D2303" s="19"/>
      <c r="E2303" s="19"/>
      <c r="F2303" s="19"/>
      <c r="G2303" s="19"/>
      <c r="H2303" s="19"/>
      <c r="I2303" s="19"/>
      <c r="J2303" s="19"/>
      <c r="K2303" s="19"/>
      <c r="L2303" s="19"/>
      <c r="M2303" s="19"/>
      <c r="N2303" s="19"/>
      <c r="O2303" s="19"/>
      <c r="P2303" s="19"/>
      <c r="Q2303" s="19"/>
      <c r="R2303" s="19"/>
      <c r="S2303" s="19"/>
      <c r="T2303" s="34" t="str">
        <f aca="false">IF($R2303="","",IFERROR(INDEX(DriverCategory,MATCH($R2303,DriverList,0)),"BAU"))</f>
        <v/>
      </c>
      <c r="U2303" s="34" t="str">
        <f aca="false">IF($R2303="","",IFERROR(INDEX(DriverRank,MATCH($R2303,DriverList,0)),99))</f>
        <v/>
      </c>
      <c r="V2303" s="35" t="n">
        <f aca="false">IF($H2303="",0,IFERROR(INDEX(LevelBasic,MATCH($H2303,LevelList,0))+INDEX(LevelHousing,MATCH($H2303,LevelList,0))+INDEX(LevelTransport,MATCH($H2303,LevelList,0))+INDEX(LevelBasic,MATCH($H2303,LevelList,0))*INDEX(LevelBonus,MATCH($H2303,LevelList,0))+(INDEX(LevelBasic,MATCH($H2303,LevelList,0))+INDEX(LevelHousing,MATCH($H2303,LevelList,0)))*GosiSaudi,0))</f>
        <v>0</v>
      </c>
      <c r="W2303" s="35" t="n">
        <f aca="false">IFERROR(INDEX(LevelOneOff,MATCH($H2303,LevelList,0)),0)</f>
        <v>0</v>
      </c>
      <c r="X2303" s="35" t="str">
        <f aca="false">IF($G2303="","",$V2303*N($L2303))</f>
        <v/>
      </c>
      <c r="Y2303" s="35" t="str">
        <f aca="false">IF($G2303="","",$V2303*(N($M2303)*1+N($N2303)*0.75+N($O2303)*0.5+N($P2303)*0.25)+$W2303*N($L2303))</f>
        <v/>
      </c>
      <c r="Z2303" s="35" t="str">
        <f aca="false">IF($G2303="","",$U2303*1000000+ROW())</f>
        <v/>
      </c>
      <c r="AA2303" s="36" t="str">
        <f aca="false">IF($G2303="","",MID(IF($C2303="",", no division","")&amp;IF($E2303="",", no unit","")&amp;IF($H2303="",", no career level","")&amp;IF(N($L2303)&lt;=0,", no quarter split","")&amp;IF($R2303="",", no driver","")&amp;IF(AND($H2303&lt;&gt;"",COUNTIF(CareerLevels,$H2303)=0),", a career level that is not on the ladder","")&amp;IF(AND($R2303&lt;&gt;"",COUNTIF(DriverList,$R2303)=0),", a driver that is not on the list","")&amp;IF(ABS(N($L2303)-(N($M2303)+N($N2303)+N($O2303)+N($P2303)))&gt;0.001,", a total that does not match its quarters",""),3,300))</f>
        <v/>
      </c>
    </row>
    <row r="2304" customFormat="false" ht="15" hidden="false" customHeight="false" outlineLevel="0" collapsed="false">
      <c r="A2304" s="33" t="str">
        <f aca="false">IF($G2304="","","Treasury &amp; Investments Group")</f>
        <v/>
      </c>
      <c r="B2304" s="19"/>
      <c r="C2304" s="19"/>
      <c r="D2304" s="19"/>
      <c r="E2304" s="19"/>
      <c r="F2304" s="19"/>
      <c r="G2304" s="19"/>
      <c r="H2304" s="19"/>
      <c r="I2304" s="19"/>
      <c r="J2304" s="19"/>
      <c r="K2304" s="19"/>
      <c r="L2304" s="19"/>
      <c r="M2304" s="19"/>
      <c r="N2304" s="19"/>
      <c r="O2304" s="19"/>
      <c r="P2304" s="19"/>
      <c r="Q2304" s="19"/>
      <c r="R2304" s="19"/>
      <c r="S2304" s="19"/>
      <c r="T2304" s="34" t="str">
        <f aca="false">IF($R2304="","",IFERROR(INDEX(DriverCategory,MATCH($R2304,DriverList,0)),"BAU"))</f>
        <v/>
      </c>
      <c r="U2304" s="34" t="str">
        <f aca="false">IF($R2304="","",IFERROR(INDEX(DriverRank,MATCH($R2304,DriverList,0)),99))</f>
        <v/>
      </c>
      <c r="V2304" s="35" t="n">
        <f aca="false">IF($H2304="",0,IFERROR(INDEX(LevelBasic,MATCH($H2304,LevelList,0))+INDEX(LevelHousing,MATCH($H2304,LevelList,0))+INDEX(LevelTransport,MATCH($H2304,LevelList,0))+INDEX(LevelBasic,MATCH($H2304,LevelList,0))*INDEX(LevelBonus,MATCH($H2304,LevelList,0))+(INDEX(LevelBasic,MATCH($H2304,LevelList,0))+INDEX(LevelHousing,MATCH($H2304,LevelList,0)))*GosiSaudi,0))</f>
        <v>0</v>
      </c>
      <c r="W2304" s="35" t="n">
        <f aca="false">IFERROR(INDEX(LevelOneOff,MATCH($H2304,LevelList,0)),0)</f>
        <v>0</v>
      </c>
      <c r="X2304" s="35" t="str">
        <f aca="false">IF($G2304="","",$V2304*N($L2304))</f>
        <v/>
      </c>
      <c r="Y2304" s="35" t="str">
        <f aca="false">IF($G2304="","",$V2304*(N($M2304)*1+N($N2304)*0.75+N($O2304)*0.5+N($P2304)*0.25)+$W2304*N($L2304))</f>
        <v/>
      </c>
      <c r="Z2304" s="35" t="str">
        <f aca="false">IF($G2304="","",$U2304*1000000+ROW())</f>
        <v/>
      </c>
      <c r="AA2304" s="36" t="str">
        <f aca="false">IF($G2304="","",MID(IF($C2304="",", no division","")&amp;IF($E2304="",", no unit","")&amp;IF($H2304="",", no career level","")&amp;IF(N($L2304)&lt;=0,", no quarter split","")&amp;IF($R2304="",", no driver","")&amp;IF(AND($H2304&lt;&gt;"",COUNTIF(CareerLevels,$H2304)=0),", a career level that is not on the ladder","")&amp;IF(AND($R2304&lt;&gt;"",COUNTIF(DriverList,$R2304)=0),", a driver that is not on the list","")&amp;IF(ABS(N($L2304)-(N($M2304)+N($N2304)+N($O2304)+N($P2304)))&gt;0.001,", a total that does not match its quarters",""),3,300))</f>
        <v/>
      </c>
    </row>
    <row r="2305" customFormat="false" ht="15" hidden="false" customHeight="false" outlineLevel="0" collapsed="false">
      <c r="A2305" s="33" t="str">
        <f aca="false">IF($G2305="","","Treasury &amp; Investments Group")</f>
        <v/>
      </c>
      <c r="B2305" s="19"/>
      <c r="C2305" s="19"/>
      <c r="D2305" s="19"/>
      <c r="E2305" s="19"/>
      <c r="F2305" s="19"/>
      <c r="G2305" s="19"/>
      <c r="H2305" s="19"/>
      <c r="I2305" s="19"/>
      <c r="J2305" s="19"/>
      <c r="K2305" s="19"/>
      <c r="L2305" s="19"/>
      <c r="M2305" s="19"/>
      <c r="N2305" s="19"/>
      <c r="O2305" s="19"/>
      <c r="P2305" s="19"/>
      <c r="Q2305" s="19"/>
      <c r="R2305" s="19"/>
      <c r="S2305" s="19"/>
      <c r="T2305" s="34" t="str">
        <f aca="false">IF($R2305="","",IFERROR(INDEX(DriverCategory,MATCH($R2305,DriverList,0)),"BAU"))</f>
        <v/>
      </c>
      <c r="U2305" s="34" t="str">
        <f aca="false">IF($R2305="","",IFERROR(INDEX(DriverRank,MATCH($R2305,DriverList,0)),99))</f>
        <v/>
      </c>
      <c r="V2305" s="35" t="n">
        <f aca="false">IF($H2305="",0,IFERROR(INDEX(LevelBasic,MATCH($H2305,LevelList,0))+INDEX(LevelHousing,MATCH($H2305,LevelList,0))+INDEX(LevelTransport,MATCH($H2305,LevelList,0))+INDEX(LevelBasic,MATCH($H2305,LevelList,0))*INDEX(LevelBonus,MATCH($H2305,LevelList,0))+(INDEX(LevelBasic,MATCH($H2305,LevelList,0))+INDEX(LevelHousing,MATCH($H2305,LevelList,0)))*GosiSaudi,0))</f>
        <v>0</v>
      </c>
      <c r="W2305" s="35" t="n">
        <f aca="false">IFERROR(INDEX(LevelOneOff,MATCH($H2305,LevelList,0)),0)</f>
        <v>0</v>
      </c>
      <c r="X2305" s="35" t="str">
        <f aca="false">IF($G2305="","",$V2305*N($L2305))</f>
        <v/>
      </c>
      <c r="Y2305" s="35" t="str">
        <f aca="false">IF($G2305="","",$V2305*(N($M2305)*1+N($N2305)*0.75+N($O2305)*0.5+N($P2305)*0.25)+$W2305*N($L2305))</f>
        <v/>
      </c>
      <c r="Z2305" s="35" t="str">
        <f aca="false">IF($G2305="","",$U2305*1000000+ROW())</f>
        <v/>
      </c>
      <c r="AA2305" s="36" t="str">
        <f aca="false">IF($G2305="","",MID(IF($C2305="",", no division","")&amp;IF($E2305="",", no unit","")&amp;IF($H2305="",", no career level","")&amp;IF(N($L2305)&lt;=0,", no quarter split","")&amp;IF($R2305="",", no driver","")&amp;IF(AND($H2305&lt;&gt;"",COUNTIF(CareerLevels,$H2305)=0),", a career level that is not on the ladder","")&amp;IF(AND($R2305&lt;&gt;"",COUNTIF(DriverList,$R2305)=0),", a driver that is not on the list","")&amp;IF(ABS(N($L2305)-(N($M2305)+N($N2305)+N($O2305)+N($P2305)))&gt;0.001,", a total that does not match its quarters",""),3,300))</f>
        <v/>
      </c>
    </row>
    <row r="2306" customFormat="false" ht="15" hidden="false" customHeight="false" outlineLevel="0" collapsed="false">
      <c r="A2306" s="33" t="str">
        <f aca="false">IF($G2306="","","Treasury &amp; Investments Group")</f>
        <v/>
      </c>
      <c r="B2306" s="19"/>
      <c r="C2306" s="19"/>
      <c r="D2306" s="19"/>
      <c r="E2306" s="19"/>
      <c r="F2306" s="19"/>
      <c r="G2306" s="19"/>
      <c r="H2306" s="19"/>
      <c r="I2306" s="19"/>
      <c r="J2306" s="19"/>
      <c r="K2306" s="19"/>
      <c r="L2306" s="19"/>
      <c r="M2306" s="19"/>
      <c r="N2306" s="19"/>
      <c r="O2306" s="19"/>
      <c r="P2306" s="19"/>
      <c r="Q2306" s="19"/>
      <c r="R2306" s="19"/>
      <c r="S2306" s="19"/>
      <c r="T2306" s="34" t="str">
        <f aca="false">IF($R2306="","",IFERROR(INDEX(DriverCategory,MATCH($R2306,DriverList,0)),"BAU"))</f>
        <v/>
      </c>
      <c r="U2306" s="34" t="str">
        <f aca="false">IF($R2306="","",IFERROR(INDEX(DriverRank,MATCH($R2306,DriverList,0)),99))</f>
        <v/>
      </c>
      <c r="V2306" s="35" t="n">
        <f aca="false">IF($H2306="",0,IFERROR(INDEX(LevelBasic,MATCH($H2306,LevelList,0))+INDEX(LevelHousing,MATCH($H2306,LevelList,0))+INDEX(LevelTransport,MATCH($H2306,LevelList,0))+INDEX(LevelBasic,MATCH($H2306,LevelList,0))*INDEX(LevelBonus,MATCH($H2306,LevelList,0))+(INDEX(LevelBasic,MATCH($H2306,LevelList,0))+INDEX(LevelHousing,MATCH($H2306,LevelList,0)))*GosiSaudi,0))</f>
        <v>0</v>
      </c>
      <c r="W2306" s="35" t="n">
        <f aca="false">IFERROR(INDEX(LevelOneOff,MATCH($H2306,LevelList,0)),0)</f>
        <v>0</v>
      </c>
      <c r="X2306" s="35" t="str">
        <f aca="false">IF($G2306="","",$V2306*N($L2306))</f>
        <v/>
      </c>
      <c r="Y2306" s="35" t="str">
        <f aca="false">IF($G2306="","",$V2306*(N($M2306)*1+N($N2306)*0.75+N($O2306)*0.5+N($P2306)*0.25)+$W2306*N($L2306))</f>
        <v/>
      </c>
      <c r="Z2306" s="35" t="str">
        <f aca="false">IF($G2306="","",$U2306*1000000+ROW())</f>
        <v/>
      </c>
      <c r="AA2306" s="36" t="str">
        <f aca="false">IF($G2306="","",MID(IF($C2306="",", no division","")&amp;IF($E2306="",", no unit","")&amp;IF($H2306="",", no career level","")&amp;IF(N($L2306)&lt;=0,", no quarter split","")&amp;IF($R2306="",", no driver","")&amp;IF(AND($H2306&lt;&gt;"",COUNTIF(CareerLevels,$H2306)=0),", a career level that is not on the ladder","")&amp;IF(AND($R2306&lt;&gt;"",COUNTIF(DriverList,$R2306)=0),", a driver that is not on the list","")&amp;IF(ABS(N($L2306)-(N($M2306)+N($N2306)+N($O2306)+N($P2306)))&gt;0.001,", a total that does not match its quarters",""),3,300))</f>
        <v/>
      </c>
    </row>
    <row r="2307" customFormat="false" ht="15" hidden="false" customHeight="false" outlineLevel="0" collapsed="false">
      <c r="A2307" s="33" t="str">
        <f aca="false">IF($G2307="","","Treasury &amp; Investments Group")</f>
        <v/>
      </c>
      <c r="B2307" s="19"/>
      <c r="C2307" s="19"/>
      <c r="D2307" s="19"/>
      <c r="E2307" s="19"/>
      <c r="F2307" s="19"/>
      <c r="G2307" s="19"/>
      <c r="H2307" s="19"/>
      <c r="I2307" s="19"/>
      <c r="J2307" s="19"/>
      <c r="K2307" s="19"/>
      <c r="L2307" s="19"/>
      <c r="M2307" s="19"/>
      <c r="N2307" s="19"/>
      <c r="O2307" s="19"/>
      <c r="P2307" s="19"/>
      <c r="Q2307" s="19"/>
      <c r="R2307" s="19"/>
      <c r="S2307" s="19"/>
      <c r="T2307" s="34" t="str">
        <f aca="false">IF($R2307="","",IFERROR(INDEX(DriverCategory,MATCH($R2307,DriverList,0)),"BAU"))</f>
        <v/>
      </c>
      <c r="U2307" s="34" t="str">
        <f aca="false">IF($R2307="","",IFERROR(INDEX(DriverRank,MATCH($R2307,DriverList,0)),99))</f>
        <v/>
      </c>
      <c r="V2307" s="35" t="n">
        <f aca="false">IF($H2307="",0,IFERROR(INDEX(LevelBasic,MATCH($H2307,LevelList,0))+INDEX(LevelHousing,MATCH($H2307,LevelList,0))+INDEX(LevelTransport,MATCH($H2307,LevelList,0))+INDEX(LevelBasic,MATCH($H2307,LevelList,0))*INDEX(LevelBonus,MATCH($H2307,LevelList,0))+(INDEX(LevelBasic,MATCH($H2307,LevelList,0))+INDEX(LevelHousing,MATCH($H2307,LevelList,0)))*GosiSaudi,0))</f>
        <v>0</v>
      </c>
      <c r="W2307" s="35" t="n">
        <f aca="false">IFERROR(INDEX(LevelOneOff,MATCH($H2307,LevelList,0)),0)</f>
        <v>0</v>
      </c>
      <c r="X2307" s="35" t="str">
        <f aca="false">IF($G2307="","",$V2307*N($L2307))</f>
        <v/>
      </c>
      <c r="Y2307" s="35" t="str">
        <f aca="false">IF($G2307="","",$V2307*(N($M2307)*1+N($N2307)*0.75+N($O2307)*0.5+N($P2307)*0.25)+$W2307*N($L2307))</f>
        <v/>
      </c>
      <c r="Z2307" s="35" t="str">
        <f aca="false">IF($G2307="","",$U2307*1000000+ROW())</f>
        <v/>
      </c>
      <c r="AA2307" s="36" t="str">
        <f aca="false">IF($G2307="","",MID(IF($C2307="",", no division","")&amp;IF($E2307="",", no unit","")&amp;IF($H2307="",", no career level","")&amp;IF(N($L2307)&lt;=0,", no quarter split","")&amp;IF($R2307="",", no driver","")&amp;IF(AND($H2307&lt;&gt;"",COUNTIF(CareerLevels,$H2307)=0),", a career level that is not on the ladder","")&amp;IF(AND($R2307&lt;&gt;"",COUNTIF(DriverList,$R2307)=0),", a driver that is not on the list","")&amp;IF(ABS(N($L2307)-(N($M2307)+N($N2307)+N($O2307)+N($P2307)))&gt;0.001,", a total that does not match its quarters",""),3,300))</f>
        <v/>
      </c>
    </row>
    <row r="2308" customFormat="false" ht="15" hidden="false" customHeight="false" outlineLevel="0" collapsed="false">
      <c r="A2308" s="33" t="str">
        <f aca="false">IF($G2308="","","Treasury &amp; Investments Group")</f>
        <v/>
      </c>
      <c r="B2308" s="19"/>
      <c r="C2308" s="19"/>
      <c r="D2308" s="19"/>
      <c r="E2308" s="19"/>
      <c r="F2308" s="19"/>
      <c r="G2308" s="19"/>
      <c r="H2308" s="19"/>
      <c r="I2308" s="19"/>
      <c r="J2308" s="19"/>
      <c r="K2308" s="19"/>
      <c r="L2308" s="19"/>
      <c r="M2308" s="19"/>
      <c r="N2308" s="19"/>
      <c r="O2308" s="19"/>
      <c r="P2308" s="19"/>
      <c r="Q2308" s="19"/>
      <c r="R2308" s="19"/>
      <c r="S2308" s="19"/>
      <c r="T2308" s="34" t="str">
        <f aca="false">IF($R2308="","",IFERROR(INDEX(DriverCategory,MATCH($R2308,DriverList,0)),"BAU"))</f>
        <v/>
      </c>
      <c r="U2308" s="34" t="str">
        <f aca="false">IF($R2308="","",IFERROR(INDEX(DriverRank,MATCH($R2308,DriverList,0)),99))</f>
        <v/>
      </c>
      <c r="V2308" s="35" t="n">
        <f aca="false">IF($H2308="",0,IFERROR(INDEX(LevelBasic,MATCH($H2308,LevelList,0))+INDEX(LevelHousing,MATCH($H2308,LevelList,0))+INDEX(LevelTransport,MATCH($H2308,LevelList,0))+INDEX(LevelBasic,MATCH($H2308,LevelList,0))*INDEX(LevelBonus,MATCH($H2308,LevelList,0))+(INDEX(LevelBasic,MATCH($H2308,LevelList,0))+INDEX(LevelHousing,MATCH($H2308,LevelList,0)))*GosiSaudi,0))</f>
        <v>0</v>
      </c>
      <c r="W2308" s="35" t="n">
        <f aca="false">IFERROR(INDEX(LevelOneOff,MATCH($H2308,LevelList,0)),0)</f>
        <v>0</v>
      </c>
      <c r="X2308" s="35" t="str">
        <f aca="false">IF($G2308="","",$V2308*N($L2308))</f>
        <v/>
      </c>
      <c r="Y2308" s="35" t="str">
        <f aca="false">IF($G2308="","",$V2308*(N($M2308)*1+N($N2308)*0.75+N($O2308)*0.5+N($P2308)*0.25)+$W2308*N($L2308))</f>
        <v/>
      </c>
      <c r="Z2308" s="35" t="str">
        <f aca="false">IF($G2308="","",$U2308*1000000+ROW())</f>
        <v/>
      </c>
      <c r="AA2308" s="36" t="str">
        <f aca="false">IF($G2308="","",MID(IF($C2308="",", no division","")&amp;IF($E2308="",", no unit","")&amp;IF($H2308="",", no career level","")&amp;IF(N($L2308)&lt;=0,", no quarter split","")&amp;IF($R2308="",", no driver","")&amp;IF(AND($H2308&lt;&gt;"",COUNTIF(CareerLevels,$H2308)=0),", a career level that is not on the ladder","")&amp;IF(AND($R2308&lt;&gt;"",COUNTIF(DriverList,$R2308)=0),", a driver that is not on the list","")&amp;IF(ABS(N($L2308)-(N($M2308)+N($N2308)+N($O2308)+N($P2308)))&gt;0.001,", a total that does not match its quarters",""),3,300))</f>
        <v/>
      </c>
    </row>
    <row r="2309" customFormat="false" ht="15" hidden="false" customHeight="false" outlineLevel="0" collapsed="false">
      <c r="A2309" s="33" t="str">
        <f aca="false">IF($G2309="","","Treasury &amp; Investments Group")</f>
        <v/>
      </c>
      <c r="B2309" s="19"/>
      <c r="C2309" s="19"/>
      <c r="D2309" s="19"/>
      <c r="E2309" s="19"/>
      <c r="F2309" s="19"/>
      <c r="G2309" s="19"/>
      <c r="H2309" s="19"/>
      <c r="I2309" s="19"/>
      <c r="J2309" s="19"/>
      <c r="K2309" s="19"/>
      <c r="L2309" s="19"/>
      <c r="M2309" s="19"/>
      <c r="N2309" s="19"/>
      <c r="O2309" s="19"/>
      <c r="P2309" s="19"/>
      <c r="Q2309" s="19"/>
      <c r="R2309" s="19"/>
      <c r="S2309" s="19"/>
      <c r="T2309" s="34" t="str">
        <f aca="false">IF($R2309="","",IFERROR(INDEX(DriverCategory,MATCH($R2309,DriverList,0)),"BAU"))</f>
        <v/>
      </c>
      <c r="U2309" s="34" t="str">
        <f aca="false">IF($R2309="","",IFERROR(INDEX(DriverRank,MATCH($R2309,DriverList,0)),99))</f>
        <v/>
      </c>
      <c r="V2309" s="35" t="n">
        <f aca="false">IF($H2309="",0,IFERROR(INDEX(LevelBasic,MATCH($H2309,LevelList,0))+INDEX(LevelHousing,MATCH($H2309,LevelList,0))+INDEX(LevelTransport,MATCH($H2309,LevelList,0))+INDEX(LevelBasic,MATCH($H2309,LevelList,0))*INDEX(LevelBonus,MATCH($H2309,LevelList,0))+(INDEX(LevelBasic,MATCH($H2309,LevelList,0))+INDEX(LevelHousing,MATCH($H2309,LevelList,0)))*GosiSaudi,0))</f>
        <v>0</v>
      </c>
      <c r="W2309" s="35" t="n">
        <f aca="false">IFERROR(INDEX(LevelOneOff,MATCH($H2309,LevelList,0)),0)</f>
        <v>0</v>
      </c>
      <c r="X2309" s="35" t="str">
        <f aca="false">IF($G2309="","",$V2309*N($L2309))</f>
        <v/>
      </c>
      <c r="Y2309" s="35" t="str">
        <f aca="false">IF($G2309="","",$V2309*(N($M2309)*1+N($N2309)*0.75+N($O2309)*0.5+N($P2309)*0.25)+$W2309*N($L2309))</f>
        <v/>
      </c>
      <c r="Z2309" s="35" t="str">
        <f aca="false">IF($G2309="","",$U2309*1000000+ROW())</f>
        <v/>
      </c>
      <c r="AA2309" s="36" t="str">
        <f aca="false">IF($G2309="","",MID(IF($C2309="",", no division","")&amp;IF($E2309="",", no unit","")&amp;IF($H2309="",", no career level","")&amp;IF(N($L2309)&lt;=0,", no quarter split","")&amp;IF($R2309="",", no driver","")&amp;IF(AND($H2309&lt;&gt;"",COUNTIF(CareerLevels,$H2309)=0),", a career level that is not on the ladder","")&amp;IF(AND($R2309&lt;&gt;"",COUNTIF(DriverList,$R2309)=0),", a driver that is not on the list","")&amp;IF(ABS(N($L2309)-(N($M2309)+N($N2309)+N($O2309)+N($P2309)))&gt;0.001,", a total that does not match its quarters",""),3,300))</f>
        <v/>
      </c>
    </row>
    <row r="2310" customFormat="false" ht="15" hidden="false" customHeight="false" outlineLevel="0" collapsed="false">
      <c r="A2310" s="33" t="str">
        <f aca="false">IF($G2310="","","Treasury &amp; Investments Group")</f>
        <v/>
      </c>
      <c r="B2310" s="19"/>
      <c r="C2310" s="19"/>
      <c r="D2310" s="19"/>
      <c r="E2310" s="19"/>
      <c r="F2310" s="19"/>
      <c r="G2310" s="19"/>
      <c r="H2310" s="19"/>
      <c r="I2310" s="19"/>
      <c r="J2310" s="19"/>
      <c r="K2310" s="19"/>
      <c r="L2310" s="19"/>
      <c r="M2310" s="19"/>
      <c r="N2310" s="19"/>
      <c r="O2310" s="19"/>
      <c r="P2310" s="19"/>
      <c r="Q2310" s="19"/>
      <c r="R2310" s="19"/>
      <c r="S2310" s="19"/>
      <c r="T2310" s="34" t="str">
        <f aca="false">IF($R2310="","",IFERROR(INDEX(DriverCategory,MATCH($R2310,DriverList,0)),"BAU"))</f>
        <v/>
      </c>
      <c r="U2310" s="34" t="str">
        <f aca="false">IF($R2310="","",IFERROR(INDEX(DriverRank,MATCH($R2310,DriverList,0)),99))</f>
        <v/>
      </c>
      <c r="V2310" s="35" t="n">
        <f aca="false">IF($H2310="",0,IFERROR(INDEX(LevelBasic,MATCH($H2310,LevelList,0))+INDEX(LevelHousing,MATCH($H2310,LevelList,0))+INDEX(LevelTransport,MATCH($H2310,LevelList,0))+INDEX(LevelBasic,MATCH($H2310,LevelList,0))*INDEX(LevelBonus,MATCH($H2310,LevelList,0))+(INDEX(LevelBasic,MATCH($H2310,LevelList,0))+INDEX(LevelHousing,MATCH($H2310,LevelList,0)))*GosiSaudi,0))</f>
        <v>0</v>
      </c>
      <c r="W2310" s="35" t="n">
        <f aca="false">IFERROR(INDEX(LevelOneOff,MATCH($H2310,LevelList,0)),0)</f>
        <v>0</v>
      </c>
      <c r="X2310" s="35" t="str">
        <f aca="false">IF($G2310="","",$V2310*N($L2310))</f>
        <v/>
      </c>
      <c r="Y2310" s="35" t="str">
        <f aca="false">IF($G2310="","",$V2310*(N($M2310)*1+N($N2310)*0.75+N($O2310)*0.5+N($P2310)*0.25)+$W2310*N($L2310))</f>
        <v/>
      </c>
      <c r="Z2310" s="35" t="str">
        <f aca="false">IF($G2310="","",$U2310*1000000+ROW())</f>
        <v/>
      </c>
      <c r="AA2310" s="36" t="str">
        <f aca="false">IF($G2310="","",MID(IF($C2310="",", no division","")&amp;IF($E2310="",", no unit","")&amp;IF($H2310="",", no career level","")&amp;IF(N($L2310)&lt;=0,", no quarter split","")&amp;IF($R2310="",", no driver","")&amp;IF(AND($H2310&lt;&gt;"",COUNTIF(CareerLevels,$H2310)=0),", a career level that is not on the ladder","")&amp;IF(AND($R2310&lt;&gt;"",COUNTIF(DriverList,$R2310)=0),", a driver that is not on the list","")&amp;IF(ABS(N($L2310)-(N($M2310)+N($N2310)+N($O2310)+N($P2310)))&gt;0.001,", a total that does not match its quarters",""),3,300))</f>
        <v/>
      </c>
    </row>
    <row r="2311" customFormat="false" ht="15" hidden="false" customHeight="false" outlineLevel="0" collapsed="false">
      <c r="A2311" s="33" t="str">
        <f aca="false">IF($G2311="","","Treasury &amp; Investments Group")</f>
        <v/>
      </c>
      <c r="B2311" s="19"/>
      <c r="C2311" s="19"/>
      <c r="D2311" s="19"/>
      <c r="E2311" s="19"/>
      <c r="F2311" s="19"/>
      <c r="G2311" s="19"/>
      <c r="H2311" s="19"/>
      <c r="I2311" s="19"/>
      <c r="J2311" s="19"/>
      <c r="K2311" s="19"/>
      <c r="L2311" s="19"/>
      <c r="M2311" s="19"/>
      <c r="N2311" s="19"/>
      <c r="O2311" s="19"/>
      <c r="P2311" s="19"/>
      <c r="Q2311" s="19"/>
      <c r="R2311" s="19"/>
      <c r="S2311" s="19"/>
      <c r="T2311" s="34" t="str">
        <f aca="false">IF($R2311="","",IFERROR(INDEX(DriverCategory,MATCH($R2311,DriverList,0)),"BAU"))</f>
        <v/>
      </c>
      <c r="U2311" s="34" t="str">
        <f aca="false">IF($R2311="","",IFERROR(INDEX(DriverRank,MATCH($R2311,DriverList,0)),99))</f>
        <v/>
      </c>
      <c r="V2311" s="35" t="n">
        <f aca="false">IF($H2311="",0,IFERROR(INDEX(LevelBasic,MATCH($H2311,LevelList,0))+INDEX(LevelHousing,MATCH($H2311,LevelList,0))+INDEX(LevelTransport,MATCH($H2311,LevelList,0))+INDEX(LevelBasic,MATCH($H2311,LevelList,0))*INDEX(LevelBonus,MATCH($H2311,LevelList,0))+(INDEX(LevelBasic,MATCH($H2311,LevelList,0))+INDEX(LevelHousing,MATCH($H2311,LevelList,0)))*GosiSaudi,0))</f>
        <v>0</v>
      </c>
      <c r="W2311" s="35" t="n">
        <f aca="false">IFERROR(INDEX(LevelOneOff,MATCH($H2311,LevelList,0)),0)</f>
        <v>0</v>
      </c>
      <c r="X2311" s="35" t="str">
        <f aca="false">IF($G2311="","",$V2311*N($L2311))</f>
        <v/>
      </c>
      <c r="Y2311" s="35" t="str">
        <f aca="false">IF($G2311="","",$V2311*(N($M2311)*1+N($N2311)*0.75+N($O2311)*0.5+N($P2311)*0.25)+$W2311*N($L2311))</f>
        <v/>
      </c>
      <c r="Z2311" s="35" t="str">
        <f aca="false">IF($G2311="","",$U2311*1000000+ROW())</f>
        <v/>
      </c>
      <c r="AA2311" s="36" t="str">
        <f aca="false">IF($G2311="","",MID(IF($C2311="",", no division","")&amp;IF($E2311="",", no unit","")&amp;IF($H2311="",", no career level","")&amp;IF(N($L2311)&lt;=0,", no quarter split","")&amp;IF($R2311="",", no driver","")&amp;IF(AND($H2311&lt;&gt;"",COUNTIF(CareerLevels,$H2311)=0),", a career level that is not on the ladder","")&amp;IF(AND($R2311&lt;&gt;"",COUNTIF(DriverList,$R2311)=0),", a driver that is not on the list","")&amp;IF(ABS(N($L2311)-(N($M2311)+N($N2311)+N($O2311)+N($P2311)))&gt;0.001,", a total that does not match its quarters",""),3,300))</f>
        <v/>
      </c>
    </row>
    <row r="2312" customFormat="false" ht="15" hidden="false" customHeight="false" outlineLevel="0" collapsed="false">
      <c r="A2312" s="33" t="str">
        <f aca="false">IF($G2312="","","Treasury &amp; Investments Group")</f>
        <v/>
      </c>
      <c r="B2312" s="19"/>
      <c r="C2312" s="19"/>
      <c r="D2312" s="19"/>
      <c r="E2312" s="19"/>
      <c r="F2312" s="19"/>
      <c r="G2312" s="19"/>
      <c r="H2312" s="19"/>
      <c r="I2312" s="19"/>
      <c r="J2312" s="19"/>
      <c r="K2312" s="19"/>
      <c r="L2312" s="19"/>
      <c r="M2312" s="19"/>
      <c r="N2312" s="19"/>
      <c r="O2312" s="19"/>
      <c r="P2312" s="19"/>
      <c r="Q2312" s="19"/>
      <c r="R2312" s="19"/>
      <c r="S2312" s="19"/>
      <c r="T2312" s="34" t="str">
        <f aca="false">IF($R2312="","",IFERROR(INDEX(DriverCategory,MATCH($R2312,DriverList,0)),"BAU"))</f>
        <v/>
      </c>
      <c r="U2312" s="34" t="str">
        <f aca="false">IF($R2312="","",IFERROR(INDEX(DriverRank,MATCH($R2312,DriverList,0)),99))</f>
        <v/>
      </c>
      <c r="V2312" s="35" t="n">
        <f aca="false">IF($H2312="",0,IFERROR(INDEX(LevelBasic,MATCH($H2312,LevelList,0))+INDEX(LevelHousing,MATCH($H2312,LevelList,0))+INDEX(LevelTransport,MATCH($H2312,LevelList,0))+INDEX(LevelBasic,MATCH($H2312,LevelList,0))*INDEX(LevelBonus,MATCH($H2312,LevelList,0))+(INDEX(LevelBasic,MATCH($H2312,LevelList,0))+INDEX(LevelHousing,MATCH($H2312,LevelList,0)))*GosiSaudi,0))</f>
        <v>0</v>
      </c>
      <c r="W2312" s="35" t="n">
        <f aca="false">IFERROR(INDEX(LevelOneOff,MATCH($H2312,LevelList,0)),0)</f>
        <v>0</v>
      </c>
      <c r="X2312" s="35" t="str">
        <f aca="false">IF($G2312="","",$V2312*N($L2312))</f>
        <v/>
      </c>
      <c r="Y2312" s="35" t="str">
        <f aca="false">IF($G2312="","",$V2312*(N($M2312)*1+N($N2312)*0.75+N($O2312)*0.5+N($P2312)*0.25)+$W2312*N($L2312))</f>
        <v/>
      </c>
      <c r="Z2312" s="35" t="str">
        <f aca="false">IF($G2312="","",$U2312*1000000+ROW())</f>
        <v/>
      </c>
      <c r="AA2312" s="36" t="str">
        <f aca="false">IF($G2312="","",MID(IF($C2312="",", no division","")&amp;IF($E2312="",", no unit","")&amp;IF($H2312="",", no career level","")&amp;IF(N($L2312)&lt;=0,", no quarter split","")&amp;IF($R2312="",", no driver","")&amp;IF(AND($H2312&lt;&gt;"",COUNTIF(CareerLevels,$H2312)=0),", a career level that is not on the ladder","")&amp;IF(AND($R2312&lt;&gt;"",COUNTIF(DriverList,$R2312)=0),", a driver that is not on the list","")&amp;IF(ABS(N($L2312)-(N($M2312)+N($N2312)+N($O2312)+N($P2312)))&gt;0.001,", a total that does not match its quarters",""),3,300))</f>
        <v/>
      </c>
    </row>
    <row r="2313" customFormat="false" ht="15" hidden="false" customHeight="false" outlineLevel="0" collapsed="false">
      <c r="A2313" s="33" t="str">
        <f aca="false">IF($G2313="","","Treasury &amp; Investments Group")</f>
        <v/>
      </c>
      <c r="B2313" s="19"/>
      <c r="C2313" s="19"/>
      <c r="D2313" s="19"/>
      <c r="E2313" s="19"/>
      <c r="F2313" s="19"/>
      <c r="G2313" s="19"/>
      <c r="H2313" s="19"/>
      <c r="I2313" s="19"/>
      <c r="J2313" s="19"/>
      <c r="K2313" s="19"/>
      <c r="L2313" s="19"/>
      <c r="M2313" s="19"/>
      <c r="N2313" s="19"/>
      <c r="O2313" s="19"/>
      <c r="P2313" s="19"/>
      <c r="Q2313" s="19"/>
      <c r="R2313" s="19"/>
      <c r="S2313" s="19"/>
      <c r="T2313" s="34" t="str">
        <f aca="false">IF($R2313="","",IFERROR(INDEX(DriverCategory,MATCH($R2313,DriverList,0)),"BAU"))</f>
        <v/>
      </c>
      <c r="U2313" s="34" t="str">
        <f aca="false">IF($R2313="","",IFERROR(INDEX(DriverRank,MATCH($R2313,DriverList,0)),99))</f>
        <v/>
      </c>
      <c r="V2313" s="35" t="n">
        <f aca="false">IF($H2313="",0,IFERROR(INDEX(LevelBasic,MATCH($H2313,LevelList,0))+INDEX(LevelHousing,MATCH($H2313,LevelList,0))+INDEX(LevelTransport,MATCH($H2313,LevelList,0))+INDEX(LevelBasic,MATCH($H2313,LevelList,0))*INDEX(LevelBonus,MATCH($H2313,LevelList,0))+(INDEX(LevelBasic,MATCH($H2313,LevelList,0))+INDEX(LevelHousing,MATCH($H2313,LevelList,0)))*GosiSaudi,0))</f>
        <v>0</v>
      </c>
      <c r="W2313" s="35" t="n">
        <f aca="false">IFERROR(INDEX(LevelOneOff,MATCH($H2313,LevelList,0)),0)</f>
        <v>0</v>
      </c>
      <c r="X2313" s="35" t="str">
        <f aca="false">IF($G2313="","",$V2313*N($L2313))</f>
        <v/>
      </c>
      <c r="Y2313" s="35" t="str">
        <f aca="false">IF($G2313="","",$V2313*(N($M2313)*1+N($N2313)*0.75+N($O2313)*0.5+N($P2313)*0.25)+$W2313*N($L2313))</f>
        <v/>
      </c>
      <c r="Z2313" s="35" t="str">
        <f aca="false">IF($G2313="","",$U2313*1000000+ROW())</f>
        <v/>
      </c>
      <c r="AA2313" s="36" t="str">
        <f aca="false">IF($G2313="","",MID(IF($C2313="",", no division","")&amp;IF($E2313="",", no unit","")&amp;IF($H2313="",", no career level","")&amp;IF(N($L2313)&lt;=0,", no quarter split","")&amp;IF($R2313="",", no driver","")&amp;IF(AND($H2313&lt;&gt;"",COUNTIF(CareerLevels,$H2313)=0),", a career level that is not on the ladder","")&amp;IF(AND($R2313&lt;&gt;"",COUNTIF(DriverList,$R2313)=0),", a driver that is not on the list","")&amp;IF(ABS(N($L2313)-(N($M2313)+N($N2313)+N($O2313)+N($P2313)))&gt;0.001,", a total that does not match its quarters",""),3,300))</f>
        <v/>
      </c>
    </row>
    <row r="2314" customFormat="false" ht="15" hidden="false" customHeight="false" outlineLevel="0" collapsed="false">
      <c r="A2314" s="33" t="str">
        <f aca="false">IF($G2314="","","Treasury &amp; Investments Group")</f>
        <v/>
      </c>
      <c r="B2314" s="19"/>
      <c r="C2314" s="19"/>
      <c r="D2314" s="19"/>
      <c r="E2314" s="19"/>
      <c r="F2314" s="19"/>
      <c r="G2314" s="19"/>
      <c r="H2314" s="19"/>
      <c r="I2314" s="19"/>
      <c r="J2314" s="19"/>
      <c r="K2314" s="19"/>
      <c r="L2314" s="19"/>
      <c r="M2314" s="19"/>
      <c r="N2314" s="19"/>
      <c r="O2314" s="19"/>
      <c r="P2314" s="19"/>
      <c r="Q2314" s="19"/>
      <c r="R2314" s="19"/>
      <c r="S2314" s="19"/>
      <c r="T2314" s="34" t="str">
        <f aca="false">IF($R2314="","",IFERROR(INDEX(DriverCategory,MATCH($R2314,DriverList,0)),"BAU"))</f>
        <v/>
      </c>
      <c r="U2314" s="34" t="str">
        <f aca="false">IF($R2314="","",IFERROR(INDEX(DriverRank,MATCH($R2314,DriverList,0)),99))</f>
        <v/>
      </c>
      <c r="V2314" s="35" t="n">
        <f aca="false">IF($H2314="",0,IFERROR(INDEX(LevelBasic,MATCH($H2314,LevelList,0))+INDEX(LevelHousing,MATCH($H2314,LevelList,0))+INDEX(LevelTransport,MATCH($H2314,LevelList,0))+INDEX(LevelBasic,MATCH($H2314,LevelList,0))*INDEX(LevelBonus,MATCH($H2314,LevelList,0))+(INDEX(LevelBasic,MATCH($H2314,LevelList,0))+INDEX(LevelHousing,MATCH($H2314,LevelList,0)))*GosiSaudi,0))</f>
        <v>0</v>
      </c>
      <c r="W2314" s="35" t="n">
        <f aca="false">IFERROR(INDEX(LevelOneOff,MATCH($H2314,LevelList,0)),0)</f>
        <v>0</v>
      </c>
      <c r="X2314" s="35" t="str">
        <f aca="false">IF($G2314="","",$V2314*N($L2314))</f>
        <v/>
      </c>
      <c r="Y2314" s="35" t="str">
        <f aca="false">IF($G2314="","",$V2314*(N($M2314)*1+N($N2314)*0.75+N($O2314)*0.5+N($P2314)*0.25)+$W2314*N($L2314))</f>
        <v/>
      </c>
      <c r="Z2314" s="35" t="str">
        <f aca="false">IF($G2314="","",$U2314*1000000+ROW())</f>
        <v/>
      </c>
      <c r="AA2314" s="36" t="str">
        <f aca="false">IF($G2314="","",MID(IF($C2314="",", no division","")&amp;IF($E2314="",", no unit","")&amp;IF($H2314="",", no career level","")&amp;IF(N($L2314)&lt;=0,", no quarter split","")&amp;IF($R2314="",", no driver","")&amp;IF(AND($H2314&lt;&gt;"",COUNTIF(CareerLevels,$H2314)=0),", a career level that is not on the ladder","")&amp;IF(AND($R2314&lt;&gt;"",COUNTIF(DriverList,$R2314)=0),", a driver that is not on the list","")&amp;IF(ABS(N($L2314)-(N($M2314)+N($N2314)+N($O2314)+N($P2314)))&gt;0.001,", a total that does not match its quarters",""),3,300))</f>
        <v/>
      </c>
    </row>
    <row r="2315" customFormat="false" ht="15" hidden="false" customHeight="false" outlineLevel="0" collapsed="false">
      <c r="A2315" s="33" t="str">
        <f aca="false">IF($G2315="","","Treasury &amp; Investments Group")</f>
        <v/>
      </c>
      <c r="B2315" s="19"/>
      <c r="C2315" s="19"/>
      <c r="D2315" s="19"/>
      <c r="E2315" s="19"/>
      <c r="F2315" s="19"/>
      <c r="G2315" s="19"/>
      <c r="H2315" s="19"/>
      <c r="I2315" s="19"/>
      <c r="J2315" s="19"/>
      <c r="K2315" s="19"/>
      <c r="L2315" s="19"/>
      <c r="M2315" s="19"/>
      <c r="N2315" s="19"/>
      <c r="O2315" s="19"/>
      <c r="P2315" s="19"/>
      <c r="Q2315" s="19"/>
      <c r="R2315" s="19"/>
      <c r="S2315" s="19"/>
      <c r="T2315" s="34" t="str">
        <f aca="false">IF($R2315="","",IFERROR(INDEX(DriverCategory,MATCH($R2315,DriverList,0)),"BAU"))</f>
        <v/>
      </c>
      <c r="U2315" s="34" t="str">
        <f aca="false">IF($R2315="","",IFERROR(INDEX(DriverRank,MATCH($R2315,DriverList,0)),99))</f>
        <v/>
      </c>
      <c r="V2315" s="35" t="n">
        <f aca="false">IF($H2315="",0,IFERROR(INDEX(LevelBasic,MATCH($H2315,LevelList,0))+INDEX(LevelHousing,MATCH($H2315,LevelList,0))+INDEX(LevelTransport,MATCH($H2315,LevelList,0))+INDEX(LevelBasic,MATCH($H2315,LevelList,0))*INDEX(LevelBonus,MATCH($H2315,LevelList,0))+(INDEX(LevelBasic,MATCH($H2315,LevelList,0))+INDEX(LevelHousing,MATCH($H2315,LevelList,0)))*GosiSaudi,0))</f>
        <v>0</v>
      </c>
      <c r="W2315" s="35" t="n">
        <f aca="false">IFERROR(INDEX(LevelOneOff,MATCH($H2315,LevelList,0)),0)</f>
        <v>0</v>
      </c>
      <c r="X2315" s="35" t="str">
        <f aca="false">IF($G2315="","",$V2315*N($L2315))</f>
        <v/>
      </c>
      <c r="Y2315" s="35" t="str">
        <f aca="false">IF($G2315="","",$V2315*(N($M2315)*1+N($N2315)*0.75+N($O2315)*0.5+N($P2315)*0.25)+$W2315*N($L2315))</f>
        <v/>
      </c>
      <c r="Z2315" s="35" t="str">
        <f aca="false">IF($G2315="","",$U2315*1000000+ROW())</f>
        <v/>
      </c>
      <c r="AA2315" s="36" t="str">
        <f aca="false">IF($G2315="","",MID(IF($C2315="",", no division","")&amp;IF($E2315="",", no unit","")&amp;IF($H2315="",", no career level","")&amp;IF(N($L2315)&lt;=0,", no quarter split","")&amp;IF($R2315="",", no driver","")&amp;IF(AND($H2315&lt;&gt;"",COUNTIF(CareerLevels,$H2315)=0),", a career level that is not on the ladder","")&amp;IF(AND($R2315&lt;&gt;"",COUNTIF(DriverList,$R2315)=0),", a driver that is not on the list","")&amp;IF(ABS(N($L2315)-(N($M2315)+N($N2315)+N($O2315)+N($P2315)))&gt;0.001,", a total that does not match its quarters",""),3,300))</f>
        <v/>
      </c>
    </row>
    <row r="2316" customFormat="false" ht="15" hidden="false" customHeight="false" outlineLevel="0" collapsed="false">
      <c r="A2316" s="33" t="str">
        <f aca="false">IF($G2316="","","Treasury &amp; Investments Group")</f>
        <v/>
      </c>
      <c r="B2316" s="19"/>
      <c r="C2316" s="19"/>
      <c r="D2316" s="19"/>
      <c r="E2316" s="19"/>
      <c r="F2316" s="19"/>
      <c r="G2316" s="19"/>
      <c r="H2316" s="19"/>
      <c r="I2316" s="19"/>
      <c r="J2316" s="19"/>
      <c r="K2316" s="19"/>
      <c r="L2316" s="19"/>
      <c r="M2316" s="19"/>
      <c r="N2316" s="19"/>
      <c r="O2316" s="19"/>
      <c r="P2316" s="19"/>
      <c r="Q2316" s="19"/>
      <c r="R2316" s="19"/>
      <c r="S2316" s="19"/>
      <c r="T2316" s="34" t="str">
        <f aca="false">IF($R2316="","",IFERROR(INDEX(DriverCategory,MATCH($R2316,DriverList,0)),"BAU"))</f>
        <v/>
      </c>
      <c r="U2316" s="34" t="str">
        <f aca="false">IF($R2316="","",IFERROR(INDEX(DriverRank,MATCH($R2316,DriverList,0)),99))</f>
        <v/>
      </c>
      <c r="V2316" s="35" t="n">
        <f aca="false">IF($H2316="",0,IFERROR(INDEX(LevelBasic,MATCH($H2316,LevelList,0))+INDEX(LevelHousing,MATCH($H2316,LevelList,0))+INDEX(LevelTransport,MATCH($H2316,LevelList,0))+INDEX(LevelBasic,MATCH($H2316,LevelList,0))*INDEX(LevelBonus,MATCH($H2316,LevelList,0))+(INDEX(LevelBasic,MATCH($H2316,LevelList,0))+INDEX(LevelHousing,MATCH($H2316,LevelList,0)))*GosiSaudi,0))</f>
        <v>0</v>
      </c>
      <c r="W2316" s="35" t="n">
        <f aca="false">IFERROR(INDEX(LevelOneOff,MATCH($H2316,LevelList,0)),0)</f>
        <v>0</v>
      </c>
      <c r="X2316" s="35" t="str">
        <f aca="false">IF($G2316="","",$V2316*N($L2316))</f>
        <v/>
      </c>
      <c r="Y2316" s="35" t="str">
        <f aca="false">IF($G2316="","",$V2316*(N($M2316)*1+N($N2316)*0.75+N($O2316)*0.5+N($P2316)*0.25)+$W2316*N($L2316))</f>
        <v/>
      </c>
      <c r="Z2316" s="35" t="str">
        <f aca="false">IF($G2316="","",$U2316*1000000+ROW())</f>
        <v/>
      </c>
      <c r="AA2316" s="36" t="str">
        <f aca="false">IF($G2316="","",MID(IF($C2316="",", no division","")&amp;IF($E2316="",", no unit","")&amp;IF($H2316="",", no career level","")&amp;IF(N($L2316)&lt;=0,", no quarter split","")&amp;IF($R2316="",", no driver","")&amp;IF(AND($H2316&lt;&gt;"",COUNTIF(CareerLevels,$H2316)=0),", a career level that is not on the ladder","")&amp;IF(AND($R2316&lt;&gt;"",COUNTIF(DriverList,$R2316)=0),", a driver that is not on the list","")&amp;IF(ABS(N($L2316)-(N($M2316)+N($N2316)+N($O2316)+N($P2316)))&gt;0.001,", a total that does not match its quarters",""),3,300))</f>
        <v/>
      </c>
    </row>
    <row r="2317" customFormat="false" ht="15" hidden="false" customHeight="false" outlineLevel="0" collapsed="false">
      <c r="A2317" s="33" t="str">
        <f aca="false">IF($G2317="","","Treasury &amp; Investments Group")</f>
        <v/>
      </c>
      <c r="B2317" s="19"/>
      <c r="C2317" s="19"/>
      <c r="D2317" s="19"/>
      <c r="E2317" s="19"/>
      <c r="F2317" s="19"/>
      <c r="G2317" s="19"/>
      <c r="H2317" s="19"/>
      <c r="I2317" s="19"/>
      <c r="J2317" s="19"/>
      <c r="K2317" s="19"/>
      <c r="L2317" s="19"/>
      <c r="M2317" s="19"/>
      <c r="N2317" s="19"/>
      <c r="O2317" s="19"/>
      <c r="P2317" s="19"/>
      <c r="Q2317" s="19"/>
      <c r="R2317" s="19"/>
      <c r="S2317" s="19"/>
      <c r="T2317" s="34" t="str">
        <f aca="false">IF($R2317="","",IFERROR(INDEX(DriverCategory,MATCH($R2317,DriverList,0)),"BAU"))</f>
        <v/>
      </c>
      <c r="U2317" s="34" t="str">
        <f aca="false">IF($R2317="","",IFERROR(INDEX(DriverRank,MATCH($R2317,DriverList,0)),99))</f>
        <v/>
      </c>
      <c r="V2317" s="35" t="n">
        <f aca="false">IF($H2317="",0,IFERROR(INDEX(LevelBasic,MATCH($H2317,LevelList,0))+INDEX(LevelHousing,MATCH($H2317,LevelList,0))+INDEX(LevelTransport,MATCH($H2317,LevelList,0))+INDEX(LevelBasic,MATCH($H2317,LevelList,0))*INDEX(LevelBonus,MATCH($H2317,LevelList,0))+(INDEX(LevelBasic,MATCH($H2317,LevelList,0))+INDEX(LevelHousing,MATCH($H2317,LevelList,0)))*GosiSaudi,0))</f>
        <v>0</v>
      </c>
      <c r="W2317" s="35" t="n">
        <f aca="false">IFERROR(INDEX(LevelOneOff,MATCH($H2317,LevelList,0)),0)</f>
        <v>0</v>
      </c>
      <c r="X2317" s="35" t="str">
        <f aca="false">IF($G2317="","",$V2317*N($L2317))</f>
        <v/>
      </c>
      <c r="Y2317" s="35" t="str">
        <f aca="false">IF($G2317="","",$V2317*(N($M2317)*1+N($N2317)*0.75+N($O2317)*0.5+N($P2317)*0.25)+$W2317*N($L2317))</f>
        <v/>
      </c>
      <c r="Z2317" s="35" t="str">
        <f aca="false">IF($G2317="","",$U2317*1000000+ROW())</f>
        <v/>
      </c>
      <c r="AA2317" s="36" t="str">
        <f aca="false">IF($G2317="","",MID(IF($C2317="",", no division","")&amp;IF($E2317="",", no unit","")&amp;IF($H2317="",", no career level","")&amp;IF(N($L2317)&lt;=0,", no quarter split","")&amp;IF($R2317="",", no driver","")&amp;IF(AND($H2317&lt;&gt;"",COUNTIF(CareerLevels,$H2317)=0),", a career level that is not on the ladder","")&amp;IF(AND($R2317&lt;&gt;"",COUNTIF(DriverList,$R2317)=0),", a driver that is not on the list","")&amp;IF(ABS(N($L2317)-(N($M2317)+N($N2317)+N($O2317)+N($P2317)))&gt;0.001,", a total that does not match its quarters",""),3,300))</f>
        <v/>
      </c>
    </row>
    <row r="2318" customFormat="false" ht="15" hidden="false" customHeight="false" outlineLevel="0" collapsed="false">
      <c r="A2318" s="33" t="str">
        <f aca="false">IF($G2318="","","Treasury &amp; Investments Group")</f>
        <v/>
      </c>
      <c r="B2318" s="19"/>
      <c r="C2318" s="19"/>
      <c r="D2318" s="19"/>
      <c r="E2318" s="19"/>
      <c r="F2318" s="19"/>
      <c r="G2318" s="19"/>
      <c r="H2318" s="19"/>
      <c r="I2318" s="19"/>
      <c r="J2318" s="19"/>
      <c r="K2318" s="19"/>
      <c r="L2318" s="19"/>
      <c r="M2318" s="19"/>
      <c r="N2318" s="19"/>
      <c r="O2318" s="19"/>
      <c r="P2318" s="19"/>
      <c r="Q2318" s="19"/>
      <c r="R2318" s="19"/>
      <c r="S2318" s="19"/>
      <c r="T2318" s="34" t="str">
        <f aca="false">IF($R2318="","",IFERROR(INDEX(DriverCategory,MATCH($R2318,DriverList,0)),"BAU"))</f>
        <v/>
      </c>
      <c r="U2318" s="34" t="str">
        <f aca="false">IF($R2318="","",IFERROR(INDEX(DriverRank,MATCH($R2318,DriverList,0)),99))</f>
        <v/>
      </c>
      <c r="V2318" s="35" t="n">
        <f aca="false">IF($H2318="",0,IFERROR(INDEX(LevelBasic,MATCH($H2318,LevelList,0))+INDEX(LevelHousing,MATCH($H2318,LevelList,0))+INDEX(LevelTransport,MATCH($H2318,LevelList,0))+INDEX(LevelBasic,MATCH($H2318,LevelList,0))*INDEX(LevelBonus,MATCH($H2318,LevelList,0))+(INDEX(LevelBasic,MATCH($H2318,LevelList,0))+INDEX(LevelHousing,MATCH($H2318,LevelList,0)))*GosiSaudi,0))</f>
        <v>0</v>
      </c>
      <c r="W2318" s="35" t="n">
        <f aca="false">IFERROR(INDEX(LevelOneOff,MATCH($H2318,LevelList,0)),0)</f>
        <v>0</v>
      </c>
      <c r="X2318" s="35" t="str">
        <f aca="false">IF($G2318="","",$V2318*N($L2318))</f>
        <v/>
      </c>
      <c r="Y2318" s="35" t="str">
        <f aca="false">IF($G2318="","",$V2318*(N($M2318)*1+N($N2318)*0.75+N($O2318)*0.5+N($P2318)*0.25)+$W2318*N($L2318))</f>
        <v/>
      </c>
      <c r="Z2318" s="35" t="str">
        <f aca="false">IF($G2318="","",$U2318*1000000+ROW())</f>
        <v/>
      </c>
      <c r="AA2318" s="36" t="str">
        <f aca="false">IF($G2318="","",MID(IF($C2318="",", no division","")&amp;IF($E2318="",", no unit","")&amp;IF($H2318="",", no career level","")&amp;IF(N($L2318)&lt;=0,", no quarter split","")&amp;IF($R2318="",", no driver","")&amp;IF(AND($H2318&lt;&gt;"",COUNTIF(CareerLevels,$H2318)=0),", a career level that is not on the ladder","")&amp;IF(AND($R2318&lt;&gt;"",COUNTIF(DriverList,$R2318)=0),", a driver that is not on the list","")&amp;IF(ABS(N($L2318)-(N($M2318)+N($N2318)+N($O2318)+N($P2318)))&gt;0.001,", a total that does not match its quarters",""),3,300))</f>
        <v/>
      </c>
    </row>
    <row r="2319" customFormat="false" ht="15" hidden="false" customHeight="false" outlineLevel="0" collapsed="false">
      <c r="A2319" s="33" t="str">
        <f aca="false">IF($G2319="","","Treasury &amp; Investments Group")</f>
        <v/>
      </c>
      <c r="B2319" s="19"/>
      <c r="C2319" s="19"/>
      <c r="D2319" s="19"/>
      <c r="E2319" s="19"/>
      <c r="F2319" s="19"/>
      <c r="G2319" s="19"/>
      <c r="H2319" s="19"/>
      <c r="I2319" s="19"/>
      <c r="J2319" s="19"/>
      <c r="K2319" s="19"/>
      <c r="L2319" s="19"/>
      <c r="M2319" s="19"/>
      <c r="N2319" s="19"/>
      <c r="O2319" s="19"/>
      <c r="P2319" s="19"/>
      <c r="Q2319" s="19"/>
      <c r="R2319" s="19"/>
      <c r="S2319" s="19"/>
      <c r="T2319" s="34" t="str">
        <f aca="false">IF($R2319="","",IFERROR(INDEX(DriverCategory,MATCH($R2319,DriverList,0)),"BAU"))</f>
        <v/>
      </c>
      <c r="U2319" s="34" t="str">
        <f aca="false">IF($R2319="","",IFERROR(INDEX(DriverRank,MATCH($R2319,DriverList,0)),99))</f>
        <v/>
      </c>
      <c r="V2319" s="35" t="n">
        <f aca="false">IF($H2319="",0,IFERROR(INDEX(LevelBasic,MATCH($H2319,LevelList,0))+INDEX(LevelHousing,MATCH($H2319,LevelList,0))+INDEX(LevelTransport,MATCH($H2319,LevelList,0))+INDEX(LevelBasic,MATCH($H2319,LevelList,0))*INDEX(LevelBonus,MATCH($H2319,LevelList,0))+(INDEX(LevelBasic,MATCH($H2319,LevelList,0))+INDEX(LevelHousing,MATCH($H2319,LevelList,0)))*GosiSaudi,0))</f>
        <v>0</v>
      </c>
      <c r="W2319" s="35" t="n">
        <f aca="false">IFERROR(INDEX(LevelOneOff,MATCH($H2319,LevelList,0)),0)</f>
        <v>0</v>
      </c>
      <c r="X2319" s="35" t="str">
        <f aca="false">IF($G2319="","",$V2319*N($L2319))</f>
        <v/>
      </c>
      <c r="Y2319" s="35" t="str">
        <f aca="false">IF($G2319="","",$V2319*(N($M2319)*1+N($N2319)*0.75+N($O2319)*0.5+N($P2319)*0.25)+$W2319*N($L2319))</f>
        <v/>
      </c>
      <c r="Z2319" s="35" t="str">
        <f aca="false">IF($G2319="","",$U2319*1000000+ROW())</f>
        <v/>
      </c>
      <c r="AA2319" s="36" t="str">
        <f aca="false">IF($G2319="","",MID(IF($C2319="",", no division","")&amp;IF($E2319="",", no unit","")&amp;IF($H2319="",", no career level","")&amp;IF(N($L2319)&lt;=0,", no quarter split","")&amp;IF($R2319="",", no driver","")&amp;IF(AND($H2319&lt;&gt;"",COUNTIF(CareerLevels,$H2319)=0),", a career level that is not on the ladder","")&amp;IF(AND($R2319&lt;&gt;"",COUNTIF(DriverList,$R2319)=0),", a driver that is not on the list","")&amp;IF(ABS(N($L2319)-(N($M2319)+N($N2319)+N($O2319)+N($P2319)))&gt;0.001,", a total that does not match its quarters",""),3,300))</f>
        <v/>
      </c>
    </row>
    <row r="2320" customFormat="false" ht="15" hidden="false" customHeight="false" outlineLevel="0" collapsed="false">
      <c r="A2320" s="33" t="str">
        <f aca="false">IF($G2320="","","Treasury &amp; Investments Group")</f>
        <v/>
      </c>
      <c r="B2320" s="19"/>
      <c r="C2320" s="19"/>
      <c r="D2320" s="19"/>
      <c r="E2320" s="19"/>
      <c r="F2320" s="19"/>
      <c r="G2320" s="19"/>
      <c r="H2320" s="19"/>
      <c r="I2320" s="19"/>
      <c r="J2320" s="19"/>
      <c r="K2320" s="19"/>
      <c r="L2320" s="19"/>
      <c r="M2320" s="19"/>
      <c r="N2320" s="19"/>
      <c r="O2320" s="19"/>
      <c r="P2320" s="19"/>
      <c r="Q2320" s="19"/>
      <c r="R2320" s="19"/>
      <c r="S2320" s="19"/>
      <c r="T2320" s="34" t="str">
        <f aca="false">IF($R2320="","",IFERROR(INDEX(DriverCategory,MATCH($R2320,DriverList,0)),"BAU"))</f>
        <v/>
      </c>
      <c r="U2320" s="34" t="str">
        <f aca="false">IF($R2320="","",IFERROR(INDEX(DriverRank,MATCH($R2320,DriverList,0)),99))</f>
        <v/>
      </c>
      <c r="V2320" s="35" t="n">
        <f aca="false">IF($H2320="",0,IFERROR(INDEX(LevelBasic,MATCH($H2320,LevelList,0))+INDEX(LevelHousing,MATCH($H2320,LevelList,0))+INDEX(LevelTransport,MATCH($H2320,LevelList,0))+INDEX(LevelBasic,MATCH($H2320,LevelList,0))*INDEX(LevelBonus,MATCH($H2320,LevelList,0))+(INDEX(LevelBasic,MATCH($H2320,LevelList,0))+INDEX(LevelHousing,MATCH($H2320,LevelList,0)))*GosiSaudi,0))</f>
        <v>0</v>
      </c>
      <c r="W2320" s="35" t="n">
        <f aca="false">IFERROR(INDEX(LevelOneOff,MATCH($H2320,LevelList,0)),0)</f>
        <v>0</v>
      </c>
      <c r="X2320" s="35" t="str">
        <f aca="false">IF($G2320="","",$V2320*N($L2320))</f>
        <v/>
      </c>
      <c r="Y2320" s="35" t="str">
        <f aca="false">IF($G2320="","",$V2320*(N($M2320)*1+N($N2320)*0.75+N($O2320)*0.5+N($P2320)*0.25)+$W2320*N($L2320))</f>
        <v/>
      </c>
      <c r="Z2320" s="35" t="str">
        <f aca="false">IF($G2320="","",$U2320*1000000+ROW())</f>
        <v/>
      </c>
      <c r="AA2320" s="36" t="str">
        <f aca="false">IF($G2320="","",MID(IF($C2320="",", no division","")&amp;IF($E2320="",", no unit","")&amp;IF($H2320="",", no career level","")&amp;IF(N($L2320)&lt;=0,", no quarter split","")&amp;IF($R2320="",", no driver","")&amp;IF(AND($H2320&lt;&gt;"",COUNTIF(CareerLevels,$H2320)=0),", a career level that is not on the ladder","")&amp;IF(AND($R2320&lt;&gt;"",COUNTIF(DriverList,$R2320)=0),", a driver that is not on the list","")&amp;IF(ABS(N($L2320)-(N($M2320)+N($N2320)+N($O2320)+N($P2320)))&gt;0.001,", a total that does not match its quarters",""),3,300))</f>
        <v/>
      </c>
    </row>
    <row r="2321" customFormat="false" ht="15" hidden="false" customHeight="false" outlineLevel="0" collapsed="false">
      <c r="A2321" s="33" t="str">
        <f aca="false">IF($G2321="","","Treasury &amp; Investments Group")</f>
        <v/>
      </c>
      <c r="B2321" s="19"/>
      <c r="C2321" s="19"/>
      <c r="D2321" s="19"/>
      <c r="E2321" s="19"/>
      <c r="F2321" s="19"/>
      <c r="G2321" s="19"/>
      <c r="H2321" s="19"/>
      <c r="I2321" s="19"/>
      <c r="J2321" s="19"/>
      <c r="K2321" s="19"/>
      <c r="L2321" s="19"/>
      <c r="M2321" s="19"/>
      <c r="N2321" s="19"/>
      <c r="O2321" s="19"/>
      <c r="P2321" s="19"/>
      <c r="Q2321" s="19"/>
      <c r="R2321" s="19"/>
      <c r="S2321" s="19"/>
      <c r="T2321" s="34" t="str">
        <f aca="false">IF($R2321="","",IFERROR(INDEX(DriverCategory,MATCH($R2321,DriverList,0)),"BAU"))</f>
        <v/>
      </c>
      <c r="U2321" s="34" t="str">
        <f aca="false">IF($R2321="","",IFERROR(INDEX(DriverRank,MATCH($R2321,DriverList,0)),99))</f>
        <v/>
      </c>
      <c r="V2321" s="35" t="n">
        <f aca="false">IF($H2321="",0,IFERROR(INDEX(LevelBasic,MATCH($H2321,LevelList,0))+INDEX(LevelHousing,MATCH($H2321,LevelList,0))+INDEX(LevelTransport,MATCH($H2321,LevelList,0))+INDEX(LevelBasic,MATCH($H2321,LevelList,0))*INDEX(LevelBonus,MATCH($H2321,LevelList,0))+(INDEX(LevelBasic,MATCH($H2321,LevelList,0))+INDEX(LevelHousing,MATCH($H2321,LevelList,0)))*GosiSaudi,0))</f>
        <v>0</v>
      </c>
      <c r="W2321" s="35" t="n">
        <f aca="false">IFERROR(INDEX(LevelOneOff,MATCH($H2321,LevelList,0)),0)</f>
        <v>0</v>
      </c>
      <c r="X2321" s="35" t="str">
        <f aca="false">IF($G2321="","",$V2321*N($L2321))</f>
        <v/>
      </c>
      <c r="Y2321" s="35" t="str">
        <f aca="false">IF($G2321="","",$V2321*(N($M2321)*1+N($N2321)*0.75+N($O2321)*0.5+N($P2321)*0.25)+$W2321*N($L2321))</f>
        <v/>
      </c>
      <c r="Z2321" s="35" t="str">
        <f aca="false">IF($G2321="","",$U2321*1000000+ROW())</f>
        <v/>
      </c>
      <c r="AA2321" s="36" t="str">
        <f aca="false">IF($G2321="","",MID(IF($C2321="",", no division","")&amp;IF($E2321="",", no unit","")&amp;IF($H2321="",", no career level","")&amp;IF(N($L2321)&lt;=0,", no quarter split","")&amp;IF($R2321="",", no driver","")&amp;IF(AND($H2321&lt;&gt;"",COUNTIF(CareerLevels,$H2321)=0),", a career level that is not on the ladder","")&amp;IF(AND($R2321&lt;&gt;"",COUNTIF(DriverList,$R2321)=0),", a driver that is not on the list","")&amp;IF(ABS(N($L2321)-(N($M2321)+N($N2321)+N($O2321)+N($P2321)))&gt;0.001,", a total that does not match its quarters",""),3,300))</f>
        <v/>
      </c>
    </row>
    <row r="2322" customFormat="false" ht="15" hidden="false" customHeight="false" outlineLevel="0" collapsed="false">
      <c r="A2322" s="33" t="str">
        <f aca="false">IF($G2322="","","Treasury &amp; Investments Group")</f>
        <v/>
      </c>
      <c r="B2322" s="19"/>
      <c r="C2322" s="19"/>
      <c r="D2322" s="19"/>
      <c r="E2322" s="19"/>
      <c r="F2322" s="19"/>
      <c r="G2322" s="19"/>
      <c r="H2322" s="19"/>
      <c r="I2322" s="19"/>
      <c r="J2322" s="19"/>
      <c r="K2322" s="19"/>
      <c r="L2322" s="19"/>
      <c r="M2322" s="19"/>
      <c r="N2322" s="19"/>
      <c r="O2322" s="19"/>
      <c r="P2322" s="19"/>
      <c r="Q2322" s="19"/>
      <c r="R2322" s="19"/>
      <c r="S2322" s="19"/>
      <c r="T2322" s="34" t="str">
        <f aca="false">IF($R2322="","",IFERROR(INDEX(DriverCategory,MATCH($R2322,DriverList,0)),"BAU"))</f>
        <v/>
      </c>
      <c r="U2322" s="34" t="str">
        <f aca="false">IF($R2322="","",IFERROR(INDEX(DriverRank,MATCH($R2322,DriverList,0)),99))</f>
        <v/>
      </c>
      <c r="V2322" s="35" t="n">
        <f aca="false">IF($H2322="",0,IFERROR(INDEX(LevelBasic,MATCH($H2322,LevelList,0))+INDEX(LevelHousing,MATCH($H2322,LevelList,0))+INDEX(LevelTransport,MATCH($H2322,LevelList,0))+INDEX(LevelBasic,MATCH($H2322,LevelList,0))*INDEX(LevelBonus,MATCH($H2322,LevelList,0))+(INDEX(LevelBasic,MATCH($H2322,LevelList,0))+INDEX(LevelHousing,MATCH($H2322,LevelList,0)))*GosiSaudi,0))</f>
        <v>0</v>
      </c>
      <c r="W2322" s="35" t="n">
        <f aca="false">IFERROR(INDEX(LevelOneOff,MATCH($H2322,LevelList,0)),0)</f>
        <v>0</v>
      </c>
      <c r="X2322" s="35" t="str">
        <f aca="false">IF($G2322="","",$V2322*N($L2322))</f>
        <v/>
      </c>
      <c r="Y2322" s="35" t="str">
        <f aca="false">IF($G2322="","",$V2322*(N($M2322)*1+N($N2322)*0.75+N($O2322)*0.5+N($P2322)*0.25)+$W2322*N($L2322))</f>
        <v/>
      </c>
      <c r="Z2322" s="35" t="str">
        <f aca="false">IF($G2322="","",$U2322*1000000+ROW())</f>
        <v/>
      </c>
      <c r="AA2322" s="36" t="str">
        <f aca="false">IF($G2322="","",MID(IF($C2322="",", no division","")&amp;IF($E2322="",", no unit","")&amp;IF($H2322="",", no career level","")&amp;IF(N($L2322)&lt;=0,", no quarter split","")&amp;IF($R2322="",", no driver","")&amp;IF(AND($H2322&lt;&gt;"",COUNTIF(CareerLevels,$H2322)=0),", a career level that is not on the ladder","")&amp;IF(AND($R2322&lt;&gt;"",COUNTIF(DriverList,$R2322)=0),", a driver that is not on the list","")&amp;IF(ABS(N($L2322)-(N($M2322)+N($N2322)+N($O2322)+N($P2322)))&gt;0.001,", a total that does not match its quarters",""),3,300))</f>
        <v/>
      </c>
    </row>
    <row r="2323" customFormat="false" ht="15" hidden="false" customHeight="false" outlineLevel="0" collapsed="false">
      <c r="A2323" s="33" t="str">
        <f aca="false">IF($G2323="","","Treasury &amp; Investments Group")</f>
        <v/>
      </c>
      <c r="B2323" s="19"/>
      <c r="C2323" s="19"/>
      <c r="D2323" s="19"/>
      <c r="E2323" s="19"/>
      <c r="F2323" s="19"/>
      <c r="G2323" s="19"/>
      <c r="H2323" s="19"/>
      <c r="I2323" s="19"/>
      <c r="J2323" s="19"/>
      <c r="K2323" s="19"/>
      <c r="L2323" s="19"/>
      <c r="M2323" s="19"/>
      <c r="N2323" s="19"/>
      <c r="O2323" s="19"/>
      <c r="P2323" s="19"/>
      <c r="Q2323" s="19"/>
      <c r="R2323" s="19"/>
      <c r="S2323" s="19"/>
      <c r="T2323" s="34" t="str">
        <f aca="false">IF($R2323="","",IFERROR(INDEX(DriverCategory,MATCH($R2323,DriverList,0)),"BAU"))</f>
        <v/>
      </c>
      <c r="U2323" s="34" t="str">
        <f aca="false">IF($R2323="","",IFERROR(INDEX(DriverRank,MATCH($R2323,DriverList,0)),99))</f>
        <v/>
      </c>
      <c r="V2323" s="35" t="n">
        <f aca="false">IF($H2323="",0,IFERROR(INDEX(LevelBasic,MATCH($H2323,LevelList,0))+INDEX(LevelHousing,MATCH($H2323,LevelList,0))+INDEX(LevelTransport,MATCH($H2323,LevelList,0))+INDEX(LevelBasic,MATCH($H2323,LevelList,0))*INDEX(LevelBonus,MATCH($H2323,LevelList,0))+(INDEX(LevelBasic,MATCH($H2323,LevelList,0))+INDEX(LevelHousing,MATCH($H2323,LevelList,0)))*GosiSaudi,0))</f>
        <v>0</v>
      </c>
      <c r="W2323" s="35" t="n">
        <f aca="false">IFERROR(INDEX(LevelOneOff,MATCH($H2323,LevelList,0)),0)</f>
        <v>0</v>
      </c>
      <c r="X2323" s="35" t="str">
        <f aca="false">IF($G2323="","",$V2323*N($L2323))</f>
        <v/>
      </c>
      <c r="Y2323" s="35" t="str">
        <f aca="false">IF($G2323="","",$V2323*(N($M2323)*1+N($N2323)*0.75+N($O2323)*0.5+N($P2323)*0.25)+$W2323*N($L2323))</f>
        <v/>
      </c>
      <c r="Z2323" s="35" t="str">
        <f aca="false">IF($G2323="","",$U2323*1000000+ROW())</f>
        <v/>
      </c>
      <c r="AA2323" s="36" t="str">
        <f aca="false">IF($G2323="","",MID(IF($C2323="",", no division","")&amp;IF($E2323="",", no unit","")&amp;IF($H2323="",", no career level","")&amp;IF(N($L2323)&lt;=0,", no quarter split","")&amp;IF($R2323="",", no driver","")&amp;IF(AND($H2323&lt;&gt;"",COUNTIF(CareerLevels,$H2323)=0),", a career level that is not on the ladder","")&amp;IF(AND($R2323&lt;&gt;"",COUNTIF(DriverList,$R2323)=0),", a driver that is not on the list","")&amp;IF(ABS(N($L2323)-(N($M2323)+N($N2323)+N($O2323)+N($P2323)))&gt;0.001,", a total that does not match its quarters",""),3,300))</f>
        <v/>
      </c>
    </row>
    <row r="2324" customFormat="false" ht="15" hidden="false" customHeight="false" outlineLevel="0" collapsed="false">
      <c r="A2324" s="33" t="str">
        <f aca="false">IF($G2324="","","Treasury &amp; Investments Group")</f>
        <v/>
      </c>
      <c r="B2324" s="19"/>
      <c r="C2324" s="19"/>
      <c r="D2324" s="19"/>
      <c r="E2324" s="19"/>
      <c r="F2324" s="19"/>
      <c r="G2324" s="19"/>
      <c r="H2324" s="19"/>
      <c r="I2324" s="19"/>
      <c r="J2324" s="19"/>
      <c r="K2324" s="19"/>
      <c r="L2324" s="19"/>
      <c r="M2324" s="19"/>
      <c r="N2324" s="19"/>
      <c r="O2324" s="19"/>
      <c r="P2324" s="19"/>
      <c r="Q2324" s="19"/>
      <c r="R2324" s="19"/>
      <c r="S2324" s="19"/>
      <c r="T2324" s="34" t="str">
        <f aca="false">IF($R2324="","",IFERROR(INDEX(DriverCategory,MATCH($R2324,DriverList,0)),"BAU"))</f>
        <v/>
      </c>
      <c r="U2324" s="34" t="str">
        <f aca="false">IF($R2324="","",IFERROR(INDEX(DriverRank,MATCH($R2324,DriverList,0)),99))</f>
        <v/>
      </c>
      <c r="V2324" s="35" t="n">
        <f aca="false">IF($H2324="",0,IFERROR(INDEX(LevelBasic,MATCH($H2324,LevelList,0))+INDEX(LevelHousing,MATCH($H2324,LevelList,0))+INDEX(LevelTransport,MATCH($H2324,LevelList,0))+INDEX(LevelBasic,MATCH($H2324,LevelList,0))*INDEX(LevelBonus,MATCH($H2324,LevelList,0))+(INDEX(LevelBasic,MATCH($H2324,LevelList,0))+INDEX(LevelHousing,MATCH($H2324,LevelList,0)))*GosiSaudi,0))</f>
        <v>0</v>
      </c>
      <c r="W2324" s="35" t="n">
        <f aca="false">IFERROR(INDEX(LevelOneOff,MATCH($H2324,LevelList,0)),0)</f>
        <v>0</v>
      </c>
      <c r="X2324" s="35" t="str">
        <f aca="false">IF($G2324="","",$V2324*N($L2324))</f>
        <v/>
      </c>
      <c r="Y2324" s="35" t="str">
        <f aca="false">IF($G2324="","",$V2324*(N($M2324)*1+N($N2324)*0.75+N($O2324)*0.5+N($P2324)*0.25)+$W2324*N($L2324))</f>
        <v/>
      </c>
      <c r="Z2324" s="35" t="str">
        <f aca="false">IF($G2324="","",$U2324*1000000+ROW())</f>
        <v/>
      </c>
      <c r="AA2324" s="36" t="str">
        <f aca="false">IF($G2324="","",MID(IF($C2324="",", no division","")&amp;IF($E2324="",", no unit","")&amp;IF($H2324="",", no career level","")&amp;IF(N($L2324)&lt;=0,", no quarter split","")&amp;IF($R2324="",", no driver","")&amp;IF(AND($H2324&lt;&gt;"",COUNTIF(CareerLevels,$H2324)=0),", a career level that is not on the ladder","")&amp;IF(AND($R2324&lt;&gt;"",COUNTIF(DriverList,$R2324)=0),", a driver that is not on the list","")&amp;IF(ABS(N($L2324)-(N($M2324)+N($N2324)+N($O2324)+N($P2324)))&gt;0.001,", a total that does not match its quarters",""),3,300))</f>
        <v/>
      </c>
    </row>
    <row r="2325" customFormat="false" ht="15" hidden="false" customHeight="false" outlineLevel="0" collapsed="false">
      <c r="A2325" s="33" t="str">
        <f aca="false">IF($G2325="","","Treasury &amp; Investments Group")</f>
        <v/>
      </c>
      <c r="B2325" s="19"/>
      <c r="C2325" s="19"/>
      <c r="D2325" s="19"/>
      <c r="E2325" s="19"/>
      <c r="F2325" s="19"/>
      <c r="G2325" s="19"/>
      <c r="H2325" s="19"/>
      <c r="I2325" s="19"/>
      <c r="J2325" s="19"/>
      <c r="K2325" s="19"/>
      <c r="L2325" s="19"/>
      <c r="M2325" s="19"/>
      <c r="N2325" s="19"/>
      <c r="O2325" s="19"/>
      <c r="P2325" s="19"/>
      <c r="Q2325" s="19"/>
      <c r="R2325" s="19"/>
      <c r="S2325" s="19"/>
      <c r="T2325" s="34" t="str">
        <f aca="false">IF($R2325="","",IFERROR(INDEX(DriverCategory,MATCH($R2325,DriverList,0)),"BAU"))</f>
        <v/>
      </c>
      <c r="U2325" s="34" t="str">
        <f aca="false">IF($R2325="","",IFERROR(INDEX(DriverRank,MATCH($R2325,DriverList,0)),99))</f>
        <v/>
      </c>
      <c r="V2325" s="35" t="n">
        <f aca="false">IF($H2325="",0,IFERROR(INDEX(LevelBasic,MATCH($H2325,LevelList,0))+INDEX(LevelHousing,MATCH($H2325,LevelList,0))+INDEX(LevelTransport,MATCH($H2325,LevelList,0))+INDEX(LevelBasic,MATCH($H2325,LevelList,0))*INDEX(LevelBonus,MATCH($H2325,LevelList,0))+(INDEX(LevelBasic,MATCH($H2325,LevelList,0))+INDEX(LevelHousing,MATCH($H2325,LevelList,0)))*GosiSaudi,0))</f>
        <v>0</v>
      </c>
      <c r="W2325" s="35" t="n">
        <f aca="false">IFERROR(INDEX(LevelOneOff,MATCH($H2325,LevelList,0)),0)</f>
        <v>0</v>
      </c>
      <c r="X2325" s="35" t="str">
        <f aca="false">IF($G2325="","",$V2325*N($L2325))</f>
        <v/>
      </c>
      <c r="Y2325" s="35" t="str">
        <f aca="false">IF($G2325="","",$V2325*(N($M2325)*1+N($N2325)*0.75+N($O2325)*0.5+N($P2325)*0.25)+$W2325*N($L2325))</f>
        <v/>
      </c>
      <c r="Z2325" s="35" t="str">
        <f aca="false">IF($G2325="","",$U2325*1000000+ROW())</f>
        <v/>
      </c>
      <c r="AA2325" s="36" t="str">
        <f aca="false">IF($G2325="","",MID(IF($C2325="",", no division","")&amp;IF($E2325="",", no unit","")&amp;IF($H2325="",", no career level","")&amp;IF(N($L2325)&lt;=0,", no quarter split","")&amp;IF($R2325="",", no driver","")&amp;IF(AND($H2325&lt;&gt;"",COUNTIF(CareerLevels,$H2325)=0),", a career level that is not on the ladder","")&amp;IF(AND($R2325&lt;&gt;"",COUNTIF(DriverList,$R2325)=0),", a driver that is not on the list","")&amp;IF(ABS(N($L2325)-(N($M2325)+N($N2325)+N($O2325)+N($P2325)))&gt;0.001,", a total that does not match its quarters",""),3,300))</f>
        <v/>
      </c>
    </row>
    <row r="2326" customFormat="false" ht="15" hidden="false" customHeight="false" outlineLevel="0" collapsed="false">
      <c r="A2326" s="33" t="str">
        <f aca="false">IF($G2326="","","Treasury &amp; Investments Group")</f>
        <v/>
      </c>
      <c r="B2326" s="19"/>
      <c r="C2326" s="19"/>
      <c r="D2326" s="19"/>
      <c r="E2326" s="19"/>
      <c r="F2326" s="19"/>
      <c r="G2326" s="19"/>
      <c r="H2326" s="19"/>
      <c r="I2326" s="19"/>
      <c r="J2326" s="19"/>
      <c r="K2326" s="19"/>
      <c r="L2326" s="19"/>
      <c r="M2326" s="19"/>
      <c r="N2326" s="19"/>
      <c r="O2326" s="19"/>
      <c r="P2326" s="19"/>
      <c r="Q2326" s="19"/>
      <c r="R2326" s="19"/>
      <c r="S2326" s="19"/>
      <c r="T2326" s="34" t="str">
        <f aca="false">IF($R2326="","",IFERROR(INDEX(DriverCategory,MATCH($R2326,DriverList,0)),"BAU"))</f>
        <v/>
      </c>
      <c r="U2326" s="34" t="str">
        <f aca="false">IF($R2326="","",IFERROR(INDEX(DriverRank,MATCH($R2326,DriverList,0)),99))</f>
        <v/>
      </c>
      <c r="V2326" s="35" t="n">
        <f aca="false">IF($H2326="",0,IFERROR(INDEX(LevelBasic,MATCH($H2326,LevelList,0))+INDEX(LevelHousing,MATCH($H2326,LevelList,0))+INDEX(LevelTransport,MATCH($H2326,LevelList,0))+INDEX(LevelBasic,MATCH($H2326,LevelList,0))*INDEX(LevelBonus,MATCH($H2326,LevelList,0))+(INDEX(LevelBasic,MATCH($H2326,LevelList,0))+INDEX(LevelHousing,MATCH($H2326,LevelList,0)))*GosiSaudi,0))</f>
        <v>0</v>
      </c>
      <c r="W2326" s="35" t="n">
        <f aca="false">IFERROR(INDEX(LevelOneOff,MATCH($H2326,LevelList,0)),0)</f>
        <v>0</v>
      </c>
      <c r="X2326" s="35" t="str">
        <f aca="false">IF($G2326="","",$V2326*N($L2326))</f>
        <v/>
      </c>
      <c r="Y2326" s="35" t="str">
        <f aca="false">IF($G2326="","",$V2326*(N($M2326)*1+N($N2326)*0.75+N($O2326)*0.5+N($P2326)*0.25)+$W2326*N($L2326))</f>
        <v/>
      </c>
      <c r="Z2326" s="35" t="str">
        <f aca="false">IF($G2326="","",$U2326*1000000+ROW())</f>
        <v/>
      </c>
      <c r="AA2326" s="36" t="str">
        <f aca="false">IF($G2326="","",MID(IF($C2326="",", no division","")&amp;IF($E2326="",", no unit","")&amp;IF($H2326="",", no career level","")&amp;IF(N($L2326)&lt;=0,", no quarter split","")&amp;IF($R2326="",", no driver","")&amp;IF(AND($H2326&lt;&gt;"",COUNTIF(CareerLevels,$H2326)=0),", a career level that is not on the ladder","")&amp;IF(AND($R2326&lt;&gt;"",COUNTIF(DriverList,$R2326)=0),", a driver that is not on the list","")&amp;IF(ABS(N($L2326)-(N($M2326)+N($N2326)+N($O2326)+N($P2326)))&gt;0.001,", a total that does not match its quarters",""),3,300))</f>
        <v/>
      </c>
    </row>
    <row r="2327" customFormat="false" ht="15" hidden="false" customHeight="false" outlineLevel="0" collapsed="false">
      <c r="A2327" s="33" t="str">
        <f aca="false">IF($G2327="","","Treasury &amp; Investments Group")</f>
        <v/>
      </c>
      <c r="B2327" s="19"/>
      <c r="C2327" s="19"/>
      <c r="D2327" s="19"/>
      <c r="E2327" s="19"/>
      <c r="F2327" s="19"/>
      <c r="G2327" s="19"/>
      <c r="H2327" s="19"/>
      <c r="I2327" s="19"/>
      <c r="J2327" s="19"/>
      <c r="K2327" s="19"/>
      <c r="L2327" s="19"/>
      <c r="M2327" s="19"/>
      <c r="N2327" s="19"/>
      <c r="O2327" s="19"/>
      <c r="P2327" s="19"/>
      <c r="Q2327" s="19"/>
      <c r="R2327" s="19"/>
      <c r="S2327" s="19"/>
      <c r="T2327" s="34" t="str">
        <f aca="false">IF($R2327="","",IFERROR(INDEX(DriverCategory,MATCH($R2327,DriverList,0)),"BAU"))</f>
        <v/>
      </c>
      <c r="U2327" s="34" t="str">
        <f aca="false">IF($R2327="","",IFERROR(INDEX(DriverRank,MATCH($R2327,DriverList,0)),99))</f>
        <v/>
      </c>
      <c r="V2327" s="35" t="n">
        <f aca="false">IF($H2327="",0,IFERROR(INDEX(LevelBasic,MATCH($H2327,LevelList,0))+INDEX(LevelHousing,MATCH($H2327,LevelList,0))+INDEX(LevelTransport,MATCH($H2327,LevelList,0))+INDEX(LevelBasic,MATCH($H2327,LevelList,0))*INDEX(LevelBonus,MATCH($H2327,LevelList,0))+(INDEX(LevelBasic,MATCH($H2327,LevelList,0))+INDEX(LevelHousing,MATCH($H2327,LevelList,0)))*GosiSaudi,0))</f>
        <v>0</v>
      </c>
      <c r="W2327" s="35" t="n">
        <f aca="false">IFERROR(INDEX(LevelOneOff,MATCH($H2327,LevelList,0)),0)</f>
        <v>0</v>
      </c>
      <c r="X2327" s="35" t="str">
        <f aca="false">IF($G2327="","",$V2327*N($L2327))</f>
        <v/>
      </c>
      <c r="Y2327" s="35" t="str">
        <f aca="false">IF($G2327="","",$V2327*(N($M2327)*1+N($N2327)*0.75+N($O2327)*0.5+N($P2327)*0.25)+$W2327*N($L2327))</f>
        <v/>
      </c>
      <c r="Z2327" s="35" t="str">
        <f aca="false">IF($G2327="","",$U2327*1000000+ROW())</f>
        <v/>
      </c>
      <c r="AA2327" s="36" t="str">
        <f aca="false">IF($G2327="","",MID(IF($C2327="",", no division","")&amp;IF($E2327="",", no unit","")&amp;IF($H2327="",", no career level","")&amp;IF(N($L2327)&lt;=0,", no quarter split","")&amp;IF($R2327="",", no driver","")&amp;IF(AND($H2327&lt;&gt;"",COUNTIF(CareerLevels,$H2327)=0),", a career level that is not on the ladder","")&amp;IF(AND($R2327&lt;&gt;"",COUNTIF(DriverList,$R2327)=0),", a driver that is not on the list","")&amp;IF(ABS(N($L2327)-(N($M2327)+N($N2327)+N($O2327)+N($P2327)))&gt;0.001,", a total that does not match its quarters",""),3,300))</f>
        <v/>
      </c>
    </row>
    <row r="2328" customFormat="false" ht="15" hidden="false" customHeight="false" outlineLevel="0" collapsed="false">
      <c r="A2328" s="33" t="str">
        <f aca="false">IF($G2328="","","Treasury &amp; Investments Group")</f>
        <v/>
      </c>
      <c r="B2328" s="19"/>
      <c r="C2328" s="19"/>
      <c r="D2328" s="19"/>
      <c r="E2328" s="19"/>
      <c r="F2328" s="19"/>
      <c r="G2328" s="19"/>
      <c r="H2328" s="19"/>
      <c r="I2328" s="19"/>
      <c r="J2328" s="19"/>
      <c r="K2328" s="19"/>
      <c r="L2328" s="19"/>
      <c r="M2328" s="19"/>
      <c r="N2328" s="19"/>
      <c r="O2328" s="19"/>
      <c r="P2328" s="19"/>
      <c r="Q2328" s="19"/>
      <c r="R2328" s="19"/>
      <c r="S2328" s="19"/>
      <c r="T2328" s="34" t="str">
        <f aca="false">IF($R2328="","",IFERROR(INDEX(DriverCategory,MATCH($R2328,DriverList,0)),"BAU"))</f>
        <v/>
      </c>
      <c r="U2328" s="34" t="str">
        <f aca="false">IF($R2328="","",IFERROR(INDEX(DriverRank,MATCH($R2328,DriverList,0)),99))</f>
        <v/>
      </c>
      <c r="V2328" s="35" t="n">
        <f aca="false">IF($H2328="",0,IFERROR(INDEX(LevelBasic,MATCH($H2328,LevelList,0))+INDEX(LevelHousing,MATCH($H2328,LevelList,0))+INDEX(LevelTransport,MATCH($H2328,LevelList,0))+INDEX(LevelBasic,MATCH($H2328,LevelList,0))*INDEX(LevelBonus,MATCH($H2328,LevelList,0))+(INDEX(LevelBasic,MATCH($H2328,LevelList,0))+INDEX(LevelHousing,MATCH($H2328,LevelList,0)))*GosiSaudi,0))</f>
        <v>0</v>
      </c>
      <c r="W2328" s="35" t="n">
        <f aca="false">IFERROR(INDEX(LevelOneOff,MATCH($H2328,LevelList,0)),0)</f>
        <v>0</v>
      </c>
      <c r="X2328" s="35" t="str">
        <f aca="false">IF($G2328="","",$V2328*N($L2328))</f>
        <v/>
      </c>
      <c r="Y2328" s="35" t="str">
        <f aca="false">IF($G2328="","",$V2328*(N($M2328)*1+N($N2328)*0.75+N($O2328)*0.5+N($P2328)*0.25)+$W2328*N($L2328))</f>
        <v/>
      </c>
      <c r="Z2328" s="35" t="str">
        <f aca="false">IF($G2328="","",$U2328*1000000+ROW())</f>
        <v/>
      </c>
      <c r="AA2328" s="36" t="str">
        <f aca="false">IF($G2328="","",MID(IF($C2328="",", no division","")&amp;IF($E2328="",", no unit","")&amp;IF($H2328="",", no career level","")&amp;IF(N($L2328)&lt;=0,", no quarter split","")&amp;IF($R2328="",", no driver","")&amp;IF(AND($H2328&lt;&gt;"",COUNTIF(CareerLevels,$H2328)=0),", a career level that is not on the ladder","")&amp;IF(AND($R2328&lt;&gt;"",COUNTIF(DriverList,$R2328)=0),", a driver that is not on the list","")&amp;IF(ABS(N($L2328)-(N($M2328)+N($N2328)+N($O2328)+N($P2328)))&gt;0.001,", a total that does not match its quarters",""),3,300))</f>
        <v/>
      </c>
    </row>
    <row r="2329" customFormat="false" ht="15" hidden="false" customHeight="false" outlineLevel="0" collapsed="false">
      <c r="A2329" s="33" t="str">
        <f aca="false">IF($G2329="","","Treasury &amp; Investments Group")</f>
        <v/>
      </c>
      <c r="B2329" s="19"/>
      <c r="C2329" s="19"/>
      <c r="D2329" s="19"/>
      <c r="E2329" s="19"/>
      <c r="F2329" s="19"/>
      <c r="G2329" s="19"/>
      <c r="H2329" s="19"/>
      <c r="I2329" s="19"/>
      <c r="J2329" s="19"/>
      <c r="K2329" s="19"/>
      <c r="L2329" s="19"/>
      <c r="M2329" s="19"/>
      <c r="N2329" s="19"/>
      <c r="O2329" s="19"/>
      <c r="P2329" s="19"/>
      <c r="Q2329" s="19"/>
      <c r="R2329" s="19"/>
      <c r="S2329" s="19"/>
      <c r="T2329" s="34" t="str">
        <f aca="false">IF($R2329="","",IFERROR(INDEX(DriverCategory,MATCH($R2329,DriverList,0)),"BAU"))</f>
        <v/>
      </c>
      <c r="U2329" s="34" t="str">
        <f aca="false">IF($R2329="","",IFERROR(INDEX(DriverRank,MATCH($R2329,DriverList,0)),99))</f>
        <v/>
      </c>
      <c r="V2329" s="35" t="n">
        <f aca="false">IF($H2329="",0,IFERROR(INDEX(LevelBasic,MATCH($H2329,LevelList,0))+INDEX(LevelHousing,MATCH($H2329,LevelList,0))+INDEX(LevelTransport,MATCH($H2329,LevelList,0))+INDEX(LevelBasic,MATCH($H2329,LevelList,0))*INDEX(LevelBonus,MATCH($H2329,LevelList,0))+(INDEX(LevelBasic,MATCH($H2329,LevelList,0))+INDEX(LevelHousing,MATCH($H2329,LevelList,0)))*GosiSaudi,0))</f>
        <v>0</v>
      </c>
      <c r="W2329" s="35" t="n">
        <f aca="false">IFERROR(INDEX(LevelOneOff,MATCH($H2329,LevelList,0)),0)</f>
        <v>0</v>
      </c>
      <c r="X2329" s="35" t="str">
        <f aca="false">IF($G2329="","",$V2329*N($L2329))</f>
        <v/>
      </c>
      <c r="Y2329" s="35" t="str">
        <f aca="false">IF($G2329="","",$V2329*(N($M2329)*1+N($N2329)*0.75+N($O2329)*0.5+N($P2329)*0.25)+$W2329*N($L2329))</f>
        <v/>
      </c>
      <c r="Z2329" s="35" t="str">
        <f aca="false">IF($G2329="","",$U2329*1000000+ROW())</f>
        <v/>
      </c>
      <c r="AA2329" s="36" t="str">
        <f aca="false">IF($G2329="","",MID(IF($C2329="",", no division","")&amp;IF($E2329="",", no unit","")&amp;IF($H2329="",", no career level","")&amp;IF(N($L2329)&lt;=0,", no quarter split","")&amp;IF($R2329="",", no driver","")&amp;IF(AND($H2329&lt;&gt;"",COUNTIF(CareerLevels,$H2329)=0),", a career level that is not on the ladder","")&amp;IF(AND($R2329&lt;&gt;"",COUNTIF(DriverList,$R2329)=0),", a driver that is not on the list","")&amp;IF(ABS(N($L2329)-(N($M2329)+N($N2329)+N($O2329)+N($P2329)))&gt;0.001,", a total that does not match its quarters",""),3,300))</f>
        <v/>
      </c>
    </row>
    <row r="2330" customFormat="false" ht="15" hidden="false" customHeight="false" outlineLevel="0" collapsed="false">
      <c r="A2330" s="33" t="str">
        <f aca="false">IF($G2330="","","Treasury &amp; Investments Group")</f>
        <v/>
      </c>
      <c r="B2330" s="19"/>
      <c r="C2330" s="19"/>
      <c r="D2330" s="19"/>
      <c r="E2330" s="19"/>
      <c r="F2330" s="19"/>
      <c r="G2330" s="19"/>
      <c r="H2330" s="19"/>
      <c r="I2330" s="19"/>
      <c r="J2330" s="19"/>
      <c r="K2330" s="19"/>
      <c r="L2330" s="19"/>
      <c r="M2330" s="19"/>
      <c r="N2330" s="19"/>
      <c r="O2330" s="19"/>
      <c r="P2330" s="19"/>
      <c r="Q2330" s="19"/>
      <c r="R2330" s="19"/>
      <c r="S2330" s="19"/>
      <c r="T2330" s="34" t="str">
        <f aca="false">IF($R2330="","",IFERROR(INDEX(DriverCategory,MATCH($R2330,DriverList,0)),"BAU"))</f>
        <v/>
      </c>
      <c r="U2330" s="34" t="str">
        <f aca="false">IF($R2330="","",IFERROR(INDEX(DriverRank,MATCH($R2330,DriverList,0)),99))</f>
        <v/>
      </c>
      <c r="V2330" s="35" t="n">
        <f aca="false">IF($H2330="",0,IFERROR(INDEX(LevelBasic,MATCH($H2330,LevelList,0))+INDEX(LevelHousing,MATCH($H2330,LevelList,0))+INDEX(LevelTransport,MATCH($H2330,LevelList,0))+INDEX(LevelBasic,MATCH($H2330,LevelList,0))*INDEX(LevelBonus,MATCH($H2330,LevelList,0))+(INDEX(LevelBasic,MATCH($H2330,LevelList,0))+INDEX(LevelHousing,MATCH($H2330,LevelList,0)))*GosiSaudi,0))</f>
        <v>0</v>
      </c>
      <c r="W2330" s="35" t="n">
        <f aca="false">IFERROR(INDEX(LevelOneOff,MATCH($H2330,LevelList,0)),0)</f>
        <v>0</v>
      </c>
      <c r="X2330" s="35" t="str">
        <f aca="false">IF($G2330="","",$V2330*N($L2330))</f>
        <v/>
      </c>
      <c r="Y2330" s="35" t="str">
        <f aca="false">IF($G2330="","",$V2330*(N($M2330)*1+N($N2330)*0.75+N($O2330)*0.5+N($P2330)*0.25)+$W2330*N($L2330))</f>
        <v/>
      </c>
      <c r="Z2330" s="35" t="str">
        <f aca="false">IF($G2330="","",$U2330*1000000+ROW())</f>
        <v/>
      </c>
      <c r="AA2330" s="36" t="str">
        <f aca="false">IF($G2330="","",MID(IF($C2330="",", no division","")&amp;IF($E2330="",", no unit","")&amp;IF($H2330="",", no career level","")&amp;IF(N($L2330)&lt;=0,", no quarter split","")&amp;IF($R2330="",", no driver","")&amp;IF(AND($H2330&lt;&gt;"",COUNTIF(CareerLevels,$H2330)=0),", a career level that is not on the ladder","")&amp;IF(AND($R2330&lt;&gt;"",COUNTIF(DriverList,$R2330)=0),", a driver that is not on the list","")&amp;IF(ABS(N($L2330)-(N($M2330)+N($N2330)+N($O2330)+N($P2330)))&gt;0.001,", a total that does not match its quarters",""),3,300))</f>
        <v/>
      </c>
    </row>
    <row r="2331" customFormat="false" ht="15" hidden="false" customHeight="false" outlineLevel="0" collapsed="false">
      <c r="A2331" s="33" t="str">
        <f aca="false">IF($G2331="","","Treasury &amp; Investments Group")</f>
        <v/>
      </c>
      <c r="B2331" s="19"/>
      <c r="C2331" s="19"/>
      <c r="D2331" s="19"/>
      <c r="E2331" s="19"/>
      <c r="F2331" s="19"/>
      <c r="G2331" s="19"/>
      <c r="H2331" s="19"/>
      <c r="I2331" s="19"/>
      <c r="J2331" s="19"/>
      <c r="K2331" s="19"/>
      <c r="L2331" s="19"/>
      <c r="M2331" s="19"/>
      <c r="N2331" s="19"/>
      <c r="O2331" s="19"/>
      <c r="P2331" s="19"/>
      <c r="Q2331" s="19"/>
      <c r="R2331" s="19"/>
      <c r="S2331" s="19"/>
      <c r="T2331" s="34" t="str">
        <f aca="false">IF($R2331="","",IFERROR(INDEX(DriverCategory,MATCH($R2331,DriverList,0)),"BAU"))</f>
        <v/>
      </c>
      <c r="U2331" s="34" t="str">
        <f aca="false">IF($R2331="","",IFERROR(INDEX(DriverRank,MATCH($R2331,DriverList,0)),99))</f>
        <v/>
      </c>
      <c r="V2331" s="35" t="n">
        <f aca="false">IF($H2331="",0,IFERROR(INDEX(LevelBasic,MATCH($H2331,LevelList,0))+INDEX(LevelHousing,MATCH($H2331,LevelList,0))+INDEX(LevelTransport,MATCH($H2331,LevelList,0))+INDEX(LevelBasic,MATCH($H2331,LevelList,0))*INDEX(LevelBonus,MATCH($H2331,LevelList,0))+(INDEX(LevelBasic,MATCH($H2331,LevelList,0))+INDEX(LevelHousing,MATCH($H2331,LevelList,0)))*GosiSaudi,0))</f>
        <v>0</v>
      </c>
      <c r="W2331" s="35" t="n">
        <f aca="false">IFERROR(INDEX(LevelOneOff,MATCH($H2331,LevelList,0)),0)</f>
        <v>0</v>
      </c>
      <c r="X2331" s="35" t="str">
        <f aca="false">IF($G2331="","",$V2331*N($L2331))</f>
        <v/>
      </c>
      <c r="Y2331" s="35" t="str">
        <f aca="false">IF($G2331="","",$V2331*(N($M2331)*1+N($N2331)*0.75+N($O2331)*0.5+N($P2331)*0.25)+$W2331*N($L2331))</f>
        <v/>
      </c>
      <c r="Z2331" s="35" t="str">
        <f aca="false">IF($G2331="","",$U2331*1000000+ROW())</f>
        <v/>
      </c>
      <c r="AA2331" s="36" t="str">
        <f aca="false">IF($G2331="","",MID(IF($C2331="",", no division","")&amp;IF($E2331="",", no unit","")&amp;IF($H2331="",", no career level","")&amp;IF(N($L2331)&lt;=0,", no quarter split","")&amp;IF($R2331="",", no driver","")&amp;IF(AND($H2331&lt;&gt;"",COUNTIF(CareerLevels,$H2331)=0),", a career level that is not on the ladder","")&amp;IF(AND($R2331&lt;&gt;"",COUNTIF(DriverList,$R2331)=0),", a driver that is not on the list","")&amp;IF(ABS(N($L2331)-(N($M2331)+N($N2331)+N($O2331)+N($P2331)))&gt;0.001,", a total that does not match its quarters",""),3,300))</f>
        <v/>
      </c>
    </row>
    <row r="2332" customFormat="false" ht="15" hidden="false" customHeight="false" outlineLevel="0" collapsed="false">
      <c r="A2332" s="33" t="str">
        <f aca="false">IF($G2332="","","Treasury &amp; Investments Group")</f>
        <v/>
      </c>
      <c r="B2332" s="19"/>
      <c r="C2332" s="19"/>
      <c r="D2332" s="19"/>
      <c r="E2332" s="19"/>
      <c r="F2332" s="19"/>
      <c r="G2332" s="19"/>
      <c r="H2332" s="19"/>
      <c r="I2332" s="19"/>
      <c r="J2332" s="19"/>
      <c r="K2332" s="19"/>
      <c r="L2332" s="19"/>
      <c r="M2332" s="19"/>
      <c r="N2332" s="19"/>
      <c r="O2332" s="19"/>
      <c r="P2332" s="19"/>
      <c r="Q2332" s="19"/>
      <c r="R2332" s="19"/>
      <c r="S2332" s="19"/>
      <c r="T2332" s="34" t="str">
        <f aca="false">IF($R2332="","",IFERROR(INDEX(DriverCategory,MATCH($R2332,DriverList,0)),"BAU"))</f>
        <v/>
      </c>
      <c r="U2332" s="34" t="str">
        <f aca="false">IF($R2332="","",IFERROR(INDEX(DriverRank,MATCH($R2332,DriverList,0)),99))</f>
        <v/>
      </c>
      <c r="V2332" s="35" t="n">
        <f aca="false">IF($H2332="",0,IFERROR(INDEX(LevelBasic,MATCH($H2332,LevelList,0))+INDEX(LevelHousing,MATCH($H2332,LevelList,0))+INDEX(LevelTransport,MATCH($H2332,LevelList,0))+INDEX(LevelBasic,MATCH($H2332,LevelList,0))*INDEX(LevelBonus,MATCH($H2332,LevelList,0))+(INDEX(LevelBasic,MATCH($H2332,LevelList,0))+INDEX(LevelHousing,MATCH($H2332,LevelList,0)))*GosiSaudi,0))</f>
        <v>0</v>
      </c>
      <c r="W2332" s="35" t="n">
        <f aca="false">IFERROR(INDEX(LevelOneOff,MATCH($H2332,LevelList,0)),0)</f>
        <v>0</v>
      </c>
      <c r="X2332" s="35" t="str">
        <f aca="false">IF($G2332="","",$V2332*N($L2332))</f>
        <v/>
      </c>
      <c r="Y2332" s="35" t="str">
        <f aca="false">IF($G2332="","",$V2332*(N($M2332)*1+N($N2332)*0.75+N($O2332)*0.5+N($P2332)*0.25)+$W2332*N($L2332))</f>
        <v/>
      </c>
      <c r="Z2332" s="35" t="str">
        <f aca="false">IF($G2332="","",$U2332*1000000+ROW())</f>
        <v/>
      </c>
      <c r="AA2332" s="36" t="str">
        <f aca="false">IF($G2332="","",MID(IF($C2332="",", no division","")&amp;IF($E2332="",", no unit","")&amp;IF($H2332="",", no career level","")&amp;IF(N($L2332)&lt;=0,", no quarter split","")&amp;IF($R2332="",", no driver","")&amp;IF(AND($H2332&lt;&gt;"",COUNTIF(CareerLevels,$H2332)=0),", a career level that is not on the ladder","")&amp;IF(AND($R2332&lt;&gt;"",COUNTIF(DriverList,$R2332)=0),", a driver that is not on the list","")&amp;IF(ABS(N($L2332)-(N($M2332)+N($N2332)+N($O2332)+N($P2332)))&gt;0.001,", a total that does not match its quarters",""),3,300))</f>
        <v/>
      </c>
    </row>
    <row r="2333" customFormat="false" ht="15" hidden="false" customHeight="false" outlineLevel="0" collapsed="false">
      <c r="A2333" s="33" t="str">
        <f aca="false">IF($G2333="","","Treasury &amp; Investments Group")</f>
        <v/>
      </c>
      <c r="B2333" s="19"/>
      <c r="C2333" s="19"/>
      <c r="D2333" s="19"/>
      <c r="E2333" s="19"/>
      <c r="F2333" s="19"/>
      <c r="G2333" s="19"/>
      <c r="H2333" s="19"/>
      <c r="I2333" s="19"/>
      <c r="J2333" s="19"/>
      <c r="K2333" s="19"/>
      <c r="L2333" s="19"/>
      <c r="M2333" s="19"/>
      <c r="N2333" s="19"/>
      <c r="O2333" s="19"/>
      <c r="P2333" s="19"/>
      <c r="Q2333" s="19"/>
      <c r="R2333" s="19"/>
      <c r="S2333" s="19"/>
      <c r="T2333" s="34" t="str">
        <f aca="false">IF($R2333="","",IFERROR(INDEX(DriverCategory,MATCH($R2333,DriverList,0)),"BAU"))</f>
        <v/>
      </c>
      <c r="U2333" s="34" t="str">
        <f aca="false">IF($R2333="","",IFERROR(INDEX(DriverRank,MATCH($R2333,DriverList,0)),99))</f>
        <v/>
      </c>
      <c r="V2333" s="35" t="n">
        <f aca="false">IF($H2333="",0,IFERROR(INDEX(LevelBasic,MATCH($H2333,LevelList,0))+INDEX(LevelHousing,MATCH($H2333,LevelList,0))+INDEX(LevelTransport,MATCH($H2333,LevelList,0))+INDEX(LevelBasic,MATCH($H2333,LevelList,0))*INDEX(LevelBonus,MATCH($H2333,LevelList,0))+(INDEX(LevelBasic,MATCH($H2333,LevelList,0))+INDEX(LevelHousing,MATCH($H2333,LevelList,0)))*GosiSaudi,0))</f>
        <v>0</v>
      </c>
      <c r="W2333" s="35" t="n">
        <f aca="false">IFERROR(INDEX(LevelOneOff,MATCH($H2333,LevelList,0)),0)</f>
        <v>0</v>
      </c>
      <c r="X2333" s="35" t="str">
        <f aca="false">IF($G2333="","",$V2333*N($L2333))</f>
        <v/>
      </c>
      <c r="Y2333" s="35" t="str">
        <f aca="false">IF($G2333="","",$V2333*(N($M2333)*1+N($N2333)*0.75+N($O2333)*0.5+N($P2333)*0.25)+$W2333*N($L2333))</f>
        <v/>
      </c>
      <c r="Z2333" s="35" t="str">
        <f aca="false">IF($G2333="","",$U2333*1000000+ROW())</f>
        <v/>
      </c>
      <c r="AA2333" s="36" t="str">
        <f aca="false">IF($G2333="","",MID(IF($C2333="",", no division","")&amp;IF($E2333="",", no unit","")&amp;IF($H2333="",", no career level","")&amp;IF(N($L2333)&lt;=0,", no quarter split","")&amp;IF($R2333="",", no driver","")&amp;IF(AND($H2333&lt;&gt;"",COUNTIF(CareerLevels,$H2333)=0),", a career level that is not on the ladder","")&amp;IF(AND($R2333&lt;&gt;"",COUNTIF(DriverList,$R2333)=0),", a driver that is not on the list","")&amp;IF(ABS(N($L2333)-(N($M2333)+N($N2333)+N($O2333)+N($P2333)))&gt;0.001,", a total that does not match its quarters",""),3,300))</f>
        <v/>
      </c>
    </row>
    <row r="2334" customFormat="false" ht="15" hidden="false" customHeight="false" outlineLevel="0" collapsed="false">
      <c r="A2334" s="33" t="str">
        <f aca="false">IF($G2334="","","Treasury &amp; Investments Group")</f>
        <v/>
      </c>
      <c r="B2334" s="19"/>
      <c r="C2334" s="19"/>
      <c r="D2334" s="19"/>
      <c r="E2334" s="19"/>
      <c r="F2334" s="19"/>
      <c r="G2334" s="19"/>
      <c r="H2334" s="19"/>
      <c r="I2334" s="19"/>
      <c r="J2334" s="19"/>
      <c r="K2334" s="19"/>
      <c r="L2334" s="19"/>
      <c r="M2334" s="19"/>
      <c r="N2334" s="19"/>
      <c r="O2334" s="19"/>
      <c r="P2334" s="19"/>
      <c r="Q2334" s="19"/>
      <c r="R2334" s="19"/>
      <c r="S2334" s="19"/>
      <c r="T2334" s="34" t="str">
        <f aca="false">IF($R2334="","",IFERROR(INDEX(DriverCategory,MATCH($R2334,DriverList,0)),"BAU"))</f>
        <v/>
      </c>
      <c r="U2334" s="34" t="str">
        <f aca="false">IF($R2334="","",IFERROR(INDEX(DriverRank,MATCH($R2334,DriverList,0)),99))</f>
        <v/>
      </c>
      <c r="V2334" s="35" t="n">
        <f aca="false">IF($H2334="",0,IFERROR(INDEX(LevelBasic,MATCH($H2334,LevelList,0))+INDEX(LevelHousing,MATCH($H2334,LevelList,0))+INDEX(LevelTransport,MATCH($H2334,LevelList,0))+INDEX(LevelBasic,MATCH($H2334,LevelList,0))*INDEX(LevelBonus,MATCH($H2334,LevelList,0))+(INDEX(LevelBasic,MATCH($H2334,LevelList,0))+INDEX(LevelHousing,MATCH($H2334,LevelList,0)))*GosiSaudi,0))</f>
        <v>0</v>
      </c>
      <c r="W2334" s="35" t="n">
        <f aca="false">IFERROR(INDEX(LevelOneOff,MATCH($H2334,LevelList,0)),0)</f>
        <v>0</v>
      </c>
      <c r="X2334" s="35" t="str">
        <f aca="false">IF($G2334="","",$V2334*N($L2334))</f>
        <v/>
      </c>
      <c r="Y2334" s="35" t="str">
        <f aca="false">IF($G2334="","",$V2334*(N($M2334)*1+N($N2334)*0.75+N($O2334)*0.5+N($P2334)*0.25)+$W2334*N($L2334))</f>
        <v/>
      </c>
      <c r="Z2334" s="35" t="str">
        <f aca="false">IF($G2334="","",$U2334*1000000+ROW())</f>
        <v/>
      </c>
      <c r="AA2334" s="36" t="str">
        <f aca="false">IF($G2334="","",MID(IF($C2334="",", no division","")&amp;IF($E2334="",", no unit","")&amp;IF($H2334="",", no career level","")&amp;IF(N($L2334)&lt;=0,", no quarter split","")&amp;IF($R2334="",", no driver","")&amp;IF(AND($H2334&lt;&gt;"",COUNTIF(CareerLevels,$H2334)=0),", a career level that is not on the ladder","")&amp;IF(AND($R2334&lt;&gt;"",COUNTIF(DriverList,$R2334)=0),", a driver that is not on the list","")&amp;IF(ABS(N($L2334)-(N($M2334)+N($N2334)+N($O2334)+N($P2334)))&gt;0.001,", a total that does not match its quarters",""),3,300))</f>
        <v/>
      </c>
    </row>
    <row r="2335" customFormat="false" ht="15" hidden="false" customHeight="false" outlineLevel="0" collapsed="false">
      <c r="A2335" s="33" t="str">
        <f aca="false">IF($G2335="","","Treasury &amp; Investments Group")</f>
        <v/>
      </c>
      <c r="B2335" s="19"/>
      <c r="C2335" s="19"/>
      <c r="D2335" s="19"/>
      <c r="E2335" s="19"/>
      <c r="F2335" s="19"/>
      <c r="G2335" s="19"/>
      <c r="H2335" s="19"/>
      <c r="I2335" s="19"/>
      <c r="J2335" s="19"/>
      <c r="K2335" s="19"/>
      <c r="L2335" s="19"/>
      <c r="M2335" s="19"/>
      <c r="N2335" s="19"/>
      <c r="O2335" s="19"/>
      <c r="P2335" s="19"/>
      <c r="Q2335" s="19"/>
      <c r="R2335" s="19"/>
      <c r="S2335" s="19"/>
      <c r="T2335" s="34" t="str">
        <f aca="false">IF($R2335="","",IFERROR(INDEX(DriverCategory,MATCH($R2335,DriverList,0)),"BAU"))</f>
        <v/>
      </c>
      <c r="U2335" s="34" t="str">
        <f aca="false">IF($R2335="","",IFERROR(INDEX(DriverRank,MATCH($R2335,DriverList,0)),99))</f>
        <v/>
      </c>
      <c r="V2335" s="35" t="n">
        <f aca="false">IF($H2335="",0,IFERROR(INDEX(LevelBasic,MATCH($H2335,LevelList,0))+INDEX(LevelHousing,MATCH($H2335,LevelList,0))+INDEX(LevelTransport,MATCH($H2335,LevelList,0))+INDEX(LevelBasic,MATCH($H2335,LevelList,0))*INDEX(LevelBonus,MATCH($H2335,LevelList,0))+(INDEX(LevelBasic,MATCH($H2335,LevelList,0))+INDEX(LevelHousing,MATCH($H2335,LevelList,0)))*GosiSaudi,0))</f>
        <v>0</v>
      </c>
      <c r="W2335" s="35" t="n">
        <f aca="false">IFERROR(INDEX(LevelOneOff,MATCH($H2335,LevelList,0)),0)</f>
        <v>0</v>
      </c>
      <c r="X2335" s="35" t="str">
        <f aca="false">IF($G2335="","",$V2335*N($L2335))</f>
        <v/>
      </c>
      <c r="Y2335" s="35" t="str">
        <f aca="false">IF($G2335="","",$V2335*(N($M2335)*1+N($N2335)*0.75+N($O2335)*0.5+N($P2335)*0.25)+$W2335*N($L2335))</f>
        <v/>
      </c>
      <c r="Z2335" s="35" t="str">
        <f aca="false">IF($G2335="","",$U2335*1000000+ROW())</f>
        <v/>
      </c>
      <c r="AA2335" s="36" t="str">
        <f aca="false">IF($G2335="","",MID(IF($C2335="",", no division","")&amp;IF($E2335="",", no unit","")&amp;IF($H2335="",", no career level","")&amp;IF(N($L2335)&lt;=0,", no quarter split","")&amp;IF($R2335="",", no driver","")&amp;IF(AND($H2335&lt;&gt;"",COUNTIF(CareerLevels,$H2335)=0),", a career level that is not on the ladder","")&amp;IF(AND($R2335&lt;&gt;"",COUNTIF(DriverList,$R2335)=0),", a driver that is not on the list","")&amp;IF(ABS(N($L2335)-(N($M2335)+N($N2335)+N($O2335)+N($P2335)))&gt;0.001,", a total that does not match its quarters",""),3,300))</f>
        <v/>
      </c>
    </row>
    <row r="2336" customFormat="false" ht="15" hidden="false" customHeight="false" outlineLevel="0" collapsed="false">
      <c r="A2336" s="33" t="str">
        <f aca="false">IF($G2336="","","Treasury &amp; Investments Group")</f>
        <v/>
      </c>
      <c r="B2336" s="19"/>
      <c r="C2336" s="19"/>
      <c r="D2336" s="19"/>
      <c r="E2336" s="19"/>
      <c r="F2336" s="19"/>
      <c r="G2336" s="19"/>
      <c r="H2336" s="19"/>
      <c r="I2336" s="19"/>
      <c r="J2336" s="19"/>
      <c r="K2336" s="19"/>
      <c r="L2336" s="19"/>
      <c r="M2336" s="19"/>
      <c r="N2336" s="19"/>
      <c r="O2336" s="19"/>
      <c r="P2336" s="19"/>
      <c r="Q2336" s="19"/>
      <c r="R2336" s="19"/>
      <c r="S2336" s="19"/>
      <c r="T2336" s="34" t="str">
        <f aca="false">IF($R2336="","",IFERROR(INDEX(DriverCategory,MATCH($R2336,DriverList,0)),"BAU"))</f>
        <v/>
      </c>
      <c r="U2336" s="34" t="str">
        <f aca="false">IF($R2336="","",IFERROR(INDEX(DriverRank,MATCH($R2336,DriverList,0)),99))</f>
        <v/>
      </c>
      <c r="V2336" s="35" t="n">
        <f aca="false">IF($H2336="",0,IFERROR(INDEX(LevelBasic,MATCH($H2336,LevelList,0))+INDEX(LevelHousing,MATCH($H2336,LevelList,0))+INDEX(LevelTransport,MATCH($H2336,LevelList,0))+INDEX(LevelBasic,MATCH($H2336,LevelList,0))*INDEX(LevelBonus,MATCH($H2336,LevelList,0))+(INDEX(LevelBasic,MATCH($H2336,LevelList,0))+INDEX(LevelHousing,MATCH($H2336,LevelList,0)))*GosiSaudi,0))</f>
        <v>0</v>
      </c>
      <c r="W2336" s="35" t="n">
        <f aca="false">IFERROR(INDEX(LevelOneOff,MATCH($H2336,LevelList,0)),0)</f>
        <v>0</v>
      </c>
      <c r="X2336" s="35" t="str">
        <f aca="false">IF($G2336="","",$V2336*N($L2336))</f>
        <v/>
      </c>
      <c r="Y2336" s="35" t="str">
        <f aca="false">IF($G2336="","",$V2336*(N($M2336)*1+N($N2336)*0.75+N($O2336)*0.5+N($P2336)*0.25)+$W2336*N($L2336))</f>
        <v/>
      </c>
      <c r="Z2336" s="35" t="str">
        <f aca="false">IF($G2336="","",$U2336*1000000+ROW())</f>
        <v/>
      </c>
      <c r="AA2336" s="36" t="str">
        <f aca="false">IF($G2336="","",MID(IF($C2336="",", no division","")&amp;IF($E2336="",", no unit","")&amp;IF($H2336="",", no career level","")&amp;IF(N($L2336)&lt;=0,", no quarter split","")&amp;IF($R2336="",", no driver","")&amp;IF(AND($H2336&lt;&gt;"",COUNTIF(CareerLevels,$H2336)=0),", a career level that is not on the ladder","")&amp;IF(AND($R2336&lt;&gt;"",COUNTIF(DriverList,$R2336)=0),", a driver that is not on the list","")&amp;IF(ABS(N($L2336)-(N($M2336)+N($N2336)+N($O2336)+N($P2336)))&gt;0.001,", a total that does not match its quarters",""),3,300))</f>
        <v/>
      </c>
    </row>
    <row r="2337" customFormat="false" ht="15" hidden="false" customHeight="false" outlineLevel="0" collapsed="false">
      <c r="A2337" s="33" t="str">
        <f aca="false">IF($G2337="","","Treasury &amp; Investments Group")</f>
        <v/>
      </c>
      <c r="B2337" s="19"/>
      <c r="C2337" s="19"/>
      <c r="D2337" s="19"/>
      <c r="E2337" s="19"/>
      <c r="F2337" s="19"/>
      <c r="G2337" s="19"/>
      <c r="H2337" s="19"/>
      <c r="I2337" s="19"/>
      <c r="J2337" s="19"/>
      <c r="K2337" s="19"/>
      <c r="L2337" s="19"/>
      <c r="M2337" s="19"/>
      <c r="N2337" s="19"/>
      <c r="O2337" s="19"/>
      <c r="P2337" s="19"/>
      <c r="Q2337" s="19"/>
      <c r="R2337" s="19"/>
      <c r="S2337" s="19"/>
      <c r="T2337" s="34" t="str">
        <f aca="false">IF($R2337="","",IFERROR(INDEX(DriverCategory,MATCH($R2337,DriverList,0)),"BAU"))</f>
        <v/>
      </c>
      <c r="U2337" s="34" t="str">
        <f aca="false">IF($R2337="","",IFERROR(INDEX(DriverRank,MATCH($R2337,DriverList,0)),99))</f>
        <v/>
      </c>
      <c r="V2337" s="35" t="n">
        <f aca="false">IF($H2337="",0,IFERROR(INDEX(LevelBasic,MATCH($H2337,LevelList,0))+INDEX(LevelHousing,MATCH($H2337,LevelList,0))+INDEX(LevelTransport,MATCH($H2337,LevelList,0))+INDEX(LevelBasic,MATCH($H2337,LevelList,0))*INDEX(LevelBonus,MATCH($H2337,LevelList,0))+(INDEX(LevelBasic,MATCH($H2337,LevelList,0))+INDEX(LevelHousing,MATCH($H2337,LevelList,0)))*GosiSaudi,0))</f>
        <v>0</v>
      </c>
      <c r="W2337" s="35" t="n">
        <f aca="false">IFERROR(INDEX(LevelOneOff,MATCH($H2337,LevelList,0)),0)</f>
        <v>0</v>
      </c>
      <c r="X2337" s="35" t="str">
        <f aca="false">IF($G2337="","",$V2337*N($L2337))</f>
        <v/>
      </c>
      <c r="Y2337" s="35" t="str">
        <f aca="false">IF($G2337="","",$V2337*(N($M2337)*1+N($N2337)*0.75+N($O2337)*0.5+N($P2337)*0.25)+$W2337*N($L2337))</f>
        <v/>
      </c>
      <c r="Z2337" s="35" t="str">
        <f aca="false">IF($G2337="","",$U2337*1000000+ROW())</f>
        <v/>
      </c>
      <c r="AA2337" s="36" t="str">
        <f aca="false">IF($G2337="","",MID(IF($C2337="",", no division","")&amp;IF($E2337="",", no unit","")&amp;IF($H2337="",", no career level","")&amp;IF(N($L2337)&lt;=0,", no quarter split","")&amp;IF($R2337="",", no driver","")&amp;IF(AND($H2337&lt;&gt;"",COUNTIF(CareerLevels,$H2337)=0),", a career level that is not on the ladder","")&amp;IF(AND($R2337&lt;&gt;"",COUNTIF(DriverList,$R2337)=0),", a driver that is not on the list","")&amp;IF(ABS(N($L2337)-(N($M2337)+N($N2337)+N($O2337)+N($P2337)))&gt;0.001,", a total that does not match its quarters",""),3,300))</f>
        <v/>
      </c>
    </row>
    <row r="2338" customFormat="false" ht="15" hidden="false" customHeight="false" outlineLevel="0" collapsed="false">
      <c r="A2338" s="33" t="str">
        <f aca="false">IF($G2338="","","Treasury &amp; Investments Group")</f>
        <v/>
      </c>
      <c r="B2338" s="19"/>
      <c r="C2338" s="19"/>
      <c r="D2338" s="19"/>
      <c r="E2338" s="19"/>
      <c r="F2338" s="19"/>
      <c r="G2338" s="19"/>
      <c r="H2338" s="19"/>
      <c r="I2338" s="19"/>
      <c r="J2338" s="19"/>
      <c r="K2338" s="19"/>
      <c r="L2338" s="19"/>
      <c r="M2338" s="19"/>
      <c r="N2338" s="19"/>
      <c r="O2338" s="19"/>
      <c r="P2338" s="19"/>
      <c r="Q2338" s="19"/>
      <c r="R2338" s="19"/>
      <c r="S2338" s="19"/>
      <c r="T2338" s="34" t="str">
        <f aca="false">IF($R2338="","",IFERROR(INDEX(DriverCategory,MATCH($R2338,DriverList,0)),"BAU"))</f>
        <v/>
      </c>
      <c r="U2338" s="34" t="str">
        <f aca="false">IF($R2338="","",IFERROR(INDEX(DriverRank,MATCH($R2338,DriverList,0)),99))</f>
        <v/>
      </c>
      <c r="V2338" s="35" t="n">
        <f aca="false">IF($H2338="",0,IFERROR(INDEX(LevelBasic,MATCH($H2338,LevelList,0))+INDEX(LevelHousing,MATCH($H2338,LevelList,0))+INDEX(LevelTransport,MATCH($H2338,LevelList,0))+INDEX(LevelBasic,MATCH($H2338,LevelList,0))*INDEX(LevelBonus,MATCH($H2338,LevelList,0))+(INDEX(LevelBasic,MATCH($H2338,LevelList,0))+INDEX(LevelHousing,MATCH($H2338,LevelList,0)))*GosiSaudi,0))</f>
        <v>0</v>
      </c>
      <c r="W2338" s="35" t="n">
        <f aca="false">IFERROR(INDEX(LevelOneOff,MATCH($H2338,LevelList,0)),0)</f>
        <v>0</v>
      </c>
      <c r="X2338" s="35" t="str">
        <f aca="false">IF($G2338="","",$V2338*N($L2338))</f>
        <v/>
      </c>
      <c r="Y2338" s="35" t="str">
        <f aca="false">IF($G2338="","",$V2338*(N($M2338)*1+N($N2338)*0.75+N($O2338)*0.5+N($P2338)*0.25)+$W2338*N($L2338))</f>
        <v/>
      </c>
      <c r="Z2338" s="35" t="str">
        <f aca="false">IF($G2338="","",$U2338*1000000+ROW())</f>
        <v/>
      </c>
      <c r="AA2338" s="36" t="str">
        <f aca="false">IF($G2338="","",MID(IF($C2338="",", no division","")&amp;IF($E2338="",", no unit","")&amp;IF($H2338="",", no career level","")&amp;IF(N($L2338)&lt;=0,", no quarter split","")&amp;IF($R2338="",", no driver","")&amp;IF(AND($H2338&lt;&gt;"",COUNTIF(CareerLevels,$H2338)=0),", a career level that is not on the ladder","")&amp;IF(AND($R2338&lt;&gt;"",COUNTIF(DriverList,$R2338)=0),", a driver that is not on the list","")&amp;IF(ABS(N($L2338)-(N($M2338)+N($N2338)+N($O2338)+N($P2338)))&gt;0.001,", a total that does not match its quarters",""),3,300))</f>
        <v/>
      </c>
    </row>
    <row r="2339" customFormat="false" ht="15" hidden="false" customHeight="false" outlineLevel="0" collapsed="false">
      <c r="A2339" s="33" t="str">
        <f aca="false">IF($G2339="","","Treasury &amp; Investments Group")</f>
        <v/>
      </c>
      <c r="B2339" s="19"/>
      <c r="C2339" s="19"/>
      <c r="D2339" s="19"/>
      <c r="E2339" s="19"/>
      <c r="F2339" s="19"/>
      <c r="G2339" s="19"/>
      <c r="H2339" s="19"/>
      <c r="I2339" s="19"/>
      <c r="J2339" s="19"/>
      <c r="K2339" s="19"/>
      <c r="L2339" s="19"/>
      <c r="M2339" s="19"/>
      <c r="N2339" s="19"/>
      <c r="O2339" s="19"/>
      <c r="P2339" s="19"/>
      <c r="Q2339" s="19"/>
      <c r="R2339" s="19"/>
      <c r="S2339" s="19"/>
      <c r="T2339" s="34" t="str">
        <f aca="false">IF($R2339="","",IFERROR(INDEX(DriverCategory,MATCH($R2339,DriverList,0)),"BAU"))</f>
        <v/>
      </c>
      <c r="U2339" s="34" t="str">
        <f aca="false">IF($R2339="","",IFERROR(INDEX(DriverRank,MATCH($R2339,DriverList,0)),99))</f>
        <v/>
      </c>
      <c r="V2339" s="35" t="n">
        <f aca="false">IF($H2339="",0,IFERROR(INDEX(LevelBasic,MATCH($H2339,LevelList,0))+INDEX(LevelHousing,MATCH($H2339,LevelList,0))+INDEX(LevelTransport,MATCH($H2339,LevelList,0))+INDEX(LevelBasic,MATCH($H2339,LevelList,0))*INDEX(LevelBonus,MATCH($H2339,LevelList,0))+(INDEX(LevelBasic,MATCH($H2339,LevelList,0))+INDEX(LevelHousing,MATCH($H2339,LevelList,0)))*GosiSaudi,0))</f>
        <v>0</v>
      </c>
      <c r="W2339" s="35" t="n">
        <f aca="false">IFERROR(INDEX(LevelOneOff,MATCH($H2339,LevelList,0)),0)</f>
        <v>0</v>
      </c>
      <c r="X2339" s="35" t="str">
        <f aca="false">IF($G2339="","",$V2339*N($L2339))</f>
        <v/>
      </c>
      <c r="Y2339" s="35" t="str">
        <f aca="false">IF($G2339="","",$V2339*(N($M2339)*1+N($N2339)*0.75+N($O2339)*0.5+N($P2339)*0.25)+$W2339*N($L2339))</f>
        <v/>
      </c>
      <c r="Z2339" s="35" t="str">
        <f aca="false">IF($G2339="","",$U2339*1000000+ROW())</f>
        <v/>
      </c>
      <c r="AA2339" s="36" t="str">
        <f aca="false">IF($G2339="","",MID(IF($C2339="",", no division","")&amp;IF($E2339="",", no unit","")&amp;IF($H2339="",", no career level","")&amp;IF(N($L2339)&lt;=0,", no quarter split","")&amp;IF($R2339="",", no driver","")&amp;IF(AND($H2339&lt;&gt;"",COUNTIF(CareerLevels,$H2339)=0),", a career level that is not on the ladder","")&amp;IF(AND($R2339&lt;&gt;"",COUNTIF(DriverList,$R2339)=0),", a driver that is not on the list","")&amp;IF(ABS(N($L2339)-(N($M2339)+N($N2339)+N($O2339)+N($P2339)))&gt;0.001,", a total that does not match its quarters",""),3,300))</f>
        <v/>
      </c>
    </row>
    <row r="2340" customFormat="false" ht="15" hidden="false" customHeight="false" outlineLevel="0" collapsed="false">
      <c r="A2340" s="33" t="str">
        <f aca="false">IF($G2340="","","Treasury &amp; Investments Group")</f>
        <v/>
      </c>
      <c r="B2340" s="19"/>
      <c r="C2340" s="19"/>
      <c r="D2340" s="19"/>
      <c r="E2340" s="19"/>
      <c r="F2340" s="19"/>
      <c r="G2340" s="19"/>
      <c r="H2340" s="19"/>
      <c r="I2340" s="19"/>
      <c r="J2340" s="19"/>
      <c r="K2340" s="19"/>
      <c r="L2340" s="19"/>
      <c r="M2340" s="19"/>
      <c r="N2340" s="19"/>
      <c r="O2340" s="19"/>
      <c r="P2340" s="19"/>
      <c r="Q2340" s="19"/>
      <c r="R2340" s="19"/>
      <c r="S2340" s="19"/>
      <c r="T2340" s="34" t="str">
        <f aca="false">IF($R2340="","",IFERROR(INDEX(DriverCategory,MATCH($R2340,DriverList,0)),"BAU"))</f>
        <v/>
      </c>
      <c r="U2340" s="34" t="str">
        <f aca="false">IF($R2340="","",IFERROR(INDEX(DriverRank,MATCH($R2340,DriverList,0)),99))</f>
        <v/>
      </c>
      <c r="V2340" s="35" t="n">
        <f aca="false">IF($H2340="",0,IFERROR(INDEX(LevelBasic,MATCH($H2340,LevelList,0))+INDEX(LevelHousing,MATCH($H2340,LevelList,0))+INDEX(LevelTransport,MATCH($H2340,LevelList,0))+INDEX(LevelBasic,MATCH($H2340,LevelList,0))*INDEX(LevelBonus,MATCH($H2340,LevelList,0))+(INDEX(LevelBasic,MATCH($H2340,LevelList,0))+INDEX(LevelHousing,MATCH($H2340,LevelList,0)))*GosiSaudi,0))</f>
        <v>0</v>
      </c>
      <c r="W2340" s="35" t="n">
        <f aca="false">IFERROR(INDEX(LevelOneOff,MATCH($H2340,LevelList,0)),0)</f>
        <v>0</v>
      </c>
      <c r="X2340" s="35" t="str">
        <f aca="false">IF($G2340="","",$V2340*N($L2340))</f>
        <v/>
      </c>
      <c r="Y2340" s="35" t="str">
        <f aca="false">IF($G2340="","",$V2340*(N($M2340)*1+N($N2340)*0.75+N($O2340)*0.5+N($P2340)*0.25)+$W2340*N($L2340))</f>
        <v/>
      </c>
      <c r="Z2340" s="35" t="str">
        <f aca="false">IF($G2340="","",$U2340*1000000+ROW())</f>
        <v/>
      </c>
      <c r="AA2340" s="36" t="str">
        <f aca="false">IF($G2340="","",MID(IF($C2340="",", no division","")&amp;IF($E2340="",", no unit","")&amp;IF($H2340="",", no career level","")&amp;IF(N($L2340)&lt;=0,", no quarter split","")&amp;IF($R2340="",", no driver","")&amp;IF(AND($H2340&lt;&gt;"",COUNTIF(CareerLevels,$H2340)=0),", a career level that is not on the ladder","")&amp;IF(AND($R2340&lt;&gt;"",COUNTIF(DriverList,$R2340)=0),", a driver that is not on the list","")&amp;IF(ABS(N($L2340)-(N($M2340)+N($N2340)+N($O2340)+N($P2340)))&gt;0.001,", a total that does not match its quarters",""),3,300))</f>
        <v/>
      </c>
    </row>
    <row r="2341" customFormat="false" ht="15" hidden="false" customHeight="false" outlineLevel="0" collapsed="false">
      <c r="A2341" s="33" t="str">
        <f aca="false">IF($G2341="","","Treasury &amp; Investments Group")</f>
        <v/>
      </c>
      <c r="B2341" s="19"/>
      <c r="C2341" s="19"/>
      <c r="D2341" s="19"/>
      <c r="E2341" s="19"/>
      <c r="F2341" s="19"/>
      <c r="G2341" s="19"/>
      <c r="H2341" s="19"/>
      <c r="I2341" s="19"/>
      <c r="J2341" s="19"/>
      <c r="K2341" s="19"/>
      <c r="L2341" s="19"/>
      <c r="M2341" s="19"/>
      <c r="N2341" s="19"/>
      <c r="O2341" s="19"/>
      <c r="P2341" s="19"/>
      <c r="Q2341" s="19"/>
      <c r="R2341" s="19"/>
      <c r="S2341" s="19"/>
      <c r="T2341" s="34" t="str">
        <f aca="false">IF($R2341="","",IFERROR(INDEX(DriverCategory,MATCH($R2341,DriverList,0)),"BAU"))</f>
        <v/>
      </c>
      <c r="U2341" s="34" t="str">
        <f aca="false">IF($R2341="","",IFERROR(INDEX(DriverRank,MATCH($R2341,DriverList,0)),99))</f>
        <v/>
      </c>
      <c r="V2341" s="35" t="n">
        <f aca="false">IF($H2341="",0,IFERROR(INDEX(LevelBasic,MATCH($H2341,LevelList,0))+INDEX(LevelHousing,MATCH($H2341,LevelList,0))+INDEX(LevelTransport,MATCH($H2341,LevelList,0))+INDEX(LevelBasic,MATCH($H2341,LevelList,0))*INDEX(LevelBonus,MATCH($H2341,LevelList,0))+(INDEX(LevelBasic,MATCH($H2341,LevelList,0))+INDEX(LevelHousing,MATCH($H2341,LevelList,0)))*GosiSaudi,0))</f>
        <v>0</v>
      </c>
      <c r="W2341" s="35" t="n">
        <f aca="false">IFERROR(INDEX(LevelOneOff,MATCH($H2341,LevelList,0)),0)</f>
        <v>0</v>
      </c>
      <c r="X2341" s="35" t="str">
        <f aca="false">IF($G2341="","",$V2341*N($L2341))</f>
        <v/>
      </c>
      <c r="Y2341" s="35" t="str">
        <f aca="false">IF($G2341="","",$V2341*(N($M2341)*1+N($N2341)*0.75+N($O2341)*0.5+N($P2341)*0.25)+$W2341*N($L2341))</f>
        <v/>
      </c>
      <c r="Z2341" s="35" t="str">
        <f aca="false">IF($G2341="","",$U2341*1000000+ROW())</f>
        <v/>
      </c>
      <c r="AA2341" s="36" t="str">
        <f aca="false">IF($G2341="","",MID(IF($C2341="",", no division","")&amp;IF($E2341="",", no unit","")&amp;IF($H2341="",", no career level","")&amp;IF(N($L2341)&lt;=0,", no quarter split","")&amp;IF($R2341="",", no driver","")&amp;IF(AND($H2341&lt;&gt;"",COUNTIF(CareerLevels,$H2341)=0),", a career level that is not on the ladder","")&amp;IF(AND($R2341&lt;&gt;"",COUNTIF(DriverList,$R2341)=0),", a driver that is not on the list","")&amp;IF(ABS(N($L2341)-(N($M2341)+N($N2341)+N($O2341)+N($P2341)))&gt;0.001,", a total that does not match its quarters",""),3,300))</f>
        <v/>
      </c>
    </row>
    <row r="2342" customFormat="false" ht="15" hidden="false" customHeight="false" outlineLevel="0" collapsed="false">
      <c r="A2342" s="33" t="str">
        <f aca="false">IF($G2342="","","Treasury &amp; Investments Group")</f>
        <v/>
      </c>
      <c r="B2342" s="19"/>
      <c r="C2342" s="19"/>
      <c r="D2342" s="19"/>
      <c r="E2342" s="19"/>
      <c r="F2342" s="19"/>
      <c r="G2342" s="19"/>
      <c r="H2342" s="19"/>
      <c r="I2342" s="19"/>
      <c r="J2342" s="19"/>
      <c r="K2342" s="19"/>
      <c r="L2342" s="19"/>
      <c r="M2342" s="19"/>
      <c r="N2342" s="19"/>
      <c r="O2342" s="19"/>
      <c r="P2342" s="19"/>
      <c r="Q2342" s="19"/>
      <c r="R2342" s="19"/>
      <c r="S2342" s="19"/>
      <c r="T2342" s="34" t="str">
        <f aca="false">IF($R2342="","",IFERROR(INDEX(DriverCategory,MATCH($R2342,DriverList,0)),"BAU"))</f>
        <v/>
      </c>
      <c r="U2342" s="34" t="str">
        <f aca="false">IF($R2342="","",IFERROR(INDEX(DriverRank,MATCH($R2342,DriverList,0)),99))</f>
        <v/>
      </c>
      <c r="V2342" s="35" t="n">
        <f aca="false">IF($H2342="",0,IFERROR(INDEX(LevelBasic,MATCH($H2342,LevelList,0))+INDEX(LevelHousing,MATCH($H2342,LevelList,0))+INDEX(LevelTransport,MATCH($H2342,LevelList,0))+INDEX(LevelBasic,MATCH($H2342,LevelList,0))*INDEX(LevelBonus,MATCH($H2342,LevelList,0))+(INDEX(LevelBasic,MATCH($H2342,LevelList,0))+INDEX(LevelHousing,MATCH($H2342,LevelList,0)))*GosiSaudi,0))</f>
        <v>0</v>
      </c>
      <c r="W2342" s="35" t="n">
        <f aca="false">IFERROR(INDEX(LevelOneOff,MATCH($H2342,LevelList,0)),0)</f>
        <v>0</v>
      </c>
      <c r="X2342" s="35" t="str">
        <f aca="false">IF($G2342="","",$V2342*N($L2342))</f>
        <v/>
      </c>
      <c r="Y2342" s="35" t="str">
        <f aca="false">IF($G2342="","",$V2342*(N($M2342)*1+N($N2342)*0.75+N($O2342)*0.5+N($P2342)*0.25)+$W2342*N($L2342))</f>
        <v/>
      </c>
      <c r="Z2342" s="35" t="str">
        <f aca="false">IF($G2342="","",$U2342*1000000+ROW())</f>
        <v/>
      </c>
      <c r="AA2342" s="36" t="str">
        <f aca="false">IF($G2342="","",MID(IF($C2342="",", no division","")&amp;IF($E2342="",", no unit","")&amp;IF($H2342="",", no career level","")&amp;IF(N($L2342)&lt;=0,", no quarter split","")&amp;IF($R2342="",", no driver","")&amp;IF(AND($H2342&lt;&gt;"",COUNTIF(CareerLevels,$H2342)=0),", a career level that is not on the ladder","")&amp;IF(AND($R2342&lt;&gt;"",COUNTIF(DriverList,$R2342)=0),", a driver that is not on the list","")&amp;IF(ABS(N($L2342)-(N($M2342)+N($N2342)+N($O2342)+N($P2342)))&gt;0.001,", a total that does not match its quarters",""),3,300))</f>
        <v/>
      </c>
    </row>
    <row r="2343" customFormat="false" ht="15" hidden="false" customHeight="false" outlineLevel="0" collapsed="false">
      <c r="A2343" s="33" t="str">
        <f aca="false">IF($G2343="","","Treasury &amp; Investments Group")</f>
        <v/>
      </c>
      <c r="B2343" s="19"/>
      <c r="C2343" s="19"/>
      <c r="D2343" s="19"/>
      <c r="E2343" s="19"/>
      <c r="F2343" s="19"/>
      <c r="G2343" s="19"/>
      <c r="H2343" s="19"/>
      <c r="I2343" s="19"/>
      <c r="J2343" s="19"/>
      <c r="K2343" s="19"/>
      <c r="L2343" s="19"/>
      <c r="M2343" s="19"/>
      <c r="N2343" s="19"/>
      <c r="O2343" s="19"/>
      <c r="P2343" s="19"/>
      <c r="Q2343" s="19"/>
      <c r="R2343" s="19"/>
      <c r="S2343" s="19"/>
      <c r="T2343" s="34" t="str">
        <f aca="false">IF($R2343="","",IFERROR(INDEX(DriverCategory,MATCH($R2343,DriverList,0)),"BAU"))</f>
        <v/>
      </c>
      <c r="U2343" s="34" t="str">
        <f aca="false">IF($R2343="","",IFERROR(INDEX(DriverRank,MATCH($R2343,DriverList,0)),99))</f>
        <v/>
      </c>
      <c r="V2343" s="35" t="n">
        <f aca="false">IF($H2343="",0,IFERROR(INDEX(LevelBasic,MATCH($H2343,LevelList,0))+INDEX(LevelHousing,MATCH($H2343,LevelList,0))+INDEX(LevelTransport,MATCH($H2343,LevelList,0))+INDEX(LevelBasic,MATCH($H2343,LevelList,0))*INDEX(LevelBonus,MATCH($H2343,LevelList,0))+(INDEX(LevelBasic,MATCH($H2343,LevelList,0))+INDEX(LevelHousing,MATCH($H2343,LevelList,0)))*GosiSaudi,0))</f>
        <v>0</v>
      </c>
      <c r="W2343" s="35" t="n">
        <f aca="false">IFERROR(INDEX(LevelOneOff,MATCH($H2343,LevelList,0)),0)</f>
        <v>0</v>
      </c>
      <c r="X2343" s="35" t="str">
        <f aca="false">IF($G2343="","",$V2343*N($L2343))</f>
        <v/>
      </c>
      <c r="Y2343" s="35" t="str">
        <f aca="false">IF($G2343="","",$V2343*(N($M2343)*1+N($N2343)*0.75+N($O2343)*0.5+N($P2343)*0.25)+$W2343*N($L2343))</f>
        <v/>
      </c>
      <c r="Z2343" s="35" t="str">
        <f aca="false">IF($G2343="","",$U2343*1000000+ROW())</f>
        <v/>
      </c>
      <c r="AA2343" s="36" t="str">
        <f aca="false">IF($G2343="","",MID(IF($C2343="",", no division","")&amp;IF($E2343="",", no unit","")&amp;IF($H2343="",", no career level","")&amp;IF(N($L2343)&lt;=0,", no quarter split","")&amp;IF($R2343="",", no driver","")&amp;IF(AND($H2343&lt;&gt;"",COUNTIF(CareerLevels,$H2343)=0),", a career level that is not on the ladder","")&amp;IF(AND($R2343&lt;&gt;"",COUNTIF(DriverList,$R2343)=0),", a driver that is not on the list","")&amp;IF(ABS(N($L2343)-(N($M2343)+N($N2343)+N($O2343)+N($P2343)))&gt;0.001,", a total that does not match its quarters",""),3,300))</f>
        <v/>
      </c>
    </row>
    <row r="2344" customFormat="false" ht="15" hidden="false" customHeight="false" outlineLevel="0" collapsed="false">
      <c r="A2344" s="33" t="str">
        <f aca="false">IF($G2344="","","Treasury &amp; Investments Group")</f>
        <v/>
      </c>
      <c r="B2344" s="19"/>
      <c r="C2344" s="19"/>
      <c r="D2344" s="19"/>
      <c r="E2344" s="19"/>
      <c r="F2344" s="19"/>
      <c r="G2344" s="19"/>
      <c r="H2344" s="19"/>
      <c r="I2344" s="19"/>
      <c r="J2344" s="19"/>
      <c r="K2344" s="19"/>
      <c r="L2344" s="19"/>
      <c r="M2344" s="19"/>
      <c r="N2344" s="19"/>
      <c r="O2344" s="19"/>
      <c r="P2344" s="19"/>
      <c r="Q2344" s="19"/>
      <c r="R2344" s="19"/>
      <c r="S2344" s="19"/>
      <c r="T2344" s="34" t="str">
        <f aca="false">IF($R2344="","",IFERROR(INDEX(DriverCategory,MATCH($R2344,DriverList,0)),"BAU"))</f>
        <v/>
      </c>
      <c r="U2344" s="34" t="str">
        <f aca="false">IF($R2344="","",IFERROR(INDEX(DriverRank,MATCH($R2344,DriverList,0)),99))</f>
        <v/>
      </c>
      <c r="V2344" s="35" t="n">
        <f aca="false">IF($H2344="",0,IFERROR(INDEX(LevelBasic,MATCH($H2344,LevelList,0))+INDEX(LevelHousing,MATCH($H2344,LevelList,0))+INDEX(LevelTransport,MATCH($H2344,LevelList,0))+INDEX(LevelBasic,MATCH($H2344,LevelList,0))*INDEX(LevelBonus,MATCH($H2344,LevelList,0))+(INDEX(LevelBasic,MATCH($H2344,LevelList,0))+INDEX(LevelHousing,MATCH($H2344,LevelList,0)))*GosiSaudi,0))</f>
        <v>0</v>
      </c>
      <c r="W2344" s="35" t="n">
        <f aca="false">IFERROR(INDEX(LevelOneOff,MATCH($H2344,LevelList,0)),0)</f>
        <v>0</v>
      </c>
      <c r="X2344" s="35" t="str">
        <f aca="false">IF($G2344="","",$V2344*N($L2344))</f>
        <v/>
      </c>
      <c r="Y2344" s="35" t="str">
        <f aca="false">IF($G2344="","",$V2344*(N($M2344)*1+N($N2344)*0.75+N($O2344)*0.5+N($P2344)*0.25)+$W2344*N($L2344))</f>
        <v/>
      </c>
      <c r="Z2344" s="35" t="str">
        <f aca="false">IF($G2344="","",$U2344*1000000+ROW())</f>
        <v/>
      </c>
      <c r="AA2344" s="36" t="str">
        <f aca="false">IF($G2344="","",MID(IF($C2344="",", no division","")&amp;IF($E2344="",", no unit","")&amp;IF($H2344="",", no career level","")&amp;IF(N($L2344)&lt;=0,", no quarter split","")&amp;IF($R2344="",", no driver","")&amp;IF(AND($H2344&lt;&gt;"",COUNTIF(CareerLevels,$H2344)=0),", a career level that is not on the ladder","")&amp;IF(AND($R2344&lt;&gt;"",COUNTIF(DriverList,$R2344)=0),", a driver that is not on the list","")&amp;IF(ABS(N($L2344)-(N($M2344)+N($N2344)+N($O2344)+N($P2344)))&gt;0.001,", a total that does not match its quarters",""),3,300))</f>
        <v/>
      </c>
    </row>
    <row r="2345" customFormat="false" ht="15" hidden="false" customHeight="false" outlineLevel="0" collapsed="false">
      <c r="A2345" s="33" t="str">
        <f aca="false">IF($G2345="","","Treasury &amp; Investments Group")</f>
        <v/>
      </c>
      <c r="B2345" s="19"/>
      <c r="C2345" s="19"/>
      <c r="D2345" s="19"/>
      <c r="E2345" s="19"/>
      <c r="F2345" s="19"/>
      <c r="G2345" s="19"/>
      <c r="H2345" s="19"/>
      <c r="I2345" s="19"/>
      <c r="J2345" s="19"/>
      <c r="K2345" s="19"/>
      <c r="L2345" s="19"/>
      <c r="M2345" s="19"/>
      <c r="N2345" s="19"/>
      <c r="O2345" s="19"/>
      <c r="P2345" s="19"/>
      <c r="Q2345" s="19"/>
      <c r="R2345" s="19"/>
      <c r="S2345" s="19"/>
      <c r="T2345" s="34" t="str">
        <f aca="false">IF($R2345="","",IFERROR(INDEX(DriverCategory,MATCH($R2345,DriverList,0)),"BAU"))</f>
        <v/>
      </c>
      <c r="U2345" s="34" t="str">
        <f aca="false">IF($R2345="","",IFERROR(INDEX(DriverRank,MATCH($R2345,DriverList,0)),99))</f>
        <v/>
      </c>
      <c r="V2345" s="35" t="n">
        <f aca="false">IF($H2345="",0,IFERROR(INDEX(LevelBasic,MATCH($H2345,LevelList,0))+INDEX(LevelHousing,MATCH($H2345,LevelList,0))+INDEX(LevelTransport,MATCH($H2345,LevelList,0))+INDEX(LevelBasic,MATCH($H2345,LevelList,0))*INDEX(LevelBonus,MATCH($H2345,LevelList,0))+(INDEX(LevelBasic,MATCH($H2345,LevelList,0))+INDEX(LevelHousing,MATCH($H2345,LevelList,0)))*GosiSaudi,0))</f>
        <v>0</v>
      </c>
      <c r="W2345" s="35" t="n">
        <f aca="false">IFERROR(INDEX(LevelOneOff,MATCH($H2345,LevelList,0)),0)</f>
        <v>0</v>
      </c>
      <c r="X2345" s="35" t="str">
        <f aca="false">IF($G2345="","",$V2345*N($L2345))</f>
        <v/>
      </c>
      <c r="Y2345" s="35" t="str">
        <f aca="false">IF($G2345="","",$V2345*(N($M2345)*1+N($N2345)*0.75+N($O2345)*0.5+N($P2345)*0.25)+$W2345*N($L2345))</f>
        <v/>
      </c>
      <c r="Z2345" s="35" t="str">
        <f aca="false">IF($G2345="","",$U2345*1000000+ROW())</f>
        <v/>
      </c>
      <c r="AA2345" s="36" t="str">
        <f aca="false">IF($G2345="","",MID(IF($C2345="",", no division","")&amp;IF($E2345="",", no unit","")&amp;IF($H2345="",", no career level","")&amp;IF(N($L2345)&lt;=0,", no quarter split","")&amp;IF($R2345="",", no driver","")&amp;IF(AND($H2345&lt;&gt;"",COUNTIF(CareerLevels,$H2345)=0),", a career level that is not on the ladder","")&amp;IF(AND($R2345&lt;&gt;"",COUNTIF(DriverList,$R2345)=0),", a driver that is not on the list","")&amp;IF(ABS(N($L2345)-(N($M2345)+N($N2345)+N($O2345)+N($P2345)))&gt;0.001,", a total that does not match its quarters",""),3,300))</f>
        <v/>
      </c>
    </row>
    <row r="2346" customFormat="false" ht="15" hidden="false" customHeight="false" outlineLevel="0" collapsed="false">
      <c r="A2346" s="33" t="str">
        <f aca="false">IF($G2346="","","Treasury &amp; Investments Group")</f>
        <v/>
      </c>
      <c r="B2346" s="19"/>
      <c r="C2346" s="19"/>
      <c r="D2346" s="19"/>
      <c r="E2346" s="19"/>
      <c r="F2346" s="19"/>
      <c r="G2346" s="19"/>
      <c r="H2346" s="19"/>
      <c r="I2346" s="19"/>
      <c r="J2346" s="19"/>
      <c r="K2346" s="19"/>
      <c r="L2346" s="19"/>
      <c r="M2346" s="19"/>
      <c r="N2346" s="19"/>
      <c r="O2346" s="19"/>
      <c r="P2346" s="19"/>
      <c r="Q2346" s="19"/>
      <c r="R2346" s="19"/>
      <c r="S2346" s="19"/>
      <c r="T2346" s="34" t="str">
        <f aca="false">IF($R2346="","",IFERROR(INDEX(DriverCategory,MATCH($R2346,DriverList,0)),"BAU"))</f>
        <v/>
      </c>
      <c r="U2346" s="34" t="str">
        <f aca="false">IF($R2346="","",IFERROR(INDEX(DriverRank,MATCH($R2346,DriverList,0)),99))</f>
        <v/>
      </c>
      <c r="V2346" s="35" t="n">
        <f aca="false">IF($H2346="",0,IFERROR(INDEX(LevelBasic,MATCH($H2346,LevelList,0))+INDEX(LevelHousing,MATCH($H2346,LevelList,0))+INDEX(LevelTransport,MATCH($H2346,LevelList,0))+INDEX(LevelBasic,MATCH($H2346,LevelList,0))*INDEX(LevelBonus,MATCH($H2346,LevelList,0))+(INDEX(LevelBasic,MATCH($H2346,LevelList,0))+INDEX(LevelHousing,MATCH($H2346,LevelList,0)))*GosiSaudi,0))</f>
        <v>0</v>
      </c>
      <c r="W2346" s="35" t="n">
        <f aca="false">IFERROR(INDEX(LevelOneOff,MATCH($H2346,LevelList,0)),0)</f>
        <v>0</v>
      </c>
      <c r="X2346" s="35" t="str">
        <f aca="false">IF($G2346="","",$V2346*N($L2346))</f>
        <v/>
      </c>
      <c r="Y2346" s="35" t="str">
        <f aca="false">IF($G2346="","",$V2346*(N($M2346)*1+N($N2346)*0.75+N($O2346)*0.5+N($P2346)*0.25)+$W2346*N($L2346))</f>
        <v/>
      </c>
      <c r="Z2346" s="35" t="str">
        <f aca="false">IF($G2346="","",$U2346*1000000+ROW())</f>
        <v/>
      </c>
      <c r="AA2346" s="36" t="str">
        <f aca="false">IF($G2346="","",MID(IF($C2346="",", no division","")&amp;IF($E2346="",", no unit","")&amp;IF($H2346="",", no career level","")&amp;IF(N($L2346)&lt;=0,", no quarter split","")&amp;IF($R2346="",", no driver","")&amp;IF(AND($H2346&lt;&gt;"",COUNTIF(CareerLevels,$H2346)=0),", a career level that is not on the ladder","")&amp;IF(AND($R2346&lt;&gt;"",COUNTIF(DriverList,$R2346)=0),", a driver that is not on the list","")&amp;IF(ABS(N($L2346)-(N($M2346)+N($N2346)+N($O2346)+N($P2346)))&gt;0.001,", a total that does not match its quarters",""),3,300))</f>
        <v/>
      </c>
    </row>
    <row r="2347" customFormat="false" ht="15" hidden="false" customHeight="false" outlineLevel="0" collapsed="false">
      <c r="A2347" s="33" t="str">
        <f aca="false">IF($G2347="","","Treasury &amp; Investments Group")</f>
        <v/>
      </c>
      <c r="B2347" s="19"/>
      <c r="C2347" s="19"/>
      <c r="D2347" s="19"/>
      <c r="E2347" s="19"/>
      <c r="F2347" s="19"/>
      <c r="G2347" s="19"/>
      <c r="H2347" s="19"/>
      <c r="I2347" s="19"/>
      <c r="J2347" s="19"/>
      <c r="K2347" s="19"/>
      <c r="L2347" s="19"/>
      <c r="M2347" s="19"/>
      <c r="N2347" s="19"/>
      <c r="O2347" s="19"/>
      <c r="P2347" s="19"/>
      <c r="Q2347" s="19"/>
      <c r="R2347" s="19"/>
      <c r="S2347" s="19"/>
      <c r="T2347" s="34" t="str">
        <f aca="false">IF($R2347="","",IFERROR(INDEX(DriverCategory,MATCH($R2347,DriverList,0)),"BAU"))</f>
        <v/>
      </c>
      <c r="U2347" s="34" t="str">
        <f aca="false">IF($R2347="","",IFERROR(INDEX(DriverRank,MATCH($R2347,DriverList,0)),99))</f>
        <v/>
      </c>
      <c r="V2347" s="35" t="n">
        <f aca="false">IF($H2347="",0,IFERROR(INDEX(LevelBasic,MATCH($H2347,LevelList,0))+INDEX(LevelHousing,MATCH($H2347,LevelList,0))+INDEX(LevelTransport,MATCH($H2347,LevelList,0))+INDEX(LevelBasic,MATCH($H2347,LevelList,0))*INDEX(LevelBonus,MATCH($H2347,LevelList,0))+(INDEX(LevelBasic,MATCH($H2347,LevelList,0))+INDEX(LevelHousing,MATCH($H2347,LevelList,0)))*GosiSaudi,0))</f>
        <v>0</v>
      </c>
      <c r="W2347" s="35" t="n">
        <f aca="false">IFERROR(INDEX(LevelOneOff,MATCH($H2347,LevelList,0)),0)</f>
        <v>0</v>
      </c>
      <c r="X2347" s="35" t="str">
        <f aca="false">IF($G2347="","",$V2347*N($L2347))</f>
        <v/>
      </c>
      <c r="Y2347" s="35" t="str">
        <f aca="false">IF($G2347="","",$V2347*(N($M2347)*1+N($N2347)*0.75+N($O2347)*0.5+N($P2347)*0.25)+$W2347*N($L2347))</f>
        <v/>
      </c>
      <c r="Z2347" s="35" t="str">
        <f aca="false">IF($G2347="","",$U2347*1000000+ROW())</f>
        <v/>
      </c>
      <c r="AA2347" s="36" t="str">
        <f aca="false">IF($G2347="","",MID(IF($C2347="",", no division","")&amp;IF($E2347="",", no unit","")&amp;IF($H2347="",", no career level","")&amp;IF(N($L2347)&lt;=0,", no quarter split","")&amp;IF($R2347="",", no driver","")&amp;IF(AND($H2347&lt;&gt;"",COUNTIF(CareerLevels,$H2347)=0),", a career level that is not on the ladder","")&amp;IF(AND($R2347&lt;&gt;"",COUNTIF(DriverList,$R2347)=0),", a driver that is not on the list","")&amp;IF(ABS(N($L2347)-(N($M2347)+N($N2347)+N($O2347)+N($P2347)))&gt;0.001,", a total that does not match its quarters",""),3,300))</f>
        <v/>
      </c>
    </row>
    <row r="2348" customFormat="false" ht="15" hidden="false" customHeight="false" outlineLevel="0" collapsed="false">
      <c r="A2348" s="33" t="str">
        <f aca="false">IF($G2348="","","Treasury &amp; Investments Group")</f>
        <v/>
      </c>
      <c r="B2348" s="19"/>
      <c r="C2348" s="19"/>
      <c r="D2348" s="19"/>
      <c r="E2348" s="19"/>
      <c r="F2348" s="19"/>
      <c r="G2348" s="19"/>
      <c r="H2348" s="19"/>
      <c r="I2348" s="19"/>
      <c r="J2348" s="19"/>
      <c r="K2348" s="19"/>
      <c r="L2348" s="19"/>
      <c r="M2348" s="19"/>
      <c r="N2348" s="19"/>
      <c r="O2348" s="19"/>
      <c r="P2348" s="19"/>
      <c r="Q2348" s="19"/>
      <c r="R2348" s="19"/>
      <c r="S2348" s="19"/>
      <c r="T2348" s="34" t="str">
        <f aca="false">IF($R2348="","",IFERROR(INDEX(DriverCategory,MATCH($R2348,DriverList,0)),"BAU"))</f>
        <v/>
      </c>
      <c r="U2348" s="34" t="str">
        <f aca="false">IF($R2348="","",IFERROR(INDEX(DriverRank,MATCH($R2348,DriverList,0)),99))</f>
        <v/>
      </c>
      <c r="V2348" s="35" t="n">
        <f aca="false">IF($H2348="",0,IFERROR(INDEX(LevelBasic,MATCH($H2348,LevelList,0))+INDEX(LevelHousing,MATCH($H2348,LevelList,0))+INDEX(LevelTransport,MATCH($H2348,LevelList,0))+INDEX(LevelBasic,MATCH($H2348,LevelList,0))*INDEX(LevelBonus,MATCH($H2348,LevelList,0))+(INDEX(LevelBasic,MATCH($H2348,LevelList,0))+INDEX(LevelHousing,MATCH($H2348,LevelList,0)))*GosiSaudi,0))</f>
        <v>0</v>
      </c>
      <c r="W2348" s="35" t="n">
        <f aca="false">IFERROR(INDEX(LevelOneOff,MATCH($H2348,LevelList,0)),0)</f>
        <v>0</v>
      </c>
      <c r="X2348" s="35" t="str">
        <f aca="false">IF($G2348="","",$V2348*N($L2348))</f>
        <v/>
      </c>
      <c r="Y2348" s="35" t="str">
        <f aca="false">IF($G2348="","",$V2348*(N($M2348)*1+N($N2348)*0.75+N($O2348)*0.5+N($P2348)*0.25)+$W2348*N($L2348))</f>
        <v/>
      </c>
      <c r="Z2348" s="35" t="str">
        <f aca="false">IF($G2348="","",$U2348*1000000+ROW())</f>
        <v/>
      </c>
      <c r="AA2348" s="36" t="str">
        <f aca="false">IF($G2348="","",MID(IF($C2348="",", no division","")&amp;IF($E2348="",", no unit","")&amp;IF($H2348="",", no career level","")&amp;IF(N($L2348)&lt;=0,", no quarter split","")&amp;IF($R2348="",", no driver","")&amp;IF(AND($H2348&lt;&gt;"",COUNTIF(CareerLevels,$H2348)=0),", a career level that is not on the ladder","")&amp;IF(AND($R2348&lt;&gt;"",COUNTIF(DriverList,$R2348)=0),", a driver that is not on the list","")&amp;IF(ABS(N($L2348)-(N($M2348)+N($N2348)+N($O2348)+N($P2348)))&gt;0.001,", a total that does not match its quarters",""),3,300))</f>
        <v/>
      </c>
    </row>
    <row r="2349" customFormat="false" ht="15" hidden="false" customHeight="false" outlineLevel="0" collapsed="false">
      <c r="A2349" s="33" t="str">
        <f aca="false">IF($G2349="","","Treasury &amp; Investments Group")</f>
        <v/>
      </c>
      <c r="B2349" s="19"/>
      <c r="C2349" s="19"/>
      <c r="D2349" s="19"/>
      <c r="E2349" s="19"/>
      <c r="F2349" s="19"/>
      <c r="G2349" s="19"/>
      <c r="H2349" s="19"/>
      <c r="I2349" s="19"/>
      <c r="J2349" s="19"/>
      <c r="K2349" s="19"/>
      <c r="L2349" s="19"/>
      <c r="M2349" s="19"/>
      <c r="N2349" s="19"/>
      <c r="O2349" s="19"/>
      <c r="P2349" s="19"/>
      <c r="Q2349" s="19"/>
      <c r="R2349" s="19"/>
      <c r="S2349" s="19"/>
      <c r="T2349" s="34" t="str">
        <f aca="false">IF($R2349="","",IFERROR(INDEX(DriverCategory,MATCH($R2349,DriverList,0)),"BAU"))</f>
        <v/>
      </c>
      <c r="U2349" s="34" t="str">
        <f aca="false">IF($R2349="","",IFERROR(INDEX(DriverRank,MATCH($R2349,DriverList,0)),99))</f>
        <v/>
      </c>
      <c r="V2349" s="35" t="n">
        <f aca="false">IF($H2349="",0,IFERROR(INDEX(LevelBasic,MATCH($H2349,LevelList,0))+INDEX(LevelHousing,MATCH($H2349,LevelList,0))+INDEX(LevelTransport,MATCH($H2349,LevelList,0))+INDEX(LevelBasic,MATCH($H2349,LevelList,0))*INDEX(LevelBonus,MATCH($H2349,LevelList,0))+(INDEX(LevelBasic,MATCH($H2349,LevelList,0))+INDEX(LevelHousing,MATCH($H2349,LevelList,0)))*GosiSaudi,0))</f>
        <v>0</v>
      </c>
      <c r="W2349" s="35" t="n">
        <f aca="false">IFERROR(INDEX(LevelOneOff,MATCH($H2349,LevelList,0)),0)</f>
        <v>0</v>
      </c>
      <c r="X2349" s="35" t="str">
        <f aca="false">IF($G2349="","",$V2349*N($L2349))</f>
        <v/>
      </c>
      <c r="Y2349" s="35" t="str">
        <f aca="false">IF($G2349="","",$V2349*(N($M2349)*1+N($N2349)*0.75+N($O2349)*0.5+N($P2349)*0.25)+$W2349*N($L2349))</f>
        <v/>
      </c>
      <c r="Z2349" s="35" t="str">
        <f aca="false">IF($G2349="","",$U2349*1000000+ROW())</f>
        <v/>
      </c>
      <c r="AA2349" s="36" t="str">
        <f aca="false">IF($G2349="","",MID(IF($C2349="",", no division","")&amp;IF($E2349="",", no unit","")&amp;IF($H2349="",", no career level","")&amp;IF(N($L2349)&lt;=0,", no quarter split","")&amp;IF($R2349="",", no driver","")&amp;IF(AND($H2349&lt;&gt;"",COUNTIF(CareerLevels,$H2349)=0),", a career level that is not on the ladder","")&amp;IF(AND($R2349&lt;&gt;"",COUNTIF(DriverList,$R2349)=0),", a driver that is not on the list","")&amp;IF(ABS(N($L2349)-(N($M2349)+N($N2349)+N($O2349)+N($P2349)))&gt;0.001,", a total that does not match its quarters",""),3,300))</f>
        <v/>
      </c>
    </row>
    <row r="2350" customFormat="false" ht="15" hidden="false" customHeight="false" outlineLevel="0" collapsed="false">
      <c r="A2350" s="33" t="str">
        <f aca="false">IF($G2350="","","Treasury &amp; Investments Group")</f>
        <v/>
      </c>
      <c r="B2350" s="19"/>
      <c r="C2350" s="19"/>
      <c r="D2350" s="19"/>
      <c r="E2350" s="19"/>
      <c r="F2350" s="19"/>
      <c r="G2350" s="19"/>
      <c r="H2350" s="19"/>
      <c r="I2350" s="19"/>
      <c r="J2350" s="19"/>
      <c r="K2350" s="19"/>
      <c r="L2350" s="19"/>
      <c r="M2350" s="19"/>
      <c r="N2350" s="19"/>
      <c r="O2350" s="19"/>
      <c r="P2350" s="19"/>
      <c r="Q2350" s="19"/>
      <c r="R2350" s="19"/>
      <c r="S2350" s="19"/>
      <c r="T2350" s="34" t="str">
        <f aca="false">IF($R2350="","",IFERROR(INDEX(DriverCategory,MATCH($R2350,DriverList,0)),"BAU"))</f>
        <v/>
      </c>
      <c r="U2350" s="34" t="str">
        <f aca="false">IF($R2350="","",IFERROR(INDEX(DriverRank,MATCH($R2350,DriverList,0)),99))</f>
        <v/>
      </c>
      <c r="V2350" s="35" t="n">
        <f aca="false">IF($H2350="",0,IFERROR(INDEX(LevelBasic,MATCH($H2350,LevelList,0))+INDEX(LevelHousing,MATCH($H2350,LevelList,0))+INDEX(LevelTransport,MATCH($H2350,LevelList,0))+INDEX(LevelBasic,MATCH($H2350,LevelList,0))*INDEX(LevelBonus,MATCH($H2350,LevelList,0))+(INDEX(LevelBasic,MATCH($H2350,LevelList,0))+INDEX(LevelHousing,MATCH($H2350,LevelList,0)))*GosiSaudi,0))</f>
        <v>0</v>
      </c>
      <c r="W2350" s="35" t="n">
        <f aca="false">IFERROR(INDEX(LevelOneOff,MATCH($H2350,LevelList,0)),0)</f>
        <v>0</v>
      </c>
      <c r="X2350" s="35" t="str">
        <f aca="false">IF($G2350="","",$V2350*N($L2350))</f>
        <v/>
      </c>
      <c r="Y2350" s="35" t="str">
        <f aca="false">IF($G2350="","",$V2350*(N($M2350)*1+N($N2350)*0.75+N($O2350)*0.5+N($P2350)*0.25)+$W2350*N($L2350))</f>
        <v/>
      </c>
      <c r="Z2350" s="35" t="str">
        <f aca="false">IF($G2350="","",$U2350*1000000+ROW())</f>
        <v/>
      </c>
      <c r="AA2350" s="36" t="str">
        <f aca="false">IF($G2350="","",MID(IF($C2350="",", no division","")&amp;IF($E2350="",", no unit","")&amp;IF($H2350="",", no career level","")&amp;IF(N($L2350)&lt;=0,", no quarter split","")&amp;IF($R2350="",", no driver","")&amp;IF(AND($H2350&lt;&gt;"",COUNTIF(CareerLevels,$H2350)=0),", a career level that is not on the ladder","")&amp;IF(AND($R2350&lt;&gt;"",COUNTIF(DriverList,$R2350)=0),", a driver that is not on the list","")&amp;IF(ABS(N($L2350)-(N($M2350)+N($N2350)+N($O2350)+N($P2350)))&gt;0.001,", a total that does not match its quarters",""),3,300))</f>
        <v/>
      </c>
    </row>
    <row r="2351" customFormat="false" ht="15" hidden="false" customHeight="false" outlineLevel="0" collapsed="false">
      <c r="A2351" s="33" t="str">
        <f aca="false">IF($G2351="","","Treasury &amp; Investments Group")</f>
        <v/>
      </c>
      <c r="B2351" s="19"/>
      <c r="C2351" s="19"/>
      <c r="D2351" s="19"/>
      <c r="E2351" s="19"/>
      <c r="F2351" s="19"/>
      <c r="G2351" s="19"/>
      <c r="H2351" s="19"/>
      <c r="I2351" s="19"/>
      <c r="J2351" s="19"/>
      <c r="K2351" s="19"/>
      <c r="L2351" s="19"/>
      <c r="M2351" s="19"/>
      <c r="N2351" s="19"/>
      <c r="O2351" s="19"/>
      <c r="P2351" s="19"/>
      <c r="Q2351" s="19"/>
      <c r="R2351" s="19"/>
      <c r="S2351" s="19"/>
      <c r="T2351" s="34" t="str">
        <f aca="false">IF($R2351="","",IFERROR(INDEX(DriverCategory,MATCH($R2351,DriverList,0)),"BAU"))</f>
        <v/>
      </c>
      <c r="U2351" s="34" t="str">
        <f aca="false">IF($R2351="","",IFERROR(INDEX(DriverRank,MATCH($R2351,DriverList,0)),99))</f>
        <v/>
      </c>
      <c r="V2351" s="35" t="n">
        <f aca="false">IF($H2351="",0,IFERROR(INDEX(LevelBasic,MATCH($H2351,LevelList,0))+INDEX(LevelHousing,MATCH($H2351,LevelList,0))+INDEX(LevelTransport,MATCH($H2351,LevelList,0))+INDEX(LevelBasic,MATCH($H2351,LevelList,0))*INDEX(LevelBonus,MATCH($H2351,LevelList,0))+(INDEX(LevelBasic,MATCH($H2351,LevelList,0))+INDEX(LevelHousing,MATCH($H2351,LevelList,0)))*GosiSaudi,0))</f>
        <v>0</v>
      </c>
      <c r="W2351" s="35" t="n">
        <f aca="false">IFERROR(INDEX(LevelOneOff,MATCH($H2351,LevelList,0)),0)</f>
        <v>0</v>
      </c>
      <c r="X2351" s="35" t="str">
        <f aca="false">IF($G2351="","",$V2351*N($L2351))</f>
        <v/>
      </c>
      <c r="Y2351" s="35" t="str">
        <f aca="false">IF($G2351="","",$V2351*(N($M2351)*1+N($N2351)*0.75+N($O2351)*0.5+N($P2351)*0.25)+$W2351*N($L2351))</f>
        <v/>
      </c>
      <c r="Z2351" s="35" t="str">
        <f aca="false">IF($G2351="","",$U2351*1000000+ROW())</f>
        <v/>
      </c>
      <c r="AA2351" s="36" t="str">
        <f aca="false">IF($G2351="","",MID(IF($C2351="",", no division","")&amp;IF($E2351="",", no unit","")&amp;IF($H2351="",", no career level","")&amp;IF(N($L2351)&lt;=0,", no quarter split","")&amp;IF($R2351="",", no driver","")&amp;IF(AND($H2351&lt;&gt;"",COUNTIF(CareerLevels,$H2351)=0),", a career level that is not on the ladder","")&amp;IF(AND($R2351&lt;&gt;"",COUNTIF(DriverList,$R2351)=0),", a driver that is not on the list","")&amp;IF(ABS(N($L2351)-(N($M2351)+N($N2351)+N($O2351)+N($P2351)))&gt;0.001,", a total that does not match its quarters",""),3,300))</f>
        <v/>
      </c>
    </row>
    <row r="2352" customFormat="false" ht="15" hidden="false" customHeight="false" outlineLevel="0" collapsed="false">
      <c r="A2352" s="33" t="str">
        <f aca="false">IF($G2352="","","Treasury &amp; Investments Group")</f>
        <v/>
      </c>
      <c r="B2352" s="19"/>
      <c r="C2352" s="19"/>
      <c r="D2352" s="19"/>
      <c r="E2352" s="19"/>
      <c r="F2352" s="19"/>
      <c r="G2352" s="19"/>
      <c r="H2352" s="19"/>
      <c r="I2352" s="19"/>
      <c r="J2352" s="19"/>
      <c r="K2352" s="19"/>
      <c r="L2352" s="19"/>
      <c r="M2352" s="19"/>
      <c r="N2352" s="19"/>
      <c r="O2352" s="19"/>
      <c r="P2352" s="19"/>
      <c r="Q2352" s="19"/>
      <c r="R2352" s="19"/>
      <c r="S2352" s="19"/>
      <c r="T2352" s="34" t="str">
        <f aca="false">IF($R2352="","",IFERROR(INDEX(DriverCategory,MATCH($R2352,DriverList,0)),"BAU"))</f>
        <v/>
      </c>
      <c r="U2352" s="34" t="str">
        <f aca="false">IF($R2352="","",IFERROR(INDEX(DriverRank,MATCH($R2352,DriverList,0)),99))</f>
        <v/>
      </c>
      <c r="V2352" s="35" t="n">
        <f aca="false">IF($H2352="",0,IFERROR(INDEX(LevelBasic,MATCH($H2352,LevelList,0))+INDEX(LevelHousing,MATCH($H2352,LevelList,0))+INDEX(LevelTransport,MATCH($H2352,LevelList,0))+INDEX(LevelBasic,MATCH($H2352,LevelList,0))*INDEX(LevelBonus,MATCH($H2352,LevelList,0))+(INDEX(LevelBasic,MATCH($H2352,LevelList,0))+INDEX(LevelHousing,MATCH($H2352,LevelList,0)))*GosiSaudi,0))</f>
        <v>0</v>
      </c>
      <c r="W2352" s="35" t="n">
        <f aca="false">IFERROR(INDEX(LevelOneOff,MATCH($H2352,LevelList,0)),0)</f>
        <v>0</v>
      </c>
      <c r="X2352" s="35" t="str">
        <f aca="false">IF($G2352="","",$V2352*N($L2352))</f>
        <v/>
      </c>
      <c r="Y2352" s="35" t="str">
        <f aca="false">IF($G2352="","",$V2352*(N($M2352)*1+N($N2352)*0.75+N($O2352)*0.5+N($P2352)*0.25)+$W2352*N($L2352))</f>
        <v/>
      </c>
      <c r="Z2352" s="35" t="str">
        <f aca="false">IF($G2352="","",$U2352*1000000+ROW())</f>
        <v/>
      </c>
      <c r="AA2352" s="36" t="str">
        <f aca="false">IF($G2352="","",MID(IF($C2352="",", no division","")&amp;IF($E2352="",", no unit","")&amp;IF($H2352="",", no career level","")&amp;IF(N($L2352)&lt;=0,", no quarter split","")&amp;IF($R2352="",", no driver","")&amp;IF(AND($H2352&lt;&gt;"",COUNTIF(CareerLevels,$H2352)=0),", a career level that is not on the ladder","")&amp;IF(AND($R2352&lt;&gt;"",COUNTIF(DriverList,$R2352)=0),", a driver that is not on the list","")&amp;IF(ABS(N($L2352)-(N($M2352)+N($N2352)+N($O2352)+N($P2352)))&gt;0.001,", a total that does not match its quarters",""),3,300))</f>
        <v/>
      </c>
    </row>
    <row r="2353" customFormat="false" ht="15" hidden="false" customHeight="false" outlineLevel="0" collapsed="false">
      <c r="A2353" s="33" t="str">
        <f aca="false">IF($G2353="","","Treasury &amp; Investments Group")</f>
        <v/>
      </c>
      <c r="B2353" s="19"/>
      <c r="C2353" s="19"/>
      <c r="D2353" s="19"/>
      <c r="E2353" s="19"/>
      <c r="F2353" s="19"/>
      <c r="G2353" s="19"/>
      <c r="H2353" s="19"/>
      <c r="I2353" s="19"/>
      <c r="J2353" s="19"/>
      <c r="K2353" s="19"/>
      <c r="L2353" s="19"/>
      <c r="M2353" s="19"/>
      <c r="N2353" s="19"/>
      <c r="O2353" s="19"/>
      <c r="P2353" s="19"/>
      <c r="Q2353" s="19"/>
      <c r="R2353" s="19"/>
      <c r="S2353" s="19"/>
      <c r="T2353" s="34" t="str">
        <f aca="false">IF($R2353="","",IFERROR(INDEX(DriverCategory,MATCH($R2353,DriverList,0)),"BAU"))</f>
        <v/>
      </c>
      <c r="U2353" s="34" t="str">
        <f aca="false">IF($R2353="","",IFERROR(INDEX(DriverRank,MATCH($R2353,DriverList,0)),99))</f>
        <v/>
      </c>
      <c r="V2353" s="35" t="n">
        <f aca="false">IF($H2353="",0,IFERROR(INDEX(LevelBasic,MATCH($H2353,LevelList,0))+INDEX(LevelHousing,MATCH($H2353,LevelList,0))+INDEX(LevelTransport,MATCH($H2353,LevelList,0))+INDEX(LevelBasic,MATCH($H2353,LevelList,0))*INDEX(LevelBonus,MATCH($H2353,LevelList,0))+(INDEX(LevelBasic,MATCH($H2353,LevelList,0))+INDEX(LevelHousing,MATCH($H2353,LevelList,0)))*GosiSaudi,0))</f>
        <v>0</v>
      </c>
      <c r="W2353" s="35" t="n">
        <f aca="false">IFERROR(INDEX(LevelOneOff,MATCH($H2353,LevelList,0)),0)</f>
        <v>0</v>
      </c>
      <c r="X2353" s="35" t="str">
        <f aca="false">IF($G2353="","",$V2353*N($L2353))</f>
        <v/>
      </c>
      <c r="Y2353" s="35" t="str">
        <f aca="false">IF($G2353="","",$V2353*(N($M2353)*1+N($N2353)*0.75+N($O2353)*0.5+N($P2353)*0.25)+$W2353*N($L2353))</f>
        <v/>
      </c>
      <c r="Z2353" s="35" t="str">
        <f aca="false">IF($G2353="","",$U2353*1000000+ROW())</f>
        <v/>
      </c>
      <c r="AA2353" s="36" t="str">
        <f aca="false">IF($G2353="","",MID(IF($C2353="",", no division","")&amp;IF($E2353="",", no unit","")&amp;IF($H2353="",", no career level","")&amp;IF(N($L2353)&lt;=0,", no quarter split","")&amp;IF($R2353="",", no driver","")&amp;IF(AND($H2353&lt;&gt;"",COUNTIF(CareerLevels,$H2353)=0),", a career level that is not on the ladder","")&amp;IF(AND($R2353&lt;&gt;"",COUNTIF(DriverList,$R2353)=0),", a driver that is not on the list","")&amp;IF(ABS(N($L2353)-(N($M2353)+N($N2353)+N($O2353)+N($P2353)))&gt;0.001,", a total that does not match its quarters",""),3,300))</f>
        <v/>
      </c>
    </row>
    <row r="2354" customFormat="false" ht="15" hidden="false" customHeight="false" outlineLevel="0" collapsed="false">
      <c r="A2354" s="33" t="str">
        <f aca="false">IF($G2354="","","Treasury &amp; Investments Group")</f>
        <v/>
      </c>
      <c r="B2354" s="19"/>
      <c r="C2354" s="19"/>
      <c r="D2354" s="19"/>
      <c r="E2354" s="19"/>
      <c r="F2354" s="19"/>
      <c r="G2354" s="19"/>
      <c r="H2354" s="19"/>
      <c r="I2354" s="19"/>
      <c r="J2354" s="19"/>
      <c r="K2354" s="19"/>
      <c r="L2354" s="19"/>
      <c r="M2354" s="19"/>
      <c r="N2354" s="19"/>
      <c r="O2354" s="19"/>
      <c r="P2354" s="19"/>
      <c r="Q2354" s="19"/>
      <c r="R2354" s="19"/>
      <c r="S2354" s="19"/>
      <c r="T2354" s="34" t="str">
        <f aca="false">IF($R2354="","",IFERROR(INDEX(DriverCategory,MATCH($R2354,DriverList,0)),"BAU"))</f>
        <v/>
      </c>
      <c r="U2354" s="34" t="str">
        <f aca="false">IF($R2354="","",IFERROR(INDEX(DriverRank,MATCH($R2354,DriverList,0)),99))</f>
        <v/>
      </c>
      <c r="V2354" s="35" t="n">
        <f aca="false">IF($H2354="",0,IFERROR(INDEX(LevelBasic,MATCH($H2354,LevelList,0))+INDEX(LevelHousing,MATCH($H2354,LevelList,0))+INDEX(LevelTransport,MATCH($H2354,LevelList,0))+INDEX(LevelBasic,MATCH($H2354,LevelList,0))*INDEX(LevelBonus,MATCH($H2354,LevelList,0))+(INDEX(LevelBasic,MATCH($H2354,LevelList,0))+INDEX(LevelHousing,MATCH($H2354,LevelList,0)))*GosiSaudi,0))</f>
        <v>0</v>
      </c>
      <c r="W2354" s="35" t="n">
        <f aca="false">IFERROR(INDEX(LevelOneOff,MATCH($H2354,LevelList,0)),0)</f>
        <v>0</v>
      </c>
      <c r="X2354" s="35" t="str">
        <f aca="false">IF($G2354="","",$V2354*N($L2354))</f>
        <v/>
      </c>
      <c r="Y2354" s="35" t="str">
        <f aca="false">IF($G2354="","",$V2354*(N($M2354)*1+N($N2354)*0.75+N($O2354)*0.5+N($P2354)*0.25)+$W2354*N($L2354))</f>
        <v/>
      </c>
      <c r="Z2354" s="35" t="str">
        <f aca="false">IF($G2354="","",$U2354*1000000+ROW())</f>
        <v/>
      </c>
      <c r="AA2354" s="36" t="str">
        <f aca="false">IF($G2354="","",MID(IF($C2354="",", no division","")&amp;IF($E2354="",", no unit","")&amp;IF($H2354="",", no career level","")&amp;IF(N($L2354)&lt;=0,", no quarter split","")&amp;IF($R2354="",", no driver","")&amp;IF(AND($H2354&lt;&gt;"",COUNTIF(CareerLevels,$H2354)=0),", a career level that is not on the ladder","")&amp;IF(AND($R2354&lt;&gt;"",COUNTIF(DriverList,$R2354)=0),", a driver that is not on the list","")&amp;IF(ABS(N($L2354)-(N($M2354)+N($N2354)+N($O2354)+N($P2354)))&gt;0.001,", a total that does not match its quarters",""),3,300))</f>
        <v/>
      </c>
    </row>
    <row r="2355" customFormat="false" ht="15" hidden="false" customHeight="false" outlineLevel="0" collapsed="false">
      <c r="A2355" s="33" t="str">
        <f aca="false">IF($G2355="","","Treasury &amp; Investments Group")</f>
        <v/>
      </c>
      <c r="B2355" s="19"/>
      <c r="C2355" s="19"/>
      <c r="D2355" s="19"/>
      <c r="E2355" s="19"/>
      <c r="F2355" s="19"/>
      <c r="G2355" s="19"/>
      <c r="H2355" s="19"/>
      <c r="I2355" s="19"/>
      <c r="J2355" s="19"/>
      <c r="K2355" s="19"/>
      <c r="L2355" s="19"/>
      <c r="M2355" s="19"/>
      <c r="N2355" s="19"/>
      <c r="O2355" s="19"/>
      <c r="P2355" s="19"/>
      <c r="Q2355" s="19"/>
      <c r="R2355" s="19"/>
      <c r="S2355" s="19"/>
      <c r="T2355" s="34" t="str">
        <f aca="false">IF($R2355="","",IFERROR(INDEX(DriverCategory,MATCH($R2355,DriverList,0)),"BAU"))</f>
        <v/>
      </c>
      <c r="U2355" s="34" t="str">
        <f aca="false">IF($R2355="","",IFERROR(INDEX(DriverRank,MATCH($R2355,DriverList,0)),99))</f>
        <v/>
      </c>
      <c r="V2355" s="35" t="n">
        <f aca="false">IF($H2355="",0,IFERROR(INDEX(LevelBasic,MATCH($H2355,LevelList,0))+INDEX(LevelHousing,MATCH($H2355,LevelList,0))+INDEX(LevelTransport,MATCH($H2355,LevelList,0))+INDEX(LevelBasic,MATCH($H2355,LevelList,0))*INDEX(LevelBonus,MATCH($H2355,LevelList,0))+(INDEX(LevelBasic,MATCH($H2355,LevelList,0))+INDEX(LevelHousing,MATCH($H2355,LevelList,0)))*GosiSaudi,0))</f>
        <v>0</v>
      </c>
      <c r="W2355" s="35" t="n">
        <f aca="false">IFERROR(INDEX(LevelOneOff,MATCH($H2355,LevelList,0)),0)</f>
        <v>0</v>
      </c>
      <c r="X2355" s="35" t="str">
        <f aca="false">IF($G2355="","",$V2355*N($L2355))</f>
        <v/>
      </c>
      <c r="Y2355" s="35" t="str">
        <f aca="false">IF($G2355="","",$V2355*(N($M2355)*1+N($N2355)*0.75+N($O2355)*0.5+N($P2355)*0.25)+$W2355*N($L2355))</f>
        <v/>
      </c>
      <c r="Z2355" s="35" t="str">
        <f aca="false">IF($G2355="","",$U2355*1000000+ROW())</f>
        <v/>
      </c>
      <c r="AA2355" s="36" t="str">
        <f aca="false">IF($G2355="","",MID(IF($C2355="",", no division","")&amp;IF($E2355="",", no unit","")&amp;IF($H2355="",", no career level","")&amp;IF(N($L2355)&lt;=0,", no quarter split","")&amp;IF($R2355="",", no driver","")&amp;IF(AND($H2355&lt;&gt;"",COUNTIF(CareerLevels,$H2355)=0),", a career level that is not on the ladder","")&amp;IF(AND($R2355&lt;&gt;"",COUNTIF(DriverList,$R2355)=0),", a driver that is not on the list","")&amp;IF(ABS(N($L2355)-(N($M2355)+N($N2355)+N($O2355)+N($P2355)))&gt;0.001,", a total that does not match its quarters",""),3,300))</f>
        <v/>
      </c>
    </row>
    <row r="2356" customFormat="false" ht="15" hidden="false" customHeight="false" outlineLevel="0" collapsed="false">
      <c r="A2356" s="33" t="str">
        <f aca="false">IF($G2356="","","Treasury &amp; Investments Group")</f>
        <v/>
      </c>
      <c r="B2356" s="19"/>
      <c r="C2356" s="19"/>
      <c r="D2356" s="19"/>
      <c r="E2356" s="19"/>
      <c r="F2356" s="19"/>
      <c r="G2356" s="19"/>
      <c r="H2356" s="19"/>
      <c r="I2356" s="19"/>
      <c r="J2356" s="19"/>
      <c r="K2356" s="19"/>
      <c r="L2356" s="19"/>
      <c r="M2356" s="19"/>
      <c r="N2356" s="19"/>
      <c r="O2356" s="19"/>
      <c r="P2356" s="19"/>
      <c r="Q2356" s="19"/>
      <c r="R2356" s="19"/>
      <c r="S2356" s="19"/>
      <c r="T2356" s="34" t="str">
        <f aca="false">IF($R2356="","",IFERROR(INDEX(DriverCategory,MATCH($R2356,DriverList,0)),"BAU"))</f>
        <v/>
      </c>
      <c r="U2356" s="34" t="str">
        <f aca="false">IF($R2356="","",IFERROR(INDEX(DriverRank,MATCH($R2356,DriverList,0)),99))</f>
        <v/>
      </c>
      <c r="V2356" s="35" t="n">
        <f aca="false">IF($H2356="",0,IFERROR(INDEX(LevelBasic,MATCH($H2356,LevelList,0))+INDEX(LevelHousing,MATCH($H2356,LevelList,0))+INDEX(LevelTransport,MATCH($H2356,LevelList,0))+INDEX(LevelBasic,MATCH($H2356,LevelList,0))*INDEX(LevelBonus,MATCH($H2356,LevelList,0))+(INDEX(LevelBasic,MATCH($H2356,LevelList,0))+INDEX(LevelHousing,MATCH($H2356,LevelList,0)))*GosiSaudi,0))</f>
        <v>0</v>
      </c>
      <c r="W2356" s="35" t="n">
        <f aca="false">IFERROR(INDEX(LevelOneOff,MATCH($H2356,LevelList,0)),0)</f>
        <v>0</v>
      </c>
      <c r="X2356" s="35" t="str">
        <f aca="false">IF($G2356="","",$V2356*N($L2356))</f>
        <v/>
      </c>
      <c r="Y2356" s="35" t="str">
        <f aca="false">IF($G2356="","",$V2356*(N($M2356)*1+N($N2356)*0.75+N($O2356)*0.5+N($P2356)*0.25)+$W2356*N($L2356))</f>
        <v/>
      </c>
      <c r="Z2356" s="35" t="str">
        <f aca="false">IF($G2356="","",$U2356*1000000+ROW())</f>
        <v/>
      </c>
      <c r="AA2356" s="36" t="str">
        <f aca="false">IF($G2356="","",MID(IF($C2356="",", no division","")&amp;IF($E2356="",", no unit","")&amp;IF($H2356="",", no career level","")&amp;IF(N($L2356)&lt;=0,", no quarter split","")&amp;IF($R2356="",", no driver","")&amp;IF(AND($H2356&lt;&gt;"",COUNTIF(CareerLevels,$H2356)=0),", a career level that is not on the ladder","")&amp;IF(AND($R2356&lt;&gt;"",COUNTIF(DriverList,$R2356)=0),", a driver that is not on the list","")&amp;IF(ABS(N($L2356)-(N($M2356)+N($N2356)+N($O2356)+N($P2356)))&gt;0.001,", a total that does not match its quarters",""),3,300))</f>
        <v/>
      </c>
    </row>
    <row r="2357" customFormat="false" ht="15" hidden="false" customHeight="false" outlineLevel="0" collapsed="false">
      <c r="A2357" s="33" t="str">
        <f aca="false">IF($G2357="","","Treasury &amp; Investments Group")</f>
        <v/>
      </c>
      <c r="B2357" s="19"/>
      <c r="C2357" s="19"/>
      <c r="D2357" s="19"/>
      <c r="E2357" s="19"/>
      <c r="F2357" s="19"/>
      <c r="G2357" s="19"/>
      <c r="H2357" s="19"/>
      <c r="I2357" s="19"/>
      <c r="J2357" s="19"/>
      <c r="K2357" s="19"/>
      <c r="L2357" s="19"/>
      <c r="M2357" s="19"/>
      <c r="N2357" s="19"/>
      <c r="O2357" s="19"/>
      <c r="P2357" s="19"/>
      <c r="Q2357" s="19"/>
      <c r="R2357" s="19"/>
      <c r="S2357" s="19"/>
      <c r="T2357" s="34" t="str">
        <f aca="false">IF($R2357="","",IFERROR(INDEX(DriverCategory,MATCH($R2357,DriverList,0)),"BAU"))</f>
        <v/>
      </c>
      <c r="U2357" s="34" t="str">
        <f aca="false">IF($R2357="","",IFERROR(INDEX(DriverRank,MATCH($R2357,DriverList,0)),99))</f>
        <v/>
      </c>
      <c r="V2357" s="35" t="n">
        <f aca="false">IF($H2357="",0,IFERROR(INDEX(LevelBasic,MATCH($H2357,LevelList,0))+INDEX(LevelHousing,MATCH($H2357,LevelList,0))+INDEX(LevelTransport,MATCH($H2357,LevelList,0))+INDEX(LevelBasic,MATCH($H2357,LevelList,0))*INDEX(LevelBonus,MATCH($H2357,LevelList,0))+(INDEX(LevelBasic,MATCH($H2357,LevelList,0))+INDEX(LevelHousing,MATCH($H2357,LevelList,0)))*GosiSaudi,0))</f>
        <v>0</v>
      </c>
      <c r="W2357" s="35" t="n">
        <f aca="false">IFERROR(INDEX(LevelOneOff,MATCH($H2357,LevelList,0)),0)</f>
        <v>0</v>
      </c>
      <c r="X2357" s="35" t="str">
        <f aca="false">IF($G2357="","",$V2357*N($L2357))</f>
        <v/>
      </c>
      <c r="Y2357" s="35" t="str">
        <f aca="false">IF($G2357="","",$V2357*(N($M2357)*1+N($N2357)*0.75+N($O2357)*0.5+N($P2357)*0.25)+$W2357*N($L2357))</f>
        <v/>
      </c>
      <c r="Z2357" s="35" t="str">
        <f aca="false">IF($G2357="","",$U2357*1000000+ROW())</f>
        <v/>
      </c>
      <c r="AA2357" s="36" t="str">
        <f aca="false">IF($G2357="","",MID(IF($C2357="",", no division","")&amp;IF($E2357="",", no unit","")&amp;IF($H2357="",", no career level","")&amp;IF(N($L2357)&lt;=0,", no quarter split","")&amp;IF($R2357="",", no driver","")&amp;IF(AND($H2357&lt;&gt;"",COUNTIF(CareerLevels,$H2357)=0),", a career level that is not on the ladder","")&amp;IF(AND($R2357&lt;&gt;"",COUNTIF(DriverList,$R2357)=0),", a driver that is not on the list","")&amp;IF(ABS(N($L2357)-(N($M2357)+N($N2357)+N($O2357)+N($P2357)))&gt;0.001,", a total that does not match its quarters",""),3,300))</f>
        <v/>
      </c>
    </row>
    <row r="2358" customFormat="false" ht="15" hidden="false" customHeight="false" outlineLevel="0" collapsed="false">
      <c r="A2358" s="33" t="str">
        <f aca="false">IF($G2358="","","Treasury &amp; Investments Group")</f>
        <v/>
      </c>
      <c r="B2358" s="19"/>
      <c r="C2358" s="19"/>
      <c r="D2358" s="19"/>
      <c r="E2358" s="19"/>
      <c r="F2358" s="19"/>
      <c r="G2358" s="19"/>
      <c r="H2358" s="19"/>
      <c r="I2358" s="19"/>
      <c r="J2358" s="19"/>
      <c r="K2358" s="19"/>
      <c r="L2358" s="19"/>
      <c r="M2358" s="19"/>
      <c r="N2358" s="19"/>
      <c r="O2358" s="19"/>
      <c r="P2358" s="19"/>
      <c r="Q2358" s="19"/>
      <c r="R2358" s="19"/>
      <c r="S2358" s="19"/>
      <c r="T2358" s="34" t="str">
        <f aca="false">IF($R2358="","",IFERROR(INDEX(DriverCategory,MATCH($R2358,DriverList,0)),"BAU"))</f>
        <v/>
      </c>
      <c r="U2358" s="34" t="str">
        <f aca="false">IF($R2358="","",IFERROR(INDEX(DriverRank,MATCH($R2358,DriverList,0)),99))</f>
        <v/>
      </c>
      <c r="V2358" s="35" t="n">
        <f aca="false">IF($H2358="",0,IFERROR(INDEX(LevelBasic,MATCH($H2358,LevelList,0))+INDEX(LevelHousing,MATCH($H2358,LevelList,0))+INDEX(LevelTransport,MATCH($H2358,LevelList,0))+INDEX(LevelBasic,MATCH($H2358,LevelList,0))*INDEX(LevelBonus,MATCH($H2358,LevelList,0))+(INDEX(LevelBasic,MATCH($H2358,LevelList,0))+INDEX(LevelHousing,MATCH($H2358,LevelList,0)))*GosiSaudi,0))</f>
        <v>0</v>
      </c>
      <c r="W2358" s="35" t="n">
        <f aca="false">IFERROR(INDEX(LevelOneOff,MATCH($H2358,LevelList,0)),0)</f>
        <v>0</v>
      </c>
      <c r="X2358" s="35" t="str">
        <f aca="false">IF($G2358="","",$V2358*N($L2358))</f>
        <v/>
      </c>
      <c r="Y2358" s="35" t="str">
        <f aca="false">IF($G2358="","",$V2358*(N($M2358)*1+N($N2358)*0.75+N($O2358)*0.5+N($P2358)*0.25)+$W2358*N($L2358))</f>
        <v/>
      </c>
      <c r="Z2358" s="35" t="str">
        <f aca="false">IF($G2358="","",$U2358*1000000+ROW())</f>
        <v/>
      </c>
      <c r="AA2358" s="36" t="str">
        <f aca="false">IF($G2358="","",MID(IF($C2358="",", no division","")&amp;IF($E2358="",", no unit","")&amp;IF($H2358="",", no career level","")&amp;IF(N($L2358)&lt;=0,", no quarter split","")&amp;IF($R2358="",", no driver","")&amp;IF(AND($H2358&lt;&gt;"",COUNTIF(CareerLevels,$H2358)=0),", a career level that is not on the ladder","")&amp;IF(AND($R2358&lt;&gt;"",COUNTIF(DriverList,$R2358)=0),", a driver that is not on the list","")&amp;IF(ABS(N($L2358)-(N($M2358)+N($N2358)+N($O2358)+N($P2358)))&gt;0.001,", a total that does not match its quarters",""),3,300))</f>
        <v/>
      </c>
    </row>
    <row r="2359" customFormat="false" ht="15" hidden="false" customHeight="false" outlineLevel="0" collapsed="false">
      <c r="A2359" s="33" t="str">
        <f aca="false">IF($G2359="","","Treasury &amp; Investments Group")</f>
        <v/>
      </c>
      <c r="B2359" s="19"/>
      <c r="C2359" s="19"/>
      <c r="D2359" s="19"/>
      <c r="E2359" s="19"/>
      <c r="F2359" s="19"/>
      <c r="G2359" s="19"/>
      <c r="H2359" s="19"/>
      <c r="I2359" s="19"/>
      <c r="J2359" s="19"/>
      <c r="K2359" s="19"/>
      <c r="L2359" s="19"/>
      <c r="M2359" s="19"/>
      <c r="N2359" s="19"/>
      <c r="O2359" s="19"/>
      <c r="P2359" s="19"/>
      <c r="Q2359" s="19"/>
      <c r="R2359" s="19"/>
      <c r="S2359" s="19"/>
      <c r="T2359" s="34" t="str">
        <f aca="false">IF($R2359="","",IFERROR(INDEX(DriverCategory,MATCH($R2359,DriverList,0)),"BAU"))</f>
        <v/>
      </c>
      <c r="U2359" s="34" t="str">
        <f aca="false">IF($R2359="","",IFERROR(INDEX(DriverRank,MATCH($R2359,DriverList,0)),99))</f>
        <v/>
      </c>
      <c r="V2359" s="35" t="n">
        <f aca="false">IF($H2359="",0,IFERROR(INDEX(LevelBasic,MATCH($H2359,LevelList,0))+INDEX(LevelHousing,MATCH($H2359,LevelList,0))+INDEX(LevelTransport,MATCH($H2359,LevelList,0))+INDEX(LevelBasic,MATCH($H2359,LevelList,0))*INDEX(LevelBonus,MATCH($H2359,LevelList,0))+(INDEX(LevelBasic,MATCH($H2359,LevelList,0))+INDEX(LevelHousing,MATCH($H2359,LevelList,0)))*GosiSaudi,0))</f>
        <v>0</v>
      </c>
      <c r="W2359" s="35" t="n">
        <f aca="false">IFERROR(INDEX(LevelOneOff,MATCH($H2359,LevelList,0)),0)</f>
        <v>0</v>
      </c>
      <c r="X2359" s="35" t="str">
        <f aca="false">IF($G2359="","",$V2359*N($L2359))</f>
        <v/>
      </c>
      <c r="Y2359" s="35" t="str">
        <f aca="false">IF($G2359="","",$V2359*(N($M2359)*1+N($N2359)*0.75+N($O2359)*0.5+N($P2359)*0.25)+$W2359*N($L2359))</f>
        <v/>
      </c>
      <c r="Z2359" s="35" t="str">
        <f aca="false">IF($G2359="","",$U2359*1000000+ROW())</f>
        <v/>
      </c>
      <c r="AA2359" s="36" t="str">
        <f aca="false">IF($G2359="","",MID(IF($C2359="",", no division","")&amp;IF($E2359="",", no unit","")&amp;IF($H2359="",", no career level","")&amp;IF(N($L2359)&lt;=0,", no quarter split","")&amp;IF($R2359="",", no driver","")&amp;IF(AND($H2359&lt;&gt;"",COUNTIF(CareerLevels,$H2359)=0),", a career level that is not on the ladder","")&amp;IF(AND($R2359&lt;&gt;"",COUNTIF(DriverList,$R2359)=0),", a driver that is not on the list","")&amp;IF(ABS(N($L2359)-(N($M2359)+N($N2359)+N($O2359)+N($P2359)))&gt;0.001,", a total that does not match its quarters",""),3,300))</f>
        <v/>
      </c>
    </row>
    <row r="2360" customFormat="false" ht="15" hidden="false" customHeight="false" outlineLevel="0" collapsed="false">
      <c r="A2360" s="33" t="str">
        <f aca="false">IF($G2360="","","Treasury &amp; Investments Group")</f>
        <v/>
      </c>
      <c r="B2360" s="19"/>
      <c r="C2360" s="19"/>
      <c r="D2360" s="19"/>
      <c r="E2360" s="19"/>
      <c r="F2360" s="19"/>
      <c r="G2360" s="19"/>
      <c r="H2360" s="19"/>
      <c r="I2360" s="19"/>
      <c r="J2360" s="19"/>
      <c r="K2360" s="19"/>
      <c r="L2360" s="19"/>
      <c r="M2360" s="19"/>
      <c r="N2360" s="19"/>
      <c r="O2360" s="19"/>
      <c r="P2360" s="19"/>
      <c r="Q2360" s="19"/>
      <c r="R2360" s="19"/>
      <c r="S2360" s="19"/>
      <c r="T2360" s="34" t="str">
        <f aca="false">IF($R2360="","",IFERROR(INDEX(DriverCategory,MATCH($R2360,DriverList,0)),"BAU"))</f>
        <v/>
      </c>
      <c r="U2360" s="34" t="str">
        <f aca="false">IF($R2360="","",IFERROR(INDEX(DriverRank,MATCH($R2360,DriverList,0)),99))</f>
        <v/>
      </c>
      <c r="V2360" s="35" t="n">
        <f aca="false">IF($H2360="",0,IFERROR(INDEX(LevelBasic,MATCH($H2360,LevelList,0))+INDEX(LevelHousing,MATCH($H2360,LevelList,0))+INDEX(LevelTransport,MATCH($H2360,LevelList,0))+INDEX(LevelBasic,MATCH($H2360,LevelList,0))*INDEX(LevelBonus,MATCH($H2360,LevelList,0))+(INDEX(LevelBasic,MATCH($H2360,LevelList,0))+INDEX(LevelHousing,MATCH($H2360,LevelList,0)))*GosiSaudi,0))</f>
        <v>0</v>
      </c>
      <c r="W2360" s="35" t="n">
        <f aca="false">IFERROR(INDEX(LevelOneOff,MATCH($H2360,LevelList,0)),0)</f>
        <v>0</v>
      </c>
      <c r="X2360" s="35" t="str">
        <f aca="false">IF($G2360="","",$V2360*N($L2360))</f>
        <v/>
      </c>
      <c r="Y2360" s="35" t="str">
        <f aca="false">IF($G2360="","",$V2360*(N($M2360)*1+N($N2360)*0.75+N($O2360)*0.5+N($P2360)*0.25)+$W2360*N($L2360))</f>
        <v/>
      </c>
      <c r="Z2360" s="35" t="str">
        <f aca="false">IF($G2360="","",$U2360*1000000+ROW())</f>
        <v/>
      </c>
      <c r="AA2360" s="36" t="str">
        <f aca="false">IF($G2360="","",MID(IF($C2360="",", no division","")&amp;IF($E2360="",", no unit","")&amp;IF($H2360="",", no career level","")&amp;IF(N($L2360)&lt;=0,", no quarter split","")&amp;IF($R2360="",", no driver","")&amp;IF(AND($H2360&lt;&gt;"",COUNTIF(CareerLevels,$H2360)=0),", a career level that is not on the ladder","")&amp;IF(AND($R2360&lt;&gt;"",COUNTIF(DriverList,$R2360)=0),", a driver that is not on the list","")&amp;IF(ABS(N($L2360)-(N($M2360)+N($N2360)+N($O2360)+N($P2360)))&gt;0.001,", a total that does not match its quarters",""),3,300))</f>
        <v/>
      </c>
    </row>
    <row r="2361" customFormat="false" ht="15" hidden="false" customHeight="false" outlineLevel="0" collapsed="false">
      <c r="A2361" s="33" t="str">
        <f aca="false">IF($G2361="","","Treasury &amp; Investments Group")</f>
        <v/>
      </c>
      <c r="B2361" s="19"/>
      <c r="C2361" s="19"/>
      <c r="D2361" s="19"/>
      <c r="E2361" s="19"/>
      <c r="F2361" s="19"/>
      <c r="G2361" s="19"/>
      <c r="H2361" s="19"/>
      <c r="I2361" s="19"/>
      <c r="J2361" s="19"/>
      <c r="K2361" s="19"/>
      <c r="L2361" s="19"/>
      <c r="M2361" s="19"/>
      <c r="N2361" s="19"/>
      <c r="O2361" s="19"/>
      <c r="P2361" s="19"/>
      <c r="Q2361" s="19"/>
      <c r="R2361" s="19"/>
      <c r="S2361" s="19"/>
      <c r="T2361" s="34" t="str">
        <f aca="false">IF($R2361="","",IFERROR(INDEX(DriverCategory,MATCH($R2361,DriverList,0)),"BAU"))</f>
        <v/>
      </c>
      <c r="U2361" s="34" t="str">
        <f aca="false">IF($R2361="","",IFERROR(INDEX(DriverRank,MATCH($R2361,DriverList,0)),99))</f>
        <v/>
      </c>
      <c r="V2361" s="35" t="n">
        <f aca="false">IF($H2361="",0,IFERROR(INDEX(LevelBasic,MATCH($H2361,LevelList,0))+INDEX(LevelHousing,MATCH($H2361,LevelList,0))+INDEX(LevelTransport,MATCH($H2361,LevelList,0))+INDEX(LevelBasic,MATCH($H2361,LevelList,0))*INDEX(LevelBonus,MATCH($H2361,LevelList,0))+(INDEX(LevelBasic,MATCH($H2361,LevelList,0))+INDEX(LevelHousing,MATCH($H2361,LevelList,0)))*GosiSaudi,0))</f>
        <v>0</v>
      </c>
      <c r="W2361" s="35" t="n">
        <f aca="false">IFERROR(INDEX(LevelOneOff,MATCH($H2361,LevelList,0)),0)</f>
        <v>0</v>
      </c>
      <c r="X2361" s="35" t="str">
        <f aca="false">IF($G2361="","",$V2361*N($L2361))</f>
        <v/>
      </c>
      <c r="Y2361" s="35" t="str">
        <f aca="false">IF($G2361="","",$V2361*(N($M2361)*1+N($N2361)*0.75+N($O2361)*0.5+N($P2361)*0.25)+$W2361*N($L2361))</f>
        <v/>
      </c>
      <c r="Z2361" s="35" t="str">
        <f aca="false">IF($G2361="","",$U2361*1000000+ROW())</f>
        <v/>
      </c>
      <c r="AA2361" s="36" t="str">
        <f aca="false">IF($G2361="","",MID(IF($C2361="",", no division","")&amp;IF($E2361="",", no unit","")&amp;IF($H2361="",", no career level","")&amp;IF(N($L2361)&lt;=0,", no quarter split","")&amp;IF($R2361="",", no driver","")&amp;IF(AND($H2361&lt;&gt;"",COUNTIF(CareerLevels,$H2361)=0),", a career level that is not on the ladder","")&amp;IF(AND($R2361&lt;&gt;"",COUNTIF(DriverList,$R2361)=0),", a driver that is not on the list","")&amp;IF(ABS(N($L2361)-(N($M2361)+N($N2361)+N($O2361)+N($P2361)))&gt;0.001,", a total that does not match its quarters",""),3,300))</f>
        <v/>
      </c>
    </row>
    <row r="2362" customFormat="false" ht="15" hidden="false" customHeight="false" outlineLevel="0" collapsed="false">
      <c r="A2362" s="33" t="str">
        <f aca="false">IF($G2362="","","Treasury &amp; Investments Group")</f>
        <v/>
      </c>
      <c r="B2362" s="19"/>
      <c r="C2362" s="19"/>
      <c r="D2362" s="19"/>
      <c r="E2362" s="19"/>
      <c r="F2362" s="19"/>
      <c r="G2362" s="19"/>
      <c r="H2362" s="19"/>
      <c r="I2362" s="19"/>
      <c r="J2362" s="19"/>
      <c r="K2362" s="19"/>
      <c r="L2362" s="19"/>
      <c r="M2362" s="19"/>
      <c r="N2362" s="19"/>
      <c r="O2362" s="19"/>
      <c r="P2362" s="19"/>
      <c r="Q2362" s="19"/>
      <c r="R2362" s="19"/>
      <c r="S2362" s="19"/>
      <c r="T2362" s="34" t="str">
        <f aca="false">IF($R2362="","",IFERROR(INDEX(DriverCategory,MATCH($R2362,DriverList,0)),"BAU"))</f>
        <v/>
      </c>
      <c r="U2362" s="34" t="str">
        <f aca="false">IF($R2362="","",IFERROR(INDEX(DriverRank,MATCH($R2362,DriverList,0)),99))</f>
        <v/>
      </c>
      <c r="V2362" s="35" t="n">
        <f aca="false">IF($H2362="",0,IFERROR(INDEX(LevelBasic,MATCH($H2362,LevelList,0))+INDEX(LevelHousing,MATCH($H2362,LevelList,0))+INDEX(LevelTransport,MATCH($H2362,LevelList,0))+INDEX(LevelBasic,MATCH($H2362,LevelList,0))*INDEX(LevelBonus,MATCH($H2362,LevelList,0))+(INDEX(LevelBasic,MATCH($H2362,LevelList,0))+INDEX(LevelHousing,MATCH($H2362,LevelList,0)))*GosiSaudi,0))</f>
        <v>0</v>
      </c>
      <c r="W2362" s="35" t="n">
        <f aca="false">IFERROR(INDEX(LevelOneOff,MATCH($H2362,LevelList,0)),0)</f>
        <v>0</v>
      </c>
      <c r="X2362" s="35" t="str">
        <f aca="false">IF($G2362="","",$V2362*N($L2362))</f>
        <v/>
      </c>
      <c r="Y2362" s="35" t="str">
        <f aca="false">IF($G2362="","",$V2362*(N($M2362)*1+N($N2362)*0.75+N($O2362)*0.5+N($P2362)*0.25)+$W2362*N($L2362))</f>
        <v/>
      </c>
      <c r="Z2362" s="35" t="str">
        <f aca="false">IF($G2362="","",$U2362*1000000+ROW())</f>
        <v/>
      </c>
      <c r="AA2362" s="36" t="str">
        <f aca="false">IF($G2362="","",MID(IF($C2362="",", no division","")&amp;IF($E2362="",", no unit","")&amp;IF($H2362="",", no career level","")&amp;IF(N($L2362)&lt;=0,", no quarter split","")&amp;IF($R2362="",", no driver","")&amp;IF(AND($H2362&lt;&gt;"",COUNTIF(CareerLevels,$H2362)=0),", a career level that is not on the ladder","")&amp;IF(AND($R2362&lt;&gt;"",COUNTIF(DriverList,$R2362)=0),", a driver that is not on the list","")&amp;IF(ABS(N($L2362)-(N($M2362)+N($N2362)+N($O2362)+N($P2362)))&gt;0.001,", a total that does not match its quarters",""),3,300))</f>
        <v/>
      </c>
    </row>
    <row r="2363" customFormat="false" ht="15" hidden="false" customHeight="false" outlineLevel="0" collapsed="false">
      <c r="A2363" s="33" t="str">
        <f aca="false">IF($G2363="","","Treasury &amp; Investments Group")</f>
        <v/>
      </c>
      <c r="B2363" s="19"/>
      <c r="C2363" s="19"/>
      <c r="D2363" s="19"/>
      <c r="E2363" s="19"/>
      <c r="F2363" s="19"/>
      <c r="G2363" s="19"/>
      <c r="H2363" s="19"/>
      <c r="I2363" s="19"/>
      <c r="J2363" s="19"/>
      <c r="K2363" s="19"/>
      <c r="L2363" s="19"/>
      <c r="M2363" s="19"/>
      <c r="N2363" s="19"/>
      <c r="O2363" s="19"/>
      <c r="P2363" s="19"/>
      <c r="Q2363" s="19"/>
      <c r="R2363" s="19"/>
      <c r="S2363" s="19"/>
      <c r="T2363" s="34" t="str">
        <f aca="false">IF($R2363="","",IFERROR(INDEX(DriverCategory,MATCH($R2363,DriverList,0)),"BAU"))</f>
        <v/>
      </c>
      <c r="U2363" s="34" t="str">
        <f aca="false">IF($R2363="","",IFERROR(INDEX(DriverRank,MATCH($R2363,DriverList,0)),99))</f>
        <v/>
      </c>
      <c r="V2363" s="35" t="n">
        <f aca="false">IF($H2363="",0,IFERROR(INDEX(LevelBasic,MATCH($H2363,LevelList,0))+INDEX(LevelHousing,MATCH($H2363,LevelList,0))+INDEX(LevelTransport,MATCH($H2363,LevelList,0))+INDEX(LevelBasic,MATCH($H2363,LevelList,0))*INDEX(LevelBonus,MATCH($H2363,LevelList,0))+(INDEX(LevelBasic,MATCH($H2363,LevelList,0))+INDEX(LevelHousing,MATCH($H2363,LevelList,0)))*GosiSaudi,0))</f>
        <v>0</v>
      </c>
      <c r="W2363" s="35" t="n">
        <f aca="false">IFERROR(INDEX(LevelOneOff,MATCH($H2363,LevelList,0)),0)</f>
        <v>0</v>
      </c>
      <c r="X2363" s="35" t="str">
        <f aca="false">IF($G2363="","",$V2363*N($L2363))</f>
        <v/>
      </c>
      <c r="Y2363" s="35" t="str">
        <f aca="false">IF($G2363="","",$V2363*(N($M2363)*1+N($N2363)*0.75+N($O2363)*0.5+N($P2363)*0.25)+$W2363*N($L2363))</f>
        <v/>
      </c>
      <c r="Z2363" s="35" t="str">
        <f aca="false">IF($G2363="","",$U2363*1000000+ROW())</f>
        <v/>
      </c>
      <c r="AA2363" s="36" t="str">
        <f aca="false">IF($G2363="","",MID(IF($C2363="",", no division","")&amp;IF($E2363="",", no unit","")&amp;IF($H2363="",", no career level","")&amp;IF(N($L2363)&lt;=0,", no quarter split","")&amp;IF($R2363="",", no driver","")&amp;IF(AND($H2363&lt;&gt;"",COUNTIF(CareerLevels,$H2363)=0),", a career level that is not on the ladder","")&amp;IF(AND($R2363&lt;&gt;"",COUNTIF(DriverList,$R2363)=0),", a driver that is not on the list","")&amp;IF(ABS(N($L2363)-(N($M2363)+N($N2363)+N($O2363)+N($P2363)))&gt;0.001,", a total that does not match its quarters",""),3,300))</f>
        <v/>
      </c>
    </row>
    <row r="2364" customFormat="false" ht="15" hidden="false" customHeight="false" outlineLevel="0" collapsed="false">
      <c r="A2364" s="33" t="str">
        <f aca="false">IF($G2364="","","Treasury &amp; Investments Group")</f>
        <v/>
      </c>
      <c r="B2364" s="19"/>
      <c r="C2364" s="19"/>
      <c r="D2364" s="19"/>
      <c r="E2364" s="19"/>
      <c r="F2364" s="19"/>
      <c r="G2364" s="19"/>
      <c r="H2364" s="19"/>
      <c r="I2364" s="19"/>
      <c r="J2364" s="19"/>
      <c r="K2364" s="19"/>
      <c r="L2364" s="19"/>
      <c r="M2364" s="19"/>
      <c r="N2364" s="19"/>
      <c r="O2364" s="19"/>
      <c r="P2364" s="19"/>
      <c r="Q2364" s="19"/>
      <c r="R2364" s="19"/>
      <c r="S2364" s="19"/>
      <c r="T2364" s="34" t="str">
        <f aca="false">IF($R2364="","",IFERROR(INDEX(DriverCategory,MATCH($R2364,DriverList,0)),"BAU"))</f>
        <v/>
      </c>
      <c r="U2364" s="34" t="str">
        <f aca="false">IF($R2364="","",IFERROR(INDEX(DriverRank,MATCH($R2364,DriverList,0)),99))</f>
        <v/>
      </c>
      <c r="V2364" s="35" t="n">
        <f aca="false">IF($H2364="",0,IFERROR(INDEX(LevelBasic,MATCH($H2364,LevelList,0))+INDEX(LevelHousing,MATCH($H2364,LevelList,0))+INDEX(LevelTransport,MATCH($H2364,LevelList,0))+INDEX(LevelBasic,MATCH($H2364,LevelList,0))*INDEX(LevelBonus,MATCH($H2364,LevelList,0))+(INDEX(LevelBasic,MATCH($H2364,LevelList,0))+INDEX(LevelHousing,MATCH($H2364,LevelList,0)))*GosiSaudi,0))</f>
        <v>0</v>
      </c>
      <c r="W2364" s="35" t="n">
        <f aca="false">IFERROR(INDEX(LevelOneOff,MATCH($H2364,LevelList,0)),0)</f>
        <v>0</v>
      </c>
      <c r="X2364" s="35" t="str">
        <f aca="false">IF($G2364="","",$V2364*N($L2364))</f>
        <v/>
      </c>
      <c r="Y2364" s="35" t="str">
        <f aca="false">IF($G2364="","",$V2364*(N($M2364)*1+N($N2364)*0.75+N($O2364)*0.5+N($P2364)*0.25)+$W2364*N($L2364))</f>
        <v/>
      </c>
      <c r="Z2364" s="35" t="str">
        <f aca="false">IF($G2364="","",$U2364*1000000+ROW())</f>
        <v/>
      </c>
      <c r="AA2364" s="36" t="str">
        <f aca="false">IF($G2364="","",MID(IF($C2364="",", no division","")&amp;IF($E2364="",", no unit","")&amp;IF($H2364="",", no career level","")&amp;IF(N($L2364)&lt;=0,", no quarter split","")&amp;IF($R2364="",", no driver","")&amp;IF(AND($H2364&lt;&gt;"",COUNTIF(CareerLevels,$H2364)=0),", a career level that is not on the ladder","")&amp;IF(AND($R2364&lt;&gt;"",COUNTIF(DriverList,$R2364)=0),", a driver that is not on the list","")&amp;IF(ABS(N($L2364)-(N($M2364)+N($N2364)+N($O2364)+N($P2364)))&gt;0.001,", a total that does not match its quarters",""),3,300))</f>
        <v/>
      </c>
    </row>
    <row r="2365" customFormat="false" ht="15" hidden="false" customHeight="false" outlineLevel="0" collapsed="false">
      <c r="A2365" s="33" t="str">
        <f aca="false">IF($G2365="","","Treasury &amp; Investments Group")</f>
        <v/>
      </c>
      <c r="B2365" s="19"/>
      <c r="C2365" s="19"/>
      <c r="D2365" s="19"/>
      <c r="E2365" s="19"/>
      <c r="F2365" s="19"/>
      <c r="G2365" s="19"/>
      <c r="H2365" s="19"/>
      <c r="I2365" s="19"/>
      <c r="J2365" s="19"/>
      <c r="K2365" s="19"/>
      <c r="L2365" s="19"/>
      <c r="M2365" s="19"/>
      <c r="N2365" s="19"/>
      <c r="O2365" s="19"/>
      <c r="P2365" s="19"/>
      <c r="Q2365" s="19"/>
      <c r="R2365" s="19"/>
      <c r="S2365" s="19"/>
      <c r="T2365" s="34" t="str">
        <f aca="false">IF($R2365="","",IFERROR(INDEX(DriverCategory,MATCH($R2365,DriverList,0)),"BAU"))</f>
        <v/>
      </c>
      <c r="U2365" s="34" t="str">
        <f aca="false">IF($R2365="","",IFERROR(INDEX(DriverRank,MATCH($R2365,DriverList,0)),99))</f>
        <v/>
      </c>
      <c r="V2365" s="35" t="n">
        <f aca="false">IF($H2365="",0,IFERROR(INDEX(LevelBasic,MATCH($H2365,LevelList,0))+INDEX(LevelHousing,MATCH($H2365,LevelList,0))+INDEX(LevelTransport,MATCH($H2365,LevelList,0))+INDEX(LevelBasic,MATCH($H2365,LevelList,0))*INDEX(LevelBonus,MATCH($H2365,LevelList,0))+(INDEX(LevelBasic,MATCH($H2365,LevelList,0))+INDEX(LevelHousing,MATCH($H2365,LevelList,0)))*GosiSaudi,0))</f>
        <v>0</v>
      </c>
      <c r="W2365" s="35" t="n">
        <f aca="false">IFERROR(INDEX(LevelOneOff,MATCH($H2365,LevelList,0)),0)</f>
        <v>0</v>
      </c>
      <c r="X2365" s="35" t="str">
        <f aca="false">IF($G2365="","",$V2365*N($L2365))</f>
        <v/>
      </c>
      <c r="Y2365" s="35" t="str">
        <f aca="false">IF($G2365="","",$V2365*(N($M2365)*1+N($N2365)*0.75+N($O2365)*0.5+N($P2365)*0.25)+$W2365*N($L2365))</f>
        <v/>
      </c>
      <c r="Z2365" s="35" t="str">
        <f aca="false">IF($G2365="","",$U2365*1000000+ROW())</f>
        <v/>
      </c>
      <c r="AA2365" s="36" t="str">
        <f aca="false">IF($G2365="","",MID(IF($C2365="",", no division","")&amp;IF($E2365="",", no unit","")&amp;IF($H2365="",", no career level","")&amp;IF(N($L2365)&lt;=0,", no quarter split","")&amp;IF($R2365="",", no driver","")&amp;IF(AND($H2365&lt;&gt;"",COUNTIF(CareerLevels,$H2365)=0),", a career level that is not on the ladder","")&amp;IF(AND($R2365&lt;&gt;"",COUNTIF(DriverList,$R2365)=0),", a driver that is not on the list","")&amp;IF(ABS(N($L2365)-(N($M2365)+N($N2365)+N($O2365)+N($P2365)))&gt;0.001,", a total that does not match its quarters",""),3,300))</f>
        <v/>
      </c>
    </row>
    <row r="2366" customFormat="false" ht="15" hidden="false" customHeight="false" outlineLevel="0" collapsed="false">
      <c r="A2366" s="33" t="str">
        <f aca="false">IF($G2366="","","Treasury &amp; Investments Group")</f>
        <v/>
      </c>
      <c r="B2366" s="19"/>
      <c r="C2366" s="19"/>
      <c r="D2366" s="19"/>
      <c r="E2366" s="19"/>
      <c r="F2366" s="19"/>
      <c r="G2366" s="19"/>
      <c r="H2366" s="19"/>
      <c r="I2366" s="19"/>
      <c r="J2366" s="19"/>
      <c r="K2366" s="19"/>
      <c r="L2366" s="19"/>
      <c r="M2366" s="19"/>
      <c r="N2366" s="19"/>
      <c r="O2366" s="19"/>
      <c r="P2366" s="19"/>
      <c r="Q2366" s="19"/>
      <c r="R2366" s="19"/>
      <c r="S2366" s="19"/>
      <c r="T2366" s="34" t="str">
        <f aca="false">IF($R2366="","",IFERROR(INDEX(DriverCategory,MATCH($R2366,DriverList,0)),"BAU"))</f>
        <v/>
      </c>
      <c r="U2366" s="34" t="str">
        <f aca="false">IF($R2366="","",IFERROR(INDEX(DriverRank,MATCH($R2366,DriverList,0)),99))</f>
        <v/>
      </c>
      <c r="V2366" s="35" t="n">
        <f aca="false">IF($H2366="",0,IFERROR(INDEX(LevelBasic,MATCH($H2366,LevelList,0))+INDEX(LevelHousing,MATCH($H2366,LevelList,0))+INDEX(LevelTransport,MATCH($H2366,LevelList,0))+INDEX(LevelBasic,MATCH($H2366,LevelList,0))*INDEX(LevelBonus,MATCH($H2366,LevelList,0))+(INDEX(LevelBasic,MATCH($H2366,LevelList,0))+INDEX(LevelHousing,MATCH($H2366,LevelList,0)))*GosiSaudi,0))</f>
        <v>0</v>
      </c>
      <c r="W2366" s="35" t="n">
        <f aca="false">IFERROR(INDEX(LevelOneOff,MATCH($H2366,LevelList,0)),0)</f>
        <v>0</v>
      </c>
      <c r="X2366" s="35" t="str">
        <f aca="false">IF($G2366="","",$V2366*N($L2366))</f>
        <v/>
      </c>
      <c r="Y2366" s="35" t="str">
        <f aca="false">IF($G2366="","",$V2366*(N($M2366)*1+N($N2366)*0.75+N($O2366)*0.5+N($P2366)*0.25)+$W2366*N($L2366))</f>
        <v/>
      </c>
      <c r="Z2366" s="35" t="str">
        <f aca="false">IF($G2366="","",$U2366*1000000+ROW())</f>
        <v/>
      </c>
      <c r="AA2366" s="36" t="str">
        <f aca="false">IF($G2366="","",MID(IF($C2366="",", no division","")&amp;IF($E2366="",", no unit","")&amp;IF($H2366="",", no career level","")&amp;IF(N($L2366)&lt;=0,", no quarter split","")&amp;IF($R2366="",", no driver","")&amp;IF(AND($H2366&lt;&gt;"",COUNTIF(CareerLevels,$H2366)=0),", a career level that is not on the ladder","")&amp;IF(AND($R2366&lt;&gt;"",COUNTIF(DriverList,$R2366)=0),", a driver that is not on the list","")&amp;IF(ABS(N($L2366)-(N($M2366)+N($N2366)+N($O2366)+N($P2366)))&gt;0.001,", a total that does not match its quarters",""),3,300))</f>
        <v/>
      </c>
    </row>
    <row r="2367" customFormat="false" ht="15" hidden="false" customHeight="false" outlineLevel="0" collapsed="false">
      <c r="A2367" s="33" t="str">
        <f aca="false">IF($G2367="","","Treasury &amp; Investments Group")</f>
        <v/>
      </c>
      <c r="B2367" s="19"/>
      <c r="C2367" s="19"/>
      <c r="D2367" s="19"/>
      <c r="E2367" s="19"/>
      <c r="F2367" s="19"/>
      <c r="G2367" s="19"/>
      <c r="H2367" s="19"/>
      <c r="I2367" s="19"/>
      <c r="J2367" s="19"/>
      <c r="K2367" s="19"/>
      <c r="L2367" s="19"/>
      <c r="M2367" s="19"/>
      <c r="N2367" s="19"/>
      <c r="O2367" s="19"/>
      <c r="P2367" s="19"/>
      <c r="Q2367" s="19"/>
      <c r="R2367" s="19"/>
      <c r="S2367" s="19"/>
      <c r="T2367" s="34" t="str">
        <f aca="false">IF($R2367="","",IFERROR(INDEX(DriverCategory,MATCH($R2367,DriverList,0)),"BAU"))</f>
        <v/>
      </c>
      <c r="U2367" s="34" t="str">
        <f aca="false">IF($R2367="","",IFERROR(INDEX(DriverRank,MATCH($R2367,DriverList,0)),99))</f>
        <v/>
      </c>
      <c r="V2367" s="35" t="n">
        <f aca="false">IF($H2367="",0,IFERROR(INDEX(LevelBasic,MATCH($H2367,LevelList,0))+INDEX(LevelHousing,MATCH($H2367,LevelList,0))+INDEX(LevelTransport,MATCH($H2367,LevelList,0))+INDEX(LevelBasic,MATCH($H2367,LevelList,0))*INDEX(LevelBonus,MATCH($H2367,LevelList,0))+(INDEX(LevelBasic,MATCH($H2367,LevelList,0))+INDEX(LevelHousing,MATCH($H2367,LevelList,0)))*GosiSaudi,0))</f>
        <v>0</v>
      </c>
      <c r="W2367" s="35" t="n">
        <f aca="false">IFERROR(INDEX(LevelOneOff,MATCH($H2367,LevelList,0)),0)</f>
        <v>0</v>
      </c>
      <c r="X2367" s="35" t="str">
        <f aca="false">IF($G2367="","",$V2367*N($L2367))</f>
        <v/>
      </c>
      <c r="Y2367" s="35" t="str">
        <f aca="false">IF($G2367="","",$V2367*(N($M2367)*1+N($N2367)*0.75+N($O2367)*0.5+N($P2367)*0.25)+$W2367*N($L2367))</f>
        <v/>
      </c>
      <c r="Z2367" s="35" t="str">
        <f aca="false">IF($G2367="","",$U2367*1000000+ROW())</f>
        <v/>
      </c>
      <c r="AA2367" s="36" t="str">
        <f aca="false">IF($G2367="","",MID(IF($C2367="",", no division","")&amp;IF($E2367="",", no unit","")&amp;IF($H2367="",", no career level","")&amp;IF(N($L2367)&lt;=0,", no quarter split","")&amp;IF($R2367="",", no driver","")&amp;IF(AND($H2367&lt;&gt;"",COUNTIF(CareerLevels,$H2367)=0),", a career level that is not on the ladder","")&amp;IF(AND($R2367&lt;&gt;"",COUNTIF(DriverList,$R2367)=0),", a driver that is not on the list","")&amp;IF(ABS(N($L2367)-(N($M2367)+N($N2367)+N($O2367)+N($P2367)))&gt;0.001,", a total that does not match its quarters",""),3,300))</f>
        <v/>
      </c>
    </row>
    <row r="2368" customFormat="false" ht="15" hidden="false" customHeight="false" outlineLevel="0" collapsed="false">
      <c r="A2368" s="33" t="str">
        <f aca="false">IF($G2368="","","Treasury &amp; Investments Group")</f>
        <v/>
      </c>
      <c r="B2368" s="19"/>
      <c r="C2368" s="19"/>
      <c r="D2368" s="19"/>
      <c r="E2368" s="19"/>
      <c r="F2368" s="19"/>
      <c r="G2368" s="19"/>
      <c r="H2368" s="19"/>
      <c r="I2368" s="19"/>
      <c r="J2368" s="19"/>
      <c r="K2368" s="19"/>
      <c r="L2368" s="19"/>
      <c r="M2368" s="19"/>
      <c r="N2368" s="19"/>
      <c r="O2368" s="19"/>
      <c r="P2368" s="19"/>
      <c r="Q2368" s="19"/>
      <c r="R2368" s="19"/>
      <c r="S2368" s="19"/>
      <c r="T2368" s="34" t="str">
        <f aca="false">IF($R2368="","",IFERROR(INDEX(DriverCategory,MATCH($R2368,DriverList,0)),"BAU"))</f>
        <v/>
      </c>
      <c r="U2368" s="34" t="str">
        <f aca="false">IF($R2368="","",IFERROR(INDEX(DriverRank,MATCH($R2368,DriverList,0)),99))</f>
        <v/>
      </c>
      <c r="V2368" s="35" t="n">
        <f aca="false">IF($H2368="",0,IFERROR(INDEX(LevelBasic,MATCH($H2368,LevelList,0))+INDEX(LevelHousing,MATCH($H2368,LevelList,0))+INDEX(LevelTransport,MATCH($H2368,LevelList,0))+INDEX(LevelBasic,MATCH($H2368,LevelList,0))*INDEX(LevelBonus,MATCH($H2368,LevelList,0))+(INDEX(LevelBasic,MATCH($H2368,LevelList,0))+INDEX(LevelHousing,MATCH($H2368,LevelList,0)))*GosiSaudi,0))</f>
        <v>0</v>
      </c>
      <c r="W2368" s="35" t="n">
        <f aca="false">IFERROR(INDEX(LevelOneOff,MATCH($H2368,LevelList,0)),0)</f>
        <v>0</v>
      </c>
      <c r="X2368" s="35" t="str">
        <f aca="false">IF($G2368="","",$V2368*N($L2368))</f>
        <v/>
      </c>
      <c r="Y2368" s="35" t="str">
        <f aca="false">IF($G2368="","",$V2368*(N($M2368)*1+N($N2368)*0.75+N($O2368)*0.5+N($P2368)*0.25)+$W2368*N($L2368))</f>
        <v/>
      </c>
      <c r="Z2368" s="35" t="str">
        <f aca="false">IF($G2368="","",$U2368*1000000+ROW())</f>
        <v/>
      </c>
      <c r="AA2368" s="36" t="str">
        <f aca="false">IF($G2368="","",MID(IF($C2368="",", no division","")&amp;IF($E2368="",", no unit","")&amp;IF($H2368="",", no career level","")&amp;IF(N($L2368)&lt;=0,", no quarter split","")&amp;IF($R2368="",", no driver","")&amp;IF(AND($H2368&lt;&gt;"",COUNTIF(CareerLevels,$H2368)=0),", a career level that is not on the ladder","")&amp;IF(AND($R2368&lt;&gt;"",COUNTIF(DriverList,$R2368)=0),", a driver that is not on the list","")&amp;IF(ABS(N($L2368)-(N($M2368)+N($N2368)+N($O2368)+N($P2368)))&gt;0.001,", a total that does not match its quarters",""),3,300))</f>
        <v/>
      </c>
    </row>
    <row r="2369" customFormat="false" ht="15" hidden="false" customHeight="false" outlineLevel="0" collapsed="false">
      <c r="A2369" s="33" t="str">
        <f aca="false">IF($G2369="","","Treasury &amp; Investments Group")</f>
        <v/>
      </c>
      <c r="B2369" s="19"/>
      <c r="C2369" s="19"/>
      <c r="D2369" s="19"/>
      <c r="E2369" s="19"/>
      <c r="F2369" s="19"/>
      <c r="G2369" s="19"/>
      <c r="H2369" s="19"/>
      <c r="I2369" s="19"/>
      <c r="J2369" s="19"/>
      <c r="K2369" s="19"/>
      <c r="L2369" s="19"/>
      <c r="M2369" s="19"/>
      <c r="N2369" s="19"/>
      <c r="O2369" s="19"/>
      <c r="P2369" s="19"/>
      <c r="Q2369" s="19"/>
      <c r="R2369" s="19"/>
      <c r="S2369" s="19"/>
      <c r="T2369" s="34" t="str">
        <f aca="false">IF($R2369="","",IFERROR(INDEX(DriverCategory,MATCH($R2369,DriverList,0)),"BAU"))</f>
        <v/>
      </c>
      <c r="U2369" s="34" t="str">
        <f aca="false">IF($R2369="","",IFERROR(INDEX(DriverRank,MATCH($R2369,DriverList,0)),99))</f>
        <v/>
      </c>
      <c r="V2369" s="35" t="n">
        <f aca="false">IF($H2369="",0,IFERROR(INDEX(LevelBasic,MATCH($H2369,LevelList,0))+INDEX(LevelHousing,MATCH($H2369,LevelList,0))+INDEX(LevelTransport,MATCH($H2369,LevelList,0))+INDEX(LevelBasic,MATCH($H2369,LevelList,0))*INDEX(LevelBonus,MATCH($H2369,LevelList,0))+(INDEX(LevelBasic,MATCH($H2369,LevelList,0))+INDEX(LevelHousing,MATCH($H2369,LevelList,0)))*GosiSaudi,0))</f>
        <v>0</v>
      </c>
      <c r="W2369" s="35" t="n">
        <f aca="false">IFERROR(INDEX(LevelOneOff,MATCH($H2369,LevelList,0)),0)</f>
        <v>0</v>
      </c>
      <c r="X2369" s="35" t="str">
        <f aca="false">IF($G2369="","",$V2369*N($L2369))</f>
        <v/>
      </c>
      <c r="Y2369" s="35" t="str">
        <f aca="false">IF($G2369="","",$V2369*(N($M2369)*1+N($N2369)*0.75+N($O2369)*0.5+N($P2369)*0.25)+$W2369*N($L2369))</f>
        <v/>
      </c>
      <c r="Z2369" s="35" t="str">
        <f aca="false">IF($G2369="","",$U2369*1000000+ROW())</f>
        <v/>
      </c>
      <c r="AA2369" s="36" t="str">
        <f aca="false">IF($G2369="","",MID(IF($C2369="",", no division","")&amp;IF($E2369="",", no unit","")&amp;IF($H2369="",", no career level","")&amp;IF(N($L2369)&lt;=0,", no quarter split","")&amp;IF($R2369="",", no driver","")&amp;IF(AND($H2369&lt;&gt;"",COUNTIF(CareerLevels,$H2369)=0),", a career level that is not on the ladder","")&amp;IF(AND($R2369&lt;&gt;"",COUNTIF(DriverList,$R2369)=0),", a driver that is not on the list","")&amp;IF(ABS(N($L2369)-(N($M2369)+N($N2369)+N($O2369)+N($P2369)))&gt;0.001,", a total that does not match its quarters",""),3,300))</f>
        <v/>
      </c>
    </row>
    <row r="2370" customFormat="false" ht="15" hidden="false" customHeight="false" outlineLevel="0" collapsed="false">
      <c r="A2370" s="33" t="str">
        <f aca="false">IF($G2370="","","Treasury &amp; Investments Group")</f>
        <v/>
      </c>
      <c r="B2370" s="19"/>
      <c r="C2370" s="19"/>
      <c r="D2370" s="19"/>
      <c r="E2370" s="19"/>
      <c r="F2370" s="19"/>
      <c r="G2370" s="19"/>
      <c r="H2370" s="19"/>
      <c r="I2370" s="19"/>
      <c r="J2370" s="19"/>
      <c r="K2370" s="19"/>
      <c r="L2370" s="19"/>
      <c r="M2370" s="19"/>
      <c r="N2370" s="19"/>
      <c r="O2370" s="19"/>
      <c r="P2370" s="19"/>
      <c r="Q2370" s="19"/>
      <c r="R2370" s="19"/>
      <c r="S2370" s="19"/>
      <c r="T2370" s="34" t="str">
        <f aca="false">IF($R2370="","",IFERROR(INDEX(DriverCategory,MATCH($R2370,DriverList,0)),"BAU"))</f>
        <v/>
      </c>
      <c r="U2370" s="34" t="str">
        <f aca="false">IF($R2370="","",IFERROR(INDEX(DriverRank,MATCH($R2370,DriverList,0)),99))</f>
        <v/>
      </c>
      <c r="V2370" s="35" t="n">
        <f aca="false">IF($H2370="",0,IFERROR(INDEX(LevelBasic,MATCH($H2370,LevelList,0))+INDEX(LevelHousing,MATCH($H2370,LevelList,0))+INDEX(LevelTransport,MATCH($H2370,LevelList,0))+INDEX(LevelBasic,MATCH($H2370,LevelList,0))*INDEX(LevelBonus,MATCH($H2370,LevelList,0))+(INDEX(LevelBasic,MATCH($H2370,LevelList,0))+INDEX(LevelHousing,MATCH($H2370,LevelList,0)))*GosiSaudi,0))</f>
        <v>0</v>
      </c>
      <c r="W2370" s="35" t="n">
        <f aca="false">IFERROR(INDEX(LevelOneOff,MATCH($H2370,LevelList,0)),0)</f>
        <v>0</v>
      </c>
      <c r="X2370" s="35" t="str">
        <f aca="false">IF($G2370="","",$V2370*N($L2370))</f>
        <v/>
      </c>
      <c r="Y2370" s="35" t="str">
        <f aca="false">IF($G2370="","",$V2370*(N($M2370)*1+N($N2370)*0.75+N($O2370)*0.5+N($P2370)*0.25)+$W2370*N($L2370))</f>
        <v/>
      </c>
      <c r="Z2370" s="35" t="str">
        <f aca="false">IF($G2370="","",$U2370*1000000+ROW())</f>
        <v/>
      </c>
      <c r="AA2370" s="36" t="str">
        <f aca="false">IF($G2370="","",MID(IF($C2370="",", no division","")&amp;IF($E2370="",", no unit","")&amp;IF($H2370="",", no career level","")&amp;IF(N($L2370)&lt;=0,", no quarter split","")&amp;IF($R2370="",", no driver","")&amp;IF(AND($H2370&lt;&gt;"",COUNTIF(CareerLevels,$H2370)=0),", a career level that is not on the ladder","")&amp;IF(AND($R2370&lt;&gt;"",COUNTIF(DriverList,$R2370)=0),", a driver that is not on the list","")&amp;IF(ABS(N($L2370)-(N($M2370)+N($N2370)+N($O2370)+N($P2370)))&gt;0.001,", a total that does not match its quarters",""),3,300))</f>
        <v/>
      </c>
    </row>
    <row r="2371" customFormat="false" ht="15" hidden="false" customHeight="false" outlineLevel="0" collapsed="false">
      <c r="A2371" s="33" t="str">
        <f aca="false">IF($G2371="","","Treasury &amp; Investments Group")</f>
        <v/>
      </c>
      <c r="B2371" s="19"/>
      <c r="C2371" s="19"/>
      <c r="D2371" s="19"/>
      <c r="E2371" s="19"/>
      <c r="F2371" s="19"/>
      <c r="G2371" s="19"/>
      <c r="H2371" s="19"/>
      <c r="I2371" s="19"/>
      <c r="J2371" s="19"/>
      <c r="K2371" s="19"/>
      <c r="L2371" s="19"/>
      <c r="M2371" s="19"/>
      <c r="N2371" s="19"/>
      <c r="O2371" s="19"/>
      <c r="P2371" s="19"/>
      <c r="Q2371" s="19"/>
      <c r="R2371" s="19"/>
      <c r="S2371" s="19"/>
      <c r="T2371" s="34" t="str">
        <f aca="false">IF($R2371="","",IFERROR(INDEX(DriverCategory,MATCH($R2371,DriverList,0)),"BAU"))</f>
        <v/>
      </c>
      <c r="U2371" s="34" t="str">
        <f aca="false">IF($R2371="","",IFERROR(INDEX(DriverRank,MATCH($R2371,DriverList,0)),99))</f>
        <v/>
      </c>
      <c r="V2371" s="35" t="n">
        <f aca="false">IF($H2371="",0,IFERROR(INDEX(LevelBasic,MATCH($H2371,LevelList,0))+INDEX(LevelHousing,MATCH($H2371,LevelList,0))+INDEX(LevelTransport,MATCH($H2371,LevelList,0))+INDEX(LevelBasic,MATCH($H2371,LevelList,0))*INDEX(LevelBonus,MATCH($H2371,LevelList,0))+(INDEX(LevelBasic,MATCH($H2371,LevelList,0))+INDEX(LevelHousing,MATCH($H2371,LevelList,0)))*GosiSaudi,0))</f>
        <v>0</v>
      </c>
      <c r="W2371" s="35" t="n">
        <f aca="false">IFERROR(INDEX(LevelOneOff,MATCH($H2371,LevelList,0)),0)</f>
        <v>0</v>
      </c>
      <c r="X2371" s="35" t="str">
        <f aca="false">IF($G2371="","",$V2371*N($L2371))</f>
        <v/>
      </c>
      <c r="Y2371" s="35" t="str">
        <f aca="false">IF($G2371="","",$V2371*(N($M2371)*1+N($N2371)*0.75+N($O2371)*0.5+N($P2371)*0.25)+$W2371*N($L2371))</f>
        <v/>
      </c>
      <c r="Z2371" s="35" t="str">
        <f aca="false">IF($G2371="","",$U2371*1000000+ROW())</f>
        <v/>
      </c>
      <c r="AA2371" s="36" t="str">
        <f aca="false">IF($G2371="","",MID(IF($C2371="",", no division","")&amp;IF($E2371="",", no unit","")&amp;IF($H2371="",", no career level","")&amp;IF(N($L2371)&lt;=0,", no quarter split","")&amp;IF($R2371="",", no driver","")&amp;IF(AND($H2371&lt;&gt;"",COUNTIF(CareerLevels,$H2371)=0),", a career level that is not on the ladder","")&amp;IF(AND($R2371&lt;&gt;"",COUNTIF(DriverList,$R2371)=0),", a driver that is not on the list","")&amp;IF(ABS(N($L2371)-(N($M2371)+N($N2371)+N($O2371)+N($P2371)))&gt;0.001,", a total that does not match its quarters",""),3,300))</f>
        <v/>
      </c>
    </row>
    <row r="2372" customFormat="false" ht="15" hidden="false" customHeight="false" outlineLevel="0" collapsed="false">
      <c r="A2372" s="33" t="str">
        <f aca="false">IF($G2372="","","Treasury &amp; Investments Group")</f>
        <v/>
      </c>
      <c r="B2372" s="19"/>
      <c r="C2372" s="19"/>
      <c r="D2372" s="19"/>
      <c r="E2372" s="19"/>
      <c r="F2372" s="19"/>
      <c r="G2372" s="19"/>
      <c r="H2372" s="19"/>
      <c r="I2372" s="19"/>
      <c r="J2372" s="19"/>
      <c r="K2372" s="19"/>
      <c r="L2372" s="19"/>
      <c r="M2372" s="19"/>
      <c r="N2372" s="19"/>
      <c r="O2372" s="19"/>
      <c r="P2372" s="19"/>
      <c r="Q2372" s="19"/>
      <c r="R2372" s="19"/>
      <c r="S2372" s="19"/>
      <c r="T2372" s="34" t="str">
        <f aca="false">IF($R2372="","",IFERROR(INDEX(DriverCategory,MATCH($R2372,DriverList,0)),"BAU"))</f>
        <v/>
      </c>
      <c r="U2372" s="34" t="str">
        <f aca="false">IF($R2372="","",IFERROR(INDEX(DriverRank,MATCH($R2372,DriverList,0)),99))</f>
        <v/>
      </c>
      <c r="V2372" s="35" t="n">
        <f aca="false">IF($H2372="",0,IFERROR(INDEX(LevelBasic,MATCH($H2372,LevelList,0))+INDEX(LevelHousing,MATCH($H2372,LevelList,0))+INDEX(LevelTransport,MATCH($H2372,LevelList,0))+INDEX(LevelBasic,MATCH($H2372,LevelList,0))*INDEX(LevelBonus,MATCH($H2372,LevelList,0))+(INDEX(LevelBasic,MATCH($H2372,LevelList,0))+INDEX(LevelHousing,MATCH($H2372,LevelList,0)))*GosiSaudi,0))</f>
        <v>0</v>
      </c>
      <c r="W2372" s="35" t="n">
        <f aca="false">IFERROR(INDEX(LevelOneOff,MATCH($H2372,LevelList,0)),0)</f>
        <v>0</v>
      </c>
      <c r="X2372" s="35" t="str">
        <f aca="false">IF($G2372="","",$V2372*N($L2372))</f>
        <v/>
      </c>
      <c r="Y2372" s="35" t="str">
        <f aca="false">IF($G2372="","",$V2372*(N($M2372)*1+N($N2372)*0.75+N($O2372)*0.5+N($P2372)*0.25)+$W2372*N($L2372))</f>
        <v/>
      </c>
      <c r="Z2372" s="35" t="str">
        <f aca="false">IF($G2372="","",$U2372*1000000+ROW())</f>
        <v/>
      </c>
      <c r="AA2372" s="36" t="str">
        <f aca="false">IF($G2372="","",MID(IF($C2372="",", no division","")&amp;IF($E2372="",", no unit","")&amp;IF($H2372="",", no career level","")&amp;IF(N($L2372)&lt;=0,", no quarter split","")&amp;IF($R2372="",", no driver","")&amp;IF(AND($H2372&lt;&gt;"",COUNTIF(CareerLevels,$H2372)=0),", a career level that is not on the ladder","")&amp;IF(AND($R2372&lt;&gt;"",COUNTIF(DriverList,$R2372)=0),", a driver that is not on the list","")&amp;IF(ABS(N($L2372)-(N($M2372)+N($N2372)+N($O2372)+N($P2372)))&gt;0.001,", a total that does not match its quarters",""),3,300))</f>
        <v/>
      </c>
    </row>
    <row r="2373" customFormat="false" ht="15" hidden="false" customHeight="false" outlineLevel="0" collapsed="false">
      <c r="A2373" s="33" t="str">
        <f aca="false">IF($G2373="","","Treasury &amp; Investments Group")</f>
        <v/>
      </c>
      <c r="B2373" s="19"/>
      <c r="C2373" s="19"/>
      <c r="D2373" s="19"/>
      <c r="E2373" s="19"/>
      <c r="F2373" s="19"/>
      <c r="G2373" s="19"/>
      <c r="H2373" s="19"/>
      <c r="I2373" s="19"/>
      <c r="J2373" s="19"/>
      <c r="K2373" s="19"/>
      <c r="L2373" s="19"/>
      <c r="M2373" s="19"/>
      <c r="N2373" s="19"/>
      <c r="O2373" s="19"/>
      <c r="P2373" s="19"/>
      <c r="Q2373" s="19"/>
      <c r="R2373" s="19"/>
      <c r="S2373" s="19"/>
      <c r="T2373" s="34" t="str">
        <f aca="false">IF($R2373="","",IFERROR(INDEX(DriverCategory,MATCH($R2373,DriverList,0)),"BAU"))</f>
        <v/>
      </c>
      <c r="U2373" s="34" t="str">
        <f aca="false">IF($R2373="","",IFERROR(INDEX(DriverRank,MATCH($R2373,DriverList,0)),99))</f>
        <v/>
      </c>
      <c r="V2373" s="35" t="n">
        <f aca="false">IF($H2373="",0,IFERROR(INDEX(LevelBasic,MATCH($H2373,LevelList,0))+INDEX(LevelHousing,MATCH($H2373,LevelList,0))+INDEX(LevelTransport,MATCH($H2373,LevelList,0))+INDEX(LevelBasic,MATCH($H2373,LevelList,0))*INDEX(LevelBonus,MATCH($H2373,LevelList,0))+(INDEX(LevelBasic,MATCH($H2373,LevelList,0))+INDEX(LevelHousing,MATCH($H2373,LevelList,0)))*GosiSaudi,0))</f>
        <v>0</v>
      </c>
      <c r="W2373" s="35" t="n">
        <f aca="false">IFERROR(INDEX(LevelOneOff,MATCH($H2373,LevelList,0)),0)</f>
        <v>0</v>
      </c>
      <c r="X2373" s="35" t="str">
        <f aca="false">IF($G2373="","",$V2373*N($L2373))</f>
        <v/>
      </c>
      <c r="Y2373" s="35" t="str">
        <f aca="false">IF($G2373="","",$V2373*(N($M2373)*1+N($N2373)*0.75+N($O2373)*0.5+N($P2373)*0.25)+$W2373*N($L2373))</f>
        <v/>
      </c>
      <c r="Z2373" s="35" t="str">
        <f aca="false">IF($G2373="","",$U2373*1000000+ROW())</f>
        <v/>
      </c>
      <c r="AA2373" s="36" t="str">
        <f aca="false">IF($G2373="","",MID(IF($C2373="",", no division","")&amp;IF($E2373="",", no unit","")&amp;IF($H2373="",", no career level","")&amp;IF(N($L2373)&lt;=0,", no quarter split","")&amp;IF($R2373="",", no driver","")&amp;IF(AND($H2373&lt;&gt;"",COUNTIF(CareerLevels,$H2373)=0),", a career level that is not on the ladder","")&amp;IF(AND($R2373&lt;&gt;"",COUNTIF(DriverList,$R2373)=0),", a driver that is not on the list","")&amp;IF(ABS(N($L2373)-(N($M2373)+N($N2373)+N($O2373)+N($P2373)))&gt;0.001,", a total that does not match its quarters",""),3,300))</f>
        <v/>
      </c>
    </row>
    <row r="2374" customFormat="false" ht="15" hidden="false" customHeight="false" outlineLevel="0" collapsed="false">
      <c r="A2374" s="33" t="str">
        <f aca="false">IF($G2374="","","Treasury &amp; Investments Group")</f>
        <v/>
      </c>
      <c r="B2374" s="19"/>
      <c r="C2374" s="19"/>
      <c r="D2374" s="19"/>
      <c r="E2374" s="19"/>
      <c r="F2374" s="19"/>
      <c r="G2374" s="19"/>
      <c r="H2374" s="19"/>
      <c r="I2374" s="19"/>
      <c r="J2374" s="19"/>
      <c r="K2374" s="19"/>
      <c r="L2374" s="19"/>
      <c r="M2374" s="19"/>
      <c r="N2374" s="19"/>
      <c r="O2374" s="19"/>
      <c r="P2374" s="19"/>
      <c r="Q2374" s="19"/>
      <c r="R2374" s="19"/>
      <c r="S2374" s="19"/>
      <c r="T2374" s="34" t="str">
        <f aca="false">IF($R2374="","",IFERROR(INDEX(DriverCategory,MATCH($R2374,DriverList,0)),"BAU"))</f>
        <v/>
      </c>
      <c r="U2374" s="34" t="str">
        <f aca="false">IF($R2374="","",IFERROR(INDEX(DriverRank,MATCH($R2374,DriverList,0)),99))</f>
        <v/>
      </c>
      <c r="V2374" s="35" t="n">
        <f aca="false">IF($H2374="",0,IFERROR(INDEX(LevelBasic,MATCH($H2374,LevelList,0))+INDEX(LevelHousing,MATCH($H2374,LevelList,0))+INDEX(LevelTransport,MATCH($H2374,LevelList,0))+INDEX(LevelBasic,MATCH($H2374,LevelList,0))*INDEX(LevelBonus,MATCH($H2374,LevelList,0))+(INDEX(LevelBasic,MATCH($H2374,LevelList,0))+INDEX(LevelHousing,MATCH($H2374,LevelList,0)))*GosiSaudi,0))</f>
        <v>0</v>
      </c>
      <c r="W2374" s="35" t="n">
        <f aca="false">IFERROR(INDEX(LevelOneOff,MATCH($H2374,LevelList,0)),0)</f>
        <v>0</v>
      </c>
      <c r="X2374" s="35" t="str">
        <f aca="false">IF($G2374="","",$V2374*N($L2374))</f>
        <v/>
      </c>
      <c r="Y2374" s="35" t="str">
        <f aca="false">IF($G2374="","",$V2374*(N($M2374)*1+N($N2374)*0.75+N($O2374)*0.5+N($P2374)*0.25)+$W2374*N($L2374))</f>
        <v/>
      </c>
      <c r="Z2374" s="35" t="str">
        <f aca="false">IF($G2374="","",$U2374*1000000+ROW())</f>
        <v/>
      </c>
      <c r="AA2374" s="36" t="str">
        <f aca="false">IF($G2374="","",MID(IF($C2374="",", no division","")&amp;IF($E2374="",", no unit","")&amp;IF($H2374="",", no career level","")&amp;IF(N($L2374)&lt;=0,", no quarter split","")&amp;IF($R2374="",", no driver","")&amp;IF(AND($H2374&lt;&gt;"",COUNTIF(CareerLevels,$H2374)=0),", a career level that is not on the ladder","")&amp;IF(AND($R2374&lt;&gt;"",COUNTIF(DriverList,$R2374)=0),", a driver that is not on the list","")&amp;IF(ABS(N($L2374)-(N($M2374)+N($N2374)+N($O2374)+N($P2374)))&gt;0.001,", a total that does not match its quarters",""),3,300))</f>
        <v/>
      </c>
    </row>
    <row r="2375" customFormat="false" ht="15" hidden="false" customHeight="false" outlineLevel="0" collapsed="false">
      <c r="A2375" s="33" t="str">
        <f aca="false">IF($G2375="","","Treasury &amp; Investments Group")</f>
        <v/>
      </c>
      <c r="B2375" s="19"/>
      <c r="C2375" s="19"/>
      <c r="D2375" s="19"/>
      <c r="E2375" s="19"/>
      <c r="F2375" s="19"/>
      <c r="G2375" s="19"/>
      <c r="H2375" s="19"/>
      <c r="I2375" s="19"/>
      <c r="J2375" s="19"/>
      <c r="K2375" s="19"/>
      <c r="L2375" s="19"/>
      <c r="M2375" s="19"/>
      <c r="N2375" s="19"/>
      <c r="O2375" s="19"/>
      <c r="P2375" s="19"/>
      <c r="Q2375" s="19"/>
      <c r="R2375" s="19"/>
      <c r="S2375" s="19"/>
      <c r="T2375" s="34" t="str">
        <f aca="false">IF($R2375="","",IFERROR(INDEX(DriverCategory,MATCH($R2375,DriverList,0)),"BAU"))</f>
        <v/>
      </c>
      <c r="U2375" s="34" t="str">
        <f aca="false">IF($R2375="","",IFERROR(INDEX(DriverRank,MATCH($R2375,DriverList,0)),99))</f>
        <v/>
      </c>
      <c r="V2375" s="35" t="n">
        <f aca="false">IF($H2375="",0,IFERROR(INDEX(LevelBasic,MATCH($H2375,LevelList,0))+INDEX(LevelHousing,MATCH($H2375,LevelList,0))+INDEX(LevelTransport,MATCH($H2375,LevelList,0))+INDEX(LevelBasic,MATCH($H2375,LevelList,0))*INDEX(LevelBonus,MATCH($H2375,LevelList,0))+(INDEX(LevelBasic,MATCH($H2375,LevelList,0))+INDEX(LevelHousing,MATCH($H2375,LevelList,0)))*GosiSaudi,0))</f>
        <v>0</v>
      </c>
      <c r="W2375" s="35" t="n">
        <f aca="false">IFERROR(INDEX(LevelOneOff,MATCH($H2375,LevelList,0)),0)</f>
        <v>0</v>
      </c>
      <c r="X2375" s="35" t="str">
        <f aca="false">IF($G2375="","",$V2375*N($L2375))</f>
        <v/>
      </c>
      <c r="Y2375" s="35" t="str">
        <f aca="false">IF($G2375="","",$V2375*(N($M2375)*1+N($N2375)*0.75+N($O2375)*0.5+N($P2375)*0.25)+$W2375*N($L2375))</f>
        <v/>
      </c>
      <c r="Z2375" s="35" t="str">
        <f aca="false">IF($G2375="","",$U2375*1000000+ROW())</f>
        <v/>
      </c>
      <c r="AA2375" s="36" t="str">
        <f aca="false">IF($G2375="","",MID(IF($C2375="",", no division","")&amp;IF($E2375="",", no unit","")&amp;IF($H2375="",", no career level","")&amp;IF(N($L2375)&lt;=0,", no quarter split","")&amp;IF($R2375="",", no driver","")&amp;IF(AND($H2375&lt;&gt;"",COUNTIF(CareerLevels,$H2375)=0),", a career level that is not on the ladder","")&amp;IF(AND($R2375&lt;&gt;"",COUNTIF(DriverList,$R2375)=0),", a driver that is not on the list","")&amp;IF(ABS(N($L2375)-(N($M2375)+N($N2375)+N($O2375)+N($P2375)))&gt;0.001,", a total that does not match its quarters",""),3,300))</f>
        <v/>
      </c>
    </row>
    <row r="2376" customFormat="false" ht="15" hidden="false" customHeight="false" outlineLevel="0" collapsed="false">
      <c r="A2376" s="33" t="str">
        <f aca="false">IF($G2376="","","Treasury &amp; Investments Group")</f>
        <v/>
      </c>
      <c r="B2376" s="19"/>
      <c r="C2376" s="19"/>
      <c r="D2376" s="19"/>
      <c r="E2376" s="19"/>
      <c r="F2376" s="19"/>
      <c r="G2376" s="19"/>
      <c r="H2376" s="19"/>
      <c r="I2376" s="19"/>
      <c r="J2376" s="19"/>
      <c r="K2376" s="19"/>
      <c r="L2376" s="19"/>
      <c r="M2376" s="19"/>
      <c r="N2376" s="19"/>
      <c r="O2376" s="19"/>
      <c r="P2376" s="19"/>
      <c r="Q2376" s="19"/>
      <c r="R2376" s="19"/>
      <c r="S2376" s="19"/>
      <c r="T2376" s="34" t="str">
        <f aca="false">IF($R2376="","",IFERROR(INDEX(DriverCategory,MATCH($R2376,DriverList,0)),"BAU"))</f>
        <v/>
      </c>
      <c r="U2376" s="34" t="str">
        <f aca="false">IF($R2376="","",IFERROR(INDEX(DriverRank,MATCH($R2376,DriverList,0)),99))</f>
        <v/>
      </c>
      <c r="V2376" s="35" t="n">
        <f aca="false">IF($H2376="",0,IFERROR(INDEX(LevelBasic,MATCH($H2376,LevelList,0))+INDEX(LevelHousing,MATCH($H2376,LevelList,0))+INDEX(LevelTransport,MATCH($H2376,LevelList,0))+INDEX(LevelBasic,MATCH($H2376,LevelList,0))*INDEX(LevelBonus,MATCH($H2376,LevelList,0))+(INDEX(LevelBasic,MATCH($H2376,LevelList,0))+INDEX(LevelHousing,MATCH($H2376,LevelList,0)))*GosiSaudi,0))</f>
        <v>0</v>
      </c>
      <c r="W2376" s="35" t="n">
        <f aca="false">IFERROR(INDEX(LevelOneOff,MATCH($H2376,LevelList,0)),0)</f>
        <v>0</v>
      </c>
      <c r="X2376" s="35" t="str">
        <f aca="false">IF($G2376="","",$V2376*N($L2376))</f>
        <v/>
      </c>
      <c r="Y2376" s="35" t="str">
        <f aca="false">IF($G2376="","",$V2376*(N($M2376)*1+N($N2376)*0.75+N($O2376)*0.5+N($P2376)*0.25)+$W2376*N($L2376))</f>
        <v/>
      </c>
      <c r="Z2376" s="35" t="str">
        <f aca="false">IF($G2376="","",$U2376*1000000+ROW())</f>
        <v/>
      </c>
      <c r="AA2376" s="36" t="str">
        <f aca="false">IF($G2376="","",MID(IF($C2376="",", no division","")&amp;IF($E2376="",", no unit","")&amp;IF($H2376="",", no career level","")&amp;IF(N($L2376)&lt;=0,", no quarter split","")&amp;IF($R2376="",", no driver","")&amp;IF(AND($H2376&lt;&gt;"",COUNTIF(CareerLevels,$H2376)=0),", a career level that is not on the ladder","")&amp;IF(AND($R2376&lt;&gt;"",COUNTIF(DriverList,$R2376)=0),", a driver that is not on the list","")&amp;IF(ABS(N($L2376)-(N($M2376)+N($N2376)+N($O2376)+N($P2376)))&gt;0.001,", a total that does not match its quarters",""),3,300))</f>
        <v/>
      </c>
    </row>
    <row r="2377" customFormat="false" ht="15" hidden="false" customHeight="false" outlineLevel="0" collapsed="false">
      <c r="A2377" s="33" t="str">
        <f aca="false">IF($G2377="","","Treasury &amp; Investments Group")</f>
        <v/>
      </c>
      <c r="B2377" s="19"/>
      <c r="C2377" s="19"/>
      <c r="D2377" s="19"/>
      <c r="E2377" s="19"/>
      <c r="F2377" s="19"/>
      <c r="G2377" s="19"/>
      <c r="H2377" s="19"/>
      <c r="I2377" s="19"/>
      <c r="J2377" s="19"/>
      <c r="K2377" s="19"/>
      <c r="L2377" s="19"/>
      <c r="M2377" s="19"/>
      <c r="N2377" s="19"/>
      <c r="O2377" s="19"/>
      <c r="P2377" s="19"/>
      <c r="Q2377" s="19"/>
      <c r="R2377" s="19"/>
      <c r="S2377" s="19"/>
      <c r="T2377" s="34" t="str">
        <f aca="false">IF($R2377="","",IFERROR(INDEX(DriverCategory,MATCH($R2377,DriverList,0)),"BAU"))</f>
        <v/>
      </c>
      <c r="U2377" s="34" t="str">
        <f aca="false">IF($R2377="","",IFERROR(INDEX(DriverRank,MATCH($R2377,DriverList,0)),99))</f>
        <v/>
      </c>
      <c r="V2377" s="35" t="n">
        <f aca="false">IF($H2377="",0,IFERROR(INDEX(LevelBasic,MATCH($H2377,LevelList,0))+INDEX(LevelHousing,MATCH($H2377,LevelList,0))+INDEX(LevelTransport,MATCH($H2377,LevelList,0))+INDEX(LevelBasic,MATCH($H2377,LevelList,0))*INDEX(LevelBonus,MATCH($H2377,LevelList,0))+(INDEX(LevelBasic,MATCH($H2377,LevelList,0))+INDEX(LevelHousing,MATCH($H2377,LevelList,0)))*GosiSaudi,0))</f>
        <v>0</v>
      </c>
      <c r="W2377" s="35" t="n">
        <f aca="false">IFERROR(INDEX(LevelOneOff,MATCH($H2377,LevelList,0)),0)</f>
        <v>0</v>
      </c>
      <c r="X2377" s="35" t="str">
        <f aca="false">IF($G2377="","",$V2377*N($L2377))</f>
        <v/>
      </c>
      <c r="Y2377" s="35" t="str">
        <f aca="false">IF($G2377="","",$V2377*(N($M2377)*1+N($N2377)*0.75+N($O2377)*0.5+N($P2377)*0.25)+$W2377*N($L2377))</f>
        <v/>
      </c>
      <c r="Z2377" s="35" t="str">
        <f aca="false">IF($G2377="","",$U2377*1000000+ROW())</f>
        <v/>
      </c>
      <c r="AA2377" s="36" t="str">
        <f aca="false">IF($G2377="","",MID(IF($C2377="",", no division","")&amp;IF($E2377="",", no unit","")&amp;IF($H2377="",", no career level","")&amp;IF(N($L2377)&lt;=0,", no quarter split","")&amp;IF($R2377="",", no driver","")&amp;IF(AND($H2377&lt;&gt;"",COUNTIF(CareerLevels,$H2377)=0),", a career level that is not on the ladder","")&amp;IF(AND($R2377&lt;&gt;"",COUNTIF(DriverList,$R2377)=0),", a driver that is not on the list","")&amp;IF(ABS(N($L2377)-(N($M2377)+N($N2377)+N($O2377)+N($P2377)))&gt;0.001,", a total that does not match its quarters",""),3,300))</f>
        <v/>
      </c>
    </row>
    <row r="2378" customFormat="false" ht="15" hidden="false" customHeight="false" outlineLevel="0" collapsed="false">
      <c r="A2378" s="33" t="str">
        <f aca="false">IF($G2378="","","Treasury &amp; Investments Group")</f>
        <v/>
      </c>
      <c r="B2378" s="19"/>
      <c r="C2378" s="19"/>
      <c r="D2378" s="19"/>
      <c r="E2378" s="19"/>
      <c r="F2378" s="19"/>
      <c r="G2378" s="19"/>
      <c r="H2378" s="19"/>
      <c r="I2378" s="19"/>
      <c r="J2378" s="19"/>
      <c r="K2378" s="19"/>
      <c r="L2378" s="19"/>
      <c r="M2378" s="19"/>
      <c r="N2378" s="19"/>
      <c r="O2378" s="19"/>
      <c r="P2378" s="19"/>
      <c r="Q2378" s="19"/>
      <c r="R2378" s="19"/>
      <c r="S2378" s="19"/>
      <c r="T2378" s="34" t="str">
        <f aca="false">IF($R2378="","",IFERROR(INDEX(DriverCategory,MATCH($R2378,DriverList,0)),"BAU"))</f>
        <v/>
      </c>
      <c r="U2378" s="34" t="str">
        <f aca="false">IF($R2378="","",IFERROR(INDEX(DriverRank,MATCH($R2378,DriverList,0)),99))</f>
        <v/>
      </c>
      <c r="V2378" s="35" t="n">
        <f aca="false">IF($H2378="",0,IFERROR(INDEX(LevelBasic,MATCH($H2378,LevelList,0))+INDEX(LevelHousing,MATCH($H2378,LevelList,0))+INDEX(LevelTransport,MATCH($H2378,LevelList,0))+INDEX(LevelBasic,MATCH($H2378,LevelList,0))*INDEX(LevelBonus,MATCH($H2378,LevelList,0))+(INDEX(LevelBasic,MATCH($H2378,LevelList,0))+INDEX(LevelHousing,MATCH($H2378,LevelList,0)))*GosiSaudi,0))</f>
        <v>0</v>
      </c>
      <c r="W2378" s="35" t="n">
        <f aca="false">IFERROR(INDEX(LevelOneOff,MATCH($H2378,LevelList,0)),0)</f>
        <v>0</v>
      </c>
      <c r="X2378" s="35" t="str">
        <f aca="false">IF($G2378="","",$V2378*N($L2378))</f>
        <v/>
      </c>
      <c r="Y2378" s="35" t="str">
        <f aca="false">IF($G2378="","",$V2378*(N($M2378)*1+N($N2378)*0.75+N($O2378)*0.5+N($P2378)*0.25)+$W2378*N($L2378))</f>
        <v/>
      </c>
      <c r="Z2378" s="35" t="str">
        <f aca="false">IF($G2378="","",$U2378*1000000+ROW())</f>
        <v/>
      </c>
      <c r="AA2378" s="36" t="str">
        <f aca="false">IF($G2378="","",MID(IF($C2378="",", no division","")&amp;IF($E2378="",", no unit","")&amp;IF($H2378="",", no career level","")&amp;IF(N($L2378)&lt;=0,", no quarter split","")&amp;IF($R2378="",", no driver","")&amp;IF(AND($H2378&lt;&gt;"",COUNTIF(CareerLevels,$H2378)=0),", a career level that is not on the ladder","")&amp;IF(AND($R2378&lt;&gt;"",COUNTIF(DriverList,$R2378)=0),", a driver that is not on the list","")&amp;IF(ABS(N($L2378)-(N($M2378)+N($N2378)+N($O2378)+N($P2378)))&gt;0.001,", a total that does not match its quarters",""),3,300))</f>
        <v/>
      </c>
    </row>
    <row r="2379" customFormat="false" ht="15" hidden="false" customHeight="false" outlineLevel="0" collapsed="false">
      <c r="A2379" s="33" t="str">
        <f aca="false">IF($G2379="","","Treasury &amp; Investments Group")</f>
        <v/>
      </c>
      <c r="B2379" s="19"/>
      <c r="C2379" s="19"/>
      <c r="D2379" s="19"/>
      <c r="E2379" s="19"/>
      <c r="F2379" s="19"/>
      <c r="G2379" s="19"/>
      <c r="H2379" s="19"/>
      <c r="I2379" s="19"/>
      <c r="J2379" s="19"/>
      <c r="K2379" s="19"/>
      <c r="L2379" s="19"/>
      <c r="M2379" s="19"/>
      <c r="N2379" s="19"/>
      <c r="O2379" s="19"/>
      <c r="P2379" s="19"/>
      <c r="Q2379" s="19"/>
      <c r="R2379" s="19"/>
      <c r="S2379" s="19"/>
      <c r="T2379" s="34" t="str">
        <f aca="false">IF($R2379="","",IFERROR(INDEX(DriverCategory,MATCH($R2379,DriverList,0)),"BAU"))</f>
        <v/>
      </c>
      <c r="U2379" s="34" t="str">
        <f aca="false">IF($R2379="","",IFERROR(INDEX(DriverRank,MATCH($R2379,DriverList,0)),99))</f>
        <v/>
      </c>
      <c r="V2379" s="35" t="n">
        <f aca="false">IF($H2379="",0,IFERROR(INDEX(LevelBasic,MATCH($H2379,LevelList,0))+INDEX(LevelHousing,MATCH($H2379,LevelList,0))+INDEX(LevelTransport,MATCH($H2379,LevelList,0))+INDEX(LevelBasic,MATCH($H2379,LevelList,0))*INDEX(LevelBonus,MATCH($H2379,LevelList,0))+(INDEX(LevelBasic,MATCH($H2379,LevelList,0))+INDEX(LevelHousing,MATCH($H2379,LevelList,0)))*GosiSaudi,0))</f>
        <v>0</v>
      </c>
      <c r="W2379" s="35" t="n">
        <f aca="false">IFERROR(INDEX(LevelOneOff,MATCH($H2379,LevelList,0)),0)</f>
        <v>0</v>
      </c>
      <c r="X2379" s="35" t="str">
        <f aca="false">IF($G2379="","",$V2379*N($L2379))</f>
        <v/>
      </c>
      <c r="Y2379" s="35" t="str">
        <f aca="false">IF($G2379="","",$V2379*(N($M2379)*1+N($N2379)*0.75+N($O2379)*0.5+N($P2379)*0.25)+$W2379*N($L2379))</f>
        <v/>
      </c>
      <c r="Z2379" s="35" t="str">
        <f aca="false">IF($G2379="","",$U2379*1000000+ROW())</f>
        <v/>
      </c>
      <c r="AA2379" s="36" t="str">
        <f aca="false">IF($G2379="","",MID(IF($C2379="",", no division","")&amp;IF($E2379="",", no unit","")&amp;IF($H2379="",", no career level","")&amp;IF(N($L2379)&lt;=0,", no quarter split","")&amp;IF($R2379="",", no driver","")&amp;IF(AND($H2379&lt;&gt;"",COUNTIF(CareerLevels,$H2379)=0),", a career level that is not on the ladder","")&amp;IF(AND($R2379&lt;&gt;"",COUNTIF(DriverList,$R2379)=0),", a driver that is not on the list","")&amp;IF(ABS(N($L2379)-(N($M2379)+N($N2379)+N($O2379)+N($P2379)))&gt;0.001,", a total that does not match its quarters",""),3,300))</f>
        <v/>
      </c>
    </row>
    <row r="2380" customFormat="false" ht="15" hidden="false" customHeight="false" outlineLevel="0" collapsed="false">
      <c r="A2380" s="33" t="str">
        <f aca="false">IF($G2380="","","Treasury &amp; Investments Group")</f>
        <v/>
      </c>
      <c r="B2380" s="19"/>
      <c r="C2380" s="19"/>
      <c r="D2380" s="19"/>
      <c r="E2380" s="19"/>
      <c r="F2380" s="19"/>
      <c r="G2380" s="19"/>
      <c r="H2380" s="19"/>
      <c r="I2380" s="19"/>
      <c r="J2380" s="19"/>
      <c r="K2380" s="19"/>
      <c r="L2380" s="19"/>
      <c r="M2380" s="19"/>
      <c r="N2380" s="19"/>
      <c r="O2380" s="19"/>
      <c r="P2380" s="19"/>
      <c r="Q2380" s="19"/>
      <c r="R2380" s="19"/>
      <c r="S2380" s="19"/>
      <c r="T2380" s="34" t="str">
        <f aca="false">IF($R2380="","",IFERROR(INDEX(DriverCategory,MATCH($R2380,DriverList,0)),"BAU"))</f>
        <v/>
      </c>
      <c r="U2380" s="34" t="str">
        <f aca="false">IF($R2380="","",IFERROR(INDEX(DriverRank,MATCH($R2380,DriverList,0)),99))</f>
        <v/>
      </c>
      <c r="V2380" s="35" t="n">
        <f aca="false">IF($H2380="",0,IFERROR(INDEX(LevelBasic,MATCH($H2380,LevelList,0))+INDEX(LevelHousing,MATCH($H2380,LevelList,0))+INDEX(LevelTransport,MATCH($H2380,LevelList,0))+INDEX(LevelBasic,MATCH($H2380,LevelList,0))*INDEX(LevelBonus,MATCH($H2380,LevelList,0))+(INDEX(LevelBasic,MATCH($H2380,LevelList,0))+INDEX(LevelHousing,MATCH($H2380,LevelList,0)))*GosiSaudi,0))</f>
        <v>0</v>
      </c>
      <c r="W2380" s="35" t="n">
        <f aca="false">IFERROR(INDEX(LevelOneOff,MATCH($H2380,LevelList,0)),0)</f>
        <v>0</v>
      </c>
      <c r="X2380" s="35" t="str">
        <f aca="false">IF($G2380="","",$V2380*N($L2380))</f>
        <v/>
      </c>
      <c r="Y2380" s="35" t="str">
        <f aca="false">IF($G2380="","",$V2380*(N($M2380)*1+N($N2380)*0.75+N($O2380)*0.5+N($P2380)*0.25)+$W2380*N($L2380))</f>
        <v/>
      </c>
      <c r="Z2380" s="35" t="str">
        <f aca="false">IF($G2380="","",$U2380*1000000+ROW())</f>
        <v/>
      </c>
      <c r="AA2380" s="36" t="str">
        <f aca="false">IF($G2380="","",MID(IF($C2380="",", no division","")&amp;IF($E2380="",", no unit","")&amp;IF($H2380="",", no career level","")&amp;IF(N($L2380)&lt;=0,", no quarter split","")&amp;IF($R2380="",", no driver","")&amp;IF(AND($H2380&lt;&gt;"",COUNTIF(CareerLevels,$H2380)=0),", a career level that is not on the ladder","")&amp;IF(AND($R2380&lt;&gt;"",COUNTIF(DriverList,$R2380)=0),", a driver that is not on the list","")&amp;IF(ABS(N($L2380)-(N($M2380)+N($N2380)+N($O2380)+N($P2380)))&gt;0.001,", a total that does not match its quarters",""),3,300))</f>
        <v/>
      </c>
    </row>
    <row r="2381" customFormat="false" ht="15" hidden="false" customHeight="false" outlineLevel="0" collapsed="false">
      <c r="A2381" s="33" t="str">
        <f aca="false">IF($G2381="","","Treasury &amp; Investments Group")</f>
        <v/>
      </c>
      <c r="B2381" s="19"/>
      <c r="C2381" s="19"/>
      <c r="D2381" s="19"/>
      <c r="E2381" s="19"/>
      <c r="F2381" s="19"/>
      <c r="G2381" s="19"/>
      <c r="H2381" s="19"/>
      <c r="I2381" s="19"/>
      <c r="J2381" s="19"/>
      <c r="K2381" s="19"/>
      <c r="L2381" s="19"/>
      <c r="M2381" s="19"/>
      <c r="N2381" s="19"/>
      <c r="O2381" s="19"/>
      <c r="P2381" s="19"/>
      <c r="Q2381" s="19"/>
      <c r="R2381" s="19"/>
      <c r="S2381" s="19"/>
      <c r="T2381" s="34" t="str">
        <f aca="false">IF($R2381="","",IFERROR(INDEX(DriverCategory,MATCH($R2381,DriverList,0)),"BAU"))</f>
        <v/>
      </c>
      <c r="U2381" s="34" t="str">
        <f aca="false">IF($R2381="","",IFERROR(INDEX(DriverRank,MATCH($R2381,DriverList,0)),99))</f>
        <v/>
      </c>
      <c r="V2381" s="35" t="n">
        <f aca="false">IF($H2381="",0,IFERROR(INDEX(LevelBasic,MATCH($H2381,LevelList,0))+INDEX(LevelHousing,MATCH($H2381,LevelList,0))+INDEX(LevelTransport,MATCH($H2381,LevelList,0))+INDEX(LevelBasic,MATCH($H2381,LevelList,0))*INDEX(LevelBonus,MATCH($H2381,LevelList,0))+(INDEX(LevelBasic,MATCH($H2381,LevelList,0))+INDEX(LevelHousing,MATCH($H2381,LevelList,0)))*GosiSaudi,0))</f>
        <v>0</v>
      </c>
      <c r="W2381" s="35" t="n">
        <f aca="false">IFERROR(INDEX(LevelOneOff,MATCH($H2381,LevelList,0)),0)</f>
        <v>0</v>
      </c>
      <c r="X2381" s="35" t="str">
        <f aca="false">IF($G2381="","",$V2381*N($L2381))</f>
        <v/>
      </c>
      <c r="Y2381" s="35" t="str">
        <f aca="false">IF($G2381="","",$V2381*(N($M2381)*1+N($N2381)*0.75+N($O2381)*0.5+N($P2381)*0.25)+$W2381*N($L2381))</f>
        <v/>
      </c>
      <c r="Z2381" s="35" t="str">
        <f aca="false">IF($G2381="","",$U2381*1000000+ROW())</f>
        <v/>
      </c>
      <c r="AA2381" s="36" t="str">
        <f aca="false">IF($G2381="","",MID(IF($C2381="",", no division","")&amp;IF($E2381="",", no unit","")&amp;IF($H2381="",", no career level","")&amp;IF(N($L2381)&lt;=0,", no quarter split","")&amp;IF($R2381="",", no driver","")&amp;IF(AND($H2381&lt;&gt;"",COUNTIF(CareerLevels,$H2381)=0),", a career level that is not on the ladder","")&amp;IF(AND($R2381&lt;&gt;"",COUNTIF(DriverList,$R2381)=0),", a driver that is not on the list","")&amp;IF(ABS(N($L2381)-(N($M2381)+N($N2381)+N($O2381)+N($P2381)))&gt;0.001,", a total that does not match its quarters",""),3,300))</f>
        <v/>
      </c>
    </row>
    <row r="2382" customFormat="false" ht="15" hidden="false" customHeight="false" outlineLevel="0" collapsed="false">
      <c r="A2382" s="33" t="str">
        <f aca="false">IF($G2382="","","Treasury &amp; Investments Group")</f>
        <v/>
      </c>
      <c r="B2382" s="19"/>
      <c r="C2382" s="19"/>
      <c r="D2382" s="19"/>
      <c r="E2382" s="19"/>
      <c r="F2382" s="19"/>
      <c r="G2382" s="19"/>
      <c r="H2382" s="19"/>
      <c r="I2382" s="19"/>
      <c r="J2382" s="19"/>
      <c r="K2382" s="19"/>
      <c r="L2382" s="19"/>
      <c r="M2382" s="19"/>
      <c r="N2382" s="19"/>
      <c r="O2382" s="19"/>
      <c r="P2382" s="19"/>
      <c r="Q2382" s="19"/>
      <c r="R2382" s="19"/>
      <c r="S2382" s="19"/>
      <c r="T2382" s="34" t="str">
        <f aca="false">IF($R2382="","",IFERROR(INDEX(DriverCategory,MATCH($R2382,DriverList,0)),"BAU"))</f>
        <v/>
      </c>
      <c r="U2382" s="34" t="str">
        <f aca="false">IF($R2382="","",IFERROR(INDEX(DriverRank,MATCH($R2382,DriverList,0)),99))</f>
        <v/>
      </c>
      <c r="V2382" s="35" t="n">
        <f aca="false">IF($H2382="",0,IFERROR(INDEX(LevelBasic,MATCH($H2382,LevelList,0))+INDEX(LevelHousing,MATCH($H2382,LevelList,0))+INDEX(LevelTransport,MATCH($H2382,LevelList,0))+INDEX(LevelBasic,MATCH($H2382,LevelList,0))*INDEX(LevelBonus,MATCH($H2382,LevelList,0))+(INDEX(LevelBasic,MATCH($H2382,LevelList,0))+INDEX(LevelHousing,MATCH($H2382,LevelList,0)))*GosiSaudi,0))</f>
        <v>0</v>
      </c>
      <c r="W2382" s="35" t="n">
        <f aca="false">IFERROR(INDEX(LevelOneOff,MATCH($H2382,LevelList,0)),0)</f>
        <v>0</v>
      </c>
      <c r="X2382" s="35" t="str">
        <f aca="false">IF($G2382="","",$V2382*N($L2382))</f>
        <v/>
      </c>
      <c r="Y2382" s="35" t="str">
        <f aca="false">IF($G2382="","",$V2382*(N($M2382)*1+N($N2382)*0.75+N($O2382)*0.5+N($P2382)*0.25)+$W2382*N($L2382))</f>
        <v/>
      </c>
      <c r="Z2382" s="35" t="str">
        <f aca="false">IF($G2382="","",$U2382*1000000+ROW())</f>
        <v/>
      </c>
      <c r="AA2382" s="36" t="str">
        <f aca="false">IF($G2382="","",MID(IF($C2382="",", no division","")&amp;IF($E2382="",", no unit","")&amp;IF($H2382="",", no career level","")&amp;IF(N($L2382)&lt;=0,", no quarter split","")&amp;IF($R2382="",", no driver","")&amp;IF(AND($H2382&lt;&gt;"",COUNTIF(CareerLevels,$H2382)=0),", a career level that is not on the ladder","")&amp;IF(AND($R2382&lt;&gt;"",COUNTIF(DriverList,$R2382)=0),", a driver that is not on the list","")&amp;IF(ABS(N($L2382)-(N($M2382)+N($N2382)+N($O2382)+N($P2382)))&gt;0.001,", a total that does not match its quarters",""),3,300))</f>
        <v/>
      </c>
    </row>
    <row r="2383" customFormat="false" ht="15" hidden="false" customHeight="false" outlineLevel="0" collapsed="false">
      <c r="A2383" s="33" t="str">
        <f aca="false">IF($G2383="","","Treasury &amp; Investments Group")</f>
        <v/>
      </c>
      <c r="B2383" s="19"/>
      <c r="C2383" s="19"/>
      <c r="D2383" s="19"/>
      <c r="E2383" s="19"/>
      <c r="F2383" s="19"/>
      <c r="G2383" s="19"/>
      <c r="H2383" s="19"/>
      <c r="I2383" s="19"/>
      <c r="J2383" s="19"/>
      <c r="K2383" s="19"/>
      <c r="L2383" s="19"/>
      <c r="M2383" s="19"/>
      <c r="N2383" s="19"/>
      <c r="O2383" s="19"/>
      <c r="P2383" s="19"/>
      <c r="Q2383" s="19"/>
      <c r="R2383" s="19"/>
      <c r="S2383" s="19"/>
      <c r="T2383" s="34" t="str">
        <f aca="false">IF($R2383="","",IFERROR(INDEX(DriverCategory,MATCH($R2383,DriverList,0)),"BAU"))</f>
        <v/>
      </c>
      <c r="U2383" s="34" t="str">
        <f aca="false">IF($R2383="","",IFERROR(INDEX(DriverRank,MATCH($R2383,DriverList,0)),99))</f>
        <v/>
      </c>
      <c r="V2383" s="35" t="n">
        <f aca="false">IF($H2383="",0,IFERROR(INDEX(LevelBasic,MATCH($H2383,LevelList,0))+INDEX(LevelHousing,MATCH($H2383,LevelList,0))+INDEX(LevelTransport,MATCH($H2383,LevelList,0))+INDEX(LevelBasic,MATCH($H2383,LevelList,0))*INDEX(LevelBonus,MATCH($H2383,LevelList,0))+(INDEX(LevelBasic,MATCH($H2383,LevelList,0))+INDEX(LevelHousing,MATCH($H2383,LevelList,0)))*GosiSaudi,0))</f>
        <v>0</v>
      </c>
      <c r="W2383" s="35" t="n">
        <f aca="false">IFERROR(INDEX(LevelOneOff,MATCH($H2383,LevelList,0)),0)</f>
        <v>0</v>
      </c>
      <c r="X2383" s="35" t="str">
        <f aca="false">IF($G2383="","",$V2383*N($L2383))</f>
        <v/>
      </c>
      <c r="Y2383" s="35" t="str">
        <f aca="false">IF($G2383="","",$V2383*(N($M2383)*1+N($N2383)*0.75+N($O2383)*0.5+N($P2383)*0.25)+$W2383*N($L2383))</f>
        <v/>
      </c>
      <c r="Z2383" s="35" t="str">
        <f aca="false">IF($G2383="","",$U2383*1000000+ROW())</f>
        <v/>
      </c>
      <c r="AA2383" s="36" t="str">
        <f aca="false">IF($G2383="","",MID(IF($C2383="",", no division","")&amp;IF($E2383="",", no unit","")&amp;IF($H2383="",", no career level","")&amp;IF(N($L2383)&lt;=0,", no quarter split","")&amp;IF($R2383="",", no driver","")&amp;IF(AND($H2383&lt;&gt;"",COUNTIF(CareerLevels,$H2383)=0),", a career level that is not on the ladder","")&amp;IF(AND($R2383&lt;&gt;"",COUNTIF(DriverList,$R2383)=0),", a driver that is not on the list","")&amp;IF(ABS(N($L2383)-(N($M2383)+N($N2383)+N($O2383)+N($P2383)))&gt;0.001,", a total that does not match its quarters",""),3,300))</f>
        <v/>
      </c>
    </row>
    <row r="2384" customFormat="false" ht="15" hidden="false" customHeight="false" outlineLevel="0" collapsed="false">
      <c r="A2384" s="33" t="str">
        <f aca="false">IF($G2384="","","Treasury &amp; Investments Group")</f>
        <v/>
      </c>
      <c r="B2384" s="19"/>
      <c r="C2384" s="19"/>
      <c r="D2384" s="19"/>
      <c r="E2384" s="19"/>
      <c r="F2384" s="19"/>
      <c r="G2384" s="19"/>
      <c r="H2384" s="19"/>
      <c r="I2384" s="19"/>
      <c r="J2384" s="19"/>
      <c r="K2384" s="19"/>
      <c r="L2384" s="19"/>
      <c r="M2384" s="19"/>
      <c r="N2384" s="19"/>
      <c r="O2384" s="19"/>
      <c r="P2384" s="19"/>
      <c r="Q2384" s="19"/>
      <c r="R2384" s="19"/>
      <c r="S2384" s="19"/>
      <c r="T2384" s="34" t="str">
        <f aca="false">IF($R2384="","",IFERROR(INDEX(DriverCategory,MATCH($R2384,DriverList,0)),"BAU"))</f>
        <v/>
      </c>
      <c r="U2384" s="34" t="str">
        <f aca="false">IF($R2384="","",IFERROR(INDEX(DriverRank,MATCH($R2384,DriverList,0)),99))</f>
        <v/>
      </c>
      <c r="V2384" s="35" t="n">
        <f aca="false">IF($H2384="",0,IFERROR(INDEX(LevelBasic,MATCH($H2384,LevelList,0))+INDEX(LevelHousing,MATCH($H2384,LevelList,0))+INDEX(LevelTransport,MATCH($H2384,LevelList,0))+INDEX(LevelBasic,MATCH($H2384,LevelList,0))*INDEX(LevelBonus,MATCH($H2384,LevelList,0))+(INDEX(LevelBasic,MATCH($H2384,LevelList,0))+INDEX(LevelHousing,MATCH($H2384,LevelList,0)))*GosiSaudi,0))</f>
        <v>0</v>
      </c>
      <c r="W2384" s="35" t="n">
        <f aca="false">IFERROR(INDEX(LevelOneOff,MATCH($H2384,LevelList,0)),0)</f>
        <v>0</v>
      </c>
      <c r="X2384" s="35" t="str">
        <f aca="false">IF($G2384="","",$V2384*N($L2384))</f>
        <v/>
      </c>
      <c r="Y2384" s="35" t="str">
        <f aca="false">IF($G2384="","",$V2384*(N($M2384)*1+N($N2384)*0.75+N($O2384)*0.5+N($P2384)*0.25)+$W2384*N($L2384))</f>
        <v/>
      </c>
      <c r="Z2384" s="35" t="str">
        <f aca="false">IF($G2384="","",$U2384*1000000+ROW())</f>
        <v/>
      </c>
      <c r="AA2384" s="36" t="str">
        <f aca="false">IF($G2384="","",MID(IF($C2384="",", no division","")&amp;IF($E2384="",", no unit","")&amp;IF($H2384="",", no career level","")&amp;IF(N($L2384)&lt;=0,", no quarter split","")&amp;IF($R2384="",", no driver","")&amp;IF(AND($H2384&lt;&gt;"",COUNTIF(CareerLevels,$H2384)=0),", a career level that is not on the ladder","")&amp;IF(AND($R2384&lt;&gt;"",COUNTIF(DriverList,$R2384)=0),", a driver that is not on the list","")&amp;IF(ABS(N($L2384)-(N($M2384)+N($N2384)+N($O2384)+N($P2384)))&gt;0.001,", a total that does not match its quarters",""),3,300))</f>
        <v/>
      </c>
    </row>
    <row r="2385" customFormat="false" ht="15" hidden="false" customHeight="false" outlineLevel="0" collapsed="false">
      <c r="A2385" s="33" t="str">
        <f aca="false">IF($G2385="","","Treasury &amp; Investments Group")</f>
        <v/>
      </c>
      <c r="B2385" s="19"/>
      <c r="C2385" s="19"/>
      <c r="D2385" s="19"/>
      <c r="E2385" s="19"/>
      <c r="F2385" s="19"/>
      <c r="G2385" s="19"/>
      <c r="H2385" s="19"/>
      <c r="I2385" s="19"/>
      <c r="J2385" s="19"/>
      <c r="K2385" s="19"/>
      <c r="L2385" s="19"/>
      <c r="M2385" s="19"/>
      <c r="N2385" s="19"/>
      <c r="O2385" s="19"/>
      <c r="P2385" s="19"/>
      <c r="Q2385" s="19"/>
      <c r="R2385" s="19"/>
      <c r="S2385" s="19"/>
      <c r="T2385" s="34" t="str">
        <f aca="false">IF($R2385="","",IFERROR(INDEX(DriverCategory,MATCH($R2385,DriverList,0)),"BAU"))</f>
        <v/>
      </c>
      <c r="U2385" s="34" t="str">
        <f aca="false">IF($R2385="","",IFERROR(INDEX(DriverRank,MATCH($R2385,DriverList,0)),99))</f>
        <v/>
      </c>
      <c r="V2385" s="35" t="n">
        <f aca="false">IF($H2385="",0,IFERROR(INDEX(LevelBasic,MATCH($H2385,LevelList,0))+INDEX(LevelHousing,MATCH($H2385,LevelList,0))+INDEX(LevelTransport,MATCH($H2385,LevelList,0))+INDEX(LevelBasic,MATCH($H2385,LevelList,0))*INDEX(LevelBonus,MATCH($H2385,LevelList,0))+(INDEX(LevelBasic,MATCH($H2385,LevelList,0))+INDEX(LevelHousing,MATCH($H2385,LevelList,0)))*GosiSaudi,0))</f>
        <v>0</v>
      </c>
      <c r="W2385" s="35" t="n">
        <f aca="false">IFERROR(INDEX(LevelOneOff,MATCH($H2385,LevelList,0)),0)</f>
        <v>0</v>
      </c>
      <c r="X2385" s="35" t="str">
        <f aca="false">IF($G2385="","",$V2385*N($L2385))</f>
        <v/>
      </c>
      <c r="Y2385" s="35" t="str">
        <f aca="false">IF($G2385="","",$V2385*(N($M2385)*1+N($N2385)*0.75+N($O2385)*0.5+N($P2385)*0.25)+$W2385*N($L2385))</f>
        <v/>
      </c>
      <c r="Z2385" s="35" t="str">
        <f aca="false">IF($G2385="","",$U2385*1000000+ROW())</f>
        <v/>
      </c>
      <c r="AA2385" s="36" t="str">
        <f aca="false">IF($G2385="","",MID(IF($C2385="",", no division","")&amp;IF($E2385="",", no unit","")&amp;IF($H2385="",", no career level","")&amp;IF(N($L2385)&lt;=0,", no quarter split","")&amp;IF($R2385="",", no driver","")&amp;IF(AND($H2385&lt;&gt;"",COUNTIF(CareerLevels,$H2385)=0),", a career level that is not on the ladder","")&amp;IF(AND($R2385&lt;&gt;"",COUNTIF(DriverList,$R2385)=0),", a driver that is not on the list","")&amp;IF(ABS(N($L2385)-(N($M2385)+N($N2385)+N($O2385)+N($P2385)))&gt;0.001,", a total that does not match its quarters",""),3,300))</f>
        <v/>
      </c>
    </row>
    <row r="2386" customFormat="false" ht="15" hidden="false" customHeight="false" outlineLevel="0" collapsed="false">
      <c r="A2386" s="33" t="str">
        <f aca="false">IF($G2386="","","Treasury &amp; Investments Group")</f>
        <v/>
      </c>
      <c r="B2386" s="19"/>
      <c r="C2386" s="19"/>
      <c r="D2386" s="19"/>
      <c r="E2386" s="19"/>
      <c r="F2386" s="19"/>
      <c r="G2386" s="19"/>
      <c r="H2386" s="19"/>
      <c r="I2386" s="19"/>
      <c r="J2386" s="19"/>
      <c r="K2386" s="19"/>
      <c r="L2386" s="19"/>
      <c r="M2386" s="19"/>
      <c r="N2386" s="19"/>
      <c r="O2386" s="19"/>
      <c r="P2386" s="19"/>
      <c r="Q2386" s="19"/>
      <c r="R2386" s="19"/>
      <c r="S2386" s="19"/>
      <c r="T2386" s="34" t="str">
        <f aca="false">IF($R2386="","",IFERROR(INDEX(DriverCategory,MATCH($R2386,DriverList,0)),"BAU"))</f>
        <v/>
      </c>
      <c r="U2386" s="34" t="str">
        <f aca="false">IF($R2386="","",IFERROR(INDEX(DriverRank,MATCH($R2386,DriverList,0)),99))</f>
        <v/>
      </c>
      <c r="V2386" s="35" t="n">
        <f aca="false">IF($H2386="",0,IFERROR(INDEX(LevelBasic,MATCH($H2386,LevelList,0))+INDEX(LevelHousing,MATCH($H2386,LevelList,0))+INDEX(LevelTransport,MATCH($H2386,LevelList,0))+INDEX(LevelBasic,MATCH($H2386,LevelList,0))*INDEX(LevelBonus,MATCH($H2386,LevelList,0))+(INDEX(LevelBasic,MATCH($H2386,LevelList,0))+INDEX(LevelHousing,MATCH($H2386,LevelList,0)))*GosiSaudi,0))</f>
        <v>0</v>
      </c>
      <c r="W2386" s="35" t="n">
        <f aca="false">IFERROR(INDEX(LevelOneOff,MATCH($H2386,LevelList,0)),0)</f>
        <v>0</v>
      </c>
      <c r="X2386" s="35" t="str">
        <f aca="false">IF($G2386="","",$V2386*N($L2386))</f>
        <v/>
      </c>
      <c r="Y2386" s="35" t="str">
        <f aca="false">IF($G2386="","",$V2386*(N($M2386)*1+N($N2386)*0.75+N($O2386)*0.5+N($P2386)*0.25)+$W2386*N($L2386))</f>
        <v/>
      </c>
      <c r="Z2386" s="35" t="str">
        <f aca="false">IF($G2386="","",$U2386*1000000+ROW())</f>
        <v/>
      </c>
      <c r="AA2386" s="36" t="str">
        <f aca="false">IF($G2386="","",MID(IF($C2386="",", no division","")&amp;IF($E2386="",", no unit","")&amp;IF($H2386="",", no career level","")&amp;IF(N($L2386)&lt;=0,", no quarter split","")&amp;IF($R2386="",", no driver","")&amp;IF(AND($H2386&lt;&gt;"",COUNTIF(CareerLevels,$H2386)=0),", a career level that is not on the ladder","")&amp;IF(AND($R2386&lt;&gt;"",COUNTIF(DriverList,$R2386)=0),", a driver that is not on the list","")&amp;IF(ABS(N($L2386)-(N($M2386)+N($N2386)+N($O2386)+N($P2386)))&gt;0.001,", a total that does not match its quarters",""),3,300))</f>
        <v/>
      </c>
    </row>
    <row r="2387" customFormat="false" ht="15" hidden="false" customHeight="false" outlineLevel="0" collapsed="false">
      <c r="A2387" s="33" t="str">
        <f aca="false">IF($G2387="","","Treasury &amp; Investments Group")</f>
        <v/>
      </c>
      <c r="B2387" s="19"/>
      <c r="C2387" s="19"/>
      <c r="D2387" s="19"/>
      <c r="E2387" s="19"/>
      <c r="F2387" s="19"/>
      <c r="G2387" s="19"/>
      <c r="H2387" s="19"/>
      <c r="I2387" s="19"/>
      <c r="J2387" s="19"/>
      <c r="K2387" s="19"/>
      <c r="L2387" s="19"/>
      <c r="M2387" s="19"/>
      <c r="N2387" s="19"/>
      <c r="O2387" s="19"/>
      <c r="P2387" s="19"/>
      <c r="Q2387" s="19"/>
      <c r="R2387" s="19"/>
      <c r="S2387" s="19"/>
      <c r="T2387" s="34" t="str">
        <f aca="false">IF($R2387="","",IFERROR(INDEX(DriverCategory,MATCH($R2387,DriverList,0)),"BAU"))</f>
        <v/>
      </c>
      <c r="U2387" s="34" t="str">
        <f aca="false">IF($R2387="","",IFERROR(INDEX(DriverRank,MATCH($R2387,DriverList,0)),99))</f>
        <v/>
      </c>
      <c r="V2387" s="35" t="n">
        <f aca="false">IF($H2387="",0,IFERROR(INDEX(LevelBasic,MATCH($H2387,LevelList,0))+INDEX(LevelHousing,MATCH($H2387,LevelList,0))+INDEX(LevelTransport,MATCH($H2387,LevelList,0))+INDEX(LevelBasic,MATCH($H2387,LevelList,0))*INDEX(LevelBonus,MATCH($H2387,LevelList,0))+(INDEX(LevelBasic,MATCH($H2387,LevelList,0))+INDEX(LevelHousing,MATCH($H2387,LevelList,0)))*GosiSaudi,0))</f>
        <v>0</v>
      </c>
      <c r="W2387" s="35" t="n">
        <f aca="false">IFERROR(INDEX(LevelOneOff,MATCH($H2387,LevelList,0)),0)</f>
        <v>0</v>
      </c>
      <c r="X2387" s="35" t="str">
        <f aca="false">IF($G2387="","",$V2387*N($L2387))</f>
        <v/>
      </c>
      <c r="Y2387" s="35" t="str">
        <f aca="false">IF($G2387="","",$V2387*(N($M2387)*1+N($N2387)*0.75+N($O2387)*0.5+N($P2387)*0.25)+$W2387*N($L2387))</f>
        <v/>
      </c>
      <c r="Z2387" s="35" t="str">
        <f aca="false">IF($G2387="","",$U2387*1000000+ROW())</f>
        <v/>
      </c>
      <c r="AA2387" s="36" t="str">
        <f aca="false">IF($G2387="","",MID(IF($C2387="",", no division","")&amp;IF($E2387="",", no unit","")&amp;IF($H2387="",", no career level","")&amp;IF(N($L2387)&lt;=0,", no quarter split","")&amp;IF($R2387="",", no driver","")&amp;IF(AND($H2387&lt;&gt;"",COUNTIF(CareerLevels,$H2387)=0),", a career level that is not on the ladder","")&amp;IF(AND($R2387&lt;&gt;"",COUNTIF(DriverList,$R2387)=0),", a driver that is not on the list","")&amp;IF(ABS(N($L2387)-(N($M2387)+N($N2387)+N($O2387)+N($P2387)))&gt;0.001,", a total that does not match its quarters",""),3,300))</f>
        <v/>
      </c>
    </row>
    <row r="2388" customFormat="false" ht="15" hidden="false" customHeight="false" outlineLevel="0" collapsed="false">
      <c r="A2388" s="33" t="str">
        <f aca="false">IF($G2388="","","Treasury &amp; Investments Group")</f>
        <v/>
      </c>
      <c r="B2388" s="19"/>
      <c r="C2388" s="19"/>
      <c r="D2388" s="19"/>
      <c r="E2388" s="19"/>
      <c r="F2388" s="19"/>
      <c r="G2388" s="19"/>
      <c r="H2388" s="19"/>
      <c r="I2388" s="19"/>
      <c r="J2388" s="19"/>
      <c r="K2388" s="19"/>
      <c r="L2388" s="19"/>
      <c r="M2388" s="19"/>
      <c r="N2388" s="19"/>
      <c r="O2388" s="19"/>
      <c r="P2388" s="19"/>
      <c r="Q2388" s="19"/>
      <c r="R2388" s="19"/>
      <c r="S2388" s="19"/>
      <c r="T2388" s="34" t="str">
        <f aca="false">IF($R2388="","",IFERROR(INDEX(DriverCategory,MATCH($R2388,DriverList,0)),"BAU"))</f>
        <v/>
      </c>
      <c r="U2388" s="34" t="str">
        <f aca="false">IF($R2388="","",IFERROR(INDEX(DriverRank,MATCH($R2388,DriverList,0)),99))</f>
        <v/>
      </c>
      <c r="V2388" s="35" t="n">
        <f aca="false">IF($H2388="",0,IFERROR(INDEX(LevelBasic,MATCH($H2388,LevelList,0))+INDEX(LevelHousing,MATCH($H2388,LevelList,0))+INDEX(LevelTransport,MATCH($H2388,LevelList,0))+INDEX(LevelBasic,MATCH($H2388,LevelList,0))*INDEX(LevelBonus,MATCH($H2388,LevelList,0))+(INDEX(LevelBasic,MATCH($H2388,LevelList,0))+INDEX(LevelHousing,MATCH($H2388,LevelList,0)))*GosiSaudi,0))</f>
        <v>0</v>
      </c>
      <c r="W2388" s="35" t="n">
        <f aca="false">IFERROR(INDEX(LevelOneOff,MATCH($H2388,LevelList,0)),0)</f>
        <v>0</v>
      </c>
      <c r="X2388" s="35" t="str">
        <f aca="false">IF($G2388="","",$V2388*N($L2388))</f>
        <v/>
      </c>
      <c r="Y2388" s="35" t="str">
        <f aca="false">IF($G2388="","",$V2388*(N($M2388)*1+N($N2388)*0.75+N($O2388)*0.5+N($P2388)*0.25)+$W2388*N($L2388))</f>
        <v/>
      </c>
      <c r="Z2388" s="35" t="str">
        <f aca="false">IF($G2388="","",$U2388*1000000+ROW())</f>
        <v/>
      </c>
      <c r="AA2388" s="36" t="str">
        <f aca="false">IF($G2388="","",MID(IF($C2388="",", no division","")&amp;IF($E2388="",", no unit","")&amp;IF($H2388="",", no career level","")&amp;IF(N($L2388)&lt;=0,", no quarter split","")&amp;IF($R2388="",", no driver","")&amp;IF(AND($H2388&lt;&gt;"",COUNTIF(CareerLevels,$H2388)=0),", a career level that is not on the ladder","")&amp;IF(AND($R2388&lt;&gt;"",COUNTIF(DriverList,$R2388)=0),", a driver that is not on the list","")&amp;IF(ABS(N($L2388)-(N($M2388)+N($N2388)+N($O2388)+N($P2388)))&gt;0.001,", a total that does not match its quarters",""),3,300))</f>
        <v/>
      </c>
    </row>
    <row r="2389" customFormat="false" ht="15" hidden="false" customHeight="false" outlineLevel="0" collapsed="false">
      <c r="A2389" s="33" t="str">
        <f aca="false">IF($G2389="","","Treasury &amp; Investments Group")</f>
        <v/>
      </c>
      <c r="B2389" s="19"/>
      <c r="C2389" s="19"/>
      <c r="D2389" s="19"/>
      <c r="E2389" s="19"/>
      <c r="F2389" s="19"/>
      <c r="G2389" s="19"/>
      <c r="H2389" s="19"/>
      <c r="I2389" s="19"/>
      <c r="J2389" s="19"/>
      <c r="K2389" s="19"/>
      <c r="L2389" s="19"/>
      <c r="M2389" s="19"/>
      <c r="N2389" s="19"/>
      <c r="O2389" s="19"/>
      <c r="P2389" s="19"/>
      <c r="Q2389" s="19"/>
      <c r="R2389" s="19"/>
      <c r="S2389" s="19"/>
      <c r="T2389" s="34" t="str">
        <f aca="false">IF($R2389="","",IFERROR(INDEX(DriverCategory,MATCH($R2389,DriverList,0)),"BAU"))</f>
        <v/>
      </c>
      <c r="U2389" s="34" t="str">
        <f aca="false">IF($R2389="","",IFERROR(INDEX(DriverRank,MATCH($R2389,DriverList,0)),99))</f>
        <v/>
      </c>
      <c r="V2389" s="35" t="n">
        <f aca="false">IF($H2389="",0,IFERROR(INDEX(LevelBasic,MATCH($H2389,LevelList,0))+INDEX(LevelHousing,MATCH($H2389,LevelList,0))+INDEX(LevelTransport,MATCH($H2389,LevelList,0))+INDEX(LevelBasic,MATCH($H2389,LevelList,0))*INDEX(LevelBonus,MATCH($H2389,LevelList,0))+(INDEX(LevelBasic,MATCH($H2389,LevelList,0))+INDEX(LevelHousing,MATCH($H2389,LevelList,0)))*GosiSaudi,0))</f>
        <v>0</v>
      </c>
      <c r="W2389" s="35" t="n">
        <f aca="false">IFERROR(INDEX(LevelOneOff,MATCH($H2389,LevelList,0)),0)</f>
        <v>0</v>
      </c>
      <c r="X2389" s="35" t="str">
        <f aca="false">IF($G2389="","",$V2389*N($L2389))</f>
        <v/>
      </c>
      <c r="Y2389" s="35" t="str">
        <f aca="false">IF($G2389="","",$V2389*(N($M2389)*1+N($N2389)*0.75+N($O2389)*0.5+N($P2389)*0.25)+$W2389*N($L2389))</f>
        <v/>
      </c>
      <c r="Z2389" s="35" t="str">
        <f aca="false">IF($G2389="","",$U2389*1000000+ROW())</f>
        <v/>
      </c>
      <c r="AA2389" s="36" t="str">
        <f aca="false">IF($G2389="","",MID(IF($C2389="",", no division","")&amp;IF($E2389="",", no unit","")&amp;IF($H2389="",", no career level","")&amp;IF(N($L2389)&lt;=0,", no quarter split","")&amp;IF($R2389="",", no driver","")&amp;IF(AND($H2389&lt;&gt;"",COUNTIF(CareerLevels,$H2389)=0),", a career level that is not on the ladder","")&amp;IF(AND($R2389&lt;&gt;"",COUNTIF(DriverList,$R2389)=0),", a driver that is not on the list","")&amp;IF(ABS(N($L2389)-(N($M2389)+N($N2389)+N($O2389)+N($P2389)))&gt;0.001,", a total that does not match its quarters",""),3,300))</f>
        <v/>
      </c>
    </row>
    <row r="2390" customFormat="false" ht="15" hidden="false" customHeight="false" outlineLevel="0" collapsed="false">
      <c r="A2390" s="33" t="str">
        <f aca="false">IF($G2390="","","Treasury &amp; Investments Group")</f>
        <v/>
      </c>
      <c r="B2390" s="19"/>
      <c r="C2390" s="19"/>
      <c r="D2390" s="19"/>
      <c r="E2390" s="19"/>
      <c r="F2390" s="19"/>
      <c r="G2390" s="19"/>
      <c r="H2390" s="19"/>
      <c r="I2390" s="19"/>
      <c r="J2390" s="19"/>
      <c r="K2390" s="19"/>
      <c r="L2390" s="19"/>
      <c r="M2390" s="19"/>
      <c r="N2390" s="19"/>
      <c r="O2390" s="19"/>
      <c r="P2390" s="19"/>
      <c r="Q2390" s="19"/>
      <c r="R2390" s="19"/>
      <c r="S2390" s="19"/>
      <c r="T2390" s="34" t="str">
        <f aca="false">IF($R2390="","",IFERROR(INDEX(DriverCategory,MATCH($R2390,DriverList,0)),"BAU"))</f>
        <v/>
      </c>
      <c r="U2390" s="34" t="str">
        <f aca="false">IF($R2390="","",IFERROR(INDEX(DriverRank,MATCH($R2390,DriverList,0)),99))</f>
        <v/>
      </c>
      <c r="V2390" s="35" t="n">
        <f aca="false">IF($H2390="",0,IFERROR(INDEX(LevelBasic,MATCH($H2390,LevelList,0))+INDEX(LevelHousing,MATCH($H2390,LevelList,0))+INDEX(LevelTransport,MATCH($H2390,LevelList,0))+INDEX(LevelBasic,MATCH($H2390,LevelList,0))*INDEX(LevelBonus,MATCH($H2390,LevelList,0))+(INDEX(LevelBasic,MATCH($H2390,LevelList,0))+INDEX(LevelHousing,MATCH($H2390,LevelList,0)))*GosiSaudi,0))</f>
        <v>0</v>
      </c>
      <c r="W2390" s="35" t="n">
        <f aca="false">IFERROR(INDEX(LevelOneOff,MATCH($H2390,LevelList,0)),0)</f>
        <v>0</v>
      </c>
      <c r="X2390" s="35" t="str">
        <f aca="false">IF($G2390="","",$V2390*N($L2390))</f>
        <v/>
      </c>
      <c r="Y2390" s="35" t="str">
        <f aca="false">IF($G2390="","",$V2390*(N($M2390)*1+N($N2390)*0.75+N($O2390)*0.5+N($P2390)*0.25)+$W2390*N($L2390))</f>
        <v/>
      </c>
      <c r="Z2390" s="35" t="str">
        <f aca="false">IF($G2390="","",$U2390*1000000+ROW())</f>
        <v/>
      </c>
      <c r="AA2390" s="36" t="str">
        <f aca="false">IF($G2390="","",MID(IF($C2390="",", no division","")&amp;IF($E2390="",", no unit","")&amp;IF($H2390="",", no career level","")&amp;IF(N($L2390)&lt;=0,", no quarter split","")&amp;IF($R2390="",", no driver","")&amp;IF(AND($H2390&lt;&gt;"",COUNTIF(CareerLevels,$H2390)=0),", a career level that is not on the ladder","")&amp;IF(AND($R2390&lt;&gt;"",COUNTIF(DriverList,$R2390)=0),", a driver that is not on the list","")&amp;IF(ABS(N($L2390)-(N($M2390)+N($N2390)+N($O2390)+N($P2390)))&gt;0.001,", a total that does not match its quarters",""),3,300))</f>
        <v/>
      </c>
    </row>
    <row r="2391" customFormat="false" ht="15" hidden="false" customHeight="false" outlineLevel="0" collapsed="false">
      <c r="A2391" s="33" t="str">
        <f aca="false">IF($G2391="","","Treasury &amp; Investments Group")</f>
        <v/>
      </c>
      <c r="B2391" s="19"/>
      <c r="C2391" s="19"/>
      <c r="D2391" s="19"/>
      <c r="E2391" s="19"/>
      <c r="F2391" s="19"/>
      <c r="G2391" s="19"/>
      <c r="H2391" s="19"/>
      <c r="I2391" s="19"/>
      <c r="J2391" s="19"/>
      <c r="K2391" s="19"/>
      <c r="L2391" s="19"/>
      <c r="M2391" s="19"/>
      <c r="N2391" s="19"/>
      <c r="O2391" s="19"/>
      <c r="P2391" s="19"/>
      <c r="Q2391" s="19"/>
      <c r="R2391" s="19"/>
      <c r="S2391" s="19"/>
      <c r="T2391" s="34" t="str">
        <f aca="false">IF($R2391="","",IFERROR(INDEX(DriverCategory,MATCH($R2391,DriverList,0)),"BAU"))</f>
        <v/>
      </c>
      <c r="U2391" s="34" t="str">
        <f aca="false">IF($R2391="","",IFERROR(INDEX(DriverRank,MATCH($R2391,DriverList,0)),99))</f>
        <v/>
      </c>
      <c r="V2391" s="35" t="n">
        <f aca="false">IF($H2391="",0,IFERROR(INDEX(LevelBasic,MATCH($H2391,LevelList,0))+INDEX(LevelHousing,MATCH($H2391,LevelList,0))+INDEX(LevelTransport,MATCH($H2391,LevelList,0))+INDEX(LevelBasic,MATCH($H2391,LevelList,0))*INDEX(LevelBonus,MATCH($H2391,LevelList,0))+(INDEX(LevelBasic,MATCH($H2391,LevelList,0))+INDEX(LevelHousing,MATCH($H2391,LevelList,0)))*GosiSaudi,0))</f>
        <v>0</v>
      </c>
      <c r="W2391" s="35" t="n">
        <f aca="false">IFERROR(INDEX(LevelOneOff,MATCH($H2391,LevelList,0)),0)</f>
        <v>0</v>
      </c>
      <c r="X2391" s="35" t="str">
        <f aca="false">IF($G2391="","",$V2391*N($L2391))</f>
        <v/>
      </c>
      <c r="Y2391" s="35" t="str">
        <f aca="false">IF($G2391="","",$V2391*(N($M2391)*1+N($N2391)*0.75+N($O2391)*0.5+N($P2391)*0.25)+$W2391*N($L2391))</f>
        <v/>
      </c>
      <c r="Z2391" s="35" t="str">
        <f aca="false">IF($G2391="","",$U2391*1000000+ROW())</f>
        <v/>
      </c>
      <c r="AA2391" s="36" t="str">
        <f aca="false">IF($G2391="","",MID(IF($C2391="",", no division","")&amp;IF($E2391="",", no unit","")&amp;IF($H2391="",", no career level","")&amp;IF(N($L2391)&lt;=0,", no quarter split","")&amp;IF($R2391="",", no driver","")&amp;IF(AND($H2391&lt;&gt;"",COUNTIF(CareerLevels,$H2391)=0),", a career level that is not on the ladder","")&amp;IF(AND($R2391&lt;&gt;"",COUNTIF(DriverList,$R2391)=0),", a driver that is not on the list","")&amp;IF(ABS(N($L2391)-(N($M2391)+N($N2391)+N($O2391)+N($P2391)))&gt;0.001,", a total that does not match its quarters",""),3,300))</f>
        <v/>
      </c>
    </row>
    <row r="2392" customFormat="false" ht="15" hidden="false" customHeight="false" outlineLevel="0" collapsed="false">
      <c r="A2392" s="33" t="str">
        <f aca="false">IF($G2392="","","Treasury &amp; Investments Group")</f>
        <v/>
      </c>
      <c r="B2392" s="19"/>
      <c r="C2392" s="19"/>
      <c r="D2392" s="19"/>
      <c r="E2392" s="19"/>
      <c r="F2392" s="19"/>
      <c r="G2392" s="19"/>
      <c r="H2392" s="19"/>
      <c r="I2392" s="19"/>
      <c r="J2392" s="19"/>
      <c r="K2392" s="19"/>
      <c r="L2392" s="19"/>
      <c r="M2392" s="19"/>
      <c r="N2392" s="19"/>
      <c r="O2392" s="19"/>
      <c r="P2392" s="19"/>
      <c r="Q2392" s="19"/>
      <c r="R2392" s="19"/>
      <c r="S2392" s="19"/>
      <c r="T2392" s="34" t="str">
        <f aca="false">IF($R2392="","",IFERROR(INDEX(DriverCategory,MATCH($R2392,DriverList,0)),"BAU"))</f>
        <v/>
      </c>
      <c r="U2392" s="34" t="str">
        <f aca="false">IF($R2392="","",IFERROR(INDEX(DriverRank,MATCH($R2392,DriverList,0)),99))</f>
        <v/>
      </c>
      <c r="V2392" s="35" t="n">
        <f aca="false">IF($H2392="",0,IFERROR(INDEX(LevelBasic,MATCH($H2392,LevelList,0))+INDEX(LevelHousing,MATCH($H2392,LevelList,0))+INDEX(LevelTransport,MATCH($H2392,LevelList,0))+INDEX(LevelBasic,MATCH($H2392,LevelList,0))*INDEX(LevelBonus,MATCH($H2392,LevelList,0))+(INDEX(LevelBasic,MATCH($H2392,LevelList,0))+INDEX(LevelHousing,MATCH($H2392,LevelList,0)))*GosiSaudi,0))</f>
        <v>0</v>
      </c>
      <c r="W2392" s="35" t="n">
        <f aca="false">IFERROR(INDEX(LevelOneOff,MATCH($H2392,LevelList,0)),0)</f>
        <v>0</v>
      </c>
      <c r="X2392" s="35" t="str">
        <f aca="false">IF($G2392="","",$V2392*N($L2392))</f>
        <v/>
      </c>
      <c r="Y2392" s="35" t="str">
        <f aca="false">IF($G2392="","",$V2392*(N($M2392)*1+N($N2392)*0.75+N($O2392)*0.5+N($P2392)*0.25)+$W2392*N($L2392))</f>
        <v/>
      </c>
      <c r="Z2392" s="35" t="str">
        <f aca="false">IF($G2392="","",$U2392*1000000+ROW())</f>
        <v/>
      </c>
      <c r="AA2392" s="36" t="str">
        <f aca="false">IF($G2392="","",MID(IF($C2392="",", no division","")&amp;IF($E2392="",", no unit","")&amp;IF($H2392="",", no career level","")&amp;IF(N($L2392)&lt;=0,", no quarter split","")&amp;IF($R2392="",", no driver","")&amp;IF(AND($H2392&lt;&gt;"",COUNTIF(CareerLevels,$H2392)=0),", a career level that is not on the ladder","")&amp;IF(AND($R2392&lt;&gt;"",COUNTIF(DriverList,$R2392)=0),", a driver that is not on the list","")&amp;IF(ABS(N($L2392)-(N($M2392)+N($N2392)+N($O2392)+N($P2392)))&gt;0.001,", a total that does not match its quarters",""),3,300))</f>
        <v/>
      </c>
    </row>
    <row r="2393" customFormat="false" ht="15" hidden="false" customHeight="false" outlineLevel="0" collapsed="false">
      <c r="A2393" s="33" t="str">
        <f aca="false">IF($G2393="","","Treasury &amp; Investments Group")</f>
        <v/>
      </c>
      <c r="B2393" s="19"/>
      <c r="C2393" s="19"/>
      <c r="D2393" s="19"/>
      <c r="E2393" s="19"/>
      <c r="F2393" s="19"/>
      <c r="G2393" s="19"/>
      <c r="H2393" s="19"/>
      <c r="I2393" s="19"/>
      <c r="J2393" s="19"/>
      <c r="K2393" s="19"/>
      <c r="L2393" s="19"/>
      <c r="M2393" s="19"/>
      <c r="N2393" s="19"/>
      <c r="O2393" s="19"/>
      <c r="P2393" s="19"/>
      <c r="Q2393" s="19"/>
      <c r="R2393" s="19"/>
      <c r="S2393" s="19"/>
      <c r="T2393" s="34" t="str">
        <f aca="false">IF($R2393="","",IFERROR(INDEX(DriverCategory,MATCH($R2393,DriverList,0)),"BAU"))</f>
        <v/>
      </c>
      <c r="U2393" s="34" t="str">
        <f aca="false">IF($R2393="","",IFERROR(INDEX(DriverRank,MATCH($R2393,DriverList,0)),99))</f>
        <v/>
      </c>
      <c r="V2393" s="35" t="n">
        <f aca="false">IF($H2393="",0,IFERROR(INDEX(LevelBasic,MATCH($H2393,LevelList,0))+INDEX(LevelHousing,MATCH($H2393,LevelList,0))+INDEX(LevelTransport,MATCH($H2393,LevelList,0))+INDEX(LevelBasic,MATCH($H2393,LevelList,0))*INDEX(LevelBonus,MATCH($H2393,LevelList,0))+(INDEX(LevelBasic,MATCH($H2393,LevelList,0))+INDEX(LevelHousing,MATCH($H2393,LevelList,0)))*GosiSaudi,0))</f>
        <v>0</v>
      </c>
      <c r="W2393" s="35" t="n">
        <f aca="false">IFERROR(INDEX(LevelOneOff,MATCH($H2393,LevelList,0)),0)</f>
        <v>0</v>
      </c>
      <c r="X2393" s="35" t="str">
        <f aca="false">IF($G2393="","",$V2393*N($L2393))</f>
        <v/>
      </c>
      <c r="Y2393" s="35" t="str">
        <f aca="false">IF($G2393="","",$V2393*(N($M2393)*1+N($N2393)*0.75+N($O2393)*0.5+N($P2393)*0.25)+$W2393*N($L2393))</f>
        <v/>
      </c>
      <c r="Z2393" s="35" t="str">
        <f aca="false">IF($G2393="","",$U2393*1000000+ROW())</f>
        <v/>
      </c>
      <c r="AA2393" s="36" t="str">
        <f aca="false">IF($G2393="","",MID(IF($C2393="",", no division","")&amp;IF($E2393="",", no unit","")&amp;IF($H2393="",", no career level","")&amp;IF(N($L2393)&lt;=0,", no quarter split","")&amp;IF($R2393="",", no driver","")&amp;IF(AND($H2393&lt;&gt;"",COUNTIF(CareerLevels,$H2393)=0),", a career level that is not on the ladder","")&amp;IF(AND($R2393&lt;&gt;"",COUNTIF(DriverList,$R2393)=0),", a driver that is not on the list","")&amp;IF(ABS(N($L2393)-(N($M2393)+N($N2393)+N($O2393)+N($P2393)))&gt;0.001,", a total that does not match its quarters",""),3,300))</f>
        <v/>
      </c>
    </row>
    <row r="2394" customFormat="false" ht="15" hidden="false" customHeight="false" outlineLevel="0" collapsed="false">
      <c r="A2394" s="33" t="str">
        <f aca="false">IF($G2394="","","Treasury &amp; Investments Group")</f>
        <v/>
      </c>
      <c r="B2394" s="19"/>
      <c r="C2394" s="19"/>
      <c r="D2394" s="19"/>
      <c r="E2394" s="19"/>
      <c r="F2394" s="19"/>
      <c r="G2394" s="19"/>
      <c r="H2394" s="19"/>
      <c r="I2394" s="19"/>
      <c r="J2394" s="19"/>
      <c r="K2394" s="19"/>
      <c r="L2394" s="19"/>
      <c r="M2394" s="19"/>
      <c r="N2394" s="19"/>
      <c r="O2394" s="19"/>
      <c r="P2394" s="19"/>
      <c r="Q2394" s="19"/>
      <c r="R2394" s="19"/>
      <c r="S2394" s="19"/>
      <c r="T2394" s="34" t="str">
        <f aca="false">IF($R2394="","",IFERROR(INDEX(DriverCategory,MATCH($R2394,DriverList,0)),"BAU"))</f>
        <v/>
      </c>
      <c r="U2394" s="34" t="str">
        <f aca="false">IF($R2394="","",IFERROR(INDEX(DriverRank,MATCH($R2394,DriverList,0)),99))</f>
        <v/>
      </c>
      <c r="V2394" s="35" t="n">
        <f aca="false">IF($H2394="",0,IFERROR(INDEX(LevelBasic,MATCH($H2394,LevelList,0))+INDEX(LevelHousing,MATCH($H2394,LevelList,0))+INDEX(LevelTransport,MATCH($H2394,LevelList,0))+INDEX(LevelBasic,MATCH($H2394,LevelList,0))*INDEX(LevelBonus,MATCH($H2394,LevelList,0))+(INDEX(LevelBasic,MATCH($H2394,LevelList,0))+INDEX(LevelHousing,MATCH($H2394,LevelList,0)))*GosiSaudi,0))</f>
        <v>0</v>
      </c>
      <c r="W2394" s="35" t="n">
        <f aca="false">IFERROR(INDEX(LevelOneOff,MATCH($H2394,LevelList,0)),0)</f>
        <v>0</v>
      </c>
      <c r="X2394" s="35" t="str">
        <f aca="false">IF($G2394="","",$V2394*N($L2394))</f>
        <v/>
      </c>
      <c r="Y2394" s="35" t="str">
        <f aca="false">IF($G2394="","",$V2394*(N($M2394)*1+N($N2394)*0.75+N($O2394)*0.5+N($P2394)*0.25)+$W2394*N($L2394))</f>
        <v/>
      </c>
      <c r="Z2394" s="35" t="str">
        <f aca="false">IF($G2394="","",$U2394*1000000+ROW())</f>
        <v/>
      </c>
      <c r="AA2394" s="36" t="str">
        <f aca="false">IF($G2394="","",MID(IF($C2394="",", no division","")&amp;IF($E2394="",", no unit","")&amp;IF($H2394="",", no career level","")&amp;IF(N($L2394)&lt;=0,", no quarter split","")&amp;IF($R2394="",", no driver","")&amp;IF(AND($H2394&lt;&gt;"",COUNTIF(CareerLevels,$H2394)=0),", a career level that is not on the ladder","")&amp;IF(AND($R2394&lt;&gt;"",COUNTIF(DriverList,$R2394)=0),", a driver that is not on the list","")&amp;IF(ABS(N($L2394)-(N($M2394)+N($N2394)+N($O2394)+N($P2394)))&gt;0.001,", a total that does not match its quarters",""),3,300))</f>
        <v/>
      </c>
    </row>
    <row r="2395" customFormat="false" ht="15" hidden="false" customHeight="false" outlineLevel="0" collapsed="false">
      <c r="A2395" s="33" t="str">
        <f aca="false">IF($G2395="","","Treasury &amp; Investments Group")</f>
        <v/>
      </c>
      <c r="B2395" s="19"/>
      <c r="C2395" s="19"/>
      <c r="D2395" s="19"/>
      <c r="E2395" s="19"/>
      <c r="F2395" s="19"/>
      <c r="G2395" s="19"/>
      <c r="H2395" s="19"/>
      <c r="I2395" s="19"/>
      <c r="J2395" s="19"/>
      <c r="K2395" s="19"/>
      <c r="L2395" s="19"/>
      <c r="M2395" s="19"/>
      <c r="N2395" s="19"/>
      <c r="O2395" s="19"/>
      <c r="P2395" s="19"/>
      <c r="Q2395" s="19"/>
      <c r="R2395" s="19"/>
      <c r="S2395" s="19"/>
      <c r="T2395" s="34" t="str">
        <f aca="false">IF($R2395="","",IFERROR(INDEX(DriverCategory,MATCH($R2395,DriverList,0)),"BAU"))</f>
        <v/>
      </c>
      <c r="U2395" s="34" t="str">
        <f aca="false">IF($R2395="","",IFERROR(INDEX(DriverRank,MATCH($R2395,DriverList,0)),99))</f>
        <v/>
      </c>
      <c r="V2395" s="35" t="n">
        <f aca="false">IF($H2395="",0,IFERROR(INDEX(LevelBasic,MATCH($H2395,LevelList,0))+INDEX(LevelHousing,MATCH($H2395,LevelList,0))+INDEX(LevelTransport,MATCH($H2395,LevelList,0))+INDEX(LevelBasic,MATCH($H2395,LevelList,0))*INDEX(LevelBonus,MATCH($H2395,LevelList,0))+(INDEX(LevelBasic,MATCH($H2395,LevelList,0))+INDEX(LevelHousing,MATCH($H2395,LevelList,0)))*GosiSaudi,0))</f>
        <v>0</v>
      </c>
      <c r="W2395" s="35" t="n">
        <f aca="false">IFERROR(INDEX(LevelOneOff,MATCH($H2395,LevelList,0)),0)</f>
        <v>0</v>
      </c>
      <c r="X2395" s="35" t="str">
        <f aca="false">IF($G2395="","",$V2395*N($L2395))</f>
        <v/>
      </c>
      <c r="Y2395" s="35" t="str">
        <f aca="false">IF($G2395="","",$V2395*(N($M2395)*1+N($N2395)*0.75+N($O2395)*0.5+N($P2395)*0.25)+$W2395*N($L2395))</f>
        <v/>
      </c>
      <c r="Z2395" s="35" t="str">
        <f aca="false">IF($G2395="","",$U2395*1000000+ROW())</f>
        <v/>
      </c>
      <c r="AA2395" s="36" t="str">
        <f aca="false">IF($G2395="","",MID(IF($C2395="",", no division","")&amp;IF($E2395="",", no unit","")&amp;IF($H2395="",", no career level","")&amp;IF(N($L2395)&lt;=0,", no quarter split","")&amp;IF($R2395="",", no driver","")&amp;IF(AND($H2395&lt;&gt;"",COUNTIF(CareerLevels,$H2395)=0),", a career level that is not on the ladder","")&amp;IF(AND($R2395&lt;&gt;"",COUNTIF(DriverList,$R2395)=0),", a driver that is not on the list","")&amp;IF(ABS(N($L2395)-(N($M2395)+N($N2395)+N($O2395)+N($P2395)))&gt;0.001,", a total that does not match its quarters",""),3,300))</f>
        <v/>
      </c>
    </row>
    <row r="2396" customFormat="false" ht="15" hidden="false" customHeight="false" outlineLevel="0" collapsed="false">
      <c r="A2396" s="33" t="str">
        <f aca="false">IF($G2396="","","Treasury &amp; Investments Group")</f>
        <v/>
      </c>
      <c r="B2396" s="19"/>
      <c r="C2396" s="19"/>
      <c r="D2396" s="19"/>
      <c r="E2396" s="19"/>
      <c r="F2396" s="19"/>
      <c r="G2396" s="19"/>
      <c r="H2396" s="19"/>
      <c r="I2396" s="19"/>
      <c r="J2396" s="19"/>
      <c r="K2396" s="19"/>
      <c r="L2396" s="19"/>
      <c r="M2396" s="19"/>
      <c r="N2396" s="19"/>
      <c r="O2396" s="19"/>
      <c r="P2396" s="19"/>
      <c r="Q2396" s="19"/>
      <c r="R2396" s="19"/>
      <c r="S2396" s="19"/>
      <c r="T2396" s="34" t="str">
        <f aca="false">IF($R2396="","",IFERROR(INDEX(DriverCategory,MATCH($R2396,DriverList,0)),"BAU"))</f>
        <v/>
      </c>
      <c r="U2396" s="34" t="str">
        <f aca="false">IF($R2396="","",IFERROR(INDEX(DriverRank,MATCH($R2396,DriverList,0)),99))</f>
        <v/>
      </c>
      <c r="V2396" s="35" t="n">
        <f aca="false">IF($H2396="",0,IFERROR(INDEX(LevelBasic,MATCH($H2396,LevelList,0))+INDEX(LevelHousing,MATCH($H2396,LevelList,0))+INDEX(LevelTransport,MATCH($H2396,LevelList,0))+INDEX(LevelBasic,MATCH($H2396,LevelList,0))*INDEX(LevelBonus,MATCH($H2396,LevelList,0))+(INDEX(LevelBasic,MATCH($H2396,LevelList,0))+INDEX(LevelHousing,MATCH($H2396,LevelList,0)))*GosiSaudi,0))</f>
        <v>0</v>
      </c>
      <c r="W2396" s="35" t="n">
        <f aca="false">IFERROR(INDEX(LevelOneOff,MATCH($H2396,LevelList,0)),0)</f>
        <v>0</v>
      </c>
      <c r="X2396" s="35" t="str">
        <f aca="false">IF($G2396="","",$V2396*N($L2396))</f>
        <v/>
      </c>
      <c r="Y2396" s="35" t="str">
        <f aca="false">IF($G2396="","",$V2396*(N($M2396)*1+N($N2396)*0.75+N($O2396)*0.5+N($P2396)*0.25)+$W2396*N($L2396))</f>
        <v/>
      </c>
      <c r="Z2396" s="35" t="str">
        <f aca="false">IF($G2396="","",$U2396*1000000+ROW())</f>
        <v/>
      </c>
      <c r="AA2396" s="36" t="str">
        <f aca="false">IF($G2396="","",MID(IF($C2396="",", no division","")&amp;IF($E2396="",", no unit","")&amp;IF($H2396="",", no career level","")&amp;IF(N($L2396)&lt;=0,", no quarter split","")&amp;IF($R2396="",", no driver","")&amp;IF(AND($H2396&lt;&gt;"",COUNTIF(CareerLevels,$H2396)=0),", a career level that is not on the ladder","")&amp;IF(AND($R2396&lt;&gt;"",COUNTIF(DriverList,$R2396)=0),", a driver that is not on the list","")&amp;IF(ABS(N($L2396)-(N($M2396)+N($N2396)+N($O2396)+N($P2396)))&gt;0.001,", a total that does not match its quarters",""),3,300))</f>
        <v/>
      </c>
    </row>
    <row r="2397" customFormat="false" ht="15" hidden="false" customHeight="false" outlineLevel="0" collapsed="false">
      <c r="A2397" s="33" t="str">
        <f aca="false">IF($G2397="","","Treasury &amp; Investments Group")</f>
        <v/>
      </c>
      <c r="B2397" s="19"/>
      <c r="C2397" s="19"/>
      <c r="D2397" s="19"/>
      <c r="E2397" s="19"/>
      <c r="F2397" s="19"/>
      <c r="G2397" s="19"/>
      <c r="H2397" s="19"/>
      <c r="I2397" s="19"/>
      <c r="J2397" s="19"/>
      <c r="K2397" s="19"/>
      <c r="L2397" s="19"/>
      <c r="M2397" s="19"/>
      <c r="N2397" s="19"/>
      <c r="O2397" s="19"/>
      <c r="P2397" s="19"/>
      <c r="Q2397" s="19"/>
      <c r="R2397" s="19"/>
      <c r="S2397" s="19"/>
      <c r="T2397" s="34" t="str">
        <f aca="false">IF($R2397="","",IFERROR(INDEX(DriverCategory,MATCH($R2397,DriverList,0)),"BAU"))</f>
        <v/>
      </c>
      <c r="U2397" s="34" t="str">
        <f aca="false">IF($R2397="","",IFERROR(INDEX(DriverRank,MATCH($R2397,DriverList,0)),99))</f>
        <v/>
      </c>
      <c r="V2397" s="35" t="n">
        <f aca="false">IF($H2397="",0,IFERROR(INDEX(LevelBasic,MATCH($H2397,LevelList,0))+INDEX(LevelHousing,MATCH($H2397,LevelList,0))+INDEX(LevelTransport,MATCH($H2397,LevelList,0))+INDEX(LevelBasic,MATCH($H2397,LevelList,0))*INDEX(LevelBonus,MATCH($H2397,LevelList,0))+(INDEX(LevelBasic,MATCH($H2397,LevelList,0))+INDEX(LevelHousing,MATCH($H2397,LevelList,0)))*GosiSaudi,0))</f>
        <v>0</v>
      </c>
      <c r="W2397" s="35" t="n">
        <f aca="false">IFERROR(INDEX(LevelOneOff,MATCH($H2397,LevelList,0)),0)</f>
        <v>0</v>
      </c>
      <c r="X2397" s="35" t="str">
        <f aca="false">IF($G2397="","",$V2397*N($L2397))</f>
        <v/>
      </c>
      <c r="Y2397" s="35" t="str">
        <f aca="false">IF($G2397="","",$V2397*(N($M2397)*1+N($N2397)*0.75+N($O2397)*0.5+N($P2397)*0.25)+$W2397*N($L2397))</f>
        <v/>
      </c>
      <c r="Z2397" s="35" t="str">
        <f aca="false">IF($G2397="","",$U2397*1000000+ROW())</f>
        <v/>
      </c>
      <c r="AA2397" s="36" t="str">
        <f aca="false">IF($G2397="","",MID(IF($C2397="",", no division","")&amp;IF($E2397="",", no unit","")&amp;IF($H2397="",", no career level","")&amp;IF(N($L2397)&lt;=0,", no quarter split","")&amp;IF($R2397="",", no driver","")&amp;IF(AND($H2397&lt;&gt;"",COUNTIF(CareerLevels,$H2397)=0),", a career level that is not on the ladder","")&amp;IF(AND($R2397&lt;&gt;"",COUNTIF(DriverList,$R2397)=0),", a driver that is not on the list","")&amp;IF(ABS(N($L2397)-(N($M2397)+N($N2397)+N($O2397)+N($P2397)))&gt;0.001,", a total that does not match its quarters",""),3,300))</f>
        <v/>
      </c>
    </row>
    <row r="2398" customFormat="false" ht="15" hidden="false" customHeight="false" outlineLevel="0" collapsed="false">
      <c r="A2398" s="33" t="str">
        <f aca="false">IF($G2398="","","Treasury &amp; Investments Group")</f>
        <v/>
      </c>
      <c r="B2398" s="19"/>
      <c r="C2398" s="19"/>
      <c r="D2398" s="19"/>
      <c r="E2398" s="19"/>
      <c r="F2398" s="19"/>
      <c r="G2398" s="19"/>
      <c r="H2398" s="19"/>
      <c r="I2398" s="19"/>
      <c r="J2398" s="19"/>
      <c r="K2398" s="19"/>
      <c r="L2398" s="19"/>
      <c r="M2398" s="19"/>
      <c r="N2398" s="19"/>
      <c r="O2398" s="19"/>
      <c r="P2398" s="19"/>
      <c r="Q2398" s="19"/>
      <c r="R2398" s="19"/>
      <c r="S2398" s="19"/>
      <c r="T2398" s="34" t="str">
        <f aca="false">IF($R2398="","",IFERROR(INDEX(DriverCategory,MATCH($R2398,DriverList,0)),"BAU"))</f>
        <v/>
      </c>
      <c r="U2398" s="34" t="str">
        <f aca="false">IF($R2398="","",IFERROR(INDEX(DriverRank,MATCH($R2398,DriverList,0)),99))</f>
        <v/>
      </c>
      <c r="V2398" s="35" t="n">
        <f aca="false">IF($H2398="",0,IFERROR(INDEX(LevelBasic,MATCH($H2398,LevelList,0))+INDEX(LevelHousing,MATCH($H2398,LevelList,0))+INDEX(LevelTransport,MATCH($H2398,LevelList,0))+INDEX(LevelBasic,MATCH($H2398,LevelList,0))*INDEX(LevelBonus,MATCH($H2398,LevelList,0))+(INDEX(LevelBasic,MATCH($H2398,LevelList,0))+INDEX(LevelHousing,MATCH($H2398,LevelList,0)))*GosiSaudi,0))</f>
        <v>0</v>
      </c>
      <c r="W2398" s="35" t="n">
        <f aca="false">IFERROR(INDEX(LevelOneOff,MATCH($H2398,LevelList,0)),0)</f>
        <v>0</v>
      </c>
      <c r="X2398" s="35" t="str">
        <f aca="false">IF($G2398="","",$V2398*N($L2398))</f>
        <v/>
      </c>
      <c r="Y2398" s="35" t="str">
        <f aca="false">IF($G2398="","",$V2398*(N($M2398)*1+N($N2398)*0.75+N($O2398)*0.5+N($P2398)*0.25)+$W2398*N($L2398))</f>
        <v/>
      </c>
      <c r="Z2398" s="35" t="str">
        <f aca="false">IF($G2398="","",$U2398*1000000+ROW())</f>
        <v/>
      </c>
      <c r="AA2398" s="36" t="str">
        <f aca="false">IF($G2398="","",MID(IF($C2398="",", no division","")&amp;IF($E2398="",", no unit","")&amp;IF($H2398="",", no career level","")&amp;IF(N($L2398)&lt;=0,", no quarter split","")&amp;IF($R2398="",", no driver","")&amp;IF(AND($H2398&lt;&gt;"",COUNTIF(CareerLevels,$H2398)=0),", a career level that is not on the ladder","")&amp;IF(AND($R2398&lt;&gt;"",COUNTIF(DriverList,$R2398)=0),", a driver that is not on the list","")&amp;IF(ABS(N($L2398)-(N($M2398)+N($N2398)+N($O2398)+N($P2398)))&gt;0.001,", a total that does not match its quarters",""),3,300))</f>
        <v/>
      </c>
    </row>
    <row r="2399" customFormat="false" ht="15" hidden="false" customHeight="false" outlineLevel="0" collapsed="false">
      <c r="A2399" s="33" t="str">
        <f aca="false">IF($G2399="","","Treasury &amp; Investments Group")</f>
        <v/>
      </c>
      <c r="B2399" s="19"/>
      <c r="C2399" s="19"/>
      <c r="D2399" s="19"/>
      <c r="E2399" s="19"/>
      <c r="F2399" s="19"/>
      <c r="G2399" s="19"/>
      <c r="H2399" s="19"/>
      <c r="I2399" s="19"/>
      <c r="J2399" s="19"/>
      <c r="K2399" s="19"/>
      <c r="L2399" s="19"/>
      <c r="M2399" s="19"/>
      <c r="N2399" s="19"/>
      <c r="O2399" s="19"/>
      <c r="P2399" s="19"/>
      <c r="Q2399" s="19"/>
      <c r="R2399" s="19"/>
      <c r="S2399" s="19"/>
      <c r="T2399" s="34" t="str">
        <f aca="false">IF($R2399="","",IFERROR(INDEX(DriverCategory,MATCH($R2399,DriverList,0)),"BAU"))</f>
        <v/>
      </c>
      <c r="U2399" s="34" t="str">
        <f aca="false">IF($R2399="","",IFERROR(INDEX(DriverRank,MATCH($R2399,DriverList,0)),99))</f>
        <v/>
      </c>
      <c r="V2399" s="35" t="n">
        <f aca="false">IF($H2399="",0,IFERROR(INDEX(LevelBasic,MATCH($H2399,LevelList,0))+INDEX(LevelHousing,MATCH($H2399,LevelList,0))+INDEX(LevelTransport,MATCH($H2399,LevelList,0))+INDEX(LevelBasic,MATCH($H2399,LevelList,0))*INDEX(LevelBonus,MATCH($H2399,LevelList,0))+(INDEX(LevelBasic,MATCH($H2399,LevelList,0))+INDEX(LevelHousing,MATCH($H2399,LevelList,0)))*GosiSaudi,0))</f>
        <v>0</v>
      </c>
      <c r="W2399" s="35" t="n">
        <f aca="false">IFERROR(INDEX(LevelOneOff,MATCH($H2399,LevelList,0)),0)</f>
        <v>0</v>
      </c>
      <c r="X2399" s="35" t="str">
        <f aca="false">IF($G2399="","",$V2399*N($L2399))</f>
        <v/>
      </c>
      <c r="Y2399" s="35" t="str">
        <f aca="false">IF($G2399="","",$V2399*(N($M2399)*1+N($N2399)*0.75+N($O2399)*0.5+N($P2399)*0.25)+$W2399*N($L2399))</f>
        <v/>
      </c>
      <c r="Z2399" s="35" t="str">
        <f aca="false">IF($G2399="","",$U2399*1000000+ROW())</f>
        <v/>
      </c>
      <c r="AA2399" s="36" t="str">
        <f aca="false">IF($G2399="","",MID(IF($C2399="",", no division","")&amp;IF($E2399="",", no unit","")&amp;IF($H2399="",", no career level","")&amp;IF(N($L2399)&lt;=0,", no quarter split","")&amp;IF($R2399="",", no driver","")&amp;IF(AND($H2399&lt;&gt;"",COUNTIF(CareerLevels,$H2399)=0),", a career level that is not on the ladder","")&amp;IF(AND($R2399&lt;&gt;"",COUNTIF(DriverList,$R2399)=0),", a driver that is not on the list","")&amp;IF(ABS(N($L2399)-(N($M2399)+N($N2399)+N($O2399)+N($P2399)))&gt;0.001,", a total that does not match its quarters",""),3,300))</f>
        <v/>
      </c>
    </row>
    <row r="2400" customFormat="false" ht="15" hidden="false" customHeight="false" outlineLevel="0" collapsed="false">
      <c r="A2400" s="33" t="str">
        <f aca="false">IF($G2400="","","Treasury &amp; Investments Group")</f>
        <v/>
      </c>
      <c r="B2400" s="19"/>
      <c r="C2400" s="19"/>
      <c r="D2400" s="19"/>
      <c r="E2400" s="19"/>
      <c r="F2400" s="19"/>
      <c r="G2400" s="19"/>
      <c r="H2400" s="19"/>
      <c r="I2400" s="19"/>
      <c r="J2400" s="19"/>
      <c r="K2400" s="19"/>
      <c r="L2400" s="19"/>
      <c r="M2400" s="19"/>
      <c r="N2400" s="19"/>
      <c r="O2400" s="19"/>
      <c r="P2400" s="19"/>
      <c r="Q2400" s="19"/>
      <c r="R2400" s="19"/>
      <c r="S2400" s="19"/>
      <c r="T2400" s="34" t="str">
        <f aca="false">IF($R2400="","",IFERROR(INDEX(DriverCategory,MATCH($R2400,DriverList,0)),"BAU"))</f>
        <v/>
      </c>
      <c r="U2400" s="34" t="str">
        <f aca="false">IF($R2400="","",IFERROR(INDEX(DriverRank,MATCH($R2400,DriverList,0)),99))</f>
        <v/>
      </c>
      <c r="V2400" s="35" t="n">
        <f aca="false">IF($H2400="",0,IFERROR(INDEX(LevelBasic,MATCH($H2400,LevelList,0))+INDEX(LevelHousing,MATCH($H2400,LevelList,0))+INDEX(LevelTransport,MATCH($H2400,LevelList,0))+INDEX(LevelBasic,MATCH($H2400,LevelList,0))*INDEX(LevelBonus,MATCH($H2400,LevelList,0))+(INDEX(LevelBasic,MATCH($H2400,LevelList,0))+INDEX(LevelHousing,MATCH($H2400,LevelList,0)))*GosiSaudi,0))</f>
        <v>0</v>
      </c>
      <c r="W2400" s="35" t="n">
        <f aca="false">IFERROR(INDEX(LevelOneOff,MATCH($H2400,LevelList,0)),0)</f>
        <v>0</v>
      </c>
      <c r="X2400" s="35" t="str">
        <f aca="false">IF($G2400="","",$V2400*N($L2400))</f>
        <v/>
      </c>
      <c r="Y2400" s="35" t="str">
        <f aca="false">IF($G2400="","",$V2400*(N($M2400)*1+N($N2400)*0.75+N($O2400)*0.5+N($P2400)*0.25)+$W2400*N($L2400))</f>
        <v/>
      </c>
      <c r="Z2400" s="35" t="str">
        <f aca="false">IF($G2400="","",$U2400*1000000+ROW())</f>
        <v/>
      </c>
      <c r="AA2400" s="36" t="str">
        <f aca="false">IF($G2400="","",MID(IF($C2400="",", no division","")&amp;IF($E2400="",", no unit","")&amp;IF($H2400="",", no career level","")&amp;IF(N($L2400)&lt;=0,", no quarter split","")&amp;IF($R2400="",", no driver","")&amp;IF(AND($H2400&lt;&gt;"",COUNTIF(CareerLevels,$H2400)=0),", a career level that is not on the ladder","")&amp;IF(AND($R2400&lt;&gt;"",COUNTIF(DriverList,$R2400)=0),", a driver that is not on the list","")&amp;IF(ABS(N($L2400)-(N($M2400)+N($N2400)+N($O2400)+N($P2400)))&gt;0.001,", a total that does not match its quarters",""),3,300))</f>
        <v/>
      </c>
    </row>
    <row r="2401" customFormat="false" ht="15" hidden="false" customHeight="false" outlineLevel="0" collapsed="false">
      <c r="A2401" s="33" t="str">
        <f aca="false">IF($G2401="","","Treasury &amp; Investments Group")</f>
        <v/>
      </c>
      <c r="B2401" s="19"/>
      <c r="C2401" s="19"/>
      <c r="D2401" s="19"/>
      <c r="E2401" s="19"/>
      <c r="F2401" s="19"/>
      <c r="G2401" s="19"/>
      <c r="H2401" s="19"/>
      <c r="I2401" s="19"/>
      <c r="J2401" s="19"/>
      <c r="K2401" s="19"/>
      <c r="L2401" s="19"/>
      <c r="M2401" s="19"/>
      <c r="N2401" s="19"/>
      <c r="O2401" s="19"/>
      <c r="P2401" s="19"/>
      <c r="Q2401" s="19"/>
      <c r="R2401" s="19"/>
      <c r="S2401" s="19"/>
      <c r="T2401" s="34" t="str">
        <f aca="false">IF($R2401="","",IFERROR(INDEX(DriverCategory,MATCH($R2401,DriverList,0)),"BAU"))</f>
        <v/>
      </c>
      <c r="U2401" s="34" t="str">
        <f aca="false">IF($R2401="","",IFERROR(INDEX(DriverRank,MATCH($R2401,DriverList,0)),99))</f>
        <v/>
      </c>
      <c r="V2401" s="35" t="n">
        <f aca="false">IF($H2401="",0,IFERROR(INDEX(LevelBasic,MATCH($H2401,LevelList,0))+INDEX(LevelHousing,MATCH($H2401,LevelList,0))+INDEX(LevelTransport,MATCH($H2401,LevelList,0))+INDEX(LevelBasic,MATCH($H2401,LevelList,0))*INDEX(LevelBonus,MATCH($H2401,LevelList,0))+(INDEX(LevelBasic,MATCH($H2401,LevelList,0))+INDEX(LevelHousing,MATCH($H2401,LevelList,0)))*GosiSaudi,0))</f>
        <v>0</v>
      </c>
      <c r="W2401" s="35" t="n">
        <f aca="false">IFERROR(INDEX(LevelOneOff,MATCH($H2401,LevelList,0)),0)</f>
        <v>0</v>
      </c>
      <c r="X2401" s="35" t="str">
        <f aca="false">IF($G2401="","",$V2401*N($L2401))</f>
        <v/>
      </c>
      <c r="Y2401" s="35" t="str">
        <f aca="false">IF($G2401="","",$V2401*(N($M2401)*1+N($N2401)*0.75+N($O2401)*0.5+N($P2401)*0.25)+$W2401*N($L2401))</f>
        <v/>
      </c>
      <c r="Z2401" s="35" t="str">
        <f aca="false">IF($G2401="","",$U2401*1000000+ROW())</f>
        <v/>
      </c>
      <c r="AA2401" s="36" t="str">
        <f aca="false">IF($G2401="","",MID(IF($C2401="",", no division","")&amp;IF($E2401="",", no unit","")&amp;IF($H2401="",", no career level","")&amp;IF(N($L2401)&lt;=0,", no quarter split","")&amp;IF($R2401="",", no driver","")&amp;IF(AND($H2401&lt;&gt;"",COUNTIF(CareerLevels,$H2401)=0),", a career level that is not on the ladder","")&amp;IF(AND($R2401&lt;&gt;"",COUNTIF(DriverList,$R2401)=0),", a driver that is not on the list","")&amp;IF(ABS(N($L2401)-(N($M2401)+N($N2401)+N($O2401)+N($P2401)))&gt;0.001,", a total that does not match its quarters",""),3,300))</f>
        <v/>
      </c>
    </row>
    <row r="2402" customFormat="false" ht="15" hidden="false" customHeight="false" outlineLevel="0" collapsed="false">
      <c r="A2402" s="33" t="str">
        <f aca="false">IF($G2402="","","Treasury &amp; Investments Group")</f>
        <v/>
      </c>
      <c r="B2402" s="19"/>
      <c r="C2402" s="19"/>
      <c r="D2402" s="19"/>
      <c r="E2402" s="19"/>
      <c r="F2402" s="19"/>
      <c r="G2402" s="19"/>
      <c r="H2402" s="19"/>
      <c r="I2402" s="19"/>
      <c r="J2402" s="19"/>
      <c r="K2402" s="19"/>
      <c r="L2402" s="19"/>
      <c r="M2402" s="19"/>
      <c r="N2402" s="19"/>
      <c r="O2402" s="19"/>
      <c r="P2402" s="19"/>
      <c r="Q2402" s="19"/>
      <c r="R2402" s="19"/>
      <c r="S2402" s="19"/>
      <c r="T2402" s="34" t="str">
        <f aca="false">IF($R2402="","",IFERROR(INDEX(DriverCategory,MATCH($R2402,DriverList,0)),"BAU"))</f>
        <v/>
      </c>
      <c r="U2402" s="34" t="str">
        <f aca="false">IF($R2402="","",IFERROR(INDEX(DriverRank,MATCH($R2402,DriverList,0)),99))</f>
        <v/>
      </c>
      <c r="V2402" s="35" t="n">
        <f aca="false">IF($H2402="",0,IFERROR(INDEX(LevelBasic,MATCH($H2402,LevelList,0))+INDEX(LevelHousing,MATCH($H2402,LevelList,0))+INDEX(LevelTransport,MATCH($H2402,LevelList,0))+INDEX(LevelBasic,MATCH($H2402,LevelList,0))*INDEX(LevelBonus,MATCH($H2402,LevelList,0))+(INDEX(LevelBasic,MATCH($H2402,LevelList,0))+INDEX(LevelHousing,MATCH($H2402,LevelList,0)))*GosiSaudi,0))</f>
        <v>0</v>
      </c>
      <c r="W2402" s="35" t="n">
        <f aca="false">IFERROR(INDEX(LevelOneOff,MATCH($H2402,LevelList,0)),0)</f>
        <v>0</v>
      </c>
      <c r="X2402" s="35" t="str">
        <f aca="false">IF($G2402="","",$V2402*N($L2402))</f>
        <v/>
      </c>
      <c r="Y2402" s="35" t="str">
        <f aca="false">IF($G2402="","",$V2402*(N($M2402)*1+N($N2402)*0.75+N($O2402)*0.5+N($P2402)*0.25)+$W2402*N($L2402))</f>
        <v/>
      </c>
      <c r="Z2402" s="35" t="str">
        <f aca="false">IF($G2402="","",$U2402*1000000+ROW())</f>
        <v/>
      </c>
      <c r="AA2402" s="36" t="str">
        <f aca="false">IF($G2402="","",MID(IF($C2402="",", no division","")&amp;IF($E2402="",", no unit","")&amp;IF($H2402="",", no career level","")&amp;IF(N($L2402)&lt;=0,", no quarter split","")&amp;IF($R2402="",", no driver","")&amp;IF(AND($H2402&lt;&gt;"",COUNTIF(CareerLevels,$H2402)=0),", a career level that is not on the ladder","")&amp;IF(AND($R2402&lt;&gt;"",COUNTIF(DriverList,$R2402)=0),", a driver that is not on the list","")&amp;IF(ABS(N($L2402)-(N($M2402)+N($N2402)+N($O2402)+N($P2402)))&gt;0.001,", a total that does not match its quarters",""),3,300))</f>
        <v/>
      </c>
    </row>
    <row r="2403" customFormat="false" ht="15" hidden="false" customHeight="false" outlineLevel="0" collapsed="false">
      <c r="A2403" s="33" t="str">
        <f aca="false">IF($G2403="","","Treasury &amp; Investments Group")</f>
        <v/>
      </c>
      <c r="B2403" s="19"/>
      <c r="C2403" s="19"/>
      <c r="D2403" s="19"/>
      <c r="E2403" s="19"/>
      <c r="F2403" s="19"/>
      <c r="G2403" s="19"/>
      <c r="H2403" s="19"/>
      <c r="I2403" s="19"/>
      <c r="J2403" s="19"/>
      <c r="K2403" s="19"/>
      <c r="L2403" s="19"/>
      <c r="M2403" s="19"/>
      <c r="N2403" s="19"/>
      <c r="O2403" s="19"/>
      <c r="P2403" s="19"/>
      <c r="Q2403" s="19"/>
      <c r="R2403" s="19"/>
      <c r="S2403" s="19"/>
      <c r="T2403" s="34" t="str">
        <f aca="false">IF($R2403="","",IFERROR(INDEX(DriverCategory,MATCH($R2403,DriverList,0)),"BAU"))</f>
        <v/>
      </c>
      <c r="U2403" s="34" t="str">
        <f aca="false">IF($R2403="","",IFERROR(INDEX(DriverRank,MATCH($R2403,DriverList,0)),99))</f>
        <v/>
      </c>
      <c r="V2403" s="35" t="n">
        <f aca="false">IF($H2403="",0,IFERROR(INDEX(LevelBasic,MATCH($H2403,LevelList,0))+INDEX(LevelHousing,MATCH($H2403,LevelList,0))+INDEX(LevelTransport,MATCH($H2403,LevelList,0))+INDEX(LevelBasic,MATCH($H2403,LevelList,0))*INDEX(LevelBonus,MATCH($H2403,LevelList,0))+(INDEX(LevelBasic,MATCH($H2403,LevelList,0))+INDEX(LevelHousing,MATCH($H2403,LevelList,0)))*GosiSaudi,0))</f>
        <v>0</v>
      </c>
      <c r="W2403" s="35" t="n">
        <f aca="false">IFERROR(INDEX(LevelOneOff,MATCH($H2403,LevelList,0)),0)</f>
        <v>0</v>
      </c>
      <c r="X2403" s="35" t="str">
        <f aca="false">IF($G2403="","",$V2403*N($L2403))</f>
        <v/>
      </c>
      <c r="Y2403" s="35" t="str">
        <f aca="false">IF($G2403="","",$V2403*(N($M2403)*1+N($N2403)*0.75+N($O2403)*0.5+N($P2403)*0.25)+$W2403*N($L2403))</f>
        <v/>
      </c>
      <c r="Z2403" s="35" t="str">
        <f aca="false">IF($G2403="","",$U2403*1000000+ROW())</f>
        <v/>
      </c>
      <c r="AA2403" s="36" t="str">
        <f aca="false">IF($G2403="","",MID(IF($C2403="",", no division","")&amp;IF($E2403="",", no unit","")&amp;IF($H2403="",", no career level","")&amp;IF(N($L2403)&lt;=0,", no quarter split","")&amp;IF($R2403="",", no driver","")&amp;IF(AND($H2403&lt;&gt;"",COUNTIF(CareerLevels,$H2403)=0),", a career level that is not on the ladder","")&amp;IF(AND($R2403&lt;&gt;"",COUNTIF(DriverList,$R2403)=0),", a driver that is not on the list","")&amp;IF(ABS(N($L2403)-(N($M2403)+N($N2403)+N($O2403)+N($P2403)))&gt;0.001,", a total that does not match its quarters",""),3,300))</f>
        <v/>
      </c>
    </row>
    <row r="2404" customFormat="false" ht="15" hidden="false" customHeight="false" outlineLevel="0" collapsed="false">
      <c r="A2404" s="33" t="str">
        <f aca="false">IF($G2404="","","Treasury &amp; Investments Group")</f>
        <v/>
      </c>
      <c r="B2404" s="19"/>
      <c r="C2404" s="19"/>
      <c r="D2404" s="19"/>
      <c r="E2404" s="19"/>
      <c r="F2404" s="19"/>
      <c r="G2404" s="19"/>
      <c r="H2404" s="19"/>
      <c r="I2404" s="19"/>
      <c r="J2404" s="19"/>
      <c r="K2404" s="19"/>
      <c r="L2404" s="19"/>
      <c r="M2404" s="19"/>
      <c r="N2404" s="19"/>
      <c r="O2404" s="19"/>
      <c r="P2404" s="19"/>
      <c r="Q2404" s="19"/>
      <c r="R2404" s="19"/>
      <c r="S2404" s="19"/>
      <c r="T2404" s="34" t="str">
        <f aca="false">IF($R2404="","",IFERROR(INDEX(DriverCategory,MATCH($R2404,DriverList,0)),"BAU"))</f>
        <v/>
      </c>
      <c r="U2404" s="34" t="str">
        <f aca="false">IF($R2404="","",IFERROR(INDEX(DriverRank,MATCH($R2404,DriverList,0)),99))</f>
        <v/>
      </c>
      <c r="V2404" s="35" t="n">
        <f aca="false">IF($H2404="",0,IFERROR(INDEX(LevelBasic,MATCH($H2404,LevelList,0))+INDEX(LevelHousing,MATCH($H2404,LevelList,0))+INDEX(LevelTransport,MATCH($H2404,LevelList,0))+INDEX(LevelBasic,MATCH($H2404,LevelList,0))*INDEX(LevelBonus,MATCH($H2404,LevelList,0))+(INDEX(LevelBasic,MATCH($H2404,LevelList,0))+INDEX(LevelHousing,MATCH($H2404,LevelList,0)))*GosiSaudi,0))</f>
        <v>0</v>
      </c>
      <c r="W2404" s="35" t="n">
        <f aca="false">IFERROR(INDEX(LevelOneOff,MATCH($H2404,LevelList,0)),0)</f>
        <v>0</v>
      </c>
      <c r="X2404" s="35" t="str">
        <f aca="false">IF($G2404="","",$V2404*N($L2404))</f>
        <v/>
      </c>
      <c r="Y2404" s="35" t="str">
        <f aca="false">IF($G2404="","",$V2404*(N($M2404)*1+N($N2404)*0.75+N($O2404)*0.5+N($P2404)*0.25)+$W2404*N($L2404))</f>
        <v/>
      </c>
      <c r="Z2404" s="35" t="str">
        <f aca="false">IF($G2404="","",$U2404*1000000+ROW())</f>
        <v/>
      </c>
      <c r="AA2404" s="36" t="str">
        <f aca="false">IF($G2404="","",MID(IF($C2404="",", no division","")&amp;IF($E2404="",", no unit","")&amp;IF($H2404="",", no career level","")&amp;IF(N($L2404)&lt;=0,", no quarter split","")&amp;IF($R2404="",", no driver","")&amp;IF(AND($H2404&lt;&gt;"",COUNTIF(CareerLevels,$H2404)=0),", a career level that is not on the ladder","")&amp;IF(AND($R2404&lt;&gt;"",COUNTIF(DriverList,$R2404)=0),", a driver that is not on the list","")&amp;IF(ABS(N($L2404)-(N($M2404)+N($N2404)+N($O2404)+N($P2404)))&gt;0.001,", a total that does not match its quarters",""),3,300))</f>
        <v/>
      </c>
    </row>
    <row r="2405" customFormat="false" ht="15" hidden="false" customHeight="false" outlineLevel="0" collapsed="false">
      <c r="A2405" s="33" t="str">
        <f aca="false">IF($G2405="","","Treasury &amp; Investments Group")</f>
        <v/>
      </c>
      <c r="B2405" s="19"/>
      <c r="C2405" s="19"/>
      <c r="D2405" s="19"/>
      <c r="E2405" s="19"/>
      <c r="F2405" s="19"/>
      <c r="G2405" s="19"/>
      <c r="H2405" s="19"/>
      <c r="I2405" s="19"/>
      <c r="J2405" s="19"/>
      <c r="K2405" s="19"/>
      <c r="L2405" s="19"/>
      <c r="M2405" s="19"/>
      <c r="N2405" s="19"/>
      <c r="O2405" s="19"/>
      <c r="P2405" s="19"/>
      <c r="Q2405" s="19"/>
      <c r="R2405" s="19"/>
      <c r="S2405" s="19"/>
      <c r="T2405" s="34" t="str">
        <f aca="false">IF($R2405="","",IFERROR(INDEX(DriverCategory,MATCH($R2405,DriverList,0)),"BAU"))</f>
        <v/>
      </c>
      <c r="U2405" s="34" t="str">
        <f aca="false">IF($R2405="","",IFERROR(INDEX(DriverRank,MATCH($R2405,DriverList,0)),99))</f>
        <v/>
      </c>
      <c r="V2405" s="35" t="n">
        <f aca="false">IF($H2405="",0,IFERROR(INDEX(LevelBasic,MATCH($H2405,LevelList,0))+INDEX(LevelHousing,MATCH($H2405,LevelList,0))+INDEX(LevelTransport,MATCH($H2405,LevelList,0))+INDEX(LevelBasic,MATCH($H2405,LevelList,0))*INDEX(LevelBonus,MATCH($H2405,LevelList,0))+(INDEX(LevelBasic,MATCH($H2405,LevelList,0))+INDEX(LevelHousing,MATCH($H2405,LevelList,0)))*GosiSaudi,0))</f>
        <v>0</v>
      </c>
      <c r="W2405" s="35" t="n">
        <f aca="false">IFERROR(INDEX(LevelOneOff,MATCH($H2405,LevelList,0)),0)</f>
        <v>0</v>
      </c>
      <c r="X2405" s="35" t="str">
        <f aca="false">IF($G2405="","",$V2405*N($L2405))</f>
        <v/>
      </c>
      <c r="Y2405" s="35" t="str">
        <f aca="false">IF($G2405="","",$V2405*(N($M2405)*1+N($N2405)*0.75+N($O2405)*0.5+N($P2405)*0.25)+$W2405*N($L2405))</f>
        <v/>
      </c>
      <c r="Z2405" s="35" t="str">
        <f aca="false">IF($G2405="","",$U2405*1000000+ROW())</f>
        <v/>
      </c>
      <c r="AA2405" s="36" t="str">
        <f aca="false">IF($G2405="","",MID(IF($C2405="",", no division","")&amp;IF($E2405="",", no unit","")&amp;IF($H2405="",", no career level","")&amp;IF(N($L2405)&lt;=0,", no quarter split","")&amp;IF($R2405="",", no driver","")&amp;IF(AND($H2405&lt;&gt;"",COUNTIF(CareerLevels,$H2405)=0),", a career level that is not on the ladder","")&amp;IF(AND($R2405&lt;&gt;"",COUNTIF(DriverList,$R2405)=0),", a driver that is not on the list","")&amp;IF(ABS(N($L2405)-(N($M2405)+N($N2405)+N($O2405)+N($P2405)))&gt;0.001,", a total that does not match its quarters",""),3,300))</f>
        <v/>
      </c>
    </row>
  </sheetData>
  <sheetProtection sheet="true" sort="false" autoFilter="false"/>
  <autoFilter ref="A5:AA2405"/>
  <mergeCells count="1">
    <mergeCell ref="A2:J2"/>
  </mergeCells>
  <conditionalFormatting sqref="A6:AA2405">
    <cfRule type="expression" priority="2" aboveAverage="0" equalAverage="0" bottom="0" percent="0" rank="0" text="" dxfId="11">
      <formula>$AA6&lt;&gt;""</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5"/>
    <col collapsed="false" customWidth="true" hidden="false" outlineLevel="0" max="4" min="4" style="0" width="13"/>
    <col collapsed="false" customWidth="true" hidden="false" outlineLevel="0" max="5" min="5" style="0" width="12"/>
    <col collapsed="false" customWidth="true" hidden="false" outlineLevel="0" max="7" min="6" style="0" width="14"/>
    <col collapsed="false" customWidth="true" hidden="false" outlineLevel="0" max="9" min="8" style="0" width="15"/>
  </cols>
  <sheetData>
    <row r="1" customFormat="false" ht="24" hidden="false" customHeight="true" outlineLevel="0" collapsed="false">
      <c r="A1" s="1" t="s">
        <v>129</v>
      </c>
    </row>
    <row r="2" customFormat="false" ht="15" hidden="false" customHeight="false" outlineLevel="0" collapsed="false">
      <c r="A2" s="2" t="s">
        <v>130</v>
      </c>
      <c r="B2" s="2"/>
      <c r="C2" s="2"/>
      <c r="D2" s="2"/>
      <c r="E2" s="2"/>
      <c r="F2" s="2"/>
      <c r="G2" s="2"/>
      <c r="H2" s="2"/>
      <c r="I2" s="2"/>
      <c r="J2" s="2"/>
    </row>
    <row r="5" customFormat="false" ht="30" hidden="false" customHeight="true" outlineLevel="0" collapsed="false">
      <c r="A5" s="16" t="s">
        <v>43</v>
      </c>
      <c r="B5" s="16" t="s">
        <v>105</v>
      </c>
      <c r="C5" s="16" t="s">
        <v>113</v>
      </c>
      <c r="D5" s="16" t="s">
        <v>59</v>
      </c>
      <c r="E5" s="16" t="s">
        <v>114</v>
      </c>
      <c r="F5" s="16" t="s">
        <v>131</v>
      </c>
      <c r="G5" s="16" t="s">
        <v>132</v>
      </c>
      <c r="H5" s="16" t="s">
        <v>133</v>
      </c>
      <c r="I5" s="16" t="s">
        <v>134</v>
      </c>
    </row>
    <row r="6" customFormat="false" ht="15" hidden="false" customHeight="false" outlineLevel="0" collapsed="false">
      <c r="A6" s="28" t="str">
        <f aca="false">IF(COUNT($C6:$H6)=0,"","CEO Office")</f>
        <v/>
      </c>
      <c r="B6" s="29"/>
      <c r="C6" s="37"/>
      <c r="D6" s="37"/>
      <c r="E6" s="37"/>
      <c r="F6" s="37"/>
      <c r="G6" s="37"/>
      <c r="H6" s="38"/>
      <c r="I6" s="38"/>
    </row>
    <row r="7" customFormat="false" ht="15" hidden="false" customHeight="false" outlineLevel="0" collapsed="false">
      <c r="A7" s="33" t="str">
        <f aca="false">IF(COUNT($C7:$H7)=0,"","CEO Office")</f>
        <v/>
      </c>
      <c r="B7" s="19"/>
      <c r="C7" s="39"/>
      <c r="D7" s="39"/>
      <c r="E7" s="39"/>
      <c r="F7" s="39"/>
      <c r="G7" s="39"/>
      <c r="H7" s="12"/>
      <c r="I7" s="12"/>
    </row>
    <row r="8" customFormat="false" ht="15" hidden="false" customHeight="false" outlineLevel="0" collapsed="false">
      <c r="A8" s="33" t="str">
        <f aca="false">IF(COUNT($C8:$H8)=0,"","CEO Office")</f>
        <v/>
      </c>
      <c r="B8" s="19"/>
      <c r="C8" s="39"/>
      <c r="D8" s="39"/>
      <c r="E8" s="39"/>
      <c r="F8" s="39"/>
      <c r="G8" s="39"/>
      <c r="H8" s="12"/>
      <c r="I8" s="12"/>
    </row>
    <row r="9" customFormat="false" ht="15" hidden="false" customHeight="false" outlineLevel="0" collapsed="false">
      <c r="A9" s="33" t="str">
        <f aca="false">IF(COUNT($C9:$H9)=0,"","CEO Office")</f>
        <v/>
      </c>
      <c r="B9" s="19"/>
      <c r="C9" s="39"/>
      <c r="D9" s="39"/>
      <c r="E9" s="39"/>
      <c r="F9" s="39"/>
      <c r="G9" s="39"/>
      <c r="H9" s="12"/>
      <c r="I9" s="12"/>
    </row>
    <row r="10" customFormat="false" ht="15" hidden="false" customHeight="false" outlineLevel="0" collapsed="false">
      <c r="A10" s="33" t="str">
        <f aca="false">IF(COUNT($C10:$H10)=0,"","CEO Office")</f>
        <v/>
      </c>
      <c r="B10" s="19"/>
      <c r="C10" s="39"/>
      <c r="D10" s="39"/>
      <c r="E10" s="39"/>
      <c r="F10" s="39"/>
      <c r="G10" s="39"/>
      <c r="H10" s="12"/>
      <c r="I10" s="12"/>
    </row>
    <row r="11" customFormat="false" ht="15" hidden="false" customHeight="false" outlineLevel="0" collapsed="false">
      <c r="A11" s="33" t="str">
        <f aca="false">IF(COUNT($C11:$H11)=0,"","CEO Office")</f>
        <v/>
      </c>
      <c r="B11" s="19"/>
      <c r="C11" s="39"/>
      <c r="D11" s="39"/>
      <c r="E11" s="39"/>
      <c r="F11" s="39"/>
      <c r="G11" s="39"/>
      <c r="H11" s="12"/>
      <c r="I11" s="12"/>
    </row>
    <row r="12" customFormat="false" ht="15" hidden="false" customHeight="false" outlineLevel="0" collapsed="false">
      <c r="A12" s="33" t="str">
        <f aca="false">IF(COUNT($C12:$H12)=0,"","CEO Office")</f>
        <v/>
      </c>
      <c r="B12" s="19"/>
      <c r="C12" s="39"/>
      <c r="D12" s="39"/>
      <c r="E12" s="39"/>
      <c r="F12" s="39"/>
      <c r="G12" s="39"/>
      <c r="H12" s="12"/>
      <c r="I12" s="12"/>
    </row>
    <row r="13" customFormat="false" ht="15" hidden="false" customHeight="false" outlineLevel="0" collapsed="false">
      <c r="A13" s="33" t="str">
        <f aca="false">IF(COUNT($C13:$H13)=0,"","CEO Office")</f>
        <v/>
      </c>
      <c r="B13" s="19"/>
      <c r="C13" s="39"/>
      <c r="D13" s="39"/>
      <c r="E13" s="39"/>
      <c r="F13" s="39"/>
      <c r="G13" s="39"/>
      <c r="H13" s="12"/>
      <c r="I13" s="12"/>
    </row>
    <row r="14" customFormat="false" ht="15" hidden="false" customHeight="false" outlineLevel="0" collapsed="false">
      <c r="A14" s="28" t="str">
        <f aca="false">IF(COUNT($C14:$H14)=0,"","Compliance Group")</f>
        <v/>
      </c>
      <c r="B14" s="29"/>
      <c r="C14" s="37"/>
      <c r="D14" s="37"/>
      <c r="E14" s="37"/>
      <c r="F14" s="37"/>
      <c r="G14" s="37"/>
      <c r="H14" s="38"/>
      <c r="I14" s="38"/>
    </row>
    <row r="15" customFormat="false" ht="15" hidden="false" customHeight="false" outlineLevel="0" collapsed="false">
      <c r="A15" s="33" t="str">
        <f aca="false">IF(COUNT($C15:$H15)=0,"","Compliance Group")</f>
        <v/>
      </c>
      <c r="B15" s="19"/>
      <c r="C15" s="39"/>
      <c r="D15" s="39"/>
      <c r="E15" s="39"/>
      <c r="F15" s="39"/>
      <c r="G15" s="39"/>
      <c r="H15" s="12"/>
      <c r="I15" s="12"/>
    </row>
    <row r="16" customFormat="false" ht="15" hidden="false" customHeight="false" outlineLevel="0" collapsed="false">
      <c r="A16" s="33" t="str">
        <f aca="false">IF(COUNT($C16:$H16)=0,"","Compliance Group")</f>
        <v/>
      </c>
      <c r="B16" s="19"/>
      <c r="C16" s="39"/>
      <c r="D16" s="39"/>
      <c r="E16" s="39"/>
      <c r="F16" s="39"/>
      <c r="G16" s="39"/>
      <c r="H16" s="12"/>
      <c r="I16" s="12"/>
    </row>
    <row r="17" customFormat="false" ht="15" hidden="false" customHeight="false" outlineLevel="0" collapsed="false">
      <c r="A17" s="33" t="str">
        <f aca="false">IF(COUNT($C17:$H17)=0,"","Compliance Group")</f>
        <v/>
      </c>
      <c r="B17" s="19"/>
      <c r="C17" s="39"/>
      <c r="D17" s="39"/>
      <c r="E17" s="39"/>
      <c r="F17" s="39"/>
      <c r="G17" s="39"/>
      <c r="H17" s="12"/>
      <c r="I17" s="12"/>
    </row>
    <row r="18" customFormat="false" ht="15" hidden="false" customHeight="false" outlineLevel="0" collapsed="false">
      <c r="A18" s="33" t="str">
        <f aca="false">IF(COUNT($C18:$H18)=0,"","Compliance Group")</f>
        <v/>
      </c>
      <c r="B18" s="19"/>
      <c r="C18" s="39"/>
      <c r="D18" s="39"/>
      <c r="E18" s="39"/>
      <c r="F18" s="39"/>
      <c r="G18" s="39"/>
      <c r="H18" s="12"/>
      <c r="I18" s="12"/>
    </row>
    <row r="19" customFormat="false" ht="15" hidden="false" customHeight="false" outlineLevel="0" collapsed="false">
      <c r="A19" s="33" t="str">
        <f aca="false">IF(COUNT($C19:$H19)=0,"","Compliance Group")</f>
        <v/>
      </c>
      <c r="B19" s="19"/>
      <c r="C19" s="39"/>
      <c r="D19" s="39"/>
      <c r="E19" s="39"/>
      <c r="F19" s="39"/>
      <c r="G19" s="39"/>
      <c r="H19" s="12"/>
      <c r="I19" s="12"/>
    </row>
    <row r="20" customFormat="false" ht="15" hidden="false" customHeight="false" outlineLevel="0" collapsed="false">
      <c r="A20" s="33" t="str">
        <f aca="false">IF(COUNT($C20:$H20)=0,"","Compliance Group")</f>
        <v/>
      </c>
      <c r="B20" s="19"/>
      <c r="C20" s="39"/>
      <c r="D20" s="39"/>
      <c r="E20" s="39"/>
      <c r="F20" s="39"/>
      <c r="G20" s="39"/>
      <c r="H20" s="12"/>
      <c r="I20" s="12"/>
    </row>
    <row r="21" customFormat="false" ht="15" hidden="false" customHeight="false" outlineLevel="0" collapsed="false">
      <c r="A21" s="33" t="str">
        <f aca="false">IF(COUNT($C21:$H21)=0,"","Compliance Group")</f>
        <v/>
      </c>
      <c r="B21" s="19"/>
      <c r="C21" s="39"/>
      <c r="D21" s="39"/>
      <c r="E21" s="39"/>
      <c r="F21" s="39"/>
      <c r="G21" s="39"/>
      <c r="H21" s="12"/>
      <c r="I21" s="12"/>
    </row>
    <row r="22" customFormat="false" ht="15" hidden="false" customHeight="false" outlineLevel="0" collapsed="false">
      <c r="A22" s="28" t="str">
        <f aca="false">IF(COUNT($C22:$H22)=0,"","Corporate Banking Group")</f>
        <v/>
      </c>
      <c r="B22" s="29"/>
      <c r="C22" s="37"/>
      <c r="D22" s="37"/>
      <c r="E22" s="37"/>
      <c r="F22" s="37"/>
      <c r="G22" s="37"/>
      <c r="H22" s="38"/>
      <c r="I22" s="38"/>
    </row>
    <row r="23" customFormat="false" ht="15" hidden="false" customHeight="false" outlineLevel="0" collapsed="false">
      <c r="A23" s="33" t="str">
        <f aca="false">IF(COUNT($C23:$H23)=0,"","Corporate Banking Group")</f>
        <v/>
      </c>
      <c r="B23" s="19"/>
      <c r="C23" s="39"/>
      <c r="D23" s="39"/>
      <c r="E23" s="39"/>
      <c r="F23" s="39"/>
      <c r="G23" s="39"/>
      <c r="H23" s="12"/>
      <c r="I23" s="12"/>
    </row>
    <row r="24" customFormat="false" ht="15" hidden="false" customHeight="false" outlineLevel="0" collapsed="false">
      <c r="A24" s="33" t="str">
        <f aca="false">IF(COUNT($C24:$H24)=0,"","Corporate Banking Group")</f>
        <v/>
      </c>
      <c r="B24" s="19"/>
      <c r="C24" s="39"/>
      <c r="D24" s="39"/>
      <c r="E24" s="39"/>
      <c r="F24" s="39"/>
      <c r="G24" s="39"/>
      <c r="H24" s="12"/>
      <c r="I24" s="12"/>
    </row>
    <row r="25" customFormat="false" ht="15" hidden="false" customHeight="false" outlineLevel="0" collapsed="false">
      <c r="A25" s="33" t="str">
        <f aca="false">IF(COUNT($C25:$H25)=0,"","Corporate Banking Group")</f>
        <v/>
      </c>
      <c r="B25" s="19"/>
      <c r="C25" s="39"/>
      <c r="D25" s="39"/>
      <c r="E25" s="39"/>
      <c r="F25" s="39"/>
      <c r="G25" s="39"/>
      <c r="H25" s="12"/>
      <c r="I25" s="12"/>
    </row>
    <row r="26" customFormat="false" ht="15" hidden="false" customHeight="false" outlineLevel="0" collapsed="false">
      <c r="A26" s="33" t="str">
        <f aca="false">IF(COUNT($C26:$H26)=0,"","Corporate Banking Group")</f>
        <v/>
      </c>
      <c r="B26" s="19"/>
      <c r="C26" s="39"/>
      <c r="D26" s="39"/>
      <c r="E26" s="39"/>
      <c r="F26" s="39"/>
      <c r="G26" s="39"/>
      <c r="H26" s="12"/>
      <c r="I26" s="12"/>
    </row>
    <row r="27" customFormat="false" ht="15" hidden="false" customHeight="false" outlineLevel="0" collapsed="false">
      <c r="A27" s="33" t="str">
        <f aca="false">IF(COUNT($C27:$H27)=0,"","Corporate Banking Group")</f>
        <v/>
      </c>
      <c r="B27" s="19"/>
      <c r="C27" s="39"/>
      <c r="D27" s="39"/>
      <c r="E27" s="39"/>
      <c r="F27" s="39"/>
      <c r="G27" s="39"/>
      <c r="H27" s="12"/>
      <c r="I27" s="12"/>
    </row>
    <row r="28" customFormat="false" ht="15" hidden="false" customHeight="false" outlineLevel="0" collapsed="false">
      <c r="A28" s="33" t="str">
        <f aca="false">IF(COUNT($C28:$H28)=0,"","Corporate Banking Group")</f>
        <v/>
      </c>
      <c r="B28" s="19"/>
      <c r="C28" s="39"/>
      <c r="D28" s="39"/>
      <c r="E28" s="39"/>
      <c r="F28" s="39"/>
      <c r="G28" s="39"/>
      <c r="H28" s="12"/>
      <c r="I28" s="12"/>
    </row>
    <row r="29" customFormat="false" ht="15" hidden="false" customHeight="false" outlineLevel="0" collapsed="false">
      <c r="A29" s="33" t="str">
        <f aca="false">IF(COUNT($C29:$H29)=0,"","Corporate Banking Group")</f>
        <v/>
      </c>
      <c r="B29" s="19"/>
      <c r="C29" s="39"/>
      <c r="D29" s="39"/>
      <c r="E29" s="39"/>
      <c r="F29" s="39"/>
      <c r="G29" s="39"/>
      <c r="H29" s="12"/>
      <c r="I29" s="12"/>
    </row>
    <row r="30" customFormat="false" ht="15" hidden="false" customHeight="false" outlineLevel="0" collapsed="false">
      <c r="A30" s="28" t="str">
        <f aca="false">IF(COUNT($C30:$H30)=0,"","Finance Group")</f>
        <v/>
      </c>
      <c r="B30" s="29"/>
      <c r="C30" s="37"/>
      <c r="D30" s="37"/>
      <c r="E30" s="37"/>
      <c r="F30" s="37"/>
      <c r="G30" s="37"/>
      <c r="H30" s="38"/>
      <c r="I30" s="38"/>
    </row>
    <row r="31" customFormat="false" ht="15" hidden="false" customHeight="false" outlineLevel="0" collapsed="false">
      <c r="A31" s="33" t="str">
        <f aca="false">IF(COUNT($C31:$H31)=0,"","Finance Group")</f>
        <v/>
      </c>
      <c r="B31" s="19"/>
      <c r="C31" s="39"/>
      <c r="D31" s="39"/>
      <c r="E31" s="39"/>
      <c r="F31" s="39"/>
      <c r="G31" s="39"/>
      <c r="H31" s="12"/>
      <c r="I31" s="12"/>
    </row>
    <row r="32" customFormat="false" ht="15" hidden="false" customHeight="false" outlineLevel="0" collapsed="false">
      <c r="A32" s="33" t="str">
        <f aca="false">IF(COUNT($C32:$H32)=0,"","Finance Group")</f>
        <v/>
      </c>
      <c r="B32" s="19"/>
      <c r="C32" s="39"/>
      <c r="D32" s="39"/>
      <c r="E32" s="39"/>
      <c r="F32" s="39"/>
      <c r="G32" s="39"/>
      <c r="H32" s="12"/>
      <c r="I32" s="12"/>
    </row>
    <row r="33" customFormat="false" ht="15" hidden="false" customHeight="false" outlineLevel="0" collapsed="false">
      <c r="A33" s="33" t="str">
        <f aca="false">IF(COUNT($C33:$H33)=0,"","Finance Group")</f>
        <v/>
      </c>
      <c r="B33" s="19"/>
      <c r="C33" s="39"/>
      <c r="D33" s="39"/>
      <c r="E33" s="39"/>
      <c r="F33" s="39"/>
      <c r="G33" s="39"/>
      <c r="H33" s="12"/>
      <c r="I33" s="12"/>
    </row>
    <row r="34" customFormat="false" ht="15" hidden="false" customHeight="false" outlineLevel="0" collapsed="false">
      <c r="A34" s="33" t="str">
        <f aca="false">IF(COUNT($C34:$H34)=0,"","Finance Group")</f>
        <v/>
      </c>
      <c r="B34" s="19"/>
      <c r="C34" s="39"/>
      <c r="D34" s="39"/>
      <c r="E34" s="39"/>
      <c r="F34" s="39"/>
      <c r="G34" s="39"/>
      <c r="H34" s="12"/>
      <c r="I34" s="12"/>
    </row>
    <row r="35" customFormat="false" ht="15" hidden="false" customHeight="false" outlineLevel="0" collapsed="false">
      <c r="A35" s="33" t="str">
        <f aca="false">IF(COUNT($C35:$H35)=0,"","Finance Group")</f>
        <v/>
      </c>
      <c r="B35" s="19"/>
      <c r="C35" s="39"/>
      <c r="D35" s="39"/>
      <c r="E35" s="39"/>
      <c r="F35" s="39"/>
      <c r="G35" s="39"/>
      <c r="H35" s="12"/>
      <c r="I35" s="12"/>
    </row>
    <row r="36" customFormat="false" ht="15" hidden="false" customHeight="false" outlineLevel="0" collapsed="false">
      <c r="A36" s="33" t="str">
        <f aca="false">IF(COUNT($C36:$H36)=0,"","Finance Group")</f>
        <v/>
      </c>
      <c r="B36" s="19"/>
      <c r="C36" s="39"/>
      <c r="D36" s="39"/>
      <c r="E36" s="39"/>
      <c r="F36" s="39"/>
      <c r="G36" s="39"/>
      <c r="H36" s="12"/>
      <c r="I36" s="12"/>
    </row>
    <row r="37" customFormat="false" ht="15" hidden="false" customHeight="false" outlineLevel="0" collapsed="false">
      <c r="A37" s="33" t="str">
        <f aca="false">IF(COUNT($C37:$H37)=0,"","Finance Group")</f>
        <v/>
      </c>
      <c r="B37" s="19"/>
      <c r="C37" s="39"/>
      <c r="D37" s="39"/>
      <c r="E37" s="39"/>
      <c r="F37" s="39"/>
      <c r="G37" s="39"/>
      <c r="H37" s="12"/>
      <c r="I37" s="12"/>
    </row>
    <row r="38" customFormat="false" ht="15" hidden="false" customHeight="false" outlineLevel="0" collapsed="false">
      <c r="A38" s="28" t="str">
        <f aca="false">IF(COUNT($C38:$H38)=0,"","Human Resources Group")</f>
        <v/>
      </c>
      <c r="B38" s="29"/>
      <c r="C38" s="37"/>
      <c r="D38" s="37"/>
      <c r="E38" s="37"/>
      <c r="F38" s="37"/>
      <c r="G38" s="37"/>
      <c r="H38" s="38"/>
      <c r="I38" s="38"/>
    </row>
    <row r="39" customFormat="false" ht="15" hidden="false" customHeight="false" outlineLevel="0" collapsed="false">
      <c r="A39" s="33" t="str">
        <f aca="false">IF(COUNT($C39:$H39)=0,"","Human Resources Group")</f>
        <v/>
      </c>
      <c r="B39" s="19"/>
      <c r="C39" s="39"/>
      <c r="D39" s="39"/>
      <c r="E39" s="39"/>
      <c r="F39" s="39"/>
      <c r="G39" s="39"/>
      <c r="H39" s="12"/>
      <c r="I39" s="12"/>
    </row>
    <row r="40" customFormat="false" ht="15" hidden="false" customHeight="false" outlineLevel="0" collapsed="false">
      <c r="A40" s="33" t="str">
        <f aca="false">IF(COUNT($C40:$H40)=0,"","Human Resources Group")</f>
        <v/>
      </c>
      <c r="B40" s="19"/>
      <c r="C40" s="39"/>
      <c r="D40" s="39"/>
      <c r="E40" s="39"/>
      <c r="F40" s="39"/>
      <c r="G40" s="39"/>
      <c r="H40" s="12"/>
      <c r="I40" s="12"/>
    </row>
    <row r="41" customFormat="false" ht="15" hidden="false" customHeight="false" outlineLevel="0" collapsed="false">
      <c r="A41" s="33" t="str">
        <f aca="false">IF(COUNT($C41:$H41)=0,"","Human Resources Group")</f>
        <v/>
      </c>
      <c r="B41" s="19"/>
      <c r="C41" s="39"/>
      <c r="D41" s="39"/>
      <c r="E41" s="39"/>
      <c r="F41" s="39"/>
      <c r="G41" s="39"/>
      <c r="H41" s="12"/>
      <c r="I41" s="12"/>
    </row>
    <row r="42" customFormat="false" ht="15" hidden="false" customHeight="false" outlineLevel="0" collapsed="false">
      <c r="A42" s="33" t="str">
        <f aca="false">IF(COUNT($C42:$H42)=0,"","Human Resources Group")</f>
        <v/>
      </c>
      <c r="B42" s="19"/>
      <c r="C42" s="39"/>
      <c r="D42" s="39"/>
      <c r="E42" s="39"/>
      <c r="F42" s="39"/>
      <c r="G42" s="39"/>
      <c r="H42" s="12"/>
      <c r="I42" s="12"/>
    </row>
    <row r="43" customFormat="false" ht="15" hidden="false" customHeight="false" outlineLevel="0" collapsed="false">
      <c r="A43" s="33" t="str">
        <f aca="false">IF(COUNT($C43:$H43)=0,"","Human Resources Group")</f>
        <v/>
      </c>
      <c r="B43" s="19"/>
      <c r="C43" s="39"/>
      <c r="D43" s="39"/>
      <c r="E43" s="39"/>
      <c r="F43" s="39"/>
      <c r="G43" s="39"/>
      <c r="H43" s="12"/>
      <c r="I43" s="12"/>
    </row>
    <row r="44" customFormat="false" ht="15" hidden="false" customHeight="false" outlineLevel="0" collapsed="false">
      <c r="A44" s="33" t="str">
        <f aca="false">IF(COUNT($C44:$H44)=0,"","Human Resources Group")</f>
        <v/>
      </c>
      <c r="B44" s="19"/>
      <c r="C44" s="39"/>
      <c r="D44" s="39"/>
      <c r="E44" s="39"/>
      <c r="F44" s="39"/>
      <c r="G44" s="39"/>
      <c r="H44" s="12"/>
      <c r="I44" s="12"/>
    </row>
    <row r="45" customFormat="false" ht="15" hidden="false" customHeight="false" outlineLevel="0" collapsed="false">
      <c r="A45" s="33" t="str">
        <f aca="false">IF(COUNT($C45:$H45)=0,"","Human Resources Group")</f>
        <v/>
      </c>
      <c r="B45" s="19"/>
      <c r="C45" s="39"/>
      <c r="D45" s="39"/>
      <c r="E45" s="39"/>
      <c r="F45" s="39"/>
      <c r="G45" s="39"/>
      <c r="H45" s="12"/>
      <c r="I45" s="12"/>
    </row>
    <row r="46" customFormat="false" ht="15" hidden="false" customHeight="false" outlineLevel="0" collapsed="false">
      <c r="A46" s="28" t="str">
        <f aca="false">IF(COUNT($C46:$H46)=0,"","Internal Audit Group")</f>
        <v/>
      </c>
      <c r="B46" s="29"/>
      <c r="C46" s="37"/>
      <c r="D46" s="37"/>
      <c r="E46" s="37"/>
      <c r="F46" s="37"/>
      <c r="G46" s="37"/>
      <c r="H46" s="38"/>
      <c r="I46" s="38"/>
    </row>
    <row r="47" customFormat="false" ht="15" hidden="false" customHeight="false" outlineLevel="0" collapsed="false">
      <c r="A47" s="33" t="str">
        <f aca="false">IF(COUNT($C47:$H47)=0,"","Internal Audit Group")</f>
        <v/>
      </c>
      <c r="B47" s="19"/>
      <c r="C47" s="39"/>
      <c r="D47" s="39"/>
      <c r="E47" s="39"/>
      <c r="F47" s="39"/>
      <c r="G47" s="39"/>
      <c r="H47" s="12"/>
      <c r="I47" s="12"/>
    </row>
    <row r="48" customFormat="false" ht="15" hidden="false" customHeight="false" outlineLevel="0" collapsed="false">
      <c r="A48" s="33" t="str">
        <f aca="false">IF(COUNT($C48:$H48)=0,"","Internal Audit Group")</f>
        <v/>
      </c>
      <c r="B48" s="19"/>
      <c r="C48" s="39"/>
      <c r="D48" s="39"/>
      <c r="E48" s="39"/>
      <c r="F48" s="39"/>
      <c r="G48" s="39"/>
      <c r="H48" s="12"/>
      <c r="I48" s="12"/>
    </row>
    <row r="49" customFormat="false" ht="15" hidden="false" customHeight="false" outlineLevel="0" collapsed="false">
      <c r="A49" s="33" t="str">
        <f aca="false">IF(COUNT($C49:$H49)=0,"","Internal Audit Group")</f>
        <v/>
      </c>
      <c r="B49" s="19"/>
      <c r="C49" s="39"/>
      <c r="D49" s="39"/>
      <c r="E49" s="39"/>
      <c r="F49" s="39"/>
      <c r="G49" s="39"/>
      <c r="H49" s="12"/>
      <c r="I49" s="12"/>
    </row>
    <row r="50" customFormat="false" ht="15" hidden="false" customHeight="false" outlineLevel="0" collapsed="false">
      <c r="A50" s="33" t="str">
        <f aca="false">IF(COUNT($C50:$H50)=0,"","Internal Audit Group")</f>
        <v/>
      </c>
      <c r="B50" s="19"/>
      <c r="C50" s="39"/>
      <c r="D50" s="39"/>
      <c r="E50" s="39"/>
      <c r="F50" s="39"/>
      <c r="G50" s="39"/>
      <c r="H50" s="12"/>
      <c r="I50" s="12"/>
    </row>
    <row r="51" customFormat="false" ht="15" hidden="false" customHeight="false" outlineLevel="0" collapsed="false">
      <c r="A51" s="33" t="str">
        <f aca="false">IF(COUNT($C51:$H51)=0,"","Internal Audit Group")</f>
        <v/>
      </c>
      <c r="B51" s="19"/>
      <c r="C51" s="39"/>
      <c r="D51" s="39"/>
      <c r="E51" s="39"/>
      <c r="F51" s="39"/>
      <c r="G51" s="39"/>
      <c r="H51" s="12"/>
      <c r="I51" s="12"/>
    </row>
    <row r="52" customFormat="false" ht="15" hidden="false" customHeight="false" outlineLevel="0" collapsed="false">
      <c r="A52" s="33" t="str">
        <f aca="false">IF(COUNT($C52:$H52)=0,"","Internal Audit Group")</f>
        <v/>
      </c>
      <c r="B52" s="19"/>
      <c r="C52" s="39"/>
      <c r="D52" s="39"/>
      <c r="E52" s="39"/>
      <c r="F52" s="39"/>
      <c r="G52" s="39"/>
      <c r="H52" s="12"/>
      <c r="I52" s="12"/>
    </row>
    <row r="53" customFormat="false" ht="15" hidden="false" customHeight="false" outlineLevel="0" collapsed="false">
      <c r="A53" s="33" t="str">
        <f aca="false">IF(COUNT($C53:$H53)=0,"","Internal Audit Group")</f>
        <v/>
      </c>
      <c r="B53" s="19"/>
      <c r="C53" s="39"/>
      <c r="D53" s="39"/>
      <c r="E53" s="39"/>
      <c r="F53" s="39"/>
      <c r="G53" s="39"/>
      <c r="H53" s="12"/>
      <c r="I53" s="12"/>
    </row>
    <row r="54" customFormat="false" ht="15" hidden="false" customHeight="false" outlineLevel="0" collapsed="false">
      <c r="A54" s="28" t="str">
        <f aca="false">IF(COUNT($C54:$H54)=0,"","Legal Group")</f>
        <v/>
      </c>
      <c r="B54" s="29"/>
      <c r="C54" s="37"/>
      <c r="D54" s="37"/>
      <c r="E54" s="37"/>
      <c r="F54" s="37"/>
      <c r="G54" s="37"/>
      <c r="H54" s="38"/>
      <c r="I54" s="38"/>
    </row>
    <row r="55" customFormat="false" ht="15" hidden="false" customHeight="false" outlineLevel="0" collapsed="false">
      <c r="A55" s="33" t="str">
        <f aca="false">IF(COUNT($C55:$H55)=0,"","Legal Group")</f>
        <v/>
      </c>
      <c r="B55" s="19"/>
      <c r="C55" s="39"/>
      <c r="D55" s="39"/>
      <c r="E55" s="39"/>
      <c r="F55" s="39"/>
      <c r="G55" s="39"/>
      <c r="H55" s="12"/>
      <c r="I55" s="12"/>
    </row>
    <row r="56" customFormat="false" ht="15" hidden="false" customHeight="false" outlineLevel="0" collapsed="false">
      <c r="A56" s="33" t="str">
        <f aca="false">IF(COUNT($C56:$H56)=0,"","Legal Group")</f>
        <v/>
      </c>
      <c r="B56" s="19"/>
      <c r="C56" s="39"/>
      <c r="D56" s="39"/>
      <c r="E56" s="39"/>
      <c r="F56" s="39"/>
      <c r="G56" s="39"/>
      <c r="H56" s="12"/>
      <c r="I56" s="12"/>
    </row>
    <row r="57" customFormat="false" ht="15" hidden="false" customHeight="false" outlineLevel="0" collapsed="false">
      <c r="A57" s="33" t="str">
        <f aca="false">IF(COUNT($C57:$H57)=0,"","Legal Group")</f>
        <v/>
      </c>
      <c r="B57" s="19"/>
      <c r="C57" s="39"/>
      <c r="D57" s="39"/>
      <c r="E57" s="39"/>
      <c r="F57" s="39"/>
      <c r="G57" s="39"/>
      <c r="H57" s="12"/>
      <c r="I57" s="12"/>
    </row>
    <row r="58" customFormat="false" ht="15" hidden="false" customHeight="false" outlineLevel="0" collapsed="false">
      <c r="A58" s="33" t="str">
        <f aca="false">IF(COUNT($C58:$H58)=0,"","Legal Group")</f>
        <v/>
      </c>
      <c r="B58" s="19"/>
      <c r="C58" s="39"/>
      <c r="D58" s="39"/>
      <c r="E58" s="39"/>
      <c r="F58" s="39"/>
      <c r="G58" s="39"/>
      <c r="H58" s="12"/>
      <c r="I58" s="12"/>
    </row>
    <row r="59" customFormat="false" ht="15" hidden="false" customHeight="false" outlineLevel="0" collapsed="false">
      <c r="A59" s="33" t="str">
        <f aca="false">IF(COUNT($C59:$H59)=0,"","Legal Group")</f>
        <v/>
      </c>
      <c r="B59" s="19"/>
      <c r="C59" s="39"/>
      <c r="D59" s="39"/>
      <c r="E59" s="39"/>
      <c r="F59" s="39"/>
      <c r="G59" s="39"/>
      <c r="H59" s="12"/>
      <c r="I59" s="12"/>
    </row>
    <row r="60" customFormat="false" ht="15" hidden="false" customHeight="false" outlineLevel="0" collapsed="false">
      <c r="A60" s="33" t="str">
        <f aca="false">IF(COUNT($C60:$H60)=0,"","Legal Group")</f>
        <v/>
      </c>
      <c r="B60" s="19"/>
      <c r="C60" s="39"/>
      <c r="D60" s="39"/>
      <c r="E60" s="39"/>
      <c r="F60" s="39"/>
      <c r="G60" s="39"/>
      <c r="H60" s="12"/>
      <c r="I60" s="12"/>
    </row>
    <row r="61" customFormat="false" ht="15" hidden="false" customHeight="false" outlineLevel="0" collapsed="false">
      <c r="A61" s="33" t="str">
        <f aca="false">IF(COUNT($C61:$H61)=0,"","Legal Group")</f>
        <v/>
      </c>
      <c r="B61" s="19"/>
      <c r="C61" s="39"/>
      <c r="D61" s="39"/>
      <c r="E61" s="39"/>
      <c r="F61" s="39"/>
      <c r="G61" s="39"/>
      <c r="H61" s="12"/>
      <c r="I61" s="12"/>
    </row>
    <row r="62" customFormat="false" ht="15" hidden="false" customHeight="false" outlineLevel="0" collapsed="false">
      <c r="A62" s="28" t="str">
        <f aca="false">IF(COUNT($C62:$H62)=0,"","Operations Group")</f>
        <v/>
      </c>
      <c r="B62" s="29"/>
      <c r="C62" s="37"/>
      <c r="D62" s="37"/>
      <c r="E62" s="37"/>
      <c r="F62" s="37"/>
      <c r="G62" s="37"/>
      <c r="H62" s="38"/>
      <c r="I62" s="38"/>
    </row>
    <row r="63" customFormat="false" ht="15" hidden="false" customHeight="false" outlineLevel="0" collapsed="false">
      <c r="A63" s="33" t="str">
        <f aca="false">IF(COUNT($C63:$H63)=0,"","Operations Group")</f>
        <v/>
      </c>
      <c r="B63" s="19"/>
      <c r="C63" s="39"/>
      <c r="D63" s="39"/>
      <c r="E63" s="39"/>
      <c r="F63" s="39"/>
      <c r="G63" s="39"/>
      <c r="H63" s="12"/>
      <c r="I63" s="12"/>
    </row>
    <row r="64" customFormat="false" ht="15" hidden="false" customHeight="false" outlineLevel="0" collapsed="false">
      <c r="A64" s="33" t="str">
        <f aca="false">IF(COUNT($C64:$H64)=0,"","Operations Group")</f>
        <v/>
      </c>
      <c r="B64" s="19"/>
      <c r="C64" s="39"/>
      <c r="D64" s="39"/>
      <c r="E64" s="39"/>
      <c r="F64" s="39"/>
      <c r="G64" s="39"/>
      <c r="H64" s="12"/>
      <c r="I64" s="12"/>
    </row>
    <row r="65" customFormat="false" ht="15" hidden="false" customHeight="false" outlineLevel="0" collapsed="false">
      <c r="A65" s="33" t="str">
        <f aca="false">IF(COUNT($C65:$H65)=0,"","Operations Group")</f>
        <v/>
      </c>
      <c r="B65" s="19"/>
      <c r="C65" s="39"/>
      <c r="D65" s="39"/>
      <c r="E65" s="39"/>
      <c r="F65" s="39"/>
      <c r="G65" s="39"/>
      <c r="H65" s="12"/>
      <c r="I65" s="12"/>
    </row>
    <row r="66" customFormat="false" ht="15" hidden="false" customHeight="false" outlineLevel="0" collapsed="false">
      <c r="A66" s="33" t="str">
        <f aca="false">IF(COUNT($C66:$H66)=0,"","Operations Group")</f>
        <v/>
      </c>
      <c r="B66" s="19"/>
      <c r="C66" s="39"/>
      <c r="D66" s="39"/>
      <c r="E66" s="39"/>
      <c r="F66" s="39"/>
      <c r="G66" s="39"/>
      <c r="H66" s="12"/>
      <c r="I66" s="12"/>
    </row>
    <row r="67" customFormat="false" ht="15" hidden="false" customHeight="false" outlineLevel="0" collapsed="false">
      <c r="A67" s="33" t="str">
        <f aca="false">IF(COUNT($C67:$H67)=0,"","Operations Group")</f>
        <v/>
      </c>
      <c r="B67" s="19"/>
      <c r="C67" s="39"/>
      <c r="D67" s="39"/>
      <c r="E67" s="39"/>
      <c r="F67" s="39"/>
      <c r="G67" s="39"/>
      <c r="H67" s="12"/>
      <c r="I67" s="12"/>
    </row>
    <row r="68" customFormat="false" ht="15" hidden="false" customHeight="false" outlineLevel="0" collapsed="false">
      <c r="A68" s="33" t="str">
        <f aca="false">IF(COUNT($C68:$H68)=0,"","Operations Group")</f>
        <v/>
      </c>
      <c r="B68" s="19"/>
      <c r="C68" s="39"/>
      <c r="D68" s="39"/>
      <c r="E68" s="39"/>
      <c r="F68" s="39"/>
      <c r="G68" s="39"/>
      <c r="H68" s="12"/>
      <c r="I68" s="12"/>
    </row>
    <row r="69" customFormat="false" ht="15" hidden="false" customHeight="false" outlineLevel="0" collapsed="false">
      <c r="A69" s="33" t="str">
        <f aca="false">IF(COUNT($C69:$H69)=0,"","Operations Group")</f>
        <v/>
      </c>
      <c r="B69" s="19"/>
      <c r="C69" s="39"/>
      <c r="D69" s="39"/>
      <c r="E69" s="39"/>
      <c r="F69" s="39"/>
      <c r="G69" s="39"/>
      <c r="H69" s="12"/>
      <c r="I69" s="12"/>
    </row>
    <row r="70" customFormat="false" ht="15" hidden="false" customHeight="false" outlineLevel="0" collapsed="false">
      <c r="A70" s="28" t="str">
        <f aca="false">IF(COUNT($C70:$H70)=0,"","Retail Banking Group")</f>
        <v/>
      </c>
      <c r="B70" s="29"/>
      <c r="C70" s="37"/>
      <c r="D70" s="37"/>
      <c r="E70" s="37"/>
      <c r="F70" s="37"/>
      <c r="G70" s="37"/>
      <c r="H70" s="38"/>
      <c r="I70" s="38"/>
    </row>
    <row r="71" customFormat="false" ht="15" hidden="false" customHeight="false" outlineLevel="0" collapsed="false">
      <c r="A71" s="33" t="str">
        <f aca="false">IF(COUNT($C71:$H71)=0,"","Retail Banking Group")</f>
        <v/>
      </c>
      <c r="B71" s="19"/>
      <c r="C71" s="39"/>
      <c r="D71" s="39"/>
      <c r="E71" s="39"/>
      <c r="F71" s="39"/>
      <c r="G71" s="39"/>
      <c r="H71" s="12"/>
      <c r="I71" s="12"/>
    </row>
    <row r="72" customFormat="false" ht="15" hidden="false" customHeight="false" outlineLevel="0" collapsed="false">
      <c r="A72" s="33" t="str">
        <f aca="false">IF(COUNT($C72:$H72)=0,"","Retail Banking Group")</f>
        <v/>
      </c>
      <c r="B72" s="19"/>
      <c r="C72" s="39"/>
      <c r="D72" s="39"/>
      <c r="E72" s="39"/>
      <c r="F72" s="39"/>
      <c r="G72" s="39"/>
      <c r="H72" s="12"/>
      <c r="I72" s="12"/>
    </row>
    <row r="73" customFormat="false" ht="15" hidden="false" customHeight="false" outlineLevel="0" collapsed="false">
      <c r="A73" s="33" t="str">
        <f aca="false">IF(COUNT($C73:$H73)=0,"","Retail Banking Group")</f>
        <v/>
      </c>
      <c r="B73" s="19"/>
      <c r="C73" s="39"/>
      <c r="D73" s="39"/>
      <c r="E73" s="39"/>
      <c r="F73" s="39"/>
      <c r="G73" s="39"/>
      <c r="H73" s="12"/>
      <c r="I73" s="12"/>
    </row>
    <row r="74" customFormat="false" ht="15" hidden="false" customHeight="false" outlineLevel="0" collapsed="false">
      <c r="A74" s="33" t="str">
        <f aca="false">IF(COUNT($C74:$H74)=0,"","Retail Banking Group")</f>
        <v/>
      </c>
      <c r="B74" s="19"/>
      <c r="C74" s="39"/>
      <c r="D74" s="39"/>
      <c r="E74" s="39"/>
      <c r="F74" s="39"/>
      <c r="G74" s="39"/>
      <c r="H74" s="12"/>
      <c r="I74" s="12"/>
    </row>
    <row r="75" customFormat="false" ht="15" hidden="false" customHeight="false" outlineLevel="0" collapsed="false">
      <c r="A75" s="33" t="str">
        <f aca="false">IF(COUNT($C75:$H75)=0,"","Retail Banking Group")</f>
        <v/>
      </c>
      <c r="B75" s="19"/>
      <c r="C75" s="39"/>
      <c r="D75" s="39"/>
      <c r="E75" s="39"/>
      <c r="F75" s="39"/>
      <c r="G75" s="39"/>
      <c r="H75" s="12"/>
      <c r="I75" s="12"/>
    </row>
    <row r="76" customFormat="false" ht="15" hidden="false" customHeight="false" outlineLevel="0" collapsed="false">
      <c r="A76" s="33" t="str">
        <f aca="false">IF(COUNT($C76:$H76)=0,"","Retail Banking Group")</f>
        <v/>
      </c>
      <c r="B76" s="19"/>
      <c r="C76" s="39"/>
      <c r="D76" s="39"/>
      <c r="E76" s="39"/>
      <c r="F76" s="39"/>
      <c r="G76" s="39"/>
      <c r="H76" s="12"/>
      <c r="I76" s="12"/>
    </row>
    <row r="77" customFormat="false" ht="15" hidden="false" customHeight="false" outlineLevel="0" collapsed="false">
      <c r="A77" s="33" t="str">
        <f aca="false">IF(COUNT($C77:$H77)=0,"","Retail Banking Group")</f>
        <v/>
      </c>
      <c r="B77" s="19"/>
      <c r="C77" s="39"/>
      <c r="D77" s="39"/>
      <c r="E77" s="39"/>
      <c r="F77" s="39"/>
      <c r="G77" s="39"/>
      <c r="H77" s="12"/>
      <c r="I77" s="12"/>
    </row>
    <row r="78" customFormat="false" ht="15" hidden="false" customHeight="false" outlineLevel="0" collapsed="false">
      <c r="A78" s="28" t="str">
        <f aca="false">IF(COUNT($C78:$H78)=0,"","Risk Group")</f>
        <v/>
      </c>
      <c r="B78" s="29"/>
      <c r="C78" s="37"/>
      <c r="D78" s="37"/>
      <c r="E78" s="37"/>
      <c r="F78" s="37"/>
      <c r="G78" s="37"/>
      <c r="H78" s="38"/>
      <c r="I78" s="38"/>
    </row>
    <row r="79" customFormat="false" ht="15" hidden="false" customHeight="false" outlineLevel="0" collapsed="false">
      <c r="A79" s="33" t="str">
        <f aca="false">IF(COUNT($C79:$H79)=0,"","Risk Group")</f>
        <v/>
      </c>
      <c r="B79" s="19"/>
      <c r="C79" s="39"/>
      <c r="D79" s="39"/>
      <c r="E79" s="39"/>
      <c r="F79" s="39"/>
      <c r="G79" s="39"/>
      <c r="H79" s="12"/>
      <c r="I79" s="12"/>
    </row>
    <row r="80" customFormat="false" ht="15" hidden="false" customHeight="false" outlineLevel="0" collapsed="false">
      <c r="A80" s="33" t="str">
        <f aca="false">IF(COUNT($C80:$H80)=0,"","Risk Group")</f>
        <v/>
      </c>
      <c r="B80" s="19"/>
      <c r="C80" s="39"/>
      <c r="D80" s="39"/>
      <c r="E80" s="39"/>
      <c r="F80" s="39"/>
      <c r="G80" s="39"/>
      <c r="H80" s="12"/>
      <c r="I80" s="12"/>
    </row>
    <row r="81" customFormat="false" ht="15" hidden="false" customHeight="false" outlineLevel="0" collapsed="false">
      <c r="A81" s="33" t="str">
        <f aca="false">IF(COUNT($C81:$H81)=0,"","Risk Group")</f>
        <v/>
      </c>
      <c r="B81" s="19"/>
      <c r="C81" s="39"/>
      <c r="D81" s="39"/>
      <c r="E81" s="39"/>
      <c r="F81" s="39"/>
      <c r="G81" s="39"/>
      <c r="H81" s="12"/>
      <c r="I81" s="12"/>
    </row>
    <row r="82" customFormat="false" ht="15" hidden="false" customHeight="false" outlineLevel="0" collapsed="false">
      <c r="A82" s="33" t="str">
        <f aca="false">IF(COUNT($C82:$H82)=0,"","Risk Group")</f>
        <v/>
      </c>
      <c r="B82" s="19"/>
      <c r="C82" s="39"/>
      <c r="D82" s="39"/>
      <c r="E82" s="39"/>
      <c r="F82" s="39"/>
      <c r="G82" s="39"/>
      <c r="H82" s="12"/>
      <c r="I82" s="12"/>
    </row>
    <row r="83" customFormat="false" ht="15" hidden="false" customHeight="false" outlineLevel="0" collapsed="false">
      <c r="A83" s="33" t="str">
        <f aca="false">IF(COUNT($C83:$H83)=0,"","Risk Group")</f>
        <v/>
      </c>
      <c r="B83" s="19"/>
      <c r="C83" s="39"/>
      <c r="D83" s="39"/>
      <c r="E83" s="39"/>
      <c r="F83" s="39"/>
      <c r="G83" s="39"/>
      <c r="H83" s="12"/>
      <c r="I83" s="12"/>
    </row>
    <row r="84" customFormat="false" ht="15" hidden="false" customHeight="false" outlineLevel="0" collapsed="false">
      <c r="A84" s="33" t="str">
        <f aca="false">IF(COUNT($C84:$H84)=0,"","Risk Group")</f>
        <v/>
      </c>
      <c r="B84" s="19"/>
      <c r="C84" s="39"/>
      <c r="D84" s="39"/>
      <c r="E84" s="39"/>
      <c r="F84" s="39"/>
      <c r="G84" s="39"/>
      <c r="H84" s="12"/>
      <c r="I84" s="12"/>
    </row>
    <row r="85" customFormat="false" ht="15" hidden="false" customHeight="false" outlineLevel="0" collapsed="false">
      <c r="A85" s="33" t="str">
        <f aca="false">IF(COUNT($C85:$H85)=0,"","Risk Group")</f>
        <v/>
      </c>
      <c r="B85" s="19"/>
      <c r="C85" s="39"/>
      <c r="D85" s="39"/>
      <c r="E85" s="39"/>
      <c r="F85" s="39"/>
      <c r="G85" s="39"/>
      <c r="H85" s="12"/>
      <c r="I85" s="12"/>
    </row>
    <row r="86" customFormat="false" ht="15" hidden="false" customHeight="false" outlineLevel="0" collapsed="false">
      <c r="A86" s="28" t="str">
        <f aca="false">IF(COUNT($C86:$H86)=0,"","Technology Group")</f>
        <v/>
      </c>
      <c r="B86" s="29"/>
      <c r="C86" s="37"/>
      <c r="D86" s="37"/>
      <c r="E86" s="37"/>
      <c r="F86" s="37"/>
      <c r="G86" s="37"/>
      <c r="H86" s="38"/>
      <c r="I86" s="38"/>
    </row>
    <row r="87" customFormat="false" ht="15" hidden="false" customHeight="false" outlineLevel="0" collapsed="false">
      <c r="A87" s="33" t="str">
        <f aca="false">IF(COUNT($C87:$H87)=0,"","Technology Group")</f>
        <v/>
      </c>
      <c r="B87" s="19"/>
      <c r="C87" s="39"/>
      <c r="D87" s="39"/>
      <c r="E87" s="39"/>
      <c r="F87" s="39"/>
      <c r="G87" s="39"/>
      <c r="H87" s="12"/>
      <c r="I87" s="12"/>
    </row>
    <row r="88" customFormat="false" ht="15" hidden="false" customHeight="false" outlineLevel="0" collapsed="false">
      <c r="A88" s="33" t="str">
        <f aca="false">IF(COUNT($C88:$H88)=0,"","Technology Group")</f>
        <v/>
      </c>
      <c r="B88" s="19"/>
      <c r="C88" s="39"/>
      <c r="D88" s="39"/>
      <c r="E88" s="39"/>
      <c r="F88" s="39"/>
      <c r="G88" s="39"/>
      <c r="H88" s="12"/>
      <c r="I88" s="12"/>
    </row>
    <row r="89" customFormat="false" ht="15" hidden="false" customHeight="false" outlineLevel="0" collapsed="false">
      <c r="A89" s="33" t="str">
        <f aca="false">IF(COUNT($C89:$H89)=0,"","Technology Group")</f>
        <v/>
      </c>
      <c r="B89" s="19"/>
      <c r="C89" s="39"/>
      <c r="D89" s="39"/>
      <c r="E89" s="39"/>
      <c r="F89" s="39"/>
      <c r="G89" s="39"/>
      <c r="H89" s="12"/>
      <c r="I89" s="12"/>
    </row>
    <row r="90" customFormat="false" ht="15" hidden="false" customHeight="false" outlineLevel="0" collapsed="false">
      <c r="A90" s="33" t="str">
        <f aca="false">IF(COUNT($C90:$H90)=0,"","Technology Group")</f>
        <v/>
      </c>
      <c r="B90" s="19"/>
      <c r="C90" s="39"/>
      <c r="D90" s="39"/>
      <c r="E90" s="39"/>
      <c r="F90" s="39"/>
      <c r="G90" s="39"/>
      <c r="H90" s="12"/>
      <c r="I90" s="12"/>
    </row>
    <row r="91" customFormat="false" ht="15" hidden="false" customHeight="false" outlineLevel="0" collapsed="false">
      <c r="A91" s="33" t="str">
        <f aca="false">IF(COUNT($C91:$H91)=0,"","Technology Group")</f>
        <v/>
      </c>
      <c r="B91" s="19"/>
      <c r="C91" s="39"/>
      <c r="D91" s="39"/>
      <c r="E91" s="39"/>
      <c r="F91" s="39"/>
      <c r="G91" s="39"/>
      <c r="H91" s="12"/>
      <c r="I91" s="12"/>
    </row>
    <row r="92" customFormat="false" ht="15" hidden="false" customHeight="false" outlineLevel="0" collapsed="false">
      <c r="A92" s="33" t="str">
        <f aca="false">IF(COUNT($C92:$H92)=0,"","Technology Group")</f>
        <v/>
      </c>
      <c r="B92" s="19"/>
      <c r="C92" s="39"/>
      <c r="D92" s="39"/>
      <c r="E92" s="39"/>
      <c r="F92" s="39"/>
      <c r="G92" s="39"/>
      <c r="H92" s="12"/>
      <c r="I92" s="12"/>
    </row>
    <row r="93" customFormat="false" ht="15" hidden="false" customHeight="false" outlineLevel="0" collapsed="false">
      <c r="A93" s="33" t="str">
        <f aca="false">IF(COUNT($C93:$H93)=0,"","Technology Group")</f>
        <v/>
      </c>
      <c r="B93" s="19"/>
      <c r="C93" s="39"/>
      <c r="D93" s="39"/>
      <c r="E93" s="39"/>
      <c r="F93" s="39"/>
      <c r="G93" s="39"/>
      <c r="H93" s="12"/>
      <c r="I93" s="12"/>
    </row>
    <row r="94" customFormat="false" ht="15" hidden="false" customHeight="false" outlineLevel="0" collapsed="false">
      <c r="A94" s="28" t="str">
        <f aca="false">IF(COUNT($C94:$H94)=0,"","Treasury &amp; Investments Group")</f>
        <v/>
      </c>
      <c r="B94" s="29"/>
      <c r="C94" s="37"/>
      <c r="D94" s="37"/>
      <c r="E94" s="37"/>
      <c r="F94" s="37"/>
      <c r="G94" s="37"/>
      <c r="H94" s="38"/>
      <c r="I94" s="38"/>
    </row>
    <row r="95" customFormat="false" ht="15" hidden="false" customHeight="false" outlineLevel="0" collapsed="false">
      <c r="A95" s="33" t="str">
        <f aca="false">IF(COUNT($C95:$H95)=0,"","Treasury &amp; Investments Group")</f>
        <v/>
      </c>
      <c r="B95" s="19"/>
      <c r="C95" s="39"/>
      <c r="D95" s="39"/>
      <c r="E95" s="39"/>
      <c r="F95" s="39"/>
      <c r="G95" s="39"/>
      <c r="H95" s="12"/>
      <c r="I95" s="12"/>
    </row>
    <row r="96" customFormat="false" ht="15" hidden="false" customHeight="false" outlineLevel="0" collapsed="false">
      <c r="A96" s="33" t="str">
        <f aca="false">IF(COUNT($C96:$H96)=0,"","Treasury &amp; Investments Group")</f>
        <v/>
      </c>
      <c r="B96" s="19"/>
      <c r="C96" s="39"/>
      <c r="D96" s="39"/>
      <c r="E96" s="39"/>
      <c r="F96" s="39"/>
      <c r="G96" s="39"/>
      <c r="H96" s="12"/>
      <c r="I96" s="12"/>
    </row>
    <row r="97" customFormat="false" ht="15" hidden="false" customHeight="false" outlineLevel="0" collapsed="false">
      <c r="A97" s="33" t="str">
        <f aca="false">IF(COUNT($C97:$H97)=0,"","Treasury &amp; Investments Group")</f>
        <v/>
      </c>
      <c r="B97" s="19"/>
      <c r="C97" s="39"/>
      <c r="D97" s="39"/>
      <c r="E97" s="39"/>
      <c r="F97" s="39"/>
      <c r="G97" s="39"/>
      <c r="H97" s="12"/>
      <c r="I97" s="12"/>
    </row>
    <row r="98" customFormat="false" ht="15" hidden="false" customHeight="false" outlineLevel="0" collapsed="false">
      <c r="A98" s="33" t="str">
        <f aca="false">IF(COUNT($C98:$H98)=0,"","Treasury &amp; Investments Group")</f>
        <v/>
      </c>
      <c r="B98" s="19"/>
      <c r="C98" s="39"/>
      <c r="D98" s="39"/>
      <c r="E98" s="39"/>
      <c r="F98" s="39"/>
      <c r="G98" s="39"/>
      <c r="H98" s="12"/>
      <c r="I98" s="12"/>
    </row>
    <row r="99" customFormat="false" ht="15" hidden="false" customHeight="false" outlineLevel="0" collapsed="false">
      <c r="A99" s="33" t="str">
        <f aca="false">IF(COUNT($C99:$H99)=0,"","Treasury &amp; Investments Group")</f>
        <v/>
      </c>
      <c r="B99" s="19"/>
      <c r="C99" s="39"/>
      <c r="D99" s="39"/>
      <c r="E99" s="39"/>
      <c r="F99" s="39"/>
      <c r="G99" s="39"/>
      <c r="H99" s="12"/>
      <c r="I99" s="12"/>
    </row>
    <row r="100" customFormat="false" ht="15" hidden="false" customHeight="false" outlineLevel="0" collapsed="false">
      <c r="A100" s="33" t="str">
        <f aca="false">IF(COUNT($C100:$H100)=0,"","Treasury &amp; Investments Group")</f>
        <v/>
      </c>
      <c r="B100" s="19"/>
      <c r="C100" s="39"/>
      <c r="D100" s="39"/>
      <c r="E100" s="39"/>
      <c r="F100" s="39"/>
      <c r="G100" s="39"/>
      <c r="H100" s="12"/>
      <c r="I100" s="12"/>
    </row>
    <row r="101" customFormat="false" ht="15" hidden="false" customHeight="false" outlineLevel="0" collapsed="false">
      <c r="A101" s="33" t="str">
        <f aca="false">IF(COUNT($C101:$H101)=0,"","Treasury &amp; Investments Group")</f>
        <v/>
      </c>
      <c r="B101" s="19"/>
      <c r="C101" s="39"/>
      <c r="D101" s="39"/>
      <c r="E101" s="39"/>
      <c r="F101" s="39"/>
      <c r="G101" s="39"/>
      <c r="H101" s="12"/>
      <c r="I101" s="12"/>
    </row>
    <row r="103" customFormat="false" ht="25.5" hidden="false" customHeight="true" outlineLevel="0" collapsed="false">
      <c r="A103" s="11" t="s">
        <v>135</v>
      </c>
      <c r="B103" s="11"/>
      <c r="C103" s="11"/>
      <c r="D103" s="11"/>
      <c r="E103" s="11"/>
      <c r="F103" s="11"/>
      <c r="G103" s="11"/>
      <c r="H103" s="11"/>
      <c r="I103" s="11"/>
    </row>
  </sheetData>
  <sheetProtection sheet="true" sort="false" autoFilter="false"/>
  <mergeCells count="2">
    <mergeCell ref="A2:J2"/>
    <mergeCell ref="A103:I103"/>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4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6"/>
    <col collapsed="false" customWidth="true" hidden="false" outlineLevel="0" max="3" min="3" style="0" width="22"/>
    <col collapsed="false" customWidth="true" hidden="false" outlineLevel="0" max="4" min="4" style="0" width="24"/>
    <col collapsed="false" customWidth="true" hidden="false" outlineLevel="0" max="5" min="5" style="0" width="28"/>
    <col collapsed="false" customWidth="true" hidden="false" outlineLevel="0" max="6" min="6" style="0" width="16"/>
    <col collapsed="false" customWidth="true" hidden="false" outlineLevel="0" max="7" min="7" style="0" width="13"/>
    <col collapsed="false" customWidth="true" hidden="false" outlineLevel="0" max="8" min="8" style="0" width="7"/>
    <col collapsed="false" customWidth="true" hidden="false" outlineLevel="0" max="9" min="9" style="0" width="11"/>
    <col collapsed="false" customWidth="true" hidden="false" outlineLevel="0" max="10" min="10" style="0" width="13"/>
    <col collapsed="false" customWidth="true" hidden="false" outlineLevel="0" max="11" min="11" style="0" width="15"/>
    <col collapsed="false" customWidth="true" hidden="false" outlineLevel="0" max="12" min="12" style="0" width="20"/>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6" min="16" style="0" width="11"/>
    <col collapsed="false" customWidth="true" hidden="false" outlineLevel="0" max="17" min="17" style="0" width="13"/>
    <col collapsed="false" customWidth="true" hidden="false" outlineLevel="0" max="18" min="18" style="0" width="15"/>
    <col collapsed="false" customWidth="true" hidden="false" outlineLevel="0" max="19" min="19" style="0" width="14"/>
    <col collapsed="false" customWidth="true" hidden="false" outlineLevel="0" max="20" min="20" style="0" width="13"/>
    <col collapsed="false" customWidth="true" hidden="false" outlineLevel="0" max="21" min="21" style="0" width="12"/>
  </cols>
  <sheetData>
    <row r="1" customFormat="false" ht="24" hidden="false" customHeight="true" outlineLevel="0" collapsed="false">
      <c r="A1" s="1" t="s">
        <v>136</v>
      </c>
    </row>
    <row r="2" customFormat="false" ht="15" hidden="false" customHeight="false" outlineLevel="0" collapsed="false">
      <c r="A2" s="2" t="s">
        <v>137</v>
      </c>
      <c r="B2" s="2"/>
      <c r="C2" s="2"/>
      <c r="D2" s="2"/>
      <c r="E2" s="2"/>
      <c r="F2" s="2"/>
      <c r="G2" s="2"/>
      <c r="H2" s="2"/>
      <c r="I2" s="2"/>
      <c r="J2" s="2"/>
    </row>
    <row r="5" customFormat="false" ht="30" hidden="false" customHeight="true" outlineLevel="0" collapsed="false">
      <c r="A5" s="16" t="s">
        <v>43</v>
      </c>
      <c r="B5" s="16" t="s">
        <v>104</v>
      </c>
      <c r="C5" s="16" t="s">
        <v>105</v>
      </c>
      <c r="D5" s="16" t="s">
        <v>107</v>
      </c>
      <c r="E5" s="16" t="s">
        <v>109</v>
      </c>
      <c r="F5" s="16" t="s">
        <v>110</v>
      </c>
      <c r="G5" s="16" t="s">
        <v>122</v>
      </c>
      <c r="H5" s="16" t="s">
        <v>123</v>
      </c>
      <c r="I5" s="16" t="s">
        <v>138</v>
      </c>
      <c r="J5" s="16" t="s">
        <v>139</v>
      </c>
      <c r="K5" s="16" t="s">
        <v>126</v>
      </c>
      <c r="L5" s="16" t="s">
        <v>140</v>
      </c>
      <c r="M5" s="16" t="s">
        <v>141</v>
      </c>
      <c r="N5" s="16" t="s">
        <v>142</v>
      </c>
      <c r="O5" s="16" t="s">
        <v>143</v>
      </c>
      <c r="P5" s="16" t="s">
        <v>144</v>
      </c>
      <c r="Q5" s="16" t="s">
        <v>145</v>
      </c>
      <c r="R5" s="16" t="s">
        <v>146</v>
      </c>
      <c r="S5" s="16" t="s">
        <v>61</v>
      </c>
      <c r="T5" s="16" t="s">
        <v>147</v>
      </c>
      <c r="U5" s="16" t="s">
        <v>148</v>
      </c>
    </row>
    <row r="6" customFormat="false" ht="15" hidden="false" customHeight="false" outlineLevel="0" collapsed="false">
      <c r="A6" s="40" t="str">
        <f aca="false">IF(INDEX(BookTitle,1)="","",INDEX(BookGroup,1))</f>
        <v/>
      </c>
      <c r="B6" s="40" t="str">
        <f aca="false">IF(INDEX(BookTitle,1)="","",INDEX(BookRef,1))</f>
        <v/>
      </c>
      <c r="C6" s="40" t="str">
        <f aca="false">IF(INDEX(BookTitle,1)="","",INDEX(BookDivision,1))</f>
        <v/>
      </c>
      <c r="D6" s="40" t="str">
        <f aca="false">IF(INDEX(BookTitle,1)="","",INDEX(BookUnit,1))</f>
        <v/>
      </c>
      <c r="E6" s="40" t="str">
        <f aca="false">IF(INDEX(BookTitle,1)="","",INDEX(BookTitle,1))</f>
        <v/>
      </c>
      <c r="F6" s="40" t="str">
        <f aca="false">IF(INDEX(BookTitle,1)="","",INDEX(BookLevel,1))</f>
        <v/>
      </c>
      <c r="G6" s="40" t="str">
        <f aca="false">IF(INDEX(BookTitle,1)="","",INDEX(BookCategory,1))</f>
        <v/>
      </c>
      <c r="H6" s="40" t="str">
        <f aca="false">IF(INDEX(BookTitle,1)="","",INDEX(BookRank,1))</f>
        <v/>
      </c>
      <c r="I6" s="41" t="str">
        <f aca="false">IF(INDEX(BookTitle,1)="","",INDEX(BookTotal,1))</f>
        <v/>
      </c>
      <c r="J6" s="0" t="str">
        <f aca="false">IF($I6="","",IF(INDEX(BookQ1,1)&gt;0,"Q1",IF(INDEX(BookQ2,1)&gt;0,"Q2",IF(INDEX(BookQ3,1)&gt;0,"Q3",IF(INDEX(BookQ4,1)&gt;0,"Q4","")))))</f>
        <v/>
      </c>
      <c r="K6" s="42" t="str">
        <f aca="false">IF(INDEX(BookTitle,1)="","",INDEX(BookInYear,1))</f>
        <v/>
      </c>
      <c r="L6" s="19"/>
      <c r="M6" s="39"/>
      <c r="N6" s="19"/>
      <c r="O6" s="19"/>
      <c r="P6" s="43" t="str">
        <f aca="false">IF($E6="","",IF($L6="Decline",0,IF($L6="Approve fewer",IF($M6="","",$M6),IF($L6="","",$I6))))</f>
        <v/>
      </c>
      <c r="Q6" s="34" t="str">
        <f aca="false">IF($P6="","",IF($N6&lt;&gt;"",$N6,$J6))</f>
        <v/>
      </c>
      <c r="R6" s="35" t="str">
        <f aca="false">IF(OR($P6="",$Q6=""),"",INDEX(BookRate,1)*$P6*(5-MATCH($Q6,{"Q1";"Q2";"Q3";"Q4"},0))/4+INDEX(BookOneOff,1)*$P6)</f>
        <v/>
      </c>
      <c r="S6" s="35" t="str">
        <f aca="false">IF($P6="","",INDEX(BookRate,1)*$P6)</f>
        <v/>
      </c>
      <c r="T6" s="35" t="str">
        <f aca="false">IF($R6="","",$R6-$K6)</f>
        <v/>
      </c>
      <c r="U6" s="35" t="str">
        <f aca="false">IF(N($P6)&lt;=0,"",COUNTIF($P$6:$P6,"&gt;0"))</f>
        <v/>
      </c>
    </row>
    <row r="7" customFormat="false" ht="15" hidden="false" customHeight="false" outlineLevel="0" collapsed="false">
      <c r="A7" s="40" t="str">
        <f aca="false">IF(INDEX(BookTitle,2)="","",INDEX(BookGroup,2))</f>
        <v/>
      </c>
      <c r="B7" s="40" t="str">
        <f aca="false">IF(INDEX(BookTitle,2)="","",INDEX(BookRef,2))</f>
        <v/>
      </c>
      <c r="C7" s="40" t="str">
        <f aca="false">IF(INDEX(BookTitle,2)="","",INDEX(BookDivision,2))</f>
        <v/>
      </c>
      <c r="D7" s="40" t="str">
        <f aca="false">IF(INDEX(BookTitle,2)="","",INDEX(BookUnit,2))</f>
        <v/>
      </c>
      <c r="E7" s="40" t="str">
        <f aca="false">IF(INDEX(BookTitle,2)="","",INDEX(BookTitle,2))</f>
        <v/>
      </c>
      <c r="F7" s="40" t="str">
        <f aca="false">IF(INDEX(BookTitle,2)="","",INDEX(BookLevel,2))</f>
        <v/>
      </c>
      <c r="G7" s="40" t="str">
        <f aca="false">IF(INDEX(BookTitle,2)="","",INDEX(BookCategory,2))</f>
        <v/>
      </c>
      <c r="H7" s="40" t="str">
        <f aca="false">IF(INDEX(BookTitle,2)="","",INDEX(BookRank,2))</f>
        <v/>
      </c>
      <c r="I7" s="41" t="str">
        <f aca="false">IF(INDEX(BookTitle,2)="","",INDEX(BookTotal,2))</f>
        <v/>
      </c>
      <c r="J7" s="0" t="str">
        <f aca="false">IF($I7="","",IF(INDEX(BookQ1,2)&gt;0,"Q1",IF(INDEX(BookQ2,2)&gt;0,"Q2",IF(INDEX(BookQ3,2)&gt;0,"Q3",IF(INDEX(BookQ4,2)&gt;0,"Q4","")))))</f>
        <v/>
      </c>
      <c r="K7" s="42" t="str">
        <f aca="false">IF(INDEX(BookTitle,2)="","",INDEX(BookInYear,2))</f>
        <v/>
      </c>
      <c r="L7" s="19"/>
      <c r="M7" s="39"/>
      <c r="N7" s="19"/>
      <c r="O7" s="19"/>
      <c r="P7" s="43" t="str">
        <f aca="false">IF($E7="","",IF($L7="Decline",0,IF($L7="Approve fewer",IF($M7="","",$M7),IF($L7="","",$I7))))</f>
        <v/>
      </c>
      <c r="Q7" s="34" t="str">
        <f aca="false">IF($P7="","",IF($N7&lt;&gt;"",$N7,$J7))</f>
        <v/>
      </c>
      <c r="R7" s="35" t="str">
        <f aca="false">IF(OR($P7="",$Q7=""),"",INDEX(BookRate,2)*$P7*(5-MATCH($Q7,{"Q1";"Q2";"Q3";"Q4"},0))/4+INDEX(BookOneOff,2)*$P7)</f>
        <v/>
      </c>
      <c r="S7" s="35" t="str">
        <f aca="false">IF($P7="","",INDEX(BookRate,2)*$P7)</f>
        <v/>
      </c>
      <c r="T7" s="35" t="str">
        <f aca="false">IF($R7="","",$R7-$K7)</f>
        <v/>
      </c>
      <c r="U7" s="35" t="str">
        <f aca="false">IF(N($P7)&lt;=0,"",COUNTIF($P$6:$P7,"&gt;0"))</f>
        <v/>
      </c>
    </row>
    <row r="8" customFormat="false" ht="15" hidden="false" customHeight="false" outlineLevel="0" collapsed="false">
      <c r="A8" s="40" t="str">
        <f aca="false">IF(INDEX(BookTitle,3)="","",INDEX(BookGroup,3))</f>
        <v/>
      </c>
      <c r="B8" s="40" t="str">
        <f aca="false">IF(INDEX(BookTitle,3)="","",INDEX(BookRef,3))</f>
        <v/>
      </c>
      <c r="C8" s="40" t="str">
        <f aca="false">IF(INDEX(BookTitle,3)="","",INDEX(BookDivision,3))</f>
        <v/>
      </c>
      <c r="D8" s="40" t="str">
        <f aca="false">IF(INDEX(BookTitle,3)="","",INDEX(BookUnit,3))</f>
        <v/>
      </c>
      <c r="E8" s="40" t="str">
        <f aca="false">IF(INDEX(BookTitle,3)="","",INDEX(BookTitle,3))</f>
        <v/>
      </c>
      <c r="F8" s="40" t="str">
        <f aca="false">IF(INDEX(BookTitle,3)="","",INDEX(BookLevel,3))</f>
        <v/>
      </c>
      <c r="G8" s="40" t="str">
        <f aca="false">IF(INDEX(BookTitle,3)="","",INDEX(BookCategory,3))</f>
        <v/>
      </c>
      <c r="H8" s="40" t="str">
        <f aca="false">IF(INDEX(BookTitle,3)="","",INDEX(BookRank,3))</f>
        <v/>
      </c>
      <c r="I8" s="41" t="str">
        <f aca="false">IF(INDEX(BookTitle,3)="","",INDEX(BookTotal,3))</f>
        <v/>
      </c>
      <c r="J8" s="0" t="str">
        <f aca="false">IF($I8="","",IF(INDEX(BookQ1,3)&gt;0,"Q1",IF(INDEX(BookQ2,3)&gt;0,"Q2",IF(INDEX(BookQ3,3)&gt;0,"Q3",IF(INDEX(BookQ4,3)&gt;0,"Q4","")))))</f>
        <v/>
      </c>
      <c r="K8" s="42" t="str">
        <f aca="false">IF(INDEX(BookTitle,3)="","",INDEX(BookInYear,3))</f>
        <v/>
      </c>
      <c r="L8" s="19"/>
      <c r="M8" s="39"/>
      <c r="N8" s="19"/>
      <c r="O8" s="19"/>
      <c r="P8" s="43" t="str">
        <f aca="false">IF($E8="","",IF($L8="Decline",0,IF($L8="Approve fewer",IF($M8="","",$M8),IF($L8="","",$I8))))</f>
        <v/>
      </c>
      <c r="Q8" s="34" t="str">
        <f aca="false">IF($P8="","",IF($N8&lt;&gt;"",$N8,$J8))</f>
        <v/>
      </c>
      <c r="R8" s="35" t="str">
        <f aca="false">IF(OR($P8="",$Q8=""),"",INDEX(BookRate,3)*$P8*(5-MATCH($Q8,{"Q1";"Q2";"Q3";"Q4"},0))/4+INDEX(BookOneOff,3)*$P8)</f>
        <v/>
      </c>
      <c r="S8" s="35" t="str">
        <f aca="false">IF($P8="","",INDEX(BookRate,3)*$P8)</f>
        <v/>
      </c>
      <c r="T8" s="35" t="str">
        <f aca="false">IF($R8="","",$R8-$K8)</f>
        <v/>
      </c>
      <c r="U8" s="35" t="str">
        <f aca="false">IF(N($P8)&lt;=0,"",COUNTIF($P$6:$P8,"&gt;0"))</f>
        <v/>
      </c>
    </row>
    <row r="9" customFormat="false" ht="15" hidden="false" customHeight="false" outlineLevel="0" collapsed="false">
      <c r="A9" s="40" t="str">
        <f aca="false">IF(INDEX(BookTitle,4)="","",INDEX(BookGroup,4))</f>
        <v/>
      </c>
      <c r="B9" s="40" t="str">
        <f aca="false">IF(INDEX(BookTitle,4)="","",INDEX(BookRef,4))</f>
        <v/>
      </c>
      <c r="C9" s="40" t="str">
        <f aca="false">IF(INDEX(BookTitle,4)="","",INDEX(BookDivision,4))</f>
        <v/>
      </c>
      <c r="D9" s="40" t="str">
        <f aca="false">IF(INDEX(BookTitle,4)="","",INDEX(BookUnit,4))</f>
        <v/>
      </c>
      <c r="E9" s="40" t="str">
        <f aca="false">IF(INDEX(BookTitle,4)="","",INDEX(BookTitle,4))</f>
        <v/>
      </c>
      <c r="F9" s="40" t="str">
        <f aca="false">IF(INDEX(BookTitle,4)="","",INDEX(BookLevel,4))</f>
        <v/>
      </c>
      <c r="G9" s="40" t="str">
        <f aca="false">IF(INDEX(BookTitle,4)="","",INDEX(BookCategory,4))</f>
        <v/>
      </c>
      <c r="H9" s="40" t="str">
        <f aca="false">IF(INDEX(BookTitle,4)="","",INDEX(BookRank,4))</f>
        <v/>
      </c>
      <c r="I9" s="41" t="str">
        <f aca="false">IF(INDEX(BookTitle,4)="","",INDEX(BookTotal,4))</f>
        <v/>
      </c>
      <c r="J9" s="0" t="str">
        <f aca="false">IF($I9="","",IF(INDEX(BookQ1,4)&gt;0,"Q1",IF(INDEX(BookQ2,4)&gt;0,"Q2",IF(INDEX(BookQ3,4)&gt;0,"Q3",IF(INDEX(BookQ4,4)&gt;0,"Q4","")))))</f>
        <v/>
      </c>
      <c r="K9" s="42" t="str">
        <f aca="false">IF(INDEX(BookTitle,4)="","",INDEX(BookInYear,4))</f>
        <v/>
      </c>
      <c r="L9" s="19"/>
      <c r="M9" s="39"/>
      <c r="N9" s="19"/>
      <c r="O9" s="19"/>
      <c r="P9" s="43" t="str">
        <f aca="false">IF($E9="","",IF($L9="Decline",0,IF($L9="Approve fewer",IF($M9="","",$M9),IF($L9="","",$I9))))</f>
        <v/>
      </c>
      <c r="Q9" s="34" t="str">
        <f aca="false">IF($P9="","",IF($N9&lt;&gt;"",$N9,$J9))</f>
        <v/>
      </c>
      <c r="R9" s="35" t="str">
        <f aca="false">IF(OR($P9="",$Q9=""),"",INDEX(BookRate,4)*$P9*(5-MATCH($Q9,{"Q1";"Q2";"Q3";"Q4"},0))/4+INDEX(BookOneOff,4)*$P9)</f>
        <v/>
      </c>
      <c r="S9" s="35" t="str">
        <f aca="false">IF($P9="","",INDEX(BookRate,4)*$P9)</f>
        <v/>
      </c>
      <c r="T9" s="35" t="str">
        <f aca="false">IF($R9="","",$R9-$K9)</f>
        <v/>
      </c>
      <c r="U9" s="35" t="str">
        <f aca="false">IF(N($P9)&lt;=0,"",COUNTIF($P$6:$P9,"&gt;0"))</f>
        <v/>
      </c>
    </row>
    <row r="10" customFormat="false" ht="15" hidden="false" customHeight="false" outlineLevel="0" collapsed="false">
      <c r="A10" s="40" t="str">
        <f aca="false">IF(INDEX(BookTitle,5)="","",INDEX(BookGroup,5))</f>
        <v/>
      </c>
      <c r="B10" s="40" t="str">
        <f aca="false">IF(INDEX(BookTitle,5)="","",INDEX(BookRef,5))</f>
        <v/>
      </c>
      <c r="C10" s="40" t="str">
        <f aca="false">IF(INDEX(BookTitle,5)="","",INDEX(BookDivision,5))</f>
        <v/>
      </c>
      <c r="D10" s="40" t="str">
        <f aca="false">IF(INDEX(BookTitle,5)="","",INDEX(BookUnit,5))</f>
        <v/>
      </c>
      <c r="E10" s="40" t="str">
        <f aca="false">IF(INDEX(BookTitle,5)="","",INDEX(BookTitle,5))</f>
        <v/>
      </c>
      <c r="F10" s="40" t="str">
        <f aca="false">IF(INDEX(BookTitle,5)="","",INDEX(BookLevel,5))</f>
        <v/>
      </c>
      <c r="G10" s="40" t="str">
        <f aca="false">IF(INDEX(BookTitle,5)="","",INDEX(BookCategory,5))</f>
        <v/>
      </c>
      <c r="H10" s="40" t="str">
        <f aca="false">IF(INDEX(BookTitle,5)="","",INDEX(BookRank,5))</f>
        <v/>
      </c>
      <c r="I10" s="41" t="str">
        <f aca="false">IF(INDEX(BookTitle,5)="","",INDEX(BookTotal,5))</f>
        <v/>
      </c>
      <c r="J10" s="0" t="str">
        <f aca="false">IF($I10="","",IF(INDEX(BookQ1,5)&gt;0,"Q1",IF(INDEX(BookQ2,5)&gt;0,"Q2",IF(INDEX(BookQ3,5)&gt;0,"Q3",IF(INDEX(BookQ4,5)&gt;0,"Q4","")))))</f>
        <v/>
      </c>
      <c r="K10" s="42" t="str">
        <f aca="false">IF(INDEX(BookTitle,5)="","",INDEX(BookInYear,5))</f>
        <v/>
      </c>
      <c r="L10" s="19"/>
      <c r="M10" s="39"/>
      <c r="N10" s="19"/>
      <c r="O10" s="19"/>
      <c r="P10" s="43" t="str">
        <f aca="false">IF($E10="","",IF($L10="Decline",0,IF($L10="Approve fewer",IF($M10="","",$M10),IF($L10="","",$I10))))</f>
        <v/>
      </c>
      <c r="Q10" s="34" t="str">
        <f aca="false">IF($P10="","",IF($N10&lt;&gt;"",$N10,$J10))</f>
        <v/>
      </c>
      <c r="R10" s="35" t="str">
        <f aca="false">IF(OR($P10="",$Q10=""),"",INDEX(BookRate,5)*$P10*(5-MATCH($Q10,{"Q1";"Q2";"Q3";"Q4"},0))/4+INDEX(BookOneOff,5)*$P10)</f>
        <v/>
      </c>
      <c r="S10" s="35" t="str">
        <f aca="false">IF($P10="","",INDEX(BookRate,5)*$P10)</f>
        <v/>
      </c>
      <c r="T10" s="35" t="str">
        <f aca="false">IF($R10="","",$R10-$K10)</f>
        <v/>
      </c>
      <c r="U10" s="35" t="str">
        <f aca="false">IF(N($P10)&lt;=0,"",COUNTIF($P$6:$P10,"&gt;0"))</f>
        <v/>
      </c>
    </row>
    <row r="11" customFormat="false" ht="15" hidden="false" customHeight="false" outlineLevel="0" collapsed="false">
      <c r="A11" s="40" t="str">
        <f aca="false">IF(INDEX(BookTitle,6)="","",INDEX(BookGroup,6))</f>
        <v/>
      </c>
      <c r="B11" s="40" t="str">
        <f aca="false">IF(INDEX(BookTitle,6)="","",INDEX(BookRef,6))</f>
        <v/>
      </c>
      <c r="C11" s="40" t="str">
        <f aca="false">IF(INDEX(BookTitle,6)="","",INDEX(BookDivision,6))</f>
        <v/>
      </c>
      <c r="D11" s="40" t="str">
        <f aca="false">IF(INDEX(BookTitle,6)="","",INDEX(BookUnit,6))</f>
        <v/>
      </c>
      <c r="E11" s="40" t="str">
        <f aca="false">IF(INDEX(BookTitle,6)="","",INDEX(BookTitle,6))</f>
        <v/>
      </c>
      <c r="F11" s="40" t="str">
        <f aca="false">IF(INDEX(BookTitle,6)="","",INDEX(BookLevel,6))</f>
        <v/>
      </c>
      <c r="G11" s="40" t="str">
        <f aca="false">IF(INDEX(BookTitle,6)="","",INDEX(BookCategory,6))</f>
        <v/>
      </c>
      <c r="H11" s="40" t="str">
        <f aca="false">IF(INDEX(BookTitle,6)="","",INDEX(BookRank,6))</f>
        <v/>
      </c>
      <c r="I11" s="41" t="str">
        <f aca="false">IF(INDEX(BookTitle,6)="","",INDEX(BookTotal,6))</f>
        <v/>
      </c>
      <c r="J11" s="0" t="str">
        <f aca="false">IF($I11="","",IF(INDEX(BookQ1,6)&gt;0,"Q1",IF(INDEX(BookQ2,6)&gt;0,"Q2",IF(INDEX(BookQ3,6)&gt;0,"Q3",IF(INDEX(BookQ4,6)&gt;0,"Q4","")))))</f>
        <v/>
      </c>
      <c r="K11" s="42" t="str">
        <f aca="false">IF(INDEX(BookTitle,6)="","",INDEX(BookInYear,6))</f>
        <v/>
      </c>
      <c r="L11" s="19"/>
      <c r="M11" s="39"/>
      <c r="N11" s="19"/>
      <c r="O11" s="19"/>
      <c r="P11" s="43" t="str">
        <f aca="false">IF($E11="","",IF($L11="Decline",0,IF($L11="Approve fewer",IF($M11="","",$M11),IF($L11="","",$I11))))</f>
        <v/>
      </c>
      <c r="Q11" s="34" t="str">
        <f aca="false">IF($P11="","",IF($N11&lt;&gt;"",$N11,$J11))</f>
        <v/>
      </c>
      <c r="R11" s="35" t="str">
        <f aca="false">IF(OR($P11="",$Q11=""),"",INDEX(BookRate,6)*$P11*(5-MATCH($Q11,{"Q1";"Q2";"Q3";"Q4"},0))/4+INDEX(BookOneOff,6)*$P11)</f>
        <v/>
      </c>
      <c r="S11" s="35" t="str">
        <f aca="false">IF($P11="","",INDEX(BookRate,6)*$P11)</f>
        <v/>
      </c>
      <c r="T11" s="35" t="str">
        <f aca="false">IF($R11="","",$R11-$K11)</f>
        <v/>
      </c>
      <c r="U11" s="35" t="str">
        <f aca="false">IF(N($P11)&lt;=0,"",COUNTIF($P$6:$P11,"&gt;0"))</f>
        <v/>
      </c>
    </row>
    <row r="12" customFormat="false" ht="15" hidden="false" customHeight="false" outlineLevel="0" collapsed="false">
      <c r="A12" s="40" t="str">
        <f aca="false">IF(INDEX(BookTitle,7)="","",INDEX(BookGroup,7))</f>
        <v/>
      </c>
      <c r="B12" s="40" t="str">
        <f aca="false">IF(INDEX(BookTitle,7)="","",INDEX(BookRef,7))</f>
        <v/>
      </c>
      <c r="C12" s="40" t="str">
        <f aca="false">IF(INDEX(BookTitle,7)="","",INDEX(BookDivision,7))</f>
        <v/>
      </c>
      <c r="D12" s="40" t="str">
        <f aca="false">IF(INDEX(BookTitle,7)="","",INDEX(BookUnit,7))</f>
        <v/>
      </c>
      <c r="E12" s="40" t="str">
        <f aca="false">IF(INDEX(BookTitle,7)="","",INDEX(BookTitle,7))</f>
        <v/>
      </c>
      <c r="F12" s="40" t="str">
        <f aca="false">IF(INDEX(BookTitle,7)="","",INDEX(BookLevel,7))</f>
        <v/>
      </c>
      <c r="G12" s="40" t="str">
        <f aca="false">IF(INDEX(BookTitle,7)="","",INDEX(BookCategory,7))</f>
        <v/>
      </c>
      <c r="H12" s="40" t="str">
        <f aca="false">IF(INDEX(BookTitle,7)="","",INDEX(BookRank,7))</f>
        <v/>
      </c>
      <c r="I12" s="41" t="str">
        <f aca="false">IF(INDEX(BookTitle,7)="","",INDEX(BookTotal,7))</f>
        <v/>
      </c>
      <c r="J12" s="0" t="str">
        <f aca="false">IF($I12="","",IF(INDEX(BookQ1,7)&gt;0,"Q1",IF(INDEX(BookQ2,7)&gt;0,"Q2",IF(INDEX(BookQ3,7)&gt;0,"Q3",IF(INDEX(BookQ4,7)&gt;0,"Q4","")))))</f>
        <v/>
      </c>
      <c r="K12" s="42" t="str">
        <f aca="false">IF(INDEX(BookTitle,7)="","",INDEX(BookInYear,7))</f>
        <v/>
      </c>
      <c r="L12" s="19"/>
      <c r="M12" s="39"/>
      <c r="N12" s="19"/>
      <c r="O12" s="19"/>
      <c r="P12" s="43" t="str">
        <f aca="false">IF($E12="","",IF($L12="Decline",0,IF($L12="Approve fewer",IF($M12="","",$M12),IF($L12="","",$I12))))</f>
        <v/>
      </c>
      <c r="Q12" s="34" t="str">
        <f aca="false">IF($P12="","",IF($N12&lt;&gt;"",$N12,$J12))</f>
        <v/>
      </c>
      <c r="R12" s="35" t="str">
        <f aca="false">IF(OR($P12="",$Q12=""),"",INDEX(BookRate,7)*$P12*(5-MATCH($Q12,{"Q1";"Q2";"Q3";"Q4"},0))/4+INDEX(BookOneOff,7)*$P12)</f>
        <v/>
      </c>
      <c r="S12" s="35" t="str">
        <f aca="false">IF($P12="","",INDEX(BookRate,7)*$P12)</f>
        <v/>
      </c>
      <c r="T12" s="35" t="str">
        <f aca="false">IF($R12="","",$R12-$K12)</f>
        <v/>
      </c>
      <c r="U12" s="35" t="str">
        <f aca="false">IF(N($P12)&lt;=0,"",COUNTIF($P$6:$P12,"&gt;0"))</f>
        <v/>
      </c>
    </row>
    <row r="13" customFormat="false" ht="15" hidden="false" customHeight="false" outlineLevel="0" collapsed="false">
      <c r="A13" s="40" t="str">
        <f aca="false">IF(INDEX(BookTitle,8)="","",INDEX(BookGroup,8))</f>
        <v/>
      </c>
      <c r="B13" s="40" t="str">
        <f aca="false">IF(INDEX(BookTitle,8)="","",INDEX(BookRef,8))</f>
        <v/>
      </c>
      <c r="C13" s="40" t="str">
        <f aca="false">IF(INDEX(BookTitle,8)="","",INDEX(BookDivision,8))</f>
        <v/>
      </c>
      <c r="D13" s="40" t="str">
        <f aca="false">IF(INDEX(BookTitle,8)="","",INDEX(BookUnit,8))</f>
        <v/>
      </c>
      <c r="E13" s="40" t="str">
        <f aca="false">IF(INDEX(BookTitle,8)="","",INDEX(BookTitle,8))</f>
        <v/>
      </c>
      <c r="F13" s="40" t="str">
        <f aca="false">IF(INDEX(BookTitle,8)="","",INDEX(BookLevel,8))</f>
        <v/>
      </c>
      <c r="G13" s="40" t="str">
        <f aca="false">IF(INDEX(BookTitle,8)="","",INDEX(BookCategory,8))</f>
        <v/>
      </c>
      <c r="H13" s="40" t="str">
        <f aca="false">IF(INDEX(BookTitle,8)="","",INDEX(BookRank,8))</f>
        <v/>
      </c>
      <c r="I13" s="41" t="str">
        <f aca="false">IF(INDEX(BookTitle,8)="","",INDEX(BookTotal,8))</f>
        <v/>
      </c>
      <c r="J13" s="0" t="str">
        <f aca="false">IF($I13="","",IF(INDEX(BookQ1,8)&gt;0,"Q1",IF(INDEX(BookQ2,8)&gt;0,"Q2",IF(INDEX(BookQ3,8)&gt;0,"Q3",IF(INDEX(BookQ4,8)&gt;0,"Q4","")))))</f>
        <v/>
      </c>
      <c r="K13" s="42" t="str">
        <f aca="false">IF(INDEX(BookTitle,8)="","",INDEX(BookInYear,8))</f>
        <v/>
      </c>
      <c r="L13" s="19"/>
      <c r="M13" s="39"/>
      <c r="N13" s="19"/>
      <c r="O13" s="19"/>
      <c r="P13" s="43" t="str">
        <f aca="false">IF($E13="","",IF($L13="Decline",0,IF($L13="Approve fewer",IF($M13="","",$M13),IF($L13="","",$I13))))</f>
        <v/>
      </c>
      <c r="Q13" s="34" t="str">
        <f aca="false">IF($P13="","",IF($N13&lt;&gt;"",$N13,$J13))</f>
        <v/>
      </c>
      <c r="R13" s="35" t="str">
        <f aca="false">IF(OR($P13="",$Q13=""),"",INDEX(BookRate,8)*$P13*(5-MATCH($Q13,{"Q1";"Q2";"Q3";"Q4"},0))/4+INDEX(BookOneOff,8)*$P13)</f>
        <v/>
      </c>
      <c r="S13" s="35" t="str">
        <f aca="false">IF($P13="","",INDEX(BookRate,8)*$P13)</f>
        <v/>
      </c>
      <c r="T13" s="35" t="str">
        <f aca="false">IF($R13="","",$R13-$K13)</f>
        <v/>
      </c>
      <c r="U13" s="35" t="str">
        <f aca="false">IF(N($P13)&lt;=0,"",COUNTIF($P$6:$P13,"&gt;0"))</f>
        <v/>
      </c>
    </row>
    <row r="14" customFormat="false" ht="15" hidden="false" customHeight="false" outlineLevel="0" collapsed="false">
      <c r="A14" s="40" t="str">
        <f aca="false">IF(INDEX(BookTitle,9)="","",INDEX(BookGroup,9))</f>
        <v/>
      </c>
      <c r="B14" s="40" t="str">
        <f aca="false">IF(INDEX(BookTitle,9)="","",INDEX(BookRef,9))</f>
        <v/>
      </c>
      <c r="C14" s="40" t="str">
        <f aca="false">IF(INDEX(BookTitle,9)="","",INDEX(BookDivision,9))</f>
        <v/>
      </c>
      <c r="D14" s="40" t="str">
        <f aca="false">IF(INDEX(BookTitle,9)="","",INDEX(BookUnit,9))</f>
        <v/>
      </c>
      <c r="E14" s="40" t="str">
        <f aca="false">IF(INDEX(BookTitle,9)="","",INDEX(BookTitle,9))</f>
        <v/>
      </c>
      <c r="F14" s="40" t="str">
        <f aca="false">IF(INDEX(BookTitle,9)="","",INDEX(BookLevel,9))</f>
        <v/>
      </c>
      <c r="G14" s="40" t="str">
        <f aca="false">IF(INDEX(BookTitle,9)="","",INDEX(BookCategory,9))</f>
        <v/>
      </c>
      <c r="H14" s="40" t="str">
        <f aca="false">IF(INDEX(BookTitle,9)="","",INDEX(BookRank,9))</f>
        <v/>
      </c>
      <c r="I14" s="41" t="str">
        <f aca="false">IF(INDEX(BookTitle,9)="","",INDEX(BookTotal,9))</f>
        <v/>
      </c>
      <c r="J14" s="0" t="str">
        <f aca="false">IF($I14="","",IF(INDEX(BookQ1,9)&gt;0,"Q1",IF(INDEX(BookQ2,9)&gt;0,"Q2",IF(INDEX(BookQ3,9)&gt;0,"Q3",IF(INDEX(BookQ4,9)&gt;0,"Q4","")))))</f>
        <v/>
      </c>
      <c r="K14" s="42" t="str">
        <f aca="false">IF(INDEX(BookTitle,9)="","",INDEX(BookInYear,9))</f>
        <v/>
      </c>
      <c r="L14" s="19"/>
      <c r="M14" s="39"/>
      <c r="N14" s="19"/>
      <c r="O14" s="19"/>
      <c r="P14" s="43" t="str">
        <f aca="false">IF($E14="","",IF($L14="Decline",0,IF($L14="Approve fewer",IF($M14="","",$M14),IF($L14="","",$I14))))</f>
        <v/>
      </c>
      <c r="Q14" s="34" t="str">
        <f aca="false">IF($P14="","",IF($N14&lt;&gt;"",$N14,$J14))</f>
        <v/>
      </c>
      <c r="R14" s="35" t="str">
        <f aca="false">IF(OR($P14="",$Q14=""),"",INDEX(BookRate,9)*$P14*(5-MATCH($Q14,{"Q1";"Q2";"Q3";"Q4"},0))/4+INDEX(BookOneOff,9)*$P14)</f>
        <v/>
      </c>
      <c r="S14" s="35" t="str">
        <f aca="false">IF($P14="","",INDEX(BookRate,9)*$P14)</f>
        <v/>
      </c>
      <c r="T14" s="35" t="str">
        <f aca="false">IF($R14="","",$R14-$K14)</f>
        <v/>
      </c>
      <c r="U14" s="35" t="str">
        <f aca="false">IF(N($P14)&lt;=0,"",COUNTIF($P$6:$P14,"&gt;0"))</f>
        <v/>
      </c>
    </row>
    <row r="15" customFormat="false" ht="15" hidden="false" customHeight="false" outlineLevel="0" collapsed="false">
      <c r="A15" s="40" t="str">
        <f aca="false">IF(INDEX(BookTitle,10)="","",INDEX(BookGroup,10))</f>
        <v/>
      </c>
      <c r="B15" s="40" t="str">
        <f aca="false">IF(INDEX(BookTitle,10)="","",INDEX(BookRef,10))</f>
        <v/>
      </c>
      <c r="C15" s="40" t="str">
        <f aca="false">IF(INDEX(BookTitle,10)="","",INDEX(BookDivision,10))</f>
        <v/>
      </c>
      <c r="D15" s="40" t="str">
        <f aca="false">IF(INDEX(BookTitle,10)="","",INDEX(BookUnit,10))</f>
        <v/>
      </c>
      <c r="E15" s="40" t="str">
        <f aca="false">IF(INDEX(BookTitle,10)="","",INDEX(BookTitle,10))</f>
        <v/>
      </c>
      <c r="F15" s="40" t="str">
        <f aca="false">IF(INDEX(BookTitle,10)="","",INDEX(BookLevel,10))</f>
        <v/>
      </c>
      <c r="G15" s="40" t="str">
        <f aca="false">IF(INDEX(BookTitle,10)="","",INDEX(BookCategory,10))</f>
        <v/>
      </c>
      <c r="H15" s="40" t="str">
        <f aca="false">IF(INDEX(BookTitle,10)="","",INDEX(BookRank,10))</f>
        <v/>
      </c>
      <c r="I15" s="41" t="str">
        <f aca="false">IF(INDEX(BookTitle,10)="","",INDEX(BookTotal,10))</f>
        <v/>
      </c>
      <c r="J15" s="0" t="str">
        <f aca="false">IF($I15="","",IF(INDEX(BookQ1,10)&gt;0,"Q1",IF(INDEX(BookQ2,10)&gt;0,"Q2",IF(INDEX(BookQ3,10)&gt;0,"Q3",IF(INDEX(BookQ4,10)&gt;0,"Q4","")))))</f>
        <v/>
      </c>
      <c r="K15" s="42" t="str">
        <f aca="false">IF(INDEX(BookTitle,10)="","",INDEX(BookInYear,10))</f>
        <v/>
      </c>
      <c r="L15" s="19"/>
      <c r="M15" s="39"/>
      <c r="N15" s="19"/>
      <c r="O15" s="19"/>
      <c r="P15" s="43" t="str">
        <f aca="false">IF($E15="","",IF($L15="Decline",0,IF($L15="Approve fewer",IF($M15="","",$M15),IF($L15="","",$I15))))</f>
        <v/>
      </c>
      <c r="Q15" s="34" t="str">
        <f aca="false">IF($P15="","",IF($N15&lt;&gt;"",$N15,$J15))</f>
        <v/>
      </c>
      <c r="R15" s="35" t="str">
        <f aca="false">IF(OR($P15="",$Q15=""),"",INDEX(BookRate,10)*$P15*(5-MATCH($Q15,{"Q1";"Q2";"Q3";"Q4"},0))/4+INDEX(BookOneOff,10)*$P15)</f>
        <v/>
      </c>
      <c r="S15" s="35" t="str">
        <f aca="false">IF($P15="","",INDEX(BookRate,10)*$P15)</f>
        <v/>
      </c>
      <c r="T15" s="35" t="str">
        <f aca="false">IF($R15="","",$R15-$K15)</f>
        <v/>
      </c>
      <c r="U15" s="35" t="str">
        <f aca="false">IF(N($P15)&lt;=0,"",COUNTIF($P$6:$P15,"&gt;0"))</f>
        <v/>
      </c>
    </row>
    <row r="16" customFormat="false" ht="15" hidden="false" customHeight="false" outlineLevel="0" collapsed="false">
      <c r="A16" s="40" t="str">
        <f aca="false">IF(INDEX(BookTitle,11)="","",INDEX(BookGroup,11))</f>
        <v/>
      </c>
      <c r="B16" s="40" t="str">
        <f aca="false">IF(INDEX(BookTitle,11)="","",INDEX(BookRef,11))</f>
        <v/>
      </c>
      <c r="C16" s="40" t="str">
        <f aca="false">IF(INDEX(BookTitle,11)="","",INDEX(BookDivision,11))</f>
        <v/>
      </c>
      <c r="D16" s="40" t="str">
        <f aca="false">IF(INDEX(BookTitle,11)="","",INDEX(BookUnit,11))</f>
        <v/>
      </c>
      <c r="E16" s="40" t="str">
        <f aca="false">IF(INDEX(BookTitle,11)="","",INDEX(BookTitle,11))</f>
        <v/>
      </c>
      <c r="F16" s="40" t="str">
        <f aca="false">IF(INDEX(BookTitle,11)="","",INDEX(BookLevel,11))</f>
        <v/>
      </c>
      <c r="G16" s="40" t="str">
        <f aca="false">IF(INDEX(BookTitle,11)="","",INDEX(BookCategory,11))</f>
        <v/>
      </c>
      <c r="H16" s="40" t="str">
        <f aca="false">IF(INDEX(BookTitle,11)="","",INDEX(BookRank,11))</f>
        <v/>
      </c>
      <c r="I16" s="41" t="str">
        <f aca="false">IF(INDEX(BookTitle,11)="","",INDEX(BookTotal,11))</f>
        <v/>
      </c>
      <c r="J16" s="0" t="str">
        <f aca="false">IF($I16="","",IF(INDEX(BookQ1,11)&gt;0,"Q1",IF(INDEX(BookQ2,11)&gt;0,"Q2",IF(INDEX(BookQ3,11)&gt;0,"Q3",IF(INDEX(BookQ4,11)&gt;0,"Q4","")))))</f>
        <v/>
      </c>
      <c r="K16" s="42" t="str">
        <f aca="false">IF(INDEX(BookTitle,11)="","",INDEX(BookInYear,11))</f>
        <v/>
      </c>
      <c r="L16" s="19"/>
      <c r="M16" s="39"/>
      <c r="N16" s="19"/>
      <c r="O16" s="19"/>
      <c r="P16" s="43" t="str">
        <f aca="false">IF($E16="","",IF($L16="Decline",0,IF($L16="Approve fewer",IF($M16="","",$M16),IF($L16="","",$I16))))</f>
        <v/>
      </c>
      <c r="Q16" s="34" t="str">
        <f aca="false">IF($P16="","",IF($N16&lt;&gt;"",$N16,$J16))</f>
        <v/>
      </c>
      <c r="R16" s="35" t="str">
        <f aca="false">IF(OR($P16="",$Q16=""),"",INDEX(BookRate,11)*$P16*(5-MATCH($Q16,{"Q1";"Q2";"Q3";"Q4"},0))/4+INDEX(BookOneOff,11)*$P16)</f>
        <v/>
      </c>
      <c r="S16" s="35" t="str">
        <f aca="false">IF($P16="","",INDEX(BookRate,11)*$P16)</f>
        <v/>
      </c>
      <c r="T16" s="35" t="str">
        <f aca="false">IF($R16="","",$R16-$K16)</f>
        <v/>
      </c>
      <c r="U16" s="35" t="str">
        <f aca="false">IF(N($P16)&lt;=0,"",COUNTIF($P$6:$P16,"&gt;0"))</f>
        <v/>
      </c>
    </row>
    <row r="17" customFormat="false" ht="15" hidden="false" customHeight="false" outlineLevel="0" collapsed="false">
      <c r="A17" s="40" t="str">
        <f aca="false">IF(INDEX(BookTitle,12)="","",INDEX(BookGroup,12))</f>
        <v/>
      </c>
      <c r="B17" s="40" t="str">
        <f aca="false">IF(INDEX(BookTitle,12)="","",INDEX(BookRef,12))</f>
        <v/>
      </c>
      <c r="C17" s="40" t="str">
        <f aca="false">IF(INDEX(BookTitle,12)="","",INDEX(BookDivision,12))</f>
        <v/>
      </c>
      <c r="D17" s="40" t="str">
        <f aca="false">IF(INDEX(BookTitle,12)="","",INDEX(BookUnit,12))</f>
        <v/>
      </c>
      <c r="E17" s="40" t="str">
        <f aca="false">IF(INDEX(BookTitle,12)="","",INDEX(BookTitle,12))</f>
        <v/>
      </c>
      <c r="F17" s="40" t="str">
        <f aca="false">IF(INDEX(BookTitle,12)="","",INDEX(BookLevel,12))</f>
        <v/>
      </c>
      <c r="G17" s="40" t="str">
        <f aca="false">IF(INDEX(BookTitle,12)="","",INDEX(BookCategory,12))</f>
        <v/>
      </c>
      <c r="H17" s="40" t="str">
        <f aca="false">IF(INDEX(BookTitle,12)="","",INDEX(BookRank,12))</f>
        <v/>
      </c>
      <c r="I17" s="41" t="str">
        <f aca="false">IF(INDEX(BookTitle,12)="","",INDEX(BookTotal,12))</f>
        <v/>
      </c>
      <c r="J17" s="0" t="str">
        <f aca="false">IF($I17="","",IF(INDEX(BookQ1,12)&gt;0,"Q1",IF(INDEX(BookQ2,12)&gt;0,"Q2",IF(INDEX(BookQ3,12)&gt;0,"Q3",IF(INDEX(BookQ4,12)&gt;0,"Q4","")))))</f>
        <v/>
      </c>
      <c r="K17" s="42" t="str">
        <f aca="false">IF(INDEX(BookTitle,12)="","",INDEX(BookInYear,12))</f>
        <v/>
      </c>
      <c r="L17" s="19"/>
      <c r="M17" s="39"/>
      <c r="N17" s="19"/>
      <c r="O17" s="19"/>
      <c r="P17" s="43" t="str">
        <f aca="false">IF($E17="","",IF($L17="Decline",0,IF($L17="Approve fewer",IF($M17="","",$M17),IF($L17="","",$I17))))</f>
        <v/>
      </c>
      <c r="Q17" s="34" t="str">
        <f aca="false">IF($P17="","",IF($N17&lt;&gt;"",$N17,$J17))</f>
        <v/>
      </c>
      <c r="R17" s="35" t="str">
        <f aca="false">IF(OR($P17="",$Q17=""),"",INDEX(BookRate,12)*$P17*(5-MATCH($Q17,{"Q1";"Q2";"Q3";"Q4"},0))/4+INDEX(BookOneOff,12)*$P17)</f>
        <v/>
      </c>
      <c r="S17" s="35" t="str">
        <f aca="false">IF($P17="","",INDEX(BookRate,12)*$P17)</f>
        <v/>
      </c>
      <c r="T17" s="35" t="str">
        <f aca="false">IF($R17="","",$R17-$K17)</f>
        <v/>
      </c>
      <c r="U17" s="35" t="str">
        <f aca="false">IF(N($P17)&lt;=0,"",COUNTIF($P$6:$P17,"&gt;0"))</f>
        <v/>
      </c>
    </row>
    <row r="18" customFormat="false" ht="15" hidden="false" customHeight="false" outlineLevel="0" collapsed="false">
      <c r="A18" s="40" t="str">
        <f aca="false">IF(INDEX(BookTitle,13)="","",INDEX(BookGroup,13))</f>
        <v/>
      </c>
      <c r="B18" s="40" t="str">
        <f aca="false">IF(INDEX(BookTitle,13)="","",INDEX(BookRef,13))</f>
        <v/>
      </c>
      <c r="C18" s="40" t="str">
        <f aca="false">IF(INDEX(BookTitle,13)="","",INDEX(BookDivision,13))</f>
        <v/>
      </c>
      <c r="D18" s="40" t="str">
        <f aca="false">IF(INDEX(BookTitle,13)="","",INDEX(BookUnit,13))</f>
        <v/>
      </c>
      <c r="E18" s="40" t="str">
        <f aca="false">IF(INDEX(BookTitle,13)="","",INDEX(BookTitle,13))</f>
        <v/>
      </c>
      <c r="F18" s="40" t="str">
        <f aca="false">IF(INDEX(BookTitle,13)="","",INDEX(BookLevel,13))</f>
        <v/>
      </c>
      <c r="G18" s="40" t="str">
        <f aca="false">IF(INDEX(BookTitle,13)="","",INDEX(BookCategory,13))</f>
        <v/>
      </c>
      <c r="H18" s="40" t="str">
        <f aca="false">IF(INDEX(BookTitle,13)="","",INDEX(BookRank,13))</f>
        <v/>
      </c>
      <c r="I18" s="41" t="str">
        <f aca="false">IF(INDEX(BookTitle,13)="","",INDEX(BookTotal,13))</f>
        <v/>
      </c>
      <c r="J18" s="0" t="str">
        <f aca="false">IF($I18="","",IF(INDEX(BookQ1,13)&gt;0,"Q1",IF(INDEX(BookQ2,13)&gt;0,"Q2",IF(INDEX(BookQ3,13)&gt;0,"Q3",IF(INDEX(BookQ4,13)&gt;0,"Q4","")))))</f>
        <v/>
      </c>
      <c r="K18" s="42" t="str">
        <f aca="false">IF(INDEX(BookTitle,13)="","",INDEX(BookInYear,13))</f>
        <v/>
      </c>
      <c r="L18" s="19"/>
      <c r="M18" s="39"/>
      <c r="N18" s="19"/>
      <c r="O18" s="19"/>
      <c r="P18" s="43" t="str">
        <f aca="false">IF($E18="","",IF($L18="Decline",0,IF($L18="Approve fewer",IF($M18="","",$M18),IF($L18="","",$I18))))</f>
        <v/>
      </c>
      <c r="Q18" s="34" t="str">
        <f aca="false">IF($P18="","",IF($N18&lt;&gt;"",$N18,$J18))</f>
        <v/>
      </c>
      <c r="R18" s="35" t="str">
        <f aca="false">IF(OR($P18="",$Q18=""),"",INDEX(BookRate,13)*$P18*(5-MATCH($Q18,{"Q1";"Q2";"Q3";"Q4"},0))/4+INDEX(BookOneOff,13)*$P18)</f>
        <v/>
      </c>
      <c r="S18" s="35" t="str">
        <f aca="false">IF($P18="","",INDEX(BookRate,13)*$P18)</f>
        <v/>
      </c>
      <c r="T18" s="35" t="str">
        <f aca="false">IF($R18="","",$R18-$K18)</f>
        <v/>
      </c>
      <c r="U18" s="35" t="str">
        <f aca="false">IF(N($P18)&lt;=0,"",COUNTIF($P$6:$P18,"&gt;0"))</f>
        <v/>
      </c>
    </row>
    <row r="19" customFormat="false" ht="15" hidden="false" customHeight="false" outlineLevel="0" collapsed="false">
      <c r="A19" s="40" t="str">
        <f aca="false">IF(INDEX(BookTitle,14)="","",INDEX(BookGroup,14))</f>
        <v/>
      </c>
      <c r="B19" s="40" t="str">
        <f aca="false">IF(INDEX(BookTitle,14)="","",INDEX(BookRef,14))</f>
        <v/>
      </c>
      <c r="C19" s="40" t="str">
        <f aca="false">IF(INDEX(BookTitle,14)="","",INDEX(BookDivision,14))</f>
        <v/>
      </c>
      <c r="D19" s="40" t="str">
        <f aca="false">IF(INDEX(BookTitle,14)="","",INDEX(BookUnit,14))</f>
        <v/>
      </c>
      <c r="E19" s="40" t="str">
        <f aca="false">IF(INDEX(BookTitle,14)="","",INDEX(BookTitle,14))</f>
        <v/>
      </c>
      <c r="F19" s="40" t="str">
        <f aca="false">IF(INDEX(BookTitle,14)="","",INDEX(BookLevel,14))</f>
        <v/>
      </c>
      <c r="G19" s="40" t="str">
        <f aca="false">IF(INDEX(BookTitle,14)="","",INDEX(BookCategory,14))</f>
        <v/>
      </c>
      <c r="H19" s="40" t="str">
        <f aca="false">IF(INDEX(BookTitle,14)="","",INDEX(BookRank,14))</f>
        <v/>
      </c>
      <c r="I19" s="41" t="str">
        <f aca="false">IF(INDEX(BookTitle,14)="","",INDEX(BookTotal,14))</f>
        <v/>
      </c>
      <c r="J19" s="0" t="str">
        <f aca="false">IF($I19="","",IF(INDEX(BookQ1,14)&gt;0,"Q1",IF(INDEX(BookQ2,14)&gt;0,"Q2",IF(INDEX(BookQ3,14)&gt;0,"Q3",IF(INDEX(BookQ4,14)&gt;0,"Q4","")))))</f>
        <v/>
      </c>
      <c r="K19" s="42" t="str">
        <f aca="false">IF(INDEX(BookTitle,14)="","",INDEX(BookInYear,14))</f>
        <v/>
      </c>
      <c r="L19" s="19"/>
      <c r="M19" s="39"/>
      <c r="N19" s="19"/>
      <c r="O19" s="19"/>
      <c r="P19" s="43" t="str">
        <f aca="false">IF($E19="","",IF($L19="Decline",0,IF($L19="Approve fewer",IF($M19="","",$M19),IF($L19="","",$I19))))</f>
        <v/>
      </c>
      <c r="Q19" s="34" t="str">
        <f aca="false">IF($P19="","",IF($N19&lt;&gt;"",$N19,$J19))</f>
        <v/>
      </c>
      <c r="R19" s="35" t="str">
        <f aca="false">IF(OR($P19="",$Q19=""),"",INDEX(BookRate,14)*$P19*(5-MATCH($Q19,{"Q1";"Q2";"Q3";"Q4"},0))/4+INDEX(BookOneOff,14)*$P19)</f>
        <v/>
      </c>
      <c r="S19" s="35" t="str">
        <f aca="false">IF($P19="","",INDEX(BookRate,14)*$P19)</f>
        <v/>
      </c>
      <c r="T19" s="35" t="str">
        <f aca="false">IF($R19="","",$R19-$K19)</f>
        <v/>
      </c>
      <c r="U19" s="35" t="str">
        <f aca="false">IF(N($P19)&lt;=0,"",COUNTIF($P$6:$P19,"&gt;0"))</f>
        <v/>
      </c>
    </row>
    <row r="20" customFormat="false" ht="15" hidden="false" customHeight="false" outlineLevel="0" collapsed="false">
      <c r="A20" s="40" t="str">
        <f aca="false">IF(INDEX(BookTitle,15)="","",INDEX(BookGroup,15))</f>
        <v/>
      </c>
      <c r="B20" s="40" t="str">
        <f aca="false">IF(INDEX(BookTitle,15)="","",INDEX(BookRef,15))</f>
        <v/>
      </c>
      <c r="C20" s="40" t="str">
        <f aca="false">IF(INDEX(BookTitle,15)="","",INDEX(BookDivision,15))</f>
        <v/>
      </c>
      <c r="D20" s="40" t="str">
        <f aca="false">IF(INDEX(BookTitle,15)="","",INDEX(BookUnit,15))</f>
        <v/>
      </c>
      <c r="E20" s="40" t="str">
        <f aca="false">IF(INDEX(BookTitle,15)="","",INDEX(BookTitle,15))</f>
        <v/>
      </c>
      <c r="F20" s="40" t="str">
        <f aca="false">IF(INDEX(BookTitle,15)="","",INDEX(BookLevel,15))</f>
        <v/>
      </c>
      <c r="G20" s="40" t="str">
        <f aca="false">IF(INDEX(BookTitle,15)="","",INDEX(BookCategory,15))</f>
        <v/>
      </c>
      <c r="H20" s="40" t="str">
        <f aca="false">IF(INDEX(BookTitle,15)="","",INDEX(BookRank,15))</f>
        <v/>
      </c>
      <c r="I20" s="41" t="str">
        <f aca="false">IF(INDEX(BookTitle,15)="","",INDEX(BookTotal,15))</f>
        <v/>
      </c>
      <c r="J20" s="0" t="str">
        <f aca="false">IF($I20="","",IF(INDEX(BookQ1,15)&gt;0,"Q1",IF(INDEX(BookQ2,15)&gt;0,"Q2",IF(INDEX(BookQ3,15)&gt;0,"Q3",IF(INDEX(BookQ4,15)&gt;0,"Q4","")))))</f>
        <v/>
      </c>
      <c r="K20" s="42" t="str">
        <f aca="false">IF(INDEX(BookTitle,15)="","",INDEX(BookInYear,15))</f>
        <v/>
      </c>
      <c r="L20" s="19"/>
      <c r="M20" s="39"/>
      <c r="N20" s="19"/>
      <c r="O20" s="19"/>
      <c r="P20" s="43" t="str">
        <f aca="false">IF($E20="","",IF($L20="Decline",0,IF($L20="Approve fewer",IF($M20="","",$M20),IF($L20="","",$I20))))</f>
        <v/>
      </c>
      <c r="Q20" s="34" t="str">
        <f aca="false">IF($P20="","",IF($N20&lt;&gt;"",$N20,$J20))</f>
        <v/>
      </c>
      <c r="R20" s="35" t="str">
        <f aca="false">IF(OR($P20="",$Q20=""),"",INDEX(BookRate,15)*$P20*(5-MATCH($Q20,{"Q1";"Q2";"Q3";"Q4"},0))/4+INDEX(BookOneOff,15)*$P20)</f>
        <v/>
      </c>
      <c r="S20" s="35" t="str">
        <f aca="false">IF($P20="","",INDEX(BookRate,15)*$P20)</f>
        <v/>
      </c>
      <c r="T20" s="35" t="str">
        <f aca="false">IF($R20="","",$R20-$K20)</f>
        <v/>
      </c>
      <c r="U20" s="35" t="str">
        <f aca="false">IF(N($P20)&lt;=0,"",COUNTIF($P$6:$P20,"&gt;0"))</f>
        <v/>
      </c>
    </row>
    <row r="21" customFormat="false" ht="15" hidden="false" customHeight="false" outlineLevel="0" collapsed="false">
      <c r="A21" s="40" t="str">
        <f aca="false">IF(INDEX(BookTitle,16)="","",INDEX(BookGroup,16))</f>
        <v/>
      </c>
      <c r="B21" s="40" t="str">
        <f aca="false">IF(INDEX(BookTitle,16)="","",INDEX(BookRef,16))</f>
        <v/>
      </c>
      <c r="C21" s="40" t="str">
        <f aca="false">IF(INDEX(BookTitle,16)="","",INDEX(BookDivision,16))</f>
        <v/>
      </c>
      <c r="D21" s="40" t="str">
        <f aca="false">IF(INDEX(BookTitle,16)="","",INDEX(BookUnit,16))</f>
        <v/>
      </c>
      <c r="E21" s="40" t="str">
        <f aca="false">IF(INDEX(BookTitle,16)="","",INDEX(BookTitle,16))</f>
        <v/>
      </c>
      <c r="F21" s="40" t="str">
        <f aca="false">IF(INDEX(BookTitle,16)="","",INDEX(BookLevel,16))</f>
        <v/>
      </c>
      <c r="G21" s="40" t="str">
        <f aca="false">IF(INDEX(BookTitle,16)="","",INDEX(BookCategory,16))</f>
        <v/>
      </c>
      <c r="H21" s="40" t="str">
        <f aca="false">IF(INDEX(BookTitle,16)="","",INDEX(BookRank,16))</f>
        <v/>
      </c>
      <c r="I21" s="41" t="str">
        <f aca="false">IF(INDEX(BookTitle,16)="","",INDEX(BookTotal,16))</f>
        <v/>
      </c>
      <c r="J21" s="0" t="str">
        <f aca="false">IF($I21="","",IF(INDEX(BookQ1,16)&gt;0,"Q1",IF(INDEX(BookQ2,16)&gt;0,"Q2",IF(INDEX(BookQ3,16)&gt;0,"Q3",IF(INDEX(BookQ4,16)&gt;0,"Q4","")))))</f>
        <v/>
      </c>
      <c r="K21" s="42" t="str">
        <f aca="false">IF(INDEX(BookTitle,16)="","",INDEX(BookInYear,16))</f>
        <v/>
      </c>
      <c r="L21" s="19"/>
      <c r="M21" s="39"/>
      <c r="N21" s="19"/>
      <c r="O21" s="19"/>
      <c r="P21" s="43" t="str">
        <f aca="false">IF($E21="","",IF($L21="Decline",0,IF($L21="Approve fewer",IF($M21="","",$M21),IF($L21="","",$I21))))</f>
        <v/>
      </c>
      <c r="Q21" s="34" t="str">
        <f aca="false">IF($P21="","",IF($N21&lt;&gt;"",$N21,$J21))</f>
        <v/>
      </c>
      <c r="R21" s="35" t="str">
        <f aca="false">IF(OR($P21="",$Q21=""),"",INDEX(BookRate,16)*$P21*(5-MATCH($Q21,{"Q1";"Q2";"Q3";"Q4"},0))/4+INDEX(BookOneOff,16)*$P21)</f>
        <v/>
      </c>
      <c r="S21" s="35" t="str">
        <f aca="false">IF($P21="","",INDEX(BookRate,16)*$P21)</f>
        <v/>
      </c>
      <c r="T21" s="35" t="str">
        <f aca="false">IF($R21="","",$R21-$K21)</f>
        <v/>
      </c>
      <c r="U21" s="35" t="str">
        <f aca="false">IF(N($P21)&lt;=0,"",COUNTIF($P$6:$P21,"&gt;0"))</f>
        <v/>
      </c>
    </row>
    <row r="22" customFormat="false" ht="15" hidden="false" customHeight="false" outlineLevel="0" collapsed="false">
      <c r="A22" s="40" t="str">
        <f aca="false">IF(INDEX(BookTitle,17)="","",INDEX(BookGroup,17))</f>
        <v/>
      </c>
      <c r="B22" s="40" t="str">
        <f aca="false">IF(INDEX(BookTitle,17)="","",INDEX(BookRef,17))</f>
        <v/>
      </c>
      <c r="C22" s="40" t="str">
        <f aca="false">IF(INDEX(BookTitle,17)="","",INDEX(BookDivision,17))</f>
        <v/>
      </c>
      <c r="D22" s="40" t="str">
        <f aca="false">IF(INDEX(BookTitle,17)="","",INDEX(BookUnit,17))</f>
        <v/>
      </c>
      <c r="E22" s="40" t="str">
        <f aca="false">IF(INDEX(BookTitle,17)="","",INDEX(BookTitle,17))</f>
        <v/>
      </c>
      <c r="F22" s="40" t="str">
        <f aca="false">IF(INDEX(BookTitle,17)="","",INDEX(BookLevel,17))</f>
        <v/>
      </c>
      <c r="G22" s="40" t="str">
        <f aca="false">IF(INDEX(BookTitle,17)="","",INDEX(BookCategory,17))</f>
        <v/>
      </c>
      <c r="H22" s="40" t="str">
        <f aca="false">IF(INDEX(BookTitle,17)="","",INDEX(BookRank,17))</f>
        <v/>
      </c>
      <c r="I22" s="41" t="str">
        <f aca="false">IF(INDEX(BookTitle,17)="","",INDEX(BookTotal,17))</f>
        <v/>
      </c>
      <c r="J22" s="0" t="str">
        <f aca="false">IF($I22="","",IF(INDEX(BookQ1,17)&gt;0,"Q1",IF(INDEX(BookQ2,17)&gt;0,"Q2",IF(INDEX(BookQ3,17)&gt;0,"Q3",IF(INDEX(BookQ4,17)&gt;0,"Q4","")))))</f>
        <v/>
      </c>
      <c r="K22" s="42" t="str">
        <f aca="false">IF(INDEX(BookTitle,17)="","",INDEX(BookInYear,17))</f>
        <v/>
      </c>
      <c r="L22" s="19"/>
      <c r="M22" s="39"/>
      <c r="N22" s="19"/>
      <c r="O22" s="19"/>
      <c r="P22" s="43" t="str">
        <f aca="false">IF($E22="","",IF($L22="Decline",0,IF($L22="Approve fewer",IF($M22="","",$M22),IF($L22="","",$I22))))</f>
        <v/>
      </c>
      <c r="Q22" s="34" t="str">
        <f aca="false">IF($P22="","",IF($N22&lt;&gt;"",$N22,$J22))</f>
        <v/>
      </c>
      <c r="R22" s="35" t="str">
        <f aca="false">IF(OR($P22="",$Q22=""),"",INDEX(BookRate,17)*$P22*(5-MATCH($Q22,{"Q1";"Q2";"Q3";"Q4"},0))/4+INDEX(BookOneOff,17)*$P22)</f>
        <v/>
      </c>
      <c r="S22" s="35" t="str">
        <f aca="false">IF($P22="","",INDEX(BookRate,17)*$P22)</f>
        <v/>
      </c>
      <c r="T22" s="35" t="str">
        <f aca="false">IF($R22="","",$R22-$K22)</f>
        <v/>
      </c>
      <c r="U22" s="35" t="str">
        <f aca="false">IF(N($P22)&lt;=0,"",COUNTIF($P$6:$P22,"&gt;0"))</f>
        <v/>
      </c>
    </row>
    <row r="23" customFormat="false" ht="15" hidden="false" customHeight="false" outlineLevel="0" collapsed="false">
      <c r="A23" s="40" t="str">
        <f aca="false">IF(INDEX(BookTitle,18)="","",INDEX(BookGroup,18))</f>
        <v/>
      </c>
      <c r="B23" s="40" t="str">
        <f aca="false">IF(INDEX(BookTitle,18)="","",INDEX(BookRef,18))</f>
        <v/>
      </c>
      <c r="C23" s="40" t="str">
        <f aca="false">IF(INDEX(BookTitle,18)="","",INDEX(BookDivision,18))</f>
        <v/>
      </c>
      <c r="D23" s="40" t="str">
        <f aca="false">IF(INDEX(BookTitle,18)="","",INDEX(BookUnit,18))</f>
        <v/>
      </c>
      <c r="E23" s="40" t="str">
        <f aca="false">IF(INDEX(BookTitle,18)="","",INDEX(BookTitle,18))</f>
        <v/>
      </c>
      <c r="F23" s="40" t="str">
        <f aca="false">IF(INDEX(BookTitle,18)="","",INDEX(BookLevel,18))</f>
        <v/>
      </c>
      <c r="G23" s="40" t="str">
        <f aca="false">IF(INDEX(BookTitle,18)="","",INDEX(BookCategory,18))</f>
        <v/>
      </c>
      <c r="H23" s="40" t="str">
        <f aca="false">IF(INDEX(BookTitle,18)="","",INDEX(BookRank,18))</f>
        <v/>
      </c>
      <c r="I23" s="41" t="str">
        <f aca="false">IF(INDEX(BookTitle,18)="","",INDEX(BookTotal,18))</f>
        <v/>
      </c>
      <c r="J23" s="0" t="str">
        <f aca="false">IF($I23="","",IF(INDEX(BookQ1,18)&gt;0,"Q1",IF(INDEX(BookQ2,18)&gt;0,"Q2",IF(INDEX(BookQ3,18)&gt;0,"Q3",IF(INDEX(BookQ4,18)&gt;0,"Q4","")))))</f>
        <v/>
      </c>
      <c r="K23" s="42" t="str">
        <f aca="false">IF(INDEX(BookTitle,18)="","",INDEX(BookInYear,18))</f>
        <v/>
      </c>
      <c r="L23" s="19"/>
      <c r="M23" s="39"/>
      <c r="N23" s="19"/>
      <c r="O23" s="19"/>
      <c r="P23" s="43" t="str">
        <f aca="false">IF($E23="","",IF($L23="Decline",0,IF($L23="Approve fewer",IF($M23="","",$M23),IF($L23="","",$I23))))</f>
        <v/>
      </c>
      <c r="Q23" s="34" t="str">
        <f aca="false">IF($P23="","",IF($N23&lt;&gt;"",$N23,$J23))</f>
        <v/>
      </c>
      <c r="R23" s="35" t="str">
        <f aca="false">IF(OR($P23="",$Q23=""),"",INDEX(BookRate,18)*$P23*(5-MATCH($Q23,{"Q1";"Q2";"Q3";"Q4"},0))/4+INDEX(BookOneOff,18)*$P23)</f>
        <v/>
      </c>
      <c r="S23" s="35" t="str">
        <f aca="false">IF($P23="","",INDEX(BookRate,18)*$P23)</f>
        <v/>
      </c>
      <c r="T23" s="35" t="str">
        <f aca="false">IF($R23="","",$R23-$K23)</f>
        <v/>
      </c>
      <c r="U23" s="35" t="str">
        <f aca="false">IF(N($P23)&lt;=0,"",COUNTIF($P$6:$P23,"&gt;0"))</f>
        <v/>
      </c>
    </row>
    <row r="24" customFormat="false" ht="15" hidden="false" customHeight="false" outlineLevel="0" collapsed="false">
      <c r="A24" s="40" t="str">
        <f aca="false">IF(INDEX(BookTitle,19)="","",INDEX(BookGroup,19))</f>
        <v/>
      </c>
      <c r="B24" s="40" t="str">
        <f aca="false">IF(INDEX(BookTitle,19)="","",INDEX(BookRef,19))</f>
        <v/>
      </c>
      <c r="C24" s="40" t="str">
        <f aca="false">IF(INDEX(BookTitle,19)="","",INDEX(BookDivision,19))</f>
        <v/>
      </c>
      <c r="D24" s="40" t="str">
        <f aca="false">IF(INDEX(BookTitle,19)="","",INDEX(BookUnit,19))</f>
        <v/>
      </c>
      <c r="E24" s="40" t="str">
        <f aca="false">IF(INDEX(BookTitle,19)="","",INDEX(BookTitle,19))</f>
        <v/>
      </c>
      <c r="F24" s="40" t="str">
        <f aca="false">IF(INDEX(BookTitle,19)="","",INDEX(BookLevel,19))</f>
        <v/>
      </c>
      <c r="G24" s="40" t="str">
        <f aca="false">IF(INDEX(BookTitle,19)="","",INDEX(BookCategory,19))</f>
        <v/>
      </c>
      <c r="H24" s="40" t="str">
        <f aca="false">IF(INDEX(BookTitle,19)="","",INDEX(BookRank,19))</f>
        <v/>
      </c>
      <c r="I24" s="41" t="str">
        <f aca="false">IF(INDEX(BookTitle,19)="","",INDEX(BookTotal,19))</f>
        <v/>
      </c>
      <c r="J24" s="0" t="str">
        <f aca="false">IF($I24="","",IF(INDEX(BookQ1,19)&gt;0,"Q1",IF(INDEX(BookQ2,19)&gt;0,"Q2",IF(INDEX(BookQ3,19)&gt;0,"Q3",IF(INDEX(BookQ4,19)&gt;0,"Q4","")))))</f>
        <v/>
      </c>
      <c r="K24" s="42" t="str">
        <f aca="false">IF(INDEX(BookTitle,19)="","",INDEX(BookInYear,19))</f>
        <v/>
      </c>
      <c r="L24" s="19"/>
      <c r="M24" s="39"/>
      <c r="N24" s="19"/>
      <c r="O24" s="19"/>
      <c r="P24" s="43" t="str">
        <f aca="false">IF($E24="","",IF($L24="Decline",0,IF($L24="Approve fewer",IF($M24="","",$M24),IF($L24="","",$I24))))</f>
        <v/>
      </c>
      <c r="Q24" s="34" t="str">
        <f aca="false">IF($P24="","",IF($N24&lt;&gt;"",$N24,$J24))</f>
        <v/>
      </c>
      <c r="R24" s="35" t="str">
        <f aca="false">IF(OR($P24="",$Q24=""),"",INDEX(BookRate,19)*$P24*(5-MATCH($Q24,{"Q1";"Q2";"Q3";"Q4"},0))/4+INDEX(BookOneOff,19)*$P24)</f>
        <v/>
      </c>
      <c r="S24" s="35" t="str">
        <f aca="false">IF($P24="","",INDEX(BookRate,19)*$P24)</f>
        <v/>
      </c>
      <c r="T24" s="35" t="str">
        <f aca="false">IF($R24="","",$R24-$K24)</f>
        <v/>
      </c>
      <c r="U24" s="35" t="str">
        <f aca="false">IF(N($P24)&lt;=0,"",COUNTIF($P$6:$P24,"&gt;0"))</f>
        <v/>
      </c>
    </row>
    <row r="25" customFormat="false" ht="15" hidden="false" customHeight="false" outlineLevel="0" collapsed="false">
      <c r="A25" s="40" t="str">
        <f aca="false">IF(INDEX(BookTitle,20)="","",INDEX(BookGroup,20))</f>
        <v/>
      </c>
      <c r="B25" s="40" t="str">
        <f aca="false">IF(INDEX(BookTitle,20)="","",INDEX(BookRef,20))</f>
        <v/>
      </c>
      <c r="C25" s="40" t="str">
        <f aca="false">IF(INDEX(BookTitle,20)="","",INDEX(BookDivision,20))</f>
        <v/>
      </c>
      <c r="D25" s="40" t="str">
        <f aca="false">IF(INDEX(BookTitle,20)="","",INDEX(BookUnit,20))</f>
        <v/>
      </c>
      <c r="E25" s="40" t="str">
        <f aca="false">IF(INDEX(BookTitle,20)="","",INDEX(BookTitle,20))</f>
        <v/>
      </c>
      <c r="F25" s="40" t="str">
        <f aca="false">IF(INDEX(BookTitle,20)="","",INDEX(BookLevel,20))</f>
        <v/>
      </c>
      <c r="G25" s="40" t="str">
        <f aca="false">IF(INDEX(BookTitle,20)="","",INDEX(BookCategory,20))</f>
        <v/>
      </c>
      <c r="H25" s="40" t="str">
        <f aca="false">IF(INDEX(BookTitle,20)="","",INDEX(BookRank,20))</f>
        <v/>
      </c>
      <c r="I25" s="41" t="str">
        <f aca="false">IF(INDEX(BookTitle,20)="","",INDEX(BookTotal,20))</f>
        <v/>
      </c>
      <c r="J25" s="0" t="str">
        <f aca="false">IF($I25="","",IF(INDEX(BookQ1,20)&gt;0,"Q1",IF(INDEX(BookQ2,20)&gt;0,"Q2",IF(INDEX(BookQ3,20)&gt;0,"Q3",IF(INDEX(BookQ4,20)&gt;0,"Q4","")))))</f>
        <v/>
      </c>
      <c r="K25" s="42" t="str">
        <f aca="false">IF(INDEX(BookTitle,20)="","",INDEX(BookInYear,20))</f>
        <v/>
      </c>
      <c r="L25" s="19"/>
      <c r="M25" s="39"/>
      <c r="N25" s="19"/>
      <c r="O25" s="19"/>
      <c r="P25" s="43" t="str">
        <f aca="false">IF($E25="","",IF($L25="Decline",0,IF($L25="Approve fewer",IF($M25="","",$M25),IF($L25="","",$I25))))</f>
        <v/>
      </c>
      <c r="Q25" s="34" t="str">
        <f aca="false">IF($P25="","",IF($N25&lt;&gt;"",$N25,$J25))</f>
        <v/>
      </c>
      <c r="R25" s="35" t="str">
        <f aca="false">IF(OR($P25="",$Q25=""),"",INDEX(BookRate,20)*$P25*(5-MATCH($Q25,{"Q1";"Q2";"Q3";"Q4"},0))/4+INDEX(BookOneOff,20)*$P25)</f>
        <v/>
      </c>
      <c r="S25" s="35" t="str">
        <f aca="false">IF($P25="","",INDEX(BookRate,20)*$P25)</f>
        <v/>
      </c>
      <c r="T25" s="35" t="str">
        <f aca="false">IF($R25="","",$R25-$K25)</f>
        <v/>
      </c>
      <c r="U25" s="35" t="str">
        <f aca="false">IF(N($P25)&lt;=0,"",COUNTIF($P$6:$P25,"&gt;0"))</f>
        <v/>
      </c>
    </row>
    <row r="26" customFormat="false" ht="15" hidden="false" customHeight="false" outlineLevel="0" collapsed="false">
      <c r="A26" s="40" t="str">
        <f aca="false">IF(INDEX(BookTitle,21)="","",INDEX(BookGroup,21))</f>
        <v/>
      </c>
      <c r="B26" s="40" t="str">
        <f aca="false">IF(INDEX(BookTitle,21)="","",INDEX(BookRef,21))</f>
        <v/>
      </c>
      <c r="C26" s="40" t="str">
        <f aca="false">IF(INDEX(BookTitle,21)="","",INDEX(BookDivision,21))</f>
        <v/>
      </c>
      <c r="D26" s="40" t="str">
        <f aca="false">IF(INDEX(BookTitle,21)="","",INDEX(BookUnit,21))</f>
        <v/>
      </c>
      <c r="E26" s="40" t="str">
        <f aca="false">IF(INDEX(BookTitle,21)="","",INDEX(BookTitle,21))</f>
        <v/>
      </c>
      <c r="F26" s="40" t="str">
        <f aca="false">IF(INDEX(BookTitle,21)="","",INDEX(BookLevel,21))</f>
        <v/>
      </c>
      <c r="G26" s="40" t="str">
        <f aca="false">IF(INDEX(BookTitle,21)="","",INDEX(BookCategory,21))</f>
        <v/>
      </c>
      <c r="H26" s="40" t="str">
        <f aca="false">IF(INDEX(BookTitle,21)="","",INDEX(BookRank,21))</f>
        <v/>
      </c>
      <c r="I26" s="41" t="str">
        <f aca="false">IF(INDEX(BookTitle,21)="","",INDEX(BookTotal,21))</f>
        <v/>
      </c>
      <c r="J26" s="0" t="str">
        <f aca="false">IF($I26="","",IF(INDEX(BookQ1,21)&gt;0,"Q1",IF(INDEX(BookQ2,21)&gt;0,"Q2",IF(INDEX(BookQ3,21)&gt;0,"Q3",IF(INDEX(BookQ4,21)&gt;0,"Q4","")))))</f>
        <v/>
      </c>
      <c r="K26" s="42" t="str">
        <f aca="false">IF(INDEX(BookTitle,21)="","",INDEX(BookInYear,21))</f>
        <v/>
      </c>
      <c r="L26" s="19"/>
      <c r="M26" s="39"/>
      <c r="N26" s="19"/>
      <c r="O26" s="19"/>
      <c r="P26" s="43" t="str">
        <f aca="false">IF($E26="","",IF($L26="Decline",0,IF($L26="Approve fewer",IF($M26="","",$M26),IF($L26="","",$I26))))</f>
        <v/>
      </c>
      <c r="Q26" s="34" t="str">
        <f aca="false">IF($P26="","",IF($N26&lt;&gt;"",$N26,$J26))</f>
        <v/>
      </c>
      <c r="R26" s="35" t="str">
        <f aca="false">IF(OR($P26="",$Q26=""),"",INDEX(BookRate,21)*$P26*(5-MATCH($Q26,{"Q1";"Q2";"Q3";"Q4"},0))/4+INDEX(BookOneOff,21)*$P26)</f>
        <v/>
      </c>
      <c r="S26" s="35" t="str">
        <f aca="false">IF($P26="","",INDEX(BookRate,21)*$P26)</f>
        <v/>
      </c>
      <c r="T26" s="35" t="str">
        <f aca="false">IF($R26="","",$R26-$K26)</f>
        <v/>
      </c>
      <c r="U26" s="35" t="str">
        <f aca="false">IF(N($P26)&lt;=0,"",COUNTIF($P$6:$P26,"&gt;0"))</f>
        <v/>
      </c>
    </row>
    <row r="27" customFormat="false" ht="15" hidden="false" customHeight="false" outlineLevel="0" collapsed="false">
      <c r="A27" s="40" t="str">
        <f aca="false">IF(INDEX(BookTitle,22)="","",INDEX(BookGroup,22))</f>
        <v/>
      </c>
      <c r="B27" s="40" t="str">
        <f aca="false">IF(INDEX(BookTitle,22)="","",INDEX(BookRef,22))</f>
        <v/>
      </c>
      <c r="C27" s="40" t="str">
        <f aca="false">IF(INDEX(BookTitle,22)="","",INDEX(BookDivision,22))</f>
        <v/>
      </c>
      <c r="D27" s="40" t="str">
        <f aca="false">IF(INDEX(BookTitle,22)="","",INDEX(BookUnit,22))</f>
        <v/>
      </c>
      <c r="E27" s="40" t="str">
        <f aca="false">IF(INDEX(BookTitle,22)="","",INDEX(BookTitle,22))</f>
        <v/>
      </c>
      <c r="F27" s="40" t="str">
        <f aca="false">IF(INDEX(BookTitle,22)="","",INDEX(BookLevel,22))</f>
        <v/>
      </c>
      <c r="G27" s="40" t="str">
        <f aca="false">IF(INDEX(BookTitle,22)="","",INDEX(BookCategory,22))</f>
        <v/>
      </c>
      <c r="H27" s="40" t="str">
        <f aca="false">IF(INDEX(BookTitle,22)="","",INDEX(BookRank,22))</f>
        <v/>
      </c>
      <c r="I27" s="41" t="str">
        <f aca="false">IF(INDEX(BookTitle,22)="","",INDEX(BookTotal,22))</f>
        <v/>
      </c>
      <c r="J27" s="0" t="str">
        <f aca="false">IF($I27="","",IF(INDEX(BookQ1,22)&gt;0,"Q1",IF(INDEX(BookQ2,22)&gt;0,"Q2",IF(INDEX(BookQ3,22)&gt;0,"Q3",IF(INDEX(BookQ4,22)&gt;0,"Q4","")))))</f>
        <v/>
      </c>
      <c r="K27" s="42" t="str">
        <f aca="false">IF(INDEX(BookTitle,22)="","",INDEX(BookInYear,22))</f>
        <v/>
      </c>
      <c r="L27" s="19"/>
      <c r="M27" s="39"/>
      <c r="N27" s="19"/>
      <c r="O27" s="19"/>
      <c r="P27" s="43" t="str">
        <f aca="false">IF($E27="","",IF($L27="Decline",0,IF($L27="Approve fewer",IF($M27="","",$M27),IF($L27="","",$I27))))</f>
        <v/>
      </c>
      <c r="Q27" s="34" t="str">
        <f aca="false">IF($P27="","",IF($N27&lt;&gt;"",$N27,$J27))</f>
        <v/>
      </c>
      <c r="R27" s="35" t="str">
        <f aca="false">IF(OR($P27="",$Q27=""),"",INDEX(BookRate,22)*$P27*(5-MATCH($Q27,{"Q1";"Q2";"Q3";"Q4"},0))/4+INDEX(BookOneOff,22)*$P27)</f>
        <v/>
      </c>
      <c r="S27" s="35" t="str">
        <f aca="false">IF($P27="","",INDEX(BookRate,22)*$P27)</f>
        <v/>
      </c>
      <c r="T27" s="35" t="str">
        <f aca="false">IF($R27="","",$R27-$K27)</f>
        <v/>
      </c>
      <c r="U27" s="35" t="str">
        <f aca="false">IF(N($P27)&lt;=0,"",COUNTIF($P$6:$P27,"&gt;0"))</f>
        <v/>
      </c>
    </row>
    <row r="28" customFormat="false" ht="15" hidden="false" customHeight="false" outlineLevel="0" collapsed="false">
      <c r="A28" s="40" t="str">
        <f aca="false">IF(INDEX(BookTitle,23)="","",INDEX(BookGroup,23))</f>
        <v/>
      </c>
      <c r="B28" s="40" t="str">
        <f aca="false">IF(INDEX(BookTitle,23)="","",INDEX(BookRef,23))</f>
        <v/>
      </c>
      <c r="C28" s="40" t="str">
        <f aca="false">IF(INDEX(BookTitle,23)="","",INDEX(BookDivision,23))</f>
        <v/>
      </c>
      <c r="D28" s="40" t="str">
        <f aca="false">IF(INDEX(BookTitle,23)="","",INDEX(BookUnit,23))</f>
        <v/>
      </c>
      <c r="E28" s="40" t="str">
        <f aca="false">IF(INDEX(BookTitle,23)="","",INDEX(BookTitle,23))</f>
        <v/>
      </c>
      <c r="F28" s="40" t="str">
        <f aca="false">IF(INDEX(BookTitle,23)="","",INDEX(BookLevel,23))</f>
        <v/>
      </c>
      <c r="G28" s="40" t="str">
        <f aca="false">IF(INDEX(BookTitle,23)="","",INDEX(BookCategory,23))</f>
        <v/>
      </c>
      <c r="H28" s="40" t="str">
        <f aca="false">IF(INDEX(BookTitle,23)="","",INDEX(BookRank,23))</f>
        <v/>
      </c>
      <c r="I28" s="41" t="str">
        <f aca="false">IF(INDEX(BookTitle,23)="","",INDEX(BookTotal,23))</f>
        <v/>
      </c>
      <c r="J28" s="0" t="str">
        <f aca="false">IF($I28="","",IF(INDEX(BookQ1,23)&gt;0,"Q1",IF(INDEX(BookQ2,23)&gt;0,"Q2",IF(INDEX(BookQ3,23)&gt;0,"Q3",IF(INDEX(BookQ4,23)&gt;0,"Q4","")))))</f>
        <v/>
      </c>
      <c r="K28" s="42" t="str">
        <f aca="false">IF(INDEX(BookTitle,23)="","",INDEX(BookInYear,23))</f>
        <v/>
      </c>
      <c r="L28" s="19"/>
      <c r="M28" s="39"/>
      <c r="N28" s="19"/>
      <c r="O28" s="19"/>
      <c r="P28" s="43" t="str">
        <f aca="false">IF($E28="","",IF($L28="Decline",0,IF($L28="Approve fewer",IF($M28="","",$M28),IF($L28="","",$I28))))</f>
        <v/>
      </c>
      <c r="Q28" s="34" t="str">
        <f aca="false">IF($P28="","",IF($N28&lt;&gt;"",$N28,$J28))</f>
        <v/>
      </c>
      <c r="R28" s="35" t="str">
        <f aca="false">IF(OR($P28="",$Q28=""),"",INDEX(BookRate,23)*$P28*(5-MATCH($Q28,{"Q1";"Q2";"Q3";"Q4"},0))/4+INDEX(BookOneOff,23)*$P28)</f>
        <v/>
      </c>
      <c r="S28" s="35" t="str">
        <f aca="false">IF($P28="","",INDEX(BookRate,23)*$P28)</f>
        <v/>
      </c>
      <c r="T28" s="35" t="str">
        <f aca="false">IF($R28="","",$R28-$K28)</f>
        <v/>
      </c>
      <c r="U28" s="35" t="str">
        <f aca="false">IF(N($P28)&lt;=0,"",COUNTIF($P$6:$P28,"&gt;0"))</f>
        <v/>
      </c>
    </row>
    <row r="29" customFormat="false" ht="15" hidden="false" customHeight="false" outlineLevel="0" collapsed="false">
      <c r="A29" s="40" t="str">
        <f aca="false">IF(INDEX(BookTitle,24)="","",INDEX(BookGroup,24))</f>
        <v/>
      </c>
      <c r="B29" s="40" t="str">
        <f aca="false">IF(INDEX(BookTitle,24)="","",INDEX(BookRef,24))</f>
        <v/>
      </c>
      <c r="C29" s="40" t="str">
        <f aca="false">IF(INDEX(BookTitle,24)="","",INDEX(BookDivision,24))</f>
        <v/>
      </c>
      <c r="D29" s="40" t="str">
        <f aca="false">IF(INDEX(BookTitle,24)="","",INDEX(BookUnit,24))</f>
        <v/>
      </c>
      <c r="E29" s="40" t="str">
        <f aca="false">IF(INDEX(BookTitle,24)="","",INDEX(BookTitle,24))</f>
        <v/>
      </c>
      <c r="F29" s="40" t="str">
        <f aca="false">IF(INDEX(BookTitle,24)="","",INDEX(BookLevel,24))</f>
        <v/>
      </c>
      <c r="G29" s="40" t="str">
        <f aca="false">IF(INDEX(BookTitle,24)="","",INDEX(BookCategory,24))</f>
        <v/>
      </c>
      <c r="H29" s="40" t="str">
        <f aca="false">IF(INDEX(BookTitle,24)="","",INDEX(BookRank,24))</f>
        <v/>
      </c>
      <c r="I29" s="41" t="str">
        <f aca="false">IF(INDEX(BookTitle,24)="","",INDEX(BookTotal,24))</f>
        <v/>
      </c>
      <c r="J29" s="0" t="str">
        <f aca="false">IF($I29="","",IF(INDEX(BookQ1,24)&gt;0,"Q1",IF(INDEX(BookQ2,24)&gt;0,"Q2",IF(INDEX(BookQ3,24)&gt;0,"Q3",IF(INDEX(BookQ4,24)&gt;0,"Q4","")))))</f>
        <v/>
      </c>
      <c r="K29" s="42" t="str">
        <f aca="false">IF(INDEX(BookTitle,24)="","",INDEX(BookInYear,24))</f>
        <v/>
      </c>
      <c r="L29" s="19"/>
      <c r="M29" s="39"/>
      <c r="N29" s="19"/>
      <c r="O29" s="19"/>
      <c r="P29" s="43" t="str">
        <f aca="false">IF($E29="","",IF($L29="Decline",0,IF($L29="Approve fewer",IF($M29="","",$M29),IF($L29="","",$I29))))</f>
        <v/>
      </c>
      <c r="Q29" s="34" t="str">
        <f aca="false">IF($P29="","",IF($N29&lt;&gt;"",$N29,$J29))</f>
        <v/>
      </c>
      <c r="R29" s="35" t="str">
        <f aca="false">IF(OR($P29="",$Q29=""),"",INDEX(BookRate,24)*$P29*(5-MATCH($Q29,{"Q1";"Q2";"Q3";"Q4"},0))/4+INDEX(BookOneOff,24)*$P29)</f>
        <v/>
      </c>
      <c r="S29" s="35" t="str">
        <f aca="false">IF($P29="","",INDEX(BookRate,24)*$P29)</f>
        <v/>
      </c>
      <c r="T29" s="35" t="str">
        <f aca="false">IF($R29="","",$R29-$K29)</f>
        <v/>
      </c>
      <c r="U29" s="35" t="str">
        <f aca="false">IF(N($P29)&lt;=0,"",COUNTIF($P$6:$P29,"&gt;0"))</f>
        <v/>
      </c>
    </row>
    <row r="30" customFormat="false" ht="15" hidden="false" customHeight="false" outlineLevel="0" collapsed="false">
      <c r="A30" s="40" t="str">
        <f aca="false">IF(INDEX(BookTitle,25)="","",INDEX(BookGroup,25))</f>
        <v/>
      </c>
      <c r="B30" s="40" t="str">
        <f aca="false">IF(INDEX(BookTitle,25)="","",INDEX(BookRef,25))</f>
        <v/>
      </c>
      <c r="C30" s="40" t="str">
        <f aca="false">IF(INDEX(BookTitle,25)="","",INDEX(BookDivision,25))</f>
        <v/>
      </c>
      <c r="D30" s="40" t="str">
        <f aca="false">IF(INDEX(BookTitle,25)="","",INDEX(BookUnit,25))</f>
        <v/>
      </c>
      <c r="E30" s="40" t="str">
        <f aca="false">IF(INDEX(BookTitle,25)="","",INDEX(BookTitle,25))</f>
        <v/>
      </c>
      <c r="F30" s="40" t="str">
        <f aca="false">IF(INDEX(BookTitle,25)="","",INDEX(BookLevel,25))</f>
        <v/>
      </c>
      <c r="G30" s="40" t="str">
        <f aca="false">IF(INDEX(BookTitle,25)="","",INDEX(BookCategory,25))</f>
        <v/>
      </c>
      <c r="H30" s="40" t="str">
        <f aca="false">IF(INDEX(BookTitle,25)="","",INDEX(BookRank,25))</f>
        <v/>
      </c>
      <c r="I30" s="41" t="str">
        <f aca="false">IF(INDEX(BookTitle,25)="","",INDEX(BookTotal,25))</f>
        <v/>
      </c>
      <c r="J30" s="0" t="str">
        <f aca="false">IF($I30="","",IF(INDEX(BookQ1,25)&gt;0,"Q1",IF(INDEX(BookQ2,25)&gt;0,"Q2",IF(INDEX(BookQ3,25)&gt;0,"Q3",IF(INDEX(BookQ4,25)&gt;0,"Q4","")))))</f>
        <v/>
      </c>
      <c r="K30" s="42" t="str">
        <f aca="false">IF(INDEX(BookTitle,25)="","",INDEX(BookInYear,25))</f>
        <v/>
      </c>
      <c r="L30" s="19"/>
      <c r="M30" s="39"/>
      <c r="N30" s="19"/>
      <c r="O30" s="19"/>
      <c r="P30" s="43" t="str">
        <f aca="false">IF($E30="","",IF($L30="Decline",0,IF($L30="Approve fewer",IF($M30="","",$M30),IF($L30="","",$I30))))</f>
        <v/>
      </c>
      <c r="Q30" s="34" t="str">
        <f aca="false">IF($P30="","",IF($N30&lt;&gt;"",$N30,$J30))</f>
        <v/>
      </c>
      <c r="R30" s="35" t="str">
        <f aca="false">IF(OR($P30="",$Q30=""),"",INDEX(BookRate,25)*$P30*(5-MATCH($Q30,{"Q1";"Q2";"Q3";"Q4"},0))/4+INDEX(BookOneOff,25)*$P30)</f>
        <v/>
      </c>
      <c r="S30" s="35" t="str">
        <f aca="false">IF($P30="","",INDEX(BookRate,25)*$P30)</f>
        <v/>
      </c>
      <c r="T30" s="35" t="str">
        <f aca="false">IF($R30="","",$R30-$K30)</f>
        <v/>
      </c>
      <c r="U30" s="35" t="str">
        <f aca="false">IF(N($P30)&lt;=0,"",COUNTIF($P$6:$P30,"&gt;0"))</f>
        <v/>
      </c>
    </row>
    <row r="31" customFormat="false" ht="15" hidden="false" customHeight="false" outlineLevel="0" collapsed="false">
      <c r="A31" s="40" t="str">
        <f aca="false">IF(INDEX(BookTitle,26)="","",INDEX(BookGroup,26))</f>
        <v/>
      </c>
      <c r="B31" s="40" t="str">
        <f aca="false">IF(INDEX(BookTitle,26)="","",INDEX(BookRef,26))</f>
        <v/>
      </c>
      <c r="C31" s="40" t="str">
        <f aca="false">IF(INDEX(BookTitle,26)="","",INDEX(BookDivision,26))</f>
        <v/>
      </c>
      <c r="D31" s="40" t="str">
        <f aca="false">IF(INDEX(BookTitle,26)="","",INDEX(BookUnit,26))</f>
        <v/>
      </c>
      <c r="E31" s="40" t="str">
        <f aca="false">IF(INDEX(BookTitle,26)="","",INDEX(BookTitle,26))</f>
        <v/>
      </c>
      <c r="F31" s="40" t="str">
        <f aca="false">IF(INDEX(BookTitle,26)="","",INDEX(BookLevel,26))</f>
        <v/>
      </c>
      <c r="G31" s="40" t="str">
        <f aca="false">IF(INDEX(BookTitle,26)="","",INDEX(BookCategory,26))</f>
        <v/>
      </c>
      <c r="H31" s="40" t="str">
        <f aca="false">IF(INDEX(BookTitle,26)="","",INDEX(BookRank,26))</f>
        <v/>
      </c>
      <c r="I31" s="41" t="str">
        <f aca="false">IF(INDEX(BookTitle,26)="","",INDEX(BookTotal,26))</f>
        <v/>
      </c>
      <c r="J31" s="0" t="str">
        <f aca="false">IF($I31="","",IF(INDEX(BookQ1,26)&gt;0,"Q1",IF(INDEX(BookQ2,26)&gt;0,"Q2",IF(INDEX(BookQ3,26)&gt;0,"Q3",IF(INDEX(BookQ4,26)&gt;0,"Q4","")))))</f>
        <v/>
      </c>
      <c r="K31" s="42" t="str">
        <f aca="false">IF(INDEX(BookTitle,26)="","",INDEX(BookInYear,26))</f>
        <v/>
      </c>
      <c r="L31" s="19"/>
      <c r="M31" s="39"/>
      <c r="N31" s="19"/>
      <c r="O31" s="19"/>
      <c r="P31" s="43" t="str">
        <f aca="false">IF($E31="","",IF($L31="Decline",0,IF($L31="Approve fewer",IF($M31="","",$M31),IF($L31="","",$I31))))</f>
        <v/>
      </c>
      <c r="Q31" s="34" t="str">
        <f aca="false">IF($P31="","",IF($N31&lt;&gt;"",$N31,$J31))</f>
        <v/>
      </c>
      <c r="R31" s="35" t="str">
        <f aca="false">IF(OR($P31="",$Q31=""),"",INDEX(BookRate,26)*$P31*(5-MATCH($Q31,{"Q1";"Q2";"Q3";"Q4"},0))/4+INDEX(BookOneOff,26)*$P31)</f>
        <v/>
      </c>
      <c r="S31" s="35" t="str">
        <f aca="false">IF($P31="","",INDEX(BookRate,26)*$P31)</f>
        <v/>
      </c>
      <c r="T31" s="35" t="str">
        <f aca="false">IF($R31="","",$R31-$K31)</f>
        <v/>
      </c>
      <c r="U31" s="35" t="str">
        <f aca="false">IF(N($P31)&lt;=0,"",COUNTIF($P$6:$P31,"&gt;0"))</f>
        <v/>
      </c>
    </row>
    <row r="32" customFormat="false" ht="15" hidden="false" customHeight="false" outlineLevel="0" collapsed="false">
      <c r="A32" s="40" t="str">
        <f aca="false">IF(INDEX(BookTitle,27)="","",INDEX(BookGroup,27))</f>
        <v/>
      </c>
      <c r="B32" s="40" t="str">
        <f aca="false">IF(INDEX(BookTitle,27)="","",INDEX(BookRef,27))</f>
        <v/>
      </c>
      <c r="C32" s="40" t="str">
        <f aca="false">IF(INDEX(BookTitle,27)="","",INDEX(BookDivision,27))</f>
        <v/>
      </c>
      <c r="D32" s="40" t="str">
        <f aca="false">IF(INDEX(BookTitle,27)="","",INDEX(BookUnit,27))</f>
        <v/>
      </c>
      <c r="E32" s="40" t="str">
        <f aca="false">IF(INDEX(BookTitle,27)="","",INDEX(BookTitle,27))</f>
        <v/>
      </c>
      <c r="F32" s="40" t="str">
        <f aca="false">IF(INDEX(BookTitle,27)="","",INDEX(BookLevel,27))</f>
        <v/>
      </c>
      <c r="G32" s="40" t="str">
        <f aca="false">IF(INDEX(BookTitle,27)="","",INDEX(BookCategory,27))</f>
        <v/>
      </c>
      <c r="H32" s="40" t="str">
        <f aca="false">IF(INDEX(BookTitle,27)="","",INDEX(BookRank,27))</f>
        <v/>
      </c>
      <c r="I32" s="41" t="str">
        <f aca="false">IF(INDEX(BookTitle,27)="","",INDEX(BookTotal,27))</f>
        <v/>
      </c>
      <c r="J32" s="0" t="str">
        <f aca="false">IF($I32="","",IF(INDEX(BookQ1,27)&gt;0,"Q1",IF(INDEX(BookQ2,27)&gt;0,"Q2",IF(INDEX(BookQ3,27)&gt;0,"Q3",IF(INDEX(BookQ4,27)&gt;0,"Q4","")))))</f>
        <v/>
      </c>
      <c r="K32" s="42" t="str">
        <f aca="false">IF(INDEX(BookTitle,27)="","",INDEX(BookInYear,27))</f>
        <v/>
      </c>
      <c r="L32" s="19"/>
      <c r="M32" s="39"/>
      <c r="N32" s="19"/>
      <c r="O32" s="19"/>
      <c r="P32" s="43" t="str">
        <f aca="false">IF($E32="","",IF($L32="Decline",0,IF($L32="Approve fewer",IF($M32="","",$M32),IF($L32="","",$I32))))</f>
        <v/>
      </c>
      <c r="Q32" s="34" t="str">
        <f aca="false">IF($P32="","",IF($N32&lt;&gt;"",$N32,$J32))</f>
        <v/>
      </c>
      <c r="R32" s="35" t="str">
        <f aca="false">IF(OR($P32="",$Q32=""),"",INDEX(BookRate,27)*$P32*(5-MATCH($Q32,{"Q1";"Q2";"Q3";"Q4"},0))/4+INDEX(BookOneOff,27)*$P32)</f>
        <v/>
      </c>
      <c r="S32" s="35" t="str">
        <f aca="false">IF($P32="","",INDEX(BookRate,27)*$P32)</f>
        <v/>
      </c>
      <c r="T32" s="35" t="str">
        <f aca="false">IF($R32="","",$R32-$K32)</f>
        <v/>
      </c>
      <c r="U32" s="35" t="str">
        <f aca="false">IF(N($P32)&lt;=0,"",COUNTIF($P$6:$P32,"&gt;0"))</f>
        <v/>
      </c>
    </row>
    <row r="33" customFormat="false" ht="15" hidden="false" customHeight="false" outlineLevel="0" collapsed="false">
      <c r="A33" s="40" t="str">
        <f aca="false">IF(INDEX(BookTitle,28)="","",INDEX(BookGroup,28))</f>
        <v/>
      </c>
      <c r="B33" s="40" t="str">
        <f aca="false">IF(INDEX(BookTitle,28)="","",INDEX(BookRef,28))</f>
        <v/>
      </c>
      <c r="C33" s="40" t="str">
        <f aca="false">IF(INDEX(BookTitle,28)="","",INDEX(BookDivision,28))</f>
        <v/>
      </c>
      <c r="D33" s="40" t="str">
        <f aca="false">IF(INDEX(BookTitle,28)="","",INDEX(BookUnit,28))</f>
        <v/>
      </c>
      <c r="E33" s="40" t="str">
        <f aca="false">IF(INDEX(BookTitle,28)="","",INDEX(BookTitle,28))</f>
        <v/>
      </c>
      <c r="F33" s="40" t="str">
        <f aca="false">IF(INDEX(BookTitle,28)="","",INDEX(BookLevel,28))</f>
        <v/>
      </c>
      <c r="G33" s="40" t="str">
        <f aca="false">IF(INDEX(BookTitle,28)="","",INDEX(BookCategory,28))</f>
        <v/>
      </c>
      <c r="H33" s="40" t="str">
        <f aca="false">IF(INDEX(BookTitle,28)="","",INDEX(BookRank,28))</f>
        <v/>
      </c>
      <c r="I33" s="41" t="str">
        <f aca="false">IF(INDEX(BookTitle,28)="","",INDEX(BookTotal,28))</f>
        <v/>
      </c>
      <c r="J33" s="0" t="str">
        <f aca="false">IF($I33="","",IF(INDEX(BookQ1,28)&gt;0,"Q1",IF(INDEX(BookQ2,28)&gt;0,"Q2",IF(INDEX(BookQ3,28)&gt;0,"Q3",IF(INDEX(BookQ4,28)&gt;0,"Q4","")))))</f>
        <v/>
      </c>
      <c r="K33" s="42" t="str">
        <f aca="false">IF(INDEX(BookTitle,28)="","",INDEX(BookInYear,28))</f>
        <v/>
      </c>
      <c r="L33" s="19"/>
      <c r="M33" s="39"/>
      <c r="N33" s="19"/>
      <c r="O33" s="19"/>
      <c r="P33" s="43" t="str">
        <f aca="false">IF($E33="","",IF($L33="Decline",0,IF($L33="Approve fewer",IF($M33="","",$M33),IF($L33="","",$I33))))</f>
        <v/>
      </c>
      <c r="Q33" s="34" t="str">
        <f aca="false">IF($P33="","",IF($N33&lt;&gt;"",$N33,$J33))</f>
        <v/>
      </c>
      <c r="R33" s="35" t="str">
        <f aca="false">IF(OR($P33="",$Q33=""),"",INDEX(BookRate,28)*$P33*(5-MATCH($Q33,{"Q1";"Q2";"Q3";"Q4"},0))/4+INDEX(BookOneOff,28)*$P33)</f>
        <v/>
      </c>
      <c r="S33" s="35" t="str">
        <f aca="false">IF($P33="","",INDEX(BookRate,28)*$P33)</f>
        <v/>
      </c>
      <c r="T33" s="35" t="str">
        <f aca="false">IF($R33="","",$R33-$K33)</f>
        <v/>
      </c>
      <c r="U33" s="35" t="str">
        <f aca="false">IF(N($P33)&lt;=0,"",COUNTIF($P$6:$P33,"&gt;0"))</f>
        <v/>
      </c>
    </row>
    <row r="34" customFormat="false" ht="15" hidden="false" customHeight="false" outlineLevel="0" collapsed="false">
      <c r="A34" s="40" t="str">
        <f aca="false">IF(INDEX(BookTitle,29)="","",INDEX(BookGroup,29))</f>
        <v/>
      </c>
      <c r="B34" s="40" t="str">
        <f aca="false">IF(INDEX(BookTitle,29)="","",INDEX(BookRef,29))</f>
        <v/>
      </c>
      <c r="C34" s="40" t="str">
        <f aca="false">IF(INDEX(BookTitle,29)="","",INDEX(BookDivision,29))</f>
        <v/>
      </c>
      <c r="D34" s="40" t="str">
        <f aca="false">IF(INDEX(BookTitle,29)="","",INDEX(BookUnit,29))</f>
        <v/>
      </c>
      <c r="E34" s="40" t="str">
        <f aca="false">IF(INDEX(BookTitle,29)="","",INDEX(BookTitle,29))</f>
        <v/>
      </c>
      <c r="F34" s="40" t="str">
        <f aca="false">IF(INDEX(BookTitle,29)="","",INDEX(BookLevel,29))</f>
        <v/>
      </c>
      <c r="G34" s="40" t="str">
        <f aca="false">IF(INDEX(BookTitle,29)="","",INDEX(BookCategory,29))</f>
        <v/>
      </c>
      <c r="H34" s="40" t="str">
        <f aca="false">IF(INDEX(BookTitle,29)="","",INDEX(BookRank,29))</f>
        <v/>
      </c>
      <c r="I34" s="41" t="str">
        <f aca="false">IF(INDEX(BookTitle,29)="","",INDEX(BookTotal,29))</f>
        <v/>
      </c>
      <c r="J34" s="0" t="str">
        <f aca="false">IF($I34="","",IF(INDEX(BookQ1,29)&gt;0,"Q1",IF(INDEX(BookQ2,29)&gt;0,"Q2",IF(INDEX(BookQ3,29)&gt;0,"Q3",IF(INDEX(BookQ4,29)&gt;0,"Q4","")))))</f>
        <v/>
      </c>
      <c r="K34" s="42" t="str">
        <f aca="false">IF(INDEX(BookTitle,29)="","",INDEX(BookInYear,29))</f>
        <v/>
      </c>
      <c r="L34" s="19"/>
      <c r="M34" s="39"/>
      <c r="N34" s="19"/>
      <c r="O34" s="19"/>
      <c r="P34" s="43" t="str">
        <f aca="false">IF($E34="","",IF($L34="Decline",0,IF($L34="Approve fewer",IF($M34="","",$M34),IF($L34="","",$I34))))</f>
        <v/>
      </c>
      <c r="Q34" s="34" t="str">
        <f aca="false">IF($P34="","",IF($N34&lt;&gt;"",$N34,$J34))</f>
        <v/>
      </c>
      <c r="R34" s="35" t="str">
        <f aca="false">IF(OR($P34="",$Q34=""),"",INDEX(BookRate,29)*$P34*(5-MATCH($Q34,{"Q1";"Q2";"Q3";"Q4"},0))/4+INDEX(BookOneOff,29)*$P34)</f>
        <v/>
      </c>
      <c r="S34" s="35" t="str">
        <f aca="false">IF($P34="","",INDEX(BookRate,29)*$P34)</f>
        <v/>
      </c>
      <c r="T34" s="35" t="str">
        <f aca="false">IF($R34="","",$R34-$K34)</f>
        <v/>
      </c>
      <c r="U34" s="35" t="str">
        <f aca="false">IF(N($P34)&lt;=0,"",COUNTIF($P$6:$P34,"&gt;0"))</f>
        <v/>
      </c>
    </row>
    <row r="35" customFormat="false" ht="15" hidden="false" customHeight="false" outlineLevel="0" collapsed="false">
      <c r="A35" s="40" t="str">
        <f aca="false">IF(INDEX(BookTitle,30)="","",INDEX(BookGroup,30))</f>
        <v/>
      </c>
      <c r="B35" s="40" t="str">
        <f aca="false">IF(INDEX(BookTitle,30)="","",INDEX(BookRef,30))</f>
        <v/>
      </c>
      <c r="C35" s="40" t="str">
        <f aca="false">IF(INDEX(BookTitle,30)="","",INDEX(BookDivision,30))</f>
        <v/>
      </c>
      <c r="D35" s="40" t="str">
        <f aca="false">IF(INDEX(BookTitle,30)="","",INDEX(BookUnit,30))</f>
        <v/>
      </c>
      <c r="E35" s="40" t="str">
        <f aca="false">IF(INDEX(BookTitle,30)="","",INDEX(BookTitle,30))</f>
        <v/>
      </c>
      <c r="F35" s="40" t="str">
        <f aca="false">IF(INDEX(BookTitle,30)="","",INDEX(BookLevel,30))</f>
        <v/>
      </c>
      <c r="G35" s="40" t="str">
        <f aca="false">IF(INDEX(BookTitle,30)="","",INDEX(BookCategory,30))</f>
        <v/>
      </c>
      <c r="H35" s="40" t="str">
        <f aca="false">IF(INDEX(BookTitle,30)="","",INDEX(BookRank,30))</f>
        <v/>
      </c>
      <c r="I35" s="41" t="str">
        <f aca="false">IF(INDEX(BookTitle,30)="","",INDEX(BookTotal,30))</f>
        <v/>
      </c>
      <c r="J35" s="0" t="str">
        <f aca="false">IF($I35="","",IF(INDEX(BookQ1,30)&gt;0,"Q1",IF(INDEX(BookQ2,30)&gt;0,"Q2",IF(INDEX(BookQ3,30)&gt;0,"Q3",IF(INDEX(BookQ4,30)&gt;0,"Q4","")))))</f>
        <v/>
      </c>
      <c r="K35" s="42" t="str">
        <f aca="false">IF(INDEX(BookTitle,30)="","",INDEX(BookInYear,30))</f>
        <v/>
      </c>
      <c r="L35" s="19"/>
      <c r="M35" s="39"/>
      <c r="N35" s="19"/>
      <c r="O35" s="19"/>
      <c r="P35" s="43" t="str">
        <f aca="false">IF($E35="","",IF($L35="Decline",0,IF($L35="Approve fewer",IF($M35="","",$M35),IF($L35="","",$I35))))</f>
        <v/>
      </c>
      <c r="Q35" s="34" t="str">
        <f aca="false">IF($P35="","",IF($N35&lt;&gt;"",$N35,$J35))</f>
        <v/>
      </c>
      <c r="R35" s="35" t="str">
        <f aca="false">IF(OR($P35="",$Q35=""),"",INDEX(BookRate,30)*$P35*(5-MATCH($Q35,{"Q1";"Q2";"Q3";"Q4"},0))/4+INDEX(BookOneOff,30)*$P35)</f>
        <v/>
      </c>
      <c r="S35" s="35" t="str">
        <f aca="false">IF($P35="","",INDEX(BookRate,30)*$P35)</f>
        <v/>
      </c>
      <c r="T35" s="35" t="str">
        <f aca="false">IF($R35="","",$R35-$K35)</f>
        <v/>
      </c>
      <c r="U35" s="35" t="str">
        <f aca="false">IF(N($P35)&lt;=0,"",COUNTIF($P$6:$P35,"&gt;0"))</f>
        <v/>
      </c>
    </row>
    <row r="36" customFormat="false" ht="15" hidden="false" customHeight="false" outlineLevel="0" collapsed="false">
      <c r="A36" s="40" t="str">
        <f aca="false">IF(INDEX(BookTitle,31)="","",INDEX(BookGroup,31))</f>
        <v/>
      </c>
      <c r="B36" s="40" t="str">
        <f aca="false">IF(INDEX(BookTitle,31)="","",INDEX(BookRef,31))</f>
        <v/>
      </c>
      <c r="C36" s="40" t="str">
        <f aca="false">IF(INDEX(BookTitle,31)="","",INDEX(BookDivision,31))</f>
        <v/>
      </c>
      <c r="D36" s="40" t="str">
        <f aca="false">IF(INDEX(BookTitle,31)="","",INDEX(BookUnit,31))</f>
        <v/>
      </c>
      <c r="E36" s="40" t="str">
        <f aca="false">IF(INDEX(BookTitle,31)="","",INDEX(BookTitle,31))</f>
        <v/>
      </c>
      <c r="F36" s="40" t="str">
        <f aca="false">IF(INDEX(BookTitle,31)="","",INDEX(BookLevel,31))</f>
        <v/>
      </c>
      <c r="G36" s="40" t="str">
        <f aca="false">IF(INDEX(BookTitle,31)="","",INDEX(BookCategory,31))</f>
        <v/>
      </c>
      <c r="H36" s="40" t="str">
        <f aca="false">IF(INDEX(BookTitle,31)="","",INDEX(BookRank,31))</f>
        <v/>
      </c>
      <c r="I36" s="41" t="str">
        <f aca="false">IF(INDEX(BookTitle,31)="","",INDEX(BookTotal,31))</f>
        <v/>
      </c>
      <c r="J36" s="0" t="str">
        <f aca="false">IF($I36="","",IF(INDEX(BookQ1,31)&gt;0,"Q1",IF(INDEX(BookQ2,31)&gt;0,"Q2",IF(INDEX(BookQ3,31)&gt;0,"Q3",IF(INDEX(BookQ4,31)&gt;0,"Q4","")))))</f>
        <v/>
      </c>
      <c r="K36" s="42" t="str">
        <f aca="false">IF(INDEX(BookTitle,31)="","",INDEX(BookInYear,31))</f>
        <v/>
      </c>
      <c r="L36" s="19"/>
      <c r="M36" s="39"/>
      <c r="N36" s="19"/>
      <c r="O36" s="19"/>
      <c r="P36" s="43" t="str">
        <f aca="false">IF($E36="","",IF($L36="Decline",0,IF($L36="Approve fewer",IF($M36="","",$M36),IF($L36="","",$I36))))</f>
        <v/>
      </c>
      <c r="Q36" s="34" t="str">
        <f aca="false">IF($P36="","",IF($N36&lt;&gt;"",$N36,$J36))</f>
        <v/>
      </c>
      <c r="R36" s="35" t="str">
        <f aca="false">IF(OR($P36="",$Q36=""),"",INDEX(BookRate,31)*$P36*(5-MATCH($Q36,{"Q1";"Q2";"Q3";"Q4"},0))/4+INDEX(BookOneOff,31)*$P36)</f>
        <v/>
      </c>
      <c r="S36" s="35" t="str">
        <f aca="false">IF($P36="","",INDEX(BookRate,31)*$P36)</f>
        <v/>
      </c>
      <c r="T36" s="35" t="str">
        <f aca="false">IF($R36="","",$R36-$K36)</f>
        <v/>
      </c>
      <c r="U36" s="35" t="str">
        <f aca="false">IF(N($P36)&lt;=0,"",COUNTIF($P$6:$P36,"&gt;0"))</f>
        <v/>
      </c>
    </row>
    <row r="37" customFormat="false" ht="15" hidden="false" customHeight="false" outlineLevel="0" collapsed="false">
      <c r="A37" s="40" t="str">
        <f aca="false">IF(INDEX(BookTitle,32)="","",INDEX(BookGroup,32))</f>
        <v/>
      </c>
      <c r="B37" s="40" t="str">
        <f aca="false">IF(INDEX(BookTitle,32)="","",INDEX(BookRef,32))</f>
        <v/>
      </c>
      <c r="C37" s="40" t="str">
        <f aca="false">IF(INDEX(BookTitle,32)="","",INDEX(BookDivision,32))</f>
        <v/>
      </c>
      <c r="D37" s="40" t="str">
        <f aca="false">IF(INDEX(BookTitle,32)="","",INDEX(BookUnit,32))</f>
        <v/>
      </c>
      <c r="E37" s="40" t="str">
        <f aca="false">IF(INDEX(BookTitle,32)="","",INDEX(BookTitle,32))</f>
        <v/>
      </c>
      <c r="F37" s="40" t="str">
        <f aca="false">IF(INDEX(BookTitle,32)="","",INDEX(BookLevel,32))</f>
        <v/>
      </c>
      <c r="G37" s="40" t="str">
        <f aca="false">IF(INDEX(BookTitle,32)="","",INDEX(BookCategory,32))</f>
        <v/>
      </c>
      <c r="H37" s="40" t="str">
        <f aca="false">IF(INDEX(BookTitle,32)="","",INDEX(BookRank,32))</f>
        <v/>
      </c>
      <c r="I37" s="41" t="str">
        <f aca="false">IF(INDEX(BookTitle,32)="","",INDEX(BookTotal,32))</f>
        <v/>
      </c>
      <c r="J37" s="0" t="str">
        <f aca="false">IF($I37="","",IF(INDEX(BookQ1,32)&gt;0,"Q1",IF(INDEX(BookQ2,32)&gt;0,"Q2",IF(INDEX(BookQ3,32)&gt;0,"Q3",IF(INDEX(BookQ4,32)&gt;0,"Q4","")))))</f>
        <v/>
      </c>
      <c r="K37" s="42" t="str">
        <f aca="false">IF(INDEX(BookTitle,32)="","",INDEX(BookInYear,32))</f>
        <v/>
      </c>
      <c r="L37" s="19"/>
      <c r="M37" s="39"/>
      <c r="N37" s="19"/>
      <c r="O37" s="19"/>
      <c r="P37" s="43" t="str">
        <f aca="false">IF($E37="","",IF($L37="Decline",0,IF($L37="Approve fewer",IF($M37="","",$M37),IF($L37="","",$I37))))</f>
        <v/>
      </c>
      <c r="Q37" s="34" t="str">
        <f aca="false">IF($P37="","",IF($N37&lt;&gt;"",$N37,$J37))</f>
        <v/>
      </c>
      <c r="R37" s="35" t="str">
        <f aca="false">IF(OR($P37="",$Q37=""),"",INDEX(BookRate,32)*$P37*(5-MATCH($Q37,{"Q1";"Q2";"Q3";"Q4"},0))/4+INDEX(BookOneOff,32)*$P37)</f>
        <v/>
      </c>
      <c r="S37" s="35" t="str">
        <f aca="false">IF($P37="","",INDEX(BookRate,32)*$P37)</f>
        <v/>
      </c>
      <c r="T37" s="35" t="str">
        <f aca="false">IF($R37="","",$R37-$K37)</f>
        <v/>
      </c>
      <c r="U37" s="35" t="str">
        <f aca="false">IF(N($P37)&lt;=0,"",COUNTIF($P$6:$P37,"&gt;0"))</f>
        <v/>
      </c>
    </row>
    <row r="38" customFormat="false" ht="15" hidden="false" customHeight="false" outlineLevel="0" collapsed="false">
      <c r="A38" s="40" t="str">
        <f aca="false">IF(INDEX(BookTitle,33)="","",INDEX(BookGroup,33))</f>
        <v/>
      </c>
      <c r="B38" s="40" t="str">
        <f aca="false">IF(INDEX(BookTitle,33)="","",INDEX(BookRef,33))</f>
        <v/>
      </c>
      <c r="C38" s="40" t="str">
        <f aca="false">IF(INDEX(BookTitle,33)="","",INDEX(BookDivision,33))</f>
        <v/>
      </c>
      <c r="D38" s="40" t="str">
        <f aca="false">IF(INDEX(BookTitle,33)="","",INDEX(BookUnit,33))</f>
        <v/>
      </c>
      <c r="E38" s="40" t="str">
        <f aca="false">IF(INDEX(BookTitle,33)="","",INDEX(BookTitle,33))</f>
        <v/>
      </c>
      <c r="F38" s="40" t="str">
        <f aca="false">IF(INDEX(BookTitle,33)="","",INDEX(BookLevel,33))</f>
        <v/>
      </c>
      <c r="G38" s="40" t="str">
        <f aca="false">IF(INDEX(BookTitle,33)="","",INDEX(BookCategory,33))</f>
        <v/>
      </c>
      <c r="H38" s="40" t="str">
        <f aca="false">IF(INDEX(BookTitle,33)="","",INDEX(BookRank,33))</f>
        <v/>
      </c>
      <c r="I38" s="41" t="str">
        <f aca="false">IF(INDEX(BookTitle,33)="","",INDEX(BookTotal,33))</f>
        <v/>
      </c>
      <c r="J38" s="0" t="str">
        <f aca="false">IF($I38="","",IF(INDEX(BookQ1,33)&gt;0,"Q1",IF(INDEX(BookQ2,33)&gt;0,"Q2",IF(INDEX(BookQ3,33)&gt;0,"Q3",IF(INDEX(BookQ4,33)&gt;0,"Q4","")))))</f>
        <v/>
      </c>
      <c r="K38" s="42" t="str">
        <f aca="false">IF(INDEX(BookTitle,33)="","",INDEX(BookInYear,33))</f>
        <v/>
      </c>
      <c r="L38" s="19"/>
      <c r="M38" s="39"/>
      <c r="N38" s="19"/>
      <c r="O38" s="19"/>
      <c r="P38" s="43" t="str">
        <f aca="false">IF($E38="","",IF($L38="Decline",0,IF($L38="Approve fewer",IF($M38="","",$M38),IF($L38="","",$I38))))</f>
        <v/>
      </c>
      <c r="Q38" s="34" t="str">
        <f aca="false">IF($P38="","",IF($N38&lt;&gt;"",$N38,$J38))</f>
        <v/>
      </c>
      <c r="R38" s="35" t="str">
        <f aca="false">IF(OR($P38="",$Q38=""),"",INDEX(BookRate,33)*$P38*(5-MATCH($Q38,{"Q1";"Q2";"Q3";"Q4"},0))/4+INDEX(BookOneOff,33)*$P38)</f>
        <v/>
      </c>
      <c r="S38" s="35" t="str">
        <f aca="false">IF($P38="","",INDEX(BookRate,33)*$P38)</f>
        <v/>
      </c>
      <c r="T38" s="35" t="str">
        <f aca="false">IF($R38="","",$R38-$K38)</f>
        <v/>
      </c>
      <c r="U38" s="35" t="str">
        <f aca="false">IF(N($P38)&lt;=0,"",COUNTIF($P$6:$P38,"&gt;0"))</f>
        <v/>
      </c>
    </row>
    <row r="39" customFormat="false" ht="15" hidden="false" customHeight="false" outlineLevel="0" collapsed="false">
      <c r="A39" s="40" t="str">
        <f aca="false">IF(INDEX(BookTitle,34)="","",INDEX(BookGroup,34))</f>
        <v/>
      </c>
      <c r="B39" s="40" t="str">
        <f aca="false">IF(INDEX(BookTitle,34)="","",INDEX(BookRef,34))</f>
        <v/>
      </c>
      <c r="C39" s="40" t="str">
        <f aca="false">IF(INDEX(BookTitle,34)="","",INDEX(BookDivision,34))</f>
        <v/>
      </c>
      <c r="D39" s="40" t="str">
        <f aca="false">IF(INDEX(BookTitle,34)="","",INDEX(BookUnit,34))</f>
        <v/>
      </c>
      <c r="E39" s="40" t="str">
        <f aca="false">IF(INDEX(BookTitle,34)="","",INDEX(BookTitle,34))</f>
        <v/>
      </c>
      <c r="F39" s="40" t="str">
        <f aca="false">IF(INDEX(BookTitle,34)="","",INDEX(BookLevel,34))</f>
        <v/>
      </c>
      <c r="G39" s="40" t="str">
        <f aca="false">IF(INDEX(BookTitle,34)="","",INDEX(BookCategory,34))</f>
        <v/>
      </c>
      <c r="H39" s="40" t="str">
        <f aca="false">IF(INDEX(BookTitle,34)="","",INDEX(BookRank,34))</f>
        <v/>
      </c>
      <c r="I39" s="41" t="str">
        <f aca="false">IF(INDEX(BookTitle,34)="","",INDEX(BookTotal,34))</f>
        <v/>
      </c>
      <c r="J39" s="0" t="str">
        <f aca="false">IF($I39="","",IF(INDEX(BookQ1,34)&gt;0,"Q1",IF(INDEX(BookQ2,34)&gt;0,"Q2",IF(INDEX(BookQ3,34)&gt;0,"Q3",IF(INDEX(BookQ4,34)&gt;0,"Q4","")))))</f>
        <v/>
      </c>
      <c r="K39" s="42" t="str">
        <f aca="false">IF(INDEX(BookTitle,34)="","",INDEX(BookInYear,34))</f>
        <v/>
      </c>
      <c r="L39" s="19"/>
      <c r="M39" s="39"/>
      <c r="N39" s="19"/>
      <c r="O39" s="19"/>
      <c r="P39" s="43" t="str">
        <f aca="false">IF($E39="","",IF($L39="Decline",0,IF($L39="Approve fewer",IF($M39="","",$M39),IF($L39="","",$I39))))</f>
        <v/>
      </c>
      <c r="Q39" s="34" t="str">
        <f aca="false">IF($P39="","",IF($N39&lt;&gt;"",$N39,$J39))</f>
        <v/>
      </c>
      <c r="R39" s="35" t="str">
        <f aca="false">IF(OR($P39="",$Q39=""),"",INDEX(BookRate,34)*$P39*(5-MATCH($Q39,{"Q1";"Q2";"Q3";"Q4"},0))/4+INDEX(BookOneOff,34)*$P39)</f>
        <v/>
      </c>
      <c r="S39" s="35" t="str">
        <f aca="false">IF($P39="","",INDEX(BookRate,34)*$P39)</f>
        <v/>
      </c>
      <c r="T39" s="35" t="str">
        <f aca="false">IF($R39="","",$R39-$K39)</f>
        <v/>
      </c>
      <c r="U39" s="35" t="str">
        <f aca="false">IF(N($P39)&lt;=0,"",COUNTIF($P$6:$P39,"&gt;0"))</f>
        <v/>
      </c>
    </row>
    <row r="40" customFormat="false" ht="15" hidden="false" customHeight="false" outlineLevel="0" collapsed="false">
      <c r="A40" s="40" t="str">
        <f aca="false">IF(INDEX(BookTitle,35)="","",INDEX(BookGroup,35))</f>
        <v/>
      </c>
      <c r="B40" s="40" t="str">
        <f aca="false">IF(INDEX(BookTitle,35)="","",INDEX(BookRef,35))</f>
        <v/>
      </c>
      <c r="C40" s="40" t="str">
        <f aca="false">IF(INDEX(BookTitle,35)="","",INDEX(BookDivision,35))</f>
        <v/>
      </c>
      <c r="D40" s="40" t="str">
        <f aca="false">IF(INDEX(BookTitle,35)="","",INDEX(BookUnit,35))</f>
        <v/>
      </c>
      <c r="E40" s="40" t="str">
        <f aca="false">IF(INDEX(BookTitle,35)="","",INDEX(BookTitle,35))</f>
        <v/>
      </c>
      <c r="F40" s="40" t="str">
        <f aca="false">IF(INDEX(BookTitle,35)="","",INDEX(BookLevel,35))</f>
        <v/>
      </c>
      <c r="G40" s="40" t="str">
        <f aca="false">IF(INDEX(BookTitle,35)="","",INDEX(BookCategory,35))</f>
        <v/>
      </c>
      <c r="H40" s="40" t="str">
        <f aca="false">IF(INDEX(BookTitle,35)="","",INDEX(BookRank,35))</f>
        <v/>
      </c>
      <c r="I40" s="41" t="str">
        <f aca="false">IF(INDEX(BookTitle,35)="","",INDEX(BookTotal,35))</f>
        <v/>
      </c>
      <c r="J40" s="0" t="str">
        <f aca="false">IF($I40="","",IF(INDEX(BookQ1,35)&gt;0,"Q1",IF(INDEX(BookQ2,35)&gt;0,"Q2",IF(INDEX(BookQ3,35)&gt;0,"Q3",IF(INDEX(BookQ4,35)&gt;0,"Q4","")))))</f>
        <v/>
      </c>
      <c r="K40" s="42" t="str">
        <f aca="false">IF(INDEX(BookTitle,35)="","",INDEX(BookInYear,35))</f>
        <v/>
      </c>
      <c r="L40" s="19"/>
      <c r="M40" s="39"/>
      <c r="N40" s="19"/>
      <c r="O40" s="19"/>
      <c r="P40" s="43" t="str">
        <f aca="false">IF($E40="","",IF($L40="Decline",0,IF($L40="Approve fewer",IF($M40="","",$M40),IF($L40="","",$I40))))</f>
        <v/>
      </c>
      <c r="Q40" s="34" t="str">
        <f aca="false">IF($P40="","",IF($N40&lt;&gt;"",$N40,$J40))</f>
        <v/>
      </c>
      <c r="R40" s="35" t="str">
        <f aca="false">IF(OR($P40="",$Q40=""),"",INDEX(BookRate,35)*$P40*(5-MATCH($Q40,{"Q1";"Q2";"Q3";"Q4"},0))/4+INDEX(BookOneOff,35)*$P40)</f>
        <v/>
      </c>
      <c r="S40" s="35" t="str">
        <f aca="false">IF($P40="","",INDEX(BookRate,35)*$P40)</f>
        <v/>
      </c>
      <c r="T40" s="35" t="str">
        <f aca="false">IF($R40="","",$R40-$K40)</f>
        <v/>
      </c>
      <c r="U40" s="35" t="str">
        <f aca="false">IF(N($P40)&lt;=0,"",COUNTIF($P$6:$P40,"&gt;0"))</f>
        <v/>
      </c>
    </row>
    <row r="41" customFormat="false" ht="15" hidden="false" customHeight="false" outlineLevel="0" collapsed="false">
      <c r="A41" s="40" t="str">
        <f aca="false">IF(INDEX(BookTitle,36)="","",INDEX(BookGroup,36))</f>
        <v/>
      </c>
      <c r="B41" s="40" t="str">
        <f aca="false">IF(INDEX(BookTitle,36)="","",INDEX(BookRef,36))</f>
        <v/>
      </c>
      <c r="C41" s="40" t="str">
        <f aca="false">IF(INDEX(BookTitle,36)="","",INDEX(BookDivision,36))</f>
        <v/>
      </c>
      <c r="D41" s="40" t="str">
        <f aca="false">IF(INDEX(BookTitle,36)="","",INDEX(BookUnit,36))</f>
        <v/>
      </c>
      <c r="E41" s="40" t="str">
        <f aca="false">IF(INDEX(BookTitle,36)="","",INDEX(BookTitle,36))</f>
        <v/>
      </c>
      <c r="F41" s="40" t="str">
        <f aca="false">IF(INDEX(BookTitle,36)="","",INDEX(BookLevel,36))</f>
        <v/>
      </c>
      <c r="G41" s="40" t="str">
        <f aca="false">IF(INDEX(BookTitle,36)="","",INDEX(BookCategory,36))</f>
        <v/>
      </c>
      <c r="H41" s="40" t="str">
        <f aca="false">IF(INDEX(BookTitle,36)="","",INDEX(BookRank,36))</f>
        <v/>
      </c>
      <c r="I41" s="41" t="str">
        <f aca="false">IF(INDEX(BookTitle,36)="","",INDEX(BookTotal,36))</f>
        <v/>
      </c>
      <c r="J41" s="0" t="str">
        <f aca="false">IF($I41="","",IF(INDEX(BookQ1,36)&gt;0,"Q1",IF(INDEX(BookQ2,36)&gt;0,"Q2",IF(INDEX(BookQ3,36)&gt;0,"Q3",IF(INDEX(BookQ4,36)&gt;0,"Q4","")))))</f>
        <v/>
      </c>
      <c r="K41" s="42" t="str">
        <f aca="false">IF(INDEX(BookTitle,36)="","",INDEX(BookInYear,36))</f>
        <v/>
      </c>
      <c r="L41" s="19"/>
      <c r="M41" s="39"/>
      <c r="N41" s="19"/>
      <c r="O41" s="19"/>
      <c r="P41" s="43" t="str">
        <f aca="false">IF($E41="","",IF($L41="Decline",0,IF($L41="Approve fewer",IF($M41="","",$M41),IF($L41="","",$I41))))</f>
        <v/>
      </c>
      <c r="Q41" s="34" t="str">
        <f aca="false">IF($P41="","",IF($N41&lt;&gt;"",$N41,$J41))</f>
        <v/>
      </c>
      <c r="R41" s="35" t="str">
        <f aca="false">IF(OR($P41="",$Q41=""),"",INDEX(BookRate,36)*$P41*(5-MATCH($Q41,{"Q1";"Q2";"Q3";"Q4"},0))/4+INDEX(BookOneOff,36)*$P41)</f>
        <v/>
      </c>
      <c r="S41" s="35" t="str">
        <f aca="false">IF($P41="","",INDEX(BookRate,36)*$P41)</f>
        <v/>
      </c>
      <c r="T41" s="35" t="str">
        <f aca="false">IF($R41="","",$R41-$K41)</f>
        <v/>
      </c>
      <c r="U41" s="35" t="str">
        <f aca="false">IF(N($P41)&lt;=0,"",COUNTIF($P$6:$P41,"&gt;0"))</f>
        <v/>
      </c>
    </row>
    <row r="42" customFormat="false" ht="15" hidden="false" customHeight="false" outlineLevel="0" collapsed="false">
      <c r="A42" s="40" t="str">
        <f aca="false">IF(INDEX(BookTitle,37)="","",INDEX(BookGroup,37))</f>
        <v/>
      </c>
      <c r="B42" s="40" t="str">
        <f aca="false">IF(INDEX(BookTitle,37)="","",INDEX(BookRef,37))</f>
        <v/>
      </c>
      <c r="C42" s="40" t="str">
        <f aca="false">IF(INDEX(BookTitle,37)="","",INDEX(BookDivision,37))</f>
        <v/>
      </c>
      <c r="D42" s="40" t="str">
        <f aca="false">IF(INDEX(BookTitle,37)="","",INDEX(BookUnit,37))</f>
        <v/>
      </c>
      <c r="E42" s="40" t="str">
        <f aca="false">IF(INDEX(BookTitle,37)="","",INDEX(BookTitle,37))</f>
        <v/>
      </c>
      <c r="F42" s="40" t="str">
        <f aca="false">IF(INDEX(BookTitle,37)="","",INDEX(BookLevel,37))</f>
        <v/>
      </c>
      <c r="G42" s="40" t="str">
        <f aca="false">IF(INDEX(BookTitle,37)="","",INDEX(BookCategory,37))</f>
        <v/>
      </c>
      <c r="H42" s="40" t="str">
        <f aca="false">IF(INDEX(BookTitle,37)="","",INDEX(BookRank,37))</f>
        <v/>
      </c>
      <c r="I42" s="41" t="str">
        <f aca="false">IF(INDEX(BookTitle,37)="","",INDEX(BookTotal,37))</f>
        <v/>
      </c>
      <c r="J42" s="0" t="str">
        <f aca="false">IF($I42="","",IF(INDEX(BookQ1,37)&gt;0,"Q1",IF(INDEX(BookQ2,37)&gt;0,"Q2",IF(INDEX(BookQ3,37)&gt;0,"Q3",IF(INDEX(BookQ4,37)&gt;0,"Q4","")))))</f>
        <v/>
      </c>
      <c r="K42" s="42" t="str">
        <f aca="false">IF(INDEX(BookTitle,37)="","",INDEX(BookInYear,37))</f>
        <v/>
      </c>
      <c r="L42" s="19"/>
      <c r="M42" s="39"/>
      <c r="N42" s="19"/>
      <c r="O42" s="19"/>
      <c r="P42" s="43" t="str">
        <f aca="false">IF($E42="","",IF($L42="Decline",0,IF($L42="Approve fewer",IF($M42="","",$M42),IF($L42="","",$I42))))</f>
        <v/>
      </c>
      <c r="Q42" s="34" t="str">
        <f aca="false">IF($P42="","",IF($N42&lt;&gt;"",$N42,$J42))</f>
        <v/>
      </c>
      <c r="R42" s="35" t="str">
        <f aca="false">IF(OR($P42="",$Q42=""),"",INDEX(BookRate,37)*$P42*(5-MATCH($Q42,{"Q1";"Q2";"Q3";"Q4"},0))/4+INDEX(BookOneOff,37)*$P42)</f>
        <v/>
      </c>
      <c r="S42" s="35" t="str">
        <f aca="false">IF($P42="","",INDEX(BookRate,37)*$P42)</f>
        <v/>
      </c>
      <c r="T42" s="35" t="str">
        <f aca="false">IF($R42="","",$R42-$K42)</f>
        <v/>
      </c>
      <c r="U42" s="35" t="str">
        <f aca="false">IF(N($P42)&lt;=0,"",COUNTIF($P$6:$P42,"&gt;0"))</f>
        <v/>
      </c>
    </row>
    <row r="43" customFormat="false" ht="15" hidden="false" customHeight="false" outlineLevel="0" collapsed="false">
      <c r="A43" s="40" t="str">
        <f aca="false">IF(INDEX(BookTitle,38)="","",INDEX(BookGroup,38))</f>
        <v/>
      </c>
      <c r="B43" s="40" t="str">
        <f aca="false">IF(INDEX(BookTitle,38)="","",INDEX(BookRef,38))</f>
        <v/>
      </c>
      <c r="C43" s="40" t="str">
        <f aca="false">IF(INDEX(BookTitle,38)="","",INDEX(BookDivision,38))</f>
        <v/>
      </c>
      <c r="D43" s="40" t="str">
        <f aca="false">IF(INDEX(BookTitle,38)="","",INDEX(BookUnit,38))</f>
        <v/>
      </c>
      <c r="E43" s="40" t="str">
        <f aca="false">IF(INDEX(BookTitle,38)="","",INDEX(BookTitle,38))</f>
        <v/>
      </c>
      <c r="F43" s="40" t="str">
        <f aca="false">IF(INDEX(BookTitle,38)="","",INDEX(BookLevel,38))</f>
        <v/>
      </c>
      <c r="G43" s="40" t="str">
        <f aca="false">IF(INDEX(BookTitle,38)="","",INDEX(BookCategory,38))</f>
        <v/>
      </c>
      <c r="H43" s="40" t="str">
        <f aca="false">IF(INDEX(BookTitle,38)="","",INDEX(BookRank,38))</f>
        <v/>
      </c>
      <c r="I43" s="41" t="str">
        <f aca="false">IF(INDEX(BookTitle,38)="","",INDEX(BookTotal,38))</f>
        <v/>
      </c>
      <c r="J43" s="0" t="str">
        <f aca="false">IF($I43="","",IF(INDEX(BookQ1,38)&gt;0,"Q1",IF(INDEX(BookQ2,38)&gt;0,"Q2",IF(INDEX(BookQ3,38)&gt;0,"Q3",IF(INDEX(BookQ4,38)&gt;0,"Q4","")))))</f>
        <v/>
      </c>
      <c r="K43" s="42" t="str">
        <f aca="false">IF(INDEX(BookTitle,38)="","",INDEX(BookInYear,38))</f>
        <v/>
      </c>
      <c r="L43" s="19"/>
      <c r="M43" s="39"/>
      <c r="N43" s="19"/>
      <c r="O43" s="19"/>
      <c r="P43" s="43" t="str">
        <f aca="false">IF($E43="","",IF($L43="Decline",0,IF($L43="Approve fewer",IF($M43="","",$M43),IF($L43="","",$I43))))</f>
        <v/>
      </c>
      <c r="Q43" s="34" t="str">
        <f aca="false">IF($P43="","",IF($N43&lt;&gt;"",$N43,$J43))</f>
        <v/>
      </c>
      <c r="R43" s="35" t="str">
        <f aca="false">IF(OR($P43="",$Q43=""),"",INDEX(BookRate,38)*$P43*(5-MATCH($Q43,{"Q1";"Q2";"Q3";"Q4"},0))/4+INDEX(BookOneOff,38)*$P43)</f>
        <v/>
      </c>
      <c r="S43" s="35" t="str">
        <f aca="false">IF($P43="","",INDEX(BookRate,38)*$P43)</f>
        <v/>
      </c>
      <c r="T43" s="35" t="str">
        <f aca="false">IF($R43="","",$R43-$K43)</f>
        <v/>
      </c>
      <c r="U43" s="35" t="str">
        <f aca="false">IF(N($P43)&lt;=0,"",COUNTIF($P$6:$P43,"&gt;0"))</f>
        <v/>
      </c>
    </row>
    <row r="44" customFormat="false" ht="15" hidden="false" customHeight="false" outlineLevel="0" collapsed="false">
      <c r="A44" s="40" t="str">
        <f aca="false">IF(INDEX(BookTitle,39)="","",INDEX(BookGroup,39))</f>
        <v/>
      </c>
      <c r="B44" s="40" t="str">
        <f aca="false">IF(INDEX(BookTitle,39)="","",INDEX(BookRef,39))</f>
        <v/>
      </c>
      <c r="C44" s="40" t="str">
        <f aca="false">IF(INDEX(BookTitle,39)="","",INDEX(BookDivision,39))</f>
        <v/>
      </c>
      <c r="D44" s="40" t="str">
        <f aca="false">IF(INDEX(BookTitle,39)="","",INDEX(BookUnit,39))</f>
        <v/>
      </c>
      <c r="E44" s="40" t="str">
        <f aca="false">IF(INDEX(BookTitle,39)="","",INDEX(BookTitle,39))</f>
        <v/>
      </c>
      <c r="F44" s="40" t="str">
        <f aca="false">IF(INDEX(BookTitle,39)="","",INDEX(BookLevel,39))</f>
        <v/>
      </c>
      <c r="G44" s="40" t="str">
        <f aca="false">IF(INDEX(BookTitle,39)="","",INDEX(BookCategory,39))</f>
        <v/>
      </c>
      <c r="H44" s="40" t="str">
        <f aca="false">IF(INDEX(BookTitle,39)="","",INDEX(BookRank,39))</f>
        <v/>
      </c>
      <c r="I44" s="41" t="str">
        <f aca="false">IF(INDEX(BookTitle,39)="","",INDEX(BookTotal,39))</f>
        <v/>
      </c>
      <c r="J44" s="0" t="str">
        <f aca="false">IF($I44="","",IF(INDEX(BookQ1,39)&gt;0,"Q1",IF(INDEX(BookQ2,39)&gt;0,"Q2",IF(INDEX(BookQ3,39)&gt;0,"Q3",IF(INDEX(BookQ4,39)&gt;0,"Q4","")))))</f>
        <v/>
      </c>
      <c r="K44" s="42" t="str">
        <f aca="false">IF(INDEX(BookTitle,39)="","",INDEX(BookInYear,39))</f>
        <v/>
      </c>
      <c r="L44" s="19"/>
      <c r="M44" s="39"/>
      <c r="N44" s="19"/>
      <c r="O44" s="19"/>
      <c r="P44" s="43" t="str">
        <f aca="false">IF($E44="","",IF($L44="Decline",0,IF($L44="Approve fewer",IF($M44="","",$M44),IF($L44="","",$I44))))</f>
        <v/>
      </c>
      <c r="Q44" s="34" t="str">
        <f aca="false">IF($P44="","",IF($N44&lt;&gt;"",$N44,$J44))</f>
        <v/>
      </c>
      <c r="R44" s="35" t="str">
        <f aca="false">IF(OR($P44="",$Q44=""),"",INDEX(BookRate,39)*$P44*(5-MATCH($Q44,{"Q1";"Q2";"Q3";"Q4"},0))/4+INDEX(BookOneOff,39)*$P44)</f>
        <v/>
      </c>
      <c r="S44" s="35" t="str">
        <f aca="false">IF($P44="","",INDEX(BookRate,39)*$P44)</f>
        <v/>
      </c>
      <c r="T44" s="35" t="str">
        <f aca="false">IF($R44="","",$R44-$K44)</f>
        <v/>
      </c>
      <c r="U44" s="35" t="str">
        <f aca="false">IF(N($P44)&lt;=0,"",COUNTIF($P$6:$P44,"&gt;0"))</f>
        <v/>
      </c>
    </row>
    <row r="45" customFormat="false" ht="15" hidden="false" customHeight="false" outlineLevel="0" collapsed="false">
      <c r="A45" s="40" t="str">
        <f aca="false">IF(INDEX(BookTitle,40)="","",INDEX(BookGroup,40))</f>
        <v/>
      </c>
      <c r="B45" s="40" t="str">
        <f aca="false">IF(INDEX(BookTitle,40)="","",INDEX(BookRef,40))</f>
        <v/>
      </c>
      <c r="C45" s="40" t="str">
        <f aca="false">IF(INDEX(BookTitle,40)="","",INDEX(BookDivision,40))</f>
        <v/>
      </c>
      <c r="D45" s="40" t="str">
        <f aca="false">IF(INDEX(BookTitle,40)="","",INDEX(BookUnit,40))</f>
        <v/>
      </c>
      <c r="E45" s="40" t="str">
        <f aca="false">IF(INDEX(BookTitle,40)="","",INDEX(BookTitle,40))</f>
        <v/>
      </c>
      <c r="F45" s="40" t="str">
        <f aca="false">IF(INDEX(BookTitle,40)="","",INDEX(BookLevel,40))</f>
        <v/>
      </c>
      <c r="G45" s="40" t="str">
        <f aca="false">IF(INDEX(BookTitle,40)="","",INDEX(BookCategory,40))</f>
        <v/>
      </c>
      <c r="H45" s="40" t="str">
        <f aca="false">IF(INDEX(BookTitle,40)="","",INDEX(BookRank,40))</f>
        <v/>
      </c>
      <c r="I45" s="41" t="str">
        <f aca="false">IF(INDEX(BookTitle,40)="","",INDEX(BookTotal,40))</f>
        <v/>
      </c>
      <c r="J45" s="0" t="str">
        <f aca="false">IF($I45="","",IF(INDEX(BookQ1,40)&gt;0,"Q1",IF(INDEX(BookQ2,40)&gt;0,"Q2",IF(INDEX(BookQ3,40)&gt;0,"Q3",IF(INDEX(BookQ4,40)&gt;0,"Q4","")))))</f>
        <v/>
      </c>
      <c r="K45" s="42" t="str">
        <f aca="false">IF(INDEX(BookTitle,40)="","",INDEX(BookInYear,40))</f>
        <v/>
      </c>
      <c r="L45" s="19"/>
      <c r="M45" s="39"/>
      <c r="N45" s="19"/>
      <c r="O45" s="19"/>
      <c r="P45" s="43" t="str">
        <f aca="false">IF($E45="","",IF($L45="Decline",0,IF($L45="Approve fewer",IF($M45="","",$M45),IF($L45="","",$I45))))</f>
        <v/>
      </c>
      <c r="Q45" s="34" t="str">
        <f aca="false">IF($P45="","",IF($N45&lt;&gt;"",$N45,$J45))</f>
        <v/>
      </c>
      <c r="R45" s="35" t="str">
        <f aca="false">IF(OR($P45="",$Q45=""),"",INDEX(BookRate,40)*$P45*(5-MATCH($Q45,{"Q1";"Q2";"Q3";"Q4"},0))/4+INDEX(BookOneOff,40)*$P45)</f>
        <v/>
      </c>
      <c r="S45" s="35" t="str">
        <f aca="false">IF($P45="","",INDEX(BookRate,40)*$P45)</f>
        <v/>
      </c>
      <c r="T45" s="35" t="str">
        <f aca="false">IF($R45="","",$R45-$K45)</f>
        <v/>
      </c>
      <c r="U45" s="35" t="str">
        <f aca="false">IF(N($P45)&lt;=0,"",COUNTIF($P$6:$P45,"&gt;0"))</f>
        <v/>
      </c>
    </row>
    <row r="46" customFormat="false" ht="15" hidden="false" customHeight="false" outlineLevel="0" collapsed="false">
      <c r="A46" s="40" t="str">
        <f aca="false">IF(INDEX(BookTitle,41)="","",INDEX(BookGroup,41))</f>
        <v/>
      </c>
      <c r="B46" s="40" t="str">
        <f aca="false">IF(INDEX(BookTitle,41)="","",INDEX(BookRef,41))</f>
        <v/>
      </c>
      <c r="C46" s="40" t="str">
        <f aca="false">IF(INDEX(BookTitle,41)="","",INDEX(BookDivision,41))</f>
        <v/>
      </c>
      <c r="D46" s="40" t="str">
        <f aca="false">IF(INDEX(BookTitle,41)="","",INDEX(BookUnit,41))</f>
        <v/>
      </c>
      <c r="E46" s="40" t="str">
        <f aca="false">IF(INDEX(BookTitle,41)="","",INDEX(BookTitle,41))</f>
        <v/>
      </c>
      <c r="F46" s="40" t="str">
        <f aca="false">IF(INDEX(BookTitle,41)="","",INDEX(BookLevel,41))</f>
        <v/>
      </c>
      <c r="G46" s="40" t="str">
        <f aca="false">IF(INDEX(BookTitle,41)="","",INDEX(BookCategory,41))</f>
        <v/>
      </c>
      <c r="H46" s="40" t="str">
        <f aca="false">IF(INDEX(BookTitle,41)="","",INDEX(BookRank,41))</f>
        <v/>
      </c>
      <c r="I46" s="41" t="str">
        <f aca="false">IF(INDEX(BookTitle,41)="","",INDEX(BookTotal,41))</f>
        <v/>
      </c>
      <c r="J46" s="0" t="str">
        <f aca="false">IF($I46="","",IF(INDEX(BookQ1,41)&gt;0,"Q1",IF(INDEX(BookQ2,41)&gt;0,"Q2",IF(INDEX(BookQ3,41)&gt;0,"Q3",IF(INDEX(BookQ4,41)&gt;0,"Q4","")))))</f>
        <v/>
      </c>
      <c r="K46" s="42" t="str">
        <f aca="false">IF(INDEX(BookTitle,41)="","",INDEX(BookInYear,41))</f>
        <v/>
      </c>
      <c r="L46" s="19"/>
      <c r="M46" s="39"/>
      <c r="N46" s="19"/>
      <c r="O46" s="19"/>
      <c r="P46" s="43" t="str">
        <f aca="false">IF($E46="","",IF($L46="Decline",0,IF($L46="Approve fewer",IF($M46="","",$M46),IF($L46="","",$I46))))</f>
        <v/>
      </c>
      <c r="Q46" s="34" t="str">
        <f aca="false">IF($P46="","",IF($N46&lt;&gt;"",$N46,$J46))</f>
        <v/>
      </c>
      <c r="R46" s="35" t="str">
        <f aca="false">IF(OR($P46="",$Q46=""),"",INDEX(BookRate,41)*$P46*(5-MATCH($Q46,{"Q1";"Q2";"Q3";"Q4"},0))/4+INDEX(BookOneOff,41)*$P46)</f>
        <v/>
      </c>
      <c r="S46" s="35" t="str">
        <f aca="false">IF($P46="","",INDEX(BookRate,41)*$P46)</f>
        <v/>
      </c>
      <c r="T46" s="35" t="str">
        <f aca="false">IF($R46="","",$R46-$K46)</f>
        <v/>
      </c>
      <c r="U46" s="35" t="str">
        <f aca="false">IF(N($P46)&lt;=0,"",COUNTIF($P$6:$P46,"&gt;0"))</f>
        <v/>
      </c>
    </row>
    <row r="47" customFormat="false" ht="15" hidden="false" customHeight="false" outlineLevel="0" collapsed="false">
      <c r="A47" s="40" t="str">
        <f aca="false">IF(INDEX(BookTitle,42)="","",INDEX(BookGroup,42))</f>
        <v/>
      </c>
      <c r="B47" s="40" t="str">
        <f aca="false">IF(INDEX(BookTitle,42)="","",INDEX(BookRef,42))</f>
        <v/>
      </c>
      <c r="C47" s="40" t="str">
        <f aca="false">IF(INDEX(BookTitle,42)="","",INDEX(BookDivision,42))</f>
        <v/>
      </c>
      <c r="D47" s="40" t="str">
        <f aca="false">IF(INDEX(BookTitle,42)="","",INDEX(BookUnit,42))</f>
        <v/>
      </c>
      <c r="E47" s="40" t="str">
        <f aca="false">IF(INDEX(BookTitle,42)="","",INDEX(BookTitle,42))</f>
        <v/>
      </c>
      <c r="F47" s="40" t="str">
        <f aca="false">IF(INDEX(BookTitle,42)="","",INDEX(BookLevel,42))</f>
        <v/>
      </c>
      <c r="G47" s="40" t="str">
        <f aca="false">IF(INDEX(BookTitle,42)="","",INDEX(BookCategory,42))</f>
        <v/>
      </c>
      <c r="H47" s="40" t="str">
        <f aca="false">IF(INDEX(BookTitle,42)="","",INDEX(BookRank,42))</f>
        <v/>
      </c>
      <c r="I47" s="41" t="str">
        <f aca="false">IF(INDEX(BookTitle,42)="","",INDEX(BookTotal,42))</f>
        <v/>
      </c>
      <c r="J47" s="0" t="str">
        <f aca="false">IF($I47="","",IF(INDEX(BookQ1,42)&gt;0,"Q1",IF(INDEX(BookQ2,42)&gt;0,"Q2",IF(INDEX(BookQ3,42)&gt;0,"Q3",IF(INDEX(BookQ4,42)&gt;0,"Q4","")))))</f>
        <v/>
      </c>
      <c r="K47" s="42" t="str">
        <f aca="false">IF(INDEX(BookTitle,42)="","",INDEX(BookInYear,42))</f>
        <v/>
      </c>
      <c r="L47" s="19"/>
      <c r="M47" s="39"/>
      <c r="N47" s="19"/>
      <c r="O47" s="19"/>
      <c r="P47" s="43" t="str">
        <f aca="false">IF($E47="","",IF($L47="Decline",0,IF($L47="Approve fewer",IF($M47="","",$M47),IF($L47="","",$I47))))</f>
        <v/>
      </c>
      <c r="Q47" s="34" t="str">
        <f aca="false">IF($P47="","",IF($N47&lt;&gt;"",$N47,$J47))</f>
        <v/>
      </c>
      <c r="R47" s="35" t="str">
        <f aca="false">IF(OR($P47="",$Q47=""),"",INDEX(BookRate,42)*$P47*(5-MATCH($Q47,{"Q1";"Q2";"Q3";"Q4"},0))/4+INDEX(BookOneOff,42)*$P47)</f>
        <v/>
      </c>
      <c r="S47" s="35" t="str">
        <f aca="false">IF($P47="","",INDEX(BookRate,42)*$P47)</f>
        <v/>
      </c>
      <c r="T47" s="35" t="str">
        <f aca="false">IF($R47="","",$R47-$K47)</f>
        <v/>
      </c>
      <c r="U47" s="35" t="str">
        <f aca="false">IF(N($P47)&lt;=0,"",COUNTIF($P$6:$P47,"&gt;0"))</f>
        <v/>
      </c>
    </row>
    <row r="48" customFormat="false" ht="15" hidden="false" customHeight="false" outlineLevel="0" collapsed="false">
      <c r="A48" s="40" t="str">
        <f aca="false">IF(INDEX(BookTitle,43)="","",INDEX(BookGroup,43))</f>
        <v/>
      </c>
      <c r="B48" s="40" t="str">
        <f aca="false">IF(INDEX(BookTitle,43)="","",INDEX(BookRef,43))</f>
        <v/>
      </c>
      <c r="C48" s="40" t="str">
        <f aca="false">IF(INDEX(BookTitle,43)="","",INDEX(BookDivision,43))</f>
        <v/>
      </c>
      <c r="D48" s="40" t="str">
        <f aca="false">IF(INDEX(BookTitle,43)="","",INDEX(BookUnit,43))</f>
        <v/>
      </c>
      <c r="E48" s="40" t="str">
        <f aca="false">IF(INDEX(BookTitle,43)="","",INDEX(BookTitle,43))</f>
        <v/>
      </c>
      <c r="F48" s="40" t="str">
        <f aca="false">IF(INDEX(BookTitle,43)="","",INDEX(BookLevel,43))</f>
        <v/>
      </c>
      <c r="G48" s="40" t="str">
        <f aca="false">IF(INDEX(BookTitle,43)="","",INDEX(BookCategory,43))</f>
        <v/>
      </c>
      <c r="H48" s="40" t="str">
        <f aca="false">IF(INDEX(BookTitle,43)="","",INDEX(BookRank,43))</f>
        <v/>
      </c>
      <c r="I48" s="41" t="str">
        <f aca="false">IF(INDEX(BookTitle,43)="","",INDEX(BookTotal,43))</f>
        <v/>
      </c>
      <c r="J48" s="0" t="str">
        <f aca="false">IF($I48="","",IF(INDEX(BookQ1,43)&gt;0,"Q1",IF(INDEX(BookQ2,43)&gt;0,"Q2",IF(INDEX(BookQ3,43)&gt;0,"Q3",IF(INDEX(BookQ4,43)&gt;0,"Q4","")))))</f>
        <v/>
      </c>
      <c r="K48" s="42" t="str">
        <f aca="false">IF(INDEX(BookTitle,43)="","",INDEX(BookInYear,43))</f>
        <v/>
      </c>
      <c r="L48" s="19"/>
      <c r="M48" s="39"/>
      <c r="N48" s="19"/>
      <c r="O48" s="19"/>
      <c r="P48" s="43" t="str">
        <f aca="false">IF($E48="","",IF($L48="Decline",0,IF($L48="Approve fewer",IF($M48="","",$M48),IF($L48="","",$I48))))</f>
        <v/>
      </c>
      <c r="Q48" s="34" t="str">
        <f aca="false">IF($P48="","",IF($N48&lt;&gt;"",$N48,$J48))</f>
        <v/>
      </c>
      <c r="R48" s="35" t="str">
        <f aca="false">IF(OR($P48="",$Q48=""),"",INDEX(BookRate,43)*$P48*(5-MATCH($Q48,{"Q1";"Q2";"Q3";"Q4"},0))/4+INDEX(BookOneOff,43)*$P48)</f>
        <v/>
      </c>
      <c r="S48" s="35" t="str">
        <f aca="false">IF($P48="","",INDEX(BookRate,43)*$P48)</f>
        <v/>
      </c>
      <c r="T48" s="35" t="str">
        <f aca="false">IF($R48="","",$R48-$K48)</f>
        <v/>
      </c>
      <c r="U48" s="35" t="str">
        <f aca="false">IF(N($P48)&lt;=0,"",COUNTIF($P$6:$P48,"&gt;0"))</f>
        <v/>
      </c>
    </row>
    <row r="49" customFormat="false" ht="15" hidden="false" customHeight="false" outlineLevel="0" collapsed="false">
      <c r="A49" s="40" t="str">
        <f aca="false">IF(INDEX(BookTitle,44)="","",INDEX(BookGroup,44))</f>
        <v/>
      </c>
      <c r="B49" s="40" t="str">
        <f aca="false">IF(INDEX(BookTitle,44)="","",INDEX(BookRef,44))</f>
        <v/>
      </c>
      <c r="C49" s="40" t="str">
        <f aca="false">IF(INDEX(BookTitle,44)="","",INDEX(BookDivision,44))</f>
        <v/>
      </c>
      <c r="D49" s="40" t="str">
        <f aca="false">IF(INDEX(BookTitle,44)="","",INDEX(BookUnit,44))</f>
        <v/>
      </c>
      <c r="E49" s="40" t="str">
        <f aca="false">IF(INDEX(BookTitle,44)="","",INDEX(BookTitle,44))</f>
        <v/>
      </c>
      <c r="F49" s="40" t="str">
        <f aca="false">IF(INDEX(BookTitle,44)="","",INDEX(BookLevel,44))</f>
        <v/>
      </c>
      <c r="G49" s="40" t="str">
        <f aca="false">IF(INDEX(BookTitle,44)="","",INDEX(BookCategory,44))</f>
        <v/>
      </c>
      <c r="H49" s="40" t="str">
        <f aca="false">IF(INDEX(BookTitle,44)="","",INDEX(BookRank,44))</f>
        <v/>
      </c>
      <c r="I49" s="41" t="str">
        <f aca="false">IF(INDEX(BookTitle,44)="","",INDEX(BookTotal,44))</f>
        <v/>
      </c>
      <c r="J49" s="0" t="str">
        <f aca="false">IF($I49="","",IF(INDEX(BookQ1,44)&gt;0,"Q1",IF(INDEX(BookQ2,44)&gt;0,"Q2",IF(INDEX(BookQ3,44)&gt;0,"Q3",IF(INDEX(BookQ4,44)&gt;0,"Q4","")))))</f>
        <v/>
      </c>
      <c r="K49" s="42" t="str">
        <f aca="false">IF(INDEX(BookTitle,44)="","",INDEX(BookInYear,44))</f>
        <v/>
      </c>
      <c r="L49" s="19"/>
      <c r="M49" s="39"/>
      <c r="N49" s="19"/>
      <c r="O49" s="19"/>
      <c r="P49" s="43" t="str">
        <f aca="false">IF($E49="","",IF($L49="Decline",0,IF($L49="Approve fewer",IF($M49="","",$M49),IF($L49="","",$I49))))</f>
        <v/>
      </c>
      <c r="Q49" s="34" t="str">
        <f aca="false">IF($P49="","",IF($N49&lt;&gt;"",$N49,$J49))</f>
        <v/>
      </c>
      <c r="R49" s="35" t="str">
        <f aca="false">IF(OR($P49="",$Q49=""),"",INDEX(BookRate,44)*$P49*(5-MATCH($Q49,{"Q1";"Q2";"Q3";"Q4"},0))/4+INDEX(BookOneOff,44)*$P49)</f>
        <v/>
      </c>
      <c r="S49" s="35" t="str">
        <f aca="false">IF($P49="","",INDEX(BookRate,44)*$P49)</f>
        <v/>
      </c>
      <c r="T49" s="35" t="str">
        <f aca="false">IF($R49="","",$R49-$K49)</f>
        <v/>
      </c>
      <c r="U49" s="35" t="str">
        <f aca="false">IF(N($P49)&lt;=0,"",COUNTIF($P$6:$P49,"&gt;0"))</f>
        <v/>
      </c>
    </row>
    <row r="50" customFormat="false" ht="15" hidden="false" customHeight="false" outlineLevel="0" collapsed="false">
      <c r="A50" s="40" t="str">
        <f aca="false">IF(INDEX(BookTitle,45)="","",INDEX(BookGroup,45))</f>
        <v/>
      </c>
      <c r="B50" s="40" t="str">
        <f aca="false">IF(INDEX(BookTitle,45)="","",INDEX(BookRef,45))</f>
        <v/>
      </c>
      <c r="C50" s="40" t="str">
        <f aca="false">IF(INDEX(BookTitle,45)="","",INDEX(BookDivision,45))</f>
        <v/>
      </c>
      <c r="D50" s="40" t="str">
        <f aca="false">IF(INDEX(BookTitle,45)="","",INDEX(BookUnit,45))</f>
        <v/>
      </c>
      <c r="E50" s="40" t="str">
        <f aca="false">IF(INDEX(BookTitle,45)="","",INDEX(BookTitle,45))</f>
        <v/>
      </c>
      <c r="F50" s="40" t="str">
        <f aca="false">IF(INDEX(BookTitle,45)="","",INDEX(BookLevel,45))</f>
        <v/>
      </c>
      <c r="G50" s="40" t="str">
        <f aca="false">IF(INDEX(BookTitle,45)="","",INDEX(BookCategory,45))</f>
        <v/>
      </c>
      <c r="H50" s="40" t="str">
        <f aca="false">IF(INDEX(BookTitle,45)="","",INDEX(BookRank,45))</f>
        <v/>
      </c>
      <c r="I50" s="41" t="str">
        <f aca="false">IF(INDEX(BookTitle,45)="","",INDEX(BookTotal,45))</f>
        <v/>
      </c>
      <c r="J50" s="0" t="str">
        <f aca="false">IF($I50="","",IF(INDEX(BookQ1,45)&gt;0,"Q1",IF(INDEX(BookQ2,45)&gt;0,"Q2",IF(INDEX(BookQ3,45)&gt;0,"Q3",IF(INDEX(BookQ4,45)&gt;0,"Q4","")))))</f>
        <v/>
      </c>
      <c r="K50" s="42" t="str">
        <f aca="false">IF(INDEX(BookTitle,45)="","",INDEX(BookInYear,45))</f>
        <v/>
      </c>
      <c r="L50" s="19"/>
      <c r="M50" s="39"/>
      <c r="N50" s="19"/>
      <c r="O50" s="19"/>
      <c r="P50" s="43" t="str">
        <f aca="false">IF($E50="","",IF($L50="Decline",0,IF($L50="Approve fewer",IF($M50="","",$M50),IF($L50="","",$I50))))</f>
        <v/>
      </c>
      <c r="Q50" s="34" t="str">
        <f aca="false">IF($P50="","",IF($N50&lt;&gt;"",$N50,$J50))</f>
        <v/>
      </c>
      <c r="R50" s="35" t="str">
        <f aca="false">IF(OR($P50="",$Q50=""),"",INDEX(BookRate,45)*$P50*(5-MATCH($Q50,{"Q1";"Q2";"Q3";"Q4"},0))/4+INDEX(BookOneOff,45)*$P50)</f>
        <v/>
      </c>
      <c r="S50" s="35" t="str">
        <f aca="false">IF($P50="","",INDEX(BookRate,45)*$P50)</f>
        <v/>
      </c>
      <c r="T50" s="35" t="str">
        <f aca="false">IF($R50="","",$R50-$K50)</f>
        <v/>
      </c>
      <c r="U50" s="35" t="str">
        <f aca="false">IF(N($P50)&lt;=0,"",COUNTIF($P$6:$P50,"&gt;0"))</f>
        <v/>
      </c>
    </row>
    <row r="51" customFormat="false" ht="15" hidden="false" customHeight="false" outlineLevel="0" collapsed="false">
      <c r="A51" s="40" t="str">
        <f aca="false">IF(INDEX(BookTitle,46)="","",INDEX(BookGroup,46))</f>
        <v/>
      </c>
      <c r="B51" s="40" t="str">
        <f aca="false">IF(INDEX(BookTitle,46)="","",INDEX(BookRef,46))</f>
        <v/>
      </c>
      <c r="C51" s="40" t="str">
        <f aca="false">IF(INDEX(BookTitle,46)="","",INDEX(BookDivision,46))</f>
        <v/>
      </c>
      <c r="D51" s="40" t="str">
        <f aca="false">IF(INDEX(BookTitle,46)="","",INDEX(BookUnit,46))</f>
        <v/>
      </c>
      <c r="E51" s="40" t="str">
        <f aca="false">IF(INDEX(BookTitle,46)="","",INDEX(BookTitle,46))</f>
        <v/>
      </c>
      <c r="F51" s="40" t="str">
        <f aca="false">IF(INDEX(BookTitle,46)="","",INDEX(BookLevel,46))</f>
        <v/>
      </c>
      <c r="G51" s="40" t="str">
        <f aca="false">IF(INDEX(BookTitle,46)="","",INDEX(BookCategory,46))</f>
        <v/>
      </c>
      <c r="H51" s="40" t="str">
        <f aca="false">IF(INDEX(BookTitle,46)="","",INDEX(BookRank,46))</f>
        <v/>
      </c>
      <c r="I51" s="41" t="str">
        <f aca="false">IF(INDEX(BookTitle,46)="","",INDEX(BookTotal,46))</f>
        <v/>
      </c>
      <c r="J51" s="0" t="str">
        <f aca="false">IF($I51="","",IF(INDEX(BookQ1,46)&gt;0,"Q1",IF(INDEX(BookQ2,46)&gt;0,"Q2",IF(INDEX(BookQ3,46)&gt;0,"Q3",IF(INDEX(BookQ4,46)&gt;0,"Q4","")))))</f>
        <v/>
      </c>
      <c r="K51" s="42" t="str">
        <f aca="false">IF(INDEX(BookTitle,46)="","",INDEX(BookInYear,46))</f>
        <v/>
      </c>
      <c r="L51" s="19"/>
      <c r="M51" s="39"/>
      <c r="N51" s="19"/>
      <c r="O51" s="19"/>
      <c r="P51" s="43" t="str">
        <f aca="false">IF($E51="","",IF($L51="Decline",0,IF($L51="Approve fewer",IF($M51="","",$M51),IF($L51="","",$I51))))</f>
        <v/>
      </c>
      <c r="Q51" s="34" t="str">
        <f aca="false">IF($P51="","",IF($N51&lt;&gt;"",$N51,$J51))</f>
        <v/>
      </c>
      <c r="R51" s="35" t="str">
        <f aca="false">IF(OR($P51="",$Q51=""),"",INDEX(BookRate,46)*$P51*(5-MATCH($Q51,{"Q1";"Q2";"Q3";"Q4"},0))/4+INDEX(BookOneOff,46)*$P51)</f>
        <v/>
      </c>
      <c r="S51" s="35" t="str">
        <f aca="false">IF($P51="","",INDEX(BookRate,46)*$P51)</f>
        <v/>
      </c>
      <c r="T51" s="35" t="str">
        <f aca="false">IF($R51="","",$R51-$K51)</f>
        <v/>
      </c>
      <c r="U51" s="35" t="str">
        <f aca="false">IF(N($P51)&lt;=0,"",COUNTIF($P$6:$P51,"&gt;0"))</f>
        <v/>
      </c>
    </row>
    <row r="52" customFormat="false" ht="15" hidden="false" customHeight="false" outlineLevel="0" collapsed="false">
      <c r="A52" s="40" t="str">
        <f aca="false">IF(INDEX(BookTitle,47)="","",INDEX(BookGroup,47))</f>
        <v/>
      </c>
      <c r="B52" s="40" t="str">
        <f aca="false">IF(INDEX(BookTitle,47)="","",INDEX(BookRef,47))</f>
        <v/>
      </c>
      <c r="C52" s="40" t="str">
        <f aca="false">IF(INDEX(BookTitle,47)="","",INDEX(BookDivision,47))</f>
        <v/>
      </c>
      <c r="D52" s="40" t="str">
        <f aca="false">IF(INDEX(BookTitle,47)="","",INDEX(BookUnit,47))</f>
        <v/>
      </c>
      <c r="E52" s="40" t="str">
        <f aca="false">IF(INDEX(BookTitle,47)="","",INDEX(BookTitle,47))</f>
        <v/>
      </c>
      <c r="F52" s="40" t="str">
        <f aca="false">IF(INDEX(BookTitle,47)="","",INDEX(BookLevel,47))</f>
        <v/>
      </c>
      <c r="G52" s="40" t="str">
        <f aca="false">IF(INDEX(BookTitle,47)="","",INDEX(BookCategory,47))</f>
        <v/>
      </c>
      <c r="H52" s="40" t="str">
        <f aca="false">IF(INDEX(BookTitle,47)="","",INDEX(BookRank,47))</f>
        <v/>
      </c>
      <c r="I52" s="41" t="str">
        <f aca="false">IF(INDEX(BookTitle,47)="","",INDEX(BookTotal,47))</f>
        <v/>
      </c>
      <c r="J52" s="0" t="str">
        <f aca="false">IF($I52="","",IF(INDEX(BookQ1,47)&gt;0,"Q1",IF(INDEX(BookQ2,47)&gt;0,"Q2",IF(INDEX(BookQ3,47)&gt;0,"Q3",IF(INDEX(BookQ4,47)&gt;0,"Q4","")))))</f>
        <v/>
      </c>
      <c r="K52" s="42" t="str">
        <f aca="false">IF(INDEX(BookTitle,47)="","",INDEX(BookInYear,47))</f>
        <v/>
      </c>
      <c r="L52" s="19"/>
      <c r="M52" s="39"/>
      <c r="N52" s="19"/>
      <c r="O52" s="19"/>
      <c r="P52" s="43" t="str">
        <f aca="false">IF($E52="","",IF($L52="Decline",0,IF($L52="Approve fewer",IF($M52="","",$M52),IF($L52="","",$I52))))</f>
        <v/>
      </c>
      <c r="Q52" s="34" t="str">
        <f aca="false">IF($P52="","",IF($N52&lt;&gt;"",$N52,$J52))</f>
        <v/>
      </c>
      <c r="R52" s="35" t="str">
        <f aca="false">IF(OR($P52="",$Q52=""),"",INDEX(BookRate,47)*$P52*(5-MATCH($Q52,{"Q1";"Q2";"Q3";"Q4"},0))/4+INDEX(BookOneOff,47)*$P52)</f>
        <v/>
      </c>
      <c r="S52" s="35" t="str">
        <f aca="false">IF($P52="","",INDEX(BookRate,47)*$P52)</f>
        <v/>
      </c>
      <c r="T52" s="35" t="str">
        <f aca="false">IF($R52="","",$R52-$K52)</f>
        <v/>
      </c>
      <c r="U52" s="35" t="str">
        <f aca="false">IF(N($P52)&lt;=0,"",COUNTIF($P$6:$P52,"&gt;0"))</f>
        <v/>
      </c>
    </row>
    <row r="53" customFormat="false" ht="15" hidden="false" customHeight="false" outlineLevel="0" collapsed="false">
      <c r="A53" s="40" t="str">
        <f aca="false">IF(INDEX(BookTitle,48)="","",INDEX(BookGroup,48))</f>
        <v/>
      </c>
      <c r="B53" s="40" t="str">
        <f aca="false">IF(INDEX(BookTitle,48)="","",INDEX(BookRef,48))</f>
        <v/>
      </c>
      <c r="C53" s="40" t="str">
        <f aca="false">IF(INDEX(BookTitle,48)="","",INDEX(BookDivision,48))</f>
        <v/>
      </c>
      <c r="D53" s="40" t="str">
        <f aca="false">IF(INDEX(BookTitle,48)="","",INDEX(BookUnit,48))</f>
        <v/>
      </c>
      <c r="E53" s="40" t="str">
        <f aca="false">IF(INDEX(BookTitle,48)="","",INDEX(BookTitle,48))</f>
        <v/>
      </c>
      <c r="F53" s="40" t="str">
        <f aca="false">IF(INDEX(BookTitle,48)="","",INDEX(BookLevel,48))</f>
        <v/>
      </c>
      <c r="G53" s="40" t="str">
        <f aca="false">IF(INDEX(BookTitle,48)="","",INDEX(BookCategory,48))</f>
        <v/>
      </c>
      <c r="H53" s="40" t="str">
        <f aca="false">IF(INDEX(BookTitle,48)="","",INDEX(BookRank,48))</f>
        <v/>
      </c>
      <c r="I53" s="41" t="str">
        <f aca="false">IF(INDEX(BookTitle,48)="","",INDEX(BookTotal,48))</f>
        <v/>
      </c>
      <c r="J53" s="0" t="str">
        <f aca="false">IF($I53="","",IF(INDEX(BookQ1,48)&gt;0,"Q1",IF(INDEX(BookQ2,48)&gt;0,"Q2",IF(INDEX(BookQ3,48)&gt;0,"Q3",IF(INDEX(BookQ4,48)&gt;0,"Q4","")))))</f>
        <v/>
      </c>
      <c r="K53" s="42" t="str">
        <f aca="false">IF(INDEX(BookTitle,48)="","",INDEX(BookInYear,48))</f>
        <v/>
      </c>
      <c r="L53" s="19"/>
      <c r="M53" s="39"/>
      <c r="N53" s="19"/>
      <c r="O53" s="19"/>
      <c r="P53" s="43" t="str">
        <f aca="false">IF($E53="","",IF($L53="Decline",0,IF($L53="Approve fewer",IF($M53="","",$M53),IF($L53="","",$I53))))</f>
        <v/>
      </c>
      <c r="Q53" s="34" t="str">
        <f aca="false">IF($P53="","",IF($N53&lt;&gt;"",$N53,$J53))</f>
        <v/>
      </c>
      <c r="R53" s="35" t="str">
        <f aca="false">IF(OR($P53="",$Q53=""),"",INDEX(BookRate,48)*$P53*(5-MATCH($Q53,{"Q1";"Q2";"Q3";"Q4"},0))/4+INDEX(BookOneOff,48)*$P53)</f>
        <v/>
      </c>
      <c r="S53" s="35" t="str">
        <f aca="false">IF($P53="","",INDEX(BookRate,48)*$P53)</f>
        <v/>
      </c>
      <c r="T53" s="35" t="str">
        <f aca="false">IF($R53="","",$R53-$K53)</f>
        <v/>
      </c>
      <c r="U53" s="35" t="str">
        <f aca="false">IF(N($P53)&lt;=0,"",COUNTIF($P$6:$P53,"&gt;0"))</f>
        <v/>
      </c>
    </row>
    <row r="54" customFormat="false" ht="15" hidden="false" customHeight="false" outlineLevel="0" collapsed="false">
      <c r="A54" s="40" t="str">
        <f aca="false">IF(INDEX(BookTitle,49)="","",INDEX(BookGroup,49))</f>
        <v/>
      </c>
      <c r="B54" s="40" t="str">
        <f aca="false">IF(INDEX(BookTitle,49)="","",INDEX(BookRef,49))</f>
        <v/>
      </c>
      <c r="C54" s="40" t="str">
        <f aca="false">IF(INDEX(BookTitle,49)="","",INDEX(BookDivision,49))</f>
        <v/>
      </c>
      <c r="D54" s="40" t="str">
        <f aca="false">IF(INDEX(BookTitle,49)="","",INDEX(BookUnit,49))</f>
        <v/>
      </c>
      <c r="E54" s="40" t="str">
        <f aca="false">IF(INDEX(BookTitle,49)="","",INDEX(BookTitle,49))</f>
        <v/>
      </c>
      <c r="F54" s="40" t="str">
        <f aca="false">IF(INDEX(BookTitle,49)="","",INDEX(BookLevel,49))</f>
        <v/>
      </c>
      <c r="G54" s="40" t="str">
        <f aca="false">IF(INDEX(BookTitle,49)="","",INDEX(BookCategory,49))</f>
        <v/>
      </c>
      <c r="H54" s="40" t="str">
        <f aca="false">IF(INDEX(BookTitle,49)="","",INDEX(BookRank,49))</f>
        <v/>
      </c>
      <c r="I54" s="41" t="str">
        <f aca="false">IF(INDEX(BookTitle,49)="","",INDEX(BookTotal,49))</f>
        <v/>
      </c>
      <c r="J54" s="0" t="str">
        <f aca="false">IF($I54="","",IF(INDEX(BookQ1,49)&gt;0,"Q1",IF(INDEX(BookQ2,49)&gt;0,"Q2",IF(INDEX(BookQ3,49)&gt;0,"Q3",IF(INDEX(BookQ4,49)&gt;0,"Q4","")))))</f>
        <v/>
      </c>
      <c r="K54" s="42" t="str">
        <f aca="false">IF(INDEX(BookTitle,49)="","",INDEX(BookInYear,49))</f>
        <v/>
      </c>
      <c r="L54" s="19"/>
      <c r="M54" s="39"/>
      <c r="N54" s="19"/>
      <c r="O54" s="19"/>
      <c r="P54" s="43" t="str">
        <f aca="false">IF($E54="","",IF($L54="Decline",0,IF($L54="Approve fewer",IF($M54="","",$M54),IF($L54="","",$I54))))</f>
        <v/>
      </c>
      <c r="Q54" s="34" t="str">
        <f aca="false">IF($P54="","",IF($N54&lt;&gt;"",$N54,$J54))</f>
        <v/>
      </c>
      <c r="R54" s="35" t="str">
        <f aca="false">IF(OR($P54="",$Q54=""),"",INDEX(BookRate,49)*$P54*(5-MATCH($Q54,{"Q1";"Q2";"Q3";"Q4"},0))/4+INDEX(BookOneOff,49)*$P54)</f>
        <v/>
      </c>
      <c r="S54" s="35" t="str">
        <f aca="false">IF($P54="","",INDEX(BookRate,49)*$P54)</f>
        <v/>
      </c>
      <c r="T54" s="35" t="str">
        <f aca="false">IF($R54="","",$R54-$K54)</f>
        <v/>
      </c>
      <c r="U54" s="35" t="str">
        <f aca="false">IF(N($P54)&lt;=0,"",COUNTIF($P$6:$P54,"&gt;0"))</f>
        <v/>
      </c>
    </row>
    <row r="55" customFormat="false" ht="15" hidden="false" customHeight="false" outlineLevel="0" collapsed="false">
      <c r="A55" s="40" t="str">
        <f aca="false">IF(INDEX(BookTitle,50)="","",INDEX(BookGroup,50))</f>
        <v/>
      </c>
      <c r="B55" s="40" t="str">
        <f aca="false">IF(INDEX(BookTitle,50)="","",INDEX(BookRef,50))</f>
        <v/>
      </c>
      <c r="C55" s="40" t="str">
        <f aca="false">IF(INDEX(BookTitle,50)="","",INDEX(BookDivision,50))</f>
        <v/>
      </c>
      <c r="D55" s="40" t="str">
        <f aca="false">IF(INDEX(BookTitle,50)="","",INDEX(BookUnit,50))</f>
        <v/>
      </c>
      <c r="E55" s="40" t="str">
        <f aca="false">IF(INDEX(BookTitle,50)="","",INDEX(BookTitle,50))</f>
        <v/>
      </c>
      <c r="F55" s="40" t="str">
        <f aca="false">IF(INDEX(BookTitle,50)="","",INDEX(BookLevel,50))</f>
        <v/>
      </c>
      <c r="G55" s="40" t="str">
        <f aca="false">IF(INDEX(BookTitle,50)="","",INDEX(BookCategory,50))</f>
        <v/>
      </c>
      <c r="H55" s="40" t="str">
        <f aca="false">IF(INDEX(BookTitle,50)="","",INDEX(BookRank,50))</f>
        <v/>
      </c>
      <c r="I55" s="41" t="str">
        <f aca="false">IF(INDEX(BookTitle,50)="","",INDEX(BookTotal,50))</f>
        <v/>
      </c>
      <c r="J55" s="0" t="str">
        <f aca="false">IF($I55="","",IF(INDEX(BookQ1,50)&gt;0,"Q1",IF(INDEX(BookQ2,50)&gt;0,"Q2",IF(INDEX(BookQ3,50)&gt;0,"Q3",IF(INDEX(BookQ4,50)&gt;0,"Q4","")))))</f>
        <v/>
      </c>
      <c r="K55" s="42" t="str">
        <f aca="false">IF(INDEX(BookTitle,50)="","",INDEX(BookInYear,50))</f>
        <v/>
      </c>
      <c r="L55" s="19"/>
      <c r="M55" s="39"/>
      <c r="N55" s="19"/>
      <c r="O55" s="19"/>
      <c r="P55" s="43" t="str">
        <f aca="false">IF($E55="","",IF($L55="Decline",0,IF($L55="Approve fewer",IF($M55="","",$M55),IF($L55="","",$I55))))</f>
        <v/>
      </c>
      <c r="Q55" s="34" t="str">
        <f aca="false">IF($P55="","",IF($N55&lt;&gt;"",$N55,$J55))</f>
        <v/>
      </c>
      <c r="R55" s="35" t="str">
        <f aca="false">IF(OR($P55="",$Q55=""),"",INDEX(BookRate,50)*$P55*(5-MATCH($Q55,{"Q1";"Q2";"Q3";"Q4"},0))/4+INDEX(BookOneOff,50)*$P55)</f>
        <v/>
      </c>
      <c r="S55" s="35" t="str">
        <f aca="false">IF($P55="","",INDEX(BookRate,50)*$P55)</f>
        <v/>
      </c>
      <c r="T55" s="35" t="str">
        <f aca="false">IF($R55="","",$R55-$K55)</f>
        <v/>
      </c>
      <c r="U55" s="35" t="str">
        <f aca="false">IF(N($P55)&lt;=0,"",COUNTIF($P$6:$P55,"&gt;0"))</f>
        <v/>
      </c>
    </row>
    <row r="56" customFormat="false" ht="15" hidden="false" customHeight="false" outlineLevel="0" collapsed="false">
      <c r="A56" s="40" t="str">
        <f aca="false">IF(INDEX(BookTitle,51)="","",INDEX(BookGroup,51))</f>
        <v/>
      </c>
      <c r="B56" s="40" t="str">
        <f aca="false">IF(INDEX(BookTitle,51)="","",INDEX(BookRef,51))</f>
        <v/>
      </c>
      <c r="C56" s="40" t="str">
        <f aca="false">IF(INDEX(BookTitle,51)="","",INDEX(BookDivision,51))</f>
        <v/>
      </c>
      <c r="D56" s="40" t="str">
        <f aca="false">IF(INDEX(BookTitle,51)="","",INDEX(BookUnit,51))</f>
        <v/>
      </c>
      <c r="E56" s="40" t="str">
        <f aca="false">IF(INDEX(BookTitle,51)="","",INDEX(BookTitle,51))</f>
        <v/>
      </c>
      <c r="F56" s="40" t="str">
        <f aca="false">IF(INDEX(BookTitle,51)="","",INDEX(BookLevel,51))</f>
        <v/>
      </c>
      <c r="G56" s="40" t="str">
        <f aca="false">IF(INDEX(BookTitle,51)="","",INDEX(BookCategory,51))</f>
        <v/>
      </c>
      <c r="H56" s="40" t="str">
        <f aca="false">IF(INDEX(BookTitle,51)="","",INDEX(BookRank,51))</f>
        <v/>
      </c>
      <c r="I56" s="41" t="str">
        <f aca="false">IF(INDEX(BookTitle,51)="","",INDEX(BookTotal,51))</f>
        <v/>
      </c>
      <c r="J56" s="0" t="str">
        <f aca="false">IF($I56="","",IF(INDEX(BookQ1,51)&gt;0,"Q1",IF(INDEX(BookQ2,51)&gt;0,"Q2",IF(INDEX(BookQ3,51)&gt;0,"Q3",IF(INDEX(BookQ4,51)&gt;0,"Q4","")))))</f>
        <v/>
      </c>
      <c r="K56" s="42" t="str">
        <f aca="false">IF(INDEX(BookTitle,51)="","",INDEX(BookInYear,51))</f>
        <v/>
      </c>
      <c r="L56" s="19"/>
      <c r="M56" s="39"/>
      <c r="N56" s="19"/>
      <c r="O56" s="19"/>
      <c r="P56" s="43" t="str">
        <f aca="false">IF($E56="","",IF($L56="Decline",0,IF($L56="Approve fewer",IF($M56="","",$M56),IF($L56="","",$I56))))</f>
        <v/>
      </c>
      <c r="Q56" s="34" t="str">
        <f aca="false">IF($P56="","",IF($N56&lt;&gt;"",$N56,$J56))</f>
        <v/>
      </c>
      <c r="R56" s="35" t="str">
        <f aca="false">IF(OR($P56="",$Q56=""),"",INDEX(BookRate,51)*$P56*(5-MATCH($Q56,{"Q1";"Q2";"Q3";"Q4"},0))/4+INDEX(BookOneOff,51)*$P56)</f>
        <v/>
      </c>
      <c r="S56" s="35" t="str">
        <f aca="false">IF($P56="","",INDEX(BookRate,51)*$P56)</f>
        <v/>
      </c>
      <c r="T56" s="35" t="str">
        <f aca="false">IF($R56="","",$R56-$K56)</f>
        <v/>
      </c>
      <c r="U56" s="35" t="str">
        <f aca="false">IF(N($P56)&lt;=0,"",COUNTIF($P$6:$P56,"&gt;0"))</f>
        <v/>
      </c>
    </row>
    <row r="57" customFormat="false" ht="15" hidden="false" customHeight="false" outlineLevel="0" collapsed="false">
      <c r="A57" s="40" t="str">
        <f aca="false">IF(INDEX(BookTitle,52)="","",INDEX(BookGroup,52))</f>
        <v/>
      </c>
      <c r="B57" s="40" t="str">
        <f aca="false">IF(INDEX(BookTitle,52)="","",INDEX(BookRef,52))</f>
        <v/>
      </c>
      <c r="C57" s="40" t="str">
        <f aca="false">IF(INDEX(BookTitle,52)="","",INDEX(BookDivision,52))</f>
        <v/>
      </c>
      <c r="D57" s="40" t="str">
        <f aca="false">IF(INDEX(BookTitle,52)="","",INDEX(BookUnit,52))</f>
        <v/>
      </c>
      <c r="E57" s="40" t="str">
        <f aca="false">IF(INDEX(BookTitle,52)="","",INDEX(BookTitle,52))</f>
        <v/>
      </c>
      <c r="F57" s="40" t="str">
        <f aca="false">IF(INDEX(BookTitle,52)="","",INDEX(BookLevel,52))</f>
        <v/>
      </c>
      <c r="G57" s="40" t="str">
        <f aca="false">IF(INDEX(BookTitle,52)="","",INDEX(BookCategory,52))</f>
        <v/>
      </c>
      <c r="H57" s="40" t="str">
        <f aca="false">IF(INDEX(BookTitle,52)="","",INDEX(BookRank,52))</f>
        <v/>
      </c>
      <c r="I57" s="41" t="str">
        <f aca="false">IF(INDEX(BookTitle,52)="","",INDEX(BookTotal,52))</f>
        <v/>
      </c>
      <c r="J57" s="0" t="str">
        <f aca="false">IF($I57="","",IF(INDEX(BookQ1,52)&gt;0,"Q1",IF(INDEX(BookQ2,52)&gt;0,"Q2",IF(INDEX(BookQ3,52)&gt;0,"Q3",IF(INDEX(BookQ4,52)&gt;0,"Q4","")))))</f>
        <v/>
      </c>
      <c r="K57" s="42" t="str">
        <f aca="false">IF(INDEX(BookTitle,52)="","",INDEX(BookInYear,52))</f>
        <v/>
      </c>
      <c r="L57" s="19"/>
      <c r="M57" s="39"/>
      <c r="N57" s="19"/>
      <c r="O57" s="19"/>
      <c r="P57" s="43" t="str">
        <f aca="false">IF($E57="","",IF($L57="Decline",0,IF($L57="Approve fewer",IF($M57="","",$M57),IF($L57="","",$I57))))</f>
        <v/>
      </c>
      <c r="Q57" s="34" t="str">
        <f aca="false">IF($P57="","",IF($N57&lt;&gt;"",$N57,$J57))</f>
        <v/>
      </c>
      <c r="R57" s="35" t="str">
        <f aca="false">IF(OR($P57="",$Q57=""),"",INDEX(BookRate,52)*$P57*(5-MATCH($Q57,{"Q1";"Q2";"Q3";"Q4"},0))/4+INDEX(BookOneOff,52)*$P57)</f>
        <v/>
      </c>
      <c r="S57" s="35" t="str">
        <f aca="false">IF($P57="","",INDEX(BookRate,52)*$P57)</f>
        <v/>
      </c>
      <c r="T57" s="35" t="str">
        <f aca="false">IF($R57="","",$R57-$K57)</f>
        <v/>
      </c>
      <c r="U57" s="35" t="str">
        <f aca="false">IF(N($P57)&lt;=0,"",COUNTIF($P$6:$P57,"&gt;0"))</f>
        <v/>
      </c>
    </row>
    <row r="58" customFormat="false" ht="15" hidden="false" customHeight="false" outlineLevel="0" collapsed="false">
      <c r="A58" s="40" t="str">
        <f aca="false">IF(INDEX(BookTitle,53)="","",INDEX(BookGroup,53))</f>
        <v/>
      </c>
      <c r="B58" s="40" t="str">
        <f aca="false">IF(INDEX(BookTitle,53)="","",INDEX(BookRef,53))</f>
        <v/>
      </c>
      <c r="C58" s="40" t="str">
        <f aca="false">IF(INDEX(BookTitle,53)="","",INDEX(BookDivision,53))</f>
        <v/>
      </c>
      <c r="D58" s="40" t="str">
        <f aca="false">IF(INDEX(BookTitle,53)="","",INDEX(BookUnit,53))</f>
        <v/>
      </c>
      <c r="E58" s="40" t="str">
        <f aca="false">IF(INDEX(BookTitle,53)="","",INDEX(BookTitle,53))</f>
        <v/>
      </c>
      <c r="F58" s="40" t="str">
        <f aca="false">IF(INDEX(BookTitle,53)="","",INDEX(BookLevel,53))</f>
        <v/>
      </c>
      <c r="G58" s="40" t="str">
        <f aca="false">IF(INDEX(BookTitle,53)="","",INDEX(BookCategory,53))</f>
        <v/>
      </c>
      <c r="H58" s="40" t="str">
        <f aca="false">IF(INDEX(BookTitle,53)="","",INDEX(BookRank,53))</f>
        <v/>
      </c>
      <c r="I58" s="41" t="str">
        <f aca="false">IF(INDEX(BookTitle,53)="","",INDEX(BookTotal,53))</f>
        <v/>
      </c>
      <c r="J58" s="0" t="str">
        <f aca="false">IF($I58="","",IF(INDEX(BookQ1,53)&gt;0,"Q1",IF(INDEX(BookQ2,53)&gt;0,"Q2",IF(INDEX(BookQ3,53)&gt;0,"Q3",IF(INDEX(BookQ4,53)&gt;0,"Q4","")))))</f>
        <v/>
      </c>
      <c r="K58" s="42" t="str">
        <f aca="false">IF(INDEX(BookTitle,53)="","",INDEX(BookInYear,53))</f>
        <v/>
      </c>
      <c r="L58" s="19"/>
      <c r="M58" s="39"/>
      <c r="N58" s="19"/>
      <c r="O58" s="19"/>
      <c r="P58" s="43" t="str">
        <f aca="false">IF($E58="","",IF($L58="Decline",0,IF($L58="Approve fewer",IF($M58="","",$M58),IF($L58="","",$I58))))</f>
        <v/>
      </c>
      <c r="Q58" s="34" t="str">
        <f aca="false">IF($P58="","",IF($N58&lt;&gt;"",$N58,$J58))</f>
        <v/>
      </c>
      <c r="R58" s="35" t="str">
        <f aca="false">IF(OR($P58="",$Q58=""),"",INDEX(BookRate,53)*$P58*(5-MATCH($Q58,{"Q1";"Q2";"Q3";"Q4"},0))/4+INDEX(BookOneOff,53)*$P58)</f>
        <v/>
      </c>
      <c r="S58" s="35" t="str">
        <f aca="false">IF($P58="","",INDEX(BookRate,53)*$P58)</f>
        <v/>
      </c>
      <c r="T58" s="35" t="str">
        <f aca="false">IF($R58="","",$R58-$K58)</f>
        <v/>
      </c>
      <c r="U58" s="35" t="str">
        <f aca="false">IF(N($P58)&lt;=0,"",COUNTIF($P$6:$P58,"&gt;0"))</f>
        <v/>
      </c>
    </row>
    <row r="59" customFormat="false" ht="15" hidden="false" customHeight="false" outlineLevel="0" collapsed="false">
      <c r="A59" s="40" t="str">
        <f aca="false">IF(INDEX(BookTitle,54)="","",INDEX(BookGroup,54))</f>
        <v/>
      </c>
      <c r="B59" s="40" t="str">
        <f aca="false">IF(INDEX(BookTitle,54)="","",INDEX(BookRef,54))</f>
        <v/>
      </c>
      <c r="C59" s="40" t="str">
        <f aca="false">IF(INDEX(BookTitle,54)="","",INDEX(BookDivision,54))</f>
        <v/>
      </c>
      <c r="D59" s="40" t="str">
        <f aca="false">IF(INDEX(BookTitle,54)="","",INDEX(BookUnit,54))</f>
        <v/>
      </c>
      <c r="E59" s="40" t="str">
        <f aca="false">IF(INDEX(BookTitle,54)="","",INDEX(BookTitle,54))</f>
        <v/>
      </c>
      <c r="F59" s="40" t="str">
        <f aca="false">IF(INDEX(BookTitle,54)="","",INDEX(BookLevel,54))</f>
        <v/>
      </c>
      <c r="G59" s="40" t="str">
        <f aca="false">IF(INDEX(BookTitle,54)="","",INDEX(BookCategory,54))</f>
        <v/>
      </c>
      <c r="H59" s="40" t="str">
        <f aca="false">IF(INDEX(BookTitle,54)="","",INDEX(BookRank,54))</f>
        <v/>
      </c>
      <c r="I59" s="41" t="str">
        <f aca="false">IF(INDEX(BookTitle,54)="","",INDEX(BookTotal,54))</f>
        <v/>
      </c>
      <c r="J59" s="0" t="str">
        <f aca="false">IF($I59="","",IF(INDEX(BookQ1,54)&gt;0,"Q1",IF(INDEX(BookQ2,54)&gt;0,"Q2",IF(INDEX(BookQ3,54)&gt;0,"Q3",IF(INDEX(BookQ4,54)&gt;0,"Q4","")))))</f>
        <v/>
      </c>
      <c r="K59" s="42" t="str">
        <f aca="false">IF(INDEX(BookTitle,54)="","",INDEX(BookInYear,54))</f>
        <v/>
      </c>
      <c r="L59" s="19"/>
      <c r="M59" s="39"/>
      <c r="N59" s="19"/>
      <c r="O59" s="19"/>
      <c r="P59" s="43" t="str">
        <f aca="false">IF($E59="","",IF($L59="Decline",0,IF($L59="Approve fewer",IF($M59="","",$M59),IF($L59="","",$I59))))</f>
        <v/>
      </c>
      <c r="Q59" s="34" t="str">
        <f aca="false">IF($P59="","",IF($N59&lt;&gt;"",$N59,$J59))</f>
        <v/>
      </c>
      <c r="R59" s="35" t="str">
        <f aca="false">IF(OR($P59="",$Q59=""),"",INDEX(BookRate,54)*$P59*(5-MATCH($Q59,{"Q1";"Q2";"Q3";"Q4"},0))/4+INDEX(BookOneOff,54)*$P59)</f>
        <v/>
      </c>
      <c r="S59" s="35" t="str">
        <f aca="false">IF($P59="","",INDEX(BookRate,54)*$P59)</f>
        <v/>
      </c>
      <c r="T59" s="35" t="str">
        <f aca="false">IF($R59="","",$R59-$K59)</f>
        <v/>
      </c>
      <c r="U59" s="35" t="str">
        <f aca="false">IF(N($P59)&lt;=0,"",COUNTIF($P$6:$P59,"&gt;0"))</f>
        <v/>
      </c>
    </row>
    <row r="60" customFormat="false" ht="15" hidden="false" customHeight="false" outlineLevel="0" collapsed="false">
      <c r="A60" s="40" t="str">
        <f aca="false">IF(INDEX(BookTitle,55)="","",INDEX(BookGroup,55))</f>
        <v/>
      </c>
      <c r="B60" s="40" t="str">
        <f aca="false">IF(INDEX(BookTitle,55)="","",INDEX(BookRef,55))</f>
        <v/>
      </c>
      <c r="C60" s="40" t="str">
        <f aca="false">IF(INDEX(BookTitle,55)="","",INDEX(BookDivision,55))</f>
        <v/>
      </c>
      <c r="D60" s="40" t="str">
        <f aca="false">IF(INDEX(BookTitle,55)="","",INDEX(BookUnit,55))</f>
        <v/>
      </c>
      <c r="E60" s="40" t="str">
        <f aca="false">IF(INDEX(BookTitle,55)="","",INDEX(BookTitle,55))</f>
        <v/>
      </c>
      <c r="F60" s="40" t="str">
        <f aca="false">IF(INDEX(BookTitle,55)="","",INDEX(BookLevel,55))</f>
        <v/>
      </c>
      <c r="G60" s="40" t="str">
        <f aca="false">IF(INDEX(BookTitle,55)="","",INDEX(BookCategory,55))</f>
        <v/>
      </c>
      <c r="H60" s="40" t="str">
        <f aca="false">IF(INDEX(BookTitle,55)="","",INDEX(BookRank,55))</f>
        <v/>
      </c>
      <c r="I60" s="41" t="str">
        <f aca="false">IF(INDEX(BookTitle,55)="","",INDEX(BookTotal,55))</f>
        <v/>
      </c>
      <c r="J60" s="0" t="str">
        <f aca="false">IF($I60="","",IF(INDEX(BookQ1,55)&gt;0,"Q1",IF(INDEX(BookQ2,55)&gt;0,"Q2",IF(INDEX(BookQ3,55)&gt;0,"Q3",IF(INDEX(BookQ4,55)&gt;0,"Q4","")))))</f>
        <v/>
      </c>
      <c r="K60" s="42" t="str">
        <f aca="false">IF(INDEX(BookTitle,55)="","",INDEX(BookInYear,55))</f>
        <v/>
      </c>
      <c r="L60" s="19"/>
      <c r="M60" s="39"/>
      <c r="N60" s="19"/>
      <c r="O60" s="19"/>
      <c r="P60" s="43" t="str">
        <f aca="false">IF($E60="","",IF($L60="Decline",0,IF($L60="Approve fewer",IF($M60="","",$M60),IF($L60="","",$I60))))</f>
        <v/>
      </c>
      <c r="Q60" s="34" t="str">
        <f aca="false">IF($P60="","",IF($N60&lt;&gt;"",$N60,$J60))</f>
        <v/>
      </c>
      <c r="R60" s="35" t="str">
        <f aca="false">IF(OR($P60="",$Q60=""),"",INDEX(BookRate,55)*$P60*(5-MATCH($Q60,{"Q1";"Q2";"Q3";"Q4"},0))/4+INDEX(BookOneOff,55)*$P60)</f>
        <v/>
      </c>
      <c r="S60" s="35" t="str">
        <f aca="false">IF($P60="","",INDEX(BookRate,55)*$P60)</f>
        <v/>
      </c>
      <c r="T60" s="35" t="str">
        <f aca="false">IF($R60="","",$R60-$K60)</f>
        <v/>
      </c>
      <c r="U60" s="35" t="str">
        <f aca="false">IF(N($P60)&lt;=0,"",COUNTIF($P$6:$P60,"&gt;0"))</f>
        <v/>
      </c>
    </row>
    <row r="61" customFormat="false" ht="15" hidden="false" customHeight="false" outlineLevel="0" collapsed="false">
      <c r="A61" s="40" t="str">
        <f aca="false">IF(INDEX(BookTitle,56)="","",INDEX(BookGroup,56))</f>
        <v/>
      </c>
      <c r="B61" s="40" t="str">
        <f aca="false">IF(INDEX(BookTitle,56)="","",INDEX(BookRef,56))</f>
        <v/>
      </c>
      <c r="C61" s="40" t="str">
        <f aca="false">IF(INDEX(BookTitle,56)="","",INDEX(BookDivision,56))</f>
        <v/>
      </c>
      <c r="D61" s="40" t="str">
        <f aca="false">IF(INDEX(BookTitle,56)="","",INDEX(BookUnit,56))</f>
        <v/>
      </c>
      <c r="E61" s="40" t="str">
        <f aca="false">IF(INDEX(BookTitle,56)="","",INDEX(BookTitle,56))</f>
        <v/>
      </c>
      <c r="F61" s="40" t="str">
        <f aca="false">IF(INDEX(BookTitle,56)="","",INDEX(BookLevel,56))</f>
        <v/>
      </c>
      <c r="G61" s="40" t="str">
        <f aca="false">IF(INDEX(BookTitle,56)="","",INDEX(BookCategory,56))</f>
        <v/>
      </c>
      <c r="H61" s="40" t="str">
        <f aca="false">IF(INDEX(BookTitle,56)="","",INDEX(BookRank,56))</f>
        <v/>
      </c>
      <c r="I61" s="41" t="str">
        <f aca="false">IF(INDEX(BookTitle,56)="","",INDEX(BookTotal,56))</f>
        <v/>
      </c>
      <c r="J61" s="0" t="str">
        <f aca="false">IF($I61="","",IF(INDEX(BookQ1,56)&gt;0,"Q1",IF(INDEX(BookQ2,56)&gt;0,"Q2",IF(INDEX(BookQ3,56)&gt;0,"Q3",IF(INDEX(BookQ4,56)&gt;0,"Q4","")))))</f>
        <v/>
      </c>
      <c r="K61" s="42" t="str">
        <f aca="false">IF(INDEX(BookTitle,56)="","",INDEX(BookInYear,56))</f>
        <v/>
      </c>
      <c r="L61" s="19"/>
      <c r="M61" s="39"/>
      <c r="N61" s="19"/>
      <c r="O61" s="19"/>
      <c r="P61" s="43" t="str">
        <f aca="false">IF($E61="","",IF($L61="Decline",0,IF($L61="Approve fewer",IF($M61="","",$M61),IF($L61="","",$I61))))</f>
        <v/>
      </c>
      <c r="Q61" s="34" t="str">
        <f aca="false">IF($P61="","",IF($N61&lt;&gt;"",$N61,$J61))</f>
        <v/>
      </c>
      <c r="R61" s="35" t="str">
        <f aca="false">IF(OR($P61="",$Q61=""),"",INDEX(BookRate,56)*$P61*(5-MATCH($Q61,{"Q1";"Q2";"Q3";"Q4"},0))/4+INDEX(BookOneOff,56)*$P61)</f>
        <v/>
      </c>
      <c r="S61" s="35" t="str">
        <f aca="false">IF($P61="","",INDEX(BookRate,56)*$P61)</f>
        <v/>
      </c>
      <c r="T61" s="35" t="str">
        <f aca="false">IF($R61="","",$R61-$K61)</f>
        <v/>
      </c>
      <c r="U61" s="35" t="str">
        <f aca="false">IF(N($P61)&lt;=0,"",COUNTIF($P$6:$P61,"&gt;0"))</f>
        <v/>
      </c>
    </row>
    <row r="62" customFormat="false" ht="15" hidden="false" customHeight="false" outlineLevel="0" collapsed="false">
      <c r="A62" s="40" t="str">
        <f aca="false">IF(INDEX(BookTitle,57)="","",INDEX(BookGroup,57))</f>
        <v/>
      </c>
      <c r="B62" s="40" t="str">
        <f aca="false">IF(INDEX(BookTitle,57)="","",INDEX(BookRef,57))</f>
        <v/>
      </c>
      <c r="C62" s="40" t="str">
        <f aca="false">IF(INDEX(BookTitle,57)="","",INDEX(BookDivision,57))</f>
        <v/>
      </c>
      <c r="D62" s="40" t="str">
        <f aca="false">IF(INDEX(BookTitle,57)="","",INDEX(BookUnit,57))</f>
        <v/>
      </c>
      <c r="E62" s="40" t="str">
        <f aca="false">IF(INDEX(BookTitle,57)="","",INDEX(BookTitle,57))</f>
        <v/>
      </c>
      <c r="F62" s="40" t="str">
        <f aca="false">IF(INDEX(BookTitle,57)="","",INDEX(BookLevel,57))</f>
        <v/>
      </c>
      <c r="G62" s="40" t="str">
        <f aca="false">IF(INDEX(BookTitle,57)="","",INDEX(BookCategory,57))</f>
        <v/>
      </c>
      <c r="H62" s="40" t="str">
        <f aca="false">IF(INDEX(BookTitle,57)="","",INDEX(BookRank,57))</f>
        <v/>
      </c>
      <c r="I62" s="41" t="str">
        <f aca="false">IF(INDEX(BookTitle,57)="","",INDEX(BookTotal,57))</f>
        <v/>
      </c>
      <c r="J62" s="0" t="str">
        <f aca="false">IF($I62="","",IF(INDEX(BookQ1,57)&gt;0,"Q1",IF(INDEX(BookQ2,57)&gt;0,"Q2",IF(INDEX(BookQ3,57)&gt;0,"Q3",IF(INDEX(BookQ4,57)&gt;0,"Q4","")))))</f>
        <v/>
      </c>
      <c r="K62" s="42" t="str">
        <f aca="false">IF(INDEX(BookTitle,57)="","",INDEX(BookInYear,57))</f>
        <v/>
      </c>
      <c r="L62" s="19"/>
      <c r="M62" s="39"/>
      <c r="N62" s="19"/>
      <c r="O62" s="19"/>
      <c r="P62" s="43" t="str">
        <f aca="false">IF($E62="","",IF($L62="Decline",0,IF($L62="Approve fewer",IF($M62="","",$M62),IF($L62="","",$I62))))</f>
        <v/>
      </c>
      <c r="Q62" s="34" t="str">
        <f aca="false">IF($P62="","",IF($N62&lt;&gt;"",$N62,$J62))</f>
        <v/>
      </c>
      <c r="R62" s="35" t="str">
        <f aca="false">IF(OR($P62="",$Q62=""),"",INDEX(BookRate,57)*$P62*(5-MATCH($Q62,{"Q1";"Q2";"Q3";"Q4"},0))/4+INDEX(BookOneOff,57)*$P62)</f>
        <v/>
      </c>
      <c r="S62" s="35" t="str">
        <f aca="false">IF($P62="","",INDEX(BookRate,57)*$P62)</f>
        <v/>
      </c>
      <c r="T62" s="35" t="str">
        <f aca="false">IF($R62="","",$R62-$K62)</f>
        <v/>
      </c>
      <c r="U62" s="35" t="str">
        <f aca="false">IF(N($P62)&lt;=0,"",COUNTIF($P$6:$P62,"&gt;0"))</f>
        <v/>
      </c>
    </row>
    <row r="63" customFormat="false" ht="15" hidden="false" customHeight="false" outlineLevel="0" collapsed="false">
      <c r="A63" s="40" t="str">
        <f aca="false">IF(INDEX(BookTitle,58)="","",INDEX(BookGroup,58))</f>
        <v/>
      </c>
      <c r="B63" s="40" t="str">
        <f aca="false">IF(INDEX(BookTitle,58)="","",INDEX(BookRef,58))</f>
        <v/>
      </c>
      <c r="C63" s="40" t="str">
        <f aca="false">IF(INDEX(BookTitle,58)="","",INDEX(BookDivision,58))</f>
        <v/>
      </c>
      <c r="D63" s="40" t="str">
        <f aca="false">IF(INDEX(BookTitle,58)="","",INDEX(BookUnit,58))</f>
        <v/>
      </c>
      <c r="E63" s="40" t="str">
        <f aca="false">IF(INDEX(BookTitle,58)="","",INDEX(BookTitle,58))</f>
        <v/>
      </c>
      <c r="F63" s="40" t="str">
        <f aca="false">IF(INDEX(BookTitle,58)="","",INDEX(BookLevel,58))</f>
        <v/>
      </c>
      <c r="G63" s="40" t="str">
        <f aca="false">IF(INDEX(BookTitle,58)="","",INDEX(BookCategory,58))</f>
        <v/>
      </c>
      <c r="H63" s="40" t="str">
        <f aca="false">IF(INDEX(BookTitle,58)="","",INDEX(BookRank,58))</f>
        <v/>
      </c>
      <c r="I63" s="41" t="str">
        <f aca="false">IF(INDEX(BookTitle,58)="","",INDEX(BookTotal,58))</f>
        <v/>
      </c>
      <c r="J63" s="0" t="str">
        <f aca="false">IF($I63="","",IF(INDEX(BookQ1,58)&gt;0,"Q1",IF(INDEX(BookQ2,58)&gt;0,"Q2",IF(INDEX(BookQ3,58)&gt;0,"Q3",IF(INDEX(BookQ4,58)&gt;0,"Q4","")))))</f>
        <v/>
      </c>
      <c r="K63" s="42" t="str">
        <f aca="false">IF(INDEX(BookTitle,58)="","",INDEX(BookInYear,58))</f>
        <v/>
      </c>
      <c r="L63" s="19"/>
      <c r="M63" s="39"/>
      <c r="N63" s="19"/>
      <c r="O63" s="19"/>
      <c r="P63" s="43" t="str">
        <f aca="false">IF($E63="","",IF($L63="Decline",0,IF($L63="Approve fewer",IF($M63="","",$M63),IF($L63="","",$I63))))</f>
        <v/>
      </c>
      <c r="Q63" s="34" t="str">
        <f aca="false">IF($P63="","",IF($N63&lt;&gt;"",$N63,$J63))</f>
        <v/>
      </c>
      <c r="R63" s="35" t="str">
        <f aca="false">IF(OR($P63="",$Q63=""),"",INDEX(BookRate,58)*$P63*(5-MATCH($Q63,{"Q1";"Q2";"Q3";"Q4"},0))/4+INDEX(BookOneOff,58)*$P63)</f>
        <v/>
      </c>
      <c r="S63" s="35" t="str">
        <f aca="false">IF($P63="","",INDEX(BookRate,58)*$P63)</f>
        <v/>
      </c>
      <c r="T63" s="35" t="str">
        <f aca="false">IF($R63="","",$R63-$K63)</f>
        <v/>
      </c>
      <c r="U63" s="35" t="str">
        <f aca="false">IF(N($P63)&lt;=0,"",COUNTIF($P$6:$P63,"&gt;0"))</f>
        <v/>
      </c>
    </row>
    <row r="64" customFormat="false" ht="15" hidden="false" customHeight="false" outlineLevel="0" collapsed="false">
      <c r="A64" s="40" t="str">
        <f aca="false">IF(INDEX(BookTitle,59)="","",INDEX(BookGroup,59))</f>
        <v/>
      </c>
      <c r="B64" s="40" t="str">
        <f aca="false">IF(INDEX(BookTitle,59)="","",INDEX(BookRef,59))</f>
        <v/>
      </c>
      <c r="C64" s="40" t="str">
        <f aca="false">IF(INDEX(BookTitle,59)="","",INDEX(BookDivision,59))</f>
        <v/>
      </c>
      <c r="D64" s="40" t="str">
        <f aca="false">IF(INDEX(BookTitle,59)="","",INDEX(BookUnit,59))</f>
        <v/>
      </c>
      <c r="E64" s="40" t="str">
        <f aca="false">IF(INDEX(BookTitle,59)="","",INDEX(BookTitle,59))</f>
        <v/>
      </c>
      <c r="F64" s="40" t="str">
        <f aca="false">IF(INDEX(BookTitle,59)="","",INDEX(BookLevel,59))</f>
        <v/>
      </c>
      <c r="G64" s="40" t="str">
        <f aca="false">IF(INDEX(BookTitle,59)="","",INDEX(BookCategory,59))</f>
        <v/>
      </c>
      <c r="H64" s="40" t="str">
        <f aca="false">IF(INDEX(BookTitle,59)="","",INDEX(BookRank,59))</f>
        <v/>
      </c>
      <c r="I64" s="41" t="str">
        <f aca="false">IF(INDEX(BookTitle,59)="","",INDEX(BookTotal,59))</f>
        <v/>
      </c>
      <c r="J64" s="0" t="str">
        <f aca="false">IF($I64="","",IF(INDEX(BookQ1,59)&gt;0,"Q1",IF(INDEX(BookQ2,59)&gt;0,"Q2",IF(INDEX(BookQ3,59)&gt;0,"Q3",IF(INDEX(BookQ4,59)&gt;0,"Q4","")))))</f>
        <v/>
      </c>
      <c r="K64" s="42" t="str">
        <f aca="false">IF(INDEX(BookTitle,59)="","",INDEX(BookInYear,59))</f>
        <v/>
      </c>
      <c r="L64" s="19"/>
      <c r="M64" s="39"/>
      <c r="N64" s="19"/>
      <c r="O64" s="19"/>
      <c r="P64" s="43" t="str">
        <f aca="false">IF($E64="","",IF($L64="Decline",0,IF($L64="Approve fewer",IF($M64="","",$M64),IF($L64="","",$I64))))</f>
        <v/>
      </c>
      <c r="Q64" s="34" t="str">
        <f aca="false">IF($P64="","",IF($N64&lt;&gt;"",$N64,$J64))</f>
        <v/>
      </c>
      <c r="R64" s="35" t="str">
        <f aca="false">IF(OR($P64="",$Q64=""),"",INDEX(BookRate,59)*$P64*(5-MATCH($Q64,{"Q1";"Q2";"Q3";"Q4"},0))/4+INDEX(BookOneOff,59)*$P64)</f>
        <v/>
      </c>
      <c r="S64" s="35" t="str">
        <f aca="false">IF($P64="","",INDEX(BookRate,59)*$P64)</f>
        <v/>
      </c>
      <c r="T64" s="35" t="str">
        <f aca="false">IF($R64="","",$R64-$K64)</f>
        <v/>
      </c>
      <c r="U64" s="35" t="str">
        <f aca="false">IF(N($P64)&lt;=0,"",COUNTIF($P$6:$P64,"&gt;0"))</f>
        <v/>
      </c>
    </row>
    <row r="65" customFormat="false" ht="15" hidden="false" customHeight="false" outlineLevel="0" collapsed="false">
      <c r="A65" s="40" t="str">
        <f aca="false">IF(INDEX(BookTitle,60)="","",INDEX(BookGroup,60))</f>
        <v/>
      </c>
      <c r="B65" s="40" t="str">
        <f aca="false">IF(INDEX(BookTitle,60)="","",INDEX(BookRef,60))</f>
        <v/>
      </c>
      <c r="C65" s="40" t="str">
        <f aca="false">IF(INDEX(BookTitle,60)="","",INDEX(BookDivision,60))</f>
        <v/>
      </c>
      <c r="D65" s="40" t="str">
        <f aca="false">IF(INDEX(BookTitle,60)="","",INDEX(BookUnit,60))</f>
        <v/>
      </c>
      <c r="E65" s="40" t="str">
        <f aca="false">IF(INDEX(BookTitle,60)="","",INDEX(BookTitle,60))</f>
        <v/>
      </c>
      <c r="F65" s="40" t="str">
        <f aca="false">IF(INDEX(BookTitle,60)="","",INDEX(BookLevel,60))</f>
        <v/>
      </c>
      <c r="G65" s="40" t="str">
        <f aca="false">IF(INDEX(BookTitle,60)="","",INDEX(BookCategory,60))</f>
        <v/>
      </c>
      <c r="H65" s="40" t="str">
        <f aca="false">IF(INDEX(BookTitle,60)="","",INDEX(BookRank,60))</f>
        <v/>
      </c>
      <c r="I65" s="41" t="str">
        <f aca="false">IF(INDEX(BookTitle,60)="","",INDEX(BookTotal,60))</f>
        <v/>
      </c>
      <c r="J65" s="0" t="str">
        <f aca="false">IF($I65="","",IF(INDEX(BookQ1,60)&gt;0,"Q1",IF(INDEX(BookQ2,60)&gt;0,"Q2",IF(INDEX(BookQ3,60)&gt;0,"Q3",IF(INDEX(BookQ4,60)&gt;0,"Q4","")))))</f>
        <v/>
      </c>
      <c r="K65" s="42" t="str">
        <f aca="false">IF(INDEX(BookTitle,60)="","",INDEX(BookInYear,60))</f>
        <v/>
      </c>
      <c r="L65" s="19"/>
      <c r="M65" s="39"/>
      <c r="N65" s="19"/>
      <c r="O65" s="19"/>
      <c r="P65" s="43" t="str">
        <f aca="false">IF($E65="","",IF($L65="Decline",0,IF($L65="Approve fewer",IF($M65="","",$M65),IF($L65="","",$I65))))</f>
        <v/>
      </c>
      <c r="Q65" s="34" t="str">
        <f aca="false">IF($P65="","",IF($N65&lt;&gt;"",$N65,$J65))</f>
        <v/>
      </c>
      <c r="R65" s="35" t="str">
        <f aca="false">IF(OR($P65="",$Q65=""),"",INDEX(BookRate,60)*$P65*(5-MATCH($Q65,{"Q1";"Q2";"Q3";"Q4"},0))/4+INDEX(BookOneOff,60)*$P65)</f>
        <v/>
      </c>
      <c r="S65" s="35" t="str">
        <f aca="false">IF($P65="","",INDEX(BookRate,60)*$P65)</f>
        <v/>
      </c>
      <c r="T65" s="35" t="str">
        <f aca="false">IF($R65="","",$R65-$K65)</f>
        <v/>
      </c>
      <c r="U65" s="35" t="str">
        <f aca="false">IF(N($P65)&lt;=0,"",COUNTIF($P$6:$P65,"&gt;0"))</f>
        <v/>
      </c>
    </row>
    <row r="66" customFormat="false" ht="15" hidden="false" customHeight="false" outlineLevel="0" collapsed="false">
      <c r="A66" s="40" t="str">
        <f aca="false">IF(INDEX(BookTitle,61)="","",INDEX(BookGroup,61))</f>
        <v/>
      </c>
      <c r="B66" s="40" t="str">
        <f aca="false">IF(INDEX(BookTitle,61)="","",INDEX(BookRef,61))</f>
        <v/>
      </c>
      <c r="C66" s="40" t="str">
        <f aca="false">IF(INDEX(BookTitle,61)="","",INDEX(BookDivision,61))</f>
        <v/>
      </c>
      <c r="D66" s="40" t="str">
        <f aca="false">IF(INDEX(BookTitle,61)="","",INDEX(BookUnit,61))</f>
        <v/>
      </c>
      <c r="E66" s="40" t="str">
        <f aca="false">IF(INDEX(BookTitle,61)="","",INDEX(BookTitle,61))</f>
        <v/>
      </c>
      <c r="F66" s="40" t="str">
        <f aca="false">IF(INDEX(BookTitle,61)="","",INDEX(BookLevel,61))</f>
        <v/>
      </c>
      <c r="G66" s="40" t="str">
        <f aca="false">IF(INDEX(BookTitle,61)="","",INDEX(BookCategory,61))</f>
        <v/>
      </c>
      <c r="H66" s="40" t="str">
        <f aca="false">IF(INDEX(BookTitle,61)="","",INDEX(BookRank,61))</f>
        <v/>
      </c>
      <c r="I66" s="41" t="str">
        <f aca="false">IF(INDEX(BookTitle,61)="","",INDEX(BookTotal,61))</f>
        <v/>
      </c>
      <c r="J66" s="0" t="str">
        <f aca="false">IF($I66="","",IF(INDEX(BookQ1,61)&gt;0,"Q1",IF(INDEX(BookQ2,61)&gt;0,"Q2",IF(INDEX(BookQ3,61)&gt;0,"Q3",IF(INDEX(BookQ4,61)&gt;0,"Q4","")))))</f>
        <v/>
      </c>
      <c r="K66" s="42" t="str">
        <f aca="false">IF(INDEX(BookTitle,61)="","",INDEX(BookInYear,61))</f>
        <v/>
      </c>
      <c r="L66" s="19"/>
      <c r="M66" s="39"/>
      <c r="N66" s="19"/>
      <c r="O66" s="19"/>
      <c r="P66" s="43" t="str">
        <f aca="false">IF($E66="","",IF($L66="Decline",0,IF($L66="Approve fewer",IF($M66="","",$M66),IF($L66="","",$I66))))</f>
        <v/>
      </c>
      <c r="Q66" s="34" t="str">
        <f aca="false">IF($P66="","",IF($N66&lt;&gt;"",$N66,$J66))</f>
        <v/>
      </c>
      <c r="R66" s="35" t="str">
        <f aca="false">IF(OR($P66="",$Q66=""),"",INDEX(BookRate,61)*$P66*(5-MATCH($Q66,{"Q1";"Q2";"Q3";"Q4"},0))/4+INDEX(BookOneOff,61)*$P66)</f>
        <v/>
      </c>
      <c r="S66" s="35" t="str">
        <f aca="false">IF($P66="","",INDEX(BookRate,61)*$P66)</f>
        <v/>
      </c>
      <c r="T66" s="35" t="str">
        <f aca="false">IF($R66="","",$R66-$K66)</f>
        <v/>
      </c>
      <c r="U66" s="35" t="str">
        <f aca="false">IF(N($P66)&lt;=0,"",COUNTIF($P$6:$P66,"&gt;0"))</f>
        <v/>
      </c>
    </row>
    <row r="67" customFormat="false" ht="15" hidden="false" customHeight="false" outlineLevel="0" collapsed="false">
      <c r="A67" s="40" t="str">
        <f aca="false">IF(INDEX(BookTitle,62)="","",INDEX(BookGroup,62))</f>
        <v/>
      </c>
      <c r="B67" s="40" t="str">
        <f aca="false">IF(INDEX(BookTitle,62)="","",INDEX(BookRef,62))</f>
        <v/>
      </c>
      <c r="C67" s="40" t="str">
        <f aca="false">IF(INDEX(BookTitle,62)="","",INDEX(BookDivision,62))</f>
        <v/>
      </c>
      <c r="D67" s="40" t="str">
        <f aca="false">IF(INDEX(BookTitle,62)="","",INDEX(BookUnit,62))</f>
        <v/>
      </c>
      <c r="E67" s="40" t="str">
        <f aca="false">IF(INDEX(BookTitle,62)="","",INDEX(BookTitle,62))</f>
        <v/>
      </c>
      <c r="F67" s="40" t="str">
        <f aca="false">IF(INDEX(BookTitle,62)="","",INDEX(BookLevel,62))</f>
        <v/>
      </c>
      <c r="G67" s="40" t="str">
        <f aca="false">IF(INDEX(BookTitle,62)="","",INDEX(BookCategory,62))</f>
        <v/>
      </c>
      <c r="H67" s="40" t="str">
        <f aca="false">IF(INDEX(BookTitle,62)="","",INDEX(BookRank,62))</f>
        <v/>
      </c>
      <c r="I67" s="41" t="str">
        <f aca="false">IF(INDEX(BookTitle,62)="","",INDEX(BookTotal,62))</f>
        <v/>
      </c>
      <c r="J67" s="0" t="str">
        <f aca="false">IF($I67="","",IF(INDEX(BookQ1,62)&gt;0,"Q1",IF(INDEX(BookQ2,62)&gt;0,"Q2",IF(INDEX(BookQ3,62)&gt;0,"Q3",IF(INDEX(BookQ4,62)&gt;0,"Q4","")))))</f>
        <v/>
      </c>
      <c r="K67" s="42" t="str">
        <f aca="false">IF(INDEX(BookTitle,62)="","",INDEX(BookInYear,62))</f>
        <v/>
      </c>
      <c r="L67" s="19"/>
      <c r="M67" s="39"/>
      <c r="N67" s="19"/>
      <c r="O67" s="19"/>
      <c r="P67" s="43" t="str">
        <f aca="false">IF($E67="","",IF($L67="Decline",0,IF($L67="Approve fewer",IF($M67="","",$M67),IF($L67="","",$I67))))</f>
        <v/>
      </c>
      <c r="Q67" s="34" t="str">
        <f aca="false">IF($P67="","",IF($N67&lt;&gt;"",$N67,$J67))</f>
        <v/>
      </c>
      <c r="R67" s="35" t="str">
        <f aca="false">IF(OR($P67="",$Q67=""),"",INDEX(BookRate,62)*$P67*(5-MATCH($Q67,{"Q1";"Q2";"Q3";"Q4"},0))/4+INDEX(BookOneOff,62)*$P67)</f>
        <v/>
      </c>
      <c r="S67" s="35" t="str">
        <f aca="false">IF($P67="","",INDEX(BookRate,62)*$P67)</f>
        <v/>
      </c>
      <c r="T67" s="35" t="str">
        <f aca="false">IF($R67="","",$R67-$K67)</f>
        <v/>
      </c>
      <c r="U67" s="35" t="str">
        <f aca="false">IF(N($P67)&lt;=0,"",COUNTIF($P$6:$P67,"&gt;0"))</f>
        <v/>
      </c>
    </row>
    <row r="68" customFormat="false" ht="15" hidden="false" customHeight="false" outlineLevel="0" collapsed="false">
      <c r="A68" s="40" t="str">
        <f aca="false">IF(INDEX(BookTitle,63)="","",INDEX(BookGroup,63))</f>
        <v/>
      </c>
      <c r="B68" s="40" t="str">
        <f aca="false">IF(INDEX(BookTitle,63)="","",INDEX(BookRef,63))</f>
        <v/>
      </c>
      <c r="C68" s="40" t="str">
        <f aca="false">IF(INDEX(BookTitle,63)="","",INDEX(BookDivision,63))</f>
        <v/>
      </c>
      <c r="D68" s="40" t="str">
        <f aca="false">IF(INDEX(BookTitle,63)="","",INDEX(BookUnit,63))</f>
        <v/>
      </c>
      <c r="E68" s="40" t="str">
        <f aca="false">IF(INDEX(BookTitle,63)="","",INDEX(BookTitle,63))</f>
        <v/>
      </c>
      <c r="F68" s="40" t="str">
        <f aca="false">IF(INDEX(BookTitle,63)="","",INDEX(BookLevel,63))</f>
        <v/>
      </c>
      <c r="G68" s="40" t="str">
        <f aca="false">IF(INDEX(BookTitle,63)="","",INDEX(BookCategory,63))</f>
        <v/>
      </c>
      <c r="H68" s="40" t="str">
        <f aca="false">IF(INDEX(BookTitle,63)="","",INDEX(BookRank,63))</f>
        <v/>
      </c>
      <c r="I68" s="41" t="str">
        <f aca="false">IF(INDEX(BookTitle,63)="","",INDEX(BookTotal,63))</f>
        <v/>
      </c>
      <c r="J68" s="0" t="str">
        <f aca="false">IF($I68="","",IF(INDEX(BookQ1,63)&gt;0,"Q1",IF(INDEX(BookQ2,63)&gt;0,"Q2",IF(INDEX(BookQ3,63)&gt;0,"Q3",IF(INDEX(BookQ4,63)&gt;0,"Q4","")))))</f>
        <v/>
      </c>
      <c r="K68" s="42" t="str">
        <f aca="false">IF(INDEX(BookTitle,63)="","",INDEX(BookInYear,63))</f>
        <v/>
      </c>
      <c r="L68" s="19"/>
      <c r="M68" s="39"/>
      <c r="N68" s="19"/>
      <c r="O68" s="19"/>
      <c r="P68" s="43" t="str">
        <f aca="false">IF($E68="","",IF($L68="Decline",0,IF($L68="Approve fewer",IF($M68="","",$M68),IF($L68="","",$I68))))</f>
        <v/>
      </c>
      <c r="Q68" s="34" t="str">
        <f aca="false">IF($P68="","",IF($N68&lt;&gt;"",$N68,$J68))</f>
        <v/>
      </c>
      <c r="R68" s="35" t="str">
        <f aca="false">IF(OR($P68="",$Q68=""),"",INDEX(BookRate,63)*$P68*(5-MATCH($Q68,{"Q1";"Q2";"Q3";"Q4"},0))/4+INDEX(BookOneOff,63)*$P68)</f>
        <v/>
      </c>
      <c r="S68" s="35" t="str">
        <f aca="false">IF($P68="","",INDEX(BookRate,63)*$P68)</f>
        <v/>
      </c>
      <c r="T68" s="35" t="str">
        <f aca="false">IF($R68="","",$R68-$K68)</f>
        <v/>
      </c>
      <c r="U68" s="35" t="str">
        <f aca="false">IF(N($P68)&lt;=0,"",COUNTIF($P$6:$P68,"&gt;0"))</f>
        <v/>
      </c>
    </row>
    <row r="69" customFormat="false" ht="15" hidden="false" customHeight="false" outlineLevel="0" collapsed="false">
      <c r="A69" s="40" t="str">
        <f aca="false">IF(INDEX(BookTitle,64)="","",INDEX(BookGroup,64))</f>
        <v/>
      </c>
      <c r="B69" s="40" t="str">
        <f aca="false">IF(INDEX(BookTitle,64)="","",INDEX(BookRef,64))</f>
        <v/>
      </c>
      <c r="C69" s="40" t="str">
        <f aca="false">IF(INDEX(BookTitle,64)="","",INDEX(BookDivision,64))</f>
        <v/>
      </c>
      <c r="D69" s="40" t="str">
        <f aca="false">IF(INDEX(BookTitle,64)="","",INDEX(BookUnit,64))</f>
        <v/>
      </c>
      <c r="E69" s="40" t="str">
        <f aca="false">IF(INDEX(BookTitle,64)="","",INDEX(BookTitle,64))</f>
        <v/>
      </c>
      <c r="F69" s="40" t="str">
        <f aca="false">IF(INDEX(BookTitle,64)="","",INDEX(BookLevel,64))</f>
        <v/>
      </c>
      <c r="G69" s="40" t="str">
        <f aca="false">IF(INDEX(BookTitle,64)="","",INDEX(BookCategory,64))</f>
        <v/>
      </c>
      <c r="H69" s="40" t="str">
        <f aca="false">IF(INDEX(BookTitle,64)="","",INDEX(BookRank,64))</f>
        <v/>
      </c>
      <c r="I69" s="41" t="str">
        <f aca="false">IF(INDEX(BookTitle,64)="","",INDEX(BookTotal,64))</f>
        <v/>
      </c>
      <c r="J69" s="0" t="str">
        <f aca="false">IF($I69="","",IF(INDEX(BookQ1,64)&gt;0,"Q1",IF(INDEX(BookQ2,64)&gt;0,"Q2",IF(INDEX(BookQ3,64)&gt;0,"Q3",IF(INDEX(BookQ4,64)&gt;0,"Q4","")))))</f>
        <v/>
      </c>
      <c r="K69" s="42" t="str">
        <f aca="false">IF(INDEX(BookTitle,64)="","",INDEX(BookInYear,64))</f>
        <v/>
      </c>
      <c r="L69" s="19"/>
      <c r="M69" s="39"/>
      <c r="N69" s="19"/>
      <c r="O69" s="19"/>
      <c r="P69" s="43" t="str">
        <f aca="false">IF($E69="","",IF($L69="Decline",0,IF($L69="Approve fewer",IF($M69="","",$M69),IF($L69="","",$I69))))</f>
        <v/>
      </c>
      <c r="Q69" s="34" t="str">
        <f aca="false">IF($P69="","",IF($N69&lt;&gt;"",$N69,$J69))</f>
        <v/>
      </c>
      <c r="R69" s="35" t="str">
        <f aca="false">IF(OR($P69="",$Q69=""),"",INDEX(BookRate,64)*$P69*(5-MATCH($Q69,{"Q1";"Q2";"Q3";"Q4"},0))/4+INDEX(BookOneOff,64)*$P69)</f>
        <v/>
      </c>
      <c r="S69" s="35" t="str">
        <f aca="false">IF($P69="","",INDEX(BookRate,64)*$P69)</f>
        <v/>
      </c>
      <c r="T69" s="35" t="str">
        <f aca="false">IF($R69="","",$R69-$K69)</f>
        <v/>
      </c>
      <c r="U69" s="35" t="str">
        <f aca="false">IF(N($P69)&lt;=0,"",COUNTIF($P$6:$P69,"&gt;0"))</f>
        <v/>
      </c>
    </row>
    <row r="70" customFormat="false" ht="15" hidden="false" customHeight="false" outlineLevel="0" collapsed="false">
      <c r="A70" s="40" t="str">
        <f aca="false">IF(INDEX(BookTitle,65)="","",INDEX(BookGroup,65))</f>
        <v/>
      </c>
      <c r="B70" s="40" t="str">
        <f aca="false">IF(INDEX(BookTitle,65)="","",INDEX(BookRef,65))</f>
        <v/>
      </c>
      <c r="C70" s="40" t="str">
        <f aca="false">IF(INDEX(BookTitle,65)="","",INDEX(BookDivision,65))</f>
        <v/>
      </c>
      <c r="D70" s="40" t="str">
        <f aca="false">IF(INDEX(BookTitle,65)="","",INDEX(BookUnit,65))</f>
        <v/>
      </c>
      <c r="E70" s="40" t="str">
        <f aca="false">IF(INDEX(BookTitle,65)="","",INDEX(BookTitle,65))</f>
        <v/>
      </c>
      <c r="F70" s="40" t="str">
        <f aca="false">IF(INDEX(BookTitle,65)="","",INDEX(BookLevel,65))</f>
        <v/>
      </c>
      <c r="G70" s="40" t="str">
        <f aca="false">IF(INDEX(BookTitle,65)="","",INDEX(BookCategory,65))</f>
        <v/>
      </c>
      <c r="H70" s="40" t="str">
        <f aca="false">IF(INDEX(BookTitle,65)="","",INDEX(BookRank,65))</f>
        <v/>
      </c>
      <c r="I70" s="41" t="str">
        <f aca="false">IF(INDEX(BookTitle,65)="","",INDEX(BookTotal,65))</f>
        <v/>
      </c>
      <c r="J70" s="0" t="str">
        <f aca="false">IF($I70="","",IF(INDEX(BookQ1,65)&gt;0,"Q1",IF(INDEX(BookQ2,65)&gt;0,"Q2",IF(INDEX(BookQ3,65)&gt;0,"Q3",IF(INDEX(BookQ4,65)&gt;0,"Q4","")))))</f>
        <v/>
      </c>
      <c r="K70" s="42" t="str">
        <f aca="false">IF(INDEX(BookTitle,65)="","",INDEX(BookInYear,65))</f>
        <v/>
      </c>
      <c r="L70" s="19"/>
      <c r="M70" s="39"/>
      <c r="N70" s="19"/>
      <c r="O70" s="19"/>
      <c r="P70" s="43" t="str">
        <f aca="false">IF($E70="","",IF($L70="Decline",0,IF($L70="Approve fewer",IF($M70="","",$M70),IF($L70="","",$I70))))</f>
        <v/>
      </c>
      <c r="Q70" s="34" t="str">
        <f aca="false">IF($P70="","",IF($N70&lt;&gt;"",$N70,$J70))</f>
        <v/>
      </c>
      <c r="R70" s="35" t="str">
        <f aca="false">IF(OR($P70="",$Q70=""),"",INDEX(BookRate,65)*$P70*(5-MATCH($Q70,{"Q1";"Q2";"Q3";"Q4"},0))/4+INDEX(BookOneOff,65)*$P70)</f>
        <v/>
      </c>
      <c r="S70" s="35" t="str">
        <f aca="false">IF($P70="","",INDEX(BookRate,65)*$P70)</f>
        <v/>
      </c>
      <c r="T70" s="35" t="str">
        <f aca="false">IF($R70="","",$R70-$K70)</f>
        <v/>
      </c>
      <c r="U70" s="35" t="str">
        <f aca="false">IF(N($P70)&lt;=0,"",COUNTIF($P$6:$P70,"&gt;0"))</f>
        <v/>
      </c>
    </row>
    <row r="71" customFormat="false" ht="15" hidden="false" customHeight="false" outlineLevel="0" collapsed="false">
      <c r="A71" s="40" t="str">
        <f aca="false">IF(INDEX(BookTitle,66)="","",INDEX(BookGroup,66))</f>
        <v/>
      </c>
      <c r="B71" s="40" t="str">
        <f aca="false">IF(INDEX(BookTitle,66)="","",INDEX(BookRef,66))</f>
        <v/>
      </c>
      <c r="C71" s="40" t="str">
        <f aca="false">IF(INDEX(BookTitle,66)="","",INDEX(BookDivision,66))</f>
        <v/>
      </c>
      <c r="D71" s="40" t="str">
        <f aca="false">IF(INDEX(BookTitle,66)="","",INDEX(BookUnit,66))</f>
        <v/>
      </c>
      <c r="E71" s="40" t="str">
        <f aca="false">IF(INDEX(BookTitle,66)="","",INDEX(BookTitle,66))</f>
        <v/>
      </c>
      <c r="F71" s="40" t="str">
        <f aca="false">IF(INDEX(BookTitle,66)="","",INDEX(BookLevel,66))</f>
        <v/>
      </c>
      <c r="G71" s="40" t="str">
        <f aca="false">IF(INDEX(BookTitle,66)="","",INDEX(BookCategory,66))</f>
        <v/>
      </c>
      <c r="H71" s="40" t="str">
        <f aca="false">IF(INDEX(BookTitle,66)="","",INDEX(BookRank,66))</f>
        <v/>
      </c>
      <c r="I71" s="41" t="str">
        <f aca="false">IF(INDEX(BookTitle,66)="","",INDEX(BookTotal,66))</f>
        <v/>
      </c>
      <c r="J71" s="0" t="str">
        <f aca="false">IF($I71="","",IF(INDEX(BookQ1,66)&gt;0,"Q1",IF(INDEX(BookQ2,66)&gt;0,"Q2",IF(INDEX(BookQ3,66)&gt;0,"Q3",IF(INDEX(BookQ4,66)&gt;0,"Q4","")))))</f>
        <v/>
      </c>
      <c r="K71" s="42" t="str">
        <f aca="false">IF(INDEX(BookTitle,66)="","",INDEX(BookInYear,66))</f>
        <v/>
      </c>
      <c r="L71" s="19"/>
      <c r="M71" s="39"/>
      <c r="N71" s="19"/>
      <c r="O71" s="19"/>
      <c r="P71" s="43" t="str">
        <f aca="false">IF($E71="","",IF($L71="Decline",0,IF($L71="Approve fewer",IF($M71="","",$M71),IF($L71="","",$I71))))</f>
        <v/>
      </c>
      <c r="Q71" s="34" t="str">
        <f aca="false">IF($P71="","",IF($N71&lt;&gt;"",$N71,$J71))</f>
        <v/>
      </c>
      <c r="R71" s="35" t="str">
        <f aca="false">IF(OR($P71="",$Q71=""),"",INDEX(BookRate,66)*$P71*(5-MATCH($Q71,{"Q1";"Q2";"Q3";"Q4"},0))/4+INDEX(BookOneOff,66)*$P71)</f>
        <v/>
      </c>
      <c r="S71" s="35" t="str">
        <f aca="false">IF($P71="","",INDEX(BookRate,66)*$P71)</f>
        <v/>
      </c>
      <c r="T71" s="35" t="str">
        <f aca="false">IF($R71="","",$R71-$K71)</f>
        <v/>
      </c>
      <c r="U71" s="35" t="str">
        <f aca="false">IF(N($P71)&lt;=0,"",COUNTIF($P$6:$P71,"&gt;0"))</f>
        <v/>
      </c>
    </row>
    <row r="72" customFormat="false" ht="15" hidden="false" customHeight="false" outlineLevel="0" collapsed="false">
      <c r="A72" s="40" t="str">
        <f aca="false">IF(INDEX(BookTitle,67)="","",INDEX(BookGroup,67))</f>
        <v/>
      </c>
      <c r="B72" s="40" t="str">
        <f aca="false">IF(INDEX(BookTitle,67)="","",INDEX(BookRef,67))</f>
        <v/>
      </c>
      <c r="C72" s="40" t="str">
        <f aca="false">IF(INDEX(BookTitle,67)="","",INDEX(BookDivision,67))</f>
        <v/>
      </c>
      <c r="D72" s="40" t="str">
        <f aca="false">IF(INDEX(BookTitle,67)="","",INDEX(BookUnit,67))</f>
        <v/>
      </c>
      <c r="E72" s="40" t="str">
        <f aca="false">IF(INDEX(BookTitle,67)="","",INDEX(BookTitle,67))</f>
        <v/>
      </c>
      <c r="F72" s="40" t="str">
        <f aca="false">IF(INDEX(BookTitle,67)="","",INDEX(BookLevel,67))</f>
        <v/>
      </c>
      <c r="G72" s="40" t="str">
        <f aca="false">IF(INDEX(BookTitle,67)="","",INDEX(BookCategory,67))</f>
        <v/>
      </c>
      <c r="H72" s="40" t="str">
        <f aca="false">IF(INDEX(BookTitle,67)="","",INDEX(BookRank,67))</f>
        <v/>
      </c>
      <c r="I72" s="41" t="str">
        <f aca="false">IF(INDEX(BookTitle,67)="","",INDEX(BookTotal,67))</f>
        <v/>
      </c>
      <c r="J72" s="0" t="str">
        <f aca="false">IF($I72="","",IF(INDEX(BookQ1,67)&gt;0,"Q1",IF(INDEX(BookQ2,67)&gt;0,"Q2",IF(INDEX(BookQ3,67)&gt;0,"Q3",IF(INDEX(BookQ4,67)&gt;0,"Q4","")))))</f>
        <v/>
      </c>
      <c r="K72" s="42" t="str">
        <f aca="false">IF(INDEX(BookTitle,67)="","",INDEX(BookInYear,67))</f>
        <v/>
      </c>
      <c r="L72" s="19"/>
      <c r="M72" s="39"/>
      <c r="N72" s="19"/>
      <c r="O72" s="19"/>
      <c r="P72" s="43" t="str">
        <f aca="false">IF($E72="","",IF($L72="Decline",0,IF($L72="Approve fewer",IF($M72="","",$M72),IF($L72="","",$I72))))</f>
        <v/>
      </c>
      <c r="Q72" s="34" t="str">
        <f aca="false">IF($P72="","",IF($N72&lt;&gt;"",$N72,$J72))</f>
        <v/>
      </c>
      <c r="R72" s="35" t="str">
        <f aca="false">IF(OR($P72="",$Q72=""),"",INDEX(BookRate,67)*$P72*(5-MATCH($Q72,{"Q1";"Q2";"Q3";"Q4"},0))/4+INDEX(BookOneOff,67)*$P72)</f>
        <v/>
      </c>
      <c r="S72" s="35" t="str">
        <f aca="false">IF($P72="","",INDEX(BookRate,67)*$P72)</f>
        <v/>
      </c>
      <c r="T72" s="35" t="str">
        <f aca="false">IF($R72="","",$R72-$K72)</f>
        <v/>
      </c>
      <c r="U72" s="35" t="str">
        <f aca="false">IF(N($P72)&lt;=0,"",COUNTIF($P$6:$P72,"&gt;0"))</f>
        <v/>
      </c>
    </row>
    <row r="73" customFormat="false" ht="15" hidden="false" customHeight="false" outlineLevel="0" collapsed="false">
      <c r="A73" s="40" t="str">
        <f aca="false">IF(INDEX(BookTitle,68)="","",INDEX(BookGroup,68))</f>
        <v/>
      </c>
      <c r="B73" s="40" t="str">
        <f aca="false">IF(INDEX(BookTitle,68)="","",INDEX(BookRef,68))</f>
        <v/>
      </c>
      <c r="C73" s="40" t="str">
        <f aca="false">IF(INDEX(BookTitle,68)="","",INDEX(BookDivision,68))</f>
        <v/>
      </c>
      <c r="D73" s="40" t="str">
        <f aca="false">IF(INDEX(BookTitle,68)="","",INDEX(BookUnit,68))</f>
        <v/>
      </c>
      <c r="E73" s="40" t="str">
        <f aca="false">IF(INDEX(BookTitle,68)="","",INDEX(BookTitle,68))</f>
        <v/>
      </c>
      <c r="F73" s="40" t="str">
        <f aca="false">IF(INDEX(BookTitle,68)="","",INDEX(BookLevel,68))</f>
        <v/>
      </c>
      <c r="G73" s="40" t="str">
        <f aca="false">IF(INDEX(BookTitle,68)="","",INDEX(BookCategory,68))</f>
        <v/>
      </c>
      <c r="H73" s="40" t="str">
        <f aca="false">IF(INDEX(BookTitle,68)="","",INDEX(BookRank,68))</f>
        <v/>
      </c>
      <c r="I73" s="41" t="str">
        <f aca="false">IF(INDEX(BookTitle,68)="","",INDEX(BookTotal,68))</f>
        <v/>
      </c>
      <c r="J73" s="0" t="str">
        <f aca="false">IF($I73="","",IF(INDEX(BookQ1,68)&gt;0,"Q1",IF(INDEX(BookQ2,68)&gt;0,"Q2",IF(INDEX(BookQ3,68)&gt;0,"Q3",IF(INDEX(BookQ4,68)&gt;0,"Q4","")))))</f>
        <v/>
      </c>
      <c r="K73" s="42" t="str">
        <f aca="false">IF(INDEX(BookTitle,68)="","",INDEX(BookInYear,68))</f>
        <v/>
      </c>
      <c r="L73" s="19"/>
      <c r="M73" s="39"/>
      <c r="N73" s="19"/>
      <c r="O73" s="19"/>
      <c r="P73" s="43" t="str">
        <f aca="false">IF($E73="","",IF($L73="Decline",0,IF($L73="Approve fewer",IF($M73="","",$M73),IF($L73="","",$I73))))</f>
        <v/>
      </c>
      <c r="Q73" s="34" t="str">
        <f aca="false">IF($P73="","",IF($N73&lt;&gt;"",$N73,$J73))</f>
        <v/>
      </c>
      <c r="R73" s="35" t="str">
        <f aca="false">IF(OR($P73="",$Q73=""),"",INDEX(BookRate,68)*$P73*(5-MATCH($Q73,{"Q1";"Q2";"Q3";"Q4"},0))/4+INDEX(BookOneOff,68)*$P73)</f>
        <v/>
      </c>
      <c r="S73" s="35" t="str">
        <f aca="false">IF($P73="","",INDEX(BookRate,68)*$P73)</f>
        <v/>
      </c>
      <c r="T73" s="35" t="str">
        <f aca="false">IF($R73="","",$R73-$K73)</f>
        <v/>
      </c>
      <c r="U73" s="35" t="str">
        <f aca="false">IF(N($P73)&lt;=0,"",COUNTIF($P$6:$P73,"&gt;0"))</f>
        <v/>
      </c>
    </row>
    <row r="74" customFormat="false" ht="15" hidden="false" customHeight="false" outlineLevel="0" collapsed="false">
      <c r="A74" s="40" t="str">
        <f aca="false">IF(INDEX(BookTitle,69)="","",INDEX(BookGroup,69))</f>
        <v/>
      </c>
      <c r="B74" s="40" t="str">
        <f aca="false">IF(INDEX(BookTitle,69)="","",INDEX(BookRef,69))</f>
        <v/>
      </c>
      <c r="C74" s="40" t="str">
        <f aca="false">IF(INDEX(BookTitle,69)="","",INDEX(BookDivision,69))</f>
        <v/>
      </c>
      <c r="D74" s="40" t="str">
        <f aca="false">IF(INDEX(BookTitle,69)="","",INDEX(BookUnit,69))</f>
        <v/>
      </c>
      <c r="E74" s="40" t="str">
        <f aca="false">IF(INDEX(BookTitle,69)="","",INDEX(BookTitle,69))</f>
        <v/>
      </c>
      <c r="F74" s="40" t="str">
        <f aca="false">IF(INDEX(BookTitle,69)="","",INDEX(BookLevel,69))</f>
        <v/>
      </c>
      <c r="G74" s="40" t="str">
        <f aca="false">IF(INDEX(BookTitle,69)="","",INDEX(BookCategory,69))</f>
        <v/>
      </c>
      <c r="H74" s="40" t="str">
        <f aca="false">IF(INDEX(BookTitle,69)="","",INDEX(BookRank,69))</f>
        <v/>
      </c>
      <c r="I74" s="41" t="str">
        <f aca="false">IF(INDEX(BookTitle,69)="","",INDEX(BookTotal,69))</f>
        <v/>
      </c>
      <c r="J74" s="0" t="str">
        <f aca="false">IF($I74="","",IF(INDEX(BookQ1,69)&gt;0,"Q1",IF(INDEX(BookQ2,69)&gt;0,"Q2",IF(INDEX(BookQ3,69)&gt;0,"Q3",IF(INDEX(BookQ4,69)&gt;0,"Q4","")))))</f>
        <v/>
      </c>
      <c r="K74" s="42" t="str">
        <f aca="false">IF(INDEX(BookTitle,69)="","",INDEX(BookInYear,69))</f>
        <v/>
      </c>
      <c r="L74" s="19"/>
      <c r="M74" s="39"/>
      <c r="N74" s="19"/>
      <c r="O74" s="19"/>
      <c r="P74" s="43" t="str">
        <f aca="false">IF($E74="","",IF($L74="Decline",0,IF($L74="Approve fewer",IF($M74="","",$M74),IF($L74="","",$I74))))</f>
        <v/>
      </c>
      <c r="Q74" s="34" t="str">
        <f aca="false">IF($P74="","",IF($N74&lt;&gt;"",$N74,$J74))</f>
        <v/>
      </c>
      <c r="R74" s="35" t="str">
        <f aca="false">IF(OR($P74="",$Q74=""),"",INDEX(BookRate,69)*$P74*(5-MATCH($Q74,{"Q1";"Q2";"Q3";"Q4"},0))/4+INDEX(BookOneOff,69)*$P74)</f>
        <v/>
      </c>
      <c r="S74" s="35" t="str">
        <f aca="false">IF($P74="","",INDEX(BookRate,69)*$P74)</f>
        <v/>
      </c>
      <c r="T74" s="35" t="str">
        <f aca="false">IF($R74="","",$R74-$K74)</f>
        <v/>
      </c>
      <c r="U74" s="35" t="str">
        <f aca="false">IF(N($P74)&lt;=0,"",COUNTIF($P$6:$P74,"&gt;0"))</f>
        <v/>
      </c>
    </row>
    <row r="75" customFormat="false" ht="15" hidden="false" customHeight="false" outlineLevel="0" collapsed="false">
      <c r="A75" s="40" t="str">
        <f aca="false">IF(INDEX(BookTitle,70)="","",INDEX(BookGroup,70))</f>
        <v/>
      </c>
      <c r="B75" s="40" t="str">
        <f aca="false">IF(INDEX(BookTitle,70)="","",INDEX(BookRef,70))</f>
        <v/>
      </c>
      <c r="C75" s="40" t="str">
        <f aca="false">IF(INDEX(BookTitle,70)="","",INDEX(BookDivision,70))</f>
        <v/>
      </c>
      <c r="D75" s="40" t="str">
        <f aca="false">IF(INDEX(BookTitle,70)="","",INDEX(BookUnit,70))</f>
        <v/>
      </c>
      <c r="E75" s="40" t="str">
        <f aca="false">IF(INDEX(BookTitle,70)="","",INDEX(BookTitle,70))</f>
        <v/>
      </c>
      <c r="F75" s="40" t="str">
        <f aca="false">IF(INDEX(BookTitle,70)="","",INDEX(BookLevel,70))</f>
        <v/>
      </c>
      <c r="G75" s="40" t="str">
        <f aca="false">IF(INDEX(BookTitle,70)="","",INDEX(BookCategory,70))</f>
        <v/>
      </c>
      <c r="H75" s="40" t="str">
        <f aca="false">IF(INDEX(BookTitle,70)="","",INDEX(BookRank,70))</f>
        <v/>
      </c>
      <c r="I75" s="41" t="str">
        <f aca="false">IF(INDEX(BookTitle,70)="","",INDEX(BookTotal,70))</f>
        <v/>
      </c>
      <c r="J75" s="0" t="str">
        <f aca="false">IF($I75="","",IF(INDEX(BookQ1,70)&gt;0,"Q1",IF(INDEX(BookQ2,70)&gt;0,"Q2",IF(INDEX(BookQ3,70)&gt;0,"Q3",IF(INDEX(BookQ4,70)&gt;0,"Q4","")))))</f>
        <v/>
      </c>
      <c r="K75" s="42" t="str">
        <f aca="false">IF(INDEX(BookTitle,70)="","",INDEX(BookInYear,70))</f>
        <v/>
      </c>
      <c r="L75" s="19"/>
      <c r="M75" s="39"/>
      <c r="N75" s="19"/>
      <c r="O75" s="19"/>
      <c r="P75" s="43" t="str">
        <f aca="false">IF($E75="","",IF($L75="Decline",0,IF($L75="Approve fewer",IF($M75="","",$M75),IF($L75="","",$I75))))</f>
        <v/>
      </c>
      <c r="Q75" s="34" t="str">
        <f aca="false">IF($P75="","",IF($N75&lt;&gt;"",$N75,$J75))</f>
        <v/>
      </c>
      <c r="R75" s="35" t="str">
        <f aca="false">IF(OR($P75="",$Q75=""),"",INDEX(BookRate,70)*$P75*(5-MATCH($Q75,{"Q1";"Q2";"Q3";"Q4"},0))/4+INDEX(BookOneOff,70)*$P75)</f>
        <v/>
      </c>
      <c r="S75" s="35" t="str">
        <f aca="false">IF($P75="","",INDEX(BookRate,70)*$P75)</f>
        <v/>
      </c>
      <c r="T75" s="35" t="str">
        <f aca="false">IF($R75="","",$R75-$K75)</f>
        <v/>
      </c>
      <c r="U75" s="35" t="str">
        <f aca="false">IF(N($P75)&lt;=0,"",COUNTIF($P$6:$P75,"&gt;0"))</f>
        <v/>
      </c>
    </row>
    <row r="76" customFormat="false" ht="15" hidden="false" customHeight="false" outlineLevel="0" collapsed="false">
      <c r="A76" s="40" t="str">
        <f aca="false">IF(INDEX(BookTitle,71)="","",INDEX(BookGroup,71))</f>
        <v/>
      </c>
      <c r="B76" s="40" t="str">
        <f aca="false">IF(INDEX(BookTitle,71)="","",INDEX(BookRef,71))</f>
        <v/>
      </c>
      <c r="C76" s="40" t="str">
        <f aca="false">IF(INDEX(BookTitle,71)="","",INDEX(BookDivision,71))</f>
        <v/>
      </c>
      <c r="D76" s="40" t="str">
        <f aca="false">IF(INDEX(BookTitle,71)="","",INDEX(BookUnit,71))</f>
        <v/>
      </c>
      <c r="E76" s="40" t="str">
        <f aca="false">IF(INDEX(BookTitle,71)="","",INDEX(BookTitle,71))</f>
        <v/>
      </c>
      <c r="F76" s="40" t="str">
        <f aca="false">IF(INDEX(BookTitle,71)="","",INDEX(BookLevel,71))</f>
        <v/>
      </c>
      <c r="G76" s="40" t="str">
        <f aca="false">IF(INDEX(BookTitle,71)="","",INDEX(BookCategory,71))</f>
        <v/>
      </c>
      <c r="H76" s="40" t="str">
        <f aca="false">IF(INDEX(BookTitle,71)="","",INDEX(BookRank,71))</f>
        <v/>
      </c>
      <c r="I76" s="41" t="str">
        <f aca="false">IF(INDEX(BookTitle,71)="","",INDEX(BookTotal,71))</f>
        <v/>
      </c>
      <c r="J76" s="0" t="str">
        <f aca="false">IF($I76="","",IF(INDEX(BookQ1,71)&gt;0,"Q1",IF(INDEX(BookQ2,71)&gt;0,"Q2",IF(INDEX(BookQ3,71)&gt;0,"Q3",IF(INDEX(BookQ4,71)&gt;0,"Q4","")))))</f>
        <v/>
      </c>
      <c r="K76" s="42" t="str">
        <f aca="false">IF(INDEX(BookTitle,71)="","",INDEX(BookInYear,71))</f>
        <v/>
      </c>
      <c r="L76" s="19"/>
      <c r="M76" s="39"/>
      <c r="N76" s="19"/>
      <c r="O76" s="19"/>
      <c r="P76" s="43" t="str">
        <f aca="false">IF($E76="","",IF($L76="Decline",0,IF($L76="Approve fewer",IF($M76="","",$M76),IF($L76="","",$I76))))</f>
        <v/>
      </c>
      <c r="Q76" s="34" t="str">
        <f aca="false">IF($P76="","",IF($N76&lt;&gt;"",$N76,$J76))</f>
        <v/>
      </c>
      <c r="R76" s="35" t="str">
        <f aca="false">IF(OR($P76="",$Q76=""),"",INDEX(BookRate,71)*$P76*(5-MATCH($Q76,{"Q1";"Q2";"Q3";"Q4"},0))/4+INDEX(BookOneOff,71)*$P76)</f>
        <v/>
      </c>
      <c r="S76" s="35" t="str">
        <f aca="false">IF($P76="","",INDEX(BookRate,71)*$P76)</f>
        <v/>
      </c>
      <c r="T76" s="35" t="str">
        <f aca="false">IF($R76="","",$R76-$K76)</f>
        <v/>
      </c>
      <c r="U76" s="35" t="str">
        <f aca="false">IF(N($P76)&lt;=0,"",COUNTIF($P$6:$P76,"&gt;0"))</f>
        <v/>
      </c>
    </row>
    <row r="77" customFormat="false" ht="15" hidden="false" customHeight="false" outlineLevel="0" collapsed="false">
      <c r="A77" s="40" t="str">
        <f aca="false">IF(INDEX(BookTitle,72)="","",INDEX(BookGroup,72))</f>
        <v/>
      </c>
      <c r="B77" s="40" t="str">
        <f aca="false">IF(INDEX(BookTitle,72)="","",INDEX(BookRef,72))</f>
        <v/>
      </c>
      <c r="C77" s="40" t="str">
        <f aca="false">IF(INDEX(BookTitle,72)="","",INDEX(BookDivision,72))</f>
        <v/>
      </c>
      <c r="D77" s="40" t="str">
        <f aca="false">IF(INDEX(BookTitle,72)="","",INDEX(BookUnit,72))</f>
        <v/>
      </c>
      <c r="E77" s="40" t="str">
        <f aca="false">IF(INDEX(BookTitle,72)="","",INDEX(BookTitle,72))</f>
        <v/>
      </c>
      <c r="F77" s="40" t="str">
        <f aca="false">IF(INDEX(BookTitle,72)="","",INDEX(BookLevel,72))</f>
        <v/>
      </c>
      <c r="G77" s="40" t="str">
        <f aca="false">IF(INDEX(BookTitle,72)="","",INDEX(BookCategory,72))</f>
        <v/>
      </c>
      <c r="H77" s="40" t="str">
        <f aca="false">IF(INDEX(BookTitle,72)="","",INDEX(BookRank,72))</f>
        <v/>
      </c>
      <c r="I77" s="41" t="str">
        <f aca="false">IF(INDEX(BookTitle,72)="","",INDEX(BookTotal,72))</f>
        <v/>
      </c>
      <c r="J77" s="0" t="str">
        <f aca="false">IF($I77="","",IF(INDEX(BookQ1,72)&gt;0,"Q1",IF(INDEX(BookQ2,72)&gt;0,"Q2",IF(INDEX(BookQ3,72)&gt;0,"Q3",IF(INDEX(BookQ4,72)&gt;0,"Q4","")))))</f>
        <v/>
      </c>
      <c r="K77" s="42" t="str">
        <f aca="false">IF(INDEX(BookTitle,72)="","",INDEX(BookInYear,72))</f>
        <v/>
      </c>
      <c r="L77" s="19"/>
      <c r="M77" s="39"/>
      <c r="N77" s="19"/>
      <c r="O77" s="19"/>
      <c r="P77" s="43" t="str">
        <f aca="false">IF($E77="","",IF($L77="Decline",0,IF($L77="Approve fewer",IF($M77="","",$M77),IF($L77="","",$I77))))</f>
        <v/>
      </c>
      <c r="Q77" s="34" t="str">
        <f aca="false">IF($P77="","",IF($N77&lt;&gt;"",$N77,$J77))</f>
        <v/>
      </c>
      <c r="R77" s="35" t="str">
        <f aca="false">IF(OR($P77="",$Q77=""),"",INDEX(BookRate,72)*$P77*(5-MATCH($Q77,{"Q1";"Q2";"Q3";"Q4"},0))/4+INDEX(BookOneOff,72)*$P77)</f>
        <v/>
      </c>
      <c r="S77" s="35" t="str">
        <f aca="false">IF($P77="","",INDEX(BookRate,72)*$P77)</f>
        <v/>
      </c>
      <c r="T77" s="35" t="str">
        <f aca="false">IF($R77="","",$R77-$K77)</f>
        <v/>
      </c>
      <c r="U77" s="35" t="str">
        <f aca="false">IF(N($P77)&lt;=0,"",COUNTIF($P$6:$P77,"&gt;0"))</f>
        <v/>
      </c>
    </row>
    <row r="78" customFormat="false" ht="15" hidden="false" customHeight="false" outlineLevel="0" collapsed="false">
      <c r="A78" s="40" t="str">
        <f aca="false">IF(INDEX(BookTitle,73)="","",INDEX(BookGroup,73))</f>
        <v/>
      </c>
      <c r="B78" s="40" t="str">
        <f aca="false">IF(INDEX(BookTitle,73)="","",INDEX(BookRef,73))</f>
        <v/>
      </c>
      <c r="C78" s="40" t="str">
        <f aca="false">IF(INDEX(BookTitle,73)="","",INDEX(BookDivision,73))</f>
        <v/>
      </c>
      <c r="D78" s="40" t="str">
        <f aca="false">IF(INDEX(BookTitle,73)="","",INDEX(BookUnit,73))</f>
        <v/>
      </c>
      <c r="E78" s="40" t="str">
        <f aca="false">IF(INDEX(BookTitle,73)="","",INDEX(BookTitle,73))</f>
        <v/>
      </c>
      <c r="F78" s="40" t="str">
        <f aca="false">IF(INDEX(BookTitle,73)="","",INDEX(BookLevel,73))</f>
        <v/>
      </c>
      <c r="G78" s="40" t="str">
        <f aca="false">IF(INDEX(BookTitle,73)="","",INDEX(BookCategory,73))</f>
        <v/>
      </c>
      <c r="H78" s="40" t="str">
        <f aca="false">IF(INDEX(BookTitle,73)="","",INDEX(BookRank,73))</f>
        <v/>
      </c>
      <c r="I78" s="41" t="str">
        <f aca="false">IF(INDEX(BookTitle,73)="","",INDEX(BookTotal,73))</f>
        <v/>
      </c>
      <c r="J78" s="0" t="str">
        <f aca="false">IF($I78="","",IF(INDEX(BookQ1,73)&gt;0,"Q1",IF(INDEX(BookQ2,73)&gt;0,"Q2",IF(INDEX(BookQ3,73)&gt;0,"Q3",IF(INDEX(BookQ4,73)&gt;0,"Q4","")))))</f>
        <v/>
      </c>
      <c r="K78" s="42" t="str">
        <f aca="false">IF(INDEX(BookTitle,73)="","",INDEX(BookInYear,73))</f>
        <v/>
      </c>
      <c r="L78" s="19"/>
      <c r="M78" s="39"/>
      <c r="N78" s="19"/>
      <c r="O78" s="19"/>
      <c r="P78" s="43" t="str">
        <f aca="false">IF($E78="","",IF($L78="Decline",0,IF($L78="Approve fewer",IF($M78="","",$M78),IF($L78="","",$I78))))</f>
        <v/>
      </c>
      <c r="Q78" s="34" t="str">
        <f aca="false">IF($P78="","",IF($N78&lt;&gt;"",$N78,$J78))</f>
        <v/>
      </c>
      <c r="R78" s="35" t="str">
        <f aca="false">IF(OR($P78="",$Q78=""),"",INDEX(BookRate,73)*$P78*(5-MATCH($Q78,{"Q1";"Q2";"Q3";"Q4"},0))/4+INDEX(BookOneOff,73)*$P78)</f>
        <v/>
      </c>
      <c r="S78" s="35" t="str">
        <f aca="false">IF($P78="","",INDEX(BookRate,73)*$P78)</f>
        <v/>
      </c>
      <c r="T78" s="35" t="str">
        <f aca="false">IF($R78="","",$R78-$K78)</f>
        <v/>
      </c>
      <c r="U78" s="35" t="str">
        <f aca="false">IF(N($P78)&lt;=0,"",COUNTIF($P$6:$P78,"&gt;0"))</f>
        <v/>
      </c>
    </row>
    <row r="79" customFormat="false" ht="15" hidden="false" customHeight="false" outlineLevel="0" collapsed="false">
      <c r="A79" s="40" t="str">
        <f aca="false">IF(INDEX(BookTitle,74)="","",INDEX(BookGroup,74))</f>
        <v/>
      </c>
      <c r="B79" s="40" t="str">
        <f aca="false">IF(INDEX(BookTitle,74)="","",INDEX(BookRef,74))</f>
        <v/>
      </c>
      <c r="C79" s="40" t="str">
        <f aca="false">IF(INDEX(BookTitle,74)="","",INDEX(BookDivision,74))</f>
        <v/>
      </c>
      <c r="D79" s="40" t="str">
        <f aca="false">IF(INDEX(BookTitle,74)="","",INDEX(BookUnit,74))</f>
        <v/>
      </c>
      <c r="E79" s="40" t="str">
        <f aca="false">IF(INDEX(BookTitle,74)="","",INDEX(BookTitle,74))</f>
        <v/>
      </c>
      <c r="F79" s="40" t="str">
        <f aca="false">IF(INDEX(BookTitle,74)="","",INDEX(BookLevel,74))</f>
        <v/>
      </c>
      <c r="G79" s="40" t="str">
        <f aca="false">IF(INDEX(BookTitle,74)="","",INDEX(BookCategory,74))</f>
        <v/>
      </c>
      <c r="H79" s="40" t="str">
        <f aca="false">IF(INDEX(BookTitle,74)="","",INDEX(BookRank,74))</f>
        <v/>
      </c>
      <c r="I79" s="41" t="str">
        <f aca="false">IF(INDEX(BookTitle,74)="","",INDEX(BookTotal,74))</f>
        <v/>
      </c>
      <c r="J79" s="0" t="str">
        <f aca="false">IF($I79="","",IF(INDEX(BookQ1,74)&gt;0,"Q1",IF(INDEX(BookQ2,74)&gt;0,"Q2",IF(INDEX(BookQ3,74)&gt;0,"Q3",IF(INDEX(BookQ4,74)&gt;0,"Q4","")))))</f>
        <v/>
      </c>
      <c r="K79" s="42" t="str">
        <f aca="false">IF(INDEX(BookTitle,74)="","",INDEX(BookInYear,74))</f>
        <v/>
      </c>
      <c r="L79" s="19"/>
      <c r="M79" s="39"/>
      <c r="N79" s="19"/>
      <c r="O79" s="19"/>
      <c r="P79" s="43" t="str">
        <f aca="false">IF($E79="","",IF($L79="Decline",0,IF($L79="Approve fewer",IF($M79="","",$M79),IF($L79="","",$I79))))</f>
        <v/>
      </c>
      <c r="Q79" s="34" t="str">
        <f aca="false">IF($P79="","",IF($N79&lt;&gt;"",$N79,$J79))</f>
        <v/>
      </c>
      <c r="R79" s="35" t="str">
        <f aca="false">IF(OR($P79="",$Q79=""),"",INDEX(BookRate,74)*$P79*(5-MATCH($Q79,{"Q1";"Q2";"Q3";"Q4"},0))/4+INDEX(BookOneOff,74)*$P79)</f>
        <v/>
      </c>
      <c r="S79" s="35" t="str">
        <f aca="false">IF($P79="","",INDEX(BookRate,74)*$P79)</f>
        <v/>
      </c>
      <c r="T79" s="35" t="str">
        <f aca="false">IF($R79="","",$R79-$K79)</f>
        <v/>
      </c>
      <c r="U79" s="35" t="str">
        <f aca="false">IF(N($P79)&lt;=0,"",COUNTIF($P$6:$P79,"&gt;0"))</f>
        <v/>
      </c>
    </row>
    <row r="80" customFormat="false" ht="15" hidden="false" customHeight="false" outlineLevel="0" collapsed="false">
      <c r="A80" s="40" t="str">
        <f aca="false">IF(INDEX(BookTitle,75)="","",INDEX(BookGroup,75))</f>
        <v/>
      </c>
      <c r="B80" s="40" t="str">
        <f aca="false">IF(INDEX(BookTitle,75)="","",INDEX(BookRef,75))</f>
        <v/>
      </c>
      <c r="C80" s="40" t="str">
        <f aca="false">IF(INDEX(BookTitle,75)="","",INDEX(BookDivision,75))</f>
        <v/>
      </c>
      <c r="D80" s="40" t="str">
        <f aca="false">IF(INDEX(BookTitle,75)="","",INDEX(BookUnit,75))</f>
        <v/>
      </c>
      <c r="E80" s="40" t="str">
        <f aca="false">IF(INDEX(BookTitle,75)="","",INDEX(BookTitle,75))</f>
        <v/>
      </c>
      <c r="F80" s="40" t="str">
        <f aca="false">IF(INDEX(BookTitle,75)="","",INDEX(BookLevel,75))</f>
        <v/>
      </c>
      <c r="G80" s="40" t="str">
        <f aca="false">IF(INDEX(BookTitle,75)="","",INDEX(BookCategory,75))</f>
        <v/>
      </c>
      <c r="H80" s="40" t="str">
        <f aca="false">IF(INDEX(BookTitle,75)="","",INDEX(BookRank,75))</f>
        <v/>
      </c>
      <c r="I80" s="41" t="str">
        <f aca="false">IF(INDEX(BookTitle,75)="","",INDEX(BookTotal,75))</f>
        <v/>
      </c>
      <c r="J80" s="0" t="str">
        <f aca="false">IF($I80="","",IF(INDEX(BookQ1,75)&gt;0,"Q1",IF(INDEX(BookQ2,75)&gt;0,"Q2",IF(INDEX(BookQ3,75)&gt;0,"Q3",IF(INDEX(BookQ4,75)&gt;0,"Q4","")))))</f>
        <v/>
      </c>
      <c r="K80" s="42" t="str">
        <f aca="false">IF(INDEX(BookTitle,75)="","",INDEX(BookInYear,75))</f>
        <v/>
      </c>
      <c r="L80" s="19"/>
      <c r="M80" s="39"/>
      <c r="N80" s="19"/>
      <c r="O80" s="19"/>
      <c r="P80" s="43" t="str">
        <f aca="false">IF($E80="","",IF($L80="Decline",0,IF($L80="Approve fewer",IF($M80="","",$M80),IF($L80="","",$I80))))</f>
        <v/>
      </c>
      <c r="Q80" s="34" t="str">
        <f aca="false">IF($P80="","",IF($N80&lt;&gt;"",$N80,$J80))</f>
        <v/>
      </c>
      <c r="R80" s="35" t="str">
        <f aca="false">IF(OR($P80="",$Q80=""),"",INDEX(BookRate,75)*$P80*(5-MATCH($Q80,{"Q1";"Q2";"Q3";"Q4"},0))/4+INDEX(BookOneOff,75)*$P80)</f>
        <v/>
      </c>
      <c r="S80" s="35" t="str">
        <f aca="false">IF($P80="","",INDEX(BookRate,75)*$P80)</f>
        <v/>
      </c>
      <c r="T80" s="35" t="str">
        <f aca="false">IF($R80="","",$R80-$K80)</f>
        <v/>
      </c>
      <c r="U80" s="35" t="str">
        <f aca="false">IF(N($P80)&lt;=0,"",COUNTIF($P$6:$P80,"&gt;0"))</f>
        <v/>
      </c>
    </row>
    <row r="81" customFormat="false" ht="15" hidden="false" customHeight="false" outlineLevel="0" collapsed="false">
      <c r="A81" s="40" t="str">
        <f aca="false">IF(INDEX(BookTitle,76)="","",INDEX(BookGroup,76))</f>
        <v/>
      </c>
      <c r="B81" s="40" t="str">
        <f aca="false">IF(INDEX(BookTitle,76)="","",INDEX(BookRef,76))</f>
        <v/>
      </c>
      <c r="C81" s="40" t="str">
        <f aca="false">IF(INDEX(BookTitle,76)="","",INDEX(BookDivision,76))</f>
        <v/>
      </c>
      <c r="D81" s="40" t="str">
        <f aca="false">IF(INDEX(BookTitle,76)="","",INDEX(BookUnit,76))</f>
        <v/>
      </c>
      <c r="E81" s="40" t="str">
        <f aca="false">IF(INDEX(BookTitle,76)="","",INDEX(BookTitle,76))</f>
        <v/>
      </c>
      <c r="F81" s="40" t="str">
        <f aca="false">IF(INDEX(BookTitle,76)="","",INDEX(BookLevel,76))</f>
        <v/>
      </c>
      <c r="G81" s="40" t="str">
        <f aca="false">IF(INDEX(BookTitle,76)="","",INDEX(BookCategory,76))</f>
        <v/>
      </c>
      <c r="H81" s="40" t="str">
        <f aca="false">IF(INDEX(BookTitle,76)="","",INDEX(BookRank,76))</f>
        <v/>
      </c>
      <c r="I81" s="41" t="str">
        <f aca="false">IF(INDEX(BookTitle,76)="","",INDEX(BookTotal,76))</f>
        <v/>
      </c>
      <c r="J81" s="0" t="str">
        <f aca="false">IF($I81="","",IF(INDEX(BookQ1,76)&gt;0,"Q1",IF(INDEX(BookQ2,76)&gt;0,"Q2",IF(INDEX(BookQ3,76)&gt;0,"Q3",IF(INDEX(BookQ4,76)&gt;0,"Q4","")))))</f>
        <v/>
      </c>
      <c r="K81" s="42" t="str">
        <f aca="false">IF(INDEX(BookTitle,76)="","",INDEX(BookInYear,76))</f>
        <v/>
      </c>
      <c r="L81" s="19"/>
      <c r="M81" s="39"/>
      <c r="N81" s="19"/>
      <c r="O81" s="19"/>
      <c r="P81" s="43" t="str">
        <f aca="false">IF($E81="","",IF($L81="Decline",0,IF($L81="Approve fewer",IF($M81="","",$M81),IF($L81="","",$I81))))</f>
        <v/>
      </c>
      <c r="Q81" s="34" t="str">
        <f aca="false">IF($P81="","",IF($N81&lt;&gt;"",$N81,$J81))</f>
        <v/>
      </c>
      <c r="R81" s="35" t="str">
        <f aca="false">IF(OR($P81="",$Q81=""),"",INDEX(BookRate,76)*$P81*(5-MATCH($Q81,{"Q1";"Q2";"Q3";"Q4"},0))/4+INDEX(BookOneOff,76)*$P81)</f>
        <v/>
      </c>
      <c r="S81" s="35" t="str">
        <f aca="false">IF($P81="","",INDEX(BookRate,76)*$P81)</f>
        <v/>
      </c>
      <c r="T81" s="35" t="str">
        <f aca="false">IF($R81="","",$R81-$K81)</f>
        <v/>
      </c>
      <c r="U81" s="35" t="str">
        <f aca="false">IF(N($P81)&lt;=0,"",COUNTIF($P$6:$P81,"&gt;0"))</f>
        <v/>
      </c>
    </row>
    <row r="82" customFormat="false" ht="15" hidden="false" customHeight="false" outlineLevel="0" collapsed="false">
      <c r="A82" s="40" t="str">
        <f aca="false">IF(INDEX(BookTitle,77)="","",INDEX(BookGroup,77))</f>
        <v/>
      </c>
      <c r="B82" s="40" t="str">
        <f aca="false">IF(INDEX(BookTitle,77)="","",INDEX(BookRef,77))</f>
        <v/>
      </c>
      <c r="C82" s="40" t="str">
        <f aca="false">IF(INDEX(BookTitle,77)="","",INDEX(BookDivision,77))</f>
        <v/>
      </c>
      <c r="D82" s="40" t="str">
        <f aca="false">IF(INDEX(BookTitle,77)="","",INDEX(BookUnit,77))</f>
        <v/>
      </c>
      <c r="E82" s="40" t="str">
        <f aca="false">IF(INDEX(BookTitle,77)="","",INDEX(BookTitle,77))</f>
        <v/>
      </c>
      <c r="F82" s="40" t="str">
        <f aca="false">IF(INDEX(BookTitle,77)="","",INDEX(BookLevel,77))</f>
        <v/>
      </c>
      <c r="G82" s="40" t="str">
        <f aca="false">IF(INDEX(BookTitle,77)="","",INDEX(BookCategory,77))</f>
        <v/>
      </c>
      <c r="H82" s="40" t="str">
        <f aca="false">IF(INDEX(BookTitle,77)="","",INDEX(BookRank,77))</f>
        <v/>
      </c>
      <c r="I82" s="41" t="str">
        <f aca="false">IF(INDEX(BookTitle,77)="","",INDEX(BookTotal,77))</f>
        <v/>
      </c>
      <c r="J82" s="0" t="str">
        <f aca="false">IF($I82="","",IF(INDEX(BookQ1,77)&gt;0,"Q1",IF(INDEX(BookQ2,77)&gt;0,"Q2",IF(INDEX(BookQ3,77)&gt;0,"Q3",IF(INDEX(BookQ4,77)&gt;0,"Q4","")))))</f>
        <v/>
      </c>
      <c r="K82" s="42" t="str">
        <f aca="false">IF(INDEX(BookTitle,77)="","",INDEX(BookInYear,77))</f>
        <v/>
      </c>
      <c r="L82" s="19"/>
      <c r="M82" s="39"/>
      <c r="N82" s="19"/>
      <c r="O82" s="19"/>
      <c r="P82" s="43" t="str">
        <f aca="false">IF($E82="","",IF($L82="Decline",0,IF($L82="Approve fewer",IF($M82="","",$M82),IF($L82="","",$I82))))</f>
        <v/>
      </c>
      <c r="Q82" s="34" t="str">
        <f aca="false">IF($P82="","",IF($N82&lt;&gt;"",$N82,$J82))</f>
        <v/>
      </c>
      <c r="R82" s="35" t="str">
        <f aca="false">IF(OR($P82="",$Q82=""),"",INDEX(BookRate,77)*$P82*(5-MATCH($Q82,{"Q1";"Q2";"Q3";"Q4"},0))/4+INDEX(BookOneOff,77)*$P82)</f>
        <v/>
      </c>
      <c r="S82" s="35" t="str">
        <f aca="false">IF($P82="","",INDEX(BookRate,77)*$P82)</f>
        <v/>
      </c>
      <c r="T82" s="35" t="str">
        <f aca="false">IF($R82="","",$R82-$K82)</f>
        <v/>
      </c>
      <c r="U82" s="35" t="str">
        <f aca="false">IF(N($P82)&lt;=0,"",COUNTIF($P$6:$P82,"&gt;0"))</f>
        <v/>
      </c>
    </row>
    <row r="83" customFormat="false" ht="15" hidden="false" customHeight="false" outlineLevel="0" collapsed="false">
      <c r="A83" s="40" t="str">
        <f aca="false">IF(INDEX(BookTitle,78)="","",INDEX(BookGroup,78))</f>
        <v/>
      </c>
      <c r="B83" s="40" t="str">
        <f aca="false">IF(INDEX(BookTitle,78)="","",INDEX(BookRef,78))</f>
        <v/>
      </c>
      <c r="C83" s="40" t="str">
        <f aca="false">IF(INDEX(BookTitle,78)="","",INDEX(BookDivision,78))</f>
        <v/>
      </c>
      <c r="D83" s="40" t="str">
        <f aca="false">IF(INDEX(BookTitle,78)="","",INDEX(BookUnit,78))</f>
        <v/>
      </c>
      <c r="E83" s="40" t="str">
        <f aca="false">IF(INDEX(BookTitle,78)="","",INDEX(BookTitle,78))</f>
        <v/>
      </c>
      <c r="F83" s="40" t="str">
        <f aca="false">IF(INDEX(BookTitle,78)="","",INDEX(BookLevel,78))</f>
        <v/>
      </c>
      <c r="G83" s="40" t="str">
        <f aca="false">IF(INDEX(BookTitle,78)="","",INDEX(BookCategory,78))</f>
        <v/>
      </c>
      <c r="H83" s="40" t="str">
        <f aca="false">IF(INDEX(BookTitle,78)="","",INDEX(BookRank,78))</f>
        <v/>
      </c>
      <c r="I83" s="41" t="str">
        <f aca="false">IF(INDEX(BookTitle,78)="","",INDEX(BookTotal,78))</f>
        <v/>
      </c>
      <c r="J83" s="0" t="str">
        <f aca="false">IF($I83="","",IF(INDEX(BookQ1,78)&gt;0,"Q1",IF(INDEX(BookQ2,78)&gt;0,"Q2",IF(INDEX(BookQ3,78)&gt;0,"Q3",IF(INDEX(BookQ4,78)&gt;0,"Q4","")))))</f>
        <v/>
      </c>
      <c r="K83" s="42" t="str">
        <f aca="false">IF(INDEX(BookTitle,78)="","",INDEX(BookInYear,78))</f>
        <v/>
      </c>
      <c r="L83" s="19"/>
      <c r="M83" s="39"/>
      <c r="N83" s="19"/>
      <c r="O83" s="19"/>
      <c r="P83" s="43" t="str">
        <f aca="false">IF($E83="","",IF($L83="Decline",0,IF($L83="Approve fewer",IF($M83="","",$M83),IF($L83="","",$I83))))</f>
        <v/>
      </c>
      <c r="Q83" s="34" t="str">
        <f aca="false">IF($P83="","",IF($N83&lt;&gt;"",$N83,$J83))</f>
        <v/>
      </c>
      <c r="R83" s="35" t="str">
        <f aca="false">IF(OR($P83="",$Q83=""),"",INDEX(BookRate,78)*$P83*(5-MATCH($Q83,{"Q1";"Q2";"Q3";"Q4"},0))/4+INDEX(BookOneOff,78)*$P83)</f>
        <v/>
      </c>
      <c r="S83" s="35" t="str">
        <f aca="false">IF($P83="","",INDEX(BookRate,78)*$P83)</f>
        <v/>
      </c>
      <c r="T83" s="35" t="str">
        <f aca="false">IF($R83="","",$R83-$K83)</f>
        <v/>
      </c>
      <c r="U83" s="35" t="str">
        <f aca="false">IF(N($P83)&lt;=0,"",COUNTIF($P$6:$P83,"&gt;0"))</f>
        <v/>
      </c>
    </row>
    <row r="84" customFormat="false" ht="15" hidden="false" customHeight="false" outlineLevel="0" collapsed="false">
      <c r="A84" s="40" t="str">
        <f aca="false">IF(INDEX(BookTitle,79)="","",INDEX(BookGroup,79))</f>
        <v/>
      </c>
      <c r="B84" s="40" t="str">
        <f aca="false">IF(INDEX(BookTitle,79)="","",INDEX(BookRef,79))</f>
        <v/>
      </c>
      <c r="C84" s="40" t="str">
        <f aca="false">IF(INDEX(BookTitle,79)="","",INDEX(BookDivision,79))</f>
        <v/>
      </c>
      <c r="D84" s="40" t="str">
        <f aca="false">IF(INDEX(BookTitle,79)="","",INDEX(BookUnit,79))</f>
        <v/>
      </c>
      <c r="E84" s="40" t="str">
        <f aca="false">IF(INDEX(BookTitle,79)="","",INDEX(BookTitle,79))</f>
        <v/>
      </c>
      <c r="F84" s="40" t="str">
        <f aca="false">IF(INDEX(BookTitle,79)="","",INDEX(BookLevel,79))</f>
        <v/>
      </c>
      <c r="G84" s="40" t="str">
        <f aca="false">IF(INDEX(BookTitle,79)="","",INDEX(BookCategory,79))</f>
        <v/>
      </c>
      <c r="H84" s="40" t="str">
        <f aca="false">IF(INDEX(BookTitle,79)="","",INDEX(BookRank,79))</f>
        <v/>
      </c>
      <c r="I84" s="41" t="str">
        <f aca="false">IF(INDEX(BookTitle,79)="","",INDEX(BookTotal,79))</f>
        <v/>
      </c>
      <c r="J84" s="0" t="str">
        <f aca="false">IF($I84="","",IF(INDEX(BookQ1,79)&gt;0,"Q1",IF(INDEX(BookQ2,79)&gt;0,"Q2",IF(INDEX(BookQ3,79)&gt;0,"Q3",IF(INDEX(BookQ4,79)&gt;0,"Q4","")))))</f>
        <v/>
      </c>
      <c r="K84" s="42" t="str">
        <f aca="false">IF(INDEX(BookTitle,79)="","",INDEX(BookInYear,79))</f>
        <v/>
      </c>
      <c r="L84" s="19"/>
      <c r="M84" s="39"/>
      <c r="N84" s="19"/>
      <c r="O84" s="19"/>
      <c r="P84" s="43" t="str">
        <f aca="false">IF($E84="","",IF($L84="Decline",0,IF($L84="Approve fewer",IF($M84="","",$M84),IF($L84="","",$I84))))</f>
        <v/>
      </c>
      <c r="Q84" s="34" t="str">
        <f aca="false">IF($P84="","",IF($N84&lt;&gt;"",$N84,$J84))</f>
        <v/>
      </c>
      <c r="R84" s="35" t="str">
        <f aca="false">IF(OR($P84="",$Q84=""),"",INDEX(BookRate,79)*$P84*(5-MATCH($Q84,{"Q1";"Q2";"Q3";"Q4"},0))/4+INDEX(BookOneOff,79)*$P84)</f>
        <v/>
      </c>
      <c r="S84" s="35" t="str">
        <f aca="false">IF($P84="","",INDEX(BookRate,79)*$P84)</f>
        <v/>
      </c>
      <c r="T84" s="35" t="str">
        <f aca="false">IF($R84="","",$R84-$K84)</f>
        <v/>
      </c>
      <c r="U84" s="35" t="str">
        <f aca="false">IF(N($P84)&lt;=0,"",COUNTIF($P$6:$P84,"&gt;0"))</f>
        <v/>
      </c>
    </row>
    <row r="85" customFormat="false" ht="15" hidden="false" customHeight="false" outlineLevel="0" collapsed="false">
      <c r="A85" s="40" t="str">
        <f aca="false">IF(INDEX(BookTitle,80)="","",INDEX(BookGroup,80))</f>
        <v/>
      </c>
      <c r="B85" s="40" t="str">
        <f aca="false">IF(INDEX(BookTitle,80)="","",INDEX(BookRef,80))</f>
        <v/>
      </c>
      <c r="C85" s="40" t="str">
        <f aca="false">IF(INDEX(BookTitle,80)="","",INDEX(BookDivision,80))</f>
        <v/>
      </c>
      <c r="D85" s="40" t="str">
        <f aca="false">IF(INDEX(BookTitle,80)="","",INDEX(BookUnit,80))</f>
        <v/>
      </c>
      <c r="E85" s="40" t="str">
        <f aca="false">IF(INDEX(BookTitle,80)="","",INDEX(BookTitle,80))</f>
        <v/>
      </c>
      <c r="F85" s="40" t="str">
        <f aca="false">IF(INDEX(BookTitle,80)="","",INDEX(BookLevel,80))</f>
        <v/>
      </c>
      <c r="G85" s="40" t="str">
        <f aca="false">IF(INDEX(BookTitle,80)="","",INDEX(BookCategory,80))</f>
        <v/>
      </c>
      <c r="H85" s="40" t="str">
        <f aca="false">IF(INDEX(BookTitle,80)="","",INDEX(BookRank,80))</f>
        <v/>
      </c>
      <c r="I85" s="41" t="str">
        <f aca="false">IF(INDEX(BookTitle,80)="","",INDEX(BookTotal,80))</f>
        <v/>
      </c>
      <c r="J85" s="0" t="str">
        <f aca="false">IF($I85="","",IF(INDEX(BookQ1,80)&gt;0,"Q1",IF(INDEX(BookQ2,80)&gt;0,"Q2",IF(INDEX(BookQ3,80)&gt;0,"Q3",IF(INDEX(BookQ4,80)&gt;0,"Q4","")))))</f>
        <v/>
      </c>
      <c r="K85" s="42" t="str">
        <f aca="false">IF(INDEX(BookTitle,80)="","",INDEX(BookInYear,80))</f>
        <v/>
      </c>
      <c r="L85" s="19"/>
      <c r="M85" s="39"/>
      <c r="N85" s="19"/>
      <c r="O85" s="19"/>
      <c r="P85" s="43" t="str">
        <f aca="false">IF($E85="","",IF($L85="Decline",0,IF($L85="Approve fewer",IF($M85="","",$M85),IF($L85="","",$I85))))</f>
        <v/>
      </c>
      <c r="Q85" s="34" t="str">
        <f aca="false">IF($P85="","",IF($N85&lt;&gt;"",$N85,$J85))</f>
        <v/>
      </c>
      <c r="R85" s="35" t="str">
        <f aca="false">IF(OR($P85="",$Q85=""),"",INDEX(BookRate,80)*$P85*(5-MATCH($Q85,{"Q1";"Q2";"Q3";"Q4"},0))/4+INDEX(BookOneOff,80)*$P85)</f>
        <v/>
      </c>
      <c r="S85" s="35" t="str">
        <f aca="false">IF($P85="","",INDEX(BookRate,80)*$P85)</f>
        <v/>
      </c>
      <c r="T85" s="35" t="str">
        <f aca="false">IF($R85="","",$R85-$K85)</f>
        <v/>
      </c>
      <c r="U85" s="35" t="str">
        <f aca="false">IF(N($P85)&lt;=0,"",COUNTIF($P$6:$P85,"&gt;0"))</f>
        <v/>
      </c>
    </row>
    <row r="86" customFormat="false" ht="15" hidden="false" customHeight="false" outlineLevel="0" collapsed="false">
      <c r="A86" s="40" t="str">
        <f aca="false">IF(INDEX(BookTitle,81)="","",INDEX(BookGroup,81))</f>
        <v/>
      </c>
      <c r="B86" s="40" t="str">
        <f aca="false">IF(INDEX(BookTitle,81)="","",INDEX(BookRef,81))</f>
        <v/>
      </c>
      <c r="C86" s="40" t="str">
        <f aca="false">IF(INDEX(BookTitle,81)="","",INDEX(BookDivision,81))</f>
        <v/>
      </c>
      <c r="D86" s="40" t="str">
        <f aca="false">IF(INDEX(BookTitle,81)="","",INDEX(BookUnit,81))</f>
        <v/>
      </c>
      <c r="E86" s="40" t="str">
        <f aca="false">IF(INDEX(BookTitle,81)="","",INDEX(BookTitle,81))</f>
        <v/>
      </c>
      <c r="F86" s="40" t="str">
        <f aca="false">IF(INDEX(BookTitle,81)="","",INDEX(BookLevel,81))</f>
        <v/>
      </c>
      <c r="G86" s="40" t="str">
        <f aca="false">IF(INDEX(BookTitle,81)="","",INDEX(BookCategory,81))</f>
        <v/>
      </c>
      <c r="H86" s="40" t="str">
        <f aca="false">IF(INDEX(BookTitle,81)="","",INDEX(BookRank,81))</f>
        <v/>
      </c>
      <c r="I86" s="41" t="str">
        <f aca="false">IF(INDEX(BookTitle,81)="","",INDEX(BookTotal,81))</f>
        <v/>
      </c>
      <c r="J86" s="0" t="str">
        <f aca="false">IF($I86="","",IF(INDEX(BookQ1,81)&gt;0,"Q1",IF(INDEX(BookQ2,81)&gt;0,"Q2",IF(INDEX(BookQ3,81)&gt;0,"Q3",IF(INDEX(BookQ4,81)&gt;0,"Q4","")))))</f>
        <v/>
      </c>
      <c r="K86" s="42" t="str">
        <f aca="false">IF(INDEX(BookTitle,81)="","",INDEX(BookInYear,81))</f>
        <v/>
      </c>
      <c r="L86" s="19"/>
      <c r="M86" s="39"/>
      <c r="N86" s="19"/>
      <c r="O86" s="19"/>
      <c r="P86" s="43" t="str">
        <f aca="false">IF($E86="","",IF($L86="Decline",0,IF($L86="Approve fewer",IF($M86="","",$M86),IF($L86="","",$I86))))</f>
        <v/>
      </c>
      <c r="Q86" s="34" t="str">
        <f aca="false">IF($P86="","",IF($N86&lt;&gt;"",$N86,$J86))</f>
        <v/>
      </c>
      <c r="R86" s="35" t="str">
        <f aca="false">IF(OR($P86="",$Q86=""),"",INDEX(BookRate,81)*$P86*(5-MATCH($Q86,{"Q1";"Q2";"Q3";"Q4"},0))/4+INDEX(BookOneOff,81)*$P86)</f>
        <v/>
      </c>
      <c r="S86" s="35" t="str">
        <f aca="false">IF($P86="","",INDEX(BookRate,81)*$P86)</f>
        <v/>
      </c>
      <c r="T86" s="35" t="str">
        <f aca="false">IF($R86="","",$R86-$K86)</f>
        <v/>
      </c>
      <c r="U86" s="35" t="str">
        <f aca="false">IF(N($P86)&lt;=0,"",COUNTIF($P$6:$P86,"&gt;0"))</f>
        <v/>
      </c>
    </row>
    <row r="87" customFormat="false" ht="15" hidden="false" customHeight="false" outlineLevel="0" collapsed="false">
      <c r="A87" s="40" t="str">
        <f aca="false">IF(INDEX(BookTitle,82)="","",INDEX(BookGroup,82))</f>
        <v/>
      </c>
      <c r="B87" s="40" t="str">
        <f aca="false">IF(INDEX(BookTitle,82)="","",INDEX(BookRef,82))</f>
        <v/>
      </c>
      <c r="C87" s="40" t="str">
        <f aca="false">IF(INDEX(BookTitle,82)="","",INDEX(BookDivision,82))</f>
        <v/>
      </c>
      <c r="D87" s="40" t="str">
        <f aca="false">IF(INDEX(BookTitle,82)="","",INDEX(BookUnit,82))</f>
        <v/>
      </c>
      <c r="E87" s="40" t="str">
        <f aca="false">IF(INDEX(BookTitle,82)="","",INDEX(BookTitle,82))</f>
        <v/>
      </c>
      <c r="F87" s="40" t="str">
        <f aca="false">IF(INDEX(BookTitle,82)="","",INDEX(BookLevel,82))</f>
        <v/>
      </c>
      <c r="G87" s="40" t="str">
        <f aca="false">IF(INDEX(BookTitle,82)="","",INDEX(BookCategory,82))</f>
        <v/>
      </c>
      <c r="H87" s="40" t="str">
        <f aca="false">IF(INDEX(BookTitle,82)="","",INDEX(BookRank,82))</f>
        <v/>
      </c>
      <c r="I87" s="41" t="str">
        <f aca="false">IF(INDEX(BookTitle,82)="","",INDEX(BookTotal,82))</f>
        <v/>
      </c>
      <c r="J87" s="0" t="str">
        <f aca="false">IF($I87="","",IF(INDEX(BookQ1,82)&gt;0,"Q1",IF(INDEX(BookQ2,82)&gt;0,"Q2",IF(INDEX(BookQ3,82)&gt;0,"Q3",IF(INDEX(BookQ4,82)&gt;0,"Q4","")))))</f>
        <v/>
      </c>
      <c r="K87" s="42" t="str">
        <f aca="false">IF(INDEX(BookTitle,82)="","",INDEX(BookInYear,82))</f>
        <v/>
      </c>
      <c r="L87" s="19"/>
      <c r="M87" s="39"/>
      <c r="N87" s="19"/>
      <c r="O87" s="19"/>
      <c r="P87" s="43" t="str">
        <f aca="false">IF($E87="","",IF($L87="Decline",0,IF($L87="Approve fewer",IF($M87="","",$M87),IF($L87="","",$I87))))</f>
        <v/>
      </c>
      <c r="Q87" s="34" t="str">
        <f aca="false">IF($P87="","",IF($N87&lt;&gt;"",$N87,$J87))</f>
        <v/>
      </c>
      <c r="R87" s="35" t="str">
        <f aca="false">IF(OR($P87="",$Q87=""),"",INDEX(BookRate,82)*$P87*(5-MATCH($Q87,{"Q1";"Q2";"Q3";"Q4"},0))/4+INDEX(BookOneOff,82)*$P87)</f>
        <v/>
      </c>
      <c r="S87" s="35" t="str">
        <f aca="false">IF($P87="","",INDEX(BookRate,82)*$P87)</f>
        <v/>
      </c>
      <c r="T87" s="35" t="str">
        <f aca="false">IF($R87="","",$R87-$K87)</f>
        <v/>
      </c>
      <c r="U87" s="35" t="str">
        <f aca="false">IF(N($P87)&lt;=0,"",COUNTIF($P$6:$P87,"&gt;0"))</f>
        <v/>
      </c>
    </row>
    <row r="88" customFormat="false" ht="15" hidden="false" customHeight="false" outlineLevel="0" collapsed="false">
      <c r="A88" s="40" t="str">
        <f aca="false">IF(INDEX(BookTitle,83)="","",INDEX(BookGroup,83))</f>
        <v/>
      </c>
      <c r="B88" s="40" t="str">
        <f aca="false">IF(INDEX(BookTitle,83)="","",INDEX(BookRef,83))</f>
        <v/>
      </c>
      <c r="C88" s="40" t="str">
        <f aca="false">IF(INDEX(BookTitle,83)="","",INDEX(BookDivision,83))</f>
        <v/>
      </c>
      <c r="D88" s="40" t="str">
        <f aca="false">IF(INDEX(BookTitle,83)="","",INDEX(BookUnit,83))</f>
        <v/>
      </c>
      <c r="E88" s="40" t="str">
        <f aca="false">IF(INDEX(BookTitle,83)="","",INDEX(BookTitle,83))</f>
        <v/>
      </c>
      <c r="F88" s="40" t="str">
        <f aca="false">IF(INDEX(BookTitle,83)="","",INDEX(BookLevel,83))</f>
        <v/>
      </c>
      <c r="G88" s="40" t="str">
        <f aca="false">IF(INDEX(BookTitle,83)="","",INDEX(BookCategory,83))</f>
        <v/>
      </c>
      <c r="H88" s="40" t="str">
        <f aca="false">IF(INDEX(BookTitle,83)="","",INDEX(BookRank,83))</f>
        <v/>
      </c>
      <c r="I88" s="41" t="str">
        <f aca="false">IF(INDEX(BookTitle,83)="","",INDEX(BookTotal,83))</f>
        <v/>
      </c>
      <c r="J88" s="0" t="str">
        <f aca="false">IF($I88="","",IF(INDEX(BookQ1,83)&gt;0,"Q1",IF(INDEX(BookQ2,83)&gt;0,"Q2",IF(INDEX(BookQ3,83)&gt;0,"Q3",IF(INDEX(BookQ4,83)&gt;0,"Q4","")))))</f>
        <v/>
      </c>
      <c r="K88" s="42" t="str">
        <f aca="false">IF(INDEX(BookTitle,83)="","",INDEX(BookInYear,83))</f>
        <v/>
      </c>
      <c r="L88" s="19"/>
      <c r="M88" s="39"/>
      <c r="N88" s="19"/>
      <c r="O88" s="19"/>
      <c r="P88" s="43" t="str">
        <f aca="false">IF($E88="","",IF($L88="Decline",0,IF($L88="Approve fewer",IF($M88="","",$M88),IF($L88="","",$I88))))</f>
        <v/>
      </c>
      <c r="Q88" s="34" t="str">
        <f aca="false">IF($P88="","",IF($N88&lt;&gt;"",$N88,$J88))</f>
        <v/>
      </c>
      <c r="R88" s="35" t="str">
        <f aca="false">IF(OR($P88="",$Q88=""),"",INDEX(BookRate,83)*$P88*(5-MATCH($Q88,{"Q1";"Q2";"Q3";"Q4"},0))/4+INDEX(BookOneOff,83)*$P88)</f>
        <v/>
      </c>
      <c r="S88" s="35" t="str">
        <f aca="false">IF($P88="","",INDEX(BookRate,83)*$P88)</f>
        <v/>
      </c>
      <c r="T88" s="35" t="str">
        <f aca="false">IF($R88="","",$R88-$K88)</f>
        <v/>
      </c>
      <c r="U88" s="35" t="str">
        <f aca="false">IF(N($P88)&lt;=0,"",COUNTIF($P$6:$P88,"&gt;0"))</f>
        <v/>
      </c>
    </row>
    <row r="89" customFormat="false" ht="15" hidden="false" customHeight="false" outlineLevel="0" collapsed="false">
      <c r="A89" s="40" t="str">
        <f aca="false">IF(INDEX(BookTitle,84)="","",INDEX(BookGroup,84))</f>
        <v/>
      </c>
      <c r="B89" s="40" t="str">
        <f aca="false">IF(INDEX(BookTitle,84)="","",INDEX(BookRef,84))</f>
        <v/>
      </c>
      <c r="C89" s="40" t="str">
        <f aca="false">IF(INDEX(BookTitle,84)="","",INDEX(BookDivision,84))</f>
        <v/>
      </c>
      <c r="D89" s="40" t="str">
        <f aca="false">IF(INDEX(BookTitle,84)="","",INDEX(BookUnit,84))</f>
        <v/>
      </c>
      <c r="E89" s="40" t="str">
        <f aca="false">IF(INDEX(BookTitle,84)="","",INDEX(BookTitle,84))</f>
        <v/>
      </c>
      <c r="F89" s="40" t="str">
        <f aca="false">IF(INDEX(BookTitle,84)="","",INDEX(BookLevel,84))</f>
        <v/>
      </c>
      <c r="G89" s="40" t="str">
        <f aca="false">IF(INDEX(BookTitle,84)="","",INDEX(BookCategory,84))</f>
        <v/>
      </c>
      <c r="H89" s="40" t="str">
        <f aca="false">IF(INDEX(BookTitle,84)="","",INDEX(BookRank,84))</f>
        <v/>
      </c>
      <c r="I89" s="41" t="str">
        <f aca="false">IF(INDEX(BookTitle,84)="","",INDEX(BookTotal,84))</f>
        <v/>
      </c>
      <c r="J89" s="0" t="str">
        <f aca="false">IF($I89="","",IF(INDEX(BookQ1,84)&gt;0,"Q1",IF(INDEX(BookQ2,84)&gt;0,"Q2",IF(INDEX(BookQ3,84)&gt;0,"Q3",IF(INDEX(BookQ4,84)&gt;0,"Q4","")))))</f>
        <v/>
      </c>
      <c r="K89" s="42" t="str">
        <f aca="false">IF(INDEX(BookTitle,84)="","",INDEX(BookInYear,84))</f>
        <v/>
      </c>
      <c r="L89" s="19"/>
      <c r="M89" s="39"/>
      <c r="N89" s="19"/>
      <c r="O89" s="19"/>
      <c r="P89" s="43" t="str">
        <f aca="false">IF($E89="","",IF($L89="Decline",0,IF($L89="Approve fewer",IF($M89="","",$M89),IF($L89="","",$I89))))</f>
        <v/>
      </c>
      <c r="Q89" s="34" t="str">
        <f aca="false">IF($P89="","",IF($N89&lt;&gt;"",$N89,$J89))</f>
        <v/>
      </c>
      <c r="R89" s="35" t="str">
        <f aca="false">IF(OR($P89="",$Q89=""),"",INDEX(BookRate,84)*$P89*(5-MATCH($Q89,{"Q1";"Q2";"Q3";"Q4"},0))/4+INDEX(BookOneOff,84)*$P89)</f>
        <v/>
      </c>
      <c r="S89" s="35" t="str">
        <f aca="false">IF($P89="","",INDEX(BookRate,84)*$P89)</f>
        <v/>
      </c>
      <c r="T89" s="35" t="str">
        <f aca="false">IF($R89="","",$R89-$K89)</f>
        <v/>
      </c>
      <c r="U89" s="35" t="str">
        <f aca="false">IF(N($P89)&lt;=0,"",COUNTIF($P$6:$P89,"&gt;0"))</f>
        <v/>
      </c>
    </row>
    <row r="90" customFormat="false" ht="15" hidden="false" customHeight="false" outlineLevel="0" collapsed="false">
      <c r="A90" s="40" t="str">
        <f aca="false">IF(INDEX(BookTitle,85)="","",INDEX(BookGroup,85))</f>
        <v/>
      </c>
      <c r="B90" s="40" t="str">
        <f aca="false">IF(INDEX(BookTitle,85)="","",INDEX(BookRef,85))</f>
        <v/>
      </c>
      <c r="C90" s="40" t="str">
        <f aca="false">IF(INDEX(BookTitle,85)="","",INDEX(BookDivision,85))</f>
        <v/>
      </c>
      <c r="D90" s="40" t="str">
        <f aca="false">IF(INDEX(BookTitle,85)="","",INDEX(BookUnit,85))</f>
        <v/>
      </c>
      <c r="E90" s="40" t="str">
        <f aca="false">IF(INDEX(BookTitle,85)="","",INDEX(BookTitle,85))</f>
        <v/>
      </c>
      <c r="F90" s="40" t="str">
        <f aca="false">IF(INDEX(BookTitle,85)="","",INDEX(BookLevel,85))</f>
        <v/>
      </c>
      <c r="G90" s="40" t="str">
        <f aca="false">IF(INDEX(BookTitle,85)="","",INDEX(BookCategory,85))</f>
        <v/>
      </c>
      <c r="H90" s="40" t="str">
        <f aca="false">IF(INDEX(BookTitle,85)="","",INDEX(BookRank,85))</f>
        <v/>
      </c>
      <c r="I90" s="41" t="str">
        <f aca="false">IF(INDEX(BookTitle,85)="","",INDEX(BookTotal,85))</f>
        <v/>
      </c>
      <c r="J90" s="0" t="str">
        <f aca="false">IF($I90="","",IF(INDEX(BookQ1,85)&gt;0,"Q1",IF(INDEX(BookQ2,85)&gt;0,"Q2",IF(INDEX(BookQ3,85)&gt;0,"Q3",IF(INDEX(BookQ4,85)&gt;0,"Q4","")))))</f>
        <v/>
      </c>
      <c r="K90" s="42" t="str">
        <f aca="false">IF(INDEX(BookTitle,85)="","",INDEX(BookInYear,85))</f>
        <v/>
      </c>
      <c r="L90" s="19"/>
      <c r="M90" s="39"/>
      <c r="N90" s="19"/>
      <c r="O90" s="19"/>
      <c r="P90" s="43" t="str">
        <f aca="false">IF($E90="","",IF($L90="Decline",0,IF($L90="Approve fewer",IF($M90="","",$M90),IF($L90="","",$I90))))</f>
        <v/>
      </c>
      <c r="Q90" s="34" t="str">
        <f aca="false">IF($P90="","",IF($N90&lt;&gt;"",$N90,$J90))</f>
        <v/>
      </c>
      <c r="R90" s="35" t="str">
        <f aca="false">IF(OR($P90="",$Q90=""),"",INDEX(BookRate,85)*$P90*(5-MATCH($Q90,{"Q1";"Q2";"Q3";"Q4"},0))/4+INDEX(BookOneOff,85)*$P90)</f>
        <v/>
      </c>
      <c r="S90" s="35" t="str">
        <f aca="false">IF($P90="","",INDEX(BookRate,85)*$P90)</f>
        <v/>
      </c>
      <c r="T90" s="35" t="str">
        <f aca="false">IF($R90="","",$R90-$K90)</f>
        <v/>
      </c>
      <c r="U90" s="35" t="str">
        <f aca="false">IF(N($P90)&lt;=0,"",COUNTIF($P$6:$P90,"&gt;0"))</f>
        <v/>
      </c>
    </row>
    <row r="91" customFormat="false" ht="15" hidden="false" customHeight="false" outlineLevel="0" collapsed="false">
      <c r="A91" s="40" t="str">
        <f aca="false">IF(INDEX(BookTitle,86)="","",INDEX(BookGroup,86))</f>
        <v/>
      </c>
      <c r="B91" s="40" t="str">
        <f aca="false">IF(INDEX(BookTitle,86)="","",INDEX(BookRef,86))</f>
        <v/>
      </c>
      <c r="C91" s="40" t="str">
        <f aca="false">IF(INDEX(BookTitle,86)="","",INDEX(BookDivision,86))</f>
        <v/>
      </c>
      <c r="D91" s="40" t="str">
        <f aca="false">IF(INDEX(BookTitle,86)="","",INDEX(BookUnit,86))</f>
        <v/>
      </c>
      <c r="E91" s="40" t="str">
        <f aca="false">IF(INDEX(BookTitle,86)="","",INDEX(BookTitle,86))</f>
        <v/>
      </c>
      <c r="F91" s="40" t="str">
        <f aca="false">IF(INDEX(BookTitle,86)="","",INDEX(BookLevel,86))</f>
        <v/>
      </c>
      <c r="G91" s="40" t="str">
        <f aca="false">IF(INDEX(BookTitle,86)="","",INDEX(BookCategory,86))</f>
        <v/>
      </c>
      <c r="H91" s="40" t="str">
        <f aca="false">IF(INDEX(BookTitle,86)="","",INDEX(BookRank,86))</f>
        <v/>
      </c>
      <c r="I91" s="41" t="str">
        <f aca="false">IF(INDEX(BookTitle,86)="","",INDEX(BookTotal,86))</f>
        <v/>
      </c>
      <c r="J91" s="0" t="str">
        <f aca="false">IF($I91="","",IF(INDEX(BookQ1,86)&gt;0,"Q1",IF(INDEX(BookQ2,86)&gt;0,"Q2",IF(INDEX(BookQ3,86)&gt;0,"Q3",IF(INDEX(BookQ4,86)&gt;0,"Q4","")))))</f>
        <v/>
      </c>
      <c r="K91" s="42" t="str">
        <f aca="false">IF(INDEX(BookTitle,86)="","",INDEX(BookInYear,86))</f>
        <v/>
      </c>
      <c r="L91" s="19"/>
      <c r="M91" s="39"/>
      <c r="N91" s="19"/>
      <c r="O91" s="19"/>
      <c r="P91" s="43" t="str">
        <f aca="false">IF($E91="","",IF($L91="Decline",0,IF($L91="Approve fewer",IF($M91="","",$M91),IF($L91="","",$I91))))</f>
        <v/>
      </c>
      <c r="Q91" s="34" t="str">
        <f aca="false">IF($P91="","",IF($N91&lt;&gt;"",$N91,$J91))</f>
        <v/>
      </c>
      <c r="R91" s="35" t="str">
        <f aca="false">IF(OR($P91="",$Q91=""),"",INDEX(BookRate,86)*$P91*(5-MATCH($Q91,{"Q1";"Q2";"Q3";"Q4"},0))/4+INDEX(BookOneOff,86)*$P91)</f>
        <v/>
      </c>
      <c r="S91" s="35" t="str">
        <f aca="false">IF($P91="","",INDEX(BookRate,86)*$P91)</f>
        <v/>
      </c>
      <c r="T91" s="35" t="str">
        <f aca="false">IF($R91="","",$R91-$K91)</f>
        <v/>
      </c>
      <c r="U91" s="35" t="str">
        <f aca="false">IF(N($P91)&lt;=0,"",COUNTIF($P$6:$P91,"&gt;0"))</f>
        <v/>
      </c>
    </row>
    <row r="92" customFormat="false" ht="15" hidden="false" customHeight="false" outlineLevel="0" collapsed="false">
      <c r="A92" s="40" t="str">
        <f aca="false">IF(INDEX(BookTitle,87)="","",INDEX(BookGroup,87))</f>
        <v/>
      </c>
      <c r="B92" s="40" t="str">
        <f aca="false">IF(INDEX(BookTitle,87)="","",INDEX(BookRef,87))</f>
        <v/>
      </c>
      <c r="C92" s="40" t="str">
        <f aca="false">IF(INDEX(BookTitle,87)="","",INDEX(BookDivision,87))</f>
        <v/>
      </c>
      <c r="D92" s="40" t="str">
        <f aca="false">IF(INDEX(BookTitle,87)="","",INDEX(BookUnit,87))</f>
        <v/>
      </c>
      <c r="E92" s="40" t="str">
        <f aca="false">IF(INDEX(BookTitle,87)="","",INDEX(BookTitle,87))</f>
        <v/>
      </c>
      <c r="F92" s="40" t="str">
        <f aca="false">IF(INDEX(BookTitle,87)="","",INDEX(BookLevel,87))</f>
        <v/>
      </c>
      <c r="G92" s="40" t="str">
        <f aca="false">IF(INDEX(BookTitle,87)="","",INDEX(BookCategory,87))</f>
        <v/>
      </c>
      <c r="H92" s="40" t="str">
        <f aca="false">IF(INDEX(BookTitle,87)="","",INDEX(BookRank,87))</f>
        <v/>
      </c>
      <c r="I92" s="41" t="str">
        <f aca="false">IF(INDEX(BookTitle,87)="","",INDEX(BookTotal,87))</f>
        <v/>
      </c>
      <c r="J92" s="0" t="str">
        <f aca="false">IF($I92="","",IF(INDEX(BookQ1,87)&gt;0,"Q1",IF(INDEX(BookQ2,87)&gt;0,"Q2",IF(INDEX(BookQ3,87)&gt;0,"Q3",IF(INDEX(BookQ4,87)&gt;0,"Q4","")))))</f>
        <v/>
      </c>
      <c r="K92" s="42" t="str">
        <f aca="false">IF(INDEX(BookTitle,87)="","",INDEX(BookInYear,87))</f>
        <v/>
      </c>
      <c r="L92" s="19"/>
      <c r="M92" s="39"/>
      <c r="N92" s="19"/>
      <c r="O92" s="19"/>
      <c r="P92" s="43" t="str">
        <f aca="false">IF($E92="","",IF($L92="Decline",0,IF($L92="Approve fewer",IF($M92="","",$M92),IF($L92="","",$I92))))</f>
        <v/>
      </c>
      <c r="Q92" s="34" t="str">
        <f aca="false">IF($P92="","",IF($N92&lt;&gt;"",$N92,$J92))</f>
        <v/>
      </c>
      <c r="R92" s="35" t="str">
        <f aca="false">IF(OR($P92="",$Q92=""),"",INDEX(BookRate,87)*$P92*(5-MATCH($Q92,{"Q1";"Q2";"Q3";"Q4"},0))/4+INDEX(BookOneOff,87)*$P92)</f>
        <v/>
      </c>
      <c r="S92" s="35" t="str">
        <f aca="false">IF($P92="","",INDEX(BookRate,87)*$P92)</f>
        <v/>
      </c>
      <c r="T92" s="35" t="str">
        <f aca="false">IF($R92="","",$R92-$K92)</f>
        <v/>
      </c>
      <c r="U92" s="35" t="str">
        <f aca="false">IF(N($P92)&lt;=0,"",COUNTIF($P$6:$P92,"&gt;0"))</f>
        <v/>
      </c>
    </row>
    <row r="93" customFormat="false" ht="15" hidden="false" customHeight="false" outlineLevel="0" collapsed="false">
      <c r="A93" s="40" t="str">
        <f aca="false">IF(INDEX(BookTitle,88)="","",INDEX(BookGroup,88))</f>
        <v/>
      </c>
      <c r="B93" s="40" t="str">
        <f aca="false">IF(INDEX(BookTitle,88)="","",INDEX(BookRef,88))</f>
        <v/>
      </c>
      <c r="C93" s="40" t="str">
        <f aca="false">IF(INDEX(BookTitle,88)="","",INDEX(BookDivision,88))</f>
        <v/>
      </c>
      <c r="D93" s="40" t="str">
        <f aca="false">IF(INDEX(BookTitle,88)="","",INDEX(BookUnit,88))</f>
        <v/>
      </c>
      <c r="E93" s="40" t="str">
        <f aca="false">IF(INDEX(BookTitle,88)="","",INDEX(BookTitle,88))</f>
        <v/>
      </c>
      <c r="F93" s="40" t="str">
        <f aca="false">IF(INDEX(BookTitle,88)="","",INDEX(BookLevel,88))</f>
        <v/>
      </c>
      <c r="G93" s="40" t="str">
        <f aca="false">IF(INDEX(BookTitle,88)="","",INDEX(BookCategory,88))</f>
        <v/>
      </c>
      <c r="H93" s="40" t="str">
        <f aca="false">IF(INDEX(BookTitle,88)="","",INDEX(BookRank,88))</f>
        <v/>
      </c>
      <c r="I93" s="41" t="str">
        <f aca="false">IF(INDEX(BookTitle,88)="","",INDEX(BookTotal,88))</f>
        <v/>
      </c>
      <c r="J93" s="0" t="str">
        <f aca="false">IF($I93="","",IF(INDEX(BookQ1,88)&gt;0,"Q1",IF(INDEX(BookQ2,88)&gt;0,"Q2",IF(INDEX(BookQ3,88)&gt;0,"Q3",IF(INDEX(BookQ4,88)&gt;0,"Q4","")))))</f>
        <v/>
      </c>
      <c r="K93" s="42" t="str">
        <f aca="false">IF(INDEX(BookTitle,88)="","",INDEX(BookInYear,88))</f>
        <v/>
      </c>
      <c r="L93" s="19"/>
      <c r="M93" s="39"/>
      <c r="N93" s="19"/>
      <c r="O93" s="19"/>
      <c r="P93" s="43" t="str">
        <f aca="false">IF($E93="","",IF($L93="Decline",0,IF($L93="Approve fewer",IF($M93="","",$M93),IF($L93="","",$I93))))</f>
        <v/>
      </c>
      <c r="Q93" s="34" t="str">
        <f aca="false">IF($P93="","",IF($N93&lt;&gt;"",$N93,$J93))</f>
        <v/>
      </c>
      <c r="R93" s="35" t="str">
        <f aca="false">IF(OR($P93="",$Q93=""),"",INDEX(BookRate,88)*$P93*(5-MATCH($Q93,{"Q1";"Q2";"Q3";"Q4"},0))/4+INDEX(BookOneOff,88)*$P93)</f>
        <v/>
      </c>
      <c r="S93" s="35" t="str">
        <f aca="false">IF($P93="","",INDEX(BookRate,88)*$P93)</f>
        <v/>
      </c>
      <c r="T93" s="35" t="str">
        <f aca="false">IF($R93="","",$R93-$K93)</f>
        <v/>
      </c>
      <c r="U93" s="35" t="str">
        <f aca="false">IF(N($P93)&lt;=0,"",COUNTIF($P$6:$P93,"&gt;0"))</f>
        <v/>
      </c>
    </row>
    <row r="94" customFormat="false" ht="15" hidden="false" customHeight="false" outlineLevel="0" collapsed="false">
      <c r="A94" s="40" t="str">
        <f aca="false">IF(INDEX(BookTitle,89)="","",INDEX(BookGroup,89))</f>
        <v/>
      </c>
      <c r="B94" s="40" t="str">
        <f aca="false">IF(INDEX(BookTitle,89)="","",INDEX(BookRef,89))</f>
        <v/>
      </c>
      <c r="C94" s="40" t="str">
        <f aca="false">IF(INDEX(BookTitle,89)="","",INDEX(BookDivision,89))</f>
        <v/>
      </c>
      <c r="D94" s="40" t="str">
        <f aca="false">IF(INDEX(BookTitle,89)="","",INDEX(BookUnit,89))</f>
        <v/>
      </c>
      <c r="E94" s="40" t="str">
        <f aca="false">IF(INDEX(BookTitle,89)="","",INDEX(BookTitle,89))</f>
        <v/>
      </c>
      <c r="F94" s="40" t="str">
        <f aca="false">IF(INDEX(BookTitle,89)="","",INDEX(BookLevel,89))</f>
        <v/>
      </c>
      <c r="G94" s="40" t="str">
        <f aca="false">IF(INDEX(BookTitle,89)="","",INDEX(BookCategory,89))</f>
        <v/>
      </c>
      <c r="H94" s="40" t="str">
        <f aca="false">IF(INDEX(BookTitle,89)="","",INDEX(BookRank,89))</f>
        <v/>
      </c>
      <c r="I94" s="41" t="str">
        <f aca="false">IF(INDEX(BookTitle,89)="","",INDEX(BookTotal,89))</f>
        <v/>
      </c>
      <c r="J94" s="0" t="str">
        <f aca="false">IF($I94="","",IF(INDEX(BookQ1,89)&gt;0,"Q1",IF(INDEX(BookQ2,89)&gt;0,"Q2",IF(INDEX(BookQ3,89)&gt;0,"Q3",IF(INDEX(BookQ4,89)&gt;0,"Q4","")))))</f>
        <v/>
      </c>
      <c r="K94" s="42" t="str">
        <f aca="false">IF(INDEX(BookTitle,89)="","",INDEX(BookInYear,89))</f>
        <v/>
      </c>
      <c r="L94" s="19"/>
      <c r="M94" s="39"/>
      <c r="N94" s="19"/>
      <c r="O94" s="19"/>
      <c r="P94" s="43" t="str">
        <f aca="false">IF($E94="","",IF($L94="Decline",0,IF($L94="Approve fewer",IF($M94="","",$M94),IF($L94="","",$I94))))</f>
        <v/>
      </c>
      <c r="Q94" s="34" t="str">
        <f aca="false">IF($P94="","",IF($N94&lt;&gt;"",$N94,$J94))</f>
        <v/>
      </c>
      <c r="R94" s="35" t="str">
        <f aca="false">IF(OR($P94="",$Q94=""),"",INDEX(BookRate,89)*$P94*(5-MATCH($Q94,{"Q1";"Q2";"Q3";"Q4"},0))/4+INDEX(BookOneOff,89)*$P94)</f>
        <v/>
      </c>
      <c r="S94" s="35" t="str">
        <f aca="false">IF($P94="","",INDEX(BookRate,89)*$P94)</f>
        <v/>
      </c>
      <c r="T94" s="35" t="str">
        <f aca="false">IF($R94="","",$R94-$K94)</f>
        <v/>
      </c>
      <c r="U94" s="35" t="str">
        <f aca="false">IF(N($P94)&lt;=0,"",COUNTIF($P$6:$P94,"&gt;0"))</f>
        <v/>
      </c>
    </row>
    <row r="95" customFormat="false" ht="15" hidden="false" customHeight="false" outlineLevel="0" collapsed="false">
      <c r="A95" s="40" t="str">
        <f aca="false">IF(INDEX(BookTitle,90)="","",INDEX(BookGroup,90))</f>
        <v/>
      </c>
      <c r="B95" s="40" t="str">
        <f aca="false">IF(INDEX(BookTitle,90)="","",INDEX(BookRef,90))</f>
        <v/>
      </c>
      <c r="C95" s="40" t="str">
        <f aca="false">IF(INDEX(BookTitle,90)="","",INDEX(BookDivision,90))</f>
        <v/>
      </c>
      <c r="D95" s="40" t="str">
        <f aca="false">IF(INDEX(BookTitle,90)="","",INDEX(BookUnit,90))</f>
        <v/>
      </c>
      <c r="E95" s="40" t="str">
        <f aca="false">IF(INDEX(BookTitle,90)="","",INDEX(BookTitle,90))</f>
        <v/>
      </c>
      <c r="F95" s="40" t="str">
        <f aca="false">IF(INDEX(BookTitle,90)="","",INDEX(BookLevel,90))</f>
        <v/>
      </c>
      <c r="G95" s="40" t="str">
        <f aca="false">IF(INDEX(BookTitle,90)="","",INDEX(BookCategory,90))</f>
        <v/>
      </c>
      <c r="H95" s="40" t="str">
        <f aca="false">IF(INDEX(BookTitle,90)="","",INDEX(BookRank,90))</f>
        <v/>
      </c>
      <c r="I95" s="41" t="str">
        <f aca="false">IF(INDEX(BookTitle,90)="","",INDEX(BookTotal,90))</f>
        <v/>
      </c>
      <c r="J95" s="0" t="str">
        <f aca="false">IF($I95="","",IF(INDEX(BookQ1,90)&gt;0,"Q1",IF(INDEX(BookQ2,90)&gt;0,"Q2",IF(INDEX(BookQ3,90)&gt;0,"Q3",IF(INDEX(BookQ4,90)&gt;0,"Q4","")))))</f>
        <v/>
      </c>
      <c r="K95" s="42" t="str">
        <f aca="false">IF(INDEX(BookTitle,90)="","",INDEX(BookInYear,90))</f>
        <v/>
      </c>
      <c r="L95" s="19"/>
      <c r="M95" s="39"/>
      <c r="N95" s="19"/>
      <c r="O95" s="19"/>
      <c r="P95" s="43" t="str">
        <f aca="false">IF($E95="","",IF($L95="Decline",0,IF($L95="Approve fewer",IF($M95="","",$M95),IF($L95="","",$I95))))</f>
        <v/>
      </c>
      <c r="Q95" s="34" t="str">
        <f aca="false">IF($P95="","",IF($N95&lt;&gt;"",$N95,$J95))</f>
        <v/>
      </c>
      <c r="R95" s="35" t="str">
        <f aca="false">IF(OR($P95="",$Q95=""),"",INDEX(BookRate,90)*$P95*(5-MATCH($Q95,{"Q1";"Q2";"Q3";"Q4"},0))/4+INDEX(BookOneOff,90)*$P95)</f>
        <v/>
      </c>
      <c r="S95" s="35" t="str">
        <f aca="false">IF($P95="","",INDEX(BookRate,90)*$P95)</f>
        <v/>
      </c>
      <c r="T95" s="35" t="str">
        <f aca="false">IF($R95="","",$R95-$K95)</f>
        <v/>
      </c>
      <c r="U95" s="35" t="str">
        <f aca="false">IF(N($P95)&lt;=0,"",COUNTIF($P$6:$P95,"&gt;0"))</f>
        <v/>
      </c>
    </row>
    <row r="96" customFormat="false" ht="15" hidden="false" customHeight="false" outlineLevel="0" collapsed="false">
      <c r="A96" s="40" t="str">
        <f aca="false">IF(INDEX(BookTitle,91)="","",INDEX(BookGroup,91))</f>
        <v/>
      </c>
      <c r="B96" s="40" t="str">
        <f aca="false">IF(INDEX(BookTitle,91)="","",INDEX(BookRef,91))</f>
        <v/>
      </c>
      <c r="C96" s="40" t="str">
        <f aca="false">IF(INDEX(BookTitle,91)="","",INDEX(BookDivision,91))</f>
        <v/>
      </c>
      <c r="D96" s="40" t="str">
        <f aca="false">IF(INDEX(BookTitle,91)="","",INDEX(BookUnit,91))</f>
        <v/>
      </c>
      <c r="E96" s="40" t="str">
        <f aca="false">IF(INDEX(BookTitle,91)="","",INDEX(BookTitle,91))</f>
        <v/>
      </c>
      <c r="F96" s="40" t="str">
        <f aca="false">IF(INDEX(BookTitle,91)="","",INDEX(BookLevel,91))</f>
        <v/>
      </c>
      <c r="G96" s="40" t="str">
        <f aca="false">IF(INDEX(BookTitle,91)="","",INDEX(BookCategory,91))</f>
        <v/>
      </c>
      <c r="H96" s="40" t="str">
        <f aca="false">IF(INDEX(BookTitle,91)="","",INDEX(BookRank,91))</f>
        <v/>
      </c>
      <c r="I96" s="41" t="str">
        <f aca="false">IF(INDEX(BookTitle,91)="","",INDEX(BookTotal,91))</f>
        <v/>
      </c>
      <c r="J96" s="0" t="str">
        <f aca="false">IF($I96="","",IF(INDEX(BookQ1,91)&gt;0,"Q1",IF(INDEX(BookQ2,91)&gt;0,"Q2",IF(INDEX(BookQ3,91)&gt;0,"Q3",IF(INDEX(BookQ4,91)&gt;0,"Q4","")))))</f>
        <v/>
      </c>
      <c r="K96" s="42" t="str">
        <f aca="false">IF(INDEX(BookTitle,91)="","",INDEX(BookInYear,91))</f>
        <v/>
      </c>
      <c r="L96" s="19"/>
      <c r="M96" s="39"/>
      <c r="N96" s="19"/>
      <c r="O96" s="19"/>
      <c r="P96" s="43" t="str">
        <f aca="false">IF($E96="","",IF($L96="Decline",0,IF($L96="Approve fewer",IF($M96="","",$M96),IF($L96="","",$I96))))</f>
        <v/>
      </c>
      <c r="Q96" s="34" t="str">
        <f aca="false">IF($P96="","",IF($N96&lt;&gt;"",$N96,$J96))</f>
        <v/>
      </c>
      <c r="R96" s="35" t="str">
        <f aca="false">IF(OR($P96="",$Q96=""),"",INDEX(BookRate,91)*$P96*(5-MATCH($Q96,{"Q1";"Q2";"Q3";"Q4"},0))/4+INDEX(BookOneOff,91)*$P96)</f>
        <v/>
      </c>
      <c r="S96" s="35" t="str">
        <f aca="false">IF($P96="","",INDEX(BookRate,91)*$P96)</f>
        <v/>
      </c>
      <c r="T96" s="35" t="str">
        <f aca="false">IF($R96="","",$R96-$K96)</f>
        <v/>
      </c>
      <c r="U96" s="35" t="str">
        <f aca="false">IF(N($P96)&lt;=0,"",COUNTIF($P$6:$P96,"&gt;0"))</f>
        <v/>
      </c>
    </row>
    <row r="97" customFormat="false" ht="15" hidden="false" customHeight="false" outlineLevel="0" collapsed="false">
      <c r="A97" s="40" t="str">
        <f aca="false">IF(INDEX(BookTitle,92)="","",INDEX(BookGroup,92))</f>
        <v/>
      </c>
      <c r="B97" s="40" t="str">
        <f aca="false">IF(INDEX(BookTitle,92)="","",INDEX(BookRef,92))</f>
        <v/>
      </c>
      <c r="C97" s="40" t="str">
        <f aca="false">IF(INDEX(BookTitle,92)="","",INDEX(BookDivision,92))</f>
        <v/>
      </c>
      <c r="D97" s="40" t="str">
        <f aca="false">IF(INDEX(BookTitle,92)="","",INDEX(BookUnit,92))</f>
        <v/>
      </c>
      <c r="E97" s="40" t="str">
        <f aca="false">IF(INDEX(BookTitle,92)="","",INDEX(BookTitle,92))</f>
        <v/>
      </c>
      <c r="F97" s="40" t="str">
        <f aca="false">IF(INDEX(BookTitle,92)="","",INDEX(BookLevel,92))</f>
        <v/>
      </c>
      <c r="G97" s="40" t="str">
        <f aca="false">IF(INDEX(BookTitle,92)="","",INDEX(BookCategory,92))</f>
        <v/>
      </c>
      <c r="H97" s="40" t="str">
        <f aca="false">IF(INDEX(BookTitle,92)="","",INDEX(BookRank,92))</f>
        <v/>
      </c>
      <c r="I97" s="41" t="str">
        <f aca="false">IF(INDEX(BookTitle,92)="","",INDEX(BookTotal,92))</f>
        <v/>
      </c>
      <c r="J97" s="0" t="str">
        <f aca="false">IF($I97="","",IF(INDEX(BookQ1,92)&gt;0,"Q1",IF(INDEX(BookQ2,92)&gt;0,"Q2",IF(INDEX(BookQ3,92)&gt;0,"Q3",IF(INDEX(BookQ4,92)&gt;0,"Q4","")))))</f>
        <v/>
      </c>
      <c r="K97" s="42" t="str">
        <f aca="false">IF(INDEX(BookTitle,92)="","",INDEX(BookInYear,92))</f>
        <v/>
      </c>
      <c r="L97" s="19"/>
      <c r="M97" s="39"/>
      <c r="N97" s="19"/>
      <c r="O97" s="19"/>
      <c r="P97" s="43" t="str">
        <f aca="false">IF($E97="","",IF($L97="Decline",0,IF($L97="Approve fewer",IF($M97="","",$M97),IF($L97="","",$I97))))</f>
        <v/>
      </c>
      <c r="Q97" s="34" t="str">
        <f aca="false">IF($P97="","",IF($N97&lt;&gt;"",$N97,$J97))</f>
        <v/>
      </c>
      <c r="R97" s="35" t="str">
        <f aca="false">IF(OR($P97="",$Q97=""),"",INDEX(BookRate,92)*$P97*(5-MATCH($Q97,{"Q1";"Q2";"Q3";"Q4"},0))/4+INDEX(BookOneOff,92)*$P97)</f>
        <v/>
      </c>
      <c r="S97" s="35" t="str">
        <f aca="false">IF($P97="","",INDEX(BookRate,92)*$P97)</f>
        <v/>
      </c>
      <c r="T97" s="35" t="str">
        <f aca="false">IF($R97="","",$R97-$K97)</f>
        <v/>
      </c>
      <c r="U97" s="35" t="str">
        <f aca="false">IF(N($P97)&lt;=0,"",COUNTIF($P$6:$P97,"&gt;0"))</f>
        <v/>
      </c>
    </row>
    <row r="98" customFormat="false" ht="15" hidden="false" customHeight="false" outlineLevel="0" collapsed="false">
      <c r="A98" s="40" t="str">
        <f aca="false">IF(INDEX(BookTitle,93)="","",INDEX(BookGroup,93))</f>
        <v/>
      </c>
      <c r="B98" s="40" t="str">
        <f aca="false">IF(INDEX(BookTitle,93)="","",INDEX(BookRef,93))</f>
        <v/>
      </c>
      <c r="C98" s="40" t="str">
        <f aca="false">IF(INDEX(BookTitle,93)="","",INDEX(BookDivision,93))</f>
        <v/>
      </c>
      <c r="D98" s="40" t="str">
        <f aca="false">IF(INDEX(BookTitle,93)="","",INDEX(BookUnit,93))</f>
        <v/>
      </c>
      <c r="E98" s="40" t="str">
        <f aca="false">IF(INDEX(BookTitle,93)="","",INDEX(BookTitle,93))</f>
        <v/>
      </c>
      <c r="F98" s="40" t="str">
        <f aca="false">IF(INDEX(BookTitle,93)="","",INDEX(BookLevel,93))</f>
        <v/>
      </c>
      <c r="G98" s="40" t="str">
        <f aca="false">IF(INDEX(BookTitle,93)="","",INDEX(BookCategory,93))</f>
        <v/>
      </c>
      <c r="H98" s="40" t="str">
        <f aca="false">IF(INDEX(BookTitle,93)="","",INDEX(BookRank,93))</f>
        <v/>
      </c>
      <c r="I98" s="41" t="str">
        <f aca="false">IF(INDEX(BookTitle,93)="","",INDEX(BookTotal,93))</f>
        <v/>
      </c>
      <c r="J98" s="0" t="str">
        <f aca="false">IF($I98="","",IF(INDEX(BookQ1,93)&gt;0,"Q1",IF(INDEX(BookQ2,93)&gt;0,"Q2",IF(INDEX(BookQ3,93)&gt;0,"Q3",IF(INDEX(BookQ4,93)&gt;0,"Q4","")))))</f>
        <v/>
      </c>
      <c r="K98" s="42" t="str">
        <f aca="false">IF(INDEX(BookTitle,93)="","",INDEX(BookInYear,93))</f>
        <v/>
      </c>
      <c r="L98" s="19"/>
      <c r="M98" s="39"/>
      <c r="N98" s="19"/>
      <c r="O98" s="19"/>
      <c r="P98" s="43" t="str">
        <f aca="false">IF($E98="","",IF($L98="Decline",0,IF($L98="Approve fewer",IF($M98="","",$M98),IF($L98="","",$I98))))</f>
        <v/>
      </c>
      <c r="Q98" s="34" t="str">
        <f aca="false">IF($P98="","",IF($N98&lt;&gt;"",$N98,$J98))</f>
        <v/>
      </c>
      <c r="R98" s="35" t="str">
        <f aca="false">IF(OR($P98="",$Q98=""),"",INDEX(BookRate,93)*$P98*(5-MATCH($Q98,{"Q1";"Q2";"Q3";"Q4"},0))/4+INDEX(BookOneOff,93)*$P98)</f>
        <v/>
      </c>
      <c r="S98" s="35" t="str">
        <f aca="false">IF($P98="","",INDEX(BookRate,93)*$P98)</f>
        <v/>
      </c>
      <c r="T98" s="35" t="str">
        <f aca="false">IF($R98="","",$R98-$K98)</f>
        <v/>
      </c>
      <c r="U98" s="35" t="str">
        <f aca="false">IF(N($P98)&lt;=0,"",COUNTIF($P$6:$P98,"&gt;0"))</f>
        <v/>
      </c>
    </row>
    <row r="99" customFormat="false" ht="15" hidden="false" customHeight="false" outlineLevel="0" collapsed="false">
      <c r="A99" s="40" t="str">
        <f aca="false">IF(INDEX(BookTitle,94)="","",INDEX(BookGroup,94))</f>
        <v/>
      </c>
      <c r="B99" s="40" t="str">
        <f aca="false">IF(INDEX(BookTitle,94)="","",INDEX(BookRef,94))</f>
        <v/>
      </c>
      <c r="C99" s="40" t="str">
        <f aca="false">IF(INDEX(BookTitle,94)="","",INDEX(BookDivision,94))</f>
        <v/>
      </c>
      <c r="D99" s="40" t="str">
        <f aca="false">IF(INDEX(BookTitle,94)="","",INDEX(BookUnit,94))</f>
        <v/>
      </c>
      <c r="E99" s="40" t="str">
        <f aca="false">IF(INDEX(BookTitle,94)="","",INDEX(BookTitle,94))</f>
        <v/>
      </c>
      <c r="F99" s="40" t="str">
        <f aca="false">IF(INDEX(BookTitle,94)="","",INDEX(BookLevel,94))</f>
        <v/>
      </c>
      <c r="G99" s="40" t="str">
        <f aca="false">IF(INDEX(BookTitle,94)="","",INDEX(BookCategory,94))</f>
        <v/>
      </c>
      <c r="H99" s="40" t="str">
        <f aca="false">IF(INDEX(BookTitle,94)="","",INDEX(BookRank,94))</f>
        <v/>
      </c>
      <c r="I99" s="41" t="str">
        <f aca="false">IF(INDEX(BookTitle,94)="","",INDEX(BookTotal,94))</f>
        <v/>
      </c>
      <c r="J99" s="0" t="str">
        <f aca="false">IF($I99="","",IF(INDEX(BookQ1,94)&gt;0,"Q1",IF(INDEX(BookQ2,94)&gt;0,"Q2",IF(INDEX(BookQ3,94)&gt;0,"Q3",IF(INDEX(BookQ4,94)&gt;0,"Q4","")))))</f>
        <v/>
      </c>
      <c r="K99" s="42" t="str">
        <f aca="false">IF(INDEX(BookTitle,94)="","",INDEX(BookInYear,94))</f>
        <v/>
      </c>
      <c r="L99" s="19"/>
      <c r="M99" s="39"/>
      <c r="N99" s="19"/>
      <c r="O99" s="19"/>
      <c r="P99" s="43" t="str">
        <f aca="false">IF($E99="","",IF($L99="Decline",0,IF($L99="Approve fewer",IF($M99="","",$M99),IF($L99="","",$I99))))</f>
        <v/>
      </c>
      <c r="Q99" s="34" t="str">
        <f aca="false">IF($P99="","",IF($N99&lt;&gt;"",$N99,$J99))</f>
        <v/>
      </c>
      <c r="R99" s="35" t="str">
        <f aca="false">IF(OR($P99="",$Q99=""),"",INDEX(BookRate,94)*$P99*(5-MATCH($Q99,{"Q1";"Q2";"Q3";"Q4"},0))/4+INDEX(BookOneOff,94)*$P99)</f>
        <v/>
      </c>
      <c r="S99" s="35" t="str">
        <f aca="false">IF($P99="","",INDEX(BookRate,94)*$P99)</f>
        <v/>
      </c>
      <c r="T99" s="35" t="str">
        <f aca="false">IF($R99="","",$R99-$K99)</f>
        <v/>
      </c>
      <c r="U99" s="35" t="str">
        <f aca="false">IF(N($P99)&lt;=0,"",COUNTIF($P$6:$P99,"&gt;0"))</f>
        <v/>
      </c>
    </row>
    <row r="100" customFormat="false" ht="15" hidden="false" customHeight="false" outlineLevel="0" collapsed="false">
      <c r="A100" s="40" t="str">
        <f aca="false">IF(INDEX(BookTitle,95)="","",INDEX(BookGroup,95))</f>
        <v/>
      </c>
      <c r="B100" s="40" t="str">
        <f aca="false">IF(INDEX(BookTitle,95)="","",INDEX(BookRef,95))</f>
        <v/>
      </c>
      <c r="C100" s="40" t="str">
        <f aca="false">IF(INDEX(BookTitle,95)="","",INDEX(BookDivision,95))</f>
        <v/>
      </c>
      <c r="D100" s="40" t="str">
        <f aca="false">IF(INDEX(BookTitle,95)="","",INDEX(BookUnit,95))</f>
        <v/>
      </c>
      <c r="E100" s="40" t="str">
        <f aca="false">IF(INDEX(BookTitle,95)="","",INDEX(BookTitle,95))</f>
        <v/>
      </c>
      <c r="F100" s="40" t="str">
        <f aca="false">IF(INDEX(BookTitle,95)="","",INDEX(BookLevel,95))</f>
        <v/>
      </c>
      <c r="G100" s="40" t="str">
        <f aca="false">IF(INDEX(BookTitle,95)="","",INDEX(BookCategory,95))</f>
        <v/>
      </c>
      <c r="H100" s="40" t="str">
        <f aca="false">IF(INDEX(BookTitle,95)="","",INDEX(BookRank,95))</f>
        <v/>
      </c>
      <c r="I100" s="41" t="str">
        <f aca="false">IF(INDEX(BookTitle,95)="","",INDEX(BookTotal,95))</f>
        <v/>
      </c>
      <c r="J100" s="0" t="str">
        <f aca="false">IF($I100="","",IF(INDEX(BookQ1,95)&gt;0,"Q1",IF(INDEX(BookQ2,95)&gt;0,"Q2",IF(INDEX(BookQ3,95)&gt;0,"Q3",IF(INDEX(BookQ4,95)&gt;0,"Q4","")))))</f>
        <v/>
      </c>
      <c r="K100" s="42" t="str">
        <f aca="false">IF(INDEX(BookTitle,95)="","",INDEX(BookInYear,95))</f>
        <v/>
      </c>
      <c r="L100" s="19"/>
      <c r="M100" s="39"/>
      <c r="N100" s="19"/>
      <c r="O100" s="19"/>
      <c r="P100" s="43" t="str">
        <f aca="false">IF($E100="","",IF($L100="Decline",0,IF($L100="Approve fewer",IF($M100="","",$M100),IF($L100="","",$I100))))</f>
        <v/>
      </c>
      <c r="Q100" s="34" t="str">
        <f aca="false">IF($P100="","",IF($N100&lt;&gt;"",$N100,$J100))</f>
        <v/>
      </c>
      <c r="R100" s="35" t="str">
        <f aca="false">IF(OR($P100="",$Q100=""),"",INDEX(BookRate,95)*$P100*(5-MATCH($Q100,{"Q1";"Q2";"Q3";"Q4"},0))/4+INDEX(BookOneOff,95)*$P100)</f>
        <v/>
      </c>
      <c r="S100" s="35" t="str">
        <f aca="false">IF($P100="","",INDEX(BookRate,95)*$P100)</f>
        <v/>
      </c>
      <c r="T100" s="35" t="str">
        <f aca="false">IF($R100="","",$R100-$K100)</f>
        <v/>
      </c>
      <c r="U100" s="35" t="str">
        <f aca="false">IF(N($P100)&lt;=0,"",COUNTIF($P$6:$P100,"&gt;0"))</f>
        <v/>
      </c>
    </row>
    <row r="101" customFormat="false" ht="15" hidden="false" customHeight="false" outlineLevel="0" collapsed="false">
      <c r="A101" s="40" t="str">
        <f aca="false">IF(INDEX(BookTitle,96)="","",INDEX(BookGroup,96))</f>
        <v/>
      </c>
      <c r="B101" s="40" t="str">
        <f aca="false">IF(INDEX(BookTitle,96)="","",INDEX(BookRef,96))</f>
        <v/>
      </c>
      <c r="C101" s="40" t="str">
        <f aca="false">IF(INDEX(BookTitle,96)="","",INDEX(BookDivision,96))</f>
        <v/>
      </c>
      <c r="D101" s="40" t="str">
        <f aca="false">IF(INDEX(BookTitle,96)="","",INDEX(BookUnit,96))</f>
        <v/>
      </c>
      <c r="E101" s="40" t="str">
        <f aca="false">IF(INDEX(BookTitle,96)="","",INDEX(BookTitle,96))</f>
        <v/>
      </c>
      <c r="F101" s="40" t="str">
        <f aca="false">IF(INDEX(BookTitle,96)="","",INDEX(BookLevel,96))</f>
        <v/>
      </c>
      <c r="G101" s="40" t="str">
        <f aca="false">IF(INDEX(BookTitle,96)="","",INDEX(BookCategory,96))</f>
        <v/>
      </c>
      <c r="H101" s="40" t="str">
        <f aca="false">IF(INDEX(BookTitle,96)="","",INDEX(BookRank,96))</f>
        <v/>
      </c>
      <c r="I101" s="41" t="str">
        <f aca="false">IF(INDEX(BookTitle,96)="","",INDEX(BookTotal,96))</f>
        <v/>
      </c>
      <c r="J101" s="0" t="str">
        <f aca="false">IF($I101="","",IF(INDEX(BookQ1,96)&gt;0,"Q1",IF(INDEX(BookQ2,96)&gt;0,"Q2",IF(INDEX(BookQ3,96)&gt;0,"Q3",IF(INDEX(BookQ4,96)&gt;0,"Q4","")))))</f>
        <v/>
      </c>
      <c r="K101" s="42" t="str">
        <f aca="false">IF(INDEX(BookTitle,96)="","",INDEX(BookInYear,96))</f>
        <v/>
      </c>
      <c r="L101" s="19"/>
      <c r="M101" s="39"/>
      <c r="N101" s="19"/>
      <c r="O101" s="19"/>
      <c r="P101" s="43" t="str">
        <f aca="false">IF($E101="","",IF($L101="Decline",0,IF($L101="Approve fewer",IF($M101="","",$M101),IF($L101="","",$I101))))</f>
        <v/>
      </c>
      <c r="Q101" s="34" t="str">
        <f aca="false">IF($P101="","",IF($N101&lt;&gt;"",$N101,$J101))</f>
        <v/>
      </c>
      <c r="R101" s="35" t="str">
        <f aca="false">IF(OR($P101="",$Q101=""),"",INDEX(BookRate,96)*$P101*(5-MATCH($Q101,{"Q1";"Q2";"Q3";"Q4"},0))/4+INDEX(BookOneOff,96)*$P101)</f>
        <v/>
      </c>
      <c r="S101" s="35" t="str">
        <f aca="false">IF($P101="","",INDEX(BookRate,96)*$P101)</f>
        <v/>
      </c>
      <c r="T101" s="35" t="str">
        <f aca="false">IF($R101="","",$R101-$K101)</f>
        <v/>
      </c>
      <c r="U101" s="35" t="str">
        <f aca="false">IF(N($P101)&lt;=0,"",COUNTIF($P$6:$P101,"&gt;0"))</f>
        <v/>
      </c>
    </row>
    <row r="102" customFormat="false" ht="15" hidden="false" customHeight="false" outlineLevel="0" collapsed="false">
      <c r="A102" s="40" t="str">
        <f aca="false">IF(INDEX(BookTitle,97)="","",INDEX(BookGroup,97))</f>
        <v/>
      </c>
      <c r="B102" s="40" t="str">
        <f aca="false">IF(INDEX(BookTitle,97)="","",INDEX(BookRef,97))</f>
        <v/>
      </c>
      <c r="C102" s="40" t="str">
        <f aca="false">IF(INDEX(BookTitle,97)="","",INDEX(BookDivision,97))</f>
        <v/>
      </c>
      <c r="D102" s="40" t="str">
        <f aca="false">IF(INDEX(BookTitle,97)="","",INDEX(BookUnit,97))</f>
        <v/>
      </c>
      <c r="E102" s="40" t="str">
        <f aca="false">IF(INDEX(BookTitle,97)="","",INDEX(BookTitle,97))</f>
        <v/>
      </c>
      <c r="F102" s="40" t="str">
        <f aca="false">IF(INDEX(BookTitle,97)="","",INDEX(BookLevel,97))</f>
        <v/>
      </c>
      <c r="G102" s="40" t="str">
        <f aca="false">IF(INDEX(BookTitle,97)="","",INDEX(BookCategory,97))</f>
        <v/>
      </c>
      <c r="H102" s="40" t="str">
        <f aca="false">IF(INDEX(BookTitle,97)="","",INDEX(BookRank,97))</f>
        <v/>
      </c>
      <c r="I102" s="41" t="str">
        <f aca="false">IF(INDEX(BookTitle,97)="","",INDEX(BookTotal,97))</f>
        <v/>
      </c>
      <c r="J102" s="0" t="str">
        <f aca="false">IF($I102="","",IF(INDEX(BookQ1,97)&gt;0,"Q1",IF(INDEX(BookQ2,97)&gt;0,"Q2",IF(INDEX(BookQ3,97)&gt;0,"Q3",IF(INDEX(BookQ4,97)&gt;0,"Q4","")))))</f>
        <v/>
      </c>
      <c r="K102" s="42" t="str">
        <f aca="false">IF(INDEX(BookTitle,97)="","",INDEX(BookInYear,97))</f>
        <v/>
      </c>
      <c r="L102" s="19"/>
      <c r="M102" s="39"/>
      <c r="N102" s="19"/>
      <c r="O102" s="19"/>
      <c r="P102" s="43" t="str">
        <f aca="false">IF($E102="","",IF($L102="Decline",0,IF($L102="Approve fewer",IF($M102="","",$M102),IF($L102="","",$I102))))</f>
        <v/>
      </c>
      <c r="Q102" s="34" t="str">
        <f aca="false">IF($P102="","",IF($N102&lt;&gt;"",$N102,$J102))</f>
        <v/>
      </c>
      <c r="R102" s="35" t="str">
        <f aca="false">IF(OR($P102="",$Q102=""),"",INDEX(BookRate,97)*$P102*(5-MATCH($Q102,{"Q1";"Q2";"Q3";"Q4"},0))/4+INDEX(BookOneOff,97)*$P102)</f>
        <v/>
      </c>
      <c r="S102" s="35" t="str">
        <f aca="false">IF($P102="","",INDEX(BookRate,97)*$P102)</f>
        <v/>
      </c>
      <c r="T102" s="35" t="str">
        <f aca="false">IF($R102="","",$R102-$K102)</f>
        <v/>
      </c>
      <c r="U102" s="35" t="str">
        <f aca="false">IF(N($P102)&lt;=0,"",COUNTIF($P$6:$P102,"&gt;0"))</f>
        <v/>
      </c>
    </row>
    <row r="103" customFormat="false" ht="15" hidden="false" customHeight="false" outlineLevel="0" collapsed="false">
      <c r="A103" s="40" t="str">
        <f aca="false">IF(INDEX(BookTitle,98)="","",INDEX(BookGroup,98))</f>
        <v/>
      </c>
      <c r="B103" s="40" t="str">
        <f aca="false">IF(INDEX(BookTitle,98)="","",INDEX(BookRef,98))</f>
        <v/>
      </c>
      <c r="C103" s="40" t="str">
        <f aca="false">IF(INDEX(BookTitle,98)="","",INDEX(BookDivision,98))</f>
        <v/>
      </c>
      <c r="D103" s="40" t="str">
        <f aca="false">IF(INDEX(BookTitle,98)="","",INDEX(BookUnit,98))</f>
        <v/>
      </c>
      <c r="E103" s="40" t="str">
        <f aca="false">IF(INDEX(BookTitle,98)="","",INDEX(BookTitle,98))</f>
        <v/>
      </c>
      <c r="F103" s="40" t="str">
        <f aca="false">IF(INDEX(BookTitle,98)="","",INDEX(BookLevel,98))</f>
        <v/>
      </c>
      <c r="G103" s="40" t="str">
        <f aca="false">IF(INDEX(BookTitle,98)="","",INDEX(BookCategory,98))</f>
        <v/>
      </c>
      <c r="H103" s="40" t="str">
        <f aca="false">IF(INDEX(BookTitle,98)="","",INDEX(BookRank,98))</f>
        <v/>
      </c>
      <c r="I103" s="41" t="str">
        <f aca="false">IF(INDEX(BookTitle,98)="","",INDEX(BookTotal,98))</f>
        <v/>
      </c>
      <c r="J103" s="0" t="str">
        <f aca="false">IF($I103="","",IF(INDEX(BookQ1,98)&gt;0,"Q1",IF(INDEX(BookQ2,98)&gt;0,"Q2",IF(INDEX(BookQ3,98)&gt;0,"Q3",IF(INDEX(BookQ4,98)&gt;0,"Q4","")))))</f>
        <v/>
      </c>
      <c r="K103" s="42" t="str">
        <f aca="false">IF(INDEX(BookTitle,98)="","",INDEX(BookInYear,98))</f>
        <v/>
      </c>
      <c r="L103" s="19"/>
      <c r="M103" s="39"/>
      <c r="N103" s="19"/>
      <c r="O103" s="19"/>
      <c r="P103" s="43" t="str">
        <f aca="false">IF($E103="","",IF($L103="Decline",0,IF($L103="Approve fewer",IF($M103="","",$M103),IF($L103="","",$I103))))</f>
        <v/>
      </c>
      <c r="Q103" s="34" t="str">
        <f aca="false">IF($P103="","",IF($N103&lt;&gt;"",$N103,$J103))</f>
        <v/>
      </c>
      <c r="R103" s="35" t="str">
        <f aca="false">IF(OR($P103="",$Q103=""),"",INDEX(BookRate,98)*$P103*(5-MATCH($Q103,{"Q1";"Q2";"Q3";"Q4"},0))/4+INDEX(BookOneOff,98)*$P103)</f>
        <v/>
      </c>
      <c r="S103" s="35" t="str">
        <f aca="false">IF($P103="","",INDEX(BookRate,98)*$P103)</f>
        <v/>
      </c>
      <c r="T103" s="35" t="str">
        <f aca="false">IF($R103="","",$R103-$K103)</f>
        <v/>
      </c>
      <c r="U103" s="35" t="str">
        <f aca="false">IF(N($P103)&lt;=0,"",COUNTIF($P$6:$P103,"&gt;0"))</f>
        <v/>
      </c>
    </row>
    <row r="104" customFormat="false" ht="15" hidden="false" customHeight="false" outlineLevel="0" collapsed="false">
      <c r="A104" s="40" t="str">
        <f aca="false">IF(INDEX(BookTitle,99)="","",INDEX(BookGroup,99))</f>
        <v/>
      </c>
      <c r="B104" s="40" t="str">
        <f aca="false">IF(INDEX(BookTitle,99)="","",INDEX(BookRef,99))</f>
        <v/>
      </c>
      <c r="C104" s="40" t="str">
        <f aca="false">IF(INDEX(BookTitle,99)="","",INDEX(BookDivision,99))</f>
        <v/>
      </c>
      <c r="D104" s="40" t="str">
        <f aca="false">IF(INDEX(BookTitle,99)="","",INDEX(BookUnit,99))</f>
        <v/>
      </c>
      <c r="E104" s="40" t="str">
        <f aca="false">IF(INDEX(BookTitle,99)="","",INDEX(BookTitle,99))</f>
        <v/>
      </c>
      <c r="F104" s="40" t="str">
        <f aca="false">IF(INDEX(BookTitle,99)="","",INDEX(BookLevel,99))</f>
        <v/>
      </c>
      <c r="G104" s="40" t="str">
        <f aca="false">IF(INDEX(BookTitle,99)="","",INDEX(BookCategory,99))</f>
        <v/>
      </c>
      <c r="H104" s="40" t="str">
        <f aca="false">IF(INDEX(BookTitle,99)="","",INDEX(BookRank,99))</f>
        <v/>
      </c>
      <c r="I104" s="41" t="str">
        <f aca="false">IF(INDEX(BookTitle,99)="","",INDEX(BookTotal,99))</f>
        <v/>
      </c>
      <c r="J104" s="0" t="str">
        <f aca="false">IF($I104="","",IF(INDEX(BookQ1,99)&gt;0,"Q1",IF(INDEX(BookQ2,99)&gt;0,"Q2",IF(INDEX(BookQ3,99)&gt;0,"Q3",IF(INDEX(BookQ4,99)&gt;0,"Q4","")))))</f>
        <v/>
      </c>
      <c r="K104" s="42" t="str">
        <f aca="false">IF(INDEX(BookTitle,99)="","",INDEX(BookInYear,99))</f>
        <v/>
      </c>
      <c r="L104" s="19"/>
      <c r="M104" s="39"/>
      <c r="N104" s="19"/>
      <c r="O104" s="19"/>
      <c r="P104" s="43" t="str">
        <f aca="false">IF($E104="","",IF($L104="Decline",0,IF($L104="Approve fewer",IF($M104="","",$M104),IF($L104="","",$I104))))</f>
        <v/>
      </c>
      <c r="Q104" s="34" t="str">
        <f aca="false">IF($P104="","",IF($N104&lt;&gt;"",$N104,$J104))</f>
        <v/>
      </c>
      <c r="R104" s="35" t="str">
        <f aca="false">IF(OR($P104="",$Q104=""),"",INDEX(BookRate,99)*$P104*(5-MATCH($Q104,{"Q1";"Q2";"Q3";"Q4"},0))/4+INDEX(BookOneOff,99)*$P104)</f>
        <v/>
      </c>
      <c r="S104" s="35" t="str">
        <f aca="false">IF($P104="","",INDEX(BookRate,99)*$P104)</f>
        <v/>
      </c>
      <c r="T104" s="35" t="str">
        <f aca="false">IF($R104="","",$R104-$K104)</f>
        <v/>
      </c>
      <c r="U104" s="35" t="str">
        <f aca="false">IF(N($P104)&lt;=0,"",COUNTIF($P$6:$P104,"&gt;0"))</f>
        <v/>
      </c>
    </row>
    <row r="105" customFormat="false" ht="15" hidden="false" customHeight="false" outlineLevel="0" collapsed="false">
      <c r="A105" s="40" t="str">
        <f aca="false">IF(INDEX(BookTitle,100)="","",INDEX(BookGroup,100))</f>
        <v/>
      </c>
      <c r="B105" s="40" t="str">
        <f aca="false">IF(INDEX(BookTitle,100)="","",INDEX(BookRef,100))</f>
        <v/>
      </c>
      <c r="C105" s="40" t="str">
        <f aca="false">IF(INDEX(BookTitle,100)="","",INDEX(BookDivision,100))</f>
        <v/>
      </c>
      <c r="D105" s="40" t="str">
        <f aca="false">IF(INDEX(BookTitle,100)="","",INDEX(BookUnit,100))</f>
        <v/>
      </c>
      <c r="E105" s="40" t="str">
        <f aca="false">IF(INDEX(BookTitle,100)="","",INDEX(BookTitle,100))</f>
        <v/>
      </c>
      <c r="F105" s="40" t="str">
        <f aca="false">IF(INDEX(BookTitle,100)="","",INDEX(BookLevel,100))</f>
        <v/>
      </c>
      <c r="G105" s="40" t="str">
        <f aca="false">IF(INDEX(BookTitle,100)="","",INDEX(BookCategory,100))</f>
        <v/>
      </c>
      <c r="H105" s="40" t="str">
        <f aca="false">IF(INDEX(BookTitle,100)="","",INDEX(BookRank,100))</f>
        <v/>
      </c>
      <c r="I105" s="41" t="str">
        <f aca="false">IF(INDEX(BookTitle,100)="","",INDEX(BookTotal,100))</f>
        <v/>
      </c>
      <c r="J105" s="0" t="str">
        <f aca="false">IF($I105="","",IF(INDEX(BookQ1,100)&gt;0,"Q1",IF(INDEX(BookQ2,100)&gt;0,"Q2",IF(INDEX(BookQ3,100)&gt;0,"Q3",IF(INDEX(BookQ4,100)&gt;0,"Q4","")))))</f>
        <v/>
      </c>
      <c r="K105" s="42" t="str">
        <f aca="false">IF(INDEX(BookTitle,100)="","",INDEX(BookInYear,100))</f>
        <v/>
      </c>
      <c r="L105" s="19"/>
      <c r="M105" s="39"/>
      <c r="N105" s="19"/>
      <c r="O105" s="19"/>
      <c r="P105" s="43" t="str">
        <f aca="false">IF($E105="","",IF($L105="Decline",0,IF($L105="Approve fewer",IF($M105="","",$M105),IF($L105="","",$I105))))</f>
        <v/>
      </c>
      <c r="Q105" s="34" t="str">
        <f aca="false">IF($P105="","",IF($N105&lt;&gt;"",$N105,$J105))</f>
        <v/>
      </c>
      <c r="R105" s="35" t="str">
        <f aca="false">IF(OR($P105="",$Q105=""),"",INDEX(BookRate,100)*$P105*(5-MATCH($Q105,{"Q1";"Q2";"Q3";"Q4"},0))/4+INDEX(BookOneOff,100)*$P105)</f>
        <v/>
      </c>
      <c r="S105" s="35" t="str">
        <f aca="false">IF($P105="","",INDEX(BookRate,100)*$P105)</f>
        <v/>
      </c>
      <c r="T105" s="35" t="str">
        <f aca="false">IF($R105="","",$R105-$K105)</f>
        <v/>
      </c>
      <c r="U105" s="35" t="str">
        <f aca="false">IF(N($P105)&lt;=0,"",COUNTIF($P$6:$P105,"&gt;0"))</f>
        <v/>
      </c>
    </row>
    <row r="106" customFormat="false" ht="15" hidden="false" customHeight="false" outlineLevel="0" collapsed="false">
      <c r="A106" s="40" t="str">
        <f aca="false">IF(INDEX(BookTitle,101)="","",INDEX(BookGroup,101))</f>
        <v/>
      </c>
      <c r="B106" s="40" t="str">
        <f aca="false">IF(INDEX(BookTitle,101)="","",INDEX(BookRef,101))</f>
        <v/>
      </c>
      <c r="C106" s="40" t="str">
        <f aca="false">IF(INDEX(BookTitle,101)="","",INDEX(BookDivision,101))</f>
        <v/>
      </c>
      <c r="D106" s="40" t="str">
        <f aca="false">IF(INDEX(BookTitle,101)="","",INDEX(BookUnit,101))</f>
        <v/>
      </c>
      <c r="E106" s="40" t="str">
        <f aca="false">IF(INDEX(BookTitle,101)="","",INDEX(BookTitle,101))</f>
        <v/>
      </c>
      <c r="F106" s="40" t="str">
        <f aca="false">IF(INDEX(BookTitle,101)="","",INDEX(BookLevel,101))</f>
        <v/>
      </c>
      <c r="G106" s="40" t="str">
        <f aca="false">IF(INDEX(BookTitle,101)="","",INDEX(BookCategory,101))</f>
        <v/>
      </c>
      <c r="H106" s="40" t="str">
        <f aca="false">IF(INDEX(BookTitle,101)="","",INDEX(BookRank,101))</f>
        <v/>
      </c>
      <c r="I106" s="41" t="str">
        <f aca="false">IF(INDEX(BookTitle,101)="","",INDEX(BookTotal,101))</f>
        <v/>
      </c>
      <c r="J106" s="0" t="str">
        <f aca="false">IF($I106="","",IF(INDEX(BookQ1,101)&gt;0,"Q1",IF(INDEX(BookQ2,101)&gt;0,"Q2",IF(INDEX(BookQ3,101)&gt;0,"Q3",IF(INDEX(BookQ4,101)&gt;0,"Q4","")))))</f>
        <v/>
      </c>
      <c r="K106" s="42" t="str">
        <f aca="false">IF(INDEX(BookTitle,101)="","",INDEX(BookInYear,101))</f>
        <v/>
      </c>
      <c r="L106" s="19"/>
      <c r="M106" s="39"/>
      <c r="N106" s="19"/>
      <c r="O106" s="19"/>
      <c r="P106" s="43" t="str">
        <f aca="false">IF($E106="","",IF($L106="Decline",0,IF($L106="Approve fewer",IF($M106="","",$M106),IF($L106="","",$I106))))</f>
        <v/>
      </c>
      <c r="Q106" s="34" t="str">
        <f aca="false">IF($P106="","",IF($N106&lt;&gt;"",$N106,$J106))</f>
        <v/>
      </c>
      <c r="R106" s="35" t="str">
        <f aca="false">IF(OR($P106="",$Q106=""),"",INDEX(BookRate,101)*$P106*(5-MATCH($Q106,{"Q1";"Q2";"Q3";"Q4"},0))/4+INDEX(BookOneOff,101)*$P106)</f>
        <v/>
      </c>
      <c r="S106" s="35" t="str">
        <f aca="false">IF($P106="","",INDEX(BookRate,101)*$P106)</f>
        <v/>
      </c>
      <c r="T106" s="35" t="str">
        <f aca="false">IF($R106="","",$R106-$K106)</f>
        <v/>
      </c>
      <c r="U106" s="35" t="str">
        <f aca="false">IF(N($P106)&lt;=0,"",COUNTIF($P$6:$P106,"&gt;0"))</f>
        <v/>
      </c>
    </row>
    <row r="107" customFormat="false" ht="15" hidden="false" customHeight="false" outlineLevel="0" collapsed="false">
      <c r="A107" s="40" t="str">
        <f aca="false">IF(INDEX(BookTitle,102)="","",INDEX(BookGroup,102))</f>
        <v/>
      </c>
      <c r="B107" s="40" t="str">
        <f aca="false">IF(INDEX(BookTitle,102)="","",INDEX(BookRef,102))</f>
        <v/>
      </c>
      <c r="C107" s="40" t="str">
        <f aca="false">IF(INDEX(BookTitle,102)="","",INDEX(BookDivision,102))</f>
        <v/>
      </c>
      <c r="D107" s="40" t="str">
        <f aca="false">IF(INDEX(BookTitle,102)="","",INDEX(BookUnit,102))</f>
        <v/>
      </c>
      <c r="E107" s="40" t="str">
        <f aca="false">IF(INDEX(BookTitle,102)="","",INDEX(BookTitle,102))</f>
        <v/>
      </c>
      <c r="F107" s="40" t="str">
        <f aca="false">IF(INDEX(BookTitle,102)="","",INDEX(BookLevel,102))</f>
        <v/>
      </c>
      <c r="G107" s="40" t="str">
        <f aca="false">IF(INDEX(BookTitle,102)="","",INDEX(BookCategory,102))</f>
        <v/>
      </c>
      <c r="H107" s="40" t="str">
        <f aca="false">IF(INDEX(BookTitle,102)="","",INDEX(BookRank,102))</f>
        <v/>
      </c>
      <c r="I107" s="41" t="str">
        <f aca="false">IF(INDEX(BookTitle,102)="","",INDEX(BookTotal,102))</f>
        <v/>
      </c>
      <c r="J107" s="0" t="str">
        <f aca="false">IF($I107="","",IF(INDEX(BookQ1,102)&gt;0,"Q1",IF(INDEX(BookQ2,102)&gt;0,"Q2",IF(INDEX(BookQ3,102)&gt;0,"Q3",IF(INDEX(BookQ4,102)&gt;0,"Q4","")))))</f>
        <v/>
      </c>
      <c r="K107" s="42" t="str">
        <f aca="false">IF(INDEX(BookTitle,102)="","",INDEX(BookInYear,102))</f>
        <v/>
      </c>
      <c r="L107" s="19"/>
      <c r="M107" s="39"/>
      <c r="N107" s="19"/>
      <c r="O107" s="19"/>
      <c r="P107" s="43" t="str">
        <f aca="false">IF($E107="","",IF($L107="Decline",0,IF($L107="Approve fewer",IF($M107="","",$M107),IF($L107="","",$I107))))</f>
        <v/>
      </c>
      <c r="Q107" s="34" t="str">
        <f aca="false">IF($P107="","",IF($N107&lt;&gt;"",$N107,$J107))</f>
        <v/>
      </c>
      <c r="R107" s="35" t="str">
        <f aca="false">IF(OR($P107="",$Q107=""),"",INDEX(BookRate,102)*$P107*(5-MATCH($Q107,{"Q1";"Q2";"Q3";"Q4"},0))/4+INDEX(BookOneOff,102)*$P107)</f>
        <v/>
      </c>
      <c r="S107" s="35" t="str">
        <f aca="false">IF($P107="","",INDEX(BookRate,102)*$P107)</f>
        <v/>
      </c>
      <c r="T107" s="35" t="str">
        <f aca="false">IF($R107="","",$R107-$K107)</f>
        <v/>
      </c>
      <c r="U107" s="35" t="str">
        <f aca="false">IF(N($P107)&lt;=0,"",COUNTIF($P$6:$P107,"&gt;0"))</f>
        <v/>
      </c>
    </row>
    <row r="108" customFormat="false" ht="15" hidden="false" customHeight="false" outlineLevel="0" collapsed="false">
      <c r="A108" s="40" t="str">
        <f aca="false">IF(INDEX(BookTitle,103)="","",INDEX(BookGroup,103))</f>
        <v/>
      </c>
      <c r="B108" s="40" t="str">
        <f aca="false">IF(INDEX(BookTitle,103)="","",INDEX(BookRef,103))</f>
        <v/>
      </c>
      <c r="C108" s="40" t="str">
        <f aca="false">IF(INDEX(BookTitle,103)="","",INDEX(BookDivision,103))</f>
        <v/>
      </c>
      <c r="D108" s="40" t="str">
        <f aca="false">IF(INDEX(BookTitle,103)="","",INDEX(BookUnit,103))</f>
        <v/>
      </c>
      <c r="E108" s="40" t="str">
        <f aca="false">IF(INDEX(BookTitle,103)="","",INDEX(BookTitle,103))</f>
        <v/>
      </c>
      <c r="F108" s="40" t="str">
        <f aca="false">IF(INDEX(BookTitle,103)="","",INDEX(BookLevel,103))</f>
        <v/>
      </c>
      <c r="G108" s="40" t="str">
        <f aca="false">IF(INDEX(BookTitle,103)="","",INDEX(BookCategory,103))</f>
        <v/>
      </c>
      <c r="H108" s="40" t="str">
        <f aca="false">IF(INDEX(BookTitle,103)="","",INDEX(BookRank,103))</f>
        <v/>
      </c>
      <c r="I108" s="41" t="str">
        <f aca="false">IF(INDEX(BookTitle,103)="","",INDEX(BookTotal,103))</f>
        <v/>
      </c>
      <c r="J108" s="0" t="str">
        <f aca="false">IF($I108="","",IF(INDEX(BookQ1,103)&gt;0,"Q1",IF(INDEX(BookQ2,103)&gt;0,"Q2",IF(INDEX(BookQ3,103)&gt;0,"Q3",IF(INDEX(BookQ4,103)&gt;0,"Q4","")))))</f>
        <v/>
      </c>
      <c r="K108" s="42" t="str">
        <f aca="false">IF(INDEX(BookTitle,103)="","",INDEX(BookInYear,103))</f>
        <v/>
      </c>
      <c r="L108" s="19"/>
      <c r="M108" s="39"/>
      <c r="N108" s="19"/>
      <c r="O108" s="19"/>
      <c r="P108" s="43" t="str">
        <f aca="false">IF($E108="","",IF($L108="Decline",0,IF($L108="Approve fewer",IF($M108="","",$M108),IF($L108="","",$I108))))</f>
        <v/>
      </c>
      <c r="Q108" s="34" t="str">
        <f aca="false">IF($P108="","",IF($N108&lt;&gt;"",$N108,$J108))</f>
        <v/>
      </c>
      <c r="R108" s="35" t="str">
        <f aca="false">IF(OR($P108="",$Q108=""),"",INDEX(BookRate,103)*$P108*(5-MATCH($Q108,{"Q1";"Q2";"Q3";"Q4"},0))/4+INDEX(BookOneOff,103)*$P108)</f>
        <v/>
      </c>
      <c r="S108" s="35" t="str">
        <f aca="false">IF($P108="","",INDEX(BookRate,103)*$P108)</f>
        <v/>
      </c>
      <c r="T108" s="35" t="str">
        <f aca="false">IF($R108="","",$R108-$K108)</f>
        <v/>
      </c>
      <c r="U108" s="35" t="str">
        <f aca="false">IF(N($P108)&lt;=0,"",COUNTIF($P$6:$P108,"&gt;0"))</f>
        <v/>
      </c>
    </row>
    <row r="109" customFormat="false" ht="15" hidden="false" customHeight="false" outlineLevel="0" collapsed="false">
      <c r="A109" s="40" t="str">
        <f aca="false">IF(INDEX(BookTitle,104)="","",INDEX(BookGroup,104))</f>
        <v/>
      </c>
      <c r="B109" s="40" t="str">
        <f aca="false">IF(INDEX(BookTitle,104)="","",INDEX(BookRef,104))</f>
        <v/>
      </c>
      <c r="C109" s="40" t="str">
        <f aca="false">IF(INDEX(BookTitle,104)="","",INDEX(BookDivision,104))</f>
        <v/>
      </c>
      <c r="D109" s="40" t="str">
        <f aca="false">IF(INDEX(BookTitle,104)="","",INDEX(BookUnit,104))</f>
        <v/>
      </c>
      <c r="E109" s="40" t="str">
        <f aca="false">IF(INDEX(BookTitle,104)="","",INDEX(BookTitle,104))</f>
        <v/>
      </c>
      <c r="F109" s="40" t="str">
        <f aca="false">IF(INDEX(BookTitle,104)="","",INDEX(BookLevel,104))</f>
        <v/>
      </c>
      <c r="G109" s="40" t="str">
        <f aca="false">IF(INDEX(BookTitle,104)="","",INDEX(BookCategory,104))</f>
        <v/>
      </c>
      <c r="H109" s="40" t="str">
        <f aca="false">IF(INDEX(BookTitle,104)="","",INDEX(BookRank,104))</f>
        <v/>
      </c>
      <c r="I109" s="41" t="str">
        <f aca="false">IF(INDEX(BookTitle,104)="","",INDEX(BookTotal,104))</f>
        <v/>
      </c>
      <c r="J109" s="0" t="str">
        <f aca="false">IF($I109="","",IF(INDEX(BookQ1,104)&gt;0,"Q1",IF(INDEX(BookQ2,104)&gt;0,"Q2",IF(INDEX(BookQ3,104)&gt;0,"Q3",IF(INDEX(BookQ4,104)&gt;0,"Q4","")))))</f>
        <v/>
      </c>
      <c r="K109" s="42" t="str">
        <f aca="false">IF(INDEX(BookTitle,104)="","",INDEX(BookInYear,104))</f>
        <v/>
      </c>
      <c r="L109" s="19"/>
      <c r="M109" s="39"/>
      <c r="N109" s="19"/>
      <c r="O109" s="19"/>
      <c r="P109" s="43" t="str">
        <f aca="false">IF($E109="","",IF($L109="Decline",0,IF($L109="Approve fewer",IF($M109="","",$M109),IF($L109="","",$I109))))</f>
        <v/>
      </c>
      <c r="Q109" s="34" t="str">
        <f aca="false">IF($P109="","",IF($N109&lt;&gt;"",$N109,$J109))</f>
        <v/>
      </c>
      <c r="R109" s="35" t="str">
        <f aca="false">IF(OR($P109="",$Q109=""),"",INDEX(BookRate,104)*$P109*(5-MATCH($Q109,{"Q1";"Q2";"Q3";"Q4"},0))/4+INDEX(BookOneOff,104)*$P109)</f>
        <v/>
      </c>
      <c r="S109" s="35" t="str">
        <f aca="false">IF($P109="","",INDEX(BookRate,104)*$P109)</f>
        <v/>
      </c>
      <c r="T109" s="35" t="str">
        <f aca="false">IF($R109="","",$R109-$K109)</f>
        <v/>
      </c>
      <c r="U109" s="35" t="str">
        <f aca="false">IF(N($P109)&lt;=0,"",COUNTIF($P$6:$P109,"&gt;0"))</f>
        <v/>
      </c>
    </row>
    <row r="110" customFormat="false" ht="15" hidden="false" customHeight="false" outlineLevel="0" collapsed="false">
      <c r="A110" s="40" t="str">
        <f aca="false">IF(INDEX(BookTitle,105)="","",INDEX(BookGroup,105))</f>
        <v/>
      </c>
      <c r="B110" s="40" t="str">
        <f aca="false">IF(INDEX(BookTitle,105)="","",INDEX(BookRef,105))</f>
        <v/>
      </c>
      <c r="C110" s="40" t="str">
        <f aca="false">IF(INDEX(BookTitle,105)="","",INDEX(BookDivision,105))</f>
        <v/>
      </c>
      <c r="D110" s="40" t="str">
        <f aca="false">IF(INDEX(BookTitle,105)="","",INDEX(BookUnit,105))</f>
        <v/>
      </c>
      <c r="E110" s="40" t="str">
        <f aca="false">IF(INDEX(BookTitle,105)="","",INDEX(BookTitle,105))</f>
        <v/>
      </c>
      <c r="F110" s="40" t="str">
        <f aca="false">IF(INDEX(BookTitle,105)="","",INDEX(BookLevel,105))</f>
        <v/>
      </c>
      <c r="G110" s="40" t="str">
        <f aca="false">IF(INDEX(BookTitle,105)="","",INDEX(BookCategory,105))</f>
        <v/>
      </c>
      <c r="H110" s="40" t="str">
        <f aca="false">IF(INDEX(BookTitle,105)="","",INDEX(BookRank,105))</f>
        <v/>
      </c>
      <c r="I110" s="41" t="str">
        <f aca="false">IF(INDEX(BookTitle,105)="","",INDEX(BookTotal,105))</f>
        <v/>
      </c>
      <c r="J110" s="0" t="str">
        <f aca="false">IF($I110="","",IF(INDEX(BookQ1,105)&gt;0,"Q1",IF(INDEX(BookQ2,105)&gt;0,"Q2",IF(INDEX(BookQ3,105)&gt;0,"Q3",IF(INDEX(BookQ4,105)&gt;0,"Q4","")))))</f>
        <v/>
      </c>
      <c r="K110" s="42" t="str">
        <f aca="false">IF(INDEX(BookTitle,105)="","",INDEX(BookInYear,105))</f>
        <v/>
      </c>
      <c r="L110" s="19"/>
      <c r="M110" s="39"/>
      <c r="N110" s="19"/>
      <c r="O110" s="19"/>
      <c r="P110" s="43" t="str">
        <f aca="false">IF($E110="","",IF($L110="Decline",0,IF($L110="Approve fewer",IF($M110="","",$M110),IF($L110="","",$I110))))</f>
        <v/>
      </c>
      <c r="Q110" s="34" t="str">
        <f aca="false">IF($P110="","",IF($N110&lt;&gt;"",$N110,$J110))</f>
        <v/>
      </c>
      <c r="R110" s="35" t="str">
        <f aca="false">IF(OR($P110="",$Q110=""),"",INDEX(BookRate,105)*$P110*(5-MATCH($Q110,{"Q1";"Q2";"Q3";"Q4"},0))/4+INDEX(BookOneOff,105)*$P110)</f>
        <v/>
      </c>
      <c r="S110" s="35" t="str">
        <f aca="false">IF($P110="","",INDEX(BookRate,105)*$P110)</f>
        <v/>
      </c>
      <c r="T110" s="35" t="str">
        <f aca="false">IF($R110="","",$R110-$K110)</f>
        <v/>
      </c>
      <c r="U110" s="35" t="str">
        <f aca="false">IF(N($P110)&lt;=0,"",COUNTIF($P$6:$P110,"&gt;0"))</f>
        <v/>
      </c>
    </row>
    <row r="111" customFormat="false" ht="15" hidden="false" customHeight="false" outlineLevel="0" collapsed="false">
      <c r="A111" s="40" t="str">
        <f aca="false">IF(INDEX(BookTitle,106)="","",INDEX(BookGroup,106))</f>
        <v/>
      </c>
      <c r="B111" s="40" t="str">
        <f aca="false">IF(INDEX(BookTitle,106)="","",INDEX(BookRef,106))</f>
        <v/>
      </c>
      <c r="C111" s="40" t="str">
        <f aca="false">IF(INDEX(BookTitle,106)="","",INDEX(BookDivision,106))</f>
        <v/>
      </c>
      <c r="D111" s="40" t="str">
        <f aca="false">IF(INDEX(BookTitle,106)="","",INDEX(BookUnit,106))</f>
        <v/>
      </c>
      <c r="E111" s="40" t="str">
        <f aca="false">IF(INDEX(BookTitle,106)="","",INDEX(BookTitle,106))</f>
        <v/>
      </c>
      <c r="F111" s="40" t="str">
        <f aca="false">IF(INDEX(BookTitle,106)="","",INDEX(BookLevel,106))</f>
        <v/>
      </c>
      <c r="G111" s="40" t="str">
        <f aca="false">IF(INDEX(BookTitle,106)="","",INDEX(BookCategory,106))</f>
        <v/>
      </c>
      <c r="H111" s="40" t="str">
        <f aca="false">IF(INDEX(BookTitle,106)="","",INDEX(BookRank,106))</f>
        <v/>
      </c>
      <c r="I111" s="41" t="str">
        <f aca="false">IF(INDEX(BookTitle,106)="","",INDEX(BookTotal,106))</f>
        <v/>
      </c>
      <c r="J111" s="0" t="str">
        <f aca="false">IF($I111="","",IF(INDEX(BookQ1,106)&gt;0,"Q1",IF(INDEX(BookQ2,106)&gt;0,"Q2",IF(INDEX(BookQ3,106)&gt;0,"Q3",IF(INDEX(BookQ4,106)&gt;0,"Q4","")))))</f>
        <v/>
      </c>
      <c r="K111" s="42" t="str">
        <f aca="false">IF(INDEX(BookTitle,106)="","",INDEX(BookInYear,106))</f>
        <v/>
      </c>
      <c r="L111" s="19"/>
      <c r="M111" s="39"/>
      <c r="N111" s="19"/>
      <c r="O111" s="19"/>
      <c r="P111" s="43" t="str">
        <f aca="false">IF($E111="","",IF($L111="Decline",0,IF($L111="Approve fewer",IF($M111="","",$M111),IF($L111="","",$I111))))</f>
        <v/>
      </c>
      <c r="Q111" s="34" t="str">
        <f aca="false">IF($P111="","",IF($N111&lt;&gt;"",$N111,$J111))</f>
        <v/>
      </c>
      <c r="R111" s="35" t="str">
        <f aca="false">IF(OR($P111="",$Q111=""),"",INDEX(BookRate,106)*$P111*(5-MATCH($Q111,{"Q1";"Q2";"Q3";"Q4"},0))/4+INDEX(BookOneOff,106)*$P111)</f>
        <v/>
      </c>
      <c r="S111" s="35" t="str">
        <f aca="false">IF($P111="","",INDEX(BookRate,106)*$P111)</f>
        <v/>
      </c>
      <c r="T111" s="35" t="str">
        <f aca="false">IF($R111="","",$R111-$K111)</f>
        <v/>
      </c>
      <c r="U111" s="35" t="str">
        <f aca="false">IF(N($P111)&lt;=0,"",COUNTIF($P$6:$P111,"&gt;0"))</f>
        <v/>
      </c>
    </row>
    <row r="112" customFormat="false" ht="15" hidden="false" customHeight="false" outlineLevel="0" collapsed="false">
      <c r="A112" s="40" t="str">
        <f aca="false">IF(INDEX(BookTitle,107)="","",INDEX(BookGroup,107))</f>
        <v/>
      </c>
      <c r="B112" s="40" t="str">
        <f aca="false">IF(INDEX(BookTitle,107)="","",INDEX(BookRef,107))</f>
        <v/>
      </c>
      <c r="C112" s="40" t="str">
        <f aca="false">IF(INDEX(BookTitle,107)="","",INDEX(BookDivision,107))</f>
        <v/>
      </c>
      <c r="D112" s="40" t="str">
        <f aca="false">IF(INDEX(BookTitle,107)="","",INDEX(BookUnit,107))</f>
        <v/>
      </c>
      <c r="E112" s="40" t="str">
        <f aca="false">IF(INDEX(BookTitle,107)="","",INDEX(BookTitle,107))</f>
        <v/>
      </c>
      <c r="F112" s="40" t="str">
        <f aca="false">IF(INDEX(BookTitle,107)="","",INDEX(BookLevel,107))</f>
        <v/>
      </c>
      <c r="G112" s="40" t="str">
        <f aca="false">IF(INDEX(BookTitle,107)="","",INDEX(BookCategory,107))</f>
        <v/>
      </c>
      <c r="H112" s="40" t="str">
        <f aca="false">IF(INDEX(BookTitle,107)="","",INDEX(BookRank,107))</f>
        <v/>
      </c>
      <c r="I112" s="41" t="str">
        <f aca="false">IF(INDEX(BookTitle,107)="","",INDEX(BookTotal,107))</f>
        <v/>
      </c>
      <c r="J112" s="0" t="str">
        <f aca="false">IF($I112="","",IF(INDEX(BookQ1,107)&gt;0,"Q1",IF(INDEX(BookQ2,107)&gt;0,"Q2",IF(INDEX(BookQ3,107)&gt;0,"Q3",IF(INDEX(BookQ4,107)&gt;0,"Q4","")))))</f>
        <v/>
      </c>
      <c r="K112" s="42" t="str">
        <f aca="false">IF(INDEX(BookTitle,107)="","",INDEX(BookInYear,107))</f>
        <v/>
      </c>
      <c r="L112" s="19"/>
      <c r="M112" s="39"/>
      <c r="N112" s="19"/>
      <c r="O112" s="19"/>
      <c r="P112" s="43" t="str">
        <f aca="false">IF($E112="","",IF($L112="Decline",0,IF($L112="Approve fewer",IF($M112="","",$M112),IF($L112="","",$I112))))</f>
        <v/>
      </c>
      <c r="Q112" s="34" t="str">
        <f aca="false">IF($P112="","",IF($N112&lt;&gt;"",$N112,$J112))</f>
        <v/>
      </c>
      <c r="R112" s="35" t="str">
        <f aca="false">IF(OR($P112="",$Q112=""),"",INDEX(BookRate,107)*$P112*(5-MATCH($Q112,{"Q1";"Q2";"Q3";"Q4"},0))/4+INDEX(BookOneOff,107)*$P112)</f>
        <v/>
      </c>
      <c r="S112" s="35" t="str">
        <f aca="false">IF($P112="","",INDEX(BookRate,107)*$P112)</f>
        <v/>
      </c>
      <c r="T112" s="35" t="str">
        <f aca="false">IF($R112="","",$R112-$K112)</f>
        <v/>
      </c>
      <c r="U112" s="35" t="str">
        <f aca="false">IF(N($P112)&lt;=0,"",COUNTIF($P$6:$P112,"&gt;0"))</f>
        <v/>
      </c>
    </row>
    <row r="113" customFormat="false" ht="15" hidden="false" customHeight="false" outlineLevel="0" collapsed="false">
      <c r="A113" s="40" t="str">
        <f aca="false">IF(INDEX(BookTitle,108)="","",INDEX(BookGroup,108))</f>
        <v/>
      </c>
      <c r="B113" s="40" t="str">
        <f aca="false">IF(INDEX(BookTitle,108)="","",INDEX(BookRef,108))</f>
        <v/>
      </c>
      <c r="C113" s="40" t="str">
        <f aca="false">IF(INDEX(BookTitle,108)="","",INDEX(BookDivision,108))</f>
        <v/>
      </c>
      <c r="D113" s="40" t="str">
        <f aca="false">IF(INDEX(BookTitle,108)="","",INDEX(BookUnit,108))</f>
        <v/>
      </c>
      <c r="E113" s="40" t="str">
        <f aca="false">IF(INDEX(BookTitle,108)="","",INDEX(BookTitle,108))</f>
        <v/>
      </c>
      <c r="F113" s="40" t="str">
        <f aca="false">IF(INDEX(BookTitle,108)="","",INDEX(BookLevel,108))</f>
        <v/>
      </c>
      <c r="G113" s="40" t="str">
        <f aca="false">IF(INDEX(BookTitle,108)="","",INDEX(BookCategory,108))</f>
        <v/>
      </c>
      <c r="H113" s="40" t="str">
        <f aca="false">IF(INDEX(BookTitle,108)="","",INDEX(BookRank,108))</f>
        <v/>
      </c>
      <c r="I113" s="41" t="str">
        <f aca="false">IF(INDEX(BookTitle,108)="","",INDEX(BookTotal,108))</f>
        <v/>
      </c>
      <c r="J113" s="0" t="str">
        <f aca="false">IF($I113="","",IF(INDEX(BookQ1,108)&gt;0,"Q1",IF(INDEX(BookQ2,108)&gt;0,"Q2",IF(INDEX(BookQ3,108)&gt;0,"Q3",IF(INDEX(BookQ4,108)&gt;0,"Q4","")))))</f>
        <v/>
      </c>
      <c r="K113" s="42" t="str">
        <f aca="false">IF(INDEX(BookTitle,108)="","",INDEX(BookInYear,108))</f>
        <v/>
      </c>
      <c r="L113" s="19"/>
      <c r="M113" s="39"/>
      <c r="N113" s="19"/>
      <c r="O113" s="19"/>
      <c r="P113" s="43" t="str">
        <f aca="false">IF($E113="","",IF($L113="Decline",0,IF($L113="Approve fewer",IF($M113="","",$M113),IF($L113="","",$I113))))</f>
        <v/>
      </c>
      <c r="Q113" s="34" t="str">
        <f aca="false">IF($P113="","",IF($N113&lt;&gt;"",$N113,$J113))</f>
        <v/>
      </c>
      <c r="R113" s="35" t="str">
        <f aca="false">IF(OR($P113="",$Q113=""),"",INDEX(BookRate,108)*$P113*(5-MATCH($Q113,{"Q1";"Q2";"Q3";"Q4"},0))/4+INDEX(BookOneOff,108)*$P113)</f>
        <v/>
      </c>
      <c r="S113" s="35" t="str">
        <f aca="false">IF($P113="","",INDEX(BookRate,108)*$P113)</f>
        <v/>
      </c>
      <c r="T113" s="35" t="str">
        <f aca="false">IF($R113="","",$R113-$K113)</f>
        <v/>
      </c>
      <c r="U113" s="35" t="str">
        <f aca="false">IF(N($P113)&lt;=0,"",COUNTIF($P$6:$P113,"&gt;0"))</f>
        <v/>
      </c>
    </row>
    <row r="114" customFormat="false" ht="15" hidden="false" customHeight="false" outlineLevel="0" collapsed="false">
      <c r="A114" s="40" t="str">
        <f aca="false">IF(INDEX(BookTitle,109)="","",INDEX(BookGroup,109))</f>
        <v/>
      </c>
      <c r="B114" s="40" t="str">
        <f aca="false">IF(INDEX(BookTitle,109)="","",INDEX(BookRef,109))</f>
        <v/>
      </c>
      <c r="C114" s="40" t="str">
        <f aca="false">IF(INDEX(BookTitle,109)="","",INDEX(BookDivision,109))</f>
        <v/>
      </c>
      <c r="D114" s="40" t="str">
        <f aca="false">IF(INDEX(BookTitle,109)="","",INDEX(BookUnit,109))</f>
        <v/>
      </c>
      <c r="E114" s="40" t="str">
        <f aca="false">IF(INDEX(BookTitle,109)="","",INDEX(BookTitle,109))</f>
        <v/>
      </c>
      <c r="F114" s="40" t="str">
        <f aca="false">IF(INDEX(BookTitle,109)="","",INDEX(BookLevel,109))</f>
        <v/>
      </c>
      <c r="G114" s="40" t="str">
        <f aca="false">IF(INDEX(BookTitle,109)="","",INDEX(BookCategory,109))</f>
        <v/>
      </c>
      <c r="H114" s="40" t="str">
        <f aca="false">IF(INDEX(BookTitle,109)="","",INDEX(BookRank,109))</f>
        <v/>
      </c>
      <c r="I114" s="41" t="str">
        <f aca="false">IF(INDEX(BookTitle,109)="","",INDEX(BookTotal,109))</f>
        <v/>
      </c>
      <c r="J114" s="0" t="str">
        <f aca="false">IF($I114="","",IF(INDEX(BookQ1,109)&gt;0,"Q1",IF(INDEX(BookQ2,109)&gt;0,"Q2",IF(INDEX(BookQ3,109)&gt;0,"Q3",IF(INDEX(BookQ4,109)&gt;0,"Q4","")))))</f>
        <v/>
      </c>
      <c r="K114" s="42" t="str">
        <f aca="false">IF(INDEX(BookTitle,109)="","",INDEX(BookInYear,109))</f>
        <v/>
      </c>
      <c r="L114" s="19"/>
      <c r="M114" s="39"/>
      <c r="N114" s="19"/>
      <c r="O114" s="19"/>
      <c r="P114" s="43" t="str">
        <f aca="false">IF($E114="","",IF($L114="Decline",0,IF($L114="Approve fewer",IF($M114="","",$M114),IF($L114="","",$I114))))</f>
        <v/>
      </c>
      <c r="Q114" s="34" t="str">
        <f aca="false">IF($P114="","",IF($N114&lt;&gt;"",$N114,$J114))</f>
        <v/>
      </c>
      <c r="R114" s="35" t="str">
        <f aca="false">IF(OR($P114="",$Q114=""),"",INDEX(BookRate,109)*$P114*(5-MATCH($Q114,{"Q1";"Q2";"Q3";"Q4"},0))/4+INDEX(BookOneOff,109)*$P114)</f>
        <v/>
      </c>
      <c r="S114" s="35" t="str">
        <f aca="false">IF($P114="","",INDEX(BookRate,109)*$P114)</f>
        <v/>
      </c>
      <c r="T114" s="35" t="str">
        <f aca="false">IF($R114="","",$R114-$K114)</f>
        <v/>
      </c>
      <c r="U114" s="35" t="str">
        <f aca="false">IF(N($P114)&lt;=0,"",COUNTIF($P$6:$P114,"&gt;0"))</f>
        <v/>
      </c>
    </row>
    <row r="115" customFormat="false" ht="15" hidden="false" customHeight="false" outlineLevel="0" collapsed="false">
      <c r="A115" s="40" t="str">
        <f aca="false">IF(INDEX(BookTitle,110)="","",INDEX(BookGroup,110))</f>
        <v/>
      </c>
      <c r="B115" s="40" t="str">
        <f aca="false">IF(INDEX(BookTitle,110)="","",INDEX(BookRef,110))</f>
        <v/>
      </c>
      <c r="C115" s="40" t="str">
        <f aca="false">IF(INDEX(BookTitle,110)="","",INDEX(BookDivision,110))</f>
        <v/>
      </c>
      <c r="D115" s="40" t="str">
        <f aca="false">IF(INDEX(BookTitle,110)="","",INDEX(BookUnit,110))</f>
        <v/>
      </c>
      <c r="E115" s="40" t="str">
        <f aca="false">IF(INDEX(BookTitle,110)="","",INDEX(BookTitle,110))</f>
        <v/>
      </c>
      <c r="F115" s="40" t="str">
        <f aca="false">IF(INDEX(BookTitle,110)="","",INDEX(BookLevel,110))</f>
        <v/>
      </c>
      <c r="G115" s="40" t="str">
        <f aca="false">IF(INDEX(BookTitle,110)="","",INDEX(BookCategory,110))</f>
        <v/>
      </c>
      <c r="H115" s="40" t="str">
        <f aca="false">IF(INDEX(BookTitle,110)="","",INDEX(BookRank,110))</f>
        <v/>
      </c>
      <c r="I115" s="41" t="str">
        <f aca="false">IF(INDEX(BookTitle,110)="","",INDEX(BookTotal,110))</f>
        <v/>
      </c>
      <c r="J115" s="0" t="str">
        <f aca="false">IF($I115="","",IF(INDEX(BookQ1,110)&gt;0,"Q1",IF(INDEX(BookQ2,110)&gt;0,"Q2",IF(INDEX(BookQ3,110)&gt;0,"Q3",IF(INDEX(BookQ4,110)&gt;0,"Q4","")))))</f>
        <v/>
      </c>
      <c r="K115" s="42" t="str">
        <f aca="false">IF(INDEX(BookTitle,110)="","",INDEX(BookInYear,110))</f>
        <v/>
      </c>
      <c r="L115" s="19"/>
      <c r="M115" s="39"/>
      <c r="N115" s="19"/>
      <c r="O115" s="19"/>
      <c r="P115" s="43" t="str">
        <f aca="false">IF($E115="","",IF($L115="Decline",0,IF($L115="Approve fewer",IF($M115="","",$M115),IF($L115="","",$I115))))</f>
        <v/>
      </c>
      <c r="Q115" s="34" t="str">
        <f aca="false">IF($P115="","",IF($N115&lt;&gt;"",$N115,$J115))</f>
        <v/>
      </c>
      <c r="R115" s="35" t="str">
        <f aca="false">IF(OR($P115="",$Q115=""),"",INDEX(BookRate,110)*$P115*(5-MATCH($Q115,{"Q1";"Q2";"Q3";"Q4"},0))/4+INDEX(BookOneOff,110)*$P115)</f>
        <v/>
      </c>
      <c r="S115" s="35" t="str">
        <f aca="false">IF($P115="","",INDEX(BookRate,110)*$P115)</f>
        <v/>
      </c>
      <c r="T115" s="35" t="str">
        <f aca="false">IF($R115="","",$R115-$K115)</f>
        <v/>
      </c>
      <c r="U115" s="35" t="str">
        <f aca="false">IF(N($P115)&lt;=0,"",COUNTIF($P$6:$P115,"&gt;0"))</f>
        <v/>
      </c>
    </row>
    <row r="116" customFormat="false" ht="15" hidden="false" customHeight="false" outlineLevel="0" collapsed="false">
      <c r="A116" s="40" t="str">
        <f aca="false">IF(INDEX(BookTitle,111)="","",INDEX(BookGroup,111))</f>
        <v/>
      </c>
      <c r="B116" s="40" t="str">
        <f aca="false">IF(INDEX(BookTitle,111)="","",INDEX(BookRef,111))</f>
        <v/>
      </c>
      <c r="C116" s="40" t="str">
        <f aca="false">IF(INDEX(BookTitle,111)="","",INDEX(BookDivision,111))</f>
        <v/>
      </c>
      <c r="D116" s="40" t="str">
        <f aca="false">IF(INDEX(BookTitle,111)="","",INDEX(BookUnit,111))</f>
        <v/>
      </c>
      <c r="E116" s="40" t="str">
        <f aca="false">IF(INDEX(BookTitle,111)="","",INDEX(BookTitle,111))</f>
        <v/>
      </c>
      <c r="F116" s="40" t="str">
        <f aca="false">IF(INDEX(BookTitle,111)="","",INDEX(BookLevel,111))</f>
        <v/>
      </c>
      <c r="G116" s="40" t="str">
        <f aca="false">IF(INDEX(BookTitle,111)="","",INDEX(BookCategory,111))</f>
        <v/>
      </c>
      <c r="H116" s="40" t="str">
        <f aca="false">IF(INDEX(BookTitle,111)="","",INDEX(BookRank,111))</f>
        <v/>
      </c>
      <c r="I116" s="41" t="str">
        <f aca="false">IF(INDEX(BookTitle,111)="","",INDEX(BookTotal,111))</f>
        <v/>
      </c>
      <c r="J116" s="0" t="str">
        <f aca="false">IF($I116="","",IF(INDEX(BookQ1,111)&gt;0,"Q1",IF(INDEX(BookQ2,111)&gt;0,"Q2",IF(INDEX(BookQ3,111)&gt;0,"Q3",IF(INDEX(BookQ4,111)&gt;0,"Q4","")))))</f>
        <v/>
      </c>
      <c r="K116" s="42" t="str">
        <f aca="false">IF(INDEX(BookTitle,111)="","",INDEX(BookInYear,111))</f>
        <v/>
      </c>
      <c r="L116" s="19"/>
      <c r="M116" s="39"/>
      <c r="N116" s="19"/>
      <c r="O116" s="19"/>
      <c r="P116" s="43" t="str">
        <f aca="false">IF($E116="","",IF($L116="Decline",0,IF($L116="Approve fewer",IF($M116="","",$M116),IF($L116="","",$I116))))</f>
        <v/>
      </c>
      <c r="Q116" s="34" t="str">
        <f aca="false">IF($P116="","",IF($N116&lt;&gt;"",$N116,$J116))</f>
        <v/>
      </c>
      <c r="R116" s="35" t="str">
        <f aca="false">IF(OR($P116="",$Q116=""),"",INDEX(BookRate,111)*$P116*(5-MATCH($Q116,{"Q1";"Q2";"Q3";"Q4"},0))/4+INDEX(BookOneOff,111)*$P116)</f>
        <v/>
      </c>
      <c r="S116" s="35" t="str">
        <f aca="false">IF($P116="","",INDEX(BookRate,111)*$P116)</f>
        <v/>
      </c>
      <c r="T116" s="35" t="str">
        <f aca="false">IF($R116="","",$R116-$K116)</f>
        <v/>
      </c>
      <c r="U116" s="35" t="str">
        <f aca="false">IF(N($P116)&lt;=0,"",COUNTIF($P$6:$P116,"&gt;0"))</f>
        <v/>
      </c>
    </row>
    <row r="117" customFormat="false" ht="15" hidden="false" customHeight="false" outlineLevel="0" collapsed="false">
      <c r="A117" s="40" t="str">
        <f aca="false">IF(INDEX(BookTitle,112)="","",INDEX(BookGroup,112))</f>
        <v/>
      </c>
      <c r="B117" s="40" t="str">
        <f aca="false">IF(INDEX(BookTitle,112)="","",INDEX(BookRef,112))</f>
        <v/>
      </c>
      <c r="C117" s="40" t="str">
        <f aca="false">IF(INDEX(BookTitle,112)="","",INDEX(BookDivision,112))</f>
        <v/>
      </c>
      <c r="D117" s="40" t="str">
        <f aca="false">IF(INDEX(BookTitle,112)="","",INDEX(BookUnit,112))</f>
        <v/>
      </c>
      <c r="E117" s="40" t="str">
        <f aca="false">IF(INDEX(BookTitle,112)="","",INDEX(BookTitle,112))</f>
        <v/>
      </c>
      <c r="F117" s="40" t="str">
        <f aca="false">IF(INDEX(BookTitle,112)="","",INDEX(BookLevel,112))</f>
        <v/>
      </c>
      <c r="G117" s="40" t="str">
        <f aca="false">IF(INDEX(BookTitle,112)="","",INDEX(BookCategory,112))</f>
        <v/>
      </c>
      <c r="H117" s="40" t="str">
        <f aca="false">IF(INDEX(BookTitle,112)="","",INDEX(BookRank,112))</f>
        <v/>
      </c>
      <c r="I117" s="41" t="str">
        <f aca="false">IF(INDEX(BookTitle,112)="","",INDEX(BookTotal,112))</f>
        <v/>
      </c>
      <c r="J117" s="0" t="str">
        <f aca="false">IF($I117="","",IF(INDEX(BookQ1,112)&gt;0,"Q1",IF(INDEX(BookQ2,112)&gt;0,"Q2",IF(INDEX(BookQ3,112)&gt;0,"Q3",IF(INDEX(BookQ4,112)&gt;0,"Q4","")))))</f>
        <v/>
      </c>
      <c r="K117" s="42" t="str">
        <f aca="false">IF(INDEX(BookTitle,112)="","",INDEX(BookInYear,112))</f>
        <v/>
      </c>
      <c r="L117" s="19"/>
      <c r="M117" s="39"/>
      <c r="N117" s="19"/>
      <c r="O117" s="19"/>
      <c r="P117" s="43" t="str">
        <f aca="false">IF($E117="","",IF($L117="Decline",0,IF($L117="Approve fewer",IF($M117="","",$M117),IF($L117="","",$I117))))</f>
        <v/>
      </c>
      <c r="Q117" s="34" t="str">
        <f aca="false">IF($P117="","",IF($N117&lt;&gt;"",$N117,$J117))</f>
        <v/>
      </c>
      <c r="R117" s="35" t="str">
        <f aca="false">IF(OR($P117="",$Q117=""),"",INDEX(BookRate,112)*$P117*(5-MATCH($Q117,{"Q1";"Q2";"Q3";"Q4"},0))/4+INDEX(BookOneOff,112)*$P117)</f>
        <v/>
      </c>
      <c r="S117" s="35" t="str">
        <f aca="false">IF($P117="","",INDEX(BookRate,112)*$P117)</f>
        <v/>
      </c>
      <c r="T117" s="35" t="str">
        <f aca="false">IF($R117="","",$R117-$K117)</f>
        <v/>
      </c>
      <c r="U117" s="35" t="str">
        <f aca="false">IF(N($P117)&lt;=0,"",COUNTIF($P$6:$P117,"&gt;0"))</f>
        <v/>
      </c>
    </row>
    <row r="118" customFormat="false" ht="15" hidden="false" customHeight="false" outlineLevel="0" collapsed="false">
      <c r="A118" s="40" t="str">
        <f aca="false">IF(INDEX(BookTitle,113)="","",INDEX(BookGroup,113))</f>
        <v/>
      </c>
      <c r="B118" s="40" t="str">
        <f aca="false">IF(INDEX(BookTitle,113)="","",INDEX(BookRef,113))</f>
        <v/>
      </c>
      <c r="C118" s="40" t="str">
        <f aca="false">IF(INDEX(BookTitle,113)="","",INDEX(BookDivision,113))</f>
        <v/>
      </c>
      <c r="D118" s="40" t="str">
        <f aca="false">IF(INDEX(BookTitle,113)="","",INDEX(BookUnit,113))</f>
        <v/>
      </c>
      <c r="E118" s="40" t="str">
        <f aca="false">IF(INDEX(BookTitle,113)="","",INDEX(BookTitle,113))</f>
        <v/>
      </c>
      <c r="F118" s="40" t="str">
        <f aca="false">IF(INDEX(BookTitle,113)="","",INDEX(BookLevel,113))</f>
        <v/>
      </c>
      <c r="G118" s="40" t="str">
        <f aca="false">IF(INDEX(BookTitle,113)="","",INDEX(BookCategory,113))</f>
        <v/>
      </c>
      <c r="H118" s="40" t="str">
        <f aca="false">IF(INDEX(BookTitle,113)="","",INDEX(BookRank,113))</f>
        <v/>
      </c>
      <c r="I118" s="41" t="str">
        <f aca="false">IF(INDEX(BookTitle,113)="","",INDEX(BookTotal,113))</f>
        <v/>
      </c>
      <c r="J118" s="0" t="str">
        <f aca="false">IF($I118="","",IF(INDEX(BookQ1,113)&gt;0,"Q1",IF(INDEX(BookQ2,113)&gt;0,"Q2",IF(INDEX(BookQ3,113)&gt;0,"Q3",IF(INDEX(BookQ4,113)&gt;0,"Q4","")))))</f>
        <v/>
      </c>
      <c r="K118" s="42" t="str">
        <f aca="false">IF(INDEX(BookTitle,113)="","",INDEX(BookInYear,113))</f>
        <v/>
      </c>
      <c r="L118" s="19"/>
      <c r="M118" s="39"/>
      <c r="N118" s="19"/>
      <c r="O118" s="19"/>
      <c r="P118" s="43" t="str">
        <f aca="false">IF($E118="","",IF($L118="Decline",0,IF($L118="Approve fewer",IF($M118="","",$M118),IF($L118="","",$I118))))</f>
        <v/>
      </c>
      <c r="Q118" s="34" t="str">
        <f aca="false">IF($P118="","",IF($N118&lt;&gt;"",$N118,$J118))</f>
        <v/>
      </c>
      <c r="R118" s="35" t="str">
        <f aca="false">IF(OR($P118="",$Q118=""),"",INDEX(BookRate,113)*$P118*(5-MATCH($Q118,{"Q1";"Q2";"Q3";"Q4"},0))/4+INDEX(BookOneOff,113)*$P118)</f>
        <v/>
      </c>
      <c r="S118" s="35" t="str">
        <f aca="false">IF($P118="","",INDEX(BookRate,113)*$P118)</f>
        <v/>
      </c>
      <c r="T118" s="35" t="str">
        <f aca="false">IF($R118="","",$R118-$K118)</f>
        <v/>
      </c>
      <c r="U118" s="35" t="str">
        <f aca="false">IF(N($P118)&lt;=0,"",COUNTIF($P$6:$P118,"&gt;0"))</f>
        <v/>
      </c>
    </row>
    <row r="119" customFormat="false" ht="15" hidden="false" customHeight="false" outlineLevel="0" collapsed="false">
      <c r="A119" s="40" t="str">
        <f aca="false">IF(INDEX(BookTitle,114)="","",INDEX(BookGroup,114))</f>
        <v/>
      </c>
      <c r="B119" s="40" t="str">
        <f aca="false">IF(INDEX(BookTitle,114)="","",INDEX(BookRef,114))</f>
        <v/>
      </c>
      <c r="C119" s="40" t="str">
        <f aca="false">IF(INDEX(BookTitle,114)="","",INDEX(BookDivision,114))</f>
        <v/>
      </c>
      <c r="D119" s="40" t="str">
        <f aca="false">IF(INDEX(BookTitle,114)="","",INDEX(BookUnit,114))</f>
        <v/>
      </c>
      <c r="E119" s="40" t="str">
        <f aca="false">IF(INDEX(BookTitle,114)="","",INDEX(BookTitle,114))</f>
        <v/>
      </c>
      <c r="F119" s="40" t="str">
        <f aca="false">IF(INDEX(BookTitle,114)="","",INDEX(BookLevel,114))</f>
        <v/>
      </c>
      <c r="G119" s="40" t="str">
        <f aca="false">IF(INDEX(BookTitle,114)="","",INDEX(BookCategory,114))</f>
        <v/>
      </c>
      <c r="H119" s="40" t="str">
        <f aca="false">IF(INDEX(BookTitle,114)="","",INDEX(BookRank,114))</f>
        <v/>
      </c>
      <c r="I119" s="41" t="str">
        <f aca="false">IF(INDEX(BookTitle,114)="","",INDEX(BookTotal,114))</f>
        <v/>
      </c>
      <c r="J119" s="0" t="str">
        <f aca="false">IF($I119="","",IF(INDEX(BookQ1,114)&gt;0,"Q1",IF(INDEX(BookQ2,114)&gt;0,"Q2",IF(INDEX(BookQ3,114)&gt;0,"Q3",IF(INDEX(BookQ4,114)&gt;0,"Q4","")))))</f>
        <v/>
      </c>
      <c r="K119" s="42" t="str">
        <f aca="false">IF(INDEX(BookTitle,114)="","",INDEX(BookInYear,114))</f>
        <v/>
      </c>
      <c r="L119" s="19"/>
      <c r="M119" s="39"/>
      <c r="N119" s="19"/>
      <c r="O119" s="19"/>
      <c r="P119" s="43" t="str">
        <f aca="false">IF($E119="","",IF($L119="Decline",0,IF($L119="Approve fewer",IF($M119="","",$M119),IF($L119="","",$I119))))</f>
        <v/>
      </c>
      <c r="Q119" s="34" t="str">
        <f aca="false">IF($P119="","",IF($N119&lt;&gt;"",$N119,$J119))</f>
        <v/>
      </c>
      <c r="R119" s="35" t="str">
        <f aca="false">IF(OR($P119="",$Q119=""),"",INDEX(BookRate,114)*$P119*(5-MATCH($Q119,{"Q1";"Q2";"Q3";"Q4"},0))/4+INDEX(BookOneOff,114)*$P119)</f>
        <v/>
      </c>
      <c r="S119" s="35" t="str">
        <f aca="false">IF($P119="","",INDEX(BookRate,114)*$P119)</f>
        <v/>
      </c>
      <c r="T119" s="35" t="str">
        <f aca="false">IF($R119="","",$R119-$K119)</f>
        <v/>
      </c>
      <c r="U119" s="35" t="str">
        <f aca="false">IF(N($P119)&lt;=0,"",COUNTIF($P$6:$P119,"&gt;0"))</f>
        <v/>
      </c>
    </row>
    <row r="120" customFormat="false" ht="15" hidden="false" customHeight="false" outlineLevel="0" collapsed="false">
      <c r="A120" s="40" t="str">
        <f aca="false">IF(INDEX(BookTitle,115)="","",INDEX(BookGroup,115))</f>
        <v/>
      </c>
      <c r="B120" s="40" t="str">
        <f aca="false">IF(INDEX(BookTitle,115)="","",INDEX(BookRef,115))</f>
        <v/>
      </c>
      <c r="C120" s="40" t="str">
        <f aca="false">IF(INDEX(BookTitle,115)="","",INDEX(BookDivision,115))</f>
        <v/>
      </c>
      <c r="D120" s="40" t="str">
        <f aca="false">IF(INDEX(BookTitle,115)="","",INDEX(BookUnit,115))</f>
        <v/>
      </c>
      <c r="E120" s="40" t="str">
        <f aca="false">IF(INDEX(BookTitle,115)="","",INDEX(BookTitle,115))</f>
        <v/>
      </c>
      <c r="F120" s="40" t="str">
        <f aca="false">IF(INDEX(BookTitle,115)="","",INDEX(BookLevel,115))</f>
        <v/>
      </c>
      <c r="G120" s="40" t="str">
        <f aca="false">IF(INDEX(BookTitle,115)="","",INDEX(BookCategory,115))</f>
        <v/>
      </c>
      <c r="H120" s="40" t="str">
        <f aca="false">IF(INDEX(BookTitle,115)="","",INDEX(BookRank,115))</f>
        <v/>
      </c>
      <c r="I120" s="41" t="str">
        <f aca="false">IF(INDEX(BookTitle,115)="","",INDEX(BookTotal,115))</f>
        <v/>
      </c>
      <c r="J120" s="0" t="str">
        <f aca="false">IF($I120="","",IF(INDEX(BookQ1,115)&gt;0,"Q1",IF(INDEX(BookQ2,115)&gt;0,"Q2",IF(INDEX(BookQ3,115)&gt;0,"Q3",IF(INDEX(BookQ4,115)&gt;0,"Q4","")))))</f>
        <v/>
      </c>
      <c r="K120" s="42" t="str">
        <f aca="false">IF(INDEX(BookTitle,115)="","",INDEX(BookInYear,115))</f>
        <v/>
      </c>
      <c r="L120" s="19"/>
      <c r="M120" s="39"/>
      <c r="N120" s="19"/>
      <c r="O120" s="19"/>
      <c r="P120" s="43" t="str">
        <f aca="false">IF($E120="","",IF($L120="Decline",0,IF($L120="Approve fewer",IF($M120="","",$M120),IF($L120="","",$I120))))</f>
        <v/>
      </c>
      <c r="Q120" s="34" t="str">
        <f aca="false">IF($P120="","",IF($N120&lt;&gt;"",$N120,$J120))</f>
        <v/>
      </c>
      <c r="R120" s="35" t="str">
        <f aca="false">IF(OR($P120="",$Q120=""),"",INDEX(BookRate,115)*$P120*(5-MATCH($Q120,{"Q1";"Q2";"Q3";"Q4"},0))/4+INDEX(BookOneOff,115)*$P120)</f>
        <v/>
      </c>
      <c r="S120" s="35" t="str">
        <f aca="false">IF($P120="","",INDEX(BookRate,115)*$P120)</f>
        <v/>
      </c>
      <c r="T120" s="35" t="str">
        <f aca="false">IF($R120="","",$R120-$K120)</f>
        <v/>
      </c>
      <c r="U120" s="35" t="str">
        <f aca="false">IF(N($P120)&lt;=0,"",COUNTIF($P$6:$P120,"&gt;0"))</f>
        <v/>
      </c>
    </row>
    <row r="121" customFormat="false" ht="15" hidden="false" customHeight="false" outlineLevel="0" collapsed="false">
      <c r="A121" s="40" t="str">
        <f aca="false">IF(INDEX(BookTitle,116)="","",INDEX(BookGroup,116))</f>
        <v/>
      </c>
      <c r="B121" s="40" t="str">
        <f aca="false">IF(INDEX(BookTitle,116)="","",INDEX(BookRef,116))</f>
        <v/>
      </c>
      <c r="C121" s="40" t="str">
        <f aca="false">IF(INDEX(BookTitle,116)="","",INDEX(BookDivision,116))</f>
        <v/>
      </c>
      <c r="D121" s="40" t="str">
        <f aca="false">IF(INDEX(BookTitle,116)="","",INDEX(BookUnit,116))</f>
        <v/>
      </c>
      <c r="E121" s="40" t="str">
        <f aca="false">IF(INDEX(BookTitle,116)="","",INDEX(BookTitle,116))</f>
        <v/>
      </c>
      <c r="F121" s="40" t="str">
        <f aca="false">IF(INDEX(BookTitle,116)="","",INDEX(BookLevel,116))</f>
        <v/>
      </c>
      <c r="G121" s="40" t="str">
        <f aca="false">IF(INDEX(BookTitle,116)="","",INDEX(BookCategory,116))</f>
        <v/>
      </c>
      <c r="H121" s="40" t="str">
        <f aca="false">IF(INDEX(BookTitle,116)="","",INDEX(BookRank,116))</f>
        <v/>
      </c>
      <c r="I121" s="41" t="str">
        <f aca="false">IF(INDEX(BookTitle,116)="","",INDEX(BookTotal,116))</f>
        <v/>
      </c>
      <c r="J121" s="0" t="str">
        <f aca="false">IF($I121="","",IF(INDEX(BookQ1,116)&gt;0,"Q1",IF(INDEX(BookQ2,116)&gt;0,"Q2",IF(INDEX(BookQ3,116)&gt;0,"Q3",IF(INDEX(BookQ4,116)&gt;0,"Q4","")))))</f>
        <v/>
      </c>
      <c r="K121" s="42" t="str">
        <f aca="false">IF(INDEX(BookTitle,116)="","",INDEX(BookInYear,116))</f>
        <v/>
      </c>
      <c r="L121" s="19"/>
      <c r="M121" s="39"/>
      <c r="N121" s="19"/>
      <c r="O121" s="19"/>
      <c r="P121" s="43" t="str">
        <f aca="false">IF($E121="","",IF($L121="Decline",0,IF($L121="Approve fewer",IF($M121="","",$M121),IF($L121="","",$I121))))</f>
        <v/>
      </c>
      <c r="Q121" s="34" t="str">
        <f aca="false">IF($P121="","",IF($N121&lt;&gt;"",$N121,$J121))</f>
        <v/>
      </c>
      <c r="R121" s="35" t="str">
        <f aca="false">IF(OR($P121="",$Q121=""),"",INDEX(BookRate,116)*$P121*(5-MATCH($Q121,{"Q1";"Q2";"Q3";"Q4"},0))/4+INDEX(BookOneOff,116)*$P121)</f>
        <v/>
      </c>
      <c r="S121" s="35" t="str">
        <f aca="false">IF($P121="","",INDEX(BookRate,116)*$P121)</f>
        <v/>
      </c>
      <c r="T121" s="35" t="str">
        <f aca="false">IF($R121="","",$R121-$K121)</f>
        <v/>
      </c>
      <c r="U121" s="35" t="str">
        <f aca="false">IF(N($P121)&lt;=0,"",COUNTIF($P$6:$P121,"&gt;0"))</f>
        <v/>
      </c>
    </row>
    <row r="122" customFormat="false" ht="15" hidden="false" customHeight="false" outlineLevel="0" collapsed="false">
      <c r="A122" s="40" t="str">
        <f aca="false">IF(INDEX(BookTitle,117)="","",INDEX(BookGroup,117))</f>
        <v/>
      </c>
      <c r="B122" s="40" t="str">
        <f aca="false">IF(INDEX(BookTitle,117)="","",INDEX(BookRef,117))</f>
        <v/>
      </c>
      <c r="C122" s="40" t="str">
        <f aca="false">IF(INDEX(BookTitle,117)="","",INDEX(BookDivision,117))</f>
        <v/>
      </c>
      <c r="D122" s="40" t="str">
        <f aca="false">IF(INDEX(BookTitle,117)="","",INDEX(BookUnit,117))</f>
        <v/>
      </c>
      <c r="E122" s="40" t="str">
        <f aca="false">IF(INDEX(BookTitle,117)="","",INDEX(BookTitle,117))</f>
        <v/>
      </c>
      <c r="F122" s="40" t="str">
        <f aca="false">IF(INDEX(BookTitle,117)="","",INDEX(BookLevel,117))</f>
        <v/>
      </c>
      <c r="G122" s="40" t="str">
        <f aca="false">IF(INDEX(BookTitle,117)="","",INDEX(BookCategory,117))</f>
        <v/>
      </c>
      <c r="H122" s="40" t="str">
        <f aca="false">IF(INDEX(BookTitle,117)="","",INDEX(BookRank,117))</f>
        <v/>
      </c>
      <c r="I122" s="41" t="str">
        <f aca="false">IF(INDEX(BookTitle,117)="","",INDEX(BookTotal,117))</f>
        <v/>
      </c>
      <c r="J122" s="0" t="str">
        <f aca="false">IF($I122="","",IF(INDEX(BookQ1,117)&gt;0,"Q1",IF(INDEX(BookQ2,117)&gt;0,"Q2",IF(INDEX(BookQ3,117)&gt;0,"Q3",IF(INDEX(BookQ4,117)&gt;0,"Q4","")))))</f>
        <v/>
      </c>
      <c r="K122" s="42" t="str">
        <f aca="false">IF(INDEX(BookTitle,117)="","",INDEX(BookInYear,117))</f>
        <v/>
      </c>
      <c r="L122" s="19"/>
      <c r="M122" s="39"/>
      <c r="N122" s="19"/>
      <c r="O122" s="19"/>
      <c r="P122" s="43" t="str">
        <f aca="false">IF($E122="","",IF($L122="Decline",0,IF($L122="Approve fewer",IF($M122="","",$M122),IF($L122="","",$I122))))</f>
        <v/>
      </c>
      <c r="Q122" s="34" t="str">
        <f aca="false">IF($P122="","",IF($N122&lt;&gt;"",$N122,$J122))</f>
        <v/>
      </c>
      <c r="R122" s="35" t="str">
        <f aca="false">IF(OR($P122="",$Q122=""),"",INDEX(BookRate,117)*$P122*(5-MATCH($Q122,{"Q1";"Q2";"Q3";"Q4"},0))/4+INDEX(BookOneOff,117)*$P122)</f>
        <v/>
      </c>
      <c r="S122" s="35" t="str">
        <f aca="false">IF($P122="","",INDEX(BookRate,117)*$P122)</f>
        <v/>
      </c>
      <c r="T122" s="35" t="str">
        <f aca="false">IF($R122="","",$R122-$K122)</f>
        <v/>
      </c>
      <c r="U122" s="35" t="str">
        <f aca="false">IF(N($P122)&lt;=0,"",COUNTIF($P$6:$P122,"&gt;0"))</f>
        <v/>
      </c>
    </row>
    <row r="123" customFormat="false" ht="15" hidden="false" customHeight="false" outlineLevel="0" collapsed="false">
      <c r="A123" s="40" t="str">
        <f aca="false">IF(INDEX(BookTitle,118)="","",INDEX(BookGroup,118))</f>
        <v/>
      </c>
      <c r="B123" s="40" t="str">
        <f aca="false">IF(INDEX(BookTitle,118)="","",INDEX(BookRef,118))</f>
        <v/>
      </c>
      <c r="C123" s="40" t="str">
        <f aca="false">IF(INDEX(BookTitle,118)="","",INDEX(BookDivision,118))</f>
        <v/>
      </c>
      <c r="D123" s="40" t="str">
        <f aca="false">IF(INDEX(BookTitle,118)="","",INDEX(BookUnit,118))</f>
        <v/>
      </c>
      <c r="E123" s="40" t="str">
        <f aca="false">IF(INDEX(BookTitle,118)="","",INDEX(BookTitle,118))</f>
        <v/>
      </c>
      <c r="F123" s="40" t="str">
        <f aca="false">IF(INDEX(BookTitle,118)="","",INDEX(BookLevel,118))</f>
        <v/>
      </c>
      <c r="G123" s="40" t="str">
        <f aca="false">IF(INDEX(BookTitle,118)="","",INDEX(BookCategory,118))</f>
        <v/>
      </c>
      <c r="H123" s="40" t="str">
        <f aca="false">IF(INDEX(BookTitle,118)="","",INDEX(BookRank,118))</f>
        <v/>
      </c>
      <c r="I123" s="41" t="str">
        <f aca="false">IF(INDEX(BookTitle,118)="","",INDEX(BookTotal,118))</f>
        <v/>
      </c>
      <c r="J123" s="0" t="str">
        <f aca="false">IF($I123="","",IF(INDEX(BookQ1,118)&gt;0,"Q1",IF(INDEX(BookQ2,118)&gt;0,"Q2",IF(INDEX(BookQ3,118)&gt;0,"Q3",IF(INDEX(BookQ4,118)&gt;0,"Q4","")))))</f>
        <v/>
      </c>
      <c r="K123" s="42" t="str">
        <f aca="false">IF(INDEX(BookTitle,118)="","",INDEX(BookInYear,118))</f>
        <v/>
      </c>
      <c r="L123" s="19"/>
      <c r="M123" s="39"/>
      <c r="N123" s="19"/>
      <c r="O123" s="19"/>
      <c r="P123" s="43" t="str">
        <f aca="false">IF($E123="","",IF($L123="Decline",0,IF($L123="Approve fewer",IF($M123="","",$M123),IF($L123="","",$I123))))</f>
        <v/>
      </c>
      <c r="Q123" s="34" t="str">
        <f aca="false">IF($P123="","",IF($N123&lt;&gt;"",$N123,$J123))</f>
        <v/>
      </c>
      <c r="R123" s="35" t="str">
        <f aca="false">IF(OR($P123="",$Q123=""),"",INDEX(BookRate,118)*$P123*(5-MATCH($Q123,{"Q1";"Q2";"Q3";"Q4"},0))/4+INDEX(BookOneOff,118)*$P123)</f>
        <v/>
      </c>
      <c r="S123" s="35" t="str">
        <f aca="false">IF($P123="","",INDEX(BookRate,118)*$P123)</f>
        <v/>
      </c>
      <c r="T123" s="35" t="str">
        <f aca="false">IF($R123="","",$R123-$K123)</f>
        <v/>
      </c>
      <c r="U123" s="35" t="str">
        <f aca="false">IF(N($P123)&lt;=0,"",COUNTIF($P$6:$P123,"&gt;0"))</f>
        <v/>
      </c>
    </row>
    <row r="124" customFormat="false" ht="15" hidden="false" customHeight="false" outlineLevel="0" collapsed="false">
      <c r="A124" s="40" t="str">
        <f aca="false">IF(INDEX(BookTitle,119)="","",INDEX(BookGroup,119))</f>
        <v/>
      </c>
      <c r="B124" s="40" t="str">
        <f aca="false">IF(INDEX(BookTitle,119)="","",INDEX(BookRef,119))</f>
        <v/>
      </c>
      <c r="C124" s="40" t="str">
        <f aca="false">IF(INDEX(BookTitle,119)="","",INDEX(BookDivision,119))</f>
        <v/>
      </c>
      <c r="D124" s="40" t="str">
        <f aca="false">IF(INDEX(BookTitle,119)="","",INDEX(BookUnit,119))</f>
        <v/>
      </c>
      <c r="E124" s="40" t="str">
        <f aca="false">IF(INDEX(BookTitle,119)="","",INDEX(BookTitle,119))</f>
        <v/>
      </c>
      <c r="F124" s="40" t="str">
        <f aca="false">IF(INDEX(BookTitle,119)="","",INDEX(BookLevel,119))</f>
        <v/>
      </c>
      <c r="G124" s="40" t="str">
        <f aca="false">IF(INDEX(BookTitle,119)="","",INDEX(BookCategory,119))</f>
        <v/>
      </c>
      <c r="H124" s="40" t="str">
        <f aca="false">IF(INDEX(BookTitle,119)="","",INDEX(BookRank,119))</f>
        <v/>
      </c>
      <c r="I124" s="41" t="str">
        <f aca="false">IF(INDEX(BookTitle,119)="","",INDEX(BookTotal,119))</f>
        <v/>
      </c>
      <c r="J124" s="0" t="str">
        <f aca="false">IF($I124="","",IF(INDEX(BookQ1,119)&gt;0,"Q1",IF(INDEX(BookQ2,119)&gt;0,"Q2",IF(INDEX(BookQ3,119)&gt;0,"Q3",IF(INDEX(BookQ4,119)&gt;0,"Q4","")))))</f>
        <v/>
      </c>
      <c r="K124" s="42" t="str">
        <f aca="false">IF(INDEX(BookTitle,119)="","",INDEX(BookInYear,119))</f>
        <v/>
      </c>
      <c r="L124" s="19"/>
      <c r="M124" s="39"/>
      <c r="N124" s="19"/>
      <c r="O124" s="19"/>
      <c r="P124" s="43" t="str">
        <f aca="false">IF($E124="","",IF($L124="Decline",0,IF($L124="Approve fewer",IF($M124="","",$M124),IF($L124="","",$I124))))</f>
        <v/>
      </c>
      <c r="Q124" s="34" t="str">
        <f aca="false">IF($P124="","",IF($N124&lt;&gt;"",$N124,$J124))</f>
        <v/>
      </c>
      <c r="R124" s="35" t="str">
        <f aca="false">IF(OR($P124="",$Q124=""),"",INDEX(BookRate,119)*$P124*(5-MATCH($Q124,{"Q1";"Q2";"Q3";"Q4"},0))/4+INDEX(BookOneOff,119)*$P124)</f>
        <v/>
      </c>
      <c r="S124" s="35" t="str">
        <f aca="false">IF($P124="","",INDEX(BookRate,119)*$P124)</f>
        <v/>
      </c>
      <c r="T124" s="35" t="str">
        <f aca="false">IF($R124="","",$R124-$K124)</f>
        <v/>
      </c>
      <c r="U124" s="35" t="str">
        <f aca="false">IF(N($P124)&lt;=0,"",COUNTIF($P$6:$P124,"&gt;0"))</f>
        <v/>
      </c>
    </row>
    <row r="125" customFormat="false" ht="15" hidden="false" customHeight="false" outlineLevel="0" collapsed="false">
      <c r="A125" s="40" t="str">
        <f aca="false">IF(INDEX(BookTitle,120)="","",INDEX(BookGroup,120))</f>
        <v/>
      </c>
      <c r="B125" s="40" t="str">
        <f aca="false">IF(INDEX(BookTitle,120)="","",INDEX(BookRef,120))</f>
        <v/>
      </c>
      <c r="C125" s="40" t="str">
        <f aca="false">IF(INDEX(BookTitle,120)="","",INDEX(BookDivision,120))</f>
        <v/>
      </c>
      <c r="D125" s="40" t="str">
        <f aca="false">IF(INDEX(BookTitle,120)="","",INDEX(BookUnit,120))</f>
        <v/>
      </c>
      <c r="E125" s="40" t="str">
        <f aca="false">IF(INDEX(BookTitle,120)="","",INDEX(BookTitle,120))</f>
        <v/>
      </c>
      <c r="F125" s="40" t="str">
        <f aca="false">IF(INDEX(BookTitle,120)="","",INDEX(BookLevel,120))</f>
        <v/>
      </c>
      <c r="G125" s="40" t="str">
        <f aca="false">IF(INDEX(BookTitle,120)="","",INDEX(BookCategory,120))</f>
        <v/>
      </c>
      <c r="H125" s="40" t="str">
        <f aca="false">IF(INDEX(BookTitle,120)="","",INDEX(BookRank,120))</f>
        <v/>
      </c>
      <c r="I125" s="41" t="str">
        <f aca="false">IF(INDEX(BookTitle,120)="","",INDEX(BookTotal,120))</f>
        <v/>
      </c>
      <c r="J125" s="0" t="str">
        <f aca="false">IF($I125="","",IF(INDEX(BookQ1,120)&gt;0,"Q1",IF(INDEX(BookQ2,120)&gt;0,"Q2",IF(INDEX(BookQ3,120)&gt;0,"Q3",IF(INDEX(BookQ4,120)&gt;0,"Q4","")))))</f>
        <v/>
      </c>
      <c r="K125" s="42" t="str">
        <f aca="false">IF(INDEX(BookTitle,120)="","",INDEX(BookInYear,120))</f>
        <v/>
      </c>
      <c r="L125" s="19"/>
      <c r="M125" s="39"/>
      <c r="N125" s="19"/>
      <c r="O125" s="19"/>
      <c r="P125" s="43" t="str">
        <f aca="false">IF($E125="","",IF($L125="Decline",0,IF($L125="Approve fewer",IF($M125="","",$M125),IF($L125="","",$I125))))</f>
        <v/>
      </c>
      <c r="Q125" s="34" t="str">
        <f aca="false">IF($P125="","",IF($N125&lt;&gt;"",$N125,$J125))</f>
        <v/>
      </c>
      <c r="R125" s="35" t="str">
        <f aca="false">IF(OR($P125="",$Q125=""),"",INDEX(BookRate,120)*$P125*(5-MATCH($Q125,{"Q1";"Q2";"Q3";"Q4"},0))/4+INDEX(BookOneOff,120)*$P125)</f>
        <v/>
      </c>
      <c r="S125" s="35" t="str">
        <f aca="false">IF($P125="","",INDEX(BookRate,120)*$P125)</f>
        <v/>
      </c>
      <c r="T125" s="35" t="str">
        <f aca="false">IF($R125="","",$R125-$K125)</f>
        <v/>
      </c>
      <c r="U125" s="35" t="str">
        <f aca="false">IF(N($P125)&lt;=0,"",COUNTIF($P$6:$P125,"&gt;0"))</f>
        <v/>
      </c>
    </row>
    <row r="126" customFormat="false" ht="15" hidden="false" customHeight="false" outlineLevel="0" collapsed="false">
      <c r="A126" s="40" t="str">
        <f aca="false">IF(INDEX(BookTitle,121)="","",INDEX(BookGroup,121))</f>
        <v/>
      </c>
      <c r="B126" s="40" t="str">
        <f aca="false">IF(INDEX(BookTitle,121)="","",INDEX(BookRef,121))</f>
        <v/>
      </c>
      <c r="C126" s="40" t="str">
        <f aca="false">IF(INDEX(BookTitle,121)="","",INDEX(BookDivision,121))</f>
        <v/>
      </c>
      <c r="D126" s="40" t="str">
        <f aca="false">IF(INDEX(BookTitle,121)="","",INDEX(BookUnit,121))</f>
        <v/>
      </c>
      <c r="E126" s="40" t="str">
        <f aca="false">IF(INDEX(BookTitle,121)="","",INDEX(BookTitle,121))</f>
        <v/>
      </c>
      <c r="F126" s="40" t="str">
        <f aca="false">IF(INDEX(BookTitle,121)="","",INDEX(BookLevel,121))</f>
        <v/>
      </c>
      <c r="G126" s="40" t="str">
        <f aca="false">IF(INDEX(BookTitle,121)="","",INDEX(BookCategory,121))</f>
        <v/>
      </c>
      <c r="H126" s="40" t="str">
        <f aca="false">IF(INDEX(BookTitle,121)="","",INDEX(BookRank,121))</f>
        <v/>
      </c>
      <c r="I126" s="41" t="str">
        <f aca="false">IF(INDEX(BookTitle,121)="","",INDEX(BookTotal,121))</f>
        <v/>
      </c>
      <c r="J126" s="0" t="str">
        <f aca="false">IF($I126="","",IF(INDEX(BookQ1,121)&gt;0,"Q1",IF(INDEX(BookQ2,121)&gt;0,"Q2",IF(INDEX(BookQ3,121)&gt;0,"Q3",IF(INDEX(BookQ4,121)&gt;0,"Q4","")))))</f>
        <v/>
      </c>
      <c r="K126" s="42" t="str">
        <f aca="false">IF(INDEX(BookTitle,121)="","",INDEX(BookInYear,121))</f>
        <v/>
      </c>
      <c r="L126" s="19"/>
      <c r="M126" s="39"/>
      <c r="N126" s="19"/>
      <c r="O126" s="19"/>
      <c r="P126" s="43" t="str">
        <f aca="false">IF($E126="","",IF($L126="Decline",0,IF($L126="Approve fewer",IF($M126="","",$M126),IF($L126="","",$I126))))</f>
        <v/>
      </c>
      <c r="Q126" s="34" t="str">
        <f aca="false">IF($P126="","",IF($N126&lt;&gt;"",$N126,$J126))</f>
        <v/>
      </c>
      <c r="R126" s="35" t="str">
        <f aca="false">IF(OR($P126="",$Q126=""),"",INDEX(BookRate,121)*$P126*(5-MATCH($Q126,{"Q1";"Q2";"Q3";"Q4"},0))/4+INDEX(BookOneOff,121)*$P126)</f>
        <v/>
      </c>
      <c r="S126" s="35" t="str">
        <f aca="false">IF($P126="","",INDEX(BookRate,121)*$P126)</f>
        <v/>
      </c>
      <c r="T126" s="35" t="str">
        <f aca="false">IF($R126="","",$R126-$K126)</f>
        <v/>
      </c>
      <c r="U126" s="35" t="str">
        <f aca="false">IF(N($P126)&lt;=0,"",COUNTIF($P$6:$P126,"&gt;0"))</f>
        <v/>
      </c>
    </row>
    <row r="127" customFormat="false" ht="15" hidden="false" customHeight="false" outlineLevel="0" collapsed="false">
      <c r="A127" s="40" t="str">
        <f aca="false">IF(INDEX(BookTitle,122)="","",INDEX(BookGroup,122))</f>
        <v/>
      </c>
      <c r="B127" s="40" t="str">
        <f aca="false">IF(INDEX(BookTitle,122)="","",INDEX(BookRef,122))</f>
        <v/>
      </c>
      <c r="C127" s="40" t="str">
        <f aca="false">IF(INDEX(BookTitle,122)="","",INDEX(BookDivision,122))</f>
        <v/>
      </c>
      <c r="D127" s="40" t="str">
        <f aca="false">IF(INDEX(BookTitle,122)="","",INDEX(BookUnit,122))</f>
        <v/>
      </c>
      <c r="E127" s="40" t="str">
        <f aca="false">IF(INDEX(BookTitle,122)="","",INDEX(BookTitle,122))</f>
        <v/>
      </c>
      <c r="F127" s="40" t="str">
        <f aca="false">IF(INDEX(BookTitle,122)="","",INDEX(BookLevel,122))</f>
        <v/>
      </c>
      <c r="G127" s="40" t="str">
        <f aca="false">IF(INDEX(BookTitle,122)="","",INDEX(BookCategory,122))</f>
        <v/>
      </c>
      <c r="H127" s="40" t="str">
        <f aca="false">IF(INDEX(BookTitle,122)="","",INDEX(BookRank,122))</f>
        <v/>
      </c>
      <c r="I127" s="41" t="str">
        <f aca="false">IF(INDEX(BookTitle,122)="","",INDEX(BookTotal,122))</f>
        <v/>
      </c>
      <c r="J127" s="0" t="str">
        <f aca="false">IF($I127="","",IF(INDEX(BookQ1,122)&gt;0,"Q1",IF(INDEX(BookQ2,122)&gt;0,"Q2",IF(INDEX(BookQ3,122)&gt;0,"Q3",IF(INDEX(BookQ4,122)&gt;0,"Q4","")))))</f>
        <v/>
      </c>
      <c r="K127" s="42" t="str">
        <f aca="false">IF(INDEX(BookTitle,122)="","",INDEX(BookInYear,122))</f>
        <v/>
      </c>
      <c r="L127" s="19"/>
      <c r="M127" s="39"/>
      <c r="N127" s="19"/>
      <c r="O127" s="19"/>
      <c r="P127" s="43" t="str">
        <f aca="false">IF($E127="","",IF($L127="Decline",0,IF($L127="Approve fewer",IF($M127="","",$M127),IF($L127="","",$I127))))</f>
        <v/>
      </c>
      <c r="Q127" s="34" t="str">
        <f aca="false">IF($P127="","",IF($N127&lt;&gt;"",$N127,$J127))</f>
        <v/>
      </c>
      <c r="R127" s="35" t="str">
        <f aca="false">IF(OR($P127="",$Q127=""),"",INDEX(BookRate,122)*$P127*(5-MATCH($Q127,{"Q1";"Q2";"Q3";"Q4"},0))/4+INDEX(BookOneOff,122)*$P127)</f>
        <v/>
      </c>
      <c r="S127" s="35" t="str">
        <f aca="false">IF($P127="","",INDEX(BookRate,122)*$P127)</f>
        <v/>
      </c>
      <c r="T127" s="35" t="str">
        <f aca="false">IF($R127="","",$R127-$K127)</f>
        <v/>
      </c>
      <c r="U127" s="35" t="str">
        <f aca="false">IF(N($P127)&lt;=0,"",COUNTIF($P$6:$P127,"&gt;0"))</f>
        <v/>
      </c>
    </row>
    <row r="128" customFormat="false" ht="15" hidden="false" customHeight="false" outlineLevel="0" collapsed="false">
      <c r="A128" s="40" t="str">
        <f aca="false">IF(INDEX(BookTitle,123)="","",INDEX(BookGroup,123))</f>
        <v/>
      </c>
      <c r="B128" s="40" t="str">
        <f aca="false">IF(INDEX(BookTitle,123)="","",INDEX(BookRef,123))</f>
        <v/>
      </c>
      <c r="C128" s="40" t="str">
        <f aca="false">IF(INDEX(BookTitle,123)="","",INDEX(BookDivision,123))</f>
        <v/>
      </c>
      <c r="D128" s="40" t="str">
        <f aca="false">IF(INDEX(BookTitle,123)="","",INDEX(BookUnit,123))</f>
        <v/>
      </c>
      <c r="E128" s="40" t="str">
        <f aca="false">IF(INDEX(BookTitle,123)="","",INDEX(BookTitle,123))</f>
        <v/>
      </c>
      <c r="F128" s="40" t="str">
        <f aca="false">IF(INDEX(BookTitle,123)="","",INDEX(BookLevel,123))</f>
        <v/>
      </c>
      <c r="G128" s="40" t="str">
        <f aca="false">IF(INDEX(BookTitle,123)="","",INDEX(BookCategory,123))</f>
        <v/>
      </c>
      <c r="H128" s="40" t="str">
        <f aca="false">IF(INDEX(BookTitle,123)="","",INDEX(BookRank,123))</f>
        <v/>
      </c>
      <c r="I128" s="41" t="str">
        <f aca="false">IF(INDEX(BookTitle,123)="","",INDEX(BookTotal,123))</f>
        <v/>
      </c>
      <c r="J128" s="0" t="str">
        <f aca="false">IF($I128="","",IF(INDEX(BookQ1,123)&gt;0,"Q1",IF(INDEX(BookQ2,123)&gt;0,"Q2",IF(INDEX(BookQ3,123)&gt;0,"Q3",IF(INDEX(BookQ4,123)&gt;0,"Q4","")))))</f>
        <v/>
      </c>
      <c r="K128" s="42" t="str">
        <f aca="false">IF(INDEX(BookTitle,123)="","",INDEX(BookInYear,123))</f>
        <v/>
      </c>
      <c r="L128" s="19"/>
      <c r="M128" s="39"/>
      <c r="N128" s="19"/>
      <c r="O128" s="19"/>
      <c r="P128" s="43" t="str">
        <f aca="false">IF($E128="","",IF($L128="Decline",0,IF($L128="Approve fewer",IF($M128="","",$M128),IF($L128="","",$I128))))</f>
        <v/>
      </c>
      <c r="Q128" s="34" t="str">
        <f aca="false">IF($P128="","",IF($N128&lt;&gt;"",$N128,$J128))</f>
        <v/>
      </c>
      <c r="R128" s="35" t="str">
        <f aca="false">IF(OR($P128="",$Q128=""),"",INDEX(BookRate,123)*$P128*(5-MATCH($Q128,{"Q1";"Q2";"Q3";"Q4"},0))/4+INDEX(BookOneOff,123)*$P128)</f>
        <v/>
      </c>
      <c r="S128" s="35" t="str">
        <f aca="false">IF($P128="","",INDEX(BookRate,123)*$P128)</f>
        <v/>
      </c>
      <c r="T128" s="35" t="str">
        <f aca="false">IF($R128="","",$R128-$K128)</f>
        <v/>
      </c>
      <c r="U128" s="35" t="str">
        <f aca="false">IF(N($P128)&lt;=0,"",COUNTIF($P$6:$P128,"&gt;0"))</f>
        <v/>
      </c>
    </row>
    <row r="129" customFormat="false" ht="15" hidden="false" customHeight="false" outlineLevel="0" collapsed="false">
      <c r="A129" s="40" t="str">
        <f aca="false">IF(INDEX(BookTitle,124)="","",INDEX(BookGroup,124))</f>
        <v/>
      </c>
      <c r="B129" s="40" t="str">
        <f aca="false">IF(INDEX(BookTitle,124)="","",INDEX(BookRef,124))</f>
        <v/>
      </c>
      <c r="C129" s="40" t="str">
        <f aca="false">IF(INDEX(BookTitle,124)="","",INDEX(BookDivision,124))</f>
        <v/>
      </c>
      <c r="D129" s="40" t="str">
        <f aca="false">IF(INDEX(BookTitle,124)="","",INDEX(BookUnit,124))</f>
        <v/>
      </c>
      <c r="E129" s="40" t="str">
        <f aca="false">IF(INDEX(BookTitle,124)="","",INDEX(BookTitle,124))</f>
        <v/>
      </c>
      <c r="F129" s="40" t="str">
        <f aca="false">IF(INDEX(BookTitle,124)="","",INDEX(BookLevel,124))</f>
        <v/>
      </c>
      <c r="G129" s="40" t="str">
        <f aca="false">IF(INDEX(BookTitle,124)="","",INDEX(BookCategory,124))</f>
        <v/>
      </c>
      <c r="H129" s="40" t="str">
        <f aca="false">IF(INDEX(BookTitle,124)="","",INDEX(BookRank,124))</f>
        <v/>
      </c>
      <c r="I129" s="41" t="str">
        <f aca="false">IF(INDEX(BookTitle,124)="","",INDEX(BookTotal,124))</f>
        <v/>
      </c>
      <c r="J129" s="0" t="str">
        <f aca="false">IF($I129="","",IF(INDEX(BookQ1,124)&gt;0,"Q1",IF(INDEX(BookQ2,124)&gt;0,"Q2",IF(INDEX(BookQ3,124)&gt;0,"Q3",IF(INDEX(BookQ4,124)&gt;0,"Q4","")))))</f>
        <v/>
      </c>
      <c r="K129" s="42" t="str">
        <f aca="false">IF(INDEX(BookTitle,124)="","",INDEX(BookInYear,124))</f>
        <v/>
      </c>
      <c r="L129" s="19"/>
      <c r="M129" s="39"/>
      <c r="N129" s="19"/>
      <c r="O129" s="19"/>
      <c r="P129" s="43" t="str">
        <f aca="false">IF($E129="","",IF($L129="Decline",0,IF($L129="Approve fewer",IF($M129="","",$M129),IF($L129="","",$I129))))</f>
        <v/>
      </c>
      <c r="Q129" s="34" t="str">
        <f aca="false">IF($P129="","",IF($N129&lt;&gt;"",$N129,$J129))</f>
        <v/>
      </c>
      <c r="R129" s="35" t="str">
        <f aca="false">IF(OR($P129="",$Q129=""),"",INDEX(BookRate,124)*$P129*(5-MATCH($Q129,{"Q1";"Q2";"Q3";"Q4"},0))/4+INDEX(BookOneOff,124)*$P129)</f>
        <v/>
      </c>
      <c r="S129" s="35" t="str">
        <f aca="false">IF($P129="","",INDEX(BookRate,124)*$P129)</f>
        <v/>
      </c>
      <c r="T129" s="35" t="str">
        <f aca="false">IF($R129="","",$R129-$K129)</f>
        <v/>
      </c>
      <c r="U129" s="35" t="str">
        <f aca="false">IF(N($P129)&lt;=0,"",COUNTIF($P$6:$P129,"&gt;0"))</f>
        <v/>
      </c>
    </row>
    <row r="130" customFormat="false" ht="15" hidden="false" customHeight="false" outlineLevel="0" collapsed="false">
      <c r="A130" s="40" t="str">
        <f aca="false">IF(INDEX(BookTitle,125)="","",INDEX(BookGroup,125))</f>
        <v/>
      </c>
      <c r="B130" s="40" t="str">
        <f aca="false">IF(INDEX(BookTitle,125)="","",INDEX(BookRef,125))</f>
        <v/>
      </c>
      <c r="C130" s="40" t="str">
        <f aca="false">IF(INDEX(BookTitle,125)="","",INDEX(BookDivision,125))</f>
        <v/>
      </c>
      <c r="D130" s="40" t="str">
        <f aca="false">IF(INDEX(BookTitle,125)="","",INDEX(BookUnit,125))</f>
        <v/>
      </c>
      <c r="E130" s="40" t="str">
        <f aca="false">IF(INDEX(BookTitle,125)="","",INDEX(BookTitle,125))</f>
        <v/>
      </c>
      <c r="F130" s="40" t="str">
        <f aca="false">IF(INDEX(BookTitle,125)="","",INDEX(BookLevel,125))</f>
        <v/>
      </c>
      <c r="G130" s="40" t="str">
        <f aca="false">IF(INDEX(BookTitle,125)="","",INDEX(BookCategory,125))</f>
        <v/>
      </c>
      <c r="H130" s="40" t="str">
        <f aca="false">IF(INDEX(BookTitle,125)="","",INDEX(BookRank,125))</f>
        <v/>
      </c>
      <c r="I130" s="41" t="str">
        <f aca="false">IF(INDEX(BookTitle,125)="","",INDEX(BookTotal,125))</f>
        <v/>
      </c>
      <c r="J130" s="0" t="str">
        <f aca="false">IF($I130="","",IF(INDEX(BookQ1,125)&gt;0,"Q1",IF(INDEX(BookQ2,125)&gt;0,"Q2",IF(INDEX(BookQ3,125)&gt;0,"Q3",IF(INDEX(BookQ4,125)&gt;0,"Q4","")))))</f>
        <v/>
      </c>
      <c r="K130" s="42" t="str">
        <f aca="false">IF(INDEX(BookTitle,125)="","",INDEX(BookInYear,125))</f>
        <v/>
      </c>
      <c r="L130" s="19"/>
      <c r="M130" s="39"/>
      <c r="N130" s="19"/>
      <c r="O130" s="19"/>
      <c r="P130" s="43" t="str">
        <f aca="false">IF($E130="","",IF($L130="Decline",0,IF($L130="Approve fewer",IF($M130="","",$M130),IF($L130="","",$I130))))</f>
        <v/>
      </c>
      <c r="Q130" s="34" t="str">
        <f aca="false">IF($P130="","",IF($N130&lt;&gt;"",$N130,$J130))</f>
        <v/>
      </c>
      <c r="R130" s="35" t="str">
        <f aca="false">IF(OR($P130="",$Q130=""),"",INDEX(BookRate,125)*$P130*(5-MATCH($Q130,{"Q1";"Q2";"Q3";"Q4"},0))/4+INDEX(BookOneOff,125)*$P130)</f>
        <v/>
      </c>
      <c r="S130" s="35" t="str">
        <f aca="false">IF($P130="","",INDEX(BookRate,125)*$P130)</f>
        <v/>
      </c>
      <c r="T130" s="35" t="str">
        <f aca="false">IF($R130="","",$R130-$K130)</f>
        <v/>
      </c>
      <c r="U130" s="35" t="str">
        <f aca="false">IF(N($P130)&lt;=0,"",COUNTIF($P$6:$P130,"&gt;0"))</f>
        <v/>
      </c>
    </row>
    <row r="131" customFormat="false" ht="15" hidden="false" customHeight="false" outlineLevel="0" collapsed="false">
      <c r="A131" s="40" t="str">
        <f aca="false">IF(INDEX(BookTitle,126)="","",INDEX(BookGroup,126))</f>
        <v/>
      </c>
      <c r="B131" s="40" t="str">
        <f aca="false">IF(INDEX(BookTitle,126)="","",INDEX(BookRef,126))</f>
        <v/>
      </c>
      <c r="C131" s="40" t="str">
        <f aca="false">IF(INDEX(BookTitle,126)="","",INDEX(BookDivision,126))</f>
        <v/>
      </c>
      <c r="D131" s="40" t="str">
        <f aca="false">IF(INDEX(BookTitle,126)="","",INDEX(BookUnit,126))</f>
        <v/>
      </c>
      <c r="E131" s="40" t="str">
        <f aca="false">IF(INDEX(BookTitle,126)="","",INDEX(BookTitle,126))</f>
        <v/>
      </c>
      <c r="F131" s="40" t="str">
        <f aca="false">IF(INDEX(BookTitle,126)="","",INDEX(BookLevel,126))</f>
        <v/>
      </c>
      <c r="G131" s="40" t="str">
        <f aca="false">IF(INDEX(BookTitle,126)="","",INDEX(BookCategory,126))</f>
        <v/>
      </c>
      <c r="H131" s="40" t="str">
        <f aca="false">IF(INDEX(BookTitle,126)="","",INDEX(BookRank,126))</f>
        <v/>
      </c>
      <c r="I131" s="41" t="str">
        <f aca="false">IF(INDEX(BookTitle,126)="","",INDEX(BookTotal,126))</f>
        <v/>
      </c>
      <c r="J131" s="0" t="str">
        <f aca="false">IF($I131="","",IF(INDEX(BookQ1,126)&gt;0,"Q1",IF(INDEX(BookQ2,126)&gt;0,"Q2",IF(INDEX(BookQ3,126)&gt;0,"Q3",IF(INDEX(BookQ4,126)&gt;0,"Q4","")))))</f>
        <v/>
      </c>
      <c r="K131" s="42" t="str">
        <f aca="false">IF(INDEX(BookTitle,126)="","",INDEX(BookInYear,126))</f>
        <v/>
      </c>
      <c r="L131" s="19"/>
      <c r="M131" s="39"/>
      <c r="N131" s="19"/>
      <c r="O131" s="19"/>
      <c r="P131" s="43" t="str">
        <f aca="false">IF($E131="","",IF($L131="Decline",0,IF($L131="Approve fewer",IF($M131="","",$M131),IF($L131="","",$I131))))</f>
        <v/>
      </c>
      <c r="Q131" s="34" t="str">
        <f aca="false">IF($P131="","",IF($N131&lt;&gt;"",$N131,$J131))</f>
        <v/>
      </c>
      <c r="R131" s="35" t="str">
        <f aca="false">IF(OR($P131="",$Q131=""),"",INDEX(BookRate,126)*$P131*(5-MATCH($Q131,{"Q1";"Q2";"Q3";"Q4"},0))/4+INDEX(BookOneOff,126)*$P131)</f>
        <v/>
      </c>
      <c r="S131" s="35" t="str">
        <f aca="false">IF($P131="","",INDEX(BookRate,126)*$P131)</f>
        <v/>
      </c>
      <c r="T131" s="35" t="str">
        <f aca="false">IF($R131="","",$R131-$K131)</f>
        <v/>
      </c>
      <c r="U131" s="35" t="str">
        <f aca="false">IF(N($P131)&lt;=0,"",COUNTIF($P$6:$P131,"&gt;0"))</f>
        <v/>
      </c>
    </row>
    <row r="132" customFormat="false" ht="15" hidden="false" customHeight="false" outlineLevel="0" collapsed="false">
      <c r="A132" s="40" t="str">
        <f aca="false">IF(INDEX(BookTitle,127)="","",INDEX(BookGroup,127))</f>
        <v/>
      </c>
      <c r="B132" s="40" t="str">
        <f aca="false">IF(INDEX(BookTitle,127)="","",INDEX(BookRef,127))</f>
        <v/>
      </c>
      <c r="C132" s="40" t="str">
        <f aca="false">IF(INDEX(BookTitle,127)="","",INDEX(BookDivision,127))</f>
        <v/>
      </c>
      <c r="D132" s="40" t="str">
        <f aca="false">IF(INDEX(BookTitle,127)="","",INDEX(BookUnit,127))</f>
        <v/>
      </c>
      <c r="E132" s="40" t="str">
        <f aca="false">IF(INDEX(BookTitle,127)="","",INDEX(BookTitle,127))</f>
        <v/>
      </c>
      <c r="F132" s="40" t="str">
        <f aca="false">IF(INDEX(BookTitle,127)="","",INDEX(BookLevel,127))</f>
        <v/>
      </c>
      <c r="G132" s="40" t="str">
        <f aca="false">IF(INDEX(BookTitle,127)="","",INDEX(BookCategory,127))</f>
        <v/>
      </c>
      <c r="H132" s="40" t="str">
        <f aca="false">IF(INDEX(BookTitle,127)="","",INDEX(BookRank,127))</f>
        <v/>
      </c>
      <c r="I132" s="41" t="str">
        <f aca="false">IF(INDEX(BookTitle,127)="","",INDEX(BookTotal,127))</f>
        <v/>
      </c>
      <c r="J132" s="0" t="str">
        <f aca="false">IF($I132="","",IF(INDEX(BookQ1,127)&gt;0,"Q1",IF(INDEX(BookQ2,127)&gt;0,"Q2",IF(INDEX(BookQ3,127)&gt;0,"Q3",IF(INDEX(BookQ4,127)&gt;0,"Q4","")))))</f>
        <v/>
      </c>
      <c r="K132" s="42" t="str">
        <f aca="false">IF(INDEX(BookTitle,127)="","",INDEX(BookInYear,127))</f>
        <v/>
      </c>
      <c r="L132" s="19"/>
      <c r="M132" s="39"/>
      <c r="N132" s="19"/>
      <c r="O132" s="19"/>
      <c r="P132" s="43" t="str">
        <f aca="false">IF($E132="","",IF($L132="Decline",0,IF($L132="Approve fewer",IF($M132="","",$M132),IF($L132="","",$I132))))</f>
        <v/>
      </c>
      <c r="Q132" s="34" t="str">
        <f aca="false">IF($P132="","",IF($N132&lt;&gt;"",$N132,$J132))</f>
        <v/>
      </c>
      <c r="R132" s="35" t="str">
        <f aca="false">IF(OR($P132="",$Q132=""),"",INDEX(BookRate,127)*$P132*(5-MATCH($Q132,{"Q1";"Q2";"Q3";"Q4"},0))/4+INDEX(BookOneOff,127)*$P132)</f>
        <v/>
      </c>
      <c r="S132" s="35" t="str">
        <f aca="false">IF($P132="","",INDEX(BookRate,127)*$P132)</f>
        <v/>
      </c>
      <c r="T132" s="35" t="str">
        <f aca="false">IF($R132="","",$R132-$K132)</f>
        <v/>
      </c>
      <c r="U132" s="35" t="str">
        <f aca="false">IF(N($P132)&lt;=0,"",COUNTIF($P$6:$P132,"&gt;0"))</f>
        <v/>
      </c>
    </row>
    <row r="133" customFormat="false" ht="15" hidden="false" customHeight="false" outlineLevel="0" collapsed="false">
      <c r="A133" s="40" t="str">
        <f aca="false">IF(INDEX(BookTitle,128)="","",INDEX(BookGroup,128))</f>
        <v/>
      </c>
      <c r="B133" s="40" t="str">
        <f aca="false">IF(INDEX(BookTitle,128)="","",INDEX(BookRef,128))</f>
        <v/>
      </c>
      <c r="C133" s="40" t="str">
        <f aca="false">IF(INDEX(BookTitle,128)="","",INDEX(BookDivision,128))</f>
        <v/>
      </c>
      <c r="D133" s="40" t="str">
        <f aca="false">IF(INDEX(BookTitle,128)="","",INDEX(BookUnit,128))</f>
        <v/>
      </c>
      <c r="E133" s="40" t="str">
        <f aca="false">IF(INDEX(BookTitle,128)="","",INDEX(BookTitle,128))</f>
        <v/>
      </c>
      <c r="F133" s="40" t="str">
        <f aca="false">IF(INDEX(BookTitle,128)="","",INDEX(BookLevel,128))</f>
        <v/>
      </c>
      <c r="G133" s="40" t="str">
        <f aca="false">IF(INDEX(BookTitle,128)="","",INDEX(BookCategory,128))</f>
        <v/>
      </c>
      <c r="H133" s="40" t="str">
        <f aca="false">IF(INDEX(BookTitle,128)="","",INDEX(BookRank,128))</f>
        <v/>
      </c>
      <c r="I133" s="41" t="str">
        <f aca="false">IF(INDEX(BookTitle,128)="","",INDEX(BookTotal,128))</f>
        <v/>
      </c>
      <c r="J133" s="0" t="str">
        <f aca="false">IF($I133="","",IF(INDEX(BookQ1,128)&gt;0,"Q1",IF(INDEX(BookQ2,128)&gt;0,"Q2",IF(INDEX(BookQ3,128)&gt;0,"Q3",IF(INDEX(BookQ4,128)&gt;0,"Q4","")))))</f>
        <v/>
      </c>
      <c r="K133" s="42" t="str">
        <f aca="false">IF(INDEX(BookTitle,128)="","",INDEX(BookInYear,128))</f>
        <v/>
      </c>
      <c r="L133" s="19"/>
      <c r="M133" s="39"/>
      <c r="N133" s="19"/>
      <c r="O133" s="19"/>
      <c r="P133" s="43" t="str">
        <f aca="false">IF($E133="","",IF($L133="Decline",0,IF($L133="Approve fewer",IF($M133="","",$M133),IF($L133="","",$I133))))</f>
        <v/>
      </c>
      <c r="Q133" s="34" t="str">
        <f aca="false">IF($P133="","",IF($N133&lt;&gt;"",$N133,$J133))</f>
        <v/>
      </c>
      <c r="R133" s="35" t="str">
        <f aca="false">IF(OR($P133="",$Q133=""),"",INDEX(BookRate,128)*$P133*(5-MATCH($Q133,{"Q1";"Q2";"Q3";"Q4"},0))/4+INDEX(BookOneOff,128)*$P133)</f>
        <v/>
      </c>
      <c r="S133" s="35" t="str">
        <f aca="false">IF($P133="","",INDEX(BookRate,128)*$P133)</f>
        <v/>
      </c>
      <c r="T133" s="35" t="str">
        <f aca="false">IF($R133="","",$R133-$K133)</f>
        <v/>
      </c>
      <c r="U133" s="35" t="str">
        <f aca="false">IF(N($P133)&lt;=0,"",COUNTIF($P$6:$P133,"&gt;0"))</f>
        <v/>
      </c>
    </row>
    <row r="134" customFormat="false" ht="15" hidden="false" customHeight="false" outlineLevel="0" collapsed="false">
      <c r="A134" s="40" t="str">
        <f aca="false">IF(INDEX(BookTitle,129)="","",INDEX(BookGroup,129))</f>
        <v/>
      </c>
      <c r="B134" s="40" t="str">
        <f aca="false">IF(INDEX(BookTitle,129)="","",INDEX(BookRef,129))</f>
        <v/>
      </c>
      <c r="C134" s="40" t="str">
        <f aca="false">IF(INDEX(BookTitle,129)="","",INDEX(BookDivision,129))</f>
        <v/>
      </c>
      <c r="D134" s="40" t="str">
        <f aca="false">IF(INDEX(BookTitle,129)="","",INDEX(BookUnit,129))</f>
        <v/>
      </c>
      <c r="E134" s="40" t="str">
        <f aca="false">IF(INDEX(BookTitle,129)="","",INDEX(BookTitle,129))</f>
        <v/>
      </c>
      <c r="F134" s="40" t="str">
        <f aca="false">IF(INDEX(BookTitle,129)="","",INDEX(BookLevel,129))</f>
        <v/>
      </c>
      <c r="G134" s="40" t="str">
        <f aca="false">IF(INDEX(BookTitle,129)="","",INDEX(BookCategory,129))</f>
        <v/>
      </c>
      <c r="H134" s="40" t="str">
        <f aca="false">IF(INDEX(BookTitle,129)="","",INDEX(BookRank,129))</f>
        <v/>
      </c>
      <c r="I134" s="41" t="str">
        <f aca="false">IF(INDEX(BookTitle,129)="","",INDEX(BookTotal,129))</f>
        <v/>
      </c>
      <c r="J134" s="0" t="str">
        <f aca="false">IF($I134="","",IF(INDEX(BookQ1,129)&gt;0,"Q1",IF(INDEX(BookQ2,129)&gt;0,"Q2",IF(INDEX(BookQ3,129)&gt;0,"Q3",IF(INDEX(BookQ4,129)&gt;0,"Q4","")))))</f>
        <v/>
      </c>
      <c r="K134" s="42" t="str">
        <f aca="false">IF(INDEX(BookTitle,129)="","",INDEX(BookInYear,129))</f>
        <v/>
      </c>
      <c r="L134" s="19"/>
      <c r="M134" s="39"/>
      <c r="N134" s="19"/>
      <c r="O134" s="19"/>
      <c r="P134" s="43" t="str">
        <f aca="false">IF($E134="","",IF($L134="Decline",0,IF($L134="Approve fewer",IF($M134="","",$M134),IF($L134="","",$I134))))</f>
        <v/>
      </c>
      <c r="Q134" s="34" t="str">
        <f aca="false">IF($P134="","",IF($N134&lt;&gt;"",$N134,$J134))</f>
        <v/>
      </c>
      <c r="R134" s="35" t="str">
        <f aca="false">IF(OR($P134="",$Q134=""),"",INDEX(BookRate,129)*$P134*(5-MATCH($Q134,{"Q1";"Q2";"Q3";"Q4"},0))/4+INDEX(BookOneOff,129)*$P134)</f>
        <v/>
      </c>
      <c r="S134" s="35" t="str">
        <f aca="false">IF($P134="","",INDEX(BookRate,129)*$P134)</f>
        <v/>
      </c>
      <c r="T134" s="35" t="str">
        <f aca="false">IF($R134="","",$R134-$K134)</f>
        <v/>
      </c>
      <c r="U134" s="35" t="str">
        <f aca="false">IF(N($P134)&lt;=0,"",COUNTIF($P$6:$P134,"&gt;0"))</f>
        <v/>
      </c>
    </row>
    <row r="135" customFormat="false" ht="15" hidden="false" customHeight="false" outlineLevel="0" collapsed="false">
      <c r="A135" s="40" t="str">
        <f aca="false">IF(INDEX(BookTitle,130)="","",INDEX(BookGroup,130))</f>
        <v/>
      </c>
      <c r="B135" s="40" t="str">
        <f aca="false">IF(INDEX(BookTitle,130)="","",INDEX(BookRef,130))</f>
        <v/>
      </c>
      <c r="C135" s="40" t="str">
        <f aca="false">IF(INDEX(BookTitle,130)="","",INDEX(BookDivision,130))</f>
        <v/>
      </c>
      <c r="D135" s="40" t="str">
        <f aca="false">IF(INDEX(BookTitle,130)="","",INDEX(BookUnit,130))</f>
        <v/>
      </c>
      <c r="E135" s="40" t="str">
        <f aca="false">IF(INDEX(BookTitle,130)="","",INDEX(BookTitle,130))</f>
        <v/>
      </c>
      <c r="F135" s="40" t="str">
        <f aca="false">IF(INDEX(BookTitle,130)="","",INDEX(BookLevel,130))</f>
        <v/>
      </c>
      <c r="G135" s="40" t="str">
        <f aca="false">IF(INDEX(BookTitle,130)="","",INDEX(BookCategory,130))</f>
        <v/>
      </c>
      <c r="H135" s="40" t="str">
        <f aca="false">IF(INDEX(BookTitle,130)="","",INDEX(BookRank,130))</f>
        <v/>
      </c>
      <c r="I135" s="41" t="str">
        <f aca="false">IF(INDEX(BookTitle,130)="","",INDEX(BookTotal,130))</f>
        <v/>
      </c>
      <c r="J135" s="0" t="str">
        <f aca="false">IF($I135="","",IF(INDEX(BookQ1,130)&gt;0,"Q1",IF(INDEX(BookQ2,130)&gt;0,"Q2",IF(INDEX(BookQ3,130)&gt;0,"Q3",IF(INDEX(BookQ4,130)&gt;0,"Q4","")))))</f>
        <v/>
      </c>
      <c r="K135" s="42" t="str">
        <f aca="false">IF(INDEX(BookTitle,130)="","",INDEX(BookInYear,130))</f>
        <v/>
      </c>
      <c r="L135" s="19"/>
      <c r="M135" s="39"/>
      <c r="N135" s="19"/>
      <c r="O135" s="19"/>
      <c r="P135" s="43" t="str">
        <f aca="false">IF($E135="","",IF($L135="Decline",0,IF($L135="Approve fewer",IF($M135="","",$M135),IF($L135="","",$I135))))</f>
        <v/>
      </c>
      <c r="Q135" s="34" t="str">
        <f aca="false">IF($P135="","",IF($N135&lt;&gt;"",$N135,$J135))</f>
        <v/>
      </c>
      <c r="R135" s="35" t="str">
        <f aca="false">IF(OR($P135="",$Q135=""),"",INDEX(BookRate,130)*$P135*(5-MATCH($Q135,{"Q1";"Q2";"Q3";"Q4"},0))/4+INDEX(BookOneOff,130)*$P135)</f>
        <v/>
      </c>
      <c r="S135" s="35" t="str">
        <f aca="false">IF($P135="","",INDEX(BookRate,130)*$P135)</f>
        <v/>
      </c>
      <c r="T135" s="35" t="str">
        <f aca="false">IF($R135="","",$R135-$K135)</f>
        <v/>
      </c>
      <c r="U135" s="35" t="str">
        <f aca="false">IF(N($P135)&lt;=0,"",COUNTIF($P$6:$P135,"&gt;0"))</f>
        <v/>
      </c>
    </row>
    <row r="136" customFormat="false" ht="15" hidden="false" customHeight="false" outlineLevel="0" collapsed="false">
      <c r="A136" s="40" t="str">
        <f aca="false">IF(INDEX(BookTitle,131)="","",INDEX(BookGroup,131))</f>
        <v/>
      </c>
      <c r="B136" s="40" t="str">
        <f aca="false">IF(INDEX(BookTitle,131)="","",INDEX(BookRef,131))</f>
        <v/>
      </c>
      <c r="C136" s="40" t="str">
        <f aca="false">IF(INDEX(BookTitle,131)="","",INDEX(BookDivision,131))</f>
        <v/>
      </c>
      <c r="D136" s="40" t="str">
        <f aca="false">IF(INDEX(BookTitle,131)="","",INDEX(BookUnit,131))</f>
        <v/>
      </c>
      <c r="E136" s="40" t="str">
        <f aca="false">IF(INDEX(BookTitle,131)="","",INDEX(BookTitle,131))</f>
        <v/>
      </c>
      <c r="F136" s="40" t="str">
        <f aca="false">IF(INDEX(BookTitle,131)="","",INDEX(BookLevel,131))</f>
        <v/>
      </c>
      <c r="G136" s="40" t="str">
        <f aca="false">IF(INDEX(BookTitle,131)="","",INDEX(BookCategory,131))</f>
        <v/>
      </c>
      <c r="H136" s="40" t="str">
        <f aca="false">IF(INDEX(BookTitle,131)="","",INDEX(BookRank,131))</f>
        <v/>
      </c>
      <c r="I136" s="41" t="str">
        <f aca="false">IF(INDEX(BookTitle,131)="","",INDEX(BookTotal,131))</f>
        <v/>
      </c>
      <c r="J136" s="0" t="str">
        <f aca="false">IF($I136="","",IF(INDEX(BookQ1,131)&gt;0,"Q1",IF(INDEX(BookQ2,131)&gt;0,"Q2",IF(INDEX(BookQ3,131)&gt;0,"Q3",IF(INDEX(BookQ4,131)&gt;0,"Q4","")))))</f>
        <v/>
      </c>
      <c r="K136" s="42" t="str">
        <f aca="false">IF(INDEX(BookTitle,131)="","",INDEX(BookInYear,131))</f>
        <v/>
      </c>
      <c r="L136" s="19"/>
      <c r="M136" s="39"/>
      <c r="N136" s="19"/>
      <c r="O136" s="19"/>
      <c r="P136" s="43" t="str">
        <f aca="false">IF($E136="","",IF($L136="Decline",0,IF($L136="Approve fewer",IF($M136="","",$M136),IF($L136="","",$I136))))</f>
        <v/>
      </c>
      <c r="Q136" s="34" t="str">
        <f aca="false">IF($P136="","",IF($N136&lt;&gt;"",$N136,$J136))</f>
        <v/>
      </c>
      <c r="R136" s="35" t="str">
        <f aca="false">IF(OR($P136="",$Q136=""),"",INDEX(BookRate,131)*$P136*(5-MATCH($Q136,{"Q1";"Q2";"Q3";"Q4"},0))/4+INDEX(BookOneOff,131)*$P136)</f>
        <v/>
      </c>
      <c r="S136" s="35" t="str">
        <f aca="false">IF($P136="","",INDEX(BookRate,131)*$P136)</f>
        <v/>
      </c>
      <c r="T136" s="35" t="str">
        <f aca="false">IF($R136="","",$R136-$K136)</f>
        <v/>
      </c>
      <c r="U136" s="35" t="str">
        <f aca="false">IF(N($P136)&lt;=0,"",COUNTIF($P$6:$P136,"&gt;0"))</f>
        <v/>
      </c>
    </row>
    <row r="137" customFormat="false" ht="15" hidden="false" customHeight="false" outlineLevel="0" collapsed="false">
      <c r="A137" s="40" t="str">
        <f aca="false">IF(INDEX(BookTitle,132)="","",INDEX(BookGroup,132))</f>
        <v/>
      </c>
      <c r="B137" s="40" t="str">
        <f aca="false">IF(INDEX(BookTitle,132)="","",INDEX(BookRef,132))</f>
        <v/>
      </c>
      <c r="C137" s="40" t="str">
        <f aca="false">IF(INDEX(BookTitle,132)="","",INDEX(BookDivision,132))</f>
        <v/>
      </c>
      <c r="D137" s="40" t="str">
        <f aca="false">IF(INDEX(BookTitle,132)="","",INDEX(BookUnit,132))</f>
        <v/>
      </c>
      <c r="E137" s="40" t="str">
        <f aca="false">IF(INDEX(BookTitle,132)="","",INDEX(BookTitle,132))</f>
        <v/>
      </c>
      <c r="F137" s="40" t="str">
        <f aca="false">IF(INDEX(BookTitle,132)="","",INDEX(BookLevel,132))</f>
        <v/>
      </c>
      <c r="G137" s="40" t="str">
        <f aca="false">IF(INDEX(BookTitle,132)="","",INDEX(BookCategory,132))</f>
        <v/>
      </c>
      <c r="H137" s="40" t="str">
        <f aca="false">IF(INDEX(BookTitle,132)="","",INDEX(BookRank,132))</f>
        <v/>
      </c>
      <c r="I137" s="41" t="str">
        <f aca="false">IF(INDEX(BookTitle,132)="","",INDEX(BookTotal,132))</f>
        <v/>
      </c>
      <c r="J137" s="0" t="str">
        <f aca="false">IF($I137="","",IF(INDEX(BookQ1,132)&gt;0,"Q1",IF(INDEX(BookQ2,132)&gt;0,"Q2",IF(INDEX(BookQ3,132)&gt;0,"Q3",IF(INDEX(BookQ4,132)&gt;0,"Q4","")))))</f>
        <v/>
      </c>
      <c r="K137" s="42" t="str">
        <f aca="false">IF(INDEX(BookTitle,132)="","",INDEX(BookInYear,132))</f>
        <v/>
      </c>
      <c r="L137" s="19"/>
      <c r="M137" s="39"/>
      <c r="N137" s="19"/>
      <c r="O137" s="19"/>
      <c r="P137" s="43" t="str">
        <f aca="false">IF($E137="","",IF($L137="Decline",0,IF($L137="Approve fewer",IF($M137="","",$M137),IF($L137="","",$I137))))</f>
        <v/>
      </c>
      <c r="Q137" s="34" t="str">
        <f aca="false">IF($P137="","",IF($N137&lt;&gt;"",$N137,$J137))</f>
        <v/>
      </c>
      <c r="R137" s="35" t="str">
        <f aca="false">IF(OR($P137="",$Q137=""),"",INDEX(BookRate,132)*$P137*(5-MATCH($Q137,{"Q1";"Q2";"Q3";"Q4"},0))/4+INDEX(BookOneOff,132)*$P137)</f>
        <v/>
      </c>
      <c r="S137" s="35" t="str">
        <f aca="false">IF($P137="","",INDEX(BookRate,132)*$P137)</f>
        <v/>
      </c>
      <c r="T137" s="35" t="str">
        <f aca="false">IF($R137="","",$R137-$K137)</f>
        <v/>
      </c>
      <c r="U137" s="35" t="str">
        <f aca="false">IF(N($P137)&lt;=0,"",COUNTIF($P$6:$P137,"&gt;0"))</f>
        <v/>
      </c>
    </row>
    <row r="138" customFormat="false" ht="15" hidden="false" customHeight="false" outlineLevel="0" collapsed="false">
      <c r="A138" s="40" t="str">
        <f aca="false">IF(INDEX(BookTitle,133)="","",INDEX(BookGroup,133))</f>
        <v/>
      </c>
      <c r="B138" s="40" t="str">
        <f aca="false">IF(INDEX(BookTitle,133)="","",INDEX(BookRef,133))</f>
        <v/>
      </c>
      <c r="C138" s="40" t="str">
        <f aca="false">IF(INDEX(BookTitle,133)="","",INDEX(BookDivision,133))</f>
        <v/>
      </c>
      <c r="D138" s="40" t="str">
        <f aca="false">IF(INDEX(BookTitle,133)="","",INDEX(BookUnit,133))</f>
        <v/>
      </c>
      <c r="E138" s="40" t="str">
        <f aca="false">IF(INDEX(BookTitle,133)="","",INDEX(BookTitle,133))</f>
        <v/>
      </c>
      <c r="F138" s="40" t="str">
        <f aca="false">IF(INDEX(BookTitle,133)="","",INDEX(BookLevel,133))</f>
        <v/>
      </c>
      <c r="G138" s="40" t="str">
        <f aca="false">IF(INDEX(BookTitle,133)="","",INDEX(BookCategory,133))</f>
        <v/>
      </c>
      <c r="H138" s="40" t="str">
        <f aca="false">IF(INDEX(BookTitle,133)="","",INDEX(BookRank,133))</f>
        <v/>
      </c>
      <c r="I138" s="41" t="str">
        <f aca="false">IF(INDEX(BookTitle,133)="","",INDEX(BookTotal,133))</f>
        <v/>
      </c>
      <c r="J138" s="0" t="str">
        <f aca="false">IF($I138="","",IF(INDEX(BookQ1,133)&gt;0,"Q1",IF(INDEX(BookQ2,133)&gt;0,"Q2",IF(INDEX(BookQ3,133)&gt;0,"Q3",IF(INDEX(BookQ4,133)&gt;0,"Q4","")))))</f>
        <v/>
      </c>
      <c r="K138" s="42" t="str">
        <f aca="false">IF(INDEX(BookTitle,133)="","",INDEX(BookInYear,133))</f>
        <v/>
      </c>
      <c r="L138" s="19"/>
      <c r="M138" s="39"/>
      <c r="N138" s="19"/>
      <c r="O138" s="19"/>
      <c r="P138" s="43" t="str">
        <f aca="false">IF($E138="","",IF($L138="Decline",0,IF($L138="Approve fewer",IF($M138="","",$M138),IF($L138="","",$I138))))</f>
        <v/>
      </c>
      <c r="Q138" s="34" t="str">
        <f aca="false">IF($P138="","",IF($N138&lt;&gt;"",$N138,$J138))</f>
        <v/>
      </c>
      <c r="R138" s="35" t="str">
        <f aca="false">IF(OR($P138="",$Q138=""),"",INDEX(BookRate,133)*$P138*(5-MATCH($Q138,{"Q1";"Q2";"Q3";"Q4"},0))/4+INDEX(BookOneOff,133)*$P138)</f>
        <v/>
      </c>
      <c r="S138" s="35" t="str">
        <f aca="false">IF($P138="","",INDEX(BookRate,133)*$P138)</f>
        <v/>
      </c>
      <c r="T138" s="35" t="str">
        <f aca="false">IF($R138="","",$R138-$K138)</f>
        <v/>
      </c>
      <c r="U138" s="35" t="str">
        <f aca="false">IF(N($P138)&lt;=0,"",COUNTIF($P$6:$P138,"&gt;0"))</f>
        <v/>
      </c>
    </row>
    <row r="139" customFormat="false" ht="15" hidden="false" customHeight="false" outlineLevel="0" collapsed="false">
      <c r="A139" s="40" t="str">
        <f aca="false">IF(INDEX(BookTitle,134)="","",INDEX(BookGroup,134))</f>
        <v/>
      </c>
      <c r="B139" s="40" t="str">
        <f aca="false">IF(INDEX(BookTitle,134)="","",INDEX(BookRef,134))</f>
        <v/>
      </c>
      <c r="C139" s="40" t="str">
        <f aca="false">IF(INDEX(BookTitle,134)="","",INDEX(BookDivision,134))</f>
        <v/>
      </c>
      <c r="D139" s="40" t="str">
        <f aca="false">IF(INDEX(BookTitle,134)="","",INDEX(BookUnit,134))</f>
        <v/>
      </c>
      <c r="E139" s="40" t="str">
        <f aca="false">IF(INDEX(BookTitle,134)="","",INDEX(BookTitle,134))</f>
        <v/>
      </c>
      <c r="F139" s="40" t="str">
        <f aca="false">IF(INDEX(BookTitle,134)="","",INDEX(BookLevel,134))</f>
        <v/>
      </c>
      <c r="G139" s="40" t="str">
        <f aca="false">IF(INDEX(BookTitle,134)="","",INDEX(BookCategory,134))</f>
        <v/>
      </c>
      <c r="H139" s="40" t="str">
        <f aca="false">IF(INDEX(BookTitle,134)="","",INDEX(BookRank,134))</f>
        <v/>
      </c>
      <c r="I139" s="41" t="str">
        <f aca="false">IF(INDEX(BookTitle,134)="","",INDEX(BookTotal,134))</f>
        <v/>
      </c>
      <c r="J139" s="0" t="str">
        <f aca="false">IF($I139="","",IF(INDEX(BookQ1,134)&gt;0,"Q1",IF(INDEX(BookQ2,134)&gt;0,"Q2",IF(INDEX(BookQ3,134)&gt;0,"Q3",IF(INDEX(BookQ4,134)&gt;0,"Q4","")))))</f>
        <v/>
      </c>
      <c r="K139" s="42" t="str">
        <f aca="false">IF(INDEX(BookTitle,134)="","",INDEX(BookInYear,134))</f>
        <v/>
      </c>
      <c r="L139" s="19"/>
      <c r="M139" s="39"/>
      <c r="N139" s="19"/>
      <c r="O139" s="19"/>
      <c r="P139" s="43" t="str">
        <f aca="false">IF($E139="","",IF($L139="Decline",0,IF($L139="Approve fewer",IF($M139="","",$M139),IF($L139="","",$I139))))</f>
        <v/>
      </c>
      <c r="Q139" s="34" t="str">
        <f aca="false">IF($P139="","",IF($N139&lt;&gt;"",$N139,$J139))</f>
        <v/>
      </c>
      <c r="R139" s="35" t="str">
        <f aca="false">IF(OR($P139="",$Q139=""),"",INDEX(BookRate,134)*$P139*(5-MATCH($Q139,{"Q1";"Q2";"Q3";"Q4"},0))/4+INDEX(BookOneOff,134)*$P139)</f>
        <v/>
      </c>
      <c r="S139" s="35" t="str">
        <f aca="false">IF($P139="","",INDEX(BookRate,134)*$P139)</f>
        <v/>
      </c>
      <c r="T139" s="35" t="str">
        <f aca="false">IF($R139="","",$R139-$K139)</f>
        <v/>
      </c>
      <c r="U139" s="35" t="str">
        <f aca="false">IF(N($P139)&lt;=0,"",COUNTIF($P$6:$P139,"&gt;0"))</f>
        <v/>
      </c>
    </row>
    <row r="140" customFormat="false" ht="15" hidden="false" customHeight="false" outlineLevel="0" collapsed="false">
      <c r="A140" s="40" t="str">
        <f aca="false">IF(INDEX(BookTitle,135)="","",INDEX(BookGroup,135))</f>
        <v/>
      </c>
      <c r="B140" s="40" t="str">
        <f aca="false">IF(INDEX(BookTitle,135)="","",INDEX(BookRef,135))</f>
        <v/>
      </c>
      <c r="C140" s="40" t="str">
        <f aca="false">IF(INDEX(BookTitle,135)="","",INDEX(BookDivision,135))</f>
        <v/>
      </c>
      <c r="D140" s="40" t="str">
        <f aca="false">IF(INDEX(BookTitle,135)="","",INDEX(BookUnit,135))</f>
        <v/>
      </c>
      <c r="E140" s="40" t="str">
        <f aca="false">IF(INDEX(BookTitle,135)="","",INDEX(BookTitle,135))</f>
        <v/>
      </c>
      <c r="F140" s="40" t="str">
        <f aca="false">IF(INDEX(BookTitle,135)="","",INDEX(BookLevel,135))</f>
        <v/>
      </c>
      <c r="G140" s="40" t="str">
        <f aca="false">IF(INDEX(BookTitle,135)="","",INDEX(BookCategory,135))</f>
        <v/>
      </c>
      <c r="H140" s="40" t="str">
        <f aca="false">IF(INDEX(BookTitle,135)="","",INDEX(BookRank,135))</f>
        <v/>
      </c>
      <c r="I140" s="41" t="str">
        <f aca="false">IF(INDEX(BookTitle,135)="","",INDEX(BookTotal,135))</f>
        <v/>
      </c>
      <c r="J140" s="0" t="str">
        <f aca="false">IF($I140="","",IF(INDEX(BookQ1,135)&gt;0,"Q1",IF(INDEX(BookQ2,135)&gt;0,"Q2",IF(INDEX(BookQ3,135)&gt;0,"Q3",IF(INDEX(BookQ4,135)&gt;0,"Q4","")))))</f>
        <v/>
      </c>
      <c r="K140" s="42" t="str">
        <f aca="false">IF(INDEX(BookTitle,135)="","",INDEX(BookInYear,135))</f>
        <v/>
      </c>
      <c r="L140" s="19"/>
      <c r="M140" s="39"/>
      <c r="N140" s="19"/>
      <c r="O140" s="19"/>
      <c r="P140" s="43" t="str">
        <f aca="false">IF($E140="","",IF($L140="Decline",0,IF($L140="Approve fewer",IF($M140="","",$M140),IF($L140="","",$I140))))</f>
        <v/>
      </c>
      <c r="Q140" s="34" t="str">
        <f aca="false">IF($P140="","",IF($N140&lt;&gt;"",$N140,$J140))</f>
        <v/>
      </c>
      <c r="R140" s="35" t="str">
        <f aca="false">IF(OR($P140="",$Q140=""),"",INDEX(BookRate,135)*$P140*(5-MATCH($Q140,{"Q1";"Q2";"Q3";"Q4"},0))/4+INDEX(BookOneOff,135)*$P140)</f>
        <v/>
      </c>
      <c r="S140" s="35" t="str">
        <f aca="false">IF($P140="","",INDEX(BookRate,135)*$P140)</f>
        <v/>
      </c>
      <c r="T140" s="35" t="str">
        <f aca="false">IF($R140="","",$R140-$K140)</f>
        <v/>
      </c>
      <c r="U140" s="35" t="str">
        <f aca="false">IF(N($P140)&lt;=0,"",COUNTIF($P$6:$P140,"&gt;0"))</f>
        <v/>
      </c>
    </row>
    <row r="141" customFormat="false" ht="15" hidden="false" customHeight="false" outlineLevel="0" collapsed="false">
      <c r="A141" s="40" t="str">
        <f aca="false">IF(INDEX(BookTitle,136)="","",INDEX(BookGroup,136))</f>
        <v/>
      </c>
      <c r="B141" s="40" t="str">
        <f aca="false">IF(INDEX(BookTitle,136)="","",INDEX(BookRef,136))</f>
        <v/>
      </c>
      <c r="C141" s="40" t="str">
        <f aca="false">IF(INDEX(BookTitle,136)="","",INDEX(BookDivision,136))</f>
        <v/>
      </c>
      <c r="D141" s="40" t="str">
        <f aca="false">IF(INDEX(BookTitle,136)="","",INDEX(BookUnit,136))</f>
        <v/>
      </c>
      <c r="E141" s="40" t="str">
        <f aca="false">IF(INDEX(BookTitle,136)="","",INDEX(BookTitle,136))</f>
        <v/>
      </c>
      <c r="F141" s="40" t="str">
        <f aca="false">IF(INDEX(BookTitle,136)="","",INDEX(BookLevel,136))</f>
        <v/>
      </c>
      <c r="G141" s="40" t="str">
        <f aca="false">IF(INDEX(BookTitle,136)="","",INDEX(BookCategory,136))</f>
        <v/>
      </c>
      <c r="H141" s="40" t="str">
        <f aca="false">IF(INDEX(BookTitle,136)="","",INDEX(BookRank,136))</f>
        <v/>
      </c>
      <c r="I141" s="41" t="str">
        <f aca="false">IF(INDEX(BookTitle,136)="","",INDEX(BookTotal,136))</f>
        <v/>
      </c>
      <c r="J141" s="0" t="str">
        <f aca="false">IF($I141="","",IF(INDEX(BookQ1,136)&gt;0,"Q1",IF(INDEX(BookQ2,136)&gt;0,"Q2",IF(INDEX(BookQ3,136)&gt;0,"Q3",IF(INDEX(BookQ4,136)&gt;0,"Q4","")))))</f>
        <v/>
      </c>
      <c r="K141" s="42" t="str">
        <f aca="false">IF(INDEX(BookTitle,136)="","",INDEX(BookInYear,136))</f>
        <v/>
      </c>
      <c r="L141" s="19"/>
      <c r="M141" s="39"/>
      <c r="N141" s="19"/>
      <c r="O141" s="19"/>
      <c r="P141" s="43" t="str">
        <f aca="false">IF($E141="","",IF($L141="Decline",0,IF($L141="Approve fewer",IF($M141="","",$M141),IF($L141="","",$I141))))</f>
        <v/>
      </c>
      <c r="Q141" s="34" t="str">
        <f aca="false">IF($P141="","",IF($N141&lt;&gt;"",$N141,$J141))</f>
        <v/>
      </c>
      <c r="R141" s="35" t="str">
        <f aca="false">IF(OR($P141="",$Q141=""),"",INDEX(BookRate,136)*$P141*(5-MATCH($Q141,{"Q1";"Q2";"Q3";"Q4"},0))/4+INDEX(BookOneOff,136)*$P141)</f>
        <v/>
      </c>
      <c r="S141" s="35" t="str">
        <f aca="false">IF($P141="","",INDEX(BookRate,136)*$P141)</f>
        <v/>
      </c>
      <c r="T141" s="35" t="str">
        <f aca="false">IF($R141="","",$R141-$K141)</f>
        <v/>
      </c>
      <c r="U141" s="35" t="str">
        <f aca="false">IF(N($P141)&lt;=0,"",COUNTIF($P$6:$P141,"&gt;0"))</f>
        <v/>
      </c>
    </row>
    <row r="142" customFormat="false" ht="15" hidden="false" customHeight="false" outlineLevel="0" collapsed="false">
      <c r="A142" s="40" t="str">
        <f aca="false">IF(INDEX(BookTitle,137)="","",INDEX(BookGroup,137))</f>
        <v/>
      </c>
      <c r="B142" s="40" t="str">
        <f aca="false">IF(INDEX(BookTitle,137)="","",INDEX(BookRef,137))</f>
        <v/>
      </c>
      <c r="C142" s="40" t="str">
        <f aca="false">IF(INDEX(BookTitle,137)="","",INDEX(BookDivision,137))</f>
        <v/>
      </c>
      <c r="D142" s="40" t="str">
        <f aca="false">IF(INDEX(BookTitle,137)="","",INDEX(BookUnit,137))</f>
        <v/>
      </c>
      <c r="E142" s="40" t="str">
        <f aca="false">IF(INDEX(BookTitle,137)="","",INDEX(BookTitle,137))</f>
        <v/>
      </c>
      <c r="F142" s="40" t="str">
        <f aca="false">IF(INDEX(BookTitle,137)="","",INDEX(BookLevel,137))</f>
        <v/>
      </c>
      <c r="G142" s="40" t="str">
        <f aca="false">IF(INDEX(BookTitle,137)="","",INDEX(BookCategory,137))</f>
        <v/>
      </c>
      <c r="H142" s="40" t="str">
        <f aca="false">IF(INDEX(BookTitle,137)="","",INDEX(BookRank,137))</f>
        <v/>
      </c>
      <c r="I142" s="41" t="str">
        <f aca="false">IF(INDEX(BookTitle,137)="","",INDEX(BookTotal,137))</f>
        <v/>
      </c>
      <c r="J142" s="0" t="str">
        <f aca="false">IF($I142="","",IF(INDEX(BookQ1,137)&gt;0,"Q1",IF(INDEX(BookQ2,137)&gt;0,"Q2",IF(INDEX(BookQ3,137)&gt;0,"Q3",IF(INDEX(BookQ4,137)&gt;0,"Q4","")))))</f>
        <v/>
      </c>
      <c r="K142" s="42" t="str">
        <f aca="false">IF(INDEX(BookTitle,137)="","",INDEX(BookInYear,137))</f>
        <v/>
      </c>
      <c r="L142" s="19"/>
      <c r="M142" s="39"/>
      <c r="N142" s="19"/>
      <c r="O142" s="19"/>
      <c r="P142" s="43" t="str">
        <f aca="false">IF($E142="","",IF($L142="Decline",0,IF($L142="Approve fewer",IF($M142="","",$M142),IF($L142="","",$I142))))</f>
        <v/>
      </c>
      <c r="Q142" s="34" t="str">
        <f aca="false">IF($P142="","",IF($N142&lt;&gt;"",$N142,$J142))</f>
        <v/>
      </c>
      <c r="R142" s="35" t="str">
        <f aca="false">IF(OR($P142="",$Q142=""),"",INDEX(BookRate,137)*$P142*(5-MATCH($Q142,{"Q1";"Q2";"Q3";"Q4"},0))/4+INDEX(BookOneOff,137)*$P142)</f>
        <v/>
      </c>
      <c r="S142" s="35" t="str">
        <f aca="false">IF($P142="","",INDEX(BookRate,137)*$P142)</f>
        <v/>
      </c>
      <c r="T142" s="35" t="str">
        <f aca="false">IF($R142="","",$R142-$K142)</f>
        <v/>
      </c>
      <c r="U142" s="35" t="str">
        <f aca="false">IF(N($P142)&lt;=0,"",COUNTIF($P$6:$P142,"&gt;0"))</f>
        <v/>
      </c>
    </row>
    <row r="143" customFormat="false" ht="15" hidden="false" customHeight="false" outlineLevel="0" collapsed="false">
      <c r="A143" s="40" t="str">
        <f aca="false">IF(INDEX(BookTitle,138)="","",INDEX(BookGroup,138))</f>
        <v/>
      </c>
      <c r="B143" s="40" t="str">
        <f aca="false">IF(INDEX(BookTitle,138)="","",INDEX(BookRef,138))</f>
        <v/>
      </c>
      <c r="C143" s="40" t="str">
        <f aca="false">IF(INDEX(BookTitle,138)="","",INDEX(BookDivision,138))</f>
        <v/>
      </c>
      <c r="D143" s="40" t="str">
        <f aca="false">IF(INDEX(BookTitle,138)="","",INDEX(BookUnit,138))</f>
        <v/>
      </c>
      <c r="E143" s="40" t="str">
        <f aca="false">IF(INDEX(BookTitle,138)="","",INDEX(BookTitle,138))</f>
        <v/>
      </c>
      <c r="F143" s="40" t="str">
        <f aca="false">IF(INDEX(BookTitle,138)="","",INDEX(BookLevel,138))</f>
        <v/>
      </c>
      <c r="G143" s="40" t="str">
        <f aca="false">IF(INDEX(BookTitle,138)="","",INDEX(BookCategory,138))</f>
        <v/>
      </c>
      <c r="H143" s="40" t="str">
        <f aca="false">IF(INDEX(BookTitle,138)="","",INDEX(BookRank,138))</f>
        <v/>
      </c>
      <c r="I143" s="41" t="str">
        <f aca="false">IF(INDEX(BookTitle,138)="","",INDEX(BookTotal,138))</f>
        <v/>
      </c>
      <c r="J143" s="0" t="str">
        <f aca="false">IF($I143="","",IF(INDEX(BookQ1,138)&gt;0,"Q1",IF(INDEX(BookQ2,138)&gt;0,"Q2",IF(INDEX(BookQ3,138)&gt;0,"Q3",IF(INDEX(BookQ4,138)&gt;0,"Q4","")))))</f>
        <v/>
      </c>
      <c r="K143" s="42" t="str">
        <f aca="false">IF(INDEX(BookTitle,138)="","",INDEX(BookInYear,138))</f>
        <v/>
      </c>
      <c r="L143" s="19"/>
      <c r="M143" s="39"/>
      <c r="N143" s="19"/>
      <c r="O143" s="19"/>
      <c r="P143" s="43" t="str">
        <f aca="false">IF($E143="","",IF($L143="Decline",0,IF($L143="Approve fewer",IF($M143="","",$M143),IF($L143="","",$I143))))</f>
        <v/>
      </c>
      <c r="Q143" s="34" t="str">
        <f aca="false">IF($P143="","",IF($N143&lt;&gt;"",$N143,$J143))</f>
        <v/>
      </c>
      <c r="R143" s="35" t="str">
        <f aca="false">IF(OR($P143="",$Q143=""),"",INDEX(BookRate,138)*$P143*(5-MATCH($Q143,{"Q1";"Q2";"Q3";"Q4"},0))/4+INDEX(BookOneOff,138)*$P143)</f>
        <v/>
      </c>
      <c r="S143" s="35" t="str">
        <f aca="false">IF($P143="","",INDEX(BookRate,138)*$P143)</f>
        <v/>
      </c>
      <c r="T143" s="35" t="str">
        <f aca="false">IF($R143="","",$R143-$K143)</f>
        <v/>
      </c>
      <c r="U143" s="35" t="str">
        <f aca="false">IF(N($P143)&lt;=0,"",COUNTIF($P$6:$P143,"&gt;0"))</f>
        <v/>
      </c>
    </row>
    <row r="144" customFormat="false" ht="15" hidden="false" customHeight="false" outlineLevel="0" collapsed="false">
      <c r="A144" s="40" t="str">
        <f aca="false">IF(INDEX(BookTitle,139)="","",INDEX(BookGroup,139))</f>
        <v/>
      </c>
      <c r="B144" s="40" t="str">
        <f aca="false">IF(INDEX(BookTitle,139)="","",INDEX(BookRef,139))</f>
        <v/>
      </c>
      <c r="C144" s="40" t="str">
        <f aca="false">IF(INDEX(BookTitle,139)="","",INDEX(BookDivision,139))</f>
        <v/>
      </c>
      <c r="D144" s="40" t="str">
        <f aca="false">IF(INDEX(BookTitle,139)="","",INDEX(BookUnit,139))</f>
        <v/>
      </c>
      <c r="E144" s="40" t="str">
        <f aca="false">IF(INDEX(BookTitle,139)="","",INDEX(BookTitle,139))</f>
        <v/>
      </c>
      <c r="F144" s="40" t="str">
        <f aca="false">IF(INDEX(BookTitle,139)="","",INDEX(BookLevel,139))</f>
        <v/>
      </c>
      <c r="G144" s="40" t="str">
        <f aca="false">IF(INDEX(BookTitle,139)="","",INDEX(BookCategory,139))</f>
        <v/>
      </c>
      <c r="H144" s="40" t="str">
        <f aca="false">IF(INDEX(BookTitle,139)="","",INDEX(BookRank,139))</f>
        <v/>
      </c>
      <c r="I144" s="41" t="str">
        <f aca="false">IF(INDEX(BookTitle,139)="","",INDEX(BookTotal,139))</f>
        <v/>
      </c>
      <c r="J144" s="0" t="str">
        <f aca="false">IF($I144="","",IF(INDEX(BookQ1,139)&gt;0,"Q1",IF(INDEX(BookQ2,139)&gt;0,"Q2",IF(INDEX(BookQ3,139)&gt;0,"Q3",IF(INDEX(BookQ4,139)&gt;0,"Q4","")))))</f>
        <v/>
      </c>
      <c r="K144" s="42" t="str">
        <f aca="false">IF(INDEX(BookTitle,139)="","",INDEX(BookInYear,139))</f>
        <v/>
      </c>
      <c r="L144" s="19"/>
      <c r="M144" s="39"/>
      <c r="N144" s="19"/>
      <c r="O144" s="19"/>
      <c r="P144" s="43" t="str">
        <f aca="false">IF($E144="","",IF($L144="Decline",0,IF($L144="Approve fewer",IF($M144="","",$M144),IF($L144="","",$I144))))</f>
        <v/>
      </c>
      <c r="Q144" s="34" t="str">
        <f aca="false">IF($P144="","",IF($N144&lt;&gt;"",$N144,$J144))</f>
        <v/>
      </c>
      <c r="R144" s="35" t="str">
        <f aca="false">IF(OR($P144="",$Q144=""),"",INDEX(BookRate,139)*$P144*(5-MATCH($Q144,{"Q1";"Q2";"Q3";"Q4"},0))/4+INDEX(BookOneOff,139)*$P144)</f>
        <v/>
      </c>
      <c r="S144" s="35" t="str">
        <f aca="false">IF($P144="","",INDEX(BookRate,139)*$P144)</f>
        <v/>
      </c>
      <c r="T144" s="35" t="str">
        <f aca="false">IF($R144="","",$R144-$K144)</f>
        <v/>
      </c>
      <c r="U144" s="35" t="str">
        <f aca="false">IF(N($P144)&lt;=0,"",COUNTIF($P$6:$P144,"&gt;0"))</f>
        <v/>
      </c>
    </row>
    <row r="145" customFormat="false" ht="15" hidden="false" customHeight="false" outlineLevel="0" collapsed="false">
      <c r="A145" s="40" t="str">
        <f aca="false">IF(INDEX(BookTitle,140)="","",INDEX(BookGroup,140))</f>
        <v/>
      </c>
      <c r="B145" s="40" t="str">
        <f aca="false">IF(INDEX(BookTitle,140)="","",INDEX(BookRef,140))</f>
        <v/>
      </c>
      <c r="C145" s="40" t="str">
        <f aca="false">IF(INDEX(BookTitle,140)="","",INDEX(BookDivision,140))</f>
        <v/>
      </c>
      <c r="D145" s="40" t="str">
        <f aca="false">IF(INDEX(BookTitle,140)="","",INDEX(BookUnit,140))</f>
        <v/>
      </c>
      <c r="E145" s="40" t="str">
        <f aca="false">IF(INDEX(BookTitle,140)="","",INDEX(BookTitle,140))</f>
        <v/>
      </c>
      <c r="F145" s="40" t="str">
        <f aca="false">IF(INDEX(BookTitle,140)="","",INDEX(BookLevel,140))</f>
        <v/>
      </c>
      <c r="G145" s="40" t="str">
        <f aca="false">IF(INDEX(BookTitle,140)="","",INDEX(BookCategory,140))</f>
        <v/>
      </c>
      <c r="H145" s="40" t="str">
        <f aca="false">IF(INDEX(BookTitle,140)="","",INDEX(BookRank,140))</f>
        <v/>
      </c>
      <c r="I145" s="41" t="str">
        <f aca="false">IF(INDEX(BookTitle,140)="","",INDEX(BookTotal,140))</f>
        <v/>
      </c>
      <c r="J145" s="0" t="str">
        <f aca="false">IF($I145="","",IF(INDEX(BookQ1,140)&gt;0,"Q1",IF(INDEX(BookQ2,140)&gt;0,"Q2",IF(INDEX(BookQ3,140)&gt;0,"Q3",IF(INDEX(BookQ4,140)&gt;0,"Q4","")))))</f>
        <v/>
      </c>
      <c r="K145" s="42" t="str">
        <f aca="false">IF(INDEX(BookTitle,140)="","",INDEX(BookInYear,140))</f>
        <v/>
      </c>
      <c r="L145" s="19"/>
      <c r="M145" s="39"/>
      <c r="N145" s="19"/>
      <c r="O145" s="19"/>
      <c r="P145" s="43" t="str">
        <f aca="false">IF($E145="","",IF($L145="Decline",0,IF($L145="Approve fewer",IF($M145="","",$M145),IF($L145="","",$I145))))</f>
        <v/>
      </c>
      <c r="Q145" s="34" t="str">
        <f aca="false">IF($P145="","",IF($N145&lt;&gt;"",$N145,$J145))</f>
        <v/>
      </c>
      <c r="R145" s="35" t="str">
        <f aca="false">IF(OR($P145="",$Q145=""),"",INDEX(BookRate,140)*$P145*(5-MATCH($Q145,{"Q1";"Q2";"Q3";"Q4"},0))/4+INDEX(BookOneOff,140)*$P145)</f>
        <v/>
      </c>
      <c r="S145" s="35" t="str">
        <f aca="false">IF($P145="","",INDEX(BookRate,140)*$P145)</f>
        <v/>
      </c>
      <c r="T145" s="35" t="str">
        <f aca="false">IF($R145="","",$R145-$K145)</f>
        <v/>
      </c>
      <c r="U145" s="35" t="str">
        <f aca="false">IF(N($P145)&lt;=0,"",COUNTIF($P$6:$P145,"&gt;0"))</f>
        <v/>
      </c>
    </row>
    <row r="146" customFormat="false" ht="15" hidden="false" customHeight="false" outlineLevel="0" collapsed="false">
      <c r="A146" s="40" t="str">
        <f aca="false">IF(INDEX(BookTitle,141)="","",INDEX(BookGroup,141))</f>
        <v/>
      </c>
      <c r="B146" s="40" t="str">
        <f aca="false">IF(INDEX(BookTitle,141)="","",INDEX(BookRef,141))</f>
        <v/>
      </c>
      <c r="C146" s="40" t="str">
        <f aca="false">IF(INDEX(BookTitle,141)="","",INDEX(BookDivision,141))</f>
        <v/>
      </c>
      <c r="D146" s="40" t="str">
        <f aca="false">IF(INDEX(BookTitle,141)="","",INDEX(BookUnit,141))</f>
        <v/>
      </c>
      <c r="E146" s="40" t="str">
        <f aca="false">IF(INDEX(BookTitle,141)="","",INDEX(BookTitle,141))</f>
        <v/>
      </c>
      <c r="F146" s="40" t="str">
        <f aca="false">IF(INDEX(BookTitle,141)="","",INDEX(BookLevel,141))</f>
        <v/>
      </c>
      <c r="G146" s="40" t="str">
        <f aca="false">IF(INDEX(BookTitle,141)="","",INDEX(BookCategory,141))</f>
        <v/>
      </c>
      <c r="H146" s="40" t="str">
        <f aca="false">IF(INDEX(BookTitle,141)="","",INDEX(BookRank,141))</f>
        <v/>
      </c>
      <c r="I146" s="41" t="str">
        <f aca="false">IF(INDEX(BookTitle,141)="","",INDEX(BookTotal,141))</f>
        <v/>
      </c>
      <c r="J146" s="0" t="str">
        <f aca="false">IF($I146="","",IF(INDEX(BookQ1,141)&gt;0,"Q1",IF(INDEX(BookQ2,141)&gt;0,"Q2",IF(INDEX(BookQ3,141)&gt;0,"Q3",IF(INDEX(BookQ4,141)&gt;0,"Q4","")))))</f>
        <v/>
      </c>
      <c r="K146" s="42" t="str">
        <f aca="false">IF(INDEX(BookTitle,141)="","",INDEX(BookInYear,141))</f>
        <v/>
      </c>
      <c r="L146" s="19"/>
      <c r="M146" s="39"/>
      <c r="N146" s="19"/>
      <c r="O146" s="19"/>
      <c r="P146" s="43" t="str">
        <f aca="false">IF($E146="","",IF($L146="Decline",0,IF($L146="Approve fewer",IF($M146="","",$M146),IF($L146="","",$I146))))</f>
        <v/>
      </c>
      <c r="Q146" s="34" t="str">
        <f aca="false">IF($P146="","",IF($N146&lt;&gt;"",$N146,$J146))</f>
        <v/>
      </c>
      <c r="R146" s="35" t="str">
        <f aca="false">IF(OR($P146="",$Q146=""),"",INDEX(BookRate,141)*$P146*(5-MATCH($Q146,{"Q1";"Q2";"Q3";"Q4"},0))/4+INDEX(BookOneOff,141)*$P146)</f>
        <v/>
      </c>
      <c r="S146" s="35" t="str">
        <f aca="false">IF($P146="","",INDEX(BookRate,141)*$P146)</f>
        <v/>
      </c>
      <c r="T146" s="35" t="str">
        <f aca="false">IF($R146="","",$R146-$K146)</f>
        <v/>
      </c>
      <c r="U146" s="35" t="str">
        <f aca="false">IF(N($P146)&lt;=0,"",COUNTIF($P$6:$P146,"&gt;0"))</f>
        <v/>
      </c>
    </row>
    <row r="147" customFormat="false" ht="15" hidden="false" customHeight="false" outlineLevel="0" collapsed="false">
      <c r="A147" s="40" t="str">
        <f aca="false">IF(INDEX(BookTitle,142)="","",INDEX(BookGroup,142))</f>
        <v/>
      </c>
      <c r="B147" s="40" t="str">
        <f aca="false">IF(INDEX(BookTitle,142)="","",INDEX(BookRef,142))</f>
        <v/>
      </c>
      <c r="C147" s="40" t="str">
        <f aca="false">IF(INDEX(BookTitle,142)="","",INDEX(BookDivision,142))</f>
        <v/>
      </c>
      <c r="D147" s="40" t="str">
        <f aca="false">IF(INDEX(BookTitle,142)="","",INDEX(BookUnit,142))</f>
        <v/>
      </c>
      <c r="E147" s="40" t="str">
        <f aca="false">IF(INDEX(BookTitle,142)="","",INDEX(BookTitle,142))</f>
        <v/>
      </c>
      <c r="F147" s="40" t="str">
        <f aca="false">IF(INDEX(BookTitle,142)="","",INDEX(BookLevel,142))</f>
        <v/>
      </c>
      <c r="G147" s="40" t="str">
        <f aca="false">IF(INDEX(BookTitle,142)="","",INDEX(BookCategory,142))</f>
        <v/>
      </c>
      <c r="H147" s="40" t="str">
        <f aca="false">IF(INDEX(BookTitle,142)="","",INDEX(BookRank,142))</f>
        <v/>
      </c>
      <c r="I147" s="41" t="str">
        <f aca="false">IF(INDEX(BookTitle,142)="","",INDEX(BookTotal,142))</f>
        <v/>
      </c>
      <c r="J147" s="0" t="str">
        <f aca="false">IF($I147="","",IF(INDEX(BookQ1,142)&gt;0,"Q1",IF(INDEX(BookQ2,142)&gt;0,"Q2",IF(INDEX(BookQ3,142)&gt;0,"Q3",IF(INDEX(BookQ4,142)&gt;0,"Q4","")))))</f>
        <v/>
      </c>
      <c r="K147" s="42" t="str">
        <f aca="false">IF(INDEX(BookTitle,142)="","",INDEX(BookInYear,142))</f>
        <v/>
      </c>
      <c r="L147" s="19"/>
      <c r="M147" s="39"/>
      <c r="N147" s="19"/>
      <c r="O147" s="19"/>
      <c r="P147" s="43" t="str">
        <f aca="false">IF($E147="","",IF($L147="Decline",0,IF($L147="Approve fewer",IF($M147="","",$M147),IF($L147="","",$I147))))</f>
        <v/>
      </c>
      <c r="Q147" s="34" t="str">
        <f aca="false">IF($P147="","",IF($N147&lt;&gt;"",$N147,$J147))</f>
        <v/>
      </c>
      <c r="R147" s="35" t="str">
        <f aca="false">IF(OR($P147="",$Q147=""),"",INDEX(BookRate,142)*$P147*(5-MATCH($Q147,{"Q1";"Q2";"Q3";"Q4"},0))/4+INDEX(BookOneOff,142)*$P147)</f>
        <v/>
      </c>
      <c r="S147" s="35" t="str">
        <f aca="false">IF($P147="","",INDEX(BookRate,142)*$P147)</f>
        <v/>
      </c>
      <c r="T147" s="35" t="str">
        <f aca="false">IF($R147="","",$R147-$K147)</f>
        <v/>
      </c>
      <c r="U147" s="35" t="str">
        <f aca="false">IF(N($P147)&lt;=0,"",COUNTIF($P$6:$P147,"&gt;0"))</f>
        <v/>
      </c>
    </row>
    <row r="148" customFormat="false" ht="15" hidden="false" customHeight="false" outlineLevel="0" collapsed="false">
      <c r="A148" s="40" t="str">
        <f aca="false">IF(INDEX(BookTitle,143)="","",INDEX(BookGroup,143))</f>
        <v/>
      </c>
      <c r="B148" s="40" t="str">
        <f aca="false">IF(INDEX(BookTitle,143)="","",INDEX(BookRef,143))</f>
        <v/>
      </c>
      <c r="C148" s="40" t="str">
        <f aca="false">IF(INDEX(BookTitle,143)="","",INDEX(BookDivision,143))</f>
        <v/>
      </c>
      <c r="D148" s="40" t="str">
        <f aca="false">IF(INDEX(BookTitle,143)="","",INDEX(BookUnit,143))</f>
        <v/>
      </c>
      <c r="E148" s="40" t="str">
        <f aca="false">IF(INDEX(BookTitle,143)="","",INDEX(BookTitle,143))</f>
        <v/>
      </c>
      <c r="F148" s="40" t="str">
        <f aca="false">IF(INDEX(BookTitle,143)="","",INDEX(BookLevel,143))</f>
        <v/>
      </c>
      <c r="G148" s="40" t="str">
        <f aca="false">IF(INDEX(BookTitle,143)="","",INDEX(BookCategory,143))</f>
        <v/>
      </c>
      <c r="H148" s="40" t="str">
        <f aca="false">IF(INDEX(BookTitle,143)="","",INDEX(BookRank,143))</f>
        <v/>
      </c>
      <c r="I148" s="41" t="str">
        <f aca="false">IF(INDEX(BookTitle,143)="","",INDEX(BookTotal,143))</f>
        <v/>
      </c>
      <c r="J148" s="0" t="str">
        <f aca="false">IF($I148="","",IF(INDEX(BookQ1,143)&gt;0,"Q1",IF(INDEX(BookQ2,143)&gt;0,"Q2",IF(INDEX(BookQ3,143)&gt;0,"Q3",IF(INDEX(BookQ4,143)&gt;0,"Q4","")))))</f>
        <v/>
      </c>
      <c r="K148" s="42" t="str">
        <f aca="false">IF(INDEX(BookTitle,143)="","",INDEX(BookInYear,143))</f>
        <v/>
      </c>
      <c r="L148" s="19"/>
      <c r="M148" s="39"/>
      <c r="N148" s="19"/>
      <c r="O148" s="19"/>
      <c r="P148" s="43" t="str">
        <f aca="false">IF($E148="","",IF($L148="Decline",0,IF($L148="Approve fewer",IF($M148="","",$M148),IF($L148="","",$I148))))</f>
        <v/>
      </c>
      <c r="Q148" s="34" t="str">
        <f aca="false">IF($P148="","",IF($N148&lt;&gt;"",$N148,$J148))</f>
        <v/>
      </c>
      <c r="R148" s="35" t="str">
        <f aca="false">IF(OR($P148="",$Q148=""),"",INDEX(BookRate,143)*$P148*(5-MATCH($Q148,{"Q1";"Q2";"Q3";"Q4"},0))/4+INDEX(BookOneOff,143)*$P148)</f>
        <v/>
      </c>
      <c r="S148" s="35" t="str">
        <f aca="false">IF($P148="","",INDEX(BookRate,143)*$P148)</f>
        <v/>
      </c>
      <c r="T148" s="35" t="str">
        <f aca="false">IF($R148="","",$R148-$K148)</f>
        <v/>
      </c>
      <c r="U148" s="35" t="str">
        <f aca="false">IF(N($P148)&lt;=0,"",COUNTIF($P$6:$P148,"&gt;0"))</f>
        <v/>
      </c>
    </row>
    <row r="149" customFormat="false" ht="15" hidden="false" customHeight="false" outlineLevel="0" collapsed="false">
      <c r="A149" s="40" t="str">
        <f aca="false">IF(INDEX(BookTitle,144)="","",INDEX(BookGroup,144))</f>
        <v/>
      </c>
      <c r="B149" s="40" t="str">
        <f aca="false">IF(INDEX(BookTitle,144)="","",INDEX(BookRef,144))</f>
        <v/>
      </c>
      <c r="C149" s="40" t="str">
        <f aca="false">IF(INDEX(BookTitle,144)="","",INDEX(BookDivision,144))</f>
        <v/>
      </c>
      <c r="D149" s="40" t="str">
        <f aca="false">IF(INDEX(BookTitle,144)="","",INDEX(BookUnit,144))</f>
        <v/>
      </c>
      <c r="E149" s="40" t="str">
        <f aca="false">IF(INDEX(BookTitle,144)="","",INDEX(BookTitle,144))</f>
        <v/>
      </c>
      <c r="F149" s="40" t="str">
        <f aca="false">IF(INDEX(BookTitle,144)="","",INDEX(BookLevel,144))</f>
        <v/>
      </c>
      <c r="G149" s="40" t="str">
        <f aca="false">IF(INDEX(BookTitle,144)="","",INDEX(BookCategory,144))</f>
        <v/>
      </c>
      <c r="H149" s="40" t="str">
        <f aca="false">IF(INDEX(BookTitle,144)="","",INDEX(BookRank,144))</f>
        <v/>
      </c>
      <c r="I149" s="41" t="str">
        <f aca="false">IF(INDEX(BookTitle,144)="","",INDEX(BookTotal,144))</f>
        <v/>
      </c>
      <c r="J149" s="0" t="str">
        <f aca="false">IF($I149="","",IF(INDEX(BookQ1,144)&gt;0,"Q1",IF(INDEX(BookQ2,144)&gt;0,"Q2",IF(INDEX(BookQ3,144)&gt;0,"Q3",IF(INDEX(BookQ4,144)&gt;0,"Q4","")))))</f>
        <v/>
      </c>
      <c r="K149" s="42" t="str">
        <f aca="false">IF(INDEX(BookTitle,144)="","",INDEX(BookInYear,144))</f>
        <v/>
      </c>
      <c r="L149" s="19"/>
      <c r="M149" s="39"/>
      <c r="N149" s="19"/>
      <c r="O149" s="19"/>
      <c r="P149" s="43" t="str">
        <f aca="false">IF($E149="","",IF($L149="Decline",0,IF($L149="Approve fewer",IF($M149="","",$M149),IF($L149="","",$I149))))</f>
        <v/>
      </c>
      <c r="Q149" s="34" t="str">
        <f aca="false">IF($P149="","",IF($N149&lt;&gt;"",$N149,$J149))</f>
        <v/>
      </c>
      <c r="R149" s="35" t="str">
        <f aca="false">IF(OR($P149="",$Q149=""),"",INDEX(BookRate,144)*$P149*(5-MATCH($Q149,{"Q1";"Q2";"Q3";"Q4"},0))/4+INDEX(BookOneOff,144)*$P149)</f>
        <v/>
      </c>
      <c r="S149" s="35" t="str">
        <f aca="false">IF($P149="","",INDEX(BookRate,144)*$P149)</f>
        <v/>
      </c>
      <c r="T149" s="35" t="str">
        <f aca="false">IF($R149="","",$R149-$K149)</f>
        <v/>
      </c>
      <c r="U149" s="35" t="str">
        <f aca="false">IF(N($P149)&lt;=0,"",COUNTIF($P$6:$P149,"&gt;0"))</f>
        <v/>
      </c>
    </row>
    <row r="150" customFormat="false" ht="15" hidden="false" customHeight="false" outlineLevel="0" collapsed="false">
      <c r="A150" s="40" t="str">
        <f aca="false">IF(INDEX(BookTitle,145)="","",INDEX(BookGroup,145))</f>
        <v/>
      </c>
      <c r="B150" s="40" t="str">
        <f aca="false">IF(INDEX(BookTitle,145)="","",INDEX(BookRef,145))</f>
        <v/>
      </c>
      <c r="C150" s="40" t="str">
        <f aca="false">IF(INDEX(BookTitle,145)="","",INDEX(BookDivision,145))</f>
        <v/>
      </c>
      <c r="D150" s="40" t="str">
        <f aca="false">IF(INDEX(BookTitle,145)="","",INDEX(BookUnit,145))</f>
        <v/>
      </c>
      <c r="E150" s="40" t="str">
        <f aca="false">IF(INDEX(BookTitle,145)="","",INDEX(BookTitle,145))</f>
        <v/>
      </c>
      <c r="F150" s="40" t="str">
        <f aca="false">IF(INDEX(BookTitle,145)="","",INDEX(BookLevel,145))</f>
        <v/>
      </c>
      <c r="G150" s="40" t="str">
        <f aca="false">IF(INDEX(BookTitle,145)="","",INDEX(BookCategory,145))</f>
        <v/>
      </c>
      <c r="H150" s="40" t="str">
        <f aca="false">IF(INDEX(BookTitle,145)="","",INDEX(BookRank,145))</f>
        <v/>
      </c>
      <c r="I150" s="41" t="str">
        <f aca="false">IF(INDEX(BookTitle,145)="","",INDEX(BookTotal,145))</f>
        <v/>
      </c>
      <c r="J150" s="0" t="str">
        <f aca="false">IF($I150="","",IF(INDEX(BookQ1,145)&gt;0,"Q1",IF(INDEX(BookQ2,145)&gt;0,"Q2",IF(INDEX(BookQ3,145)&gt;0,"Q3",IF(INDEX(BookQ4,145)&gt;0,"Q4","")))))</f>
        <v/>
      </c>
      <c r="K150" s="42" t="str">
        <f aca="false">IF(INDEX(BookTitle,145)="","",INDEX(BookInYear,145))</f>
        <v/>
      </c>
      <c r="L150" s="19"/>
      <c r="M150" s="39"/>
      <c r="N150" s="19"/>
      <c r="O150" s="19"/>
      <c r="P150" s="43" t="str">
        <f aca="false">IF($E150="","",IF($L150="Decline",0,IF($L150="Approve fewer",IF($M150="","",$M150),IF($L150="","",$I150))))</f>
        <v/>
      </c>
      <c r="Q150" s="34" t="str">
        <f aca="false">IF($P150="","",IF($N150&lt;&gt;"",$N150,$J150))</f>
        <v/>
      </c>
      <c r="R150" s="35" t="str">
        <f aca="false">IF(OR($P150="",$Q150=""),"",INDEX(BookRate,145)*$P150*(5-MATCH($Q150,{"Q1";"Q2";"Q3";"Q4"},0))/4+INDEX(BookOneOff,145)*$P150)</f>
        <v/>
      </c>
      <c r="S150" s="35" t="str">
        <f aca="false">IF($P150="","",INDEX(BookRate,145)*$P150)</f>
        <v/>
      </c>
      <c r="T150" s="35" t="str">
        <f aca="false">IF($R150="","",$R150-$K150)</f>
        <v/>
      </c>
      <c r="U150" s="35" t="str">
        <f aca="false">IF(N($P150)&lt;=0,"",COUNTIF($P$6:$P150,"&gt;0"))</f>
        <v/>
      </c>
    </row>
    <row r="151" customFormat="false" ht="15" hidden="false" customHeight="false" outlineLevel="0" collapsed="false">
      <c r="A151" s="40" t="str">
        <f aca="false">IF(INDEX(BookTitle,146)="","",INDEX(BookGroup,146))</f>
        <v/>
      </c>
      <c r="B151" s="40" t="str">
        <f aca="false">IF(INDEX(BookTitle,146)="","",INDEX(BookRef,146))</f>
        <v/>
      </c>
      <c r="C151" s="40" t="str">
        <f aca="false">IF(INDEX(BookTitle,146)="","",INDEX(BookDivision,146))</f>
        <v/>
      </c>
      <c r="D151" s="40" t="str">
        <f aca="false">IF(INDEX(BookTitle,146)="","",INDEX(BookUnit,146))</f>
        <v/>
      </c>
      <c r="E151" s="40" t="str">
        <f aca="false">IF(INDEX(BookTitle,146)="","",INDEX(BookTitle,146))</f>
        <v/>
      </c>
      <c r="F151" s="40" t="str">
        <f aca="false">IF(INDEX(BookTitle,146)="","",INDEX(BookLevel,146))</f>
        <v/>
      </c>
      <c r="G151" s="40" t="str">
        <f aca="false">IF(INDEX(BookTitle,146)="","",INDEX(BookCategory,146))</f>
        <v/>
      </c>
      <c r="H151" s="40" t="str">
        <f aca="false">IF(INDEX(BookTitle,146)="","",INDEX(BookRank,146))</f>
        <v/>
      </c>
      <c r="I151" s="41" t="str">
        <f aca="false">IF(INDEX(BookTitle,146)="","",INDEX(BookTotal,146))</f>
        <v/>
      </c>
      <c r="J151" s="0" t="str">
        <f aca="false">IF($I151="","",IF(INDEX(BookQ1,146)&gt;0,"Q1",IF(INDEX(BookQ2,146)&gt;0,"Q2",IF(INDEX(BookQ3,146)&gt;0,"Q3",IF(INDEX(BookQ4,146)&gt;0,"Q4","")))))</f>
        <v/>
      </c>
      <c r="K151" s="42" t="str">
        <f aca="false">IF(INDEX(BookTitle,146)="","",INDEX(BookInYear,146))</f>
        <v/>
      </c>
      <c r="L151" s="19"/>
      <c r="M151" s="39"/>
      <c r="N151" s="19"/>
      <c r="O151" s="19"/>
      <c r="P151" s="43" t="str">
        <f aca="false">IF($E151="","",IF($L151="Decline",0,IF($L151="Approve fewer",IF($M151="","",$M151),IF($L151="","",$I151))))</f>
        <v/>
      </c>
      <c r="Q151" s="34" t="str">
        <f aca="false">IF($P151="","",IF($N151&lt;&gt;"",$N151,$J151))</f>
        <v/>
      </c>
      <c r="R151" s="35" t="str">
        <f aca="false">IF(OR($P151="",$Q151=""),"",INDEX(BookRate,146)*$P151*(5-MATCH($Q151,{"Q1";"Q2";"Q3";"Q4"},0))/4+INDEX(BookOneOff,146)*$P151)</f>
        <v/>
      </c>
      <c r="S151" s="35" t="str">
        <f aca="false">IF($P151="","",INDEX(BookRate,146)*$P151)</f>
        <v/>
      </c>
      <c r="T151" s="35" t="str">
        <f aca="false">IF($R151="","",$R151-$K151)</f>
        <v/>
      </c>
      <c r="U151" s="35" t="str">
        <f aca="false">IF(N($P151)&lt;=0,"",COUNTIF($P$6:$P151,"&gt;0"))</f>
        <v/>
      </c>
    </row>
    <row r="152" customFormat="false" ht="15" hidden="false" customHeight="false" outlineLevel="0" collapsed="false">
      <c r="A152" s="40" t="str">
        <f aca="false">IF(INDEX(BookTitle,147)="","",INDEX(BookGroup,147))</f>
        <v/>
      </c>
      <c r="B152" s="40" t="str">
        <f aca="false">IF(INDEX(BookTitle,147)="","",INDEX(BookRef,147))</f>
        <v/>
      </c>
      <c r="C152" s="40" t="str">
        <f aca="false">IF(INDEX(BookTitle,147)="","",INDEX(BookDivision,147))</f>
        <v/>
      </c>
      <c r="D152" s="40" t="str">
        <f aca="false">IF(INDEX(BookTitle,147)="","",INDEX(BookUnit,147))</f>
        <v/>
      </c>
      <c r="E152" s="40" t="str">
        <f aca="false">IF(INDEX(BookTitle,147)="","",INDEX(BookTitle,147))</f>
        <v/>
      </c>
      <c r="F152" s="40" t="str">
        <f aca="false">IF(INDEX(BookTitle,147)="","",INDEX(BookLevel,147))</f>
        <v/>
      </c>
      <c r="G152" s="40" t="str">
        <f aca="false">IF(INDEX(BookTitle,147)="","",INDEX(BookCategory,147))</f>
        <v/>
      </c>
      <c r="H152" s="40" t="str">
        <f aca="false">IF(INDEX(BookTitle,147)="","",INDEX(BookRank,147))</f>
        <v/>
      </c>
      <c r="I152" s="41" t="str">
        <f aca="false">IF(INDEX(BookTitle,147)="","",INDEX(BookTotal,147))</f>
        <v/>
      </c>
      <c r="J152" s="0" t="str">
        <f aca="false">IF($I152="","",IF(INDEX(BookQ1,147)&gt;0,"Q1",IF(INDEX(BookQ2,147)&gt;0,"Q2",IF(INDEX(BookQ3,147)&gt;0,"Q3",IF(INDEX(BookQ4,147)&gt;0,"Q4","")))))</f>
        <v/>
      </c>
      <c r="K152" s="42" t="str">
        <f aca="false">IF(INDEX(BookTitle,147)="","",INDEX(BookInYear,147))</f>
        <v/>
      </c>
      <c r="L152" s="19"/>
      <c r="M152" s="39"/>
      <c r="N152" s="19"/>
      <c r="O152" s="19"/>
      <c r="P152" s="43" t="str">
        <f aca="false">IF($E152="","",IF($L152="Decline",0,IF($L152="Approve fewer",IF($M152="","",$M152),IF($L152="","",$I152))))</f>
        <v/>
      </c>
      <c r="Q152" s="34" t="str">
        <f aca="false">IF($P152="","",IF($N152&lt;&gt;"",$N152,$J152))</f>
        <v/>
      </c>
      <c r="R152" s="35" t="str">
        <f aca="false">IF(OR($P152="",$Q152=""),"",INDEX(BookRate,147)*$P152*(5-MATCH($Q152,{"Q1";"Q2";"Q3";"Q4"},0))/4+INDEX(BookOneOff,147)*$P152)</f>
        <v/>
      </c>
      <c r="S152" s="35" t="str">
        <f aca="false">IF($P152="","",INDEX(BookRate,147)*$P152)</f>
        <v/>
      </c>
      <c r="T152" s="35" t="str">
        <f aca="false">IF($R152="","",$R152-$K152)</f>
        <v/>
      </c>
      <c r="U152" s="35" t="str">
        <f aca="false">IF(N($P152)&lt;=0,"",COUNTIF($P$6:$P152,"&gt;0"))</f>
        <v/>
      </c>
    </row>
    <row r="153" customFormat="false" ht="15" hidden="false" customHeight="false" outlineLevel="0" collapsed="false">
      <c r="A153" s="40" t="str">
        <f aca="false">IF(INDEX(BookTitle,148)="","",INDEX(BookGroup,148))</f>
        <v/>
      </c>
      <c r="B153" s="40" t="str">
        <f aca="false">IF(INDEX(BookTitle,148)="","",INDEX(BookRef,148))</f>
        <v/>
      </c>
      <c r="C153" s="40" t="str">
        <f aca="false">IF(INDEX(BookTitle,148)="","",INDEX(BookDivision,148))</f>
        <v/>
      </c>
      <c r="D153" s="40" t="str">
        <f aca="false">IF(INDEX(BookTitle,148)="","",INDEX(BookUnit,148))</f>
        <v/>
      </c>
      <c r="E153" s="40" t="str">
        <f aca="false">IF(INDEX(BookTitle,148)="","",INDEX(BookTitle,148))</f>
        <v/>
      </c>
      <c r="F153" s="40" t="str">
        <f aca="false">IF(INDEX(BookTitle,148)="","",INDEX(BookLevel,148))</f>
        <v/>
      </c>
      <c r="G153" s="40" t="str">
        <f aca="false">IF(INDEX(BookTitle,148)="","",INDEX(BookCategory,148))</f>
        <v/>
      </c>
      <c r="H153" s="40" t="str">
        <f aca="false">IF(INDEX(BookTitle,148)="","",INDEX(BookRank,148))</f>
        <v/>
      </c>
      <c r="I153" s="41" t="str">
        <f aca="false">IF(INDEX(BookTitle,148)="","",INDEX(BookTotal,148))</f>
        <v/>
      </c>
      <c r="J153" s="0" t="str">
        <f aca="false">IF($I153="","",IF(INDEX(BookQ1,148)&gt;0,"Q1",IF(INDEX(BookQ2,148)&gt;0,"Q2",IF(INDEX(BookQ3,148)&gt;0,"Q3",IF(INDEX(BookQ4,148)&gt;0,"Q4","")))))</f>
        <v/>
      </c>
      <c r="K153" s="42" t="str">
        <f aca="false">IF(INDEX(BookTitle,148)="","",INDEX(BookInYear,148))</f>
        <v/>
      </c>
      <c r="L153" s="19"/>
      <c r="M153" s="39"/>
      <c r="N153" s="19"/>
      <c r="O153" s="19"/>
      <c r="P153" s="43" t="str">
        <f aca="false">IF($E153="","",IF($L153="Decline",0,IF($L153="Approve fewer",IF($M153="","",$M153),IF($L153="","",$I153))))</f>
        <v/>
      </c>
      <c r="Q153" s="34" t="str">
        <f aca="false">IF($P153="","",IF($N153&lt;&gt;"",$N153,$J153))</f>
        <v/>
      </c>
      <c r="R153" s="35" t="str">
        <f aca="false">IF(OR($P153="",$Q153=""),"",INDEX(BookRate,148)*$P153*(5-MATCH($Q153,{"Q1";"Q2";"Q3";"Q4"},0))/4+INDEX(BookOneOff,148)*$P153)</f>
        <v/>
      </c>
      <c r="S153" s="35" t="str">
        <f aca="false">IF($P153="","",INDEX(BookRate,148)*$P153)</f>
        <v/>
      </c>
      <c r="T153" s="35" t="str">
        <f aca="false">IF($R153="","",$R153-$K153)</f>
        <v/>
      </c>
      <c r="U153" s="35" t="str">
        <f aca="false">IF(N($P153)&lt;=0,"",COUNTIF($P$6:$P153,"&gt;0"))</f>
        <v/>
      </c>
    </row>
    <row r="154" customFormat="false" ht="15" hidden="false" customHeight="false" outlineLevel="0" collapsed="false">
      <c r="A154" s="40" t="str">
        <f aca="false">IF(INDEX(BookTitle,149)="","",INDEX(BookGroup,149))</f>
        <v/>
      </c>
      <c r="B154" s="40" t="str">
        <f aca="false">IF(INDEX(BookTitle,149)="","",INDEX(BookRef,149))</f>
        <v/>
      </c>
      <c r="C154" s="40" t="str">
        <f aca="false">IF(INDEX(BookTitle,149)="","",INDEX(BookDivision,149))</f>
        <v/>
      </c>
      <c r="D154" s="40" t="str">
        <f aca="false">IF(INDEX(BookTitle,149)="","",INDEX(BookUnit,149))</f>
        <v/>
      </c>
      <c r="E154" s="40" t="str">
        <f aca="false">IF(INDEX(BookTitle,149)="","",INDEX(BookTitle,149))</f>
        <v/>
      </c>
      <c r="F154" s="40" t="str">
        <f aca="false">IF(INDEX(BookTitle,149)="","",INDEX(BookLevel,149))</f>
        <v/>
      </c>
      <c r="G154" s="40" t="str">
        <f aca="false">IF(INDEX(BookTitle,149)="","",INDEX(BookCategory,149))</f>
        <v/>
      </c>
      <c r="H154" s="40" t="str">
        <f aca="false">IF(INDEX(BookTitle,149)="","",INDEX(BookRank,149))</f>
        <v/>
      </c>
      <c r="I154" s="41" t="str">
        <f aca="false">IF(INDEX(BookTitle,149)="","",INDEX(BookTotal,149))</f>
        <v/>
      </c>
      <c r="J154" s="0" t="str">
        <f aca="false">IF($I154="","",IF(INDEX(BookQ1,149)&gt;0,"Q1",IF(INDEX(BookQ2,149)&gt;0,"Q2",IF(INDEX(BookQ3,149)&gt;0,"Q3",IF(INDEX(BookQ4,149)&gt;0,"Q4","")))))</f>
        <v/>
      </c>
      <c r="K154" s="42" t="str">
        <f aca="false">IF(INDEX(BookTitle,149)="","",INDEX(BookInYear,149))</f>
        <v/>
      </c>
      <c r="L154" s="19"/>
      <c r="M154" s="39"/>
      <c r="N154" s="19"/>
      <c r="O154" s="19"/>
      <c r="P154" s="43" t="str">
        <f aca="false">IF($E154="","",IF($L154="Decline",0,IF($L154="Approve fewer",IF($M154="","",$M154),IF($L154="","",$I154))))</f>
        <v/>
      </c>
      <c r="Q154" s="34" t="str">
        <f aca="false">IF($P154="","",IF($N154&lt;&gt;"",$N154,$J154))</f>
        <v/>
      </c>
      <c r="R154" s="35" t="str">
        <f aca="false">IF(OR($P154="",$Q154=""),"",INDEX(BookRate,149)*$P154*(5-MATCH($Q154,{"Q1";"Q2";"Q3";"Q4"},0))/4+INDEX(BookOneOff,149)*$P154)</f>
        <v/>
      </c>
      <c r="S154" s="35" t="str">
        <f aca="false">IF($P154="","",INDEX(BookRate,149)*$P154)</f>
        <v/>
      </c>
      <c r="T154" s="35" t="str">
        <f aca="false">IF($R154="","",$R154-$K154)</f>
        <v/>
      </c>
      <c r="U154" s="35" t="str">
        <f aca="false">IF(N($P154)&lt;=0,"",COUNTIF($P$6:$P154,"&gt;0"))</f>
        <v/>
      </c>
    </row>
    <row r="155" customFormat="false" ht="15" hidden="false" customHeight="false" outlineLevel="0" collapsed="false">
      <c r="A155" s="40" t="str">
        <f aca="false">IF(INDEX(BookTitle,150)="","",INDEX(BookGroup,150))</f>
        <v/>
      </c>
      <c r="B155" s="40" t="str">
        <f aca="false">IF(INDEX(BookTitle,150)="","",INDEX(BookRef,150))</f>
        <v/>
      </c>
      <c r="C155" s="40" t="str">
        <f aca="false">IF(INDEX(BookTitle,150)="","",INDEX(BookDivision,150))</f>
        <v/>
      </c>
      <c r="D155" s="40" t="str">
        <f aca="false">IF(INDEX(BookTitle,150)="","",INDEX(BookUnit,150))</f>
        <v/>
      </c>
      <c r="E155" s="40" t="str">
        <f aca="false">IF(INDEX(BookTitle,150)="","",INDEX(BookTitle,150))</f>
        <v/>
      </c>
      <c r="F155" s="40" t="str">
        <f aca="false">IF(INDEX(BookTitle,150)="","",INDEX(BookLevel,150))</f>
        <v/>
      </c>
      <c r="G155" s="40" t="str">
        <f aca="false">IF(INDEX(BookTitle,150)="","",INDEX(BookCategory,150))</f>
        <v/>
      </c>
      <c r="H155" s="40" t="str">
        <f aca="false">IF(INDEX(BookTitle,150)="","",INDEX(BookRank,150))</f>
        <v/>
      </c>
      <c r="I155" s="41" t="str">
        <f aca="false">IF(INDEX(BookTitle,150)="","",INDEX(BookTotal,150))</f>
        <v/>
      </c>
      <c r="J155" s="0" t="str">
        <f aca="false">IF($I155="","",IF(INDEX(BookQ1,150)&gt;0,"Q1",IF(INDEX(BookQ2,150)&gt;0,"Q2",IF(INDEX(BookQ3,150)&gt;0,"Q3",IF(INDEX(BookQ4,150)&gt;0,"Q4","")))))</f>
        <v/>
      </c>
      <c r="K155" s="42" t="str">
        <f aca="false">IF(INDEX(BookTitle,150)="","",INDEX(BookInYear,150))</f>
        <v/>
      </c>
      <c r="L155" s="19"/>
      <c r="M155" s="39"/>
      <c r="N155" s="19"/>
      <c r="O155" s="19"/>
      <c r="P155" s="43" t="str">
        <f aca="false">IF($E155="","",IF($L155="Decline",0,IF($L155="Approve fewer",IF($M155="","",$M155),IF($L155="","",$I155))))</f>
        <v/>
      </c>
      <c r="Q155" s="34" t="str">
        <f aca="false">IF($P155="","",IF($N155&lt;&gt;"",$N155,$J155))</f>
        <v/>
      </c>
      <c r="R155" s="35" t="str">
        <f aca="false">IF(OR($P155="",$Q155=""),"",INDEX(BookRate,150)*$P155*(5-MATCH($Q155,{"Q1";"Q2";"Q3";"Q4"},0))/4+INDEX(BookOneOff,150)*$P155)</f>
        <v/>
      </c>
      <c r="S155" s="35" t="str">
        <f aca="false">IF($P155="","",INDEX(BookRate,150)*$P155)</f>
        <v/>
      </c>
      <c r="T155" s="35" t="str">
        <f aca="false">IF($R155="","",$R155-$K155)</f>
        <v/>
      </c>
      <c r="U155" s="35" t="str">
        <f aca="false">IF(N($P155)&lt;=0,"",COUNTIF($P$6:$P155,"&gt;0"))</f>
        <v/>
      </c>
    </row>
    <row r="156" customFormat="false" ht="15" hidden="false" customHeight="false" outlineLevel="0" collapsed="false">
      <c r="A156" s="40" t="str">
        <f aca="false">IF(INDEX(BookTitle,151)="","",INDEX(BookGroup,151))</f>
        <v/>
      </c>
      <c r="B156" s="40" t="str">
        <f aca="false">IF(INDEX(BookTitle,151)="","",INDEX(BookRef,151))</f>
        <v/>
      </c>
      <c r="C156" s="40" t="str">
        <f aca="false">IF(INDEX(BookTitle,151)="","",INDEX(BookDivision,151))</f>
        <v/>
      </c>
      <c r="D156" s="40" t="str">
        <f aca="false">IF(INDEX(BookTitle,151)="","",INDEX(BookUnit,151))</f>
        <v/>
      </c>
      <c r="E156" s="40" t="str">
        <f aca="false">IF(INDEX(BookTitle,151)="","",INDEX(BookTitle,151))</f>
        <v/>
      </c>
      <c r="F156" s="40" t="str">
        <f aca="false">IF(INDEX(BookTitle,151)="","",INDEX(BookLevel,151))</f>
        <v/>
      </c>
      <c r="G156" s="40" t="str">
        <f aca="false">IF(INDEX(BookTitle,151)="","",INDEX(BookCategory,151))</f>
        <v/>
      </c>
      <c r="H156" s="40" t="str">
        <f aca="false">IF(INDEX(BookTitle,151)="","",INDEX(BookRank,151))</f>
        <v/>
      </c>
      <c r="I156" s="41" t="str">
        <f aca="false">IF(INDEX(BookTitle,151)="","",INDEX(BookTotal,151))</f>
        <v/>
      </c>
      <c r="J156" s="0" t="str">
        <f aca="false">IF($I156="","",IF(INDEX(BookQ1,151)&gt;0,"Q1",IF(INDEX(BookQ2,151)&gt;0,"Q2",IF(INDEX(BookQ3,151)&gt;0,"Q3",IF(INDEX(BookQ4,151)&gt;0,"Q4","")))))</f>
        <v/>
      </c>
      <c r="K156" s="42" t="str">
        <f aca="false">IF(INDEX(BookTitle,151)="","",INDEX(BookInYear,151))</f>
        <v/>
      </c>
      <c r="L156" s="19"/>
      <c r="M156" s="39"/>
      <c r="N156" s="19"/>
      <c r="O156" s="19"/>
      <c r="P156" s="43" t="str">
        <f aca="false">IF($E156="","",IF($L156="Decline",0,IF($L156="Approve fewer",IF($M156="","",$M156),IF($L156="","",$I156))))</f>
        <v/>
      </c>
      <c r="Q156" s="34" t="str">
        <f aca="false">IF($P156="","",IF($N156&lt;&gt;"",$N156,$J156))</f>
        <v/>
      </c>
      <c r="R156" s="35" t="str">
        <f aca="false">IF(OR($P156="",$Q156=""),"",INDEX(BookRate,151)*$P156*(5-MATCH($Q156,{"Q1";"Q2";"Q3";"Q4"},0))/4+INDEX(BookOneOff,151)*$P156)</f>
        <v/>
      </c>
      <c r="S156" s="35" t="str">
        <f aca="false">IF($P156="","",INDEX(BookRate,151)*$P156)</f>
        <v/>
      </c>
      <c r="T156" s="35" t="str">
        <f aca="false">IF($R156="","",$R156-$K156)</f>
        <v/>
      </c>
      <c r="U156" s="35" t="str">
        <f aca="false">IF(N($P156)&lt;=0,"",COUNTIF($P$6:$P156,"&gt;0"))</f>
        <v/>
      </c>
    </row>
    <row r="157" customFormat="false" ht="15" hidden="false" customHeight="false" outlineLevel="0" collapsed="false">
      <c r="A157" s="40" t="str">
        <f aca="false">IF(INDEX(BookTitle,152)="","",INDEX(BookGroup,152))</f>
        <v/>
      </c>
      <c r="B157" s="40" t="str">
        <f aca="false">IF(INDEX(BookTitle,152)="","",INDEX(BookRef,152))</f>
        <v/>
      </c>
      <c r="C157" s="40" t="str">
        <f aca="false">IF(INDEX(BookTitle,152)="","",INDEX(BookDivision,152))</f>
        <v/>
      </c>
      <c r="D157" s="40" t="str">
        <f aca="false">IF(INDEX(BookTitle,152)="","",INDEX(BookUnit,152))</f>
        <v/>
      </c>
      <c r="E157" s="40" t="str">
        <f aca="false">IF(INDEX(BookTitle,152)="","",INDEX(BookTitle,152))</f>
        <v/>
      </c>
      <c r="F157" s="40" t="str">
        <f aca="false">IF(INDEX(BookTitle,152)="","",INDEX(BookLevel,152))</f>
        <v/>
      </c>
      <c r="G157" s="40" t="str">
        <f aca="false">IF(INDEX(BookTitle,152)="","",INDEX(BookCategory,152))</f>
        <v/>
      </c>
      <c r="H157" s="40" t="str">
        <f aca="false">IF(INDEX(BookTitle,152)="","",INDEX(BookRank,152))</f>
        <v/>
      </c>
      <c r="I157" s="41" t="str">
        <f aca="false">IF(INDEX(BookTitle,152)="","",INDEX(BookTotal,152))</f>
        <v/>
      </c>
      <c r="J157" s="0" t="str">
        <f aca="false">IF($I157="","",IF(INDEX(BookQ1,152)&gt;0,"Q1",IF(INDEX(BookQ2,152)&gt;0,"Q2",IF(INDEX(BookQ3,152)&gt;0,"Q3",IF(INDEX(BookQ4,152)&gt;0,"Q4","")))))</f>
        <v/>
      </c>
      <c r="K157" s="42" t="str">
        <f aca="false">IF(INDEX(BookTitle,152)="","",INDEX(BookInYear,152))</f>
        <v/>
      </c>
      <c r="L157" s="19"/>
      <c r="M157" s="39"/>
      <c r="N157" s="19"/>
      <c r="O157" s="19"/>
      <c r="P157" s="43" t="str">
        <f aca="false">IF($E157="","",IF($L157="Decline",0,IF($L157="Approve fewer",IF($M157="","",$M157),IF($L157="","",$I157))))</f>
        <v/>
      </c>
      <c r="Q157" s="34" t="str">
        <f aca="false">IF($P157="","",IF($N157&lt;&gt;"",$N157,$J157))</f>
        <v/>
      </c>
      <c r="R157" s="35" t="str">
        <f aca="false">IF(OR($P157="",$Q157=""),"",INDEX(BookRate,152)*$P157*(5-MATCH($Q157,{"Q1";"Q2";"Q3";"Q4"},0))/4+INDEX(BookOneOff,152)*$P157)</f>
        <v/>
      </c>
      <c r="S157" s="35" t="str">
        <f aca="false">IF($P157="","",INDEX(BookRate,152)*$P157)</f>
        <v/>
      </c>
      <c r="T157" s="35" t="str">
        <f aca="false">IF($R157="","",$R157-$K157)</f>
        <v/>
      </c>
      <c r="U157" s="35" t="str">
        <f aca="false">IF(N($P157)&lt;=0,"",COUNTIF($P$6:$P157,"&gt;0"))</f>
        <v/>
      </c>
    </row>
    <row r="158" customFormat="false" ht="15" hidden="false" customHeight="false" outlineLevel="0" collapsed="false">
      <c r="A158" s="40" t="str">
        <f aca="false">IF(INDEX(BookTitle,153)="","",INDEX(BookGroup,153))</f>
        <v/>
      </c>
      <c r="B158" s="40" t="str">
        <f aca="false">IF(INDEX(BookTitle,153)="","",INDEX(BookRef,153))</f>
        <v/>
      </c>
      <c r="C158" s="40" t="str">
        <f aca="false">IF(INDEX(BookTitle,153)="","",INDEX(BookDivision,153))</f>
        <v/>
      </c>
      <c r="D158" s="40" t="str">
        <f aca="false">IF(INDEX(BookTitle,153)="","",INDEX(BookUnit,153))</f>
        <v/>
      </c>
      <c r="E158" s="40" t="str">
        <f aca="false">IF(INDEX(BookTitle,153)="","",INDEX(BookTitle,153))</f>
        <v/>
      </c>
      <c r="F158" s="40" t="str">
        <f aca="false">IF(INDEX(BookTitle,153)="","",INDEX(BookLevel,153))</f>
        <v/>
      </c>
      <c r="G158" s="40" t="str">
        <f aca="false">IF(INDEX(BookTitle,153)="","",INDEX(BookCategory,153))</f>
        <v/>
      </c>
      <c r="H158" s="40" t="str">
        <f aca="false">IF(INDEX(BookTitle,153)="","",INDEX(BookRank,153))</f>
        <v/>
      </c>
      <c r="I158" s="41" t="str">
        <f aca="false">IF(INDEX(BookTitle,153)="","",INDEX(BookTotal,153))</f>
        <v/>
      </c>
      <c r="J158" s="0" t="str">
        <f aca="false">IF($I158="","",IF(INDEX(BookQ1,153)&gt;0,"Q1",IF(INDEX(BookQ2,153)&gt;0,"Q2",IF(INDEX(BookQ3,153)&gt;0,"Q3",IF(INDEX(BookQ4,153)&gt;0,"Q4","")))))</f>
        <v/>
      </c>
      <c r="K158" s="42" t="str">
        <f aca="false">IF(INDEX(BookTitle,153)="","",INDEX(BookInYear,153))</f>
        <v/>
      </c>
      <c r="L158" s="19"/>
      <c r="M158" s="39"/>
      <c r="N158" s="19"/>
      <c r="O158" s="19"/>
      <c r="P158" s="43" t="str">
        <f aca="false">IF($E158="","",IF($L158="Decline",0,IF($L158="Approve fewer",IF($M158="","",$M158),IF($L158="","",$I158))))</f>
        <v/>
      </c>
      <c r="Q158" s="34" t="str">
        <f aca="false">IF($P158="","",IF($N158&lt;&gt;"",$N158,$J158))</f>
        <v/>
      </c>
      <c r="R158" s="35" t="str">
        <f aca="false">IF(OR($P158="",$Q158=""),"",INDEX(BookRate,153)*$P158*(5-MATCH($Q158,{"Q1";"Q2";"Q3";"Q4"},0))/4+INDEX(BookOneOff,153)*$P158)</f>
        <v/>
      </c>
      <c r="S158" s="35" t="str">
        <f aca="false">IF($P158="","",INDEX(BookRate,153)*$P158)</f>
        <v/>
      </c>
      <c r="T158" s="35" t="str">
        <f aca="false">IF($R158="","",$R158-$K158)</f>
        <v/>
      </c>
      <c r="U158" s="35" t="str">
        <f aca="false">IF(N($P158)&lt;=0,"",COUNTIF($P$6:$P158,"&gt;0"))</f>
        <v/>
      </c>
    </row>
    <row r="159" customFormat="false" ht="15" hidden="false" customHeight="false" outlineLevel="0" collapsed="false">
      <c r="A159" s="40" t="str">
        <f aca="false">IF(INDEX(BookTitle,154)="","",INDEX(BookGroup,154))</f>
        <v/>
      </c>
      <c r="B159" s="40" t="str">
        <f aca="false">IF(INDEX(BookTitle,154)="","",INDEX(BookRef,154))</f>
        <v/>
      </c>
      <c r="C159" s="40" t="str">
        <f aca="false">IF(INDEX(BookTitle,154)="","",INDEX(BookDivision,154))</f>
        <v/>
      </c>
      <c r="D159" s="40" t="str">
        <f aca="false">IF(INDEX(BookTitle,154)="","",INDEX(BookUnit,154))</f>
        <v/>
      </c>
      <c r="E159" s="40" t="str">
        <f aca="false">IF(INDEX(BookTitle,154)="","",INDEX(BookTitle,154))</f>
        <v/>
      </c>
      <c r="F159" s="40" t="str">
        <f aca="false">IF(INDEX(BookTitle,154)="","",INDEX(BookLevel,154))</f>
        <v/>
      </c>
      <c r="G159" s="40" t="str">
        <f aca="false">IF(INDEX(BookTitle,154)="","",INDEX(BookCategory,154))</f>
        <v/>
      </c>
      <c r="H159" s="40" t="str">
        <f aca="false">IF(INDEX(BookTitle,154)="","",INDEX(BookRank,154))</f>
        <v/>
      </c>
      <c r="I159" s="41" t="str">
        <f aca="false">IF(INDEX(BookTitle,154)="","",INDEX(BookTotal,154))</f>
        <v/>
      </c>
      <c r="J159" s="0" t="str">
        <f aca="false">IF($I159="","",IF(INDEX(BookQ1,154)&gt;0,"Q1",IF(INDEX(BookQ2,154)&gt;0,"Q2",IF(INDEX(BookQ3,154)&gt;0,"Q3",IF(INDEX(BookQ4,154)&gt;0,"Q4","")))))</f>
        <v/>
      </c>
      <c r="K159" s="42" t="str">
        <f aca="false">IF(INDEX(BookTitle,154)="","",INDEX(BookInYear,154))</f>
        <v/>
      </c>
      <c r="L159" s="19"/>
      <c r="M159" s="39"/>
      <c r="N159" s="19"/>
      <c r="O159" s="19"/>
      <c r="P159" s="43" t="str">
        <f aca="false">IF($E159="","",IF($L159="Decline",0,IF($L159="Approve fewer",IF($M159="","",$M159),IF($L159="","",$I159))))</f>
        <v/>
      </c>
      <c r="Q159" s="34" t="str">
        <f aca="false">IF($P159="","",IF($N159&lt;&gt;"",$N159,$J159))</f>
        <v/>
      </c>
      <c r="R159" s="35" t="str">
        <f aca="false">IF(OR($P159="",$Q159=""),"",INDEX(BookRate,154)*$P159*(5-MATCH($Q159,{"Q1";"Q2";"Q3";"Q4"},0))/4+INDEX(BookOneOff,154)*$P159)</f>
        <v/>
      </c>
      <c r="S159" s="35" t="str">
        <f aca="false">IF($P159="","",INDEX(BookRate,154)*$P159)</f>
        <v/>
      </c>
      <c r="T159" s="35" t="str">
        <f aca="false">IF($R159="","",$R159-$K159)</f>
        <v/>
      </c>
      <c r="U159" s="35" t="str">
        <f aca="false">IF(N($P159)&lt;=0,"",COUNTIF($P$6:$P159,"&gt;0"))</f>
        <v/>
      </c>
    </row>
    <row r="160" customFormat="false" ht="15" hidden="false" customHeight="false" outlineLevel="0" collapsed="false">
      <c r="A160" s="40" t="str">
        <f aca="false">IF(INDEX(BookTitle,155)="","",INDEX(BookGroup,155))</f>
        <v/>
      </c>
      <c r="B160" s="40" t="str">
        <f aca="false">IF(INDEX(BookTitle,155)="","",INDEX(BookRef,155))</f>
        <v/>
      </c>
      <c r="C160" s="40" t="str">
        <f aca="false">IF(INDEX(BookTitle,155)="","",INDEX(BookDivision,155))</f>
        <v/>
      </c>
      <c r="D160" s="40" t="str">
        <f aca="false">IF(INDEX(BookTitle,155)="","",INDEX(BookUnit,155))</f>
        <v/>
      </c>
      <c r="E160" s="40" t="str">
        <f aca="false">IF(INDEX(BookTitle,155)="","",INDEX(BookTitle,155))</f>
        <v/>
      </c>
      <c r="F160" s="40" t="str">
        <f aca="false">IF(INDEX(BookTitle,155)="","",INDEX(BookLevel,155))</f>
        <v/>
      </c>
      <c r="G160" s="40" t="str">
        <f aca="false">IF(INDEX(BookTitle,155)="","",INDEX(BookCategory,155))</f>
        <v/>
      </c>
      <c r="H160" s="40" t="str">
        <f aca="false">IF(INDEX(BookTitle,155)="","",INDEX(BookRank,155))</f>
        <v/>
      </c>
      <c r="I160" s="41" t="str">
        <f aca="false">IF(INDEX(BookTitle,155)="","",INDEX(BookTotal,155))</f>
        <v/>
      </c>
      <c r="J160" s="0" t="str">
        <f aca="false">IF($I160="","",IF(INDEX(BookQ1,155)&gt;0,"Q1",IF(INDEX(BookQ2,155)&gt;0,"Q2",IF(INDEX(BookQ3,155)&gt;0,"Q3",IF(INDEX(BookQ4,155)&gt;0,"Q4","")))))</f>
        <v/>
      </c>
      <c r="K160" s="42" t="str">
        <f aca="false">IF(INDEX(BookTitle,155)="","",INDEX(BookInYear,155))</f>
        <v/>
      </c>
      <c r="L160" s="19"/>
      <c r="M160" s="39"/>
      <c r="N160" s="19"/>
      <c r="O160" s="19"/>
      <c r="P160" s="43" t="str">
        <f aca="false">IF($E160="","",IF($L160="Decline",0,IF($L160="Approve fewer",IF($M160="","",$M160),IF($L160="","",$I160))))</f>
        <v/>
      </c>
      <c r="Q160" s="34" t="str">
        <f aca="false">IF($P160="","",IF($N160&lt;&gt;"",$N160,$J160))</f>
        <v/>
      </c>
      <c r="R160" s="35" t="str">
        <f aca="false">IF(OR($P160="",$Q160=""),"",INDEX(BookRate,155)*$P160*(5-MATCH($Q160,{"Q1";"Q2";"Q3";"Q4"},0))/4+INDEX(BookOneOff,155)*$P160)</f>
        <v/>
      </c>
      <c r="S160" s="35" t="str">
        <f aca="false">IF($P160="","",INDEX(BookRate,155)*$P160)</f>
        <v/>
      </c>
      <c r="T160" s="35" t="str">
        <f aca="false">IF($R160="","",$R160-$K160)</f>
        <v/>
      </c>
      <c r="U160" s="35" t="str">
        <f aca="false">IF(N($P160)&lt;=0,"",COUNTIF($P$6:$P160,"&gt;0"))</f>
        <v/>
      </c>
    </row>
    <row r="161" customFormat="false" ht="15" hidden="false" customHeight="false" outlineLevel="0" collapsed="false">
      <c r="A161" s="40" t="str">
        <f aca="false">IF(INDEX(BookTitle,156)="","",INDEX(BookGroup,156))</f>
        <v/>
      </c>
      <c r="B161" s="40" t="str">
        <f aca="false">IF(INDEX(BookTitle,156)="","",INDEX(BookRef,156))</f>
        <v/>
      </c>
      <c r="C161" s="40" t="str">
        <f aca="false">IF(INDEX(BookTitle,156)="","",INDEX(BookDivision,156))</f>
        <v/>
      </c>
      <c r="D161" s="40" t="str">
        <f aca="false">IF(INDEX(BookTitle,156)="","",INDEX(BookUnit,156))</f>
        <v/>
      </c>
      <c r="E161" s="40" t="str">
        <f aca="false">IF(INDEX(BookTitle,156)="","",INDEX(BookTitle,156))</f>
        <v/>
      </c>
      <c r="F161" s="40" t="str">
        <f aca="false">IF(INDEX(BookTitle,156)="","",INDEX(BookLevel,156))</f>
        <v/>
      </c>
      <c r="G161" s="40" t="str">
        <f aca="false">IF(INDEX(BookTitle,156)="","",INDEX(BookCategory,156))</f>
        <v/>
      </c>
      <c r="H161" s="40" t="str">
        <f aca="false">IF(INDEX(BookTitle,156)="","",INDEX(BookRank,156))</f>
        <v/>
      </c>
      <c r="I161" s="41" t="str">
        <f aca="false">IF(INDEX(BookTitle,156)="","",INDEX(BookTotal,156))</f>
        <v/>
      </c>
      <c r="J161" s="0" t="str">
        <f aca="false">IF($I161="","",IF(INDEX(BookQ1,156)&gt;0,"Q1",IF(INDEX(BookQ2,156)&gt;0,"Q2",IF(INDEX(BookQ3,156)&gt;0,"Q3",IF(INDEX(BookQ4,156)&gt;0,"Q4","")))))</f>
        <v/>
      </c>
      <c r="K161" s="42" t="str">
        <f aca="false">IF(INDEX(BookTitle,156)="","",INDEX(BookInYear,156))</f>
        <v/>
      </c>
      <c r="L161" s="19"/>
      <c r="M161" s="39"/>
      <c r="N161" s="19"/>
      <c r="O161" s="19"/>
      <c r="P161" s="43" t="str">
        <f aca="false">IF($E161="","",IF($L161="Decline",0,IF($L161="Approve fewer",IF($M161="","",$M161),IF($L161="","",$I161))))</f>
        <v/>
      </c>
      <c r="Q161" s="34" t="str">
        <f aca="false">IF($P161="","",IF($N161&lt;&gt;"",$N161,$J161))</f>
        <v/>
      </c>
      <c r="R161" s="35" t="str">
        <f aca="false">IF(OR($P161="",$Q161=""),"",INDEX(BookRate,156)*$P161*(5-MATCH($Q161,{"Q1";"Q2";"Q3";"Q4"},0))/4+INDEX(BookOneOff,156)*$P161)</f>
        <v/>
      </c>
      <c r="S161" s="35" t="str">
        <f aca="false">IF($P161="","",INDEX(BookRate,156)*$P161)</f>
        <v/>
      </c>
      <c r="T161" s="35" t="str">
        <f aca="false">IF($R161="","",$R161-$K161)</f>
        <v/>
      </c>
      <c r="U161" s="35" t="str">
        <f aca="false">IF(N($P161)&lt;=0,"",COUNTIF($P$6:$P161,"&gt;0"))</f>
        <v/>
      </c>
    </row>
    <row r="162" customFormat="false" ht="15" hidden="false" customHeight="false" outlineLevel="0" collapsed="false">
      <c r="A162" s="40" t="str">
        <f aca="false">IF(INDEX(BookTitle,157)="","",INDEX(BookGroup,157))</f>
        <v/>
      </c>
      <c r="B162" s="40" t="str">
        <f aca="false">IF(INDEX(BookTitle,157)="","",INDEX(BookRef,157))</f>
        <v/>
      </c>
      <c r="C162" s="40" t="str">
        <f aca="false">IF(INDEX(BookTitle,157)="","",INDEX(BookDivision,157))</f>
        <v/>
      </c>
      <c r="D162" s="40" t="str">
        <f aca="false">IF(INDEX(BookTitle,157)="","",INDEX(BookUnit,157))</f>
        <v/>
      </c>
      <c r="E162" s="40" t="str">
        <f aca="false">IF(INDEX(BookTitle,157)="","",INDEX(BookTitle,157))</f>
        <v/>
      </c>
      <c r="F162" s="40" t="str">
        <f aca="false">IF(INDEX(BookTitle,157)="","",INDEX(BookLevel,157))</f>
        <v/>
      </c>
      <c r="G162" s="40" t="str">
        <f aca="false">IF(INDEX(BookTitle,157)="","",INDEX(BookCategory,157))</f>
        <v/>
      </c>
      <c r="H162" s="40" t="str">
        <f aca="false">IF(INDEX(BookTitle,157)="","",INDEX(BookRank,157))</f>
        <v/>
      </c>
      <c r="I162" s="41" t="str">
        <f aca="false">IF(INDEX(BookTitle,157)="","",INDEX(BookTotal,157))</f>
        <v/>
      </c>
      <c r="J162" s="0" t="str">
        <f aca="false">IF($I162="","",IF(INDEX(BookQ1,157)&gt;0,"Q1",IF(INDEX(BookQ2,157)&gt;0,"Q2",IF(INDEX(BookQ3,157)&gt;0,"Q3",IF(INDEX(BookQ4,157)&gt;0,"Q4","")))))</f>
        <v/>
      </c>
      <c r="K162" s="42" t="str">
        <f aca="false">IF(INDEX(BookTitle,157)="","",INDEX(BookInYear,157))</f>
        <v/>
      </c>
      <c r="L162" s="19"/>
      <c r="M162" s="39"/>
      <c r="N162" s="19"/>
      <c r="O162" s="19"/>
      <c r="P162" s="43" t="str">
        <f aca="false">IF($E162="","",IF($L162="Decline",0,IF($L162="Approve fewer",IF($M162="","",$M162),IF($L162="","",$I162))))</f>
        <v/>
      </c>
      <c r="Q162" s="34" t="str">
        <f aca="false">IF($P162="","",IF($N162&lt;&gt;"",$N162,$J162))</f>
        <v/>
      </c>
      <c r="R162" s="35" t="str">
        <f aca="false">IF(OR($P162="",$Q162=""),"",INDEX(BookRate,157)*$P162*(5-MATCH($Q162,{"Q1";"Q2";"Q3";"Q4"},0))/4+INDEX(BookOneOff,157)*$P162)</f>
        <v/>
      </c>
      <c r="S162" s="35" t="str">
        <f aca="false">IF($P162="","",INDEX(BookRate,157)*$P162)</f>
        <v/>
      </c>
      <c r="T162" s="35" t="str">
        <f aca="false">IF($R162="","",$R162-$K162)</f>
        <v/>
      </c>
      <c r="U162" s="35" t="str">
        <f aca="false">IF(N($P162)&lt;=0,"",COUNTIF($P$6:$P162,"&gt;0"))</f>
        <v/>
      </c>
    </row>
    <row r="163" customFormat="false" ht="15" hidden="false" customHeight="false" outlineLevel="0" collapsed="false">
      <c r="A163" s="40" t="str">
        <f aca="false">IF(INDEX(BookTitle,158)="","",INDEX(BookGroup,158))</f>
        <v/>
      </c>
      <c r="B163" s="40" t="str">
        <f aca="false">IF(INDEX(BookTitle,158)="","",INDEX(BookRef,158))</f>
        <v/>
      </c>
      <c r="C163" s="40" t="str">
        <f aca="false">IF(INDEX(BookTitle,158)="","",INDEX(BookDivision,158))</f>
        <v/>
      </c>
      <c r="D163" s="40" t="str">
        <f aca="false">IF(INDEX(BookTitle,158)="","",INDEX(BookUnit,158))</f>
        <v/>
      </c>
      <c r="E163" s="40" t="str">
        <f aca="false">IF(INDEX(BookTitle,158)="","",INDEX(BookTitle,158))</f>
        <v/>
      </c>
      <c r="F163" s="40" t="str">
        <f aca="false">IF(INDEX(BookTitle,158)="","",INDEX(BookLevel,158))</f>
        <v/>
      </c>
      <c r="G163" s="40" t="str">
        <f aca="false">IF(INDEX(BookTitle,158)="","",INDEX(BookCategory,158))</f>
        <v/>
      </c>
      <c r="H163" s="40" t="str">
        <f aca="false">IF(INDEX(BookTitle,158)="","",INDEX(BookRank,158))</f>
        <v/>
      </c>
      <c r="I163" s="41" t="str">
        <f aca="false">IF(INDEX(BookTitle,158)="","",INDEX(BookTotal,158))</f>
        <v/>
      </c>
      <c r="J163" s="0" t="str">
        <f aca="false">IF($I163="","",IF(INDEX(BookQ1,158)&gt;0,"Q1",IF(INDEX(BookQ2,158)&gt;0,"Q2",IF(INDEX(BookQ3,158)&gt;0,"Q3",IF(INDEX(BookQ4,158)&gt;0,"Q4","")))))</f>
        <v/>
      </c>
      <c r="K163" s="42" t="str">
        <f aca="false">IF(INDEX(BookTitle,158)="","",INDEX(BookInYear,158))</f>
        <v/>
      </c>
      <c r="L163" s="19"/>
      <c r="M163" s="39"/>
      <c r="N163" s="19"/>
      <c r="O163" s="19"/>
      <c r="P163" s="43" t="str">
        <f aca="false">IF($E163="","",IF($L163="Decline",0,IF($L163="Approve fewer",IF($M163="","",$M163),IF($L163="","",$I163))))</f>
        <v/>
      </c>
      <c r="Q163" s="34" t="str">
        <f aca="false">IF($P163="","",IF($N163&lt;&gt;"",$N163,$J163))</f>
        <v/>
      </c>
      <c r="R163" s="35" t="str">
        <f aca="false">IF(OR($P163="",$Q163=""),"",INDEX(BookRate,158)*$P163*(5-MATCH($Q163,{"Q1";"Q2";"Q3";"Q4"},0))/4+INDEX(BookOneOff,158)*$P163)</f>
        <v/>
      </c>
      <c r="S163" s="35" t="str">
        <f aca="false">IF($P163="","",INDEX(BookRate,158)*$P163)</f>
        <v/>
      </c>
      <c r="T163" s="35" t="str">
        <f aca="false">IF($R163="","",$R163-$K163)</f>
        <v/>
      </c>
      <c r="U163" s="35" t="str">
        <f aca="false">IF(N($P163)&lt;=0,"",COUNTIF($P$6:$P163,"&gt;0"))</f>
        <v/>
      </c>
    </row>
    <row r="164" customFormat="false" ht="15" hidden="false" customHeight="false" outlineLevel="0" collapsed="false">
      <c r="A164" s="40" t="str">
        <f aca="false">IF(INDEX(BookTitle,159)="","",INDEX(BookGroup,159))</f>
        <v/>
      </c>
      <c r="B164" s="40" t="str">
        <f aca="false">IF(INDEX(BookTitle,159)="","",INDEX(BookRef,159))</f>
        <v/>
      </c>
      <c r="C164" s="40" t="str">
        <f aca="false">IF(INDEX(BookTitle,159)="","",INDEX(BookDivision,159))</f>
        <v/>
      </c>
      <c r="D164" s="40" t="str">
        <f aca="false">IF(INDEX(BookTitle,159)="","",INDEX(BookUnit,159))</f>
        <v/>
      </c>
      <c r="E164" s="40" t="str">
        <f aca="false">IF(INDEX(BookTitle,159)="","",INDEX(BookTitle,159))</f>
        <v/>
      </c>
      <c r="F164" s="40" t="str">
        <f aca="false">IF(INDEX(BookTitle,159)="","",INDEX(BookLevel,159))</f>
        <v/>
      </c>
      <c r="G164" s="40" t="str">
        <f aca="false">IF(INDEX(BookTitle,159)="","",INDEX(BookCategory,159))</f>
        <v/>
      </c>
      <c r="H164" s="40" t="str">
        <f aca="false">IF(INDEX(BookTitle,159)="","",INDEX(BookRank,159))</f>
        <v/>
      </c>
      <c r="I164" s="41" t="str">
        <f aca="false">IF(INDEX(BookTitle,159)="","",INDEX(BookTotal,159))</f>
        <v/>
      </c>
      <c r="J164" s="0" t="str">
        <f aca="false">IF($I164="","",IF(INDEX(BookQ1,159)&gt;0,"Q1",IF(INDEX(BookQ2,159)&gt;0,"Q2",IF(INDEX(BookQ3,159)&gt;0,"Q3",IF(INDEX(BookQ4,159)&gt;0,"Q4","")))))</f>
        <v/>
      </c>
      <c r="K164" s="42" t="str">
        <f aca="false">IF(INDEX(BookTitle,159)="","",INDEX(BookInYear,159))</f>
        <v/>
      </c>
      <c r="L164" s="19"/>
      <c r="M164" s="39"/>
      <c r="N164" s="19"/>
      <c r="O164" s="19"/>
      <c r="P164" s="43" t="str">
        <f aca="false">IF($E164="","",IF($L164="Decline",0,IF($L164="Approve fewer",IF($M164="","",$M164),IF($L164="","",$I164))))</f>
        <v/>
      </c>
      <c r="Q164" s="34" t="str">
        <f aca="false">IF($P164="","",IF($N164&lt;&gt;"",$N164,$J164))</f>
        <v/>
      </c>
      <c r="R164" s="35" t="str">
        <f aca="false">IF(OR($P164="",$Q164=""),"",INDEX(BookRate,159)*$P164*(5-MATCH($Q164,{"Q1";"Q2";"Q3";"Q4"},0))/4+INDEX(BookOneOff,159)*$P164)</f>
        <v/>
      </c>
      <c r="S164" s="35" t="str">
        <f aca="false">IF($P164="","",INDEX(BookRate,159)*$P164)</f>
        <v/>
      </c>
      <c r="T164" s="35" t="str">
        <f aca="false">IF($R164="","",$R164-$K164)</f>
        <v/>
      </c>
      <c r="U164" s="35" t="str">
        <f aca="false">IF(N($P164)&lt;=0,"",COUNTIF($P$6:$P164,"&gt;0"))</f>
        <v/>
      </c>
    </row>
    <row r="165" customFormat="false" ht="15" hidden="false" customHeight="false" outlineLevel="0" collapsed="false">
      <c r="A165" s="40" t="str">
        <f aca="false">IF(INDEX(BookTitle,160)="","",INDEX(BookGroup,160))</f>
        <v/>
      </c>
      <c r="B165" s="40" t="str">
        <f aca="false">IF(INDEX(BookTitle,160)="","",INDEX(BookRef,160))</f>
        <v/>
      </c>
      <c r="C165" s="40" t="str">
        <f aca="false">IF(INDEX(BookTitle,160)="","",INDEX(BookDivision,160))</f>
        <v/>
      </c>
      <c r="D165" s="40" t="str">
        <f aca="false">IF(INDEX(BookTitle,160)="","",INDEX(BookUnit,160))</f>
        <v/>
      </c>
      <c r="E165" s="40" t="str">
        <f aca="false">IF(INDEX(BookTitle,160)="","",INDEX(BookTitle,160))</f>
        <v/>
      </c>
      <c r="F165" s="40" t="str">
        <f aca="false">IF(INDEX(BookTitle,160)="","",INDEX(BookLevel,160))</f>
        <v/>
      </c>
      <c r="G165" s="40" t="str">
        <f aca="false">IF(INDEX(BookTitle,160)="","",INDEX(BookCategory,160))</f>
        <v/>
      </c>
      <c r="H165" s="40" t="str">
        <f aca="false">IF(INDEX(BookTitle,160)="","",INDEX(BookRank,160))</f>
        <v/>
      </c>
      <c r="I165" s="41" t="str">
        <f aca="false">IF(INDEX(BookTitle,160)="","",INDEX(BookTotal,160))</f>
        <v/>
      </c>
      <c r="J165" s="0" t="str">
        <f aca="false">IF($I165="","",IF(INDEX(BookQ1,160)&gt;0,"Q1",IF(INDEX(BookQ2,160)&gt;0,"Q2",IF(INDEX(BookQ3,160)&gt;0,"Q3",IF(INDEX(BookQ4,160)&gt;0,"Q4","")))))</f>
        <v/>
      </c>
      <c r="K165" s="42" t="str">
        <f aca="false">IF(INDEX(BookTitle,160)="","",INDEX(BookInYear,160))</f>
        <v/>
      </c>
      <c r="L165" s="19"/>
      <c r="M165" s="39"/>
      <c r="N165" s="19"/>
      <c r="O165" s="19"/>
      <c r="P165" s="43" t="str">
        <f aca="false">IF($E165="","",IF($L165="Decline",0,IF($L165="Approve fewer",IF($M165="","",$M165),IF($L165="","",$I165))))</f>
        <v/>
      </c>
      <c r="Q165" s="34" t="str">
        <f aca="false">IF($P165="","",IF($N165&lt;&gt;"",$N165,$J165))</f>
        <v/>
      </c>
      <c r="R165" s="35" t="str">
        <f aca="false">IF(OR($P165="",$Q165=""),"",INDEX(BookRate,160)*$P165*(5-MATCH($Q165,{"Q1";"Q2";"Q3";"Q4"},0))/4+INDEX(BookOneOff,160)*$P165)</f>
        <v/>
      </c>
      <c r="S165" s="35" t="str">
        <f aca="false">IF($P165="","",INDEX(BookRate,160)*$P165)</f>
        <v/>
      </c>
      <c r="T165" s="35" t="str">
        <f aca="false">IF($R165="","",$R165-$K165)</f>
        <v/>
      </c>
      <c r="U165" s="35" t="str">
        <f aca="false">IF(N($P165)&lt;=0,"",COUNTIF($P$6:$P165,"&gt;0"))</f>
        <v/>
      </c>
    </row>
    <row r="166" customFormat="false" ht="15" hidden="false" customHeight="false" outlineLevel="0" collapsed="false">
      <c r="A166" s="40" t="str">
        <f aca="false">IF(INDEX(BookTitle,161)="","",INDEX(BookGroup,161))</f>
        <v/>
      </c>
      <c r="B166" s="40" t="str">
        <f aca="false">IF(INDEX(BookTitle,161)="","",INDEX(BookRef,161))</f>
        <v/>
      </c>
      <c r="C166" s="40" t="str">
        <f aca="false">IF(INDEX(BookTitle,161)="","",INDEX(BookDivision,161))</f>
        <v/>
      </c>
      <c r="D166" s="40" t="str">
        <f aca="false">IF(INDEX(BookTitle,161)="","",INDEX(BookUnit,161))</f>
        <v/>
      </c>
      <c r="E166" s="40" t="str">
        <f aca="false">IF(INDEX(BookTitle,161)="","",INDEX(BookTitle,161))</f>
        <v/>
      </c>
      <c r="F166" s="40" t="str">
        <f aca="false">IF(INDEX(BookTitle,161)="","",INDEX(BookLevel,161))</f>
        <v/>
      </c>
      <c r="G166" s="40" t="str">
        <f aca="false">IF(INDEX(BookTitle,161)="","",INDEX(BookCategory,161))</f>
        <v/>
      </c>
      <c r="H166" s="40" t="str">
        <f aca="false">IF(INDEX(BookTitle,161)="","",INDEX(BookRank,161))</f>
        <v/>
      </c>
      <c r="I166" s="41" t="str">
        <f aca="false">IF(INDEX(BookTitle,161)="","",INDEX(BookTotal,161))</f>
        <v/>
      </c>
      <c r="J166" s="0" t="str">
        <f aca="false">IF($I166="","",IF(INDEX(BookQ1,161)&gt;0,"Q1",IF(INDEX(BookQ2,161)&gt;0,"Q2",IF(INDEX(BookQ3,161)&gt;0,"Q3",IF(INDEX(BookQ4,161)&gt;0,"Q4","")))))</f>
        <v/>
      </c>
      <c r="K166" s="42" t="str">
        <f aca="false">IF(INDEX(BookTitle,161)="","",INDEX(BookInYear,161))</f>
        <v/>
      </c>
      <c r="L166" s="19"/>
      <c r="M166" s="39"/>
      <c r="N166" s="19"/>
      <c r="O166" s="19"/>
      <c r="P166" s="43" t="str">
        <f aca="false">IF($E166="","",IF($L166="Decline",0,IF($L166="Approve fewer",IF($M166="","",$M166),IF($L166="","",$I166))))</f>
        <v/>
      </c>
      <c r="Q166" s="34" t="str">
        <f aca="false">IF($P166="","",IF($N166&lt;&gt;"",$N166,$J166))</f>
        <v/>
      </c>
      <c r="R166" s="35" t="str">
        <f aca="false">IF(OR($P166="",$Q166=""),"",INDEX(BookRate,161)*$P166*(5-MATCH($Q166,{"Q1";"Q2";"Q3";"Q4"},0))/4+INDEX(BookOneOff,161)*$P166)</f>
        <v/>
      </c>
      <c r="S166" s="35" t="str">
        <f aca="false">IF($P166="","",INDEX(BookRate,161)*$P166)</f>
        <v/>
      </c>
      <c r="T166" s="35" t="str">
        <f aca="false">IF($R166="","",$R166-$K166)</f>
        <v/>
      </c>
      <c r="U166" s="35" t="str">
        <f aca="false">IF(N($P166)&lt;=0,"",COUNTIF($P$6:$P166,"&gt;0"))</f>
        <v/>
      </c>
    </row>
    <row r="167" customFormat="false" ht="15" hidden="false" customHeight="false" outlineLevel="0" collapsed="false">
      <c r="A167" s="40" t="str">
        <f aca="false">IF(INDEX(BookTitle,162)="","",INDEX(BookGroup,162))</f>
        <v/>
      </c>
      <c r="B167" s="40" t="str">
        <f aca="false">IF(INDEX(BookTitle,162)="","",INDEX(BookRef,162))</f>
        <v/>
      </c>
      <c r="C167" s="40" t="str">
        <f aca="false">IF(INDEX(BookTitle,162)="","",INDEX(BookDivision,162))</f>
        <v/>
      </c>
      <c r="D167" s="40" t="str">
        <f aca="false">IF(INDEX(BookTitle,162)="","",INDEX(BookUnit,162))</f>
        <v/>
      </c>
      <c r="E167" s="40" t="str">
        <f aca="false">IF(INDEX(BookTitle,162)="","",INDEX(BookTitle,162))</f>
        <v/>
      </c>
      <c r="F167" s="40" t="str">
        <f aca="false">IF(INDEX(BookTitle,162)="","",INDEX(BookLevel,162))</f>
        <v/>
      </c>
      <c r="G167" s="40" t="str">
        <f aca="false">IF(INDEX(BookTitle,162)="","",INDEX(BookCategory,162))</f>
        <v/>
      </c>
      <c r="H167" s="40" t="str">
        <f aca="false">IF(INDEX(BookTitle,162)="","",INDEX(BookRank,162))</f>
        <v/>
      </c>
      <c r="I167" s="41" t="str">
        <f aca="false">IF(INDEX(BookTitle,162)="","",INDEX(BookTotal,162))</f>
        <v/>
      </c>
      <c r="J167" s="0" t="str">
        <f aca="false">IF($I167="","",IF(INDEX(BookQ1,162)&gt;0,"Q1",IF(INDEX(BookQ2,162)&gt;0,"Q2",IF(INDEX(BookQ3,162)&gt;0,"Q3",IF(INDEX(BookQ4,162)&gt;0,"Q4","")))))</f>
        <v/>
      </c>
      <c r="K167" s="42" t="str">
        <f aca="false">IF(INDEX(BookTitle,162)="","",INDEX(BookInYear,162))</f>
        <v/>
      </c>
      <c r="L167" s="19"/>
      <c r="M167" s="39"/>
      <c r="N167" s="19"/>
      <c r="O167" s="19"/>
      <c r="P167" s="43" t="str">
        <f aca="false">IF($E167="","",IF($L167="Decline",0,IF($L167="Approve fewer",IF($M167="","",$M167),IF($L167="","",$I167))))</f>
        <v/>
      </c>
      <c r="Q167" s="34" t="str">
        <f aca="false">IF($P167="","",IF($N167&lt;&gt;"",$N167,$J167))</f>
        <v/>
      </c>
      <c r="R167" s="35" t="str">
        <f aca="false">IF(OR($P167="",$Q167=""),"",INDEX(BookRate,162)*$P167*(5-MATCH($Q167,{"Q1";"Q2";"Q3";"Q4"},0))/4+INDEX(BookOneOff,162)*$P167)</f>
        <v/>
      </c>
      <c r="S167" s="35" t="str">
        <f aca="false">IF($P167="","",INDEX(BookRate,162)*$P167)</f>
        <v/>
      </c>
      <c r="T167" s="35" t="str">
        <f aca="false">IF($R167="","",$R167-$K167)</f>
        <v/>
      </c>
      <c r="U167" s="35" t="str">
        <f aca="false">IF(N($P167)&lt;=0,"",COUNTIF($P$6:$P167,"&gt;0"))</f>
        <v/>
      </c>
    </row>
    <row r="168" customFormat="false" ht="15" hidden="false" customHeight="false" outlineLevel="0" collapsed="false">
      <c r="A168" s="40" t="str">
        <f aca="false">IF(INDEX(BookTitle,163)="","",INDEX(BookGroup,163))</f>
        <v/>
      </c>
      <c r="B168" s="40" t="str">
        <f aca="false">IF(INDEX(BookTitle,163)="","",INDEX(BookRef,163))</f>
        <v/>
      </c>
      <c r="C168" s="40" t="str">
        <f aca="false">IF(INDEX(BookTitle,163)="","",INDEX(BookDivision,163))</f>
        <v/>
      </c>
      <c r="D168" s="40" t="str">
        <f aca="false">IF(INDEX(BookTitle,163)="","",INDEX(BookUnit,163))</f>
        <v/>
      </c>
      <c r="E168" s="40" t="str">
        <f aca="false">IF(INDEX(BookTitle,163)="","",INDEX(BookTitle,163))</f>
        <v/>
      </c>
      <c r="F168" s="40" t="str">
        <f aca="false">IF(INDEX(BookTitle,163)="","",INDEX(BookLevel,163))</f>
        <v/>
      </c>
      <c r="G168" s="40" t="str">
        <f aca="false">IF(INDEX(BookTitle,163)="","",INDEX(BookCategory,163))</f>
        <v/>
      </c>
      <c r="H168" s="40" t="str">
        <f aca="false">IF(INDEX(BookTitle,163)="","",INDEX(BookRank,163))</f>
        <v/>
      </c>
      <c r="I168" s="41" t="str">
        <f aca="false">IF(INDEX(BookTitle,163)="","",INDEX(BookTotal,163))</f>
        <v/>
      </c>
      <c r="J168" s="0" t="str">
        <f aca="false">IF($I168="","",IF(INDEX(BookQ1,163)&gt;0,"Q1",IF(INDEX(BookQ2,163)&gt;0,"Q2",IF(INDEX(BookQ3,163)&gt;0,"Q3",IF(INDEX(BookQ4,163)&gt;0,"Q4","")))))</f>
        <v/>
      </c>
      <c r="K168" s="42" t="str">
        <f aca="false">IF(INDEX(BookTitle,163)="","",INDEX(BookInYear,163))</f>
        <v/>
      </c>
      <c r="L168" s="19"/>
      <c r="M168" s="39"/>
      <c r="N168" s="19"/>
      <c r="O168" s="19"/>
      <c r="P168" s="43" t="str">
        <f aca="false">IF($E168="","",IF($L168="Decline",0,IF($L168="Approve fewer",IF($M168="","",$M168),IF($L168="","",$I168))))</f>
        <v/>
      </c>
      <c r="Q168" s="34" t="str">
        <f aca="false">IF($P168="","",IF($N168&lt;&gt;"",$N168,$J168))</f>
        <v/>
      </c>
      <c r="R168" s="35" t="str">
        <f aca="false">IF(OR($P168="",$Q168=""),"",INDEX(BookRate,163)*$P168*(5-MATCH($Q168,{"Q1";"Q2";"Q3";"Q4"},0))/4+INDEX(BookOneOff,163)*$P168)</f>
        <v/>
      </c>
      <c r="S168" s="35" t="str">
        <f aca="false">IF($P168="","",INDEX(BookRate,163)*$P168)</f>
        <v/>
      </c>
      <c r="T168" s="35" t="str">
        <f aca="false">IF($R168="","",$R168-$K168)</f>
        <v/>
      </c>
      <c r="U168" s="35" t="str">
        <f aca="false">IF(N($P168)&lt;=0,"",COUNTIF($P$6:$P168,"&gt;0"))</f>
        <v/>
      </c>
    </row>
    <row r="169" customFormat="false" ht="15" hidden="false" customHeight="false" outlineLevel="0" collapsed="false">
      <c r="A169" s="40" t="str">
        <f aca="false">IF(INDEX(BookTitle,164)="","",INDEX(BookGroup,164))</f>
        <v/>
      </c>
      <c r="B169" s="40" t="str">
        <f aca="false">IF(INDEX(BookTitle,164)="","",INDEX(BookRef,164))</f>
        <v/>
      </c>
      <c r="C169" s="40" t="str">
        <f aca="false">IF(INDEX(BookTitle,164)="","",INDEX(BookDivision,164))</f>
        <v/>
      </c>
      <c r="D169" s="40" t="str">
        <f aca="false">IF(INDEX(BookTitle,164)="","",INDEX(BookUnit,164))</f>
        <v/>
      </c>
      <c r="E169" s="40" t="str">
        <f aca="false">IF(INDEX(BookTitle,164)="","",INDEX(BookTitle,164))</f>
        <v/>
      </c>
      <c r="F169" s="40" t="str">
        <f aca="false">IF(INDEX(BookTitle,164)="","",INDEX(BookLevel,164))</f>
        <v/>
      </c>
      <c r="G169" s="40" t="str">
        <f aca="false">IF(INDEX(BookTitle,164)="","",INDEX(BookCategory,164))</f>
        <v/>
      </c>
      <c r="H169" s="40" t="str">
        <f aca="false">IF(INDEX(BookTitle,164)="","",INDEX(BookRank,164))</f>
        <v/>
      </c>
      <c r="I169" s="41" t="str">
        <f aca="false">IF(INDEX(BookTitle,164)="","",INDEX(BookTotal,164))</f>
        <v/>
      </c>
      <c r="J169" s="0" t="str">
        <f aca="false">IF($I169="","",IF(INDEX(BookQ1,164)&gt;0,"Q1",IF(INDEX(BookQ2,164)&gt;0,"Q2",IF(INDEX(BookQ3,164)&gt;0,"Q3",IF(INDEX(BookQ4,164)&gt;0,"Q4","")))))</f>
        <v/>
      </c>
      <c r="K169" s="42" t="str">
        <f aca="false">IF(INDEX(BookTitle,164)="","",INDEX(BookInYear,164))</f>
        <v/>
      </c>
      <c r="L169" s="19"/>
      <c r="M169" s="39"/>
      <c r="N169" s="19"/>
      <c r="O169" s="19"/>
      <c r="P169" s="43" t="str">
        <f aca="false">IF($E169="","",IF($L169="Decline",0,IF($L169="Approve fewer",IF($M169="","",$M169),IF($L169="","",$I169))))</f>
        <v/>
      </c>
      <c r="Q169" s="34" t="str">
        <f aca="false">IF($P169="","",IF($N169&lt;&gt;"",$N169,$J169))</f>
        <v/>
      </c>
      <c r="R169" s="35" t="str">
        <f aca="false">IF(OR($P169="",$Q169=""),"",INDEX(BookRate,164)*$P169*(5-MATCH($Q169,{"Q1";"Q2";"Q3";"Q4"},0))/4+INDEX(BookOneOff,164)*$P169)</f>
        <v/>
      </c>
      <c r="S169" s="35" t="str">
        <f aca="false">IF($P169="","",INDEX(BookRate,164)*$P169)</f>
        <v/>
      </c>
      <c r="T169" s="35" t="str">
        <f aca="false">IF($R169="","",$R169-$K169)</f>
        <v/>
      </c>
      <c r="U169" s="35" t="str">
        <f aca="false">IF(N($P169)&lt;=0,"",COUNTIF($P$6:$P169,"&gt;0"))</f>
        <v/>
      </c>
    </row>
    <row r="170" customFormat="false" ht="15" hidden="false" customHeight="false" outlineLevel="0" collapsed="false">
      <c r="A170" s="40" t="str">
        <f aca="false">IF(INDEX(BookTitle,165)="","",INDEX(BookGroup,165))</f>
        <v/>
      </c>
      <c r="B170" s="40" t="str">
        <f aca="false">IF(INDEX(BookTitle,165)="","",INDEX(BookRef,165))</f>
        <v/>
      </c>
      <c r="C170" s="40" t="str">
        <f aca="false">IF(INDEX(BookTitle,165)="","",INDEX(BookDivision,165))</f>
        <v/>
      </c>
      <c r="D170" s="40" t="str">
        <f aca="false">IF(INDEX(BookTitle,165)="","",INDEX(BookUnit,165))</f>
        <v/>
      </c>
      <c r="E170" s="40" t="str">
        <f aca="false">IF(INDEX(BookTitle,165)="","",INDEX(BookTitle,165))</f>
        <v/>
      </c>
      <c r="F170" s="40" t="str">
        <f aca="false">IF(INDEX(BookTitle,165)="","",INDEX(BookLevel,165))</f>
        <v/>
      </c>
      <c r="G170" s="40" t="str">
        <f aca="false">IF(INDEX(BookTitle,165)="","",INDEX(BookCategory,165))</f>
        <v/>
      </c>
      <c r="H170" s="40" t="str">
        <f aca="false">IF(INDEX(BookTitle,165)="","",INDEX(BookRank,165))</f>
        <v/>
      </c>
      <c r="I170" s="41" t="str">
        <f aca="false">IF(INDEX(BookTitle,165)="","",INDEX(BookTotal,165))</f>
        <v/>
      </c>
      <c r="J170" s="0" t="str">
        <f aca="false">IF($I170="","",IF(INDEX(BookQ1,165)&gt;0,"Q1",IF(INDEX(BookQ2,165)&gt;0,"Q2",IF(INDEX(BookQ3,165)&gt;0,"Q3",IF(INDEX(BookQ4,165)&gt;0,"Q4","")))))</f>
        <v/>
      </c>
      <c r="K170" s="42" t="str">
        <f aca="false">IF(INDEX(BookTitle,165)="","",INDEX(BookInYear,165))</f>
        <v/>
      </c>
      <c r="L170" s="19"/>
      <c r="M170" s="39"/>
      <c r="N170" s="19"/>
      <c r="O170" s="19"/>
      <c r="P170" s="43" t="str">
        <f aca="false">IF($E170="","",IF($L170="Decline",0,IF($L170="Approve fewer",IF($M170="","",$M170),IF($L170="","",$I170))))</f>
        <v/>
      </c>
      <c r="Q170" s="34" t="str">
        <f aca="false">IF($P170="","",IF($N170&lt;&gt;"",$N170,$J170))</f>
        <v/>
      </c>
      <c r="R170" s="35" t="str">
        <f aca="false">IF(OR($P170="",$Q170=""),"",INDEX(BookRate,165)*$P170*(5-MATCH($Q170,{"Q1";"Q2";"Q3";"Q4"},0))/4+INDEX(BookOneOff,165)*$P170)</f>
        <v/>
      </c>
      <c r="S170" s="35" t="str">
        <f aca="false">IF($P170="","",INDEX(BookRate,165)*$P170)</f>
        <v/>
      </c>
      <c r="T170" s="35" t="str">
        <f aca="false">IF($R170="","",$R170-$K170)</f>
        <v/>
      </c>
      <c r="U170" s="35" t="str">
        <f aca="false">IF(N($P170)&lt;=0,"",COUNTIF($P$6:$P170,"&gt;0"))</f>
        <v/>
      </c>
    </row>
    <row r="171" customFormat="false" ht="15" hidden="false" customHeight="false" outlineLevel="0" collapsed="false">
      <c r="A171" s="40" t="str">
        <f aca="false">IF(INDEX(BookTitle,166)="","",INDEX(BookGroup,166))</f>
        <v/>
      </c>
      <c r="B171" s="40" t="str">
        <f aca="false">IF(INDEX(BookTitle,166)="","",INDEX(BookRef,166))</f>
        <v/>
      </c>
      <c r="C171" s="40" t="str">
        <f aca="false">IF(INDEX(BookTitle,166)="","",INDEX(BookDivision,166))</f>
        <v/>
      </c>
      <c r="D171" s="40" t="str">
        <f aca="false">IF(INDEX(BookTitle,166)="","",INDEX(BookUnit,166))</f>
        <v/>
      </c>
      <c r="E171" s="40" t="str">
        <f aca="false">IF(INDEX(BookTitle,166)="","",INDEX(BookTitle,166))</f>
        <v/>
      </c>
      <c r="F171" s="40" t="str">
        <f aca="false">IF(INDEX(BookTitle,166)="","",INDEX(BookLevel,166))</f>
        <v/>
      </c>
      <c r="G171" s="40" t="str">
        <f aca="false">IF(INDEX(BookTitle,166)="","",INDEX(BookCategory,166))</f>
        <v/>
      </c>
      <c r="H171" s="40" t="str">
        <f aca="false">IF(INDEX(BookTitle,166)="","",INDEX(BookRank,166))</f>
        <v/>
      </c>
      <c r="I171" s="41" t="str">
        <f aca="false">IF(INDEX(BookTitle,166)="","",INDEX(BookTotal,166))</f>
        <v/>
      </c>
      <c r="J171" s="0" t="str">
        <f aca="false">IF($I171="","",IF(INDEX(BookQ1,166)&gt;0,"Q1",IF(INDEX(BookQ2,166)&gt;0,"Q2",IF(INDEX(BookQ3,166)&gt;0,"Q3",IF(INDEX(BookQ4,166)&gt;0,"Q4","")))))</f>
        <v/>
      </c>
      <c r="K171" s="42" t="str">
        <f aca="false">IF(INDEX(BookTitle,166)="","",INDEX(BookInYear,166))</f>
        <v/>
      </c>
      <c r="L171" s="19"/>
      <c r="M171" s="39"/>
      <c r="N171" s="19"/>
      <c r="O171" s="19"/>
      <c r="P171" s="43" t="str">
        <f aca="false">IF($E171="","",IF($L171="Decline",0,IF($L171="Approve fewer",IF($M171="","",$M171),IF($L171="","",$I171))))</f>
        <v/>
      </c>
      <c r="Q171" s="34" t="str">
        <f aca="false">IF($P171="","",IF($N171&lt;&gt;"",$N171,$J171))</f>
        <v/>
      </c>
      <c r="R171" s="35" t="str">
        <f aca="false">IF(OR($P171="",$Q171=""),"",INDEX(BookRate,166)*$P171*(5-MATCH($Q171,{"Q1";"Q2";"Q3";"Q4"},0))/4+INDEX(BookOneOff,166)*$P171)</f>
        <v/>
      </c>
      <c r="S171" s="35" t="str">
        <f aca="false">IF($P171="","",INDEX(BookRate,166)*$P171)</f>
        <v/>
      </c>
      <c r="T171" s="35" t="str">
        <f aca="false">IF($R171="","",$R171-$K171)</f>
        <v/>
      </c>
      <c r="U171" s="35" t="str">
        <f aca="false">IF(N($P171)&lt;=0,"",COUNTIF($P$6:$P171,"&gt;0"))</f>
        <v/>
      </c>
    </row>
    <row r="172" customFormat="false" ht="15" hidden="false" customHeight="false" outlineLevel="0" collapsed="false">
      <c r="A172" s="40" t="str">
        <f aca="false">IF(INDEX(BookTitle,167)="","",INDEX(BookGroup,167))</f>
        <v/>
      </c>
      <c r="B172" s="40" t="str">
        <f aca="false">IF(INDEX(BookTitle,167)="","",INDEX(BookRef,167))</f>
        <v/>
      </c>
      <c r="C172" s="40" t="str">
        <f aca="false">IF(INDEX(BookTitle,167)="","",INDEX(BookDivision,167))</f>
        <v/>
      </c>
      <c r="D172" s="40" t="str">
        <f aca="false">IF(INDEX(BookTitle,167)="","",INDEX(BookUnit,167))</f>
        <v/>
      </c>
      <c r="E172" s="40" t="str">
        <f aca="false">IF(INDEX(BookTitle,167)="","",INDEX(BookTitle,167))</f>
        <v/>
      </c>
      <c r="F172" s="40" t="str">
        <f aca="false">IF(INDEX(BookTitle,167)="","",INDEX(BookLevel,167))</f>
        <v/>
      </c>
      <c r="G172" s="40" t="str">
        <f aca="false">IF(INDEX(BookTitle,167)="","",INDEX(BookCategory,167))</f>
        <v/>
      </c>
      <c r="H172" s="40" t="str">
        <f aca="false">IF(INDEX(BookTitle,167)="","",INDEX(BookRank,167))</f>
        <v/>
      </c>
      <c r="I172" s="41" t="str">
        <f aca="false">IF(INDEX(BookTitle,167)="","",INDEX(BookTotal,167))</f>
        <v/>
      </c>
      <c r="J172" s="0" t="str">
        <f aca="false">IF($I172="","",IF(INDEX(BookQ1,167)&gt;0,"Q1",IF(INDEX(BookQ2,167)&gt;0,"Q2",IF(INDEX(BookQ3,167)&gt;0,"Q3",IF(INDEX(BookQ4,167)&gt;0,"Q4","")))))</f>
        <v/>
      </c>
      <c r="K172" s="42" t="str">
        <f aca="false">IF(INDEX(BookTitle,167)="","",INDEX(BookInYear,167))</f>
        <v/>
      </c>
      <c r="L172" s="19"/>
      <c r="M172" s="39"/>
      <c r="N172" s="19"/>
      <c r="O172" s="19"/>
      <c r="P172" s="43" t="str">
        <f aca="false">IF($E172="","",IF($L172="Decline",0,IF($L172="Approve fewer",IF($M172="","",$M172),IF($L172="","",$I172))))</f>
        <v/>
      </c>
      <c r="Q172" s="34" t="str">
        <f aca="false">IF($P172="","",IF($N172&lt;&gt;"",$N172,$J172))</f>
        <v/>
      </c>
      <c r="R172" s="35" t="str">
        <f aca="false">IF(OR($P172="",$Q172=""),"",INDEX(BookRate,167)*$P172*(5-MATCH($Q172,{"Q1";"Q2";"Q3";"Q4"},0))/4+INDEX(BookOneOff,167)*$P172)</f>
        <v/>
      </c>
      <c r="S172" s="35" t="str">
        <f aca="false">IF($P172="","",INDEX(BookRate,167)*$P172)</f>
        <v/>
      </c>
      <c r="T172" s="35" t="str">
        <f aca="false">IF($R172="","",$R172-$K172)</f>
        <v/>
      </c>
      <c r="U172" s="35" t="str">
        <f aca="false">IF(N($P172)&lt;=0,"",COUNTIF($P$6:$P172,"&gt;0"))</f>
        <v/>
      </c>
    </row>
    <row r="173" customFormat="false" ht="15" hidden="false" customHeight="false" outlineLevel="0" collapsed="false">
      <c r="A173" s="40" t="str">
        <f aca="false">IF(INDEX(BookTitle,168)="","",INDEX(BookGroup,168))</f>
        <v/>
      </c>
      <c r="B173" s="40" t="str">
        <f aca="false">IF(INDEX(BookTitle,168)="","",INDEX(BookRef,168))</f>
        <v/>
      </c>
      <c r="C173" s="40" t="str">
        <f aca="false">IF(INDEX(BookTitle,168)="","",INDEX(BookDivision,168))</f>
        <v/>
      </c>
      <c r="D173" s="40" t="str">
        <f aca="false">IF(INDEX(BookTitle,168)="","",INDEX(BookUnit,168))</f>
        <v/>
      </c>
      <c r="E173" s="40" t="str">
        <f aca="false">IF(INDEX(BookTitle,168)="","",INDEX(BookTitle,168))</f>
        <v/>
      </c>
      <c r="F173" s="40" t="str">
        <f aca="false">IF(INDEX(BookTitle,168)="","",INDEX(BookLevel,168))</f>
        <v/>
      </c>
      <c r="G173" s="40" t="str">
        <f aca="false">IF(INDEX(BookTitle,168)="","",INDEX(BookCategory,168))</f>
        <v/>
      </c>
      <c r="H173" s="40" t="str">
        <f aca="false">IF(INDEX(BookTitle,168)="","",INDEX(BookRank,168))</f>
        <v/>
      </c>
      <c r="I173" s="41" t="str">
        <f aca="false">IF(INDEX(BookTitle,168)="","",INDEX(BookTotal,168))</f>
        <v/>
      </c>
      <c r="J173" s="0" t="str">
        <f aca="false">IF($I173="","",IF(INDEX(BookQ1,168)&gt;0,"Q1",IF(INDEX(BookQ2,168)&gt;0,"Q2",IF(INDEX(BookQ3,168)&gt;0,"Q3",IF(INDEX(BookQ4,168)&gt;0,"Q4","")))))</f>
        <v/>
      </c>
      <c r="K173" s="42" t="str">
        <f aca="false">IF(INDEX(BookTitle,168)="","",INDEX(BookInYear,168))</f>
        <v/>
      </c>
      <c r="L173" s="19"/>
      <c r="M173" s="39"/>
      <c r="N173" s="19"/>
      <c r="O173" s="19"/>
      <c r="P173" s="43" t="str">
        <f aca="false">IF($E173="","",IF($L173="Decline",0,IF($L173="Approve fewer",IF($M173="","",$M173),IF($L173="","",$I173))))</f>
        <v/>
      </c>
      <c r="Q173" s="34" t="str">
        <f aca="false">IF($P173="","",IF($N173&lt;&gt;"",$N173,$J173))</f>
        <v/>
      </c>
      <c r="R173" s="35" t="str">
        <f aca="false">IF(OR($P173="",$Q173=""),"",INDEX(BookRate,168)*$P173*(5-MATCH($Q173,{"Q1";"Q2";"Q3";"Q4"},0))/4+INDEX(BookOneOff,168)*$P173)</f>
        <v/>
      </c>
      <c r="S173" s="35" t="str">
        <f aca="false">IF($P173="","",INDEX(BookRate,168)*$P173)</f>
        <v/>
      </c>
      <c r="T173" s="35" t="str">
        <f aca="false">IF($R173="","",$R173-$K173)</f>
        <v/>
      </c>
      <c r="U173" s="35" t="str">
        <f aca="false">IF(N($P173)&lt;=0,"",COUNTIF($P$6:$P173,"&gt;0"))</f>
        <v/>
      </c>
    </row>
    <row r="174" customFormat="false" ht="15" hidden="false" customHeight="false" outlineLevel="0" collapsed="false">
      <c r="A174" s="40" t="str">
        <f aca="false">IF(INDEX(BookTitle,169)="","",INDEX(BookGroup,169))</f>
        <v/>
      </c>
      <c r="B174" s="40" t="str">
        <f aca="false">IF(INDEX(BookTitle,169)="","",INDEX(BookRef,169))</f>
        <v/>
      </c>
      <c r="C174" s="40" t="str">
        <f aca="false">IF(INDEX(BookTitle,169)="","",INDEX(BookDivision,169))</f>
        <v/>
      </c>
      <c r="D174" s="40" t="str">
        <f aca="false">IF(INDEX(BookTitle,169)="","",INDEX(BookUnit,169))</f>
        <v/>
      </c>
      <c r="E174" s="40" t="str">
        <f aca="false">IF(INDEX(BookTitle,169)="","",INDEX(BookTitle,169))</f>
        <v/>
      </c>
      <c r="F174" s="40" t="str">
        <f aca="false">IF(INDEX(BookTitle,169)="","",INDEX(BookLevel,169))</f>
        <v/>
      </c>
      <c r="G174" s="40" t="str">
        <f aca="false">IF(INDEX(BookTitle,169)="","",INDEX(BookCategory,169))</f>
        <v/>
      </c>
      <c r="H174" s="40" t="str">
        <f aca="false">IF(INDEX(BookTitle,169)="","",INDEX(BookRank,169))</f>
        <v/>
      </c>
      <c r="I174" s="41" t="str">
        <f aca="false">IF(INDEX(BookTitle,169)="","",INDEX(BookTotal,169))</f>
        <v/>
      </c>
      <c r="J174" s="0" t="str">
        <f aca="false">IF($I174="","",IF(INDEX(BookQ1,169)&gt;0,"Q1",IF(INDEX(BookQ2,169)&gt;0,"Q2",IF(INDEX(BookQ3,169)&gt;0,"Q3",IF(INDEX(BookQ4,169)&gt;0,"Q4","")))))</f>
        <v/>
      </c>
      <c r="K174" s="42" t="str">
        <f aca="false">IF(INDEX(BookTitle,169)="","",INDEX(BookInYear,169))</f>
        <v/>
      </c>
      <c r="L174" s="19"/>
      <c r="M174" s="39"/>
      <c r="N174" s="19"/>
      <c r="O174" s="19"/>
      <c r="P174" s="43" t="str">
        <f aca="false">IF($E174="","",IF($L174="Decline",0,IF($L174="Approve fewer",IF($M174="","",$M174),IF($L174="","",$I174))))</f>
        <v/>
      </c>
      <c r="Q174" s="34" t="str">
        <f aca="false">IF($P174="","",IF($N174&lt;&gt;"",$N174,$J174))</f>
        <v/>
      </c>
      <c r="R174" s="35" t="str">
        <f aca="false">IF(OR($P174="",$Q174=""),"",INDEX(BookRate,169)*$P174*(5-MATCH($Q174,{"Q1";"Q2";"Q3";"Q4"},0))/4+INDEX(BookOneOff,169)*$P174)</f>
        <v/>
      </c>
      <c r="S174" s="35" t="str">
        <f aca="false">IF($P174="","",INDEX(BookRate,169)*$P174)</f>
        <v/>
      </c>
      <c r="T174" s="35" t="str">
        <f aca="false">IF($R174="","",$R174-$K174)</f>
        <v/>
      </c>
      <c r="U174" s="35" t="str">
        <f aca="false">IF(N($P174)&lt;=0,"",COUNTIF($P$6:$P174,"&gt;0"))</f>
        <v/>
      </c>
    </row>
    <row r="175" customFormat="false" ht="15" hidden="false" customHeight="false" outlineLevel="0" collapsed="false">
      <c r="A175" s="40" t="str">
        <f aca="false">IF(INDEX(BookTitle,170)="","",INDEX(BookGroup,170))</f>
        <v/>
      </c>
      <c r="B175" s="40" t="str">
        <f aca="false">IF(INDEX(BookTitle,170)="","",INDEX(BookRef,170))</f>
        <v/>
      </c>
      <c r="C175" s="40" t="str">
        <f aca="false">IF(INDEX(BookTitle,170)="","",INDEX(BookDivision,170))</f>
        <v/>
      </c>
      <c r="D175" s="40" t="str">
        <f aca="false">IF(INDEX(BookTitle,170)="","",INDEX(BookUnit,170))</f>
        <v/>
      </c>
      <c r="E175" s="40" t="str">
        <f aca="false">IF(INDEX(BookTitle,170)="","",INDEX(BookTitle,170))</f>
        <v/>
      </c>
      <c r="F175" s="40" t="str">
        <f aca="false">IF(INDEX(BookTitle,170)="","",INDEX(BookLevel,170))</f>
        <v/>
      </c>
      <c r="G175" s="40" t="str">
        <f aca="false">IF(INDEX(BookTitle,170)="","",INDEX(BookCategory,170))</f>
        <v/>
      </c>
      <c r="H175" s="40" t="str">
        <f aca="false">IF(INDEX(BookTitle,170)="","",INDEX(BookRank,170))</f>
        <v/>
      </c>
      <c r="I175" s="41" t="str">
        <f aca="false">IF(INDEX(BookTitle,170)="","",INDEX(BookTotal,170))</f>
        <v/>
      </c>
      <c r="J175" s="0" t="str">
        <f aca="false">IF($I175="","",IF(INDEX(BookQ1,170)&gt;0,"Q1",IF(INDEX(BookQ2,170)&gt;0,"Q2",IF(INDEX(BookQ3,170)&gt;0,"Q3",IF(INDEX(BookQ4,170)&gt;0,"Q4","")))))</f>
        <v/>
      </c>
      <c r="K175" s="42" t="str">
        <f aca="false">IF(INDEX(BookTitle,170)="","",INDEX(BookInYear,170))</f>
        <v/>
      </c>
      <c r="L175" s="19"/>
      <c r="M175" s="39"/>
      <c r="N175" s="19"/>
      <c r="O175" s="19"/>
      <c r="P175" s="43" t="str">
        <f aca="false">IF($E175="","",IF($L175="Decline",0,IF($L175="Approve fewer",IF($M175="","",$M175),IF($L175="","",$I175))))</f>
        <v/>
      </c>
      <c r="Q175" s="34" t="str">
        <f aca="false">IF($P175="","",IF($N175&lt;&gt;"",$N175,$J175))</f>
        <v/>
      </c>
      <c r="R175" s="35" t="str">
        <f aca="false">IF(OR($P175="",$Q175=""),"",INDEX(BookRate,170)*$P175*(5-MATCH($Q175,{"Q1";"Q2";"Q3";"Q4"},0))/4+INDEX(BookOneOff,170)*$P175)</f>
        <v/>
      </c>
      <c r="S175" s="35" t="str">
        <f aca="false">IF($P175="","",INDEX(BookRate,170)*$P175)</f>
        <v/>
      </c>
      <c r="T175" s="35" t="str">
        <f aca="false">IF($R175="","",$R175-$K175)</f>
        <v/>
      </c>
      <c r="U175" s="35" t="str">
        <f aca="false">IF(N($P175)&lt;=0,"",COUNTIF($P$6:$P175,"&gt;0"))</f>
        <v/>
      </c>
    </row>
    <row r="176" customFormat="false" ht="15" hidden="false" customHeight="false" outlineLevel="0" collapsed="false">
      <c r="A176" s="40" t="str">
        <f aca="false">IF(INDEX(BookTitle,171)="","",INDEX(BookGroup,171))</f>
        <v/>
      </c>
      <c r="B176" s="40" t="str">
        <f aca="false">IF(INDEX(BookTitle,171)="","",INDEX(BookRef,171))</f>
        <v/>
      </c>
      <c r="C176" s="40" t="str">
        <f aca="false">IF(INDEX(BookTitle,171)="","",INDEX(BookDivision,171))</f>
        <v/>
      </c>
      <c r="D176" s="40" t="str">
        <f aca="false">IF(INDEX(BookTitle,171)="","",INDEX(BookUnit,171))</f>
        <v/>
      </c>
      <c r="E176" s="40" t="str">
        <f aca="false">IF(INDEX(BookTitle,171)="","",INDEX(BookTitle,171))</f>
        <v/>
      </c>
      <c r="F176" s="40" t="str">
        <f aca="false">IF(INDEX(BookTitle,171)="","",INDEX(BookLevel,171))</f>
        <v/>
      </c>
      <c r="G176" s="40" t="str">
        <f aca="false">IF(INDEX(BookTitle,171)="","",INDEX(BookCategory,171))</f>
        <v/>
      </c>
      <c r="H176" s="40" t="str">
        <f aca="false">IF(INDEX(BookTitle,171)="","",INDEX(BookRank,171))</f>
        <v/>
      </c>
      <c r="I176" s="41" t="str">
        <f aca="false">IF(INDEX(BookTitle,171)="","",INDEX(BookTotal,171))</f>
        <v/>
      </c>
      <c r="J176" s="0" t="str">
        <f aca="false">IF($I176="","",IF(INDEX(BookQ1,171)&gt;0,"Q1",IF(INDEX(BookQ2,171)&gt;0,"Q2",IF(INDEX(BookQ3,171)&gt;0,"Q3",IF(INDEX(BookQ4,171)&gt;0,"Q4","")))))</f>
        <v/>
      </c>
      <c r="K176" s="42" t="str">
        <f aca="false">IF(INDEX(BookTitle,171)="","",INDEX(BookInYear,171))</f>
        <v/>
      </c>
      <c r="L176" s="19"/>
      <c r="M176" s="39"/>
      <c r="N176" s="19"/>
      <c r="O176" s="19"/>
      <c r="P176" s="43" t="str">
        <f aca="false">IF($E176="","",IF($L176="Decline",0,IF($L176="Approve fewer",IF($M176="","",$M176),IF($L176="","",$I176))))</f>
        <v/>
      </c>
      <c r="Q176" s="34" t="str">
        <f aca="false">IF($P176="","",IF($N176&lt;&gt;"",$N176,$J176))</f>
        <v/>
      </c>
      <c r="R176" s="35" t="str">
        <f aca="false">IF(OR($P176="",$Q176=""),"",INDEX(BookRate,171)*$P176*(5-MATCH($Q176,{"Q1";"Q2";"Q3";"Q4"},0))/4+INDEX(BookOneOff,171)*$P176)</f>
        <v/>
      </c>
      <c r="S176" s="35" t="str">
        <f aca="false">IF($P176="","",INDEX(BookRate,171)*$P176)</f>
        <v/>
      </c>
      <c r="T176" s="35" t="str">
        <f aca="false">IF($R176="","",$R176-$K176)</f>
        <v/>
      </c>
      <c r="U176" s="35" t="str">
        <f aca="false">IF(N($P176)&lt;=0,"",COUNTIF($P$6:$P176,"&gt;0"))</f>
        <v/>
      </c>
    </row>
    <row r="177" customFormat="false" ht="15" hidden="false" customHeight="false" outlineLevel="0" collapsed="false">
      <c r="A177" s="40" t="str">
        <f aca="false">IF(INDEX(BookTitle,172)="","",INDEX(BookGroup,172))</f>
        <v/>
      </c>
      <c r="B177" s="40" t="str">
        <f aca="false">IF(INDEX(BookTitle,172)="","",INDEX(BookRef,172))</f>
        <v/>
      </c>
      <c r="C177" s="40" t="str">
        <f aca="false">IF(INDEX(BookTitle,172)="","",INDEX(BookDivision,172))</f>
        <v/>
      </c>
      <c r="D177" s="40" t="str">
        <f aca="false">IF(INDEX(BookTitle,172)="","",INDEX(BookUnit,172))</f>
        <v/>
      </c>
      <c r="E177" s="40" t="str">
        <f aca="false">IF(INDEX(BookTitle,172)="","",INDEX(BookTitle,172))</f>
        <v/>
      </c>
      <c r="F177" s="40" t="str">
        <f aca="false">IF(INDEX(BookTitle,172)="","",INDEX(BookLevel,172))</f>
        <v/>
      </c>
      <c r="G177" s="40" t="str">
        <f aca="false">IF(INDEX(BookTitle,172)="","",INDEX(BookCategory,172))</f>
        <v/>
      </c>
      <c r="H177" s="40" t="str">
        <f aca="false">IF(INDEX(BookTitle,172)="","",INDEX(BookRank,172))</f>
        <v/>
      </c>
      <c r="I177" s="41" t="str">
        <f aca="false">IF(INDEX(BookTitle,172)="","",INDEX(BookTotal,172))</f>
        <v/>
      </c>
      <c r="J177" s="0" t="str">
        <f aca="false">IF($I177="","",IF(INDEX(BookQ1,172)&gt;0,"Q1",IF(INDEX(BookQ2,172)&gt;0,"Q2",IF(INDEX(BookQ3,172)&gt;0,"Q3",IF(INDEX(BookQ4,172)&gt;0,"Q4","")))))</f>
        <v/>
      </c>
      <c r="K177" s="42" t="str">
        <f aca="false">IF(INDEX(BookTitle,172)="","",INDEX(BookInYear,172))</f>
        <v/>
      </c>
      <c r="L177" s="19"/>
      <c r="M177" s="39"/>
      <c r="N177" s="19"/>
      <c r="O177" s="19"/>
      <c r="P177" s="43" t="str">
        <f aca="false">IF($E177="","",IF($L177="Decline",0,IF($L177="Approve fewer",IF($M177="","",$M177),IF($L177="","",$I177))))</f>
        <v/>
      </c>
      <c r="Q177" s="34" t="str">
        <f aca="false">IF($P177="","",IF($N177&lt;&gt;"",$N177,$J177))</f>
        <v/>
      </c>
      <c r="R177" s="35" t="str">
        <f aca="false">IF(OR($P177="",$Q177=""),"",INDEX(BookRate,172)*$P177*(5-MATCH($Q177,{"Q1";"Q2";"Q3";"Q4"},0))/4+INDEX(BookOneOff,172)*$P177)</f>
        <v/>
      </c>
      <c r="S177" s="35" t="str">
        <f aca="false">IF($P177="","",INDEX(BookRate,172)*$P177)</f>
        <v/>
      </c>
      <c r="T177" s="35" t="str">
        <f aca="false">IF($R177="","",$R177-$K177)</f>
        <v/>
      </c>
      <c r="U177" s="35" t="str">
        <f aca="false">IF(N($P177)&lt;=0,"",COUNTIF($P$6:$P177,"&gt;0"))</f>
        <v/>
      </c>
    </row>
    <row r="178" customFormat="false" ht="15" hidden="false" customHeight="false" outlineLevel="0" collapsed="false">
      <c r="A178" s="40" t="str">
        <f aca="false">IF(INDEX(BookTitle,173)="","",INDEX(BookGroup,173))</f>
        <v/>
      </c>
      <c r="B178" s="40" t="str">
        <f aca="false">IF(INDEX(BookTitle,173)="","",INDEX(BookRef,173))</f>
        <v/>
      </c>
      <c r="C178" s="40" t="str">
        <f aca="false">IF(INDEX(BookTitle,173)="","",INDEX(BookDivision,173))</f>
        <v/>
      </c>
      <c r="D178" s="40" t="str">
        <f aca="false">IF(INDEX(BookTitle,173)="","",INDEX(BookUnit,173))</f>
        <v/>
      </c>
      <c r="E178" s="40" t="str">
        <f aca="false">IF(INDEX(BookTitle,173)="","",INDEX(BookTitle,173))</f>
        <v/>
      </c>
      <c r="F178" s="40" t="str">
        <f aca="false">IF(INDEX(BookTitle,173)="","",INDEX(BookLevel,173))</f>
        <v/>
      </c>
      <c r="G178" s="40" t="str">
        <f aca="false">IF(INDEX(BookTitle,173)="","",INDEX(BookCategory,173))</f>
        <v/>
      </c>
      <c r="H178" s="40" t="str">
        <f aca="false">IF(INDEX(BookTitle,173)="","",INDEX(BookRank,173))</f>
        <v/>
      </c>
      <c r="I178" s="41" t="str">
        <f aca="false">IF(INDEX(BookTitle,173)="","",INDEX(BookTotal,173))</f>
        <v/>
      </c>
      <c r="J178" s="0" t="str">
        <f aca="false">IF($I178="","",IF(INDEX(BookQ1,173)&gt;0,"Q1",IF(INDEX(BookQ2,173)&gt;0,"Q2",IF(INDEX(BookQ3,173)&gt;0,"Q3",IF(INDEX(BookQ4,173)&gt;0,"Q4","")))))</f>
        <v/>
      </c>
      <c r="K178" s="42" t="str">
        <f aca="false">IF(INDEX(BookTitle,173)="","",INDEX(BookInYear,173))</f>
        <v/>
      </c>
      <c r="L178" s="19"/>
      <c r="M178" s="39"/>
      <c r="N178" s="19"/>
      <c r="O178" s="19"/>
      <c r="P178" s="43" t="str">
        <f aca="false">IF($E178="","",IF($L178="Decline",0,IF($L178="Approve fewer",IF($M178="","",$M178),IF($L178="","",$I178))))</f>
        <v/>
      </c>
      <c r="Q178" s="34" t="str">
        <f aca="false">IF($P178="","",IF($N178&lt;&gt;"",$N178,$J178))</f>
        <v/>
      </c>
      <c r="R178" s="35" t="str">
        <f aca="false">IF(OR($P178="",$Q178=""),"",INDEX(BookRate,173)*$P178*(5-MATCH($Q178,{"Q1";"Q2";"Q3";"Q4"},0))/4+INDEX(BookOneOff,173)*$P178)</f>
        <v/>
      </c>
      <c r="S178" s="35" t="str">
        <f aca="false">IF($P178="","",INDEX(BookRate,173)*$P178)</f>
        <v/>
      </c>
      <c r="T178" s="35" t="str">
        <f aca="false">IF($R178="","",$R178-$K178)</f>
        <v/>
      </c>
      <c r="U178" s="35" t="str">
        <f aca="false">IF(N($P178)&lt;=0,"",COUNTIF($P$6:$P178,"&gt;0"))</f>
        <v/>
      </c>
    </row>
    <row r="179" customFormat="false" ht="15" hidden="false" customHeight="false" outlineLevel="0" collapsed="false">
      <c r="A179" s="40" t="str">
        <f aca="false">IF(INDEX(BookTitle,174)="","",INDEX(BookGroup,174))</f>
        <v/>
      </c>
      <c r="B179" s="40" t="str">
        <f aca="false">IF(INDEX(BookTitle,174)="","",INDEX(BookRef,174))</f>
        <v/>
      </c>
      <c r="C179" s="40" t="str">
        <f aca="false">IF(INDEX(BookTitle,174)="","",INDEX(BookDivision,174))</f>
        <v/>
      </c>
      <c r="D179" s="40" t="str">
        <f aca="false">IF(INDEX(BookTitle,174)="","",INDEX(BookUnit,174))</f>
        <v/>
      </c>
      <c r="E179" s="40" t="str">
        <f aca="false">IF(INDEX(BookTitle,174)="","",INDEX(BookTitle,174))</f>
        <v/>
      </c>
      <c r="F179" s="40" t="str">
        <f aca="false">IF(INDEX(BookTitle,174)="","",INDEX(BookLevel,174))</f>
        <v/>
      </c>
      <c r="G179" s="40" t="str">
        <f aca="false">IF(INDEX(BookTitle,174)="","",INDEX(BookCategory,174))</f>
        <v/>
      </c>
      <c r="H179" s="40" t="str">
        <f aca="false">IF(INDEX(BookTitle,174)="","",INDEX(BookRank,174))</f>
        <v/>
      </c>
      <c r="I179" s="41" t="str">
        <f aca="false">IF(INDEX(BookTitle,174)="","",INDEX(BookTotal,174))</f>
        <v/>
      </c>
      <c r="J179" s="0" t="str">
        <f aca="false">IF($I179="","",IF(INDEX(BookQ1,174)&gt;0,"Q1",IF(INDEX(BookQ2,174)&gt;0,"Q2",IF(INDEX(BookQ3,174)&gt;0,"Q3",IF(INDEX(BookQ4,174)&gt;0,"Q4","")))))</f>
        <v/>
      </c>
      <c r="K179" s="42" t="str">
        <f aca="false">IF(INDEX(BookTitle,174)="","",INDEX(BookInYear,174))</f>
        <v/>
      </c>
      <c r="L179" s="19"/>
      <c r="M179" s="39"/>
      <c r="N179" s="19"/>
      <c r="O179" s="19"/>
      <c r="P179" s="43" t="str">
        <f aca="false">IF($E179="","",IF($L179="Decline",0,IF($L179="Approve fewer",IF($M179="","",$M179),IF($L179="","",$I179))))</f>
        <v/>
      </c>
      <c r="Q179" s="34" t="str">
        <f aca="false">IF($P179="","",IF($N179&lt;&gt;"",$N179,$J179))</f>
        <v/>
      </c>
      <c r="R179" s="35" t="str">
        <f aca="false">IF(OR($P179="",$Q179=""),"",INDEX(BookRate,174)*$P179*(5-MATCH($Q179,{"Q1";"Q2";"Q3";"Q4"},0))/4+INDEX(BookOneOff,174)*$P179)</f>
        <v/>
      </c>
      <c r="S179" s="35" t="str">
        <f aca="false">IF($P179="","",INDEX(BookRate,174)*$P179)</f>
        <v/>
      </c>
      <c r="T179" s="35" t="str">
        <f aca="false">IF($R179="","",$R179-$K179)</f>
        <v/>
      </c>
      <c r="U179" s="35" t="str">
        <f aca="false">IF(N($P179)&lt;=0,"",COUNTIF($P$6:$P179,"&gt;0"))</f>
        <v/>
      </c>
    </row>
    <row r="180" customFormat="false" ht="15" hidden="false" customHeight="false" outlineLevel="0" collapsed="false">
      <c r="A180" s="40" t="str">
        <f aca="false">IF(INDEX(BookTitle,175)="","",INDEX(BookGroup,175))</f>
        <v/>
      </c>
      <c r="B180" s="40" t="str">
        <f aca="false">IF(INDEX(BookTitle,175)="","",INDEX(BookRef,175))</f>
        <v/>
      </c>
      <c r="C180" s="40" t="str">
        <f aca="false">IF(INDEX(BookTitle,175)="","",INDEX(BookDivision,175))</f>
        <v/>
      </c>
      <c r="D180" s="40" t="str">
        <f aca="false">IF(INDEX(BookTitle,175)="","",INDEX(BookUnit,175))</f>
        <v/>
      </c>
      <c r="E180" s="40" t="str">
        <f aca="false">IF(INDEX(BookTitle,175)="","",INDEX(BookTitle,175))</f>
        <v/>
      </c>
      <c r="F180" s="40" t="str">
        <f aca="false">IF(INDEX(BookTitle,175)="","",INDEX(BookLevel,175))</f>
        <v/>
      </c>
      <c r="G180" s="40" t="str">
        <f aca="false">IF(INDEX(BookTitle,175)="","",INDEX(BookCategory,175))</f>
        <v/>
      </c>
      <c r="H180" s="40" t="str">
        <f aca="false">IF(INDEX(BookTitle,175)="","",INDEX(BookRank,175))</f>
        <v/>
      </c>
      <c r="I180" s="41" t="str">
        <f aca="false">IF(INDEX(BookTitle,175)="","",INDEX(BookTotal,175))</f>
        <v/>
      </c>
      <c r="J180" s="0" t="str">
        <f aca="false">IF($I180="","",IF(INDEX(BookQ1,175)&gt;0,"Q1",IF(INDEX(BookQ2,175)&gt;0,"Q2",IF(INDEX(BookQ3,175)&gt;0,"Q3",IF(INDEX(BookQ4,175)&gt;0,"Q4","")))))</f>
        <v/>
      </c>
      <c r="K180" s="42" t="str">
        <f aca="false">IF(INDEX(BookTitle,175)="","",INDEX(BookInYear,175))</f>
        <v/>
      </c>
      <c r="L180" s="19"/>
      <c r="M180" s="39"/>
      <c r="N180" s="19"/>
      <c r="O180" s="19"/>
      <c r="P180" s="43" t="str">
        <f aca="false">IF($E180="","",IF($L180="Decline",0,IF($L180="Approve fewer",IF($M180="","",$M180),IF($L180="","",$I180))))</f>
        <v/>
      </c>
      <c r="Q180" s="34" t="str">
        <f aca="false">IF($P180="","",IF($N180&lt;&gt;"",$N180,$J180))</f>
        <v/>
      </c>
      <c r="R180" s="35" t="str">
        <f aca="false">IF(OR($P180="",$Q180=""),"",INDEX(BookRate,175)*$P180*(5-MATCH($Q180,{"Q1";"Q2";"Q3";"Q4"},0))/4+INDEX(BookOneOff,175)*$P180)</f>
        <v/>
      </c>
      <c r="S180" s="35" t="str">
        <f aca="false">IF($P180="","",INDEX(BookRate,175)*$P180)</f>
        <v/>
      </c>
      <c r="T180" s="35" t="str">
        <f aca="false">IF($R180="","",$R180-$K180)</f>
        <v/>
      </c>
      <c r="U180" s="35" t="str">
        <f aca="false">IF(N($P180)&lt;=0,"",COUNTIF($P$6:$P180,"&gt;0"))</f>
        <v/>
      </c>
    </row>
    <row r="181" customFormat="false" ht="15" hidden="false" customHeight="false" outlineLevel="0" collapsed="false">
      <c r="A181" s="40" t="str">
        <f aca="false">IF(INDEX(BookTitle,176)="","",INDEX(BookGroup,176))</f>
        <v/>
      </c>
      <c r="B181" s="40" t="str">
        <f aca="false">IF(INDEX(BookTitle,176)="","",INDEX(BookRef,176))</f>
        <v/>
      </c>
      <c r="C181" s="40" t="str">
        <f aca="false">IF(INDEX(BookTitle,176)="","",INDEX(BookDivision,176))</f>
        <v/>
      </c>
      <c r="D181" s="40" t="str">
        <f aca="false">IF(INDEX(BookTitle,176)="","",INDEX(BookUnit,176))</f>
        <v/>
      </c>
      <c r="E181" s="40" t="str">
        <f aca="false">IF(INDEX(BookTitle,176)="","",INDEX(BookTitle,176))</f>
        <v/>
      </c>
      <c r="F181" s="40" t="str">
        <f aca="false">IF(INDEX(BookTitle,176)="","",INDEX(BookLevel,176))</f>
        <v/>
      </c>
      <c r="G181" s="40" t="str">
        <f aca="false">IF(INDEX(BookTitle,176)="","",INDEX(BookCategory,176))</f>
        <v/>
      </c>
      <c r="H181" s="40" t="str">
        <f aca="false">IF(INDEX(BookTitle,176)="","",INDEX(BookRank,176))</f>
        <v/>
      </c>
      <c r="I181" s="41" t="str">
        <f aca="false">IF(INDEX(BookTitle,176)="","",INDEX(BookTotal,176))</f>
        <v/>
      </c>
      <c r="J181" s="0" t="str">
        <f aca="false">IF($I181="","",IF(INDEX(BookQ1,176)&gt;0,"Q1",IF(INDEX(BookQ2,176)&gt;0,"Q2",IF(INDEX(BookQ3,176)&gt;0,"Q3",IF(INDEX(BookQ4,176)&gt;0,"Q4","")))))</f>
        <v/>
      </c>
      <c r="K181" s="42" t="str">
        <f aca="false">IF(INDEX(BookTitle,176)="","",INDEX(BookInYear,176))</f>
        <v/>
      </c>
      <c r="L181" s="19"/>
      <c r="M181" s="39"/>
      <c r="N181" s="19"/>
      <c r="O181" s="19"/>
      <c r="P181" s="43" t="str">
        <f aca="false">IF($E181="","",IF($L181="Decline",0,IF($L181="Approve fewer",IF($M181="","",$M181),IF($L181="","",$I181))))</f>
        <v/>
      </c>
      <c r="Q181" s="34" t="str">
        <f aca="false">IF($P181="","",IF($N181&lt;&gt;"",$N181,$J181))</f>
        <v/>
      </c>
      <c r="R181" s="35" t="str">
        <f aca="false">IF(OR($P181="",$Q181=""),"",INDEX(BookRate,176)*$P181*(5-MATCH($Q181,{"Q1";"Q2";"Q3";"Q4"},0))/4+INDEX(BookOneOff,176)*$P181)</f>
        <v/>
      </c>
      <c r="S181" s="35" t="str">
        <f aca="false">IF($P181="","",INDEX(BookRate,176)*$P181)</f>
        <v/>
      </c>
      <c r="T181" s="35" t="str">
        <f aca="false">IF($R181="","",$R181-$K181)</f>
        <v/>
      </c>
      <c r="U181" s="35" t="str">
        <f aca="false">IF(N($P181)&lt;=0,"",COUNTIF($P$6:$P181,"&gt;0"))</f>
        <v/>
      </c>
    </row>
    <row r="182" customFormat="false" ht="15" hidden="false" customHeight="false" outlineLevel="0" collapsed="false">
      <c r="A182" s="40" t="str">
        <f aca="false">IF(INDEX(BookTitle,177)="","",INDEX(BookGroup,177))</f>
        <v/>
      </c>
      <c r="B182" s="40" t="str">
        <f aca="false">IF(INDEX(BookTitle,177)="","",INDEX(BookRef,177))</f>
        <v/>
      </c>
      <c r="C182" s="40" t="str">
        <f aca="false">IF(INDEX(BookTitle,177)="","",INDEX(BookDivision,177))</f>
        <v/>
      </c>
      <c r="D182" s="40" t="str">
        <f aca="false">IF(INDEX(BookTitle,177)="","",INDEX(BookUnit,177))</f>
        <v/>
      </c>
      <c r="E182" s="40" t="str">
        <f aca="false">IF(INDEX(BookTitle,177)="","",INDEX(BookTitle,177))</f>
        <v/>
      </c>
      <c r="F182" s="40" t="str">
        <f aca="false">IF(INDEX(BookTitle,177)="","",INDEX(BookLevel,177))</f>
        <v/>
      </c>
      <c r="G182" s="40" t="str">
        <f aca="false">IF(INDEX(BookTitle,177)="","",INDEX(BookCategory,177))</f>
        <v/>
      </c>
      <c r="H182" s="40" t="str">
        <f aca="false">IF(INDEX(BookTitle,177)="","",INDEX(BookRank,177))</f>
        <v/>
      </c>
      <c r="I182" s="41" t="str">
        <f aca="false">IF(INDEX(BookTitle,177)="","",INDEX(BookTotal,177))</f>
        <v/>
      </c>
      <c r="J182" s="0" t="str">
        <f aca="false">IF($I182="","",IF(INDEX(BookQ1,177)&gt;0,"Q1",IF(INDEX(BookQ2,177)&gt;0,"Q2",IF(INDEX(BookQ3,177)&gt;0,"Q3",IF(INDEX(BookQ4,177)&gt;0,"Q4","")))))</f>
        <v/>
      </c>
      <c r="K182" s="42" t="str">
        <f aca="false">IF(INDEX(BookTitle,177)="","",INDEX(BookInYear,177))</f>
        <v/>
      </c>
      <c r="L182" s="19"/>
      <c r="M182" s="39"/>
      <c r="N182" s="19"/>
      <c r="O182" s="19"/>
      <c r="P182" s="43" t="str">
        <f aca="false">IF($E182="","",IF($L182="Decline",0,IF($L182="Approve fewer",IF($M182="","",$M182),IF($L182="","",$I182))))</f>
        <v/>
      </c>
      <c r="Q182" s="34" t="str">
        <f aca="false">IF($P182="","",IF($N182&lt;&gt;"",$N182,$J182))</f>
        <v/>
      </c>
      <c r="R182" s="35" t="str">
        <f aca="false">IF(OR($P182="",$Q182=""),"",INDEX(BookRate,177)*$P182*(5-MATCH($Q182,{"Q1";"Q2";"Q3";"Q4"},0))/4+INDEX(BookOneOff,177)*$P182)</f>
        <v/>
      </c>
      <c r="S182" s="35" t="str">
        <f aca="false">IF($P182="","",INDEX(BookRate,177)*$P182)</f>
        <v/>
      </c>
      <c r="T182" s="35" t="str">
        <f aca="false">IF($R182="","",$R182-$K182)</f>
        <v/>
      </c>
      <c r="U182" s="35" t="str">
        <f aca="false">IF(N($P182)&lt;=0,"",COUNTIF($P$6:$P182,"&gt;0"))</f>
        <v/>
      </c>
    </row>
    <row r="183" customFormat="false" ht="15" hidden="false" customHeight="false" outlineLevel="0" collapsed="false">
      <c r="A183" s="40" t="str">
        <f aca="false">IF(INDEX(BookTitle,178)="","",INDEX(BookGroup,178))</f>
        <v/>
      </c>
      <c r="B183" s="40" t="str">
        <f aca="false">IF(INDEX(BookTitle,178)="","",INDEX(BookRef,178))</f>
        <v/>
      </c>
      <c r="C183" s="40" t="str">
        <f aca="false">IF(INDEX(BookTitle,178)="","",INDEX(BookDivision,178))</f>
        <v/>
      </c>
      <c r="D183" s="40" t="str">
        <f aca="false">IF(INDEX(BookTitle,178)="","",INDEX(BookUnit,178))</f>
        <v/>
      </c>
      <c r="E183" s="40" t="str">
        <f aca="false">IF(INDEX(BookTitle,178)="","",INDEX(BookTitle,178))</f>
        <v/>
      </c>
      <c r="F183" s="40" t="str">
        <f aca="false">IF(INDEX(BookTitle,178)="","",INDEX(BookLevel,178))</f>
        <v/>
      </c>
      <c r="G183" s="40" t="str">
        <f aca="false">IF(INDEX(BookTitle,178)="","",INDEX(BookCategory,178))</f>
        <v/>
      </c>
      <c r="H183" s="40" t="str">
        <f aca="false">IF(INDEX(BookTitle,178)="","",INDEX(BookRank,178))</f>
        <v/>
      </c>
      <c r="I183" s="41" t="str">
        <f aca="false">IF(INDEX(BookTitle,178)="","",INDEX(BookTotal,178))</f>
        <v/>
      </c>
      <c r="J183" s="0" t="str">
        <f aca="false">IF($I183="","",IF(INDEX(BookQ1,178)&gt;0,"Q1",IF(INDEX(BookQ2,178)&gt;0,"Q2",IF(INDEX(BookQ3,178)&gt;0,"Q3",IF(INDEX(BookQ4,178)&gt;0,"Q4","")))))</f>
        <v/>
      </c>
      <c r="K183" s="42" t="str">
        <f aca="false">IF(INDEX(BookTitle,178)="","",INDEX(BookInYear,178))</f>
        <v/>
      </c>
      <c r="L183" s="19"/>
      <c r="M183" s="39"/>
      <c r="N183" s="19"/>
      <c r="O183" s="19"/>
      <c r="P183" s="43" t="str">
        <f aca="false">IF($E183="","",IF($L183="Decline",0,IF($L183="Approve fewer",IF($M183="","",$M183),IF($L183="","",$I183))))</f>
        <v/>
      </c>
      <c r="Q183" s="34" t="str">
        <f aca="false">IF($P183="","",IF($N183&lt;&gt;"",$N183,$J183))</f>
        <v/>
      </c>
      <c r="R183" s="35" t="str">
        <f aca="false">IF(OR($P183="",$Q183=""),"",INDEX(BookRate,178)*$P183*(5-MATCH($Q183,{"Q1";"Q2";"Q3";"Q4"},0))/4+INDEX(BookOneOff,178)*$P183)</f>
        <v/>
      </c>
      <c r="S183" s="35" t="str">
        <f aca="false">IF($P183="","",INDEX(BookRate,178)*$P183)</f>
        <v/>
      </c>
      <c r="T183" s="35" t="str">
        <f aca="false">IF($R183="","",$R183-$K183)</f>
        <v/>
      </c>
      <c r="U183" s="35" t="str">
        <f aca="false">IF(N($P183)&lt;=0,"",COUNTIF($P$6:$P183,"&gt;0"))</f>
        <v/>
      </c>
    </row>
    <row r="184" customFormat="false" ht="15" hidden="false" customHeight="false" outlineLevel="0" collapsed="false">
      <c r="A184" s="40" t="str">
        <f aca="false">IF(INDEX(BookTitle,179)="","",INDEX(BookGroup,179))</f>
        <v/>
      </c>
      <c r="B184" s="40" t="str">
        <f aca="false">IF(INDEX(BookTitle,179)="","",INDEX(BookRef,179))</f>
        <v/>
      </c>
      <c r="C184" s="40" t="str">
        <f aca="false">IF(INDEX(BookTitle,179)="","",INDEX(BookDivision,179))</f>
        <v/>
      </c>
      <c r="D184" s="40" t="str">
        <f aca="false">IF(INDEX(BookTitle,179)="","",INDEX(BookUnit,179))</f>
        <v/>
      </c>
      <c r="E184" s="40" t="str">
        <f aca="false">IF(INDEX(BookTitle,179)="","",INDEX(BookTitle,179))</f>
        <v/>
      </c>
      <c r="F184" s="40" t="str">
        <f aca="false">IF(INDEX(BookTitle,179)="","",INDEX(BookLevel,179))</f>
        <v/>
      </c>
      <c r="G184" s="40" t="str">
        <f aca="false">IF(INDEX(BookTitle,179)="","",INDEX(BookCategory,179))</f>
        <v/>
      </c>
      <c r="H184" s="40" t="str">
        <f aca="false">IF(INDEX(BookTitle,179)="","",INDEX(BookRank,179))</f>
        <v/>
      </c>
      <c r="I184" s="41" t="str">
        <f aca="false">IF(INDEX(BookTitle,179)="","",INDEX(BookTotal,179))</f>
        <v/>
      </c>
      <c r="J184" s="0" t="str">
        <f aca="false">IF($I184="","",IF(INDEX(BookQ1,179)&gt;0,"Q1",IF(INDEX(BookQ2,179)&gt;0,"Q2",IF(INDEX(BookQ3,179)&gt;0,"Q3",IF(INDEX(BookQ4,179)&gt;0,"Q4","")))))</f>
        <v/>
      </c>
      <c r="K184" s="42" t="str">
        <f aca="false">IF(INDEX(BookTitle,179)="","",INDEX(BookInYear,179))</f>
        <v/>
      </c>
      <c r="L184" s="19"/>
      <c r="M184" s="39"/>
      <c r="N184" s="19"/>
      <c r="O184" s="19"/>
      <c r="P184" s="43" t="str">
        <f aca="false">IF($E184="","",IF($L184="Decline",0,IF($L184="Approve fewer",IF($M184="","",$M184),IF($L184="","",$I184))))</f>
        <v/>
      </c>
      <c r="Q184" s="34" t="str">
        <f aca="false">IF($P184="","",IF($N184&lt;&gt;"",$N184,$J184))</f>
        <v/>
      </c>
      <c r="R184" s="35" t="str">
        <f aca="false">IF(OR($P184="",$Q184=""),"",INDEX(BookRate,179)*$P184*(5-MATCH($Q184,{"Q1";"Q2";"Q3";"Q4"},0))/4+INDEX(BookOneOff,179)*$P184)</f>
        <v/>
      </c>
      <c r="S184" s="35" t="str">
        <f aca="false">IF($P184="","",INDEX(BookRate,179)*$P184)</f>
        <v/>
      </c>
      <c r="T184" s="35" t="str">
        <f aca="false">IF($R184="","",$R184-$K184)</f>
        <v/>
      </c>
      <c r="U184" s="35" t="str">
        <f aca="false">IF(N($P184)&lt;=0,"",COUNTIF($P$6:$P184,"&gt;0"))</f>
        <v/>
      </c>
    </row>
    <row r="185" customFormat="false" ht="15" hidden="false" customHeight="false" outlineLevel="0" collapsed="false">
      <c r="A185" s="40" t="str">
        <f aca="false">IF(INDEX(BookTitle,180)="","",INDEX(BookGroup,180))</f>
        <v/>
      </c>
      <c r="B185" s="40" t="str">
        <f aca="false">IF(INDEX(BookTitle,180)="","",INDEX(BookRef,180))</f>
        <v/>
      </c>
      <c r="C185" s="40" t="str">
        <f aca="false">IF(INDEX(BookTitle,180)="","",INDEX(BookDivision,180))</f>
        <v/>
      </c>
      <c r="D185" s="40" t="str">
        <f aca="false">IF(INDEX(BookTitle,180)="","",INDEX(BookUnit,180))</f>
        <v/>
      </c>
      <c r="E185" s="40" t="str">
        <f aca="false">IF(INDEX(BookTitle,180)="","",INDEX(BookTitle,180))</f>
        <v/>
      </c>
      <c r="F185" s="40" t="str">
        <f aca="false">IF(INDEX(BookTitle,180)="","",INDEX(BookLevel,180))</f>
        <v/>
      </c>
      <c r="G185" s="40" t="str">
        <f aca="false">IF(INDEX(BookTitle,180)="","",INDEX(BookCategory,180))</f>
        <v/>
      </c>
      <c r="H185" s="40" t="str">
        <f aca="false">IF(INDEX(BookTitle,180)="","",INDEX(BookRank,180))</f>
        <v/>
      </c>
      <c r="I185" s="41" t="str">
        <f aca="false">IF(INDEX(BookTitle,180)="","",INDEX(BookTotal,180))</f>
        <v/>
      </c>
      <c r="J185" s="0" t="str">
        <f aca="false">IF($I185="","",IF(INDEX(BookQ1,180)&gt;0,"Q1",IF(INDEX(BookQ2,180)&gt;0,"Q2",IF(INDEX(BookQ3,180)&gt;0,"Q3",IF(INDEX(BookQ4,180)&gt;0,"Q4","")))))</f>
        <v/>
      </c>
      <c r="K185" s="42" t="str">
        <f aca="false">IF(INDEX(BookTitle,180)="","",INDEX(BookInYear,180))</f>
        <v/>
      </c>
      <c r="L185" s="19"/>
      <c r="M185" s="39"/>
      <c r="N185" s="19"/>
      <c r="O185" s="19"/>
      <c r="P185" s="43" t="str">
        <f aca="false">IF($E185="","",IF($L185="Decline",0,IF($L185="Approve fewer",IF($M185="","",$M185),IF($L185="","",$I185))))</f>
        <v/>
      </c>
      <c r="Q185" s="34" t="str">
        <f aca="false">IF($P185="","",IF($N185&lt;&gt;"",$N185,$J185))</f>
        <v/>
      </c>
      <c r="R185" s="35" t="str">
        <f aca="false">IF(OR($P185="",$Q185=""),"",INDEX(BookRate,180)*$P185*(5-MATCH($Q185,{"Q1";"Q2";"Q3";"Q4"},0))/4+INDEX(BookOneOff,180)*$P185)</f>
        <v/>
      </c>
      <c r="S185" s="35" t="str">
        <f aca="false">IF($P185="","",INDEX(BookRate,180)*$P185)</f>
        <v/>
      </c>
      <c r="T185" s="35" t="str">
        <f aca="false">IF($R185="","",$R185-$K185)</f>
        <v/>
      </c>
      <c r="U185" s="35" t="str">
        <f aca="false">IF(N($P185)&lt;=0,"",COUNTIF($P$6:$P185,"&gt;0"))</f>
        <v/>
      </c>
    </row>
    <row r="186" customFormat="false" ht="15" hidden="false" customHeight="false" outlineLevel="0" collapsed="false">
      <c r="A186" s="40" t="str">
        <f aca="false">IF(INDEX(BookTitle,181)="","",INDEX(BookGroup,181))</f>
        <v/>
      </c>
      <c r="B186" s="40" t="str">
        <f aca="false">IF(INDEX(BookTitle,181)="","",INDEX(BookRef,181))</f>
        <v/>
      </c>
      <c r="C186" s="40" t="str">
        <f aca="false">IF(INDEX(BookTitle,181)="","",INDEX(BookDivision,181))</f>
        <v/>
      </c>
      <c r="D186" s="40" t="str">
        <f aca="false">IF(INDEX(BookTitle,181)="","",INDEX(BookUnit,181))</f>
        <v/>
      </c>
      <c r="E186" s="40" t="str">
        <f aca="false">IF(INDEX(BookTitle,181)="","",INDEX(BookTitle,181))</f>
        <v/>
      </c>
      <c r="F186" s="40" t="str">
        <f aca="false">IF(INDEX(BookTitle,181)="","",INDEX(BookLevel,181))</f>
        <v/>
      </c>
      <c r="G186" s="40" t="str">
        <f aca="false">IF(INDEX(BookTitle,181)="","",INDEX(BookCategory,181))</f>
        <v/>
      </c>
      <c r="H186" s="40" t="str">
        <f aca="false">IF(INDEX(BookTitle,181)="","",INDEX(BookRank,181))</f>
        <v/>
      </c>
      <c r="I186" s="41" t="str">
        <f aca="false">IF(INDEX(BookTitle,181)="","",INDEX(BookTotal,181))</f>
        <v/>
      </c>
      <c r="J186" s="0" t="str">
        <f aca="false">IF($I186="","",IF(INDEX(BookQ1,181)&gt;0,"Q1",IF(INDEX(BookQ2,181)&gt;0,"Q2",IF(INDEX(BookQ3,181)&gt;0,"Q3",IF(INDEX(BookQ4,181)&gt;0,"Q4","")))))</f>
        <v/>
      </c>
      <c r="K186" s="42" t="str">
        <f aca="false">IF(INDEX(BookTitle,181)="","",INDEX(BookInYear,181))</f>
        <v/>
      </c>
      <c r="L186" s="19"/>
      <c r="M186" s="39"/>
      <c r="N186" s="19"/>
      <c r="O186" s="19"/>
      <c r="P186" s="43" t="str">
        <f aca="false">IF($E186="","",IF($L186="Decline",0,IF($L186="Approve fewer",IF($M186="","",$M186),IF($L186="","",$I186))))</f>
        <v/>
      </c>
      <c r="Q186" s="34" t="str">
        <f aca="false">IF($P186="","",IF($N186&lt;&gt;"",$N186,$J186))</f>
        <v/>
      </c>
      <c r="R186" s="35" t="str">
        <f aca="false">IF(OR($P186="",$Q186=""),"",INDEX(BookRate,181)*$P186*(5-MATCH($Q186,{"Q1";"Q2";"Q3";"Q4"},0))/4+INDEX(BookOneOff,181)*$P186)</f>
        <v/>
      </c>
      <c r="S186" s="35" t="str">
        <f aca="false">IF($P186="","",INDEX(BookRate,181)*$P186)</f>
        <v/>
      </c>
      <c r="T186" s="35" t="str">
        <f aca="false">IF($R186="","",$R186-$K186)</f>
        <v/>
      </c>
      <c r="U186" s="35" t="str">
        <f aca="false">IF(N($P186)&lt;=0,"",COUNTIF($P$6:$P186,"&gt;0"))</f>
        <v/>
      </c>
    </row>
    <row r="187" customFormat="false" ht="15" hidden="false" customHeight="false" outlineLevel="0" collapsed="false">
      <c r="A187" s="40" t="str">
        <f aca="false">IF(INDEX(BookTitle,182)="","",INDEX(BookGroup,182))</f>
        <v/>
      </c>
      <c r="B187" s="40" t="str">
        <f aca="false">IF(INDEX(BookTitle,182)="","",INDEX(BookRef,182))</f>
        <v/>
      </c>
      <c r="C187" s="40" t="str">
        <f aca="false">IF(INDEX(BookTitle,182)="","",INDEX(BookDivision,182))</f>
        <v/>
      </c>
      <c r="D187" s="40" t="str">
        <f aca="false">IF(INDEX(BookTitle,182)="","",INDEX(BookUnit,182))</f>
        <v/>
      </c>
      <c r="E187" s="40" t="str">
        <f aca="false">IF(INDEX(BookTitle,182)="","",INDEX(BookTitle,182))</f>
        <v/>
      </c>
      <c r="F187" s="40" t="str">
        <f aca="false">IF(INDEX(BookTitle,182)="","",INDEX(BookLevel,182))</f>
        <v/>
      </c>
      <c r="G187" s="40" t="str">
        <f aca="false">IF(INDEX(BookTitle,182)="","",INDEX(BookCategory,182))</f>
        <v/>
      </c>
      <c r="H187" s="40" t="str">
        <f aca="false">IF(INDEX(BookTitle,182)="","",INDEX(BookRank,182))</f>
        <v/>
      </c>
      <c r="I187" s="41" t="str">
        <f aca="false">IF(INDEX(BookTitle,182)="","",INDEX(BookTotal,182))</f>
        <v/>
      </c>
      <c r="J187" s="0" t="str">
        <f aca="false">IF($I187="","",IF(INDEX(BookQ1,182)&gt;0,"Q1",IF(INDEX(BookQ2,182)&gt;0,"Q2",IF(INDEX(BookQ3,182)&gt;0,"Q3",IF(INDEX(BookQ4,182)&gt;0,"Q4","")))))</f>
        <v/>
      </c>
      <c r="K187" s="42" t="str">
        <f aca="false">IF(INDEX(BookTitle,182)="","",INDEX(BookInYear,182))</f>
        <v/>
      </c>
      <c r="L187" s="19"/>
      <c r="M187" s="39"/>
      <c r="N187" s="19"/>
      <c r="O187" s="19"/>
      <c r="P187" s="43" t="str">
        <f aca="false">IF($E187="","",IF($L187="Decline",0,IF($L187="Approve fewer",IF($M187="","",$M187),IF($L187="","",$I187))))</f>
        <v/>
      </c>
      <c r="Q187" s="34" t="str">
        <f aca="false">IF($P187="","",IF($N187&lt;&gt;"",$N187,$J187))</f>
        <v/>
      </c>
      <c r="R187" s="35" t="str">
        <f aca="false">IF(OR($P187="",$Q187=""),"",INDEX(BookRate,182)*$P187*(5-MATCH($Q187,{"Q1";"Q2";"Q3";"Q4"},0))/4+INDEX(BookOneOff,182)*$P187)</f>
        <v/>
      </c>
      <c r="S187" s="35" t="str">
        <f aca="false">IF($P187="","",INDEX(BookRate,182)*$P187)</f>
        <v/>
      </c>
      <c r="T187" s="35" t="str">
        <f aca="false">IF($R187="","",$R187-$K187)</f>
        <v/>
      </c>
      <c r="U187" s="35" t="str">
        <f aca="false">IF(N($P187)&lt;=0,"",COUNTIF($P$6:$P187,"&gt;0"))</f>
        <v/>
      </c>
    </row>
    <row r="188" customFormat="false" ht="15" hidden="false" customHeight="false" outlineLevel="0" collapsed="false">
      <c r="A188" s="40" t="str">
        <f aca="false">IF(INDEX(BookTitle,183)="","",INDEX(BookGroup,183))</f>
        <v/>
      </c>
      <c r="B188" s="40" t="str">
        <f aca="false">IF(INDEX(BookTitle,183)="","",INDEX(BookRef,183))</f>
        <v/>
      </c>
      <c r="C188" s="40" t="str">
        <f aca="false">IF(INDEX(BookTitle,183)="","",INDEX(BookDivision,183))</f>
        <v/>
      </c>
      <c r="D188" s="40" t="str">
        <f aca="false">IF(INDEX(BookTitle,183)="","",INDEX(BookUnit,183))</f>
        <v/>
      </c>
      <c r="E188" s="40" t="str">
        <f aca="false">IF(INDEX(BookTitle,183)="","",INDEX(BookTitle,183))</f>
        <v/>
      </c>
      <c r="F188" s="40" t="str">
        <f aca="false">IF(INDEX(BookTitle,183)="","",INDEX(BookLevel,183))</f>
        <v/>
      </c>
      <c r="G188" s="40" t="str">
        <f aca="false">IF(INDEX(BookTitle,183)="","",INDEX(BookCategory,183))</f>
        <v/>
      </c>
      <c r="H188" s="40" t="str">
        <f aca="false">IF(INDEX(BookTitle,183)="","",INDEX(BookRank,183))</f>
        <v/>
      </c>
      <c r="I188" s="41" t="str">
        <f aca="false">IF(INDEX(BookTitle,183)="","",INDEX(BookTotal,183))</f>
        <v/>
      </c>
      <c r="J188" s="0" t="str">
        <f aca="false">IF($I188="","",IF(INDEX(BookQ1,183)&gt;0,"Q1",IF(INDEX(BookQ2,183)&gt;0,"Q2",IF(INDEX(BookQ3,183)&gt;0,"Q3",IF(INDEX(BookQ4,183)&gt;0,"Q4","")))))</f>
        <v/>
      </c>
      <c r="K188" s="42" t="str">
        <f aca="false">IF(INDEX(BookTitle,183)="","",INDEX(BookInYear,183))</f>
        <v/>
      </c>
      <c r="L188" s="19"/>
      <c r="M188" s="39"/>
      <c r="N188" s="19"/>
      <c r="O188" s="19"/>
      <c r="P188" s="43" t="str">
        <f aca="false">IF($E188="","",IF($L188="Decline",0,IF($L188="Approve fewer",IF($M188="","",$M188),IF($L188="","",$I188))))</f>
        <v/>
      </c>
      <c r="Q188" s="34" t="str">
        <f aca="false">IF($P188="","",IF($N188&lt;&gt;"",$N188,$J188))</f>
        <v/>
      </c>
      <c r="R188" s="35" t="str">
        <f aca="false">IF(OR($P188="",$Q188=""),"",INDEX(BookRate,183)*$P188*(5-MATCH($Q188,{"Q1";"Q2";"Q3";"Q4"},0))/4+INDEX(BookOneOff,183)*$P188)</f>
        <v/>
      </c>
      <c r="S188" s="35" t="str">
        <f aca="false">IF($P188="","",INDEX(BookRate,183)*$P188)</f>
        <v/>
      </c>
      <c r="T188" s="35" t="str">
        <f aca="false">IF($R188="","",$R188-$K188)</f>
        <v/>
      </c>
      <c r="U188" s="35" t="str">
        <f aca="false">IF(N($P188)&lt;=0,"",COUNTIF($P$6:$P188,"&gt;0"))</f>
        <v/>
      </c>
    </row>
    <row r="189" customFormat="false" ht="15" hidden="false" customHeight="false" outlineLevel="0" collapsed="false">
      <c r="A189" s="40" t="str">
        <f aca="false">IF(INDEX(BookTitle,184)="","",INDEX(BookGroup,184))</f>
        <v/>
      </c>
      <c r="B189" s="40" t="str">
        <f aca="false">IF(INDEX(BookTitle,184)="","",INDEX(BookRef,184))</f>
        <v/>
      </c>
      <c r="C189" s="40" t="str">
        <f aca="false">IF(INDEX(BookTitle,184)="","",INDEX(BookDivision,184))</f>
        <v/>
      </c>
      <c r="D189" s="40" t="str">
        <f aca="false">IF(INDEX(BookTitle,184)="","",INDEX(BookUnit,184))</f>
        <v/>
      </c>
      <c r="E189" s="40" t="str">
        <f aca="false">IF(INDEX(BookTitle,184)="","",INDEX(BookTitle,184))</f>
        <v/>
      </c>
      <c r="F189" s="40" t="str">
        <f aca="false">IF(INDEX(BookTitle,184)="","",INDEX(BookLevel,184))</f>
        <v/>
      </c>
      <c r="G189" s="40" t="str">
        <f aca="false">IF(INDEX(BookTitle,184)="","",INDEX(BookCategory,184))</f>
        <v/>
      </c>
      <c r="H189" s="40" t="str">
        <f aca="false">IF(INDEX(BookTitle,184)="","",INDEX(BookRank,184))</f>
        <v/>
      </c>
      <c r="I189" s="41" t="str">
        <f aca="false">IF(INDEX(BookTitle,184)="","",INDEX(BookTotal,184))</f>
        <v/>
      </c>
      <c r="J189" s="0" t="str">
        <f aca="false">IF($I189="","",IF(INDEX(BookQ1,184)&gt;0,"Q1",IF(INDEX(BookQ2,184)&gt;0,"Q2",IF(INDEX(BookQ3,184)&gt;0,"Q3",IF(INDEX(BookQ4,184)&gt;0,"Q4","")))))</f>
        <v/>
      </c>
      <c r="K189" s="42" t="str">
        <f aca="false">IF(INDEX(BookTitle,184)="","",INDEX(BookInYear,184))</f>
        <v/>
      </c>
      <c r="L189" s="19"/>
      <c r="M189" s="39"/>
      <c r="N189" s="19"/>
      <c r="O189" s="19"/>
      <c r="P189" s="43" t="str">
        <f aca="false">IF($E189="","",IF($L189="Decline",0,IF($L189="Approve fewer",IF($M189="","",$M189),IF($L189="","",$I189))))</f>
        <v/>
      </c>
      <c r="Q189" s="34" t="str">
        <f aca="false">IF($P189="","",IF($N189&lt;&gt;"",$N189,$J189))</f>
        <v/>
      </c>
      <c r="R189" s="35" t="str">
        <f aca="false">IF(OR($P189="",$Q189=""),"",INDEX(BookRate,184)*$P189*(5-MATCH($Q189,{"Q1";"Q2";"Q3";"Q4"},0))/4+INDEX(BookOneOff,184)*$P189)</f>
        <v/>
      </c>
      <c r="S189" s="35" t="str">
        <f aca="false">IF($P189="","",INDEX(BookRate,184)*$P189)</f>
        <v/>
      </c>
      <c r="T189" s="35" t="str">
        <f aca="false">IF($R189="","",$R189-$K189)</f>
        <v/>
      </c>
      <c r="U189" s="35" t="str">
        <f aca="false">IF(N($P189)&lt;=0,"",COUNTIF($P$6:$P189,"&gt;0"))</f>
        <v/>
      </c>
    </row>
    <row r="190" customFormat="false" ht="15" hidden="false" customHeight="false" outlineLevel="0" collapsed="false">
      <c r="A190" s="40" t="str">
        <f aca="false">IF(INDEX(BookTitle,185)="","",INDEX(BookGroup,185))</f>
        <v/>
      </c>
      <c r="B190" s="40" t="str">
        <f aca="false">IF(INDEX(BookTitle,185)="","",INDEX(BookRef,185))</f>
        <v/>
      </c>
      <c r="C190" s="40" t="str">
        <f aca="false">IF(INDEX(BookTitle,185)="","",INDEX(BookDivision,185))</f>
        <v/>
      </c>
      <c r="D190" s="40" t="str">
        <f aca="false">IF(INDEX(BookTitle,185)="","",INDEX(BookUnit,185))</f>
        <v/>
      </c>
      <c r="E190" s="40" t="str">
        <f aca="false">IF(INDEX(BookTitle,185)="","",INDEX(BookTitle,185))</f>
        <v/>
      </c>
      <c r="F190" s="40" t="str">
        <f aca="false">IF(INDEX(BookTitle,185)="","",INDEX(BookLevel,185))</f>
        <v/>
      </c>
      <c r="G190" s="40" t="str">
        <f aca="false">IF(INDEX(BookTitle,185)="","",INDEX(BookCategory,185))</f>
        <v/>
      </c>
      <c r="H190" s="40" t="str">
        <f aca="false">IF(INDEX(BookTitle,185)="","",INDEX(BookRank,185))</f>
        <v/>
      </c>
      <c r="I190" s="41" t="str">
        <f aca="false">IF(INDEX(BookTitle,185)="","",INDEX(BookTotal,185))</f>
        <v/>
      </c>
      <c r="J190" s="0" t="str">
        <f aca="false">IF($I190="","",IF(INDEX(BookQ1,185)&gt;0,"Q1",IF(INDEX(BookQ2,185)&gt;0,"Q2",IF(INDEX(BookQ3,185)&gt;0,"Q3",IF(INDEX(BookQ4,185)&gt;0,"Q4","")))))</f>
        <v/>
      </c>
      <c r="K190" s="42" t="str">
        <f aca="false">IF(INDEX(BookTitle,185)="","",INDEX(BookInYear,185))</f>
        <v/>
      </c>
      <c r="L190" s="19"/>
      <c r="M190" s="39"/>
      <c r="N190" s="19"/>
      <c r="O190" s="19"/>
      <c r="P190" s="43" t="str">
        <f aca="false">IF($E190="","",IF($L190="Decline",0,IF($L190="Approve fewer",IF($M190="","",$M190),IF($L190="","",$I190))))</f>
        <v/>
      </c>
      <c r="Q190" s="34" t="str">
        <f aca="false">IF($P190="","",IF($N190&lt;&gt;"",$N190,$J190))</f>
        <v/>
      </c>
      <c r="R190" s="35" t="str">
        <f aca="false">IF(OR($P190="",$Q190=""),"",INDEX(BookRate,185)*$P190*(5-MATCH($Q190,{"Q1";"Q2";"Q3";"Q4"},0))/4+INDEX(BookOneOff,185)*$P190)</f>
        <v/>
      </c>
      <c r="S190" s="35" t="str">
        <f aca="false">IF($P190="","",INDEX(BookRate,185)*$P190)</f>
        <v/>
      </c>
      <c r="T190" s="35" t="str">
        <f aca="false">IF($R190="","",$R190-$K190)</f>
        <v/>
      </c>
      <c r="U190" s="35" t="str">
        <f aca="false">IF(N($P190)&lt;=0,"",COUNTIF($P$6:$P190,"&gt;0"))</f>
        <v/>
      </c>
    </row>
    <row r="191" customFormat="false" ht="15" hidden="false" customHeight="false" outlineLevel="0" collapsed="false">
      <c r="A191" s="40" t="str">
        <f aca="false">IF(INDEX(BookTitle,186)="","",INDEX(BookGroup,186))</f>
        <v/>
      </c>
      <c r="B191" s="40" t="str">
        <f aca="false">IF(INDEX(BookTitle,186)="","",INDEX(BookRef,186))</f>
        <v/>
      </c>
      <c r="C191" s="40" t="str">
        <f aca="false">IF(INDEX(BookTitle,186)="","",INDEX(BookDivision,186))</f>
        <v/>
      </c>
      <c r="D191" s="40" t="str">
        <f aca="false">IF(INDEX(BookTitle,186)="","",INDEX(BookUnit,186))</f>
        <v/>
      </c>
      <c r="E191" s="40" t="str">
        <f aca="false">IF(INDEX(BookTitle,186)="","",INDEX(BookTitle,186))</f>
        <v/>
      </c>
      <c r="F191" s="40" t="str">
        <f aca="false">IF(INDEX(BookTitle,186)="","",INDEX(BookLevel,186))</f>
        <v/>
      </c>
      <c r="G191" s="40" t="str">
        <f aca="false">IF(INDEX(BookTitle,186)="","",INDEX(BookCategory,186))</f>
        <v/>
      </c>
      <c r="H191" s="40" t="str">
        <f aca="false">IF(INDEX(BookTitle,186)="","",INDEX(BookRank,186))</f>
        <v/>
      </c>
      <c r="I191" s="41" t="str">
        <f aca="false">IF(INDEX(BookTitle,186)="","",INDEX(BookTotal,186))</f>
        <v/>
      </c>
      <c r="J191" s="0" t="str">
        <f aca="false">IF($I191="","",IF(INDEX(BookQ1,186)&gt;0,"Q1",IF(INDEX(BookQ2,186)&gt;0,"Q2",IF(INDEX(BookQ3,186)&gt;0,"Q3",IF(INDEX(BookQ4,186)&gt;0,"Q4","")))))</f>
        <v/>
      </c>
      <c r="K191" s="42" t="str">
        <f aca="false">IF(INDEX(BookTitle,186)="","",INDEX(BookInYear,186))</f>
        <v/>
      </c>
      <c r="L191" s="19"/>
      <c r="M191" s="39"/>
      <c r="N191" s="19"/>
      <c r="O191" s="19"/>
      <c r="P191" s="43" t="str">
        <f aca="false">IF($E191="","",IF($L191="Decline",0,IF($L191="Approve fewer",IF($M191="","",$M191),IF($L191="","",$I191))))</f>
        <v/>
      </c>
      <c r="Q191" s="34" t="str">
        <f aca="false">IF($P191="","",IF($N191&lt;&gt;"",$N191,$J191))</f>
        <v/>
      </c>
      <c r="R191" s="35" t="str">
        <f aca="false">IF(OR($P191="",$Q191=""),"",INDEX(BookRate,186)*$P191*(5-MATCH($Q191,{"Q1";"Q2";"Q3";"Q4"},0))/4+INDEX(BookOneOff,186)*$P191)</f>
        <v/>
      </c>
      <c r="S191" s="35" t="str">
        <f aca="false">IF($P191="","",INDEX(BookRate,186)*$P191)</f>
        <v/>
      </c>
      <c r="T191" s="35" t="str">
        <f aca="false">IF($R191="","",$R191-$K191)</f>
        <v/>
      </c>
      <c r="U191" s="35" t="str">
        <f aca="false">IF(N($P191)&lt;=0,"",COUNTIF($P$6:$P191,"&gt;0"))</f>
        <v/>
      </c>
    </row>
    <row r="192" customFormat="false" ht="15" hidden="false" customHeight="false" outlineLevel="0" collapsed="false">
      <c r="A192" s="40" t="str">
        <f aca="false">IF(INDEX(BookTitle,187)="","",INDEX(BookGroup,187))</f>
        <v/>
      </c>
      <c r="B192" s="40" t="str">
        <f aca="false">IF(INDEX(BookTitle,187)="","",INDEX(BookRef,187))</f>
        <v/>
      </c>
      <c r="C192" s="40" t="str">
        <f aca="false">IF(INDEX(BookTitle,187)="","",INDEX(BookDivision,187))</f>
        <v/>
      </c>
      <c r="D192" s="40" t="str">
        <f aca="false">IF(INDEX(BookTitle,187)="","",INDEX(BookUnit,187))</f>
        <v/>
      </c>
      <c r="E192" s="40" t="str">
        <f aca="false">IF(INDEX(BookTitle,187)="","",INDEX(BookTitle,187))</f>
        <v/>
      </c>
      <c r="F192" s="40" t="str">
        <f aca="false">IF(INDEX(BookTitle,187)="","",INDEX(BookLevel,187))</f>
        <v/>
      </c>
      <c r="G192" s="40" t="str">
        <f aca="false">IF(INDEX(BookTitle,187)="","",INDEX(BookCategory,187))</f>
        <v/>
      </c>
      <c r="H192" s="40" t="str">
        <f aca="false">IF(INDEX(BookTitle,187)="","",INDEX(BookRank,187))</f>
        <v/>
      </c>
      <c r="I192" s="41" t="str">
        <f aca="false">IF(INDEX(BookTitle,187)="","",INDEX(BookTotal,187))</f>
        <v/>
      </c>
      <c r="J192" s="0" t="str">
        <f aca="false">IF($I192="","",IF(INDEX(BookQ1,187)&gt;0,"Q1",IF(INDEX(BookQ2,187)&gt;0,"Q2",IF(INDEX(BookQ3,187)&gt;0,"Q3",IF(INDEX(BookQ4,187)&gt;0,"Q4","")))))</f>
        <v/>
      </c>
      <c r="K192" s="42" t="str">
        <f aca="false">IF(INDEX(BookTitle,187)="","",INDEX(BookInYear,187))</f>
        <v/>
      </c>
      <c r="L192" s="19"/>
      <c r="M192" s="39"/>
      <c r="N192" s="19"/>
      <c r="O192" s="19"/>
      <c r="P192" s="43" t="str">
        <f aca="false">IF($E192="","",IF($L192="Decline",0,IF($L192="Approve fewer",IF($M192="","",$M192),IF($L192="","",$I192))))</f>
        <v/>
      </c>
      <c r="Q192" s="34" t="str">
        <f aca="false">IF($P192="","",IF($N192&lt;&gt;"",$N192,$J192))</f>
        <v/>
      </c>
      <c r="R192" s="35" t="str">
        <f aca="false">IF(OR($P192="",$Q192=""),"",INDEX(BookRate,187)*$P192*(5-MATCH($Q192,{"Q1";"Q2";"Q3";"Q4"},0))/4+INDEX(BookOneOff,187)*$P192)</f>
        <v/>
      </c>
      <c r="S192" s="35" t="str">
        <f aca="false">IF($P192="","",INDEX(BookRate,187)*$P192)</f>
        <v/>
      </c>
      <c r="T192" s="35" t="str">
        <f aca="false">IF($R192="","",$R192-$K192)</f>
        <v/>
      </c>
      <c r="U192" s="35" t="str">
        <f aca="false">IF(N($P192)&lt;=0,"",COUNTIF($P$6:$P192,"&gt;0"))</f>
        <v/>
      </c>
    </row>
    <row r="193" customFormat="false" ht="15" hidden="false" customHeight="false" outlineLevel="0" collapsed="false">
      <c r="A193" s="40" t="str">
        <f aca="false">IF(INDEX(BookTitle,188)="","",INDEX(BookGroup,188))</f>
        <v/>
      </c>
      <c r="B193" s="40" t="str">
        <f aca="false">IF(INDEX(BookTitle,188)="","",INDEX(BookRef,188))</f>
        <v/>
      </c>
      <c r="C193" s="40" t="str">
        <f aca="false">IF(INDEX(BookTitle,188)="","",INDEX(BookDivision,188))</f>
        <v/>
      </c>
      <c r="D193" s="40" t="str">
        <f aca="false">IF(INDEX(BookTitle,188)="","",INDEX(BookUnit,188))</f>
        <v/>
      </c>
      <c r="E193" s="40" t="str">
        <f aca="false">IF(INDEX(BookTitle,188)="","",INDEX(BookTitle,188))</f>
        <v/>
      </c>
      <c r="F193" s="40" t="str">
        <f aca="false">IF(INDEX(BookTitle,188)="","",INDEX(BookLevel,188))</f>
        <v/>
      </c>
      <c r="G193" s="40" t="str">
        <f aca="false">IF(INDEX(BookTitle,188)="","",INDEX(BookCategory,188))</f>
        <v/>
      </c>
      <c r="H193" s="40" t="str">
        <f aca="false">IF(INDEX(BookTitle,188)="","",INDEX(BookRank,188))</f>
        <v/>
      </c>
      <c r="I193" s="41" t="str">
        <f aca="false">IF(INDEX(BookTitle,188)="","",INDEX(BookTotal,188))</f>
        <v/>
      </c>
      <c r="J193" s="0" t="str">
        <f aca="false">IF($I193="","",IF(INDEX(BookQ1,188)&gt;0,"Q1",IF(INDEX(BookQ2,188)&gt;0,"Q2",IF(INDEX(BookQ3,188)&gt;0,"Q3",IF(INDEX(BookQ4,188)&gt;0,"Q4","")))))</f>
        <v/>
      </c>
      <c r="K193" s="42" t="str">
        <f aca="false">IF(INDEX(BookTitle,188)="","",INDEX(BookInYear,188))</f>
        <v/>
      </c>
      <c r="L193" s="19"/>
      <c r="M193" s="39"/>
      <c r="N193" s="19"/>
      <c r="O193" s="19"/>
      <c r="P193" s="43" t="str">
        <f aca="false">IF($E193="","",IF($L193="Decline",0,IF($L193="Approve fewer",IF($M193="","",$M193),IF($L193="","",$I193))))</f>
        <v/>
      </c>
      <c r="Q193" s="34" t="str">
        <f aca="false">IF($P193="","",IF($N193&lt;&gt;"",$N193,$J193))</f>
        <v/>
      </c>
      <c r="R193" s="35" t="str">
        <f aca="false">IF(OR($P193="",$Q193=""),"",INDEX(BookRate,188)*$P193*(5-MATCH($Q193,{"Q1";"Q2";"Q3";"Q4"},0))/4+INDEX(BookOneOff,188)*$P193)</f>
        <v/>
      </c>
      <c r="S193" s="35" t="str">
        <f aca="false">IF($P193="","",INDEX(BookRate,188)*$P193)</f>
        <v/>
      </c>
      <c r="T193" s="35" t="str">
        <f aca="false">IF($R193="","",$R193-$K193)</f>
        <v/>
      </c>
      <c r="U193" s="35" t="str">
        <f aca="false">IF(N($P193)&lt;=0,"",COUNTIF($P$6:$P193,"&gt;0"))</f>
        <v/>
      </c>
    </row>
    <row r="194" customFormat="false" ht="15" hidden="false" customHeight="false" outlineLevel="0" collapsed="false">
      <c r="A194" s="40" t="str">
        <f aca="false">IF(INDEX(BookTitle,189)="","",INDEX(BookGroup,189))</f>
        <v/>
      </c>
      <c r="B194" s="40" t="str">
        <f aca="false">IF(INDEX(BookTitle,189)="","",INDEX(BookRef,189))</f>
        <v/>
      </c>
      <c r="C194" s="40" t="str">
        <f aca="false">IF(INDEX(BookTitle,189)="","",INDEX(BookDivision,189))</f>
        <v/>
      </c>
      <c r="D194" s="40" t="str">
        <f aca="false">IF(INDEX(BookTitle,189)="","",INDEX(BookUnit,189))</f>
        <v/>
      </c>
      <c r="E194" s="40" t="str">
        <f aca="false">IF(INDEX(BookTitle,189)="","",INDEX(BookTitle,189))</f>
        <v/>
      </c>
      <c r="F194" s="40" t="str">
        <f aca="false">IF(INDEX(BookTitle,189)="","",INDEX(BookLevel,189))</f>
        <v/>
      </c>
      <c r="G194" s="40" t="str">
        <f aca="false">IF(INDEX(BookTitle,189)="","",INDEX(BookCategory,189))</f>
        <v/>
      </c>
      <c r="H194" s="40" t="str">
        <f aca="false">IF(INDEX(BookTitle,189)="","",INDEX(BookRank,189))</f>
        <v/>
      </c>
      <c r="I194" s="41" t="str">
        <f aca="false">IF(INDEX(BookTitle,189)="","",INDEX(BookTotal,189))</f>
        <v/>
      </c>
      <c r="J194" s="0" t="str">
        <f aca="false">IF($I194="","",IF(INDEX(BookQ1,189)&gt;0,"Q1",IF(INDEX(BookQ2,189)&gt;0,"Q2",IF(INDEX(BookQ3,189)&gt;0,"Q3",IF(INDEX(BookQ4,189)&gt;0,"Q4","")))))</f>
        <v/>
      </c>
      <c r="K194" s="42" t="str">
        <f aca="false">IF(INDEX(BookTitle,189)="","",INDEX(BookInYear,189))</f>
        <v/>
      </c>
      <c r="L194" s="19"/>
      <c r="M194" s="39"/>
      <c r="N194" s="19"/>
      <c r="O194" s="19"/>
      <c r="P194" s="43" t="str">
        <f aca="false">IF($E194="","",IF($L194="Decline",0,IF($L194="Approve fewer",IF($M194="","",$M194),IF($L194="","",$I194))))</f>
        <v/>
      </c>
      <c r="Q194" s="34" t="str">
        <f aca="false">IF($P194="","",IF($N194&lt;&gt;"",$N194,$J194))</f>
        <v/>
      </c>
      <c r="R194" s="35" t="str">
        <f aca="false">IF(OR($P194="",$Q194=""),"",INDEX(BookRate,189)*$P194*(5-MATCH($Q194,{"Q1";"Q2";"Q3";"Q4"},0))/4+INDEX(BookOneOff,189)*$P194)</f>
        <v/>
      </c>
      <c r="S194" s="35" t="str">
        <f aca="false">IF($P194="","",INDEX(BookRate,189)*$P194)</f>
        <v/>
      </c>
      <c r="T194" s="35" t="str">
        <f aca="false">IF($R194="","",$R194-$K194)</f>
        <v/>
      </c>
      <c r="U194" s="35" t="str">
        <f aca="false">IF(N($P194)&lt;=0,"",COUNTIF($P$6:$P194,"&gt;0"))</f>
        <v/>
      </c>
    </row>
    <row r="195" customFormat="false" ht="15" hidden="false" customHeight="false" outlineLevel="0" collapsed="false">
      <c r="A195" s="40" t="str">
        <f aca="false">IF(INDEX(BookTitle,190)="","",INDEX(BookGroup,190))</f>
        <v/>
      </c>
      <c r="B195" s="40" t="str">
        <f aca="false">IF(INDEX(BookTitle,190)="","",INDEX(BookRef,190))</f>
        <v/>
      </c>
      <c r="C195" s="40" t="str">
        <f aca="false">IF(INDEX(BookTitle,190)="","",INDEX(BookDivision,190))</f>
        <v/>
      </c>
      <c r="D195" s="40" t="str">
        <f aca="false">IF(INDEX(BookTitle,190)="","",INDEX(BookUnit,190))</f>
        <v/>
      </c>
      <c r="E195" s="40" t="str">
        <f aca="false">IF(INDEX(BookTitle,190)="","",INDEX(BookTitle,190))</f>
        <v/>
      </c>
      <c r="F195" s="40" t="str">
        <f aca="false">IF(INDEX(BookTitle,190)="","",INDEX(BookLevel,190))</f>
        <v/>
      </c>
      <c r="G195" s="40" t="str">
        <f aca="false">IF(INDEX(BookTitle,190)="","",INDEX(BookCategory,190))</f>
        <v/>
      </c>
      <c r="H195" s="40" t="str">
        <f aca="false">IF(INDEX(BookTitle,190)="","",INDEX(BookRank,190))</f>
        <v/>
      </c>
      <c r="I195" s="41" t="str">
        <f aca="false">IF(INDEX(BookTitle,190)="","",INDEX(BookTotal,190))</f>
        <v/>
      </c>
      <c r="J195" s="0" t="str">
        <f aca="false">IF($I195="","",IF(INDEX(BookQ1,190)&gt;0,"Q1",IF(INDEX(BookQ2,190)&gt;0,"Q2",IF(INDEX(BookQ3,190)&gt;0,"Q3",IF(INDEX(BookQ4,190)&gt;0,"Q4","")))))</f>
        <v/>
      </c>
      <c r="K195" s="42" t="str">
        <f aca="false">IF(INDEX(BookTitle,190)="","",INDEX(BookInYear,190))</f>
        <v/>
      </c>
      <c r="L195" s="19"/>
      <c r="M195" s="39"/>
      <c r="N195" s="19"/>
      <c r="O195" s="19"/>
      <c r="P195" s="43" t="str">
        <f aca="false">IF($E195="","",IF($L195="Decline",0,IF($L195="Approve fewer",IF($M195="","",$M195),IF($L195="","",$I195))))</f>
        <v/>
      </c>
      <c r="Q195" s="34" t="str">
        <f aca="false">IF($P195="","",IF($N195&lt;&gt;"",$N195,$J195))</f>
        <v/>
      </c>
      <c r="R195" s="35" t="str">
        <f aca="false">IF(OR($P195="",$Q195=""),"",INDEX(BookRate,190)*$P195*(5-MATCH($Q195,{"Q1";"Q2";"Q3";"Q4"},0))/4+INDEX(BookOneOff,190)*$P195)</f>
        <v/>
      </c>
      <c r="S195" s="35" t="str">
        <f aca="false">IF($P195="","",INDEX(BookRate,190)*$P195)</f>
        <v/>
      </c>
      <c r="T195" s="35" t="str">
        <f aca="false">IF($R195="","",$R195-$K195)</f>
        <v/>
      </c>
      <c r="U195" s="35" t="str">
        <f aca="false">IF(N($P195)&lt;=0,"",COUNTIF($P$6:$P195,"&gt;0"))</f>
        <v/>
      </c>
    </row>
    <row r="196" customFormat="false" ht="15" hidden="false" customHeight="false" outlineLevel="0" collapsed="false">
      <c r="A196" s="40" t="str">
        <f aca="false">IF(INDEX(BookTitle,191)="","",INDEX(BookGroup,191))</f>
        <v/>
      </c>
      <c r="B196" s="40" t="str">
        <f aca="false">IF(INDEX(BookTitle,191)="","",INDEX(BookRef,191))</f>
        <v/>
      </c>
      <c r="C196" s="40" t="str">
        <f aca="false">IF(INDEX(BookTitle,191)="","",INDEX(BookDivision,191))</f>
        <v/>
      </c>
      <c r="D196" s="40" t="str">
        <f aca="false">IF(INDEX(BookTitle,191)="","",INDEX(BookUnit,191))</f>
        <v/>
      </c>
      <c r="E196" s="40" t="str">
        <f aca="false">IF(INDEX(BookTitle,191)="","",INDEX(BookTitle,191))</f>
        <v/>
      </c>
      <c r="F196" s="40" t="str">
        <f aca="false">IF(INDEX(BookTitle,191)="","",INDEX(BookLevel,191))</f>
        <v/>
      </c>
      <c r="G196" s="40" t="str">
        <f aca="false">IF(INDEX(BookTitle,191)="","",INDEX(BookCategory,191))</f>
        <v/>
      </c>
      <c r="H196" s="40" t="str">
        <f aca="false">IF(INDEX(BookTitle,191)="","",INDEX(BookRank,191))</f>
        <v/>
      </c>
      <c r="I196" s="41" t="str">
        <f aca="false">IF(INDEX(BookTitle,191)="","",INDEX(BookTotal,191))</f>
        <v/>
      </c>
      <c r="J196" s="0" t="str">
        <f aca="false">IF($I196="","",IF(INDEX(BookQ1,191)&gt;0,"Q1",IF(INDEX(BookQ2,191)&gt;0,"Q2",IF(INDEX(BookQ3,191)&gt;0,"Q3",IF(INDEX(BookQ4,191)&gt;0,"Q4","")))))</f>
        <v/>
      </c>
      <c r="K196" s="42" t="str">
        <f aca="false">IF(INDEX(BookTitle,191)="","",INDEX(BookInYear,191))</f>
        <v/>
      </c>
      <c r="L196" s="19"/>
      <c r="M196" s="39"/>
      <c r="N196" s="19"/>
      <c r="O196" s="19"/>
      <c r="P196" s="43" t="str">
        <f aca="false">IF($E196="","",IF($L196="Decline",0,IF($L196="Approve fewer",IF($M196="","",$M196),IF($L196="","",$I196))))</f>
        <v/>
      </c>
      <c r="Q196" s="34" t="str">
        <f aca="false">IF($P196="","",IF($N196&lt;&gt;"",$N196,$J196))</f>
        <v/>
      </c>
      <c r="R196" s="35" t="str">
        <f aca="false">IF(OR($P196="",$Q196=""),"",INDEX(BookRate,191)*$P196*(5-MATCH($Q196,{"Q1";"Q2";"Q3";"Q4"},0))/4+INDEX(BookOneOff,191)*$P196)</f>
        <v/>
      </c>
      <c r="S196" s="35" t="str">
        <f aca="false">IF($P196="","",INDEX(BookRate,191)*$P196)</f>
        <v/>
      </c>
      <c r="T196" s="35" t="str">
        <f aca="false">IF($R196="","",$R196-$K196)</f>
        <v/>
      </c>
      <c r="U196" s="35" t="str">
        <f aca="false">IF(N($P196)&lt;=0,"",COUNTIF($P$6:$P196,"&gt;0"))</f>
        <v/>
      </c>
    </row>
    <row r="197" customFormat="false" ht="15" hidden="false" customHeight="false" outlineLevel="0" collapsed="false">
      <c r="A197" s="40" t="str">
        <f aca="false">IF(INDEX(BookTitle,192)="","",INDEX(BookGroup,192))</f>
        <v/>
      </c>
      <c r="B197" s="40" t="str">
        <f aca="false">IF(INDEX(BookTitle,192)="","",INDEX(BookRef,192))</f>
        <v/>
      </c>
      <c r="C197" s="40" t="str">
        <f aca="false">IF(INDEX(BookTitle,192)="","",INDEX(BookDivision,192))</f>
        <v/>
      </c>
      <c r="D197" s="40" t="str">
        <f aca="false">IF(INDEX(BookTitle,192)="","",INDEX(BookUnit,192))</f>
        <v/>
      </c>
      <c r="E197" s="40" t="str">
        <f aca="false">IF(INDEX(BookTitle,192)="","",INDEX(BookTitle,192))</f>
        <v/>
      </c>
      <c r="F197" s="40" t="str">
        <f aca="false">IF(INDEX(BookTitle,192)="","",INDEX(BookLevel,192))</f>
        <v/>
      </c>
      <c r="G197" s="40" t="str">
        <f aca="false">IF(INDEX(BookTitle,192)="","",INDEX(BookCategory,192))</f>
        <v/>
      </c>
      <c r="H197" s="40" t="str">
        <f aca="false">IF(INDEX(BookTitle,192)="","",INDEX(BookRank,192))</f>
        <v/>
      </c>
      <c r="I197" s="41" t="str">
        <f aca="false">IF(INDEX(BookTitle,192)="","",INDEX(BookTotal,192))</f>
        <v/>
      </c>
      <c r="J197" s="0" t="str">
        <f aca="false">IF($I197="","",IF(INDEX(BookQ1,192)&gt;0,"Q1",IF(INDEX(BookQ2,192)&gt;0,"Q2",IF(INDEX(BookQ3,192)&gt;0,"Q3",IF(INDEX(BookQ4,192)&gt;0,"Q4","")))))</f>
        <v/>
      </c>
      <c r="K197" s="42" t="str">
        <f aca="false">IF(INDEX(BookTitle,192)="","",INDEX(BookInYear,192))</f>
        <v/>
      </c>
      <c r="L197" s="19"/>
      <c r="M197" s="39"/>
      <c r="N197" s="19"/>
      <c r="O197" s="19"/>
      <c r="P197" s="43" t="str">
        <f aca="false">IF($E197="","",IF($L197="Decline",0,IF($L197="Approve fewer",IF($M197="","",$M197),IF($L197="","",$I197))))</f>
        <v/>
      </c>
      <c r="Q197" s="34" t="str">
        <f aca="false">IF($P197="","",IF($N197&lt;&gt;"",$N197,$J197))</f>
        <v/>
      </c>
      <c r="R197" s="35" t="str">
        <f aca="false">IF(OR($P197="",$Q197=""),"",INDEX(BookRate,192)*$P197*(5-MATCH($Q197,{"Q1";"Q2";"Q3";"Q4"},0))/4+INDEX(BookOneOff,192)*$P197)</f>
        <v/>
      </c>
      <c r="S197" s="35" t="str">
        <f aca="false">IF($P197="","",INDEX(BookRate,192)*$P197)</f>
        <v/>
      </c>
      <c r="T197" s="35" t="str">
        <f aca="false">IF($R197="","",$R197-$K197)</f>
        <v/>
      </c>
      <c r="U197" s="35" t="str">
        <f aca="false">IF(N($P197)&lt;=0,"",COUNTIF($P$6:$P197,"&gt;0"))</f>
        <v/>
      </c>
    </row>
    <row r="198" customFormat="false" ht="15" hidden="false" customHeight="false" outlineLevel="0" collapsed="false">
      <c r="A198" s="40" t="str">
        <f aca="false">IF(INDEX(BookTitle,193)="","",INDEX(BookGroup,193))</f>
        <v/>
      </c>
      <c r="B198" s="40" t="str">
        <f aca="false">IF(INDEX(BookTitle,193)="","",INDEX(BookRef,193))</f>
        <v/>
      </c>
      <c r="C198" s="40" t="str">
        <f aca="false">IF(INDEX(BookTitle,193)="","",INDEX(BookDivision,193))</f>
        <v/>
      </c>
      <c r="D198" s="40" t="str">
        <f aca="false">IF(INDEX(BookTitle,193)="","",INDEX(BookUnit,193))</f>
        <v/>
      </c>
      <c r="E198" s="40" t="str">
        <f aca="false">IF(INDEX(BookTitle,193)="","",INDEX(BookTitle,193))</f>
        <v/>
      </c>
      <c r="F198" s="40" t="str">
        <f aca="false">IF(INDEX(BookTitle,193)="","",INDEX(BookLevel,193))</f>
        <v/>
      </c>
      <c r="G198" s="40" t="str">
        <f aca="false">IF(INDEX(BookTitle,193)="","",INDEX(BookCategory,193))</f>
        <v/>
      </c>
      <c r="H198" s="40" t="str">
        <f aca="false">IF(INDEX(BookTitle,193)="","",INDEX(BookRank,193))</f>
        <v/>
      </c>
      <c r="I198" s="41" t="str">
        <f aca="false">IF(INDEX(BookTitle,193)="","",INDEX(BookTotal,193))</f>
        <v/>
      </c>
      <c r="J198" s="0" t="str">
        <f aca="false">IF($I198="","",IF(INDEX(BookQ1,193)&gt;0,"Q1",IF(INDEX(BookQ2,193)&gt;0,"Q2",IF(INDEX(BookQ3,193)&gt;0,"Q3",IF(INDEX(BookQ4,193)&gt;0,"Q4","")))))</f>
        <v/>
      </c>
      <c r="K198" s="42" t="str">
        <f aca="false">IF(INDEX(BookTitle,193)="","",INDEX(BookInYear,193))</f>
        <v/>
      </c>
      <c r="L198" s="19"/>
      <c r="M198" s="39"/>
      <c r="N198" s="19"/>
      <c r="O198" s="19"/>
      <c r="P198" s="43" t="str">
        <f aca="false">IF($E198="","",IF($L198="Decline",0,IF($L198="Approve fewer",IF($M198="","",$M198),IF($L198="","",$I198))))</f>
        <v/>
      </c>
      <c r="Q198" s="34" t="str">
        <f aca="false">IF($P198="","",IF($N198&lt;&gt;"",$N198,$J198))</f>
        <v/>
      </c>
      <c r="R198" s="35" t="str">
        <f aca="false">IF(OR($P198="",$Q198=""),"",INDEX(BookRate,193)*$P198*(5-MATCH($Q198,{"Q1";"Q2";"Q3";"Q4"},0))/4+INDEX(BookOneOff,193)*$P198)</f>
        <v/>
      </c>
      <c r="S198" s="35" t="str">
        <f aca="false">IF($P198="","",INDEX(BookRate,193)*$P198)</f>
        <v/>
      </c>
      <c r="T198" s="35" t="str">
        <f aca="false">IF($R198="","",$R198-$K198)</f>
        <v/>
      </c>
      <c r="U198" s="35" t="str">
        <f aca="false">IF(N($P198)&lt;=0,"",COUNTIF($P$6:$P198,"&gt;0"))</f>
        <v/>
      </c>
    </row>
    <row r="199" customFormat="false" ht="15" hidden="false" customHeight="false" outlineLevel="0" collapsed="false">
      <c r="A199" s="40" t="str">
        <f aca="false">IF(INDEX(BookTitle,194)="","",INDEX(BookGroup,194))</f>
        <v/>
      </c>
      <c r="B199" s="40" t="str">
        <f aca="false">IF(INDEX(BookTitle,194)="","",INDEX(BookRef,194))</f>
        <v/>
      </c>
      <c r="C199" s="40" t="str">
        <f aca="false">IF(INDEX(BookTitle,194)="","",INDEX(BookDivision,194))</f>
        <v/>
      </c>
      <c r="D199" s="40" t="str">
        <f aca="false">IF(INDEX(BookTitle,194)="","",INDEX(BookUnit,194))</f>
        <v/>
      </c>
      <c r="E199" s="40" t="str">
        <f aca="false">IF(INDEX(BookTitle,194)="","",INDEX(BookTitle,194))</f>
        <v/>
      </c>
      <c r="F199" s="40" t="str">
        <f aca="false">IF(INDEX(BookTitle,194)="","",INDEX(BookLevel,194))</f>
        <v/>
      </c>
      <c r="G199" s="40" t="str">
        <f aca="false">IF(INDEX(BookTitle,194)="","",INDEX(BookCategory,194))</f>
        <v/>
      </c>
      <c r="H199" s="40" t="str">
        <f aca="false">IF(INDEX(BookTitle,194)="","",INDEX(BookRank,194))</f>
        <v/>
      </c>
      <c r="I199" s="41" t="str">
        <f aca="false">IF(INDEX(BookTitle,194)="","",INDEX(BookTotal,194))</f>
        <v/>
      </c>
      <c r="J199" s="0" t="str">
        <f aca="false">IF($I199="","",IF(INDEX(BookQ1,194)&gt;0,"Q1",IF(INDEX(BookQ2,194)&gt;0,"Q2",IF(INDEX(BookQ3,194)&gt;0,"Q3",IF(INDEX(BookQ4,194)&gt;0,"Q4","")))))</f>
        <v/>
      </c>
      <c r="K199" s="42" t="str">
        <f aca="false">IF(INDEX(BookTitle,194)="","",INDEX(BookInYear,194))</f>
        <v/>
      </c>
      <c r="L199" s="19"/>
      <c r="M199" s="39"/>
      <c r="N199" s="19"/>
      <c r="O199" s="19"/>
      <c r="P199" s="43" t="str">
        <f aca="false">IF($E199="","",IF($L199="Decline",0,IF($L199="Approve fewer",IF($M199="","",$M199),IF($L199="","",$I199))))</f>
        <v/>
      </c>
      <c r="Q199" s="34" t="str">
        <f aca="false">IF($P199="","",IF($N199&lt;&gt;"",$N199,$J199))</f>
        <v/>
      </c>
      <c r="R199" s="35" t="str">
        <f aca="false">IF(OR($P199="",$Q199=""),"",INDEX(BookRate,194)*$P199*(5-MATCH($Q199,{"Q1";"Q2";"Q3";"Q4"},0))/4+INDEX(BookOneOff,194)*$P199)</f>
        <v/>
      </c>
      <c r="S199" s="35" t="str">
        <f aca="false">IF($P199="","",INDEX(BookRate,194)*$P199)</f>
        <v/>
      </c>
      <c r="T199" s="35" t="str">
        <f aca="false">IF($R199="","",$R199-$K199)</f>
        <v/>
      </c>
      <c r="U199" s="35" t="str">
        <f aca="false">IF(N($P199)&lt;=0,"",COUNTIF($P$6:$P199,"&gt;0"))</f>
        <v/>
      </c>
    </row>
    <row r="200" customFormat="false" ht="15" hidden="false" customHeight="false" outlineLevel="0" collapsed="false">
      <c r="A200" s="40" t="str">
        <f aca="false">IF(INDEX(BookTitle,195)="","",INDEX(BookGroup,195))</f>
        <v/>
      </c>
      <c r="B200" s="40" t="str">
        <f aca="false">IF(INDEX(BookTitle,195)="","",INDEX(BookRef,195))</f>
        <v/>
      </c>
      <c r="C200" s="40" t="str">
        <f aca="false">IF(INDEX(BookTitle,195)="","",INDEX(BookDivision,195))</f>
        <v/>
      </c>
      <c r="D200" s="40" t="str">
        <f aca="false">IF(INDEX(BookTitle,195)="","",INDEX(BookUnit,195))</f>
        <v/>
      </c>
      <c r="E200" s="40" t="str">
        <f aca="false">IF(INDEX(BookTitle,195)="","",INDEX(BookTitle,195))</f>
        <v/>
      </c>
      <c r="F200" s="40" t="str">
        <f aca="false">IF(INDEX(BookTitle,195)="","",INDEX(BookLevel,195))</f>
        <v/>
      </c>
      <c r="G200" s="40" t="str">
        <f aca="false">IF(INDEX(BookTitle,195)="","",INDEX(BookCategory,195))</f>
        <v/>
      </c>
      <c r="H200" s="40" t="str">
        <f aca="false">IF(INDEX(BookTitle,195)="","",INDEX(BookRank,195))</f>
        <v/>
      </c>
      <c r="I200" s="41" t="str">
        <f aca="false">IF(INDEX(BookTitle,195)="","",INDEX(BookTotal,195))</f>
        <v/>
      </c>
      <c r="J200" s="0" t="str">
        <f aca="false">IF($I200="","",IF(INDEX(BookQ1,195)&gt;0,"Q1",IF(INDEX(BookQ2,195)&gt;0,"Q2",IF(INDEX(BookQ3,195)&gt;0,"Q3",IF(INDEX(BookQ4,195)&gt;0,"Q4","")))))</f>
        <v/>
      </c>
      <c r="K200" s="42" t="str">
        <f aca="false">IF(INDEX(BookTitle,195)="","",INDEX(BookInYear,195))</f>
        <v/>
      </c>
      <c r="L200" s="19"/>
      <c r="M200" s="39"/>
      <c r="N200" s="19"/>
      <c r="O200" s="19"/>
      <c r="P200" s="43" t="str">
        <f aca="false">IF($E200="","",IF($L200="Decline",0,IF($L200="Approve fewer",IF($M200="","",$M200),IF($L200="","",$I200))))</f>
        <v/>
      </c>
      <c r="Q200" s="34" t="str">
        <f aca="false">IF($P200="","",IF($N200&lt;&gt;"",$N200,$J200))</f>
        <v/>
      </c>
      <c r="R200" s="35" t="str">
        <f aca="false">IF(OR($P200="",$Q200=""),"",INDEX(BookRate,195)*$P200*(5-MATCH($Q200,{"Q1";"Q2";"Q3";"Q4"},0))/4+INDEX(BookOneOff,195)*$P200)</f>
        <v/>
      </c>
      <c r="S200" s="35" t="str">
        <f aca="false">IF($P200="","",INDEX(BookRate,195)*$P200)</f>
        <v/>
      </c>
      <c r="T200" s="35" t="str">
        <f aca="false">IF($R200="","",$R200-$K200)</f>
        <v/>
      </c>
      <c r="U200" s="35" t="str">
        <f aca="false">IF(N($P200)&lt;=0,"",COUNTIF($P$6:$P200,"&gt;0"))</f>
        <v/>
      </c>
    </row>
    <row r="201" customFormat="false" ht="15" hidden="false" customHeight="false" outlineLevel="0" collapsed="false">
      <c r="A201" s="40" t="str">
        <f aca="false">IF(INDEX(BookTitle,196)="","",INDEX(BookGroup,196))</f>
        <v/>
      </c>
      <c r="B201" s="40" t="str">
        <f aca="false">IF(INDEX(BookTitle,196)="","",INDEX(BookRef,196))</f>
        <v/>
      </c>
      <c r="C201" s="40" t="str">
        <f aca="false">IF(INDEX(BookTitle,196)="","",INDEX(BookDivision,196))</f>
        <v/>
      </c>
      <c r="D201" s="40" t="str">
        <f aca="false">IF(INDEX(BookTitle,196)="","",INDEX(BookUnit,196))</f>
        <v/>
      </c>
      <c r="E201" s="40" t="str">
        <f aca="false">IF(INDEX(BookTitle,196)="","",INDEX(BookTitle,196))</f>
        <v/>
      </c>
      <c r="F201" s="40" t="str">
        <f aca="false">IF(INDEX(BookTitle,196)="","",INDEX(BookLevel,196))</f>
        <v/>
      </c>
      <c r="G201" s="40" t="str">
        <f aca="false">IF(INDEX(BookTitle,196)="","",INDEX(BookCategory,196))</f>
        <v/>
      </c>
      <c r="H201" s="40" t="str">
        <f aca="false">IF(INDEX(BookTitle,196)="","",INDEX(BookRank,196))</f>
        <v/>
      </c>
      <c r="I201" s="41" t="str">
        <f aca="false">IF(INDEX(BookTitle,196)="","",INDEX(BookTotal,196))</f>
        <v/>
      </c>
      <c r="J201" s="0" t="str">
        <f aca="false">IF($I201="","",IF(INDEX(BookQ1,196)&gt;0,"Q1",IF(INDEX(BookQ2,196)&gt;0,"Q2",IF(INDEX(BookQ3,196)&gt;0,"Q3",IF(INDEX(BookQ4,196)&gt;0,"Q4","")))))</f>
        <v/>
      </c>
      <c r="K201" s="42" t="str">
        <f aca="false">IF(INDEX(BookTitle,196)="","",INDEX(BookInYear,196))</f>
        <v/>
      </c>
      <c r="L201" s="19"/>
      <c r="M201" s="39"/>
      <c r="N201" s="19"/>
      <c r="O201" s="19"/>
      <c r="P201" s="43" t="str">
        <f aca="false">IF($E201="","",IF($L201="Decline",0,IF($L201="Approve fewer",IF($M201="","",$M201),IF($L201="","",$I201))))</f>
        <v/>
      </c>
      <c r="Q201" s="34" t="str">
        <f aca="false">IF($P201="","",IF($N201&lt;&gt;"",$N201,$J201))</f>
        <v/>
      </c>
      <c r="R201" s="35" t="str">
        <f aca="false">IF(OR($P201="",$Q201=""),"",INDEX(BookRate,196)*$P201*(5-MATCH($Q201,{"Q1";"Q2";"Q3";"Q4"},0))/4+INDEX(BookOneOff,196)*$P201)</f>
        <v/>
      </c>
      <c r="S201" s="35" t="str">
        <f aca="false">IF($P201="","",INDEX(BookRate,196)*$P201)</f>
        <v/>
      </c>
      <c r="T201" s="35" t="str">
        <f aca="false">IF($R201="","",$R201-$K201)</f>
        <v/>
      </c>
      <c r="U201" s="35" t="str">
        <f aca="false">IF(N($P201)&lt;=0,"",COUNTIF($P$6:$P201,"&gt;0"))</f>
        <v/>
      </c>
    </row>
    <row r="202" customFormat="false" ht="15" hidden="false" customHeight="false" outlineLevel="0" collapsed="false">
      <c r="A202" s="40" t="str">
        <f aca="false">IF(INDEX(BookTitle,197)="","",INDEX(BookGroup,197))</f>
        <v/>
      </c>
      <c r="B202" s="40" t="str">
        <f aca="false">IF(INDEX(BookTitle,197)="","",INDEX(BookRef,197))</f>
        <v/>
      </c>
      <c r="C202" s="40" t="str">
        <f aca="false">IF(INDEX(BookTitle,197)="","",INDEX(BookDivision,197))</f>
        <v/>
      </c>
      <c r="D202" s="40" t="str">
        <f aca="false">IF(INDEX(BookTitle,197)="","",INDEX(BookUnit,197))</f>
        <v/>
      </c>
      <c r="E202" s="40" t="str">
        <f aca="false">IF(INDEX(BookTitle,197)="","",INDEX(BookTitle,197))</f>
        <v/>
      </c>
      <c r="F202" s="40" t="str">
        <f aca="false">IF(INDEX(BookTitle,197)="","",INDEX(BookLevel,197))</f>
        <v/>
      </c>
      <c r="G202" s="40" t="str">
        <f aca="false">IF(INDEX(BookTitle,197)="","",INDEX(BookCategory,197))</f>
        <v/>
      </c>
      <c r="H202" s="40" t="str">
        <f aca="false">IF(INDEX(BookTitle,197)="","",INDEX(BookRank,197))</f>
        <v/>
      </c>
      <c r="I202" s="41" t="str">
        <f aca="false">IF(INDEX(BookTitle,197)="","",INDEX(BookTotal,197))</f>
        <v/>
      </c>
      <c r="J202" s="0" t="str">
        <f aca="false">IF($I202="","",IF(INDEX(BookQ1,197)&gt;0,"Q1",IF(INDEX(BookQ2,197)&gt;0,"Q2",IF(INDEX(BookQ3,197)&gt;0,"Q3",IF(INDEX(BookQ4,197)&gt;0,"Q4","")))))</f>
        <v/>
      </c>
      <c r="K202" s="42" t="str">
        <f aca="false">IF(INDEX(BookTitle,197)="","",INDEX(BookInYear,197))</f>
        <v/>
      </c>
      <c r="L202" s="19"/>
      <c r="M202" s="39"/>
      <c r="N202" s="19"/>
      <c r="O202" s="19"/>
      <c r="P202" s="43" t="str">
        <f aca="false">IF($E202="","",IF($L202="Decline",0,IF($L202="Approve fewer",IF($M202="","",$M202),IF($L202="","",$I202))))</f>
        <v/>
      </c>
      <c r="Q202" s="34" t="str">
        <f aca="false">IF($P202="","",IF($N202&lt;&gt;"",$N202,$J202))</f>
        <v/>
      </c>
      <c r="R202" s="35" t="str">
        <f aca="false">IF(OR($P202="",$Q202=""),"",INDEX(BookRate,197)*$P202*(5-MATCH($Q202,{"Q1";"Q2";"Q3";"Q4"},0))/4+INDEX(BookOneOff,197)*$P202)</f>
        <v/>
      </c>
      <c r="S202" s="35" t="str">
        <f aca="false">IF($P202="","",INDEX(BookRate,197)*$P202)</f>
        <v/>
      </c>
      <c r="T202" s="35" t="str">
        <f aca="false">IF($R202="","",$R202-$K202)</f>
        <v/>
      </c>
      <c r="U202" s="35" t="str">
        <f aca="false">IF(N($P202)&lt;=0,"",COUNTIF($P$6:$P202,"&gt;0"))</f>
        <v/>
      </c>
    </row>
    <row r="203" customFormat="false" ht="15" hidden="false" customHeight="false" outlineLevel="0" collapsed="false">
      <c r="A203" s="40" t="str">
        <f aca="false">IF(INDEX(BookTitle,198)="","",INDEX(BookGroup,198))</f>
        <v/>
      </c>
      <c r="B203" s="40" t="str">
        <f aca="false">IF(INDEX(BookTitle,198)="","",INDEX(BookRef,198))</f>
        <v/>
      </c>
      <c r="C203" s="40" t="str">
        <f aca="false">IF(INDEX(BookTitle,198)="","",INDEX(BookDivision,198))</f>
        <v/>
      </c>
      <c r="D203" s="40" t="str">
        <f aca="false">IF(INDEX(BookTitle,198)="","",INDEX(BookUnit,198))</f>
        <v/>
      </c>
      <c r="E203" s="40" t="str">
        <f aca="false">IF(INDEX(BookTitle,198)="","",INDEX(BookTitle,198))</f>
        <v/>
      </c>
      <c r="F203" s="40" t="str">
        <f aca="false">IF(INDEX(BookTitle,198)="","",INDEX(BookLevel,198))</f>
        <v/>
      </c>
      <c r="G203" s="40" t="str">
        <f aca="false">IF(INDEX(BookTitle,198)="","",INDEX(BookCategory,198))</f>
        <v/>
      </c>
      <c r="H203" s="40" t="str">
        <f aca="false">IF(INDEX(BookTitle,198)="","",INDEX(BookRank,198))</f>
        <v/>
      </c>
      <c r="I203" s="41" t="str">
        <f aca="false">IF(INDEX(BookTitle,198)="","",INDEX(BookTotal,198))</f>
        <v/>
      </c>
      <c r="J203" s="0" t="str">
        <f aca="false">IF($I203="","",IF(INDEX(BookQ1,198)&gt;0,"Q1",IF(INDEX(BookQ2,198)&gt;0,"Q2",IF(INDEX(BookQ3,198)&gt;0,"Q3",IF(INDEX(BookQ4,198)&gt;0,"Q4","")))))</f>
        <v/>
      </c>
      <c r="K203" s="42" t="str">
        <f aca="false">IF(INDEX(BookTitle,198)="","",INDEX(BookInYear,198))</f>
        <v/>
      </c>
      <c r="L203" s="19"/>
      <c r="M203" s="39"/>
      <c r="N203" s="19"/>
      <c r="O203" s="19"/>
      <c r="P203" s="43" t="str">
        <f aca="false">IF($E203="","",IF($L203="Decline",0,IF($L203="Approve fewer",IF($M203="","",$M203),IF($L203="","",$I203))))</f>
        <v/>
      </c>
      <c r="Q203" s="34" t="str">
        <f aca="false">IF($P203="","",IF($N203&lt;&gt;"",$N203,$J203))</f>
        <v/>
      </c>
      <c r="R203" s="35" t="str">
        <f aca="false">IF(OR($P203="",$Q203=""),"",INDEX(BookRate,198)*$P203*(5-MATCH($Q203,{"Q1";"Q2";"Q3";"Q4"},0))/4+INDEX(BookOneOff,198)*$P203)</f>
        <v/>
      </c>
      <c r="S203" s="35" t="str">
        <f aca="false">IF($P203="","",INDEX(BookRate,198)*$P203)</f>
        <v/>
      </c>
      <c r="T203" s="35" t="str">
        <f aca="false">IF($R203="","",$R203-$K203)</f>
        <v/>
      </c>
      <c r="U203" s="35" t="str">
        <f aca="false">IF(N($P203)&lt;=0,"",COUNTIF($P$6:$P203,"&gt;0"))</f>
        <v/>
      </c>
    </row>
    <row r="204" customFormat="false" ht="15" hidden="false" customHeight="false" outlineLevel="0" collapsed="false">
      <c r="A204" s="40" t="str">
        <f aca="false">IF(INDEX(BookTitle,199)="","",INDEX(BookGroup,199))</f>
        <v/>
      </c>
      <c r="B204" s="40" t="str">
        <f aca="false">IF(INDEX(BookTitle,199)="","",INDEX(BookRef,199))</f>
        <v/>
      </c>
      <c r="C204" s="40" t="str">
        <f aca="false">IF(INDEX(BookTitle,199)="","",INDEX(BookDivision,199))</f>
        <v/>
      </c>
      <c r="D204" s="40" t="str">
        <f aca="false">IF(INDEX(BookTitle,199)="","",INDEX(BookUnit,199))</f>
        <v/>
      </c>
      <c r="E204" s="40" t="str">
        <f aca="false">IF(INDEX(BookTitle,199)="","",INDEX(BookTitle,199))</f>
        <v/>
      </c>
      <c r="F204" s="40" t="str">
        <f aca="false">IF(INDEX(BookTitle,199)="","",INDEX(BookLevel,199))</f>
        <v/>
      </c>
      <c r="G204" s="40" t="str">
        <f aca="false">IF(INDEX(BookTitle,199)="","",INDEX(BookCategory,199))</f>
        <v/>
      </c>
      <c r="H204" s="40" t="str">
        <f aca="false">IF(INDEX(BookTitle,199)="","",INDEX(BookRank,199))</f>
        <v/>
      </c>
      <c r="I204" s="41" t="str">
        <f aca="false">IF(INDEX(BookTitle,199)="","",INDEX(BookTotal,199))</f>
        <v/>
      </c>
      <c r="J204" s="0" t="str">
        <f aca="false">IF($I204="","",IF(INDEX(BookQ1,199)&gt;0,"Q1",IF(INDEX(BookQ2,199)&gt;0,"Q2",IF(INDEX(BookQ3,199)&gt;0,"Q3",IF(INDEX(BookQ4,199)&gt;0,"Q4","")))))</f>
        <v/>
      </c>
      <c r="K204" s="42" t="str">
        <f aca="false">IF(INDEX(BookTitle,199)="","",INDEX(BookInYear,199))</f>
        <v/>
      </c>
      <c r="L204" s="19"/>
      <c r="M204" s="39"/>
      <c r="N204" s="19"/>
      <c r="O204" s="19"/>
      <c r="P204" s="43" t="str">
        <f aca="false">IF($E204="","",IF($L204="Decline",0,IF($L204="Approve fewer",IF($M204="","",$M204),IF($L204="","",$I204))))</f>
        <v/>
      </c>
      <c r="Q204" s="34" t="str">
        <f aca="false">IF($P204="","",IF($N204&lt;&gt;"",$N204,$J204))</f>
        <v/>
      </c>
      <c r="R204" s="35" t="str">
        <f aca="false">IF(OR($P204="",$Q204=""),"",INDEX(BookRate,199)*$P204*(5-MATCH($Q204,{"Q1";"Q2";"Q3";"Q4"},0))/4+INDEX(BookOneOff,199)*$P204)</f>
        <v/>
      </c>
      <c r="S204" s="35" t="str">
        <f aca="false">IF($P204="","",INDEX(BookRate,199)*$P204)</f>
        <v/>
      </c>
      <c r="T204" s="35" t="str">
        <f aca="false">IF($R204="","",$R204-$K204)</f>
        <v/>
      </c>
      <c r="U204" s="35" t="str">
        <f aca="false">IF(N($P204)&lt;=0,"",COUNTIF($P$6:$P204,"&gt;0"))</f>
        <v/>
      </c>
    </row>
    <row r="205" customFormat="false" ht="15" hidden="false" customHeight="false" outlineLevel="0" collapsed="false">
      <c r="A205" s="40" t="str">
        <f aca="false">IF(INDEX(BookTitle,200)="","",INDEX(BookGroup,200))</f>
        <v/>
      </c>
      <c r="B205" s="40" t="str">
        <f aca="false">IF(INDEX(BookTitle,200)="","",INDEX(BookRef,200))</f>
        <v/>
      </c>
      <c r="C205" s="40" t="str">
        <f aca="false">IF(INDEX(BookTitle,200)="","",INDEX(BookDivision,200))</f>
        <v/>
      </c>
      <c r="D205" s="40" t="str">
        <f aca="false">IF(INDEX(BookTitle,200)="","",INDEX(BookUnit,200))</f>
        <v/>
      </c>
      <c r="E205" s="40" t="str">
        <f aca="false">IF(INDEX(BookTitle,200)="","",INDEX(BookTitle,200))</f>
        <v/>
      </c>
      <c r="F205" s="40" t="str">
        <f aca="false">IF(INDEX(BookTitle,200)="","",INDEX(BookLevel,200))</f>
        <v/>
      </c>
      <c r="G205" s="40" t="str">
        <f aca="false">IF(INDEX(BookTitle,200)="","",INDEX(BookCategory,200))</f>
        <v/>
      </c>
      <c r="H205" s="40" t="str">
        <f aca="false">IF(INDEX(BookTitle,200)="","",INDEX(BookRank,200))</f>
        <v/>
      </c>
      <c r="I205" s="41" t="str">
        <f aca="false">IF(INDEX(BookTitle,200)="","",INDEX(BookTotal,200))</f>
        <v/>
      </c>
      <c r="J205" s="0" t="str">
        <f aca="false">IF($I205="","",IF(INDEX(BookQ1,200)&gt;0,"Q1",IF(INDEX(BookQ2,200)&gt;0,"Q2",IF(INDEX(BookQ3,200)&gt;0,"Q3",IF(INDEX(BookQ4,200)&gt;0,"Q4","")))))</f>
        <v/>
      </c>
      <c r="K205" s="42" t="str">
        <f aca="false">IF(INDEX(BookTitle,200)="","",INDEX(BookInYear,200))</f>
        <v/>
      </c>
      <c r="L205" s="19"/>
      <c r="M205" s="39"/>
      <c r="N205" s="19"/>
      <c r="O205" s="19"/>
      <c r="P205" s="43" t="str">
        <f aca="false">IF($E205="","",IF($L205="Decline",0,IF($L205="Approve fewer",IF($M205="","",$M205),IF($L205="","",$I205))))</f>
        <v/>
      </c>
      <c r="Q205" s="34" t="str">
        <f aca="false">IF($P205="","",IF($N205&lt;&gt;"",$N205,$J205))</f>
        <v/>
      </c>
      <c r="R205" s="35" t="str">
        <f aca="false">IF(OR($P205="",$Q205=""),"",INDEX(BookRate,200)*$P205*(5-MATCH($Q205,{"Q1";"Q2";"Q3";"Q4"},0))/4+INDEX(BookOneOff,200)*$P205)</f>
        <v/>
      </c>
      <c r="S205" s="35" t="str">
        <f aca="false">IF($P205="","",INDEX(BookRate,200)*$P205)</f>
        <v/>
      </c>
      <c r="T205" s="35" t="str">
        <f aca="false">IF($R205="","",$R205-$K205)</f>
        <v/>
      </c>
      <c r="U205" s="35" t="str">
        <f aca="false">IF(N($P205)&lt;=0,"",COUNTIF($P$6:$P205,"&gt;0"))</f>
        <v/>
      </c>
    </row>
    <row r="206" customFormat="false" ht="15" hidden="false" customHeight="false" outlineLevel="0" collapsed="false">
      <c r="A206" s="40" t="str">
        <f aca="false">IF(INDEX(BookTitle,201)="","",INDEX(BookGroup,201))</f>
        <v/>
      </c>
      <c r="B206" s="40" t="str">
        <f aca="false">IF(INDEX(BookTitle,201)="","",INDEX(BookRef,201))</f>
        <v/>
      </c>
      <c r="C206" s="40" t="str">
        <f aca="false">IF(INDEX(BookTitle,201)="","",INDEX(BookDivision,201))</f>
        <v/>
      </c>
      <c r="D206" s="40" t="str">
        <f aca="false">IF(INDEX(BookTitle,201)="","",INDEX(BookUnit,201))</f>
        <v/>
      </c>
      <c r="E206" s="40" t="str">
        <f aca="false">IF(INDEX(BookTitle,201)="","",INDEX(BookTitle,201))</f>
        <v/>
      </c>
      <c r="F206" s="40" t="str">
        <f aca="false">IF(INDEX(BookTitle,201)="","",INDEX(BookLevel,201))</f>
        <v/>
      </c>
      <c r="G206" s="40" t="str">
        <f aca="false">IF(INDEX(BookTitle,201)="","",INDEX(BookCategory,201))</f>
        <v/>
      </c>
      <c r="H206" s="40" t="str">
        <f aca="false">IF(INDEX(BookTitle,201)="","",INDEX(BookRank,201))</f>
        <v/>
      </c>
      <c r="I206" s="41" t="str">
        <f aca="false">IF(INDEX(BookTitle,201)="","",INDEX(BookTotal,201))</f>
        <v/>
      </c>
      <c r="J206" s="0" t="str">
        <f aca="false">IF($I206="","",IF(INDEX(BookQ1,201)&gt;0,"Q1",IF(INDEX(BookQ2,201)&gt;0,"Q2",IF(INDEX(BookQ3,201)&gt;0,"Q3",IF(INDEX(BookQ4,201)&gt;0,"Q4","")))))</f>
        <v/>
      </c>
      <c r="K206" s="42" t="str">
        <f aca="false">IF(INDEX(BookTitle,201)="","",INDEX(BookInYear,201))</f>
        <v/>
      </c>
      <c r="L206" s="19"/>
      <c r="M206" s="39"/>
      <c r="N206" s="19"/>
      <c r="O206" s="19"/>
      <c r="P206" s="43" t="str">
        <f aca="false">IF($E206="","",IF($L206="Decline",0,IF($L206="Approve fewer",IF($M206="","",$M206),IF($L206="","",$I206))))</f>
        <v/>
      </c>
      <c r="Q206" s="34" t="str">
        <f aca="false">IF($P206="","",IF($N206&lt;&gt;"",$N206,$J206))</f>
        <v/>
      </c>
      <c r="R206" s="35" t="str">
        <f aca="false">IF(OR($P206="",$Q206=""),"",INDEX(BookRate,201)*$P206*(5-MATCH($Q206,{"Q1";"Q2";"Q3";"Q4"},0))/4+INDEX(BookOneOff,201)*$P206)</f>
        <v/>
      </c>
      <c r="S206" s="35" t="str">
        <f aca="false">IF($P206="","",INDEX(BookRate,201)*$P206)</f>
        <v/>
      </c>
      <c r="T206" s="35" t="str">
        <f aca="false">IF($R206="","",$R206-$K206)</f>
        <v/>
      </c>
      <c r="U206" s="35" t="str">
        <f aca="false">IF(N($P206)&lt;=0,"",COUNTIF($P$6:$P206,"&gt;0"))</f>
        <v/>
      </c>
    </row>
    <row r="207" customFormat="false" ht="15" hidden="false" customHeight="false" outlineLevel="0" collapsed="false">
      <c r="A207" s="40" t="str">
        <f aca="false">IF(INDEX(BookTitle,202)="","",INDEX(BookGroup,202))</f>
        <v/>
      </c>
      <c r="B207" s="40" t="str">
        <f aca="false">IF(INDEX(BookTitle,202)="","",INDEX(BookRef,202))</f>
        <v/>
      </c>
      <c r="C207" s="40" t="str">
        <f aca="false">IF(INDEX(BookTitle,202)="","",INDEX(BookDivision,202))</f>
        <v/>
      </c>
      <c r="D207" s="40" t="str">
        <f aca="false">IF(INDEX(BookTitle,202)="","",INDEX(BookUnit,202))</f>
        <v/>
      </c>
      <c r="E207" s="40" t="str">
        <f aca="false">IF(INDEX(BookTitle,202)="","",INDEX(BookTitle,202))</f>
        <v/>
      </c>
      <c r="F207" s="40" t="str">
        <f aca="false">IF(INDEX(BookTitle,202)="","",INDEX(BookLevel,202))</f>
        <v/>
      </c>
      <c r="G207" s="40" t="str">
        <f aca="false">IF(INDEX(BookTitle,202)="","",INDEX(BookCategory,202))</f>
        <v/>
      </c>
      <c r="H207" s="40" t="str">
        <f aca="false">IF(INDEX(BookTitle,202)="","",INDEX(BookRank,202))</f>
        <v/>
      </c>
      <c r="I207" s="41" t="str">
        <f aca="false">IF(INDEX(BookTitle,202)="","",INDEX(BookTotal,202))</f>
        <v/>
      </c>
      <c r="J207" s="0" t="str">
        <f aca="false">IF($I207="","",IF(INDEX(BookQ1,202)&gt;0,"Q1",IF(INDEX(BookQ2,202)&gt;0,"Q2",IF(INDEX(BookQ3,202)&gt;0,"Q3",IF(INDEX(BookQ4,202)&gt;0,"Q4","")))))</f>
        <v/>
      </c>
      <c r="K207" s="42" t="str">
        <f aca="false">IF(INDEX(BookTitle,202)="","",INDEX(BookInYear,202))</f>
        <v/>
      </c>
      <c r="L207" s="19"/>
      <c r="M207" s="39"/>
      <c r="N207" s="19"/>
      <c r="O207" s="19"/>
      <c r="P207" s="43" t="str">
        <f aca="false">IF($E207="","",IF($L207="Decline",0,IF($L207="Approve fewer",IF($M207="","",$M207),IF($L207="","",$I207))))</f>
        <v/>
      </c>
      <c r="Q207" s="34" t="str">
        <f aca="false">IF($P207="","",IF($N207&lt;&gt;"",$N207,$J207))</f>
        <v/>
      </c>
      <c r="R207" s="35" t="str">
        <f aca="false">IF(OR($P207="",$Q207=""),"",INDEX(BookRate,202)*$P207*(5-MATCH($Q207,{"Q1";"Q2";"Q3";"Q4"},0))/4+INDEX(BookOneOff,202)*$P207)</f>
        <v/>
      </c>
      <c r="S207" s="35" t="str">
        <f aca="false">IF($P207="","",INDEX(BookRate,202)*$P207)</f>
        <v/>
      </c>
      <c r="T207" s="35" t="str">
        <f aca="false">IF($R207="","",$R207-$K207)</f>
        <v/>
      </c>
      <c r="U207" s="35" t="str">
        <f aca="false">IF(N($P207)&lt;=0,"",COUNTIF($P$6:$P207,"&gt;0"))</f>
        <v/>
      </c>
    </row>
    <row r="208" customFormat="false" ht="15" hidden="false" customHeight="false" outlineLevel="0" collapsed="false">
      <c r="A208" s="40" t="str">
        <f aca="false">IF(INDEX(BookTitle,203)="","",INDEX(BookGroup,203))</f>
        <v/>
      </c>
      <c r="B208" s="40" t="str">
        <f aca="false">IF(INDEX(BookTitle,203)="","",INDEX(BookRef,203))</f>
        <v/>
      </c>
      <c r="C208" s="40" t="str">
        <f aca="false">IF(INDEX(BookTitle,203)="","",INDEX(BookDivision,203))</f>
        <v/>
      </c>
      <c r="D208" s="40" t="str">
        <f aca="false">IF(INDEX(BookTitle,203)="","",INDEX(BookUnit,203))</f>
        <v/>
      </c>
      <c r="E208" s="40" t="str">
        <f aca="false">IF(INDEX(BookTitle,203)="","",INDEX(BookTitle,203))</f>
        <v/>
      </c>
      <c r="F208" s="40" t="str">
        <f aca="false">IF(INDEX(BookTitle,203)="","",INDEX(BookLevel,203))</f>
        <v/>
      </c>
      <c r="G208" s="40" t="str">
        <f aca="false">IF(INDEX(BookTitle,203)="","",INDEX(BookCategory,203))</f>
        <v/>
      </c>
      <c r="H208" s="40" t="str">
        <f aca="false">IF(INDEX(BookTitle,203)="","",INDEX(BookRank,203))</f>
        <v/>
      </c>
      <c r="I208" s="41" t="str">
        <f aca="false">IF(INDEX(BookTitle,203)="","",INDEX(BookTotal,203))</f>
        <v/>
      </c>
      <c r="J208" s="0" t="str">
        <f aca="false">IF($I208="","",IF(INDEX(BookQ1,203)&gt;0,"Q1",IF(INDEX(BookQ2,203)&gt;0,"Q2",IF(INDEX(BookQ3,203)&gt;0,"Q3",IF(INDEX(BookQ4,203)&gt;0,"Q4","")))))</f>
        <v/>
      </c>
      <c r="K208" s="42" t="str">
        <f aca="false">IF(INDEX(BookTitle,203)="","",INDEX(BookInYear,203))</f>
        <v/>
      </c>
      <c r="L208" s="19"/>
      <c r="M208" s="39"/>
      <c r="N208" s="19"/>
      <c r="O208" s="19"/>
      <c r="P208" s="43" t="str">
        <f aca="false">IF($E208="","",IF($L208="Decline",0,IF($L208="Approve fewer",IF($M208="","",$M208),IF($L208="","",$I208))))</f>
        <v/>
      </c>
      <c r="Q208" s="34" t="str">
        <f aca="false">IF($P208="","",IF($N208&lt;&gt;"",$N208,$J208))</f>
        <v/>
      </c>
      <c r="R208" s="35" t="str">
        <f aca="false">IF(OR($P208="",$Q208=""),"",INDEX(BookRate,203)*$P208*(5-MATCH($Q208,{"Q1";"Q2";"Q3";"Q4"},0))/4+INDEX(BookOneOff,203)*$P208)</f>
        <v/>
      </c>
      <c r="S208" s="35" t="str">
        <f aca="false">IF($P208="","",INDEX(BookRate,203)*$P208)</f>
        <v/>
      </c>
      <c r="T208" s="35" t="str">
        <f aca="false">IF($R208="","",$R208-$K208)</f>
        <v/>
      </c>
      <c r="U208" s="35" t="str">
        <f aca="false">IF(N($P208)&lt;=0,"",COUNTIF($P$6:$P208,"&gt;0"))</f>
        <v/>
      </c>
    </row>
    <row r="209" customFormat="false" ht="15" hidden="false" customHeight="false" outlineLevel="0" collapsed="false">
      <c r="A209" s="40" t="str">
        <f aca="false">IF(INDEX(BookTitle,204)="","",INDEX(BookGroup,204))</f>
        <v/>
      </c>
      <c r="B209" s="40" t="str">
        <f aca="false">IF(INDEX(BookTitle,204)="","",INDEX(BookRef,204))</f>
        <v/>
      </c>
      <c r="C209" s="40" t="str">
        <f aca="false">IF(INDEX(BookTitle,204)="","",INDEX(BookDivision,204))</f>
        <v/>
      </c>
      <c r="D209" s="40" t="str">
        <f aca="false">IF(INDEX(BookTitle,204)="","",INDEX(BookUnit,204))</f>
        <v/>
      </c>
      <c r="E209" s="40" t="str">
        <f aca="false">IF(INDEX(BookTitle,204)="","",INDEX(BookTitle,204))</f>
        <v/>
      </c>
      <c r="F209" s="40" t="str">
        <f aca="false">IF(INDEX(BookTitle,204)="","",INDEX(BookLevel,204))</f>
        <v/>
      </c>
      <c r="G209" s="40" t="str">
        <f aca="false">IF(INDEX(BookTitle,204)="","",INDEX(BookCategory,204))</f>
        <v/>
      </c>
      <c r="H209" s="40" t="str">
        <f aca="false">IF(INDEX(BookTitle,204)="","",INDEX(BookRank,204))</f>
        <v/>
      </c>
      <c r="I209" s="41" t="str">
        <f aca="false">IF(INDEX(BookTitle,204)="","",INDEX(BookTotal,204))</f>
        <v/>
      </c>
      <c r="J209" s="0" t="str">
        <f aca="false">IF($I209="","",IF(INDEX(BookQ1,204)&gt;0,"Q1",IF(INDEX(BookQ2,204)&gt;0,"Q2",IF(INDEX(BookQ3,204)&gt;0,"Q3",IF(INDEX(BookQ4,204)&gt;0,"Q4","")))))</f>
        <v/>
      </c>
      <c r="K209" s="42" t="str">
        <f aca="false">IF(INDEX(BookTitle,204)="","",INDEX(BookInYear,204))</f>
        <v/>
      </c>
      <c r="L209" s="19"/>
      <c r="M209" s="39"/>
      <c r="N209" s="19"/>
      <c r="O209" s="19"/>
      <c r="P209" s="43" t="str">
        <f aca="false">IF($E209="","",IF($L209="Decline",0,IF($L209="Approve fewer",IF($M209="","",$M209),IF($L209="","",$I209))))</f>
        <v/>
      </c>
      <c r="Q209" s="34" t="str">
        <f aca="false">IF($P209="","",IF($N209&lt;&gt;"",$N209,$J209))</f>
        <v/>
      </c>
      <c r="R209" s="35" t="str">
        <f aca="false">IF(OR($P209="",$Q209=""),"",INDEX(BookRate,204)*$P209*(5-MATCH($Q209,{"Q1";"Q2";"Q3";"Q4"},0))/4+INDEX(BookOneOff,204)*$P209)</f>
        <v/>
      </c>
      <c r="S209" s="35" t="str">
        <f aca="false">IF($P209="","",INDEX(BookRate,204)*$P209)</f>
        <v/>
      </c>
      <c r="T209" s="35" t="str">
        <f aca="false">IF($R209="","",$R209-$K209)</f>
        <v/>
      </c>
      <c r="U209" s="35" t="str">
        <f aca="false">IF(N($P209)&lt;=0,"",COUNTIF($P$6:$P209,"&gt;0"))</f>
        <v/>
      </c>
    </row>
    <row r="210" customFormat="false" ht="15" hidden="false" customHeight="false" outlineLevel="0" collapsed="false">
      <c r="A210" s="40" t="str">
        <f aca="false">IF(INDEX(BookTitle,205)="","",INDEX(BookGroup,205))</f>
        <v/>
      </c>
      <c r="B210" s="40" t="str">
        <f aca="false">IF(INDEX(BookTitle,205)="","",INDEX(BookRef,205))</f>
        <v/>
      </c>
      <c r="C210" s="40" t="str">
        <f aca="false">IF(INDEX(BookTitle,205)="","",INDEX(BookDivision,205))</f>
        <v/>
      </c>
      <c r="D210" s="40" t="str">
        <f aca="false">IF(INDEX(BookTitle,205)="","",INDEX(BookUnit,205))</f>
        <v/>
      </c>
      <c r="E210" s="40" t="str">
        <f aca="false">IF(INDEX(BookTitle,205)="","",INDEX(BookTitle,205))</f>
        <v/>
      </c>
      <c r="F210" s="40" t="str">
        <f aca="false">IF(INDEX(BookTitle,205)="","",INDEX(BookLevel,205))</f>
        <v/>
      </c>
      <c r="G210" s="40" t="str">
        <f aca="false">IF(INDEX(BookTitle,205)="","",INDEX(BookCategory,205))</f>
        <v/>
      </c>
      <c r="H210" s="40" t="str">
        <f aca="false">IF(INDEX(BookTitle,205)="","",INDEX(BookRank,205))</f>
        <v/>
      </c>
      <c r="I210" s="41" t="str">
        <f aca="false">IF(INDEX(BookTitle,205)="","",INDEX(BookTotal,205))</f>
        <v/>
      </c>
      <c r="J210" s="0" t="str">
        <f aca="false">IF($I210="","",IF(INDEX(BookQ1,205)&gt;0,"Q1",IF(INDEX(BookQ2,205)&gt;0,"Q2",IF(INDEX(BookQ3,205)&gt;0,"Q3",IF(INDEX(BookQ4,205)&gt;0,"Q4","")))))</f>
        <v/>
      </c>
      <c r="K210" s="42" t="str">
        <f aca="false">IF(INDEX(BookTitle,205)="","",INDEX(BookInYear,205))</f>
        <v/>
      </c>
      <c r="L210" s="19"/>
      <c r="M210" s="39"/>
      <c r="N210" s="19"/>
      <c r="O210" s="19"/>
      <c r="P210" s="43" t="str">
        <f aca="false">IF($E210="","",IF($L210="Decline",0,IF($L210="Approve fewer",IF($M210="","",$M210),IF($L210="","",$I210))))</f>
        <v/>
      </c>
      <c r="Q210" s="34" t="str">
        <f aca="false">IF($P210="","",IF($N210&lt;&gt;"",$N210,$J210))</f>
        <v/>
      </c>
      <c r="R210" s="35" t="str">
        <f aca="false">IF(OR($P210="",$Q210=""),"",INDEX(BookRate,205)*$P210*(5-MATCH($Q210,{"Q1";"Q2";"Q3";"Q4"},0))/4+INDEX(BookOneOff,205)*$P210)</f>
        <v/>
      </c>
      <c r="S210" s="35" t="str">
        <f aca="false">IF($P210="","",INDEX(BookRate,205)*$P210)</f>
        <v/>
      </c>
      <c r="T210" s="35" t="str">
        <f aca="false">IF($R210="","",$R210-$K210)</f>
        <v/>
      </c>
      <c r="U210" s="35" t="str">
        <f aca="false">IF(N($P210)&lt;=0,"",COUNTIF($P$6:$P210,"&gt;0"))</f>
        <v/>
      </c>
    </row>
    <row r="211" customFormat="false" ht="15" hidden="false" customHeight="false" outlineLevel="0" collapsed="false">
      <c r="A211" s="40" t="str">
        <f aca="false">IF(INDEX(BookTitle,206)="","",INDEX(BookGroup,206))</f>
        <v/>
      </c>
      <c r="B211" s="40" t="str">
        <f aca="false">IF(INDEX(BookTitle,206)="","",INDEX(BookRef,206))</f>
        <v/>
      </c>
      <c r="C211" s="40" t="str">
        <f aca="false">IF(INDEX(BookTitle,206)="","",INDEX(BookDivision,206))</f>
        <v/>
      </c>
      <c r="D211" s="40" t="str">
        <f aca="false">IF(INDEX(BookTitle,206)="","",INDEX(BookUnit,206))</f>
        <v/>
      </c>
      <c r="E211" s="40" t="str">
        <f aca="false">IF(INDEX(BookTitle,206)="","",INDEX(BookTitle,206))</f>
        <v/>
      </c>
      <c r="F211" s="40" t="str">
        <f aca="false">IF(INDEX(BookTitle,206)="","",INDEX(BookLevel,206))</f>
        <v/>
      </c>
      <c r="G211" s="40" t="str">
        <f aca="false">IF(INDEX(BookTitle,206)="","",INDEX(BookCategory,206))</f>
        <v/>
      </c>
      <c r="H211" s="40" t="str">
        <f aca="false">IF(INDEX(BookTitle,206)="","",INDEX(BookRank,206))</f>
        <v/>
      </c>
      <c r="I211" s="41" t="str">
        <f aca="false">IF(INDEX(BookTitle,206)="","",INDEX(BookTotal,206))</f>
        <v/>
      </c>
      <c r="J211" s="0" t="str">
        <f aca="false">IF($I211="","",IF(INDEX(BookQ1,206)&gt;0,"Q1",IF(INDEX(BookQ2,206)&gt;0,"Q2",IF(INDEX(BookQ3,206)&gt;0,"Q3",IF(INDEX(BookQ4,206)&gt;0,"Q4","")))))</f>
        <v/>
      </c>
      <c r="K211" s="42" t="str">
        <f aca="false">IF(INDEX(BookTitle,206)="","",INDEX(BookInYear,206))</f>
        <v/>
      </c>
      <c r="L211" s="19"/>
      <c r="M211" s="39"/>
      <c r="N211" s="19"/>
      <c r="O211" s="19"/>
      <c r="P211" s="43" t="str">
        <f aca="false">IF($E211="","",IF($L211="Decline",0,IF($L211="Approve fewer",IF($M211="","",$M211),IF($L211="","",$I211))))</f>
        <v/>
      </c>
      <c r="Q211" s="34" t="str">
        <f aca="false">IF($P211="","",IF($N211&lt;&gt;"",$N211,$J211))</f>
        <v/>
      </c>
      <c r="R211" s="35" t="str">
        <f aca="false">IF(OR($P211="",$Q211=""),"",INDEX(BookRate,206)*$P211*(5-MATCH($Q211,{"Q1";"Q2";"Q3";"Q4"},0))/4+INDEX(BookOneOff,206)*$P211)</f>
        <v/>
      </c>
      <c r="S211" s="35" t="str">
        <f aca="false">IF($P211="","",INDEX(BookRate,206)*$P211)</f>
        <v/>
      </c>
      <c r="T211" s="35" t="str">
        <f aca="false">IF($R211="","",$R211-$K211)</f>
        <v/>
      </c>
      <c r="U211" s="35" t="str">
        <f aca="false">IF(N($P211)&lt;=0,"",COUNTIF($P$6:$P211,"&gt;0"))</f>
        <v/>
      </c>
    </row>
    <row r="212" customFormat="false" ht="15" hidden="false" customHeight="false" outlineLevel="0" collapsed="false">
      <c r="A212" s="40" t="str">
        <f aca="false">IF(INDEX(BookTitle,207)="","",INDEX(BookGroup,207))</f>
        <v/>
      </c>
      <c r="B212" s="40" t="str">
        <f aca="false">IF(INDEX(BookTitle,207)="","",INDEX(BookRef,207))</f>
        <v/>
      </c>
      <c r="C212" s="40" t="str">
        <f aca="false">IF(INDEX(BookTitle,207)="","",INDEX(BookDivision,207))</f>
        <v/>
      </c>
      <c r="D212" s="40" t="str">
        <f aca="false">IF(INDEX(BookTitle,207)="","",INDEX(BookUnit,207))</f>
        <v/>
      </c>
      <c r="E212" s="40" t="str">
        <f aca="false">IF(INDEX(BookTitle,207)="","",INDEX(BookTitle,207))</f>
        <v/>
      </c>
      <c r="F212" s="40" t="str">
        <f aca="false">IF(INDEX(BookTitle,207)="","",INDEX(BookLevel,207))</f>
        <v/>
      </c>
      <c r="G212" s="40" t="str">
        <f aca="false">IF(INDEX(BookTitle,207)="","",INDEX(BookCategory,207))</f>
        <v/>
      </c>
      <c r="H212" s="40" t="str">
        <f aca="false">IF(INDEX(BookTitle,207)="","",INDEX(BookRank,207))</f>
        <v/>
      </c>
      <c r="I212" s="41" t="str">
        <f aca="false">IF(INDEX(BookTitle,207)="","",INDEX(BookTotal,207))</f>
        <v/>
      </c>
      <c r="J212" s="0" t="str">
        <f aca="false">IF($I212="","",IF(INDEX(BookQ1,207)&gt;0,"Q1",IF(INDEX(BookQ2,207)&gt;0,"Q2",IF(INDEX(BookQ3,207)&gt;0,"Q3",IF(INDEX(BookQ4,207)&gt;0,"Q4","")))))</f>
        <v/>
      </c>
      <c r="K212" s="42" t="str">
        <f aca="false">IF(INDEX(BookTitle,207)="","",INDEX(BookInYear,207))</f>
        <v/>
      </c>
      <c r="L212" s="19"/>
      <c r="M212" s="39"/>
      <c r="N212" s="19"/>
      <c r="O212" s="19"/>
      <c r="P212" s="43" t="str">
        <f aca="false">IF($E212="","",IF($L212="Decline",0,IF($L212="Approve fewer",IF($M212="","",$M212),IF($L212="","",$I212))))</f>
        <v/>
      </c>
      <c r="Q212" s="34" t="str">
        <f aca="false">IF($P212="","",IF($N212&lt;&gt;"",$N212,$J212))</f>
        <v/>
      </c>
      <c r="R212" s="35" t="str">
        <f aca="false">IF(OR($P212="",$Q212=""),"",INDEX(BookRate,207)*$P212*(5-MATCH($Q212,{"Q1";"Q2";"Q3";"Q4"},0))/4+INDEX(BookOneOff,207)*$P212)</f>
        <v/>
      </c>
      <c r="S212" s="35" t="str">
        <f aca="false">IF($P212="","",INDEX(BookRate,207)*$P212)</f>
        <v/>
      </c>
      <c r="T212" s="35" t="str">
        <f aca="false">IF($R212="","",$R212-$K212)</f>
        <v/>
      </c>
      <c r="U212" s="35" t="str">
        <f aca="false">IF(N($P212)&lt;=0,"",COUNTIF($P$6:$P212,"&gt;0"))</f>
        <v/>
      </c>
    </row>
    <row r="213" customFormat="false" ht="15" hidden="false" customHeight="false" outlineLevel="0" collapsed="false">
      <c r="A213" s="40" t="str">
        <f aca="false">IF(INDEX(BookTitle,208)="","",INDEX(BookGroup,208))</f>
        <v/>
      </c>
      <c r="B213" s="40" t="str">
        <f aca="false">IF(INDEX(BookTitle,208)="","",INDEX(BookRef,208))</f>
        <v/>
      </c>
      <c r="C213" s="40" t="str">
        <f aca="false">IF(INDEX(BookTitle,208)="","",INDEX(BookDivision,208))</f>
        <v/>
      </c>
      <c r="D213" s="40" t="str">
        <f aca="false">IF(INDEX(BookTitle,208)="","",INDEX(BookUnit,208))</f>
        <v/>
      </c>
      <c r="E213" s="40" t="str">
        <f aca="false">IF(INDEX(BookTitle,208)="","",INDEX(BookTitle,208))</f>
        <v/>
      </c>
      <c r="F213" s="40" t="str">
        <f aca="false">IF(INDEX(BookTitle,208)="","",INDEX(BookLevel,208))</f>
        <v/>
      </c>
      <c r="G213" s="40" t="str">
        <f aca="false">IF(INDEX(BookTitle,208)="","",INDEX(BookCategory,208))</f>
        <v/>
      </c>
      <c r="H213" s="40" t="str">
        <f aca="false">IF(INDEX(BookTitle,208)="","",INDEX(BookRank,208))</f>
        <v/>
      </c>
      <c r="I213" s="41" t="str">
        <f aca="false">IF(INDEX(BookTitle,208)="","",INDEX(BookTotal,208))</f>
        <v/>
      </c>
      <c r="J213" s="0" t="str">
        <f aca="false">IF($I213="","",IF(INDEX(BookQ1,208)&gt;0,"Q1",IF(INDEX(BookQ2,208)&gt;0,"Q2",IF(INDEX(BookQ3,208)&gt;0,"Q3",IF(INDEX(BookQ4,208)&gt;0,"Q4","")))))</f>
        <v/>
      </c>
      <c r="K213" s="42" t="str">
        <f aca="false">IF(INDEX(BookTitle,208)="","",INDEX(BookInYear,208))</f>
        <v/>
      </c>
      <c r="L213" s="19"/>
      <c r="M213" s="39"/>
      <c r="N213" s="19"/>
      <c r="O213" s="19"/>
      <c r="P213" s="43" t="str">
        <f aca="false">IF($E213="","",IF($L213="Decline",0,IF($L213="Approve fewer",IF($M213="","",$M213),IF($L213="","",$I213))))</f>
        <v/>
      </c>
      <c r="Q213" s="34" t="str">
        <f aca="false">IF($P213="","",IF($N213&lt;&gt;"",$N213,$J213))</f>
        <v/>
      </c>
      <c r="R213" s="35" t="str">
        <f aca="false">IF(OR($P213="",$Q213=""),"",INDEX(BookRate,208)*$P213*(5-MATCH($Q213,{"Q1";"Q2";"Q3";"Q4"},0))/4+INDEX(BookOneOff,208)*$P213)</f>
        <v/>
      </c>
      <c r="S213" s="35" t="str">
        <f aca="false">IF($P213="","",INDEX(BookRate,208)*$P213)</f>
        <v/>
      </c>
      <c r="T213" s="35" t="str">
        <f aca="false">IF($R213="","",$R213-$K213)</f>
        <v/>
      </c>
      <c r="U213" s="35" t="str">
        <f aca="false">IF(N($P213)&lt;=0,"",COUNTIF($P$6:$P213,"&gt;0"))</f>
        <v/>
      </c>
    </row>
    <row r="214" customFormat="false" ht="15" hidden="false" customHeight="false" outlineLevel="0" collapsed="false">
      <c r="A214" s="40" t="str">
        <f aca="false">IF(INDEX(BookTitle,209)="","",INDEX(BookGroup,209))</f>
        <v/>
      </c>
      <c r="B214" s="40" t="str">
        <f aca="false">IF(INDEX(BookTitle,209)="","",INDEX(BookRef,209))</f>
        <v/>
      </c>
      <c r="C214" s="40" t="str">
        <f aca="false">IF(INDEX(BookTitle,209)="","",INDEX(BookDivision,209))</f>
        <v/>
      </c>
      <c r="D214" s="40" t="str">
        <f aca="false">IF(INDEX(BookTitle,209)="","",INDEX(BookUnit,209))</f>
        <v/>
      </c>
      <c r="E214" s="40" t="str">
        <f aca="false">IF(INDEX(BookTitle,209)="","",INDEX(BookTitle,209))</f>
        <v/>
      </c>
      <c r="F214" s="40" t="str">
        <f aca="false">IF(INDEX(BookTitle,209)="","",INDEX(BookLevel,209))</f>
        <v/>
      </c>
      <c r="G214" s="40" t="str">
        <f aca="false">IF(INDEX(BookTitle,209)="","",INDEX(BookCategory,209))</f>
        <v/>
      </c>
      <c r="H214" s="40" t="str">
        <f aca="false">IF(INDEX(BookTitle,209)="","",INDEX(BookRank,209))</f>
        <v/>
      </c>
      <c r="I214" s="41" t="str">
        <f aca="false">IF(INDEX(BookTitle,209)="","",INDEX(BookTotal,209))</f>
        <v/>
      </c>
      <c r="J214" s="0" t="str">
        <f aca="false">IF($I214="","",IF(INDEX(BookQ1,209)&gt;0,"Q1",IF(INDEX(BookQ2,209)&gt;0,"Q2",IF(INDEX(BookQ3,209)&gt;0,"Q3",IF(INDEX(BookQ4,209)&gt;0,"Q4","")))))</f>
        <v/>
      </c>
      <c r="K214" s="42" t="str">
        <f aca="false">IF(INDEX(BookTitle,209)="","",INDEX(BookInYear,209))</f>
        <v/>
      </c>
      <c r="L214" s="19"/>
      <c r="M214" s="39"/>
      <c r="N214" s="19"/>
      <c r="O214" s="19"/>
      <c r="P214" s="43" t="str">
        <f aca="false">IF($E214="","",IF($L214="Decline",0,IF($L214="Approve fewer",IF($M214="","",$M214),IF($L214="","",$I214))))</f>
        <v/>
      </c>
      <c r="Q214" s="34" t="str">
        <f aca="false">IF($P214="","",IF($N214&lt;&gt;"",$N214,$J214))</f>
        <v/>
      </c>
      <c r="R214" s="35" t="str">
        <f aca="false">IF(OR($P214="",$Q214=""),"",INDEX(BookRate,209)*$P214*(5-MATCH($Q214,{"Q1";"Q2";"Q3";"Q4"},0))/4+INDEX(BookOneOff,209)*$P214)</f>
        <v/>
      </c>
      <c r="S214" s="35" t="str">
        <f aca="false">IF($P214="","",INDEX(BookRate,209)*$P214)</f>
        <v/>
      </c>
      <c r="T214" s="35" t="str">
        <f aca="false">IF($R214="","",$R214-$K214)</f>
        <v/>
      </c>
      <c r="U214" s="35" t="str">
        <f aca="false">IF(N($P214)&lt;=0,"",COUNTIF($P$6:$P214,"&gt;0"))</f>
        <v/>
      </c>
    </row>
    <row r="215" customFormat="false" ht="15" hidden="false" customHeight="false" outlineLevel="0" collapsed="false">
      <c r="A215" s="40" t="str">
        <f aca="false">IF(INDEX(BookTitle,210)="","",INDEX(BookGroup,210))</f>
        <v/>
      </c>
      <c r="B215" s="40" t="str">
        <f aca="false">IF(INDEX(BookTitle,210)="","",INDEX(BookRef,210))</f>
        <v/>
      </c>
      <c r="C215" s="40" t="str">
        <f aca="false">IF(INDEX(BookTitle,210)="","",INDEX(BookDivision,210))</f>
        <v/>
      </c>
      <c r="D215" s="40" t="str">
        <f aca="false">IF(INDEX(BookTitle,210)="","",INDEX(BookUnit,210))</f>
        <v/>
      </c>
      <c r="E215" s="40" t="str">
        <f aca="false">IF(INDEX(BookTitle,210)="","",INDEX(BookTitle,210))</f>
        <v/>
      </c>
      <c r="F215" s="40" t="str">
        <f aca="false">IF(INDEX(BookTitle,210)="","",INDEX(BookLevel,210))</f>
        <v/>
      </c>
      <c r="G215" s="40" t="str">
        <f aca="false">IF(INDEX(BookTitle,210)="","",INDEX(BookCategory,210))</f>
        <v/>
      </c>
      <c r="H215" s="40" t="str">
        <f aca="false">IF(INDEX(BookTitle,210)="","",INDEX(BookRank,210))</f>
        <v/>
      </c>
      <c r="I215" s="41" t="str">
        <f aca="false">IF(INDEX(BookTitle,210)="","",INDEX(BookTotal,210))</f>
        <v/>
      </c>
      <c r="J215" s="0" t="str">
        <f aca="false">IF($I215="","",IF(INDEX(BookQ1,210)&gt;0,"Q1",IF(INDEX(BookQ2,210)&gt;0,"Q2",IF(INDEX(BookQ3,210)&gt;0,"Q3",IF(INDEX(BookQ4,210)&gt;0,"Q4","")))))</f>
        <v/>
      </c>
      <c r="K215" s="42" t="str">
        <f aca="false">IF(INDEX(BookTitle,210)="","",INDEX(BookInYear,210))</f>
        <v/>
      </c>
      <c r="L215" s="19"/>
      <c r="M215" s="39"/>
      <c r="N215" s="19"/>
      <c r="O215" s="19"/>
      <c r="P215" s="43" t="str">
        <f aca="false">IF($E215="","",IF($L215="Decline",0,IF($L215="Approve fewer",IF($M215="","",$M215),IF($L215="","",$I215))))</f>
        <v/>
      </c>
      <c r="Q215" s="34" t="str">
        <f aca="false">IF($P215="","",IF($N215&lt;&gt;"",$N215,$J215))</f>
        <v/>
      </c>
      <c r="R215" s="35" t="str">
        <f aca="false">IF(OR($P215="",$Q215=""),"",INDEX(BookRate,210)*$P215*(5-MATCH($Q215,{"Q1";"Q2";"Q3";"Q4"},0))/4+INDEX(BookOneOff,210)*$P215)</f>
        <v/>
      </c>
      <c r="S215" s="35" t="str">
        <f aca="false">IF($P215="","",INDEX(BookRate,210)*$P215)</f>
        <v/>
      </c>
      <c r="T215" s="35" t="str">
        <f aca="false">IF($R215="","",$R215-$K215)</f>
        <v/>
      </c>
      <c r="U215" s="35" t="str">
        <f aca="false">IF(N($P215)&lt;=0,"",COUNTIF($P$6:$P215,"&gt;0"))</f>
        <v/>
      </c>
    </row>
    <row r="216" customFormat="false" ht="15" hidden="false" customHeight="false" outlineLevel="0" collapsed="false">
      <c r="A216" s="40" t="str">
        <f aca="false">IF(INDEX(BookTitle,211)="","",INDEX(BookGroup,211))</f>
        <v/>
      </c>
      <c r="B216" s="40" t="str">
        <f aca="false">IF(INDEX(BookTitle,211)="","",INDEX(BookRef,211))</f>
        <v/>
      </c>
      <c r="C216" s="40" t="str">
        <f aca="false">IF(INDEX(BookTitle,211)="","",INDEX(BookDivision,211))</f>
        <v/>
      </c>
      <c r="D216" s="40" t="str">
        <f aca="false">IF(INDEX(BookTitle,211)="","",INDEX(BookUnit,211))</f>
        <v/>
      </c>
      <c r="E216" s="40" t="str">
        <f aca="false">IF(INDEX(BookTitle,211)="","",INDEX(BookTitle,211))</f>
        <v/>
      </c>
      <c r="F216" s="40" t="str">
        <f aca="false">IF(INDEX(BookTitle,211)="","",INDEX(BookLevel,211))</f>
        <v/>
      </c>
      <c r="G216" s="40" t="str">
        <f aca="false">IF(INDEX(BookTitle,211)="","",INDEX(BookCategory,211))</f>
        <v/>
      </c>
      <c r="H216" s="40" t="str">
        <f aca="false">IF(INDEX(BookTitle,211)="","",INDEX(BookRank,211))</f>
        <v/>
      </c>
      <c r="I216" s="41" t="str">
        <f aca="false">IF(INDEX(BookTitle,211)="","",INDEX(BookTotal,211))</f>
        <v/>
      </c>
      <c r="J216" s="0" t="str">
        <f aca="false">IF($I216="","",IF(INDEX(BookQ1,211)&gt;0,"Q1",IF(INDEX(BookQ2,211)&gt;0,"Q2",IF(INDEX(BookQ3,211)&gt;0,"Q3",IF(INDEX(BookQ4,211)&gt;0,"Q4","")))))</f>
        <v/>
      </c>
      <c r="K216" s="42" t="str">
        <f aca="false">IF(INDEX(BookTitle,211)="","",INDEX(BookInYear,211))</f>
        <v/>
      </c>
      <c r="L216" s="19"/>
      <c r="M216" s="39"/>
      <c r="N216" s="19"/>
      <c r="O216" s="19"/>
      <c r="P216" s="43" t="str">
        <f aca="false">IF($E216="","",IF($L216="Decline",0,IF($L216="Approve fewer",IF($M216="","",$M216),IF($L216="","",$I216))))</f>
        <v/>
      </c>
      <c r="Q216" s="34" t="str">
        <f aca="false">IF($P216="","",IF($N216&lt;&gt;"",$N216,$J216))</f>
        <v/>
      </c>
      <c r="R216" s="35" t="str">
        <f aca="false">IF(OR($P216="",$Q216=""),"",INDEX(BookRate,211)*$P216*(5-MATCH($Q216,{"Q1";"Q2";"Q3";"Q4"},0))/4+INDEX(BookOneOff,211)*$P216)</f>
        <v/>
      </c>
      <c r="S216" s="35" t="str">
        <f aca="false">IF($P216="","",INDEX(BookRate,211)*$P216)</f>
        <v/>
      </c>
      <c r="T216" s="35" t="str">
        <f aca="false">IF($R216="","",$R216-$K216)</f>
        <v/>
      </c>
      <c r="U216" s="35" t="str">
        <f aca="false">IF(N($P216)&lt;=0,"",COUNTIF($P$6:$P216,"&gt;0"))</f>
        <v/>
      </c>
    </row>
    <row r="217" customFormat="false" ht="15" hidden="false" customHeight="false" outlineLevel="0" collapsed="false">
      <c r="A217" s="40" t="str">
        <f aca="false">IF(INDEX(BookTitle,212)="","",INDEX(BookGroup,212))</f>
        <v/>
      </c>
      <c r="B217" s="40" t="str">
        <f aca="false">IF(INDEX(BookTitle,212)="","",INDEX(BookRef,212))</f>
        <v/>
      </c>
      <c r="C217" s="40" t="str">
        <f aca="false">IF(INDEX(BookTitle,212)="","",INDEX(BookDivision,212))</f>
        <v/>
      </c>
      <c r="D217" s="40" t="str">
        <f aca="false">IF(INDEX(BookTitle,212)="","",INDEX(BookUnit,212))</f>
        <v/>
      </c>
      <c r="E217" s="40" t="str">
        <f aca="false">IF(INDEX(BookTitle,212)="","",INDEX(BookTitle,212))</f>
        <v/>
      </c>
      <c r="F217" s="40" t="str">
        <f aca="false">IF(INDEX(BookTitle,212)="","",INDEX(BookLevel,212))</f>
        <v/>
      </c>
      <c r="G217" s="40" t="str">
        <f aca="false">IF(INDEX(BookTitle,212)="","",INDEX(BookCategory,212))</f>
        <v/>
      </c>
      <c r="H217" s="40" t="str">
        <f aca="false">IF(INDEX(BookTitle,212)="","",INDEX(BookRank,212))</f>
        <v/>
      </c>
      <c r="I217" s="41" t="str">
        <f aca="false">IF(INDEX(BookTitle,212)="","",INDEX(BookTotal,212))</f>
        <v/>
      </c>
      <c r="J217" s="0" t="str">
        <f aca="false">IF($I217="","",IF(INDEX(BookQ1,212)&gt;0,"Q1",IF(INDEX(BookQ2,212)&gt;0,"Q2",IF(INDEX(BookQ3,212)&gt;0,"Q3",IF(INDEX(BookQ4,212)&gt;0,"Q4","")))))</f>
        <v/>
      </c>
      <c r="K217" s="42" t="str">
        <f aca="false">IF(INDEX(BookTitle,212)="","",INDEX(BookInYear,212))</f>
        <v/>
      </c>
      <c r="L217" s="19"/>
      <c r="M217" s="39"/>
      <c r="N217" s="19"/>
      <c r="O217" s="19"/>
      <c r="P217" s="43" t="str">
        <f aca="false">IF($E217="","",IF($L217="Decline",0,IF($L217="Approve fewer",IF($M217="","",$M217),IF($L217="","",$I217))))</f>
        <v/>
      </c>
      <c r="Q217" s="34" t="str">
        <f aca="false">IF($P217="","",IF($N217&lt;&gt;"",$N217,$J217))</f>
        <v/>
      </c>
      <c r="R217" s="35" t="str">
        <f aca="false">IF(OR($P217="",$Q217=""),"",INDEX(BookRate,212)*$P217*(5-MATCH($Q217,{"Q1";"Q2";"Q3";"Q4"},0))/4+INDEX(BookOneOff,212)*$P217)</f>
        <v/>
      </c>
      <c r="S217" s="35" t="str">
        <f aca="false">IF($P217="","",INDEX(BookRate,212)*$P217)</f>
        <v/>
      </c>
      <c r="T217" s="35" t="str">
        <f aca="false">IF($R217="","",$R217-$K217)</f>
        <v/>
      </c>
      <c r="U217" s="35" t="str">
        <f aca="false">IF(N($P217)&lt;=0,"",COUNTIF($P$6:$P217,"&gt;0"))</f>
        <v/>
      </c>
    </row>
    <row r="218" customFormat="false" ht="15" hidden="false" customHeight="false" outlineLevel="0" collapsed="false">
      <c r="A218" s="40" t="str">
        <f aca="false">IF(INDEX(BookTitle,213)="","",INDEX(BookGroup,213))</f>
        <v/>
      </c>
      <c r="B218" s="40" t="str">
        <f aca="false">IF(INDEX(BookTitle,213)="","",INDEX(BookRef,213))</f>
        <v/>
      </c>
      <c r="C218" s="40" t="str">
        <f aca="false">IF(INDEX(BookTitle,213)="","",INDEX(BookDivision,213))</f>
        <v/>
      </c>
      <c r="D218" s="40" t="str">
        <f aca="false">IF(INDEX(BookTitle,213)="","",INDEX(BookUnit,213))</f>
        <v/>
      </c>
      <c r="E218" s="40" t="str">
        <f aca="false">IF(INDEX(BookTitle,213)="","",INDEX(BookTitle,213))</f>
        <v/>
      </c>
      <c r="F218" s="40" t="str">
        <f aca="false">IF(INDEX(BookTitle,213)="","",INDEX(BookLevel,213))</f>
        <v/>
      </c>
      <c r="G218" s="40" t="str">
        <f aca="false">IF(INDEX(BookTitle,213)="","",INDEX(BookCategory,213))</f>
        <v/>
      </c>
      <c r="H218" s="40" t="str">
        <f aca="false">IF(INDEX(BookTitle,213)="","",INDEX(BookRank,213))</f>
        <v/>
      </c>
      <c r="I218" s="41" t="str">
        <f aca="false">IF(INDEX(BookTitle,213)="","",INDEX(BookTotal,213))</f>
        <v/>
      </c>
      <c r="J218" s="0" t="str">
        <f aca="false">IF($I218="","",IF(INDEX(BookQ1,213)&gt;0,"Q1",IF(INDEX(BookQ2,213)&gt;0,"Q2",IF(INDEX(BookQ3,213)&gt;0,"Q3",IF(INDEX(BookQ4,213)&gt;0,"Q4","")))))</f>
        <v/>
      </c>
      <c r="K218" s="42" t="str">
        <f aca="false">IF(INDEX(BookTitle,213)="","",INDEX(BookInYear,213))</f>
        <v/>
      </c>
      <c r="L218" s="19"/>
      <c r="M218" s="39"/>
      <c r="N218" s="19"/>
      <c r="O218" s="19"/>
      <c r="P218" s="43" t="str">
        <f aca="false">IF($E218="","",IF($L218="Decline",0,IF($L218="Approve fewer",IF($M218="","",$M218),IF($L218="","",$I218))))</f>
        <v/>
      </c>
      <c r="Q218" s="34" t="str">
        <f aca="false">IF($P218="","",IF($N218&lt;&gt;"",$N218,$J218))</f>
        <v/>
      </c>
      <c r="R218" s="35" t="str">
        <f aca="false">IF(OR($P218="",$Q218=""),"",INDEX(BookRate,213)*$P218*(5-MATCH($Q218,{"Q1";"Q2";"Q3";"Q4"},0))/4+INDEX(BookOneOff,213)*$P218)</f>
        <v/>
      </c>
      <c r="S218" s="35" t="str">
        <f aca="false">IF($P218="","",INDEX(BookRate,213)*$P218)</f>
        <v/>
      </c>
      <c r="T218" s="35" t="str">
        <f aca="false">IF($R218="","",$R218-$K218)</f>
        <v/>
      </c>
      <c r="U218" s="35" t="str">
        <f aca="false">IF(N($P218)&lt;=0,"",COUNTIF($P$6:$P218,"&gt;0"))</f>
        <v/>
      </c>
    </row>
    <row r="219" customFormat="false" ht="15" hidden="false" customHeight="false" outlineLevel="0" collapsed="false">
      <c r="A219" s="40" t="str">
        <f aca="false">IF(INDEX(BookTitle,214)="","",INDEX(BookGroup,214))</f>
        <v/>
      </c>
      <c r="B219" s="40" t="str">
        <f aca="false">IF(INDEX(BookTitle,214)="","",INDEX(BookRef,214))</f>
        <v/>
      </c>
      <c r="C219" s="40" t="str">
        <f aca="false">IF(INDEX(BookTitle,214)="","",INDEX(BookDivision,214))</f>
        <v/>
      </c>
      <c r="D219" s="40" t="str">
        <f aca="false">IF(INDEX(BookTitle,214)="","",INDEX(BookUnit,214))</f>
        <v/>
      </c>
      <c r="E219" s="40" t="str">
        <f aca="false">IF(INDEX(BookTitle,214)="","",INDEX(BookTitle,214))</f>
        <v/>
      </c>
      <c r="F219" s="40" t="str">
        <f aca="false">IF(INDEX(BookTitle,214)="","",INDEX(BookLevel,214))</f>
        <v/>
      </c>
      <c r="G219" s="40" t="str">
        <f aca="false">IF(INDEX(BookTitle,214)="","",INDEX(BookCategory,214))</f>
        <v/>
      </c>
      <c r="H219" s="40" t="str">
        <f aca="false">IF(INDEX(BookTitle,214)="","",INDEX(BookRank,214))</f>
        <v/>
      </c>
      <c r="I219" s="41" t="str">
        <f aca="false">IF(INDEX(BookTitle,214)="","",INDEX(BookTotal,214))</f>
        <v/>
      </c>
      <c r="J219" s="0" t="str">
        <f aca="false">IF($I219="","",IF(INDEX(BookQ1,214)&gt;0,"Q1",IF(INDEX(BookQ2,214)&gt;0,"Q2",IF(INDEX(BookQ3,214)&gt;0,"Q3",IF(INDEX(BookQ4,214)&gt;0,"Q4","")))))</f>
        <v/>
      </c>
      <c r="K219" s="42" t="str">
        <f aca="false">IF(INDEX(BookTitle,214)="","",INDEX(BookInYear,214))</f>
        <v/>
      </c>
      <c r="L219" s="19"/>
      <c r="M219" s="39"/>
      <c r="N219" s="19"/>
      <c r="O219" s="19"/>
      <c r="P219" s="43" t="str">
        <f aca="false">IF($E219="","",IF($L219="Decline",0,IF($L219="Approve fewer",IF($M219="","",$M219),IF($L219="","",$I219))))</f>
        <v/>
      </c>
      <c r="Q219" s="34" t="str">
        <f aca="false">IF($P219="","",IF($N219&lt;&gt;"",$N219,$J219))</f>
        <v/>
      </c>
      <c r="R219" s="35" t="str">
        <f aca="false">IF(OR($P219="",$Q219=""),"",INDEX(BookRate,214)*$P219*(5-MATCH($Q219,{"Q1";"Q2";"Q3";"Q4"},0))/4+INDEX(BookOneOff,214)*$P219)</f>
        <v/>
      </c>
      <c r="S219" s="35" t="str">
        <f aca="false">IF($P219="","",INDEX(BookRate,214)*$P219)</f>
        <v/>
      </c>
      <c r="T219" s="35" t="str">
        <f aca="false">IF($R219="","",$R219-$K219)</f>
        <v/>
      </c>
      <c r="U219" s="35" t="str">
        <f aca="false">IF(N($P219)&lt;=0,"",COUNTIF($P$6:$P219,"&gt;0"))</f>
        <v/>
      </c>
    </row>
    <row r="220" customFormat="false" ht="15" hidden="false" customHeight="false" outlineLevel="0" collapsed="false">
      <c r="A220" s="40" t="str">
        <f aca="false">IF(INDEX(BookTitle,215)="","",INDEX(BookGroup,215))</f>
        <v/>
      </c>
      <c r="B220" s="40" t="str">
        <f aca="false">IF(INDEX(BookTitle,215)="","",INDEX(BookRef,215))</f>
        <v/>
      </c>
      <c r="C220" s="40" t="str">
        <f aca="false">IF(INDEX(BookTitle,215)="","",INDEX(BookDivision,215))</f>
        <v/>
      </c>
      <c r="D220" s="40" t="str">
        <f aca="false">IF(INDEX(BookTitle,215)="","",INDEX(BookUnit,215))</f>
        <v/>
      </c>
      <c r="E220" s="40" t="str">
        <f aca="false">IF(INDEX(BookTitle,215)="","",INDEX(BookTitle,215))</f>
        <v/>
      </c>
      <c r="F220" s="40" t="str">
        <f aca="false">IF(INDEX(BookTitle,215)="","",INDEX(BookLevel,215))</f>
        <v/>
      </c>
      <c r="G220" s="40" t="str">
        <f aca="false">IF(INDEX(BookTitle,215)="","",INDEX(BookCategory,215))</f>
        <v/>
      </c>
      <c r="H220" s="40" t="str">
        <f aca="false">IF(INDEX(BookTitle,215)="","",INDEX(BookRank,215))</f>
        <v/>
      </c>
      <c r="I220" s="41" t="str">
        <f aca="false">IF(INDEX(BookTitle,215)="","",INDEX(BookTotal,215))</f>
        <v/>
      </c>
      <c r="J220" s="0" t="str">
        <f aca="false">IF($I220="","",IF(INDEX(BookQ1,215)&gt;0,"Q1",IF(INDEX(BookQ2,215)&gt;0,"Q2",IF(INDEX(BookQ3,215)&gt;0,"Q3",IF(INDEX(BookQ4,215)&gt;0,"Q4","")))))</f>
        <v/>
      </c>
      <c r="K220" s="42" t="str">
        <f aca="false">IF(INDEX(BookTitle,215)="","",INDEX(BookInYear,215))</f>
        <v/>
      </c>
      <c r="L220" s="19"/>
      <c r="M220" s="39"/>
      <c r="N220" s="19"/>
      <c r="O220" s="19"/>
      <c r="P220" s="43" t="str">
        <f aca="false">IF($E220="","",IF($L220="Decline",0,IF($L220="Approve fewer",IF($M220="","",$M220),IF($L220="","",$I220))))</f>
        <v/>
      </c>
      <c r="Q220" s="34" t="str">
        <f aca="false">IF($P220="","",IF($N220&lt;&gt;"",$N220,$J220))</f>
        <v/>
      </c>
      <c r="R220" s="35" t="str">
        <f aca="false">IF(OR($P220="",$Q220=""),"",INDEX(BookRate,215)*$P220*(5-MATCH($Q220,{"Q1";"Q2";"Q3";"Q4"},0))/4+INDEX(BookOneOff,215)*$P220)</f>
        <v/>
      </c>
      <c r="S220" s="35" t="str">
        <f aca="false">IF($P220="","",INDEX(BookRate,215)*$P220)</f>
        <v/>
      </c>
      <c r="T220" s="35" t="str">
        <f aca="false">IF($R220="","",$R220-$K220)</f>
        <v/>
      </c>
      <c r="U220" s="35" t="str">
        <f aca="false">IF(N($P220)&lt;=0,"",COUNTIF($P$6:$P220,"&gt;0"))</f>
        <v/>
      </c>
    </row>
    <row r="221" customFormat="false" ht="15" hidden="false" customHeight="false" outlineLevel="0" collapsed="false">
      <c r="A221" s="40" t="str">
        <f aca="false">IF(INDEX(BookTitle,216)="","",INDEX(BookGroup,216))</f>
        <v/>
      </c>
      <c r="B221" s="40" t="str">
        <f aca="false">IF(INDEX(BookTitle,216)="","",INDEX(BookRef,216))</f>
        <v/>
      </c>
      <c r="C221" s="40" t="str">
        <f aca="false">IF(INDEX(BookTitle,216)="","",INDEX(BookDivision,216))</f>
        <v/>
      </c>
      <c r="D221" s="40" t="str">
        <f aca="false">IF(INDEX(BookTitle,216)="","",INDEX(BookUnit,216))</f>
        <v/>
      </c>
      <c r="E221" s="40" t="str">
        <f aca="false">IF(INDEX(BookTitle,216)="","",INDEX(BookTitle,216))</f>
        <v/>
      </c>
      <c r="F221" s="40" t="str">
        <f aca="false">IF(INDEX(BookTitle,216)="","",INDEX(BookLevel,216))</f>
        <v/>
      </c>
      <c r="G221" s="40" t="str">
        <f aca="false">IF(INDEX(BookTitle,216)="","",INDEX(BookCategory,216))</f>
        <v/>
      </c>
      <c r="H221" s="40" t="str">
        <f aca="false">IF(INDEX(BookTitle,216)="","",INDEX(BookRank,216))</f>
        <v/>
      </c>
      <c r="I221" s="41" t="str">
        <f aca="false">IF(INDEX(BookTitle,216)="","",INDEX(BookTotal,216))</f>
        <v/>
      </c>
      <c r="J221" s="0" t="str">
        <f aca="false">IF($I221="","",IF(INDEX(BookQ1,216)&gt;0,"Q1",IF(INDEX(BookQ2,216)&gt;0,"Q2",IF(INDEX(BookQ3,216)&gt;0,"Q3",IF(INDEX(BookQ4,216)&gt;0,"Q4","")))))</f>
        <v/>
      </c>
      <c r="K221" s="42" t="str">
        <f aca="false">IF(INDEX(BookTitle,216)="","",INDEX(BookInYear,216))</f>
        <v/>
      </c>
      <c r="L221" s="19"/>
      <c r="M221" s="39"/>
      <c r="N221" s="19"/>
      <c r="O221" s="19"/>
      <c r="P221" s="43" t="str">
        <f aca="false">IF($E221="","",IF($L221="Decline",0,IF($L221="Approve fewer",IF($M221="","",$M221),IF($L221="","",$I221))))</f>
        <v/>
      </c>
      <c r="Q221" s="34" t="str">
        <f aca="false">IF($P221="","",IF($N221&lt;&gt;"",$N221,$J221))</f>
        <v/>
      </c>
      <c r="R221" s="35" t="str">
        <f aca="false">IF(OR($P221="",$Q221=""),"",INDEX(BookRate,216)*$P221*(5-MATCH($Q221,{"Q1";"Q2";"Q3";"Q4"},0))/4+INDEX(BookOneOff,216)*$P221)</f>
        <v/>
      </c>
      <c r="S221" s="35" t="str">
        <f aca="false">IF($P221="","",INDEX(BookRate,216)*$P221)</f>
        <v/>
      </c>
      <c r="T221" s="35" t="str">
        <f aca="false">IF($R221="","",$R221-$K221)</f>
        <v/>
      </c>
      <c r="U221" s="35" t="str">
        <f aca="false">IF(N($P221)&lt;=0,"",COUNTIF($P$6:$P221,"&gt;0"))</f>
        <v/>
      </c>
    </row>
    <row r="222" customFormat="false" ht="15" hidden="false" customHeight="false" outlineLevel="0" collapsed="false">
      <c r="A222" s="40" t="str">
        <f aca="false">IF(INDEX(BookTitle,217)="","",INDEX(BookGroup,217))</f>
        <v/>
      </c>
      <c r="B222" s="40" t="str">
        <f aca="false">IF(INDEX(BookTitle,217)="","",INDEX(BookRef,217))</f>
        <v/>
      </c>
      <c r="C222" s="40" t="str">
        <f aca="false">IF(INDEX(BookTitle,217)="","",INDEX(BookDivision,217))</f>
        <v/>
      </c>
      <c r="D222" s="40" t="str">
        <f aca="false">IF(INDEX(BookTitle,217)="","",INDEX(BookUnit,217))</f>
        <v/>
      </c>
      <c r="E222" s="40" t="str">
        <f aca="false">IF(INDEX(BookTitle,217)="","",INDEX(BookTitle,217))</f>
        <v/>
      </c>
      <c r="F222" s="40" t="str">
        <f aca="false">IF(INDEX(BookTitle,217)="","",INDEX(BookLevel,217))</f>
        <v/>
      </c>
      <c r="G222" s="40" t="str">
        <f aca="false">IF(INDEX(BookTitle,217)="","",INDEX(BookCategory,217))</f>
        <v/>
      </c>
      <c r="H222" s="40" t="str">
        <f aca="false">IF(INDEX(BookTitle,217)="","",INDEX(BookRank,217))</f>
        <v/>
      </c>
      <c r="I222" s="41" t="str">
        <f aca="false">IF(INDEX(BookTitle,217)="","",INDEX(BookTotal,217))</f>
        <v/>
      </c>
      <c r="J222" s="0" t="str">
        <f aca="false">IF($I222="","",IF(INDEX(BookQ1,217)&gt;0,"Q1",IF(INDEX(BookQ2,217)&gt;0,"Q2",IF(INDEX(BookQ3,217)&gt;0,"Q3",IF(INDEX(BookQ4,217)&gt;0,"Q4","")))))</f>
        <v/>
      </c>
      <c r="K222" s="42" t="str">
        <f aca="false">IF(INDEX(BookTitle,217)="","",INDEX(BookInYear,217))</f>
        <v/>
      </c>
      <c r="L222" s="19"/>
      <c r="M222" s="39"/>
      <c r="N222" s="19"/>
      <c r="O222" s="19"/>
      <c r="P222" s="43" t="str">
        <f aca="false">IF($E222="","",IF($L222="Decline",0,IF($L222="Approve fewer",IF($M222="","",$M222),IF($L222="","",$I222))))</f>
        <v/>
      </c>
      <c r="Q222" s="34" t="str">
        <f aca="false">IF($P222="","",IF($N222&lt;&gt;"",$N222,$J222))</f>
        <v/>
      </c>
      <c r="R222" s="35" t="str">
        <f aca="false">IF(OR($P222="",$Q222=""),"",INDEX(BookRate,217)*$P222*(5-MATCH($Q222,{"Q1";"Q2";"Q3";"Q4"},0))/4+INDEX(BookOneOff,217)*$P222)</f>
        <v/>
      </c>
      <c r="S222" s="35" t="str">
        <f aca="false">IF($P222="","",INDEX(BookRate,217)*$P222)</f>
        <v/>
      </c>
      <c r="T222" s="35" t="str">
        <f aca="false">IF($R222="","",$R222-$K222)</f>
        <v/>
      </c>
      <c r="U222" s="35" t="str">
        <f aca="false">IF(N($P222)&lt;=0,"",COUNTIF($P$6:$P222,"&gt;0"))</f>
        <v/>
      </c>
    </row>
    <row r="223" customFormat="false" ht="15" hidden="false" customHeight="false" outlineLevel="0" collapsed="false">
      <c r="A223" s="40" t="str">
        <f aca="false">IF(INDEX(BookTitle,218)="","",INDEX(BookGroup,218))</f>
        <v/>
      </c>
      <c r="B223" s="40" t="str">
        <f aca="false">IF(INDEX(BookTitle,218)="","",INDEX(BookRef,218))</f>
        <v/>
      </c>
      <c r="C223" s="40" t="str">
        <f aca="false">IF(INDEX(BookTitle,218)="","",INDEX(BookDivision,218))</f>
        <v/>
      </c>
      <c r="D223" s="40" t="str">
        <f aca="false">IF(INDEX(BookTitle,218)="","",INDEX(BookUnit,218))</f>
        <v/>
      </c>
      <c r="E223" s="40" t="str">
        <f aca="false">IF(INDEX(BookTitle,218)="","",INDEX(BookTitle,218))</f>
        <v/>
      </c>
      <c r="F223" s="40" t="str">
        <f aca="false">IF(INDEX(BookTitle,218)="","",INDEX(BookLevel,218))</f>
        <v/>
      </c>
      <c r="G223" s="40" t="str">
        <f aca="false">IF(INDEX(BookTitle,218)="","",INDEX(BookCategory,218))</f>
        <v/>
      </c>
      <c r="H223" s="40" t="str">
        <f aca="false">IF(INDEX(BookTitle,218)="","",INDEX(BookRank,218))</f>
        <v/>
      </c>
      <c r="I223" s="41" t="str">
        <f aca="false">IF(INDEX(BookTitle,218)="","",INDEX(BookTotal,218))</f>
        <v/>
      </c>
      <c r="J223" s="0" t="str">
        <f aca="false">IF($I223="","",IF(INDEX(BookQ1,218)&gt;0,"Q1",IF(INDEX(BookQ2,218)&gt;0,"Q2",IF(INDEX(BookQ3,218)&gt;0,"Q3",IF(INDEX(BookQ4,218)&gt;0,"Q4","")))))</f>
        <v/>
      </c>
      <c r="K223" s="42" t="str">
        <f aca="false">IF(INDEX(BookTitle,218)="","",INDEX(BookInYear,218))</f>
        <v/>
      </c>
      <c r="L223" s="19"/>
      <c r="M223" s="39"/>
      <c r="N223" s="19"/>
      <c r="O223" s="19"/>
      <c r="P223" s="43" t="str">
        <f aca="false">IF($E223="","",IF($L223="Decline",0,IF($L223="Approve fewer",IF($M223="","",$M223),IF($L223="","",$I223))))</f>
        <v/>
      </c>
      <c r="Q223" s="34" t="str">
        <f aca="false">IF($P223="","",IF($N223&lt;&gt;"",$N223,$J223))</f>
        <v/>
      </c>
      <c r="R223" s="35" t="str">
        <f aca="false">IF(OR($P223="",$Q223=""),"",INDEX(BookRate,218)*$P223*(5-MATCH($Q223,{"Q1";"Q2";"Q3";"Q4"},0))/4+INDEX(BookOneOff,218)*$P223)</f>
        <v/>
      </c>
      <c r="S223" s="35" t="str">
        <f aca="false">IF($P223="","",INDEX(BookRate,218)*$P223)</f>
        <v/>
      </c>
      <c r="T223" s="35" t="str">
        <f aca="false">IF($R223="","",$R223-$K223)</f>
        <v/>
      </c>
      <c r="U223" s="35" t="str">
        <f aca="false">IF(N($P223)&lt;=0,"",COUNTIF($P$6:$P223,"&gt;0"))</f>
        <v/>
      </c>
    </row>
    <row r="224" customFormat="false" ht="15" hidden="false" customHeight="false" outlineLevel="0" collapsed="false">
      <c r="A224" s="40" t="str">
        <f aca="false">IF(INDEX(BookTitle,219)="","",INDEX(BookGroup,219))</f>
        <v/>
      </c>
      <c r="B224" s="40" t="str">
        <f aca="false">IF(INDEX(BookTitle,219)="","",INDEX(BookRef,219))</f>
        <v/>
      </c>
      <c r="C224" s="40" t="str">
        <f aca="false">IF(INDEX(BookTitle,219)="","",INDEX(BookDivision,219))</f>
        <v/>
      </c>
      <c r="D224" s="40" t="str">
        <f aca="false">IF(INDEX(BookTitle,219)="","",INDEX(BookUnit,219))</f>
        <v/>
      </c>
      <c r="E224" s="40" t="str">
        <f aca="false">IF(INDEX(BookTitle,219)="","",INDEX(BookTitle,219))</f>
        <v/>
      </c>
      <c r="F224" s="40" t="str">
        <f aca="false">IF(INDEX(BookTitle,219)="","",INDEX(BookLevel,219))</f>
        <v/>
      </c>
      <c r="G224" s="40" t="str">
        <f aca="false">IF(INDEX(BookTitle,219)="","",INDEX(BookCategory,219))</f>
        <v/>
      </c>
      <c r="H224" s="40" t="str">
        <f aca="false">IF(INDEX(BookTitle,219)="","",INDEX(BookRank,219))</f>
        <v/>
      </c>
      <c r="I224" s="41" t="str">
        <f aca="false">IF(INDEX(BookTitle,219)="","",INDEX(BookTotal,219))</f>
        <v/>
      </c>
      <c r="J224" s="0" t="str">
        <f aca="false">IF($I224="","",IF(INDEX(BookQ1,219)&gt;0,"Q1",IF(INDEX(BookQ2,219)&gt;0,"Q2",IF(INDEX(BookQ3,219)&gt;0,"Q3",IF(INDEX(BookQ4,219)&gt;0,"Q4","")))))</f>
        <v/>
      </c>
      <c r="K224" s="42" t="str">
        <f aca="false">IF(INDEX(BookTitle,219)="","",INDEX(BookInYear,219))</f>
        <v/>
      </c>
      <c r="L224" s="19"/>
      <c r="M224" s="39"/>
      <c r="N224" s="19"/>
      <c r="O224" s="19"/>
      <c r="P224" s="43" t="str">
        <f aca="false">IF($E224="","",IF($L224="Decline",0,IF($L224="Approve fewer",IF($M224="","",$M224),IF($L224="","",$I224))))</f>
        <v/>
      </c>
      <c r="Q224" s="34" t="str">
        <f aca="false">IF($P224="","",IF($N224&lt;&gt;"",$N224,$J224))</f>
        <v/>
      </c>
      <c r="R224" s="35" t="str">
        <f aca="false">IF(OR($P224="",$Q224=""),"",INDEX(BookRate,219)*$P224*(5-MATCH($Q224,{"Q1";"Q2";"Q3";"Q4"},0))/4+INDEX(BookOneOff,219)*$P224)</f>
        <v/>
      </c>
      <c r="S224" s="35" t="str">
        <f aca="false">IF($P224="","",INDEX(BookRate,219)*$P224)</f>
        <v/>
      </c>
      <c r="T224" s="35" t="str">
        <f aca="false">IF($R224="","",$R224-$K224)</f>
        <v/>
      </c>
      <c r="U224" s="35" t="str">
        <f aca="false">IF(N($P224)&lt;=0,"",COUNTIF($P$6:$P224,"&gt;0"))</f>
        <v/>
      </c>
    </row>
    <row r="225" customFormat="false" ht="15" hidden="false" customHeight="false" outlineLevel="0" collapsed="false">
      <c r="A225" s="40" t="str">
        <f aca="false">IF(INDEX(BookTitle,220)="","",INDEX(BookGroup,220))</f>
        <v/>
      </c>
      <c r="B225" s="40" t="str">
        <f aca="false">IF(INDEX(BookTitle,220)="","",INDEX(BookRef,220))</f>
        <v/>
      </c>
      <c r="C225" s="40" t="str">
        <f aca="false">IF(INDEX(BookTitle,220)="","",INDEX(BookDivision,220))</f>
        <v/>
      </c>
      <c r="D225" s="40" t="str">
        <f aca="false">IF(INDEX(BookTitle,220)="","",INDEX(BookUnit,220))</f>
        <v/>
      </c>
      <c r="E225" s="40" t="str">
        <f aca="false">IF(INDEX(BookTitle,220)="","",INDEX(BookTitle,220))</f>
        <v/>
      </c>
      <c r="F225" s="40" t="str">
        <f aca="false">IF(INDEX(BookTitle,220)="","",INDEX(BookLevel,220))</f>
        <v/>
      </c>
      <c r="G225" s="40" t="str">
        <f aca="false">IF(INDEX(BookTitle,220)="","",INDEX(BookCategory,220))</f>
        <v/>
      </c>
      <c r="H225" s="40" t="str">
        <f aca="false">IF(INDEX(BookTitle,220)="","",INDEX(BookRank,220))</f>
        <v/>
      </c>
      <c r="I225" s="41" t="str">
        <f aca="false">IF(INDEX(BookTitle,220)="","",INDEX(BookTotal,220))</f>
        <v/>
      </c>
      <c r="J225" s="0" t="str">
        <f aca="false">IF($I225="","",IF(INDEX(BookQ1,220)&gt;0,"Q1",IF(INDEX(BookQ2,220)&gt;0,"Q2",IF(INDEX(BookQ3,220)&gt;0,"Q3",IF(INDEX(BookQ4,220)&gt;0,"Q4","")))))</f>
        <v/>
      </c>
      <c r="K225" s="42" t="str">
        <f aca="false">IF(INDEX(BookTitle,220)="","",INDEX(BookInYear,220))</f>
        <v/>
      </c>
      <c r="L225" s="19"/>
      <c r="M225" s="39"/>
      <c r="N225" s="19"/>
      <c r="O225" s="19"/>
      <c r="P225" s="43" t="str">
        <f aca="false">IF($E225="","",IF($L225="Decline",0,IF($L225="Approve fewer",IF($M225="","",$M225),IF($L225="","",$I225))))</f>
        <v/>
      </c>
      <c r="Q225" s="34" t="str">
        <f aca="false">IF($P225="","",IF($N225&lt;&gt;"",$N225,$J225))</f>
        <v/>
      </c>
      <c r="R225" s="35" t="str">
        <f aca="false">IF(OR($P225="",$Q225=""),"",INDEX(BookRate,220)*$P225*(5-MATCH($Q225,{"Q1";"Q2";"Q3";"Q4"},0))/4+INDEX(BookOneOff,220)*$P225)</f>
        <v/>
      </c>
      <c r="S225" s="35" t="str">
        <f aca="false">IF($P225="","",INDEX(BookRate,220)*$P225)</f>
        <v/>
      </c>
      <c r="T225" s="35" t="str">
        <f aca="false">IF($R225="","",$R225-$K225)</f>
        <v/>
      </c>
      <c r="U225" s="35" t="str">
        <f aca="false">IF(N($P225)&lt;=0,"",COUNTIF($P$6:$P225,"&gt;0"))</f>
        <v/>
      </c>
    </row>
    <row r="226" customFormat="false" ht="15" hidden="false" customHeight="false" outlineLevel="0" collapsed="false">
      <c r="A226" s="40" t="str">
        <f aca="false">IF(INDEX(BookTitle,221)="","",INDEX(BookGroup,221))</f>
        <v/>
      </c>
      <c r="B226" s="40" t="str">
        <f aca="false">IF(INDEX(BookTitle,221)="","",INDEX(BookRef,221))</f>
        <v/>
      </c>
      <c r="C226" s="40" t="str">
        <f aca="false">IF(INDEX(BookTitle,221)="","",INDEX(BookDivision,221))</f>
        <v/>
      </c>
      <c r="D226" s="40" t="str">
        <f aca="false">IF(INDEX(BookTitle,221)="","",INDEX(BookUnit,221))</f>
        <v/>
      </c>
      <c r="E226" s="40" t="str">
        <f aca="false">IF(INDEX(BookTitle,221)="","",INDEX(BookTitle,221))</f>
        <v/>
      </c>
      <c r="F226" s="40" t="str">
        <f aca="false">IF(INDEX(BookTitle,221)="","",INDEX(BookLevel,221))</f>
        <v/>
      </c>
      <c r="G226" s="40" t="str">
        <f aca="false">IF(INDEX(BookTitle,221)="","",INDEX(BookCategory,221))</f>
        <v/>
      </c>
      <c r="H226" s="40" t="str">
        <f aca="false">IF(INDEX(BookTitle,221)="","",INDEX(BookRank,221))</f>
        <v/>
      </c>
      <c r="I226" s="41" t="str">
        <f aca="false">IF(INDEX(BookTitle,221)="","",INDEX(BookTotal,221))</f>
        <v/>
      </c>
      <c r="J226" s="0" t="str">
        <f aca="false">IF($I226="","",IF(INDEX(BookQ1,221)&gt;0,"Q1",IF(INDEX(BookQ2,221)&gt;0,"Q2",IF(INDEX(BookQ3,221)&gt;0,"Q3",IF(INDEX(BookQ4,221)&gt;0,"Q4","")))))</f>
        <v/>
      </c>
      <c r="K226" s="42" t="str">
        <f aca="false">IF(INDEX(BookTitle,221)="","",INDEX(BookInYear,221))</f>
        <v/>
      </c>
      <c r="L226" s="19"/>
      <c r="M226" s="39"/>
      <c r="N226" s="19"/>
      <c r="O226" s="19"/>
      <c r="P226" s="43" t="str">
        <f aca="false">IF($E226="","",IF($L226="Decline",0,IF($L226="Approve fewer",IF($M226="","",$M226),IF($L226="","",$I226))))</f>
        <v/>
      </c>
      <c r="Q226" s="34" t="str">
        <f aca="false">IF($P226="","",IF($N226&lt;&gt;"",$N226,$J226))</f>
        <v/>
      </c>
      <c r="R226" s="35" t="str">
        <f aca="false">IF(OR($P226="",$Q226=""),"",INDEX(BookRate,221)*$P226*(5-MATCH($Q226,{"Q1";"Q2";"Q3";"Q4"},0))/4+INDEX(BookOneOff,221)*$P226)</f>
        <v/>
      </c>
      <c r="S226" s="35" t="str">
        <f aca="false">IF($P226="","",INDEX(BookRate,221)*$P226)</f>
        <v/>
      </c>
      <c r="T226" s="35" t="str">
        <f aca="false">IF($R226="","",$R226-$K226)</f>
        <v/>
      </c>
      <c r="U226" s="35" t="str">
        <f aca="false">IF(N($P226)&lt;=0,"",COUNTIF($P$6:$P226,"&gt;0"))</f>
        <v/>
      </c>
    </row>
    <row r="227" customFormat="false" ht="15" hidden="false" customHeight="false" outlineLevel="0" collapsed="false">
      <c r="A227" s="40" t="str">
        <f aca="false">IF(INDEX(BookTitle,222)="","",INDEX(BookGroup,222))</f>
        <v/>
      </c>
      <c r="B227" s="40" t="str">
        <f aca="false">IF(INDEX(BookTitle,222)="","",INDEX(BookRef,222))</f>
        <v/>
      </c>
      <c r="C227" s="40" t="str">
        <f aca="false">IF(INDEX(BookTitle,222)="","",INDEX(BookDivision,222))</f>
        <v/>
      </c>
      <c r="D227" s="40" t="str">
        <f aca="false">IF(INDEX(BookTitle,222)="","",INDEX(BookUnit,222))</f>
        <v/>
      </c>
      <c r="E227" s="40" t="str">
        <f aca="false">IF(INDEX(BookTitle,222)="","",INDEX(BookTitle,222))</f>
        <v/>
      </c>
      <c r="F227" s="40" t="str">
        <f aca="false">IF(INDEX(BookTitle,222)="","",INDEX(BookLevel,222))</f>
        <v/>
      </c>
      <c r="G227" s="40" t="str">
        <f aca="false">IF(INDEX(BookTitle,222)="","",INDEX(BookCategory,222))</f>
        <v/>
      </c>
      <c r="H227" s="40" t="str">
        <f aca="false">IF(INDEX(BookTitle,222)="","",INDEX(BookRank,222))</f>
        <v/>
      </c>
      <c r="I227" s="41" t="str">
        <f aca="false">IF(INDEX(BookTitle,222)="","",INDEX(BookTotal,222))</f>
        <v/>
      </c>
      <c r="J227" s="0" t="str">
        <f aca="false">IF($I227="","",IF(INDEX(BookQ1,222)&gt;0,"Q1",IF(INDEX(BookQ2,222)&gt;0,"Q2",IF(INDEX(BookQ3,222)&gt;0,"Q3",IF(INDEX(BookQ4,222)&gt;0,"Q4","")))))</f>
        <v/>
      </c>
      <c r="K227" s="42" t="str">
        <f aca="false">IF(INDEX(BookTitle,222)="","",INDEX(BookInYear,222))</f>
        <v/>
      </c>
      <c r="L227" s="19"/>
      <c r="M227" s="39"/>
      <c r="N227" s="19"/>
      <c r="O227" s="19"/>
      <c r="P227" s="43" t="str">
        <f aca="false">IF($E227="","",IF($L227="Decline",0,IF($L227="Approve fewer",IF($M227="","",$M227),IF($L227="","",$I227))))</f>
        <v/>
      </c>
      <c r="Q227" s="34" t="str">
        <f aca="false">IF($P227="","",IF($N227&lt;&gt;"",$N227,$J227))</f>
        <v/>
      </c>
      <c r="R227" s="35" t="str">
        <f aca="false">IF(OR($P227="",$Q227=""),"",INDEX(BookRate,222)*$P227*(5-MATCH($Q227,{"Q1";"Q2";"Q3";"Q4"},0))/4+INDEX(BookOneOff,222)*$P227)</f>
        <v/>
      </c>
      <c r="S227" s="35" t="str">
        <f aca="false">IF($P227="","",INDEX(BookRate,222)*$P227)</f>
        <v/>
      </c>
      <c r="T227" s="35" t="str">
        <f aca="false">IF($R227="","",$R227-$K227)</f>
        <v/>
      </c>
      <c r="U227" s="35" t="str">
        <f aca="false">IF(N($P227)&lt;=0,"",COUNTIF($P$6:$P227,"&gt;0"))</f>
        <v/>
      </c>
    </row>
    <row r="228" customFormat="false" ht="15" hidden="false" customHeight="false" outlineLevel="0" collapsed="false">
      <c r="A228" s="40" t="str">
        <f aca="false">IF(INDEX(BookTitle,223)="","",INDEX(BookGroup,223))</f>
        <v/>
      </c>
      <c r="B228" s="40" t="str">
        <f aca="false">IF(INDEX(BookTitle,223)="","",INDEX(BookRef,223))</f>
        <v/>
      </c>
      <c r="C228" s="40" t="str">
        <f aca="false">IF(INDEX(BookTitle,223)="","",INDEX(BookDivision,223))</f>
        <v/>
      </c>
      <c r="D228" s="40" t="str">
        <f aca="false">IF(INDEX(BookTitle,223)="","",INDEX(BookUnit,223))</f>
        <v/>
      </c>
      <c r="E228" s="40" t="str">
        <f aca="false">IF(INDEX(BookTitle,223)="","",INDEX(BookTitle,223))</f>
        <v/>
      </c>
      <c r="F228" s="40" t="str">
        <f aca="false">IF(INDEX(BookTitle,223)="","",INDEX(BookLevel,223))</f>
        <v/>
      </c>
      <c r="G228" s="40" t="str">
        <f aca="false">IF(INDEX(BookTitle,223)="","",INDEX(BookCategory,223))</f>
        <v/>
      </c>
      <c r="H228" s="40" t="str">
        <f aca="false">IF(INDEX(BookTitle,223)="","",INDEX(BookRank,223))</f>
        <v/>
      </c>
      <c r="I228" s="41" t="str">
        <f aca="false">IF(INDEX(BookTitle,223)="","",INDEX(BookTotal,223))</f>
        <v/>
      </c>
      <c r="J228" s="0" t="str">
        <f aca="false">IF($I228="","",IF(INDEX(BookQ1,223)&gt;0,"Q1",IF(INDEX(BookQ2,223)&gt;0,"Q2",IF(INDEX(BookQ3,223)&gt;0,"Q3",IF(INDEX(BookQ4,223)&gt;0,"Q4","")))))</f>
        <v/>
      </c>
      <c r="K228" s="42" t="str">
        <f aca="false">IF(INDEX(BookTitle,223)="","",INDEX(BookInYear,223))</f>
        <v/>
      </c>
      <c r="L228" s="19"/>
      <c r="M228" s="39"/>
      <c r="N228" s="19"/>
      <c r="O228" s="19"/>
      <c r="P228" s="43" t="str">
        <f aca="false">IF($E228="","",IF($L228="Decline",0,IF($L228="Approve fewer",IF($M228="","",$M228),IF($L228="","",$I228))))</f>
        <v/>
      </c>
      <c r="Q228" s="34" t="str">
        <f aca="false">IF($P228="","",IF($N228&lt;&gt;"",$N228,$J228))</f>
        <v/>
      </c>
      <c r="R228" s="35" t="str">
        <f aca="false">IF(OR($P228="",$Q228=""),"",INDEX(BookRate,223)*$P228*(5-MATCH($Q228,{"Q1";"Q2";"Q3";"Q4"},0))/4+INDEX(BookOneOff,223)*$P228)</f>
        <v/>
      </c>
      <c r="S228" s="35" t="str">
        <f aca="false">IF($P228="","",INDEX(BookRate,223)*$P228)</f>
        <v/>
      </c>
      <c r="T228" s="35" t="str">
        <f aca="false">IF($R228="","",$R228-$K228)</f>
        <v/>
      </c>
      <c r="U228" s="35" t="str">
        <f aca="false">IF(N($P228)&lt;=0,"",COUNTIF($P$6:$P228,"&gt;0"))</f>
        <v/>
      </c>
    </row>
    <row r="229" customFormat="false" ht="15" hidden="false" customHeight="false" outlineLevel="0" collapsed="false">
      <c r="A229" s="40" t="str">
        <f aca="false">IF(INDEX(BookTitle,224)="","",INDEX(BookGroup,224))</f>
        <v/>
      </c>
      <c r="B229" s="40" t="str">
        <f aca="false">IF(INDEX(BookTitle,224)="","",INDEX(BookRef,224))</f>
        <v/>
      </c>
      <c r="C229" s="40" t="str">
        <f aca="false">IF(INDEX(BookTitle,224)="","",INDEX(BookDivision,224))</f>
        <v/>
      </c>
      <c r="D229" s="40" t="str">
        <f aca="false">IF(INDEX(BookTitle,224)="","",INDEX(BookUnit,224))</f>
        <v/>
      </c>
      <c r="E229" s="40" t="str">
        <f aca="false">IF(INDEX(BookTitle,224)="","",INDEX(BookTitle,224))</f>
        <v/>
      </c>
      <c r="F229" s="40" t="str">
        <f aca="false">IF(INDEX(BookTitle,224)="","",INDEX(BookLevel,224))</f>
        <v/>
      </c>
      <c r="G229" s="40" t="str">
        <f aca="false">IF(INDEX(BookTitle,224)="","",INDEX(BookCategory,224))</f>
        <v/>
      </c>
      <c r="H229" s="40" t="str">
        <f aca="false">IF(INDEX(BookTitle,224)="","",INDEX(BookRank,224))</f>
        <v/>
      </c>
      <c r="I229" s="41" t="str">
        <f aca="false">IF(INDEX(BookTitle,224)="","",INDEX(BookTotal,224))</f>
        <v/>
      </c>
      <c r="J229" s="0" t="str">
        <f aca="false">IF($I229="","",IF(INDEX(BookQ1,224)&gt;0,"Q1",IF(INDEX(BookQ2,224)&gt;0,"Q2",IF(INDEX(BookQ3,224)&gt;0,"Q3",IF(INDEX(BookQ4,224)&gt;0,"Q4","")))))</f>
        <v/>
      </c>
      <c r="K229" s="42" t="str">
        <f aca="false">IF(INDEX(BookTitle,224)="","",INDEX(BookInYear,224))</f>
        <v/>
      </c>
      <c r="L229" s="19"/>
      <c r="M229" s="39"/>
      <c r="N229" s="19"/>
      <c r="O229" s="19"/>
      <c r="P229" s="43" t="str">
        <f aca="false">IF($E229="","",IF($L229="Decline",0,IF($L229="Approve fewer",IF($M229="","",$M229),IF($L229="","",$I229))))</f>
        <v/>
      </c>
      <c r="Q229" s="34" t="str">
        <f aca="false">IF($P229="","",IF($N229&lt;&gt;"",$N229,$J229))</f>
        <v/>
      </c>
      <c r="R229" s="35" t="str">
        <f aca="false">IF(OR($P229="",$Q229=""),"",INDEX(BookRate,224)*$P229*(5-MATCH($Q229,{"Q1";"Q2";"Q3";"Q4"},0))/4+INDEX(BookOneOff,224)*$P229)</f>
        <v/>
      </c>
      <c r="S229" s="35" t="str">
        <f aca="false">IF($P229="","",INDEX(BookRate,224)*$P229)</f>
        <v/>
      </c>
      <c r="T229" s="35" t="str">
        <f aca="false">IF($R229="","",$R229-$K229)</f>
        <v/>
      </c>
      <c r="U229" s="35" t="str">
        <f aca="false">IF(N($P229)&lt;=0,"",COUNTIF($P$6:$P229,"&gt;0"))</f>
        <v/>
      </c>
    </row>
    <row r="230" customFormat="false" ht="15" hidden="false" customHeight="false" outlineLevel="0" collapsed="false">
      <c r="A230" s="40" t="str">
        <f aca="false">IF(INDEX(BookTitle,225)="","",INDEX(BookGroup,225))</f>
        <v/>
      </c>
      <c r="B230" s="40" t="str">
        <f aca="false">IF(INDEX(BookTitle,225)="","",INDEX(BookRef,225))</f>
        <v/>
      </c>
      <c r="C230" s="40" t="str">
        <f aca="false">IF(INDEX(BookTitle,225)="","",INDEX(BookDivision,225))</f>
        <v/>
      </c>
      <c r="D230" s="40" t="str">
        <f aca="false">IF(INDEX(BookTitle,225)="","",INDEX(BookUnit,225))</f>
        <v/>
      </c>
      <c r="E230" s="40" t="str">
        <f aca="false">IF(INDEX(BookTitle,225)="","",INDEX(BookTitle,225))</f>
        <v/>
      </c>
      <c r="F230" s="40" t="str">
        <f aca="false">IF(INDEX(BookTitle,225)="","",INDEX(BookLevel,225))</f>
        <v/>
      </c>
      <c r="G230" s="40" t="str">
        <f aca="false">IF(INDEX(BookTitle,225)="","",INDEX(BookCategory,225))</f>
        <v/>
      </c>
      <c r="H230" s="40" t="str">
        <f aca="false">IF(INDEX(BookTitle,225)="","",INDEX(BookRank,225))</f>
        <v/>
      </c>
      <c r="I230" s="41" t="str">
        <f aca="false">IF(INDEX(BookTitle,225)="","",INDEX(BookTotal,225))</f>
        <v/>
      </c>
      <c r="J230" s="0" t="str">
        <f aca="false">IF($I230="","",IF(INDEX(BookQ1,225)&gt;0,"Q1",IF(INDEX(BookQ2,225)&gt;0,"Q2",IF(INDEX(BookQ3,225)&gt;0,"Q3",IF(INDEX(BookQ4,225)&gt;0,"Q4","")))))</f>
        <v/>
      </c>
      <c r="K230" s="42" t="str">
        <f aca="false">IF(INDEX(BookTitle,225)="","",INDEX(BookInYear,225))</f>
        <v/>
      </c>
      <c r="L230" s="19"/>
      <c r="M230" s="39"/>
      <c r="N230" s="19"/>
      <c r="O230" s="19"/>
      <c r="P230" s="43" t="str">
        <f aca="false">IF($E230="","",IF($L230="Decline",0,IF($L230="Approve fewer",IF($M230="","",$M230),IF($L230="","",$I230))))</f>
        <v/>
      </c>
      <c r="Q230" s="34" t="str">
        <f aca="false">IF($P230="","",IF($N230&lt;&gt;"",$N230,$J230))</f>
        <v/>
      </c>
      <c r="R230" s="35" t="str">
        <f aca="false">IF(OR($P230="",$Q230=""),"",INDEX(BookRate,225)*$P230*(5-MATCH($Q230,{"Q1";"Q2";"Q3";"Q4"},0))/4+INDEX(BookOneOff,225)*$P230)</f>
        <v/>
      </c>
      <c r="S230" s="35" t="str">
        <f aca="false">IF($P230="","",INDEX(BookRate,225)*$P230)</f>
        <v/>
      </c>
      <c r="T230" s="35" t="str">
        <f aca="false">IF($R230="","",$R230-$K230)</f>
        <v/>
      </c>
      <c r="U230" s="35" t="str">
        <f aca="false">IF(N($P230)&lt;=0,"",COUNTIF($P$6:$P230,"&gt;0"))</f>
        <v/>
      </c>
    </row>
    <row r="231" customFormat="false" ht="15" hidden="false" customHeight="false" outlineLevel="0" collapsed="false">
      <c r="A231" s="40" t="str">
        <f aca="false">IF(INDEX(BookTitle,226)="","",INDEX(BookGroup,226))</f>
        <v/>
      </c>
      <c r="B231" s="40" t="str">
        <f aca="false">IF(INDEX(BookTitle,226)="","",INDEX(BookRef,226))</f>
        <v/>
      </c>
      <c r="C231" s="40" t="str">
        <f aca="false">IF(INDEX(BookTitle,226)="","",INDEX(BookDivision,226))</f>
        <v/>
      </c>
      <c r="D231" s="40" t="str">
        <f aca="false">IF(INDEX(BookTitle,226)="","",INDEX(BookUnit,226))</f>
        <v/>
      </c>
      <c r="E231" s="40" t="str">
        <f aca="false">IF(INDEX(BookTitle,226)="","",INDEX(BookTitle,226))</f>
        <v/>
      </c>
      <c r="F231" s="40" t="str">
        <f aca="false">IF(INDEX(BookTitle,226)="","",INDEX(BookLevel,226))</f>
        <v/>
      </c>
      <c r="G231" s="40" t="str">
        <f aca="false">IF(INDEX(BookTitle,226)="","",INDEX(BookCategory,226))</f>
        <v/>
      </c>
      <c r="H231" s="40" t="str">
        <f aca="false">IF(INDEX(BookTitle,226)="","",INDEX(BookRank,226))</f>
        <v/>
      </c>
      <c r="I231" s="41" t="str">
        <f aca="false">IF(INDEX(BookTitle,226)="","",INDEX(BookTotal,226))</f>
        <v/>
      </c>
      <c r="J231" s="0" t="str">
        <f aca="false">IF($I231="","",IF(INDEX(BookQ1,226)&gt;0,"Q1",IF(INDEX(BookQ2,226)&gt;0,"Q2",IF(INDEX(BookQ3,226)&gt;0,"Q3",IF(INDEX(BookQ4,226)&gt;0,"Q4","")))))</f>
        <v/>
      </c>
      <c r="K231" s="42" t="str">
        <f aca="false">IF(INDEX(BookTitle,226)="","",INDEX(BookInYear,226))</f>
        <v/>
      </c>
      <c r="L231" s="19"/>
      <c r="M231" s="39"/>
      <c r="N231" s="19"/>
      <c r="O231" s="19"/>
      <c r="P231" s="43" t="str">
        <f aca="false">IF($E231="","",IF($L231="Decline",0,IF($L231="Approve fewer",IF($M231="","",$M231),IF($L231="","",$I231))))</f>
        <v/>
      </c>
      <c r="Q231" s="34" t="str">
        <f aca="false">IF($P231="","",IF($N231&lt;&gt;"",$N231,$J231))</f>
        <v/>
      </c>
      <c r="R231" s="35" t="str">
        <f aca="false">IF(OR($P231="",$Q231=""),"",INDEX(BookRate,226)*$P231*(5-MATCH($Q231,{"Q1";"Q2";"Q3";"Q4"},0))/4+INDEX(BookOneOff,226)*$P231)</f>
        <v/>
      </c>
      <c r="S231" s="35" t="str">
        <f aca="false">IF($P231="","",INDEX(BookRate,226)*$P231)</f>
        <v/>
      </c>
      <c r="T231" s="35" t="str">
        <f aca="false">IF($R231="","",$R231-$K231)</f>
        <v/>
      </c>
      <c r="U231" s="35" t="str">
        <f aca="false">IF(N($P231)&lt;=0,"",COUNTIF($P$6:$P231,"&gt;0"))</f>
        <v/>
      </c>
    </row>
    <row r="232" customFormat="false" ht="15" hidden="false" customHeight="false" outlineLevel="0" collapsed="false">
      <c r="A232" s="40" t="str">
        <f aca="false">IF(INDEX(BookTitle,227)="","",INDEX(BookGroup,227))</f>
        <v/>
      </c>
      <c r="B232" s="40" t="str">
        <f aca="false">IF(INDEX(BookTitle,227)="","",INDEX(BookRef,227))</f>
        <v/>
      </c>
      <c r="C232" s="40" t="str">
        <f aca="false">IF(INDEX(BookTitle,227)="","",INDEX(BookDivision,227))</f>
        <v/>
      </c>
      <c r="D232" s="40" t="str">
        <f aca="false">IF(INDEX(BookTitle,227)="","",INDEX(BookUnit,227))</f>
        <v/>
      </c>
      <c r="E232" s="40" t="str">
        <f aca="false">IF(INDEX(BookTitle,227)="","",INDEX(BookTitle,227))</f>
        <v/>
      </c>
      <c r="F232" s="40" t="str">
        <f aca="false">IF(INDEX(BookTitle,227)="","",INDEX(BookLevel,227))</f>
        <v/>
      </c>
      <c r="G232" s="40" t="str">
        <f aca="false">IF(INDEX(BookTitle,227)="","",INDEX(BookCategory,227))</f>
        <v/>
      </c>
      <c r="H232" s="40" t="str">
        <f aca="false">IF(INDEX(BookTitle,227)="","",INDEX(BookRank,227))</f>
        <v/>
      </c>
      <c r="I232" s="41" t="str">
        <f aca="false">IF(INDEX(BookTitle,227)="","",INDEX(BookTotal,227))</f>
        <v/>
      </c>
      <c r="J232" s="0" t="str">
        <f aca="false">IF($I232="","",IF(INDEX(BookQ1,227)&gt;0,"Q1",IF(INDEX(BookQ2,227)&gt;0,"Q2",IF(INDEX(BookQ3,227)&gt;0,"Q3",IF(INDEX(BookQ4,227)&gt;0,"Q4","")))))</f>
        <v/>
      </c>
      <c r="K232" s="42" t="str">
        <f aca="false">IF(INDEX(BookTitle,227)="","",INDEX(BookInYear,227))</f>
        <v/>
      </c>
      <c r="L232" s="19"/>
      <c r="M232" s="39"/>
      <c r="N232" s="19"/>
      <c r="O232" s="19"/>
      <c r="P232" s="43" t="str">
        <f aca="false">IF($E232="","",IF($L232="Decline",0,IF($L232="Approve fewer",IF($M232="","",$M232),IF($L232="","",$I232))))</f>
        <v/>
      </c>
      <c r="Q232" s="34" t="str">
        <f aca="false">IF($P232="","",IF($N232&lt;&gt;"",$N232,$J232))</f>
        <v/>
      </c>
      <c r="R232" s="35" t="str">
        <f aca="false">IF(OR($P232="",$Q232=""),"",INDEX(BookRate,227)*$P232*(5-MATCH($Q232,{"Q1";"Q2";"Q3";"Q4"},0))/4+INDEX(BookOneOff,227)*$P232)</f>
        <v/>
      </c>
      <c r="S232" s="35" t="str">
        <f aca="false">IF($P232="","",INDEX(BookRate,227)*$P232)</f>
        <v/>
      </c>
      <c r="T232" s="35" t="str">
        <f aca="false">IF($R232="","",$R232-$K232)</f>
        <v/>
      </c>
      <c r="U232" s="35" t="str">
        <f aca="false">IF(N($P232)&lt;=0,"",COUNTIF($P$6:$P232,"&gt;0"))</f>
        <v/>
      </c>
    </row>
    <row r="233" customFormat="false" ht="15" hidden="false" customHeight="false" outlineLevel="0" collapsed="false">
      <c r="A233" s="40" t="str">
        <f aca="false">IF(INDEX(BookTitle,228)="","",INDEX(BookGroup,228))</f>
        <v/>
      </c>
      <c r="B233" s="40" t="str">
        <f aca="false">IF(INDEX(BookTitle,228)="","",INDEX(BookRef,228))</f>
        <v/>
      </c>
      <c r="C233" s="40" t="str">
        <f aca="false">IF(INDEX(BookTitle,228)="","",INDEX(BookDivision,228))</f>
        <v/>
      </c>
      <c r="D233" s="40" t="str">
        <f aca="false">IF(INDEX(BookTitle,228)="","",INDEX(BookUnit,228))</f>
        <v/>
      </c>
      <c r="E233" s="40" t="str">
        <f aca="false">IF(INDEX(BookTitle,228)="","",INDEX(BookTitle,228))</f>
        <v/>
      </c>
      <c r="F233" s="40" t="str">
        <f aca="false">IF(INDEX(BookTitle,228)="","",INDEX(BookLevel,228))</f>
        <v/>
      </c>
      <c r="G233" s="40" t="str">
        <f aca="false">IF(INDEX(BookTitle,228)="","",INDEX(BookCategory,228))</f>
        <v/>
      </c>
      <c r="H233" s="40" t="str">
        <f aca="false">IF(INDEX(BookTitle,228)="","",INDEX(BookRank,228))</f>
        <v/>
      </c>
      <c r="I233" s="41" t="str">
        <f aca="false">IF(INDEX(BookTitle,228)="","",INDEX(BookTotal,228))</f>
        <v/>
      </c>
      <c r="J233" s="0" t="str">
        <f aca="false">IF($I233="","",IF(INDEX(BookQ1,228)&gt;0,"Q1",IF(INDEX(BookQ2,228)&gt;0,"Q2",IF(INDEX(BookQ3,228)&gt;0,"Q3",IF(INDEX(BookQ4,228)&gt;0,"Q4","")))))</f>
        <v/>
      </c>
      <c r="K233" s="42" t="str">
        <f aca="false">IF(INDEX(BookTitle,228)="","",INDEX(BookInYear,228))</f>
        <v/>
      </c>
      <c r="L233" s="19"/>
      <c r="M233" s="39"/>
      <c r="N233" s="19"/>
      <c r="O233" s="19"/>
      <c r="P233" s="43" t="str">
        <f aca="false">IF($E233="","",IF($L233="Decline",0,IF($L233="Approve fewer",IF($M233="","",$M233),IF($L233="","",$I233))))</f>
        <v/>
      </c>
      <c r="Q233" s="34" t="str">
        <f aca="false">IF($P233="","",IF($N233&lt;&gt;"",$N233,$J233))</f>
        <v/>
      </c>
      <c r="R233" s="35" t="str">
        <f aca="false">IF(OR($P233="",$Q233=""),"",INDEX(BookRate,228)*$P233*(5-MATCH($Q233,{"Q1";"Q2";"Q3";"Q4"},0))/4+INDEX(BookOneOff,228)*$P233)</f>
        <v/>
      </c>
      <c r="S233" s="35" t="str">
        <f aca="false">IF($P233="","",INDEX(BookRate,228)*$P233)</f>
        <v/>
      </c>
      <c r="T233" s="35" t="str">
        <f aca="false">IF($R233="","",$R233-$K233)</f>
        <v/>
      </c>
      <c r="U233" s="35" t="str">
        <f aca="false">IF(N($P233)&lt;=0,"",COUNTIF($P$6:$P233,"&gt;0"))</f>
        <v/>
      </c>
    </row>
    <row r="234" customFormat="false" ht="15" hidden="false" customHeight="false" outlineLevel="0" collapsed="false">
      <c r="A234" s="40" t="str">
        <f aca="false">IF(INDEX(BookTitle,229)="","",INDEX(BookGroup,229))</f>
        <v/>
      </c>
      <c r="B234" s="40" t="str">
        <f aca="false">IF(INDEX(BookTitle,229)="","",INDEX(BookRef,229))</f>
        <v/>
      </c>
      <c r="C234" s="40" t="str">
        <f aca="false">IF(INDEX(BookTitle,229)="","",INDEX(BookDivision,229))</f>
        <v/>
      </c>
      <c r="D234" s="40" t="str">
        <f aca="false">IF(INDEX(BookTitle,229)="","",INDEX(BookUnit,229))</f>
        <v/>
      </c>
      <c r="E234" s="40" t="str">
        <f aca="false">IF(INDEX(BookTitle,229)="","",INDEX(BookTitle,229))</f>
        <v/>
      </c>
      <c r="F234" s="40" t="str">
        <f aca="false">IF(INDEX(BookTitle,229)="","",INDEX(BookLevel,229))</f>
        <v/>
      </c>
      <c r="G234" s="40" t="str">
        <f aca="false">IF(INDEX(BookTitle,229)="","",INDEX(BookCategory,229))</f>
        <v/>
      </c>
      <c r="H234" s="40" t="str">
        <f aca="false">IF(INDEX(BookTitle,229)="","",INDEX(BookRank,229))</f>
        <v/>
      </c>
      <c r="I234" s="41" t="str">
        <f aca="false">IF(INDEX(BookTitle,229)="","",INDEX(BookTotal,229))</f>
        <v/>
      </c>
      <c r="J234" s="0" t="str">
        <f aca="false">IF($I234="","",IF(INDEX(BookQ1,229)&gt;0,"Q1",IF(INDEX(BookQ2,229)&gt;0,"Q2",IF(INDEX(BookQ3,229)&gt;0,"Q3",IF(INDEX(BookQ4,229)&gt;0,"Q4","")))))</f>
        <v/>
      </c>
      <c r="K234" s="42" t="str">
        <f aca="false">IF(INDEX(BookTitle,229)="","",INDEX(BookInYear,229))</f>
        <v/>
      </c>
      <c r="L234" s="19"/>
      <c r="M234" s="39"/>
      <c r="N234" s="19"/>
      <c r="O234" s="19"/>
      <c r="P234" s="43" t="str">
        <f aca="false">IF($E234="","",IF($L234="Decline",0,IF($L234="Approve fewer",IF($M234="","",$M234),IF($L234="","",$I234))))</f>
        <v/>
      </c>
      <c r="Q234" s="34" t="str">
        <f aca="false">IF($P234="","",IF($N234&lt;&gt;"",$N234,$J234))</f>
        <v/>
      </c>
      <c r="R234" s="35" t="str">
        <f aca="false">IF(OR($P234="",$Q234=""),"",INDEX(BookRate,229)*$P234*(5-MATCH($Q234,{"Q1";"Q2";"Q3";"Q4"},0))/4+INDEX(BookOneOff,229)*$P234)</f>
        <v/>
      </c>
      <c r="S234" s="35" t="str">
        <f aca="false">IF($P234="","",INDEX(BookRate,229)*$P234)</f>
        <v/>
      </c>
      <c r="T234" s="35" t="str">
        <f aca="false">IF($R234="","",$R234-$K234)</f>
        <v/>
      </c>
      <c r="U234" s="35" t="str">
        <f aca="false">IF(N($P234)&lt;=0,"",COUNTIF($P$6:$P234,"&gt;0"))</f>
        <v/>
      </c>
    </row>
    <row r="235" customFormat="false" ht="15" hidden="false" customHeight="false" outlineLevel="0" collapsed="false">
      <c r="A235" s="40" t="str">
        <f aca="false">IF(INDEX(BookTitle,230)="","",INDEX(BookGroup,230))</f>
        <v/>
      </c>
      <c r="B235" s="40" t="str">
        <f aca="false">IF(INDEX(BookTitle,230)="","",INDEX(BookRef,230))</f>
        <v/>
      </c>
      <c r="C235" s="40" t="str">
        <f aca="false">IF(INDEX(BookTitle,230)="","",INDEX(BookDivision,230))</f>
        <v/>
      </c>
      <c r="D235" s="40" t="str">
        <f aca="false">IF(INDEX(BookTitle,230)="","",INDEX(BookUnit,230))</f>
        <v/>
      </c>
      <c r="E235" s="40" t="str">
        <f aca="false">IF(INDEX(BookTitle,230)="","",INDEX(BookTitle,230))</f>
        <v/>
      </c>
      <c r="F235" s="40" t="str">
        <f aca="false">IF(INDEX(BookTitle,230)="","",INDEX(BookLevel,230))</f>
        <v/>
      </c>
      <c r="G235" s="40" t="str">
        <f aca="false">IF(INDEX(BookTitle,230)="","",INDEX(BookCategory,230))</f>
        <v/>
      </c>
      <c r="H235" s="40" t="str">
        <f aca="false">IF(INDEX(BookTitle,230)="","",INDEX(BookRank,230))</f>
        <v/>
      </c>
      <c r="I235" s="41" t="str">
        <f aca="false">IF(INDEX(BookTitle,230)="","",INDEX(BookTotal,230))</f>
        <v/>
      </c>
      <c r="J235" s="0" t="str">
        <f aca="false">IF($I235="","",IF(INDEX(BookQ1,230)&gt;0,"Q1",IF(INDEX(BookQ2,230)&gt;0,"Q2",IF(INDEX(BookQ3,230)&gt;0,"Q3",IF(INDEX(BookQ4,230)&gt;0,"Q4","")))))</f>
        <v/>
      </c>
      <c r="K235" s="42" t="str">
        <f aca="false">IF(INDEX(BookTitle,230)="","",INDEX(BookInYear,230))</f>
        <v/>
      </c>
      <c r="L235" s="19"/>
      <c r="M235" s="39"/>
      <c r="N235" s="19"/>
      <c r="O235" s="19"/>
      <c r="P235" s="43" t="str">
        <f aca="false">IF($E235="","",IF($L235="Decline",0,IF($L235="Approve fewer",IF($M235="","",$M235),IF($L235="","",$I235))))</f>
        <v/>
      </c>
      <c r="Q235" s="34" t="str">
        <f aca="false">IF($P235="","",IF($N235&lt;&gt;"",$N235,$J235))</f>
        <v/>
      </c>
      <c r="R235" s="35" t="str">
        <f aca="false">IF(OR($P235="",$Q235=""),"",INDEX(BookRate,230)*$P235*(5-MATCH($Q235,{"Q1";"Q2";"Q3";"Q4"},0))/4+INDEX(BookOneOff,230)*$P235)</f>
        <v/>
      </c>
      <c r="S235" s="35" t="str">
        <f aca="false">IF($P235="","",INDEX(BookRate,230)*$P235)</f>
        <v/>
      </c>
      <c r="T235" s="35" t="str">
        <f aca="false">IF($R235="","",$R235-$K235)</f>
        <v/>
      </c>
      <c r="U235" s="35" t="str">
        <f aca="false">IF(N($P235)&lt;=0,"",COUNTIF($P$6:$P235,"&gt;0"))</f>
        <v/>
      </c>
    </row>
    <row r="236" customFormat="false" ht="15" hidden="false" customHeight="false" outlineLevel="0" collapsed="false">
      <c r="A236" s="40" t="str">
        <f aca="false">IF(INDEX(BookTitle,231)="","",INDEX(BookGroup,231))</f>
        <v/>
      </c>
      <c r="B236" s="40" t="str">
        <f aca="false">IF(INDEX(BookTitle,231)="","",INDEX(BookRef,231))</f>
        <v/>
      </c>
      <c r="C236" s="40" t="str">
        <f aca="false">IF(INDEX(BookTitle,231)="","",INDEX(BookDivision,231))</f>
        <v/>
      </c>
      <c r="D236" s="40" t="str">
        <f aca="false">IF(INDEX(BookTitle,231)="","",INDEX(BookUnit,231))</f>
        <v/>
      </c>
      <c r="E236" s="40" t="str">
        <f aca="false">IF(INDEX(BookTitle,231)="","",INDEX(BookTitle,231))</f>
        <v/>
      </c>
      <c r="F236" s="40" t="str">
        <f aca="false">IF(INDEX(BookTitle,231)="","",INDEX(BookLevel,231))</f>
        <v/>
      </c>
      <c r="G236" s="40" t="str">
        <f aca="false">IF(INDEX(BookTitle,231)="","",INDEX(BookCategory,231))</f>
        <v/>
      </c>
      <c r="H236" s="40" t="str">
        <f aca="false">IF(INDEX(BookTitle,231)="","",INDEX(BookRank,231))</f>
        <v/>
      </c>
      <c r="I236" s="41" t="str">
        <f aca="false">IF(INDEX(BookTitle,231)="","",INDEX(BookTotal,231))</f>
        <v/>
      </c>
      <c r="J236" s="0" t="str">
        <f aca="false">IF($I236="","",IF(INDEX(BookQ1,231)&gt;0,"Q1",IF(INDEX(BookQ2,231)&gt;0,"Q2",IF(INDEX(BookQ3,231)&gt;0,"Q3",IF(INDEX(BookQ4,231)&gt;0,"Q4","")))))</f>
        <v/>
      </c>
      <c r="K236" s="42" t="str">
        <f aca="false">IF(INDEX(BookTitle,231)="","",INDEX(BookInYear,231))</f>
        <v/>
      </c>
      <c r="L236" s="19"/>
      <c r="M236" s="39"/>
      <c r="N236" s="19"/>
      <c r="O236" s="19"/>
      <c r="P236" s="43" t="str">
        <f aca="false">IF($E236="","",IF($L236="Decline",0,IF($L236="Approve fewer",IF($M236="","",$M236),IF($L236="","",$I236))))</f>
        <v/>
      </c>
      <c r="Q236" s="34" t="str">
        <f aca="false">IF($P236="","",IF($N236&lt;&gt;"",$N236,$J236))</f>
        <v/>
      </c>
      <c r="R236" s="35" t="str">
        <f aca="false">IF(OR($P236="",$Q236=""),"",INDEX(BookRate,231)*$P236*(5-MATCH($Q236,{"Q1";"Q2";"Q3";"Q4"},0))/4+INDEX(BookOneOff,231)*$P236)</f>
        <v/>
      </c>
      <c r="S236" s="35" t="str">
        <f aca="false">IF($P236="","",INDEX(BookRate,231)*$P236)</f>
        <v/>
      </c>
      <c r="T236" s="35" t="str">
        <f aca="false">IF($R236="","",$R236-$K236)</f>
        <v/>
      </c>
      <c r="U236" s="35" t="str">
        <f aca="false">IF(N($P236)&lt;=0,"",COUNTIF($P$6:$P236,"&gt;0"))</f>
        <v/>
      </c>
    </row>
    <row r="237" customFormat="false" ht="15" hidden="false" customHeight="false" outlineLevel="0" collapsed="false">
      <c r="A237" s="40" t="str">
        <f aca="false">IF(INDEX(BookTitle,232)="","",INDEX(BookGroup,232))</f>
        <v/>
      </c>
      <c r="B237" s="40" t="str">
        <f aca="false">IF(INDEX(BookTitle,232)="","",INDEX(BookRef,232))</f>
        <v/>
      </c>
      <c r="C237" s="40" t="str">
        <f aca="false">IF(INDEX(BookTitle,232)="","",INDEX(BookDivision,232))</f>
        <v/>
      </c>
      <c r="D237" s="40" t="str">
        <f aca="false">IF(INDEX(BookTitle,232)="","",INDEX(BookUnit,232))</f>
        <v/>
      </c>
      <c r="E237" s="40" t="str">
        <f aca="false">IF(INDEX(BookTitle,232)="","",INDEX(BookTitle,232))</f>
        <v/>
      </c>
      <c r="F237" s="40" t="str">
        <f aca="false">IF(INDEX(BookTitle,232)="","",INDEX(BookLevel,232))</f>
        <v/>
      </c>
      <c r="G237" s="40" t="str">
        <f aca="false">IF(INDEX(BookTitle,232)="","",INDEX(BookCategory,232))</f>
        <v/>
      </c>
      <c r="H237" s="40" t="str">
        <f aca="false">IF(INDEX(BookTitle,232)="","",INDEX(BookRank,232))</f>
        <v/>
      </c>
      <c r="I237" s="41" t="str">
        <f aca="false">IF(INDEX(BookTitle,232)="","",INDEX(BookTotal,232))</f>
        <v/>
      </c>
      <c r="J237" s="0" t="str">
        <f aca="false">IF($I237="","",IF(INDEX(BookQ1,232)&gt;0,"Q1",IF(INDEX(BookQ2,232)&gt;0,"Q2",IF(INDEX(BookQ3,232)&gt;0,"Q3",IF(INDEX(BookQ4,232)&gt;0,"Q4","")))))</f>
        <v/>
      </c>
      <c r="K237" s="42" t="str">
        <f aca="false">IF(INDEX(BookTitle,232)="","",INDEX(BookInYear,232))</f>
        <v/>
      </c>
      <c r="L237" s="19"/>
      <c r="M237" s="39"/>
      <c r="N237" s="19"/>
      <c r="O237" s="19"/>
      <c r="P237" s="43" t="str">
        <f aca="false">IF($E237="","",IF($L237="Decline",0,IF($L237="Approve fewer",IF($M237="","",$M237),IF($L237="","",$I237))))</f>
        <v/>
      </c>
      <c r="Q237" s="34" t="str">
        <f aca="false">IF($P237="","",IF($N237&lt;&gt;"",$N237,$J237))</f>
        <v/>
      </c>
      <c r="R237" s="35" t="str">
        <f aca="false">IF(OR($P237="",$Q237=""),"",INDEX(BookRate,232)*$P237*(5-MATCH($Q237,{"Q1";"Q2";"Q3";"Q4"},0))/4+INDEX(BookOneOff,232)*$P237)</f>
        <v/>
      </c>
      <c r="S237" s="35" t="str">
        <f aca="false">IF($P237="","",INDEX(BookRate,232)*$P237)</f>
        <v/>
      </c>
      <c r="T237" s="35" t="str">
        <f aca="false">IF($R237="","",$R237-$K237)</f>
        <v/>
      </c>
      <c r="U237" s="35" t="str">
        <f aca="false">IF(N($P237)&lt;=0,"",COUNTIF($P$6:$P237,"&gt;0"))</f>
        <v/>
      </c>
    </row>
    <row r="238" customFormat="false" ht="15" hidden="false" customHeight="false" outlineLevel="0" collapsed="false">
      <c r="A238" s="40" t="str">
        <f aca="false">IF(INDEX(BookTitle,233)="","",INDEX(BookGroup,233))</f>
        <v/>
      </c>
      <c r="B238" s="40" t="str">
        <f aca="false">IF(INDEX(BookTitle,233)="","",INDEX(BookRef,233))</f>
        <v/>
      </c>
      <c r="C238" s="40" t="str">
        <f aca="false">IF(INDEX(BookTitle,233)="","",INDEX(BookDivision,233))</f>
        <v/>
      </c>
      <c r="D238" s="40" t="str">
        <f aca="false">IF(INDEX(BookTitle,233)="","",INDEX(BookUnit,233))</f>
        <v/>
      </c>
      <c r="E238" s="40" t="str">
        <f aca="false">IF(INDEX(BookTitle,233)="","",INDEX(BookTitle,233))</f>
        <v/>
      </c>
      <c r="F238" s="40" t="str">
        <f aca="false">IF(INDEX(BookTitle,233)="","",INDEX(BookLevel,233))</f>
        <v/>
      </c>
      <c r="G238" s="40" t="str">
        <f aca="false">IF(INDEX(BookTitle,233)="","",INDEX(BookCategory,233))</f>
        <v/>
      </c>
      <c r="H238" s="40" t="str">
        <f aca="false">IF(INDEX(BookTitle,233)="","",INDEX(BookRank,233))</f>
        <v/>
      </c>
      <c r="I238" s="41" t="str">
        <f aca="false">IF(INDEX(BookTitle,233)="","",INDEX(BookTotal,233))</f>
        <v/>
      </c>
      <c r="J238" s="0" t="str">
        <f aca="false">IF($I238="","",IF(INDEX(BookQ1,233)&gt;0,"Q1",IF(INDEX(BookQ2,233)&gt;0,"Q2",IF(INDEX(BookQ3,233)&gt;0,"Q3",IF(INDEX(BookQ4,233)&gt;0,"Q4","")))))</f>
        <v/>
      </c>
      <c r="K238" s="42" t="str">
        <f aca="false">IF(INDEX(BookTitle,233)="","",INDEX(BookInYear,233))</f>
        <v/>
      </c>
      <c r="L238" s="19"/>
      <c r="M238" s="39"/>
      <c r="N238" s="19"/>
      <c r="O238" s="19"/>
      <c r="P238" s="43" t="str">
        <f aca="false">IF($E238="","",IF($L238="Decline",0,IF($L238="Approve fewer",IF($M238="","",$M238),IF($L238="","",$I238))))</f>
        <v/>
      </c>
      <c r="Q238" s="34" t="str">
        <f aca="false">IF($P238="","",IF($N238&lt;&gt;"",$N238,$J238))</f>
        <v/>
      </c>
      <c r="R238" s="35" t="str">
        <f aca="false">IF(OR($P238="",$Q238=""),"",INDEX(BookRate,233)*$P238*(5-MATCH($Q238,{"Q1";"Q2";"Q3";"Q4"},0))/4+INDEX(BookOneOff,233)*$P238)</f>
        <v/>
      </c>
      <c r="S238" s="35" t="str">
        <f aca="false">IF($P238="","",INDEX(BookRate,233)*$P238)</f>
        <v/>
      </c>
      <c r="T238" s="35" t="str">
        <f aca="false">IF($R238="","",$R238-$K238)</f>
        <v/>
      </c>
      <c r="U238" s="35" t="str">
        <f aca="false">IF(N($P238)&lt;=0,"",COUNTIF($P$6:$P238,"&gt;0"))</f>
        <v/>
      </c>
    </row>
    <row r="239" customFormat="false" ht="15" hidden="false" customHeight="false" outlineLevel="0" collapsed="false">
      <c r="A239" s="40" t="str">
        <f aca="false">IF(INDEX(BookTitle,234)="","",INDEX(BookGroup,234))</f>
        <v/>
      </c>
      <c r="B239" s="40" t="str">
        <f aca="false">IF(INDEX(BookTitle,234)="","",INDEX(BookRef,234))</f>
        <v/>
      </c>
      <c r="C239" s="40" t="str">
        <f aca="false">IF(INDEX(BookTitle,234)="","",INDEX(BookDivision,234))</f>
        <v/>
      </c>
      <c r="D239" s="40" t="str">
        <f aca="false">IF(INDEX(BookTitle,234)="","",INDEX(BookUnit,234))</f>
        <v/>
      </c>
      <c r="E239" s="40" t="str">
        <f aca="false">IF(INDEX(BookTitle,234)="","",INDEX(BookTitle,234))</f>
        <v/>
      </c>
      <c r="F239" s="40" t="str">
        <f aca="false">IF(INDEX(BookTitle,234)="","",INDEX(BookLevel,234))</f>
        <v/>
      </c>
      <c r="G239" s="40" t="str">
        <f aca="false">IF(INDEX(BookTitle,234)="","",INDEX(BookCategory,234))</f>
        <v/>
      </c>
      <c r="H239" s="40" t="str">
        <f aca="false">IF(INDEX(BookTitle,234)="","",INDEX(BookRank,234))</f>
        <v/>
      </c>
      <c r="I239" s="41" t="str">
        <f aca="false">IF(INDEX(BookTitle,234)="","",INDEX(BookTotal,234))</f>
        <v/>
      </c>
      <c r="J239" s="0" t="str">
        <f aca="false">IF($I239="","",IF(INDEX(BookQ1,234)&gt;0,"Q1",IF(INDEX(BookQ2,234)&gt;0,"Q2",IF(INDEX(BookQ3,234)&gt;0,"Q3",IF(INDEX(BookQ4,234)&gt;0,"Q4","")))))</f>
        <v/>
      </c>
      <c r="K239" s="42" t="str">
        <f aca="false">IF(INDEX(BookTitle,234)="","",INDEX(BookInYear,234))</f>
        <v/>
      </c>
      <c r="L239" s="19"/>
      <c r="M239" s="39"/>
      <c r="N239" s="19"/>
      <c r="O239" s="19"/>
      <c r="P239" s="43" t="str">
        <f aca="false">IF($E239="","",IF($L239="Decline",0,IF($L239="Approve fewer",IF($M239="","",$M239),IF($L239="","",$I239))))</f>
        <v/>
      </c>
      <c r="Q239" s="34" t="str">
        <f aca="false">IF($P239="","",IF($N239&lt;&gt;"",$N239,$J239))</f>
        <v/>
      </c>
      <c r="R239" s="35" t="str">
        <f aca="false">IF(OR($P239="",$Q239=""),"",INDEX(BookRate,234)*$P239*(5-MATCH($Q239,{"Q1";"Q2";"Q3";"Q4"},0))/4+INDEX(BookOneOff,234)*$P239)</f>
        <v/>
      </c>
      <c r="S239" s="35" t="str">
        <f aca="false">IF($P239="","",INDEX(BookRate,234)*$P239)</f>
        <v/>
      </c>
      <c r="T239" s="35" t="str">
        <f aca="false">IF($R239="","",$R239-$K239)</f>
        <v/>
      </c>
      <c r="U239" s="35" t="str">
        <f aca="false">IF(N($P239)&lt;=0,"",COUNTIF($P$6:$P239,"&gt;0"))</f>
        <v/>
      </c>
    </row>
    <row r="240" customFormat="false" ht="15" hidden="false" customHeight="false" outlineLevel="0" collapsed="false">
      <c r="A240" s="40" t="str">
        <f aca="false">IF(INDEX(BookTitle,235)="","",INDEX(BookGroup,235))</f>
        <v/>
      </c>
      <c r="B240" s="40" t="str">
        <f aca="false">IF(INDEX(BookTitle,235)="","",INDEX(BookRef,235))</f>
        <v/>
      </c>
      <c r="C240" s="40" t="str">
        <f aca="false">IF(INDEX(BookTitle,235)="","",INDEX(BookDivision,235))</f>
        <v/>
      </c>
      <c r="D240" s="40" t="str">
        <f aca="false">IF(INDEX(BookTitle,235)="","",INDEX(BookUnit,235))</f>
        <v/>
      </c>
      <c r="E240" s="40" t="str">
        <f aca="false">IF(INDEX(BookTitle,235)="","",INDEX(BookTitle,235))</f>
        <v/>
      </c>
      <c r="F240" s="40" t="str">
        <f aca="false">IF(INDEX(BookTitle,235)="","",INDEX(BookLevel,235))</f>
        <v/>
      </c>
      <c r="G240" s="40" t="str">
        <f aca="false">IF(INDEX(BookTitle,235)="","",INDEX(BookCategory,235))</f>
        <v/>
      </c>
      <c r="H240" s="40" t="str">
        <f aca="false">IF(INDEX(BookTitle,235)="","",INDEX(BookRank,235))</f>
        <v/>
      </c>
      <c r="I240" s="41" t="str">
        <f aca="false">IF(INDEX(BookTitle,235)="","",INDEX(BookTotal,235))</f>
        <v/>
      </c>
      <c r="J240" s="0" t="str">
        <f aca="false">IF($I240="","",IF(INDEX(BookQ1,235)&gt;0,"Q1",IF(INDEX(BookQ2,235)&gt;0,"Q2",IF(INDEX(BookQ3,235)&gt;0,"Q3",IF(INDEX(BookQ4,235)&gt;0,"Q4","")))))</f>
        <v/>
      </c>
      <c r="K240" s="42" t="str">
        <f aca="false">IF(INDEX(BookTitle,235)="","",INDEX(BookInYear,235))</f>
        <v/>
      </c>
      <c r="L240" s="19"/>
      <c r="M240" s="39"/>
      <c r="N240" s="19"/>
      <c r="O240" s="19"/>
      <c r="P240" s="43" t="str">
        <f aca="false">IF($E240="","",IF($L240="Decline",0,IF($L240="Approve fewer",IF($M240="","",$M240),IF($L240="","",$I240))))</f>
        <v/>
      </c>
      <c r="Q240" s="34" t="str">
        <f aca="false">IF($P240="","",IF($N240&lt;&gt;"",$N240,$J240))</f>
        <v/>
      </c>
      <c r="R240" s="35" t="str">
        <f aca="false">IF(OR($P240="",$Q240=""),"",INDEX(BookRate,235)*$P240*(5-MATCH($Q240,{"Q1";"Q2";"Q3";"Q4"},0))/4+INDEX(BookOneOff,235)*$P240)</f>
        <v/>
      </c>
      <c r="S240" s="35" t="str">
        <f aca="false">IF($P240="","",INDEX(BookRate,235)*$P240)</f>
        <v/>
      </c>
      <c r="T240" s="35" t="str">
        <f aca="false">IF($R240="","",$R240-$K240)</f>
        <v/>
      </c>
      <c r="U240" s="35" t="str">
        <f aca="false">IF(N($P240)&lt;=0,"",COUNTIF($P$6:$P240,"&gt;0"))</f>
        <v/>
      </c>
    </row>
    <row r="241" customFormat="false" ht="15" hidden="false" customHeight="false" outlineLevel="0" collapsed="false">
      <c r="A241" s="40" t="str">
        <f aca="false">IF(INDEX(BookTitle,236)="","",INDEX(BookGroup,236))</f>
        <v/>
      </c>
      <c r="B241" s="40" t="str">
        <f aca="false">IF(INDEX(BookTitle,236)="","",INDEX(BookRef,236))</f>
        <v/>
      </c>
      <c r="C241" s="40" t="str">
        <f aca="false">IF(INDEX(BookTitle,236)="","",INDEX(BookDivision,236))</f>
        <v/>
      </c>
      <c r="D241" s="40" t="str">
        <f aca="false">IF(INDEX(BookTitle,236)="","",INDEX(BookUnit,236))</f>
        <v/>
      </c>
      <c r="E241" s="40" t="str">
        <f aca="false">IF(INDEX(BookTitle,236)="","",INDEX(BookTitle,236))</f>
        <v/>
      </c>
      <c r="F241" s="40" t="str">
        <f aca="false">IF(INDEX(BookTitle,236)="","",INDEX(BookLevel,236))</f>
        <v/>
      </c>
      <c r="G241" s="40" t="str">
        <f aca="false">IF(INDEX(BookTitle,236)="","",INDEX(BookCategory,236))</f>
        <v/>
      </c>
      <c r="H241" s="40" t="str">
        <f aca="false">IF(INDEX(BookTitle,236)="","",INDEX(BookRank,236))</f>
        <v/>
      </c>
      <c r="I241" s="41" t="str">
        <f aca="false">IF(INDEX(BookTitle,236)="","",INDEX(BookTotal,236))</f>
        <v/>
      </c>
      <c r="J241" s="0" t="str">
        <f aca="false">IF($I241="","",IF(INDEX(BookQ1,236)&gt;0,"Q1",IF(INDEX(BookQ2,236)&gt;0,"Q2",IF(INDEX(BookQ3,236)&gt;0,"Q3",IF(INDEX(BookQ4,236)&gt;0,"Q4","")))))</f>
        <v/>
      </c>
      <c r="K241" s="42" t="str">
        <f aca="false">IF(INDEX(BookTitle,236)="","",INDEX(BookInYear,236))</f>
        <v/>
      </c>
      <c r="L241" s="19"/>
      <c r="M241" s="39"/>
      <c r="N241" s="19"/>
      <c r="O241" s="19"/>
      <c r="P241" s="43" t="str">
        <f aca="false">IF($E241="","",IF($L241="Decline",0,IF($L241="Approve fewer",IF($M241="","",$M241),IF($L241="","",$I241))))</f>
        <v/>
      </c>
      <c r="Q241" s="34" t="str">
        <f aca="false">IF($P241="","",IF($N241&lt;&gt;"",$N241,$J241))</f>
        <v/>
      </c>
      <c r="R241" s="35" t="str">
        <f aca="false">IF(OR($P241="",$Q241=""),"",INDEX(BookRate,236)*$P241*(5-MATCH($Q241,{"Q1";"Q2";"Q3";"Q4"},0))/4+INDEX(BookOneOff,236)*$P241)</f>
        <v/>
      </c>
      <c r="S241" s="35" t="str">
        <f aca="false">IF($P241="","",INDEX(BookRate,236)*$P241)</f>
        <v/>
      </c>
      <c r="T241" s="35" t="str">
        <f aca="false">IF($R241="","",$R241-$K241)</f>
        <v/>
      </c>
      <c r="U241" s="35" t="str">
        <f aca="false">IF(N($P241)&lt;=0,"",COUNTIF($P$6:$P241,"&gt;0"))</f>
        <v/>
      </c>
    </row>
    <row r="242" customFormat="false" ht="15" hidden="false" customHeight="false" outlineLevel="0" collapsed="false">
      <c r="A242" s="40" t="str">
        <f aca="false">IF(INDEX(BookTitle,237)="","",INDEX(BookGroup,237))</f>
        <v/>
      </c>
      <c r="B242" s="40" t="str">
        <f aca="false">IF(INDEX(BookTitle,237)="","",INDEX(BookRef,237))</f>
        <v/>
      </c>
      <c r="C242" s="40" t="str">
        <f aca="false">IF(INDEX(BookTitle,237)="","",INDEX(BookDivision,237))</f>
        <v/>
      </c>
      <c r="D242" s="40" t="str">
        <f aca="false">IF(INDEX(BookTitle,237)="","",INDEX(BookUnit,237))</f>
        <v/>
      </c>
      <c r="E242" s="40" t="str">
        <f aca="false">IF(INDEX(BookTitle,237)="","",INDEX(BookTitle,237))</f>
        <v/>
      </c>
      <c r="F242" s="40" t="str">
        <f aca="false">IF(INDEX(BookTitle,237)="","",INDEX(BookLevel,237))</f>
        <v/>
      </c>
      <c r="G242" s="40" t="str">
        <f aca="false">IF(INDEX(BookTitle,237)="","",INDEX(BookCategory,237))</f>
        <v/>
      </c>
      <c r="H242" s="40" t="str">
        <f aca="false">IF(INDEX(BookTitle,237)="","",INDEX(BookRank,237))</f>
        <v/>
      </c>
      <c r="I242" s="41" t="str">
        <f aca="false">IF(INDEX(BookTitle,237)="","",INDEX(BookTotal,237))</f>
        <v/>
      </c>
      <c r="J242" s="0" t="str">
        <f aca="false">IF($I242="","",IF(INDEX(BookQ1,237)&gt;0,"Q1",IF(INDEX(BookQ2,237)&gt;0,"Q2",IF(INDEX(BookQ3,237)&gt;0,"Q3",IF(INDEX(BookQ4,237)&gt;0,"Q4","")))))</f>
        <v/>
      </c>
      <c r="K242" s="42" t="str">
        <f aca="false">IF(INDEX(BookTitle,237)="","",INDEX(BookInYear,237))</f>
        <v/>
      </c>
      <c r="L242" s="19"/>
      <c r="M242" s="39"/>
      <c r="N242" s="19"/>
      <c r="O242" s="19"/>
      <c r="P242" s="43" t="str">
        <f aca="false">IF($E242="","",IF($L242="Decline",0,IF($L242="Approve fewer",IF($M242="","",$M242),IF($L242="","",$I242))))</f>
        <v/>
      </c>
      <c r="Q242" s="34" t="str">
        <f aca="false">IF($P242="","",IF($N242&lt;&gt;"",$N242,$J242))</f>
        <v/>
      </c>
      <c r="R242" s="35" t="str">
        <f aca="false">IF(OR($P242="",$Q242=""),"",INDEX(BookRate,237)*$P242*(5-MATCH($Q242,{"Q1";"Q2";"Q3";"Q4"},0))/4+INDEX(BookOneOff,237)*$P242)</f>
        <v/>
      </c>
      <c r="S242" s="35" t="str">
        <f aca="false">IF($P242="","",INDEX(BookRate,237)*$P242)</f>
        <v/>
      </c>
      <c r="T242" s="35" t="str">
        <f aca="false">IF($R242="","",$R242-$K242)</f>
        <v/>
      </c>
      <c r="U242" s="35" t="str">
        <f aca="false">IF(N($P242)&lt;=0,"",COUNTIF($P$6:$P242,"&gt;0"))</f>
        <v/>
      </c>
    </row>
    <row r="243" customFormat="false" ht="15" hidden="false" customHeight="false" outlineLevel="0" collapsed="false">
      <c r="A243" s="40" t="str">
        <f aca="false">IF(INDEX(BookTitle,238)="","",INDEX(BookGroup,238))</f>
        <v/>
      </c>
      <c r="B243" s="40" t="str">
        <f aca="false">IF(INDEX(BookTitle,238)="","",INDEX(BookRef,238))</f>
        <v/>
      </c>
      <c r="C243" s="40" t="str">
        <f aca="false">IF(INDEX(BookTitle,238)="","",INDEX(BookDivision,238))</f>
        <v/>
      </c>
      <c r="D243" s="40" t="str">
        <f aca="false">IF(INDEX(BookTitle,238)="","",INDEX(BookUnit,238))</f>
        <v/>
      </c>
      <c r="E243" s="40" t="str">
        <f aca="false">IF(INDEX(BookTitle,238)="","",INDEX(BookTitle,238))</f>
        <v/>
      </c>
      <c r="F243" s="40" t="str">
        <f aca="false">IF(INDEX(BookTitle,238)="","",INDEX(BookLevel,238))</f>
        <v/>
      </c>
      <c r="G243" s="40" t="str">
        <f aca="false">IF(INDEX(BookTitle,238)="","",INDEX(BookCategory,238))</f>
        <v/>
      </c>
      <c r="H243" s="40" t="str">
        <f aca="false">IF(INDEX(BookTitle,238)="","",INDEX(BookRank,238))</f>
        <v/>
      </c>
      <c r="I243" s="41" t="str">
        <f aca="false">IF(INDEX(BookTitle,238)="","",INDEX(BookTotal,238))</f>
        <v/>
      </c>
      <c r="J243" s="0" t="str">
        <f aca="false">IF($I243="","",IF(INDEX(BookQ1,238)&gt;0,"Q1",IF(INDEX(BookQ2,238)&gt;0,"Q2",IF(INDEX(BookQ3,238)&gt;0,"Q3",IF(INDEX(BookQ4,238)&gt;0,"Q4","")))))</f>
        <v/>
      </c>
      <c r="K243" s="42" t="str">
        <f aca="false">IF(INDEX(BookTitle,238)="","",INDEX(BookInYear,238))</f>
        <v/>
      </c>
      <c r="L243" s="19"/>
      <c r="M243" s="39"/>
      <c r="N243" s="19"/>
      <c r="O243" s="19"/>
      <c r="P243" s="43" t="str">
        <f aca="false">IF($E243="","",IF($L243="Decline",0,IF($L243="Approve fewer",IF($M243="","",$M243),IF($L243="","",$I243))))</f>
        <v/>
      </c>
      <c r="Q243" s="34" t="str">
        <f aca="false">IF($P243="","",IF($N243&lt;&gt;"",$N243,$J243))</f>
        <v/>
      </c>
      <c r="R243" s="35" t="str">
        <f aca="false">IF(OR($P243="",$Q243=""),"",INDEX(BookRate,238)*$P243*(5-MATCH($Q243,{"Q1";"Q2";"Q3";"Q4"},0))/4+INDEX(BookOneOff,238)*$P243)</f>
        <v/>
      </c>
      <c r="S243" s="35" t="str">
        <f aca="false">IF($P243="","",INDEX(BookRate,238)*$P243)</f>
        <v/>
      </c>
      <c r="T243" s="35" t="str">
        <f aca="false">IF($R243="","",$R243-$K243)</f>
        <v/>
      </c>
      <c r="U243" s="35" t="str">
        <f aca="false">IF(N($P243)&lt;=0,"",COUNTIF($P$6:$P243,"&gt;0"))</f>
        <v/>
      </c>
    </row>
    <row r="244" customFormat="false" ht="15" hidden="false" customHeight="false" outlineLevel="0" collapsed="false">
      <c r="A244" s="40" t="str">
        <f aca="false">IF(INDEX(BookTitle,239)="","",INDEX(BookGroup,239))</f>
        <v/>
      </c>
      <c r="B244" s="40" t="str">
        <f aca="false">IF(INDEX(BookTitle,239)="","",INDEX(BookRef,239))</f>
        <v/>
      </c>
      <c r="C244" s="40" t="str">
        <f aca="false">IF(INDEX(BookTitle,239)="","",INDEX(BookDivision,239))</f>
        <v/>
      </c>
      <c r="D244" s="40" t="str">
        <f aca="false">IF(INDEX(BookTitle,239)="","",INDEX(BookUnit,239))</f>
        <v/>
      </c>
      <c r="E244" s="40" t="str">
        <f aca="false">IF(INDEX(BookTitle,239)="","",INDEX(BookTitle,239))</f>
        <v/>
      </c>
      <c r="F244" s="40" t="str">
        <f aca="false">IF(INDEX(BookTitle,239)="","",INDEX(BookLevel,239))</f>
        <v/>
      </c>
      <c r="G244" s="40" t="str">
        <f aca="false">IF(INDEX(BookTitle,239)="","",INDEX(BookCategory,239))</f>
        <v/>
      </c>
      <c r="H244" s="40" t="str">
        <f aca="false">IF(INDEX(BookTitle,239)="","",INDEX(BookRank,239))</f>
        <v/>
      </c>
      <c r="I244" s="41" t="str">
        <f aca="false">IF(INDEX(BookTitle,239)="","",INDEX(BookTotal,239))</f>
        <v/>
      </c>
      <c r="J244" s="0" t="str">
        <f aca="false">IF($I244="","",IF(INDEX(BookQ1,239)&gt;0,"Q1",IF(INDEX(BookQ2,239)&gt;0,"Q2",IF(INDEX(BookQ3,239)&gt;0,"Q3",IF(INDEX(BookQ4,239)&gt;0,"Q4","")))))</f>
        <v/>
      </c>
      <c r="K244" s="42" t="str">
        <f aca="false">IF(INDEX(BookTitle,239)="","",INDEX(BookInYear,239))</f>
        <v/>
      </c>
      <c r="L244" s="19"/>
      <c r="M244" s="39"/>
      <c r="N244" s="19"/>
      <c r="O244" s="19"/>
      <c r="P244" s="43" t="str">
        <f aca="false">IF($E244="","",IF($L244="Decline",0,IF($L244="Approve fewer",IF($M244="","",$M244),IF($L244="","",$I244))))</f>
        <v/>
      </c>
      <c r="Q244" s="34" t="str">
        <f aca="false">IF($P244="","",IF($N244&lt;&gt;"",$N244,$J244))</f>
        <v/>
      </c>
      <c r="R244" s="35" t="str">
        <f aca="false">IF(OR($P244="",$Q244=""),"",INDEX(BookRate,239)*$P244*(5-MATCH($Q244,{"Q1";"Q2";"Q3";"Q4"},0))/4+INDEX(BookOneOff,239)*$P244)</f>
        <v/>
      </c>
      <c r="S244" s="35" t="str">
        <f aca="false">IF($P244="","",INDEX(BookRate,239)*$P244)</f>
        <v/>
      </c>
      <c r="T244" s="35" t="str">
        <f aca="false">IF($R244="","",$R244-$K244)</f>
        <v/>
      </c>
      <c r="U244" s="35" t="str">
        <f aca="false">IF(N($P244)&lt;=0,"",COUNTIF($P$6:$P244,"&gt;0"))</f>
        <v/>
      </c>
    </row>
    <row r="245" customFormat="false" ht="15" hidden="false" customHeight="false" outlineLevel="0" collapsed="false">
      <c r="A245" s="40" t="str">
        <f aca="false">IF(INDEX(BookTitle,240)="","",INDEX(BookGroup,240))</f>
        <v/>
      </c>
      <c r="B245" s="40" t="str">
        <f aca="false">IF(INDEX(BookTitle,240)="","",INDEX(BookRef,240))</f>
        <v/>
      </c>
      <c r="C245" s="40" t="str">
        <f aca="false">IF(INDEX(BookTitle,240)="","",INDEX(BookDivision,240))</f>
        <v/>
      </c>
      <c r="D245" s="40" t="str">
        <f aca="false">IF(INDEX(BookTitle,240)="","",INDEX(BookUnit,240))</f>
        <v/>
      </c>
      <c r="E245" s="40" t="str">
        <f aca="false">IF(INDEX(BookTitle,240)="","",INDEX(BookTitle,240))</f>
        <v/>
      </c>
      <c r="F245" s="40" t="str">
        <f aca="false">IF(INDEX(BookTitle,240)="","",INDEX(BookLevel,240))</f>
        <v/>
      </c>
      <c r="G245" s="40" t="str">
        <f aca="false">IF(INDEX(BookTitle,240)="","",INDEX(BookCategory,240))</f>
        <v/>
      </c>
      <c r="H245" s="40" t="str">
        <f aca="false">IF(INDEX(BookTitle,240)="","",INDEX(BookRank,240))</f>
        <v/>
      </c>
      <c r="I245" s="41" t="str">
        <f aca="false">IF(INDEX(BookTitle,240)="","",INDEX(BookTotal,240))</f>
        <v/>
      </c>
      <c r="J245" s="0" t="str">
        <f aca="false">IF($I245="","",IF(INDEX(BookQ1,240)&gt;0,"Q1",IF(INDEX(BookQ2,240)&gt;0,"Q2",IF(INDEX(BookQ3,240)&gt;0,"Q3",IF(INDEX(BookQ4,240)&gt;0,"Q4","")))))</f>
        <v/>
      </c>
      <c r="K245" s="42" t="str">
        <f aca="false">IF(INDEX(BookTitle,240)="","",INDEX(BookInYear,240))</f>
        <v/>
      </c>
      <c r="L245" s="19"/>
      <c r="M245" s="39"/>
      <c r="N245" s="19"/>
      <c r="O245" s="19"/>
      <c r="P245" s="43" t="str">
        <f aca="false">IF($E245="","",IF($L245="Decline",0,IF($L245="Approve fewer",IF($M245="","",$M245),IF($L245="","",$I245))))</f>
        <v/>
      </c>
      <c r="Q245" s="34" t="str">
        <f aca="false">IF($P245="","",IF($N245&lt;&gt;"",$N245,$J245))</f>
        <v/>
      </c>
      <c r="R245" s="35" t="str">
        <f aca="false">IF(OR($P245="",$Q245=""),"",INDEX(BookRate,240)*$P245*(5-MATCH($Q245,{"Q1";"Q2";"Q3";"Q4"},0))/4+INDEX(BookOneOff,240)*$P245)</f>
        <v/>
      </c>
      <c r="S245" s="35" t="str">
        <f aca="false">IF($P245="","",INDEX(BookRate,240)*$P245)</f>
        <v/>
      </c>
      <c r="T245" s="35" t="str">
        <f aca="false">IF($R245="","",$R245-$K245)</f>
        <v/>
      </c>
      <c r="U245" s="35" t="str">
        <f aca="false">IF(N($P245)&lt;=0,"",COUNTIF($P$6:$P245,"&gt;0"))</f>
        <v/>
      </c>
    </row>
    <row r="246" customFormat="false" ht="15" hidden="false" customHeight="false" outlineLevel="0" collapsed="false">
      <c r="A246" s="40" t="str">
        <f aca="false">IF(INDEX(BookTitle,241)="","",INDEX(BookGroup,241))</f>
        <v/>
      </c>
      <c r="B246" s="40" t="str">
        <f aca="false">IF(INDEX(BookTitle,241)="","",INDEX(BookRef,241))</f>
        <v/>
      </c>
      <c r="C246" s="40" t="str">
        <f aca="false">IF(INDEX(BookTitle,241)="","",INDEX(BookDivision,241))</f>
        <v/>
      </c>
      <c r="D246" s="40" t="str">
        <f aca="false">IF(INDEX(BookTitle,241)="","",INDEX(BookUnit,241))</f>
        <v/>
      </c>
      <c r="E246" s="40" t="str">
        <f aca="false">IF(INDEX(BookTitle,241)="","",INDEX(BookTitle,241))</f>
        <v/>
      </c>
      <c r="F246" s="40" t="str">
        <f aca="false">IF(INDEX(BookTitle,241)="","",INDEX(BookLevel,241))</f>
        <v/>
      </c>
      <c r="G246" s="40" t="str">
        <f aca="false">IF(INDEX(BookTitle,241)="","",INDEX(BookCategory,241))</f>
        <v/>
      </c>
      <c r="H246" s="40" t="str">
        <f aca="false">IF(INDEX(BookTitle,241)="","",INDEX(BookRank,241))</f>
        <v/>
      </c>
      <c r="I246" s="41" t="str">
        <f aca="false">IF(INDEX(BookTitle,241)="","",INDEX(BookTotal,241))</f>
        <v/>
      </c>
      <c r="J246" s="0" t="str">
        <f aca="false">IF($I246="","",IF(INDEX(BookQ1,241)&gt;0,"Q1",IF(INDEX(BookQ2,241)&gt;0,"Q2",IF(INDEX(BookQ3,241)&gt;0,"Q3",IF(INDEX(BookQ4,241)&gt;0,"Q4","")))))</f>
        <v/>
      </c>
      <c r="K246" s="42" t="str">
        <f aca="false">IF(INDEX(BookTitle,241)="","",INDEX(BookInYear,241))</f>
        <v/>
      </c>
      <c r="L246" s="19"/>
      <c r="M246" s="39"/>
      <c r="N246" s="19"/>
      <c r="O246" s="19"/>
      <c r="P246" s="43" t="str">
        <f aca="false">IF($E246="","",IF($L246="Decline",0,IF($L246="Approve fewer",IF($M246="","",$M246),IF($L246="","",$I246))))</f>
        <v/>
      </c>
      <c r="Q246" s="34" t="str">
        <f aca="false">IF($P246="","",IF($N246&lt;&gt;"",$N246,$J246))</f>
        <v/>
      </c>
      <c r="R246" s="35" t="str">
        <f aca="false">IF(OR($P246="",$Q246=""),"",INDEX(BookRate,241)*$P246*(5-MATCH($Q246,{"Q1";"Q2";"Q3";"Q4"},0))/4+INDEX(BookOneOff,241)*$P246)</f>
        <v/>
      </c>
      <c r="S246" s="35" t="str">
        <f aca="false">IF($P246="","",INDEX(BookRate,241)*$P246)</f>
        <v/>
      </c>
      <c r="T246" s="35" t="str">
        <f aca="false">IF($R246="","",$R246-$K246)</f>
        <v/>
      </c>
      <c r="U246" s="35" t="str">
        <f aca="false">IF(N($P246)&lt;=0,"",COUNTIF($P$6:$P246,"&gt;0"))</f>
        <v/>
      </c>
    </row>
    <row r="247" customFormat="false" ht="15" hidden="false" customHeight="false" outlineLevel="0" collapsed="false">
      <c r="A247" s="40" t="str">
        <f aca="false">IF(INDEX(BookTitle,242)="","",INDEX(BookGroup,242))</f>
        <v/>
      </c>
      <c r="B247" s="40" t="str">
        <f aca="false">IF(INDEX(BookTitle,242)="","",INDEX(BookRef,242))</f>
        <v/>
      </c>
      <c r="C247" s="40" t="str">
        <f aca="false">IF(INDEX(BookTitle,242)="","",INDEX(BookDivision,242))</f>
        <v/>
      </c>
      <c r="D247" s="40" t="str">
        <f aca="false">IF(INDEX(BookTitle,242)="","",INDEX(BookUnit,242))</f>
        <v/>
      </c>
      <c r="E247" s="40" t="str">
        <f aca="false">IF(INDEX(BookTitle,242)="","",INDEX(BookTitle,242))</f>
        <v/>
      </c>
      <c r="F247" s="40" t="str">
        <f aca="false">IF(INDEX(BookTitle,242)="","",INDEX(BookLevel,242))</f>
        <v/>
      </c>
      <c r="G247" s="40" t="str">
        <f aca="false">IF(INDEX(BookTitle,242)="","",INDEX(BookCategory,242))</f>
        <v/>
      </c>
      <c r="H247" s="40" t="str">
        <f aca="false">IF(INDEX(BookTitle,242)="","",INDEX(BookRank,242))</f>
        <v/>
      </c>
      <c r="I247" s="41" t="str">
        <f aca="false">IF(INDEX(BookTitle,242)="","",INDEX(BookTotal,242))</f>
        <v/>
      </c>
      <c r="J247" s="0" t="str">
        <f aca="false">IF($I247="","",IF(INDEX(BookQ1,242)&gt;0,"Q1",IF(INDEX(BookQ2,242)&gt;0,"Q2",IF(INDEX(BookQ3,242)&gt;0,"Q3",IF(INDEX(BookQ4,242)&gt;0,"Q4","")))))</f>
        <v/>
      </c>
      <c r="K247" s="42" t="str">
        <f aca="false">IF(INDEX(BookTitle,242)="","",INDEX(BookInYear,242))</f>
        <v/>
      </c>
      <c r="L247" s="19"/>
      <c r="M247" s="39"/>
      <c r="N247" s="19"/>
      <c r="O247" s="19"/>
      <c r="P247" s="43" t="str">
        <f aca="false">IF($E247="","",IF($L247="Decline",0,IF($L247="Approve fewer",IF($M247="","",$M247),IF($L247="","",$I247))))</f>
        <v/>
      </c>
      <c r="Q247" s="34" t="str">
        <f aca="false">IF($P247="","",IF($N247&lt;&gt;"",$N247,$J247))</f>
        <v/>
      </c>
      <c r="R247" s="35" t="str">
        <f aca="false">IF(OR($P247="",$Q247=""),"",INDEX(BookRate,242)*$P247*(5-MATCH($Q247,{"Q1";"Q2";"Q3";"Q4"},0))/4+INDEX(BookOneOff,242)*$P247)</f>
        <v/>
      </c>
      <c r="S247" s="35" t="str">
        <f aca="false">IF($P247="","",INDEX(BookRate,242)*$P247)</f>
        <v/>
      </c>
      <c r="T247" s="35" t="str">
        <f aca="false">IF($R247="","",$R247-$K247)</f>
        <v/>
      </c>
      <c r="U247" s="35" t="str">
        <f aca="false">IF(N($P247)&lt;=0,"",COUNTIF($P$6:$P247,"&gt;0"))</f>
        <v/>
      </c>
    </row>
    <row r="248" customFormat="false" ht="15" hidden="false" customHeight="false" outlineLevel="0" collapsed="false">
      <c r="A248" s="40" t="str">
        <f aca="false">IF(INDEX(BookTitle,243)="","",INDEX(BookGroup,243))</f>
        <v/>
      </c>
      <c r="B248" s="40" t="str">
        <f aca="false">IF(INDEX(BookTitle,243)="","",INDEX(BookRef,243))</f>
        <v/>
      </c>
      <c r="C248" s="40" t="str">
        <f aca="false">IF(INDEX(BookTitle,243)="","",INDEX(BookDivision,243))</f>
        <v/>
      </c>
      <c r="D248" s="40" t="str">
        <f aca="false">IF(INDEX(BookTitle,243)="","",INDEX(BookUnit,243))</f>
        <v/>
      </c>
      <c r="E248" s="40" t="str">
        <f aca="false">IF(INDEX(BookTitle,243)="","",INDEX(BookTitle,243))</f>
        <v/>
      </c>
      <c r="F248" s="40" t="str">
        <f aca="false">IF(INDEX(BookTitle,243)="","",INDEX(BookLevel,243))</f>
        <v/>
      </c>
      <c r="G248" s="40" t="str">
        <f aca="false">IF(INDEX(BookTitle,243)="","",INDEX(BookCategory,243))</f>
        <v/>
      </c>
      <c r="H248" s="40" t="str">
        <f aca="false">IF(INDEX(BookTitle,243)="","",INDEX(BookRank,243))</f>
        <v/>
      </c>
      <c r="I248" s="41" t="str">
        <f aca="false">IF(INDEX(BookTitle,243)="","",INDEX(BookTotal,243))</f>
        <v/>
      </c>
      <c r="J248" s="0" t="str">
        <f aca="false">IF($I248="","",IF(INDEX(BookQ1,243)&gt;0,"Q1",IF(INDEX(BookQ2,243)&gt;0,"Q2",IF(INDEX(BookQ3,243)&gt;0,"Q3",IF(INDEX(BookQ4,243)&gt;0,"Q4","")))))</f>
        <v/>
      </c>
      <c r="K248" s="42" t="str">
        <f aca="false">IF(INDEX(BookTitle,243)="","",INDEX(BookInYear,243))</f>
        <v/>
      </c>
      <c r="L248" s="19"/>
      <c r="M248" s="39"/>
      <c r="N248" s="19"/>
      <c r="O248" s="19"/>
      <c r="P248" s="43" t="str">
        <f aca="false">IF($E248="","",IF($L248="Decline",0,IF($L248="Approve fewer",IF($M248="","",$M248),IF($L248="","",$I248))))</f>
        <v/>
      </c>
      <c r="Q248" s="34" t="str">
        <f aca="false">IF($P248="","",IF($N248&lt;&gt;"",$N248,$J248))</f>
        <v/>
      </c>
      <c r="R248" s="35" t="str">
        <f aca="false">IF(OR($P248="",$Q248=""),"",INDEX(BookRate,243)*$P248*(5-MATCH($Q248,{"Q1";"Q2";"Q3";"Q4"},0))/4+INDEX(BookOneOff,243)*$P248)</f>
        <v/>
      </c>
      <c r="S248" s="35" t="str">
        <f aca="false">IF($P248="","",INDEX(BookRate,243)*$P248)</f>
        <v/>
      </c>
      <c r="T248" s="35" t="str">
        <f aca="false">IF($R248="","",$R248-$K248)</f>
        <v/>
      </c>
      <c r="U248" s="35" t="str">
        <f aca="false">IF(N($P248)&lt;=0,"",COUNTIF($P$6:$P248,"&gt;0"))</f>
        <v/>
      </c>
    </row>
    <row r="249" customFormat="false" ht="15" hidden="false" customHeight="false" outlineLevel="0" collapsed="false">
      <c r="A249" s="40" t="str">
        <f aca="false">IF(INDEX(BookTitle,244)="","",INDEX(BookGroup,244))</f>
        <v/>
      </c>
      <c r="B249" s="40" t="str">
        <f aca="false">IF(INDEX(BookTitle,244)="","",INDEX(BookRef,244))</f>
        <v/>
      </c>
      <c r="C249" s="40" t="str">
        <f aca="false">IF(INDEX(BookTitle,244)="","",INDEX(BookDivision,244))</f>
        <v/>
      </c>
      <c r="D249" s="40" t="str">
        <f aca="false">IF(INDEX(BookTitle,244)="","",INDEX(BookUnit,244))</f>
        <v/>
      </c>
      <c r="E249" s="40" t="str">
        <f aca="false">IF(INDEX(BookTitle,244)="","",INDEX(BookTitle,244))</f>
        <v/>
      </c>
      <c r="F249" s="40" t="str">
        <f aca="false">IF(INDEX(BookTitle,244)="","",INDEX(BookLevel,244))</f>
        <v/>
      </c>
      <c r="G249" s="40" t="str">
        <f aca="false">IF(INDEX(BookTitle,244)="","",INDEX(BookCategory,244))</f>
        <v/>
      </c>
      <c r="H249" s="40" t="str">
        <f aca="false">IF(INDEX(BookTitle,244)="","",INDEX(BookRank,244))</f>
        <v/>
      </c>
      <c r="I249" s="41" t="str">
        <f aca="false">IF(INDEX(BookTitle,244)="","",INDEX(BookTotal,244))</f>
        <v/>
      </c>
      <c r="J249" s="0" t="str">
        <f aca="false">IF($I249="","",IF(INDEX(BookQ1,244)&gt;0,"Q1",IF(INDEX(BookQ2,244)&gt;0,"Q2",IF(INDEX(BookQ3,244)&gt;0,"Q3",IF(INDEX(BookQ4,244)&gt;0,"Q4","")))))</f>
        <v/>
      </c>
      <c r="K249" s="42" t="str">
        <f aca="false">IF(INDEX(BookTitle,244)="","",INDEX(BookInYear,244))</f>
        <v/>
      </c>
      <c r="L249" s="19"/>
      <c r="M249" s="39"/>
      <c r="N249" s="19"/>
      <c r="O249" s="19"/>
      <c r="P249" s="43" t="str">
        <f aca="false">IF($E249="","",IF($L249="Decline",0,IF($L249="Approve fewer",IF($M249="","",$M249),IF($L249="","",$I249))))</f>
        <v/>
      </c>
      <c r="Q249" s="34" t="str">
        <f aca="false">IF($P249="","",IF($N249&lt;&gt;"",$N249,$J249))</f>
        <v/>
      </c>
      <c r="R249" s="35" t="str">
        <f aca="false">IF(OR($P249="",$Q249=""),"",INDEX(BookRate,244)*$P249*(5-MATCH($Q249,{"Q1";"Q2";"Q3";"Q4"},0))/4+INDEX(BookOneOff,244)*$P249)</f>
        <v/>
      </c>
      <c r="S249" s="35" t="str">
        <f aca="false">IF($P249="","",INDEX(BookRate,244)*$P249)</f>
        <v/>
      </c>
      <c r="T249" s="35" t="str">
        <f aca="false">IF($R249="","",$R249-$K249)</f>
        <v/>
      </c>
      <c r="U249" s="35" t="str">
        <f aca="false">IF(N($P249)&lt;=0,"",COUNTIF($P$6:$P249,"&gt;0"))</f>
        <v/>
      </c>
    </row>
    <row r="250" customFormat="false" ht="15" hidden="false" customHeight="false" outlineLevel="0" collapsed="false">
      <c r="A250" s="40" t="str">
        <f aca="false">IF(INDEX(BookTitle,245)="","",INDEX(BookGroup,245))</f>
        <v/>
      </c>
      <c r="B250" s="40" t="str">
        <f aca="false">IF(INDEX(BookTitle,245)="","",INDEX(BookRef,245))</f>
        <v/>
      </c>
      <c r="C250" s="40" t="str">
        <f aca="false">IF(INDEX(BookTitle,245)="","",INDEX(BookDivision,245))</f>
        <v/>
      </c>
      <c r="D250" s="40" t="str">
        <f aca="false">IF(INDEX(BookTitle,245)="","",INDEX(BookUnit,245))</f>
        <v/>
      </c>
      <c r="E250" s="40" t="str">
        <f aca="false">IF(INDEX(BookTitle,245)="","",INDEX(BookTitle,245))</f>
        <v/>
      </c>
      <c r="F250" s="40" t="str">
        <f aca="false">IF(INDEX(BookTitle,245)="","",INDEX(BookLevel,245))</f>
        <v/>
      </c>
      <c r="G250" s="40" t="str">
        <f aca="false">IF(INDEX(BookTitle,245)="","",INDEX(BookCategory,245))</f>
        <v/>
      </c>
      <c r="H250" s="40" t="str">
        <f aca="false">IF(INDEX(BookTitle,245)="","",INDEX(BookRank,245))</f>
        <v/>
      </c>
      <c r="I250" s="41" t="str">
        <f aca="false">IF(INDEX(BookTitle,245)="","",INDEX(BookTotal,245))</f>
        <v/>
      </c>
      <c r="J250" s="0" t="str">
        <f aca="false">IF($I250="","",IF(INDEX(BookQ1,245)&gt;0,"Q1",IF(INDEX(BookQ2,245)&gt;0,"Q2",IF(INDEX(BookQ3,245)&gt;0,"Q3",IF(INDEX(BookQ4,245)&gt;0,"Q4","")))))</f>
        <v/>
      </c>
      <c r="K250" s="42" t="str">
        <f aca="false">IF(INDEX(BookTitle,245)="","",INDEX(BookInYear,245))</f>
        <v/>
      </c>
      <c r="L250" s="19"/>
      <c r="M250" s="39"/>
      <c r="N250" s="19"/>
      <c r="O250" s="19"/>
      <c r="P250" s="43" t="str">
        <f aca="false">IF($E250="","",IF($L250="Decline",0,IF($L250="Approve fewer",IF($M250="","",$M250),IF($L250="","",$I250))))</f>
        <v/>
      </c>
      <c r="Q250" s="34" t="str">
        <f aca="false">IF($P250="","",IF($N250&lt;&gt;"",$N250,$J250))</f>
        <v/>
      </c>
      <c r="R250" s="35" t="str">
        <f aca="false">IF(OR($P250="",$Q250=""),"",INDEX(BookRate,245)*$P250*(5-MATCH($Q250,{"Q1";"Q2";"Q3";"Q4"},0))/4+INDEX(BookOneOff,245)*$P250)</f>
        <v/>
      </c>
      <c r="S250" s="35" t="str">
        <f aca="false">IF($P250="","",INDEX(BookRate,245)*$P250)</f>
        <v/>
      </c>
      <c r="T250" s="35" t="str">
        <f aca="false">IF($R250="","",$R250-$K250)</f>
        <v/>
      </c>
      <c r="U250" s="35" t="str">
        <f aca="false">IF(N($P250)&lt;=0,"",COUNTIF($P$6:$P250,"&gt;0"))</f>
        <v/>
      </c>
    </row>
    <row r="251" customFormat="false" ht="15" hidden="false" customHeight="false" outlineLevel="0" collapsed="false">
      <c r="A251" s="40" t="str">
        <f aca="false">IF(INDEX(BookTitle,246)="","",INDEX(BookGroup,246))</f>
        <v/>
      </c>
      <c r="B251" s="40" t="str">
        <f aca="false">IF(INDEX(BookTitle,246)="","",INDEX(BookRef,246))</f>
        <v/>
      </c>
      <c r="C251" s="40" t="str">
        <f aca="false">IF(INDEX(BookTitle,246)="","",INDEX(BookDivision,246))</f>
        <v/>
      </c>
      <c r="D251" s="40" t="str">
        <f aca="false">IF(INDEX(BookTitle,246)="","",INDEX(BookUnit,246))</f>
        <v/>
      </c>
      <c r="E251" s="40" t="str">
        <f aca="false">IF(INDEX(BookTitle,246)="","",INDEX(BookTitle,246))</f>
        <v/>
      </c>
      <c r="F251" s="40" t="str">
        <f aca="false">IF(INDEX(BookTitle,246)="","",INDEX(BookLevel,246))</f>
        <v/>
      </c>
      <c r="G251" s="40" t="str">
        <f aca="false">IF(INDEX(BookTitle,246)="","",INDEX(BookCategory,246))</f>
        <v/>
      </c>
      <c r="H251" s="40" t="str">
        <f aca="false">IF(INDEX(BookTitle,246)="","",INDEX(BookRank,246))</f>
        <v/>
      </c>
      <c r="I251" s="41" t="str">
        <f aca="false">IF(INDEX(BookTitle,246)="","",INDEX(BookTotal,246))</f>
        <v/>
      </c>
      <c r="J251" s="0" t="str">
        <f aca="false">IF($I251="","",IF(INDEX(BookQ1,246)&gt;0,"Q1",IF(INDEX(BookQ2,246)&gt;0,"Q2",IF(INDEX(BookQ3,246)&gt;0,"Q3",IF(INDEX(BookQ4,246)&gt;0,"Q4","")))))</f>
        <v/>
      </c>
      <c r="K251" s="42" t="str">
        <f aca="false">IF(INDEX(BookTitle,246)="","",INDEX(BookInYear,246))</f>
        <v/>
      </c>
      <c r="L251" s="19"/>
      <c r="M251" s="39"/>
      <c r="N251" s="19"/>
      <c r="O251" s="19"/>
      <c r="P251" s="43" t="str">
        <f aca="false">IF($E251="","",IF($L251="Decline",0,IF($L251="Approve fewer",IF($M251="","",$M251),IF($L251="","",$I251))))</f>
        <v/>
      </c>
      <c r="Q251" s="34" t="str">
        <f aca="false">IF($P251="","",IF($N251&lt;&gt;"",$N251,$J251))</f>
        <v/>
      </c>
      <c r="R251" s="35" t="str">
        <f aca="false">IF(OR($P251="",$Q251=""),"",INDEX(BookRate,246)*$P251*(5-MATCH($Q251,{"Q1";"Q2";"Q3";"Q4"},0))/4+INDEX(BookOneOff,246)*$P251)</f>
        <v/>
      </c>
      <c r="S251" s="35" t="str">
        <f aca="false">IF($P251="","",INDEX(BookRate,246)*$P251)</f>
        <v/>
      </c>
      <c r="T251" s="35" t="str">
        <f aca="false">IF($R251="","",$R251-$K251)</f>
        <v/>
      </c>
      <c r="U251" s="35" t="str">
        <f aca="false">IF(N($P251)&lt;=0,"",COUNTIF($P$6:$P251,"&gt;0"))</f>
        <v/>
      </c>
    </row>
    <row r="252" customFormat="false" ht="15" hidden="false" customHeight="false" outlineLevel="0" collapsed="false">
      <c r="A252" s="40" t="str">
        <f aca="false">IF(INDEX(BookTitle,247)="","",INDEX(BookGroup,247))</f>
        <v/>
      </c>
      <c r="B252" s="40" t="str">
        <f aca="false">IF(INDEX(BookTitle,247)="","",INDEX(BookRef,247))</f>
        <v/>
      </c>
      <c r="C252" s="40" t="str">
        <f aca="false">IF(INDEX(BookTitle,247)="","",INDEX(BookDivision,247))</f>
        <v/>
      </c>
      <c r="D252" s="40" t="str">
        <f aca="false">IF(INDEX(BookTitle,247)="","",INDEX(BookUnit,247))</f>
        <v/>
      </c>
      <c r="E252" s="40" t="str">
        <f aca="false">IF(INDEX(BookTitle,247)="","",INDEX(BookTitle,247))</f>
        <v/>
      </c>
      <c r="F252" s="40" t="str">
        <f aca="false">IF(INDEX(BookTitle,247)="","",INDEX(BookLevel,247))</f>
        <v/>
      </c>
      <c r="G252" s="40" t="str">
        <f aca="false">IF(INDEX(BookTitle,247)="","",INDEX(BookCategory,247))</f>
        <v/>
      </c>
      <c r="H252" s="40" t="str">
        <f aca="false">IF(INDEX(BookTitle,247)="","",INDEX(BookRank,247))</f>
        <v/>
      </c>
      <c r="I252" s="41" t="str">
        <f aca="false">IF(INDEX(BookTitle,247)="","",INDEX(BookTotal,247))</f>
        <v/>
      </c>
      <c r="J252" s="0" t="str">
        <f aca="false">IF($I252="","",IF(INDEX(BookQ1,247)&gt;0,"Q1",IF(INDEX(BookQ2,247)&gt;0,"Q2",IF(INDEX(BookQ3,247)&gt;0,"Q3",IF(INDEX(BookQ4,247)&gt;0,"Q4","")))))</f>
        <v/>
      </c>
      <c r="K252" s="42" t="str">
        <f aca="false">IF(INDEX(BookTitle,247)="","",INDEX(BookInYear,247))</f>
        <v/>
      </c>
      <c r="L252" s="19"/>
      <c r="M252" s="39"/>
      <c r="N252" s="19"/>
      <c r="O252" s="19"/>
      <c r="P252" s="43" t="str">
        <f aca="false">IF($E252="","",IF($L252="Decline",0,IF($L252="Approve fewer",IF($M252="","",$M252),IF($L252="","",$I252))))</f>
        <v/>
      </c>
      <c r="Q252" s="34" t="str">
        <f aca="false">IF($P252="","",IF($N252&lt;&gt;"",$N252,$J252))</f>
        <v/>
      </c>
      <c r="R252" s="35" t="str">
        <f aca="false">IF(OR($P252="",$Q252=""),"",INDEX(BookRate,247)*$P252*(5-MATCH($Q252,{"Q1";"Q2";"Q3";"Q4"},0))/4+INDEX(BookOneOff,247)*$P252)</f>
        <v/>
      </c>
      <c r="S252" s="35" t="str">
        <f aca="false">IF($P252="","",INDEX(BookRate,247)*$P252)</f>
        <v/>
      </c>
      <c r="T252" s="35" t="str">
        <f aca="false">IF($R252="","",$R252-$K252)</f>
        <v/>
      </c>
      <c r="U252" s="35" t="str">
        <f aca="false">IF(N($P252)&lt;=0,"",COUNTIF($P$6:$P252,"&gt;0"))</f>
        <v/>
      </c>
    </row>
    <row r="253" customFormat="false" ht="15" hidden="false" customHeight="false" outlineLevel="0" collapsed="false">
      <c r="A253" s="40" t="str">
        <f aca="false">IF(INDEX(BookTitle,248)="","",INDEX(BookGroup,248))</f>
        <v/>
      </c>
      <c r="B253" s="40" t="str">
        <f aca="false">IF(INDEX(BookTitle,248)="","",INDEX(BookRef,248))</f>
        <v/>
      </c>
      <c r="C253" s="40" t="str">
        <f aca="false">IF(INDEX(BookTitle,248)="","",INDEX(BookDivision,248))</f>
        <v/>
      </c>
      <c r="D253" s="40" t="str">
        <f aca="false">IF(INDEX(BookTitle,248)="","",INDEX(BookUnit,248))</f>
        <v/>
      </c>
      <c r="E253" s="40" t="str">
        <f aca="false">IF(INDEX(BookTitle,248)="","",INDEX(BookTitle,248))</f>
        <v/>
      </c>
      <c r="F253" s="40" t="str">
        <f aca="false">IF(INDEX(BookTitle,248)="","",INDEX(BookLevel,248))</f>
        <v/>
      </c>
      <c r="G253" s="40" t="str">
        <f aca="false">IF(INDEX(BookTitle,248)="","",INDEX(BookCategory,248))</f>
        <v/>
      </c>
      <c r="H253" s="40" t="str">
        <f aca="false">IF(INDEX(BookTitle,248)="","",INDEX(BookRank,248))</f>
        <v/>
      </c>
      <c r="I253" s="41" t="str">
        <f aca="false">IF(INDEX(BookTitle,248)="","",INDEX(BookTotal,248))</f>
        <v/>
      </c>
      <c r="J253" s="0" t="str">
        <f aca="false">IF($I253="","",IF(INDEX(BookQ1,248)&gt;0,"Q1",IF(INDEX(BookQ2,248)&gt;0,"Q2",IF(INDEX(BookQ3,248)&gt;0,"Q3",IF(INDEX(BookQ4,248)&gt;0,"Q4","")))))</f>
        <v/>
      </c>
      <c r="K253" s="42" t="str">
        <f aca="false">IF(INDEX(BookTitle,248)="","",INDEX(BookInYear,248))</f>
        <v/>
      </c>
      <c r="L253" s="19"/>
      <c r="M253" s="39"/>
      <c r="N253" s="19"/>
      <c r="O253" s="19"/>
      <c r="P253" s="43" t="str">
        <f aca="false">IF($E253="","",IF($L253="Decline",0,IF($L253="Approve fewer",IF($M253="","",$M253),IF($L253="","",$I253))))</f>
        <v/>
      </c>
      <c r="Q253" s="34" t="str">
        <f aca="false">IF($P253="","",IF($N253&lt;&gt;"",$N253,$J253))</f>
        <v/>
      </c>
      <c r="R253" s="35" t="str">
        <f aca="false">IF(OR($P253="",$Q253=""),"",INDEX(BookRate,248)*$P253*(5-MATCH($Q253,{"Q1";"Q2";"Q3";"Q4"},0))/4+INDEX(BookOneOff,248)*$P253)</f>
        <v/>
      </c>
      <c r="S253" s="35" t="str">
        <f aca="false">IF($P253="","",INDEX(BookRate,248)*$P253)</f>
        <v/>
      </c>
      <c r="T253" s="35" t="str">
        <f aca="false">IF($R253="","",$R253-$K253)</f>
        <v/>
      </c>
      <c r="U253" s="35" t="str">
        <f aca="false">IF(N($P253)&lt;=0,"",COUNTIF($P$6:$P253,"&gt;0"))</f>
        <v/>
      </c>
    </row>
    <row r="254" customFormat="false" ht="15" hidden="false" customHeight="false" outlineLevel="0" collapsed="false">
      <c r="A254" s="40" t="str">
        <f aca="false">IF(INDEX(BookTitle,249)="","",INDEX(BookGroup,249))</f>
        <v/>
      </c>
      <c r="B254" s="40" t="str">
        <f aca="false">IF(INDEX(BookTitle,249)="","",INDEX(BookRef,249))</f>
        <v/>
      </c>
      <c r="C254" s="40" t="str">
        <f aca="false">IF(INDEX(BookTitle,249)="","",INDEX(BookDivision,249))</f>
        <v/>
      </c>
      <c r="D254" s="40" t="str">
        <f aca="false">IF(INDEX(BookTitle,249)="","",INDEX(BookUnit,249))</f>
        <v/>
      </c>
      <c r="E254" s="40" t="str">
        <f aca="false">IF(INDEX(BookTitle,249)="","",INDEX(BookTitle,249))</f>
        <v/>
      </c>
      <c r="F254" s="40" t="str">
        <f aca="false">IF(INDEX(BookTitle,249)="","",INDEX(BookLevel,249))</f>
        <v/>
      </c>
      <c r="G254" s="40" t="str">
        <f aca="false">IF(INDEX(BookTitle,249)="","",INDEX(BookCategory,249))</f>
        <v/>
      </c>
      <c r="H254" s="40" t="str">
        <f aca="false">IF(INDEX(BookTitle,249)="","",INDEX(BookRank,249))</f>
        <v/>
      </c>
      <c r="I254" s="41" t="str">
        <f aca="false">IF(INDEX(BookTitle,249)="","",INDEX(BookTotal,249))</f>
        <v/>
      </c>
      <c r="J254" s="0" t="str">
        <f aca="false">IF($I254="","",IF(INDEX(BookQ1,249)&gt;0,"Q1",IF(INDEX(BookQ2,249)&gt;0,"Q2",IF(INDEX(BookQ3,249)&gt;0,"Q3",IF(INDEX(BookQ4,249)&gt;0,"Q4","")))))</f>
        <v/>
      </c>
      <c r="K254" s="42" t="str">
        <f aca="false">IF(INDEX(BookTitle,249)="","",INDEX(BookInYear,249))</f>
        <v/>
      </c>
      <c r="L254" s="19"/>
      <c r="M254" s="39"/>
      <c r="N254" s="19"/>
      <c r="O254" s="19"/>
      <c r="P254" s="43" t="str">
        <f aca="false">IF($E254="","",IF($L254="Decline",0,IF($L254="Approve fewer",IF($M254="","",$M254),IF($L254="","",$I254))))</f>
        <v/>
      </c>
      <c r="Q254" s="34" t="str">
        <f aca="false">IF($P254="","",IF($N254&lt;&gt;"",$N254,$J254))</f>
        <v/>
      </c>
      <c r="R254" s="35" t="str">
        <f aca="false">IF(OR($P254="",$Q254=""),"",INDEX(BookRate,249)*$P254*(5-MATCH($Q254,{"Q1";"Q2";"Q3";"Q4"},0))/4+INDEX(BookOneOff,249)*$P254)</f>
        <v/>
      </c>
      <c r="S254" s="35" t="str">
        <f aca="false">IF($P254="","",INDEX(BookRate,249)*$P254)</f>
        <v/>
      </c>
      <c r="T254" s="35" t="str">
        <f aca="false">IF($R254="","",$R254-$K254)</f>
        <v/>
      </c>
      <c r="U254" s="35" t="str">
        <f aca="false">IF(N($P254)&lt;=0,"",COUNTIF($P$6:$P254,"&gt;0"))</f>
        <v/>
      </c>
    </row>
    <row r="255" customFormat="false" ht="15" hidden="false" customHeight="false" outlineLevel="0" collapsed="false">
      <c r="A255" s="40" t="str">
        <f aca="false">IF(INDEX(BookTitle,250)="","",INDEX(BookGroup,250))</f>
        <v/>
      </c>
      <c r="B255" s="40" t="str">
        <f aca="false">IF(INDEX(BookTitle,250)="","",INDEX(BookRef,250))</f>
        <v/>
      </c>
      <c r="C255" s="40" t="str">
        <f aca="false">IF(INDEX(BookTitle,250)="","",INDEX(BookDivision,250))</f>
        <v/>
      </c>
      <c r="D255" s="40" t="str">
        <f aca="false">IF(INDEX(BookTitle,250)="","",INDEX(BookUnit,250))</f>
        <v/>
      </c>
      <c r="E255" s="40" t="str">
        <f aca="false">IF(INDEX(BookTitle,250)="","",INDEX(BookTitle,250))</f>
        <v/>
      </c>
      <c r="F255" s="40" t="str">
        <f aca="false">IF(INDEX(BookTitle,250)="","",INDEX(BookLevel,250))</f>
        <v/>
      </c>
      <c r="G255" s="40" t="str">
        <f aca="false">IF(INDEX(BookTitle,250)="","",INDEX(BookCategory,250))</f>
        <v/>
      </c>
      <c r="H255" s="40" t="str">
        <f aca="false">IF(INDEX(BookTitle,250)="","",INDEX(BookRank,250))</f>
        <v/>
      </c>
      <c r="I255" s="41" t="str">
        <f aca="false">IF(INDEX(BookTitle,250)="","",INDEX(BookTotal,250))</f>
        <v/>
      </c>
      <c r="J255" s="0" t="str">
        <f aca="false">IF($I255="","",IF(INDEX(BookQ1,250)&gt;0,"Q1",IF(INDEX(BookQ2,250)&gt;0,"Q2",IF(INDEX(BookQ3,250)&gt;0,"Q3",IF(INDEX(BookQ4,250)&gt;0,"Q4","")))))</f>
        <v/>
      </c>
      <c r="K255" s="42" t="str">
        <f aca="false">IF(INDEX(BookTitle,250)="","",INDEX(BookInYear,250))</f>
        <v/>
      </c>
      <c r="L255" s="19"/>
      <c r="M255" s="39"/>
      <c r="N255" s="19"/>
      <c r="O255" s="19"/>
      <c r="P255" s="43" t="str">
        <f aca="false">IF($E255="","",IF($L255="Decline",0,IF($L255="Approve fewer",IF($M255="","",$M255),IF($L255="","",$I255))))</f>
        <v/>
      </c>
      <c r="Q255" s="34" t="str">
        <f aca="false">IF($P255="","",IF($N255&lt;&gt;"",$N255,$J255))</f>
        <v/>
      </c>
      <c r="R255" s="35" t="str">
        <f aca="false">IF(OR($P255="",$Q255=""),"",INDEX(BookRate,250)*$P255*(5-MATCH($Q255,{"Q1";"Q2";"Q3";"Q4"},0))/4+INDEX(BookOneOff,250)*$P255)</f>
        <v/>
      </c>
      <c r="S255" s="35" t="str">
        <f aca="false">IF($P255="","",INDEX(BookRate,250)*$P255)</f>
        <v/>
      </c>
      <c r="T255" s="35" t="str">
        <f aca="false">IF($R255="","",$R255-$K255)</f>
        <v/>
      </c>
      <c r="U255" s="35" t="str">
        <f aca="false">IF(N($P255)&lt;=0,"",COUNTIF($P$6:$P255,"&gt;0"))</f>
        <v/>
      </c>
    </row>
    <row r="256" customFormat="false" ht="15" hidden="false" customHeight="false" outlineLevel="0" collapsed="false">
      <c r="A256" s="40" t="str">
        <f aca="false">IF(INDEX(BookTitle,251)="","",INDEX(BookGroup,251))</f>
        <v/>
      </c>
      <c r="B256" s="40" t="str">
        <f aca="false">IF(INDEX(BookTitle,251)="","",INDEX(BookRef,251))</f>
        <v/>
      </c>
      <c r="C256" s="40" t="str">
        <f aca="false">IF(INDEX(BookTitle,251)="","",INDEX(BookDivision,251))</f>
        <v/>
      </c>
      <c r="D256" s="40" t="str">
        <f aca="false">IF(INDEX(BookTitle,251)="","",INDEX(BookUnit,251))</f>
        <v/>
      </c>
      <c r="E256" s="40" t="str">
        <f aca="false">IF(INDEX(BookTitle,251)="","",INDEX(BookTitle,251))</f>
        <v/>
      </c>
      <c r="F256" s="40" t="str">
        <f aca="false">IF(INDEX(BookTitle,251)="","",INDEX(BookLevel,251))</f>
        <v/>
      </c>
      <c r="G256" s="40" t="str">
        <f aca="false">IF(INDEX(BookTitle,251)="","",INDEX(BookCategory,251))</f>
        <v/>
      </c>
      <c r="H256" s="40" t="str">
        <f aca="false">IF(INDEX(BookTitle,251)="","",INDEX(BookRank,251))</f>
        <v/>
      </c>
      <c r="I256" s="41" t="str">
        <f aca="false">IF(INDEX(BookTitle,251)="","",INDEX(BookTotal,251))</f>
        <v/>
      </c>
      <c r="J256" s="0" t="str">
        <f aca="false">IF($I256="","",IF(INDEX(BookQ1,251)&gt;0,"Q1",IF(INDEX(BookQ2,251)&gt;0,"Q2",IF(INDEX(BookQ3,251)&gt;0,"Q3",IF(INDEX(BookQ4,251)&gt;0,"Q4","")))))</f>
        <v/>
      </c>
      <c r="K256" s="42" t="str">
        <f aca="false">IF(INDEX(BookTitle,251)="","",INDEX(BookInYear,251))</f>
        <v/>
      </c>
      <c r="L256" s="19"/>
      <c r="M256" s="39"/>
      <c r="N256" s="19"/>
      <c r="O256" s="19"/>
      <c r="P256" s="43" t="str">
        <f aca="false">IF($E256="","",IF($L256="Decline",0,IF($L256="Approve fewer",IF($M256="","",$M256),IF($L256="","",$I256))))</f>
        <v/>
      </c>
      <c r="Q256" s="34" t="str">
        <f aca="false">IF($P256="","",IF($N256&lt;&gt;"",$N256,$J256))</f>
        <v/>
      </c>
      <c r="R256" s="35" t="str">
        <f aca="false">IF(OR($P256="",$Q256=""),"",INDEX(BookRate,251)*$P256*(5-MATCH($Q256,{"Q1";"Q2";"Q3";"Q4"},0))/4+INDEX(BookOneOff,251)*$P256)</f>
        <v/>
      </c>
      <c r="S256" s="35" t="str">
        <f aca="false">IF($P256="","",INDEX(BookRate,251)*$P256)</f>
        <v/>
      </c>
      <c r="T256" s="35" t="str">
        <f aca="false">IF($R256="","",$R256-$K256)</f>
        <v/>
      </c>
      <c r="U256" s="35" t="str">
        <f aca="false">IF(N($P256)&lt;=0,"",COUNTIF($P$6:$P256,"&gt;0"))</f>
        <v/>
      </c>
    </row>
    <row r="257" customFormat="false" ht="15" hidden="false" customHeight="false" outlineLevel="0" collapsed="false">
      <c r="A257" s="40" t="str">
        <f aca="false">IF(INDEX(BookTitle,252)="","",INDEX(BookGroup,252))</f>
        <v/>
      </c>
      <c r="B257" s="40" t="str">
        <f aca="false">IF(INDEX(BookTitle,252)="","",INDEX(BookRef,252))</f>
        <v/>
      </c>
      <c r="C257" s="40" t="str">
        <f aca="false">IF(INDEX(BookTitle,252)="","",INDEX(BookDivision,252))</f>
        <v/>
      </c>
      <c r="D257" s="40" t="str">
        <f aca="false">IF(INDEX(BookTitle,252)="","",INDEX(BookUnit,252))</f>
        <v/>
      </c>
      <c r="E257" s="40" t="str">
        <f aca="false">IF(INDEX(BookTitle,252)="","",INDEX(BookTitle,252))</f>
        <v/>
      </c>
      <c r="F257" s="40" t="str">
        <f aca="false">IF(INDEX(BookTitle,252)="","",INDEX(BookLevel,252))</f>
        <v/>
      </c>
      <c r="G257" s="40" t="str">
        <f aca="false">IF(INDEX(BookTitle,252)="","",INDEX(BookCategory,252))</f>
        <v/>
      </c>
      <c r="H257" s="40" t="str">
        <f aca="false">IF(INDEX(BookTitle,252)="","",INDEX(BookRank,252))</f>
        <v/>
      </c>
      <c r="I257" s="41" t="str">
        <f aca="false">IF(INDEX(BookTitle,252)="","",INDEX(BookTotal,252))</f>
        <v/>
      </c>
      <c r="J257" s="0" t="str">
        <f aca="false">IF($I257="","",IF(INDEX(BookQ1,252)&gt;0,"Q1",IF(INDEX(BookQ2,252)&gt;0,"Q2",IF(INDEX(BookQ3,252)&gt;0,"Q3",IF(INDEX(BookQ4,252)&gt;0,"Q4","")))))</f>
        <v/>
      </c>
      <c r="K257" s="42" t="str">
        <f aca="false">IF(INDEX(BookTitle,252)="","",INDEX(BookInYear,252))</f>
        <v/>
      </c>
      <c r="L257" s="19"/>
      <c r="M257" s="39"/>
      <c r="N257" s="19"/>
      <c r="O257" s="19"/>
      <c r="P257" s="43" t="str">
        <f aca="false">IF($E257="","",IF($L257="Decline",0,IF($L257="Approve fewer",IF($M257="","",$M257),IF($L257="","",$I257))))</f>
        <v/>
      </c>
      <c r="Q257" s="34" t="str">
        <f aca="false">IF($P257="","",IF($N257&lt;&gt;"",$N257,$J257))</f>
        <v/>
      </c>
      <c r="R257" s="35" t="str">
        <f aca="false">IF(OR($P257="",$Q257=""),"",INDEX(BookRate,252)*$P257*(5-MATCH($Q257,{"Q1";"Q2";"Q3";"Q4"},0))/4+INDEX(BookOneOff,252)*$P257)</f>
        <v/>
      </c>
      <c r="S257" s="35" t="str">
        <f aca="false">IF($P257="","",INDEX(BookRate,252)*$P257)</f>
        <v/>
      </c>
      <c r="T257" s="35" t="str">
        <f aca="false">IF($R257="","",$R257-$K257)</f>
        <v/>
      </c>
      <c r="U257" s="35" t="str">
        <f aca="false">IF(N($P257)&lt;=0,"",COUNTIF($P$6:$P257,"&gt;0"))</f>
        <v/>
      </c>
    </row>
    <row r="258" customFormat="false" ht="15" hidden="false" customHeight="false" outlineLevel="0" collapsed="false">
      <c r="A258" s="40" t="str">
        <f aca="false">IF(INDEX(BookTitle,253)="","",INDEX(BookGroup,253))</f>
        <v/>
      </c>
      <c r="B258" s="40" t="str">
        <f aca="false">IF(INDEX(BookTitle,253)="","",INDEX(BookRef,253))</f>
        <v/>
      </c>
      <c r="C258" s="40" t="str">
        <f aca="false">IF(INDEX(BookTitle,253)="","",INDEX(BookDivision,253))</f>
        <v/>
      </c>
      <c r="D258" s="40" t="str">
        <f aca="false">IF(INDEX(BookTitle,253)="","",INDEX(BookUnit,253))</f>
        <v/>
      </c>
      <c r="E258" s="40" t="str">
        <f aca="false">IF(INDEX(BookTitle,253)="","",INDEX(BookTitle,253))</f>
        <v/>
      </c>
      <c r="F258" s="40" t="str">
        <f aca="false">IF(INDEX(BookTitle,253)="","",INDEX(BookLevel,253))</f>
        <v/>
      </c>
      <c r="G258" s="40" t="str">
        <f aca="false">IF(INDEX(BookTitle,253)="","",INDEX(BookCategory,253))</f>
        <v/>
      </c>
      <c r="H258" s="40" t="str">
        <f aca="false">IF(INDEX(BookTitle,253)="","",INDEX(BookRank,253))</f>
        <v/>
      </c>
      <c r="I258" s="41" t="str">
        <f aca="false">IF(INDEX(BookTitle,253)="","",INDEX(BookTotal,253))</f>
        <v/>
      </c>
      <c r="J258" s="0" t="str">
        <f aca="false">IF($I258="","",IF(INDEX(BookQ1,253)&gt;0,"Q1",IF(INDEX(BookQ2,253)&gt;0,"Q2",IF(INDEX(BookQ3,253)&gt;0,"Q3",IF(INDEX(BookQ4,253)&gt;0,"Q4","")))))</f>
        <v/>
      </c>
      <c r="K258" s="42" t="str">
        <f aca="false">IF(INDEX(BookTitle,253)="","",INDEX(BookInYear,253))</f>
        <v/>
      </c>
      <c r="L258" s="19"/>
      <c r="M258" s="39"/>
      <c r="N258" s="19"/>
      <c r="O258" s="19"/>
      <c r="P258" s="43" t="str">
        <f aca="false">IF($E258="","",IF($L258="Decline",0,IF($L258="Approve fewer",IF($M258="","",$M258),IF($L258="","",$I258))))</f>
        <v/>
      </c>
      <c r="Q258" s="34" t="str">
        <f aca="false">IF($P258="","",IF($N258&lt;&gt;"",$N258,$J258))</f>
        <v/>
      </c>
      <c r="R258" s="35" t="str">
        <f aca="false">IF(OR($P258="",$Q258=""),"",INDEX(BookRate,253)*$P258*(5-MATCH($Q258,{"Q1";"Q2";"Q3";"Q4"},0))/4+INDEX(BookOneOff,253)*$P258)</f>
        <v/>
      </c>
      <c r="S258" s="35" t="str">
        <f aca="false">IF($P258="","",INDEX(BookRate,253)*$P258)</f>
        <v/>
      </c>
      <c r="T258" s="35" t="str">
        <f aca="false">IF($R258="","",$R258-$K258)</f>
        <v/>
      </c>
      <c r="U258" s="35" t="str">
        <f aca="false">IF(N($P258)&lt;=0,"",COUNTIF($P$6:$P258,"&gt;0"))</f>
        <v/>
      </c>
    </row>
    <row r="259" customFormat="false" ht="15" hidden="false" customHeight="false" outlineLevel="0" collapsed="false">
      <c r="A259" s="40" t="str">
        <f aca="false">IF(INDEX(BookTitle,254)="","",INDEX(BookGroup,254))</f>
        <v/>
      </c>
      <c r="B259" s="40" t="str">
        <f aca="false">IF(INDEX(BookTitle,254)="","",INDEX(BookRef,254))</f>
        <v/>
      </c>
      <c r="C259" s="40" t="str">
        <f aca="false">IF(INDEX(BookTitle,254)="","",INDEX(BookDivision,254))</f>
        <v/>
      </c>
      <c r="D259" s="40" t="str">
        <f aca="false">IF(INDEX(BookTitle,254)="","",INDEX(BookUnit,254))</f>
        <v/>
      </c>
      <c r="E259" s="40" t="str">
        <f aca="false">IF(INDEX(BookTitle,254)="","",INDEX(BookTitle,254))</f>
        <v/>
      </c>
      <c r="F259" s="40" t="str">
        <f aca="false">IF(INDEX(BookTitle,254)="","",INDEX(BookLevel,254))</f>
        <v/>
      </c>
      <c r="G259" s="40" t="str">
        <f aca="false">IF(INDEX(BookTitle,254)="","",INDEX(BookCategory,254))</f>
        <v/>
      </c>
      <c r="H259" s="40" t="str">
        <f aca="false">IF(INDEX(BookTitle,254)="","",INDEX(BookRank,254))</f>
        <v/>
      </c>
      <c r="I259" s="41" t="str">
        <f aca="false">IF(INDEX(BookTitle,254)="","",INDEX(BookTotal,254))</f>
        <v/>
      </c>
      <c r="J259" s="0" t="str">
        <f aca="false">IF($I259="","",IF(INDEX(BookQ1,254)&gt;0,"Q1",IF(INDEX(BookQ2,254)&gt;0,"Q2",IF(INDEX(BookQ3,254)&gt;0,"Q3",IF(INDEX(BookQ4,254)&gt;0,"Q4","")))))</f>
        <v/>
      </c>
      <c r="K259" s="42" t="str">
        <f aca="false">IF(INDEX(BookTitle,254)="","",INDEX(BookInYear,254))</f>
        <v/>
      </c>
      <c r="L259" s="19"/>
      <c r="M259" s="39"/>
      <c r="N259" s="19"/>
      <c r="O259" s="19"/>
      <c r="P259" s="43" t="str">
        <f aca="false">IF($E259="","",IF($L259="Decline",0,IF($L259="Approve fewer",IF($M259="","",$M259),IF($L259="","",$I259))))</f>
        <v/>
      </c>
      <c r="Q259" s="34" t="str">
        <f aca="false">IF($P259="","",IF($N259&lt;&gt;"",$N259,$J259))</f>
        <v/>
      </c>
      <c r="R259" s="35" t="str">
        <f aca="false">IF(OR($P259="",$Q259=""),"",INDEX(BookRate,254)*$P259*(5-MATCH($Q259,{"Q1";"Q2";"Q3";"Q4"},0))/4+INDEX(BookOneOff,254)*$P259)</f>
        <v/>
      </c>
      <c r="S259" s="35" t="str">
        <f aca="false">IF($P259="","",INDEX(BookRate,254)*$P259)</f>
        <v/>
      </c>
      <c r="T259" s="35" t="str">
        <f aca="false">IF($R259="","",$R259-$K259)</f>
        <v/>
      </c>
      <c r="U259" s="35" t="str">
        <f aca="false">IF(N($P259)&lt;=0,"",COUNTIF($P$6:$P259,"&gt;0"))</f>
        <v/>
      </c>
    </row>
    <row r="260" customFormat="false" ht="15" hidden="false" customHeight="false" outlineLevel="0" collapsed="false">
      <c r="A260" s="40" t="str">
        <f aca="false">IF(INDEX(BookTitle,255)="","",INDEX(BookGroup,255))</f>
        <v/>
      </c>
      <c r="B260" s="40" t="str">
        <f aca="false">IF(INDEX(BookTitle,255)="","",INDEX(BookRef,255))</f>
        <v/>
      </c>
      <c r="C260" s="40" t="str">
        <f aca="false">IF(INDEX(BookTitle,255)="","",INDEX(BookDivision,255))</f>
        <v/>
      </c>
      <c r="D260" s="40" t="str">
        <f aca="false">IF(INDEX(BookTitle,255)="","",INDEX(BookUnit,255))</f>
        <v/>
      </c>
      <c r="E260" s="40" t="str">
        <f aca="false">IF(INDEX(BookTitle,255)="","",INDEX(BookTitle,255))</f>
        <v/>
      </c>
      <c r="F260" s="40" t="str">
        <f aca="false">IF(INDEX(BookTitle,255)="","",INDEX(BookLevel,255))</f>
        <v/>
      </c>
      <c r="G260" s="40" t="str">
        <f aca="false">IF(INDEX(BookTitle,255)="","",INDEX(BookCategory,255))</f>
        <v/>
      </c>
      <c r="H260" s="40" t="str">
        <f aca="false">IF(INDEX(BookTitle,255)="","",INDEX(BookRank,255))</f>
        <v/>
      </c>
      <c r="I260" s="41" t="str">
        <f aca="false">IF(INDEX(BookTitle,255)="","",INDEX(BookTotal,255))</f>
        <v/>
      </c>
      <c r="J260" s="0" t="str">
        <f aca="false">IF($I260="","",IF(INDEX(BookQ1,255)&gt;0,"Q1",IF(INDEX(BookQ2,255)&gt;0,"Q2",IF(INDEX(BookQ3,255)&gt;0,"Q3",IF(INDEX(BookQ4,255)&gt;0,"Q4","")))))</f>
        <v/>
      </c>
      <c r="K260" s="42" t="str">
        <f aca="false">IF(INDEX(BookTitle,255)="","",INDEX(BookInYear,255))</f>
        <v/>
      </c>
      <c r="L260" s="19"/>
      <c r="M260" s="39"/>
      <c r="N260" s="19"/>
      <c r="O260" s="19"/>
      <c r="P260" s="43" t="str">
        <f aca="false">IF($E260="","",IF($L260="Decline",0,IF($L260="Approve fewer",IF($M260="","",$M260),IF($L260="","",$I260))))</f>
        <v/>
      </c>
      <c r="Q260" s="34" t="str">
        <f aca="false">IF($P260="","",IF($N260&lt;&gt;"",$N260,$J260))</f>
        <v/>
      </c>
      <c r="R260" s="35" t="str">
        <f aca="false">IF(OR($P260="",$Q260=""),"",INDEX(BookRate,255)*$P260*(5-MATCH($Q260,{"Q1";"Q2";"Q3";"Q4"},0))/4+INDEX(BookOneOff,255)*$P260)</f>
        <v/>
      </c>
      <c r="S260" s="35" t="str">
        <f aca="false">IF($P260="","",INDEX(BookRate,255)*$P260)</f>
        <v/>
      </c>
      <c r="T260" s="35" t="str">
        <f aca="false">IF($R260="","",$R260-$K260)</f>
        <v/>
      </c>
      <c r="U260" s="35" t="str">
        <f aca="false">IF(N($P260)&lt;=0,"",COUNTIF($P$6:$P260,"&gt;0"))</f>
        <v/>
      </c>
    </row>
    <row r="261" customFormat="false" ht="15" hidden="false" customHeight="false" outlineLevel="0" collapsed="false">
      <c r="A261" s="40" t="str">
        <f aca="false">IF(INDEX(BookTitle,256)="","",INDEX(BookGroup,256))</f>
        <v/>
      </c>
      <c r="B261" s="40" t="str">
        <f aca="false">IF(INDEX(BookTitle,256)="","",INDEX(BookRef,256))</f>
        <v/>
      </c>
      <c r="C261" s="40" t="str">
        <f aca="false">IF(INDEX(BookTitle,256)="","",INDEX(BookDivision,256))</f>
        <v/>
      </c>
      <c r="D261" s="40" t="str">
        <f aca="false">IF(INDEX(BookTitle,256)="","",INDEX(BookUnit,256))</f>
        <v/>
      </c>
      <c r="E261" s="40" t="str">
        <f aca="false">IF(INDEX(BookTitle,256)="","",INDEX(BookTitle,256))</f>
        <v/>
      </c>
      <c r="F261" s="40" t="str">
        <f aca="false">IF(INDEX(BookTitle,256)="","",INDEX(BookLevel,256))</f>
        <v/>
      </c>
      <c r="G261" s="40" t="str">
        <f aca="false">IF(INDEX(BookTitle,256)="","",INDEX(BookCategory,256))</f>
        <v/>
      </c>
      <c r="H261" s="40" t="str">
        <f aca="false">IF(INDEX(BookTitle,256)="","",INDEX(BookRank,256))</f>
        <v/>
      </c>
      <c r="I261" s="41" t="str">
        <f aca="false">IF(INDEX(BookTitle,256)="","",INDEX(BookTotal,256))</f>
        <v/>
      </c>
      <c r="J261" s="0" t="str">
        <f aca="false">IF($I261="","",IF(INDEX(BookQ1,256)&gt;0,"Q1",IF(INDEX(BookQ2,256)&gt;0,"Q2",IF(INDEX(BookQ3,256)&gt;0,"Q3",IF(INDEX(BookQ4,256)&gt;0,"Q4","")))))</f>
        <v/>
      </c>
      <c r="K261" s="42" t="str">
        <f aca="false">IF(INDEX(BookTitle,256)="","",INDEX(BookInYear,256))</f>
        <v/>
      </c>
      <c r="L261" s="19"/>
      <c r="M261" s="39"/>
      <c r="N261" s="19"/>
      <c r="O261" s="19"/>
      <c r="P261" s="43" t="str">
        <f aca="false">IF($E261="","",IF($L261="Decline",0,IF($L261="Approve fewer",IF($M261="","",$M261),IF($L261="","",$I261))))</f>
        <v/>
      </c>
      <c r="Q261" s="34" t="str">
        <f aca="false">IF($P261="","",IF($N261&lt;&gt;"",$N261,$J261))</f>
        <v/>
      </c>
      <c r="R261" s="35" t="str">
        <f aca="false">IF(OR($P261="",$Q261=""),"",INDEX(BookRate,256)*$P261*(5-MATCH($Q261,{"Q1";"Q2";"Q3";"Q4"},0))/4+INDEX(BookOneOff,256)*$P261)</f>
        <v/>
      </c>
      <c r="S261" s="35" t="str">
        <f aca="false">IF($P261="","",INDEX(BookRate,256)*$P261)</f>
        <v/>
      </c>
      <c r="T261" s="35" t="str">
        <f aca="false">IF($R261="","",$R261-$K261)</f>
        <v/>
      </c>
      <c r="U261" s="35" t="str">
        <f aca="false">IF(N($P261)&lt;=0,"",COUNTIF($P$6:$P261,"&gt;0"))</f>
        <v/>
      </c>
    </row>
    <row r="262" customFormat="false" ht="15" hidden="false" customHeight="false" outlineLevel="0" collapsed="false">
      <c r="A262" s="40" t="str">
        <f aca="false">IF(INDEX(BookTitle,257)="","",INDEX(BookGroup,257))</f>
        <v/>
      </c>
      <c r="B262" s="40" t="str">
        <f aca="false">IF(INDEX(BookTitle,257)="","",INDEX(BookRef,257))</f>
        <v/>
      </c>
      <c r="C262" s="40" t="str">
        <f aca="false">IF(INDEX(BookTitle,257)="","",INDEX(BookDivision,257))</f>
        <v/>
      </c>
      <c r="D262" s="40" t="str">
        <f aca="false">IF(INDEX(BookTitle,257)="","",INDEX(BookUnit,257))</f>
        <v/>
      </c>
      <c r="E262" s="40" t="str">
        <f aca="false">IF(INDEX(BookTitle,257)="","",INDEX(BookTitle,257))</f>
        <v/>
      </c>
      <c r="F262" s="40" t="str">
        <f aca="false">IF(INDEX(BookTitle,257)="","",INDEX(BookLevel,257))</f>
        <v/>
      </c>
      <c r="G262" s="40" t="str">
        <f aca="false">IF(INDEX(BookTitle,257)="","",INDEX(BookCategory,257))</f>
        <v/>
      </c>
      <c r="H262" s="40" t="str">
        <f aca="false">IF(INDEX(BookTitle,257)="","",INDEX(BookRank,257))</f>
        <v/>
      </c>
      <c r="I262" s="41" t="str">
        <f aca="false">IF(INDEX(BookTitle,257)="","",INDEX(BookTotal,257))</f>
        <v/>
      </c>
      <c r="J262" s="0" t="str">
        <f aca="false">IF($I262="","",IF(INDEX(BookQ1,257)&gt;0,"Q1",IF(INDEX(BookQ2,257)&gt;0,"Q2",IF(INDEX(BookQ3,257)&gt;0,"Q3",IF(INDEX(BookQ4,257)&gt;0,"Q4","")))))</f>
        <v/>
      </c>
      <c r="K262" s="42" t="str">
        <f aca="false">IF(INDEX(BookTitle,257)="","",INDEX(BookInYear,257))</f>
        <v/>
      </c>
      <c r="L262" s="19"/>
      <c r="M262" s="39"/>
      <c r="N262" s="19"/>
      <c r="O262" s="19"/>
      <c r="P262" s="43" t="str">
        <f aca="false">IF($E262="","",IF($L262="Decline",0,IF($L262="Approve fewer",IF($M262="","",$M262),IF($L262="","",$I262))))</f>
        <v/>
      </c>
      <c r="Q262" s="34" t="str">
        <f aca="false">IF($P262="","",IF($N262&lt;&gt;"",$N262,$J262))</f>
        <v/>
      </c>
      <c r="R262" s="35" t="str">
        <f aca="false">IF(OR($P262="",$Q262=""),"",INDEX(BookRate,257)*$P262*(5-MATCH($Q262,{"Q1";"Q2";"Q3";"Q4"},0))/4+INDEX(BookOneOff,257)*$P262)</f>
        <v/>
      </c>
      <c r="S262" s="35" t="str">
        <f aca="false">IF($P262="","",INDEX(BookRate,257)*$P262)</f>
        <v/>
      </c>
      <c r="T262" s="35" t="str">
        <f aca="false">IF($R262="","",$R262-$K262)</f>
        <v/>
      </c>
      <c r="U262" s="35" t="str">
        <f aca="false">IF(N($P262)&lt;=0,"",COUNTIF($P$6:$P262,"&gt;0"))</f>
        <v/>
      </c>
    </row>
    <row r="263" customFormat="false" ht="15" hidden="false" customHeight="false" outlineLevel="0" collapsed="false">
      <c r="A263" s="40" t="str">
        <f aca="false">IF(INDEX(BookTitle,258)="","",INDEX(BookGroup,258))</f>
        <v/>
      </c>
      <c r="B263" s="40" t="str">
        <f aca="false">IF(INDEX(BookTitle,258)="","",INDEX(BookRef,258))</f>
        <v/>
      </c>
      <c r="C263" s="40" t="str">
        <f aca="false">IF(INDEX(BookTitle,258)="","",INDEX(BookDivision,258))</f>
        <v/>
      </c>
      <c r="D263" s="40" t="str">
        <f aca="false">IF(INDEX(BookTitle,258)="","",INDEX(BookUnit,258))</f>
        <v/>
      </c>
      <c r="E263" s="40" t="str">
        <f aca="false">IF(INDEX(BookTitle,258)="","",INDEX(BookTitle,258))</f>
        <v/>
      </c>
      <c r="F263" s="40" t="str">
        <f aca="false">IF(INDEX(BookTitle,258)="","",INDEX(BookLevel,258))</f>
        <v/>
      </c>
      <c r="G263" s="40" t="str">
        <f aca="false">IF(INDEX(BookTitle,258)="","",INDEX(BookCategory,258))</f>
        <v/>
      </c>
      <c r="H263" s="40" t="str">
        <f aca="false">IF(INDEX(BookTitle,258)="","",INDEX(BookRank,258))</f>
        <v/>
      </c>
      <c r="I263" s="41" t="str">
        <f aca="false">IF(INDEX(BookTitle,258)="","",INDEX(BookTotal,258))</f>
        <v/>
      </c>
      <c r="J263" s="0" t="str">
        <f aca="false">IF($I263="","",IF(INDEX(BookQ1,258)&gt;0,"Q1",IF(INDEX(BookQ2,258)&gt;0,"Q2",IF(INDEX(BookQ3,258)&gt;0,"Q3",IF(INDEX(BookQ4,258)&gt;0,"Q4","")))))</f>
        <v/>
      </c>
      <c r="K263" s="42" t="str">
        <f aca="false">IF(INDEX(BookTitle,258)="","",INDEX(BookInYear,258))</f>
        <v/>
      </c>
      <c r="L263" s="19"/>
      <c r="M263" s="39"/>
      <c r="N263" s="19"/>
      <c r="O263" s="19"/>
      <c r="P263" s="43" t="str">
        <f aca="false">IF($E263="","",IF($L263="Decline",0,IF($L263="Approve fewer",IF($M263="","",$M263),IF($L263="","",$I263))))</f>
        <v/>
      </c>
      <c r="Q263" s="34" t="str">
        <f aca="false">IF($P263="","",IF($N263&lt;&gt;"",$N263,$J263))</f>
        <v/>
      </c>
      <c r="R263" s="35" t="str">
        <f aca="false">IF(OR($P263="",$Q263=""),"",INDEX(BookRate,258)*$P263*(5-MATCH($Q263,{"Q1";"Q2";"Q3";"Q4"},0))/4+INDEX(BookOneOff,258)*$P263)</f>
        <v/>
      </c>
      <c r="S263" s="35" t="str">
        <f aca="false">IF($P263="","",INDEX(BookRate,258)*$P263)</f>
        <v/>
      </c>
      <c r="T263" s="35" t="str">
        <f aca="false">IF($R263="","",$R263-$K263)</f>
        <v/>
      </c>
      <c r="U263" s="35" t="str">
        <f aca="false">IF(N($P263)&lt;=0,"",COUNTIF($P$6:$P263,"&gt;0"))</f>
        <v/>
      </c>
    </row>
    <row r="264" customFormat="false" ht="15" hidden="false" customHeight="false" outlineLevel="0" collapsed="false">
      <c r="A264" s="40" t="str">
        <f aca="false">IF(INDEX(BookTitle,259)="","",INDEX(BookGroup,259))</f>
        <v/>
      </c>
      <c r="B264" s="40" t="str">
        <f aca="false">IF(INDEX(BookTitle,259)="","",INDEX(BookRef,259))</f>
        <v/>
      </c>
      <c r="C264" s="40" t="str">
        <f aca="false">IF(INDEX(BookTitle,259)="","",INDEX(BookDivision,259))</f>
        <v/>
      </c>
      <c r="D264" s="40" t="str">
        <f aca="false">IF(INDEX(BookTitle,259)="","",INDEX(BookUnit,259))</f>
        <v/>
      </c>
      <c r="E264" s="40" t="str">
        <f aca="false">IF(INDEX(BookTitle,259)="","",INDEX(BookTitle,259))</f>
        <v/>
      </c>
      <c r="F264" s="40" t="str">
        <f aca="false">IF(INDEX(BookTitle,259)="","",INDEX(BookLevel,259))</f>
        <v/>
      </c>
      <c r="G264" s="40" t="str">
        <f aca="false">IF(INDEX(BookTitle,259)="","",INDEX(BookCategory,259))</f>
        <v/>
      </c>
      <c r="H264" s="40" t="str">
        <f aca="false">IF(INDEX(BookTitle,259)="","",INDEX(BookRank,259))</f>
        <v/>
      </c>
      <c r="I264" s="41" t="str">
        <f aca="false">IF(INDEX(BookTitle,259)="","",INDEX(BookTotal,259))</f>
        <v/>
      </c>
      <c r="J264" s="0" t="str">
        <f aca="false">IF($I264="","",IF(INDEX(BookQ1,259)&gt;0,"Q1",IF(INDEX(BookQ2,259)&gt;0,"Q2",IF(INDEX(BookQ3,259)&gt;0,"Q3",IF(INDEX(BookQ4,259)&gt;0,"Q4","")))))</f>
        <v/>
      </c>
      <c r="K264" s="42" t="str">
        <f aca="false">IF(INDEX(BookTitle,259)="","",INDEX(BookInYear,259))</f>
        <v/>
      </c>
      <c r="L264" s="19"/>
      <c r="M264" s="39"/>
      <c r="N264" s="19"/>
      <c r="O264" s="19"/>
      <c r="P264" s="43" t="str">
        <f aca="false">IF($E264="","",IF($L264="Decline",0,IF($L264="Approve fewer",IF($M264="","",$M264),IF($L264="","",$I264))))</f>
        <v/>
      </c>
      <c r="Q264" s="34" t="str">
        <f aca="false">IF($P264="","",IF($N264&lt;&gt;"",$N264,$J264))</f>
        <v/>
      </c>
      <c r="R264" s="35" t="str">
        <f aca="false">IF(OR($P264="",$Q264=""),"",INDEX(BookRate,259)*$P264*(5-MATCH($Q264,{"Q1";"Q2";"Q3";"Q4"},0))/4+INDEX(BookOneOff,259)*$P264)</f>
        <v/>
      </c>
      <c r="S264" s="35" t="str">
        <f aca="false">IF($P264="","",INDEX(BookRate,259)*$P264)</f>
        <v/>
      </c>
      <c r="T264" s="35" t="str">
        <f aca="false">IF($R264="","",$R264-$K264)</f>
        <v/>
      </c>
      <c r="U264" s="35" t="str">
        <f aca="false">IF(N($P264)&lt;=0,"",COUNTIF($P$6:$P264,"&gt;0"))</f>
        <v/>
      </c>
    </row>
    <row r="265" customFormat="false" ht="15" hidden="false" customHeight="false" outlineLevel="0" collapsed="false">
      <c r="A265" s="40" t="str">
        <f aca="false">IF(INDEX(BookTitle,260)="","",INDEX(BookGroup,260))</f>
        <v/>
      </c>
      <c r="B265" s="40" t="str">
        <f aca="false">IF(INDEX(BookTitle,260)="","",INDEX(BookRef,260))</f>
        <v/>
      </c>
      <c r="C265" s="40" t="str">
        <f aca="false">IF(INDEX(BookTitle,260)="","",INDEX(BookDivision,260))</f>
        <v/>
      </c>
      <c r="D265" s="40" t="str">
        <f aca="false">IF(INDEX(BookTitle,260)="","",INDEX(BookUnit,260))</f>
        <v/>
      </c>
      <c r="E265" s="40" t="str">
        <f aca="false">IF(INDEX(BookTitle,260)="","",INDEX(BookTitle,260))</f>
        <v/>
      </c>
      <c r="F265" s="40" t="str">
        <f aca="false">IF(INDEX(BookTitle,260)="","",INDEX(BookLevel,260))</f>
        <v/>
      </c>
      <c r="G265" s="40" t="str">
        <f aca="false">IF(INDEX(BookTitle,260)="","",INDEX(BookCategory,260))</f>
        <v/>
      </c>
      <c r="H265" s="40" t="str">
        <f aca="false">IF(INDEX(BookTitle,260)="","",INDEX(BookRank,260))</f>
        <v/>
      </c>
      <c r="I265" s="41" t="str">
        <f aca="false">IF(INDEX(BookTitle,260)="","",INDEX(BookTotal,260))</f>
        <v/>
      </c>
      <c r="J265" s="0" t="str">
        <f aca="false">IF($I265="","",IF(INDEX(BookQ1,260)&gt;0,"Q1",IF(INDEX(BookQ2,260)&gt;0,"Q2",IF(INDEX(BookQ3,260)&gt;0,"Q3",IF(INDEX(BookQ4,260)&gt;0,"Q4","")))))</f>
        <v/>
      </c>
      <c r="K265" s="42" t="str">
        <f aca="false">IF(INDEX(BookTitle,260)="","",INDEX(BookInYear,260))</f>
        <v/>
      </c>
      <c r="L265" s="19"/>
      <c r="M265" s="39"/>
      <c r="N265" s="19"/>
      <c r="O265" s="19"/>
      <c r="P265" s="43" t="str">
        <f aca="false">IF($E265="","",IF($L265="Decline",0,IF($L265="Approve fewer",IF($M265="","",$M265),IF($L265="","",$I265))))</f>
        <v/>
      </c>
      <c r="Q265" s="34" t="str">
        <f aca="false">IF($P265="","",IF($N265&lt;&gt;"",$N265,$J265))</f>
        <v/>
      </c>
      <c r="R265" s="35" t="str">
        <f aca="false">IF(OR($P265="",$Q265=""),"",INDEX(BookRate,260)*$P265*(5-MATCH($Q265,{"Q1";"Q2";"Q3";"Q4"},0))/4+INDEX(BookOneOff,260)*$P265)</f>
        <v/>
      </c>
      <c r="S265" s="35" t="str">
        <f aca="false">IF($P265="","",INDEX(BookRate,260)*$P265)</f>
        <v/>
      </c>
      <c r="T265" s="35" t="str">
        <f aca="false">IF($R265="","",$R265-$K265)</f>
        <v/>
      </c>
      <c r="U265" s="35" t="str">
        <f aca="false">IF(N($P265)&lt;=0,"",COUNTIF($P$6:$P265,"&gt;0"))</f>
        <v/>
      </c>
    </row>
    <row r="266" customFormat="false" ht="15" hidden="false" customHeight="false" outlineLevel="0" collapsed="false">
      <c r="A266" s="40" t="str">
        <f aca="false">IF(INDEX(BookTitle,261)="","",INDEX(BookGroup,261))</f>
        <v/>
      </c>
      <c r="B266" s="40" t="str">
        <f aca="false">IF(INDEX(BookTitle,261)="","",INDEX(BookRef,261))</f>
        <v/>
      </c>
      <c r="C266" s="40" t="str">
        <f aca="false">IF(INDEX(BookTitle,261)="","",INDEX(BookDivision,261))</f>
        <v/>
      </c>
      <c r="D266" s="40" t="str">
        <f aca="false">IF(INDEX(BookTitle,261)="","",INDEX(BookUnit,261))</f>
        <v/>
      </c>
      <c r="E266" s="40" t="str">
        <f aca="false">IF(INDEX(BookTitle,261)="","",INDEX(BookTitle,261))</f>
        <v/>
      </c>
      <c r="F266" s="40" t="str">
        <f aca="false">IF(INDEX(BookTitle,261)="","",INDEX(BookLevel,261))</f>
        <v/>
      </c>
      <c r="G266" s="40" t="str">
        <f aca="false">IF(INDEX(BookTitle,261)="","",INDEX(BookCategory,261))</f>
        <v/>
      </c>
      <c r="H266" s="40" t="str">
        <f aca="false">IF(INDEX(BookTitle,261)="","",INDEX(BookRank,261))</f>
        <v/>
      </c>
      <c r="I266" s="41" t="str">
        <f aca="false">IF(INDEX(BookTitle,261)="","",INDEX(BookTotal,261))</f>
        <v/>
      </c>
      <c r="J266" s="0" t="str">
        <f aca="false">IF($I266="","",IF(INDEX(BookQ1,261)&gt;0,"Q1",IF(INDEX(BookQ2,261)&gt;0,"Q2",IF(INDEX(BookQ3,261)&gt;0,"Q3",IF(INDEX(BookQ4,261)&gt;0,"Q4","")))))</f>
        <v/>
      </c>
      <c r="K266" s="42" t="str">
        <f aca="false">IF(INDEX(BookTitle,261)="","",INDEX(BookInYear,261))</f>
        <v/>
      </c>
      <c r="L266" s="19"/>
      <c r="M266" s="39"/>
      <c r="N266" s="19"/>
      <c r="O266" s="19"/>
      <c r="P266" s="43" t="str">
        <f aca="false">IF($E266="","",IF($L266="Decline",0,IF($L266="Approve fewer",IF($M266="","",$M266),IF($L266="","",$I266))))</f>
        <v/>
      </c>
      <c r="Q266" s="34" t="str">
        <f aca="false">IF($P266="","",IF($N266&lt;&gt;"",$N266,$J266))</f>
        <v/>
      </c>
      <c r="R266" s="35" t="str">
        <f aca="false">IF(OR($P266="",$Q266=""),"",INDEX(BookRate,261)*$P266*(5-MATCH($Q266,{"Q1";"Q2";"Q3";"Q4"},0))/4+INDEX(BookOneOff,261)*$P266)</f>
        <v/>
      </c>
      <c r="S266" s="35" t="str">
        <f aca="false">IF($P266="","",INDEX(BookRate,261)*$P266)</f>
        <v/>
      </c>
      <c r="T266" s="35" t="str">
        <f aca="false">IF($R266="","",$R266-$K266)</f>
        <v/>
      </c>
      <c r="U266" s="35" t="str">
        <f aca="false">IF(N($P266)&lt;=0,"",COUNTIF($P$6:$P266,"&gt;0"))</f>
        <v/>
      </c>
    </row>
    <row r="267" customFormat="false" ht="15" hidden="false" customHeight="false" outlineLevel="0" collapsed="false">
      <c r="A267" s="40" t="str">
        <f aca="false">IF(INDEX(BookTitle,262)="","",INDEX(BookGroup,262))</f>
        <v/>
      </c>
      <c r="B267" s="40" t="str">
        <f aca="false">IF(INDEX(BookTitle,262)="","",INDEX(BookRef,262))</f>
        <v/>
      </c>
      <c r="C267" s="40" t="str">
        <f aca="false">IF(INDEX(BookTitle,262)="","",INDEX(BookDivision,262))</f>
        <v/>
      </c>
      <c r="D267" s="40" t="str">
        <f aca="false">IF(INDEX(BookTitle,262)="","",INDEX(BookUnit,262))</f>
        <v/>
      </c>
      <c r="E267" s="40" t="str">
        <f aca="false">IF(INDEX(BookTitle,262)="","",INDEX(BookTitle,262))</f>
        <v/>
      </c>
      <c r="F267" s="40" t="str">
        <f aca="false">IF(INDEX(BookTitle,262)="","",INDEX(BookLevel,262))</f>
        <v/>
      </c>
      <c r="G267" s="40" t="str">
        <f aca="false">IF(INDEX(BookTitle,262)="","",INDEX(BookCategory,262))</f>
        <v/>
      </c>
      <c r="H267" s="40" t="str">
        <f aca="false">IF(INDEX(BookTitle,262)="","",INDEX(BookRank,262))</f>
        <v/>
      </c>
      <c r="I267" s="41" t="str">
        <f aca="false">IF(INDEX(BookTitle,262)="","",INDEX(BookTotal,262))</f>
        <v/>
      </c>
      <c r="J267" s="0" t="str">
        <f aca="false">IF($I267="","",IF(INDEX(BookQ1,262)&gt;0,"Q1",IF(INDEX(BookQ2,262)&gt;0,"Q2",IF(INDEX(BookQ3,262)&gt;0,"Q3",IF(INDEX(BookQ4,262)&gt;0,"Q4","")))))</f>
        <v/>
      </c>
      <c r="K267" s="42" t="str">
        <f aca="false">IF(INDEX(BookTitle,262)="","",INDEX(BookInYear,262))</f>
        <v/>
      </c>
      <c r="L267" s="19"/>
      <c r="M267" s="39"/>
      <c r="N267" s="19"/>
      <c r="O267" s="19"/>
      <c r="P267" s="43" t="str">
        <f aca="false">IF($E267="","",IF($L267="Decline",0,IF($L267="Approve fewer",IF($M267="","",$M267),IF($L267="","",$I267))))</f>
        <v/>
      </c>
      <c r="Q267" s="34" t="str">
        <f aca="false">IF($P267="","",IF($N267&lt;&gt;"",$N267,$J267))</f>
        <v/>
      </c>
      <c r="R267" s="35" t="str">
        <f aca="false">IF(OR($P267="",$Q267=""),"",INDEX(BookRate,262)*$P267*(5-MATCH($Q267,{"Q1";"Q2";"Q3";"Q4"},0))/4+INDEX(BookOneOff,262)*$P267)</f>
        <v/>
      </c>
      <c r="S267" s="35" t="str">
        <f aca="false">IF($P267="","",INDEX(BookRate,262)*$P267)</f>
        <v/>
      </c>
      <c r="T267" s="35" t="str">
        <f aca="false">IF($R267="","",$R267-$K267)</f>
        <v/>
      </c>
      <c r="U267" s="35" t="str">
        <f aca="false">IF(N($P267)&lt;=0,"",COUNTIF($P$6:$P267,"&gt;0"))</f>
        <v/>
      </c>
    </row>
    <row r="268" customFormat="false" ht="15" hidden="false" customHeight="false" outlineLevel="0" collapsed="false">
      <c r="A268" s="40" t="str">
        <f aca="false">IF(INDEX(BookTitle,263)="","",INDEX(BookGroup,263))</f>
        <v/>
      </c>
      <c r="B268" s="40" t="str">
        <f aca="false">IF(INDEX(BookTitle,263)="","",INDEX(BookRef,263))</f>
        <v/>
      </c>
      <c r="C268" s="40" t="str">
        <f aca="false">IF(INDEX(BookTitle,263)="","",INDEX(BookDivision,263))</f>
        <v/>
      </c>
      <c r="D268" s="40" t="str">
        <f aca="false">IF(INDEX(BookTitle,263)="","",INDEX(BookUnit,263))</f>
        <v/>
      </c>
      <c r="E268" s="40" t="str">
        <f aca="false">IF(INDEX(BookTitle,263)="","",INDEX(BookTitle,263))</f>
        <v/>
      </c>
      <c r="F268" s="40" t="str">
        <f aca="false">IF(INDEX(BookTitle,263)="","",INDEX(BookLevel,263))</f>
        <v/>
      </c>
      <c r="G268" s="40" t="str">
        <f aca="false">IF(INDEX(BookTitle,263)="","",INDEX(BookCategory,263))</f>
        <v/>
      </c>
      <c r="H268" s="40" t="str">
        <f aca="false">IF(INDEX(BookTitle,263)="","",INDEX(BookRank,263))</f>
        <v/>
      </c>
      <c r="I268" s="41" t="str">
        <f aca="false">IF(INDEX(BookTitle,263)="","",INDEX(BookTotal,263))</f>
        <v/>
      </c>
      <c r="J268" s="0" t="str">
        <f aca="false">IF($I268="","",IF(INDEX(BookQ1,263)&gt;0,"Q1",IF(INDEX(BookQ2,263)&gt;0,"Q2",IF(INDEX(BookQ3,263)&gt;0,"Q3",IF(INDEX(BookQ4,263)&gt;0,"Q4","")))))</f>
        <v/>
      </c>
      <c r="K268" s="42" t="str">
        <f aca="false">IF(INDEX(BookTitle,263)="","",INDEX(BookInYear,263))</f>
        <v/>
      </c>
      <c r="L268" s="19"/>
      <c r="M268" s="39"/>
      <c r="N268" s="19"/>
      <c r="O268" s="19"/>
      <c r="P268" s="43" t="str">
        <f aca="false">IF($E268="","",IF($L268="Decline",0,IF($L268="Approve fewer",IF($M268="","",$M268),IF($L268="","",$I268))))</f>
        <v/>
      </c>
      <c r="Q268" s="34" t="str">
        <f aca="false">IF($P268="","",IF($N268&lt;&gt;"",$N268,$J268))</f>
        <v/>
      </c>
      <c r="R268" s="35" t="str">
        <f aca="false">IF(OR($P268="",$Q268=""),"",INDEX(BookRate,263)*$P268*(5-MATCH($Q268,{"Q1";"Q2";"Q3";"Q4"},0))/4+INDEX(BookOneOff,263)*$P268)</f>
        <v/>
      </c>
      <c r="S268" s="35" t="str">
        <f aca="false">IF($P268="","",INDEX(BookRate,263)*$P268)</f>
        <v/>
      </c>
      <c r="T268" s="35" t="str">
        <f aca="false">IF($R268="","",$R268-$K268)</f>
        <v/>
      </c>
      <c r="U268" s="35" t="str">
        <f aca="false">IF(N($P268)&lt;=0,"",COUNTIF($P$6:$P268,"&gt;0"))</f>
        <v/>
      </c>
    </row>
    <row r="269" customFormat="false" ht="15" hidden="false" customHeight="false" outlineLevel="0" collapsed="false">
      <c r="A269" s="40" t="str">
        <f aca="false">IF(INDEX(BookTitle,264)="","",INDEX(BookGroup,264))</f>
        <v/>
      </c>
      <c r="B269" s="40" t="str">
        <f aca="false">IF(INDEX(BookTitle,264)="","",INDEX(BookRef,264))</f>
        <v/>
      </c>
      <c r="C269" s="40" t="str">
        <f aca="false">IF(INDEX(BookTitle,264)="","",INDEX(BookDivision,264))</f>
        <v/>
      </c>
      <c r="D269" s="40" t="str">
        <f aca="false">IF(INDEX(BookTitle,264)="","",INDEX(BookUnit,264))</f>
        <v/>
      </c>
      <c r="E269" s="40" t="str">
        <f aca="false">IF(INDEX(BookTitle,264)="","",INDEX(BookTitle,264))</f>
        <v/>
      </c>
      <c r="F269" s="40" t="str">
        <f aca="false">IF(INDEX(BookTitle,264)="","",INDEX(BookLevel,264))</f>
        <v/>
      </c>
      <c r="G269" s="40" t="str">
        <f aca="false">IF(INDEX(BookTitle,264)="","",INDEX(BookCategory,264))</f>
        <v/>
      </c>
      <c r="H269" s="40" t="str">
        <f aca="false">IF(INDEX(BookTitle,264)="","",INDEX(BookRank,264))</f>
        <v/>
      </c>
      <c r="I269" s="41" t="str">
        <f aca="false">IF(INDEX(BookTitle,264)="","",INDEX(BookTotal,264))</f>
        <v/>
      </c>
      <c r="J269" s="0" t="str">
        <f aca="false">IF($I269="","",IF(INDEX(BookQ1,264)&gt;0,"Q1",IF(INDEX(BookQ2,264)&gt;0,"Q2",IF(INDEX(BookQ3,264)&gt;0,"Q3",IF(INDEX(BookQ4,264)&gt;0,"Q4","")))))</f>
        <v/>
      </c>
      <c r="K269" s="42" t="str">
        <f aca="false">IF(INDEX(BookTitle,264)="","",INDEX(BookInYear,264))</f>
        <v/>
      </c>
      <c r="L269" s="19"/>
      <c r="M269" s="39"/>
      <c r="N269" s="19"/>
      <c r="O269" s="19"/>
      <c r="P269" s="43" t="str">
        <f aca="false">IF($E269="","",IF($L269="Decline",0,IF($L269="Approve fewer",IF($M269="","",$M269),IF($L269="","",$I269))))</f>
        <v/>
      </c>
      <c r="Q269" s="34" t="str">
        <f aca="false">IF($P269="","",IF($N269&lt;&gt;"",$N269,$J269))</f>
        <v/>
      </c>
      <c r="R269" s="35" t="str">
        <f aca="false">IF(OR($P269="",$Q269=""),"",INDEX(BookRate,264)*$P269*(5-MATCH($Q269,{"Q1";"Q2";"Q3";"Q4"},0))/4+INDEX(BookOneOff,264)*$P269)</f>
        <v/>
      </c>
      <c r="S269" s="35" t="str">
        <f aca="false">IF($P269="","",INDEX(BookRate,264)*$P269)</f>
        <v/>
      </c>
      <c r="T269" s="35" t="str">
        <f aca="false">IF($R269="","",$R269-$K269)</f>
        <v/>
      </c>
      <c r="U269" s="35" t="str">
        <f aca="false">IF(N($P269)&lt;=0,"",COUNTIF($P$6:$P269,"&gt;0"))</f>
        <v/>
      </c>
    </row>
    <row r="270" customFormat="false" ht="15" hidden="false" customHeight="false" outlineLevel="0" collapsed="false">
      <c r="A270" s="40" t="str">
        <f aca="false">IF(INDEX(BookTitle,265)="","",INDEX(BookGroup,265))</f>
        <v/>
      </c>
      <c r="B270" s="40" t="str">
        <f aca="false">IF(INDEX(BookTitle,265)="","",INDEX(BookRef,265))</f>
        <v/>
      </c>
      <c r="C270" s="40" t="str">
        <f aca="false">IF(INDEX(BookTitle,265)="","",INDEX(BookDivision,265))</f>
        <v/>
      </c>
      <c r="D270" s="40" t="str">
        <f aca="false">IF(INDEX(BookTitle,265)="","",INDEX(BookUnit,265))</f>
        <v/>
      </c>
      <c r="E270" s="40" t="str">
        <f aca="false">IF(INDEX(BookTitle,265)="","",INDEX(BookTitle,265))</f>
        <v/>
      </c>
      <c r="F270" s="40" t="str">
        <f aca="false">IF(INDEX(BookTitle,265)="","",INDEX(BookLevel,265))</f>
        <v/>
      </c>
      <c r="G270" s="40" t="str">
        <f aca="false">IF(INDEX(BookTitle,265)="","",INDEX(BookCategory,265))</f>
        <v/>
      </c>
      <c r="H270" s="40" t="str">
        <f aca="false">IF(INDEX(BookTitle,265)="","",INDEX(BookRank,265))</f>
        <v/>
      </c>
      <c r="I270" s="41" t="str">
        <f aca="false">IF(INDEX(BookTitle,265)="","",INDEX(BookTotal,265))</f>
        <v/>
      </c>
      <c r="J270" s="0" t="str">
        <f aca="false">IF($I270="","",IF(INDEX(BookQ1,265)&gt;0,"Q1",IF(INDEX(BookQ2,265)&gt;0,"Q2",IF(INDEX(BookQ3,265)&gt;0,"Q3",IF(INDEX(BookQ4,265)&gt;0,"Q4","")))))</f>
        <v/>
      </c>
      <c r="K270" s="42" t="str">
        <f aca="false">IF(INDEX(BookTitle,265)="","",INDEX(BookInYear,265))</f>
        <v/>
      </c>
      <c r="L270" s="19"/>
      <c r="M270" s="39"/>
      <c r="N270" s="19"/>
      <c r="O270" s="19"/>
      <c r="P270" s="43" t="str">
        <f aca="false">IF($E270="","",IF($L270="Decline",0,IF($L270="Approve fewer",IF($M270="","",$M270),IF($L270="","",$I270))))</f>
        <v/>
      </c>
      <c r="Q270" s="34" t="str">
        <f aca="false">IF($P270="","",IF($N270&lt;&gt;"",$N270,$J270))</f>
        <v/>
      </c>
      <c r="R270" s="35" t="str">
        <f aca="false">IF(OR($P270="",$Q270=""),"",INDEX(BookRate,265)*$P270*(5-MATCH($Q270,{"Q1";"Q2";"Q3";"Q4"},0))/4+INDEX(BookOneOff,265)*$P270)</f>
        <v/>
      </c>
      <c r="S270" s="35" t="str">
        <f aca="false">IF($P270="","",INDEX(BookRate,265)*$P270)</f>
        <v/>
      </c>
      <c r="T270" s="35" t="str">
        <f aca="false">IF($R270="","",$R270-$K270)</f>
        <v/>
      </c>
      <c r="U270" s="35" t="str">
        <f aca="false">IF(N($P270)&lt;=0,"",COUNTIF($P$6:$P270,"&gt;0"))</f>
        <v/>
      </c>
    </row>
    <row r="271" customFormat="false" ht="15" hidden="false" customHeight="false" outlineLevel="0" collapsed="false">
      <c r="A271" s="40" t="str">
        <f aca="false">IF(INDEX(BookTitle,266)="","",INDEX(BookGroup,266))</f>
        <v/>
      </c>
      <c r="B271" s="40" t="str">
        <f aca="false">IF(INDEX(BookTitle,266)="","",INDEX(BookRef,266))</f>
        <v/>
      </c>
      <c r="C271" s="40" t="str">
        <f aca="false">IF(INDEX(BookTitle,266)="","",INDEX(BookDivision,266))</f>
        <v/>
      </c>
      <c r="D271" s="40" t="str">
        <f aca="false">IF(INDEX(BookTitle,266)="","",INDEX(BookUnit,266))</f>
        <v/>
      </c>
      <c r="E271" s="40" t="str">
        <f aca="false">IF(INDEX(BookTitle,266)="","",INDEX(BookTitle,266))</f>
        <v/>
      </c>
      <c r="F271" s="40" t="str">
        <f aca="false">IF(INDEX(BookTitle,266)="","",INDEX(BookLevel,266))</f>
        <v/>
      </c>
      <c r="G271" s="40" t="str">
        <f aca="false">IF(INDEX(BookTitle,266)="","",INDEX(BookCategory,266))</f>
        <v/>
      </c>
      <c r="H271" s="40" t="str">
        <f aca="false">IF(INDEX(BookTitle,266)="","",INDEX(BookRank,266))</f>
        <v/>
      </c>
      <c r="I271" s="41" t="str">
        <f aca="false">IF(INDEX(BookTitle,266)="","",INDEX(BookTotal,266))</f>
        <v/>
      </c>
      <c r="J271" s="0" t="str">
        <f aca="false">IF($I271="","",IF(INDEX(BookQ1,266)&gt;0,"Q1",IF(INDEX(BookQ2,266)&gt;0,"Q2",IF(INDEX(BookQ3,266)&gt;0,"Q3",IF(INDEX(BookQ4,266)&gt;0,"Q4","")))))</f>
        <v/>
      </c>
      <c r="K271" s="42" t="str">
        <f aca="false">IF(INDEX(BookTitle,266)="","",INDEX(BookInYear,266))</f>
        <v/>
      </c>
      <c r="L271" s="19"/>
      <c r="M271" s="39"/>
      <c r="N271" s="19"/>
      <c r="O271" s="19"/>
      <c r="P271" s="43" t="str">
        <f aca="false">IF($E271="","",IF($L271="Decline",0,IF($L271="Approve fewer",IF($M271="","",$M271),IF($L271="","",$I271))))</f>
        <v/>
      </c>
      <c r="Q271" s="34" t="str">
        <f aca="false">IF($P271="","",IF($N271&lt;&gt;"",$N271,$J271))</f>
        <v/>
      </c>
      <c r="R271" s="35" t="str">
        <f aca="false">IF(OR($P271="",$Q271=""),"",INDEX(BookRate,266)*$P271*(5-MATCH($Q271,{"Q1";"Q2";"Q3";"Q4"},0))/4+INDEX(BookOneOff,266)*$P271)</f>
        <v/>
      </c>
      <c r="S271" s="35" t="str">
        <f aca="false">IF($P271="","",INDEX(BookRate,266)*$P271)</f>
        <v/>
      </c>
      <c r="T271" s="35" t="str">
        <f aca="false">IF($R271="","",$R271-$K271)</f>
        <v/>
      </c>
      <c r="U271" s="35" t="str">
        <f aca="false">IF(N($P271)&lt;=0,"",COUNTIF($P$6:$P271,"&gt;0"))</f>
        <v/>
      </c>
    </row>
    <row r="272" customFormat="false" ht="15" hidden="false" customHeight="false" outlineLevel="0" collapsed="false">
      <c r="A272" s="40" t="str">
        <f aca="false">IF(INDEX(BookTitle,267)="","",INDEX(BookGroup,267))</f>
        <v/>
      </c>
      <c r="B272" s="40" t="str">
        <f aca="false">IF(INDEX(BookTitle,267)="","",INDEX(BookRef,267))</f>
        <v/>
      </c>
      <c r="C272" s="40" t="str">
        <f aca="false">IF(INDEX(BookTitle,267)="","",INDEX(BookDivision,267))</f>
        <v/>
      </c>
      <c r="D272" s="40" t="str">
        <f aca="false">IF(INDEX(BookTitle,267)="","",INDEX(BookUnit,267))</f>
        <v/>
      </c>
      <c r="E272" s="40" t="str">
        <f aca="false">IF(INDEX(BookTitle,267)="","",INDEX(BookTitle,267))</f>
        <v/>
      </c>
      <c r="F272" s="40" t="str">
        <f aca="false">IF(INDEX(BookTitle,267)="","",INDEX(BookLevel,267))</f>
        <v/>
      </c>
      <c r="G272" s="40" t="str">
        <f aca="false">IF(INDEX(BookTitle,267)="","",INDEX(BookCategory,267))</f>
        <v/>
      </c>
      <c r="H272" s="40" t="str">
        <f aca="false">IF(INDEX(BookTitle,267)="","",INDEX(BookRank,267))</f>
        <v/>
      </c>
      <c r="I272" s="41" t="str">
        <f aca="false">IF(INDEX(BookTitle,267)="","",INDEX(BookTotal,267))</f>
        <v/>
      </c>
      <c r="J272" s="0" t="str">
        <f aca="false">IF($I272="","",IF(INDEX(BookQ1,267)&gt;0,"Q1",IF(INDEX(BookQ2,267)&gt;0,"Q2",IF(INDEX(BookQ3,267)&gt;0,"Q3",IF(INDEX(BookQ4,267)&gt;0,"Q4","")))))</f>
        <v/>
      </c>
      <c r="K272" s="42" t="str">
        <f aca="false">IF(INDEX(BookTitle,267)="","",INDEX(BookInYear,267))</f>
        <v/>
      </c>
      <c r="L272" s="19"/>
      <c r="M272" s="39"/>
      <c r="N272" s="19"/>
      <c r="O272" s="19"/>
      <c r="P272" s="43" t="str">
        <f aca="false">IF($E272="","",IF($L272="Decline",0,IF($L272="Approve fewer",IF($M272="","",$M272),IF($L272="","",$I272))))</f>
        <v/>
      </c>
      <c r="Q272" s="34" t="str">
        <f aca="false">IF($P272="","",IF($N272&lt;&gt;"",$N272,$J272))</f>
        <v/>
      </c>
      <c r="R272" s="35" t="str">
        <f aca="false">IF(OR($P272="",$Q272=""),"",INDEX(BookRate,267)*$P272*(5-MATCH($Q272,{"Q1";"Q2";"Q3";"Q4"},0))/4+INDEX(BookOneOff,267)*$P272)</f>
        <v/>
      </c>
      <c r="S272" s="35" t="str">
        <f aca="false">IF($P272="","",INDEX(BookRate,267)*$P272)</f>
        <v/>
      </c>
      <c r="T272" s="35" t="str">
        <f aca="false">IF($R272="","",$R272-$K272)</f>
        <v/>
      </c>
      <c r="U272" s="35" t="str">
        <f aca="false">IF(N($P272)&lt;=0,"",COUNTIF($P$6:$P272,"&gt;0"))</f>
        <v/>
      </c>
    </row>
    <row r="273" customFormat="false" ht="15" hidden="false" customHeight="false" outlineLevel="0" collapsed="false">
      <c r="A273" s="40" t="str">
        <f aca="false">IF(INDEX(BookTitle,268)="","",INDEX(BookGroup,268))</f>
        <v/>
      </c>
      <c r="B273" s="40" t="str">
        <f aca="false">IF(INDEX(BookTitle,268)="","",INDEX(BookRef,268))</f>
        <v/>
      </c>
      <c r="C273" s="40" t="str">
        <f aca="false">IF(INDEX(BookTitle,268)="","",INDEX(BookDivision,268))</f>
        <v/>
      </c>
      <c r="D273" s="40" t="str">
        <f aca="false">IF(INDEX(BookTitle,268)="","",INDEX(BookUnit,268))</f>
        <v/>
      </c>
      <c r="E273" s="40" t="str">
        <f aca="false">IF(INDEX(BookTitle,268)="","",INDEX(BookTitle,268))</f>
        <v/>
      </c>
      <c r="F273" s="40" t="str">
        <f aca="false">IF(INDEX(BookTitle,268)="","",INDEX(BookLevel,268))</f>
        <v/>
      </c>
      <c r="G273" s="40" t="str">
        <f aca="false">IF(INDEX(BookTitle,268)="","",INDEX(BookCategory,268))</f>
        <v/>
      </c>
      <c r="H273" s="40" t="str">
        <f aca="false">IF(INDEX(BookTitle,268)="","",INDEX(BookRank,268))</f>
        <v/>
      </c>
      <c r="I273" s="41" t="str">
        <f aca="false">IF(INDEX(BookTitle,268)="","",INDEX(BookTotal,268))</f>
        <v/>
      </c>
      <c r="J273" s="0" t="str">
        <f aca="false">IF($I273="","",IF(INDEX(BookQ1,268)&gt;0,"Q1",IF(INDEX(BookQ2,268)&gt;0,"Q2",IF(INDEX(BookQ3,268)&gt;0,"Q3",IF(INDEX(BookQ4,268)&gt;0,"Q4","")))))</f>
        <v/>
      </c>
      <c r="K273" s="42" t="str">
        <f aca="false">IF(INDEX(BookTitle,268)="","",INDEX(BookInYear,268))</f>
        <v/>
      </c>
      <c r="L273" s="19"/>
      <c r="M273" s="39"/>
      <c r="N273" s="19"/>
      <c r="O273" s="19"/>
      <c r="P273" s="43" t="str">
        <f aca="false">IF($E273="","",IF($L273="Decline",0,IF($L273="Approve fewer",IF($M273="","",$M273),IF($L273="","",$I273))))</f>
        <v/>
      </c>
      <c r="Q273" s="34" t="str">
        <f aca="false">IF($P273="","",IF($N273&lt;&gt;"",$N273,$J273))</f>
        <v/>
      </c>
      <c r="R273" s="35" t="str">
        <f aca="false">IF(OR($P273="",$Q273=""),"",INDEX(BookRate,268)*$P273*(5-MATCH($Q273,{"Q1";"Q2";"Q3";"Q4"},0))/4+INDEX(BookOneOff,268)*$P273)</f>
        <v/>
      </c>
      <c r="S273" s="35" t="str">
        <f aca="false">IF($P273="","",INDEX(BookRate,268)*$P273)</f>
        <v/>
      </c>
      <c r="T273" s="35" t="str">
        <f aca="false">IF($R273="","",$R273-$K273)</f>
        <v/>
      </c>
      <c r="U273" s="35" t="str">
        <f aca="false">IF(N($P273)&lt;=0,"",COUNTIF($P$6:$P273,"&gt;0"))</f>
        <v/>
      </c>
    </row>
    <row r="274" customFormat="false" ht="15" hidden="false" customHeight="false" outlineLevel="0" collapsed="false">
      <c r="A274" s="40" t="str">
        <f aca="false">IF(INDEX(BookTitle,269)="","",INDEX(BookGroup,269))</f>
        <v/>
      </c>
      <c r="B274" s="40" t="str">
        <f aca="false">IF(INDEX(BookTitle,269)="","",INDEX(BookRef,269))</f>
        <v/>
      </c>
      <c r="C274" s="40" t="str">
        <f aca="false">IF(INDEX(BookTitle,269)="","",INDEX(BookDivision,269))</f>
        <v/>
      </c>
      <c r="D274" s="40" t="str">
        <f aca="false">IF(INDEX(BookTitle,269)="","",INDEX(BookUnit,269))</f>
        <v/>
      </c>
      <c r="E274" s="40" t="str">
        <f aca="false">IF(INDEX(BookTitle,269)="","",INDEX(BookTitle,269))</f>
        <v/>
      </c>
      <c r="F274" s="40" t="str">
        <f aca="false">IF(INDEX(BookTitle,269)="","",INDEX(BookLevel,269))</f>
        <v/>
      </c>
      <c r="G274" s="40" t="str">
        <f aca="false">IF(INDEX(BookTitle,269)="","",INDEX(BookCategory,269))</f>
        <v/>
      </c>
      <c r="H274" s="40" t="str">
        <f aca="false">IF(INDEX(BookTitle,269)="","",INDEX(BookRank,269))</f>
        <v/>
      </c>
      <c r="I274" s="41" t="str">
        <f aca="false">IF(INDEX(BookTitle,269)="","",INDEX(BookTotal,269))</f>
        <v/>
      </c>
      <c r="J274" s="0" t="str">
        <f aca="false">IF($I274="","",IF(INDEX(BookQ1,269)&gt;0,"Q1",IF(INDEX(BookQ2,269)&gt;0,"Q2",IF(INDEX(BookQ3,269)&gt;0,"Q3",IF(INDEX(BookQ4,269)&gt;0,"Q4","")))))</f>
        <v/>
      </c>
      <c r="K274" s="42" t="str">
        <f aca="false">IF(INDEX(BookTitle,269)="","",INDEX(BookInYear,269))</f>
        <v/>
      </c>
      <c r="L274" s="19"/>
      <c r="M274" s="39"/>
      <c r="N274" s="19"/>
      <c r="O274" s="19"/>
      <c r="P274" s="43" t="str">
        <f aca="false">IF($E274="","",IF($L274="Decline",0,IF($L274="Approve fewer",IF($M274="","",$M274),IF($L274="","",$I274))))</f>
        <v/>
      </c>
      <c r="Q274" s="34" t="str">
        <f aca="false">IF($P274="","",IF($N274&lt;&gt;"",$N274,$J274))</f>
        <v/>
      </c>
      <c r="R274" s="35" t="str">
        <f aca="false">IF(OR($P274="",$Q274=""),"",INDEX(BookRate,269)*$P274*(5-MATCH($Q274,{"Q1";"Q2";"Q3";"Q4"},0))/4+INDEX(BookOneOff,269)*$P274)</f>
        <v/>
      </c>
      <c r="S274" s="35" t="str">
        <f aca="false">IF($P274="","",INDEX(BookRate,269)*$P274)</f>
        <v/>
      </c>
      <c r="T274" s="35" t="str">
        <f aca="false">IF($R274="","",$R274-$K274)</f>
        <v/>
      </c>
      <c r="U274" s="35" t="str">
        <f aca="false">IF(N($P274)&lt;=0,"",COUNTIF($P$6:$P274,"&gt;0"))</f>
        <v/>
      </c>
    </row>
    <row r="275" customFormat="false" ht="15" hidden="false" customHeight="false" outlineLevel="0" collapsed="false">
      <c r="A275" s="40" t="str">
        <f aca="false">IF(INDEX(BookTitle,270)="","",INDEX(BookGroup,270))</f>
        <v/>
      </c>
      <c r="B275" s="40" t="str">
        <f aca="false">IF(INDEX(BookTitle,270)="","",INDEX(BookRef,270))</f>
        <v/>
      </c>
      <c r="C275" s="40" t="str">
        <f aca="false">IF(INDEX(BookTitle,270)="","",INDEX(BookDivision,270))</f>
        <v/>
      </c>
      <c r="D275" s="40" t="str">
        <f aca="false">IF(INDEX(BookTitle,270)="","",INDEX(BookUnit,270))</f>
        <v/>
      </c>
      <c r="E275" s="40" t="str">
        <f aca="false">IF(INDEX(BookTitle,270)="","",INDEX(BookTitle,270))</f>
        <v/>
      </c>
      <c r="F275" s="40" t="str">
        <f aca="false">IF(INDEX(BookTitle,270)="","",INDEX(BookLevel,270))</f>
        <v/>
      </c>
      <c r="G275" s="40" t="str">
        <f aca="false">IF(INDEX(BookTitle,270)="","",INDEX(BookCategory,270))</f>
        <v/>
      </c>
      <c r="H275" s="40" t="str">
        <f aca="false">IF(INDEX(BookTitle,270)="","",INDEX(BookRank,270))</f>
        <v/>
      </c>
      <c r="I275" s="41" t="str">
        <f aca="false">IF(INDEX(BookTitle,270)="","",INDEX(BookTotal,270))</f>
        <v/>
      </c>
      <c r="J275" s="0" t="str">
        <f aca="false">IF($I275="","",IF(INDEX(BookQ1,270)&gt;0,"Q1",IF(INDEX(BookQ2,270)&gt;0,"Q2",IF(INDEX(BookQ3,270)&gt;0,"Q3",IF(INDEX(BookQ4,270)&gt;0,"Q4","")))))</f>
        <v/>
      </c>
      <c r="K275" s="42" t="str">
        <f aca="false">IF(INDEX(BookTitle,270)="","",INDEX(BookInYear,270))</f>
        <v/>
      </c>
      <c r="L275" s="19"/>
      <c r="M275" s="39"/>
      <c r="N275" s="19"/>
      <c r="O275" s="19"/>
      <c r="P275" s="43" t="str">
        <f aca="false">IF($E275="","",IF($L275="Decline",0,IF($L275="Approve fewer",IF($M275="","",$M275),IF($L275="","",$I275))))</f>
        <v/>
      </c>
      <c r="Q275" s="34" t="str">
        <f aca="false">IF($P275="","",IF($N275&lt;&gt;"",$N275,$J275))</f>
        <v/>
      </c>
      <c r="R275" s="35" t="str">
        <f aca="false">IF(OR($P275="",$Q275=""),"",INDEX(BookRate,270)*$P275*(5-MATCH($Q275,{"Q1";"Q2";"Q3";"Q4"},0))/4+INDEX(BookOneOff,270)*$P275)</f>
        <v/>
      </c>
      <c r="S275" s="35" t="str">
        <f aca="false">IF($P275="","",INDEX(BookRate,270)*$P275)</f>
        <v/>
      </c>
      <c r="T275" s="35" t="str">
        <f aca="false">IF($R275="","",$R275-$K275)</f>
        <v/>
      </c>
      <c r="U275" s="35" t="str">
        <f aca="false">IF(N($P275)&lt;=0,"",COUNTIF($P$6:$P275,"&gt;0"))</f>
        <v/>
      </c>
    </row>
    <row r="276" customFormat="false" ht="15" hidden="false" customHeight="false" outlineLevel="0" collapsed="false">
      <c r="A276" s="40" t="str">
        <f aca="false">IF(INDEX(BookTitle,271)="","",INDEX(BookGroup,271))</f>
        <v/>
      </c>
      <c r="B276" s="40" t="str">
        <f aca="false">IF(INDEX(BookTitle,271)="","",INDEX(BookRef,271))</f>
        <v/>
      </c>
      <c r="C276" s="40" t="str">
        <f aca="false">IF(INDEX(BookTitle,271)="","",INDEX(BookDivision,271))</f>
        <v/>
      </c>
      <c r="D276" s="40" t="str">
        <f aca="false">IF(INDEX(BookTitle,271)="","",INDEX(BookUnit,271))</f>
        <v/>
      </c>
      <c r="E276" s="40" t="str">
        <f aca="false">IF(INDEX(BookTitle,271)="","",INDEX(BookTitle,271))</f>
        <v/>
      </c>
      <c r="F276" s="40" t="str">
        <f aca="false">IF(INDEX(BookTitle,271)="","",INDEX(BookLevel,271))</f>
        <v/>
      </c>
      <c r="G276" s="40" t="str">
        <f aca="false">IF(INDEX(BookTitle,271)="","",INDEX(BookCategory,271))</f>
        <v/>
      </c>
      <c r="H276" s="40" t="str">
        <f aca="false">IF(INDEX(BookTitle,271)="","",INDEX(BookRank,271))</f>
        <v/>
      </c>
      <c r="I276" s="41" t="str">
        <f aca="false">IF(INDEX(BookTitle,271)="","",INDEX(BookTotal,271))</f>
        <v/>
      </c>
      <c r="J276" s="0" t="str">
        <f aca="false">IF($I276="","",IF(INDEX(BookQ1,271)&gt;0,"Q1",IF(INDEX(BookQ2,271)&gt;0,"Q2",IF(INDEX(BookQ3,271)&gt;0,"Q3",IF(INDEX(BookQ4,271)&gt;0,"Q4","")))))</f>
        <v/>
      </c>
      <c r="K276" s="42" t="str">
        <f aca="false">IF(INDEX(BookTitle,271)="","",INDEX(BookInYear,271))</f>
        <v/>
      </c>
      <c r="L276" s="19"/>
      <c r="M276" s="39"/>
      <c r="N276" s="19"/>
      <c r="O276" s="19"/>
      <c r="P276" s="43" t="str">
        <f aca="false">IF($E276="","",IF($L276="Decline",0,IF($L276="Approve fewer",IF($M276="","",$M276),IF($L276="","",$I276))))</f>
        <v/>
      </c>
      <c r="Q276" s="34" t="str">
        <f aca="false">IF($P276="","",IF($N276&lt;&gt;"",$N276,$J276))</f>
        <v/>
      </c>
      <c r="R276" s="35" t="str">
        <f aca="false">IF(OR($P276="",$Q276=""),"",INDEX(BookRate,271)*$P276*(5-MATCH($Q276,{"Q1";"Q2";"Q3";"Q4"},0))/4+INDEX(BookOneOff,271)*$P276)</f>
        <v/>
      </c>
      <c r="S276" s="35" t="str">
        <f aca="false">IF($P276="","",INDEX(BookRate,271)*$P276)</f>
        <v/>
      </c>
      <c r="T276" s="35" t="str">
        <f aca="false">IF($R276="","",$R276-$K276)</f>
        <v/>
      </c>
      <c r="U276" s="35" t="str">
        <f aca="false">IF(N($P276)&lt;=0,"",COUNTIF($P$6:$P276,"&gt;0"))</f>
        <v/>
      </c>
    </row>
    <row r="277" customFormat="false" ht="15" hidden="false" customHeight="false" outlineLevel="0" collapsed="false">
      <c r="A277" s="40" t="str">
        <f aca="false">IF(INDEX(BookTitle,272)="","",INDEX(BookGroup,272))</f>
        <v/>
      </c>
      <c r="B277" s="40" t="str">
        <f aca="false">IF(INDEX(BookTitle,272)="","",INDEX(BookRef,272))</f>
        <v/>
      </c>
      <c r="C277" s="40" t="str">
        <f aca="false">IF(INDEX(BookTitle,272)="","",INDEX(BookDivision,272))</f>
        <v/>
      </c>
      <c r="D277" s="40" t="str">
        <f aca="false">IF(INDEX(BookTitle,272)="","",INDEX(BookUnit,272))</f>
        <v/>
      </c>
      <c r="E277" s="40" t="str">
        <f aca="false">IF(INDEX(BookTitle,272)="","",INDEX(BookTitle,272))</f>
        <v/>
      </c>
      <c r="F277" s="40" t="str">
        <f aca="false">IF(INDEX(BookTitle,272)="","",INDEX(BookLevel,272))</f>
        <v/>
      </c>
      <c r="G277" s="40" t="str">
        <f aca="false">IF(INDEX(BookTitle,272)="","",INDEX(BookCategory,272))</f>
        <v/>
      </c>
      <c r="H277" s="40" t="str">
        <f aca="false">IF(INDEX(BookTitle,272)="","",INDEX(BookRank,272))</f>
        <v/>
      </c>
      <c r="I277" s="41" t="str">
        <f aca="false">IF(INDEX(BookTitle,272)="","",INDEX(BookTotal,272))</f>
        <v/>
      </c>
      <c r="J277" s="0" t="str">
        <f aca="false">IF($I277="","",IF(INDEX(BookQ1,272)&gt;0,"Q1",IF(INDEX(BookQ2,272)&gt;0,"Q2",IF(INDEX(BookQ3,272)&gt;0,"Q3",IF(INDEX(BookQ4,272)&gt;0,"Q4","")))))</f>
        <v/>
      </c>
      <c r="K277" s="42" t="str">
        <f aca="false">IF(INDEX(BookTitle,272)="","",INDEX(BookInYear,272))</f>
        <v/>
      </c>
      <c r="L277" s="19"/>
      <c r="M277" s="39"/>
      <c r="N277" s="19"/>
      <c r="O277" s="19"/>
      <c r="P277" s="43" t="str">
        <f aca="false">IF($E277="","",IF($L277="Decline",0,IF($L277="Approve fewer",IF($M277="","",$M277),IF($L277="","",$I277))))</f>
        <v/>
      </c>
      <c r="Q277" s="34" t="str">
        <f aca="false">IF($P277="","",IF($N277&lt;&gt;"",$N277,$J277))</f>
        <v/>
      </c>
      <c r="R277" s="35" t="str">
        <f aca="false">IF(OR($P277="",$Q277=""),"",INDEX(BookRate,272)*$P277*(5-MATCH($Q277,{"Q1";"Q2";"Q3";"Q4"},0))/4+INDEX(BookOneOff,272)*$P277)</f>
        <v/>
      </c>
      <c r="S277" s="35" t="str">
        <f aca="false">IF($P277="","",INDEX(BookRate,272)*$P277)</f>
        <v/>
      </c>
      <c r="T277" s="35" t="str">
        <f aca="false">IF($R277="","",$R277-$K277)</f>
        <v/>
      </c>
      <c r="U277" s="35" t="str">
        <f aca="false">IF(N($P277)&lt;=0,"",COUNTIF($P$6:$P277,"&gt;0"))</f>
        <v/>
      </c>
    </row>
    <row r="278" customFormat="false" ht="15" hidden="false" customHeight="false" outlineLevel="0" collapsed="false">
      <c r="A278" s="40" t="str">
        <f aca="false">IF(INDEX(BookTitle,273)="","",INDEX(BookGroup,273))</f>
        <v/>
      </c>
      <c r="B278" s="40" t="str">
        <f aca="false">IF(INDEX(BookTitle,273)="","",INDEX(BookRef,273))</f>
        <v/>
      </c>
      <c r="C278" s="40" t="str">
        <f aca="false">IF(INDEX(BookTitle,273)="","",INDEX(BookDivision,273))</f>
        <v/>
      </c>
      <c r="D278" s="40" t="str">
        <f aca="false">IF(INDEX(BookTitle,273)="","",INDEX(BookUnit,273))</f>
        <v/>
      </c>
      <c r="E278" s="40" t="str">
        <f aca="false">IF(INDEX(BookTitle,273)="","",INDEX(BookTitle,273))</f>
        <v/>
      </c>
      <c r="F278" s="40" t="str">
        <f aca="false">IF(INDEX(BookTitle,273)="","",INDEX(BookLevel,273))</f>
        <v/>
      </c>
      <c r="G278" s="40" t="str">
        <f aca="false">IF(INDEX(BookTitle,273)="","",INDEX(BookCategory,273))</f>
        <v/>
      </c>
      <c r="H278" s="40" t="str">
        <f aca="false">IF(INDEX(BookTitle,273)="","",INDEX(BookRank,273))</f>
        <v/>
      </c>
      <c r="I278" s="41" t="str">
        <f aca="false">IF(INDEX(BookTitle,273)="","",INDEX(BookTotal,273))</f>
        <v/>
      </c>
      <c r="J278" s="0" t="str">
        <f aca="false">IF($I278="","",IF(INDEX(BookQ1,273)&gt;0,"Q1",IF(INDEX(BookQ2,273)&gt;0,"Q2",IF(INDEX(BookQ3,273)&gt;0,"Q3",IF(INDEX(BookQ4,273)&gt;0,"Q4","")))))</f>
        <v/>
      </c>
      <c r="K278" s="42" t="str">
        <f aca="false">IF(INDEX(BookTitle,273)="","",INDEX(BookInYear,273))</f>
        <v/>
      </c>
      <c r="L278" s="19"/>
      <c r="M278" s="39"/>
      <c r="N278" s="19"/>
      <c r="O278" s="19"/>
      <c r="P278" s="43" t="str">
        <f aca="false">IF($E278="","",IF($L278="Decline",0,IF($L278="Approve fewer",IF($M278="","",$M278),IF($L278="","",$I278))))</f>
        <v/>
      </c>
      <c r="Q278" s="34" t="str">
        <f aca="false">IF($P278="","",IF($N278&lt;&gt;"",$N278,$J278))</f>
        <v/>
      </c>
      <c r="R278" s="35" t="str">
        <f aca="false">IF(OR($P278="",$Q278=""),"",INDEX(BookRate,273)*$P278*(5-MATCH($Q278,{"Q1";"Q2";"Q3";"Q4"},0))/4+INDEX(BookOneOff,273)*$P278)</f>
        <v/>
      </c>
      <c r="S278" s="35" t="str">
        <f aca="false">IF($P278="","",INDEX(BookRate,273)*$P278)</f>
        <v/>
      </c>
      <c r="T278" s="35" t="str">
        <f aca="false">IF($R278="","",$R278-$K278)</f>
        <v/>
      </c>
      <c r="U278" s="35" t="str">
        <f aca="false">IF(N($P278)&lt;=0,"",COUNTIF($P$6:$P278,"&gt;0"))</f>
        <v/>
      </c>
    </row>
    <row r="279" customFormat="false" ht="15" hidden="false" customHeight="false" outlineLevel="0" collapsed="false">
      <c r="A279" s="40" t="str">
        <f aca="false">IF(INDEX(BookTitle,274)="","",INDEX(BookGroup,274))</f>
        <v/>
      </c>
      <c r="B279" s="40" t="str">
        <f aca="false">IF(INDEX(BookTitle,274)="","",INDEX(BookRef,274))</f>
        <v/>
      </c>
      <c r="C279" s="40" t="str">
        <f aca="false">IF(INDEX(BookTitle,274)="","",INDEX(BookDivision,274))</f>
        <v/>
      </c>
      <c r="D279" s="40" t="str">
        <f aca="false">IF(INDEX(BookTitle,274)="","",INDEX(BookUnit,274))</f>
        <v/>
      </c>
      <c r="E279" s="40" t="str">
        <f aca="false">IF(INDEX(BookTitle,274)="","",INDEX(BookTitle,274))</f>
        <v/>
      </c>
      <c r="F279" s="40" t="str">
        <f aca="false">IF(INDEX(BookTitle,274)="","",INDEX(BookLevel,274))</f>
        <v/>
      </c>
      <c r="G279" s="40" t="str">
        <f aca="false">IF(INDEX(BookTitle,274)="","",INDEX(BookCategory,274))</f>
        <v/>
      </c>
      <c r="H279" s="40" t="str">
        <f aca="false">IF(INDEX(BookTitle,274)="","",INDEX(BookRank,274))</f>
        <v/>
      </c>
      <c r="I279" s="41" t="str">
        <f aca="false">IF(INDEX(BookTitle,274)="","",INDEX(BookTotal,274))</f>
        <v/>
      </c>
      <c r="J279" s="0" t="str">
        <f aca="false">IF($I279="","",IF(INDEX(BookQ1,274)&gt;0,"Q1",IF(INDEX(BookQ2,274)&gt;0,"Q2",IF(INDEX(BookQ3,274)&gt;0,"Q3",IF(INDEX(BookQ4,274)&gt;0,"Q4","")))))</f>
        <v/>
      </c>
      <c r="K279" s="42" t="str">
        <f aca="false">IF(INDEX(BookTitle,274)="","",INDEX(BookInYear,274))</f>
        <v/>
      </c>
      <c r="L279" s="19"/>
      <c r="M279" s="39"/>
      <c r="N279" s="19"/>
      <c r="O279" s="19"/>
      <c r="P279" s="43" t="str">
        <f aca="false">IF($E279="","",IF($L279="Decline",0,IF($L279="Approve fewer",IF($M279="","",$M279),IF($L279="","",$I279))))</f>
        <v/>
      </c>
      <c r="Q279" s="34" t="str">
        <f aca="false">IF($P279="","",IF($N279&lt;&gt;"",$N279,$J279))</f>
        <v/>
      </c>
      <c r="R279" s="35" t="str">
        <f aca="false">IF(OR($P279="",$Q279=""),"",INDEX(BookRate,274)*$P279*(5-MATCH($Q279,{"Q1";"Q2";"Q3";"Q4"},0))/4+INDEX(BookOneOff,274)*$P279)</f>
        <v/>
      </c>
      <c r="S279" s="35" t="str">
        <f aca="false">IF($P279="","",INDEX(BookRate,274)*$P279)</f>
        <v/>
      </c>
      <c r="T279" s="35" t="str">
        <f aca="false">IF($R279="","",$R279-$K279)</f>
        <v/>
      </c>
      <c r="U279" s="35" t="str">
        <f aca="false">IF(N($P279)&lt;=0,"",COUNTIF($P$6:$P279,"&gt;0"))</f>
        <v/>
      </c>
    </row>
    <row r="280" customFormat="false" ht="15" hidden="false" customHeight="false" outlineLevel="0" collapsed="false">
      <c r="A280" s="40" t="str">
        <f aca="false">IF(INDEX(BookTitle,275)="","",INDEX(BookGroup,275))</f>
        <v/>
      </c>
      <c r="B280" s="40" t="str">
        <f aca="false">IF(INDEX(BookTitle,275)="","",INDEX(BookRef,275))</f>
        <v/>
      </c>
      <c r="C280" s="40" t="str">
        <f aca="false">IF(INDEX(BookTitle,275)="","",INDEX(BookDivision,275))</f>
        <v/>
      </c>
      <c r="D280" s="40" t="str">
        <f aca="false">IF(INDEX(BookTitle,275)="","",INDEX(BookUnit,275))</f>
        <v/>
      </c>
      <c r="E280" s="40" t="str">
        <f aca="false">IF(INDEX(BookTitle,275)="","",INDEX(BookTitle,275))</f>
        <v/>
      </c>
      <c r="F280" s="40" t="str">
        <f aca="false">IF(INDEX(BookTitle,275)="","",INDEX(BookLevel,275))</f>
        <v/>
      </c>
      <c r="G280" s="40" t="str">
        <f aca="false">IF(INDEX(BookTitle,275)="","",INDEX(BookCategory,275))</f>
        <v/>
      </c>
      <c r="H280" s="40" t="str">
        <f aca="false">IF(INDEX(BookTitle,275)="","",INDEX(BookRank,275))</f>
        <v/>
      </c>
      <c r="I280" s="41" t="str">
        <f aca="false">IF(INDEX(BookTitle,275)="","",INDEX(BookTotal,275))</f>
        <v/>
      </c>
      <c r="J280" s="0" t="str">
        <f aca="false">IF($I280="","",IF(INDEX(BookQ1,275)&gt;0,"Q1",IF(INDEX(BookQ2,275)&gt;0,"Q2",IF(INDEX(BookQ3,275)&gt;0,"Q3",IF(INDEX(BookQ4,275)&gt;0,"Q4","")))))</f>
        <v/>
      </c>
      <c r="K280" s="42" t="str">
        <f aca="false">IF(INDEX(BookTitle,275)="","",INDEX(BookInYear,275))</f>
        <v/>
      </c>
      <c r="L280" s="19"/>
      <c r="M280" s="39"/>
      <c r="N280" s="19"/>
      <c r="O280" s="19"/>
      <c r="P280" s="43" t="str">
        <f aca="false">IF($E280="","",IF($L280="Decline",0,IF($L280="Approve fewer",IF($M280="","",$M280),IF($L280="","",$I280))))</f>
        <v/>
      </c>
      <c r="Q280" s="34" t="str">
        <f aca="false">IF($P280="","",IF($N280&lt;&gt;"",$N280,$J280))</f>
        <v/>
      </c>
      <c r="R280" s="35" t="str">
        <f aca="false">IF(OR($P280="",$Q280=""),"",INDEX(BookRate,275)*$P280*(5-MATCH($Q280,{"Q1";"Q2";"Q3";"Q4"},0))/4+INDEX(BookOneOff,275)*$P280)</f>
        <v/>
      </c>
      <c r="S280" s="35" t="str">
        <f aca="false">IF($P280="","",INDEX(BookRate,275)*$P280)</f>
        <v/>
      </c>
      <c r="T280" s="35" t="str">
        <f aca="false">IF($R280="","",$R280-$K280)</f>
        <v/>
      </c>
      <c r="U280" s="35" t="str">
        <f aca="false">IF(N($P280)&lt;=0,"",COUNTIF($P$6:$P280,"&gt;0"))</f>
        <v/>
      </c>
    </row>
    <row r="281" customFormat="false" ht="15" hidden="false" customHeight="false" outlineLevel="0" collapsed="false">
      <c r="A281" s="40" t="str">
        <f aca="false">IF(INDEX(BookTitle,276)="","",INDEX(BookGroup,276))</f>
        <v/>
      </c>
      <c r="B281" s="40" t="str">
        <f aca="false">IF(INDEX(BookTitle,276)="","",INDEX(BookRef,276))</f>
        <v/>
      </c>
      <c r="C281" s="40" t="str">
        <f aca="false">IF(INDEX(BookTitle,276)="","",INDEX(BookDivision,276))</f>
        <v/>
      </c>
      <c r="D281" s="40" t="str">
        <f aca="false">IF(INDEX(BookTitle,276)="","",INDEX(BookUnit,276))</f>
        <v/>
      </c>
      <c r="E281" s="40" t="str">
        <f aca="false">IF(INDEX(BookTitle,276)="","",INDEX(BookTitle,276))</f>
        <v/>
      </c>
      <c r="F281" s="40" t="str">
        <f aca="false">IF(INDEX(BookTitle,276)="","",INDEX(BookLevel,276))</f>
        <v/>
      </c>
      <c r="G281" s="40" t="str">
        <f aca="false">IF(INDEX(BookTitle,276)="","",INDEX(BookCategory,276))</f>
        <v/>
      </c>
      <c r="H281" s="40" t="str">
        <f aca="false">IF(INDEX(BookTitle,276)="","",INDEX(BookRank,276))</f>
        <v/>
      </c>
      <c r="I281" s="41" t="str">
        <f aca="false">IF(INDEX(BookTitle,276)="","",INDEX(BookTotal,276))</f>
        <v/>
      </c>
      <c r="J281" s="0" t="str">
        <f aca="false">IF($I281="","",IF(INDEX(BookQ1,276)&gt;0,"Q1",IF(INDEX(BookQ2,276)&gt;0,"Q2",IF(INDEX(BookQ3,276)&gt;0,"Q3",IF(INDEX(BookQ4,276)&gt;0,"Q4","")))))</f>
        <v/>
      </c>
      <c r="K281" s="42" t="str">
        <f aca="false">IF(INDEX(BookTitle,276)="","",INDEX(BookInYear,276))</f>
        <v/>
      </c>
      <c r="L281" s="19"/>
      <c r="M281" s="39"/>
      <c r="N281" s="19"/>
      <c r="O281" s="19"/>
      <c r="P281" s="43" t="str">
        <f aca="false">IF($E281="","",IF($L281="Decline",0,IF($L281="Approve fewer",IF($M281="","",$M281),IF($L281="","",$I281))))</f>
        <v/>
      </c>
      <c r="Q281" s="34" t="str">
        <f aca="false">IF($P281="","",IF($N281&lt;&gt;"",$N281,$J281))</f>
        <v/>
      </c>
      <c r="R281" s="35" t="str">
        <f aca="false">IF(OR($P281="",$Q281=""),"",INDEX(BookRate,276)*$P281*(5-MATCH($Q281,{"Q1";"Q2";"Q3";"Q4"},0))/4+INDEX(BookOneOff,276)*$P281)</f>
        <v/>
      </c>
      <c r="S281" s="35" t="str">
        <f aca="false">IF($P281="","",INDEX(BookRate,276)*$P281)</f>
        <v/>
      </c>
      <c r="T281" s="35" t="str">
        <f aca="false">IF($R281="","",$R281-$K281)</f>
        <v/>
      </c>
      <c r="U281" s="35" t="str">
        <f aca="false">IF(N($P281)&lt;=0,"",COUNTIF($P$6:$P281,"&gt;0"))</f>
        <v/>
      </c>
    </row>
    <row r="282" customFormat="false" ht="15" hidden="false" customHeight="false" outlineLevel="0" collapsed="false">
      <c r="A282" s="40" t="str">
        <f aca="false">IF(INDEX(BookTitle,277)="","",INDEX(BookGroup,277))</f>
        <v/>
      </c>
      <c r="B282" s="40" t="str">
        <f aca="false">IF(INDEX(BookTitle,277)="","",INDEX(BookRef,277))</f>
        <v/>
      </c>
      <c r="C282" s="40" t="str">
        <f aca="false">IF(INDEX(BookTitle,277)="","",INDEX(BookDivision,277))</f>
        <v/>
      </c>
      <c r="D282" s="40" t="str">
        <f aca="false">IF(INDEX(BookTitle,277)="","",INDEX(BookUnit,277))</f>
        <v/>
      </c>
      <c r="E282" s="40" t="str">
        <f aca="false">IF(INDEX(BookTitle,277)="","",INDEX(BookTitle,277))</f>
        <v/>
      </c>
      <c r="F282" s="40" t="str">
        <f aca="false">IF(INDEX(BookTitle,277)="","",INDEX(BookLevel,277))</f>
        <v/>
      </c>
      <c r="G282" s="40" t="str">
        <f aca="false">IF(INDEX(BookTitle,277)="","",INDEX(BookCategory,277))</f>
        <v/>
      </c>
      <c r="H282" s="40" t="str">
        <f aca="false">IF(INDEX(BookTitle,277)="","",INDEX(BookRank,277))</f>
        <v/>
      </c>
      <c r="I282" s="41" t="str">
        <f aca="false">IF(INDEX(BookTitle,277)="","",INDEX(BookTotal,277))</f>
        <v/>
      </c>
      <c r="J282" s="0" t="str">
        <f aca="false">IF($I282="","",IF(INDEX(BookQ1,277)&gt;0,"Q1",IF(INDEX(BookQ2,277)&gt;0,"Q2",IF(INDEX(BookQ3,277)&gt;0,"Q3",IF(INDEX(BookQ4,277)&gt;0,"Q4","")))))</f>
        <v/>
      </c>
      <c r="K282" s="42" t="str">
        <f aca="false">IF(INDEX(BookTitle,277)="","",INDEX(BookInYear,277))</f>
        <v/>
      </c>
      <c r="L282" s="19"/>
      <c r="M282" s="39"/>
      <c r="N282" s="19"/>
      <c r="O282" s="19"/>
      <c r="P282" s="43" t="str">
        <f aca="false">IF($E282="","",IF($L282="Decline",0,IF($L282="Approve fewer",IF($M282="","",$M282),IF($L282="","",$I282))))</f>
        <v/>
      </c>
      <c r="Q282" s="34" t="str">
        <f aca="false">IF($P282="","",IF($N282&lt;&gt;"",$N282,$J282))</f>
        <v/>
      </c>
      <c r="R282" s="35" t="str">
        <f aca="false">IF(OR($P282="",$Q282=""),"",INDEX(BookRate,277)*$P282*(5-MATCH($Q282,{"Q1";"Q2";"Q3";"Q4"},0))/4+INDEX(BookOneOff,277)*$P282)</f>
        <v/>
      </c>
      <c r="S282" s="35" t="str">
        <f aca="false">IF($P282="","",INDEX(BookRate,277)*$P282)</f>
        <v/>
      </c>
      <c r="T282" s="35" t="str">
        <f aca="false">IF($R282="","",$R282-$K282)</f>
        <v/>
      </c>
      <c r="U282" s="35" t="str">
        <f aca="false">IF(N($P282)&lt;=0,"",COUNTIF($P$6:$P282,"&gt;0"))</f>
        <v/>
      </c>
    </row>
    <row r="283" customFormat="false" ht="15" hidden="false" customHeight="false" outlineLevel="0" collapsed="false">
      <c r="A283" s="40" t="str">
        <f aca="false">IF(INDEX(BookTitle,278)="","",INDEX(BookGroup,278))</f>
        <v/>
      </c>
      <c r="B283" s="40" t="str">
        <f aca="false">IF(INDEX(BookTitle,278)="","",INDEX(BookRef,278))</f>
        <v/>
      </c>
      <c r="C283" s="40" t="str">
        <f aca="false">IF(INDEX(BookTitle,278)="","",INDEX(BookDivision,278))</f>
        <v/>
      </c>
      <c r="D283" s="40" t="str">
        <f aca="false">IF(INDEX(BookTitle,278)="","",INDEX(BookUnit,278))</f>
        <v/>
      </c>
      <c r="E283" s="40" t="str">
        <f aca="false">IF(INDEX(BookTitle,278)="","",INDEX(BookTitle,278))</f>
        <v/>
      </c>
      <c r="F283" s="40" t="str">
        <f aca="false">IF(INDEX(BookTitle,278)="","",INDEX(BookLevel,278))</f>
        <v/>
      </c>
      <c r="G283" s="40" t="str">
        <f aca="false">IF(INDEX(BookTitle,278)="","",INDEX(BookCategory,278))</f>
        <v/>
      </c>
      <c r="H283" s="40" t="str">
        <f aca="false">IF(INDEX(BookTitle,278)="","",INDEX(BookRank,278))</f>
        <v/>
      </c>
      <c r="I283" s="41" t="str">
        <f aca="false">IF(INDEX(BookTitle,278)="","",INDEX(BookTotal,278))</f>
        <v/>
      </c>
      <c r="J283" s="0" t="str">
        <f aca="false">IF($I283="","",IF(INDEX(BookQ1,278)&gt;0,"Q1",IF(INDEX(BookQ2,278)&gt;0,"Q2",IF(INDEX(BookQ3,278)&gt;0,"Q3",IF(INDEX(BookQ4,278)&gt;0,"Q4","")))))</f>
        <v/>
      </c>
      <c r="K283" s="42" t="str">
        <f aca="false">IF(INDEX(BookTitle,278)="","",INDEX(BookInYear,278))</f>
        <v/>
      </c>
      <c r="L283" s="19"/>
      <c r="M283" s="39"/>
      <c r="N283" s="19"/>
      <c r="O283" s="19"/>
      <c r="P283" s="43" t="str">
        <f aca="false">IF($E283="","",IF($L283="Decline",0,IF($L283="Approve fewer",IF($M283="","",$M283),IF($L283="","",$I283))))</f>
        <v/>
      </c>
      <c r="Q283" s="34" t="str">
        <f aca="false">IF($P283="","",IF($N283&lt;&gt;"",$N283,$J283))</f>
        <v/>
      </c>
      <c r="R283" s="35" t="str">
        <f aca="false">IF(OR($P283="",$Q283=""),"",INDEX(BookRate,278)*$P283*(5-MATCH($Q283,{"Q1";"Q2";"Q3";"Q4"},0))/4+INDEX(BookOneOff,278)*$P283)</f>
        <v/>
      </c>
      <c r="S283" s="35" t="str">
        <f aca="false">IF($P283="","",INDEX(BookRate,278)*$P283)</f>
        <v/>
      </c>
      <c r="T283" s="35" t="str">
        <f aca="false">IF($R283="","",$R283-$K283)</f>
        <v/>
      </c>
      <c r="U283" s="35" t="str">
        <f aca="false">IF(N($P283)&lt;=0,"",COUNTIF($P$6:$P283,"&gt;0"))</f>
        <v/>
      </c>
    </row>
    <row r="284" customFormat="false" ht="15" hidden="false" customHeight="false" outlineLevel="0" collapsed="false">
      <c r="A284" s="40" t="str">
        <f aca="false">IF(INDEX(BookTitle,279)="","",INDEX(BookGroup,279))</f>
        <v/>
      </c>
      <c r="B284" s="40" t="str">
        <f aca="false">IF(INDEX(BookTitle,279)="","",INDEX(BookRef,279))</f>
        <v/>
      </c>
      <c r="C284" s="40" t="str">
        <f aca="false">IF(INDEX(BookTitle,279)="","",INDEX(BookDivision,279))</f>
        <v/>
      </c>
      <c r="D284" s="40" t="str">
        <f aca="false">IF(INDEX(BookTitle,279)="","",INDEX(BookUnit,279))</f>
        <v/>
      </c>
      <c r="E284" s="40" t="str">
        <f aca="false">IF(INDEX(BookTitle,279)="","",INDEX(BookTitle,279))</f>
        <v/>
      </c>
      <c r="F284" s="40" t="str">
        <f aca="false">IF(INDEX(BookTitle,279)="","",INDEX(BookLevel,279))</f>
        <v/>
      </c>
      <c r="G284" s="40" t="str">
        <f aca="false">IF(INDEX(BookTitle,279)="","",INDEX(BookCategory,279))</f>
        <v/>
      </c>
      <c r="H284" s="40" t="str">
        <f aca="false">IF(INDEX(BookTitle,279)="","",INDEX(BookRank,279))</f>
        <v/>
      </c>
      <c r="I284" s="41" t="str">
        <f aca="false">IF(INDEX(BookTitle,279)="","",INDEX(BookTotal,279))</f>
        <v/>
      </c>
      <c r="J284" s="0" t="str">
        <f aca="false">IF($I284="","",IF(INDEX(BookQ1,279)&gt;0,"Q1",IF(INDEX(BookQ2,279)&gt;0,"Q2",IF(INDEX(BookQ3,279)&gt;0,"Q3",IF(INDEX(BookQ4,279)&gt;0,"Q4","")))))</f>
        <v/>
      </c>
      <c r="K284" s="42" t="str">
        <f aca="false">IF(INDEX(BookTitle,279)="","",INDEX(BookInYear,279))</f>
        <v/>
      </c>
      <c r="L284" s="19"/>
      <c r="M284" s="39"/>
      <c r="N284" s="19"/>
      <c r="O284" s="19"/>
      <c r="P284" s="43" t="str">
        <f aca="false">IF($E284="","",IF($L284="Decline",0,IF($L284="Approve fewer",IF($M284="","",$M284),IF($L284="","",$I284))))</f>
        <v/>
      </c>
      <c r="Q284" s="34" t="str">
        <f aca="false">IF($P284="","",IF($N284&lt;&gt;"",$N284,$J284))</f>
        <v/>
      </c>
      <c r="R284" s="35" t="str">
        <f aca="false">IF(OR($P284="",$Q284=""),"",INDEX(BookRate,279)*$P284*(5-MATCH($Q284,{"Q1";"Q2";"Q3";"Q4"},0))/4+INDEX(BookOneOff,279)*$P284)</f>
        <v/>
      </c>
      <c r="S284" s="35" t="str">
        <f aca="false">IF($P284="","",INDEX(BookRate,279)*$P284)</f>
        <v/>
      </c>
      <c r="T284" s="35" t="str">
        <f aca="false">IF($R284="","",$R284-$K284)</f>
        <v/>
      </c>
      <c r="U284" s="35" t="str">
        <f aca="false">IF(N($P284)&lt;=0,"",COUNTIF($P$6:$P284,"&gt;0"))</f>
        <v/>
      </c>
    </row>
    <row r="285" customFormat="false" ht="15" hidden="false" customHeight="false" outlineLevel="0" collapsed="false">
      <c r="A285" s="40" t="str">
        <f aca="false">IF(INDEX(BookTitle,280)="","",INDEX(BookGroup,280))</f>
        <v/>
      </c>
      <c r="B285" s="40" t="str">
        <f aca="false">IF(INDEX(BookTitle,280)="","",INDEX(BookRef,280))</f>
        <v/>
      </c>
      <c r="C285" s="40" t="str">
        <f aca="false">IF(INDEX(BookTitle,280)="","",INDEX(BookDivision,280))</f>
        <v/>
      </c>
      <c r="D285" s="40" t="str">
        <f aca="false">IF(INDEX(BookTitle,280)="","",INDEX(BookUnit,280))</f>
        <v/>
      </c>
      <c r="E285" s="40" t="str">
        <f aca="false">IF(INDEX(BookTitle,280)="","",INDEX(BookTitle,280))</f>
        <v/>
      </c>
      <c r="F285" s="40" t="str">
        <f aca="false">IF(INDEX(BookTitle,280)="","",INDEX(BookLevel,280))</f>
        <v/>
      </c>
      <c r="G285" s="40" t="str">
        <f aca="false">IF(INDEX(BookTitle,280)="","",INDEX(BookCategory,280))</f>
        <v/>
      </c>
      <c r="H285" s="40" t="str">
        <f aca="false">IF(INDEX(BookTitle,280)="","",INDEX(BookRank,280))</f>
        <v/>
      </c>
      <c r="I285" s="41" t="str">
        <f aca="false">IF(INDEX(BookTitle,280)="","",INDEX(BookTotal,280))</f>
        <v/>
      </c>
      <c r="J285" s="0" t="str">
        <f aca="false">IF($I285="","",IF(INDEX(BookQ1,280)&gt;0,"Q1",IF(INDEX(BookQ2,280)&gt;0,"Q2",IF(INDEX(BookQ3,280)&gt;0,"Q3",IF(INDEX(BookQ4,280)&gt;0,"Q4","")))))</f>
        <v/>
      </c>
      <c r="K285" s="42" t="str">
        <f aca="false">IF(INDEX(BookTitle,280)="","",INDEX(BookInYear,280))</f>
        <v/>
      </c>
      <c r="L285" s="19"/>
      <c r="M285" s="39"/>
      <c r="N285" s="19"/>
      <c r="O285" s="19"/>
      <c r="P285" s="43" t="str">
        <f aca="false">IF($E285="","",IF($L285="Decline",0,IF($L285="Approve fewer",IF($M285="","",$M285),IF($L285="","",$I285))))</f>
        <v/>
      </c>
      <c r="Q285" s="34" t="str">
        <f aca="false">IF($P285="","",IF($N285&lt;&gt;"",$N285,$J285))</f>
        <v/>
      </c>
      <c r="R285" s="35" t="str">
        <f aca="false">IF(OR($P285="",$Q285=""),"",INDEX(BookRate,280)*$P285*(5-MATCH($Q285,{"Q1";"Q2";"Q3";"Q4"},0))/4+INDEX(BookOneOff,280)*$P285)</f>
        <v/>
      </c>
      <c r="S285" s="35" t="str">
        <f aca="false">IF($P285="","",INDEX(BookRate,280)*$P285)</f>
        <v/>
      </c>
      <c r="T285" s="35" t="str">
        <f aca="false">IF($R285="","",$R285-$K285)</f>
        <v/>
      </c>
      <c r="U285" s="35" t="str">
        <f aca="false">IF(N($P285)&lt;=0,"",COUNTIF($P$6:$P285,"&gt;0"))</f>
        <v/>
      </c>
    </row>
    <row r="286" customFormat="false" ht="15" hidden="false" customHeight="false" outlineLevel="0" collapsed="false">
      <c r="A286" s="40" t="str">
        <f aca="false">IF(INDEX(BookTitle,281)="","",INDEX(BookGroup,281))</f>
        <v/>
      </c>
      <c r="B286" s="40" t="str">
        <f aca="false">IF(INDEX(BookTitle,281)="","",INDEX(BookRef,281))</f>
        <v/>
      </c>
      <c r="C286" s="40" t="str">
        <f aca="false">IF(INDEX(BookTitle,281)="","",INDEX(BookDivision,281))</f>
        <v/>
      </c>
      <c r="D286" s="40" t="str">
        <f aca="false">IF(INDEX(BookTitle,281)="","",INDEX(BookUnit,281))</f>
        <v/>
      </c>
      <c r="E286" s="40" t="str">
        <f aca="false">IF(INDEX(BookTitle,281)="","",INDEX(BookTitle,281))</f>
        <v/>
      </c>
      <c r="F286" s="40" t="str">
        <f aca="false">IF(INDEX(BookTitle,281)="","",INDEX(BookLevel,281))</f>
        <v/>
      </c>
      <c r="G286" s="40" t="str">
        <f aca="false">IF(INDEX(BookTitle,281)="","",INDEX(BookCategory,281))</f>
        <v/>
      </c>
      <c r="H286" s="40" t="str">
        <f aca="false">IF(INDEX(BookTitle,281)="","",INDEX(BookRank,281))</f>
        <v/>
      </c>
      <c r="I286" s="41" t="str">
        <f aca="false">IF(INDEX(BookTitle,281)="","",INDEX(BookTotal,281))</f>
        <v/>
      </c>
      <c r="J286" s="0" t="str">
        <f aca="false">IF($I286="","",IF(INDEX(BookQ1,281)&gt;0,"Q1",IF(INDEX(BookQ2,281)&gt;0,"Q2",IF(INDEX(BookQ3,281)&gt;0,"Q3",IF(INDEX(BookQ4,281)&gt;0,"Q4","")))))</f>
        <v/>
      </c>
      <c r="K286" s="42" t="str">
        <f aca="false">IF(INDEX(BookTitle,281)="","",INDEX(BookInYear,281))</f>
        <v/>
      </c>
      <c r="L286" s="19"/>
      <c r="M286" s="39"/>
      <c r="N286" s="19"/>
      <c r="O286" s="19"/>
      <c r="P286" s="43" t="str">
        <f aca="false">IF($E286="","",IF($L286="Decline",0,IF($L286="Approve fewer",IF($M286="","",$M286),IF($L286="","",$I286))))</f>
        <v/>
      </c>
      <c r="Q286" s="34" t="str">
        <f aca="false">IF($P286="","",IF($N286&lt;&gt;"",$N286,$J286))</f>
        <v/>
      </c>
      <c r="R286" s="35" t="str">
        <f aca="false">IF(OR($P286="",$Q286=""),"",INDEX(BookRate,281)*$P286*(5-MATCH($Q286,{"Q1";"Q2";"Q3";"Q4"},0))/4+INDEX(BookOneOff,281)*$P286)</f>
        <v/>
      </c>
      <c r="S286" s="35" t="str">
        <f aca="false">IF($P286="","",INDEX(BookRate,281)*$P286)</f>
        <v/>
      </c>
      <c r="T286" s="35" t="str">
        <f aca="false">IF($R286="","",$R286-$K286)</f>
        <v/>
      </c>
      <c r="U286" s="35" t="str">
        <f aca="false">IF(N($P286)&lt;=0,"",COUNTIF($P$6:$P286,"&gt;0"))</f>
        <v/>
      </c>
    </row>
    <row r="287" customFormat="false" ht="15" hidden="false" customHeight="false" outlineLevel="0" collapsed="false">
      <c r="A287" s="40" t="str">
        <f aca="false">IF(INDEX(BookTitle,282)="","",INDEX(BookGroup,282))</f>
        <v/>
      </c>
      <c r="B287" s="40" t="str">
        <f aca="false">IF(INDEX(BookTitle,282)="","",INDEX(BookRef,282))</f>
        <v/>
      </c>
      <c r="C287" s="40" t="str">
        <f aca="false">IF(INDEX(BookTitle,282)="","",INDEX(BookDivision,282))</f>
        <v/>
      </c>
      <c r="D287" s="40" t="str">
        <f aca="false">IF(INDEX(BookTitle,282)="","",INDEX(BookUnit,282))</f>
        <v/>
      </c>
      <c r="E287" s="40" t="str">
        <f aca="false">IF(INDEX(BookTitle,282)="","",INDEX(BookTitle,282))</f>
        <v/>
      </c>
      <c r="F287" s="40" t="str">
        <f aca="false">IF(INDEX(BookTitle,282)="","",INDEX(BookLevel,282))</f>
        <v/>
      </c>
      <c r="G287" s="40" t="str">
        <f aca="false">IF(INDEX(BookTitle,282)="","",INDEX(BookCategory,282))</f>
        <v/>
      </c>
      <c r="H287" s="40" t="str">
        <f aca="false">IF(INDEX(BookTitle,282)="","",INDEX(BookRank,282))</f>
        <v/>
      </c>
      <c r="I287" s="41" t="str">
        <f aca="false">IF(INDEX(BookTitle,282)="","",INDEX(BookTotal,282))</f>
        <v/>
      </c>
      <c r="J287" s="0" t="str">
        <f aca="false">IF($I287="","",IF(INDEX(BookQ1,282)&gt;0,"Q1",IF(INDEX(BookQ2,282)&gt;0,"Q2",IF(INDEX(BookQ3,282)&gt;0,"Q3",IF(INDEX(BookQ4,282)&gt;0,"Q4","")))))</f>
        <v/>
      </c>
      <c r="K287" s="42" t="str">
        <f aca="false">IF(INDEX(BookTitle,282)="","",INDEX(BookInYear,282))</f>
        <v/>
      </c>
      <c r="L287" s="19"/>
      <c r="M287" s="39"/>
      <c r="N287" s="19"/>
      <c r="O287" s="19"/>
      <c r="P287" s="43" t="str">
        <f aca="false">IF($E287="","",IF($L287="Decline",0,IF($L287="Approve fewer",IF($M287="","",$M287),IF($L287="","",$I287))))</f>
        <v/>
      </c>
      <c r="Q287" s="34" t="str">
        <f aca="false">IF($P287="","",IF($N287&lt;&gt;"",$N287,$J287))</f>
        <v/>
      </c>
      <c r="R287" s="35" t="str">
        <f aca="false">IF(OR($P287="",$Q287=""),"",INDEX(BookRate,282)*$P287*(5-MATCH($Q287,{"Q1";"Q2";"Q3";"Q4"},0))/4+INDEX(BookOneOff,282)*$P287)</f>
        <v/>
      </c>
      <c r="S287" s="35" t="str">
        <f aca="false">IF($P287="","",INDEX(BookRate,282)*$P287)</f>
        <v/>
      </c>
      <c r="T287" s="35" t="str">
        <f aca="false">IF($R287="","",$R287-$K287)</f>
        <v/>
      </c>
      <c r="U287" s="35" t="str">
        <f aca="false">IF(N($P287)&lt;=0,"",COUNTIF($P$6:$P287,"&gt;0"))</f>
        <v/>
      </c>
    </row>
    <row r="288" customFormat="false" ht="15" hidden="false" customHeight="false" outlineLevel="0" collapsed="false">
      <c r="A288" s="40" t="str">
        <f aca="false">IF(INDEX(BookTitle,283)="","",INDEX(BookGroup,283))</f>
        <v/>
      </c>
      <c r="B288" s="40" t="str">
        <f aca="false">IF(INDEX(BookTitle,283)="","",INDEX(BookRef,283))</f>
        <v/>
      </c>
      <c r="C288" s="40" t="str">
        <f aca="false">IF(INDEX(BookTitle,283)="","",INDEX(BookDivision,283))</f>
        <v/>
      </c>
      <c r="D288" s="40" t="str">
        <f aca="false">IF(INDEX(BookTitle,283)="","",INDEX(BookUnit,283))</f>
        <v/>
      </c>
      <c r="E288" s="40" t="str">
        <f aca="false">IF(INDEX(BookTitle,283)="","",INDEX(BookTitle,283))</f>
        <v/>
      </c>
      <c r="F288" s="40" t="str">
        <f aca="false">IF(INDEX(BookTitle,283)="","",INDEX(BookLevel,283))</f>
        <v/>
      </c>
      <c r="G288" s="40" t="str">
        <f aca="false">IF(INDEX(BookTitle,283)="","",INDEX(BookCategory,283))</f>
        <v/>
      </c>
      <c r="H288" s="40" t="str">
        <f aca="false">IF(INDEX(BookTitle,283)="","",INDEX(BookRank,283))</f>
        <v/>
      </c>
      <c r="I288" s="41" t="str">
        <f aca="false">IF(INDEX(BookTitle,283)="","",INDEX(BookTotal,283))</f>
        <v/>
      </c>
      <c r="J288" s="0" t="str">
        <f aca="false">IF($I288="","",IF(INDEX(BookQ1,283)&gt;0,"Q1",IF(INDEX(BookQ2,283)&gt;0,"Q2",IF(INDEX(BookQ3,283)&gt;0,"Q3",IF(INDEX(BookQ4,283)&gt;0,"Q4","")))))</f>
        <v/>
      </c>
      <c r="K288" s="42" t="str">
        <f aca="false">IF(INDEX(BookTitle,283)="","",INDEX(BookInYear,283))</f>
        <v/>
      </c>
      <c r="L288" s="19"/>
      <c r="M288" s="39"/>
      <c r="N288" s="19"/>
      <c r="O288" s="19"/>
      <c r="P288" s="43" t="str">
        <f aca="false">IF($E288="","",IF($L288="Decline",0,IF($L288="Approve fewer",IF($M288="","",$M288),IF($L288="","",$I288))))</f>
        <v/>
      </c>
      <c r="Q288" s="34" t="str">
        <f aca="false">IF($P288="","",IF($N288&lt;&gt;"",$N288,$J288))</f>
        <v/>
      </c>
      <c r="R288" s="35" t="str">
        <f aca="false">IF(OR($P288="",$Q288=""),"",INDEX(BookRate,283)*$P288*(5-MATCH($Q288,{"Q1";"Q2";"Q3";"Q4"},0))/4+INDEX(BookOneOff,283)*$P288)</f>
        <v/>
      </c>
      <c r="S288" s="35" t="str">
        <f aca="false">IF($P288="","",INDEX(BookRate,283)*$P288)</f>
        <v/>
      </c>
      <c r="T288" s="35" t="str">
        <f aca="false">IF($R288="","",$R288-$K288)</f>
        <v/>
      </c>
      <c r="U288" s="35" t="str">
        <f aca="false">IF(N($P288)&lt;=0,"",COUNTIF($P$6:$P288,"&gt;0"))</f>
        <v/>
      </c>
    </row>
    <row r="289" customFormat="false" ht="15" hidden="false" customHeight="false" outlineLevel="0" collapsed="false">
      <c r="A289" s="40" t="str">
        <f aca="false">IF(INDEX(BookTitle,284)="","",INDEX(BookGroup,284))</f>
        <v/>
      </c>
      <c r="B289" s="40" t="str">
        <f aca="false">IF(INDEX(BookTitle,284)="","",INDEX(BookRef,284))</f>
        <v/>
      </c>
      <c r="C289" s="40" t="str">
        <f aca="false">IF(INDEX(BookTitle,284)="","",INDEX(BookDivision,284))</f>
        <v/>
      </c>
      <c r="D289" s="40" t="str">
        <f aca="false">IF(INDEX(BookTitle,284)="","",INDEX(BookUnit,284))</f>
        <v/>
      </c>
      <c r="E289" s="40" t="str">
        <f aca="false">IF(INDEX(BookTitle,284)="","",INDEX(BookTitle,284))</f>
        <v/>
      </c>
      <c r="F289" s="40" t="str">
        <f aca="false">IF(INDEX(BookTitle,284)="","",INDEX(BookLevel,284))</f>
        <v/>
      </c>
      <c r="G289" s="40" t="str">
        <f aca="false">IF(INDEX(BookTitle,284)="","",INDEX(BookCategory,284))</f>
        <v/>
      </c>
      <c r="H289" s="40" t="str">
        <f aca="false">IF(INDEX(BookTitle,284)="","",INDEX(BookRank,284))</f>
        <v/>
      </c>
      <c r="I289" s="41" t="str">
        <f aca="false">IF(INDEX(BookTitle,284)="","",INDEX(BookTotal,284))</f>
        <v/>
      </c>
      <c r="J289" s="0" t="str">
        <f aca="false">IF($I289="","",IF(INDEX(BookQ1,284)&gt;0,"Q1",IF(INDEX(BookQ2,284)&gt;0,"Q2",IF(INDEX(BookQ3,284)&gt;0,"Q3",IF(INDEX(BookQ4,284)&gt;0,"Q4","")))))</f>
        <v/>
      </c>
      <c r="K289" s="42" t="str">
        <f aca="false">IF(INDEX(BookTitle,284)="","",INDEX(BookInYear,284))</f>
        <v/>
      </c>
      <c r="L289" s="19"/>
      <c r="M289" s="39"/>
      <c r="N289" s="19"/>
      <c r="O289" s="19"/>
      <c r="P289" s="43" t="str">
        <f aca="false">IF($E289="","",IF($L289="Decline",0,IF($L289="Approve fewer",IF($M289="","",$M289),IF($L289="","",$I289))))</f>
        <v/>
      </c>
      <c r="Q289" s="34" t="str">
        <f aca="false">IF($P289="","",IF($N289&lt;&gt;"",$N289,$J289))</f>
        <v/>
      </c>
      <c r="R289" s="35" t="str">
        <f aca="false">IF(OR($P289="",$Q289=""),"",INDEX(BookRate,284)*$P289*(5-MATCH($Q289,{"Q1";"Q2";"Q3";"Q4"},0))/4+INDEX(BookOneOff,284)*$P289)</f>
        <v/>
      </c>
      <c r="S289" s="35" t="str">
        <f aca="false">IF($P289="","",INDEX(BookRate,284)*$P289)</f>
        <v/>
      </c>
      <c r="T289" s="35" t="str">
        <f aca="false">IF($R289="","",$R289-$K289)</f>
        <v/>
      </c>
      <c r="U289" s="35" t="str">
        <f aca="false">IF(N($P289)&lt;=0,"",COUNTIF($P$6:$P289,"&gt;0"))</f>
        <v/>
      </c>
    </row>
    <row r="290" customFormat="false" ht="15" hidden="false" customHeight="false" outlineLevel="0" collapsed="false">
      <c r="A290" s="40" t="str">
        <f aca="false">IF(INDEX(BookTitle,285)="","",INDEX(BookGroup,285))</f>
        <v/>
      </c>
      <c r="B290" s="40" t="str">
        <f aca="false">IF(INDEX(BookTitle,285)="","",INDEX(BookRef,285))</f>
        <v/>
      </c>
      <c r="C290" s="40" t="str">
        <f aca="false">IF(INDEX(BookTitle,285)="","",INDEX(BookDivision,285))</f>
        <v/>
      </c>
      <c r="D290" s="40" t="str">
        <f aca="false">IF(INDEX(BookTitle,285)="","",INDEX(BookUnit,285))</f>
        <v/>
      </c>
      <c r="E290" s="40" t="str">
        <f aca="false">IF(INDEX(BookTitle,285)="","",INDEX(BookTitle,285))</f>
        <v/>
      </c>
      <c r="F290" s="40" t="str">
        <f aca="false">IF(INDEX(BookTitle,285)="","",INDEX(BookLevel,285))</f>
        <v/>
      </c>
      <c r="G290" s="40" t="str">
        <f aca="false">IF(INDEX(BookTitle,285)="","",INDEX(BookCategory,285))</f>
        <v/>
      </c>
      <c r="H290" s="40" t="str">
        <f aca="false">IF(INDEX(BookTitle,285)="","",INDEX(BookRank,285))</f>
        <v/>
      </c>
      <c r="I290" s="41" t="str">
        <f aca="false">IF(INDEX(BookTitle,285)="","",INDEX(BookTotal,285))</f>
        <v/>
      </c>
      <c r="J290" s="0" t="str">
        <f aca="false">IF($I290="","",IF(INDEX(BookQ1,285)&gt;0,"Q1",IF(INDEX(BookQ2,285)&gt;0,"Q2",IF(INDEX(BookQ3,285)&gt;0,"Q3",IF(INDEX(BookQ4,285)&gt;0,"Q4","")))))</f>
        <v/>
      </c>
      <c r="K290" s="42" t="str">
        <f aca="false">IF(INDEX(BookTitle,285)="","",INDEX(BookInYear,285))</f>
        <v/>
      </c>
      <c r="L290" s="19"/>
      <c r="M290" s="39"/>
      <c r="N290" s="19"/>
      <c r="O290" s="19"/>
      <c r="P290" s="43" t="str">
        <f aca="false">IF($E290="","",IF($L290="Decline",0,IF($L290="Approve fewer",IF($M290="","",$M290),IF($L290="","",$I290))))</f>
        <v/>
      </c>
      <c r="Q290" s="34" t="str">
        <f aca="false">IF($P290="","",IF($N290&lt;&gt;"",$N290,$J290))</f>
        <v/>
      </c>
      <c r="R290" s="35" t="str">
        <f aca="false">IF(OR($P290="",$Q290=""),"",INDEX(BookRate,285)*$P290*(5-MATCH($Q290,{"Q1";"Q2";"Q3";"Q4"},0))/4+INDEX(BookOneOff,285)*$P290)</f>
        <v/>
      </c>
      <c r="S290" s="35" t="str">
        <f aca="false">IF($P290="","",INDEX(BookRate,285)*$P290)</f>
        <v/>
      </c>
      <c r="T290" s="35" t="str">
        <f aca="false">IF($R290="","",$R290-$K290)</f>
        <v/>
      </c>
      <c r="U290" s="35" t="str">
        <f aca="false">IF(N($P290)&lt;=0,"",COUNTIF($P$6:$P290,"&gt;0"))</f>
        <v/>
      </c>
    </row>
    <row r="291" customFormat="false" ht="15" hidden="false" customHeight="false" outlineLevel="0" collapsed="false">
      <c r="A291" s="40" t="str">
        <f aca="false">IF(INDEX(BookTitle,286)="","",INDEX(BookGroup,286))</f>
        <v/>
      </c>
      <c r="B291" s="40" t="str">
        <f aca="false">IF(INDEX(BookTitle,286)="","",INDEX(BookRef,286))</f>
        <v/>
      </c>
      <c r="C291" s="40" t="str">
        <f aca="false">IF(INDEX(BookTitle,286)="","",INDEX(BookDivision,286))</f>
        <v/>
      </c>
      <c r="D291" s="40" t="str">
        <f aca="false">IF(INDEX(BookTitle,286)="","",INDEX(BookUnit,286))</f>
        <v/>
      </c>
      <c r="E291" s="40" t="str">
        <f aca="false">IF(INDEX(BookTitle,286)="","",INDEX(BookTitle,286))</f>
        <v/>
      </c>
      <c r="F291" s="40" t="str">
        <f aca="false">IF(INDEX(BookTitle,286)="","",INDEX(BookLevel,286))</f>
        <v/>
      </c>
      <c r="G291" s="40" t="str">
        <f aca="false">IF(INDEX(BookTitle,286)="","",INDEX(BookCategory,286))</f>
        <v/>
      </c>
      <c r="H291" s="40" t="str">
        <f aca="false">IF(INDEX(BookTitle,286)="","",INDEX(BookRank,286))</f>
        <v/>
      </c>
      <c r="I291" s="41" t="str">
        <f aca="false">IF(INDEX(BookTitle,286)="","",INDEX(BookTotal,286))</f>
        <v/>
      </c>
      <c r="J291" s="0" t="str">
        <f aca="false">IF($I291="","",IF(INDEX(BookQ1,286)&gt;0,"Q1",IF(INDEX(BookQ2,286)&gt;0,"Q2",IF(INDEX(BookQ3,286)&gt;0,"Q3",IF(INDEX(BookQ4,286)&gt;0,"Q4","")))))</f>
        <v/>
      </c>
      <c r="K291" s="42" t="str">
        <f aca="false">IF(INDEX(BookTitle,286)="","",INDEX(BookInYear,286))</f>
        <v/>
      </c>
      <c r="L291" s="19"/>
      <c r="M291" s="39"/>
      <c r="N291" s="19"/>
      <c r="O291" s="19"/>
      <c r="P291" s="43" t="str">
        <f aca="false">IF($E291="","",IF($L291="Decline",0,IF($L291="Approve fewer",IF($M291="","",$M291),IF($L291="","",$I291))))</f>
        <v/>
      </c>
      <c r="Q291" s="34" t="str">
        <f aca="false">IF($P291="","",IF($N291&lt;&gt;"",$N291,$J291))</f>
        <v/>
      </c>
      <c r="R291" s="35" t="str">
        <f aca="false">IF(OR($P291="",$Q291=""),"",INDEX(BookRate,286)*$P291*(5-MATCH($Q291,{"Q1";"Q2";"Q3";"Q4"},0))/4+INDEX(BookOneOff,286)*$P291)</f>
        <v/>
      </c>
      <c r="S291" s="35" t="str">
        <f aca="false">IF($P291="","",INDEX(BookRate,286)*$P291)</f>
        <v/>
      </c>
      <c r="T291" s="35" t="str">
        <f aca="false">IF($R291="","",$R291-$K291)</f>
        <v/>
      </c>
      <c r="U291" s="35" t="str">
        <f aca="false">IF(N($P291)&lt;=0,"",COUNTIF($P$6:$P291,"&gt;0"))</f>
        <v/>
      </c>
    </row>
    <row r="292" customFormat="false" ht="15" hidden="false" customHeight="false" outlineLevel="0" collapsed="false">
      <c r="A292" s="40" t="str">
        <f aca="false">IF(INDEX(BookTitle,287)="","",INDEX(BookGroup,287))</f>
        <v/>
      </c>
      <c r="B292" s="40" t="str">
        <f aca="false">IF(INDEX(BookTitle,287)="","",INDEX(BookRef,287))</f>
        <v/>
      </c>
      <c r="C292" s="40" t="str">
        <f aca="false">IF(INDEX(BookTitle,287)="","",INDEX(BookDivision,287))</f>
        <v/>
      </c>
      <c r="D292" s="40" t="str">
        <f aca="false">IF(INDEX(BookTitle,287)="","",INDEX(BookUnit,287))</f>
        <v/>
      </c>
      <c r="E292" s="40" t="str">
        <f aca="false">IF(INDEX(BookTitle,287)="","",INDEX(BookTitle,287))</f>
        <v/>
      </c>
      <c r="F292" s="40" t="str">
        <f aca="false">IF(INDEX(BookTitle,287)="","",INDEX(BookLevel,287))</f>
        <v/>
      </c>
      <c r="G292" s="40" t="str">
        <f aca="false">IF(INDEX(BookTitle,287)="","",INDEX(BookCategory,287))</f>
        <v/>
      </c>
      <c r="H292" s="40" t="str">
        <f aca="false">IF(INDEX(BookTitle,287)="","",INDEX(BookRank,287))</f>
        <v/>
      </c>
      <c r="I292" s="41" t="str">
        <f aca="false">IF(INDEX(BookTitle,287)="","",INDEX(BookTotal,287))</f>
        <v/>
      </c>
      <c r="J292" s="0" t="str">
        <f aca="false">IF($I292="","",IF(INDEX(BookQ1,287)&gt;0,"Q1",IF(INDEX(BookQ2,287)&gt;0,"Q2",IF(INDEX(BookQ3,287)&gt;0,"Q3",IF(INDEX(BookQ4,287)&gt;0,"Q4","")))))</f>
        <v/>
      </c>
      <c r="K292" s="42" t="str">
        <f aca="false">IF(INDEX(BookTitle,287)="","",INDEX(BookInYear,287))</f>
        <v/>
      </c>
      <c r="L292" s="19"/>
      <c r="M292" s="39"/>
      <c r="N292" s="19"/>
      <c r="O292" s="19"/>
      <c r="P292" s="43" t="str">
        <f aca="false">IF($E292="","",IF($L292="Decline",0,IF($L292="Approve fewer",IF($M292="","",$M292),IF($L292="","",$I292))))</f>
        <v/>
      </c>
      <c r="Q292" s="34" t="str">
        <f aca="false">IF($P292="","",IF($N292&lt;&gt;"",$N292,$J292))</f>
        <v/>
      </c>
      <c r="R292" s="35" t="str">
        <f aca="false">IF(OR($P292="",$Q292=""),"",INDEX(BookRate,287)*$P292*(5-MATCH($Q292,{"Q1";"Q2";"Q3";"Q4"},0))/4+INDEX(BookOneOff,287)*$P292)</f>
        <v/>
      </c>
      <c r="S292" s="35" t="str">
        <f aca="false">IF($P292="","",INDEX(BookRate,287)*$P292)</f>
        <v/>
      </c>
      <c r="T292" s="35" t="str">
        <f aca="false">IF($R292="","",$R292-$K292)</f>
        <v/>
      </c>
      <c r="U292" s="35" t="str">
        <f aca="false">IF(N($P292)&lt;=0,"",COUNTIF($P$6:$P292,"&gt;0"))</f>
        <v/>
      </c>
    </row>
    <row r="293" customFormat="false" ht="15" hidden="false" customHeight="false" outlineLevel="0" collapsed="false">
      <c r="A293" s="40" t="str">
        <f aca="false">IF(INDEX(BookTitle,288)="","",INDEX(BookGroup,288))</f>
        <v/>
      </c>
      <c r="B293" s="40" t="str">
        <f aca="false">IF(INDEX(BookTitle,288)="","",INDEX(BookRef,288))</f>
        <v/>
      </c>
      <c r="C293" s="40" t="str">
        <f aca="false">IF(INDEX(BookTitle,288)="","",INDEX(BookDivision,288))</f>
        <v/>
      </c>
      <c r="D293" s="40" t="str">
        <f aca="false">IF(INDEX(BookTitle,288)="","",INDEX(BookUnit,288))</f>
        <v/>
      </c>
      <c r="E293" s="40" t="str">
        <f aca="false">IF(INDEX(BookTitle,288)="","",INDEX(BookTitle,288))</f>
        <v/>
      </c>
      <c r="F293" s="40" t="str">
        <f aca="false">IF(INDEX(BookTitle,288)="","",INDEX(BookLevel,288))</f>
        <v/>
      </c>
      <c r="G293" s="40" t="str">
        <f aca="false">IF(INDEX(BookTitle,288)="","",INDEX(BookCategory,288))</f>
        <v/>
      </c>
      <c r="H293" s="40" t="str">
        <f aca="false">IF(INDEX(BookTitle,288)="","",INDEX(BookRank,288))</f>
        <v/>
      </c>
      <c r="I293" s="41" t="str">
        <f aca="false">IF(INDEX(BookTitle,288)="","",INDEX(BookTotal,288))</f>
        <v/>
      </c>
      <c r="J293" s="0" t="str">
        <f aca="false">IF($I293="","",IF(INDEX(BookQ1,288)&gt;0,"Q1",IF(INDEX(BookQ2,288)&gt;0,"Q2",IF(INDEX(BookQ3,288)&gt;0,"Q3",IF(INDEX(BookQ4,288)&gt;0,"Q4","")))))</f>
        <v/>
      </c>
      <c r="K293" s="42" t="str">
        <f aca="false">IF(INDEX(BookTitle,288)="","",INDEX(BookInYear,288))</f>
        <v/>
      </c>
      <c r="L293" s="19"/>
      <c r="M293" s="39"/>
      <c r="N293" s="19"/>
      <c r="O293" s="19"/>
      <c r="P293" s="43" t="str">
        <f aca="false">IF($E293="","",IF($L293="Decline",0,IF($L293="Approve fewer",IF($M293="","",$M293),IF($L293="","",$I293))))</f>
        <v/>
      </c>
      <c r="Q293" s="34" t="str">
        <f aca="false">IF($P293="","",IF($N293&lt;&gt;"",$N293,$J293))</f>
        <v/>
      </c>
      <c r="R293" s="35" t="str">
        <f aca="false">IF(OR($P293="",$Q293=""),"",INDEX(BookRate,288)*$P293*(5-MATCH($Q293,{"Q1";"Q2";"Q3";"Q4"},0))/4+INDEX(BookOneOff,288)*$P293)</f>
        <v/>
      </c>
      <c r="S293" s="35" t="str">
        <f aca="false">IF($P293="","",INDEX(BookRate,288)*$P293)</f>
        <v/>
      </c>
      <c r="T293" s="35" t="str">
        <f aca="false">IF($R293="","",$R293-$K293)</f>
        <v/>
      </c>
      <c r="U293" s="35" t="str">
        <f aca="false">IF(N($P293)&lt;=0,"",COUNTIF($P$6:$P293,"&gt;0"))</f>
        <v/>
      </c>
    </row>
    <row r="294" customFormat="false" ht="15" hidden="false" customHeight="false" outlineLevel="0" collapsed="false">
      <c r="A294" s="40" t="str">
        <f aca="false">IF(INDEX(BookTitle,289)="","",INDEX(BookGroup,289))</f>
        <v/>
      </c>
      <c r="B294" s="40" t="str">
        <f aca="false">IF(INDEX(BookTitle,289)="","",INDEX(BookRef,289))</f>
        <v/>
      </c>
      <c r="C294" s="40" t="str">
        <f aca="false">IF(INDEX(BookTitle,289)="","",INDEX(BookDivision,289))</f>
        <v/>
      </c>
      <c r="D294" s="40" t="str">
        <f aca="false">IF(INDEX(BookTitle,289)="","",INDEX(BookUnit,289))</f>
        <v/>
      </c>
      <c r="E294" s="40" t="str">
        <f aca="false">IF(INDEX(BookTitle,289)="","",INDEX(BookTitle,289))</f>
        <v/>
      </c>
      <c r="F294" s="40" t="str">
        <f aca="false">IF(INDEX(BookTitle,289)="","",INDEX(BookLevel,289))</f>
        <v/>
      </c>
      <c r="G294" s="40" t="str">
        <f aca="false">IF(INDEX(BookTitle,289)="","",INDEX(BookCategory,289))</f>
        <v/>
      </c>
      <c r="H294" s="40" t="str">
        <f aca="false">IF(INDEX(BookTitle,289)="","",INDEX(BookRank,289))</f>
        <v/>
      </c>
      <c r="I294" s="41" t="str">
        <f aca="false">IF(INDEX(BookTitle,289)="","",INDEX(BookTotal,289))</f>
        <v/>
      </c>
      <c r="J294" s="0" t="str">
        <f aca="false">IF($I294="","",IF(INDEX(BookQ1,289)&gt;0,"Q1",IF(INDEX(BookQ2,289)&gt;0,"Q2",IF(INDEX(BookQ3,289)&gt;0,"Q3",IF(INDEX(BookQ4,289)&gt;0,"Q4","")))))</f>
        <v/>
      </c>
      <c r="K294" s="42" t="str">
        <f aca="false">IF(INDEX(BookTitle,289)="","",INDEX(BookInYear,289))</f>
        <v/>
      </c>
      <c r="L294" s="19"/>
      <c r="M294" s="39"/>
      <c r="N294" s="19"/>
      <c r="O294" s="19"/>
      <c r="P294" s="43" t="str">
        <f aca="false">IF($E294="","",IF($L294="Decline",0,IF($L294="Approve fewer",IF($M294="","",$M294),IF($L294="","",$I294))))</f>
        <v/>
      </c>
      <c r="Q294" s="34" t="str">
        <f aca="false">IF($P294="","",IF($N294&lt;&gt;"",$N294,$J294))</f>
        <v/>
      </c>
      <c r="R294" s="35" t="str">
        <f aca="false">IF(OR($P294="",$Q294=""),"",INDEX(BookRate,289)*$P294*(5-MATCH($Q294,{"Q1";"Q2";"Q3";"Q4"},0))/4+INDEX(BookOneOff,289)*$P294)</f>
        <v/>
      </c>
      <c r="S294" s="35" t="str">
        <f aca="false">IF($P294="","",INDEX(BookRate,289)*$P294)</f>
        <v/>
      </c>
      <c r="T294" s="35" t="str">
        <f aca="false">IF($R294="","",$R294-$K294)</f>
        <v/>
      </c>
      <c r="U294" s="35" t="str">
        <f aca="false">IF(N($P294)&lt;=0,"",COUNTIF($P$6:$P294,"&gt;0"))</f>
        <v/>
      </c>
    </row>
    <row r="295" customFormat="false" ht="15" hidden="false" customHeight="false" outlineLevel="0" collapsed="false">
      <c r="A295" s="40" t="str">
        <f aca="false">IF(INDEX(BookTitle,290)="","",INDEX(BookGroup,290))</f>
        <v/>
      </c>
      <c r="B295" s="40" t="str">
        <f aca="false">IF(INDEX(BookTitle,290)="","",INDEX(BookRef,290))</f>
        <v/>
      </c>
      <c r="C295" s="40" t="str">
        <f aca="false">IF(INDEX(BookTitle,290)="","",INDEX(BookDivision,290))</f>
        <v/>
      </c>
      <c r="D295" s="40" t="str">
        <f aca="false">IF(INDEX(BookTitle,290)="","",INDEX(BookUnit,290))</f>
        <v/>
      </c>
      <c r="E295" s="40" t="str">
        <f aca="false">IF(INDEX(BookTitle,290)="","",INDEX(BookTitle,290))</f>
        <v/>
      </c>
      <c r="F295" s="40" t="str">
        <f aca="false">IF(INDEX(BookTitle,290)="","",INDEX(BookLevel,290))</f>
        <v/>
      </c>
      <c r="G295" s="40" t="str">
        <f aca="false">IF(INDEX(BookTitle,290)="","",INDEX(BookCategory,290))</f>
        <v/>
      </c>
      <c r="H295" s="40" t="str">
        <f aca="false">IF(INDEX(BookTitle,290)="","",INDEX(BookRank,290))</f>
        <v/>
      </c>
      <c r="I295" s="41" t="str">
        <f aca="false">IF(INDEX(BookTitle,290)="","",INDEX(BookTotal,290))</f>
        <v/>
      </c>
      <c r="J295" s="0" t="str">
        <f aca="false">IF($I295="","",IF(INDEX(BookQ1,290)&gt;0,"Q1",IF(INDEX(BookQ2,290)&gt;0,"Q2",IF(INDEX(BookQ3,290)&gt;0,"Q3",IF(INDEX(BookQ4,290)&gt;0,"Q4","")))))</f>
        <v/>
      </c>
      <c r="K295" s="42" t="str">
        <f aca="false">IF(INDEX(BookTitle,290)="","",INDEX(BookInYear,290))</f>
        <v/>
      </c>
      <c r="L295" s="19"/>
      <c r="M295" s="39"/>
      <c r="N295" s="19"/>
      <c r="O295" s="19"/>
      <c r="P295" s="43" t="str">
        <f aca="false">IF($E295="","",IF($L295="Decline",0,IF($L295="Approve fewer",IF($M295="","",$M295),IF($L295="","",$I295))))</f>
        <v/>
      </c>
      <c r="Q295" s="34" t="str">
        <f aca="false">IF($P295="","",IF($N295&lt;&gt;"",$N295,$J295))</f>
        <v/>
      </c>
      <c r="R295" s="35" t="str">
        <f aca="false">IF(OR($P295="",$Q295=""),"",INDEX(BookRate,290)*$P295*(5-MATCH($Q295,{"Q1";"Q2";"Q3";"Q4"},0))/4+INDEX(BookOneOff,290)*$P295)</f>
        <v/>
      </c>
      <c r="S295" s="35" t="str">
        <f aca="false">IF($P295="","",INDEX(BookRate,290)*$P295)</f>
        <v/>
      </c>
      <c r="T295" s="35" t="str">
        <f aca="false">IF($R295="","",$R295-$K295)</f>
        <v/>
      </c>
      <c r="U295" s="35" t="str">
        <f aca="false">IF(N($P295)&lt;=0,"",COUNTIF($P$6:$P295,"&gt;0"))</f>
        <v/>
      </c>
    </row>
    <row r="296" customFormat="false" ht="15" hidden="false" customHeight="false" outlineLevel="0" collapsed="false">
      <c r="A296" s="40" t="str">
        <f aca="false">IF(INDEX(BookTitle,291)="","",INDEX(BookGroup,291))</f>
        <v/>
      </c>
      <c r="B296" s="40" t="str">
        <f aca="false">IF(INDEX(BookTitle,291)="","",INDEX(BookRef,291))</f>
        <v/>
      </c>
      <c r="C296" s="40" t="str">
        <f aca="false">IF(INDEX(BookTitle,291)="","",INDEX(BookDivision,291))</f>
        <v/>
      </c>
      <c r="D296" s="40" t="str">
        <f aca="false">IF(INDEX(BookTitle,291)="","",INDEX(BookUnit,291))</f>
        <v/>
      </c>
      <c r="E296" s="40" t="str">
        <f aca="false">IF(INDEX(BookTitle,291)="","",INDEX(BookTitle,291))</f>
        <v/>
      </c>
      <c r="F296" s="40" t="str">
        <f aca="false">IF(INDEX(BookTitle,291)="","",INDEX(BookLevel,291))</f>
        <v/>
      </c>
      <c r="G296" s="40" t="str">
        <f aca="false">IF(INDEX(BookTitle,291)="","",INDEX(BookCategory,291))</f>
        <v/>
      </c>
      <c r="H296" s="40" t="str">
        <f aca="false">IF(INDEX(BookTitle,291)="","",INDEX(BookRank,291))</f>
        <v/>
      </c>
      <c r="I296" s="41" t="str">
        <f aca="false">IF(INDEX(BookTitle,291)="","",INDEX(BookTotal,291))</f>
        <v/>
      </c>
      <c r="J296" s="0" t="str">
        <f aca="false">IF($I296="","",IF(INDEX(BookQ1,291)&gt;0,"Q1",IF(INDEX(BookQ2,291)&gt;0,"Q2",IF(INDEX(BookQ3,291)&gt;0,"Q3",IF(INDEX(BookQ4,291)&gt;0,"Q4","")))))</f>
        <v/>
      </c>
      <c r="K296" s="42" t="str">
        <f aca="false">IF(INDEX(BookTitle,291)="","",INDEX(BookInYear,291))</f>
        <v/>
      </c>
      <c r="L296" s="19"/>
      <c r="M296" s="39"/>
      <c r="N296" s="19"/>
      <c r="O296" s="19"/>
      <c r="P296" s="43" t="str">
        <f aca="false">IF($E296="","",IF($L296="Decline",0,IF($L296="Approve fewer",IF($M296="","",$M296),IF($L296="","",$I296))))</f>
        <v/>
      </c>
      <c r="Q296" s="34" t="str">
        <f aca="false">IF($P296="","",IF($N296&lt;&gt;"",$N296,$J296))</f>
        <v/>
      </c>
      <c r="R296" s="35" t="str">
        <f aca="false">IF(OR($P296="",$Q296=""),"",INDEX(BookRate,291)*$P296*(5-MATCH($Q296,{"Q1";"Q2";"Q3";"Q4"},0))/4+INDEX(BookOneOff,291)*$P296)</f>
        <v/>
      </c>
      <c r="S296" s="35" t="str">
        <f aca="false">IF($P296="","",INDEX(BookRate,291)*$P296)</f>
        <v/>
      </c>
      <c r="T296" s="35" t="str">
        <f aca="false">IF($R296="","",$R296-$K296)</f>
        <v/>
      </c>
      <c r="U296" s="35" t="str">
        <f aca="false">IF(N($P296)&lt;=0,"",COUNTIF($P$6:$P296,"&gt;0"))</f>
        <v/>
      </c>
    </row>
    <row r="297" customFormat="false" ht="15" hidden="false" customHeight="false" outlineLevel="0" collapsed="false">
      <c r="A297" s="40" t="str">
        <f aca="false">IF(INDEX(BookTitle,292)="","",INDEX(BookGroup,292))</f>
        <v/>
      </c>
      <c r="B297" s="40" t="str">
        <f aca="false">IF(INDEX(BookTitle,292)="","",INDEX(BookRef,292))</f>
        <v/>
      </c>
      <c r="C297" s="40" t="str">
        <f aca="false">IF(INDEX(BookTitle,292)="","",INDEX(BookDivision,292))</f>
        <v/>
      </c>
      <c r="D297" s="40" t="str">
        <f aca="false">IF(INDEX(BookTitle,292)="","",INDEX(BookUnit,292))</f>
        <v/>
      </c>
      <c r="E297" s="40" t="str">
        <f aca="false">IF(INDEX(BookTitle,292)="","",INDEX(BookTitle,292))</f>
        <v/>
      </c>
      <c r="F297" s="40" t="str">
        <f aca="false">IF(INDEX(BookTitle,292)="","",INDEX(BookLevel,292))</f>
        <v/>
      </c>
      <c r="G297" s="40" t="str">
        <f aca="false">IF(INDEX(BookTitle,292)="","",INDEX(BookCategory,292))</f>
        <v/>
      </c>
      <c r="H297" s="40" t="str">
        <f aca="false">IF(INDEX(BookTitle,292)="","",INDEX(BookRank,292))</f>
        <v/>
      </c>
      <c r="I297" s="41" t="str">
        <f aca="false">IF(INDEX(BookTitle,292)="","",INDEX(BookTotal,292))</f>
        <v/>
      </c>
      <c r="J297" s="0" t="str">
        <f aca="false">IF($I297="","",IF(INDEX(BookQ1,292)&gt;0,"Q1",IF(INDEX(BookQ2,292)&gt;0,"Q2",IF(INDEX(BookQ3,292)&gt;0,"Q3",IF(INDEX(BookQ4,292)&gt;0,"Q4","")))))</f>
        <v/>
      </c>
      <c r="K297" s="42" t="str">
        <f aca="false">IF(INDEX(BookTitle,292)="","",INDEX(BookInYear,292))</f>
        <v/>
      </c>
      <c r="L297" s="19"/>
      <c r="M297" s="39"/>
      <c r="N297" s="19"/>
      <c r="O297" s="19"/>
      <c r="P297" s="43" t="str">
        <f aca="false">IF($E297="","",IF($L297="Decline",0,IF($L297="Approve fewer",IF($M297="","",$M297),IF($L297="","",$I297))))</f>
        <v/>
      </c>
      <c r="Q297" s="34" t="str">
        <f aca="false">IF($P297="","",IF($N297&lt;&gt;"",$N297,$J297))</f>
        <v/>
      </c>
      <c r="R297" s="35" t="str">
        <f aca="false">IF(OR($P297="",$Q297=""),"",INDEX(BookRate,292)*$P297*(5-MATCH($Q297,{"Q1";"Q2";"Q3";"Q4"},0))/4+INDEX(BookOneOff,292)*$P297)</f>
        <v/>
      </c>
      <c r="S297" s="35" t="str">
        <f aca="false">IF($P297="","",INDEX(BookRate,292)*$P297)</f>
        <v/>
      </c>
      <c r="T297" s="35" t="str">
        <f aca="false">IF($R297="","",$R297-$K297)</f>
        <v/>
      </c>
      <c r="U297" s="35" t="str">
        <f aca="false">IF(N($P297)&lt;=0,"",COUNTIF($P$6:$P297,"&gt;0"))</f>
        <v/>
      </c>
    </row>
    <row r="298" customFormat="false" ht="15" hidden="false" customHeight="false" outlineLevel="0" collapsed="false">
      <c r="A298" s="40" t="str">
        <f aca="false">IF(INDEX(BookTitle,293)="","",INDEX(BookGroup,293))</f>
        <v/>
      </c>
      <c r="B298" s="40" t="str">
        <f aca="false">IF(INDEX(BookTitle,293)="","",INDEX(BookRef,293))</f>
        <v/>
      </c>
      <c r="C298" s="40" t="str">
        <f aca="false">IF(INDEX(BookTitle,293)="","",INDEX(BookDivision,293))</f>
        <v/>
      </c>
      <c r="D298" s="40" t="str">
        <f aca="false">IF(INDEX(BookTitle,293)="","",INDEX(BookUnit,293))</f>
        <v/>
      </c>
      <c r="E298" s="40" t="str">
        <f aca="false">IF(INDEX(BookTitle,293)="","",INDEX(BookTitle,293))</f>
        <v/>
      </c>
      <c r="F298" s="40" t="str">
        <f aca="false">IF(INDEX(BookTitle,293)="","",INDEX(BookLevel,293))</f>
        <v/>
      </c>
      <c r="G298" s="40" t="str">
        <f aca="false">IF(INDEX(BookTitle,293)="","",INDEX(BookCategory,293))</f>
        <v/>
      </c>
      <c r="H298" s="40" t="str">
        <f aca="false">IF(INDEX(BookTitle,293)="","",INDEX(BookRank,293))</f>
        <v/>
      </c>
      <c r="I298" s="41" t="str">
        <f aca="false">IF(INDEX(BookTitle,293)="","",INDEX(BookTotal,293))</f>
        <v/>
      </c>
      <c r="J298" s="0" t="str">
        <f aca="false">IF($I298="","",IF(INDEX(BookQ1,293)&gt;0,"Q1",IF(INDEX(BookQ2,293)&gt;0,"Q2",IF(INDEX(BookQ3,293)&gt;0,"Q3",IF(INDEX(BookQ4,293)&gt;0,"Q4","")))))</f>
        <v/>
      </c>
      <c r="K298" s="42" t="str">
        <f aca="false">IF(INDEX(BookTitle,293)="","",INDEX(BookInYear,293))</f>
        <v/>
      </c>
      <c r="L298" s="19"/>
      <c r="M298" s="39"/>
      <c r="N298" s="19"/>
      <c r="O298" s="19"/>
      <c r="P298" s="43" t="str">
        <f aca="false">IF($E298="","",IF($L298="Decline",0,IF($L298="Approve fewer",IF($M298="","",$M298),IF($L298="","",$I298))))</f>
        <v/>
      </c>
      <c r="Q298" s="34" t="str">
        <f aca="false">IF($P298="","",IF($N298&lt;&gt;"",$N298,$J298))</f>
        <v/>
      </c>
      <c r="R298" s="35" t="str">
        <f aca="false">IF(OR($P298="",$Q298=""),"",INDEX(BookRate,293)*$P298*(5-MATCH($Q298,{"Q1";"Q2";"Q3";"Q4"},0))/4+INDEX(BookOneOff,293)*$P298)</f>
        <v/>
      </c>
      <c r="S298" s="35" t="str">
        <f aca="false">IF($P298="","",INDEX(BookRate,293)*$P298)</f>
        <v/>
      </c>
      <c r="T298" s="35" t="str">
        <f aca="false">IF($R298="","",$R298-$K298)</f>
        <v/>
      </c>
      <c r="U298" s="35" t="str">
        <f aca="false">IF(N($P298)&lt;=0,"",COUNTIF($P$6:$P298,"&gt;0"))</f>
        <v/>
      </c>
    </row>
    <row r="299" customFormat="false" ht="15" hidden="false" customHeight="false" outlineLevel="0" collapsed="false">
      <c r="A299" s="40" t="str">
        <f aca="false">IF(INDEX(BookTitle,294)="","",INDEX(BookGroup,294))</f>
        <v/>
      </c>
      <c r="B299" s="40" t="str">
        <f aca="false">IF(INDEX(BookTitle,294)="","",INDEX(BookRef,294))</f>
        <v/>
      </c>
      <c r="C299" s="40" t="str">
        <f aca="false">IF(INDEX(BookTitle,294)="","",INDEX(BookDivision,294))</f>
        <v/>
      </c>
      <c r="D299" s="40" t="str">
        <f aca="false">IF(INDEX(BookTitle,294)="","",INDEX(BookUnit,294))</f>
        <v/>
      </c>
      <c r="E299" s="40" t="str">
        <f aca="false">IF(INDEX(BookTitle,294)="","",INDEX(BookTitle,294))</f>
        <v/>
      </c>
      <c r="F299" s="40" t="str">
        <f aca="false">IF(INDEX(BookTitle,294)="","",INDEX(BookLevel,294))</f>
        <v/>
      </c>
      <c r="G299" s="40" t="str">
        <f aca="false">IF(INDEX(BookTitle,294)="","",INDEX(BookCategory,294))</f>
        <v/>
      </c>
      <c r="H299" s="40" t="str">
        <f aca="false">IF(INDEX(BookTitle,294)="","",INDEX(BookRank,294))</f>
        <v/>
      </c>
      <c r="I299" s="41" t="str">
        <f aca="false">IF(INDEX(BookTitle,294)="","",INDEX(BookTotal,294))</f>
        <v/>
      </c>
      <c r="J299" s="0" t="str">
        <f aca="false">IF($I299="","",IF(INDEX(BookQ1,294)&gt;0,"Q1",IF(INDEX(BookQ2,294)&gt;0,"Q2",IF(INDEX(BookQ3,294)&gt;0,"Q3",IF(INDEX(BookQ4,294)&gt;0,"Q4","")))))</f>
        <v/>
      </c>
      <c r="K299" s="42" t="str">
        <f aca="false">IF(INDEX(BookTitle,294)="","",INDEX(BookInYear,294))</f>
        <v/>
      </c>
      <c r="L299" s="19"/>
      <c r="M299" s="39"/>
      <c r="N299" s="19"/>
      <c r="O299" s="19"/>
      <c r="P299" s="43" t="str">
        <f aca="false">IF($E299="","",IF($L299="Decline",0,IF($L299="Approve fewer",IF($M299="","",$M299),IF($L299="","",$I299))))</f>
        <v/>
      </c>
      <c r="Q299" s="34" t="str">
        <f aca="false">IF($P299="","",IF($N299&lt;&gt;"",$N299,$J299))</f>
        <v/>
      </c>
      <c r="R299" s="35" t="str">
        <f aca="false">IF(OR($P299="",$Q299=""),"",INDEX(BookRate,294)*$P299*(5-MATCH($Q299,{"Q1";"Q2";"Q3";"Q4"},0))/4+INDEX(BookOneOff,294)*$P299)</f>
        <v/>
      </c>
      <c r="S299" s="35" t="str">
        <f aca="false">IF($P299="","",INDEX(BookRate,294)*$P299)</f>
        <v/>
      </c>
      <c r="T299" s="35" t="str">
        <f aca="false">IF($R299="","",$R299-$K299)</f>
        <v/>
      </c>
      <c r="U299" s="35" t="str">
        <f aca="false">IF(N($P299)&lt;=0,"",COUNTIF($P$6:$P299,"&gt;0"))</f>
        <v/>
      </c>
    </row>
    <row r="300" customFormat="false" ht="15" hidden="false" customHeight="false" outlineLevel="0" collapsed="false">
      <c r="A300" s="40" t="str">
        <f aca="false">IF(INDEX(BookTitle,295)="","",INDEX(BookGroup,295))</f>
        <v/>
      </c>
      <c r="B300" s="40" t="str">
        <f aca="false">IF(INDEX(BookTitle,295)="","",INDEX(BookRef,295))</f>
        <v/>
      </c>
      <c r="C300" s="40" t="str">
        <f aca="false">IF(INDEX(BookTitle,295)="","",INDEX(BookDivision,295))</f>
        <v/>
      </c>
      <c r="D300" s="40" t="str">
        <f aca="false">IF(INDEX(BookTitle,295)="","",INDEX(BookUnit,295))</f>
        <v/>
      </c>
      <c r="E300" s="40" t="str">
        <f aca="false">IF(INDEX(BookTitle,295)="","",INDEX(BookTitle,295))</f>
        <v/>
      </c>
      <c r="F300" s="40" t="str">
        <f aca="false">IF(INDEX(BookTitle,295)="","",INDEX(BookLevel,295))</f>
        <v/>
      </c>
      <c r="G300" s="40" t="str">
        <f aca="false">IF(INDEX(BookTitle,295)="","",INDEX(BookCategory,295))</f>
        <v/>
      </c>
      <c r="H300" s="40" t="str">
        <f aca="false">IF(INDEX(BookTitle,295)="","",INDEX(BookRank,295))</f>
        <v/>
      </c>
      <c r="I300" s="41" t="str">
        <f aca="false">IF(INDEX(BookTitle,295)="","",INDEX(BookTotal,295))</f>
        <v/>
      </c>
      <c r="J300" s="0" t="str">
        <f aca="false">IF($I300="","",IF(INDEX(BookQ1,295)&gt;0,"Q1",IF(INDEX(BookQ2,295)&gt;0,"Q2",IF(INDEX(BookQ3,295)&gt;0,"Q3",IF(INDEX(BookQ4,295)&gt;0,"Q4","")))))</f>
        <v/>
      </c>
      <c r="K300" s="42" t="str">
        <f aca="false">IF(INDEX(BookTitle,295)="","",INDEX(BookInYear,295))</f>
        <v/>
      </c>
      <c r="L300" s="19"/>
      <c r="M300" s="39"/>
      <c r="N300" s="19"/>
      <c r="O300" s="19"/>
      <c r="P300" s="43" t="str">
        <f aca="false">IF($E300="","",IF($L300="Decline",0,IF($L300="Approve fewer",IF($M300="","",$M300),IF($L300="","",$I300))))</f>
        <v/>
      </c>
      <c r="Q300" s="34" t="str">
        <f aca="false">IF($P300="","",IF($N300&lt;&gt;"",$N300,$J300))</f>
        <v/>
      </c>
      <c r="R300" s="35" t="str">
        <f aca="false">IF(OR($P300="",$Q300=""),"",INDEX(BookRate,295)*$P300*(5-MATCH($Q300,{"Q1";"Q2";"Q3";"Q4"},0))/4+INDEX(BookOneOff,295)*$P300)</f>
        <v/>
      </c>
      <c r="S300" s="35" t="str">
        <f aca="false">IF($P300="","",INDEX(BookRate,295)*$P300)</f>
        <v/>
      </c>
      <c r="T300" s="35" t="str">
        <f aca="false">IF($R300="","",$R300-$K300)</f>
        <v/>
      </c>
      <c r="U300" s="35" t="str">
        <f aca="false">IF(N($P300)&lt;=0,"",COUNTIF($P$6:$P300,"&gt;0"))</f>
        <v/>
      </c>
    </row>
    <row r="301" customFormat="false" ht="15" hidden="false" customHeight="false" outlineLevel="0" collapsed="false">
      <c r="A301" s="40" t="str">
        <f aca="false">IF(INDEX(BookTitle,296)="","",INDEX(BookGroup,296))</f>
        <v/>
      </c>
      <c r="B301" s="40" t="str">
        <f aca="false">IF(INDEX(BookTitle,296)="","",INDEX(BookRef,296))</f>
        <v/>
      </c>
      <c r="C301" s="40" t="str">
        <f aca="false">IF(INDEX(BookTitle,296)="","",INDEX(BookDivision,296))</f>
        <v/>
      </c>
      <c r="D301" s="40" t="str">
        <f aca="false">IF(INDEX(BookTitle,296)="","",INDEX(BookUnit,296))</f>
        <v/>
      </c>
      <c r="E301" s="40" t="str">
        <f aca="false">IF(INDEX(BookTitle,296)="","",INDEX(BookTitle,296))</f>
        <v/>
      </c>
      <c r="F301" s="40" t="str">
        <f aca="false">IF(INDEX(BookTitle,296)="","",INDEX(BookLevel,296))</f>
        <v/>
      </c>
      <c r="G301" s="40" t="str">
        <f aca="false">IF(INDEX(BookTitle,296)="","",INDEX(BookCategory,296))</f>
        <v/>
      </c>
      <c r="H301" s="40" t="str">
        <f aca="false">IF(INDEX(BookTitle,296)="","",INDEX(BookRank,296))</f>
        <v/>
      </c>
      <c r="I301" s="41" t="str">
        <f aca="false">IF(INDEX(BookTitle,296)="","",INDEX(BookTotal,296))</f>
        <v/>
      </c>
      <c r="J301" s="0" t="str">
        <f aca="false">IF($I301="","",IF(INDEX(BookQ1,296)&gt;0,"Q1",IF(INDEX(BookQ2,296)&gt;0,"Q2",IF(INDEX(BookQ3,296)&gt;0,"Q3",IF(INDEX(BookQ4,296)&gt;0,"Q4","")))))</f>
        <v/>
      </c>
      <c r="K301" s="42" t="str">
        <f aca="false">IF(INDEX(BookTitle,296)="","",INDEX(BookInYear,296))</f>
        <v/>
      </c>
      <c r="L301" s="19"/>
      <c r="M301" s="39"/>
      <c r="N301" s="19"/>
      <c r="O301" s="19"/>
      <c r="P301" s="43" t="str">
        <f aca="false">IF($E301="","",IF($L301="Decline",0,IF($L301="Approve fewer",IF($M301="","",$M301),IF($L301="","",$I301))))</f>
        <v/>
      </c>
      <c r="Q301" s="34" t="str">
        <f aca="false">IF($P301="","",IF($N301&lt;&gt;"",$N301,$J301))</f>
        <v/>
      </c>
      <c r="R301" s="35" t="str">
        <f aca="false">IF(OR($P301="",$Q301=""),"",INDEX(BookRate,296)*$P301*(5-MATCH($Q301,{"Q1";"Q2";"Q3";"Q4"},0))/4+INDEX(BookOneOff,296)*$P301)</f>
        <v/>
      </c>
      <c r="S301" s="35" t="str">
        <f aca="false">IF($P301="","",INDEX(BookRate,296)*$P301)</f>
        <v/>
      </c>
      <c r="T301" s="35" t="str">
        <f aca="false">IF($R301="","",$R301-$K301)</f>
        <v/>
      </c>
      <c r="U301" s="35" t="str">
        <f aca="false">IF(N($P301)&lt;=0,"",COUNTIF($P$6:$P301,"&gt;0"))</f>
        <v/>
      </c>
    </row>
    <row r="302" customFormat="false" ht="15" hidden="false" customHeight="false" outlineLevel="0" collapsed="false">
      <c r="A302" s="40" t="str">
        <f aca="false">IF(INDEX(BookTitle,297)="","",INDEX(BookGroup,297))</f>
        <v/>
      </c>
      <c r="B302" s="40" t="str">
        <f aca="false">IF(INDEX(BookTitle,297)="","",INDEX(BookRef,297))</f>
        <v/>
      </c>
      <c r="C302" s="40" t="str">
        <f aca="false">IF(INDEX(BookTitle,297)="","",INDEX(BookDivision,297))</f>
        <v/>
      </c>
      <c r="D302" s="40" t="str">
        <f aca="false">IF(INDEX(BookTitle,297)="","",INDEX(BookUnit,297))</f>
        <v/>
      </c>
      <c r="E302" s="40" t="str">
        <f aca="false">IF(INDEX(BookTitle,297)="","",INDEX(BookTitle,297))</f>
        <v/>
      </c>
      <c r="F302" s="40" t="str">
        <f aca="false">IF(INDEX(BookTitle,297)="","",INDEX(BookLevel,297))</f>
        <v/>
      </c>
      <c r="G302" s="40" t="str">
        <f aca="false">IF(INDEX(BookTitle,297)="","",INDEX(BookCategory,297))</f>
        <v/>
      </c>
      <c r="H302" s="40" t="str">
        <f aca="false">IF(INDEX(BookTitle,297)="","",INDEX(BookRank,297))</f>
        <v/>
      </c>
      <c r="I302" s="41" t="str">
        <f aca="false">IF(INDEX(BookTitle,297)="","",INDEX(BookTotal,297))</f>
        <v/>
      </c>
      <c r="J302" s="0" t="str">
        <f aca="false">IF($I302="","",IF(INDEX(BookQ1,297)&gt;0,"Q1",IF(INDEX(BookQ2,297)&gt;0,"Q2",IF(INDEX(BookQ3,297)&gt;0,"Q3",IF(INDEX(BookQ4,297)&gt;0,"Q4","")))))</f>
        <v/>
      </c>
      <c r="K302" s="42" t="str">
        <f aca="false">IF(INDEX(BookTitle,297)="","",INDEX(BookInYear,297))</f>
        <v/>
      </c>
      <c r="L302" s="19"/>
      <c r="M302" s="39"/>
      <c r="N302" s="19"/>
      <c r="O302" s="19"/>
      <c r="P302" s="43" t="str">
        <f aca="false">IF($E302="","",IF($L302="Decline",0,IF($L302="Approve fewer",IF($M302="","",$M302),IF($L302="","",$I302))))</f>
        <v/>
      </c>
      <c r="Q302" s="34" t="str">
        <f aca="false">IF($P302="","",IF($N302&lt;&gt;"",$N302,$J302))</f>
        <v/>
      </c>
      <c r="R302" s="35" t="str">
        <f aca="false">IF(OR($P302="",$Q302=""),"",INDEX(BookRate,297)*$P302*(5-MATCH($Q302,{"Q1";"Q2";"Q3";"Q4"},0))/4+INDEX(BookOneOff,297)*$P302)</f>
        <v/>
      </c>
      <c r="S302" s="35" t="str">
        <f aca="false">IF($P302="","",INDEX(BookRate,297)*$P302)</f>
        <v/>
      </c>
      <c r="T302" s="35" t="str">
        <f aca="false">IF($R302="","",$R302-$K302)</f>
        <v/>
      </c>
      <c r="U302" s="35" t="str">
        <f aca="false">IF(N($P302)&lt;=0,"",COUNTIF($P$6:$P302,"&gt;0"))</f>
        <v/>
      </c>
    </row>
    <row r="303" customFormat="false" ht="15" hidden="false" customHeight="false" outlineLevel="0" collapsed="false">
      <c r="A303" s="40" t="str">
        <f aca="false">IF(INDEX(BookTitle,298)="","",INDEX(BookGroup,298))</f>
        <v/>
      </c>
      <c r="B303" s="40" t="str">
        <f aca="false">IF(INDEX(BookTitle,298)="","",INDEX(BookRef,298))</f>
        <v/>
      </c>
      <c r="C303" s="40" t="str">
        <f aca="false">IF(INDEX(BookTitle,298)="","",INDEX(BookDivision,298))</f>
        <v/>
      </c>
      <c r="D303" s="40" t="str">
        <f aca="false">IF(INDEX(BookTitle,298)="","",INDEX(BookUnit,298))</f>
        <v/>
      </c>
      <c r="E303" s="40" t="str">
        <f aca="false">IF(INDEX(BookTitle,298)="","",INDEX(BookTitle,298))</f>
        <v/>
      </c>
      <c r="F303" s="40" t="str">
        <f aca="false">IF(INDEX(BookTitle,298)="","",INDEX(BookLevel,298))</f>
        <v/>
      </c>
      <c r="G303" s="40" t="str">
        <f aca="false">IF(INDEX(BookTitle,298)="","",INDEX(BookCategory,298))</f>
        <v/>
      </c>
      <c r="H303" s="40" t="str">
        <f aca="false">IF(INDEX(BookTitle,298)="","",INDEX(BookRank,298))</f>
        <v/>
      </c>
      <c r="I303" s="41" t="str">
        <f aca="false">IF(INDEX(BookTitle,298)="","",INDEX(BookTotal,298))</f>
        <v/>
      </c>
      <c r="J303" s="0" t="str">
        <f aca="false">IF($I303="","",IF(INDEX(BookQ1,298)&gt;0,"Q1",IF(INDEX(BookQ2,298)&gt;0,"Q2",IF(INDEX(BookQ3,298)&gt;0,"Q3",IF(INDEX(BookQ4,298)&gt;0,"Q4","")))))</f>
        <v/>
      </c>
      <c r="K303" s="42" t="str">
        <f aca="false">IF(INDEX(BookTitle,298)="","",INDEX(BookInYear,298))</f>
        <v/>
      </c>
      <c r="L303" s="19"/>
      <c r="M303" s="39"/>
      <c r="N303" s="19"/>
      <c r="O303" s="19"/>
      <c r="P303" s="43" t="str">
        <f aca="false">IF($E303="","",IF($L303="Decline",0,IF($L303="Approve fewer",IF($M303="","",$M303),IF($L303="","",$I303))))</f>
        <v/>
      </c>
      <c r="Q303" s="34" t="str">
        <f aca="false">IF($P303="","",IF($N303&lt;&gt;"",$N303,$J303))</f>
        <v/>
      </c>
      <c r="R303" s="35" t="str">
        <f aca="false">IF(OR($P303="",$Q303=""),"",INDEX(BookRate,298)*$P303*(5-MATCH($Q303,{"Q1";"Q2";"Q3";"Q4"},0))/4+INDEX(BookOneOff,298)*$P303)</f>
        <v/>
      </c>
      <c r="S303" s="35" t="str">
        <f aca="false">IF($P303="","",INDEX(BookRate,298)*$P303)</f>
        <v/>
      </c>
      <c r="T303" s="35" t="str">
        <f aca="false">IF($R303="","",$R303-$K303)</f>
        <v/>
      </c>
      <c r="U303" s="35" t="str">
        <f aca="false">IF(N($P303)&lt;=0,"",COUNTIF($P$6:$P303,"&gt;0"))</f>
        <v/>
      </c>
    </row>
    <row r="304" customFormat="false" ht="15" hidden="false" customHeight="false" outlineLevel="0" collapsed="false">
      <c r="A304" s="40" t="str">
        <f aca="false">IF(INDEX(BookTitle,299)="","",INDEX(BookGroup,299))</f>
        <v/>
      </c>
      <c r="B304" s="40" t="str">
        <f aca="false">IF(INDEX(BookTitle,299)="","",INDEX(BookRef,299))</f>
        <v/>
      </c>
      <c r="C304" s="40" t="str">
        <f aca="false">IF(INDEX(BookTitle,299)="","",INDEX(BookDivision,299))</f>
        <v/>
      </c>
      <c r="D304" s="40" t="str">
        <f aca="false">IF(INDEX(BookTitle,299)="","",INDEX(BookUnit,299))</f>
        <v/>
      </c>
      <c r="E304" s="40" t="str">
        <f aca="false">IF(INDEX(BookTitle,299)="","",INDEX(BookTitle,299))</f>
        <v/>
      </c>
      <c r="F304" s="40" t="str">
        <f aca="false">IF(INDEX(BookTitle,299)="","",INDEX(BookLevel,299))</f>
        <v/>
      </c>
      <c r="G304" s="40" t="str">
        <f aca="false">IF(INDEX(BookTitle,299)="","",INDEX(BookCategory,299))</f>
        <v/>
      </c>
      <c r="H304" s="40" t="str">
        <f aca="false">IF(INDEX(BookTitle,299)="","",INDEX(BookRank,299))</f>
        <v/>
      </c>
      <c r="I304" s="41" t="str">
        <f aca="false">IF(INDEX(BookTitle,299)="","",INDEX(BookTotal,299))</f>
        <v/>
      </c>
      <c r="J304" s="0" t="str">
        <f aca="false">IF($I304="","",IF(INDEX(BookQ1,299)&gt;0,"Q1",IF(INDEX(BookQ2,299)&gt;0,"Q2",IF(INDEX(BookQ3,299)&gt;0,"Q3",IF(INDEX(BookQ4,299)&gt;0,"Q4","")))))</f>
        <v/>
      </c>
      <c r="K304" s="42" t="str">
        <f aca="false">IF(INDEX(BookTitle,299)="","",INDEX(BookInYear,299))</f>
        <v/>
      </c>
      <c r="L304" s="19"/>
      <c r="M304" s="39"/>
      <c r="N304" s="19"/>
      <c r="O304" s="19"/>
      <c r="P304" s="43" t="str">
        <f aca="false">IF($E304="","",IF($L304="Decline",0,IF($L304="Approve fewer",IF($M304="","",$M304),IF($L304="","",$I304))))</f>
        <v/>
      </c>
      <c r="Q304" s="34" t="str">
        <f aca="false">IF($P304="","",IF($N304&lt;&gt;"",$N304,$J304))</f>
        <v/>
      </c>
      <c r="R304" s="35" t="str">
        <f aca="false">IF(OR($P304="",$Q304=""),"",INDEX(BookRate,299)*$P304*(5-MATCH($Q304,{"Q1";"Q2";"Q3";"Q4"},0))/4+INDEX(BookOneOff,299)*$P304)</f>
        <v/>
      </c>
      <c r="S304" s="35" t="str">
        <f aca="false">IF($P304="","",INDEX(BookRate,299)*$P304)</f>
        <v/>
      </c>
      <c r="T304" s="35" t="str">
        <f aca="false">IF($R304="","",$R304-$K304)</f>
        <v/>
      </c>
      <c r="U304" s="35" t="str">
        <f aca="false">IF(N($P304)&lt;=0,"",COUNTIF($P$6:$P304,"&gt;0"))</f>
        <v/>
      </c>
    </row>
    <row r="305" customFormat="false" ht="15" hidden="false" customHeight="false" outlineLevel="0" collapsed="false">
      <c r="A305" s="40" t="str">
        <f aca="false">IF(INDEX(BookTitle,300)="","",INDEX(BookGroup,300))</f>
        <v/>
      </c>
      <c r="B305" s="40" t="str">
        <f aca="false">IF(INDEX(BookTitle,300)="","",INDEX(BookRef,300))</f>
        <v/>
      </c>
      <c r="C305" s="40" t="str">
        <f aca="false">IF(INDEX(BookTitle,300)="","",INDEX(BookDivision,300))</f>
        <v/>
      </c>
      <c r="D305" s="40" t="str">
        <f aca="false">IF(INDEX(BookTitle,300)="","",INDEX(BookUnit,300))</f>
        <v/>
      </c>
      <c r="E305" s="40" t="str">
        <f aca="false">IF(INDEX(BookTitle,300)="","",INDEX(BookTitle,300))</f>
        <v/>
      </c>
      <c r="F305" s="40" t="str">
        <f aca="false">IF(INDEX(BookTitle,300)="","",INDEX(BookLevel,300))</f>
        <v/>
      </c>
      <c r="G305" s="40" t="str">
        <f aca="false">IF(INDEX(BookTitle,300)="","",INDEX(BookCategory,300))</f>
        <v/>
      </c>
      <c r="H305" s="40" t="str">
        <f aca="false">IF(INDEX(BookTitle,300)="","",INDEX(BookRank,300))</f>
        <v/>
      </c>
      <c r="I305" s="41" t="str">
        <f aca="false">IF(INDEX(BookTitle,300)="","",INDEX(BookTotal,300))</f>
        <v/>
      </c>
      <c r="J305" s="0" t="str">
        <f aca="false">IF($I305="","",IF(INDEX(BookQ1,300)&gt;0,"Q1",IF(INDEX(BookQ2,300)&gt;0,"Q2",IF(INDEX(BookQ3,300)&gt;0,"Q3",IF(INDEX(BookQ4,300)&gt;0,"Q4","")))))</f>
        <v/>
      </c>
      <c r="K305" s="42" t="str">
        <f aca="false">IF(INDEX(BookTitle,300)="","",INDEX(BookInYear,300))</f>
        <v/>
      </c>
      <c r="L305" s="19"/>
      <c r="M305" s="39"/>
      <c r="N305" s="19"/>
      <c r="O305" s="19"/>
      <c r="P305" s="43" t="str">
        <f aca="false">IF($E305="","",IF($L305="Decline",0,IF($L305="Approve fewer",IF($M305="","",$M305),IF($L305="","",$I305))))</f>
        <v/>
      </c>
      <c r="Q305" s="34" t="str">
        <f aca="false">IF($P305="","",IF($N305&lt;&gt;"",$N305,$J305))</f>
        <v/>
      </c>
      <c r="R305" s="35" t="str">
        <f aca="false">IF(OR($P305="",$Q305=""),"",INDEX(BookRate,300)*$P305*(5-MATCH($Q305,{"Q1";"Q2";"Q3";"Q4"},0))/4+INDEX(BookOneOff,300)*$P305)</f>
        <v/>
      </c>
      <c r="S305" s="35" t="str">
        <f aca="false">IF($P305="","",INDEX(BookRate,300)*$P305)</f>
        <v/>
      </c>
      <c r="T305" s="35" t="str">
        <f aca="false">IF($R305="","",$R305-$K305)</f>
        <v/>
      </c>
      <c r="U305" s="35" t="str">
        <f aca="false">IF(N($P305)&lt;=0,"",COUNTIF($P$6:$P305,"&gt;0"))</f>
        <v/>
      </c>
    </row>
    <row r="306" customFormat="false" ht="15" hidden="false" customHeight="false" outlineLevel="0" collapsed="false">
      <c r="A306" s="40" t="str">
        <f aca="false">IF(INDEX(BookTitle,301)="","",INDEX(BookGroup,301))</f>
        <v/>
      </c>
      <c r="B306" s="40" t="str">
        <f aca="false">IF(INDEX(BookTitle,301)="","",INDEX(BookRef,301))</f>
        <v/>
      </c>
      <c r="C306" s="40" t="str">
        <f aca="false">IF(INDEX(BookTitle,301)="","",INDEX(BookDivision,301))</f>
        <v/>
      </c>
      <c r="D306" s="40" t="str">
        <f aca="false">IF(INDEX(BookTitle,301)="","",INDEX(BookUnit,301))</f>
        <v/>
      </c>
      <c r="E306" s="40" t="str">
        <f aca="false">IF(INDEX(BookTitle,301)="","",INDEX(BookTitle,301))</f>
        <v/>
      </c>
      <c r="F306" s="40" t="str">
        <f aca="false">IF(INDEX(BookTitle,301)="","",INDEX(BookLevel,301))</f>
        <v/>
      </c>
      <c r="G306" s="40" t="str">
        <f aca="false">IF(INDEX(BookTitle,301)="","",INDEX(BookCategory,301))</f>
        <v/>
      </c>
      <c r="H306" s="40" t="str">
        <f aca="false">IF(INDEX(BookTitle,301)="","",INDEX(BookRank,301))</f>
        <v/>
      </c>
      <c r="I306" s="41" t="str">
        <f aca="false">IF(INDEX(BookTitle,301)="","",INDEX(BookTotal,301))</f>
        <v/>
      </c>
      <c r="J306" s="0" t="str">
        <f aca="false">IF($I306="","",IF(INDEX(BookQ1,301)&gt;0,"Q1",IF(INDEX(BookQ2,301)&gt;0,"Q2",IF(INDEX(BookQ3,301)&gt;0,"Q3",IF(INDEX(BookQ4,301)&gt;0,"Q4","")))))</f>
        <v/>
      </c>
      <c r="K306" s="42" t="str">
        <f aca="false">IF(INDEX(BookTitle,301)="","",INDEX(BookInYear,301))</f>
        <v/>
      </c>
      <c r="L306" s="19"/>
      <c r="M306" s="39"/>
      <c r="N306" s="19"/>
      <c r="O306" s="19"/>
      <c r="P306" s="43" t="str">
        <f aca="false">IF($E306="","",IF($L306="Decline",0,IF($L306="Approve fewer",IF($M306="","",$M306),IF($L306="","",$I306))))</f>
        <v/>
      </c>
      <c r="Q306" s="34" t="str">
        <f aca="false">IF($P306="","",IF($N306&lt;&gt;"",$N306,$J306))</f>
        <v/>
      </c>
      <c r="R306" s="35" t="str">
        <f aca="false">IF(OR($P306="",$Q306=""),"",INDEX(BookRate,301)*$P306*(5-MATCH($Q306,{"Q1";"Q2";"Q3";"Q4"},0))/4+INDEX(BookOneOff,301)*$P306)</f>
        <v/>
      </c>
      <c r="S306" s="35" t="str">
        <f aca="false">IF($P306="","",INDEX(BookRate,301)*$P306)</f>
        <v/>
      </c>
      <c r="T306" s="35" t="str">
        <f aca="false">IF($R306="","",$R306-$K306)</f>
        <v/>
      </c>
      <c r="U306" s="35" t="str">
        <f aca="false">IF(N($P306)&lt;=0,"",COUNTIF($P$6:$P306,"&gt;0"))</f>
        <v/>
      </c>
    </row>
    <row r="307" customFormat="false" ht="15" hidden="false" customHeight="false" outlineLevel="0" collapsed="false">
      <c r="A307" s="40" t="str">
        <f aca="false">IF(INDEX(BookTitle,302)="","",INDEX(BookGroup,302))</f>
        <v/>
      </c>
      <c r="B307" s="40" t="str">
        <f aca="false">IF(INDEX(BookTitle,302)="","",INDEX(BookRef,302))</f>
        <v/>
      </c>
      <c r="C307" s="40" t="str">
        <f aca="false">IF(INDEX(BookTitle,302)="","",INDEX(BookDivision,302))</f>
        <v/>
      </c>
      <c r="D307" s="40" t="str">
        <f aca="false">IF(INDEX(BookTitle,302)="","",INDEX(BookUnit,302))</f>
        <v/>
      </c>
      <c r="E307" s="40" t="str">
        <f aca="false">IF(INDEX(BookTitle,302)="","",INDEX(BookTitle,302))</f>
        <v/>
      </c>
      <c r="F307" s="40" t="str">
        <f aca="false">IF(INDEX(BookTitle,302)="","",INDEX(BookLevel,302))</f>
        <v/>
      </c>
      <c r="G307" s="40" t="str">
        <f aca="false">IF(INDEX(BookTitle,302)="","",INDEX(BookCategory,302))</f>
        <v/>
      </c>
      <c r="H307" s="40" t="str">
        <f aca="false">IF(INDEX(BookTitle,302)="","",INDEX(BookRank,302))</f>
        <v/>
      </c>
      <c r="I307" s="41" t="str">
        <f aca="false">IF(INDEX(BookTitle,302)="","",INDEX(BookTotal,302))</f>
        <v/>
      </c>
      <c r="J307" s="0" t="str">
        <f aca="false">IF($I307="","",IF(INDEX(BookQ1,302)&gt;0,"Q1",IF(INDEX(BookQ2,302)&gt;0,"Q2",IF(INDEX(BookQ3,302)&gt;0,"Q3",IF(INDEX(BookQ4,302)&gt;0,"Q4","")))))</f>
        <v/>
      </c>
      <c r="K307" s="42" t="str">
        <f aca="false">IF(INDEX(BookTitle,302)="","",INDEX(BookInYear,302))</f>
        <v/>
      </c>
      <c r="L307" s="19"/>
      <c r="M307" s="39"/>
      <c r="N307" s="19"/>
      <c r="O307" s="19"/>
      <c r="P307" s="43" t="str">
        <f aca="false">IF($E307="","",IF($L307="Decline",0,IF($L307="Approve fewer",IF($M307="","",$M307),IF($L307="","",$I307))))</f>
        <v/>
      </c>
      <c r="Q307" s="34" t="str">
        <f aca="false">IF($P307="","",IF($N307&lt;&gt;"",$N307,$J307))</f>
        <v/>
      </c>
      <c r="R307" s="35" t="str">
        <f aca="false">IF(OR($P307="",$Q307=""),"",INDEX(BookRate,302)*$P307*(5-MATCH($Q307,{"Q1";"Q2";"Q3";"Q4"},0))/4+INDEX(BookOneOff,302)*$P307)</f>
        <v/>
      </c>
      <c r="S307" s="35" t="str">
        <f aca="false">IF($P307="","",INDEX(BookRate,302)*$P307)</f>
        <v/>
      </c>
      <c r="T307" s="35" t="str">
        <f aca="false">IF($R307="","",$R307-$K307)</f>
        <v/>
      </c>
      <c r="U307" s="35" t="str">
        <f aca="false">IF(N($P307)&lt;=0,"",COUNTIF($P$6:$P307,"&gt;0"))</f>
        <v/>
      </c>
    </row>
    <row r="308" customFormat="false" ht="15" hidden="false" customHeight="false" outlineLevel="0" collapsed="false">
      <c r="A308" s="40" t="str">
        <f aca="false">IF(INDEX(BookTitle,303)="","",INDEX(BookGroup,303))</f>
        <v/>
      </c>
      <c r="B308" s="40" t="str">
        <f aca="false">IF(INDEX(BookTitle,303)="","",INDEX(BookRef,303))</f>
        <v/>
      </c>
      <c r="C308" s="40" t="str">
        <f aca="false">IF(INDEX(BookTitle,303)="","",INDEX(BookDivision,303))</f>
        <v/>
      </c>
      <c r="D308" s="40" t="str">
        <f aca="false">IF(INDEX(BookTitle,303)="","",INDEX(BookUnit,303))</f>
        <v/>
      </c>
      <c r="E308" s="40" t="str">
        <f aca="false">IF(INDEX(BookTitle,303)="","",INDEX(BookTitle,303))</f>
        <v/>
      </c>
      <c r="F308" s="40" t="str">
        <f aca="false">IF(INDEX(BookTitle,303)="","",INDEX(BookLevel,303))</f>
        <v/>
      </c>
      <c r="G308" s="40" t="str">
        <f aca="false">IF(INDEX(BookTitle,303)="","",INDEX(BookCategory,303))</f>
        <v/>
      </c>
      <c r="H308" s="40" t="str">
        <f aca="false">IF(INDEX(BookTitle,303)="","",INDEX(BookRank,303))</f>
        <v/>
      </c>
      <c r="I308" s="41" t="str">
        <f aca="false">IF(INDEX(BookTitle,303)="","",INDEX(BookTotal,303))</f>
        <v/>
      </c>
      <c r="J308" s="0" t="str">
        <f aca="false">IF($I308="","",IF(INDEX(BookQ1,303)&gt;0,"Q1",IF(INDEX(BookQ2,303)&gt;0,"Q2",IF(INDEX(BookQ3,303)&gt;0,"Q3",IF(INDEX(BookQ4,303)&gt;0,"Q4","")))))</f>
        <v/>
      </c>
      <c r="K308" s="42" t="str">
        <f aca="false">IF(INDEX(BookTitle,303)="","",INDEX(BookInYear,303))</f>
        <v/>
      </c>
      <c r="L308" s="19"/>
      <c r="M308" s="39"/>
      <c r="N308" s="19"/>
      <c r="O308" s="19"/>
      <c r="P308" s="43" t="str">
        <f aca="false">IF($E308="","",IF($L308="Decline",0,IF($L308="Approve fewer",IF($M308="","",$M308),IF($L308="","",$I308))))</f>
        <v/>
      </c>
      <c r="Q308" s="34" t="str">
        <f aca="false">IF($P308="","",IF($N308&lt;&gt;"",$N308,$J308))</f>
        <v/>
      </c>
      <c r="R308" s="35" t="str">
        <f aca="false">IF(OR($P308="",$Q308=""),"",INDEX(BookRate,303)*$P308*(5-MATCH($Q308,{"Q1";"Q2";"Q3";"Q4"},0))/4+INDEX(BookOneOff,303)*$P308)</f>
        <v/>
      </c>
      <c r="S308" s="35" t="str">
        <f aca="false">IF($P308="","",INDEX(BookRate,303)*$P308)</f>
        <v/>
      </c>
      <c r="T308" s="35" t="str">
        <f aca="false">IF($R308="","",$R308-$K308)</f>
        <v/>
      </c>
      <c r="U308" s="35" t="str">
        <f aca="false">IF(N($P308)&lt;=0,"",COUNTIF($P$6:$P308,"&gt;0"))</f>
        <v/>
      </c>
    </row>
    <row r="309" customFormat="false" ht="15" hidden="false" customHeight="false" outlineLevel="0" collapsed="false">
      <c r="A309" s="40" t="str">
        <f aca="false">IF(INDEX(BookTitle,304)="","",INDEX(BookGroup,304))</f>
        <v/>
      </c>
      <c r="B309" s="40" t="str">
        <f aca="false">IF(INDEX(BookTitle,304)="","",INDEX(BookRef,304))</f>
        <v/>
      </c>
      <c r="C309" s="40" t="str">
        <f aca="false">IF(INDEX(BookTitle,304)="","",INDEX(BookDivision,304))</f>
        <v/>
      </c>
      <c r="D309" s="40" t="str">
        <f aca="false">IF(INDEX(BookTitle,304)="","",INDEX(BookUnit,304))</f>
        <v/>
      </c>
      <c r="E309" s="40" t="str">
        <f aca="false">IF(INDEX(BookTitle,304)="","",INDEX(BookTitle,304))</f>
        <v/>
      </c>
      <c r="F309" s="40" t="str">
        <f aca="false">IF(INDEX(BookTitle,304)="","",INDEX(BookLevel,304))</f>
        <v/>
      </c>
      <c r="G309" s="40" t="str">
        <f aca="false">IF(INDEX(BookTitle,304)="","",INDEX(BookCategory,304))</f>
        <v/>
      </c>
      <c r="H309" s="40" t="str">
        <f aca="false">IF(INDEX(BookTitle,304)="","",INDEX(BookRank,304))</f>
        <v/>
      </c>
      <c r="I309" s="41" t="str">
        <f aca="false">IF(INDEX(BookTitle,304)="","",INDEX(BookTotal,304))</f>
        <v/>
      </c>
      <c r="J309" s="0" t="str">
        <f aca="false">IF($I309="","",IF(INDEX(BookQ1,304)&gt;0,"Q1",IF(INDEX(BookQ2,304)&gt;0,"Q2",IF(INDEX(BookQ3,304)&gt;0,"Q3",IF(INDEX(BookQ4,304)&gt;0,"Q4","")))))</f>
        <v/>
      </c>
      <c r="K309" s="42" t="str">
        <f aca="false">IF(INDEX(BookTitle,304)="","",INDEX(BookInYear,304))</f>
        <v/>
      </c>
      <c r="L309" s="19"/>
      <c r="M309" s="39"/>
      <c r="N309" s="19"/>
      <c r="O309" s="19"/>
      <c r="P309" s="43" t="str">
        <f aca="false">IF($E309="","",IF($L309="Decline",0,IF($L309="Approve fewer",IF($M309="","",$M309),IF($L309="","",$I309))))</f>
        <v/>
      </c>
      <c r="Q309" s="34" t="str">
        <f aca="false">IF($P309="","",IF($N309&lt;&gt;"",$N309,$J309))</f>
        <v/>
      </c>
      <c r="R309" s="35" t="str">
        <f aca="false">IF(OR($P309="",$Q309=""),"",INDEX(BookRate,304)*$P309*(5-MATCH($Q309,{"Q1";"Q2";"Q3";"Q4"},0))/4+INDEX(BookOneOff,304)*$P309)</f>
        <v/>
      </c>
      <c r="S309" s="35" t="str">
        <f aca="false">IF($P309="","",INDEX(BookRate,304)*$P309)</f>
        <v/>
      </c>
      <c r="T309" s="35" t="str">
        <f aca="false">IF($R309="","",$R309-$K309)</f>
        <v/>
      </c>
      <c r="U309" s="35" t="str">
        <f aca="false">IF(N($P309)&lt;=0,"",COUNTIF($P$6:$P309,"&gt;0"))</f>
        <v/>
      </c>
    </row>
    <row r="310" customFormat="false" ht="15" hidden="false" customHeight="false" outlineLevel="0" collapsed="false">
      <c r="A310" s="40" t="str">
        <f aca="false">IF(INDEX(BookTitle,305)="","",INDEX(BookGroup,305))</f>
        <v/>
      </c>
      <c r="B310" s="40" t="str">
        <f aca="false">IF(INDEX(BookTitle,305)="","",INDEX(BookRef,305))</f>
        <v/>
      </c>
      <c r="C310" s="40" t="str">
        <f aca="false">IF(INDEX(BookTitle,305)="","",INDEX(BookDivision,305))</f>
        <v/>
      </c>
      <c r="D310" s="40" t="str">
        <f aca="false">IF(INDEX(BookTitle,305)="","",INDEX(BookUnit,305))</f>
        <v/>
      </c>
      <c r="E310" s="40" t="str">
        <f aca="false">IF(INDEX(BookTitle,305)="","",INDEX(BookTitle,305))</f>
        <v/>
      </c>
      <c r="F310" s="40" t="str">
        <f aca="false">IF(INDEX(BookTitle,305)="","",INDEX(BookLevel,305))</f>
        <v/>
      </c>
      <c r="G310" s="40" t="str">
        <f aca="false">IF(INDEX(BookTitle,305)="","",INDEX(BookCategory,305))</f>
        <v/>
      </c>
      <c r="H310" s="40" t="str">
        <f aca="false">IF(INDEX(BookTitle,305)="","",INDEX(BookRank,305))</f>
        <v/>
      </c>
      <c r="I310" s="41" t="str">
        <f aca="false">IF(INDEX(BookTitle,305)="","",INDEX(BookTotal,305))</f>
        <v/>
      </c>
      <c r="J310" s="0" t="str">
        <f aca="false">IF($I310="","",IF(INDEX(BookQ1,305)&gt;0,"Q1",IF(INDEX(BookQ2,305)&gt;0,"Q2",IF(INDEX(BookQ3,305)&gt;0,"Q3",IF(INDEX(BookQ4,305)&gt;0,"Q4","")))))</f>
        <v/>
      </c>
      <c r="K310" s="42" t="str">
        <f aca="false">IF(INDEX(BookTitle,305)="","",INDEX(BookInYear,305))</f>
        <v/>
      </c>
      <c r="L310" s="19"/>
      <c r="M310" s="39"/>
      <c r="N310" s="19"/>
      <c r="O310" s="19"/>
      <c r="P310" s="43" t="str">
        <f aca="false">IF($E310="","",IF($L310="Decline",0,IF($L310="Approve fewer",IF($M310="","",$M310),IF($L310="","",$I310))))</f>
        <v/>
      </c>
      <c r="Q310" s="34" t="str">
        <f aca="false">IF($P310="","",IF($N310&lt;&gt;"",$N310,$J310))</f>
        <v/>
      </c>
      <c r="R310" s="35" t="str">
        <f aca="false">IF(OR($P310="",$Q310=""),"",INDEX(BookRate,305)*$P310*(5-MATCH($Q310,{"Q1";"Q2";"Q3";"Q4"},0))/4+INDEX(BookOneOff,305)*$P310)</f>
        <v/>
      </c>
      <c r="S310" s="35" t="str">
        <f aca="false">IF($P310="","",INDEX(BookRate,305)*$P310)</f>
        <v/>
      </c>
      <c r="T310" s="35" t="str">
        <f aca="false">IF($R310="","",$R310-$K310)</f>
        <v/>
      </c>
      <c r="U310" s="35" t="str">
        <f aca="false">IF(N($P310)&lt;=0,"",COUNTIF($P$6:$P310,"&gt;0"))</f>
        <v/>
      </c>
    </row>
    <row r="311" customFormat="false" ht="15" hidden="false" customHeight="false" outlineLevel="0" collapsed="false">
      <c r="A311" s="40" t="str">
        <f aca="false">IF(INDEX(BookTitle,306)="","",INDEX(BookGroup,306))</f>
        <v/>
      </c>
      <c r="B311" s="40" t="str">
        <f aca="false">IF(INDEX(BookTitle,306)="","",INDEX(BookRef,306))</f>
        <v/>
      </c>
      <c r="C311" s="40" t="str">
        <f aca="false">IF(INDEX(BookTitle,306)="","",INDEX(BookDivision,306))</f>
        <v/>
      </c>
      <c r="D311" s="40" t="str">
        <f aca="false">IF(INDEX(BookTitle,306)="","",INDEX(BookUnit,306))</f>
        <v/>
      </c>
      <c r="E311" s="40" t="str">
        <f aca="false">IF(INDEX(BookTitle,306)="","",INDEX(BookTitle,306))</f>
        <v/>
      </c>
      <c r="F311" s="40" t="str">
        <f aca="false">IF(INDEX(BookTitle,306)="","",INDEX(BookLevel,306))</f>
        <v/>
      </c>
      <c r="G311" s="40" t="str">
        <f aca="false">IF(INDEX(BookTitle,306)="","",INDEX(BookCategory,306))</f>
        <v/>
      </c>
      <c r="H311" s="40" t="str">
        <f aca="false">IF(INDEX(BookTitle,306)="","",INDEX(BookRank,306))</f>
        <v/>
      </c>
      <c r="I311" s="41" t="str">
        <f aca="false">IF(INDEX(BookTitle,306)="","",INDEX(BookTotal,306))</f>
        <v/>
      </c>
      <c r="J311" s="0" t="str">
        <f aca="false">IF($I311="","",IF(INDEX(BookQ1,306)&gt;0,"Q1",IF(INDEX(BookQ2,306)&gt;0,"Q2",IF(INDEX(BookQ3,306)&gt;0,"Q3",IF(INDEX(BookQ4,306)&gt;0,"Q4","")))))</f>
        <v/>
      </c>
      <c r="K311" s="42" t="str">
        <f aca="false">IF(INDEX(BookTitle,306)="","",INDEX(BookInYear,306))</f>
        <v/>
      </c>
      <c r="L311" s="19"/>
      <c r="M311" s="39"/>
      <c r="N311" s="19"/>
      <c r="O311" s="19"/>
      <c r="P311" s="43" t="str">
        <f aca="false">IF($E311="","",IF($L311="Decline",0,IF($L311="Approve fewer",IF($M311="","",$M311),IF($L311="","",$I311))))</f>
        <v/>
      </c>
      <c r="Q311" s="34" t="str">
        <f aca="false">IF($P311="","",IF($N311&lt;&gt;"",$N311,$J311))</f>
        <v/>
      </c>
      <c r="R311" s="35" t="str">
        <f aca="false">IF(OR($P311="",$Q311=""),"",INDEX(BookRate,306)*$P311*(5-MATCH($Q311,{"Q1";"Q2";"Q3";"Q4"},0))/4+INDEX(BookOneOff,306)*$P311)</f>
        <v/>
      </c>
      <c r="S311" s="35" t="str">
        <f aca="false">IF($P311="","",INDEX(BookRate,306)*$P311)</f>
        <v/>
      </c>
      <c r="T311" s="35" t="str">
        <f aca="false">IF($R311="","",$R311-$K311)</f>
        <v/>
      </c>
      <c r="U311" s="35" t="str">
        <f aca="false">IF(N($P311)&lt;=0,"",COUNTIF($P$6:$P311,"&gt;0"))</f>
        <v/>
      </c>
    </row>
    <row r="312" customFormat="false" ht="15" hidden="false" customHeight="false" outlineLevel="0" collapsed="false">
      <c r="A312" s="40" t="str">
        <f aca="false">IF(INDEX(BookTitle,307)="","",INDEX(BookGroup,307))</f>
        <v/>
      </c>
      <c r="B312" s="40" t="str">
        <f aca="false">IF(INDEX(BookTitle,307)="","",INDEX(BookRef,307))</f>
        <v/>
      </c>
      <c r="C312" s="40" t="str">
        <f aca="false">IF(INDEX(BookTitle,307)="","",INDEX(BookDivision,307))</f>
        <v/>
      </c>
      <c r="D312" s="40" t="str">
        <f aca="false">IF(INDEX(BookTitle,307)="","",INDEX(BookUnit,307))</f>
        <v/>
      </c>
      <c r="E312" s="40" t="str">
        <f aca="false">IF(INDEX(BookTitle,307)="","",INDEX(BookTitle,307))</f>
        <v/>
      </c>
      <c r="F312" s="40" t="str">
        <f aca="false">IF(INDEX(BookTitle,307)="","",INDEX(BookLevel,307))</f>
        <v/>
      </c>
      <c r="G312" s="40" t="str">
        <f aca="false">IF(INDEX(BookTitle,307)="","",INDEX(BookCategory,307))</f>
        <v/>
      </c>
      <c r="H312" s="40" t="str">
        <f aca="false">IF(INDEX(BookTitle,307)="","",INDEX(BookRank,307))</f>
        <v/>
      </c>
      <c r="I312" s="41" t="str">
        <f aca="false">IF(INDEX(BookTitle,307)="","",INDEX(BookTotal,307))</f>
        <v/>
      </c>
      <c r="J312" s="0" t="str">
        <f aca="false">IF($I312="","",IF(INDEX(BookQ1,307)&gt;0,"Q1",IF(INDEX(BookQ2,307)&gt;0,"Q2",IF(INDEX(BookQ3,307)&gt;0,"Q3",IF(INDEX(BookQ4,307)&gt;0,"Q4","")))))</f>
        <v/>
      </c>
      <c r="K312" s="42" t="str">
        <f aca="false">IF(INDEX(BookTitle,307)="","",INDEX(BookInYear,307))</f>
        <v/>
      </c>
      <c r="L312" s="19"/>
      <c r="M312" s="39"/>
      <c r="N312" s="19"/>
      <c r="O312" s="19"/>
      <c r="P312" s="43" t="str">
        <f aca="false">IF($E312="","",IF($L312="Decline",0,IF($L312="Approve fewer",IF($M312="","",$M312),IF($L312="","",$I312))))</f>
        <v/>
      </c>
      <c r="Q312" s="34" t="str">
        <f aca="false">IF($P312="","",IF($N312&lt;&gt;"",$N312,$J312))</f>
        <v/>
      </c>
      <c r="R312" s="35" t="str">
        <f aca="false">IF(OR($P312="",$Q312=""),"",INDEX(BookRate,307)*$P312*(5-MATCH($Q312,{"Q1";"Q2";"Q3";"Q4"},0))/4+INDEX(BookOneOff,307)*$P312)</f>
        <v/>
      </c>
      <c r="S312" s="35" t="str">
        <f aca="false">IF($P312="","",INDEX(BookRate,307)*$P312)</f>
        <v/>
      </c>
      <c r="T312" s="35" t="str">
        <f aca="false">IF($R312="","",$R312-$K312)</f>
        <v/>
      </c>
      <c r="U312" s="35" t="str">
        <f aca="false">IF(N($P312)&lt;=0,"",COUNTIF($P$6:$P312,"&gt;0"))</f>
        <v/>
      </c>
    </row>
    <row r="313" customFormat="false" ht="15" hidden="false" customHeight="false" outlineLevel="0" collapsed="false">
      <c r="A313" s="40" t="str">
        <f aca="false">IF(INDEX(BookTitle,308)="","",INDEX(BookGroup,308))</f>
        <v/>
      </c>
      <c r="B313" s="40" t="str">
        <f aca="false">IF(INDEX(BookTitle,308)="","",INDEX(BookRef,308))</f>
        <v/>
      </c>
      <c r="C313" s="40" t="str">
        <f aca="false">IF(INDEX(BookTitle,308)="","",INDEX(BookDivision,308))</f>
        <v/>
      </c>
      <c r="D313" s="40" t="str">
        <f aca="false">IF(INDEX(BookTitle,308)="","",INDEX(BookUnit,308))</f>
        <v/>
      </c>
      <c r="E313" s="40" t="str">
        <f aca="false">IF(INDEX(BookTitle,308)="","",INDEX(BookTitle,308))</f>
        <v/>
      </c>
      <c r="F313" s="40" t="str">
        <f aca="false">IF(INDEX(BookTitle,308)="","",INDEX(BookLevel,308))</f>
        <v/>
      </c>
      <c r="G313" s="40" t="str">
        <f aca="false">IF(INDEX(BookTitle,308)="","",INDEX(BookCategory,308))</f>
        <v/>
      </c>
      <c r="H313" s="40" t="str">
        <f aca="false">IF(INDEX(BookTitle,308)="","",INDEX(BookRank,308))</f>
        <v/>
      </c>
      <c r="I313" s="41" t="str">
        <f aca="false">IF(INDEX(BookTitle,308)="","",INDEX(BookTotal,308))</f>
        <v/>
      </c>
      <c r="J313" s="0" t="str">
        <f aca="false">IF($I313="","",IF(INDEX(BookQ1,308)&gt;0,"Q1",IF(INDEX(BookQ2,308)&gt;0,"Q2",IF(INDEX(BookQ3,308)&gt;0,"Q3",IF(INDEX(BookQ4,308)&gt;0,"Q4","")))))</f>
        <v/>
      </c>
      <c r="K313" s="42" t="str">
        <f aca="false">IF(INDEX(BookTitle,308)="","",INDEX(BookInYear,308))</f>
        <v/>
      </c>
      <c r="L313" s="19"/>
      <c r="M313" s="39"/>
      <c r="N313" s="19"/>
      <c r="O313" s="19"/>
      <c r="P313" s="43" t="str">
        <f aca="false">IF($E313="","",IF($L313="Decline",0,IF($L313="Approve fewer",IF($M313="","",$M313),IF($L313="","",$I313))))</f>
        <v/>
      </c>
      <c r="Q313" s="34" t="str">
        <f aca="false">IF($P313="","",IF($N313&lt;&gt;"",$N313,$J313))</f>
        <v/>
      </c>
      <c r="R313" s="35" t="str">
        <f aca="false">IF(OR($P313="",$Q313=""),"",INDEX(BookRate,308)*$P313*(5-MATCH($Q313,{"Q1";"Q2";"Q3";"Q4"},0))/4+INDEX(BookOneOff,308)*$P313)</f>
        <v/>
      </c>
      <c r="S313" s="35" t="str">
        <f aca="false">IF($P313="","",INDEX(BookRate,308)*$P313)</f>
        <v/>
      </c>
      <c r="T313" s="35" t="str">
        <f aca="false">IF($R313="","",$R313-$K313)</f>
        <v/>
      </c>
      <c r="U313" s="35" t="str">
        <f aca="false">IF(N($P313)&lt;=0,"",COUNTIF($P$6:$P313,"&gt;0"))</f>
        <v/>
      </c>
    </row>
    <row r="314" customFormat="false" ht="15" hidden="false" customHeight="false" outlineLevel="0" collapsed="false">
      <c r="A314" s="40" t="str">
        <f aca="false">IF(INDEX(BookTitle,309)="","",INDEX(BookGroup,309))</f>
        <v/>
      </c>
      <c r="B314" s="40" t="str">
        <f aca="false">IF(INDEX(BookTitle,309)="","",INDEX(BookRef,309))</f>
        <v/>
      </c>
      <c r="C314" s="40" t="str">
        <f aca="false">IF(INDEX(BookTitle,309)="","",INDEX(BookDivision,309))</f>
        <v/>
      </c>
      <c r="D314" s="40" t="str">
        <f aca="false">IF(INDEX(BookTitle,309)="","",INDEX(BookUnit,309))</f>
        <v/>
      </c>
      <c r="E314" s="40" t="str">
        <f aca="false">IF(INDEX(BookTitle,309)="","",INDEX(BookTitle,309))</f>
        <v/>
      </c>
      <c r="F314" s="40" t="str">
        <f aca="false">IF(INDEX(BookTitle,309)="","",INDEX(BookLevel,309))</f>
        <v/>
      </c>
      <c r="G314" s="40" t="str">
        <f aca="false">IF(INDEX(BookTitle,309)="","",INDEX(BookCategory,309))</f>
        <v/>
      </c>
      <c r="H314" s="40" t="str">
        <f aca="false">IF(INDEX(BookTitle,309)="","",INDEX(BookRank,309))</f>
        <v/>
      </c>
      <c r="I314" s="41" t="str">
        <f aca="false">IF(INDEX(BookTitle,309)="","",INDEX(BookTotal,309))</f>
        <v/>
      </c>
      <c r="J314" s="0" t="str">
        <f aca="false">IF($I314="","",IF(INDEX(BookQ1,309)&gt;0,"Q1",IF(INDEX(BookQ2,309)&gt;0,"Q2",IF(INDEX(BookQ3,309)&gt;0,"Q3",IF(INDEX(BookQ4,309)&gt;0,"Q4","")))))</f>
        <v/>
      </c>
      <c r="K314" s="42" t="str">
        <f aca="false">IF(INDEX(BookTitle,309)="","",INDEX(BookInYear,309))</f>
        <v/>
      </c>
      <c r="L314" s="19"/>
      <c r="M314" s="39"/>
      <c r="N314" s="19"/>
      <c r="O314" s="19"/>
      <c r="P314" s="43" t="str">
        <f aca="false">IF($E314="","",IF($L314="Decline",0,IF($L314="Approve fewer",IF($M314="","",$M314),IF($L314="","",$I314))))</f>
        <v/>
      </c>
      <c r="Q314" s="34" t="str">
        <f aca="false">IF($P314="","",IF($N314&lt;&gt;"",$N314,$J314))</f>
        <v/>
      </c>
      <c r="R314" s="35" t="str">
        <f aca="false">IF(OR($P314="",$Q314=""),"",INDEX(BookRate,309)*$P314*(5-MATCH($Q314,{"Q1";"Q2";"Q3";"Q4"},0))/4+INDEX(BookOneOff,309)*$P314)</f>
        <v/>
      </c>
      <c r="S314" s="35" t="str">
        <f aca="false">IF($P314="","",INDEX(BookRate,309)*$P314)</f>
        <v/>
      </c>
      <c r="T314" s="35" t="str">
        <f aca="false">IF($R314="","",$R314-$K314)</f>
        <v/>
      </c>
      <c r="U314" s="35" t="str">
        <f aca="false">IF(N($P314)&lt;=0,"",COUNTIF($P$6:$P314,"&gt;0"))</f>
        <v/>
      </c>
    </row>
    <row r="315" customFormat="false" ht="15" hidden="false" customHeight="false" outlineLevel="0" collapsed="false">
      <c r="A315" s="40" t="str">
        <f aca="false">IF(INDEX(BookTitle,310)="","",INDEX(BookGroup,310))</f>
        <v/>
      </c>
      <c r="B315" s="40" t="str">
        <f aca="false">IF(INDEX(BookTitle,310)="","",INDEX(BookRef,310))</f>
        <v/>
      </c>
      <c r="C315" s="40" t="str">
        <f aca="false">IF(INDEX(BookTitle,310)="","",INDEX(BookDivision,310))</f>
        <v/>
      </c>
      <c r="D315" s="40" t="str">
        <f aca="false">IF(INDEX(BookTitle,310)="","",INDEX(BookUnit,310))</f>
        <v/>
      </c>
      <c r="E315" s="40" t="str">
        <f aca="false">IF(INDEX(BookTitle,310)="","",INDEX(BookTitle,310))</f>
        <v/>
      </c>
      <c r="F315" s="40" t="str">
        <f aca="false">IF(INDEX(BookTitle,310)="","",INDEX(BookLevel,310))</f>
        <v/>
      </c>
      <c r="G315" s="40" t="str">
        <f aca="false">IF(INDEX(BookTitle,310)="","",INDEX(BookCategory,310))</f>
        <v/>
      </c>
      <c r="H315" s="40" t="str">
        <f aca="false">IF(INDEX(BookTitle,310)="","",INDEX(BookRank,310))</f>
        <v/>
      </c>
      <c r="I315" s="41" t="str">
        <f aca="false">IF(INDEX(BookTitle,310)="","",INDEX(BookTotal,310))</f>
        <v/>
      </c>
      <c r="J315" s="0" t="str">
        <f aca="false">IF($I315="","",IF(INDEX(BookQ1,310)&gt;0,"Q1",IF(INDEX(BookQ2,310)&gt;0,"Q2",IF(INDEX(BookQ3,310)&gt;0,"Q3",IF(INDEX(BookQ4,310)&gt;0,"Q4","")))))</f>
        <v/>
      </c>
      <c r="K315" s="42" t="str">
        <f aca="false">IF(INDEX(BookTitle,310)="","",INDEX(BookInYear,310))</f>
        <v/>
      </c>
      <c r="L315" s="19"/>
      <c r="M315" s="39"/>
      <c r="N315" s="19"/>
      <c r="O315" s="19"/>
      <c r="P315" s="43" t="str">
        <f aca="false">IF($E315="","",IF($L315="Decline",0,IF($L315="Approve fewer",IF($M315="","",$M315),IF($L315="","",$I315))))</f>
        <v/>
      </c>
      <c r="Q315" s="34" t="str">
        <f aca="false">IF($P315="","",IF($N315&lt;&gt;"",$N315,$J315))</f>
        <v/>
      </c>
      <c r="R315" s="35" t="str">
        <f aca="false">IF(OR($P315="",$Q315=""),"",INDEX(BookRate,310)*$P315*(5-MATCH($Q315,{"Q1";"Q2";"Q3";"Q4"},0))/4+INDEX(BookOneOff,310)*$P315)</f>
        <v/>
      </c>
      <c r="S315" s="35" t="str">
        <f aca="false">IF($P315="","",INDEX(BookRate,310)*$P315)</f>
        <v/>
      </c>
      <c r="T315" s="35" t="str">
        <f aca="false">IF($R315="","",$R315-$K315)</f>
        <v/>
      </c>
      <c r="U315" s="35" t="str">
        <f aca="false">IF(N($P315)&lt;=0,"",COUNTIF($P$6:$P315,"&gt;0"))</f>
        <v/>
      </c>
    </row>
    <row r="316" customFormat="false" ht="15" hidden="false" customHeight="false" outlineLevel="0" collapsed="false">
      <c r="A316" s="40" t="str">
        <f aca="false">IF(INDEX(BookTitle,311)="","",INDEX(BookGroup,311))</f>
        <v/>
      </c>
      <c r="B316" s="40" t="str">
        <f aca="false">IF(INDEX(BookTitle,311)="","",INDEX(BookRef,311))</f>
        <v/>
      </c>
      <c r="C316" s="40" t="str">
        <f aca="false">IF(INDEX(BookTitle,311)="","",INDEX(BookDivision,311))</f>
        <v/>
      </c>
      <c r="D316" s="40" t="str">
        <f aca="false">IF(INDEX(BookTitle,311)="","",INDEX(BookUnit,311))</f>
        <v/>
      </c>
      <c r="E316" s="40" t="str">
        <f aca="false">IF(INDEX(BookTitle,311)="","",INDEX(BookTitle,311))</f>
        <v/>
      </c>
      <c r="F316" s="40" t="str">
        <f aca="false">IF(INDEX(BookTitle,311)="","",INDEX(BookLevel,311))</f>
        <v/>
      </c>
      <c r="G316" s="40" t="str">
        <f aca="false">IF(INDEX(BookTitle,311)="","",INDEX(BookCategory,311))</f>
        <v/>
      </c>
      <c r="H316" s="40" t="str">
        <f aca="false">IF(INDEX(BookTitle,311)="","",INDEX(BookRank,311))</f>
        <v/>
      </c>
      <c r="I316" s="41" t="str">
        <f aca="false">IF(INDEX(BookTitle,311)="","",INDEX(BookTotal,311))</f>
        <v/>
      </c>
      <c r="J316" s="0" t="str">
        <f aca="false">IF($I316="","",IF(INDEX(BookQ1,311)&gt;0,"Q1",IF(INDEX(BookQ2,311)&gt;0,"Q2",IF(INDEX(BookQ3,311)&gt;0,"Q3",IF(INDEX(BookQ4,311)&gt;0,"Q4","")))))</f>
        <v/>
      </c>
      <c r="K316" s="42" t="str">
        <f aca="false">IF(INDEX(BookTitle,311)="","",INDEX(BookInYear,311))</f>
        <v/>
      </c>
      <c r="L316" s="19"/>
      <c r="M316" s="39"/>
      <c r="N316" s="19"/>
      <c r="O316" s="19"/>
      <c r="P316" s="43" t="str">
        <f aca="false">IF($E316="","",IF($L316="Decline",0,IF($L316="Approve fewer",IF($M316="","",$M316),IF($L316="","",$I316))))</f>
        <v/>
      </c>
      <c r="Q316" s="34" t="str">
        <f aca="false">IF($P316="","",IF($N316&lt;&gt;"",$N316,$J316))</f>
        <v/>
      </c>
      <c r="R316" s="35" t="str">
        <f aca="false">IF(OR($P316="",$Q316=""),"",INDEX(BookRate,311)*$P316*(5-MATCH($Q316,{"Q1";"Q2";"Q3";"Q4"},0))/4+INDEX(BookOneOff,311)*$P316)</f>
        <v/>
      </c>
      <c r="S316" s="35" t="str">
        <f aca="false">IF($P316="","",INDEX(BookRate,311)*$P316)</f>
        <v/>
      </c>
      <c r="T316" s="35" t="str">
        <f aca="false">IF($R316="","",$R316-$K316)</f>
        <v/>
      </c>
      <c r="U316" s="35" t="str">
        <f aca="false">IF(N($P316)&lt;=0,"",COUNTIF($P$6:$P316,"&gt;0"))</f>
        <v/>
      </c>
    </row>
    <row r="317" customFormat="false" ht="15" hidden="false" customHeight="false" outlineLevel="0" collapsed="false">
      <c r="A317" s="40" t="str">
        <f aca="false">IF(INDEX(BookTitle,312)="","",INDEX(BookGroup,312))</f>
        <v/>
      </c>
      <c r="B317" s="40" t="str">
        <f aca="false">IF(INDEX(BookTitle,312)="","",INDEX(BookRef,312))</f>
        <v/>
      </c>
      <c r="C317" s="40" t="str">
        <f aca="false">IF(INDEX(BookTitle,312)="","",INDEX(BookDivision,312))</f>
        <v/>
      </c>
      <c r="D317" s="40" t="str">
        <f aca="false">IF(INDEX(BookTitle,312)="","",INDEX(BookUnit,312))</f>
        <v/>
      </c>
      <c r="E317" s="40" t="str">
        <f aca="false">IF(INDEX(BookTitle,312)="","",INDEX(BookTitle,312))</f>
        <v/>
      </c>
      <c r="F317" s="40" t="str">
        <f aca="false">IF(INDEX(BookTitle,312)="","",INDEX(BookLevel,312))</f>
        <v/>
      </c>
      <c r="G317" s="40" t="str">
        <f aca="false">IF(INDEX(BookTitle,312)="","",INDEX(BookCategory,312))</f>
        <v/>
      </c>
      <c r="H317" s="40" t="str">
        <f aca="false">IF(INDEX(BookTitle,312)="","",INDEX(BookRank,312))</f>
        <v/>
      </c>
      <c r="I317" s="41" t="str">
        <f aca="false">IF(INDEX(BookTitle,312)="","",INDEX(BookTotal,312))</f>
        <v/>
      </c>
      <c r="J317" s="0" t="str">
        <f aca="false">IF($I317="","",IF(INDEX(BookQ1,312)&gt;0,"Q1",IF(INDEX(BookQ2,312)&gt;0,"Q2",IF(INDEX(BookQ3,312)&gt;0,"Q3",IF(INDEX(BookQ4,312)&gt;0,"Q4","")))))</f>
        <v/>
      </c>
      <c r="K317" s="42" t="str">
        <f aca="false">IF(INDEX(BookTitle,312)="","",INDEX(BookInYear,312))</f>
        <v/>
      </c>
      <c r="L317" s="19"/>
      <c r="M317" s="39"/>
      <c r="N317" s="19"/>
      <c r="O317" s="19"/>
      <c r="P317" s="43" t="str">
        <f aca="false">IF($E317="","",IF($L317="Decline",0,IF($L317="Approve fewer",IF($M317="","",$M317),IF($L317="","",$I317))))</f>
        <v/>
      </c>
      <c r="Q317" s="34" t="str">
        <f aca="false">IF($P317="","",IF($N317&lt;&gt;"",$N317,$J317))</f>
        <v/>
      </c>
      <c r="R317" s="35" t="str">
        <f aca="false">IF(OR($P317="",$Q317=""),"",INDEX(BookRate,312)*$P317*(5-MATCH($Q317,{"Q1";"Q2";"Q3";"Q4"},0))/4+INDEX(BookOneOff,312)*$P317)</f>
        <v/>
      </c>
      <c r="S317" s="35" t="str">
        <f aca="false">IF($P317="","",INDEX(BookRate,312)*$P317)</f>
        <v/>
      </c>
      <c r="T317" s="35" t="str">
        <f aca="false">IF($R317="","",$R317-$K317)</f>
        <v/>
      </c>
      <c r="U317" s="35" t="str">
        <f aca="false">IF(N($P317)&lt;=0,"",COUNTIF($P$6:$P317,"&gt;0"))</f>
        <v/>
      </c>
    </row>
    <row r="318" customFormat="false" ht="15" hidden="false" customHeight="false" outlineLevel="0" collapsed="false">
      <c r="A318" s="40" t="str">
        <f aca="false">IF(INDEX(BookTitle,313)="","",INDEX(BookGroup,313))</f>
        <v/>
      </c>
      <c r="B318" s="40" t="str">
        <f aca="false">IF(INDEX(BookTitle,313)="","",INDEX(BookRef,313))</f>
        <v/>
      </c>
      <c r="C318" s="40" t="str">
        <f aca="false">IF(INDEX(BookTitle,313)="","",INDEX(BookDivision,313))</f>
        <v/>
      </c>
      <c r="D318" s="40" t="str">
        <f aca="false">IF(INDEX(BookTitle,313)="","",INDEX(BookUnit,313))</f>
        <v/>
      </c>
      <c r="E318" s="40" t="str">
        <f aca="false">IF(INDEX(BookTitle,313)="","",INDEX(BookTitle,313))</f>
        <v/>
      </c>
      <c r="F318" s="40" t="str">
        <f aca="false">IF(INDEX(BookTitle,313)="","",INDEX(BookLevel,313))</f>
        <v/>
      </c>
      <c r="G318" s="40" t="str">
        <f aca="false">IF(INDEX(BookTitle,313)="","",INDEX(BookCategory,313))</f>
        <v/>
      </c>
      <c r="H318" s="40" t="str">
        <f aca="false">IF(INDEX(BookTitle,313)="","",INDEX(BookRank,313))</f>
        <v/>
      </c>
      <c r="I318" s="41" t="str">
        <f aca="false">IF(INDEX(BookTitle,313)="","",INDEX(BookTotal,313))</f>
        <v/>
      </c>
      <c r="J318" s="0" t="str">
        <f aca="false">IF($I318="","",IF(INDEX(BookQ1,313)&gt;0,"Q1",IF(INDEX(BookQ2,313)&gt;0,"Q2",IF(INDEX(BookQ3,313)&gt;0,"Q3",IF(INDEX(BookQ4,313)&gt;0,"Q4","")))))</f>
        <v/>
      </c>
      <c r="K318" s="42" t="str">
        <f aca="false">IF(INDEX(BookTitle,313)="","",INDEX(BookInYear,313))</f>
        <v/>
      </c>
      <c r="L318" s="19"/>
      <c r="M318" s="39"/>
      <c r="N318" s="19"/>
      <c r="O318" s="19"/>
      <c r="P318" s="43" t="str">
        <f aca="false">IF($E318="","",IF($L318="Decline",0,IF($L318="Approve fewer",IF($M318="","",$M318),IF($L318="","",$I318))))</f>
        <v/>
      </c>
      <c r="Q318" s="34" t="str">
        <f aca="false">IF($P318="","",IF($N318&lt;&gt;"",$N318,$J318))</f>
        <v/>
      </c>
      <c r="R318" s="35" t="str">
        <f aca="false">IF(OR($P318="",$Q318=""),"",INDEX(BookRate,313)*$P318*(5-MATCH($Q318,{"Q1";"Q2";"Q3";"Q4"},0))/4+INDEX(BookOneOff,313)*$P318)</f>
        <v/>
      </c>
      <c r="S318" s="35" t="str">
        <f aca="false">IF($P318="","",INDEX(BookRate,313)*$P318)</f>
        <v/>
      </c>
      <c r="T318" s="35" t="str">
        <f aca="false">IF($R318="","",$R318-$K318)</f>
        <v/>
      </c>
      <c r="U318" s="35" t="str">
        <f aca="false">IF(N($P318)&lt;=0,"",COUNTIF($P$6:$P318,"&gt;0"))</f>
        <v/>
      </c>
    </row>
    <row r="319" customFormat="false" ht="15" hidden="false" customHeight="false" outlineLevel="0" collapsed="false">
      <c r="A319" s="40" t="str">
        <f aca="false">IF(INDEX(BookTitle,314)="","",INDEX(BookGroup,314))</f>
        <v/>
      </c>
      <c r="B319" s="40" t="str">
        <f aca="false">IF(INDEX(BookTitle,314)="","",INDEX(BookRef,314))</f>
        <v/>
      </c>
      <c r="C319" s="40" t="str">
        <f aca="false">IF(INDEX(BookTitle,314)="","",INDEX(BookDivision,314))</f>
        <v/>
      </c>
      <c r="D319" s="40" t="str">
        <f aca="false">IF(INDEX(BookTitle,314)="","",INDEX(BookUnit,314))</f>
        <v/>
      </c>
      <c r="E319" s="40" t="str">
        <f aca="false">IF(INDEX(BookTitle,314)="","",INDEX(BookTitle,314))</f>
        <v/>
      </c>
      <c r="F319" s="40" t="str">
        <f aca="false">IF(INDEX(BookTitle,314)="","",INDEX(BookLevel,314))</f>
        <v/>
      </c>
      <c r="G319" s="40" t="str">
        <f aca="false">IF(INDEX(BookTitle,314)="","",INDEX(BookCategory,314))</f>
        <v/>
      </c>
      <c r="H319" s="40" t="str">
        <f aca="false">IF(INDEX(BookTitle,314)="","",INDEX(BookRank,314))</f>
        <v/>
      </c>
      <c r="I319" s="41" t="str">
        <f aca="false">IF(INDEX(BookTitle,314)="","",INDEX(BookTotal,314))</f>
        <v/>
      </c>
      <c r="J319" s="0" t="str">
        <f aca="false">IF($I319="","",IF(INDEX(BookQ1,314)&gt;0,"Q1",IF(INDEX(BookQ2,314)&gt;0,"Q2",IF(INDEX(BookQ3,314)&gt;0,"Q3",IF(INDEX(BookQ4,314)&gt;0,"Q4","")))))</f>
        <v/>
      </c>
      <c r="K319" s="42" t="str">
        <f aca="false">IF(INDEX(BookTitle,314)="","",INDEX(BookInYear,314))</f>
        <v/>
      </c>
      <c r="L319" s="19"/>
      <c r="M319" s="39"/>
      <c r="N319" s="19"/>
      <c r="O319" s="19"/>
      <c r="P319" s="43" t="str">
        <f aca="false">IF($E319="","",IF($L319="Decline",0,IF($L319="Approve fewer",IF($M319="","",$M319),IF($L319="","",$I319))))</f>
        <v/>
      </c>
      <c r="Q319" s="34" t="str">
        <f aca="false">IF($P319="","",IF($N319&lt;&gt;"",$N319,$J319))</f>
        <v/>
      </c>
      <c r="R319" s="35" t="str">
        <f aca="false">IF(OR($P319="",$Q319=""),"",INDEX(BookRate,314)*$P319*(5-MATCH($Q319,{"Q1";"Q2";"Q3";"Q4"},0))/4+INDEX(BookOneOff,314)*$P319)</f>
        <v/>
      </c>
      <c r="S319" s="35" t="str">
        <f aca="false">IF($P319="","",INDEX(BookRate,314)*$P319)</f>
        <v/>
      </c>
      <c r="T319" s="35" t="str">
        <f aca="false">IF($R319="","",$R319-$K319)</f>
        <v/>
      </c>
      <c r="U319" s="35" t="str">
        <f aca="false">IF(N($P319)&lt;=0,"",COUNTIF($P$6:$P319,"&gt;0"))</f>
        <v/>
      </c>
    </row>
    <row r="320" customFormat="false" ht="15" hidden="false" customHeight="false" outlineLevel="0" collapsed="false">
      <c r="A320" s="40" t="str">
        <f aca="false">IF(INDEX(BookTitle,315)="","",INDEX(BookGroup,315))</f>
        <v/>
      </c>
      <c r="B320" s="40" t="str">
        <f aca="false">IF(INDEX(BookTitle,315)="","",INDEX(BookRef,315))</f>
        <v/>
      </c>
      <c r="C320" s="40" t="str">
        <f aca="false">IF(INDEX(BookTitle,315)="","",INDEX(BookDivision,315))</f>
        <v/>
      </c>
      <c r="D320" s="40" t="str">
        <f aca="false">IF(INDEX(BookTitle,315)="","",INDEX(BookUnit,315))</f>
        <v/>
      </c>
      <c r="E320" s="40" t="str">
        <f aca="false">IF(INDEX(BookTitle,315)="","",INDEX(BookTitle,315))</f>
        <v/>
      </c>
      <c r="F320" s="40" t="str">
        <f aca="false">IF(INDEX(BookTitle,315)="","",INDEX(BookLevel,315))</f>
        <v/>
      </c>
      <c r="G320" s="40" t="str">
        <f aca="false">IF(INDEX(BookTitle,315)="","",INDEX(BookCategory,315))</f>
        <v/>
      </c>
      <c r="H320" s="40" t="str">
        <f aca="false">IF(INDEX(BookTitle,315)="","",INDEX(BookRank,315))</f>
        <v/>
      </c>
      <c r="I320" s="41" t="str">
        <f aca="false">IF(INDEX(BookTitle,315)="","",INDEX(BookTotal,315))</f>
        <v/>
      </c>
      <c r="J320" s="0" t="str">
        <f aca="false">IF($I320="","",IF(INDEX(BookQ1,315)&gt;0,"Q1",IF(INDEX(BookQ2,315)&gt;0,"Q2",IF(INDEX(BookQ3,315)&gt;0,"Q3",IF(INDEX(BookQ4,315)&gt;0,"Q4","")))))</f>
        <v/>
      </c>
      <c r="K320" s="42" t="str">
        <f aca="false">IF(INDEX(BookTitle,315)="","",INDEX(BookInYear,315))</f>
        <v/>
      </c>
      <c r="L320" s="19"/>
      <c r="M320" s="39"/>
      <c r="N320" s="19"/>
      <c r="O320" s="19"/>
      <c r="P320" s="43" t="str">
        <f aca="false">IF($E320="","",IF($L320="Decline",0,IF($L320="Approve fewer",IF($M320="","",$M320),IF($L320="","",$I320))))</f>
        <v/>
      </c>
      <c r="Q320" s="34" t="str">
        <f aca="false">IF($P320="","",IF($N320&lt;&gt;"",$N320,$J320))</f>
        <v/>
      </c>
      <c r="R320" s="35" t="str">
        <f aca="false">IF(OR($P320="",$Q320=""),"",INDEX(BookRate,315)*$P320*(5-MATCH($Q320,{"Q1";"Q2";"Q3";"Q4"},0))/4+INDEX(BookOneOff,315)*$P320)</f>
        <v/>
      </c>
      <c r="S320" s="35" t="str">
        <f aca="false">IF($P320="","",INDEX(BookRate,315)*$P320)</f>
        <v/>
      </c>
      <c r="T320" s="35" t="str">
        <f aca="false">IF($R320="","",$R320-$K320)</f>
        <v/>
      </c>
      <c r="U320" s="35" t="str">
        <f aca="false">IF(N($P320)&lt;=0,"",COUNTIF($P$6:$P320,"&gt;0"))</f>
        <v/>
      </c>
    </row>
    <row r="321" customFormat="false" ht="15" hidden="false" customHeight="false" outlineLevel="0" collapsed="false">
      <c r="A321" s="40" t="str">
        <f aca="false">IF(INDEX(BookTitle,316)="","",INDEX(BookGroup,316))</f>
        <v/>
      </c>
      <c r="B321" s="40" t="str">
        <f aca="false">IF(INDEX(BookTitle,316)="","",INDEX(BookRef,316))</f>
        <v/>
      </c>
      <c r="C321" s="40" t="str">
        <f aca="false">IF(INDEX(BookTitle,316)="","",INDEX(BookDivision,316))</f>
        <v/>
      </c>
      <c r="D321" s="40" t="str">
        <f aca="false">IF(INDEX(BookTitle,316)="","",INDEX(BookUnit,316))</f>
        <v/>
      </c>
      <c r="E321" s="40" t="str">
        <f aca="false">IF(INDEX(BookTitle,316)="","",INDEX(BookTitle,316))</f>
        <v/>
      </c>
      <c r="F321" s="40" t="str">
        <f aca="false">IF(INDEX(BookTitle,316)="","",INDEX(BookLevel,316))</f>
        <v/>
      </c>
      <c r="G321" s="40" t="str">
        <f aca="false">IF(INDEX(BookTitle,316)="","",INDEX(BookCategory,316))</f>
        <v/>
      </c>
      <c r="H321" s="40" t="str">
        <f aca="false">IF(INDEX(BookTitle,316)="","",INDEX(BookRank,316))</f>
        <v/>
      </c>
      <c r="I321" s="41" t="str">
        <f aca="false">IF(INDEX(BookTitle,316)="","",INDEX(BookTotal,316))</f>
        <v/>
      </c>
      <c r="J321" s="0" t="str">
        <f aca="false">IF($I321="","",IF(INDEX(BookQ1,316)&gt;0,"Q1",IF(INDEX(BookQ2,316)&gt;0,"Q2",IF(INDEX(BookQ3,316)&gt;0,"Q3",IF(INDEX(BookQ4,316)&gt;0,"Q4","")))))</f>
        <v/>
      </c>
      <c r="K321" s="42" t="str">
        <f aca="false">IF(INDEX(BookTitle,316)="","",INDEX(BookInYear,316))</f>
        <v/>
      </c>
      <c r="L321" s="19"/>
      <c r="M321" s="39"/>
      <c r="N321" s="19"/>
      <c r="O321" s="19"/>
      <c r="P321" s="43" t="str">
        <f aca="false">IF($E321="","",IF($L321="Decline",0,IF($L321="Approve fewer",IF($M321="","",$M321),IF($L321="","",$I321))))</f>
        <v/>
      </c>
      <c r="Q321" s="34" t="str">
        <f aca="false">IF($P321="","",IF($N321&lt;&gt;"",$N321,$J321))</f>
        <v/>
      </c>
      <c r="R321" s="35" t="str">
        <f aca="false">IF(OR($P321="",$Q321=""),"",INDEX(BookRate,316)*$P321*(5-MATCH($Q321,{"Q1";"Q2";"Q3";"Q4"},0))/4+INDEX(BookOneOff,316)*$P321)</f>
        <v/>
      </c>
      <c r="S321" s="35" t="str">
        <f aca="false">IF($P321="","",INDEX(BookRate,316)*$P321)</f>
        <v/>
      </c>
      <c r="T321" s="35" t="str">
        <f aca="false">IF($R321="","",$R321-$K321)</f>
        <v/>
      </c>
      <c r="U321" s="35" t="str">
        <f aca="false">IF(N($P321)&lt;=0,"",COUNTIF($P$6:$P321,"&gt;0"))</f>
        <v/>
      </c>
    </row>
    <row r="322" customFormat="false" ht="15" hidden="false" customHeight="false" outlineLevel="0" collapsed="false">
      <c r="A322" s="40" t="str">
        <f aca="false">IF(INDEX(BookTitle,317)="","",INDEX(BookGroup,317))</f>
        <v/>
      </c>
      <c r="B322" s="40" t="str">
        <f aca="false">IF(INDEX(BookTitle,317)="","",INDEX(BookRef,317))</f>
        <v/>
      </c>
      <c r="C322" s="40" t="str">
        <f aca="false">IF(INDEX(BookTitle,317)="","",INDEX(BookDivision,317))</f>
        <v/>
      </c>
      <c r="D322" s="40" t="str">
        <f aca="false">IF(INDEX(BookTitle,317)="","",INDEX(BookUnit,317))</f>
        <v/>
      </c>
      <c r="E322" s="40" t="str">
        <f aca="false">IF(INDEX(BookTitle,317)="","",INDEX(BookTitle,317))</f>
        <v/>
      </c>
      <c r="F322" s="40" t="str">
        <f aca="false">IF(INDEX(BookTitle,317)="","",INDEX(BookLevel,317))</f>
        <v/>
      </c>
      <c r="G322" s="40" t="str">
        <f aca="false">IF(INDEX(BookTitle,317)="","",INDEX(BookCategory,317))</f>
        <v/>
      </c>
      <c r="H322" s="40" t="str">
        <f aca="false">IF(INDEX(BookTitle,317)="","",INDEX(BookRank,317))</f>
        <v/>
      </c>
      <c r="I322" s="41" t="str">
        <f aca="false">IF(INDEX(BookTitle,317)="","",INDEX(BookTotal,317))</f>
        <v/>
      </c>
      <c r="J322" s="0" t="str">
        <f aca="false">IF($I322="","",IF(INDEX(BookQ1,317)&gt;0,"Q1",IF(INDEX(BookQ2,317)&gt;0,"Q2",IF(INDEX(BookQ3,317)&gt;0,"Q3",IF(INDEX(BookQ4,317)&gt;0,"Q4","")))))</f>
        <v/>
      </c>
      <c r="K322" s="42" t="str">
        <f aca="false">IF(INDEX(BookTitle,317)="","",INDEX(BookInYear,317))</f>
        <v/>
      </c>
      <c r="L322" s="19"/>
      <c r="M322" s="39"/>
      <c r="N322" s="19"/>
      <c r="O322" s="19"/>
      <c r="P322" s="43" t="str">
        <f aca="false">IF($E322="","",IF($L322="Decline",0,IF($L322="Approve fewer",IF($M322="","",$M322),IF($L322="","",$I322))))</f>
        <v/>
      </c>
      <c r="Q322" s="34" t="str">
        <f aca="false">IF($P322="","",IF($N322&lt;&gt;"",$N322,$J322))</f>
        <v/>
      </c>
      <c r="R322" s="35" t="str">
        <f aca="false">IF(OR($P322="",$Q322=""),"",INDEX(BookRate,317)*$P322*(5-MATCH($Q322,{"Q1";"Q2";"Q3";"Q4"},0))/4+INDEX(BookOneOff,317)*$P322)</f>
        <v/>
      </c>
      <c r="S322" s="35" t="str">
        <f aca="false">IF($P322="","",INDEX(BookRate,317)*$P322)</f>
        <v/>
      </c>
      <c r="T322" s="35" t="str">
        <f aca="false">IF($R322="","",$R322-$K322)</f>
        <v/>
      </c>
      <c r="U322" s="35" t="str">
        <f aca="false">IF(N($P322)&lt;=0,"",COUNTIF($P$6:$P322,"&gt;0"))</f>
        <v/>
      </c>
    </row>
    <row r="323" customFormat="false" ht="15" hidden="false" customHeight="false" outlineLevel="0" collapsed="false">
      <c r="A323" s="40" t="str">
        <f aca="false">IF(INDEX(BookTitle,318)="","",INDEX(BookGroup,318))</f>
        <v/>
      </c>
      <c r="B323" s="40" t="str">
        <f aca="false">IF(INDEX(BookTitle,318)="","",INDEX(BookRef,318))</f>
        <v/>
      </c>
      <c r="C323" s="40" t="str">
        <f aca="false">IF(INDEX(BookTitle,318)="","",INDEX(BookDivision,318))</f>
        <v/>
      </c>
      <c r="D323" s="40" t="str">
        <f aca="false">IF(INDEX(BookTitle,318)="","",INDEX(BookUnit,318))</f>
        <v/>
      </c>
      <c r="E323" s="40" t="str">
        <f aca="false">IF(INDEX(BookTitle,318)="","",INDEX(BookTitle,318))</f>
        <v/>
      </c>
      <c r="F323" s="40" t="str">
        <f aca="false">IF(INDEX(BookTitle,318)="","",INDEX(BookLevel,318))</f>
        <v/>
      </c>
      <c r="G323" s="40" t="str">
        <f aca="false">IF(INDEX(BookTitle,318)="","",INDEX(BookCategory,318))</f>
        <v/>
      </c>
      <c r="H323" s="40" t="str">
        <f aca="false">IF(INDEX(BookTitle,318)="","",INDEX(BookRank,318))</f>
        <v/>
      </c>
      <c r="I323" s="41" t="str">
        <f aca="false">IF(INDEX(BookTitle,318)="","",INDEX(BookTotal,318))</f>
        <v/>
      </c>
      <c r="J323" s="0" t="str">
        <f aca="false">IF($I323="","",IF(INDEX(BookQ1,318)&gt;0,"Q1",IF(INDEX(BookQ2,318)&gt;0,"Q2",IF(INDEX(BookQ3,318)&gt;0,"Q3",IF(INDEX(BookQ4,318)&gt;0,"Q4","")))))</f>
        <v/>
      </c>
      <c r="K323" s="42" t="str">
        <f aca="false">IF(INDEX(BookTitle,318)="","",INDEX(BookInYear,318))</f>
        <v/>
      </c>
      <c r="L323" s="19"/>
      <c r="M323" s="39"/>
      <c r="N323" s="19"/>
      <c r="O323" s="19"/>
      <c r="P323" s="43" t="str">
        <f aca="false">IF($E323="","",IF($L323="Decline",0,IF($L323="Approve fewer",IF($M323="","",$M323),IF($L323="","",$I323))))</f>
        <v/>
      </c>
      <c r="Q323" s="34" t="str">
        <f aca="false">IF($P323="","",IF($N323&lt;&gt;"",$N323,$J323))</f>
        <v/>
      </c>
      <c r="R323" s="35" t="str">
        <f aca="false">IF(OR($P323="",$Q323=""),"",INDEX(BookRate,318)*$P323*(5-MATCH($Q323,{"Q1";"Q2";"Q3";"Q4"},0))/4+INDEX(BookOneOff,318)*$P323)</f>
        <v/>
      </c>
      <c r="S323" s="35" t="str">
        <f aca="false">IF($P323="","",INDEX(BookRate,318)*$P323)</f>
        <v/>
      </c>
      <c r="T323" s="35" t="str">
        <f aca="false">IF($R323="","",$R323-$K323)</f>
        <v/>
      </c>
      <c r="U323" s="35" t="str">
        <f aca="false">IF(N($P323)&lt;=0,"",COUNTIF($P$6:$P323,"&gt;0"))</f>
        <v/>
      </c>
    </row>
    <row r="324" customFormat="false" ht="15" hidden="false" customHeight="false" outlineLevel="0" collapsed="false">
      <c r="A324" s="40" t="str">
        <f aca="false">IF(INDEX(BookTitle,319)="","",INDEX(BookGroup,319))</f>
        <v/>
      </c>
      <c r="B324" s="40" t="str">
        <f aca="false">IF(INDEX(BookTitle,319)="","",INDEX(BookRef,319))</f>
        <v/>
      </c>
      <c r="C324" s="40" t="str">
        <f aca="false">IF(INDEX(BookTitle,319)="","",INDEX(BookDivision,319))</f>
        <v/>
      </c>
      <c r="D324" s="40" t="str">
        <f aca="false">IF(INDEX(BookTitle,319)="","",INDEX(BookUnit,319))</f>
        <v/>
      </c>
      <c r="E324" s="40" t="str">
        <f aca="false">IF(INDEX(BookTitle,319)="","",INDEX(BookTitle,319))</f>
        <v/>
      </c>
      <c r="F324" s="40" t="str">
        <f aca="false">IF(INDEX(BookTitle,319)="","",INDEX(BookLevel,319))</f>
        <v/>
      </c>
      <c r="G324" s="40" t="str">
        <f aca="false">IF(INDEX(BookTitle,319)="","",INDEX(BookCategory,319))</f>
        <v/>
      </c>
      <c r="H324" s="40" t="str">
        <f aca="false">IF(INDEX(BookTitle,319)="","",INDEX(BookRank,319))</f>
        <v/>
      </c>
      <c r="I324" s="41" t="str">
        <f aca="false">IF(INDEX(BookTitle,319)="","",INDEX(BookTotal,319))</f>
        <v/>
      </c>
      <c r="J324" s="0" t="str">
        <f aca="false">IF($I324="","",IF(INDEX(BookQ1,319)&gt;0,"Q1",IF(INDEX(BookQ2,319)&gt;0,"Q2",IF(INDEX(BookQ3,319)&gt;0,"Q3",IF(INDEX(BookQ4,319)&gt;0,"Q4","")))))</f>
        <v/>
      </c>
      <c r="K324" s="42" t="str">
        <f aca="false">IF(INDEX(BookTitle,319)="","",INDEX(BookInYear,319))</f>
        <v/>
      </c>
      <c r="L324" s="19"/>
      <c r="M324" s="39"/>
      <c r="N324" s="19"/>
      <c r="O324" s="19"/>
      <c r="P324" s="43" t="str">
        <f aca="false">IF($E324="","",IF($L324="Decline",0,IF($L324="Approve fewer",IF($M324="","",$M324),IF($L324="","",$I324))))</f>
        <v/>
      </c>
      <c r="Q324" s="34" t="str">
        <f aca="false">IF($P324="","",IF($N324&lt;&gt;"",$N324,$J324))</f>
        <v/>
      </c>
      <c r="R324" s="35" t="str">
        <f aca="false">IF(OR($P324="",$Q324=""),"",INDEX(BookRate,319)*$P324*(5-MATCH($Q324,{"Q1";"Q2";"Q3";"Q4"},0))/4+INDEX(BookOneOff,319)*$P324)</f>
        <v/>
      </c>
      <c r="S324" s="35" t="str">
        <f aca="false">IF($P324="","",INDEX(BookRate,319)*$P324)</f>
        <v/>
      </c>
      <c r="T324" s="35" t="str">
        <f aca="false">IF($R324="","",$R324-$K324)</f>
        <v/>
      </c>
      <c r="U324" s="35" t="str">
        <f aca="false">IF(N($P324)&lt;=0,"",COUNTIF($P$6:$P324,"&gt;0"))</f>
        <v/>
      </c>
    </row>
    <row r="325" customFormat="false" ht="15" hidden="false" customHeight="false" outlineLevel="0" collapsed="false">
      <c r="A325" s="40" t="str">
        <f aca="false">IF(INDEX(BookTitle,320)="","",INDEX(BookGroup,320))</f>
        <v/>
      </c>
      <c r="B325" s="40" t="str">
        <f aca="false">IF(INDEX(BookTitle,320)="","",INDEX(BookRef,320))</f>
        <v/>
      </c>
      <c r="C325" s="40" t="str">
        <f aca="false">IF(INDEX(BookTitle,320)="","",INDEX(BookDivision,320))</f>
        <v/>
      </c>
      <c r="D325" s="40" t="str">
        <f aca="false">IF(INDEX(BookTitle,320)="","",INDEX(BookUnit,320))</f>
        <v/>
      </c>
      <c r="E325" s="40" t="str">
        <f aca="false">IF(INDEX(BookTitle,320)="","",INDEX(BookTitle,320))</f>
        <v/>
      </c>
      <c r="F325" s="40" t="str">
        <f aca="false">IF(INDEX(BookTitle,320)="","",INDEX(BookLevel,320))</f>
        <v/>
      </c>
      <c r="G325" s="40" t="str">
        <f aca="false">IF(INDEX(BookTitle,320)="","",INDEX(BookCategory,320))</f>
        <v/>
      </c>
      <c r="H325" s="40" t="str">
        <f aca="false">IF(INDEX(BookTitle,320)="","",INDEX(BookRank,320))</f>
        <v/>
      </c>
      <c r="I325" s="41" t="str">
        <f aca="false">IF(INDEX(BookTitle,320)="","",INDEX(BookTotal,320))</f>
        <v/>
      </c>
      <c r="J325" s="0" t="str">
        <f aca="false">IF($I325="","",IF(INDEX(BookQ1,320)&gt;0,"Q1",IF(INDEX(BookQ2,320)&gt;0,"Q2",IF(INDEX(BookQ3,320)&gt;0,"Q3",IF(INDEX(BookQ4,320)&gt;0,"Q4","")))))</f>
        <v/>
      </c>
      <c r="K325" s="42" t="str">
        <f aca="false">IF(INDEX(BookTitle,320)="","",INDEX(BookInYear,320))</f>
        <v/>
      </c>
      <c r="L325" s="19"/>
      <c r="M325" s="39"/>
      <c r="N325" s="19"/>
      <c r="O325" s="19"/>
      <c r="P325" s="43" t="str">
        <f aca="false">IF($E325="","",IF($L325="Decline",0,IF($L325="Approve fewer",IF($M325="","",$M325),IF($L325="","",$I325))))</f>
        <v/>
      </c>
      <c r="Q325" s="34" t="str">
        <f aca="false">IF($P325="","",IF($N325&lt;&gt;"",$N325,$J325))</f>
        <v/>
      </c>
      <c r="R325" s="35" t="str">
        <f aca="false">IF(OR($P325="",$Q325=""),"",INDEX(BookRate,320)*$P325*(5-MATCH($Q325,{"Q1";"Q2";"Q3";"Q4"},0))/4+INDEX(BookOneOff,320)*$P325)</f>
        <v/>
      </c>
      <c r="S325" s="35" t="str">
        <f aca="false">IF($P325="","",INDEX(BookRate,320)*$P325)</f>
        <v/>
      </c>
      <c r="T325" s="35" t="str">
        <f aca="false">IF($R325="","",$R325-$K325)</f>
        <v/>
      </c>
      <c r="U325" s="35" t="str">
        <f aca="false">IF(N($P325)&lt;=0,"",COUNTIF($P$6:$P325,"&gt;0"))</f>
        <v/>
      </c>
    </row>
    <row r="326" customFormat="false" ht="15" hidden="false" customHeight="false" outlineLevel="0" collapsed="false">
      <c r="A326" s="40" t="str">
        <f aca="false">IF(INDEX(BookTitle,321)="","",INDEX(BookGroup,321))</f>
        <v/>
      </c>
      <c r="B326" s="40" t="str">
        <f aca="false">IF(INDEX(BookTitle,321)="","",INDEX(BookRef,321))</f>
        <v/>
      </c>
      <c r="C326" s="40" t="str">
        <f aca="false">IF(INDEX(BookTitle,321)="","",INDEX(BookDivision,321))</f>
        <v/>
      </c>
      <c r="D326" s="40" t="str">
        <f aca="false">IF(INDEX(BookTitle,321)="","",INDEX(BookUnit,321))</f>
        <v/>
      </c>
      <c r="E326" s="40" t="str">
        <f aca="false">IF(INDEX(BookTitle,321)="","",INDEX(BookTitle,321))</f>
        <v/>
      </c>
      <c r="F326" s="40" t="str">
        <f aca="false">IF(INDEX(BookTitle,321)="","",INDEX(BookLevel,321))</f>
        <v/>
      </c>
      <c r="G326" s="40" t="str">
        <f aca="false">IF(INDEX(BookTitle,321)="","",INDEX(BookCategory,321))</f>
        <v/>
      </c>
      <c r="H326" s="40" t="str">
        <f aca="false">IF(INDEX(BookTitle,321)="","",INDEX(BookRank,321))</f>
        <v/>
      </c>
      <c r="I326" s="41" t="str">
        <f aca="false">IF(INDEX(BookTitle,321)="","",INDEX(BookTotal,321))</f>
        <v/>
      </c>
      <c r="J326" s="0" t="str">
        <f aca="false">IF($I326="","",IF(INDEX(BookQ1,321)&gt;0,"Q1",IF(INDEX(BookQ2,321)&gt;0,"Q2",IF(INDEX(BookQ3,321)&gt;0,"Q3",IF(INDEX(BookQ4,321)&gt;0,"Q4","")))))</f>
        <v/>
      </c>
      <c r="K326" s="42" t="str">
        <f aca="false">IF(INDEX(BookTitle,321)="","",INDEX(BookInYear,321))</f>
        <v/>
      </c>
      <c r="L326" s="19"/>
      <c r="M326" s="39"/>
      <c r="N326" s="19"/>
      <c r="O326" s="19"/>
      <c r="P326" s="43" t="str">
        <f aca="false">IF($E326="","",IF($L326="Decline",0,IF($L326="Approve fewer",IF($M326="","",$M326),IF($L326="","",$I326))))</f>
        <v/>
      </c>
      <c r="Q326" s="34" t="str">
        <f aca="false">IF($P326="","",IF($N326&lt;&gt;"",$N326,$J326))</f>
        <v/>
      </c>
      <c r="R326" s="35" t="str">
        <f aca="false">IF(OR($P326="",$Q326=""),"",INDEX(BookRate,321)*$P326*(5-MATCH($Q326,{"Q1";"Q2";"Q3";"Q4"},0))/4+INDEX(BookOneOff,321)*$P326)</f>
        <v/>
      </c>
      <c r="S326" s="35" t="str">
        <f aca="false">IF($P326="","",INDEX(BookRate,321)*$P326)</f>
        <v/>
      </c>
      <c r="T326" s="35" t="str">
        <f aca="false">IF($R326="","",$R326-$K326)</f>
        <v/>
      </c>
      <c r="U326" s="35" t="str">
        <f aca="false">IF(N($P326)&lt;=0,"",COUNTIF($P$6:$P326,"&gt;0"))</f>
        <v/>
      </c>
    </row>
    <row r="327" customFormat="false" ht="15" hidden="false" customHeight="false" outlineLevel="0" collapsed="false">
      <c r="A327" s="40" t="str">
        <f aca="false">IF(INDEX(BookTitle,322)="","",INDEX(BookGroup,322))</f>
        <v/>
      </c>
      <c r="B327" s="40" t="str">
        <f aca="false">IF(INDEX(BookTitle,322)="","",INDEX(BookRef,322))</f>
        <v/>
      </c>
      <c r="C327" s="40" t="str">
        <f aca="false">IF(INDEX(BookTitle,322)="","",INDEX(BookDivision,322))</f>
        <v/>
      </c>
      <c r="D327" s="40" t="str">
        <f aca="false">IF(INDEX(BookTitle,322)="","",INDEX(BookUnit,322))</f>
        <v/>
      </c>
      <c r="E327" s="40" t="str">
        <f aca="false">IF(INDEX(BookTitle,322)="","",INDEX(BookTitle,322))</f>
        <v/>
      </c>
      <c r="F327" s="40" t="str">
        <f aca="false">IF(INDEX(BookTitle,322)="","",INDEX(BookLevel,322))</f>
        <v/>
      </c>
      <c r="G327" s="40" t="str">
        <f aca="false">IF(INDEX(BookTitle,322)="","",INDEX(BookCategory,322))</f>
        <v/>
      </c>
      <c r="H327" s="40" t="str">
        <f aca="false">IF(INDEX(BookTitle,322)="","",INDEX(BookRank,322))</f>
        <v/>
      </c>
      <c r="I327" s="41" t="str">
        <f aca="false">IF(INDEX(BookTitle,322)="","",INDEX(BookTotal,322))</f>
        <v/>
      </c>
      <c r="J327" s="0" t="str">
        <f aca="false">IF($I327="","",IF(INDEX(BookQ1,322)&gt;0,"Q1",IF(INDEX(BookQ2,322)&gt;0,"Q2",IF(INDEX(BookQ3,322)&gt;0,"Q3",IF(INDEX(BookQ4,322)&gt;0,"Q4","")))))</f>
        <v/>
      </c>
      <c r="K327" s="42" t="str">
        <f aca="false">IF(INDEX(BookTitle,322)="","",INDEX(BookInYear,322))</f>
        <v/>
      </c>
      <c r="L327" s="19"/>
      <c r="M327" s="39"/>
      <c r="N327" s="19"/>
      <c r="O327" s="19"/>
      <c r="P327" s="43" t="str">
        <f aca="false">IF($E327="","",IF($L327="Decline",0,IF($L327="Approve fewer",IF($M327="","",$M327),IF($L327="","",$I327))))</f>
        <v/>
      </c>
      <c r="Q327" s="34" t="str">
        <f aca="false">IF($P327="","",IF($N327&lt;&gt;"",$N327,$J327))</f>
        <v/>
      </c>
      <c r="R327" s="35" t="str">
        <f aca="false">IF(OR($P327="",$Q327=""),"",INDEX(BookRate,322)*$P327*(5-MATCH($Q327,{"Q1";"Q2";"Q3";"Q4"},0))/4+INDEX(BookOneOff,322)*$P327)</f>
        <v/>
      </c>
      <c r="S327" s="35" t="str">
        <f aca="false">IF($P327="","",INDEX(BookRate,322)*$P327)</f>
        <v/>
      </c>
      <c r="T327" s="35" t="str">
        <f aca="false">IF($R327="","",$R327-$K327)</f>
        <v/>
      </c>
      <c r="U327" s="35" t="str">
        <f aca="false">IF(N($P327)&lt;=0,"",COUNTIF($P$6:$P327,"&gt;0"))</f>
        <v/>
      </c>
    </row>
    <row r="328" customFormat="false" ht="15" hidden="false" customHeight="false" outlineLevel="0" collapsed="false">
      <c r="A328" s="40" t="str">
        <f aca="false">IF(INDEX(BookTitle,323)="","",INDEX(BookGroup,323))</f>
        <v/>
      </c>
      <c r="B328" s="40" t="str">
        <f aca="false">IF(INDEX(BookTitle,323)="","",INDEX(BookRef,323))</f>
        <v/>
      </c>
      <c r="C328" s="40" t="str">
        <f aca="false">IF(INDEX(BookTitle,323)="","",INDEX(BookDivision,323))</f>
        <v/>
      </c>
      <c r="D328" s="40" t="str">
        <f aca="false">IF(INDEX(BookTitle,323)="","",INDEX(BookUnit,323))</f>
        <v/>
      </c>
      <c r="E328" s="40" t="str">
        <f aca="false">IF(INDEX(BookTitle,323)="","",INDEX(BookTitle,323))</f>
        <v/>
      </c>
      <c r="F328" s="40" t="str">
        <f aca="false">IF(INDEX(BookTitle,323)="","",INDEX(BookLevel,323))</f>
        <v/>
      </c>
      <c r="G328" s="40" t="str">
        <f aca="false">IF(INDEX(BookTitle,323)="","",INDEX(BookCategory,323))</f>
        <v/>
      </c>
      <c r="H328" s="40" t="str">
        <f aca="false">IF(INDEX(BookTitle,323)="","",INDEX(BookRank,323))</f>
        <v/>
      </c>
      <c r="I328" s="41" t="str">
        <f aca="false">IF(INDEX(BookTitle,323)="","",INDEX(BookTotal,323))</f>
        <v/>
      </c>
      <c r="J328" s="0" t="str">
        <f aca="false">IF($I328="","",IF(INDEX(BookQ1,323)&gt;0,"Q1",IF(INDEX(BookQ2,323)&gt;0,"Q2",IF(INDEX(BookQ3,323)&gt;0,"Q3",IF(INDEX(BookQ4,323)&gt;0,"Q4","")))))</f>
        <v/>
      </c>
      <c r="K328" s="42" t="str">
        <f aca="false">IF(INDEX(BookTitle,323)="","",INDEX(BookInYear,323))</f>
        <v/>
      </c>
      <c r="L328" s="19"/>
      <c r="M328" s="39"/>
      <c r="N328" s="19"/>
      <c r="O328" s="19"/>
      <c r="P328" s="43" t="str">
        <f aca="false">IF($E328="","",IF($L328="Decline",0,IF($L328="Approve fewer",IF($M328="","",$M328),IF($L328="","",$I328))))</f>
        <v/>
      </c>
      <c r="Q328" s="34" t="str">
        <f aca="false">IF($P328="","",IF($N328&lt;&gt;"",$N328,$J328))</f>
        <v/>
      </c>
      <c r="R328" s="35" t="str">
        <f aca="false">IF(OR($P328="",$Q328=""),"",INDEX(BookRate,323)*$P328*(5-MATCH($Q328,{"Q1";"Q2";"Q3";"Q4"},0))/4+INDEX(BookOneOff,323)*$P328)</f>
        <v/>
      </c>
      <c r="S328" s="35" t="str">
        <f aca="false">IF($P328="","",INDEX(BookRate,323)*$P328)</f>
        <v/>
      </c>
      <c r="T328" s="35" t="str">
        <f aca="false">IF($R328="","",$R328-$K328)</f>
        <v/>
      </c>
      <c r="U328" s="35" t="str">
        <f aca="false">IF(N($P328)&lt;=0,"",COUNTIF($P$6:$P328,"&gt;0"))</f>
        <v/>
      </c>
    </row>
    <row r="329" customFormat="false" ht="15" hidden="false" customHeight="false" outlineLevel="0" collapsed="false">
      <c r="A329" s="40" t="str">
        <f aca="false">IF(INDEX(BookTitle,324)="","",INDEX(BookGroup,324))</f>
        <v/>
      </c>
      <c r="B329" s="40" t="str">
        <f aca="false">IF(INDEX(BookTitle,324)="","",INDEX(BookRef,324))</f>
        <v/>
      </c>
      <c r="C329" s="40" t="str">
        <f aca="false">IF(INDEX(BookTitle,324)="","",INDEX(BookDivision,324))</f>
        <v/>
      </c>
      <c r="D329" s="40" t="str">
        <f aca="false">IF(INDEX(BookTitle,324)="","",INDEX(BookUnit,324))</f>
        <v/>
      </c>
      <c r="E329" s="40" t="str">
        <f aca="false">IF(INDEX(BookTitle,324)="","",INDEX(BookTitle,324))</f>
        <v/>
      </c>
      <c r="F329" s="40" t="str">
        <f aca="false">IF(INDEX(BookTitle,324)="","",INDEX(BookLevel,324))</f>
        <v/>
      </c>
      <c r="G329" s="40" t="str">
        <f aca="false">IF(INDEX(BookTitle,324)="","",INDEX(BookCategory,324))</f>
        <v/>
      </c>
      <c r="H329" s="40" t="str">
        <f aca="false">IF(INDEX(BookTitle,324)="","",INDEX(BookRank,324))</f>
        <v/>
      </c>
      <c r="I329" s="41" t="str">
        <f aca="false">IF(INDEX(BookTitle,324)="","",INDEX(BookTotal,324))</f>
        <v/>
      </c>
      <c r="J329" s="0" t="str">
        <f aca="false">IF($I329="","",IF(INDEX(BookQ1,324)&gt;0,"Q1",IF(INDEX(BookQ2,324)&gt;0,"Q2",IF(INDEX(BookQ3,324)&gt;0,"Q3",IF(INDEX(BookQ4,324)&gt;0,"Q4","")))))</f>
        <v/>
      </c>
      <c r="K329" s="42" t="str">
        <f aca="false">IF(INDEX(BookTitle,324)="","",INDEX(BookInYear,324))</f>
        <v/>
      </c>
      <c r="L329" s="19"/>
      <c r="M329" s="39"/>
      <c r="N329" s="19"/>
      <c r="O329" s="19"/>
      <c r="P329" s="43" t="str">
        <f aca="false">IF($E329="","",IF($L329="Decline",0,IF($L329="Approve fewer",IF($M329="","",$M329),IF($L329="","",$I329))))</f>
        <v/>
      </c>
      <c r="Q329" s="34" t="str">
        <f aca="false">IF($P329="","",IF($N329&lt;&gt;"",$N329,$J329))</f>
        <v/>
      </c>
      <c r="R329" s="35" t="str">
        <f aca="false">IF(OR($P329="",$Q329=""),"",INDEX(BookRate,324)*$P329*(5-MATCH($Q329,{"Q1";"Q2";"Q3";"Q4"},0))/4+INDEX(BookOneOff,324)*$P329)</f>
        <v/>
      </c>
      <c r="S329" s="35" t="str">
        <f aca="false">IF($P329="","",INDEX(BookRate,324)*$P329)</f>
        <v/>
      </c>
      <c r="T329" s="35" t="str">
        <f aca="false">IF($R329="","",$R329-$K329)</f>
        <v/>
      </c>
      <c r="U329" s="35" t="str">
        <f aca="false">IF(N($P329)&lt;=0,"",COUNTIF($P$6:$P329,"&gt;0"))</f>
        <v/>
      </c>
    </row>
    <row r="330" customFormat="false" ht="15" hidden="false" customHeight="false" outlineLevel="0" collapsed="false">
      <c r="A330" s="40" t="str">
        <f aca="false">IF(INDEX(BookTitle,325)="","",INDEX(BookGroup,325))</f>
        <v/>
      </c>
      <c r="B330" s="40" t="str">
        <f aca="false">IF(INDEX(BookTitle,325)="","",INDEX(BookRef,325))</f>
        <v/>
      </c>
      <c r="C330" s="40" t="str">
        <f aca="false">IF(INDEX(BookTitle,325)="","",INDEX(BookDivision,325))</f>
        <v/>
      </c>
      <c r="D330" s="40" t="str">
        <f aca="false">IF(INDEX(BookTitle,325)="","",INDEX(BookUnit,325))</f>
        <v/>
      </c>
      <c r="E330" s="40" t="str">
        <f aca="false">IF(INDEX(BookTitle,325)="","",INDEX(BookTitle,325))</f>
        <v/>
      </c>
      <c r="F330" s="40" t="str">
        <f aca="false">IF(INDEX(BookTitle,325)="","",INDEX(BookLevel,325))</f>
        <v/>
      </c>
      <c r="G330" s="40" t="str">
        <f aca="false">IF(INDEX(BookTitle,325)="","",INDEX(BookCategory,325))</f>
        <v/>
      </c>
      <c r="H330" s="40" t="str">
        <f aca="false">IF(INDEX(BookTitle,325)="","",INDEX(BookRank,325))</f>
        <v/>
      </c>
      <c r="I330" s="41" t="str">
        <f aca="false">IF(INDEX(BookTitle,325)="","",INDEX(BookTotal,325))</f>
        <v/>
      </c>
      <c r="J330" s="0" t="str">
        <f aca="false">IF($I330="","",IF(INDEX(BookQ1,325)&gt;0,"Q1",IF(INDEX(BookQ2,325)&gt;0,"Q2",IF(INDEX(BookQ3,325)&gt;0,"Q3",IF(INDEX(BookQ4,325)&gt;0,"Q4","")))))</f>
        <v/>
      </c>
      <c r="K330" s="42" t="str">
        <f aca="false">IF(INDEX(BookTitle,325)="","",INDEX(BookInYear,325))</f>
        <v/>
      </c>
      <c r="L330" s="19"/>
      <c r="M330" s="39"/>
      <c r="N330" s="19"/>
      <c r="O330" s="19"/>
      <c r="P330" s="43" t="str">
        <f aca="false">IF($E330="","",IF($L330="Decline",0,IF($L330="Approve fewer",IF($M330="","",$M330),IF($L330="","",$I330))))</f>
        <v/>
      </c>
      <c r="Q330" s="34" t="str">
        <f aca="false">IF($P330="","",IF($N330&lt;&gt;"",$N330,$J330))</f>
        <v/>
      </c>
      <c r="R330" s="35" t="str">
        <f aca="false">IF(OR($P330="",$Q330=""),"",INDEX(BookRate,325)*$P330*(5-MATCH($Q330,{"Q1";"Q2";"Q3";"Q4"},0))/4+INDEX(BookOneOff,325)*$P330)</f>
        <v/>
      </c>
      <c r="S330" s="35" t="str">
        <f aca="false">IF($P330="","",INDEX(BookRate,325)*$P330)</f>
        <v/>
      </c>
      <c r="T330" s="35" t="str">
        <f aca="false">IF($R330="","",$R330-$K330)</f>
        <v/>
      </c>
      <c r="U330" s="35" t="str">
        <f aca="false">IF(N($P330)&lt;=0,"",COUNTIF($P$6:$P330,"&gt;0"))</f>
        <v/>
      </c>
    </row>
    <row r="331" customFormat="false" ht="15" hidden="false" customHeight="false" outlineLevel="0" collapsed="false">
      <c r="A331" s="40" t="str">
        <f aca="false">IF(INDEX(BookTitle,326)="","",INDEX(BookGroup,326))</f>
        <v/>
      </c>
      <c r="B331" s="40" t="str">
        <f aca="false">IF(INDEX(BookTitle,326)="","",INDEX(BookRef,326))</f>
        <v/>
      </c>
      <c r="C331" s="40" t="str">
        <f aca="false">IF(INDEX(BookTitle,326)="","",INDEX(BookDivision,326))</f>
        <v/>
      </c>
      <c r="D331" s="40" t="str">
        <f aca="false">IF(INDEX(BookTitle,326)="","",INDEX(BookUnit,326))</f>
        <v/>
      </c>
      <c r="E331" s="40" t="str">
        <f aca="false">IF(INDEX(BookTitle,326)="","",INDEX(BookTitle,326))</f>
        <v/>
      </c>
      <c r="F331" s="40" t="str">
        <f aca="false">IF(INDEX(BookTitle,326)="","",INDEX(BookLevel,326))</f>
        <v/>
      </c>
      <c r="G331" s="40" t="str">
        <f aca="false">IF(INDEX(BookTitle,326)="","",INDEX(BookCategory,326))</f>
        <v/>
      </c>
      <c r="H331" s="40" t="str">
        <f aca="false">IF(INDEX(BookTitle,326)="","",INDEX(BookRank,326))</f>
        <v/>
      </c>
      <c r="I331" s="41" t="str">
        <f aca="false">IF(INDEX(BookTitle,326)="","",INDEX(BookTotal,326))</f>
        <v/>
      </c>
      <c r="J331" s="0" t="str">
        <f aca="false">IF($I331="","",IF(INDEX(BookQ1,326)&gt;0,"Q1",IF(INDEX(BookQ2,326)&gt;0,"Q2",IF(INDEX(BookQ3,326)&gt;0,"Q3",IF(INDEX(BookQ4,326)&gt;0,"Q4","")))))</f>
        <v/>
      </c>
      <c r="K331" s="42" t="str">
        <f aca="false">IF(INDEX(BookTitle,326)="","",INDEX(BookInYear,326))</f>
        <v/>
      </c>
      <c r="L331" s="19"/>
      <c r="M331" s="39"/>
      <c r="N331" s="19"/>
      <c r="O331" s="19"/>
      <c r="P331" s="43" t="str">
        <f aca="false">IF($E331="","",IF($L331="Decline",0,IF($L331="Approve fewer",IF($M331="","",$M331),IF($L331="","",$I331))))</f>
        <v/>
      </c>
      <c r="Q331" s="34" t="str">
        <f aca="false">IF($P331="","",IF($N331&lt;&gt;"",$N331,$J331))</f>
        <v/>
      </c>
      <c r="R331" s="35" t="str">
        <f aca="false">IF(OR($P331="",$Q331=""),"",INDEX(BookRate,326)*$P331*(5-MATCH($Q331,{"Q1";"Q2";"Q3";"Q4"},0))/4+INDEX(BookOneOff,326)*$P331)</f>
        <v/>
      </c>
      <c r="S331" s="35" t="str">
        <f aca="false">IF($P331="","",INDEX(BookRate,326)*$P331)</f>
        <v/>
      </c>
      <c r="T331" s="35" t="str">
        <f aca="false">IF($R331="","",$R331-$K331)</f>
        <v/>
      </c>
      <c r="U331" s="35" t="str">
        <f aca="false">IF(N($P331)&lt;=0,"",COUNTIF($P$6:$P331,"&gt;0"))</f>
        <v/>
      </c>
    </row>
    <row r="332" customFormat="false" ht="15" hidden="false" customHeight="false" outlineLevel="0" collapsed="false">
      <c r="A332" s="40" t="str">
        <f aca="false">IF(INDEX(BookTitle,327)="","",INDEX(BookGroup,327))</f>
        <v/>
      </c>
      <c r="B332" s="40" t="str">
        <f aca="false">IF(INDEX(BookTitle,327)="","",INDEX(BookRef,327))</f>
        <v/>
      </c>
      <c r="C332" s="40" t="str">
        <f aca="false">IF(INDEX(BookTitle,327)="","",INDEX(BookDivision,327))</f>
        <v/>
      </c>
      <c r="D332" s="40" t="str">
        <f aca="false">IF(INDEX(BookTitle,327)="","",INDEX(BookUnit,327))</f>
        <v/>
      </c>
      <c r="E332" s="40" t="str">
        <f aca="false">IF(INDEX(BookTitle,327)="","",INDEX(BookTitle,327))</f>
        <v/>
      </c>
      <c r="F332" s="40" t="str">
        <f aca="false">IF(INDEX(BookTitle,327)="","",INDEX(BookLevel,327))</f>
        <v/>
      </c>
      <c r="G332" s="40" t="str">
        <f aca="false">IF(INDEX(BookTitle,327)="","",INDEX(BookCategory,327))</f>
        <v/>
      </c>
      <c r="H332" s="40" t="str">
        <f aca="false">IF(INDEX(BookTitle,327)="","",INDEX(BookRank,327))</f>
        <v/>
      </c>
      <c r="I332" s="41" t="str">
        <f aca="false">IF(INDEX(BookTitle,327)="","",INDEX(BookTotal,327))</f>
        <v/>
      </c>
      <c r="J332" s="0" t="str">
        <f aca="false">IF($I332="","",IF(INDEX(BookQ1,327)&gt;0,"Q1",IF(INDEX(BookQ2,327)&gt;0,"Q2",IF(INDEX(BookQ3,327)&gt;0,"Q3",IF(INDEX(BookQ4,327)&gt;0,"Q4","")))))</f>
        <v/>
      </c>
      <c r="K332" s="42" t="str">
        <f aca="false">IF(INDEX(BookTitle,327)="","",INDEX(BookInYear,327))</f>
        <v/>
      </c>
      <c r="L332" s="19"/>
      <c r="M332" s="39"/>
      <c r="N332" s="19"/>
      <c r="O332" s="19"/>
      <c r="P332" s="43" t="str">
        <f aca="false">IF($E332="","",IF($L332="Decline",0,IF($L332="Approve fewer",IF($M332="","",$M332),IF($L332="","",$I332))))</f>
        <v/>
      </c>
      <c r="Q332" s="34" t="str">
        <f aca="false">IF($P332="","",IF($N332&lt;&gt;"",$N332,$J332))</f>
        <v/>
      </c>
      <c r="R332" s="35" t="str">
        <f aca="false">IF(OR($P332="",$Q332=""),"",INDEX(BookRate,327)*$P332*(5-MATCH($Q332,{"Q1";"Q2";"Q3";"Q4"},0))/4+INDEX(BookOneOff,327)*$P332)</f>
        <v/>
      </c>
      <c r="S332" s="35" t="str">
        <f aca="false">IF($P332="","",INDEX(BookRate,327)*$P332)</f>
        <v/>
      </c>
      <c r="T332" s="35" t="str">
        <f aca="false">IF($R332="","",$R332-$K332)</f>
        <v/>
      </c>
      <c r="U332" s="35" t="str">
        <f aca="false">IF(N($P332)&lt;=0,"",COUNTIF($P$6:$P332,"&gt;0"))</f>
        <v/>
      </c>
    </row>
    <row r="333" customFormat="false" ht="15" hidden="false" customHeight="false" outlineLevel="0" collapsed="false">
      <c r="A333" s="40" t="str">
        <f aca="false">IF(INDEX(BookTitle,328)="","",INDEX(BookGroup,328))</f>
        <v/>
      </c>
      <c r="B333" s="40" t="str">
        <f aca="false">IF(INDEX(BookTitle,328)="","",INDEX(BookRef,328))</f>
        <v/>
      </c>
      <c r="C333" s="40" t="str">
        <f aca="false">IF(INDEX(BookTitle,328)="","",INDEX(BookDivision,328))</f>
        <v/>
      </c>
      <c r="D333" s="40" t="str">
        <f aca="false">IF(INDEX(BookTitle,328)="","",INDEX(BookUnit,328))</f>
        <v/>
      </c>
      <c r="E333" s="40" t="str">
        <f aca="false">IF(INDEX(BookTitle,328)="","",INDEX(BookTitle,328))</f>
        <v/>
      </c>
      <c r="F333" s="40" t="str">
        <f aca="false">IF(INDEX(BookTitle,328)="","",INDEX(BookLevel,328))</f>
        <v/>
      </c>
      <c r="G333" s="40" t="str">
        <f aca="false">IF(INDEX(BookTitle,328)="","",INDEX(BookCategory,328))</f>
        <v/>
      </c>
      <c r="H333" s="40" t="str">
        <f aca="false">IF(INDEX(BookTitle,328)="","",INDEX(BookRank,328))</f>
        <v/>
      </c>
      <c r="I333" s="41" t="str">
        <f aca="false">IF(INDEX(BookTitle,328)="","",INDEX(BookTotal,328))</f>
        <v/>
      </c>
      <c r="J333" s="0" t="str">
        <f aca="false">IF($I333="","",IF(INDEX(BookQ1,328)&gt;0,"Q1",IF(INDEX(BookQ2,328)&gt;0,"Q2",IF(INDEX(BookQ3,328)&gt;0,"Q3",IF(INDEX(BookQ4,328)&gt;0,"Q4","")))))</f>
        <v/>
      </c>
      <c r="K333" s="42" t="str">
        <f aca="false">IF(INDEX(BookTitle,328)="","",INDEX(BookInYear,328))</f>
        <v/>
      </c>
      <c r="L333" s="19"/>
      <c r="M333" s="39"/>
      <c r="N333" s="19"/>
      <c r="O333" s="19"/>
      <c r="P333" s="43" t="str">
        <f aca="false">IF($E333="","",IF($L333="Decline",0,IF($L333="Approve fewer",IF($M333="","",$M333),IF($L333="","",$I333))))</f>
        <v/>
      </c>
      <c r="Q333" s="34" t="str">
        <f aca="false">IF($P333="","",IF($N333&lt;&gt;"",$N333,$J333))</f>
        <v/>
      </c>
      <c r="R333" s="35" t="str">
        <f aca="false">IF(OR($P333="",$Q333=""),"",INDEX(BookRate,328)*$P333*(5-MATCH($Q333,{"Q1";"Q2";"Q3";"Q4"},0))/4+INDEX(BookOneOff,328)*$P333)</f>
        <v/>
      </c>
      <c r="S333" s="35" t="str">
        <f aca="false">IF($P333="","",INDEX(BookRate,328)*$P333)</f>
        <v/>
      </c>
      <c r="T333" s="35" t="str">
        <f aca="false">IF($R333="","",$R333-$K333)</f>
        <v/>
      </c>
      <c r="U333" s="35" t="str">
        <f aca="false">IF(N($P333)&lt;=0,"",COUNTIF($P$6:$P333,"&gt;0"))</f>
        <v/>
      </c>
    </row>
    <row r="334" customFormat="false" ht="15" hidden="false" customHeight="false" outlineLevel="0" collapsed="false">
      <c r="A334" s="40" t="str">
        <f aca="false">IF(INDEX(BookTitle,329)="","",INDEX(BookGroup,329))</f>
        <v/>
      </c>
      <c r="B334" s="40" t="str">
        <f aca="false">IF(INDEX(BookTitle,329)="","",INDEX(BookRef,329))</f>
        <v/>
      </c>
      <c r="C334" s="40" t="str">
        <f aca="false">IF(INDEX(BookTitle,329)="","",INDEX(BookDivision,329))</f>
        <v/>
      </c>
      <c r="D334" s="40" t="str">
        <f aca="false">IF(INDEX(BookTitle,329)="","",INDEX(BookUnit,329))</f>
        <v/>
      </c>
      <c r="E334" s="40" t="str">
        <f aca="false">IF(INDEX(BookTitle,329)="","",INDEX(BookTitle,329))</f>
        <v/>
      </c>
      <c r="F334" s="40" t="str">
        <f aca="false">IF(INDEX(BookTitle,329)="","",INDEX(BookLevel,329))</f>
        <v/>
      </c>
      <c r="G334" s="40" t="str">
        <f aca="false">IF(INDEX(BookTitle,329)="","",INDEX(BookCategory,329))</f>
        <v/>
      </c>
      <c r="H334" s="40" t="str">
        <f aca="false">IF(INDEX(BookTitle,329)="","",INDEX(BookRank,329))</f>
        <v/>
      </c>
      <c r="I334" s="41" t="str">
        <f aca="false">IF(INDEX(BookTitle,329)="","",INDEX(BookTotal,329))</f>
        <v/>
      </c>
      <c r="J334" s="0" t="str">
        <f aca="false">IF($I334="","",IF(INDEX(BookQ1,329)&gt;0,"Q1",IF(INDEX(BookQ2,329)&gt;0,"Q2",IF(INDEX(BookQ3,329)&gt;0,"Q3",IF(INDEX(BookQ4,329)&gt;0,"Q4","")))))</f>
        <v/>
      </c>
      <c r="K334" s="42" t="str">
        <f aca="false">IF(INDEX(BookTitle,329)="","",INDEX(BookInYear,329))</f>
        <v/>
      </c>
      <c r="L334" s="19"/>
      <c r="M334" s="39"/>
      <c r="N334" s="19"/>
      <c r="O334" s="19"/>
      <c r="P334" s="43" t="str">
        <f aca="false">IF($E334="","",IF($L334="Decline",0,IF($L334="Approve fewer",IF($M334="","",$M334),IF($L334="","",$I334))))</f>
        <v/>
      </c>
      <c r="Q334" s="34" t="str">
        <f aca="false">IF($P334="","",IF($N334&lt;&gt;"",$N334,$J334))</f>
        <v/>
      </c>
      <c r="R334" s="35" t="str">
        <f aca="false">IF(OR($P334="",$Q334=""),"",INDEX(BookRate,329)*$P334*(5-MATCH($Q334,{"Q1";"Q2";"Q3";"Q4"},0))/4+INDEX(BookOneOff,329)*$P334)</f>
        <v/>
      </c>
      <c r="S334" s="35" t="str">
        <f aca="false">IF($P334="","",INDEX(BookRate,329)*$P334)</f>
        <v/>
      </c>
      <c r="T334" s="35" t="str">
        <f aca="false">IF($R334="","",$R334-$K334)</f>
        <v/>
      </c>
      <c r="U334" s="35" t="str">
        <f aca="false">IF(N($P334)&lt;=0,"",COUNTIF($P$6:$P334,"&gt;0"))</f>
        <v/>
      </c>
    </row>
    <row r="335" customFormat="false" ht="15" hidden="false" customHeight="false" outlineLevel="0" collapsed="false">
      <c r="A335" s="40" t="str">
        <f aca="false">IF(INDEX(BookTitle,330)="","",INDEX(BookGroup,330))</f>
        <v/>
      </c>
      <c r="B335" s="40" t="str">
        <f aca="false">IF(INDEX(BookTitle,330)="","",INDEX(BookRef,330))</f>
        <v/>
      </c>
      <c r="C335" s="40" t="str">
        <f aca="false">IF(INDEX(BookTitle,330)="","",INDEX(BookDivision,330))</f>
        <v/>
      </c>
      <c r="D335" s="40" t="str">
        <f aca="false">IF(INDEX(BookTitle,330)="","",INDEX(BookUnit,330))</f>
        <v/>
      </c>
      <c r="E335" s="40" t="str">
        <f aca="false">IF(INDEX(BookTitle,330)="","",INDEX(BookTitle,330))</f>
        <v/>
      </c>
      <c r="F335" s="40" t="str">
        <f aca="false">IF(INDEX(BookTitle,330)="","",INDEX(BookLevel,330))</f>
        <v/>
      </c>
      <c r="G335" s="40" t="str">
        <f aca="false">IF(INDEX(BookTitle,330)="","",INDEX(BookCategory,330))</f>
        <v/>
      </c>
      <c r="H335" s="40" t="str">
        <f aca="false">IF(INDEX(BookTitle,330)="","",INDEX(BookRank,330))</f>
        <v/>
      </c>
      <c r="I335" s="41" t="str">
        <f aca="false">IF(INDEX(BookTitle,330)="","",INDEX(BookTotal,330))</f>
        <v/>
      </c>
      <c r="J335" s="0" t="str">
        <f aca="false">IF($I335="","",IF(INDEX(BookQ1,330)&gt;0,"Q1",IF(INDEX(BookQ2,330)&gt;0,"Q2",IF(INDEX(BookQ3,330)&gt;0,"Q3",IF(INDEX(BookQ4,330)&gt;0,"Q4","")))))</f>
        <v/>
      </c>
      <c r="K335" s="42" t="str">
        <f aca="false">IF(INDEX(BookTitle,330)="","",INDEX(BookInYear,330))</f>
        <v/>
      </c>
      <c r="L335" s="19"/>
      <c r="M335" s="39"/>
      <c r="N335" s="19"/>
      <c r="O335" s="19"/>
      <c r="P335" s="43" t="str">
        <f aca="false">IF($E335="","",IF($L335="Decline",0,IF($L335="Approve fewer",IF($M335="","",$M335),IF($L335="","",$I335))))</f>
        <v/>
      </c>
      <c r="Q335" s="34" t="str">
        <f aca="false">IF($P335="","",IF($N335&lt;&gt;"",$N335,$J335))</f>
        <v/>
      </c>
      <c r="R335" s="35" t="str">
        <f aca="false">IF(OR($P335="",$Q335=""),"",INDEX(BookRate,330)*$P335*(5-MATCH($Q335,{"Q1";"Q2";"Q3";"Q4"},0))/4+INDEX(BookOneOff,330)*$P335)</f>
        <v/>
      </c>
      <c r="S335" s="35" t="str">
        <f aca="false">IF($P335="","",INDEX(BookRate,330)*$P335)</f>
        <v/>
      </c>
      <c r="T335" s="35" t="str">
        <f aca="false">IF($R335="","",$R335-$K335)</f>
        <v/>
      </c>
      <c r="U335" s="35" t="str">
        <f aca="false">IF(N($P335)&lt;=0,"",COUNTIF($P$6:$P335,"&gt;0"))</f>
        <v/>
      </c>
    </row>
    <row r="336" customFormat="false" ht="15" hidden="false" customHeight="false" outlineLevel="0" collapsed="false">
      <c r="A336" s="40" t="str">
        <f aca="false">IF(INDEX(BookTitle,331)="","",INDEX(BookGroup,331))</f>
        <v/>
      </c>
      <c r="B336" s="40" t="str">
        <f aca="false">IF(INDEX(BookTitle,331)="","",INDEX(BookRef,331))</f>
        <v/>
      </c>
      <c r="C336" s="40" t="str">
        <f aca="false">IF(INDEX(BookTitle,331)="","",INDEX(BookDivision,331))</f>
        <v/>
      </c>
      <c r="D336" s="40" t="str">
        <f aca="false">IF(INDEX(BookTitle,331)="","",INDEX(BookUnit,331))</f>
        <v/>
      </c>
      <c r="E336" s="40" t="str">
        <f aca="false">IF(INDEX(BookTitle,331)="","",INDEX(BookTitle,331))</f>
        <v/>
      </c>
      <c r="F336" s="40" t="str">
        <f aca="false">IF(INDEX(BookTitle,331)="","",INDEX(BookLevel,331))</f>
        <v/>
      </c>
      <c r="G336" s="40" t="str">
        <f aca="false">IF(INDEX(BookTitle,331)="","",INDEX(BookCategory,331))</f>
        <v/>
      </c>
      <c r="H336" s="40" t="str">
        <f aca="false">IF(INDEX(BookTitle,331)="","",INDEX(BookRank,331))</f>
        <v/>
      </c>
      <c r="I336" s="41" t="str">
        <f aca="false">IF(INDEX(BookTitle,331)="","",INDEX(BookTotal,331))</f>
        <v/>
      </c>
      <c r="J336" s="0" t="str">
        <f aca="false">IF($I336="","",IF(INDEX(BookQ1,331)&gt;0,"Q1",IF(INDEX(BookQ2,331)&gt;0,"Q2",IF(INDEX(BookQ3,331)&gt;0,"Q3",IF(INDEX(BookQ4,331)&gt;0,"Q4","")))))</f>
        <v/>
      </c>
      <c r="K336" s="42" t="str">
        <f aca="false">IF(INDEX(BookTitle,331)="","",INDEX(BookInYear,331))</f>
        <v/>
      </c>
      <c r="L336" s="19"/>
      <c r="M336" s="39"/>
      <c r="N336" s="19"/>
      <c r="O336" s="19"/>
      <c r="P336" s="43" t="str">
        <f aca="false">IF($E336="","",IF($L336="Decline",0,IF($L336="Approve fewer",IF($M336="","",$M336),IF($L336="","",$I336))))</f>
        <v/>
      </c>
      <c r="Q336" s="34" t="str">
        <f aca="false">IF($P336="","",IF($N336&lt;&gt;"",$N336,$J336))</f>
        <v/>
      </c>
      <c r="R336" s="35" t="str">
        <f aca="false">IF(OR($P336="",$Q336=""),"",INDEX(BookRate,331)*$P336*(5-MATCH($Q336,{"Q1";"Q2";"Q3";"Q4"},0))/4+INDEX(BookOneOff,331)*$P336)</f>
        <v/>
      </c>
      <c r="S336" s="35" t="str">
        <f aca="false">IF($P336="","",INDEX(BookRate,331)*$P336)</f>
        <v/>
      </c>
      <c r="T336" s="35" t="str">
        <f aca="false">IF($R336="","",$R336-$K336)</f>
        <v/>
      </c>
      <c r="U336" s="35" t="str">
        <f aca="false">IF(N($P336)&lt;=0,"",COUNTIF($P$6:$P336,"&gt;0"))</f>
        <v/>
      </c>
    </row>
    <row r="337" customFormat="false" ht="15" hidden="false" customHeight="false" outlineLevel="0" collapsed="false">
      <c r="A337" s="40" t="str">
        <f aca="false">IF(INDEX(BookTitle,332)="","",INDEX(BookGroup,332))</f>
        <v/>
      </c>
      <c r="B337" s="40" t="str">
        <f aca="false">IF(INDEX(BookTitle,332)="","",INDEX(BookRef,332))</f>
        <v/>
      </c>
      <c r="C337" s="40" t="str">
        <f aca="false">IF(INDEX(BookTitle,332)="","",INDEX(BookDivision,332))</f>
        <v/>
      </c>
      <c r="D337" s="40" t="str">
        <f aca="false">IF(INDEX(BookTitle,332)="","",INDEX(BookUnit,332))</f>
        <v/>
      </c>
      <c r="E337" s="40" t="str">
        <f aca="false">IF(INDEX(BookTitle,332)="","",INDEX(BookTitle,332))</f>
        <v/>
      </c>
      <c r="F337" s="40" t="str">
        <f aca="false">IF(INDEX(BookTitle,332)="","",INDEX(BookLevel,332))</f>
        <v/>
      </c>
      <c r="G337" s="40" t="str">
        <f aca="false">IF(INDEX(BookTitle,332)="","",INDEX(BookCategory,332))</f>
        <v/>
      </c>
      <c r="H337" s="40" t="str">
        <f aca="false">IF(INDEX(BookTitle,332)="","",INDEX(BookRank,332))</f>
        <v/>
      </c>
      <c r="I337" s="41" t="str">
        <f aca="false">IF(INDEX(BookTitle,332)="","",INDEX(BookTotal,332))</f>
        <v/>
      </c>
      <c r="J337" s="0" t="str">
        <f aca="false">IF($I337="","",IF(INDEX(BookQ1,332)&gt;0,"Q1",IF(INDEX(BookQ2,332)&gt;0,"Q2",IF(INDEX(BookQ3,332)&gt;0,"Q3",IF(INDEX(BookQ4,332)&gt;0,"Q4","")))))</f>
        <v/>
      </c>
      <c r="K337" s="42" t="str">
        <f aca="false">IF(INDEX(BookTitle,332)="","",INDEX(BookInYear,332))</f>
        <v/>
      </c>
      <c r="L337" s="19"/>
      <c r="M337" s="39"/>
      <c r="N337" s="19"/>
      <c r="O337" s="19"/>
      <c r="P337" s="43" t="str">
        <f aca="false">IF($E337="","",IF($L337="Decline",0,IF($L337="Approve fewer",IF($M337="","",$M337),IF($L337="","",$I337))))</f>
        <v/>
      </c>
      <c r="Q337" s="34" t="str">
        <f aca="false">IF($P337="","",IF($N337&lt;&gt;"",$N337,$J337))</f>
        <v/>
      </c>
      <c r="R337" s="35" t="str">
        <f aca="false">IF(OR($P337="",$Q337=""),"",INDEX(BookRate,332)*$P337*(5-MATCH($Q337,{"Q1";"Q2";"Q3";"Q4"},0))/4+INDEX(BookOneOff,332)*$P337)</f>
        <v/>
      </c>
      <c r="S337" s="35" t="str">
        <f aca="false">IF($P337="","",INDEX(BookRate,332)*$P337)</f>
        <v/>
      </c>
      <c r="T337" s="35" t="str">
        <f aca="false">IF($R337="","",$R337-$K337)</f>
        <v/>
      </c>
      <c r="U337" s="35" t="str">
        <f aca="false">IF(N($P337)&lt;=0,"",COUNTIF($P$6:$P337,"&gt;0"))</f>
        <v/>
      </c>
    </row>
    <row r="338" customFormat="false" ht="15" hidden="false" customHeight="false" outlineLevel="0" collapsed="false">
      <c r="A338" s="40" t="str">
        <f aca="false">IF(INDEX(BookTitle,333)="","",INDEX(BookGroup,333))</f>
        <v/>
      </c>
      <c r="B338" s="40" t="str">
        <f aca="false">IF(INDEX(BookTitle,333)="","",INDEX(BookRef,333))</f>
        <v/>
      </c>
      <c r="C338" s="40" t="str">
        <f aca="false">IF(INDEX(BookTitle,333)="","",INDEX(BookDivision,333))</f>
        <v/>
      </c>
      <c r="D338" s="40" t="str">
        <f aca="false">IF(INDEX(BookTitle,333)="","",INDEX(BookUnit,333))</f>
        <v/>
      </c>
      <c r="E338" s="40" t="str">
        <f aca="false">IF(INDEX(BookTitle,333)="","",INDEX(BookTitle,333))</f>
        <v/>
      </c>
      <c r="F338" s="40" t="str">
        <f aca="false">IF(INDEX(BookTitle,333)="","",INDEX(BookLevel,333))</f>
        <v/>
      </c>
      <c r="G338" s="40" t="str">
        <f aca="false">IF(INDEX(BookTitle,333)="","",INDEX(BookCategory,333))</f>
        <v/>
      </c>
      <c r="H338" s="40" t="str">
        <f aca="false">IF(INDEX(BookTitle,333)="","",INDEX(BookRank,333))</f>
        <v/>
      </c>
      <c r="I338" s="41" t="str">
        <f aca="false">IF(INDEX(BookTitle,333)="","",INDEX(BookTotal,333))</f>
        <v/>
      </c>
      <c r="J338" s="0" t="str">
        <f aca="false">IF($I338="","",IF(INDEX(BookQ1,333)&gt;0,"Q1",IF(INDEX(BookQ2,333)&gt;0,"Q2",IF(INDEX(BookQ3,333)&gt;0,"Q3",IF(INDEX(BookQ4,333)&gt;0,"Q4","")))))</f>
        <v/>
      </c>
      <c r="K338" s="42" t="str">
        <f aca="false">IF(INDEX(BookTitle,333)="","",INDEX(BookInYear,333))</f>
        <v/>
      </c>
      <c r="L338" s="19"/>
      <c r="M338" s="39"/>
      <c r="N338" s="19"/>
      <c r="O338" s="19"/>
      <c r="P338" s="43" t="str">
        <f aca="false">IF($E338="","",IF($L338="Decline",0,IF($L338="Approve fewer",IF($M338="","",$M338),IF($L338="","",$I338))))</f>
        <v/>
      </c>
      <c r="Q338" s="34" t="str">
        <f aca="false">IF($P338="","",IF($N338&lt;&gt;"",$N338,$J338))</f>
        <v/>
      </c>
      <c r="R338" s="35" t="str">
        <f aca="false">IF(OR($P338="",$Q338=""),"",INDEX(BookRate,333)*$P338*(5-MATCH($Q338,{"Q1";"Q2";"Q3";"Q4"},0))/4+INDEX(BookOneOff,333)*$P338)</f>
        <v/>
      </c>
      <c r="S338" s="35" t="str">
        <f aca="false">IF($P338="","",INDEX(BookRate,333)*$P338)</f>
        <v/>
      </c>
      <c r="T338" s="35" t="str">
        <f aca="false">IF($R338="","",$R338-$K338)</f>
        <v/>
      </c>
      <c r="U338" s="35" t="str">
        <f aca="false">IF(N($P338)&lt;=0,"",COUNTIF($P$6:$P338,"&gt;0"))</f>
        <v/>
      </c>
    </row>
    <row r="339" customFormat="false" ht="15" hidden="false" customHeight="false" outlineLevel="0" collapsed="false">
      <c r="A339" s="40" t="str">
        <f aca="false">IF(INDEX(BookTitle,334)="","",INDEX(BookGroup,334))</f>
        <v/>
      </c>
      <c r="B339" s="40" t="str">
        <f aca="false">IF(INDEX(BookTitle,334)="","",INDEX(BookRef,334))</f>
        <v/>
      </c>
      <c r="C339" s="40" t="str">
        <f aca="false">IF(INDEX(BookTitle,334)="","",INDEX(BookDivision,334))</f>
        <v/>
      </c>
      <c r="D339" s="40" t="str">
        <f aca="false">IF(INDEX(BookTitle,334)="","",INDEX(BookUnit,334))</f>
        <v/>
      </c>
      <c r="E339" s="40" t="str">
        <f aca="false">IF(INDEX(BookTitle,334)="","",INDEX(BookTitle,334))</f>
        <v/>
      </c>
      <c r="F339" s="40" t="str">
        <f aca="false">IF(INDEX(BookTitle,334)="","",INDEX(BookLevel,334))</f>
        <v/>
      </c>
      <c r="G339" s="40" t="str">
        <f aca="false">IF(INDEX(BookTitle,334)="","",INDEX(BookCategory,334))</f>
        <v/>
      </c>
      <c r="H339" s="40" t="str">
        <f aca="false">IF(INDEX(BookTitle,334)="","",INDEX(BookRank,334))</f>
        <v/>
      </c>
      <c r="I339" s="41" t="str">
        <f aca="false">IF(INDEX(BookTitle,334)="","",INDEX(BookTotal,334))</f>
        <v/>
      </c>
      <c r="J339" s="0" t="str">
        <f aca="false">IF($I339="","",IF(INDEX(BookQ1,334)&gt;0,"Q1",IF(INDEX(BookQ2,334)&gt;0,"Q2",IF(INDEX(BookQ3,334)&gt;0,"Q3",IF(INDEX(BookQ4,334)&gt;0,"Q4","")))))</f>
        <v/>
      </c>
      <c r="K339" s="42" t="str">
        <f aca="false">IF(INDEX(BookTitle,334)="","",INDEX(BookInYear,334))</f>
        <v/>
      </c>
      <c r="L339" s="19"/>
      <c r="M339" s="39"/>
      <c r="N339" s="19"/>
      <c r="O339" s="19"/>
      <c r="P339" s="43" t="str">
        <f aca="false">IF($E339="","",IF($L339="Decline",0,IF($L339="Approve fewer",IF($M339="","",$M339),IF($L339="","",$I339))))</f>
        <v/>
      </c>
      <c r="Q339" s="34" t="str">
        <f aca="false">IF($P339="","",IF($N339&lt;&gt;"",$N339,$J339))</f>
        <v/>
      </c>
      <c r="R339" s="35" t="str">
        <f aca="false">IF(OR($P339="",$Q339=""),"",INDEX(BookRate,334)*$P339*(5-MATCH($Q339,{"Q1";"Q2";"Q3";"Q4"},0))/4+INDEX(BookOneOff,334)*$P339)</f>
        <v/>
      </c>
      <c r="S339" s="35" t="str">
        <f aca="false">IF($P339="","",INDEX(BookRate,334)*$P339)</f>
        <v/>
      </c>
      <c r="T339" s="35" t="str">
        <f aca="false">IF($R339="","",$R339-$K339)</f>
        <v/>
      </c>
      <c r="U339" s="35" t="str">
        <f aca="false">IF(N($P339)&lt;=0,"",COUNTIF($P$6:$P339,"&gt;0"))</f>
        <v/>
      </c>
    </row>
    <row r="340" customFormat="false" ht="15" hidden="false" customHeight="false" outlineLevel="0" collapsed="false">
      <c r="A340" s="40" t="str">
        <f aca="false">IF(INDEX(BookTitle,335)="","",INDEX(BookGroup,335))</f>
        <v/>
      </c>
      <c r="B340" s="40" t="str">
        <f aca="false">IF(INDEX(BookTitle,335)="","",INDEX(BookRef,335))</f>
        <v/>
      </c>
      <c r="C340" s="40" t="str">
        <f aca="false">IF(INDEX(BookTitle,335)="","",INDEX(BookDivision,335))</f>
        <v/>
      </c>
      <c r="D340" s="40" t="str">
        <f aca="false">IF(INDEX(BookTitle,335)="","",INDEX(BookUnit,335))</f>
        <v/>
      </c>
      <c r="E340" s="40" t="str">
        <f aca="false">IF(INDEX(BookTitle,335)="","",INDEX(BookTitle,335))</f>
        <v/>
      </c>
      <c r="F340" s="40" t="str">
        <f aca="false">IF(INDEX(BookTitle,335)="","",INDEX(BookLevel,335))</f>
        <v/>
      </c>
      <c r="G340" s="40" t="str">
        <f aca="false">IF(INDEX(BookTitle,335)="","",INDEX(BookCategory,335))</f>
        <v/>
      </c>
      <c r="H340" s="40" t="str">
        <f aca="false">IF(INDEX(BookTitle,335)="","",INDEX(BookRank,335))</f>
        <v/>
      </c>
      <c r="I340" s="41" t="str">
        <f aca="false">IF(INDEX(BookTitle,335)="","",INDEX(BookTotal,335))</f>
        <v/>
      </c>
      <c r="J340" s="0" t="str">
        <f aca="false">IF($I340="","",IF(INDEX(BookQ1,335)&gt;0,"Q1",IF(INDEX(BookQ2,335)&gt;0,"Q2",IF(INDEX(BookQ3,335)&gt;0,"Q3",IF(INDEX(BookQ4,335)&gt;0,"Q4","")))))</f>
        <v/>
      </c>
      <c r="K340" s="42" t="str">
        <f aca="false">IF(INDEX(BookTitle,335)="","",INDEX(BookInYear,335))</f>
        <v/>
      </c>
      <c r="L340" s="19"/>
      <c r="M340" s="39"/>
      <c r="N340" s="19"/>
      <c r="O340" s="19"/>
      <c r="P340" s="43" t="str">
        <f aca="false">IF($E340="","",IF($L340="Decline",0,IF($L340="Approve fewer",IF($M340="","",$M340),IF($L340="","",$I340))))</f>
        <v/>
      </c>
      <c r="Q340" s="34" t="str">
        <f aca="false">IF($P340="","",IF($N340&lt;&gt;"",$N340,$J340))</f>
        <v/>
      </c>
      <c r="R340" s="35" t="str">
        <f aca="false">IF(OR($P340="",$Q340=""),"",INDEX(BookRate,335)*$P340*(5-MATCH($Q340,{"Q1";"Q2";"Q3";"Q4"},0))/4+INDEX(BookOneOff,335)*$P340)</f>
        <v/>
      </c>
      <c r="S340" s="35" t="str">
        <f aca="false">IF($P340="","",INDEX(BookRate,335)*$P340)</f>
        <v/>
      </c>
      <c r="T340" s="35" t="str">
        <f aca="false">IF($R340="","",$R340-$K340)</f>
        <v/>
      </c>
      <c r="U340" s="35" t="str">
        <f aca="false">IF(N($P340)&lt;=0,"",COUNTIF($P$6:$P340,"&gt;0"))</f>
        <v/>
      </c>
    </row>
    <row r="341" customFormat="false" ht="15" hidden="false" customHeight="false" outlineLevel="0" collapsed="false">
      <c r="A341" s="40" t="str">
        <f aca="false">IF(INDEX(BookTitle,336)="","",INDEX(BookGroup,336))</f>
        <v/>
      </c>
      <c r="B341" s="40" t="str">
        <f aca="false">IF(INDEX(BookTitle,336)="","",INDEX(BookRef,336))</f>
        <v/>
      </c>
      <c r="C341" s="40" t="str">
        <f aca="false">IF(INDEX(BookTitle,336)="","",INDEX(BookDivision,336))</f>
        <v/>
      </c>
      <c r="D341" s="40" t="str">
        <f aca="false">IF(INDEX(BookTitle,336)="","",INDEX(BookUnit,336))</f>
        <v/>
      </c>
      <c r="E341" s="40" t="str">
        <f aca="false">IF(INDEX(BookTitle,336)="","",INDEX(BookTitle,336))</f>
        <v/>
      </c>
      <c r="F341" s="40" t="str">
        <f aca="false">IF(INDEX(BookTitle,336)="","",INDEX(BookLevel,336))</f>
        <v/>
      </c>
      <c r="G341" s="40" t="str">
        <f aca="false">IF(INDEX(BookTitle,336)="","",INDEX(BookCategory,336))</f>
        <v/>
      </c>
      <c r="H341" s="40" t="str">
        <f aca="false">IF(INDEX(BookTitle,336)="","",INDEX(BookRank,336))</f>
        <v/>
      </c>
      <c r="I341" s="41" t="str">
        <f aca="false">IF(INDEX(BookTitle,336)="","",INDEX(BookTotal,336))</f>
        <v/>
      </c>
      <c r="J341" s="0" t="str">
        <f aca="false">IF($I341="","",IF(INDEX(BookQ1,336)&gt;0,"Q1",IF(INDEX(BookQ2,336)&gt;0,"Q2",IF(INDEX(BookQ3,336)&gt;0,"Q3",IF(INDEX(BookQ4,336)&gt;0,"Q4","")))))</f>
        <v/>
      </c>
      <c r="K341" s="42" t="str">
        <f aca="false">IF(INDEX(BookTitle,336)="","",INDEX(BookInYear,336))</f>
        <v/>
      </c>
      <c r="L341" s="19"/>
      <c r="M341" s="39"/>
      <c r="N341" s="19"/>
      <c r="O341" s="19"/>
      <c r="P341" s="43" t="str">
        <f aca="false">IF($E341="","",IF($L341="Decline",0,IF($L341="Approve fewer",IF($M341="","",$M341),IF($L341="","",$I341))))</f>
        <v/>
      </c>
      <c r="Q341" s="34" t="str">
        <f aca="false">IF($P341="","",IF($N341&lt;&gt;"",$N341,$J341))</f>
        <v/>
      </c>
      <c r="R341" s="35" t="str">
        <f aca="false">IF(OR($P341="",$Q341=""),"",INDEX(BookRate,336)*$P341*(5-MATCH($Q341,{"Q1";"Q2";"Q3";"Q4"},0))/4+INDEX(BookOneOff,336)*$P341)</f>
        <v/>
      </c>
      <c r="S341" s="35" t="str">
        <f aca="false">IF($P341="","",INDEX(BookRate,336)*$P341)</f>
        <v/>
      </c>
      <c r="T341" s="35" t="str">
        <f aca="false">IF($R341="","",$R341-$K341)</f>
        <v/>
      </c>
      <c r="U341" s="35" t="str">
        <f aca="false">IF(N($P341)&lt;=0,"",COUNTIF($P$6:$P341,"&gt;0"))</f>
        <v/>
      </c>
    </row>
    <row r="342" customFormat="false" ht="15" hidden="false" customHeight="false" outlineLevel="0" collapsed="false">
      <c r="A342" s="40" t="str">
        <f aca="false">IF(INDEX(BookTitle,337)="","",INDEX(BookGroup,337))</f>
        <v/>
      </c>
      <c r="B342" s="40" t="str">
        <f aca="false">IF(INDEX(BookTitle,337)="","",INDEX(BookRef,337))</f>
        <v/>
      </c>
      <c r="C342" s="40" t="str">
        <f aca="false">IF(INDEX(BookTitle,337)="","",INDEX(BookDivision,337))</f>
        <v/>
      </c>
      <c r="D342" s="40" t="str">
        <f aca="false">IF(INDEX(BookTitle,337)="","",INDEX(BookUnit,337))</f>
        <v/>
      </c>
      <c r="E342" s="40" t="str">
        <f aca="false">IF(INDEX(BookTitle,337)="","",INDEX(BookTitle,337))</f>
        <v/>
      </c>
      <c r="F342" s="40" t="str">
        <f aca="false">IF(INDEX(BookTitle,337)="","",INDEX(BookLevel,337))</f>
        <v/>
      </c>
      <c r="G342" s="40" t="str">
        <f aca="false">IF(INDEX(BookTitle,337)="","",INDEX(BookCategory,337))</f>
        <v/>
      </c>
      <c r="H342" s="40" t="str">
        <f aca="false">IF(INDEX(BookTitle,337)="","",INDEX(BookRank,337))</f>
        <v/>
      </c>
      <c r="I342" s="41" t="str">
        <f aca="false">IF(INDEX(BookTitle,337)="","",INDEX(BookTotal,337))</f>
        <v/>
      </c>
      <c r="J342" s="0" t="str">
        <f aca="false">IF($I342="","",IF(INDEX(BookQ1,337)&gt;0,"Q1",IF(INDEX(BookQ2,337)&gt;0,"Q2",IF(INDEX(BookQ3,337)&gt;0,"Q3",IF(INDEX(BookQ4,337)&gt;0,"Q4","")))))</f>
        <v/>
      </c>
      <c r="K342" s="42" t="str">
        <f aca="false">IF(INDEX(BookTitle,337)="","",INDEX(BookInYear,337))</f>
        <v/>
      </c>
      <c r="L342" s="19"/>
      <c r="M342" s="39"/>
      <c r="N342" s="19"/>
      <c r="O342" s="19"/>
      <c r="P342" s="43" t="str">
        <f aca="false">IF($E342="","",IF($L342="Decline",0,IF($L342="Approve fewer",IF($M342="","",$M342),IF($L342="","",$I342))))</f>
        <v/>
      </c>
      <c r="Q342" s="34" t="str">
        <f aca="false">IF($P342="","",IF($N342&lt;&gt;"",$N342,$J342))</f>
        <v/>
      </c>
      <c r="R342" s="35" t="str">
        <f aca="false">IF(OR($P342="",$Q342=""),"",INDEX(BookRate,337)*$P342*(5-MATCH($Q342,{"Q1";"Q2";"Q3";"Q4"},0))/4+INDEX(BookOneOff,337)*$P342)</f>
        <v/>
      </c>
      <c r="S342" s="35" t="str">
        <f aca="false">IF($P342="","",INDEX(BookRate,337)*$P342)</f>
        <v/>
      </c>
      <c r="T342" s="35" t="str">
        <f aca="false">IF($R342="","",$R342-$K342)</f>
        <v/>
      </c>
      <c r="U342" s="35" t="str">
        <f aca="false">IF(N($P342)&lt;=0,"",COUNTIF($P$6:$P342,"&gt;0"))</f>
        <v/>
      </c>
    </row>
    <row r="343" customFormat="false" ht="15" hidden="false" customHeight="false" outlineLevel="0" collapsed="false">
      <c r="A343" s="40" t="str">
        <f aca="false">IF(INDEX(BookTitle,338)="","",INDEX(BookGroup,338))</f>
        <v/>
      </c>
      <c r="B343" s="40" t="str">
        <f aca="false">IF(INDEX(BookTitle,338)="","",INDEX(BookRef,338))</f>
        <v/>
      </c>
      <c r="C343" s="40" t="str">
        <f aca="false">IF(INDEX(BookTitle,338)="","",INDEX(BookDivision,338))</f>
        <v/>
      </c>
      <c r="D343" s="40" t="str">
        <f aca="false">IF(INDEX(BookTitle,338)="","",INDEX(BookUnit,338))</f>
        <v/>
      </c>
      <c r="E343" s="40" t="str">
        <f aca="false">IF(INDEX(BookTitle,338)="","",INDEX(BookTitle,338))</f>
        <v/>
      </c>
      <c r="F343" s="40" t="str">
        <f aca="false">IF(INDEX(BookTitle,338)="","",INDEX(BookLevel,338))</f>
        <v/>
      </c>
      <c r="G343" s="40" t="str">
        <f aca="false">IF(INDEX(BookTitle,338)="","",INDEX(BookCategory,338))</f>
        <v/>
      </c>
      <c r="H343" s="40" t="str">
        <f aca="false">IF(INDEX(BookTitle,338)="","",INDEX(BookRank,338))</f>
        <v/>
      </c>
      <c r="I343" s="41" t="str">
        <f aca="false">IF(INDEX(BookTitle,338)="","",INDEX(BookTotal,338))</f>
        <v/>
      </c>
      <c r="J343" s="0" t="str">
        <f aca="false">IF($I343="","",IF(INDEX(BookQ1,338)&gt;0,"Q1",IF(INDEX(BookQ2,338)&gt;0,"Q2",IF(INDEX(BookQ3,338)&gt;0,"Q3",IF(INDEX(BookQ4,338)&gt;0,"Q4","")))))</f>
        <v/>
      </c>
      <c r="K343" s="42" t="str">
        <f aca="false">IF(INDEX(BookTitle,338)="","",INDEX(BookInYear,338))</f>
        <v/>
      </c>
      <c r="L343" s="19"/>
      <c r="M343" s="39"/>
      <c r="N343" s="19"/>
      <c r="O343" s="19"/>
      <c r="P343" s="43" t="str">
        <f aca="false">IF($E343="","",IF($L343="Decline",0,IF($L343="Approve fewer",IF($M343="","",$M343),IF($L343="","",$I343))))</f>
        <v/>
      </c>
      <c r="Q343" s="34" t="str">
        <f aca="false">IF($P343="","",IF($N343&lt;&gt;"",$N343,$J343))</f>
        <v/>
      </c>
      <c r="R343" s="35" t="str">
        <f aca="false">IF(OR($P343="",$Q343=""),"",INDEX(BookRate,338)*$P343*(5-MATCH($Q343,{"Q1";"Q2";"Q3";"Q4"},0))/4+INDEX(BookOneOff,338)*$P343)</f>
        <v/>
      </c>
      <c r="S343" s="35" t="str">
        <f aca="false">IF($P343="","",INDEX(BookRate,338)*$P343)</f>
        <v/>
      </c>
      <c r="T343" s="35" t="str">
        <f aca="false">IF($R343="","",$R343-$K343)</f>
        <v/>
      </c>
      <c r="U343" s="35" t="str">
        <f aca="false">IF(N($P343)&lt;=0,"",COUNTIF($P$6:$P343,"&gt;0"))</f>
        <v/>
      </c>
    </row>
    <row r="344" customFormat="false" ht="15" hidden="false" customHeight="false" outlineLevel="0" collapsed="false">
      <c r="A344" s="40" t="str">
        <f aca="false">IF(INDEX(BookTitle,339)="","",INDEX(BookGroup,339))</f>
        <v/>
      </c>
      <c r="B344" s="40" t="str">
        <f aca="false">IF(INDEX(BookTitle,339)="","",INDEX(BookRef,339))</f>
        <v/>
      </c>
      <c r="C344" s="40" t="str">
        <f aca="false">IF(INDEX(BookTitle,339)="","",INDEX(BookDivision,339))</f>
        <v/>
      </c>
      <c r="D344" s="40" t="str">
        <f aca="false">IF(INDEX(BookTitle,339)="","",INDEX(BookUnit,339))</f>
        <v/>
      </c>
      <c r="E344" s="40" t="str">
        <f aca="false">IF(INDEX(BookTitle,339)="","",INDEX(BookTitle,339))</f>
        <v/>
      </c>
      <c r="F344" s="40" t="str">
        <f aca="false">IF(INDEX(BookTitle,339)="","",INDEX(BookLevel,339))</f>
        <v/>
      </c>
      <c r="G344" s="40" t="str">
        <f aca="false">IF(INDEX(BookTitle,339)="","",INDEX(BookCategory,339))</f>
        <v/>
      </c>
      <c r="H344" s="40" t="str">
        <f aca="false">IF(INDEX(BookTitle,339)="","",INDEX(BookRank,339))</f>
        <v/>
      </c>
      <c r="I344" s="41" t="str">
        <f aca="false">IF(INDEX(BookTitle,339)="","",INDEX(BookTotal,339))</f>
        <v/>
      </c>
      <c r="J344" s="0" t="str">
        <f aca="false">IF($I344="","",IF(INDEX(BookQ1,339)&gt;0,"Q1",IF(INDEX(BookQ2,339)&gt;0,"Q2",IF(INDEX(BookQ3,339)&gt;0,"Q3",IF(INDEX(BookQ4,339)&gt;0,"Q4","")))))</f>
        <v/>
      </c>
      <c r="K344" s="42" t="str">
        <f aca="false">IF(INDEX(BookTitle,339)="","",INDEX(BookInYear,339))</f>
        <v/>
      </c>
      <c r="L344" s="19"/>
      <c r="M344" s="39"/>
      <c r="N344" s="19"/>
      <c r="O344" s="19"/>
      <c r="P344" s="43" t="str">
        <f aca="false">IF($E344="","",IF($L344="Decline",0,IF($L344="Approve fewer",IF($M344="","",$M344),IF($L344="","",$I344))))</f>
        <v/>
      </c>
      <c r="Q344" s="34" t="str">
        <f aca="false">IF($P344="","",IF($N344&lt;&gt;"",$N344,$J344))</f>
        <v/>
      </c>
      <c r="R344" s="35" t="str">
        <f aca="false">IF(OR($P344="",$Q344=""),"",INDEX(BookRate,339)*$P344*(5-MATCH($Q344,{"Q1";"Q2";"Q3";"Q4"},0))/4+INDEX(BookOneOff,339)*$P344)</f>
        <v/>
      </c>
      <c r="S344" s="35" t="str">
        <f aca="false">IF($P344="","",INDEX(BookRate,339)*$P344)</f>
        <v/>
      </c>
      <c r="T344" s="35" t="str">
        <f aca="false">IF($R344="","",$R344-$K344)</f>
        <v/>
      </c>
      <c r="U344" s="35" t="str">
        <f aca="false">IF(N($P344)&lt;=0,"",COUNTIF($P$6:$P344,"&gt;0"))</f>
        <v/>
      </c>
    </row>
    <row r="345" customFormat="false" ht="15" hidden="false" customHeight="false" outlineLevel="0" collapsed="false">
      <c r="A345" s="40" t="str">
        <f aca="false">IF(INDEX(BookTitle,340)="","",INDEX(BookGroup,340))</f>
        <v/>
      </c>
      <c r="B345" s="40" t="str">
        <f aca="false">IF(INDEX(BookTitle,340)="","",INDEX(BookRef,340))</f>
        <v/>
      </c>
      <c r="C345" s="40" t="str">
        <f aca="false">IF(INDEX(BookTitle,340)="","",INDEX(BookDivision,340))</f>
        <v/>
      </c>
      <c r="D345" s="40" t="str">
        <f aca="false">IF(INDEX(BookTitle,340)="","",INDEX(BookUnit,340))</f>
        <v/>
      </c>
      <c r="E345" s="40" t="str">
        <f aca="false">IF(INDEX(BookTitle,340)="","",INDEX(BookTitle,340))</f>
        <v/>
      </c>
      <c r="F345" s="40" t="str">
        <f aca="false">IF(INDEX(BookTitle,340)="","",INDEX(BookLevel,340))</f>
        <v/>
      </c>
      <c r="G345" s="40" t="str">
        <f aca="false">IF(INDEX(BookTitle,340)="","",INDEX(BookCategory,340))</f>
        <v/>
      </c>
      <c r="H345" s="40" t="str">
        <f aca="false">IF(INDEX(BookTitle,340)="","",INDEX(BookRank,340))</f>
        <v/>
      </c>
      <c r="I345" s="41" t="str">
        <f aca="false">IF(INDEX(BookTitle,340)="","",INDEX(BookTotal,340))</f>
        <v/>
      </c>
      <c r="J345" s="0" t="str">
        <f aca="false">IF($I345="","",IF(INDEX(BookQ1,340)&gt;0,"Q1",IF(INDEX(BookQ2,340)&gt;0,"Q2",IF(INDEX(BookQ3,340)&gt;0,"Q3",IF(INDEX(BookQ4,340)&gt;0,"Q4","")))))</f>
        <v/>
      </c>
      <c r="K345" s="42" t="str">
        <f aca="false">IF(INDEX(BookTitle,340)="","",INDEX(BookInYear,340))</f>
        <v/>
      </c>
      <c r="L345" s="19"/>
      <c r="M345" s="39"/>
      <c r="N345" s="19"/>
      <c r="O345" s="19"/>
      <c r="P345" s="43" t="str">
        <f aca="false">IF($E345="","",IF($L345="Decline",0,IF($L345="Approve fewer",IF($M345="","",$M345),IF($L345="","",$I345))))</f>
        <v/>
      </c>
      <c r="Q345" s="34" t="str">
        <f aca="false">IF($P345="","",IF($N345&lt;&gt;"",$N345,$J345))</f>
        <v/>
      </c>
      <c r="R345" s="35" t="str">
        <f aca="false">IF(OR($P345="",$Q345=""),"",INDEX(BookRate,340)*$P345*(5-MATCH($Q345,{"Q1";"Q2";"Q3";"Q4"},0))/4+INDEX(BookOneOff,340)*$P345)</f>
        <v/>
      </c>
      <c r="S345" s="35" t="str">
        <f aca="false">IF($P345="","",INDEX(BookRate,340)*$P345)</f>
        <v/>
      </c>
      <c r="T345" s="35" t="str">
        <f aca="false">IF($R345="","",$R345-$K345)</f>
        <v/>
      </c>
      <c r="U345" s="35" t="str">
        <f aca="false">IF(N($P345)&lt;=0,"",COUNTIF($P$6:$P345,"&gt;0"))</f>
        <v/>
      </c>
    </row>
    <row r="346" customFormat="false" ht="15" hidden="false" customHeight="false" outlineLevel="0" collapsed="false">
      <c r="A346" s="40" t="str">
        <f aca="false">IF(INDEX(BookTitle,341)="","",INDEX(BookGroup,341))</f>
        <v/>
      </c>
      <c r="B346" s="40" t="str">
        <f aca="false">IF(INDEX(BookTitle,341)="","",INDEX(BookRef,341))</f>
        <v/>
      </c>
      <c r="C346" s="40" t="str">
        <f aca="false">IF(INDEX(BookTitle,341)="","",INDEX(BookDivision,341))</f>
        <v/>
      </c>
      <c r="D346" s="40" t="str">
        <f aca="false">IF(INDEX(BookTitle,341)="","",INDEX(BookUnit,341))</f>
        <v/>
      </c>
      <c r="E346" s="40" t="str">
        <f aca="false">IF(INDEX(BookTitle,341)="","",INDEX(BookTitle,341))</f>
        <v/>
      </c>
      <c r="F346" s="40" t="str">
        <f aca="false">IF(INDEX(BookTitle,341)="","",INDEX(BookLevel,341))</f>
        <v/>
      </c>
      <c r="G346" s="40" t="str">
        <f aca="false">IF(INDEX(BookTitle,341)="","",INDEX(BookCategory,341))</f>
        <v/>
      </c>
      <c r="H346" s="40" t="str">
        <f aca="false">IF(INDEX(BookTitle,341)="","",INDEX(BookRank,341))</f>
        <v/>
      </c>
      <c r="I346" s="41" t="str">
        <f aca="false">IF(INDEX(BookTitle,341)="","",INDEX(BookTotal,341))</f>
        <v/>
      </c>
      <c r="J346" s="0" t="str">
        <f aca="false">IF($I346="","",IF(INDEX(BookQ1,341)&gt;0,"Q1",IF(INDEX(BookQ2,341)&gt;0,"Q2",IF(INDEX(BookQ3,341)&gt;0,"Q3",IF(INDEX(BookQ4,341)&gt;0,"Q4","")))))</f>
        <v/>
      </c>
      <c r="K346" s="42" t="str">
        <f aca="false">IF(INDEX(BookTitle,341)="","",INDEX(BookInYear,341))</f>
        <v/>
      </c>
      <c r="L346" s="19"/>
      <c r="M346" s="39"/>
      <c r="N346" s="19"/>
      <c r="O346" s="19"/>
      <c r="P346" s="43" t="str">
        <f aca="false">IF($E346="","",IF($L346="Decline",0,IF($L346="Approve fewer",IF($M346="","",$M346),IF($L346="","",$I346))))</f>
        <v/>
      </c>
      <c r="Q346" s="34" t="str">
        <f aca="false">IF($P346="","",IF($N346&lt;&gt;"",$N346,$J346))</f>
        <v/>
      </c>
      <c r="R346" s="35" t="str">
        <f aca="false">IF(OR($P346="",$Q346=""),"",INDEX(BookRate,341)*$P346*(5-MATCH($Q346,{"Q1";"Q2";"Q3";"Q4"},0))/4+INDEX(BookOneOff,341)*$P346)</f>
        <v/>
      </c>
      <c r="S346" s="35" t="str">
        <f aca="false">IF($P346="","",INDEX(BookRate,341)*$P346)</f>
        <v/>
      </c>
      <c r="T346" s="35" t="str">
        <f aca="false">IF($R346="","",$R346-$K346)</f>
        <v/>
      </c>
      <c r="U346" s="35" t="str">
        <f aca="false">IF(N($P346)&lt;=0,"",COUNTIF($P$6:$P346,"&gt;0"))</f>
        <v/>
      </c>
    </row>
    <row r="347" customFormat="false" ht="15" hidden="false" customHeight="false" outlineLevel="0" collapsed="false">
      <c r="A347" s="40" t="str">
        <f aca="false">IF(INDEX(BookTitle,342)="","",INDEX(BookGroup,342))</f>
        <v/>
      </c>
      <c r="B347" s="40" t="str">
        <f aca="false">IF(INDEX(BookTitle,342)="","",INDEX(BookRef,342))</f>
        <v/>
      </c>
      <c r="C347" s="40" t="str">
        <f aca="false">IF(INDEX(BookTitle,342)="","",INDEX(BookDivision,342))</f>
        <v/>
      </c>
      <c r="D347" s="40" t="str">
        <f aca="false">IF(INDEX(BookTitle,342)="","",INDEX(BookUnit,342))</f>
        <v/>
      </c>
      <c r="E347" s="40" t="str">
        <f aca="false">IF(INDEX(BookTitle,342)="","",INDEX(BookTitle,342))</f>
        <v/>
      </c>
      <c r="F347" s="40" t="str">
        <f aca="false">IF(INDEX(BookTitle,342)="","",INDEX(BookLevel,342))</f>
        <v/>
      </c>
      <c r="G347" s="40" t="str">
        <f aca="false">IF(INDEX(BookTitle,342)="","",INDEX(BookCategory,342))</f>
        <v/>
      </c>
      <c r="H347" s="40" t="str">
        <f aca="false">IF(INDEX(BookTitle,342)="","",INDEX(BookRank,342))</f>
        <v/>
      </c>
      <c r="I347" s="41" t="str">
        <f aca="false">IF(INDEX(BookTitle,342)="","",INDEX(BookTotal,342))</f>
        <v/>
      </c>
      <c r="J347" s="0" t="str">
        <f aca="false">IF($I347="","",IF(INDEX(BookQ1,342)&gt;0,"Q1",IF(INDEX(BookQ2,342)&gt;0,"Q2",IF(INDEX(BookQ3,342)&gt;0,"Q3",IF(INDEX(BookQ4,342)&gt;0,"Q4","")))))</f>
        <v/>
      </c>
      <c r="K347" s="42" t="str">
        <f aca="false">IF(INDEX(BookTitle,342)="","",INDEX(BookInYear,342))</f>
        <v/>
      </c>
      <c r="L347" s="19"/>
      <c r="M347" s="39"/>
      <c r="N347" s="19"/>
      <c r="O347" s="19"/>
      <c r="P347" s="43" t="str">
        <f aca="false">IF($E347="","",IF($L347="Decline",0,IF($L347="Approve fewer",IF($M347="","",$M347),IF($L347="","",$I347))))</f>
        <v/>
      </c>
      <c r="Q347" s="34" t="str">
        <f aca="false">IF($P347="","",IF($N347&lt;&gt;"",$N347,$J347))</f>
        <v/>
      </c>
      <c r="R347" s="35" t="str">
        <f aca="false">IF(OR($P347="",$Q347=""),"",INDEX(BookRate,342)*$P347*(5-MATCH($Q347,{"Q1";"Q2";"Q3";"Q4"},0))/4+INDEX(BookOneOff,342)*$P347)</f>
        <v/>
      </c>
      <c r="S347" s="35" t="str">
        <f aca="false">IF($P347="","",INDEX(BookRate,342)*$P347)</f>
        <v/>
      </c>
      <c r="T347" s="35" t="str">
        <f aca="false">IF($R347="","",$R347-$K347)</f>
        <v/>
      </c>
      <c r="U347" s="35" t="str">
        <f aca="false">IF(N($P347)&lt;=0,"",COUNTIF($P$6:$P347,"&gt;0"))</f>
        <v/>
      </c>
    </row>
    <row r="348" customFormat="false" ht="15" hidden="false" customHeight="false" outlineLevel="0" collapsed="false">
      <c r="A348" s="40" t="str">
        <f aca="false">IF(INDEX(BookTitle,343)="","",INDEX(BookGroup,343))</f>
        <v/>
      </c>
      <c r="B348" s="40" t="str">
        <f aca="false">IF(INDEX(BookTitle,343)="","",INDEX(BookRef,343))</f>
        <v/>
      </c>
      <c r="C348" s="40" t="str">
        <f aca="false">IF(INDEX(BookTitle,343)="","",INDEX(BookDivision,343))</f>
        <v/>
      </c>
      <c r="D348" s="40" t="str">
        <f aca="false">IF(INDEX(BookTitle,343)="","",INDEX(BookUnit,343))</f>
        <v/>
      </c>
      <c r="E348" s="40" t="str">
        <f aca="false">IF(INDEX(BookTitle,343)="","",INDEX(BookTitle,343))</f>
        <v/>
      </c>
      <c r="F348" s="40" t="str">
        <f aca="false">IF(INDEX(BookTitle,343)="","",INDEX(BookLevel,343))</f>
        <v/>
      </c>
      <c r="G348" s="40" t="str">
        <f aca="false">IF(INDEX(BookTitle,343)="","",INDEX(BookCategory,343))</f>
        <v/>
      </c>
      <c r="H348" s="40" t="str">
        <f aca="false">IF(INDEX(BookTitle,343)="","",INDEX(BookRank,343))</f>
        <v/>
      </c>
      <c r="I348" s="41" t="str">
        <f aca="false">IF(INDEX(BookTitle,343)="","",INDEX(BookTotal,343))</f>
        <v/>
      </c>
      <c r="J348" s="0" t="str">
        <f aca="false">IF($I348="","",IF(INDEX(BookQ1,343)&gt;0,"Q1",IF(INDEX(BookQ2,343)&gt;0,"Q2",IF(INDEX(BookQ3,343)&gt;0,"Q3",IF(INDEX(BookQ4,343)&gt;0,"Q4","")))))</f>
        <v/>
      </c>
      <c r="K348" s="42" t="str">
        <f aca="false">IF(INDEX(BookTitle,343)="","",INDEX(BookInYear,343))</f>
        <v/>
      </c>
      <c r="L348" s="19"/>
      <c r="M348" s="39"/>
      <c r="N348" s="19"/>
      <c r="O348" s="19"/>
      <c r="P348" s="43" t="str">
        <f aca="false">IF($E348="","",IF($L348="Decline",0,IF($L348="Approve fewer",IF($M348="","",$M348),IF($L348="","",$I348))))</f>
        <v/>
      </c>
      <c r="Q348" s="34" t="str">
        <f aca="false">IF($P348="","",IF($N348&lt;&gt;"",$N348,$J348))</f>
        <v/>
      </c>
      <c r="R348" s="35" t="str">
        <f aca="false">IF(OR($P348="",$Q348=""),"",INDEX(BookRate,343)*$P348*(5-MATCH($Q348,{"Q1";"Q2";"Q3";"Q4"},0))/4+INDEX(BookOneOff,343)*$P348)</f>
        <v/>
      </c>
      <c r="S348" s="35" t="str">
        <f aca="false">IF($P348="","",INDEX(BookRate,343)*$P348)</f>
        <v/>
      </c>
      <c r="T348" s="35" t="str">
        <f aca="false">IF($R348="","",$R348-$K348)</f>
        <v/>
      </c>
      <c r="U348" s="35" t="str">
        <f aca="false">IF(N($P348)&lt;=0,"",COUNTIF($P$6:$P348,"&gt;0"))</f>
        <v/>
      </c>
    </row>
    <row r="349" customFormat="false" ht="15" hidden="false" customHeight="false" outlineLevel="0" collapsed="false">
      <c r="A349" s="40" t="str">
        <f aca="false">IF(INDEX(BookTitle,344)="","",INDEX(BookGroup,344))</f>
        <v/>
      </c>
      <c r="B349" s="40" t="str">
        <f aca="false">IF(INDEX(BookTitle,344)="","",INDEX(BookRef,344))</f>
        <v/>
      </c>
      <c r="C349" s="40" t="str">
        <f aca="false">IF(INDEX(BookTitle,344)="","",INDEX(BookDivision,344))</f>
        <v/>
      </c>
      <c r="D349" s="40" t="str">
        <f aca="false">IF(INDEX(BookTitle,344)="","",INDEX(BookUnit,344))</f>
        <v/>
      </c>
      <c r="E349" s="40" t="str">
        <f aca="false">IF(INDEX(BookTitle,344)="","",INDEX(BookTitle,344))</f>
        <v/>
      </c>
      <c r="F349" s="40" t="str">
        <f aca="false">IF(INDEX(BookTitle,344)="","",INDEX(BookLevel,344))</f>
        <v/>
      </c>
      <c r="G349" s="40" t="str">
        <f aca="false">IF(INDEX(BookTitle,344)="","",INDEX(BookCategory,344))</f>
        <v/>
      </c>
      <c r="H349" s="40" t="str">
        <f aca="false">IF(INDEX(BookTitle,344)="","",INDEX(BookRank,344))</f>
        <v/>
      </c>
      <c r="I349" s="41" t="str">
        <f aca="false">IF(INDEX(BookTitle,344)="","",INDEX(BookTotal,344))</f>
        <v/>
      </c>
      <c r="J349" s="0" t="str">
        <f aca="false">IF($I349="","",IF(INDEX(BookQ1,344)&gt;0,"Q1",IF(INDEX(BookQ2,344)&gt;0,"Q2",IF(INDEX(BookQ3,344)&gt;0,"Q3",IF(INDEX(BookQ4,344)&gt;0,"Q4","")))))</f>
        <v/>
      </c>
      <c r="K349" s="42" t="str">
        <f aca="false">IF(INDEX(BookTitle,344)="","",INDEX(BookInYear,344))</f>
        <v/>
      </c>
      <c r="L349" s="19"/>
      <c r="M349" s="39"/>
      <c r="N349" s="19"/>
      <c r="O349" s="19"/>
      <c r="P349" s="43" t="str">
        <f aca="false">IF($E349="","",IF($L349="Decline",0,IF($L349="Approve fewer",IF($M349="","",$M349),IF($L349="","",$I349))))</f>
        <v/>
      </c>
      <c r="Q349" s="34" t="str">
        <f aca="false">IF($P349="","",IF($N349&lt;&gt;"",$N349,$J349))</f>
        <v/>
      </c>
      <c r="R349" s="35" t="str">
        <f aca="false">IF(OR($P349="",$Q349=""),"",INDEX(BookRate,344)*$P349*(5-MATCH($Q349,{"Q1";"Q2";"Q3";"Q4"},0))/4+INDEX(BookOneOff,344)*$P349)</f>
        <v/>
      </c>
      <c r="S349" s="35" t="str">
        <f aca="false">IF($P349="","",INDEX(BookRate,344)*$P349)</f>
        <v/>
      </c>
      <c r="T349" s="35" t="str">
        <f aca="false">IF($R349="","",$R349-$K349)</f>
        <v/>
      </c>
      <c r="U349" s="35" t="str">
        <f aca="false">IF(N($P349)&lt;=0,"",COUNTIF($P$6:$P349,"&gt;0"))</f>
        <v/>
      </c>
    </row>
    <row r="350" customFormat="false" ht="15" hidden="false" customHeight="false" outlineLevel="0" collapsed="false">
      <c r="A350" s="40" t="str">
        <f aca="false">IF(INDEX(BookTitle,345)="","",INDEX(BookGroup,345))</f>
        <v/>
      </c>
      <c r="B350" s="40" t="str">
        <f aca="false">IF(INDEX(BookTitle,345)="","",INDEX(BookRef,345))</f>
        <v/>
      </c>
      <c r="C350" s="40" t="str">
        <f aca="false">IF(INDEX(BookTitle,345)="","",INDEX(BookDivision,345))</f>
        <v/>
      </c>
      <c r="D350" s="40" t="str">
        <f aca="false">IF(INDEX(BookTitle,345)="","",INDEX(BookUnit,345))</f>
        <v/>
      </c>
      <c r="E350" s="40" t="str">
        <f aca="false">IF(INDEX(BookTitle,345)="","",INDEX(BookTitle,345))</f>
        <v/>
      </c>
      <c r="F350" s="40" t="str">
        <f aca="false">IF(INDEX(BookTitle,345)="","",INDEX(BookLevel,345))</f>
        <v/>
      </c>
      <c r="G350" s="40" t="str">
        <f aca="false">IF(INDEX(BookTitle,345)="","",INDEX(BookCategory,345))</f>
        <v/>
      </c>
      <c r="H350" s="40" t="str">
        <f aca="false">IF(INDEX(BookTitle,345)="","",INDEX(BookRank,345))</f>
        <v/>
      </c>
      <c r="I350" s="41" t="str">
        <f aca="false">IF(INDEX(BookTitle,345)="","",INDEX(BookTotal,345))</f>
        <v/>
      </c>
      <c r="J350" s="0" t="str">
        <f aca="false">IF($I350="","",IF(INDEX(BookQ1,345)&gt;0,"Q1",IF(INDEX(BookQ2,345)&gt;0,"Q2",IF(INDEX(BookQ3,345)&gt;0,"Q3",IF(INDEX(BookQ4,345)&gt;0,"Q4","")))))</f>
        <v/>
      </c>
      <c r="K350" s="42" t="str">
        <f aca="false">IF(INDEX(BookTitle,345)="","",INDEX(BookInYear,345))</f>
        <v/>
      </c>
      <c r="L350" s="19"/>
      <c r="M350" s="39"/>
      <c r="N350" s="19"/>
      <c r="O350" s="19"/>
      <c r="P350" s="43" t="str">
        <f aca="false">IF($E350="","",IF($L350="Decline",0,IF($L350="Approve fewer",IF($M350="","",$M350),IF($L350="","",$I350))))</f>
        <v/>
      </c>
      <c r="Q350" s="34" t="str">
        <f aca="false">IF($P350="","",IF($N350&lt;&gt;"",$N350,$J350))</f>
        <v/>
      </c>
      <c r="R350" s="35" t="str">
        <f aca="false">IF(OR($P350="",$Q350=""),"",INDEX(BookRate,345)*$P350*(5-MATCH($Q350,{"Q1";"Q2";"Q3";"Q4"},0))/4+INDEX(BookOneOff,345)*$P350)</f>
        <v/>
      </c>
      <c r="S350" s="35" t="str">
        <f aca="false">IF($P350="","",INDEX(BookRate,345)*$P350)</f>
        <v/>
      </c>
      <c r="T350" s="35" t="str">
        <f aca="false">IF($R350="","",$R350-$K350)</f>
        <v/>
      </c>
      <c r="U350" s="35" t="str">
        <f aca="false">IF(N($P350)&lt;=0,"",COUNTIF($P$6:$P350,"&gt;0"))</f>
        <v/>
      </c>
    </row>
    <row r="351" customFormat="false" ht="15" hidden="false" customHeight="false" outlineLevel="0" collapsed="false">
      <c r="A351" s="40" t="str">
        <f aca="false">IF(INDEX(BookTitle,346)="","",INDEX(BookGroup,346))</f>
        <v/>
      </c>
      <c r="B351" s="40" t="str">
        <f aca="false">IF(INDEX(BookTitle,346)="","",INDEX(BookRef,346))</f>
        <v/>
      </c>
      <c r="C351" s="40" t="str">
        <f aca="false">IF(INDEX(BookTitle,346)="","",INDEX(BookDivision,346))</f>
        <v/>
      </c>
      <c r="D351" s="40" t="str">
        <f aca="false">IF(INDEX(BookTitle,346)="","",INDEX(BookUnit,346))</f>
        <v/>
      </c>
      <c r="E351" s="40" t="str">
        <f aca="false">IF(INDEX(BookTitle,346)="","",INDEX(BookTitle,346))</f>
        <v/>
      </c>
      <c r="F351" s="40" t="str">
        <f aca="false">IF(INDEX(BookTitle,346)="","",INDEX(BookLevel,346))</f>
        <v/>
      </c>
      <c r="G351" s="40" t="str">
        <f aca="false">IF(INDEX(BookTitle,346)="","",INDEX(BookCategory,346))</f>
        <v/>
      </c>
      <c r="H351" s="40" t="str">
        <f aca="false">IF(INDEX(BookTitle,346)="","",INDEX(BookRank,346))</f>
        <v/>
      </c>
      <c r="I351" s="41" t="str">
        <f aca="false">IF(INDEX(BookTitle,346)="","",INDEX(BookTotal,346))</f>
        <v/>
      </c>
      <c r="J351" s="0" t="str">
        <f aca="false">IF($I351="","",IF(INDEX(BookQ1,346)&gt;0,"Q1",IF(INDEX(BookQ2,346)&gt;0,"Q2",IF(INDEX(BookQ3,346)&gt;0,"Q3",IF(INDEX(BookQ4,346)&gt;0,"Q4","")))))</f>
        <v/>
      </c>
      <c r="K351" s="42" t="str">
        <f aca="false">IF(INDEX(BookTitle,346)="","",INDEX(BookInYear,346))</f>
        <v/>
      </c>
      <c r="L351" s="19"/>
      <c r="M351" s="39"/>
      <c r="N351" s="19"/>
      <c r="O351" s="19"/>
      <c r="P351" s="43" t="str">
        <f aca="false">IF($E351="","",IF($L351="Decline",0,IF($L351="Approve fewer",IF($M351="","",$M351),IF($L351="","",$I351))))</f>
        <v/>
      </c>
      <c r="Q351" s="34" t="str">
        <f aca="false">IF($P351="","",IF($N351&lt;&gt;"",$N351,$J351))</f>
        <v/>
      </c>
      <c r="R351" s="35" t="str">
        <f aca="false">IF(OR($P351="",$Q351=""),"",INDEX(BookRate,346)*$P351*(5-MATCH($Q351,{"Q1";"Q2";"Q3";"Q4"},0))/4+INDEX(BookOneOff,346)*$P351)</f>
        <v/>
      </c>
      <c r="S351" s="35" t="str">
        <f aca="false">IF($P351="","",INDEX(BookRate,346)*$P351)</f>
        <v/>
      </c>
      <c r="T351" s="35" t="str">
        <f aca="false">IF($R351="","",$R351-$K351)</f>
        <v/>
      </c>
      <c r="U351" s="35" t="str">
        <f aca="false">IF(N($P351)&lt;=0,"",COUNTIF($P$6:$P351,"&gt;0"))</f>
        <v/>
      </c>
    </row>
    <row r="352" customFormat="false" ht="15" hidden="false" customHeight="false" outlineLevel="0" collapsed="false">
      <c r="A352" s="40" t="str">
        <f aca="false">IF(INDEX(BookTitle,347)="","",INDEX(BookGroup,347))</f>
        <v/>
      </c>
      <c r="B352" s="40" t="str">
        <f aca="false">IF(INDEX(BookTitle,347)="","",INDEX(BookRef,347))</f>
        <v/>
      </c>
      <c r="C352" s="40" t="str">
        <f aca="false">IF(INDEX(BookTitle,347)="","",INDEX(BookDivision,347))</f>
        <v/>
      </c>
      <c r="D352" s="40" t="str">
        <f aca="false">IF(INDEX(BookTitle,347)="","",INDEX(BookUnit,347))</f>
        <v/>
      </c>
      <c r="E352" s="40" t="str">
        <f aca="false">IF(INDEX(BookTitle,347)="","",INDEX(BookTitle,347))</f>
        <v/>
      </c>
      <c r="F352" s="40" t="str">
        <f aca="false">IF(INDEX(BookTitle,347)="","",INDEX(BookLevel,347))</f>
        <v/>
      </c>
      <c r="G352" s="40" t="str">
        <f aca="false">IF(INDEX(BookTitle,347)="","",INDEX(BookCategory,347))</f>
        <v/>
      </c>
      <c r="H352" s="40" t="str">
        <f aca="false">IF(INDEX(BookTitle,347)="","",INDEX(BookRank,347))</f>
        <v/>
      </c>
      <c r="I352" s="41" t="str">
        <f aca="false">IF(INDEX(BookTitle,347)="","",INDEX(BookTotal,347))</f>
        <v/>
      </c>
      <c r="J352" s="0" t="str">
        <f aca="false">IF($I352="","",IF(INDEX(BookQ1,347)&gt;0,"Q1",IF(INDEX(BookQ2,347)&gt;0,"Q2",IF(INDEX(BookQ3,347)&gt;0,"Q3",IF(INDEX(BookQ4,347)&gt;0,"Q4","")))))</f>
        <v/>
      </c>
      <c r="K352" s="42" t="str">
        <f aca="false">IF(INDEX(BookTitle,347)="","",INDEX(BookInYear,347))</f>
        <v/>
      </c>
      <c r="L352" s="19"/>
      <c r="M352" s="39"/>
      <c r="N352" s="19"/>
      <c r="O352" s="19"/>
      <c r="P352" s="43" t="str">
        <f aca="false">IF($E352="","",IF($L352="Decline",0,IF($L352="Approve fewer",IF($M352="","",$M352),IF($L352="","",$I352))))</f>
        <v/>
      </c>
      <c r="Q352" s="34" t="str">
        <f aca="false">IF($P352="","",IF($N352&lt;&gt;"",$N352,$J352))</f>
        <v/>
      </c>
      <c r="R352" s="35" t="str">
        <f aca="false">IF(OR($P352="",$Q352=""),"",INDEX(BookRate,347)*$P352*(5-MATCH($Q352,{"Q1";"Q2";"Q3";"Q4"},0))/4+INDEX(BookOneOff,347)*$P352)</f>
        <v/>
      </c>
      <c r="S352" s="35" t="str">
        <f aca="false">IF($P352="","",INDEX(BookRate,347)*$P352)</f>
        <v/>
      </c>
      <c r="T352" s="35" t="str">
        <f aca="false">IF($R352="","",$R352-$K352)</f>
        <v/>
      </c>
      <c r="U352" s="35" t="str">
        <f aca="false">IF(N($P352)&lt;=0,"",COUNTIF($P$6:$P352,"&gt;0"))</f>
        <v/>
      </c>
    </row>
    <row r="353" customFormat="false" ht="15" hidden="false" customHeight="false" outlineLevel="0" collapsed="false">
      <c r="A353" s="40" t="str">
        <f aca="false">IF(INDEX(BookTitle,348)="","",INDEX(BookGroup,348))</f>
        <v/>
      </c>
      <c r="B353" s="40" t="str">
        <f aca="false">IF(INDEX(BookTitle,348)="","",INDEX(BookRef,348))</f>
        <v/>
      </c>
      <c r="C353" s="40" t="str">
        <f aca="false">IF(INDEX(BookTitle,348)="","",INDEX(BookDivision,348))</f>
        <v/>
      </c>
      <c r="D353" s="40" t="str">
        <f aca="false">IF(INDEX(BookTitle,348)="","",INDEX(BookUnit,348))</f>
        <v/>
      </c>
      <c r="E353" s="40" t="str">
        <f aca="false">IF(INDEX(BookTitle,348)="","",INDEX(BookTitle,348))</f>
        <v/>
      </c>
      <c r="F353" s="40" t="str">
        <f aca="false">IF(INDEX(BookTitle,348)="","",INDEX(BookLevel,348))</f>
        <v/>
      </c>
      <c r="G353" s="40" t="str">
        <f aca="false">IF(INDEX(BookTitle,348)="","",INDEX(BookCategory,348))</f>
        <v/>
      </c>
      <c r="H353" s="40" t="str">
        <f aca="false">IF(INDEX(BookTitle,348)="","",INDEX(BookRank,348))</f>
        <v/>
      </c>
      <c r="I353" s="41" t="str">
        <f aca="false">IF(INDEX(BookTitle,348)="","",INDEX(BookTotal,348))</f>
        <v/>
      </c>
      <c r="J353" s="0" t="str">
        <f aca="false">IF($I353="","",IF(INDEX(BookQ1,348)&gt;0,"Q1",IF(INDEX(BookQ2,348)&gt;0,"Q2",IF(INDEX(BookQ3,348)&gt;0,"Q3",IF(INDEX(BookQ4,348)&gt;0,"Q4","")))))</f>
        <v/>
      </c>
      <c r="K353" s="42" t="str">
        <f aca="false">IF(INDEX(BookTitle,348)="","",INDEX(BookInYear,348))</f>
        <v/>
      </c>
      <c r="L353" s="19"/>
      <c r="M353" s="39"/>
      <c r="N353" s="19"/>
      <c r="O353" s="19"/>
      <c r="P353" s="43" t="str">
        <f aca="false">IF($E353="","",IF($L353="Decline",0,IF($L353="Approve fewer",IF($M353="","",$M353),IF($L353="","",$I353))))</f>
        <v/>
      </c>
      <c r="Q353" s="34" t="str">
        <f aca="false">IF($P353="","",IF($N353&lt;&gt;"",$N353,$J353))</f>
        <v/>
      </c>
      <c r="R353" s="35" t="str">
        <f aca="false">IF(OR($P353="",$Q353=""),"",INDEX(BookRate,348)*$P353*(5-MATCH($Q353,{"Q1";"Q2";"Q3";"Q4"},0))/4+INDEX(BookOneOff,348)*$P353)</f>
        <v/>
      </c>
      <c r="S353" s="35" t="str">
        <f aca="false">IF($P353="","",INDEX(BookRate,348)*$P353)</f>
        <v/>
      </c>
      <c r="T353" s="35" t="str">
        <f aca="false">IF($R353="","",$R353-$K353)</f>
        <v/>
      </c>
      <c r="U353" s="35" t="str">
        <f aca="false">IF(N($P353)&lt;=0,"",COUNTIF($P$6:$P353,"&gt;0"))</f>
        <v/>
      </c>
    </row>
    <row r="354" customFormat="false" ht="15" hidden="false" customHeight="false" outlineLevel="0" collapsed="false">
      <c r="A354" s="40" t="str">
        <f aca="false">IF(INDEX(BookTitle,349)="","",INDEX(BookGroup,349))</f>
        <v/>
      </c>
      <c r="B354" s="40" t="str">
        <f aca="false">IF(INDEX(BookTitle,349)="","",INDEX(BookRef,349))</f>
        <v/>
      </c>
      <c r="C354" s="40" t="str">
        <f aca="false">IF(INDEX(BookTitle,349)="","",INDEX(BookDivision,349))</f>
        <v/>
      </c>
      <c r="D354" s="40" t="str">
        <f aca="false">IF(INDEX(BookTitle,349)="","",INDEX(BookUnit,349))</f>
        <v/>
      </c>
      <c r="E354" s="40" t="str">
        <f aca="false">IF(INDEX(BookTitle,349)="","",INDEX(BookTitle,349))</f>
        <v/>
      </c>
      <c r="F354" s="40" t="str">
        <f aca="false">IF(INDEX(BookTitle,349)="","",INDEX(BookLevel,349))</f>
        <v/>
      </c>
      <c r="G354" s="40" t="str">
        <f aca="false">IF(INDEX(BookTitle,349)="","",INDEX(BookCategory,349))</f>
        <v/>
      </c>
      <c r="H354" s="40" t="str">
        <f aca="false">IF(INDEX(BookTitle,349)="","",INDEX(BookRank,349))</f>
        <v/>
      </c>
      <c r="I354" s="41" t="str">
        <f aca="false">IF(INDEX(BookTitle,349)="","",INDEX(BookTotal,349))</f>
        <v/>
      </c>
      <c r="J354" s="0" t="str">
        <f aca="false">IF($I354="","",IF(INDEX(BookQ1,349)&gt;0,"Q1",IF(INDEX(BookQ2,349)&gt;0,"Q2",IF(INDEX(BookQ3,349)&gt;0,"Q3",IF(INDEX(BookQ4,349)&gt;0,"Q4","")))))</f>
        <v/>
      </c>
      <c r="K354" s="42" t="str">
        <f aca="false">IF(INDEX(BookTitle,349)="","",INDEX(BookInYear,349))</f>
        <v/>
      </c>
      <c r="L354" s="19"/>
      <c r="M354" s="39"/>
      <c r="N354" s="19"/>
      <c r="O354" s="19"/>
      <c r="P354" s="43" t="str">
        <f aca="false">IF($E354="","",IF($L354="Decline",0,IF($L354="Approve fewer",IF($M354="","",$M354),IF($L354="","",$I354))))</f>
        <v/>
      </c>
      <c r="Q354" s="34" t="str">
        <f aca="false">IF($P354="","",IF($N354&lt;&gt;"",$N354,$J354))</f>
        <v/>
      </c>
      <c r="R354" s="35" t="str">
        <f aca="false">IF(OR($P354="",$Q354=""),"",INDEX(BookRate,349)*$P354*(5-MATCH($Q354,{"Q1";"Q2";"Q3";"Q4"},0))/4+INDEX(BookOneOff,349)*$P354)</f>
        <v/>
      </c>
      <c r="S354" s="35" t="str">
        <f aca="false">IF($P354="","",INDEX(BookRate,349)*$P354)</f>
        <v/>
      </c>
      <c r="T354" s="35" t="str">
        <f aca="false">IF($R354="","",$R354-$K354)</f>
        <v/>
      </c>
      <c r="U354" s="35" t="str">
        <f aca="false">IF(N($P354)&lt;=0,"",COUNTIF($P$6:$P354,"&gt;0"))</f>
        <v/>
      </c>
    </row>
    <row r="355" customFormat="false" ht="15" hidden="false" customHeight="false" outlineLevel="0" collapsed="false">
      <c r="A355" s="40" t="str">
        <f aca="false">IF(INDEX(BookTitle,350)="","",INDEX(BookGroup,350))</f>
        <v/>
      </c>
      <c r="B355" s="40" t="str">
        <f aca="false">IF(INDEX(BookTitle,350)="","",INDEX(BookRef,350))</f>
        <v/>
      </c>
      <c r="C355" s="40" t="str">
        <f aca="false">IF(INDEX(BookTitle,350)="","",INDEX(BookDivision,350))</f>
        <v/>
      </c>
      <c r="D355" s="40" t="str">
        <f aca="false">IF(INDEX(BookTitle,350)="","",INDEX(BookUnit,350))</f>
        <v/>
      </c>
      <c r="E355" s="40" t="str">
        <f aca="false">IF(INDEX(BookTitle,350)="","",INDEX(BookTitle,350))</f>
        <v/>
      </c>
      <c r="F355" s="40" t="str">
        <f aca="false">IF(INDEX(BookTitle,350)="","",INDEX(BookLevel,350))</f>
        <v/>
      </c>
      <c r="G355" s="40" t="str">
        <f aca="false">IF(INDEX(BookTitle,350)="","",INDEX(BookCategory,350))</f>
        <v/>
      </c>
      <c r="H355" s="40" t="str">
        <f aca="false">IF(INDEX(BookTitle,350)="","",INDEX(BookRank,350))</f>
        <v/>
      </c>
      <c r="I355" s="41" t="str">
        <f aca="false">IF(INDEX(BookTitle,350)="","",INDEX(BookTotal,350))</f>
        <v/>
      </c>
      <c r="J355" s="0" t="str">
        <f aca="false">IF($I355="","",IF(INDEX(BookQ1,350)&gt;0,"Q1",IF(INDEX(BookQ2,350)&gt;0,"Q2",IF(INDEX(BookQ3,350)&gt;0,"Q3",IF(INDEX(BookQ4,350)&gt;0,"Q4","")))))</f>
        <v/>
      </c>
      <c r="K355" s="42" t="str">
        <f aca="false">IF(INDEX(BookTitle,350)="","",INDEX(BookInYear,350))</f>
        <v/>
      </c>
      <c r="L355" s="19"/>
      <c r="M355" s="39"/>
      <c r="N355" s="19"/>
      <c r="O355" s="19"/>
      <c r="P355" s="43" t="str">
        <f aca="false">IF($E355="","",IF($L355="Decline",0,IF($L355="Approve fewer",IF($M355="","",$M355),IF($L355="","",$I355))))</f>
        <v/>
      </c>
      <c r="Q355" s="34" t="str">
        <f aca="false">IF($P355="","",IF($N355&lt;&gt;"",$N355,$J355))</f>
        <v/>
      </c>
      <c r="R355" s="35" t="str">
        <f aca="false">IF(OR($P355="",$Q355=""),"",INDEX(BookRate,350)*$P355*(5-MATCH($Q355,{"Q1";"Q2";"Q3";"Q4"},0))/4+INDEX(BookOneOff,350)*$P355)</f>
        <v/>
      </c>
      <c r="S355" s="35" t="str">
        <f aca="false">IF($P355="","",INDEX(BookRate,350)*$P355)</f>
        <v/>
      </c>
      <c r="T355" s="35" t="str">
        <f aca="false">IF($R355="","",$R355-$K355)</f>
        <v/>
      </c>
      <c r="U355" s="35" t="str">
        <f aca="false">IF(N($P355)&lt;=0,"",COUNTIF($P$6:$P355,"&gt;0"))</f>
        <v/>
      </c>
    </row>
    <row r="356" customFormat="false" ht="15" hidden="false" customHeight="false" outlineLevel="0" collapsed="false">
      <c r="A356" s="40" t="str">
        <f aca="false">IF(INDEX(BookTitle,351)="","",INDEX(BookGroup,351))</f>
        <v/>
      </c>
      <c r="B356" s="40" t="str">
        <f aca="false">IF(INDEX(BookTitle,351)="","",INDEX(BookRef,351))</f>
        <v/>
      </c>
      <c r="C356" s="40" t="str">
        <f aca="false">IF(INDEX(BookTitle,351)="","",INDEX(BookDivision,351))</f>
        <v/>
      </c>
      <c r="D356" s="40" t="str">
        <f aca="false">IF(INDEX(BookTitle,351)="","",INDEX(BookUnit,351))</f>
        <v/>
      </c>
      <c r="E356" s="40" t="str">
        <f aca="false">IF(INDEX(BookTitle,351)="","",INDEX(BookTitle,351))</f>
        <v/>
      </c>
      <c r="F356" s="40" t="str">
        <f aca="false">IF(INDEX(BookTitle,351)="","",INDEX(BookLevel,351))</f>
        <v/>
      </c>
      <c r="G356" s="40" t="str">
        <f aca="false">IF(INDEX(BookTitle,351)="","",INDEX(BookCategory,351))</f>
        <v/>
      </c>
      <c r="H356" s="40" t="str">
        <f aca="false">IF(INDEX(BookTitle,351)="","",INDEX(BookRank,351))</f>
        <v/>
      </c>
      <c r="I356" s="41" t="str">
        <f aca="false">IF(INDEX(BookTitle,351)="","",INDEX(BookTotal,351))</f>
        <v/>
      </c>
      <c r="J356" s="0" t="str">
        <f aca="false">IF($I356="","",IF(INDEX(BookQ1,351)&gt;0,"Q1",IF(INDEX(BookQ2,351)&gt;0,"Q2",IF(INDEX(BookQ3,351)&gt;0,"Q3",IF(INDEX(BookQ4,351)&gt;0,"Q4","")))))</f>
        <v/>
      </c>
      <c r="K356" s="42" t="str">
        <f aca="false">IF(INDEX(BookTitle,351)="","",INDEX(BookInYear,351))</f>
        <v/>
      </c>
      <c r="L356" s="19"/>
      <c r="M356" s="39"/>
      <c r="N356" s="19"/>
      <c r="O356" s="19"/>
      <c r="P356" s="43" t="str">
        <f aca="false">IF($E356="","",IF($L356="Decline",0,IF($L356="Approve fewer",IF($M356="","",$M356),IF($L356="","",$I356))))</f>
        <v/>
      </c>
      <c r="Q356" s="34" t="str">
        <f aca="false">IF($P356="","",IF($N356&lt;&gt;"",$N356,$J356))</f>
        <v/>
      </c>
      <c r="R356" s="35" t="str">
        <f aca="false">IF(OR($P356="",$Q356=""),"",INDEX(BookRate,351)*$P356*(5-MATCH($Q356,{"Q1";"Q2";"Q3";"Q4"},0))/4+INDEX(BookOneOff,351)*$P356)</f>
        <v/>
      </c>
      <c r="S356" s="35" t="str">
        <f aca="false">IF($P356="","",INDEX(BookRate,351)*$P356)</f>
        <v/>
      </c>
      <c r="T356" s="35" t="str">
        <f aca="false">IF($R356="","",$R356-$K356)</f>
        <v/>
      </c>
      <c r="U356" s="35" t="str">
        <f aca="false">IF(N($P356)&lt;=0,"",COUNTIF($P$6:$P356,"&gt;0"))</f>
        <v/>
      </c>
    </row>
    <row r="357" customFormat="false" ht="15" hidden="false" customHeight="false" outlineLevel="0" collapsed="false">
      <c r="A357" s="40" t="str">
        <f aca="false">IF(INDEX(BookTitle,352)="","",INDEX(BookGroup,352))</f>
        <v/>
      </c>
      <c r="B357" s="40" t="str">
        <f aca="false">IF(INDEX(BookTitle,352)="","",INDEX(BookRef,352))</f>
        <v/>
      </c>
      <c r="C357" s="40" t="str">
        <f aca="false">IF(INDEX(BookTitle,352)="","",INDEX(BookDivision,352))</f>
        <v/>
      </c>
      <c r="D357" s="40" t="str">
        <f aca="false">IF(INDEX(BookTitle,352)="","",INDEX(BookUnit,352))</f>
        <v/>
      </c>
      <c r="E357" s="40" t="str">
        <f aca="false">IF(INDEX(BookTitle,352)="","",INDEX(BookTitle,352))</f>
        <v/>
      </c>
      <c r="F357" s="40" t="str">
        <f aca="false">IF(INDEX(BookTitle,352)="","",INDEX(BookLevel,352))</f>
        <v/>
      </c>
      <c r="G357" s="40" t="str">
        <f aca="false">IF(INDEX(BookTitle,352)="","",INDEX(BookCategory,352))</f>
        <v/>
      </c>
      <c r="H357" s="40" t="str">
        <f aca="false">IF(INDEX(BookTitle,352)="","",INDEX(BookRank,352))</f>
        <v/>
      </c>
      <c r="I357" s="41" t="str">
        <f aca="false">IF(INDEX(BookTitle,352)="","",INDEX(BookTotal,352))</f>
        <v/>
      </c>
      <c r="J357" s="0" t="str">
        <f aca="false">IF($I357="","",IF(INDEX(BookQ1,352)&gt;0,"Q1",IF(INDEX(BookQ2,352)&gt;0,"Q2",IF(INDEX(BookQ3,352)&gt;0,"Q3",IF(INDEX(BookQ4,352)&gt;0,"Q4","")))))</f>
        <v/>
      </c>
      <c r="K357" s="42" t="str">
        <f aca="false">IF(INDEX(BookTitle,352)="","",INDEX(BookInYear,352))</f>
        <v/>
      </c>
      <c r="L357" s="19"/>
      <c r="M357" s="39"/>
      <c r="N357" s="19"/>
      <c r="O357" s="19"/>
      <c r="P357" s="43" t="str">
        <f aca="false">IF($E357="","",IF($L357="Decline",0,IF($L357="Approve fewer",IF($M357="","",$M357),IF($L357="","",$I357))))</f>
        <v/>
      </c>
      <c r="Q357" s="34" t="str">
        <f aca="false">IF($P357="","",IF($N357&lt;&gt;"",$N357,$J357))</f>
        <v/>
      </c>
      <c r="R357" s="35" t="str">
        <f aca="false">IF(OR($P357="",$Q357=""),"",INDEX(BookRate,352)*$P357*(5-MATCH($Q357,{"Q1";"Q2";"Q3";"Q4"},0))/4+INDEX(BookOneOff,352)*$P357)</f>
        <v/>
      </c>
      <c r="S357" s="35" t="str">
        <f aca="false">IF($P357="","",INDEX(BookRate,352)*$P357)</f>
        <v/>
      </c>
      <c r="T357" s="35" t="str">
        <f aca="false">IF($R357="","",$R357-$K357)</f>
        <v/>
      </c>
      <c r="U357" s="35" t="str">
        <f aca="false">IF(N($P357)&lt;=0,"",COUNTIF($P$6:$P357,"&gt;0"))</f>
        <v/>
      </c>
    </row>
    <row r="358" customFormat="false" ht="15" hidden="false" customHeight="false" outlineLevel="0" collapsed="false">
      <c r="A358" s="40" t="str">
        <f aca="false">IF(INDEX(BookTitle,353)="","",INDEX(BookGroup,353))</f>
        <v/>
      </c>
      <c r="B358" s="40" t="str">
        <f aca="false">IF(INDEX(BookTitle,353)="","",INDEX(BookRef,353))</f>
        <v/>
      </c>
      <c r="C358" s="40" t="str">
        <f aca="false">IF(INDEX(BookTitle,353)="","",INDEX(BookDivision,353))</f>
        <v/>
      </c>
      <c r="D358" s="40" t="str">
        <f aca="false">IF(INDEX(BookTitle,353)="","",INDEX(BookUnit,353))</f>
        <v/>
      </c>
      <c r="E358" s="40" t="str">
        <f aca="false">IF(INDEX(BookTitle,353)="","",INDEX(BookTitle,353))</f>
        <v/>
      </c>
      <c r="F358" s="40" t="str">
        <f aca="false">IF(INDEX(BookTitle,353)="","",INDEX(BookLevel,353))</f>
        <v/>
      </c>
      <c r="G358" s="40" t="str">
        <f aca="false">IF(INDEX(BookTitle,353)="","",INDEX(BookCategory,353))</f>
        <v/>
      </c>
      <c r="H358" s="40" t="str">
        <f aca="false">IF(INDEX(BookTitle,353)="","",INDEX(BookRank,353))</f>
        <v/>
      </c>
      <c r="I358" s="41" t="str">
        <f aca="false">IF(INDEX(BookTitle,353)="","",INDEX(BookTotal,353))</f>
        <v/>
      </c>
      <c r="J358" s="0" t="str">
        <f aca="false">IF($I358="","",IF(INDEX(BookQ1,353)&gt;0,"Q1",IF(INDEX(BookQ2,353)&gt;0,"Q2",IF(INDEX(BookQ3,353)&gt;0,"Q3",IF(INDEX(BookQ4,353)&gt;0,"Q4","")))))</f>
        <v/>
      </c>
      <c r="K358" s="42" t="str">
        <f aca="false">IF(INDEX(BookTitle,353)="","",INDEX(BookInYear,353))</f>
        <v/>
      </c>
      <c r="L358" s="19"/>
      <c r="M358" s="39"/>
      <c r="N358" s="19"/>
      <c r="O358" s="19"/>
      <c r="P358" s="43" t="str">
        <f aca="false">IF($E358="","",IF($L358="Decline",0,IF($L358="Approve fewer",IF($M358="","",$M358),IF($L358="","",$I358))))</f>
        <v/>
      </c>
      <c r="Q358" s="34" t="str">
        <f aca="false">IF($P358="","",IF($N358&lt;&gt;"",$N358,$J358))</f>
        <v/>
      </c>
      <c r="R358" s="35" t="str">
        <f aca="false">IF(OR($P358="",$Q358=""),"",INDEX(BookRate,353)*$P358*(5-MATCH($Q358,{"Q1";"Q2";"Q3";"Q4"},0))/4+INDEX(BookOneOff,353)*$P358)</f>
        <v/>
      </c>
      <c r="S358" s="35" t="str">
        <f aca="false">IF($P358="","",INDEX(BookRate,353)*$P358)</f>
        <v/>
      </c>
      <c r="T358" s="35" t="str">
        <f aca="false">IF($R358="","",$R358-$K358)</f>
        <v/>
      </c>
      <c r="U358" s="35" t="str">
        <f aca="false">IF(N($P358)&lt;=0,"",COUNTIF($P$6:$P358,"&gt;0"))</f>
        <v/>
      </c>
    </row>
    <row r="359" customFormat="false" ht="15" hidden="false" customHeight="false" outlineLevel="0" collapsed="false">
      <c r="A359" s="40" t="str">
        <f aca="false">IF(INDEX(BookTitle,354)="","",INDEX(BookGroup,354))</f>
        <v/>
      </c>
      <c r="B359" s="40" t="str">
        <f aca="false">IF(INDEX(BookTitle,354)="","",INDEX(BookRef,354))</f>
        <v/>
      </c>
      <c r="C359" s="40" t="str">
        <f aca="false">IF(INDEX(BookTitle,354)="","",INDEX(BookDivision,354))</f>
        <v/>
      </c>
      <c r="D359" s="40" t="str">
        <f aca="false">IF(INDEX(BookTitle,354)="","",INDEX(BookUnit,354))</f>
        <v/>
      </c>
      <c r="E359" s="40" t="str">
        <f aca="false">IF(INDEX(BookTitle,354)="","",INDEX(BookTitle,354))</f>
        <v/>
      </c>
      <c r="F359" s="40" t="str">
        <f aca="false">IF(INDEX(BookTitle,354)="","",INDEX(BookLevel,354))</f>
        <v/>
      </c>
      <c r="G359" s="40" t="str">
        <f aca="false">IF(INDEX(BookTitle,354)="","",INDEX(BookCategory,354))</f>
        <v/>
      </c>
      <c r="H359" s="40" t="str">
        <f aca="false">IF(INDEX(BookTitle,354)="","",INDEX(BookRank,354))</f>
        <v/>
      </c>
      <c r="I359" s="41" t="str">
        <f aca="false">IF(INDEX(BookTitle,354)="","",INDEX(BookTotal,354))</f>
        <v/>
      </c>
      <c r="J359" s="0" t="str">
        <f aca="false">IF($I359="","",IF(INDEX(BookQ1,354)&gt;0,"Q1",IF(INDEX(BookQ2,354)&gt;0,"Q2",IF(INDEX(BookQ3,354)&gt;0,"Q3",IF(INDEX(BookQ4,354)&gt;0,"Q4","")))))</f>
        <v/>
      </c>
      <c r="K359" s="42" t="str">
        <f aca="false">IF(INDEX(BookTitle,354)="","",INDEX(BookInYear,354))</f>
        <v/>
      </c>
      <c r="L359" s="19"/>
      <c r="M359" s="39"/>
      <c r="N359" s="19"/>
      <c r="O359" s="19"/>
      <c r="P359" s="43" t="str">
        <f aca="false">IF($E359="","",IF($L359="Decline",0,IF($L359="Approve fewer",IF($M359="","",$M359),IF($L359="","",$I359))))</f>
        <v/>
      </c>
      <c r="Q359" s="34" t="str">
        <f aca="false">IF($P359="","",IF($N359&lt;&gt;"",$N359,$J359))</f>
        <v/>
      </c>
      <c r="R359" s="35" t="str">
        <f aca="false">IF(OR($P359="",$Q359=""),"",INDEX(BookRate,354)*$P359*(5-MATCH($Q359,{"Q1";"Q2";"Q3";"Q4"},0))/4+INDEX(BookOneOff,354)*$P359)</f>
        <v/>
      </c>
      <c r="S359" s="35" t="str">
        <f aca="false">IF($P359="","",INDEX(BookRate,354)*$P359)</f>
        <v/>
      </c>
      <c r="T359" s="35" t="str">
        <f aca="false">IF($R359="","",$R359-$K359)</f>
        <v/>
      </c>
      <c r="U359" s="35" t="str">
        <f aca="false">IF(N($P359)&lt;=0,"",COUNTIF($P$6:$P359,"&gt;0"))</f>
        <v/>
      </c>
    </row>
    <row r="360" customFormat="false" ht="15" hidden="false" customHeight="false" outlineLevel="0" collapsed="false">
      <c r="A360" s="40" t="str">
        <f aca="false">IF(INDEX(BookTitle,355)="","",INDEX(BookGroup,355))</f>
        <v/>
      </c>
      <c r="B360" s="40" t="str">
        <f aca="false">IF(INDEX(BookTitle,355)="","",INDEX(BookRef,355))</f>
        <v/>
      </c>
      <c r="C360" s="40" t="str">
        <f aca="false">IF(INDEX(BookTitle,355)="","",INDEX(BookDivision,355))</f>
        <v/>
      </c>
      <c r="D360" s="40" t="str">
        <f aca="false">IF(INDEX(BookTitle,355)="","",INDEX(BookUnit,355))</f>
        <v/>
      </c>
      <c r="E360" s="40" t="str">
        <f aca="false">IF(INDEX(BookTitle,355)="","",INDEX(BookTitle,355))</f>
        <v/>
      </c>
      <c r="F360" s="40" t="str">
        <f aca="false">IF(INDEX(BookTitle,355)="","",INDEX(BookLevel,355))</f>
        <v/>
      </c>
      <c r="G360" s="40" t="str">
        <f aca="false">IF(INDEX(BookTitle,355)="","",INDEX(BookCategory,355))</f>
        <v/>
      </c>
      <c r="H360" s="40" t="str">
        <f aca="false">IF(INDEX(BookTitle,355)="","",INDEX(BookRank,355))</f>
        <v/>
      </c>
      <c r="I360" s="41" t="str">
        <f aca="false">IF(INDEX(BookTitle,355)="","",INDEX(BookTotal,355))</f>
        <v/>
      </c>
      <c r="J360" s="0" t="str">
        <f aca="false">IF($I360="","",IF(INDEX(BookQ1,355)&gt;0,"Q1",IF(INDEX(BookQ2,355)&gt;0,"Q2",IF(INDEX(BookQ3,355)&gt;0,"Q3",IF(INDEX(BookQ4,355)&gt;0,"Q4","")))))</f>
        <v/>
      </c>
      <c r="K360" s="42" t="str">
        <f aca="false">IF(INDEX(BookTitle,355)="","",INDEX(BookInYear,355))</f>
        <v/>
      </c>
      <c r="L360" s="19"/>
      <c r="M360" s="39"/>
      <c r="N360" s="19"/>
      <c r="O360" s="19"/>
      <c r="P360" s="43" t="str">
        <f aca="false">IF($E360="","",IF($L360="Decline",0,IF($L360="Approve fewer",IF($M360="","",$M360),IF($L360="","",$I360))))</f>
        <v/>
      </c>
      <c r="Q360" s="34" t="str">
        <f aca="false">IF($P360="","",IF($N360&lt;&gt;"",$N360,$J360))</f>
        <v/>
      </c>
      <c r="R360" s="35" t="str">
        <f aca="false">IF(OR($P360="",$Q360=""),"",INDEX(BookRate,355)*$P360*(5-MATCH($Q360,{"Q1";"Q2";"Q3";"Q4"},0))/4+INDEX(BookOneOff,355)*$P360)</f>
        <v/>
      </c>
      <c r="S360" s="35" t="str">
        <f aca="false">IF($P360="","",INDEX(BookRate,355)*$P360)</f>
        <v/>
      </c>
      <c r="T360" s="35" t="str">
        <f aca="false">IF($R360="","",$R360-$K360)</f>
        <v/>
      </c>
      <c r="U360" s="35" t="str">
        <f aca="false">IF(N($P360)&lt;=0,"",COUNTIF($P$6:$P360,"&gt;0"))</f>
        <v/>
      </c>
    </row>
    <row r="361" customFormat="false" ht="15" hidden="false" customHeight="false" outlineLevel="0" collapsed="false">
      <c r="A361" s="40" t="str">
        <f aca="false">IF(INDEX(BookTitle,356)="","",INDEX(BookGroup,356))</f>
        <v/>
      </c>
      <c r="B361" s="40" t="str">
        <f aca="false">IF(INDEX(BookTitle,356)="","",INDEX(BookRef,356))</f>
        <v/>
      </c>
      <c r="C361" s="40" t="str">
        <f aca="false">IF(INDEX(BookTitle,356)="","",INDEX(BookDivision,356))</f>
        <v/>
      </c>
      <c r="D361" s="40" t="str">
        <f aca="false">IF(INDEX(BookTitle,356)="","",INDEX(BookUnit,356))</f>
        <v/>
      </c>
      <c r="E361" s="40" t="str">
        <f aca="false">IF(INDEX(BookTitle,356)="","",INDEX(BookTitle,356))</f>
        <v/>
      </c>
      <c r="F361" s="40" t="str">
        <f aca="false">IF(INDEX(BookTitle,356)="","",INDEX(BookLevel,356))</f>
        <v/>
      </c>
      <c r="G361" s="40" t="str">
        <f aca="false">IF(INDEX(BookTitle,356)="","",INDEX(BookCategory,356))</f>
        <v/>
      </c>
      <c r="H361" s="40" t="str">
        <f aca="false">IF(INDEX(BookTitle,356)="","",INDEX(BookRank,356))</f>
        <v/>
      </c>
      <c r="I361" s="41" t="str">
        <f aca="false">IF(INDEX(BookTitle,356)="","",INDEX(BookTotal,356))</f>
        <v/>
      </c>
      <c r="J361" s="0" t="str">
        <f aca="false">IF($I361="","",IF(INDEX(BookQ1,356)&gt;0,"Q1",IF(INDEX(BookQ2,356)&gt;0,"Q2",IF(INDEX(BookQ3,356)&gt;0,"Q3",IF(INDEX(BookQ4,356)&gt;0,"Q4","")))))</f>
        <v/>
      </c>
      <c r="K361" s="42" t="str">
        <f aca="false">IF(INDEX(BookTitle,356)="","",INDEX(BookInYear,356))</f>
        <v/>
      </c>
      <c r="L361" s="19"/>
      <c r="M361" s="39"/>
      <c r="N361" s="19"/>
      <c r="O361" s="19"/>
      <c r="P361" s="43" t="str">
        <f aca="false">IF($E361="","",IF($L361="Decline",0,IF($L361="Approve fewer",IF($M361="","",$M361),IF($L361="","",$I361))))</f>
        <v/>
      </c>
      <c r="Q361" s="34" t="str">
        <f aca="false">IF($P361="","",IF($N361&lt;&gt;"",$N361,$J361))</f>
        <v/>
      </c>
      <c r="R361" s="35" t="str">
        <f aca="false">IF(OR($P361="",$Q361=""),"",INDEX(BookRate,356)*$P361*(5-MATCH($Q361,{"Q1";"Q2";"Q3";"Q4"},0))/4+INDEX(BookOneOff,356)*$P361)</f>
        <v/>
      </c>
      <c r="S361" s="35" t="str">
        <f aca="false">IF($P361="","",INDEX(BookRate,356)*$P361)</f>
        <v/>
      </c>
      <c r="T361" s="35" t="str">
        <f aca="false">IF($R361="","",$R361-$K361)</f>
        <v/>
      </c>
      <c r="U361" s="35" t="str">
        <f aca="false">IF(N($P361)&lt;=0,"",COUNTIF($P$6:$P361,"&gt;0"))</f>
        <v/>
      </c>
    </row>
    <row r="362" customFormat="false" ht="15" hidden="false" customHeight="false" outlineLevel="0" collapsed="false">
      <c r="A362" s="40" t="str">
        <f aca="false">IF(INDEX(BookTitle,357)="","",INDEX(BookGroup,357))</f>
        <v/>
      </c>
      <c r="B362" s="40" t="str">
        <f aca="false">IF(INDEX(BookTitle,357)="","",INDEX(BookRef,357))</f>
        <v/>
      </c>
      <c r="C362" s="40" t="str">
        <f aca="false">IF(INDEX(BookTitle,357)="","",INDEX(BookDivision,357))</f>
        <v/>
      </c>
      <c r="D362" s="40" t="str">
        <f aca="false">IF(INDEX(BookTitle,357)="","",INDEX(BookUnit,357))</f>
        <v/>
      </c>
      <c r="E362" s="40" t="str">
        <f aca="false">IF(INDEX(BookTitle,357)="","",INDEX(BookTitle,357))</f>
        <v/>
      </c>
      <c r="F362" s="40" t="str">
        <f aca="false">IF(INDEX(BookTitle,357)="","",INDEX(BookLevel,357))</f>
        <v/>
      </c>
      <c r="G362" s="40" t="str">
        <f aca="false">IF(INDEX(BookTitle,357)="","",INDEX(BookCategory,357))</f>
        <v/>
      </c>
      <c r="H362" s="40" t="str">
        <f aca="false">IF(INDEX(BookTitle,357)="","",INDEX(BookRank,357))</f>
        <v/>
      </c>
      <c r="I362" s="41" t="str">
        <f aca="false">IF(INDEX(BookTitle,357)="","",INDEX(BookTotal,357))</f>
        <v/>
      </c>
      <c r="J362" s="0" t="str">
        <f aca="false">IF($I362="","",IF(INDEX(BookQ1,357)&gt;0,"Q1",IF(INDEX(BookQ2,357)&gt;0,"Q2",IF(INDEX(BookQ3,357)&gt;0,"Q3",IF(INDEX(BookQ4,357)&gt;0,"Q4","")))))</f>
        <v/>
      </c>
      <c r="K362" s="42" t="str">
        <f aca="false">IF(INDEX(BookTitle,357)="","",INDEX(BookInYear,357))</f>
        <v/>
      </c>
      <c r="L362" s="19"/>
      <c r="M362" s="39"/>
      <c r="N362" s="19"/>
      <c r="O362" s="19"/>
      <c r="P362" s="43" t="str">
        <f aca="false">IF($E362="","",IF($L362="Decline",0,IF($L362="Approve fewer",IF($M362="","",$M362),IF($L362="","",$I362))))</f>
        <v/>
      </c>
      <c r="Q362" s="34" t="str">
        <f aca="false">IF($P362="","",IF($N362&lt;&gt;"",$N362,$J362))</f>
        <v/>
      </c>
      <c r="R362" s="35" t="str">
        <f aca="false">IF(OR($P362="",$Q362=""),"",INDEX(BookRate,357)*$P362*(5-MATCH($Q362,{"Q1";"Q2";"Q3";"Q4"},0))/4+INDEX(BookOneOff,357)*$P362)</f>
        <v/>
      </c>
      <c r="S362" s="35" t="str">
        <f aca="false">IF($P362="","",INDEX(BookRate,357)*$P362)</f>
        <v/>
      </c>
      <c r="T362" s="35" t="str">
        <f aca="false">IF($R362="","",$R362-$K362)</f>
        <v/>
      </c>
      <c r="U362" s="35" t="str">
        <f aca="false">IF(N($P362)&lt;=0,"",COUNTIF($P$6:$P362,"&gt;0"))</f>
        <v/>
      </c>
    </row>
    <row r="363" customFormat="false" ht="15" hidden="false" customHeight="false" outlineLevel="0" collapsed="false">
      <c r="A363" s="40" t="str">
        <f aca="false">IF(INDEX(BookTitle,358)="","",INDEX(BookGroup,358))</f>
        <v/>
      </c>
      <c r="B363" s="40" t="str">
        <f aca="false">IF(INDEX(BookTitle,358)="","",INDEX(BookRef,358))</f>
        <v/>
      </c>
      <c r="C363" s="40" t="str">
        <f aca="false">IF(INDEX(BookTitle,358)="","",INDEX(BookDivision,358))</f>
        <v/>
      </c>
      <c r="D363" s="40" t="str">
        <f aca="false">IF(INDEX(BookTitle,358)="","",INDEX(BookUnit,358))</f>
        <v/>
      </c>
      <c r="E363" s="40" t="str">
        <f aca="false">IF(INDEX(BookTitle,358)="","",INDEX(BookTitle,358))</f>
        <v/>
      </c>
      <c r="F363" s="40" t="str">
        <f aca="false">IF(INDEX(BookTitle,358)="","",INDEX(BookLevel,358))</f>
        <v/>
      </c>
      <c r="G363" s="40" t="str">
        <f aca="false">IF(INDEX(BookTitle,358)="","",INDEX(BookCategory,358))</f>
        <v/>
      </c>
      <c r="H363" s="40" t="str">
        <f aca="false">IF(INDEX(BookTitle,358)="","",INDEX(BookRank,358))</f>
        <v/>
      </c>
      <c r="I363" s="41" t="str">
        <f aca="false">IF(INDEX(BookTitle,358)="","",INDEX(BookTotal,358))</f>
        <v/>
      </c>
      <c r="J363" s="0" t="str">
        <f aca="false">IF($I363="","",IF(INDEX(BookQ1,358)&gt;0,"Q1",IF(INDEX(BookQ2,358)&gt;0,"Q2",IF(INDEX(BookQ3,358)&gt;0,"Q3",IF(INDEX(BookQ4,358)&gt;0,"Q4","")))))</f>
        <v/>
      </c>
      <c r="K363" s="42" t="str">
        <f aca="false">IF(INDEX(BookTitle,358)="","",INDEX(BookInYear,358))</f>
        <v/>
      </c>
      <c r="L363" s="19"/>
      <c r="M363" s="39"/>
      <c r="N363" s="19"/>
      <c r="O363" s="19"/>
      <c r="P363" s="43" t="str">
        <f aca="false">IF($E363="","",IF($L363="Decline",0,IF($L363="Approve fewer",IF($M363="","",$M363),IF($L363="","",$I363))))</f>
        <v/>
      </c>
      <c r="Q363" s="34" t="str">
        <f aca="false">IF($P363="","",IF($N363&lt;&gt;"",$N363,$J363))</f>
        <v/>
      </c>
      <c r="R363" s="35" t="str">
        <f aca="false">IF(OR($P363="",$Q363=""),"",INDEX(BookRate,358)*$P363*(5-MATCH($Q363,{"Q1";"Q2";"Q3";"Q4"},0))/4+INDEX(BookOneOff,358)*$P363)</f>
        <v/>
      </c>
      <c r="S363" s="35" t="str">
        <f aca="false">IF($P363="","",INDEX(BookRate,358)*$P363)</f>
        <v/>
      </c>
      <c r="T363" s="35" t="str">
        <f aca="false">IF($R363="","",$R363-$K363)</f>
        <v/>
      </c>
      <c r="U363" s="35" t="str">
        <f aca="false">IF(N($P363)&lt;=0,"",COUNTIF($P$6:$P363,"&gt;0"))</f>
        <v/>
      </c>
    </row>
    <row r="364" customFormat="false" ht="15" hidden="false" customHeight="false" outlineLevel="0" collapsed="false">
      <c r="A364" s="40" t="str">
        <f aca="false">IF(INDEX(BookTitle,359)="","",INDEX(BookGroup,359))</f>
        <v/>
      </c>
      <c r="B364" s="40" t="str">
        <f aca="false">IF(INDEX(BookTitle,359)="","",INDEX(BookRef,359))</f>
        <v/>
      </c>
      <c r="C364" s="40" t="str">
        <f aca="false">IF(INDEX(BookTitle,359)="","",INDEX(BookDivision,359))</f>
        <v/>
      </c>
      <c r="D364" s="40" t="str">
        <f aca="false">IF(INDEX(BookTitle,359)="","",INDEX(BookUnit,359))</f>
        <v/>
      </c>
      <c r="E364" s="40" t="str">
        <f aca="false">IF(INDEX(BookTitle,359)="","",INDEX(BookTitle,359))</f>
        <v/>
      </c>
      <c r="F364" s="40" t="str">
        <f aca="false">IF(INDEX(BookTitle,359)="","",INDEX(BookLevel,359))</f>
        <v/>
      </c>
      <c r="G364" s="40" t="str">
        <f aca="false">IF(INDEX(BookTitle,359)="","",INDEX(BookCategory,359))</f>
        <v/>
      </c>
      <c r="H364" s="40" t="str">
        <f aca="false">IF(INDEX(BookTitle,359)="","",INDEX(BookRank,359))</f>
        <v/>
      </c>
      <c r="I364" s="41" t="str">
        <f aca="false">IF(INDEX(BookTitle,359)="","",INDEX(BookTotal,359))</f>
        <v/>
      </c>
      <c r="J364" s="0" t="str">
        <f aca="false">IF($I364="","",IF(INDEX(BookQ1,359)&gt;0,"Q1",IF(INDEX(BookQ2,359)&gt;0,"Q2",IF(INDEX(BookQ3,359)&gt;0,"Q3",IF(INDEX(BookQ4,359)&gt;0,"Q4","")))))</f>
        <v/>
      </c>
      <c r="K364" s="42" t="str">
        <f aca="false">IF(INDEX(BookTitle,359)="","",INDEX(BookInYear,359))</f>
        <v/>
      </c>
      <c r="L364" s="19"/>
      <c r="M364" s="39"/>
      <c r="N364" s="19"/>
      <c r="O364" s="19"/>
      <c r="P364" s="43" t="str">
        <f aca="false">IF($E364="","",IF($L364="Decline",0,IF($L364="Approve fewer",IF($M364="","",$M364),IF($L364="","",$I364))))</f>
        <v/>
      </c>
      <c r="Q364" s="34" t="str">
        <f aca="false">IF($P364="","",IF($N364&lt;&gt;"",$N364,$J364))</f>
        <v/>
      </c>
      <c r="R364" s="35" t="str">
        <f aca="false">IF(OR($P364="",$Q364=""),"",INDEX(BookRate,359)*$P364*(5-MATCH($Q364,{"Q1";"Q2";"Q3";"Q4"},0))/4+INDEX(BookOneOff,359)*$P364)</f>
        <v/>
      </c>
      <c r="S364" s="35" t="str">
        <f aca="false">IF($P364="","",INDEX(BookRate,359)*$P364)</f>
        <v/>
      </c>
      <c r="T364" s="35" t="str">
        <f aca="false">IF($R364="","",$R364-$K364)</f>
        <v/>
      </c>
      <c r="U364" s="35" t="str">
        <f aca="false">IF(N($P364)&lt;=0,"",COUNTIF($P$6:$P364,"&gt;0"))</f>
        <v/>
      </c>
    </row>
    <row r="365" customFormat="false" ht="15" hidden="false" customHeight="false" outlineLevel="0" collapsed="false">
      <c r="A365" s="40" t="str">
        <f aca="false">IF(INDEX(BookTitle,360)="","",INDEX(BookGroup,360))</f>
        <v/>
      </c>
      <c r="B365" s="40" t="str">
        <f aca="false">IF(INDEX(BookTitle,360)="","",INDEX(BookRef,360))</f>
        <v/>
      </c>
      <c r="C365" s="40" t="str">
        <f aca="false">IF(INDEX(BookTitle,360)="","",INDEX(BookDivision,360))</f>
        <v/>
      </c>
      <c r="D365" s="40" t="str">
        <f aca="false">IF(INDEX(BookTitle,360)="","",INDEX(BookUnit,360))</f>
        <v/>
      </c>
      <c r="E365" s="40" t="str">
        <f aca="false">IF(INDEX(BookTitle,360)="","",INDEX(BookTitle,360))</f>
        <v/>
      </c>
      <c r="F365" s="40" t="str">
        <f aca="false">IF(INDEX(BookTitle,360)="","",INDEX(BookLevel,360))</f>
        <v/>
      </c>
      <c r="G365" s="40" t="str">
        <f aca="false">IF(INDEX(BookTitle,360)="","",INDEX(BookCategory,360))</f>
        <v/>
      </c>
      <c r="H365" s="40" t="str">
        <f aca="false">IF(INDEX(BookTitle,360)="","",INDEX(BookRank,360))</f>
        <v/>
      </c>
      <c r="I365" s="41" t="str">
        <f aca="false">IF(INDEX(BookTitle,360)="","",INDEX(BookTotal,360))</f>
        <v/>
      </c>
      <c r="J365" s="0" t="str">
        <f aca="false">IF($I365="","",IF(INDEX(BookQ1,360)&gt;0,"Q1",IF(INDEX(BookQ2,360)&gt;0,"Q2",IF(INDEX(BookQ3,360)&gt;0,"Q3",IF(INDEX(BookQ4,360)&gt;0,"Q4","")))))</f>
        <v/>
      </c>
      <c r="K365" s="42" t="str">
        <f aca="false">IF(INDEX(BookTitle,360)="","",INDEX(BookInYear,360))</f>
        <v/>
      </c>
      <c r="L365" s="19"/>
      <c r="M365" s="39"/>
      <c r="N365" s="19"/>
      <c r="O365" s="19"/>
      <c r="P365" s="43" t="str">
        <f aca="false">IF($E365="","",IF($L365="Decline",0,IF($L365="Approve fewer",IF($M365="","",$M365),IF($L365="","",$I365))))</f>
        <v/>
      </c>
      <c r="Q365" s="34" t="str">
        <f aca="false">IF($P365="","",IF($N365&lt;&gt;"",$N365,$J365))</f>
        <v/>
      </c>
      <c r="R365" s="35" t="str">
        <f aca="false">IF(OR($P365="",$Q365=""),"",INDEX(BookRate,360)*$P365*(5-MATCH($Q365,{"Q1";"Q2";"Q3";"Q4"},0))/4+INDEX(BookOneOff,360)*$P365)</f>
        <v/>
      </c>
      <c r="S365" s="35" t="str">
        <f aca="false">IF($P365="","",INDEX(BookRate,360)*$P365)</f>
        <v/>
      </c>
      <c r="T365" s="35" t="str">
        <f aca="false">IF($R365="","",$R365-$K365)</f>
        <v/>
      </c>
      <c r="U365" s="35" t="str">
        <f aca="false">IF(N($P365)&lt;=0,"",COUNTIF($P$6:$P365,"&gt;0"))</f>
        <v/>
      </c>
    </row>
    <row r="366" customFormat="false" ht="15" hidden="false" customHeight="false" outlineLevel="0" collapsed="false">
      <c r="A366" s="40" t="str">
        <f aca="false">IF(INDEX(BookTitle,361)="","",INDEX(BookGroup,361))</f>
        <v/>
      </c>
      <c r="B366" s="40" t="str">
        <f aca="false">IF(INDEX(BookTitle,361)="","",INDEX(BookRef,361))</f>
        <v/>
      </c>
      <c r="C366" s="40" t="str">
        <f aca="false">IF(INDEX(BookTitle,361)="","",INDEX(BookDivision,361))</f>
        <v/>
      </c>
      <c r="D366" s="40" t="str">
        <f aca="false">IF(INDEX(BookTitle,361)="","",INDEX(BookUnit,361))</f>
        <v/>
      </c>
      <c r="E366" s="40" t="str">
        <f aca="false">IF(INDEX(BookTitle,361)="","",INDEX(BookTitle,361))</f>
        <v/>
      </c>
      <c r="F366" s="40" t="str">
        <f aca="false">IF(INDEX(BookTitle,361)="","",INDEX(BookLevel,361))</f>
        <v/>
      </c>
      <c r="G366" s="40" t="str">
        <f aca="false">IF(INDEX(BookTitle,361)="","",INDEX(BookCategory,361))</f>
        <v/>
      </c>
      <c r="H366" s="40" t="str">
        <f aca="false">IF(INDEX(BookTitle,361)="","",INDEX(BookRank,361))</f>
        <v/>
      </c>
      <c r="I366" s="41" t="str">
        <f aca="false">IF(INDEX(BookTitle,361)="","",INDEX(BookTotal,361))</f>
        <v/>
      </c>
      <c r="J366" s="0" t="str">
        <f aca="false">IF($I366="","",IF(INDEX(BookQ1,361)&gt;0,"Q1",IF(INDEX(BookQ2,361)&gt;0,"Q2",IF(INDEX(BookQ3,361)&gt;0,"Q3",IF(INDEX(BookQ4,361)&gt;0,"Q4","")))))</f>
        <v/>
      </c>
      <c r="K366" s="42" t="str">
        <f aca="false">IF(INDEX(BookTitle,361)="","",INDEX(BookInYear,361))</f>
        <v/>
      </c>
      <c r="L366" s="19"/>
      <c r="M366" s="39"/>
      <c r="N366" s="19"/>
      <c r="O366" s="19"/>
      <c r="P366" s="43" t="str">
        <f aca="false">IF($E366="","",IF($L366="Decline",0,IF($L366="Approve fewer",IF($M366="","",$M366),IF($L366="","",$I366))))</f>
        <v/>
      </c>
      <c r="Q366" s="34" t="str">
        <f aca="false">IF($P366="","",IF($N366&lt;&gt;"",$N366,$J366))</f>
        <v/>
      </c>
      <c r="R366" s="35" t="str">
        <f aca="false">IF(OR($P366="",$Q366=""),"",INDEX(BookRate,361)*$P366*(5-MATCH($Q366,{"Q1";"Q2";"Q3";"Q4"},0))/4+INDEX(BookOneOff,361)*$P366)</f>
        <v/>
      </c>
      <c r="S366" s="35" t="str">
        <f aca="false">IF($P366="","",INDEX(BookRate,361)*$P366)</f>
        <v/>
      </c>
      <c r="T366" s="35" t="str">
        <f aca="false">IF($R366="","",$R366-$K366)</f>
        <v/>
      </c>
      <c r="U366" s="35" t="str">
        <f aca="false">IF(N($P366)&lt;=0,"",COUNTIF($P$6:$P366,"&gt;0"))</f>
        <v/>
      </c>
    </row>
    <row r="367" customFormat="false" ht="15" hidden="false" customHeight="false" outlineLevel="0" collapsed="false">
      <c r="A367" s="40" t="str">
        <f aca="false">IF(INDEX(BookTitle,362)="","",INDEX(BookGroup,362))</f>
        <v/>
      </c>
      <c r="B367" s="40" t="str">
        <f aca="false">IF(INDEX(BookTitle,362)="","",INDEX(BookRef,362))</f>
        <v/>
      </c>
      <c r="C367" s="40" t="str">
        <f aca="false">IF(INDEX(BookTitle,362)="","",INDEX(BookDivision,362))</f>
        <v/>
      </c>
      <c r="D367" s="40" t="str">
        <f aca="false">IF(INDEX(BookTitle,362)="","",INDEX(BookUnit,362))</f>
        <v/>
      </c>
      <c r="E367" s="40" t="str">
        <f aca="false">IF(INDEX(BookTitle,362)="","",INDEX(BookTitle,362))</f>
        <v/>
      </c>
      <c r="F367" s="40" t="str">
        <f aca="false">IF(INDEX(BookTitle,362)="","",INDEX(BookLevel,362))</f>
        <v/>
      </c>
      <c r="G367" s="40" t="str">
        <f aca="false">IF(INDEX(BookTitle,362)="","",INDEX(BookCategory,362))</f>
        <v/>
      </c>
      <c r="H367" s="40" t="str">
        <f aca="false">IF(INDEX(BookTitle,362)="","",INDEX(BookRank,362))</f>
        <v/>
      </c>
      <c r="I367" s="41" t="str">
        <f aca="false">IF(INDEX(BookTitle,362)="","",INDEX(BookTotal,362))</f>
        <v/>
      </c>
      <c r="J367" s="0" t="str">
        <f aca="false">IF($I367="","",IF(INDEX(BookQ1,362)&gt;0,"Q1",IF(INDEX(BookQ2,362)&gt;0,"Q2",IF(INDEX(BookQ3,362)&gt;0,"Q3",IF(INDEX(BookQ4,362)&gt;0,"Q4","")))))</f>
        <v/>
      </c>
      <c r="K367" s="42" t="str">
        <f aca="false">IF(INDEX(BookTitle,362)="","",INDEX(BookInYear,362))</f>
        <v/>
      </c>
      <c r="L367" s="19"/>
      <c r="M367" s="39"/>
      <c r="N367" s="19"/>
      <c r="O367" s="19"/>
      <c r="P367" s="43" t="str">
        <f aca="false">IF($E367="","",IF($L367="Decline",0,IF($L367="Approve fewer",IF($M367="","",$M367),IF($L367="","",$I367))))</f>
        <v/>
      </c>
      <c r="Q367" s="34" t="str">
        <f aca="false">IF($P367="","",IF($N367&lt;&gt;"",$N367,$J367))</f>
        <v/>
      </c>
      <c r="R367" s="35" t="str">
        <f aca="false">IF(OR($P367="",$Q367=""),"",INDEX(BookRate,362)*$P367*(5-MATCH($Q367,{"Q1";"Q2";"Q3";"Q4"},0))/4+INDEX(BookOneOff,362)*$P367)</f>
        <v/>
      </c>
      <c r="S367" s="35" t="str">
        <f aca="false">IF($P367="","",INDEX(BookRate,362)*$P367)</f>
        <v/>
      </c>
      <c r="T367" s="35" t="str">
        <f aca="false">IF($R367="","",$R367-$K367)</f>
        <v/>
      </c>
      <c r="U367" s="35" t="str">
        <f aca="false">IF(N($P367)&lt;=0,"",COUNTIF($P$6:$P367,"&gt;0"))</f>
        <v/>
      </c>
    </row>
    <row r="368" customFormat="false" ht="15" hidden="false" customHeight="false" outlineLevel="0" collapsed="false">
      <c r="A368" s="40" t="str">
        <f aca="false">IF(INDEX(BookTitle,363)="","",INDEX(BookGroup,363))</f>
        <v/>
      </c>
      <c r="B368" s="40" t="str">
        <f aca="false">IF(INDEX(BookTitle,363)="","",INDEX(BookRef,363))</f>
        <v/>
      </c>
      <c r="C368" s="40" t="str">
        <f aca="false">IF(INDEX(BookTitle,363)="","",INDEX(BookDivision,363))</f>
        <v/>
      </c>
      <c r="D368" s="40" t="str">
        <f aca="false">IF(INDEX(BookTitle,363)="","",INDEX(BookUnit,363))</f>
        <v/>
      </c>
      <c r="E368" s="40" t="str">
        <f aca="false">IF(INDEX(BookTitle,363)="","",INDEX(BookTitle,363))</f>
        <v/>
      </c>
      <c r="F368" s="40" t="str">
        <f aca="false">IF(INDEX(BookTitle,363)="","",INDEX(BookLevel,363))</f>
        <v/>
      </c>
      <c r="G368" s="40" t="str">
        <f aca="false">IF(INDEX(BookTitle,363)="","",INDEX(BookCategory,363))</f>
        <v/>
      </c>
      <c r="H368" s="40" t="str">
        <f aca="false">IF(INDEX(BookTitle,363)="","",INDEX(BookRank,363))</f>
        <v/>
      </c>
      <c r="I368" s="41" t="str">
        <f aca="false">IF(INDEX(BookTitle,363)="","",INDEX(BookTotal,363))</f>
        <v/>
      </c>
      <c r="J368" s="0" t="str">
        <f aca="false">IF($I368="","",IF(INDEX(BookQ1,363)&gt;0,"Q1",IF(INDEX(BookQ2,363)&gt;0,"Q2",IF(INDEX(BookQ3,363)&gt;0,"Q3",IF(INDEX(BookQ4,363)&gt;0,"Q4","")))))</f>
        <v/>
      </c>
      <c r="K368" s="42" t="str">
        <f aca="false">IF(INDEX(BookTitle,363)="","",INDEX(BookInYear,363))</f>
        <v/>
      </c>
      <c r="L368" s="19"/>
      <c r="M368" s="39"/>
      <c r="N368" s="19"/>
      <c r="O368" s="19"/>
      <c r="P368" s="43" t="str">
        <f aca="false">IF($E368="","",IF($L368="Decline",0,IF($L368="Approve fewer",IF($M368="","",$M368),IF($L368="","",$I368))))</f>
        <v/>
      </c>
      <c r="Q368" s="34" t="str">
        <f aca="false">IF($P368="","",IF($N368&lt;&gt;"",$N368,$J368))</f>
        <v/>
      </c>
      <c r="R368" s="35" t="str">
        <f aca="false">IF(OR($P368="",$Q368=""),"",INDEX(BookRate,363)*$P368*(5-MATCH($Q368,{"Q1";"Q2";"Q3";"Q4"},0))/4+INDEX(BookOneOff,363)*$P368)</f>
        <v/>
      </c>
      <c r="S368" s="35" t="str">
        <f aca="false">IF($P368="","",INDEX(BookRate,363)*$P368)</f>
        <v/>
      </c>
      <c r="T368" s="35" t="str">
        <f aca="false">IF($R368="","",$R368-$K368)</f>
        <v/>
      </c>
      <c r="U368" s="35" t="str">
        <f aca="false">IF(N($P368)&lt;=0,"",COUNTIF($P$6:$P368,"&gt;0"))</f>
        <v/>
      </c>
    </row>
    <row r="369" customFormat="false" ht="15" hidden="false" customHeight="false" outlineLevel="0" collapsed="false">
      <c r="A369" s="40" t="str">
        <f aca="false">IF(INDEX(BookTitle,364)="","",INDEX(BookGroup,364))</f>
        <v/>
      </c>
      <c r="B369" s="40" t="str">
        <f aca="false">IF(INDEX(BookTitle,364)="","",INDEX(BookRef,364))</f>
        <v/>
      </c>
      <c r="C369" s="40" t="str">
        <f aca="false">IF(INDEX(BookTitle,364)="","",INDEX(BookDivision,364))</f>
        <v/>
      </c>
      <c r="D369" s="40" t="str">
        <f aca="false">IF(INDEX(BookTitle,364)="","",INDEX(BookUnit,364))</f>
        <v/>
      </c>
      <c r="E369" s="40" t="str">
        <f aca="false">IF(INDEX(BookTitle,364)="","",INDEX(BookTitle,364))</f>
        <v/>
      </c>
      <c r="F369" s="40" t="str">
        <f aca="false">IF(INDEX(BookTitle,364)="","",INDEX(BookLevel,364))</f>
        <v/>
      </c>
      <c r="G369" s="40" t="str">
        <f aca="false">IF(INDEX(BookTitle,364)="","",INDEX(BookCategory,364))</f>
        <v/>
      </c>
      <c r="H369" s="40" t="str">
        <f aca="false">IF(INDEX(BookTitle,364)="","",INDEX(BookRank,364))</f>
        <v/>
      </c>
      <c r="I369" s="41" t="str">
        <f aca="false">IF(INDEX(BookTitle,364)="","",INDEX(BookTotal,364))</f>
        <v/>
      </c>
      <c r="J369" s="0" t="str">
        <f aca="false">IF($I369="","",IF(INDEX(BookQ1,364)&gt;0,"Q1",IF(INDEX(BookQ2,364)&gt;0,"Q2",IF(INDEX(BookQ3,364)&gt;0,"Q3",IF(INDEX(BookQ4,364)&gt;0,"Q4","")))))</f>
        <v/>
      </c>
      <c r="K369" s="42" t="str">
        <f aca="false">IF(INDEX(BookTitle,364)="","",INDEX(BookInYear,364))</f>
        <v/>
      </c>
      <c r="L369" s="19"/>
      <c r="M369" s="39"/>
      <c r="N369" s="19"/>
      <c r="O369" s="19"/>
      <c r="P369" s="43" t="str">
        <f aca="false">IF($E369="","",IF($L369="Decline",0,IF($L369="Approve fewer",IF($M369="","",$M369),IF($L369="","",$I369))))</f>
        <v/>
      </c>
      <c r="Q369" s="34" t="str">
        <f aca="false">IF($P369="","",IF($N369&lt;&gt;"",$N369,$J369))</f>
        <v/>
      </c>
      <c r="R369" s="35" t="str">
        <f aca="false">IF(OR($P369="",$Q369=""),"",INDEX(BookRate,364)*$P369*(5-MATCH($Q369,{"Q1";"Q2";"Q3";"Q4"},0))/4+INDEX(BookOneOff,364)*$P369)</f>
        <v/>
      </c>
      <c r="S369" s="35" t="str">
        <f aca="false">IF($P369="","",INDEX(BookRate,364)*$P369)</f>
        <v/>
      </c>
      <c r="T369" s="35" t="str">
        <f aca="false">IF($R369="","",$R369-$K369)</f>
        <v/>
      </c>
      <c r="U369" s="35" t="str">
        <f aca="false">IF(N($P369)&lt;=0,"",COUNTIF($P$6:$P369,"&gt;0"))</f>
        <v/>
      </c>
    </row>
    <row r="370" customFormat="false" ht="15" hidden="false" customHeight="false" outlineLevel="0" collapsed="false">
      <c r="A370" s="40" t="str">
        <f aca="false">IF(INDEX(BookTitle,365)="","",INDEX(BookGroup,365))</f>
        <v/>
      </c>
      <c r="B370" s="40" t="str">
        <f aca="false">IF(INDEX(BookTitle,365)="","",INDEX(BookRef,365))</f>
        <v/>
      </c>
      <c r="C370" s="40" t="str">
        <f aca="false">IF(INDEX(BookTitle,365)="","",INDEX(BookDivision,365))</f>
        <v/>
      </c>
      <c r="D370" s="40" t="str">
        <f aca="false">IF(INDEX(BookTitle,365)="","",INDEX(BookUnit,365))</f>
        <v/>
      </c>
      <c r="E370" s="40" t="str">
        <f aca="false">IF(INDEX(BookTitle,365)="","",INDEX(BookTitle,365))</f>
        <v/>
      </c>
      <c r="F370" s="40" t="str">
        <f aca="false">IF(INDEX(BookTitle,365)="","",INDEX(BookLevel,365))</f>
        <v/>
      </c>
      <c r="G370" s="40" t="str">
        <f aca="false">IF(INDEX(BookTitle,365)="","",INDEX(BookCategory,365))</f>
        <v/>
      </c>
      <c r="H370" s="40" t="str">
        <f aca="false">IF(INDEX(BookTitle,365)="","",INDEX(BookRank,365))</f>
        <v/>
      </c>
      <c r="I370" s="41" t="str">
        <f aca="false">IF(INDEX(BookTitle,365)="","",INDEX(BookTotal,365))</f>
        <v/>
      </c>
      <c r="J370" s="0" t="str">
        <f aca="false">IF($I370="","",IF(INDEX(BookQ1,365)&gt;0,"Q1",IF(INDEX(BookQ2,365)&gt;0,"Q2",IF(INDEX(BookQ3,365)&gt;0,"Q3",IF(INDEX(BookQ4,365)&gt;0,"Q4","")))))</f>
        <v/>
      </c>
      <c r="K370" s="42" t="str">
        <f aca="false">IF(INDEX(BookTitle,365)="","",INDEX(BookInYear,365))</f>
        <v/>
      </c>
      <c r="L370" s="19"/>
      <c r="M370" s="39"/>
      <c r="N370" s="19"/>
      <c r="O370" s="19"/>
      <c r="P370" s="43" t="str">
        <f aca="false">IF($E370="","",IF($L370="Decline",0,IF($L370="Approve fewer",IF($M370="","",$M370),IF($L370="","",$I370))))</f>
        <v/>
      </c>
      <c r="Q370" s="34" t="str">
        <f aca="false">IF($P370="","",IF($N370&lt;&gt;"",$N370,$J370))</f>
        <v/>
      </c>
      <c r="R370" s="35" t="str">
        <f aca="false">IF(OR($P370="",$Q370=""),"",INDEX(BookRate,365)*$P370*(5-MATCH($Q370,{"Q1";"Q2";"Q3";"Q4"},0))/4+INDEX(BookOneOff,365)*$P370)</f>
        <v/>
      </c>
      <c r="S370" s="35" t="str">
        <f aca="false">IF($P370="","",INDEX(BookRate,365)*$P370)</f>
        <v/>
      </c>
      <c r="T370" s="35" t="str">
        <f aca="false">IF($R370="","",$R370-$K370)</f>
        <v/>
      </c>
      <c r="U370" s="35" t="str">
        <f aca="false">IF(N($P370)&lt;=0,"",COUNTIF($P$6:$P370,"&gt;0"))</f>
        <v/>
      </c>
    </row>
    <row r="371" customFormat="false" ht="15" hidden="false" customHeight="false" outlineLevel="0" collapsed="false">
      <c r="A371" s="40" t="str">
        <f aca="false">IF(INDEX(BookTitle,366)="","",INDEX(BookGroup,366))</f>
        <v/>
      </c>
      <c r="B371" s="40" t="str">
        <f aca="false">IF(INDEX(BookTitle,366)="","",INDEX(BookRef,366))</f>
        <v/>
      </c>
      <c r="C371" s="40" t="str">
        <f aca="false">IF(INDEX(BookTitle,366)="","",INDEX(BookDivision,366))</f>
        <v/>
      </c>
      <c r="D371" s="40" t="str">
        <f aca="false">IF(INDEX(BookTitle,366)="","",INDEX(BookUnit,366))</f>
        <v/>
      </c>
      <c r="E371" s="40" t="str">
        <f aca="false">IF(INDEX(BookTitle,366)="","",INDEX(BookTitle,366))</f>
        <v/>
      </c>
      <c r="F371" s="40" t="str">
        <f aca="false">IF(INDEX(BookTitle,366)="","",INDEX(BookLevel,366))</f>
        <v/>
      </c>
      <c r="G371" s="40" t="str">
        <f aca="false">IF(INDEX(BookTitle,366)="","",INDEX(BookCategory,366))</f>
        <v/>
      </c>
      <c r="H371" s="40" t="str">
        <f aca="false">IF(INDEX(BookTitle,366)="","",INDEX(BookRank,366))</f>
        <v/>
      </c>
      <c r="I371" s="41" t="str">
        <f aca="false">IF(INDEX(BookTitle,366)="","",INDEX(BookTotal,366))</f>
        <v/>
      </c>
      <c r="J371" s="0" t="str">
        <f aca="false">IF($I371="","",IF(INDEX(BookQ1,366)&gt;0,"Q1",IF(INDEX(BookQ2,366)&gt;0,"Q2",IF(INDEX(BookQ3,366)&gt;0,"Q3",IF(INDEX(BookQ4,366)&gt;0,"Q4","")))))</f>
        <v/>
      </c>
      <c r="K371" s="42" t="str">
        <f aca="false">IF(INDEX(BookTitle,366)="","",INDEX(BookInYear,366))</f>
        <v/>
      </c>
      <c r="L371" s="19"/>
      <c r="M371" s="39"/>
      <c r="N371" s="19"/>
      <c r="O371" s="19"/>
      <c r="P371" s="43" t="str">
        <f aca="false">IF($E371="","",IF($L371="Decline",0,IF($L371="Approve fewer",IF($M371="","",$M371),IF($L371="","",$I371))))</f>
        <v/>
      </c>
      <c r="Q371" s="34" t="str">
        <f aca="false">IF($P371="","",IF($N371&lt;&gt;"",$N371,$J371))</f>
        <v/>
      </c>
      <c r="R371" s="35" t="str">
        <f aca="false">IF(OR($P371="",$Q371=""),"",INDEX(BookRate,366)*$P371*(5-MATCH($Q371,{"Q1";"Q2";"Q3";"Q4"},0))/4+INDEX(BookOneOff,366)*$P371)</f>
        <v/>
      </c>
      <c r="S371" s="35" t="str">
        <f aca="false">IF($P371="","",INDEX(BookRate,366)*$P371)</f>
        <v/>
      </c>
      <c r="T371" s="35" t="str">
        <f aca="false">IF($R371="","",$R371-$K371)</f>
        <v/>
      </c>
      <c r="U371" s="35" t="str">
        <f aca="false">IF(N($P371)&lt;=0,"",COUNTIF($P$6:$P371,"&gt;0"))</f>
        <v/>
      </c>
    </row>
    <row r="372" customFormat="false" ht="15" hidden="false" customHeight="false" outlineLevel="0" collapsed="false">
      <c r="A372" s="40" t="str">
        <f aca="false">IF(INDEX(BookTitle,367)="","",INDEX(BookGroup,367))</f>
        <v/>
      </c>
      <c r="B372" s="40" t="str">
        <f aca="false">IF(INDEX(BookTitle,367)="","",INDEX(BookRef,367))</f>
        <v/>
      </c>
      <c r="C372" s="40" t="str">
        <f aca="false">IF(INDEX(BookTitle,367)="","",INDEX(BookDivision,367))</f>
        <v/>
      </c>
      <c r="D372" s="40" t="str">
        <f aca="false">IF(INDEX(BookTitle,367)="","",INDEX(BookUnit,367))</f>
        <v/>
      </c>
      <c r="E372" s="40" t="str">
        <f aca="false">IF(INDEX(BookTitle,367)="","",INDEX(BookTitle,367))</f>
        <v/>
      </c>
      <c r="F372" s="40" t="str">
        <f aca="false">IF(INDEX(BookTitle,367)="","",INDEX(BookLevel,367))</f>
        <v/>
      </c>
      <c r="G372" s="40" t="str">
        <f aca="false">IF(INDEX(BookTitle,367)="","",INDEX(BookCategory,367))</f>
        <v/>
      </c>
      <c r="H372" s="40" t="str">
        <f aca="false">IF(INDEX(BookTitle,367)="","",INDEX(BookRank,367))</f>
        <v/>
      </c>
      <c r="I372" s="41" t="str">
        <f aca="false">IF(INDEX(BookTitle,367)="","",INDEX(BookTotal,367))</f>
        <v/>
      </c>
      <c r="J372" s="0" t="str">
        <f aca="false">IF($I372="","",IF(INDEX(BookQ1,367)&gt;0,"Q1",IF(INDEX(BookQ2,367)&gt;0,"Q2",IF(INDEX(BookQ3,367)&gt;0,"Q3",IF(INDEX(BookQ4,367)&gt;0,"Q4","")))))</f>
        <v/>
      </c>
      <c r="K372" s="42" t="str">
        <f aca="false">IF(INDEX(BookTitle,367)="","",INDEX(BookInYear,367))</f>
        <v/>
      </c>
      <c r="L372" s="19"/>
      <c r="M372" s="39"/>
      <c r="N372" s="19"/>
      <c r="O372" s="19"/>
      <c r="P372" s="43" t="str">
        <f aca="false">IF($E372="","",IF($L372="Decline",0,IF($L372="Approve fewer",IF($M372="","",$M372),IF($L372="","",$I372))))</f>
        <v/>
      </c>
      <c r="Q372" s="34" t="str">
        <f aca="false">IF($P372="","",IF($N372&lt;&gt;"",$N372,$J372))</f>
        <v/>
      </c>
      <c r="R372" s="35" t="str">
        <f aca="false">IF(OR($P372="",$Q372=""),"",INDEX(BookRate,367)*$P372*(5-MATCH($Q372,{"Q1";"Q2";"Q3";"Q4"},0))/4+INDEX(BookOneOff,367)*$P372)</f>
        <v/>
      </c>
      <c r="S372" s="35" t="str">
        <f aca="false">IF($P372="","",INDEX(BookRate,367)*$P372)</f>
        <v/>
      </c>
      <c r="T372" s="35" t="str">
        <f aca="false">IF($R372="","",$R372-$K372)</f>
        <v/>
      </c>
      <c r="U372" s="35" t="str">
        <f aca="false">IF(N($P372)&lt;=0,"",COUNTIF($P$6:$P372,"&gt;0"))</f>
        <v/>
      </c>
    </row>
    <row r="373" customFormat="false" ht="15" hidden="false" customHeight="false" outlineLevel="0" collapsed="false">
      <c r="A373" s="40" t="str">
        <f aca="false">IF(INDEX(BookTitle,368)="","",INDEX(BookGroup,368))</f>
        <v/>
      </c>
      <c r="B373" s="40" t="str">
        <f aca="false">IF(INDEX(BookTitle,368)="","",INDEX(BookRef,368))</f>
        <v/>
      </c>
      <c r="C373" s="40" t="str">
        <f aca="false">IF(INDEX(BookTitle,368)="","",INDEX(BookDivision,368))</f>
        <v/>
      </c>
      <c r="D373" s="40" t="str">
        <f aca="false">IF(INDEX(BookTitle,368)="","",INDEX(BookUnit,368))</f>
        <v/>
      </c>
      <c r="E373" s="40" t="str">
        <f aca="false">IF(INDEX(BookTitle,368)="","",INDEX(BookTitle,368))</f>
        <v/>
      </c>
      <c r="F373" s="40" t="str">
        <f aca="false">IF(INDEX(BookTitle,368)="","",INDEX(BookLevel,368))</f>
        <v/>
      </c>
      <c r="G373" s="40" t="str">
        <f aca="false">IF(INDEX(BookTitle,368)="","",INDEX(BookCategory,368))</f>
        <v/>
      </c>
      <c r="H373" s="40" t="str">
        <f aca="false">IF(INDEX(BookTitle,368)="","",INDEX(BookRank,368))</f>
        <v/>
      </c>
      <c r="I373" s="41" t="str">
        <f aca="false">IF(INDEX(BookTitle,368)="","",INDEX(BookTotal,368))</f>
        <v/>
      </c>
      <c r="J373" s="0" t="str">
        <f aca="false">IF($I373="","",IF(INDEX(BookQ1,368)&gt;0,"Q1",IF(INDEX(BookQ2,368)&gt;0,"Q2",IF(INDEX(BookQ3,368)&gt;0,"Q3",IF(INDEX(BookQ4,368)&gt;0,"Q4","")))))</f>
        <v/>
      </c>
      <c r="K373" s="42" t="str">
        <f aca="false">IF(INDEX(BookTitle,368)="","",INDEX(BookInYear,368))</f>
        <v/>
      </c>
      <c r="L373" s="19"/>
      <c r="M373" s="39"/>
      <c r="N373" s="19"/>
      <c r="O373" s="19"/>
      <c r="P373" s="43" t="str">
        <f aca="false">IF($E373="","",IF($L373="Decline",0,IF($L373="Approve fewer",IF($M373="","",$M373),IF($L373="","",$I373))))</f>
        <v/>
      </c>
      <c r="Q373" s="34" t="str">
        <f aca="false">IF($P373="","",IF($N373&lt;&gt;"",$N373,$J373))</f>
        <v/>
      </c>
      <c r="R373" s="35" t="str">
        <f aca="false">IF(OR($P373="",$Q373=""),"",INDEX(BookRate,368)*$P373*(5-MATCH($Q373,{"Q1";"Q2";"Q3";"Q4"},0))/4+INDEX(BookOneOff,368)*$P373)</f>
        <v/>
      </c>
      <c r="S373" s="35" t="str">
        <f aca="false">IF($P373="","",INDEX(BookRate,368)*$P373)</f>
        <v/>
      </c>
      <c r="T373" s="35" t="str">
        <f aca="false">IF($R373="","",$R373-$K373)</f>
        <v/>
      </c>
      <c r="U373" s="35" t="str">
        <f aca="false">IF(N($P373)&lt;=0,"",COUNTIF($P$6:$P373,"&gt;0"))</f>
        <v/>
      </c>
    </row>
    <row r="374" customFormat="false" ht="15" hidden="false" customHeight="false" outlineLevel="0" collapsed="false">
      <c r="A374" s="40" t="str">
        <f aca="false">IF(INDEX(BookTitle,369)="","",INDEX(BookGroup,369))</f>
        <v/>
      </c>
      <c r="B374" s="40" t="str">
        <f aca="false">IF(INDEX(BookTitle,369)="","",INDEX(BookRef,369))</f>
        <v/>
      </c>
      <c r="C374" s="40" t="str">
        <f aca="false">IF(INDEX(BookTitle,369)="","",INDEX(BookDivision,369))</f>
        <v/>
      </c>
      <c r="D374" s="40" t="str">
        <f aca="false">IF(INDEX(BookTitle,369)="","",INDEX(BookUnit,369))</f>
        <v/>
      </c>
      <c r="E374" s="40" t="str">
        <f aca="false">IF(INDEX(BookTitle,369)="","",INDEX(BookTitle,369))</f>
        <v/>
      </c>
      <c r="F374" s="40" t="str">
        <f aca="false">IF(INDEX(BookTitle,369)="","",INDEX(BookLevel,369))</f>
        <v/>
      </c>
      <c r="G374" s="40" t="str">
        <f aca="false">IF(INDEX(BookTitle,369)="","",INDEX(BookCategory,369))</f>
        <v/>
      </c>
      <c r="H374" s="40" t="str">
        <f aca="false">IF(INDEX(BookTitle,369)="","",INDEX(BookRank,369))</f>
        <v/>
      </c>
      <c r="I374" s="41" t="str">
        <f aca="false">IF(INDEX(BookTitle,369)="","",INDEX(BookTotal,369))</f>
        <v/>
      </c>
      <c r="J374" s="0" t="str">
        <f aca="false">IF($I374="","",IF(INDEX(BookQ1,369)&gt;0,"Q1",IF(INDEX(BookQ2,369)&gt;0,"Q2",IF(INDEX(BookQ3,369)&gt;0,"Q3",IF(INDEX(BookQ4,369)&gt;0,"Q4","")))))</f>
        <v/>
      </c>
      <c r="K374" s="42" t="str">
        <f aca="false">IF(INDEX(BookTitle,369)="","",INDEX(BookInYear,369))</f>
        <v/>
      </c>
      <c r="L374" s="19"/>
      <c r="M374" s="39"/>
      <c r="N374" s="19"/>
      <c r="O374" s="19"/>
      <c r="P374" s="43" t="str">
        <f aca="false">IF($E374="","",IF($L374="Decline",0,IF($L374="Approve fewer",IF($M374="","",$M374),IF($L374="","",$I374))))</f>
        <v/>
      </c>
      <c r="Q374" s="34" t="str">
        <f aca="false">IF($P374="","",IF($N374&lt;&gt;"",$N374,$J374))</f>
        <v/>
      </c>
      <c r="R374" s="35" t="str">
        <f aca="false">IF(OR($P374="",$Q374=""),"",INDEX(BookRate,369)*$P374*(5-MATCH($Q374,{"Q1";"Q2";"Q3";"Q4"},0))/4+INDEX(BookOneOff,369)*$P374)</f>
        <v/>
      </c>
      <c r="S374" s="35" t="str">
        <f aca="false">IF($P374="","",INDEX(BookRate,369)*$P374)</f>
        <v/>
      </c>
      <c r="T374" s="35" t="str">
        <f aca="false">IF($R374="","",$R374-$K374)</f>
        <v/>
      </c>
      <c r="U374" s="35" t="str">
        <f aca="false">IF(N($P374)&lt;=0,"",COUNTIF($P$6:$P374,"&gt;0"))</f>
        <v/>
      </c>
    </row>
    <row r="375" customFormat="false" ht="15" hidden="false" customHeight="false" outlineLevel="0" collapsed="false">
      <c r="A375" s="40" t="str">
        <f aca="false">IF(INDEX(BookTitle,370)="","",INDEX(BookGroup,370))</f>
        <v/>
      </c>
      <c r="B375" s="40" t="str">
        <f aca="false">IF(INDEX(BookTitle,370)="","",INDEX(BookRef,370))</f>
        <v/>
      </c>
      <c r="C375" s="40" t="str">
        <f aca="false">IF(INDEX(BookTitle,370)="","",INDEX(BookDivision,370))</f>
        <v/>
      </c>
      <c r="D375" s="40" t="str">
        <f aca="false">IF(INDEX(BookTitle,370)="","",INDEX(BookUnit,370))</f>
        <v/>
      </c>
      <c r="E375" s="40" t="str">
        <f aca="false">IF(INDEX(BookTitle,370)="","",INDEX(BookTitle,370))</f>
        <v/>
      </c>
      <c r="F375" s="40" t="str">
        <f aca="false">IF(INDEX(BookTitle,370)="","",INDEX(BookLevel,370))</f>
        <v/>
      </c>
      <c r="G375" s="40" t="str">
        <f aca="false">IF(INDEX(BookTitle,370)="","",INDEX(BookCategory,370))</f>
        <v/>
      </c>
      <c r="H375" s="40" t="str">
        <f aca="false">IF(INDEX(BookTitle,370)="","",INDEX(BookRank,370))</f>
        <v/>
      </c>
      <c r="I375" s="41" t="str">
        <f aca="false">IF(INDEX(BookTitle,370)="","",INDEX(BookTotal,370))</f>
        <v/>
      </c>
      <c r="J375" s="0" t="str">
        <f aca="false">IF($I375="","",IF(INDEX(BookQ1,370)&gt;0,"Q1",IF(INDEX(BookQ2,370)&gt;0,"Q2",IF(INDEX(BookQ3,370)&gt;0,"Q3",IF(INDEX(BookQ4,370)&gt;0,"Q4","")))))</f>
        <v/>
      </c>
      <c r="K375" s="42" t="str">
        <f aca="false">IF(INDEX(BookTitle,370)="","",INDEX(BookInYear,370))</f>
        <v/>
      </c>
      <c r="L375" s="19"/>
      <c r="M375" s="39"/>
      <c r="N375" s="19"/>
      <c r="O375" s="19"/>
      <c r="P375" s="43" t="str">
        <f aca="false">IF($E375="","",IF($L375="Decline",0,IF($L375="Approve fewer",IF($M375="","",$M375),IF($L375="","",$I375))))</f>
        <v/>
      </c>
      <c r="Q375" s="34" t="str">
        <f aca="false">IF($P375="","",IF($N375&lt;&gt;"",$N375,$J375))</f>
        <v/>
      </c>
      <c r="R375" s="35" t="str">
        <f aca="false">IF(OR($P375="",$Q375=""),"",INDEX(BookRate,370)*$P375*(5-MATCH($Q375,{"Q1";"Q2";"Q3";"Q4"},0))/4+INDEX(BookOneOff,370)*$P375)</f>
        <v/>
      </c>
      <c r="S375" s="35" t="str">
        <f aca="false">IF($P375="","",INDEX(BookRate,370)*$P375)</f>
        <v/>
      </c>
      <c r="T375" s="35" t="str">
        <f aca="false">IF($R375="","",$R375-$K375)</f>
        <v/>
      </c>
      <c r="U375" s="35" t="str">
        <f aca="false">IF(N($P375)&lt;=0,"",COUNTIF($P$6:$P375,"&gt;0"))</f>
        <v/>
      </c>
    </row>
    <row r="376" customFormat="false" ht="15" hidden="false" customHeight="false" outlineLevel="0" collapsed="false">
      <c r="A376" s="40" t="str">
        <f aca="false">IF(INDEX(BookTitle,371)="","",INDEX(BookGroup,371))</f>
        <v/>
      </c>
      <c r="B376" s="40" t="str">
        <f aca="false">IF(INDEX(BookTitle,371)="","",INDEX(BookRef,371))</f>
        <v/>
      </c>
      <c r="C376" s="40" t="str">
        <f aca="false">IF(INDEX(BookTitle,371)="","",INDEX(BookDivision,371))</f>
        <v/>
      </c>
      <c r="D376" s="40" t="str">
        <f aca="false">IF(INDEX(BookTitle,371)="","",INDEX(BookUnit,371))</f>
        <v/>
      </c>
      <c r="E376" s="40" t="str">
        <f aca="false">IF(INDEX(BookTitle,371)="","",INDEX(BookTitle,371))</f>
        <v/>
      </c>
      <c r="F376" s="40" t="str">
        <f aca="false">IF(INDEX(BookTitle,371)="","",INDEX(BookLevel,371))</f>
        <v/>
      </c>
      <c r="G376" s="40" t="str">
        <f aca="false">IF(INDEX(BookTitle,371)="","",INDEX(BookCategory,371))</f>
        <v/>
      </c>
      <c r="H376" s="40" t="str">
        <f aca="false">IF(INDEX(BookTitle,371)="","",INDEX(BookRank,371))</f>
        <v/>
      </c>
      <c r="I376" s="41" t="str">
        <f aca="false">IF(INDEX(BookTitle,371)="","",INDEX(BookTotal,371))</f>
        <v/>
      </c>
      <c r="J376" s="0" t="str">
        <f aca="false">IF($I376="","",IF(INDEX(BookQ1,371)&gt;0,"Q1",IF(INDEX(BookQ2,371)&gt;0,"Q2",IF(INDEX(BookQ3,371)&gt;0,"Q3",IF(INDEX(BookQ4,371)&gt;0,"Q4","")))))</f>
        <v/>
      </c>
      <c r="K376" s="42" t="str">
        <f aca="false">IF(INDEX(BookTitle,371)="","",INDEX(BookInYear,371))</f>
        <v/>
      </c>
      <c r="L376" s="19"/>
      <c r="M376" s="39"/>
      <c r="N376" s="19"/>
      <c r="O376" s="19"/>
      <c r="P376" s="43" t="str">
        <f aca="false">IF($E376="","",IF($L376="Decline",0,IF($L376="Approve fewer",IF($M376="","",$M376),IF($L376="","",$I376))))</f>
        <v/>
      </c>
      <c r="Q376" s="34" t="str">
        <f aca="false">IF($P376="","",IF($N376&lt;&gt;"",$N376,$J376))</f>
        <v/>
      </c>
      <c r="R376" s="35" t="str">
        <f aca="false">IF(OR($P376="",$Q376=""),"",INDEX(BookRate,371)*$P376*(5-MATCH($Q376,{"Q1";"Q2";"Q3";"Q4"},0))/4+INDEX(BookOneOff,371)*$P376)</f>
        <v/>
      </c>
      <c r="S376" s="35" t="str">
        <f aca="false">IF($P376="","",INDEX(BookRate,371)*$P376)</f>
        <v/>
      </c>
      <c r="T376" s="35" t="str">
        <f aca="false">IF($R376="","",$R376-$K376)</f>
        <v/>
      </c>
      <c r="U376" s="35" t="str">
        <f aca="false">IF(N($P376)&lt;=0,"",COUNTIF($P$6:$P376,"&gt;0"))</f>
        <v/>
      </c>
    </row>
    <row r="377" customFormat="false" ht="15" hidden="false" customHeight="false" outlineLevel="0" collapsed="false">
      <c r="A377" s="40" t="str">
        <f aca="false">IF(INDEX(BookTitle,372)="","",INDEX(BookGroup,372))</f>
        <v/>
      </c>
      <c r="B377" s="40" t="str">
        <f aca="false">IF(INDEX(BookTitle,372)="","",INDEX(BookRef,372))</f>
        <v/>
      </c>
      <c r="C377" s="40" t="str">
        <f aca="false">IF(INDEX(BookTitle,372)="","",INDEX(BookDivision,372))</f>
        <v/>
      </c>
      <c r="D377" s="40" t="str">
        <f aca="false">IF(INDEX(BookTitle,372)="","",INDEX(BookUnit,372))</f>
        <v/>
      </c>
      <c r="E377" s="40" t="str">
        <f aca="false">IF(INDEX(BookTitle,372)="","",INDEX(BookTitle,372))</f>
        <v/>
      </c>
      <c r="F377" s="40" t="str">
        <f aca="false">IF(INDEX(BookTitle,372)="","",INDEX(BookLevel,372))</f>
        <v/>
      </c>
      <c r="G377" s="40" t="str">
        <f aca="false">IF(INDEX(BookTitle,372)="","",INDEX(BookCategory,372))</f>
        <v/>
      </c>
      <c r="H377" s="40" t="str">
        <f aca="false">IF(INDEX(BookTitle,372)="","",INDEX(BookRank,372))</f>
        <v/>
      </c>
      <c r="I377" s="41" t="str">
        <f aca="false">IF(INDEX(BookTitle,372)="","",INDEX(BookTotal,372))</f>
        <v/>
      </c>
      <c r="J377" s="0" t="str">
        <f aca="false">IF($I377="","",IF(INDEX(BookQ1,372)&gt;0,"Q1",IF(INDEX(BookQ2,372)&gt;0,"Q2",IF(INDEX(BookQ3,372)&gt;0,"Q3",IF(INDEX(BookQ4,372)&gt;0,"Q4","")))))</f>
        <v/>
      </c>
      <c r="K377" s="42" t="str">
        <f aca="false">IF(INDEX(BookTitle,372)="","",INDEX(BookInYear,372))</f>
        <v/>
      </c>
      <c r="L377" s="19"/>
      <c r="M377" s="39"/>
      <c r="N377" s="19"/>
      <c r="O377" s="19"/>
      <c r="P377" s="43" t="str">
        <f aca="false">IF($E377="","",IF($L377="Decline",0,IF($L377="Approve fewer",IF($M377="","",$M377),IF($L377="","",$I377))))</f>
        <v/>
      </c>
      <c r="Q377" s="34" t="str">
        <f aca="false">IF($P377="","",IF($N377&lt;&gt;"",$N377,$J377))</f>
        <v/>
      </c>
      <c r="R377" s="35" t="str">
        <f aca="false">IF(OR($P377="",$Q377=""),"",INDEX(BookRate,372)*$P377*(5-MATCH($Q377,{"Q1";"Q2";"Q3";"Q4"},0))/4+INDEX(BookOneOff,372)*$P377)</f>
        <v/>
      </c>
      <c r="S377" s="35" t="str">
        <f aca="false">IF($P377="","",INDEX(BookRate,372)*$P377)</f>
        <v/>
      </c>
      <c r="T377" s="35" t="str">
        <f aca="false">IF($R377="","",$R377-$K377)</f>
        <v/>
      </c>
      <c r="U377" s="35" t="str">
        <f aca="false">IF(N($P377)&lt;=0,"",COUNTIF($P$6:$P377,"&gt;0"))</f>
        <v/>
      </c>
    </row>
    <row r="378" customFormat="false" ht="15" hidden="false" customHeight="false" outlineLevel="0" collapsed="false">
      <c r="A378" s="40" t="str">
        <f aca="false">IF(INDEX(BookTitle,373)="","",INDEX(BookGroup,373))</f>
        <v/>
      </c>
      <c r="B378" s="40" t="str">
        <f aca="false">IF(INDEX(BookTitle,373)="","",INDEX(BookRef,373))</f>
        <v/>
      </c>
      <c r="C378" s="40" t="str">
        <f aca="false">IF(INDEX(BookTitle,373)="","",INDEX(BookDivision,373))</f>
        <v/>
      </c>
      <c r="D378" s="40" t="str">
        <f aca="false">IF(INDEX(BookTitle,373)="","",INDEX(BookUnit,373))</f>
        <v/>
      </c>
      <c r="E378" s="40" t="str">
        <f aca="false">IF(INDEX(BookTitle,373)="","",INDEX(BookTitle,373))</f>
        <v/>
      </c>
      <c r="F378" s="40" t="str">
        <f aca="false">IF(INDEX(BookTitle,373)="","",INDEX(BookLevel,373))</f>
        <v/>
      </c>
      <c r="G378" s="40" t="str">
        <f aca="false">IF(INDEX(BookTitle,373)="","",INDEX(BookCategory,373))</f>
        <v/>
      </c>
      <c r="H378" s="40" t="str">
        <f aca="false">IF(INDEX(BookTitle,373)="","",INDEX(BookRank,373))</f>
        <v/>
      </c>
      <c r="I378" s="41" t="str">
        <f aca="false">IF(INDEX(BookTitle,373)="","",INDEX(BookTotal,373))</f>
        <v/>
      </c>
      <c r="J378" s="0" t="str">
        <f aca="false">IF($I378="","",IF(INDEX(BookQ1,373)&gt;0,"Q1",IF(INDEX(BookQ2,373)&gt;0,"Q2",IF(INDEX(BookQ3,373)&gt;0,"Q3",IF(INDEX(BookQ4,373)&gt;0,"Q4","")))))</f>
        <v/>
      </c>
      <c r="K378" s="42" t="str">
        <f aca="false">IF(INDEX(BookTitle,373)="","",INDEX(BookInYear,373))</f>
        <v/>
      </c>
      <c r="L378" s="19"/>
      <c r="M378" s="39"/>
      <c r="N378" s="19"/>
      <c r="O378" s="19"/>
      <c r="P378" s="43" t="str">
        <f aca="false">IF($E378="","",IF($L378="Decline",0,IF($L378="Approve fewer",IF($M378="","",$M378),IF($L378="","",$I378))))</f>
        <v/>
      </c>
      <c r="Q378" s="34" t="str">
        <f aca="false">IF($P378="","",IF($N378&lt;&gt;"",$N378,$J378))</f>
        <v/>
      </c>
      <c r="R378" s="35" t="str">
        <f aca="false">IF(OR($P378="",$Q378=""),"",INDEX(BookRate,373)*$P378*(5-MATCH($Q378,{"Q1";"Q2";"Q3";"Q4"},0))/4+INDEX(BookOneOff,373)*$P378)</f>
        <v/>
      </c>
      <c r="S378" s="35" t="str">
        <f aca="false">IF($P378="","",INDEX(BookRate,373)*$P378)</f>
        <v/>
      </c>
      <c r="T378" s="35" t="str">
        <f aca="false">IF($R378="","",$R378-$K378)</f>
        <v/>
      </c>
      <c r="U378" s="35" t="str">
        <f aca="false">IF(N($P378)&lt;=0,"",COUNTIF($P$6:$P378,"&gt;0"))</f>
        <v/>
      </c>
    </row>
    <row r="379" customFormat="false" ht="15" hidden="false" customHeight="false" outlineLevel="0" collapsed="false">
      <c r="A379" s="40" t="str">
        <f aca="false">IF(INDEX(BookTitle,374)="","",INDEX(BookGroup,374))</f>
        <v/>
      </c>
      <c r="B379" s="40" t="str">
        <f aca="false">IF(INDEX(BookTitle,374)="","",INDEX(BookRef,374))</f>
        <v/>
      </c>
      <c r="C379" s="40" t="str">
        <f aca="false">IF(INDEX(BookTitle,374)="","",INDEX(BookDivision,374))</f>
        <v/>
      </c>
      <c r="D379" s="40" t="str">
        <f aca="false">IF(INDEX(BookTitle,374)="","",INDEX(BookUnit,374))</f>
        <v/>
      </c>
      <c r="E379" s="40" t="str">
        <f aca="false">IF(INDEX(BookTitle,374)="","",INDEX(BookTitle,374))</f>
        <v/>
      </c>
      <c r="F379" s="40" t="str">
        <f aca="false">IF(INDEX(BookTitle,374)="","",INDEX(BookLevel,374))</f>
        <v/>
      </c>
      <c r="G379" s="40" t="str">
        <f aca="false">IF(INDEX(BookTitle,374)="","",INDEX(BookCategory,374))</f>
        <v/>
      </c>
      <c r="H379" s="40" t="str">
        <f aca="false">IF(INDEX(BookTitle,374)="","",INDEX(BookRank,374))</f>
        <v/>
      </c>
      <c r="I379" s="41" t="str">
        <f aca="false">IF(INDEX(BookTitle,374)="","",INDEX(BookTotal,374))</f>
        <v/>
      </c>
      <c r="J379" s="0" t="str">
        <f aca="false">IF($I379="","",IF(INDEX(BookQ1,374)&gt;0,"Q1",IF(INDEX(BookQ2,374)&gt;0,"Q2",IF(INDEX(BookQ3,374)&gt;0,"Q3",IF(INDEX(BookQ4,374)&gt;0,"Q4","")))))</f>
        <v/>
      </c>
      <c r="K379" s="42" t="str">
        <f aca="false">IF(INDEX(BookTitle,374)="","",INDEX(BookInYear,374))</f>
        <v/>
      </c>
      <c r="L379" s="19"/>
      <c r="M379" s="39"/>
      <c r="N379" s="19"/>
      <c r="O379" s="19"/>
      <c r="P379" s="43" t="str">
        <f aca="false">IF($E379="","",IF($L379="Decline",0,IF($L379="Approve fewer",IF($M379="","",$M379),IF($L379="","",$I379))))</f>
        <v/>
      </c>
      <c r="Q379" s="34" t="str">
        <f aca="false">IF($P379="","",IF($N379&lt;&gt;"",$N379,$J379))</f>
        <v/>
      </c>
      <c r="R379" s="35" t="str">
        <f aca="false">IF(OR($P379="",$Q379=""),"",INDEX(BookRate,374)*$P379*(5-MATCH($Q379,{"Q1";"Q2";"Q3";"Q4"},0))/4+INDEX(BookOneOff,374)*$P379)</f>
        <v/>
      </c>
      <c r="S379" s="35" t="str">
        <f aca="false">IF($P379="","",INDEX(BookRate,374)*$P379)</f>
        <v/>
      </c>
      <c r="T379" s="35" t="str">
        <f aca="false">IF($R379="","",$R379-$K379)</f>
        <v/>
      </c>
      <c r="U379" s="35" t="str">
        <f aca="false">IF(N($P379)&lt;=0,"",COUNTIF($P$6:$P379,"&gt;0"))</f>
        <v/>
      </c>
    </row>
    <row r="380" customFormat="false" ht="15" hidden="false" customHeight="false" outlineLevel="0" collapsed="false">
      <c r="A380" s="40" t="str">
        <f aca="false">IF(INDEX(BookTitle,375)="","",INDEX(BookGroup,375))</f>
        <v/>
      </c>
      <c r="B380" s="40" t="str">
        <f aca="false">IF(INDEX(BookTitle,375)="","",INDEX(BookRef,375))</f>
        <v/>
      </c>
      <c r="C380" s="40" t="str">
        <f aca="false">IF(INDEX(BookTitle,375)="","",INDEX(BookDivision,375))</f>
        <v/>
      </c>
      <c r="D380" s="40" t="str">
        <f aca="false">IF(INDEX(BookTitle,375)="","",INDEX(BookUnit,375))</f>
        <v/>
      </c>
      <c r="E380" s="40" t="str">
        <f aca="false">IF(INDEX(BookTitle,375)="","",INDEX(BookTitle,375))</f>
        <v/>
      </c>
      <c r="F380" s="40" t="str">
        <f aca="false">IF(INDEX(BookTitle,375)="","",INDEX(BookLevel,375))</f>
        <v/>
      </c>
      <c r="G380" s="40" t="str">
        <f aca="false">IF(INDEX(BookTitle,375)="","",INDEX(BookCategory,375))</f>
        <v/>
      </c>
      <c r="H380" s="40" t="str">
        <f aca="false">IF(INDEX(BookTitle,375)="","",INDEX(BookRank,375))</f>
        <v/>
      </c>
      <c r="I380" s="41" t="str">
        <f aca="false">IF(INDEX(BookTitle,375)="","",INDEX(BookTotal,375))</f>
        <v/>
      </c>
      <c r="J380" s="0" t="str">
        <f aca="false">IF($I380="","",IF(INDEX(BookQ1,375)&gt;0,"Q1",IF(INDEX(BookQ2,375)&gt;0,"Q2",IF(INDEX(BookQ3,375)&gt;0,"Q3",IF(INDEX(BookQ4,375)&gt;0,"Q4","")))))</f>
        <v/>
      </c>
      <c r="K380" s="42" t="str">
        <f aca="false">IF(INDEX(BookTitle,375)="","",INDEX(BookInYear,375))</f>
        <v/>
      </c>
      <c r="L380" s="19"/>
      <c r="M380" s="39"/>
      <c r="N380" s="19"/>
      <c r="O380" s="19"/>
      <c r="P380" s="43" t="str">
        <f aca="false">IF($E380="","",IF($L380="Decline",0,IF($L380="Approve fewer",IF($M380="","",$M380),IF($L380="","",$I380))))</f>
        <v/>
      </c>
      <c r="Q380" s="34" t="str">
        <f aca="false">IF($P380="","",IF($N380&lt;&gt;"",$N380,$J380))</f>
        <v/>
      </c>
      <c r="R380" s="35" t="str">
        <f aca="false">IF(OR($P380="",$Q380=""),"",INDEX(BookRate,375)*$P380*(5-MATCH($Q380,{"Q1";"Q2";"Q3";"Q4"},0))/4+INDEX(BookOneOff,375)*$P380)</f>
        <v/>
      </c>
      <c r="S380" s="35" t="str">
        <f aca="false">IF($P380="","",INDEX(BookRate,375)*$P380)</f>
        <v/>
      </c>
      <c r="T380" s="35" t="str">
        <f aca="false">IF($R380="","",$R380-$K380)</f>
        <v/>
      </c>
      <c r="U380" s="35" t="str">
        <f aca="false">IF(N($P380)&lt;=0,"",COUNTIF($P$6:$P380,"&gt;0"))</f>
        <v/>
      </c>
    </row>
    <row r="381" customFormat="false" ht="15" hidden="false" customHeight="false" outlineLevel="0" collapsed="false">
      <c r="A381" s="40" t="str">
        <f aca="false">IF(INDEX(BookTitle,376)="","",INDEX(BookGroup,376))</f>
        <v/>
      </c>
      <c r="B381" s="40" t="str">
        <f aca="false">IF(INDEX(BookTitle,376)="","",INDEX(BookRef,376))</f>
        <v/>
      </c>
      <c r="C381" s="40" t="str">
        <f aca="false">IF(INDEX(BookTitle,376)="","",INDEX(BookDivision,376))</f>
        <v/>
      </c>
      <c r="D381" s="40" t="str">
        <f aca="false">IF(INDEX(BookTitle,376)="","",INDEX(BookUnit,376))</f>
        <v/>
      </c>
      <c r="E381" s="40" t="str">
        <f aca="false">IF(INDEX(BookTitle,376)="","",INDEX(BookTitle,376))</f>
        <v/>
      </c>
      <c r="F381" s="40" t="str">
        <f aca="false">IF(INDEX(BookTitle,376)="","",INDEX(BookLevel,376))</f>
        <v/>
      </c>
      <c r="G381" s="40" t="str">
        <f aca="false">IF(INDEX(BookTitle,376)="","",INDEX(BookCategory,376))</f>
        <v/>
      </c>
      <c r="H381" s="40" t="str">
        <f aca="false">IF(INDEX(BookTitle,376)="","",INDEX(BookRank,376))</f>
        <v/>
      </c>
      <c r="I381" s="41" t="str">
        <f aca="false">IF(INDEX(BookTitle,376)="","",INDEX(BookTotal,376))</f>
        <v/>
      </c>
      <c r="J381" s="0" t="str">
        <f aca="false">IF($I381="","",IF(INDEX(BookQ1,376)&gt;0,"Q1",IF(INDEX(BookQ2,376)&gt;0,"Q2",IF(INDEX(BookQ3,376)&gt;0,"Q3",IF(INDEX(BookQ4,376)&gt;0,"Q4","")))))</f>
        <v/>
      </c>
      <c r="K381" s="42" t="str">
        <f aca="false">IF(INDEX(BookTitle,376)="","",INDEX(BookInYear,376))</f>
        <v/>
      </c>
      <c r="L381" s="19"/>
      <c r="M381" s="39"/>
      <c r="N381" s="19"/>
      <c r="O381" s="19"/>
      <c r="P381" s="43" t="str">
        <f aca="false">IF($E381="","",IF($L381="Decline",0,IF($L381="Approve fewer",IF($M381="","",$M381),IF($L381="","",$I381))))</f>
        <v/>
      </c>
      <c r="Q381" s="34" t="str">
        <f aca="false">IF($P381="","",IF($N381&lt;&gt;"",$N381,$J381))</f>
        <v/>
      </c>
      <c r="R381" s="35" t="str">
        <f aca="false">IF(OR($P381="",$Q381=""),"",INDEX(BookRate,376)*$P381*(5-MATCH($Q381,{"Q1";"Q2";"Q3";"Q4"},0))/4+INDEX(BookOneOff,376)*$P381)</f>
        <v/>
      </c>
      <c r="S381" s="35" t="str">
        <f aca="false">IF($P381="","",INDEX(BookRate,376)*$P381)</f>
        <v/>
      </c>
      <c r="T381" s="35" t="str">
        <f aca="false">IF($R381="","",$R381-$K381)</f>
        <v/>
      </c>
      <c r="U381" s="35" t="str">
        <f aca="false">IF(N($P381)&lt;=0,"",COUNTIF($P$6:$P381,"&gt;0"))</f>
        <v/>
      </c>
    </row>
    <row r="382" customFormat="false" ht="15" hidden="false" customHeight="false" outlineLevel="0" collapsed="false">
      <c r="A382" s="40" t="str">
        <f aca="false">IF(INDEX(BookTitle,377)="","",INDEX(BookGroup,377))</f>
        <v/>
      </c>
      <c r="B382" s="40" t="str">
        <f aca="false">IF(INDEX(BookTitle,377)="","",INDEX(BookRef,377))</f>
        <v/>
      </c>
      <c r="C382" s="40" t="str">
        <f aca="false">IF(INDEX(BookTitle,377)="","",INDEX(BookDivision,377))</f>
        <v/>
      </c>
      <c r="D382" s="40" t="str">
        <f aca="false">IF(INDEX(BookTitle,377)="","",INDEX(BookUnit,377))</f>
        <v/>
      </c>
      <c r="E382" s="40" t="str">
        <f aca="false">IF(INDEX(BookTitle,377)="","",INDEX(BookTitle,377))</f>
        <v/>
      </c>
      <c r="F382" s="40" t="str">
        <f aca="false">IF(INDEX(BookTitle,377)="","",INDEX(BookLevel,377))</f>
        <v/>
      </c>
      <c r="G382" s="40" t="str">
        <f aca="false">IF(INDEX(BookTitle,377)="","",INDEX(BookCategory,377))</f>
        <v/>
      </c>
      <c r="H382" s="40" t="str">
        <f aca="false">IF(INDEX(BookTitle,377)="","",INDEX(BookRank,377))</f>
        <v/>
      </c>
      <c r="I382" s="41" t="str">
        <f aca="false">IF(INDEX(BookTitle,377)="","",INDEX(BookTotal,377))</f>
        <v/>
      </c>
      <c r="J382" s="0" t="str">
        <f aca="false">IF($I382="","",IF(INDEX(BookQ1,377)&gt;0,"Q1",IF(INDEX(BookQ2,377)&gt;0,"Q2",IF(INDEX(BookQ3,377)&gt;0,"Q3",IF(INDEX(BookQ4,377)&gt;0,"Q4","")))))</f>
        <v/>
      </c>
      <c r="K382" s="42" t="str">
        <f aca="false">IF(INDEX(BookTitle,377)="","",INDEX(BookInYear,377))</f>
        <v/>
      </c>
      <c r="L382" s="19"/>
      <c r="M382" s="39"/>
      <c r="N382" s="19"/>
      <c r="O382" s="19"/>
      <c r="P382" s="43" t="str">
        <f aca="false">IF($E382="","",IF($L382="Decline",0,IF($L382="Approve fewer",IF($M382="","",$M382),IF($L382="","",$I382))))</f>
        <v/>
      </c>
      <c r="Q382" s="34" t="str">
        <f aca="false">IF($P382="","",IF($N382&lt;&gt;"",$N382,$J382))</f>
        <v/>
      </c>
      <c r="R382" s="35" t="str">
        <f aca="false">IF(OR($P382="",$Q382=""),"",INDEX(BookRate,377)*$P382*(5-MATCH($Q382,{"Q1";"Q2";"Q3";"Q4"},0))/4+INDEX(BookOneOff,377)*$P382)</f>
        <v/>
      </c>
      <c r="S382" s="35" t="str">
        <f aca="false">IF($P382="","",INDEX(BookRate,377)*$P382)</f>
        <v/>
      </c>
      <c r="T382" s="35" t="str">
        <f aca="false">IF($R382="","",$R382-$K382)</f>
        <v/>
      </c>
      <c r="U382" s="35" t="str">
        <f aca="false">IF(N($P382)&lt;=0,"",COUNTIF($P$6:$P382,"&gt;0"))</f>
        <v/>
      </c>
    </row>
    <row r="383" customFormat="false" ht="15" hidden="false" customHeight="false" outlineLevel="0" collapsed="false">
      <c r="A383" s="40" t="str">
        <f aca="false">IF(INDEX(BookTitle,378)="","",INDEX(BookGroup,378))</f>
        <v/>
      </c>
      <c r="B383" s="40" t="str">
        <f aca="false">IF(INDEX(BookTitle,378)="","",INDEX(BookRef,378))</f>
        <v/>
      </c>
      <c r="C383" s="40" t="str">
        <f aca="false">IF(INDEX(BookTitle,378)="","",INDEX(BookDivision,378))</f>
        <v/>
      </c>
      <c r="D383" s="40" t="str">
        <f aca="false">IF(INDEX(BookTitle,378)="","",INDEX(BookUnit,378))</f>
        <v/>
      </c>
      <c r="E383" s="40" t="str">
        <f aca="false">IF(INDEX(BookTitle,378)="","",INDEX(BookTitle,378))</f>
        <v/>
      </c>
      <c r="F383" s="40" t="str">
        <f aca="false">IF(INDEX(BookTitle,378)="","",INDEX(BookLevel,378))</f>
        <v/>
      </c>
      <c r="G383" s="40" t="str">
        <f aca="false">IF(INDEX(BookTitle,378)="","",INDEX(BookCategory,378))</f>
        <v/>
      </c>
      <c r="H383" s="40" t="str">
        <f aca="false">IF(INDEX(BookTitle,378)="","",INDEX(BookRank,378))</f>
        <v/>
      </c>
      <c r="I383" s="41" t="str">
        <f aca="false">IF(INDEX(BookTitle,378)="","",INDEX(BookTotal,378))</f>
        <v/>
      </c>
      <c r="J383" s="0" t="str">
        <f aca="false">IF($I383="","",IF(INDEX(BookQ1,378)&gt;0,"Q1",IF(INDEX(BookQ2,378)&gt;0,"Q2",IF(INDEX(BookQ3,378)&gt;0,"Q3",IF(INDEX(BookQ4,378)&gt;0,"Q4","")))))</f>
        <v/>
      </c>
      <c r="K383" s="42" t="str">
        <f aca="false">IF(INDEX(BookTitle,378)="","",INDEX(BookInYear,378))</f>
        <v/>
      </c>
      <c r="L383" s="19"/>
      <c r="M383" s="39"/>
      <c r="N383" s="19"/>
      <c r="O383" s="19"/>
      <c r="P383" s="43" t="str">
        <f aca="false">IF($E383="","",IF($L383="Decline",0,IF($L383="Approve fewer",IF($M383="","",$M383),IF($L383="","",$I383))))</f>
        <v/>
      </c>
      <c r="Q383" s="34" t="str">
        <f aca="false">IF($P383="","",IF($N383&lt;&gt;"",$N383,$J383))</f>
        <v/>
      </c>
      <c r="R383" s="35" t="str">
        <f aca="false">IF(OR($P383="",$Q383=""),"",INDEX(BookRate,378)*$P383*(5-MATCH($Q383,{"Q1";"Q2";"Q3";"Q4"},0))/4+INDEX(BookOneOff,378)*$P383)</f>
        <v/>
      </c>
      <c r="S383" s="35" t="str">
        <f aca="false">IF($P383="","",INDEX(BookRate,378)*$P383)</f>
        <v/>
      </c>
      <c r="T383" s="35" t="str">
        <f aca="false">IF($R383="","",$R383-$K383)</f>
        <v/>
      </c>
      <c r="U383" s="35" t="str">
        <f aca="false">IF(N($P383)&lt;=0,"",COUNTIF($P$6:$P383,"&gt;0"))</f>
        <v/>
      </c>
    </row>
    <row r="384" customFormat="false" ht="15" hidden="false" customHeight="false" outlineLevel="0" collapsed="false">
      <c r="A384" s="40" t="str">
        <f aca="false">IF(INDEX(BookTitle,379)="","",INDEX(BookGroup,379))</f>
        <v/>
      </c>
      <c r="B384" s="40" t="str">
        <f aca="false">IF(INDEX(BookTitle,379)="","",INDEX(BookRef,379))</f>
        <v/>
      </c>
      <c r="C384" s="40" t="str">
        <f aca="false">IF(INDEX(BookTitle,379)="","",INDEX(BookDivision,379))</f>
        <v/>
      </c>
      <c r="D384" s="40" t="str">
        <f aca="false">IF(INDEX(BookTitle,379)="","",INDEX(BookUnit,379))</f>
        <v/>
      </c>
      <c r="E384" s="40" t="str">
        <f aca="false">IF(INDEX(BookTitle,379)="","",INDEX(BookTitle,379))</f>
        <v/>
      </c>
      <c r="F384" s="40" t="str">
        <f aca="false">IF(INDEX(BookTitle,379)="","",INDEX(BookLevel,379))</f>
        <v/>
      </c>
      <c r="G384" s="40" t="str">
        <f aca="false">IF(INDEX(BookTitle,379)="","",INDEX(BookCategory,379))</f>
        <v/>
      </c>
      <c r="H384" s="40" t="str">
        <f aca="false">IF(INDEX(BookTitle,379)="","",INDEX(BookRank,379))</f>
        <v/>
      </c>
      <c r="I384" s="41" t="str">
        <f aca="false">IF(INDEX(BookTitle,379)="","",INDEX(BookTotal,379))</f>
        <v/>
      </c>
      <c r="J384" s="0" t="str">
        <f aca="false">IF($I384="","",IF(INDEX(BookQ1,379)&gt;0,"Q1",IF(INDEX(BookQ2,379)&gt;0,"Q2",IF(INDEX(BookQ3,379)&gt;0,"Q3",IF(INDEX(BookQ4,379)&gt;0,"Q4","")))))</f>
        <v/>
      </c>
      <c r="K384" s="42" t="str">
        <f aca="false">IF(INDEX(BookTitle,379)="","",INDEX(BookInYear,379))</f>
        <v/>
      </c>
      <c r="L384" s="19"/>
      <c r="M384" s="39"/>
      <c r="N384" s="19"/>
      <c r="O384" s="19"/>
      <c r="P384" s="43" t="str">
        <f aca="false">IF($E384="","",IF($L384="Decline",0,IF($L384="Approve fewer",IF($M384="","",$M384),IF($L384="","",$I384))))</f>
        <v/>
      </c>
      <c r="Q384" s="34" t="str">
        <f aca="false">IF($P384="","",IF($N384&lt;&gt;"",$N384,$J384))</f>
        <v/>
      </c>
      <c r="R384" s="35" t="str">
        <f aca="false">IF(OR($P384="",$Q384=""),"",INDEX(BookRate,379)*$P384*(5-MATCH($Q384,{"Q1";"Q2";"Q3";"Q4"},0))/4+INDEX(BookOneOff,379)*$P384)</f>
        <v/>
      </c>
      <c r="S384" s="35" t="str">
        <f aca="false">IF($P384="","",INDEX(BookRate,379)*$P384)</f>
        <v/>
      </c>
      <c r="T384" s="35" t="str">
        <f aca="false">IF($R384="","",$R384-$K384)</f>
        <v/>
      </c>
      <c r="U384" s="35" t="str">
        <f aca="false">IF(N($P384)&lt;=0,"",COUNTIF($P$6:$P384,"&gt;0"))</f>
        <v/>
      </c>
    </row>
    <row r="385" customFormat="false" ht="15" hidden="false" customHeight="false" outlineLevel="0" collapsed="false">
      <c r="A385" s="40" t="str">
        <f aca="false">IF(INDEX(BookTitle,380)="","",INDEX(BookGroup,380))</f>
        <v/>
      </c>
      <c r="B385" s="40" t="str">
        <f aca="false">IF(INDEX(BookTitle,380)="","",INDEX(BookRef,380))</f>
        <v/>
      </c>
      <c r="C385" s="40" t="str">
        <f aca="false">IF(INDEX(BookTitle,380)="","",INDEX(BookDivision,380))</f>
        <v/>
      </c>
      <c r="D385" s="40" t="str">
        <f aca="false">IF(INDEX(BookTitle,380)="","",INDEX(BookUnit,380))</f>
        <v/>
      </c>
      <c r="E385" s="40" t="str">
        <f aca="false">IF(INDEX(BookTitle,380)="","",INDEX(BookTitle,380))</f>
        <v/>
      </c>
      <c r="F385" s="40" t="str">
        <f aca="false">IF(INDEX(BookTitle,380)="","",INDEX(BookLevel,380))</f>
        <v/>
      </c>
      <c r="G385" s="40" t="str">
        <f aca="false">IF(INDEX(BookTitle,380)="","",INDEX(BookCategory,380))</f>
        <v/>
      </c>
      <c r="H385" s="40" t="str">
        <f aca="false">IF(INDEX(BookTitle,380)="","",INDEX(BookRank,380))</f>
        <v/>
      </c>
      <c r="I385" s="41" t="str">
        <f aca="false">IF(INDEX(BookTitle,380)="","",INDEX(BookTotal,380))</f>
        <v/>
      </c>
      <c r="J385" s="0" t="str">
        <f aca="false">IF($I385="","",IF(INDEX(BookQ1,380)&gt;0,"Q1",IF(INDEX(BookQ2,380)&gt;0,"Q2",IF(INDEX(BookQ3,380)&gt;0,"Q3",IF(INDEX(BookQ4,380)&gt;0,"Q4","")))))</f>
        <v/>
      </c>
      <c r="K385" s="42" t="str">
        <f aca="false">IF(INDEX(BookTitle,380)="","",INDEX(BookInYear,380))</f>
        <v/>
      </c>
      <c r="L385" s="19"/>
      <c r="M385" s="39"/>
      <c r="N385" s="19"/>
      <c r="O385" s="19"/>
      <c r="P385" s="43" t="str">
        <f aca="false">IF($E385="","",IF($L385="Decline",0,IF($L385="Approve fewer",IF($M385="","",$M385),IF($L385="","",$I385))))</f>
        <v/>
      </c>
      <c r="Q385" s="34" t="str">
        <f aca="false">IF($P385="","",IF($N385&lt;&gt;"",$N385,$J385))</f>
        <v/>
      </c>
      <c r="R385" s="35" t="str">
        <f aca="false">IF(OR($P385="",$Q385=""),"",INDEX(BookRate,380)*$P385*(5-MATCH($Q385,{"Q1";"Q2";"Q3";"Q4"},0))/4+INDEX(BookOneOff,380)*$P385)</f>
        <v/>
      </c>
      <c r="S385" s="35" t="str">
        <f aca="false">IF($P385="","",INDEX(BookRate,380)*$P385)</f>
        <v/>
      </c>
      <c r="T385" s="35" t="str">
        <f aca="false">IF($R385="","",$R385-$K385)</f>
        <v/>
      </c>
      <c r="U385" s="35" t="str">
        <f aca="false">IF(N($P385)&lt;=0,"",COUNTIF($P$6:$P385,"&gt;0"))</f>
        <v/>
      </c>
    </row>
    <row r="386" customFormat="false" ht="15" hidden="false" customHeight="false" outlineLevel="0" collapsed="false">
      <c r="A386" s="40" t="str">
        <f aca="false">IF(INDEX(BookTitle,381)="","",INDEX(BookGroup,381))</f>
        <v/>
      </c>
      <c r="B386" s="40" t="str">
        <f aca="false">IF(INDEX(BookTitle,381)="","",INDEX(BookRef,381))</f>
        <v/>
      </c>
      <c r="C386" s="40" t="str">
        <f aca="false">IF(INDEX(BookTitle,381)="","",INDEX(BookDivision,381))</f>
        <v/>
      </c>
      <c r="D386" s="40" t="str">
        <f aca="false">IF(INDEX(BookTitle,381)="","",INDEX(BookUnit,381))</f>
        <v/>
      </c>
      <c r="E386" s="40" t="str">
        <f aca="false">IF(INDEX(BookTitle,381)="","",INDEX(BookTitle,381))</f>
        <v/>
      </c>
      <c r="F386" s="40" t="str">
        <f aca="false">IF(INDEX(BookTitle,381)="","",INDEX(BookLevel,381))</f>
        <v/>
      </c>
      <c r="G386" s="40" t="str">
        <f aca="false">IF(INDEX(BookTitle,381)="","",INDEX(BookCategory,381))</f>
        <v/>
      </c>
      <c r="H386" s="40" t="str">
        <f aca="false">IF(INDEX(BookTitle,381)="","",INDEX(BookRank,381))</f>
        <v/>
      </c>
      <c r="I386" s="41" t="str">
        <f aca="false">IF(INDEX(BookTitle,381)="","",INDEX(BookTotal,381))</f>
        <v/>
      </c>
      <c r="J386" s="0" t="str">
        <f aca="false">IF($I386="","",IF(INDEX(BookQ1,381)&gt;0,"Q1",IF(INDEX(BookQ2,381)&gt;0,"Q2",IF(INDEX(BookQ3,381)&gt;0,"Q3",IF(INDEX(BookQ4,381)&gt;0,"Q4","")))))</f>
        <v/>
      </c>
      <c r="K386" s="42" t="str">
        <f aca="false">IF(INDEX(BookTitle,381)="","",INDEX(BookInYear,381))</f>
        <v/>
      </c>
      <c r="L386" s="19"/>
      <c r="M386" s="39"/>
      <c r="N386" s="19"/>
      <c r="O386" s="19"/>
      <c r="P386" s="43" t="str">
        <f aca="false">IF($E386="","",IF($L386="Decline",0,IF($L386="Approve fewer",IF($M386="","",$M386),IF($L386="","",$I386))))</f>
        <v/>
      </c>
      <c r="Q386" s="34" t="str">
        <f aca="false">IF($P386="","",IF($N386&lt;&gt;"",$N386,$J386))</f>
        <v/>
      </c>
      <c r="R386" s="35" t="str">
        <f aca="false">IF(OR($P386="",$Q386=""),"",INDEX(BookRate,381)*$P386*(5-MATCH($Q386,{"Q1";"Q2";"Q3";"Q4"},0))/4+INDEX(BookOneOff,381)*$P386)</f>
        <v/>
      </c>
      <c r="S386" s="35" t="str">
        <f aca="false">IF($P386="","",INDEX(BookRate,381)*$P386)</f>
        <v/>
      </c>
      <c r="T386" s="35" t="str">
        <f aca="false">IF($R386="","",$R386-$K386)</f>
        <v/>
      </c>
      <c r="U386" s="35" t="str">
        <f aca="false">IF(N($P386)&lt;=0,"",COUNTIF($P$6:$P386,"&gt;0"))</f>
        <v/>
      </c>
    </row>
    <row r="387" customFormat="false" ht="15" hidden="false" customHeight="false" outlineLevel="0" collapsed="false">
      <c r="A387" s="40" t="str">
        <f aca="false">IF(INDEX(BookTitle,382)="","",INDEX(BookGroup,382))</f>
        <v/>
      </c>
      <c r="B387" s="40" t="str">
        <f aca="false">IF(INDEX(BookTitle,382)="","",INDEX(BookRef,382))</f>
        <v/>
      </c>
      <c r="C387" s="40" t="str">
        <f aca="false">IF(INDEX(BookTitle,382)="","",INDEX(BookDivision,382))</f>
        <v/>
      </c>
      <c r="D387" s="40" t="str">
        <f aca="false">IF(INDEX(BookTitle,382)="","",INDEX(BookUnit,382))</f>
        <v/>
      </c>
      <c r="E387" s="40" t="str">
        <f aca="false">IF(INDEX(BookTitle,382)="","",INDEX(BookTitle,382))</f>
        <v/>
      </c>
      <c r="F387" s="40" t="str">
        <f aca="false">IF(INDEX(BookTitle,382)="","",INDEX(BookLevel,382))</f>
        <v/>
      </c>
      <c r="G387" s="40" t="str">
        <f aca="false">IF(INDEX(BookTitle,382)="","",INDEX(BookCategory,382))</f>
        <v/>
      </c>
      <c r="H387" s="40" t="str">
        <f aca="false">IF(INDEX(BookTitle,382)="","",INDEX(BookRank,382))</f>
        <v/>
      </c>
      <c r="I387" s="41" t="str">
        <f aca="false">IF(INDEX(BookTitle,382)="","",INDEX(BookTotal,382))</f>
        <v/>
      </c>
      <c r="J387" s="0" t="str">
        <f aca="false">IF($I387="","",IF(INDEX(BookQ1,382)&gt;0,"Q1",IF(INDEX(BookQ2,382)&gt;0,"Q2",IF(INDEX(BookQ3,382)&gt;0,"Q3",IF(INDEX(BookQ4,382)&gt;0,"Q4","")))))</f>
        <v/>
      </c>
      <c r="K387" s="42" t="str">
        <f aca="false">IF(INDEX(BookTitle,382)="","",INDEX(BookInYear,382))</f>
        <v/>
      </c>
      <c r="L387" s="19"/>
      <c r="M387" s="39"/>
      <c r="N387" s="19"/>
      <c r="O387" s="19"/>
      <c r="P387" s="43" t="str">
        <f aca="false">IF($E387="","",IF($L387="Decline",0,IF($L387="Approve fewer",IF($M387="","",$M387),IF($L387="","",$I387))))</f>
        <v/>
      </c>
      <c r="Q387" s="34" t="str">
        <f aca="false">IF($P387="","",IF($N387&lt;&gt;"",$N387,$J387))</f>
        <v/>
      </c>
      <c r="R387" s="35" t="str">
        <f aca="false">IF(OR($P387="",$Q387=""),"",INDEX(BookRate,382)*$P387*(5-MATCH($Q387,{"Q1";"Q2";"Q3";"Q4"},0))/4+INDEX(BookOneOff,382)*$P387)</f>
        <v/>
      </c>
      <c r="S387" s="35" t="str">
        <f aca="false">IF($P387="","",INDEX(BookRate,382)*$P387)</f>
        <v/>
      </c>
      <c r="T387" s="35" t="str">
        <f aca="false">IF($R387="","",$R387-$K387)</f>
        <v/>
      </c>
      <c r="U387" s="35" t="str">
        <f aca="false">IF(N($P387)&lt;=0,"",COUNTIF($P$6:$P387,"&gt;0"))</f>
        <v/>
      </c>
    </row>
    <row r="388" customFormat="false" ht="15" hidden="false" customHeight="false" outlineLevel="0" collapsed="false">
      <c r="A388" s="40" t="str">
        <f aca="false">IF(INDEX(BookTitle,383)="","",INDEX(BookGroup,383))</f>
        <v/>
      </c>
      <c r="B388" s="40" t="str">
        <f aca="false">IF(INDEX(BookTitle,383)="","",INDEX(BookRef,383))</f>
        <v/>
      </c>
      <c r="C388" s="40" t="str">
        <f aca="false">IF(INDEX(BookTitle,383)="","",INDEX(BookDivision,383))</f>
        <v/>
      </c>
      <c r="D388" s="40" t="str">
        <f aca="false">IF(INDEX(BookTitle,383)="","",INDEX(BookUnit,383))</f>
        <v/>
      </c>
      <c r="E388" s="40" t="str">
        <f aca="false">IF(INDEX(BookTitle,383)="","",INDEX(BookTitle,383))</f>
        <v/>
      </c>
      <c r="F388" s="40" t="str">
        <f aca="false">IF(INDEX(BookTitle,383)="","",INDEX(BookLevel,383))</f>
        <v/>
      </c>
      <c r="G388" s="40" t="str">
        <f aca="false">IF(INDEX(BookTitle,383)="","",INDEX(BookCategory,383))</f>
        <v/>
      </c>
      <c r="H388" s="40" t="str">
        <f aca="false">IF(INDEX(BookTitle,383)="","",INDEX(BookRank,383))</f>
        <v/>
      </c>
      <c r="I388" s="41" t="str">
        <f aca="false">IF(INDEX(BookTitle,383)="","",INDEX(BookTotal,383))</f>
        <v/>
      </c>
      <c r="J388" s="0" t="str">
        <f aca="false">IF($I388="","",IF(INDEX(BookQ1,383)&gt;0,"Q1",IF(INDEX(BookQ2,383)&gt;0,"Q2",IF(INDEX(BookQ3,383)&gt;0,"Q3",IF(INDEX(BookQ4,383)&gt;0,"Q4","")))))</f>
        <v/>
      </c>
      <c r="K388" s="42" t="str">
        <f aca="false">IF(INDEX(BookTitle,383)="","",INDEX(BookInYear,383))</f>
        <v/>
      </c>
      <c r="L388" s="19"/>
      <c r="M388" s="39"/>
      <c r="N388" s="19"/>
      <c r="O388" s="19"/>
      <c r="P388" s="43" t="str">
        <f aca="false">IF($E388="","",IF($L388="Decline",0,IF($L388="Approve fewer",IF($M388="","",$M388),IF($L388="","",$I388))))</f>
        <v/>
      </c>
      <c r="Q388" s="34" t="str">
        <f aca="false">IF($P388="","",IF($N388&lt;&gt;"",$N388,$J388))</f>
        <v/>
      </c>
      <c r="R388" s="35" t="str">
        <f aca="false">IF(OR($P388="",$Q388=""),"",INDEX(BookRate,383)*$P388*(5-MATCH($Q388,{"Q1";"Q2";"Q3";"Q4"},0))/4+INDEX(BookOneOff,383)*$P388)</f>
        <v/>
      </c>
      <c r="S388" s="35" t="str">
        <f aca="false">IF($P388="","",INDEX(BookRate,383)*$P388)</f>
        <v/>
      </c>
      <c r="T388" s="35" t="str">
        <f aca="false">IF($R388="","",$R388-$K388)</f>
        <v/>
      </c>
      <c r="U388" s="35" t="str">
        <f aca="false">IF(N($P388)&lt;=0,"",COUNTIF($P$6:$P388,"&gt;0"))</f>
        <v/>
      </c>
    </row>
    <row r="389" customFormat="false" ht="15" hidden="false" customHeight="false" outlineLevel="0" collapsed="false">
      <c r="A389" s="40" t="str">
        <f aca="false">IF(INDEX(BookTitle,384)="","",INDEX(BookGroup,384))</f>
        <v/>
      </c>
      <c r="B389" s="40" t="str">
        <f aca="false">IF(INDEX(BookTitle,384)="","",INDEX(BookRef,384))</f>
        <v/>
      </c>
      <c r="C389" s="40" t="str">
        <f aca="false">IF(INDEX(BookTitle,384)="","",INDEX(BookDivision,384))</f>
        <v/>
      </c>
      <c r="D389" s="40" t="str">
        <f aca="false">IF(INDEX(BookTitle,384)="","",INDEX(BookUnit,384))</f>
        <v/>
      </c>
      <c r="E389" s="40" t="str">
        <f aca="false">IF(INDEX(BookTitle,384)="","",INDEX(BookTitle,384))</f>
        <v/>
      </c>
      <c r="F389" s="40" t="str">
        <f aca="false">IF(INDEX(BookTitle,384)="","",INDEX(BookLevel,384))</f>
        <v/>
      </c>
      <c r="G389" s="40" t="str">
        <f aca="false">IF(INDEX(BookTitle,384)="","",INDEX(BookCategory,384))</f>
        <v/>
      </c>
      <c r="H389" s="40" t="str">
        <f aca="false">IF(INDEX(BookTitle,384)="","",INDEX(BookRank,384))</f>
        <v/>
      </c>
      <c r="I389" s="41" t="str">
        <f aca="false">IF(INDEX(BookTitle,384)="","",INDEX(BookTotal,384))</f>
        <v/>
      </c>
      <c r="J389" s="0" t="str">
        <f aca="false">IF($I389="","",IF(INDEX(BookQ1,384)&gt;0,"Q1",IF(INDEX(BookQ2,384)&gt;0,"Q2",IF(INDEX(BookQ3,384)&gt;0,"Q3",IF(INDEX(BookQ4,384)&gt;0,"Q4","")))))</f>
        <v/>
      </c>
      <c r="K389" s="42" t="str">
        <f aca="false">IF(INDEX(BookTitle,384)="","",INDEX(BookInYear,384))</f>
        <v/>
      </c>
      <c r="L389" s="19"/>
      <c r="M389" s="39"/>
      <c r="N389" s="19"/>
      <c r="O389" s="19"/>
      <c r="P389" s="43" t="str">
        <f aca="false">IF($E389="","",IF($L389="Decline",0,IF($L389="Approve fewer",IF($M389="","",$M389),IF($L389="","",$I389))))</f>
        <v/>
      </c>
      <c r="Q389" s="34" t="str">
        <f aca="false">IF($P389="","",IF($N389&lt;&gt;"",$N389,$J389))</f>
        <v/>
      </c>
      <c r="R389" s="35" t="str">
        <f aca="false">IF(OR($P389="",$Q389=""),"",INDEX(BookRate,384)*$P389*(5-MATCH($Q389,{"Q1";"Q2";"Q3";"Q4"},0))/4+INDEX(BookOneOff,384)*$P389)</f>
        <v/>
      </c>
      <c r="S389" s="35" t="str">
        <f aca="false">IF($P389="","",INDEX(BookRate,384)*$P389)</f>
        <v/>
      </c>
      <c r="T389" s="35" t="str">
        <f aca="false">IF($R389="","",$R389-$K389)</f>
        <v/>
      </c>
      <c r="U389" s="35" t="str">
        <f aca="false">IF(N($P389)&lt;=0,"",COUNTIF($P$6:$P389,"&gt;0"))</f>
        <v/>
      </c>
    </row>
    <row r="390" customFormat="false" ht="15" hidden="false" customHeight="false" outlineLevel="0" collapsed="false">
      <c r="A390" s="40" t="str">
        <f aca="false">IF(INDEX(BookTitle,385)="","",INDEX(BookGroup,385))</f>
        <v/>
      </c>
      <c r="B390" s="40" t="str">
        <f aca="false">IF(INDEX(BookTitle,385)="","",INDEX(BookRef,385))</f>
        <v/>
      </c>
      <c r="C390" s="40" t="str">
        <f aca="false">IF(INDEX(BookTitle,385)="","",INDEX(BookDivision,385))</f>
        <v/>
      </c>
      <c r="D390" s="40" t="str">
        <f aca="false">IF(INDEX(BookTitle,385)="","",INDEX(BookUnit,385))</f>
        <v/>
      </c>
      <c r="E390" s="40" t="str">
        <f aca="false">IF(INDEX(BookTitle,385)="","",INDEX(BookTitle,385))</f>
        <v/>
      </c>
      <c r="F390" s="40" t="str">
        <f aca="false">IF(INDEX(BookTitle,385)="","",INDEX(BookLevel,385))</f>
        <v/>
      </c>
      <c r="G390" s="40" t="str">
        <f aca="false">IF(INDEX(BookTitle,385)="","",INDEX(BookCategory,385))</f>
        <v/>
      </c>
      <c r="H390" s="40" t="str">
        <f aca="false">IF(INDEX(BookTitle,385)="","",INDEX(BookRank,385))</f>
        <v/>
      </c>
      <c r="I390" s="41" t="str">
        <f aca="false">IF(INDEX(BookTitle,385)="","",INDEX(BookTotal,385))</f>
        <v/>
      </c>
      <c r="J390" s="0" t="str">
        <f aca="false">IF($I390="","",IF(INDEX(BookQ1,385)&gt;0,"Q1",IF(INDEX(BookQ2,385)&gt;0,"Q2",IF(INDEX(BookQ3,385)&gt;0,"Q3",IF(INDEX(BookQ4,385)&gt;0,"Q4","")))))</f>
        <v/>
      </c>
      <c r="K390" s="42" t="str">
        <f aca="false">IF(INDEX(BookTitle,385)="","",INDEX(BookInYear,385))</f>
        <v/>
      </c>
      <c r="L390" s="19"/>
      <c r="M390" s="39"/>
      <c r="N390" s="19"/>
      <c r="O390" s="19"/>
      <c r="P390" s="43" t="str">
        <f aca="false">IF($E390="","",IF($L390="Decline",0,IF($L390="Approve fewer",IF($M390="","",$M390),IF($L390="","",$I390))))</f>
        <v/>
      </c>
      <c r="Q390" s="34" t="str">
        <f aca="false">IF($P390="","",IF($N390&lt;&gt;"",$N390,$J390))</f>
        <v/>
      </c>
      <c r="R390" s="35" t="str">
        <f aca="false">IF(OR($P390="",$Q390=""),"",INDEX(BookRate,385)*$P390*(5-MATCH($Q390,{"Q1";"Q2";"Q3";"Q4"},0))/4+INDEX(BookOneOff,385)*$P390)</f>
        <v/>
      </c>
      <c r="S390" s="35" t="str">
        <f aca="false">IF($P390="","",INDEX(BookRate,385)*$P390)</f>
        <v/>
      </c>
      <c r="T390" s="35" t="str">
        <f aca="false">IF($R390="","",$R390-$K390)</f>
        <v/>
      </c>
      <c r="U390" s="35" t="str">
        <f aca="false">IF(N($P390)&lt;=0,"",COUNTIF($P$6:$P390,"&gt;0"))</f>
        <v/>
      </c>
    </row>
    <row r="391" customFormat="false" ht="15" hidden="false" customHeight="false" outlineLevel="0" collapsed="false">
      <c r="A391" s="40" t="str">
        <f aca="false">IF(INDEX(BookTitle,386)="","",INDEX(BookGroup,386))</f>
        <v/>
      </c>
      <c r="B391" s="40" t="str">
        <f aca="false">IF(INDEX(BookTitle,386)="","",INDEX(BookRef,386))</f>
        <v/>
      </c>
      <c r="C391" s="40" t="str">
        <f aca="false">IF(INDEX(BookTitle,386)="","",INDEX(BookDivision,386))</f>
        <v/>
      </c>
      <c r="D391" s="40" t="str">
        <f aca="false">IF(INDEX(BookTitle,386)="","",INDEX(BookUnit,386))</f>
        <v/>
      </c>
      <c r="E391" s="40" t="str">
        <f aca="false">IF(INDEX(BookTitle,386)="","",INDEX(BookTitle,386))</f>
        <v/>
      </c>
      <c r="F391" s="40" t="str">
        <f aca="false">IF(INDEX(BookTitle,386)="","",INDEX(BookLevel,386))</f>
        <v/>
      </c>
      <c r="G391" s="40" t="str">
        <f aca="false">IF(INDEX(BookTitle,386)="","",INDEX(BookCategory,386))</f>
        <v/>
      </c>
      <c r="H391" s="40" t="str">
        <f aca="false">IF(INDEX(BookTitle,386)="","",INDEX(BookRank,386))</f>
        <v/>
      </c>
      <c r="I391" s="41" t="str">
        <f aca="false">IF(INDEX(BookTitle,386)="","",INDEX(BookTotal,386))</f>
        <v/>
      </c>
      <c r="J391" s="0" t="str">
        <f aca="false">IF($I391="","",IF(INDEX(BookQ1,386)&gt;0,"Q1",IF(INDEX(BookQ2,386)&gt;0,"Q2",IF(INDEX(BookQ3,386)&gt;0,"Q3",IF(INDEX(BookQ4,386)&gt;0,"Q4","")))))</f>
        <v/>
      </c>
      <c r="K391" s="42" t="str">
        <f aca="false">IF(INDEX(BookTitle,386)="","",INDEX(BookInYear,386))</f>
        <v/>
      </c>
      <c r="L391" s="19"/>
      <c r="M391" s="39"/>
      <c r="N391" s="19"/>
      <c r="O391" s="19"/>
      <c r="P391" s="43" t="str">
        <f aca="false">IF($E391="","",IF($L391="Decline",0,IF($L391="Approve fewer",IF($M391="","",$M391),IF($L391="","",$I391))))</f>
        <v/>
      </c>
      <c r="Q391" s="34" t="str">
        <f aca="false">IF($P391="","",IF($N391&lt;&gt;"",$N391,$J391))</f>
        <v/>
      </c>
      <c r="R391" s="35" t="str">
        <f aca="false">IF(OR($P391="",$Q391=""),"",INDEX(BookRate,386)*$P391*(5-MATCH($Q391,{"Q1";"Q2";"Q3";"Q4"},0))/4+INDEX(BookOneOff,386)*$P391)</f>
        <v/>
      </c>
      <c r="S391" s="35" t="str">
        <f aca="false">IF($P391="","",INDEX(BookRate,386)*$P391)</f>
        <v/>
      </c>
      <c r="T391" s="35" t="str">
        <f aca="false">IF($R391="","",$R391-$K391)</f>
        <v/>
      </c>
      <c r="U391" s="35" t="str">
        <f aca="false">IF(N($P391)&lt;=0,"",COUNTIF($P$6:$P391,"&gt;0"))</f>
        <v/>
      </c>
    </row>
    <row r="392" customFormat="false" ht="15" hidden="false" customHeight="false" outlineLevel="0" collapsed="false">
      <c r="A392" s="40" t="str">
        <f aca="false">IF(INDEX(BookTitle,387)="","",INDEX(BookGroup,387))</f>
        <v/>
      </c>
      <c r="B392" s="40" t="str">
        <f aca="false">IF(INDEX(BookTitle,387)="","",INDEX(BookRef,387))</f>
        <v/>
      </c>
      <c r="C392" s="40" t="str">
        <f aca="false">IF(INDEX(BookTitle,387)="","",INDEX(BookDivision,387))</f>
        <v/>
      </c>
      <c r="D392" s="40" t="str">
        <f aca="false">IF(INDEX(BookTitle,387)="","",INDEX(BookUnit,387))</f>
        <v/>
      </c>
      <c r="E392" s="40" t="str">
        <f aca="false">IF(INDEX(BookTitle,387)="","",INDEX(BookTitle,387))</f>
        <v/>
      </c>
      <c r="F392" s="40" t="str">
        <f aca="false">IF(INDEX(BookTitle,387)="","",INDEX(BookLevel,387))</f>
        <v/>
      </c>
      <c r="G392" s="40" t="str">
        <f aca="false">IF(INDEX(BookTitle,387)="","",INDEX(BookCategory,387))</f>
        <v/>
      </c>
      <c r="H392" s="40" t="str">
        <f aca="false">IF(INDEX(BookTitle,387)="","",INDEX(BookRank,387))</f>
        <v/>
      </c>
      <c r="I392" s="41" t="str">
        <f aca="false">IF(INDEX(BookTitle,387)="","",INDEX(BookTotal,387))</f>
        <v/>
      </c>
      <c r="J392" s="0" t="str">
        <f aca="false">IF($I392="","",IF(INDEX(BookQ1,387)&gt;0,"Q1",IF(INDEX(BookQ2,387)&gt;0,"Q2",IF(INDEX(BookQ3,387)&gt;0,"Q3",IF(INDEX(BookQ4,387)&gt;0,"Q4","")))))</f>
        <v/>
      </c>
      <c r="K392" s="42" t="str">
        <f aca="false">IF(INDEX(BookTitle,387)="","",INDEX(BookInYear,387))</f>
        <v/>
      </c>
      <c r="L392" s="19"/>
      <c r="M392" s="39"/>
      <c r="N392" s="19"/>
      <c r="O392" s="19"/>
      <c r="P392" s="43" t="str">
        <f aca="false">IF($E392="","",IF($L392="Decline",0,IF($L392="Approve fewer",IF($M392="","",$M392),IF($L392="","",$I392))))</f>
        <v/>
      </c>
      <c r="Q392" s="34" t="str">
        <f aca="false">IF($P392="","",IF($N392&lt;&gt;"",$N392,$J392))</f>
        <v/>
      </c>
      <c r="R392" s="35" t="str">
        <f aca="false">IF(OR($P392="",$Q392=""),"",INDEX(BookRate,387)*$P392*(5-MATCH($Q392,{"Q1";"Q2";"Q3";"Q4"},0))/4+INDEX(BookOneOff,387)*$P392)</f>
        <v/>
      </c>
      <c r="S392" s="35" t="str">
        <f aca="false">IF($P392="","",INDEX(BookRate,387)*$P392)</f>
        <v/>
      </c>
      <c r="T392" s="35" t="str">
        <f aca="false">IF($R392="","",$R392-$K392)</f>
        <v/>
      </c>
      <c r="U392" s="35" t="str">
        <f aca="false">IF(N($P392)&lt;=0,"",COUNTIF($P$6:$P392,"&gt;0"))</f>
        <v/>
      </c>
    </row>
    <row r="393" customFormat="false" ht="15" hidden="false" customHeight="false" outlineLevel="0" collapsed="false">
      <c r="A393" s="40" t="str">
        <f aca="false">IF(INDEX(BookTitle,388)="","",INDEX(BookGroup,388))</f>
        <v/>
      </c>
      <c r="B393" s="40" t="str">
        <f aca="false">IF(INDEX(BookTitle,388)="","",INDEX(BookRef,388))</f>
        <v/>
      </c>
      <c r="C393" s="40" t="str">
        <f aca="false">IF(INDEX(BookTitle,388)="","",INDEX(BookDivision,388))</f>
        <v/>
      </c>
      <c r="D393" s="40" t="str">
        <f aca="false">IF(INDEX(BookTitle,388)="","",INDEX(BookUnit,388))</f>
        <v/>
      </c>
      <c r="E393" s="40" t="str">
        <f aca="false">IF(INDEX(BookTitle,388)="","",INDEX(BookTitle,388))</f>
        <v/>
      </c>
      <c r="F393" s="40" t="str">
        <f aca="false">IF(INDEX(BookTitle,388)="","",INDEX(BookLevel,388))</f>
        <v/>
      </c>
      <c r="G393" s="40" t="str">
        <f aca="false">IF(INDEX(BookTitle,388)="","",INDEX(BookCategory,388))</f>
        <v/>
      </c>
      <c r="H393" s="40" t="str">
        <f aca="false">IF(INDEX(BookTitle,388)="","",INDEX(BookRank,388))</f>
        <v/>
      </c>
      <c r="I393" s="41" t="str">
        <f aca="false">IF(INDEX(BookTitle,388)="","",INDEX(BookTotal,388))</f>
        <v/>
      </c>
      <c r="J393" s="0" t="str">
        <f aca="false">IF($I393="","",IF(INDEX(BookQ1,388)&gt;0,"Q1",IF(INDEX(BookQ2,388)&gt;0,"Q2",IF(INDEX(BookQ3,388)&gt;0,"Q3",IF(INDEX(BookQ4,388)&gt;0,"Q4","")))))</f>
        <v/>
      </c>
      <c r="K393" s="42" t="str">
        <f aca="false">IF(INDEX(BookTitle,388)="","",INDEX(BookInYear,388))</f>
        <v/>
      </c>
      <c r="L393" s="19"/>
      <c r="M393" s="39"/>
      <c r="N393" s="19"/>
      <c r="O393" s="19"/>
      <c r="P393" s="43" t="str">
        <f aca="false">IF($E393="","",IF($L393="Decline",0,IF($L393="Approve fewer",IF($M393="","",$M393),IF($L393="","",$I393))))</f>
        <v/>
      </c>
      <c r="Q393" s="34" t="str">
        <f aca="false">IF($P393="","",IF($N393&lt;&gt;"",$N393,$J393))</f>
        <v/>
      </c>
      <c r="R393" s="35" t="str">
        <f aca="false">IF(OR($P393="",$Q393=""),"",INDEX(BookRate,388)*$P393*(5-MATCH($Q393,{"Q1";"Q2";"Q3";"Q4"},0))/4+INDEX(BookOneOff,388)*$P393)</f>
        <v/>
      </c>
      <c r="S393" s="35" t="str">
        <f aca="false">IF($P393="","",INDEX(BookRate,388)*$P393)</f>
        <v/>
      </c>
      <c r="T393" s="35" t="str">
        <f aca="false">IF($R393="","",$R393-$K393)</f>
        <v/>
      </c>
      <c r="U393" s="35" t="str">
        <f aca="false">IF(N($P393)&lt;=0,"",COUNTIF($P$6:$P393,"&gt;0"))</f>
        <v/>
      </c>
    </row>
    <row r="394" customFormat="false" ht="15" hidden="false" customHeight="false" outlineLevel="0" collapsed="false">
      <c r="A394" s="40" t="str">
        <f aca="false">IF(INDEX(BookTitle,389)="","",INDEX(BookGroup,389))</f>
        <v/>
      </c>
      <c r="B394" s="40" t="str">
        <f aca="false">IF(INDEX(BookTitle,389)="","",INDEX(BookRef,389))</f>
        <v/>
      </c>
      <c r="C394" s="40" t="str">
        <f aca="false">IF(INDEX(BookTitle,389)="","",INDEX(BookDivision,389))</f>
        <v/>
      </c>
      <c r="D394" s="40" t="str">
        <f aca="false">IF(INDEX(BookTitle,389)="","",INDEX(BookUnit,389))</f>
        <v/>
      </c>
      <c r="E394" s="40" t="str">
        <f aca="false">IF(INDEX(BookTitle,389)="","",INDEX(BookTitle,389))</f>
        <v/>
      </c>
      <c r="F394" s="40" t="str">
        <f aca="false">IF(INDEX(BookTitle,389)="","",INDEX(BookLevel,389))</f>
        <v/>
      </c>
      <c r="G394" s="40" t="str">
        <f aca="false">IF(INDEX(BookTitle,389)="","",INDEX(BookCategory,389))</f>
        <v/>
      </c>
      <c r="H394" s="40" t="str">
        <f aca="false">IF(INDEX(BookTitle,389)="","",INDEX(BookRank,389))</f>
        <v/>
      </c>
      <c r="I394" s="41" t="str">
        <f aca="false">IF(INDEX(BookTitle,389)="","",INDEX(BookTotal,389))</f>
        <v/>
      </c>
      <c r="J394" s="0" t="str">
        <f aca="false">IF($I394="","",IF(INDEX(BookQ1,389)&gt;0,"Q1",IF(INDEX(BookQ2,389)&gt;0,"Q2",IF(INDEX(BookQ3,389)&gt;0,"Q3",IF(INDEX(BookQ4,389)&gt;0,"Q4","")))))</f>
        <v/>
      </c>
      <c r="K394" s="42" t="str">
        <f aca="false">IF(INDEX(BookTitle,389)="","",INDEX(BookInYear,389))</f>
        <v/>
      </c>
      <c r="L394" s="19"/>
      <c r="M394" s="39"/>
      <c r="N394" s="19"/>
      <c r="O394" s="19"/>
      <c r="P394" s="43" t="str">
        <f aca="false">IF($E394="","",IF($L394="Decline",0,IF($L394="Approve fewer",IF($M394="","",$M394),IF($L394="","",$I394))))</f>
        <v/>
      </c>
      <c r="Q394" s="34" t="str">
        <f aca="false">IF($P394="","",IF($N394&lt;&gt;"",$N394,$J394))</f>
        <v/>
      </c>
      <c r="R394" s="35" t="str">
        <f aca="false">IF(OR($P394="",$Q394=""),"",INDEX(BookRate,389)*$P394*(5-MATCH($Q394,{"Q1";"Q2";"Q3";"Q4"},0))/4+INDEX(BookOneOff,389)*$P394)</f>
        <v/>
      </c>
      <c r="S394" s="35" t="str">
        <f aca="false">IF($P394="","",INDEX(BookRate,389)*$P394)</f>
        <v/>
      </c>
      <c r="T394" s="35" t="str">
        <f aca="false">IF($R394="","",$R394-$K394)</f>
        <v/>
      </c>
      <c r="U394" s="35" t="str">
        <f aca="false">IF(N($P394)&lt;=0,"",COUNTIF($P$6:$P394,"&gt;0"))</f>
        <v/>
      </c>
    </row>
    <row r="395" customFormat="false" ht="15" hidden="false" customHeight="false" outlineLevel="0" collapsed="false">
      <c r="A395" s="40" t="str">
        <f aca="false">IF(INDEX(BookTitle,390)="","",INDEX(BookGroup,390))</f>
        <v/>
      </c>
      <c r="B395" s="40" t="str">
        <f aca="false">IF(INDEX(BookTitle,390)="","",INDEX(BookRef,390))</f>
        <v/>
      </c>
      <c r="C395" s="40" t="str">
        <f aca="false">IF(INDEX(BookTitle,390)="","",INDEX(BookDivision,390))</f>
        <v/>
      </c>
      <c r="D395" s="40" t="str">
        <f aca="false">IF(INDEX(BookTitle,390)="","",INDEX(BookUnit,390))</f>
        <v/>
      </c>
      <c r="E395" s="40" t="str">
        <f aca="false">IF(INDEX(BookTitle,390)="","",INDEX(BookTitle,390))</f>
        <v/>
      </c>
      <c r="F395" s="40" t="str">
        <f aca="false">IF(INDEX(BookTitle,390)="","",INDEX(BookLevel,390))</f>
        <v/>
      </c>
      <c r="G395" s="40" t="str">
        <f aca="false">IF(INDEX(BookTitle,390)="","",INDEX(BookCategory,390))</f>
        <v/>
      </c>
      <c r="H395" s="40" t="str">
        <f aca="false">IF(INDEX(BookTitle,390)="","",INDEX(BookRank,390))</f>
        <v/>
      </c>
      <c r="I395" s="41" t="str">
        <f aca="false">IF(INDEX(BookTitle,390)="","",INDEX(BookTotal,390))</f>
        <v/>
      </c>
      <c r="J395" s="0" t="str">
        <f aca="false">IF($I395="","",IF(INDEX(BookQ1,390)&gt;0,"Q1",IF(INDEX(BookQ2,390)&gt;0,"Q2",IF(INDEX(BookQ3,390)&gt;0,"Q3",IF(INDEX(BookQ4,390)&gt;0,"Q4","")))))</f>
        <v/>
      </c>
      <c r="K395" s="42" t="str">
        <f aca="false">IF(INDEX(BookTitle,390)="","",INDEX(BookInYear,390))</f>
        <v/>
      </c>
      <c r="L395" s="19"/>
      <c r="M395" s="39"/>
      <c r="N395" s="19"/>
      <c r="O395" s="19"/>
      <c r="P395" s="43" t="str">
        <f aca="false">IF($E395="","",IF($L395="Decline",0,IF($L395="Approve fewer",IF($M395="","",$M395),IF($L395="","",$I395))))</f>
        <v/>
      </c>
      <c r="Q395" s="34" t="str">
        <f aca="false">IF($P395="","",IF($N395&lt;&gt;"",$N395,$J395))</f>
        <v/>
      </c>
      <c r="R395" s="35" t="str">
        <f aca="false">IF(OR($P395="",$Q395=""),"",INDEX(BookRate,390)*$P395*(5-MATCH($Q395,{"Q1";"Q2";"Q3";"Q4"},0))/4+INDEX(BookOneOff,390)*$P395)</f>
        <v/>
      </c>
      <c r="S395" s="35" t="str">
        <f aca="false">IF($P395="","",INDEX(BookRate,390)*$P395)</f>
        <v/>
      </c>
      <c r="T395" s="35" t="str">
        <f aca="false">IF($R395="","",$R395-$K395)</f>
        <v/>
      </c>
      <c r="U395" s="35" t="str">
        <f aca="false">IF(N($P395)&lt;=0,"",COUNTIF($P$6:$P395,"&gt;0"))</f>
        <v/>
      </c>
    </row>
    <row r="396" customFormat="false" ht="15" hidden="false" customHeight="false" outlineLevel="0" collapsed="false">
      <c r="A396" s="40" t="str">
        <f aca="false">IF(INDEX(BookTitle,391)="","",INDEX(BookGroup,391))</f>
        <v/>
      </c>
      <c r="B396" s="40" t="str">
        <f aca="false">IF(INDEX(BookTitle,391)="","",INDEX(BookRef,391))</f>
        <v/>
      </c>
      <c r="C396" s="40" t="str">
        <f aca="false">IF(INDEX(BookTitle,391)="","",INDEX(BookDivision,391))</f>
        <v/>
      </c>
      <c r="D396" s="40" t="str">
        <f aca="false">IF(INDEX(BookTitle,391)="","",INDEX(BookUnit,391))</f>
        <v/>
      </c>
      <c r="E396" s="40" t="str">
        <f aca="false">IF(INDEX(BookTitle,391)="","",INDEX(BookTitle,391))</f>
        <v/>
      </c>
      <c r="F396" s="40" t="str">
        <f aca="false">IF(INDEX(BookTitle,391)="","",INDEX(BookLevel,391))</f>
        <v/>
      </c>
      <c r="G396" s="40" t="str">
        <f aca="false">IF(INDEX(BookTitle,391)="","",INDEX(BookCategory,391))</f>
        <v/>
      </c>
      <c r="H396" s="40" t="str">
        <f aca="false">IF(INDEX(BookTitle,391)="","",INDEX(BookRank,391))</f>
        <v/>
      </c>
      <c r="I396" s="41" t="str">
        <f aca="false">IF(INDEX(BookTitle,391)="","",INDEX(BookTotal,391))</f>
        <v/>
      </c>
      <c r="J396" s="0" t="str">
        <f aca="false">IF($I396="","",IF(INDEX(BookQ1,391)&gt;0,"Q1",IF(INDEX(BookQ2,391)&gt;0,"Q2",IF(INDEX(BookQ3,391)&gt;0,"Q3",IF(INDEX(BookQ4,391)&gt;0,"Q4","")))))</f>
        <v/>
      </c>
      <c r="K396" s="42" t="str">
        <f aca="false">IF(INDEX(BookTitle,391)="","",INDEX(BookInYear,391))</f>
        <v/>
      </c>
      <c r="L396" s="19"/>
      <c r="M396" s="39"/>
      <c r="N396" s="19"/>
      <c r="O396" s="19"/>
      <c r="P396" s="43" t="str">
        <f aca="false">IF($E396="","",IF($L396="Decline",0,IF($L396="Approve fewer",IF($M396="","",$M396),IF($L396="","",$I396))))</f>
        <v/>
      </c>
      <c r="Q396" s="34" t="str">
        <f aca="false">IF($P396="","",IF($N396&lt;&gt;"",$N396,$J396))</f>
        <v/>
      </c>
      <c r="R396" s="35" t="str">
        <f aca="false">IF(OR($P396="",$Q396=""),"",INDEX(BookRate,391)*$P396*(5-MATCH($Q396,{"Q1";"Q2";"Q3";"Q4"},0))/4+INDEX(BookOneOff,391)*$P396)</f>
        <v/>
      </c>
      <c r="S396" s="35" t="str">
        <f aca="false">IF($P396="","",INDEX(BookRate,391)*$P396)</f>
        <v/>
      </c>
      <c r="T396" s="35" t="str">
        <f aca="false">IF($R396="","",$R396-$K396)</f>
        <v/>
      </c>
      <c r="U396" s="35" t="str">
        <f aca="false">IF(N($P396)&lt;=0,"",COUNTIF($P$6:$P396,"&gt;0"))</f>
        <v/>
      </c>
    </row>
    <row r="397" customFormat="false" ht="15" hidden="false" customHeight="false" outlineLevel="0" collapsed="false">
      <c r="A397" s="40" t="str">
        <f aca="false">IF(INDEX(BookTitle,392)="","",INDEX(BookGroup,392))</f>
        <v/>
      </c>
      <c r="B397" s="40" t="str">
        <f aca="false">IF(INDEX(BookTitle,392)="","",INDEX(BookRef,392))</f>
        <v/>
      </c>
      <c r="C397" s="40" t="str">
        <f aca="false">IF(INDEX(BookTitle,392)="","",INDEX(BookDivision,392))</f>
        <v/>
      </c>
      <c r="D397" s="40" t="str">
        <f aca="false">IF(INDEX(BookTitle,392)="","",INDEX(BookUnit,392))</f>
        <v/>
      </c>
      <c r="E397" s="40" t="str">
        <f aca="false">IF(INDEX(BookTitle,392)="","",INDEX(BookTitle,392))</f>
        <v/>
      </c>
      <c r="F397" s="40" t="str">
        <f aca="false">IF(INDEX(BookTitle,392)="","",INDEX(BookLevel,392))</f>
        <v/>
      </c>
      <c r="G397" s="40" t="str">
        <f aca="false">IF(INDEX(BookTitle,392)="","",INDEX(BookCategory,392))</f>
        <v/>
      </c>
      <c r="H397" s="40" t="str">
        <f aca="false">IF(INDEX(BookTitle,392)="","",INDEX(BookRank,392))</f>
        <v/>
      </c>
      <c r="I397" s="41" t="str">
        <f aca="false">IF(INDEX(BookTitle,392)="","",INDEX(BookTotal,392))</f>
        <v/>
      </c>
      <c r="J397" s="0" t="str">
        <f aca="false">IF($I397="","",IF(INDEX(BookQ1,392)&gt;0,"Q1",IF(INDEX(BookQ2,392)&gt;0,"Q2",IF(INDEX(BookQ3,392)&gt;0,"Q3",IF(INDEX(BookQ4,392)&gt;0,"Q4","")))))</f>
        <v/>
      </c>
      <c r="K397" s="42" t="str">
        <f aca="false">IF(INDEX(BookTitle,392)="","",INDEX(BookInYear,392))</f>
        <v/>
      </c>
      <c r="L397" s="19"/>
      <c r="M397" s="39"/>
      <c r="N397" s="19"/>
      <c r="O397" s="19"/>
      <c r="P397" s="43" t="str">
        <f aca="false">IF($E397="","",IF($L397="Decline",0,IF($L397="Approve fewer",IF($M397="","",$M397),IF($L397="","",$I397))))</f>
        <v/>
      </c>
      <c r="Q397" s="34" t="str">
        <f aca="false">IF($P397="","",IF($N397&lt;&gt;"",$N397,$J397))</f>
        <v/>
      </c>
      <c r="R397" s="35" t="str">
        <f aca="false">IF(OR($P397="",$Q397=""),"",INDEX(BookRate,392)*$P397*(5-MATCH($Q397,{"Q1";"Q2";"Q3";"Q4"},0))/4+INDEX(BookOneOff,392)*$P397)</f>
        <v/>
      </c>
      <c r="S397" s="35" t="str">
        <f aca="false">IF($P397="","",INDEX(BookRate,392)*$P397)</f>
        <v/>
      </c>
      <c r="T397" s="35" t="str">
        <f aca="false">IF($R397="","",$R397-$K397)</f>
        <v/>
      </c>
      <c r="U397" s="35" t="str">
        <f aca="false">IF(N($P397)&lt;=0,"",COUNTIF($P$6:$P397,"&gt;0"))</f>
        <v/>
      </c>
    </row>
    <row r="398" customFormat="false" ht="15" hidden="false" customHeight="false" outlineLevel="0" collapsed="false">
      <c r="A398" s="40" t="str">
        <f aca="false">IF(INDEX(BookTitle,393)="","",INDEX(BookGroup,393))</f>
        <v/>
      </c>
      <c r="B398" s="40" t="str">
        <f aca="false">IF(INDEX(BookTitle,393)="","",INDEX(BookRef,393))</f>
        <v/>
      </c>
      <c r="C398" s="40" t="str">
        <f aca="false">IF(INDEX(BookTitle,393)="","",INDEX(BookDivision,393))</f>
        <v/>
      </c>
      <c r="D398" s="40" t="str">
        <f aca="false">IF(INDEX(BookTitle,393)="","",INDEX(BookUnit,393))</f>
        <v/>
      </c>
      <c r="E398" s="40" t="str">
        <f aca="false">IF(INDEX(BookTitle,393)="","",INDEX(BookTitle,393))</f>
        <v/>
      </c>
      <c r="F398" s="40" t="str">
        <f aca="false">IF(INDEX(BookTitle,393)="","",INDEX(BookLevel,393))</f>
        <v/>
      </c>
      <c r="G398" s="40" t="str">
        <f aca="false">IF(INDEX(BookTitle,393)="","",INDEX(BookCategory,393))</f>
        <v/>
      </c>
      <c r="H398" s="40" t="str">
        <f aca="false">IF(INDEX(BookTitle,393)="","",INDEX(BookRank,393))</f>
        <v/>
      </c>
      <c r="I398" s="41" t="str">
        <f aca="false">IF(INDEX(BookTitle,393)="","",INDEX(BookTotal,393))</f>
        <v/>
      </c>
      <c r="J398" s="0" t="str">
        <f aca="false">IF($I398="","",IF(INDEX(BookQ1,393)&gt;0,"Q1",IF(INDEX(BookQ2,393)&gt;0,"Q2",IF(INDEX(BookQ3,393)&gt;0,"Q3",IF(INDEX(BookQ4,393)&gt;0,"Q4","")))))</f>
        <v/>
      </c>
      <c r="K398" s="42" t="str">
        <f aca="false">IF(INDEX(BookTitle,393)="","",INDEX(BookInYear,393))</f>
        <v/>
      </c>
      <c r="L398" s="19"/>
      <c r="M398" s="39"/>
      <c r="N398" s="19"/>
      <c r="O398" s="19"/>
      <c r="P398" s="43" t="str">
        <f aca="false">IF($E398="","",IF($L398="Decline",0,IF($L398="Approve fewer",IF($M398="","",$M398),IF($L398="","",$I398))))</f>
        <v/>
      </c>
      <c r="Q398" s="34" t="str">
        <f aca="false">IF($P398="","",IF($N398&lt;&gt;"",$N398,$J398))</f>
        <v/>
      </c>
      <c r="R398" s="35" t="str">
        <f aca="false">IF(OR($P398="",$Q398=""),"",INDEX(BookRate,393)*$P398*(5-MATCH($Q398,{"Q1";"Q2";"Q3";"Q4"},0))/4+INDEX(BookOneOff,393)*$P398)</f>
        <v/>
      </c>
      <c r="S398" s="35" t="str">
        <f aca="false">IF($P398="","",INDEX(BookRate,393)*$P398)</f>
        <v/>
      </c>
      <c r="T398" s="35" t="str">
        <f aca="false">IF($R398="","",$R398-$K398)</f>
        <v/>
      </c>
      <c r="U398" s="35" t="str">
        <f aca="false">IF(N($P398)&lt;=0,"",COUNTIF($P$6:$P398,"&gt;0"))</f>
        <v/>
      </c>
    </row>
    <row r="399" customFormat="false" ht="15" hidden="false" customHeight="false" outlineLevel="0" collapsed="false">
      <c r="A399" s="40" t="str">
        <f aca="false">IF(INDEX(BookTitle,394)="","",INDEX(BookGroup,394))</f>
        <v/>
      </c>
      <c r="B399" s="40" t="str">
        <f aca="false">IF(INDEX(BookTitle,394)="","",INDEX(BookRef,394))</f>
        <v/>
      </c>
      <c r="C399" s="40" t="str">
        <f aca="false">IF(INDEX(BookTitle,394)="","",INDEX(BookDivision,394))</f>
        <v/>
      </c>
      <c r="D399" s="40" t="str">
        <f aca="false">IF(INDEX(BookTitle,394)="","",INDEX(BookUnit,394))</f>
        <v/>
      </c>
      <c r="E399" s="40" t="str">
        <f aca="false">IF(INDEX(BookTitle,394)="","",INDEX(BookTitle,394))</f>
        <v/>
      </c>
      <c r="F399" s="40" t="str">
        <f aca="false">IF(INDEX(BookTitle,394)="","",INDEX(BookLevel,394))</f>
        <v/>
      </c>
      <c r="G399" s="40" t="str">
        <f aca="false">IF(INDEX(BookTitle,394)="","",INDEX(BookCategory,394))</f>
        <v/>
      </c>
      <c r="H399" s="40" t="str">
        <f aca="false">IF(INDEX(BookTitle,394)="","",INDEX(BookRank,394))</f>
        <v/>
      </c>
      <c r="I399" s="41" t="str">
        <f aca="false">IF(INDEX(BookTitle,394)="","",INDEX(BookTotal,394))</f>
        <v/>
      </c>
      <c r="J399" s="0" t="str">
        <f aca="false">IF($I399="","",IF(INDEX(BookQ1,394)&gt;0,"Q1",IF(INDEX(BookQ2,394)&gt;0,"Q2",IF(INDEX(BookQ3,394)&gt;0,"Q3",IF(INDEX(BookQ4,394)&gt;0,"Q4","")))))</f>
        <v/>
      </c>
      <c r="K399" s="42" t="str">
        <f aca="false">IF(INDEX(BookTitle,394)="","",INDEX(BookInYear,394))</f>
        <v/>
      </c>
      <c r="L399" s="19"/>
      <c r="M399" s="39"/>
      <c r="N399" s="19"/>
      <c r="O399" s="19"/>
      <c r="P399" s="43" t="str">
        <f aca="false">IF($E399="","",IF($L399="Decline",0,IF($L399="Approve fewer",IF($M399="","",$M399),IF($L399="","",$I399))))</f>
        <v/>
      </c>
      <c r="Q399" s="34" t="str">
        <f aca="false">IF($P399="","",IF($N399&lt;&gt;"",$N399,$J399))</f>
        <v/>
      </c>
      <c r="R399" s="35" t="str">
        <f aca="false">IF(OR($P399="",$Q399=""),"",INDEX(BookRate,394)*$P399*(5-MATCH($Q399,{"Q1";"Q2";"Q3";"Q4"},0))/4+INDEX(BookOneOff,394)*$P399)</f>
        <v/>
      </c>
      <c r="S399" s="35" t="str">
        <f aca="false">IF($P399="","",INDEX(BookRate,394)*$P399)</f>
        <v/>
      </c>
      <c r="T399" s="35" t="str">
        <f aca="false">IF($R399="","",$R399-$K399)</f>
        <v/>
      </c>
      <c r="U399" s="35" t="str">
        <f aca="false">IF(N($P399)&lt;=0,"",COUNTIF($P$6:$P399,"&gt;0"))</f>
        <v/>
      </c>
    </row>
    <row r="400" customFormat="false" ht="15" hidden="false" customHeight="false" outlineLevel="0" collapsed="false">
      <c r="A400" s="40" t="str">
        <f aca="false">IF(INDEX(BookTitle,395)="","",INDEX(BookGroup,395))</f>
        <v/>
      </c>
      <c r="B400" s="40" t="str">
        <f aca="false">IF(INDEX(BookTitle,395)="","",INDEX(BookRef,395))</f>
        <v/>
      </c>
      <c r="C400" s="40" t="str">
        <f aca="false">IF(INDEX(BookTitle,395)="","",INDEX(BookDivision,395))</f>
        <v/>
      </c>
      <c r="D400" s="40" t="str">
        <f aca="false">IF(INDEX(BookTitle,395)="","",INDEX(BookUnit,395))</f>
        <v/>
      </c>
      <c r="E400" s="40" t="str">
        <f aca="false">IF(INDEX(BookTitle,395)="","",INDEX(BookTitle,395))</f>
        <v/>
      </c>
      <c r="F400" s="40" t="str">
        <f aca="false">IF(INDEX(BookTitle,395)="","",INDEX(BookLevel,395))</f>
        <v/>
      </c>
      <c r="G400" s="40" t="str">
        <f aca="false">IF(INDEX(BookTitle,395)="","",INDEX(BookCategory,395))</f>
        <v/>
      </c>
      <c r="H400" s="40" t="str">
        <f aca="false">IF(INDEX(BookTitle,395)="","",INDEX(BookRank,395))</f>
        <v/>
      </c>
      <c r="I400" s="41" t="str">
        <f aca="false">IF(INDEX(BookTitle,395)="","",INDEX(BookTotal,395))</f>
        <v/>
      </c>
      <c r="J400" s="0" t="str">
        <f aca="false">IF($I400="","",IF(INDEX(BookQ1,395)&gt;0,"Q1",IF(INDEX(BookQ2,395)&gt;0,"Q2",IF(INDEX(BookQ3,395)&gt;0,"Q3",IF(INDEX(BookQ4,395)&gt;0,"Q4","")))))</f>
        <v/>
      </c>
      <c r="K400" s="42" t="str">
        <f aca="false">IF(INDEX(BookTitle,395)="","",INDEX(BookInYear,395))</f>
        <v/>
      </c>
      <c r="L400" s="19"/>
      <c r="M400" s="39"/>
      <c r="N400" s="19"/>
      <c r="O400" s="19"/>
      <c r="P400" s="43" t="str">
        <f aca="false">IF($E400="","",IF($L400="Decline",0,IF($L400="Approve fewer",IF($M400="","",$M400),IF($L400="","",$I400))))</f>
        <v/>
      </c>
      <c r="Q400" s="34" t="str">
        <f aca="false">IF($P400="","",IF($N400&lt;&gt;"",$N400,$J400))</f>
        <v/>
      </c>
      <c r="R400" s="35" t="str">
        <f aca="false">IF(OR($P400="",$Q400=""),"",INDEX(BookRate,395)*$P400*(5-MATCH($Q400,{"Q1";"Q2";"Q3";"Q4"},0))/4+INDEX(BookOneOff,395)*$P400)</f>
        <v/>
      </c>
      <c r="S400" s="35" t="str">
        <f aca="false">IF($P400="","",INDEX(BookRate,395)*$P400)</f>
        <v/>
      </c>
      <c r="T400" s="35" t="str">
        <f aca="false">IF($R400="","",$R400-$K400)</f>
        <v/>
      </c>
      <c r="U400" s="35" t="str">
        <f aca="false">IF(N($P400)&lt;=0,"",COUNTIF($P$6:$P400,"&gt;0"))</f>
        <v/>
      </c>
    </row>
    <row r="401" customFormat="false" ht="15" hidden="false" customHeight="false" outlineLevel="0" collapsed="false">
      <c r="A401" s="40" t="str">
        <f aca="false">IF(INDEX(BookTitle,396)="","",INDEX(BookGroup,396))</f>
        <v/>
      </c>
      <c r="B401" s="40" t="str">
        <f aca="false">IF(INDEX(BookTitle,396)="","",INDEX(BookRef,396))</f>
        <v/>
      </c>
      <c r="C401" s="40" t="str">
        <f aca="false">IF(INDEX(BookTitle,396)="","",INDEX(BookDivision,396))</f>
        <v/>
      </c>
      <c r="D401" s="40" t="str">
        <f aca="false">IF(INDEX(BookTitle,396)="","",INDEX(BookUnit,396))</f>
        <v/>
      </c>
      <c r="E401" s="40" t="str">
        <f aca="false">IF(INDEX(BookTitle,396)="","",INDEX(BookTitle,396))</f>
        <v/>
      </c>
      <c r="F401" s="40" t="str">
        <f aca="false">IF(INDEX(BookTitle,396)="","",INDEX(BookLevel,396))</f>
        <v/>
      </c>
      <c r="G401" s="40" t="str">
        <f aca="false">IF(INDEX(BookTitle,396)="","",INDEX(BookCategory,396))</f>
        <v/>
      </c>
      <c r="H401" s="40" t="str">
        <f aca="false">IF(INDEX(BookTitle,396)="","",INDEX(BookRank,396))</f>
        <v/>
      </c>
      <c r="I401" s="41" t="str">
        <f aca="false">IF(INDEX(BookTitle,396)="","",INDEX(BookTotal,396))</f>
        <v/>
      </c>
      <c r="J401" s="0" t="str">
        <f aca="false">IF($I401="","",IF(INDEX(BookQ1,396)&gt;0,"Q1",IF(INDEX(BookQ2,396)&gt;0,"Q2",IF(INDEX(BookQ3,396)&gt;0,"Q3",IF(INDEX(BookQ4,396)&gt;0,"Q4","")))))</f>
        <v/>
      </c>
      <c r="K401" s="42" t="str">
        <f aca="false">IF(INDEX(BookTitle,396)="","",INDEX(BookInYear,396))</f>
        <v/>
      </c>
      <c r="L401" s="19"/>
      <c r="M401" s="39"/>
      <c r="N401" s="19"/>
      <c r="O401" s="19"/>
      <c r="P401" s="43" t="str">
        <f aca="false">IF($E401="","",IF($L401="Decline",0,IF($L401="Approve fewer",IF($M401="","",$M401),IF($L401="","",$I401))))</f>
        <v/>
      </c>
      <c r="Q401" s="34" t="str">
        <f aca="false">IF($P401="","",IF($N401&lt;&gt;"",$N401,$J401))</f>
        <v/>
      </c>
      <c r="R401" s="35" t="str">
        <f aca="false">IF(OR($P401="",$Q401=""),"",INDEX(BookRate,396)*$P401*(5-MATCH($Q401,{"Q1";"Q2";"Q3";"Q4"},0))/4+INDEX(BookOneOff,396)*$P401)</f>
        <v/>
      </c>
      <c r="S401" s="35" t="str">
        <f aca="false">IF($P401="","",INDEX(BookRate,396)*$P401)</f>
        <v/>
      </c>
      <c r="T401" s="35" t="str">
        <f aca="false">IF($R401="","",$R401-$K401)</f>
        <v/>
      </c>
      <c r="U401" s="35" t="str">
        <f aca="false">IF(N($P401)&lt;=0,"",COUNTIF($P$6:$P401,"&gt;0"))</f>
        <v/>
      </c>
    </row>
    <row r="402" customFormat="false" ht="15" hidden="false" customHeight="false" outlineLevel="0" collapsed="false">
      <c r="A402" s="40" t="str">
        <f aca="false">IF(INDEX(BookTitle,397)="","",INDEX(BookGroup,397))</f>
        <v/>
      </c>
      <c r="B402" s="40" t="str">
        <f aca="false">IF(INDEX(BookTitle,397)="","",INDEX(BookRef,397))</f>
        <v/>
      </c>
      <c r="C402" s="40" t="str">
        <f aca="false">IF(INDEX(BookTitle,397)="","",INDEX(BookDivision,397))</f>
        <v/>
      </c>
      <c r="D402" s="40" t="str">
        <f aca="false">IF(INDEX(BookTitle,397)="","",INDEX(BookUnit,397))</f>
        <v/>
      </c>
      <c r="E402" s="40" t="str">
        <f aca="false">IF(INDEX(BookTitle,397)="","",INDEX(BookTitle,397))</f>
        <v/>
      </c>
      <c r="F402" s="40" t="str">
        <f aca="false">IF(INDEX(BookTitle,397)="","",INDEX(BookLevel,397))</f>
        <v/>
      </c>
      <c r="G402" s="40" t="str">
        <f aca="false">IF(INDEX(BookTitle,397)="","",INDEX(BookCategory,397))</f>
        <v/>
      </c>
      <c r="H402" s="40" t="str">
        <f aca="false">IF(INDEX(BookTitle,397)="","",INDEX(BookRank,397))</f>
        <v/>
      </c>
      <c r="I402" s="41" t="str">
        <f aca="false">IF(INDEX(BookTitle,397)="","",INDEX(BookTotal,397))</f>
        <v/>
      </c>
      <c r="J402" s="0" t="str">
        <f aca="false">IF($I402="","",IF(INDEX(BookQ1,397)&gt;0,"Q1",IF(INDEX(BookQ2,397)&gt;0,"Q2",IF(INDEX(BookQ3,397)&gt;0,"Q3",IF(INDEX(BookQ4,397)&gt;0,"Q4","")))))</f>
        <v/>
      </c>
      <c r="K402" s="42" t="str">
        <f aca="false">IF(INDEX(BookTitle,397)="","",INDEX(BookInYear,397))</f>
        <v/>
      </c>
      <c r="L402" s="19"/>
      <c r="M402" s="39"/>
      <c r="N402" s="19"/>
      <c r="O402" s="19"/>
      <c r="P402" s="43" t="str">
        <f aca="false">IF($E402="","",IF($L402="Decline",0,IF($L402="Approve fewer",IF($M402="","",$M402),IF($L402="","",$I402))))</f>
        <v/>
      </c>
      <c r="Q402" s="34" t="str">
        <f aca="false">IF($P402="","",IF($N402&lt;&gt;"",$N402,$J402))</f>
        <v/>
      </c>
      <c r="R402" s="35" t="str">
        <f aca="false">IF(OR($P402="",$Q402=""),"",INDEX(BookRate,397)*$P402*(5-MATCH($Q402,{"Q1";"Q2";"Q3";"Q4"},0))/4+INDEX(BookOneOff,397)*$P402)</f>
        <v/>
      </c>
      <c r="S402" s="35" t="str">
        <f aca="false">IF($P402="","",INDEX(BookRate,397)*$P402)</f>
        <v/>
      </c>
      <c r="T402" s="35" t="str">
        <f aca="false">IF($R402="","",$R402-$K402)</f>
        <v/>
      </c>
      <c r="U402" s="35" t="str">
        <f aca="false">IF(N($P402)&lt;=0,"",COUNTIF($P$6:$P402,"&gt;0"))</f>
        <v/>
      </c>
    </row>
    <row r="403" customFormat="false" ht="15" hidden="false" customHeight="false" outlineLevel="0" collapsed="false">
      <c r="A403" s="40" t="str">
        <f aca="false">IF(INDEX(BookTitle,398)="","",INDEX(BookGroup,398))</f>
        <v/>
      </c>
      <c r="B403" s="40" t="str">
        <f aca="false">IF(INDEX(BookTitle,398)="","",INDEX(BookRef,398))</f>
        <v/>
      </c>
      <c r="C403" s="40" t="str">
        <f aca="false">IF(INDEX(BookTitle,398)="","",INDEX(BookDivision,398))</f>
        <v/>
      </c>
      <c r="D403" s="40" t="str">
        <f aca="false">IF(INDEX(BookTitle,398)="","",INDEX(BookUnit,398))</f>
        <v/>
      </c>
      <c r="E403" s="40" t="str">
        <f aca="false">IF(INDEX(BookTitle,398)="","",INDEX(BookTitle,398))</f>
        <v/>
      </c>
      <c r="F403" s="40" t="str">
        <f aca="false">IF(INDEX(BookTitle,398)="","",INDEX(BookLevel,398))</f>
        <v/>
      </c>
      <c r="G403" s="40" t="str">
        <f aca="false">IF(INDEX(BookTitle,398)="","",INDEX(BookCategory,398))</f>
        <v/>
      </c>
      <c r="H403" s="40" t="str">
        <f aca="false">IF(INDEX(BookTitle,398)="","",INDEX(BookRank,398))</f>
        <v/>
      </c>
      <c r="I403" s="41" t="str">
        <f aca="false">IF(INDEX(BookTitle,398)="","",INDEX(BookTotal,398))</f>
        <v/>
      </c>
      <c r="J403" s="0" t="str">
        <f aca="false">IF($I403="","",IF(INDEX(BookQ1,398)&gt;0,"Q1",IF(INDEX(BookQ2,398)&gt;0,"Q2",IF(INDEX(BookQ3,398)&gt;0,"Q3",IF(INDEX(BookQ4,398)&gt;0,"Q4","")))))</f>
        <v/>
      </c>
      <c r="K403" s="42" t="str">
        <f aca="false">IF(INDEX(BookTitle,398)="","",INDEX(BookInYear,398))</f>
        <v/>
      </c>
      <c r="L403" s="19"/>
      <c r="M403" s="39"/>
      <c r="N403" s="19"/>
      <c r="O403" s="19"/>
      <c r="P403" s="43" t="str">
        <f aca="false">IF($E403="","",IF($L403="Decline",0,IF($L403="Approve fewer",IF($M403="","",$M403),IF($L403="","",$I403))))</f>
        <v/>
      </c>
      <c r="Q403" s="34" t="str">
        <f aca="false">IF($P403="","",IF($N403&lt;&gt;"",$N403,$J403))</f>
        <v/>
      </c>
      <c r="R403" s="35" t="str">
        <f aca="false">IF(OR($P403="",$Q403=""),"",INDEX(BookRate,398)*$P403*(5-MATCH($Q403,{"Q1";"Q2";"Q3";"Q4"},0))/4+INDEX(BookOneOff,398)*$P403)</f>
        <v/>
      </c>
      <c r="S403" s="35" t="str">
        <f aca="false">IF($P403="","",INDEX(BookRate,398)*$P403)</f>
        <v/>
      </c>
      <c r="T403" s="35" t="str">
        <f aca="false">IF($R403="","",$R403-$K403)</f>
        <v/>
      </c>
      <c r="U403" s="35" t="str">
        <f aca="false">IF(N($P403)&lt;=0,"",COUNTIF($P$6:$P403,"&gt;0"))</f>
        <v/>
      </c>
    </row>
    <row r="404" customFormat="false" ht="15" hidden="false" customHeight="false" outlineLevel="0" collapsed="false">
      <c r="A404" s="40" t="str">
        <f aca="false">IF(INDEX(BookTitle,399)="","",INDEX(BookGroup,399))</f>
        <v/>
      </c>
      <c r="B404" s="40" t="str">
        <f aca="false">IF(INDEX(BookTitle,399)="","",INDEX(BookRef,399))</f>
        <v/>
      </c>
      <c r="C404" s="40" t="str">
        <f aca="false">IF(INDEX(BookTitle,399)="","",INDEX(BookDivision,399))</f>
        <v/>
      </c>
      <c r="D404" s="40" t="str">
        <f aca="false">IF(INDEX(BookTitle,399)="","",INDEX(BookUnit,399))</f>
        <v/>
      </c>
      <c r="E404" s="40" t="str">
        <f aca="false">IF(INDEX(BookTitle,399)="","",INDEX(BookTitle,399))</f>
        <v/>
      </c>
      <c r="F404" s="40" t="str">
        <f aca="false">IF(INDEX(BookTitle,399)="","",INDEX(BookLevel,399))</f>
        <v/>
      </c>
      <c r="G404" s="40" t="str">
        <f aca="false">IF(INDEX(BookTitle,399)="","",INDEX(BookCategory,399))</f>
        <v/>
      </c>
      <c r="H404" s="40" t="str">
        <f aca="false">IF(INDEX(BookTitle,399)="","",INDEX(BookRank,399))</f>
        <v/>
      </c>
      <c r="I404" s="41" t="str">
        <f aca="false">IF(INDEX(BookTitle,399)="","",INDEX(BookTotal,399))</f>
        <v/>
      </c>
      <c r="J404" s="0" t="str">
        <f aca="false">IF($I404="","",IF(INDEX(BookQ1,399)&gt;0,"Q1",IF(INDEX(BookQ2,399)&gt;0,"Q2",IF(INDEX(BookQ3,399)&gt;0,"Q3",IF(INDEX(BookQ4,399)&gt;0,"Q4","")))))</f>
        <v/>
      </c>
      <c r="K404" s="42" t="str">
        <f aca="false">IF(INDEX(BookTitle,399)="","",INDEX(BookInYear,399))</f>
        <v/>
      </c>
      <c r="L404" s="19"/>
      <c r="M404" s="39"/>
      <c r="N404" s="19"/>
      <c r="O404" s="19"/>
      <c r="P404" s="43" t="str">
        <f aca="false">IF($E404="","",IF($L404="Decline",0,IF($L404="Approve fewer",IF($M404="","",$M404),IF($L404="","",$I404))))</f>
        <v/>
      </c>
      <c r="Q404" s="34" t="str">
        <f aca="false">IF($P404="","",IF($N404&lt;&gt;"",$N404,$J404))</f>
        <v/>
      </c>
      <c r="R404" s="35" t="str">
        <f aca="false">IF(OR($P404="",$Q404=""),"",INDEX(BookRate,399)*$P404*(5-MATCH($Q404,{"Q1";"Q2";"Q3";"Q4"},0))/4+INDEX(BookOneOff,399)*$P404)</f>
        <v/>
      </c>
      <c r="S404" s="35" t="str">
        <f aca="false">IF($P404="","",INDEX(BookRate,399)*$P404)</f>
        <v/>
      </c>
      <c r="T404" s="35" t="str">
        <f aca="false">IF($R404="","",$R404-$K404)</f>
        <v/>
      </c>
      <c r="U404" s="35" t="str">
        <f aca="false">IF(N($P404)&lt;=0,"",COUNTIF($P$6:$P404,"&gt;0"))</f>
        <v/>
      </c>
    </row>
    <row r="405" customFormat="false" ht="15" hidden="false" customHeight="false" outlineLevel="0" collapsed="false">
      <c r="A405" s="40" t="str">
        <f aca="false">IF(INDEX(BookTitle,400)="","",INDEX(BookGroup,400))</f>
        <v/>
      </c>
      <c r="B405" s="40" t="str">
        <f aca="false">IF(INDEX(BookTitle,400)="","",INDEX(BookRef,400))</f>
        <v/>
      </c>
      <c r="C405" s="40" t="str">
        <f aca="false">IF(INDEX(BookTitle,400)="","",INDEX(BookDivision,400))</f>
        <v/>
      </c>
      <c r="D405" s="40" t="str">
        <f aca="false">IF(INDEX(BookTitle,400)="","",INDEX(BookUnit,400))</f>
        <v/>
      </c>
      <c r="E405" s="40" t="str">
        <f aca="false">IF(INDEX(BookTitle,400)="","",INDEX(BookTitle,400))</f>
        <v/>
      </c>
      <c r="F405" s="40" t="str">
        <f aca="false">IF(INDEX(BookTitle,400)="","",INDEX(BookLevel,400))</f>
        <v/>
      </c>
      <c r="G405" s="40" t="str">
        <f aca="false">IF(INDEX(BookTitle,400)="","",INDEX(BookCategory,400))</f>
        <v/>
      </c>
      <c r="H405" s="40" t="str">
        <f aca="false">IF(INDEX(BookTitle,400)="","",INDEX(BookRank,400))</f>
        <v/>
      </c>
      <c r="I405" s="41" t="str">
        <f aca="false">IF(INDEX(BookTitle,400)="","",INDEX(BookTotal,400))</f>
        <v/>
      </c>
      <c r="J405" s="0" t="str">
        <f aca="false">IF($I405="","",IF(INDEX(BookQ1,400)&gt;0,"Q1",IF(INDEX(BookQ2,400)&gt;0,"Q2",IF(INDEX(BookQ3,400)&gt;0,"Q3",IF(INDEX(BookQ4,400)&gt;0,"Q4","")))))</f>
        <v/>
      </c>
      <c r="K405" s="42" t="str">
        <f aca="false">IF(INDEX(BookTitle,400)="","",INDEX(BookInYear,400))</f>
        <v/>
      </c>
      <c r="L405" s="19"/>
      <c r="M405" s="39"/>
      <c r="N405" s="19"/>
      <c r="O405" s="19"/>
      <c r="P405" s="43" t="str">
        <f aca="false">IF($E405="","",IF($L405="Decline",0,IF($L405="Approve fewer",IF($M405="","",$M405),IF($L405="","",$I405))))</f>
        <v/>
      </c>
      <c r="Q405" s="34" t="str">
        <f aca="false">IF($P405="","",IF($N405&lt;&gt;"",$N405,$J405))</f>
        <v/>
      </c>
      <c r="R405" s="35" t="str">
        <f aca="false">IF(OR($P405="",$Q405=""),"",INDEX(BookRate,400)*$P405*(5-MATCH($Q405,{"Q1";"Q2";"Q3";"Q4"},0))/4+INDEX(BookOneOff,400)*$P405)</f>
        <v/>
      </c>
      <c r="S405" s="35" t="str">
        <f aca="false">IF($P405="","",INDEX(BookRate,400)*$P405)</f>
        <v/>
      </c>
      <c r="T405" s="35" t="str">
        <f aca="false">IF($R405="","",$R405-$K405)</f>
        <v/>
      </c>
      <c r="U405" s="35" t="str">
        <f aca="false">IF(N($P405)&lt;=0,"",COUNTIF($P$6:$P405,"&gt;0"))</f>
        <v/>
      </c>
    </row>
    <row r="406" customFormat="false" ht="15" hidden="false" customHeight="false" outlineLevel="0" collapsed="false">
      <c r="A406" s="40" t="str">
        <f aca="false">IF(INDEX(BookTitle,401)="","",INDEX(BookGroup,401))</f>
        <v/>
      </c>
      <c r="B406" s="40" t="str">
        <f aca="false">IF(INDEX(BookTitle,401)="","",INDEX(BookRef,401))</f>
        <v/>
      </c>
      <c r="C406" s="40" t="str">
        <f aca="false">IF(INDEX(BookTitle,401)="","",INDEX(BookDivision,401))</f>
        <v/>
      </c>
      <c r="D406" s="40" t="str">
        <f aca="false">IF(INDEX(BookTitle,401)="","",INDEX(BookUnit,401))</f>
        <v/>
      </c>
      <c r="E406" s="40" t="str">
        <f aca="false">IF(INDEX(BookTitle,401)="","",INDEX(BookTitle,401))</f>
        <v/>
      </c>
      <c r="F406" s="40" t="str">
        <f aca="false">IF(INDEX(BookTitle,401)="","",INDEX(BookLevel,401))</f>
        <v/>
      </c>
      <c r="G406" s="40" t="str">
        <f aca="false">IF(INDEX(BookTitle,401)="","",INDEX(BookCategory,401))</f>
        <v/>
      </c>
      <c r="H406" s="40" t="str">
        <f aca="false">IF(INDEX(BookTitle,401)="","",INDEX(BookRank,401))</f>
        <v/>
      </c>
      <c r="I406" s="41" t="str">
        <f aca="false">IF(INDEX(BookTitle,401)="","",INDEX(BookTotal,401))</f>
        <v/>
      </c>
      <c r="J406" s="0" t="str">
        <f aca="false">IF($I406="","",IF(INDEX(BookQ1,401)&gt;0,"Q1",IF(INDEX(BookQ2,401)&gt;0,"Q2",IF(INDEX(BookQ3,401)&gt;0,"Q3",IF(INDEX(BookQ4,401)&gt;0,"Q4","")))))</f>
        <v/>
      </c>
      <c r="K406" s="42" t="str">
        <f aca="false">IF(INDEX(BookTitle,401)="","",INDEX(BookInYear,401))</f>
        <v/>
      </c>
      <c r="L406" s="19"/>
      <c r="M406" s="39"/>
      <c r="N406" s="19"/>
      <c r="O406" s="19"/>
      <c r="P406" s="43" t="str">
        <f aca="false">IF($E406="","",IF($L406="Decline",0,IF($L406="Approve fewer",IF($M406="","",$M406),IF($L406="","",$I406))))</f>
        <v/>
      </c>
      <c r="Q406" s="34" t="str">
        <f aca="false">IF($P406="","",IF($N406&lt;&gt;"",$N406,$J406))</f>
        <v/>
      </c>
      <c r="R406" s="35" t="str">
        <f aca="false">IF(OR($P406="",$Q406=""),"",INDEX(BookRate,401)*$P406*(5-MATCH($Q406,{"Q1";"Q2";"Q3";"Q4"},0))/4+INDEX(BookOneOff,401)*$P406)</f>
        <v/>
      </c>
      <c r="S406" s="35" t="str">
        <f aca="false">IF($P406="","",INDEX(BookRate,401)*$P406)</f>
        <v/>
      </c>
      <c r="T406" s="35" t="str">
        <f aca="false">IF($R406="","",$R406-$K406)</f>
        <v/>
      </c>
      <c r="U406" s="35" t="str">
        <f aca="false">IF(N($P406)&lt;=0,"",COUNTIF($P$6:$P406,"&gt;0"))</f>
        <v/>
      </c>
    </row>
    <row r="407" customFormat="false" ht="15" hidden="false" customHeight="false" outlineLevel="0" collapsed="false">
      <c r="A407" s="40" t="str">
        <f aca="false">IF(INDEX(BookTitle,402)="","",INDEX(BookGroup,402))</f>
        <v/>
      </c>
      <c r="B407" s="40" t="str">
        <f aca="false">IF(INDEX(BookTitle,402)="","",INDEX(BookRef,402))</f>
        <v/>
      </c>
      <c r="C407" s="40" t="str">
        <f aca="false">IF(INDEX(BookTitle,402)="","",INDEX(BookDivision,402))</f>
        <v/>
      </c>
      <c r="D407" s="40" t="str">
        <f aca="false">IF(INDEX(BookTitle,402)="","",INDEX(BookUnit,402))</f>
        <v/>
      </c>
      <c r="E407" s="40" t="str">
        <f aca="false">IF(INDEX(BookTitle,402)="","",INDEX(BookTitle,402))</f>
        <v/>
      </c>
      <c r="F407" s="40" t="str">
        <f aca="false">IF(INDEX(BookTitle,402)="","",INDEX(BookLevel,402))</f>
        <v/>
      </c>
      <c r="G407" s="40" t="str">
        <f aca="false">IF(INDEX(BookTitle,402)="","",INDEX(BookCategory,402))</f>
        <v/>
      </c>
      <c r="H407" s="40" t="str">
        <f aca="false">IF(INDEX(BookTitle,402)="","",INDEX(BookRank,402))</f>
        <v/>
      </c>
      <c r="I407" s="41" t="str">
        <f aca="false">IF(INDEX(BookTitle,402)="","",INDEX(BookTotal,402))</f>
        <v/>
      </c>
      <c r="J407" s="0" t="str">
        <f aca="false">IF($I407="","",IF(INDEX(BookQ1,402)&gt;0,"Q1",IF(INDEX(BookQ2,402)&gt;0,"Q2",IF(INDEX(BookQ3,402)&gt;0,"Q3",IF(INDEX(BookQ4,402)&gt;0,"Q4","")))))</f>
        <v/>
      </c>
      <c r="K407" s="42" t="str">
        <f aca="false">IF(INDEX(BookTitle,402)="","",INDEX(BookInYear,402))</f>
        <v/>
      </c>
      <c r="L407" s="19"/>
      <c r="M407" s="39"/>
      <c r="N407" s="19"/>
      <c r="O407" s="19"/>
      <c r="P407" s="43" t="str">
        <f aca="false">IF($E407="","",IF($L407="Decline",0,IF($L407="Approve fewer",IF($M407="","",$M407),IF($L407="","",$I407))))</f>
        <v/>
      </c>
      <c r="Q407" s="34" t="str">
        <f aca="false">IF($P407="","",IF($N407&lt;&gt;"",$N407,$J407))</f>
        <v/>
      </c>
      <c r="R407" s="35" t="str">
        <f aca="false">IF(OR($P407="",$Q407=""),"",INDEX(BookRate,402)*$P407*(5-MATCH($Q407,{"Q1";"Q2";"Q3";"Q4"},0))/4+INDEX(BookOneOff,402)*$P407)</f>
        <v/>
      </c>
      <c r="S407" s="35" t="str">
        <f aca="false">IF($P407="","",INDEX(BookRate,402)*$P407)</f>
        <v/>
      </c>
      <c r="T407" s="35" t="str">
        <f aca="false">IF($R407="","",$R407-$K407)</f>
        <v/>
      </c>
      <c r="U407" s="35" t="str">
        <f aca="false">IF(N($P407)&lt;=0,"",COUNTIF($P$6:$P407,"&gt;0"))</f>
        <v/>
      </c>
    </row>
    <row r="408" customFormat="false" ht="15" hidden="false" customHeight="false" outlineLevel="0" collapsed="false">
      <c r="A408" s="40" t="str">
        <f aca="false">IF(INDEX(BookTitle,403)="","",INDEX(BookGroup,403))</f>
        <v/>
      </c>
      <c r="B408" s="40" t="str">
        <f aca="false">IF(INDEX(BookTitle,403)="","",INDEX(BookRef,403))</f>
        <v/>
      </c>
      <c r="C408" s="40" t="str">
        <f aca="false">IF(INDEX(BookTitle,403)="","",INDEX(BookDivision,403))</f>
        <v/>
      </c>
      <c r="D408" s="40" t="str">
        <f aca="false">IF(INDEX(BookTitle,403)="","",INDEX(BookUnit,403))</f>
        <v/>
      </c>
      <c r="E408" s="40" t="str">
        <f aca="false">IF(INDEX(BookTitle,403)="","",INDEX(BookTitle,403))</f>
        <v/>
      </c>
      <c r="F408" s="40" t="str">
        <f aca="false">IF(INDEX(BookTitle,403)="","",INDEX(BookLevel,403))</f>
        <v/>
      </c>
      <c r="G408" s="40" t="str">
        <f aca="false">IF(INDEX(BookTitle,403)="","",INDEX(BookCategory,403))</f>
        <v/>
      </c>
      <c r="H408" s="40" t="str">
        <f aca="false">IF(INDEX(BookTitle,403)="","",INDEX(BookRank,403))</f>
        <v/>
      </c>
      <c r="I408" s="41" t="str">
        <f aca="false">IF(INDEX(BookTitle,403)="","",INDEX(BookTotal,403))</f>
        <v/>
      </c>
      <c r="J408" s="0" t="str">
        <f aca="false">IF($I408="","",IF(INDEX(BookQ1,403)&gt;0,"Q1",IF(INDEX(BookQ2,403)&gt;0,"Q2",IF(INDEX(BookQ3,403)&gt;0,"Q3",IF(INDEX(BookQ4,403)&gt;0,"Q4","")))))</f>
        <v/>
      </c>
      <c r="K408" s="42" t="str">
        <f aca="false">IF(INDEX(BookTitle,403)="","",INDEX(BookInYear,403))</f>
        <v/>
      </c>
      <c r="L408" s="19"/>
      <c r="M408" s="39"/>
      <c r="N408" s="19"/>
      <c r="O408" s="19"/>
      <c r="P408" s="43" t="str">
        <f aca="false">IF($E408="","",IF($L408="Decline",0,IF($L408="Approve fewer",IF($M408="","",$M408),IF($L408="","",$I408))))</f>
        <v/>
      </c>
      <c r="Q408" s="34" t="str">
        <f aca="false">IF($P408="","",IF($N408&lt;&gt;"",$N408,$J408))</f>
        <v/>
      </c>
      <c r="R408" s="35" t="str">
        <f aca="false">IF(OR($P408="",$Q408=""),"",INDEX(BookRate,403)*$P408*(5-MATCH($Q408,{"Q1";"Q2";"Q3";"Q4"},0))/4+INDEX(BookOneOff,403)*$P408)</f>
        <v/>
      </c>
      <c r="S408" s="35" t="str">
        <f aca="false">IF($P408="","",INDEX(BookRate,403)*$P408)</f>
        <v/>
      </c>
      <c r="T408" s="35" t="str">
        <f aca="false">IF($R408="","",$R408-$K408)</f>
        <v/>
      </c>
      <c r="U408" s="35" t="str">
        <f aca="false">IF(N($P408)&lt;=0,"",COUNTIF($P$6:$P408,"&gt;0"))</f>
        <v/>
      </c>
    </row>
    <row r="409" customFormat="false" ht="15" hidden="false" customHeight="false" outlineLevel="0" collapsed="false">
      <c r="A409" s="40" t="str">
        <f aca="false">IF(INDEX(BookTitle,404)="","",INDEX(BookGroup,404))</f>
        <v/>
      </c>
      <c r="B409" s="40" t="str">
        <f aca="false">IF(INDEX(BookTitle,404)="","",INDEX(BookRef,404))</f>
        <v/>
      </c>
      <c r="C409" s="40" t="str">
        <f aca="false">IF(INDEX(BookTitle,404)="","",INDEX(BookDivision,404))</f>
        <v/>
      </c>
      <c r="D409" s="40" t="str">
        <f aca="false">IF(INDEX(BookTitle,404)="","",INDEX(BookUnit,404))</f>
        <v/>
      </c>
      <c r="E409" s="40" t="str">
        <f aca="false">IF(INDEX(BookTitle,404)="","",INDEX(BookTitle,404))</f>
        <v/>
      </c>
      <c r="F409" s="40" t="str">
        <f aca="false">IF(INDEX(BookTitle,404)="","",INDEX(BookLevel,404))</f>
        <v/>
      </c>
      <c r="G409" s="40" t="str">
        <f aca="false">IF(INDEX(BookTitle,404)="","",INDEX(BookCategory,404))</f>
        <v/>
      </c>
      <c r="H409" s="40" t="str">
        <f aca="false">IF(INDEX(BookTitle,404)="","",INDEX(BookRank,404))</f>
        <v/>
      </c>
      <c r="I409" s="41" t="str">
        <f aca="false">IF(INDEX(BookTitle,404)="","",INDEX(BookTotal,404))</f>
        <v/>
      </c>
      <c r="J409" s="0" t="str">
        <f aca="false">IF($I409="","",IF(INDEX(BookQ1,404)&gt;0,"Q1",IF(INDEX(BookQ2,404)&gt;0,"Q2",IF(INDEX(BookQ3,404)&gt;0,"Q3",IF(INDEX(BookQ4,404)&gt;0,"Q4","")))))</f>
        <v/>
      </c>
      <c r="K409" s="42" t="str">
        <f aca="false">IF(INDEX(BookTitle,404)="","",INDEX(BookInYear,404))</f>
        <v/>
      </c>
      <c r="L409" s="19"/>
      <c r="M409" s="39"/>
      <c r="N409" s="19"/>
      <c r="O409" s="19"/>
      <c r="P409" s="43" t="str">
        <f aca="false">IF($E409="","",IF($L409="Decline",0,IF($L409="Approve fewer",IF($M409="","",$M409),IF($L409="","",$I409))))</f>
        <v/>
      </c>
      <c r="Q409" s="34" t="str">
        <f aca="false">IF($P409="","",IF($N409&lt;&gt;"",$N409,$J409))</f>
        <v/>
      </c>
      <c r="R409" s="35" t="str">
        <f aca="false">IF(OR($P409="",$Q409=""),"",INDEX(BookRate,404)*$P409*(5-MATCH($Q409,{"Q1";"Q2";"Q3";"Q4"},0))/4+INDEX(BookOneOff,404)*$P409)</f>
        <v/>
      </c>
      <c r="S409" s="35" t="str">
        <f aca="false">IF($P409="","",INDEX(BookRate,404)*$P409)</f>
        <v/>
      </c>
      <c r="T409" s="35" t="str">
        <f aca="false">IF($R409="","",$R409-$K409)</f>
        <v/>
      </c>
      <c r="U409" s="35" t="str">
        <f aca="false">IF(N($P409)&lt;=0,"",COUNTIF($P$6:$P409,"&gt;0"))</f>
        <v/>
      </c>
    </row>
    <row r="410" customFormat="false" ht="15" hidden="false" customHeight="false" outlineLevel="0" collapsed="false">
      <c r="A410" s="40" t="str">
        <f aca="false">IF(INDEX(BookTitle,405)="","",INDEX(BookGroup,405))</f>
        <v/>
      </c>
      <c r="B410" s="40" t="str">
        <f aca="false">IF(INDEX(BookTitle,405)="","",INDEX(BookRef,405))</f>
        <v/>
      </c>
      <c r="C410" s="40" t="str">
        <f aca="false">IF(INDEX(BookTitle,405)="","",INDEX(BookDivision,405))</f>
        <v/>
      </c>
      <c r="D410" s="40" t="str">
        <f aca="false">IF(INDEX(BookTitle,405)="","",INDEX(BookUnit,405))</f>
        <v/>
      </c>
      <c r="E410" s="40" t="str">
        <f aca="false">IF(INDEX(BookTitle,405)="","",INDEX(BookTitle,405))</f>
        <v/>
      </c>
      <c r="F410" s="40" t="str">
        <f aca="false">IF(INDEX(BookTitle,405)="","",INDEX(BookLevel,405))</f>
        <v/>
      </c>
      <c r="G410" s="40" t="str">
        <f aca="false">IF(INDEX(BookTitle,405)="","",INDEX(BookCategory,405))</f>
        <v/>
      </c>
      <c r="H410" s="40" t="str">
        <f aca="false">IF(INDEX(BookTitle,405)="","",INDEX(BookRank,405))</f>
        <v/>
      </c>
      <c r="I410" s="41" t="str">
        <f aca="false">IF(INDEX(BookTitle,405)="","",INDEX(BookTotal,405))</f>
        <v/>
      </c>
      <c r="J410" s="0" t="str">
        <f aca="false">IF($I410="","",IF(INDEX(BookQ1,405)&gt;0,"Q1",IF(INDEX(BookQ2,405)&gt;0,"Q2",IF(INDEX(BookQ3,405)&gt;0,"Q3",IF(INDEX(BookQ4,405)&gt;0,"Q4","")))))</f>
        <v/>
      </c>
      <c r="K410" s="42" t="str">
        <f aca="false">IF(INDEX(BookTitle,405)="","",INDEX(BookInYear,405))</f>
        <v/>
      </c>
      <c r="L410" s="19"/>
      <c r="M410" s="39"/>
      <c r="N410" s="19"/>
      <c r="O410" s="19"/>
      <c r="P410" s="43" t="str">
        <f aca="false">IF($E410="","",IF($L410="Decline",0,IF($L410="Approve fewer",IF($M410="","",$M410),IF($L410="","",$I410))))</f>
        <v/>
      </c>
      <c r="Q410" s="34" t="str">
        <f aca="false">IF($P410="","",IF($N410&lt;&gt;"",$N410,$J410))</f>
        <v/>
      </c>
      <c r="R410" s="35" t="str">
        <f aca="false">IF(OR($P410="",$Q410=""),"",INDEX(BookRate,405)*$P410*(5-MATCH($Q410,{"Q1";"Q2";"Q3";"Q4"},0))/4+INDEX(BookOneOff,405)*$P410)</f>
        <v/>
      </c>
      <c r="S410" s="35" t="str">
        <f aca="false">IF($P410="","",INDEX(BookRate,405)*$P410)</f>
        <v/>
      </c>
      <c r="T410" s="35" t="str">
        <f aca="false">IF($R410="","",$R410-$K410)</f>
        <v/>
      </c>
      <c r="U410" s="35" t="str">
        <f aca="false">IF(N($P410)&lt;=0,"",COUNTIF($P$6:$P410,"&gt;0"))</f>
        <v/>
      </c>
    </row>
    <row r="411" customFormat="false" ht="15" hidden="false" customHeight="false" outlineLevel="0" collapsed="false">
      <c r="A411" s="40" t="str">
        <f aca="false">IF(INDEX(BookTitle,406)="","",INDEX(BookGroup,406))</f>
        <v/>
      </c>
      <c r="B411" s="40" t="str">
        <f aca="false">IF(INDEX(BookTitle,406)="","",INDEX(BookRef,406))</f>
        <v/>
      </c>
      <c r="C411" s="40" t="str">
        <f aca="false">IF(INDEX(BookTitle,406)="","",INDEX(BookDivision,406))</f>
        <v/>
      </c>
      <c r="D411" s="40" t="str">
        <f aca="false">IF(INDEX(BookTitle,406)="","",INDEX(BookUnit,406))</f>
        <v/>
      </c>
      <c r="E411" s="40" t="str">
        <f aca="false">IF(INDEX(BookTitle,406)="","",INDEX(BookTitle,406))</f>
        <v/>
      </c>
      <c r="F411" s="40" t="str">
        <f aca="false">IF(INDEX(BookTitle,406)="","",INDEX(BookLevel,406))</f>
        <v/>
      </c>
      <c r="G411" s="40" t="str">
        <f aca="false">IF(INDEX(BookTitle,406)="","",INDEX(BookCategory,406))</f>
        <v/>
      </c>
      <c r="H411" s="40" t="str">
        <f aca="false">IF(INDEX(BookTitle,406)="","",INDEX(BookRank,406))</f>
        <v/>
      </c>
      <c r="I411" s="41" t="str">
        <f aca="false">IF(INDEX(BookTitle,406)="","",INDEX(BookTotal,406))</f>
        <v/>
      </c>
      <c r="J411" s="0" t="str">
        <f aca="false">IF($I411="","",IF(INDEX(BookQ1,406)&gt;0,"Q1",IF(INDEX(BookQ2,406)&gt;0,"Q2",IF(INDEX(BookQ3,406)&gt;0,"Q3",IF(INDEX(BookQ4,406)&gt;0,"Q4","")))))</f>
        <v/>
      </c>
      <c r="K411" s="42" t="str">
        <f aca="false">IF(INDEX(BookTitle,406)="","",INDEX(BookInYear,406))</f>
        <v/>
      </c>
      <c r="L411" s="19"/>
      <c r="M411" s="39"/>
      <c r="N411" s="19"/>
      <c r="O411" s="19"/>
      <c r="P411" s="43" t="str">
        <f aca="false">IF($E411="","",IF($L411="Decline",0,IF($L411="Approve fewer",IF($M411="","",$M411),IF($L411="","",$I411))))</f>
        <v/>
      </c>
      <c r="Q411" s="34" t="str">
        <f aca="false">IF($P411="","",IF($N411&lt;&gt;"",$N411,$J411))</f>
        <v/>
      </c>
      <c r="R411" s="35" t="str">
        <f aca="false">IF(OR($P411="",$Q411=""),"",INDEX(BookRate,406)*$P411*(5-MATCH($Q411,{"Q1";"Q2";"Q3";"Q4"},0))/4+INDEX(BookOneOff,406)*$P411)</f>
        <v/>
      </c>
      <c r="S411" s="35" t="str">
        <f aca="false">IF($P411="","",INDEX(BookRate,406)*$P411)</f>
        <v/>
      </c>
      <c r="T411" s="35" t="str">
        <f aca="false">IF($R411="","",$R411-$K411)</f>
        <v/>
      </c>
      <c r="U411" s="35" t="str">
        <f aca="false">IF(N($P411)&lt;=0,"",COUNTIF($P$6:$P411,"&gt;0"))</f>
        <v/>
      </c>
    </row>
    <row r="412" customFormat="false" ht="15" hidden="false" customHeight="false" outlineLevel="0" collapsed="false">
      <c r="A412" s="40" t="str">
        <f aca="false">IF(INDEX(BookTitle,407)="","",INDEX(BookGroup,407))</f>
        <v/>
      </c>
      <c r="B412" s="40" t="str">
        <f aca="false">IF(INDEX(BookTitle,407)="","",INDEX(BookRef,407))</f>
        <v/>
      </c>
      <c r="C412" s="40" t="str">
        <f aca="false">IF(INDEX(BookTitle,407)="","",INDEX(BookDivision,407))</f>
        <v/>
      </c>
      <c r="D412" s="40" t="str">
        <f aca="false">IF(INDEX(BookTitle,407)="","",INDEX(BookUnit,407))</f>
        <v/>
      </c>
      <c r="E412" s="40" t="str">
        <f aca="false">IF(INDEX(BookTitle,407)="","",INDEX(BookTitle,407))</f>
        <v/>
      </c>
      <c r="F412" s="40" t="str">
        <f aca="false">IF(INDEX(BookTitle,407)="","",INDEX(BookLevel,407))</f>
        <v/>
      </c>
      <c r="G412" s="40" t="str">
        <f aca="false">IF(INDEX(BookTitle,407)="","",INDEX(BookCategory,407))</f>
        <v/>
      </c>
      <c r="H412" s="40" t="str">
        <f aca="false">IF(INDEX(BookTitle,407)="","",INDEX(BookRank,407))</f>
        <v/>
      </c>
      <c r="I412" s="41" t="str">
        <f aca="false">IF(INDEX(BookTitle,407)="","",INDEX(BookTotal,407))</f>
        <v/>
      </c>
      <c r="J412" s="0" t="str">
        <f aca="false">IF($I412="","",IF(INDEX(BookQ1,407)&gt;0,"Q1",IF(INDEX(BookQ2,407)&gt;0,"Q2",IF(INDEX(BookQ3,407)&gt;0,"Q3",IF(INDEX(BookQ4,407)&gt;0,"Q4","")))))</f>
        <v/>
      </c>
      <c r="K412" s="42" t="str">
        <f aca="false">IF(INDEX(BookTitle,407)="","",INDEX(BookInYear,407))</f>
        <v/>
      </c>
      <c r="L412" s="19"/>
      <c r="M412" s="39"/>
      <c r="N412" s="19"/>
      <c r="O412" s="19"/>
      <c r="P412" s="43" t="str">
        <f aca="false">IF($E412="","",IF($L412="Decline",0,IF($L412="Approve fewer",IF($M412="","",$M412),IF($L412="","",$I412))))</f>
        <v/>
      </c>
      <c r="Q412" s="34" t="str">
        <f aca="false">IF($P412="","",IF($N412&lt;&gt;"",$N412,$J412))</f>
        <v/>
      </c>
      <c r="R412" s="35" t="str">
        <f aca="false">IF(OR($P412="",$Q412=""),"",INDEX(BookRate,407)*$P412*(5-MATCH($Q412,{"Q1";"Q2";"Q3";"Q4"},0))/4+INDEX(BookOneOff,407)*$P412)</f>
        <v/>
      </c>
      <c r="S412" s="35" t="str">
        <f aca="false">IF($P412="","",INDEX(BookRate,407)*$P412)</f>
        <v/>
      </c>
      <c r="T412" s="35" t="str">
        <f aca="false">IF($R412="","",$R412-$K412)</f>
        <v/>
      </c>
      <c r="U412" s="35" t="str">
        <f aca="false">IF(N($P412)&lt;=0,"",COUNTIF($P$6:$P412,"&gt;0"))</f>
        <v/>
      </c>
    </row>
    <row r="413" customFormat="false" ht="15" hidden="false" customHeight="false" outlineLevel="0" collapsed="false">
      <c r="A413" s="40" t="str">
        <f aca="false">IF(INDEX(BookTitle,408)="","",INDEX(BookGroup,408))</f>
        <v/>
      </c>
      <c r="B413" s="40" t="str">
        <f aca="false">IF(INDEX(BookTitle,408)="","",INDEX(BookRef,408))</f>
        <v/>
      </c>
      <c r="C413" s="40" t="str">
        <f aca="false">IF(INDEX(BookTitle,408)="","",INDEX(BookDivision,408))</f>
        <v/>
      </c>
      <c r="D413" s="40" t="str">
        <f aca="false">IF(INDEX(BookTitle,408)="","",INDEX(BookUnit,408))</f>
        <v/>
      </c>
      <c r="E413" s="40" t="str">
        <f aca="false">IF(INDEX(BookTitle,408)="","",INDEX(BookTitle,408))</f>
        <v/>
      </c>
      <c r="F413" s="40" t="str">
        <f aca="false">IF(INDEX(BookTitle,408)="","",INDEX(BookLevel,408))</f>
        <v/>
      </c>
      <c r="G413" s="40" t="str">
        <f aca="false">IF(INDEX(BookTitle,408)="","",INDEX(BookCategory,408))</f>
        <v/>
      </c>
      <c r="H413" s="40" t="str">
        <f aca="false">IF(INDEX(BookTitle,408)="","",INDEX(BookRank,408))</f>
        <v/>
      </c>
      <c r="I413" s="41" t="str">
        <f aca="false">IF(INDEX(BookTitle,408)="","",INDEX(BookTotal,408))</f>
        <v/>
      </c>
      <c r="J413" s="0" t="str">
        <f aca="false">IF($I413="","",IF(INDEX(BookQ1,408)&gt;0,"Q1",IF(INDEX(BookQ2,408)&gt;0,"Q2",IF(INDEX(BookQ3,408)&gt;0,"Q3",IF(INDEX(BookQ4,408)&gt;0,"Q4","")))))</f>
        <v/>
      </c>
      <c r="K413" s="42" t="str">
        <f aca="false">IF(INDEX(BookTitle,408)="","",INDEX(BookInYear,408))</f>
        <v/>
      </c>
      <c r="L413" s="19"/>
      <c r="M413" s="39"/>
      <c r="N413" s="19"/>
      <c r="O413" s="19"/>
      <c r="P413" s="43" t="str">
        <f aca="false">IF($E413="","",IF($L413="Decline",0,IF($L413="Approve fewer",IF($M413="","",$M413),IF($L413="","",$I413))))</f>
        <v/>
      </c>
      <c r="Q413" s="34" t="str">
        <f aca="false">IF($P413="","",IF($N413&lt;&gt;"",$N413,$J413))</f>
        <v/>
      </c>
      <c r="R413" s="35" t="str">
        <f aca="false">IF(OR($P413="",$Q413=""),"",INDEX(BookRate,408)*$P413*(5-MATCH($Q413,{"Q1";"Q2";"Q3";"Q4"},0))/4+INDEX(BookOneOff,408)*$P413)</f>
        <v/>
      </c>
      <c r="S413" s="35" t="str">
        <f aca="false">IF($P413="","",INDEX(BookRate,408)*$P413)</f>
        <v/>
      </c>
      <c r="T413" s="35" t="str">
        <f aca="false">IF($R413="","",$R413-$K413)</f>
        <v/>
      </c>
      <c r="U413" s="35" t="str">
        <f aca="false">IF(N($P413)&lt;=0,"",COUNTIF($P$6:$P413,"&gt;0"))</f>
        <v/>
      </c>
    </row>
    <row r="414" customFormat="false" ht="15" hidden="false" customHeight="false" outlineLevel="0" collapsed="false">
      <c r="A414" s="40" t="str">
        <f aca="false">IF(INDEX(BookTitle,409)="","",INDEX(BookGroup,409))</f>
        <v/>
      </c>
      <c r="B414" s="40" t="str">
        <f aca="false">IF(INDEX(BookTitle,409)="","",INDEX(BookRef,409))</f>
        <v/>
      </c>
      <c r="C414" s="40" t="str">
        <f aca="false">IF(INDEX(BookTitle,409)="","",INDEX(BookDivision,409))</f>
        <v/>
      </c>
      <c r="D414" s="40" t="str">
        <f aca="false">IF(INDEX(BookTitle,409)="","",INDEX(BookUnit,409))</f>
        <v/>
      </c>
      <c r="E414" s="40" t="str">
        <f aca="false">IF(INDEX(BookTitle,409)="","",INDEX(BookTitle,409))</f>
        <v/>
      </c>
      <c r="F414" s="40" t="str">
        <f aca="false">IF(INDEX(BookTitle,409)="","",INDEX(BookLevel,409))</f>
        <v/>
      </c>
      <c r="G414" s="40" t="str">
        <f aca="false">IF(INDEX(BookTitle,409)="","",INDEX(BookCategory,409))</f>
        <v/>
      </c>
      <c r="H414" s="40" t="str">
        <f aca="false">IF(INDEX(BookTitle,409)="","",INDEX(BookRank,409))</f>
        <v/>
      </c>
      <c r="I414" s="41" t="str">
        <f aca="false">IF(INDEX(BookTitle,409)="","",INDEX(BookTotal,409))</f>
        <v/>
      </c>
      <c r="J414" s="0" t="str">
        <f aca="false">IF($I414="","",IF(INDEX(BookQ1,409)&gt;0,"Q1",IF(INDEX(BookQ2,409)&gt;0,"Q2",IF(INDEX(BookQ3,409)&gt;0,"Q3",IF(INDEX(BookQ4,409)&gt;0,"Q4","")))))</f>
        <v/>
      </c>
      <c r="K414" s="42" t="str">
        <f aca="false">IF(INDEX(BookTitle,409)="","",INDEX(BookInYear,409))</f>
        <v/>
      </c>
      <c r="L414" s="19"/>
      <c r="M414" s="39"/>
      <c r="N414" s="19"/>
      <c r="O414" s="19"/>
      <c r="P414" s="43" t="str">
        <f aca="false">IF($E414="","",IF($L414="Decline",0,IF($L414="Approve fewer",IF($M414="","",$M414),IF($L414="","",$I414))))</f>
        <v/>
      </c>
      <c r="Q414" s="34" t="str">
        <f aca="false">IF($P414="","",IF($N414&lt;&gt;"",$N414,$J414))</f>
        <v/>
      </c>
      <c r="R414" s="35" t="str">
        <f aca="false">IF(OR($P414="",$Q414=""),"",INDEX(BookRate,409)*$P414*(5-MATCH($Q414,{"Q1";"Q2";"Q3";"Q4"},0))/4+INDEX(BookOneOff,409)*$P414)</f>
        <v/>
      </c>
      <c r="S414" s="35" t="str">
        <f aca="false">IF($P414="","",INDEX(BookRate,409)*$P414)</f>
        <v/>
      </c>
      <c r="T414" s="35" t="str">
        <f aca="false">IF($R414="","",$R414-$K414)</f>
        <v/>
      </c>
      <c r="U414" s="35" t="str">
        <f aca="false">IF(N($P414)&lt;=0,"",COUNTIF($P$6:$P414,"&gt;0"))</f>
        <v/>
      </c>
    </row>
    <row r="415" customFormat="false" ht="15" hidden="false" customHeight="false" outlineLevel="0" collapsed="false">
      <c r="A415" s="40" t="str">
        <f aca="false">IF(INDEX(BookTitle,410)="","",INDEX(BookGroup,410))</f>
        <v/>
      </c>
      <c r="B415" s="40" t="str">
        <f aca="false">IF(INDEX(BookTitle,410)="","",INDEX(BookRef,410))</f>
        <v/>
      </c>
      <c r="C415" s="40" t="str">
        <f aca="false">IF(INDEX(BookTitle,410)="","",INDEX(BookDivision,410))</f>
        <v/>
      </c>
      <c r="D415" s="40" t="str">
        <f aca="false">IF(INDEX(BookTitle,410)="","",INDEX(BookUnit,410))</f>
        <v/>
      </c>
      <c r="E415" s="40" t="str">
        <f aca="false">IF(INDEX(BookTitle,410)="","",INDEX(BookTitle,410))</f>
        <v/>
      </c>
      <c r="F415" s="40" t="str">
        <f aca="false">IF(INDEX(BookTitle,410)="","",INDEX(BookLevel,410))</f>
        <v/>
      </c>
      <c r="G415" s="40" t="str">
        <f aca="false">IF(INDEX(BookTitle,410)="","",INDEX(BookCategory,410))</f>
        <v/>
      </c>
      <c r="H415" s="40" t="str">
        <f aca="false">IF(INDEX(BookTitle,410)="","",INDEX(BookRank,410))</f>
        <v/>
      </c>
      <c r="I415" s="41" t="str">
        <f aca="false">IF(INDEX(BookTitle,410)="","",INDEX(BookTotal,410))</f>
        <v/>
      </c>
      <c r="J415" s="0" t="str">
        <f aca="false">IF($I415="","",IF(INDEX(BookQ1,410)&gt;0,"Q1",IF(INDEX(BookQ2,410)&gt;0,"Q2",IF(INDEX(BookQ3,410)&gt;0,"Q3",IF(INDEX(BookQ4,410)&gt;0,"Q4","")))))</f>
        <v/>
      </c>
      <c r="K415" s="42" t="str">
        <f aca="false">IF(INDEX(BookTitle,410)="","",INDEX(BookInYear,410))</f>
        <v/>
      </c>
      <c r="L415" s="19"/>
      <c r="M415" s="39"/>
      <c r="N415" s="19"/>
      <c r="O415" s="19"/>
      <c r="P415" s="43" t="str">
        <f aca="false">IF($E415="","",IF($L415="Decline",0,IF($L415="Approve fewer",IF($M415="","",$M415),IF($L415="","",$I415))))</f>
        <v/>
      </c>
      <c r="Q415" s="34" t="str">
        <f aca="false">IF($P415="","",IF($N415&lt;&gt;"",$N415,$J415))</f>
        <v/>
      </c>
      <c r="R415" s="35" t="str">
        <f aca="false">IF(OR($P415="",$Q415=""),"",INDEX(BookRate,410)*$P415*(5-MATCH($Q415,{"Q1";"Q2";"Q3";"Q4"},0))/4+INDEX(BookOneOff,410)*$P415)</f>
        <v/>
      </c>
      <c r="S415" s="35" t="str">
        <f aca="false">IF($P415="","",INDEX(BookRate,410)*$P415)</f>
        <v/>
      </c>
      <c r="T415" s="35" t="str">
        <f aca="false">IF($R415="","",$R415-$K415)</f>
        <v/>
      </c>
      <c r="U415" s="35" t="str">
        <f aca="false">IF(N($P415)&lt;=0,"",COUNTIF($P$6:$P415,"&gt;0"))</f>
        <v/>
      </c>
    </row>
    <row r="416" customFormat="false" ht="15" hidden="false" customHeight="false" outlineLevel="0" collapsed="false">
      <c r="A416" s="40" t="str">
        <f aca="false">IF(INDEX(BookTitle,411)="","",INDEX(BookGroup,411))</f>
        <v/>
      </c>
      <c r="B416" s="40" t="str">
        <f aca="false">IF(INDEX(BookTitle,411)="","",INDEX(BookRef,411))</f>
        <v/>
      </c>
      <c r="C416" s="40" t="str">
        <f aca="false">IF(INDEX(BookTitle,411)="","",INDEX(BookDivision,411))</f>
        <v/>
      </c>
      <c r="D416" s="40" t="str">
        <f aca="false">IF(INDEX(BookTitle,411)="","",INDEX(BookUnit,411))</f>
        <v/>
      </c>
      <c r="E416" s="40" t="str">
        <f aca="false">IF(INDEX(BookTitle,411)="","",INDEX(BookTitle,411))</f>
        <v/>
      </c>
      <c r="F416" s="40" t="str">
        <f aca="false">IF(INDEX(BookTitle,411)="","",INDEX(BookLevel,411))</f>
        <v/>
      </c>
      <c r="G416" s="40" t="str">
        <f aca="false">IF(INDEX(BookTitle,411)="","",INDEX(BookCategory,411))</f>
        <v/>
      </c>
      <c r="H416" s="40" t="str">
        <f aca="false">IF(INDEX(BookTitle,411)="","",INDEX(BookRank,411))</f>
        <v/>
      </c>
      <c r="I416" s="41" t="str">
        <f aca="false">IF(INDEX(BookTitle,411)="","",INDEX(BookTotal,411))</f>
        <v/>
      </c>
      <c r="J416" s="0" t="str">
        <f aca="false">IF($I416="","",IF(INDEX(BookQ1,411)&gt;0,"Q1",IF(INDEX(BookQ2,411)&gt;0,"Q2",IF(INDEX(BookQ3,411)&gt;0,"Q3",IF(INDEX(BookQ4,411)&gt;0,"Q4","")))))</f>
        <v/>
      </c>
      <c r="K416" s="42" t="str">
        <f aca="false">IF(INDEX(BookTitle,411)="","",INDEX(BookInYear,411))</f>
        <v/>
      </c>
      <c r="L416" s="19"/>
      <c r="M416" s="39"/>
      <c r="N416" s="19"/>
      <c r="O416" s="19"/>
      <c r="P416" s="43" t="str">
        <f aca="false">IF($E416="","",IF($L416="Decline",0,IF($L416="Approve fewer",IF($M416="","",$M416),IF($L416="","",$I416))))</f>
        <v/>
      </c>
      <c r="Q416" s="34" t="str">
        <f aca="false">IF($P416="","",IF($N416&lt;&gt;"",$N416,$J416))</f>
        <v/>
      </c>
      <c r="R416" s="35" t="str">
        <f aca="false">IF(OR($P416="",$Q416=""),"",INDEX(BookRate,411)*$P416*(5-MATCH($Q416,{"Q1";"Q2";"Q3";"Q4"},0))/4+INDEX(BookOneOff,411)*$P416)</f>
        <v/>
      </c>
      <c r="S416" s="35" t="str">
        <f aca="false">IF($P416="","",INDEX(BookRate,411)*$P416)</f>
        <v/>
      </c>
      <c r="T416" s="35" t="str">
        <f aca="false">IF($R416="","",$R416-$K416)</f>
        <v/>
      </c>
      <c r="U416" s="35" t="str">
        <f aca="false">IF(N($P416)&lt;=0,"",COUNTIF($P$6:$P416,"&gt;0"))</f>
        <v/>
      </c>
    </row>
    <row r="417" customFormat="false" ht="15" hidden="false" customHeight="false" outlineLevel="0" collapsed="false">
      <c r="A417" s="40" t="str">
        <f aca="false">IF(INDEX(BookTitle,412)="","",INDEX(BookGroup,412))</f>
        <v/>
      </c>
      <c r="B417" s="40" t="str">
        <f aca="false">IF(INDEX(BookTitle,412)="","",INDEX(BookRef,412))</f>
        <v/>
      </c>
      <c r="C417" s="40" t="str">
        <f aca="false">IF(INDEX(BookTitle,412)="","",INDEX(BookDivision,412))</f>
        <v/>
      </c>
      <c r="D417" s="40" t="str">
        <f aca="false">IF(INDEX(BookTitle,412)="","",INDEX(BookUnit,412))</f>
        <v/>
      </c>
      <c r="E417" s="40" t="str">
        <f aca="false">IF(INDEX(BookTitle,412)="","",INDEX(BookTitle,412))</f>
        <v/>
      </c>
      <c r="F417" s="40" t="str">
        <f aca="false">IF(INDEX(BookTitle,412)="","",INDEX(BookLevel,412))</f>
        <v/>
      </c>
      <c r="G417" s="40" t="str">
        <f aca="false">IF(INDEX(BookTitle,412)="","",INDEX(BookCategory,412))</f>
        <v/>
      </c>
      <c r="H417" s="40" t="str">
        <f aca="false">IF(INDEX(BookTitle,412)="","",INDEX(BookRank,412))</f>
        <v/>
      </c>
      <c r="I417" s="41" t="str">
        <f aca="false">IF(INDEX(BookTitle,412)="","",INDEX(BookTotal,412))</f>
        <v/>
      </c>
      <c r="J417" s="0" t="str">
        <f aca="false">IF($I417="","",IF(INDEX(BookQ1,412)&gt;0,"Q1",IF(INDEX(BookQ2,412)&gt;0,"Q2",IF(INDEX(BookQ3,412)&gt;0,"Q3",IF(INDEX(BookQ4,412)&gt;0,"Q4","")))))</f>
        <v/>
      </c>
      <c r="K417" s="42" t="str">
        <f aca="false">IF(INDEX(BookTitle,412)="","",INDEX(BookInYear,412))</f>
        <v/>
      </c>
      <c r="L417" s="19"/>
      <c r="M417" s="39"/>
      <c r="N417" s="19"/>
      <c r="O417" s="19"/>
      <c r="P417" s="43" t="str">
        <f aca="false">IF($E417="","",IF($L417="Decline",0,IF($L417="Approve fewer",IF($M417="","",$M417),IF($L417="","",$I417))))</f>
        <v/>
      </c>
      <c r="Q417" s="34" t="str">
        <f aca="false">IF($P417="","",IF($N417&lt;&gt;"",$N417,$J417))</f>
        <v/>
      </c>
      <c r="R417" s="35" t="str">
        <f aca="false">IF(OR($P417="",$Q417=""),"",INDEX(BookRate,412)*$P417*(5-MATCH($Q417,{"Q1";"Q2";"Q3";"Q4"},0))/4+INDEX(BookOneOff,412)*$P417)</f>
        <v/>
      </c>
      <c r="S417" s="35" t="str">
        <f aca="false">IF($P417="","",INDEX(BookRate,412)*$P417)</f>
        <v/>
      </c>
      <c r="T417" s="35" t="str">
        <f aca="false">IF($R417="","",$R417-$K417)</f>
        <v/>
      </c>
      <c r="U417" s="35" t="str">
        <f aca="false">IF(N($P417)&lt;=0,"",COUNTIF($P$6:$P417,"&gt;0"))</f>
        <v/>
      </c>
    </row>
    <row r="418" customFormat="false" ht="15" hidden="false" customHeight="false" outlineLevel="0" collapsed="false">
      <c r="A418" s="40" t="str">
        <f aca="false">IF(INDEX(BookTitle,413)="","",INDEX(BookGroup,413))</f>
        <v/>
      </c>
      <c r="B418" s="40" t="str">
        <f aca="false">IF(INDEX(BookTitle,413)="","",INDEX(BookRef,413))</f>
        <v/>
      </c>
      <c r="C418" s="40" t="str">
        <f aca="false">IF(INDEX(BookTitle,413)="","",INDEX(BookDivision,413))</f>
        <v/>
      </c>
      <c r="D418" s="40" t="str">
        <f aca="false">IF(INDEX(BookTitle,413)="","",INDEX(BookUnit,413))</f>
        <v/>
      </c>
      <c r="E418" s="40" t="str">
        <f aca="false">IF(INDEX(BookTitle,413)="","",INDEX(BookTitle,413))</f>
        <v/>
      </c>
      <c r="F418" s="40" t="str">
        <f aca="false">IF(INDEX(BookTitle,413)="","",INDEX(BookLevel,413))</f>
        <v/>
      </c>
      <c r="G418" s="40" t="str">
        <f aca="false">IF(INDEX(BookTitle,413)="","",INDEX(BookCategory,413))</f>
        <v/>
      </c>
      <c r="H418" s="40" t="str">
        <f aca="false">IF(INDEX(BookTitle,413)="","",INDEX(BookRank,413))</f>
        <v/>
      </c>
      <c r="I418" s="41" t="str">
        <f aca="false">IF(INDEX(BookTitle,413)="","",INDEX(BookTotal,413))</f>
        <v/>
      </c>
      <c r="J418" s="0" t="str">
        <f aca="false">IF($I418="","",IF(INDEX(BookQ1,413)&gt;0,"Q1",IF(INDEX(BookQ2,413)&gt;0,"Q2",IF(INDEX(BookQ3,413)&gt;0,"Q3",IF(INDEX(BookQ4,413)&gt;0,"Q4","")))))</f>
        <v/>
      </c>
      <c r="K418" s="42" t="str">
        <f aca="false">IF(INDEX(BookTitle,413)="","",INDEX(BookInYear,413))</f>
        <v/>
      </c>
      <c r="L418" s="19"/>
      <c r="M418" s="39"/>
      <c r="N418" s="19"/>
      <c r="O418" s="19"/>
      <c r="P418" s="43" t="str">
        <f aca="false">IF($E418="","",IF($L418="Decline",0,IF($L418="Approve fewer",IF($M418="","",$M418),IF($L418="","",$I418))))</f>
        <v/>
      </c>
      <c r="Q418" s="34" t="str">
        <f aca="false">IF($P418="","",IF($N418&lt;&gt;"",$N418,$J418))</f>
        <v/>
      </c>
      <c r="R418" s="35" t="str">
        <f aca="false">IF(OR($P418="",$Q418=""),"",INDEX(BookRate,413)*$P418*(5-MATCH($Q418,{"Q1";"Q2";"Q3";"Q4"},0))/4+INDEX(BookOneOff,413)*$P418)</f>
        <v/>
      </c>
      <c r="S418" s="35" t="str">
        <f aca="false">IF($P418="","",INDEX(BookRate,413)*$P418)</f>
        <v/>
      </c>
      <c r="T418" s="35" t="str">
        <f aca="false">IF($R418="","",$R418-$K418)</f>
        <v/>
      </c>
      <c r="U418" s="35" t="str">
        <f aca="false">IF(N($P418)&lt;=0,"",COUNTIF($P$6:$P418,"&gt;0"))</f>
        <v/>
      </c>
    </row>
    <row r="419" customFormat="false" ht="15" hidden="false" customHeight="false" outlineLevel="0" collapsed="false">
      <c r="A419" s="40" t="str">
        <f aca="false">IF(INDEX(BookTitle,414)="","",INDEX(BookGroup,414))</f>
        <v/>
      </c>
      <c r="B419" s="40" t="str">
        <f aca="false">IF(INDEX(BookTitle,414)="","",INDEX(BookRef,414))</f>
        <v/>
      </c>
      <c r="C419" s="40" t="str">
        <f aca="false">IF(INDEX(BookTitle,414)="","",INDEX(BookDivision,414))</f>
        <v/>
      </c>
      <c r="D419" s="40" t="str">
        <f aca="false">IF(INDEX(BookTitle,414)="","",INDEX(BookUnit,414))</f>
        <v/>
      </c>
      <c r="E419" s="40" t="str">
        <f aca="false">IF(INDEX(BookTitle,414)="","",INDEX(BookTitle,414))</f>
        <v/>
      </c>
      <c r="F419" s="40" t="str">
        <f aca="false">IF(INDEX(BookTitle,414)="","",INDEX(BookLevel,414))</f>
        <v/>
      </c>
      <c r="G419" s="40" t="str">
        <f aca="false">IF(INDEX(BookTitle,414)="","",INDEX(BookCategory,414))</f>
        <v/>
      </c>
      <c r="H419" s="40" t="str">
        <f aca="false">IF(INDEX(BookTitle,414)="","",INDEX(BookRank,414))</f>
        <v/>
      </c>
      <c r="I419" s="41" t="str">
        <f aca="false">IF(INDEX(BookTitle,414)="","",INDEX(BookTotal,414))</f>
        <v/>
      </c>
      <c r="J419" s="0" t="str">
        <f aca="false">IF($I419="","",IF(INDEX(BookQ1,414)&gt;0,"Q1",IF(INDEX(BookQ2,414)&gt;0,"Q2",IF(INDEX(BookQ3,414)&gt;0,"Q3",IF(INDEX(BookQ4,414)&gt;0,"Q4","")))))</f>
        <v/>
      </c>
      <c r="K419" s="42" t="str">
        <f aca="false">IF(INDEX(BookTitle,414)="","",INDEX(BookInYear,414))</f>
        <v/>
      </c>
      <c r="L419" s="19"/>
      <c r="M419" s="39"/>
      <c r="N419" s="19"/>
      <c r="O419" s="19"/>
      <c r="P419" s="43" t="str">
        <f aca="false">IF($E419="","",IF($L419="Decline",0,IF($L419="Approve fewer",IF($M419="","",$M419),IF($L419="","",$I419))))</f>
        <v/>
      </c>
      <c r="Q419" s="34" t="str">
        <f aca="false">IF($P419="","",IF($N419&lt;&gt;"",$N419,$J419))</f>
        <v/>
      </c>
      <c r="R419" s="35" t="str">
        <f aca="false">IF(OR($P419="",$Q419=""),"",INDEX(BookRate,414)*$P419*(5-MATCH($Q419,{"Q1";"Q2";"Q3";"Q4"},0))/4+INDEX(BookOneOff,414)*$P419)</f>
        <v/>
      </c>
      <c r="S419" s="35" t="str">
        <f aca="false">IF($P419="","",INDEX(BookRate,414)*$P419)</f>
        <v/>
      </c>
      <c r="T419" s="35" t="str">
        <f aca="false">IF($R419="","",$R419-$K419)</f>
        <v/>
      </c>
      <c r="U419" s="35" t="str">
        <f aca="false">IF(N($P419)&lt;=0,"",COUNTIF($P$6:$P419,"&gt;0"))</f>
        <v/>
      </c>
    </row>
    <row r="420" customFormat="false" ht="15" hidden="false" customHeight="false" outlineLevel="0" collapsed="false">
      <c r="A420" s="40" t="str">
        <f aca="false">IF(INDEX(BookTitle,415)="","",INDEX(BookGroup,415))</f>
        <v/>
      </c>
      <c r="B420" s="40" t="str">
        <f aca="false">IF(INDEX(BookTitle,415)="","",INDEX(BookRef,415))</f>
        <v/>
      </c>
      <c r="C420" s="40" t="str">
        <f aca="false">IF(INDEX(BookTitle,415)="","",INDEX(BookDivision,415))</f>
        <v/>
      </c>
      <c r="D420" s="40" t="str">
        <f aca="false">IF(INDEX(BookTitle,415)="","",INDEX(BookUnit,415))</f>
        <v/>
      </c>
      <c r="E420" s="40" t="str">
        <f aca="false">IF(INDEX(BookTitle,415)="","",INDEX(BookTitle,415))</f>
        <v/>
      </c>
      <c r="F420" s="40" t="str">
        <f aca="false">IF(INDEX(BookTitle,415)="","",INDEX(BookLevel,415))</f>
        <v/>
      </c>
      <c r="G420" s="40" t="str">
        <f aca="false">IF(INDEX(BookTitle,415)="","",INDEX(BookCategory,415))</f>
        <v/>
      </c>
      <c r="H420" s="40" t="str">
        <f aca="false">IF(INDEX(BookTitle,415)="","",INDEX(BookRank,415))</f>
        <v/>
      </c>
      <c r="I420" s="41" t="str">
        <f aca="false">IF(INDEX(BookTitle,415)="","",INDEX(BookTotal,415))</f>
        <v/>
      </c>
      <c r="J420" s="0" t="str">
        <f aca="false">IF($I420="","",IF(INDEX(BookQ1,415)&gt;0,"Q1",IF(INDEX(BookQ2,415)&gt;0,"Q2",IF(INDEX(BookQ3,415)&gt;0,"Q3",IF(INDEX(BookQ4,415)&gt;0,"Q4","")))))</f>
        <v/>
      </c>
      <c r="K420" s="42" t="str">
        <f aca="false">IF(INDEX(BookTitle,415)="","",INDEX(BookInYear,415))</f>
        <v/>
      </c>
      <c r="L420" s="19"/>
      <c r="M420" s="39"/>
      <c r="N420" s="19"/>
      <c r="O420" s="19"/>
      <c r="P420" s="43" t="str">
        <f aca="false">IF($E420="","",IF($L420="Decline",0,IF($L420="Approve fewer",IF($M420="","",$M420),IF($L420="","",$I420))))</f>
        <v/>
      </c>
      <c r="Q420" s="34" t="str">
        <f aca="false">IF($P420="","",IF($N420&lt;&gt;"",$N420,$J420))</f>
        <v/>
      </c>
      <c r="R420" s="35" t="str">
        <f aca="false">IF(OR($P420="",$Q420=""),"",INDEX(BookRate,415)*$P420*(5-MATCH($Q420,{"Q1";"Q2";"Q3";"Q4"},0))/4+INDEX(BookOneOff,415)*$P420)</f>
        <v/>
      </c>
      <c r="S420" s="35" t="str">
        <f aca="false">IF($P420="","",INDEX(BookRate,415)*$P420)</f>
        <v/>
      </c>
      <c r="T420" s="35" t="str">
        <f aca="false">IF($R420="","",$R420-$K420)</f>
        <v/>
      </c>
      <c r="U420" s="35" t="str">
        <f aca="false">IF(N($P420)&lt;=0,"",COUNTIF($P$6:$P420,"&gt;0"))</f>
        <v/>
      </c>
    </row>
    <row r="421" customFormat="false" ht="15" hidden="false" customHeight="false" outlineLevel="0" collapsed="false">
      <c r="A421" s="40" t="str">
        <f aca="false">IF(INDEX(BookTitle,416)="","",INDEX(BookGroup,416))</f>
        <v/>
      </c>
      <c r="B421" s="40" t="str">
        <f aca="false">IF(INDEX(BookTitle,416)="","",INDEX(BookRef,416))</f>
        <v/>
      </c>
      <c r="C421" s="40" t="str">
        <f aca="false">IF(INDEX(BookTitle,416)="","",INDEX(BookDivision,416))</f>
        <v/>
      </c>
      <c r="D421" s="40" t="str">
        <f aca="false">IF(INDEX(BookTitle,416)="","",INDEX(BookUnit,416))</f>
        <v/>
      </c>
      <c r="E421" s="40" t="str">
        <f aca="false">IF(INDEX(BookTitle,416)="","",INDEX(BookTitle,416))</f>
        <v/>
      </c>
      <c r="F421" s="40" t="str">
        <f aca="false">IF(INDEX(BookTitle,416)="","",INDEX(BookLevel,416))</f>
        <v/>
      </c>
      <c r="G421" s="40" t="str">
        <f aca="false">IF(INDEX(BookTitle,416)="","",INDEX(BookCategory,416))</f>
        <v/>
      </c>
      <c r="H421" s="40" t="str">
        <f aca="false">IF(INDEX(BookTitle,416)="","",INDEX(BookRank,416))</f>
        <v/>
      </c>
      <c r="I421" s="41" t="str">
        <f aca="false">IF(INDEX(BookTitle,416)="","",INDEX(BookTotal,416))</f>
        <v/>
      </c>
      <c r="J421" s="0" t="str">
        <f aca="false">IF($I421="","",IF(INDEX(BookQ1,416)&gt;0,"Q1",IF(INDEX(BookQ2,416)&gt;0,"Q2",IF(INDEX(BookQ3,416)&gt;0,"Q3",IF(INDEX(BookQ4,416)&gt;0,"Q4","")))))</f>
        <v/>
      </c>
      <c r="K421" s="42" t="str">
        <f aca="false">IF(INDEX(BookTitle,416)="","",INDEX(BookInYear,416))</f>
        <v/>
      </c>
      <c r="L421" s="19"/>
      <c r="M421" s="39"/>
      <c r="N421" s="19"/>
      <c r="O421" s="19"/>
      <c r="P421" s="43" t="str">
        <f aca="false">IF($E421="","",IF($L421="Decline",0,IF($L421="Approve fewer",IF($M421="","",$M421),IF($L421="","",$I421))))</f>
        <v/>
      </c>
      <c r="Q421" s="34" t="str">
        <f aca="false">IF($P421="","",IF($N421&lt;&gt;"",$N421,$J421))</f>
        <v/>
      </c>
      <c r="R421" s="35" t="str">
        <f aca="false">IF(OR($P421="",$Q421=""),"",INDEX(BookRate,416)*$P421*(5-MATCH($Q421,{"Q1";"Q2";"Q3";"Q4"},0))/4+INDEX(BookOneOff,416)*$P421)</f>
        <v/>
      </c>
      <c r="S421" s="35" t="str">
        <f aca="false">IF($P421="","",INDEX(BookRate,416)*$P421)</f>
        <v/>
      </c>
      <c r="T421" s="35" t="str">
        <f aca="false">IF($R421="","",$R421-$K421)</f>
        <v/>
      </c>
      <c r="U421" s="35" t="str">
        <f aca="false">IF(N($P421)&lt;=0,"",COUNTIF($P$6:$P421,"&gt;0"))</f>
        <v/>
      </c>
    </row>
    <row r="422" customFormat="false" ht="15" hidden="false" customHeight="false" outlineLevel="0" collapsed="false">
      <c r="A422" s="40" t="str">
        <f aca="false">IF(INDEX(BookTitle,417)="","",INDEX(BookGroup,417))</f>
        <v/>
      </c>
      <c r="B422" s="40" t="str">
        <f aca="false">IF(INDEX(BookTitle,417)="","",INDEX(BookRef,417))</f>
        <v/>
      </c>
      <c r="C422" s="40" t="str">
        <f aca="false">IF(INDEX(BookTitle,417)="","",INDEX(BookDivision,417))</f>
        <v/>
      </c>
      <c r="D422" s="40" t="str">
        <f aca="false">IF(INDEX(BookTitle,417)="","",INDEX(BookUnit,417))</f>
        <v/>
      </c>
      <c r="E422" s="40" t="str">
        <f aca="false">IF(INDEX(BookTitle,417)="","",INDEX(BookTitle,417))</f>
        <v/>
      </c>
      <c r="F422" s="40" t="str">
        <f aca="false">IF(INDEX(BookTitle,417)="","",INDEX(BookLevel,417))</f>
        <v/>
      </c>
      <c r="G422" s="40" t="str">
        <f aca="false">IF(INDEX(BookTitle,417)="","",INDEX(BookCategory,417))</f>
        <v/>
      </c>
      <c r="H422" s="40" t="str">
        <f aca="false">IF(INDEX(BookTitle,417)="","",INDEX(BookRank,417))</f>
        <v/>
      </c>
      <c r="I422" s="41" t="str">
        <f aca="false">IF(INDEX(BookTitle,417)="","",INDEX(BookTotal,417))</f>
        <v/>
      </c>
      <c r="J422" s="0" t="str">
        <f aca="false">IF($I422="","",IF(INDEX(BookQ1,417)&gt;0,"Q1",IF(INDEX(BookQ2,417)&gt;0,"Q2",IF(INDEX(BookQ3,417)&gt;0,"Q3",IF(INDEX(BookQ4,417)&gt;0,"Q4","")))))</f>
        <v/>
      </c>
      <c r="K422" s="42" t="str">
        <f aca="false">IF(INDEX(BookTitle,417)="","",INDEX(BookInYear,417))</f>
        <v/>
      </c>
      <c r="L422" s="19"/>
      <c r="M422" s="39"/>
      <c r="N422" s="19"/>
      <c r="O422" s="19"/>
      <c r="P422" s="43" t="str">
        <f aca="false">IF($E422="","",IF($L422="Decline",0,IF($L422="Approve fewer",IF($M422="","",$M422),IF($L422="","",$I422))))</f>
        <v/>
      </c>
      <c r="Q422" s="34" t="str">
        <f aca="false">IF($P422="","",IF($N422&lt;&gt;"",$N422,$J422))</f>
        <v/>
      </c>
      <c r="R422" s="35" t="str">
        <f aca="false">IF(OR($P422="",$Q422=""),"",INDEX(BookRate,417)*$P422*(5-MATCH($Q422,{"Q1";"Q2";"Q3";"Q4"},0))/4+INDEX(BookOneOff,417)*$P422)</f>
        <v/>
      </c>
      <c r="S422" s="35" t="str">
        <f aca="false">IF($P422="","",INDEX(BookRate,417)*$P422)</f>
        <v/>
      </c>
      <c r="T422" s="35" t="str">
        <f aca="false">IF($R422="","",$R422-$K422)</f>
        <v/>
      </c>
      <c r="U422" s="35" t="str">
        <f aca="false">IF(N($P422)&lt;=0,"",COUNTIF($P$6:$P422,"&gt;0"))</f>
        <v/>
      </c>
    </row>
    <row r="423" customFormat="false" ht="15" hidden="false" customHeight="false" outlineLevel="0" collapsed="false">
      <c r="A423" s="40" t="str">
        <f aca="false">IF(INDEX(BookTitle,418)="","",INDEX(BookGroup,418))</f>
        <v/>
      </c>
      <c r="B423" s="40" t="str">
        <f aca="false">IF(INDEX(BookTitle,418)="","",INDEX(BookRef,418))</f>
        <v/>
      </c>
      <c r="C423" s="40" t="str">
        <f aca="false">IF(INDEX(BookTitle,418)="","",INDEX(BookDivision,418))</f>
        <v/>
      </c>
      <c r="D423" s="40" t="str">
        <f aca="false">IF(INDEX(BookTitle,418)="","",INDEX(BookUnit,418))</f>
        <v/>
      </c>
      <c r="E423" s="40" t="str">
        <f aca="false">IF(INDEX(BookTitle,418)="","",INDEX(BookTitle,418))</f>
        <v/>
      </c>
      <c r="F423" s="40" t="str">
        <f aca="false">IF(INDEX(BookTitle,418)="","",INDEX(BookLevel,418))</f>
        <v/>
      </c>
      <c r="G423" s="40" t="str">
        <f aca="false">IF(INDEX(BookTitle,418)="","",INDEX(BookCategory,418))</f>
        <v/>
      </c>
      <c r="H423" s="40" t="str">
        <f aca="false">IF(INDEX(BookTitle,418)="","",INDEX(BookRank,418))</f>
        <v/>
      </c>
      <c r="I423" s="41" t="str">
        <f aca="false">IF(INDEX(BookTitle,418)="","",INDEX(BookTotal,418))</f>
        <v/>
      </c>
      <c r="J423" s="0" t="str">
        <f aca="false">IF($I423="","",IF(INDEX(BookQ1,418)&gt;0,"Q1",IF(INDEX(BookQ2,418)&gt;0,"Q2",IF(INDEX(BookQ3,418)&gt;0,"Q3",IF(INDEX(BookQ4,418)&gt;0,"Q4","")))))</f>
        <v/>
      </c>
      <c r="K423" s="42" t="str">
        <f aca="false">IF(INDEX(BookTitle,418)="","",INDEX(BookInYear,418))</f>
        <v/>
      </c>
      <c r="L423" s="19"/>
      <c r="M423" s="39"/>
      <c r="N423" s="19"/>
      <c r="O423" s="19"/>
      <c r="P423" s="43" t="str">
        <f aca="false">IF($E423="","",IF($L423="Decline",0,IF($L423="Approve fewer",IF($M423="","",$M423),IF($L423="","",$I423))))</f>
        <v/>
      </c>
      <c r="Q423" s="34" t="str">
        <f aca="false">IF($P423="","",IF($N423&lt;&gt;"",$N423,$J423))</f>
        <v/>
      </c>
      <c r="R423" s="35" t="str">
        <f aca="false">IF(OR($P423="",$Q423=""),"",INDEX(BookRate,418)*$P423*(5-MATCH($Q423,{"Q1";"Q2";"Q3";"Q4"},0))/4+INDEX(BookOneOff,418)*$P423)</f>
        <v/>
      </c>
      <c r="S423" s="35" t="str">
        <f aca="false">IF($P423="","",INDEX(BookRate,418)*$P423)</f>
        <v/>
      </c>
      <c r="T423" s="35" t="str">
        <f aca="false">IF($R423="","",$R423-$K423)</f>
        <v/>
      </c>
      <c r="U423" s="35" t="str">
        <f aca="false">IF(N($P423)&lt;=0,"",COUNTIF($P$6:$P423,"&gt;0"))</f>
        <v/>
      </c>
    </row>
    <row r="424" customFormat="false" ht="15" hidden="false" customHeight="false" outlineLevel="0" collapsed="false">
      <c r="A424" s="40" t="str">
        <f aca="false">IF(INDEX(BookTitle,419)="","",INDEX(BookGroup,419))</f>
        <v/>
      </c>
      <c r="B424" s="40" t="str">
        <f aca="false">IF(INDEX(BookTitle,419)="","",INDEX(BookRef,419))</f>
        <v/>
      </c>
      <c r="C424" s="40" t="str">
        <f aca="false">IF(INDEX(BookTitle,419)="","",INDEX(BookDivision,419))</f>
        <v/>
      </c>
      <c r="D424" s="40" t="str">
        <f aca="false">IF(INDEX(BookTitle,419)="","",INDEX(BookUnit,419))</f>
        <v/>
      </c>
      <c r="E424" s="40" t="str">
        <f aca="false">IF(INDEX(BookTitle,419)="","",INDEX(BookTitle,419))</f>
        <v/>
      </c>
      <c r="F424" s="40" t="str">
        <f aca="false">IF(INDEX(BookTitle,419)="","",INDEX(BookLevel,419))</f>
        <v/>
      </c>
      <c r="G424" s="40" t="str">
        <f aca="false">IF(INDEX(BookTitle,419)="","",INDEX(BookCategory,419))</f>
        <v/>
      </c>
      <c r="H424" s="40" t="str">
        <f aca="false">IF(INDEX(BookTitle,419)="","",INDEX(BookRank,419))</f>
        <v/>
      </c>
      <c r="I424" s="41" t="str">
        <f aca="false">IF(INDEX(BookTitle,419)="","",INDEX(BookTotal,419))</f>
        <v/>
      </c>
      <c r="J424" s="0" t="str">
        <f aca="false">IF($I424="","",IF(INDEX(BookQ1,419)&gt;0,"Q1",IF(INDEX(BookQ2,419)&gt;0,"Q2",IF(INDEX(BookQ3,419)&gt;0,"Q3",IF(INDEX(BookQ4,419)&gt;0,"Q4","")))))</f>
        <v/>
      </c>
      <c r="K424" s="42" t="str">
        <f aca="false">IF(INDEX(BookTitle,419)="","",INDEX(BookInYear,419))</f>
        <v/>
      </c>
      <c r="L424" s="19"/>
      <c r="M424" s="39"/>
      <c r="N424" s="19"/>
      <c r="O424" s="19"/>
      <c r="P424" s="43" t="str">
        <f aca="false">IF($E424="","",IF($L424="Decline",0,IF($L424="Approve fewer",IF($M424="","",$M424),IF($L424="","",$I424))))</f>
        <v/>
      </c>
      <c r="Q424" s="34" t="str">
        <f aca="false">IF($P424="","",IF($N424&lt;&gt;"",$N424,$J424))</f>
        <v/>
      </c>
      <c r="R424" s="35" t="str">
        <f aca="false">IF(OR($P424="",$Q424=""),"",INDEX(BookRate,419)*$P424*(5-MATCH($Q424,{"Q1";"Q2";"Q3";"Q4"},0))/4+INDEX(BookOneOff,419)*$P424)</f>
        <v/>
      </c>
      <c r="S424" s="35" t="str">
        <f aca="false">IF($P424="","",INDEX(BookRate,419)*$P424)</f>
        <v/>
      </c>
      <c r="T424" s="35" t="str">
        <f aca="false">IF($R424="","",$R424-$K424)</f>
        <v/>
      </c>
      <c r="U424" s="35" t="str">
        <f aca="false">IF(N($P424)&lt;=0,"",COUNTIF($P$6:$P424,"&gt;0"))</f>
        <v/>
      </c>
    </row>
    <row r="425" customFormat="false" ht="15" hidden="false" customHeight="false" outlineLevel="0" collapsed="false">
      <c r="A425" s="40" t="str">
        <f aca="false">IF(INDEX(BookTitle,420)="","",INDEX(BookGroup,420))</f>
        <v/>
      </c>
      <c r="B425" s="40" t="str">
        <f aca="false">IF(INDEX(BookTitle,420)="","",INDEX(BookRef,420))</f>
        <v/>
      </c>
      <c r="C425" s="40" t="str">
        <f aca="false">IF(INDEX(BookTitle,420)="","",INDEX(BookDivision,420))</f>
        <v/>
      </c>
      <c r="D425" s="40" t="str">
        <f aca="false">IF(INDEX(BookTitle,420)="","",INDEX(BookUnit,420))</f>
        <v/>
      </c>
      <c r="E425" s="40" t="str">
        <f aca="false">IF(INDEX(BookTitle,420)="","",INDEX(BookTitle,420))</f>
        <v/>
      </c>
      <c r="F425" s="40" t="str">
        <f aca="false">IF(INDEX(BookTitle,420)="","",INDEX(BookLevel,420))</f>
        <v/>
      </c>
      <c r="G425" s="40" t="str">
        <f aca="false">IF(INDEX(BookTitle,420)="","",INDEX(BookCategory,420))</f>
        <v/>
      </c>
      <c r="H425" s="40" t="str">
        <f aca="false">IF(INDEX(BookTitle,420)="","",INDEX(BookRank,420))</f>
        <v/>
      </c>
      <c r="I425" s="41" t="str">
        <f aca="false">IF(INDEX(BookTitle,420)="","",INDEX(BookTotal,420))</f>
        <v/>
      </c>
      <c r="J425" s="0" t="str">
        <f aca="false">IF($I425="","",IF(INDEX(BookQ1,420)&gt;0,"Q1",IF(INDEX(BookQ2,420)&gt;0,"Q2",IF(INDEX(BookQ3,420)&gt;0,"Q3",IF(INDEX(BookQ4,420)&gt;0,"Q4","")))))</f>
        <v/>
      </c>
      <c r="K425" s="42" t="str">
        <f aca="false">IF(INDEX(BookTitle,420)="","",INDEX(BookInYear,420))</f>
        <v/>
      </c>
      <c r="L425" s="19"/>
      <c r="M425" s="39"/>
      <c r="N425" s="19"/>
      <c r="O425" s="19"/>
      <c r="P425" s="43" t="str">
        <f aca="false">IF($E425="","",IF($L425="Decline",0,IF($L425="Approve fewer",IF($M425="","",$M425),IF($L425="","",$I425))))</f>
        <v/>
      </c>
      <c r="Q425" s="34" t="str">
        <f aca="false">IF($P425="","",IF($N425&lt;&gt;"",$N425,$J425))</f>
        <v/>
      </c>
      <c r="R425" s="35" t="str">
        <f aca="false">IF(OR($P425="",$Q425=""),"",INDEX(BookRate,420)*$P425*(5-MATCH($Q425,{"Q1";"Q2";"Q3";"Q4"},0))/4+INDEX(BookOneOff,420)*$P425)</f>
        <v/>
      </c>
      <c r="S425" s="35" t="str">
        <f aca="false">IF($P425="","",INDEX(BookRate,420)*$P425)</f>
        <v/>
      </c>
      <c r="T425" s="35" t="str">
        <f aca="false">IF($R425="","",$R425-$K425)</f>
        <v/>
      </c>
      <c r="U425" s="35" t="str">
        <f aca="false">IF(N($P425)&lt;=0,"",COUNTIF($P$6:$P425,"&gt;0"))</f>
        <v/>
      </c>
    </row>
    <row r="426" customFormat="false" ht="15" hidden="false" customHeight="false" outlineLevel="0" collapsed="false">
      <c r="A426" s="40" t="str">
        <f aca="false">IF(INDEX(BookTitle,421)="","",INDEX(BookGroup,421))</f>
        <v/>
      </c>
      <c r="B426" s="40" t="str">
        <f aca="false">IF(INDEX(BookTitle,421)="","",INDEX(BookRef,421))</f>
        <v/>
      </c>
      <c r="C426" s="40" t="str">
        <f aca="false">IF(INDEX(BookTitle,421)="","",INDEX(BookDivision,421))</f>
        <v/>
      </c>
      <c r="D426" s="40" t="str">
        <f aca="false">IF(INDEX(BookTitle,421)="","",INDEX(BookUnit,421))</f>
        <v/>
      </c>
      <c r="E426" s="40" t="str">
        <f aca="false">IF(INDEX(BookTitle,421)="","",INDEX(BookTitle,421))</f>
        <v/>
      </c>
      <c r="F426" s="40" t="str">
        <f aca="false">IF(INDEX(BookTitle,421)="","",INDEX(BookLevel,421))</f>
        <v/>
      </c>
      <c r="G426" s="40" t="str">
        <f aca="false">IF(INDEX(BookTitle,421)="","",INDEX(BookCategory,421))</f>
        <v/>
      </c>
      <c r="H426" s="40" t="str">
        <f aca="false">IF(INDEX(BookTitle,421)="","",INDEX(BookRank,421))</f>
        <v/>
      </c>
      <c r="I426" s="41" t="str">
        <f aca="false">IF(INDEX(BookTitle,421)="","",INDEX(BookTotal,421))</f>
        <v/>
      </c>
      <c r="J426" s="0" t="str">
        <f aca="false">IF($I426="","",IF(INDEX(BookQ1,421)&gt;0,"Q1",IF(INDEX(BookQ2,421)&gt;0,"Q2",IF(INDEX(BookQ3,421)&gt;0,"Q3",IF(INDEX(BookQ4,421)&gt;0,"Q4","")))))</f>
        <v/>
      </c>
      <c r="K426" s="42" t="str">
        <f aca="false">IF(INDEX(BookTitle,421)="","",INDEX(BookInYear,421))</f>
        <v/>
      </c>
      <c r="L426" s="19"/>
      <c r="M426" s="39"/>
      <c r="N426" s="19"/>
      <c r="O426" s="19"/>
      <c r="P426" s="43" t="str">
        <f aca="false">IF($E426="","",IF($L426="Decline",0,IF($L426="Approve fewer",IF($M426="","",$M426),IF($L426="","",$I426))))</f>
        <v/>
      </c>
      <c r="Q426" s="34" t="str">
        <f aca="false">IF($P426="","",IF($N426&lt;&gt;"",$N426,$J426))</f>
        <v/>
      </c>
      <c r="R426" s="35" t="str">
        <f aca="false">IF(OR($P426="",$Q426=""),"",INDEX(BookRate,421)*$P426*(5-MATCH($Q426,{"Q1";"Q2";"Q3";"Q4"},0))/4+INDEX(BookOneOff,421)*$P426)</f>
        <v/>
      </c>
      <c r="S426" s="35" t="str">
        <f aca="false">IF($P426="","",INDEX(BookRate,421)*$P426)</f>
        <v/>
      </c>
      <c r="T426" s="35" t="str">
        <f aca="false">IF($R426="","",$R426-$K426)</f>
        <v/>
      </c>
      <c r="U426" s="35" t="str">
        <f aca="false">IF(N($P426)&lt;=0,"",COUNTIF($P$6:$P426,"&gt;0"))</f>
        <v/>
      </c>
    </row>
    <row r="427" customFormat="false" ht="15" hidden="false" customHeight="false" outlineLevel="0" collapsed="false">
      <c r="A427" s="40" t="str">
        <f aca="false">IF(INDEX(BookTitle,422)="","",INDEX(BookGroup,422))</f>
        <v/>
      </c>
      <c r="B427" s="40" t="str">
        <f aca="false">IF(INDEX(BookTitle,422)="","",INDEX(BookRef,422))</f>
        <v/>
      </c>
      <c r="C427" s="40" t="str">
        <f aca="false">IF(INDEX(BookTitle,422)="","",INDEX(BookDivision,422))</f>
        <v/>
      </c>
      <c r="D427" s="40" t="str">
        <f aca="false">IF(INDEX(BookTitle,422)="","",INDEX(BookUnit,422))</f>
        <v/>
      </c>
      <c r="E427" s="40" t="str">
        <f aca="false">IF(INDEX(BookTitle,422)="","",INDEX(BookTitle,422))</f>
        <v/>
      </c>
      <c r="F427" s="40" t="str">
        <f aca="false">IF(INDEX(BookTitle,422)="","",INDEX(BookLevel,422))</f>
        <v/>
      </c>
      <c r="G427" s="40" t="str">
        <f aca="false">IF(INDEX(BookTitle,422)="","",INDEX(BookCategory,422))</f>
        <v/>
      </c>
      <c r="H427" s="40" t="str">
        <f aca="false">IF(INDEX(BookTitle,422)="","",INDEX(BookRank,422))</f>
        <v/>
      </c>
      <c r="I427" s="41" t="str">
        <f aca="false">IF(INDEX(BookTitle,422)="","",INDEX(BookTotal,422))</f>
        <v/>
      </c>
      <c r="J427" s="0" t="str">
        <f aca="false">IF($I427="","",IF(INDEX(BookQ1,422)&gt;0,"Q1",IF(INDEX(BookQ2,422)&gt;0,"Q2",IF(INDEX(BookQ3,422)&gt;0,"Q3",IF(INDEX(BookQ4,422)&gt;0,"Q4","")))))</f>
        <v/>
      </c>
      <c r="K427" s="42" t="str">
        <f aca="false">IF(INDEX(BookTitle,422)="","",INDEX(BookInYear,422))</f>
        <v/>
      </c>
      <c r="L427" s="19"/>
      <c r="M427" s="39"/>
      <c r="N427" s="19"/>
      <c r="O427" s="19"/>
      <c r="P427" s="43" t="str">
        <f aca="false">IF($E427="","",IF($L427="Decline",0,IF($L427="Approve fewer",IF($M427="","",$M427),IF($L427="","",$I427))))</f>
        <v/>
      </c>
      <c r="Q427" s="34" t="str">
        <f aca="false">IF($P427="","",IF($N427&lt;&gt;"",$N427,$J427))</f>
        <v/>
      </c>
      <c r="R427" s="35" t="str">
        <f aca="false">IF(OR($P427="",$Q427=""),"",INDEX(BookRate,422)*$P427*(5-MATCH($Q427,{"Q1";"Q2";"Q3";"Q4"},0))/4+INDEX(BookOneOff,422)*$P427)</f>
        <v/>
      </c>
      <c r="S427" s="35" t="str">
        <f aca="false">IF($P427="","",INDEX(BookRate,422)*$P427)</f>
        <v/>
      </c>
      <c r="T427" s="35" t="str">
        <f aca="false">IF($R427="","",$R427-$K427)</f>
        <v/>
      </c>
      <c r="U427" s="35" t="str">
        <f aca="false">IF(N($P427)&lt;=0,"",COUNTIF($P$6:$P427,"&gt;0"))</f>
        <v/>
      </c>
    </row>
    <row r="428" customFormat="false" ht="15" hidden="false" customHeight="false" outlineLevel="0" collapsed="false">
      <c r="A428" s="40" t="str">
        <f aca="false">IF(INDEX(BookTitle,423)="","",INDEX(BookGroup,423))</f>
        <v/>
      </c>
      <c r="B428" s="40" t="str">
        <f aca="false">IF(INDEX(BookTitle,423)="","",INDEX(BookRef,423))</f>
        <v/>
      </c>
      <c r="C428" s="40" t="str">
        <f aca="false">IF(INDEX(BookTitle,423)="","",INDEX(BookDivision,423))</f>
        <v/>
      </c>
      <c r="D428" s="40" t="str">
        <f aca="false">IF(INDEX(BookTitle,423)="","",INDEX(BookUnit,423))</f>
        <v/>
      </c>
      <c r="E428" s="40" t="str">
        <f aca="false">IF(INDEX(BookTitle,423)="","",INDEX(BookTitle,423))</f>
        <v/>
      </c>
      <c r="F428" s="40" t="str">
        <f aca="false">IF(INDEX(BookTitle,423)="","",INDEX(BookLevel,423))</f>
        <v/>
      </c>
      <c r="G428" s="40" t="str">
        <f aca="false">IF(INDEX(BookTitle,423)="","",INDEX(BookCategory,423))</f>
        <v/>
      </c>
      <c r="H428" s="40" t="str">
        <f aca="false">IF(INDEX(BookTitle,423)="","",INDEX(BookRank,423))</f>
        <v/>
      </c>
      <c r="I428" s="41" t="str">
        <f aca="false">IF(INDEX(BookTitle,423)="","",INDEX(BookTotal,423))</f>
        <v/>
      </c>
      <c r="J428" s="0" t="str">
        <f aca="false">IF($I428="","",IF(INDEX(BookQ1,423)&gt;0,"Q1",IF(INDEX(BookQ2,423)&gt;0,"Q2",IF(INDEX(BookQ3,423)&gt;0,"Q3",IF(INDEX(BookQ4,423)&gt;0,"Q4","")))))</f>
        <v/>
      </c>
      <c r="K428" s="42" t="str">
        <f aca="false">IF(INDEX(BookTitle,423)="","",INDEX(BookInYear,423))</f>
        <v/>
      </c>
      <c r="L428" s="19"/>
      <c r="M428" s="39"/>
      <c r="N428" s="19"/>
      <c r="O428" s="19"/>
      <c r="P428" s="43" t="str">
        <f aca="false">IF($E428="","",IF($L428="Decline",0,IF($L428="Approve fewer",IF($M428="","",$M428),IF($L428="","",$I428))))</f>
        <v/>
      </c>
      <c r="Q428" s="34" t="str">
        <f aca="false">IF($P428="","",IF($N428&lt;&gt;"",$N428,$J428))</f>
        <v/>
      </c>
      <c r="R428" s="35" t="str">
        <f aca="false">IF(OR($P428="",$Q428=""),"",INDEX(BookRate,423)*$P428*(5-MATCH($Q428,{"Q1";"Q2";"Q3";"Q4"},0))/4+INDEX(BookOneOff,423)*$P428)</f>
        <v/>
      </c>
      <c r="S428" s="35" t="str">
        <f aca="false">IF($P428="","",INDEX(BookRate,423)*$P428)</f>
        <v/>
      </c>
      <c r="T428" s="35" t="str">
        <f aca="false">IF($R428="","",$R428-$K428)</f>
        <v/>
      </c>
      <c r="U428" s="35" t="str">
        <f aca="false">IF(N($P428)&lt;=0,"",COUNTIF($P$6:$P428,"&gt;0"))</f>
        <v/>
      </c>
    </row>
    <row r="429" customFormat="false" ht="15" hidden="false" customHeight="false" outlineLevel="0" collapsed="false">
      <c r="A429" s="40" t="str">
        <f aca="false">IF(INDEX(BookTitle,424)="","",INDEX(BookGroup,424))</f>
        <v/>
      </c>
      <c r="B429" s="40" t="str">
        <f aca="false">IF(INDEX(BookTitle,424)="","",INDEX(BookRef,424))</f>
        <v/>
      </c>
      <c r="C429" s="40" t="str">
        <f aca="false">IF(INDEX(BookTitle,424)="","",INDEX(BookDivision,424))</f>
        <v/>
      </c>
      <c r="D429" s="40" t="str">
        <f aca="false">IF(INDEX(BookTitle,424)="","",INDEX(BookUnit,424))</f>
        <v/>
      </c>
      <c r="E429" s="40" t="str">
        <f aca="false">IF(INDEX(BookTitle,424)="","",INDEX(BookTitle,424))</f>
        <v/>
      </c>
      <c r="F429" s="40" t="str">
        <f aca="false">IF(INDEX(BookTitle,424)="","",INDEX(BookLevel,424))</f>
        <v/>
      </c>
      <c r="G429" s="40" t="str">
        <f aca="false">IF(INDEX(BookTitle,424)="","",INDEX(BookCategory,424))</f>
        <v/>
      </c>
      <c r="H429" s="40" t="str">
        <f aca="false">IF(INDEX(BookTitle,424)="","",INDEX(BookRank,424))</f>
        <v/>
      </c>
      <c r="I429" s="41" t="str">
        <f aca="false">IF(INDEX(BookTitle,424)="","",INDEX(BookTotal,424))</f>
        <v/>
      </c>
      <c r="J429" s="0" t="str">
        <f aca="false">IF($I429="","",IF(INDEX(BookQ1,424)&gt;0,"Q1",IF(INDEX(BookQ2,424)&gt;0,"Q2",IF(INDEX(BookQ3,424)&gt;0,"Q3",IF(INDEX(BookQ4,424)&gt;0,"Q4","")))))</f>
        <v/>
      </c>
      <c r="K429" s="42" t="str">
        <f aca="false">IF(INDEX(BookTitle,424)="","",INDEX(BookInYear,424))</f>
        <v/>
      </c>
      <c r="L429" s="19"/>
      <c r="M429" s="39"/>
      <c r="N429" s="19"/>
      <c r="O429" s="19"/>
      <c r="P429" s="43" t="str">
        <f aca="false">IF($E429="","",IF($L429="Decline",0,IF($L429="Approve fewer",IF($M429="","",$M429),IF($L429="","",$I429))))</f>
        <v/>
      </c>
      <c r="Q429" s="34" t="str">
        <f aca="false">IF($P429="","",IF($N429&lt;&gt;"",$N429,$J429))</f>
        <v/>
      </c>
      <c r="R429" s="35" t="str">
        <f aca="false">IF(OR($P429="",$Q429=""),"",INDEX(BookRate,424)*$P429*(5-MATCH($Q429,{"Q1";"Q2";"Q3";"Q4"},0))/4+INDEX(BookOneOff,424)*$P429)</f>
        <v/>
      </c>
      <c r="S429" s="35" t="str">
        <f aca="false">IF($P429="","",INDEX(BookRate,424)*$P429)</f>
        <v/>
      </c>
      <c r="T429" s="35" t="str">
        <f aca="false">IF($R429="","",$R429-$K429)</f>
        <v/>
      </c>
      <c r="U429" s="35" t="str">
        <f aca="false">IF(N($P429)&lt;=0,"",COUNTIF($P$6:$P429,"&gt;0"))</f>
        <v/>
      </c>
    </row>
    <row r="430" customFormat="false" ht="15" hidden="false" customHeight="false" outlineLevel="0" collapsed="false">
      <c r="A430" s="40" t="str">
        <f aca="false">IF(INDEX(BookTitle,425)="","",INDEX(BookGroup,425))</f>
        <v/>
      </c>
      <c r="B430" s="40" t="str">
        <f aca="false">IF(INDEX(BookTitle,425)="","",INDEX(BookRef,425))</f>
        <v/>
      </c>
      <c r="C430" s="40" t="str">
        <f aca="false">IF(INDEX(BookTitle,425)="","",INDEX(BookDivision,425))</f>
        <v/>
      </c>
      <c r="D430" s="40" t="str">
        <f aca="false">IF(INDEX(BookTitle,425)="","",INDEX(BookUnit,425))</f>
        <v/>
      </c>
      <c r="E430" s="40" t="str">
        <f aca="false">IF(INDEX(BookTitle,425)="","",INDEX(BookTitle,425))</f>
        <v/>
      </c>
      <c r="F430" s="40" t="str">
        <f aca="false">IF(INDEX(BookTitle,425)="","",INDEX(BookLevel,425))</f>
        <v/>
      </c>
      <c r="G430" s="40" t="str">
        <f aca="false">IF(INDEX(BookTitle,425)="","",INDEX(BookCategory,425))</f>
        <v/>
      </c>
      <c r="H430" s="40" t="str">
        <f aca="false">IF(INDEX(BookTitle,425)="","",INDEX(BookRank,425))</f>
        <v/>
      </c>
      <c r="I430" s="41" t="str">
        <f aca="false">IF(INDEX(BookTitle,425)="","",INDEX(BookTotal,425))</f>
        <v/>
      </c>
      <c r="J430" s="0" t="str">
        <f aca="false">IF($I430="","",IF(INDEX(BookQ1,425)&gt;0,"Q1",IF(INDEX(BookQ2,425)&gt;0,"Q2",IF(INDEX(BookQ3,425)&gt;0,"Q3",IF(INDEX(BookQ4,425)&gt;0,"Q4","")))))</f>
        <v/>
      </c>
      <c r="K430" s="42" t="str">
        <f aca="false">IF(INDEX(BookTitle,425)="","",INDEX(BookInYear,425))</f>
        <v/>
      </c>
      <c r="L430" s="19"/>
      <c r="M430" s="39"/>
      <c r="N430" s="19"/>
      <c r="O430" s="19"/>
      <c r="P430" s="43" t="str">
        <f aca="false">IF($E430="","",IF($L430="Decline",0,IF($L430="Approve fewer",IF($M430="","",$M430),IF($L430="","",$I430))))</f>
        <v/>
      </c>
      <c r="Q430" s="34" t="str">
        <f aca="false">IF($P430="","",IF($N430&lt;&gt;"",$N430,$J430))</f>
        <v/>
      </c>
      <c r="R430" s="35" t="str">
        <f aca="false">IF(OR($P430="",$Q430=""),"",INDEX(BookRate,425)*$P430*(5-MATCH($Q430,{"Q1";"Q2";"Q3";"Q4"},0))/4+INDEX(BookOneOff,425)*$P430)</f>
        <v/>
      </c>
      <c r="S430" s="35" t="str">
        <f aca="false">IF($P430="","",INDEX(BookRate,425)*$P430)</f>
        <v/>
      </c>
      <c r="T430" s="35" t="str">
        <f aca="false">IF($R430="","",$R430-$K430)</f>
        <v/>
      </c>
      <c r="U430" s="35" t="str">
        <f aca="false">IF(N($P430)&lt;=0,"",COUNTIF($P$6:$P430,"&gt;0"))</f>
        <v/>
      </c>
    </row>
    <row r="431" customFormat="false" ht="15" hidden="false" customHeight="false" outlineLevel="0" collapsed="false">
      <c r="A431" s="40" t="str">
        <f aca="false">IF(INDEX(BookTitle,426)="","",INDEX(BookGroup,426))</f>
        <v/>
      </c>
      <c r="B431" s="40" t="str">
        <f aca="false">IF(INDEX(BookTitle,426)="","",INDEX(BookRef,426))</f>
        <v/>
      </c>
      <c r="C431" s="40" t="str">
        <f aca="false">IF(INDEX(BookTitle,426)="","",INDEX(BookDivision,426))</f>
        <v/>
      </c>
      <c r="D431" s="40" t="str">
        <f aca="false">IF(INDEX(BookTitle,426)="","",INDEX(BookUnit,426))</f>
        <v/>
      </c>
      <c r="E431" s="40" t="str">
        <f aca="false">IF(INDEX(BookTitle,426)="","",INDEX(BookTitle,426))</f>
        <v/>
      </c>
      <c r="F431" s="40" t="str">
        <f aca="false">IF(INDEX(BookTitle,426)="","",INDEX(BookLevel,426))</f>
        <v/>
      </c>
      <c r="G431" s="40" t="str">
        <f aca="false">IF(INDEX(BookTitle,426)="","",INDEX(BookCategory,426))</f>
        <v/>
      </c>
      <c r="H431" s="40" t="str">
        <f aca="false">IF(INDEX(BookTitle,426)="","",INDEX(BookRank,426))</f>
        <v/>
      </c>
      <c r="I431" s="41" t="str">
        <f aca="false">IF(INDEX(BookTitle,426)="","",INDEX(BookTotal,426))</f>
        <v/>
      </c>
      <c r="J431" s="0" t="str">
        <f aca="false">IF($I431="","",IF(INDEX(BookQ1,426)&gt;0,"Q1",IF(INDEX(BookQ2,426)&gt;0,"Q2",IF(INDEX(BookQ3,426)&gt;0,"Q3",IF(INDEX(BookQ4,426)&gt;0,"Q4","")))))</f>
        <v/>
      </c>
      <c r="K431" s="42" t="str">
        <f aca="false">IF(INDEX(BookTitle,426)="","",INDEX(BookInYear,426))</f>
        <v/>
      </c>
      <c r="L431" s="19"/>
      <c r="M431" s="39"/>
      <c r="N431" s="19"/>
      <c r="O431" s="19"/>
      <c r="P431" s="43" t="str">
        <f aca="false">IF($E431="","",IF($L431="Decline",0,IF($L431="Approve fewer",IF($M431="","",$M431),IF($L431="","",$I431))))</f>
        <v/>
      </c>
      <c r="Q431" s="34" t="str">
        <f aca="false">IF($P431="","",IF($N431&lt;&gt;"",$N431,$J431))</f>
        <v/>
      </c>
      <c r="R431" s="35" t="str">
        <f aca="false">IF(OR($P431="",$Q431=""),"",INDEX(BookRate,426)*$P431*(5-MATCH($Q431,{"Q1";"Q2";"Q3";"Q4"},0))/4+INDEX(BookOneOff,426)*$P431)</f>
        <v/>
      </c>
      <c r="S431" s="35" t="str">
        <f aca="false">IF($P431="","",INDEX(BookRate,426)*$P431)</f>
        <v/>
      </c>
      <c r="T431" s="35" t="str">
        <f aca="false">IF($R431="","",$R431-$K431)</f>
        <v/>
      </c>
      <c r="U431" s="35" t="str">
        <f aca="false">IF(N($P431)&lt;=0,"",COUNTIF($P$6:$P431,"&gt;0"))</f>
        <v/>
      </c>
    </row>
    <row r="432" customFormat="false" ht="15" hidden="false" customHeight="false" outlineLevel="0" collapsed="false">
      <c r="A432" s="40" t="str">
        <f aca="false">IF(INDEX(BookTitle,427)="","",INDEX(BookGroup,427))</f>
        <v/>
      </c>
      <c r="B432" s="40" t="str">
        <f aca="false">IF(INDEX(BookTitle,427)="","",INDEX(BookRef,427))</f>
        <v/>
      </c>
      <c r="C432" s="40" t="str">
        <f aca="false">IF(INDEX(BookTitle,427)="","",INDEX(BookDivision,427))</f>
        <v/>
      </c>
      <c r="D432" s="40" t="str">
        <f aca="false">IF(INDEX(BookTitle,427)="","",INDEX(BookUnit,427))</f>
        <v/>
      </c>
      <c r="E432" s="40" t="str">
        <f aca="false">IF(INDEX(BookTitle,427)="","",INDEX(BookTitle,427))</f>
        <v/>
      </c>
      <c r="F432" s="40" t="str">
        <f aca="false">IF(INDEX(BookTitle,427)="","",INDEX(BookLevel,427))</f>
        <v/>
      </c>
      <c r="G432" s="40" t="str">
        <f aca="false">IF(INDEX(BookTitle,427)="","",INDEX(BookCategory,427))</f>
        <v/>
      </c>
      <c r="H432" s="40" t="str">
        <f aca="false">IF(INDEX(BookTitle,427)="","",INDEX(BookRank,427))</f>
        <v/>
      </c>
      <c r="I432" s="41" t="str">
        <f aca="false">IF(INDEX(BookTitle,427)="","",INDEX(BookTotal,427))</f>
        <v/>
      </c>
      <c r="J432" s="0" t="str">
        <f aca="false">IF($I432="","",IF(INDEX(BookQ1,427)&gt;0,"Q1",IF(INDEX(BookQ2,427)&gt;0,"Q2",IF(INDEX(BookQ3,427)&gt;0,"Q3",IF(INDEX(BookQ4,427)&gt;0,"Q4","")))))</f>
        <v/>
      </c>
      <c r="K432" s="42" t="str">
        <f aca="false">IF(INDEX(BookTitle,427)="","",INDEX(BookInYear,427))</f>
        <v/>
      </c>
      <c r="L432" s="19"/>
      <c r="M432" s="39"/>
      <c r="N432" s="19"/>
      <c r="O432" s="19"/>
      <c r="P432" s="43" t="str">
        <f aca="false">IF($E432="","",IF($L432="Decline",0,IF($L432="Approve fewer",IF($M432="","",$M432),IF($L432="","",$I432))))</f>
        <v/>
      </c>
      <c r="Q432" s="34" t="str">
        <f aca="false">IF($P432="","",IF($N432&lt;&gt;"",$N432,$J432))</f>
        <v/>
      </c>
      <c r="R432" s="35" t="str">
        <f aca="false">IF(OR($P432="",$Q432=""),"",INDEX(BookRate,427)*$P432*(5-MATCH($Q432,{"Q1";"Q2";"Q3";"Q4"},0))/4+INDEX(BookOneOff,427)*$P432)</f>
        <v/>
      </c>
      <c r="S432" s="35" t="str">
        <f aca="false">IF($P432="","",INDEX(BookRate,427)*$P432)</f>
        <v/>
      </c>
      <c r="T432" s="35" t="str">
        <f aca="false">IF($R432="","",$R432-$K432)</f>
        <v/>
      </c>
      <c r="U432" s="35" t="str">
        <f aca="false">IF(N($P432)&lt;=0,"",COUNTIF($P$6:$P432,"&gt;0"))</f>
        <v/>
      </c>
    </row>
    <row r="433" customFormat="false" ht="15" hidden="false" customHeight="false" outlineLevel="0" collapsed="false">
      <c r="A433" s="40" t="str">
        <f aca="false">IF(INDEX(BookTitle,428)="","",INDEX(BookGroup,428))</f>
        <v/>
      </c>
      <c r="B433" s="40" t="str">
        <f aca="false">IF(INDEX(BookTitle,428)="","",INDEX(BookRef,428))</f>
        <v/>
      </c>
      <c r="C433" s="40" t="str">
        <f aca="false">IF(INDEX(BookTitle,428)="","",INDEX(BookDivision,428))</f>
        <v/>
      </c>
      <c r="D433" s="40" t="str">
        <f aca="false">IF(INDEX(BookTitle,428)="","",INDEX(BookUnit,428))</f>
        <v/>
      </c>
      <c r="E433" s="40" t="str">
        <f aca="false">IF(INDEX(BookTitle,428)="","",INDEX(BookTitle,428))</f>
        <v/>
      </c>
      <c r="F433" s="40" t="str">
        <f aca="false">IF(INDEX(BookTitle,428)="","",INDEX(BookLevel,428))</f>
        <v/>
      </c>
      <c r="G433" s="40" t="str">
        <f aca="false">IF(INDEX(BookTitle,428)="","",INDEX(BookCategory,428))</f>
        <v/>
      </c>
      <c r="H433" s="40" t="str">
        <f aca="false">IF(INDEX(BookTitle,428)="","",INDEX(BookRank,428))</f>
        <v/>
      </c>
      <c r="I433" s="41" t="str">
        <f aca="false">IF(INDEX(BookTitle,428)="","",INDEX(BookTotal,428))</f>
        <v/>
      </c>
      <c r="J433" s="0" t="str">
        <f aca="false">IF($I433="","",IF(INDEX(BookQ1,428)&gt;0,"Q1",IF(INDEX(BookQ2,428)&gt;0,"Q2",IF(INDEX(BookQ3,428)&gt;0,"Q3",IF(INDEX(BookQ4,428)&gt;0,"Q4","")))))</f>
        <v/>
      </c>
      <c r="K433" s="42" t="str">
        <f aca="false">IF(INDEX(BookTitle,428)="","",INDEX(BookInYear,428))</f>
        <v/>
      </c>
      <c r="L433" s="19"/>
      <c r="M433" s="39"/>
      <c r="N433" s="19"/>
      <c r="O433" s="19"/>
      <c r="P433" s="43" t="str">
        <f aca="false">IF($E433="","",IF($L433="Decline",0,IF($L433="Approve fewer",IF($M433="","",$M433),IF($L433="","",$I433))))</f>
        <v/>
      </c>
      <c r="Q433" s="34" t="str">
        <f aca="false">IF($P433="","",IF($N433&lt;&gt;"",$N433,$J433))</f>
        <v/>
      </c>
      <c r="R433" s="35" t="str">
        <f aca="false">IF(OR($P433="",$Q433=""),"",INDEX(BookRate,428)*$P433*(5-MATCH($Q433,{"Q1";"Q2";"Q3";"Q4"},0))/4+INDEX(BookOneOff,428)*$P433)</f>
        <v/>
      </c>
      <c r="S433" s="35" t="str">
        <f aca="false">IF($P433="","",INDEX(BookRate,428)*$P433)</f>
        <v/>
      </c>
      <c r="T433" s="35" t="str">
        <f aca="false">IF($R433="","",$R433-$K433)</f>
        <v/>
      </c>
      <c r="U433" s="35" t="str">
        <f aca="false">IF(N($P433)&lt;=0,"",COUNTIF($P$6:$P433,"&gt;0"))</f>
        <v/>
      </c>
    </row>
    <row r="434" customFormat="false" ht="15" hidden="false" customHeight="false" outlineLevel="0" collapsed="false">
      <c r="A434" s="40" t="str">
        <f aca="false">IF(INDEX(BookTitle,429)="","",INDEX(BookGroup,429))</f>
        <v/>
      </c>
      <c r="B434" s="40" t="str">
        <f aca="false">IF(INDEX(BookTitle,429)="","",INDEX(BookRef,429))</f>
        <v/>
      </c>
      <c r="C434" s="40" t="str">
        <f aca="false">IF(INDEX(BookTitle,429)="","",INDEX(BookDivision,429))</f>
        <v/>
      </c>
      <c r="D434" s="40" t="str">
        <f aca="false">IF(INDEX(BookTitle,429)="","",INDEX(BookUnit,429))</f>
        <v/>
      </c>
      <c r="E434" s="40" t="str">
        <f aca="false">IF(INDEX(BookTitle,429)="","",INDEX(BookTitle,429))</f>
        <v/>
      </c>
      <c r="F434" s="40" t="str">
        <f aca="false">IF(INDEX(BookTitle,429)="","",INDEX(BookLevel,429))</f>
        <v/>
      </c>
      <c r="G434" s="40" t="str">
        <f aca="false">IF(INDEX(BookTitle,429)="","",INDEX(BookCategory,429))</f>
        <v/>
      </c>
      <c r="H434" s="40" t="str">
        <f aca="false">IF(INDEX(BookTitle,429)="","",INDEX(BookRank,429))</f>
        <v/>
      </c>
      <c r="I434" s="41" t="str">
        <f aca="false">IF(INDEX(BookTitle,429)="","",INDEX(BookTotal,429))</f>
        <v/>
      </c>
      <c r="J434" s="0" t="str">
        <f aca="false">IF($I434="","",IF(INDEX(BookQ1,429)&gt;0,"Q1",IF(INDEX(BookQ2,429)&gt;0,"Q2",IF(INDEX(BookQ3,429)&gt;0,"Q3",IF(INDEX(BookQ4,429)&gt;0,"Q4","")))))</f>
        <v/>
      </c>
      <c r="K434" s="42" t="str">
        <f aca="false">IF(INDEX(BookTitle,429)="","",INDEX(BookInYear,429))</f>
        <v/>
      </c>
      <c r="L434" s="19"/>
      <c r="M434" s="39"/>
      <c r="N434" s="19"/>
      <c r="O434" s="19"/>
      <c r="P434" s="43" t="str">
        <f aca="false">IF($E434="","",IF($L434="Decline",0,IF($L434="Approve fewer",IF($M434="","",$M434),IF($L434="","",$I434))))</f>
        <v/>
      </c>
      <c r="Q434" s="34" t="str">
        <f aca="false">IF($P434="","",IF($N434&lt;&gt;"",$N434,$J434))</f>
        <v/>
      </c>
      <c r="R434" s="35" t="str">
        <f aca="false">IF(OR($P434="",$Q434=""),"",INDEX(BookRate,429)*$P434*(5-MATCH($Q434,{"Q1";"Q2";"Q3";"Q4"},0))/4+INDEX(BookOneOff,429)*$P434)</f>
        <v/>
      </c>
      <c r="S434" s="35" t="str">
        <f aca="false">IF($P434="","",INDEX(BookRate,429)*$P434)</f>
        <v/>
      </c>
      <c r="T434" s="35" t="str">
        <f aca="false">IF($R434="","",$R434-$K434)</f>
        <v/>
      </c>
      <c r="U434" s="35" t="str">
        <f aca="false">IF(N($P434)&lt;=0,"",COUNTIF($P$6:$P434,"&gt;0"))</f>
        <v/>
      </c>
    </row>
    <row r="435" customFormat="false" ht="15" hidden="false" customHeight="false" outlineLevel="0" collapsed="false">
      <c r="A435" s="40" t="str">
        <f aca="false">IF(INDEX(BookTitle,430)="","",INDEX(BookGroup,430))</f>
        <v/>
      </c>
      <c r="B435" s="40" t="str">
        <f aca="false">IF(INDEX(BookTitle,430)="","",INDEX(BookRef,430))</f>
        <v/>
      </c>
      <c r="C435" s="40" t="str">
        <f aca="false">IF(INDEX(BookTitle,430)="","",INDEX(BookDivision,430))</f>
        <v/>
      </c>
      <c r="D435" s="40" t="str">
        <f aca="false">IF(INDEX(BookTitle,430)="","",INDEX(BookUnit,430))</f>
        <v/>
      </c>
      <c r="E435" s="40" t="str">
        <f aca="false">IF(INDEX(BookTitle,430)="","",INDEX(BookTitle,430))</f>
        <v/>
      </c>
      <c r="F435" s="40" t="str">
        <f aca="false">IF(INDEX(BookTitle,430)="","",INDEX(BookLevel,430))</f>
        <v/>
      </c>
      <c r="G435" s="40" t="str">
        <f aca="false">IF(INDEX(BookTitle,430)="","",INDEX(BookCategory,430))</f>
        <v/>
      </c>
      <c r="H435" s="40" t="str">
        <f aca="false">IF(INDEX(BookTitle,430)="","",INDEX(BookRank,430))</f>
        <v/>
      </c>
      <c r="I435" s="41" t="str">
        <f aca="false">IF(INDEX(BookTitle,430)="","",INDEX(BookTotal,430))</f>
        <v/>
      </c>
      <c r="J435" s="0" t="str">
        <f aca="false">IF($I435="","",IF(INDEX(BookQ1,430)&gt;0,"Q1",IF(INDEX(BookQ2,430)&gt;0,"Q2",IF(INDEX(BookQ3,430)&gt;0,"Q3",IF(INDEX(BookQ4,430)&gt;0,"Q4","")))))</f>
        <v/>
      </c>
      <c r="K435" s="42" t="str">
        <f aca="false">IF(INDEX(BookTitle,430)="","",INDEX(BookInYear,430))</f>
        <v/>
      </c>
      <c r="L435" s="19"/>
      <c r="M435" s="39"/>
      <c r="N435" s="19"/>
      <c r="O435" s="19"/>
      <c r="P435" s="43" t="str">
        <f aca="false">IF($E435="","",IF($L435="Decline",0,IF($L435="Approve fewer",IF($M435="","",$M435),IF($L435="","",$I435))))</f>
        <v/>
      </c>
      <c r="Q435" s="34" t="str">
        <f aca="false">IF($P435="","",IF($N435&lt;&gt;"",$N435,$J435))</f>
        <v/>
      </c>
      <c r="R435" s="35" t="str">
        <f aca="false">IF(OR($P435="",$Q435=""),"",INDEX(BookRate,430)*$P435*(5-MATCH($Q435,{"Q1";"Q2";"Q3";"Q4"},0))/4+INDEX(BookOneOff,430)*$P435)</f>
        <v/>
      </c>
      <c r="S435" s="35" t="str">
        <f aca="false">IF($P435="","",INDEX(BookRate,430)*$P435)</f>
        <v/>
      </c>
      <c r="T435" s="35" t="str">
        <f aca="false">IF($R435="","",$R435-$K435)</f>
        <v/>
      </c>
      <c r="U435" s="35" t="str">
        <f aca="false">IF(N($P435)&lt;=0,"",COUNTIF($P$6:$P435,"&gt;0"))</f>
        <v/>
      </c>
    </row>
    <row r="436" customFormat="false" ht="15" hidden="false" customHeight="false" outlineLevel="0" collapsed="false">
      <c r="A436" s="40" t="str">
        <f aca="false">IF(INDEX(BookTitle,431)="","",INDEX(BookGroup,431))</f>
        <v/>
      </c>
      <c r="B436" s="40" t="str">
        <f aca="false">IF(INDEX(BookTitle,431)="","",INDEX(BookRef,431))</f>
        <v/>
      </c>
      <c r="C436" s="40" t="str">
        <f aca="false">IF(INDEX(BookTitle,431)="","",INDEX(BookDivision,431))</f>
        <v/>
      </c>
      <c r="D436" s="40" t="str">
        <f aca="false">IF(INDEX(BookTitle,431)="","",INDEX(BookUnit,431))</f>
        <v/>
      </c>
      <c r="E436" s="40" t="str">
        <f aca="false">IF(INDEX(BookTitle,431)="","",INDEX(BookTitle,431))</f>
        <v/>
      </c>
      <c r="F436" s="40" t="str">
        <f aca="false">IF(INDEX(BookTitle,431)="","",INDEX(BookLevel,431))</f>
        <v/>
      </c>
      <c r="G436" s="40" t="str">
        <f aca="false">IF(INDEX(BookTitle,431)="","",INDEX(BookCategory,431))</f>
        <v/>
      </c>
      <c r="H436" s="40" t="str">
        <f aca="false">IF(INDEX(BookTitle,431)="","",INDEX(BookRank,431))</f>
        <v/>
      </c>
      <c r="I436" s="41" t="str">
        <f aca="false">IF(INDEX(BookTitle,431)="","",INDEX(BookTotal,431))</f>
        <v/>
      </c>
      <c r="J436" s="0" t="str">
        <f aca="false">IF($I436="","",IF(INDEX(BookQ1,431)&gt;0,"Q1",IF(INDEX(BookQ2,431)&gt;0,"Q2",IF(INDEX(BookQ3,431)&gt;0,"Q3",IF(INDEX(BookQ4,431)&gt;0,"Q4","")))))</f>
        <v/>
      </c>
      <c r="K436" s="42" t="str">
        <f aca="false">IF(INDEX(BookTitle,431)="","",INDEX(BookInYear,431))</f>
        <v/>
      </c>
      <c r="L436" s="19"/>
      <c r="M436" s="39"/>
      <c r="N436" s="19"/>
      <c r="O436" s="19"/>
      <c r="P436" s="43" t="str">
        <f aca="false">IF($E436="","",IF($L436="Decline",0,IF($L436="Approve fewer",IF($M436="","",$M436),IF($L436="","",$I436))))</f>
        <v/>
      </c>
      <c r="Q436" s="34" t="str">
        <f aca="false">IF($P436="","",IF($N436&lt;&gt;"",$N436,$J436))</f>
        <v/>
      </c>
      <c r="R436" s="35" t="str">
        <f aca="false">IF(OR($P436="",$Q436=""),"",INDEX(BookRate,431)*$P436*(5-MATCH($Q436,{"Q1";"Q2";"Q3";"Q4"},0))/4+INDEX(BookOneOff,431)*$P436)</f>
        <v/>
      </c>
      <c r="S436" s="35" t="str">
        <f aca="false">IF($P436="","",INDEX(BookRate,431)*$P436)</f>
        <v/>
      </c>
      <c r="T436" s="35" t="str">
        <f aca="false">IF($R436="","",$R436-$K436)</f>
        <v/>
      </c>
      <c r="U436" s="35" t="str">
        <f aca="false">IF(N($P436)&lt;=0,"",COUNTIF($P$6:$P436,"&gt;0"))</f>
        <v/>
      </c>
    </row>
    <row r="437" customFormat="false" ht="15" hidden="false" customHeight="false" outlineLevel="0" collapsed="false">
      <c r="A437" s="40" t="str">
        <f aca="false">IF(INDEX(BookTitle,432)="","",INDEX(BookGroup,432))</f>
        <v/>
      </c>
      <c r="B437" s="40" t="str">
        <f aca="false">IF(INDEX(BookTitle,432)="","",INDEX(BookRef,432))</f>
        <v/>
      </c>
      <c r="C437" s="40" t="str">
        <f aca="false">IF(INDEX(BookTitle,432)="","",INDEX(BookDivision,432))</f>
        <v/>
      </c>
      <c r="D437" s="40" t="str">
        <f aca="false">IF(INDEX(BookTitle,432)="","",INDEX(BookUnit,432))</f>
        <v/>
      </c>
      <c r="E437" s="40" t="str">
        <f aca="false">IF(INDEX(BookTitle,432)="","",INDEX(BookTitle,432))</f>
        <v/>
      </c>
      <c r="F437" s="40" t="str">
        <f aca="false">IF(INDEX(BookTitle,432)="","",INDEX(BookLevel,432))</f>
        <v/>
      </c>
      <c r="G437" s="40" t="str">
        <f aca="false">IF(INDEX(BookTitle,432)="","",INDEX(BookCategory,432))</f>
        <v/>
      </c>
      <c r="H437" s="40" t="str">
        <f aca="false">IF(INDEX(BookTitle,432)="","",INDEX(BookRank,432))</f>
        <v/>
      </c>
      <c r="I437" s="41" t="str">
        <f aca="false">IF(INDEX(BookTitle,432)="","",INDEX(BookTotal,432))</f>
        <v/>
      </c>
      <c r="J437" s="0" t="str">
        <f aca="false">IF($I437="","",IF(INDEX(BookQ1,432)&gt;0,"Q1",IF(INDEX(BookQ2,432)&gt;0,"Q2",IF(INDEX(BookQ3,432)&gt;0,"Q3",IF(INDEX(BookQ4,432)&gt;0,"Q4","")))))</f>
        <v/>
      </c>
      <c r="K437" s="42" t="str">
        <f aca="false">IF(INDEX(BookTitle,432)="","",INDEX(BookInYear,432))</f>
        <v/>
      </c>
      <c r="L437" s="19"/>
      <c r="M437" s="39"/>
      <c r="N437" s="19"/>
      <c r="O437" s="19"/>
      <c r="P437" s="43" t="str">
        <f aca="false">IF($E437="","",IF($L437="Decline",0,IF($L437="Approve fewer",IF($M437="","",$M437),IF($L437="","",$I437))))</f>
        <v/>
      </c>
      <c r="Q437" s="34" t="str">
        <f aca="false">IF($P437="","",IF($N437&lt;&gt;"",$N437,$J437))</f>
        <v/>
      </c>
      <c r="R437" s="35" t="str">
        <f aca="false">IF(OR($P437="",$Q437=""),"",INDEX(BookRate,432)*$P437*(5-MATCH($Q437,{"Q1";"Q2";"Q3";"Q4"},0))/4+INDEX(BookOneOff,432)*$P437)</f>
        <v/>
      </c>
      <c r="S437" s="35" t="str">
        <f aca="false">IF($P437="","",INDEX(BookRate,432)*$P437)</f>
        <v/>
      </c>
      <c r="T437" s="35" t="str">
        <f aca="false">IF($R437="","",$R437-$K437)</f>
        <v/>
      </c>
      <c r="U437" s="35" t="str">
        <f aca="false">IF(N($P437)&lt;=0,"",COUNTIF($P$6:$P437,"&gt;0"))</f>
        <v/>
      </c>
    </row>
    <row r="438" customFormat="false" ht="15" hidden="false" customHeight="false" outlineLevel="0" collapsed="false">
      <c r="A438" s="40" t="str">
        <f aca="false">IF(INDEX(BookTitle,433)="","",INDEX(BookGroup,433))</f>
        <v/>
      </c>
      <c r="B438" s="40" t="str">
        <f aca="false">IF(INDEX(BookTitle,433)="","",INDEX(BookRef,433))</f>
        <v/>
      </c>
      <c r="C438" s="40" t="str">
        <f aca="false">IF(INDEX(BookTitle,433)="","",INDEX(BookDivision,433))</f>
        <v/>
      </c>
      <c r="D438" s="40" t="str">
        <f aca="false">IF(INDEX(BookTitle,433)="","",INDEX(BookUnit,433))</f>
        <v/>
      </c>
      <c r="E438" s="40" t="str">
        <f aca="false">IF(INDEX(BookTitle,433)="","",INDEX(BookTitle,433))</f>
        <v/>
      </c>
      <c r="F438" s="40" t="str">
        <f aca="false">IF(INDEX(BookTitle,433)="","",INDEX(BookLevel,433))</f>
        <v/>
      </c>
      <c r="G438" s="40" t="str">
        <f aca="false">IF(INDEX(BookTitle,433)="","",INDEX(BookCategory,433))</f>
        <v/>
      </c>
      <c r="H438" s="40" t="str">
        <f aca="false">IF(INDEX(BookTitle,433)="","",INDEX(BookRank,433))</f>
        <v/>
      </c>
      <c r="I438" s="41" t="str">
        <f aca="false">IF(INDEX(BookTitle,433)="","",INDEX(BookTotal,433))</f>
        <v/>
      </c>
      <c r="J438" s="0" t="str">
        <f aca="false">IF($I438="","",IF(INDEX(BookQ1,433)&gt;0,"Q1",IF(INDEX(BookQ2,433)&gt;0,"Q2",IF(INDEX(BookQ3,433)&gt;0,"Q3",IF(INDEX(BookQ4,433)&gt;0,"Q4","")))))</f>
        <v/>
      </c>
      <c r="K438" s="42" t="str">
        <f aca="false">IF(INDEX(BookTitle,433)="","",INDEX(BookInYear,433))</f>
        <v/>
      </c>
      <c r="L438" s="19"/>
      <c r="M438" s="39"/>
      <c r="N438" s="19"/>
      <c r="O438" s="19"/>
      <c r="P438" s="43" t="str">
        <f aca="false">IF($E438="","",IF($L438="Decline",0,IF($L438="Approve fewer",IF($M438="","",$M438),IF($L438="","",$I438))))</f>
        <v/>
      </c>
      <c r="Q438" s="34" t="str">
        <f aca="false">IF($P438="","",IF($N438&lt;&gt;"",$N438,$J438))</f>
        <v/>
      </c>
      <c r="R438" s="35" t="str">
        <f aca="false">IF(OR($P438="",$Q438=""),"",INDEX(BookRate,433)*$P438*(5-MATCH($Q438,{"Q1";"Q2";"Q3";"Q4"},0))/4+INDEX(BookOneOff,433)*$P438)</f>
        <v/>
      </c>
      <c r="S438" s="35" t="str">
        <f aca="false">IF($P438="","",INDEX(BookRate,433)*$P438)</f>
        <v/>
      </c>
      <c r="T438" s="35" t="str">
        <f aca="false">IF($R438="","",$R438-$K438)</f>
        <v/>
      </c>
      <c r="U438" s="35" t="str">
        <f aca="false">IF(N($P438)&lt;=0,"",COUNTIF($P$6:$P438,"&gt;0"))</f>
        <v/>
      </c>
    </row>
    <row r="439" customFormat="false" ht="15" hidden="false" customHeight="false" outlineLevel="0" collapsed="false">
      <c r="A439" s="40" t="str">
        <f aca="false">IF(INDEX(BookTitle,434)="","",INDEX(BookGroup,434))</f>
        <v/>
      </c>
      <c r="B439" s="40" t="str">
        <f aca="false">IF(INDEX(BookTitle,434)="","",INDEX(BookRef,434))</f>
        <v/>
      </c>
      <c r="C439" s="40" t="str">
        <f aca="false">IF(INDEX(BookTitle,434)="","",INDEX(BookDivision,434))</f>
        <v/>
      </c>
      <c r="D439" s="40" t="str">
        <f aca="false">IF(INDEX(BookTitle,434)="","",INDEX(BookUnit,434))</f>
        <v/>
      </c>
      <c r="E439" s="40" t="str">
        <f aca="false">IF(INDEX(BookTitle,434)="","",INDEX(BookTitle,434))</f>
        <v/>
      </c>
      <c r="F439" s="40" t="str">
        <f aca="false">IF(INDEX(BookTitle,434)="","",INDEX(BookLevel,434))</f>
        <v/>
      </c>
      <c r="G439" s="40" t="str">
        <f aca="false">IF(INDEX(BookTitle,434)="","",INDEX(BookCategory,434))</f>
        <v/>
      </c>
      <c r="H439" s="40" t="str">
        <f aca="false">IF(INDEX(BookTitle,434)="","",INDEX(BookRank,434))</f>
        <v/>
      </c>
      <c r="I439" s="41" t="str">
        <f aca="false">IF(INDEX(BookTitle,434)="","",INDEX(BookTotal,434))</f>
        <v/>
      </c>
      <c r="J439" s="0" t="str">
        <f aca="false">IF($I439="","",IF(INDEX(BookQ1,434)&gt;0,"Q1",IF(INDEX(BookQ2,434)&gt;0,"Q2",IF(INDEX(BookQ3,434)&gt;0,"Q3",IF(INDEX(BookQ4,434)&gt;0,"Q4","")))))</f>
        <v/>
      </c>
      <c r="K439" s="42" t="str">
        <f aca="false">IF(INDEX(BookTitle,434)="","",INDEX(BookInYear,434))</f>
        <v/>
      </c>
      <c r="L439" s="19"/>
      <c r="M439" s="39"/>
      <c r="N439" s="19"/>
      <c r="O439" s="19"/>
      <c r="P439" s="43" t="str">
        <f aca="false">IF($E439="","",IF($L439="Decline",0,IF($L439="Approve fewer",IF($M439="","",$M439),IF($L439="","",$I439))))</f>
        <v/>
      </c>
      <c r="Q439" s="34" t="str">
        <f aca="false">IF($P439="","",IF($N439&lt;&gt;"",$N439,$J439))</f>
        <v/>
      </c>
      <c r="R439" s="35" t="str">
        <f aca="false">IF(OR($P439="",$Q439=""),"",INDEX(BookRate,434)*$P439*(5-MATCH($Q439,{"Q1";"Q2";"Q3";"Q4"},0))/4+INDEX(BookOneOff,434)*$P439)</f>
        <v/>
      </c>
      <c r="S439" s="35" t="str">
        <f aca="false">IF($P439="","",INDEX(BookRate,434)*$P439)</f>
        <v/>
      </c>
      <c r="T439" s="35" t="str">
        <f aca="false">IF($R439="","",$R439-$K439)</f>
        <v/>
      </c>
      <c r="U439" s="35" t="str">
        <f aca="false">IF(N($P439)&lt;=0,"",COUNTIF($P$6:$P439,"&gt;0"))</f>
        <v/>
      </c>
    </row>
    <row r="440" customFormat="false" ht="15" hidden="false" customHeight="false" outlineLevel="0" collapsed="false">
      <c r="A440" s="40" t="str">
        <f aca="false">IF(INDEX(BookTitle,435)="","",INDEX(BookGroup,435))</f>
        <v/>
      </c>
      <c r="B440" s="40" t="str">
        <f aca="false">IF(INDEX(BookTitle,435)="","",INDEX(BookRef,435))</f>
        <v/>
      </c>
      <c r="C440" s="40" t="str">
        <f aca="false">IF(INDEX(BookTitle,435)="","",INDEX(BookDivision,435))</f>
        <v/>
      </c>
      <c r="D440" s="40" t="str">
        <f aca="false">IF(INDEX(BookTitle,435)="","",INDEX(BookUnit,435))</f>
        <v/>
      </c>
      <c r="E440" s="40" t="str">
        <f aca="false">IF(INDEX(BookTitle,435)="","",INDEX(BookTitle,435))</f>
        <v/>
      </c>
      <c r="F440" s="40" t="str">
        <f aca="false">IF(INDEX(BookTitle,435)="","",INDEX(BookLevel,435))</f>
        <v/>
      </c>
      <c r="G440" s="40" t="str">
        <f aca="false">IF(INDEX(BookTitle,435)="","",INDEX(BookCategory,435))</f>
        <v/>
      </c>
      <c r="H440" s="40" t="str">
        <f aca="false">IF(INDEX(BookTitle,435)="","",INDEX(BookRank,435))</f>
        <v/>
      </c>
      <c r="I440" s="41" t="str">
        <f aca="false">IF(INDEX(BookTitle,435)="","",INDEX(BookTotal,435))</f>
        <v/>
      </c>
      <c r="J440" s="0" t="str">
        <f aca="false">IF($I440="","",IF(INDEX(BookQ1,435)&gt;0,"Q1",IF(INDEX(BookQ2,435)&gt;0,"Q2",IF(INDEX(BookQ3,435)&gt;0,"Q3",IF(INDEX(BookQ4,435)&gt;0,"Q4","")))))</f>
        <v/>
      </c>
      <c r="K440" s="42" t="str">
        <f aca="false">IF(INDEX(BookTitle,435)="","",INDEX(BookInYear,435))</f>
        <v/>
      </c>
      <c r="L440" s="19"/>
      <c r="M440" s="39"/>
      <c r="N440" s="19"/>
      <c r="O440" s="19"/>
      <c r="P440" s="43" t="str">
        <f aca="false">IF($E440="","",IF($L440="Decline",0,IF($L440="Approve fewer",IF($M440="","",$M440),IF($L440="","",$I440))))</f>
        <v/>
      </c>
      <c r="Q440" s="34" t="str">
        <f aca="false">IF($P440="","",IF($N440&lt;&gt;"",$N440,$J440))</f>
        <v/>
      </c>
      <c r="R440" s="35" t="str">
        <f aca="false">IF(OR($P440="",$Q440=""),"",INDEX(BookRate,435)*$P440*(5-MATCH($Q440,{"Q1";"Q2";"Q3";"Q4"},0))/4+INDEX(BookOneOff,435)*$P440)</f>
        <v/>
      </c>
      <c r="S440" s="35" t="str">
        <f aca="false">IF($P440="","",INDEX(BookRate,435)*$P440)</f>
        <v/>
      </c>
      <c r="T440" s="35" t="str">
        <f aca="false">IF($R440="","",$R440-$K440)</f>
        <v/>
      </c>
      <c r="U440" s="35" t="str">
        <f aca="false">IF(N($P440)&lt;=0,"",COUNTIF($P$6:$P440,"&gt;0"))</f>
        <v/>
      </c>
    </row>
    <row r="441" customFormat="false" ht="15" hidden="false" customHeight="false" outlineLevel="0" collapsed="false">
      <c r="A441" s="40" t="str">
        <f aca="false">IF(INDEX(BookTitle,436)="","",INDEX(BookGroup,436))</f>
        <v/>
      </c>
      <c r="B441" s="40" t="str">
        <f aca="false">IF(INDEX(BookTitle,436)="","",INDEX(BookRef,436))</f>
        <v/>
      </c>
      <c r="C441" s="40" t="str">
        <f aca="false">IF(INDEX(BookTitle,436)="","",INDEX(BookDivision,436))</f>
        <v/>
      </c>
      <c r="D441" s="40" t="str">
        <f aca="false">IF(INDEX(BookTitle,436)="","",INDEX(BookUnit,436))</f>
        <v/>
      </c>
      <c r="E441" s="40" t="str">
        <f aca="false">IF(INDEX(BookTitle,436)="","",INDEX(BookTitle,436))</f>
        <v/>
      </c>
      <c r="F441" s="40" t="str">
        <f aca="false">IF(INDEX(BookTitle,436)="","",INDEX(BookLevel,436))</f>
        <v/>
      </c>
      <c r="G441" s="40" t="str">
        <f aca="false">IF(INDEX(BookTitle,436)="","",INDEX(BookCategory,436))</f>
        <v/>
      </c>
      <c r="H441" s="40" t="str">
        <f aca="false">IF(INDEX(BookTitle,436)="","",INDEX(BookRank,436))</f>
        <v/>
      </c>
      <c r="I441" s="41" t="str">
        <f aca="false">IF(INDEX(BookTitle,436)="","",INDEX(BookTotal,436))</f>
        <v/>
      </c>
      <c r="J441" s="0" t="str">
        <f aca="false">IF($I441="","",IF(INDEX(BookQ1,436)&gt;0,"Q1",IF(INDEX(BookQ2,436)&gt;0,"Q2",IF(INDEX(BookQ3,436)&gt;0,"Q3",IF(INDEX(BookQ4,436)&gt;0,"Q4","")))))</f>
        <v/>
      </c>
      <c r="K441" s="42" t="str">
        <f aca="false">IF(INDEX(BookTitle,436)="","",INDEX(BookInYear,436))</f>
        <v/>
      </c>
      <c r="L441" s="19"/>
      <c r="M441" s="39"/>
      <c r="N441" s="19"/>
      <c r="O441" s="19"/>
      <c r="P441" s="43" t="str">
        <f aca="false">IF($E441="","",IF($L441="Decline",0,IF($L441="Approve fewer",IF($M441="","",$M441),IF($L441="","",$I441))))</f>
        <v/>
      </c>
      <c r="Q441" s="34" t="str">
        <f aca="false">IF($P441="","",IF($N441&lt;&gt;"",$N441,$J441))</f>
        <v/>
      </c>
      <c r="R441" s="35" t="str">
        <f aca="false">IF(OR($P441="",$Q441=""),"",INDEX(BookRate,436)*$P441*(5-MATCH($Q441,{"Q1";"Q2";"Q3";"Q4"},0))/4+INDEX(BookOneOff,436)*$P441)</f>
        <v/>
      </c>
      <c r="S441" s="35" t="str">
        <f aca="false">IF($P441="","",INDEX(BookRate,436)*$P441)</f>
        <v/>
      </c>
      <c r="T441" s="35" t="str">
        <f aca="false">IF($R441="","",$R441-$K441)</f>
        <v/>
      </c>
      <c r="U441" s="35" t="str">
        <f aca="false">IF(N($P441)&lt;=0,"",COUNTIF($P$6:$P441,"&gt;0"))</f>
        <v/>
      </c>
    </row>
    <row r="442" customFormat="false" ht="15" hidden="false" customHeight="false" outlineLevel="0" collapsed="false">
      <c r="A442" s="40" t="str">
        <f aca="false">IF(INDEX(BookTitle,437)="","",INDEX(BookGroup,437))</f>
        <v/>
      </c>
      <c r="B442" s="40" t="str">
        <f aca="false">IF(INDEX(BookTitle,437)="","",INDEX(BookRef,437))</f>
        <v/>
      </c>
      <c r="C442" s="40" t="str">
        <f aca="false">IF(INDEX(BookTitle,437)="","",INDEX(BookDivision,437))</f>
        <v/>
      </c>
      <c r="D442" s="40" t="str">
        <f aca="false">IF(INDEX(BookTitle,437)="","",INDEX(BookUnit,437))</f>
        <v/>
      </c>
      <c r="E442" s="40" t="str">
        <f aca="false">IF(INDEX(BookTitle,437)="","",INDEX(BookTitle,437))</f>
        <v/>
      </c>
      <c r="F442" s="40" t="str">
        <f aca="false">IF(INDEX(BookTitle,437)="","",INDEX(BookLevel,437))</f>
        <v/>
      </c>
      <c r="G442" s="40" t="str">
        <f aca="false">IF(INDEX(BookTitle,437)="","",INDEX(BookCategory,437))</f>
        <v/>
      </c>
      <c r="H442" s="40" t="str">
        <f aca="false">IF(INDEX(BookTitle,437)="","",INDEX(BookRank,437))</f>
        <v/>
      </c>
      <c r="I442" s="41" t="str">
        <f aca="false">IF(INDEX(BookTitle,437)="","",INDEX(BookTotal,437))</f>
        <v/>
      </c>
      <c r="J442" s="0" t="str">
        <f aca="false">IF($I442="","",IF(INDEX(BookQ1,437)&gt;0,"Q1",IF(INDEX(BookQ2,437)&gt;0,"Q2",IF(INDEX(BookQ3,437)&gt;0,"Q3",IF(INDEX(BookQ4,437)&gt;0,"Q4","")))))</f>
        <v/>
      </c>
      <c r="K442" s="42" t="str">
        <f aca="false">IF(INDEX(BookTitle,437)="","",INDEX(BookInYear,437))</f>
        <v/>
      </c>
      <c r="L442" s="19"/>
      <c r="M442" s="39"/>
      <c r="N442" s="19"/>
      <c r="O442" s="19"/>
      <c r="P442" s="43" t="str">
        <f aca="false">IF($E442="","",IF($L442="Decline",0,IF($L442="Approve fewer",IF($M442="","",$M442),IF($L442="","",$I442))))</f>
        <v/>
      </c>
      <c r="Q442" s="34" t="str">
        <f aca="false">IF($P442="","",IF($N442&lt;&gt;"",$N442,$J442))</f>
        <v/>
      </c>
      <c r="R442" s="35" t="str">
        <f aca="false">IF(OR($P442="",$Q442=""),"",INDEX(BookRate,437)*$P442*(5-MATCH($Q442,{"Q1";"Q2";"Q3";"Q4"},0))/4+INDEX(BookOneOff,437)*$P442)</f>
        <v/>
      </c>
      <c r="S442" s="35" t="str">
        <f aca="false">IF($P442="","",INDEX(BookRate,437)*$P442)</f>
        <v/>
      </c>
      <c r="T442" s="35" t="str">
        <f aca="false">IF($R442="","",$R442-$K442)</f>
        <v/>
      </c>
      <c r="U442" s="35" t="str">
        <f aca="false">IF(N($P442)&lt;=0,"",COUNTIF($P$6:$P442,"&gt;0"))</f>
        <v/>
      </c>
    </row>
    <row r="443" customFormat="false" ht="15" hidden="false" customHeight="false" outlineLevel="0" collapsed="false">
      <c r="A443" s="40" t="str">
        <f aca="false">IF(INDEX(BookTitle,438)="","",INDEX(BookGroup,438))</f>
        <v/>
      </c>
      <c r="B443" s="40" t="str">
        <f aca="false">IF(INDEX(BookTitle,438)="","",INDEX(BookRef,438))</f>
        <v/>
      </c>
      <c r="C443" s="40" t="str">
        <f aca="false">IF(INDEX(BookTitle,438)="","",INDEX(BookDivision,438))</f>
        <v/>
      </c>
      <c r="D443" s="40" t="str">
        <f aca="false">IF(INDEX(BookTitle,438)="","",INDEX(BookUnit,438))</f>
        <v/>
      </c>
      <c r="E443" s="40" t="str">
        <f aca="false">IF(INDEX(BookTitle,438)="","",INDEX(BookTitle,438))</f>
        <v/>
      </c>
      <c r="F443" s="40" t="str">
        <f aca="false">IF(INDEX(BookTitle,438)="","",INDEX(BookLevel,438))</f>
        <v/>
      </c>
      <c r="G443" s="40" t="str">
        <f aca="false">IF(INDEX(BookTitle,438)="","",INDEX(BookCategory,438))</f>
        <v/>
      </c>
      <c r="H443" s="40" t="str">
        <f aca="false">IF(INDEX(BookTitle,438)="","",INDEX(BookRank,438))</f>
        <v/>
      </c>
      <c r="I443" s="41" t="str">
        <f aca="false">IF(INDEX(BookTitle,438)="","",INDEX(BookTotal,438))</f>
        <v/>
      </c>
      <c r="J443" s="0" t="str">
        <f aca="false">IF($I443="","",IF(INDEX(BookQ1,438)&gt;0,"Q1",IF(INDEX(BookQ2,438)&gt;0,"Q2",IF(INDEX(BookQ3,438)&gt;0,"Q3",IF(INDEX(BookQ4,438)&gt;0,"Q4","")))))</f>
        <v/>
      </c>
      <c r="K443" s="42" t="str">
        <f aca="false">IF(INDEX(BookTitle,438)="","",INDEX(BookInYear,438))</f>
        <v/>
      </c>
      <c r="L443" s="19"/>
      <c r="M443" s="39"/>
      <c r="N443" s="19"/>
      <c r="O443" s="19"/>
      <c r="P443" s="43" t="str">
        <f aca="false">IF($E443="","",IF($L443="Decline",0,IF($L443="Approve fewer",IF($M443="","",$M443),IF($L443="","",$I443))))</f>
        <v/>
      </c>
      <c r="Q443" s="34" t="str">
        <f aca="false">IF($P443="","",IF($N443&lt;&gt;"",$N443,$J443))</f>
        <v/>
      </c>
      <c r="R443" s="35" t="str">
        <f aca="false">IF(OR($P443="",$Q443=""),"",INDEX(BookRate,438)*$P443*(5-MATCH($Q443,{"Q1";"Q2";"Q3";"Q4"},0))/4+INDEX(BookOneOff,438)*$P443)</f>
        <v/>
      </c>
      <c r="S443" s="35" t="str">
        <f aca="false">IF($P443="","",INDEX(BookRate,438)*$P443)</f>
        <v/>
      </c>
      <c r="T443" s="35" t="str">
        <f aca="false">IF($R443="","",$R443-$K443)</f>
        <v/>
      </c>
      <c r="U443" s="35" t="str">
        <f aca="false">IF(N($P443)&lt;=0,"",COUNTIF($P$6:$P443,"&gt;0"))</f>
        <v/>
      </c>
    </row>
    <row r="444" customFormat="false" ht="15" hidden="false" customHeight="false" outlineLevel="0" collapsed="false">
      <c r="A444" s="40" t="str">
        <f aca="false">IF(INDEX(BookTitle,439)="","",INDEX(BookGroup,439))</f>
        <v/>
      </c>
      <c r="B444" s="40" t="str">
        <f aca="false">IF(INDEX(BookTitle,439)="","",INDEX(BookRef,439))</f>
        <v/>
      </c>
      <c r="C444" s="40" t="str">
        <f aca="false">IF(INDEX(BookTitle,439)="","",INDEX(BookDivision,439))</f>
        <v/>
      </c>
      <c r="D444" s="40" t="str">
        <f aca="false">IF(INDEX(BookTitle,439)="","",INDEX(BookUnit,439))</f>
        <v/>
      </c>
      <c r="E444" s="40" t="str">
        <f aca="false">IF(INDEX(BookTitle,439)="","",INDEX(BookTitle,439))</f>
        <v/>
      </c>
      <c r="F444" s="40" t="str">
        <f aca="false">IF(INDEX(BookTitle,439)="","",INDEX(BookLevel,439))</f>
        <v/>
      </c>
      <c r="G444" s="40" t="str">
        <f aca="false">IF(INDEX(BookTitle,439)="","",INDEX(BookCategory,439))</f>
        <v/>
      </c>
      <c r="H444" s="40" t="str">
        <f aca="false">IF(INDEX(BookTitle,439)="","",INDEX(BookRank,439))</f>
        <v/>
      </c>
      <c r="I444" s="41" t="str">
        <f aca="false">IF(INDEX(BookTitle,439)="","",INDEX(BookTotal,439))</f>
        <v/>
      </c>
      <c r="J444" s="0" t="str">
        <f aca="false">IF($I444="","",IF(INDEX(BookQ1,439)&gt;0,"Q1",IF(INDEX(BookQ2,439)&gt;0,"Q2",IF(INDEX(BookQ3,439)&gt;0,"Q3",IF(INDEX(BookQ4,439)&gt;0,"Q4","")))))</f>
        <v/>
      </c>
      <c r="K444" s="42" t="str">
        <f aca="false">IF(INDEX(BookTitle,439)="","",INDEX(BookInYear,439))</f>
        <v/>
      </c>
      <c r="L444" s="19"/>
      <c r="M444" s="39"/>
      <c r="N444" s="19"/>
      <c r="O444" s="19"/>
      <c r="P444" s="43" t="str">
        <f aca="false">IF($E444="","",IF($L444="Decline",0,IF($L444="Approve fewer",IF($M444="","",$M444),IF($L444="","",$I444))))</f>
        <v/>
      </c>
      <c r="Q444" s="34" t="str">
        <f aca="false">IF($P444="","",IF($N444&lt;&gt;"",$N444,$J444))</f>
        <v/>
      </c>
      <c r="R444" s="35" t="str">
        <f aca="false">IF(OR($P444="",$Q444=""),"",INDEX(BookRate,439)*$P444*(5-MATCH($Q444,{"Q1";"Q2";"Q3";"Q4"},0))/4+INDEX(BookOneOff,439)*$P444)</f>
        <v/>
      </c>
      <c r="S444" s="35" t="str">
        <f aca="false">IF($P444="","",INDEX(BookRate,439)*$P444)</f>
        <v/>
      </c>
      <c r="T444" s="35" t="str">
        <f aca="false">IF($R444="","",$R444-$K444)</f>
        <v/>
      </c>
      <c r="U444" s="35" t="str">
        <f aca="false">IF(N($P444)&lt;=0,"",COUNTIF($P$6:$P444,"&gt;0"))</f>
        <v/>
      </c>
    </row>
    <row r="445" customFormat="false" ht="15" hidden="false" customHeight="false" outlineLevel="0" collapsed="false">
      <c r="A445" s="40" t="str">
        <f aca="false">IF(INDEX(BookTitle,440)="","",INDEX(BookGroup,440))</f>
        <v/>
      </c>
      <c r="B445" s="40" t="str">
        <f aca="false">IF(INDEX(BookTitle,440)="","",INDEX(BookRef,440))</f>
        <v/>
      </c>
      <c r="C445" s="40" t="str">
        <f aca="false">IF(INDEX(BookTitle,440)="","",INDEX(BookDivision,440))</f>
        <v/>
      </c>
      <c r="D445" s="40" t="str">
        <f aca="false">IF(INDEX(BookTitle,440)="","",INDEX(BookUnit,440))</f>
        <v/>
      </c>
      <c r="E445" s="40" t="str">
        <f aca="false">IF(INDEX(BookTitle,440)="","",INDEX(BookTitle,440))</f>
        <v/>
      </c>
      <c r="F445" s="40" t="str">
        <f aca="false">IF(INDEX(BookTitle,440)="","",INDEX(BookLevel,440))</f>
        <v/>
      </c>
      <c r="G445" s="40" t="str">
        <f aca="false">IF(INDEX(BookTitle,440)="","",INDEX(BookCategory,440))</f>
        <v/>
      </c>
      <c r="H445" s="40" t="str">
        <f aca="false">IF(INDEX(BookTitle,440)="","",INDEX(BookRank,440))</f>
        <v/>
      </c>
      <c r="I445" s="41" t="str">
        <f aca="false">IF(INDEX(BookTitle,440)="","",INDEX(BookTotal,440))</f>
        <v/>
      </c>
      <c r="J445" s="0" t="str">
        <f aca="false">IF($I445="","",IF(INDEX(BookQ1,440)&gt;0,"Q1",IF(INDEX(BookQ2,440)&gt;0,"Q2",IF(INDEX(BookQ3,440)&gt;0,"Q3",IF(INDEX(BookQ4,440)&gt;0,"Q4","")))))</f>
        <v/>
      </c>
      <c r="K445" s="42" t="str">
        <f aca="false">IF(INDEX(BookTitle,440)="","",INDEX(BookInYear,440))</f>
        <v/>
      </c>
      <c r="L445" s="19"/>
      <c r="M445" s="39"/>
      <c r="N445" s="19"/>
      <c r="O445" s="19"/>
      <c r="P445" s="43" t="str">
        <f aca="false">IF($E445="","",IF($L445="Decline",0,IF($L445="Approve fewer",IF($M445="","",$M445),IF($L445="","",$I445))))</f>
        <v/>
      </c>
      <c r="Q445" s="34" t="str">
        <f aca="false">IF($P445="","",IF($N445&lt;&gt;"",$N445,$J445))</f>
        <v/>
      </c>
      <c r="R445" s="35" t="str">
        <f aca="false">IF(OR($P445="",$Q445=""),"",INDEX(BookRate,440)*$P445*(5-MATCH($Q445,{"Q1";"Q2";"Q3";"Q4"},0))/4+INDEX(BookOneOff,440)*$P445)</f>
        <v/>
      </c>
      <c r="S445" s="35" t="str">
        <f aca="false">IF($P445="","",INDEX(BookRate,440)*$P445)</f>
        <v/>
      </c>
      <c r="T445" s="35" t="str">
        <f aca="false">IF($R445="","",$R445-$K445)</f>
        <v/>
      </c>
      <c r="U445" s="35" t="str">
        <f aca="false">IF(N($P445)&lt;=0,"",COUNTIF($P$6:$P445,"&gt;0"))</f>
        <v/>
      </c>
    </row>
    <row r="446" customFormat="false" ht="15" hidden="false" customHeight="false" outlineLevel="0" collapsed="false">
      <c r="A446" s="40" t="str">
        <f aca="false">IF(INDEX(BookTitle,441)="","",INDEX(BookGroup,441))</f>
        <v/>
      </c>
      <c r="B446" s="40" t="str">
        <f aca="false">IF(INDEX(BookTitle,441)="","",INDEX(BookRef,441))</f>
        <v/>
      </c>
      <c r="C446" s="40" t="str">
        <f aca="false">IF(INDEX(BookTitle,441)="","",INDEX(BookDivision,441))</f>
        <v/>
      </c>
      <c r="D446" s="40" t="str">
        <f aca="false">IF(INDEX(BookTitle,441)="","",INDEX(BookUnit,441))</f>
        <v/>
      </c>
      <c r="E446" s="40" t="str">
        <f aca="false">IF(INDEX(BookTitle,441)="","",INDEX(BookTitle,441))</f>
        <v/>
      </c>
      <c r="F446" s="40" t="str">
        <f aca="false">IF(INDEX(BookTitle,441)="","",INDEX(BookLevel,441))</f>
        <v/>
      </c>
      <c r="G446" s="40" t="str">
        <f aca="false">IF(INDEX(BookTitle,441)="","",INDEX(BookCategory,441))</f>
        <v/>
      </c>
      <c r="H446" s="40" t="str">
        <f aca="false">IF(INDEX(BookTitle,441)="","",INDEX(BookRank,441))</f>
        <v/>
      </c>
      <c r="I446" s="41" t="str">
        <f aca="false">IF(INDEX(BookTitle,441)="","",INDEX(BookTotal,441))</f>
        <v/>
      </c>
      <c r="J446" s="0" t="str">
        <f aca="false">IF($I446="","",IF(INDEX(BookQ1,441)&gt;0,"Q1",IF(INDEX(BookQ2,441)&gt;0,"Q2",IF(INDEX(BookQ3,441)&gt;0,"Q3",IF(INDEX(BookQ4,441)&gt;0,"Q4","")))))</f>
        <v/>
      </c>
      <c r="K446" s="42" t="str">
        <f aca="false">IF(INDEX(BookTitle,441)="","",INDEX(BookInYear,441))</f>
        <v/>
      </c>
      <c r="L446" s="19"/>
      <c r="M446" s="39"/>
      <c r="N446" s="19"/>
      <c r="O446" s="19"/>
      <c r="P446" s="43" t="str">
        <f aca="false">IF($E446="","",IF($L446="Decline",0,IF($L446="Approve fewer",IF($M446="","",$M446),IF($L446="","",$I446))))</f>
        <v/>
      </c>
      <c r="Q446" s="34" t="str">
        <f aca="false">IF($P446="","",IF($N446&lt;&gt;"",$N446,$J446))</f>
        <v/>
      </c>
      <c r="R446" s="35" t="str">
        <f aca="false">IF(OR($P446="",$Q446=""),"",INDEX(BookRate,441)*$P446*(5-MATCH($Q446,{"Q1";"Q2";"Q3";"Q4"},0))/4+INDEX(BookOneOff,441)*$P446)</f>
        <v/>
      </c>
      <c r="S446" s="35" t="str">
        <f aca="false">IF($P446="","",INDEX(BookRate,441)*$P446)</f>
        <v/>
      </c>
      <c r="T446" s="35" t="str">
        <f aca="false">IF($R446="","",$R446-$K446)</f>
        <v/>
      </c>
      <c r="U446" s="35" t="str">
        <f aca="false">IF(N($P446)&lt;=0,"",COUNTIF($P$6:$P446,"&gt;0"))</f>
        <v/>
      </c>
    </row>
    <row r="447" customFormat="false" ht="15" hidden="false" customHeight="false" outlineLevel="0" collapsed="false">
      <c r="A447" s="40" t="str">
        <f aca="false">IF(INDEX(BookTitle,442)="","",INDEX(BookGroup,442))</f>
        <v/>
      </c>
      <c r="B447" s="40" t="str">
        <f aca="false">IF(INDEX(BookTitle,442)="","",INDEX(BookRef,442))</f>
        <v/>
      </c>
      <c r="C447" s="40" t="str">
        <f aca="false">IF(INDEX(BookTitle,442)="","",INDEX(BookDivision,442))</f>
        <v/>
      </c>
      <c r="D447" s="40" t="str">
        <f aca="false">IF(INDEX(BookTitle,442)="","",INDEX(BookUnit,442))</f>
        <v/>
      </c>
      <c r="E447" s="40" t="str">
        <f aca="false">IF(INDEX(BookTitle,442)="","",INDEX(BookTitle,442))</f>
        <v/>
      </c>
      <c r="F447" s="40" t="str">
        <f aca="false">IF(INDEX(BookTitle,442)="","",INDEX(BookLevel,442))</f>
        <v/>
      </c>
      <c r="G447" s="40" t="str">
        <f aca="false">IF(INDEX(BookTitle,442)="","",INDEX(BookCategory,442))</f>
        <v/>
      </c>
      <c r="H447" s="40" t="str">
        <f aca="false">IF(INDEX(BookTitle,442)="","",INDEX(BookRank,442))</f>
        <v/>
      </c>
      <c r="I447" s="41" t="str">
        <f aca="false">IF(INDEX(BookTitle,442)="","",INDEX(BookTotal,442))</f>
        <v/>
      </c>
      <c r="J447" s="0" t="str">
        <f aca="false">IF($I447="","",IF(INDEX(BookQ1,442)&gt;0,"Q1",IF(INDEX(BookQ2,442)&gt;0,"Q2",IF(INDEX(BookQ3,442)&gt;0,"Q3",IF(INDEX(BookQ4,442)&gt;0,"Q4","")))))</f>
        <v/>
      </c>
      <c r="K447" s="42" t="str">
        <f aca="false">IF(INDEX(BookTitle,442)="","",INDEX(BookInYear,442))</f>
        <v/>
      </c>
      <c r="L447" s="19"/>
      <c r="M447" s="39"/>
      <c r="N447" s="19"/>
      <c r="O447" s="19"/>
      <c r="P447" s="43" t="str">
        <f aca="false">IF($E447="","",IF($L447="Decline",0,IF($L447="Approve fewer",IF($M447="","",$M447),IF($L447="","",$I447))))</f>
        <v/>
      </c>
      <c r="Q447" s="34" t="str">
        <f aca="false">IF($P447="","",IF($N447&lt;&gt;"",$N447,$J447))</f>
        <v/>
      </c>
      <c r="R447" s="35" t="str">
        <f aca="false">IF(OR($P447="",$Q447=""),"",INDEX(BookRate,442)*$P447*(5-MATCH($Q447,{"Q1";"Q2";"Q3";"Q4"},0))/4+INDEX(BookOneOff,442)*$P447)</f>
        <v/>
      </c>
      <c r="S447" s="35" t="str">
        <f aca="false">IF($P447="","",INDEX(BookRate,442)*$P447)</f>
        <v/>
      </c>
      <c r="T447" s="35" t="str">
        <f aca="false">IF($R447="","",$R447-$K447)</f>
        <v/>
      </c>
      <c r="U447" s="35" t="str">
        <f aca="false">IF(N($P447)&lt;=0,"",COUNTIF($P$6:$P447,"&gt;0"))</f>
        <v/>
      </c>
    </row>
    <row r="448" customFormat="false" ht="15" hidden="false" customHeight="false" outlineLevel="0" collapsed="false">
      <c r="A448" s="40" t="str">
        <f aca="false">IF(INDEX(BookTitle,443)="","",INDEX(BookGroup,443))</f>
        <v/>
      </c>
      <c r="B448" s="40" t="str">
        <f aca="false">IF(INDEX(BookTitle,443)="","",INDEX(BookRef,443))</f>
        <v/>
      </c>
      <c r="C448" s="40" t="str">
        <f aca="false">IF(INDEX(BookTitle,443)="","",INDEX(BookDivision,443))</f>
        <v/>
      </c>
      <c r="D448" s="40" t="str">
        <f aca="false">IF(INDEX(BookTitle,443)="","",INDEX(BookUnit,443))</f>
        <v/>
      </c>
      <c r="E448" s="40" t="str">
        <f aca="false">IF(INDEX(BookTitle,443)="","",INDEX(BookTitle,443))</f>
        <v/>
      </c>
      <c r="F448" s="40" t="str">
        <f aca="false">IF(INDEX(BookTitle,443)="","",INDEX(BookLevel,443))</f>
        <v/>
      </c>
      <c r="G448" s="40" t="str">
        <f aca="false">IF(INDEX(BookTitle,443)="","",INDEX(BookCategory,443))</f>
        <v/>
      </c>
      <c r="H448" s="40" t="str">
        <f aca="false">IF(INDEX(BookTitle,443)="","",INDEX(BookRank,443))</f>
        <v/>
      </c>
      <c r="I448" s="41" t="str">
        <f aca="false">IF(INDEX(BookTitle,443)="","",INDEX(BookTotal,443))</f>
        <v/>
      </c>
      <c r="J448" s="0" t="str">
        <f aca="false">IF($I448="","",IF(INDEX(BookQ1,443)&gt;0,"Q1",IF(INDEX(BookQ2,443)&gt;0,"Q2",IF(INDEX(BookQ3,443)&gt;0,"Q3",IF(INDEX(BookQ4,443)&gt;0,"Q4","")))))</f>
        <v/>
      </c>
      <c r="K448" s="42" t="str">
        <f aca="false">IF(INDEX(BookTitle,443)="","",INDEX(BookInYear,443))</f>
        <v/>
      </c>
      <c r="L448" s="19"/>
      <c r="M448" s="39"/>
      <c r="N448" s="19"/>
      <c r="O448" s="19"/>
      <c r="P448" s="43" t="str">
        <f aca="false">IF($E448="","",IF($L448="Decline",0,IF($L448="Approve fewer",IF($M448="","",$M448),IF($L448="","",$I448))))</f>
        <v/>
      </c>
      <c r="Q448" s="34" t="str">
        <f aca="false">IF($P448="","",IF($N448&lt;&gt;"",$N448,$J448))</f>
        <v/>
      </c>
      <c r="R448" s="35" t="str">
        <f aca="false">IF(OR($P448="",$Q448=""),"",INDEX(BookRate,443)*$P448*(5-MATCH($Q448,{"Q1";"Q2";"Q3";"Q4"},0))/4+INDEX(BookOneOff,443)*$P448)</f>
        <v/>
      </c>
      <c r="S448" s="35" t="str">
        <f aca="false">IF($P448="","",INDEX(BookRate,443)*$P448)</f>
        <v/>
      </c>
      <c r="T448" s="35" t="str">
        <f aca="false">IF($R448="","",$R448-$K448)</f>
        <v/>
      </c>
      <c r="U448" s="35" t="str">
        <f aca="false">IF(N($P448)&lt;=0,"",COUNTIF($P$6:$P448,"&gt;0"))</f>
        <v/>
      </c>
    </row>
    <row r="449" customFormat="false" ht="15" hidden="false" customHeight="false" outlineLevel="0" collapsed="false">
      <c r="A449" s="40" t="str">
        <f aca="false">IF(INDEX(BookTitle,444)="","",INDEX(BookGroup,444))</f>
        <v/>
      </c>
      <c r="B449" s="40" t="str">
        <f aca="false">IF(INDEX(BookTitle,444)="","",INDEX(BookRef,444))</f>
        <v/>
      </c>
      <c r="C449" s="40" t="str">
        <f aca="false">IF(INDEX(BookTitle,444)="","",INDEX(BookDivision,444))</f>
        <v/>
      </c>
      <c r="D449" s="40" t="str">
        <f aca="false">IF(INDEX(BookTitle,444)="","",INDEX(BookUnit,444))</f>
        <v/>
      </c>
      <c r="E449" s="40" t="str">
        <f aca="false">IF(INDEX(BookTitle,444)="","",INDEX(BookTitle,444))</f>
        <v/>
      </c>
      <c r="F449" s="40" t="str">
        <f aca="false">IF(INDEX(BookTitle,444)="","",INDEX(BookLevel,444))</f>
        <v/>
      </c>
      <c r="G449" s="40" t="str">
        <f aca="false">IF(INDEX(BookTitle,444)="","",INDEX(BookCategory,444))</f>
        <v/>
      </c>
      <c r="H449" s="40" t="str">
        <f aca="false">IF(INDEX(BookTitle,444)="","",INDEX(BookRank,444))</f>
        <v/>
      </c>
      <c r="I449" s="41" t="str">
        <f aca="false">IF(INDEX(BookTitle,444)="","",INDEX(BookTotal,444))</f>
        <v/>
      </c>
      <c r="J449" s="0" t="str">
        <f aca="false">IF($I449="","",IF(INDEX(BookQ1,444)&gt;0,"Q1",IF(INDEX(BookQ2,444)&gt;0,"Q2",IF(INDEX(BookQ3,444)&gt;0,"Q3",IF(INDEX(BookQ4,444)&gt;0,"Q4","")))))</f>
        <v/>
      </c>
      <c r="K449" s="42" t="str">
        <f aca="false">IF(INDEX(BookTitle,444)="","",INDEX(BookInYear,444))</f>
        <v/>
      </c>
      <c r="L449" s="19"/>
      <c r="M449" s="39"/>
      <c r="N449" s="19"/>
      <c r="O449" s="19"/>
      <c r="P449" s="43" t="str">
        <f aca="false">IF($E449="","",IF($L449="Decline",0,IF($L449="Approve fewer",IF($M449="","",$M449),IF($L449="","",$I449))))</f>
        <v/>
      </c>
      <c r="Q449" s="34" t="str">
        <f aca="false">IF($P449="","",IF($N449&lt;&gt;"",$N449,$J449))</f>
        <v/>
      </c>
      <c r="R449" s="35" t="str">
        <f aca="false">IF(OR($P449="",$Q449=""),"",INDEX(BookRate,444)*$P449*(5-MATCH($Q449,{"Q1";"Q2";"Q3";"Q4"},0))/4+INDEX(BookOneOff,444)*$P449)</f>
        <v/>
      </c>
      <c r="S449" s="35" t="str">
        <f aca="false">IF($P449="","",INDEX(BookRate,444)*$P449)</f>
        <v/>
      </c>
      <c r="T449" s="35" t="str">
        <f aca="false">IF($R449="","",$R449-$K449)</f>
        <v/>
      </c>
      <c r="U449" s="35" t="str">
        <f aca="false">IF(N($P449)&lt;=0,"",COUNTIF($P$6:$P449,"&gt;0"))</f>
        <v/>
      </c>
    </row>
    <row r="450" customFormat="false" ht="15" hidden="false" customHeight="false" outlineLevel="0" collapsed="false">
      <c r="A450" s="40" t="str">
        <f aca="false">IF(INDEX(BookTitle,445)="","",INDEX(BookGroup,445))</f>
        <v/>
      </c>
      <c r="B450" s="40" t="str">
        <f aca="false">IF(INDEX(BookTitle,445)="","",INDEX(BookRef,445))</f>
        <v/>
      </c>
      <c r="C450" s="40" t="str">
        <f aca="false">IF(INDEX(BookTitle,445)="","",INDEX(BookDivision,445))</f>
        <v/>
      </c>
      <c r="D450" s="40" t="str">
        <f aca="false">IF(INDEX(BookTitle,445)="","",INDEX(BookUnit,445))</f>
        <v/>
      </c>
      <c r="E450" s="40" t="str">
        <f aca="false">IF(INDEX(BookTitle,445)="","",INDEX(BookTitle,445))</f>
        <v/>
      </c>
      <c r="F450" s="40" t="str">
        <f aca="false">IF(INDEX(BookTitle,445)="","",INDEX(BookLevel,445))</f>
        <v/>
      </c>
      <c r="G450" s="40" t="str">
        <f aca="false">IF(INDEX(BookTitle,445)="","",INDEX(BookCategory,445))</f>
        <v/>
      </c>
      <c r="H450" s="40" t="str">
        <f aca="false">IF(INDEX(BookTitle,445)="","",INDEX(BookRank,445))</f>
        <v/>
      </c>
      <c r="I450" s="41" t="str">
        <f aca="false">IF(INDEX(BookTitle,445)="","",INDEX(BookTotal,445))</f>
        <v/>
      </c>
      <c r="J450" s="0" t="str">
        <f aca="false">IF($I450="","",IF(INDEX(BookQ1,445)&gt;0,"Q1",IF(INDEX(BookQ2,445)&gt;0,"Q2",IF(INDEX(BookQ3,445)&gt;0,"Q3",IF(INDEX(BookQ4,445)&gt;0,"Q4","")))))</f>
        <v/>
      </c>
      <c r="K450" s="42" t="str">
        <f aca="false">IF(INDEX(BookTitle,445)="","",INDEX(BookInYear,445))</f>
        <v/>
      </c>
      <c r="L450" s="19"/>
      <c r="M450" s="39"/>
      <c r="N450" s="19"/>
      <c r="O450" s="19"/>
      <c r="P450" s="43" t="str">
        <f aca="false">IF($E450="","",IF($L450="Decline",0,IF($L450="Approve fewer",IF($M450="","",$M450),IF($L450="","",$I450))))</f>
        <v/>
      </c>
      <c r="Q450" s="34" t="str">
        <f aca="false">IF($P450="","",IF($N450&lt;&gt;"",$N450,$J450))</f>
        <v/>
      </c>
      <c r="R450" s="35" t="str">
        <f aca="false">IF(OR($P450="",$Q450=""),"",INDEX(BookRate,445)*$P450*(5-MATCH($Q450,{"Q1";"Q2";"Q3";"Q4"},0))/4+INDEX(BookOneOff,445)*$P450)</f>
        <v/>
      </c>
      <c r="S450" s="35" t="str">
        <f aca="false">IF($P450="","",INDEX(BookRate,445)*$P450)</f>
        <v/>
      </c>
      <c r="T450" s="35" t="str">
        <f aca="false">IF($R450="","",$R450-$K450)</f>
        <v/>
      </c>
      <c r="U450" s="35" t="str">
        <f aca="false">IF(N($P450)&lt;=0,"",COUNTIF($P$6:$P450,"&gt;0"))</f>
        <v/>
      </c>
    </row>
    <row r="451" customFormat="false" ht="15" hidden="false" customHeight="false" outlineLevel="0" collapsed="false">
      <c r="A451" s="40" t="str">
        <f aca="false">IF(INDEX(BookTitle,446)="","",INDEX(BookGroup,446))</f>
        <v/>
      </c>
      <c r="B451" s="40" t="str">
        <f aca="false">IF(INDEX(BookTitle,446)="","",INDEX(BookRef,446))</f>
        <v/>
      </c>
      <c r="C451" s="40" t="str">
        <f aca="false">IF(INDEX(BookTitle,446)="","",INDEX(BookDivision,446))</f>
        <v/>
      </c>
      <c r="D451" s="40" t="str">
        <f aca="false">IF(INDEX(BookTitle,446)="","",INDEX(BookUnit,446))</f>
        <v/>
      </c>
      <c r="E451" s="40" t="str">
        <f aca="false">IF(INDEX(BookTitle,446)="","",INDEX(BookTitle,446))</f>
        <v/>
      </c>
      <c r="F451" s="40" t="str">
        <f aca="false">IF(INDEX(BookTitle,446)="","",INDEX(BookLevel,446))</f>
        <v/>
      </c>
      <c r="G451" s="40" t="str">
        <f aca="false">IF(INDEX(BookTitle,446)="","",INDEX(BookCategory,446))</f>
        <v/>
      </c>
      <c r="H451" s="40" t="str">
        <f aca="false">IF(INDEX(BookTitle,446)="","",INDEX(BookRank,446))</f>
        <v/>
      </c>
      <c r="I451" s="41" t="str">
        <f aca="false">IF(INDEX(BookTitle,446)="","",INDEX(BookTotal,446))</f>
        <v/>
      </c>
      <c r="J451" s="0" t="str">
        <f aca="false">IF($I451="","",IF(INDEX(BookQ1,446)&gt;0,"Q1",IF(INDEX(BookQ2,446)&gt;0,"Q2",IF(INDEX(BookQ3,446)&gt;0,"Q3",IF(INDEX(BookQ4,446)&gt;0,"Q4","")))))</f>
        <v/>
      </c>
      <c r="K451" s="42" t="str">
        <f aca="false">IF(INDEX(BookTitle,446)="","",INDEX(BookInYear,446))</f>
        <v/>
      </c>
      <c r="L451" s="19"/>
      <c r="M451" s="39"/>
      <c r="N451" s="19"/>
      <c r="O451" s="19"/>
      <c r="P451" s="43" t="str">
        <f aca="false">IF($E451="","",IF($L451="Decline",0,IF($L451="Approve fewer",IF($M451="","",$M451),IF($L451="","",$I451))))</f>
        <v/>
      </c>
      <c r="Q451" s="34" t="str">
        <f aca="false">IF($P451="","",IF($N451&lt;&gt;"",$N451,$J451))</f>
        <v/>
      </c>
      <c r="R451" s="35" t="str">
        <f aca="false">IF(OR($P451="",$Q451=""),"",INDEX(BookRate,446)*$P451*(5-MATCH($Q451,{"Q1";"Q2";"Q3";"Q4"},0))/4+INDEX(BookOneOff,446)*$P451)</f>
        <v/>
      </c>
      <c r="S451" s="35" t="str">
        <f aca="false">IF($P451="","",INDEX(BookRate,446)*$P451)</f>
        <v/>
      </c>
      <c r="T451" s="35" t="str">
        <f aca="false">IF($R451="","",$R451-$K451)</f>
        <v/>
      </c>
      <c r="U451" s="35" t="str">
        <f aca="false">IF(N($P451)&lt;=0,"",COUNTIF($P$6:$P451,"&gt;0"))</f>
        <v/>
      </c>
    </row>
    <row r="452" customFormat="false" ht="15" hidden="false" customHeight="false" outlineLevel="0" collapsed="false">
      <c r="A452" s="40" t="str">
        <f aca="false">IF(INDEX(BookTitle,447)="","",INDEX(BookGroup,447))</f>
        <v/>
      </c>
      <c r="B452" s="40" t="str">
        <f aca="false">IF(INDEX(BookTitle,447)="","",INDEX(BookRef,447))</f>
        <v/>
      </c>
      <c r="C452" s="40" t="str">
        <f aca="false">IF(INDEX(BookTitle,447)="","",INDEX(BookDivision,447))</f>
        <v/>
      </c>
      <c r="D452" s="40" t="str">
        <f aca="false">IF(INDEX(BookTitle,447)="","",INDEX(BookUnit,447))</f>
        <v/>
      </c>
      <c r="E452" s="40" t="str">
        <f aca="false">IF(INDEX(BookTitle,447)="","",INDEX(BookTitle,447))</f>
        <v/>
      </c>
      <c r="F452" s="40" t="str">
        <f aca="false">IF(INDEX(BookTitle,447)="","",INDEX(BookLevel,447))</f>
        <v/>
      </c>
      <c r="G452" s="40" t="str">
        <f aca="false">IF(INDEX(BookTitle,447)="","",INDEX(BookCategory,447))</f>
        <v/>
      </c>
      <c r="H452" s="40" t="str">
        <f aca="false">IF(INDEX(BookTitle,447)="","",INDEX(BookRank,447))</f>
        <v/>
      </c>
      <c r="I452" s="41" t="str">
        <f aca="false">IF(INDEX(BookTitle,447)="","",INDEX(BookTotal,447))</f>
        <v/>
      </c>
      <c r="J452" s="0" t="str">
        <f aca="false">IF($I452="","",IF(INDEX(BookQ1,447)&gt;0,"Q1",IF(INDEX(BookQ2,447)&gt;0,"Q2",IF(INDEX(BookQ3,447)&gt;0,"Q3",IF(INDEX(BookQ4,447)&gt;0,"Q4","")))))</f>
        <v/>
      </c>
      <c r="K452" s="42" t="str">
        <f aca="false">IF(INDEX(BookTitle,447)="","",INDEX(BookInYear,447))</f>
        <v/>
      </c>
      <c r="L452" s="19"/>
      <c r="M452" s="39"/>
      <c r="N452" s="19"/>
      <c r="O452" s="19"/>
      <c r="P452" s="43" t="str">
        <f aca="false">IF($E452="","",IF($L452="Decline",0,IF($L452="Approve fewer",IF($M452="","",$M452),IF($L452="","",$I452))))</f>
        <v/>
      </c>
      <c r="Q452" s="34" t="str">
        <f aca="false">IF($P452="","",IF($N452&lt;&gt;"",$N452,$J452))</f>
        <v/>
      </c>
      <c r="R452" s="35" t="str">
        <f aca="false">IF(OR($P452="",$Q452=""),"",INDEX(BookRate,447)*$P452*(5-MATCH($Q452,{"Q1";"Q2";"Q3";"Q4"},0))/4+INDEX(BookOneOff,447)*$P452)</f>
        <v/>
      </c>
      <c r="S452" s="35" t="str">
        <f aca="false">IF($P452="","",INDEX(BookRate,447)*$P452)</f>
        <v/>
      </c>
      <c r="T452" s="35" t="str">
        <f aca="false">IF($R452="","",$R452-$K452)</f>
        <v/>
      </c>
      <c r="U452" s="35" t="str">
        <f aca="false">IF(N($P452)&lt;=0,"",COUNTIF($P$6:$P452,"&gt;0"))</f>
        <v/>
      </c>
    </row>
    <row r="453" customFormat="false" ht="15" hidden="false" customHeight="false" outlineLevel="0" collapsed="false">
      <c r="A453" s="40" t="str">
        <f aca="false">IF(INDEX(BookTitle,448)="","",INDEX(BookGroup,448))</f>
        <v/>
      </c>
      <c r="B453" s="40" t="str">
        <f aca="false">IF(INDEX(BookTitle,448)="","",INDEX(BookRef,448))</f>
        <v/>
      </c>
      <c r="C453" s="40" t="str">
        <f aca="false">IF(INDEX(BookTitle,448)="","",INDEX(BookDivision,448))</f>
        <v/>
      </c>
      <c r="D453" s="40" t="str">
        <f aca="false">IF(INDEX(BookTitle,448)="","",INDEX(BookUnit,448))</f>
        <v/>
      </c>
      <c r="E453" s="40" t="str">
        <f aca="false">IF(INDEX(BookTitle,448)="","",INDEX(BookTitle,448))</f>
        <v/>
      </c>
      <c r="F453" s="40" t="str">
        <f aca="false">IF(INDEX(BookTitle,448)="","",INDEX(BookLevel,448))</f>
        <v/>
      </c>
      <c r="G453" s="40" t="str">
        <f aca="false">IF(INDEX(BookTitle,448)="","",INDEX(BookCategory,448))</f>
        <v/>
      </c>
      <c r="H453" s="40" t="str">
        <f aca="false">IF(INDEX(BookTitle,448)="","",INDEX(BookRank,448))</f>
        <v/>
      </c>
      <c r="I453" s="41" t="str">
        <f aca="false">IF(INDEX(BookTitle,448)="","",INDEX(BookTotal,448))</f>
        <v/>
      </c>
      <c r="J453" s="0" t="str">
        <f aca="false">IF($I453="","",IF(INDEX(BookQ1,448)&gt;0,"Q1",IF(INDEX(BookQ2,448)&gt;0,"Q2",IF(INDEX(BookQ3,448)&gt;0,"Q3",IF(INDEX(BookQ4,448)&gt;0,"Q4","")))))</f>
        <v/>
      </c>
      <c r="K453" s="42" t="str">
        <f aca="false">IF(INDEX(BookTitle,448)="","",INDEX(BookInYear,448))</f>
        <v/>
      </c>
      <c r="L453" s="19"/>
      <c r="M453" s="39"/>
      <c r="N453" s="19"/>
      <c r="O453" s="19"/>
      <c r="P453" s="43" t="str">
        <f aca="false">IF($E453="","",IF($L453="Decline",0,IF($L453="Approve fewer",IF($M453="","",$M453),IF($L453="","",$I453))))</f>
        <v/>
      </c>
      <c r="Q453" s="34" t="str">
        <f aca="false">IF($P453="","",IF($N453&lt;&gt;"",$N453,$J453))</f>
        <v/>
      </c>
      <c r="R453" s="35" t="str">
        <f aca="false">IF(OR($P453="",$Q453=""),"",INDEX(BookRate,448)*$P453*(5-MATCH($Q453,{"Q1";"Q2";"Q3";"Q4"},0))/4+INDEX(BookOneOff,448)*$P453)</f>
        <v/>
      </c>
      <c r="S453" s="35" t="str">
        <f aca="false">IF($P453="","",INDEX(BookRate,448)*$P453)</f>
        <v/>
      </c>
      <c r="T453" s="35" t="str">
        <f aca="false">IF($R453="","",$R453-$K453)</f>
        <v/>
      </c>
      <c r="U453" s="35" t="str">
        <f aca="false">IF(N($P453)&lt;=0,"",COUNTIF($P$6:$P453,"&gt;0"))</f>
        <v/>
      </c>
    </row>
    <row r="454" customFormat="false" ht="15" hidden="false" customHeight="false" outlineLevel="0" collapsed="false">
      <c r="A454" s="40" t="str">
        <f aca="false">IF(INDEX(BookTitle,449)="","",INDEX(BookGroup,449))</f>
        <v/>
      </c>
      <c r="B454" s="40" t="str">
        <f aca="false">IF(INDEX(BookTitle,449)="","",INDEX(BookRef,449))</f>
        <v/>
      </c>
      <c r="C454" s="40" t="str">
        <f aca="false">IF(INDEX(BookTitle,449)="","",INDEX(BookDivision,449))</f>
        <v/>
      </c>
      <c r="D454" s="40" t="str">
        <f aca="false">IF(INDEX(BookTitle,449)="","",INDEX(BookUnit,449))</f>
        <v/>
      </c>
      <c r="E454" s="40" t="str">
        <f aca="false">IF(INDEX(BookTitle,449)="","",INDEX(BookTitle,449))</f>
        <v/>
      </c>
      <c r="F454" s="40" t="str">
        <f aca="false">IF(INDEX(BookTitle,449)="","",INDEX(BookLevel,449))</f>
        <v/>
      </c>
      <c r="G454" s="40" t="str">
        <f aca="false">IF(INDEX(BookTitle,449)="","",INDEX(BookCategory,449))</f>
        <v/>
      </c>
      <c r="H454" s="40" t="str">
        <f aca="false">IF(INDEX(BookTitle,449)="","",INDEX(BookRank,449))</f>
        <v/>
      </c>
      <c r="I454" s="41" t="str">
        <f aca="false">IF(INDEX(BookTitle,449)="","",INDEX(BookTotal,449))</f>
        <v/>
      </c>
      <c r="J454" s="0" t="str">
        <f aca="false">IF($I454="","",IF(INDEX(BookQ1,449)&gt;0,"Q1",IF(INDEX(BookQ2,449)&gt;0,"Q2",IF(INDEX(BookQ3,449)&gt;0,"Q3",IF(INDEX(BookQ4,449)&gt;0,"Q4","")))))</f>
        <v/>
      </c>
      <c r="K454" s="42" t="str">
        <f aca="false">IF(INDEX(BookTitle,449)="","",INDEX(BookInYear,449))</f>
        <v/>
      </c>
      <c r="L454" s="19"/>
      <c r="M454" s="39"/>
      <c r="N454" s="19"/>
      <c r="O454" s="19"/>
      <c r="P454" s="43" t="str">
        <f aca="false">IF($E454="","",IF($L454="Decline",0,IF($L454="Approve fewer",IF($M454="","",$M454),IF($L454="","",$I454))))</f>
        <v/>
      </c>
      <c r="Q454" s="34" t="str">
        <f aca="false">IF($P454="","",IF($N454&lt;&gt;"",$N454,$J454))</f>
        <v/>
      </c>
      <c r="R454" s="35" t="str">
        <f aca="false">IF(OR($P454="",$Q454=""),"",INDEX(BookRate,449)*$P454*(5-MATCH($Q454,{"Q1";"Q2";"Q3";"Q4"},0))/4+INDEX(BookOneOff,449)*$P454)</f>
        <v/>
      </c>
      <c r="S454" s="35" t="str">
        <f aca="false">IF($P454="","",INDEX(BookRate,449)*$P454)</f>
        <v/>
      </c>
      <c r="T454" s="35" t="str">
        <f aca="false">IF($R454="","",$R454-$K454)</f>
        <v/>
      </c>
      <c r="U454" s="35" t="str">
        <f aca="false">IF(N($P454)&lt;=0,"",COUNTIF($P$6:$P454,"&gt;0"))</f>
        <v/>
      </c>
    </row>
    <row r="455" customFormat="false" ht="15" hidden="false" customHeight="false" outlineLevel="0" collapsed="false">
      <c r="A455" s="40" t="str">
        <f aca="false">IF(INDEX(BookTitle,450)="","",INDEX(BookGroup,450))</f>
        <v/>
      </c>
      <c r="B455" s="40" t="str">
        <f aca="false">IF(INDEX(BookTitle,450)="","",INDEX(BookRef,450))</f>
        <v/>
      </c>
      <c r="C455" s="40" t="str">
        <f aca="false">IF(INDEX(BookTitle,450)="","",INDEX(BookDivision,450))</f>
        <v/>
      </c>
      <c r="D455" s="40" t="str">
        <f aca="false">IF(INDEX(BookTitle,450)="","",INDEX(BookUnit,450))</f>
        <v/>
      </c>
      <c r="E455" s="40" t="str">
        <f aca="false">IF(INDEX(BookTitle,450)="","",INDEX(BookTitle,450))</f>
        <v/>
      </c>
      <c r="F455" s="40" t="str">
        <f aca="false">IF(INDEX(BookTitle,450)="","",INDEX(BookLevel,450))</f>
        <v/>
      </c>
      <c r="G455" s="40" t="str">
        <f aca="false">IF(INDEX(BookTitle,450)="","",INDEX(BookCategory,450))</f>
        <v/>
      </c>
      <c r="H455" s="40" t="str">
        <f aca="false">IF(INDEX(BookTitle,450)="","",INDEX(BookRank,450))</f>
        <v/>
      </c>
      <c r="I455" s="41" t="str">
        <f aca="false">IF(INDEX(BookTitle,450)="","",INDEX(BookTotal,450))</f>
        <v/>
      </c>
      <c r="J455" s="0" t="str">
        <f aca="false">IF($I455="","",IF(INDEX(BookQ1,450)&gt;0,"Q1",IF(INDEX(BookQ2,450)&gt;0,"Q2",IF(INDEX(BookQ3,450)&gt;0,"Q3",IF(INDEX(BookQ4,450)&gt;0,"Q4","")))))</f>
        <v/>
      </c>
      <c r="K455" s="42" t="str">
        <f aca="false">IF(INDEX(BookTitle,450)="","",INDEX(BookInYear,450))</f>
        <v/>
      </c>
      <c r="L455" s="19"/>
      <c r="M455" s="39"/>
      <c r="N455" s="19"/>
      <c r="O455" s="19"/>
      <c r="P455" s="43" t="str">
        <f aca="false">IF($E455="","",IF($L455="Decline",0,IF($L455="Approve fewer",IF($M455="","",$M455),IF($L455="","",$I455))))</f>
        <v/>
      </c>
      <c r="Q455" s="34" t="str">
        <f aca="false">IF($P455="","",IF($N455&lt;&gt;"",$N455,$J455))</f>
        <v/>
      </c>
      <c r="R455" s="35" t="str">
        <f aca="false">IF(OR($P455="",$Q455=""),"",INDEX(BookRate,450)*$P455*(5-MATCH($Q455,{"Q1";"Q2";"Q3";"Q4"},0))/4+INDEX(BookOneOff,450)*$P455)</f>
        <v/>
      </c>
      <c r="S455" s="35" t="str">
        <f aca="false">IF($P455="","",INDEX(BookRate,450)*$P455)</f>
        <v/>
      </c>
      <c r="T455" s="35" t="str">
        <f aca="false">IF($R455="","",$R455-$K455)</f>
        <v/>
      </c>
      <c r="U455" s="35" t="str">
        <f aca="false">IF(N($P455)&lt;=0,"",COUNTIF($P$6:$P455,"&gt;0"))</f>
        <v/>
      </c>
    </row>
    <row r="456" customFormat="false" ht="15" hidden="false" customHeight="false" outlineLevel="0" collapsed="false">
      <c r="A456" s="40" t="str">
        <f aca="false">IF(INDEX(BookTitle,451)="","",INDEX(BookGroup,451))</f>
        <v/>
      </c>
      <c r="B456" s="40" t="str">
        <f aca="false">IF(INDEX(BookTitle,451)="","",INDEX(BookRef,451))</f>
        <v/>
      </c>
      <c r="C456" s="40" t="str">
        <f aca="false">IF(INDEX(BookTitle,451)="","",INDEX(BookDivision,451))</f>
        <v/>
      </c>
      <c r="D456" s="40" t="str">
        <f aca="false">IF(INDEX(BookTitle,451)="","",INDEX(BookUnit,451))</f>
        <v/>
      </c>
      <c r="E456" s="40" t="str">
        <f aca="false">IF(INDEX(BookTitle,451)="","",INDEX(BookTitle,451))</f>
        <v/>
      </c>
      <c r="F456" s="40" t="str">
        <f aca="false">IF(INDEX(BookTitle,451)="","",INDEX(BookLevel,451))</f>
        <v/>
      </c>
      <c r="G456" s="40" t="str">
        <f aca="false">IF(INDEX(BookTitle,451)="","",INDEX(BookCategory,451))</f>
        <v/>
      </c>
      <c r="H456" s="40" t="str">
        <f aca="false">IF(INDEX(BookTitle,451)="","",INDEX(BookRank,451))</f>
        <v/>
      </c>
      <c r="I456" s="41" t="str">
        <f aca="false">IF(INDEX(BookTitle,451)="","",INDEX(BookTotal,451))</f>
        <v/>
      </c>
      <c r="J456" s="0" t="str">
        <f aca="false">IF($I456="","",IF(INDEX(BookQ1,451)&gt;0,"Q1",IF(INDEX(BookQ2,451)&gt;0,"Q2",IF(INDEX(BookQ3,451)&gt;0,"Q3",IF(INDEX(BookQ4,451)&gt;0,"Q4","")))))</f>
        <v/>
      </c>
      <c r="K456" s="42" t="str">
        <f aca="false">IF(INDEX(BookTitle,451)="","",INDEX(BookInYear,451))</f>
        <v/>
      </c>
      <c r="L456" s="19"/>
      <c r="M456" s="39"/>
      <c r="N456" s="19"/>
      <c r="O456" s="19"/>
      <c r="P456" s="43" t="str">
        <f aca="false">IF($E456="","",IF($L456="Decline",0,IF($L456="Approve fewer",IF($M456="","",$M456),IF($L456="","",$I456))))</f>
        <v/>
      </c>
      <c r="Q456" s="34" t="str">
        <f aca="false">IF($P456="","",IF($N456&lt;&gt;"",$N456,$J456))</f>
        <v/>
      </c>
      <c r="R456" s="35" t="str">
        <f aca="false">IF(OR($P456="",$Q456=""),"",INDEX(BookRate,451)*$P456*(5-MATCH($Q456,{"Q1";"Q2";"Q3";"Q4"},0))/4+INDEX(BookOneOff,451)*$P456)</f>
        <v/>
      </c>
      <c r="S456" s="35" t="str">
        <f aca="false">IF($P456="","",INDEX(BookRate,451)*$P456)</f>
        <v/>
      </c>
      <c r="T456" s="35" t="str">
        <f aca="false">IF($R456="","",$R456-$K456)</f>
        <v/>
      </c>
      <c r="U456" s="35" t="str">
        <f aca="false">IF(N($P456)&lt;=0,"",COUNTIF($P$6:$P456,"&gt;0"))</f>
        <v/>
      </c>
    </row>
    <row r="457" customFormat="false" ht="15" hidden="false" customHeight="false" outlineLevel="0" collapsed="false">
      <c r="A457" s="40" t="str">
        <f aca="false">IF(INDEX(BookTitle,452)="","",INDEX(BookGroup,452))</f>
        <v/>
      </c>
      <c r="B457" s="40" t="str">
        <f aca="false">IF(INDEX(BookTitle,452)="","",INDEX(BookRef,452))</f>
        <v/>
      </c>
      <c r="C457" s="40" t="str">
        <f aca="false">IF(INDEX(BookTitle,452)="","",INDEX(BookDivision,452))</f>
        <v/>
      </c>
      <c r="D457" s="40" t="str">
        <f aca="false">IF(INDEX(BookTitle,452)="","",INDEX(BookUnit,452))</f>
        <v/>
      </c>
      <c r="E457" s="40" t="str">
        <f aca="false">IF(INDEX(BookTitle,452)="","",INDEX(BookTitle,452))</f>
        <v/>
      </c>
      <c r="F457" s="40" t="str">
        <f aca="false">IF(INDEX(BookTitle,452)="","",INDEX(BookLevel,452))</f>
        <v/>
      </c>
      <c r="G457" s="40" t="str">
        <f aca="false">IF(INDEX(BookTitle,452)="","",INDEX(BookCategory,452))</f>
        <v/>
      </c>
      <c r="H457" s="40" t="str">
        <f aca="false">IF(INDEX(BookTitle,452)="","",INDEX(BookRank,452))</f>
        <v/>
      </c>
      <c r="I457" s="41" t="str">
        <f aca="false">IF(INDEX(BookTitle,452)="","",INDEX(BookTotal,452))</f>
        <v/>
      </c>
      <c r="J457" s="0" t="str">
        <f aca="false">IF($I457="","",IF(INDEX(BookQ1,452)&gt;0,"Q1",IF(INDEX(BookQ2,452)&gt;0,"Q2",IF(INDEX(BookQ3,452)&gt;0,"Q3",IF(INDEX(BookQ4,452)&gt;0,"Q4","")))))</f>
        <v/>
      </c>
      <c r="K457" s="42" t="str">
        <f aca="false">IF(INDEX(BookTitle,452)="","",INDEX(BookInYear,452))</f>
        <v/>
      </c>
      <c r="L457" s="19"/>
      <c r="M457" s="39"/>
      <c r="N457" s="19"/>
      <c r="O457" s="19"/>
      <c r="P457" s="43" t="str">
        <f aca="false">IF($E457="","",IF($L457="Decline",0,IF($L457="Approve fewer",IF($M457="","",$M457),IF($L457="","",$I457))))</f>
        <v/>
      </c>
      <c r="Q457" s="34" t="str">
        <f aca="false">IF($P457="","",IF($N457&lt;&gt;"",$N457,$J457))</f>
        <v/>
      </c>
      <c r="R457" s="35" t="str">
        <f aca="false">IF(OR($P457="",$Q457=""),"",INDEX(BookRate,452)*$P457*(5-MATCH($Q457,{"Q1";"Q2";"Q3";"Q4"},0))/4+INDEX(BookOneOff,452)*$P457)</f>
        <v/>
      </c>
      <c r="S457" s="35" t="str">
        <f aca="false">IF($P457="","",INDEX(BookRate,452)*$P457)</f>
        <v/>
      </c>
      <c r="T457" s="35" t="str">
        <f aca="false">IF($R457="","",$R457-$K457)</f>
        <v/>
      </c>
      <c r="U457" s="35" t="str">
        <f aca="false">IF(N($P457)&lt;=0,"",COUNTIF($P$6:$P457,"&gt;0"))</f>
        <v/>
      </c>
    </row>
    <row r="458" customFormat="false" ht="15" hidden="false" customHeight="false" outlineLevel="0" collapsed="false">
      <c r="A458" s="40" t="str">
        <f aca="false">IF(INDEX(BookTitle,453)="","",INDEX(BookGroup,453))</f>
        <v/>
      </c>
      <c r="B458" s="40" t="str">
        <f aca="false">IF(INDEX(BookTitle,453)="","",INDEX(BookRef,453))</f>
        <v/>
      </c>
      <c r="C458" s="40" t="str">
        <f aca="false">IF(INDEX(BookTitle,453)="","",INDEX(BookDivision,453))</f>
        <v/>
      </c>
      <c r="D458" s="40" t="str">
        <f aca="false">IF(INDEX(BookTitle,453)="","",INDEX(BookUnit,453))</f>
        <v/>
      </c>
      <c r="E458" s="40" t="str">
        <f aca="false">IF(INDEX(BookTitle,453)="","",INDEX(BookTitle,453))</f>
        <v/>
      </c>
      <c r="F458" s="40" t="str">
        <f aca="false">IF(INDEX(BookTitle,453)="","",INDEX(BookLevel,453))</f>
        <v/>
      </c>
      <c r="G458" s="40" t="str">
        <f aca="false">IF(INDEX(BookTitle,453)="","",INDEX(BookCategory,453))</f>
        <v/>
      </c>
      <c r="H458" s="40" t="str">
        <f aca="false">IF(INDEX(BookTitle,453)="","",INDEX(BookRank,453))</f>
        <v/>
      </c>
      <c r="I458" s="41" t="str">
        <f aca="false">IF(INDEX(BookTitle,453)="","",INDEX(BookTotal,453))</f>
        <v/>
      </c>
      <c r="J458" s="0" t="str">
        <f aca="false">IF($I458="","",IF(INDEX(BookQ1,453)&gt;0,"Q1",IF(INDEX(BookQ2,453)&gt;0,"Q2",IF(INDEX(BookQ3,453)&gt;0,"Q3",IF(INDEX(BookQ4,453)&gt;0,"Q4","")))))</f>
        <v/>
      </c>
      <c r="K458" s="42" t="str">
        <f aca="false">IF(INDEX(BookTitle,453)="","",INDEX(BookInYear,453))</f>
        <v/>
      </c>
      <c r="L458" s="19"/>
      <c r="M458" s="39"/>
      <c r="N458" s="19"/>
      <c r="O458" s="19"/>
      <c r="P458" s="43" t="str">
        <f aca="false">IF($E458="","",IF($L458="Decline",0,IF($L458="Approve fewer",IF($M458="","",$M458),IF($L458="","",$I458))))</f>
        <v/>
      </c>
      <c r="Q458" s="34" t="str">
        <f aca="false">IF($P458="","",IF($N458&lt;&gt;"",$N458,$J458))</f>
        <v/>
      </c>
      <c r="R458" s="35" t="str">
        <f aca="false">IF(OR($P458="",$Q458=""),"",INDEX(BookRate,453)*$P458*(5-MATCH($Q458,{"Q1";"Q2";"Q3";"Q4"},0))/4+INDEX(BookOneOff,453)*$P458)</f>
        <v/>
      </c>
      <c r="S458" s="35" t="str">
        <f aca="false">IF($P458="","",INDEX(BookRate,453)*$P458)</f>
        <v/>
      </c>
      <c r="T458" s="35" t="str">
        <f aca="false">IF($R458="","",$R458-$K458)</f>
        <v/>
      </c>
      <c r="U458" s="35" t="str">
        <f aca="false">IF(N($P458)&lt;=0,"",COUNTIF($P$6:$P458,"&gt;0"))</f>
        <v/>
      </c>
    </row>
    <row r="459" customFormat="false" ht="15" hidden="false" customHeight="false" outlineLevel="0" collapsed="false">
      <c r="A459" s="40" t="str">
        <f aca="false">IF(INDEX(BookTitle,454)="","",INDEX(BookGroup,454))</f>
        <v/>
      </c>
      <c r="B459" s="40" t="str">
        <f aca="false">IF(INDEX(BookTitle,454)="","",INDEX(BookRef,454))</f>
        <v/>
      </c>
      <c r="C459" s="40" t="str">
        <f aca="false">IF(INDEX(BookTitle,454)="","",INDEX(BookDivision,454))</f>
        <v/>
      </c>
      <c r="D459" s="40" t="str">
        <f aca="false">IF(INDEX(BookTitle,454)="","",INDEX(BookUnit,454))</f>
        <v/>
      </c>
      <c r="E459" s="40" t="str">
        <f aca="false">IF(INDEX(BookTitle,454)="","",INDEX(BookTitle,454))</f>
        <v/>
      </c>
      <c r="F459" s="40" t="str">
        <f aca="false">IF(INDEX(BookTitle,454)="","",INDEX(BookLevel,454))</f>
        <v/>
      </c>
      <c r="G459" s="40" t="str">
        <f aca="false">IF(INDEX(BookTitle,454)="","",INDEX(BookCategory,454))</f>
        <v/>
      </c>
      <c r="H459" s="40" t="str">
        <f aca="false">IF(INDEX(BookTitle,454)="","",INDEX(BookRank,454))</f>
        <v/>
      </c>
      <c r="I459" s="41" t="str">
        <f aca="false">IF(INDEX(BookTitle,454)="","",INDEX(BookTotal,454))</f>
        <v/>
      </c>
      <c r="J459" s="0" t="str">
        <f aca="false">IF($I459="","",IF(INDEX(BookQ1,454)&gt;0,"Q1",IF(INDEX(BookQ2,454)&gt;0,"Q2",IF(INDEX(BookQ3,454)&gt;0,"Q3",IF(INDEX(BookQ4,454)&gt;0,"Q4","")))))</f>
        <v/>
      </c>
      <c r="K459" s="42" t="str">
        <f aca="false">IF(INDEX(BookTitle,454)="","",INDEX(BookInYear,454))</f>
        <v/>
      </c>
      <c r="L459" s="19"/>
      <c r="M459" s="39"/>
      <c r="N459" s="19"/>
      <c r="O459" s="19"/>
      <c r="P459" s="43" t="str">
        <f aca="false">IF($E459="","",IF($L459="Decline",0,IF($L459="Approve fewer",IF($M459="","",$M459),IF($L459="","",$I459))))</f>
        <v/>
      </c>
      <c r="Q459" s="34" t="str">
        <f aca="false">IF($P459="","",IF($N459&lt;&gt;"",$N459,$J459))</f>
        <v/>
      </c>
      <c r="R459" s="35" t="str">
        <f aca="false">IF(OR($P459="",$Q459=""),"",INDEX(BookRate,454)*$P459*(5-MATCH($Q459,{"Q1";"Q2";"Q3";"Q4"},0))/4+INDEX(BookOneOff,454)*$P459)</f>
        <v/>
      </c>
      <c r="S459" s="35" t="str">
        <f aca="false">IF($P459="","",INDEX(BookRate,454)*$P459)</f>
        <v/>
      </c>
      <c r="T459" s="35" t="str">
        <f aca="false">IF($R459="","",$R459-$K459)</f>
        <v/>
      </c>
      <c r="U459" s="35" t="str">
        <f aca="false">IF(N($P459)&lt;=0,"",COUNTIF($P$6:$P459,"&gt;0"))</f>
        <v/>
      </c>
    </row>
    <row r="460" customFormat="false" ht="15" hidden="false" customHeight="false" outlineLevel="0" collapsed="false">
      <c r="A460" s="40" t="str">
        <f aca="false">IF(INDEX(BookTitle,455)="","",INDEX(BookGroup,455))</f>
        <v/>
      </c>
      <c r="B460" s="40" t="str">
        <f aca="false">IF(INDEX(BookTitle,455)="","",INDEX(BookRef,455))</f>
        <v/>
      </c>
      <c r="C460" s="40" t="str">
        <f aca="false">IF(INDEX(BookTitle,455)="","",INDEX(BookDivision,455))</f>
        <v/>
      </c>
      <c r="D460" s="40" t="str">
        <f aca="false">IF(INDEX(BookTitle,455)="","",INDEX(BookUnit,455))</f>
        <v/>
      </c>
      <c r="E460" s="40" t="str">
        <f aca="false">IF(INDEX(BookTitle,455)="","",INDEX(BookTitle,455))</f>
        <v/>
      </c>
      <c r="F460" s="40" t="str">
        <f aca="false">IF(INDEX(BookTitle,455)="","",INDEX(BookLevel,455))</f>
        <v/>
      </c>
      <c r="G460" s="40" t="str">
        <f aca="false">IF(INDEX(BookTitle,455)="","",INDEX(BookCategory,455))</f>
        <v/>
      </c>
      <c r="H460" s="40" t="str">
        <f aca="false">IF(INDEX(BookTitle,455)="","",INDEX(BookRank,455))</f>
        <v/>
      </c>
      <c r="I460" s="41" t="str">
        <f aca="false">IF(INDEX(BookTitle,455)="","",INDEX(BookTotal,455))</f>
        <v/>
      </c>
      <c r="J460" s="0" t="str">
        <f aca="false">IF($I460="","",IF(INDEX(BookQ1,455)&gt;0,"Q1",IF(INDEX(BookQ2,455)&gt;0,"Q2",IF(INDEX(BookQ3,455)&gt;0,"Q3",IF(INDEX(BookQ4,455)&gt;0,"Q4","")))))</f>
        <v/>
      </c>
      <c r="K460" s="42" t="str">
        <f aca="false">IF(INDEX(BookTitle,455)="","",INDEX(BookInYear,455))</f>
        <v/>
      </c>
      <c r="L460" s="19"/>
      <c r="M460" s="39"/>
      <c r="N460" s="19"/>
      <c r="O460" s="19"/>
      <c r="P460" s="43" t="str">
        <f aca="false">IF($E460="","",IF($L460="Decline",0,IF($L460="Approve fewer",IF($M460="","",$M460),IF($L460="","",$I460))))</f>
        <v/>
      </c>
      <c r="Q460" s="34" t="str">
        <f aca="false">IF($P460="","",IF($N460&lt;&gt;"",$N460,$J460))</f>
        <v/>
      </c>
      <c r="R460" s="35" t="str">
        <f aca="false">IF(OR($P460="",$Q460=""),"",INDEX(BookRate,455)*$P460*(5-MATCH($Q460,{"Q1";"Q2";"Q3";"Q4"},0))/4+INDEX(BookOneOff,455)*$P460)</f>
        <v/>
      </c>
      <c r="S460" s="35" t="str">
        <f aca="false">IF($P460="","",INDEX(BookRate,455)*$P460)</f>
        <v/>
      </c>
      <c r="T460" s="35" t="str">
        <f aca="false">IF($R460="","",$R460-$K460)</f>
        <v/>
      </c>
      <c r="U460" s="35" t="str">
        <f aca="false">IF(N($P460)&lt;=0,"",COUNTIF($P$6:$P460,"&gt;0"))</f>
        <v/>
      </c>
    </row>
    <row r="461" customFormat="false" ht="15" hidden="false" customHeight="false" outlineLevel="0" collapsed="false">
      <c r="A461" s="40" t="str">
        <f aca="false">IF(INDEX(BookTitle,456)="","",INDEX(BookGroup,456))</f>
        <v/>
      </c>
      <c r="B461" s="40" t="str">
        <f aca="false">IF(INDEX(BookTitle,456)="","",INDEX(BookRef,456))</f>
        <v/>
      </c>
      <c r="C461" s="40" t="str">
        <f aca="false">IF(INDEX(BookTitle,456)="","",INDEX(BookDivision,456))</f>
        <v/>
      </c>
      <c r="D461" s="40" t="str">
        <f aca="false">IF(INDEX(BookTitle,456)="","",INDEX(BookUnit,456))</f>
        <v/>
      </c>
      <c r="E461" s="40" t="str">
        <f aca="false">IF(INDEX(BookTitle,456)="","",INDEX(BookTitle,456))</f>
        <v/>
      </c>
      <c r="F461" s="40" t="str">
        <f aca="false">IF(INDEX(BookTitle,456)="","",INDEX(BookLevel,456))</f>
        <v/>
      </c>
      <c r="G461" s="40" t="str">
        <f aca="false">IF(INDEX(BookTitle,456)="","",INDEX(BookCategory,456))</f>
        <v/>
      </c>
      <c r="H461" s="40" t="str">
        <f aca="false">IF(INDEX(BookTitle,456)="","",INDEX(BookRank,456))</f>
        <v/>
      </c>
      <c r="I461" s="41" t="str">
        <f aca="false">IF(INDEX(BookTitle,456)="","",INDEX(BookTotal,456))</f>
        <v/>
      </c>
      <c r="J461" s="0" t="str">
        <f aca="false">IF($I461="","",IF(INDEX(BookQ1,456)&gt;0,"Q1",IF(INDEX(BookQ2,456)&gt;0,"Q2",IF(INDEX(BookQ3,456)&gt;0,"Q3",IF(INDEX(BookQ4,456)&gt;0,"Q4","")))))</f>
        <v/>
      </c>
      <c r="K461" s="42" t="str">
        <f aca="false">IF(INDEX(BookTitle,456)="","",INDEX(BookInYear,456))</f>
        <v/>
      </c>
      <c r="L461" s="19"/>
      <c r="M461" s="39"/>
      <c r="N461" s="19"/>
      <c r="O461" s="19"/>
      <c r="P461" s="43" t="str">
        <f aca="false">IF($E461="","",IF($L461="Decline",0,IF($L461="Approve fewer",IF($M461="","",$M461),IF($L461="","",$I461))))</f>
        <v/>
      </c>
      <c r="Q461" s="34" t="str">
        <f aca="false">IF($P461="","",IF($N461&lt;&gt;"",$N461,$J461))</f>
        <v/>
      </c>
      <c r="R461" s="35" t="str">
        <f aca="false">IF(OR($P461="",$Q461=""),"",INDEX(BookRate,456)*$P461*(5-MATCH($Q461,{"Q1";"Q2";"Q3";"Q4"},0))/4+INDEX(BookOneOff,456)*$P461)</f>
        <v/>
      </c>
      <c r="S461" s="35" t="str">
        <f aca="false">IF($P461="","",INDEX(BookRate,456)*$P461)</f>
        <v/>
      </c>
      <c r="T461" s="35" t="str">
        <f aca="false">IF($R461="","",$R461-$K461)</f>
        <v/>
      </c>
      <c r="U461" s="35" t="str">
        <f aca="false">IF(N($P461)&lt;=0,"",COUNTIF($P$6:$P461,"&gt;0"))</f>
        <v/>
      </c>
    </row>
    <row r="462" customFormat="false" ht="15" hidden="false" customHeight="false" outlineLevel="0" collapsed="false">
      <c r="A462" s="40" t="str">
        <f aca="false">IF(INDEX(BookTitle,457)="","",INDEX(BookGroup,457))</f>
        <v/>
      </c>
      <c r="B462" s="40" t="str">
        <f aca="false">IF(INDEX(BookTitle,457)="","",INDEX(BookRef,457))</f>
        <v/>
      </c>
      <c r="C462" s="40" t="str">
        <f aca="false">IF(INDEX(BookTitle,457)="","",INDEX(BookDivision,457))</f>
        <v/>
      </c>
      <c r="D462" s="40" t="str">
        <f aca="false">IF(INDEX(BookTitle,457)="","",INDEX(BookUnit,457))</f>
        <v/>
      </c>
      <c r="E462" s="40" t="str">
        <f aca="false">IF(INDEX(BookTitle,457)="","",INDEX(BookTitle,457))</f>
        <v/>
      </c>
      <c r="F462" s="40" t="str">
        <f aca="false">IF(INDEX(BookTitle,457)="","",INDEX(BookLevel,457))</f>
        <v/>
      </c>
      <c r="G462" s="40" t="str">
        <f aca="false">IF(INDEX(BookTitle,457)="","",INDEX(BookCategory,457))</f>
        <v/>
      </c>
      <c r="H462" s="40" t="str">
        <f aca="false">IF(INDEX(BookTitle,457)="","",INDEX(BookRank,457))</f>
        <v/>
      </c>
      <c r="I462" s="41" t="str">
        <f aca="false">IF(INDEX(BookTitle,457)="","",INDEX(BookTotal,457))</f>
        <v/>
      </c>
      <c r="J462" s="0" t="str">
        <f aca="false">IF($I462="","",IF(INDEX(BookQ1,457)&gt;0,"Q1",IF(INDEX(BookQ2,457)&gt;0,"Q2",IF(INDEX(BookQ3,457)&gt;0,"Q3",IF(INDEX(BookQ4,457)&gt;0,"Q4","")))))</f>
        <v/>
      </c>
      <c r="K462" s="42" t="str">
        <f aca="false">IF(INDEX(BookTitle,457)="","",INDEX(BookInYear,457))</f>
        <v/>
      </c>
      <c r="L462" s="19"/>
      <c r="M462" s="39"/>
      <c r="N462" s="19"/>
      <c r="O462" s="19"/>
      <c r="P462" s="43" t="str">
        <f aca="false">IF($E462="","",IF($L462="Decline",0,IF($L462="Approve fewer",IF($M462="","",$M462),IF($L462="","",$I462))))</f>
        <v/>
      </c>
      <c r="Q462" s="34" t="str">
        <f aca="false">IF($P462="","",IF($N462&lt;&gt;"",$N462,$J462))</f>
        <v/>
      </c>
      <c r="R462" s="35" t="str">
        <f aca="false">IF(OR($P462="",$Q462=""),"",INDEX(BookRate,457)*$P462*(5-MATCH($Q462,{"Q1";"Q2";"Q3";"Q4"},0))/4+INDEX(BookOneOff,457)*$P462)</f>
        <v/>
      </c>
      <c r="S462" s="35" t="str">
        <f aca="false">IF($P462="","",INDEX(BookRate,457)*$P462)</f>
        <v/>
      </c>
      <c r="T462" s="35" t="str">
        <f aca="false">IF($R462="","",$R462-$K462)</f>
        <v/>
      </c>
      <c r="U462" s="35" t="str">
        <f aca="false">IF(N($P462)&lt;=0,"",COUNTIF($P$6:$P462,"&gt;0"))</f>
        <v/>
      </c>
    </row>
    <row r="463" customFormat="false" ht="15" hidden="false" customHeight="false" outlineLevel="0" collapsed="false">
      <c r="A463" s="40" t="str">
        <f aca="false">IF(INDEX(BookTitle,458)="","",INDEX(BookGroup,458))</f>
        <v/>
      </c>
      <c r="B463" s="40" t="str">
        <f aca="false">IF(INDEX(BookTitle,458)="","",INDEX(BookRef,458))</f>
        <v/>
      </c>
      <c r="C463" s="40" t="str">
        <f aca="false">IF(INDEX(BookTitle,458)="","",INDEX(BookDivision,458))</f>
        <v/>
      </c>
      <c r="D463" s="40" t="str">
        <f aca="false">IF(INDEX(BookTitle,458)="","",INDEX(BookUnit,458))</f>
        <v/>
      </c>
      <c r="E463" s="40" t="str">
        <f aca="false">IF(INDEX(BookTitle,458)="","",INDEX(BookTitle,458))</f>
        <v/>
      </c>
      <c r="F463" s="40" t="str">
        <f aca="false">IF(INDEX(BookTitle,458)="","",INDEX(BookLevel,458))</f>
        <v/>
      </c>
      <c r="G463" s="40" t="str">
        <f aca="false">IF(INDEX(BookTitle,458)="","",INDEX(BookCategory,458))</f>
        <v/>
      </c>
      <c r="H463" s="40" t="str">
        <f aca="false">IF(INDEX(BookTitle,458)="","",INDEX(BookRank,458))</f>
        <v/>
      </c>
      <c r="I463" s="41" t="str">
        <f aca="false">IF(INDEX(BookTitle,458)="","",INDEX(BookTotal,458))</f>
        <v/>
      </c>
      <c r="J463" s="0" t="str">
        <f aca="false">IF($I463="","",IF(INDEX(BookQ1,458)&gt;0,"Q1",IF(INDEX(BookQ2,458)&gt;0,"Q2",IF(INDEX(BookQ3,458)&gt;0,"Q3",IF(INDEX(BookQ4,458)&gt;0,"Q4","")))))</f>
        <v/>
      </c>
      <c r="K463" s="42" t="str">
        <f aca="false">IF(INDEX(BookTitle,458)="","",INDEX(BookInYear,458))</f>
        <v/>
      </c>
      <c r="L463" s="19"/>
      <c r="M463" s="39"/>
      <c r="N463" s="19"/>
      <c r="O463" s="19"/>
      <c r="P463" s="43" t="str">
        <f aca="false">IF($E463="","",IF($L463="Decline",0,IF($L463="Approve fewer",IF($M463="","",$M463),IF($L463="","",$I463))))</f>
        <v/>
      </c>
      <c r="Q463" s="34" t="str">
        <f aca="false">IF($P463="","",IF($N463&lt;&gt;"",$N463,$J463))</f>
        <v/>
      </c>
      <c r="R463" s="35" t="str">
        <f aca="false">IF(OR($P463="",$Q463=""),"",INDEX(BookRate,458)*$P463*(5-MATCH($Q463,{"Q1";"Q2";"Q3";"Q4"},0))/4+INDEX(BookOneOff,458)*$P463)</f>
        <v/>
      </c>
      <c r="S463" s="35" t="str">
        <f aca="false">IF($P463="","",INDEX(BookRate,458)*$P463)</f>
        <v/>
      </c>
      <c r="T463" s="35" t="str">
        <f aca="false">IF($R463="","",$R463-$K463)</f>
        <v/>
      </c>
      <c r="U463" s="35" t="str">
        <f aca="false">IF(N($P463)&lt;=0,"",COUNTIF($P$6:$P463,"&gt;0"))</f>
        <v/>
      </c>
    </row>
    <row r="464" customFormat="false" ht="15" hidden="false" customHeight="false" outlineLevel="0" collapsed="false">
      <c r="A464" s="40" t="str">
        <f aca="false">IF(INDEX(BookTitle,459)="","",INDEX(BookGroup,459))</f>
        <v/>
      </c>
      <c r="B464" s="40" t="str">
        <f aca="false">IF(INDEX(BookTitle,459)="","",INDEX(BookRef,459))</f>
        <v/>
      </c>
      <c r="C464" s="40" t="str">
        <f aca="false">IF(INDEX(BookTitle,459)="","",INDEX(BookDivision,459))</f>
        <v/>
      </c>
      <c r="D464" s="40" t="str">
        <f aca="false">IF(INDEX(BookTitle,459)="","",INDEX(BookUnit,459))</f>
        <v/>
      </c>
      <c r="E464" s="40" t="str">
        <f aca="false">IF(INDEX(BookTitle,459)="","",INDEX(BookTitle,459))</f>
        <v/>
      </c>
      <c r="F464" s="40" t="str">
        <f aca="false">IF(INDEX(BookTitle,459)="","",INDEX(BookLevel,459))</f>
        <v/>
      </c>
      <c r="G464" s="40" t="str">
        <f aca="false">IF(INDEX(BookTitle,459)="","",INDEX(BookCategory,459))</f>
        <v/>
      </c>
      <c r="H464" s="40" t="str">
        <f aca="false">IF(INDEX(BookTitle,459)="","",INDEX(BookRank,459))</f>
        <v/>
      </c>
      <c r="I464" s="41" t="str">
        <f aca="false">IF(INDEX(BookTitle,459)="","",INDEX(BookTotal,459))</f>
        <v/>
      </c>
      <c r="J464" s="0" t="str">
        <f aca="false">IF($I464="","",IF(INDEX(BookQ1,459)&gt;0,"Q1",IF(INDEX(BookQ2,459)&gt;0,"Q2",IF(INDEX(BookQ3,459)&gt;0,"Q3",IF(INDEX(BookQ4,459)&gt;0,"Q4","")))))</f>
        <v/>
      </c>
      <c r="K464" s="42" t="str">
        <f aca="false">IF(INDEX(BookTitle,459)="","",INDEX(BookInYear,459))</f>
        <v/>
      </c>
      <c r="L464" s="19"/>
      <c r="M464" s="39"/>
      <c r="N464" s="19"/>
      <c r="O464" s="19"/>
      <c r="P464" s="43" t="str">
        <f aca="false">IF($E464="","",IF($L464="Decline",0,IF($L464="Approve fewer",IF($M464="","",$M464),IF($L464="","",$I464))))</f>
        <v/>
      </c>
      <c r="Q464" s="34" t="str">
        <f aca="false">IF($P464="","",IF($N464&lt;&gt;"",$N464,$J464))</f>
        <v/>
      </c>
      <c r="R464" s="35" t="str">
        <f aca="false">IF(OR($P464="",$Q464=""),"",INDEX(BookRate,459)*$P464*(5-MATCH($Q464,{"Q1";"Q2";"Q3";"Q4"},0))/4+INDEX(BookOneOff,459)*$P464)</f>
        <v/>
      </c>
      <c r="S464" s="35" t="str">
        <f aca="false">IF($P464="","",INDEX(BookRate,459)*$P464)</f>
        <v/>
      </c>
      <c r="T464" s="35" t="str">
        <f aca="false">IF($R464="","",$R464-$K464)</f>
        <v/>
      </c>
      <c r="U464" s="35" t="str">
        <f aca="false">IF(N($P464)&lt;=0,"",COUNTIF($P$6:$P464,"&gt;0"))</f>
        <v/>
      </c>
    </row>
    <row r="465" customFormat="false" ht="15" hidden="false" customHeight="false" outlineLevel="0" collapsed="false">
      <c r="A465" s="40" t="str">
        <f aca="false">IF(INDEX(BookTitle,460)="","",INDEX(BookGroup,460))</f>
        <v/>
      </c>
      <c r="B465" s="40" t="str">
        <f aca="false">IF(INDEX(BookTitle,460)="","",INDEX(BookRef,460))</f>
        <v/>
      </c>
      <c r="C465" s="40" t="str">
        <f aca="false">IF(INDEX(BookTitle,460)="","",INDEX(BookDivision,460))</f>
        <v/>
      </c>
      <c r="D465" s="40" t="str">
        <f aca="false">IF(INDEX(BookTitle,460)="","",INDEX(BookUnit,460))</f>
        <v/>
      </c>
      <c r="E465" s="40" t="str">
        <f aca="false">IF(INDEX(BookTitle,460)="","",INDEX(BookTitle,460))</f>
        <v/>
      </c>
      <c r="F465" s="40" t="str">
        <f aca="false">IF(INDEX(BookTitle,460)="","",INDEX(BookLevel,460))</f>
        <v/>
      </c>
      <c r="G465" s="40" t="str">
        <f aca="false">IF(INDEX(BookTitle,460)="","",INDEX(BookCategory,460))</f>
        <v/>
      </c>
      <c r="H465" s="40" t="str">
        <f aca="false">IF(INDEX(BookTitle,460)="","",INDEX(BookRank,460))</f>
        <v/>
      </c>
      <c r="I465" s="41" t="str">
        <f aca="false">IF(INDEX(BookTitle,460)="","",INDEX(BookTotal,460))</f>
        <v/>
      </c>
      <c r="J465" s="0" t="str">
        <f aca="false">IF($I465="","",IF(INDEX(BookQ1,460)&gt;0,"Q1",IF(INDEX(BookQ2,460)&gt;0,"Q2",IF(INDEX(BookQ3,460)&gt;0,"Q3",IF(INDEX(BookQ4,460)&gt;0,"Q4","")))))</f>
        <v/>
      </c>
      <c r="K465" s="42" t="str">
        <f aca="false">IF(INDEX(BookTitle,460)="","",INDEX(BookInYear,460))</f>
        <v/>
      </c>
      <c r="L465" s="19"/>
      <c r="M465" s="39"/>
      <c r="N465" s="19"/>
      <c r="O465" s="19"/>
      <c r="P465" s="43" t="str">
        <f aca="false">IF($E465="","",IF($L465="Decline",0,IF($L465="Approve fewer",IF($M465="","",$M465),IF($L465="","",$I465))))</f>
        <v/>
      </c>
      <c r="Q465" s="34" t="str">
        <f aca="false">IF($P465="","",IF($N465&lt;&gt;"",$N465,$J465))</f>
        <v/>
      </c>
      <c r="R465" s="35" t="str">
        <f aca="false">IF(OR($P465="",$Q465=""),"",INDEX(BookRate,460)*$P465*(5-MATCH($Q465,{"Q1";"Q2";"Q3";"Q4"},0))/4+INDEX(BookOneOff,460)*$P465)</f>
        <v/>
      </c>
      <c r="S465" s="35" t="str">
        <f aca="false">IF($P465="","",INDEX(BookRate,460)*$P465)</f>
        <v/>
      </c>
      <c r="T465" s="35" t="str">
        <f aca="false">IF($R465="","",$R465-$K465)</f>
        <v/>
      </c>
      <c r="U465" s="35" t="str">
        <f aca="false">IF(N($P465)&lt;=0,"",COUNTIF($P$6:$P465,"&gt;0"))</f>
        <v/>
      </c>
    </row>
    <row r="466" customFormat="false" ht="15" hidden="false" customHeight="false" outlineLevel="0" collapsed="false">
      <c r="A466" s="40" t="str">
        <f aca="false">IF(INDEX(BookTitle,461)="","",INDEX(BookGroup,461))</f>
        <v/>
      </c>
      <c r="B466" s="40" t="str">
        <f aca="false">IF(INDEX(BookTitle,461)="","",INDEX(BookRef,461))</f>
        <v/>
      </c>
      <c r="C466" s="40" t="str">
        <f aca="false">IF(INDEX(BookTitle,461)="","",INDEX(BookDivision,461))</f>
        <v/>
      </c>
      <c r="D466" s="40" t="str">
        <f aca="false">IF(INDEX(BookTitle,461)="","",INDEX(BookUnit,461))</f>
        <v/>
      </c>
      <c r="E466" s="40" t="str">
        <f aca="false">IF(INDEX(BookTitle,461)="","",INDEX(BookTitle,461))</f>
        <v/>
      </c>
      <c r="F466" s="40" t="str">
        <f aca="false">IF(INDEX(BookTitle,461)="","",INDEX(BookLevel,461))</f>
        <v/>
      </c>
      <c r="G466" s="40" t="str">
        <f aca="false">IF(INDEX(BookTitle,461)="","",INDEX(BookCategory,461))</f>
        <v/>
      </c>
      <c r="H466" s="40" t="str">
        <f aca="false">IF(INDEX(BookTitle,461)="","",INDEX(BookRank,461))</f>
        <v/>
      </c>
      <c r="I466" s="41" t="str">
        <f aca="false">IF(INDEX(BookTitle,461)="","",INDEX(BookTotal,461))</f>
        <v/>
      </c>
      <c r="J466" s="0" t="str">
        <f aca="false">IF($I466="","",IF(INDEX(BookQ1,461)&gt;0,"Q1",IF(INDEX(BookQ2,461)&gt;0,"Q2",IF(INDEX(BookQ3,461)&gt;0,"Q3",IF(INDEX(BookQ4,461)&gt;0,"Q4","")))))</f>
        <v/>
      </c>
      <c r="K466" s="42" t="str">
        <f aca="false">IF(INDEX(BookTitle,461)="","",INDEX(BookInYear,461))</f>
        <v/>
      </c>
      <c r="L466" s="19"/>
      <c r="M466" s="39"/>
      <c r="N466" s="19"/>
      <c r="O466" s="19"/>
      <c r="P466" s="43" t="str">
        <f aca="false">IF($E466="","",IF($L466="Decline",0,IF($L466="Approve fewer",IF($M466="","",$M466),IF($L466="","",$I466))))</f>
        <v/>
      </c>
      <c r="Q466" s="34" t="str">
        <f aca="false">IF($P466="","",IF($N466&lt;&gt;"",$N466,$J466))</f>
        <v/>
      </c>
      <c r="R466" s="35" t="str">
        <f aca="false">IF(OR($P466="",$Q466=""),"",INDEX(BookRate,461)*$P466*(5-MATCH($Q466,{"Q1";"Q2";"Q3";"Q4"},0))/4+INDEX(BookOneOff,461)*$P466)</f>
        <v/>
      </c>
      <c r="S466" s="35" t="str">
        <f aca="false">IF($P466="","",INDEX(BookRate,461)*$P466)</f>
        <v/>
      </c>
      <c r="T466" s="35" t="str">
        <f aca="false">IF($R466="","",$R466-$K466)</f>
        <v/>
      </c>
      <c r="U466" s="35" t="str">
        <f aca="false">IF(N($P466)&lt;=0,"",COUNTIF($P$6:$P466,"&gt;0"))</f>
        <v/>
      </c>
    </row>
    <row r="467" customFormat="false" ht="15" hidden="false" customHeight="false" outlineLevel="0" collapsed="false">
      <c r="A467" s="40" t="str">
        <f aca="false">IF(INDEX(BookTitle,462)="","",INDEX(BookGroup,462))</f>
        <v/>
      </c>
      <c r="B467" s="40" t="str">
        <f aca="false">IF(INDEX(BookTitle,462)="","",INDEX(BookRef,462))</f>
        <v/>
      </c>
      <c r="C467" s="40" t="str">
        <f aca="false">IF(INDEX(BookTitle,462)="","",INDEX(BookDivision,462))</f>
        <v/>
      </c>
      <c r="D467" s="40" t="str">
        <f aca="false">IF(INDEX(BookTitle,462)="","",INDEX(BookUnit,462))</f>
        <v/>
      </c>
      <c r="E467" s="40" t="str">
        <f aca="false">IF(INDEX(BookTitle,462)="","",INDEX(BookTitle,462))</f>
        <v/>
      </c>
      <c r="F467" s="40" t="str">
        <f aca="false">IF(INDEX(BookTitle,462)="","",INDEX(BookLevel,462))</f>
        <v/>
      </c>
      <c r="G467" s="40" t="str">
        <f aca="false">IF(INDEX(BookTitle,462)="","",INDEX(BookCategory,462))</f>
        <v/>
      </c>
      <c r="H467" s="40" t="str">
        <f aca="false">IF(INDEX(BookTitle,462)="","",INDEX(BookRank,462))</f>
        <v/>
      </c>
      <c r="I467" s="41" t="str">
        <f aca="false">IF(INDEX(BookTitle,462)="","",INDEX(BookTotal,462))</f>
        <v/>
      </c>
      <c r="J467" s="0" t="str">
        <f aca="false">IF($I467="","",IF(INDEX(BookQ1,462)&gt;0,"Q1",IF(INDEX(BookQ2,462)&gt;0,"Q2",IF(INDEX(BookQ3,462)&gt;0,"Q3",IF(INDEX(BookQ4,462)&gt;0,"Q4","")))))</f>
        <v/>
      </c>
      <c r="K467" s="42" t="str">
        <f aca="false">IF(INDEX(BookTitle,462)="","",INDEX(BookInYear,462))</f>
        <v/>
      </c>
      <c r="L467" s="19"/>
      <c r="M467" s="39"/>
      <c r="N467" s="19"/>
      <c r="O467" s="19"/>
      <c r="P467" s="43" t="str">
        <f aca="false">IF($E467="","",IF($L467="Decline",0,IF($L467="Approve fewer",IF($M467="","",$M467),IF($L467="","",$I467))))</f>
        <v/>
      </c>
      <c r="Q467" s="34" t="str">
        <f aca="false">IF($P467="","",IF($N467&lt;&gt;"",$N467,$J467))</f>
        <v/>
      </c>
      <c r="R467" s="35" t="str">
        <f aca="false">IF(OR($P467="",$Q467=""),"",INDEX(BookRate,462)*$P467*(5-MATCH($Q467,{"Q1";"Q2";"Q3";"Q4"},0))/4+INDEX(BookOneOff,462)*$P467)</f>
        <v/>
      </c>
      <c r="S467" s="35" t="str">
        <f aca="false">IF($P467="","",INDEX(BookRate,462)*$P467)</f>
        <v/>
      </c>
      <c r="T467" s="35" t="str">
        <f aca="false">IF($R467="","",$R467-$K467)</f>
        <v/>
      </c>
      <c r="U467" s="35" t="str">
        <f aca="false">IF(N($P467)&lt;=0,"",COUNTIF($P$6:$P467,"&gt;0"))</f>
        <v/>
      </c>
    </row>
    <row r="468" customFormat="false" ht="15" hidden="false" customHeight="false" outlineLevel="0" collapsed="false">
      <c r="A468" s="40" t="str">
        <f aca="false">IF(INDEX(BookTitle,463)="","",INDEX(BookGroup,463))</f>
        <v/>
      </c>
      <c r="B468" s="40" t="str">
        <f aca="false">IF(INDEX(BookTitle,463)="","",INDEX(BookRef,463))</f>
        <v/>
      </c>
      <c r="C468" s="40" t="str">
        <f aca="false">IF(INDEX(BookTitle,463)="","",INDEX(BookDivision,463))</f>
        <v/>
      </c>
      <c r="D468" s="40" t="str">
        <f aca="false">IF(INDEX(BookTitle,463)="","",INDEX(BookUnit,463))</f>
        <v/>
      </c>
      <c r="E468" s="40" t="str">
        <f aca="false">IF(INDEX(BookTitle,463)="","",INDEX(BookTitle,463))</f>
        <v/>
      </c>
      <c r="F468" s="40" t="str">
        <f aca="false">IF(INDEX(BookTitle,463)="","",INDEX(BookLevel,463))</f>
        <v/>
      </c>
      <c r="G468" s="40" t="str">
        <f aca="false">IF(INDEX(BookTitle,463)="","",INDEX(BookCategory,463))</f>
        <v/>
      </c>
      <c r="H468" s="40" t="str">
        <f aca="false">IF(INDEX(BookTitle,463)="","",INDEX(BookRank,463))</f>
        <v/>
      </c>
      <c r="I468" s="41" t="str">
        <f aca="false">IF(INDEX(BookTitle,463)="","",INDEX(BookTotal,463))</f>
        <v/>
      </c>
      <c r="J468" s="0" t="str">
        <f aca="false">IF($I468="","",IF(INDEX(BookQ1,463)&gt;0,"Q1",IF(INDEX(BookQ2,463)&gt;0,"Q2",IF(INDEX(BookQ3,463)&gt;0,"Q3",IF(INDEX(BookQ4,463)&gt;0,"Q4","")))))</f>
        <v/>
      </c>
      <c r="K468" s="42" t="str">
        <f aca="false">IF(INDEX(BookTitle,463)="","",INDEX(BookInYear,463))</f>
        <v/>
      </c>
      <c r="L468" s="19"/>
      <c r="M468" s="39"/>
      <c r="N468" s="19"/>
      <c r="O468" s="19"/>
      <c r="P468" s="43" t="str">
        <f aca="false">IF($E468="","",IF($L468="Decline",0,IF($L468="Approve fewer",IF($M468="","",$M468),IF($L468="","",$I468))))</f>
        <v/>
      </c>
      <c r="Q468" s="34" t="str">
        <f aca="false">IF($P468="","",IF($N468&lt;&gt;"",$N468,$J468))</f>
        <v/>
      </c>
      <c r="R468" s="35" t="str">
        <f aca="false">IF(OR($P468="",$Q468=""),"",INDEX(BookRate,463)*$P468*(5-MATCH($Q468,{"Q1";"Q2";"Q3";"Q4"},0))/4+INDEX(BookOneOff,463)*$P468)</f>
        <v/>
      </c>
      <c r="S468" s="35" t="str">
        <f aca="false">IF($P468="","",INDEX(BookRate,463)*$P468)</f>
        <v/>
      </c>
      <c r="T468" s="35" t="str">
        <f aca="false">IF($R468="","",$R468-$K468)</f>
        <v/>
      </c>
      <c r="U468" s="35" t="str">
        <f aca="false">IF(N($P468)&lt;=0,"",COUNTIF($P$6:$P468,"&gt;0"))</f>
        <v/>
      </c>
    </row>
    <row r="469" customFormat="false" ht="15" hidden="false" customHeight="false" outlineLevel="0" collapsed="false">
      <c r="A469" s="40" t="str">
        <f aca="false">IF(INDEX(BookTitle,464)="","",INDEX(BookGroup,464))</f>
        <v/>
      </c>
      <c r="B469" s="40" t="str">
        <f aca="false">IF(INDEX(BookTitle,464)="","",INDEX(BookRef,464))</f>
        <v/>
      </c>
      <c r="C469" s="40" t="str">
        <f aca="false">IF(INDEX(BookTitle,464)="","",INDEX(BookDivision,464))</f>
        <v/>
      </c>
      <c r="D469" s="40" t="str">
        <f aca="false">IF(INDEX(BookTitle,464)="","",INDEX(BookUnit,464))</f>
        <v/>
      </c>
      <c r="E469" s="40" t="str">
        <f aca="false">IF(INDEX(BookTitle,464)="","",INDEX(BookTitle,464))</f>
        <v/>
      </c>
      <c r="F469" s="40" t="str">
        <f aca="false">IF(INDEX(BookTitle,464)="","",INDEX(BookLevel,464))</f>
        <v/>
      </c>
      <c r="G469" s="40" t="str">
        <f aca="false">IF(INDEX(BookTitle,464)="","",INDEX(BookCategory,464))</f>
        <v/>
      </c>
      <c r="H469" s="40" t="str">
        <f aca="false">IF(INDEX(BookTitle,464)="","",INDEX(BookRank,464))</f>
        <v/>
      </c>
      <c r="I469" s="41" t="str">
        <f aca="false">IF(INDEX(BookTitle,464)="","",INDEX(BookTotal,464))</f>
        <v/>
      </c>
      <c r="J469" s="0" t="str">
        <f aca="false">IF($I469="","",IF(INDEX(BookQ1,464)&gt;0,"Q1",IF(INDEX(BookQ2,464)&gt;0,"Q2",IF(INDEX(BookQ3,464)&gt;0,"Q3",IF(INDEX(BookQ4,464)&gt;0,"Q4","")))))</f>
        <v/>
      </c>
      <c r="K469" s="42" t="str">
        <f aca="false">IF(INDEX(BookTitle,464)="","",INDEX(BookInYear,464))</f>
        <v/>
      </c>
      <c r="L469" s="19"/>
      <c r="M469" s="39"/>
      <c r="N469" s="19"/>
      <c r="O469" s="19"/>
      <c r="P469" s="43" t="str">
        <f aca="false">IF($E469="","",IF($L469="Decline",0,IF($L469="Approve fewer",IF($M469="","",$M469),IF($L469="","",$I469))))</f>
        <v/>
      </c>
      <c r="Q469" s="34" t="str">
        <f aca="false">IF($P469="","",IF($N469&lt;&gt;"",$N469,$J469))</f>
        <v/>
      </c>
      <c r="R469" s="35" t="str">
        <f aca="false">IF(OR($P469="",$Q469=""),"",INDEX(BookRate,464)*$P469*(5-MATCH($Q469,{"Q1";"Q2";"Q3";"Q4"},0))/4+INDEX(BookOneOff,464)*$P469)</f>
        <v/>
      </c>
      <c r="S469" s="35" t="str">
        <f aca="false">IF($P469="","",INDEX(BookRate,464)*$P469)</f>
        <v/>
      </c>
      <c r="T469" s="35" t="str">
        <f aca="false">IF($R469="","",$R469-$K469)</f>
        <v/>
      </c>
      <c r="U469" s="35" t="str">
        <f aca="false">IF(N($P469)&lt;=0,"",COUNTIF($P$6:$P469,"&gt;0"))</f>
        <v/>
      </c>
    </row>
    <row r="470" customFormat="false" ht="15" hidden="false" customHeight="false" outlineLevel="0" collapsed="false">
      <c r="A470" s="40" t="str">
        <f aca="false">IF(INDEX(BookTitle,465)="","",INDEX(BookGroup,465))</f>
        <v/>
      </c>
      <c r="B470" s="40" t="str">
        <f aca="false">IF(INDEX(BookTitle,465)="","",INDEX(BookRef,465))</f>
        <v/>
      </c>
      <c r="C470" s="40" t="str">
        <f aca="false">IF(INDEX(BookTitle,465)="","",INDEX(BookDivision,465))</f>
        <v/>
      </c>
      <c r="D470" s="40" t="str">
        <f aca="false">IF(INDEX(BookTitle,465)="","",INDEX(BookUnit,465))</f>
        <v/>
      </c>
      <c r="E470" s="40" t="str">
        <f aca="false">IF(INDEX(BookTitle,465)="","",INDEX(BookTitle,465))</f>
        <v/>
      </c>
      <c r="F470" s="40" t="str">
        <f aca="false">IF(INDEX(BookTitle,465)="","",INDEX(BookLevel,465))</f>
        <v/>
      </c>
      <c r="G470" s="40" t="str">
        <f aca="false">IF(INDEX(BookTitle,465)="","",INDEX(BookCategory,465))</f>
        <v/>
      </c>
      <c r="H470" s="40" t="str">
        <f aca="false">IF(INDEX(BookTitle,465)="","",INDEX(BookRank,465))</f>
        <v/>
      </c>
      <c r="I470" s="41" t="str">
        <f aca="false">IF(INDEX(BookTitle,465)="","",INDEX(BookTotal,465))</f>
        <v/>
      </c>
      <c r="J470" s="0" t="str">
        <f aca="false">IF($I470="","",IF(INDEX(BookQ1,465)&gt;0,"Q1",IF(INDEX(BookQ2,465)&gt;0,"Q2",IF(INDEX(BookQ3,465)&gt;0,"Q3",IF(INDEX(BookQ4,465)&gt;0,"Q4","")))))</f>
        <v/>
      </c>
      <c r="K470" s="42" t="str">
        <f aca="false">IF(INDEX(BookTitle,465)="","",INDEX(BookInYear,465))</f>
        <v/>
      </c>
      <c r="L470" s="19"/>
      <c r="M470" s="39"/>
      <c r="N470" s="19"/>
      <c r="O470" s="19"/>
      <c r="P470" s="43" t="str">
        <f aca="false">IF($E470="","",IF($L470="Decline",0,IF($L470="Approve fewer",IF($M470="","",$M470),IF($L470="","",$I470))))</f>
        <v/>
      </c>
      <c r="Q470" s="34" t="str">
        <f aca="false">IF($P470="","",IF($N470&lt;&gt;"",$N470,$J470))</f>
        <v/>
      </c>
      <c r="R470" s="35" t="str">
        <f aca="false">IF(OR($P470="",$Q470=""),"",INDEX(BookRate,465)*$P470*(5-MATCH($Q470,{"Q1";"Q2";"Q3";"Q4"},0))/4+INDEX(BookOneOff,465)*$P470)</f>
        <v/>
      </c>
      <c r="S470" s="35" t="str">
        <f aca="false">IF($P470="","",INDEX(BookRate,465)*$P470)</f>
        <v/>
      </c>
      <c r="T470" s="35" t="str">
        <f aca="false">IF($R470="","",$R470-$K470)</f>
        <v/>
      </c>
      <c r="U470" s="35" t="str">
        <f aca="false">IF(N($P470)&lt;=0,"",COUNTIF($P$6:$P470,"&gt;0"))</f>
        <v/>
      </c>
    </row>
    <row r="471" customFormat="false" ht="15" hidden="false" customHeight="false" outlineLevel="0" collapsed="false">
      <c r="A471" s="40" t="str">
        <f aca="false">IF(INDEX(BookTitle,466)="","",INDEX(BookGroup,466))</f>
        <v/>
      </c>
      <c r="B471" s="40" t="str">
        <f aca="false">IF(INDEX(BookTitle,466)="","",INDEX(BookRef,466))</f>
        <v/>
      </c>
      <c r="C471" s="40" t="str">
        <f aca="false">IF(INDEX(BookTitle,466)="","",INDEX(BookDivision,466))</f>
        <v/>
      </c>
      <c r="D471" s="40" t="str">
        <f aca="false">IF(INDEX(BookTitle,466)="","",INDEX(BookUnit,466))</f>
        <v/>
      </c>
      <c r="E471" s="40" t="str">
        <f aca="false">IF(INDEX(BookTitle,466)="","",INDEX(BookTitle,466))</f>
        <v/>
      </c>
      <c r="F471" s="40" t="str">
        <f aca="false">IF(INDEX(BookTitle,466)="","",INDEX(BookLevel,466))</f>
        <v/>
      </c>
      <c r="G471" s="40" t="str">
        <f aca="false">IF(INDEX(BookTitle,466)="","",INDEX(BookCategory,466))</f>
        <v/>
      </c>
      <c r="H471" s="40" t="str">
        <f aca="false">IF(INDEX(BookTitle,466)="","",INDEX(BookRank,466))</f>
        <v/>
      </c>
      <c r="I471" s="41" t="str">
        <f aca="false">IF(INDEX(BookTitle,466)="","",INDEX(BookTotal,466))</f>
        <v/>
      </c>
      <c r="J471" s="0" t="str">
        <f aca="false">IF($I471="","",IF(INDEX(BookQ1,466)&gt;0,"Q1",IF(INDEX(BookQ2,466)&gt;0,"Q2",IF(INDEX(BookQ3,466)&gt;0,"Q3",IF(INDEX(BookQ4,466)&gt;0,"Q4","")))))</f>
        <v/>
      </c>
      <c r="K471" s="42" t="str">
        <f aca="false">IF(INDEX(BookTitle,466)="","",INDEX(BookInYear,466))</f>
        <v/>
      </c>
      <c r="L471" s="19"/>
      <c r="M471" s="39"/>
      <c r="N471" s="19"/>
      <c r="O471" s="19"/>
      <c r="P471" s="43" t="str">
        <f aca="false">IF($E471="","",IF($L471="Decline",0,IF($L471="Approve fewer",IF($M471="","",$M471),IF($L471="","",$I471))))</f>
        <v/>
      </c>
      <c r="Q471" s="34" t="str">
        <f aca="false">IF($P471="","",IF($N471&lt;&gt;"",$N471,$J471))</f>
        <v/>
      </c>
      <c r="R471" s="35" t="str">
        <f aca="false">IF(OR($P471="",$Q471=""),"",INDEX(BookRate,466)*$P471*(5-MATCH($Q471,{"Q1";"Q2";"Q3";"Q4"},0))/4+INDEX(BookOneOff,466)*$P471)</f>
        <v/>
      </c>
      <c r="S471" s="35" t="str">
        <f aca="false">IF($P471="","",INDEX(BookRate,466)*$P471)</f>
        <v/>
      </c>
      <c r="T471" s="35" t="str">
        <f aca="false">IF($R471="","",$R471-$K471)</f>
        <v/>
      </c>
      <c r="U471" s="35" t="str">
        <f aca="false">IF(N($P471)&lt;=0,"",COUNTIF($P$6:$P471,"&gt;0"))</f>
        <v/>
      </c>
    </row>
    <row r="472" customFormat="false" ht="15" hidden="false" customHeight="false" outlineLevel="0" collapsed="false">
      <c r="A472" s="40" t="str">
        <f aca="false">IF(INDEX(BookTitle,467)="","",INDEX(BookGroup,467))</f>
        <v/>
      </c>
      <c r="B472" s="40" t="str">
        <f aca="false">IF(INDEX(BookTitle,467)="","",INDEX(BookRef,467))</f>
        <v/>
      </c>
      <c r="C472" s="40" t="str">
        <f aca="false">IF(INDEX(BookTitle,467)="","",INDEX(BookDivision,467))</f>
        <v/>
      </c>
      <c r="D472" s="40" t="str">
        <f aca="false">IF(INDEX(BookTitle,467)="","",INDEX(BookUnit,467))</f>
        <v/>
      </c>
      <c r="E472" s="40" t="str">
        <f aca="false">IF(INDEX(BookTitle,467)="","",INDEX(BookTitle,467))</f>
        <v/>
      </c>
      <c r="F472" s="40" t="str">
        <f aca="false">IF(INDEX(BookTitle,467)="","",INDEX(BookLevel,467))</f>
        <v/>
      </c>
      <c r="G472" s="40" t="str">
        <f aca="false">IF(INDEX(BookTitle,467)="","",INDEX(BookCategory,467))</f>
        <v/>
      </c>
      <c r="H472" s="40" t="str">
        <f aca="false">IF(INDEX(BookTitle,467)="","",INDEX(BookRank,467))</f>
        <v/>
      </c>
      <c r="I472" s="41" t="str">
        <f aca="false">IF(INDEX(BookTitle,467)="","",INDEX(BookTotal,467))</f>
        <v/>
      </c>
      <c r="J472" s="0" t="str">
        <f aca="false">IF($I472="","",IF(INDEX(BookQ1,467)&gt;0,"Q1",IF(INDEX(BookQ2,467)&gt;0,"Q2",IF(INDEX(BookQ3,467)&gt;0,"Q3",IF(INDEX(BookQ4,467)&gt;0,"Q4","")))))</f>
        <v/>
      </c>
      <c r="K472" s="42" t="str">
        <f aca="false">IF(INDEX(BookTitle,467)="","",INDEX(BookInYear,467))</f>
        <v/>
      </c>
      <c r="L472" s="19"/>
      <c r="M472" s="39"/>
      <c r="N472" s="19"/>
      <c r="O472" s="19"/>
      <c r="P472" s="43" t="str">
        <f aca="false">IF($E472="","",IF($L472="Decline",0,IF($L472="Approve fewer",IF($M472="","",$M472),IF($L472="","",$I472))))</f>
        <v/>
      </c>
      <c r="Q472" s="34" t="str">
        <f aca="false">IF($P472="","",IF($N472&lt;&gt;"",$N472,$J472))</f>
        <v/>
      </c>
      <c r="R472" s="35" t="str">
        <f aca="false">IF(OR($P472="",$Q472=""),"",INDEX(BookRate,467)*$P472*(5-MATCH($Q472,{"Q1";"Q2";"Q3";"Q4"},0))/4+INDEX(BookOneOff,467)*$P472)</f>
        <v/>
      </c>
      <c r="S472" s="35" t="str">
        <f aca="false">IF($P472="","",INDEX(BookRate,467)*$P472)</f>
        <v/>
      </c>
      <c r="T472" s="35" t="str">
        <f aca="false">IF($R472="","",$R472-$K472)</f>
        <v/>
      </c>
      <c r="U472" s="35" t="str">
        <f aca="false">IF(N($P472)&lt;=0,"",COUNTIF($P$6:$P472,"&gt;0"))</f>
        <v/>
      </c>
    </row>
    <row r="473" customFormat="false" ht="15" hidden="false" customHeight="false" outlineLevel="0" collapsed="false">
      <c r="A473" s="40" t="str">
        <f aca="false">IF(INDEX(BookTitle,468)="","",INDEX(BookGroup,468))</f>
        <v/>
      </c>
      <c r="B473" s="40" t="str">
        <f aca="false">IF(INDEX(BookTitle,468)="","",INDEX(BookRef,468))</f>
        <v/>
      </c>
      <c r="C473" s="40" t="str">
        <f aca="false">IF(INDEX(BookTitle,468)="","",INDEX(BookDivision,468))</f>
        <v/>
      </c>
      <c r="D473" s="40" t="str">
        <f aca="false">IF(INDEX(BookTitle,468)="","",INDEX(BookUnit,468))</f>
        <v/>
      </c>
      <c r="E473" s="40" t="str">
        <f aca="false">IF(INDEX(BookTitle,468)="","",INDEX(BookTitle,468))</f>
        <v/>
      </c>
      <c r="F473" s="40" t="str">
        <f aca="false">IF(INDEX(BookTitle,468)="","",INDEX(BookLevel,468))</f>
        <v/>
      </c>
      <c r="G473" s="40" t="str">
        <f aca="false">IF(INDEX(BookTitle,468)="","",INDEX(BookCategory,468))</f>
        <v/>
      </c>
      <c r="H473" s="40" t="str">
        <f aca="false">IF(INDEX(BookTitle,468)="","",INDEX(BookRank,468))</f>
        <v/>
      </c>
      <c r="I473" s="41" t="str">
        <f aca="false">IF(INDEX(BookTitle,468)="","",INDEX(BookTotal,468))</f>
        <v/>
      </c>
      <c r="J473" s="0" t="str">
        <f aca="false">IF($I473="","",IF(INDEX(BookQ1,468)&gt;0,"Q1",IF(INDEX(BookQ2,468)&gt;0,"Q2",IF(INDEX(BookQ3,468)&gt;0,"Q3",IF(INDEX(BookQ4,468)&gt;0,"Q4","")))))</f>
        <v/>
      </c>
      <c r="K473" s="42" t="str">
        <f aca="false">IF(INDEX(BookTitle,468)="","",INDEX(BookInYear,468))</f>
        <v/>
      </c>
      <c r="L473" s="19"/>
      <c r="M473" s="39"/>
      <c r="N473" s="19"/>
      <c r="O473" s="19"/>
      <c r="P473" s="43" t="str">
        <f aca="false">IF($E473="","",IF($L473="Decline",0,IF($L473="Approve fewer",IF($M473="","",$M473),IF($L473="","",$I473))))</f>
        <v/>
      </c>
      <c r="Q473" s="34" t="str">
        <f aca="false">IF($P473="","",IF($N473&lt;&gt;"",$N473,$J473))</f>
        <v/>
      </c>
      <c r="R473" s="35" t="str">
        <f aca="false">IF(OR($P473="",$Q473=""),"",INDEX(BookRate,468)*$P473*(5-MATCH($Q473,{"Q1";"Q2";"Q3";"Q4"},0))/4+INDEX(BookOneOff,468)*$P473)</f>
        <v/>
      </c>
      <c r="S473" s="35" t="str">
        <f aca="false">IF($P473="","",INDEX(BookRate,468)*$P473)</f>
        <v/>
      </c>
      <c r="T473" s="35" t="str">
        <f aca="false">IF($R473="","",$R473-$K473)</f>
        <v/>
      </c>
      <c r="U473" s="35" t="str">
        <f aca="false">IF(N($P473)&lt;=0,"",COUNTIF($P$6:$P473,"&gt;0"))</f>
        <v/>
      </c>
    </row>
    <row r="474" customFormat="false" ht="15" hidden="false" customHeight="false" outlineLevel="0" collapsed="false">
      <c r="A474" s="40" t="str">
        <f aca="false">IF(INDEX(BookTitle,469)="","",INDEX(BookGroup,469))</f>
        <v/>
      </c>
      <c r="B474" s="40" t="str">
        <f aca="false">IF(INDEX(BookTitle,469)="","",INDEX(BookRef,469))</f>
        <v/>
      </c>
      <c r="C474" s="40" t="str">
        <f aca="false">IF(INDEX(BookTitle,469)="","",INDEX(BookDivision,469))</f>
        <v/>
      </c>
      <c r="D474" s="40" t="str">
        <f aca="false">IF(INDEX(BookTitle,469)="","",INDEX(BookUnit,469))</f>
        <v/>
      </c>
      <c r="E474" s="40" t="str">
        <f aca="false">IF(INDEX(BookTitle,469)="","",INDEX(BookTitle,469))</f>
        <v/>
      </c>
      <c r="F474" s="40" t="str">
        <f aca="false">IF(INDEX(BookTitle,469)="","",INDEX(BookLevel,469))</f>
        <v/>
      </c>
      <c r="G474" s="40" t="str">
        <f aca="false">IF(INDEX(BookTitle,469)="","",INDEX(BookCategory,469))</f>
        <v/>
      </c>
      <c r="H474" s="40" t="str">
        <f aca="false">IF(INDEX(BookTitle,469)="","",INDEX(BookRank,469))</f>
        <v/>
      </c>
      <c r="I474" s="41" t="str">
        <f aca="false">IF(INDEX(BookTitle,469)="","",INDEX(BookTotal,469))</f>
        <v/>
      </c>
      <c r="J474" s="0" t="str">
        <f aca="false">IF($I474="","",IF(INDEX(BookQ1,469)&gt;0,"Q1",IF(INDEX(BookQ2,469)&gt;0,"Q2",IF(INDEX(BookQ3,469)&gt;0,"Q3",IF(INDEX(BookQ4,469)&gt;0,"Q4","")))))</f>
        <v/>
      </c>
      <c r="K474" s="42" t="str">
        <f aca="false">IF(INDEX(BookTitle,469)="","",INDEX(BookInYear,469))</f>
        <v/>
      </c>
      <c r="L474" s="19"/>
      <c r="M474" s="39"/>
      <c r="N474" s="19"/>
      <c r="O474" s="19"/>
      <c r="P474" s="43" t="str">
        <f aca="false">IF($E474="","",IF($L474="Decline",0,IF($L474="Approve fewer",IF($M474="","",$M474),IF($L474="","",$I474))))</f>
        <v/>
      </c>
      <c r="Q474" s="34" t="str">
        <f aca="false">IF($P474="","",IF($N474&lt;&gt;"",$N474,$J474))</f>
        <v/>
      </c>
      <c r="R474" s="35" t="str">
        <f aca="false">IF(OR($P474="",$Q474=""),"",INDEX(BookRate,469)*$P474*(5-MATCH($Q474,{"Q1";"Q2";"Q3";"Q4"},0))/4+INDEX(BookOneOff,469)*$P474)</f>
        <v/>
      </c>
      <c r="S474" s="35" t="str">
        <f aca="false">IF($P474="","",INDEX(BookRate,469)*$P474)</f>
        <v/>
      </c>
      <c r="T474" s="35" t="str">
        <f aca="false">IF($R474="","",$R474-$K474)</f>
        <v/>
      </c>
      <c r="U474" s="35" t="str">
        <f aca="false">IF(N($P474)&lt;=0,"",COUNTIF($P$6:$P474,"&gt;0"))</f>
        <v/>
      </c>
    </row>
    <row r="475" customFormat="false" ht="15" hidden="false" customHeight="false" outlineLevel="0" collapsed="false">
      <c r="A475" s="40" t="str">
        <f aca="false">IF(INDEX(BookTitle,470)="","",INDEX(BookGroup,470))</f>
        <v/>
      </c>
      <c r="B475" s="40" t="str">
        <f aca="false">IF(INDEX(BookTitle,470)="","",INDEX(BookRef,470))</f>
        <v/>
      </c>
      <c r="C475" s="40" t="str">
        <f aca="false">IF(INDEX(BookTitle,470)="","",INDEX(BookDivision,470))</f>
        <v/>
      </c>
      <c r="D475" s="40" t="str">
        <f aca="false">IF(INDEX(BookTitle,470)="","",INDEX(BookUnit,470))</f>
        <v/>
      </c>
      <c r="E475" s="40" t="str">
        <f aca="false">IF(INDEX(BookTitle,470)="","",INDEX(BookTitle,470))</f>
        <v/>
      </c>
      <c r="F475" s="40" t="str">
        <f aca="false">IF(INDEX(BookTitle,470)="","",INDEX(BookLevel,470))</f>
        <v/>
      </c>
      <c r="G475" s="40" t="str">
        <f aca="false">IF(INDEX(BookTitle,470)="","",INDEX(BookCategory,470))</f>
        <v/>
      </c>
      <c r="H475" s="40" t="str">
        <f aca="false">IF(INDEX(BookTitle,470)="","",INDEX(BookRank,470))</f>
        <v/>
      </c>
      <c r="I475" s="41" t="str">
        <f aca="false">IF(INDEX(BookTitle,470)="","",INDEX(BookTotal,470))</f>
        <v/>
      </c>
      <c r="J475" s="0" t="str">
        <f aca="false">IF($I475="","",IF(INDEX(BookQ1,470)&gt;0,"Q1",IF(INDEX(BookQ2,470)&gt;0,"Q2",IF(INDEX(BookQ3,470)&gt;0,"Q3",IF(INDEX(BookQ4,470)&gt;0,"Q4","")))))</f>
        <v/>
      </c>
      <c r="K475" s="42" t="str">
        <f aca="false">IF(INDEX(BookTitle,470)="","",INDEX(BookInYear,470))</f>
        <v/>
      </c>
      <c r="L475" s="19"/>
      <c r="M475" s="39"/>
      <c r="N475" s="19"/>
      <c r="O475" s="19"/>
      <c r="P475" s="43" t="str">
        <f aca="false">IF($E475="","",IF($L475="Decline",0,IF($L475="Approve fewer",IF($M475="","",$M475),IF($L475="","",$I475))))</f>
        <v/>
      </c>
      <c r="Q475" s="34" t="str">
        <f aca="false">IF($P475="","",IF($N475&lt;&gt;"",$N475,$J475))</f>
        <v/>
      </c>
      <c r="R475" s="35" t="str">
        <f aca="false">IF(OR($P475="",$Q475=""),"",INDEX(BookRate,470)*$P475*(5-MATCH($Q475,{"Q1";"Q2";"Q3";"Q4"},0))/4+INDEX(BookOneOff,470)*$P475)</f>
        <v/>
      </c>
      <c r="S475" s="35" t="str">
        <f aca="false">IF($P475="","",INDEX(BookRate,470)*$P475)</f>
        <v/>
      </c>
      <c r="T475" s="35" t="str">
        <f aca="false">IF($R475="","",$R475-$K475)</f>
        <v/>
      </c>
      <c r="U475" s="35" t="str">
        <f aca="false">IF(N($P475)&lt;=0,"",COUNTIF($P$6:$P475,"&gt;0"))</f>
        <v/>
      </c>
    </row>
    <row r="476" customFormat="false" ht="15" hidden="false" customHeight="false" outlineLevel="0" collapsed="false">
      <c r="A476" s="40" t="str">
        <f aca="false">IF(INDEX(BookTitle,471)="","",INDEX(BookGroup,471))</f>
        <v/>
      </c>
      <c r="B476" s="40" t="str">
        <f aca="false">IF(INDEX(BookTitle,471)="","",INDEX(BookRef,471))</f>
        <v/>
      </c>
      <c r="C476" s="40" t="str">
        <f aca="false">IF(INDEX(BookTitle,471)="","",INDEX(BookDivision,471))</f>
        <v/>
      </c>
      <c r="D476" s="40" t="str">
        <f aca="false">IF(INDEX(BookTitle,471)="","",INDEX(BookUnit,471))</f>
        <v/>
      </c>
      <c r="E476" s="40" t="str">
        <f aca="false">IF(INDEX(BookTitle,471)="","",INDEX(BookTitle,471))</f>
        <v/>
      </c>
      <c r="F476" s="40" t="str">
        <f aca="false">IF(INDEX(BookTitle,471)="","",INDEX(BookLevel,471))</f>
        <v/>
      </c>
      <c r="G476" s="40" t="str">
        <f aca="false">IF(INDEX(BookTitle,471)="","",INDEX(BookCategory,471))</f>
        <v/>
      </c>
      <c r="H476" s="40" t="str">
        <f aca="false">IF(INDEX(BookTitle,471)="","",INDEX(BookRank,471))</f>
        <v/>
      </c>
      <c r="I476" s="41" t="str">
        <f aca="false">IF(INDEX(BookTitle,471)="","",INDEX(BookTotal,471))</f>
        <v/>
      </c>
      <c r="J476" s="0" t="str">
        <f aca="false">IF($I476="","",IF(INDEX(BookQ1,471)&gt;0,"Q1",IF(INDEX(BookQ2,471)&gt;0,"Q2",IF(INDEX(BookQ3,471)&gt;0,"Q3",IF(INDEX(BookQ4,471)&gt;0,"Q4","")))))</f>
        <v/>
      </c>
      <c r="K476" s="42" t="str">
        <f aca="false">IF(INDEX(BookTitle,471)="","",INDEX(BookInYear,471))</f>
        <v/>
      </c>
      <c r="L476" s="19"/>
      <c r="M476" s="39"/>
      <c r="N476" s="19"/>
      <c r="O476" s="19"/>
      <c r="P476" s="43" t="str">
        <f aca="false">IF($E476="","",IF($L476="Decline",0,IF($L476="Approve fewer",IF($M476="","",$M476),IF($L476="","",$I476))))</f>
        <v/>
      </c>
      <c r="Q476" s="34" t="str">
        <f aca="false">IF($P476="","",IF($N476&lt;&gt;"",$N476,$J476))</f>
        <v/>
      </c>
      <c r="R476" s="35" t="str">
        <f aca="false">IF(OR($P476="",$Q476=""),"",INDEX(BookRate,471)*$P476*(5-MATCH($Q476,{"Q1";"Q2";"Q3";"Q4"},0))/4+INDEX(BookOneOff,471)*$P476)</f>
        <v/>
      </c>
      <c r="S476" s="35" t="str">
        <f aca="false">IF($P476="","",INDEX(BookRate,471)*$P476)</f>
        <v/>
      </c>
      <c r="T476" s="35" t="str">
        <f aca="false">IF($R476="","",$R476-$K476)</f>
        <v/>
      </c>
      <c r="U476" s="35" t="str">
        <f aca="false">IF(N($P476)&lt;=0,"",COUNTIF($P$6:$P476,"&gt;0"))</f>
        <v/>
      </c>
    </row>
    <row r="477" customFormat="false" ht="15" hidden="false" customHeight="false" outlineLevel="0" collapsed="false">
      <c r="A477" s="40" t="str">
        <f aca="false">IF(INDEX(BookTitle,472)="","",INDEX(BookGroup,472))</f>
        <v/>
      </c>
      <c r="B477" s="40" t="str">
        <f aca="false">IF(INDEX(BookTitle,472)="","",INDEX(BookRef,472))</f>
        <v/>
      </c>
      <c r="C477" s="40" t="str">
        <f aca="false">IF(INDEX(BookTitle,472)="","",INDEX(BookDivision,472))</f>
        <v/>
      </c>
      <c r="D477" s="40" t="str">
        <f aca="false">IF(INDEX(BookTitle,472)="","",INDEX(BookUnit,472))</f>
        <v/>
      </c>
      <c r="E477" s="40" t="str">
        <f aca="false">IF(INDEX(BookTitle,472)="","",INDEX(BookTitle,472))</f>
        <v/>
      </c>
      <c r="F477" s="40" t="str">
        <f aca="false">IF(INDEX(BookTitle,472)="","",INDEX(BookLevel,472))</f>
        <v/>
      </c>
      <c r="G477" s="40" t="str">
        <f aca="false">IF(INDEX(BookTitle,472)="","",INDEX(BookCategory,472))</f>
        <v/>
      </c>
      <c r="H477" s="40" t="str">
        <f aca="false">IF(INDEX(BookTitle,472)="","",INDEX(BookRank,472))</f>
        <v/>
      </c>
      <c r="I477" s="41" t="str">
        <f aca="false">IF(INDEX(BookTitle,472)="","",INDEX(BookTotal,472))</f>
        <v/>
      </c>
      <c r="J477" s="0" t="str">
        <f aca="false">IF($I477="","",IF(INDEX(BookQ1,472)&gt;0,"Q1",IF(INDEX(BookQ2,472)&gt;0,"Q2",IF(INDEX(BookQ3,472)&gt;0,"Q3",IF(INDEX(BookQ4,472)&gt;0,"Q4","")))))</f>
        <v/>
      </c>
      <c r="K477" s="42" t="str">
        <f aca="false">IF(INDEX(BookTitle,472)="","",INDEX(BookInYear,472))</f>
        <v/>
      </c>
      <c r="L477" s="19"/>
      <c r="M477" s="39"/>
      <c r="N477" s="19"/>
      <c r="O477" s="19"/>
      <c r="P477" s="43" t="str">
        <f aca="false">IF($E477="","",IF($L477="Decline",0,IF($L477="Approve fewer",IF($M477="","",$M477),IF($L477="","",$I477))))</f>
        <v/>
      </c>
      <c r="Q477" s="34" t="str">
        <f aca="false">IF($P477="","",IF($N477&lt;&gt;"",$N477,$J477))</f>
        <v/>
      </c>
      <c r="R477" s="35" t="str">
        <f aca="false">IF(OR($P477="",$Q477=""),"",INDEX(BookRate,472)*$P477*(5-MATCH($Q477,{"Q1";"Q2";"Q3";"Q4"},0))/4+INDEX(BookOneOff,472)*$P477)</f>
        <v/>
      </c>
      <c r="S477" s="35" t="str">
        <f aca="false">IF($P477="","",INDEX(BookRate,472)*$P477)</f>
        <v/>
      </c>
      <c r="T477" s="35" t="str">
        <f aca="false">IF($R477="","",$R477-$K477)</f>
        <v/>
      </c>
      <c r="U477" s="35" t="str">
        <f aca="false">IF(N($P477)&lt;=0,"",COUNTIF($P$6:$P477,"&gt;0"))</f>
        <v/>
      </c>
    </row>
    <row r="478" customFormat="false" ht="15" hidden="false" customHeight="false" outlineLevel="0" collapsed="false">
      <c r="A478" s="40" t="str">
        <f aca="false">IF(INDEX(BookTitle,473)="","",INDEX(BookGroup,473))</f>
        <v/>
      </c>
      <c r="B478" s="40" t="str">
        <f aca="false">IF(INDEX(BookTitle,473)="","",INDEX(BookRef,473))</f>
        <v/>
      </c>
      <c r="C478" s="40" t="str">
        <f aca="false">IF(INDEX(BookTitle,473)="","",INDEX(BookDivision,473))</f>
        <v/>
      </c>
      <c r="D478" s="40" t="str">
        <f aca="false">IF(INDEX(BookTitle,473)="","",INDEX(BookUnit,473))</f>
        <v/>
      </c>
      <c r="E478" s="40" t="str">
        <f aca="false">IF(INDEX(BookTitle,473)="","",INDEX(BookTitle,473))</f>
        <v/>
      </c>
      <c r="F478" s="40" t="str">
        <f aca="false">IF(INDEX(BookTitle,473)="","",INDEX(BookLevel,473))</f>
        <v/>
      </c>
      <c r="G478" s="40" t="str">
        <f aca="false">IF(INDEX(BookTitle,473)="","",INDEX(BookCategory,473))</f>
        <v/>
      </c>
      <c r="H478" s="40" t="str">
        <f aca="false">IF(INDEX(BookTitle,473)="","",INDEX(BookRank,473))</f>
        <v/>
      </c>
      <c r="I478" s="41" t="str">
        <f aca="false">IF(INDEX(BookTitle,473)="","",INDEX(BookTotal,473))</f>
        <v/>
      </c>
      <c r="J478" s="0" t="str">
        <f aca="false">IF($I478="","",IF(INDEX(BookQ1,473)&gt;0,"Q1",IF(INDEX(BookQ2,473)&gt;0,"Q2",IF(INDEX(BookQ3,473)&gt;0,"Q3",IF(INDEX(BookQ4,473)&gt;0,"Q4","")))))</f>
        <v/>
      </c>
      <c r="K478" s="42" t="str">
        <f aca="false">IF(INDEX(BookTitle,473)="","",INDEX(BookInYear,473))</f>
        <v/>
      </c>
      <c r="L478" s="19"/>
      <c r="M478" s="39"/>
      <c r="N478" s="19"/>
      <c r="O478" s="19"/>
      <c r="P478" s="43" t="str">
        <f aca="false">IF($E478="","",IF($L478="Decline",0,IF($L478="Approve fewer",IF($M478="","",$M478),IF($L478="","",$I478))))</f>
        <v/>
      </c>
      <c r="Q478" s="34" t="str">
        <f aca="false">IF($P478="","",IF($N478&lt;&gt;"",$N478,$J478))</f>
        <v/>
      </c>
      <c r="R478" s="35" t="str">
        <f aca="false">IF(OR($P478="",$Q478=""),"",INDEX(BookRate,473)*$P478*(5-MATCH($Q478,{"Q1";"Q2";"Q3";"Q4"},0))/4+INDEX(BookOneOff,473)*$P478)</f>
        <v/>
      </c>
      <c r="S478" s="35" t="str">
        <f aca="false">IF($P478="","",INDEX(BookRate,473)*$P478)</f>
        <v/>
      </c>
      <c r="T478" s="35" t="str">
        <f aca="false">IF($R478="","",$R478-$K478)</f>
        <v/>
      </c>
      <c r="U478" s="35" t="str">
        <f aca="false">IF(N($P478)&lt;=0,"",COUNTIF($P$6:$P478,"&gt;0"))</f>
        <v/>
      </c>
    </row>
    <row r="479" customFormat="false" ht="15" hidden="false" customHeight="false" outlineLevel="0" collapsed="false">
      <c r="A479" s="40" t="str">
        <f aca="false">IF(INDEX(BookTitle,474)="","",INDEX(BookGroup,474))</f>
        <v/>
      </c>
      <c r="B479" s="40" t="str">
        <f aca="false">IF(INDEX(BookTitle,474)="","",INDEX(BookRef,474))</f>
        <v/>
      </c>
      <c r="C479" s="40" t="str">
        <f aca="false">IF(INDEX(BookTitle,474)="","",INDEX(BookDivision,474))</f>
        <v/>
      </c>
      <c r="D479" s="40" t="str">
        <f aca="false">IF(INDEX(BookTitle,474)="","",INDEX(BookUnit,474))</f>
        <v/>
      </c>
      <c r="E479" s="40" t="str">
        <f aca="false">IF(INDEX(BookTitle,474)="","",INDEX(BookTitle,474))</f>
        <v/>
      </c>
      <c r="F479" s="40" t="str">
        <f aca="false">IF(INDEX(BookTitle,474)="","",INDEX(BookLevel,474))</f>
        <v/>
      </c>
      <c r="G479" s="40" t="str">
        <f aca="false">IF(INDEX(BookTitle,474)="","",INDEX(BookCategory,474))</f>
        <v/>
      </c>
      <c r="H479" s="40" t="str">
        <f aca="false">IF(INDEX(BookTitle,474)="","",INDEX(BookRank,474))</f>
        <v/>
      </c>
      <c r="I479" s="41" t="str">
        <f aca="false">IF(INDEX(BookTitle,474)="","",INDEX(BookTotal,474))</f>
        <v/>
      </c>
      <c r="J479" s="0" t="str">
        <f aca="false">IF($I479="","",IF(INDEX(BookQ1,474)&gt;0,"Q1",IF(INDEX(BookQ2,474)&gt;0,"Q2",IF(INDEX(BookQ3,474)&gt;0,"Q3",IF(INDEX(BookQ4,474)&gt;0,"Q4","")))))</f>
        <v/>
      </c>
      <c r="K479" s="42" t="str">
        <f aca="false">IF(INDEX(BookTitle,474)="","",INDEX(BookInYear,474))</f>
        <v/>
      </c>
      <c r="L479" s="19"/>
      <c r="M479" s="39"/>
      <c r="N479" s="19"/>
      <c r="O479" s="19"/>
      <c r="P479" s="43" t="str">
        <f aca="false">IF($E479="","",IF($L479="Decline",0,IF($L479="Approve fewer",IF($M479="","",$M479),IF($L479="","",$I479))))</f>
        <v/>
      </c>
      <c r="Q479" s="34" t="str">
        <f aca="false">IF($P479="","",IF($N479&lt;&gt;"",$N479,$J479))</f>
        <v/>
      </c>
      <c r="R479" s="35" t="str">
        <f aca="false">IF(OR($P479="",$Q479=""),"",INDEX(BookRate,474)*$P479*(5-MATCH($Q479,{"Q1";"Q2";"Q3";"Q4"},0))/4+INDEX(BookOneOff,474)*$P479)</f>
        <v/>
      </c>
      <c r="S479" s="35" t="str">
        <f aca="false">IF($P479="","",INDEX(BookRate,474)*$P479)</f>
        <v/>
      </c>
      <c r="T479" s="35" t="str">
        <f aca="false">IF($R479="","",$R479-$K479)</f>
        <v/>
      </c>
      <c r="U479" s="35" t="str">
        <f aca="false">IF(N($P479)&lt;=0,"",COUNTIF($P$6:$P479,"&gt;0"))</f>
        <v/>
      </c>
    </row>
    <row r="480" customFormat="false" ht="15" hidden="false" customHeight="false" outlineLevel="0" collapsed="false">
      <c r="A480" s="40" t="str">
        <f aca="false">IF(INDEX(BookTitle,475)="","",INDEX(BookGroup,475))</f>
        <v/>
      </c>
      <c r="B480" s="40" t="str">
        <f aca="false">IF(INDEX(BookTitle,475)="","",INDEX(BookRef,475))</f>
        <v/>
      </c>
      <c r="C480" s="40" t="str">
        <f aca="false">IF(INDEX(BookTitle,475)="","",INDEX(BookDivision,475))</f>
        <v/>
      </c>
      <c r="D480" s="40" t="str">
        <f aca="false">IF(INDEX(BookTitle,475)="","",INDEX(BookUnit,475))</f>
        <v/>
      </c>
      <c r="E480" s="40" t="str">
        <f aca="false">IF(INDEX(BookTitle,475)="","",INDEX(BookTitle,475))</f>
        <v/>
      </c>
      <c r="F480" s="40" t="str">
        <f aca="false">IF(INDEX(BookTitle,475)="","",INDEX(BookLevel,475))</f>
        <v/>
      </c>
      <c r="G480" s="40" t="str">
        <f aca="false">IF(INDEX(BookTitle,475)="","",INDEX(BookCategory,475))</f>
        <v/>
      </c>
      <c r="H480" s="40" t="str">
        <f aca="false">IF(INDEX(BookTitle,475)="","",INDEX(BookRank,475))</f>
        <v/>
      </c>
      <c r="I480" s="41" t="str">
        <f aca="false">IF(INDEX(BookTitle,475)="","",INDEX(BookTotal,475))</f>
        <v/>
      </c>
      <c r="J480" s="0" t="str">
        <f aca="false">IF($I480="","",IF(INDEX(BookQ1,475)&gt;0,"Q1",IF(INDEX(BookQ2,475)&gt;0,"Q2",IF(INDEX(BookQ3,475)&gt;0,"Q3",IF(INDEX(BookQ4,475)&gt;0,"Q4","")))))</f>
        <v/>
      </c>
      <c r="K480" s="42" t="str">
        <f aca="false">IF(INDEX(BookTitle,475)="","",INDEX(BookInYear,475))</f>
        <v/>
      </c>
      <c r="L480" s="19"/>
      <c r="M480" s="39"/>
      <c r="N480" s="19"/>
      <c r="O480" s="19"/>
      <c r="P480" s="43" t="str">
        <f aca="false">IF($E480="","",IF($L480="Decline",0,IF($L480="Approve fewer",IF($M480="","",$M480),IF($L480="","",$I480))))</f>
        <v/>
      </c>
      <c r="Q480" s="34" t="str">
        <f aca="false">IF($P480="","",IF($N480&lt;&gt;"",$N480,$J480))</f>
        <v/>
      </c>
      <c r="R480" s="35" t="str">
        <f aca="false">IF(OR($P480="",$Q480=""),"",INDEX(BookRate,475)*$P480*(5-MATCH($Q480,{"Q1";"Q2";"Q3";"Q4"},0))/4+INDEX(BookOneOff,475)*$P480)</f>
        <v/>
      </c>
      <c r="S480" s="35" t="str">
        <f aca="false">IF($P480="","",INDEX(BookRate,475)*$P480)</f>
        <v/>
      </c>
      <c r="T480" s="35" t="str">
        <f aca="false">IF($R480="","",$R480-$K480)</f>
        <v/>
      </c>
      <c r="U480" s="35" t="str">
        <f aca="false">IF(N($P480)&lt;=0,"",COUNTIF($P$6:$P480,"&gt;0"))</f>
        <v/>
      </c>
    </row>
    <row r="481" customFormat="false" ht="15" hidden="false" customHeight="false" outlineLevel="0" collapsed="false">
      <c r="A481" s="40" t="str">
        <f aca="false">IF(INDEX(BookTitle,476)="","",INDEX(BookGroup,476))</f>
        <v/>
      </c>
      <c r="B481" s="40" t="str">
        <f aca="false">IF(INDEX(BookTitle,476)="","",INDEX(BookRef,476))</f>
        <v/>
      </c>
      <c r="C481" s="40" t="str">
        <f aca="false">IF(INDEX(BookTitle,476)="","",INDEX(BookDivision,476))</f>
        <v/>
      </c>
      <c r="D481" s="40" t="str">
        <f aca="false">IF(INDEX(BookTitle,476)="","",INDEX(BookUnit,476))</f>
        <v/>
      </c>
      <c r="E481" s="40" t="str">
        <f aca="false">IF(INDEX(BookTitle,476)="","",INDEX(BookTitle,476))</f>
        <v/>
      </c>
      <c r="F481" s="40" t="str">
        <f aca="false">IF(INDEX(BookTitle,476)="","",INDEX(BookLevel,476))</f>
        <v/>
      </c>
      <c r="G481" s="40" t="str">
        <f aca="false">IF(INDEX(BookTitle,476)="","",INDEX(BookCategory,476))</f>
        <v/>
      </c>
      <c r="H481" s="40" t="str">
        <f aca="false">IF(INDEX(BookTitle,476)="","",INDEX(BookRank,476))</f>
        <v/>
      </c>
      <c r="I481" s="41" t="str">
        <f aca="false">IF(INDEX(BookTitle,476)="","",INDEX(BookTotal,476))</f>
        <v/>
      </c>
      <c r="J481" s="0" t="str">
        <f aca="false">IF($I481="","",IF(INDEX(BookQ1,476)&gt;0,"Q1",IF(INDEX(BookQ2,476)&gt;0,"Q2",IF(INDEX(BookQ3,476)&gt;0,"Q3",IF(INDEX(BookQ4,476)&gt;0,"Q4","")))))</f>
        <v/>
      </c>
      <c r="K481" s="42" t="str">
        <f aca="false">IF(INDEX(BookTitle,476)="","",INDEX(BookInYear,476))</f>
        <v/>
      </c>
      <c r="L481" s="19"/>
      <c r="M481" s="39"/>
      <c r="N481" s="19"/>
      <c r="O481" s="19"/>
      <c r="P481" s="43" t="str">
        <f aca="false">IF($E481="","",IF($L481="Decline",0,IF($L481="Approve fewer",IF($M481="","",$M481),IF($L481="","",$I481))))</f>
        <v/>
      </c>
      <c r="Q481" s="34" t="str">
        <f aca="false">IF($P481="","",IF($N481&lt;&gt;"",$N481,$J481))</f>
        <v/>
      </c>
      <c r="R481" s="35" t="str">
        <f aca="false">IF(OR($P481="",$Q481=""),"",INDEX(BookRate,476)*$P481*(5-MATCH($Q481,{"Q1";"Q2";"Q3";"Q4"},0))/4+INDEX(BookOneOff,476)*$P481)</f>
        <v/>
      </c>
      <c r="S481" s="35" t="str">
        <f aca="false">IF($P481="","",INDEX(BookRate,476)*$P481)</f>
        <v/>
      </c>
      <c r="T481" s="35" t="str">
        <f aca="false">IF($R481="","",$R481-$K481)</f>
        <v/>
      </c>
      <c r="U481" s="35" t="str">
        <f aca="false">IF(N($P481)&lt;=0,"",COUNTIF($P$6:$P481,"&gt;0"))</f>
        <v/>
      </c>
    </row>
    <row r="482" customFormat="false" ht="15" hidden="false" customHeight="false" outlineLevel="0" collapsed="false">
      <c r="A482" s="40" t="str">
        <f aca="false">IF(INDEX(BookTitle,477)="","",INDEX(BookGroup,477))</f>
        <v/>
      </c>
      <c r="B482" s="40" t="str">
        <f aca="false">IF(INDEX(BookTitle,477)="","",INDEX(BookRef,477))</f>
        <v/>
      </c>
      <c r="C482" s="40" t="str">
        <f aca="false">IF(INDEX(BookTitle,477)="","",INDEX(BookDivision,477))</f>
        <v/>
      </c>
      <c r="D482" s="40" t="str">
        <f aca="false">IF(INDEX(BookTitle,477)="","",INDEX(BookUnit,477))</f>
        <v/>
      </c>
      <c r="E482" s="40" t="str">
        <f aca="false">IF(INDEX(BookTitle,477)="","",INDEX(BookTitle,477))</f>
        <v/>
      </c>
      <c r="F482" s="40" t="str">
        <f aca="false">IF(INDEX(BookTitle,477)="","",INDEX(BookLevel,477))</f>
        <v/>
      </c>
      <c r="G482" s="40" t="str">
        <f aca="false">IF(INDEX(BookTitle,477)="","",INDEX(BookCategory,477))</f>
        <v/>
      </c>
      <c r="H482" s="40" t="str">
        <f aca="false">IF(INDEX(BookTitle,477)="","",INDEX(BookRank,477))</f>
        <v/>
      </c>
      <c r="I482" s="41" t="str">
        <f aca="false">IF(INDEX(BookTitle,477)="","",INDEX(BookTotal,477))</f>
        <v/>
      </c>
      <c r="J482" s="0" t="str">
        <f aca="false">IF($I482="","",IF(INDEX(BookQ1,477)&gt;0,"Q1",IF(INDEX(BookQ2,477)&gt;0,"Q2",IF(INDEX(BookQ3,477)&gt;0,"Q3",IF(INDEX(BookQ4,477)&gt;0,"Q4","")))))</f>
        <v/>
      </c>
      <c r="K482" s="42" t="str">
        <f aca="false">IF(INDEX(BookTitle,477)="","",INDEX(BookInYear,477))</f>
        <v/>
      </c>
      <c r="L482" s="19"/>
      <c r="M482" s="39"/>
      <c r="N482" s="19"/>
      <c r="O482" s="19"/>
      <c r="P482" s="43" t="str">
        <f aca="false">IF($E482="","",IF($L482="Decline",0,IF($L482="Approve fewer",IF($M482="","",$M482),IF($L482="","",$I482))))</f>
        <v/>
      </c>
      <c r="Q482" s="34" t="str">
        <f aca="false">IF($P482="","",IF($N482&lt;&gt;"",$N482,$J482))</f>
        <v/>
      </c>
      <c r="R482" s="35" t="str">
        <f aca="false">IF(OR($P482="",$Q482=""),"",INDEX(BookRate,477)*$P482*(5-MATCH($Q482,{"Q1";"Q2";"Q3";"Q4"},0))/4+INDEX(BookOneOff,477)*$P482)</f>
        <v/>
      </c>
      <c r="S482" s="35" t="str">
        <f aca="false">IF($P482="","",INDEX(BookRate,477)*$P482)</f>
        <v/>
      </c>
      <c r="T482" s="35" t="str">
        <f aca="false">IF($R482="","",$R482-$K482)</f>
        <v/>
      </c>
      <c r="U482" s="35" t="str">
        <f aca="false">IF(N($P482)&lt;=0,"",COUNTIF($P$6:$P482,"&gt;0"))</f>
        <v/>
      </c>
    </row>
    <row r="483" customFormat="false" ht="15" hidden="false" customHeight="false" outlineLevel="0" collapsed="false">
      <c r="A483" s="40" t="str">
        <f aca="false">IF(INDEX(BookTitle,478)="","",INDEX(BookGroup,478))</f>
        <v/>
      </c>
      <c r="B483" s="40" t="str">
        <f aca="false">IF(INDEX(BookTitle,478)="","",INDEX(BookRef,478))</f>
        <v/>
      </c>
      <c r="C483" s="40" t="str">
        <f aca="false">IF(INDEX(BookTitle,478)="","",INDEX(BookDivision,478))</f>
        <v/>
      </c>
      <c r="D483" s="40" t="str">
        <f aca="false">IF(INDEX(BookTitle,478)="","",INDEX(BookUnit,478))</f>
        <v/>
      </c>
      <c r="E483" s="40" t="str">
        <f aca="false">IF(INDEX(BookTitle,478)="","",INDEX(BookTitle,478))</f>
        <v/>
      </c>
      <c r="F483" s="40" t="str">
        <f aca="false">IF(INDEX(BookTitle,478)="","",INDEX(BookLevel,478))</f>
        <v/>
      </c>
      <c r="G483" s="40" t="str">
        <f aca="false">IF(INDEX(BookTitle,478)="","",INDEX(BookCategory,478))</f>
        <v/>
      </c>
      <c r="H483" s="40" t="str">
        <f aca="false">IF(INDEX(BookTitle,478)="","",INDEX(BookRank,478))</f>
        <v/>
      </c>
      <c r="I483" s="41" t="str">
        <f aca="false">IF(INDEX(BookTitle,478)="","",INDEX(BookTotal,478))</f>
        <v/>
      </c>
      <c r="J483" s="0" t="str">
        <f aca="false">IF($I483="","",IF(INDEX(BookQ1,478)&gt;0,"Q1",IF(INDEX(BookQ2,478)&gt;0,"Q2",IF(INDEX(BookQ3,478)&gt;0,"Q3",IF(INDEX(BookQ4,478)&gt;0,"Q4","")))))</f>
        <v/>
      </c>
      <c r="K483" s="42" t="str">
        <f aca="false">IF(INDEX(BookTitle,478)="","",INDEX(BookInYear,478))</f>
        <v/>
      </c>
      <c r="L483" s="19"/>
      <c r="M483" s="39"/>
      <c r="N483" s="19"/>
      <c r="O483" s="19"/>
      <c r="P483" s="43" t="str">
        <f aca="false">IF($E483="","",IF($L483="Decline",0,IF($L483="Approve fewer",IF($M483="","",$M483),IF($L483="","",$I483))))</f>
        <v/>
      </c>
      <c r="Q483" s="34" t="str">
        <f aca="false">IF($P483="","",IF($N483&lt;&gt;"",$N483,$J483))</f>
        <v/>
      </c>
      <c r="R483" s="35" t="str">
        <f aca="false">IF(OR($P483="",$Q483=""),"",INDEX(BookRate,478)*$P483*(5-MATCH($Q483,{"Q1";"Q2";"Q3";"Q4"},0))/4+INDEX(BookOneOff,478)*$P483)</f>
        <v/>
      </c>
      <c r="S483" s="35" t="str">
        <f aca="false">IF($P483="","",INDEX(BookRate,478)*$P483)</f>
        <v/>
      </c>
      <c r="T483" s="35" t="str">
        <f aca="false">IF($R483="","",$R483-$K483)</f>
        <v/>
      </c>
      <c r="U483" s="35" t="str">
        <f aca="false">IF(N($P483)&lt;=0,"",COUNTIF($P$6:$P483,"&gt;0"))</f>
        <v/>
      </c>
    </row>
    <row r="484" customFormat="false" ht="15" hidden="false" customHeight="false" outlineLevel="0" collapsed="false">
      <c r="A484" s="40" t="str">
        <f aca="false">IF(INDEX(BookTitle,479)="","",INDEX(BookGroup,479))</f>
        <v/>
      </c>
      <c r="B484" s="40" t="str">
        <f aca="false">IF(INDEX(BookTitle,479)="","",INDEX(BookRef,479))</f>
        <v/>
      </c>
      <c r="C484" s="40" t="str">
        <f aca="false">IF(INDEX(BookTitle,479)="","",INDEX(BookDivision,479))</f>
        <v/>
      </c>
      <c r="D484" s="40" t="str">
        <f aca="false">IF(INDEX(BookTitle,479)="","",INDEX(BookUnit,479))</f>
        <v/>
      </c>
      <c r="E484" s="40" t="str">
        <f aca="false">IF(INDEX(BookTitle,479)="","",INDEX(BookTitle,479))</f>
        <v/>
      </c>
      <c r="F484" s="40" t="str">
        <f aca="false">IF(INDEX(BookTitle,479)="","",INDEX(BookLevel,479))</f>
        <v/>
      </c>
      <c r="G484" s="40" t="str">
        <f aca="false">IF(INDEX(BookTitle,479)="","",INDEX(BookCategory,479))</f>
        <v/>
      </c>
      <c r="H484" s="40" t="str">
        <f aca="false">IF(INDEX(BookTitle,479)="","",INDEX(BookRank,479))</f>
        <v/>
      </c>
      <c r="I484" s="41" t="str">
        <f aca="false">IF(INDEX(BookTitle,479)="","",INDEX(BookTotal,479))</f>
        <v/>
      </c>
      <c r="J484" s="0" t="str">
        <f aca="false">IF($I484="","",IF(INDEX(BookQ1,479)&gt;0,"Q1",IF(INDEX(BookQ2,479)&gt;0,"Q2",IF(INDEX(BookQ3,479)&gt;0,"Q3",IF(INDEX(BookQ4,479)&gt;0,"Q4","")))))</f>
        <v/>
      </c>
      <c r="K484" s="42" t="str">
        <f aca="false">IF(INDEX(BookTitle,479)="","",INDEX(BookInYear,479))</f>
        <v/>
      </c>
      <c r="L484" s="19"/>
      <c r="M484" s="39"/>
      <c r="N484" s="19"/>
      <c r="O484" s="19"/>
      <c r="P484" s="43" t="str">
        <f aca="false">IF($E484="","",IF($L484="Decline",0,IF($L484="Approve fewer",IF($M484="","",$M484),IF($L484="","",$I484))))</f>
        <v/>
      </c>
      <c r="Q484" s="34" t="str">
        <f aca="false">IF($P484="","",IF($N484&lt;&gt;"",$N484,$J484))</f>
        <v/>
      </c>
      <c r="R484" s="35" t="str">
        <f aca="false">IF(OR($P484="",$Q484=""),"",INDEX(BookRate,479)*$P484*(5-MATCH($Q484,{"Q1";"Q2";"Q3";"Q4"},0))/4+INDEX(BookOneOff,479)*$P484)</f>
        <v/>
      </c>
      <c r="S484" s="35" t="str">
        <f aca="false">IF($P484="","",INDEX(BookRate,479)*$P484)</f>
        <v/>
      </c>
      <c r="T484" s="35" t="str">
        <f aca="false">IF($R484="","",$R484-$K484)</f>
        <v/>
      </c>
      <c r="U484" s="35" t="str">
        <f aca="false">IF(N($P484)&lt;=0,"",COUNTIF($P$6:$P484,"&gt;0"))</f>
        <v/>
      </c>
    </row>
    <row r="485" customFormat="false" ht="15" hidden="false" customHeight="false" outlineLevel="0" collapsed="false">
      <c r="A485" s="40" t="str">
        <f aca="false">IF(INDEX(BookTitle,480)="","",INDEX(BookGroup,480))</f>
        <v/>
      </c>
      <c r="B485" s="40" t="str">
        <f aca="false">IF(INDEX(BookTitle,480)="","",INDEX(BookRef,480))</f>
        <v/>
      </c>
      <c r="C485" s="40" t="str">
        <f aca="false">IF(INDEX(BookTitle,480)="","",INDEX(BookDivision,480))</f>
        <v/>
      </c>
      <c r="D485" s="40" t="str">
        <f aca="false">IF(INDEX(BookTitle,480)="","",INDEX(BookUnit,480))</f>
        <v/>
      </c>
      <c r="E485" s="40" t="str">
        <f aca="false">IF(INDEX(BookTitle,480)="","",INDEX(BookTitle,480))</f>
        <v/>
      </c>
      <c r="F485" s="40" t="str">
        <f aca="false">IF(INDEX(BookTitle,480)="","",INDEX(BookLevel,480))</f>
        <v/>
      </c>
      <c r="G485" s="40" t="str">
        <f aca="false">IF(INDEX(BookTitle,480)="","",INDEX(BookCategory,480))</f>
        <v/>
      </c>
      <c r="H485" s="40" t="str">
        <f aca="false">IF(INDEX(BookTitle,480)="","",INDEX(BookRank,480))</f>
        <v/>
      </c>
      <c r="I485" s="41" t="str">
        <f aca="false">IF(INDEX(BookTitle,480)="","",INDEX(BookTotal,480))</f>
        <v/>
      </c>
      <c r="J485" s="0" t="str">
        <f aca="false">IF($I485="","",IF(INDEX(BookQ1,480)&gt;0,"Q1",IF(INDEX(BookQ2,480)&gt;0,"Q2",IF(INDEX(BookQ3,480)&gt;0,"Q3",IF(INDEX(BookQ4,480)&gt;0,"Q4","")))))</f>
        <v/>
      </c>
      <c r="K485" s="42" t="str">
        <f aca="false">IF(INDEX(BookTitle,480)="","",INDEX(BookInYear,480))</f>
        <v/>
      </c>
      <c r="L485" s="19"/>
      <c r="M485" s="39"/>
      <c r="N485" s="19"/>
      <c r="O485" s="19"/>
      <c r="P485" s="43" t="str">
        <f aca="false">IF($E485="","",IF($L485="Decline",0,IF($L485="Approve fewer",IF($M485="","",$M485),IF($L485="","",$I485))))</f>
        <v/>
      </c>
      <c r="Q485" s="34" t="str">
        <f aca="false">IF($P485="","",IF($N485&lt;&gt;"",$N485,$J485))</f>
        <v/>
      </c>
      <c r="R485" s="35" t="str">
        <f aca="false">IF(OR($P485="",$Q485=""),"",INDEX(BookRate,480)*$P485*(5-MATCH($Q485,{"Q1";"Q2";"Q3";"Q4"},0))/4+INDEX(BookOneOff,480)*$P485)</f>
        <v/>
      </c>
      <c r="S485" s="35" t="str">
        <f aca="false">IF($P485="","",INDEX(BookRate,480)*$P485)</f>
        <v/>
      </c>
      <c r="T485" s="35" t="str">
        <f aca="false">IF($R485="","",$R485-$K485)</f>
        <v/>
      </c>
      <c r="U485" s="35" t="str">
        <f aca="false">IF(N($P485)&lt;=0,"",COUNTIF($P$6:$P485,"&gt;0"))</f>
        <v/>
      </c>
    </row>
    <row r="486" customFormat="false" ht="15" hidden="false" customHeight="false" outlineLevel="0" collapsed="false">
      <c r="A486" s="40" t="str">
        <f aca="false">IF(INDEX(BookTitle,481)="","",INDEX(BookGroup,481))</f>
        <v/>
      </c>
      <c r="B486" s="40" t="str">
        <f aca="false">IF(INDEX(BookTitle,481)="","",INDEX(BookRef,481))</f>
        <v/>
      </c>
      <c r="C486" s="40" t="str">
        <f aca="false">IF(INDEX(BookTitle,481)="","",INDEX(BookDivision,481))</f>
        <v/>
      </c>
      <c r="D486" s="40" t="str">
        <f aca="false">IF(INDEX(BookTitle,481)="","",INDEX(BookUnit,481))</f>
        <v/>
      </c>
      <c r="E486" s="40" t="str">
        <f aca="false">IF(INDEX(BookTitle,481)="","",INDEX(BookTitle,481))</f>
        <v/>
      </c>
      <c r="F486" s="40" t="str">
        <f aca="false">IF(INDEX(BookTitle,481)="","",INDEX(BookLevel,481))</f>
        <v/>
      </c>
      <c r="G486" s="40" t="str">
        <f aca="false">IF(INDEX(BookTitle,481)="","",INDEX(BookCategory,481))</f>
        <v/>
      </c>
      <c r="H486" s="40" t="str">
        <f aca="false">IF(INDEX(BookTitle,481)="","",INDEX(BookRank,481))</f>
        <v/>
      </c>
      <c r="I486" s="41" t="str">
        <f aca="false">IF(INDEX(BookTitle,481)="","",INDEX(BookTotal,481))</f>
        <v/>
      </c>
      <c r="J486" s="0" t="str">
        <f aca="false">IF($I486="","",IF(INDEX(BookQ1,481)&gt;0,"Q1",IF(INDEX(BookQ2,481)&gt;0,"Q2",IF(INDEX(BookQ3,481)&gt;0,"Q3",IF(INDEX(BookQ4,481)&gt;0,"Q4","")))))</f>
        <v/>
      </c>
      <c r="K486" s="42" t="str">
        <f aca="false">IF(INDEX(BookTitle,481)="","",INDEX(BookInYear,481))</f>
        <v/>
      </c>
      <c r="L486" s="19"/>
      <c r="M486" s="39"/>
      <c r="N486" s="19"/>
      <c r="O486" s="19"/>
      <c r="P486" s="43" t="str">
        <f aca="false">IF($E486="","",IF($L486="Decline",0,IF($L486="Approve fewer",IF($M486="","",$M486),IF($L486="","",$I486))))</f>
        <v/>
      </c>
      <c r="Q486" s="34" t="str">
        <f aca="false">IF($P486="","",IF($N486&lt;&gt;"",$N486,$J486))</f>
        <v/>
      </c>
      <c r="R486" s="35" t="str">
        <f aca="false">IF(OR($P486="",$Q486=""),"",INDEX(BookRate,481)*$P486*(5-MATCH($Q486,{"Q1";"Q2";"Q3";"Q4"},0))/4+INDEX(BookOneOff,481)*$P486)</f>
        <v/>
      </c>
      <c r="S486" s="35" t="str">
        <f aca="false">IF($P486="","",INDEX(BookRate,481)*$P486)</f>
        <v/>
      </c>
      <c r="T486" s="35" t="str">
        <f aca="false">IF($R486="","",$R486-$K486)</f>
        <v/>
      </c>
      <c r="U486" s="35" t="str">
        <f aca="false">IF(N($P486)&lt;=0,"",COUNTIF($P$6:$P486,"&gt;0"))</f>
        <v/>
      </c>
    </row>
    <row r="487" customFormat="false" ht="15" hidden="false" customHeight="false" outlineLevel="0" collapsed="false">
      <c r="A487" s="40" t="str">
        <f aca="false">IF(INDEX(BookTitle,482)="","",INDEX(BookGroup,482))</f>
        <v/>
      </c>
      <c r="B487" s="40" t="str">
        <f aca="false">IF(INDEX(BookTitle,482)="","",INDEX(BookRef,482))</f>
        <v/>
      </c>
      <c r="C487" s="40" t="str">
        <f aca="false">IF(INDEX(BookTitle,482)="","",INDEX(BookDivision,482))</f>
        <v/>
      </c>
      <c r="D487" s="40" t="str">
        <f aca="false">IF(INDEX(BookTitle,482)="","",INDEX(BookUnit,482))</f>
        <v/>
      </c>
      <c r="E487" s="40" t="str">
        <f aca="false">IF(INDEX(BookTitle,482)="","",INDEX(BookTitle,482))</f>
        <v/>
      </c>
      <c r="F487" s="40" t="str">
        <f aca="false">IF(INDEX(BookTitle,482)="","",INDEX(BookLevel,482))</f>
        <v/>
      </c>
      <c r="G487" s="40" t="str">
        <f aca="false">IF(INDEX(BookTitle,482)="","",INDEX(BookCategory,482))</f>
        <v/>
      </c>
      <c r="H487" s="40" t="str">
        <f aca="false">IF(INDEX(BookTitle,482)="","",INDEX(BookRank,482))</f>
        <v/>
      </c>
      <c r="I487" s="41" t="str">
        <f aca="false">IF(INDEX(BookTitle,482)="","",INDEX(BookTotal,482))</f>
        <v/>
      </c>
      <c r="J487" s="0" t="str">
        <f aca="false">IF($I487="","",IF(INDEX(BookQ1,482)&gt;0,"Q1",IF(INDEX(BookQ2,482)&gt;0,"Q2",IF(INDEX(BookQ3,482)&gt;0,"Q3",IF(INDEX(BookQ4,482)&gt;0,"Q4","")))))</f>
        <v/>
      </c>
      <c r="K487" s="42" t="str">
        <f aca="false">IF(INDEX(BookTitle,482)="","",INDEX(BookInYear,482))</f>
        <v/>
      </c>
      <c r="L487" s="19"/>
      <c r="M487" s="39"/>
      <c r="N487" s="19"/>
      <c r="O487" s="19"/>
      <c r="P487" s="43" t="str">
        <f aca="false">IF($E487="","",IF($L487="Decline",0,IF($L487="Approve fewer",IF($M487="","",$M487),IF($L487="","",$I487))))</f>
        <v/>
      </c>
      <c r="Q487" s="34" t="str">
        <f aca="false">IF($P487="","",IF($N487&lt;&gt;"",$N487,$J487))</f>
        <v/>
      </c>
      <c r="R487" s="35" t="str">
        <f aca="false">IF(OR($P487="",$Q487=""),"",INDEX(BookRate,482)*$P487*(5-MATCH($Q487,{"Q1";"Q2";"Q3";"Q4"},0))/4+INDEX(BookOneOff,482)*$P487)</f>
        <v/>
      </c>
      <c r="S487" s="35" t="str">
        <f aca="false">IF($P487="","",INDEX(BookRate,482)*$P487)</f>
        <v/>
      </c>
      <c r="T487" s="35" t="str">
        <f aca="false">IF($R487="","",$R487-$K487)</f>
        <v/>
      </c>
      <c r="U487" s="35" t="str">
        <f aca="false">IF(N($P487)&lt;=0,"",COUNTIF($P$6:$P487,"&gt;0"))</f>
        <v/>
      </c>
    </row>
    <row r="488" customFormat="false" ht="15" hidden="false" customHeight="false" outlineLevel="0" collapsed="false">
      <c r="A488" s="40" t="str">
        <f aca="false">IF(INDEX(BookTitle,483)="","",INDEX(BookGroup,483))</f>
        <v/>
      </c>
      <c r="B488" s="40" t="str">
        <f aca="false">IF(INDEX(BookTitle,483)="","",INDEX(BookRef,483))</f>
        <v/>
      </c>
      <c r="C488" s="40" t="str">
        <f aca="false">IF(INDEX(BookTitle,483)="","",INDEX(BookDivision,483))</f>
        <v/>
      </c>
      <c r="D488" s="40" t="str">
        <f aca="false">IF(INDEX(BookTitle,483)="","",INDEX(BookUnit,483))</f>
        <v/>
      </c>
      <c r="E488" s="40" t="str">
        <f aca="false">IF(INDEX(BookTitle,483)="","",INDEX(BookTitle,483))</f>
        <v/>
      </c>
      <c r="F488" s="40" t="str">
        <f aca="false">IF(INDEX(BookTitle,483)="","",INDEX(BookLevel,483))</f>
        <v/>
      </c>
      <c r="G488" s="40" t="str">
        <f aca="false">IF(INDEX(BookTitle,483)="","",INDEX(BookCategory,483))</f>
        <v/>
      </c>
      <c r="H488" s="40" t="str">
        <f aca="false">IF(INDEX(BookTitle,483)="","",INDEX(BookRank,483))</f>
        <v/>
      </c>
      <c r="I488" s="41" t="str">
        <f aca="false">IF(INDEX(BookTitle,483)="","",INDEX(BookTotal,483))</f>
        <v/>
      </c>
      <c r="J488" s="0" t="str">
        <f aca="false">IF($I488="","",IF(INDEX(BookQ1,483)&gt;0,"Q1",IF(INDEX(BookQ2,483)&gt;0,"Q2",IF(INDEX(BookQ3,483)&gt;0,"Q3",IF(INDEX(BookQ4,483)&gt;0,"Q4","")))))</f>
        <v/>
      </c>
      <c r="K488" s="42" t="str">
        <f aca="false">IF(INDEX(BookTitle,483)="","",INDEX(BookInYear,483))</f>
        <v/>
      </c>
      <c r="L488" s="19"/>
      <c r="M488" s="39"/>
      <c r="N488" s="19"/>
      <c r="O488" s="19"/>
      <c r="P488" s="43" t="str">
        <f aca="false">IF($E488="","",IF($L488="Decline",0,IF($L488="Approve fewer",IF($M488="","",$M488),IF($L488="","",$I488))))</f>
        <v/>
      </c>
      <c r="Q488" s="34" t="str">
        <f aca="false">IF($P488="","",IF($N488&lt;&gt;"",$N488,$J488))</f>
        <v/>
      </c>
      <c r="R488" s="35" t="str">
        <f aca="false">IF(OR($P488="",$Q488=""),"",INDEX(BookRate,483)*$P488*(5-MATCH($Q488,{"Q1";"Q2";"Q3";"Q4"},0))/4+INDEX(BookOneOff,483)*$P488)</f>
        <v/>
      </c>
      <c r="S488" s="35" t="str">
        <f aca="false">IF($P488="","",INDEX(BookRate,483)*$P488)</f>
        <v/>
      </c>
      <c r="T488" s="35" t="str">
        <f aca="false">IF($R488="","",$R488-$K488)</f>
        <v/>
      </c>
      <c r="U488" s="35" t="str">
        <f aca="false">IF(N($P488)&lt;=0,"",COUNTIF($P$6:$P488,"&gt;0"))</f>
        <v/>
      </c>
    </row>
    <row r="489" customFormat="false" ht="15" hidden="false" customHeight="false" outlineLevel="0" collapsed="false">
      <c r="A489" s="40" t="str">
        <f aca="false">IF(INDEX(BookTitle,484)="","",INDEX(BookGroup,484))</f>
        <v/>
      </c>
      <c r="B489" s="40" t="str">
        <f aca="false">IF(INDEX(BookTitle,484)="","",INDEX(BookRef,484))</f>
        <v/>
      </c>
      <c r="C489" s="40" t="str">
        <f aca="false">IF(INDEX(BookTitle,484)="","",INDEX(BookDivision,484))</f>
        <v/>
      </c>
      <c r="D489" s="40" t="str">
        <f aca="false">IF(INDEX(BookTitle,484)="","",INDEX(BookUnit,484))</f>
        <v/>
      </c>
      <c r="E489" s="40" t="str">
        <f aca="false">IF(INDEX(BookTitle,484)="","",INDEX(BookTitle,484))</f>
        <v/>
      </c>
      <c r="F489" s="40" t="str">
        <f aca="false">IF(INDEX(BookTitle,484)="","",INDEX(BookLevel,484))</f>
        <v/>
      </c>
      <c r="G489" s="40" t="str">
        <f aca="false">IF(INDEX(BookTitle,484)="","",INDEX(BookCategory,484))</f>
        <v/>
      </c>
      <c r="H489" s="40" t="str">
        <f aca="false">IF(INDEX(BookTitle,484)="","",INDEX(BookRank,484))</f>
        <v/>
      </c>
      <c r="I489" s="41" t="str">
        <f aca="false">IF(INDEX(BookTitle,484)="","",INDEX(BookTotal,484))</f>
        <v/>
      </c>
      <c r="J489" s="0" t="str">
        <f aca="false">IF($I489="","",IF(INDEX(BookQ1,484)&gt;0,"Q1",IF(INDEX(BookQ2,484)&gt;0,"Q2",IF(INDEX(BookQ3,484)&gt;0,"Q3",IF(INDEX(BookQ4,484)&gt;0,"Q4","")))))</f>
        <v/>
      </c>
      <c r="K489" s="42" t="str">
        <f aca="false">IF(INDEX(BookTitle,484)="","",INDEX(BookInYear,484))</f>
        <v/>
      </c>
      <c r="L489" s="19"/>
      <c r="M489" s="39"/>
      <c r="N489" s="19"/>
      <c r="O489" s="19"/>
      <c r="P489" s="43" t="str">
        <f aca="false">IF($E489="","",IF($L489="Decline",0,IF($L489="Approve fewer",IF($M489="","",$M489),IF($L489="","",$I489))))</f>
        <v/>
      </c>
      <c r="Q489" s="34" t="str">
        <f aca="false">IF($P489="","",IF($N489&lt;&gt;"",$N489,$J489))</f>
        <v/>
      </c>
      <c r="R489" s="35" t="str">
        <f aca="false">IF(OR($P489="",$Q489=""),"",INDEX(BookRate,484)*$P489*(5-MATCH($Q489,{"Q1";"Q2";"Q3";"Q4"},0))/4+INDEX(BookOneOff,484)*$P489)</f>
        <v/>
      </c>
      <c r="S489" s="35" t="str">
        <f aca="false">IF($P489="","",INDEX(BookRate,484)*$P489)</f>
        <v/>
      </c>
      <c r="T489" s="35" t="str">
        <f aca="false">IF($R489="","",$R489-$K489)</f>
        <v/>
      </c>
      <c r="U489" s="35" t="str">
        <f aca="false">IF(N($P489)&lt;=0,"",COUNTIF($P$6:$P489,"&gt;0"))</f>
        <v/>
      </c>
    </row>
    <row r="490" customFormat="false" ht="15" hidden="false" customHeight="false" outlineLevel="0" collapsed="false">
      <c r="A490" s="40" t="str">
        <f aca="false">IF(INDEX(BookTitle,485)="","",INDEX(BookGroup,485))</f>
        <v/>
      </c>
      <c r="B490" s="40" t="str">
        <f aca="false">IF(INDEX(BookTitle,485)="","",INDEX(BookRef,485))</f>
        <v/>
      </c>
      <c r="C490" s="40" t="str">
        <f aca="false">IF(INDEX(BookTitle,485)="","",INDEX(BookDivision,485))</f>
        <v/>
      </c>
      <c r="D490" s="40" t="str">
        <f aca="false">IF(INDEX(BookTitle,485)="","",INDEX(BookUnit,485))</f>
        <v/>
      </c>
      <c r="E490" s="40" t="str">
        <f aca="false">IF(INDEX(BookTitle,485)="","",INDEX(BookTitle,485))</f>
        <v/>
      </c>
      <c r="F490" s="40" t="str">
        <f aca="false">IF(INDEX(BookTitle,485)="","",INDEX(BookLevel,485))</f>
        <v/>
      </c>
      <c r="G490" s="40" t="str">
        <f aca="false">IF(INDEX(BookTitle,485)="","",INDEX(BookCategory,485))</f>
        <v/>
      </c>
      <c r="H490" s="40" t="str">
        <f aca="false">IF(INDEX(BookTitle,485)="","",INDEX(BookRank,485))</f>
        <v/>
      </c>
      <c r="I490" s="41" t="str">
        <f aca="false">IF(INDEX(BookTitle,485)="","",INDEX(BookTotal,485))</f>
        <v/>
      </c>
      <c r="J490" s="0" t="str">
        <f aca="false">IF($I490="","",IF(INDEX(BookQ1,485)&gt;0,"Q1",IF(INDEX(BookQ2,485)&gt;0,"Q2",IF(INDEX(BookQ3,485)&gt;0,"Q3",IF(INDEX(BookQ4,485)&gt;0,"Q4","")))))</f>
        <v/>
      </c>
      <c r="K490" s="42" t="str">
        <f aca="false">IF(INDEX(BookTitle,485)="","",INDEX(BookInYear,485))</f>
        <v/>
      </c>
      <c r="L490" s="19"/>
      <c r="M490" s="39"/>
      <c r="N490" s="19"/>
      <c r="O490" s="19"/>
      <c r="P490" s="43" t="str">
        <f aca="false">IF($E490="","",IF($L490="Decline",0,IF($L490="Approve fewer",IF($M490="","",$M490),IF($L490="","",$I490))))</f>
        <v/>
      </c>
      <c r="Q490" s="34" t="str">
        <f aca="false">IF($P490="","",IF($N490&lt;&gt;"",$N490,$J490))</f>
        <v/>
      </c>
      <c r="R490" s="35" t="str">
        <f aca="false">IF(OR($P490="",$Q490=""),"",INDEX(BookRate,485)*$P490*(5-MATCH($Q490,{"Q1";"Q2";"Q3";"Q4"},0))/4+INDEX(BookOneOff,485)*$P490)</f>
        <v/>
      </c>
      <c r="S490" s="35" t="str">
        <f aca="false">IF($P490="","",INDEX(BookRate,485)*$P490)</f>
        <v/>
      </c>
      <c r="T490" s="35" t="str">
        <f aca="false">IF($R490="","",$R490-$K490)</f>
        <v/>
      </c>
      <c r="U490" s="35" t="str">
        <f aca="false">IF(N($P490)&lt;=0,"",COUNTIF($P$6:$P490,"&gt;0"))</f>
        <v/>
      </c>
    </row>
    <row r="491" customFormat="false" ht="15" hidden="false" customHeight="false" outlineLevel="0" collapsed="false">
      <c r="A491" s="40" t="str">
        <f aca="false">IF(INDEX(BookTitle,486)="","",INDEX(BookGroup,486))</f>
        <v/>
      </c>
      <c r="B491" s="40" t="str">
        <f aca="false">IF(INDEX(BookTitle,486)="","",INDEX(BookRef,486))</f>
        <v/>
      </c>
      <c r="C491" s="40" t="str">
        <f aca="false">IF(INDEX(BookTitle,486)="","",INDEX(BookDivision,486))</f>
        <v/>
      </c>
      <c r="D491" s="40" t="str">
        <f aca="false">IF(INDEX(BookTitle,486)="","",INDEX(BookUnit,486))</f>
        <v/>
      </c>
      <c r="E491" s="40" t="str">
        <f aca="false">IF(INDEX(BookTitle,486)="","",INDEX(BookTitle,486))</f>
        <v/>
      </c>
      <c r="F491" s="40" t="str">
        <f aca="false">IF(INDEX(BookTitle,486)="","",INDEX(BookLevel,486))</f>
        <v/>
      </c>
      <c r="G491" s="40" t="str">
        <f aca="false">IF(INDEX(BookTitle,486)="","",INDEX(BookCategory,486))</f>
        <v/>
      </c>
      <c r="H491" s="40" t="str">
        <f aca="false">IF(INDEX(BookTitle,486)="","",INDEX(BookRank,486))</f>
        <v/>
      </c>
      <c r="I491" s="41" t="str">
        <f aca="false">IF(INDEX(BookTitle,486)="","",INDEX(BookTotal,486))</f>
        <v/>
      </c>
      <c r="J491" s="0" t="str">
        <f aca="false">IF($I491="","",IF(INDEX(BookQ1,486)&gt;0,"Q1",IF(INDEX(BookQ2,486)&gt;0,"Q2",IF(INDEX(BookQ3,486)&gt;0,"Q3",IF(INDEX(BookQ4,486)&gt;0,"Q4","")))))</f>
        <v/>
      </c>
      <c r="K491" s="42" t="str">
        <f aca="false">IF(INDEX(BookTitle,486)="","",INDEX(BookInYear,486))</f>
        <v/>
      </c>
      <c r="L491" s="19"/>
      <c r="M491" s="39"/>
      <c r="N491" s="19"/>
      <c r="O491" s="19"/>
      <c r="P491" s="43" t="str">
        <f aca="false">IF($E491="","",IF($L491="Decline",0,IF($L491="Approve fewer",IF($M491="","",$M491),IF($L491="","",$I491))))</f>
        <v/>
      </c>
      <c r="Q491" s="34" t="str">
        <f aca="false">IF($P491="","",IF($N491&lt;&gt;"",$N491,$J491))</f>
        <v/>
      </c>
      <c r="R491" s="35" t="str">
        <f aca="false">IF(OR($P491="",$Q491=""),"",INDEX(BookRate,486)*$P491*(5-MATCH($Q491,{"Q1";"Q2";"Q3";"Q4"},0))/4+INDEX(BookOneOff,486)*$P491)</f>
        <v/>
      </c>
      <c r="S491" s="35" t="str">
        <f aca="false">IF($P491="","",INDEX(BookRate,486)*$P491)</f>
        <v/>
      </c>
      <c r="T491" s="35" t="str">
        <f aca="false">IF($R491="","",$R491-$K491)</f>
        <v/>
      </c>
      <c r="U491" s="35" t="str">
        <f aca="false">IF(N($P491)&lt;=0,"",COUNTIF($P$6:$P491,"&gt;0"))</f>
        <v/>
      </c>
    </row>
    <row r="492" customFormat="false" ht="15" hidden="false" customHeight="false" outlineLevel="0" collapsed="false">
      <c r="A492" s="40" t="str">
        <f aca="false">IF(INDEX(BookTitle,487)="","",INDEX(BookGroup,487))</f>
        <v/>
      </c>
      <c r="B492" s="40" t="str">
        <f aca="false">IF(INDEX(BookTitle,487)="","",INDEX(BookRef,487))</f>
        <v/>
      </c>
      <c r="C492" s="40" t="str">
        <f aca="false">IF(INDEX(BookTitle,487)="","",INDEX(BookDivision,487))</f>
        <v/>
      </c>
      <c r="D492" s="40" t="str">
        <f aca="false">IF(INDEX(BookTitle,487)="","",INDEX(BookUnit,487))</f>
        <v/>
      </c>
      <c r="E492" s="40" t="str">
        <f aca="false">IF(INDEX(BookTitle,487)="","",INDEX(BookTitle,487))</f>
        <v/>
      </c>
      <c r="F492" s="40" t="str">
        <f aca="false">IF(INDEX(BookTitle,487)="","",INDEX(BookLevel,487))</f>
        <v/>
      </c>
      <c r="G492" s="40" t="str">
        <f aca="false">IF(INDEX(BookTitle,487)="","",INDEX(BookCategory,487))</f>
        <v/>
      </c>
      <c r="H492" s="40" t="str">
        <f aca="false">IF(INDEX(BookTitle,487)="","",INDEX(BookRank,487))</f>
        <v/>
      </c>
      <c r="I492" s="41" t="str">
        <f aca="false">IF(INDEX(BookTitle,487)="","",INDEX(BookTotal,487))</f>
        <v/>
      </c>
      <c r="J492" s="0" t="str">
        <f aca="false">IF($I492="","",IF(INDEX(BookQ1,487)&gt;0,"Q1",IF(INDEX(BookQ2,487)&gt;0,"Q2",IF(INDEX(BookQ3,487)&gt;0,"Q3",IF(INDEX(BookQ4,487)&gt;0,"Q4","")))))</f>
        <v/>
      </c>
      <c r="K492" s="42" t="str">
        <f aca="false">IF(INDEX(BookTitle,487)="","",INDEX(BookInYear,487))</f>
        <v/>
      </c>
      <c r="L492" s="19"/>
      <c r="M492" s="39"/>
      <c r="N492" s="19"/>
      <c r="O492" s="19"/>
      <c r="P492" s="43" t="str">
        <f aca="false">IF($E492="","",IF($L492="Decline",0,IF($L492="Approve fewer",IF($M492="","",$M492),IF($L492="","",$I492))))</f>
        <v/>
      </c>
      <c r="Q492" s="34" t="str">
        <f aca="false">IF($P492="","",IF($N492&lt;&gt;"",$N492,$J492))</f>
        <v/>
      </c>
      <c r="R492" s="35" t="str">
        <f aca="false">IF(OR($P492="",$Q492=""),"",INDEX(BookRate,487)*$P492*(5-MATCH($Q492,{"Q1";"Q2";"Q3";"Q4"},0))/4+INDEX(BookOneOff,487)*$P492)</f>
        <v/>
      </c>
      <c r="S492" s="35" t="str">
        <f aca="false">IF($P492="","",INDEX(BookRate,487)*$P492)</f>
        <v/>
      </c>
      <c r="T492" s="35" t="str">
        <f aca="false">IF($R492="","",$R492-$K492)</f>
        <v/>
      </c>
      <c r="U492" s="35" t="str">
        <f aca="false">IF(N($P492)&lt;=0,"",COUNTIF($P$6:$P492,"&gt;0"))</f>
        <v/>
      </c>
    </row>
    <row r="493" customFormat="false" ht="15" hidden="false" customHeight="false" outlineLevel="0" collapsed="false">
      <c r="A493" s="40" t="str">
        <f aca="false">IF(INDEX(BookTitle,488)="","",INDEX(BookGroup,488))</f>
        <v/>
      </c>
      <c r="B493" s="40" t="str">
        <f aca="false">IF(INDEX(BookTitle,488)="","",INDEX(BookRef,488))</f>
        <v/>
      </c>
      <c r="C493" s="40" t="str">
        <f aca="false">IF(INDEX(BookTitle,488)="","",INDEX(BookDivision,488))</f>
        <v/>
      </c>
      <c r="D493" s="40" t="str">
        <f aca="false">IF(INDEX(BookTitle,488)="","",INDEX(BookUnit,488))</f>
        <v/>
      </c>
      <c r="E493" s="40" t="str">
        <f aca="false">IF(INDEX(BookTitle,488)="","",INDEX(BookTitle,488))</f>
        <v/>
      </c>
      <c r="F493" s="40" t="str">
        <f aca="false">IF(INDEX(BookTitle,488)="","",INDEX(BookLevel,488))</f>
        <v/>
      </c>
      <c r="G493" s="40" t="str">
        <f aca="false">IF(INDEX(BookTitle,488)="","",INDEX(BookCategory,488))</f>
        <v/>
      </c>
      <c r="H493" s="40" t="str">
        <f aca="false">IF(INDEX(BookTitle,488)="","",INDEX(BookRank,488))</f>
        <v/>
      </c>
      <c r="I493" s="41" t="str">
        <f aca="false">IF(INDEX(BookTitle,488)="","",INDEX(BookTotal,488))</f>
        <v/>
      </c>
      <c r="J493" s="0" t="str">
        <f aca="false">IF($I493="","",IF(INDEX(BookQ1,488)&gt;0,"Q1",IF(INDEX(BookQ2,488)&gt;0,"Q2",IF(INDEX(BookQ3,488)&gt;0,"Q3",IF(INDEX(BookQ4,488)&gt;0,"Q4","")))))</f>
        <v/>
      </c>
      <c r="K493" s="42" t="str">
        <f aca="false">IF(INDEX(BookTitle,488)="","",INDEX(BookInYear,488))</f>
        <v/>
      </c>
      <c r="L493" s="19"/>
      <c r="M493" s="39"/>
      <c r="N493" s="19"/>
      <c r="O493" s="19"/>
      <c r="P493" s="43" t="str">
        <f aca="false">IF($E493="","",IF($L493="Decline",0,IF($L493="Approve fewer",IF($M493="","",$M493),IF($L493="","",$I493))))</f>
        <v/>
      </c>
      <c r="Q493" s="34" t="str">
        <f aca="false">IF($P493="","",IF($N493&lt;&gt;"",$N493,$J493))</f>
        <v/>
      </c>
      <c r="R493" s="35" t="str">
        <f aca="false">IF(OR($P493="",$Q493=""),"",INDEX(BookRate,488)*$P493*(5-MATCH($Q493,{"Q1";"Q2";"Q3";"Q4"},0))/4+INDEX(BookOneOff,488)*$P493)</f>
        <v/>
      </c>
      <c r="S493" s="35" t="str">
        <f aca="false">IF($P493="","",INDEX(BookRate,488)*$P493)</f>
        <v/>
      </c>
      <c r="T493" s="35" t="str">
        <f aca="false">IF($R493="","",$R493-$K493)</f>
        <v/>
      </c>
      <c r="U493" s="35" t="str">
        <f aca="false">IF(N($P493)&lt;=0,"",COUNTIF($P$6:$P493,"&gt;0"))</f>
        <v/>
      </c>
    </row>
    <row r="494" customFormat="false" ht="15" hidden="false" customHeight="false" outlineLevel="0" collapsed="false">
      <c r="A494" s="40" t="str">
        <f aca="false">IF(INDEX(BookTitle,489)="","",INDEX(BookGroup,489))</f>
        <v/>
      </c>
      <c r="B494" s="40" t="str">
        <f aca="false">IF(INDEX(BookTitle,489)="","",INDEX(BookRef,489))</f>
        <v/>
      </c>
      <c r="C494" s="40" t="str">
        <f aca="false">IF(INDEX(BookTitle,489)="","",INDEX(BookDivision,489))</f>
        <v/>
      </c>
      <c r="D494" s="40" t="str">
        <f aca="false">IF(INDEX(BookTitle,489)="","",INDEX(BookUnit,489))</f>
        <v/>
      </c>
      <c r="E494" s="40" t="str">
        <f aca="false">IF(INDEX(BookTitle,489)="","",INDEX(BookTitle,489))</f>
        <v/>
      </c>
      <c r="F494" s="40" t="str">
        <f aca="false">IF(INDEX(BookTitle,489)="","",INDEX(BookLevel,489))</f>
        <v/>
      </c>
      <c r="G494" s="40" t="str">
        <f aca="false">IF(INDEX(BookTitle,489)="","",INDEX(BookCategory,489))</f>
        <v/>
      </c>
      <c r="H494" s="40" t="str">
        <f aca="false">IF(INDEX(BookTitle,489)="","",INDEX(BookRank,489))</f>
        <v/>
      </c>
      <c r="I494" s="41" t="str">
        <f aca="false">IF(INDEX(BookTitle,489)="","",INDEX(BookTotal,489))</f>
        <v/>
      </c>
      <c r="J494" s="0" t="str">
        <f aca="false">IF($I494="","",IF(INDEX(BookQ1,489)&gt;0,"Q1",IF(INDEX(BookQ2,489)&gt;0,"Q2",IF(INDEX(BookQ3,489)&gt;0,"Q3",IF(INDEX(BookQ4,489)&gt;0,"Q4","")))))</f>
        <v/>
      </c>
      <c r="K494" s="42" t="str">
        <f aca="false">IF(INDEX(BookTitle,489)="","",INDEX(BookInYear,489))</f>
        <v/>
      </c>
      <c r="L494" s="19"/>
      <c r="M494" s="39"/>
      <c r="N494" s="19"/>
      <c r="O494" s="19"/>
      <c r="P494" s="43" t="str">
        <f aca="false">IF($E494="","",IF($L494="Decline",0,IF($L494="Approve fewer",IF($M494="","",$M494),IF($L494="","",$I494))))</f>
        <v/>
      </c>
      <c r="Q494" s="34" t="str">
        <f aca="false">IF($P494="","",IF($N494&lt;&gt;"",$N494,$J494))</f>
        <v/>
      </c>
      <c r="R494" s="35" t="str">
        <f aca="false">IF(OR($P494="",$Q494=""),"",INDEX(BookRate,489)*$P494*(5-MATCH($Q494,{"Q1";"Q2";"Q3";"Q4"},0))/4+INDEX(BookOneOff,489)*$P494)</f>
        <v/>
      </c>
      <c r="S494" s="35" t="str">
        <f aca="false">IF($P494="","",INDEX(BookRate,489)*$P494)</f>
        <v/>
      </c>
      <c r="T494" s="35" t="str">
        <f aca="false">IF($R494="","",$R494-$K494)</f>
        <v/>
      </c>
      <c r="U494" s="35" t="str">
        <f aca="false">IF(N($P494)&lt;=0,"",COUNTIF($P$6:$P494,"&gt;0"))</f>
        <v/>
      </c>
    </row>
    <row r="495" customFormat="false" ht="15" hidden="false" customHeight="false" outlineLevel="0" collapsed="false">
      <c r="A495" s="40" t="str">
        <f aca="false">IF(INDEX(BookTitle,490)="","",INDEX(BookGroup,490))</f>
        <v/>
      </c>
      <c r="B495" s="40" t="str">
        <f aca="false">IF(INDEX(BookTitle,490)="","",INDEX(BookRef,490))</f>
        <v/>
      </c>
      <c r="C495" s="40" t="str">
        <f aca="false">IF(INDEX(BookTitle,490)="","",INDEX(BookDivision,490))</f>
        <v/>
      </c>
      <c r="D495" s="40" t="str">
        <f aca="false">IF(INDEX(BookTitle,490)="","",INDEX(BookUnit,490))</f>
        <v/>
      </c>
      <c r="E495" s="40" t="str">
        <f aca="false">IF(INDEX(BookTitle,490)="","",INDEX(BookTitle,490))</f>
        <v/>
      </c>
      <c r="F495" s="40" t="str">
        <f aca="false">IF(INDEX(BookTitle,490)="","",INDEX(BookLevel,490))</f>
        <v/>
      </c>
      <c r="G495" s="40" t="str">
        <f aca="false">IF(INDEX(BookTitle,490)="","",INDEX(BookCategory,490))</f>
        <v/>
      </c>
      <c r="H495" s="40" t="str">
        <f aca="false">IF(INDEX(BookTitle,490)="","",INDEX(BookRank,490))</f>
        <v/>
      </c>
      <c r="I495" s="41" t="str">
        <f aca="false">IF(INDEX(BookTitle,490)="","",INDEX(BookTotal,490))</f>
        <v/>
      </c>
      <c r="J495" s="0" t="str">
        <f aca="false">IF($I495="","",IF(INDEX(BookQ1,490)&gt;0,"Q1",IF(INDEX(BookQ2,490)&gt;0,"Q2",IF(INDEX(BookQ3,490)&gt;0,"Q3",IF(INDEX(BookQ4,490)&gt;0,"Q4","")))))</f>
        <v/>
      </c>
      <c r="K495" s="42" t="str">
        <f aca="false">IF(INDEX(BookTitle,490)="","",INDEX(BookInYear,490))</f>
        <v/>
      </c>
      <c r="L495" s="19"/>
      <c r="M495" s="39"/>
      <c r="N495" s="19"/>
      <c r="O495" s="19"/>
      <c r="P495" s="43" t="str">
        <f aca="false">IF($E495="","",IF($L495="Decline",0,IF($L495="Approve fewer",IF($M495="","",$M495),IF($L495="","",$I495))))</f>
        <v/>
      </c>
      <c r="Q495" s="34" t="str">
        <f aca="false">IF($P495="","",IF($N495&lt;&gt;"",$N495,$J495))</f>
        <v/>
      </c>
      <c r="R495" s="35" t="str">
        <f aca="false">IF(OR($P495="",$Q495=""),"",INDEX(BookRate,490)*$P495*(5-MATCH($Q495,{"Q1";"Q2";"Q3";"Q4"},0))/4+INDEX(BookOneOff,490)*$P495)</f>
        <v/>
      </c>
      <c r="S495" s="35" t="str">
        <f aca="false">IF($P495="","",INDEX(BookRate,490)*$P495)</f>
        <v/>
      </c>
      <c r="T495" s="35" t="str">
        <f aca="false">IF($R495="","",$R495-$K495)</f>
        <v/>
      </c>
      <c r="U495" s="35" t="str">
        <f aca="false">IF(N($P495)&lt;=0,"",COUNTIF($P$6:$P495,"&gt;0"))</f>
        <v/>
      </c>
    </row>
    <row r="496" customFormat="false" ht="15" hidden="false" customHeight="false" outlineLevel="0" collapsed="false">
      <c r="A496" s="40" t="str">
        <f aca="false">IF(INDEX(BookTitle,491)="","",INDEX(BookGroup,491))</f>
        <v/>
      </c>
      <c r="B496" s="40" t="str">
        <f aca="false">IF(INDEX(BookTitle,491)="","",INDEX(BookRef,491))</f>
        <v/>
      </c>
      <c r="C496" s="40" t="str">
        <f aca="false">IF(INDEX(BookTitle,491)="","",INDEX(BookDivision,491))</f>
        <v/>
      </c>
      <c r="D496" s="40" t="str">
        <f aca="false">IF(INDEX(BookTitle,491)="","",INDEX(BookUnit,491))</f>
        <v/>
      </c>
      <c r="E496" s="40" t="str">
        <f aca="false">IF(INDEX(BookTitle,491)="","",INDEX(BookTitle,491))</f>
        <v/>
      </c>
      <c r="F496" s="40" t="str">
        <f aca="false">IF(INDEX(BookTitle,491)="","",INDEX(BookLevel,491))</f>
        <v/>
      </c>
      <c r="G496" s="40" t="str">
        <f aca="false">IF(INDEX(BookTitle,491)="","",INDEX(BookCategory,491))</f>
        <v/>
      </c>
      <c r="H496" s="40" t="str">
        <f aca="false">IF(INDEX(BookTitle,491)="","",INDEX(BookRank,491))</f>
        <v/>
      </c>
      <c r="I496" s="41" t="str">
        <f aca="false">IF(INDEX(BookTitle,491)="","",INDEX(BookTotal,491))</f>
        <v/>
      </c>
      <c r="J496" s="0" t="str">
        <f aca="false">IF($I496="","",IF(INDEX(BookQ1,491)&gt;0,"Q1",IF(INDEX(BookQ2,491)&gt;0,"Q2",IF(INDEX(BookQ3,491)&gt;0,"Q3",IF(INDEX(BookQ4,491)&gt;0,"Q4","")))))</f>
        <v/>
      </c>
      <c r="K496" s="42" t="str">
        <f aca="false">IF(INDEX(BookTitle,491)="","",INDEX(BookInYear,491))</f>
        <v/>
      </c>
      <c r="L496" s="19"/>
      <c r="M496" s="39"/>
      <c r="N496" s="19"/>
      <c r="O496" s="19"/>
      <c r="P496" s="43" t="str">
        <f aca="false">IF($E496="","",IF($L496="Decline",0,IF($L496="Approve fewer",IF($M496="","",$M496),IF($L496="","",$I496))))</f>
        <v/>
      </c>
      <c r="Q496" s="34" t="str">
        <f aca="false">IF($P496="","",IF($N496&lt;&gt;"",$N496,$J496))</f>
        <v/>
      </c>
      <c r="R496" s="35" t="str">
        <f aca="false">IF(OR($P496="",$Q496=""),"",INDEX(BookRate,491)*$P496*(5-MATCH($Q496,{"Q1";"Q2";"Q3";"Q4"},0))/4+INDEX(BookOneOff,491)*$P496)</f>
        <v/>
      </c>
      <c r="S496" s="35" t="str">
        <f aca="false">IF($P496="","",INDEX(BookRate,491)*$P496)</f>
        <v/>
      </c>
      <c r="T496" s="35" t="str">
        <f aca="false">IF($R496="","",$R496-$K496)</f>
        <v/>
      </c>
      <c r="U496" s="35" t="str">
        <f aca="false">IF(N($P496)&lt;=0,"",COUNTIF($P$6:$P496,"&gt;0"))</f>
        <v/>
      </c>
    </row>
    <row r="497" customFormat="false" ht="15" hidden="false" customHeight="false" outlineLevel="0" collapsed="false">
      <c r="A497" s="40" t="str">
        <f aca="false">IF(INDEX(BookTitle,492)="","",INDEX(BookGroup,492))</f>
        <v/>
      </c>
      <c r="B497" s="40" t="str">
        <f aca="false">IF(INDEX(BookTitle,492)="","",INDEX(BookRef,492))</f>
        <v/>
      </c>
      <c r="C497" s="40" t="str">
        <f aca="false">IF(INDEX(BookTitle,492)="","",INDEX(BookDivision,492))</f>
        <v/>
      </c>
      <c r="D497" s="40" t="str">
        <f aca="false">IF(INDEX(BookTitle,492)="","",INDEX(BookUnit,492))</f>
        <v/>
      </c>
      <c r="E497" s="40" t="str">
        <f aca="false">IF(INDEX(BookTitle,492)="","",INDEX(BookTitle,492))</f>
        <v/>
      </c>
      <c r="F497" s="40" t="str">
        <f aca="false">IF(INDEX(BookTitle,492)="","",INDEX(BookLevel,492))</f>
        <v/>
      </c>
      <c r="G497" s="40" t="str">
        <f aca="false">IF(INDEX(BookTitle,492)="","",INDEX(BookCategory,492))</f>
        <v/>
      </c>
      <c r="H497" s="40" t="str">
        <f aca="false">IF(INDEX(BookTitle,492)="","",INDEX(BookRank,492))</f>
        <v/>
      </c>
      <c r="I497" s="41" t="str">
        <f aca="false">IF(INDEX(BookTitle,492)="","",INDEX(BookTotal,492))</f>
        <v/>
      </c>
      <c r="J497" s="0" t="str">
        <f aca="false">IF($I497="","",IF(INDEX(BookQ1,492)&gt;0,"Q1",IF(INDEX(BookQ2,492)&gt;0,"Q2",IF(INDEX(BookQ3,492)&gt;0,"Q3",IF(INDEX(BookQ4,492)&gt;0,"Q4","")))))</f>
        <v/>
      </c>
      <c r="K497" s="42" t="str">
        <f aca="false">IF(INDEX(BookTitle,492)="","",INDEX(BookInYear,492))</f>
        <v/>
      </c>
      <c r="L497" s="19"/>
      <c r="M497" s="39"/>
      <c r="N497" s="19"/>
      <c r="O497" s="19"/>
      <c r="P497" s="43" t="str">
        <f aca="false">IF($E497="","",IF($L497="Decline",0,IF($L497="Approve fewer",IF($M497="","",$M497),IF($L497="","",$I497))))</f>
        <v/>
      </c>
      <c r="Q497" s="34" t="str">
        <f aca="false">IF($P497="","",IF($N497&lt;&gt;"",$N497,$J497))</f>
        <v/>
      </c>
      <c r="R497" s="35" t="str">
        <f aca="false">IF(OR($P497="",$Q497=""),"",INDEX(BookRate,492)*$P497*(5-MATCH($Q497,{"Q1";"Q2";"Q3";"Q4"},0))/4+INDEX(BookOneOff,492)*$P497)</f>
        <v/>
      </c>
      <c r="S497" s="35" t="str">
        <f aca="false">IF($P497="","",INDEX(BookRate,492)*$P497)</f>
        <v/>
      </c>
      <c r="T497" s="35" t="str">
        <f aca="false">IF($R497="","",$R497-$K497)</f>
        <v/>
      </c>
      <c r="U497" s="35" t="str">
        <f aca="false">IF(N($P497)&lt;=0,"",COUNTIF($P$6:$P497,"&gt;0"))</f>
        <v/>
      </c>
    </row>
    <row r="498" customFormat="false" ht="15" hidden="false" customHeight="false" outlineLevel="0" collapsed="false">
      <c r="A498" s="40" t="str">
        <f aca="false">IF(INDEX(BookTitle,493)="","",INDEX(BookGroup,493))</f>
        <v/>
      </c>
      <c r="B498" s="40" t="str">
        <f aca="false">IF(INDEX(BookTitle,493)="","",INDEX(BookRef,493))</f>
        <v/>
      </c>
      <c r="C498" s="40" t="str">
        <f aca="false">IF(INDEX(BookTitle,493)="","",INDEX(BookDivision,493))</f>
        <v/>
      </c>
      <c r="D498" s="40" t="str">
        <f aca="false">IF(INDEX(BookTitle,493)="","",INDEX(BookUnit,493))</f>
        <v/>
      </c>
      <c r="E498" s="40" t="str">
        <f aca="false">IF(INDEX(BookTitle,493)="","",INDEX(BookTitle,493))</f>
        <v/>
      </c>
      <c r="F498" s="40" t="str">
        <f aca="false">IF(INDEX(BookTitle,493)="","",INDEX(BookLevel,493))</f>
        <v/>
      </c>
      <c r="G498" s="40" t="str">
        <f aca="false">IF(INDEX(BookTitle,493)="","",INDEX(BookCategory,493))</f>
        <v/>
      </c>
      <c r="H498" s="40" t="str">
        <f aca="false">IF(INDEX(BookTitle,493)="","",INDEX(BookRank,493))</f>
        <v/>
      </c>
      <c r="I498" s="41" t="str">
        <f aca="false">IF(INDEX(BookTitle,493)="","",INDEX(BookTotal,493))</f>
        <v/>
      </c>
      <c r="J498" s="0" t="str">
        <f aca="false">IF($I498="","",IF(INDEX(BookQ1,493)&gt;0,"Q1",IF(INDEX(BookQ2,493)&gt;0,"Q2",IF(INDEX(BookQ3,493)&gt;0,"Q3",IF(INDEX(BookQ4,493)&gt;0,"Q4","")))))</f>
        <v/>
      </c>
      <c r="K498" s="42" t="str">
        <f aca="false">IF(INDEX(BookTitle,493)="","",INDEX(BookInYear,493))</f>
        <v/>
      </c>
      <c r="L498" s="19"/>
      <c r="M498" s="39"/>
      <c r="N498" s="19"/>
      <c r="O498" s="19"/>
      <c r="P498" s="43" t="str">
        <f aca="false">IF($E498="","",IF($L498="Decline",0,IF($L498="Approve fewer",IF($M498="","",$M498),IF($L498="","",$I498))))</f>
        <v/>
      </c>
      <c r="Q498" s="34" t="str">
        <f aca="false">IF($P498="","",IF($N498&lt;&gt;"",$N498,$J498))</f>
        <v/>
      </c>
      <c r="R498" s="35" t="str">
        <f aca="false">IF(OR($P498="",$Q498=""),"",INDEX(BookRate,493)*$P498*(5-MATCH($Q498,{"Q1";"Q2";"Q3";"Q4"},0))/4+INDEX(BookOneOff,493)*$P498)</f>
        <v/>
      </c>
      <c r="S498" s="35" t="str">
        <f aca="false">IF($P498="","",INDEX(BookRate,493)*$P498)</f>
        <v/>
      </c>
      <c r="T498" s="35" t="str">
        <f aca="false">IF($R498="","",$R498-$K498)</f>
        <v/>
      </c>
      <c r="U498" s="35" t="str">
        <f aca="false">IF(N($P498)&lt;=0,"",COUNTIF($P$6:$P498,"&gt;0"))</f>
        <v/>
      </c>
    </row>
    <row r="499" customFormat="false" ht="15" hidden="false" customHeight="false" outlineLevel="0" collapsed="false">
      <c r="A499" s="40" t="str">
        <f aca="false">IF(INDEX(BookTitle,494)="","",INDEX(BookGroup,494))</f>
        <v/>
      </c>
      <c r="B499" s="40" t="str">
        <f aca="false">IF(INDEX(BookTitle,494)="","",INDEX(BookRef,494))</f>
        <v/>
      </c>
      <c r="C499" s="40" t="str">
        <f aca="false">IF(INDEX(BookTitle,494)="","",INDEX(BookDivision,494))</f>
        <v/>
      </c>
      <c r="D499" s="40" t="str">
        <f aca="false">IF(INDEX(BookTitle,494)="","",INDEX(BookUnit,494))</f>
        <v/>
      </c>
      <c r="E499" s="40" t="str">
        <f aca="false">IF(INDEX(BookTitle,494)="","",INDEX(BookTitle,494))</f>
        <v/>
      </c>
      <c r="F499" s="40" t="str">
        <f aca="false">IF(INDEX(BookTitle,494)="","",INDEX(BookLevel,494))</f>
        <v/>
      </c>
      <c r="G499" s="40" t="str">
        <f aca="false">IF(INDEX(BookTitle,494)="","",INDEX(BookCategory,494))</f>
        <v/>
      </c>
      <c r="H499" s="40" t="str">
        <f aca="false">IF(INDEX(BookTitle,494)="","",INDEX(BookRank,494))</f>
        <v/>
      </c>
      <c r="I499" s="41" t="str">
        <f aca="false">IF(INDEX(BookTitle,494)="","",INDEX(BookTotal,494))</f>
        <v/>
      </c>
      <c r="J499" s="0" t="str">
        <f aca="false">IF($I499="","",IF(INDEX(BookQ1,494)&gt;0,"Q1",IF(INDEX(BookQ2,494)&gt;0,"Q2",IF(INDEX(BookQ3,494)&gt;0,"Q3",IF(INDEX(BookQ4,494)&gt;0,"Q4","")))))</f>
        <v/>
      </c>
      <c r="K499" s="42" t="str">
        <f aca="false">IF(INDEX(BookTitle,494)="","",INDEX(BookInYear,494))</f>
        <v/>
      </c>
      <c r="L499" s="19"/>
      <c r="M499" s="39"/>
      <c r="N499" s="19"/>
      <c r="O499" s="19"/>
      <c r="P499" s="43" t="str">
        <f aca="false">IF($E499="","",IF($L499="Decline",0,IF($L499="Approve fewer",IF($M499="","",$M499),IF($L499="","",$I499))))</f>
        <v/>
      </c>
      <c r="Q499" s="34" t="str">
        <f aca="false">IF($P499="","",IF($N499&lt;&gt;"",$N499,$J499))</f>
        <v/>
      </c>
      <c r="R499" s="35" t="str">
        <f aca="false">IF(OR($P499="",$Q499=""),"",INDEX(BookRate,494)*$P499*(5-MATCH($Q499,{"Q1";"Q2";"Q3";"Q4"},0))/4+INDEX(BookOneOff,494)*$P499)</f>
        <v/>
      </c>
      <c r="S499" s="35" t="str">
        <f aca="false">IF($P499="","",INDEX(BookRate,494)*$P499)</f>
        <v/>
      </c>
      <c r="T499" s="35" t="str">
        <f aca="false">IF($R499="","",$R499-$K499)</f>
        <v/>
      </c>
      <c r="U499" s="35" t="str">
        <f aca="false">IF(N($P499)&lt;=0,"",COUNTIF($P$6:$P499,"&gt;0"))</f>
        <v/>
      </c>
    </row>
    <row r="500" customFormat="false" ht="15" hidden="false" customHeight="false" outlineLevel="0" collapsed="false">
      <c r="A500" s="40" t="str">
        <f aca="false">IF(INDEX(BookTitle,495)="","",INDEX(BookGroup,495))</f>
        <v/>
      </c>
      <c r="B500" s="40" t="str">
        <f aca="false">IF(INDEX(BookTitle,495)="","",INDEX(BookRef,495))</f>
        <v/>
      </c>
      <c r="C500" s="40" t="str">
        <f aca="false">IF(INDEX(BookTitle,495)="","",INDEX(BookDivision,495))</f>
        <v/>
      </c>
      <c r="D500" s="40" t="str">
        <f aca="false">IF(INDEX(BookTitle,495)="","",INDEX(BookUnit,495))</f>
        <v/>
      </c>
      <c r="E500" s="40" t="str">
        <f aca="false">IF(INDEX(BookTitle,495)="","",INDEX(BookTitle,495))</f>
        <v/>
      </c>
      <c r="F500" s="40" t="str">
        <f aca="false">IF(INDEX(BookTitle,495)="","",INDEX(BookLevel,495))</f>
        <v/>
      </c>
      <c r="G500" s="40" t="str">
        <f aca="false">IF(INDEX(BookTitle,495)="","",INDEX(BookCategory,495))</f>
        <v/>
      </c>
      <c r="H500" s="40" t="str">
        <f aca="false">IF(INDEX(BookTitle,495)="","",INDEX(BookRank,495))</f>
        <v/>
      </c>
      <c r="I500" s="41" t="str">
        <f aca="false">IF(INDEX(BookTitle,495)="","",INDEX(BookTotal,495))</f>
        <v/>
      </c>
      <c r="J500" s="0" t="str">
        <f aca="false">IF($I500="","",IF(INDEX(BookQ1,495)&gt;0,"Q1",IF(INDEX(BookQ2,495)&gt;0,"Q2",IF(INDEX(BookQ3,495)&gt;0,"Q3",IF(INDEX(BookQ4,495)&gt;0,"Q4","")))))</f>
        <v/>
      </c>
      <c r="K500" s="42" t="str">
        <f aca="false">IF(INDEX(BookTitle,495)="","",INDEX(BookInYear,495))</f>
        <v/>
      </c>
      <c r="L500" s="19"/>
      <c r="M500" s="39"/>
      <c r="N500" s="19"/>
      <c r="O500" s="19"/>
      <c r="P500" s="43" t="str">
        <f aca="false">IF($E500="","",IF($L500="Decline",0,IF($L500="Approve fewer",IF($M500="","",$M500),IF($L500="","",$I500))))</f>
        <v/>
      </c>
      <c r="Q500" s="34" t="str">
        <f aca="false">IF($P500="","",IF($N500&lt;&gt;"",$N500,$J500))</f>
        <v/>
      </c>
      <c r="R500" s="35" t="str">
        <f aca="false">IF(OR($P500="",$Q500=""),"",INDEX(BookRate,495)*$P500*(5-MATCH($Q500,{"Q1";"Q2";"Q3";"Q4"},0))/4+INDEX(BookOneOff,495)*$P500)</f>
        <v/>
      </c>
      <c r="S500" s="35" t="str">
        <f aca="false">IF($P500="","",INDEX(BookRate,495)*$P500)</f>
        <v/>
      </c>
      <c r="T500" s="35" t="str">
        <f aca="false">IF($R500="","",$R500-$K500)</f>
        <v/>
      </c>
      <c r="U500" s="35" t="str">
        <f aca="false">IF(N($P500)&lt;=0,"",COUNTIF($P$6:$P500,"&gt;0"))</f>
        <v/>
      </c>
    </row>
    <row r="501" customFormat="false" ht="15" hidden="false" customHeight="false" outlineLevel="0" collapsed="false">
      <c r="A501" s="40" t="str">
        <f aca="false">IF(INDEX(BookTitle,496)="","",INDEX(BookGroup,496))</f>
        <v/>
      </c>
      <c r="B501" s="40" t="str">
        <f aca="false">IF(INDEX(BookTitle,496)="","",INDEX(BookRef,496))</f>
        <v/>
      </c>
      <c r="C501" s="40" t="str">
        <f aca="false">IF(INDEX(BookTitle,496)="","",INDEX(BookDivision,496))</f>
        <v/>
      </c>
      <c r="D501" s="40" t="str">
        <f aca="false">IF(INDEX(BookTitle,496)="","",INDEX(BookUnit,496))</f>
        <v/>
      </c>
      <c r="E501" s="40" t="str">
        <f aca="false">IF(INDEX(BookTitle,496)="","",INDEX(BookTitle,496))</f>
        <v/>
      </c>
      <c r="F501" s="40" t="str">
        <f aca="false">IF(INDEX(BookTitle,496)="","",INDEX(BookLevel,496))</f>
        <v/>
      </c>
      <c r="G501" s="40" t="str">
        <f aca="false">IF(INDEX(BookTitle,496)="","",INDEX(BookCategory,496))</f>
        <v/>
      </c>
      <c r="H501" s="40" t="str">
        <f aca="false">IF(INDEX(BookTitle,496)="","",INDEX(BookRank,496))</f>
        <v/>
      </c>
      <c r="I501" s="41" t="str">
        <f aca="false">IF(INDEX(BookTitle,496)="","",INDEX(BookTotal,496))</f>
        <v/>
      </c>
      <c r="J501" s="0" t="str">
        <f aca="false">IF($I501="","",IF(INDEX(BookQ1,496)&gt;0,"Q1",IF(INDEX(BookQ2,496)&gt;0,"Q2",IF(INDEX(BookQ3,496)&gt;0,"Q3",IF(INDEX(BookQ4,496)&gt;0,"Q4","")))))</f>
        <v/>
      </c>
      <c r="K501" s="42" t="str">
        <f aca="false">IF(INDEX(BookTitle,496)="","",INDEX(BookInYear,496))</f>
        <v/>
      </c>
      <c r="L501" s="19"/>
      <c r="M501" s="39"/>
      <c r="N501" s="19"/>
      <c r="O501" s="19"/>
      <c r="P501" s="43" t="str">
        <f aca="false">IF($E501="","",IF($L501="Decline",0,IF($L501="Approve fewer",IF($M501="","",$M501),IF($L501="","",$I501))))</f>
        <v/>
      </c>
      <c r="Q501" s="34" t="str">
        <f aca="false">IF($P501="","",IF($N501&lt;&gt;"",$N501,$J501))</f>
        <v/>
      </c>
      <c r="R501" s="35" t="str">
        <f aca="false">IF(OR($P501="",$Q501=""),"",INDEX(BookRate,496)*$P501*(5-MATCH($Q501,{"Q1";"Q2";"Q3";"Q4"},0))/4+INDEX(BookOneOff,496)*$P501)</f>
        <v/>
      </c>
      <c r="S501" s="35" t="str">
        <f aca="false">IF($P501="","",INDEX(BookRate,496)*$P501)</f>
        <v/>
      </c>
      <c r="T501" s="35" t="str">
        <f aca="false">IF($R501="","",$R501-$K501)</f>
        <v/>
      </c>
      <c r="U501" s="35" t="str">
        <f aca="false">IF(N($P501)&lt;=0,"",COUNTIF($P$6:$P501,"&gt;0"))</f>
        <v/>
      </c>
    </row>
    <row r="502" customFormat="false" ht="15" hidden="false" customHeight="false" outlineLevel="0" collapsed="false">
      <c r="A502" s="40" t="str">
        <f aca="false">IF(INDEX(BookTitle,497)="","",INDEX(BookGroup,497))</f>
        <v/>
      </c>
      <c r="B502" s="40" t="str">
        <f aca="false">IF(INDEX(BookTitle,497)="","",INDEX(BookRef,497))</f>
        <v/>
      </c>
      <c r="C502" s="40" t="str">
        <f aca="false">IF(INDEX(BookTitle,497)="","",INDEX(BookDivision,497))</f>
        <v/>
      </c>
      <c r="D502" s="40" t="str">
        <f aca="false">IF(INDEX(BookTitle,497)="","",INDEX(BookUnit,497))</f>
        <v/>
      </c>
      <c r="E502" s="40" t="str">
        <f aca="false">IF(INDEX(BookTitle,497)="","",INDEX(BookTitle,497))</f>
        <v/>
      </c>
      <c r="F502" s="40" t="str">
        <f aca="false">IF(INDEX(BookTitle,497)="","",INDEX(BookLevel,497))</f>
        <v/>
      </c>
      <c r="G502" s="40" t="str">
        <f aca="false">IF(INDEX(BookTitle,497)="","",INDEX(BookCategory,497))</f>
        <v/>
      </c>
      <c r="H502" s="40" t="str">
        <f aca="false">IF(INDEX(BookTitle,497)="","",INDEX(BookRank,497))</f>
        <v/>
      </c>
      <c r="I502" s="41" t="str">
        <f aca="false">IF(INDEX(BookTitle,497)="","",INDEX(BookTotal,497))</f>
        <v/>
      </c>
      <c r="J502" s="0" t="str">
        <f aca="false">IF($I502="","",IF(INDEX(BookQ1,497)&gt;0,"Q1",IF(INDEX(BookQ2,497)&gt;0,"Q2",IF(INDEX(BookQ3,497)&gt;0,"Q3",IF(INDEX(BookQ4,497)&gt;0,"Q4","")))))</f>
        <v/>
      </c>
      <c r="K502" s="42" t="str">
        <f aca="false">IF(INDEX(BookTitle,497)="","",INDEX(BookInYear,497))</f>
        <v/>
      </c>
      <c r="L502" s="19"/>
      <c r="M502" s="39"/>
      <c r="N502" s="19"/>
      <c r="O502" s="19"/>
      <c r="P502" s="43" t="str">
        <f aca="false">IF($E502="","",IF($L502="Decline",0,IF($L502="Approve fewer",IF($M502="","",$M502),IF($L502="","",$I502))))</f>
        <v/>
      </c>
      <c r="Q502" s="34" t="str">
        <f aca="false">IF($P502="","",IF($N502&lt;&gt;"",$N502,$J502))</f>
        <v/>
      </c>
      <c r="R502" s="35" t="str">
        <f aca="false">IF(OR($P502="",$Q502=""),"",INDEX(BookRate,497)*$P502*(5-MATCH($Q502,{"Q1";"Q2";"Q3";"Q4"},0))/4+INDEX(BookOneOff,497)*$P502)</f>
        <v/>
      </c>
      <c r="S502" s="35" t="str">
        <f aca="false">IF($P502="","",INDEX(BookRate,497)*$P502)</f>
        <v/>
      </c>
      <c r="T502" s="35" t="str">
        <f aca="false">IF($R502="","",$R502-$K502)</f>
        <v/>
      </c>
      <c r="U502" s="35" t="str">
        <f aca="false">IF(N($P502)&lt;=0,"",COUNTIF($P$6:$P502,"&gt;0"))</f>
        <v/>
      </c>
    </row>
    <row r="503" customFormat="false" ht="15" hidden="false" customHeight="false" outlineLevel="0" collapsed="false">
      <c r="A503" s="40" t="str">
        <f aca="false">IF(INDEX(BookTitle,498)="","",INDEX(BookGroup,498))</f>
        <v/>
      </c>
      <c r="B503" s="40" t="str">
        <f aca="false">IF(INDEX(BookTitle,498)="","",INDEX(BookRef,498))</f>
        <v/>
      </c>
      <c r="C503" s="40" t="str">
        <f aca="false">IF(INDEX(BookTitle,498)="","",INDEX(BookDivision,498))</f>
        <v/>
      </c>
      <c r="D503" s="40" t="str">
        <f aca="false">IF(INDEX(BookTitle,498)="","",INDEX(BookUnit,498))</f>
        <v/>
      </c>
      <c r="E503" s="40" t="str">
        <f aca="false">IF(INDEX(BookTitle,498)="","",INDEX(BookTitle,498))</f>
        <v/>
      </c>
      <c r="F503" s="40" t="str">
        <f aca="false">IF(INDEX(BookTitle,498)="","",INDEX(BookLevel,498))</f>
        <v/>
      </c>
      <c r="G503" s="40" t="str">
        <f aca="false">IF(INDEX(BookTitle,498)="","",INDEX(BookCategory,498))</f>
        <v/>
      </c>
      <c r="H503" s="40" t="str">
        <f aca="false">IF(INDEX(BookTitle,498)="","",INDEX(BookRank,498))</f>
        <v/>
      </c>
      <c r="I503" s="41" t="str">
        <f aca="false">IF(INDEX(BookTitle,498)="","",INDEX(BookTotal,498))</f>
        <v/>
      </c>
      <c r="J503" s="0" t="str">
        <f aca="false">IF($I503="","",IF(INDEX(BookQ1,498)&gt;0,"Q1",IF(INDEX(BookQ2,498)&gt;0,"Q2",IF(INDEX(BookQ3,498)&gt;0,"Q3",IF(INDEX(BookQ4,498)&gt;0,"Q4","")))))</f>
        <v/>
      </c>
      <c r="K503" s="42" t="str">
        <f aca="false">IF(INDEX(BookTitle,498)="","",INDEX(BookInYear,498))</f>
        <v/>
      </c>
      <c r="L503" s="19"/>
      <c r="M503" s="39"/>
      <c r="N503" s="19"/>
      <c r="O503" s="19"/>
      <c r="P503" s="43" t="str">
        <f aca="false">IF($E503="","",IF($L503="Decline",0,IF($L503="Approve fewer",IF($M503="","",$M503),IF($L503="","",$I503))))</f>
        <v/>
      </c>
      <c r="Q503" s="34" t="str">
        <f aca="false">IF($P503="","",IF($N503&lt;&gt;"",$N503,$J503))</f>
        <v/>
      </c>
      <c r="R503" s="35" t="str">
        <f aca="false">IF(OR($P503="",$Q503=""),"",INDEX(BookRate,498)*$P503*(5-MATCH($Q503,{"Q1";"Q2";"Q3";"Q4"},0))/4+INDEX(BookOneOff,498)*$P503)</f>
        <v/>
      </c>
      <c r="S503" s="35" t="str">
        <f aca="false">IF($P503="","",INDEX(BookRate,498)*$P503)</f>
        <v/>
      </c>
      <c r="T503" s="35" t="str">
        <f aca="false">IF($R503="","",$R503-$K503)</f>
        <v/>
      </c>
      <c r="U503" s="35" t="str">
        <f aca="false">IF(N($P503)&lt;=0,"",COUNTIF($P$6:$P503,"&gt;0"))</f>
        <v/>
      </c>
    </row>
    <row r="504" customFormat="false" ht="15" hidden="false" customHeight="false" outlineLevel="0" collapsed="false">
      <c r="A504" s="40" t="str">
        <f aca="false">IF(INDEX(BookTitle,499)="","",INDEX(BookGroup,499))</f>
        <v/>
      </c>
      <c r="B504" s="40" t="str">
        <f aca="false">IF(INDEX(BookTitle,499)="","",INDEX(BookRef,499))</f>
        <v/>
      </c>
      <c r="C504" s="40" t="str">
        <f aca="false">IF(INDEX(BookTitle,499)="","",INDEX(BookDivision,499))</f>
        <v/>
      </c>
      <c r="D504" s="40" t="str">
        <f aca="false">IF(INDEX(BookTitle,499)="","",INDEX(BookUnit,499))</f>
        <v/>
      </c>
      <c r="E504" s="40" t="str">
        <f aca="false">IF(INDEX(BookTitle,499)="","",INDEX(BookTitle,499))</f>
        <v/>
      </c>
      <c r="F504" s="40" t="str">
        <f aca="false">IF(INDEX(BookTitle,499)="","",INDEX(BookLevel,499))</f>
        <v/>
      </c>
      <c r="G504" s="40" t="str">
        <f aca="false">IF(INDEX(BookTitle,499)="","",INDEX(BookCategory,499))</f>
        <v/>
      </c>
      <c r="H504" s="40" t="str">
        <f aca="false">IF(INDEX(BookTitle,499)="","",INDEX(BookRank,499))</f>
        <v/>
      </c>
      <c r="I504" s="41" t="str">
        <f aca="false">IF(INDEX(BookTitle,499)="","",INDEX(BookTotal,499))</f>
        <v/>
      </c>
      <c r="J504" s="0" t="str">
        <f aca="false">IF($I504="","",IF(INDEX(BookQ1,499)&gt;0,"Q1",IF(INDEX(BookQ2,499)&gt;0,"Q2",IF(INDEX(BookQ3,499)&gt;0,"Q3",IF(INDEX(BookQ4,499)&gt;0,"Q4","")))))</f>
        <v/>
      </c>
      <c r="K504" s="42" t="str">
        <f aca="false">IF(INDEX(BookTitle,499)="","",INDEX(BookInYear,499))</f>
        <v/>
      </c>
      <c r="L504" s="19"/>
      <c r="M504" s="39"/>
      <c r="N504" s="19"/>
      <c r="O504" s="19"/>
      <c r="P504" s="43" t="str">
        <f aca="false">IF($E504="","",IF($L504="Decline",0,IF($L504="Approve fewer",IF($M504="","",$M504),IF($L504="","",$I504))))</f>
        <v/>
      </c>
      <c r="Q504" s="34" t="str">
        <f aca="false">IF($P504="","",IF($N504&lt;&gt;"",$N504,$J504))</f>
        <v/>
      </c>
      <c r="R504" s="35" t="str">
        <f aca="false">IF(OR($P504="",$Q504=""),"",INDEX(BookRate,499)*$P504*(5-MATCH($Q504,{"Q1";"Q2";"Q3";"Q4"},0))/4+INDEX(BookOneOff,499)*$P504)</f>
        <v/>
      </c>
      <c r="S504" s="35" t="str">
        <f aca="false">IF($P504="","",INDEX(BookRate,499)*$P504)</f>
        <v/>
      </c>
      <c r="T504" s="35" t="str">
        <f aca="false">IF($R504="","",$R504-$K504)</f>
        <v/>
      </c>
      <c r="U504" s="35" t="str">
        <f aca="false">IF(N($P504)&lt;=0,"",COUNTIF($P$6:$P504,"&gt;0"))</f>
        <v/>
      </c>
    </row>
    <row r="505" customFormat="false" ht="15" hidden="false" customHeight="false" outlineLevel="0" collapsed="false">
      <c r="A505" s="40" t="str">
        <f aca="false">IF(INDEX(BookTitle,500)="","",INDEX(BookGroup,500))</f>
        <v/>
      </c>
      <c r="B505" s="40" t="str">
        <f aca="false">IF(INDEX(BookTitle,500)="","",INDEX(BookRef,500))</f>
        <v/>
      </c>
      <c r="C505" s="40" t="str">
        <f aca="false">IF(INDEX(BookTitle,500)="","",INDEX(BookDivision,500))</f>
        <v/>
      </c>
      <c r="D505" s="40" t="str">
        <f aca="false">IF(INDEX(BookTitle,500)="","",INDEX(BookUnit,500))</f>
        <v/>
      </c>
      <c r="E505" s="40" t="str">
        <f aca="false">IF(INDEX(BookTitle,500)="","",INDEX(BookTitle,500))</f>
        <v/>
      </c>
      <c r="F505" s="40" t="str">
        <f aca="false">IF(INDEX(BookTitle,500)="","",INDEX(BookLevel,500))</f>
        <v/>
      </c>
      <c r="G505" s="40" t="str">
        <f aca="false">IF(INDEX(BookTitle,500)="","",INDEX(BookCategory,500))</f>
        <v/>
      </c>
      <c r="H505" s="40" t="str">
        <f aca="false">IF(INDEX(BookTitle,500)="","",INDEX(BookRank,500))</f>
        <v/>
      </c>
      <c r="I505" s="41" t="str">
        <f aca="false">IF(INDEX(BookTitle,500)="","",INDEX(BookTotal,500))</f>
        <v/>
      </c>
      <c r="J505" s="0" t="str">
        <f aca="false">IF($I505="","",IF(INDEX(BookQ1,500)&gt;0,"Q1",IF(INDEX(BookQ2,500)&gt;0,"Q2",IF(INDEX(BookQ3,500)&gt;0,"Q3",IF(INDEX(BookQ4,500)&gt;0,"Q4","")))))</f>
        <v/>
      </c>
      <c r="K505" s="42" t="str">
        <f aca="false">IF(INDEX(BookTitle,500)="","",INDEX(BookInYear,500))</f>
        <v/>
      </c>
      <c r="L505" s="19"/>
      <c r="M505" s="39"/>
      <c r="N505" s="19"/>
      <c r="O505" s="19"/>
      <c r="P505" s="43" t="str">
        <f aca="false">IF($E505="","",IF($L505="Decline",0,IF($L505="Approve fewer",IF($M505="","",$M505),IF($L505="","",$I505))))</f>
        <v/>
      </c>
      <c r="Q505" s="34" t="str">
        <f aca="false">IF($P505="","",IF($N505&lt;&gt;"",$N505,$J505))</f>
        <v/>
      </c>
      <c r="R505" s="35" t="str">
        <f aca="false">IF(OR($P505="",$Q505=""),"",INDEX(BookRate,500)*$P505*(5-MATCH($Q505,{"Q1";"Q2";"Q3";"Q4"},0))/4+INDEX(BookOneOff,500)*$P505)</f>
        <v/>
      </c>
      <c r="S505" s="35" t="str">
        <f aca="false">IF($P505="","",INDEX(BookRate,500)*$P505)</f>
        <v/>
      </c>
      <c r="T505" s="35" t="str">
        <f aca="false">IF($R505="","",$R505-$K505)</f>
        <v/>
      </c>
      <c r="U505" s="35" t="str">
        <f aca="false">IF(N($P505)&lt;=0,"",COUNTIF($P$6:$P505,"&gt;0"))</f>
        <v/>
      </c>
    </row>
    <row r="506" customFormat="false" ht="15" hidden="false" customHeight="false" outlineLevel="0" collapsed="false">
      <c r="A506" s="40" t="str">
        <f aca="false">IF(INDEX(BookTitle,501)="","",INDEX(BookGroup,501))</f>
        <v/>
      </c>
      <c r="B506" s="40" t="str">
        <f aca="false">IF(INDEX(BookTitle,501)="","",INDEX(BookRef,501))</f>
        <v/>
      </c>
      <c r="C506" s="40" t="str">
        <f aca="false">IF(INDEX(BookTitle,501)="","",INDEX(BookDivision,501))</f>
        <v/>
      </c>
      <c r="D506" s="40" t="str">
        <f aca="false">IF(INDEX(BookTitle,501)="","",INDEX(BookUnit,501))</f>
        <v/>
      </c>
      <c r="E506" s="40" t="str">
        <f aca="false">IF(INDEX(BookTitle,501)="","",INDEX(BookTitle,501))</f>
        <v/>
      </c>
      <c r="F506" s="40" t="str">
        <f aca="false">IF(INDEX(BookTitle,501)="","",INDEX(BookLevel,501))</f>
        <v/>
      </c>
      <c r="G506" s="40" t="str">
        <f aca="false">IF(INDEX(BookTitle,501)="","",INDEX(BookCategory,501))</f>
        <v/>
      </c>
      <c r="H506" s="40" t="str">
        <f aca="false">IF(INDEX(BookTitle,501)="","",INDEX(BookRank,501))</f>
        <v/>
      </c>
      <c r="I506" s="41" t="str">
        <f aca="false">IF(INDEX(BookTitle,501)="","",INDEX(BookTotal,501))</f>
        <v/>
      </c>
      <c r="J506" s="0" t="str">
        <f aca="false">IF($I506="","",IF(INDEX(BookQ1,501)&gt;0,"Q1",IF(INDEX(BookQ2,501)&gt;0,"Q2",IF(INDEX(BookQ3,501)&gt;0,"Q3",IF(INDEX(BookQ4,501)&gt;0,"Q4","")))))</f>
        <v/>
      </c>
      <c r="K506" s="42" t="str">
        <f aca="false">IF(INDEX(BookTitle,501)="","",INDEX(BookInYear,501))</f>
        <v/>
      </c>
      <c r="L506" s="19"/>
      <c r="M506" s="39"/>
      <c r="N506" s="19"/>
      <c r="O506" s="19"/>
      <c r="P506" s="43" t="str">
        <f aca="false">IF($E506="","",IF($L506="Decline",0,IF($L506="Approve fewer",IF($M506="","",$M506),IF($L506="","",$I506))))</f>
        <v/>
      </c>
      <c r="Q506" s="34" t="str">
        <f aca="false">IF($P506="","",IF($N506&lt;&gt;"",$N506,$J506))</f>
        <v/>
      </c>
      <c r="R506" s="35" t="str">
        <f aca="false">IF(OR($P506="",$Q506=""),"",INDEX(BookRate,501)*$P506*(5-MATCH($Q506,{"Q1";"Q2";"Q3";"Q4"},0))/4+INDEX(BookOneOff,501)*$P506)</f>
        <v/>
      </c>
      <c r="S506" s="35" t="str">
        <f aca="false">IF($P506="","",INDEX(BookRate,501)*$P506)</f>
        <v/>
      </c>
      <c r="T506" s="35" t="str">
        <f aca="false">IF($R506="","",$R506-$K506)</f>
        <v/>
      </c>
      <c r="U506" s="35" t="str">
        <f aca="false">IF(N($P506)&lt;=0,"",COUNTIF($P$6:$P506,"&gt;0"))</f>
        <v/>
      </c>
    </row>
    <row r="507" customFormat="false" ht="15" hidden="false" customHeight="false" outlineLevel="0" collapsed="false">
      <c r="A507" s="40" t="str">
        <f aca="false">IF(INDEX(BookTitle,502)="","",INDEX(BookGroup,502))</f>
        <v/>
      </c>
      <c r="B507" s="40" t="str">
        <f aca="false">IF(INDEX(BookTitle,502)="","",INDEX(BookRef,502))</f>
        <v/>
      </c>
      <c r="C507" s="40" t="str">
        <f aca="false">IF(INDEX(BookTitle,502)="","",INDEX(BookDivision,502))</f>
        <v/>
      </c>
      <c r="D507" s="40" t="str">
        <f aca="false">IF(INDEX(BookTitle,502)="","",INDEX(BookUnit,502))</f>
        <v/>
      </c>
      <c r="E507" s="40" t="str">
        <f aca="false">IF(INDEX(BookTitle,502)="","",INDEX(BookTitle,502))</f>
        <v/>
      </c>
      <c r="F507" s="40" t="str">
        <f aca="false">IF(INDEX(BookTitle,502)="","",INDEX(BookLevel,502))</f>
        <v/>
      </c>
      <c r="G507" s="40" t="str">
        <f aca="false">IF(INDEX(BookTitle,502)="","",INDEX(BookCategory,502))</f>
        <v/>
      </c>
      <c r="H507" s="40" t="str">
        <f aca="false">IF(INDEX(BookTitle,502)="","",INDEX(BookRank,502))</f>
        <v/>
      </c>
      <c r="I507" s="41" t="str">
        <f aca="false">IF(INDEX(BookTitle,502)="","",INDEX(BookTotal,502))</f>
        <v/>
      </c>
      <c r="J507" s="0" t="str">
        <f aca="false">IF($I507="","",IF(INDEX(BookQ1,502)&gt;0,"Q1",IF(INDEX(BookQ2,502)&gt;0,"Q2",IF(INDEX(BookQ3,502)&gt;0,"Q3",IF(INDEX(BookQ4,502)&gt;0,"Q4","")))))</f>
        <v/>
      </c>
      <c r="K507" s="42" t="str">
        <f aca="false">IF(INDEX(BookTitle,502)="","",INDEX(BookInYear,502))</f>
        <v/>
      </c>
      <c r="L507" s="19"/>
      <c r="M507" s="39"/>
      <c r="N507" s="19"/>
      <c r="O507" s="19"/>
      <c r="P507" s="43" t="str">
        <f aca="false">IF($E507="","",IF($L507="Decline",0,IF($L507="Approve fewer",IF($M507="","",$M507),IF($L507="","",$I507))))</f>
        <v/>
      </c>
      <c r="Q507" s="34" t="str">
        <f aca="false">IF($P507="","",IF($N507&lt;&gt;"",$N507,$J507))</f>
        <v/>
      </c>
      <c r="R507" s="35" t="str">
        <f aca="false">IF(OR($P507="",$Q507=""),"",INDEX(BookRate,502)*$P507*(5-MATCH($Q507,{"Q1";"Q2";"Q3";"Q4"},0))/4+INDEX(BookOneOff,502)*$P507)</f>
        <v/>
      </c>
      <c r="S507" s="35" t="str">
        <f aca="false">IF($P507="","",INDEX(BookRate,502)*$P507)</f>
        <v/>
      </c>
      <c r="T507" s="35" t="str">
        <f aca="false">IF($R507="","",$R507-$K507)</f>
        <v/>
      </c>
      <c r="U507" s="35" t="str">
        <f aca="false">IF(N($P507)&lt;=0,"",COUNTIF($P$6:$P507,"&gt;0"))</f>
        <v/>
      </c>
    </row>
    <row r="508" customFormat="false" ht="15" hidden="false" customHeight="false" outlineLevel="0" collapsed="false">
      <c r="A508" s="40" t="str">
        <f aca="false">IF(INDEX(BookTitle,503)="","",INDEX(BookGroup,503))</f>
        <v/>
      </c>
      <c r="B508" s="40" t="str">
        <f aca="false">IF(INDEX(BookTitle,503)="","",INDEX(BookRef,503))</f>
        <v/>
      </c>
      <c r="C508" s="40" t="str">
        <f aca="false">IF(INDEX(BookTitle,503)="","",INDEX(BookDivision,503))</f>
        <v/>
      </c>
      <c r="D508" s="40" t="str">
        <f aca="false">IF(INDEX(BookTitle,503)="","",INDEX(BookUnit,503))</f>
        <v/>
      </c>
      <c r="E508" s="40" t="str">
        <f aca="false">IF(INDEX(BookTitle,503)="","",INDEX(BookTitle,503))</f>
        <v/>
      </c>
      <c r="F508" s="40" t="str">
        <f aca="false">IF(INDEX(BookTitle,503)="","",INDEX(BookLevel,503))</f>
        <v/>
      </c>
      <c r="G508" s="40" t="str">
        <f aca="false">IF(INDEX(BookTitle,503)="","",INDEX(BookCategory,503))</f>
        <v/>
      </c>
      <c r="H508" s="40" t="str">
        <f aca="false">IF(INDEX(BookTitle,503)="","",INDEX(BookRank,503))</f>
        <v/>
      </c>
      <c r="I508" s="41" t="str">
        <f aca="false">IF(INDEX(BookTitle,503)="","",INDEX(BookTotal,503))</f>
        <v/>
      </c>
      <c r="J508" s="0" t="str">
        <f aca="false">IF($I508="","",IF(INDEX(BookQ1,503)&gt;0,"Q1",IF(INDEX(BookQ2,503)&gt;0,"Q2",IF(INDEX(BookQ3,503)&gt;0,"Q3",IF(INDEX(BookQ4,503)&gt;0,"Q4","")))))</f>
        <v/>
      </c>
      <c r="K508" s="42" t="str">
        <f aca="false">IF(INDEX(BookTitle,503)="","",INDEX(BookInYear,503))</f>
        <v/>
      </c>
      <c r="L508" s="19"/>
      <c r="M508" s="39"/>
      <c r="N508" s="19"/>
      <c r="O508" s="19"/>
      <c r="P508" s="43" t="str">
        <f aca="false">IF($E508="","",IF($L508="Decline",0,IF($L508="Approve fewer",IF($M508="","",$M508),IF($L508="","",$I508))))</f>
        <v/>
      </c>
      <c r="Q508" s="34" t="str">
        <f aca="false">IF($P508="","",IF($N508&lt;&gt;"",$N508,$J508))</f>
        <v/>
      </c>
      <c r="R508" s="35" t="str">
        <f aca="false">IF(OR($P508="",$Q508=""),"",INDEX(BookRate,503)*$P508*(5-MATCH($Q508,{"Q1";"Q2";"Q3";"Q4"},0))/4+INDEX(BookOneOff,503)*$P508)</f>
        <v/>
      </c>
      <c r="S508" s="35" t="str">
        <f aca="false">IF($P508="","",INDEX(BookRate,503)*$P508)</f>
        <v/>
      </c>
      <c r="T508" s="35" t="str">
        <f aca="false">IF($R508="","",$R508-$K508)</f>
        <v/>
      </c>
      <c r="U508" s="35" t="str">
        <f aca="false">IF(N($P508)&lt;=0,"",COUNTIF($P$6:$P508,"&gt;0"))</f>
        <v/>
      </c>
    </row>
    <row r="509" customFormat="false" ht="15" hidden="false" customHeight="false" outlineLevel="0" collapsed="false">
      <c r="A509" s="40" t="str">
        <f aca="false">IF(INDEX(BookTitle,504)="","",INDEX(BookGroup,504))</f>
        <v/>
      </c>
      <c r="B509" s="40" t="str">
        <f aca="false">IF(INDEX(BookTitle,504)="","",INDEX(BookRef,504))</f>
        <v/>
      </c>
      <c r="C509" s="40" t="str">
        <f aca="false">IF(INDEX(BookTitle,504)="","",INDEX(BookDivision,504))</f>
        <v/>
      </c>
      <c r="D509" s="40" t="str">
        <f aca="false">IF(INDEX(BookTitle,504)="","",INDEX(BookUnit,504))</f>
        <v/>
      </c>
      <c r="E509" s="40" t="str">
        <f aca="false">IF(INDEX(BookTitle,504)="","",INDEX(BookTitle,504))</f>
        <v/>
      </c>
      <c r="F509" s="40" t="str">
        <f aca="false">IF(INDEX(BookTitle,504)="","",INDEX(BookLevel,504))</f>
        <v/>
      </c>
      <c r="G509" s="40" t="str">
        <f aca="false">IF(INDEX(BookTitle,504)="","",INDEX(BookCategory,504))</f>
        <v/>
      </c>
      <c r="H509" s="40" t="str">
        <f aca="false">IF(INDEX(BookTitle,504)="","",INDEX(BookRank,504))</f>
        <v/>
      </c>
      <c r="I509" s="41" t="str">
        <f aca="false">IF(INDEX(BookTitle,504)="","",INDEX(BookTotal,504))</f>
        <v/>
      </c>
      <c r="J509" s="0" t="str">
        <f aca="false">IF($I509="","",IF(INDEX(BookQ1,504)&gt;0,"Q1",IF(INDEX(BookQ2,504)&gt;0,"Q2",IF(INDEX(BookQ3,504)&gt;0,"Q3",IF(INDEX(BookQ4,504)&gt;0,"Q4","")))))</f>
        <v/>
      </c>
      <c r="K509" s="42" t="str">
        <f aca="false">IF(INDEX(BookTitle,504)="","",INDEX(BookInYear,504))</f>
        <v/>
      </c>
      <c r="L509" s="19"/>
      <c r="M509" s="39"/>
      <c r="N509" s="19"/>
      <c r="O509" s="19"/>
      <c r="P509" s="43" t="str">
        <f aca="false">IF($E509="","",IF($L509="Decline",0,IF($L509="Approve fewer",IF($M509="","",$M509),IF($L509="","",$I509))))</f>
        <v/>
      </c>
      <c r="Q509" s="34" t="str">
        <f aca="false">IF($P509="","",IF($N509&lt;&gt;"",$N509,$J509))</f>
        <v/>
      </c>
      <c r="R509" s="35" t="str">
        <f aca="false">IF(OR($P509="",$Q509=""),"",INDEX(BookRate,504)*$P509*(5-MATCH($Q509,{"Q1";"Q2";"Q3";"Q4"},0))/4+INDEX(BookOneOff,504)*$P509)</f>
        <v/>
      </c>
      <c r="S509" s="35" t="str">
        <f aca="false">IF($P509="","",INDEX(BookRate,504)*$P509)</f>
        <v/>
      </c>
      <c r="T509" s="35" t="str">
        <f aca="false">IF($R509="","",$R509-$K509)</f>
        <v/>
      </c>
      <c r="U509" s="35" t="str">
        <f aca="false">IF(N($P509)&lt;=0,"",COUNTIF($P$6:$P509,"&gt;0"))</f>
        <v/>
      </c>
    </row>
    <row r="510" customFormat="false" ht="15" hidden="false" customHeight="false" outlineLevel="0" collapsed="false">
      <c r="A510" s="40" t="str">
        <f aca="false">IF(INDEX(BookTitle,505)="","",INDEX(BookGroup,505))</f>
        <v/>
      </c>
      <c r="B510" s="40" t="str">
        <f aca="false">IF(INDEX(BookTitle,505)="","",INDEX(BookRef,505))</f>
        <v/>
      </c>
      <c r="C510" s="40" t="str">
        <f aca="false">IF(INDEX(BookTitle,505)="","",INDEX(BookDivision,505))</f>
        <v/>
      </c>
      <c r="D510" s="40" t="str">
        <f aca="false">IF(INDEX(BookTitle,505)="","",INDEX(BookUnit,505))</f>
        <v/>
      </c>
      <c r="E510" s="40" t="str">
        <f aca="false">IF(INDEX(BookTitle,505)="","",INDEX(BookTitle,505))</f>
        <v/>
      </c>
      <c r="F510" s="40" t="str">
        <f aca="false">IF(INDEX(BookTitle,505)="","",INDEX(BookLevel,505))</f>
        <v/>
      </c>
      <c r="G510" s="40" t="str">
        <f aca="false">IF(INDEX(BookTitle,505)="","",INDEX(BookCategory,505))</f>
        <v/>
      </c>
      <c r="H510" s="40" t="str">
        <f aca="false">IF(INDEX(BookTitle,505)="","",INDEX(BookRank,505))</f>
        <v/>
      </c>
      <c r="I510" s="41" t="str">
        <f aca="false">IF(INDEX(BookTitle,505)="","",INDEX(BookTotal,505))</f>
        <v/>
      </c>
      <c r="J510" s="0" t="str">
        <f aca="false">IF($I510="","",IF(INDEX(BookQ1,505)&gt;0,"Q1",IF(INDEX(BookQ2,505)&gt;0,"Q2",IF(INDEX(BookQ3,505)&gt;0,"Q3",IF(INDEX(BookQ4,505)&gt;0,"Q4","")))))</f>
        <v/>
      </c>
      <c r="K510" s="42" t="str">
        <f aca="false">IF(INDEX(BookTitle,505)="","",INDEX(BookInYear,505))</f>
        <v/>
      </c>
      <c r="L510" s="19"/>
      <c r="M510" s="39"/>
      <c r="N510" s="19"/>
      <c r="O510" s="19"/>
      <c r="P510" s="43" t="str">
        <f aca="false">IF($E510="","",IF($L510="Decline",0,IF($L510="Approve fewer",IF($M510="","",$M510),IF($L510="","",$I510))))</f>
        <v/>
      </c>
      <c r="Q510" s="34" t="str">
        <f aca="false">IF($P510="","",IF($N510&lt;&gt;"",$N510,$J510))</f>
        <v/>
      </c>
      <c r="R510" s="35" t="str">
        <f aca="false">IF(OR($P510="",$Q510=""),"",INDEX(BookRate,505)*$P510*(5-MATCH($Q510,{"Q1";"Q2";"Q3";"Q4"},0))/4+INDEX(BookOneOff,505)*$P510)</f>
        <v/>
      </c>
      <c r="S510" s="35" t="str">
        <f aca="false">IF($P510="","",INDEX(BookRate,505)*$P510)</f>
        <v/>
      </c>
      <c r="T510" s="35" t="str">
        <f aca="false">IF($R510="","",$R510-$K510)</f>
        <v/>
      </c>
      <c r="U510" s="35" t="str">
        <f aca="false">IF(N($P510)&lt;=0,"",COUNTIF($P$6:$P510,"&gt;0"))</f>
        <v/>
      </c>
    </row>
    <row r="511" customFormat="false" ht="15" hidden="false" customHeight="false" outlineLevel="0" collapsed="false">
      <c r="A511" s="40" t="str">
        <f aca="false">IF(INDEX(BookTitle,506)="","",INDEX(BookGroup,506))</f>
        <v/>
      </c>
      <c r="B511" s="40" t="str">
        <f aca="false">IF(INDEX(BookTitle,506)="","",INDEX(BookRef,506))</f>
        <v/>
      </c>
      <c r="C511" s="40" t="str">
        <f aca="false">IF(INDEX(BookTitle,506)="","",INDEX(BookDivision,506))</f>
        <v/>
      </c>
      <c r="D511" s="40" t="str">
        <f aca="false">IF(INDEX(BookTitle,506)="","",INDEX(BookUnit,506))</f>
        <v/>
      </c>
      <c r="E511" s="40" t="str">
        <f aca="false">IF(INDEX(BookTitle,506)="","",INDEX(BookTitle,506))</f>
        <v/>
      </c>
      <c r="F511" s="40" t="str">
        <f aca="false">IF(INDEX(BookTitle,506)="","",INDEX(BookLevel,506))</f>
        <v/>
      </c>
      <c r="G511" s="40" t="str">
        <f aca="false">IF(INDEX(BookTitle,506)="","",INDEX(BookCategory,506))</f>
        <v/>
      </c>
      <c r="H511" s="40" t="str">
        <f aca="false">IF(INDEX(BookTitle,506)="","",INDEX(BookRank,506))</f>
        <v/>
      </c>
      <c r="I511" s="41" t="str">
        <f aca="false">IF(INDEX(BookTitle,506)="","",INDEX(BookTotal,506))</f>
        <v/>
      </c>
      <c r="J511" s="0" t="str">
        <f aca="false">IF($I511="","",IF(INDEX(BookQ1,506)&gt;0,"Q1",IF(INDEX(BookQ2,506)&gt;0,"Q2",IF(INDEX(BookQ3,506)&gt;0,"Q3",IF(INDEX(BookQ4,506)&gt;0,"Q4","")))))</f>
        <v/>
      </c>
      <c r="K511" s="42" t="str">
        <f aca="false">IF(INDEX(BookTitle,506)="","",INDEX(BookInYear,506))</f>
        <v/>
      </c>
      <c r="L511" s="19"/>
      <c r="M511" s="39"/>
      <c r="N511" s="19"/>
      <c r="O511" s="19"/>
      <c r="P511" s="43" t="str">
        <f aca="false">IF($E511="","",IF($L511="Decline",0,IF($L511="Approve fewer",IF($M511="","",$M511),IF($L511="","",$I511))))</f>
        <v/>
      </c>
      <c r="Q511" s="34" t="str">
        <f aca="false">IF($P511="","",IF($N511&lt;&gt;"",$N511,$J511))</f>
        <v/>
      </c>
      <c r="R511" s="35" t="str">
        <f aca="false">IF(OR($P511="",$Q511=""),"",INDEX(BookRate,506)*$P511*(5-MATCH($Q511,{"Q1";"Q2";"Q3";"Q4"},0))/4+INDEX(BookOneOff,506)*$P511)</f>
        <v/>
      </c>
      <c r="S511" s="35" t="str">
        <f aca="false">IF($P511="","",INDEX(BookRate,506)*$P511)</f>
        <v/>
      </c>
      <c r="T511" s="35" t="str">
        <f aca="false">IF($R511="","",$R511-$K511)</f>
        <v/>
      </c>
      <c r="U511" s="35" t="str">
        <f aca="false">IF(N($P511)&lt;=0,"",COUNTIF($P$6:$P511,"&gt;0"))</f>
        <v/>
      </c>
    </row>
    <row r="512" customFormat="false" ht="15" hidden="false" customHeight="false" outlineLevel="0" collapsed="false">
      <c r="A512" s="40" t="str">
        <f aca="false">IF(INDEX(BookTitle,507)="","",INDEX(BookGroup,507))</f>
        <v/>
      </c>
      <c r="B512" s="40" t="str">
        <f aca="false">IF(INDEX(BookTitle,507)="","",INDEX(BookRef,507))</f>
        <v/>
      </c>
      <c r="C512" s="40" t="str">
        <f aca="false">IF(INDEX(BookTitle,507)="","",INDEX(BookDivision,507))</f>
        <v/>
      </c>
      <c r="D512" s="40" t="str">
        <f aca="false">IF(INDEX(BookTitle,507)="","",INDEX(BookUnit,507))</f>
        <v/>
      </c>
      <c r="E512" s="40" t="str">
        <f aca="false">IF(INDEX(BookTitle,507)="","",INDEX(BookTitle,507))</f>
        <v/>
      </c>
      <c r="F512" s="40" t="str">
        <f aca="false">IF(INDEX(BookTitle,507)="","",INDEX(BookLevel,507))</f>
        <v/>
      </c>
      <c r="G512" s="40" t="str">
        <f aca="false">IF(INDEX(BookTitle,507)="","",INDEX(BookCategory,507))</f>
        <v/>
      </c>
      <c r="H512" s="40" t="str">
        <f aca="false">IF(INDEX(BookTitle,507)="","",INDEX(BookRank,507))</f>
        <v/>
      </c>
      <c r="I512" s="41" t="str">
        <f aca="false">IF(INDEX(BookTitle,507)="","",INDEX(BookTotal,507))</f>
        <v/>
      </c>
      <c r="J512" s="0" t="str">
        <f aca="false">IF($I512="","",IF(INDEX(BookQ1,507)&gt;0,"Q1",IF(INDEX(BookQ2,507)&gt;0,"Q2",IF(INDEX(BookQ3,507)&gt;0,"Q3",IF(INDEX(BookQ4,507)&gt;0,"Q4","")))))</f>
        <v/>
      </c>
      <c r="K512" s="42" t="str">
        <f aca="false">IF(INDEX(BookTitle,507)="","",INDEX(BookInYear,507))</f>
        <v/>
      </c>
      <c r="L512" s="19"/>
      <c r="M512" s="39"/>
      <c r="N512" s="19"/>
      <c r="O512" s="19"/>
      <c r="P512" s="43" t="str">
        <f aca="false">IF($E512="","",IF($L512="Decline",0,IF($L512="Approve fewer",IF($M512="","",$M512),IF($L512="","",$I512))))</f>
        <v/>
      </c>
      <c r="Q512" s="34" t="str">
        <f aca="false">IF($P512="","",IF($N512&lt;&gt;"",$N512,$J512))</f>
        <v/>
      </c>
      <c r="R512" s="35" t="str">
        <f aca="false">IF(OR($P512="",$Q512=""),"",INDEX(BookRate,507)*$P512*(5-MATCH($Q512,{"Q1";"Q2";"Q3";"Q4"},0))/4+INDEX(BookOneOff,507)*$P512)</f>
        <v/>
      </c>
      <c r="S512" s="35" t="str">
        <f aca="false">IF($P512="","",INDEX(BookRate,507)*$P512)</f>
        <v/>
      </c>
      <c r="T512" s="35" t="str">
        <f aca="false">IF($R512="","",$R512-$K512)</f>
        <v/>
      </c>
      <c r="U512" s="35" t="str">
        <f aca="false">IF(N($P512)&lt;=0,"",COUNTIF($P$6:$P512,"&gt;0"))</f>
        <v/>
      </c>
    </row>
    <row r="513" customFormat="false" ht="15" hidden="false" customHeight="false" outlineLevel="0" collapsed="false">
      <c r="A513" s="40" t="str">
        <f aca="false">IF(INDEX(BookTitle,508)="","",INDEX(BookGroup,508))</f>
        <v/>
      </c>
      <c r="B513" s="40" t="str">
        <f aca="false">IF(INDEX(BookTitle,508)="","",INDEX(BookRef,508))</f>
        <v/>
      </c>
      <c r="C513" s="40" t="str">
        <f aca="false">IF(INDEX(BookTitle,508)="","",INDEX(BookDivision,508))</f>
        <v/>
      </c>
      <c r="D513" s="40" t="str">
        <f aca="false">IF(INDEX(BookTitle,508)="","",INDEX(BookUnit,508))</f>
        <v/>
      </c>
      <c r="E513" s="40" t="str">
        <f aca="false">IF(INDEX(BookTitle,508)="","",INDEX(BookTitle,508))</f>
        <v/>
      </c>
      <c r="F513" s="40" t="str">
        <f aca="false">IF(INDEX(BookTitle,508)="","",INDEX(BookLevel,508))</f>
        <v/>
      </c>
      <c r="G513" s="40" t="str">
        <f aca="false">IF(INDEX(BookTitle,508)="","",INDEX(BookCategory,508))</f>
        <v/>
      </c>
      <c r="H513" s="40" t="str">
        <f aca="false">IF(INDEX(BookTitle,508)="","",INDEX(BookRank,508))</f>
        <v/>
      </c>
      <c r="I513" s="41" t="str">
        <f aca="false">IF(INDEX(BookTitle,508)="","",INDEX(BookTotal,508))</f>
        <v/>
      </c>
      <c r="J513" s="0" t="str">
        <f aca="false">IF($I513="","",IF(INDEX(BookQ1,508)&gt;0,"Q1",IF(INDEX(BookQ2,508)&gt;0,"Q2",IF(INDEX(BookQ3,508)&gt;0,"Q3",IF(INDEX(BookQ4,508)&gt;0,"Q4","")))))</f>
        <v/>
      </c>
      <c r="K513" s="42" t="str">
        <f aca="false">IF(INDEX(BookTitle,508)="","",INDEX(BookInYear,508))</f>
        <v/>
      </c>
      <c r="L513" s="19"/>
      <c r="M513" s="39"/>
      <c r="N513" s="19"/>
      <c r="O513" s="19"/>
      <c r="P513" s="43" t="str">
        <f aca="false">IF($E513="","",IF($L513="Decline",0,IF($L513="Approve fewer",IF($M513="","",$M513),IF($L513="","",$I513))))</f>
        <v/>
      </c>
      <c r="Q513" s="34" t="str">
        <f aca="false">IF($P513="","",IF($N513&lt;&gt;"",$N513,$J513))</f>
        <v/>
      </c>
      <c r="R513" s="35" t="str">
        <f aca="false">IF(OR($P513="",$Q513=""),"",INDEX(BookRate,508)*$P513*(5-MATCH($Q513,{"Q1";"Q2";"Q3";"Q4"},0))/4+INDEX(BookOneOff,508)*$P513)</f>
        <v/>
      </c>
      <c r="S513" s="35" t="str">
        <f aca="false">IF($P513="","",INDEX(BookRate,508)*$P513)</f>
        <v/>
      </c>
      <c r="T513" s="35" t="str">
        <f aca="false">IF($R513="","",$R513-$K513)</f>
        <v/>
      </c>
      <c r="U513" s="35" t="str">
        <f aca="false">IF(N($P513)&lt;=0,"",COUNTIF($P$6:$P513,"&gt;0"))</f>
        <v/>
      </c>
    </row>
    <row r="514" customFormat="false" ht="15" hidden="false" customHeight="false" outlineLevel="0" collapsed="false">
      <c r="A514" s="40" t="str">
        <f aca="false">IF(INDEX(BookTitle,509)="","",INDEX(BookGroup,509))</f>
        <v/>
      </c>
      <c r="B514" s="40" t="str">
        <f aca="false">IF(INDEX(BookTitle,509)="","",INDEX(BookRef,509))</f>
        <v/>
      </c>
      <c r="C514" s="40" t="str">
        <f aca="false">IF(INDEX(BookTitle,509)="","",INDEX(BookDivision,509))</f>
        <v/>
      </c>
      <c r="D514" s="40" t="str">
        <f aca="false">IF(INDEX(BookTitle,509)="","",INDEX(BookUnit,509))</f>
        <v/>
      </c>
      <c r="E514" s="40" t="str">
        <f aca="false">IF(INDEX(BookTitle,509)="","",INDEX(BookTitle,509))</f>
        <v/>
      </c>
      <c r="F514" s="40" t="str">
        <f aca="false">IF(INDEX(BookTitle,509)="","",INDEX(BookLevel,509))</f>
        <v/>
      </c>
      <c r="G514" s="40" t="str">
        <f aca="false">IF(INDEX(BookTitle,509)="","",INDEX(BookCategory,509))</f>
        <v/>
      </c>
      <c r="H514" s="40" t="str">
        <f aca="false">IF(INDEX(BookTitle,509)="","",INDEX(BookRank,509))</f>
        <v/>
      </c>
      <c r="I514" s="41" t="str">
        <f aca="false">IF(INDEX(BookTitle,509)="","",INDEX(BookTotal,509))</f>
        <v/>
      </c>
      <c r="J514" s="0" t="str">
        <f aca="false">IF($I514="","",IF(INDEX(BookQ1,509)&gt;0,"Q1",IF(INDEX(BookQ2,509)&gt;0,"Q2",IF(INDEX(BookQ3,509)&gt;0,"Q3",IF(INDEX(BookQ4,509)&gt;0,"Q4","")))))</f>
        <v/>
      </c>
      <c r="K514" s="42" t="str">
        <f aca="false">IF(INDEX(BookTitle,509)="","",INDEX(BookInYear,509))</f>
        <v/>
      </c>
      <c r="L514" s="19"/>
      <c r="M514" s="39"/>
      <c r="N514" s="19"/>
      <c r="O514" s="19"/>
      <c r="P514" s="43" t="str">
        <f aca="false">IF($E514="","",IF($L514="Decline",0,IF($L514="Approve fewer",IF($M514="","",$M514),IF($L514="","",$I514))))</f>
        <v/>
      </c>
      <c r="Q514" s="34" t="str">
        <f aca="false">IF($P514="","",IF($N514&lt;&gt;"",$N514,$J514))</f>
        <v/>
      </c>
      <c r="R514" s="35" t="str">
        <f aca="false">IF(OR($P514="",$Q514=""),"",INDEX(BookRate,509)*$P514*(5-MATCH($Q514,{"Q1";"Q2";"Q3";"Q4"},0))/4+INDEX(BookOneOff,509)*$P514)</f>
        <v/>
      </c>
      <c r="S514" s="35" t="str">
        <f aca="false">IF($P514="","",INDEX(BookRate,509)*$P514)</f>
        <v/>
      </c>
      <c r="T514" s="35" t="str">
        <f aca="false">IF($R514="","",$R514-$K514)</f>
        <v/>
      </c>
      <c r="U514" s="35" t="str">
        <f aca="false">IF(N($P514)&lt;=0,"",COUNTIF($P$6:$P514,"&gt;0"))</f>
        <v/>
      </c>
    </row>
    <row r="515" customFormat="false" ht="15" hidden="false" customHeight="false" outlineLevel="0" collapsed="false">
      <c r="A515" s="40" t="str">
        <f aca="false">IF(INDEX(BookTitle,510)="","",INDEX(BookGroup,510))</f>
        <v/>
      </c>
      <c r="B515" s="40" t="str">
        <f aca="false">IF(INDEX(BookTitle,510)="","",INDEX(BookRef,510))</f>
        <v/>
      </c>
      <c r="C515" s="40" t="str">
        <f aca="false">IF(INDEX(BookTitle,510)="","",INDEX(BookDivision,510))</f>
        <v/>
      </c>
      <c r="D515" s="40" t="str">
        <f aca="false">IF(INDEX(BookTitle,510)="","",INDEX(BookUnit,510))</f>
        <v/>
      </c>
      <c r="E515" s="40" t="str">
        <f aca="false">IF(INDEX(BookTitle,510)="","",INDEX(BookTitle,510))</f>
        <v/>
      </c>
      <c r="F515" s="40" t="str">
        <f aca="false">IF(INDEX(BookTitle,510)="","",INDEX(BookLevel,510))</f>
        <v/>
      </c>
      <c r="G515" s="40" t="str">
        <f aca="false">IF(INDEX(BookTitle,510)="","",INDEX(BookCategory,510))</f>
        <v/>
      </c>
      <c r="H515" s="40" t="str">
        <f aca="false">IF(INDEX(BookTitle,510)="","",INDEX(BookRank,510))</f>
        <v/>
      </c>
      <c r="I515" s="41" t="str">
        <f aca="false">IF(INDEX(BookTitle,510)="","",INDEX(BookTotal,510))</f>
        <v/>
      </c>
      <c r="J515" s="0" t="str">
        <f aca="false">IF($I515="","",IF(INDEX(BookQ1,510)&gt;0,"Q1",IF(INDEX(BookQ2,510)&gt;0,"Q2",IF(INDEX(BookQ3,510)&gt;0,"Q3",IF(INDEX(BookQ4,510)&gt;0,"Q4","")))))</f>
        <v/>
      </c>
      <c r="K515" s="42" t="str">
        <f aca="false">IF(INDEX(BookTitle,510)="","",INDEX(BookInYear,510))</f>
        <v/>
      </c>
      <c r="L515" s="19"/>
      <c r="M515" s="39"/>
      <c r="N515" s="19"/>
      <c r="O515" s="19"/>
      <c r="P515" s="43" t="str">
        <f aca="false">IF($E515="","",IF($L515="Decline",0,IF($L515="Approve fewer",IF($M515="","",$M515),IF($L515="","",$I515))))</f>
        <v/>
      </c>
      <c r="Q515" s="34" t="str">
        <f aca="false">IF($P515="","",IF($N515&lt;&gt;"",$N515,$J515))</f>
        <v/>
      </c>
      <c r="R515" s="35" t="str">
        <f aca="false">IF(OR($P515="",$Q515=""),"",INDEX(BookRate,510)*$P515*(5-MATCH($Q515,{"Q1";"Q2";"Q3";"Q4"},0))/4+INDEX(BookOneOff,510)*$P515)</f>
        <v/>
      </c>
      <c r="S515" s="35" t="str">
        <f aca="false">IF($P515="","",INDEX(BookRate,510)*$P515)</f>
        <v/>
      </c>
      <c r="T515" s="35" t="str">
        <f aca="false">IF($R515="","",$R515-$K515)</f>
        <v/>
      </c>
      <c r="U515" s="35" t="str">
        <f aca="false">IF(N($P515)&lt;=0,"",COUNTIF($P$6:$P515,"&gt;0"))</f>
        <v/>
      </c>
    </row>
    <row r="516" customFormat="false" ht="15" hidden="false" customHeight="false" outlineLevel="0" collapsed="false">
      <c r="A516" s="40" t="str">
        <f aca="false">IF(INDEX(BookTitle,511)="","",INDEX(BookGroup,511))</f>
        <v/>
      </c>
      <c r="B516" s="40" t="str">
        <f aca="false">IF(INDEX(BookTitle,511)="","",INDEX(BookRef,511))</f>
        <v/>
      </c>
      <c r="C516" s="40" t="str">
        <f aca="false">IF(INDEX(BookTitle,511)="","",INDEX(BookDivision,511))</f>
        <v/>
      </c>
      <c r="D516" s="40" t="str">
        <f aca="false">IF(INDEX(BookTitle,511)="","",INDEX(BookUnit,511))</f>
        <v/>
      </c>
      <c r="E516" s="40" t="str">
        <f aca="false">IF(INDEX(BookTitle,511)="","",INDEX(BookTitle,511))</f>
        <v/>
      </c>
      <c r="F516" s="40" t="str">
        <f aca="false">IF(INDEX(BookTitle,511)="","",INDEX(BookLevel,511))</f>
        <v/>
      </c>
      <c r="G516" s="40" t="str">
        <f aca="false">IF(INDEX(BookTitle,511)="","",INDEX(BookCategory,511))</f>
        <v/>
      </c>
      <c r="H516" s="40" t="str">
        <f aca="false">IF(INDEX(BookTitle,511)="","",INDEX(BookRank,511))</f>
        <v/>
      </c>
      <c r="I516" s="41" t="str">
        <f aca="false">IF(INDEX(BookTitle,511)="","",INDEX(BookTotal,511))</f>
        <v/>
      </c>
      <c r="J516" s="0" t="str">
        <f aca="false">IF($I516="","",IF(INDEX(BookQ1,511)&gt;0,"Q1",IF(INDEX(BookQ2,511)&gt;0,"Q2",IF(INDEX(BookQ3,511)&gt;0,"Q3",IF(INDEX(BookQ4,511)&gt;0,"Q4","")))))</f>
        <v/>
      </c>
      <c r="K516" s="42" t="str">
        <f aca="false">IF(INDEX(BookTitle,511)="","",INDEX(BookInYear,511))</f>
        <v/>
      </c>
      <c r="L516" s="19"/>
      <c r="M516" s="39"/>
      <c r="N516" s="19"/>
      <c r="O516" s="19"/>
      <c r="P516" s="43" t="str">
        <f aca="false">IF($E516="","",IF($L516="Decline",0,IF($L516="Approve fewer",IF($M516="","",$M516),IF($L516="","",$I516))))</f>
        <v/>
      </c>
      <c r="Q516" s="34" t="str">
        <f aca="false">IF($P516="","",IF($N516&lt;&gt;"",$N516,$J516))</f>
        <v/>
      </c>
      <c r="R516" s="35" t="str">
        <f aca="false">IF(OR($P516="",$Q516=""),"",INDEX(BookRate,511)*$P516*(5-MATCH($Q516,{"Q1";"Q2";"Q3";"Q4"},0))/4+INDEX(BookOneOff,511)*$P516)</f>
        <v/>
      </c>
      <c r="S516" s="35" t="str">
        <f aca="false">IF($P516="","",INDEX(BookRate,511)*$P516)</f>
        <v/>
      </c>
      <c r="T516" s="35" t="str">
        <f aca="false">IF($R516="","",$R516-$K516)</f>
        <v/>
      </c>
      <c r="U516" s="35" t="str">
        <f aca="false">IF(N($P516)&lt;=0,"",COUNTIF($P$6:$P516,"&gt;0"))</f>
        <v/>
      </c>
    </row>
    <row r="517" customFormat="false" ht="15" hidden="false" customHeight="false" outlineLevel="0" collapsed="false">
      <c r="A517" s="40" t="str">
        <f aca="false">IF(INDEX(BookTitle,512)="","",INDEX(BookGroup,512))</f>
        <v/>
      </c>
      <c r="B517" s="40" t="str">
        <f aca="false">IF(INDEX(BookTitle,512)="","",INDEX(BookRef,512))</f>
        <v/>
      </c>
      <c r="C517" s="40" t="str">
        <f aca="false">IF(INDEX(BookTitle,512)="","",INDEX(BookDivision,512))</f>
        <v/>
      </c>
      <c r="D517" s="40" t="str">
        <f aca="false">IF(INDEX(BookTitle,512)="","",INDEX(BookUnit,512))</f>
        <v/>
      </c>
      <c r="E517" s="40" t="str">
        <f aca="false">IF(INDEX(BookTitle,512)="","",INDEX(BookTitle,512))</f>
        <v/>
      </c>
      <c r="F517" s="40" t="str">
        <f aca="false">IF(INDEX(BookTitle,512)="","",INDEX(BookLevel,512))</f>
        <v/>
      </c>
      <c r="G517" s="40" t="str">
        <f aca="false">IF(INDEX(BookTitle,512)="","",INDEX(BookCategory,512))</f>
        <v/>
      </c>
      <c r="H517" s="40" t="str">
        <f aca="false">IF(INDEX(BookTitle,512)="","",INDEX(BookRank,512))</f>
        <v/>
      </c>
      <c r="I517" s="41" t="str">
        <f aca="false">IF(INDEX(BookTitle,512)="","",INDEX(BookTotal,512))</f>
        <v/>
      </c>
      <c r="J517" s="0" t="str">
        <f aca="false">IF($I517="","",IF(INDEX(BookQ1,512)&gt;0,"Q1",IF(INDEX(BookQ2,512)&gt;0,"Q2",IF(INDEX(BookQ3,512)&gt;0,"Q3",IF(INDEX(BookQ4,512)&gt;0,"Q4","")))))</f>
        <v/>
      </c>
      <c r="K517" s="42" t="str">
        <f aca="false">IF(INDEX(BookTitle,512)="","",INDEX(BookInYear,512))</f>
        <v/>
      </c>
      <c r="L517" s="19"/>
      <c r="M517" s="39"/>
      <c r="N517" s="19"/>
      <c r="O517" s="19"/>
      <c r="P517" s="43" t="str">
        <f aca="false">IF($E517="","",IF($L517="Decline",0,IF($L517="Approve fewer",IF($M517="","",$M517),IF($L517="","",$I517))))</f>
        <v/>
      </c>
      <c r="Q517" s="34" t="str">
        <f aca="false">IF($P517="","",IF($N517&lt;&gt;"",$N517,$J517))</f>
        <v/>
      </c>
      <c r="R517" s="35" t="str">
        <f aca="false">IF(OR($P517="",$Q517=""),"",INDEX(BookRate,512)*$P517*(5-MATCH($Q517,{"Q1";"Q2";"Q3";"Q4"},0))/4+INDEX(BookOneOff,512)*$P517)</f>
        <v/>
      </c>
      <c r="S517" s="35" t="str">
        <f aca="false">IF($P517="","",INDEX(BookRate,512)*$P517)</f>
        <v/>
      </c>
      <c r="T517" s="35" t="str">
        <f aca="false">IF($R517="","",$R517-$K517)</f>
        <v/>
      </c>
      <c r="U517" s="35" t="str">
        <f aca="false">IF(N($P517)&lt;=0,"",COUNTIF($P$6:$P517,"&gt;0"))</f>
        <v/>
      </c>
    </row>
    <row r="518" customFormat="false" ht="15" hidden="false" customHeight="false" outlineLevel="0" collapsed="false">
      <c r="A518" s="40" t="str">
        <f aca="false">IF(INDEX(BookTitle,513)="","",INDEX(BookGroup,513))</f>
        <v/>
      </c>
      <c r="B518" s="40" t="str">
        <f aca="false">IF(INDEX(BookTitle,513)="","",INDEX(BookRef,513))</f>
        <v/>
      </c>
      <c r="C518" s="40" t="str">
        <f aca="false">IF(INDEX(BookTitle,513)="","",INDEX(BookDivision,513))</f>
        <v/>
      </c>
      <c r="D518" s="40" t="str">
        <f aca="false">IF(INDEX(BookTitle,513)="","",INDEX(BookUnit,513))</f>
        <v/>
      </c>
      <c r="E518" s="40" t="str">
        <f aca="false">IF(INDEX(BookTitle,513)="","",INDEX(BookTitle,513))</f>
        <v/>
      </c>
      <c r="F518" s="40" t="str">
        <f aca="false">IF(INDEX(BookTitle,513)="","",INDEX(BookLevel,513))</f>
        <v/>
      </c>
      <c r="G518" s="40" t="str">
        <f aca="false">IF(INDEX(BookTitle,513)="","",INDEX(BookCategory,513))</f>
        <v/>
      </c>
      <c r="H518" s="40" t="str">
        <f aca="false">IF(INDEX(BookTitle,513)="","",INDEX(BookRank,513))</f>
        <v/>
      </c>
      <c r="I518" s="41" t="str">
        <f aca="false">IF(INDEX(BookTitle,513)="","",INDEX(BookTotal,513))</f>
        <v/>
      </c>
      <c r="J518" s="0" t="str">
        <f aca="false">IF($I518="","",IF(INDEX(BookQ1,513)&gt;0,"Q1",IF(INDEX(BookQ2,513)&gt;0,"Q2",IF(INDEX(BookQ3,513)&gt;0,"Q3",IF(INDEX(BookQ4,513)&gt;0,"Q4","")))))</f>
        <v/>
      </c>
      <c r="K518" s="42" t="str">
        <f aca="false">IF(INDEX(BookTitle,513)="","",INDEX(BookInYear,513))</f>
        <v/>
      </c>
      <c r="L518" s="19"/>
      <c r="M518" s="39"/>
      <c r="N518" s="19"/>
      <c r="O518" s="19"/>
      <c r="P518" s="43" t="str">
        <f aca="false">IF($E518="","",IF($L518="Decline",0,IF($L518="Approve fewer",IF($M518="","",$M518),IF($L518="","",$I518))))</f>
        <v/>
      </c>
      <c r="Q518" s="34" t="str">
        <f aca="false">IF($P518="","",IF($N518&lt;&gt;"",$N518,$J518))</f>
        <v/>
      </c>
      <c r="R518" s="35" t="str">
        <f aca="false">IF(OR($P518="",$Q518=""),"",INDEX(BookRate,513)*$P518*(5-MATCH($Q518,{"Q1";"Q2";"Q3";"Q4"},0))/4+INDEX(BookOneOff,513)*$P518)</f>
        <v/>
      </c>
      <c r="S518" s="35" t="str">
        <f aca="false">IF($P518="","",INDEX(BookRate,513)*$P518)</f>
        <v/>
      </c>
      <c r="T518" s="35" t="str">
        <f aca="false">IF($R518="","",$R518-$K518)</f>
        <v/>
      </c>
      <c r="U518" s="35" t="str">
        <f aca="false">IF(N($P518)&lt;=0,"",COUNTIF($P$6:$P518,"&gt;0"))</f>
        <v/>
      </c>
    </row>
    <row r="519" customFormat="false" ht="15" hidden="false" customHeight="false" outlineLevel="0" collapsed="false">
      <c r="A519" s="40" t="str">
        <f aca="false">IF(INDEX(BookTitle,514)="","",INDEX(BookGroup,514))</f>
        <v/>
      </c>
      <c r="B519" s="40" t="str">
        <f aca="false">IF(INDEX(BookTitle,514)="","",INDEX(BookRef,514))</f>
        <v/>
      </c>
      <c r="C519" s="40" t="str">
        <f aca="false">IF(INDEX(BookTitle,514)="","",INDEX(BookDivision,514))</f>
        <v/>
      </c>
      <c r="D519" s="40" t="str">
        <f aca="false">IF(INDEX(BookTitle,514)="","",INDEX(BookUnit,514))</f>
        <v/>
      </c>
      <c r="E519" s="40" t="str">
        <f aca="false">IF(INDEX(BookTitle,514)="","",INDEX(BookTitle,514))</f>
        <v/>
      </c>
      <c r="F519" s="40" t="str">
        <f aca="false">IF(INDEX(BookTitle,514)="","",INDEX(BookLevel,514))</f>
        <v/>
      </c>
      <c r="G519" s="40" t="str">
        <f aca="false">IF(INDEX(BookTitle,514)="","",INDEX(BookCategory,514))</f>
        <v/>
      </c>
      <c r="H519" s="40" t="str">
        <f aca="false">IF(INDEX(BookTitle,514)="","",INDEX(BookRank,514))</f>
        <v/>
      </c>
      <c r="I519" s="41" t="str">
        <f aca="false">IF(INDEX(BookTitle,514)="","",INDEX(BookTotal,514))</f>
        <v/>
      </c>
      <c r="J519" s="0" t="str">
        <f aca="false">IF($I519="","",IF(INDEX(BookQ1,514)&gt;0,"Q1",IF(INDEX(BookQ2,514)&gt;0,"Q2",IF(INDEX(BookQ3,514)&gt;0,"Q3",IF(INDEX(BookQ4,514)&gt;0,"Q4","")))))</f>
        <v/>
      </c>
      <c r="K519" s="42" t="str">
        <f aca="false">IF(INDEX(BookTitle,514)="","",INDEX(BookInYear,514))</f>
        <v/>
      </c>
      <c r="L519" s="19"/>
      <c r="M519" s="39"/>
      <c r="N519" s="19"/>
      <c r="O519" s="19"/>
      <c r="P519" s="43" t="str">
        <f aca="false">IF($E519="","",IF($L519="Decline",0,IF($L519="Approve fewer",IF($M519="","",$M519),IF($L519="","",$I519))))</f>
        <v/>
      </c>
      <c r="Q519" s="34" t="str">
        <f aca="false">IF($P519="","",IF($N519&lt;&gt;"",$N519,$J519))</f>
        <v/>
      </c>
      <c r="R519" s="35" t="str">
        <f aca="false">IF(OR($P519="",$Q519=""),"",INDEX(BookRate,514)*$P519*(5-MATCH($Q519,{"Q1";"Q2";"Q3";"Q4"},0))/4+INDEX(BookOneOff,514)*$P519)</f>
        <v/>
      </c>
      <c r="S519" s="35" t="str">
        <f aca="false">IF($P519="","",INDEX(BookRate,514)*$P519)</f>
        <v/>
      </c>
      <c r="T519" s="35" t="str">
        <f aca="false">IF($R519="","",$R519-$K519)</f>
        <v/>
      </c>
      <c r="U519" s="35" t="str">
        <f aca="false">IF(N($P519)&lt;=0,"",COUNTIF($P$6:$P519,"&gt;0"))</f>
        <v/>
      </c>
    </row>
    <row r="520" customFormat="false" ht="15" hidden="false" customHeight="false" outlineLevel="0" collapsed="false">
      <c r="A520" s="40" t="str">
        <f aca="false">IF(INDEX(BookTitle,515)="","",INDEX(BookGroup,515))</f>
        <v/>
      </c>
      <c r="B520" s="40" t="str">
        <f aca="false">IF(INDEX(BookTitle,515)="","",INDEX(BookRef,515))</f>
        <v/>
      </c>
      <c r="C520" s="40" t="str">
        <f aca="false">IF(INDEX(BookTitle,515)="","",INDEX(BookDivision,515))</f>
        <v/>
      </c>
      <c r="D520" s="40" t="str">
        <f aca="false">IF(INDEX(BookTitle,515)="","",INDEX(BookUnit,515))</f>
        <v/>
      </c>
      <c r="E520" s="40" t="str">
        <f aca="false">IF(INDEX(BookTitle,515)="","",INDEX(BookTitle,515))</f>
        <v/>
      </c>
      <c r="F520" s="40" t="str">
        <f aca="false">IF(INDEX(BookTitle,515)="","",INDEX(BookLevel,515))</f>
        <v/>
      </c>
      <c r="G520" s="40" t="str">
        <f aca="false">IF(INDEX(BookTitle,515)="","",INDEX(BookCategory,515))</f>
        <v/>
      </c>
      <c r="H520" s="40" t="str">
        <f aca="false">IF(INDEX(BookTitle,515)="","",INDEX(BookRank,515))</f>
        <v/>
      </c>
      <c r="I520" s="41" t="str">
        <f aca="false">IF(INDEX(BookTitle,515)="","",INDEX(BookTotal,515))</f>
        <v/>
      </c>
      <c r="J520" s="0" t="str">
        <f aca="false">IF($I520="","",IF(INDEX(BookQ1,515)&gt;0,"Q1",IF(INDEX(BookQ2,515)&gt;0,"Q2",IF(INDEX(BookQ3,515)&gt;0,"Q3",IF(INDEX(BookQ4,515)&gt;0,"Q4","")))))</f>
        <v/>
      </c>
      <c r="K520" s="42" t="str">
        <f aca="false">IF(INDEX(BookTitle,515)="","",INDEX(BookInYear,515))</f>
        <v/>
      </c>
      <c r="L520" s="19"/>
      <c r="M520" s="39"/>
      <c r="N520" s="19"/>
      <c r="O520" s="19"/>
      <c r="P520" s="43" t="str">
        <f aca="false">IF($E520="","",IF($L520="Decline",0,IF($L520="Approve fewer",IF($M520="","",$M520),IF($L520="","",$I520))))</f>
        <v/>
      </c>
      <c r="Q520" s="34" t="str">
        <f aca="false">IF($P520="","",IF($N520&lt;&gt;"",$N520,$J520))</f>
        <v/>
      </c>
      <c r="R520" s="35" t="str">
        <f aca="false">IF(OR($P520="",$Q520=""),"",INDEX(BookRate,515)*$P520*(5-MATCH($Q520,{"Q1";"Q2";"Q3";"Q4"},0))/4+INDEX(BookOneOff,515)*$P520)</f>
        <v/>
      </c>
      <c r="S520" s="35" t="str">
        <f aca="false">IF($P520="","",INDEX(BookRate,515)*$P520)</f>
        <v/>
      </c>
      <c r="T520" s="35" t="str">
        <f aca="false">IF($R520="","",$R520-$K520)</f>
        <v/>
      </c>
      <c r="U520" s="35" t="str">
        <f aca="false">IF(N($P520)&lt;=0,"",COUNTIF($P$6:$P520,"&gt;0"))</f>
        <v/>
      </c>
    </row>
    <row r="521" customFormat="false" ht="15" hidden="false" customHeight="false" outlineLevel="0" collapsed="false">
      <c r="A521" s="40" t="str">
        <f aca="false">IF(INDEX(BookTitle,516)="","",INDEX(BookGroup,516))</f>
        <v/>
      </c>
      <c r="B521" s="40" t="str">
        <f aca="false">IF(INDEX(BookTitle,516)="","",INDEX(BookRef,516))</f>
        <v/>
      </c>
      <c r="C521" s="40" t="str">
        <f aca="false">IF(INDEX(BookTitle,516)="","",INDEX(BookDivision,516))</f>
        <v/>
      </c>
      <c r="D521" s="40" t="str">
        <f aca="false">IF(INDEX(BookTitle,516)="","",INDEX(BookUnit,516))</f>
        <v/>
      </c>
      <c r="E521" s="40" t="str">
        <f aca="false">IF(INDEX(BookTitle,516)="","",INDEX(BookTitle,516))</f>
        <v/>
      </c>
      <c r="F521" s="40" t="str">
        <f aca="false">IF(INDEX(BookTitle,516)="","",INDEX(BookLevel,516))</f>
        <v/>
      </c>
      <c r="G521" s="40" t="str">
        <f aca="false">IF(INDEX(BookTitle,516)="","",INDEX(BookCategory,516))</f>
        <v/>
      </c>
      <c r="H521" s="40" t="str">
        <f aca="false">IF(INDEX(BookTitle,516)="","",INDEX(BookRank,516))</f>
        <v/>
      </c>
      <c r="I521" s="41" t="str">
        <f aca="false">IF(INDEX(BookTitle,516)="","",INDEX(BookTotal,516))</f>
        <v/>
      </c>
      <c r="J521" s="0" t="str">
        <f aca="false">IF($I521="","",IF(INDEX(BookQ1,516)&gt;0,"Q1",IF(INDEX(BookQ2,516)&gt;0,"Q2",IF(INDEX(BookQ3,516)&gt;0,"Q3",IF(INDEX(BookQ4,516)&gt;0,"Q4","")))))</f>
        <v/>
      </c>
      <c r="K521" s="42" t="str">
        <f aca="false">IF(INDEX(BookTitle,516)="","",INDEX(BookInYear,516))</f>
        <v/>
      </c>
      <c r="L521" s="19"/>
      <c r="M521" s="39"/>
      <c r="N521" s="19"/>
      <c r="O521" s="19"/>
      <c r="P521" s="43" t="str">
        <f aca="false">IF($E521="","",IF($L521="Decline",0,IF($L521="Approve fewer",IF($M521="","",$M521),IF($L521="","",$I521))))</f>
        <v/>
      </c>
      <c r="Q521" s="34" t="str">
        <f aca="false">IF($P521="","",IF($N521&lt;&gt;"",$N521,$J521))</f>
        <v/>
      </c>
      <c r="R521" s="35" t="str">
        <f aca="false">IF(OR($P521="",$Q521=""),"",INDEX(BookRate,516)*$P521*(5-MATCH($Q521,{"Q1";"Q2";"Q3";"Q4"},0))/4+INDEX(BookOneOff,516)*$P521)</f>
        <v/>
      </c>
      <c r="S521" s="35" t="str">
        <f aca="false">IF($P521="","",INDEX(BookRate,516)*$P521)</f>
        <v/>
      </c>
      <c r="T521" s="35" t="str">
        <f aca="false">IF($R521="","",$R521-$K521)</f>
        <v/>
      </c>
      <c r="U521" s="35" t="str">
        <f aca="false">IF(N($P521)&lt;=0,"",COUNTIF($P$6:$P521,"&gt;0"))</f>
        <v/>
      </c>
    </row>
    <row r="522" customFormat="false" ht="15" hidden="false" customHeight="false" outlineLevel="0" collapsed="false">
      <c r="A522" s="40" t="str">
        <f aca="false">IF(INDEX(BookTitle,517)="","",INDEX(BookGroup,517))</f>
        <v/>
      </c>
      <c r="B522" s="40" t="str">
        <f aca="false">IF(INDEX(BookTitle,517)="","",INDEX(BookRef,517))</f>
        <v/>
      </c>
      <c r="C522" s="40" t="str">
        <f aca="false">IF(INDEX(BookTitle,517)="","",INDEX(BookDivision,517))</f>
        <v/>
      </c>
      <c r="D522" s="40" t="str">
        <f aca="false">IF(INDEX(BookTitle,517)="","",INDEX(BookUnit,517))</f>
        <v/>
      </c>
      <c r="E522" s="40" t="str">
        <f aca="false">IF(INDEX(BookTitle,517)="","",INDEX(BookTitle,517))</f>
        <v/>
      </c>
      <c r="F522" s="40" t="str">
        <f aca="false">IF(INDEX(BookTitle,517)="","",INDEX(BookLevel,517))</f>
        <v/>
      </c>
      <c r="G522" s="40" t="str">
        <f aca="false">IF(INDEX(BookTitle,517)="","",INDEX(BookCategory,517))</f>
        <v/>
      </c>
      <c r="H522" s="40" t="str">
        <f aca="false">IF(INDEX(BookTitle,517)="","",INDEX(BookRank,517))</f>
        <v/>
      </c>
      <c r="I522" s="41" t="str">
        <f aca="false">IF(INDEX(BookTitle,517)="","",INDEX(BookTotal,517))</f>
        <v/>
      </c>
      <c r="J522" s="0" t="str">
        <f aca="false">IF($I522="","",IF(INDEX(BookQ1,517)&gt;0,"Q1",IF(INDEX(BookQ2,517)&gt;0,"Q2",IF(INDEX(BookQ3,517)&gt;0,"Q3",IF(INDEX(BookQ4,517)&gt;0,"Q4","")))))</f>
        <v/>
      </c>
      <c r="K522" s="42" t="str">
        <f aca="false">IF(INDEX(BookTitle,517)="","",INDEX(BookInYear,517))</f>
        <v/>
      </c>
      <c r="L522" s="19"/>
      <c r="M522" s="39"/>
      <c r="N522" s="19"/>
      <c r="O522" s="19"/>
      <c r="P522" s="43" t="str">
        <f aca="false">IF($E522="","",IF($L522="Decline",0,IF($L522="Approve fewer",IF($M522="","",$M522),IF($L522="","",$I522))))</f>
        <v/>
      </c>
      <c r="Q522" s="34" t="str">
        <f aca="false">IF($P522="","",IF($N522&lt;&gt;"",$N522,$J522))</f>
        <v/>
      </c>
      <c r="R522" s="35" t="str">
        <f aca="false">IF(OR($P522="",$Q522=""),"",INDEX(BookRate,517)*$P522*(5-MATCH($Q522,{"Q1";"Q2";"Q3";"Q4"},0))/4+INDEX(BookOneOff,517)*$P522)</f>
        <v/>
      </c>
      <c r="S522" s="35" t="str">
        <f aca="false">IF($P522="","",INDEX(BookRate,517)*$P522)</f>
        <v/>
      </c>
      <c r="T522" s="35" t="str">
        <f aca="false">IF($R522="","",$R522-$K522)</f>
        <v/>
      </c>
      <c r="U522" s="35" t="str">
        <f aca="false">IF(N($P522)&lt;=0,"",COUNTIF($P$6:$P522,"&gt;0"))</f>
        <v/>
      </c>
    </row>
    <row r="523" customFormat="false" ht="15" hidden="false" customHeight="false" outlineLevel="0" collapsed="false">
      <c r="A523" s="40" t="str">
        <f aca="false">IF(INDEX(BookTitle,518)="","",INDEX(BookGroup,518))</f>
        <v/>
      </c>
      <c r="B523" s="40" t="str">
        <f aca="false">IF(INDEX(BookTitle,518)="","",INDEX(BookRef,518))</f>
        <v/>
      </c>
      <c r="C523" s="40" t="str">
        <f aca="false">IF(INDEX(BookTitle,518)="","",INDEX(BookDivision,518))</f>
        <v/>
      </c>
      <c r="D523" s="40" t="str">
        <f aca="false">IF(INDEX(BookTitle,518)="","",INDEX(BookUnit,518))</f>
        <v/>
      </c>
      <c r="E523" s="40" t="str">
        <f aca="false">IF(INDEX(BookTitle,518)="","",INDEX(BookTitle,518))</f>
        <v/>
      </c>
      <c r="F523" s="40" t="str">
        <f aca="false">IF(INDEX(BookTitle,518)="","",INDEX(BookLevel,518))</f>
        <v/>
      </c>
      <c r="G523" s="40" t="str">
        <f aca="false">IF(INDEX(BookTitle,518)="","",INDEX(BookCategory,518))</f>
        <v/>
      </c>
      <c r="H523" s="40" t="str">
        <f aca="false">IF(INDEX(BookTitle,518)="","",INDEX(BookRank,518))</f>
        <v/>
      </c>
      <c r="I523" s="41" t="str">
        <f aca="false">IF(INDEX(BookTitle,518)="","",INDEX(BookTotal,518))</f>
        <v/>
      </c>
      <c r="J523" s="0" t="str">
        <f aca="false">IF($I523="","",IF(INDEX(BookQ1,518)&gt;0,"Q1",IF(INDEX(BookQ2,518)&gt;0,"Q2",IF(INDEX(BookQ3,518)&gt;0,"Q3",IF(INDEX(BookQ4,518)&gt;0,"Q4","")))))</f>
        <v/>
      </c>
      <c r="K523" s="42" t="str">
        <f aca="false">IF(INDEX(BookTitle,518)="","",INDEX(BookInYear,518))</f>
        <v/>
      </c>
      <c r="L523" s="19"/>
      <c r="M523" s="39"/>
      <c r="N523" s="19"/>
      <c r="O523" s="19"/>
      <c r="P523" s="43" t="str">
        <f aca="false">IF($E523="","",IF($L523="Decline",0,IF($L523="Approve fewer",IF($M523="","",$M523),IF($L523="","",$I523))))</f>
        <v/>
      </c>
      <c r="Q523" s="34" t="str">
        <f aca="false">IF($P523="","",IF($N523&lt;&gt;"",$N523,$J523))</f>
        <v/>
      </c>
      <c r="R523" s="35" t="str">
        <f aca="false">IF(OR($P523="",$Q523=""),"",INDEX(BookRate,518)*$P523*(5-MATCH($Q523,{"Q1";"Q2";"Q3";"Q4"},0))/4+INDEX(BookOneOff,518)*$P523)</f>
        <v/>
      </c>
      <c r="S523" s="35" t="str">
        <f aca="false">IF($P523="","",INDEX(BookRate,518)*$P523)</f>
        <v/>
      </c>
      <c r="T523" s="35" t="str">
        <f aca="false">IF($R523="","",$R523-$K523)</f>
        <v/>
      </c>
      <c r="U523" s="35" t="str">
        <f aca="false">IF(N($P523)&lt;=0,"",COUNTIF($P$6:$P523,"&gt;0"))</f>
        <v/>
      </c>
    </row>
    <row r="524" customFormat="false" ht="15" hidden="false" customHeight="false" outlineLevel="0" collapsed="false">
      <c r="A524" s="40" t="str">
        <f aca="false">IF(INDEX(BookTitle,519)="","",INDEX(BookGroup,519))</f>
        <v/>
      </c>
      <c r="B524" s="40" t="str">
        <f aca="false">IF(INDEX(BookTitle,519)="","",INDEX(BookRef,519))</f>
        <v/>
      </c>
      <c r="C524" s="40" t="str">
        <f aca="false">IF(INDEX(BookTitle,519)="","",INDEX(BookDivision,519))</f>
        <v/>
      </c>
      <c r="D524" s="40" t="str">
        <f aca="false">IF(INDEX(BookTitle,519)="","",INDEX(BookUnit,519))</f>
        <v/>
      </c>
      <c r="E524" s="40" t="str">
        <f aca="false">IF(INDEX(BookTitle,519)="","",INDEX(BookTitle,519))</f>
        <v/>
      </c>
      <c r="F524" s="40" t="str">
        <f aca="false">IF(INDEX(BookTitle,519)="","",INDEX(BookLevel,519))</f>
        <v/>
      </c>
      <c r="G524" s="40" t="str">
        <f aca="false">IF(INDEX(BookTitle,519)="","",INDEX(BookCategory,519))</f>
        <v/>
      </c>
      <c r="H524" s="40" t="str">
        <f aca="false">IF(INDEX(BookTitle,519)="","",INDEX(BookRank,519))</f>
        <v/>
      </c>
      <c r="I524" s="41" t="str">
        <f aca="false">IF(INDEX(BookTitle,519)="","",INDEX(BookTotal,519))</f>
        <v/>
      </c>
      <c r="J524" s="0" t="str">
        <f aca="false">IF($I524="","",IF(INDEX(BookQ1,519)&gt;0,"Q1",IF(INDEX(BookQ2,519)&gt;0,"Q2",IF(INDEX(BookQ3,519)&gt;0,"Q3",IF(INDEX(BookQ4,519)&gt;0,"Q4","")))))</f>
        <v/>
      </c>
      <c r="K524" s="42" t="str">
        <f aca="false">IF(INDEX(BookTitle,519)="","",INDEX(BookInYear,519))</f>
        <v/>
      </c>
      <c r="L524" s="19"/>
      <c r="M524" s="39"/>
      <c r="N524" s="19"/>
      <c r="O524" s="19"/>
      <c r="P524" s="43" t="str">
        <f aca="false">IF($E524="","",IF($L524="Decline",0,IF($L524="Approve fewer",IF($M524="","",$M524),IF($L524="","",$I524))))</f>
        <v/>
      </c>
      <c r="Q524" s="34" t="str">
        <f aca="false">IF($P524="","",IF($N524&lt;&gt;"",$N524,$J524))</f>
        <v/>
      </c>
      <c r="R524" s="35" t="str">
        <f aca="false">IF(OR($P524="",$Q524=""),"",INDEX(BookRate,519)*$P524*(5-MATCH($Q524,{"Q1";"Q2";"Q3";"Q4"},0))/4+INDEX(BookOneOff,519)*$P524)</f>
        <v/>
      </c>
      <c r="S524" s="35" t="str">
        <f aca="false">IF($P524="","",INDEX(BookRate,519)*$P524)</f>
        <v/>
      </c>
      <c r="T524" s="35" t="str">
        <f aca="false">IF($R524="","",$R524-$K524)</f>
        <v/>
      </c>
      <c r="U524" s="35" t="str">
        <f aca="false">IF(N($P524)&lt;=0,"",COUNTIF($P$6:$P524,"&gt;0"))</f>
        <v/>
      </c>
    </row>
    <row r="525" customFormat="false" ht="15" hidden="false" customHeight="false" outlineLevel="0" collapsed="false">
      <c r="A525" s="40" t="str">
        <f aca="false">IF(INDEX(BookTitle,520)="","",INDEX(BookGroup,520))</f>
        <v/>
      </c>
      <c r="B525" s="40" t="str">
        <f aca="false">IF(INDEX(BookTitle,520)="","",INDEX(BookRef,520))</f>
        <v/>
      </c>
      <c r="C525" s="40" t="str">
        <f aca="false">IF(INDEX(BookTitle,520)="","",INDEX(BookDivision,520))</f>
        <v/>
      </c>
      <c r="D525" s="40" t="str">
        <f aca="false">IF(INDEX(BookTitle,520)="","",INDEX(BookUnit,520))</f>
        <v/>
      </c>
      <c r="E525" s="40" t="str">
        <f aca="false">IF(INDEX(BookTitle,520)="","",INDEX(BookTitle,520))</f>
        <v/>
      </c>
      <c r="F525" s="40" t="str">
        <f aca="false">IF(INDEX(BookTitle,520)="","",INDEX(BookLevel,520))</f>
        <v/>
      </c>
      <c r="G525" s="40" t="str">
        <f aca="false">IF(INDEX(BookTitle,520)="","",INDEX(BookCategory,520))</f>
        <v/>
      </c>
      <c r="H525" s="40" t="str">
        <f aca="false">IF(INDEX(BookTitle,520)="","",INDEX(BookRank,520))</f>
        <v/>
      </c>
      <c r="I525" s="41" t="str">
        <f aca="false">IF(INDEX(BookTitle,520)="","",INDEX(BookTotal,520))</f>
        <v/>
      </c>
      <c r="J525" s="0" t="str">
        <f aca="false">IF($I525="","",IF(INDEX(BookQ1,520)&gt;0,"Q1",IF(INDEX(BookQ2,520)&gt;0,"Q2",IF(INDEX(BookQ3,520)&gt;0,"Q3",IF(INDEX(BookQ4,520)&gt;0,"Q4","")))))</f>
        <v/>
      </c>
      <c r="K525" s="42" t="str">
        <f aca="false">IF(INDEX(BookTitle,520)="","",INDEX(BookInYear,520))</f>
        <v/>
      </c>
      <c r="L525" s="19"/>
      <c r="M525" s="39"/>
      <c r="N525" s="19"/>
      <c r="O525" s="19"/>
      <c r="P525" s="43" t="str">
        <f aca="false">IF($E525="","",IF($L525="Decline",0,IF($L525="Approve fewer",IF($M525="","",$M525),IF($L525="","",$I525))))</f>
        <v/>
      </c>
      <c r="Q525" s="34" t="str">
        <f aca="false">IF($P525="","",IF($N525&lt;&gt;"",$N525,$J525))</f>
        <v/>
      </c>
      <c r="R525" s="35" t="str">
        <f aca="false">IF(OR($P525="",$Q525=""),"",INDEX(BookRate,520)*$P525*(5-MATCH($Q525,{"Q1";"Q2";"Q3";"Q4"},0))/4+INDEX(BookOneOff,520)*$P525)</f>
        <v/>
      </c>
      <c r="S525" s="35" t="str">
        <f aca="false">IF($P525="","",INDEX(BookRate,520)*$P525)</f>
        <v/>
      </c>
      <c r="T525" s="35" t="str">
        <f aca="false">IF($R525="","",$R525-$K525)</f>
        <v/>
      </c>
      <c r="U525" s="35" t="str">
        <f aca="false">IF(N($P525)&lt;=0,"",COUNTIF($P$6:$P525,"&gt;0"))</f>
        <v/>
      </c>
    </row>
    <row r="526" customFormat="false" ht="15" hidden="false" customHeight="false" outlineLevel="0" collapsed="false">
      <c r="A526" s="40" t="str">
        <f aca="false">IF(INDEX(BookTitle,521)="","",INDEX(BookGroup,521))</f>
        <v/>
      </c>
      <c r="B526" s="40" t="str">
        <f aca="false">IF(INDEX(BookTitle,521)="","",INDEX(BookRef,521))</f>
        <v/>
      </c>
      <c r="C526" s="40" t="str">
        <f aca="false">IF(INDEX(BookTitle,521)="","",INDEX(BookDivision,521))</f>
        <v/>
      </c>
      <c r="D526" s="40" t="str">
        <f aca="false">IF(INDEX(BookTitle,521)="","",INDEX(BookUnit,521))</f>
        <v/>
      </c>
      <c r="E526" s="40" t="str">
        <f aca="false">IF(INDEX(BookTitle,521)="","",INDEX(BookTitle,521))</f>
        <v/>
      </c>
      <c r="F526" s="40" t="str">
        <f aca="false">IF(INDEX(BookTitle,521)="","",INDEX(BookLevel,521))</f>
        <v/>
      </c>
      <c r="G526" s="40" t="str">
        <f aca="false">IF(INDEX(BookTitle,521)="","",INDEX(BookCategory,521))</f>
        <v/>
      </c>
      <c r="H526" s="40" t="str">
        <f aca="false">IF(INDEX(BookTitle,521)="","",INDEX(BookRank,521))</f>
        <v/>
      </c>
      <c r="I526" s="41" t="str">
        <f aca="false">IF(INDEX(BookTitle,521)="","",INDEX(BookTotal,521))</f>
        <v/>
      </c>
      <c r="J526" s="0" t="str">
        <f aca="false">IF($I526="","",IF(INDEX(BookQ1,521)&gt;0,"Q1",IF(INDEX(BookQ2,521)&gt;0,"Q2",IF(INDEX(BookQ3,521)&gt;0,"Q3",IF(INDEX(BookQ4,521)&gt;0,"Q4","")))))</f>
        <v/>
      </c>
      <c r="K526" s="42" t="str">
        <f aca="false">IF(INDEX(BookTitle,521)="","",INDEX(BookInYear,521))</f>
        <v/>
      </c>
      <c r="L526" s="19"/>
      <c r="M526" s="39"/>
      <c r="N526" s="19"/>
      <c r="O526" s="19"/>
      <c r="P526" s="43" t="str">
        <f aca="false">IF($E526="","",IF($L526="Decline",0,IF($L526="Approve fewer",IF($M526="","",$M526),IF($L526="","",$I526))))</f>
        <v/>
      </c>
      <c r="Q526" s="34" t="str">
        <f aca="false">IF($P526="","",IF($N526&lt;&gt;"",$N526,$J526))</f>
        <v/>
      </c>
      <c r="R526" s="35" t="str">
        <f aca="false">IF(OR($P526="",$Q526=""),"",INDEX(BookRate,521)*$P526*(5-MATCH($Q526,{"Q1";"Q2";"Q3";"Q4"},0))/4+INDEX(BookOneOff,521)*$P526)</f>
        <v/>
      </c>
      <c r="S526" s="35" t="str">
        <f aca="false">IF($P526="","",INDEX(BookRate,521)*$P526)</f>
        <v/>
      </c>
      <c r="T526" s="35" t="str">
        <f aca="false">IF($R526="","",$R526-$K526)</f>
        <v/>
      </c>
      <c r="U526" s="35" t="str">
        <f aca="false">IF(N($P526)&lt;=0,"",COUNTIF($P$6:$P526,"&gt;0"))</f>
        <v/>
      </c>
    </row>
    <row r="527" customFormat="false" ht="15" hidden="false" customHeight="false" outlineLevel="0" collapsed="false">
      <c r="A527" s="40" t="str">
        <f aca="false">IF(INDEX(BookTitle,522)="","",INDEX(BookGroup,522))</f>
        <v/>
      </c>
      <c r="B527" s="40" t="str">
        <f aca="false">IF(INDEX(BookTitle,522)="","",INDEX(BookRef,522))</f>
        <v/>
      </c>
      <c r="C527" s="40" t="str">
        <f aca="false">IF(INDEX(BookTitle,522)="","",INDEX(BookDivision,522))</f>
        <v/>
      </c>
      <c r="D527" s="40" t="str">
        <f aca="false">IF(INDEX(BookTitle,522)="","",INDEX(BookUnit,522))</f>
        <v/>
      </c>
      <c r="E527" s="40" t="str">
        <f aca="false">IF(INDEX(BookTitle,522)="","",INDEX(BookTitle,522))</f>
        <v/>
      </c>
      <c r="F527" s="40" t="str">
        <f aca="false">IF(INDEX(BookTitle,522)="","",INDEX(BookLevel,522))</f>
        <v/>
      </c>
      <c r="G527" s="40" t="str">
        <f aca="false">IF(INDEX(BookTitle,522)="","",INDEX(BookCategory,522))</f>
        <v/>
      </c>
      <c r="H527" s="40" t="str">
        <f aca="false">IF(INDEX(BookTitle,522)="","",INDEX(BookRank,522))</f>
        <v/>
      </c>
      <c r="I527" s="41" t="str">
        <f aca="false">IF(INDEX(BookTitle,522)="","",INDEX(BookTotal,522))</f>
        <v/>
      </c>
      <c r="J527" s="0" t="str">
        <f aca="false">IF($I527="","",IF(INDEX(BookQ1,522)&gt;0,"Q1",IF(INDEX(BookQ2,522)&gt;0,"Q2",IF(INDEX(BookQ3,522)&gt;0,"Q3",IF(INDEX(BookQ4,522)&gt;0,"Q4","")))))</f>
        <v/>
      </c>
      <c r="K527" s="42" t="str">
        <f aca="false">IF(INDEX(BookTitle,522)="","",INDEX(BookInYear,522))</f>
        <v/>
      </c>
      <c r="L527" s="19"/>
      <c r="M527" s="39"/>
      <c r="N527" s="19"/>
      <c r="O527" s="19"/>
      <c r="P527" s="43" t="str">
        <f aca="false">IF($E527="","",IF($L527="Decline",0,IF($L527="Approve fewer",IF($M527="","",$M527),IF($L527="","",$I527))))</f>
        <v/>
      </c>
      <c r="Q527" s="34" t="str">
        <f aca="false">IF($P527="","",IF($N527&lt;&gt;"",$N527,$J527))</f>
        <v/>
      </c>
      <c r="R527" s="35" t="str">
        <f aca="false">IF(OR($P527="",$Q527=""),"",INDEX(BookRate,522)*$P527*(5-MATCH($Q527,{"Q1";"Q2";"Q3";"Q4"},0))/4+INDEX(BookOneOff,522)*$P527)</f>
        <v/>
      </c>
      <c r="S527" s="35" t="str">
        <f aca="false">IF($P527="","",INDEX(BookRate,522)*$P527)</f>
        <v/>
      </c>
      <c r="T527" s="35" t="str">
        <f aca="false">IF($R527="","",$R527-$K527)</f>
        <v/>
      </c>
      <c r="U527" s="35" t="str">
        <f aca="false">IF(N($P527)&lt;=0,"",COUNTIF($P$6:$P527,"&gt;0"))</f>
        <v/>
      </c>
    </row>
    <row r="528" customFormat="false" ht="15" hidden="false" customHeight="false" outlineLevel="0" collapsed="false">
      <c r="A528" s="40" t="str">
        <f aca="false">IF(INDEX(BookTitle,523)="","",INDEX(BookGroup,523))</f>
        <v/>
      </c>
      <c r="B528" s="40" t="str">
        <f aca="false">IF(INDEX(BookTitle,523)="","",INDEX(BookRef,523))</f>
        <v/>
      </c>
      <c r="C528" s="40" t="str">
        <f aca="false">IF(INDEX(BookTitle,523)="","",INDEX(BookDivision,523))</f>
        <v/>
      </c>
      <c r="D528" s="40" t="str">
        <f aca="false">IF(INDEX(BookTitle,523)="","",INDEX(BookUnit,523))</f>
        <v/>
      </c>
      <c r="E528" s="40" t="str">
        <f aca="false">IF(INDEX(BookTitle,523)="","",INDEX(BookTitle,523))</f>
        <v/>
      </c>
      <c r="F528" s="40" t="str">
        <f aca="false">IF(INDEX(BookTitle,523)="","",INDEX(BookLevel,523))</f>
        <v/>
      </c>
      <c r="G528" s="40" t="str">
        <f aca="false">IF(INDEX(BookTitle,523)="","",INDEX(BookCategory,523))</f>
        <v/>
      </c>
      <c r="H528" s="40" t="str">
        <f aca="false">IF(INDEX(BookTitle,523)="","",INDEX(BookRank,523))</f>
        <v/>
      </c>
      <c r="I528" s="41" t="str">
        <f aca="false">IF(INDEX(BookTitle,523)="","",INDEX(BookTotal,523))</f>
        <v/>
      </c>
      <c r="J528" s="0" t="str">
        <f aca="false">IF($I528="","",IF(INDEX(BookQ1,523)&gt;0,"Q1",IF(INDEX(BookQ2,523)&gt;0,"Q2",IF(INDEX(BookQ3,523)&gt;0,"Q3",IF(INDEX(BookQ4,523)&gt;0,"Q4","")))))</f>
        <v/>
      </c>
      <c r="K528" s="42" t="str">
        <f aca="false">IF(INDEX(BookTitle,523)="","",INDEX(BookInYear,523))</f>
        <v/>
      </c>
      <c r="L528" s="19"/>
      <c r="M528" s="39"/>
      <c r="N528" s="19"/>
      <c r="O528" s="19"/>
      <c r="P528" s="43" t="str">
        <f aca="false">IF($E528="","",IF($L528="Decline",0,IF($L528="Approve fewer",IF($M528="","",$M528),IF($L528="","",$I528))))</f>
        <v/>
      </c>
      <c r="Q528" s="34" t="str">
        <f aca="false">IF($P528="","",IF($N528&lt;&gt;"",$N528,$J528))</f>
        <v/>
      </c>
      <c r="R528" s="35" t="str">
        <f aca="false">IF(OR($P528="",$Q528=""),"",INDEX(BookRate,523)*$P528*(5-MATCH($Q528,{"Q1";"Q2";"Q3";"Q4"},0))/4+INDEX(BookOneOff,523)*$P528)</f>
        <v/>
      </c>
      <c r="S528" s="35" t="str">
        <f aca="false">IF($P528="","",INDEX(BookRate,523)*$P528)</f>
        <v/>
      </c>
      <c r="T528" s="35" t="str">
        <f aca="false">IF($R528="","",$R528-$K528)</f>
        <v/>
      </c>
      <c r="U528" s="35" t="str">
        <f aca="false">IF(N($P528)&lt;=0,"",COUNTIF($P$6:$P528,"&gt;0"))</f>
        <v/>
      </c>
    </row>
    <row r="529" customFormat="false" ht="15" hidden="false" customHeight="false" outlineLevel="0" collapsed="false">
      <c r="A529" s="40" t="str">
        <f aca="false">IF(INDEX(BookTitle,524)="","",INDEX(BookGroup,524))</f>
        <v/>
      </c>
      <c r="B529" s="40" t="str">
        <f aca="false">IF(INDEX(BookTitle,524)="","",INDEX(BookRef,524))</f>
        <v/>
      </c>
      <c r="C529" s="40" t="str">
        <f aca="false">IF(INDEX(BookTitle,524)="","",INDEX(BookDivision,524))</f>
        <v/>
      </c>
      <c r="D529" s="40" t="str">
        <f aca="false">IF(INDEX(BookTitle,524)="","",INDEX(BookUnit,524))</f>
        <v/>
      </c>
      <c r="E529" s="40" t="str">
        <f aca="false">IF(INDEX(BookTitle,524)="","",INDEX(BookTitle,524))</f>
        <v/>
      </c>
      <c r="F529" s="40" t="str">
        <f aca="false">IF(INDEX(BookTitle,524)="","",INDEX(BookLevel,524))</f>
        <v/>
      </c>
      <c r="G529" s="40" t="str">
        <f aca="false">IF(INDEX(BookTitle,524)="","",INDEX(BookCategory,524))</f>
        <v/>
      </c>
      <c r="H529" s="40" t="str">
        <f aca="false">IF(INDEX(BookTitle,524)="","",INDEX(BookRank,524))</f>
        <v/>
      </c>
      <c r="I529" s="41" t="str">
        <f aca="false">IF(INDEX(BookTitle,524)="","",INDEX(BookTotal,524))</f>
        <v/>
      </c>
      <c r="J529" s="0" t="str">
        <f aca="false">IF($I529="","",IF(INDEX(BookQ1,524)&gt;0,"Q1",IF(INDEX(BookQ2,524)&gt;0,"Q2",IF(INDEX(BookQ3,524)&gt;0,"Q3",IF(INDEX(BookQ4,524)&gt;0,"Q4","")))))</f>
        <v/>
      </c>
      <c r="K529" s="42" t="str">
        <f aca="false">IF(INDEX(BookTitle,524)="","",INDEX(BookInYear,524))</f>
        <v/>
      </c>
      <c r="L529" s="19"/>
      <c r="M529" s="39"/>
      <c r="N529" s="19"/>
      <c r="O529" s="19"/>
      <c r="P529" s="43" t="str">
        <f aca="false">IF($E529="","",IF($L529="Decline",0,IF($L529="Approve fewer",IF($M529="","",$M529),IF($L529="","",$I529))))</f>
        <v/>
      </c>
      <c r="Q529" s="34" t="str">
        <f aca="false">IF($P529="","",IF($N529&lt;&gt;"",$N529,$J529))</f>
        <v/>
      </c>
      <c r="R529" s="35" t="str">
        <f aca="false">IF(OR($P529="",$Q529=""),"",INDEX(BookRate,524)*$P529*(5-MATCH($Q529,{"Q1";"Q2";"Q3";"Q4"},0))/4+INDEX(BookOneOff,524)*$P529)</f>
        <v/>
      </c>
      <c r="S529" s="35" t="str">
        <f aca="false">IF($P529="","",INDEX(BookRate,524)*$P529)</f>
        <v/>
      </c>
      <c r="T529" s="35" t="str">
        <f aca="false">IF($R529="","",$R529-$K529)</f>
        <v/>
      </c>
      <c r="U529" s="35" t="str">
        <f aca="false">IF(N($P529)&lt;=0,"",COUNTIF($P$6:$P529,"&gt;0"))</f>
        <v/>
      </c>
    </row>
    <row r="530" customFormat="false" ht="15" hidden="false" customHeight="false" outlineLevel="0" collapsed="false">
      <c r="A530" s="40" t="str">
        <f aca="false">IF(INDEX(BookTitle,525)="","",INDEX(BookGroup,525))</f>
        <v/>
      </c>
      <c r="B530" s="40" t="str">
        <f aca="false">IF(INDEX(BookTitle,525)="","",INDEX(BookRef,525))</f>
        <v/>
      </c>
      <c r="C530" s="40" t="str">
        <f aca="false">IF(INDEX(BookTitle,525)="","",INDEX(BookDivision,525))</f>
        <v/>
      </c>
      <c r="D530" s="40" t="str">
        <f aca="false">IF(INDEX(BookTitle,525)="","",INDEX(BookUnit,525))</f>
        <v/>
      </c>
      <c r="E530" s="40" t="str">
        <f aca="false">IF(INDEX(BookTitle,525)="","",INDEX(BookTitle,525))</f>
        <v/>
      </c>
      <c r="F530" s="40" t="str">
        <f aca="false">IF(INDEX(BookTitle,525)="","",INDEX(BookLevel,525))</f>
        <v/>
      </c>
      <c r="G530" s="40" t="str">
        <f aca="false">IF(INDEX(BookTitle,525)="","",INDEX(BookCategory,525))</f>
        <v/>
      </c>
      <c r="H530" s="40" t="str">
        <f aca="false">IF(INDEX(BookTitle,525)="","",INDEX(BookRank,525))</f>
        <v/>
      </c>
      <c r="I530" s="41" t="str">
        <f aca="false">IF(INDEX(BookTitle,525)="","",INDEX(BookTotal,525))</f>
        <v/>
      </c>
      <c r="J530" s="0" t="str">
        <f aca="false">IF($I530="","",IF(INDEX(BookQ1,525)&gt;0,"Q1",IF(INDEX(BookQ2,525)&gt;0,"Q2",IF(INDEX(BookQ3,525)&gt;0,"Q3",IF(INDEX(BookQ4,525)&gt;0,"Q4","")))))</f>
        <v/>
      </c>
      <c r="K530" s="42" t="str">
        <f aca="false">IF(INDEX(BookTitle,525)="","",INDEX(BookInYear,525))</f>
        <v/>
      </c>
      <c r="L530" s="19"/>
      <c r="M530" s="39"/>
      <c r="N530" s="19"/>
      <c r="O530" s="19"/>
      <c r="P530" s="43" t="str">
        <f aca="false">IF($E530="","",IF($L530="Decline",0,IF($L530="Approve fewer",IF($M530="","",$M530),IF($L530="","",$I530))))</f>
        <v/>
      </c>
      <c r="Q530" s="34" t="str">
        <f aca="false">IF($P530="","",IF($N530&lt;&gt;"",$N530,$J530))</f>
        <v/>
      </c>
      <c r="R530" s="35" t="str">
        <f aca="false">IF(OR($P530="",$Q530=""),"",INDEX(BookRate,525)*$P530*(5-MATCH($Q530,{"Q1";"Q2";"Q3";"Q4"},0))/4+INDEX(BookOneOff,525)*$P530)</f>
        <v/>
      </c>
      <c r="S530" s="35" t="str">
        <f aca="false">IF($P530="","",INDEX(BookRate,525)*$P530)</f>
        <v/>
      </c>
      <c r="T530" s="35" t="str">
        <f aca="false">IF($R530="","",$R530-$K530)</f>
        <v/>
      </c>
      <c r="U530" s="35" t="str">
        <f aca="false">IF(N($P530)&lt;=0,"",COUNTIF($P$6:$P530,"&gt;0"))</f>
        <v/>
      </c>
    </row>
    <row r="531" customFormat="false" ht="15" hidden="false" customHeight="false" outlineLevel="0" collapsed="false">
      <c r="A531" s="40" t="str">
        <f aca="false">IF(INDEX(BookTitle,526)="","",INDEX(BookGroup,526))</f>
        <v/>
      </c>
      <c r="B531" s="40" t="str">
        <f aca="false">IF(INDEX(BookTitle,526)="","",INDEX(BookRef,526))</f>
        <v/>
      </c>
      <c r="C531" s="40" t="str">
        <f aca="false">IF(INDEX(BookTitle,526)="","",INDEX(BookDivision,526))</f>
        <v/>
      </c>
      <c r="D531" s="40" t="str">
        <f aca="false">IF(INDEX(BookTitle,526)="","",INDEX(BookUnit,526))</f>
        <v/>
      </c>
      <c r="E531" s="40" t="str">
        <f aca="false">IF(INDEX(BookTitle,526)="","",INDEX(BookTitle,526))</f>
        <v/>
      </c>
      <c r="F531" s="40" t="str">
        <f aca="false">IF(INDEX(BookTitle,526)="","",INDEX(BookLevel,526))</f>
        <v/>
      </c>
      <c r="G531" s="40" t="str">
        <f aca="false">IF(INDEX(BookTitle,526)="","",INDEX(BookCategory,526))</f>
        <v/>
      </c>
      <c r="H531" s="40" t="str">
        <f aca="false">IF(INDEX(BookTitle,526)="","",INDEX(BookRank,526))</f>
        <v/>
      </c>
      <c r="I531" s="41" t="str">
        <f aca="false">IF(INDEX(BookTitle,526)="","",INDEX(BookTotal,526))</f>
        <v/>
      </c>
      <c r="J531" s="0" t="str">
        <f aca="false">IF($I531="","",IF(INDEX(BookQ1,526)&gt;0,"Q1",IF(INDEX(BookQ2,526)&gt;0,"Q2",IF(INDEX(BookQ3,526)&gt;0,"Q3",IF(INDEX(BookQ4,526)&gt;0,"Q4","")))))</f>
        <v/>
      </c>
      <c r="K531" s="42" t="str">
        <f aca="false">IF(INDEX(BookTitle,526)="","",INDEX(BookInYear,526))</f>
        <v/>
      </c>
      <c r="L531" s="19"/>
      <c r="M531" s="39"/>
      <c r="N531" s="19"/>
      <c r="O531" s="19"/>
      <c r="P531" s="43" t="str">
        <f aca="false">IF($E531="","",IF($L531="Decline",0,IF($L531="Approve fewer",IF($M531="","",$M531),IF($L531="","",$I531))))</f>
        <v/>
      </c>
      <c r="Q531" s="34" t="str">
        <f aca="false">IF($P531="","",IF($N531&lt;&gt;"",$N531,$J531))</f>
        <v/>
      </c>
      <c r="R531" s="35" t="str">
        <f aca="false">IF(OR($P531="",$Q531=""),"",INDEX(BookRate,526)*$P531*(5-MATCH($Q531,{"Q1";"Q2";"Q3";"Q4"},0))/4+INDEX(BookOneOff,526)*$P531)</f>
        <v/>
      </c>
      <c r="S531" s="35" t="str">
        <f aca="false">IF($P531="","",INDEX(BookRate,526)*$P531)</f>
        <v/>
      </c>
      <c r="T531" s="35" t="str">
        <f aca="false">IF($R531="","",$R531-$K531)</f>
        <v/>
      </c>
      <c r="U531" s="35" t="str">
        <f aca="false">IF(N($P531)&lt;=0,"",COUNTIF($P$6:$P531,"&gt;0"))</f>
        <v/>
      </c>
    </row>
    <row r="532" customFormat="false" ht="15" hidden="false" customHeight="false" outlineLevel="0" collapsed="false">
      <c r="A532" s="40" t="str">
        <f aca="false">IF(INDEX(BookTitle,527)="","",INDEX(BookGroup,527))</f>
        <v/>
      </c>
      <c r="B532" s="40" t="str">
        <f aca="false">IF(INDEX(BookTitle,527)="","",INDEX(BookRef,527))</f>
        <v/>
      </c>
      <c r="C532" s="40" t="str">
        <f aca="false">IF(INDEX(BookTitle,527)="","",INDEX(BookDivision,527))</f>
        <v/>
      </c>
      <c r="D532" s="40" t="str">
        <f aca="false">IF(INDEX(BookTitle,527)="","",INDEX(BookUnit,527))</f>
        <v/>
      </c>
      <c r="E532" s="40" t="str">
        <f aca="false">IF(INDEX(BookTitle,527)="","",INDEX(BookTitle,527))</f>
        <v/>
      </c>
      <c r="F532" s="40" t="str">
        <f aca="false">IF(INDEX(BookTitle,527)="","",INDEX(BookLevel,527))</f>
        <v/>
      </c>
      <c r="G532" s="40" t="str">
        <f aca="false">IF(INDEX(BookTitle,527)="","",INDEX(BookCategory,527))</f>
        <v/>
      </c>
      <c r="H532" s="40" t="str">
        <f aca="false">IF(INDEX(BookTitle,527)="","",INDEX(BookRank,527))</f>
        <v/>
      </c>
      <c r="I532" s="41" t="str">
        <f aca="false">IF(INDEX(BookTitle,527)="","",INDEX(BookTotal,527))</f>
        <v/>
      </c>
      <c r="J532" s="0" t="str">
        <f aca="false">IF($I532="","",IF(INDEX(BookQ1,527)&gt;0,"Q1",IF(INDEX(BookQ2,527)&gt;0,"Q2",IF(INDEX(BookQ3,527)&gt;0,"Q3",IF(INDEX(BookQ4,527)&gt;0,"Q4","")))))</f>
        <v/>
      </c>
      <c r="K532" s="42" t="str">
        <f aca="false">IF(INDEX(BookTitle,527)="","",INDEX(BookInYear,527))</f>
        <v/>
      </c>
      <c r="L532" s="19"/>
      <c r="M532" s="39"/>
      <c r="N532" s="19"/>
      <c r="O532" s="19"/>
      <c r="P532" s="43" t="str">
        <f aca="false">IF($E532="","",IF($L532="Decline",0,IF($L532="Approve fewer",IF($M532="","",$M532),IF($L532="","",$I532))))</f>
        <v/>
      </c>
      <c r="Q532" s="34" t="str">
        <f aca="false">IF($P532="","",IF($N532&lt;&gt;"",$N532,$J532))</f>
        <v/>
      </c>
      <c r="R532" s="35" t="str">
        <f aca="false">IF(OR($P532="",$Q532=""),"",INDEX(BookRate,527)*$P532*(5-MATCH($Q532,{"Q1";"Q2";"Q3";"Q4"},0))/4+INDEX(BookOneOff,527)*$P532)</f>
        <v/>
      </c>
      <c r="S532" s="35" t="str">
        <f aca="false">IF($P532="","",INDEX(BookRate,527)*$P532)</f>
        <v/>
      </c>
      <c r="T532" s="35" t="str">
        <f aca="false">IF($R532="","",$R532-$K532)</f>
        <v/>
      </c>
      <c r="U532" s="35" t="str">
        <f aca="false">IF(N($P532)&lt;=0,"",COUNTIF($P$6:$P532,"&gt;0"))</f>
        <v/>
      </c>
    </row>
    <row r="533" customFormat="false" ht="15" hidden="false" customHeight="false" outlineLevel="0" collapsed="false">
      <c r="A533" s="40" t="str">
        <f aca="false">IF(INDEX(BookTitle,528)="","",INDEX(BookGroup,528))</f>
        <v/>
      </c>
      <c r="B533" s="40" t="str">
        <f aca="false">IF(INDEX(BookTitle,528)="","",INDEX(BookRef,528))</f>
        <v/>
      </c>
      <c r="C533" s="40" t="str">
        <f aca="false">IF(INDEX(BookTitle,528)="","",INDEX(BookDivision,528))</f>
        <v/>
      </c>
      <c r="D533" s="40" t="str">
        <f aca="false">IF(INDEX(BookTitle,528)="","",INDEX(BookUnit,528))</f>
        <v/>
      </c>
      <c r="E533" s="40" t="str">
        <f aca="false">IF(INDEX(BookTitle,528)="","",INDEX(BookTitle,528))</f>
        <v/>
      </c>
      <c r="F533" s="40" t="str">
        <f aca="false">IF(INDEX(BookTitle,528)="","",INDEX(BookLevel,528))</f>
        <v/>
      </c>
      <c r="G533" s="40" t="str">
        <f aca="false">IF(INDEX(BookTitle,528)="","",INDEX(BookCategory,528))</f>
        <v/>
      </c>
      <c r="H533" s="40" t="str">
        <f aca="false">IF(INDEX(BookTitle,528)="","",INDEX(BookRank,528))</f>
        <v/>
      </c>
      <c r="I533" s="41" t="str">
        <f aca="false">IF(INDEX(BookTitle,528)="","",INDEX(BookTotal,528))</f>
        <v/>
      </c>
      <c r="J533" s="0" t="str">
        <f aca="false">IF($I533="","",IF(INDEX(BookQ1,528)&gt;0,"Q1",IF(INDEX(BookQ2,528)&gt;0,"Q2",IF(INDEX(BookQ3,528)&gt;0,"Q3",IF(INDEX(BookQ4,528)&gt;0,"Q4","")))))</f>
        <v/>
      </c>
      <c r="K533" s="42" t="str">
        <f aca="false">IF(INDEX(BookTitle,528)="","",INDEX(BookInYear,528))</f>
        <v/>
      </c>
      <c r="L533" s="19"/>
      <c r="M533" s="39"/>
      <c r="N533" s="19"/>
      <c r="O533" s="19"/>
      <c r="P533" s="43" t="str">
        <f aca="false">IF($E533="","",IF($L533="Decline",0,IF($L533="Approve fewer",IF($M533="","",$M533),IF($L533="","",$I533))))</f>
        <v/>
      </c>
      <c r="Q533" s="34" t="str">
        <f aca="false">IF($P533="","",IF($N533&lt;&gt;"",$N533,$J533))</f>
        <v/>
      </c>
      <c r="R533" s="35" t="str">
        <f aca="false">IF(OR($P533="",$Q533=""),"",INDEX(BookRate,528)*$P533*(5-MATCH($Q533,{"Q1";"Q2";"Q3";"Q4"},0))/4+INDEX(BookOneOff,528)*$P533)</f>
        <v/>
      </c>
      <c r="S533" s="35" t="str">
        <f aca="false">IF($P533="","",INDEX(BookRate,528)*$P533)</f>
        <v/>
      </c>
      <c r="T533" s="35" t="str">
        <f aca="false">IF($R533="","",$R533-$K533)</f>
        <v/>
      </c>
      <c r="U533" s="35" t="str">
        <f aca="false">IF(N($P533)&lt;=0,"",COUNTIF($P$6:$P533,"&gt;0"))</f>
        <v/>
      </c>
    </row>
    <row r="534" customFormat="false" ht="15" hidden="false" customHeight="false" outlineLevel="0" collapsed="false">
      <c r="A534" s="40" t="str">
        <f aca="false">IF(INDEX(BookTitle,529)="","",INDEX(BookGroup,529))</f>
        <v/>
      </c>
      <c r="B534" s="40" t="str">
        <f aca="false">IF(INDEX(BookTitle,529)="","",INDEX(BookRef,529))</f>
        <v/>
      </c>
      <c r="C534" s="40" t="str">
        <f aca="false">IF(INDEX(BookTitle,529)="","",INDEX(BookDivision,529))</f>
        <v/>
      </c>
      <c r="D534" s="40" t="str">
        <f aca="false">IF(INDEX(BookTitle,529)="","",INDEX(BookUnit,529))</f>
        <v/>
      </c>
      <c r="E534" s="40" t="str">
        <f aca="false">IF(INDEX(BookTitle,529)="","",INDEX(BookTitle,529))</f>
        <v/>
      </c>
      <c r="F534" s="40" t="str">
        <f aca="false">IF(INDEX(BookTitle,529)="","",INDEX(BookLevel,529))</f>
        <v/>
      </c>
      <c r="G534" s="40" t="str">
        <f aca="false">IF(INDEX(BookTitle,529)="","",INDEX(BookCategory,529))</f>
        <v/>
      </c>
      <c r="H534" s="40" t="str">
        <f aca="false">IF(INDEX(BookTitle,529)="","",INDEX(BookRank,529))</f>
        <v/>
      </c>
      <c r="I534" s="41" t="str">
        <f aca="false">IF(INDEX(BookTitle,529)="","",INDEX(BookTotal,529))</f>
        <v/>
      </c>
      <c r="J534" s="0" t="str">
        <f aca="false">IF($I534="","",IF(INDEX(BookQ1,529)&gt;0,"Q1",IF(INDEX(BookQ2,529)&gt;0,"Q2",IF(INDEX(BookQ3,529)&gt;0,"Q3",IF(INDEX(BookQ4,529)&gt;0,"Q4","")))))</f>
        <v/>
      </c>
      <c r="K534" s="42" t="str">
        <f aca="false">IF(INDEX(BookTitle,529)="","",INDEX(BookInYear,529))</f>
        <v/>
      </c>
      <c r="L534" s="19"/>
      <c r="M534" s="39"/>
      <c r="N534" s="19"/>
      <c r="O534" s="19"/>
      <c r="P534" s="43" t="str">
        <f aca="false">IF($E534="","",IF($L534="Decline",0,IF($L534="Approve fewer",IF($M534="","",$M534),IF($L534="","",$I534))))</f>
        <v/>
      </c>
      <c r="Q534" s="34" t="str">
        <f aca="false">IF($P534="","",IF($N534&lt;&gt;"",$N534,$J534))</f>
        <v/>
      </c>
      <c r="R534" s="35" t="str">
        <f aca="false">IF(OR($P534="",$Q534=""),"",INDEX(BookRate,529)*$P534*(5-MATCH($Q534,{"Q1";"Q2";"Q3";"Q4"},0))/4+INDEX(BookOneOff,529)*$P534)</f>
        <v/>
      </c>
      <c r="S534" s="35" t="str">
        <f aca="false">IF($P534="","",INDEX(BookRate,529)*$P534)</f>
        <v/>
      </c>
      <c r="T534" s="35" t="str">
        <f aca="false">IF($R534="","",$R534-$K534)</f>
        <v/>
      </c>
      <c r="U534" s="35" t="str">
        <f aca="false">IF(N($P534)&lt;=0,"",COUNTIF($P$6:$P534,"&gt;0"))</f>
        <v/>
      </c>
    </row>
    <row r="535" customFormat="false" ht="15" hidden="false" customHeight="false" outlineLevel="0" collapsed="false">
      <c r="A535" s="40" t="str">
        <f aca="false">IF(INDEX(BookTitle,530)="","",INDEX(BookGroup,530))</f>
        <v/>
      </c>
      <c r="B535" s="40" t="str">
        <f aca="false">IF(INDEX(BookTitle,530)="","",INDEX(BookRef,530))</f>
        <v/>
      </c>
      <c r="C535" s="40" t="str">
        <f aca="false">IF(INDEX(BookTitle,530)="","",INDEX(BookDivision,530))</f>
        <v/>
      </c>
      <c r="D535" s="40" t="str">
        <f aca="false">IF(INDEX(BookTitle,530)="","",INDEX(BookUnit,530))</f>
        <v/>
      </c>
      <c r="E535" s="40" t="str">
        <f aca="false">IF(INDEX(BookTitle,530)="","",INDEX(BookTitle,530))</f>
        <v/>
      </c>
      <c r="F535" s="40" t="str">
        <f aca="false">IF(INDEX(BookTitle,530)="","",INDEX(BookLevel,530))</f>
        <v/>
      </c>
      <c r="G535" s="40" t="str">
        <f aca="false">IF(INDEX(BookTitle,530)="","",INDEX(BookCategory,530))</f>
        <v/>
      </c>
      <c r="H535" s="40" t="str">
        <f aca="false">IF(INDEX(BookTitle,530)="","",INDEX(BookRank,530))</f>
        <v/>
      </c>
      <c r="I535" s="41" t="str">
        <f aca="false">IF(INDEX(BookTitle,530)="","",INDEX(BookTotal,530))</f>
        <v/>
      </c>
      <c r="J535" s="0" t="str">
        <f aca="false">IF($I535="","",IF(INDEX(BookQ1,530)&gt;0,"Q1",IF(INDEX(BookQ2,530)&gt;0,"Q2",IF(INDEX(BookQ3,530)&gt;0,"Q3",IF(INDEX(BookQ4,530)&gt;0,"Q4","")))))</f>
        <v/>
      </c>
      <c r="K535" s="42" t="str">
        <f aca="false">IF(INDEX(BookTitle,530)="","",INDEX(BookInYear,530))</f>
        <v/>
      </c>
      <c r="L535" s="19"/>
      <c r="M535" s="39"/>
      <c r="N535" s="19"/>
      <c r="O535" s="19"/>
      <c r="P535" s="43" t="str">
        <f aca="false">IF($E535="","",IF($L535="Decline",0,IF($L535="Approve fewer",IF($M535="","",$M535),IF($L535="","",$I535))))</f>
        <v/>
      </c>
      <c r="Q535" s="34" t="str">
        <f aca="false">IF($P535="","",IF($N535&lt;&gt;"",$N535,$J535))</f>
        <v/>
      </c>
      <c r="R535" s="35" t="str">
        <f aca="false">IF(OR($P535="",$Q535=""),"",INDEX(BookRate,530)*$P535*(5-MATCH($Q535,{"Q1";"Q2";"Q3";"Q4"},0))/4+INDEX(BookOneOff,530)*$P535)</f>
        <v/>
      </c>
      <c r="S535" s="35" t="str">
        <f aca="false">IF($P535="","",INDEX(BookRate,530)*$P535)</f>
        <v/>
      </c>
      <c r="T535" s="35" t="str">
        <f aca="false">IF($R535="","",$R535-$K535)</f>
        <v/>
      </c>
      <c r="U535" s="35" t="str">
        <f aca="false">IF(N($P535)&lt;=0,"",COUNTIF($P$6:$P535,"&gt;0"))</f>
        <v/>
      </c>
    </row>
    <row r="536" customFormat="false" ht="15" hidden="false" customHeight="false" outlineLevel="0" collapsed="false">
      <c r="A536" s="40" t="str">
        <f aca="false">IF(INDEX(BookTitle,531)="","",INDEX(BookGroup,531))</f>
        <v/>
      </c>
      <c r="B536" s="40" t="str">
        <f aca="false">IF(INDEX(BookTitle,531)="","",INDEX(BookRef,531))</f>
        <v/>
      </c>
      <c r="C536" s="40" t="str">
        <f aca="false">IF(INDEX(BookTitle,531)="","",INDEX(BookDivision,531))</f>
        <v/>
      </c>
      <c r="D536" s="40" t="str">
        <f aca="false">IF(INDEX(BookTitle,531)="","",INDEX(BookUnit,531))</f>
        <v/>
      </c>
      <c r="E536" s="40" t="str">
        <f aca="false">IF(INDEX(BookTitle,531)="","",INDEX(BookTitle,531))</f>
        <v/>
      </c>
      <c r="F536" s="40" t="str">
        <f aca="false">IF(INDEX(BookTitle,531)="","",INDEX(BookLevel,531))</f>
        <v/>
      </c>
      <c r="G536" s="40" t="str">
        <f aca="false">IF(INDEX(BookTitle,531)="","",INDEX(BookCategory,531))</f>
        <v/>
      </c>
      <c r="H536" s="40" t="str">
        <f aca="false">IF(INDEX(BookTitle,531)="","",INDEX(BookRank,531))</f>
        <v/>
      </c>
      <c r="I536" s="41" t="str">
        <f aca="false">IF(INDEX(BookTitle,531)="","",INDEX(BookTotal,531))</f>
        <v/>
      </c>
      <c r="J536" s="0" t="str">
        <f aca="false">IF($I536="","",IF(INDEX(BookQ1,531)&gt;0,"Q1",IF(INDEX(BookQ2,531)&gt;0,"Q2",IF(INDEX(BookQ3,531)&gt;0,"Q3",IF(INDEX(BookQ4,531)&gt;0,"Q4","")))))</f>
        <v/>
      </c>
      <c r="K536" s="42" t="str">
        <f aca="false">IF(INDEX(BookTitle,531)="","",INDEX(BookInYear,531))</f>
        <v/>
      </c>
      <c r="L536" s="19"/>
      <c r="M536" s="39"/>
      <c r="N536" s="19"/>
      <c r="O536" s="19"/>
      <c r="P536" s="43" t="str">
        <f aca="false">IF($E536="","",IF($L536="Decline",0,IF($L536="Approve fewer",IF($M536="","",$M536),IF($L536="","",$I536))))</f>
        <v/>
      </c>
      <c r="Q536" s="34" t="str">
        <f aca="false">IF($P536="","",IF($N536&lt;&gt;"",$N536,$J536))</f>
        <v/>
      </c>
      <c r="R536" s="35" t="str">
        <f aca="false">IF(OR($P536="",$Q536=""),"",INDEX(BookRate,531)*$P536*(5-MATCH($Q536,{"Q1";"Q2";"Q3";"Q4"},0))/4+INDEX(BookOneOff,531)*$P536)</f>
        <v/>
      </c>
      <c r="S536" s="35" t="str">
        <f aca="false">IF($P536="","",INDEX(BookRate,531)*$P536)</f>
        <v/>
      </c>
      <c r="T536" s="35" t="str">
        <f aca="false">IF($R536="","",$R536-$K536)</f>
        <v/>
      </c>
      <c r="U536" s="35" t="str">
        <f aca="false">IF(N($P536)&lt;=0,"",COUNTIF($P$6:$P536,"&gt;0"))</f>
        <v/>
      </c>
    </row>
    <row r="537" customFormat="false" ht="15" hidden="false" customHeight="false" outlineLevel="0" collapsed="false">
      <c r="A537" s="40" t="str">
        <f aca="false">IF(INDEX(BookTitle,532)="","",INDEX(BookGroup,532))</f>
        <v/>
      </c>
      <c r="B537" s="40" t="str">
        <f aca="false">IF(INDEX(BookTitle,532)="","",INDEX(BookRef,532))</f>
        <v/>
      </c>
      <c r="C537" s="40" t="str">
        <f aca="false">IF(INDEX(BookTitle,532)="","",INDEX(BookDivision,532))</f>
        <v/>
      </c>
      <c r="D537" s="40" t="str">
        <f aca="false">IF(INDEX(BookTitle,532)="","",INDEX(BookUnit,532))</f>
        <v/>
      </c>
      <c r="E537" s="40" t="str">
        <f aca="false">IF(INDEX(BookTitle,532)="","",INDEX(BookTitle,532))</f>
        <v/>
      </c>
      <c r="F537" s="40" t="str">
        <f aca="false">IF(INDEX(BookTitle,532)="","",INDEX(BookLevel,532))</f>
        <v/>
      </c>
      <c r="G537" s="40" t="str">
        <f aca="false">IF(INDEX(BookTitle,532)="","",INDEX(BookCategory,532))</f>
        <v/>
      </c>
      <c r="H537" s="40" t="str">
        <f aca="false">IF(INDEX(BookTitle,532)="","",INDEX(BookRank,532))</f>
        <v/>
      </c>
      <c r="I537" s="41" t="str">
        <f aca="false">IF(INDEX(BookTitle,532)="","",INDEX(BookTotal,532))</f>
        <v/>
      </c>
      <c r="J537" s="0" t="str">
        <f aca="false">IF($I537="","",IF(INDEX(BookQ1,532)&gt;0,"Q1",IF(INDEX(BookQ2,532)&gt;0,"Q2",IF(INDEX(BookQ3,532)&gt;0,"Q3",IF(INDEX(BookQ4,532)&gt;0,"Q4","")))))</f>
        <v/>
      </c>
      <c r="K537" s="42" t="str">
        <f aca="false">IF(INDEX(BookTitle,532)="","",INDEX(BookInYear,532))</f>
        <v/>
      </c>
      <c r="L537" s="19"/>
      <c r="M537" s="39"/>
      <c r="N537" s="19"/>
      <c r="O537" s="19"/>
      <c r="P537" s="43" t="str">
        <f aca="false">IF($E537="","",IF($L537="Decline",0,IF($L537="Approve fewer",IF($M537="","",$M537),IF($L537="","",$I537))))</f>
        <v/>
      </c>
      <c r="Q537" s="34" t="str">
        <f aca="false">IF($P537="","",IF($N537&lt;&gt;"",$N537,$J537))</f>
        <v/>
      </c>
      <c r="R537" s="35" t="str">
        <f aca="false">IF(OR($P537="",$Q537=""),"",INDEX(BookRate,532)*$P537*(5-MATCH($Q537,{"Q1";"Q2";"Q3";"Q4"},0))/4+INDEX(BookOneOff,532)*$P537)</f>
        <v/>
      </c>
      <c r="S537" s="35" t="str">
        <f aca="false">IF($P537="","",INDEX(BookRate,532)*$P537)</f>
        <v/>
      </c>
      <c r="T537" s="35" t="str">
        <f aca="false">IF($R537="","",$R537-$K537)</f>
        <v/>
      </c>
      <c r="U537" s="35" t="str">
        <f aca="false">IF(N($P537)&lt;=0,"",COUNTIF($P$6:$P537,"&gt;0"))</f>
        <v/>
      </c>
    </row>
    <row r="538" customFormat="false" ht="15" hidden="false" customHeight="false" outlineLevel="0" collapsed="false">
      <c r="A538" s="40" t="str">
        <f aca="false">IF(INDEX(BookTitle,533)="","",INDEX(BookGroup,533))</f>
        <v/>
      </c>
      <c r="B538" s="40" t="str">
        <f aca="false">IF(INDEX(BookTitle,533)="","",INDEX(BookRef,533))</f>
        <v/>
      </c>
      <c r="C538" s="40" t="str">
        <f aca="false">IF(INDEX(BookTitle,533)="","",INDEX(BookDivision,533))</f>
        <v/>
      </c>
      <c r="D538" s="40" t="str">
        <f aca="false">IF(INDEX(BookTitle,533)="","",INDEX(BookUnit,533))</f>
        <v/>
      </c>
      <c r="E538" s="40" t="str">
        <f aca="false">IF(INDEX(BookTitle,533)="","",INDEX(BookTitle,533))</f>
        <v/>
      </c>
      <c r="F538" s="40" t="str">
        <f aca="false">IF(INDEX(BookTitle,533)="","",INDEX(BookLevel,533))</f>
        <v/>
      </c>
      <c r="G538" s="40" t="str">
        <f aca="false">IF(INDEX(BookTitle,533)="","",INDEX(BookCategory,533))</f>
        <v/>
      </c>
      <c r="H538" s="40" t="str">
        <f aca="false">IF(INDEX(BookTitle,533)="","",INDEX(BookRank,533))</f>
        <v/>
      </c>
      <c r="I538" s="41" t="str">
        <f aca="false">IF(INDEX(BookTitle,533)="","",INDEX(BookTotal,533))</f>
        <v/>
      </c>
      <c r="J538" s="0" t="str">
        <f aca="false">IF($I538="","",IF(INDEX(BookQ1,533)&gt;0,"Q1",IF(INDEX(BookQ2,533)&gt;0,"Q2",IF(INDEX(BookQ3,533)&gt;0,"Q3",IF(INDEX(BookQ4,533)&gt;0,"Q4","")))))</f>
        <v/>
      </c>
      <c r="K538" s="42" t="str">
        <f aca="false">IF(INDEX(BookTitle,533)="","",INDEX(BookInYear,533))</f>
        <v/>
      </c>
      <c r="L538" s="19"/>
      <c r="M538" s="39"/>
      <c r="N538" s="19"/>
      <c r="O538" s="19"/>
      <c r="P538" s="43" t="str">
        <f aca="false">IF($E538="","",IF($L538="Decline",0,IF($L538="Approve fewer",IF($M538="","",$M538),IF($L538="","",$I538))))</f>
        <v/>
      </c>
      <c r="Q538" s="34" t="str">
        <f aca="false">IF($P538="","",IF($N538&lt;&gt;"",$N538,$J538))</f>
        <v/>
      </c>
      <c r="R538" s="35" t="str">
        <f aca="false">IF(OR($P538="",$Q538=""),"",INDEX(BookRate,533)*$P538*(5-MATCH($Q538,{"Q1";"Q2";"Q3";"Q4"},0))/4+INDEX(BookOneOff,533)*$P538)</f>
        <v/>
      </c>
      <c r="S538" s="35" t="str">
        <f aca="false">IF($P538="","",INDEX(BookRate,533)*$P538)</f>
        <v/>
      </c>
      <c r="T538" s="35" t="str">
        <f aca="false">IF($R538="","",$R538-$K538)</f>
        <v/>
      </c>
      <c r="U538" s="35" t="str">
        <f aca="false">IF(N($P538)&lt;=0,"",COUNTIF($P$6:$P538,"&gt;0"))</f>
        <v/>
      </c>
    </row>
    <row r="539" customFormat="false" ht="15" hidden="false" customHeight="false" outlineLevel="0" collapsed="false">
      <c r="A539" s="40" t="str">
        <f aca="false">IF(INDEX(BookTitle,534)="","",INDEX(BookGroup,534))</f>
        <v/>
      </c>
      <c r="B539" s="40" t="str">
        <f aca="false">IF(INDEX(BookTitle,534)="","",INDEX(BookRef,534))</f>
        <v/>
      </c>
      <c r="C539" s="40" t="str">
        <f aca="false">IF(INDEX(BookTitle,534)="","",INDEX(BookDivision,534))</f>
        <v/>
      </c>
      <c r="D539" s="40" t="str">
        <f aca="false">IF(INDEX(BookTitle,534)="","",INDEX(BookUnit,534))</f>
        <v/>
      </c>
      <c r="E539" s="40" t="str">
        <f aca="false">IF(INDEX(BookTitle,534)="","",INDEX(BookTitle,534))</f>
        <v/>
      </c>
      <c r="F539" s="40" t="str">
        <f aca="false">IF(INDEX(BookTitle,534)="","",INDEX(BookLevel,534))</f>
        <v/>
      </c>
      <c r="G539" s="40" t="str">
        <f aca="false">IF(INDEX(BookTitle,534)="","",INDEX(BookCategory,534))</f>
        <v/>
      </c>
      <c r="H539" s="40" t="str">
        <f aca="false">IF(INDEX(BookTitle,534)="","",INDEX(BookRank,534))</f>
        <v/>
      </c>
      <c r="I539" s="41" t="str">
        <f aca="false">IF(INDEX(BookTitle,534)="","",INDEX(BookTotal,534))</f>
        <v/>
      </c>
      <c r="J539" s="0" t="str">
        <f aca="false">IF($I539="","",IF(INDEX(BookQ1,534)&gt;0,"Q1",IF(INDEX(BookQ2,534)&gt;0,"Q2",IF(INDEX(BookQ3,534)&gt;0,"Q3",IF(INDEX(BookQ4,534)&gt;0,"Q4","")))))</f>
        <v/>
      </c>
      <c r="K539" s="42" t="str">
        <f aca="false">IF(INDEX(BookTitle,534)="","",INDEX(BookInYear,534))</f>
        <v/>
      </c>
      <c r="L539" s="19"/>
      <c r="M539" s="39"/>
      <c r="N539" s="19"/>
      <c r="O539" s="19"/>
      <c r="P539" s="43" t="str">
        <f aca="false">IF($E539="","",IF($L539="Decline",0,IF($L539="Approve fewer",IF($M539="","",$M539),IF($L539="","",$I539))))</f>
        <v/>
      </c>
      <c r="Q539" s="34" t="str">
        <f aca="false">IF($P539="","",IF($N539&lt;&gt;"",$N539,$J539))</f>
        <v/>
      </c>
      <c r="R539" s="35" t="str">
        <f aca="false">IF(OR($P539="",$Q539=""),"",INDEX(BookRate,534)*$P539*(5-MATCH($Q539,{"Q1";"Q2";"Q3";"Q4"},0))/4+INDEX(BookOneOff,534)*$P539)</f>
        <v/>
      </c>
      <c r="S539" s="35" t="str">
        <f aca="false">IF($P539="","",INDEX(BookRate,534)*$P539)</f>
        <v/>
      </c>
      <c r="T539" s="35" t="str">
        <f aca="false">IF($R539="","",$R539-$K539)</f>
        <v/>
      </c>
      <c r="U539" s="35" t="str">
        <f aca="false">IF(N($P539)&lt;=0,"",COUNTIF($P$6:$P539,"&gt;0"))</f>
        <v/>
      </c>
    </row>
    <row r="540" customFormat="false" ht="15" hidden="false" customHeight="false" outlineLevel="0" collapsed="false">
      <c r="A540" s="40" t="str">
        <f aca="false">IF(INDEX(BookTitle,535)="","",INDEX(BookGroup,535))</f>
        <v/>
      </c>
      <c r="B540" s="40" t="str">
        <f aca="false">IF(INDEX(BookTitle,535)="","",INDEX(BookRef,535))</f>
        <v/>
      </c>
      <c r="C540" s="40" t="str">
        <f aca="false">IF(INDEX(BookTitle,535)="","",INDEX(BookDivision,535))</f>
        <v/>
      </c>
      <c r="D540" s="40" t="str">
        <f aca="false">IF(INDEX(BookTitle,535)="","",INDEX(BookUnit,535))</f>
        <v/>
      </c>
      <c r="E540" s="40" t="str">
        <f aca="false">IF(INDEX(BookTitle,535)="","",INDEX(BookTitle,535))</f>
        <v/>
      </c>
      <c r="F540" s="40" t="str">
        <f aca="false">IF(INDEX(BookTitle,535)="","",INDEX(BookLevel,535))</f>
        <v/>
      </c>
      <c r="G540" s="40" t="str">
        <f aca="false">IF(INDEX(BookTitle,535)="","",INDEX(BookCategory,535))</f>
        <v/>
      </c>
      <c r="H540" s="40" t="str">
        <f aca="false">IF(INDEX(BookTitle,535)="","",INDEX(BookRank,535))</f>
        <v/>
      </c>
      <c r="I540" s="41" t="str">
        <f aca="false">IF(INDEX(BookTitle,535)="","",INDEX(BookTotal,535))</f>
        <v/>
      </c>
      <c r="J540" s="0" t="str">
        <f aca="false">IF($I540="","",IF(INDEX(BookQ1,535)&gt;0,"Q1",IF(INDEX(BookQ2,535)&gt;0,"Q2",IF(INDEX(BookQ3,535)&gt;0,"Q3",IF(INDEX(BookQ4,535)&gt;0,"Q4","")))))</f>
        <v/>
      </c>
      <c r="K540" s="42" t="str">
        <f aca="false">IF(INDEX(BookTitle,535)="","",INDEX(BookInYear,535))</f>
        <v/>
      </c>
      <c r="L540" s="19"/>
      <c r="M540" s="39"/>
      <c r="N540" s="19"/>
      <c r="O540" s="19"/>
      <c r="P540" s="43" t="str">
        <f aca="false">IF($E540="","",IF($L540="Decline",0,IF($L540="Approve fewer",IF($M540="","",$M540),IF($L540="","",$I540))))</f>
        <v/>
      </c>
      <c r="Q540" s="34" t="str">
        <f aca="false">IF($P540="","",IF($N540&lt;&gt;"",$N540,$J540))</f>
        <v/>
      </c>
      <c r="R540" s="35" t="str">
        <f aca="false">IF(OR($P540="",$Q540=""),"",INDEX(BookRate,535)*$P540*(5-MATCH($Q540,{"Q1";"Q2";"Q3";"Q4"},0))/4+INDEX(BookOneOff,535)*$P540)</f>
        <v/>
      </c>
      <c r="S540" s="35" t="str">
        <f aca="false">IF($P540="","",INDEX(BookRate,535)*$P540)</f>
        <v/>
      </c>
      <c r="T540" s="35" t="str">
        <f aca="false">IF($R540="","",$R540-$K540)</f>
        <v/>
      </c>
      <c r="U540" s="35" t="str">
        <f aca="false">IF(N($P540)&lt;=0,"",COUNTIF($P$6:$P540,"&gt;0"))</f>
        <v/>
      </c>
    </row>
    <row r="541" customFormat="false" ht="15" hidden="false" customHeight="false" outlineLevel="0" collapsed="false">
      <c r="A541" s="40" t="str">
        <f aca="false">IF(INDEX(BookTitle,536)="","",INDEX(BookGroup,536))</f>
        <v/>
      </c>
      <c r="B541" s="40" t="str">
        <f aca="false">IF(INDEX(BookTitle,536)="","",INDEX(BookRef,536))</f>
        <v/>
      </c>
      <c r="C541" s="40" t="str">
        <f aca="false">IF(INDEX(BookTitle,536)="","",INDEX(BookDivision,536))</f>
        <v/>
      </c>
      <c r="D541" s="40" t="str">
        <f aca="false">IF(INDEX(BookTitle,536)="","",INDEX(BookUnit,536))</f>
        <v/>
      </c>
      <c r="E541" s="40" t="str">
        <f aca="false">IF(INDEX(BookTitle,536)="","",INDEX(BookTitle,536))</f>
        <v/>
      </c>
      <c r="F541" s="40" t="str">
        <f aca="false">IF(INDEX(BookTitle,536)="","",INDEX(BookLevel,536))</f>
        <v/>
      </c>
      <c r="G541" s="40" t="str">
        <f aca="false">IF(INDEX(BookTitle,536)="","",INDEX(BookCategory,536))</f>
        <v/>
      </c>
      <c r="H541" s="40" t="str">
        <f aca="false">IF(INDEX(BookTitle,536)="","",INDEX(BookRank,536))</f>
        <v/>
      </c>
      <c r="I541" s="41" t="str">
        <f aca="false">IF(INDEX(BookTitle,536)="","",INDEX(BookTotal,536))</f>
        <v/>
      </c>
      <c r="J541" s="0" t="str">
        <f aca="false">IF($I541="","",IF(INDEX(BookQ1,536)&gt;0,"Q1",IF(INDEX(BookQ2,536)&gt;0,"Q2",IF(INDEX(BookQ3,536)&gt;0,"Q3",IF(INDEX(BookQ4,536)&gt;0,"Q4","")))))</f>
        <v/>
      </c>
      <c r="K541" s="42" t="str">
        <f aca="false">IF(INDEX(BookTitle,536)="","",INDEX(BookInYear,536))</f>
        <v/>
      </c>
      <c r="L541" s="19"/>
      <c r="M541" s="39"/>
      <c r="N541" s="19"/>
      <c r="O541" s="19"/>
      <c r="P541" s="43" t="str">
        <f aca="false">IF($E541="","",IF($L541="Decline",0,IF($L541="Approve fewer",IF($M541="","",$M541),IF($L541="","",$I541))))</f>
        <v/>
      </c>
      <c r="Q541" s="34" t="str">
        <f aca="false">IF($P541="","",IF($N541&lt;&gt;"",$N541,$J541))</f>
        <v/>
      </c>
      <c r="R541" s="35" t="str">
        <f aca="false">IF(OR($P541="",$Q541=""),"",INDEX(BookRate,536)*$P541*(5-MATCH($Q541,{"Q1";"Q2";"Q3";"Q4"},0))/4+INDEX(BookOneOff,536)*$P541)</f>
        <v/>
      </c>
      <c r="S541" s="35" t="str">
        <f aca="false">IF($P541="","",INDEX(BookRate,536)*$P541)</f>
        <v/>
      </c>
      <c r="T541" s="35" t="str">
        <f aca="false">IF($R541="","",$R541-$K541)</f>
        <v/>
      </c>
      <c r="U541" s="35" t="str">
        <f aca="false">IF(N($P541)&lt;=0,"",COUNTIF($P$6:$P541,"&gt;0"))</f>
        <v/>
      </c>
    </row>
    <row r="542" customFormat="false" ht="15" hidden="false" customHeight="false" outlineLevel="0" collapsed="false">
      <c r="A542" s="40" t="str">
        <f aca="false">IF(INDEX(BookTitle,537)="","",INDEX(BookGroup,537))</f>
        <v/>
      </c>
      <c r="B542" s="40" t="str">
        <f aca="false">IF(INDEX(BookTitle,537)="","",INDEX(BookRef,537))</f>
        <v/>
      </c>
      <c r="C542" s="40" t="str">
        <f aca="false">IF(INDEX(BookTitle,537)="","",INDEX(BookDivision,537))</f>
        <v/>
      </c>
      <c r="D542" s="40" t="str">
        <f aca="false">IF(INDEX(BookTitle,537)="","",INDEX(BookUnit,537))</f>
        <v/>
      </c>
      <c r="E542" s="40" t="str">
        <f aca="false">IF(INDEX(BookTitle,537)="","",INDEX(BookTitle,537))</f>
        <v/>
      </c>
      <c r="F542" s="40" t="str">
        <f aca="false">IF(INDEX(BookTitle,537)="","",INDEX(BookLevel,537))</f>
        <v/>
      </c>
      <c r="G542" s="40" t="str">
        <f aca="false">IF(INDEX(BookTitle,537)="","",INDEX(BookCategory,537))</f>
        <v/>
      </c>
      <c r="H542" s="40" t="str">
        <f aca="false">IF(INDEX(BookTitle,537)="","",INDEX(BookRank,537))</f>
        <v/>
      </c>
      <c r="I542" s="41" t="str">
        <f aca="false">IF(INDEX(BookTitle,537)="","",INDEX(BookTotal,537))</f>
        <v/>
      </c>
      <c r="J542" s="0" t="str">
        <f aca="false">IF($I542="","",IF(INDEX(BookQ1,537)&gt;0,"Q1",IF(INDEX(BookQ2,537)&gt;0,"Q2",IF(INDEX(BookQ3,537)&gt;0,"Q3",IF(INDEX(BookQ4,537)&gt;0,"Q4","")))))</f>
        <v/>
      </c>
      <c r="K542" s="42" t="str">
        <f aca="false">IF(INDEX(BookTitle,537)="","",INDEX(BookInYear,537))</f>
        <v/>
      </c>
      <c r="L542" s="19"/>
      <c r="M542" s="39"/>
      <c r="N542" s="19"/>
      <c r="O542" s="19"/>
      <c r="P542" s="43" t="str">
        <f aca="false">IF($E542="","",IF($L542="Decline",0,IF($L542="Approve fewer",IF($M542="","",$M542),IF($L542="","",$I542))))</f>
        <v/>
      </c>
      <c r="Q542" s="34" t="str">
        <f aca="false">IF($P542="","",IF($N542&lt;&gt;"",$N542,$J542))</f>
        <v/>
      </c>
      <c r="R542" s="35" t="str">
        <f aca="false">IF(OR($P542="",$Q542=""),"",INDEX(BookRate,537)*$P542*(5-MATCH($Q542,{"Q1";"Q2";"Q3";"Q4"},0))/4+INDEX(BookOneOff,537)*$P542)</f>
        <v/>
      </c>
      <c r="S542" s="35" t="str">
        <f aca="false">IF($P542="","",INDEX(BookRate,537)*$P542)</f>
        <v/>
      </c>
      <c r="T542" s="35" t="str">
        <f aca="false">IF($R542="","",$R542-$K542)</f>
        <v/>
      </c>
      <c r="U542" s="35" t="str">
        <f aca="false">IF(N($P542)&lt;=0,"",COUNTIF($P$6:$P542,"&gt;0"))</f>
        <v/>
      </c>
    </row>
    <row r="543" customFormat="false" ht="15" hidden="false" customHeight="false" outlineLevel="0" collapsed="false">
      <c r="A543" s="40" t="str">
        <f aca="false">IF(INDEX(BookTitle,538)="","",INDEX(BookGroup,538))</f>
        <v/>
      </c>
      <c r="B543" s="40" t="str">
        <f aca="false">IF(INDEX(BookTitle,538)="","",INDEX(BookRef,538))</f>
        <v/>
      </c>
      <c r="C543" s="40" t="str">
        <f aca="false">IF(INDEX(BookTitle,538)="","",INDEX(BookDivision,538))</f>
        <v/>
      </c>
      <c r="D543" s="40" t="str">
        <f aca="false">IF(INDEX(BookTitle,538)="","",INDEX(BookUnit,538))</f>
        <v/>
      </c>
      <c r="E543" s="40" t="str">
        <f aca="false">IF(INDEX(BookTitle,538)="","",INDEX(BookTitle,538))</f>
        <v/>
      </c>
      <c r="F543" s="40" t="str">
        <f aca="false">IF(INDEX(BookTitle,538)="","",INDEX(BookLevel,538))</f>
        <v/>
      </c>
      <c r="G543" s="40" t="str">
        <f aca="false">IF(INDEX(BookTitle,538)="","",INDEX(BookCategory,538))</f>
        <v/>
      </c>
      <c r="H543" s="40" t="str">
        <f aca="false">IF(INDEX(BookTitle,538)="","",INDEX(BookRank,538))</f>
        <v/>
      </c>
      <c r="I543" s="41" t="str">
        <f aca="false">IF(INDEX(BookTitle,538)="","",INDEX(BookTotal,538))</f>
        <v/>
      </c>
      <c r="J543" s="0" t="str">
        <f aca="false">IF($I543="","",IF(INDEX(BookQ1,538)&gt;0,"Q1",IF(INDEX(BookQ2,538)&gt;0,"Q2",IF(INDEX(BookQ3,538)&gt;0,"Q3",IF(INDEX(BookQ4,538)&gt;0,"Q4","")))))</f>
        <v/>
      </c>
      <c r="K543" s="42" t="str">
        <f aca="false">IF(INDEX(BookTitle,538)="","",INDEX(BookInYear,538))</f>
        <v/>
      </c>
      <c r="L543" s="19"/>
      <c r="M543" s="39"/>
      <c r="N543" s="19"/>
      <c r="O543" s="19"/>
      <c r="P543" s="43" t="str">
        <f aca="false">IF($E543="","",IF($L543="Decline",0,IF($L543="Approve fewer",IF($M543="","",$M543),IF($L543="","",$I543))))</f>
        <v/>
      </c>
      <c r="Q543" s="34" t="str">
        <f aca="false">IF($P543="","",IF($N543&lt;&gt;"",$N543,$J543))</f>
        <v/>
      </c>
      <c r="R543" s="35" t="str">
        <f aca="false">IF(OR($P543="",$Q543=""),"",INDEX(BookRate,538)*$P543*(5-MATCH($Q543,{"Q1";"Q2";"Q3";"Q4"},0))/4+INDEX(BookOneOff,538)*$P543)</f>
        <v/>
      </c>
      <c r="S543" s="35" t="str">
        <f aca="false">IF($P543="","",INDEX(BookRate,538)*$P543)</f>
        <v/>
      </c>
      <c r="T543" s="35" t="str">
        <f aca="false">IF($R543="","",$R543-$K543)</f>
        <v/>
      </c>
      <c r="U543" s="35" t="str">
        <f aca="false">IF(N($P543)&lt;=0,"",COUNTIF($P$6:$P543,"&gt;0"))</f>
        <v/>
      </c>
    </row>
    <row r="544" customFormat="false" ht="15" hidden="false" customHeight="false" outlineLevel="0" collapsed="false">
      <c r="A544" s="40" t="str">
        <f aca="false">IF(INDEX(BookTitle,539)="","",INDEX(BookGroup,539))</f>
        <v/>
      </c>
      <c r="B544" s="40" t="str">
        <f aca="false">IF(INDEX(BookTitle,539)="","",INDEX(BookRef,539))</f>
        <v/>
      </c>
      <c r="C544" s="40" t="str">
        <f aca="false">IF(INDEX(BookTitle,539)="","",INDEX(BookDivision,539))</f>
        <v/>
      </c>
      <c r="D544" s="40" t="str">
        <f aca="false">IF(INDEX(BookTitle,539)="","",INDEX(BookUnit,539))</f>
        <v/>
      </c>
      <c r="E544" s="40" t="str">
        <f aca="false">IF(INDEX(BookTitle,539)="","",INDEX(BookTitle,539))</f>
        <v/>
      </c>
      <c r="F544" s="40" t="str">
        <f aca="false">IF(INDEX(BookTitle,539)="","",INDEX(BookLevel,539))</f>
        <v/>
      </c>
      <c r="G544" s="40" t="str">
        <f aca="false">IF(INDEX(BookTitle,539)="","",INDEX(BookCategory,539))</f>
        <v/>
      </c>
      <c r="H544" s="40" t="str">
        <f aca="false">IF(INDEX(BookTitle,539)="","",INDEX(BookRank,539))</f>
        <v/>
      </c>
      <c r="I544" s="41" t="str">
        <f aca="false">IF(INDEX(BookTitle,539)="","",INDEX(BookTotal,539))</f>
        <v/>
      </c>
      <c r="J544" s="0" t="str">
        <f aca="false">IF($I544="","",IF(INDEX(BookQ1,539)&gt;0,"Q1",IF(INDEX(BookQ2,539)&gt;0,"Q2",IF(INDEX(BookQ3,539)&gt;0,"Q3",IF(INDEX(BookQ4,539)&gt;0,"Q4","")))))</f>
        <v/>
      </c>
      <c r="K544" s="42" t="str">
        <f aca="false">IF(INDEX(BookTitle,539)="","",INDEX(BookInYear,539))</f>
        <v/>
      </c>
      <c r="L544" s="19"/>
      <c r="M544" s="39"/>
      <c r="N544" s="19"/>
      <c r="O544" s="19"/>
      <c r="P544" s="43" t="str">
        <f aca="false">IF($E544="","",IF($L544="Decline",0,IF($L544="Approve fewer",IF($M544="","",$M544),IF($L544="","",$I544))))</f>
        <v/>
      </c>
      <c r="Q544" s="34" t="str">
        <f aca="false">IF($P544="","",IF($N544&lt;&gt;"",$N544,$J544))</f>
        <v/>
      </c>
      <c r="R544" s="35" t="str">
        <f aca="false">IF(OR($P544="",$Q544=""),"",INDEX(BookRate,539)*$P544*(5-MATCH($Q544,{"Q1";"Q2";"Q3";"Q4"},0))/4+INDEX(BookOneOff,539)*$P544)</f>
        <v/>
      </c>
      <c r="S544" s="35" t="str">
        <f aca="false">IF($P544="","",INDEX(BookRate,539)*$P544)</f>
        <v/>
      </c>
      <c r="T544" s="35" t="str">
        <f aca="false">IF($R544="","",$R544-$K544)</f>
        <v/>
      </c>
      <c r="U544" s="35" t="str">
        <f aca="false">IF(N($P544)&lt;=0,"",COUNTIF($P$6:$P544,"&gt;0"))</f>
        <v/>
      </c>
    </row>
    <row r="545" customFormat="false" ht="15" hidden="false" customHeight="false" outlineLevel="0" collapsed="false">
      <c r="A545" s="40" t="str">
        <f aca="false">IF(INDEX(BookTitle,540)="","",INDEX(BookGroup,540))</f>
        <v/>
      </c>
      <c r="B545" s="40" t="str">
        <f aca="false">IF(INDEX(BookTitle,540)="","",INDEX(BookRef,540))</f>
        <v/>
      </c>
      <c r="C545" s="40" t="str">
        <f aca="false">IF(INDEX(BookTitle,540)="","",INDEX(BookDivision,540))</f>
        <v/>
      </c>
      <c r="D545" s="40" t="str">
        <f aca="false">IF(INDEX(BookTitle,540)="","",INDEX(BookUnit,540))</f>
        <v/>
      </c>
      <c r="E545" s="40" t="str">
        <f aca="false">IF(INDEX(BookTitle,540)="","",INDEX(BookTitle,540))</f>
        <v/>
      </c>
      <c r="F545" s="40" t="str">
        <f aca="false">IF(INDEX(BookTitle,540)="","",INDEX(BookLevel,540))</f>
        <v/>
      </c>
      <c r="G545" s="40" t="str">
        <f aca="false">IF(INDEX(BookTitle,540)="","",INDEX(BookCategory,540))</f>
        <v/>
      </c>
      <c r="H545" s="40" t="str">
        <f aca="false">IF(INDEX(BookTitle,540)="","",INDEX(BookRank,540))</f>
        <v/>
      </c>
      <c r="I545" s="41" t="str">
        <f aca="false">IF(INDEX(BookTitle,540)="","",INDEX(BookTotal,540))</f>
        <v/>
      </c>
      <c r="J545" s="0" t="str">
        <f aca="false">IF($I545="","",IF(INDEX(BookQ1,540)&gt;0,"Q1",IF(INDEX(BookQ2,540)&gt;0,"Q2",IF(INDEX(BookQ3,540)&gt;0,"Q3",IF(INDEX(BookQ4,540)&gt;0,"Q4","")))))</f>
        <v/>
      </c>
      <c r="K545" s="42" t="str">
        <f aca="false">IF(INDEX(BookTitle,540)="","",INDEX(BookInYear,540))</f>
        <v/>
      </c>
      <c r="L545" s="19"/>
      <c r="M545" s="39"/>
      <c r="N545" s="19"/>
      <c r="O545" s="19"/>
      <c r="P545" s="43" t="str">
        <f aca="false">IF($E545="","",IF($L545="Decline",0,IF($L545="Approve fewer",IF($M545="","",$M545),IF($L545="","",$I545))))</f>
        <v/>
      </c>
      <c r="Q545" s="34" t="str">
        <f aca="false">IF($P545="","",IF($N545&lt;&gt;"",$N545,$J545))</f>
        <v/>
      </c>
      <c r="R545" s="35" t="str">
        <f aca="false">IF(OR($P545="",$Q545=""),"",INDEX(BookRate,540)*$P545*(5-MATCH($Q545,{"Q1";"Q2";"Q3";"Q4"},0))/4+INDEX(BookOneOff,540)*$P545)</f>
        <v/>
      </c>
      <c r="S545" s="35" t="str">
        <f aca="false">IF($P545="","",INDEX(BookRate,540)*$P545)</f>
        <v/>
      </c>
      <c r="T545" s="35" t="str">
        <f aca="false">IF($R545="","",$R545-$K545)</f>
        <v/>
      </c>
      <c r="U545" s="35" t="str">
        <f aca="false">IF(N($P545)&lt;=0,"",COUNTIF($P$6:$P545,"&gt;0"))</f>
        <v/>
      </c>
    </row>
    <row r="546" customFormat="false" ht="15" hidden="false" customHeight="false" outlineLevel="0" collapsed="false">
      <c r="A546" s="40" t="str">
        <f aca="false">IF(INDEX(BookTitle,541)="","",INDEX(BookGroup,541))</f>
        <v/>
      </c>
      <c r="B546" s="40" t="str">
        <f aca="false">IF(INDEX(BookTitle,541)="","",INDEX(BookRef,541))</f>
        <v/>
      </c>
      <c r="C546" s="40" t="str">
        <f aca="false">IF(INDEX(BookTitle,541)="","",INDEX(BookDivision,541))</f>
        <v/>
      </c>
      <c r="D546" s="40" t="str">
        <f aca="false">IF(INDEX(BookTitle,541)="","",INDEX(BookUnit,541))</f>
        <v/>
      </c>
      <c r="E546" s="40" t="str">
        <f aca="false">IF(INDEX(BookTitle,541)="","",INDEX(BookTitle,541))</f>
        <v/>
      </c>
      <c r="F546" s="40" t="str">
        <f aca="false">IF(INDEX(BookTitle,541)="","",INDEX(BookLevel,541))</f>
        <v/>
      </c>
      <c r="G546" s="40" t="str">
        <f aca="false">IF(INDEX(BookTitle,541)="","",INDEX(BookCategory,541))</f>
        <v/>
      </c>
      <c r="H546" s="40" t="str">
        <f aca="false">IF(INDEX(BookTitle,541)="","",INDEX(BookRank,541))</f>
        <v/>
      </c>
      <c r="I546" s="41" t="str">
        <f aca="false">IF(INDEX(BookTitle,541)="","",INDEX(BookTotal,541))</f>
        <v/>
      </c>
      <c r="J546" s="0" t="str">
        <f aca="false">IF($I546="","",IF(INDEX(BookQ1,541)&gt;0,"Q1",IF(INDEX(BookQ2,541)&gt;0,"Q2",IF(INDEX(BookQ3,541)&gt;0,"Q3",IF(INDEX(BookQ4,541)&gt;0,"Q4","")))))</f>
        <v/>
      </c>
      <c r="K546" s="42" t="str">
        <f aca="false">IF(INDEX(BookTitle,541)="","",INDEX(BookInYear,541))</f>
        <v/>
      </c>
      <c r="L546" s="19"/>
      <c r="M546" s="39"/>
      <c r="N546" s="19"/>
      <c r="O546" s="19"/>
      <c r="P546" s="43" t="str">
        <f aca="false">IF($E546="","",IF($L546="Decline",0,IF($L546="Approve fewer",IF($M546="","",$M546),IF($L546="","",$I546))))</f>
        <v/>
      </c>
      <c r="Q546" s="34" t="str">
        <f aca="false">IF($P546="","",IF($N546&lt;&gt;"",$N546,$J546))</f>
        <v/>
      </c>
      <c r="R546" s="35" t="str">
        <f aca="false">IF(OR($P546="",$Q546=""),"",INDEX(BookRate,541)*$P546*(5-MATCH($Q546,{"Q1";"Q2";"Q3";"Q4"},0))/4+INDEX(BookOneOff,541)*$P546)</f>
        <v/>
      </c>
      <c r="S546" s="35" t="str">
        <f aca="false">IF($P546="","",INDEX(BookRate,541)*$P546)</f>
        <v/>
      </c>
      <c r="T546" s="35" t="str">
        <f aca="false">IF($R546="","",$R546-$K546)</f>
        <v/>
      </c>
      <c r="U546" s="35" t="str">
        <f aca="false">IF(N($P546)&lt;=0,"",COUNTIF($P$6:$P546,"&gt;0"))</f>
        <v/>
      </c>
    </row>
    <row r="547" customFormat="false" ht="15" hidden="false" customHeight="false" outlineLevel="0" collapsed="false">
      <c r="A547" s="40" t="str">
        <f aca="false">IF(INDEX(BookTitle,542)="","",INDEX(BookGroup,542))</f>
        <v/>
      </c>
      <c r="B547" s="40" t="str">
        <f aca="false">IF(INDEX(BookTitle,542)="","",INDEX(BookRef,542))</f>
        <v/>
      </c>
      <c r="C547" s="40" t="str">
        <f aca="false">IF(INDEX(BookTitle,542)="","",INDEX(BookDivision,542))</f>
        <v/>
      </c>
      <c r="D547" s="40" t="str">
        <f aca="false">IF(INDEX(BookTitle,542)="","",INDEX(BookUnit,542))</f>
        <v/>
      </c>
      <c r="E547" s="40" t="str">
        <f aca="false">IF(INDEX(BookTitle,542)="","",INDEX(BookTitle,542))</f>
        <v/>
      </c>
      <c r="F547" s="40" t="str">
        <f aca="false">IF(INDEX(BookTitle,542)="","",INDEX(BookLevel,542))</f>
        <v/>
      </c>
      <c r="G547" s="40" t="str">
        <f aca="false">IF(INDEX(BookTitle,542)="","",INDEX(BookCategory,542))</f>
        <v/>
      </c>
      <c r="H547" s="40" t="str">
        <f aca="false">IF(INDEX(BookTitle,542)="","",INDEX(BookRank,542))</f>
        <v/>
      </c>
      <c r="I547" s="41" t="str">
        <f aca="false">IF(INDEX(BookTitle,542)="","",INDEX(BookTotal,542))</f>
        <v/>
      </c>
      <c r="J547" s="0" t="str">
        <f aca="false">IF($I547="","",IF(INDEX(BookQ1,542)&gt;0,"Q1",IF(INDEX(BookQ2,542)&gt;0,"Q2",IF(INDEX(BookQ3,542)&gt;0,"Q3",IF(INDEX(BookQ4,542)&gt;0,"Q4","")))))</f>
        <v/>
      </c>
      <c r="K547" s="42" t="str">
        <f aca="false">IF(INDEX(BookTitle,542)="","",INDEX(BookInYear,542))</f>
        <v/>
      </c>
      <c r="L547" s="19"/>
      <c r="M547" s="39"/>
      <c r="N547" s="19"/>
      <c r="O547" s="19"/>
      <c r="P547" s="43" t="str">
        <f aca="false">IF($E547="","",IF($L547="Decline",0,IF($L547="Approve fewer",IF($M547="","",$M547),IF($L547="","",$I547))))</f>
        <v/>
      </c>
      <c r="Q547" s="34" t="str">
        <f aca="false">IF($P547="","",IF($N547&lt;&gt;"",$N547,$J547))</f>
        <v/>
      </c>
      <c r="R547" s="35" t="str">
        <f aca="false">IF(OR($P547="",$Q547=""),"",INDEX(BookRate,542)*$P547*(5-MATCH($Q547,{"Q1";"Q2";"Q3";"Q4"},0))/4+INDEX(BookOneOff,542)*$P547)</f>
        <v/>
      </c>
      <c r="S547" s="35" t="str">
        <f aca="false">IF($P547="","",INDEX(BookRate,542)*$P547)</f>
        <v/>
      </c>
      <c r="T547" s="35" t="str">
        <f aca="false">IF($R547="","",$R547-$K547)</f>
        <v/>
      </c>
      <c r="U547" s="35" t="str">
        <f aca="false">IF(N($P547)&lt;=0,"",COUNTIF($P$6:$P547,"&gt;0"))</f>
        <v/>
      </c>
    </row>
    <row r="548" customFormat="false" ht="15" hidden="false" customHeight="false" outlineLevel="0" collapsed="false">
      <c r="A548" s="40" t="str">
        <f aca="false">IF(INDEX(BookTitle,543)="","",INDEX(BookGroup,543))</f>
        <v/>
      </c>
      <c r="B548" s="40" t="str">
        <f aca="false">IF(INDEX(BookTitle,543)="","",INDEX(BookRef,543))</f>
        <v/>
      </c>
      <c r="C548" s="40" t="str">
        <f aca="false">IF(INDEX(BookTitle,543)="","",INDEX(BookDivision,543))</f>
        <v/>
      </c>
      <c r="D548" s="40" t="str">
        <f aca="false">IF(INDEX(BookTitle,543)="","",INDEX(BookUnit,543))</f>
        <v/>
      </c>
      <c r="E548" s="40" t="str">
        <f aca="false">IF(INDEX(BookTitle,543)="","",INDEX(BookTitle,543))</f>
        <v/>
      </c>
      <c r="F548" s="40" t="str">
        <f aca="false">IF(INDEX(BookTitle,543)="","",INDEX(BookLevel,543))</f>
        <v/>
      </c>
      <c r="G548" s="40" t="str">
        <f aca="false">IF(INDEX(BookTitle,543)="","",INDEX(BookCategory,543))</f>
        <v/>
      </c>
      <c r="H548" s="40" t="str">
        <f aca="false">IF(INDEX(BookTitle,543)="","",INDEX(BookRank,543))</f>
        <v/>
      </c>
      <c r="I548" s="41" t="str">
        <f aca="false">IF(INDEX(BookTitle,543)="","",INDEX(BookTotal,543))</f>
        <v/>
      </c>
      <c r="J548" s="0" t="str">
        <f aca="false">IF($I548="","",IF(INDEX(BookQ1,543)&gt;0,"Q1",IF(INDEX(BookQ2,543)&gt;0,"Q2",IF(INDEX(BookQ3,543)&gt;0,"Q3",IF(INDEX(BookQ4,543)&gt;0,"Q4","")))))</f>
        <v/>
      </c>
      <c r="K548" s="42" t="str">
        <f aca="false">IF(INDEX(BookTitle,543)="","",INDEX(BookInYear,543))</f>
        <v/>
      </c>
      <c r="L548" s="19"/>
      <c r="M548" s="39"/>
      <c r="N548" s="19"/>
      <c r="O548" s="19"/>
      <c r="P548" s="43" t="str">
        <f aca="false">IF($E548="","",IF($L548="Decline",0,IF($L548="Approve fewer",IF($M548="","",$M548),IF($L548="","",$I548))))</f>
        <v/>
      </c>
      <c r="Q548" s="34" t="str">
        <f aca="false">IF($P548="","",IF($N548&lt;&gt;"",$N548,$J548))</f>
        <v/>
      </c>
      <c r="R548" s="35" t="str">
        <f aca="false">IF(OR($P548="",$Q548=""),"",INDEX(BookRate,543)*$P548*(5-MATCH($Q548,{"Q1";"Q2";"Q3";"Q4"},0))/4+INDEX(BookOneOff,543)*$P548)</f>
        <v/>
      </c>
      <c r="S548" s="35" t="str">
        <f aca="false">IF($P548="","",INDEX(BookRate,543)*$P548)</f>
        <v/>
      </c>
      <c r="T548" s="35" t="str">
        <f aca="false">IF($R548="","",$R548-$K548)</f>
        <v/>
      </c>
      <c r="U548" s="35" t="str">
        <f aca="false">IF(N($P548)&lt;=0,"",COUNTIF($P$6:$P548,"&gt;0"))</f>
        <v/>
      </c>
    </row>
    <row r="549" customFormat="false" ht="15" hidden="false" customHeight="false" outlineLevel="0" collapsed="false">
      <c r="A549" s="40" t="str">
        <f aca="false">IF(INDEX(BookTitle,544)="","",INDEX(BookGroup,544))</f>
        <v/>
      </c>
      <c r="B549" s="40" t="str">
        <f aca="false">IF(INDEX(BookTitle,544)="","",INDEX(BookRef,544))</f>
        <v/>
      </c>
      <c r="C549" s="40" t="str">
        <f aca="false">IF(INDEX(BookTitle,544)="","",INDEX(BookDivision,544))</f>
        <v/>
      </c>
      <c r="D549" s="40" t="str">
        <f aca="false">IF(INDEX(BookTitle,544)="","",INDEX(BookUnit,544))</f>
        <v/>
      </c>
      <c r="E549" s="40" t="str">
        <f aca="false">IF(INDEX(BookTitle,544)="","",INDEX(BookTitle,544))</f>
        <v/>
      </c>
      <c r="F549" s="40" t="str">
        <f aca="false">IF(INDEX(BookTitle,544)="","",INDEX(BookLevel,544))</f>
        <v/>
      </c>
      <c r="G549" s="40" t="str">
        <f aca="false">IF(INDEX(BookTitle,544)="","",INDEX(BookCategory,544))</f>
        <v/>
      </c>
      <c r="H549" s="40" t="str">
        <f aca="false">IF(INDEX(BookTitle,544)="","",INDEX(BookRank,544))</f>
        <v/>
      </c>
      <c r="I549" s="41" t="str">
        <f aca="false">IF(INDEX(BookTitle,544)="","",INDEX(BookTotal,544))</f>
        <v/>
      </c>
      <c r="J549" s="0" t="str">
        <f aca="false">IF($I549="","",IF(INDEX(BookQ1,544)&gt;0,"Q1",IF(INDEX(BookQ2,544)&gt;0,"Q2",IF(INDEX(BookQ3,544)&gt;0,"Q3",IF(INDEX(BookQ4,544)&gt;0,"Q4","")))))</f>
        <v/>
      </c>
      <c r="K549" s="42" t="str">
        <f aca="false">IF(INDEX(BookTitle,544)="","",INDEX(BookInYear,544))</f>
        <v/>
      </c>
      <c r="L549" s="19"/>
      <c r="M549" s="39"/>
      <c r="N549" s="19"/>
      <c r="O549" s="19"/>
      <c r="P549" s="43" t="str">
        <f aca="false">IF($E549="","",IF($L549="Decline",0,IF($L549="Approve fewer",IF($M549="","",$M549),IF($L549="","",$I549))))</f>
        <v/>
      </c>
      <c r="Q549" s="34" t="str">
        <f aca="false">IF($P549="","",IF($N549&lt;&gt;"",$N549,$J549))</f>
        <v/>
      </c>
      <c r="R549" s="35" t="str">
        <f aca="false">IF(OR($P549="",$Q549=""),"",INDEX(BookRate,544)*$P549*(5-MATCH($Q549,{"Q1";"Q2";"Q3";"Q4"},0))/4+INDEX(BookOneOff,544)*$P549)</f>
        <v/>
      </c>
      <c r="S549" s="35" t="str">
        <f aca="false">IF($P549="","",INDEX(BookRate,544)*$P549)</f>
        <v/>
      </c>
      <c r="T549" s="35" t="str">
        <f aca="false">IF($R549="","",$R549-$K549)</f>
        <v/>
      </c>
      <c r="U549" s="35" t="str">
        <f aca="false">IF(N($P549)&lt;=0,"",COUNTIF($P$6:$P549,"&gt;0"))</f>
        <v/>
      </c>
    </row>
    <row r="550" customFormat="false" ht="15" hidden="false" customHeight="false" outlineLevel="0" collapsed="false">
      <c r="A550" s="40" t="str">
        <f aca="false">IF(INDEX(BookTitle,545)="","",INDEX(BookGroup,545))</f>
        <v/>
      </c>
      <c r="B550" s="40" t="str">
        <f aca="false">IF(INDEX(BookTitle,545)="","",INDEX(BookRef,545))</f>
        <v/>
      </c>
      <c r="C550" s="40" t="str">
        <f aca="false">IF(INDEX(BookTitle,545)="","",INDEX(BookDivision,545))</f>
        <v/>
      </c>
      <c r="D550" s="40" t="str">
        <f aca="false">IF(INDEX(BookTitle,545)="","",INDEX(BookUnit,545))</f>
        <v/>
      </c>
      <c r="E550" s="40" t="str">
        <f aca="false">IF(INDEX(BookTitle,545)="","",INDEX(BookTitle,545))</f>
        <v/>
      </c>
      <c r="F550" s="40" t="str">
        <f aca="false">IF(INDEX(BookTitle,545)="","",INDEX(BookLevel,545))</f>
        <v/>
      </c>
      <c r="G550" s="40" t="str">
        <f aca="false">IF(INDEX(BookTitle,545)="","",INDEX(BookCategory,545))</f>
        <v/>
      </c>
      <c r="H550" s="40" t="str">
        <f aca="false">IF(INDEX(BookTitle,545)="","",INDEX(BookRank,545))</f>
        <v/>
      </c>
      <c r="I550" s="41" t="str">
        <f aca="false">IF(INDEX(BookTitle,545)="","",INDEX(BookTotal,545))</f>
        <v/>
      </c>
      <c r="J550" s="0" t="str">
        <f aca="false">IF($I550="","",IF(INDEX(BookQ1,545)&gt;0,"Q1",IF(INDEX(BookQ2,545)&gt;0,"Q2",IF(INDEX(BookQ3,545)&gt;0,"Q3",IF(INDEX(BookQ4,545)&gt;0,"Q4","")))))</f>
        <v/>
      </c>
      <c r="K550" s="42" t="str">
        <f aca="false">IF(INDEX(BookTitle,545)="","",INDEX(BookInYear,545))</f>
        <v/>
      </c>
      <c r="L550" s="19"/>
      <c r="M550" s="39"/>
      <c r="N550" s="19"/>
      <c r="O550" s="19"/>
      <c r="P550" s="43" t="str">
        <f aca="false">IF($E550="","",IF($L550="Decline",0,IF($L550="Approve fewer",IF($M550="","",$M550),IF($L550="","",$I550))))</f>
        <v/>
      </c>
      <c r="Q550" s="34" t="str">
        <f aca="false">IF($P550="","",IF($N550&lt;&gt;"",$N550,$J550))</f>
        <v/>
      </c>
      <c r="R550" s="35" t="str">
        <f aca="false">IF(OR($P550="",$Q550=""),"",INDEX(BookRate,545)*$P550*(5-MATCH($Q550,{"Q1";"Q2";"Q3";"Q4"},0))/4+INDEX(BookOneOff,545)*$P550)</f>
        <v/>
      </c>
      <c r="S550" s="35" t="str">
        <f aca="false">IF($P550="","",INDEX(BookRate,545)*$P550)</f>
        <v/>
      </c>
      <c r="T550" s="35" t="str">
        <f aca="false">IF($R550="","",$R550-$K550)</f>
        <v/>
      </c>
      <c r="U550" s="35" t="str">
        <f aca="false">IF(N($P550)&lt;=0,"",COUNTIF($P$6:$P550,"&gt;0"))</f>
        <v/>
      </c>
    </row>
    <row r="551" customFormat="false" ht="15" hidden="false" customHeight="false" outlineLevel="0" collapsed="false">
      <c r="A551" s="40" t="str">
        <f aca="false">IF(INDEX(BookTitle,546)="","",INDEX(BookGroup,546))</f>
        <v/>
      </c>
      <c r="B551" s="40" t="str">
        <f aca="false">IF(INDEX(BookTitle,546)="","",INDEX(BookRef,546))</f>
        <v/>
      </c>
      <c r="C551" s="40" t="str">
        <f aca="false">IF(INDEX(BookTitle,546)="","",INDEX(BookDivision,546))</f>
        <v/>
      </c>
      <c r="D551" s="40" t="str">
        <f aca="false">IF(INDEX(BookTitle,546)="","",INDEX(BookUnit,546))</f>
        <v/>
      </c>
      <c r="E551" s="40" t="str">
        <f aca="false">IF(INDEX(BookTitle,546)="","",INDEX(BookTitle,546))</f>
        <v/>
      </c>
      <c r="F551" s="40" t="str">
        <f aca="false">IF(INDEX(BookTitle,546)="","",INDEX(BookLevel,546))</f>
        <v/>
      </c>
      <c r="G551" s="40" t="str">
        <f aca="false">IF(INDEX(BookTitle,546)="","",INDEX(BookCategory,546))</f>
        <v/>
      </c>
      <c r="H551" s="40" t="str">
        <f aca="false">IF(INDEX(BookTitle,546)="","",INDEX(BookRank,546))</f>
        <v/>
      </c>
      <c r="I551" s="41" t="str">
        <f aca="false">IF(INDEX(BookTitle,546)="","",INDEX(BookTotal,546))</f>
        <v/>
      </c>
      <c r="J551" s="0" t="str">
        <f aca="false">IF($I551="","",IF(INDEX(BookQ1,546)&gt;0,"Q1",IF(INDEX(BookQ2,546)&gt;0,"Q2",IF(INDEX(BookQ3,546)&gt;0,"Q3",IF(INDEX(BookQ4,546)&gt;0,"Q4","")))))</f>
        <v/>
      </c>
      <c r="K551" s="42" t="str">
        <f aca="false">IF(INDEX(BookTitle,546)="","",INDEX(BookInYear,546))</f>
        <v/>
      </c>
      <c r="L551" s="19"/>
      <c r="M551" s="39"/>
      <c r="N551" s="19"/>
      <c r="O551" s="19"/>
      <c r="P551" s="43" t="str">
        <f aca="false">IF($E551="","",IF($L551="Decline",0,IF($L551="Approve fewer",IF($M551="","",$M551),IF($L551="","",$I551))))</f>
        <v/>
      </c>
      <c r="Q551" s="34" t="str">
        <f aca="false">IF($P551="","",IF($N551&lt;&gt;"",$N551,$J551))</f>
        <v/>
      </c>
      <c r="R551" s="35" t="str">
        <f aca="false">IF(OR($P551="",$Q551=""),"",INDEX(BookRate,546)*$P551*(5-MATCH($Q551,{"Q1";"Q2";"Q3";"Q4"},0))/4+INDEX(BookOneOff,546)*$P551)</f>
        <v/>
      </c>
      <c r="S551" s="35" t="str">
        <f aca="false">IF($P551="","",INDEX(BookRate,546)*$P551)</f>
        <v/>
      </c>
      <c r="T551" s="35" t="str">
        <f aca="false">IF($R551="","",$R551-$K551)</f>
        <v/>
      </c>
      <c r="U551" s="35" t="str">
        <f aca="false">IF(N($P551)&lt;=0,"",COUNTIF($P$6:$P551,"&gt;0"))</f>
        <v/>
      </c>
    </row>
    <row r="552" customFormat="false" ht="15" hidden="false" customHeight="false" outlineLevel="0" collapsed="false">
      <c r="A552" s="40" t="str">
        <f aca="false">IF(INDEX(BookTitle,547)="","",INDEX(BookGroup,547))</f>
        <v/>
      </c>
      <c r="B552" s="40" t="str">
        <f aca="false">IF(INDEX(BookTitle,547)="","",INDEX(BookRef,547))</f>
        <v/>
      </c>
      <c r="C552" s="40" t="str">
        <f aca="false">IF(INDEX(BookTitle,547)="","",INDEX(BookDivision,547))</f>
        <v/>
      </c>
      <c r="D552" s="40" t="str">
        <f aca="false">IF(INDEX(BookTitle,547)="","",INDEX(BookUnit,547))</f>
        <v/>
      </c>
      <c r="E552" s="40" t="str">
        <f aca="false">IF(INDEX(BookTitle,547)="","",INDEX(BookTitle,547))</f>
        <v/>
      </c>
      <c r="F552" s="40" t="str">
        <f aca="false">IF(INDEX(BookTitle,547)="","",INDEX(BookLevel,547))</f>
        <v/>
      </c>
      <c r="G552" s="40" t="str">
        <f aca="false">IF(INDEX(BookTitle,547)="","",INDEX(BookCategory,547))</f>
        <v/>
      </c>
      <c r="H552" s="40" t="str">
        <f aca="false">IF(INDEX(BookTitle,547)="","",INDEX(BookRank,547))</f>
        <v/>
      </c>
      <c r="I552" s="41" t="str">
        <f aca="false">IF(INDEX(BookTitle,547)="","",INDEX(BookTotal,547))</f>
        <v/>
      </c>
      <c r="J552" s="0" t="str">
        <f aca="false">IF($I552="","",IF(INDEX(BookQ1,547)&gt;0,"Q1",IF(INDEX(BookQ2,547)&gt;0,"Q2",IF(INDEX(BookQ3,547)&gt;0,"Q3",IF(INDEX(BookQ4,547)&gt;0,"Q4","")))))</f>
        <v/>
      </c>
      <c r="K552" s="42" t="str">
        <f aca="false">IF(INDEX(BookTitle,547)="","",INDEX(BookInYear,547))</f>
        <v/>
      </c>
      <c r="L552" s="19"/>
      <c r="M552" s="39"/>
      <c r="N552" s="19"/>
      <c r="O552" s="19"/>
      <c r="P552" s="43" t="str">
        <f aca="false">IF($E552="","",IF($L552="Decline",0,IF($L552="Approve fewer",IF($M552="","",$M552),IF($L552="","",$I552))))</f>
        <v/>
      </c>
      <c r="Q552" s="34" t="str">
        <f aca="false">IF($P552="","",IF($N552&lt;&gt;"",$N552,$J552))</f>
        <v/>
      </c>
      <c r="R552" s="35" t="str">
        <f aca="false">IF(OR($P552="",$Q552=""),"",INDEX(BookRate,547)*$P552*(5-MATCH($Q552,{"Q1";"Q2";"Q3";"Q4"},0))/4+INDEX(BookOneOff,547)*$P552)</f>
        <v/>
      </c>
      <c r="S552" s="35" t="str">
        <f aca="false">IF($P552="","",INDEX(BookRate,547)*$P552)</f>
        <v/>
      </c>
      <c r="T552" s="35" t="str">
        <f aca="false">IF($R552="","",$R552-$K552)</f>
        <v/>
      </c>
      <c r="U552" s="35" t="str">
        <f aca="false">IF(N($P552)&lt;=0,"",COUNTIF($P$6:$P552,"&gt;0"))</f>
        <v/>
      </c>
    </row>
    <row r="553" customFormat="false" ht="15" hidden="false" customHeight="false" outlineLevel="0" collapsed="false">
      <c r="A553" s="40" t="str">
        <f aca="false">IF(INDEX(BookTitle,548)="","",INDEX(BookGroup,548))</f>
        <v/>
      </c>
      <c r="B553" s="40" t="str">
        <f aca="false">IF(INDEX(BookTitle,548)="","",INDEX(BookRef,548))</f>
        <v/>
      </c>
      <c r="C553" s="40" t="str">
        <f aca="false">IF(INDEX(BookTitle,548)="","",INDEX(BookDivision,548))</f>
        <v/>
      </c>
      <c r="D553" s="40" t="str">
        <f aca="false">IF(INDEX(BookTitle,548)="","",INDEX(BookUnit,548))</f>
        <v/>
      </c>
      <c r="E553" s="40" t="str">
        <f aca="false">IF(INDEX(BookTitle,548)="","",INDEX(BookTitle,548))</f>
        <v/>
      </c>
      <c r="F553" s="40" t="str">
        <f aca="false">IF(INDEX(BookTitle,548)="","",INDEX(BookLevel,548))</f>
        <v/>
      </c>
      <c r="G553" s="40" t="str">
        <f aca="false">IF(INDEX(BookTitle,548)="","",INDEX(BookCategory,548))</f>
        <v/>
      </c>
      <c r="H553" s="40" t="str">
        <f aca="false">IF(INDEX(BookTitle,548)="","",INDEX(BookRank,548))</f>
        <v/>
      </c>
      <c r="I553" s="41" t="str">
        <f aca="false">IF(INDEX(BookTitle,548)="","",INDEX(BookTotal,548))</f>
        <v/>
      </c>
      <c r="J553" s="0" t="str">
        <f aca="false">IF($I553="","",IF(INDEX(BookQ1,548)&gt;0,"Q1",IF(INDEX(BookQ2,548)&gt;0,"Q2",IF(INDEX(BookQ3,548)&gt;0,"Q3",IF(INDEX(BookQ4,548)&gt;0,"Q4","")))))</f>
        <v/>
      </c>
      <c r="K553" s="42" t="str">
        <f aca="false">IF(INDEX(BookTitle,548)="","",INDEX(BookInYear,548))</f>
        <v/>
      </c>
      <c r="L553" s="19"/>
      <c r="M553" s="39"/>
      <c r="N553" s="19"/>
      <c r="O553" s="19"/>
      <c r="P553" s="43" t="str">
        <f aca="false">IF($E553="","",IF($L553="Decline",0,IF($L553="Approve fewer",IF($M553="","",$M553),IF($L553="","",$I553))))</f>
        <v/>
      </c>
      <c r="Q553" s="34" t="str">
        <f aca="false">IF($P553="","",IF($N553&lt;&gt;"",$N553,$J553))</f>
        <v/>
      </c>
      <c r="R553" s="35" t="str">
        <f aca="false">IF(OR($P553="",$Q553=""),"",INDEX(BookRate,548)*$P553*(5-MATCH($Q553,{"Q1";"Q2";"Q3";"Q4"},0))/4+INDEX(BookOneOff,548)*$P553)</f>
        <v/>
      </c>
      <c r="S553" s="35" t="str">
        <f aca="false">IF($P553="","",INDEX(BookRate,548)*$P553)</f>
        <v/>
      </c>
      <c r="T553" s="35" t="str">
        <f aca="false">IF($R553="","",$R553-$K553)</f>
        <v/>
      </c>
      <c r="U553" s="35" t="str">
        <f aca="false">IF(N($P553)&lt;=0,"",COUNTIF($P$6:$P553,"&gt;0"))</f>
        <v/>
      </c>
    </row>
    <row r="554" customFormat="false" ht="15" hidden="false" customHeight="false" outlineLevel="0" collapsed="false">
      <c r="A554" s="40" t="str">
        <f aca="false">IF(INDEX(BookTitle,549)="","",INDEX(BookGroup,549))</f>
        <v/>
      </c>
      <c r="B554" s="40" t="str">
        <f aca="false">IF(INDEX(BookTitle,549)="","",INDEX(BookRef,549))</f>
        <v/>
      </c>
      <c r="C554" s="40" t="str">
        <f aca="false">IF(INDEX(BookTitle,549)="","",INDEX(BookDivision,549))</f>
        <v/>
      </c>
      <c r="D554" s="40" t="str">
        <f aca="false">IF(INDEX(BookTitle,549)="","",INDEX(BookUnit,549))</f>
        <v/>
      </c>
      <c r="E554" s="40" t="str">
        <f aca="false">IF(INDEX(BookTitle,549)="","",INDEX(BookTitle,549))</f>
        <v/>
      </c>
      <c r="F554" s="40" t="str">
        <f aca="false">IF(INDEX(BookTitle,549)="","",INDEX(BookLevel,549))</f>
        <v/>
      </c>
      <c r="G554" s="40" t="str">
        <f aca="false">IF(INDEX(BookTitle,549)="","",INDEX(BookCategory,549))</f>
        <v/>
      </c>
      <c r="H554" s="40" t="str">
        <f aca="false">IF(INDEX(BookTitle,549)="","",INDEX(BookRank,549))</f>
        <v/>
      </c>
      <c r="I554" s="41" t="str">
        <f aca="false">IF(INDEX(BookTitle,549)="","",INDEX(BookTotal,549))</f>
        <v/>
      </c>
      <c r="J554" s="0" t="str">
        <f aca="false">IF($I554="","",IF(INDEX(BookQ1,549)&gt;0,"Q1",IF(INDEX(BookQ2,549)&gt;0,"Q2",IF(INDEX(BookQ3,549)&gt;0,"Q3",IF(INDEX(BookQ4,549)&gt;0,"Q4","")))))</f>
        <v/>
      </c>
      <c r="K554" s="42" t="str">
        <f aca="false">IF(INDEX(BookTitle,549)="","",INDEX(BookInYear,549))</f>
        <v/>
      </c>
      <c r="L554" s="19"/>
      <c r="M554" s="39"/>
      <c r="N554" s="19"/>
      <c r="O554" s="19"/>
      <c r="P554" s="43" t="str">
        <f aca="false">IF($E554="","",IF($L554="Decline",0,IF($L554="Approve fewer",IF($M554="","",$M554),IF($L554="","",$I554))))</f>
        <v/>
      </c>
      <c r="Q554" s="34" t="str">
        <f aca="false">IF($P554="","",IF($N554&lt;&gt;"",$N554,$J554))</f>
        <v/>
      </c>
      <c r="R554" s="35" t="str">
        <f aca="false">IF(OR($P554="",$Q554=""),"",INDEX(BookRate,549)*$P554*(5-MATCH($Q554,{"Q1";"Q2";"Q3";"Q4"},0))/4+INDEX(BookOneOff,549)*$P554)</f>
        <v/>
      </c>
      <c r="S554" s="35" t="str">
        <f aca="false">IF($P554="","",INDEX(BookRate,549)*$P554)</f>
        <v/>
      </c>
      <c r="T554" s="35" t="str">
        <f aca="false">IF($R554="","",$R554-$K554)</f>
        <v/>
      </c>
      <c r="U554" s="35" t="str">
        <f aca="false">IF(N($P554)&lt;=0,"",COUNTIF($P$6:$P554,"&gt;0"))</f>
        <v/>
      </c>
    </row>
    <row r="555" customFormat="false" ht="15" hidden="false" customHeight="false" outlineLevel="0" collapsed="false">
      <c r="A555" s="40" t="str">
        <f aca="false">IF(INDEX(BookTitle,550)="","",INDEX(BookGroup,550))</f>
        <v/>
      </c>
      <c r="B555" s="40" t="str">
        <f aca="false">IF(INDEX(BookTitle,550)="","",INDEX(BookRef,550))</f>
        <v/>
      </c>
      <c r="C555" s="40" t="str">
        <f aca="false">IF(INDEX(BookTitle,550)="","",INDEX(BookDivision,550))</f>
        <v/>
      </c>
      <c r="D555" s="40" t="str">
        <f aca="false">IF(INDEX(BookTitle,550)="","",INDEX(BookUnit,550))</f>
        <v/>
      </c>
      <c r="E555" s="40" t="str">
        <f aca="false">IF(INDEX(BookTitle,550)="","",INDEX(BookTitle,550))</f>
        <v/>
      </c>
      <c r="F555" s="40" t="str">
        <f aca="false">IF(INDEX(BookTitle,550)="","",INDEX(BookLevel,550))</f>
        <v/>
      </c>
      <c r="G555" s="40" t="str">
        <f aca="false">IF(INDEX(BookTitle,550)="","",INDEX(BookCategory,550))</f>
        <v/>
      </c>
      <c r="H555" s="40" t="str">
        <f aca="false">IF(INDEX(BookTitle,550)="","",INDEX(BookRank,550))</f>
        <v/>
      </c>
      <c r="I555" s="41" t="str">
        <f aca="false">IF(INDEX(BookTitle,550)="","",INDEX(BookTotal,550))</f>
        <v/>
      </c>
      <c r="J555" s="0" t="str">
        <f aca="false">IF($I555="","",IF(INDEX(BookQ1,550)&gt;0,"Q1",IF(INDEX(BookQ2,550)&gt;0,"Q2",IF(INDEX(BookQ3,550)&gt;0,"Q3",IF(INDEX(BookQ4,550)&gt;0,"Q4","")))))</f>
        <v/>
      </c>
      <c r="K555" s="42" t="str">
        <f aca="false">IF(INDEX(BookTitle,550)="","",INDEX(BookInYear,550))</f>
        <v/>
      </c>
      <c r="L555" s="19"/>
      <c r="M555" s="39"/>
      <c r="N555" s="19"/>
      <c r="O555" s="19"/>
      <c r="P555" s="43" t="str">
        <f aca="false">IF($E555="","",IF($L555="Decline",0,IF($L555="Approve fewer",IF($M555="","",$M555),IF($L555="","",$I555))))</f>
        <v/>
      </c>
      <c r="Q555" s="34" t="str">
        <f aca="false">IF($P555="","",IF($N555&lt;&gt;"",$N555,$J555))</f>
        <v/>
      </c>
      <c r="R555" s="35" t="str">
        <f aca="false">IF(OR($P555="",$Q555=""),"",INDEX(BookRate,550)*$P555*(5-MATCH($Q555,{"Q1";"Q2";"Q3";"Q4"},0))/4+INDEX(BookOneOff,550)*$P555)</f>
        <v/>
      </c>
      <c r="S555" s="35" t="str">
        <f aca="false">IF($P555="","",INDEX(BookRate,550)*$P555)</f>
        <v/>
      </c>
      <c r="T555" s="35" t="str">
        <f aca="false">IF($R555="","",$R555-$K555)</f>
        <v/>
      </c>
      <c r="U555" s="35" t="str">
        <f aca="false">IF(N($P555)&lt;=0,"",COUNTIF($P$6:$P555,"&gt;0"))</f>
        <v/>
      </c>
    </row>
    <row r="556" customFormat="false" ht="15" hidden="false" customHeight="false" outlineLevel="0" collapsed="false">
      <c r="A556" s="40" t="str">
        <f aca="false">IF(INDEX(BookTitle,551)="","",INDEX(BookGroup,551))</f>
        <v/>
      </c>
      <c r="B556" s="40" t="str">
        <f aca="false">IF(INDEX(BookTitle,551)="","",INDEX(BookRef,551))</f>
        <v/>
      </c>
      <c r="C556" s="40" t="str">
        <f aca="false">IF(INDEX(BookTitle,551)="","",INDEX(BookDivision,551))</f>
        <v/>
      </c>
      <c r="D556" s="40" t="str">
        <f aca="false">IF(INDEX(BookTitle,551)="","",INDEX(BookUnit,551))</f>
        <v/>
      </c>
      <c r="E556" s="40" t="str">
        <f aca="false">IF(INDEX(BookTitle,551)="","",INDEX(BookTitle,551))</f>
        <v/>
      </c>
      <c r="F556" s="40" t="str">
        <f aca="false">IF(INDEX(BookTitle,551)="","",INDEX(BookLevel,551))</f>
        <v/>
      </c>
      <c r="G556" s="40" t="str">
        <f aca="false">IF(INDEX(BookTitle,551)="","",INDEX(BookCategory,551))</f>
        <v/>
      </c>
      <c r="H556" s="40" t="str">
        <f aca="false">IF(INDEX(BookTitle,551)="","",INDEX(BookRank,551))</f>
        <v/>
      </c>
      <c r="I556" s="41" t="str">
        <f aca="false">IF(INDEX(BookTitle,551)="","",INDEX(BookTotal,551))</f>
        <v/>
      </c>
      <c r="J556" s="0" t="str">
        <f aca="false">IF($I556="","",IF(INDEX(BookQ1,551)&gt;0,"Q1",IF(INDEX(BookQ2,551)&gt;0,"Q2",IF(INDEX(BookQ3,551)&gt;0,"Q3",IF(INDEX(BookQ4,551)&gt;0,"Q4","")))))</f>
        <v/>
      </c>
      <c r="K556" s="42" t="str">
        <f aca="false">IF(INDEX(BookTitle,551)="","",INDEX(BookInYear,551))</f>
        <v/>
      </c>
      <c r="L556" s="19"/>
      <c r="M556" s="39"/>
      <c r="N556" s="19"/>
      <c r="O556" s="19"/>
      <c r="P556" s="43" t="str">
        <f aca="false">IF($E556="","",IF($L556="Decline",0,IF($L556="Approve fewer",IF($M556="","",$M556),IF($L556="","",$I556))))</f>
        <v/>
      </c>
      <c r="Q556" s="34" t="str">
        <f aca="false">IF($P556="","",IF($N556&lt;&gt;"",$N556,$J556))</f>
        <v/>
      </c>
      <c r="R556" s="35" t="str">
        <f aca="false">IF(OR($P556="",$Q556=""),"",INDEX(BookRate,551)*$P556*(5-MATCH($Q556,{"Q1";"Q2";"Q3";"Q4"},0))/4+INDEX(BookOneOff,551)*$P556)</f>
        <v/>
      </c>
      <c r="S556" s="35" t="str">
        <f aca="false">IF($P556="","",INDEX(BookRate,551)*$P556)</f>
        <v/>
      </c>
      <c r="T556" s="35" t="str">
        <f aca="false">IF($R556="","",$R556-$K556)</f>
        <v/>
      </c>
      <c r="U556" s="35" t="str">
        <f aca="false">IF(N($P556)&lt;=0,"",COUNTIF($P$6:$P556,"&gt;0"))</f>
        <v/>
      </c>
    </row>
    <row r="557" customFormat="false" ht="15" hidden="false" customHeight="false" outlineLevel="0" collapsed="false">
      <c r="A557" s="40" t="str">
        <f aca="false">IF(INDEX(BookTitle,552)="","",INDEX(BookGroup,552))</f>
        <v/>
      </c>
      <c r="B557" s="40" t="str">
        <f aca="false">IF(INDEX(BookTitle,552)="","",INDEX(BookRef,552))</f>
        <v/>
      </c>
      <c r="C557" s="40" t="str">
        <f aca="false">IF(INDEX(BookTitle,552)="","",INDEX(BookDivision,552))</f>
        <v/>
      </c>
      <c r="D557" s="40" t="str">
        <f aca="false">IF(INDEX(BookTitle,552)="","",INDEX(BookUnit,552))</f>
        <v/>
      </c>
      <c r="E557" s="40" t="str">
        <f aca="false">IF(INDEX(BookTitle,552)="","",INDEX(BookTitle,552))</f>
        <v/>
      </c>
      <c r="F557" s="40" t="str">
        <f aca="false">IF(INDEX(BookTitle,552)="","",INDEX(BookLevel,552))</f>
        <v/>
      </c>
      <c r="G557" s="40" t="str">
        <f aca="false">IF(INDEX(BookTitle,552)="","",INDEX(BookCategory,552))</f>
        <v/>
      </c>
      <c r="H557" s="40" t="str">
        <f aca="false">IF(INDEX(BookTitle,552)="","",INDEX(BookRank,552))</f>
        <v/>
      </c>
      <c r="I557" s="41" t="str">
        <f aca="false">IF(INDEX(BookTitle,552)="","",INDEX(BookTotal,552))</f>
        <v/>
      </c>
      <c r="J557" s="0" t="str">
        <f aca="false">IF($I557="","",IF(INDEX(BookQ1,552)&gt;0,"Q1",IF(INDEX(BookQ2,552)&gt;0,"Q2",IF(INDEX(BookQ3,552)&gt;0,"Q3",IF(INDEX(BookQ4,552)&gt;0,"Q4","")))))</f>
        <v/>
      </c>
      <c r="K557" s="42" t="str">
        <f aca="false">IF(INDEX(BookTitle,552)="","",INDEX(BookInYear,552))</f>
        <v/>
      </c>
      <c r="L557" s="19"/>
      <c r="M557" s="39"/>
      <c r="N557" s="19"/>
      <c r="O557" s="19"/>
      <c r="P557" s="43" t="str">
        <f aca="false">IF($E557="","",IF($L557="Decline",0,IF($L557="Approve fewer",IF($M557="","",$M557),IF($L557="","",$I557))))</f>
        <v/>
      </c>
      <c r="Q557" s="34" t="str">
        <f aca="false">IF($P557="","",IF($N557&lt;&gt;"",$N557,$J557))</f>
        <v/>
      </c>
      <c r="R557" s="35" t="str">
        <f aca="false">IF(OR($P557="",$Q557=""),"",INDEX(BookRate,552)*$P557*(5-MATCH($Q557,{"Q1";"Q2";"Q3";"Q4"},0))/4+INDEX(BookOneOff,552)*$P557)</f>
        <v/>
      </c>
      <c r="S557" s="35" t="str">
        <f aca="false">IF($P557="","",INDEX(BookRate,552)*$P557)</f>
        <v/>
      </c>
      <c r="T557" s="35" t="str">
        <f aca="false">IF($R557="","",$R557-$K557)</f>
        <v/>
      </c>
      <c r="U557" s="35" t="str">
        <f aca="false">IF(N($P557)&lt;=0,"",COUNTIF($P$6:$P557,"&gt;0"))</f>
        <v/>
      </c>
    </row>
    <row r="558" customFormat="false" ht="15" hidden="false" customHeight="false" outlineLevel="0" collapsed="false">
      <c r="A558" s="40" t="str">
        <f aca="false">IF(INDEX(BookTitle,553)="","",INDEX(BookGroup,553))</f>
        <v/>
      </c>
      <c r="B558" s="40" t="str">
        <f aca="false">IF(INDEX(BookTitle,553)="","",INDEX(BookRef,553))</f>
        <v/>
      </c>
      <c r="C558" s="40" t="str">
        <f aca="false">IF(INDEX(BookTitle,553)="","",INDEX(BookDivision,553))</f>
        <v/>
      </c>
      <c r="D558" s="40" t="str">
        <f aca="false">IF(INDEX(BookTitle,553)="","",INDEX(BookUnit,553))</f>
        <v/>
      </c>
      <c r="E558" s="40" t="str">
        <f aca="false">IF(INDEX(BookTitle,553)="","",INDEX(BookTitle,553))</f>
        <v/>
      </c>
      <c r="F558" s="40" t="str">
        <f aca="false">IF(INDEX(BookTitle,553)="","",INDEX(BookLevel,553))</f>
        <v/>
      </c>
      <c r="G558" s="40" t="str">
        <f aca="false">IF(INDEX(BookTitle,553)="","",INDEX(BookCategory,553))</f>
        <v/>
      </c>
      <c r="H558" s="40" t="str">
        <f aca="false">IF(INDEX(BookTitle,553)="","",INDEX(BookRank,553))</f>
        <v/>
      </c>
      <c r="I558" s="41" t="str">
        <f aca="false">IF(INDEX(BookTitle,553)="","",INDEX(BookTotal,553))</f>
        <v/>
      </c>
      <c r="J558" s="0" t="str">
        <f aca="false">IF($I558="","",IF(INDEX(BookQ1,553)&gt;0,"Q1",IF(INDEX(BookQ2,553)&gt;0,"Q2",IF(INDEX(BookQ3,553)&gt;0,"Q3",IF(INDEX(BookQ4,553)&gt;0,"Q4","")))))</f>
        <v/>
      </c>
      <c r="K558" s="42" t="str">
        <f aca="false">IF(INDEX(BookTitle,553)="","",INDEX(BookInYear,553))</f>
        <v/>
      </c>
      <c r="L558" s="19"/>
      <c r="M558" s="39"/>
      <c r="N558" s="19"/>
      <c r="O558" s="19"/>
      <c r="P558" s="43" t="str">
        <f aca="false">IF($E558="","",IF($L558="Decline",0,IF($L558="Approve fewer",IF($M558="","",$M558),IF($L558="","",$I558))))</f>
        <v/>
      </c>
      <c r="Q558" s="34" t="str">
        <f aca="false">IF($P558="","",IF($N558&lt;&gt;"",$N558,$J558))</f>
        <v/>
      </c>
      <c r="R558" s="35" t="str">
        <f aca="false">IF(OR($P558="",$Q558=""),"",INDEX(BookRate,553)*$P558*(5-MATCH($Q558,{"Q1";"Q2";"Q3";"Q4"},0))/4+INDEX(BookOneOff,553)*$P558)</f>
        <v/>
      </c>
      <c r="S558" s="35" t="str">
        <f aca="false">IF($P558="","",INDEX(BookRate,553)*$P558)</f>
        <v/>
      </c>
      <c r="T558" s="35" t="str">
        <f aca="false">IF($R558="","",$R558-$K558)</f>
        <v/>
      </c>
      <c r="U558" s="35" t="str">
        <f aca="false">IF(N($P558)&lt;=0,"",COUNTIF($P$6:$P558,"&gt;0"))</f>
        <v/>
      </c>
    </row>
    <row r="559" customFormat="false" ht="15" hidden="false" customHeight="false" outlineLevel="0" collapsed="false">
      <c r="A559" s="40" t="str">
        <f aca="false">IF(INDEX(BookTitle,554)="","",INDEX(BookGroup,554))</f>
        <v/>
      </c>
      <c r="B559" s="40" t="str">
        <f aca="false">IF(INDEX(BookTitle,554)="","",INDEX(BookRef,554))</f>
        <v/>
      </c>
      <c r="C559" s="40" t="str">
        <f aca="false">IF(INDEX(BookTitle,554)="","",INDEX(BookDivision,554))</f>
        <v/>
      </c>
      <c r="D559" s="40" t="str">
        <f aca="false">IF(INDEX(BookTitle,554)="","",INDEX(BookUnit,554))</f>
        <v/>
      </c>
      <c r="E559" s="40" t="str">
        <f aca="false">IF(INDEX(BookTitle,554)="","",INDEX(BookTitle,554))</f>
        <v/>
      </c>
      <c r="F559" s="40" t="str">
        <f aca="false">IF(INDEX(BookTitle,554)="","",INDEX(BookLevel,554))</f>
        <v/>
      </c>
      <c r="G559" s="40" t="str">
        <f aca="false">IF(INDEX(BookTitle,554)="","",INDEX(BookCategory,554))</f>
        <v/>
      </c>
      <c r="H559" s="40" t="str">
        <f aca="false">IF(INDEX(BookTitle,554)="","",INDEX(BookRank,554))</f>
        <v/>
      </c>
      <c r="I559" s="41" t="str">
        <f aca="false">IF(INDEX(BookTitle,554)="","",INDEX(BookTotal,554))</f>
        <v/>
      </c>
      <c r="J559" s="0" t="str">
        <f aca="false">IF($I559="","",IF(INDEX(BookQ1,554)&gt;0,"Q1",IF(INDEX(BookQ2,554)&gt;0,"Q2",IF(INDEX(BookQ3,554)&gt;0,"Q3",IF(INDEX(BookQ4,554)&gt;0,"Q4","")))))</f>
        <v/>
      </c>
      <c r="K559" s="42" t="str">
        <f aca="false">IF(INDEX(BookTitle,554)="","",INDEX(BookInYear,554))</f>
        <v/>
      </c>
      <c r="L559" s="19"/>
      <c r="M559" s="39"/>
      <c r="N559" s="19"/>
      <c r="O559" s="19"/>
      <c r="P559" s="43" t="str">
        <f aca="false">IF($E559="","",IF($L559="Decline",0,IF($L559="Approve fewer",IF($M559="","",$M559),IF($L559="","",$I559))))</f>
        <v/>
      </c>
      <c r="Q559" s="34" t="str">
        <f aca="false">IF($P559="","",IF($N559&lt;&gt;"",$N559,$J559))</f>
        <v/>
      </c>
      <c r="R559" s="35" t="str">
        <f aca="false">IF(OR($P559="",$Q559=""),"",INDEX(BookRate,554)*$P559*(5-MATCH($Q559,{"Q1";"Q2";"Q3";"Q4"},0))/4+INDEX(BookOneOff,554)*$P559)</f>
        <v/>
      </c>
      <c r="S559" s="35" t="str">
        <f aca="false">IF($P559="","",INDEX(BookRate,554)*$P559)</f>
        <v/>
      </c>
      <c r="T559" s="35" t="str">
        <f aca="false">IF($R559="","",$R559-$K559)</f>
        <v/>
      </c>
      <c r="U559" s="35" t="str">
        <f aca="false">IF(N($P559)&lt;=0,"",COUNTIF($P$6:$P559,"&gt;0"))</f>
        <v/>
      </c>
    </row>
    <row r="560" customFormat="false" ht="15" hidden="false" customHeight="false" outlineLevel="0" collapsed="false">
      <c r="A560" s="40" t="str">
        <f aca="false">IF(INDEX(BookTitle,555)="","",INDEX(BookGroup,555))</f>
        <v/>
      </c>
      <c r="B560" s="40" t="str">
        <f aca="false">IF(INDEX(BookTitle,555)="","",INDEX(BookRef,555))</f>
        <v/>
      </c>
      <c r="C560" s="40" t="str">
        <f aca="false">IF(INDEX(BookTitle,555)="","",INDEX(BookDivision,555))</f>
        <v/>
      </c>
      <c r="D560" s="40" t="str">
        <f aca="false">IF(INDEX(BookTitle,555)="","",INDEX(BookUnit,555))</f>
        <v/>
      </c>
      <c r="E560" s="40" t="str">
        <f aca="false">IF(INDEX(BookTitle,555)="","",INDEX(BookTitle,555))</f>
        <v/>
      </c>
      <c r="F560" s="40" t="str">
        <f aca="false">IF(INDEX(BookTitle,555)="","",INDEX(BookLevel,555))</f>
        <v/>
      </c>
      <c r="G560" s="40" t="str">
        <f aca="false">IF(INDEX(BookTitle,555)="","",INDEX(BookCategory,555))</f>
        <v/>
      </c>
      <c r="H560" s="40" t="str">
        <f aca="false">IF(INDEX(BookTitle,555)="","",INDEX(BookRank,555))</f>
        <v/>
      </c>
      <c r="I560" s="41" t="str">
        <f aca="false">IF(INDEX(BookTitle,555)="","",INDEX(BookTotal,555))</f>
        <v/>
      </c>
      <c r="J560" s="0" t="str">
        <f aca="false">IF($I560="","",IF(INDEX(BookQ1,555)&gt;0,"Q1",IF(INDEX(BookQ2,555)&gt;0,"Q2",IF(INDEX(BookQ3,555)&gt;0,"Q3",IF(INDEX(BookQ4,555)&gt;0,"Q4","")))))</f>
        <v/>
      </c>
      <c r="K560" s="42" t="str">
        <f aca="false">IF(INDEX(BookTitle,555)="","",INDEX(BookInYear,555))</f>
        <v/>
      </c>
      <c r="L560" s="19"/>
      <c r="M560" s="39"/>
      <c r="N560" s="19"/>
      <c r="O560" s="19"/>
      <c r="P560" s="43" t="str">
        <f aca="false">IF($E560="","",IF($L560="Decline",0,IF($L560="Approve fewer",IF($M560="","",$M560),IF($L560="","",$I560))))</f>
        <v/>
      </c>
      <c r="Q560" s="34" t="str">
        <f aca="false">IF($P560="","",IF($N560&lt;&gt;"",$N560,$J560))</f>
        <v/>
      </c>
      <c r="R560" s="35" t="str">
        <f aca="false">IF(OR($P560="",$Q560=""),"",INDEX(BookRate,555)*$P560*(5-MATCH($Q560,{"Q1";"Q2";"Q3";"Q4"},0))/4+INDEX(BookOneOff,555)*$P560)</f>
        <v/>
      </c>
      <c r="S560" s="35" t="str">
        <f aca="false">IF($P560="","",INDEX(BookRate,555)*$P560)</f>
        <v/>
      </c>
      <c r="T560" s="35" t="str">
        <f aca="false">IF($R560="","",$R560-$K560)</f>
        <v/>
      </c>
      <c r="U560" s="35" t="str">
        <f aca="false">IF(N($P560)&lt;=0,"",COUNTIF($P$6:$P560,"&gt;0"))</f>
        <v/>
      </c>
    </row>
    <row r="561" customFormat="false" ht="15" hidden="false" customHeight="false" outlineLevel="0" collapsed="false">
      <c r="A561" s="40" t="str">
        <f aca="false">IF(INDEX(BookTitle,556)="","",INDEX(BookGroup,556))</f>
        <v/>
      </c>
      <c r="B561" s="40" t="str">
        <f aca="false">IF(INDEX(BookTitle,556)="","",INDEX(BookRef,556))</f>
        <v/>
      </c>
      <c r="C561" s="40" t="str">
        <f aca="false">IF(INDEX(BookTitle,556)="","",INDEX(BookDivision,556))</f>
        <v/>
      </c>
      <c r="D561" s="40" t="str">
        <f aca="false">IF(INDEX(BookTitle,556)="","",INDEX(BookUnit,556))</f>
        <v/>
      </c>
      <c r="E561" s="40" t="str">
        <f aca="false">IF(INDEX(BookTitle,556)="","",INDEX(BookTitle,556))</f>
        <v/>
      </c>
      <c r="F561" s="40" t="str">
        <f aca="false">IF(INDEX(BookTitle,556)="","",INDEX(BookLevel,556))</f>
        <v/>
      </c>
      <c r="G561" s="40" t="str">
        <f aca="false">IF(INDEX(BookTitle,556)="","",INDEX(BookCategory,556))</f>
        <v/>
      </c>
      <c r="H561" s="40" t="str">
        <f aca="false">IF(INDEX(BookTitle,556)="","",INDEX(BookRank,556))</f>
        <v/>
      </c>
      <c r="I561" s="41" t="str">
        <f aca="false">IF(INDEX(BookTitle,556)="","",INDEX(BookTotal,556))</f>
        <v/>
      </c>
      <c r="J561" s="0" t="str">
        <f aca="false">IF($I561="","",IF(INDEX(BookQ1,556)&gt;0,"Q1",IF(INDEX(BookQ2,556)&gt;0,"Q2",IF(INDEX(BookQ3,556)&gt;0,"Q3",IF(INDEX(BookQ4,556)&gt;0,"Q4","")))))</f>
        <v/>
      </c>
      <c r="K561" s="42" t="str">
        <f aca="false">IF(INDEX(BookTitle,556)="","",INDEX(BookInYear,556))</f>
        <v/>
      </c>
      <c r="L561" s="19"/>
      <c r="M561" s="39"/>
      <c r="N561" s="19"/>
      <c r="O561" s="19"/>
      <c r="P561" s="43" t="str">
        <f aca="false">IF($E561="","",IF($L561="Decline",0,IF($L561="Approve fewer",IF($M561="","",$M561),IF($L561="","",$I561))))</f>
        <v/>
      </c>
      <c r="Q561" s="34" t="str">
        <f aca="false">IF($P561="","",IF($N561&lt;&gt;"",$N561,$J561))</f>
        <v/>
      </c>
      <c r="R561" s="35" t="str">
        <f aca="false">IF(OR($P561="",$Q561=""),"",INDEX(BookRate,556)*$P561*(5-MATCH($Q561,{"Q1";"Q2";"Q3";"Q4"},0))/4+INDEX(BookOneOff,556)*$P561)</f>
        <v/>
      </c>
      <c r="S561" s="35" t="str">
        <f aca="false">IF($P561="","",INDEX(BookRate,556)*$P561)</f>
        <v/>
      </c>
      <c r="T561" s="35" t="str">
        <f aca="false">IF($R561="","",$R561-$K561)</f>
        <v/>
      </c>
      <c r="U561" s="35" t="str">
        <f aca="false">IF(N($P561)&lt;=0,"",COUNTIF($P$6:$P561,"&gt;0"))</f>
        <v/>
      </c>
    </row>
    <row r="562" customFormat="false" ht="15" hidden="false" customHeight="false" outlineLevel="0" collapsed="false">
      <c r="A562" s="40" t="str">
        <f aca="false">IF(INDEX(BookTitle,557)="","",INDEX(BookGroup,557))</f>
        <v/>
      </c>
      <c r="B562" s="40" t="str">
        <f aca="false">IF(INDEX(BookTitle,557)="","",INDEX(BookRef,557))</f>
        <v/>
      </c>
      <c r="C562" s="40" t="str">
        <f aca="false">IF(INDEX(BookTitle,557)="","",INDEX(BookDivision,557))</f>
        <v/>
      </c>
      <c r="D562" s="40" t="str">
        <f aca="false">IF(INDEX(BookTitle,557)="","",INDEX(BookUnit,557))</f>
        <v/>
      </c>
      <c r="E562" s="40" t="str">
        <f aca="false">IF(INDEX(BookTitle,557)="","",INDEX(BookTitle,557))</f>
        <v/>
      </c>
      <c r="F562" s="40" t="str">
        <f aca="false">IF(INDEX(BookTitle,557)="","",INDEX(BookLevel,557))</f>
        <v/>
      </c>
      <c r="G562" s="40" t="str">
        <f aca="false">IF(INDEX(BookTitle,557)="","",INDEX(BookCategory,557))</f>
        <v/>
      </c>
      <c r="H562" s="40" t="str">
        <f aca="false">IF(INDEX(BookTitle,557)="","",INDEX(BookRank,557))</f>
        <v/>
      </c>
      <c r="I562" s="41" t="str">
        <f aca="false">IF(INDEX(BookTitle,557)="","",INDEX(BookTotal,557))</f>
        <v/>
      </c>
      <c r="J562" s="0" t="str">
        <f aca="false">IF($I562="","",IF(INDEX(BookQ1,557)&gt;0,"Q1",IF(INDEX(BookQ2,557)&gt;0,"Q2",IF(INDEX(BookQ3,557)&gt;0,"Q3",IF(INDEX(BookQ4,557)&gt;0,"Q4","")))))</f>
        <v/>
      </c>
      <c r="K562" s="42" t="str">
        <f aca="false">IF(INDEX(BookTitle,557)="","",INDEX(BookInYear,557))</f>
        <v/>
      </c>
      <c r="L562" s="19"/>
      <c r="M562" s="39"/>
      <c r="N562" s="19"/>
      <c r="O562" s="19"/>
      <c r="P562" s="43" t="str">
        <f aca="false">IF($E562="","",IF($L562="Decline",0,IF($L562="Approve fewer",IF($M562="","",$M562),IF($L562="","",$I562))))</f>
        <v/>
      </c>
      <c r="Q562" s="34" t="str">
        <f aca="false">IF($P562="","",IF($N562&lt;&gt;"",$N562,$J562))</f>
        <v/>
      </c>
      <c r="R562" s="35" t="str">
        <f aca="false">IF(OR($P562="",$Q562=""),"",INDEX(BookRate,557)*$P562*(5-MATCH($Q562,{"Q1";"Q2";"Q3";"Q4"},0))/4+INDEX(BookOneOff,557)*$P562)</f>
        <v/>
      </c>
      <c r="S562" s="35" t="str">
        <f aca="false">IF($P562="","",INDEX(BookRate,557)*$P562)</f>
        <v/>
      </c>
      <c r="T562" s="35" t="str">
        <f aca="false">IF($R562="","",$R562-$K562)</f>
        <v/>
      </c>
      <c r="U562" s="35" t="str">
        <f aca="false">IF(N($P562)&lt;=0,"",COUNTIF($P$6:$P562,"&gt;0"))</f>
        <v/>
      </c>
    </row>
    <row r="563" customFormat="false" ht="15" hidden="false" customHeight="false" outlineLevel="0" collapsed="false">
      <c r="A563" s="40" t="str">
        <f aca="false">IF(INDEX(BookTitle,558)="","",INDEX(BookGroup,558))</f>
        <v/>
      </c>
      <c r="B563" s="40" t="str">
        <f aca="false">IF(INDEX(BookTitle,558)="","",INDEX(BookRef,558))</f>
        <v/>
      </c>
      <c r="C563" s="40" t="str">
        <f aca="false">IF(INDEX(BookTitle,558)="","",INDEX(BookDivision,558))</f>
        <v/>
      </c>
      <c r="D563" s="40" t="str">
        <f aca="false">IF(INDEX(BookTitle,558)="","",INDEX(BookUnit,558))</f>
        <v/>
      </c>
      <c r="E563" s="40" t="str">
        <f aca="false">IF(INDEX(BookTitle,558)="","",INDEX(BookTitle,558))</f>
        <v/>
      </c>
      <c r="F563" s="40" t="str">
        <f aca="false">IF(INDEX(BookTitle,558)="","",INDEX(BookLevel,558))</f>
        <v/>
      </c>
      <c r="G563" s="40" t="str">
        <f aca="false">IF(INDEX(BookTitle,558)="","",INDEX(BookCategory,558))</f>
        <v/>
      </c>
      <c r="H563" s="40" t="str">
        <f aca="false">IF(INDEX(BookTitle,558)="","",INDEX(BookRank,558))</f>
        <v/>
      </c>
      <c r="I563" s="41" t="str">
        <f aca="false">IF(INDEX(BookTitle,558)="","",INDEX(BookTotal,558))</f>
        <v/>
      </c>
      <c r="J563" s="0" t="str">
        <f aca="false">IF($I563="","",IF(INDEX(BookQ1,558)&gt;0,"Q1",IF(INDEX(BookQ2,558)&gt;0,"Q2",IF(INDEX(BookQ3,558)&gt;0,"Q3",IF(INDEX(BookQ4,558)&gt;0,"Q4","")))))</f>
        <v/>
      </c>
      <c r="K563" s="42" t="str">
        <f aca="false">IF(INDEX(BookTitle,558)="","",INDEX(BookInYear,558))</f>
        <v/>
      </c>
      <c r="L563" s="19"/>
      <c r="M563" s="39"/>
      <c r="N563" s="19"/>
      <c r="O563" s="19"/>
      <c r="P563" s="43" t="str">
        <f aca="false">IF($E563="","",IF($L563="Decline",0,IF($L563="Approve fewer",IF($M563="","",$M563),IF($L563="","",$I563))))</f>
        <v/>
      </c>
      <c r="Q563" s="34" t="str">
        <f aca="false">IF($P563="","",IF($N563&lt;&gt;"",$N563,$J563))</f>
        <v/>
      </c>
      <c r="R563" s="35" t="str">
        <f aca="false">IF(OR($P563="",$Q563=""),"",INDEX(BookRate,558)*$P563*(5-MATCH($Q563,{"Q1";"Q2";"Q3";"Q4"},0))/4+INDEX(BookOneOff,558)*$P563)</f>
        <v/>
      </c>
      <c r="S563" s="35" t="str">
        <f aca="false">IF($P563="","",INDEX(BookRate,558)*$P563)</f>
        <v/>
      </c>
      <c r="T563" s="35" t="str">
        <f aca="false">IF($R563="","",$R563-$K563)</f>
        <v/>
      </c>
      <c r="U563" s="35" t="str">
        <f aca="false">IF(N($P563)&lt;=0,"",COUNTIF($P$6:$P563,"&gt;0"))</f>
        <v/>
      </c>
    </row>
    <row r="564" customFormat="false" ht="15" hidden="false" customHeight="false" outlineLevel="0" collapsed="false">
      <c r="A564" s="40" t="str">
        <f aca="false">IF(INDEX(BookTitle,559)="","",INDEX(BookGroup,559))</f>
        <v/>
      </c>
      <c r="B564" s="40" t="str">
        <f aca="false">IF(INDEX(BookTitle,559)="","",INDEX(BookRef,559))</f>
        <v/>
      </c>
      <c r="C564" s="40" t="str">
        <f aca="false">IF(INDEX(BookTitle,559)="","",INDEX(BookDivision,559))</f>
        <v/>
      </c>
      <c r="D564" s="40" t="str">
        <f aca="false">IF(INDEX(BookTitle,559)="","",INDEX(BookUnit,559))</f>
        <v/>
      </c>
      <c r="E564" s="40" t="str">
        <f aca="false">IF(INDEX(BookTitle,559)="","",INDEX(BookTitle,559))</f>
        <v/>
      </c>
      <c r="F564" s="40" t="str">
        <f aca="false">IF(INDEX(BookTitle,559)="","",INDEX(BookLevel,559))</f>
        <v/>
      </c>
      <c r="G564" s="40" t="str">
        <f aca="false">IF(INDEX(BookTitle,559)="","",INDEX(BookCategory,559))</f>
        <v/>
      </c>
      <c r="H564" s="40" t="str">
        <f aca="false">IF(INDEX(BookTitle,559)="","",INDEX(BookRank,559))</f>
        <v/>
      </c>
      <c r="I564" s="41" t="str">
        <f aca="false">IF(INDEX(BookTitle,559)="","",INDEX(BookTotal,559))</f>
        <v/>
      </c>
      <c r="J564" s="0" t="str">
        <f aca="false">IF($I564="","",IF(INDEX(BookQ1,559)&gt;0,"Q1",IF(INDEX(BookQ2,559)&gt;0,"Q2",IF(INDEX(BookQ3,559)&gt;0,"Q3",IF(INDEX(BookQ4,559)&gt;0,"Q4","")))))</f>
        <v/>
      </c>
      <c r="K564" s="42" t="str">
        <f aca="false">IF(INDEX(BookTitle,559)="","",INDEX(BookInYear,559))</f>
        <v/>
      </c>
      <c r="L564" s="19"/>
      <c r="M564" s="39"/>
      <c r="N564" s="19"/>
      <c r="O564" s="19"/>
      <c r="P564" s="43" t="str">
        <f aca="false">IF($E564="","",IF($L564="Decline",0,IF($L564="Approve fewer",IF($M564="","",$M564),IF($L564="","",$I564))))</f>
        <v/>
      </c>
      <c r="Q564" s="34" t="str">
        <f aca="false">IF($P564="","",IF($N564&lt;&gt;"",$N564,$J564))</f>
        <v/>
      </c>
      <c r="R564" s="35" t="str">
        <f aca="false">IF(OR($P564="",$Q564=""),"",INDEX(BookRate,559)*$P564*(5-MATCH($Q564,{"Q1";"Q2";"Q3";"Q4"},0))/4+INDEX(BookOneOff,559)*$P564)</f>
        <v/>
      </c>
      <c r="S564" s="35" t="str">
        <f aca="false">IF($P564="","",INDEX(BookRate,559)*$P564)</f>
        <v/>
      </c>
      <c r="T564" s="35" t="str">
        <f aca="false">IF($R564="","",$R564-$K564)</f>
        <v/>
      </c>
      <c r="U564" s="35" t="str">
        <f aca="false">IF(N($P564)&lt;=0,"",COUNTIF($P$6:$P564,"&gt;0"))</f>
        <v/>
      </c>
    </row>
    <row r="565" customFormat="false" ht="15" hidden="false" customHeight="false" outlineLevel="0" collapsed="false">
      <c r="A565" s="40" t="str">
        <f aca="false">IF(INDEX(BookTitle,560)="","",INDEX(BookGroup,560))</f>
        <v/>
      </c>
      <c r="B565" s="40" t="str">
        <f aca="false">IF(INDEX(BookTitle,560)="","",INDEX(BookRef,560))</f>
        <v/>
      </c>
      <c r="C565" s="40" t="str">
        <f aca="false">IF(INDEX(BookTitle,560)="","",INDEX(BookDivision,560))</f>
        <v/>
      </c>
      <c r="D565" s="40" t="str">
        <f aca="false">IF(INDEX(BookTitle,560)="","",INDEX(BookUnit,560))</f>
        <v/>
      </c>
      <c r="E565" s="40" t="str">
        <f aca="false">IF(INDEX(BookTitle,560)="","",INDEX(BookTitle,560))</f>
        <v/>
      </c>
      <c r="F565" s="40" t="str">
        <f aca="false">IF(INDEX(BookTitle,560)="","",INDEX(BookLevel,560))</f>
        <v/>
      </c>
      <c r="G565" s="40" t="str">
        <f aca="false">IF(INDEX(BookTitle,560)="","",INDEX(BookCategory,560))</f>
        <v/>
      </c>
      <c r="H565" s="40" t="str">
        <f aca="false">IF(INDEX(BookTitle,560)="","",INDEX(BookRank,560))</f>
        <v/>
      </c>
      <c r="I565" s="41" t="str">
        <f aca="false">IF(INDEX(BookTitle,560)="","",INDEX(BookTotal,560))</f>
        <v/>
      </c>
      <c r="J565" s="0" t="str">
        <f aca="false">IF($I565="","",IF(INDEX(BookQ1,560)&gt;0,"Q1",IF(INDEX(BookQ2,560)&gt;0,"Q2",IF(INDEX(BookQ3,560)&gt;0,"Q3",IF(INDEX(BookQ4,560)&gt;0,"Q4","")))))</f>
        <v/>
      </c>
      <c r="K565" s="42" t="str">
        <f aca="false">IF(INDEX(BookTitle,560)="","",INDEX(BookInYear,560))</f>
        <v/>
      </c>
      <c r="L565" s="19"/>
      <c r="M565" s="39"/>
      <c r="N565" s="19"/>
      <c r="O565" s="19"/>
      <c r="P565" s="43" t="str">
        <f aca="false">IF($E565="","",IF($L565="Decline",0,IF($L565="Approve fewer",IF($M565="","",$M565),IF($L565="","",$I565))))</f>
        <v/>
      </c>
      <c r="Q565" s="34" t="str">
        <f aca="false">IF($P565="","",IF($N565&lt;&gt;"",$N565,$J565))</f>
        <v/>
      </c>
      <c r="R565" s="35" t="str">
        <f aca="false">IF(OR($P565="",$Q565=""),"",INDEX(BookRate,560)*$P565*(5-MATCH($Q565,{"Q1";"Q2";"Q3";"Q4"},0))/4+INDEX(BookOneOff,560)*$P565)</f>
        <v/>
      </c>
      <c r="S565" s="35" t="str">
        <f aca="false">IF($P565="","",INDEX(BookRate,560)*$P565)</f>
        <v/>
      </c>
      <c r="T565" s="35" t="str">
        <f aca="false">IF($R565="","",$R565-$K565)</f>
        <v/>
      </c>
      <c r="U565" s="35" t="str">
        <f aca="false">IF(N($P565)&lt;=0,"",COUNTIF($P$6:$P565,"&gt;0"))</f>
        <v/>
      </c>
    </row>
    <row r="566" customFormat="false" ht="15" hidden="false" customHeight="false" outlineLevel="0" collapsed="false">
      <c r="A566" s="40" t="str">
        <f aca="false">IF(INDEX(BookTitle,561)="","",INDEX(BookGroup,561))</f>
        <v/>
      </c>
      <c r="B566" s="40" t="str">
        <f aca="false">IF(INDEX(BookTitle,561)="","",INDEX(BookRef,561))</f>
        <v/>
      </c>
      <c r="C566" s="40" t="str">
        <f aca="false">IF(INDEX(BookTitle,561)="","",INDEX(BookDivision,561))</f>
        <v/>
      </c>
      <c r="D566" s="40" t="str">
        <f aca="false">IF(INDEX(BookTitle,561)="","",INDEX(BookUnit,561))</f>
        <v/>
      </c>
      <c r="E566" s="40" t="str">
        <f aca="false">IF(INDEX(BookTitle,561)="","",INDEX(BookTitle,561))</f>
        <v/>
      </c>
      <c r="F566" s="40" t="str">
        <f aca="false">IF(INDEX(BookTitle,561)="","",INDEX(BookLevel,561))</f>
        <v/>
      </c>
      <c r="G566" s="40" t="str">
        <f aca="false">IF(INDEX(BookTitle,561)="","",INDEX(BookCategory,561))</f>
        <v/>
      </c>
      <c r="H566" s="40" t="str">
        <f aca="false">IF(INDEX(BookTitle,561)="","",INDEX(BookRank,561))</f>
        <v/>
      </c>
      <c r="I566" s="41" t="str">
        <f aca="false">IF(INDEX(BookTitle,561)="","",INDEX(BookTotal,561))</f>
        <v/>
      </c>
      <c r="J566" s="0" t="str">
        <f aca="false">IF($I566="","",IF(INDEX(BookQ1,561)&gt;0,"Q1",IF(INDEX(BookQ2,561)&gt;0,"Q2",IF(INDEX(BookQ3,561)&gt;0,"Q3",IF(INDEX(BookQ4,561)&gt;0,"Q4","")))))</f>
        <v/>
      </c>
      <c r="K566" s="42" t="str">
        <f aca="false">IF(INDEX(BookTitle,561)="","",INDEX(BookInYear,561))</f>
        <v/>
      </c>
      <c r="L566" s="19"/>
      <c r="M566" s="39"/>
      <c r="N566" s="19"/>
      <c r="O566" s="19"/>
      <c r="P566" s="43" t="str">
        <f aca="false">IF($E566="","",IF($L566="Decline",0,IF($L566="Approve fewer",IF($M566="","",$M566),IF($L566="","",$I566))))</f>
        <v/>
      </c>
      <c r="Q566" s="34" t="str">
        <f aca="false">IF($P566="","",IF($N566&lt;&gt;"",$N566,$J566))</f>
        <v/>
      </c>
      <c r="R566" s="35" t="str">
        <f aca="false">IF(OR($P566="",$Q566=""),"",INDEX(BookRate,561)*$P566*(5-MATCH($Q566,{"Q1";"Q2";"Q3";"Q4"},0))/4+INDEX(BookOneOff,561)*$P566)</f>
        <v/>
      </c>
      <c r="S566" s="35" t="str">
        <f aca="false">IF($P566="","",INDEX(BookRate,561)*$P566)</f>
        <v/>
      </c>
      <c r="T566" s="35" t="str">
        <f aca="false">IF($R566="","",$R566-$K566)</f>
        <v/>
      </c>
      <c r="U566" s="35" t="str">
        <f aca="false">IF(N($P566)&lt;=0,"",COUNTIF($P$6:$P566,"&gt;0"))</f>
        <v/>
      </c>
    </row>
    <row r="567" customFormat="false" ht="15" hidden="false" customHeight="false" outlineLevel="0" collapsed="false">
      <c r="A567" s="40" t="str">
        <f aca="false">IF(INDEX(BookTitle,562)="","",INDEX(BookGroup,562))</f>
        <v/>
      </c>
      <c r="B567" s="40" t="str">
        <f aca="false">IF(INDEX(BookTitle,562)="","",INDEX(BookRef,562))</f>
        <v/>
      </c>
      <c r="C567" s="40" t="str">
        <f aca="false">IF(INDEX(BookTitle,562)="","",INDEX(BookDivision,562))</f>
        <v/>
      </c>
      <c r="D567" s="40" t="str">
        <f aca="false">IF(INDEX(BookTitle,562)="","",INDEX(BookUnit,562))</f>
        <v/>
      </c>
      <c r="E567" s="40" t="str">
        <f aca="false">IF(INDEX(BookTitle,562)="","",INDEX(BookTitle,562))</f>
        <v/>
      </c>
      <c r="F567" s="40" t="str">
        <f aca="false">IF(INDEX(BookTitle,562)="","",INDEX(BookLevel,562))</f>
        <v/>
      </c>
      <c r="G567" s="40" t="str">
        <f aca="false">IF(INDEX(BookTitle,562)="","",INDEX(BookCategory,562))</f>
        <v/>
      </c>
      <c r="H567" s="40" t="str">
        <f aca="false">IF(INDEX(BookTitle,562)="","",INDEX(BookRank,562))</f>
        <v/>
      </c>
      <c r="I567" s="41" t="str">
        <f aca="false">IF(INDEX(BookTitle,562)="","",INDEX(BookTotal,562))</f>
        <v/>
      </c>
      <c r="J567" s="0" t="str">
        <f aca="false">IF($I567="","",IF(INDEX(BookQ1,562)&gt;0,"Q1",IF(INDEX(BookQ2,562)&gt;0,"Q2",IF(INDEX(BookQ3,562)&gt;0,"Q3",IF(INDEX(BookQ4,562)&gt;0,"Q4","")))))</f>
        <v/>
      </c>
      <c r="K567" s="42" t="str">
        <f aca="false">IF(INDEX(BookTitle,562)="","",INDEX(BookInYear,562))</f>
        <v/>
      </c>
      <c r="L567" s="19"/>
      <c r="M567" s="39"/>
      <c r="N567" s="19"/>
      <c r="O567" s="19"/>
      <c r="P567" s="43" t="str">
        <f aca="false">IF($E567="","",IF($L567="Decline",0,IF($L567="Approve fewer",IF($M567="","",$M567),IF($L567="","",$I567))))</f>
        <v/>
      </c>
      <c r="Q567" s="34" t="str">
        <f aca="false">IF($P567="","",IF($N567&lt;&gt;"",$N567,$J567))</f>
        <v/>
      </c>
      <c r="R567" s="35" t="str">
        <f aca="false">IF(OR($P567="",$Q567=""),"",INDEX(BookRate,562)*$P567*(5-MATCH($Q567,{"Q1";"Q2";"Q3";"Q4"},0))/4+INDEX(BookOneOff,562)*$P567)</f>
        <v/>
      </c>
      <c r="S567" s="35" t="str">
        <f aca="false">IF($P567="","",INDEX(BookRate,562)*$P567)</f>
        <v/>
      </c>
      <c r="T567" s="35" t="str">
        <f aca="false">IF($R567="","",$R567-$K567)</f>
        <v/>
      </c>
      <c r="U567" s="35" t="str">
        <f aca="false">IF(N($P567)&lt;=0,"",COUNTIF($P$6:$P567,"&gt;0"))</f>
        <v/>
      </c>
    </row>
    <row r="568" customFormat="false" ht="15" hidden="false" customHeight="false" outlineLevel="0" collapsed="false">
      <c r="A568" s="40" t="str">
        <f aca="false">IF(INDEX(BookTitle,563)="","",INDEX(BookGroup,563))</f>
        <v/>
      </c>
      <c r="B568" s="40" t="str">
        <f aca="false">IF(INDEX(BookTitle,563)="","",INDEX(BookRef,563))</f>
        <v/>
      </c>
      <c r="C568" s="40" t="str">
        <f aca="false">IF(INDEX(BookTitle,563)="","",INDEX(BookDivision,563))</f>
        <v/>
      </c>
      <c r="D568" s="40" t="str">
        <f aca="false">IF(INDEX(BookTitle,563)="","",INDEX(BookUnit,563))</f>
        <v/>
      </c>
      <c r="E568" s="40" t="str">
        <f aca="false">IF(INDEX(BookTitle,563)="","",INDEX(BookTitle,563))</f>
        <v/>
      </c>
      <c r="F568" s="40" t="str">
        <f aca="false">IF(INDEX(BookTitle,563)="","",INDEX(BookLevel,563))</f>
        <v/>
      </c>
      <c r="G568" s="40" t="str">
        <f aca="false">IF(INDEX(BookTitle,563)="","",INDEX(BookCategory,563))</f>
        <v/>
      </c>
      <c r="H568" s="40" t="str">
        <f aca="false">IF(INDEX(BookTitle,563)="","",INDEX(BookRank,563))</f>
        <v/>
      </c>
      <c r="I568" s="41" t="str">
        <f aca="false">IF(INDEX(BookTitle,563)="","",INDEX(BookTotal,563))</f>
        <v/>
      </c>
      <c r="J568" s="0" t="str">
        <f aca="false">IF($I568="","",IF(INDEX(BookQ1,563)&gt;0,"Q1",IF(INDEX(BookQ2,563)&gt;0,"Q2",IF(INDEX(BookQ3,563)&gt;0,"Q3",IF(INDEX(BookQ4,563)&gt;0,"Q4","")))))</f>
        <v/>
      </c>
      <c r="K568" s="42" t="str">
        <f aca="false">IF(INDEX(BookTitle,563)="","",INDEX(BookInYear,563))</f>
        <v/>
      </c>
      <c r="L568" s="19"/>
      <c r="M568" s="39"/>
      <c r="N568" s="19"/>
      <c r="O568" s="19"/>
      <c r="P568" s="43" t="str">
        <f aca="false">IF($E568="","",IF($L568="Decline",0,IF($L568="Approve fewer",IF($M568="","",$M568),IF($L568="","",$I568))))</f>
        <v/>
      </c>
      <c r="Q568" s="34" t="str">
        <f aca="false">IF($P568="","",IF($N568&lt;&gt;"",$N568,$J568))</f>
        <v/>
      </c>
      <c r="R568" s="35" t="str">
        <f aca="false">IF(OR($P568="",$Q568=""),"",INDEX(BookRate,563)*$P568*(5-MATCH($Q568,{"Q1";"Q2";"Q3";"Q4"},0))/4+INDEX(BookOneOff,563)*$P568)</f>
        <v/>
      </c>
      <c r="S568" s="35" t="str">
        <f aca="false">IF($P568="","",INDEX(BookRate,563)*$P568)</f>
        <v/>
      </c>
      <c r="T568" s="35" t="str">
        <f aca="false">IF($R568="","",$R568-$K568)</f>
        <v/>
      </c>
      <c r="U568" s="35" t="str">
        <f aca="false">IF(N($P568)&lt;=0,"",COUNTIF($P$6:$P568,"&gt;0"))</f>
        <v/>
      </c>
    </row>
    <row r="569" customFormat="false" ht="15" hidden="false" customHeight="false" outlineLevel="0" collapsed="false">
      <c r="A569" s="40" t="str">
        <f aca="false">IF(INDEX(BookTitle,564)="","",INDEX(BookGroup,564))</f>
        <v/>
      </c>
      <c r="B569" s="40" t="str">
        <f aca="false">IF(INDEX(BookTitle,564)="","",INDEX(BookRef,564))</f>
        <v/>
      </c>
      <c r="C569" s="40" t="str">
        <f aca="false">IF(INDEX(BookTitle,564)="","",INDEX(BookDivision,564))</f>
        <v/>
      </c>
      <c r="D569" s="40" t="str">
        <f aca="false">IF(INDEX(BookTitle,564)="","",INDEX(BookUnit,564))</f>
        <v/>
      </c>
      <c r="E569" s="40" t="str">
        <f aca="false">IF(INDEX(BookTitle,564)="","",INDEX(BookTitle,564))</f>
        <v/>
      </c>
      <c r="F569" s="40" t="str">
        <f aca="false">IF(INDEX(BookTitle,564)="","",INDEX(BookLevel,564))</f>
        <v/>
      </c>
      <c r="G569" s="40" t="str">
        <f aca="false">IF(INDEX(BookTitle,564)="","",INDEX(BookCategory,564))</f>
        <v/>
      </c>
      <c r="H569" s="40" t="str">
        <f aca="false">IF(INDEX(BookTitle,564)="","",INDEX(BookRank,564))</f>
        <v/>
      </c>
      <c r="I569" s="41" t="str">
        <f aca="false">IF(INDEX(BookTitle,564)="","",INDEX(BookTotal,564))</f>
        <v/>
      </c>
      <c r="J569" s="0" t="str">
        <f aca="false">IF($I569="","",IF(INDEX(BookQ1,564)&gt;0,"Q1",IF(INDEX(BookQ2,564)&gt;0,"Q2",IF(INDEX(BookQ3,564)&gt;0,"Q3",IF(INDEX(BookQ4,564)&gt;0,"Q4","")))))</f>
        <v/>
      </c>
      <c r="K569" s="42" t="str">
        <f aca="false">IF(INDEX(BookTitle,564)="","",INDEX(BookInYear,564))</f>
        <v/>
      </c>
      <c r="L569" s="19"/>
      <c r="M569" s="39"/>
      <c r="N569" s="19"/>
      <c r="O569" s="19"/>
      <c r="P569" s="43" t="str">
        <f aca="false">IF($E569="","",IF($L569="Decline",0,IF($L569="Approve fewer",IF($M569="","",$M569),IF($L569="","",$I569))))</f>
        <v/>
      </c>
      <c r="Q569" s="34" t="str">
        <f aca="false">IF($P569="","",IF($N569&lt;&gt;"",$N569,$J569))</f>
        <v/>
      </c>
      <c r="R569" s="35" t="str">
        <f aca="false">IF(OR($P569="",$Q569=""),"",INDEX(BookRate,564)*$P569*(5-MATCH($Q569,{"Q1";"Q2";"Q3";"Q4"},0))/4+INDEX(BookOneOff,564)*$P569)</f>
        <v/>
      </c>
      <c r="S569" s="35" t="str">
        <f aca="false">IF($P569="","",INDEX(BookRate,564)*$P569)</f>
        <v/>
      </c>
      <c r="T569" s="35" t="str">
        <f aca="false">IF($R569="","",$R569-$K569)</f>
        <v/>
      </c>
      <c r="U569" s="35" t="str">
        <f aca="false">IF(N($P569)&lt;=0,"",COUNTIF($P$6:$P569,"&gt;0"))</f>
        <v/>
      </c>
    </row>
    <row r="570" customFormat="false" ht="15" hidden="false" customHeight="false" outlineLevel="0" collapsed="false">
      <c r="A570" s="40" t="str">
        <f aca="false">IF(INDEX(BookTitle,565)="","",INDEX(BookGroup,565))</f>
        <v/>
      </c>
      <c r="B570" s="40" t="str">
        <f aca="false">IF(INDEX(BookTitle,565)="","",INDEX(BookRef,565))</f>
        <v/>
      </c>
      <c r="C570" s="40" t="str">
        <f aca="false">IF(INDEX(BookTitle,565)="","",INDEX(BookDivision,565))</f>
        <v/>
      </c>
      <c r="D570" s="40" t="str">
        <f aca="false">IF(INDEX(BookTitle,565)="","",INDEX(BookUnit,565))</f>
        <v/>
      </c>
      <c r="E570" s="40" t="str">
        <f aca="false">IF(INDEX(BookTitle,565)="","",INDEX(BookTitle,565))</f>
        <v/>
      </c>
      <c r="F570" s="40" t="str">
        <f aca="false">IF(INDEX(BookTitle,565)="","",INDEX(BookLevel,565))</f>
        <v/>
      </c>
      <c r="G570" s="40" t="str">
        <f aca="false">IF(INDEX(BookTitle,565)="","",INDEX(BookCategory,565))</f>
        <v/>
      </c>
      <c r="H570" s="40" t="str">
        <f aca="false">IF(INDEX(BookTitle,565)="","",INDEX(BookRank,565))</f>
        <v/>
      </c>
      <c r="I570" s="41" t="str">
        <f aca="false">IF(INDEX(BookTitle,565)="","",INDEX(BookTotal,565))</f>
        <v/>
      </c>
      <c r="J570" s="0" t="str">
        <f aca="false">IF($I570="","",IF(INDEX(BookQ1,565)&gt;0,"Q1",IF(INDEX(BookQ2,565)&gt;0,"Q2",IF(INDEX(BookQ3,565)&gt;0,"Q3",IF(INDEX(BookQ4,565)&gt;0,"Q4","")))))</f>
        <v/>
      </c>
      <c r="K570" s="42" t="str">
        <f aca="false">IF(INDEX(BookTitle,565)="","",INDEX(BookInYear,565))</f>
        <v/>
      </c>
      <c r="L570" s="19"/>
      <c r="M570" s="39"/>
      <c r="N570" s="19"/>
      <c r="O570" s="19"/>
      <c r="P570" s="43" t="str">
        <f aca="false">IF($E570="","",IF($L570="Decline",0,IF($L570="Approve fewer",IF($M570="","",$M570),IF($L570="","",$I570))))</f>
        <v/>
      </c>
      <c r="Q570" s="34" t="str">
        <f aca="false">IF($P570="","",IF($N570&lt;&gt;"",$N570,$J570))</f>
        <v/>
      </c>
      <c r="R570" s="35" t="str">
        <f aca="false">IF(OR($P570="",$Q570=""),"",INDEX(BookRate,565)*$P570*(5-MATCH($Q570,{"Q1";"Q2";"Q3";"Q4"},0))/4+INDEX(BookOneOff,565)*$P570)</f>
        <v/>
      </c>
      <c r="S570" s="35" t="str">
        <f aca="false">IF($P570="","",INDEX(BookRate,565)*$P570)</f>
        <v/>
      </c>
      <c r="T570" s="35" t="str">
        <f aca="false">IF($R570="","",$R570-$K570)</f>
        <v/>
      </c>
      <c r="U570" s="35" t="str">
        <f aca="false">IF(N($P570)&lt;=0,"",COUNTIF($P$6:$P570,"&gt;0"))</f>
        <v/>
      </c>
    </row>
    <row r="571" customFormat="false" ht="15" hidden="false" customHeight="false" outlineLevel="0" collapsed="false">
      <c r="A571" s="40" t="str">
        <f aca="false">IF(INDEX(BookTitle,566)="","",INDEX(BookGroup,566))</f>
        <v/>
      </c>
      <c r="B571" s="40" t="str">
        <f aca="false">IF(INDEX(BookTitle,566)="","",INDEX(BookRef,566))</f>
        <v/>
      </c>
      <c r="C571" s="40" t="str">
        <f aca="false">IF(INDEX(BookTitle,566)="","",INDEX(BookDivision,566))</f>
        <v/>
      </c>
      <c r="D571" s="40" t="str">
        <f aca="false">IF(INDEX(BookTitle,566)="","",INDEX(BookUnit,566))</f>
        <v/>
      </c>
      <c r="E571" s="40" t="str">
        <f aca="false">IF(INDEX(BookTitle,566)="","",INDEX(BookTitle,566))</f>
        <v/>
      </c>
      <c r="F571" s="40" t="str">
        <f aca="false">IF(INDEX(BookTitle,566)="","",INDEX(BookLevel,566))</f>
        <v/>
      </c>
      <c r="G571" s="40" t="str">
        <f aca="false">IF(INDEX(BookTitle,566)="","",INDEX(BookCategory,566))</f>
        <v/>
      </c>
      <c r="H571" s="40" t="str">
        <f aca="false">IF(INDEX(BookTitle,566)="","",INDEX(BookRank,566))</f>
        <v/>
      </c>
      <c r="I571" s="41" t="str">
        <f aca="false">IF(INDEX(BookTitle,566)="","",INDEX(BookTotal,566))</f>
        <v/>
      </c>
      <c r="J571" s="0" t="str">
        <f aca="false">IF($I571="","",IF(INDEX(BookQ1,566)&gt;0,"Q1",IF(INDEX(BookQ2,566)&gt;0,"Q2",IF(INDEX(BookQ3,566)&gt;0,"Q3",IF(INDEX(BookQ4,566)&gt;0,"Q4","")))))</f>
        <v/>
      </c>
      <c r="K571" s="42" t="str">
        <f aca="false">IF(INDEX(BookTitle,566)="","",INDEX(BookInYear,566))</f>
        <v/>
      </c>
      <c r="L571" s="19"/>
      <c r="M571" s="39"/>
      <c r="N571" s="19"/>
      <c r="O571" s="19"/>
      <c r="P571" s="43" t="str">
        <f aca="false">IF($E571="","",IF($L571="Decline",0,IF($L571="Approve fewer",IF($M571="","",$M571),IF($L571="","",$I571))))</f>
        <v/>
      </c>
      <c r="Q571" s="34" t="str">
        <f aca="false">IF($P571="","",IF($N571&lt;&gt;"",$N571,$J571))</f>
        <v/>
      </c>
      <c r="R571" s="35" t="str">
        <f aca="false">IF(OR($P571="",$Q571=""),"",INDEX(BookRate,566)*$P571*(5-MATCH($Q571,{"Q1";"Q2";"Q3";"Q4"},0))/4+INDEX(BookOneOff,566)*$P571)</f>
        <v/>
      </c>
      <c r="S571" s="35" t="str">
        <f aca="false">IF($P571="","",INDEX(BookRate,566)*$P571)</f>
        <v/>
      </c>
      <c r="T571" s="35" t="str">
        <f aca="false">IF($R571="","",$R571-$K571)</f>
        <v/>
      </c>
      <c r="U571" s="35" t="str">
        <f aca="false">IF(N($P571)&lt;=0,"",COUNTIF($P$6:$P571,"&gt;0"))</f>
        <v/>
      </c>
    </row>
    <row r="572" customFormat="false" ht="15" hidden="false" customHeight="false" outlineLevel="0" collapsed="false">
      <c r="A572" s="40" t="str">
        <f aca="false">IF(INDEX(BookTitle,567)="","",INDEX(BookGroup,567))</f>
        <v/>
      </c>
      <c r="B572" s="40" t="str">
        <f aca="false">IF(INDEX(BookTitle,567)="","",INDEX(BookRef,567))</f>
        <v/>
      </c>
      <c r="C572" s="40" t="str">
        <f aca="false">IF(INDEX(BookTitle,567)="","",INDEX(BookDivision,567))</f>
        <v/>
      </c>
      <c r="D572" s="40" t="str">
        <f aca="false">IF(INDEX(BookTitle,567)="","",INDEX(BookUnit,567))</f>
        <v/>
      </c>
      <c r="E572" s="40" t="str">
        <f aca="false">IF(INDEX(BookTitle,567)="","",INDEX(BookTitle,567))</f>
        <v/>
      </c>
      <c r="F572" s="40" t="str">
        <f aca="false">IF(INDEX(BookTitle,567)="","",INDEX(BookLevel,567))</f>
        <v/>
      </c>
      <c r="G572" s="40" t="str">
        <f aca="false">IF(INDEX(BookTitle,567)="","",INDEX(BookCategory,567))</f>
        <v/>
      </c>
      <c r="H572" s="40" t="str">
        <f aca="false">IF(INDEX(BookTitle,567)="","",INDEX(BookRank,567))</f>
        <v/>
      </c>
      <c r="I572" s="41" t="str">
        <f aca="false">IF(INDEX(BookTitle,567)="","",INDEX(BookTotal,567))</f>
        <v/>
      </c>
      <c r="J572" s="0" t="str">
        <f aca="false">IF($I572="","",IF(INDEX(BookQ1,567)&gt;0,"Q1",IF(INDEX(BookQ2,567)&gt;0,"Q2",IF(INDEX(BookQ3,567)&gt;0,"Q3",IF(INDEX(BookQ4,567)&gt;0,"Q4","")))))</f>
        <v/>
      </c>
      <c r="K572" s="42" t="str">
        <f aca="false">IF(INDEX(BookTitle,567)="","",INDEX(BookInYear,567))</f>
        <v/>
      </c>
      <c r="L572" s="19"/>
      <c r="M572" s="39"/>
      <c r="N572" s="19"/>
      <c r="O572" s="19"/>
      <c r="P572" s="43" t="str">
        <f aca="false">IF($E572="","",IF($L572="Decline",0,IF($L572="Approve fewer",IF($M572="","",$M572),IF($L572="","",$I572))))</f>
        <v/>
      </c>
      <c r="Q572" s="34" t="str">
        <f aca="false">IF($P572="","",IF($N572&lt;&gt;"",$N572,$J572))</f>
        <v/>
      </c>
      <c r="R572" s="35" t="str">
        <f aca="false">IF(OR($P572="",$Q572=""),"",INDEX(BookRate,567)*$P572*(5-MATCH($Q572,{"Q1";"Q2";"Q3";"Q4"},0))/4+INDEX(BookOneOff,567)*$P572)</f>
        <v/>
      </c>
      <c r="S572" s="35" t="str">
        <f aca="false">IF($P572="","",INDEX(BookRate,567)*$P572)</f>
        <v/>
      </c>
      <c r="T572" s="35" t="str">
        <f aca="false">IF($R572="","",$R572-$K572)</f>
        <v/>
      </c>
      <c r="U572" s="35" t="str">
        <f aca="false">IF(N($P572)&lt;=0,"",COUNTIF($P$6:$P572,"&gt;0"))</f>
        <v/>
      </c>
    </row>
    <row r="573" customFormat="false" ht="15" hidden="false" customHeight="false" outlineLevel="0" collapsed="false">
      <c r="A573" s="40" t="str">
        <f aca="false">IF(INDEX(BookTitle,568)="","",INDEX(BookGroup,568))</f>
        <v/>
      </c>
      <c r="B573" s="40" t="str">
        <f aca="false">IF(INDEX(BookTitle,568)="","",INDEX(BookRef,568))</f>
        <v/>
      </c>
      <c r="C573" s="40" t="str">
        <f aca="false">IF(INDEX(BookTitle,568)="","",INDEX(BookDivision,568))</f>
        <v/>
      </c>
      <c r="D573" s="40" t="str">
        <f aca="false">IF(INDEX(BookTitle,568)="","",INDEX(BookUnit,568))</f>
        <v/>
      </c>
      <c r="E573" s="40" t="str">
        <f aca="false">IF(INDEX(BookTitle,568)="","",INDEX(BookTitle,568))</f>
        <v/>
      </c>
      <c r="F573" s="40" t="str">
        <f aca="false">IF(INDEX(BookTitle,568)="","",INDEX(BookLevel,568))</f>
        <v/>
      </c>
      <c r="G573" s="40" t="str">
        <f aca="false">IF(INDEX(BookTitle,568)="","",INDEX(BookCategory,568))</f>
        <v/>
      </c>
      <c r="H573" s="40" t="str">
        <f aca="false">IF(INDEX(BookTitle,568)="","",INDEX(BookRank,568))</f>
        <v/>
      </c>
      <c r="I573" s="41" t="str">
        <f aca="false">IF(INDEX(BookTitle,568)="","",INDEX(BookTotal,568))</f>
        <v/>
      </c>
      <c r="J573" s="0" t="str">
        <f aca="false">IF($I573="","",IF(INDEX(BookQ1,568)&gt;0,"Q1",IF(INDEX(BookQ2,568)&gt;0,"Q2",IF(INDEX(BookQ3,568)&gt;0,"Q3",IF(INDEX(BookQ4,568)&gt;0,"Q4","")))))</f>
        <v/>
      </c>
      <c r="K573" s="42" t="str">
        <f aca="false">IF(INDEX(BookTitle,568)="","",INDEX(BookInYear,568))</f>
        <v/>
      </c>
      <c r="L573" s="19"/>
      <c r="M573" s="39"/>
      <c r="N573" s="19"/>
      <c r="O573" s="19"/>
      <c r="P573" s="43" t="str">
        <f aca="false">IF($E573="","",IF($L573="Decline",0,IF($L573="Approve fewer",IF($M573="","",$M573),IF($L573="","",$I573))))</f>
        <v/>
      </c>
      <c r="Q573" s="34" t="str">
        <f aca="false">IF($P573="","",IF($N573&lt;&gt;"",$N573,$J573))</f>
        <v/>
      </c>
      <c r="R573" s="35" t="str">
        <f aca="false">IF(OR($P573="",$Q573=""),"",INDEX(BookRate,568)*$P573*(5-MATCH($Q573,{"Q1";"Q2";"Q3";"Q4"},0))/4+INDEX(BookOneOff,568)*$P573)</f>
        <v/>
      </c>
      <c r="S573" s="35" t="str">
        <f aca="false">IF($P573="","",INDEX(BookRate,568)*$P573)</f>
        <v/>
      </c>
      <c r="T573" s="35" t="str">
        <f aca="false">IF($R573="","",$R573-$K573)</f>
        <v/>
      </c>
      <c r="U573" s="35" t="str">
        <f aca="false">IF(N($P573)&lt;=0,"",COUNTIF($P$6:$P573,"&gt;0"))</f>
        <v/>
      </c>
    </row>
    <row r="574" customFormat="false" ht="15" hidden="false" customHeight="false" outlineLevel="0" collapsed="false">
      <c r="A574" s="40" t="str">
        <f aca="false">IF(INDEX(BookTitle,569)="","",INDEX(BookGroup,569))</f>
        <v/>
      </c>
      <c r="B574" s="40" t="str">
        <f aca="false">IF(INDEX(BookTitle,569)="","",INDEX(BookRef,569))</f>
        <v/>
      </c>
      <c r="C574" s="40" t="str">
        <f aca="false">IF(INDEX(BookTitle,569)="","",INDEX(BookDivision,569))</f>
        <v/>
      </c>
      <c r="D574" s="40" t="str">
        <f aca="false">IF(INDEX(BookTitle,569)="","",INDEX(BookUnit,569))</f>
        <v/>
      </c>
      <c r="E574" s="40" t="str">
        <f aca="false">IF(INDEX(BookTitle,569)="","",INDEX(BookTitle,569))</f>
        <v/>
      </c>
      <c r="F574" s="40" t="str">
        <f aca="false">IF(INDEX(BookTitle,569)="","",INDEX(BookLevel,569))</f>
        <v/>
      </c>
      <c r="G574" s="40" t="str">
        <f aca="false">IF(INDEX(BookTitle,569)="","",INDEX(BookCategory,569))</f>
        <v/>
      </c>
      <c r="H574" s="40" t="str">
        <f aca="false">IF(INDEX(BookTitle,569)="","",INDEX(BookRank,569))</f>
        <v/>
      </c>
      <c r="I574" s="41" t="str">
        <f aca="false">IF(INDEX(BookTitle,569)="","",INDEX(BookTotal,569))</f>
        <v/>
      </c>
      <c r="J574" s="0" t="str">
        <f aca="false">IF($I574="","",IF(INDEX(BookQ1,569)&gt;0,"Q1",IF(INDEX(BookQ2,569)&gt;0,"Q2",IF(INDEX(BookQ3,569)&gt;0,"Q3",IF(INDEX(BookQ4,569)&gt;0,"Q4","")))))</f>
        <v/>
      </c>
      <c r="K574" s="42" t="str">
        <f aca="false">IF(INDEX(BookTitle,569)="","",INDEX(BookInYear,569))</f>
        <v/>
      </c>
      <c r="L574" s="19"/>
      <c r="M574" s="39"/>
      <c r="N574" s="19"/>
      <c r="O574" s="19"/>
      <c r="P574" s="43" t="str">
        <f aca="false">IF($E574="","",IF($L574="Decline",0,IF($L574="Approve fewer",IF($M574="","",$M574),IF($L574="","",$I574))))</f>
        <v/>
      </c>
      <c r="Q574" s="34" t="str">
        <f aca="false">IF($P574="","",IF($N574&lt;&gt;"",$N574,$J574))</f>
        <v/>
      </c>
      <c r="R574" s="35" t="str">
        <f aca="false">IF(OR($P574="",$Q574=""),"",INDEX(BookRate,569)*$P574*(5-MATCH($Q574,{"Q1";"Q2";"Q3";"Q4"},0))/4+INDEX(BookOneOff,569)*$P574)</f>
        <v/>
      </c>
      <c r="S574" s="35" t="str">
        <f aca="false">IF($P574="","",INDEX(BookRate,569)*$P574)</f>
        <v/>
      </c>
      <c r="T574" s="35" t="str">
        <f aca="false">IF($R574="","",$R574-$K574)</f>
        <v/>
      </c>
      <c r="U574" s="35" t="str">
        <f aca="false">IF(N($P574)&lt;=0,"",COUNTIF($P$6:$P574,"&gt;0"))</f>
        <v/>
      </c>
    </row>
    <row r="575" customFormat="false" ht="15" hidden="false" customHeight="false" outlineLevel="0" collapsed="false">
      <c r="A575" s="40" t="str">
        <f aca="false">IF(INDEX(BookTitle,570)="","",INDEX(BookGroup,570))</f>
        <v/>
      </c>
      <c r="B575" s="40" t="str">
        <f aca="false">IF(INDEX(BookTitle,570)="","",INDEX(BookRef,570))</f>
        <v/>
      </c>
      <c r="C575" s="40" t="str">
        <f aca="false">IF(INDEX(BookTitle,570)="","",INDEX(BookDivision,570))</f>
        <v/>
      </c>
      <c r="D575" s="40" t="str">
        <f aca="false">IF(INDEX(BookTitle,570)="","",INDEX(BookUnit,570))</f>
        <v/>
      </c>
      <c r="E575" s="40" t="str">
        <f aca="false">IF(INDEX(BookTitle,570)="","",INDEX(BookTitle,570))</f>
        <v/>
      </c>
      <c r="F575" s="40" t="str">
        <f aca="false">IF(INDEX(BookTitle,570)="","",INDEX(BookLevel,570))</f>
        <v/>
      </c>
      <c r="G575" s="40" t="str">
        <f aca="false">IF(INDEX(BookTitle,570)="","",INDEX(BookCategory,570))</f>
        <v/>
      </c>
      <c r="H575" s="40" t="str">
        <f aca="false">IF(INDEX(BookTitle,570)="","",INDEX(BookRank,570))</f>
        <v/>
      </c>
      <c r="I575" s="41" t="str">
        <f aca="false">IF(INDEX(BookTitle,570)="","",INDEX(BookTotal,570))</f>
        <v/>
      </c>
      <c r="J575" s="0" t="str">
        <f aca="false">IF($I575="","",IF(INDEX(BookQ1,570)&gt;0,"Q1",IF(INDEX(BookQ2,570)&gt;0,"Q2",IF(INDEX(BookQ3,570)&gt;0,"Q3",IF(INDEX(BookQ4,570)&gt;0,"Q4","")))))</f>
        <v/>
      </c>
      <c r="K575" s="42" t="str">
        <f aca="false">IF(INDEX(BookTitle,570)="","",INDEX(BookInYear,570))</f>
        <v/>
      </c>
      <c r="L575" s="19"/>
      <c r="M575" s="39"/>
      <c r="N575" s="19"/>
      <c r="O575" s="19"/>
      <c r="P575" s="43" t="str">
        <f aca="false">IF($E575="","",IF($L575="Decline",0,IF($L575="Approve fewer",IF($M575="","",$M575),IF($L575="","",$I575))))</f>
        <v/>
      </c>
      <c r="Q575" s="34" t="str">
        <f aca="false">IF($P575="","",IF($N575&lt;&gt;"",$N575,$J575))</f>
        <v/>
      </c>
      <c r="R575" s="35" t="str">
        <f aca="false">IF(OR($P575="",$Q575=""),"",INDEX(BookRate,570)*$P575*(5-MATCH($Q575,{"Q1";"Q2";"Q3";"Q4"},0))/4+INDEX(BookOneOff,570)*$P575)</f>
        <v/>
      </c>
      <c r="S575" s="35" t="str">
        <f aca="false">IF($P575="","",INDEX(BookRate,570)*$P575)</f>
        <v/>
      </c>
      <c r="T575" s="35" t="str">
        <f aca="false">IF($R575="","",$R575-$K575)</f>
        <v/>
      </c>
      <c r="U575" s="35" t="str">
        <f aca="false">IF(N($P575)&lt;=0,"",COUNTIF($P$6:$P575,"&gt;0"))</f>
        <v/>
      </c>
    </row>
    <row r="576" customFormat="false" ht="15" hidden="false" customHeight="false" outlineLevel="0" collapsed="false">
      <c r="A576" s="40" t="str">
        <f aca="false">IF(INDEX(BookTitle,571)="","",INDEX(BookGroup,571))</f>
        <v/>
      </c>
      <c r="B576" s="40" t="str">
        <f aca="false">IF(INDEX(BookTitle,571)="","",INDEX(BookRef,571))</f>
        <v/>
      </c>
      <c r="C576" s="40" t="str">
        <f aca="false">IF(INDEX(BookTitle,571)="","",INDEX(BookDivision,571))</f>
        <v/>
      </c>
      <c r="D576" s="40" t="str">
        <f aca="false">IF(INDEX(BookTitle,571)="","",INDEX(BookUnit,571))</f>
        <v/>
      </c>
      <c r="E576" s="40" t="str">
        <f aca="false">IF(INDEX(BookTitle,571)="","",INDEX(BookTitle,571))</f>
        <v/>
      </c>
      <c r="F576" s="40" t="str">
        <f aca="false">IF(INDEX(BookTitle,571)="","",INDEX(BookLevel,571))</f>
        <v/>
      </c>
      <c r="G576" s="40" t="str">
        <f aca="false">IF(INDEX(BookTitle,571)="","",INDEX(BookCategory,571))</f>
        <v/>
      </c>
      <c r="H576" s="40" t="str">
        <f aca="false">IF(INDEX(BookTitle,571)="","",INDEX(BookRank,571))</f>
        <v/>
      </c>
      <c r="I576" s="41" t="str">
        <f aca="false">IF(INDEX(BookTitle,571)="","",INDEX(BookTotal,571))</f>
        <v/>
      </c>
      <c r="J576" s="0" t="str">
        <f aca="false">IF($I576="","",IF(INDEX(BookQ1,571)&gt;0,"Q1",IF(INDEX(BookQ2,571)&gt;0,"Q2",IF(INDEX(BookQ3,571)&gt;0,"Q3",IF(INDEX(BookQ4,571)&gt;0,"Q4","")))))</f>
        <v/>
      </c>
      <c r="K576" s="42" t="str">
        <f aca="false">IF(INDEX(BookTitle,571)="","",INDEX(BookInYear,571))</f>
        <v/>
      </c>
      <c r="L576" s="19"/>
      <c r="M576" s="39"/>
      <c r="N576" s="19"/>
      <c r="O576" s="19"/>
      <c r="P576" s="43" t="str">
        <f aca="false">IF($E576="","",IF($L576="Decline",0,IF($L576="Approve fewer",IF($M576="","",$M576),IF($L576="","",$I576))))</f>
        <v/>
      </c>
      <c r="Q576" s="34" t="str">
        <f aca="false">IF($P576="","",IF($N576&lt;&gt;"",$N576,$J576))</f>
        <v/>
      </c>
      <c r="R576" s="35" t="str">
        <f aca="false">IF(OR($P576="",$Q576=""),"",INDEX(BookRate,571)*$P576*(5-MATCH($Q576,{"Q1";"Q2";"Q3";"Q4"},0))/4+INDEX(BookOneOff,571)*$P576)</f>
        <v/>
      </c>
      <c r="S576" s="35" t="str">
        <f aca="false">IF($P576="","",INDEX(BookRate,571)*$P576)</f>
        <v/>
      </c>
      <c r="T576" s="35" t="str">
        <f aca="false">IF($R576="","",$R576-$K576)</f>
        <v/>
      </c>
      <c r="U576" s="35" t="str">
        <f aca="false">IF(N($P576)&lt;=0,"",COUNTIF($P$6:$P576,"&gt;0"))</f>
        <v/>
      </c>
    </row>
    <row r="577" customFormat="false" ht="15" hidden="false" customHeight="false" outlineLevel="0" collapsed="false">
      <c r="A577" s="40" t="str">
        <f aca="false">IF(INDEX(BookTitle,572)="","",INDEX(BookGroup,572))</f>
        <v/>
      </c>
      <c r="B577" s="40" t="str">
        <f aca="false">IF(INDEX(BookTitle,572)="","",INDEX(BookRef,572))</f>
        <v/>
      </c>
      <c r="C577" s="40" t="str">
        <f aca="false">IF(INDEX(BookTitle,572)="","",INDEX(BookDivision,572))</f>
        <v/>
      </c>
      <c r="D577" s="40" t="str">
        <f aca="false">IF(INDEX(BookTitle,572)="","",INDEX(BookUnit,572))</f>
        <v/>
      </c>
      <c r="E577" s="40" t="str">
        <f aca="false">IF(INDEX(BookTitle,572)="","",INDEX(BookTitle,572))</f>
        <v/>
      </c>
      <c r="F577" s="40" t="str">
        <f aca="false">IF(INDEX(BookTitle,572)="","",INDEX(BookLevel,572))</f>
        <v/>
      </c>
      <c r="G577" s="40" t="str">
        <f aca="false">IF(INDEX(BookTitle,572)="","",INDEX(BookCategory,572))</f>
        <v/>
      </c>
      <c r="H577" s="40" t="str">
        <f aca="false">IF(INDEX(BookTitle,572)="","",INDEX(BookRank,572))</f>
        <v/>
      </c>
      <c r="I577" s="41" t="str">
        <f aca="false">IF(INDEX(BookTitle,572)="","",INDEX(BookTotal,572))</f>
        <v/>
      </c>
      <c r="J577" s="0" t="str">
        <f aca="false">IF($I577="","",IF(INDEX(BookQ1,572)&gt;0,"Q1",IF(INDEX(BookQ2,572)&gt;0,"Q2",IF(INDEX(BookQ3,572)&gt;0,"Q3",IF(INDEX(BookQ4,572)&gt;0,"Q4","")))))</f>
        <v/>
      </c>
      <c r="K577" s="42" t="str">
        <f aca="false">IF(INDEX(BookTitle,572)="","",INDEX(BookInYear,572))</f>
        <v/>
      </c>
      <c r="L577" s="19"/>
      <c r="M577" s="39"/>
      <c r="N577" s="19"/>
      <c r="O577" s="19"/>
      <c r="P577" s="43" t="str">
        <f aca="false">IF($E577="","",IF($L577="Decline",0,IF($L577="Approve fewer",IF($M577="","",$M577),IF($L577="","",$I577))))</f>
        <v/>
      </c>
      <c r="Q577" s="34" t="str">
        <f aca="false">IF($P577="","",IF($N577&lt;&gt;"",$N577,$J577))</f>
        <v/>
      </c>
      <c r="R577" s="35" t="str">
        <f aca="false">IF(OR($P577="",$Q577=""),"",INDEX(BookRate,572)*$P577*(5-MATCH($Q577,{"Q1";"Q2";"Q3";"Q4"},0))/4+INDEX(BookOneOff,572)*$P577)</f>
        <v/>
      </c>
      <c r="S577" s="35" t="str">
        <f aca="false">IF($P577="","",INDEX(BookRate,572)*$P577)</f>
        <v/>
      </c>
      <c r="T577" s="35" t="str">
        <f aca="false">IF($R577="","",$R577-$K577)</f>
        <v/>
      </c>
      <c r="U577" s="35" t="str">
        <f aca="false">IF(N($P577)&lt;=0,"",COUNTIF($P$6:$P577,"&gt;0"))</f>
        <v/>
      </c>
    </row>
    <row r="578" customFormat="false" ht="15" hidden="false" customHeight="false" outlineLevel="0" collapsed="false">
      <c r="A578" s="40" t="str">
        <f aca="false">IF(INDEX(BookTitle,573)="","",INDEX(BookGroup,573))</f>
        <v/>
      </c>
      <c r="B578" s="40" t="str">
        <f aca="false">IF(INDEX(BookTitle,573)="","",INDEX(BookRef,573))</f>
        <v/>
      </c>
      <c r="C578" s="40" t="str">
        <f aca="false">IF(INDEX(BookTitle,573)="","",INDEX(BookDivision,573))</f>
        <v/>
      </c>
      <c r="D578" s="40" t="str">
        <f aca="false">IF(INDEX(BookTitle,573)="","",INDEX(BookUnit,573))</f>
        <v/>
      </c>
      <c r="E578" s="40" t="str">
        <f aca="false">IF(INDEX(BookTitle,573)="","",INDEX(BookTitle,573))</f>
        <v/>
      </c>
      <c r="F578" s="40" t="str">
        <f aca="false">IF(INDEX(BookTitle,573)="","",INDEX(BookLevel,573))</f>
        <v/>
      </c>
      <c r="G578" s="40" t="str">
        <f aca="false">IF(INDEX(BookTitle,573)="","",INDEX(BookCategory,573))</f>
        <v/>
      </c>
      <c r="H578" s="40" t="str">
        <f aca="false">IF(INDEX(BookTitle,573)="","",INDEX(BookRank,573))</f>
        <v/>
      </c>
      <c r="I578" s="41" t="str">
        <f aca="false">IF(INDEX(BookTitle,573)="","",INDEX(BookTotal,573))</f>
        <v/>
      </c>
      <c r="J578" s="0" t="str">
        <f aca="false">IF($I578="","",IF(INDEX(BookQ1,573)&gt;0,"Q1",IF(INDEX(BookQ2,573)&gt;0,"Q2",IF(INDEX(BookQ3,573)&gt;0,"Q3",IF(INDEX(BookQ4,573)&gt;0,"Q4","")))))</f>
        <v/>
      </c>
      <c r="K578" s="42" t="str">
        <f aca="false">IF(INDEX(BookTitle,573)="","",INDEX(BookInYear,573))</f>
        <v/>
      </c>
      <c r="L578" s="19"/>
      <c r="M578" s="39"/>
      <c r="N578" s="19"/>
      <c r="O578" s="19"/>
      <c r="P578" s="43" t="str">
        <f aca="false">IF($E578="","",IF($L578="Decline",0,IF($L578="Approve fewer",IF($M578="","",$M578),IF($L578="","",$I578))))</f>
        <v/>
      </c>
      <c r="Q578" s="34" t="str">
        <f aca="false">IF($P578="","",IF($N578&lt;&gt;"",$N578,$J578))</f>
        <v/>
      </c>
      <c r="R578" s="35" t="str">
        <f aca="false">IF(OR($P578="",$Q578=""),"",INDEX(BookRate,573)*$P578*(5-MATCH($Q578,{"Q1";"Q2";"Q3";"Q4"},0))/4+INDEX(BookOneOff,573)*$P578)</f>
        <v/>
      </c>
      <c r="S578" s="35" t="str">
        <f aca="false">IF($P578="","",INDEX(BookRate,573)*$P578)</f>
        <v/>
      </c>
      <c r="T578" s="35" t="str">
        <f aca="false">IF($R578="","",$R578-$K578)</f>
        <v/>
      </c>
      <c r="U578" s="35" t="str">
        <f aca="false">IF(N($P578)&lt;=0,"",COUNTIF($P$6:$P578,"&gt;0"))</f>
        <v/>
      </c>
    </row>
    <row r="579" customFormat="false" ht="15" hidden="false" customHeight="false" outlineLevel="0" collapsed="false">
      <c r="A579" s="40" t="str">
        <f aca="false">IF(INDEX(BookTitle,574)="","",INDEX(BookGroup,574))</f>
        <v/>
      </c>
      <c r="B579" s="40" t="str">
        <f aca="false">IF(INDEX(BookTitle,574)="","",INDEX(BookRef,574))</f>
        <v/>
      </c>
      <c r="C579" s="40" t="str">
        <f aca="false">IF(INDEX(BookTitle,574)="","",INDEX(BookDivision,574))</f>
        <v/>
      </c>
      <c r="D579" s="40" t="str">
        <f aca="false">IF(INDEX(BookTitle,574)="","",INDEX(BookUnit,574))</f>
        <v/>
      </c>
      <c r="E579" s="40" t="str">
        <f aca="false">IF(INDEX(BookTitle,574)="","",INDEX(BookTitle,574))</f>
        <v/>
      </c>
      <c r="F579" s="40" t="str">
        <f aca="false">IF(INDEX(BookTitle,574)="","",INDEX(BookLevel,574))</f>
        <v/>
      </c>
      <c r="G579" s="40" t="str">
        <f aca="false">IF(INDEX(BookTitle,574)="","",INDEX(BookCategory,574))</f>
        <v/>
      </c>
      <c r="H579" s="40" t="str">
        <f aca="false">IF(INDEX(BookTitle,574)="","",INDEX(BookRank,574))</f>
        <v/>
      </c>
      <c r="I579" s="41" t="str">
        <f aca="false">IF(INDEX(BookTitle,574)="","",INDEX(BookTotal,574))</f>
        <v/>
      </c>
      <c r="J579" s="0" t="str">
        <f aca="false">IF($I579="","",IF(INDEX(BookQ1,574)&gt;0,"Q1",IF(INDEX(BookQ2,574)&gt;0,"Q2",IF(INDEX(BookQ3,574)&gt;0,"Q3",IF(INDEX(BookQ4,574)&gt;0,"Q4","")))))</f>
        <v/>
      </c>
      <c r="K579" s="42" t="str">
        <f aca="false">IF(INDEX(BookTitle,574)="","",INDEX(BookInYear,574))</f>
        <v/>
      </c>
      <c r="L579" s="19"/>
      <c r="M579" s="39"/>
      <c r="N579" s="19"/>
      <c r="O579" s="19"/>
      <c r="P579" s="43" t="str">
        <f aca="false">IF($E579="","",IF($L579="Decline",0,IF($L579="Approve fewer",IF($M579="","",$M579),IF($L579="","",$I579))))</f>
        <v/>
      </c>
      <c r="Q579" s="34" t="str">
        <f aca="false">IF($P579="","",IF($N579&lt;&gt;"",$N579,$J579))</f>
        <v/>
      </c>
      <c r="R579" s="35" t="str">
        <f aca="false">IF(OR($P579="",$Q579=""),"",INDEX(BookRate,574)*$P579*(5-MATCH($Q579,{"Q1";"Q2";"Q3";"Q4"},0))/4+INDEX(BookOneOff,574)*$P579)</f>
        <v/>
      </c>
      <c r="S579" s="35" t="str">
        <f aca="false">IF($P579="","",INDEX(BookRate,574)*$P579)</f>
        <v/>
      </c>
      <c r="T579" s="35" t="str">
        <f aca="false">IF($R579="","",$R579-$K579)</f>
        <v/>
      </c>
      <c r="U579" s="35" t="str">
        <f aca="false">IF(N($P579)&lt;=0,"",COUNTIF($P$6:$P579,"&gt;0"))</f>
        <v/>
      </c>
    </row>
    <row r="580" customFormat="false" ht="15" hidden="false" customHeight="false" outlineLevel="0" collapsed="false">
      <c r="A580" s="40" t="str">
        <f aca="false">IF(INDEX(BookTitle,575)="","",INDEX(BookGroup,575))</f>
        <v/>
      </c>
      <c r="B580" s="40" t="str">
        <f aca="false">IF(INDEX(BookTitle,575)="","",INDEX(BookRef,575))</f>
        <v/>
      </c>
      <c r="C580" s="40" t="str">
        <f aca="false">IF(INDEX(BookTitle,575)="","",INDEX(BookDivision,575))</f>
        <v/>
      </c>
      <c r="D580" s="40" t="str">
        <f aca="false">IF(INDEX(BookTitle,575)="","",INDEX(BookUnit,575))</f>
        <v/>
      </c>
      <c r="E580" s="40" t="str">
        <f aca="false">IF(INDEX(BookTitle,575)="","",INDEX(BookTitle,575))</f>
        <v/>
      </c>
      <c r="F580" s="40" t="str">
        <f aca="false">IF(INDEX(BookTitle,575)="","",INDEX(BookLevel,575))</f>
        <v/>
      </c>
      <c r="G580" s="40" t="str">
        <f aca="false">IF(INDEX(BookTitle,575)="","",INDEX(BookCategory,575))</f>
        <v/>
      </c>
      <c r="H580" s="40" t="str">
        <f aca="false">IF(INDEX(BookTitle,575)="","",INDEX(BookRank,575))</f>
        <v/>
      </c>
      <c r="I580" s="41" t="str">
        <f aca="false">IF(INDEX(BookTitle,575)="","",INDEX(BookTotal,575))</f>
        <v/>
      </c>
      <c r="J580" s="0" t="str">
        <f aca="false">IF($I580="","",IF(INDEX(BookQ1,575)&gt;0,"Q1",IF(INDEX(BookQ2,575)&gt;0,"Q2",IF(INDEX(BookQ3,575)&gt;0,"Q3",IF(INDEX(BookQ4,575)&gt;0,"Q4","")))))</f>
        <v/>
      </c>
      <c r="K580" s="42" t="str">
        <f aca="false">IF(INDEX(BookTitle,575)="","",INDEX(BookInYear,575))</f>
        <v/>
      </c>
      <c r="L580" s="19"/>
      <c r="M580" s="39"/>
      <c r="N580" s="19"/>
      <c r="O580" s="19"/>
      <c r="P580" s="43" t="str">
        <f aca="false">IF($E580="","",IF($L580="Decline",0,IF($L580="Approve fewer",IF($M580="","",$M580),IF($L580="","",$I580))))</f>
        <v/>
      </c>
      <c r="Q580" s="34" t="str">
        <f aca="false">IF($P580="","",IF($N580&lt;&gt;"",$N580,$J580))</f>
        <v/>
      </c>
      <c r="R580" s="35" t="str">
        <f aca="false">IF(OR($P580="",$Q580=""),"",INDEX(BookRate,575)*$P580*(5-MATCH($Q580,{"Q1";"Q2";"Q3";"Q4"},0))/4+INDEX(BookOneOff,575)*$P580)</f>
        <v/>
      </c>
      <c r="S580" s="35" t="str">
        <f aca="false">IF($P580="","",INDEX(BookRate,575)*$P580)</f>
        <v/>
      </c>
      <c r="T580" s="35" t="str">
        <f aca="false">IF($R580="","",$R580-$K580)</f>
        <v/>
      </c>
      <c r="U580" s="35" t="str">
        <f aca="false">IF(N($P580)&lt;=0,"",COUNTIF($P$6:$P580,"&gt;0"))</f>
        <v/>
      </c>
    </row>
    <row r="581" customFormat="false" ht="15" hidden="false" customHeight="false" outlineLevel="0" collapsed="false">
      <c r="A581" s="40" t="str">
        <f aca="false">IF(INDEX(BookTitle,576)="","",INDEX(BookGroup,576))</f>
        <v/>
      </c>
      <c r="B581" s="40" t="str">
        <f aca="false">IF(INDEX(BookTitle,576)="","",INDEX(BookRef,576))</f>
        <v/>
      </c>
      <c r="C581" s="40" t="str">
        <f aca="false">IF(INDEX(BookTitle,576)="","",INDEX(BookDivision,576))</f>
        <v/>
      </c>
      <c r="D581" s="40" t="str">
        <f aca="false">IF(INDEX(BookTitle,576)="","",INDEX(BookUnit,576))</f>
        <v/>
      </c>
      <c r="E581" s="40" t="str">
        <f aca="false">IF(INDEX(BookTitle,576)="","",INDEX(BookTitle,576))</f>
        <v/>
      </c>
      <c r="F581" s="40" t="str">
        <f aca="false">IF(INDEX(BookTitle,576)="","",INDEX(BookLevel,576))</f>
        <v/>
      </c>
      <c r="G581" s="40" t="str">
        <f aca="false">IF(INDEX(BookTitle,576)="","",INDEX(BookCategory,576))</f>
        <v/>
      </c>
      <c r="H581" s="40" t="str">
        <f aca="false">IF(INDEX(BookTitle,576)="","",INDEX(BookRank,576))</f>
        <v/>
      </c>
      <c r="I581" s="41" t="str">
        <f aca="false">IF(INDEX(BookTitle,576)="","",INDEX(BookTotal,576))</f>
        <v/>
      </c>
      <c r="J581" s="0" t="str">
        <f aca="false">IF($I581="","",IF(INDEX(BookQ1,576)&gt;0,"Q1",IF(INDEX(BookQ2,576)&gt;0,"Q2",IF(INDEX(BookQ3,576)&gt;0,"Q3",IF(INDEX(BookQ4,576)&gt;0,"Q4","")))))</f>
        <v/>
      </c>
      <c r="K581" s="42" t="str">
        <f aca="false">IF(INDEX(BookTitle,576)="","",INDEX(BookInYear,576))</f>
        <v/>
      </c>
      <c r="L581" s="19"/>
      <c r="M581" s="39"/>
      <c r="N581" s="19"/>
      <c r="O581" s="19"/>
      <c r="P581" s="43" t="str">
        <f aca="false">IF($E581="","",IF($L581="Decline",0,IF($L581="Approve fewer",IF($M581="","",$M581),IF($L581="","",$I581))))</f>
        <v/>
      </c>
      <c r="Q581" s="34" t="str">
        <f aca="false">IF($P581="","",IF($N581&lt;&gt;"",$N581,$J581))</f>
        <v/>
      </c>
      <c r="R581" s="35" t="str">
        <f aca="false">IF(OR($P581="",$Q581=""),"",INDEX(BookRate,576)*$P581*(5-MATCH($Q581,{"Q1";"Q2";"Q3";"Q4"},0))/4+INDEX(BookOneOff,576)*$P581)</f>
        <v/>
      </c>
      <c r="S581" s="35" t="str">
        <f aca="false">IF($P581="","",INDEX(BookRate,576)*$P581)</f>
        <v/>
      </c>
      <c r="T581" s="35" t="str">
        <f aca="false">IF($R581="","",$R581-$K581)</f>
        <v/>
      </c>
      <c r="U581" s="35" t="str">
        <f aca="false">IF(N($P581)&lt;=0,"",COUNTIF($P$6:$P581,"&gt;0"))</f>
        <v/>
      </c>
    </row>
    <row r="582" customFormat="false" ht="15" hidden="false" customHeight="false" outlineLevel="0" collapsed="false">
      <c r="A582" s="40" t="str">
        <f aca="false">IF(INDEX(BookTitle,577)="","",INDEX(BookGroup,577))</f>
        <v/>
      </c>
      <c r="B582" s="40" t="str">
        <f aca="false">IF(INDEX(BookTitle,577)="","",INDEX(BookRef,577))</f>
        <v/>
      </c>
      <c r="C582" s="40" t="str">
        <f aca="false">IF(INDEX(BookTitle,577)="","",INDEX(BookDivision,577))</f>
        <v/>
      </c>
      <c r="D582" s="40" t="str">
        <f aca="false">IF(INDEX(BookTitle,577)="","",INDEX(BookUnit,577))</f>
        <v/>
      </c>
      <c r="E582" s="40" t="str">
        <f aca="false">IF(INDEX(BookTitle,577)="","",INDEX(BookTitle,577))</f>
        <v/>
      </c>
      <c r="F582" s="40" t="str">
        <f aca="false">IF(INDEX(BookTitle,577)="","",INDEX(BookLevel,577))</f>
        <v/>
      </c>
      <c r="G582" s="40" t="str">
        <f aca="false">IF(INDEX(BookTitle,577)="","",INDEX(BookCategory,577))</f>
        <v/>
      </c>
      <c r="H582" s="40" t="str">
        <f aca="false">IF(INDEX(BookTitle,577)="","",INDEX(BookRank,577))</f>
        <v/>
      </c>
      <c r="I582" s="41" t="str">
        <f aca="false">IF(INDEX(BookTitle,577)="","",INDEX(BookTotal,577))</f>
        <v/>
      </c>
      <c r="J582" s="0" t="str">
        <f aca="false">IF($I582="","",IF(INDEX(BookQ1,577)&gt;0,"Q1",IF(INDEX(BookQ2,577)&gt;0,"Q2",IF(INDEX(BookQ3,577)&gt;0,"Q3",IF(INDEX(BookQ4,577)&gt;0,"Q4","")))))</f>
        <v/>
      </c>
      <c r="K582" s="42" t="str">
        <f aca="false">IF(INDEX(BookTitle,577)="","",INDEX(BookInYear,577))</f>
        <v/>
      </c>
      <c r="L582" s="19"/>
      <c r="M582" s="39"/>
      <c r="N582" s="19"/>
      <c r="O582" s="19"/>
      <c r="P582" s="43" t="str">
        <f aca="false">IF($E582="","",IF($L582="Decline",0,IF($L582="Approve fewer",IF($M582="","",$M582),IF($L582="","",$I582))))</f>
        <v/>
      </c>
      <c r="Q582" s="34" t="str">
        <f aca="false">IF($P582="","",IF($N582&lt;&gt;"",$N582,$J582))</f>
        <v/>
      </c>
      <c r="R582" s="35" t="str">
        <f aca="false">IF(OR($P582="",$Q582=""),"",INDEX(BookRate,577)*$P582*(5-MATCH($Q582,{"Q1";"Q2";"Q3";"Q4"},0))/4+INDEX(BookOneOff,577)*$P582)</f>
        <v/>
      </c>
      <c r="S582" s="35" t="str">
        <f aca="false">IF($P582="","",INDEX(BookRate,577)*$P582)</f>
        <v/>
      </c>
      <c r="T582" s="35" t="str">
        <f aca="false">IF($R582="","",$R582-$K582)</f>
        <v/>
      </c>
      <c r="U582" s="35" t="str">
        <f aca="false">IF(N($P582)&lt;=0,"",COUNTIF($P$6:$P582,"&gt;0"))</f>
        <v/>
      </c>
    </row>
    <row r="583" customFormat="false" ht="15" hidden="false" customHeight="false" outlineLevel="0" collapsed="false">
      <c r="A583" s="40" t="str">
        <f aca="false">IF(INDEX(BookTitle,578)="","",INDEX(BookGroup,578))</f>
        <v/>
      </c>
      <c r="B583" s="40" t="str">
        <f aca="false">IF(INDEX(BookTitle,578)="","",INDEX(BookRef,578))</f>
        <v/>
      </c>
      <c r="C583" s="40" t="str">
        <f aca="false">IF(INDEX(BookTitle,578)="","",INDEX(BookDivision,578))</f>
        <v/>
      </c>
      <c r="D583" s="40" t="str">
        <f aca="false">IF(INDEX(BookTitle,578)="","",INDEX(BookUnit,578))</f>
        <v/>
      </c>
      <c r="E583" s="40" t="str">
        <f aca="false">IF(INDEX(BookTitle,578)="","",INDEX(BookTitle,578))</f>
        <v/>
      </c>
      <c r="F583" s="40" t="str">
        <f aca="false">IF(INDEX(BookTitle,578)="","",INDEX(BookLevel,578))</f>
        <v/>
      </c>
      <c r="G583" s="40" t="str">
        <f aca="false">IF(INDEX(BookTitle,578)="","",INDEX(BookCategory,578))</f>
        <v/>
      </c>
      <c r="H583" s="40" t="str">
        <f aca="false">IF(INDEX(BookTitle,578)="","",INDEX(BookRank,578))</f>
        <v/>
      </c>
      <c r="I583" s="41" t="str">
        <f aca="false">IF(INDEX(BookTitle,578)="","",INDEX(BookTotal,578))</f>
        <v/>
      </c>
      <c r="J583" s="0" t="str">
        <f aca="false">IF($I583="","",IF(INDEX(BookQ1,578)&gt;0,"Q1",IF(INDEX(BookQ2,578)&gt;0,"Q2",IF(INDEX(BookQ3,578)&gt;0,"Q3",IF(INDEX(BookQ4,578)&gt;0,"Q4","")))))</f>
        <v/>
      </c>
      <c r="K583" s="42" t="str">
        <f aca="false">IF(INDEX(BookTitle,578)="","",INDEX(BookInYear,578))</f>
        <v/>
      </c>
      <c r="L583" s="19"/>
      <c r="M583" s="39"/>
      <c r="N583" s="19"/>
      <c r="O583" s="19"/>
      <c r="P583" s="43" t="str">
        <f aca="false">IF($E583="","",IF($L583="Decline",0,IF($L583="Approve fewer",IF($M583="","",$M583),IF($L583="","",$I583))))</f>
        <v/>
      </c>
      <c r="Q583" s="34" t="str">
        <f aca="false">IF($P583="","",IF($N583&lt;&gt;"",$N583,$J583))</f>
        <v/>
      </c>
      <c r="R583" s="35" t="str">
        <f aca="false">IF(OR($P583="",$Q583=""),"",INDEX(BookRate,578)*$P583*(5-MATCH($Q583,{"Q1";"Q2";"Q3";"Q4"},0))/4+INDEX(BookOneOff,578)*$P583)</f>
        <v/>
      </c>
      <c r="S583" s="35" t="str">
        <f aca="false">IF($P583="","",INDEX(BookRate,578)*$P583)</f>
        <v/>
      </c>
      <c r="T583" s="35" t="str">
        <f aca="false">IF($R583="","",$R583-$K583)</f>
        <v/>
      </c>
      <c r="U583" s="35" t="str">
        <f aca="false">IF(N($P583)&lt;=0,"",COUNTIF($P$6:$P583,"&gt;0"))</f>
        <v/>
      </c>
    </row>
    <row r="584" customFormat="false" ht="15" hidden="false" customHeight="false" outlineLevel="0" collapsed="false">
      <c r="A584" s="40" t="str">
        <f aca="false">IF(INDEX(BookTitle,579)="","",INDEX(BookGroup,579))</f>
        <v/>
      </c>
      <c r="B584" s="40" t="str">
        <f aca="false">IF(INDEX(BookTitle,579)="","",INDEX(BookRef,579))</f>
        <v/>
      </c>
      <c r="C584" s="40" t="str">
        <f aca="false">IF(INDEX(BookTitle,579)="","",INDEX(BookDivision,579))</f>
        <v/>
      </c>
      <c r="D584" s="40" t="str">
        <f aca="false">IF(INDEX(BookTitle,579)="","",INDEX(BookUnit,579))</f>
        <v/>
      </c>
      <c r="E584" s="40" t="str">
        <f aca="false">IF(INDEX(BookTitle,579)="","",INDEX(BookTitle,579))</f>
        <v/>
      </c>
      <c r="F584" s="40" t="str">
        <f aca="false">IF(INDEX(BookTitle,579)="","",INDEX(BookLevel,579))</f>
        <v/>
      </c>
      <c r="G584" s="40" t="str">
        <f aca="false">IF(INDEX(BookTitle,579)="","",INDEX(BookCategory,579))</f>
        <v/>
      </c>
      <c r="H584" s="40" t="str">
        <f aca="false">IF(INDEX(BookTitle,579)="","",INDEX(BookRank,579))</f>
        <v/>
      </c>
      <c r="I584" s="41" t="str">
        <f aca="false">IF(INDEX(BookTitle,579)="","",INDEX(BookTotal,579))</f>
        <v/>
      </c>
      <c r="J584" s="0" t="str">
        <f aca="false">IF($I584="","",IF(INDEX(BookQ1,579)&gt;0,"Q1",IF(INDEX(BookQ2,579)&gt;0,"Q2",IF(INDEX(BookQ3,579)&gt;0,"Q3",IF(INDEX(BookQ4,579)&gt;0,"Q4","")))))</f>
        <v/>
      </c>
      <c r="K584" s="42" t="str">
        <f aca="false">IF(INDEX(BookTitle,579)="","",INDEX(BookInYear,579))</f>
        <v/>
      </c>
      <c r="L584" s="19"/>
      <c r="M584" s="39"/>
      <c r="N584" s="19"/>
      <c r="O584" s="19"/>
      <c r="P584" s="43" t="str">
        <f aca="false">IF($E584="","",IF($L584="Decline",0,IF($L584="Approve fewer",IF($M584="","",$M584),IF($L584="","",$I584))))</f>
        <v/>
      </c>
      <c r="Q584" s="34" t="str">
        <f aca="false">IF($P584="","",IF($N584&lt;&gt;"",$N584,$J584))</f>
        <v/>
      </c>
      <c r="R584" s="35" t="str">
        <f aca="false">IF(OR($P584="",$Q584=""),"",INDEX(BookRate,579)*$P584*(5-MATCH($Q584,{"Q1";"Q2";"Q3";"Q4"},0))/4+INDEX(BookOneOff,579)*$P584)</f>
        <v/>
      </c>
      <c r="S584" s="35" t="str">
        <f aca="false">IF($P584="","",INDEX(BookRate,579)*$P584)</f>
        <v/>
      </c>
      <c r="T584" s="35" t="str">
        <f aca="false">IF($R584="","",$R584-$K584)</f>
        <v/>
      </c>
      <c r="U584" s="35" t="str">
        <f aca="false">IF(N($P584)&lt;=0,"",COUNTIF($P$6:$P584,"&gt;0"))</f>
        <v/>
      </c>
    </row>
    <row r="585" customFormat="false" ht="15" hidden="false" customHeight="false" outlineLevel="0" collapsed="false">
      <c r="A585" s="40" t="str">
        <f aca="false">IF(INDEX(BookTitle,580)="","",INDEX(BookGroup,580))</f>
        <v/>
      </c>
      <c r="B585" s="40" t="str">
        <f aca="false">IF(INDEX(BookTitle,580)="","",INDEX(BookRef,580))</f>
        <v/>
      </c>
      <c r="C585" s="40" t="str">
        <f aca="false">IF(INDEX(BookTitle,580)="","",INDEX(BookDivision,580))</f>
        <v/>
      </c>
      <c r="D585" s="40" t="str">
        <f aca="false">IF(INDEX(BookTitle,580)="","",INDEX(BookUnit,580))</f>
        <v/>
      </c>
      <c r="E585" s="40" t="str">
        <f aca="false">IF(INDEX(BookTitle,580)="","",INDEX(BookTitle,580))</f>
        <v/>
      </c>
      <c r="F585" s="40" t="str">
        <f aca="false">IF(INDEX(BookTitle,580)="","",INDEX(BookLevel,580))</f>
        <v/>
      </c>
      <c r="G585" s="40" t="str">
        <f aca="false">IF(INDEX(BookTitle,580)="","",INDEX(BookCategory,580))</f>
        <v/>
      </c>
      <c r="H585" s="40" t="str">
        <f aca="false">IF(INDEX(BookTitle,580)="","",INDEX(BookRank,580))</f>
        <v/>
      </c>
      <c r="I585" s="41" t="str">
        <f aca="false">IF(INDEX(BookTitle,580)="","",INDEX(BookTotal,580))</f>
        <v/>
      </c>
      <c r="J585" s="0" t="str">
        <f aca="false">IF($I585="","",IF(INDEX(BookQ1,580)&gt;0,"Q1",IF(INDEX(BookQ2,580)&gt;0,"Q2",IF(INDEX(BookQ3,580)&gt;0,"Q3",IF(INDEX(BookQ4,580)&gt;0,"Q4","")))))</f>
        <v/>
      </c>
      <c r="K585" s="42" t="str">
        <f aca="false">IF(INDEX(BookTitle,580)="","",INDEX(BookInYear,580))</f>
        <v/>
      </c>
      <c r="L585" s="19"/>
      <c r="M585" s="39"/>
      <c r="N585" s="19"/>
      <c r="O585" s="19"/>
      <c r="P585" s="43" t="str">
        <f aca="false">IF($E585="","",IF($L585="Decline",0,IF($L585="Approve fewer",IF($M585="","",$M585),IF($L585="","",$I585))))</f>
        <v/>
      </c>
      <c r="Q585" s="34" t="str">
        <f aca="false">IF($P585="","",IF($N585&lt;&gt;"",$N585,$J585))</f>
        <v/>
      </c>
      <c r="R585" s="35" t="str">
        <f aca="false">IF(OR($P585="",$Q585=""),"",INDEX(BookRate,580)*$P585*(5-MATCH($Q585,{"Q1";"Q2";"Q3";"Q4"},0))/4+INDEX(BookOneOff,580)*$P585)</f>
        <v/>
      </c>
      <c r="S585" s="35" t="str">
        <f aca="false">IF($P585="","",INDEX(BookRate,580)*$P585)</f>
        <v/>
      </c>
      <c r="T585" s="35" t="str">
        <f aca="false">IF($R585="","",$R585-$K585)</f>
        <v/>
      </c>
      <c r="U585" s="35" t="str">
        <f aca="false">IF(N($P585)&lt;=0,"",COUNTIF($P$6:$P585,"&gt;0"))</f>
        <v/>
      </c>
    </row>
    <row r="586" customFormat="false" ht="15" hidden="false" customHeight="false" outlineLevel="0" collapsed="false">
      <c r="A586" s="40" t="str">
        <f aca="false">IF(INDEX(BookTitle,581)="","",INDEX(BookGroup,581))</f>
        <v/>
      </c>
      <c r="B586" s="40" t="str">
        <f aca="false">IF(INDEX(BookTitle,581)="","",INDEX(BookRef,581))</f>
        <v/>
      </c>
      <c r="C586" s="40" t="str">
        <f aca="false">IF(INDEX(BookTitle,581)="","",INDEX(BookDivision,581))</f>
        <v/>
      </c>
      <c r="D586" s="40" t="str">
        <f aca="false">IF(INDEX(BookTitle,581)="","",INDEX(BookUnit,581))</f>
        <v/>
      </c>
      <c r="E586" s="40" t="str">
        <f aca="false">IF(INDEX(BookTitle,581)="","",INDEX(BookTitle,581))</f>
        <v/>
      </c>
      <c r="F586" s="40" t="str">
        <f aca="false">IF(INDEX(BookTitle,581)="","",INDEX(BookLevel,581))</f>
        <v/>
      </c>
      <c r="G586" s="40" t="str">
        <f aca="false">IF(INDEX(BookTitle,581)="","",INDEX(BookCategory,581))</f>
        <v/>
      </c>
      <c r="H586" s="40" t="str">
        <f aca="false">IF(INDEX(BookTitle,581)="","",INDEX(BookRank,581))</f>
        <v/>
      </c>
      <c r="I586" s="41" t="str">
        <f aca="false">IF(INDEX(BookTitle,581)="","",INDEX(BookTotal,581))</f>
        <v/>
      </c>
      <c r="J586" s="0" t="str">
        <f aca="false">IF($I586="","",IF(INDEX(BookQ1,581)&gt;0,"Q1",IF(INDEX(BookQ2,581)&gt;0,"Q2",IF(INDEX(BookQ3,581)&gt;0,"Q3",IF(INDEX(BookQ4,581)&gt;0,"Q4","")))))</f>
        <v/>
      </c>
      <c r="K586" s="42" t="str">
        <f aca="false">IF(INDEX(BookTitle,581)="","",INDEX(BookInYear,581))</f>
        <v/>
      </c>
      <c r="L586" s="19"/>
      <c r="M586" s="39"/>
      <c r="N586" s="19"/>
      <c r="O586" s="19"/>
      <c r="P586" s="43" t="str">
        <f aca="false">IF($E586="","",IF($L586="Decline",0,IF($L586="Approve fewer",IF($M586="","",$M586),IF($L586="","",$I586))))</f>
        <v/>
      </c>
      <c r="Q586" s="34" t="str">
        <f aca="false">IF($P586="","",IF($N586&lt;&gt;"",$N586,$J586))</f>
        <v/>
      </c>
      <c r="R586" s="35" t="str">
        <f aca="false">IF(OR($P586="",$Q586=""),"",INDEX(BookRate,581)*$P586*(5-MATCH($Q586,{"Q1";"Q2";"Q3";"Q4"},0))/4+INDEX(BookOneOff,581)*$P586)</f>
        <v/>
      </c>
      <c r="S586" s="35" t="str">
        <f aca="false">IF($P586="","",INDEX(BookRate,581)*$P586)</f>
        <v/>
      </c>
      <c r="T586" s="35" t="str">
        <f aca="false">IF($R586="","",$R586-$K586)</f>
        <v/>
      </c>
      <c r="U586" s="35" t="str">
        <f aca="false">IF(N($P586)&lt;=0,"",COUNTIF($P$6:$P586,"&gt;0"))</f>
        <v/>
      </c>
    </row>
    <row r="587" customFormat="false" ht="15" hidden="false" customHeight="false" outlineLevel="0" collapsed="false">
      <c r="A587" s="40" t="str">
        <f aca="false">IF(INDEX(BookTitle,582)="","",INDEX(BookGroup,582))</f>
        <v/>
      </c>
      <c r="B587" s="40" t="str">
        <f aca="false">IF(INDEX(BookTitle,582)="","",INDEX(BookRef,582))</f>
        <v/>
      </c>
      <c r="C587" s="40" t="str">
        <f aca="false">IF(INDEX(BookTitle,582)="","",INDEX(BookDivision,582))</f>
        <v/>
      </c>
      <c r="D587" s="40" t="str">
        <f aca="false">IF(INDEX(BookTitle,582)="","",INDEX(BookUnit,582))</f>
        <v/>
      </c>
      <c r="E587" s="40" t="str">
        <f aca="false">IF(INDEX(BookTitle,582)="","",INDEX(BookTitle,582))</f>
        <v/>
      </c>
      <c r="F587" s="40" t="str">
        <f aca="false">IF(INDEX(BookTitle,582)="","",INDEX(BookLevel,582))</f>
        <v/>
      </c>
      <c r="G587" s="40" t="str">
        <f aca="false">IF(INDEX(BookTitle,582)="","",INDEX(BookCategory,582))</f>
        <v/>
      </c>
      <c r="H587" s="40" t="str">
        <f aca="false">IF(INDEX(BookTitle,582)="","",INDEX(BookRank,582))</f>
        <v/>
      </c>
      <c r="I587" s="41" t="str">
        <f aca="false">IF(INDEX(BookTitle,582)="","",INDEX(BookTotal,582))</f>
        <v/>
      </c>
      <c r="J587" s="0" t="str">
        <f aca="false">IF($I587="","",IF(INDEX(BookQ1,582)&gt;0,"Q1",IF(INDEX(BookQ2,582)&gt;0,"Q2",IF(INDEX(BookQ3,582)&gt;0,"Q3",IF(INDEX(BookQ4,582)&gt;0,"Q4","")))))</f>
        <v/>
      </c>
      <c r="K587" s="42" t="str">
        <f aca="false">IF(INDEX(BookTitle,582)="","",INDEX(BookInYear,582))</f>
        <v/>
      </c>
      <c r="L587" s="19"/>
      <c r="M587" s="39"/>
      <c r="N587" s="19"/>
      <c r="O587" s="19"/>
      <c r="P587" s="43" t="str">
        <f aca="false">IF($E587="","",IF($L587="Decline",0,IF($L587="Approve fewer",IF($M587="","",$M587),IF($L587="","",$I587))))</f>
        <v/>
      </c>
      <c r="Q587" s="34" t="str">
        <f aca="false">IF($P587="","",IF($N587&lt;&gt;"",$N587,$J587))</f>
        <v/>
      </c>
      <c r="R587" s="35" t="str">
        <f aca="false">IF(OR($P587="",$Q587=""),"",INDEX(BookRate,582)*$P587*(5-MATCH($Q587,{"Q1";"Q2";"Q3";"Q4"},0))/4+INDEX(BookOneOff,582)*$P587)</f>
        <v/>
      </c>
      <c r="S587" s="35" t="str">
        <f aca="false">IF($P587="","",INDEX(BookRate,582)*$P587)</f>
        <v/>
      </c>
      <c r="T587" s="35" t="str">
        <f aca="false">IF($R587="","",$R587-$K587)</f>
        <v/>
      </c>
      <c r="U587" s="35" t="str">
        <f aca="false">IF(N($P587)&lt;=0,"",COUNTIF($P$6:$P587,"&gt;0"))</f>
        <v/>
      </c>
    </row>
    <row r="588" customFormat="false" ht="15" hidden="false" customHeight="false" outlineLevel="0" collapsed="false">
      <c r="A588" s="40" t="str">
        <f aca="false">IF(INDEX(BookTitle,583)="","",INDEX(BookGroup,583))</f>
        <v/>
      </c>
      <c r="B588" s="40" t="str">
        <f aca="false">IF(INDEX(BookTitle,583)="","",INDEX(BookRef,583))</f>
        <v/>
      </c>
      <c r="C588" s="40" t="str">
        <f aca="false">IF(INDEX(BookTitle,583)="","",INDEX(BookDivision,583))</f>
        <v/>
      </c>
      <c r="D588" s="40" t="str">
        <f aca="false">IF(INDEX(BookTitle,583)="","",INDEX(BookUnit,583))</f>
        <v/>
      </c>
      <c r="E588" s="40" t="str">
        <f aca="false">IF(INDEX(BookTitle,583)="","",INDEX(BookTitle,583))</f>
        <v/>
      </c>
      <c r="F588" s="40" t="str">
        <f aca="false">IF(INDEX(BookTitle,583)="","",INDEX(BookLevel,583))</f>
        <v/>
      </c>
      <c r="G588" s="40" t="str">
        <f aca="false">IF(INDEX(BookTitle,583)="","",INDEX(BookCategory,583))</f>
        <v/>
      </c>
      <c r="H588" s="40" t="str">
        <f aca="false">IF(INDEX(BookTitle,583)="","",INDEX(BookRank,583))</f>
        <v/>
      </c>
      <c r="I588" s="41" t="str">
        <f aca="false">IF(INDEX(BookTitle,583)="","",INDEX(BookTotal,583))</f>
        <v/>
      </c>
      <c r="J588" s="0" t="str">
        <f aca="false">IF($I588="","",IF(INDEX(BookQ1,583)&gt;0,"Q1",IF(INDEX(BookQ2,583)&gt;0,"Q2",IF(INDEX(BookQ3,583)&gt;0,"Q3",IF(INDEX(BookQ4,583)&gt;0,"Q4","")))))</f>
        <v/>
      </c>
      <c r="K588" s="42" t="str">
        <f aca="false">IF(INDEX(BookTitle,583)="","",INDEX(BookInYear,583))</f>
        <v/>
      </c>
      <c r="L588" s="19"/>
      <c r="M588" s="39"/>
      <c r="N588" s="19"/>
      <c r="O588" s="19"/>
      <c r="P588" s="43" t="str">
        <f aca="false">IF($E588="","",IF($L588="Decline",0,IF($L588="Approve fewer",IF($M588="","",$M588),IF($L588="","",$I588))))</f>
        <v/>
      </c>
      <c r="Q588" s="34" t="str">
        <f aca="false">IF($P588="","",IF($N588&lt;&gt;"",$N588,$J588))</f>
        <v/>
      </c>
      <c r="R588" s="35" t="str">
        <f aca="false">IF(OR($P588="",$Q588=""),"",INDEX(BookRate,583)*$P588*(5-MATCH($Q588,{"Q1";"Q2";"Q3";"Q4"},0))/4+INDEX(BookOneOff,583)*$P588)</f>
        <v/>
      </c>
      <c r="S588" s="35" t="str">
        <f aca="false">IF($P588="","",INDEX(BookRate,583)*$P588)</f>
        <v/>
      </c>
      <c r="T588" s="35" t="str">
        <f aca="false">IF($R588="","",$R588-$K588)</f>
        <v/>
      </c>
      <c r="U588" s="35" t="str">
        <f aca="false">IF(N($P588)&lt;=0,"",COUNTIF($P$6:$P588,"&gt;0"))</f>
        <v/>
      </c>
    </row>
    <row r="589" customFormat="false" ht="15" hidden="false" customHeight="false" outlineLevel="0" collapsed="false">
      <c r="A589" s="40" t="str">
        <f aca="false">IF(INDEX(BookTitle,584)="","",INDEX(BookGroup,584))</f>
        <v/>
      </c>
      <c r="B589" s="40" t="str">
        <f aca="false">IF(INDEX(BookTitle,584)="","",INDEX(BookRef,584))</f>
        <v/>
      </c>
      <c r="C589" s="40" t="str">
        <f aca="false">IF(INDEX(BookTitle,584)="","",INDEX(BookDivision,584))</f>
        <v/>
      </c>
      <c r="D589" s="40" t="str">
        <f aca="false">IF(INDEX(BookTitle,584)="","",INDEX(BookUnit,584))</f>
        <v/>
      </c>
      <c r="E589" s="40" t="str">
        <f aca="false">IF(INDEX(BookTitle,584)="","",INDEX(BookTitle,584))</f>
        <v/>
      </c>
      <c r="F589" s="40" t="str">
        <f aca="false">IF(INDEX(BookTitle,584)="","",INDEX(BookLevel,584))</f>
        <v/>
      </c>
      <c r="G589" s="40" t="str">
        <f aca="false">IF(INDEX(BookTitle,584)="","",INDEX(BookCategory,584))</f>
        <v/>
      </c>
      <c r="H589" s="40" t="str">
        <f aca="false">IF(INDEX(BookTitle,584)="","",INDEX(BookRank,584))</f>
        <v/>
      </c>
      <c r="I589" s="41" t="str">
        <f aca="false">IF(INDEX(BookTitle,584)="","",INDEX(BookTotal,584))</f>
        <v/>
      </c>
      <c r="J589" s="0" t="str">
        <f aca="false">IF($I589="","",IF(INDEX(BookQ1,584)&gt;0,"Q1",IF(INDEX(BookQ2,584)&gt;0,"Q2",IF(INDEX(BookQ3,584)&gt;0,"Q3",IF(INDEX(BookQ4,584)&gt;0,"Q4","")))))</f>
        <v/>
      </c>
      <c r="K589" s="42" t="str">
        <f aca="false">IF(INDEX(BookTitle,584)="","",INDEX(BookInYear,584))</f>
        <v/>
      </c>
      <c r="L589" s="19"/>
      <c r="M589" s="39"/>
      <c r="N589" s="19"/>
      <c r="O589" s="19"/>
      <c r="P589" s="43" t="str">
        <f aca="false">IF($E589="","",IF($L589="Decline",0,IF($L589="Approve fewer",IF($M589="","",$M589),IF($L589="","",$I589))))</f>
        <v/>
      </c>
      <c r="Q589" s="34" t="str">
        <f aca="false">IF($P589="","",IF($N589&lt;&gt;"",$N589,$J589))</f>
        <v/>
      </c>
      <c r="R589" s="35" t="str">
        <f aca="false">IF(OR($P589="",$Q589=""),"",INDEX(BookRate,584)*$P589*(5-MATCH($Q589,{"Q1";"Q2";"Q3";"Q4"},0))/4+INDEX(BookOneOff,584)*$P589)</f>
        <v/>
      </c>
      <c r="S589" s="35" t="str">
        <f aca="false">IF($P589="","",INDEX(BookRate,584)*$P589)</f>
        <v/>
      </c>
      <c r="T589" s="35" t="str">
        <f aca="false">IF($R589="","",$R589-$K589)</f>
        <v/>
      </c>
      <c r="U589" s="35" t="str">
        <f aca="false">IF(N($P589)&lt;=0,"",COUNTIF($P$6:$P589,"&gt;0"))</f>
        <v/>
      </c>
    </row>
    <row r="590" customFormat="false" ht="15" hidden="false" customHeight="false" outlineLevel="0" collapsed="false">
      <c r="A590" s="40" t="str">
        <f aca="false">IF(INDEX(BookTitle,585)="","",INDEX(BookGroup,585))</f>
        <v/>
      </c>
      <c r="B590" s="40" t="str">
        <f aca="false">IF(INDEX(BookTitle,585)="","",INDEX(BookRef,585))</f>
        <v/>
      </c>
      <c r="C590" s="40" t="str">
        <f aca="false">IF(INDEX(BookTitle,585)="","",INDEX(BookDivision,585))</f>
        <v/>
      </c>
      <c r="D590" s="40" t="str">
        <f aca="false">IF(INDEX(BookTitle,585)="","",INDEX(BookUnit,585))</f>
        <v/>
      </c>
      <c r="E590" s="40" t="str">
        <f aca="false">IF(INDEX(BookTitle,585)="","",INDEX(BookTitle,585))</f>
        <v/>
      </c>
      <c r="F590" s="40" t="str">
        <f aca="false">IF(INDEX(BookTitle,585)="","",INDEX(BookLevel,585))</f>
        <v/>
      </c>
      <c r="G590" s="40" t="str">
        <f aca="false">IF(INDEX(BookTitle,585)="","",INDEX(BookCategory,585))</f>
        <v/>
      </c>
      <c r="H590" s="40" t="str">
        <f aca="false">IF(INDEX(BookTitle,585)="","",INDEX(BookRank,585))</f>
        <v/>
      </c>
      <c r="I590" s="41" t="str">
        <f aca="false">IF(INDEX(BookTitle,585)="","",INDEX(BookTotal,585))</f>
        <v/>
      </c>
      <c r="J590" s="0" t="str">
        <f aca="false">IF($I590="","",IF(INDEX(BookQ1,585)&gt;0,"Q1",IF(INDEX(BookQ2,585)&gt;0,"Q2",IF(INDEX(BookQ3,585)&gt;0,"Q3",IF(INDEX(BookQ4,585)&gt;0,"Q4","")))))</f>
        <v/>
      </c>
      <c r="K590" s="42" t="str">
        <f aca="false">IF(INDEX(BookTitle,585)="","",INDEX(BookInYear,585))</f>
        <v/>
      </c>
      <c r="L590" s="19"/>
      <c r="M590" s="39"/>
      <c r="N590" s="19"/>
      <c r="O590" s="19"/>
      <c r="P590" s="43" t="str">
        <f aca="false">IF($E590="","",IF($L590="Decline",0,IF($L590="Approve fewer",IF($M590="","",$M590),IF($L590="","",$I590))))</f>
        <v/>
      </c>
      <c r="Q590" s="34" t="str">
        <f aca="false">IF($P590="","",IF($N590&lt;&gt;"",$N590,$J590))</f>
        <v/>
      </c>
      <c r="R590" s="35" t="str">
        <f aca="false">IF(OR($P590="",$Q590=""),"",INDEX(BookRate,585)*$P590*(5-MATCH($Q590,{"Q1";"Q2";"Q3";"Q4"},0))/4+INDEX(BookOneOff,585)*$P590)</f>
        <v/>
      </c>
      <c r="S590" s="35" t="str">
        <f aca="false">IF($P590="","",INDEX(BookRate,585)*$P590)</f>
        <v/>
      </c>
      <c r="T590" s="35" t="str">
        <f aca="false">IF($R590="","",$R590-$K590)</f>
        <v/>
      </c>
      <c r="U590" s="35" t="str">
        <f aca="false">IF(N($P590)&lt;=0,"",COUNTIF($P$6:$P590,"&gt;0"))</f>
        <v/>
      </c>
    </row>
    <row r="591" customFormat="false" ht="15" hidden="false" customHeight="false" outlineLevel="0" collapsed="false">
      <c r="A591" s="40" t="str">
        <f aca="false">IF(INDEX(BookTitle,586)="","",INDEX(BookGroup,586))</f>
        <v/>
      </c>
      <c r="B591" s="40" t="str">
        <f aca="false">IF(INDEX(BookTitle,586)="","",INDEX(BookRef,586))</f>
        <v/>
      </c>
      <c r="C591" s="40" t="str">
        <f aca="false">IF(INDEX(BookTitle,586)="","",INDEX(BookDivision,586))</f>
        <v/>
      </c>
      <c r="D591" s="40" t="str">
        <f aca="false">IF(INDEX(BookTitle,586)="","",INDEX(BookUnit,586))</f>
        <v/>
      </c>
      <c r="E591" s="40" t="str">
        <f aca="false">IF(INDEX(BookTitle,586)="","",INDEX(BookTitle,586))</f>
        <v/>
      </c>
      <c r="F591" s="40" t="str">
        <f aca="false">IF(INDEX(BookTitle,586)="","",INDEX(BookLevel,586))</f>
        <v/>
      </c>
      <c r="G591" s="40" t="str">
        <f aca="false">IF(INDEX(BookTitle,586)="","",INDEX(BookCategory,586))</f>
        <v/>
      </c>
      <c r="H591" s="40" t="str">
        <f aca="false">IF(INDEX(BookTitle,586)="","",INDEX(BookRank,586))</f>
        <v/>
      </c>
      <c r="I591" s="41" t="str">
        <f aca="false">IF(INDEX(BookTitle,586)="","",INDEX(BookTotal,586))</f>
        <v/>
      </c>
      <c r="J591" s="0" t="str">
        <f aca="false">IF($I591="","",IF(INDEX(BookQ1,586)&gt;0,"Q1",IF(INDEX(BookQ2,586)&gt;0,"Q2",IF(INDEX(BookQ3,586)&gt;0,"Q3",IF(INDEX(BookQ4,586)&gt;0,"Q4","")))))</f>
        <v/>
      </c>
      <c r="K591" s="42" t="str">
        <f aca="false">IF(INDEX(BookTitle,586)="","",INDEX(BookInYear,586))</f>
        <v/>
      </c>
      <c r="L591" s="19"/>
      <c r="M591" s="39"/>
      <c r="N591" s="19"/>
      <c r="O591" s="19"/>
      <c r="P591" s="43" t="str">
        <f aca="false">IF($E591="","",IF($L591="Decline",0,IF($L591="Approve fewer",IF($M591="","",$M591),IF($L591="","",$I591))))</f>
        <v/>
      </c>
      <c r="Q591" s="34" t="str">
        <f aca="false">IF($P591="","",IF($N591&lt;&gt;"",$N591,$J591))</f>
        <v/>
      </c>
      <c r="R591" s="35" t="str">
        <f aca="false">IF(OR($P591="",$Q591=""),"",INDEX(BookRate,586)*$P591*(5-MATCH($Q591,{"Q1";"Q2";"Q3";"Q4"},0))/4+INDEX(BookOneOff,586)*$P591)</f>
        <v/>
      </c>
      <c r="S591" s="35" t="str">
        <f aca="false">IF($P591="","",INDEX(BookRate,586)*$P591)</f>
        <v/>
      </c>
      <c r="T591" s="35" t="str">
        <f aca="false">IF($R591="","",$R591-$K591)</f>
        <v/>
      </c>
      <c r="U591" s="35" t="str">
        <f aca="false">IF(N($P591)&lt;=0,"",COUNTIF($P$6:$P591,"&gt;0"))</f>
        <v/>
      </c>
    </row>
    <row r="592" customFormat="false" ht="15" hidden="false" customHeight="false" outlineLevel="0" collapsed="false">
      <c r="A592" s="40" t="str">
        <f aca="false">IF(INDEX(BookTitle,587)="","",INDEX(BookGroup,587))</f>
        <v/>
      </c>
      <c r="B592" s="40" t="str">
        <f aca="false">IF(INDEX(BookTitle,587)="","",INDEX(BookRef,587))</f>
        <v/>
      </c>
      <c r="C592" s="40" t="str">
        <f aca="false">IF(INDEX(BookTitle,587)="","",INDEX(BookDivision,587))</f>
        <v/>
      </c>
      <c r="D592" s="40" t="str">
        <f aca="false">IF(INDEX(BookTitle,587)="","",INDEX(BookUnit,587))</f>
        <v/>
      </c>
      <c r="E592" s="40" t="str">
        <f aca="false">IF(INDEX(BookTitle,587)="","",INDEX(BookTitle,587))</f>
        <v/>
      </c>
      <c r="F592" s="40" t="str">
        <f aca="false">IF(INDEX(BookTitle,587)="","",INDEX(BookLevel,587))</f>
        <v/>
      </c>
      <c r="G592" s="40" t="str">
        <f aca="false">IF(INDEX(BookTitle,587)="","",INDEX(BookCategory,587))</f>
        <v/>
      </c>
      <c r="H592" s="40" t="str">
        <f aca="false">IF(INDEX(BookTitle,587)="","",INDEX(BookRank,587))</f>
        <v/>
      </c>
      <c r="I592" s="41" t="str">
        <f aca="false">IF(INDEX(BookTitle,587)="","",INDEX(BookTotal,587))</f>
        <v/>
      </c>
      <c r="J592" s="0" t="str">
        <f aca="false">IF($I592="","",IF(INDEX(BookQ1,587)&gt;0,"Q1",IF(INDEX(BookQ2,587)&gt;0,"Q2",IF(INDEX(BookQ3,587)&gt;0,"Q3",IF(INDEX(BookQ4,587)&gt;0,"Q4","")))))</f>
        <v/>
      </c>
      <c r="K592" s="42" t="str">
        <f aca="false">IF(INDEX(BookTitle,587)="","",INDEX(BookInYear,587))</f>
        <v/>
      </c>
      <c r="L592" s="19"/>
      <c r="M592" s="39"/>
      <c r="N592" s="19"/>
      <c r="O592" s="19"/>
      <c r="P592" s="43" t="str">
        <f aca="false">IF($E592="","",IF($L592="Decline",0,IF($L592="Approve fewer",IF($M592="","",$M592),IF($L592="","",$I592))))</f>
        <v/>
      </c>
      <c r="Q592" s="34" t="str">
        <f aca="false">IF($P592="","",IF($N592&lt;&gt;"",$N592,$J592))</f>
        <v/>
      </c>
      <c r="R592" s="35" t="str">
        <f aca="false">IF(OR($P592="",$Q592=""),"",INDEX(BookRate,587)*$P592*(5-MATCH($Q592,{"Q1";"Q2";"Q3";"Q4"},0))/4+INDEX(BookOneOff,587)*$P592)</f>
        <v/>
      </c>
      <c r="S592" s="35" t="str">
        <f aca="false">IF($P592="","",INDEX(BookRate,587)*$P592)</f>
        <v/>
      </c>
      <c r="T592" s="35" t="str">
        <f aca="false">IF($R592="","",$R592-$K592)</f>
        <v/>
      </c>
      <c r="U592" s="35" t="str">
        <f aca="false">IF(N($P592)&lt;=0,"",COUNTIF($P$6:$P592,"&gt;0"))</f>
        <v/>
      </c>
    </row>
    <row r="593" customFormat="false" ht="15" hidden="false" customHeight="false" outlineLevel="0" collapsed="false">
      <c r="A593" s="40" t="str">
        <f aca="false">IF(INDEX(BookTitle,588)="","",INDEX(BookGroup,588))</f>
        <v/>
      </c>
      <c r="B593" s="40" t="str">
        <f aca="false">IF(INDEX(BookTitle,588)="","",INDEX(BookRef,588))</f>
        <v/>
      </c>
      <c r="C593" s="40" t="str">
        <f aca="false">IF(INDEX(BookTitle,588)="","",INDEX(BookDivision,588))</f>
        <v/>
      </c>
      <c r="D593" s="40" t="str">
        <f aca="false">IF(INDEX(BookTitle,588)="","",INDEX(BookUnit,588))</f>
        <v/>
      </c>
      <c r="E593" s="40" t="str">
        <f aca="false">IF(INDEX(BookTitle,588)="","",INDEX(BookTitle,588))</f>
        <v/>
      </c>
      <c r="F593" s="40" t="str">
        <f aca="false">IF(INDEX(BookTitle,588)="","",INDEX(BookLevel,588))</f>
        <v/>
      </c>
      <c r="G593" s="40" t="str">
        <f aca="false">IF(INDEX(BookTitle,588)="","",INDEX(BookCategory,588))</f>
        <v/>
      </c>
      <c r="H593" s="40" t="str">
        <f aca="false">IF(INDEX(BookTitle,588)="","",INDEX(BookRank,588))</f>
        <v/>
      </c>
      <c r="I593" s="41" t="str">
        <f aca="false">IF(INDEX(BookTitle,588)="","",INDEX(BookTotal,588))</f>
        <v/>
      </c>
      <c r="J593" s="0" t="str">
        <f aca="false">IF($I593="","",IF(INDEX(BookQ1,588)&gt;0,"Q1",IF(INDEX(BookQ2,588)&gt;0,"Q2",IF(INDEX(BookQ3,588)&gt;0,"Q3",IF(INDEX(BookQ4,588)&gt;0,"Q4","")))))</f>
        <v/>
      </c>
      <c r="K593" s="42" t="str">
        <f aca="false">IF(INDEX(BookTitle,588)="","",INDEX(BookInYear,588))</f>
        <v/>
      </c>
      <c r="L593" s="19"/>
      <c r="M593" s="39"/>
      <c r="N593" s="19"/>
      <c r="O593" s="19"/>
      <c r="P593" s="43" t="str">
        <f aca="false">IF($E593="","",IF($L593="Decline",0,IF($L593="Approve fewer",IF($M593="","",$M593),IF($L593="","",$I593))))</f>
        <v/>
      </c>
      <c r="Q593" s="34" t="str">
        <f aca="false">IF($P593="","",IF($N593&lt;&gt;"",$N593,$J593))</f>
        <v/>
      </c>
      <c r="R593" s="35" t="str">
        <f aca="false">IF(OR($P593="",$Q593=""),"",INDEX(BookRate,588)*$P593*(5-MATCH($Q593,{"Q1";"Q2";"Q3";"Q4"},0))/4+INDEX(BookOneOff,588)*$P593)</f>
        <v/>
      </c>
      <c r="S593" s="35" t="str">
        <f aca="false">IF($P593="","",INDEX(BookRate,588)*$P593)</f>
        <v/>
      </c>
      <c r="T593" s="35" t="str">
        <f aca="false">IF($R593="","",$R593-$K593)</f>
        <v/>
      </c>
      <c r="U593" s="35" t="str">
        <f aca="false">IF(N($P593)&lt;=0,"",COUNTIF($P$6:$P593,"&gt;0"))</f>
        <v/>
      </c>
    </row>
    <row r="594" customFormat="false" ht="15" hidden="false" customHeight="false" outlineLevel="0" collapsed="false">
      <c r="A594" s="40" t="str">
        <f aca="false">IF(INDEX(BookTitle,589)="","",INDEX(BookGroup,589))</f>
        <v/>
      </c>
      <c r="B594" s="40" t="str">
        <f aca="false">IF(INDEX(BookTitle,589)="","",INDEX(BookRef,589))</f>
        <v/>
      </c>
      <c r="C594" s="40" t="str">
        <f aca="false">IF(INDEX(BookTitle,589)="","",INDEX(BookDivision,589))</f>
        <v/>
      </c>
      <c r="D594" s="40" t="str">
        <f aca="false">IF(INDEX(BookTitle,589)="","",INDEX(BookUnit,589))</f>
        <v/>
      </c>
      <c r="E594" s="40" t="str">
        <f aca="false">IF(INDEX(BookTitle,589)="","",INDEX(BookTitle,589))</f>
        <v/>
      </c>
      <c r="F594" s="40" t="str">
        <f aca="false">IF(INDEX(BookTitle,589)="","",INDEX(BookLevel,589))</f>
        <v/>
      </c>
      <c r="G594" s="40" t="str">
        <f aca="false">IF(INDEX(BookTitle,589)="","",INDEX(BookCategory,589))</f>
        <v/>
      </c>
      <c r="H594" s="40" t="str">
        <f aca="false">IF(INDEX(BookTitle,589)="","",INDEX(BookRank,589))</f>
        <v/>
      </c>
      <c r="I594" s="41" t="str">
        <f aca="false">IF(INDEX(BookTitle,589)="","",INDEX(BookTotal,589))</f>
        <v/>
      </c>
      <c r="J594" s="0" t="str">
        <f aca="false">IF($I594="","",IF(INDEX(BookQ1,589)&gt;0,"Q1",IF(INDEX(BookQ2,589)&gt;0,"Q2",IF(INDEX(BookQ3,589)&gt;0,"Q3",IF(INDEX(BookQ4,589)&gt;0,"Q4","")))))</f>
        <v/>
      </c>
      <c r="K594" s="42" t="str">
        <f aca="false">IF(INDEX(BookTitle,589)="","",INDEX(BookInYear,589))</f>
        <v/>
      </c>
      <c r="L594" s="19"/>
      <c r="M594" s="39"/>
      <c r="N594" s="19"/>
      <c r="O594" s="19"/>
      <c r="P594" s="43" t="str">
        <f aca="false">IF($E594="","",IF($L594="Decline",0,IF($L594="Approve fewer",IF($M594="","",$M594),IF($L594="","",$I594))))</f>
        <v/>
      </c>
      <c r="Q594" s="34" t="str">
        <f aca="false">IF($P594="","",IF($N594&lt;&gt;"",$N594,$J594))</f>
        <v/>
      </c>
      <c r="R594" s="35" t="str">
        <f aca="false">IF(OR($P594="",$Q594=""),"",INDEX(BookRate,589)*$P594*(5-MATCH($Q594,{"Q1";"Q2";"Q3";"Q4"},0))/4+INDEX(BookOneOff,589)*$P594)</f>
        <v/>
      </c>
      <c r="S594" s="35" t="str">
        <f aca="false">IF($P594="","",INDEX(BookRate,589)*$P594)</f>
        <v/>
      </c>
      <c r="T594" s="35" t="str">
        <f aca="false">IF($R594="","",$R594-$K594)</f>
        <v/>
      </c>
      <c r="U594" s="35" t="str">
        <f aca="false">IF(N($P594)&lt;=0,"",COUNTIF($P$6:$P594,"&gt;0"))</f>
        <v/>
      </c>
    </row>
    <row r="595" customFormat="false" ht="15" hidden="false" customHeight="false" outlineLevel="0" collapsed="false">
      <c r="A595" s="40" t="str">
        <f aca="false">IF(INDEX(BookTitle,590)="","",INDEX(BookGroup,590))</f>
        <v/>
      </c>
      <c r="B595" s="40" t="str">
        <f aca="false">IF(INDEX(BookTitle,590)="","",INDEX(BookRef,590))</f>
        <v/>
      </c>
      <c r="C595" s="40" t="str">
        <f aca="false">IF(INDEX(BookTitle,590)="","",INDEX(BookDivision,590))</f>
        <v/>
      </c>
      <c r="D595" s="40" t="str">
        <f aca="false">IF(INDEX(BookTitle,590)="","",INDEX(BookUnit,590))</f>
        <v/>
      </c>
      <c r="E595" s="40" t="str">
        <f aca="false">IF(INDEX(BookTitle,590)="","",INDEX(BookTitle,590))</f>
        <v/>
      </c>
      <c r="F595" s="40" t="str">
        <f aca="false">IF(INDEX(BookTitle,590)="","",INDEX(BookLevel,590))</f>
        <v/>
      </c>
      <c r="G595" s="40" t="str">
        <f aca="false">IF(INDEX(BookTitle,590)="","",INDEX(BookCategory,590))</f>
        <v/>
      </c>
      <c r="H595" s="40" t="str">
        <f aca="false">IF(INDEX(BookTitle,590)="","",INDEX(BookRank,590))</f>
        <v/>
      </c>
      <c r="I595" s="41" t="str">
        <f aca="false">IF(INDEX(BookTitle,590)="","",INDEX(BookTotal,590))</f>
        <v/>
      </c>
      <c r="J595" s="0" t="str">
        <f aca="false">IF($I595="","",IF(INDEX(BookQ1,590)&gt;0,"Q1",IF(INDEX(BookQ2,590)&gt;0,"Q2",IF(INDEX(BookQ3,590)&gt;0,"Q3",IF(INDEX(BookQ4,590)&gt;0,"Q4","")))))</f>
        <v/>
      </c>
      <c r="K595" s="42" t="str">
        <f aca="false">IF(INDEX(BookTitle,590)="","",INDEX(BookInYear,590))</f>
        <v/>
      </c>
      <c r="L595" s="19"/>
      <c r="M595" s="39"/>
      <c r="N595" s="19"/>
      <c r="O595" s="19"/>
      <c r="P595" s="43" t="str">
        <f aca="false">IF($E595="","",IF($L595="Decline",0,IF($L595="Approve fewer",IF($M595="","",$M595),IF($L595="","",$I595))))</f>
        <v/>
      </c>
      <c r="Q595" s="34" t="str">
        <f aca="false">IF($P595="","",IF($N595&lt;&gt;"",$N595,$J595))</f>
        <v/>
      </c>
      <c r="R595" s="35" t="str">
        <f aca="false">IF(OR($P595="",$Q595=""),"",INDEX(BookRate,590)*$P595*(5-MATCH($Q595,{"Q1";"Q2";"Q3";"Q4"},0))/4+INDEX(BookOneOff,590)*$P595)</f>
        <v/>
      </c>
      <c r="S595" s="35" t="str">
        <f aca="false">IF($P595="","",INDEX(BookRate,590)*$P595)</f>
        <v/>
      </c>
      <c r="T595" s="35" t="str">
        <f aca="false">IF($R595="","",$R595-$K595)</f>
        <v/>
      </c>
      <c r="U595" s="35" t="str">
        <f aca="false">IF(N($P595)&lt;=0,"",COUNTIF($P$6:$P595,"&gt;0"))</f>
        <v/>
      </c>
    </row>
    <row r="596" customFormat="false" ht="15" hidden="false" customHeight="false" outlineLevel="0" collapsed="false">
      <c r="A596" s="40" t="str">
        <f aca="false">IF(INDEX(BookTitle,591)="","",INDEX(BookGroup,591))</f>
        <v/>
      </c>
      <c r="B596" s="40" t="str">
        <f aca="false">IF(INDEX(BookTitle,591)="","",INDEX(BookRef,591))</f>
        <v/>
      </c>
      <c r="C596" s="40" t="str">
        <f aca="false">IF(INDEX(BookTitle,591)="","",INDEX(BookDivision,591))</f>
        <v/>
      </c>
      <c r="D596" s="40" t="str">
        <f aca="false">IF(INDEX(BookTitle,591)="","",INDEX(BookUnit,591))</f>
        <v/>
      </c>
      <c r="E596" s="40" t="str">
        <f aca="false">IF(INDEX(BookTitle,591)="","",INDEX(BookTitle,591))</f>
        <v/>
      </c>
      <c r="F596" s="40" t="str">
        <f aca="false">IF(INDEX(BookTitle,591)="","",INDEX(BookLevel,591))</f>
        <v/>
      </c>
      <c r="G596" s="40" t="str">
        <f aca="false">IF(INDEX(BookTitle,591)="","",INDEX(BookCategory,591))</f>
        <v/>
      </c>
      <c r="H596" s="40" t="str">
        <f aca="false">IF(INDEX(BookTitle,591)="","",INDEX(BookRank,591))</f>
        <v/>
      </c>
      <c r="I596" s="41" t="str">
        <f aca="false">IF(INDEX(BookTitle,591)="","",INDEX(BookTotal,591))</f>
        <v/>
      </c>
      <c r="J596" s="0" t="str">
        <f aca="false">IF($I596="","",IF(INDEX(BookQ1,591)&gt;0,"Q1",IF(INDEX(BookQ2,591)&gt;0,"Q2",IF(INDEX(BookQ3,591)&gt;0,"Q3",IF(INDEX(BookQ4,591)&gt;0,"Q4","")))))</f>
        <v/>
      </c>
      <c r="K596" s="42" t="str">
        <f aca="false">IF(INDEX(BookTitle,591)="","",INDEX(BookInYear,591))</f>
        <v/>
      </c>
      <c r="L596" s="19"/>
      <c r="M596" s="39"/>
      <c r="N596" s="19"/>
      <c r="O596" s="19"/>
      <c r="P596" s="43" t="str">
        <f aca="false">IF($E596="","",IF($L596="Decline",0,IF($L596="Approve fewer",IF($M596="","",$M596),IF($L596="","",$I596))))</f>
        <v/>
      </c>
      <c r="Q596" s="34" t="str">
        <f aca="false">IF($P596="","",IF($N596&lt;&gt;"",$N596,$J596))</f>
        <v/>
      </c>
      <c r="R596" s="35" t="str">
        <f aca="false">IF(OR($P596="",$Q596=""),"",INDEX(BookRate,591)*$P596*(5-MATCH($Q596,{"Q1";"Q2";"Q3";"Q4"},0))/4+INDEX(BookOneOff,591)*$P596)</f>
        <v/>
      </c>
      <c r="S596" s="35" t="str">
        <f aca="false">IF($P596="","",INDEX(BookRate,591)*$P596)</f>
        <v/>
      </c>
      <c r="T596" s="35" t="str">
        <f aca="false">IF($R596="","",$R596-$K596)</f>
        <v/>
      </c>
      <c r="U596" s="35" t="str">
        <f aca="false">IF(N($P596)&lt;=0,"",COUNTIF($P$6:$P596,"&gt;0"))</f>
        <v/>
      </c>
    </row>
    <row r="597" customFormat="false" ht="15" hidden="false" customHeight="false" outlineLevel="0" collapsed="false">
      <c r="A597" s="40" t="str">
        <f aca="false">IF(INDEX(BookTitle,592)="","",INDEX(BookGroup,592))</f>
        <v/>
      </c>
      <c r="B597" s="40" t="str">
        <f aca="false">IF(INDEX(BookTitle,592)="","",INDEX(BookRef,592))</f>
        <v/>
      </c>
      <c r="C597" s="40" t="str">
        <f aca="false">IF(INDEX(BookTitle,592)="","",INDEX(BookDivision,592))</f>
        <v/>
      </c>
      <c r="D597" s="40" t="str">
        <f aca="false">IF(INDEX(BookTitle,592)="","",INDEX(BookUnit,592))</f>
        <v/>
      </c>
      <c r="E597" s="40" t="str">
        <f aca="false">IF(INDEX(BookTitle,592)="","",INDEX(BookTitle,592))</f>
        <v/>
      </c>
      <c r="F597" s="40" t="str">
        <f aca="false">IF(INDEX(BookTitle,592)="","",INDEX(BookLevel,592))</f>
        <v/>
      </c>
      <c r="G597" s="40" t="str">
        <f aca="false">IF(INDEX(BookTitle,592)="","",INDEX(BookCategory,592))</f>
        <v/>
      </c>
      <c r="H597" s="40" t="str">
        <f aca="false">IF(INDEX(BookTitle,592)="","",INDEX(BookRank,592))</f>
        <v/>
      </c>
      <c r="I597" s="41" t="str">
        <f aca="false">IF(INDEX(BookTitle,592)="","",INDEX(BookTotal,592))</f>
        <v/>
      </c>
      <c r="J597" s="0" t="str">
        <f aca="false">IF($I597="","",IF(INDEX(BookQ1,592)&gt;0,"Q1",IF(INDEX(BookQ2,592)&gt;0,"Q2",IF(INDEX(BookQ3,592)&gt;0,"Q3",IF(INDEX(BookQ4,592)&gt;0,"Q4","")))))</f>
        <v/>
      </c>
      <c r="K597" s="42" t="str">
        <f aca="false">IF(INDEX(BookTitle,592)="","",INDEX(BookInYear,592))</f>
        <v/>
      </c>
      <c r="L597" s="19"/>
      <c r="M597" s="39"/>
      <c r="N597" s="19"/>
      <c r="O597" s="19"/>
      <c r="P597" s="43" t="str">
        <f aca="false">IF($E597="","",IF($L597="Decline",0,IF($L597="Approve fewer",IF($M597="","",$M597),IF($L597="","",$I597))))</f>
        <v/>
      </c>
      <c r="Q597" s="34" t="str">
        <f aca="false">IF($P597="","",IF($N597&lt;&gt;"",$N597,$J597))</f>
        <v/>
      </c>
      <c r="R597" s="35" t="str">
        <f aca="false">IF(OR($P597="",$Q597=""),"",INDEX(BookRate,592)*$P597*(5-MATCH($Q597,{"Q1";"Q2";"Q3";"Q4"},0))/4+INDEX(BookOneOff,592)*$P597)</f>
        <v/>
      </c>
      <c r="S597" s="35" t="str">
        <f aca="false">IF($P597="","",INDEX(BookRate,592)*$P597)</f>
        <v/>
      </c>
      <c r="T597" s="35" t="str">
        <f aca="false">IF($R597="","",$R597-$K597)</f>
        <v/>
      </c>
      <c r="U597" s="35" t="str">
        <f aca="false">IF(N($P597)&lt;=0,"",COUNTIF($P$6:$P597,"&gt;0"))</f>
        <v/>
      </c>
    </row>
    <row r="598" customFormat="false" ht="15" hidden="false" customHeight="false" outlineLevel="0" collapsed="false">
      <c r="A598" s="40" t="str">
        <f aca="false">IF(INDEX(BookTitle,593)="","",INDEX(BookGroup,593))</f>
        <v/>
      </c>
      <c r="B598" s="40" t="str">
        <f aca="false">IF(INDEX(BookTitle,593)="","",INDEX(BookRef,593))</f>
        <v/>
      </c>
      <c r="C598" s="40" t="str">
        <f aca="false">IF(INDEX(BookTitle,593)="","",INDEX(BookDivision,593))</f>
        <v/>
      </c>
      <c r="D598" s="40" t="str">
        <f aca="false">IF(INDEX(BookTitle,593)="","",INDEX(BookUnit,593))</f>
        <v/>
      </c>
      <c r="E598" s="40" t="str">
        <f aca="false">IF(INDEX(BookTitle,593)="","",INDEX(BookTitle,593))</f>
        <v/>
      </c>
      <c r="F598" s="40" t="str">
        <f aca="false">IF(INDEX(BookTitle,593)="","",INDEX(BookLevel,593))</f>
        <v/>
      </c>
      <c r="G598" s="40" t="str">
        <f aca="false">IF(INDEX(BookTitle,593)="","",INDEX(BookCategory,593))</f>
        <v/>
      </c>
      <c r="H598" s="40" t="str">
        <f aca="false">IF(INDEX(BookTitle,593)="","",INDEX(BookRank,593))</f>
        <v/>
      </c>
      <c r="I598" s="41" t="str">
        <f aca="false">IF(INDEX(BookTitle,593)="","",INDEX(BookTotal,593))</f>
        <v/>
      </c>
      <c r="J598" s="0" t="str">
        <f aca="false">IF($I598="","",IF(INDEX(BookQ1,593)&gt;0,"Q1",IF(INDEX(BookQ2,593)&gt;0,"Q2",IF(INDEX(BookQ3,593)&gt;0,"Q3",IF(INDEX(BookQ4,593)&gt;0,"Q4","")))))</f>
        <v/>
      </c>
      <c r="K598" s="42" t="str">
        <f aca="false">IF(INDEX(BookTitle,593)="","",INDEX(BookInYear,593))</f>
        <v/>
      </c>
      <c r="L598" s="19"/>
      <c r="M598" s="39"/>
      <c r="N598" s="19"/>
      <c r="O598" s="19"/>
      <c r="P598" s="43" t="str">
        <f aca="false">IF($E598="","",IF($L598="Decline",0,IF($L598="Approve fewer",IF($M598="","",$M598),IF($L598="","",$I598))))</f>
        <v/>
      </c>
      <c r="Q598" s="34" t="str">
        <f aca="false">IF($P598="","",IF($N598&lt;&gt;"",$N598,$J598))</f>
        <v/>
      </c>
      <c r="R598" s="35" t="str">
        <f aca="false">IF(OR($P598="",$Q598=""),"",INDEX(BookRate,593)*$P598*(5-MATCH($Q598,{"Q1";"Q2";"Q3";"Q4"},0))/4+INDEX(BookOneOff,593)*$P598)</f>
        <v/>
      </c>
      <c r="S598" s="35" t="str">
        <f aca="false">IF($P598="","",INDEX(BookRate,593)*$P598)</f>
        <v/>
      </c>
      <c r="T598" s="35" t="str">
        <f aca="false">IF($R598="","",$R598-$K598)</f>
        <v/>
      </c>
      <c r="U598" s="35" t="str">
        <f aca="false">IF(N($P598)&lt;=0,"",COUNTIF($P$6:$P598,"&gt;0"))</f>
        <v/>
      </c>
    </row>
    <row r="599" customFormat="false" ht="15" hidden="false" customHeight="false" outlineLevel="0" collapsed="false">
      <c r="A599" s="40" t="str">
        <f aca="false">IF(INDEX(BookTitle,594)="","",INDEX(BookGroup,594))</f>
        <v/>
      </c>
      <c r="B599" s="40" t="str">
        <f aca="false">IF(INDEX(BookTitle,594)="","",INDEX(BookRef,594))</f>
        <v/>
      </c>
      <c r="C599" s="40" t="str">
        <f aca="false">IF(INDEX(BookTitle,594)="","",INDEX(BookDivision,594))</f>
        <v/>
      </c>
      <c r="D599" s="40" t="str">
        <f aca="false">IF(INDEX(BookTitle,594)="","",INDEX(BookUnit,594))</f>
        <v/>
      </c>
      <c r="E599" s="40" t="str">
        <f aca="false">IF(INDEX(BookTitle,594)="","",INDEX(BookTitle,594))</f>
        <v/>
      </c>
      <c r="F599" s="40" t="str">
        <f aca="false">IF(INDEX(BookTitle,594)="","",INDEX(BookLevel,594))</f>
        <v/>
      </c>
      <c r="G599" s="40" t="str">
        <f aca="false">IF(INDEX(BookTitle,594)="","",INDEX(BookCategory,594))</f>
        <v/>
      </c>
      <c r="H599" s="40" t="str">
        <f aca="false">IF(INDEX(BookTitle,594)="","",INDEX(BookRank,594))</f>
        <v/>
      </c>
      <c r="I599" s="41" t="str">
        <f aca="false">IF(INDEX(BookTitle,594)="","",INDEX(BookTotal,594))</f>
        <v/>
      </c>
      <c r="J599" s="0" t="str">
        <f aca="false">IF($I599="","",IF(INDEX(BookQ1,594)&gt;0,"Q1",IF(INDEX(BookQ2,594)&gt;0,"Q2",IF(INDEX(BookQ3,594)&gt;0,"Q3",IF(INDEX(BookQ4,594)&gt;0,"Q4","")))))</f>
        <v/>
      </c>
      <c r="K599" s="42" t="str">
        <f aca="false">IF(INDEX(BookTitle,594)="","",INDEX(BookInYear,594))</f>
        <v/>
      </c>
      <c r="L599" s="19"/>
      <c r="M599" s="39"/>
      <c r="N599" s="19"/>
      <c r="O599" s="19"/>
      <c r="P599" s="43" t="str">
        <f aca="false">IF($E599="","",IF($L599="Decline",0,IF($L599="Approve fewer",IF($M599="","",$M599),IF($L599="","",$I599))))</f>
        <v/>
      </c>
      <c r="Q599" s="34" t="str">
        <f aca="false">IF($P599="","",IF($N599&lt;&gt;"",$N599,$J599))</f>
        <v/>
      </c>
      <c r="R599" s="35" t="str">
        <f aca="false">IF(OR($P599="",$Q599=""),"",INDEX(BookRate,594)*$P599*(5-MATCH($Q599,{"Q1";"Q2";"Q3";"Q4"},0))/4+INDEX(BookOneOff,594)*$P599)</f>
        <v/>
      </c>
      <c r="S599" s="35" t="str">
        <f aca="false">IF($P599="","",INDEX(BookRate,594)*$P599)</f>
        <v/>
      </c>
      <c r="T599" s="35" t="str">
        <f aca="false">IF($R599="","",$R599-$K599)</f>
        <v/>
      </c>
      <c r="U599" s="35" t="str">
        <f aca="false">IF(N($P599)&lt;=0,"",COUNTIF($P$6:$P599,"&gt;0"))</f>
        <v/>
      </c>
    </row>
    <row r="600" customFormat="false" ht="15" hidden="false" customHeight="false" outlineLevel="0" collapsed="false">
      <c r="A600" s="40" t="str">
        <f aca="false">IF(INDEX(BookTitle,595)="","",INDEX(BookGroup,595))</f>
        <v/>
      </c>
      <c r="B600" s="40" t="str">
        <f aca="false">IF(INDEX(BookTitle,595)="","",INDEX(BookRef,595))</f>
        <v/>
      </c>
      <c r="C600" s="40" t="str">
        <f aca="false">IF(INDEX(BookTitle,595)="","",INDEX(BookDivision,595))</f>
        <v/>
      </c>
      <c r="D600" s="40" t="str">
        <f aca="false">IF(INDEX(BookTitle,595)="","",INDEX(BookUnit,595))</f>
        <v/>
      </c>
      <c r="E600" s="40" t="str">
        <f aca="false">IF(INDEX(BookTitle,595)="","",INDEX(BookTitle,595))</f>
        <v/>
      </c>
      <c r="F600" s="40" t="str">
        <f aca="false">IF(INDEX(BookTitle,595)="","",INDEX(BookLevel,595))</f>
        <v/>
      </c>
      <c r="G600" s="40" t="str">
        <f aca="false">IF(INDEX(BookTitle,595)="","",INDEX(BookCategory,595))</f>
        <v/>
      </c>
      <c r="H600" s="40" t="str">
        <f aca="false">IF(INDEX(BookTitle,595)="","",INDEX(BookRank,595))</f>
        <v/>
      </c>
      <c r="I600" s="41" t="str">
        <f aca="false">IF(INDEX(BookTitle,595)="","",INDEX(BookTotal,595))</f>
        <v/>
      </c>
      <c r="J600" s="0" t="str">
        <f aca="false">IF($I600="","",IF(INDEX(BookQ1,595)&gt;0,"Q1",IF(INDEX(BookQ2,595)&gt;0,"Q2",IF(INDEX(BookQ3,595)&gt;0,"Q3",IF(INDEX(BookQ4,595)&gt;0,"Q4","")))))</f>
        <v/>
      </c>
      <c r="K600" s="42" t="str">
        <f aca="false">IF(INDEX(BookTitle,595)="","",INDEX(BookInYear,595))</f>
        <v/>
      </c>
      <c r="L600" s="19"/>
      <c r="M600" s="39"/>
      <c r="N600" s="19"/>
      <c r="O600" s="19"/>
      <c r="P600" s="43" t="str">
        <f aca="false">IF($E600="","",IF($L600="Decline",0,IF($L600="Approve fewer",IF($M600="","",$M600),IF($L600="","",$I600))))</f>
        <v/>
      </c>
      <c r="Q600" s="34" t="str">
        <f aca="false">IF($P600="","",IF($N600&lt;&gt;"",$N600,$J600))</f>
        <v/>
      </c>
      <c r="R600" s="35" t="str">
        <f aca="false">IF(OR($P600="",$Q600=""),"",INDEX(BookRate,595)*$P600*(5-MATCH($Q600,{"Q1";"Q2";"Q3";"Q4"},0))/4+INDEX(BookOneOff,595)*$P600)</f>
        <v/>
      </c>
      <c r="S600" s="35" t="str">
        <f aca="false">IF($P600="","",INDEX(BookRate,595)*$P600)</f>
        <v/>
      </c>
      <c r="T600" s="35" t="str">
        <f aca="false">IF($R600="","",$R600-$K600)</f>
        <v/>
      </c>
      <c r="U600" s="35" t="str">
        <f aca="false">IF(N($P600)&lt;=0,"",COUNTIF($P$6:$P600,"&gt;0"))</f>
        <v/>
      </c>
    </row>
    <row r="601" customFormat="false" ht="15" hidden="false" customHeight="false" outlineLevel="0" collapsed="false">
      <c r="A601" s="40" t="str">
        <f aca="false">IF(INDEX(BookTitle,596)="","",INDEX(BookGroup,596))</f>
        <v/>
      </c>
      <c r="B601" s="40" t="str">
        <f aca="false">IF(INDEX(BookTitle,596)="","",INDEX(BookRef,596))</f>
        <v/>
      </c>
      <c r="C601" s="40" t="str">
        <f aca="false">IF(INDEX(BookTitle,596)="","",INDEX(BookDivision,596))</f>
        <v/>
      </c>
      <c r="D601" s="40" t="str">
        <f aca="false">IF(INDEX(BookTitle,596)="","",INDEX(BookUnit,596))</f>
        <v/>
      </c>
      <c r="E601" s="40" t="str">
        <f aca="false">IF(INDEX(BookTitle,596)="","",INDEX(BookTitle,596))</f>
        <v/>
      </c>
      <c r="F601" s="40" t="str">
        <f aca="false">IF(INDEX(BookTitle,596)="","",INDEX(BookLevel,596))</f>
        <v/>
      </c>
      <c r="G601" s="40" t="str">
        <f aca="false">IF(INDEX(BookTitle,596)="","",INDEX(BookCategory,596))</f>
        <v/>
      </c>
      <c r="H601" s="40" t="str">
        <f aca="false">IF(INDEX(BookTitle,596)="","",INDEX(BookRank,596))</f>
        <v/>
      </c>
      <c r="I601" s="41" t="str">
        <f aca="false">IF(INDEX(BookTitle,596)="","",INDEX(BookTotal,596))</f>
        <v/>
      </c>
      <c r="J601" s="0" t="str">
        <f aca="false">IF($I601="","",IF(INDEX(BookQ1,596)&gt;0,"Q1",IF(INDEX(BookQ2,596)&gt;0,"Q2",IF(INDEX(BookQ3,596)&gt;0,"Q3",IF(INDEX(BookQ4,596)&gt;0,"Q4","")))))</f>
        <v/>
      </c>
      <c r="K601" s="42" t="str">
        <f aca="false">IF(INDEX(BookTitle,596)="","",INDEX(BookInYear,596))</f>
        <v/>
      </c>
      <c r="L601" s="19"/>
      <c r="M601" s="39"/>
      <c r="N601" s="19"/>
      <c r="O601" s="19"/>
      <c r="P601" s="43" t="str">
        <f aca="false">IF($E601="","",IF($L601="Decline",0,IF($L601="Approve fewer",IF($M601="","",$M601),IF($L601="","",$I601))))</f>
        <v/>
      </c>
      <c r="Q601" s="34" t="str">
        <f aca="false">IF($P601="","",IF($N601&lt;&gt;"",$N601,$J601))</f>
        <v/>
      </c>
      <c r="R601" s="35" t="str">
        <f aca="false">IF(OR($P601="",$Q601=""),"",INDEX(BookRate,596)*$P601*(5-MATCH($Q601,{"Q1";"Q2";"Q3";"Q4"},0))/4+INDEX(BookOneOff,596)*$P601)</f>
        <v/>
      </c>
      <c r="S601" s="35" t="str">
        <f aca="false">IF($P601="","",INDEX(BookRate,596)*$P601)</f>
        <v/>
      </c>
      <c r="T601" s="35" t="str">
        <f aca="false">IF($R601="","",$R601-$K601)</f>
        <v/>
      </c>
      <c r="U601" s="35" t="str">
        <f aca="false">IF(N($P601)&lt;=0,"",COUNTIF($P$6:$P601,"&gt;0"))</f>
        <v/>
      </c>
    </row>
    <row r="602" customFormat="false" ht="15" hidden="false" customHeight="false" outlineLevel="0" collapsed="false">
      <c r="A602" s="40" t="str">
        <f aca="false">IF(INDEX(BookTitle,597)="","",INDEX(BookGroup,597))</f>
        <v/>
      </c>
      <c r="B602" s="40" t="str">
        <f aca="false">IF(INDEX(BookTitle,597)="","",INDEX(BookRef,597))</f>
        <v/>
      </c>
      <c r="C602" s="40" t="str">
        <f aca="false">IF(INDEX(BookTitle,597)="","",INDEX(BookDivision,597))</f>
        <v/>
      </c>
      <c r="D602" s="40" t="str">
        <f aca="false">IF(INDEX(BookTitle,597)="","",INDEX(BookUnit,597))</f>
        <v/>
      </c>
      <c r="E602" s="40" t="str">
        <f aca="false">IF(INDEX(BookTitle,597)="","",INDEX(BookTitle,597))</f>
        <v/>
      </c>
      <c r="F602" s="40" t="str">
        <f aca="false">IF(INDEX(BookTitle,597)="","",INDEX(BookLevel,597))</f>
        <v/>
      </c>
      <c r="G602" s="40" t="str">
        <f aca="false">IF(INDEX(BookTitle,597)="","",INDEX(BookCategory,597))</f>
        <v/>
      </c>
      <c r="H602" s="40" t="str">
        <f aca="false">IF(INDEX(BookTitle,597)="","",INDEX(BookRank,597))</f>
        <v/>
      </c>
      <c r="I602" s="41" t="str">
        <f aca="false">IF(INDEX(BookTitle,597)="","",INDEX(BookTotal,597))</f>
        <v/>
      </c>
      <c r="J602" s="0" t="str">
        <f aca="false">IF($I602="","",IF(INDEX(BookQ1,597)&gt;0,"Q1",IF(INDEX(BookQ2,597)&gt;0,"Q2",IF(INDEX(BookQ3,597)&gt;0,"Q3",IF(INDEX(BookQ4,597)&gt;0,"Q4","")))))</f>
        <v/>
      </c>
      <c r="K602" s="42" t="str">
        <f aca="false">IF(INDEX(BookTitle,597)="","",INDEX(BookInYear,597))</f>
        <v/>
      </c>
      <c r="L602" s="19"/>
      <c r="M602" s="39"/>
      <c r="N602" s="19"/>
      <c r="O602" s="19"/>
      <c r="P602" s="43" t="str">
        <f aca="false">IF($E602="","",IF($L602="Decline",0,IF($L602="Approve fewer",IF($M602="","",$M602),IF($L602="","",$I602))))</f>
        <v/>
      </c>
      <c r="Q602" s="34" t="str">
        <f aca="false">IF($P602="","",IF($N602&lt;&gt;"",$N602,$J602))</f>
        <v/>
      </c>
      <c r="R602" s="35" t="str">
        <f aca="false">IF(OR($P602="",$Q602=""),"",INDEX(BookRate,597)*$P602*(5-MATCH($Q602,{"Q1";"Q2";"Q3";"Q4"},0))/4+INDEX(BookOneOff,597)*$P602)</f>
        <v/>
      </c>
      <c r="S602" s="35" t="str">
        <f aca="false">IF($P602="","",INDEX(BookRate,597)*$P602)</f>
        <v/>
      </c>
      <c r="T602" s="35" t="str">
        <f aca="false">IF($R602="","",$R602-$K602)</f>
        <v/>
      </c>
      <c r="U602" s="35" t="str">
        <f aca="false">IF(N($P602)&lt;=0,"",COUNTIF($P$6:$P602,"&gt;0"))</f>
        <v/>
      </c>
    </row>
    <row r="603" customFormat="false" ht="15" hidden="false" customHeight="false" outlineLevel="0" collapsed="false">
      <c r="A603" s="40" t="str">
        <f aca="false">IF(INDEX(BookTitle,598)="","",INDEX(BookGroup,598))</f>
        <v/>
      </c>
      <c r="B603" s="40" t="str">
        <f aca="false">IF(INDEX(BookTitle,598)="","",INDEX(BookRef,598))</f>
        <v/>
      </c>
      <c r="C603" s="40" t="str">
        <f aca="false">IF(INDEX(BookTitle,598)="","",INDEX(BookDivision,598))</f>
        <v/>
      </c>
      <c r="D603" s="40" t="str">
        <f aca="false">IF(INDEX(BookTitle,598)="","",INDEX(BookUnit,598))</f>
        <v/>
      </c>
      <c r="E603" s="40" t="str">
        <f aca="false">IF(INDEX(BookTitle,598)="","",INDEX(BookTitle,598))</f>
        <v/>
      </c>
      <c r="F603" s="40" t="str">
        <f aca="false">IF(INDEX(BookTitle,598)="","",INDEX(BookLevel,598))</f>
        <v/>
      </c>
      <c r="G603" s="40" t="str">
        <f aca="false">IF(INDEX(BookTitle,598)="","",INDEX(BookCategory,598))</f>
        <v/>
      </c>
      <c r="H603" s="40" t="str">
        <f aca="false">IF(INDEX(BookTitle,598)="","",INDEX(BookRank,598))</f>
        <v/>
      </c>
      <c r="I603" s="41" t="str">
        <f aca="false">IF(INDEX(BookTitle,598)="","",INDEX(BookTotal,598))</f>
        <v/>
      </c>
      <c r="J603" s="0" t="str">
        <f aca="false">IF($I603="","",IF(INDEX(BookQ1,598)&gt;0,"Q1",IF(INDEX(BookQ2,598)&gt;0,"Q2",IF(INDEX(BookQ3,598)&gt;0,"Q3",IF(INDEX(BookQ4,598)&gt;0,"Q4","")))))</f>
        <v/>
      </c>
      <c r="K603" s="42" t="str">
        <f aca="false">IF(INDEX(BookTitle,598)="","",INDEX(BookInYear,598))</f>
        <v/>
      </c>
      <c r="L603" s="19"/>
      <c r="M603" s="39"/>
      <c r="N603" s="19"/>
      <c r="O603" s="19"/>
      <c r="P603" s="43" t="str">
        <f aca="false">IF($E603="","",IF($L603="Decline",0,IF($L603="Approve fewer",IF($M603="","",$M603),IF($L603="","",$I603))))</f>
        <v/>
      </c>
      <c r="Q603" s="34" t="str">
        <f aca="false">IF($P603="","",IF($N603&lt;&gt;"",$N603,$J603))</f>
        <v/>
      </c>
      <c r="R603" s="35" t="str">
        <f aca="false">IF(OR($P603="",$Q603=""),"",INDEX(BookRate,598)*$P603*(5-MATCH($Q603,{"Q1";"Q2";"Q3";"Q4"},0))/4+INDEX(BookOneOff,598)*$P603)</f>
        <v/>
      </c>
      <c r="S603" s="35" t="str">
        <f aca="false">IF($P603="","",INDEX(BookRate,598)*$P603)</f>
        <v/>
      </c>
      <c r="T603" s="35" t="str">
        <f aca="false">IF($R603="","",$R603-$K603)</f>
        <v/>
      </c>
      <c r="U603" s="35" t="str">
        <f aca="false">IF(N($P603)&lt;=0,"",COUNTIF($P$6:$P603,"&gt;0"))</f>
        <v/>
      </c>
    </row>
    <row r="604" customFormat="false" ht="15" hidden="false" customHeight="false" outlineLevel="0" collapsed="false">
      <c r="A604" s="40" t="str">
        <f aca="false">IF(INDEX(BookTitle,599)="","",INDEX(BookGroup,599))</f>
        <v/>
      </c>
      <c r="B604" s="40" t="str">
        <f aca="false">IF(INDEX(BookTitle,599)="","",INDEX(BookRef,599))</f>
        <v/>
      </c>
      <c r="C604" s="40" t="str">
        <f aca="false">IF(INDEX(BookTitle,599)="","",INDEX(BookDivision,599))</f>
        <v/>
      </c>
      <c r="D604" s="40" t="str">
        <f aca="false">IF(INDEX(BookTitle,599)="","",INDEX(BookUnit,599))</f>
        <v/>
      </c>
      <c r="E604" s="40" t="str">
        <f aca="false">IF(INDEX(BookTitle,599)="","",INDEX(BookTitle,599))</f>
        <v/>
      </c>
      <c r="F604" s="40" t="str">
        <f aca="false">IF(INDEX(BookTitle,599)="","",INDEX(BookLevel,599))</f>
        <v/>
      </c>
      <c r="G604" s="40" t="str">
        <f aca="false">IF(INDEX(BookTitle,599)="","",INDEX(BookCategory,599))</f>
        <v/>
      </c>
      <c r="H604" s="40" t="str">
        <f aca="false">IF(INDEX(BookTitle,599)="","",INDEX(BookRank,599))</f>
        <v/>
      </c>
      <c r="I604" s="41" t="str">
        <f aca="false">IF(INDEX(BookTitle,599)="","",INDEX(BookTotal,599))</f>
        <v/>
      </c>
      <c r="J604" s="0" t="str">
        <f aca="false">IF($I604="","",IF(INDEX(BookQ1,599)&gt;0,"Q1",IF(INDEX(BookQ2,599)&gt;0,"Q2",IF(INDEX(BookQ3,599)&gt;0,"Q3",IF(INDEX(BookQ4,599)&gt;0,"Q4","")))))</f>
        <v/>
      </c>
      <c r="K604" s="42" t="str">
        <f aca="false">IF(INDEX(BookTitle,599)="","",INDEX(BookInYear,599))</f>
        <v/>
      </c>
      <c r="L604" s="19"/>
      <c r="M604" s="39"/>
      <c r="N604" s="19"/>
      <c r="O604" s="19"/>
      <c r="P604" s="43" t="str">
        <f aca="false">IF($E604="","",IF($L604="Decline",0,IF($L604="Approve fewer",IF($M604="","",$M604),IF($L604="","",$I604))))</f>
        <v/>
      </c>
      <c r="Q604" s="34" t="str">
        <f aca="false">IF($P604="","",IF($N604&lt;&gt;"",$N604,$J604))</f>
        <v/>
      </c>
      <c r="R604" s="35" t="str">
        <f aca="false">IF(OR($P604="",$Q604=""),"",INDEX(BookRate,599)*$P604*(5-MATCH($Q604,{"Q1";"Q2";"Q3";"Q4"},0))/4+INDEX(BookOneOff,599)*$P604)</f>
        <v/>
      </c>
      <c r="S604" s="35" t="str">
        <f aca="false">IF($P604="","",INDEX(BookRate,599)*$P604)</f>
        <v/>
      </c>
      <c r="T604" s="35" t="str">
        <f aca="false">IF($R604="","",$R604-$K604)</f>
        <v/>
      </c>
      <c r="U604" s="35" t="str">
        <f aca="false">IF(N($P604)&lt;=0,"",COUNTIF($P$6:$P604,"&gt;0"))</f>
        <v/>
      </c>
    </row>
    <row r="605" customFormat="false" ht="15" hidden="false" customHeight="false" outlineLevel="0" collapsed="false">
      <c r="A605" s="40" t="str">
        <f aca="false">IF(INDEX(BookTitle,600)="","",INDEX(BookGroup,600))</f>
        <v/>
      </c>
      <c r="B605" s="40" t="str">
        <f aca="false">IF(INDEX(BookTitle,600)="","",INDEX(BookRef,600))</f>
        <v/>
      </c>
      <c r="C605" s="40" t="str">
        <f aca="false">IF(INDEX(BookTitle,600)="","",INDEX(BookDivision,600))</f>
        <v/>
      </c>
      <c r="D605" s="40" t="str">
        <f aca="false">IF(INDEX(BookTitle,600)="","",INDEX(BookUnit,600))</f>
        <v/>
      </c>
      <c r="E605" s="40" t="str">
        <f aca="false">IF(INDEX(BookTitle,600)="","",INDEX(BookTitle,600))</f>
        <v/>
      </c>
      <c r="F605" s="40" t="str">
        <f aca="false">IF(INDEX(BookTitle,600)="","",INDEX(BookLevel,600))</f>
        <v/>
      </c>
      <c r="G605" s="40" t="str">
        <f aca="false">IF(INDEX(BookTitle,600)="","",INDEX(BookCategory,600))</f>
        <v/>
      </c>
      <c r="H605" s="40" t="str">
        <f aca="false">IF(INDEX(BookTitle,600)="","",INDEX(BookRank,600))</f>
        <v/>
      </c>
      <c r="I605" s="41" t="str">
        <f aca="false">IF(INDEX(BookTitle,600)="","",INDEX(BookTotal,600))</f>
        <v/>
      </c>
      <c r="J605" s="0" t="str">
        <f aca="false">IF($I605="","",IF(INDEX(BookQ1,600)&gt;0,"Q1",IF(INDEX(BookQ2,600)&gt;0,"Q2",IF(INDEX(BookQ3,600)&gt;0,"Q3",IF(INDEX(BookQ4,600)&gt;0,"Q4","")))))</f>
        <v/>
      </c>
      <c r="K605" s="42" t="str">
        <f aca="false">IF(INDEX(BookTitle,600)="","",INDEX(BookInYear,600))</f>
        <v/>
      </c>
      <c r="L605" s="19"/>
      <c r="M605" s="39"/>
      <c r="N605" s="19"/>
      <c r="O605" s="19"/>
      <c r="P605" s="43" t="str">
        <f aca="false">IF($E605="","",IF($L605="Decline",0,IF($L605="Approve fewer",IF($M605="","",$M605),IF($L605="","",$I605))))</f>
        <v/>
      </c>
      <c r="Q605" s="34" t="str">
        <f aca="false">IF($P605="","",IF($N605&lt;&gt;"",$N605,$J605))</f>
        <v/>
      </c>
      <c r="R605" s="35" t="str">
        <f aca="false">IF(OR($P605="",$Q605=""),"",INDEX(BookRate,600)*$P605*(5-MATCH($Q605,{"Q1";"Q2";"Q3";"Q4"},0))/4+INDEX(BookOneOff,600)*$P605)</f>
        <v/>
      </c>
      <c r="S605" s="35" t="str">
        <f aca="false">IF($P605="","",INDEX(BookRate,600)*$P605)</f>
        <v/>
      </c>
      <c r="T605" s="35" t="str">
        <f aca="false">IF($R605="","",$R605-$K605)</f>
        <v/>
      </c>
      <c r="U605" s="35" t="str">
        <f aca="false">IF(N($P605)&lt;=0,"",COUNTIF($P$6:$P605,"&gt;0"))</f>
        <v/>
      </c>
    </row>
    <row r="606" customFormat="false" ht="15" hidden="false" customHeight="false" outlineLevel="0" collapsed="false">
      <c r="A606" s="40" t="str">
        <f aca="false">IF(INDEX(BookTitle,601)="","",INDEX(BookGroup,601))</f>
        <v/>
      </c>
      <c r="B606" s="40" t="str">
        <f aca="false">IF(INDEX(BookTitle,601)="","",INDEX(BookRef,601))</f>
        <v/>
      </c>
      <c r="C606" s="40" t="str">
        <f aca="false">IF(INDEX(BookTitle,601)="","",INDEX(BookDivision,601))</f>
        <v/>
      </c>
      <c r="D606" s="40" t="str">
        <f aca="false">IF(INDEX(BookTitle,601)="","",INDEX(BookUnit,601))</f>
        <v/>
      </c>
      <c r="E606" s="40" t="str">
        <f aca="false">IF(INDEX(BookTitle,601)="","",INDEX(BookTitle,601))</f>
        <v/>
      </c>
      <c r="F606" s="40" t="str">
        <f aca="false">IF(INDEX(BookTitle,601)="","",INDEX(BookLevel,601))</f>
        <v/>
      </c>
      <c r="G606" s="40" t="str">
        <f aca="false">IF(INDEX(BookTitle,601)="","",INDEX(BookCategory,601))</f>
        <v/>
      </c>
      <c r="H606" s="40" t="str">
        <f aca="false">IF(INDEX(BookTitle,601)="","",INDEX(BookRank,601))</f>
        <v/>
      </c>
      <c r="I606" s="41" t="str">
        <f aca="false">IF(INDEX(BookTitle,601)="","",INDEX(BookTotal,601))</f>
        <v/>
      </c>
      <c r="J606" s="0" t="str">
        <f aca="false">IF($I606="","",IF(INDEX(BookQ1,601)&gt;0,"Q1",IF(INDEX(BookQ2,601)&gt;0,"Q2",IF(INDEX(BookQ3,601)&gt;0,"Q3",IF(INDEX(BookQ4,601)&gt;0,"Q4","")))))</f>
        <v/>
      </c>
      <c r="K606" s="42" t="str">
        <f aca="false">IF(INDEX(BookTitle,601)="","",INDEX(BookInYear,601))</f>
        <v/>
      </c>
      <c r="L606" s="19"/>
      <c r="M606" s="39"/>
      <c r="N606" s="19"/>
      <c r="O606" s="19"/>
      <c r="P606" s="43" t="str">
        <f aca="false">IF($E606="","",IF($L606="Decline",0,IF($L606="Approve fewer",IF($M606="","",$M606),IF($L606="","",$I606))))</f>
        <v/>
      </c>
      <c r="Q606" s="34" t="str">
        <f aca="false">IF($P606="","",IF($N606&lt;&gt;"",$N606,$J606))</f>
        <v/>
      </c>
      <c r="R606" s="35" t="str">
        <f aca="false">IF(OR($P606="",$Q606=""),"",INDEX(BookRate,601)*$P606*(5-MATCH($Q606,{"Q1";"Q2";"Q3";"Q4"},0))/4+INDEX(BookOneOff,601)*$P606)</f>
        <v/>
      </c>
      <c r="S606" s="35" t="str">
        <f aca="false">IF($P606="","",INDEX(BookRate,601)*$P606)</f>
        <v/>
      </c>
      <c r="T606" s="35" t="str">
        <f aca="false">IF($R606="","",$R606-$K606)</f>
        <v/>
      </c>
      <c r="U606" s="35" t="str">
        <f aca="false">IF(N($P606)&lt;=0,"",COUNTIF($P$6:$P606,"&gt;0"))</f>
        <v/>
      </c>
    </row>
    <row r="607" customFormat="false" ht="15" hidden="false" customHeight="false" outlineLevel="0" collapsed="false">
      <c r="A607" s="40" t="str">
        <f aca="false">IF(INDEX(BookTitle,602)="","",INDEX(BookGroup,602))</f>
        <v/>
      </c>
      <c r="B607" s="40" t="str">
        <f aca="false">IF(INDEX(BookTitle,602)="","",INDEX(BookRef,602))</f>
        <v/>
      </c>
      <c r="C607" s="40" t="str">
        <f aca="false">IF(INDEX(BookTitle,602)="","",INDEX(BookDivision,602))</f>
        <v/>
      </c>
      <c r="D607" s="40" t="str">
        <f aca="false">IF(INDEX(BookTitle,602)="","",INDEX(BookUnit,602))</f>
        <v/>
      </c>
      <c r="E607" s="40" t="str">
        <f aca="false">IF(INDEX(BookTitle,602)="","",INDEX(BookTitle,602))</f>
        <v/>
      </c>
      <c r="F607" s="40" t="str">
        <f aca="false">IF(INDEX(BookTitle,602)="","",INDEX(BookLevel,602))</f>
        <v/>
      </c>
      <c r="G607" s="40" t="str">
        <f aca="false">IF(INDEX(BookTitle,602)="","",INDEX(BookCategory,602))</f>
        <v/>
      </c>
      <c r="H607" s="40" t="str">
        <f aca="false">IF(INDEX(BookTitle,602)="","",INDEX(BookRank,602))</f>
        <v/>
      </c>
      <c r="I607" s="41" t="str">
        <f aca="false">IF(INDEX(BookTitle,602)="","",INDEX(BookTotal,602))</f>
        <v/>
      </c>
      <c r="J607" s="0" t="str">
        <f aca="false">IF($I607="","",IF(INDEX(BookQ1,602)&gt;0,"Q1",IF(INDEX(BookQ2,602)&gt;0,"Q2",IF(INDEX(BookQ3,602)&gt;0,"Q3",IF(INDEX(BookQ4,602)&gt;0,"Q4","")))))</f>
        <v/>
      </c>
      <c r="K607" s="42" t="str">
        <f aca="false">IF(INDEX(BookTitle,602)="","",INDEX(BookInYear,602))</f>
        <v/>
      </c>
      <c r="L607" s="19"/>
      <c r="M607" s="39"/>
      <c r="N607" s="19"/>
      <c r="O607" s="19"/>
      <c r="P607" s="43" t="str">
        <f aca="false">IF($E607="","",IF($L607="Decline",0,IF($L607="Approve fewer",IF($M607="","",$M607),IF($L607="","",$I607))))</f>
        <v/>
      </c>
      <c r="Q607" s="34" t="str">
        <f aca="false">IF($P607="","",IF($N607&lt;&gt;"",$N607,$J607))</f>
        <v/>
      </c>
      <c r="R607" s="35" t="str">
        <f aca="false">IF(OR($P607="",$Q607=""),"",INDEX(BookRate,602)*$P607*(5-MATCH($Q607,{"Q1";"Q2";"Q3";"Q4"},0))/4+INDEX(BookOneOff,602)*$P607)</f>
        <v/>
      </c>
      <c r="S607" s="35" t="str">
        <f aca="false">IF($P607="","",INDEX(BookRate,602)*$P607)</f>
        <v/>
      </c>
      <c r="T607" s="35" t="str">
        <f aca="false">IF($R607="","",$R607-$K607)</f>
        <v/>
      </c>
      <c r="U607" s="35" t="str">
        <f aca="false">IF(N($P607)&lt;=0,"",COUNTIF($P$6:$P607,"&gt;0"))</f>
        <v/>
      </c>
    </row>
    <row r="608" customFormat="false" ht="15" hidden="false" customHeight="false" outlineLevel="0" collapsed="false">
      <c r="A608" s="40" t="str">
        <f aca="false">IF(INDEX(BookTitle,603)="","",INDEX(BookGroup,603))</f>
        <v/>
      </c>
      <c r="B608" s="40" t="str">
        <f aca="false">IF(INDEX(BookTitle,603)="","",INDEX(BookRef,603))</f>
        <v/>
      </c>
      <c r="C608" s="40" t="str">
        <f aca="false">IF(INDEX(BookTitle,603)="","",INDEX(BookDivision,603))</f>
        <v/>
      </c>
      <c r="D608" s="40" t="str">
        <f aca="false">IF(INDEX(BookTitle,603)="","",INDEX(BookUnit,603))</f>
        <v/>
      </c>
      <c r="E608" s="40" t="str">
        <f aca="false">IF(INDEX(BookTitle,603)="","",INDEX(BookTitle,603))</f>
        <v/>
      </c>
      <c r="F608" s="40" t="str">
        <f aca="false">IF(INDEX(BookTitle,603)="","",INDEX(BookLevel,603))</f>
        <v/>
      </c>
      <c r="G608" s="40" t="str">
        <f aca="false">IF(INDEX(BookTitle,603)="","",INDEX(BookCategory,603))</f>
        <v/>
      </c>
      <c r="H608" s="40" t="str">
        <f aca="false">IF(INDEX(BookTitle,603)="","",INDEX(BookRank,603))</f>
        <v/>
      </c>
      <c r="I608" s="41" t="str">
        <f aca="false">IF(INDEX(BookTitle,603)="","",INDEX(BookTotal,603))</f>
        <v/>
      </c>
      <c r="J608" s="0" t="str">
        <f aca="false">IF($I608="","",IF(INDEX(BookQ1,603)&gt;0,"Q1",IF(INDEX(BookQ2,603)&gt;0,"Q2",IF(INDEX(BookQ3,603)&gt;0,"Q3",IF(INDEX(BookQ4,603)&gt;0,"Q4","")))))</f>
        <v/>
      </c>
      <c r="K608" s="42" t="str">
        <f aca="false">IF(INDEX(BookTitle,603)="","",INDEX(BookInYear,603))</f>
        <v/>
      </c>
      <c r="L608" s="19"/>
      <c r="M608" s="39"/>
      <c r="N608" s="19"/>
      <c r="O608" s="19"/>
      <c r="P608" s="43" t="str">
        <f aca="false">IF($E608="","",IF($L608="Decline",0,IF($L608="Approve fewer",IF($M608="","",$M608),IF($L608="","",$I608))))</f>
        <v/>
      </c>
      <c r="Q608" s="34" t="str">
        <f aca="false">IF($P608="","",IF($N608&lt;&gt;"",$N608,$J608))</f>
        <v/>
      </c>
      <c r="R608" s="35" t="str">
        <f aca="false">IF(OR($P608="",$Q608=""),"",INDEX(BookRate,603)*$P608*(5-MATCH($Q608,{"Q1";"Q2";"Q3";"Q4"},0))/4+INDEX(BookOneOff,603)*$P608)</f>
        <v/>
      </c>
      <c r="S608" s="35" t="str">
        <f aca="false">IF($P608="","",INDEX(BookRate,603)*$P608)</f>
        <v/>
      </c>
      <c r="T608" s="35" t="str">
        <f aca="false">IF($R608="","",$R608-$K608)</f>
        <v/>
      </c>
      <c r="U608" s="35" t="str">
        <f aca="false">IF(N($P608)&lt;=0,"",COUNTIF($P$6:$P608,"&gt;0"))</f>
        <v/>
      </c>
    </row>
    <row r="609" customFormat="false" ht="15" hidden="false" customHeight="false" outlineLevel="0" collapsed="false">
      <c r="A609" s="40" t="str">
        <f aca="false">IF(INDEX(BookTitle,604)="","",INDEX(BookGroup,604))</f>
        <v/>
      </c>
      <c r="B609" s="40" t="str">
        <f aca="false">IF(INDEX(BookTitle,604)="","",INDEX(BookRef,604))</f>
        <v/>
      </c>
      <c r="C609" s="40" t="str">
        <f aca="false">IF(INDEX(BookTitle,604)="","",INDEX(BookDivision,604))</f>
        <v/>
      </c>
      <c r="D609" s="40" t="str">
        <f aca="false">IF(INDEX(BookTitle,604)="","",INDEX(BookUnit,604))</f>
        <v/>
      </c>
      <c r="E609" s="40" t="str">
        <f aca="false">IF(INDEX(BookTitle,604)="","",INDEX(BookTitle,604))</f>
        <v/>
      </c>
      <c r="F609" s="40" t="str">
        <f aca="false">IF(INDEX(BookTitle,604)="","",INDEX(BookLevel,604))</f>
        <v/>
      </c>
      <c r="G609" s="40" t="str">
        <f aca="false">IF(INDEX(BookTitle,604)="","",INDEX(BookCategory,604))</f>
        <v/>
      </c>
      <c r="H609" s="40" t="str">
        <f aca="false">IF(INDEX(BookTitle,604)="","",INDEX(BookRank,604))</f>
        <v/>
      </c>
      <c r="I609" s="41" t="str">
        <f aca="false">IF(INDEX(BookTitle,604)="","",INDEX(BookTotal,604))</f>
        <v/>
      </c>
      <c r="J609" s="0" t="str">
        <f aca="false">IF($I609="","",IF(INDEX(BookQ1,604)&gt;0,"Q1",IF(INDEX(BookQ2,604)&gt;0,"Q2",IF(INDEX(BookQ3,604)&gt;0,"Q3",IF(INDEX(BookQ4,604)&gt;0,"Q4","")))))</f>
        <v/>
      </c>
      <c r="K609" s="42" t="str">
        <f aca="false">IF(INDEX(BookTitle,604)="","",INDEX(BookInYear,604))</f>
        <v/>
      </c>
      <c r="L609" s="19"/>
      <c r="M609" s="39"/>
      <c r="N609" s="19"/>
      <c r="O609" s="19"/>
      <c r="P609" s="43" t="str">
        <f aca="false">IF($E609="","",IF($L609="Decline",0,IF($L609="Approve fewer",IF($M609="","",$M609),IF($L609="","",$I609))))</f>
        <v/>
      </c>
      <c r="Q609" s="34" t="str">
        <f aca="false">IF($P609="","",IF($N609&lt;&gt;"",$N609,$J609))</f>
        <v/>
      </c>
      <c r="R609" s="35" t="str">
        <f aca="false">IF(OR($P609="",$Q609=""),"",INDEX(BookRate,604)*$P609*(5-MATCH($Q609,{"Q1";"Q2";"Q3";"Q4"},0))/4+INDEX(BookOneOff,604)*$P609)</f>
        <v/>
      </c>
      <c r="S609" s="35" t="str">
        <f aca="false">IF($P609="","",INDEX(BookRate,604)*$P609)</f>
        <v/>
      </c>
      <c r="T609" s="35" t="str">
        <f aca="false">IF($R609="","",$R609-$K609)</f>
        <v/>
      </c>
      <c r="U609" s="35" t="str">
        <f aca="false">IF(N($P609)&lt;=0,"",COUNTIF($P$6:$P609,"&gt;0"))</f>
        <v/>
      </c>
    </row>
    <row r="610" customFormat="false" ht="15" hidden="false" customHeight="false" outlineLevel="0" collapsed="false">
      <c r="A610" s="40" t="str">
        <f aca="false">IF(INDEX(BookTitle,605)="","",INDEX(BookGroup,605))</f>
        <v/>
      </c>
      <c r="B610" s="40" t="str">
        <f aca="false">IF(INDEX(BookTitle,605)="","",INDEX(BookRef,605))</f>
        <v/>
      </c>
      <c r="C610" s="40" t="str">
        <f aca="false">IF(INDEX(BookTitle,605)="","",INDEX(BookDivision,605))</f>
        <v/>
      </c>
      <c r="D610" s="40" t="str">
        <f aca="false">IF(INDEX(BookTitle,605)="","",INDEX(BookUnit,605))</f>
        <v/>
      </c>
      <c r="E610" s="40" t="str">
        <f aca="false">IF(INDEX(BookTitle,605)="","",INDEX(BookTitle,605))</f>
        <v/>
      </c>
      <c r="F610" s="40" t="str">
        <f aca="false">IF(INDEX(BookTitle,605)="","",INDEX(BookLevel,605))</f>
        <v/>
      </c>
      <c r="G610" s="40" t="str">
        <f aca="false">IF(INDEX(BookTitle,605)="","",INDEX(BookCategory,605))</f>
        <v/>
      </c>
      <c r="H610" s="40" t="str">
        <f aca="false">IF(INDEX(BookTitle,605)="","",INDEX(BookRank,605))</f>
        <v/>
      </c>
      <c r="I610" s="41" t="str">
        <f aca="false">IF(INDEX(BookTitle,605)="","",INDEX(BookTotal,605))</f>
        <v/>
      </c>
      <c r="J610" s="0" t="str">
        <f aca="false">IF($I610="","",IF(INDEX(BookQ1,605)&gt;0,"Q1",IF(INDEX(BookQ2,605)&gt;0,"Q2",IF(INDEX(BookQ3,605)&gt;0,"Q3",IF(INDEX(BookQ4,605)&gt;0,"Q4","")))))</f>
        <v/>
      </c>
      <c r="K610" s="42" t="str">
        <f aca="false">IF(INDEX(BookTitle,605)="","",INDEX(BookInYear,605))</f>
        <v/>
      </c>
      <c r="L610" s="19"/>
      <c r="M610" s="39"/>
      <c r="N610" s="19"/>
      <c r="O610" s="19"/>
      <c r="P610" s="43" t="str">
        <f aca="false">IF($E610="","",IF($L610="Decline",0,IF($L610="Approve fewer",IF($M610="","",$M610),IF($L610="","",$I610))))</f>
        <v/>
      </c>
      <c r="Q610" s="34" t="str">
        <f aca="false">IF($P610="","",IF($N610&lt;&gt;"",$N610,$J610))</f>
        <v/>
      </c>
      <c r="R610" s="35" t="str">
        <f aca="false">IF(OR($P610="",$Q610=""),"",INDEX(BookRate,605)*$P610*(5-MATCH($Q610,{"Q1";"Q2";"Q3";"Q4"},0))/4+INDEX(BookOneOff,605)*$P610)</f>
        <v/>
      </c>
      <c r="S610" s="35" t="str">
        <f aca="false">IF($P610="","",INDEX(BookRate,605)*$P610)</f>
        <v/>
      </c>
      <c r="T610" s="35" t="str">
        <f aca="false">IF($R610="","",$R610-$K610)</f>
        <v/>
      </c>
      <c r="U610" s="35" t="str">
        <f aca="false">IF(N($P610)&lt;=0,"",COUNTIF($P$6:$P610,"&gt;0"))</f>
        <v/>
      </c>
    </row>
    <row r="611" customFormat="false" ht="15" hidden="false" customHeight="false" outlineLevel="0" collapsed="false">
      <c r="A611" s="40" t="str">
        <f aca="false">IF(INDEX(BookTitle,606)="","",INDEX(BookGroup,606))</f>
        <v/>
      </c>
      <c r="B611" s="40" t="str">
        <f aca="false">IF(INDEX(BookTitle,606)="","",INDEX(BookRef,606))</f>
        <v/>
      </c>
      <c r="C611" s="40" t="str">
        <f aca="false">IF(INDEX(BookTitle,606)="","",INDEX(BookDivision,606))</f>
        <v/>
      </c>
      <c r="D611" s="40" t="str">
        <f aca="false">IF(INDEX(BookTitle,606)="","",INDEX(BookUnit,606))</f>
        <v/>
      </c>
      <c r="E611" s="40" t="str">
        <f aca="false">IF(INDEX(BookTitle,606)="","",INDEX(BookTitle,606))</f>
        <v/>
      </c>
      <c r="F611" s="40" t="str">
        <f aca="false">IF(INDEX(BookTitle,606)="","",INDEX(BookLevel,606))</f>
        <v/>
      </c>
      <c r="G611" s="40" t="str">
        <f aca="false">IF(INDEX(BookTitle,606)="","",INDEX(BookCategory,606))</f>
        <v/>
      </c>
      <c r="H611" s="40" t="str">
        <f aca="false">IF(INDEX(BookTitle,606)="","",INDEX(BookRank,606))</f>
        <v/>
      </c>
      <c r="I611" s="41" t="str">
        <f aca="false">IF(INDEX(BookTitle,606)="","",INDEX(BookTotal,606))</f>
        <v/>
      </c>
      <c r="J611" s="0" t="str">
        <f aca="false">IF($I611="","",IF(INDEX(BookQ1,606)&gt;0,"Q1",IF(INDEX(BookQ2,606)&gt;0,"Q2",IF(INDEX(BookQ3,606)&gt;0,"Q3",IF(INDEX(BookQ4,606)&gt;0,"Q4","")))))</f>
        <v/>
      </c>
      <c r="K611" s="42" t="str">
        <f aca="false">IF(INDEX(BookTitle,606)="","",INDEX(BookInYear,606))</f>
        <v/>
      </c>
      <c r="L611" s="19"/>
      <c r="M611" s="39"/>
      <c r="N611" s="19"/>
      <c r="O611" s="19"/>
      <c r="P611" s="43" t="str">
        <f aca="false">IF($E611="","",IF($L611="Decline",0,IF($L611="Approve fewer",IF($M611="","",$M611),IF($L611="","",$I611))))</f>
        <v/>
      </c>
      <c r="Q611" s="34" t="str">
        <f aca="false">IF($P611="","",IF($N611&lt;&gt;"",$N611,$J611))</f>
        <v/>
      </c>
      <c r="R611" s="35" t="str">
        <f aca="false">IF(OR($P611="",$Q611=""),"",INDEX(BookRate,606)*$P611*(5-MATCH($Q611,{"Q1";"Q2";"Q3";"Q4"},0))/4+INDEX(BookOneOff,606)*$P611)</f>
        <v/>
      </c>
      <c r="S611" s="35" t="str">
        <f aca="false">IF($P611="","",INDEX(BookRate,606)*$P611)</f>
        <v/>
      </c>
      <c r="T611" s="35" t="str">
        <f aca="false">IF($R611="","",$R611-$K611)</f>
        <v/>
      </c>
      <c r="U611" s="35" t="str">
        <f aca="false">IF(N($P611)&lt;=0,"",COUNTIF($P$6:$P611,"&gt;0"))</f>
        <v/>
      </c>
    </row>
    <row r="612" customFormat="false" ht="15" hidden="false" customHeight="false" outlineLevel="0" collapsed="false">
      <c r="A612" s="40" t="str">
        <f aca="false">IF(INDEX(BookTitle,607)="","",INDEX(BookGroup,607))</f>
        <v/>
      </c>
      <c r="B612" s="40" t="str">
        <f aca="false">IF(INDEX(BookTitle,607)="","",INDEX(BookRef,607))</f>
        <v/>
      </c>
      <c r="C612" s="40" t="str">
        <f aca="false">IF(INDEX(BookTitle,607)="","",INDEX(BookDivision,607))</f>
        <v/>
      </c>
      <c r="D612" s="40" t="str">
        <f aca="false">IF(INDEX(BookTitle,607)="","",INDEX(BookUnit,607))</f>
        <v/>
      </c>
      <c r="E612" s="40" t="str">
        <f aca="false">IF(INDEX(BookTitle,607)="","",INDEX(BookTitle,607))</f>
        <v/>
      </c>
      <c r="F612" s="40" t="str">
        <f aca="false">IF(INDEX(BookTitle,607)="","",INDEX(BookLevel,607))</f>
        <v/>
      </c>
      <c r="G612" s="40" t="str">
        <f aca="false">IF(INDEX(BookTitle,607)="","",INDEX(BookCategory,607))</f>
        <v/>
      </c>
      <c r="H612" s="40" t="str">
        <f aca="false">IF(INDEX(BookTitle,607)="","",INDEX(BookRank,607))</f>
        <v/>
      </c>
      <c r="I612" s="41" t="str">
        <f aca="false">IF(INDEX(BookTitle,607)="","",INDEX(BookTotal,607))</f>
        <v/>
      </c>
      <c r="J612" s="0" t="str">
        <f aca="false">IF($I612="","",IF(INDEX(BookQ1,607)&gt;0,"Q1",IF(INDEX(BookQ2,607)&gt;0,"Q2",IF(INDEX(BookQ3,607)&gt;0,"Q3",IF(INDEX(BookQ4,607)&gt;0,"Q4","")))))</f>
        <v/>
      </c>
      <c r="K612" s="42" t="str">
        <f aca="false">IF(INDEX(BookTitle,607)="","",INDEX(BookInYear,607))</f>
        <v/>
      </c>
      <c r="L612" s="19"/>
      <c r="M612" s="39"/>
      <c r="N612" s="19"/>
      <c r="O612" s="19"/>
      <c r="P612" s="43" t="str">
        <f aca="false">IF($E612="","",IF($L612="Decline",0,IF($L612="Approve fewer",IF($M612="","",$M612),IF($L612="","",$I612))))</f>
        <v/>
      </c>
      <c r="Q612" s="34" t="str">
        <f aca="false">IF($P612="","",IF($N612&lt;&gt;"",$N612,$J612))</f>
        <v/>
      </c>
      <c r="R612" s="35" t="str">
        <f aca="false">IF(OR($P612="",$Q612=""),"",INDEX(BookRate,607)*$P612*(5-MATCH($Q612,{"Q1";"Q2";"Q3";"Q4"},0))/4+INDEX(BookOneOff,607)*$P612)</f>
        <v/>
      </c>
      <c r="S612" s="35" t="str">
        <f aca="false">IF($P612="","",INDEX(BookRate,607)*$P612)</f>
        <v/>
      </c>
      <c r="T612" s="35" t="str">
        <f aca="false">IF($R612="","",$R612-$K612)</f>
        <v/>
      </c>
      <c r="U612" s="35" t="str">
        <f aca="false">IF(N($P612)&lt;=0,"",COUNTIF($P$6:$P612,"&gt;0"))</f>
        <v/>
      </c>
    </row>
    <row r="613" customFormat="false" ht="15" hidden="false" customHeight="false" outlineLevel="0" collapsed="false">
      <c r="A613" s="40" t="str">
        <f aca="false">IF(INDEX(BookTitle,608)="","",INDEX(BookGroup,608))</f>
        <v/>
      </c>
      <c r="B613" s="40" t="str">
        <f aca="false">IF(INDEX(BookTitle,608)="","",INDEX(BookRef,608))</f>
        <v/>
      </c>
      <c r="C613" s="40" t="str">
        <f aca="false">IF(INDEX(BookTitle,608)="","",INDEX(BookDivision,608))</f>
        <v/>
      </c>
      <c r="D613" s="40" t="str">
        <f aca="false">IF(INDEX(BookTitle,608)="","",INDEX(BookUnit,608))</f>
        <v/>
      </c>
      <c r="E613" s="40" t="str">
        <f aca="false">IF(INDEX(BookTitle,608)="","",INDEX(BookTitle,608))</f>
        <v/>
      </c>
      <c r="F613" s="40" t="str">
        <f aca="false">IF(INDEX(BookTitle,608)="","",INDEX(BookLevel,608))</f>
        <v/>
      </c>
      <c r="G613" s="40" t="str">
        <f aca="false">IF(INDEX(BookTitle,608)="","",INDEX(BookCategory,608))</f>
        <v/>
      </c>
      <c r="H613" s="40" t="str">
        <f aca="false">IF(INDEX(BookTitle,608)="","",INDEX(BookRank,608))</f>
        <v/>
      </c>
      <c r="I613" s="41" t="str">
        <f aca="false">IF(INDEX(BookTitle,608)="","",INDEX(BookTotal,608))</f>
        <v/>
      </c>
      <c r="J613" s="0" t="str">
        <f aca="false">IF($I613="","",IF(INDEX(BookQ1,608)&gt;0,"Q1",IF(INDEX(BookQ2,608)&gt;0,"Q2",IF(INDEX(BookQ3,608)&gt;0,"Q3",IF(INDEX(BookQ4,608)&gt;0,"Q4","")))))</f>
        <v/>
      </c>
      <c r="K613" s="42" t="str">
        <f aca="false">IF(INDEX(BookTitle,608)="","",INDEX(BookInYear,608))</f>
        <v/>
      </c>
      <c r="L613" s="19"/>
      <c r="M613" s="39"/>
      <c r="N613" s="19"/>
      <c r="O613" s="19"/>
      <c r="P613" s="43" t="str">
        <f aca="false">IF($E613="","",IF($L613="Decline",0,IF($L613="Approve fewer",IF($M613="","",$M613),IF($L613="","",$I613))))</f>
        <v/>
      </c>
      <c r="Q613" s="34" t="str">
        <f aca="false">IF($P613="","",IF($N613&lt;&gt;"",$N613,$J613))</f>
        <v/>
      </c>
      <c r="R613" s="35" t="str">
        <f aca="false">IF(OR($P613="",$Q613=""),"",INDEX(BookRate,608)*$P613*(5-MATCH($Q613,{"Q1";"Q2";"Q3";"Q4"},0))/4+INDEX(BookOneOff,608)*$P613)</f>
        <v/>
      </c>
      <c r="S613" s="35" t="str">
        <f aca="false">IF($P613="","",INDEX(BookRate,608)*$P613)</f>
        <v/>
      </c>
      <c r="T613" s="35" t="str">
        <f aca="false">IF($R613="","",$R613-$K613)</f>
        <v/>
      </c>
      <c r="U613" s="35" t="str">
        <f aca="false">IF(N($P613)&lt;=0,"",COUNTIF($P$6:$P613,"&gt;0"))</f>
        <v/>
      </c>
    </row>
    <row r="614" customFormat="false" ht="15" hidden="false" customHeight="false" outlineLevel="0" collapsed="false">
      <c r="A614" s="40" t="str">
        <f aca="false">IF(INDEX(BookTitle,609)="","",INDEX(BookGroup,609))</f>
        <v/>
      </c>
      <c r="B614" s="40" t="str">
        <f aca="false">IF(INDEX(BookTitle,609)="","",INDEX(BookRef,609))</f>
        <v/>
      </c>
      <c r="C614" s="40" t="str">
        <f aca="false">IF(INDEX(BookTitle,609)="","",INDEX(BookDivision,609))</f>
        <v/>
      </c>
      <c r="D614" s="40" t="str">
        <f aca="false">IF(INDEX(BookTitle,609)="","",INDEX(BookUnit,609))</f>
        <v/>
      </c>
      <c r="E614" s="40" t="str">
        <f aca="false">IF(INDEX(BookTitle,609)="","",INDEX(BookTitle,609))</f>
        <v/>
      </c>
      <c r="F614" s="40" t="str">
        <f aca="false">IF(INDEX(BookTitle,609)="","",INDEX(BookLevel,609))</f>
        <v/>
      </c>
      <c r="G614" s="40" t="str">
        <f aca="false">IF(INDEX(BookTitle,609)="","",INDEX(BookCategory,609))</f>
        <v/>
      </c>
      <c r="H614" s="40" t="str">
        <f aca="false">IF(INDEX(BookTitle,609)="","",INDEX(BookRank,609))</f>
        <v/>
      </c>
      <c r="I614" s="41" t="str">
        <f aca="false">IF(INDEX(BookTitle,609)="","",INDEX(BookTotal,609))</f>
        <v/>
      </c>
      <c r="J614" s="0" t="str">
        <f aca="false">IF($I614="","",IF(INDEX(BookQ1,609)&gt;0,"Q1",IF(INDEX(BookQ2,609)&gt;0,"Q2",IF(INDEX(BookQ3,609)&gt;0,"Q3",IF(INDEX(BookQ4,609)&gt;0,"Q4","")))))</f>
        <v/>
      </c>
      <c r="K614" s="42" t="str">
        <f aca="false">IF(INDEX(BookTitle,609)="","",INDEX(BookInYear,609))</f>
        <v/>
      </c>
      <c r="L614" s="19"/>
      <c r="M614" s="39"/>
      <c r="N614" s="19"/>
      <c r="O614" s="19"/>
      <c r="P614" s="43" t="str">
        <f aca="false">IF($E614="","",IF($L614="Decline",0,IF($L614="Approve fewer",IF($M614="","",$M614),IF($L614="","",$I614))))</f>
        <v/>
      </c>
      <c r="Q614" s="34" t="str">
        <f aca="false">IF($P614="","",IF($N614&lt;&gt;"",$N614,$J614))</f>
        <v/>
      </c>
      <c r="R614" s="35" t="str">
        <f aca="false">IF(OR($P614="",$Q614=""),"",INDEX(BookRate,609)*$P614*(5-MATCH($Q614,{"Q1";"Q2";"Q3";"Q4"},0))/4+INDEX(BookOneOff,609)*$P614)</f>
        <v/>
      </c>
      <c r="S614" s="35" t="str">
        <f aca="false">IF($P614="","",INDEX(BookRate,609)*$P614)</f>
        <v/>
      </c>
      <c r="T614" s="35" t="str">
        <f aca="false">IF($R614="","",$R614-$K614)</f>
        <v/>
      </c>
      <c r="U614" s="35" t="str">
        <f aca="false">IF(N($P614)&lt;=0,"",COUNTIF($P$6:$P614,"&gt;0"))</f>
        <v/>
      </c>
    </row>
    <row r="615" customFormat="false" ht="15" hidden="false" customHeight="false" outlineLevel="0" collapsed="false">
      <c r="A615" s="40" t="str">
        <f aca="false">IF(INDEX(BookTitle,610)="","",INDEX(BookGroup,610))</f>
        <v/>
      </c>
      <c r="B615" s="40" t="str">
        <f aca="false">IF(INDEX(BookTitle,610)="","",INDEX(BookRef,610))</f>
        <v/>
      </c>
      <c r="C615" s="40" t="str">
        <f aca="false">IF(INDEX(BookTitle,610)="","",INDEX(BookDivision,610))</f>
        <v/>
      </c>
      <c r="D615" s="40" t="str">
        <f aca="false">IF(INDEX(BookTitle,610)="","",INDEX(BookUnit,610))</f>
        <v/>
      </c>
      <c r="E615" s="40" t="str">
        <f aca="false">IF(INDEX(BookTitle,610)="","",INDEX(BookTitle,610))</f>
        <v/>
      </c>
      <c r="F615" s="40" t="str">
        <f aca="false">IF(INDEX(BookTitle,610)="","",INDEX(BookLevel,610))</f>
        <v/>
      </c>
      <c r="G615" s="40" t="str">
        <f aca="false">IF(INDEX(BookTitle,610)="","",INDEX(BookCategory,610))</f>
        <v/>
      </c>
      <c r="H615" s="40" t="str">
        <f aca="false">IF(INDEX(BookTitle,610)="","",INDEX(BookRank,610))</f>
        <v/>
      </c>
      <c r="I615" s="41" t="str">
        <f aca="false">IF(INDEX(BookTitle,610)="","",INDEX(BookTotal,610))</f>
        <v/>
      </c>
      <c r="J615" s="0" t="str">
        <f aca="false">IF($I615="","",IF(INDEX(BookQ1,610)&gt;0,"Q1",IF(INDEX(BookQ2,610)&gt;0,"Q2",IF(INDEX(BookQ3,610)&gt;0,"Q3",IF(INDEX(BookQ4,610)&gt;0,"Q4","")))))</f>
        <v/>
      </c>
      <c r="K615" s="42" t="str">
        <f aca="false">IF(INDEX(BookTitle,610)="","",INDEX(BookInYear,610))</f>
        <v/>
      </c>
      <c r="L615" s="19"/>
      <c r="M615" s="39"/>
      <c r="N615" s="19"/>
      <c r="O615" s="19"/>
      <c r="P615" s="43" t="str">
        <f aca="false">IF($E615="","",IF($L615="Decline",0,IF($L615="Approve fewer",IF($M615="","",$M615),IF($L615="","",$I615))))</f>
        <v/>
      </c>
      <c r="Q615" s="34" t="str">
        <f aca="false">IF($P615="","",IF($N615&lt;&gt;"",$N615,$J615))</f>
        <v/>
      </c>
      <c r="R615" s="35" t="str">
        <f aca="false">IF(OR($P615="",$Q615=""),"",INDEX(BookRate,610)*$P615*(5-MATCH($Q615,{"Q1";"Q2";"Q3";"Q4"},0))/4+INDEX(BookOneOff,610)*$P615)</f>
        <v/>
      </c>
      <c r="S615" s="35" t="str">
        <f aca="false">IF($P615="","",INDEX(BookRate,610)*$P615)</f>
        <v/>
      </c>
      <c r="T615" s="35" t="str">
        <f aca="false">IF($R615="","",$R615-$K615)</f>
        <v/>
      </c>
      <c r="U615" s="35" t="str">
        <f aca="false">IF(N($P615)&lt;=0,"",COUNTIF($P$6:$P615,"&gt;0"))</f>
        <v/>
      </c>
    </row>
    <row r="616" customFormat="false" ht="15" hidden="false" customHeight="false" outlineLevel="0" collapsed="false">
      <c r="A616" s="40" t="str">
        <f aca="false">IF(INDEX(BookTitle,611)="","",INDEX(BookGroup,611))</f>
        <v/>
      </c>
      <c r="B616" s="40" t="str">
        <f aca="false">IF(INDEX(BookTitle,611)="","",INDEX(BookRef,611))</f>
        <v/>
      </c>
      <c r="C616" s="40" t="str">
        <f aca="false">IF(INDEX(BookTitle,611)="","",INDEX(BookDivision,611))</f>
        <v/>
      </c>
      <c r="D616" s="40" t="str">
        <f aca="false">IF(INDEX(BookTitle,611)="","",INDEX(BookUnit,611))</f>
        <v/>
      </c>
      <c r="E616" s="40" t="str">
        <f aca="false">IF(INDEX(BookTitle,611)="","",INDEX(BookTitle,611))</f>
        <v/>
      </c>
      <c r="F616" s="40" t="str">
        <f aca="false">IF(INDEX(BookTitle,611)="","",INDEX(BookLevel,611))</f>
        <v/>
      </c>
      <c r="G616" s="40" t="str">
        <f aca="false">IF(INDEX(BookTitle,611)="","",INDEX(BookCategory,611))</f>
        <v/>
      </c>
      <c r="H616" s="40" t="str">
        <f aca="false">IF(INDEX(BookTitle,611)="","",INDEX(BookRank,611))</f>
        <v/>
      </c>
      <c r="I616" s="41" t="str">
        <f aca="false">IF(INDEX(BookTitle,611)="","",INDEX(BookTotal,611))</f>
        <v/>
      </c>
      <c r="J616" s="0" t="str">
        <f aca="false">IF($I616="","",IF(INDEX(BookQ1,611)&gt;0,"Q1",IF(INDEX(BookQ2,611)&gt;0,"Q2",IF(INDEX(BookQ3,611)&gt;0,"Q3",IF(INDEX(BookQ4,611)&gt;0,"Q4","")))))</f>
        <v/>
      </c>
      <c r="K616" s="42" t="str">
        <f aca="false">IF(INDEX(BookTitle,611)="","",INDEX(BookInYear,611))</f>
        <v/>
      </c>
      <c r="L616" s="19"/>
      <c r="M616" s="39"/>
      <c r="N616" s="19"/>
      <c r="O616" s="19"/>
      <c r="P616" s="43" t="str">
        <f aca="false">IF($E616="","",IF($L616="Decline",0,IF($L616="Approve fewer",IF($M616="","",$M616),IF($L616="","",$I616))))</f>
        <v/>
      </c>
      <c r="Q616" s="34" t="str">
        <f aca="false">IF($P616="","",IF($N616&lt;&gt;"",$N616,$J616))</f>
        <v/>
      </c>
      <c r="R616" s="35" t="str">
        <f aca="false">IF(OR($P616="",$Q616=""),"",INDEX(BookRate,611)*$P616*(5-MATCH($Q616,{"Q1";"Q2";"Q3";"Q4"},0))/4+INDEX(BookOneOff,611)*$P616)</f>
        <v/>
      </c>
      <c r="S616" s="35" t="str">
        <f aca="false">IF($P616="","",INDEX(BookRate,611)*$P616)</f>
        <v/>
      </c>
      <c r="T616" s="35" t="str">
        <f aca="false">IF($R616="","",$R616-$K616)</f>
        <v/>
      </c>
      <c r="U616" s="35" t="str">
        <f aca="false">IF(N($P616)&lt;=0,"",COUNTIF($P$6:$P616,"&gt;0"))</f>
        <v/>
      </c>
    </row>
    <row r="617" customFormat="false" ht="15" hidden="false" customHeight="false" outlineLevel="0" collapsed="false">
      <c r="A617" s="40" t="str">
        <f aca="false">IF(INDEX(BookTitle,612)="","",INDEX(BookGroup,612))</f>
        <v/>
      </c>
      <c r="B617" s="40" t="str">
        <f aca="false">IF(INDEX(BookTitle,612)="","",INDEX(BookRef,612))</f>
        <v/>
      </c>
      <c r="C617" s="40" t="str">
        <f aca="false">IF(INDEX(BookTitle,612)="","",INDEX(BookDivision,612))</f>
        <v/>
      </c>
      <c r="D617" s="40" t="str">
        <f aca="false">IF(INDEX(BookTitle,612)="","",INDEX(BookUnit,612))</f>
        <v/>
      </c>
      <c r="E617" s="40" t="str">
        <f aca="false">IF(INDEX(BookTitle,612)="","",INDEX(BookTitle,612))</f>
        <v/>
      </c>
      <c r="F617" s="40" t="str">
        <f aca="false">IF(INDEX(BookTitle,612)="","",INDEX(BookLevel,612))</f>
        <v/>
      </c>
      <c r="G617" s="40" t="str">
        <f aca="false">IF(INDEX(BookTitle,612)="","",INDEX(BookCategory,612))</f>
        <v/>
      </c>
      <c r="H617" s="40" t="str">
        <f aca="false">IF(INDEX(BookTitle,612)="","",INDEX(BookRank,612))</f>
        <v/>
      </c>
      <c r="I617" s="41" t="str">
        <f aca="false">IF(INDEX(BookTitle,612)="","",INDEX(BookTotal,612))</f>
        <v/>
      </c>
      <c r="J617" s="0" t="str">
        <f aca="false">IF($I617="","",IF(INDEX(BookQ1,612)&gt;0,"Q1",IF(INDEX(BookQ2,612)&gt;0,"Q2",IF(INDEX(BookQ3,612)&gt;0,"Q3",IF(INDEX(BookQ4,612)&gt;0,"Q4","")))))</f>
        <v/>
      </c>
      <c r="K617" s="42" t="str">
        <f aca="false">IF(INDEX(BookTitle,612)="","",INDEX(BookInYear,612))</f>
        <v/>
      </c>
      <c r="L617" s="19"/>
      <c r="M617" s="39"/>
      <c r="N617" s="19"/>
      <c r="O617" s="19"/>
      <c r="P617" s="43" t="str">
        <f aca="false">IF($E617="","",IF($L617="Decline",0,IF($L617="Approve fewer",IF($M617="","",$M617),IF($L617="","",$I617))))</f>
        <v/>
      </c>
      <c r="Q617" s="34" t="str">
        <f aca="false">IF($P617="","",IF($N617&lt;&gt;"",$N617,$J617))</f>
        <v/>
      </c>
      <c r="R617" s="35" t="str">
        <f aca="false">IF(OR($P617="",$Q617=""),"",INDEX(BookRate,612)*$P617*(5-MATCH($Q617,{"Q1";"Q2";"Q3";"Q4"},0))/4+INDEX(BookOneOff,612)*$P617)</f>
        <v/>
      </c>
      <c r="S617" s="35" t="str">
        <f aca="false">IF($P617="","",INDEX(BookRate,612)*$P617)</f>
        <v/>
      </c>
      <c r="T617" s="35" t="str">
        <f aca="false">IF($R617="","",$R617-$K617)</f>
        <v/>
      </c>
      <c r="U617" s="35" t="str">
        <f aca="false">IF(N($P617)&lt;=0,"",COUNTIF($P$6:$P617,"&gt;0"))</f>
        <v/>
      </c>
    </row>
    <row r="618" customFormat="false" ht="15" hidden="false" customHeight="false" outlineLevel="0" collapsed="false">
      <c r="A618" s="40" t="str">
        <f aca="false">IF(INDEX(BookTitle,613)="","",INDEX(BookGroup,613))</f>
        <v/>
      </c>
      <c r="B618" s="40" t="str">
        <f aca="false">IF(INDEX(BookTitle,613)="","",INDEX(BookRef,613))</f>
        <v/>
      </c>
      <c r="C618" s="40" t="str">
        <f aca="false">IF(INDEX(BookTitle,613)="","",INDEX(BookDivision,613))</f>
        <v/>
      </c>
      <c r="D618" s="40" t="str">
        <f aca="false">IF(INDEX(BookTitle,613)="","",INDEX(BookUnit,613))</f>
        <v/>
      </c>
      <c r="E618" s="40" t="str">
        <f aca="false">IF(INDEX(BookTitle,613)="","",INDEX(BookTitle,613))</f>
        <v/>
      </c>
      <c r="F618" s="40" t="str">
        <f aca="false">IF(INDEX(BookTitle,613)="","",INDEX(BookLevel,613))</f>
        <v/>
      </c>
      <c r="G618" s="40" t="str">
        <f aca="false">IF(INDEX(BookTitle,613)="","",INDEX(BookCategory,613))</f>
        <v/>
      </c>
      <c r="H618" s="40" t="str">
        <f aca="false">IF(INDEX(BookTitle,613)="","",INDEX(BookRank,613))</f>
        <v/>
      </c>
      <c r="I618" s="41" t="str">
        <f aca="false">IF(INDEX(BookTitle,613)="","",INDEX(BookTotal,613))</f>
        <v/>
      </c>
      <c r="J618" s="0" t="str">
        <f aca="false">IF($I618="","",IF(INDEX(BookQ1,613)&gt;0,"Q1",IF(INDEX(BookQ2,613)&gt;0,"Q2",IF(INDEX(BookQ3,613)&gt;0,"Q3",IF(INDEX(BookQ4,613)&gt;0,"Q4","")))))</f>
        <v/>
      </c>
      <c r="K618" s="42" t="str">
        <f aca="false">IF(INDEX(BookTitle,613)="","",INDEX(BookInYear,613))</f>
        <v/>
      </c>
      <c r="L618" s="19"/>
      <c r="M618" s="39"/>
      <c r="N618" s="19"/>
      <c r="O618" s="19"/>
      <c r="P618" s="43" t="str">
        <f aca="false">IF($E618="","",IF($L618="Decline",0,IF($L618="Approve fewer",IF($M618="","",$M618),IF($L618="","",$I618))))</f>
        <v/>
      </c>
      <c r="Q618" s="34" t="str">
        <f aca="false">IF($P618="","",IF($N618&lt;&gt;"",$N618,$J618))</f>
        <v/>
      </c>
      <c r="R618" s="35" t="str">
        <f aca="false">IF(OR($P618="",$Q618=""),"",INDEX(BookRate,613)*$P618*(5-MATCH($Q618,{"Q1";"Q2";"Q3";"Q4"},0))/4+INDEX(BookOneOff,613)*$P618)</f>
        <v/>
      </c>
      <c r="S618" s="35" t="str">
        <f aca="false">IF($P618="","",INDEX(BookRate,613)*$P618)</f>
        <v/>
      </c>
      <c r="T618" s="35" t="str">
        <f aca="false">IF($R618="","",$R618-$K618)</f>
        <v/>
      </c>
      <c r="U618" s="35" t="str">
        <f aca="false">IF(N($P618)&lt;=0,"",COUNTIF($P$6:$P618,"&gt;0"))</f>
        <v/>
      </c>
    </row>
    <row r="619" customFormat="false" ht="15" hidden="false" customHeight="false" outlineLevel="0" collapsed="false">
      <c r="A619" s="40" t="str">
        <f aca="false">IF(INDEX(BookTitle,614)="","",INDEX(BookGroup,614))</f>
        <v/>
      </c>
      <c r="B619" s="40" t="str">
        <f aca="false">IF(INDEX(BookTitle,614)="","",INDEX(BookRef,614))</f>
        <v/>
      </c>
      <c r="C619" s="40" t="str">
        <f aca="false">IF(INDEX(BookTitle,614)="","",INDEX(BookDivision,614))</f>
        <v/>
      </c>
      <c r="D619" s="40" t="str">
        <f aca="false">IF(INDEX(BookTitle,614)="","",INDEX(BookUnit,614))</f>
        <v/>
      </c>
      <c r="E619" s="40" t="str">
        <f aca="false">IF(INDEX(BookTitle,614)="","",INDEX(BookTitle,614))</f>
        <v/>
      </c>
      <c r="F619" s="40" t="str">
        <f aca="false">IF(INDEX(BookTitle,614)="","",INDEX(BookLevel,614))</f>
        <v/>
      </c>
      <c r="G619" s="40" t="str">
        <f aca="false">IF(INDEX(BookTitle,614)="","",INDEX(BookCategory,614))</f>
        <v/>
      </c>
      <c r="H619" s="40" t="str">
        <f aca="false">IF(INDEX(BookTitle,614)="","",INDEX(BookRank,614))</f>
        <v/>
      </c>
      <c r="I619" s="41" t="str">
        <f aca="false">IF(INDEX(BookTitle,614)="","",INDEX(BookTotal,614))</f>
        <v/>
      </c>
      <c r="J619" s="0" t="str">
        <f aca="false">IF($I619="","",IF(INDEX(BookQ1,614)&gt;0,"Q1",IF(INDEX(BookQ2,614)&gt;0,"Q2",IF(INDEX(BookQ3,614)&gt;0,"Q3",IF(INDEX(BookQ4,614)&gt;0,"Q4","")))))</f>
        <v/>
      </c>
      <c r="K619" s="42" t="str">
        <f aca="false">IF(INDEX(BookTitle,614)="","",INDEX(BookInYear,614))</f>
        <v/>
      </c>
      <c r="L619" s="19"/>
      <c r="M619" s="39"/>
      <c r="N619" s="19"/>
      <c r="O619" s="19"/>
      <c r="P619" s="43" t="str">
        <f aca="false">IF($E619="","",IF($L619="Decline",0,IF($L619="Approve fewer",IF($M619="","",$M619),IF($L619="","",$I619))))</f>
        <v/>
      </c>
      <c r="Q619" s="34" t="str">
        <f aca="false">IF($P619="","",IF($N619&lt;&gt;"",$N619,$J619))</f>
        <v/>
      </c>
      <c r="R619" s="35" t="str">
        <f aca="false">IF(OR($P619="",$Q619=""),"",INDEX(BookRate,614)*$P619*(5-MATCH($Q619,{"Q1";"Q2";"Q3";"Q4"},0))/4+INDEX(BookOneOff,614)*$P619)</f>
        <v/>
      </c>
      <c r="S619" s="35" t="str">
        <f aca="false">IF($P619="","",INDEX(BookRate,614)*$P619)</f>
        <v/>
      </c>
      <c r="T619" s="35" t="str">
        <f aca="false">IF($R619="","",$R619-$K619)</f>
        <v/>
      </c>
      <c r="U619" s="35" t="str">
        <f aca="false">IF(N($P619)&lt;=0,"",COUNTIF($P$6:$P619,"&gt;0"))</f>
        <v/>
      </c>
    </row>
    <row r="620" customFormat="false" ht="15" hidden="false" customHeight="false" outlineLevel="0" collapsed="false">
      <c r="A620" s="40" t="str">
        <f aca="false">IF(INDEX(BookTitle,615)="","",INDEX(BookGroup,615))</f>
        <v/>
      </c>
      <c r="B620" s="40" t="str">
        <f aca="false">IF(INDEX(BookTitle,615)="","",INDEX(BookRef,615))</f>
        <v/>
      </c>
      <c r="C620" s="40" t="str">
        <f aca="false">IF(INDEX(BookTitle,615)="","",INDEX(BookDivision,615))</f>
        <v/>
      </c>
      <c r="D620" s="40" t="str">
        <f aca="false">IF(INDEX(BookTitle,615)="","",INDEX(BookUnit,615))</f>
        <v/>
      </c>
      <c r="E620" s="40" t="str">
        <f aca="false">IF(INDEX(BookTitle,615)="","",INDEX(BookTitle,615))</f>
        <v/>
      </c>
      <c r="F620" s="40" t="str">
        <f aca="false">IF(INDEX(BookTitle,615)="","",INDEX(BookLevel,615))</f>
        <v/>
      </c>
      <c r="G620" s="40" t="str">
        <f aca="false">IF(INDEX(BookTitle,615)="","",INDEX(BookCategory,615))</f>
        <v/>
      </c>
      <c r="H620" s="40" t="str">
        <f aca="false">IF(INDEX(BookTitle,615)="","",INDEX(BookRank,615))</f>
        <v/>
      </c>
      <c r="I620" s="41" t="str">
        <f aca="false">IF(INDEX(BookTitle,615)="","",INDEX(BookTotal,615))</f>
        <v/>
      </c>
      <c r="J620" s="0" t="str">
        <f aca="false">IF($I620="","",IF(INDEX(BookQ1,615)&gt;0,"Q1",IF(INDEX(BookQ2,615)&gt;0,"Q2",IF(INDEX(BookQ3,615)&gt;0,"Q3",IF(INDEX(BookQ4,615)&gt;0,"Q4","")))))</f>
        <v/>
      </c>
      <c r="K620" s="42" t="str">
        <f aca="false">IF(INDEX(BookTitle,615)="","",INDEX(BookInYear,615))</f>
        <v/>
      </c>
      <c r="L620" s="19"/>
      <c r="M620" s="39"/>
      <c r="N620" s="19"/>
      <c r="O620" s="19"/>
      <c r="P620" s="43" t="str">
        <f aca="false">IF($E620="","",IF($L620="Decline",0,IF($L620="Approve fewer",IF($M620="","",$M620),IF($L620="","",$I620))))</f>
        <v/>
      </c>
      <c r="Q620" s="34" t="str">
        <f aca="false">IF($P620="","",IF($N620&lt;&gt;"",$N620,$J620))</f>
        <v/>
      </c>
      <c r="R620" s="35" t="str">
        <f aca="false">IF(OR($P620="",$Q620=""),"",INDEX(BookRate,615)*$P620*(5-MATCH($Q620,{"Q1";"Q2";"Q3";"Q4"},0))/4+INDEX(BookOneOff,615)*$P620)</f>
        <v/>
      </c>
      <c r="S620" s="35" t="str">
        <f aca="false">IF($P620="","",INDEX(BookRate,615)*$P620)</f>
        <v/>
      </c>
      <c r="T620" s="35" t="str">
        <f aca="false">IF($R620="","",$R620-$K620)</f>
        <v/>
      </c>
      <c r="U620" s="35" t="str">
        <f aca="false">IF(N($P620)&lt;=0,"",COUNTIF($P$6:$P620,"&gt;0"))</f>
        <v/>
      </c>
    </row>
    <row r="621" customFormat="false" ht="15" hidden="false" customHeight="false" outlineLevel="0" collapsed="false">
      <c r="A621" s="40" t="str">
        <f aca="false">IF(INDEX(BookTitle,616)="","",INDEX(BookGroup,616))</f>
        <v/>
      </c>
      <c r="B621" s="40" t="str">
        <f aca="false">IF(INDEX(BookTitle,616)="","",INDEX(BookRef,616))</f>
        <v/>
      </c>
      <c r="C621" s="40" t="str">
        <f aca="false">IF(INDEX(BookTitle,616)="","",INDEX(BookDivision,616))</f>
        <v/>
      </c>
      <c r="D621" s="40" t="str">
        <f aca="false">IF(INDEX(BookTitle,616)="","",INDEX(BookUnit,616))</f>
        <v/>
      </c>
      <c r="E621" s="40" t="str">
        <f aca="false">IF(INDEX(BookTitle,616)="","",INDEX(BookTitle,616))</f>
        <v/>
      </c>
      <c r="F621" s="40" t="str">
        <f aca="false">IF(INDEX(BookTitle,616)="","",INDEX(BookLevel,616))</f>
        <v/>
      </c>
      <c r="G621" s="40" t="str">
        <f aca="false">IF(INDEX(BookTitle,616)="","",INDEX(BookCategory,616))</f>
        <v/>
      </c>
      <c r="H621" s="40" t="str">
        <f aca="false">IF(INDEX(BookTitle,616)="","",INDEX(BookRank,616))</f>
        <v/>
      </c>
      <c r="I621" s="41" t="str">
        <f aca="false">IF(INDEX(BookTitle,616)="","",INDEX(BookTotal,616))</f>
        <v/>
      </c>
      <c r="J621" s="0" t="str">
        <f aca="false">IF($I621="","",IF(INDEX(BookQ1,616)&gt;0,"Q1",IF(INDEX(BookQ2,616)&gt;0,"Q2",IF(INDEX(BookQ3,616)&gt;0,"Q3",IF(INDEX(BookQ4,616)&gt;0,"Q4","")))))</f>
        <v/>
      </c>
      <c r="K621" s="42" t="str">
        <f aca="false">IF(INDEX(BookTitle,616)="","",INDEX(BookInYear,616))</f>
        <v/>
      </c>
      <c r="L621" s="19"/>
      <c r="M621" s="39"/>
      <c r="N621" s="19"/>
      <c r="O621" s="19"/>
      <c r="P621" s="43" t="str">
        <f aca="false">IF($E621="","",IF($L621="Decline",0,IF($L621="Approve fewer",IF($M621="","",$M621),IF($L621="","",$I621))))</f>
        <v/>
      </c>
      <c r="Q621" s="34" t="str">
        <f aca="false">IF($P621="","",IF($N621&lt;&gt;"",$N621,$J621))</f>
        <v/>
      </c>
      <c r="R621" s="35" t="str">
        <f aca="false">IF(OR($P621="",$Q621=""),"",INDEX(BookRate,616)*$P621*(5-MATCH($Q621,{"Q1";"Q2";"Q3";"Q4"},0))/4+INDEX(BookOneOff,616)*$P621)</f>
        <v/>
      </c>
      <c r="S621" s="35" t="str">
        <f aca="false">IF($P621="","",INDEX(BookRate,616)*$P621)</f>
        <v/>
      </c>
      <c r="T621" s="35" t="str">
        <f aca="false">IF($R621="","",$R621-$K621)</f>
        <v/>
      </c>
      <c r="U621" s="35" t="str">
        <f aca="false">IF(N($P621)&lt;=0,"",COUNTIF($P$6:$P621,"&gt;0"))</f>
        <v/>
      </c>
    </row>
    <row r="622" customFormat="false" ht="15" hidden="false" customHeight="false" outlineLevel="0" collapsed="false">
      <c r="A622" s="40" t="str">
        <f aca="false">IF(INDEX(BookTitle,617)="","",INDEX(BookGroup,617))</f>
        <v/>
      </c>
      <c r="B622" s="40" t="str">
        <f aca="false">IF(INDEX(BookTitle,617)="","",INDEX(BookRef,617))</f>
        <v/>
      </c>
      <c r="C622" s="40" t="str">
        <f aca="false">IF(INDEX(BookTitle,617)="","",INDEX(BookDivision,617))</f>
        <v/>
      </c>
      <c r="D622" s="40" t="str">
        <f aca="false">IF(INDEX(BookTitle,617)="","",INDEX(BookUnit,617))</f>
        <v/>
      </c>
      <c r="E622" s="40" t="str">
        <f aca="false">IF(INDEX(BookTitle,617)="","",INDEX(BookTitle,617))</f>
        <v/>
      </c>
      <c r="F622" s="40" t="str">
        <f aca="false">IF(INDEX(BookTitle,617)="","",INDEX(BookLevel,617))</f>
        <v/>
      </c>
      <c r="G622" s="40" t="str">
        <f aca="false">IF(INDEX(BookTitle,617)="","",INDEX(BookCategory,617))</f>
        <v/>
      </c>
      <c r="H622" s="40" t="str">
        <f aca="false">IF(INDEX(BookTitle,617)="","",INDEX(BookRank,617))</f>
        <v/>
      </c>
      <c r="I622" s="41" t="str">
        <f aca="false">IF(INDEX(BookTitle,617)="","",INDEX(BookTotal,617))</f>
        <v/>
      </c>
      <c r="J622" s="0" t="str">
        <f aca="false">IF($I622="","",IF(INDEX(BookQ1,617)&gt;0,"Q1",IF(INDEX(BookQ2,617)&gt;0,"Q2",IF(INDEX(BookQ3,617)&gt;0,"Q3",IF(INDEX(BookQ4,617)&gt;0,"Q4","")))))</f>
        <v/>
      </c>
      <c r="K622" s="42" t="str">
        <f aca="false">IF(INDEX(BookTitle,617)="","",INDEX(BookInYear,617))</f>
        <v/>
      </c>
      <c r="L622" s="19"/>
      <c r="M622" s="39"/>
      <c r="N622" s="19"/>
      <c r="O622" s="19"/>
      <c r="P622" s="43" t="str">
        <f aca="false">IF($E622="","",IF($L622="Decline",0,IF($L622="Approve fewer",IF($M622="","",$M622),IF($L622="","",$I622))))</f>
        <v/>
      </c>
      <c r="Q622" s="34" t="str">
        <f aca="false">IF($P622="","",IF($N622&lt;&gt;"",$N622,$J622))</f>
        <v/>
      </c>
      <c r="R622" s="35" t="str">
        <f aca="false">IF(OR($P622="",$Q622=""),"",INDEX(BookRate,617)*$P622*(5-MATCH($Q622,{"Q1";"Q2";"Q3";"Q4"},0))/4+INDEX(BookOneOff,617)*$P622)</f>
        <v/>
      </c>
      <c r="S622" s="35" t="str">
        <f aca="false">IF($P622="","",INDEX(BookRate,617)*$P622)</f>
        <v/>
      </c>
      <c r="T622" s="35" t="str">
        <f aca="false">IF($R622="","",$R622-$K622)</f>
        <v/>
      </c>
      <c r="U622" s="35" t="str">
        <f aca="false">IF(N($P622)&lt;=0,"",COUNTIF($P$6:$P622,"&gt;0"))</f>
        <v/>
      </c>
    </row>
    <row r="623" customFormat="false" ht="15" hidden="false" customHeight="false" outlineLevel="0" collapsed="false">
      <c r="A623" s="40" t="str">
        <f aca="false">IF(INDEX(BookTitle,618)="","",INDEX(BookGroup,618))</f>
        <v/>
      </c>
      <c r="B623" s="40" t="str">
        <f aca="false">IF(INDEX(BookTitle,618)="","",INDEX(BookRef,618))</f>
        <v/>
      </c>
      <c r="C623" s="40" t="str">
        <f aca="false">IF(INDEX(BookTitle,618)="","",INDEX(BookDivision,618))</f>
        <v/>
      </c>
      <c r="D623" s="40" t="str">
        <f aca="false">IF(INDEX(BookTitle,618)="","",INDEX(BookUnit,618))</f>
        <v/>
      </c>
      <c r="E623" s="40" t="str">
        <f aca="false">IF(INDEX(BookTitle,618)="","",INDEX(BookTitle,618))</f>
        <v/>
      </c>
      <c r="F623" s="40" t="str">
        <f aca="false">IF(INDEX(BookTitle,618)="","",INDEX(BookLevel,618))</f>
        <v/>
      </c>
      <c r="G623" s="40" t="str">
        <f aca="false">IF(INDEX(BookTitle,618)="","",INDEX(BookCategory,618))</f>
        <v/>
      </c>
      <c r="H623" s="40" t="str">
        <f aca="false">IF(INDEX(BookTitle,618)="","",INDEX(BookRank,618))</f>
        <v/>
      </c>
      <c r="I623" s="41" t="str">
        <f aca="false">IF(INDEX(BookTitle,618)="","",INDEX(BookTotal,618))</f>
        <v/>
      </c>
      <c r="J623" s="0" t="str">
        <f aca="false">IF($I623="","",IF(INDEX(BookQ1,618)&gt;0,"Q1",IF(INDEX(BookQ2,618)&gt;0,"Q2",IF(INDEX(BookQ3,618)&gt;0,"Q3",IF(INDEX(BookQ4,618)&gt;0,"Q4","")))))</f>
        <v/>
      </c>
      <c r="K623" s="42" t="str">
        <f aca="false">IF(INDEX(BookTitle,618)="","",INDEX(BookInYear,618))</f>
        <v/>
      </c>
      <c r="L623" s="19"/>
      <c r="M623" s="39"/>
      <c r="N623" s="19"/>
      <c r="O623" s="19"/>
      <c r="P623" s="43" t="str">
        <f aca="false">IF($E623="","",IF($L623="Decline",0,IF($L623="Approve fewer",IF($M623="","",$M623),IF($L623="","",$I623))))</f>
        <v/>
      </c>
      <c r="Q623" s="34" t="str">
        <f aca="false">IF($P623="","",IF($N623&lt;&gt;"",$N623,$J623))</f>
        <v/>
      </c>
      <c r="R623" s="35" t="str">
        <f aca="false">IF(OR($P623="",$Q623=""),"",INDEX(BookRate,618)*$P623*(5-MATCH($Q623,{"Q1";"Q2";"Q3";"Q4"},0))/4+INDEX(BookOneOff,618)*$P623)</f>
        <v/>
      </c>
      <c r="S623" s="35" t="str">
        <f aca="false">IF($P623="","",INDEX(BookRate,618)*$P623)</f>
        <v/>
      </c>
      <c r="T623" s="35" t="str">
        <f aca="false">IF($R623="","",$R623-$K623)</f>
        <v/>
      </c>
      <c r="U623" s="35" t="str">
        <f aca="false">IF(N($P623)&lt;=0,"",COUNTIF($P$6:$P623,"&gt;0"))</f>
        <v/>
      </c>
    </row>
    <row r="624" customFormat="false" ht="15" hidden="false" customHeight="false" outlineLevel="0" collapsed="false">
      <c r="A624" s="40" t="str">
        <f aca="false">IF(INDEX(BookTitle,619)="","",INDEX(BookGroup,619))</f>
        <v/>
      </c>
      <c r="B624" s="40" t="str">
        <f aca="false">IF(INDEX(BookTitle,619)="","",INDEX(BookRef,619))</f>
        <v/>
      </c>
      <c r="C624" s="40" t="str">
        <f aca="false">IF(INDEX(BookTitle,619)="","",INDEX(BookDivision,619))</f>
        <v/>
      </c>
      <c r="D624" s="40" t="str">
        <f aca="false">IF(INDEX(BookTitle,619)="","",INDEX(BookUnit,619))</f>
        <v/>
      </c>
      <c r="E624" s="40" t="str">
        <f aca="false">IF(INDEX(BookTitle,619)="","",INDEX(BookTitle,619))</f>
        <v/>
      </c>
      <c r="F624" s="40" t="str">
        <f aca="false">IF(INDEX(BookTitle,619)="","",INDEX(BookLevel,619))</f>
        <v/>
      </c>
      <c r="G624" s="40" t="str">
        <f aca="false">IF(INDEX(BookTitle,619)="","",INDEX(BookCategory,619))</f>
        <v/>
      </c>
      <c r="H624" s="40" t="str">
        <f aca="false">IF(INDEX(BookTitle,619)="","",INDEX(BookRank,619))</f>
        <v/>
      </c>
      <c r="I624" s="41" t="str">
        <f aca="false">IF(INDEX(BookTitle,619)="","",INDEX(BookTotal,619))</f>
        <v/>
      </c>
      <c r="J624" s="0" t="str">
        <f aca="false">IF($I624="","",IF(INDEX(BookQ1,619)&gt;0,"Q1",IF(INDEX(BookQ2,619)&gt;0,"Q2",IF(INDEX(BookQ3,619)&gt;0,"Q3",IF(INDEX(BookQ4,619)&gt;0,"Q4","")))))</f>
        <v/>
      </c>
      <c r="K624" s="42" t="str">
        <f aca="false">IF(INDEX(BookTitle,619)="","",INDEX(BookInYear,619))</f>
        <v/>
      </c>
      <c r="L624" s="19"/>
      <c r="M624" s="39"/>
      <c r="N624" s="19"/>
      <c r="O624" s="19"/>
      <c r="P624" s="43" t="str">
        <f aca="false">IF($E624="","",IF($L624="Decline",0,IF($L624="Approve fewer",IF($M624="","",$M624),IF($L624="","",$I624))))</f>
        <v/>
      </c>
      <c r="Q624" s="34" t="str">
        <f aca="false">IF($P624="","",IF($N624&lt;&gt;"",$N624,$J624))</f>
        <v/>
      </c>
      <c r="R624" s="35" t="str">
        <f aca="false">IF(OR($P624="",$Q624=""),"",INDEX(BookRate,619)*$P624*(5-MATCH($Q624,{"Q1";"Q2";"Q3";"Q4"},0))/4+INDEX(BookOneOff,619)*$P624)</f>
        <v/>
      </c>
      <c r="S624" s="35" t="str">
        <f aca="false">IF($P624="","",INDEX(BookRate,619)*$P624)</f>
        <v/>
      </c>
      <c r="T624" s="35" t="str">
        <f aca="false">IF($R624="","",$R624-$K624)</f>
        <v/>
      </c>
      <c r="U624" s="35" t="str">
        <f aca="false">IF(N($P624)&lt;=0,"",COUNTIF($P$6:$P624,"&gt;0"))</f>
        <v/>
      </c>
    </row>
    <row r="625" customFormat="false" ht="15" hidden="false" customHeight="false" outlineLevel="0" collapsed="false">
      <c r="A625" s="40" t="str">
        <f aca="false">IF(INDEX(BookTitle,620)="","",INDEX(BookGroup,620))</f>
        <v/>
      </c>
      <c r="B625" s="40" t="str">
        <f aca="false">IF(INDEX(BookTitle,620)="","",INDEX(BookRef,620))</f>
        <v/>
      </c>
      <c r="C625" s="40" t="str">
        <f aca="false">IF(INDEX(BookTitle,620)="","",INDEX(BookDivision,620))</f>
        <v/>
      </c>
      <c r="D625" s="40" t="str">
        <f aca="false">IF(INDEX(BookTitle,620)="","",INDEX(BookUnit,620))</f>
        <v/>
      </c>
      <c r="E625" s="40" t="str">
        <f aca="false">IF(INDEX(BookTitle,620)="","",INDEX(BookTitle,620))</f>
        <v/>
      </c>
      <c r="F625" s="40" t="str">
        <f aca="false">IF(INDEX(BookTitle,620)="","",INDEX(BookLevel,620))</f>
        <v/>
      </c>
      <c r="G625" s="40" t="str">
        <f aca="false">IF(INDEX(BookTitle,620)="","",INDEX(BookCategory,620))</f>
        <v/>
      </c>
      <c r="H625" s="40" t="str">
        <f aca="false">IF(INDEX(BookTitle,620)="","",INDEX(BookRank,620))</f>
        <v/>
      </c>
      <c r="I625" s="41" t="str">
        <f aca="false">IF(INDEX(BookTitle,620)="","",INDEX(BookTotal,620))</f>
        <v/>
      </c>
      <c r="J625" s="0" t="str">
        <f aca="false">IF($I625="","",IF(INDEX(BookQ1,620)&gt;0,"Q1",IF(INDEX(BookQ2,620)&gt;0,"Q2",IF(INDEX(BookQ3,620)&gt;0,"Q3",IF(INDEX(BookQ4,620)&gt;0,"Q4","")))))</f>
        <v/>
      </c>
      <c r="K625" s="42" t="str">
        <f aca="false">IF(INDEX(BookTitle,620)="","",INDEX(BookInYear,620))</f>
        <v/>
      </c>
      <c r="L625" s="19"/>
      <c r="M625" s="39"/>
      <c r="N625" s="19"/>
      <c r="O625" s="19"/>
      <c r="P625" s="43" t="str">
        <f aca="false">IF($E625="","",IF($L625="Decline",0,IF($L625="Approve fewer",IF($M625="","",$M625),IF($L625="","",$I625))))</f>
        <v/>
      </c>
      <c r="Q625" s="34" t="str">
        <f aca="false">IF($P625="","",IF($N625&lt;&gt;"",$N625,$J625))</f>
        <v/>
      </c>
      <c r="R625" s="35" t="str">
        <f aca="false">IF(OR($P625="",$Q625=""),"",INDEX(BookRate,620)*$P625*(5-MATCH($Q625,{"Q1";"Q2";"Q3";"Q4"},0))/4+INDEX(BookOneOff,620)*$P625)</f>
        <v/>
      </c>
      <c r="S625" s="35" t="str">
        <f aca="false">IF($P625="","",INDEX(BookRate,620)*$P625)</f>
        <v/>
      </c>
      <c r="T625" s="35" t="str">
        <f aca="false">IF($R625="","",$R625-$K625)</f>
        <v/>
      </c>
      <c r="U625" s="35" t="str">
        <f aca="false">IF(N($P625)&lt;=0,"",COUNTIF($P$6:$P625,"&gt;0"))</f>
        <v/>
      </c>
    </row>
    <row r="626" customFormat="false" ht="15" hidden="false" customHeight="false" outlineLevel="0" collapsed="false">
      <c r="A626" s="40" t="str">
        <f aca="false">IF(INDEX(BookTitle,621)="","",INDEX(BookGroup,621))</f>
        <v/>
      </c>
      <c r="B626" s="40" t="str">
        <f aca="false">IF(INDEX(BookTitle,621)="","",INDEX(BookRef,621))</f>
        <v/>
      </c>
      <c r="C626" s="40" t="str">
        <f aca="false">IF(INDEX(BookTitle,621)="","",INDEX(BookDivision,621))</f>
        <v/>
      </c>
      <c r="D626" s="40" t="str">
        <f aca="false">IF(INDEX(BookTitle,621)="","",INDEX(BookUnit,621))</f>
        <v/>
      </c>
      <c r="E626" s="40" t="str">
        <f aca="false">IF(INDEX(BookTitle,621)="","",INDEX(BookTitle,621))</f>
        <v/>
      </c>
      <c r="F626" s="40" t="str">
        <f aca="false">IF(INDEX(BookTitle,621)="","",INDEX(BookLevel,621))</f>
        <v/>
      </c>
      <c r="G626" s="40" t="str">
        <f aca="false">IF(INDEX(BookTitle,621)="","",INDEX(BookCategory,621))</f>
        <v/>
      </c>
      <c r="H626" s="40" t="str">
        <f aca="false">IF(INDEX(BookTitle,621)="","",INDEX(BookRank,621))</f>
        <v/>
      </c>
      <c r="I626" s="41" t="str">
        <f aca="false">IF(INDEX(BookTitle,621)="","",INDEX(BookTotal,621))</f>
        <v/>
      </c>
      <c r="J626" s="0" t="str">
        <f aca="false">IF($I626="","",IF(INDEX(BookQ1,621)&gt;0,"Q1",IF(INDEX(BookQ2,621)&gt;0,"Q2",IF(INDEX(BookQ3,621)&gt;0,"Q3",IF(INDEX(BookQ4,621)&gt;0,"Q4","")))))</f>
        <v/>
      </c>
      <c r="K626" s="42" t="str">
        <f aca="false">IF(INDEX(BookTitle,621)="","",INDEX(BookInYear,621))</f>
        <v/>
      </c>
      <c r="L626" s="19"/>
      <c r="M626" s="39"/>
      <c r="N626" s="19"/>
      <c r="O626" s="19"/>
      <c r="P626" s="43" t="str">
        <f aca="false">IF($E626="","",IF($L626="Decline",0,IF($L626="Approve fewer",IF($M626="","",$M626),IF($L626="","",$I626))))</f>
        <v/>
      </c>
      <c r="Q626" s="34" t="str">
        <f aca="false">IF($P626="","",IF($N626&lt;&gt;"",$N626,$J626))</f>
        <v/>
      </c>
      <c r="R626" s="35" t="str">
        <f aca="false">IF(OR($P626="",$Q626=""),"",INDEX(BookRate,621)*$P626*(5-MATCH($Q626,{"Q1";"Q2";"Q3";"Q4"},0))/4+INDEX(BookOneOff,621)*$P626)</f>
        <v/>
      </c>
      <c r="S626" s="35" t="str">
        <f aca="false">IF($P626="","",INDEX(BookRate,621)*$P626)</f>
        <v/>
      </c>
      <c r="T626" s="35" t="str">
        <f aca="false">IF($R626="","",$R626-$K626)</f>
        <v/>
      </c>
      <c r="U626" s="35" t="str">
        <f aca="false">IF(N($P626)&lt;=0,"",COUNTIF($P$6:$P626,"&gt;0"))</f>
        <v/>
      </c>
    </row>
    <row r="627" customFormat="false" ht="15" hidden="false" customHeight="false" outlineLevel="0" collapsed="false">
      <c r="A627" s="40" t="str">
        <f aca="false">IF(INDEX(BookTitle,622)="","",INDEX(BookGroup,622))</f>
        <v/>
      </c>
      <c r="B627" s="40" t="str">
        <f aca="false">IF(INDEX(BookTitle,622)="","",INDEX(BookRef,622))</f>
        <v/>
      </c>
      <c r="C627" s="40" t="str">
        <f aca="false">IF(INDEX(BookTitle,622)="","",INDEX(BookDivision,622))</f>
        <v/>
      </c>
      <c r="D627" s="40" t="str">
        <f aca="false">IF(INDEX(BookTitle,622)="","",INDEX(BookUnit,622))</f>
        <v/>
      </c>
      <c r="E627" s="40" t="str">
        <f aca="false">IF(INDEX(BookTitle,622)="","",INDEX(BookTitle,622))</f>
        <v/>
      </c>
      <c r="F627" s="40" t="str">
        <f aca="false">IF(INDEX(BookTitle,622)="","",INDEX(BookLevel,622))</f>
        <v/>
      </c>
      <c r="G627" s="40" t="str">
        <f aca="false">IF(INDEX(BookTitle,622)="","",INDEX(BookCategory,622))</f>
        <v/>
      </c>
      <c r="H627" s="40" t="str">
        <f aca="false">IF(INDEX(BookTitle,622)="","",INDEX(BookRank,622))</f>
        <v/>
      </c>
      <c r="I627" s="41" t="str">
        <f aca="false">IF(INDEX(BookTitle,622)="","",INDEX(BookTotal,622))</f>
        <v/>
      </c>
      <c r="J627" s="0" t="str">
        <f aca="false">IF($I627="","",IF(INDEX(BookQ1,622)&gt;0,"Q1",IF(INDEX(BookQ2,622)&gt;0,"Q2",IF(INDEX(BookQ3,622)&gt;0,"Q3",IF(INDEX(BookQ4,622)&gt;0,"Q4","")))))</f>
        <v/>
      </c>
      <c r="K627" s="42" t="str">
        <f aca="false">IF(INDEX(BookTitle,622)="","",INDEX(BookInYear,622))</f>
        <v/>
      </c>
      <c r="L627" s="19"/>
      <c r="M627" s="39"/>
      <c r="N627" s="19"/>
      <c r="O627" s="19"/>
      <c r="P627" s="43" t="str">
        <f aca="false">IF($E627="","",IF($L627="Decline",0,IF($L627="Approve fewer",IF($M627="","",$M627),IF($L627="","",$I627))))</f>
        <v/>
      </c>
      <c r="Q627" s="34" t="str">
        <f aca="false">IF($P627="","",IF($N627&lt;&gt;"",$N627,$J627))</f>
        <v/>
      </c>
      <c r="R627" s="35" t="str">
        <f aca="false">IF(OR($P627="",$Q627=""),"",INDEX(BookRate,622)*$P627*(5-MATCH($Q627,{"Q1";"Q2";"Q3";"Q4"},0))/4+INDEX(BookOneOff,622)*$P627)</f>
        <v/>
      </c>
      <c r="S627" s="35" t="str">
        <f aca="false">IF($P627="","",INDEX(BookRate,622)*$P627)</f>
        <v/>
      </c>
      <c r="T627" s="35" t="str">
        <f aca="false">IF($R627="","",$R627-$K627)</f>
        <v/>
      </c>
      <c r="U627" s="35" t="str">
        <f aca="false">IF(N($P627)&lt;=0,"",COUNTIF($P$6:$P627,"&gt;0"))</f>
        <v/>
      </c>
    </row>
    <row r="628" customFormat="false" ht="15" hidden="false" customHeight="false" outlineLevel="0" collapsed="false">
      <c r="A628" s="40" t="str">
        <f aca="false">IF(INDEX(BookTitle,623)="","",INDEX(BookGroup,623))</f>
        <v/>
      </c>
      <c r="B628" s="40" t="str">
        <f aca="false">IF(INDEX(BookTitle,623)="","",INDEX(BookRef,623))</f>
        <v/>
      </c>
      <c r="C628" s="40" t="str">
        <f aca="false">IF(INDEX(BookTitle,623)="","",INDEX(BookDivision,623))</f>
        <v/>
      </c>
      <c r="D628" s="40" t="str">
        <f aca="false">IF(INDEX(BookTitle,623)="","",INDEX(BookUnit,623))</f>
        <v/>
      </c>
      <c r="E628" s="40" t="str">
        <f aca="false">IF(INDEX(BookTitle,623)="","",INDEX(BookTitle,623))</f>
        <v/>
      </c>
      <c r="F628" s="40" t="str">
        <f aca="false">IF(INDEX(BookTitle,623)="","",INDEX(BookLevel,623))</f>
        <v/>
      </c>
      <c r="G628" s="40" t="str">
        <f aca="false">IF(INDEX(BookTitle,623)="","",INDEX(BookCategory,623))</f>
        <v/>
      </c>
      <c r="H628" s="40" t="str">
        <f aca="false">IF(INDEX(BookTitle,623)="","",INDEX(BookRank,623))</f>
        <v/>
      </c>
      <c r="I628" s="41" t="str">
        <f aca="false">IF(INDEX(BookTitle,623)="","",INDEX(BookTotal,623))</f>
        <v/>
      </c>
      <c r="J628" s="0" t="str">
        <f aca="false">IF($I628="","",IF(INDEX(BookQ1,623)&gt;0,"Q1",IF(INDEX(BookQ2,623)&gt;0,"Q2",IF(INDEX(BookQ3,623)&gt;0,"Q3",IF(INDEX(BookQ4,623)&gt;0,"Q4","")))))</f>
        <v/>
      </c>
      <c r="K628" s="42" t="str">
        <f aca="false">IF(INDEX(BookTitle,623)="","",INDEX(BookInYear,623))</f>
        <v/>
      </c>
      <c r="L628" s="19"/>
      <c r="M628" s="39"/>
      <c r="N628" s="19"/>
      <c r="O628" s="19"/>
      <c r="P628" s="43" t="str">
        <f aca="false">IF($E628="","",IF($L628="Decline",0,IF($L628="Approve fewer",IF($M628="","",$M628),IF($L628="","",$I628))))</f>
        <v/>
      </c>
      <c r="Q628" s="34" t="str">
        <f aca="false">IF($P628="","",IF($N628&lt;&gt;"",$N628,$J628))</f>
        <v/>
      </c>
      <c r="R628" s="35" t="str">
        <f aca="false">IF(OR($P628="",$Q628=""),"",INDEX(BookRate,623)*$P628*(5-MATCH($Q628,{"Q1";"Q2";"Q3";"Q4"},0))/4+INDEX(BookOneOff,623)*$P628)</f>
        <v/>
      </c>
      <c r="S628" s="35" t="str">
        <f aca="false">IF($P628="","",INDEX(BookRate,623)*$P628)</f>
        <v/>
      </c>
      <c r="T628" s="35" t="str">
        <f aca="false">IF($R628="","",$R628-$K628)</f>
        <v/>
      </c>
      <c r="U628" s="35" t="str">
        <f aca="false">IF(N($P628)&lt;=0,"",COUNTIF($P$6:$P628,"&gt;0"))</f>
        <v/>
      </c>
    </row>
    <row r="629" customFormat="false" ht="15" hidden="false" customHeight="false" outlineLevel="0" collapsed="false">
      <c r="A629" s="40" t="str">
        <f aca="false">IF(INDEX(BookTitle,624)="","",INDEX(BookGroup,624))</f>
        <v/>
      </c>
      <c r="B629" s="40" t="str">
        <f aca="false">IF(INDEX(BookTitle,624)="","",INDEX(BookRef,624))</f>
        <v/>
      </c>
      <c r="C629" s="40" t="str">
        <f aca="false">IF(INDEX(BookTitle,624)="","",INDEX(BookDivision,624))</f>
        <v/>
      </c>
      <c r="D629" s="40" t="str">
        <f aca="false">IF(INDEX(BookTitle,624)="","",INDEX(BookUnit,624))</f>
        <v/>
      </c>
      <c r="E629" s="40" t="str">
        <f aca="false">IF(INDEX(BookTitle,624)="","",INDEX(BookTitle,624))</f>
        <v/>
      </c>
      <c r="F629" s="40" t="str">
        <f aca="false">IF(INDEX(BookTitle,624)="","",INDEX(BookLevel,624))</f>
        <v/>
      </c>
      <c r="G629" s="40" t="str">
        <f aca="false">IF(INDEX(BookTitle,624)="","",INDEX(BookCategory,624))</f>
        <v/>
      </c>
      <c r="H629" s="40" t="str">
        <f aca="false">IF(INDEX(BookTitle,624)="","",INDEX(BookRank,624))</f>
        <v/>
      </c>
      <c r="I629" s="41" t="str">
        <f aca="false">IF(INDEX(BookTitle,624)="","",INDEX(BookTotal,624))</f>
        <v/>
      </c>
      <c r="J629" s="0" t="str">
        <f aca="false">IF($I629="","",IF(INDEX(BookQ1,624)&gt;0,"Q1",IF(INDEX(BookQ2,624)&gt;0,"Q2",IF(INDEX(BookQ3,624)&gt;0,"Q3",IF(INDEX(BookQ4,624)&gt;0,"Q4","")))))</f>
        <v/>
      </c>
      <c r="K629" s="42" t="str">
        <f aca="false">IF(INDEX(BookTitle,624)="","",INDEX(BookInYear,624))</f>
        <v/>
      </c>
      <c r="L629" s="19"/>
      <c r="M629" s="39"/>
      <c r="N629" s="19"/>
      <c r="O629" s="19"/>
      <c r="P629" s="43" t="str">
        <f aca="false">IF($E629="","",IF($L629="Decline",0,IF($L629="Approve fewer",IF($M629="","",$M629),IF($L629="","",$I629))))</f>
        <v/>
      </c>
      <c r="Q629" s="34" t="str">
        <f aca="false">IF($P629="","",IF($N629&lt;&gt;"",$N629,$J629))</f>
        <v/>
      </c>
      <c r="R629" s="35" t="str">
        <f aca="false">IF(OR($P629="",$Q629=""),"",INDEX(BookRate,624)*$P629*(5-MATCH($Q629,{"Q1";"Q2";"Q3";"Q4"},0))/4+INDEX(BookOneOff,624)*$P629)</f>
        <v/>
      </c>
      <c r="S629" s="35" t="str">
        <f aca="false">IF($P629="","",INDEX(BookRate,624)*$P629)</f>
        <v/>
      </c>
      <c r="T629" s="35" t="str">
        <f aca="false">IF($R629="","",$R629-$K629)</f>
        <v/>
      </c>
      <c r="U629" s="35" t="str">
        <f aca="false">IF(N($P629)&lt;=0,"",COUNTIF($P$6:$P629,"&gt;0"))</f>
        <v/>
      </c>
    </row>
    <row r="630" customFormat="false" ht="15" hidden="false" customHeight="false" outlineLevel="0" collapsed="false">
      <c r="A630" s="40" t="str">
        <f aca="false">IF(INDEX(BookTitle,625)="","",INDEX(BookGroup,625))</f>
        <v/>
      </c>
      <c r="B630" s="40" t="str">
        <f aca="false">IF(INDEX(BookTitle,625)="","",INDEX(BookRef,625))</f>
        <v/>
      </c>
      <c r="C630" s="40" t="str">
        <f aca="false">IF(INDEX(BookTitle,625)="","",INDEX(BookDivision,625))</f>
        <v/>
      </c>
      <c r="D630" s="40" t="str">
        <f aca="false">IF(INDEX(BookTitle,625)="","",INDEX(BookUnit,625))</f>
        <v/>
      </c>
      <c r="E630" s="40" t="str">
        <f aca="false">IF(INDEX(BookTitle,625)="","",INDEX(BookTitle,625))</f>
        <v/>
      </c>
      <c r="F630" s="40" t="str">
        <f aca="false">IF(INDEX(BookTitle,625)="","",INDEX(BookLevel,625))</f>
        <v/>
      </c>
      <c r="G630" s="40" t="str">
        <f aca="false">IF(INDEX(BookTitle,625)="","",INDEX(BookCategory,625))</f>
        <v/>
      </c>
      <c r="H630" s="40" t="str">
        <f aca="false">IF(INDEX(BookTitle,625)="","",INDEX(BookRank,625))</f>
        <v/>
      </c>
      <c r="I630" s="41" t="str">
        <f aca="false">IF(INDEX(BookTitle,625)="","",INDEX(BookTotal,625))</f>
        <v/>
      </c>
      <c r="J630" s="0" t="str">
        <f aca="false">IF($I630="","",IF(INDEX(BookQ1,625)&gt;0,"Q1",IF(INDEX(BookQ2,625)&gt;0,"Q2",IF(INDEX(BookQ3,625)&gt;0,"Q3",IF(INDEX(BookQ4,625)&gt;0,"Q4","")))))</f>
        <v/>
      </c>
      <c r="K630" s="42" t="str">
        <f aca="false">IF(INDEX(BookTitle,625)="","",INDEX(BookInYear,625))</f>
        <v/>
      </c>
      <c r="L630" s="19"/>
      <c r="M630" s="39"/>
      <c r="N630" s="19"/>
      <c r="O630" s="19"/>
      <c r="P630" s="43" t="str">
        <f aca="false">IF($E630="","",IF($L630="Decline",0,IF($L630="Approve fewer",IF($M630="","",$M630),IF($L630="","",$I630))))</f>
        <v/>
      </c>
      <c r="Q630" s="34" t="str">
        <f aca="false">IF($P630="","",IF($N630&lt;&gt;"",$N630,$J630))</f>
        <v/>
      </c>
      <c r="R630" s="35" t="str">
        <f aca="false">IF(OR($P630="",$Q630=""),"",INDEX(BookRate,625)*$P630*(5-MATCH($Q630,{"Q1";"Q2";"Q3";"Q4"},0))/4+INDEX(BookOneOff,625)*$P630)</f>
        <v/>
      </c>
      <c r="S630" s="35" t="str">
        <f aca="false">IF($P630="","",INDEX(BookRate,625)*$P630)</f>
        <v/>
      </c>
      <c r="T630" s="35" t="str">
        <f aca="false">IF($R630="","",$R630-$K630)</f>
        <v/>
      </c>
      <c r="U630" s="35" t="str">
        <f aca="false">IF(N($P630)&lt;=0,"",COUNTIF($P$6:$P630,"&gt;0"))</f>
        <v/>
      </c>
    </row>
    <row r="631" customFormat="false" ht="15" hidden="false" customHeight="false" outlineLevel="0" collapsed="false">
      <c r="A631" s="40" t="str">
        <f aca="false">IF(INDEX(BookTitle,626)="","",INDEX(BookGroup,626))</f>
        <v/>
      </c>
      <c r="B631" s="40" t="str">
        <f aca="false">IF(INDEX(BookTitle,626)="","",INDEX(BookRef,626))</f>
        <v/>
      </c>
      <c r="C631" s="40" t="str">
        <f aca="false">IF(INDEX(BookTitle,626)="","",INDEX(BookDivision,626))</f>
        <v/>
      </c>
      <c r="D631" s="40" t="str">
        <f aca="false">IF(INDEX(BookTitle,626)="","",INDEX(BookUnit,626))</f>
        <v/>
      </c>
      <c r="E631" s="40" t="str">
        <f aca="false">IF(INDEX(BookTitle,626)="","",INDEX(BookTitle,626))</f>
        <v/>
      </c>
      <c r="F631" s="40" t="str">
        <f aca="false">IF(INDEX(BookTitle,626)="","",INDEX(BookLevel,626))</f>
        <v/>
      </c>
      <c r="G631" s="40" t="str">
        <f aca="false">IF(INDEX(BookTitle,626)="","",INDEX(BookCategory,626))</f>
        <v/>
      </c>
      <c r="H631" s="40" t="str">
        <f aca="false">IF(INDEX(BookTitle,626)="","",INDEX(BookRank,626))</f>
        <v/>
      </c>
      <c r="I631" s="41" t="str">
        <f aca="false">IF(INDEX(BookTitle,626)="","",INDEX(BookTotal,626))</f>
        <v/>
      </c>
      <c r="J631" s="0" t="str">
        <f aca="false">IF($I631="","",IF(INDEX(BookQ1,626)&gt;0,"Q1",IF(INDEX(BookQ2,626)&gt;0,"Q2",IF(INDEX(BookQ3,626)&gt;0,"Q3",IF(INDEX(BookQ4,626)&gt;0,"Q4","")))))</f>
        <v/>
      </c>
      <c r="K631" s="42" t="str">
        <f aca="false">IF(INDEX(BookTitle,626)="","",INDEX(BookInYear,626))</f>
        <v/>
      </c>
      <c r="L631" s="19"/>
      <c r="M631" s="39"/>
      <c r="N631" s="19"/>
      <c r="O631" s="19"/>
      <c r="P631" s="43" t="str">
        <f aca="false">IF($E631="","",IF($L631="Decline",0,IF($L631="Approve fewer",IF($M631="","",$M631),IF($L631="","",$I631))))</f>
        <v/>
      </c>
      <c r="Q631" s="34" t="str">
        <f aca="false">IF($P631="","",IF($N631&lt;&gt;"",$N631,$J631))</f>
        <v/>
      </c>
      <c r="R631" s="35" t="str">
        <f aca="false">IF(OR($P631="",$Q631=""),"",INDEX(BookRate,626)*$P631*(5-MATCH($Q631,{"Q1";"Q2";"Q3";"Q4"},0))/4+INDEX(BookOneOff,626)*$P631)</f>
        <v/>
      </c>
      <c r="S631" s="35" t="str">
        <f aca="false">IF($P631="","",INDEX(BookRate,626)*$P631)</f>
        <v/>
      </c>
      <c r="T631" s="35" t="str">
        <f aca="false">IF($R631="","",$R631-$K631)</f>
        <v/>
      </c>
      <c r="U631" s="35" t="str">
        <f aca="false">IF(N($P631)&lt;=0,"",COUNTIF($P$6:$P631,"&gt;0"))</f>
        <v/>
      </c>
    </row>
    <row r="632" customFormat="false" ht="15" hidden="false" customHeight="false" outlineLevel="0" collapsed="false">
      <c r="A632" s="40" t="str">
        <f aca="false">IF(INDEX(BookTitle,627)="","",INDEX(BookGroup,627))</f>
        <v/>
      </c>
      <c r="B632" s="40" t="str">
        <f aca="false">IF(INDEX(BookTitle,627)="","",INDEX(BookRef,627))</f>
        <v/>
      </c>
      <c r="C632" s="40" t="str">
        <f aca="false">IF(INDEX(BookTitle,627)="","",INDEX(BookDivision,627))</f>
        <v/>
      </c>
      <c r="D632" s="40" t="str">
        <f aca="false">IF(INDEX(BookTitle,627)="","",INDEX(BookUnit,627))</f>
        <v/>
      </c>
      <c r="E632" s="40" t="str">
        <f aca="false">IF(INDEX(BookTitle,627)="","",INDEX(BookTitle,627))</f>
        <v/>
      </c>
      <c r="F632" s="40" t="str">
        <f aca="false">IF(INDEX(BookTitle,627)="","",INDEX(BookLevel,627))</f>
        <v/>
      </c>
      <c r="G632" s="40" t="str">
        <f aca="false">IF(INDEX(BookTitle,627)="","",INDEX(BookCategory,627))</f>
        <v/>
      </c>
      <c r="H632" s="40" t="str">
        <f aca="false">IF(INDEX(BookTitle,627)="","",INDEX(BookRank,627))</f>
        <v/>
      </c>
      <c r="I632" s="41" t="str">
        <f aca="false">IF(INDEX(BookTitle,627)="","",INDEX(BookTotal,627))</f>
        <v/>
      </c>
      <c r="J632" s="0" t="str">
        <f aca="false">IF($I632="","",IF(INDEX(BookQ1,627)&gt;0,"Q1",IF(INDEX(BookQ2,627)&gt;0,"Q2",IF(INDEX(BookQ3,627)&gt;0,"Q3",IF(INDEX(BookQ4,627)&gt;0,"Q4","")))))</f>
        <v/>
      </c>
      <c r="K632" s="42" t="str">
        <f aca="false">IF(INDEX(BookTitle,627)="","",INDEX(BookInYear,627))</f>
        <v/>
      </c>
      <c r="L632" s="19"/>
      <c r="M632" s="39"/>
      <c r="N632" s="19"/>
      <c r="O632" s="19"/>
      <c r="P632" s="43" t="str">
        <f aca="false">IF($E632="","",IF($L632="Decline",0,IF($L632="Approve fewer",IF($M632="","",$M632),IF($L632="","",$I632))))</f>
        <v/>
      </c>
      <c r="Q632" s="34" t="str">
        <f aca="false">IF($P632="","",IF($N632&lt;&gt;"",$N632,$J632))</f>
        <v/>
      </c>
      <c r="R632" s="35" t="str">
        <f aca="false">IF(OR($P632="",$Q632=""),"",INDEX(BookRate,627)*$P632*(5-MATCH($Q632,{"Q1";"Q2";"Q3";"Q4"},0))/4+INDEX(BookOneOff,627)*$P632)</f>
        <v/>
      </c>
      <c r="S632" s="35" t="str">
        <f aca="false">IF($P632="","",INDEX(BookRate,627)*$P632)</f>
        <v/>
      </c>
      <c r="T632" s="35" t="str">
        <f aca="false">IF($R632="","",$R632-$K632)</f>
        <v/>
      </c>
      <c r="U632" s="35" t="str">
        <f aca="false">IF(N($P632)&lt;=0,"",COUNTIF($P$6:$P632,"&gt;0"))</f>
        <v/>
      </c>
    </row>
    <row r="633" customFormat="false" ht="15" hidden="false" customHeight="false" outlineLevel="0" collapsed="false">
      <c r="A633" s="40" t="str">
        <f aca="false">IF(INDEX(BookTitle,628)="","",INDEX(BookGroup,628))</f>
        <v/>
      </c>
      <c r="B633" s="40" t="str">
        <f aca="false">IF(INDEX(BookTitle,628)="","",INDEX(BookRef,628))</f>
        <v/>
      </c>
      <c r="C633" s="40" t="str">
        <f aca="false">IF(INDEX(BookTitle,628)="","",INDEX(BookDivision,628))</f>
        <v/>
      </c>
      <c r="D633" s="40" t="str">
        <f aca="false">IF(INDEX(BookTitle,628)="","",INDEX(BookUnit,628))</f>
        <v/>
      </c>
      <c r="E633" s="40" t="str">
        <f aca="false">IF(INDEX(BookTitle,628)="","",INDEX(BookTitle,628))</f>
        <v/>
      </c>
      <c r="F633" s="40" t="str">
        <f aca="false">IF(INDEX(BookTitle,628)="","",INDEX(BookLevel,628))</f>
        <v/>
      </c>
      <c r="G633" s="40" t="str">
        <f aca="false">IF(INDEX(BookTitle,628)="","",INDEX(BookCategory,628))</f>
        <v/>
      </c>
      <c r="H633" s="40" t="str">
        <f aca="false">IF(INDEX(BookTitle,628)="","",INDEX(BookRank,628))</f>
        <v/>
      </c>
      <c r="I633" s="41" t="str">
        <f aca="false">IF(INDEX(BookTitle,628)="","",INDEX(BookTotal,628))</f>
        <v/>
      </c>
      <c r="J633" s="0" t="str">
        <f aca="false">IF($I633="","",IF(INDEX(BookQ1,628)&gt;0,"Q1",IF(INDEX(BookQ2,628)&gt;0,"Q2",IF(INDEX(BookQ3,628)&gt;0,"Q3",IF(INDEX(BookQ4,628)&gt;0,"Q4","")))))</f>
        <v/>
      </c>
      <c r="K633" s="42" t="str">
        <f aca="false">IF(INDEX(BookTitle,628)="","",INDEX(BookInYear,628))</f>
        <v/>
      </c>
      <c r="L633" s="19"/>
      <c r="M633" s="39"/>
      <c r="N633" s="19"/>
      <c r="O633" s="19"/>
      <c r="P633" s="43" t="str">
        <f aca="false">IF($E633="","",IF($L633="Decline",0,IF($L633="Approve fewer",IF($M633="","",$M633),IF($L633="","",$I633))))</f>
        <v/>
      </c>
      <c r="Q633" s="34" t="str">
        <f aca="false">IF($P633="","",IF($N633&lt;&gt;"",$N633,$J633))</f>
        <v/>
      </c>
      <c r="R633" s="35" t="str">
        <f aca="false">IF(OR($P633="",$Q633=""),"",INDEX(BookRate,628)*$P633*(5-MATCH($Q633,{"Q1";"Q2";"Q3";"Q4"},0))/4+INDEX(BookOneOff,628)*$P633)</f>
        <v/>
      </c>
      <c r="S633" s="35" t="str">
        <f aca="false">IF($P633="","",INDEX(BookRate,628)*$P633)</f>
        <v/>
      </c>
      <c r="T633" s="35" t="str">
        <f aca="false">IF($R633="","",$R633-$K633)</f>
        <v/>
      </c>
      <c r="U633" s="35" t="str">
        <f aca="false">IF(N($P633)&lt;=0,"",COUNTIF($P$6:$P633,"&gt;0"))</f>
        <v/>
      </c>
    </row>
    <row r="634" customFormat="false" ht="15" hidden="false" customHeight="false" outlineLevel="0" collapsed="false">
      <c r="A634" s="40" t="str">
        <f aca="false">IF(INDEX(BookTitle,629)="","",INDEX(BookGroup,629))</f>
        <v/>
      </c>
      <c r="B634" s="40" t="str">
        <f aca="false">IF(INDEX(BookTitle,629)="","",INDEX(BookRef,629))</f>
        <v/>
      </c>
      <c r="C634" s="40" t="str">
        <f aca="false">IF(INDEX(BookTitle,629)="","",INDEX(BookDivision,629))</f>
        <v/>
      </c>
      <c r="D634" s="40" t="str">
        <f aca="false">IF(INDEX(BookTitle,629)="","",INDEX(BookUnit,629))</f>
        <v/>
      </c>
      <c r="E634" s="40" t="str">
        <f aca="false">IF(INDEX(BookTitle,629)="","",INDEX(BookTitle,629))</f>
        <v/>
      </c>
      <c r="F634" s="40" t="str">
        <f aca="false">IF(INDEX(BookTitle,629)="","",INDEX(BookLevel,629))</f>
        <v/>
      </c>
      <c r="G634" s="40" t="str">
        <f aca="false">IF(INDEX(BookTitle,629)="","",INDEX(BookCategory,629))</f>
        <v/>
      </c>
      <c r="H634" s="40" t="str">
        <f aca="false">IF(INDEX(BookTitle,629)="","",INDEX(BookRank,629))</f>
        <v/>
      </c>
      <c r="I634" s="41" t="str">
        <f aca="false">IF(INDEX(BookTitle,629)="","",INDEX(BookTotal,629))</f>
        <v/>
      </c>
      <c r="J634" s="0" t="str">
        <f aca="false">IF($I634="","",IF(INDEX(BookQ1,629)&gt;0,"Q1",IF(INDEX(BookQ2,629)&gt;0,"Q2",IF(INDEX(BookQ3,629)&gt;0,"Q3",IF(INDEX(BookQ4,629)&gt;0,"Q4","")))))</f>
        <v/>
      </c>
      <c r="K634" s="42" t="str">
        <f aca="false">IF(INDEX(BookTitle,629)="","",INDEX(BookInYear,629))</f>
        <v/>
      </c>
      <c r="L634" s="19"/>
      <c r="M634" s="39"/>
      <c r="N634" s="19"/>
      <c r="O634" s="19"/>
      <c r="P634" s="43" t="str">
        <f aca="false">IF($E634="","",IF($L634="Decline",0,IF($L634="Approve fewer",IF($M634="","",$M634),IF($L634="","",$I634))))</f>
        <v/>
      </c>
      <c r="Q634" s="34" t="str">
        <f aca="false">IF($P634="","",IF($N634&lt;&gt;"",$N634,$J634))</f>
        <v/>
      </c>
      <c r="R634" s="35" t="str">
        <f aca="false">IF(OR($P634="",$Q634=""),"",INDEX(BookRate,629)*$P634*(5-MATCH($Q634,{"Q1";"Q2";"Q3";"Q4"},0))/4+INDEX(BookOneOff,629)*$P634)</f>
        <v/>
      </c>
      <c r="S634" s="35" t="str">
        <f aca="false">IF($P634="","",INDEX(BookRate,629)*$P634)</f>
        <v/>
      </c>
      <c r="T634" s="35" t="str">
        <f aca="false">IF($R634="","",$R634-$K634)</f>
        <v/>
      </c>
      <c r="U634" s="35" t="str">
        <f aca="false">IF(N($P634)&lt;=0,"",COUNTIF($P$6:$P634,"&gt;0"))</f>
        <v/>
      </c>
    </row>
    <row r="635" customFormat="false" ht="15" hidden="false" customHeight="false" outlineLevel="0" collapsed="false">
      <c r="A635" s="40" t="str">
        <f aca="false">IF(INDEX(BookTitle,630)="","",INDEX(BookGroup,630))</f>
        <v/>
      </c>
      <c r="B635" s="40" t="str">
        <f aca="false">IF(INDEX(BookTitle,630)="","",INDEX(BookRef,630))</f>
        <v/>
      </c>
      <c r="C635" s="40" t="str">
        <f aca="false">IF(INDEX(BookTitle,630)="","",INDEX(BookDivision,630))</f>
        <v/>
      </c>
      <c r="D635" s="40" t="str">
        <f aca="false">IF(INDEX(BookTitle,630)="","",INDEX(BookUnit,630))</f>
        <v/>
      </c>
      <c r="E635" s="40" t="str">
        <f aca="false">IF(INDEX(BookTitle,630)="","",INDEX(BookTitle,630))</f>
        <v/>
      </c>
      <c r="F635" s="40" t="str">
        <f aca="false">IF(INDEX(BookTitle,630)="","",INDEX(BookLevel,630))</f>
        <v/>
      </c>
      <c r="G635" s="40" t="str">
        <f aca="false">IF(INDEX(BookTitle,630)="","",INDEX(BookCategory,630))</f>
        <v/>
      </c>
      <c r="H635" s="40" t="str">
        <f aca="false">IF(INDEX(BookTitle,630)="","",INDEX(BookRank,630))</f>
        <v/>
      </c>
      <c r="I635" s="41" t="str">
        <f aca="false">IF(INDEX(BookTitle,630)="","",INDEX(BookTotal,630))</f>
        <v/>
      </c>
      <c r="J635" s="0" t="str">
        <f aca="false">IF($I635="","",IF(INDEX(BookQ1,630)&gt;0,"Q1",IF(INDEX(BookQ2,630)&gt;0,"Q2",IF(INDEX(BookQ3,630)&gt;0,"Q3",IF(INDEX(BookQ4,630)&gt;0,"Q4","")))))</f>
        <v/>
      </c>
      <c r="K635" s="42" t="str">
        <f aca="false">IF(INDEX(BookTitle,630)="","",INDEX(BookInYear,630))</f>
        <v/>
      </c>
      <c r="L635" s="19"/>
      <c r="M635" s="39"/>
      <c r="N635" s="19"/>
      <c r="O635" s="19"/>
      <c r="P635" s="43" t="str">
        <f aca="false">IF($E635="","",IF($L635="Decline",0,IF($L635="Approve fewer",IF($M635="","",$M635),IF($L635="","",$I635))))</f>
        <v/>
      </c>
      <c r="Q635" s="34" t="str">
        <f aca="false">IF($P635="","",IF($N635&lt;&gt;"",$N635,$J635))</f>
        <v/>
      </c>
      <c r="R635" s="35" t="str">
        <f aca="false">IF(OR($P635="",$Q635=""),"",INDEX(BookRate,630)*$P635*(5-MATCH($Q635,{"Q1";"Q2";"Q3";"Q4"},0))/4+INDEX(BookOneOff,630)*$P635)</f>
        <v/>
      </c>
      <c r="S635" s="35" t="str">
        <f aca="false">IF($P635="","",INDEX(BookRate,630)*$P635)</f>
        <v/>
      </c>
      <c r="T635" s="35" t="str">
        <f aca="false">IF($R635="","",$R635-$K635)</f>
        <v/>
      </c>
      <c r="U635" s="35" t="str">
        <f aca="false">IF(N($P635)&lt;=0,"",COUNTIF($P$6:$P635,"&gt;0"))</f>
        <v/>
      </c>
    </row>
    <row r="636" customFormat="false" ht="15" hidden="false" customHeight="false" outlineLevel="0" collapsed="false">
      <c r="A636" s="40" t="str">
        <f aca="false">IF(INDEX(BookTitle,631)="","",INDEX(BookGroup,631))</f>
        <v/>
      </c>
      <c r="B636" s="40" t="str">
        <f aca="false">IF(INDEX(BookTitle,631)="","",INDEX(BookRef,631))</f>
        <v/>
      </c>
      <c r="C636" s="40" t="str">
        <f aca="false">IF(INDEX(BookTitle,631)="","",INDEX(BookDivision,631))</f>
        <v/>
      </c>
      <c r="D636" s="40" t="str">
        <f aca="false">IF(INDEX(BookTitle,631)="","",INDEX(BookUnit,631))</f>
        <v/>
      </c>
      <c r="E636" s="40" t="str">
        <f aca="false">IF(INDEX(BookTitle,631)="","",INDEX(BookTitle,631))</f>
        <v/>
      </c>
      <c r="F636" s="40" t="str">
        <f aca="false">IF(INDEX(BookTitle,631)="","",INDEX(BookLevel,631))</f>
        <v/>
      </c>
      <c r="G636" s="40" t="str">
        <f aca="false">IF(INDEX(BookTitle,631)="","",INDEX(BookCategory,631))</f>
        <v/>
      </c>
      <c r="H636" s="40" t="str">
        <f aca="false">IF(INDEX(BookTitle,631)="","",INDEX(BookRank,631))</f>
        <v/>
      </c>
      <c r="I636" s="41" t="str">
        <f aca="false">IF(INDEX(BookTitle,631)="","",INDEX(BookTotal,631))</f>
        <v/>
      </c>
      <c r="J636" s="0" t="str">
        <f aca="false">IF($I636="","",IF(INDEX(BookQ1,631)&gt;0,"Q1",IF(INDEX(BookQ2,631)&gt;0,"Q2",IF(INDEX(BookQ3,631)&gt;0,"Q3",IF(INDEX(BookQ4,631)&gt;0,"Q4","")))))</f>
        <v/>
      </c>
      <c r="K636" s="42" t="str">
        <f aca="false">IF(INDEX(BookTitle,631)="","",INDEX(BookInYear,631))</f>
        <v/>
      </c>
      <c r="L636" s="19"/>
      <c r="M636" s="39"/>
      <c r="N636" s="19"/>
      <c r="O636" s="19"/>
      <c r="P636" s="43" t="str">
        <f aca="false">IF($E636="","",IF($L636="Decline",0,IF($L636="Approve fewer",IF($M636="","",$M636),IF($L636="","",$I636))))</f>
        <v/>
      </c>
      <c r="Q636" s="34" t="str">
        <f aca="false">IF($P636="","",IF($N636&lt;&gt;"",$N636,$J636))</f>
        <v/>
      </c>
      <c r="R636" s="35" t="str">
        <f aca="false">IF(OR($P636="",$Q636=""),"",INDEX(BookRate,631)*$P636*(5-MATCH($Q636,{"Q1";"Q2";"Q3";"Q4"},0))/4+INDEX(BookOneOff,631)*$P636)</f>
        <v/>
      </c>
      <c r="S636" s="35" t="str">
        <f aca="false">IF($P636="","",INDEX(BookRate,631)*$P636)</f>
        <v/>
      </c>
      <c r="T636" s="35" t="str">
        <f aca="false">IF($R636="","",$R636-$K636)</f>
        <v/>
      </c>
      <c r="U636" s="35" t="str">
        <f aca="false">IF(N($P636)&lt;=0,"",COUNTIF($P$6:$P636,"&gt;0"))</f>
        <v/>
      </c>
    </row>
    <row r="637" customFormat="false" ht="15" hidden="false" customHeight="false" outlineLevel="0" collapsed="false">
      <c r="A637" s="40" t="str">
        <f aca="false">IF(INDEX(BookTitle,632)="","",INDEX(BookGroup,632))</f>
        <v/>
      </c>
      <c r="B637" s="40" t="str">
        <f aca="false">IF(INDEX(BookTitle,632)="","",INDEX(BookRef,632))</f>
        <v/>
      </c>
      <c r="C637" s="40" t="str">
        <f aca="false">IF(INDEX(BookTitle,632)="","",INDEX(BookDivision,632))</f>
        <v/>
      </c>
      <c r="D637" s="40" t="str">
        <f aca="false">IF(INDEX(BookTitle,632)="","",INDEX(BookUnit,632))</f>
        <v/>
      </c>
      <c r="E637" s="40" t="str">
        <f aca="false">IF(INDEX(BookTitle,632)="","",INDEX(BookTitle,632))</f>
        <v/>
      </c>
      <c r="F637" s="40" t="str">
        <f aca="false">IF(INDEX(BookTitle,632)="","",INDEX(BookLevel,632))</f>
        <v/>
      </c>
      <c r="G637" s="40" t="str">
        <f aca="false">IF(INDEX(BookTitle,632)="","",INDEX(BookCategory,632))</f>
        <v/>
      </c>
      <c r="H637" s="40" t="str">
        <f aca="false">IF(INDEX(BookTitle,632)="","",INDEX(BookRank,632))</f>
        <v/>
      </c>
      <c r="I637" s="41" t="str">
        <f aca="false">IF(INDEX(BookTitle,632)="","",INDEX(BookTotal,632))</f>
        <v/>
      </c>
      <c r="J637" s="0" t="str">
        <f aca="false">IF($I637="","",IF(INDEX(BookQ1,632)&gt;0,"Q1",IF(INDEX(BookQ2,632)&gt;0,"Q2",IF(INDEX(BookQ3,632)&gt;0,"Q3",IF(INDEX(BookQ4,632)&gt;0,"Q4","")))))</f>
        <v/>
      </c>
      <c r="K637" s="42" t="str">
        <f aca="false">IF(INDEX(BookTitle,632)="","",INDEX(BookInYear,632))</f>
        <v/>
      </c>
      <c r="L637" s="19"/>
      <c r="M637" s="39"/>
      <c r="N637" s="19"/>
      <c r="O637" s="19"/>
      <c r="P637" s="43" t="str">
        <f aca="false">IF($E637="","",IF($L637="Decline",0,IF($L637="Approve fewer",IF($M637="","",$M637),IF($L637="","",$I637))))</f>
        <v/>
      </c>
      <c r="Q637" s="34" t="str">
        <f aca="false">IF($P637="","",IF($N637&lt;&gt;"",$N637,$J637))</f>
        <v/>
      </c>
      <c r="R637" s="35" t="str">
        <f aca="false">IF(OR($P637="",$Q637=""),"",INDEX(BookRate,632)*$P637*(5-MATCH($Q637,{"Q1";"Q2";"Q3";"Q4"},0))/4+INDEX(BookOneOff,632)*$P637)</f>
        <v/>
      </c>
      <c r="S637" s="35" t="str">
        <f aca="false">IF($P637="","",INDEX(BookRate,632)*$P637)</f>
        <v/>
      </c>
      <c r="T637" s="35" t="str">
        <f aca="false">IF($R637="","",$R637-$K637)</f>
        <v/>
      </c>
      <c r="U637" s="35" t="str">
        <f aca="false">IF(N($P637)&lt;=0,"",COUNTIF($P$6:$P637,"&gt;0"))</f>
        <v/>
      </c>
    </row>
    <row r="638" customFormat="false" ht="15" hidden="false" customHeight="false" outlineLevel="0" collapsed="false">
      <c r="A638" s="40" t="str">
        <f aca="false">IF(INDEX(BookTitle,633)="","",INDEX(BookGroup,633))</f>
        <v/>
      </c>
      <c r="B638" s="40" t="str">
        <f aca="false">IF(INDEX(BookTitle,633)="","",INDEX(BookRef,633))</f>
        <v/>
      </c>
      <c r="C638" s="40" t="str">
        <f aca="false">IF(INDEX(BookTitle,633)="","",INDEX(BookDivision,633))</f>
        <v/>
      </c>
      <c r="D638" s="40" t="str">
        <f aca="false">IF(INDEX(BookTitle,633)="","",INDEX(BookUnit,633))</f>
        <v/>
      </c>
      <c r="E638" s="40" t="str">
        <f aca="false">IF(INDEX(BookTitle,633)="","",INDEX(BookTitle,633))</f>
        <v/>
      </c>
      <c r="F638" s="40" t="str">
        <f aca="false">IF(INDEX(BookTitle,633)="","",INDEX(BookLevel,633))</f>
        <v/>
      </c>
      <c r="G638" s="40" t="str">
        <f aca="false">IF(INDEX(BookTitle,633)="","",INDEX(BookCategory,633))</f>
        <v/>
      </c>
      <c r="H638" s="40" t="str">
        <f aca="false">IF(INDEX(BookTitle,633)="","",INDEX(BookRank,633))</f>
        <v/>
      </c>
      <c r="I638" s="41" t="str">
        <f aca="false">IF(INDEX(BookTitle,633)="","",INDEX(BookTotal,633))</f>
        <v/>
      </c>
      <c r="J638" s="0" t="str">
        <f aca="false">IF($I638="","",IF(INDEX(BookQ1,633)&gt;0,"Q1",IF(INDEX(BookQ2,633)&gt;0,"Q2",IF(INDEX(BookQ3,633)&gt;0,"Q3",IF(INDEX(BookQ4,633)&gt;0,"Q4","")))))</f>
        <v/>
      </c>
      <c r="K638" s="42" t="str">
        <f aca="false">IF(INDEX(BookTitle,633)="","",INDEX(BookInYear,633))</f>
        <v/>
      </c>
      <c r="L638" s="19"/>
      <c r="M638" s="39"/>
      <c r="N638" s="19"/>
      <c r="O638" s="19"/>
      <c r="P638" s="43" t="str">
        <f aca="false">IF($E638="","",IF($L638="Decline",0,IF($L638="Approve fewer",IF($M638="","",$M638),IF($L638="","",$I638))))</f>
        <v/>
      </c>
      <c r="Q638" s="34" t="str">
        <f aca="false">IF($P638="","",IF($N638&lt;&gt;"",$N638,$J638))</f>
        <v/>
      </c>
      <c r="R638" s="35" t="str">
        <f aca="false">IF(OR($P638="",$Q638=""),"",INDEX(BookRate,633)*$P638*(5-MATCH($Q638,{"Q1";"Q2";"Q3";"Q4"},0))/4+INDEX(BookOneOff,633)*$P638)</f>
        <v/>
      </c>
      <c r="S638" s="35" t="str">
        <f aca="false">IF($P638="","",INDEX(BookRate,633)*$P638)</f>
        <v/>
      </c>
      <c r="T638" s="35" t="str">
        <f aca="false">IF($R638="","",$R638-$K638)</f>
        <v/>
      </c>
      <c r="U638" s="35" t="str">
        <f aca="false">IF(N($P638)&lt;=0,"",COUNTIF($P$6:$P638,"&gt;0"))</f>
        <v/>
      </c>
    </row>
    <row r="639" customFormat="false" ht="15" hidden="false" customHeight="false" outlineLevel="0" collapsed="false">
      <c r="A639" s="40" t="str">
        <f aca="false">IF(INDEX(BookTitle,634)="","",INDEX(BookGroup,634))</f>
        <v/>
      </c>
      <c r="B639" s="40" t="str">
        <f aca="false">IF(INDEX(BookTitle,634)="","",INDEX(BookRef,634))</f>
        <v/>
      </c>
      <c r="C639" s="40" t="str">
        <f aca="false">IF(INDEX(BookTitle,634)="","",INDEX(BookDivision,634))</f>
        <v/>
      </c>
      <c r="D639" s="40" t="str">
        <f aca="false">IF(INDEX(BookTitle,634)="","",INDEX(BookUnit,634))</f>
        <v/>
      </c>
      <c r="E639" s="40" t="str">
        <f aca="false">IF(INDEX(BookTitle,634)="","",INDEX(BookTitle,634))</f>
        <v/>
      </c>
      <c r="F639" s="40" t="str">
        <f aca="false">IF(INDEX(BookTitle,634)="","",INDEX(BookLevel,634))</f>
        <v/>
      </c>
      <c r="G639" s="40" t="str">
        <f aca="false">IF(INDEX(BookTitle,634)="","",INDEX(BookCategory,634))</f>
        <v/>
      </c>
      <c r="H639" s="40" t="str">
        <f aca="false">IF(INDEX(BookTitle,634)="","",INDEX(BookRank,634))</f>
        <v/>
      </c>
      <c r="I639" s="41" t="str">
        <f aca="false">IF(INDEX(BookTitle,634)="","",INDEX(BookTotal,634))</f>
        <v/>
      </c>
      <c r="J639" s="0" t="str">
        <f aca="false">IF($I639="","",IF(INDEX(BookQ1,634)&gt;0,"Q1",IF(INDEX(BookQ2,634)&gt;0,"Q2",IF(INDEX(BookQ3,634)&gt;0,"Q3",IF(INDEX(BookQ4,634)&gt;0,"Q4","")))))</f>
        <v/>
      </c>
      <c r="K639" s="42" t="str">
        <f aca="false">IF(INDEX(BookTitle,634)="","",INDEX(BookInYear,634))</f>
        <v/>
      </c>
      <c r="L639" s="19"/>
      <c r="M639" s="39"/>
      <c r="N639" s="19"/>
      <c r="O639" s="19"/>
      <c r="P639" s="43" t="str">
        <f aca="false">IF($E639="","",IF($L639="Decline",0,IF($L639="Approve fewer",IF($M639="","",$M639),IF($L639="","",$I639))))</f>
        <v/>
      </c>
      <c r="Q639" s="34" t="str">
        <f aca="false">IF($P639="","",IF($N639&lt;&gt;"",$N639,$J639))</f>
        <v/>
      </c>
      <c r="R639" s="35" t="str">
        <f aca="false">IF(OR($P639="",$Q639=""),"",INDEX(BookRate,634)*$P639*(5-MATCH($Q639,{"Q1";"Q2";"Q3";"Q4"},0))/4+INDEX(BookOneOff,634)*$P639)</f>
        <v/>
      </c>
      <c r="S639" s="35" t="str">
        <f aca="false">IF($P639="","",INDEX(BookRate,634)*$P639)</f>
        <v/>
      </c>
      <c r="T639" s="35" t="str">
        <f aca="false">IF($R639="","",$R639-$K639)</f>
        <v/>
      </c>
      <c r="U639" s="35" t="str">
        <f aca="false">IF(N($P639)&lt;=0,"",COUNTIF($P$6:$P639,"&gt;0"))</f>
        <v/>
      </c>
    </row>
    <row r="640" customFormat="false" ht="15" hidden="false" customHeight="false" outlineLevel="0" collapsed="false">
      <c r="A640" s="40" t="str">
        <f aca="false">IF(INDEX(BookTitle,635)="","",INDEX(BookGroup,635))</f>
        <v/>
      </c>
      <c r="B640" s="40" t="str">
        <f aca="false">IF(INDEX(BookTitle,635)="","",INDEX(BookRef,635))</f>
        <v/>
      </c>
      <c r="C640" s="40" t="str">
        <f aca="false">IF(INDEX(BookTitle,635)="","",INDEX(BookDivision,635))</f>
        <v/>
      </c>
      <c r="D640" s="40" t="str">
        <f aca="false">IF(INDEX(BookTitle,635)="","",INDEX(BookUnit,635))</f>
        <v/>
      </c>
      <c r="E640" s="40" t="str">
        <f aca="false">IF(INDEX(BookTitle,635)="","",INDEX(BookTitle,635))</f>
        <v/>
      </c>
      <c r="F640" s="40" t="str">
        <f aca="false">IF(INDEX(BookTitle,635)="","",INDEX(BookLevel,635))</f>
        <v/>
      </c>
      <c r="G640" s="40" t="str">
        <f aca="false">IF(INDEX(BookTitle,635)="","",INDEX(BookCategory,635))</f>
        <v/>
      </c>
      <c r="H640" s="40" t="str">
        <f aca="false">IF(INDEX(BookTitle,635)="","",INDEX(BookRank,635))</f>
        <v/>
      </c>
      <c r="I640" s="41" t="str">
        <f aca="false">IF(INDEX(BookTitle,635)="","",INDEX(BookTotal,635))</f>
        <v/>
      </c>
      <c r="J640" s="0" t="str">
        <f aca="false">IF($I640="","",IF(INDEX(BookQ1,635)&gt;0,"Q1",IF(INDEX(BookQ2,635)&gt;0,"Q2",IF(INDEX(BookQ3,635)&gt;0,"Q3",IF(INDEX(BookQ4,635)&gt;0,"Q4","")))))</f>
        <v/>
      </c>
      <c r="K640" s="42" t="str">
        <f aca="false">IF(INDEX(BookTitle,635)="","",INDEX(BookInYear,635))</f>
        <v/>
      </c>
      <c r="L640" s="19"/>
      <c r="M640" s="39"/>
      <c r="N640" s="19"/>
      <c r="O640" s="19"/>
      <c r="P640" s="43" t="str">
        <f aca="false">IF($E640="","",IF($L640="Decline",0,IF($L640="Approve fewer",IF($M640="","",$M640),IF($L640="","",$I640))))</f>
        <v/>
      </c>
      <c r="Q640" s="34" t="str">
        <f aca="false">IF($P640="","",IF($N640&lt;&gt;"",$N640,$J640))</f>
        <v/>
      </c>
      <c r="R640" s="35" t="str">
        <f aca="false">IF(OR($P640="",$Q640=""),"",INDEX(BookRate,635)*$P640*(5-MATCH($Q640,{"Q1";"Q2";"Q3";"Q4"},0))/4+INDEX(BookOneOff,635)*$P640)</f>
        <v/>
      </c>
      <c r="S640" s="35" t="str">
        <f aca="false">IF($P640="","",INDEX(BookRate,635)*$P640)</f>
        <v/>
      </c>
      <c r="T640" s="35" t="str">
        <f aca="false">IF($R640="","",$R640-$K640)</f>
        <v/>
      </c>
      <c r="U640" s="35" t="str">
        <f aca="false">IF(N($P640)&lt;=0,"",COUNTIF($P$6:$P640,"&gt;0"))</f>
        <v/>
      </c>
    </row>
    <row r="641" customFormat="false" ht="15" hidden="false" customHeight="false" outlineLevel="0" collapsed="false">
      <c r="A641" s="40" t="str">
        <f aca="false">IF(INDEX(BookTitle,636)="","",INDEX(BookGroup,636))</f>
        <v/>
      </c>
      <c r="B641" s="40" t="str">
        <f aca="false">IF(INDEX(BookTitle,636)="","",INDEX(BookRef,636))</f>
        <v/>
      </c>
      <c r="C641" s="40" t="str">
        <f aca="false">IF(INDEX(BookTitle,636)="","",INDEX(BookDivision,636))</f>
        <v/>
      </c>
      <c r="D641" s="40" t="str">
        <f aca="false">IF(INDEX(BookTitle,636)="","",INDEX(BookUnit,636))</f>
        <v/>
      </c>
      <c r="E641" s="40" t="str">
        <f aca="false">IF(INDEX(BookTitle,636)="","",INDEX(BookTitle,636))</f>
        <v/>
      </c>
      <c r="F641" s="40" t="str">
        <f aca="false">IF(INDEX(BookTitle,636)="","",INDEX(BookLevel,636))</f>
        <v/>
      </c>
      <c r="G641" s="40" t="str">
        <f aca="false">IF(INDEX(BookTitle,636)="","",INDEX(BookCategory,636))</f>
        <v/>
      </c>
      <c r="H641" s="40" t="str">
        <f aca="false">IF(INDEX(BookTitle,636)="","",INDEX(BookRank,636))</f>
        <v/>
      </c>
      <c r="I641" s="41" t="str">
        <f aca="false">IF(INDEX(BookTitle,636)="","",INDEX(BookTotal,636))</f>
        <v/>
      </c>
      <c r="J641" s="0" t="str">
        <f aca="false">IF($I641="","",IF(INDEX(BookQ1,636)&gt;0,"Q1",IF(INDEX(BookQ2,636)&gt;0,"Q2",IF(INDEX(BookQ3,636)&gt;0,"Q3",IF(INDEX(BookQ4,636)&gt;0,"Q4","")))))</f>
        <v/>
      </c>
      <c r="K641" s="42" t="str">
        <f aca="false">IF(INDEX(BookTitle,636)="","",INDEX(BookInYear,636))</f>
        <v/>
      </c>
      <c r="L641" s="19"/>
      <c r="M641" s="39"/>
      <c r="N641" s="19"/>
      <c r="O641" s="19"/>
      <c r="P641" s="43" t="str">
        <f aca="false">IF($E641="","",IF($L641="Decline",0,IF($L641="Approve fewer",IF($M641="","",$M641),IF($L641="","",$I641))))</f>
        <v/>
      </c>
      <c r="Q641" s="34" t="str">
        <f aca="false">IF($P641="","",IF($N641&lt;&gt;"",$N641,$J641))</f>
        <v/>
      </c>
      <c r="R641" s="35" t="str">
        <f aca="false">IF(OR($P641="",$Q641=""),"",INDEX(BookRate,636)*$P641*(5-MATCH($Q641,{"Q1";"Q2";"Q3";"Q4"},0))/4+INDEX(BookOneOff,636)*$P641)</f>
        <v/>
      </c>
      <c r="S641" s="35" t="str">
        <f aca="false">IF($P641="","",INDEX(BookRate,636)*$P641)</f>
        <v/>
      </c>
      <c r="T641" s="35" t="str">
        <f aca="false">IF($R641="","",$R641-$K641)</f>
        <v/>
      </c>
      <c r="U641" s="35" t="str">
        <f aca="false">IF(N($P641)&lt;=0,"",COUNTIF($P$6:$P641,"&gt;0"))</f>
        <v/>
      </c>
    </row>
    <row r="642" customFormat="false" ht="15" hidden="false" customHeight="false" outlineLevel="0" collapsed="false">
      <c r="A642" s="40" t="str">
        <f aca="false">IF(INDEX(BookTitle,637)="","",INDEX(BookGroup,637))</f>
        <v/>
      </c>
      <c r="B642" s="40" t="str">
        <f aca="false">IF(INDEX(BookTitle,637)="","",INDEX(BookRef,637))</f>
        <v/>
      </c>
      <c r="C642" s="40" t="str">
        <f aca="false">IF(INDEX(BookTitle,637)="","",INDEX(BookDivision,637))</f>
        <v/>
      </c>
      <c r="D642" s="40" t="str">
        <f aca="false">IF(INDEX(BookTitle,637)="","",INDEX(BookUnit,637))</f>
        <v/>
      </c>
      <c r="E642" s="40" t="str">
        <f aca="false">IF(INDEX(BookTitle,637)="","",INDEX(BookTitle,637))</f>
        <v/>
      </c>
      <c r="F642" s="40" t="str">
        <f aca="false">IF(INDEX(BookTitle,637)="","",INDEX(BookLevel,637))</f>
        <v/>
      </c>
      <c r="G642" s="40" t="str">
        <f aca="false">IF(INDEX(BookTitle,637)="","",INDEX(BookCategory,637))</f>
        <v/>
      </c>
      <c r="H642" s="40" t="str">
        <f aca="false">IF(INDEX(BookTitle,637)="","",INDEX(BookRank,637))</f>
        <v/>
      </c>
      <c r="I642" s="41" t="str">
        <f aca="false">IF(INDEX(BookTitle,637)="","",INDEX(BookTotal,637))</f>
        <v/>
      </c>
      <c r="J642" s="0" t="str">
        <f aca="false">IF($I642="","",IF(INDEX(BookQ1,637)&gt;0,"Q1",IF(INDEX(BookQ2,637)&gt;0,"Q2",IF(INDEX(BookQ3,637)&gt;0,"Q3",IF(INDEX(BookQ4,637)&gt;0,"Q4","")))))</f>
        <v/>
      </c>
      <c r="K642" s="42" t="str">
        <f aca="false">IF(INDEX(BookTitle,637)="","",INDEX(BookInYear,637))</f>
        <v/>
      </c>
      <c r="L642" s="19"/>
      <c r="M642" s="39"/>
      <c r="N642" s="19"/>
      <c r="O642" s="19"/>
      <c r="P642" s="43" t="str">
        <f aca="false">IF($E642="","",IF($L642="Decline",0,IF($L642="Approve fewer",IF($M642="","",$M642),IF($L642="","",$I642))))</f>
        <v/>
      </c>
      <c r="Q642" s="34" t="str">
        <f aca="false">IF($P642="","",IF($N642&lt;&gt;"",$N642,$J642))</f>
        <v/>
      </c>
      <c r="R642" s="35" t="str">
        <f aca="false">IF(OR($P642="",$Q642=""),"",INDEX(BookRate,637)*$P642*(5-MATCH($Q642,{"Q1";"Q2";"Q3";"Q4"},0))/4+INDEX(BookOneOff,637)*$P642)</f>
        <v/>
      </c>
      <c r="S642" s="35" t="str">
        <f aca="false">IF($P642="","",INDEX(BookRate,637)*$P642)</f>
        <v/>
      </c>
      <c r="T642" s="35" t="str">
        <f aca="false">IF($R642="","",$R642-$K642)</f>
        <v/>
      </c>
      <c r="U642" s="35" t="str">
        <f aca="false">IF(N($P642)&lt;=0,"",COUNTIF($P$6:$P642,"&gt;0"))</f>
        <v/>
      </c>
    </row>
    <row r="643" customFormat="false" ht="15" hidden="false" customHeight="false" outlineLevel="0" collapsed="false">
      <c r="A643" s="40" t="str">
        <f aca="false">IF(INDEX(BookTitle,638)="","",INDEX(BookGroup,638))</f>
        <v/>
      </c>
      <c r="B643" s="40" t="str">
        <f aca="false">IF(INDEX(BookTitle,638)="","",INDEX(BookRef,638))</f>
        <v/>
      </c>
      <c r="C643" s="40" t="str">
        <f aca="false">IF(INDEX(BookTitle,638)="","",INDEX(BookDivision,638))</f>
        <v/>
      </c>
      <c r="D643" s="40" t="str">
        <f aca="false">IF(INDEX(BookTitle,638)="","",INDEX(BookUnit,638))</f>
        <v/>
      </c>
      <c r="E643" s="40" t="str">
        <f aca="false">IF(INDEX(BookTitle,638)="","",INDEX(BookTitle,638))</f>
        <v/>
      </c>
      <c r="F643" s="40" t="str">
        <f aca="false">IF(INDEX(BookTitle,638)="","",INDEX(BookLevel,638))</f>
        <v/>
      </c>
      <c r="G643" s="40" t="str">
        <f aca="false">IF(INDEX(BookTitle,638)="","",INDEX(BookCategory,638))</f>
        <v/>
      </c>
      <c r="H643" s="40" t="str">
        <f aca="false">IF(INDEX(BookTitle,638)="","",INDEX(BookRank,638))</f>
        <v/>
      </c>
      <c r="I643" s="41" t="str">
        <f aca="false">IF(INDEX(BookTitle,638)="","",INDEX(BookTotal,638))</f>
        <v/>
      </c>
      <c r="J643" s="0" t="str">
        <f aca="false">IF($I643="","",IF(INDEX(BookQ1,638)&gt;0,"Q1",IF(INDEX(BookQ2,638)&gt;0,"Q2",IF(INDEX(BookQ3,638)&gt;0,"Q3",IF(INDEX(BookQ4,638)&gt;0,"Q4","")))))</f>
        <v/>
      </c>
      <c r="K643" s="42" t="str">
        <f aca="false">IF(INDEX(BookTitle,638)="","",INDEX(BookInYear,638))</f>
        <v/>
      </c>
      <c r="L643" s="19"/>
      <c r="M643" s="39"/>
      <c r="N643" s="19"/>
      <c r="O643" s="19"/>
      <c r="P643" s="43" t="str">
        <f aca="false">IF($E643="","",IF($L643="Decline",0,IF($L643="Approve fewer",IF($M643="","",$M643),IF($L643="","",$I643))))</f>
        <v/>
      </c>
      <c r="Q643" s="34" t="str">
        <f aca="false">IF($P643="","",IF($N643&lt;&gt;"",$N643,$J643))</f>
        <v/>
      </c>
      <c r="R643" s="35" t="str">
        <f aca="false">IF(OR($P643="",$Q643=""),"",INDEX(BookRate,638)*$P643*(5-MATCH($Q643,{"Q1";"Q2";"Q3";"Q4"},0))/4+INDEX(BookOneOff,638)*$P643)</f>
        <v/>
      </c>
      <c r="S643" s="35" t="str">
        <f aca="false">IF($P643="","",INDEX(BookRate,638)*$P643)</f>
        <v/>
      </c>
      <c r="T643" s="35" t="str">
        <f aca="false">IF($R643="","",$R643-$K643)</f>
        <v/>
      </c>
      <c r="U643" s="35" t="str">
        <f aca="false">IF(N($P643)&lt;=0,"",COUNTIF($P$6:$P643,"&gt;0"))</f>
        <v/>
      </c>
    </row>
    <row r="644" customFormat="false" ht="15" hidden="false" customHeight="false" outlineLevel="0" collapsed="false">
      <c r="A644" s="40" t="str">
        <f aca="false">IF(INDEX(BookTitle,639)="","",INDEX(BookGroup,639))</f>
        <v/>
      </c>
      <c r="B644" s="40" t="str">
        <f aca="false">IF(INDEX(BookTitle,639)="","",INDEX(BookRef,639))</f>
        <v/>
      </c>
      <c r="C644" s="40" t="str">
        <f aca="false">IF(INDEX(BookTitle,639)="","",INDEX(BookDivision,639))</f>
        <v/>
      </c>
      <c r="D644" s="40" t="str">
        <f aca="false">IF(INDEX(BookTitle,639)="","",INDEX(BookUnit,639))</f>
        <v/>
      </c>
      <c r="E644" s="40" t="str">
        <f aca="false">IF(INDEX(BookTitle,639)="","",INDEX(BookTitle,639))</f>
        <v/>
      </c>
      <c r="F644" s="40" t="str">
        <f aca="false">IF(INDEX(BookTitle,639)="","",INDEX(BookLevel,639))</f>
        <v/>
      </c>
      <c r="G644" s="40" t="str">
        <f aca="false">IF(INDEX(BookTitle,639)="","",INDEX(BookCategory,639))</f>
        <v/>
      </c>
      <c r="H644" s="40" t="str">
        <f aca="false">IF(INDEX(BookTitle,639)="","",INDEX(BookRank,639))</f>
        <v/>
      </c>
      <c r="I644" s="41" t="str">
        <f aca="false">IF(INDEX(BookTitle,639)="","",INDEX(BookTotal,639))</f>
        <v/>
      </c>
      <c r="J644" s="0" t="str">
        <f aca="false">IF($I644="","",IF(INDEX(BookQ1,639)&gt;0,"Q1",IF(INDEX(BookQ2,639)&gt;0,"Q2",IF(INDEX(BookQ3,639)&gt;0,"Q3",IF(INDEX(BookQ4,639)&gt;0,"Q4","")))))</f>
        <v/>
      </c>
      <c r="K644" s="42" t="str">
        <f aca="false">IF(INDEX(BookTitle,639)="","",INDEX(BookInYear,639))</f>
        <v/>
      </c>
      <c r="L644" s="19"/>
      <c r="M644" s="39"/>
      <c r="N644" s="19"/>
      <c r="O644" s="19"/>
      <c r="P644" s="43" t="str">
        <f aca="false">IF($E644="","",IF($L644="Decline",0,IF($L644="Approve fewer",IF($M644="","",$M644),IF($L644="","",$I644))))</f>
        <v/>
      </c>
      <c r="Q644" s="34" t="str">
        <f aca="false">IF($P644="","",IF($N644&lt;&gt;"",$N644,$J644))</f>
        <v/>
      </c>
      <c r="R644" s="35" t="str">
        <f aca="false">IF(OR($P644="",$Q644=""),"",INDEX(BookRate,639)*$P644*(5-MATCH($Q644,{"Q1";"Q2";"Q3";"Q4"},0))/4+INDEX(BookOneOff,639)*$P644)</f>
        <v/>
      </c>
      <c r="S644" s="35" t="str">
        <f aca="false">IF($P644="","",INDEX(BookRate,639)*$P644)</f>
        <v/>
      </c>
      <c r="T644" s="35" t="str">
        <f aca="false">IF($R644="","",$R644-$K644)</f>
        <v/>
      </c>
      <c r="U644" s="35" t="str">
        <f aca="false">IF(N($P644)&lt;=0,"",COUNTIF($P$6:$P644,"&gt;0"))</f>
        <v/>
      </c>
    </row>
    <row r="645" customFormat="false" ht="15" hidden="false" customHeight="false" outlineLevel="0" collapsed="false">
      <c r="A645" s="40" t="str">
        <f aca="false">IF(INDEX(BookTitle,640)="","",INDEX(BookGroup,640))</f>
        <v/>
      </c>
      <c r="B645" s="40" t="str">
        <f aca="false">IF(INDEX(BookTitle,640)="","",INDEX(BookRef,640))</f>
        <v/>
      </c>
      <c r="C645" s="40" t="str">
        <f aca="false">IF(INDEX(BookTitle,640)="","",INDEX(BookDivision,640))</f>
        <v/>
      </c>
      <c r="D645" s="40" t="str">
        <f aca="false">IF(INDEX(BookTitle,640)="","",INDEX(BookUnit,640))</f>
        <v/>
      </c>
      <c r="E645" s="40" t="str">
        <f aca="false">IF(INDEX(BookTitle,640)="","",INDEX(BookTitle,640))</f>
        <v/>
      </c>
      <c r="F645" s="40" t="str">
        <f aca="false">IF(INDEX(BookTitle,640)="","",INDEX(BookLevel,640))</f>
        <v/>
      </c>
      <c r="G645" s="40" t="str">
        <f aca="false">IF(INDEX(BookTitle,640)="","",INDEX(BookCategory,640))</f>
        <v/>
      </c>
      <c r="H645" s="40" t="str">
        <f aca="false">IF(INDEX(BookTitle,640)="","",INDEX(BookRank,640))</f>
        <v/>
      </c>
      <c r="I645" s="41" t="str">
        <f aca="false">IF(INDEX(BookTitle,640)="","",INDEX(BookTotal,640))</f>
        <v/>
      </c>
      <c r="J645" s="0" t="str">
        <f aca="false">IF($I645="","",IF(INDEX(BookQ1,640)&gt;0,"Q1",IF(INDEX(BookQ2,640)&gt;0,"Q2",IF(INDEX(BookQ3,640)&gt;0,"Q3",IF(INDEX(BookQ4,640)&gt;0,"Q4","")))))</f>
        <v/>
      </c>
      <c r="K645" s="42" t="str">
        <f aca="false">IF(INDEX(BookTitle,640)="","",INDEX(BookInYear,640))</f>
        <v/>
      </c>
      <c r="L645" s="19"/>
      <c r="M645" s="39"/>
      <c r="N645" s="19"/>
      <c r="O645" s="19"/>
      <c r="P645" s="43" t="str">
        <f aca="false">IF($E645="","",IF($L645="Decline",0,IF($L645="Approve fewer",IF($M645="","",$M645),IF($L645="","",$I645))))</f>
        <v/>
      </c>
      <c r="Q645" s="34" t="str">
        <f aca="false">IF($P645="","",IF($N645&lt;&gt;"",$N645,$J645))</f>
        <v/>
      </c>
      <c r="R645" s="35" t="str">
        <f aca="false">IF(OR($P645="",$Q645=""),"",INDEX(BookRate,640)*$P645*(5-MATCH($Q645,{"Q1";"Q2";"Q3";"Q4"},0))/4+INDEX(BookOneOff,640)*$P645)</f>
        <v/>
      </c>
      <c r="S645" s="35" t="str">
        <f aca="false">IF($P645="","",INDEX(BookRate,640)*$P645)</f>
        <v/>
      </c>
      <c r="T645" s="35" t="str">
        <f aca="false">IF($R645="","",$R645-$K645)</f>
        <v/>
      </c>
      <c r="U645" s="35" t="str">
        <f aca="false">IF(N($P645)&lt;=0,"",COUNTIF($P$6:$P645,"&gt;0"))</f>
        <v/>
      </c>
    </row>
    <row r="646" customFormat="false" ht="15" hidden="false" customHeight="false" outlineLevel="0" collapsed="false">
      <c r="A646" s="40" t="str">
        <f aca="false">IF(INDEX(BookTitle,641)="","",INDEX(BookGroup,641))</f>
        <v/>
      </c>
      <c r="B646" s="40" t="str">
        <f aca="false">IF(INDEX(BookTitle,641)="","",INDEX(BookRef,641))</f>
        <v/>
      </c>
      <c r="C646" s="40" t="str">
        <f aca="false">IF(INDEX(BookTitle,641)="","",INDEX(BookDivision,641))</f>
        <v/>
      </c>
      <c r="D646" s="40" t="str">
        <f aca="false">IF(INDEX(BookTitle,641)="","",INDEX(BookUnit,641))</f>
        <v/>
      </c>
      <c r="E646" s="40" t="str">
        <f aca="false">IF(INDEX(BookTitle,641)="","",INDEX(BookTitle,641))</f>
        <v/>
      </c>
      <c r="F646" s="40" t="str">
        <f aca="false">IF(INDEX(BookTitle,641)="","",INDEX(BookLevel,641))</f>
        <v/>
      </c>
      <c r="G646" s="40" t="str">
        <f aca="false">IF(INDEX(BookTitle,641)="","",INDEX(BookCategory,641))</f>
        <v/>
      </c>
      <c r="H646" s="40" t="str">
        <f aca="false">IF(INDEX(BookTitle,641)="","",INDEX(BookRank,641))</f>
        <v/>
      </c>
      <c r="I646" s="41" t="str">
        <f aca="false">IF(INDEX(BookTitle,641)="","",INDEX(BookTotal,641))</f>
        <v/>
      </c>
      <c r="J646" s="0" t="str">
        <f aca="false">IF($I646="","",IF(INDEX(BookQ1,641)&gt;0,"Q1",IF(INDEX(BookQ2,641)&gt;0,"Q2",IF(INDEX(BookQ3,641)&gt;0,"Q3",IF(INDEX(BookQ4,641)&gt;0,"Q4","")))))</f>
        <v/>
      </c>
      <c r="K646" s="42" t="str">
        <f aca="false">IF(INDEX(BookTitle,641)="","",INDEX(BookInYear,641))</f>
        <v/>
      </c>
      <c r="L646" s="19"/>
      <c r="M646" s="39"/>
      <c r="N646" s="19"/>
      <c r="O646" s="19"/>
      <c r="P646" s="43" t="str">
        <f aca="false">IF($E646="","",IF($L646="Decline",0,IF($L646="Approve fewer",IF($M646="","",$M646),IF($L646="","",$I646))))</f>
        <v/>
      </c>
      <c r="Q646" s="34" t="str">
        <f aca="false">IF($P646="","",IF($N646&lt;&gt;"",$N646,$J646))</f>
        <v/>
      </c>
      <c r="R646" s="35" t="str">
        <f aca="false">IF(OR($P646="",$Q646=""),"",INDEX(BookRate,641)*$P646*(5-MATCH($Q646,{"Q1";"Q2";"Q3";"Q4"},0))/4+INDEX(BookOneOff,641)*$P646)</f>
        <v/>
      </c>
      <c r="S646" s="35" t="str">
        <f aca="false">IF($P646="","",INDEX(BookRate,641)*$P646)</f>
        <v/>
      </c>
      <c r="T646" s="35" t="str">
        <f aca="false">IF($R646="","",$R646-$K646)</f>
        <v/>
      </c>
      <c r="U646" s="35" t="str">
        <f aca="false">IF(N($P646)&lt;=0,"",COUNTIF($P$6:$P646,"&gt;0"))</f>
        <v/>
      </c>
    </row>
    <row r="647" customFormat="false" ht="15" hidden="false" customHeight="false" outlineLevel="0" collapsed="false">
      <c r="A647" s="40" t="str">
        <f aca="false">IF(INDEX(BookTitle,642)="","",INDEX(BookGroup,642))</f>
        <v/>
      </c>
      <c r="B647" s="40" t="str">
        <f aca="false">IF(INDEX(BookTitle,642)="","",INDEX(BookRef,642))</f>
        <v/>
      </c>
      <c r="C647" s="40" t="str">
        <f aca="false">IF(INDEX(BookTitle,642)="","",INDEX(BookDivision,642))</f>
        <v/>
      </c>
      <c r="D647" s="40" t="str">
        <f aca="false">IF(INDEX(BookTitle,642)="","",INDEX(BookUnit,642))</f>
        <v/>
      </c>
      <c r="E647" s="40" t="str">
        <f aca="false">IF(INDEX(BookTitle,642)="","",INDEX(BookTitle,642))</f>
        <v/>
      </c>
      <c r="F647" s="40" t="str">
        <f aca="false">IF(INDEX(BookTitle,642)="","",INDEX(BookLevel,642))</f>
        <v/>
      </c>
      <c r="G647" s="40" t="str">
        <f aca="false">IF(INDEX(BookTitle,642)="","",INDEX(BookCategory,642))</f>
        <v/>
      </c>
      <c r="H647" s="40" t="str">
        <f aca="false">IF(INDEX(BookTitle,642)="","",INDEX(BookRank,642))</f>
        <v/>
      </c>
      <c r="I647" s="41" t="str">
        <f aca="false">IF(INDEX(BookTitle,642)="","",INDEX(BookTotal,642))</f>
        <v/>
      </c>
      <c r="J647" s="0" t="str">
        <f aca="false">IF($I647="","",IF(INDEX(BookQ1,642)&gt;0,"Q1",IF(INDEX(BookQ2,642)&gt;0,"Q2",IF(INDEX(BookQ3,642)&gt;0,"Q3",IF(INDEX(BookQ4,642)&gt;0,"Q4","")))))</f>
        <v/>
      </c>
      <c r="K647" s="42" t="str">
        <f aca="false">IF(INDEX(BookTitle,642)="","",INDEX(BookInYear,642))</f>
        <v/>
      </c>
      <c r="L647" s="19"/>
      <c r="M647" s="39"/>
      <c r="N647" s="19"/>
      <c r="O647" s="19"/>
      <c r="P647" s="43" t="str">
        <f aca="false">IF($E647="","",IF($L647="Decline",0,IF($L647="Approve fewer",IF($M647="","",$M647),IF($L647="","",$I647))))</f>
        <v/>
      </c>
      <c r="Q647" s="34" t="str">
        <f aca="false">IF($P647="","",IF($N647&lt;&gt;"",$N647,$J647))</f>
        <v/>
      </c>
      <c r="R647" s="35" t="str">
        <f aca="false">IF(OR($P647="",$Q647=""),"",INDEX(BookRate,642)*$P647*(5-MATCH($Q647,{"Q1";"Q2";"Q3";"Q4"},0))/4+INDEX(BookOneOff,642)*$P647)</f>
        <v/>
      </c>
      <c r="S647" s="35" t="str">
        <f aca="false">IF($P647="","",INDEX(BookRate,642)*$P647)</f>
        <v/>
      </c>
      <c r="T647" s="35" t="str">
        <f aca="false">IF($R647="","",$R647-$K647)</f>
        <v/>
      </c>
      <c r="U647" s="35" t="str">
        <f aca="false">IF(N($P647)&lt;=0,"",COUNTIF($P$6:$P647,"&gt;0"))</f>
        <v/>
      </c>
    </row>
    <row r="648" customFormat="false" ht="15" hidden="false" customHeight="false" outlineLevel="0" collapsed="false">
      <c r="A648" s="40" t="str">
        <f aca="false">IF(INDEX(BookTitle,643)="","",INDEX(BookGroup,643))</f>
        <v/>
      </c>
      <c r="B648" s="40" t="str">
        <f aca="false">IF(INDEX(BookTitle,643)="","",INDEX(BookRef,643))</f>
        <v/>
      </c>
      <c r="C648" s="40" t="str">
        <f aca="false">IF(INDEX(BookTitle,643)="","",INDEX(BookDivision,643))</f>
        <v/>
      </c>
      <c r="D648" s="40" t="str">
        <f aca="false">IF(INDEX(BookTitle,643)="","",INDEX(BookUnit,643))</f>
        <v/>
      </c>
      <c r="E648" s="40" t="str">
        <f aca="false">IF(INDEX(BookTitle,643)="","",INDEX(BookTitle,643))</f>
        <v/>
      </c>
      <c r="F648" s="40" t="str">
        <f aca="false">IF(INDEX(BookTitle,643)="","",INDEX(BookLevel,643))</f>
        <v/>
      </c>
      <c r="G648" s="40" t="str">
        <f aca="false">IF(INDEX(BookTitle,643)="","",INDEX(BookCategory,643))</f>
        <v/>
      </c>
      <c r="H648" s="40" t="str">
        <f aca="false">IF(INDEX(BookTitle,643)="","",INDEX(BookRank,643))</f>
        <v/>
      </c>
      <c r="I648" s="41" t="str">
        <f aca="false">IF(INDEX(BookTitle,643)="","",INDEX(BookTotal,643))</f>
        <v/>
      </c>
      <c r="J648" s="0" t="str">
        <f aca="false">IF($I648="","",IF(INDEX(BookQ1,643)&gt;0,"Q1",IF(INDEX(BookQ2,643)&gt;0,"Q2",IF(INDEX(BookQ3,643)&gt;0,"Q3",IF(INDEX(BookQ4,643)&gt;0,"Q4","")))))</f>
        <v/>
      </c>
      <c r="K648" s="42" t="str">
        <f aca="false">IF(INDEX(BookTitle,643)="","",INDEX(BookInYear,643))</f>
        <v/>
      </c>
      <c r="L648" s="19"/>
      <c r="M648" s="39"/>
      <c r="N648" s="19"/>
      <c r="O648" s="19"/>
      <c r="P648" s="43" t="str">
        <f aca="false">IF($E648="","",IF($L648="Decline",0,IF($L648="Approve fewer",IF($M648="","",$M648),IF($L648="","",$I648))))</f>
        <v/>
      </c>
      <c r="Q648" s="34" t="str">
        <f aca="false">IF($P648="","",IF($N648&lt;&gt;"",$N648,$J648))</f>
        <v/>
      </c>
      <c r="R648" s="35" t="str">
        <f aca="false">IF(OR($P648="",$Q648=""),"",INDEX(BookRate,643)*$P648*(5-MATCH($Q648,{"Q1";"Q2";"Q3";"Q4"},0))/4+INDEX(BookOneOff,643)*$P648)</f>
        <v/>
      </c>
      <c r="S648" s="35" t="str">
        <f aca="false">IF($P648="","",INDEX(BookRate,643)*$P648)</f>
        <v/>
      </c>
      <c r="T648" s="35" t="str">
        <f aca="false">IF($R648="","",$R648-$K648)</f>
        <v/>
      </c>
      <c r="U648" s="35" t="str">
        <f aca="false">IF(N($P648)&lt;=0,"",COUNTIF($P$6:$P648,"&gt;0"))</f>
        <v/>
      </c>
    </row>
    <row r="649" customFormat="false" ht="15" hidden="false" customHeight="false" outlineLevel="0" collapsed="false">
      <c r="A649" s="40" t="str">
        <f aca="false">IF(INDEX(BookTitle,644)="","",INDEX(BookGroup,644))</f>
        <v/>
      </c>
      <c r="B649" s="40" t="str">
        <f aca="false">IF(INDEX(BookTitle,644)="","",INDEX(BookRef,644))</f>
        <v/>
      </c>
      <c r="C649" s="40" t="str">
        <f aca="false">IF(INDEX(BookTitle,644)="","",INDEX(BookDivision,644))</f>
        <v/>
      </c>
      <c r="D649" s="40" t="str">
        <f aca="false">IF(INDEX(BookTitle,644)="","",INDEX(BookUnit,644))</f>
        <v/>
      </c>
      <c r="E649" s="40" t="str">
        <f aca="false">IF(INDEX(BookTitle,644)="","",INDEX(BookTitle,644))</f>
        <v/>
      </c>
      <c r="F649" s="40" t="str">
        <f aca="false">IF(INDEX(BookTitle,644)="","",INDEX(BookLevel,644))</f>
        <v/>
      </c>
      <c r="G649" s="40" t="str">
        <f aca="false">IF(INDEX(BookTitle,644)="","",INDEX(BookCategory,644))</f>
        <v/>
      </c>
      <c r="H649" s="40" t="str">
        <f aca="false">IF(INDEX(BookTitle,644)="","",INDEX(BookRank,644))</f>
        <v/>
      </c>
      <c r="I649" s="41" t="str">
        <f aca="false">IF(INDEX(BookTitle,644)="","",INDEX(BookTotal,644))</f>
        <v/>
      </c>
      <c r="J649" s="0" t="str">
        <f aca="false">IF($I649="","",IF(INDEX(BookQ1,644)&gt;0,"Q1",IF(INDEX(BookQ2,644)&gt;0,"Q2",IF(INDEX(BookQ3,644)&gt;0,"Q3",IF(INDEX(BookQ4,644)&gt;0,"Q4","")))))</f>
        <v/>
      </c>
      <c r="K649" s="42" t="str">
        <f aca="false">IF(INDEX(BookTitle,644)="","",INDEX(BookInYear,644))</f>
        <v/>
      </c>
      <c r="L649" s="19"/>
      <c r="M649" s="39"/>
      <c r="N649" s="19"/>
      <c r="O649" s="19"/>
      <c r="P649" s="43" t="str">
        <f aca="false">IF($E649="","",IF($L649="Decline",0,IF($L649="Approve fewer",IF($M649="","",$M649),IF($L649="","",$I649))))</f>
        <v/>
      </c>
      <c r="Q649" s="34" t="str">
        <f aca="false">IF($P649="","",IF($N649&lt;&gt;"",$N649,$J649))</f>
        <v/>
      </c>
      <c r="R649" s="35" t="str">
        <f aca="false">IF(OR($P649="",$Q649=""),"",INDEX(BookRate,644)*$P649*(5-MATCH($Q649,{"Q1";"Q2";"Q3";"Q4"},0))/4+INDEX(BookOneOff,644)*$P649)</f>
        <v/>
      </c>
      <c r="S649" s="35" t="str">
        <f aca="false">IF($P649="","",INDEX(BookRate,644)*$P649)</f>
        <v/>
      </c>
      <c r="T649" s="35" t="str">
        <f aca="false">IF($R649="","",$R649-$K649)</f>
        <v/>
      </c>
      <c r="U649" s="35" t="str">
        <f aca="false">IF(N($P649)&lt;=0,"",COUNTIF($P$6:$P649,"&gt;0"))</f>
        <v/>
      </c>
    </row>
    <row r="650" customFormat="false" ht="15" hidden="false" customHeight="false" outlineLevel="0" collapsed="false">
      <c r="A650" s="40" t="str">
        <f aca="false">IF(INDEX(BookTitle,645)="","",INDEX(BookGroup,645))</f>
        <v/>
      </c>
      <c r="B650" s="40" t="str">
        <f aca="false">IF(INDEX(BookTitle,645)="","",INDEX(BookRef,645))</f>
        <v/>
      </c>
      <c r="C650" s="40" t="str">
        <f aca="false">IF(INDEX(BookTitle,645)="","",INDEX(BookDivision,645))</f>
        <v/>
      </c>
      <c r="D650" s="40" t="str">
        <f aca="false">IF(INDEX(BookTitle,645)="","",INDEX(BookUnit,645))</f>
        <v/>
      </c>
      <c r="E650" s="40" t="str">
        <f aca="false">IF(INDEX(BookTitle,645)="","",INDEX(BookTitle,645))</f>
        <v/>
      </c>
      <c r="F650" s="40" t="str">
        <f aca="false">IF(INDEX(BookTitle,645)="","",INDEX(BookLevel,645))</f>
        <v/>
      </c>
      <c r="G650" s="40" t="str">
        <f aca="false">IF(INDEX(BookTitle,645)="","",INDEX(BookCategory,645))</f>
        <v/>
      </c>
      <c r="H650" s="40" t="str">
        <f aca="false">IF(INDEX(BookTitle,645)="","",INDEX(BookRank,645))</f>
        <v/>
      </c>
      <c r="I650" s="41" t="str">
        <f aca="false">IF(INDEX(BookTitle,645)="","",INDEX(BookTotal,645))</f>
        <v/>
      </c>
      <c r="J650" s="0" t="str">
        <f aca="false">IF($I650="","",IF(INDEX(BookQ1,645)&gt;0,"Q1",IF(INDEX(BookQ2,645)&gt;0,"Q2",IF(INDEX(BookQ3,645)&gt;0,"Q3",IF(INDEX(BookQ4,645)&gt;0,"Q4","")))))</f>
        <v/>
      </c>
      <c r="K650" s="42" t="str">
        <f aca="false">IF(INDEX(BookTitle,645)="","",INDEX(BookInYear,645))</f>
        <v/>
      </c>
      <c r="L650" s="19"/>
      <c r="M650" s="39"/>
      <c r="N650" s="19"/>
      <c r="O650" s="19"/>
      <c r="P650" s="43" t="str">
        <f aca="false">IF($E650="","",IF($L650="Decline",0,IF($L650="Approve fewer",IF($M650="","",$M650),IF($L650="","",$I650))))</f>
        <v/>
      </c>
      <c r="Q650" s="34" t="str">
        <f aca="false">IF($P650="","",IF($N650&lt;&gt;"",$N650,$J650))</f>
        <v/>
      </c>
      <c r="R650" s="35" t="str">
        <f aca="false">IF(OR($P650="",$Q650=""),"",INDEX(BookRate,645)*$P650*(5-MATCH($Q650,{"Q1";"Q2";"Q3";"Q4"},0))/4+INDEX(BookOneOff,645)*$P650)</f>
        <v/>
      </c>
      <c r="S650" s="35" t="str">
        <f aca="false">IF($P650="","",INDEX(BookRate,645)*$P650)</f>
        <v/>
      </c>
      <c r="T650" s="35" t="str">
        <f aca="false">IF($R650="","",$R650-$K650)</f>
        <v/>
      </c>
      <c r="U650" s="35" t="str">
        <f aca="false">IF(N($P650)&lt;=0,"",COUNTIF($P$6:$P650,"&gt;0"))</f>
        <v/>
      </c>
    </row>
    <row r="651" customFormat="false" ht="15" hidden="false" customHeight="false" outlineLevel="0" collapsed="false">
      <c r="A651" s="40" t="str">
        <f aca="false">IF(INDEX(BookTitle,646)="","",INDEX(BookGroup,646))</f>
        <v/>
      </c>
      <c r="B651" s="40" t="str">
        <f aca="false">IF(INDEX(BookTitle,646)="","",INDEX(BookRef,646))</f>
        <v/>
      </c>
      <c r="C651" s="40" t="str">
        <f aca="false">IF(INDEX(BookTitle,646)="","",INDEX(BookDivision,646))</f>
        <v/>
      </c>
      <c r="D651" s="40" t="str">
        <f aca="false">IF(INDEX(BookTitle,646)="","",INDEX(BookUnit,646))</f>
        <v/>
      </c>
      <c r="E651" s="40" t="str">
        <f aca="false">IF(INDEX(BookTitle,646)="","",INDEX(BookTitle,646))</f>
        <v/>
      </c>
      <c r="F651" s="40" t="str">
        <f aca="false">IF(INDEX(BookTitle,646)="","",INDEX(BookLevel,646))</f>
        <v/>
      </c>
      <c r="G651" s="40" t="str">
        <f aca="false">IF(INDEX(BookTitle,646)="","",INDEX(BookCategory,646))</f>
        <v/>
      </c>
      <c r="H651" s="40" t="str">
        <f aca="false">IF(INDEX(BookTitle,646)="","",INDEX(BookRank,646))</f>
        <v/>
      </c>
      <c r="I651" s="41" t="str">
        <f aca="false">IF(INDEX(BookTitle,646)="","",INDEX(BookTotal,646))</f>
        <v/>
      </c>
      <c r="J651" s="0" t="str">
        <f aca="false">IF($I651="","",IF(INDEX(BookQ1,646)&gt;0,"Q1",IF(INDEX(BookQ2,646)&gt;0,"Q2",IF(INDEX(BookQ3,646)&gt;0,"Q3",IF(INDEX(BookQ4,646)&gt;0,"Q4","")))))</f>
        <v/>
      </c>
      <c r="K651" s="42" t="str">
        <f aca="false">IF(INDEX(BookTitle,646)="","",INDEX(BookInYear,646))</f>
        <v/>
      </c>
      <c r="L651" s="19"/>
      <c r="M651" s="39"/>
      <c r="N651" s="19"/>
      <c r="O651" s="19"/>
      <c r="P651" s="43" t="str">
        <f aca="false">IF($E651="","",IF($L651="Decline",0,IF($L651="Approve fewer",IF($M651="","",$M651),IF($L651="","",$I651))))</f>
        <v/>
      </c>
      <c r="Q651" s="34" t="str">
        <f aca="false">IF($P651="","",IF($N651&lt;&gt;"",$N651,$J651))</f>
        <v/>
      </c>
      <c r="R651" s="35" t="str">
        <f aca="false">IF(OR($P651="",$Q651=""),"",INDEX(BookRate,646)*$P651*(5-MATCH($Q651,{"Q1";"Q2";"Q3";"Q4"},0))/4+INDEX(BookOneOff,646)*$P651)</f>
        <v/>
      </c>
      <c r="S651" s="35" t="str">
        <f aca="false">IF($P651="","",INDEX(BookRate,646)*$P651)</f>
        <v/>
      </c>
      <c r="T651" s="35" t="str">
        <f aca="false">IF($R651="","",$R651-$K651)</f>
        <v/>
      </c>
      <c r="U651" s="35" t="str">
        <f aca="false">IF(N($P651)&lt;=0,"",COUNTIF($P$6:$P651,"&gt;0"))</f>
        <v/>
      </c>
    </row>
    <row r="652" customFormat="false" ht="15" hidden="false" customHeight="false" outlineLevel="0" collapsed="false">
      <c r="A652" s="40" t="str">
        <f aca="false">IF(INDEX(BookTitle,647)="","",INDEX(BookGroup,647))</f>
        <v/>
      </c>
      <c r="B652" s="40" t="str">
        <f aca="false">IF(INDEX(BookTitle,647)="","",INDEX(BookRef,647))</f>
        <v/>
      </c>
      <c r="C652" s="40" t="str">
        <f aca="false">IF(INDEX(BookTitle,647)="","",INDEX(BookDivision,647))</f>
        <v/>
      </c>
      <c r="D652" s="40" t="str">
        <f aca="false">IF(INDEX(BookTitle,647)="","",INDEX(BookUnit,647))</f>
        <v/>
      </c>
      <c r="E652" s="40" t="str">
        <f aca="false">IF(INDEX(BookTitle,647)="","",INDEX(BookTitle,647))</f>
        <v/>
      </c>
      <c r="F652" s="40" t="str">
        <f aca="false">IF(INDEX(BookTitle,647)="","",INDEX(BookLevel,647))</f>
        <v/>
      </c>
      <c r="G652" s="40" t="str">
        <f aca="false">IF(INDEX(BookTitle,647)="","",INDEX(BookCategory,647))</f>
        <v/>
      </c>
      <c r="H652" s="40" t="str">
        <f aca="false">IF(INDEX(BookTitle,647)="","",INDEX(BookRank,647))</f>
        <v/>
      </c>
      <c r="I652" s="41" t="str">
        <f aca="false">IF(INDEX(BookTitle,647)="","",INDEX(BookTotal,647))</f>
        <v/>
      </c>
      <c r="J652" s="0" t="str">
        <f aca="false">IF($I652="","",IF(INDEX(BookQ1,647)&gt;0,"Q1",IF(INDEX(BookQ2,647)&gt;0,"Q2",IF(INDEX(BookQ3,647)&gt;0,"Q3",IF(INDEX(BookQ4,647)&gt;0,"Q4","")))))</f>
        <v/>
      </c>
      <c r="K652" s="42" t="str">
        <f aca="false">IF(INDEX(BookTitle,647)="","",INDEX(BookInYear,647))</f>
        <v/>
      </c>
      <c r="L652" s="19"/>
      <c r="M652" s="39"/>
      <c r="N652" s="19"/>
      <c r="O652" s="19"/>
      <c r="P652" s="43" t="str">
        <f aca="false">IF($E652="","",IF($L652="Decline",0,IF($L652="Approve fewer",IF($M652="","",$M652),IF($L652="","",$I652))))</f>
        <v/>
      </c>
      <c r="Q652" s="34" t="str">
        <f aca="false">IF($P652="","",IF($N652&lt;&gt;"",$N652,$J652))</f>
        <v/>
      </c>
      <c r="R652" s="35" t="str">
        <f aca="false">IF(OR($P652="",$Q652=""),"",INDEX(BookRate,647)*$P652*(5-MATCH($Q652,{"Q1";"Q2";"Q3";"Q4"},0))/4+INDEX(BookOneOff,647)*$P652)</f>
        <v/>
      </c>
      <c r="S652" s="35" t="str">
        <f aca="false">IF($P652="","",INDEX(BookRate,647)*$P652)</f>
        <v/>
      </c>
      <c r="T652" s="35" t="str">
        <f aca="false">IF($R652="","",$R652-$K652)</f>
        <v/>
      </c>
      <c r="U652" s="35" t="str">
        <f aca="false">IF(N($P652)&lt;=0,"",COUNTIF($P$6:$P652,"&gt;0"))</f>
        <v/>
      </c>
    </row>
    <row r="653" customFormat="false" ht="15" hidden="false" customHeight="false" outlineLevel="0" collapsed="false">
      <c r="A653" s="40" t="str">
        <f aca="false">IF(INDEX(BookTitle,648)="","",INDEX(BookGroup,648))</f>
        <v/>
      </c>
      <c r="B653" s="40" t="str">
        <f aca="false">IF(INDEX(BookTitle,648)="","",INDEX(BookRef,648))</f>
        <v/>
      </c>
      <c r="C653" s="40" t="str">
        <f aca="false">IF(INDEX(BookTitle,648)="","",INDEX(BookDivision,648))</f>
        <v/>
      </c>
      <c r="D653" s="40" t="str">
        <f aca="false">IF(INDEX(BookTitle,648)="","",INDEX(BookUnit,648))</f>
        <v/>
      </c>
      <c r="E653" s="40" t="str">
        <f aca="false">IF(INDEX(BookTitle,648)="","",INDEX(BookTitle,648))</f>
        <v/>
      </c>
      <c r="F653" s="40" t="str">
        <f aca="false">IF(INDEX(BookTitle,648)="","",INDEX(BookLevel,648))</f>
        <v/>
      </c>
      <c r="G653" s="40" t="str">
        <f aca="false">IF(INDEX(BookTitle,648)="","",INDEX(BookCategory,648))</f>
        <v/>
      </c>
      <c r="H653" s="40" t="str">
        <f aca="false">IF(INDEX(BookTitle,648)="","",INDEX(BookRank,648))</f>
        <v/>
      </c>
      <c r="I653" s="41" t="str">
        <f aca="false">IF(INDEX(BookTitle,648)="","",INDEX(BookTotal,648))</f>
        <v/>
      </c>
      <c r="J653" s="0" t="str">
        <f aca="false">IF($I653="","",IF(INDEX(BookQ1,648)&gt;0,"Q1",IF(INDEX(BookQ2,648)&gt;0,"Q2",IF(INDEX(BookQ3,648)&gt;0,"Q3",IF(INDEX(BookQ4,648)&gt;0,"Q4","")))))</f>
        <v/>
      </c>
      <c r="K653" s="42" t="str">
        <f aca="false">IF(INDEX(BookTitle,648)="","",INDEX(BookInYear,648))</f>
        <v/>
      </c>
      <c r="L653" s="19"/>
      <c r="M653" s="39"/>
      <c r="N653" s="19"/>
      <c r="O653" s="19"/>
      <c r="P653" s="43" t="str">
        <f aca="false">IF($E653="","",IF($L653="Decline",0,IF($L653="Approve fewer",IF($M653="","",$M653),IF($L653="","",$I653))))</f>
        <v/>
      </c>
      <c r="Q653" s="34" t="str">
        <f aca="false">IF($P653="","",IF($N653&lt;&gt;"",$N653,$J653))</f>
        <v/>
      </c>
      <c r="R653" s="35" t="str">
        <f aca="false">IF(OR($P653="",$Q653=""),"",INDEX(BookRate,648)*$P653*(5-MATCH($Q653,{"Q1";"Q2";"Q3";"Q4"},0))/4+INDEX(BookOneOff,648)*$P653)</f>
        <v/>
      </c>
      <c r="S653" s="35" t="str">
        <f aca="false">IF($P653="","",INDEX(BookRate,648)*$P653)</f>
        <v/>
      </c>
      <c r="T653" s="35" t="str">
        <f aca="false">IF($R653="","",$R653-$K653)</f>
        <v/>
      </c>
      <c r="U653" s="35" t="str">
        <f aca="false">IF(N($P653)&lt;=0,"",COUNTIF($P$6:$P653,"&gt;0"))</f>
        <v/>
      </c>
    </row>
    <row r="654" customFormat="false" ht="15" hidden="false" customHeight="false" outlineLevel="0" collapsed="false">
      <c r="A654" s="40" t="str">
        <f aca="false">IF(INDEX(BookTitle,649)="","",INDEX(BookGroup,649))</f>
        <v/>
      </c>
      <c r="B654" s="40" t="str">
        <f aca="false">IF(INDEX(BookTitle,649)="","",INDEX(BookRef,649))</f>
        <v/>
      </c>
      <c r="C654" s="40" t="str">
        <f aca="false">IF(INDEX(BookTitle,649)="","",INDEX(BookDivision,649))</f>
        <v/>
      </c>
      <c r="D654" s="40" t="str">
        <f aca="false">IF(INDEX(BookTitle,649)="","",INDEX(BookUnit,649))</f>
        <v/>
      </c>
      <c r="E654" s="40" t="str">
        <f aca="false">IF(INDEX(BookTitle,649)="","",INDEX(BookTitle,649))</f>
        <v/>
      </c>
      <c r="F654" s="40" t="str">
        <f aca="false">IF(INDEX(BookTitle,649)="","",INDEX(BookLevel,649))</f>
        <v/>
      </c>
      <c r="G654" s="40" t="str">
        <f aca="false">IF(INDEX(BookTitle,649)="","",INDEX(BookCategory,649))</f>
        <v/>
      </c>
      <c r="H654" s="40" t="str">
        <f aca="false">IF(INDEX(BookTitle,649)="","",INDEX(BookRank,649))</f>
        <v/>
      </c>
      <c r="I654" s="41" t="str">
        <f aca="false">IF(INDEX(BookTitle,649)="","",INDEX(BookTotal,649))</f>
        <v/>
      </c>
      <c r="J654" s="0" t="str">
        <f aca="false">IF($I654="","",IF(INDEX(BookQ1,649)&gt;0,"Q1",IF(INDEX(BookQ2,649)&gt;0,"Q2",IF(INDEX(BookQ3,649)&gt;0,"Q3",IF(INDEX(BookQ4,649)&gt;0,"Q4","")))))</f>
        <v/>
      </c>
      <c r="K654" s="42" t="str">
        <f aca="false">IF(INDEX(BookTitle,649)="","",INDEX(BookInYear,649))</f>
        <v/>
      </c>
      <c r="L654" s="19"/>
      <c r="M654" s="39"/>
      <c r="N654" s="19"/>
      <c r="O654" s="19"/>
      <c r="P654" s="43" t="str">
        <f aca="false">IF($E654="","",IF($L654="Decline",0,IF($L654="Approve fewer",IF($M654="","",$M654),IF($L654="","",$I654))))</f>
        <v/>
      </c>
      <c r="Q654" s="34" t="str">
        <f aca="false">IF($P654="","",IF($N654&lt;&gt;"",$N654,$J654))</f>
        <v/>
      </c>
      <c r="R654" s="35" t="str">
        <f aca="false">IF(OR($P654="",$Q654=""),"",INDEX(BookRate,649)*$P654*(5-MATCH($Q654,{"Q1";"Q2";"Q3";"Q4"},0))/4+INDEX(BookOneOff,649)*$P654)</f>
        <v/>
      </c>
      <c r="S654" s="35" t="str">
        <f aca="false">IF($P654="","",INDEX(BookRate,649)*$P654)</f>
        <v/>
      </c>
      <c r="T654" s="35" t="str">
        <f aca="false">IF($R654="","",$R654-$K654)</f>
        <v/>
      </c>
      <c r="U654" s="35" t="str">
        <f aca="false">IF(N($P654)&lt;=0,"",COUNTIF($P$6:$P654,"&gt;0"))</f>
        <v/>
      </c>
    </row>
    <row r="655" customFormat="false" ht="15" hidden="false" customHeight="false" outlineLevel="0" collapsed="false">
      <c r="A655" s="40" t="str">
        <f aca="false">IF(INDEX(BookTitle,650)="","",INDEX(BookGroup,650))</f>
        <v/>
      </c>
      <c r="B655" s="40" t="str">
        <f aca="false">IF(INDEX(BookTitle,650)="","",INDEX(BookRef,650))</f>
        <v/>
      </c>
      <c r="C655" s="40" t="str">
        <f aca="false">IF(INDEX(BookTitle,650)="","",INDEX(BookDivision,650))</f>
        <v/>
      </c>
      <c r="D655" s="40" t="str">
        <f aca="false">IF(INDEX(BookTitle,650)="","",INDEX(BookUnit,650))</f>
        <v/>
      </c>
      <c r="E655" s="40" t="str">
        <f aca="false">IF(INDEX(BookTitle,650)="","",INDEX(BookTitle,650))</f>
        <v/>
      </c>
      <c r="F655" s="40" t="str">
        <f aca="false">IF(INDEX(BookTitle,650)="","",INDEX(BookLevel,650))</f>
        <v/>
      </c>
      <c r="G655" s="40" t="str">
        <f aca="false">IF(INDEX(BookTitle,650)="","",INDEX(BookCategory,650))</f>
        <v/>
      </c>
      <c r="H655" s="40" t="str">
        <f aca="false">IF(INDEX(BookTitle,650)="","",INDEX(BookRank,650))</f>
        <v/>
      </c>
      <c r="I655" s="41" t="str">
        <f aca="false">IF(INDEX(BookTitle,650)="","",INDEX(BookTotal,650))</f>
        <v/>
      </c>
      <c r="J655" s="0" t="str">
        <f aca="false">IF($I655="","",IF(INDEX(BookQ1,650)&gt;0,"Q1",IF(INDEX(BookQ2,650)&gt;0,"Q2",IF(INDEX(BookQ3,650)&gt;0,"Q3",IF(INDEX(BookQ4,650)&gt;0,"Q4","")))))</f>
        <v/>
      </c>
      <c r="K655" s="42" t="str">
        <f aca="false">IF(INDEX(BookTitle,650)="","",INDEX(BookInYear,650))</f>
        <v/>
      </c>
      <c r="L655" s="19"/>
      <c r="M655" s="39"/>
      <c r="N655" s="19"/>
      <c r="O655" s="19"/>
      <c r="P655" s="43" t="str">
        <f aca="false">IF($E655="","",IF($L655="Decline",0,IF($L655="Approve fewer",IF($M655="","",$M655),IF($L655="","",$I655))))</f>
        <v/>
      </c>
      <c r="Q655" s="34" t="str">
        <f aca="false">IF($P655="","",IF($N655&lt;&gt;"",$N655,$J655))</f>
        <v/>
      </c>
      <c r="R655" s="35" t="str">
        <f aca="false">IF(OR($P655="",$Q655=""),"",INDEX(BookRate,650)*$P655*(5-MATCH($Q655,{"Q1";"Q2";"Q3";"Q4"},0))/4+INDEX(BookOneOff,650)*$P655)</f>
        <v/>
      </c>
      <c r="S655" s="35" t="str">
        <f aca="false">IF($P655="","",INDEX(BookRate,650)*$P655)</f>
        <v/>
      </c>
      <c r="T655" s="35" t="str">
        <f aca="false">IF($R655="","",$R655-$K655)</f>
        <v/>
      </c>
      <c r="U655" s="35" t="str">
        <f aca="false">IF(N($P655)&lt;=0,"",COUNTIF($P$6:$P655,"&gt;0"))</f>
        <v/>
      </c>
    </row>
    <row r="656" customFormat="false" ht="15" hidden="false" customHeight="false" outlineLevel="0" collapsed="false">
      <c r="A656" s="40" t="str">
        <f aca="false">IF(INDEX(BookTitle,651)="","",INDEX(BookGroup,651))</f>
        <v/>
      </c>
      <c r="B656" s="40" t="str">
        <f aca="false">IF(INDEX(BookTitle,651)="","",INDEX(BookRef,651))</f>
        <v/>
      </c>
      <c r="C656" s="40" t="str">
        <f aca="false">IF(INDEX(BookTitle,651)="","",INDEX(BookDivision,651))</f>
        <v/>
      </c>
      <c r="D656" s="40" t="str">
        <f aca="false">IF(INDEX(BookTitle,651)="","",INDEX(BookUnit,651))</f>
        <v/>
      </c>
      <c r="E656" s="40" t="str">
        <f aca="false">IF(INDEX(BookTitle,651)="","",INDEX(BookTitle,651))</f>
        <v/>
      </c>
      <c r="F656" s="40" t="str">
        <f aca="false">IF(INDEX(BookTitle,651)="","",INDEX(BookLevel,651))</f>
        <v/>
      </c>
      <c r="G656" s="40" t="str">
        <f aca="false">IF(INDEX(BookTitle,651)="","",INDEX(BookCategory,651))</f>
        <v/>
      </c>
      <c r="H656" s="40" t="str">
        <f aca="false">IF(INDEX(BookTitle,651)="","",INDEX(BookRank,651))</f>
        <v/>
      </c>
      <c r="I656" s="41" t="str">
        <f aca="false">IF(INDEX(BookTitle,651)="","",INDEX(BookTotal,651))</f>
        <v/>
      </c>
      <c r="J656" s="0" t="str">
        <f aca="false">IF($I656="","",IF(INDEX(BookQ1,651)&gt;0,"Q1",IF(INDEX(BookQ2,651)&gt;0,"Q2",IF(INDEX(BookQ3,651)&gt;0,"Q3",IF(INDEX(BookQ4,651)&gt;0,"Q4","")))))</f>
        <v/>
      </c>
      <c r="K656" s="42" t="str">
        <f aca="false">IF(INDEX(BookTitle,651)="","",INDEX(BookInYear,651))</f>
        <v/>
      </c>
      <c r="L656" s="19"/>
      <c r="M656" s="39"/>
      <c r="N656" s="19"/>
      <c r="O656" s="19"/>
      <c r="P656" s="43" t="str">
        <f aca="false">IF($E656="","",IF($L656="Decline",0,IF($L656="Approve fewer",IF($M656="","",$M656),IF($L656="","",$I656))))</f>
        <v/>
      </c>
      <c r="Q656" s="34" t="str">
        <f aca="false">IF($P656="","",IF($N656&lt;&gt;"",$N656,$J656))</f>
        <v/>
      </c>
      <c r="R656" s="35" t="str">
        <f aca="false">IF(OR($P656="",$Q656=""),"",INDEX(BookRate,651)*$P656*(5-MATCH($Q656,{"Q1";"Q2";"Q3";"Q4"},0))/4+INDEX(BookOneOff,651)*$P656)</f>
        <v/>
      </c>
      <c r="S656" s="35" t="str">
        <f aca="false">IF($P656="","",INDEX(BookRate,651)*$P656)</f>
        <v/>
      </c>
      <c r="T656" s="35" t="str">
        <f aca="false">IF($R656="","",$R656-$K656)</f>
        <v/>
      </c>
      <c r="U656" s="35" t="str">
        <f aca="false">IF(N($P656)&lt;=0,"",COUNTIF($P$6:$P656,"&gt;0"))</f>
        <v/>
      </c>
    </row>
    <row r="657" customFormat="false" ht="15" hidden="false" customHeight="false" outlineLevel="0" collapsed="false">
      <c r="A657" s="40" t="str">
        <f aca="false">IF(INDEX(BookTitle,652)="","",INDEX(BookGroup,652))</f>
        <v/>
      </c>
      <c r="B657" s="40" t="str">
        <f aca="false">IF(INDEX(BookTitle,652)="","",INDEX(BookRef,652))</f>
        <v/>
      </c>
      <c r="C657" s="40" t="str">
        <f aca="false">IF(INDEX(BookTitle,652)="","",INDEX(BookDivision,652))</f>
        <v/>
      </c>
      <c r="D657" s="40" t="str">
        <f aca="false">IF(INDEX(BookTitle,652)="","",INDEX(BookUnit,652))</f>
        <v/>
      </c>
      <c r="E657" s="40" t="str">
        <f aca="false">IF(INDEX(BookTitle,652)="","",INDEX(BookTitle,652))</f>
        <v/>
      </c>
      <c r="F657" s="40" t="str">
        <f aca="false">IF(INDEX(BookTitle,652)="","",INDEX(BookLevel,652))</f>
        <v/>
      </c>
      <c r="G657" s="40" t="str">
        <f aca="false">IF(INDEX(BookTitle,652)="","",INDEX(BookCategory,652))</f>
        <v/>
      </c>
      <c r="H657" s="40" t="str">
        <f aca="false">IF(INDEX(BookTitle,652)="","",INDEX(BookRank,652))</f>
        <v/>
      </c>
      <c r="I657" s="41" t="str">
        <f aca="false">IF(INDEX(BookTitle,652)="","",INDEX(BookTotal,652))</f>
        <v/>
      </c>
      <c r="J657" s="0" t="str">
        <f aca="false">IF($I657="","",IF(INDEX(BookQ1,652)&gt;0,"Q1",IF(INDEX(BookQ2,652)&gt;0,"Q2",IF(INDEX(BookQ3,652)&gt;0,"Q3",IF(INDEX(BookQ4,652)&gt;0,"Q4","")))))</f>
        <v/>
      </c>
      <c r="K657" s="42" t="str">
        <f aca="false">IF(INDEX(BookTitle,652)="","",INDEX(BookInYear,652))</f>
        <v/>
      </c>
      <c r="L657" s="19"/>
      <c r="M657" s="39"/>
      <c r="N657" s="19"/>
      <c r="O657" s="19"/>
      <c r="P657" s="43" t="str">
        <f aca="false">IF($E657="","",IF($L657="Decline",0,IF($L657="Approve fewer",IF($M657="","",$M657),IF($L657="","",$I657))))</f>
        <v/>
      </c>
      <c r="Q657" s="34" t="str">
        <f aca="false">IF($P657="","",IF($N657&lt;&gt;"",$N657,$J657))</f>
        <v/>
      </c>
      <c r="R657" s="35" t="str">
        <f aca="false">IF(OR($P657="",$Q657=""),"",INDEX(BookRate,652)*$P657*(5-MATCH($Q657,{"Q1";"Q2";"Q3";"Q4"},0))/4+INDEX(BookOneOff,652)*$P657)</f>
        <v/>
      </c>
      <c r="S657" s="35" t="str">
        <f aca="false">IF($P657="","",INDEX(BookRate,652)*$P657)</f>
        <v/>
      </c>
      <c r="T657" s="35" t="str">
        <f aca="false">IF($R657="","",$R657-$K657)</f>
        <v/>
      </c>
      <c r="U657" s="35" t="str">
        <f aca="false">IF(N($P657)&lt;=0,"",COUNTIF($P$6:$P657,"&gt;0"))</f>
        <v/>
      </c>
    </row>
    <row r="658" customFormat="false" ht="15" hidden="false" customHeight="false" outlineLevel="0" collapsed="false">
      <c r="A658" s="40" t="str">
        <f aca="false">IF(INDEX(BookTitle,653)="","",INDEX(BookGroup,653))</f>
        <v/>
      </c>
      <c r="B658" s="40" t="str">
        <f aca="false">IF(INDEX(BookTitle,653)="","",INDEX(BookRef,653))</f>
        <v/>
      </c>
      <c r="C658" s="40" t="str">
        <f aca="false">IF(INDEX(BookTitle,653)="","",INDEX(BookDivision,653))</f>
        <v/>
      </c>
      <c r="D658" s="40" t="str">
        <f aca="false">IF(INDEX(BookTitle,653)="","",INDEX(BookUnit,653))</f>
        <v/>
      </c>
      <c r="E658" s="40" t="str">
        <f aca="false">IF(INDEX(BookTitle,653)="","",INDEX(BookTitle,653))</f>
        <v/>
      </c>
      <c r="F658" s="40" t="str">
        <f aca="false">IF(INDEX(BookTitle,653)="","",INDEX(BookLevel,653))</f>
        <v/>
      </c>
      <c r="G658" s="40" t="str">
        <f aca="false">IF(INDEX(BookTitle,653)="","",INDEX(BookCategory,653))</f>
        <v/>
      </c>
      <c r="H658" s="40" t="str">
        <f aca="false">IF(INDEX(BookTitle,653)="","",INDEX(BookRank,653))</f>
        <v/>
      </c>
      <c r="I658" s="41" t="str">
        <f aca="false">IF(INDEX(BookTitle,653)="","",INDEX(BookTotal,653))</f>
        <v/>
      </c>
      <c r="J658" s="0" t="str">
        <f aca="false">IF($I658="","",IF(INDEX(BookQ1,653)&gt;0,"Q1",IF(INDEX(BookQ2,653)&gt;0,"Q2",IF(INDEX(BookQ3,653)&gt;0,"Q3",IF(INDEX(BookQ4,653)&gt;0,"Q4","")))))</f>
        <v/>
      </c>
      <c r="K658" s="42" t="str">
        <f aca="false">IF(INDEX(BookTitle,653)="","",INDEX(BookInYear,653))</f>
        <v/>
      </c>
      <c r="L658" s="19"/>
      <c r="M658" s="39"/>
      <c r="N658" s="19"/>
      <c r="O658" s="19"/>
      <c r="P658" s="43" t="str">
        <f aca="false">IF($E658="","",IF($L658="Decline",0,IF($L658="Approve fewer",IF($M658="","",$M658),IF($L658="","",$I658))))</f>
        <v/>
      </c>
      <c r="Q658" s="34" t="str">
        <f aca="false">IF($P658="","",IF($N658&lt;&gt;"",$N658,$J658))</f>
        <v/>
      </c>
      <c r="R658" s="35" t="str">
        <f aca="false">IF(OR($P658="",$Q658=""),"",INDEX(BookRate,653)*$P658*(5-MATCH($Q658,{"Q1";"Q2";"Q3";"Q4"},0))/4+INDEX(BookOneOff,653)*$P658)</f>
        <v/>
      </c>
      <c r="S658" s="35" t="str">
        <f aca="false">IF($P658="","",INDEX(BookRate,653)*$P658)</f>
        <v/>
      </c>
      <c r="T658" s="35" t="str">
        <f aca="false">IF($R658="","",$R658-$K658)</f>
        <v/>
      </c>
      <c r="U658" s="35" t="str">
        <f aca="false">IF(N($P658)&lt;=0,"",COUNTIF($P$6:$P658,"&gt;0"))</f>
        <v/>
      </c>
    </row>
    <row r="659" customFormat="false" ht="15" hidden="false" customHeight="false" outlineLevel="0" collapsed="false">
      <c r="A659" s="40" t="str">
        <f aca="false">IF(INDEX(BookTitle,654)="","",INDEX(BookGroup,654))</f>
        <v/>
      </c>
      <c r="B659" s="40" t="str">
        <f aca="false">IF(INDEX(BookTitle,654)="","",INDEX(BookRef,654))</f>
        <v/>
      </c>
      <c r="C659" s="40" t="str">
        <f aca="false">IF(INDEX(BookTitle,654)="","",INDEX(BookDivision,654))</f>
        <v/>
      </c>
      <c r="D659" s="40" t="str">
        <f aca="false">IF(INDEX(BookTitle,654)="","",INDEX(BookUnit,654))</f>
        <v/>
      </c>
      <c r="E659" s="40" t="str">
        <f aca="false">IF(INDEX(BookTitle,654)="","",INDEX(BookTitle,654))</f>
        <v/>
      </c>
      <c r="F659" s="40" t="str">
        <f aca="false">IF(INDEX(BookTitle,654)="","",INDEX(BookLevel,654))</f>
        <v/>
      </c>
      <c r="G659" s="40" t="str">
        <f aca="false">IF(INDEX(BookTitle,654)="","",INDEX(BookCategory,654))</f>
        <v/>
      </c>
      <c r="H659" s="40" t="str">
        <f aca="false">IF(INDEX(BookTitle,654)="","",INDEX(BookRank,654))</f>
        <v/>
      </c>
      <c r="I659" s="41" t="str">
        <f aca="false">IF(INDEX(BookTitle,654)="","",INDEX(BookTotal,654))</f>
        <v/>
      </c>
      <c r="J659" s="0" t="str">
        <f aca="false">IF($I659="","",IF(INDEX(BookQ1,654)&gt;0,"Q1",IF(INDEX(BookQ2,654)&gt;0,"Q2",IF(INDEX(BookQ3,654)&gt;0,"Q3",IF(INDEX(BookQ4,654)&gt;0,"Q4","")))))</f>
        <v/>
      </c>
      <c r="K659" s="42" t="str">
        <f aca="false">IF(INDEX(BookTitle,654)="","",INDEX(BookInYear,654))</f>
        <v/>
      </c>
      <c r="L659" s="19"/>
      <c r="M659" s="39"/>
      <c r="N659" s="19"/>
      <c r="O659" s="19"/>
      <c r="P659" s="43" t="str">
        <f aca="false">IF($E659="","",IF($L659="Decline",0,IF($L659="Approve fewer",IF($M659="","",$M659),IF($L659="","",$I659))))</f>
        <v/>
      </c>
      <c r="Q659" s="34" t="str">
        <f aca="false">IF($P659="","",IF($N659&lt;&gt;"",$N659,$J659))</f>
        <v/>
      </c>
      <c r="R659" s="35" t="str">
        <f aca="false">IF(OR($P659="",$Q659=""),"",INDEX(BookRate,654)*$P659*(5-MATCH($Q659,{"Q1";"Q2";"Q3";"Q4"},0))/4+INDEX(BookOneOff,654)*$P659)</f>
        <v/>
      </c>
      <c r="S659" s="35" t="str">
        <f aca="false">IF($P659="","",INDEX(BookRate,654)*$P659)</f>
        <v/>
      </c>
      <c r="T659" s="35" t="str">
        <f aca="false">IF($R659="","",$R659-$K659)</f>
        <v/>
      </c>
      <c r="U659" s="35" t="str">
        <f aca="false">IF(N($P659)&lt;=0,"",COUNTIF($P$6:$P659,"&gt;0"))</f>
        <v/>
      </c>
    </row>
    <row r="660" customFormat="false" ht="15" hidden="false" customHeight="false" outlineLevel="0" collapsed="false">
      <c r="A660" s="40" t="str">
        <f aca="false">IF(INDEX(BookTitle,655)="","",INDEX(BookGroup,655))</f>
        <v/>
      </c>
      <c r="B660" s="40" t="str">
        <f aca="false">IF(INDEX(BookTitle,655)="","",INDEX(BookRef,655))</f>
        <v/>
      </c>
      <c r="C660" s="40" t="str">
        <f aca="false">IF(INDEX(BookTitle,655)="","",INDEX(BookDivision,655))</f>
        <v/>
      </c>
      <c r="D660" s="40" t="str">
        <f aca="false">IF(INDEX(BookTitle,655)="","",INDEX(BookUnit,655))</f>
        <v/>
      </c>
      <c r="E660" s="40" t="str">
        <f aca="false">IF(INDEX(BookTitle,655)="","",INDEX(BookTitle,655))</f>
        <v/>
      </c>
      <c r="F660" s="40" t="str">
        <f aca="false">IF(INDEX(BookTitle,655)="","",INDEX(BookLevel,655))</f>
        <v/>
      </c>
      <c r="G660" s="40" t="str">
        <f aca="false">IF(INDEX(BookTitle,655)="","",INDEX(BookCategory,655))</f>
        <v/>
      </c>
      <c r="H660" s="40" t="str">
        <f aca="false">IF(INDEX(BookTitle,655)="","",INDEX(BookRank,655))</f>
        <v/>
      </c>
      <c r="I660" s="41" t="str">
        <f aca="false">IF(INDEX(BookTitle,655)="","",INDEX(BookTotal,655))</f>
        <v/>
      </c>
      <c r="J660" s="0" t="str">
        <f aca="false">IF($I660="","",IF(INDEX(BookQ1,655)&gt;0,"Q1",IF(INDEX(BookQ2,655)&gt;0,"Q2",IF(INDEX(BookQ3,655)&gt;0,"Q3",IF(INDEX(BookQ4,655)&gt;0,"Q4","")))))</f>
        <v/>
      </c>
      <c r="K660" s="42" t="str">
        <f aca="false">IF(INDEX(BookTitle,655)="","",INDEX(BookInYear,655))</f>
        <v/>
      </c>
      <c r="L660" s="19"/>
      <c r="M660" s="39"/>
      <c r="N660" s="19"/>
      <c r="O660" s="19"/>
      <c r="P660" s="43" t="str">
        <f aca="false">IF($E660="","",IF($L660="Decline",0,IF($L660="Approve fewer",IF($M660="","",$M660),IF($L660="","",$I660))))</f>
        <v/>
      </c>
      <c r="Q660" s="34" t="str">
        <f aca="false">IF($P660="","",IF($N660&lt;&gt;"",$N660,$J660))</f>
        <v/>
      </c>
      <c r="R660" s="35" t="str">
        <f aca="false">IF(OR($P660="",$Q660=""),"",INDEX(BookRate,655)*$P660*(5-MATCH($Q660,{"Q1";"Q2";"Q3";"Q4"},0))/4+INDEX(BookOneOff,655)*$P660)</f>
        <v/>
      </c>
      <c r="S660" s="35" t="str">
        <f aca="false">IF($P660="","",INDEX(BookRate,655)*$P660)</f>
        <v/>
      </c>
      <c r="T660" s="35" t="str">
        <f aca="false">IF($R660="","",$R660-$K660)</f>
        <v/>
      </c>
      <c r="U660" s="35" t="str">
        <f aca="false">IF(N($P660)&lt;=0,"",COUNTIF($P$6:$P660,"&gt;0"))</f>
        <v/>
      </c>
    </row>
    <row r="661" customFormat="false" ht="15" hidden="false" customHeight="false" outlineLevel="0" collapsed="false">
      <c r="A661" s="40" t="str">
        <f aca="false">IF(INDEX(BookTitle,656)="","",INDEX(BookGroup,656))</f>
        <v/>
      </c>
      <c r="B661" s="40" t="str">
        <f aca="false">IF(INDEX(BookTitle,656)="","",INDEX(BookRef,656))</f>
        <v/>
      </c>
      <c r="C661" s="40" t="str">
        <f aca="false">IF(INDEX(BookTitle,656)="","",INDEX(BookDivision,656))</f>
        <v/>
      </c>
      <c r="D661" s="40" t="str">
        <f aca="false">IF(INDEX(BookTitle,656)="","",INDEX(BookUnit,656))</f>
        <v/>
      </c>
      <c r="E661" s="40" t="str">
        <f aca="false">IF(INDEX(BookTitle,656)="","",INDEX(BookTitle,656))</f>
        <v/>
      </c>
      <c r="F661" s="40" t="str">
        <f aca="false">IF(INDEX(BookTitle,656)="","",INDEX(BookLevel,656))</f>
        <v/>
      </c>
      <c r="G661" s="40" t="str">
        <f aca="false">IF(INDEX(BookTitle,656)="","",INDEX(BookCategory,656))</f>
        <v/>
      </c>
      <c r="H661" s="40" t="str">
        <f aca="false">IF(INDEX(BookTitle,656)="","",INDEX(BookRank,656))</f>
        <v/>
      </c>
      <c r="I661" s="41" t="str">
        <f aca="false">IF(INDEX(BookTitle,656)="","",INDEX(BookTotal,656))</f>
        <v/>
      </c>
      <c r="J661" s="0" t="str">
        <f aca="false">IF($I661="","",IF(INDEX(BookQ1,656)&gt;0,"Q1",IF(INDEX(BookQ2,656)&gt;0,"Q2",IF(INDEX(BookQ3,656)&gt;0,"Q3",IF(INDEX(BookQ4,656)&gt;0,"Q4","")))))</f>
        <v/>
      </c>
      <c r="K661" s="42" t="str">
        <f aca="false">IF(INDEX(BookTitle,656)="","",INDEX(BookInYear,656))</f>
        <v/>
      </c>
      <c r="L661" s="19"/>
      <c r="M661" s="39"/>
      <c r="N661" s="19"/>
      <c r="O661" s="19"/>
      <c r="P661" s="43" t="str">
        <f aca="false">IF($E661="","",IF($L661="Decline",0,IF($L661="Approve fewer",IF($M661="","",$M661),IF($L661="","",$I661))))</f>
        <v/>
      </c>
      <c r="Q661" s="34" t="str">
        <f aca="false">IF($P661="","",IF($N661&lt;&gt;"",$N661,$J661))</f>
        <v/>
      </c>
      <c r="R661" s="35" t="str">
        <f aca="false">IF(OR($P661="",$Q661=""),"",INDEX(BookRate,656)*$P661*(5-MATCH($Q661,{"Q1";"Q2";"Q3";"Q4"},0))/4+INDEX(BookOneOff,656)*$P661)</f>
        <v/>
      </c>
      <c r="S661" s="35" t="str">
        <f aca="false">IF($P661="","",INDEX(BookRate,656)*$P661)</f>
        <v/>
      </c>
      <c r="T661" s="35" t="str">
        <f aca="false">IF($R661="","",$R661-$K661)</f>
        <v/>
      </c>
      <c r="U661" s="35" t="str">
        <f aca="false">IF(N($P661)&lt;=0,"",COUNTIF($P$6:$P661,"&gt;0"))</f>
        <v/>
      </c>
    </row>
    <row r="662" customFormat="false" ht="15" hidden="false" customHeight="false" outlineLevel="0" collapsed="false">
      <c r="A662" s="40" t="str">
        <f aca="false">IF(INDEX(BookTitle,657)="","",INDEX(BookGroup,657))</f>
        <v/>
      </c>
      <c r="B662" s="40" t="str">
        <f aca="false">IF(INDEX(BookTitle,657)="","",INDEX(BookRef,657))</f>
        <v/>
      </c>
      <c r="C662" s="40" t="str">
        <f aca="false">IF(INDEX(BookTitle,657)="","",INDEX(BookDivision,657))</f>
        <v/>
      </c>
      <c r="D662" s="40" t="str">
        <f aca="false">IF(INDEX(BookTitle,657)="","",INDEX(BookUnit,657))</f>
        <v/>
      </c>
      <c r="E662" s="40" t="str">
        <f aca="false">IF(INDEX(BookTitle,657)="","",INDEX(BookTitle,657))</f>
        <v/>
      </c>
      <c r="F662" s="40" t="str">
        <f aca="false">IF(INDEX(BookTitle,657)="","",INDEX(BookLevel,657))</f>
        <v/>
      </c>
      <c r="G662" s="40" t="str">
        <f aca="false">IF(INDEX(BookTitle,657)="","",INDEX(BookCategory,657))</f>
        <v/>
      </c>
      <c r="H662" s="40" t="str">
        <f aca="false">IF(INDEX(BookTitle,657)="","",INDEX(BookRank,657))</f>
        <v/>
      </c>
      <c r="I662" s="41" t="str">
        <f aca="false">IF(INDEX(BookTitle,657)="","",INDEX(BookTotal,657))</f>
        <v/>
      </c>
      <c r="J662" s="0" t="str">
        <f aca="false">IF($I662="","",IF(INDEX(BookQ1,657)&gt;0,"Q1",IF(INDEX(BookQ2,657)&gt;0,"Q2",IF(INDEX(BookQ3,657)&gt;0,"Q3",IF(INDEX(BookQ4,657)&gt;0,"Q4","")))))</f>
        <v/>
      </c>
      <c r="K662" s="42" t="str">
        <f aca="false">IF(INDEX(BookTitle,657)="","",INDEX(BookInYear,657))</f>
        <v/>
      </c>
      <c r="L662" s="19"/>
      <c r="M662" s="39"/>
      <c r="N662" s="19"/>
      <c r="O662" s="19"/>
      <c r="P662" s="43" t="str">
        <f aca="false">IF($E662="","",IF($L662="Decline",0,IF($L662="Approve fewer",IF($M662="","",$M662),IF($L662="","",$I662))))</f>
        <v/>
      </c>
      <c r="Q662" s="34" t="str">
        <f aca="false">IF($P662="","",IF($N662&lt;&gt;"",$N662,$J662))</f>
        <v/>
      </c>
      <c r="R662" s="35" t="str">
        <f aca="false">IF(OR($P662="",$Q662=""),"",INDEX(BookRate,657)*$P662*(5-MATCH($Q662,{"Q1";"Q2";"Q3";"Q4"},0))/4+INDEX(BookOneOff,657)*$P662)</f>
        <v/>
      </c>
      <c r="S662" s="35" t="str">
        <f aca="false">IF($P662="","",INDEX(BookRate,657)*$P662)</f>
        <v/>
      </c>
      <c r="T662" s="35" t="str">
        <f aca="false">IF($R662="","",$R662-$K662)</f>
        <v/>
      </c>
      <c r="U662" s="35" t="str">
        <f aca="false">IF(N($P662)&lt;=0,"",COUNTIF($P$6:$P662,"&gt;0"))</f>
        <v/>
      </c>
    </row>
    <row r="663" customFormat="false" ht="15" hidden="false" customHeight="false" outlineLevel="0" collapsed="false">
      <c r="A663" s="40" t="str">
        <f aca="false">IF(INDEX(BookTitle,658)="","",INDEX(BookGroup,658))</f>
        <v/>
      </c>
      <c r="B663" s="40" t="str">
        <f aca="false">IF(INDEX(BookTitle,658)="","",INDEX(BookRef,658))</f>
        <v/>
      </c>
      <c r="C663" s="40" t="str">
        <f aca="false">IF(INDEX(BookTitle,658)="","",INDEX(BookDivision,658))</f>
        <v/>
      </c>
      <c r="D663" s="40" t="str">
        <f aca="false">IF(INDEX(BookTitle,658)="","",INDEX(BookUnit,658))</f>
        <v/>
      </c>
      <c r="E663" s="40" t="str">
        <f aca="false">IF(INDEX(BookTitle,658)="","",INDEX(BookTitle,658))</f>
        <v/>
      </c>
      <c r="F663" s="40" t="str">
        <f aca="false">IF(INDEX(BookTitle,658)="","",INDEX(BookLevel,658))</f>
        <v/>
      </c>
      <c r="G663" s="40" t="str">
        <f aca="false">IF(INDEX(BookTitle,658)="","",INDEX(BookCategory,658))</f>
        <v/>
      </c>
      <c r="H663" s="40" t="str">
        <f aca="false">IF(INDEX(BookTitle,658)="","",INDEX(BookRank,658))</f>
        <v/>
      </c>
      <c r="I663" s="41" t="str">
        <f aca="false">IF(INDEX(BookTitle,658)="","",INDEX(BookTotal,658))</f>
        <v/>
      </c>
      <c r="J663" s="0" t="str">
        <f aca="false">IF($I663="","",IF(INDEX(BookQ1,658)&gt;0,"Q1",IF(INDEX(BookQ2,658)&gt;0,"Q2",IF(INDEX(BookQ3,658)&gt;0,"Q3",IF(INDEX(BookQ4,658)&gt;0,"Q4","")))))</f>
        <v/>
      </c>
      <c r="K663" s="42" t="str">
        <f aca="false">IF(INDEX(BookTitle,658)="","",INDEX(BookInYear,658))</f>
        <v/>
      </c>
      <c r="L663" s="19"/>
      <c r="M663" s="39"/>
      <c r="N663" s="19"/>
      <c r="O663" s="19"/>
      <c r="P663" s="43" t="str">
        <f aca="false">IF($E663="","",IF($L663="Decline",0,IF($L663="Approve fewer",IF($M663="","",$M663),IF($L663="","",$I663))))</f>
        <v/>
      </c>
      <c r="Q663" s="34" t="str">
        <f aca="false">IF($P663="","",IF($N663&lt;&gt;"",$N663,$J663))</f>
        <v/>
      </c>
      <c r="R663" s="35" t="str">
        <f aca="false">IF(OR($P663="",$Q663=""),"",INDEX(BookRate,658)*$P663*(5-MATCH($Q663,{"Q1";"Q2";"Q3";"Q4"},0))/4+INDEX(BookOneOff,658)*$P663)</f>
        <v/>
      </c>
      <c r="S663" s="35" t="str">
        <f aca="false">IF($P663="","",INDEX(BookRate,658)*$P663)</f>
        <v/>
      </c>
      <c r="T663" s="35" t="str">
        <f aca="false">IF($R663="","",$R663-$K663)</f>
        <v/>
      </c>
      <c r="U663" s="35" t="str">
        <f aca="false">IF(N($P663)&lt;=0,"",COUNTIF($P$6:$P663,"&gt;0"))</f>
        <v/>
      </c>
    </row>
    <row r="664" customFormat="false" ht="15" hidden="false" customHeight="false" outlineLevel="0" collapsed="false">
      <c r="A664" s="40" t="str">
        <f aca="false">IF(INDEX(BookTitle,659)="","",INDEX(BookGroup,659))</f>
        <v/>
      </c>
      <c r="B664" s="40" t="str">
        <f aca="false">IF(INDEX(BookTitle,659)="","",INDEX(BookRef,659))</f>
        <v/>
      </c>
      <c r="C664" s="40" t="str">
        <f aca="false">IF(INDEX(BookTitle,659)="","",INDEX(BookDivision,659))</f>
        <v/>
      </c>
      <c r="D664" s="40" t="str">
        <f aca="false">IF(INDEX(BookTitle,659)="","",INDEX(BookUnit,659))</f>
        <v/>
      </c>
      <c r="E664" s="40" t="str">
        <f aca="false">IF(INDEX(BookTitle,659)="","",INDEX(BookTitle,659))</f>
        <v/>
      </c>
      <c r="F664" s="40" t="str">
        <f aca="false">IF(INDEX(BookTitle,659)="","",INDEX(BookLevel,659))</f>
        <v/>
      </c>
      <c r="G664" s="40" t="str">
        <f aca="false">IF(INDEX(BookTitle,659)="","",INDEX(BookCategory,659))</f>
        <v/>
      </c>
      <c r="H664" s="40" t="str">
        <f aca="false">IF(INDEX(BookTitle,659)="","",INDEX(BookRank,659))</f>
        <v/>
      </c>
      <c r="I664" s="41" t="str">
        <f aca="false">IF(INDEX(BookTitle,659)="","",INDEX(BookTotal,659))</f>
        <v/>
      </c>
      <c r="J664" s="0" t="str">
        <f aca="false">IF($I664="","",IF(INDEX(BookQ1,659)&gt;0,"Q1",IF(INDEX(BookQ2,659)&gt;0,"Q2",IF(INDEX(BookQ3,659)&gt;0,"Q3",IF(INDEX(BookQ4,659)&gt;0,"Q4","")))))</f>
        <v/>
      </c>
      <c r="K664" s="42" t="str">
        <f aca="false">IF(INDEX(BookTitle,659)="","",INDEX(BookInYear,659))</f>
        <v/>
      </c>
      <c r="L664" s="19"/>
      <c r="M664" s="39"/>
      <c r="N664" s="19"/>
      <c r="O664" s="19"/>
      <c r="P664" s="43" t="str">
        <f aca="false">IF($E664="","",IF($L664="Decline",0,IF($L664="Approve fewer",IF($M664="","",$M664),IF($L664="","",$I664))))</f>
        <v/>
      </c>
      <c r="Q664" s="34" t="str">
        <f aca="false">IF($P664="","",IF($N664&lt;&gt;"",$N664,$J664))</f>
        <v/>
      </c>
      <c r="R664" s="35" t="str">
        <f aca="false">IF(OR($P664="",$Q664=""),"",INDEX(BookRate,659)*$P664*(5-MATCH($Q664,{"Q1";"Q2";"Q3";"Q4"},0))/4+INDEX(BookOneOff,659)*$P664)</f>
        <v/>
      </c>
      <c r="S664" s="35" t="str">
        <f aca="false">IF($P664="","",INDEX(BookRate,659)*$P664)</f>
        <v/>
      </c>
      <c r="T664" s="35" t="str">
        <f aca="false">IF($R664="","",$R664-$K664)</f>
        <v/>
      </c>
      <c r="U664" s="35" t="str">
        <f aca="false">IF(N($P664)&lt;=0,"",COUNTIF($P$6:$P664,"&gt;0"))</f>
        <v/>
      </c>
    </row>
    <row r="665" customFormat="false" ht="15" hidden="false" customHeight="false" outlineLevel="0" collapsed="false">
      <c r="A665" s="40" t="str">
        <f aca="false">IF(INDEX(BookTitle,660)="","",INDEX(BookGroup,660))</f>
        <v/>
      </c>
      <c r="B665" s="40" t="str">
        <f aca="false">IF(INDEX(BookTitle,660)="","",INDEX(BookRef,660))</f>
        <v/>
      </c>
      <c r="C665" s="40" t="str">
        <f aca="false">IF(INDEX(BookTitle,660)="","",INDEX(BookDivision,660))</f>
        <v/>
      </c>
      <c r="D665" s="40" t="str">
        <f aca="false">IF(INDEX(BookTitle,660)="","",INDEX(BookUnit,660))</f>
        <v/>
      </c>
      <c r="E665" s="40" t="str">
        <f aca="false">IF(INDEX(BookTitle,660)="","",INDEX(BookTitle,660))</f>
        <v/>
      </c>
      <c r="F665" s="40" t="str">
        <f aca="false">IF(INDEX(BookTitle,660)="","",INDEX(BookLevel,660))</f>
        <v/>
      </c>
      <c r="G665" s="40" t="str">
        <f aca="false">IF(INDEX(BookTitle,660)="","",INDEX(BookCategory,660))</f>
        <v/>
      </c>
      <c r="H665" s="40" t="str">
        <f aca="false">IF(INDEX(BookTitle,660)="","",INDEX(BookRank,660))</f>
        <v/>
      </c>
      <c r="I665" s="41" t="str">
        <f aca="false">IF(INDEX(BookTitle,660)="","",INDEX(BookTotal,660))</f>
        <v/>
      </c>
      <c r="J665" s="0" t="str">
        <f aca="false">IF($I665="","",IF(INDEX(BookQ1,660)&gt;0,"Q1",IF(INDEX(BookQ2,660)&gt;0,"Q2",IF(INDEX(BookQ3,660)&gt;0,"Q3",IF(INDEX(BookQ4,660)&gt;0,"Q4","")))))</f>
        <v/>
      </c>
      <c r="K665" s="42" t="str">
        <f aca="false">IF(INDEX(BookTitle,660)="","",INDEX(BookInYear,660))</f>
        <v/>
      </c>
      <c r="L665" s="19"/>
      <c r="M665" s="39"/>
      <c r="N665" s="19"/>
      <c r="O665" s="19"/>
      <c r="P665" s="43" t="str">
        <f aca="false">IF($E665="","",IF($L665="Decline",0,IF($L665="Approve fewer",IF($M665="","",$M665),IF($L665="","",$I665))))</f>
        <v/>
      </c>
      <c r="Q665" s="34" t="str">
        <f aca="false">IF($P665="","",IF($N665&lt;&gt;"",$N665,$J665))</f>
        <v/>
      </c>
      <c r="R665" s="35" t="str">
        <f aca="false">IF(OR($P665="",$Q665=""),"",INDEX(BookRate,660)*$P665*(5-MATCH($Q665,{"Q1";"Q2";"Q3";"Q4"},0))/4+INDEX(BookOneOff,660)*$P665)</f>
        <v/>
      </c>
      <c r="S665" s="35" t="str">
        <f aca="false">IF($P665="","",INDEX(BookRate,660)*$P665)</f>
        <v/>
      </c>
      <c r="T665" s="35" t="str">
        <f aca="false">IF($R665="","",$R665-$K665)</f>
        <v/>
      </c>
      <c r="U665" s="35" t="str">
        <f aca="false">IF(N($P665)&lt;=0,"",COUNTIF($P$6:$P665,"&gt;0"))</f>
        <v/>
      </c>
    </row>
    <row r="666" customFormat="false" ht="15" hidden="false" customHeight="false" outlineLevel="0" collapsed="false">
      <c r="A666" s="40" t="str">
        <f aca="false">IF(INDEX(BookTitle,661)="","",INDEX(BookGroup,661))</f>
        <v/>
      </c>
      <c r="B666" s="40" t="str">
        <f aca="false">IF(INDEX(BookTitle,661)="","",INDEX(BookRef,661))</f>
        <v/>
      </c>
      <c r="C666" s="40" t="str">
        <f aca="false">IF(INDEX(BookTitle,661)="","",INDEX(BookDivision,661))</f>
        <v/>
      </c>
      <c r="D666" s="40" t="str">
        <f aca="false">IF(INDEX(BookTitle,661)="","",INDEX(BookUnit,661))</f>
        <v/>
      </c>
      <c r="E666" s="40" t="str">
        <f aca="false">IF(INDEX(BookTitle,661)="","",INDEX(BookTitle,661))</f>
        <v/>
      </c>
      <c r="F666" s="40" t="str">
        <f aca="false">IF(INDEX(BookTitle,661)="","",INDEX(BookLevel,661))</f>
        <v/>
      </c>
      <c r="G666" s="40" t="str">
        <f aca="false">IF(INDEX(BookTitle,661)="","",INDEX(BookCategory,661))</f>
        <v/>
      </c>
      <c r="H666" s="40" t="str">
        <f aca="false">IF(INDEX(BookTitle,661)="","",INDEX(BookRank,661))</f>
        <v/>
      </c>
      <c r="I666" s="41" t="str">
        <f aca="false">IF(INDEX(BookTitle,661)="","",INDEX(BookTotal,661))</f>
        <v/>
      </c>
      <c r="J666" s="0" t="str">
        <f aca="false">IF($I666="","",IF(INDEX(BookQ1,661)&gt;0,"Q1",IF(INDEX(BookQ2,661)&gt;0,"Q2",IF(INDEX(BookQ3,661)&gt;0,"Q3",IF(INDEX(BookQ4,661)&gt;0,"Q4","")))))</f>
        <v/>
      </c>
      <c r="K666" s="42" t="str">
        <f aca="false">IF(INDEX(BookTitle,661)="","",INDEX(BookInYear,661))</f>
        <v/>
      </c>
      <c r="L666" s="19"/>
      <c r="M666" s="39"/>
      <c r="N666" s="19"/>
      <c r="O666" s="19"/>
      <c r="P666" s="43" t="str">
        <f aca="false">IF($E666="","",IF($L666="Decline",0,IF($L666="Approve fewer",IF($M666="","",$M666),IF($L666="","",$I666))))</f>
        <v/>
      </c>
      <c r="Q666" s="34" t="str">
        <f aca="false">IF($P666="","",IF($N666&lt;&gt;"",$N666,$J666))</f>
        <v/>
      </c>
      <c r="R666" s="35" t="str">
        <f aca="false">IF(OR($P666="",$Q666=""),"",INDEX(BookRate,661)*$P666*(5-MATCH($Q666,{"Q1";"Q2";"Q3";"Q4"},0))/4+INDEX(BookOneOff,661)*$P666)</f>
        <v/>
      </c>
      <c r="S666" s="35" t="str">
        <f aca="false">IF($P666="","",INDEX(BookRate,661)*$P666)</f>
        <v/>
      </c>
      <c r="T666" s="35" t="str">
        <f aca="false">IF($R666="","",$R666-$K666)</f>
        <v/>
      </c>
      <c r="U666" s="35" t="str">
        <f aca="false">IF(N($P666)&lt;=0,"",COUNTIF($P$6:$P666,"&gt;0"))</f>
        <v/>
      </c>
    </row>
    <row r="667" customFormat="false" ht="15" hidden="false" customHeight="false" outlineLevel="0" collapsed="false">
      <c r="A667" s="40" t="str">
        <f aca="false">IF(INDEX(BookTitle,662)="","",INDEX(BookGroup,662))</f>
        <v/>
      </c>
      <c r="B667" s="40" t="str">
        <f aca="false">IF(INDEX(BookTitle,662)="","",INDEX(BookRef,662))</f>
        <v/>
      </c>
      <c r="C667" s="40" t="str">
        <f aca="false">IF(INDEX(BookTitle,662)="","",INDEX(BookDivision,662))</f>
        <v/>
      </c>
      <c r="D667" s="40" t="str">
        <f aca="false">IF(INDEX(BookTitle,662)="","",INDEX(BookUnit,662))</f>
        <v/>
      </c>
      <c r="E667" s="40" t="str">
        <f aca="false">IF(INDEX(BookTitle,662)="","",INDEX(BookTitle,662))</f>
        <v/>
      </c>
      <c r="F667" s="40" t="str">
        <f aca="false">IF(INDEX(BookTitle,662)="","",INDEX(BookLevel,662))</f>
        <v/>
      </c>
      <c r="G667" s="40" t="str">
        <f aca="false">IF(INDEX(BookTitle,662)="","",INDEX(BookCategory,662))</f>
        <v/>
      </c>
      <c r="H667" s="40" t="str">
        <f aca="false">IF(INDEX(BookTitle,662)="","",INDEX(BookRank,662))</f>
        <v/>
      </c>
      <c r="I667" s="41" t="str">
        <f aca="false">IF(INDEX(BookTitle,662)="","",INDEX(BookTotal,662))</f>
        <v/>
      </c>
      <c r="J667" s="0" t="str">
        <f aca="false">IF($I667="","",IF(INDEX(BookQ1,662)&gt;0,"Q1",IF(INDEX(BookQ2,662)&gt;0,"Q2",IF(INDEX(BookQ3,662)&gt;0,"Q3",IF(INDEX(BookQ4,662)&gt;0,"Q4","")))))</f>
        <v/>
      </c>
      <c r="K667" s="42" t="str">
        <f aca="false">IF(INDEX(BookTitle,662)="","",INDEX(BookInYear,662))</f>
        <v/>
      </c>
      <c r="L667" s="19"/>
      <c r="M667" s="39"/>
      <c r="N667" s="19"/>
      <c r="O667" s="19"/>
      <c r="P667" s="43" t="str">
        <f aca="false">IF($E667="","",IF($L667="Decline",0,IF($L667="Approve fewer",IF($M667="","",$M667),IF($L667="","",$I667))))</f>
        <v/>
      </c>
      <c r="Q667" s="34" t="str">
        <f aca="false">IF($P667="","",IF($N667&lt;&gt;"",$N667,$J667))</f>
        <v/>
      </c>
      <c r="R667" s="35" t="str">
        <f aca="false">IF(OR($P667="",$Q667=""),"",INDEX(BookRate,662)*$P667*(5-MATCH($Q667,{"Q1";"Q2";"Q3";"Q4"},0))/4+INDEX(BookOneOff,662)*$P667)</f>
        <v/>
      </c>
      <c r="S667" s="35" t="str">
        <f aca="false">IF($P667="","",INDEX(BookRate,662)*$P667)</f>
        <v/>
      </c>
      <c r="T667" s="35" t="str">
        <f aca="false">IF($R667="","",$R667-$K667)</f>
        <v/>
      </c>
      <c r="U667" s="35" t="str">
        <f aca="false">IF(N($P667)&lt;=0,"",COUNTIF($P$6:$P667,"&gt;0"))</f>
        <v/>
      </c>
    </row>
    <row r="668" customFormat="false" ht="15" hidden="false" customHeight="false" outlineLevel="0" collapsed="false">
      <c r="A668" s="40" t="str">
        <f aca="false">IF(INDEX(BookTitle,663)="","",INDEX(BookGroup,663))</f>
        <v/>
      </c>
      <c r="B668" s="40" t="str">
        <f aca="false">IF(INDEX(BookTitle,663)="","",INDEX(BookRef,663))</f>
        <v/>
      </c>
      <c r="C668" s="40" t="str">
        <f aca="false">IF(INDEX(BookTitle,663)="","",INDEX(BookDivision,663))</f>
        <v/>
      </c>
      <c r="D668" s="40" t="str">
        <f aca="false">IF(INDEX(BookTitle,663)="","",INDEX(BookUnit,663))</f>
        <v/>
      </c>
      <c r="E668" s="40" t="str">
        <f aca="false">IF(INDEX(BookTitle,663)="","",INDEX(BookTitle,663))</f>
        <v/>
      </c>
      <c r="F668" s="40" t="str">
        <f aca="false">IF(INDEX(BookTitle,663)="","",INDEX(BookLevel,663))</f>
        <v/>
      </c>
      <c r="G668" s="40" t="str">
        <f aca="false">IF(INDEX(BookTitle,663)="","",INDEX(BookCategory,663))</f>
        <v/>
      </c>
      <c r="H668" s="40" t="str">
        <f aca="false">IF(INDEX(BookTitle,663)="","",INDEX(BookRank,663))</f>
        <v/>
      </c>
      <c r="I668" s="41" t="str">
        <f aca="false">IF(INDEX(BookTitle,663)="","",INDEX(BookTotal,663))</f>
        <v/>
      </c>
      <c r="J668" s="0" t="str">
        <f aca="false">IF($I668="","",IF(INDEX(BookQ1,663)&gt;0,"Q1",IF(INDEX(BookQ2,663)&gt;0,"Q2",IF(INDEX(BookQ3,663)&gt;0,"Q3",IF(INDEX(BookQ4,663)&gt;0,"Q4","")))))</f>
        <v/>
      </c>
      <c r="K668" s="42" t="str">
        <f aca="false">IF(INDEX(BookTitle,663)="","",INDEX(BookInYear,663))</f>
        <v/>
      </c>
      <c r="L668" s="19"/>
      <c r="M668" s="39"/>
      <c r="N668" s="19"/>
      <c r="O668" s="19"/>
      <c r="P668" s="43" t="str">
        <f aca="false">IF($E668="","",IF($L668="Decline",0,IF($L668="Approve fewer",IF($M668="","",$M668),IF($L668="","",$I668))))</f>
        <v/>
      </c>
      <c r="Q668" s="34" t="str">
        <f aca="false">IF($P668="","",IF($N668&lt;&gt;"",$N668,$J668))</f>
        <v/>
      </c>
      <c r="R668" s="35" t="str">
        <f aca="false">IF(OR($P668="",$Q668=""),"",INDEX(BookRate,663)*$P668*(5-MATCH($Q668,{"Q1";"Q2";"Q3";"Q4"},0))/4+INDEX(BookOneOff,663)*$P668)</f>
        <v/>
      </c>
      <c r="S668" s="35" t="str">
        <f aca="false">IF($P668="","",INDEX(BookRate,663)*$P668)</f>
        <v/>
      </c>
      <c r="T668" s="35" t="str">
        <f aca="false">IF($R668="","",$R668-$K668)</f>
        <v/>
      </c>
      <c r="U668" s="35" t="str">
        <f aca="false">IF(N($P668)&lt;=0,"",COUNTIF($P$6:$P668,"&gt;0"))</f>
        <v/>
      </c>
    </row>
    <row r="669" customFormat="false" ht="15" hidden="false" customHeight="false" outlineLevel="0" collapsed="false">
      <c r="A669" s="40" t="str">
        <f aca="false">IF(INDEX(BookTitle,664)="","",INDEX(BookGroup,664))</f>
        <v/>
      </c>
      <c r="B669" s="40" t="str">
        <f aca="false">IF(INDEX(BookTitle,664)="","",INDEX(BookRef,664))</f>
        <v/>
      </c>
      <c r="C669" s="40" t="str">
        <f aca="false">IF(INDEX(BookTitle,664)="","",INDEX(BookDivision,664))</f>
        <v/>
      </c>
      <c r="D669" s="40" t="str">
        <f aca="false">IF(INDEX(BookTitle,664)="","",INDEX(BookUnit,664))</f>
        <v/>
      </c>
      <c r="E669" s="40" t="str">
        <f aca="false">IF(INDEX(BookTitle,664)="","",INDEX(BookTitle,664))</f>
        <v/>
      </c>
      <c r="F669" s="40" t="str">
        <f aca="false">IF(INDEX(BookTitle,664)="","",INDEX(BookLevel,664))</f>
        <v/>
      </c>
      <c r="G669" s="40" t="str">
        <f aca="false">IF(INDEX(BookTitle,664)="","",INDEX(BookCategory,664))</f>
        <v/>
      </c>
      <c r="H669" s="40" t="str">
        <f aca="false">IF(INDEX(BookTitle,664)="","",INDEX(BookRank,664))</f>
        <v/>
      </c>
      <c r="I669" s="41" t="str">
        <f aca="false">IF(INDEX(BookTitle,664)="","",INDEX(BookTotal,664))</f>
        <v/>
      </c>
      <c r="J669" s="0" t="str">
        <f aca="false">IF($I669="","",IF(INDEX(BookQ1,664)&gt;0,"Q1",IF(INDEX(BookQ2,664)&gt;0,"Q2",IF(INDEX(BookQ3,664)&gt;0,"Q3",IF(INDEX(BookQ4,664)&gt;0,"Q4","")))))</f>
        <v/>
      </c>
      <c r="K669" s="42" t="str">
        <f aca="false">IF(INDEX(BookTitle,664)="","",INDEX(BookInYear,664))</f>
        <v/>
      </c>
      <c r="L669" s="19"/>
      <c r="M669" s="39"/>
      <c r="N669" s="19"/>
      <c r="O669" s="19"/>
      <c r="P669" s="43" t="str">
        <f aca="false">IF($E669="","",IF($L669="Decline",0,IF($L669="Approve fewer",IF($M669="","",$M669),IF($L669="","",$I669))))</f>
        <v/>
      </c>
      <c r="Q669" s="34" t="str">
        <f aca="false">IF($P669="","",IF($N669&lt;&gt;"",$N669,$J669))</f>
        <v/>
      </c>
      <c r="R669" s="35" t="str">
        <f aca="false">IF(OR($P669="",$Q669=""),"",INDEX(BookRate,664)*$P669*(5-MATCH($Q669,{"Q1";"Q2";"Q3";"Q4"},0))/4+INDEX(BookOneOff,664)*$P669)</f>
        <v/>
      </c>
      <c r="S669" s="35" t="str">
        <f aca="false">IF($P669="","",INDEX(BookRate,664)*$P669)</f>
        <v/>
      </c>
      <c r="T669" s="35" t="str">
        <f aca="false">IF($R669="","",$R669-$K669)</f>
        <v/>
      </c>
      <c r="U669" s="35" t="str">
        <f aca="false">IF(N($P669)&lt;=0,"",COUNTIF($P$6:$P669,"&gt;0"))</f>
        <v/>
      </c>
    </row>
    <row r="670" customFormat="false" ht="15" hidden="false" customHeight="false" outlineLevel="0" collapsed="false">
      <c r="A670" s="40" t="str">
        <f aca="false">IF(INDEX(BookTitle,665)="","",INDEX(BookGroup,665))</f>
        <v/>
      </c>
      <c r="B670" s="40" t="str">
        <f aca="false">IF(INDEX(BookTitle,665)="","",INDEX(BookRef,665))</f>
        <v/>
      </c>
      <c r="C670" s="40" t="str">
        <f aca="false">IF(INDEX(BookTitle,665)="","",INDEX(BookDivision,665))</f>
        <v/>
      </c>
      <c r="D670" s="40" t="str">
        <f aca="false">IF(INDEX(BookTitle,665)="","",INDEX(BookUnit,665))</f>
        <v/>
      </c>
      <c r="E670" s="40" t="str">
        <f aca="false">IF(INDEX(BookTitle,665)="","",INDEX(BookTitle,665))</f>
        <v/>
      </c>
      <c r="F670" s="40" t="str">
        <f aca="false">IF(INDEX(BookTitle,665)="","",INDEX(BookLevel,665))</f>
        <v/>
      </c>
      <c r="G670" s="40" t="str">
        <f aca="false">IF(INDEX(BookTitle,665)="","",INDEX(BookCategory,665))</f>
        <v/>
      </c>
      <c r="H670" s="40" t="str">
        <f aca="false">IF(INDEX(BookTitle,665)="","",INDEX(BookRank,665))</f>
        <v/>
      </c>
      <c r="I670" s="41" t="str">
        <f aca="false">IF(INDEX(BookTitle,665)="","",INDEX(BookTotal,665))</f>
        <v/>
      </c>
      <c r="J670" s="0" t="str">
        <f aca="false">IF($I670="","",IF(INDEX(BookQ1,665)&gt;0,"Q1",IF(INDEX(BookQ2,665)&gt;0,"Q2",IF(INDEX(BookQ3,665)&gt;0,"Q3",IF(INDEX(BookQ4,665)&gt;0,"Q4","")))))</f>
        <v/>
      </c>
      <c r="K670" s="42" t="str">
        <f aca="false">IF(INDEX(BookTitle,665)="","",INDEX(BookInYear,665))</f>
        <v/>
      </c>
      <c r="L670" s="19"/>
      <c r="M670" s="39"/>
      <c r="N670" s="19"/>
      <c r="O670" s="19"/>
      <c r="P670" s="43" t="str">
        <f aca="false">IF($E670="","",IF($L670="Decline",0,IF($L670="Approve fewer",IF($M670="","",$M670),IF($L670="","",$I670))))</f>
        <v/>
      </c>
      <c r="Q670" s="34" t="str">
        <f aca="false">IF($P670="","",IF($N670&lt;&gt;"",$N670,$J670))</f>
        <v/>
      </c>
      <c r="R670" s="35" t="str">
        <f aca="false">IF(OR($P670="",$Q670=""),"",INDEX(BookRate,665)*$P670*(5-MATCH($Q670,{"Q1";"Q2";"Q3";"Q4"},0))/4+INDEX(BookOneOff,665)*$P670)</f>
        <v/>
      </c>
      <c r="S670" s="35" t="str">
        <f aca="false">IF($P670="","",INDEX(BookRate,665)*$P670)</f>
        <v/>
      </c>
      <c r="T670" s="35" t="str">
        <f aca="false">IF($R670="","",$R670-$K670)</f>
        <v/>
      </c>
      <c r="U670" s="35" t="str">
        <f aca="false">IF(N($P670)&lt;=0,"",COUNTIF($P$6:$P670,"&gt;0"))</f>
        <v/>
      </c>
    </row>
    <row r="671" customFormat="false" ht="15" hidden="false" customHeight="false" outlineLevel="0" collapsed="false">
      <c r="A671" s="40" t="str">
        <f aca="false">IF(INDEX(BookTitle,666)="","",INDEX(BookGroup,666))</f>
        <v/>
      </c>
      <c r="B671" s="40" t="str">
        <f aca="false">IF(INDEX(BookTitle,666)="","",INDEX(BookRef,666))</f>
        <v/>
      </c>
      <c r="C671" s="40" t="str">
        <f aca="false">IF(INDEX(BookTitle,666)="","",INDEX(BookDivision,666))</f>
        <v/>
      </c>
      <c r="D671" s="40" t="str">
        <f aca="false">IF(INDEX(BookTitle,666)="","",INDEX(BookUnit,666))</f>
        <v/>
      </c>
      <c r="E671" s="40" t="str">
        <f aca="false">IF(INDEX(BookTitle,666)="","",INDEX(BookTitle,666))</f>
        <v/>
      </c>
      <c r="F671" s="40" t="str">
        <f aca="false">IF(INDEX(BookTitle,666)="","",INDEX(BookLevel,666))</f>
        <v/>
      </c>
      <c r="G671" s="40" t="str">
        <f aca="false">IF(INDEX(BookTitle,666)="","",INDEX(BookCategory,666))</f>
        <v/>
      </c>
      <c r="H671" s="40" t="str">
        <f aca="false">IF(INDEX(BookTitle,666)="","",INDEX(BookRank,666))</f>
        <v/>
      </c>
      <c r="I671" s="41" t="str">
        <f aca="false">IF(INDEX(BookTitle,666)="","",INDEX(BookTotal,666))</f>
        <v/>
      </c>
      <c r="J671" s="0" t="str">
        <f aca="false">IF($I671="","",IF(INDEX(BookQ1,666)&gt;0,"Q1",IF(INDEX(BookQ2,666)&gt;0,"Q2",IF(INDEX(BookQ3,666)&gt;0,"Q3",IF(INDEX(BookQ4,666)&gt;0,"Q4","")))))</f>
        <v/>
      </c>
      <c r="K671" s="42" t="str">
        <f aca="false">IF(INDEX(BookTitle,666)="","",INDEX(BookInYear,666))</f>
        <v/>
      </c>
      <c r="L671" s="19"/>
      <c r="M671" s="39"/>
      <c r="N671" s="19"/>
      <c r="O671" s="19"/>
      <c r="P671" s="43" t="str">
        <f aca="false">IF($E671="","",IF($L671="Decline",0,IF($L671="Approve fewer",IF($M671="","",$M671),IF($L671="","",$I671))))</f>
        <v/>
      </c>
      <c r="Q671" s="34" t="str">
        <f aca="false">IF($P671="","",IF($N671&lt;&gt;"",$N671,$J671))</f>
        <v/>
      </c>
      <c r="R671" s="35" t="str">
        <f aca="false">IF(OR($P671="",$Q671=""),"",INDEX(BookRate,666)*$P671*(5-MATCH($Q671,{"Q1";"Q2";"Q3";"Q4"},0))/4+INDEX(BookOneOff,666)*$P671)</f>
        <v/>
      </c>
      <c r="S671" s="35" t="str">
        <f aca="false">IF($P671="","",INDEX(BookRate,666)*$P671)</f>
        <v/>
      </c>
      <c r="T671" s="35" t="str">
        <f aca="false">IF($R671="","",$R671-$K671)</f>
        <v/>
      </c>
      <c r="U671" s="35" t="str">
        <f aca="false">IF(N($P671)&lt;=0,"",COUNTIF($P$6:$P671,"&gt;0"))</f>
        <v/>
      </c>
    </row>
    <row r="672" customFormat="false" ht="15" hidden="false" customHeight="false" outlineLevel="0" collapsed="false">
      <c r="A672" s="40" t="str">
        <f aca="false">IF(INDEX(BookTitle,667)="","",INDEX(BookGroup,667))</f>
        <v/>
      </c>
      <c r="B672" s="40" t="str">
        <f aca="false">IF(INDEX(BookTitle,667)="","",INDEX(BookRef,667))</f>
        <v/>
      </c>
      <c r="C672" s="40" t="str">
        <f aca="false">IF(INDEX(BookTitle,667)="","",INDEX(BookDivision,667))</f>
        <v/>
      </c>
      <c r="D672" s="40" t="str">
        <f aca="false">IF(INDEX(BookTitle,667)="","",INDEX(BookUnit,667))</f>
        <v/>
      </c>
      <c r="E672" s="40" t="str">
        <f aca="false">IF(INDEX(BookTitle,667)="","",INDEX(BookTitle,667))</f>
        <v/>
      </c>
      <c r="F672" s="40" t="str">
        <f aca="false">IF(INDEX(BookTitle,667)="","",INDEX(BookLevel,667))</f>
        <v/>
      </c>
      <c r="G672" s="40" t="str">
        <f aca="false">IF(INDEX(BookTitle,667)="","",INDEX(BookCategory,667))</f>
        <v/>
      </c>
      <c r="H672" s="40" t="str">
        <f aca="false">IF(INDEX(BookTitle,667)="","",INDEX(BookRank,667))</f>
        <v/>
      </c>
      <c r="I672" s="41" t="str">
        <f aca="false">IF(INDEX(BookTitle,667)="","",INDEX(BookTotal,667))</f>
        <v/>
      </c>
      <c r="J672" s="0" t="str">
        <f aca="false">IF($I672="","",IF(INDEX(BookQ1,667)&gt;0,"Q1",IF(INDEX(BookQ2,667)&gt;0,"Q2",IF(INDEX(BookQ3,667)&gt;0,"Q3",IF(INDEX(BookQ4,667)&gt;0,"Q4","")))))</f>
        <v/>
      </c>
      <c r="K672" s="42" t="str">
        <f aca="false">IF(INDEX(BookTitle,667)="","",INDEX(BookInYear,667))</f>
        <v/>
      </c>
      <c r="L672" s="19"/>
      <c r="M672" s="39"/>
      <c r="N672" s="19"/>
      <c r="O672" s="19"/>
      <c r="P672" s="43" t="str">
        <f aca="false">IF($E672="","",IF($L672="Decline",0,IF($L672="Approve fewer",IF($M672="","",$M672),IF($L672="","",$I672))))</f>
        <v/>
      </c>
      <c r="Q672" s="34" t="str">
        <f aca="false">IF($P672="","",IF($N672&lt;&gt;"",$N672,$J672))</f>
        <v/>
      </c>
      <c r="R672" s="35" t="str">
        <f aca="false">IF(OR($P672="",$Q672=""),"",INDEX(BookRate,667)*$P672*(5-MATCH($Q672,{"Q1";"Q2";"Q3";"Q4"},0))/4+INDEX(BookOneOff,667)*$P672)</f>
        <v/>
      </c>
      <c r="S672" s="35" t="str">
        <f aca="false">IF($P672="","",INDEX(BookRate,667)*$P672)</f>
        <v/>
      </c>
      <c r="T672" s="35" t="str">
        <f aca="false">IF($R672="","",$R672-$K672)</f>
        <v/>
      </c>
      <c r="U672" s="35" t="str">
        <f aca="false">IF(N($P672)&lt;=0,"",COUNTIF($P$6:$P672,"&gt;0"))</f>
        <v/>
      </c>
    </row>
    <row r="673" customFormat="false" ht="15" hidden="false" customHeight="false" outlineLevel="0" collapsed="false">
      <c r="A673" s="40" t="str">
        <f aca="false">IF(INDEX(BookTitle,668)="","",INDEX(BookGroup,668))</f>
        <v/>
      </c>
      <c r="B673" s="40" t="str">
        <f aca="false">IF(INDEX(BookTitle,668)="","",INDEX(BookRef,668))</f>
        <v/>
      </c>
      <c r="C673" s="40" t="str">
        <f aca="false">IF(INDEX(BookTitle,668)="","",INDEX(BookDivision,668))</f>
        <v/>
      </c>
      <c r="D673" s="40" t="str">
        <f aca="false">IF(INDEX(BookTitle,668)="","",INDEX(BookUnit,668))</f>
        <v/>
      </c>
      <c r="E673" s="40" t="str">
        <f aca="false">IF(INDEX(BookTitle,668)="","",INDEX(BookTitle,668))</f>
        <v/>
      </c>
      <c r="F673" s="40" t="str">
        <f aca="false">IF(INDEX(BookTitle,668)="","",INDEX(BookLevel,668))</f>
        <v/>
      </c>
      <c r="G673" s="40" t="str">
        <f aca="false">IF(INDEX(BookTitle,668)="","",INDEX(BookCategory,668))</f>
        <v/>
      </c>
      <c r="H673" s="40" t="str">
        <f aca="false">IF(INDEX(BookTitle,668)="","",INDEX(BookRank,668))</f>
        <v/>
      </c>
      <c r="I673" s="41" t="str">
        <f aca="false">IF(INDEX(BookTitle,668)="","",INDEX(BookTotal,668))</f>
        <v/>
      </c>
      <c r="J673" s="0" t="str">
        <f aca="false">IF($I673="","",IF(INDEX(BookQ1,668)&gt;0,"Q1",IF(INDEX(BookQ2,668)&gt;0,"Q2",IF(INDEX(BookQ3,668)&gt;0,"Q3",IF(INDEX(BookQ4,668)&gt;0,"Q4","")))))</f>
        <v/>
      </c>
      <c r="K673" s="42" t="str">
        <f aca="false">IF(INDEX(BookTitle,668)="","",INDEX(BookInYear,668))</f>
        <v/>
      </c>
      <c r="L673" s="19"/>
      <c r="M673" s="39"/>
      <c r="N673" s="19"/>
      <c r="O673" s="19"/>
      <c r="P673" s="43" t="str">
        <f aca="false">IF($E673="","",IF($L673="Decline",0,IF($L673="Approve fewer",IF($M673="","",$M673),IF($L673="","",$I673))))</f>
        <v/>
      </c>
      <c r="Q673" s="34" t="str">
        <f aca="false">IF($P673="","",IF($N673&lt;&gt;"",$N673,$J673))</f>
        <v/>
      </c>
      <c r="R673" s="35" t="str">
        <f aca="false">IF(OR($P673="",$Q673=""),"",INDEX(BookRate,668)*$P673*(5-MATCH($Q673,{"Q1";"Q2";"Q3";"Q4"},0))/4+INDEX(BookOneOff,668)*$P673)</f>
        <v/>
      </c>
      <c r="S673" s="35" t="str">
        <f aca="false">IF($P673="","",INDEX(BookRate,668)*$P673)</f>
        <v/>
      </c>
      <c r="T673" s="35" t="str">
        <f aca="false">IF($R673="","",$R673-$K673)</f>
        <v/>
      </c>
      <c r="U673" s="35" t="str">
        <f aca="false">IF(N($P673)&lt;=0,"",COUNTIF($P$6:$P673,"&gt;0"))</f>
        <v/>
      </c>
    </row>
    <row r="674" customFormat="false" ht="15" hidden="false" customHeight="false" outlineLevel="0" collapsed="false">
      <c r="A674" s="40" t="str">
        <f aca="false">IF(INDEX(BookTitle,669)="","",INDEX(BookGroup,669))</f>
        <v/>
      </c>
      <c r="B674" s="40" t="str">
        <f aca="false">IF(INDEX(BookTitle,669)="","",INDEX(BookRef,669))</f>
        <v/>
      </c>
      <c r="C674" s="40" t="str">
        <f aca="false">IF(INDEX(BookTitle,669)="","",INDEX(BookDivision,669))</f>
        <v/>
      </c>
      <c r="D674" s="40" t="str">
        <f aca="false">IF(INDEX(BookTitle,669)="","",INDEX(BookUnit,669))</f>
        <v/>
      </c>
      <c r="E674" s="40" t="str">
        <f aca="false">IF(INDEX(BookTitle,669)="","",INDEX(BookTitle,669))</f>
        <v/>
      </c>
      <c r="F674" s="40" t="str">
        <f aca="false">IF(INDEX(BookTitle,669)="","",INDEX(BookLevel,669))</f>
        <v/>
      </c>
      <c r="G674" s="40" t="str">
        <f aca="false">IF(INDEX(BookTitle,669)="","",INDEX(BookCategory,669))</f>
        <v/>
      </c>
      <c r="H674" s="40" t="str">
        <f aca="false">IF(INDEX(BookTitle,669)="","",INDEX(BookRank,669))</f>
        <v/>
      </c>
      <c r="I674" s="41" t="str">
        <f aca="false">IF(INDEX(BookTitle,669)="","",INDEX(BookTotal,669))</f>
        <v/>
      </c>
      <c r="J674" s="0" t="str">
        <f aca="false">IF($I674="","",IF(INDEX(BookQ1,669)&gt;0,"Q1",IF(INDEX(BookQ2,669)&gt;0,"Q2",IF(INDEX(BookQ3,669)&gt;0,"Q3",IF(INDEX(BookQ4,669)&gt;0,"Q4","")))))</f>
        <v/>
      </c>
      <c r="K674" s="42" t="str">
        <f aca="false">IF(INDEX(BookTitle,669)="","",INDEX(BookInYear,669))</f>
        <v/>
      </c>
      <c r="L674" s="19"/>
      <c r="M674" s="39"/>
      <c r="N674" s="19"/>
      <c r="O674" s="19"/>
      <c r="P674" s="43" t="str">
        <f aca="false">IF($E674="","",IF($L674="Decline",0,IF($L674="Approve fewer",IF($M674="","",$M674),IF($L674="","",$I674))))</f>
        <v/>
      </c>
      <c r="Q674" s="34" t="str">
        <f aca="false">IF($P674="","",IF($N674&lt;&gt;"",$N674,$J674))</f>
        <v/>
      </c>
      <c r="R674" s="35" t="str">
        <f aca="false">IF(OR($P674="",$Q674=""),"",INDEX(BookRate,669)*$P674*(5-MATCH($Q674,{"Q1";"Q2";"Q3";"Q4"},0))/4+INDEX(BookOneOff,669)*$P674)</f>
        <v/>
      </c>
      <c r="S674" s="35" t="str">
        <f aca="false">IF($P674="","",INDEX(BookRate,669)*$P674)</f>
        <v/>
      </c>
      <c r="T674" s="35" t="str">
        <f aca="false">IF($R674="","",$R674-$K674)</f>
        <v/>
      </c>
      <c r="U674" s="35" t="str">
        <f aca="false">IF(N($P674)&lt;=0,"",COUNTIF($P$6:$P674,"&gt;0"))</f>
        <v/>
      </c>
    </row>
    <row r="675" customFormat="false" ht="15" hidden="false" customHeight="false" outlineLevel="0" collapsed="false">
      <c r="A675" s="40" t="str">
        <f aca="false">IF(INDEX(BookTitle,670)="","",INDEX(BookGroup,670))</f>
        <v/>
      </c>
      <c r="B675" s="40" t="str">
        <f aca="false">IF(INDEX(BookTitle,670)="","",INDEX(BookRef,670))</f>
        <v/>
      </c>
      <c r="C675" s="40" t="str">
        <f aca="false">IF(INDEX(BookTitle,670)="","",INDEX(BookDivision,670))</f>
        <v/>
      </c>
      <c r="D675" s="40" t="str">
        <f aca="false">IF(INDEX(BookTitle,670)="","",INDEX(BookUnit,670))</f>
        <v/>
      </c>
      <c r="E675" s="40" t="str">
        <f aca="false">IF(INDEX(BookTitle,670)="","",INDEX(BookTitle,670))</f>
        <v/>
      </c>
      <c r="F675" s="40" t="str">
        <f aca="false">IF(INDEX(BookTitle,670)="","",INDEX(BookLevel,670))</f>
        <v/>
      </c>
      <c r="G675" s="40" t="str">
        <f aca="false">IF(INDEX(BookTitle,670)="","",INDEX(BookCategory,670))</f>
        <v/>
      </c>
      <c r="H675" s="40" t="str">
        <f aca="false">IF(INDEX(BookTitle,670)="","",INDEX(BookRank,670))</f>
        <v/>
      </c>
      <c r="I675" s="41" t="str">
        <f aca="false">IF(INDEX(BookTitle,670)="","",INDEX(BookTotal,670))</f>
        <v/>
      </c>
      <c r="J675" s="0" t="str">
        <f aca="false">IF($I675="","",IF(INDEX(BookQ1,670)&gt;0,"Q1",IF(INDEX(BookQ2,670)&gt;0,"Q2",IF(INDEX(BookQ3,670)&gt;0,"Q3",IF(INDEX(BookQ4,670)&gt;0,"Q4","")))))</f>
        <v/>
      </c>
      <c r="K675" s="42" t="str">
        <f aca="false">IF(INDEX(BookTitle,670)="","",INDEX(BookInYear,670))</f>
        <v/>
      </c>
      <c r="L675" s="19"/>
      <c r="M675" s="39"/>
      <c r="N675" s="19"/>
      <c r="O675" s="19"/>
      <c r="P675" s="43" t="str">
        <f aca="false">IF($E675="","",IF($L675="Decline",0,IF($L675="Approve fewer",IF($M675="","",$M675),IF($L675="","",$I675))))</f>
        <v/>
      </c>
      <c r="Q675" s="34" t="str">
        <f aca="false">IF($P675="","",IF($N675&lt;&gt;"",$N675,$J675))</f>
        <v/>
      </c>
      <c r="R675" s="35" t="str">
        <f aca="false">IF(OR($P675="",$Q675=""),"",INDEX(BookRate,670)*$P675*(5-MATCH($Q675,{"Q1";"Q2";"Q3";"Q4"},0))/4+INDEX(BookOneOff,670)*$P675)</f>
        <v/>
      </c>
      <c r="S675" s="35" t="str">
        <f aca="false">IF($P675="","",INDEX(BookRate,670)*$P675)</f>
        <v/>
      </c>
      <c r="T675" s="35" t="str">
        <f aca="false">IF($R675="","",$R675-$K675)</f>
        <v/>
      </c>
      <c r="U675" s="35" t="str">
        <f aca="false">IF(N($P675)&lt;=0,"",COUNTIF($P$6:$P675,"&gt;0"))</f>
        <v/>
      </c>
    </row>
    <row r="676" customFormat="false" ht="15" hidden="false" customHeight="false" outlineLevel="0" collapsed="false">
      <c r="A676" s="40" t="str">
        <f aca="false">IF(INDEX(BookTitle,671)="","",INDEX(BookGroup,671))</f>
        <v/>
      </c>
      <c r="B676" s="40" t="str">
        <f aca="false">IF(INDEX(BookTitle,671)="","",INDEX(BookRef,671))</f>
        <v/>
      </c>
      <c r="C676" s="40" t="str">
        <f aca="false">IF(INDEX(BookTitle,671)="","",INDEX(BookDivision,671))</f>
        <v/>
      </c>
      <c r="D676" s="40" t="str">
        <f aca="false">IF(INDEX(BookTitle,671)="","",INDEX(BookUnit,671))</f>
        <v/>
      </c>
      <c r="E676" s="40" t="str">
        <f aca="false">IF(INDEX(BookTitle,671)="","",INDEX(BookTitle,671))</f>
        <v/>
      </c>
      <c r="F676" s="40" t="str">
        <f aca="false">IF(INDEX(BookTitle,671)="","",INDEX(BookLevel,671))</f>
        <v/>
      </c>
      <c r="G676" s="40" t="str">
        <f aca="false">IF(INDEX(BookTitle,671)="","",INDEX(BookCategory,671))</f>
        <v/>
      </c>
      <c r="H676" s="40" t="str">
        <f aca="false">IF(INDEX(BookTitle,671)="","",INDEX(BookRank,671))</f>
        <v/>
      </c>
      <c r="I676" s="41" t="str">
        <f aca="false">IF(INDEX(BookTitle,671)="","",INDEX(BookTotal,671))</f>
        <v/>
      </c>
      <c r="J676" s="0" t="str">
        <f aca="false">IF($I676="","",IF(INDEX(BookQ1,671)&gt;0,"Q1",IF(INDEX(BookQ2,671)&gt;0,"Q2",IF(INDEX(BookQ3,671)&gt;0,"Q3",IF(INDEX(BookQ4,671)&gt;0,"Q4","")))))</f>
        <v/>
      </c>
      <c r="K676" s="42" t="str">
        <f aca="false">IF(INDEX(BookTitle,671)="","",INDEX(BookInYear,671))</f>
        <v/>
      </c>
      <c r="L676" s="19"/>
      <c r="M676" s="39"/>
      <c r="N676" s="19"/>
      <c r="O676" s="19"/>
      <c r="P676" s="43" t="str">
        <f aca="false">IF($E676="","",IF($L676="Decline",0,IF($L676="Approve fewer",IF($M676="","",$M676),IF($L676="","",$I676))))</f>
        <v/>
      </c>
      <c r="Q676" s="34" t="str">
        <f aca="false">IF($P676="","",IF($N676&lt;&gt;"",$N676,$J676))</f>
        <v/>
      </c>
      <c r="R676" s="35" t="str">
        <f aca="false">IF(OR($P676="",$Q676=""),"",INDEX(BookRate,671)*$P676*(5-MATCH($Q676,{"Q1";"Q2";"Q3";"Q4"},0))/4+INDEX(BookOneOff,671)*$P676)</f>
        <v/>
      </c>
      <c r="S676" s="35" t="str">
        <f aca="false">IF($P676="","",INDEX(BookRate,671)*$P676)</f>
        <v/>
      </c>
      <c r="T676" s="35" t="str">
        <f aca="false">IF($R676="","",$R676-$K676)</f>
        <v/>
      </c>
      <c r="U676" s="35" t="str">
        <f aca="false">IF(N($P676)&lt;=0,"",COUNTIF($P$6:$P676,"&gt;0"))</f>
        <v/>
      </c>
    </row>
    <row r="677" customFormat="false" ht="15" hidden="false" customHeight="false" outlineLevel="0" collapsed="false">
      <c r="A677" s="40" t="str">
        <f aca="false">IF(INDEX(BookTitle,672)="","",INDEX(BookGroup,672))</f>
        <v/>
      </c>
      <c r="B677" s="40" t="str">
        <f aca="false">IF(INDEX(BookTitle,672)="","",INDEX(BookRef,672))</f>
        <v/>
      </c>
      <c r="C677" s="40" t="str">
        <f aca="false">IF(INDEX(BookTitle,672)="","",INDEX(BookDivision,672))</f>
        <v/>
      </c>
      <c r="D677" s="40" t="str">
        <f aca="false">IF(INDEX(BookTitle,672)="","",INDEX(BookUnit,672))</f>
        <v/>
      </c>
      <c r="E677" s="40" t="str">
        <f aca="false">IF(INDEX(BookTitle,672)="","",INDEX(BookTitle,672))</f>
        <v/>
      </c>
      <c r="F677" s="40" t="str">
        <f aca="false">IF(INDEX(BookTitle,672)="","",INDEX(BookLevel,672))</f>
        <v/>
      </c>
      <c r="G677" s="40" t="str">
        <f aca="false">IF(INDEX(BookTitle,672)="","",INDEX(BookCategory,672))</f>
        <v/>
      </c>
      <c r="H677" s="40" t="str">
        <f aca="false">IF(INDEX(BookTitle,672)="","",INDEX(BookRank,672))</f>
        <v/>
      </c>
      <c r="I677" s="41" t="str">
        <f aca="false">IF(INDEX(BookTitle,672)="","",INDEX(BookTotal,672))</f>
        <v/>
      </c>
      <c r="J677" s="0" t="str">
        <f aca="false">IF($I677="","",IF(INDEX(BookQ1,672)&gt;0,"Q1",IF(INDEX(BookQ2,672)&gt;0,"Q2",IF(INDEX(BookQ3,672)&gt;0,"Q3",IF(INDEX(BookQ4,672)&gt;0,"Q4","")))))</f>
        <v/>
      </c>
      <c r="K677" s="42" t="str">
        <f aca="false">IF(INDEX(BookTitle,672)="","",INDEX(BookInYear,672))</f>
        <v/>
      </c>
      <c r="L677" s="19"/>
      <c r="M677" s="39"/>
      <c r="N677" s="19"/>
      <c r="O677" s="19"/>
      <c r="P677" s="43" t="str">
        <f aca="false">IF($E677="","",IF($L677="Decline",0,IF($L677="Approve fewer",IF($M677="","",$M677),IF($L677="","",$I677))))</f>
        <v/>
      </c>
      <c r="Q677" s="34" t="str">
        <f aca="false">IF($P677="","",IF($N677&lt;&gt;"",$N677,$J677))</f>
        <v/>
      </c>
      <c r="R677" s="35" t="str">
        <f aca="false">IF(OR($P677="",$Q677=""),"",INDEX(BookRate,672)*$P677*(5-MATCH($Q677,{"Q1";"Q2";"Q3";"Q4"},0))/4+INDEX(BookOneOff,672)*$P677)</f>
        <v/>
      </c>
      <c r="S677" s="35" t="str">
        <f aca="false">IF($P677="","",INDEX(BookRate,672)*$P677)</f>
        <v/>
      </c>
      <c r="T677" s="35" t="str">
        <f aca="false">IF($R677="","",$R677-$K677)</f>
        <v/>
      </c>
      <c r="U677" s="35" t="str">
        <f aca="false">IF(N($P677)&lt;=0,"",COUNTIF($P$6:$P677,"&gt;0"))</f>
        <v/>
      </c>
    </row>
    <row r="678" customFormat="false" ht="15" hidden="false" customHeight="false" outlineLevel="0" collapsed="false">
      <c r="A678" s="40" t="str">
        <f aca="false">IF(INDEX(BookTitle,673)="","",INDEX(BookGroup,673))</f>
        <v/>
      </c>
      <c r="B678" s="40" t="str">
        <f aca="false">IF(INDEX(BookTitle,673)="","",INDEX(BookRef,673))</f>
        <v/>
      </c>
      <c r="C678" s="40" t="str">
        <f aca="false">IF(INDEX(BookTitle,673)="","",INDEX(BookDivision,673))</f>
        <v/>
      </c>
      <c r="D678" s="40" t="str">
        <f aca="false">IF(INDEX(BookTitle,673)="","",INDEX(BookUnit,673))</f>
        <v/>
      </c>
      <c r="E678" s="40" t="str">
        <f aca="false">IF(INDEX(BookTitle,673)="","",INDEX(BookTitle,673))</f>
        <v/>
      </c>
      <c r="F678" s="40" t="str">
        <f aca="false">IF(INDEX(BookTitle,673)="","",INDEX(BookLevel,673))</f>
        <v/>
      </c>
      <c r="G678" s="40" t="str">
        <f aca="false">IF(INDEX(BookTitle,673)="","",INDEX(BookCategory,673))</f>
        <v/>
      </c>
      <c r="H678" s="40" t="str">
        <f aca="false">IF(INDEX(BookTitle,673)="","",INDEX(BookRank,673))</f>
        <v/>
      </c>
      <c r="I678" s="41" t="str">
        <f aca="false">IF(INDEX(BookTitle,673)="","",INDEX(BookTotal,673))</f>
        <v/>
      </c>
      <c r="J678" s="0" t="str">
        <f aca="false">IF($I678="","",IF(INDEX(BookQ1,673)&gt;0,"Q1",IF(INDEX(BookQ2,673)&gt;0,"Q2",IF(INDEX(BookQ3,673)&gt;0,"Q3",IF(INDEX(BookQ4,673)&gt;0,"Q4","")))))</f>
        <v/>
      </c>
      <c r="K678" s="42" t="str">
        <f aca="false">IF(INDEX(BookTitle,673)="","",INDEX(BookInYear,673))</f>
        <v/>
      </c>
      <c r="L678" s="19"/>
      <c r="M678" s="39"/>
      <c r="N678" s="19"/>
      <c r="O678" s="19"/>
      <c r="P678" s="43" t="str">
        <f aca="false">IF($E678="","",IF($L678="Decline",0,IF($L678="Approve fewer",IF($M678="","",$M678),IF($L678="","",$I678))))</f>
        <v/>
      </c>
      <c r="Q678" s="34" t="str">
        <f aca="false">IF($P678="","",IF($N678&lt;&gt;"",$N678,$J678))</f>
        <v/>
      </c>
      <c r="R678" s="35" t="str">
        <f aca="false">IF(OR($P678="",$Q678=""),"",INDEX(BookRate,673)*$P678*(5-MATCH($Q678,{"Q1";"Q2";"Q3";"Q4"},0))/4+INDEX(BookOneOff,673)*$P678)</f>
        <v/>
      </c>
      <c r="S678" s="35" t="str">
        <f aca="false">IF($P678="","",INDEX(BookRate,673)*$P678)</f>
        <v/>
      </c>
      <c r="T678" s="35" t="str">
        <f aca="false">IF($R678="","",$R678-$K678)</f>
        <v/>
      </c>
      <c r="U678" s="35" t="str">
        <f aca="false">IF(N($P678)&lt;=0,"",COUNTIF($P$6:$P678,"&gt;0"))</f>
        <v/>
      </c>
    </row>
    <row r="679" customFormat="false" ht="15" hidden="false" customHeight="false" outlineLevel="0" collapsed="false">
      <c r="A679" s="40" t="str">
        <f aca="false">IF(INDEX(BookTitle,674)="","",INDEX(BookGroup,674))</f>
        <v/>
      </c>
      <c r="B679" s="40" t="str">
        <f aca="false">IF(INDEX(BookTitle,674)="","",INDEX(BookRef,674))</f>
        <v/>
      </c>
      <c r="C679" s="40" t="str">
        <f aca="false">IF(INDEX(BookTitle,674)="","",INDEX(BookDivision,674))</f>
        <v/>
      </c>
      <c r="D679" s="40" t="str">
        <f aca="false">IF(INDEX(BookTitle,674)="","",INDEX(BookUnit,674))</f>
        <v/>
      </c>
      <c r="E679" s="40" t="str">
        <f aca="false">IF(INDEX(BookTitle,674)="","",INDEX(BookTitle,674))</f>
        <v/>
      </c>
      <c r="F679" s="40" t="str">
        <f aca="false">IF(INDEX(BookTitle,674)="","",INDEX(BookLevel,674))</f>
        <v/>
      </c>
      <c r="G679" s="40" t="str">
        <f aca="false">IF(INDEX(BookTitle,674)="","",INDEX(BookCategory,674))</f>
        <v/>
      </c>
      <c r="H679" s="40" t="str">
        <f aca="false">IF(INDEX(BookTitle,674)="","",INDEX(BookRank,674))</f>
        <v/>
      </c>
      <c r="I679" s="41" t="str">
        <f aca="false">IF(INDEX(BookTitle,674)="","",INDEX(BookTotal,674))</f>
        <v/>
      </c>
      <c r="J679" s="0" t="str">
        <f aca="false">IF($I679="","",IF(INDEX(BookQ1,674)&gt;0,"Q1",IF(INDEX(BookQ2,674)&gt;0,"Q2",IF(INDEX(BookQ3,674)&gt;0,"Q3",IF(INDEX(BookQ4,674)&gt;0,"Q4","")))))</f>
        <v/>
      </c>
      <c r="K679" s="42" t="str">
        <f aca="false">IF(INDEX(BookTitle,674)="","",INDEX(BookInYear,674))</f>
        <v/>
      </c>
      <c r="L679" s="19"/>
      <c r="M679" s="39"/>
      <c r="N679" s="19"/>
      <c r="O679" s="19"/>
      <c r="P679" s="43" t="str">
        <f aca="false">IF($E679="","",IF($L679="Decline",0,IF($L679="Approve fewer",IF($M679="","",$M679),IF($L679="","",$I679))))</f>
        <v/>
      </c>
      <c r="Q679" s="34" t="str">
        <f aca="false">IF($P679="","",IF($N679&lt;&gt;"",$N679,$J679))</f>
        <v/>
      </c>
      <c r="R679" s="35" t="str">
        <f aca="false">IF(OR($P679="",$Q679=""),"",INDEX(BookRate,674)*$P679*(5-MATCH($Q679,{"Q1";"Q2";"Q3";"Q4"},0))/4+INDEX(BookOneOff,674)*$P679)</f>
        <v/>
      </c>
      <c r="S679" s="35" t="str">
        <f aca="false">IF($P679="","",INDEX(BookRate,674)*$P679)</f>
        <v/>
      </c>
      <c r="T679" s="35" t="str">
        <f aca="false">IF($R679="","",$R679-$K679)</f>
        <v/>
      </c>
      <c r="U679" s="35" t="str">
        <f aca="false">IF(N($P679)&lt;=0,"",COUNTIF($P$6:$P679,"&gt;0"))</f>
        <v/>
      </c>
    </row>
    <row r="680" customFormat="false" ht="15" hidden="false" customHeight="false" outlineLevel="0" collapsed="false">
      <c r="A680" s="40" t="str">
        <f aca="false">IF(INDEX(BookTitle,675)="","",INDEX(BookGroup,675))</f>
        <v/>
      </c>
      <c r="B680" s="40" t="str">
        <f aca="false">IF(INDEX(BookTitle,675)="","",INDEX(BookRef,675))</f>
        <v/>
      </c>
      <c r="C680" s="40" t="str">
        <f aca="false">IF(INDEX(BookTitle,675)="","",INDEX(BookDivision,675))</f>
        <v/>
      </c>
      <c r="D680" s="40" t="str">
        <f aca="false">IF(INDEX(BookTitle,675)="","",INDEX(BookUnit,675))</f>
        <v/>
      </c>
      <c r="E680" s="40" t="str">
        <f aca="false">IF(INDEX(BookTitle,675)="","",INDEX(BookTitle,675))</f>
        <v/>
      </c>
      <c r="F680" s="40" t="str">
        <f aca="false">IF(INDEX(BookTitle,675)="","",INDEX(BookLevel,675))</f>
        <v/>
      </c>
      <c r="G680" s="40" t="str">
        <f aca="false">IF(INDEX(BookTitle,675)="","",INDEX(BookCategory,675))</f>
        <v/>
      </c>
      <c r="H680" s="40" t="str">
        <f aca="false">IF(INDEX(BookTitle,675)="","",INDEX(BookRank,675))</f>
        <v/>
      </c>
      <c r="I680" s="41" t="str">
        <f aca="false">IF(INDEX(BookTitle,675)="","",INDEX(BookTotal,675))</f>
        <v/>
      </c>
      <c r="J680" s="0" t="str">
        <f aca="false">IF($I680="","",IF(INDEX(BookQ1,675)&gt;0,"Q1",IF(INDEX(BookQ2,675)&gt;0,"Q2",IF(INDEX(BookQ3,675)&gt;0,"Q3",IF(INDEX(BookQ4,675)&gt;0,"Q4","")))))</f>
        <v/>
      </c>
      <c r="K680" s="42" t="str">
        <f aca="false">IF(INDEX(BookTitle,675)="","",INDEX(BookInYear,675))</f>
        <v/>
      </c>
      <c r="L680" s="19"/>
      <c r="M680" s="39"/>
      <c r="N680" s="19"/>
      <c r="O680" s="19"/>
      <c r="P680" s="43" t="str">
        <f aca="false">IF($E680="","",IF($L680="Decline",0,IF($L680="Approve fewer",IF($M680="","",$M680),IF($L680="","",$I680))))</f>
        <v/>
      </c>
      <c r="Q680" s="34" t="str">
        <f aca="false">IF($P680="","",IF($N680&lt;&gt;"",$N680,$J680))</f>
        <v/>
      </c>
      <c r="R680" s="35" t="str">
        <f aca="false">IF(OR($P680="",$Q680=""),"",INDEX(BookRate,675)*$P680*(5-MATCH($Q680,{"Q1";"Q2";"Q3";"Q4"},0))/4+INDEX(BookOneOff,675)*$P680)</f>
        <v/>
      </c>
      <c r="S680" s="35" t="str">
        <f aca="false">IF($P680="","",INDEX(BookRate,675)*$P680)</f>
        <v/>
      </c>
      <c r="T680" s="35" t="str">
        <f aca="false">IF($R680="","",$R680-$K680)</f>
        <v/>
      </c>
      <c r="U680" s="35" t="str">
        <f aca="false">IF(N($P680)&lt;=0,"",COUNTIF($P$6:$P680,"&gt;0"))</f>
        <v/>
      </c>
    </row>
    <row r="681" customFormat="false" ht="15" hidden="false" customHeight="false" outlineLevel="0" collapsed="false">
      <c r="A681" s="40" t="str">
        <f aca="false">IF(INDEX(BookTitle,676)="","",INDEX(BookGroup,676))</f>
        <v/>
      </c>
      <c r="B681" s="40" t="str">
        <f aca="false">IF(INDEX(BookTitle,676)="","",INDEX(BookRef,676))</f>
        <v/>
      </c>
      <c r="C681" s="40" t="str">
        <f aca="false">IF(INDEX(BookTitle,676)="","",INDEX(BookDivision,676))</f>
        <v/>
      </c>
      <c r="D681" s="40" t="str">
        <f aca="false">IF(INDEX(BookTitle,676)="","",INDEX(BookUnit,676))</f>
        <v/>
      </c>
      <c r="E681" s="40" t="str">
        <f aca="false">IF(INDEX(BookTitle,676)="","",INDEX(BookTitle,676))</f>
        <v/>
      </c>
      <c r="F681" s="40" t="str">
        <f aca="false">IF(INDEX(BookTitle,676)="","",INDEX(BookLevel,676))</f>
        <v/>
      </c>
      <c r="G681" s="40" t="str">
        <f aca="false">IF(INDEX(BookTitle,676)="","",INDEX(BookCategory,676))</f>
        <v/>
      </c>
      <c r="H681" s="40" t="str">
        <f aca="false">IF(INDEX(BookTitle,676)="","",INDEX(BookRank,676))</f>
        <v/>
      </c>
      <c r="I681" s="41" t="str">
        <f aca="false">IF(INDEX(BookTitle,676)="","",INDEX(BookTotal,676))</f>
        <v/>
      </c>
      <c r="J681" s="0" t="str">
        <f aca="false">IF($I681="","",IF(INDEX(BookQ1,676)&gt;0,"Q1",IF(INDEX(BookQ2,676)&gt;0,"Q2",IF(INDEX(BookQ3,676)&gt;0,"Q3",IF(INDEX(BookQ4,676)&gt;0,"Q4","")))))</f>
        <v/>
      </c>
      <c r="K681" s="42" t="str">
        <f aca="false">IF(INDEX(BookTitle,676)="","",INDEX(BookInYear,676))</f>
        <v/>
      </c>
      <c r="L681" s="19"/>
      <c r="M681" s="39"/>
      <c r="N681" s="19"/>
      <c r="O681" s="19"/>
      <c r="P681" s="43" t="str">
        <f aca="false">IF($E681="","",IF($L681="Decline",0,IF($L681="Approve fewer",IF($M681="","",$M681),IF($L681="","",$I681))))</f>
        <v/>
      </c>
      <c r="Q681" s="34" t="str">
        <f aca="false">IF($P681="","",IF($N681&lt;&gt;"",$N681,$J681))</f>
        <v/>
      </c>
      <c r="R681" s="35" t="str">
        <f aca="false">IF(OR($P681="",$Q681=""),"",INDEX(BookRate,676)*$P681*(5-MATCH($Q681,{"Q1";"Q2";"Q3";"Q4"},0))/4+INDEX(BookOneOff,676)*$P681)</f>
        <v/>
      </c>
      <c r="S681" s="35" t="str">
        <f aca="false">IF($P681="","",INDEX(BookRate,676)*$P681)</f>
        <v/>
      </c>
      <c r="T681" s="35" t="str">
        <f aca="false">IF($R681="","",$R681-$K681)</f>
        <v/>
      </c>
      <c r="U681" s="35" t="str">
        <f aca="false">IF(N($P681)&lt;=0,"",COUNTIF($P$6:$P681,"&gt;0"))</f>
        <v/>
      </c>
    </row>
    <row r="682" customFormat="false" ht="15" hidden="false" customHeight="false" outlineLevel="0" collapsed="false">
      <c r="A682" s="40" t="str">
        <f aca="false">IF(INDEX(BookTitle,677)="","",INDEX(BookGroup,677))</f>
        <v/>
      </c>
      <c r="B682" s="40" t="str">
        <f aca="false">IF(INDEX(BookTitle,677)="","",INDEX(BookRef,677))</f>
        <v/>
      </c>
      <c r="C682" s="40" t="str">
        <f aca="false">IF(INDEX(BookTitle,677)="","",INDEX(BookDivision,677))</f>
        <v/>
      </c>
      <c r="D682" s="40" t="str">
        <f aca="false">IF(INDEX(BookTitle,677)="","",INDEX(BookUnit,677))</f>
        <v/>
      </c>
      <c r="E682" s="40" t="str">
        <f aca="false">IF(INDEX(BookTitle,677)="","",INDEX(BookTitle,677))</f>
        <v/>
      </c>
      <c r="F682" s="40" t="str">
        <f aca="false">IF(INDEX(BookTitle,677)="","",INDEX(BookLevel,677))</f>
        <v/>
      </c>
      <c r="G682" s="40" t="str">
        <f aca="false">IF(INDEX(BookTitle,677)="","",INDEX(BookCategory,677))</f>
        <v/>
      </c>
      <c r="H682" s="40" t="str">
        <f aca="false">IF(INDEX(BookTitle,677)="","",INDEX(BookRank,677))</f>
        <v/>
      </c>
      <c r="I682" s="41" t="str">
        <f aca="false">IF(INDEX(BookTitle,677)="","",INDEX(BookTotal,677))</f>
        <v/>
      </c>
      <c r="J682" s="0" t="str">
        <f aca="false">IF($I682="","",IF(INDEX(BookQ1,677)&gt;0,"Q1",IF(INDEX(BookQ2,677)&gt;0,"Q2",IF(INDEX(BookQ3,677)&gt;0,"Q3",IF(INDEX(BookQ4,677)&gt;0,"Q4","")))))</f>
        <v/>
      </c>
      <c r="K682" s="42" t="str">
        <f aca="false">IF(INDEX(BookTitle,677)="","",INDEX(BookInYear,677))</f>
        <v/>
      </c>
      <c r="L682" s="19"/>
      <c r="M682" s="39"/>
      <c r="N682" s="19"/>
      <c r="O682" s="19"/>
      <c r="P682" s="43" t="str">
        <f aca="false">IF($E682="","",IF($L682="Decline",0,IF($L682="Approve fewer",IF($M682="","",$M682),IF($L682="","",$I682))))</f>
        <v/>
      </c>
      <c r="Q682" s="34" t="str">
        <f aca="false">IF($P682="","",IF($N682&lt;&gt;"",$N682,$J682))</f>
        <v/>
      </c>
      <c r="R682" s="35" t="str">
        <f aca="false">IF(OR($P682="",$Q682=""),"",INDEX(BookRate,677)*$P682*(5-MATCH($Q682,{"Q1";"Q2";"Q3";"Q4"},0))/4+INDEX(BookOneOff,677)*$P682)</f>
        <v/>
      </c>
      <c r="S682" s="35" t="str">
        <f aca="false">IF($P682="","",INDEX(BookRate,677)*$P682)</f>
        <v/>
      </c>
      <c r="T682" s="35" t="str">
        <f aca="false">IF($R682="","",$R682-$K682)</f>
        <v/>
      </c>
      <c r="U682" s="35" t="str">
        <f aca="false">IF(N($P682)&lt;=0,"",COUNTIF($P$6:$P682,"&gt;0"))</f>
        <v/>
      </c>
    </row>
    <row r="683" customFormat="false" ht="15" hidden="false" customHeight="false" outlineLevel="0" collapsed="false">
      <c r="A683" s="40" t="str">
        <f aca="false">IF(INDEX(BookTitle,678)="","",INDEX(BookGroup,678))</f>
        <v/>
      </c>
      <c r="B683" s="40" t="str">
        <f aca="false">IF(INDEX(BookTitle,678)="","",INDEX(BookRef,678))</f>
        <v/>
      </c>
      <c r="C683" s="40" t="str">
        <f aca="false">IF(INDEX(BookTitle,678)="","",INDEX(BookDivision,678))</f>
        <v/>
      </c>
      <c r="D683" s="40" t="str">
        <f aca="false">IF(INDEX(BookTitle,678)="","",INDEX(BookUnit,678))</f>
        <v/>
      </c>
      <c r="E683" s="40" t="str">
        <f aca="false">IF(INDEX(BookTitle,678)="","",INDEX(BookTitle,678))</f>
        <v/>
      </c>
      <c r="F683" s="40" t="str">
        <f aca="false">IF(INDEX(BookTitle,678)="","",INDEX(BookLevel,678))</f>
        <v/>
      </c>
      <c r="G683" s="40" t="str">
        <f aca="false">IF(INDEX(BookTitle,678)="","",INDEX(BookCategory,678))</f>
        <v/>
      </c>
      <c r="H683" s="40" t="str">
        <f aca="false">IF(INDEX(BookTitle,678)="","",INDEX(BookRank,678))</f>
        <v/>
      </c>
      <c r="I683" s="41" t="str">
        <f aca="false">IF(INDEX(BookTitle,678)="","",INDEX(BookTotal,678))</f>
        <v/>
      </c>
      <c r="J683" s="0" t="str">
        <f aca="false">IF($I683="","",IF(INDEX(BookQ1,678)&gt;0,"Q1",IF(INDEX(BookQ2,678)&gt;0,"Q2",IF(INDEX(BookQ3,678)&gt;0,"Q3",IF(INDEX(BookQ4,678)&gt;0,"Q4","")))))</f>
        <v/>
      </c>
      <c r="K683" s="42" t="str">
        <f aca="false">IF(INDEX(BookTitle,678)="","",INDEX(BookInYear,678))</f>
        <v/>
      </c>
      <c r="L683" s="19"/>
      <c r="M683" s="39"/>
      <c r="N683" s="19"/>
      <c r="O683" s="19"/>
      <c r="P683" s="43" t="str">
        <f aca="false">IF($E683="","",IF($L683="Decline",0,IF($L683="Approve fewer",IF($M683="","",$M683),IF($L683="","",$I683))))</f>
        <v/>
      </c>
      <c r="Q683" s="34" t="str">
        <f aca="false">IF($P683="","",IF($N683&lt;&gt;"",$N683,$J683))</f>
        <v/>
      </c>
      <c r="R683" s="35" t="str">
        <f aca="false">IF(OR($P683="",$Q683=""),"",INDEX(BookRate,678)*$P683*(5-MATCH($Q683,{"Q1";"Q2";"Q3";"Q4"},0))/4+INDEX(BookOneOff,678)*$P683)</f>
        <v/>
      </c>
      <c r="S683" s="35" t="str">
        <f aca="false">IF($P683="","",INDEX(BookRate,678)*$P683)</f>
        <v/>
      </c>
      <c r="T683" s="35" t="str">
        <f aca="false">IF($R683="","",$R683-$K683)</f>
        <v/>
      </c>
      <c r="U683" s="35" t="str">
        <f aca="false">IF(N($P683)&lt;=0,"",COUNTIF($P$6:$P683,"&gt;0"))</f>
        <v/>
      </c>
    </row>
    <row r="684" customFormat="false" ht="15" hidden="false" customHeight="false" outlineLevel="0" collapsed="false">
      <c r="A684" s="40" t="str">
        <f aca="false">IF(INDEX(BookTitle,679)="","",INDEX(BookGroup,679))</f>
        <v/>
      </c>
      <c r="B684" s="40" t="str">
        <f aca="false">IF(INDEX(BookTitle,679)="","",INDEX(BookRef,679))</f>
        <v/>
      </c>
      <c r="C684" s="40" t="str">
        <f aca="false">IF(INDEX(BookTitle,679)="","",INDEX(BookDivision,679))</f>
        <v/>
      </c>
      <c r="D684" s="40" t="str">
        <f aca="false">IF(INDEX(BookTitle,679)="","",INDEX(BookUnit,679))</f>
        <v/>
      </c>
      <c r="E684" s="40" t="str">
        <f aca="false">IF(INDEX(BookTitle,679)="","",INDEX(BookTitle,679))</f>
        <v/>
      </c>
      <c r="F684" s="40" t="str">
        <f aca="false">IF(INDEX(BookTitle,679)="","",INDEX(BookLevel,679))</f>
        <v/>
      </c>
      <c r="G684" s="40" t="str">
        <f aca="false">IF(INDEX(BookTitle,679)="","",INDEX(BookCategory,679))</f>
        <v/>
      </c>
      <c r="H684" s="40" t="str">
        <f aca="false">IF(INDEX(BookTitle,679)="","",INDEX(BookRank,679))</f>
        <v/>
      </c>
      <c r="I684" s="41" t="str">
        <f aca="false">IF(INDEX(BookTitle,679)="","",INDEX(BookTotal,679))</f>
        <v/>
      </c>
      <c r="J684" s="0" t="str">
        <f aca="false">IF($I684="","",IF(INDEX(BookQ1,679)&gt;0,"Q1",IF(INDEX(BookQ2,679)&gt;0,"Q2",IF(INDEX(BookQ3,679)&gt;0,"Q3",IF(INDEX(BookQ4,679)&gt;0,"Q4","")))))</f>
        <v/>
      </c>
      <c r="K684" s="42" t="str">
        <f aca="false">IF(INDEX(BookTitle,679)="","",INDEX(BookInYear,679))</f>
        <v/>
      </c>
      <c r="L684" s="19"/>
      <c r="M684" s="39"/>
      <c r="N684" s="19"/>
      <c r="O684" s="19"/>
      <c r="P684" s="43" t="str">
        <f aca="false">IF($E684="","",IF($L684="Decline",0,IF($L684="Approve fewer",IF($M684="","",$M684),IF($L684="","",$I684))))</f>
        <v/>
      </c>
      <c r="Q684" s="34" t="str">
        <f aca="false">IF($P684="","",IF($N684&lt;&gt;"",$N684,$J684))</f>
        <v/>
      </c>
      <c r="R684" s="35" t="str">
        <f aca="false">IF(OR($P684="",$Q684=""),"",INDEX(BookRate,679)*$P684*(5-MATCH($Q684,{"Q1";"Q2";"Q3";"Q4"},0))/4+INDEX(BookOneOff,679)*$P684)</f>
        <v/>
      </c>
      <c r="S684" s="35" t="str">
        <f aca="false">IF($P684="","",INDEX(BookRate,679)*$P684)</f>
        <v/>
      </c>
      <c r="T684" s="35" t="str">
        <f aca="false">IF($R684="","",$R684-$K684)</f>
        <v/>
      </c>
      <c r="U684" s="35" t="str">
        <f aca="false">IF(N($P684)&lt;=0,"",COUNTIF($P$6:$P684,"&gt;0"))</f>
        <v/>
      </c>
    </row>
    <row r="685" customFormat="false" ht="15" hidden="false" customHeight="false" outlineLevel="0" collapsed="false">
      <c r="A685" s="40" t="str">
        <f aca="false">IF(INDEX(BookTitle,680)="","",INDEX(BookGroup,680))</f>
        <v/>
      </c>
      <c r="B685" s="40" t="str">
        <f aca="false">IF(INDEX(BookTitle,680)="","",INDEX(BookRef,680))</f>
        <v/>
      </c>
      <c r="C685" s="40" t="str">
        <f aca="false">IF(INDEX(BookTitle,680)="","",INDEX(BookDivision,680))</f>
        <v/>
      </c>
      <c r="D685" s="40" t="str">
        <f aca="false">IF(INDEX(BookTitle,680)="","",INDEX(BookUnit,680))</f>
        <v/>
      </c>
      <c r="E685" s="40" t="str">
        <f aca="false">IF(INDEX(BookTitle,680)="","",INDEX(BookTitle,680))</f>
        <v/>
      </c>
      <c r="F685" s="40" t="str">
        <f aca="false">IF(INDEX(BookTitle,680)="","",INDEX(BookLevel,680))</f>
        <v/>
      </c>
      <c r="G685" s="40" t="str">
        <f aca="false">IF(INDEX(BookTitle,680)="","",INDEX(BookCategory,680))</f>
        <v/>
      </c>
      <c r="H685" s="40" t="str">
        <f aca="false">IF(INDEX(BookTitle,680)="","",INDEX(BookRank,680))</f>
        <v/>
      </c>
      <c r="I685" s="41" t="str">
        <f aca="false">IF(INDEX(BookTitle,680)="","",INDEX(BookTotal,680))</f>
        <v/>
      </c>
      <c r="J685" s="0" t="str">
        <f aca="false">IF($I685="","",IF(INDEX(BookQ1,680)&gt;0,"Q1",IF(INDEX(BookQ2,680)&gt;0,"Q2",IF(INDEX(BookQ3,680)&gt;0,"Q3",IF(INDEX(BookQ4,680)&gt;0,"Q4","")))))</f>
        <v/>
      </c>
      <c r="K685" s="42" t="str">
        <f aca="false">IF(INDEX(BookTitle,680)="","",INDEX(BookInYear,680))</f>
        <v/>
      </c>
      <c r="L685" s="19"/>
      <c r="M685" s="39"/>
      <c r="N685" s="19"/>
      <c r="O685" s="19"/>
      <c r="P685" s="43" t="str">
        <f aca="false">IF($E685="","",IF($L685="Decline",0,IF($L685="Approve fewer",IF($M685="","",$M685),IF($L685="","",$I685))))</f>
        <v/>
      </c>
      <c r="Q685" s="34" t="str">
        <f aca="false">IF($P685="","",IF($N685&lt;&gt;"",$N685,$J685))</f>
        <v/>
      </c>
      <c r="R685" s="35" t="str">
        <f aca="false">IF(OR($P685="",$Q685=""),"",INDEX(BookRate,680)*$P685*(5-MATCH($Q685,{"Q1";"Q2";"Q3";"Q4"},0))/4+INDEX(BookOneOff,680)*$P685)</f>
        <v/>
      </c>
      <c r="S685" s="35" t="str">
        <f aca="false">IF($P685="","",INDEX(BookRate,680)*$P685)</f>
        <v/>
      </c>
      <c r="T685" s="35" t="str">
        <f aca="false">IF($R685="","",$R685-$K685)</f>
        <v/>
      </c>
      <c r="U685" s="35" t="str">
        <f aca="false">IF(N($P685)&lt;=0,"",COUNTIF($P$6:$P685,"&gt;0"))</f>
        <v/>
      </c>
    </row>
    <row r="686" customFormat="false" ht="15" hidden="false" customHeight="false" outlineLevel="0" collapsed="false">
      <c r="A686" s="40" t="str">
        <f aca="false">IF(INDEX(BookTitle,681)="","",INDEX(BookGroup,681))</f>
        <v/>
      </c>
      <c r="B686" s="40" t="str">
        <f aca="false">IF(INDEX(BookTitle,681)="","",INDEX(BookRef,681))</f>
        <v/>
      </c>
      <c r="C686" s="40" t="str">
        <f aca="false">IF(INDEX(BookTitle,681)="","",INDEX(BookDivision,681))</f>
        <v/>
      </c>
      <c r="D686" s="40" t="str">
        <f aca="false">IF(INDEX(BookTitle,681)="","",INDEX(BookUnit,681))</f>
        <v/>
      </c>
      <c r="E686" s="40" t="str">
        <f aca="false">IF(INDEX(BookTitle,681)="","",INDEX(BookTitle,681))</f>
        <v/>
      </c>
      <c r="F686" s="40" t="str">
        <f aca="false">IF(INDEX(BookTitle,681)="","",INDEX(BookLevel,681))</f>
        <v/>
      </c>
      <c r="G686" s="40" t="str">
        <f aca="false">IF(INDEX(BookTitle,681)="","",INDEX(BookCategory,681))</f>
        <v/>
      </c>
      <c r="H686" s="40" t="str">
        <f aca="false">IF(INDEX(BookTitle,681)="","",INDEX(BookRank,681))</f>
        <v/>
      </c>
      <c r="I686" s="41" t="str">
        <f aca="false">IF(INDEX(BookTitle,681)="","",INDEX(BookTotal,681))</f>
        <v/>
      </c>
      <c r="J686" s="0" t="str">
        <f aca="false">IF($I686="","",IF(INDEX(BookQ1,681)&gt;0,"Q1",IF(INDEX(BookQ2,681)&gt;0,"Q2",IF(INDEX(BookQ3,681)&gt;0,"Q3",IF(INDEX(BookQ4,681)&gt;0,"Q4","")))))</f>
        <v/>
      </c>
      <c r="K686" s="42" t="str">
        <f aca="false">IF(INDEX(BookTitle,681)="","",INDEX(BookInYear,681))</f>
        <v/>
      </c>
      <c r="L686" s="19"/>
      <c r="M686" s="39"/>
      <c r="N686" s="19"/>
      <c r="O686" s="19"/>
      <c r="P686" s="43" t="str">
        <f aca="false">IF($E686="","",IF($L686="Decline",0,IF($L686="Approve fewer",IF($M686="","",$M686),IF($L686="","",$I686))))</f>
        <v/>
      </c>
      <c r="Q686" s="34" t="str">
        <f aca="false">IF($P686="","",IF($N686&lt;&gt;"",$N686,$J686))</f>
        <v/>
      </c>
      <c r="R686" s="35" t="str">
        <f aca="false">IF(OR($P686="",$Q686=""),"",INDEX(BookRate,681)*$P686*(5-MATCH($Q686,{"Q1";"Q2";"Q3";"Q4"},0))/4+INDEX(BookOneOff,681)*$P686)</f>
        <v/>
      </c>
      <c r="S686" s="35" t="str">
        <f aca="false">IF($P686="","",INDEX(BookRate,681)*$P686)</f>
        <v/>
      </c>
      <c r="T686" s="35" t="str">
        <f aca="false">IF($R686="","",$R686-$K686)</f>
        <v/>
      </c>
      <c r="U686" s="35" t="str">
        <f aca="false">IF(N($P686)&lt;=0,"",COUNTIF($P$6:$P686,"&gt;0"))</f>
        <v/>
      </c>
    </row>
    <row r="687" customFormat="false" ht="15" hidden="false" customHeight="false" outlineLevel="0" collapsed="false">
      <c r="A687" s="40" t="str">
        <f aca="false">IF(INDEX(BookTitle,682)="","",INDEX(BookGroup,682))</f>
        <v/>
      </c>
      <c r="B687" s="40" t="str">
        <f aca="false">IF(INDEX(BookTitle,682)="","",INDEX(BookRef,682))</f>
        <v/>
      </c>
      <c r="C687" s="40" t="str">
        <f aca="false">IF(INDEX(BookTitle,682)="","",INDEX(BookDivision,682))</f>
        <v/>
      </c>
      <c r="D687" s="40" t="str">
        <f aca="false">IF(INDEX(BookTitle,682)="","",INDEX(BookUnit,682))</f>
        <v/>
      </c>
      <c r="E687" s="40" t="str">
        <f aca="false">IF(INDEX(BookTitle,682)="","",INDEX(BookTitle,682))</f>
        <v/>
      </c>
      <c r="F687" s="40" t="str">
        <f aca="false">IF(INDEX(BookTitle,682)="","",INDEX(BookLevel,682))</f>
        <v/>
      </c>
      <c r="G687" s="40" t="str">
        <f aca="false">IF(INDEX(BookTitle,682)="","",INDEX(BookCategory,682))</f>
        <v/>
      </c>
      <c r="H687" s="40" t="str">
        <f aca="false">IF(INDEX(BookTitle,682)="","",INDEX(BookRank,682))</f>
        <v/>
      </c>
      <c r="I687" s="41" t="str">
        <f aca="false">IF(INDEX(BookTitle,682)="","",INDEX(BookTotal,682))</f>
        <v/>
      </c>
      <c r="J687" s="0" t="str">
        <f aca="false">IF($I687="","",IF(INDEX(BookQ1,682)&gt;0,"Q1",IF(INDEX(BookQ2,682)&gt;0,"Q2",IF(INDEX(BookQ3,682)&gt;0,"Q3",IF(INDEX(BookQ4,682)&gt;0,"Q4","")))))</f>
        <v/>
      </c>
      <c r="K687" s="42" t="str">
        <f aca="false">IF(INDEX(BookTitle,682)="","",INDEX(BookInYear,682))</f>
        <v/>
      </c>
      <c r="L687" s="19"/>
      <c r="M687" s="39"/>
      <c r="N687" s="19"/>
      <c r="O687" s="19"/>
      <c r="P687" s="43" t="str">
        <f aca="false">IF($E687="","",IF($L687="Decline",0,IF($L687="Approve fewer",IF($M687="","",$M687),IF($L687="","",$I687))))</f>
        <v/>
      </c>
      <c r="Q687" s="34" t="str">
        <f aca="false">IF($P687="","",IF($N687&lt;&gt;"",$N687,$J687))</f>
        <v/>
      </c>
      <c r="R687" s="35" t="str">
        <f aca="false">IF(OR($P687="",$Q687=""),"",INDEX(BookRate,682)*$P687*(5-MATCH($Q687,{"Q1";"Q2";"Q3";"Q4"},0))/4+INDEX(BookOneOff,682)*$P687)</f>
        <v/>
      </c>
      <c r="S687" s="35" t="str">
        <f aca="false">IF($P687="","",INDEX(BookRate,682)*$P687)</f>
        <v/>
      </c>
      <c r="T687" s="35" t="str">
        <f aca="false">IF($R687="","",$R687-$K687)</f>
        <v/>
      </c>
      <c r="U687" s="35" t="str">
        <f aca="false">IF(N($P687)&lt;=0,"",COUNTIF($P$6:$P687,"&gt;0"))</f>
        <v/>
      </c>
    </row>
    <row r="688" customFormat="false" ht="15" hidden="false" customHeight="false" outlineLevel="0" collapsed="false">
      <c r="A688" s="40" t="str">
        <f aca="false">IF(INDEX(BookTitle,683)="","",INDEX(BookGroup,683))</f>
        <v/>
      </c>
      <c r="B688" s="40" t="str">
        <f aca="false">IF(INDEX(BookTitle,683)="","",INDEX(BookRef,683))</f>
        <v/>
      </c>
      <c r="C688" s="40" t="str">
        <f aca="false">IF(INDEX(BookTitle,683)="","",INDEX(BookDivision,683))</f>
        <v/>
      </c>
      <c r="D688" s="40" t="str">
        <f aca="false">IF(INDEX(BookTitle,683)="","",INDEX(BookUnit,683))</f>
        <v/>
      </c>
      <c r="E688" s="40" t="str">
        <f aca="false">IF(INDEX(BookTitle,683)="","",INDEX(BookTitle,683))</f>
        <v/>
      </c>
      <c r="F688" s="40" t="str">
        <f aca="false">IF(INDEX(BookTitle,683)="","",INDEX(BookLevel,683))</f>
        <v/>
      </c>
      <c r="G688" s="40" t="str">
        <f aca="false">IF(INDEX(BookTitle,683)="","",INDEX(BookCategory,683))</f>
        <v/>
      </c>
      <c r="H688" s="40" t="str">
        <f aca="false">IF(INDEX(BookTitle,683)="","",INDEX(BookRank,683))</f>
        <v/>
      </c>
      <c r="I688" s="41" t="str">
        <f aca="false">IF(INDEX(BookTitle,683)="","",INDEX(BookTotal,683))</f>
        <v/>
      </c>
      <c r="J688" s="0" t="str">
        <f aca="false">IF($I688="","",IF(INDEX(BookQ1,683)&gt;0,"Q1",IF(INDEX(BookQ2,683)&gt;0,"Q2",IF(INDEX(BookQ3,683)&gt;0,"Q3",IF(INDEX(BookQ4,683)&gt;0,"Q4","")))))</f>
        <v/>
      </c>
      <c r="K688" s="42" t="str">
        <f aca="false">IF(INDEX(BookTitle,683)="","",INDEX(BookInYear,683))</f>
        <v/>
      </c>
      <c r="L688" s="19"/>
      <c r="M688" s="39"/>
      <c r="N688" s="19"/>
      <c r="O688" s="19"/>
      <c r="P688" s="43" t="str">
        <f aca="false">IF($E688="","",IF($L688="Decline",0,IF($L688="Approve fewer",IF($M688="","",$M688),IF($L688="","",$I688))))</f>
        <v/>
      </c>
      <c r="Q688" s="34" t="str">
        <f aca="false">IF($P688="","",IF($N688&lt;&gt;"",$N688,$J688))</f>
        <v/>
      </c>
      <c r="R688" s="35" t="str">
        <f aca="false">IF(OR($P688="",$Q688=""),"",INDEX(BookRate,683)*$P688*(5-MATCH($Q688,{"Q1";"Q2";"Q3";"Q4"},0))/4+INDEX(BookOneOff,683)*$P688)</f>
        <v/>
      </c>
      <c r="S688" s="35" t="str">
        <f aca="false">IF($P688="","",INDEX(BookRate,683)*$P688)</f>
        <v/>
      </c>
      <c r="T688" s="35" t="str">
        <f aca="false">IF($R688="","",$R688-$K688)</f>
        <v/>
      </c>
      <c r="U688" s="35" t="str">
        <f aca="false">IF(N($P688)&lt;=0,"",COUNTIF($P$6:$P688,"&gt;0"))</f>
        <v/>
      </c>
    </row>
    <row r="689" customFormat="false" ht="15" hidden="false" customHeight="false" outlineLevel="0" collapsed="false">
      <c r="A689" s="40" t="str">
        <f aca="false">IF(INDEX(BookTitle,684)="","",INDEX(BookGroup,684))</f>
        <v/>
      </c>
      <c r="B689" s="40" t="str">
        <f aca="false">IF(INDEX(BookTitle,684)="","",INDEX(BookRef,684))</f>
        <v/>
      </c>
      <c r="C689" s="40" t="str">
        <f aca="false">IF(INDEX(BookTitle,684)="","",INDEX(BookDivision,684))</f>
        <v/>
      </c>
      <c r="D689" s="40" t="str">
        <f aca="false">IF(INDEX(BookTitle,684)="","",INDEX(BookUnit,684))</f>
        <v/>
      </c>
      <c r="E689" s="40" t="str">
        <f aca="false">IF(INDEX(BookTitle,684)="","",INDEX(BookTitle,684))</f>
        <v/>
      </c>
      <c r="F689" s="40" t="str">
        <f aca="false">IF(INDEX(BookTitle,684)="","",INDEX(BookLevel,684))</f>
        <v/>
      </c>
      <c r="G689" s="40" t="str">
        <f aca="false">IF(INDEX(BookTitle,684)="","",INDEX(BookCategory,684))</f>
        <v/>
      </c>
      <c r="H689" s="40" t="str">
        <f aca="false">IF(INDEX(BookTitle,684)="","",INDEX(BookRank,684))</f>
        <v/>
      </c>
      <c r="I689" s="41" t="str">
        <f aca="false">IF(INDEX(BookTitle,684)="","",INDEX(BookTotal,684))</f>
        <v/>
      </c>
      <c r="J689" s="0" t="str">
        <f aca="false">IF($I689="","",IF(INDEX(BookQ1,684)&gt;0,"Q1",IF(INDEX(BookQ2,684)&gt;0,"Q2",IF(INDEX(BookQ3,684)&gt;0,"Q3",IF(INDEX(BookQ4,684)&gt;0,"Q4","")))))</f>
        <v/>
      </c>
      <c r="K689" s="42" t="str">
        <f aca="false">IF(INDEX(BookTitle,684)="","",INDEX(BookInYear,684))</f>
        <v/>
      </c>
      <c r="L689" s="19"/>
      <c r="M689" s="39"/>
      <c r="N689" s="19"/>
      <c r="O689" s="19"/>
      <c r="P689" s="43" t="str">
        <f aca="false">IF($E689="","",IF($L689="Decline",0,IF($L689="Approve fewer",IF($M689="","",$M689),IF($L689="","",$I689))))</f>
        <v/>
      </c>
      <c r="Q689" s="34" t="str">
        <f aca="false">IF($P689="","",IF($N689&lt;&gt;"",$N689,$J689))</f>
        <v/>
      </c>
      <c r="R689" s="35" t="str">
        <f aca="false">IF(OR($P689="",$Q689=""),"",INDEX(BookRate,684)*$P689*(5-MATCH($Q689,{"Q1";"Q2";"Q3";"Q4"},0))/4+INDEX(BookOneOff,684)*$P689)</f>
        <v/>
      </c>
      <c r="S689" s="35" t="str">
        <f aca="false">IF($P689="","",INDEX(BookRate,684)*$P689)</f>
        <v/>
      </c>
      <c r="T689" s="35" t="str">
        <f aca="false">IF($R689="","",$R689-$K689)</f>
        <v/>
      </c>
      <c r="U689" s="35" t="str">
        <f aca="false">IF(N($P689)&lt;=0,"",COUNTIF($P$6:$P689,"&gt;0"))</f>
        <v/>
      </c>
    </row>
    <row r="690" customFormat="false" ht="15" hidden="false" customHeight="false" outlineLevel="0" collapsed="false">
      <c r="A690" s="40" t="str">
        <f aca="false">IF(INDEX(BookTitle,685)="","",INDEX(BookGroup,685))</f>
        <v/>
      </c>
      <c r="B690" s="40" t="str">
        <f aca="false">IF(INDEX(BookTitle,685)="","",INDEX(BookRef,685))</f>
        <v/>
      </c>
      <c r="C690" s="40" t="str">
        <f aca="false">IF(INDEX(BookTitle,685)="","",INDEX(BookDivision,685))</f>
        <v/>
      </c>
      <c r="D690" s="40" t="str">
        <f aca="false">IF(INDEX(BookTitle,685)="","",INDEX(BookUnit,685))</f>
        <v/>
      </c>
      <c r="E690" s="40" t="str">
        <f aca="false">IF(INDEX(BookTitle,685)="","",INDEX(BookTitle,685))</f>
        <v/>
      </c>
      <c r="F690" s="40" t="str">
        <f aca="false">IF(INDEX(BookTitle,685)="","",INDEX(BookLevel,685))</f>
        <v/>
      </c>
      <c r="G690" s="40" t="str">
        <f aca="false">IF(INDEX(BookTitle,685)="","",INDEX(BookCategory,685))</f>
        <v/>
      </c>
      <c r="H690" s="40" t="str">
        <f aca="false">IF(INDEX(BookTitle,685)="","",INDEX(BookRank,685))</f>
        <v/>
      </c>
      <c r="I690" s="41" t="str">
        <f aca="false">IF(INDEX(BookTitle,685)="","",INDEX(BookTotal,685))</f>
        <v/>
      </c>
      <c r="J690" s="0" t="str">
        <f aca="false">IF($I690="","",IF(INDEX(BookQ1,685)&gt;0,"Q1",IF(INDEX(BookQ2,685)&gt;0,"Q2",IF(INDEX(BookQ3,685)&gt;0,"Q3",IF(INDEX(BookQ4,685)&gt;0,"Q4","")))))</f>
        <v/>
      </c>
      <c r="K690" s="42" t="str">
        <f aca="false">IF(INDEX(BookTitle,685)="","",INDEX(BookInYear,685))</f>
        <v/>
      </c>
      <c r="L690" s="19"/>
      <c r="M690" s="39"/>
      <c r="N690" s="19"/>
      <c r="O690" s="19"/>
      <c r="P690" s="43" t="str">
        <f aca="false">IF($E690="","",IF($L690="Decline",0,IF($L690="Approve fewer",IF($M690="","",$M690),IF($L690="","",$I690))))</f>
        <v/>
      </c>
      <c r="Q690" s="34" t="str">
        <f aca="false">IF($P690="","",IF($N690&lt;&gt;"",$N690,$J690))</f>
        <v/>
      </c>
      <c r="R690" s="35" t="str">
        <f aca="false">IF(OR($P690="",$Q690=""),"",INDEX(BookRate,685)*$P690*(5-MATCH($Q690,{"Q1";"Q2";"Q3";"Q4"},0))/4+INDEX(BookOneOff,685)*$P690)</f>
        <v/>
      </c>
      <c r="S690" s="35" t="str">
        <f aca="false">IF($P690="","",INDEX(BookRate,685)*$P690)</f>
        <v/>
      </c>
      <c r="T690" s="35" t="str">
        <f aca="false">IF($R690="","",$R690-$K690)</f>
        <v/>
      </c>
      <c r="U690" s="35" t="str">
        <f aca="false">IF(N($P690)&lt;=0,"",COUNTIF($P$6:$P690,"&gt;0"))</f>
        <v/>
      </c>
    </row>
    <row r="691" customFormat="false" ht="15" hidden="false" customHeight="false" outlineLevel="0" collapsed="false">
      <c r="A691" s="40" t="str">
        <f aca="false">IF(INDEX(BookTitle,686)="","",INDEX(BookGroup,686))</f>
        <v/>
      </c>
      <c r="B691" s="40" t="str">
        <f aca="false">IF(INDEX(BookTitle,686)="","",INDEX(BookRef,686))</f>
        <v/>
      </c>
      <c r="C691" s="40" t="str">
        <f aca="false">IF(INDEX(BookTitle,686)="","",INDEX(BookDivision,686))</f>
        <v/>
      </c>
      <c r="D691" s="40" t="str">
        <f aca="false">IF(INDEX(BookTitle,686)="","",INDEX(BookUnit,686))</f>
        <v/>
      </c>
      <c r="E691" s="40" t="str">
        <f aca="false">IF(INDEX(BookTitle,686)="","",INDEX(BookTitle,686))</f>
        <v/>
      </c>
      <c r="F691" s="40" t="str">
        <f aca="false">IF(INDEX(BookTitle,686)="","",INDEX(BookLevel,686))</f>
        <v/>
      </c>
      <c r="G691" s="40" t="str">
        <f aca="false">IF(INDEX(BookTitle,686)="","",INDEX(BookCategory,686))</f>
        <v/>
      </c>
      <c r="H691" s="40" t="str">
        <f aca="false">IF(INDEX(BookTitle,686)="","",INDEX(BookRank,686))</f>
        <v/>
      </c>
      <c r="I691" s="41" t="str">
        <f aca="false">IF(INDEX(BookTitle,686)="","",INDEX(BookTotal,686))</f>
        <v/>
      </c>
      <c r="J691" s="0" t="str">
        <f aca="false">IF($I691="","",IF(INDEX(BookQ1,686)&gt;0,"Q1",IF(INDEX(BookQ2,686)&gt;0,"Q2",IF(INDEX(BookQ3,686)&gt;0,"Q3",IF(INDEX(BookQ4,686)&gt;0,"Q4","")))))</f>
        <v/>
      </c>
      <c r="K691" s="42" t="str">
        <f aca="false">IF(INDEX(BookTitle,686)="","",INDEX(BookInYear,686))</f>
        <v/>
      </c>
      <c r="L691" s="19"/>
      <c r="M691" s="39"/>
      <c r="N691" s="19"/>
      <c r="O691" s="19"/>
      <c r="P691" s="43" t="str">
        <f aca="false">IF($E691="","",IF($L691="Decline",0,IF($L691="Approve fewer",IF($M691="","",$M691),IF($L691="","",$I691))))</f>
        <v/>
      </c>
      <c r="Q691" s="34" t="str">
        <f aca="false">IF($P691="","",IF($N691&lt;&gt;"",$N691,$J691))</f>
        <v/>
      </c>
      <c r="R691" s="35" t="str">
        <f aca="false">IF(OR($P691="",$Q691=""),"",INDEX(BookRate,686)*$P691*(5-MATCH($Q691,{"Q1";"Q2";"Q3";"Q4"},0))/4+INDEX(BookOneOff,686)*$P691)</f>
        <v/>
      </c>
      <c r="S691" s="35" t="str">
        <f aca="false">IF($P691="","",INDEX(BookRate,686)*$P691)</f>
        <v/>
      </c>
      <c r="T691" s="35" t="str">
        <f aca="false">IF($R691="","",$R691-$K691)</f>
        <v/>
      </c>
      <c r="U691" s="35" t="str">
        <f aca="false">IF(N($P691)&lt;=0,"",COUNTIF($P$6:$P691,"&gt;0"))</f>
        <v/>
      </c>
    </row>
    <row r="692" customFormat="false" ht="15" hidden="false" customHeight="false" outlineLevel="0" collapsed="false">
      <c r="A692" s="40" t="str">
        <f aca="false">IF(INDEX(BookTitle,687)="","",INDEX(BookGroup,687))</f>
        <v/>
      </c>
      <c r="B692" s="40" t="str">
        <f aca="false">IF(INDEX(BookTitle,687)="","",INDEX(BookRef,687))</f>
        <v/>
      </c>
      <c r="C692" s="40" t="str">
        <f aca="false">IF(INDEX(BookTitle,687)="","",INDEX(BookDivision,687))</f>
        <v/>
      </c>
      <c r="D692" s="40" t="str">
        <f aca="false">IF(INDEX(BookTitle,687)="","",INDEX(BookUnit,687))</f>
        <v/>
      </c>
      <c r="E692" s="40" t="str">
        <f aca="false">IF(INDEX(BookTitle,687)="","",INDEX(BookTitle,687))</f>
        <v/>
      </c>
      <c r="F692" s="40" t="str">
        <f aca="false">IF(INDEX(BookTitle,687)="","",INDEX(BookLevel,687))</f>
        <v/>
      </c>
      <c r="G692" s="40" t="str">
        <f aca="false">IF(INDEX(BookTitle,687)="","",INDEX(BookCategory,687))</f>
        <v/>
      </c>
      <c r="H692" s="40" t="str">
        <f aca="false">IF(INDEX(BookTitle,687)="","",INDEX(BookRank,687))</f>
        <v/>
      </c>
      <c r="I692" s="41" t="str">
        <f aca="false">IF(INDEX(BookTitle,687)="","",INDEX(BookTotal,687))</f>
        <v/>
      </c>
      <c r="J692" s="0" t="str">
        <f aca="false">IF($I692="","",IF(INDEX(BookQ1,687)&gt;0,"Q1",IF(INDEX(BookQ2,687)&gt;0,"Q2",IF(INDEX(BookQ3,687)&gt;0,"Q3",IF(INDEX(BookQ4,687)&gt;0,"Q4","")))))</f>
        <v/>
      </c>
      <c r="K692" s="42" t="str">
        <f aca="false">IF(INDEX(BookTitle,687)="","",INDEX(BookInYear,687))</f>
        <v/>
      </c>
      <c r="L692" s="19"/>
      <c r="M692" s="39"/>
      <c r="N692" s="19"/>
      <c r="O692" s="19"/>
      <c r="P692" s="43" t="str">
        <f aca="false">IF($E692="","",IF($L692="Decline",0,IF($L692="Approve fewer",IF($M692="","",$M692),IF($L692="","",$I692))))</f>
        <v/>
      </c>
      <c r="Q692" s="34" t="str">
        <f aca="false">IF($P692="","",IF($N692&lt;&gt;"",$N692,$J692))</f>
        <v/>
      </c>
      <c r="R692" s="35" t="str">
        <f aca="false">IF(OR($P692="",$Q692=""),"",INDEX(BookRate,687)*$P692*(5-MATCH($Q692,{"Q1";"Q2";"Q3";"Q4"},0))/4+INDEX(BookOneOff,687)*$P692)</f>
        <v/>
      </c>
      <c r="S692" s="35" t="str">
        <f aca="false">IF($P692="","",INDEX(BookRate,687)*$P692)</f>
        <v/>
      </c>
      <c r="T692" s="35" t="str">
        <f aca="false">IF($R692="","",$R692-$K692)</f>
        <v/>
      </c>
      <c r="U692" s="35" t="str">
        <f aca="false">IF(N($P692)&lt;=0,"",COUNTIF($P$6:$P692,"&gt;0"))</f>
        <v/>
      </c>
    </row>
    <row r="693" customFormat="false" ht="15" hidden="false" customHeight="false" outlineLevel="0" collapsed="false">
      <c r="A693" s="40" t="str">
        <f aca="false">IF(INDEX(BookTitle,688)="","",INDEX(BookGroup,688))</f>
        <v/>
      </c>
      <c r="B693" s="40" t="str">
        <f aca="false">IF(INDEX(BookTitle,688)="","",INDEX(BookRef,688))</f>
        <v/>
      </c>
      <c r="C693" s="40" t="str">
        <f aca="false">IF(INDEX(BookTitle,688)="","",INDEX(BookDivision,688))</f>
        <v/>
      </c>
      <c r="D693" s="40" t="str">
        <f aca="false">IF(INDEX(BookTitle,688)="","",INDEX(BookUnit,688))</f>
        <v/>
      </c>
      <c r="E693" s="40" t="str">
        <f aca="false">IF(INDEX(BookTitle,688)="","",INDEX(BookTitle,688))</f>
        <v/>
      </c>
      <c r="F693" s="40" t="str">
        <f aca="false">IF(INDEX(BookTitle,688)="","",INDEX(BookLevel,688))</f>
        <v/>
      </c>
      <c r="G693" s="40" t="str">
        <f aca="false">IF(INDEX(BookTitle,688)="","",INDEX(BookCategory,688))</f>
        <v/>
      </c>
      <c r="H693" s="40" t="str">
        <f aca="false">IF(INDEX(BookTitle,688)="","",INDEX(BookRank,688))</f>
        <v/>
      </c>
      <c r="I693" s="41" t="str">
        <f aca="false">IF(INDEX(BookTitle,688)="","",INDEX(BookTotal,688))</f>
        <v/>
      </c>
      <c r="J693" s="0" t="str">
        <f aca="false">IF($I693="","",IF(INDEX(BookQ1,688)&gt;0,"Q1",IF(INDEX(BookQ2,688)&gt;0,"Q2",IF(INDEX(BookQ3,688)&gt;0,"Q3",IF(INDEX(BookQ4,688)&gt;0,"Q4","")))))</f>
        <v/>
      </c>
      <c r="K693" s="42" t="str">
        <f aca="false">IF(INDEX(BookTitle,688)="","",INDEX(BookInYear,688))</f>
        <v/>
      </c>
      <c r="L693" s="19"/>
      <c r="M693" s="39"/>
      <c r="N693" s="19"/>
      <c r="O693" s="19"/>
      <c r="P693" s="43" t="str">
        <f aca="false">IF($E693="","",IF($L693="Decline",0,IF($L693="Approve fewer",IF($M693="","",$M693),IF($L693="","",$I693))))</f>
        <v/>
      </c>
      <c r="Q693" s="34" t="str">
        <f aca="false">IF($P693="","",IF($N693&lt;&gt;"",$N693,$J693))</f>
        <v/>
      </c>
      <c r="R693" s="35" t="str">
        <f aca="false">IF(OR($P693="",$Q693=""),"",INDEX(BookRate,688)*$P693*(5-MATCH($Q693,{"Q1";"Q2";"Q3";"Q4"},0))/4+INDEX(BookOneOff,688)*$P693)</f>
        <v/>
      </c>
      <c r="S693" s="35" t="str">
        <f aca="false">IF($P693="","",INDEX(BookRate,688)*$P693)</f>
        <v/>
      </c>
      <c r="T693" s="35" t="str">
        <f aca="false">IF($R693="","",$R693-$K693)</f>
        <v/>
      </c>
      <c r="U693" s="35" t="str">
        <f aca="false">IF(N($P693)&lt;=0,"",COUNTIF($P$6:$P693,"&gt;0"))</f>
        <v/>
      </c>
    </row>
    <row r="694" customFormat="false" ht="15" hidden="false" customHeight="false" outlineLevel="0" collapsed="false">
      <c r="A694" s="40" t="str">
        <f aca="false">IF(INDEX(BookTitle,689)="","",INDEX(BookGroup,689))</f>
        <v/>
      </c>
      <c r="B694" s="40" t="str">
        <f aca="false">IF(INDEX(BookTitle,689)="","",INDEX(BookRef,689))</f>
        <v/>
      </c>
      <c r="C694" s="40" t="str">
        <f aca="false">IF(INDEX(BookTitle,689)="","",INDEX(BookDivision,689))</f>
        <v/>
      </c>
      <c r="D694" s="40" t="str">
        <f aca="false">IF(INDEX(BookTitle,689)="","",INDEX(BookUnit,689))</f>
        <v/>
      </c>
      <c r="E694" s="40" t="str">
        <f aca="false">IF(INDEX(BookTitle,689)="","",INDEX(BookTitle,689))</f>
        <v/>
      </c>
      <c r="F694" s="40" t="str">
        <f aca="false">IF(INDEX(BookTitle,689)="","",INDEX(BookLevel,689))</f>
        <v/>
      </c>
      <c r="G694" s="40" t="str">
        <f aca="false">IF(INDEX(BookTitle,689)="","",INDEX(BookCategory,689))</f>
        <v/>
      </c>
      <c r="H694" s="40" t="str">
        <f aca="false">IF(INDEX(BookTitle,689)="","",INDEX(BookRank,689))</f>
        <v/>
      </c>
      <c r="I694" s="41" t="str">
        <f aca="false">IF(INDEX(BookTitle,689)="","",INDEX(BookTotal,689))</f>
        <v/>
      </c>
      <c r="J694" s="0" t="str">
        <f aca="false">IF($I694="","",IF(INDEX(BookQ1,689)&gt;0,"Q1",IF(INDEX(BookQ2,689)&gt;0,"Q2",IF(INDEX(BookQ3,689)&gt;0,"Q3",IF(INDEX(BookQ4,689)&gt;0,"Q4","")))))</f>
        <v/>
      </c>
      <c r="K694" s="42" t="str">
        <f aca="false">IF(INDEX(BookTitle,689)="","",INDEX(BookInYear,689))</f>
        <v/>
      </c>
      <c r="L694" s="19"/>
      <c r="M694" s="39"/>
      <c r="N694" s="19"/>
      <c r="O694" s="19"/>
      <c r="P694" s="43" t="str">
        <f aca="false">IF($E694="","",IF($L694="Decline",0,IF($L694="Approve fewer",IF($M694="","",$M694),IF($L694="","",$I694))))</f>
        <v/>
      </c>
      <c r="Q694" s="34" t="str">
        <f aca="false">IF($P694="","",IF($N694&lt;&gt;"",$N694,$J694))</f>
        <v/>
      </c>
      <c r="R694" s="35" t="str">
        <f aca="false">IF(OR($P694="",$Q694=""),"",INDEX(BookRate,689)*$P694*(5-MATCH($Q694,{"Q1";"Q2";"Q3";"Q4"},0))/4+INDEX(BookOneOff,689)*$P694)</f>
        <v/>
      </c>
      <c r="S694" s="35" t="str">
        <f aca="false">IF($P694="","",INDEX(BookRate,689)*$P694)</f>
        <v/>
      </c>
      <c r="T694" s="35" t="str">
        <f aca="false">IF($R694="","",$R694-$K694)</f>
        <v/>
      </c>
      <c r="U694" s="35" t="str">
        <f aca="false">IF(N($P694)&lt;=0,"",COUNTIF($P$6:$P694,"&gt;0"))</f>
        <v/>
      </c>
    </row>
    <row r="695" customFormat="false" ht="15" hidden="false" customHeight="false" outlineLevel="0" collapsed="false">
      <c r="A695" s="40" t="str">
        <f aca="false">IF(INDEX(BookTitle,690)="","",INDEX(BookGroup,690))</f>
        <v/>
      </c>
      <c r="B695" s="40" t="str">
        <f aca="false">IF(INDEX(BookTitle,690)="","",INDEX(BookRef,690))</f>
        <v/>
      </c>
      <c r="C695" s="40" t="str">
        <f aca="false">IF(INDEX(BookTitle,690)="","",INDEX(BookDivision,690))</f>
        <v/>
      </c>
      <c r="D695" s="40" t="str">
        <f aca="false">IF(INDEX(BookTitle,690)="","",INDEX(BookUnit,690))</f>
        <v/>
      </c>
      <c r="E695" s="40" t="str">
        <f aca="false">IF(INDEX(BookTitle,690)="","",INDEX(BookTitle,690))</f>
        <v/>
      </c>
      <c r="F695" s="40" t="str">
        <f aca="false">IF(INDEX(BookTitle,690)="","",INDEX(BookLevel,690))</f>
        <v/>
      </c>
      <c r="G695" s="40" t="str">
        <f aca="false">IF(INDEX(BookTitle,690)="","",INDEX(BookCategory,690))</f>
        <v/>
      </c>
      <c r="H695" s="40" t="str">
        <f aca="false">IF(INDEX(BookTitle,690)="","",INDEX(BookRank,690))</f>
        <v/>
      </c>
      <c r="I695" s="41" t="str">
        <f aca="false">IF(INDEX(BookTitle,690)="","",INDEX(BookTotal,690))</f>
        <v/>
      </c>
      <c r="J695" s="0" t="str">
        <f aca="false">IF($I695="","",IF(INDEX(BookQ1,690)&gt;0,"Q1",IF(INDEX(BookQ2,690)&gt;0,"Q2",IF(INDEX(BookQ3,690)&gt;0,"Q3",IF(INDEX(BookQ4,690)&gt;0,"Q4","")))))</f>
        <v/>
      </c>
      <c r="K695" s="42" t="str">
        <f aca="false">IF(INDEX(BookTitle,690)="","",INDEX(BookInYear,690))</f>
        <v/>
      </c>
      <c r="L695" s="19"/>
      <c r="M695" s="39"/>
      <c r="N695" s="19"/>
      <c r="O695" s="19"/>
      <c r="P695" s="43" t="str">
        <f aca="false">IF($E695="","",IF($L695="Decline",0,IF($L695="Approve fewer",IF($M695="","",$M695),IF($L695="","",$I695))))</f>
        <v/>
      </c>
      <c r="Q695" s="34" t="str">
        <f aca="false">IF($P695="","",IF($N695&lt;&gt;"",$N695,$J695))</f>
        <v/>
      </c>
      <c r="R695" s="35" t="str">
        <f aca="false">IF(OR($P695="",$Q695=""),"",INDEX(BookRate,690)*$P695*(5-MATCH($Q695,{"Q1";"Q2";"Q3";"Q4"},0))/4+INDEX(BookOneOff,690)*$P695)</f>
        <v/>
      </c>
      <c r="S695" s="35" t="str">
        <f aca="false">IF($P695="","",INDEX(BookRate,690)*$P695)</f>
        <v/>
      </c>
      <c r="T695" s="35" t="str">
        <f aca="false">IF($R695="","",$R695-$K695)</f>
        <v/>
      </c>
      <c r="U695" s="35" t="str">
        <f aca="false">IF(N($P695)&lt;=0,"",COUNTIF($P$6:$P695,"&gt;0"))</f>
        <v/>
      </c>
    </row>
    <row r="696" customFormat="false" ht="15" hidden="false" customHeight="false" outlineLevel="0" collapsed="false">
      <c r="A696" s="40" t="str">
        <f aca="false">IF(INDEX(BookTitle,691)="","",INDEX(BookGroup,691))</f>
        <v/>
      </c>
      <c r="B696" s="40" t="str">
        <f aca="false">IF(INDEX(BookTitle,691)="","",INDEX(BookRef,691))</f>
        <v/>
      </c>
      <c r="C696" s="40" t="str">
        <f aca="false">IF(INDEX(BookTitle,691)="","",INDEX(BookDivision,691))</f>
        <v/>
      </c>
      <c r="D696" s="40" t="str">
        <f aca="false">IF(INDEX(BookTitle,691)="","",INDEX(BookUnit,691))</f>
        <v/>
      </c>
      <c r="E696" s="40" t="str">
        <f aca="false">IF(INDEX(BookTitle,691)="","",INDEX(BookTitle,691))</f>
        <v/>
      </c>
      <c r="F696" s="40" t="str">
        <f aca="false">IF(INDEX(BookTitle,691)="","",INDEX(BookLevel,691))</f>
        <v/>
      </c>
      <c r="G696" s="40" t="str">
        <f aca="false">IF(INDEX(BookTitle,691)="","",INDEX(BookCategory,691))</f>
        <v/>
      </c>
      <c r="H696" s="40" t="str">
        <f aca="false">IF(INDEX(BookTitle,691)="","",INDEX(BookRank,691))</f>
        <v/>
      </c>
      <c r="I696" s="41" t="str">
        <f aca="false">IF(INDEX(BookTitle,691)="","",INDEX(BookTotal,691))</f>
        <v/>
      </c>
      <c r="J696" s="0" t="str">
        <f aca="false">IF($I696="","",IF(INDEX(BookQ1,691)&gt;0,"Q1",IF(INDEX(BookQ2,691)&gt;0,"Q2",IF(INDEX(BookQ3,691)&gt;0,"Q3",IF(INDEX(BookQ4,691)&gt;0,"Q4","")))))</f>
        <v/>
      </c>
      <c r="K696" s="42" t="str">
        <f aca="false">IF(INDEX(BookTitle,691)="","",INDEX(BookInYear,691))</f>
        <v/>
      </c>
      <c r="L696" s="19"/>
      <c r="M696" s="39"/>
      <c r="N696" s="19"/>
      <c r="O696" s="19"/>
      <c r="P696" s="43" t="str">
        <f aca="false">IF($E696="","",IF($L696="Decline",0,IF($L696="Approve fewer",IF($M696="","",$M696),IF($L696="","",$I696))))</f>
        <v/>
      </c>
      <c r="Q696" s="34" t="str">
        <f aca="false">IF($P696="","",IF($N696&lt;&gt;"",$N696,$J696))</f>
        <v/>
      </c>
      <c r="R696" s="35" t="str">
        <f aca="false">IF(OR($P696="",$Q696=""),"",INDEX(BookRate,691)*$P696*(5-MATCH($Q696,{"Q1";"Q2";"Q3";"Q4"},0))/4+INDEX(BookOneOff,691)*$P696)</f>
        <v/>
      </c>
      <c r="S696" s="35" t="str">
        <f aca="false">IF($P696="","",INDEX(BookRate,691)*$P696)</f>
        <v/>
      </c>
      <c r="T696" s="35" t="str">
        <f aca="false">IF($R696="","",$R696-$K696)</f>
        <v/>
      </c>
      <c r="U696" s="35" t="str">
        <f aca="false">IF(N($P696)&lt;=0,"",COUNTIF($P$6:$P696,"&gt;0"))</f>
        <v/>
      </c>
    </row>
    <row r="697" customFormat="false" ht="15" hidden="false" customHeight="false" outlineLevel="0" collapsed="false">
      <c r="A697" s="40" t="str">
        <f aca="false">IF(INDEX(BookTitle,692)="","",INDEX(BookGroup,692))</f>
        <v/>
      </c>
      <c r="B697" s="40" t="str">
        <f aca="false">IF(INDEX(BookTitle,692)="","",INDEX(BookRef,692))</f>
        <v/>
      </c>
      <c r="C697" s="40" t="str">
        <f aca="false">IF(INDEX(BookTitle,692)="","",INDEX(BookDivision,692))</f>
        <v/>
      </c>
      <c r="D697" s="40" t="str">
        <f aca="false">IF(INDEX(BookTitle,692)="","",INDEX(BookUnit,692))</f>
        <v/>
      </c>
      <c r="E697" s="40" t="str">
        <f aca="false">IF(INDEX(BookTitle,692)="","",INDEX(BookTitle,692))</f>
        <v/>
      </c>
      <c r="F697" s="40" t="str">
        <f aca="false">IF(INDEX(BookTitle,692)="","",INDEX(BookLevel,692))</f>
        <v/>
      </c>
      <c r="G697" s="40" t="str">
        <f aca="false">IF(INDEX(BookTitle,692)="","",INDEX(BookCategory,692))</f>
        <v/>
      </c>
      <c r="H697" s="40" t="str">
        <f aca="false">IF(INDEX(BookTitle,692)="","",INDEX(BookRank,692))</f>
        <v/>
      </c>
      <c r="I697" s="41" t="str">
        <f aca="false">IF(INDEX(BookTitle,692)="","",INDEX(BookTotal,692))</f>
        <v/>
      </c>
      <c r="J697" s="0" t="str">
        <f aca="false">IF($I697="","",IF(INDEX(BookQ1,692)&gt;0,"Q1",IF(INDEX(BookQ2,692)&gt;0,"Q2",IF(INDEX(BookQ3,692)&gt;0,"Q3",IF(INDEX(BookQ4,692)&gt;0,"Q4","")))))</f>
        <v/>
      </c>
      <c r="K697" s="42" t="str">
        <f aca="false">IF(INDEX(BookTitle,692)="","",INDEX(BookInYear,692))</f>
        <v/>
      </c>
      <c r="L697" s="19"/>
      <c r="M697" s="39"/>
      <c r="N697" s="19"/>
      <c r="O697" s="19"/>
      <c r="P697" s="43" t="str">
        <f aca="false">IF($E697="","",IF($L697="Decline",0,IF($L697="Approve fewer",IF($M697="","",$M697),IF($L697="","",$I697))))</f>
        <v/>
      </c>
      <c r="Q697" s="34" t="str">
        <f aca="false">IF($P697="","",IF($N697&lt;&gt;"",$N697,$J697))</f>
        <v/>
      </c>
      <c r="R697" s="35" t="str">
        <f aca="false">IF(OR($P697="",$Q697=""),"",INDEX(BookRate,692)*$P697*(5-MATCH($Q697,{"Q1";"Q2";"Q3";"Q4"},0))/4+INDEX(BookOneOff,692)*$P697)</f>
        <v/>
      </c>
      <c r="S697" s="35" t="str">
        <f aca="false">IF($P697="","",INDEX(BookRate,692)*$P697)</f>
        <v/>
      </c>
      <c r="T697" s="35" t="str">
        <f aca="false">IF($R697="","",$R697-$K697)</f>
        <v/>
      </c>
      <c r="U697" s="35" t="str">
        <f aca="false">IF(N($P697)&lt;=0,"",COUNTIF($P$6:$P697,"&gt;0"))</f>
        <v/>
      </c>
    </row>
    <row r="698" customFormat="false" ht="15" hidden="false" customHeight="false" outlineLevel="0" collapsed="false">
      <c r="A698" s="40" t="str">
        <f aca="false">IF(INDEX(BookTitle,693)="","",INDEX(BookGroup,693))</f>
        <v/>
      </c>
      <c r="B698" s="40" t="str">
        <f aca="false">IF(INDEX(BookTitle,693)="","",INDEX(BookRef,693))</f>
        <v/>
      </c>
      <c r="C698" s="40" t="str">
        <f aca="false">IF(INDEX(BookTitle,693)="","",INDEX(BookDivision,693))</f>
        <v/>
      </c>
      <c r="D698" s="40" t="str">
        <f aca="false">IF(INDEX(BookTitle,693)="","",INDEX(BookUnit,693))</f>
        <v/>
      </c>
      <c r="E698" s="40" t="str">
        <f aca="false">IF(INDEX(BookTitle,693)="","",INDEX(BookTitle,693))</f>
        <v/>
      </c>
      <c r="F698" s="40" t="str">
        <f aca="false">IF(INDEX(BookTitle,693)="","",INDEX(BookLevel,693))</f>
        <v/>
      </c>
      <c r="G698" s="40" t="str">
        <f aca="false">IF(INDEX(BookTitle,693)="","",INDEX(BookCategory,693))</f>
        <v/>
      </c>
      <c r="H698" s="40" t="str">
        <f aca="false">IF(INDEX(BookTitle,693)="","",INDEX(BookRank,693))</f>
        <v/>
      </c>
      <c r="I698" s="41" t="str">
        <f aca="false">IF(INDEX(BookTitle,693)="","",INDEX(BookTotal,693))</f>
        <v/>
      </c>
      <c r="J698" s="0" t="str">
        <f aca="false">IF($I698="","",IF(INDEX(BookQ1,693)&gt;0,"Q1",IF(INDEX(BookQ2,693)&gt;0,"Q2",IF(INDEX(BookQ3,693)&gt;0,"Q3",IF(INDEX(BookQ4,693)&gt;0,"Q4","")))))</f>
        <v/>
      </c>
      <c r="K698" s="42" t="str">
        <f aca="false">IF(INDEX(BookTitle,693)="","",INDEX(BookInYear,693))</f>
        <v/>
      </c>
      <c r="L698" s="19"/>
      <c r="M698" s="39"/>
      <c r="N698" s="19"/>
      <c r="O698" s="19"/>
      <c r="P698" s="43" t="str">
        <f aca="false">IF($E698="","",IF($L698="Decline",0,IF($L698="Approve fewer",IF($M698="","",$M698),IF($L698="","",$I698))))</f>
        <v/>
      </c>
      <c r="Q698" s="34" t="str">
        <f aca="false">IF($P698="","",IF($N698&lt;&gt;"",$N698,$J698))</f>
        <v/>
      </c>
      <c r="R698" s="35" t="str">
        <f aca="false">IF(OR($P698="",$Q698=""),"",INDEX(BookRate,693)*$P698*(5-MATCH($Q698,{"Q1";"Q2";"Q3";"Q4"},0))/4+INDEX(BookOneOff,693)*$P698)</f>
        <v/>
      </c>
      <c r="S698" s="35" t="str">
        <f aca="false">IF($P698="","",INDEX(BookRate,693)*$P698)</f>
        <v/>
      </c>
      <c r="T698" s="35" t="str">
        <f aca="false">IF($R698="","",$R698-$K698)</f>
        <v/>
      </c>
      <c r="U698" s="35" t="str">
        <f aca="false">IF(N($P698)&lt;=0,"",COUNTIF($P$6:$P698,"&gt;0"))</f>
        <v/>
      </c>
    </row>
    <row r="699" customFormat="false" ht="15" hidden="false" customHeight="false" outlineLevel="0" collapsed="false">
      <c r="A699" s="40" t="str">
        <f aca="false">IF(INDEX(BookTitle,694)="","",INDEX(BookGroup,694))</f>
        <v/>
      </c>
      <c r="B699" s="40" t="str">
        <f aca="false">IF(INDEX(BookTitle,694)="","",INDEX(BookRef,694))</f>
        <v/>
      </c>
      <c r="C699" s="40" t="str">
        <f aca="false">IF(INDEX(BookTitle,694)="","",INDEX(BookDivision,694))</f>
        <v/>
      </c>
      <c r="D699" s="40" t="str">
        <f aca="false">IF(INDEX(BookTitle,694)="","",INDEX(BookUnit,694))</f>
        <v/>
      </c>
      <c r="E699" s="40" t="str">
        <f aca="false">IF(INDEX(BookTitle,694)="","",INDEX(BookTitle,694))</f>
        <v/>
      </c>
      <c r="F699" s="40" t="str">
        <f aca="false">IF(INDEX(BookTitle,694)="","",INDEX(BookLevel,694))</f>
        <v/>
      </c>
      <c r="G699" s="40" t="str">
        <f aca="false">IF(INDEX(BookTitle,694)="","",INDEX(BookCategory,694))</f>
        <v/>
      </c>
      <c r="H699" s="40" t="str">
        <f aca="false">IF(INDEX(BookTitle,694)="","",INDEX(BookRank,694))</f>
        <v/>
      </c>
      <c r="I699" s="41" t="str">
        <f aca="false">IF(INDEX(BookTitle,694)="","",INDEX(BookTotal,694))</f>
        <v/>
      </c>
      <c r="J699" s="0" t="str">
        <f aca="false">IF($I699="","",IF(INDEX(BookQ1,694)&gt;0,"Q1",IF(INDEX(BookQ2,694)&gt;0,"Q2",IF(INDEX(BookQ3,694)&gt;0,"Q3",IF(INDEX(BookQ4,694)&gt;0,"Q4","")))))</f>
        <v/>
      </c>
      <c r="K699" s="42" t="str">
        <f aca="false">IF(INDEX(BookTitle,694)="","",INDEX(BookInYear,694))</f>
        <v/>
      </c>
      <c r="L699" s="19"/>
      <c r="M699" s="39"/>
      <c r="N699" s="19"/>
      <c r="O699" s="19"/>
      <c r="P699" s="43" t="str">
        <f aca="false">IF($E699="","",IF($L699="Decline",0,IF($L699="Approve fewer",IF($M699="","",$M699),IF($L699="","",$I699))))</f>
        <v/>
      </c>
      <c r="Q699" s="34" t="str">
        <f aca="false">IF($P699="","",IF($N699&lt;&gt;"",$N699,$J699))</f>
        <v/>
      </c>
      <c r="R699" s="35" t="str">
        <f aca="false">IF(OR($P699="",$Q699=""),"",INDEX(BookRate,694)*$P699*(5-MATCH($Q699,{"Q1";"Q2";"Q3";"Q4"},0))/4+INDEX(BookOneOff,694)*$P699)</f>
        <v/>
      </c>
      <c r="S699" s="35" t="str">
        <f aca="false">IF($P699="","",INDEX(BookRate,694)*$P699)</f>
        <v/>
      </c>
      <c r="T699" s="35" t="str">
        <f aca="false">IF($R699="","",$R699-$K699)</f>
        <v/>
      </c>
      <c r="U699" s="35" t="str">
        <f aca="false">IF(N($P699)&lt;=0,"",COUNTIF($P$6:$P699,"&gt;0"))</f>
        <v/>
      </c>
    </row>
    <row r="700" customFormat="false" ht="15" hidden="false" customHeight="false" outlineLevel="0" collapsed="false">
      <c r="A700" s="40" t="str">
        <f aca="false">IF(INDEX(BookTitle,695)="","",INDEX(BookGroup,695))</f>
        <v/>
      </c>
      <c r="B700" s="40" t="str">
        <f aca="false">IF(INDEX(BookTitle,695)="","",INDEX(BookRef,695))</f>
        <v/>
      </c>
      <c r="C700" s="40" t="str">
        <f aca="false">IF(INDEX(BookTitle,695)="","",INDEX(BookDivision,695))</f>
        <v/>
      </c>
      <c r="D700" s="40" t="str">
        <f aca="false">IF(INDEX(BookTitle,695)="","",INDEX(BookUnit,695))</f>
        <v/>
      </c>
      <c r="E700" s="40" t="str">
        <f aca="false">IF(INDEX(BookTitle,695)="","",INDEX(BookTitle,695))</f>
        <v/>
      </c>
      <c r="F700" s="40" t="str">
        <f aca="false">IF(INDEX(BookTitle,695)="","",INDEX(BookLevel,695))</f>
        <v/>
      </c>
      <c r="G700" s="40" t="str">
        <f aca="false">IF(INDEX(BookTitle,695)="","",INDEX(BookCategory,695))</f>
        <v/>
      </c>
      <c r="H700" s="40" t="str">
        <f aca="false">IF(INDEX(BookTitle,695)="","",INDEX(BookRank,695))</f>
        <v/>
      </c>
      <c r="I700" s="41" t="str">
        <f aca="false">IF(INDEX(BookTitle,695)="","",INDEX(BookTotal,695))</f>
        <v/>
      </c>
      <c r="J700" s="0" t="str">
        <f aca="false">IF($I700="","",IF(INDEX(BookQ1,695)&gt;0,"Q1",IF(INDEX(BookQ2,695)&gt;0,"Q2",IF(INDEX(BookQ3,695)&gt;0,"Q3",IF(INDEX(BookQ4,695)&gt;0,"Q4","")))))</f>
        <v/>
      </c>
      <c r="K700" s="42" t="str">
        <f aca="false">IF(INDEX(BookTitle,695)="","",INDEX(BookInYear,695))</f>
        <v/>
      </c>
      <c r="L700" s="19"/>
      <c r="M700" s="39"/>
      <c r="N700" s="19"/>
      <c r="O700" s="19"/>
      <c r="P700" s="43" t="str">
        <f aca="false">IF($E700="","",IF($L700="Decline",0,IF($L700="Approve fewer",IF($M700="","",$M700),IF($L700="","",$I700))))</f>
        <v/>
      </c>
      <c r="Q700" s="34" t="str">
        <f aca="false">IF($P700="","",IF($N700&lt;&gt;"",$N700,$J700))</f>
        <v/>
      </c>
      <c r="R700" s="35" t="str">
        <f aca="false">IF(OR($P700="",$Q700=""),"",INDEX(BookRate,695)*$P700*(5-MATCH($Q700,{"Q1";"Q2";"Q3";"Q4"},0))/4+INDEX(BookOneOff,695)*$P700)</f>
        <v/>
      </c>
      <c r="S700" s="35" t="str">
        <f aca="false">IF($P700="","",INDEX(BookRate,695)*$P700)</f>
        <v/>
      </c>
      <c r="T700" s="35" t="str">
        <f aca="false">IF($R700="","",$R700-$K700)</f>
        <v/>
      </c>
      <c r="U700" s="35" t="str">
        <f aca="false">IF(N($P700)&lt;=0,"",COUNTIF($P$6:$P700,"&gt;0"))</f>
        <v/>
      </c>
    </row>
    <row r="701" customFormat="false" ht="15" hidden="false" customHeight="false" outlineLevel="0" collapsed="false">
      <c r="A701" s="40" t="str">
        <f aca="false">IF(INDEX(BookTitle,696)="","",INDEX(BookGroup,696))</f>
        <v/>
      </c>
      <c r="B701" s="40" t="str">
        <f aca="false">IF(INDEX(BookTitle,696)="","",INDEX(BookRef,696))</f>
        <v/>
      </c>
      <c r="C701" s="40" t="str">
        <f aca="false">IF(INDEX(BookTitle,696)="","",INDEX(BookDivision,696))</f>
        <v/>
      </c>
      <c r="D701" s="40" t="str">
        <f aca="false">IF(INDEX(BookTitle,696)="","",INDEX(BookUnit,696))</f>
        <v/>
      </c>
      <c r="E701" s="40" t="str">
        <f aca="false">IF(INDEX(BookTitle,696)="","",INDEX(BookTitle,696))</f>
        <v/>
      </c>
      <c r="F701" s="40" t="str">
        <f aca="false">IF(INDEX(BookTitle,696)="","",INDEX(BookLevel,696))</f>
        <v/>
      </c>
      <c r="G701" s="40" t="str">
        <f aca="false">IF(INDEX(BookTitle,696)="","",INDEX(BookCategory,696))</f>
        <v/>
      </c>
      <c r="H701" s="40" t="str">
        <f aca="false">IF(INDEX(BookTitle,696)="","",INDEX(BookRank,696))</f>
        <v/>
      </c>
      <c r="I701" s="41" t="str">
        <f aca="false">IF(INDEX(BookTitle,696)="","",INDEX(BookTotal,696))</f>
        <v/>
      </c>
      <c r="J701" s="0" t="str">
        <f aca="false">IF($I701="","",IF(INDEX(BookQ1,696)&gt;0,"Q1",IF(INDEX(BookQ2,696)&gt;0,"Q2",IF(INDEX(BookQ3,696)&gt;0,"Q3",IF(INDEX(BookQ4,696)&gt;0,"Q4","")))))</f>
        <v/>
      </c>
      <c r="K701" s="42" t="str">
        <f aca="false">IF(INDEX(BookTitle,696)="","",INDEX(BookInYear,696))</f>
        <v/>
      </c>
      <c r="L701" s="19"/>
      <c r="M701" s="39"/>
      <c r="N701" s="19"/>
      <c r="O701" s="19"/>
      <c r="P701" s="43" t="str">
        <f aca="false">IF($E701="","",IF($L701="Decline",0,IF($L701="Approve fewer",IF($M701="","",$M701),IF($L701="","",$I701))))</f>
        <v/>
      </c>
      <c r="Q701" s="34" t="str">
        <f aca="false">IF($P701="","",IF($N701&lt;&gt;"",$N701,$J701))</f>
        <v/>
      </c>
      <c r="R701" s="35" t="str">
        <f aca="false">IF(OR($P701="",$Q701=""),"",INDEX(BookRate,696)*$P701*(5-MATCH($Q701,{"Q1";"Q2";"Q3";"Q4"},0))/4+INDEX(BookOneOff,696)*$P701)</f>
        <v/>
      </c>
      <c r="S701" s="35" t="str">
        <f aca="false">IF($P701="","",INDEX(BookRate,696)*$P701)</f>
        <v/>
      </c>
      <c r="T701" s="35" t="str">
        <f aca="false">IF($R701="","",$R701-$K701)</f>
        <v/>
      </c>
      <c r="U701" s="35" t="str">
        <f aca="false">IF(N($P701)&lt;=0,"",COUNTIF($P$6:$P701,"&gt;0"))</f>
        <v/>
      </c>
    </row>
    <row r="702" customFormat="false" ht="15" hidden="false" customHeight="false" outlineLevel="0" collapsed="false">
      <c r="A702" s="40" t="str">
        <f aca="false">IF(INDEX(BookTitle,697)="","",INDEX(BookGroup,697))</f>
        <v/>
      </c>
      <c r="B702" s="40" t="str">
        <f aca="false">IF(INDEX(BookTitle,697)="","",INDEX(BookRef,697))</f>
        <v/>
      </c>
      <c r="C702" s="40" t="str">
        <f aca="false">IF(INDEX(BookTitle,697)="","",INDEX(BookDivision,697))</f>
        <v/>
      </c>
      <c r="D702" s="40" t="str">
        <f aca="false">IF(INDEX(BookTitle,697)="","",INDEX(BookUnit,697))</f>
        <v/>
      </c>
      <c r="E702" s="40" t="str">
        <f aca="false">IF(INDEX(BookTitle,697)="","",INDEX(BookTitle,697))</f>
        <v/>
      </c>
      <c r="F702" s="40" t="str">
        <f aca="false">IF(INDEX(BookTitle,697)="","",INDEX(BookLevel,697))</f>
        <v/>
      </c>
      <c r="G702" s="40" t="str">
        <f aca="false">IF(INDEX(BookTitle,697)="","",INDEX(BookCategory,697))</f>
        <v/>
      </c>
      <c r="H702" s="40" t="str">
        <f aca="false">IF(INDEX(BookTitle,697)="","",INDEX(BookRank,697))</f>
        <v/>
      </c>
      <c r="I702" s="41" t="str">
        <f aca="false">IF(INDEX(BookTitle,697)="","",INDEX(BookTotal,697))</f>
        <v/>
      </c>
      <c r="J702" s="0" t="str">
        <f aca="false">IF($I702="","",IF(INDEX(BookQ1,697)&gt;0,"Q1",IF(INDEX(BookQ2,697)&gt;0,"Q2",IF(INDEX(BookQ3,697)&gt;0,"Q3",IF(INDEX(BookQ4,697)&gt;0,"Q4","")))))</f>
        <v/>
      </c>
      <c r="K702" s="42" t="str">
        <f aca="false">IF(INDEX(BookTitle,697)="","",INDEX(BookInYear,697))</f>
        <v/>
      </c>
      <c r="L702" s="19"/>
      <c r="M702" s="39"/>
      <c r="N702" s="19"/>
      <c r="O702" s="19"/>
      <c r="P702" s="43" t="str">
        <f aca="false">IF($E702="","",IF($L702="Decline",0,IF($L702="Approve fewer",IF($M702="","",$M702),IF($L702="","",$I702))))</f>
        <v/>
      </c>
      <c r="Q702" s="34" t="str">
        <f aca="false">IF($P702="","",IF($N702&lt;&gt;"",$N702,$J702))</f>
        <v/>
      </c>
      <c r="R702" s="35" t="str">
        <f aca="false">IF(OR($P702="",$Q702=""),"",INDEX(BookRate,697)*$P702*(5-MATCH($Q702,{"Q1";"Q2";"Q3";"Q4"},0))/4+INDEX(BookOneOff,697)*$P702)</f>
        <v/>
      </c>
      <c r="S702" s="35" t="str">
        <f aca="false">IF($P702="","",INDEX(BookRate,697)*$P702)</f>
        <v/>
      </c>
      <c r="T702" s="35" t="str">
        <f aca="false">IF($R702="","",$R702-$K702)</f>
        <v/>
      </c>
      <c r="U702" s="35" t="str">
        <f aca="false">IF(N($P702)&lt;=0,"",COUNTIF($P$6:$P702,"&gt;0"))</f>
        <v/>
      </c>
    </row>
    <row r="703" customFormat="false" ht="15" hidden="false" customHeight="false" outlineLevel="0" collapsed="false">
      <c r="A703" s="40" t="str">
        <f aca="false">IF(INDEX(BookTitle,698)="","",INDEX(BookGroup,698))</f>
        <v/>
      </c>
      <c r="B703" s="40" t="str">
        <f aca="false">IF(INDEX(BookTitle,698)="","",INDEX(BookRef,698))</f>
        <v/>
      </c>
      <c r="C703" s="40" t="str">
        <f aca="false">IF(INDEX(BookTitle,698)="","",INDEX(BookDivision,698))</f>
        <v/>
      </c>
      <c r="D703" s="40" t="str">
        <f aca="false">IF(INDEX(BookTitle,698)="","",INDEX(BookUnit,698))</f>
        <v/>
      </c>
      <c r="E703" s="40" t="str">
        <f aca="false">IF(INDEX(BookTitle,698)="","",INDEX(BookTitle,698))</f>
        <v/>
      </c>
      <c r="F703" s="40" t="str">
        <f aca="false">IF(INDEX(BookTitle,698)="","",INDEX(BookLevel,698))</f>
        <v/>
      </c>
      <c r="G703" s="40" t="str">
        <f aca="false">IF(INDEX(BookTitle,698)="","",INDEX(BookCategory,698))</f>
        <v/>
      </c>
      <c r="H703" s="40" t="str">
        <f aca="false">IF(INDEX(BookTitle,698)="","",INDEX(BookRank,698))</f>
        <v/>
      </c>
      <c r="I703" s="41" t="str">
        <f aca="false">IF(INDEX(BookTitle,698)="","",INDEX(BookTotal,698))</f>
        <v/>
      </c>
      <c r="J703" s="0" t="str">
        <f aca="false">IF($I703="","",IF(INDEX(BookQ1,698)&gt;0,"Q1",IF(INDEX(BookQ2,698)&gt;0,"Q2",IF(INDEX(BookQ3,698)&gt;0,"Q3",IF(INDEX(BookQ4,698)&gt;0,"Q4","")))))</f>
        <v/>
      </c>
      <c r="K703" s="42" t="str">
        <f aca="false">IF(INDEX(BookTitle,698)="","",INDEX(BookInYear,698))</f>
        <v/>
      </c>
      <c r="L703" s="19"/>
      <c r="M703" s="39"/>
      <c r="N703" s="19"/>
      <c r="O703" s="19"/>
      <c r="P703" s="43" t="str">
        <f aca="false">IF($E703="","",IF($L703="Decline",0,IF($L703="Approve fewer",IF($M703="","",$M703),IF($L703="","",$I703))))</f>
        <v/>
      </c>
      <c r="Q703" s="34" t="str">
        <f aca="false">IF($P703="","",IF($N703&lt;&gt;"",$N703,$J703))</f>
        <v/>
      </c>
      <c r="R703" s="35" t="str">
        <f aca="false">IF(OR($P703="",$Q703=""),"",INDEX(BookRate,698)*$P703*(5-MATCH($Q703,{"Q1";"Q2";"Q3";"Q4"},0))/4+INDEX(BookOneOff,698)*$P703)</f>
        <v/>
      </c>
      <c r="S703" s="35" t="str">
        <f aca="false">IF($P703="","",INDEX(BookRate,698)*$P703)</f>
        <v/>
      </c>
      <c r="T703" s="35" t="str">
        <f aca="false">IF($R703="","",$R703-$K703)</f>
        <v/>
      </c>
      <c r="U703" s="35" t="str">
        <f aca="false">IF(N($P703)&lt;=0,"",COUNTIF($P$6:$P703,"&gt;0"))</f>
        <v/>
      </c>
    </row>
    <row r="704" customFormat="false" ht="15" hidden="false" customHeight="false" outlineLevel="0" collapsed="false">
      <c r="A704" s="40" t="str">
        <f aca="false">IF(INDEX(BookTitle,699)="","",INDEX(BookGroup,699))</f>
        <v/>
      </c>
      <c r="B704" s="40" t="str">
        <f aca="false">IF(INDEX(BookTitle,699)="","",INDEX(BookRef,699))</f>
        <v/>
      </c>
      <c r="C704" s="40" t="str">
        <f aca="false">IF(INDEX(BookTitle,699)="","",INDEX(BookDivision,699))</f>
        <v/>
      </c>
      <c r="D704" s="40" t="str">
        <f aca="false">IF(INDEX(BookTitle,699)="","",INDEX(BookUnit,699))</f>
        <v/>
      </c>
      <c r="E704" s="40" t="str">
        <f aca="false">IF(INDEX(BookTitle,699)="","",INDEX(BookTitle,699))</f>
        <v/>
      </c>
      <c r="F704" s="40" t="str">
        <f aca="false">IF(INDEX(BookTitle,699)="","",INDEX(BookLevel,699))</f>
        <v/>
      </c>
      <c r="G704" s="40" t="str">
        <f aca="false">IF(INDEX(BookTitle,699)="","",INDEX(BookCategory,699))</f>
        <v/>
      </c>
      <c r="H704" s="40" t="str">
        <f aca="false">IF(INDEX(BookTitle,699)="","",INDEX(BookRank,699))</f>
        <v/>
      </c>
      <c r="I704" s="41" t="str">
        <f aca="false">IF(INDEX(BookTitle,699)="","",INDEX(BookTotal,699))</f>
        <v/>
      </c>
      <c r="J704" s="0" t="str">
        <f aca="false">IF($I704="","",IF(INDEX(BookQ1,699)&gt;0,"Q1",IF(INDEX(BookQ2,699)&gt;0,"Q2",IF(INDEX(BookQ3,699)&gt;0,"Q3",IF(INDEX(BookQ4,699)&gt;0,"Q4","")))))</f>
        <v/>
      </c>
      <c r="K704" s="42" t="str">
        <f aca="false">IF(INDEX(BookTitle,699)="","",INDEX(BookInYear,699))</f>
        <v/>
      </c>
      <c r="L704" s="19"/>
      <c r="M704" s="39"/>
      <c r="N704" s="19"/>
      <c r="O704" s="19"/>
      <c r="P704" s="43" t="str">
        <f aca="false">IF($E704="","",IF($L704="Decline",0,IF($L704="Approve fewer",IF($M704="","",$M704),IF($L704="","",$I704))))</f>
        <v/>
      </c>
      <c r="Q704" s="34" t="str">
        <f aca="false">IF($P704="","",IF($N704&lt;&gt;"",$N704,$J704))</f>
        <v/>
      </c>
      <c r="R704" s="35" t="str">
        <f aca="false">IF(OR($P704="",$Q704=""),"",INDEX(BookRate,699)*$P704*(5-MATCH($Q704,{"Q1";"Q2";"Q3";"Q4"},0))/4+INDEX(BookOneOff,699)*$P704)</f>
        <v/>
      </c>
      <c r="S704" s="35" t="str">
        <f aca="false">IF($P704="","",INDEX(BookRate,699)*$P704)</f>
        <v/>
      </c>
      <c r="T704" s="35" t="str">
        <f aca="false">IF($R704="","",$R704-$K704)</f>
        <v/>
      </c>
      <c r="U704" s="35" t="str">
        <f aca="false">IF(N($P704)&lt;=0,"",COUNTIF($P$6:$P704,"&gt;0"))</f>
        <v/>
      </c>
    </row>
    <row r="705" customFormat="false" ht="15" hidden="false" customHeight="false" outlineLevel="0" collapsed="false">
      <c r="A705" s="40" t="str">
        <f aca="false">IF(INDEX(BookTitle,700)="","",INDEX(BookGroup,700))</f>
        <v/>
      </c>
      <c r="B705" s="40" t="str">
        <f aca="false">IF(INDEX(BookTitle,700)="","",INDEX(BookRef,700))</f>
        <v/>
      </c>
      <c r="C705" s="40" t="str">
        <f aca="false">IF(INDEX(BookTitle,700)="","",INDEX(BookDivision,700))</f>
        <v/>
      </c>
      <c r="D705" s="40" t="str">
        <f aca="false">IF(INDEX(BookTitle,700)="","",INDEX(BookUnit,700))</f>
        <v/>
      </c>
      <c r="E705" s="40" t="str">
        <f aca="false">IF(INDEX(BookTitle,700)="","",INDEX(BookTitle,700))</f>
        <v/>
      </c>
      <c r="F705" s="40" t="str">
        <f aca="false">IF(INDEX(BookTitle,700)="","",INDEX(BookLevel,700))</f>
        <v/>
      </c>
      <c r="G705" s="40" t="str">
        <f aca="false">IF(INDEX(BookTitle,700)="","",INDEX(BookCategory,700))</f>
        <v/>
      </c>
      <c r="H705" s="40" t="str">
        <f aca="false">IF(INDEX(BookTitle,700)="","",INDEX(BookRank,700))</f>
        <v/>
      </c>
      <c r="I705" s="41" t="str">
        <f aca="false">IF(INDEX(BookTitle,700)="","",INDEX(BookTotal,700))</f>
        <v/>
      </c>
      <c r="J705" s="0" t="str">
        <f aca="false">IF($I705="","",IF(INDEX(BookQ1,700)&gt;0,"Q1",IF(INDEX(BookQ2,700)&gt;0,"Q2",IF(INDEX(BookQ3,700)&gt;0,"Q3",IF(INDEX(BookQ4,700)&gt;0,"Q4","")))))</f>
        <v/>
      </c>
      <c r="K705" s="42" t="str">
        <f aca="false">IF(INDEX(BookTitle,700)="","",INDEX(BookInYear,700))</f>
        <v/>
      </c>
      <c r="L705" s="19"/>
      <c r="M705" s="39"/>
      <c r="N705" s="19"/>
      <c r="O705" s="19"/>
      <c r="P705" s="43" t="str">
        <f aca="false">IF($E705="","",IF($L705="Decline",0,IF($L705="Approve fewer",IF($M705="","",$M705),IF($L705="","",$I705))))</f>
        <v/>
      </c>
      <c r="Q705" s="34" t="str">
        <f aca="false">IF($P705="","",IF($N705&lt;&gt;"",$N705,$J705))</f>
        <v/>
      </c>
      <c r="R705" s="35" t="str">
        <f aca="false">IF(OR($P705="",$Q705=""),"",INDEX(BookRate,700)*$P705*(5-MATCH($Q705,{"Q1";"Q2";"Q3";"Q4"},0))/4+INDEX(BookOneOff,700)*$P705)</f>
        <v/>
      </c>
      <c r="S705" s="35" t="str">
        <f aca="false">IF($P705="","",INDEX(BookRate,700)*$P705)</f>
        <v/>
      </c>
      <c r="T705" s="35" t="str">
        <f aca="false">IF($R705="","",$R705-$K705)</f>
        <v/>
      </c>
      <c r="U705" s="35" t="str">
        <f aca="false">IF(N($P705)&lt;=0,"",COUNTIF($P$6:$P705,"&gt;0"))</f>
        <v/>
      </c>
    </row>
    <row r="706" customFormat="false" ht="15" hidden="false" customHeight="false" outlineLevel="0" collapsed="false">
      <c r="A706" s="40" t="str">
        <f aca="false">IF(INDEX(BookTitle,701)="","",INDEX(BookGroup,701))</f>
        <v/>
      </c>
      <c r="B706" s="40" t="str">
        <f aca="false">IF(INDEX(BookTitle,701)="","",INDEX(BookRef,701))</f>
        <v/>
      </c>
      <c r="C706" s="40" t="str">
        <f aca="false">IF(INDEX(BookTitle,701)="","",INDEX(BookDivision,701))</f>
        <v/>
      </c>
      <c r="D706" s="40" t="str">
        <f aca="false">IF(INDEX(BookTitle,701)="","",INDEX(BookUnit,701))</f>
        <v/>
      </c>
      <c r="E706" s="40" t="str">
        <f aca="false">IF(INDEX(BookTitle,701)="","",INDEX(BookTitle,701))</f>
        <v/>
      </c>
      <c r="F706" s="40" t="str">
        <f aca="false">IF(INDEX(BookTitle,701)="","",INDEX(BookLevel,701))</f>
        <v/>
      </c>
      <c r="G706" s="40" t="str">
        <f aca="false">IF(INDEX(BookTitle,701)="","",INDEX(BookCategory,701))</f>
        <v/>
      </c>
      <c r="H706" s="40" t="str">
        <f aca="false">IF(INDEX(BookTitle,701)="","",INDEX(BookRank,701))</f>
        <v/>
      </c>
      <c r="I706" s="41" t="str">
        <f aca="false">IF(INDEX(BookTitle,701)="","",INDEX(BookTotal,701))</f>
        <v/>
      </c>
      <c r="J706" s="0" t="str">
        <f aca="false">IF($I706="","",IF(INDEX(BookQ1,701)&gt;0,"Q1",IF(INDEX(BookQ2,701)&gt;0,"Q2",IF(INDEX(BookQ3,701)&gt;0,"Q3",IF(INDEX(BookQ4,701)&gt;0,"Q4","")))))</f>
        <v/>
      </c>
      <c r="K706" s="42" t="str">
        <f aca="false">IF(INDEX(BookTitle,701)="","",INDEX(BookInYear,701))</f>
        <v/>
      </c>
      <c r="L706" s="19"/>
      <c r="M706" s="39"/>
      <c r="N706" s="19"/>
      <c r="O706" s="19"/>
      <c r="P706" s="43" t="str">
        <f aca="false">IF($E706="","",IF($L706="Decline",0,IF($L706="Approve fewer",IF($M706="","",$M706),IF($L706="","",$I706))))</f>
        <v/>
      </c>
      <c r="Q706" s="34" t="str">
        <f aca="false">IF($P706="","",IF($N706&lt;&gt;"",$N706,$J706))</f>
        <v/>
      </c>
      <c r="R706" s="35" t="str">
        <f aca="false">IF(OR($P706="",$Q706=""),"",INDEX(BookRate,701)*$P706*(5-MATCH($Q706,{"Q1";"Q2";"Q3";"Q4"},0))/4+INDEX(BookOneOff,701)*$P706)</f>
        <v/>
      </c>
      <c r="S706" s="35" t="str">
        <f aca="false">IF($P706="","",INDEX(BookRate,701)*$P706)</f>
        <v/>
      </c>
      <c r="T706" s="35" t="str">
        <f aca="false">IF($R706="","",$R706-$K706)</f>
        <v/>
      </c>
      <c r="U706" s="35" t="str">
        <f aca="false">IF(N($P706)&lt;=0,"",COUNTIF($P$6:$P706,"&gt;0"))</f>
        <v/>
      </c>
    </row>
    <row r="707" customFormat="false" ht="15" hidden="false" customHeight="false" outlineLevel="0" collapsed="false">
      <c r="A707" s="40" t="str">
        <f aca="false">IF(INDEX(BookTitle,702)="","",INDEX(BookGroup,702))</f>
        <v/>
      </c>
      <c r="B707" s="40" t="str">
        <f aca="false">IF(INDEX(BookTitle,702)="","",INDEX(BookRef,702))</f>
        <v/>
      </c>
      <c r="C707" s="40" t="str">
        <f aca="false">IF(INDEX(BookTitle,702)="","",INDEX(BookDivision,702))</f>
        <v/>
      </c>
      <c r="D707" s="40" t="str">
        <f aca="false">IF(INDEX(BookTitle,702)="","",INDEX(BookUnit,702))</f>
        <v/>
      </c>
      <c r="E707" s="40" t="str">
        <f aca="false">IF(INDEX(BookTitle,702)="","",INDEX(BookTitle,702))</f>
        <v/>
      </c>
      <c r="F707" s="40" t="str">
        <f aca="false">IF(INDEX(BookTitle,702)="","",INDEX(BookLevel,702))</f>
        <v/>
      </c>
      <c r="G707" s="40" t="str">
        <f aca="false">IF(INDEX(BookTitle,702)="","",INDEX(BookCategory,702))</f>
        <v/>
      </c>
      <c r="H707" s="40" t="str">
        <f aca="false">IF(INDEX(BookTitle,702)="","",INDEX(BookRank,702))</f>
        <v/>
      </c>
      <c r="I707" s="41" t="str">
        <f aca="false">IF(INDEX(BookTitle,702)="","",INDEX(BookTotal,702))</f>
        <v/>
      </c>
      <c r="J707" s="0" t="str">
        <f aca="false">IF($I707="","",IF(INDEX(BookQ1,702)&gt;0,"Q1",IF(INDEX(BookQ2,702)&gt;0,"Q2",IF(INDEX(BookQ3,702)&gt;0,"Q3",IF(INDEX(BookQ4,702)&gt;0,"Q4","")))))</f>
        <v/>
      </c>
      <c r="K707" s="42" t="str">
        <f aca="false">IF(INDEX(BookTitle,702)="","",INDEX(BookInYear,702))</f>
        <v/>
      </c>
      <c r="L707" s="19"/>
      <c r="M707" s="39"/>
      <c r="N707" s="19"/>
      <c r="O707" s="19"/>
      <c r="P707" s="43" t="str">
        <f aca="false">IF($E707="","",IF($L707="Decline",0,IF($L707="Approve fewer",IF($M707="","",$M707),IF($L707="","",$I707))))</f>
        <v/>
      </c>
      <c r="Q707" s="34" t="str">
        <f aca="false">IF($P707="","",IF($N707&lt;&gt;"",$N707,$J707))</f>
        <v/>
      </c>
      <c r="R707" s="35" t="str">
        <f aca="false">IF(OR($P707="",$Q707=""),"",INDEX(BookRate,702)*$P707*(5-MATCH($Q707,{"Q1";"Q2";"Q3";"Q4"},0))/4+INDEX(BookOneOff,702)*$P707)</f>
        <v/>
      </c>
      <c r="S707" s="35" t="str">
        <f aca="false">IF($P707="","",INDEX(BookRate,702)*$P707)</f>
        <v/>
      </c>
      <c r="T707" s="35" t="str">
        <f aca="false">IF($R707="","",$R707-$K707)</f>
        <v/>
      </c>
      <c r="U707" s="35" t="str">
        <f aca="false">IF(N($P707)&lt;=0,"",COUNTIF($P$6:$P707,"&gt;0"))</f>
        <v/>
      </c>
    </row>
    <row r="708" customFormat="false" ht="15" hidden="false" customHeight="false" outlineLevel="0" collapsed="false">
      <c r="A708" s="40" t="str">
        <f aca="false">IF(INDEX(BookTitle,703)="","",INDEX(BookGroup,703))</f>
        <v/>
      </c>
      <c r="B708" s="40" t="str">
        <f aca="false">IF(INDEX(BookTitle,703)="","",INDEX(BookRef,703))</f>
        <v/>
      </c>
      <c r="C708" s="40" t="str">
        <f aca="false">IF(INDEX(BookTitle,703)="","",INDEX(BookDivision,703))</f>
        <v/>
      </c>
      <c r="D708" s="40" t="str">
        <f aca="false">IF(INDEX(BookTitle,703)="","",INDEX(BookUnit,703))</f>
        <v/>
      </c>
      <c r="E708" s="40" t="str">
        <f aca="false">IF(INDEX(BookTitle,703)="","",INDEX(BookTitle,703))</f>
        <v/>
      </c>
      <c r="F708" s="40" t="str">
        <f aca="false">IF(INDEX(BookTitle,703)="","",INDEX(BookLevel,703))</f>
        <v/>
      </c>
      <c r="G708" s="40" t="str">
        <f aca="false">IF(INDEX(BookTitle,703)="","",INDEX(BookCategory,703))</f>
        <v/>
      </c>
      <c r="H708" s="40" t="str">
        <f aca="false">IF(INDEX(BookTitle,703)="","",INDEX(BookRank,703))</f>
        <v/>
      </c>
      <c r="I708" s="41" t="str">
        <f aca="false">IF(INDEX(BookTitle,703)="","",INDEX(BookTotal,703))</f>
        <v/>
      </c>
      <c r="J708" s="0" t="str">
        <f aca="false">IF($I708="","",IF(INDEX(BookQ1,703)&gt;0,"Q1",IF(INDEX(BookQ2,703)&gt;0,"Q2",IF(INDEX(BookQ3,703)&gt;0,"Q3",IF(INDEX(BookQ4,703)&gt;0,"Q4","")))))</f>
        <v/>
      </c>
      <c r="K708" s="42" t="str">
        <f aca="false">IF(INDEX(BookTitle,703)="","",INDEX(BookInYear,703))</f>
        <v/>
      </c>
      <c r="L708" s="19"/>
      <c r="M708" s="39"/>
      <c r="N708" s="19"/>
      <c r="O708" s="19"/>
      <c r="P708" s="43" t="str">
        <f aca="false">IF($E708="","",IF($L708="Decline",0,IF($L708="Approve fewer",IF($M708="","",$M708),IF($L708="","",$I708))))</f>
        <v/>
      </c>
      <c r="Q708" s="34" t="str">
        <f aca="false">IF($P708="","",IF($N708&lt;&gt;"",$N708,$J708))</f>
        <v/>
      </c>
      <c r="R708" s="35" t="str">
        <f aca="false">IF(OR($P708="",$Q708=""),"",INDEX(BookRate,703)*$P708*(5-MATCH($Q708,{"Q1";"Q2";"Q3";"Q4"},0))/4+INDEX(BookOneOff,703)*$P708)</f>
        <v/>
      </c>
      <c r="S708" s="35" t="str">
        <f aca="false">IF($P708="","",INDEX(BookRate,703)*$P708)</f>
        <v/>
      </c>
      <c r="T708" s="35" t="str">
        <f aca="false">IF($R708="","",$R708-$K708)</f>
        <v/>
      </c>
      <c r="U708" s="35" t="str">
        <f aca="false">IF(N($P708)&lt;=0,"",COUNTIF($P$6:$P708,"&gt;0"))</f>
        <v/>
      </c>
    </row>
    <row r="709" customFormat="false" ht="15" hidden="false" customHeight="false" outlineLevel="0" collapsed="false">
      <c r="A709" s="40" t="str">
        <f aca="false">IF(INDEX(BookTitle,704)="","",INDEX(BookGroup,704))</f>
        <v/>
      </c>
      <c r="B709" s="40" t="str">
        <f aca="false">IF(INDEX(BookTitle,704)="","",INDEX(BookRef,704))</f>
        <v/>
      </c>
      <c r="C709" s="40" t="str">
        <f aca="false">IF(INDEX(BookTitle,704)="","",INDEX(BookDivision,704))</f>
        <v/>
      </c>
      <c r="D709" s="40" t="str">
        <f aca="false">IF(INDEX(BookTitle,704)="","",INDEX(BookUnit,704))</f>
        <v/>
      </c>
      <c r="E709" s="40" t="str">
        <f aca="false">IF(INDEX(BookTitle,704)="","",INDEX(BookTitle,704))</f>
        <v/>
      </c>
      <c r="F709" s="40" t="str">
        <f aca="false">IF(INDEX(BookTitle,704)="","",INDEX(BookLevel,704))</f>
        <v/>
      </c>
      <c r="G709" s="40" t="str">
        <f aca="false">IF(INDEX(BookTitle,704)="","",INDEX(BookCategory,704))</f>
        <v/>
      </c>
      <c r="H709" s="40" t="str">
        <f aca="false">IF(INDEX(BookTitle,704)="","",INDEX(BookRank,704))</f>
        <v/>
      </c>
      <c r="I709" s="41" t="str">
        <f aca="false">IF(INDEX(BookTitle,704)="","",INDEX(BookTotal,704))</f>
        <v/>
      </c>
      <c r="J709" s="0" t="str">
        <f aca="false">IF($I709="","",IF(INDEX(BookQ1,704)&gt;0,"Q1",IF(INDEX(BookQ2,704)&gt;0,"Q2",IF(INDEX(BookQ3,704)&gt;0,"Q3",IF(INDEX(BookQ4,704)&gt;0,"Q4","")))))</f>
        <v/>
      </c>
      <c r="K709" s="42" t="str">
        <f aca="false">IF(INDEX(BookTitle,704)="","",INDEX(BookInYear,704))</f>
        <v/>
      </c>
      <c r="L709" s="19"/>
      <c r="M709" s="39"/>
      <c r="N709" s="19"/>
      <c r="O709" s="19"/>
      <c r="P709" s="43" t="str">
        <f aca="false">IF($E709="","",IF($L709="Decline",0,IF($L709="Approve fewer",IF($M709="","",$M709),IF($L709="","",$I709))))</f>
        <v/>
      </c>
      <c r="Q709" s="34" t="str">
        <f aca="false">IF($P709="","",IF($N709&lt;&gt;"",$N709,$J709))</f>
        <v/>
      </c>
      <c r="R709" s="35" t="str">
        <f aca="false">IF(OR($P709="",$Q709=""),"",INDEX(BookRate,704)*$P709*(5-MATCH($Q709,{"Q1";"Q2";"Q3";"Q4"},0))/4+INDEX(BookOneOff,704)*$P709)</f>
        <v/>
      </c>
      <c r="S709" s="35" t="str">
        <f aca="false">IF($P709="","",INDEX(BookRate,704)*$P709)</f>
        <v/>
      </c>
      <c r="T709" s="35" t="str">
        <f aca="false">IF($R709="","",$R709-$K709)</f>
        <v/>
      </c>
      <c r="U709" s="35" t="str">
        <f aca="false">IF(N($P709)&lt;=0,"",COUNTIF($P$6:$P709,"&gt;0"))</f>
        <v/>
      </c>
    </row>
    <row r="710" customFormat="false" ht="15" hidden="false" customHeight="false" outlineLevel="0" collapsed="false">
      <c r="A710" s="40" t="str">
        <f aca="false">IF(INDEX(BookTitle,705)="","",INDEX(BookGroup,705))</f>
        <v/>
      </c>
      <c r="B710" s="40" t="str">
        <f aca="false">IF(INDEX(BookTitle,705)="","",INDEX(BookRef,705))</f>
        <v/>
      </c>
      <c r="C710" s="40" t="str">
        <f aca="false">IF(INDEX(BookTitle,705)="","",INDEX(BookDivision,705))</f>
        <v/>
      </c>
      <c r="D710" s="40" t="str">
        <f aca="false">IF(INDEX(BookTitle,705)="","",INDEX(BookUnit,705))</f>
        <v/>
      </c>
      <c r="E710" s="40" t="str">
        <f aca="false">IF(INDEX(BookTitle,705)="","",INDEX(BookTitle,705))</f>
        <v/>
      </c>
      <c r="F710" s="40" t="str">
        <f aca="false">IF(INDEX(BookTitle,705)="","",INDEX(BookLevel,705))</f>
        <v/>
      </c>
      <c r="G710" s="40" t="str">
        <f aca="false">IF(INDEX(BookTitle,705)="","",INDEX(BookCategory,705))</f>
        <v/>
      </c>
      <c r="H710" s="40" t="str">
        <f aca="false">IF(INDEX(BookTitle,705)="","",INDEX(BookRank,705))</f>
        <v/>
      </c>
      <c r="I710" s="41" t="str">
        <f aca="false">IF(INDEX(BookTitle,705)="","",INDEX(BookTotal,705))</f>
        <v/>
      </c>
      <c r="J710" s="0" t="str">
        <f aca="false">IF($I710="","",IF(INDEX(BookQ1,705)&gt;0,"Q1",IF(INDEX(BookQ2,705)&gt;0,"Q2",IF(INDEX(BookQ3,705)&gt;0,"Q3",IF(INDEX(BookQ4,705)&gt;0,"Q4","")))))</f>
        <v/>
      </c>
      <c r="K710" s="42" t="str">
        <f aca="false">IF(INDEX(BookTitle,705)="","",INDEX(BookInYear,705))</f>
        <v/>
      </c>
      <c r="L710" s="19"/>
      <c r="M710" s="39"/>
      <c r="N710" s="19"/>
      <c r="O710" s="19"/>
      <c r="P710" s="43" t="str">
        <f aca="false">IF($E710="","",IF($L710="Decline",0,IF($L710="Approve fewer",IF($M710="","",$M710),IF($L710="","",$I710))))</f>
        <v/>
      </c>
      <c r="Q710" s="34" t="str">
        <f aca="false">IF($P710="","",IF($N710&lt;&gt;"",$N710,$J710))</f>
        <v/>
      </c>
      <c r="R710" s="35" t="str">
        <f aca="false">IF(OR($P710="",$Q710=""),"",INDEX(BookRate,705)*$P710*(5-MATCH($Q710,{"Q1";"Q2";"Q3";"Q4"},0))/4+INDEX(BookOneOff,705)*$P710)</f>
        <v/>
      </c>
      <c r="S710" s="35" t="str">
        <f aca="false">IF($P710="","",INDEX(BookRate,705)*$P710)</f>
        <v/>
      </c>
      <c r="T710" s="35" t="str">
        <f aca="false">IF($R710="","",$R710-$K710)</f>
        <v/>
      </c>
      <c r="U710" s="35" t="str">
        <f aca="false">IF(N($P710)&lt;=0,"",COUNTIF($P$6:$P710,"&gt;0"))</f>
        <v/>
      </c>
    </row>
    <row r="711" customFormat="false" ht="15" hidden="false" customHeight="false" outlineLevel="0" collapsed="false">
      <c r="A711" s="40" t="str">
        <f aca="false">IF(INDEX(BookTitle,706)="","",INDEX(BookGroup,706))</f>
        <v/>
      </c>
      <c r="B711" s="40" t="str">
        <f aca="false">IF(INDEX(BookTitle,706)="","",INDEX(BookRef,706))</f>
        <v/>
      </c>
      <c r="C711" s="40" t="str">
        <f aca="false">IF(INDEX(BookTitle,706)="","",INDEX(BookDivision,706))</f>
        <v/>
      </c>
      <c r="D711" s="40" t="str">
        <f aca="false">IF(INDEX(BookTitle,706)="","",INDEX(BookUnit,706))</f>
        <v/>
      </c>
      <c r="E711" s="40" t="str">
        <f aca="false">IF(INDEX(BookTitle,706)="","",INDEX(BookTitle,706))</f>
        <v/>
      </c>
      <c r="F711" s="40" t="str">
        <f aca="false">IF(INDEX(BookTitle,706)="","",INDEX(BookLevel,706))</f>
        <v/>
      </c>
      <c r="G711" s="40" t="str">
        <f aca="false">IF(INDEX(BookTitle,706)="","",INDEX(BookCategory,706))</f>
        <v/>
      </c>
      <c r="H711" s="40" t="str">
        <f aca="false">IF(INDEX(BookTitle,706)="","",INDEX(BookRank,706))</f>
        <v/>
      </c>
      <c r="I711" s="41" t="str">
        <f aca="false">IF(INDEX(BookTitle,706)="","",INDEX(BookTotal,706))</f>
        <v/>
      </c>
      <c r="J711" s="0" t="str">
        <f aca="false">IF($I711="","",IF(INDEX(BookQ1,706)&gt;0,"Q1",IF(INDEX(BookQ2,706)&gt;0,"Q2",IF(INDEX(BookQ3,706)&gt;0,"Q3",IF(INDEX(BookQ4,706)&gt;0,"Q4","")))))</f>
        <v/>
      </c>
      <c r="K711" s="42" t="str">
        <f aca="false">IF(INDEX(BookTitle,706)="","",INDEX(BookInYear,706))</f>
        <v/>
      </c>
      <c r="L711" s="19"/>
      <c r="M711" s="39"/>
      <c r="N711" s="19"/>
      <c r="O711" s="19"/>
      <c r="P711" s="43" t="str">
        <f aca="false">IF($E711="","",IF($L711="Decline",0,IF($L711="Approve fewer",IF($M711="","",$M711),IF($L711="","",$I711))))</f>
        <v/>
      </c>
      <c r="Q711" s="34" t="str">
        <f aca="false">IF($P711="","",IF($N711&lt;&gt;"",$N711,$J711))</f>
        <v/>
      </c>
      <c r="R711" s="35" t="str">
        <f aca="false">IF(OR($P711="",$Q711=""),"",INDEX(BookRate,706)*$P711*(5-MATCH($Q711,{"Q1";"Q2";"Q3";"Q4"},0))/4+INDEX(BookOneOff,706)*$P711)</f>
        <v/>
      </c>
      <c r="S711" s="35" t="str">
        <f aca="false">IF($P711="","",INDEX(BookRate,706)*$P711)</f>
        <v/>
      </c>
      <c r="T711" s="35" t="str">
        <f aca="false">IF($R711="","",$R711-$K711)</f>
        <v/>
      </c>
      <c r="U711" s="35" t="str">
        <f aca="false">IF(N($P711)&lt;=0,"",COUNTIF($P$6:$P711,"&gt;0"))</f>
        <v/>
      </c>
    </row>
    <row r="712" customFormat="false" ht="15" hidden="false" customHeight="false" outlineLevel="0" collapsed="false">
      <c r="A712" s="40" t="str">
        <f aca="false">IF(INDEX(BookTitle,707)="","",INDEX(BookGroup,707))</f>
        <v/>
      </c>
      <c r="B712" s="40" t="str">
        <f aca="false">IF(INDEX(BookTitle,707)="","",INDEX(BookRef,707))</f>
        <v/>
      </c>
      <c r="C712" s="40" t="str">
        <f aca="false">IF(INDEX(BookTitle,707)="","",INDEX(BookDivision,707))</f>
        <v/>
      </c>
      <c r="D712" s="40" t="str">
        <f aca="false">IF(INDEX(BookTitle,707)="","",INDEX(BookUnit,707))</f>
        <v/>
      </c>
      <c r="E712" s="40" t="str">
        <f aca="false">IF(INDEX(BookTitle,707)="","",INDEX(BookTitle,707))</f>
        <v/>
      </c>
      <c r="F712" s="40" t="str">
        <f aca="false">IF(INDEX(BookTitle,707)="","",INDEX(BookLevel,707))</f>
        <v/>
      </c>
      <c r="G712" s="40" t="str">
        <f aca="false">IF(INDEX(BookTitle,707)="","",INDEX(BookCategory,707))</f>
        <v/>
      </c>
      <c r="H712" s="40" t="str">
        <f aca="false">IF(INDEX(BookTitle,707)="","",INDEX(BookRank,707))</f>
        <v/>
      </c>
      <c r="I712" s="41" t="str">
        <f aca="false">IF(INDEX(BookTitle,707)="","",INDEX(BookTotal,707))</f>
        <v/>
      </c>
      <c r="J712" s="0" t="str">
        <f aca="false">IF($I712="","",IF(INDEX(BookQ1,707)&gt;0,"Q1",IF(INDEX(BookQ2,707)&gt;0,"Q2",IF(INDEX(BookQ3,707)&gt;0,"Q3",IF(INDEX(BookQ4,707)&gt;0,"Q4","")))))</f>
        <v/>
      </c>
      <c r="K712" s="42" t="str">
        <f aca="false">IF(INDEX(BookTitle,707)="","",INDEX(BookInYear,707))</f>
        <v/>
      </c>
      <c r="L712" s="19"/>
      <c r="M712" s="39"/>
      <c r="N712" s="19"/>
      <c r="O712" s="19"/>
      <c r="P712" s="43" t="str">
        <f aca="false">IF($E712="","",IF($L712="Decline",0,IF($L712="Approve fewer",IF($M712="","",$M712),IF($L712="","",$I712))))</f>
        <v/>
      </c>
      <c r="Q712" s="34" t="str">
        <f aca="false">IF($P712="","",IF($N712&lt;&gt;"",$N712,$J712))</f>
        <v/>
      </c>
      <c r="R712" s="35" t="str">
        <f aca="false">IF(OR($P712="",$Q712=""),"",INDEX(BookRate,707)*$P712*(5-MATCH($Q712,{"Q1";"Q2";"Q3";"Q4"},0))/4+INDEX(BookOneOff,707)*$P712)</f>
        <v/>
      </c>
      <c r="S712" s="35" t="str">
        <f aca="false">IF($P712="","",INDEX(BookRate,707)*$P712)</f>
        <v/>
      </c>
      <c r="T712" s="35" t="str">
        <f aca="false">IF($R712="","",$R712-$K712)</f>
        <v/>
      </c>
      <c r="U712" s="35" t="str">
        <f aca="false">IF(N($P712)&lt;=0,"",COUNTIF($P$6:$P712,"&gt;0"))</f>
        <v/>
      </c>
    </row>
    <row r="713" customFormat="false" ht="15" hidden="false" customHeight="false" outlineLevel="0" collapsed="false">
      <c r="A713" s="40" t="str">
        <f aca="false">IF(INDEX(BookTitle,708)="","",INDEX(BookGroup,708))</f>
        <v/>
      </c>
      <c r="B713" s="40" t="str">
        <f aca="false">IF(INDEX(BookTitle,708)="","",INDEX(BookRef,708))</f>
        <v/>
      </c>
      <c r="C713" s="40" t="str">
        <f aca="false">IF(INDEX(BookTitle,708)="","",INDEX(BookDivision,708))</f>
        <v/>
      </c>
      <c r="D713" s="40" t="str">
        <f aca="false">IF(INDEX(BookTitle,708)="","",INDEX(BookUnit,708))</f>
        <v/>
      </c>
      <c r="E713" s="40" t="str">
        <f aca="false">IF(INDEX(BookTitle,708)="","",INDEX(BookTitle,708))</f>
        <v/>
      </c>
      <c r="F713" s="40" t="str">
        <f aca="false">IF(INDEX(BookTitle,708)="","",INDEX(BookLevel,708))</f>
        <v/>
      </c>
      <c r="G713" s="40" t="str">
        <f aca="false">IF(INDEX(BookTitle,708)="","",INDEX(BookCategory,708))</f>
        <v/>
      </c>
      <c r="H713" s="40" t="str">
        <f aca="false">IF(INDEX(BookTitle,708)="","",INDEX(BookRank,708))</f>
        <v/>
      </c>
      <c r="I713" s="41" t="str">
        <f aca="false">IF(INDEX(BookTitle,708)="","",INDEX(BookTotal,708))</f>
        <v/>
      </c>
      <c r="J713" s="0" t="str">
        <f aca="false">IF($I713="","",IF(INDEX(BookQ1,708)&gt;0,"Q1",IF(INDEX(BookQ2,708)&gt;0,"Q2",IF(INDEX(BookQ3,708)&gt;0,"Q3",IF(INDEX(BookQ4,708)&gt;0,"Q4","")))))</f>
        <v/>
      </c>
      <c r="K713" s="42" t="str">
        <f aca="false">IF(INDEX(BookTitle,708)="","",INDEX(BookInYear,708))</f>
        <v/>
      </c>
      <c r="L713" s="19"/>
      <c r="M713" s="39"/>
      <c r="N713" s="19"/>
      <c r="O713" s="19"/>
      <c r="P713" s="43" t="str">
        <f aca="false">IF($E713="","",IF($L713="Decline",0,IF($L713="Approve fewer",IF($M713="","",$M713),IF($L713="","",$I713))))</f>
        <v/>
      </c>
      <c r="Q713" s="34" t="str">
        <f aca="false">IF($P713="","",IF($N713&lt;&gt;"",$N713,$J713))</f>
        <v/>
      </c>
      <c r="R713" s="35" t="str">
        <f aca="false">IF(OR($P713="",$Q713=""),"",INDEX(BookRate,708)*$P713*(5-MATCH($Q713,{"Q1";"Q2";"Q3";"Q4"},0))/4+INDEX(BookOneOff,708)*$P713)</f>
        <v/>
      </c>
      <c r="S713" s="35" t="str">
        <f aca="false">IF($P713="","",INDEX(BookRate,708)*$P713)</f>
        <v/>
      </c>
      <c r="T713" s="35" t="str">
        <f aca="false">IF($R713="","",$R713-$K713)</f>
        <v/>
      </c>
      <c r="U713" s="35" t="str">
        <f aca="false">IF(N($P713)&lt;=0,"",COUNTIF($P$6:$P713,"&gt;0"))</f>
        <v/>
      </c>
    </row>
    <row r="714" customFormat="false" ht="15" hidden="false" customHeight="false" outlineLevel="0" collapsed="false">
      <c r="A714" s="40" t="str">
        <f aca="false">IF(INDEX(BookTitle,709)="","",INDEX(BookGroup,709))</f>
        <v/>
      </c>
      <c r="B714" s="40" t="str">
        <f aca="false">IF(INDEX(BookTitle,709)="","",INDEX(BookRef,709))</f>
        <v/>
      </c>
      <c r="C714" s="40" t="str">
        <f aca="false">IF(INDEX(BookTitle,709)="","",INDEX(BookDivision,709))</f>
        <v/>
      </c>
      <c r="D714" s="40" t="str">
        <f aca="false">IF(INDEX(BookTitle,709)="","",INDEX(BookUnit,709))</f>
        <v/>
      </c>
      <c r="E714" s="40" t="str">
        <f aca="false">IF(INDEX(BookTitle,709)="","",INDEX(BookTitle,709))</f>
        <v/>
      </c>
      <c r="F714" s="40" t="str">
        <f aca="false">IF(INDEX(BookTitle,709)="","",INDEX(BookLevel,709))</f>
        <v/>
      </c>
      <c r="G714" s="40" t="str">
        <f aca="false">IF(INDEX(BookTitle,709)="","",INDEX(BookCategory,709))</f>
        <v/>
      </c>
      <c r="H714" s="40" t="str">
        <f aca="false">IF(INDEX(BookTitle,709)="","",INDEX(BookRank,709))</f>
        <v/>
      </c>
      <c r="I714" s="41" t="str">
        <f aca="false">IF(INDEX(BookTitle,709)="","",INDEX(BookTotal,709))</f>
        <v/>
      </c>
      <c r="J714" s="0" t="str">
        <f aca="false">IF($I714="","",IF(INDEX(BookQ1,709)&gt;0,"Q1",IF(INDEX(BookQ2,709)&gt;0,"Q2",IF(INDEX(BookQ3,709)&gt;0,"Q3",IF(INDEX(BookQ4,709)&gt;0,"Q4","")))))</f>
        <v/>
      </c>
      <c r="K714" s="42" t="str">
        <f aca="false">IF(INDEX(BookTitle,709)="","",INDEX(BookInYear,709))</f>
        <v/>
      </c>
      <c r="L714" s="19"/>
      <c r="M714" s="39"/>
      <c r="N714" s="19"/>
      <c r="O714" s="19"/>
      <c r="P714" s="43" t="str">
        <f aca="false">IF($E714="","",IF($L714="Decline",0,IF($L714="Approve fewer",IF($M714="","",$M714),IF($L714="","",$I714))))</f>
        <v/>
      </c>
      <c r="Q714" s="34" t="str">
        <f aca="false">IF($P714="","",IF($N714&lt;&gt;"",$N714,$J714))</f>
        <v/>
      </c>
      <c r="R714" s="35" t="str">
        <f aca="false">IF(OR($P714="",$Q714=""),"",INDEX(BookRate,709)*$P714*(5-MATCH($Q714,{"Q1";"Q2";"Q3";"Q4"},0))/4+INDEX(BookOneOff,709)*$P714)</f>
        <v/>
      </c>
      <c r="S714" s="35" t="str">
        <f aca="false">IF($P714="","",INDEX(BookRate,709)*$P714)</f>
        <v/>
      </c>
      <c r="T714" s="35" t="str">
        <f aca="false">IF($R714="","",$R714-$K714)</f>
        <v/>
      </c>
      <c r="U714" s="35" t="str">
        <f aca="false">IF(N($P714)&lt;=0,"",COUNTIF($P$6:$P714,"&gt;0"))</f>
        <v/>
      </c>
    </row>
    <row r="715" customFormat="false" ht="15" hidden="false" customHeight="false" outlineLevel="0" collapsed="false">
      <c r="A715" s="40" t="str">
        <f aca="false">IF(INDEX(BookTitle,710)="","",INDEX(BookGroup,710))</f>
        <v/>
      </c>
      <c r="B715" s="40" t="str">
        <f aca="false">IF(INDEX(BookTitle,710)="","",INDEX(BookRef,710))</f>
        <v/>
      </c>
      <c r="C715" s="40" t="str">
        <f aca="false">IF(INDEX(BookTitle,710)="","",INDEX(BookDivision,710))</f>
        <v/>
      </c>
      <c r="D715" s="40" t="str">
        <f aca="false">IF(INDEX(BookTitle,710)="","",INDEX(BookUnit,710))</f>
        <v/>
      </c>
      <c r="E715" s="40" t="str">
        <f aca="false">IF(INDEX(BookTitle,710)="","",INDEX(BookTitle,710))</f>
        <v/>
      </c>
      <c r="F715" s="40" t="str">
        <f aca="false">IF(INDEX(BookTitle,710)="","",INDEX(BookLevel,710))</f>
        <v/>
      </c>
      <c r="G715" s="40" t="str">
        <f aca="false">IF(INDEX(BookTitle,710)="","",INDEX(BookCategory,710))</f>
        <v/>
      </c>
      <c r="H715" s="40" t="str">
        <f aca="false">IF(INDEX(BookTitle,710)="","",INDEX(BookRank,710))</f>
        <v/>
      </c>
      <c r="I715" s="41" t="str">
        <f aca="false">IF(INDEX(BookTitle,710)="","",INDEX(BookTotal,710))</f>
        <v/>
      </c>
      <c r="J715" s="0" t="str">
        <f aca="false">IF($I715="","",IF(INDEX(BookQ1,710)&gt;0,"Q1",IF(INDEX(BookQ2,710)&gt;0,"Q2",IF(INDEX(BookQ3,710)&gt;0,"Q3",IF(INDEX(BookQ4,710)&gt;0,"Q4","")))))</f>
        <v/>
      </c>
      <c r="K715" s="42" t="str">
        <f aca="false">IF(INDEX(BookTitle,710)="","",INDEX(BookInYear,710))</f>
        <v/>
      </c>
      <c r="L715" s="19"/>
      <c r="M715" s="39"/>
      <c r="N715" s="19"/>
      <c r="O715" s="19"/>
      <c r="P715" s="43" t="str">
        <f aca="false">IF($E715="","",IF($L715="Decline",0,IF($L715="Approve fewer",IF($M715="","",$M715),IF($L715="","",$I715))))</f>
        <v/>
      </c>
      <c r="Q715" s="34" t="str">
        <f aca="false">IF($P715="","",IF($N715&lt;&gt;"",$N715,$J715))</f>
        <v/>
      </c>
      <c r="R715" s="35" t="str">
        <f aca="false">IF(OR($P715="",$Q715=""),"",INDEX(BookRate,710)*$P715*(5-MATCH($Q715,{"Q1";"Q2";"Q3";"Q4"},0))/4+INDEX(BookOneOff,710)*$P715)</f>
        <v/>
      </c>
      <c r="S715" s="35" t="str">
        <f aca="false">IF($P715="","",INDEX(BookRate,710)*$P715)</f>
        <v/>
      </c>
      <c r="T715" s="35" t="str">
        <f aca="false">IF($R715="","",$R715-$K715)</f>
        <v/>
      </c>
      <c r="U715" s="35" t="str">
        <f aca="false">IF(N($P715)&lt;=0,"",COUNTIF($P$6:$P715,"&gt;0"))</f>
        <v/>
      </c>
    </row>
    <row r="716" customFormat="false" ht="15" hidden="false" customHeight="false" outlineLevel="0" collapsed="false">
      <c r="A716" s="40" t="str">
        <f aca="false">IF(INDEX(BookTitle,711)="","",INDEX(BookGroup,711))</f>
        <v/>
      </c>
      <c r="B716" s="40" t="str">
        <f aca="false">IF(INDEX(BookTitle,711)="","",INDEX(BookRef,711))</f>
        <v/>
      </c>
      <c r="C716" s="40" t="str">
        <f aca="false">IF(INDEX(BookTitle,711)="","",INDEX(BookDivision,711))</f>
        <v/>
      </c>
      <c r="D716" s="40" t="str">
        <f aca="false">IF(INDEX(BookTitle,711)="","",INDEX(BookUnit,711))</f>
        <v/>
      </c>
      <c r="E716" s="40" t="str">
        <f aca="false">IF(INDEX(BookTitle,711)="","",INDEX(BookTitle,711))</f>
        <v/>
      </c>
      <c r="F716" s="40" t="str">
        <f aca="false">IF(INDEX(BookTitle,711)="","",INDEX(BookLevel,711))</f>
        <v/>
      </c>
      <c r="G716" s="40" t="str">
        <f aca="false">IF(INDEX(BookTitle,711)="","",INDEX(BookCategory,711))</f>
        <v/>
      </c>
      <c r="H716" s="40" t="str">
        <f aca="false">IF(INDEX(BookTitle,711)="","",INDEX(BookRank,711))</f>
        <v/>
      </c>
      <c r="I716" s="41" t="str">
        <f aca="false">IF(INDEX(BookTitle,711)="","",INDEX(BookTotal,711))</f>
        <v/>
      </c>
      <c r="J716" s="0" t="str">
        <f aca="false">IF($I716="","",IF(INDEX(BookQ1,711)&gt;0,"Q1",IF(INDEX(BookQ2,711)&gt;0,"Q2",IF(INDEX(BookQ3,711)&gt;0,"Q3",IF(INDEX(BookQ4,711)&gt;0,"Q4","")))))</f>
        <v/>
      </c>
      <c r="K716" s="42" t="str">
        <f aca="false">IF(INDEX(BookTitle,711)="","",INDEX(BookInYear,711))</f>
        <v/>
      </c>
      <c r="L716" s="19"/>
      <c r="M716" s="39"/>
      <c r="N716" s="19"/>
      <c r="O716" s="19"/>
      <c r="P716" s="43" t="str">
        <f aca="false">IF($E716="","",IF($L716="Decline",0,IF($L716="Approve fewer",IF($M716="","",$M716),IF($L716="","",$I716))))</f>
        <v/>
      </c>
      <c r="Q716" s="34" t="str">
        <f aca="false">IF($P716="","",IF($N716&lt;&gt;"",$N716,$J716))</f>
        <v/>
      </c>
      <c r="R716" s="35" t="str">
        <f aca="false">IF(OR($P716="",$Q716=""),"",INDEX(BookRate,711)*$P716*(5-MATCH($Q716,{"Q1";"Q2";"Q3";"Q4"},0))/4+INDEX(BookOneOff,711)*$P716)</f>
        <v/>
      </c>
      <c r="S716" s="35" t="str">
        <f aca="false">IF($P716="","",INDEX(BookRate,711)*$P716)</f>
        <v/>
      </c>
      <c r="T716" s="35" t="str">
        <f aca="false">IF($R716="","",$R716-$K716)</f>
        <v/>
      </c>
      <c r="U716" s="35" t="str">
        <f aca="false">IF(N($P716)&lt;=0,"",COUNTIF($P$6:$P716,"&gt;0"))</f>
        <v/>
      </c>
    </row>
    <row r="717" customFormat="false" ht="15" hidden="false" customHeight="false" outlineLevel="0" collapsed="false">
      <c r="A717" s="40" t="str">
        <f aca="false">IF(INDEX(BookTitle,712)="","",INDEX(BookGroup,712))</f>
        <v/>
      </c>
      <c r="B717" s="40" t="str">
        <f aca="false">IF(INDEX(BookTitle,712)="","",INDEX(BookRef,712))</f>
        <v/>
      </c>
      <c r="C717" s="40" t="str">
        <f aca="false">IF(INDEX(BookTitle,712)="","",INDEX(BookDivision,712))</f>
        <v/>
      </c>
      <c r="D717" s="40" t="str">
        <f aca="false">IF(INDEX(BookTitle,712)="","",INDEX(BookUnit,712))</f>
        <v/>
      </c>
      <c r="E717" s="40" t="str">
        <f aca="false">IF(INDEX(BookTitle,712)="","",INDEX(BookTitle,712))</f>
        <v/>
      </c>
      <c r="F717" s="40" t="str">
        <f aca="false">IF(INDEX(BookTitle,712)="","",INDEX(BookLevel,712))</f>
        <v/>
      </c>
      <c r="G717" s="40" t="str">
        <f aca="false">IF(INDEX(BookTitle,712)="","",INDEX(BookCategory,712))</f>
        <v/>
      </c>
      <c r="H717" s="40" t="str">
        <f aca="false">IF(INDEX(BookTitle,712)="","",INDEX(BookRank,712))</f>
        <v/>
      </c>
      <c r="I717" s="41" t="str">
        <f aca="false">IF(INDEX(BookTitle,712)="","",INDEX(BookTotal,712))</f>
        <v/>
      </c>
      <c r="J717" s="0" t="str">
        <f aca="false">IF($I717="","",IF(INDEX(BookQ1,712)&gt;0,"Q1",IF(INDEX(BookQ2,712)&gt;0,"Q2",IF(INDEX(BookQ3,712)&gt;0,"Q3",IF(INDEX(BookQ4,712)&gt;0,"Q4","")))))</f>
        <v/>
      </c>
      <c r="K717" s="42" t="str">
        <f aca="false">IF(INDEX(BookTitle,712)="","",INDEX(BookInYear,712))</f>
        <v/>
      </c>
      <c r="L717" s="19"/>
      <c r="M717" s="39"/>
      <c r="N717" s="19"/>
      <c r="O717" s="19"/>
      <c r="P717" s="43" t="str">
        <f aca="false">IF($E717="","",IF($L717="Decline",0,IF($L717="Approve fewer",IF($M717="","",$M717),IF($L717="","",$I717))))</f>
        <v/>
      </c>
      <c r="Q717" s="34" t="str">
        <f aca="false">IF($P717="","",IF($N717&lt;&gt;"",$N717,$J717))</f>
        <v/>
      </c>
      <c r="R717" s="35" t="str">
        <f aca="false">IF(OR($P717="",$Q717=""),"",INDEX(BookRate,712)*$P717*(5-MATCH($Q717,{"Q1";"Q2";"Q3";"Q4"},0))/4+INDEX(BookOneOff,712)*$P717)</f>
        <v/>
      </c>
      <c r="S717" s="35" t="str">
        <f aca="false">IF($P717="","",INDEX(BookRate,712)*$P717)</f>
        <v/>
      </c>
      <c r="T717" s="35" t="str">
        <f aca="false">IF($R717="","",$R717-$K717)</f>
        <v/>
      </c>
      <c r="U717" s="35" t="str">
        <f aca="false">IF(N($P717)&lt;=0,"",COUNTIF($P$6:$P717,"&gt;0"))</f>
        <v/>
      </c>
    </row>
    <row r="718" customFormat="false" ht="15" hidden="false" customHeight="false" outlineLevel="0" collapsed="false">
      <c r="A718" s="40" t="str">
        <f aca="false">IF(INDEX(BookTitle,713)="","",INDEX(BookGroup,713))</f>
        <v/>
      </c>
      <c r="B718" s="40" t="str">
        <f aca="false">IF(INDEX(BookTitle,713)="","",INDEX(BookRef,713))</f>
        <v/>
      </c>
      <c r="C718" s="40" t="str">
        <f aca="false">IF(INDEX(BookTitle,713)="","",INDEX(BookDivision,713))</f>
        <v/>
      </c>
      <c r="D718" s="40" t="str">
        <f aca="false">IF(INDEX(BookTitle,713)="","",INDEX(BookUnit,713))</f>
        <v/>
      </c>
      <c r="E718" s="40" t="str">
        <f aca="false">IF(INDEX(BookTitle,713)="","",INDEX(BookTitle,713))</f>
        <v/>
      </c>
      <c r="F718" s="40" t="str">
        <f aca="false">IF(INDEX(BookTitle,713)="","",INDEX(BookLevel,713))</f>
        <v/>
      </c>
      <c r="G718" s="40" t="str">
        <f aca="false">IF(INDEX(BookTitle,713)="","",INDEX(BookCategory,713))</f>
        <v/>
      </c>
      <c r="H718" s="40" t="str">
        <f aca="false">IF(INDEX(BookTitle,713)="","",INDEX(BookRank,713))</f>
        <v/>
      </c>
      <c r="I718" s="41" t="str">
        <f aca="false">IF(INDEX(BookTitle,713)="","",INDEX(BookTotal,713))</f>
        <v/>
      </c>
      <c r="J718" s="0" t="str">
        <f aca="false">IF($I718="","",IF(INDEX(BookQ1,713)&gt;0,"Q1",IF(INDEX(BookQ2,713)&gt;0,"Q2",IF(INDEX(BookQ3,713)&gt;0,"Q3",IF(INDEX(BookQ4,713)&gt;0,"Q4","")))))</f>
        <v/>
      </c>
      <c r="K718" s="42" t="str">
        <f aca="false">IF(INDEX(BookTitle,713)="","",INDEX(BookInYear,713))</f>
        <v/>
      </c>
      <c r="L718" s="19"/>
      <c r="M718" s="39"/>
      <c r="N718" s="19"/>
      <c r="O718" s="19"/>
      <c r="P718" s="43" t="str">
        <f aca="false">IF($E718="","",IF($L718="Decline",0,IF($L718="Approve fewer",IF($M718="","",$M718),IF($L718="","",$I718))))</f>
        <v/>
      </c>
      <c r="Q718" s="34" t="str">
        <f aca="false">IF($P718="","",IF($N718&lt;&gt;"",$N718,$J718))</f>
        <v/>
      </c>
      <c r="R718" s="35" t="str">
        <f aca="false">IF(OR($P718="",$Q718=""),"",INDEX(BookRate,713)*$P718*(5-MATCH($Q718,{"Q1";"Q2";"Q3";"Q4"},0))/4+INDEX(BookOneOff,713)*$P718)</f>
        <v/>
      </c>
      <c r="S718" s="35" t="str">
        <f aca="false">IF($P718="","",INDEX(BookRate,713)*$P718)</f>
        <v/>
      </c>
      <c r="T718" s="35" t="str">
        <f aca="false">IF($R718="","",$R718-$K718)</f>
        <v/>
      </c>
      <c r="U718" s="35" t="str">
        <f aca="false">IF(N($P718)&lt;=0,"",COUNTIF($P$6:$P718,"&gt;0"))</f>
        <v/>
      </c>
    </row>
    <row r="719" customFormat="false" ht="15" hidden="false" customHeight="false" outlineLevel="0" collapsed="false">
      <c r="A719" s="40" t="str">
        <f aca="false">IF(INDEX(BookTitle,714)="","",INDEX(BookGroup,714))</f>
        <v/>
      </c>
      <c r="B719" s="40" t="str">
        <f aca="false">IF(INDEX(BookTitle,714)="","",INDEX(BookRef,714))</f>
        <v/>
      </c>
      <c r="C719" s="40" t="str">
        <f aca="false">IF(INDEX(BookTitle,714)="","",INDEX(BookDivision,714))</f>
        <v/>
      </c>
      <c r="D719" s="40" t="str">
        <f aca="false">IF(INDEX(BookTitle,714)="","",INDEX(BookUnit,714))</f>
        <v/>
      </c>
      <c r="E719" s="40" t="str">
        <f aca="false">IF(INDEX(BookTitle,714)="","",INDEX(BookTitle,714))</f>
        <v/>
      </c>
      <c r="F719" s="40" t="str">
        <f aca="false">IF(INDEX(BookTitle,714)="","",INDEX(BookLevel,714))</f>
        <v/>
      </c>
      <c r="G719" s="40" t="str">
        <f aca="false">IF(INDEX(BookTitle,714)="","",INDEX(BookCategory,714))</f>
        <v/>
      </c>
      <c r="H719" s="40" t="str">
        <f aca="false">IF(INDEX(BookTitle,714)="","",INDEX(BookRank,714))</f>
        <v/>
      </c>
      <c r="I719" s="41" t="str">
        <f aca="false">IF(INDEX(BookTitle,714)="","",INDEX(BookTotal,714))</f>
        <v/>
      </c>
      <c r="J719" s="0" t="str">
        <f aca="false">IF($I719="","",IF(INDEX(BookQ1,714)&gt;0,"Q1",IF(INDEX(BookQ2,714)&gt;0,"Q2",IF(INDEX(BookQ3,714)&gt;0,"Q3",IF(INDEX(BookQ4,714)&gt;0,"Q4","")))))</f>
        <v/>
      </c>
      <c r="K719" s="42" t="str">
        <f aca="false">IF(INDEX(BookTitle,714)="","",INDEX(BookInYear,714))</f>
        <v/>
      </c>
      <c r="L719" s="19"/>
      <c r="M719" s="39"/>
      <c r="N719" s="19"/>
      <c r="O719" s="19"/>
      <c r="P719" s="43" t="str">
        <f aca="false">IF($E719="","",IF($L719="Decline",0,IF($L719="Approve fewer",IF($M719="","",$M719),IF($L719="","",$I719))))</f>
        <v/>
      </c>
      <c r="Q719" s="34" t="str">
        <f aca="false">IF($P719="","",IF($N719&lt;&gt;"",$N719,$J719))</f>
        <v/>
      </c>
      <c r="R719" s="35" t="str">
        <f aca="false">IF(OR($P719="",$Q719=""),"",INDEX(BookRate,714)*$P719*(5-MATCH($Q719,{"Q1";"Q2";"Q3";"Q4"},0))/4+INDEX(BookOneOff,714)*$P719)</f>
        <v/>
      </c>
      <c r="S719" s="35" t="str">
        <f aca="false">IF($P719="","",INDEX(BookRate,714)*$P719)</f>
        <v/>
      </c>
      <c r="T719" s="35" t="str">
        <f aca="false">IF($R719="","",$R719-$K719)</f>
        <v/>
      </c>
      <c r="U719" s="35" t="str">
        <f aca="false">IF(N($P719)&lt;=0,"",COUNTIF($P$6:$P719,"&gt;0"))</f>
        <v/>
      </c>
    </row>
    <row r="720" customFormat="false" ht="15" hidden="false" customHeight="false" outlineLevel="0" collapsed="false">
      <c r="A720" s="40" t="str">
        <f aca="false">IF(INDEX(BookTitle,715)="","",INDEX(BookGroup,715))</f>
        <v/>
      </c>
      <c r="B720" s="40" t="str">
        <f aca="false">IF(INDEX(BookTitle,715)="","",INDEX(BookRef,715))</f>
        <v/>
      </c>
      <c r="C720" s="40" t="str">
        <f aca="false">IF(INDEX(BookTitle,715)="","",INDEX(BookDivision,715))</f>
        <v/>
      </c>
      <c r="D720" s="40" t="str">
        <f aca="false">IF(INDEX(BookTitle,715)="","",INDEX(BookUnit,715))</f>
        <v/>
      </c>
      <c r="E720" s="40" t="str">
        <f aca="false">IF(INDEX(BookTitle,715)="","",INDEX(BookTitle,715))</f>
        <v/>
      </c>
      <c r="F720" s="40" t="str">
        <f aca="false">IF(INDEX(BookTitle,715)="","",INDEX(BookLevel,715))</f>
        <v/>
      </c>
      <c r="G720" s="40" t="str">
        <f aca="false">IF(INDEX(BookTitle,715)="","",INDEX(BookCategory,715))</f>
        <v/>
      </c>
      <c r="H720" s="40" t="str">
        <f aca="false">IF(INDEX(BookTitle,715)="","",INDEX(BookRank,715))</f>
        <v/>
      </c>
      <c r="I720" s="41" t="str">
        <f aca="false">IF(INDEX(BookTitle,715)="","",INDEX(BookTotal,715))</f>
        <v/>
      </c>
      <c r="J720" s="0" t="str">
        <f aca="false">IF($I720="","",IF(INDEX(BookQ1,715)&gt;0,"Q1",IF(INDEX(BookQ2,715)&gt;0,"Q2",IF(INDEX(BookQ3,715)&gt;0,"Q3",IF(INDEX(BookQ4,715)&gt;0,"Q4","")))))</f>
        <v/>
      </c>
      <c r="K720" s="42" t="str">
        <f aca="false">IF(INDEX(BookTitle,715)="","",INDEX(BookInYear,715))</f>
        <v/>
      </c>
      <c r="L720" s="19"/>
      <c r="M720" s="39"/>
      <c r="N720" s="19"/>
      <c r="O720" s="19"/>
      <c r="P720" s="43" t="str">
        <f aca="false">IF($E720="","",IF($L720="Decline",0,IF($L720="Approve fewer",IF($M720="","",$M720),IF($L720="","",$I720))))</f>
        <v/>
      </c>
      <c r="Q720" s="34" t="str">
        <f aca="false">IF($P720="","",IF($N720&lt;&gt;"",$N720,$J720))</f>
        <v/>
      </c>
      <c r="R720" s="35" t="str">
        <f aca="false">IF(OR($P720="",$Q720=""),"",INDEX(BookRate,715)*$P720*(5-MATCH($Q720,{"Q1";"Q2";"Q3";"Q4"},0))/4+INDEX(BookOneOff,715)*$P720)</f>
        <v/>
      </c>
      <c r="S720" s="35" t="str">
        <f aca="false">IF($P720="","",INDEX(BookRate,715)*$P720)</f>
        <v/>
      </c>
      <c r="T720" s="35" t="str">
        <f aca="false">IF($R720="","",$R720-$K720)</f>
        <v/>
      </c>
      <c r="U720" s="35" t="str">
        <f aca="false">IF(N($P720)&lt;=0,"",COUNTIF($P$6:$P720,"&gt;0"))</f>
        <v/>
      </c>
    </row>
    <row r="721" customFormat="false" ht="15" hidden="false" customHeight="false" outlineLevel="0" collapsed="false">
      <c r="A721" s="40" t="str">
        <f aca="false">IF(INDEX(BookTitle,716)="","",INDEX(BookGroup,716))</f>
        <v/>
      </c>
      <c r="B721" s="40" t="str">
        <f aca="false">IF(INDEX(BookTitle,716)="","",INDEX(BookRef,716))</f>
        <v/>
      </c>
      <c r="C721" s="40" t="str">
        <f aca="false">IF(INDEX(BookTitle,716)="","",INDEX(BookDivision,716))</f>
        <v/>
      </c>
      <c r="D721" s="40" t="str">
        <f aca="false">IF(INDEX(BookTitle,716)="","",INDEX(BookUnit,716))</f>
        <v/>
      </c>
      <c r="E721" s="40" t="str">
        <f aca="false">IF(INDEX(BookTitle,716)="","",INDEX(BookTitle,716))</f>
        <v/>
      </c>
      <c r="F721" s="40" t="str">
        <f aca="false">IF(INDEX(BookTitle,716)="","",INDEX(BookLevel,716))</f>
        <v/>
      </c>
      <c r="G721" s="40" t="str">
        <f aca="false">IF(INDEX(BookTitle,716)="","",INDEX(BookCategory,716))</f>
        <v/>
      </c>
      <c r="H721" s="40" t="str">
        <f aca="false">IF(INDEX(BookTitle,716)="","",INDEX(BookRank,716))</f>
        <v/>
      </c>
      <c r="I721" s="41" t="str">
        <f aca="false">IF(INDEX(BookTitle,716)="","",INDEX(BookTotal,716))</f>
        <v/>
      </c>
      <c r="J721" s="0" t="str">
        <f aca="false">IF($I721="","",IF(INDEX(BookQ1,716)&gt;0,"Q1",IF(INDEX(BookQ2,716)&gt;0,"Q2",IF(INDEX(BookQ3,716)&gt;0,"Q3",IF(INDEX(BookQ4,716)&gt;0,"Q4","")))))</f>
        <v/>
      </c>
      <c r="K721" s="42" t="str">
        <f aca="false">IF(INDEX(BookTitle,716)="","",INDEX(BookInYear,716))</f>
        <v/>
      </c>
      <c r="L721" s="19"/>
      <c r="M721" s="39"/>
      <c r="N721" s="19"/>
      <c r="O721" s="19"/>
      <c r="P721" s="43" t="str">
        <f aca="false">IF($E721="","",IF($L721="Decline",0,IF($L721="Approve fewer",IF($M721="","",$M721),IF($L721="","",$I721))))</f>
        <v/>
      </c>
      <c r="Q721" s="34" t="str">
        <f aca="false">IF($P721="","",IF($N721&lt;&gt;"",$N721,$J721))</f>
        <v/>
      </c>
      <c r="R721" s="35" t="str">
        <f aca="false">IF(OR($P721="",$Q721=""),"",INDEX(BookRate,716)*$P721*(5-MATCH($Q721,{"Q1";"Q2";"Q3";"Q4"},0))/4+INDEX(BookOneOff,716)*$P721)</f>
        <v/>
      </c>
      <c r="S721" s="35" t="str">
        <f aca="false">IF($P721="","",INDEX(BookRate,716)*$P721)</f>
        <v/>
      </c>
      <c r="T721" s="35" t="str">
        <f aca="false">IF($R721="","",$R721-$K721)</f>
        <v/>
      </c>
      <c r="U721" s="35" t="str">
        <f aca="false">IF(N($P721)&lt;=0,"",COUNTIF($P$6:$P721,"&gt;0"))</f>
        <v/>
      </c>
    </row>
    <row r="722" customFormat="false" ht="15" hidden="false" customHeight="false" outlineLevel="0" collapsed="false">
      <c r="A722" s="40" t="str">
        <f aca="false">IF(INDEX(BookTitle,717)="","",INDEX(BookGroup,717))</f>
        <v/>
      </c>
      <c r="B722" s="40" t="str">
        <f aca="false">IF(INDEX(BookTitle,717)="","",INDEX(BookRef,717))</f>
        <v/>
      </c>
      <c r="C722" s="40" t="str">
        <f aca="false">IF(INDEX(BookTitle,717)="","",INDEX(BookDivision,717))</f>
        <v/>
      </c>
      <c r="D722" s="40" t="str">
        <f aca="false">IF(INDEX(BookTitle,717)="","",INDEX(BookUnit,717))</f>
        <v/>
      </c>
      <c r="E722" s="40" t="str">
        <f aca="false">IF(INDEX(BookTitle,717)="","",INDEX(BookTitle,717))</f>
        <v/>
      </c>
      <c r="F722" s="40" t="str">
        <f aca="false">IF(INDEX(BookTitle,717)="","",INDEX(BookLevel,717))</f>
        <v/>
      </c>
      <c r="G722" s="40" t="str">
        <f aca="false">IF(INDEX(BookTitle,717)="","",INDEX(BookCategory,717))</f>
        <v/>
      </c>
      <c r="H722" s="40" t="str">
        <f aca="false">IF(INDEX(BookTitle,717)="","",INDEX(BookRank,717))</f>
        <v/>
      </c>
      <c r="I722" s="41" t="str">
        <f aca="false">IF(INDEX(BookTitle,717)="","",INDEX(BookTotal,717))</f>
        <v/>
      </c>
      <c r="J722" s="0" t="str">
        <f aca="false">IF($I722="","",IF(INDEX(BookQ1,717)&gt;0,"Q1",IF(INDEX(BookQ2,717)&gt;0,"Q2",IF(INDEX(BookQ3,717)&gt;0,"Q3",IF(INDEX(BookQ4,717)&gt;0,"Q4","")))))</f>
        <v/>
      </c>
      <c r="K722" s="42" t="str">
        <f aca="false">IF(INDEX(BookTitle,717)="","",INDEX(BookInYear,717))</f>
        <v/>
      </c>
      <c r="L722" s="19"/>
      <c r="M722" s="39"/>
      <c r="N722" s="19"/>
      <c r="O722" s="19"/>
      <c r="P722" s="43" t="str">
        <f aca="false">IF($E722="","",IF($L722="Decline",0,IF($L722="Approve fewer",IF($M722="","",$M722),IF($L722="","",$I722))))</f>
        <v/>
      </c>
      <c r="Q722" s="34" t="str">
        <f aca="false">IF($P722="","",IF($N722&lt;&gt;"",$N722,$J722))</f>
        <v/>
      </c>
      <c r="R722" s="35" t="str">
        <f aca="false">IF(OR($P722="",$Q722=""),"",INDEX(BookRate,717)*$P722*(5-MATCH($Q722,{"Q1";"Q2";"Q3";"Q4"},0))/4+INDEX(BookOneOff,717)*$P722)</f>
        <v/>
      </c>
      <c r="S722" s="35" t="str">
        <f aca="false">IF($P722="","",INDEX(BookRate,717)*$P722)</f>
        <v/>
      </c>
      <c r="T722" s="35" t="str">
        <f aca="false">IF($R722="","",$R722-$K722)</f>
        <v/>
      </c>
      <c r="U722" s="35" t="str">
        <f aca="false">IF(N($P722)&lt;=0,"",COUNTIF($P$6:$P722,"&gt;0"))</f>
        <v/>
      </c>
    </row>
    <row r="723" customFormat="false" ht="15" hidden="false" customHeight="false" outlineLevel="0" collapsed="false">
      <c r="A723" s="40" t="str">
        <f aca="false">IF(INDEX(BookTitle,718)="","",INDEX(BookGroup,718))</f>
        <v/>
      </c>
      <c r="B723" s="40" t="str">
        <f aca="false">IF(INDEX(BookTitle,718)="","",INDEX(BookRef,718))</f>
        <v/>
      </c>
      <c r="C723" s="40" t="str">
        <f aca="false">IF(INDEX(BookTitle,718)="","",INDEX(BookDivision,718))</f>
        <v/>
      </c>
      <c r="D723" s="40" t="str">
        <f aca="false">IF(INDEX(BookTitle,718)="","",INDEX(BookUnit,718))</f>
        <v/>
      </c>
      <c r="E723" s="40" t="str">
        <f aca="false">IF(INDEX(BookTitle,718)="","",INDEX(BookTitle,718))</f>
        <v/>
      </c>
      <c r="F723" s="40" t="str">
        <f aca="false">IF(INDEX(BookTitle,718)="","",INDEX(BookLevel,718))</f>
        <v/>
      </c>
      <c r="G723" s="40" t="str">
        <f aca="false">IF(INDEX(BookTitle,718)="","",INDEX(BookCategory,718))</f>
        <v/>
      </c>
      <c r="H723" s="40" t="str">
        <f aca="false">IF(INDEX(BookTitle,718)="","",INDEX(BookRank,718))</f>
        <v/>
      </c>
      <c r="I723" s="41" t="str">
        <f aca="false">IF(INDEX(BookTitle,718)="","",INDEX(BookTotal,718))</f>
        <v/>
      </c>
      <c r="J723" s="0" t="str">
        <f aca="false">IF($I723="","",IF(INDEX(BookQ1,718)&gt;0,"Q1",IF(INDEX(BookQ2,718)&gt;0,"Q2",IF(INDEX(BookQ3,718)&gt;0,"Q3",IF(INDEX(BookQ4,718)&gt;0,"Q4","")))))</f>
        <v/>
      </c>
      <c r="K723" s="42" t="str">
        <f aca="false">IF(INDEX(BookTitle,718)="","",INDEX(BookInYear,718))</f>
        <v/>
      </c>
      <c r="L723" s="19"/>
      <c r="M723" s="39"/>
      <c r="N723" s="19"/>
      <c r="O723" s="19"/>
      <c r="P723" s="43" t="str">
        <f aca="false">IF($E723="","",IF($L723="Decline",0,IF($L723="Approve fewer",IF($M723="","",$M723),IF($L723="","",$I723))))</f>
        <v/>
      </c>
      <c r="Q723" s="34" t="str">
        <f aca="false">IF($P723="","",IF($N723&lt;&gt;"",$N723,$J723))</f>
        <v/>
      </c>
      <c r="R723" s="35" t="str">
        <f aca="false">IF(OR($P723="",$Q723=""),"",INDEX(BookRate,718)*$P723*(5-MATCH($Q723,{"Q1";"Q2";"Q3";"Q4"},0))/4+INDEX(BookOneOff,718)*$P723)</f>
        <v/>
      </c>
      <c r="S723" s="35" t="str">
        <f aca="false">IF($P723="","",INDEX(BookRate,718)*$P723)</f>
        <v/>
      </c>
      <c r="T723" s="35" t="str">
        <f aca="false">IF($R723="","",$R723-$K723)</f>
        <v/>
      </c>
      <c r="U723" s="35" t="str">
        <f aca="false">IF(N($P723)&lt;=0,"",COUNTIF($P$6:$P723,"&gt;0"))</f>
        <v/>
      </c>
    </row>
    <row r="724" customFormat="false" ht="15" hidden="false" customHeight="false" outlineLevel="0" collapsed="false">
      <c r="A724" s="40" t="str">
        <f aca="false">IF(INDEX(BookTitle,719)="","",INDEX(BookGroup,719))</f>
        <v/>
      </c>
      <c r="B724" s="40" t="str">
        <f aca="false">IF(INDEX(BookTitle,719)="","",INDEX(BookRef,719))</f>
        <v/>
      </c>
      <c r="C724" s="40" t="str">
        <f aca="false">IF(INDEX(BookTitle,719)="","",INDEX(BookDivision,719))</f>
        <v/>
      </c>
      <c r="D724" s="40" t="str">
        <f aca="false">IF(INDEX(BookTitle,719)="","",INDEX(BookUnit,719))</f>
        <v/>
      </c>
      <c r="E724" s="40" t="str">
        <f aca="false">IF(INDEX(BookTitle,719)="","",INDEX(BookTitle,719))</f>
        <v/>
      </c>
      <c r="F724" s="40" t="str">
        <f aca="false">IF(INDEX(BookTitle,719)="","",INDEX(BookLevel,719))</f>
        <v/>
      </c>
      <c r="G724" s="40" t="str">
        <f aca="false">IF(INDEX(BookTitle,719)="","",INDEX(BookCategory,719))</f>
        <v/>
      </c>
      <c r="H724" s="40" t="str">
        <f aca="false">IF(INDEX(BookTitle,719)="","",INDEX(BookRank,719))</f>
        <v/>
      </c>
      <c r="I724" s="41" t="str">
        <f aca="false">IF(INDEX(BookTitle,719)="","",INDEX(BookTotal,719))</f>
        <v/>
      </c>
      <c r="J724" s="0" t="str">
        <f aca="false">IF($I724="","",IF(INDEX(BookQ1,719)&gt;0,"Q1",IF(INDEX(BookQ2,719)&gt;0,"Q2",IF(INDEX(BookQ3,719)&gt;0,"Q3",IF(INDEX(BookQ4,719)&gt;0,"Q4","")))))</f>
        <v/>
      </c>
      <c r="K724" s="42" t="str">
        <f aca="false">IF(INDEX(BookTitle,719)="","",INDEX(BookInYear,719))</f>
        <v/>
      </c>
      <c r="L724" s="19"/>
      <c r="M724" s="39"/>
      <c r="N724" s="19"/>
      <c r="O724" s="19"/>
      <c r="P724" s="43" t="str">
        <f aca="false">IF($E724="","",IF($L724="Decline",0,IF($L724="Approve fewer",IF($M724="","",$M724),IF($L724="","",$I724))))</f>
        <v/>
      </c>
      <c r="Q724" s="34" t="str">
        <f aca="false">IF($P724="","",IF($N724&lt;&gt;"",$N724,$J724))</f>
        <v/>
      </c>
      <c r="R724" s="35" t="str">
        <f aca="false">IF(OR($P724="",$Q724=""),"",INDEX(BookRate,719)*$P724*(5-MATCH($Q724,{"Q1";"Q2";"Q3";"Q4"},0))/4+INDEX(BookOneOff,719)*$P724)</f>
        <v/>
      </c>
      <c r="S724" s="35" t="str">
        <f aca="false">IF($P724="","",INDEX(BookRate,719)*$P724)</f>
        <v/>
      </c>
      <c r="T724" s="35" t="str">
        <f aca="false">IF($R724="","",$R724-$K724)</f>
        <v/>
      </c>
      <c r="U724" s="35" t="str">
        <f aca="false">IF(N($P724)&lt;=0,"",COUNTIF($P$6:$P724,"&gt;0"))</f>
        <v/>
      </c>
    </row>
    <row r="725" customFormat="false" ht="15" hidden="false" customHeight="false" outlineLevel="0" collapsed="false">
      <c r="A725" s="40" t="str">
        <f aca="false">IF(INDEX(BookTitle,720)="","",INDEX(BookGroup,720))</f>
        <v/>
      </c>
      <c r="B725" s="40" t="str">
        <f aca="false">IF(INDEX(BookTitle,720)="","",INDEX(BookRef,720))</f>
        <v/>
      </c>
      <c r="C725" s="40" t="str">
        <f aca="false">IF(INDEX(BookTitle,720)="","",INDEX(BookDivision,720))</f>
        <v/>
      </c>
      <c r="D725" s="40" t="str">
        <f aca="false">IF(INDEX(BookTitle,720)="","",INDEX(BookUnit,720))</f>
        <v/>
      </c>
      <c r="E725" s="40" t="str">
        <f aca="false">IF(INDEX(BookTitle,720)="","",INDEX(BookTitle,720))</f>
        <v/>
      </c>
      <c r="F725" s="40" t="str">
        <f aca="false">IF(INDEX(BookTitle,720)="","",INDEX(BookLevel,720))</f>
        <v/>
      </c>
      <c r="G725" s="40" t="str">
        <f aca="false">IF(INDEX(BookTitle,720)="","",INDEX(BookCategory,720))</f>
        <v/>
      </c>
      <c r="H725" s="40" t="str">
        <f aca="false">IF(INDEX(BookTitle,720)="","",INDEX(BookRank,720))</f>
        <v/>
      </c>
      <c r="I725" s="41" t="str">
        <f aca="false">IF(INDEX(BookTitle,720)="","",INDEX(BookTotal,720))</f>
        <v/>
      </c>
      <c r="J725" s="0" t="str">
        <f aca="false">IF($I725="","",IF(INDEX(BookQ1,720)&gt;0,"Q1",IF(INDEX(BookQ2,720)&gt;0,"Q2",IF(INDEX(BookQ3,720)&gt;0,"Q3",IF(INDEX(BookQ4,720)&gt;0,"Q4","")))))</f>
        <v/>
      </c>
      <c r="K725" s="42" t="str">
        <f aca="false">IF(INDEX(BookTitle,720)="","",INDEX(BookInYear,720))</f>
        <v/>
      </c>
      <c r="L725" s="19"/>
      <c r="M725" s="39"/>
      <c r="N725" s="19"/>
      <c r="O725" s="19"/>
      <c r="P725" s="43" t="str">
        <f aca="false">IF($E725="","",IF($L725="Decline",0,IF($L725="Approve fewer",IF($M725="","",$M725),IF($L725="","",$I725))))</f>
        <v/>
      </c>
      <c r="Q725" s="34" t="str">
        <f aca="false">IF($P725="","",IF($N725&lt;&gt;"",$N725,$J725))</f>
        <v/>
      </c>
      <c r="R725" s="35" t="str">
        <f aca="false">IF(OR($P725="",$Q725=""),"",INDEX(BookRate,720)*$P725*(5-MATCH($Q725,{"Q1";"Q2";"Q3";"Q4"},0))/4+INDEX(BookOneOff,720)*$P725)</f>
        <v/>
      </c>
      <c r="S725" s="35" t="str">
        <f aca="false">IF($P725="","",INDEX(BookRate,720)*$P725)</f>
        <v/>
      </c>
      <c r="T725" s="35" t="str">
        <f aca="false">IF($R725="","",$R725-$K725)</f>
        <v/>
      </c>
      <c r="U725" s="35" t="str">
        <f aca="false">IF(N($P725)&lt;=0,"",COUNTIF($P$6:$P725,"&gt;0"))</f>
        <v/>
      </c>
    </row>
    <row r="726" customFormat="false" ht="15" hidden="false" customHeight="false" outlineLevel="0" collapsed="false">
      <c r="A726" s="40" t="str">
        <f aca="false">IF(INDEX(BookTitle,721)="","",INDEX(BookGroup,721))</f>
        <v/>
      </c>
      <c r="B726" s="40" t="str">
        <f aca="false">IF(INDEX(BookTitle,721)="","",INDEX(BookRef,721))</f>
        <v/>
      </c>
      <c r="C726" s="40" t="str">
        <f aca="false">IF(INDEX(BookTitle,721)="","",INDEX(BookDivision,721))</f>
        <v/>
      </c>
      <c r="D726" s="40" t="str">
        <f aca="false">IF(INDEX(BookTitle,721)="","",INDEX(BookUnit,721))</f>
        <v/>
      </c>
      <c r="E726" s="40" t="str">
        <f aca="false">IF(INDEX(BookTitle,721)="","",INDEX(BookTitle,721))</f>
        <v/>
      </c>
      <c r="F726" s="40" t="str">
        <f aca="false">IF(INDEX(BookTitle,721)="","",INDEX(BookLevel,721))</f>
        <v/>
      </c>
      <c r="G726" s="40" t="str">
        <f aca="false">IF(INDEX(BookTitle,721)="","",INDEX(BookCategory,721))</f>
        <v/>
      </c>
      <c r="H726" s="40" t="str">
        <f aca="false">IF(INDEX(BookTitle,721)="","",INDEX(BookRank,721))</f>
        <v/>
      </c>
      <c r="I726" s="41" t="str">
        <f aca="false">IF(INDEX(BookTitle,721)="","",INDEX(BookTotal,721))</f>
        <v/>
      </c>
      <c r="J726" s="0" t="str">
        <f aca="false">IF($I726="","",IF(INDEX(BookQ1,721)&gt;0,"Q1",IF(INDEX(BookQ2,721)&gt;0,"Q2",IF(INDEX(BookQ3,721)&gt;0,"Q3",IF(INDEX(BookQ4,721)&gt;0,"Q4","")))))</f>
        <v/>
      </c>
      <c r="K726" s="42" t="str">
        <f aca="false">IF(INDEX(BookTitle,721)="","",INDEX(BookInYear,721))</f>
        <v/>
      </c>
      <c r="L726" s="19"/>
      <c r="M726" s="39"/>
      <c r="N726" s="19"/>
      <c r="O726" s="19"/>
      <c r="P726" s="43" t="str">
        <f aca="false">IF($E726="","",IF($L726="Decline",0,IF($L726="Approve fewer",IF($M726="","",$M726),IF($L726="","",$I726))))</f>
        <v/>
      </c>
      <c r="Q726" s="34" t="str">
        <f aca="false">IF($P726="","",IF($N726&lt;&gt;"",$N726,$J726))</f>
        <v/>
      </c>
      <c r="R726" s="35" t="str">
        <f aca="false">IF(OR($P726="",$Q726=""),"",INDEX(BookRate,721)*$P726*(5-MATCH($Q726,{"Q1";"Q2";"Q3";"Q4"},0))/4+INDEX(BookOneOff,721)*$P726)</f>
        <v/>
      </c>
      <c r="S726" s="35" t="str">
        <f aca="false">IF($P726="","",INDEX(BookRate,721)*$P726)</f>
        <v/>
      </c>
      <c r="T726" s="35" t="str">
        <f aca="false">IF($R726="","",$R726-$K726)</f>
        <v/>
      </c>
      <c r="U726" s="35" t="str">
        <f aca="false">IF(N($P726)&lt;=0,"",COUNTIF($P$6:$P726,"&gt;0"))</f>
        <v/>
      </c>
    </row>
    <row r="727" customFormat="false" ht="15" hidden="false" customHeight="false" outlineLevel="0" collapsed="false">
      <c r="A727" s="40" t="str">
        <f aca="false">IF(INDEX(BookTitle,722)="","",INDEX(BookGroup,722))</f>
        <v/>
      </c>
      <c r="B727" s="40" t="str">
        <f aca="false">IF(INDEX(BookTitle,722)="","",INDEX(BookRef,722))</f>
        <v/>
      </c>
      <c r="C727" s="40" t="str">
        <f aca="false">IF(INDEX(BookTitle,722)="","",INDEX(BookDivision,722))</f>
        <v/>
      </c>
      <c r="D727" s="40" t="str">
        <f aca="false">IF(INDEX(BookTitle,722)="","",INDEX(BookUnit,722))</f>
        <v/>
      </c>
      <c r="E727" s="40" t="str">
        <f aca="false">IF(INDEX(BookTitle,722)="","",INDEX(BookTitle,722))</f>
        <v/>
      </c>
      <c r="F727" s="40" t="str">
        <f aca="false">IF(INDEX(BookTitle,722)="","",INDEX(BookLevel,722))</f>
        <v/>
      </c>
      <c r="G727" s="40" t="str">
        <f aca="false">IF(INDEX(BookTitle,722)="","",INDEX(BookCategory,722))</f>
        <v/>
      </c>
      <c r="H727" s="40" t="str">
        <f aca="false">IF(INDEX(BookTitle,722)="","",INDEX(BookRank,722))</f>
        <v/>
      </c>
      <c r="I727" s="41" t="str">
        <f aca="false">IF(INDEX(BookTitle,722)="","",INDEX(BookTotal,722))</f>
        <v/>
      </c>
      <c r="J727" s="0" t="str">
        <f aca="false">IF($I727="","",IF(INDEX(BookQ1,722)&gt;0,"Q1",IF(INDEX(BookQ2,722)&gt;0,"Q2",IF(INDEX(BookQ3,722)&gt;0,"Q3",IF(INDEX(BookQ4,722)&gt;0,"Q4","")))))</f>
        <v/>
      </c>
      <c r="K727" s="42" t="str">
        <f aca="false">IF(INDEX(BookTitle,722)="","",INDEX(BookInYear,722))</f>
        <v/>
      </c>
      <c r="L727" s="19"/>
      <c r="M727" s="39"/>
      <c r="N727" s="19"/>
      <c r="O727" s="19"/>
      <c r="P727" s="43" t="str">
        <f aca="false">IF($E727="","",IF($L727="Decline",0,IF($L727="Approve fewer",IF($M727="","",$M727),IF($L727="","",$I727))))</f>
        <v/>
      </c>
      <c r="Q727" s="34" t="str">
        <f aca="false">IF($P727="","",IF($N727&lt;&gt;"",$N727,$J727))</f>
        <v/>
      </c>
      <c r="R727" s="35" t="str">
        <f aca="false">IF(OR($P727="",$Q727=""),"",INDEX(BookRate,722)*$P727*(5-MATCH($Q727,{"Q1";"Q2";"Q3";"Q4"},0))/4+INDEX(BookOneOff,722)*$P727)</f>
        <v/>
      </c>
      <c r="S727" s="35" t="str">
        <f aca="false">IF($P727="","",INDEX(BookRate,722)*$P727)</f>
        <v/>
      </c>
      <c r="T727" s="35" t="str">
        <f aca="false">IF($R727="","",$R727-$K727)</f>
        <v/>
      </c>
      <c r="U727" s="35" t="str">
        <f aca="false">IF(N($P727)&lt;=0,"",COUNTIF($P$6:$P727,"&gt;0"))</f>
        <v/>
      </c>
    </row>
    <row r="728" customFormat="false" ht="15" hidden="false" customHeight="false" outlineLevel="0" collapsed="false">
      <c r="A728" s="40" t="str">
        <f aca="false">IF(INDEX(BookTitle,723)="","",INDEX(BookGroup,723))</f>
        <v/>
      </c>
      <c r="B728" s="40" t="str">
        <f aca="false">IF(INDEX(BookTitle,723)="","",INDEX(BookRef,723))</f>
        <v/>
      </c>
      <c r="C728" s="40" t="str">
        <f aca="false">IF(INDEX(BookTitle,723)="","",INDEX(BookDivision,723))</f>
        <v/>
      </c>
      <c r="D728" s="40" t="str">
        <f aca="false">IF(INDEX(BookTitle,723)="","",INDEX(BookUnit,723))</f>
        <v/>
      </c>
      <c r="E728" s="40" t="str">
        <f aca="false">IF(INDEX(BookTitle,723)="","",INDEX(BookTitle,723))</f>
        <v/>
      </c>
      <c r="F728" s="40" t="str">
        <f aca="false">IF(INDEX(BookTitle,723)="","",INDEX(BookLevel,723))</f>
        <v/>
      </c>
      <c r="G728" s="40" t="str">
        <f aca="false">IF(INDEX(BookTitle,723)="","",INDEX(BookCategory,723))</f>
        <v/>
      </c>
      <c r="H728" s="40" t="str">
        <f aca="false">IF(INDEX(BookTitle,723)="","",INDEX(BookRank,723))</f>
        <v/>
      </c>
      <c r="I728" s="41" t="str">
        <f aca="false">IF(INDEX(BookTitle,723)="","",INDEX(BookTotal,723))</f>
        <v/>
      </c>
      <c r="J728" s="0" t="str">
        <f aca="false">IF($I728="","",IF(INDEX(BookQ1,723)&gt;0,"Q1",IF(INDEX(BookQ2,723)&gt;0,"Q2",IF(INDEX(BookQ3,723)&gt;0,"Q3",IF(INDEX(BookQ4,723)&gt;0,"Q4","")))))</f>
        <v/>
      </c>
      <c r="K728" s="42" t="str">
        <f aca="false">IF(INDEX(BookTitle,723)="","",INDEX(BookInYear,723))</f>
        <v/>
      </c>
      <c r="L728" s="19"/>
      <c r="M728" s="39"/>
      <c r="N728" s="19"/>
      <c r="O728" s="19"/>
      <c r="P728" s="43" t="str">
        <f aca="false">IF($E728="","",IF($L728="Decline",0,IF($L728="Approve fewer",IF($M728="","",$M728),IF($L728="","",$I728))))</f>
        <v/>
      </c>
      <c r="Q728" s="34" t="str">
        <f aca="false">IF($P728="","",IF($N728&lt;&gt;"",$N728,$J728))</f>
        <v/>
      </c>
      <c r="R728" s="35" t="str">
        <f aca="false">IF(OR($P728="",$Q728=""),"",INDEX(BookRate,723)*$P728*(5-MATCH($Q728,{"Q1";"Q2";"Q3";"Q4"},0))/4+INDEX(BookOneOff,723)*$P728)</f>
        <v/>
      </c>
      <c r="S728" s="35" t="str">
        <f aca="false">IF($P728="","",INDEX(BookRate,723)*$P728)</f>
        <v/>
      </c>
      <c r="T728" s="35" t="str">
        <f aca="false">IF($R728="","",$R728-$K728)</f>
        <v/>
      </c>
      <c r="U728" s="35" t="str">
        <f aca="false">IF(N($P728)&lt;=0,"",COUNTIF($P$6:$P728,"&gt;0"))</f>
        <v/>
      </c>
    </row>
    <row r="729" customFormat="false" ht="15" hidden="false" customHeight="false" outlineLevel="0" collapsed="false">
      <c r="A729" s="40" t="str">
        <f aca="false">IF(INDEX(BookTitle,724)="","",INDEX(BookGroup,724))</f>
        <v/>
      </c>
      <c r="B729" s="40" t="str">
        <f aca="false">IF(INDEX(BookTitle,724)="","",INDEX(BookRef,724))</f>
        <v/>
      </c>
      <c r="C729" s="40" t="str">
        <f aca="false">IF(INDEX(BookTitle,724)="","",INDEX(BookDivision,724))</f>
        <v/>
      </c>
      <c r="D729" s="40" t="str">
        <f aca="false">IF(INDEX(BookTitle,724)="","",INDEX(BookUnit,724))</f>
        <v/>
      </c>
      <c r="E729" s="40" t="str">
        <f aca="false">IF(INDEX(BookTitle,724)="","",INDEX(BookTitle,724))</f>
        <v/>
      </c>
      <c r="F729" s="40" t="str">
        <f aca="false">IF(INDEX(BookTitle,724)="","",INDEX(BookLevel,724))</f>
        <v/>
      </c>
      <c r="G729" s="40" t="str">
        <f aca="false">IF(INDEX(BookTitle,724)="","",INDEX(BookCategory,724))</f>
        <v/>
      </c>
      <c r="H729" s="40" t="str">
        <f aca="false">IF(INDEX(BookTitle,724)="","",INDEX(BookRank,724))</f>
        <v/>
      </c>
      <c r="I729" s="41" t="str">
        <f aca="false">IF(INDEX(BookTitle,724)="","",INDEX(BookTotal,724))</f>
        <v/>
      </c>
      <c r="J729" s="0" t="str">
        <f aca="false">IF($I729="","",IF(INDEX(BookQ1,724)&gt;0,"Q1",IF(INDEX(BookQ2,724)&gt;0,"Q2",IF(INDEX(BookQ3,724)&gt;0,"Q3",IF(INDEX(BookQ4,724)&gt;0,"Q4","")))))</f>
        <v/>
      </c>
      <c r="K729" s="42" t="str">
        <f aca="false">IF(INDEX(BookTitle,724)="","",INDEX(BookInYear,724))</f>
        <v/>
      </c>
      <c r="L729" s="19"/>
      <c r="M729" s="39"/>
      <c r="N729" s="19"/>
      <c r="O729" s="19"/>
      <c r="P729" s="43" t="str">
        <f aca="false">IF($E729="","",IF($L729="Decline",0,IF($L729="Approve fewer",IF($M729="","",$M729),IF($L729="","",$I729))))</f>
        <v/>
      </c>
      <c r="Q729" s="34" t="str">
        <f aca="false">IF($P729="","",IF($N729&lt;&gt;"",$N729,$J729))</f>
        <v/>
      </c>
      <c r="R729" s="35" t="str">
        <f aca="false">IF(OR($P729="",$Q729=""),"",INDEX(BookRate,724)*$P729*(5-MATCH($Q729,{"Q1";"Q2";"Q3";"Q4"},0))/4+INDEX(BookOneOff,724)*$P729)</f>
        <v/>
      </c>
      <c r="S729" s="35" t="str">
        <f aca="false">IF($P729="","",INDEX(BookRate,724)*$P729)</f>
        <v/>
      </c>
      <c r="T729" s="35" t="str">
        <f aca="false">IF($R729="","",$R729-$K729)</f>
        <v/>
      </c>
      <c r="U729" s="35" t="str">
        <f aca="false">IF(N($P729)&lt;=0,"",COUNTIF($P$6:$P729,"&gt;0"))</f>
        <v/>
      </c>
    </row>
    <row r="730" customFormat="false" ht="15" hidden="false" customHeight="false" outlineLevel="0" collapsed="false">
      <c r="A730" s="40" t="str">
        <f aca="false">IF(INDEX(BookTitle,725)="","",INDEX(BookGroup,725))</f>
        <v/>
      </c>
      <c r="B730" s="40" t="str">
        <f aca="false">IF(INDEX(BookTitle,725)="","",INDEX(BookRef,725))</f>
        <v/>
      </c>
      <c r="C730" s="40" t="str">
        <f aca="false">IF(INDEX(BookTitle,725)="","",INDEX(BookDivision,725))</f>
        <v/>
      </c>
      <c r="D730" s="40" t="str">
        <f aca="false">IF(INDEX(BookTitle,725)="","",INDEX(BookUnit,725))</f>
        <v/>
      </c>
      <c r="E730" s="40" t="str">
        <f aca="false">IF(INDEX(BookTitle,725)="","",INDEX(BookTitle,725))</f>
        <v/>
      </c>
      <c r="F730" s="40" t="str">
        <f aca="false">IF(INDEX(BookTitle,725)="","",INDEX(BookLevel,725))</f>
        <v/>
      </c>
      <c r="G730" s="40" t="str">
        <f aca="false">IF(INDEX(BookTitle,725)="","",INDEX(BookCategory,725))</f>
        <v/>
      </c>
      <c r="H730" s="40" t="str">
        <f aca="false">IF(INDEX(BookTitle,725)="","",INDEX(BookRank,725))</f>
        <v/>
      </c>
      <c r="I730" s="41" t="str">
        <f aca="false">IF(INDEX(BookTitle,725)="","",INDEX(BookTotal,725))</f>
        <v/>
      </c>
      <c r="J730" s="0" t="str">
        <f aca="false">IF($I730="","",IF(INDEX(BookQ1,725)&gt;0,"Q1",IF(INDEX(BookQ2,725)&gt;0,"Q2",IF(INDEX(BookQ3,725)&gt;0,"Q3",IF(INDEX(BookQ4,725)&gt;0,"Q4","")))))</f>
        <v/>
      </c>
      <c r="K730" s="42" t="str">
        <f aca="false">IF(INDEX(BookTitle,725)="","",INDEX(BookInYear,725))</f>
        <v/>
      </c>
      <c r="L730" s="19"/>
      <c r="M730" s="39"/>
      <c r="N730" s="19"/>
      <c r="O730" s="19"/>
      <c r="P730" s="43" t="str">
        <f aca="false">IF($E730="","",IF($L730="Decline",0,IF($L730="Approve fewer",IF($M730="","",$M730),IF($L730="","",$I730))))</f>
        <v/>
      </c>
      <c r="Q730" s="34" t="str">
        <f aca="false">IF($P730="","",IF($N730&lt;&gt;"",$N730,$J730))</f>
        <v/>
      </c>
      <c r="R730" s="35" t="str">
        <f aca="false">IF(OR($P730="",$Q730=""),"",INDEX(BookRate,725)*$P730*(5-MATCH($Q730,{"Q1";"Q2";"Q3";"Q4"},0))/4+INDEX(BookOneOff,725)*$P730)</f>
        <v/>
      </c>
      <c r="S730" s="35" t="str">
        <f aca="false">IF($P730="","",INDEX(BookRate,725)*$P730)</f>
        <v/>
      </c>
      <c r="T730" s="35" t="str">
        <f aca="false">IF($R730="","",$R730-$K730)</f>
        <v/>
      </c>
      <c r="U730" s="35" t="str">
        <f aca="false">IF(N($P730)&lt;=0,"",COUNTIF($P$6:$P730,"&gt;0"))</f>
        <v/>
      </c>
    </row>
    <row r="731" customFormat="false" ht="15" hidden="false" customHeight="false" outlineLevel="0" collapsed="false">
      <c r="A731" s="40" t="str">
        <f aca="false">IF(INDEX(BookTitle,726)="","",INDEX(BookGroup,726))</f>
        <v/>
      </c>
      <c r="B731" s="40" t="str">
        <f aca="false">IF(INDEX(BookTitle,726)="","",INDEX(BookRef,726))</f>
        <v/>
      </c>
      <c r="C731" s="40" t="str">
        <f aca="false">IF(INDEX(BookTitle,726)="","",INDEX(BookDivision,726))</f>
        <v/>
      </c>
      <c r="D731" s="40" t="str">
        <f aca="false">IF(INDEX(BookTitle,726)="","",INDEX(BookUnit,726))</f>
        <v/>
      </c>
      <c r="E731" s="40" t="str">
        <f aca="false">IF(INDEX(BookTitle,726)="","",INDEX(BookTitle,726))</f>
        <v/>
      </c>
      <c r="F731" s="40" t="str">
        <f aca="false">IF(INDEX(BookTitle,726)="","",INDEX(BookLevel,726))</f>
        <v/>
      </c>
      <c r="G731" s="40" t="str">
        <f aca="false">IF(INDEX(BookTitle,726)="","",INDEX(BookCategory,726))</f>
        <v/>
      </c>
      <c r="H731" s="40" t="str">
        <f aca="false">IF(INDEX(BookTitle,726)="","",INDEX(BookRank,726))</f>
        <v/>
      </c>
      <c r="I731" s="41" t="str">
        <f aca="false">IF(INDEX(BookTitle,726)="","",INDEX(BookTotal,726))</f>
        <v/>
      </c>
      <c r="J731" s="0" t="str">
        <f aca="false">IF($I731="","",IF(INDEX(BookQ1,726)&gt;0,"Q1",IF(INDEX(BookQ2,726)&gt;0,"Q2",IF(INDEX(BookQ3,726)&gt;0,"Q3",IF(INDEX(BookQ4,726)&gt;0,"Q4","")))))</f>
        <v/>
      </c>
      <c r="K731" s="42" t="str">
        <f aca="false">IF(INDEX(BookTitle,726)="","",INDEX(BookInYear,726))</f>
        <v/>
      </c>
      <c r="L731" s="19"/>
      <c r="M731" s="39"/>
      <c r="N731" s="19"/>
      <c r="O731" s="19"/>
      <c r="P731" s="43" t="str">
        <f aca="false">IF($E731="","",IF($L731="Decline",0,IF($L731="Approve fewer",IF($M731="","",$M731),IF($L731="","",$I731))))</f>
        <v/>
      </c>
      <c r="Q731" s="34" t="str">
        <f aca="false">IF($P731="","",IF($N731&lt;&gt;"",$N731,$J731))</f>
        <v/>
      </c>
      <c r="R731" s="35" t="str">
        <f aca="false">IF(OR($P731="",$Q731=""),"",INDEX(BookRate,726)*$P731*(5-MATCH($Q731,{"Q1";"Q2";"Q3";"Q4"},0))/4+INDEX(BookOneOff,726)*$P731)</f>
        <v/>
      </c>
      <c r="S731" s="35" t="str">
        <f aca="false">IF($P731="","",INDEX(BookRate,726)*$P731)</f>
        <v/>
      </c>
      <c r="T731" s="35" t="str">
        <f aca="false">IF($R731="","",$R731-$K731)</f>
        <v/>
      </c>
      <c r="U731" s="35" t="str">
        <f aca="false">IF(N($P731)&lt;=0,"",COUNTIF($P$6:$P731,"&gt;0"))</f>
        <v/>
      </c>
    </row>
    <row r="732" customFormat="false" ht="15" hidden="false" customHeight="false" outlineLevel="0" collapsed="false">
      <c r="A732" s="40" t="str">
        <f aca="false">IF(INDEX(BookTitle,727)="","",INDEX(BookGroup,727))</f>
        <v/>
      </c>
      <c r="B732" s="40" t="str">
        <f aca="false">IF(INDEX(BookTitle,727)="","",INDEX(BookRef,727))</f>
        <v/>
      </c>
      <c r="C732" s="40" t="str">
        <f aca="false">IF(INDEX(BookTitle,727)="","",INDEX(BookDivision,727))</f>
        <v/>
      </c>
      <c r="D732" s="40" t="str">
        <f aca="false">IF(INDEX(BookTitle,727)="","",INDEX(BookUnit,727))</f>
        <v/>
      </c>
      <c r="E732" s="40" t="str">
        <f aca="false">IF(INDEX(BookTitle,727)="","",INDEX(BookTitle,727))</f>
        <v/>
      </c>
      <c r="F732" s="40" t="str">
        <f aca="false">IF(INDEX(BookTitle,727)="","",INDEX(BookLevel,727))</f>
        <v/>
      </c>
      <c r="G732" s="40" t="str">
        <f aca="false">IF(INDEX(BookTitle,727)="","",INDEX(BookCategory,727))</f>
        <v/>
      </c>
      <c r="H732" s="40" t="str">
        <f aca="false">IF(INDEX(BookTitle,727)="","",INDEX(BookRank,727))</f>
        <v/>
      </c>
      <c r="I732" s="41" t="str">
        <f aca="false">IF(INDEX(BookTitle,727)="","",INDEX(BookTotal,727))</f>
        <v/>
      </c>
      <c r="J732" s="0" t="str">
        <f aca="false">IF($I732="","",IF(INDEX(BookQ1,727)&gt;0,"Q1",IF(INDEX(BookQ2,727)&gt;0,"Q2",IF(INDEX(BookQ3,727)&gt;0,"Q3",IF(INDEX(BookQ4,727)&gt;0,"Q4","")))))</f>
        <v/>
      </c>
      <c r="K732" s="42" t="str">
        <f aca="false">IF(INDEX(BookTitle,727)="","",INDEX(BookInYear,727))</f>
        <v/>
      </c>
      <c r="L732" s="19"/>
      <c r="M732" s="39"/>
      <c r="N732" s="19"/>
      <c r="O732" s="19"/>
      <c r="P732" s="43" t="str">
        <f aca="false">IF($E732="","",IF($L732="Decline",0,IF($L732="Approve fewer",IF($M732="","",$M732),IF($L732="","",$I732))))</f>
        <v/>
      </c>
      <c r="Q732" s="34" t="str">
        <f aca="false">IF($P732="","",IF($N732&lt;&gt;"",$N732,$J732))</f>
        <v/>
      </c>
      <c r="R732" s="35" t="str">
        <f aca="false">IF(OR($P732="",$Q732=""),"",INDEX(BookRate,727)*$P732*(5-MATCH($Q732,{"Q1";"Q2";"Q3";"Q4"},0))/4+INDEX(BookOneOff,727)*$P732)</f>
        <v/>
      </c>
      <c r="S732" s="35" t="str">
        <f aca="false">IF($P732="","",INDEX(BookRate,727)*$P732)</f>
        <v/>
      </c>
      <c r="T732" s="35" t="str">
        <f aca="false">IF($R732="","",$R732-$K732)</f>
        <v/>
      </c>
      <c r="U732" s="35" t="str">
        <f aca="false">IF(N($P732)&lt;=0,"",COUNTIF($P$6:$P732,"&gt;0"))</f>
        <v/>
      </c>
    </row>
    <row r="733" customFormat="false" ht="15" hidden="false" customHeight="false" outlineLevel="0" collapsed="false">
      <c r="A733" s="40" t="str">
        <f aca="false">IF(INDEX(BookTitle,728)="","",INDEX(BookGroup,728))</f>
        <v/>
      </c>
      <c r="B733" s="40" t="str">
        <f aca="false">IF(INDEX(BookTitle,728)="","",INDEX(BookRef,728))</f>
        <v/>
      </c>
      <c r="C733" s="40" t="str">
        <f aca="false">IF(INDEX(BookTitle,728)="","",INDEX(BookDivision,728))</f>
        <v/>
      </c>
      <c r="D733" s="40" t="str">
        <f aca="false">IF(INDEX(BookTitle,728)="","",INDEX(BookUnit,728))</f>
        <v/>
      </c>
      <c r="E733" s="40" t="str">
        <f aca="false">IF(INDEX(BookTitle,728)="","",INDEX(BookTitle,728))</f>
        <v/>
      </c>
      <c r="F733" s="40" t="str">
        <f aca="false">IF(INDEX(BookTitle,728)="","",INDEX(BookLevel,728))</f>
        <v/>
      </c>
      <c r="G733" s="40" t="str">
        <f aca="false">IF(INDEX(BookTitle,728)="","",INDEX(BookCategory,728))</f>
        <v/>
      </c>
      <c r="H733" s="40" t="str">
        <f aca="false">IF(INDEX(BookTitle,728)="","",INDEX(BookRank,728))</f>
        <v/>
      </c>
      <c r="I733" s="41" t="str">
        <f aca="false">IF(INDEX(BookTitle,728)="","",INDEX(BookTotal,728))</f>
        <v/>
      </c>
      <c r="J733" s="0" t="str">
        <f aca="false">IF($I733="","",IF(INDEX(BookQ1,728)&gt;0,"Q1",IF(INDEX(BookQ2,728)&gt;0,"Q2",IF(INDEX(BookQ3,728)&gt;0,"Q3",IF(INDEX(BookQ4,728)&gt;0,"Q4","")))))</f>
        <v/>
      </c>
      <c r="K733" s="42" t="str">
        <f aca="false">IF(INDEX(BookTitle,728)="","",INDEX(BookInYear,728))</f>
        <v/>
      </c>
      <c r="L733" s="19"/>
      <c r="M733" s="39"/>
      <c r="N733" s="19"/>
      <c r="O733" s="19"/>
      <c r="P733" s="43" t="str">
        <f aca="false">IF($E733="","",IF($L733="Decline",0,IF($L733="Approve fewer",IF($M733="","",$M733),IF($L733="","",$I733))))</f>
        <v/>
      </c>
      <c r="Q733" s="34" t="str">
        <f aca="false">IF($P733="","",IF($N733&lt;&gt;"",$N733,$J733))</f>
        <v/>
      </c>
      <c r="R733" s="35" t="str">
        <f aca="false">IF(OR($P733="",$Q733=""),"",INDEX(BookRate,728)*$P733*(5-MATCH($Q733,{"Q1";"Q2";"Q3";"Q4"},0))/4+INDEX(BookOneOff,728)*$P733)</f>
        <v/>
      </c>
      <c r="S733" s="35" t="str">
        <f aca="false">IF($P733="","",INDEX(BookRate,728)*$P733)</f>
        <v/>
      </c>
      <c r="T733" s="35" t="str">
        <f aca="false">IF($R733="","",$R733-$K733)</f>
        <v/>
      </c>
      <c r="U733" s="35" t="str">
        <f aca="false">IF(N($P733)&lt;=0,"",COUNTIF($P$6:$P733,"&gt;0"))</f>
        <v/>
      </c>
    </row>
    <row r="734" customFormat="false" ht="15" hidden="false" customHeight="false" outlineLevel="0" collapsed="false">
      <c r="A734" s="40" t="str">
        <f aca="false">IF(INDEX(BookTitle,729)="","",INDEX(BookGroup,729))</f>
        <v/>
      </c>
      <c r="B734" s="40" t="str">
        <f aca="false">IF(INDEX(BookTitle,729)="","",INDEX(BookRef,729))</f>
        <v/>
      </c>
      <c r="C734" s="40" t="str">
        <f aca="false">IF(INDEX(BookTitle,729)="","",INDEX(BookDivision,729))</f>
        <v/>
      </c>
      <c r="D734" s="40" t="str">
        <f aca="false">IF(INDEX(BookTitle,729)="","",INDEX(BookUnit,729))</f>
        <v/>
      </c>
      <c r="E734" s="40" t="str">
        <f aca="false">IF(INDEX(BookTitle,729)="","",INDEX(BookTitle,729))</f>
        <v/>
      </c>
      <c r="F734" s="40" t="str">
        <f aca="false">IF(INDEX(BookTitle,729)="","",INDEX(BookLevel,729))</f>
        <v/>
      </c>
      <c r="G734" s="40" t="str">
        <f aca="false">IF(INDEX(BookTitle,729)="","",INDEX(BookCategory,729))</f>
        <v/>
      </c>
      <c r="H734" s="40" t="str">
        <f aca="false">IF(INDEX(BookTitle,729)="","",INDEX(BookRank,729))</f>
        <v/>
      </c>
      <c r="I734" s="41" t="str">
        <f aca="false">IF(INDEX(BookTitle,729)="","",INDEX(BookTotal,729))</f>
        <v/>
      </c>
      <c r="J734" s="0" t="str">
        <f aca="false">IF($I734="","",IF(INDEX(BookQ1,729)&gt;0,"Q1",IF(INDEX(BookQ2,729)&gt;0,"Q2",IF(INDEX(BookQ3,729)&gt;0,"Q3",IF(INDEX(BookQ4,729)&gt;0,"Q4","")))))</f>
        <v/>
      </c>
      <c r="K734" s="42" t="str">
        <f aca="false">IF(INDEX(BookTitle,729)="","",INDEX(BookInYear,729))</f>
        <v/>
      </c>
      <c r="L734" s="19"/>
      <c r="M734" s="39"/>
      <c r="N734" s="19"/>
      <c r="O734" s="19"/>
      <c r="P734" s="43" t="str">
        <f aca="false">IF($E734="","",IF($L734="Decline",0,IF($L734="Approve fewer",IF($M734="","",$M734),IF($L734="","",$I734))))</f>
        <v/>
      </c>
      <c r="Q734" s="34" t="str">
        <f aca="false">IF($P734="","",IF($N734&lt;&gt;"",$N734,$J734))</f>
        <v/>
      </c>
      <c r="R734" s="35" t="str">
        <f aca="false">IF(OR($P734="",$Q734=""),"",INDEX(BookRate,729)*$P734*(5-MATCH($Q734,{"Q1";"Q2";"Q3";"Q4"},0))/4+INDEX(BookOneOff,729)*$P734)</f>
        <v/>
      </c>
      <c r="S734" s="35" t="str">
        <f aca="false">IF($P734="","",INDEX(BookRate,729)*$P734)</f>
        <v/>
      </c>
      <c r="T734" s="35" t="str">
        <f aca="false">IF($R734="","",$R734-$K734)</f>
        <v/>
      </c>
      <c r="U734" s="35" t="str">
        <f aca="false">IF(N($P734)&lt;=0,"",COUNTIF($P$6:$P734,"&gt;0"))</f>
        <v/>
      </c>
    </row>
    <row r="735" customFormat="false" ht="15" hidden="false" customHeight="false" outlineLevel="0" collapsed="false">
      <c r="A735" s="40" t="str">
        <f aca="false">IF(INDEX(BookTitle,730)="","",INDEX(BookGroup,730))</f>
        <v/>
      </c>
      <c r="B735" s="40" t="str">
        <f aca="false">IF(INDEX(BookTitle,730)="","",INDEX(BookRef,730))</f>
        <v/>
      </c>
      <c r="C735" s="40" t="str">
        <f aca="false">IF(INDEX(BookTitle,730)="","",INDEX(BookDivision,730))</f>
        <v/>
      </c>
      <c r="D735" s="40" t="str">
        <f aca="false">IF(INDEX(BookTitle,730)="","",INDEX(BookUnit,730))</f>
        <v/>
      </c>
      <c r="E735" s="40" t="str">
        <f aca="false">IF(INDEX(BookTitle,730)="","",INDEX(BookTitle,730))</f>
        <v/>
      </c>
      <c r="F735" s="40" t="str">
        <f aca="false">IF(INDEX(BookTitle,730)="","",INDEX(BookLevel,730))</f>
        <v/>
      </c>
      <c r="G735" s="40" t="str">
        <f aca="false">IF(INDEX(BookTitle,730)="","",INDEX(BookCategory,730))</f>
        <v/>
      </c>
      <c r="H735" s="40" t="str">
        <f aca="false">IF(INDEX(BookTitle,730)="","",INDEX(BookRank,730))</f>
        <v/>
      </c>
      <c r="I735" s="41" t="str">
        <f aca="false">IF(INDEX(BookTitle,730)="","",INDEX(BookTotal,730))</f>
        <v/>
      </c>
      <c r="J735" s="0" t="str">
        <f aca="false">IF($I735="","",IF(INDEX(BookQ1,730)&gt;0,"Q1",IF(INDEX(BookQ2,730)&gt;0,"Q2",IF(INDEX(BookQ3,730)&gt;0,"Q3",IF(INDEX(BookQ4,730)&gt;0,"Q4","")))))</f>
        <v/>
      </c>
      <c r="K735" s="42" t="str">
        <f aca="false">IF(INDEX(BookTitle,730)="","",INDEX(BookInYear,730))</f>
        <v/>
      </c>
      <c r="L735" s="19"/>
      <c r="M735" s="39"/>
      <c r="N735" s="19"/>
      <c r="O735" s="19"/>
      <c r="P735" s="43" t="str">
        <f aca="false">IF($E735="","",IF($L735="Decline",0,IF($L735="Approve fewer",IF($M735="","",$M735),IF($L735="","",$I735))))</f>
        <v/>
      </c>
      <c r="Q735" s="34" t="str">
        <f aca="false">IF($P735="","",IF($N735&lt;&gt;"",$N735,$J735))</f>
        <v/>
      </c>
      <c r="R735" s="35" t="str">
        <f aca="false">IF(OR($P735="",$Q735=""),"",INDEX(BookRate,730)*$P735*(5-MATCH($Q735,{"Q1";"Q2";"Q3";"Q4"},0))/4+INDEX(BookOneOff,730)*$P735)</f>
        <v/>
      </c>
      <c r="S735" s="35" t="str">
        <f aca="false">IF($P735="","",INDEX(BookRate,730)*$P735)</f>
        <v/>
      </c>
      <c r="T735" s="35" t="str">
        <f aca="false">IF($R735="","",$R735-$K735)</f>
        <v/>
      </c>
      <c r="U735" s="35" t="str">
        <f aca="false">IF(N($P735)&lt;=0,"",COUNTIF($P$6:$P735,"&gt;0"))</f>
        <v/>
      </c>
    </row>
    <row r="736" customFormat="false" ht="15" hidden="false" customHeight="false" outlineLevel="0" collapsed="false">
      <c r="A736" s="40" t="str">
        <f aca="false">IF(INDEX(BookTitle,731)="","",INDEX(BookGroup,731))</f>
        <v/>
      </c>
      <c r="B736" s="40" t="str">
        <f aca="false">IF(INDEX(BookTitle,731)="","",INDEX(BookRef,731))</f>
        <v/>
      </c>
      <c r="C736" s="40" t="str">
        <f aca="false">IF(INDEX(BookTitle,731)="","",INDEX(BookDivision,731))</f>
        <v/>
      </c>
      <c r="D736" s="40" t="str">
        <f aca="false">IF(INDEX(BookTitle,731)="","",INDEX(BookUnit,731))</f>
        <v/>
      </c>
      <c r="E736" s="40" t="str">
        <f aca="false">IF(INDEX(BookTitle,731)="","",INDEX(BookTitle,731))</f>
        <v/>
      </c>
      <c r="F736" s="40" t="str">
        <f aca="false">IF(INDEX(BookTitle,731)="","",INDEX(BookLevel,731))</f>
        <v/>
      </c>
      <c r="G736" s="40" t="str">
        <f aca="false">IF(INDEX(BookTitle,731)="","",INDEX(BookCategory,731))</f>
        <v/>
      </c>
      <c r="H736" s="40" t="str">
        <f aca="false">IF(INDEX(BookTitle,731)="","",INDEX(BookRank,731))</f>
        <v/>
      </c>
      <c r="I736" s="41" t="str">
        <f aca="false">IF(INDEX(BookTitle,731)="","",INDEX(BookTotal,731))</f>
        <v/>
      </c>
      <c r="J736" s="0" t="str">
        <f aca="false">IF($I736="","",IF(INDEX(BookQ1,731)&gt;0,"Q1",IF(INDEX(BookQ2,731)&gt;0,"Q2",IF(INDEX(BookQ3,731)&gt;0,"Q3",IF(INDEX(BookQ4,731)&gt;0,"Q4","")))))</f>
        <v/>
      </c>
      <c r="K736" s="42" t="str">
        <f aca="false">IF(INDEX(BookTitle,731)="","",INDEX(BookInYear,731))</f>
        <v/>
      </c>
      <c r="L736" s="19"/>
      <c r="M736" s="39"/>
      <c r="N736" s="19"/>
      <c r="O736" s="19"/>
      <c r="P736" s="43" t="str">
        <f aca="false">IF($E736="","",IF($L736="Decline",0,IF($L736="Approve fewer",IF($M736="","",$M736),IF($L736="","",$I736))))</f>
        <v/>
      </c>
      <c r="Q736" s="34" t="str">
        <f aca="false">IF($P736="","",IF($N736&lt;&gt;"",$N736,$J736))</f>
        <v/>
      </c>
      <c r="R736" s="35" t="str">
        <f aca="false">IF(OR($P736="",$Q736=""),"",INDEX(BookRate,731)*$P736*(5-MATCH($Q736,{"Q1";"Q2";"Q3";"Q4"},0))/4+INDEX(BookOneOff,731)*$P736)</f>
        <v/>
      </c>
      <c r="S736" s="35" t="str">
        <f aca="false">IF($P736="","",INDEX(BookRate,731)*$P736)</f>
        <v/>
      </c>
      <c r="T736" s="35" t="str">
        <f aca="false">IF($R736="","",$R736-$K736)</f>
        <v/>
      </c>
      <c r="U736" s="35" t="str">
        <f aca="false">IF(N($P736)&lt;=0,"",COUNTIF($P$6:$P736,"&gt;0"))</f>
        <v/>
      </c>
    </row>
    <row r="737" customFormat="false" ht="15" hidden="false" customHeight="false" outlineLevel="0" collapsed="false">
      <c r="A737" s="40" t="str">
        <f aca="false">IF(INDEX(BookTitle,732)="","",INDEX(BookGroup,732))</f>
        <v/>
      </c>
      <c r="B737" s="40" t="str">
        <f aca="false">IF(INDEX(BookTitle,732)="","",INDEX(BookRef,732))</f>
        <v/>
      </c>
      <c r="C737" s="40" t="str">
        <f aca="false">IF(INDEX(BookTitle,732)="","",INDEX(BookDivision,732))</f>
        <v/>
      </c>
      <c r="D737" s="40" t="str">
        <f aca="false">IF(INDEX(BookTitle,732)="","",INDEX(BookUnit,732))</f>
        <v/>
      </c>
      <c r="E737" s="40" t="str">
        <f aca="false">IF(INDEX(BookTitle,732)="","",INDEX(BookTitle,732))</f>
        <v/>
      </c>
      <c r="F737" s="40" t="str">
        <f aca="false">IF(INDEX(BookTitle,732)="","",INDEX(BookLevel,732))</f>
        <v/>
      </c>
      <c r="G737" s="40" t="str">
        <f aca="false">IF(INDEX(BookTitle,732)="","",INDEX(BookCategory,732))</f>
        <v/>
      </c>
      <c r="H737" s="40" t="str">
        <f aca="false">IF(INDEX(BookTitle,732)="","",INDEX(BookRank,732))</f>
        <v/>
      </c>
      <c r="I737" s="41" t="str">
        <f aca="false">IF(INDEX(BookTitle,732)="","",INDEX(BookTotal,732))</f>
        <v/>
      </c>
      <c r="J737" s="0" t="str">
        <f aca="false">IF($I737="","",IF(INDEX(BookQ1,732)&gt;0,"Q1",IF(INDEX(BookQ2,732)&gt;0,"Q2",IF(INDEX(BookQ3,732)&gt;0,"Q3",IF(INDEX(BookQ4,732)&gt;0,"Q4","")))))</f>
        <v/>
      </c>
      <c r="K737" s="42" t="str">
        <f aca="false">IF(INDEX(BookTitle,732)="","",INDEX(BookInYear,732))</f>
        <v/>
      </c>
      <c r="L737" s="19"/>
      <c r="M737" s="39"/>
      <c r="N737" s="19"/>
      <c r="O737" s="19"/>
      <c r="P737" s="43" t="str">
        <f aca="false">IF($E737="","",IF($L737="Decline",0,IF($L737="Approve fewer",IF($M737="","",$M737),IF($L737="","",$I737))))</f>
        <v/>
      </c>
      <c r="Q737" s="34" t="str">
        <f aca="false">IF($P737="","",IF($N737&lt;&gt;"",$N737,$J737))</f>
        <v/>
      </c>
      <c r="R737" s="35" t="str">
        <f aca="false">IF(OR($P737="",$Q737=""),"",INDEX(BookRate,732)*$P737*(5-MATCH($Q737,{"Q1";"Q2";"Q3";"Q4"},0))/4+INDEX(BookOneOff,732)*$P737)</f>
        <v/>
      </c>
      <c r="S737" s="35" t="str">
        <f aca="false">IF($P737="","",INDEX(BookRate,732)*$P737)</f>
        <v/>
      </c>
      <c r="T737" s="35" t="str">
        <f aca="false">IF($R737="","",$R737-$K737)</f>
        <v/>
      </c>
      <c r="U737" s="35" t="str">
        <f aca="false">IF(N($P737)&lt;=0,"",COUNTIF($P$6:$P737,"&gt;0"))</f>
        <v/>
      </c>
    </row>
    <row r="738" customFormat="false" ht="15" hidden="false" customHeight="false" outlineLevel="0" collapsed="false">
      <c r="A738" s="40" t="str">
        <f aca="false">IF(INDEX(BookTitle,733)="","",INDEX(BookGroup,733))</f>
        <v/>
      </c>
      <c r="B738" s="40" t="str">
        <f aca="false">IF(INDEX(BookTitle,733)="","",INDEX(BookRef,733))</f>
        <v/>
      </c>
      <c r="C738" s="40" t="str">
        <f aca="false">IF(INDEX(BookTitle,733)="","",INDEX(BookDivision,733))</f>
        <v/>
      </c>
      <c r="D738" s="40" t="str">
        <f aca="false">IF(INDEX(BookTitle,733)="","",INDEX(BookUnit,733))</f>
        <v/>
      </c>
      <c r="E738" s="40" t="str">
        <f aca="false">IF(INDEX(BookTitle,733)="","",INDEX(BookTitle,733))</f>
        <v/>
      </c>
      <c r="F738" s="40" t="str">
        <f aca="false">IF(INDEX(BookTitle,733)="","",INDEX(BookLevel,733))</f>
        <v/>
      </c>
      <c r="G738" s="40" t="str">
        <f aca="false">IF(INDEX(BookTitle,733)="","",INDEX(BookCategory,733))</f>
        <v/>
      </c>
      <c r="H738" s="40" t="str">
        <f aca="false">IF(INDEX(BookTitle,733)="","",INDEX(BookRank,733))</f>
        <v/>
      </c>
      <c r="I738" s="41" t="str">
        <f aca="false">IF(INDEX(BookTitle,733)="","",INDEX(BookTotal,733))</f>
        <v/>
      </c>
      <c r="J738" s="0" t="str">
        <f aca="false">IF($I738="","",IF(INDEX(BookQ1,733)&gt;0,"Q1",IF(INDEX(BookQ2,733)&gt;0,"Q2",IF(INDEX(BookQ3,733)&gt;0,"Q3",IF(INDEX(BookQ4,733)&gt;0,"Q4","")))))</f>
        <v/>
      </c>
      <c r="K738" s="42" t="str">
        <f aca="false">IF(INDEX(BookTitle,733)="","",INDEX(BookInYear,733))</f>
        <v/>
      </c>
      <c r="L738" s="19"/>
      <c r="M738" s="39"/>
      <c r="N738" s="19"/>
      <c r="O738" s="19"/>
      <c r="P738" s="43" t="str">
        <f aca="false">IF($E738="","",IF($L738="Decline",0,IF($L738="Approve fewer",IF($M738="","",$M738),IF($L738="","",$I738))))</f>
        <v/>
      </c>
      <c r="Q738" s="34" t="str">
        <f aca="false">IF($P738="","",IF($N738&lt;&gt;"",$N738,$J738))</f>
        <v/>
      </c>
      <c r="R738" s="35" t="str">
        <f aca="false">IF(OR($P738="",$Q738=""),"",INDEX(BookRate,733)*$P738*(5-MATCH($Q738,{"Q1";"Q2";"Q3";"Q4"},0))/4+INDEX(BookOneOff,733)*$P738)</f>
        <v/>
      </c>
      <c r="S738" s="35" t="str">
        <f aca="false">IF($P738="","",INDEX(BookRate,733)*$P738)</f>
        <v/>
      </c>
      <c r="T738" s="35" t="str">
        <f aca="false">IF($R738="","",$R738-$K738)</f>
        <v/>
      </c>
      <c r="U738" s="35" t="str">
        <f aca="false">IF(N($P738)&lt;=0,"",COUNTIF($P$6:$P738,"&gt;0"))</f>
        <v/>
      </c>
    </row>
    <row r="739" customFormat="false" ht="15" hidden="false" customHeight="false" outlineLevel="0" collapsed="false">
      <c r="A739" s="40" t="str">
        <f aca="false">IF(INDEX(BookTitle,734)="","",INDEX(BookGroup,734))</f>
        <v/>
      </c>
      <c r="B739" s="40" t="str">
        <f aca="false">IF(INDEX(BookTitle,734)="","",INDEX(BookRef,734))</f>
        <v/>
      </c>
      <c r="C739" s="40" t="str">
        <f aca="false">IF(INDEX(BookTitle,734)="","",INDEX(BookDivision,734))</f>
        <v/>
      </c>
      <c r="D739" s="40" t="str">
        <f aca="false">IF(INDEX(BookTitle,734)="","",INDEX(BookUnit,734))</f>
        <v/>
      </c>
      <c r="E739" s="40" t="str">
        <f aca="false">IF(INDEX(BookTitle,734)="","",INDEX(BookTitle,734))</f>
        <v/>
      </c>
      <c r="F739" s="40" t="str">
        <f aca="false">IF(INDEX(BookTitle,734)="","",INDEX(BookLevel,734))</f>
        <v/>
      </c>
      <c r="G739" s="40" t="str">
        <f aca="false">IF(INDEX(BookTitle,734)="","",INDEX(BookCategory,734))</f>
        <v/>
      </c>
      <c r="H739" s="40" t="str">
        <f aca="false">IF(INDEX(BookTitle,734)="","",INDEX(BookRank,734))</f>
        <v/>
      </c>
      <c r="I739" s="41" t="str">
        <f aca="false">IF(INDEX(BookTitle,734)="","",INDEX(BookTotal,734))</f>
        <v/>
      </c>
      <c r="J739" s="0" t="str">
        <f aca="false">IF($I739="","",IF(INDEX(BookQ1,734)&gt;0,"Q1",IF(INDEX(BookQ2,734)&gt;0,"Q2",IF(INDEX(BookQ3,734)&gt;0,"Q3",IF(INDEX(BookQ4,734)&gt;0,"Q4","")))))</f>
        <v/>
      </c>
      <c r="K739" s="42" t="str">
        <f aca="false">IF(INDEX(BookTitle,734)="","",INDEX(BookInYear,734))</f>
        <v/>
      </c>
      <c r="L739" s="19"/>
      <c r="M739" s="39"/>
      <c r="N739" s="19"/>
      <c r="O739" s="19"/>
      <c r="P739" s="43" t="str">
        <f aca="false">IF($E739="","",IF($L739="Decline",0,IF($L739="Approve fewer",IF($M739="","",$M739),IF($L739="","",$I739))))</f>
        <v/>
      </c>
      <c r="Q739" s="34" t="str">
        <f aca="false">IF($P739="","",IF($N739&lt;&gt;"",$N739,$J739))</f>
        <v/>
      </c>
      <c r="R739" s="35" t="str">
        <f aca="false">IF(OR($P739="",$Q739=""),"",INDEX(BookRate,734)*$P739*(5-MATCH($Q739,{"Q1";"Q2";"Q3";"Q4"},0))/4+INDEX(BookOneOff,734)*$P739)</f>
        <v/>
      </c>
      <c r="S739" s="35" t="str">
        <f aca="false">IF($P739="","",INDEX(BookRate,734)*$P739)</f>
        <v/>
      </c>
      <c r="T739" s="35" t="str">
        <f aca="false">IF($R739="","",$R739-$K739)</f>
        <v/>
      </c>
      <c r="U739" s="35" t="str">
        <f aca="false">IF(N($P739)&lt;=0,"",COUNTIF($P$6:$P739,"&gt;0"))</f>
        <v/>
      </c>
    </row>
    <row r="740" customFormat="false" ht="15" hidden="false" customHeight="false" outlineLevel="0" collapsed="false">
      <c r="A740" s="40" t="str">
        <f aca="false">IF(INDEX(BookTitle,735)="","",INDEX(BookGroup,735))</f>
        <v/>
      </c>
      <c r="B740" s="40" t="str">
        <f aca="false">IF(INDEX(BookTitle,735)="","",INDEX(BookRef,735))</f>
        <v/>
      </c>
      <c r="C740" s="40" t="str">
        <f aca="false">IF(INDEX(BookTitle,735)="","",INDEX(BookDivision,735))</f>
        <v/>
      </c>
      <c r="D740" s="40" t="str">
        <f aca="false">IF(INDEX(BookTitle,735)="","",INDEX(BookUnit,735))</f>
        <v/>
      </c>
      <c r="E740" s="40" t="str">
        <f aca="false">IF(INDEX(BookTitle,735)="","",INDEX(BookTitle,735))</f>
        <v/>
      </c>
      <c r="F740" s="40" t="str">
        <f aca="false">IF(INDEX(BookTitle,735)="","",INDEX(BookLevel,735))</f>
        <v/>
      </c>
      <c r="G740" s="40" t="str">
        <f aca="false">IF(INDEX(BookTitle,735)="","",INDEX(BookCategory,735))</f>
        <v/>
      </c>
      <c r="H740" s="40" t="str">
        <f aca="false">IF(INDEX(BookTitle,735)="","",INDEX(BookRank,735))</f>
        <v/>
      </c>
      <c r="I740" s="41" t="str">
        <f aca="false">IF(INDEX(BookTitle,735)="","",INDEX(BookTotal,735))</f>
        <v/>
      </c>
      <c r="J740" s="0" t="str">
        <f aca="false">IF($I740="","",IF(INDEX(BookQ1,735)&gt;0,"Q1",IF(INDEX(BookQ2,735)&gt;0,"Q2",IF(INDEX(BookQ3,735)&gt;0,"Q3",IF(INDEX(BookQ4,735)&gt;0,"Q4","")))))</f>
        <v/>
      </c>
      <c r="K740" s="42" t="str">
        <f aca="false">IF(INDEX(BookTitle,735)="","",INDEX(BookInYear,735))</f>
        <v/>
      </c>
      <c r="L740" s="19"/>
      <c r="M740" s="39"/>
      <c r="N740" s="19"/>
      <c r="O740" s="19"/>
      <c r="P740" s="43" t="str">
        <f aca="false">IF($E740="","",IF($L740="Decline",0,IF($L740="Approve fewer",IF($M740="","",$M740),IF($L740="","",$I740))))</f>
        <v/>
      </c>
      <c r="Q740" s="34" t="str">
        <f aca="false">IF($P740="","",IF($N740&lt;&gt;"",$N740,$J740))</f>
        <v/>
      </c>
      <c r="R740" s="35" t="str">
        <f aca="false">IF(OR($P740="",$Q740=""),"",INDEX(BookRate,735)*$P740*(5-MATCH($Q740,{"Q1";"Q2";"Q3";"Q4"},0))/4+INDEX(BookOneOff,735)*$P740)</f>
        <v/>
      </c>
      <c r="S740" s="35" t="str">
        <f aca="false">IF($P740="","",INDEX(BookRate,735)*$P740)</f>
        <v/>
      </c>
      <c r="T740" s="35" t="str">
        <f aca="false">IF($R740="","",$R740-$K740)</f>
        <v/>
      </c>
      <c r="U740" s="35" t="str">
        <f aca="false">IF(N($P740)&lt;=0,"",COUNTIF($P$6:$P740,"&gt;0"))</f>
        <v/>
      </c>
    </row>
    <row r="741" customFormat="false" ht="15" hidden="false" customHeight="false" outlineLevel="0" collapsed="false">
      <c r="A741" s="40" t="str">
        <f aca="false">IF(INDEX(BookTitle,736)="","",INDEX(BookGroup,736))</f>
        <v/>
      </c>
      <c r="B741" s="40" t="str">
        <f aca="false">IF(INDEX(BookTitle,736)="","",INDEX(BookRef,736))</f>
        <v/>
      </c>
      <c r="C741" s="40" t="str">
        <f aca="false">IF(INDEX(BookTitle,736)="","",INDEX(BookDivision,736))</f>
        <v/>
      </c>
      <c r="D741" s="40" t="str">
        <f aca="false">IF(INDEX(BookTitle,736)="","",INDEX(BookUnit,736))</f>
        <v/>
      </c>
      <c r="E741" s="40" t="str">
        <f aca="false">IF(INDEX(BookTitle,736)="","",INDEX(BookTitle,736))</f>
        <v/>
      </c>
      <c r="F741" s="40" t="str">
        <f aca="false">IF(INDEX(BookTitle,736)="","",INDEX(BookLevel,736))</f>
        <v/>
      </c>
      <c r="G741" s="40" t="str">
        <f aca="false">IF(INDEX(BookTitle,736)="","",INDEX(BookCategory,736))</f>
        <v/>
      </c>
      <c r="H741" s="40" t="str">
        <f aca="false">IF(INDEX(BookTitle,736)="","",INDEX(BookRank,736))</f>
        <v/>
      </c>
      <c r="I741" s="41" t="str">
        <f aca="false">IF(INDEX(BookTitle,736)="","",INDEX(BookTotal,736))</f>
        <v/>
      </c>
      <c r="J741" s="0" t="str">
        <f aca="false">IF($I741="","",IF(INDEX(BookQ1,736)&gt;0,"Q1",IF(INDEX(BookQ2,736)&gt;0,"Q2",IF(INDEX(BookQ3,736)&gt;0,"Q3",IF(INDEX(BookQ4,736)&gt;0,"Q4","")))))</f>
        <v/>
      </c>
      <c r="K741" s="42" t="str">
        <f aca="false">IF(INDEX(BookTitle,736)="","",INDEX(BookInYear,736))</f>
        <v/>
      </c>
      <c r="L741" s="19"/>
      <c r="M741" s="39"/>
      <c r="N741" s="19"/>
      <c r="O741" s="19"/>
      <c r="P741" s="43" t="str">
        <f aca="false">IF($E741="","",IF($L741="Decline",0,IF($L741="Approve fewer",IF($M741="","",$M741),IF($L741="","",$I741))))</f>
        <v/>
      </c>
      <c r="Q741" s="34" t="str">
        <f aca="false">IF($P741="","",IF($N741&lt;&gt;"",$N741,$J741))</f>
        <v/>
      </c>
      <c r="R741" s="35" t="str">
        <f aca="false">IF(OR($P741="",$Q741=""),"",INDEX(BookRate,736)*$P741*(5-MATCH($Q741,{"Q1";"Q2";"Q3";"Q4"},0))/4+INDEX(BookOneOff,736)*$P741)</f>
        <v/>
      </c>
      <c r="S741" s="35" t="str">
        <f aca="false">IF($P741="","",INDEX(BookRate,736)*$P741)</f>
        <v/>
      </c>
      <c r="T741" s="35" t="str">
        <f aca="false">IF($R741="","",$R741-$K741)</f>
        <v/>
      </c>
      <c r="U741" s="35" t="str">
        <f aca="false">IF(N($P741)&lt;=0,"",COUNTIF($P$6:$P741,"&gt;0"))</f>
        <v/>
      </c>
    </row>
    <row r="742" customFormat="false" ht="15" hidden="false" customHeight="false" outlineLevel="0" collapsed="false">
      <c r="A742" s="40" t="str">
        <f aca="false">IF(INDEX(BookTitle,737)="","",INDEX(BookGroup,737))</f>
        <v/>
      </c>
      <c r="B742" s="40" t="str">
        <f aca="false">IF(INDEX(BookTitle,737)="","",INDEX(BookRef,737))</f>
        <v/>
      </c>
      <c r="C742" s="40" t="str">
        <f aca="false">IF(INDEX(BookTitle,737)="","",INDEX(BookDivision,737))</f>
        <v/>
      </c>
      <c r="D742" s="40" t="str">
        <f aca="false">IF(INDEX(BookTitle,737)="","",INDEX(BookUnit,737))</f>
        <v/>
      </c>
      <c r="E742" s="40" t="str">
        <f aca="false">IF(INDEX(BookTitle,737)="","",INDEX(BookTitle,737))</f>
        <v/>
      </c>
      <c r="F742" s="40" t="str">
        <f aca="false">IF(INDEX(BookTitle,737)="","",INDEX(BookLevel,737))</f>
        <v/>
      </c>
      <c r="G742" s="40" t="str">
        <f aca="false">IF(INDEX(BookTitle,737)="","",INDEX(BookCategory,737))</f>
        <v/>
      </c>
      <c r="H742" s="40" t="str">
        <f aca="false">IF(INDEX(BookTitle,737)="","",INDEX(BookRank,737))</f>
        <v/>
      </c>
      <c r="I742" s="41" t="str">
        <f aca="false">IF(INDEX(BookTitle,737)="","",INDEX(BookTotal,737))</f>
        <v/>
      </c>
      <c r="J742" s="0" t="str">
        <f aca="false">IF($I742="","",IF(INDEX(BookQ1,737)&gt;0,"Q1",IF(INDEX(BookQ2,737)&gt;0,"Q2",IF(INDEX(BookQ3,737)&gt;0,"Q3",IF(INDEX(BookQ4,737)&gt;0,"Q4","")))))</f>
        <v/>
      </c>
      <c r="K742" s="42" t="str">
        <f aca="false">IF(INDEX(BookTitle,737)="","",INDEX(BookInYear,737))</f>
        <v/>
      </c>
      <c r="L742" s="19"/>
      <c r="M742" s="39"/>
      <c r="N742" s="19"/>
      <c r="O742" s="19"/>
      <c r="P742" s="43" t="str">
        <f aca="false">IF($E742="","",IF($L742="Decline",0,IF($L742="Approve fewer",IF($M742="","",$M742),IF($L742="","",$I742))))</f>
        <v/>
      </c>
      <c r="Q742" s="34" t="str">
        <f aca="false">IF($P742="","",IF($N742&lt;&gt;"",$N742,$J742))</f>
        <v/>
      </c>
      <c r="R742" s="35" t="str">
        <f aca="false">IF(OR($P742="",$Q742=""),"",INDEX(BookRate,737)*$P742*(5-MATCH($Q742,{"Q1";"Q2";"Q3";"Q4"},0))/4+INDEX(BookOneOff,737)*$P742)</f>
        <v/>
      </c>
      <c r="S742" s="35" t="str">
        <f aca="false">IF($P742="","",INDEX(BookRate,737)*$P742)</f>
        <v/>
      </c>
      <c r="T742" s="35" t="str">
        <f aca="false">IF($R742="","",$R742-$K742)</f>
        <v/>
      </c>
      <c r="U742" s="35" t="str">
        <f aca="false">IF(N($P742)&lt;=0,"",COUNTIF($P$6:$P742,"&gt;0"))</f>
        <v/>
      </c>
    </row>
    <row r="743" customFormat="false" ht="15" hidden="false" customHeight="false" outlineLevel="0" collapsed="false">
      <c r="A743" s="40" t="str">
        <f aca="false">IF(INDEX(BookTitle,738)="","",INDEX(BookGroup,738))</f>
        <v/>
      </c>
      <c r="B743" s="40" t="str">
        <f aca="false">IF(INDEX(BookTitle,738)="","",INDEX(BookRef,738))</f>
        <v/>
      </c>
      <c r="C743" s="40" t="str">
        <f aca="false">IF(INDEX(BookTitle,738)="","",INDEX(BookDivision,738))</f>
        <v/>
      </c>
      <c r="D743" s="40" t="str">
        <f aca="false">IF(INDEX(BookTitle,738)="","",INDEX(BookUnit,738))</f>
        <v/>
      </c>
      <c r="E743" s="40" t="str">
        <f aca="false">IF(INDEX(BookTitle,738)="","",INDEX(BookTitle,738))</f>
        <v/>
      </c>
      <c r="F743" s="40" t="str">
        <f aca="false">IF(INDEX(BookTitle,738)="","",INDEX(BookLevel,738))</f>
        <v/>
      </c>
      <c r="G743" s="40" t="str">
        <f aca="false">IF(INDEX(BookTitle,738)="","",INDEX(BookCategory,738))</f>
        <v/>
      </c>
      <c r="H743" s="40" t="str">
        <f aca="false">IF(INDEX(BookTitle,738)="","",INDEX(BookRank,738))</f>
        <v/>
      </c>
      <c r="I743" s="41" t="str">
        <f aca="false">IF(INDEX(BookTitle,738)="","",INDEX(BookTotal,738))</f>
        <v/>
      </c>
      <c r="J743" s="0" t="str">
        <f aca="false">IF($I743="","",IF(INDEX(BookQ1,738)&gt;0,"Q1",IF(INDEX(BookQ2,738)&gt;0,"Q2",IF(INDEX(BookQ3,738)&gt;0,"Q3",IF(INDEX(BookQ4,738)&gt;0,"Q4","")))))</f>
        <v/>
      </c>
      <c r="K743" s="42" t="str">
        <f aca="false">IF(INDEX(BookTitle,738)="","",INDEX(BookInYear,738))</f>
        <v/>
      </c>
      <c r="L743" s="19"/>
      <c r="M743" s="39"/>
      <c r="N743" s="19"/>
      <c r="O743" s="19"/>
      <c r="P743" s="43" t="str">
        <f aca="false">IF($E743="","",IF($L743="Decline",0,IF($L743="Approve fewer",IF($M743="","",$M743),IF($L743="","",$I743))))</f>
        <v/>
      </c>
      <c r="Q743" s="34" t="str">
        <f aca="false">IF($P743="","",IF($N743&lt;&gt;"",$N743,$J743))</f>
        <v/>
      </c>
      <c r="R743" s="35" t="str">
        <f aca="false">IF(OR($P743="",$Q743=""),"",INDEX(BookRate,738)*$P743*(5-MATCH($Q743,{"Q1";"Q2";"Q3";"Q4"},0))/4+INDEX(BookOneOff,738)*$P743)</f>
        <v/>
      </c>
      <c r="S743" s="35" t="str">
        <f aca="false">IF($P743="","",INDEX(BookRate,738)*$P743)</f>
        <v/>
      </c>
      <c r="T743" s="35" t="str">
        <f aca="false">IF($R743="","",$R743-$K743)</f>
        <v/>
      </c>
      <c r="U743" s="35" t="str">
        <f aca="false">IF(N($P743)&lt;=0,"",COUNTIF($P$6:$P743,"&gt;0"))</f>
        <v/>
      </c>
    </row>
    <row r="744" customFormat="false" ht="15" hidden="false" customHeight="false" outlineLevel="0" collapsed="false">
      <c r="A744" s="40" t="str">
        <f aca="false">IF(INDEX(BookTitle,739)="","",INDEX(BookGroup,739))</f>
        <v/>
      </c>
      <c r="B744" s="40" t="str">
        <f aca="false">IF(INDEX(BookTitle,739)="","",INDEX(BookRef,739))</f>
        <v/>
      </c>
      <c r="C744" s="40" t="str">
        <f aca="false">IF(INDEX(BookTitle,739)="","",INDEX(BookDivision,739))</f>
        <v/>
      </c>
      <c r="D744" s="40" t="str">
        <f aca="false">IF(INDEX(BookTitle,739)="","",INDEX(BookUnit,739))</f>
        <v/>
      </c>
      <c r="E744" s="40" t="str">
        <f aca="false">IF(INDEX(BookTitle,739)="","",INDEX(BookTitle,739))</f>
        <v/>
      </c>
      <c r="F744" s="40" t="str">
        <f aca="false">IF(INDEX(BookTitle,739)="","",INDEX(BookLevel,739))</f>
        <v/>
      </c>
      <c r="G744" s="40" t="str">
        <f aca="false">IF(INDEX(BookTitle,739)="","",INDEX(BookCategory,739))</f>
        <v/>
      </c>
      <c r="H744" s="40" t="str">
        <f aca="false">IF(INDEX(BookTitle,739)="","",INDEX(BookRank,739))</f>
        <v/>
      </c>
      <c r="I744" s="41" t="str">
        <f aca="false">IF(INDEX(BookTitle,739)="","",INDEX(BookTotal,739))</f>
        <v/>
      </c>
      <c r="J744" s="0" t="str">
        <f aca="false">IF($I744="","",IF(INDEX(BookQ1,739)&gt;0,"Q1",IF(INDEX(BookQ2,739)&gt;0,"Q2",IF(INDEX(BookQ3,739)&gt;0,"Q3",IF(INDEX(BookQ4,739)&gt;0,"Q4","")))))</f>
        <v/>
      </c>
      <c r="K744" s="42" t="str">
        <f aca="false">IF(INDEX(BookTitle,739)="","",INDEX(BookInYear,739))</f>
        <v/>
      </c>
      <c r="L744" s="19"/>
      <c r="M744" s="39"/>
      <c r="N744" s="19"/>
      <c r="O744" s="19"/>
      <c r="P744" s="43" t="str">
        <f aca="false">IF($E744="","",IF($L744="Decline",0,IF($L744="Approve fewer",IF($M744="","",$M744),IF($L744="","",$I744))))</f>
        <v/>
      </c>
      <c r="Q744" s="34" t="str">
        <f aca="false">IF($P744="","",IF($N744&lt;&gt;"",$N744,$J744))</f>
        <v/>
      </c>
      <c r="R744" s="35" t="str">
        <f aca="false">IF(OR($P744="",$Q744=""),"",INDEX(BookRate,739)*$P744*(5-MATCH($Q744,{"Q1";"Q2";"Q3";"Q4"},0))/4+INDEX(BookOneOff,739)*$P744)</f>
        <v/>
      </c>
      <c r="S744" s="35" t="str">
        <f aca="false">IF($P744="","",INDEX(BookRate,739)*$P744)</f>
        <v/>
      </c>
      <c r="T744" s="35" t="str">
        <f aca="false">IF($R744="","",$R744-$K744)</f>
        <v/>
      </c>
      <c r="U744" s="35" t="str">
        <f aca="false">IF(N($P744)&lt;=0,"",COUNTIF($P$6:$P744,"&gt;0"))</f>
        <v/>
      </c>
    </row>
    <row r="745" customFormat="false" ht="15" hidden="false" customHeight="false" outlineLevel="0" collapsed="false">
      <c r="A745" s="40" t="str">
        <f aca="false">IF(INDEX(BookTitle,740)="","",INDEX(BookGroup,740))</f>
        <v/>
      </c>
      <c r="B745" s="40" t="str">
        <f aca="false">IF(INDEX(BookTitle,740)="","",INDEX(BookRef,740))</f>
        <v/>
      </c>
      <c r="C745" s="40" t="str">
        <f aca="false">IF(INDEX(BookTitle,740)="","",INDEX(BookDivision,740))</f>
        <v/>
      </c>
      <c r="D745" s="40" t="str">
        <f aca="false">IF(INDEX(BookTitle,740)="","",INDEX(BookUnit,740))</f>
        <v/>
      </c>
      <c r="E745" s="40" t="str">
        <f aca="false">IF(INDEX(BookTitle,740)="","",INDEX(BookTitle,740))</f>
        <v/>
      </c>
      <c r="F745" s="40" t="str">
        <f aca="false">IF(INDEX(BookTitle,740)="","",INDEX(BookLevel,740))</f>
        <v/>
      </c>
      <c r="G745" s="40" t="str">
        <f aca="false">IF(INDEX(BookTitle,740)="","",INDEX(BookCategory,740))</f>
        <v/>
      </c>
      <c r="H745" s="40" t="str">
        <f aca="false">IF(INDEX(BookTitle,740)="","",INDEX(BookRank,740))</f>
        <v/>
      </c>
      <c r="I745" s="41" t="str">
        <f aca="false">IF(INDEX(BookTitle,740)="","",INDEX(BookTotal,740))</f>
        <v/>
      </c>
      <c r="J745" s="0" t="str">
        <f aca="false">IF($I745="","",IF(INDEX(BookQ1,740)&gt;0,"Q1",IF(INDEX(BookQ2,740)&gt;0,"Q2",IF(INDEX(BookQ3,740)&gt;0,"Q3",IF(INDEX(BookQ4,740)&gt;0,"Q4","")))))</f>
        <v/>
      </c>
      <c r="K745" s="42" t="str">
        <f aca="false">IF(INDEX(BookTitle,740)="","",INDEX(BookInYear,740))</f>
        <v/>
      </c>
      <c r="L745" s="19"/>
      <c r="M745" s="39"/>
      <c r="N745" s="19"/>
      <c r="O745" s="19"/>
      <c r="P745" s="43" t="str">
        <f aca="false">IF($E745="","",IF($L745="Decline",0,IF($L745="Approve fewer",IF($M745="","",$M745),IF($L745="","",$I745))))</f>
        <v/>
      </c>
      <c r="Q745" s="34" t="str">
        <f aca="false">IF($P745="","",IF($N745&lt;&gt;"",$N745,$J745))</f>
        <v/>
      </c>
      <c r="R745" s="35" t="str">
        <f aca="false">IF(OR($P745="",$Q745=""),"",INDEX(BookRate,740)*$P745*(5-MATCH($Q745,{"Q1";"Q2";"Q3";"Q4"},0))/4+INDEX(BookOneOff,740)*$P745)</f>
        <v/>
      </c>
      <c r="S745" s="35" t="str">
        <f aca="false">IF($P745="","",INDEX(BookRate,740)*$P745)</f>
        <v/>
      </c>
      <c r="T745" s="35" t="str">
        <f aca="false">IF($R745="","",$R745-$K745)</f>
        <v/>
      </c>
      <c r="U745" s="35" t="str">
        <f aca="false">IF(N($P745)&lt;=0,"",COUNTIF($P$6:$P745,"&gt;0"))</f>
        <v/>
      </c>
    </row>
    <row r="746" customFormat="false" ht="15" hidden="false" customHeight="false" outlineLevel="0" collapsed="false">
      <c r="A746" s="40" t="str">
        <f aca="false">IF(INDEX(BookTitle,741)="","",INDEX(BookGroup,741))</f>
        <v/>
      </c>
      <c r="B746" s="40" t="str">
        <f aca="false">IF(INDEX(BookTitle,741)="","",INDEX(BookRef,741))</f>
        <v/>
      </c>
      <c r="C746" s="40" t="str">
        <f aca="false">IF(INDEX(BookTitle,741)="","",INDEX(BookDivision,741))</f>
        <v/>
      </c>
      <c r="D746" s="40" t="str">
        <f aca="false">IF(INDEX(BookTitle,741)="","",INDEX(BookUnit,741))</f>
        <v/>
      </c>
      <c r="E746" s="40" t="str">
        <f aca="false">IF(INDEX(BookTitle,741)="","",INDEX(BookTitle,741))</f>
        <v/>
      </c>
      <c r="F746" s="40" t="str">
        <f aca="false">IF(INDEX(BookTitle,741)="","",INDEX(BookLevel,741))</f>
        <v/>
      </c>
      <c r="G746" s="40" t="str">
        <f aca="false">IF(INDEX(BookTitle,741)="","",INDEX(BookCategory,741))</f>
        <v/>
      </c>
      <c r="H746" s="40" t="str">
        <f aca="false">IF(INDEX(BookTitle,741)="","",INDEX(BookRank,741))</f>
        <v/>
      </c>
      <c r="I746" s="41" t="str">
        <f aca="false">IF(INDEX(BookTitle,741)="","",INDEX(BookTotal,741))</f>
        <v/>
      </c>
      <c r="J746" s="0" t="str">
        <f aca="false">IF($I746="","",IF(INDEX(BookQ1,741)&gt;0,"Q1",IF(INDEX(BookQ2,741)&gt;0,"Q2",IF(INDEX(BookQ3,741)&gt;0,"Q3",IF(INDEX(BookQ4,741)&gt;0,"Q4","")))))</f>
        <v/>
      </c>
      <c r="K746" s="42" t="str">
        <f aca="false">IF(INDEX(BookTitle,741)="","",INDEX(BookInYear,741))</f>
        <v/>
      </c>
      <c r="L746" s="19"/>
      <c r="M746" s="39"/>
      <c r="N746" s="19"/>
      <c r="O746" s="19"/>
      <c r="P746" s="43" t="str">
        <f aca="false">IF($E746="","",IF($L746="Decline",0,IF($L746="Approve fewer",IF($M746="","",$M746),IF($L746="","",$I746))))</f>
        <v/>
      </c>
      <c r="Q746" s="34" t="str">
        <f aca="false">IF($P746="","",IF($N746&lt;&gt;"",$N746,$J746))</f>
        <v/>
      </c>
      <c r="R746" s="35" t="str">
        <f aca="false">IF(OR($P746="",$Q746=""),"",INDEX(BookRate,741)*$P746*(5-MATCH($Q746,{"Q1";"Q2";"Q3";"Q4"},0))/4+INDEX(BookOneOff,741)*$P746)</f>
        <v/>
      </c>
      <c r="S746" s="35" t="str">
        <f aca="false">IF($P746="","",INDEX(BookRate,741)*$P746)</f>
        <v/>
      </c>
      <c r="T746" s="35" t="str">
        <f aca="false">IF($R746="","",$R746-$K746)</f>
        <v/>
      </c>
      <c r="U746" s="35" t="str">
        <f aca="false">IF(N($P746)&lt;=0,"",COUNTIF($P$6:$P746,"&gt;0"))</f>
        <v/>
      </c>
    </row>
    <row r="747" customFormat="false" ht="15" hidden="false" customHeight="false" outlineLevel="0" collapsed="false">
      <c r="A747" s="40" t="str">
        <f aca="false">IF(INDEX(BookTitle,742)="","",INDEX(BookGroup,742))</f>
        <v/>
      </c>
      <c r="B747" s="40" t="str">
        <f aca="false">IF(INDEX(BookTitle,742)="","",INDEX(BookRef,742))</f>
        <v/>
      </c>
      <c r="C747" s="40" t="str">
        <f aca="false">IF(INDEX(BookTitle,742)="","",INDEX(BookDivision,742))</f>
        <v/>
      </c>
      <c r="D747" s="40" t="str">
        <f aca="false">IF(INDEX(BookTitle,742)="","",INDEX(BookUnit,742))</f>
        <v/>
      </c>
      <c r="E747" s="40" t="str">
        <f aca="false">IF(INDEX(BookTitle,742)="","",INDEX(BookTitle,742))</f>
        <v/>
      </c>
      <c r="F747" s="40" t="str">
        <f aca="false">IF(INDEX(BookTitle,742)="","",INDEX(BookLevel,742))</f>
        <v/>
      </c>
      <c r="G747" s="40" t="str">
        <f aca="false">IF(INDEX(BookTitle,742)="","",INDEX(BookCategory,742))</f>
        <v/>
      </c>
      <c r="H747" s="40" t="str">
        <f aca="false">IF(INDEX(BookTitle,742)="","",INDEX(BookRank,742))</f>
        <v/>
      </c>
      <c r="I747" s="41" t="str">
        <f aca="false">IF(INDEX(BookTitle,742)="","",INDEX(BookTotal,742))</f>
        <v/>
      </c>
      <c r="J747" s="0" t="str">
        <f aca="false">IF($I747="","",IF(INDEX(BookQ1,742)&gt;0,"Q1",IF(INDEX(BookQ2,742)&gt;0,"Q2",IF(INDEX(BookQ3,742)&gt;0,"Q3",IF(INDEX(BookQ4,742)&gt;0,"Q4","")))))</f>
        <v/>
      </c>
      <c r="K747" s="42" t="str">
        <f aca="false">IF(INDEX(BookTitle,742)="","",INDEX(BookInYear,742))</f>
        <v/>
      </c>
      <c r="L747" s="19"/>
      <c r="M747" s="39"/>
      <c r="N747" s="19"/>
      <c r="O747" s="19"/>
      <c r="P747" s="43" t="str">
        <f aca="false">IF($E747="","",IF($L747="Decline",0,IF($L747="Approve fewer",IF($M747="","",$M747),IF($L747="","",$I747))))</f>
        <v/>
      </c>
      <c r="Q747" s="34" t="str">
        <f aca="false">IF($P747="","",IF($N747&lt;&gt;"",$N747,$J747))</f>
        <v/>
      </c>
      <c r="R747" s="35" t="str">
        <f aca="false">IF(OR($P747="",$Q747=""),"",INDEX(BookRate,742)*$P747*(5-MATCH($Q747,{"Q1";"Q2";"Q3";"Q4"},0))/4+INDEX(BookOneOff,742)*$P747)</f>
        <v/>
      </c>
      <c r="S747" s="35" t="str">
        <f aca="false">IF($P747="","",INDEX(BookRate,742)*$P747)</f>
        <v/>
      </c>
      <c r="T747" s="35" t="str">
        <f aca="false">IF($R747="","",$R747-$K747)</f>
        <v/>
      </c>
      <c r="U747" s="35" t="str">
        <f aca="false">IF(N($P747)&lt;=0,"",COUNTIF($P$6:$P747,"&gt;0"))</f>
        <v/>
      </c>
    </row>
    <row r="748" customFormat="false" ht="15" hidden="false" customHeight="false" outlineLevel="0" collapsed="false">
      <c r="A748" s="40" t="str">
        <f aca="false">IF(INDEX(BookTitle,743)="","",INDEX(BookGroup,743))</f>
        <v/>
      </c>
      <c r="B748" s="40" t="str">
        <f aca="false">IF(INDEX(BookTitle,743)="","",INDEX(BookRef,743))</f>
        <v/>
      </c>
      <c r="C748" s="40" t="str">
        <f aca="false">IF(INDEX(BookTitle,743)="","",INDEX(BookDivision,743))</f>
        <v/>
      </c>
      <c r="D748" s="40" t="str">
        <f aca="false">IF(INDEX(BookTitle,743)="","",INDEX(BookUnit,743))</f>
        <v/>
      </c>
      <c r="E748" s="40" t="str">
        <f aca="false">IF(INDEX(BookTitle,743)="","",INDEX(BookTitle,743))</f>
        <v/>
      </c>
      <c r="F748" s="40" t="str">
        <f aca="false">IF(INDEX(BookTitle,743)="","",INDEX(BookLevel,743))</f>
        <v/>
      </c>
      <c r="G748" s="40" t="str">
        <f aca="false">IF(INDEX(BookTitle,743)="","",INDEX(BookCategory,743))</f>
        <v/>
      </c>
      <c r="H748" s="40" t="str">
        <f aca="false">IF(INDEX(BookTitle,743)="","",INDEX(BookRank,743))</f>
        <v/>
      </c>
      <c r="I748" s="41" t="str">
        <f aca="false">IF(INDEX(BookTitle,743)="","",INDEX(BookTotal,743))</f>
        <v/>
      </c>
      <c r="J748" s="0" t="str">
        <f aca="false">IF($I748="","",IF(INDEX(BookQ1,743)&gt;0,"Q1",IF(INDEX(BookQ2,743)&gt;0,"Q2",IF(INDEX(BookQ3,743)&gt;0,"Q3",IF(INDEX(BookQ4,743)&gt;0,"Q4","")))))</f>
        <v/>
      </c>
      <c r="K748" s="42" t="str">
        <f aca="false">IF(INDEX(BookTitle,743)="","",INDEX(BookInYear,743))</f>
        <v/>
      </c>
      <c r="L748" s="19"/>
      <c r="M748" s="39"/>
      <c r="N748" s="19"/>
      <c r="O748" s="19"/>
      <c r="P748" s="43" t="str">
        <f aca="false">IF($E748="","",IF($L748="Decline",0,IF($L748="Approve fewer",IF($M748="","",$M748),IF($L748="","",$I748))))</f>
        <v/>
      </c>
      <c r="Q748" s="34" t="str">
        <f aca="false">IF($P748="","",IF($N748&lt;&gt;"",$N748,$J748))</f>
        <v/>
      </c>
      <c r="R748" s="35" t="str">
        <f aca="false">IF(OR($P748="",$Q748=""),"",INDEX(BookRate,743)*$P748*(5-MATCH($Q748,{"Q1";"Q2";"Q3";"Q4"},0))/4+INDEX(BookOneOff,743)*$P748)</f>
        <v/>
      </c>
      <c r="S748" s="35" t="str">
        <f aca="false">IF($P748="","",INDEX(BookRate,743)*$P748)</f>
        <v/>
      </c>
      <c r="T748" s="35" t="str">
        <f aca="false">IF($R748="","",$R748-$K748)</f>
        <v/>
      </c>
      <c r="U748" s="35" t="str">
        <f aca="false">IF(N($P748)&lt;=0,"",COUNTIF($P$6:$P748,"&gt;0"))</f>
        <v/>
      </c>
    </row>
    <row r="749" customFormat="false" ht="15" hidden="false" customHeight="false" outlineLevel="0" collapsed="false">
      <c r="A749" s="40" t="str">
        <f aca="false">IF(INDEX(BookTitle,744)="","",INDEX(BookGroup,744))</f>
        <v/>
      </c>
      <c r="B749" s="40" t="str">
        <f aca="false">IF(INDEX(BookTitle,744)="","",INDEX(BookRef,744))</f>
        <v/>
      </c>
      <c r="C749" s="40" t="str">
        <f aca="false">IF(INDEX(BookTitle,744)="","",INDEX(BookDivision,744))</f>
        <v/>
      </c>
      <c r="D749" s="40" t="str">
        <f aca="false">IF(INDEX(BookTitle,744)="","",INDEX(BookUnit,744))</f>
        <v/>
      </c>
      <c r="E749" s="40" t="str">
        <f aca="false">IF(INDEX(BookTitle,744)="","",INDEX(BookTitle,744))</f>
        <v/>
      </c>
      <c r="F749" s="40" t="str">
        <f aca="false">IF(INDEX(BookTitle,744)="","",INDEX(BookLevel,744))</f>
        <v/>
      </c>
      <c r="G749" s="40" t="str">
        <f aca="false">IF(INDEX(BookTitle,744)="","",INDEX(BookCategory,744))</f>
        <v/>
      </c>
      <c r="H749" s="40" t="str">
        <f aca="false">IF(INDEX(BookTitle,744)="","",INDEX(BookRank,744))</f>
        <v/>
      </c>
      <c r="I749" s="41" t="str">
        <f aca="false">IF(INDEX(BookTitle,744)="","",INDEX(BookTotal,744))</f>
        <v/>
      </c>
      <c r="J749" s="0" t="str">
        <f aca="false">IF($I749="","",IF(INDEX(BookQ1,744)&gt;0,"Q1",IF(INDEX(BookQ2,744)&gt;0,"Q2",IF(INDEX(BookQ3,744)&gt;0,"Q3",IF(INDEX(BookQ4,744)&gt;0,"Q4","")))))</f>
        <v/>
      </c>
      <c r="K749" s="42" t="str">
        <f aca="false">IF(INDEX(BookTitle,744)="","",INDEX(BookInYear,744))</f>
        <v/>
      </c>
      <c r="L749" s="19"/>
      <c r="M749" s="39"/>
      <c r="N749" s="19"/>
      <c r="O749" s="19"/>
      <c r="P749" s="43" t="str">
        <f aca="false">IF($E749="","",IF($L749="Decline",0,IF($L749="Approve fewer",IF($M749="","",$M749),IF($L749="","",$I749))))</f>
        <v/>
      </c>
      <c r="Q749" s="34" t="str">
        <f aca="false">IF($P749="","",IF($N749&lt;&gt;"",$N749,$J749))</f>
        <v/>
      </c>
      <c r="R749" s="35" t="str">
        <f aca="false">IF(OR($P749="",$Q749=""),"",INDEX(BookRate,744)*$P749*(5-MATCH($Q749,{"Q1";"Q2";"Q3";"Q4"},0))/4+INDEX(BookOneOff,744)*$P749)</f>
        <v/>
      </c>
      <c r="S749" s="35" t="str">
        <f aca="false">IF($P749="","",INDEX(BookRate,744)*$P749)</f>
        <v/>
      </c>
      <c r="T749" s="35" t="str">
        <f aca="false">IF($R749="","",$R749-$K749)</f>
        <v/>
      </c>
      <c r="U749" s="35" t="str">
        <f aca="false">IF(N($P749)&lt;=0,"",COUNTIF($P$6:$P749,"&gt;0"))</f>
        <v/>
      </c>
    </row>
    <row r="750" customFormat="false" ht="15" hidden="false" customHeight="false" outlineLevel="0" collapsed="false">
      <c r="A750" s="40" t="str">
        <f aca="false">IF(INDEX(BookTitle,745)="","",INDEX(BookGroup,745))</f>
        <v/>
      </c>
      <c r="B750" s="40" t="str">
        <f aca="false">IF(INDEX(BookTitle,745)="","",INDEX(BookRef,745))</f>
        <v/>
      </c>
      <c r="C750" s="40" t="str">
        <f aca="false">IF(INDEX(BookTitle,745)="","",INDEX(BookDivision,745))</f>
        <v/>
      </c>
      <c r="D750" s="40" t="str">
        <f aca="false">IF(INDEX(BookTitle,745)="","",INDEX(BookUnit,745))</f>
        <v/>
      </c>
      <c r="E750" s="40" t="str">
        <f aca="false">IF(INDEX(BookTitle,745)="","",INDEX(BookTitle,745))</f>
        <v/>
      </c>
      <c r="F750" s="40" t="str">
        <f aca="false">IF(INDEX(BookTitle,745)="","",INDEX(BookLevel,745))</f>
        <v/>
      </c>
      <c r="G750" s="40" t="str">
        <f aca="false">IF(INDEX(BookTitle,745)="","",INDEX(BookCategory,745))</f>
        <v/>
      </c>
      <c r="H750" s="40" t="str">
        <f aca="false">IF(INDEX(BookTitle,745)="","",INDEX(BookRank,745))</f>
        <v/>
      </c>
      <c r="I750" s="41" t="str">
        <f aca="false">IF(INDEX(BookTitle,745)="","",INDEX(BookTotal,745))</f>
        <v/>
      </c>
      <c r="J750" s="0" t="str">
        <f aca="false">IF($I750="","",IF(INDEX(BookQ1,745)&gt;0,"Q1",IF(INDEX(BookQ2,745)&gt;0,"Q2",IF(INDEX(BookQ3,745)&gt;0,"Q3",IF(INDEX(BookQ4,745)&gt;0,"Q4","")))))</f>
        <v/>
      </c>
      <c r="K750" s="42" t="str">
        <f aca="false">IF(INDEX(BookTitle,745)="","",INDEX(BookInYear,745))</f>
        <v/>
      </c>
      <c r="L750" s="19"/>
      <c r="M750" s="39"/>
      <c r="N750" s="19"/>
      <c r="O750" s="19"/>
      <c r="P750" s="43" t="str">
        <f aca="false">IF($E750="","",IF($L750="Decline",0,IF($L750="Approve fewer",IF($M750="","",$M750),IF($L750="","",$I750))))</f>
        <v/>
      </c>
      <c r="Q750" s="34" t="str">
        <f aca="false">IF($P750="","",IF($N750&lt;&gt;"",$N750,$J750))</f>
        <v/>
      </c>
      <c r="R750" s="35" t="str">
        <f aca="false">IF(OR($P750="",$Q750=""),"",INDEX(BookRate,745)*$P750*(5-MATCH($Q750,{"Q1";"Q2";"Q3";"Q4"},0))/4+INDEX(BookOneOff,745)*$P750)</f>
        <v/>
      </c>
      <c r="S750" s="35" t="str">
        <f aca="false">IF($P750="","",INDEX(BookRate,745)*$P750)</f>
        <v/>
      </c>
      <c r="T750" s="35" t="str">
        <f aca="false">IF($R750="","",$R750-$K750)</f>
        <v/>
      </c>
      <c r="U750" s="35" t="str">
        <f aca="false">IF(N($P750)&lt;=0,"",COUNTIF($P$6:$P750,"&gt;0"))</f>
        <v/>
      </c>
    </row>
    <row r="751" customFormat="false" ht="15" hidden="false" customHeight="false" outlineLevel="0" collapsed="false">
      <c r="A751" s="40" t="str">
        <f aca="false">IF(INDEX(BookTitle,746)="","",INDEX(BookGroup,746))</f>
        <v/>
      </c>
      <c r="B751" s="40" t="str">
        <f aca="false">IF(INDEX(BookTitle,746)="","",INDEX(BookRef,746))</f>
        <v/>
      </c>
      <c r="C751" s="40" t="str">
        <f aca="false">IF(INDEX(BookTitle,746)="","",INDEX(BookDivision,746))</f>
        <v/>
      </c>
      <c r="D751" s="40" t="str">
        <f aca="false">IF(INDEX(BookTitle,746)="","",INDEX(BookUnit,746))</f>
        <v/>
      </c>
      <c r="E751" s="40" t="str">
        <f aca="false">IF(INDEX(BookTitle,746)="","",INDEX(BookTitle,746))</f>
        <v/>
      </c>
      <c r="F751" s="40" t="str">
        <f aca="false">IF(INDEX(BookTitle,746)="","",INDEX(BookLevel,746))</f>
        <v/>
      </c>
      <c r="G751" s="40" t="str">
        <f aca="false">IF(INDEX(BookTitle,746)="","",INDEX(BookCategory,746))</f>
        <v/>
      </c>
      <c r="H751" s="40" t="str">
        <f aca="false">IF(INDEX(BookTitle,746)="","",INDEX(BookRank,746))</f>
        <v/>
      </c>
      <c r="I751" s="41" t="str">
        <f aca="false">IF(INDEX(BookTitle,746)="","",INDEX(BookTotal,746))</f>
        <v/>
      </c>
      <c r="J751" s="0" t="str">
        <f aca="false">IF($I751="","",IF(INDEX(BookQ1,746)&gt;0,"Q1",IF(INDEX(BookQ2,746)&gt;0,"Q2",IF(INDEX(BookQ3,746)&gt;0,"Q3",IF(INDEX(BookQ4,746)&gt;0,"Q4","")))))</f>
        <v/>
      </c>
      <c r="K751" s="42" t="str">
        <f aca="false">IF(INDEX(BookTitle,746)="","",INDEX(BookInYear,746))</f>
        <v/>
      </c>
      <c r="L751" s="19"/>
      <c r="M751" s="39"/>
      <c r="N751" s="19"/>
      <c r="O751" s="19"/>
      <c r="P751" s="43" t="str">
        <f aca="false">IF($E751="","",IF($L751="Decline",0,IF($L751="Approve fewer",IF($M751="","",$M751),IF($L751="","",$I751))))</f>
        <v/>
      </c>
      <c r="Q751" s="34" t="str">
        <f aca="false">IF($P751="","",IF($N751&lt;&gt;"",$N751,$J751))</f>
        <v/>
      </c>
      <c r="R751" s="35" t="str">
        <f aca="false">IF(OR($P751="",$Q751=""),"",INDEX(BookRate,746)*$P751*(5-MATCH($Q751,{"Q1";"Q2";"Q3";"Q4"},0))/4+INDEX(BookOneOff,746)*$P751)</f>
        <v/>
      </c>
      <c r="S751" s="35" t="str">
        <f aca="false">IF($P751="","",INDEX(BookRate,746)*$P751)</f>
        <v/>
      </c>
      <c r="T751" s="35" t="str">
        <f aca="false">IF($R751="","",$R751-$K751)</f>
        <v/>
      </c>
      <c r="U751" s="35" t="str">
        <f aca="false">IF(N($P751)&lt;=0,"",COUNTIF($P$6:$P751,"&gt;0"))</f>
        <v/>
      </c>
    </row>
    <row r="752" customFormat="false" ht="15" hidden="false" customHeight="false" outlineLevel="0" collapsed="false">
      <c r="A752" s="40" t="str">
        <f aca="false">IF(INDEX(BookTitle,747)="","",INDEX(BookGroup,747))</f>
        <v/>
      </c>
      <c r="B752" s="40" t="str">
        <f aca="false">IF(INDEX(BookTitle,747)="","",INDEX(BookRef,747))</f>
        <v/>
      </c>
      <c r="C752" s="40" t="str">
        <f aca="false">IF(INDEX(BookTitle,747)="","",INDEX(BookDivision,747))</f>
        <v/>
      </c>
      <c r="D752" s="40" t="str">
        <f aca="false">IF(INDEX(BookTitle,747)="","",INDEX(BookUnit,747))</f>
        <v/>
      </c>
      <c r="E752" s="40" t="str">
        <f aca="false">IF(INDEX(BookTitle,747)="","",INDEX(BookTitle,747))</f>
        <v/>
      </c>
      <c r="F752" s="40" t="str">
        <f aca="false">IF(INDEX(BookTitle,747)="","",INDEX(BookLevel,747))</f>
        <v/>
      </c>
      <c r="G752" s="40" t="str">
        <f aca="false">IF(INDEX(BookTitle,747)="","",INDEX(BookCategory,747))</f>
        <v/>
      </c>
      <c r="H752" s="40" t="str">
        <f aca="false">IF(INDEX(BookTitle,747)="","",INDEX(BookRank,747))</f>
        <v/>
      </c>
      <c r="I752" s="41" t="str">
        <f aca="false">IF(INDEX(BookTitle,747)="","",INDEX(BookTotal,747))</f>
        <v/>
      </c>
      <c r="J752" s="0" t="str">
        <f aca="false">IF($I752="","",IF(INDEX(BookQ1,747)&gt;0,"Q1",IF(INDEX(BookQ2,747)&gt;0,"Q2",IF(INDEX(BookQ3,747)&gt;0,"Q3",IF(INDEX(BookQ4,747)&gt;0,"Q4","")))))</f>
        <v/>
      </c>
      <c r="K752" s="42" t="str">
        <f aca="false">IF(INDEX(BookTitle,747)="","",INDEX(BookInYear,747))</f>
        <v/>
      </c>
      <c r="L752" s="19"/>
      <c r="M752" s="39"/>
      <c r="N752" s="19"/>
      <c r="O752" s="19"/>
      <c r="P752" s="43" t="str">
        <f aca="false">IF($E752="","",IF($L752="Decline",0,IF($L752="Approve fewer",IF($M752="","",$M752),IF($L752="","",$I752))))</f>
        <v/>
      </c>
      <c r="Q752" s="34" t="str">
        <f aca="false">IF($P752="","",IF($N752&lt;&gt;"",$N752,$J752))</f>
        <v/>
      </c>
      <c r="R752" s="35" t="str">
        <f aca="false">IF(OR($P752="",$Q752=""),"",INDEX(BookRate,747)*$P752*(5-MATCH($Q752,{"Q1";"Q2";"Q3";"Q4"},0))/4+INDEX(BookOneOff,747)*$P752)</f>
        <v/>
      </c>
      <c r="S752" s="35" t="str">
        <f aca="false">IF($P752="","",INDEX(BookRate,747)*$P752)</f>
        <v/>
      </c>
      <c r="T752" s="35" t="str">
        <f aca="false">IF($R752="","",$R752-$K752)</f>
        <v/>
      </c>
      <c r="U752" s="35" t="str">
        <f aca="false">IF(N($P752)&lt;=0,"",COUNTIF($P$6:$P752,"&gt;0"))</f>
        <v/>
      </c>
    </row>
    <row r="753" customFormat="false" ht="15" hidden="false" customHeight="false" outlineLevel="0" collapsed="false">
      <c r="A753" s="40" t="str">
        <f aca="false">IF(INDEX(BookTitle,748)="","",INDEX(BookGroup,748))</f>
        <v/>
      </c>
      <c r="B753" s="40" t="str">
        <f aca="false">IF(INDEX(BookTitle,748)="","",INDEX(BookRef,748))</f>
        <v/>
      </c>
      <c r="C753" s="40" t="str">
        <f aca="false">IF(INDEX(BookTitle,748)="","",INDEX(BookDivision,748))</f>
        <v/>
      </c>
      <c r="D753" s="40" t="str">
        <f aca="false">IF(INDEX(BookTitle,748)="","",INDEX(BookUnit,748))</f>
        <v/>
      </c>
      <c r="E753" s="40" t="str">
        <f aca="false">IF(INDEX(BookTitle,748)="","",INDEX(BookTitle,748))</f>
        <v/>
      </c>
      <c r="F753" s="40" t="str">
        <f aca="false">IF(INDEX(BookTitle,748)="","",INDEX(BookLevel,748))</f>
        <v/>
      </c>
      <c r="G753" s="40" t="str">
        <f aca="false">IF(INDEX(BookTitle,748)="","",INDEX(BookCategory,748))</f>
        <v/>
      </c>
      <c r="H753" s="40" t="str">
        <f aca="false">IF(INDEX(BookTitle,748)="","",INDEX(BookRank,748))</f>
        <v/>
      </c>
      <c r="I753" s="41" t="str">
        <f aca="false">IF(INDEX(BookTitle,748)="","",INDEX(BookTotal,748))</f>
        <v/>
      </c>
      <c r="J753" s="0" t="str">
        <f aca="false">IF($I753="","",IF(INDEX(BookQ1,748)&gt;0,"Q1",IF(INDEX(BookQ2,748)&gt;0,"Q2",IF(INDEX(BookQ3,748)&gt;0,"Q3",IF(INDEX(BookQ4,748)&gt;0,"Q4","")))))</f>
        <v/>
      </c>
      <c r="K753" s="42" t="str">
        <f aca="false">IF(INDEX(BookTitle,748)="","",INDEX(BookInYear,748))</f>
        <v/>
      </c>
      <c r="L753" s="19"/>
      <c r="M753" s="39"/>
      <c r="N753" s="19"/>
      <c r="O753" s="19"/>
      <c r="P753" s="43" t="str">
        <f aca="false">IF($E753="","",IF($L753="Decline",0,IF($L753="Approve fewer",IF($M753="","",$M753),IF($L753="","",$I753))))</f>
        <v/>
      </c>
      <c r="Q753" s="34" t="str">
        <f aca="false">IF($P753="","",IF($N753&lt;&gt;"",$N753,$J753))</f>
        <v/>
      </c>
      <c r="R753" s="35" t="str">
        <f aca="false">IF(OR($P753="",$Q753=""),"",INDEX(BookRate,748)*$P753*(5-MATCH($Q753,{"Q1";"Q2";"Q3";"Q4"},0))/4+INDEX(BookOneOff,748)*$P753)</f>
        <v/>
      </c>
      <c r="S753" s="35" t="str">
        <f aca="false">IF($P753="","",INDEX(BookRate,748)*$P753)</f>
        <v/>
      </c>
      <c r="T753" s="35" t="str">
        <f aca="false">IF($R753="","",$R753-$K753)</f>
        <v/>
      </c>
      <c r="U753" s="35" t="str">
        <f aca="false">IF(N($P753)&lt;=0,"",COUNTIF($P$6:$P753,"&gt;0"))</f>
        <v/>
      </c>
    </row>
    <row r="754" customFormat="false" ht="15" hidden="false" customHeight="false" outlineLevel="0" collapsed="false">
      <c r="A754" s="40" t="str">
        <f aca="false">IF(INDEX(BookTitle,749)="","",INDEX(BookGroup,749))</f>
        <v/>
      </c>
      <c r="B754" s="40" t="str">
        <f aca="false">IF(INDEX(BookTitle,749)="","",INDEX(BookRef,749))</f>
        <v/>
      </c>
      <c r="C754" s="40" t="str">
        <f aca="false">IF(INDEX(BookTitle,749)="","",INDEX(BookDivision,749))</f>
        <v/>
      </c>
      <c r="D754" s="40" t="str">
        <f aca="false">IF(INDEX(BookTitle,749)="","",INDEX(BookUnit,749))</f>
        <v/>
      </c>
      <c r="E754" s="40" t="str">
        <f aca="false">IF(INDEX(BookTitle,749)="","",INDEX(BookTitle,749))</f>
        <v/>
      </c>
      <c r="F754" s="40" t="str">
        <f aca="false">IF(INDEX(BookTitle,749)="","",INDEX(BookLevel,749))</f>
        <v/>
      </c>
      <c r="G754" s="40" t="str">
        <f aca="false">IF(INDEX(BookTitle,749)="","",INDEX(BookCategory,749))</f>
        <v/>
      </c>
      <c r="H754" s="40" t="str">
        <f aca="false">IF(INDEX(BookTitle,749)="","",INDEX(BookRank,749))</f>
        <v/>
      </c>
      <c r="I754" s="41" t="str">
        <f aca="false">IF(INDEX(BookTitle,749)="","",INDEX(BookTotal,749))</f>
        <v/>
      </c>
      <c r="J754" s="0" t="str">
        <f aca="false">IF($I754="","",IF(INDEX(BookQ1,749)&gt;0,"Q1",IF(INDEX(BookQ2,749)&gt;0,"Q2",IF(INDEX(BookQ3,749)&gt;0,"Q3",IF(INDEX(BookQ4,749)&gt;0,"Q4","")))))</f>
        <v/>
      </c>
      <c r="K754" s="42" t="str">
        <f aca="false">IF(INDEX(BookTitle,749)="","",INDEX(BookInYear,749))</f>
        <v/>
      </c>
      <c r="L754" s="19"/>
      <c r="M754" s="39"/>
      <c r="N754" s="19"/>
      <c r="O754" s="19"/>
      <c r="P754" s="43" t="str">
        <f aca="false">IF($E754="","",IF($L754="Decline",0,IF($L754="Approve fewer",IF($M754="","",$M754),IF($L754="","",$I754))))</f>
        <v/>
      </c>
      <c r="Q754" s="34" t="str">
        <f aca="false">IF($P754="","",IF($N754&lt;&gt;"",$N754,$J754))</f>
        <v/>
      </c>
      <c r="R754" s="35" t="str">
        <f aca="false">IF(OR($P754="",$Q754=""),"",INDEX(BookRate,749)*$P754*(5-MATCH($Q754,{"Q1";"Q2";"Q3";"Q4"},0))/4+INDEX(BookOneOff,749)*$P754)</f>
        <v/>
      </c>
      <c r="S754" s="35" t="str">
        <f aca="false">IF($P754="","",INDEX(BookRate,749)*$P754)</f>
        <v/>
      </c>
      <c r="T754" s="35" t="str">
        <f aca="false">IF($R754="","",$R754-$K754)</f>
        <v/>
      </c>
      <c r="U754" s="35" t="str">
        <f aca="false">IF(N($P754)&lt;=0,"",COUNTIF($P$6:$P754,"&gt;0"))</f>
        <v/>
      </c>
    </row>
    <row r="755" customFormat="false" ht="15" hidden="false" customHeight="false" outlineLevel="0" collapsed="false">
      <c r="A755" s="40" t="str">
        <f aca="false">IF(INDEX(BookTitle,750)="","",INDEX(BookGroup,750))</f>
        <v/>
      </c>
      <c r="B755" s="40" t="str">
        <f aca="false">IF(INDEX(BookTitle,750)="","",INDEX(BookRef,750))</f>
        <v/>
      </c>
      <c r="C755" s="40" t="str">
        <f aca="false">IF(INDEX(BookTitle,750)="","",INDEX(BookDivision,750))</f>
        <v/>
      </c>
      <c r="D755" s="40" t="str">
        <f aca="false">IF(INDEX(BookTitle,750)="","",INDEX(BookUnit,750))</f>
        <v/>
      </c>
      <c r="E755" s="40" t="str">
        <f aca="false">IF(INDEX(BookTitle,750)="","",INDEX(BookTitle,750))</f>
        <v/>
      </c>
      <c r="F755" s="40" t="str">
        <f aca="false">IF(INDEX(BookTitle,750)="","",INDEX(BookLevel,750))</f>
        <v/>
      </c>
      <c r="G755" s="40" t="str">
        <f aca="false">IF(INDEX(BookTitle,750)="","",INDEX(BookCategory,750))</f>
        <v/>
      </c>
      <c r="H755" s="40" t="str">
        <f aca="false">IF(INDEX(BookTitle,750)="","",INDEX(BookRank,750))</f>
        <v/>
      </c>
      <c r="I755" s="41" t="str">
        <f aca="false">IF(INDEX(BookTitle,750)="","",INDEX(BookTotal,750))</f>
        <v/>
      </c>
      <c r="J755" s="0" t="str">
        <f aca="false">IF($I755="","",IF(INDEX(BookQ1,750)&gt;0,"Q1",IF(INDEX(BookQ2,750)&gt;0,"Q2",IF(INDEX(BookQ3,750)&gt;0,"Q3",IF(INDEX(BookQ4,750)&gt;0,"Q4","")))))</f>
        <v/>
      </c>
      <c r="K755" s="42" t="str">
        <f aca="false">IF(INDEX(BookTitle,750)="","",INDEX(BookInYear,750))</f>
        <v/>
      </c>
      <c r="L755" s="19"/>
      <c r="M755" s="39"/>
      <c r="N755" s="19"/>
      <c r="O755" s="19"/>
      <c r="P755" s="43" t="str">
        <f aca="false">IF($E755="","",IF($L755="Decline",0,IF($L755="Approve fewer",IF($M755="","",$M755),IF($L755="","",$I755))))</f>
        <v/>
      </c>
      <c r="Q755" s="34" t="str">
        <f aca="false">IF($P755="","",IF($N755&lt;&gt;"",$N755,$J755))</f>
        <v/>
      </c>
      <c r="R755" s="35" t="str">
        <f aca="false">IF(OR($P755="",$Q755=""),"",INDEX(BookRate,750)*$P755*(5-MATCH($Q755,{"Q1";"Q2";"Q3";"Q4"},0))/4+INDEX(BookOneOff,750)*$P755)</f>
        <v/>
      </c>
      <c r="S755" s="35" t="str">
        <f aca="false">IF($P755="","",INDEX(BookRate,750)*$P755)</f>
        <v/>
      </c>
      <c r="T755" s="35" t="str">
        <f aca="false">IF($R755="","",$R755-$K755)</f>
        <v/>
      </c>
      <c r="U755" s="35" t="str">
        <f aca="false">IF(N($P755)&lt;=0,"",COUNTIF($P$6:$P755,"&gt;0"))</f>
        <v/>
      </c>
    </row>
    <row r="756" customFormat="false" ht="15" hidden="false" customHeight="false" outlineLevel="0" collapsed="false">
      <c r="A756" s="40" t="str">
        <f aca="false">IF(INDEX(BookTitle,751)="","",INDEX(BookGroup,751))</f>
        <v/>
      </c>
      <c r="B756" s="40" t="str">
        <f aca="false">IF(INDEX(BookTitle,751)="","",INDEX(BookRef,751))</f>
        <v/>
      </c>
      <c r="C756" s="40" t="str">
        <f aca="false">IF(INDEX(BookTitle,751)="","",INDEX(BookDivision,751))</f>
        <v/>
      </c>
      <c r="D756" s="40" t="str">
        <f aca="false">IF(INDEX(BookTitle,751)="","",INDEX(BookUnit,751))</f>
        <v/>
      </c>
      <c r="E756" s="40" t="str">
        <f aca="false">IF(INDEX(BookTitle,751)="","",INDEX(BookTitle,751))</f>
        <v/>
      </c>
      <c r="F756" s="40" t="str">
        <f aca="false">IF(INDEX(BookTitle,751)="","",INDEX(BookLevel,751))</f>
        <v/>
      </c>
      <c r="G756" s="40" t="str">
        <f aca="false">IF(INDEX(BookTitle,751)="","",INDEX(BookCategory,751))</f>
        <v/>
      </c>
      <c r="H756" s="40" t="str">
        <f aca="false">IF(INDEX(BookTitle,751)="","",INDEX(BookRank,751))</f>
        <v/>
      </c>
      <c r="I756" s="41" t="str">
        <f aca="false">IF(INDEX(BookTitle,751)="","",INDEX(BookTotal,751))</f>
        <v/>
      </c>
      <c r="J756" s="0" t="str">
        <f aca="false">IF($I756="","",IF(INDEX(BookQ1,751)&gt;0,"Q1",IF(INDEX(BookQ2,751)&gt;0,"Q2",IF(INDEX(BookQ3,751)&gt;0,"Q3",IF(INDEX(BookQ4,751)&gt;0,"Q4","")))))</f>
        <v/>
      </c>
      <c r="K756" s="42" t="str">
        <f aca="false">IF(INDEX(BookTitle,751)="","",INDEX(BookInYear,751))</f>
        <v/>
      </c>
      <c r="L756" s="19"/>
      <c r="M756" s="39"/>
      <c r="N756" s="19"/>
      <c r="O756" s="19"/>
      <c r="P756" s="43" t="str">
        <f aca="false">IF($E756="","",IF($L756="Decline",0,IF($L756="Approve fewer",IF($M756="","",$M756),IF($L756="","",$I756))))</f>
        <v/>
      </c>
      <c r="Q756" s="34" t="str">
        <f aca="false">IF($P756="","",IF($N756&lt;&gt;"",$N756,$J756))</f>
        <v/>
      </c>
      <c r="R756" s="35" t="str">
        <f aca="false">IF(OR($P756="",$Q756=""),"",INDEX(BookRate,751)*$P756*(5-MATCH($Q756,{"Q1";"Q2";"Q3";"Q4"},0))/4+INDEX(BookOneOff,751)*$P756)</f>
        <v/>
      </c>
      <c r="S756" s="35" t="str">
        <f aca="false">IF($P756="","",INDEX(BookRate,751)*$P756)</f>
        <v/>
      </c>
      <c r="T756" s="35" t="str">
        <f aca="false">IF($R756="","",$R756-$K756)</f>
        <v/>
      </c>
      <c r="U756" s="35" t="str">
        <f aca="false">IF(N($P756)&lt;=0,"",COUNTIF($P$6:$P756,"&gt;0"))</f>
        <v/>
      </c>
    </row>
    <row r="757" customFormat="false" ht="15" hidden="false" customHeight="false" outlineLevel="0" collapsed="false">
      <c r="A757" s="40" t="str">
        <f aca="false">IF(INDEX(BookTitle,752)="","",INDEX(BookGroup,752))</f>
        <v/>
      </c>
      <c r="B757" s="40" t="str">
        <f aca="false">IF(INDEX(BookTitle,752)="","",INDEX(BookRef,752))</f>
        <v/>
      </c>
      <c r="C757" s="40" t="str">
        <f aca="false">IF(INDEX(BookTitle,752)="","",INDEX(BookDivision,752))</f>
        <v/>
      </c>
      <c r="D757" s="40" t="str">
        <f aca="false">IF(INDEX(BookTitle,752)="","",INDEX(BookUnit,752))</f>
        <v/>
      </c>
      <c r="E757" s="40" t="str">
        <f aca="false">IF(INDEX(BookTitle,752)="","",INDEX(BookTitle,752))</f>
        <v/>
      </c>
      <c r="F757" s="40" t="str">
        <f aca="false">IF(INDEX(BookTitle,752)="","",INDEX(BookLevel,752))</f>
        <v/>
      </c>
      <c r="G757" s="40" t="str">
        <f aca="false">IF(INDEX(BookTitle,752)="","",INDEX(BookCategory,752))</f>
        <v/>
      </c>
      <c r="H757" s="40" t="str">
        <f aca="false">IF(INDEX(BookTitle,752)="","",INDEX(BookRank,752))</f>
        <v/>
      </c>
      <c r="I757" s="41" t="str">
        <f aca="false">IF(INDEX(BookTitle,752)="","",INDEX(BookTotal,752))</f>
        <v/>
      </c>
      <c r="J757" s="0" t="str">
        <f aca="false">IF($I757="","",IF(INDEX(BookQ1,752)&gt;0,"Q1",IF(INDEX(BookQ2,752)&gt;0,"Q2",IF(INDEX(BookQ3,752)&gt;0,"Q3",IF(INDEX(BookQ4,752)&gt;0,"Q4","")))))</f>
        <v/>
      </c>
      <c r="K757" s="42" t="str">
        <f aca="false">IF(INDEX(BookTitle,752)="","",INDEX(BookInYear,752))</f>
        <v/>
      </c>
      <c r="L757" s="19"/>
      <c r="M757" s="39"/>
      <c r="N757" s="19"/>
      <c r="O757" s="19"/>
      <c r="P757" s="43" t="str">
        <f aca="false">IF($E757="","",IF($L757="Decline",0,IF($L757="Approve fewer",IF($M757="","",$M757),IF($L757="","",$I757))))</f>
        <v/>
      </c>
      <c r="Q757" s="34" t="str">
        <f aca="false">IF($P757="","",IF($N757&lt;&gt;"",$N757,$J757))</f>
        <v/>
      </c>
      <c r="R757" s="35" t="str">
        <f aca="false">IF(OR($P757="",$Q757=""),"",INDEX(BookRate,752)*$P757*(5-MATCH($Q757,{"Q1";"Q2";"Q3";"Q4"},0))/4+INDEX(BookOneOff,752)*$P757)</f>
        <v/>
      </c>
      <c r="S757" s="35" t="str">
        <f aca="false">IF($P757="","",INDEX(BookRate,752)*$P757)</f>
        <v/>
      </c>
      <c r="T757" s="35" t="str">
        <f aca="false">IF($R757="","",$R757-$K757)</f>
        <v/>
      </c>
      <c r="U757" s="35" t="str">
        <f aca="false">IF(N($P757)&lt;=0,"",COUNTIF($P$6:$P757,"&gt;0"))</f>
        <v/>
      </c>
    </row>
    <row r="758" customFormat="false" ht="15" hidden="false" customHeight="false" outlineLevel="0" collapsed="false">
      <c r="A758" s="40" t="str">
        <f aca="false">IF(INDEX(BookTitle,753)="","",INDEX(BookGroup,753))</f>
        <v/>
      </c>
      <c r="B758" s="40" t="str">
        <f aca="false">IF(INDEX(BookTitle,753)="","",INDEX(BookRef,753))</f>
        <v/>
      </c>
      <c r="C758" s="40" t="str">
        <f aca="false">IF(INDEX(BookTitle,753)="","",INDEX(BookDivision,753))</f>
        <v/>
      </c>
      <c r="D758" s="40" t="str">
        <f aca="false">IF(INDEX(BookTitle,753)="","",INDEX(BookUnit,753))</f>
        <v/>
      </c>
      <c r="E758" s="40" t="str">
        <f aca="false">IF(INDEX(BookTitle,753)="","",INDEX(BookTitle,753))</f>
        <v/>
      </c>
      <c r="F758" s="40" t="str">
        <f aca="false">IF(INDEX(BookTitle,753)="","",INDEX(BookLevel,753))</f>
        <v/>
      </c>
      <c r="G758" s="40" t="str">
        <f aca="false">IF(INDEX(BookTitle,753)="","",INDEX(BookCategory,753))</f>
        <v/>
      </c>
      <c r="H758" s="40" t="str">
        <f aca="false">IF(INDEX(BookTitle,753)="","",INDEX(BookRank,753))</f>
        <v/>
      </c>
      <c r="I758" s="41" t="str">
        <f aca="false">IF(INDEX(BookTitle,753)="","",INDEX(BookTotal,753))</f>
        <v/>
      </c>
      <c r="J758" s="0" t="str">
        <f aca="false">IF($I758="","",IF(INDEX(BookQ1,753)&gt;0,"Q1",IF(INDEX(BookQ2,753)&gt;0,"Q2",IF(INDEX(BookQ3,753)&gt;0,"Q3",IF(INDEX(BookQ4,753)&gt;0,"Q4","")))))</f>
        <v/>
      </c>
      <c r="K758" s="42" t="str">
        <f aca="false">IF(INDEX(BookTitle,753)="","",INDEX(BookInYear,753))</f>
        <v/>
      </c>
      <c r="L758" s="19"/>
      <c r="M758" s="39"/>
      <c r="N758" s="19"/>
      <c r="O758" s="19"/>
      <c r="P758" s="43" t="str">
        <f aca="false">IF($E758="","",IF($L758="Decline",0,IF($L758="Approve fewer",IF($M758="","",$M758),IF($L758="","",$I758))))</f>
        <v/>
      </c>
      <c r="Q758" s="34" t="str">
        <f aca="false">IF($P758="","",IF($N758&lt;&gt;"",$N758,$J758))</f>
        <v/>
      </c>
      <c r="R758" s="35" t="str">
        <f aca="false">IF(OR($P758="",$Q758=""),"",INDEX(BookRate,753)*$P758*(5-MATCH($Q758,{"Q1";"Q2";"Q3";"Q4"},0))/4+INDEX(BookOneOff,753)*$P758)</f>
        <v/>
      </c>
      <c r="S758" s="35" t="str">
        <f aca="false">IF($P758="","",INDEX(BookRate,753)*$P758)</f>
        <v/>
      </c>
      <c r="T758" s="35" t="str">
        <f aca="false">IF($R758="","",$R758-$K758)</f>
        <v/>
      </c>
      <c r="U758" s="35" t="str">
        <f aca="false">IF(N($P758)&lt;=0,"",COUNTIF($P$6:$P758,"&gt;0"))</f>
        <v/>
      </c>
    </row>
    <row r="759" customFormat="false" ht="15" hidden="false" customHeight="false" outlineLevel="0" collapsed="false">
      <c r="A759" s="40" t="str">
        <f aca="false">IF(INDEX(BookTitle,754)="","",INDEX(BookGroup,754))</f>
        <v/>
      </c>
      <c r="B759" s="40" t="str">
        <f aca="false">IF(INDEX(BookTitle,754)="","",INDEX(BookRef,754))</f>
        <v/>
      </c>
      <c r="C759" s="40" t="str">
        <f aca="false">IF(INDEX(BookTitle,754)="","",INDEX(BookDivision,754))</f>
        <v/>
      </c>
      <c r="D759" s="40" t="str">
        <f aca="false">IF(INDEX(BookTitle,754)="","",INDEX(BookUnit,754))</f>
        <v/>
      </c>
      <c r="E759" s="40" t="str">
        <f aca="false">IF(INDEX(BookTitle,754)="","",INDEX(BookTitle,754))</f>
        <v/>
      </c>
      <c r="F759" s="40" t="str">
        <f aca="false">IF(INDEX(BookTitle,754)="","",INDEX(BookLevel,754))</f>
        <v/>
      </c>
      <c r="G759" s="40" t="str">
        <f aca="false">IF(INDEX(BookTitle,754)="","",INDEX(BookCategory,754))</f>
        <v/>
      </c>
      <c r="H759" s="40" t="str">
        <f aca="false">IF(INDEX(BookTitle,754)="","",INDEX(BookRank,754))</f>
        <v/>
      </c>
      <c r="I759" s="41" t="str">
        <f aca="false">IF(INDEX(BookTitle,754)="","",INDEX(BookTotal,754))</f>
        <v/>
      </c>
      <c r="J759" s="0" t="str">
        <f aca="false">IF($I759="","",IF(INDEX(BookQ1,754)&gt;0,"Q1",IF(INDEX(BookQ2,754)&gt;0,"Q2",IF(INDEX(BookQ3,754)&gt;0,"Q3",IF(INDEX(BookQ4,754)&gt;0,"Q4","")))))</f>
        <v/>
      </c>
      <c r="K759" s="42" t="str">
        <f aca="false">IF(INDEX(BookTitle,754)="","",INDEX(BookInYear,754))</f>
        <v/>
      </c>
      <c r="L759" s="19"/>
      <c r="M759" s="39"/>
      <c r="N759" s="19"/>
      <c r="O759" s="19"/>
      <c r="P759" s="43" t="str">
        <f aca="false">IF($E759="","",IF($L759="Decline",0,IF($L759="Approve fewer",IF($M759="","",$M759),IF($L759="","",$I759))))</f>
        <v/>
      </c>
      <c r="Q759" s="34" t="str">
        <f aca="false">IF($P759="","",IF($N759&lt;&gt;"",$N759,$J759))</f>
        <v/>
      </c>
      <c r="R759" s="35" t="str">
        <f aca="false">IF(OR($P759="",$Q759=""),"",INDEX(BookRate,754)*$P759*(5-MATCH($Q759,{"Q1";"Q2";"Q3";"Q4"},0))/4+INDEX(BookOneOff,754)*$P759)</f>
        <v/>
      </c>
      <c r="S759" s="35" t="str">
        <f aca="false">IF($P759="","",INDEX(BookRate,754)*$P759)</f>
        <v/>
      </c>
      <c r="T759" s="35" t="str">
        <f aca="false">IF($R759="","",$R759-$K759)</f>
        <v/>
      </c>
      <c r="U759" s="35" t="str">
        <f aca="false">IF(N($P759)&lt;=0,"",COUNTIF($P$6:$P759,"&gt;0"))</f>
        <v/>
      </c>
    </row>
    <row r="760" customFormat="false" ht="15" hidden="false" customHeight="false" outlineLevel="0" collapsed="false">
      <c r="A760" s="40" t="str">
        <f aca="false">IF(INDEX(BookTitle,755)="","",INDEX(BookGroup,755))</f>
        <v/>
      </c>
      <c r="B760" s="40" t="str">
        <f aca="false">IF(INDEX(BookTitle,755)="","",INDEX(BookRef,755))</f>
        <v/>
      </c>
      <c r="C760" s="40" t="str">
        <f aca="false">IF(INDEX(BookTitle,755)="","",INDEX(BookDivision,755))</f>
        <v/>
      </c>
      <c r="D760" s="40" t="str">
        <f aca="false">IF(INDEX(BookTitle,755)="","",INDEX(BookUnit,755))</f>
        <v/>
      </c>
      <c r="E760" s="40" t="str">
        <f aca="false">IF(INDEX(BookTitle,755)="","",INDEX(BookTitle,755))</f>
        <v/>
      </c>
      <c r="F760" s="40" t="str">
        <f aca="false">IF(INDEX(BookTitle,755)="","",INDEX(BookLevel,755))</f>
        <v/>
      </c>
      <c r="G760" s="40" t="str">
        <f aca="false">IF(INDEX(BookTitle,755)="","",INDEX(BookCategory,755))</f>
        <v/>
      </c>
      <c r="H760" s="40" t="str">
        <f aca="false">IF(INDEX(BookTitle,755)="","",INDEX(BookRank,755))</f>
        <v/>
      </c>
      <c r="I760" s="41" t="str">
        <f aca="false">IF(INDEX(BookTitle,755)="","",INDEX(BookTotal,755))</f>
        <v/>
      </c>
      <c r="J760" s="0" t="str">
        <f aca="false">IF($I760="","",IF(INDEX(BookQ1,755)&gt;0,"Q1",IF(INDEX(BookQ2,755)&gt;0,"Q2",IF(INDEX(BookQ3,755)&gt;0,"Q3",IF(INDEX(BookQ4,755)&gt;0,"Q4","")))))</f>
        <v/>
      </c>
      <c r="K760" s="42" t="str">
        <f aca="false">IF(INDEX(BookTitle,755)="","",INDEX(BookInYear,755))</f>
        <v/>
      </c>
      <c r="L760" s="19"/>
      <c r="M760" s="39"/>
      <c r="N760" s="19"/>
      <c r="O760" s="19"/>
      <c r="P760" s="43" t="str">
        <f aca="false">IF($E760="","",IF($L760="Decline",0,IF($L760="Approve fewer",IF($M760="","",$M760),IF($L760="","",$I760))))</f>
        <v/>
      </c>
      <c r="Q760" s="34" t="str">
        <f aca="false">IF($P760="","",IF($N760&lt;&gt;"",$N760,$J760))</f>
        <v/>
      </c>
      <c r="R760" s="35" t="str">
        <f aca="false">IF(OR($P760="",$Q760=""),"",INDEX(BookRate,755)*$P760*(5-MATCH($Q760,{"Q1";"Q2";"Q3";"Q4"},0))/4+INDEX(BookOneOff,755)*$P760)</f>
        <v/>
      </c>
      <c r="S760" s="35" t="str">
        <f aca="false">IF($P760="","",INDEX(BookRate,755)*$P760)</f>
        <v/>
      </c>
      <c r="T760" s="35" t="str">
        <f aca="false">IF($R760="","",$R760-$K760)</f>
        <v/>
      </c>
      <c r="U760" s="35" t="str">
        <f aca="false">IF(N($P760)&lt;=0,"",COUNTIF($P$6:$P760,"&gt;0"))</f>
        <v/>
      </c>
    </row>
    <row r="761" customFormat="false" ht="15" hidden="false" customHeight="false" outlineLevel="0" collapsed="false">
      <c r="A761" s="40" t="str">
        <f aca="false">IF(INDEX(BookTitle,756)="","",INDEX(BookGroup,756))</f>
        <v/>
      </c>
      <c r="B761" s="40" t="str">
        <f aca="false">IF(INDEX(BookTitle,756)="","",INDEX(BookRef,756))</f>
        <v/>
      </c>
      <c r="C761" s="40" t="str">
        <f aca="false">IF(INDEX(BookTitle,756)="","",INDEX(BookDivision,756))</f>
        <v/>
      </c>
      <c r="D761" s="40" t="str">
        <f aca="false">IF(INDEX(BookTitle,756)="","",INDEX(BookUnit,756))</f>
        <v/>
      </c>
      <c r="E761" s="40" t="str">
        <f aca="false">IF(INDEX(BookTitle,756)="","",INDEX(BookTitle,756))</f>
        <v/>
      </c>
      <c r="F761" s="40" t="str">
        <f aca="false">IF(INDEX(BookTitle,756)="","",INDEX(BookLevel,756))</f>
        <v/>
      </c>
      <c r="G761" s="40" t="str">
        <f aca="false">IF(INDEX(BookTitle,756)="","",INDEX(BookCategory,756))</f>
        <v/>
      </c>
      <c r="H761" s="40" t="str">
        <f aca="false">IF(INDEX(BookTitle,756)="","",INDEX(BookRank,756))</f>
        <v/>
      </c>
      <c r="I761" s="41" t="str">
        <f aca="false">IF(INDEX(BookTitle,756)="","",INDEX(BookTotal,756))</f>
        <v/>
      </c>
      <c r="J761" s="0" t="str">
        <f aca="false">IF($I761="","",IF(INDEX(BookQ1,756)&gt;0,"Q1",IF(INDEX(BookQ2,756)&gt;0,"Q2",IF(INDEX(BookQ3,756)&gt;0,"Q3",IF(INDEX(BookQ4,756)&gt;0,"Q4","")))))</f>
        <v/>
      </c>
      <c r="K761" s="42" t="str">
        <f aca="false">IF(INDEX(BookTitle,756)="","",INDEX(BookInYear,756))</f>
        <v/>
      </c>
      <c r="L761" s="19"/>
      <c r="M761" s="39"/>
      <c r="N761" s="19"/>
      <c r="O761" s="19"/>
      <c r="P761" s="43" t="str">
        <f aca="false">IF($E761="","",IF($L761="Decline",0,IF($L761="Approve fewer",IF($M761="","",$M761),IF($L761="","",$I761))))</f>
        <v/>
      </c>
      <c r="Q761" s="34" t="str">
        <f aca="false">IF($P761="","",IF($N761&lt;&gt;"",$N761,$J761))</f>
        <v/>
      </c>
      <c r="R761" s="35" t="str">
        <f aca="false">IF(OR($P761="",$Q761=""),"",INDEX(BookRate,756)*$P761*(5-MATCH($Q761,{"Q1";"Q2";"Q3";"Q4"},0))/4+INDEX(BookOneOff,756)*$P761)</f>
        <v/>
      </c>
      <c r="S761" s="35" t="str">
        <f aca="false">IF($P761="","",INDEX(BookRate,756)*$P761)</f>
        <v/>
      </c>
      <c r="T761" s="35" t="str">
        <f aca="false">IF($R761="","",$R761-$K761)</f>
        <v/>
      </c>
      <c r="U761" s="35" t="str">
        <f aca="false">IF(N($P761)&lt;=0,"",COUNTIF($P$6:$P761,"&gt;0"))</f>
        <v/>
      </c>
    </row>
    <row r="762" customFormat="false" ht="15" hidden="false" customHeight="false" outlineLevel="0" collapsed="false">
      <c r="A762" s="40" t="str">
        <f aca="false">IF(INDEX(BookTitle,757)="","",INDEX(BookGroup,757))</f>
        <v/>
      </c>
      <c r="B762" s="40" t="str">
        <f aca="false">IF(INDEX(BookTitle,757)="","",INDEX(BookRef,757))</f>
        <v/>
      </c>
      <c r="C762" s="40" t="str">
        <f aca="false">IF(INDEX(BookTitle,757)="","",INDEX(BookDivision,757))</f>
        <v/>
      </c>
      <c r="D762" s="40" t="str">
        <f aca="false">IF(INDEX(BookTitle,757)="","",INDEX(BookUnit,757))</f>
        <v/>
      </c>
      <c r="E762" s="40" t="str">
        <f aca="false">IF(INDEX(BookTitle,757)="","",INDEX(BookTitle,757))</f>
        <v/>
      </c>
      <c r="F762" s="40" t="str">
        <f aca="false">IF(INDEX(BookTitle,757)="","",INDEX(BookLevel,757))</f>
        <v/>
      </c>
      <c r="G762" s="40" t="str">
        <f aca="false">IF(INDEX(BookTitle,757)="","",INDEX(BookCategory,757))</f>
        <v/>
      </c>
      <c r="H762" s="40" t="str">
        <f aca="false">IF(INDEX(BookTitle,757)="","",INDEX(BookRank,757))</f>
        <v/>
      </c>
      <c r="I762" s="41" t="str">
        <f aca="false">IF(INDEX(BookTitle,757)="","",INDEX(BookTotal,757))</f>
        <v/>
      </c>
      <c r="J762" s="0" t="str">
        <f aca="false">IF($I762="","",IF(INDEX(BookQ1,757)&gt;0,"Q1",IF(INDEX(BookQ2,757)&gt;0,"Q2",IF(INDEX(BookQ3,757)&gt;0,"Q3",IF(INDEX(BookQ4,757)&gt;0,"Q4","")))))</f>
        <v/>
      </c>
      <c r="K762" s="42" t="str">
        <f aca="false">IF(INDEX(BookTitle,757)="","",INDEX(BookInYear,757))</f>
        <v/>
      </c>
      <c r="L762" s="19"/>
      <c r="M762" s="39"/>
      <c r="N762" s="19"/>
      <c r="O762" s="19"/>
      <c r="P762" s="43" t="str">
        <f aca="false">IF($E762="","",IF($L762="Decline",0,IF($L762="Approve fewer",IF($M762="","",$M762),IF($L762="","",$I762))))</f>
        <v/>
      </c>
      <c r="Q762" s="34" t="str">
        <f aca="false">IF($P762="","",IF($N762&lt;&gt;"",$N762,$J762))</f>
        <v/>
      </c>
      <c r="R762" s="35" t="str">
        <f aca="false">IF(OR($P762="",$Q762=""),"",INDEX(BookRate,757)*$P762*(5-MATCH($Q762,{"Q1";"Q2";"Q3";"Q4"},0))/4+INDEX(BookOneOff,757)*$P762)</f>
        <v/>
      </c>
      <c r="S762" s="35" t="str">
        <f aca="false">IF($P762="","",INDEX(BookRate,757)*$P762)</f>
        <v/>
      </c>
      <c r="T762" s="35" t="str">
        <f aca="false">IF($R762="","",$R762-$K762)</f>
        <v/>
      </c>
      <c r="U762" s="35" t="str">
        <f aca="false">IF(N($P762)&lt;=0,"",COUNTIF($P$6:$P762,"&gt;0"))</f>
        <v/>
      </c>
    </row>
    <row r="763" customFormat="false" ht="15" hidden="false" customHeight="false" outlineLevel="0" collapsed="false">
      <c r="A763" s="40" t="str">
        <f aca="false">IF(INDEX(BookTitle,758)="","",INDEX(BookGroup,758))</f>
        <v/>
      </c>
      <c r="B763" s="40" t="str">
        <f aca="false">IF(INDEX(BookTitle,758)="","",INDEX(BookRef,758))</f>
        <v/>
      </c>
      <c r="C763" s="40" t="str">
        <f aca="false">IF(INDEX(BookTitle,758)="","",INDEX(BookDivision,758))</f>
        <v/>
      </c>
      <c r="D763" s="40" t="str">
        <f aca="false">IF(INDEX(BookTitle,758)="","",INDEX(BookUnit,758))</f>
        <v/>
      </c>
      <c r="E763" s="40" t="str">
        <f aca="false">IF(INDEX(BookTitle,758)="","",INDEX(BookTitle,758))</f>
        <v/>
      </c>
      <c r="F763" s="40" t="str">
        <f aca="false">IF(INDEX(BookTitle,758)="","",INDEX(BookLevel,758))</f>
        <v/>
      </c>
      <c r="G763" s="40" t="str">
        <f aca="false">IF(INDEX(BookTitle,758)="","",INDEX(BookCategory,758))</f>
        <v/>
      </c>
      <c r="H763" s="40" t="str">
        <f aca="false">IF(INDEX(BookTitle,758)="","",INDEX(BookRank,758))</f>
        <v/>
      </c>
      <c r="I763" s="41" t="str">
        <f aca="false">IF(INDEX(BookTitle,758)="","",INDEX(BookTotal,758))</f>
        <v/>
      </c>
      <c r="J763" s="0" t="str">
        <f aca="false">IF($I763="","",IF(INDEX(BookQ1,758)&gt;0,"Q1",IF(INDEX(BookQ2,758)&gt;0,"Q2",IF(INDEX(BookQ3,758)&gt;0,"Q3",IF(INDEX(BookQ4,758)&gt;0,"Q4","")))))</f>
        <v/>
      </c>
      <c r="K763" s="42" t="str">
        <f aca="false">IF(INDEX(BookTitle,758)="","",INDEX(BookInYear,758))</f>
        <v/>
      </c>
      <c r="L763" s="19"/>
      <c r="M763" s="39"/>
      <c r="N763" s="19"/>
      <c r="O763" s="19"/>
      <c r="P763" s="43" t="str">
        <f aca="false">IF($E763="","",IF($L763="Decline",0,IF($L763="Approve fewer",IF($M763="","",$M763),IF($L763="","",$I763))))</f>
        <v/>
      </c>
      <c r="Q763" s="34" t="str">
        <f aca="false">IF($P763="","",IF($N763&lt;&gt;"",$N763,$J763))</f>
        <v/>
      </c>
      <c r="R763" s="35" t="str">
        <f aca="false">IF(OR($P763="",$Q763=""),"",INDEX(BookRate,758)*$P763*(5-MATCH($Q763,{"Q1";"Q2";"Q3";"Q4"},0))/4+INDEX(BookOneOff,758)*$P763)</f>
        <v/>
      </c>
      <c r="S763" s="35" t="str">
        <f aca="false">IF($P763="","",INDEX(BookRate,758)*$P763)</f>
        <v/>
      </c>
      <c r="T763" s="35" t="str">
        <f aca="false">IF($R763="","",$R763-$K763)</f>
        <v/>
      </c>
      <c r="U763" s="35" t="str">
        <f aca="false">IF(N($P763)&lt;=0,"",COUNTIF($P$6:$P763,"&gt;0"))</f>
        <v/>
      </c>
    </row>
    <row r="764" customFormat="false" ht="15" hidden="false" customHeight="false" outlineLevel="0" collapsed="false">
      <c r="A764" s="40" t="str">
        <f aca="false">IF(INDEX(BookTitle,759)="","",INDEX(BookGroup,759))</f>
        <v/>
      </c>
      <c r="B764" s="40" t="str">
        <f aca="false">IF(INDEX(BookTitle,759)="","",INDEX(BookRef,759))</f>
        <v/>
      </c>
      <c r="C764" s="40" t="str">
        <f aca="false">IF(INDEX(BookTitle,759)="","",INDEX(BookDivision,759))</f>
        <v/>
      </c>
      <c r="D764" s="40" t="str">
        <f aca="false">IF(INDEX(BookTitle,759)="","",INDEX(BookUnit,759))</f>
        <v/>
      </c>
      <c r="E764" s="40" t="str">
        <f aca="false">IF(INDEX(BookTitle,759)="","",INDEX(BookTitle,759))</f>
        <v/>
      </c>
      <c r="F764" s="40" t="str">
        <f aca="false">IF(INDEX(BookTitle,759)="","",INDEX(BookLevel,759))</f>
        <v/>
      </c>
      <c r="G764" s="40" t="str">
        <f aca="false">IF(INDEX(BookTitle,759)="","",INDEX(BookCategory,759))</f>
        <v/>
      </c>
      <c r="H764" s="40" t="str">
        <f aca="false">IF(INDEX(BookTitle,759)="","",INDEX(BookRank,759))</f>
        <v/>
      </c>
      <c r="I764" s="41" t="str">
        <f aca="false">IF(INDEX(BookTitle,759)="","",INDEX(BookTotal,759))</f>
        <v/>
      </c>
      <c r="J764" s="0" t="str">
        <f aca="false">IF($I764="","",IF(INDEX(BookQ1,759)&gt;0,"Q1",IF(INDEX(BookQ2,759)&gt;0,"Q2",IF(INDEX(BookQ3,759)&gt;0,"Q3",IF(INDEX(BookQ4,759)&gt;0,"Q4","")))))</f>
        <v/>
      </c>
      <c r="K764" s="42" t="str">
        <f aca="false">IF(INDEX(BookTitle,759)="","",INDEX(BookInYear,759))</f>
        <v/>
      </c>
      <c r="L764" s="19"/>
      <c r="M764" s="39"/>
      <c r="N764" s="19"/>
      <c r="O764" s="19"/>
      <c r="P764" s="43" t="str">
        <f aca="false">IF($E764="","",IF($L764="Decline",0,IF($L764="Approve fewer",IF($M764="","",$M764),IF($L764="","",$I764))))</f>
        <v/>
      </c>
      <c r="Q764" s="34" t="str">
        <f aca="false">IF($P764="","",IF($N764&lt;&gt;"",$N764,$J764))</f>
        <v/>
      </c>
      <c r="R764" s="35" t="str">
        <f aca="false">IF(OR($P764="",$Q764=""),"",INDEX(BookRate,759)*$P764*(5-MATCH($Q764,{"Q1";"Q2";"Q3";"Q4"},0))/4+INDEX(BookOneOff,759)*$P764)</f>
        <v/>
      </c>
      <c r="S764" s="35" t="str">
        <f aca="false">IF($P764="","",INDEX(BookRate,759)*$P764)</f>
        <v/>
      </c>
      <c r="T764" s="35" t="str">
        <f aca="false">IF($R764="","",$R764-$K764)</f>
        <v/>
      </c>
      <c r="U764" s="35" t="str">
        <f aca="false">IF(N($P764)&lt;=0,"",COUNTIF($P$6:$P764,"&gt;0"))</f>
        <v/>
      </c>
    </row>
    <row r="765" customFormat="false" ht="15" hidden="false" customHeight="false" outlineLevel="0" collapsed="false">
      <c r="A765" s="40" t="str">
        <f aca="false">IF(INDEX(BookTitle,760)="","",INDEX(BookGroup,760))</f>
        <v/>
      </c>
      <c r="B765" s="40" t="str">
        <f aca="false">IF(INDEX(BookTitle,760)="","",INDEX(BookRef,760))</f>
        <v/>
      </c>
      <c r="C765" s="40" t="str">
        <f aca="false">IF(INDEX(BookTitle,760)="","",INDEX(BookDivision,760))</f>
        <v/>
      </c>
      <c r="D765" s="40" t="str">
        <f aca="false">IF(INDEX(BookTitle,760)="","",INDEX(BookUnit,760))</f>
        <v/>
      </c>
      <c r="E765" s="40" t="str">
        <f aca="false">IF(INDEX(BookTitle,760)="","",INDEX(BookTitle,760))</f>
        <v/>
      </c>
      <c r="F765" s="40" t="str">
        <f aca="false">IF(INDEX(BookTitle,760)="","",INDEX(BookLevel,760))</f>
        <v/>
      </c>
      <c r="G765" s="40" t="str">
        <f aca="false">IF(INDEX(BookTitle,760)="","",INDEX(BookCategory,760))</f>
        <v/>
      </c>
      <c r="H765" s="40" t="str">
        <f aca="false">IF(INDEX(BookTitle,760)="","",INDEX(BookRank,760))</f>
        <v/>
      </c>
      <c r="I765" s="41" t="str">
        <f aca="false">IF(INDEX(BookTitle,760)="","",INDEX(BookTotal,760))</f>
        <v/>
      </c>
      <c r="J765" s="0" t="str">
        <f aca="false">IF($I765="","",IF(INDEX(BookQ1,760)&gt;0,"Q1",IF(INDEX(BookQ2,760)&gt;0,"Q2",IF(INDEX(BookQ3,760)&gt;0,"Q3",IF(INDEX(BookQ4,760)&gt;0,"Q4","")))))</f>
        <v/>
      </c>
      <c r="K765" s="42" t="str">
        <f aca="false">IF(INDEX(BookTitle,760)="","",INDEX(BookInYear,760))</f>
        <v/>
      </c>
      <c r="L765" s="19"/>
      <c r="M765" s="39"/>
      <c r="N765" s="19"/>
      <c r="O765" s="19"/>
      <c r="P765" s="43" t="str">
        <f aca="false">IF($E765="","",IF($L765="Decline",0,IF($L765="Approve fewer",IF($M765="","",$M765),IF($L765="","",$I765))))</f>
        <v/>
      </c>
      <c r="Q765" s="34" t="str">
        <f aca="false">IF($P765="","",IF($N765&lt;&gt;"",$N765,$J765))</f>
        <v/>
      </c>
      <c r="R765" s="35" t="str">
        <f aca="false">IF(OR($P765="",$Q765=""),"",INDEX(BookRate,760)*$P765*(5-MATCH($Q765,{"Q1";"Q2";"Q3";"Q4"},0))/4+INDEX(BookOneOff,760)*$P765)</f>
        <v/>
      </c>
      <c r="S765" s="35" t="str">
        <f aca="false">IF($P765="","",INDEX(BookRate,760)*$P765)</f>
        <v/>
      </c>
      <c r="T765" s="35" t="str">
        <f aca="false">IF($R765="","",$R765-$K765)</f>
        <v/>
      </c>
      <c r="U765" s="35" t="str">
        <f aca="false">IF(N($P765)&lt;=0,"",COUNTIF($P$6:$P765,"&gt;0"))</f>
        <v/>
      </c>
    </row>
    <row r="766" customFormat="false" ht="15" hidden="false" customHeight="false" outlineLevel="0" collapsed="false">
      <c r="A766" s="40" t="str">
        <f aca="false">IF(INDEX(BookTitle,761)="","",INDEX(BookGroup,761))</f>
        <v/>
      </c>
      <c r="B766" s="40" t="str">
        <f aca="false">IF(INDEX(BookTitle,761)="","",INDEX(BookRef,761))</f>
        <v/>
      </c>
      <c r="C766" s="40" t="str">
        <f aca="false">IF(INDEX(BookTitle,761)="","",INDEX(BookDivision,761))</f>
        <v/>
      </c>
      <c r="D766" s="40" t="str">
        <f aca="false">IF(INDEX(BookTitle,761)="","",INDEX(BookUnit,761))</f>
        <v/>
      </c>
      <c r="E766" s="40" t="str">
        <f aca="false">IF(INDEX(BookTitle,761)="","",INDEX(BookTitle,761))</f>
        <v/>
      </c>
      <c r="F766" s="40" t="str">
        <f aca="false">IF(INDEX(BookTitle,761)="","",INDEX(BookLevel,761))</f>
        <v/>
      </c>
      <c r="G766" s="40" t="str">
        <f aca="false">IF(INDEX(BookTitle,761)="","",INDEX(BookCategory,761))</f>
        <v/>
      </c>
      <c r="H766" s="40" t="str">
        <f aca="false">IF(INDEX(BookTitle,761)="","",INDEX(BookRank,761))</f>
        <v/>
      </c>
      <c r="I766" s="41" t="str">
        <f aca="false">IF(INDEX(BookTitle,761)="","",INDEX(BookTotal,761))</f>
        <v/>
      </c>
      <c r="J766" s="0" t="str">
        <f aca="false">IF($I766="","",IF(INDEX(BookQ1,761)&gt;0,"Q1",IF(INDEX(BookQ2,761)&gt;0,"Q2",IF(INDEX(BookQ3,761)&gt;0,"Q3",IF(INDEX(BookQ4,761)&gt;0,"Q4","")))))</f>
        <v/>
      </c>
      <c r="K766" s="42" t="str">
        <f aca="false">IF(INDEX(BookTitle,761)="","",INDEX(BookInYear,761))</f>
        <v/>
      </c>
      <c r="L766" s="19"/>
      <c r="M766" s="39"/>
      <c r="N766" s="19"/>
      <c r="O766" s="19"/>
      <c r="P766" s="43" t="str">
        <f aca="false">IF($E766="","",IF($L766="Decline",0,IF($L766="Approve fewer",IF($M766="","",$M766),IF($L766="","",$I766))))</f>
        <v/>
      </c>
      <c r="Q766" s="34" t="str">
        <f aca="false">IF($P766="","",IF($N766&lt;&gt;"",$N766,$J766))</f>
        <v/>
      </c>
      <c r="R766" s="35" t="str">
        <f aca="false">IF(OR($P766="",$Q766=""),"",INDEX(BookRate,761)*$P766*(5-MATCH($Q766,{"Q1";"Q2";"Q3";"Q4"},0))/4+INDEX(BookOneOff,761)*$P766)</f>
        <v/>
      </c>
      <c r="S766" s="35" t="str">
        <f aca="false">IF($P766="","",INDEX(BookRate,761)*$P766)</f>
        <v/>
      </c>
      <c r="T766" s="35" t="str">
        <f aca="false">IF($R766="","",$R766-$K766)</f>
        <v/>
      </c>
      <c r="U766" s="35" t="str">
        <f aca="false">IF(N($P766)&lt;=0,"",COUNTIF($P$6:$P766,"&gt;0"))</f>
        <v/>
      </c>
    </row>
    <row r="767" customFormat="false" ht="15" hidden="false" customHeight="false" outlineLevel="0" collapsed="false">
      <c r="A767" s="40" t="str">
        <f aca="false">IF(INDEX(BookTitle,762)="","",INDEX(BookGroup,762))</f>
        <v/>
      </c>
      <c r="B767" s="40" t="str">
        <f aca="false">IF(INDEX(BookTitle,762)="","",INDEX(BookRef,762))</f>
        <v/>
      </c>
      <c r="C767" s="40" t="str">
        <f aca="false">IF(INDEX(BookTitle,762)="","",INDEX(BookDivision,762))</f>
        <v/>
      </c>
      <c r="D767" s="40" t="str">
        <f aca="false">IF(INDEX(BookTitle,762)="","",INDEX(BookUnit,762))</f>
        <v/>
      </c>
      <c r="E767" s="40" t="str">
        <f aca="false">IF(INDEX(BookTitle,762)="","",INDEX(BookTitle,762))</f>
        <v/>
      </c>
      <c r="F767" s="40" t="str">
        <f aca="false">IF(INDEX(BookTitle,762)="","",INDEX(BookLevel,762))</f>
        <v/>
      </c>
      <c r="G767" s="40" t="str">
        <f aca="false">IF(INDEX(BookTitle,762)="","",INDEX(BookCategory,762))</f>
        <v/>
      </c>
      <c r="H767" s="40" t="str">
        <f aca="false">IF(INDEX(BookTitle,762)="","",INDEX(BookRank,762))</f>
        <v/>
      </c>
      <c r="I767" s="41" t="str">
        <f aca="false">IF(INDEX(BookTitle,762)="","",INDEX(BookTotal,762))</f>
        <v/>
      </c>
      <c r="J767" s="0" t="str">
        <f aca="false">IF($I767="","",IF(INDEX(BookQ1,762)&gt;0,"Q1",IF(INDEX(BookQ2,762)&gt;0,"Q2",IF(INDEX(BookQ3,762)&gt;0,"Q3",IF(INDEX(BookQ4,762)&gt;0,"Q4","")))))</f>
        <v/>
      </c>
      <c r="K767" s="42" t="str">
        <f aca="false">IF(INDEX(BookTitle,762)="","",INDEX(BookInYear,762))</f>
        <v/>
      </c>
      <c r="L767" s="19"/>
      <c r="M767" s="39"/>
      <c r="N767" s="19"/>
      <c r="O767" s="19"/>
      <c r="P767" s="43" t="str">
        <f aca="false">IF($E767="","",IF($L767="Decline",0,IF($L767="Approve fewer",IF($M767="","",$M767),IF($L767="","",$I767))))</f>
        <v/>
      </c>
      <c r="Q767" s="34" t="str">
        <f aca="false">IF($P767="","",IF($N767&lt;&gt;"",$N767,$J767))</f>
        <v/>
      </c>
      <c r="R767" s="35" t="str">
        <f aca="false">IF(OR($P767="",$Q767=""),"",INDEX(BookRate,762)*$P767*(5-MATCH($Q767,{"Q1";"Q2";"Q3";"Q4"},0))/4+INDEX(BookOneOff,762)*$P767)</f>
        <v/>
      </c>
      <c r="S767" s="35" t="str">
        <f aca="false">IF($P767="","",INDEX(BookRate,762)*$P767)</f>
        <v/>
      </c>
      <c r="T767" s="35" t="str">
        <f aca="false">IF($R767="","",$R767-$K767)</f>
        <v/>
      </c>
      <c r="U767" s="35" t="str">
        <f aca="false">IF(N($P767)&lt;=0,"",COUNTIF($P$6:$P767,"&gt;0"))</f>
        <v/>
      </c>
    </row>
    <row r="768" customFormat="false" ht="15" hidden="false" customHeight="false" outlineLevel="0" collapsed="false">
      <c r="A768" s="40" t="str">
        <f aca="false">IF(INDEX(BookTitle,763)="","",INDEX(BookGroup,763))</f>
        <v/>
      </c>
      <c r="B768" s="40" t="str">
        <f aca="false">IF(INDEX(BookTitle,763)="","",INDEX(BookRef,763))</f>
        <v/>
      </c>
      <c r="C768" s="40" t="str">
        <f aca="false">IF(INDEX(BookTitle,763)="","",INDEX(BookDivision,763))</f>
        <v/>
      </c>
      <c r="D768" s="40" t="str">
        <f aca="false">IF(INDEX(BookTitle,763)="","",INDEX(BookUnit,763))</f>
        <v/>
      </c>
      <c r="E768" s="40" t="str">
        <f aca="false">IF(INDEX(BookTitle,763)="","",INDEX(BookTitle,763))</f>
        <v/>
      </c>
      <c r="F768" s="40" t="str">
        <f aca="false">IF(INDEX(BookTitle,763)="","",INDEX(BookLevel,763))</f>
        <v/>
      </c>
      <c r="G768" s="40" t="str">
        <f aca="false">IF(INDEX(BookTitle,763)="","",INDEX(BookCategory,763))</f>
        <v/>
      </c>
      <c r="H768" s="40" t="str">
        <f aca="false">IF(INDEX(BookTitle,763)="","",INDEX(BookRank,763))</f>
        <v/>
      </c>
      <c r="I768" s="41" t="str">
        <f aca="false">IF(INDEX(BookTitle,763)="","",INDEX(BookTotal,763))</f>
        <v/>
      </c>
      <c r="J768" s="0" t="str">
        <f aca="false">IF($I768="","",IF(INDEX(BookQ1,763)&gt;0,"Q1",IF(INDEX(BookQ2,763)&gt;0,"Q2",IF(INDEX(BookQ3,763)&gt;0,"Q3",IF(INDEX(BookQ4,763)&gt;0,"Q4","")))))</f>
        <v/>
      </c>
      <c r="K768" s="42" t="str">
        <f aca="false">IF(INDEX(BookTitle,763)="","",INDEX(BookInYear,763))</f>
        <v/>
      </c>
      <c r="L768" s="19"/>
      <c r="M768" s="39"/>
      <c r="N768" s="19"/>
      <c r="O768" s="19"/>
      <c r="P768" s="43" t="str">
        <f aca="false">IF($E768="","",IF($L768="Decline",0,IF($L768="Approve fewer",IF($M768="","",$M768),IF($L768="","",$I768))))</f>
        <v/>
      </c>
      <c r="Q768" s="34" t="str">
        <f aca="false">IF($P768="","",IF($N768&lt;&gt;"",$N768,$J768))</f>
        <v/>
      </c>
      <c r="R768" s="35" t="str">
        <f aca="false">IF(OR($P768="",$Q768=""),"",INDEX(BookRate,763)*$P768*(5-MATCH($Q768,{"Q1";"Q2";"Q3";"Q4"},0))/4+INDEX(BookOneOff,763)*$P768)</f>
        <v/>
      </c>
      <c r="S768" s="35" t="str">
        <f aca="false">IF($P768="","",INDEX(BookRate,763)*$P768)</f>
        <v/>
      </c>
      <c r="T768" s="35" t="str">
        <f aca="false">IF($R768="","",$R768-$K768)</f>
        <v/>
      </c>
      <c r="U768" s="35" t="str">
        <f aca="false">IF(N($P768)&lt;=0,"",COUNTIF($P$6:$P768,"&gt;0"))</f>
        <v/>
      </c>
    </row>
    <row r="769" customFormat="false" ht="15" hidden="false" customHeight="false" outlineLevel="0" collapsed="false">
      <c r="A769" s="40" t="str">
        <f aca="false">IF(INDEX(BookTitle,764)="","",INDEX(BookGroup,764))</f>
        <v/>
      </c>
      <c r="B769" s="40" t="str">
        <f aca="false">IF(INDEX(BookTitle,764)="","",INDEX(BookRef,764))</f>
        <v/>
      </c>
      <c r="C769" s="40" t="str">
        <f aca="false">IF(INDEX(BookTitle,764)="","",INDEX(BookDivision,764))</f>
        <v/>
      </c>
      <c r="D769" s="40" t="str">
        <f aca="false">IF(INDEX(BookTitle,764)="","",INDEX(BookUnit,764))</f>
        <v/>
      </c>
      <c r="E769" s="40" t="str">
        <f aca="false">IF(INDEX(BookTitle,764)="","",INDEX(BookTitle,764))</f>
        <v/>
      </c>
      <c r="F769" s="40" t="str">
        <f aca="false">IF(INDEX(BookTitle,764)="","",INDEX(BookLevel,764))</f>
        <v/>
      </c>
      <c r="G769" s="40" t="str">
        <f aca="false">IF(INDEX(BookTitle,764)="","",INDEX(BookCategory,764))</f>
        <v/>
      </c>
      <c r="H769" s="40" t="str">
        <f aca="false">IF(INDEX(BookTitle,764)="","",INDEX(BookRank,764))</f>
        <v/>
      </c>
      <c r="I769" s="41" t="str">
        <f aca="false">IF(INDEX(BookTitle,764)="","",INDEX(BookTotal,764))</f>
        <v/>
      </c>
      <c r="J769" s="0" t="str">
        <f aca="false">IF($I769="","",IF(INDEX(BookQ1,764)&gt;0,"Q1",IF(INDEX(BookQ2,764)&gt;0,"Q2",IF(INDEX(BookQ3,764)&gt;0,"Q3",IF(INDEX(BookQ4,764)&gt;0,"Q4","")))))</f>
        <v/>
      </c>
      <c r="K769" s="42" t="str">
        <f aca="false">IF(INDEX(BookTitle,764)="","",INDEX(BookInYear,764))</f>
        <v/>
      </c>
      <c r="L769" s="19"/>
      <c r="M769" s="39"/>
      <c r="N769" s="19"/>
      <c r="O769" s="19"/>
      <c r="P769" s="43" t="str">
        <f aca="false">IF($E769="","",IF($L769="Decline",0,IF($L769="Approve fewer",IF($M769="","",$M769),IF($L769="","",$I769))))</f>
        <v/>
      </c>
      <c r="Q769" s="34" t="str">
        <f aca="false">IF($P769="","",IF($N769&lt;&gt;"",$N769,$J769))</f>
        <v/>
      </c>
      <c r="R769" s="35" t="str">
        <f aca="false">IF(OR($P769="",$Q769=""),"",INDEX(BookRate,764)*$P769*(5-MATCH($Q769,{"Q1";"Q2";"Q3";"Q4"},0))/4+INDEX(BookOneOff,764)*$P769)</f>
        <v/>
      </c>
      <c r="S769" s="35" t="str">
        <f aca="false">IF($P769="","",INDEX(BookRate,764)*$P769)</f>
        <v/>
      </c>
      <c r="T769" s="35" t="str">
        <f aca="false">IF($R769="","",$R769-$K769)</f>
        <v/>
      </c>
      <c r="U769" s="35" t="str">
        <f aca="false">IF(N($P769)&lt;=0,"",COUNTIF($P$6:$P769,"&gt;0"))</f>
        <v/>
      </c>
    </row>
    <row r="770" customFormat="false" ht="15" hidden="false" customHeight="false" outlineLevel="0" collapsed="false">
      <c r="A770" s="40" t="str">
        <f aca="false">IF(INDEX(BookTitle,765)="","",INDEX(BookGroup,765))</f>
        <v/>
      </c>
      <c r="B770" s="40" t="str">
        <f aca="false">IF(INDEX(BookTitle,765)="","",INDEX(BookRef,765))</f>
        <v/>
      </c>
      <c r="C770" s="40" t="str">
        <f aca="false">IF(INDEX(BookTitle,765)="","",INDEX(BookDivision,765))</f>
        <v/>
      </c>
      <c r="D770" s="40" t="str">
        <f aca="false">IF(INDEX(BookTitle,765)="","",INDEX(BookUnit,765))</f>
        <v/>
      </c>
      <c r="E770" s="40" t="str">
        <f aca="false">IF(INDEX(BookTitle,765)="","",INDEX(BookTitle,765))</f>
        <v/>
      </c>
      <c r="F770" s="40" t="str">
        <f aca="false">IF(INDEX(BookTitle,765)="","",INDEX(BookLevel,765))</f>
        <v/>
      </c>
      <c r="G770" s="40" t="str">
        <f aca="false">IF(INDEX(BookTitle,765)="","",INDEX(BookCategory,765))</f>
        <v/>
      </c>
      <c r="H770" s="40" t="str">
        <f aca="false">IF(INDEX(BookTitle,765)="","",INDEX(BookRank,765))</f>
        <v/>
      </c>
      <c r="I770" s="41" t="str">
        <f aca="false">IF(INDEX(BookTitle,765)="","",INDEX(BookTotal,765))</f>
        <v/>
      </c>
      <c r="J770" s="0" t="str">
        <f aca="false">IF($I770="","",IF(INDEX(BookQ1,765)&gt;0,"Q1",IF(INDEX(BookQ2,765)&gt;0,"Q2",IF(INDEX(BookQ3,765)&gt;0,"Q3",IF(INDEX(BookQ4,765)&gt;0,"Q4","")))))</f>
        <v/>
      </c>
      <c r="K770" s="42" t="str">
        <f aca="false">IF(INDEX(BookTitle,765)="","",INDEX(BookInYear,765))</f>
        <v/>
      </c>
      <c r="L770" s="19"/>
      <c r="M770" s="39"/>
      <c r="N770" s="19"/>
      <c r="O770" s="19"/>
      <c r="P770" s="43" t="str">
        <f aca="false">IF($E770="","",IF($L770="Decline",0,IF($L770="Approve fewer",IF($M770="","",$M770),IF($L770="","",$I770))))</f>
        <v/>
      </c>
      <c r="Q770" s="34" t="str">
        <f aca="false">IF($P770="","",IF($N770&lt;&gt;"",$N770,$J770))</f>
        <v/>
      </c>
      <c r="R770" s="35" t="str">
        <f aca="false">IF(OR($P770="",$Q770=""),"",INDEX(BookRate,765)*$P770*(5-MATCH($Q770,{"Q1";"Q2";"Q3";"Q4"},0))/4+INDEX(BookOneOff,765)*$P770)</f>
        <v/>
      </c>
      <c r="S770" s="35" t="str">
        <f aca="false">IF($P770="","",INDEX(BookRate,765)*$P770)</f>
        <v/>
      </c>
      <c r="T770" s="35" t="str">
        <f aca="false">IF($R770="","",$R770-$K770)</f>
        <v/>
      </c>
      <c r="U770" s="35" t="str">
        <f aca="false">IF(N($P770)&lt;=0,"",COUNTIF($P$6:$P770,"&gt;0"))</f>
        <v/>
      </c>
    </row>
    <row r="771" customFormat="false" ht="15" hidden="false" customHeight="false" outlineLevel="0" collapsed="false">
      <c r="A771" s="40" t="str">
        <f aca="false">IF(INDEX(BookTitle,766)="","",INDEX(BookGroup,766))</f>
        <v/>
      </c>
      <c r="B771" s="40" t="str">
        <f aca="false">IF(INDEX(BookTitle,766)="","",INDEX(BookRef,766))</f>
        <v/>
      </c>
      <c r="C771" s="40" t="str">
        <f aca="false">IF(INDEX(BookTitle,766)="","",INDEX(BookDivision,766))</f>
        <v/>
      </c>
      <c r="D771" s="40" t="str">
        <f aca="false">IF(INDEX(BookTitle,766)="","",INDEX(BookUnit,766))</f>
        <v/>
      </c>
      <c r="E771" s="40" t="str">
        <f aca="false">IF(INDEX(BookTitle,766)="","",INDEX(BookTitle,766))</f>
        <v/>
      </c>
      <c r="F771" s="40" t="str">
        <f aca="false">IF(INDEX(BookTitle,766)="","",INDEX(BookLevel,766))</f>
        <v/>
      </c>
      <c r="G771" s="40" t="str">
        <f aca="false">IF(INDEX(BookTitle,766)="","",INDEX(BookCategory,766))</f>
        <v/>
      </c>
      <c r="H771" s="40" t="str">
        <f aca="false">IF(INDEX(BookTitle,766)="","",INDEX(BookRank,766))</f>
        <v/>
      </c>
      <c r="I771" s="41" t="str">
        <f aca="false">IF(INDEX(BookTitle,766)="","",INDEX(BookTotal,766))</f>
        <v/>
      </c>
      <c r="J771" s="0" t="str">
        <f aca="false">IF($I771="","",IF(INDEX(BookQ1,766)&gt;0,"Q1",IF(INDEX(BookQ2,766)&gt;0,"Q2",IF(INDEX(BookQ3,766)&gt;0,"Q3",IF(INDEX(BookQ4,766)&gt;0,"Q4","")))))</f>
        <v/>
      </c>
      <c r="K771" s="42" t="str">
        <f aca="false">IF(INDEX(BookTitle,766)="","",INDEX(BookInYear,766))</f>
        <v/>
      </c>
      <c r="L771" s="19"/>
      <c r="M771" s="39"/>
      <c r="N771" s="19"/>
      <c r="O771" s="19"/>
      <c r="P771" s="43" t="str">
        <f aca="false">IF($E771="","",IF($L771="Decline",0,IF($L771="Approve fewer",IF($M771="","",$M771),IF($L771="","",$I771))))</f>
        <v/>
      </c>
      <c r="Q771" s="34" t="str">
        <f aca="false">IF($P771="","",IF($N771&lt;&gt;"",$N771,$J771))</f>
        <v/>
      </c>
      <c r="R771" s="35" t="str">
        <f aca="false">IF(OR($P771="",$Q771=""),"",INDEX(BookRate,766)*$P771*(5-MATCH($Q771,{"Q1";"Q2";"Q3";"Q4"},0))/4+INDEX(BookOneOff,766)*$P771)</f>
        <v/>
      </c>
      <c r="S771" s="35" t="str">
        <f aca="false">IF($P771="","",INDEX(BookRate,766)*$P771)</f>
        <v/>
      </c>
      <c r="T771" s="35" t="str">
        <f aca="false">IF($R771="","",$R771-$K771)</f>
        <v/>
      </c>
      <c r="U771" s="35" t="str">
        <f aca="false">IF(N($P771)&lt;=0,"",COUNTIF($P$6:$P771,"&gt;0"))</f>
        <v/>
      </c>
    </row>
    <row r="772" customFormat="false" ht="15" hidden="false" customHeight="false" outlineLevel="0" collapsed="false">
      <c r="A772" s="40" t="str">
        <f aca="false">IF(INDEX(BookTitle,767)="","",INDEX(BookGroup,767))</f>
        <v/>
      </c>
      <c r="B772" s="40" t="str">
        <f aca="false">IF(INDEX(BookTitle,767)="","",INDEX(BookRef,767))</f>
        <v/>
      </c>
      <c r="C772" s="40" t="str">
        <f aca="false">IF(INDEX(BookTitle,767)="","",INDEX(BookDivision,767))</f>
        <v/>
      </c>
      <c r="D772" s="40" t="str">
        <f aca="false">IF(INDEX(BookTitle,767)="","",INDEX(BookUnit,767))</f>
        <v/>
      </c>
      <c r="E772" s="40" t="str">
        <f aca="false">IF(INDEX(BookTitle,767)="","",INDEX(BookTitle,767))</f>
        <v/>
      </c>
      <c r="F772" s="40" t="str">
        <f aca="false">IF(INDEX(BookTitle,767)="","",INDEX(BookLevel,767))</f>
        <v/>
      </c>
      <c r="G772" s="40" t="str">
        <f aca="false">IF(INDEX(BookTitle,767)="","",INDEX(BookCategory,767))</f>
        <v/>
      </c>
      <c r="H772" s="40" t="str">
        <f aca="false">IF(INDEX(BookTitle,767)="","",INDEX(BookRank,767))</f>
        <v/>
      </c>
      <c r="I772" s="41" t="str">
        <f aca="false">IF(INDEX(BookTitle,767)="","",INDEX(BookTotal,767))</f>
        <v/>
      </c>
      <c r="J772" s="0" t="str">
        <f aca="false">IF($I772="","",IF(INDEX(BookQ1,767)&gt;0,"Q1",IF(INDEX(BookQ2,767)&gt;0,"Q2",IF(INDEX(BookQ3,767)&gt;0,"Q3",IF(INDEX(BookQ4,767)&gt;0,"Q4","")))))</f>
        <v/>
      </c>
      <c r="K772" s="42" t="str">
        <f aca="false">IF(INDEX(BookTitle,767)="","",INDEX(BookInYear,767))</f>
        <v/>
      </c>
      <c r="L772" s="19"/>
      <c r="M772" s="39"/>
      <c r="N772" s="19"/>
      <c r="O772" s="19"/>
      <c r="P772" s="43" t="str">
        <f aca="false">IF($E772="","",IF($L772="Decline",0,IF($L772="Approve fewer",IF($M772="","",$M772),IF($L772="","",$I772))))</f>
        <v/>
      </c>
      <c r="Q772" s="34" t="str">
        <f aca="false">IF($P772="","",IF($N772&lt;&gt;"",$N772,$J772))</f>
        <v/>
      </c>
      <c r="R772" s="35" t="str">
        <f aca="false">IF(OR($P772="",$Q772=""),"",INDEX(BookRate,767)*$P772*(5-MATCH($Q772,{"Q1";"Q2";"Q3";"Q4"},0))/4+INDEX(BookOneOff,767)*$P772)</f>
        <v/>
      </c>
      <c r="S772" s="35" t="str">
        <f aca="false">IF($P772="","",INDEX(BookRate,767)*$P772)</f>
        <v/>
      </c>
      <c r="T772" s="35" t="str">
        <f aca="false">IF($R772="","",$R772-$K772)</f>
        <v/>
      </c>
      <c r="U772" s="35" t="str">
        <f aca="false">IF(N($P772)&lt;=0,"",COUNTIF($P$6:$P772,"&gt;0"))</f>
        <v/>
      </c>
    </row>
    <row r="773" customFormat="false" ht="15" hidden="false" customHeight="false" outlineLevel="0" collapsed="false">
      <c r="A773" s="40" t="str">
        <f aca="false">IF(INDEX(BookTitle,768)="","",INDEX(BookGroup,768))</f>
        <v/>
      </c>
      <c r="B773" s="40" t="str">
        <f aca="false">IF(INDEX(BookTitle,768)="","",INDEX(BookRef,768))</f>
        <v/>
      </c>
      <c r="C773" s="40" t="str">
        <f aca="false">IF(INDEX(BookTitle,768)="","",INDEX(BookDivision,768))</f>
        <v/>
      </c>
      <c r="D773" s="40" t="str">
        <f aca="false">IF(INDEX(BookTitle,768)="","",INDEX(BookUnit,768))</f>
        <v/>
      </c>
      <c r="E773" s="40" t="str">
        <f aca="false">IF(INDEX(BookTitle,768)="","",INDEX(BookTitle,768))</f>
        <v/>
      </c>
      <c r="F773" s="40" t="str">
        <f aca="false">IF(INDEX(BookTitle,768)="","",INDEX(BookLevel,768))</f>
        <v/>
      </c>
      <c r="G773" s="40" t="str">
        <f aca="false">IF(INDEX(BookTitle,768)="","",INDEX(BookCategory,768))</f>
        <v/>
      </c>
      <c r="H773" s="40" t="str">
        <f aca="false">IF(INDEX(BookTitle,768)="","",INDEX(BookRank,768))</f>
        <v/>
      </c>
      <c r="I773" s="41" t="str">
        <f aca="false">IF(INDEX(BookTitle,768)="","",INDEX(BookTotal,768))</f>
        <v/>
      </c>
      <c r="J773" s="0" t="str">
        <f aca="false">IF($I773="","",IF(INDEX(BookQ1,768)&gt;0,"Q1",IF(INDEX(BookQ2,768)&gt;0,"Q2",IF(INDEX(BookQ3,768)&gt;0,"Q3",IF(INDEX(BookQ4,768)&gt;0,"Q4","")))))</f>
        <v/>
      </c>
      <c r="K773" s="42" t="str">
        <f aca="false">IF(INDEX(BookTitle,768)="","",INDEX(BookInYear,768))</f>
        <v/>
      </c>
      <c r="L773" s="19"/>
      <c r="M773" s="39"/>
      <c r="N773" s="19"/>
      <c r="O773" s="19"/>
      <c r="P773" s="43" t="str">
        <f aca="false">IF($E773="","",IF($L773="Decline",0,IF($L773="Approve fewer",IF($M773="","",$M773),IF($L773="","",$I773))))</f>
        <v/>
      </c>
      <c r="Q773" s="34" t="str">
        <f aca="false">IF($P773="","",IF($N773&lt;&gt;"",$N773,$J773))</f>
        <v/>
      </c>
      <c r="R773" s="35" t="str">
        <f aca="false">IF(OR($P773="",$Q773=""),"",INDEX(BookRate,768)*$P773*(5-MATCH($Q773,{"Q1";"Q2";"Q3";"Q4"},0))/4+INDEX(BookOneOff,768)*$P773)</f>
        <v/>
      </c>
      <c r="S773" s="35" t="str">
        <f aca="false">IF($P773="","",INDEX(BookRate,768)*$P773)</f>
        <v/>
      </c>
      <c r="T773" s="35" t="str">
        <f aca="false">IF($R773="","",$R773-$K773)</f>
        <v/>
      </c>
      <c r="U773" s="35" t="str">
        <f aca="false">IF(N($P773)&lt;=0,"",COUNTIF($P$6:$P773,"&gt;0"))</f>
        <v/>
      </c>
    </row>
    <row r="774" customFormat="false" ht="15" hidden="false" customHeight="false" outlineLevel="0" collapsed="false">
      <c r="A774" s="40" t="str">
        <f aca="false">IF(INDEX(BookTitle,769)="","",INDEX(BookGroup,769))</f>
        <v/>
      </c>
      <c r="B774" s="40" t="str">
        <f aca="false">IF(INDEX(BookTitle,769)="","",INDEX(BookRef,769))</f>
        <v/>
      </c>
      <c r="C774" s="40" t="str">
        <f aca="false">IF(INDEX(BookTitle,769)="","",INDEX(BookDivision,769))</f>
        <v/>
      </c>
      <c r="D774" s="40" t="str">
        <f aca="false">IF(INDEX(BookTitle,769)="","",INDEX(BookUnit,769))</f>
        <v/>
      </c>
      <c r="E774" s="40" t="str">
        <f aca="false">IF(INDEX(BookTitle,769)="","",INDEX(BookTitle,769))</f>
        <v/>
      </c>
      <c r="F774" s="40" t="str">
        <f aca="false">IF(INDEX(BookTitle,769)="","",INDEX(BookLevel,769))</f>
        <v/>
      </c>
      <c r="G774" s="40" t="str">
        <f aca="false">IF(INDEX(BookTitle,769)="","",INDEX(BookCategory,769))</f>
        <v/>
      </c>
      <c r="H774" s="40" t="str">
        <f aca="false">IF(INDEX(BookTitle,769)="","",INDEX(BookRank,769))</f>
        <v/>
      </c>
      <c r="I774" s="41" t="str">
        <f aca="false">IF(INDEX(BookTitle,769)="","",INDEX(BookTotal,769))</f>
        <v/>
      </c>
      <c r="J774" s="0" t="str">
        <f aca="false">IF($I774="","",IF(INDEX(BookQ1,769)&gt;0,"Q1",IF(INDEX(BookQ2,769)&gt;0,"Q2",IF(INDEX(BookQ3,769)&gt;0,"Q3",IF(INDEX(BookQ4,769)&gt;0,"Q4","")))))</f>
        <v/>
      </c>
      <c r="K774" s="42" t="str">
        <f aca="false">IF(INDEX(BookTitle,769)="","",INDEX(BookInYear,769))</f>
        <v/>
      </c>
      <c r="L774" s="19"/>
      <c r="M774" s="39"/>
      <c r="N774" s="19"/>
      <c r="O774" s="19"/>
      <c r="P774" s="43" t="str">
        <f aca="false">IF($E774="","",IF($L774="Decline",0,IF($L774="Approve fewer",IF($M774="","",$M774),IF($L774="","",$I774))))</f>
        <v/>
      </c>
      <c r="Q774" s="34" t="str">
        <f aca="false">IF($P774="","",IF($N774&lt;&gt;"",$N774,$J774))</f>
        <v/>
      </c>
      <c r="R774" s="35" t="str">
        <f aca="false">IF(OR($P774="",$Q774=""),"",INDEX(BookRate,769)*$P774*(5-MATCH($Q774,{"Q1";"Q2";"Q3";"Q4"},0))/4+INDEX(BookOneOff,769)*$P774)</f>
        <v/>
      </c>
      <c r="S774" s="35" t="str">
        <f aca="false">IF($P774="","",INDEX(BookRate,769)*$P774)</f>
        <v/>
      </c>
      <c r="T774" s="35" t="str">
        <f aca="false">IF($R774="","",$R774-$K774)</f>
        <v/>
      </c>
      <c r="U774" s="35" t="str">
        <f aca="false">IF(N($P774)&lt;=0,"",COUNTIF($P$6:$P774,"&gt;0"))</f>
        <v/>
      </c>
    </row>
    <row r="775" customFormat="false" ht="15" hidden="false" customHeight="false" outlineLevel="0" collapsed="false">
      <c r="A775" s="40" t="str">
        <f aca="false">IF(INDEX(BookTitle,770)="","",INDEX(BookGroup,770))</f>
        <v/>
      </c>
      <c r="B775" s="40" t="str">
        <f aca="false">IF(INDEX(BookTitle,770)="","",INDEX(BookRef,770))</f>
        <v/>
      </c>
      <c r="C775" s="40" t="str">
        <f aca="false">IF(INDEX(BookTitle,770)="","",INDEX(BookDivision,770))</f>
        <v/>
      </c>
      <c r="D775" s="40" t="str">
        <f aca="false">IF(INDEX(BookTitle,770)="","",INDEX(BookUnit,770))</f>
        <v/>
      </c>
      <c r="E775" s="40" t="str">
        <f aca="false">IF(INDEX(BookTitle,770)="","",INDEX(BookTitle,770))</f>
        <v/>
      </c>
      <c r="F775" s="40" t="str">
        <f aca="false">IF(INDEX(BookTitle,770)="","",INDEX(BookLevel,770))</f>
        <v/>
      </c>
      <c r="G775" s="40" t="str">
        <f aca="false">IF(INDEX(BookTitle,770)="","",INDEX(BookCategory,770))</f>
        <v/>
      </c>
      <c r="H775" s="40" t="str">
        <f aca="false">IF(INDEX(BookTitle,770)="","",INDEX(BookRank,770))</f>
        <v/>
      </c>
      <c r="I775" s="41" t="str">
        <f aca="false">IF(INDEX(BookTitle,770)="","",INDEX(BookTotal,770))</f>
        <v/>
      </c>
      <c r="J775" s="0" t="str">
        <f aca="false">IF($I775="","",IF(INDEX(BookQ1,770)&gt;0,"Q1",IF(INDEX(BookQ2,770)&gt;0,"Q2",IF(INDEX(BookQ3,770)&gt;0,"Q3",IF(INDEX(BookQ4,770)&gt;0,"Q4","")))))</f>
        <v/>
      </c>
      <c r="K775" s="42" t="str">
        <f aca="false">IF(INDEX(BookTitle,770)="","",INDEX(BookInYear,770))</f>
        <v/>
      </c>
      <c r="L775" s="19"/>
      <c r="M775" s="39"/>
      <c r="N775" s="19"/>
      <c r="O775" s="19"/>
      <c r="P775" s="43" t="str">
        <f aca="false">IF($E775="","",IF($L775="Decline",0,IF($L775="Approve fewer",IF($M775="","",$M775),IF($L775="","",$I775))))</f>
        <v/>
      </c>
      <c r="Q775" s="34" t="str">
        <f aca="false">IF($P775="","",IF($N775&lt;&gt;"",$N775,$J775))</f>
        <v/>
      </c>
      <c r="R775" s="35" t="str">
        <f aca="false">IF(OR($P775="",$Q775=""),"",INDEX(BookRate,770)*$P775*(5-MATCH($Q775,{"Q1";"Q2";"Q3";"Q4"},0))/4+INDEX(BookOneOff,770)*$P775)</f>
        <v/>
      </c>
      <c r="S775" s="35" t="str">
        <f aca="false">IF($P775="","",INDEX(BookRate,770)*$P775)</f>
        <v/>
      </c>
      <c r="T775" s="35" t="str">
        <f aca="false">IF($R775="","",$R775-$K775)</f>
        <v/>
      </c>
      <c r="U775" s="35" t="str">
        <f aca="false">IF(N($P775)&lt;=0,"",COUNTIF($P$6:$P775,"&gt;0"))</f>
        <v/>
      </c>
    </row>
    <row r="776" customFormat="false" ht="15" hidden="false" customHeight="false" outlineLevel="0" collapsed="false">
      <c r="A776" s="40" t="str">
        <f aca="false">IF(INDEX(BookTitle,771)="","",INDEX(BookGroup,771))</f>
        <v/>
      </c>
      <c r="B776" s="40" t="str">
        <f aca="false">IF(INDEX(BookTitle,771)="","",INDEX(BookRef,771))</f>
        <v/>
      </c>
      <c r="C776" s="40" t="str">
        <f aca="false">IF(INDEX(BookTitle,771)="","",INDEX(BookDivision,771))</f>
        <v/>
      </c>
      <c r="D776" s="40" t="str">
        <f aca="false">IF(INDEX(BookTitle,771)="","",INDEX(BookUnit,771))</f>
        <v/>
      </c>
      <c r="E776" s="40" t="str">
        <f aca="false">IF(INDEX(BookTitle,771)="","",INDEX(BookTitle,771))</f>
        <v/>
      </c>
      <c r="F776" s="40" t="str">
        <f aca="false">IF(INDEX(BookTitle,771)="","",INDEX(BookLevel,771))</f>
        <v/>
      </c>
      <c r="G776" s="40" t="str">
        <f aca="false">IF(INDEX(BookTitle,771)="","",INDEX(BookCategory,771))</f>
        <v/>
      </c>
      <c r="H776" s="40" t="str">
        <f aca="false">IF(INDEX(BookTitle,771)="","",INDEX(BookRank,771))</f>
        <v/>
      </c>
      <c r="I776" s="41" t="str">
        <f aca="false">IF(INDEX(BookTitle,771)="","",INDEX(BookTotal,771))</f>
        <v/>
      </c>
      <c r="J776" s="0" t="str">
        <f aca="false">IF($I776="","",IF(INDEX(BookQ1,771)&gt;0,"Q1",IF(INDEX(BookQ2,771)&gt;0,"Q2",IF(INDEX(BookQ3,771)&gt;0,"Q3",IF(INDEX(BookQ4,771)&gt;0,"Q4","")))))</f>
        <v/>
      </c>
      <c r="K776" s="42" t="str">
        <f aca="false">IF(INDEX(BookTitle,771)="","",INDEX(BookInYear,771))</f>
        <v/>
      </c>
      <c r="L776" s="19"/>
      <c r="M776" s="39"/>
      <c r="N776" s="19"/>
      <c r="O776" s="19"/>
      <c r="P776" s="43" t="str">
        <f aca="false">IF($E776="","",IF($L776="Decline",0,IF($L776="Approve fewer",IF($M776="","",$M776),IF($L776="","",$I776))))</f>
        <v/>
      </c>
      <c r="Q776" s="34" t="str">
        <f aca="false">IF($P776="","",IF($N776&lt;&gt;"",$N776,$J776))</f>
        <v/>
      </c>
      <c r="R776" s="35" t="str">
        <f aca="false">IF(OR($P776="",$Q776=""),"",INDEX(BookRate,771)*$P776*(5-MATCH($Q776,{"Q1";"Q2";"Q3";"Q4"},0))/4+INDEX(BookOneOff,771)*$P776)</f>
        <v/>
      </c>
      <c r="S776" s="35" t="str">
        <f aca="false">IF($P776="","",INDEX(BookRate,771)*$P776)</f>
        <v/>
      </c>
      <c r="T776" s="35" t="str">
        <f aca="false">IF($R776="","",$R776-$K776)</f>
        <v/>
      </c>
      <c r="U776" s="35" t="str">
        <f aca="false">IF(N($P776)&lt;=0,"",COUNTIF($P$6:$P776,"&gt;0"))</f>
        <v/>
      </c>
    </row>
    <row r="777" customFormat="false" ht="15" hidden="false" customHeight="false" outlineLevel="0" collapsed="false">
      <c r="A777" s="40" t="str">
        <f aca="false">IF(INDEX(BookTitle,772)="","",INDEX(BookGroup,772))</f>
        <v/>
      </c>
      <c r="B777" s="40" t="str">
        <f aca="false">IF(INDEX(BookTitle,772)="","",INDEX(BookRef,772))</f>
        <v/>
      </c>
      <c r="C777" s="40" t="str">
        <f aca="false">IF(INDEX(BookTitle,772)="","",INDEX(BookDivision,772))</f>
        <v/>
      </c>
      <c r="D777" s="40" t="str">
        <f aca="false">IF(INDEX(BookTitle,772)="","",INDEX(BookUnit,772))</f>
        <v/>
      </c>
      <c r="E777" s="40" t="str">
        <f aca="false">IF(INDEX(BookTitle,772)="","",INDEX(BookTitle,772))</f>
        <v/>
      </c>
      <c r="F777" s="40" t="str">
        <f aca="false">IF(INDEX(BookTitle,772)="","",INDEX(BookLevel,772))</f>
        <v/>
      </c>
      <c r="G777" s="40" t="str">
        <f aca="false">IF(INDEX(BookTitle,772)="","",INDEX(BookCategory,772))</f>
        <v/>
      </c>
      <c r="H777" s="40" t="str">
        <f aca="false">IF(INDEX(BookTitle,772)="","",INDEX(BookRank,772))</f>
        <v/>
      </c>
      <c r="I777" s="41" t="str">
        <f aca="false">IF(INDEX(BookTitle,772)="","",INDEX(BookTotal,772))</f>
        <v/>
      </c>
      <c r="J777" s="0" t="str">
        <f aca="false">IF($I777="","",IF(INDEX(BookQ1,772)&gt;0,"Q1",IF(INDEX(BookQ2,772)&gt;0,"Q2",IF(INDEX(BookQ3,772)&gt;0,"Q3",IF(INDEX(BookQ4,772)&gt;0,"Q4","")))))</f>
        <v/>
      </c>
      <c r="K777" s="42" t="str">
        <f aca="false">IF(INDEX(BookTitle,772)="","",INDEX(BookInYear,772))</f>
        <v/>
      </c>
      <c r="L777" s="19"/>
      <c r="M777" s="39"/>
      <c r="N777" s="19"/>
      <c r="O777" s="19"/>
      <c r="P777" s="43" t="str">
        <f aca="false">IF($E777="","",IF($L777="Decline",0,IF($L777="Approve fewer",IF($M777="","",$M777),IF($L777="","",$I777))))</f>
        <v/>
      </c>
      <c r="Q777" s="34" t="str">
        <f aca="false">IF($P777="","",IF($N777&lt;&gt;"",$N777,$J777))</f>
        <v/>
      </c>
      <c r="R777" s="35" t="str">
        <f aca="false">IF(OR($P777="",$Q777=""),"",INDEX(BookRate,772)*$P777*(5-MATCH($Q777,{"Q1";"Q2";"Q3";"Q4"},0))/4+INDEX(BookOneOff,772)*$P777)</f>
        <v/>
      </c>
      <c r="S777" s="35" t="str">
        <f aca="false">IF($P777="","",INDEX(BookRate,772)*$P777)</f>
        <v/>
      </c>
      <c r="T777" s="35" t="str">
        <f aca="false">IF($R777="","",$R777-$K777)</f>
        <v/>
      </c>
      <c r="U777" s="35" t="str">
        <f aca="false">IF(N($P777)&lt;=0,"",COUNTIF($P$6:$P777,"&gt;0"))</f>
        <v/>
      </c>
    </row>
    <row r="778" customFormat="false" ht="15" hidden="false" customHeight="false" outlineLevel="0" collapsed="false">
      <c r="A778" s="40" t="str">
        <f aca="false">IF(INDEX(BookTitle,773)="","",INDEX(BookGroup,773))</f>
        <v/>
      </c>
      <c r="B778" s="40" t="str">
        <f aca="false">IF(INDEX(BookTitle,773)="","",INDEX(BookRef,773))</f>
        <v/>
      </c>
      <c r="C778" s="40" t="str">
        <f aca="false">IF(INDEX(BookTitle,773)="","",INDEX(BookDivision,773))</f>
        <v/>
      </c>
      <c r="D778" s="40" t="str">
        <f aca="false">IF(INDEX(BookTitle,773)="","",INDEX(BookUnit,773))</f>
        <v/>
      </c>
      <c r="E778" s="40" t="str">
        <f aca="false">IF(INDEX(BookTitle,773)="","",INDEX(BookTitle,773))</f>
        <v/>
      </c>
      <c r="F778" s="40" t="str">
        <f aca="false">IF(INDEX(BookTitle,773)="","",INDEX(BookLevel,773))</f>
        <v/>
      </c>
      <c r="G778" s="40" t="str">
        <f aca="false">IF(INDEX(BookTitle,773)="","",INDEX(BookCategory,773))</f>
        <v/>
      </c>
      <c r="H778" s="40" t="str">
        <f aca="false">IF(INDEX(BookTitle,773)="","",INDEX(BookRank,773))</f>
        <v/>
      </c>
      <c r="I778" s="41" t="str">
        <f aca="false">IF(INDEX(BookTitle,773)="","",INDEX(BookTotal,773))</f>
        <v/>
      </c>
      <c r="J778" s="0" t="str">
        <f aca="false">IF($I778="","",IF(INDEX(BookQ1,773)&gt;0,"Q1",IF(INDEX(BookQ2,773)&gt;0,"Q2",IF(INDEX(BookQ3,773)&gt;0,"Q3",IF(INDEX(BookQ4,773)&gt;0,"Q4","")))))</f>
        <v/>
      </c>
      <c r="K778" s="42" t="str">
        <f aca="false">IF(INDEX(BookTitle,773)="","",INDEX(BookInYear,773))</f>
        <v/>
      </c>
      <c r="L778" s="19"/>
      <c r="M778" s="39"/>
      <c r="N778" s="19"/>
      <c r="O778" s="19"/>
      <c r="P778" s="43" t="str">
        <f aca="false">IF($E778="","",IF($L778="Decline",0,IF($L778="Approve fewer",IF($M778="","",$M778),IF($L778="","",$I778))))</f>
        <v/>
      </c>
      <c r="Q778" s="34" t="str">
        <f aca="false">IF($P778="","",IF($N778&lt;&gt;"",$N778,$J778))</f>
        <v/>
      </c>
      <c r="R778" s="35" t="str">
        <f aca="false">IF(OR($P778="",$Q778=""),"",INDEX(BookRate,773)*$P778*(5-MATCH($Q778,{"Q1";"Q2";"Q3";"Q4"},0))/4+INDEX(BookOneOff,773)*$P778)</f>
        <v/>
      </c>
      <c r="S778" s="35" t="str">
        <f aca="false">IF($P778="","",INDEX(BookRate,773)*$P778)</f>
        <v/>
      </c>
      <c r="T778" s="35" t="str">
        <f aca="false">IF($R778="","",$R778-$K778)</f>
        <v/>
      </c>
      <c r="U778" s="35" t="str">
        <f aca="false">IF(N($P778)&lt;=0,"",COUNTIF($P$6:$P778,"&gt;0"))</f>
        <v/>
      </c>
    </row>
    <row r="779" customFormat="false" ht="15" hidden="false" customHeight="false" outlineLevel="0" collapsed="false">
      <c r="A779" s="40" t="str">
        <f aca="false">IF(INDEX(BookTitle,774)="","",INDEX(BookGroup,774))</f>
        <v/>
      </c>
      <c r="B779" s="40" t="str">
        <f aca="false">IF(INDEX(BookTitle,774)="","",INDEX(BookRef,774))</f>
        <v/>
      </c>
      <c r="C779" s="40" t="str">
        <f aca="false">IF(INDEX(BookTitle,774)="","",INDEX(BookDivision,774))</f>
        <v/>
      </c>
      <c r="D779" s="40" t="str">
        <f aca="false">IF(INDEX(BookTitle,774)="","",INDEX(BookUnit,774))</f>
        <v/>
      </c>
      <c r="E779" s="40" t="str">
        <f aca="false">IF(INDEX(BookTitle,774)="","",INDEX(BookTitle,774))</f>
        <v/>
      </c>
      <c r="F779" s="40" t="str">
        <f aca="false">IF(INDEX(BookTitle,774)="","",INDEX(BookLevel,774))</f>
        <v/>
      </c>
      <c r="G779" s="40" t="str">
        <f aca="false">IF(INDEX(BookTitle,774)="","",INDEX(BookCategory,774))</f>
        <v/>
      </c>
      <c r="H779" s="40" t="str">
        <f aca="false">IF(INDEX(BookTitle,774)="","",INDEX(BookRank,774))</f>
        <v/>
      </c>
      <c r="I779" s="41" t="str">
        <f aca="false">IF(INDEX(BookTitle,774)="","",INDEX(BookTotal,774))</f>
        <v/>
      </c>
      <c r="J779" s="0" t="str">
        <f aca="false">IF($I779="","",IF(INDEX(BookQ1,774)&gt;0,"Q1",IF(INDEX(BookQ2,774)&gt;0,"Q2",IF(INDEX(BookQ3,774)&gt;0,"Q3",IF(INDEX(BookQ4,774)&gt;0,"Q4","")))))</f>
        <v/>
      </c>
      <c r="K779" s="42" t="str">
        <f aca="false">IF(INDEX(BookTitle,774)="","",INDEX(BookInYear,774))</f>
        <v/>
      </c>
      <c r="L779" s="19"/>
      <c r="M779" s="39"/>
      <c r="N779" s="19"/>
      <c r="O779" s="19"/>
      <c r="P779" s="43" t="str">
        <f aca="false">IF($E779="","",IF($L779="Decline",0,IF($L779="Approve fewer",IF($M779="","",$M779),IF($L779="","",$I779))))</f>
        <v/>
      </c>
      <c r="Q779" s="34" t="str">
        <f aca="false">IF($P779="","",IF($N779&lt;&gt;"",$N779,$J779))</f>
        <v/>
      </c>
      <c r="R779" s="35" t="str">
        <f aca="false">IF(OR($P779="",$Q779=""),"",INDEX(BookRate,774)*$P779*(5-MATCH($Q779,{"Q1";"Q2";"Q3";"Q4"},0))/4+INDEX(BookOneOff,774)*$P779)</f>
        <v/>
      </c>
      <c r="S779" s="35" t="str">
        <f aca="false">IF($P779="","",INDEX(BookRate,774)*$P779)</f>
        <v/>
      </c>
      <c r="T779" s="35" t="str">
        <f aca="false">IF($R779="","",$R779-$K779)</f>
        <v/>
      </c>
      <c r="U779" s="35" t="str">
        <f aca="false">IF(N($P779)&lt;=0,"",COUNTIF($P$6:$P779,"&gt;0"))</f>
        <v/>
      </c>
    </row>
    <row r="780" customFormat="false" ht="15" hidden="false" customHeight="false" outlineLevel="0" collapsed="false">
      <c r="A780" s="40" t="str">
        <f aca="false">IF(INDEX(BookTitle,775)="","",INDEX(BookGroup,775))</f>
        <v/>
      </c>
      <c r="B780" s="40" t="str">
        <f aca="false">IF(INDEX(BookTitle,775)="","",INDEX(BookRef,775))</f>
        <v/>
      </c>
      <c r="C780" s="40" t="str">
        <f aca="false">IF(INDEX(BookTitle,775)="","",INDEX(BookDivision,775))</f>
        <v/>
      </c>
      <c r="D780" s="40" t="str">
        <f aca="false">IF(INDEX(BookTitle,775)="","",INDEX(BookUnit,775))</f>
        <v/>
      </c>
      <c r="E780" s="40" t="str">
        <f aca="false">IF(INDEX(BookTitle,775)="","",INDEX(BookTitle,775))</f>
        <v/>
      </c>
      <c r="F780" s="40" t="str">
        <f aca="false">IF(INDEX(BookTitle,775)="","",INDEX(BookLevel,775))</f>
        <v/>
      </c>
      <c r="G780" s="40" t="str">
        <f aca="false">IF(INDEX(BookTitle,775)="","",INDEX(BookCategory,775))</f>
        <v/>
      </c>
      <c r="H780" s="40" t="str">
        <f aca="false">IF(INDEX(BookTitle,775)="","",INDEX(BookRank,775))</f>
        <v/>
      </c>
      <c r="I780" s="41" t="str">
        <f aca="false">IF(INDEX(BookTitle,775)="","",INDEX(BookTotal,775))</f>
        <v/>
      </c>
      <c r="J780" s="0" t="str">
        <f aca="false">IF($I780="","",IF(INDEX(BookQ1,775)&gt;0,"Q1",IF(INDEX(BookQ2,775)&gt;0,"Q2",IF(INDEX(BookQ3,775)&gt;0,"Q3",IF(INDEX(BookQ4,775)&gt;0,"Q4","")))))</f>
        <v/>
      </c>
      <c r="K780" s="42" t="str">
        <f aca="false">IF(INDEX(BookTitle,775)="","",INDEX(BookInYear,775))</f>
        <v/>
      </c>
      <c r="L780" s="19"/>
      <c r="M780" s="39"/>
      <c r="N780" s="19"/>
      <c r="O780" s="19"/>
      <c r="P780" s="43" t="str">
        <f aca="false">IF($E780="","",IF($L780="Decline",0,IF($L780="Approve fewer",IF($M780="","",$M780),IF($L780="","",$I780))))</f>
        <v/>
      </c>
      <c r="Q780" s="34" t="str">
        <f aca="false">IF($P780="","",IF($N780&lt;&gt;"",$N780,$J780))</f>
        <v/>
      </c>
      <c r="R780" s="35" t="str">
        <f aca="false">IF(OR($P780="",$Q780=""),"",INDEX(BookRate,775)*$P780*(5-MATCH($Q780,{"Q1";"Q2";"Q3";"Q4"},0))/4+INDEX(BookOneOff,775)*$P780)</f>
        <v/>
      </c>
      <c r="S780" s="35" t="str">
        <f aca="false">IF($P780="","",INDEX(BookRate,775)*$P780)</f>
        <v/>
      </c>
      <c r="T780" s="35" t="str">
        <f aca="false">IF($R780="","",$R780-$K780)</f>
        <v/>
      </c>
      <c r="U780" s="35" t="str">
        <f aca="false">IF(N($P780)&lt;=0,"",COUNTIF($P$6:$P780,"&gt;0"))</f>
        <v/>
      </c>
    </row>
    <row r="781" customFormat="false" ht="15" hidden="false" customHeight="false" outlineLevel="0" collapsed="false">
      <c r="A781" s="40" t="str">
        <f aca="false">IF(INDEX(BookTitle,776)="","",INDEX(BookGroup,776))</f>
        <v/>
      </c>
      <c r="B781" s="40" t="str">
        <f aca="false">IF(INDEX(BookTitle,776)="","",INDEX(BookRef,776))</f>
        <v/>
      </c>
      <c r="C781" s="40" t="str">
        <f aca="false">IF(INDEX(BookTitle,776)="","",INDEX(BookDivision,776))</f>
        <v/>
      </c>
      <c r="D781" s="40" t="str">
        <f aca="false">IF(INDEX(BookTitle,776)="","",INDEX(BookUnit,776))</f>
        <v/>
      </c>
      <c r="E781" s="40" t="str">
        <f aca="false">IF(INDEX(BookTitle,776)="","",INDEX(BookTitle,776))</f>
        <v/>
      </c>
      <c r="F781" s="40" t="str">
        <f aca="false">IF(INDEX(BookTitle,776)="","",INDEX(BookLevel,776))</f>
        <v/>
      </c>
      <c r="G781" s="40" t="str">
        <f aca="false">IF(INDEX(BookTitle,776)="","",INDEX(BookCategory,776))</f>
        <v/>
      </c>
      <c r="H781" s="40" t="str">
        <f aca="false">IF(INDEX(BookTitle,776)="","",INDEX(BookRank,776))</f>
        <v/>
      </c>
      <c r="I781" s="41" t="str">
        <f aca="false">IF(INDEX(BookTitle,776)="","",INDEX(BookTotal,776))</f>
        <v/>
      </c>
      <c r="J781" s="0" t="str">
        <f aca="false">IF($I781="","",IF(INDEX(BookQ1,776)&gt;0,"Q1",IF(INDEX(BookQ2,776)&gt;0,"Q2",IF(INDEX(BookQ3,776)&gt;0,"Q3",IF(INDEX(BookQ4,776)&gt;0,"Q4","")))))</f>
        <v/>
      </c>
      <c r="K781" s="42" t="str">
        <f aca="false">IF(INDEX(BookTitle,776)="","",INDEX(BookInYear,776))</f>
        <v/>
      </c>
      <c r="L781" s="19"/>
      <c r="M781" s="39"/>
      <c r="N781" s="19"/>
      <c r="O781" s="19"/>
      <c r="P781" s="43" t="str">
        <f aca="false">IF($E781="","",IF($L781="Decline",0,IF($L781="Approve fewer",IF($M781="","",$M781),IF($L781="","",$I781))))</f>
        <v/>
      </c>
      <c r="Q781" s="34" t="str">
        <f aca="false">IF($P781="","",IF($N781&lt;&gt;"",$N781,$J781))</f>
        <v/>
      </c>
      <c r="R781" s="35" t="str">
        <f aca="false">IF(OR($P781="",$Q781=""),"",INDEX(BookRate,776)*$P781*(5-MATCH($Q781,{"Q1";"Q2";"Q3";"Q4"},0))/4+INDEX(BookOneOff,776)*$P781)</f>
        <v/>
      </c>
      <c r="S781" s="35" t="str">
        <f aca="false">IF($P781="","",INDEX(BookRate,776)*$P781)</f>
        <v/>
      </c>
      <c r="T781" s="35" t="str">
        <f aca="false">IF($R781="","",$R781-$K781)</f>
        <v/>
      </c>
      <c r="U781" s="35" t="str">
        <f aca="false">IF(N($P781)&lt;=0,"",COUNTIF($P$6:$P781,"&gt;0"))</f>
        <v/>
      </c>
    </row>
    <row r="782" customFormat="false" ht="15" hidden="false" customHeight="false" outlineLevel="0" collapsed="false">
      <c r="A782" s="40" t="str">
        <f aca="false">IF(INDEX(BookTitle,777)="","",INDEX(BookGroup,777))</f>
        <v/>
      </c>
      <c r="B782" s="40" t="str">
        <f aca="false">IF(INDEX(BookTitle,777)="","",INDEX(BookRef,777))</f>
        <v/>
      </c>
      <c r="C782" s="40" t="str">
        <f aca="false">IF(INDEX(BookTitle,777)="","",INDEX(BookDivision,777))</f>
        <v/>
      </c>
      <c r="D782" s="40" t="str">
        <f aca="false">IF(INDEX(BookTitle,777)="","",INDEX(BookUnit,777))</f>
        <v/>
      </c>
      <c r="E782" s="40" t="str">
        <f aca="false">IF(INDEX(BookTitle,777)="","",INDEX(BookTitle,777))</f>
        <v/>
      </c>
      <c r="F782" s="40" t="str">
        <f aca="false">IF(INDEX(BookTitle,777)="","",INDEX(BookLevel,777))</f>
        <v/>
      </c>
      <c r="G782" s="40" t="str">
        <f aca="false">IF(INDEX(BookTitle,777)="","",INDEX(BookCategory,777))</f>
        <v/>
      </c>
      <c r="H782" s="40" t="str">
        <f aca="false">IF(INDEX(BookTitle,777)="","",INDEX(BookRank,777))</f>
        <v/>
      </c>
      <c r="I782" s="41" t="str">
        <f aca="false">IF(INDEX(BookTitle,777)="","",INDEX(BookTotal,777))</f>
        <v/>
      </c>
      <c r="J782" s="0" t="str">
        <f aca="false">IF($I782="","",IF(INDEX(BookQ1,777)&gt;0,"Q1",IF(INDEX(BookQ2,777)&gt;0,"Q2",IF(INDEX(BookQ3,777)&gt;0,"Q3",IF(INDEX(BookQ4,777)&gt;0,"Q4","")))))</f>
        <v/>
      </c>
      <c r="K782" s="42" t="str">
        <f aca="false">IF(INDEX(BookTitle,777)="","",INDEX(BookInYear,777))</f>
        <v/>
      </c>
      <c r="L782" s="19"/>
      <c r="M782" s="39"/>
      <c r="N782" s="19"/>
      <c r="O782" s="19"/>
      <c r="P782" s="43" t="str">
        <f aca="false">IF($E782="","",IF($L782="Decline",0,IF($L782="Approve fewer",IF($M782="","",$M782),IF($L782="","",$I782))))</f>
        <v/>
      </c>
      <c r="Q782" s="34" t="str">
        <f aca="false">IF($P782="","",IF($N782&lt;&gt;"",$N782,$J782))</f>
        <v/>
      </c>
      <c r="R782" s="35" t="str">
        <f aca="false">IF(OR($P782="",$Q782=""),"",INDEX(BookRate,777)*$P782*(5-MATCH($Q782,{"Q1";"Q2";"Q3";"Q4"},0))/4+INDEX(BookOneOff,777)*$P782)</f>
        <v/>
      </c>
      <c r="S782" s="35" t="str">
        <f aca="false">IF($P782="","",INDEX(BookRate,777)*$P782)</f>
        <v/>
      </c>
      <c r="T782" s="35" t="str">
        <f aca="false">IF($R782="","",$R782-$K782)</f>
        <v/>
      </c>
      <c r="U782" s="35" t="str">
        <f aca="false">IF(N($P782)&lt;=0,"",COUNTIF($P$6:$P782,"&gt;0"))</f>
        <v/>
      </c>
    </row>
    <row r="783" customFormat="false" ht="15" hidden="false" customHeight="false" outlineLevel="0" collapsed="false">
      <c r="A783" s="40" t="str">
        <f aca="false">IF(INDEX(BookTitle,778)="","",INDEX(BookGroup,778))</f>
        <v/>
      </c>
      <c r="B783" s="40" t="str">
        <f aca="false">IF(INDEX(BookTitle,778)="","",INDEX(BookRef,778))</f>
        <v/>
      </c>
      <c r="C783" s="40" t="str">
        <f aca="false">IF(INDEX(BookTitle,778)="","",INDEX(BookDivision,778))</f>
        <v/>
      </c>
      <c r="D783" s="40" t="str">
        <f aca="false">IF(INDEX(BookTitle,778)="","",INDEX(BookUnit,778))</f>
        <v/>
      </c>
      <c r="E783" s="40" t="str">
        <f aca="false">IF(INDEX(BookTitle,778)="","",INDEX(BookTitle,778))</f>
        <v/>
      </c>
      <c r="F783" s="40" t="str">
        <f aca="false">IF(INDEX(BookTitle,778)="","",INDEX(BookLevel,778))</f>
        <v/>
      </c>
      <c r="G783" s="40" t="str">
        <f aca="false">IF(INDEX(BookTitle,778)="","",INDEX(BookCategory,778))</f>
        <v/>
      </c>
      <c r="H783" s="40" t="str">
        <f aca="false">IF(INDEX(BookTitle,778)="","",INDEX(BookRank,778))</f>
        <v/>
      </c>
      <c r="I783" s="41" t="str">
        <f aca="false">IF(INDEX(BookTitle,778)="","",INDEX(BookTotal,778))</f>
        <v/>
      </c>
      <c r="J783" s="0" t="str">
        <f aca="false">IF($I783="","",IF(INDEX(BookQ1,778)&gt;0,"Q1",IF(INDEX(BookQ2,778)&gt;0,"Q2",IF(INDEX(BookQ3,778)&gt;0,"Q3",IF(INDEX(BookQ4,778)&gt;0,"Q4","")))))</f>
        <v/>
      </c>
      <c r="K783" s="42" t="str">
        <f aca="false">IF(INDEX(BookTitle,778)="","",INDEX(BookInYear,778))</f>
        <v/>
      </c>
      <c r="L783" s="19"/>
      <c r="M783" s="39"/>
      <c r="N783" s="19"/>
      <c r="O783" s="19"/>
      <c r="P783" s="43" t="str">
        <f aca="false">IF($E783="","",IF($L783="Decline",0,IF($L783="Approve fewer",IF($M783="","",$M783),IF($L783="","",$I783))))</f>
        <v/>
      </c>
      <c r="Q783" s="34" t="str">
        <f aca="false">IF($P783="","",IF($N783&lt;&gt;"",$N783,$J783))</f>
        <v/>
      </c>
      <c r="R783" s="35" t="str">
        <f aca="false">IF(OR($P783="",$Q783=""),"",INDEX(BookRate,778)*$P783*(5-MATCH($Q783,{"Q1";"Q2";"Q3";"Q4"},0))/4+INDEX(BookOneOff,778)*$P783)</f>
        <v/>
      </c>
      <c r="S783" s="35" t="str">
        <f aca="false">IF($P783="","",INDEX(BookRate,778)*$P783)</f>
        <v/>
      </c>
      <c r="T783" s="35" t="str">
        <f aca="false">IF($R783="","",$R783-$K783)</f>
        <v/>
      </c>
      <c r="U783" s="35" t="str">
        <f aca="false">IF(N($P783)&lt;=0,"",COUNTIF($P$6:$P783,"&gt;0"))</f>
        <v/>
      </c>
    </row>
    <row r="784" customFormat="false" ht="15" hidden="false" customHeight="false" outlineLevel="0" collapsed="false">
      <c r="A784" s="40" t="str">
        <f aca="false">IF(INDEX(BookTitle,779)="","",INDEX(BookGroup,779))</f>
        <v/>
      </c>
      <c r="B784" s="40" t="str">
        <f aca="false">IF(INDEX(BookTitle,779)="","",INDEX(BookRef,779))</f>
        <v/>
      </c>
      <c r="C784" s="40" t="str">
        <f aca="false">IF(INDEX(BookTitle,779)="","",INDEX(BookDivision,779))</f>
        <v/>
      </c>
      <c r="D784" s="40" t="str">
        <f aca="false">IF(INDEX(BookTitle,779)="","",INDEX(BookUnit,779))</f>
        <v/>
      </c>
      <c r="E784" s="40" t="str">
        <f aca="false">IF(INDEX(BookTitle,779)="","",INDEX(BookTitle,779))</f>
        <v/>
      </c>
      <c r="F784" s="40" t="str">
        <f aca="false">IF(INDEX(BookTitle,779)="","",INDEX(BookLevel,779))</f>
        <v/>
      </c>
      <c r="G784" s="40" t="str">
        <f aca="false">IF(INDEX(BookTitle,779)="","",INDEX(BookCategory,779))</f>
        <v/>
      </c>
      <c r="H784" s="40" t="str">
        <f aca="false">IF(INDEX(BookTitle,779)="","",INDEX(BookRank,779))</f>
        <v/>
      </c>
      <c r="I784" s="41" t="str">
        <f aca="false">IF(INDEX(BookTitle,779)="","",INDEX(BookTotal,779))</f>
        <v/>
      </c>
      <c r="J784" s="0" t="str">
        <f aca="false">IF($I784="","",IF(INDEX(BookQ1,779)&gt;0,"Q1",IF(INDEX(BookQ2,779)&gt;0,"Q2",IF(INDEX(BookQ3,779)&gt;0,"Q3",IF(INDEX(BookQ4,779)&gt;0,"Q4","")))))</f>
        <v/>
      </c>
      <c r="K784" s="42" t="str">
        <f aca="false">IF(INDEX(BookTitle,779)="","",INDEX(BookInYear,779))</f>
        <v/>
      </c>
      <c r="L784" s="19"/>
      <c r="M784" s="39"/>
      <c r="N784" s="19"/>
      <c r="O784" s="19"/>
      <c r="P784" s="43" t="str">
        <f aca="false">IF($E784="","",IF($L784="Decline",0,IF($L784="Approve fewer",IF($M784="","",$M784),IF($L784="","",$I784))))</f>
        <v/>
      </c>
      <c r="Q784" s="34" t="str">
        <f aca="false">IF($P784="","",IF($N784&lt;&gt;"",$N784,$J784))</f>
        <v/>
      </c>
      <c r="R784" s="35" t="str">
        <f aca="false">IF(OR($P784="",$Q784=""),"",INDEX(BookRate,779)*$P784*(5-MATCH($Q784,{"Q1";"Q2";"Q3";"Q4"},0))/4+INDEX(BookOneOff,779)*$P784)</f>
        <v/>
      </c>
      <c r="S784" s="35" t="str">
        <f aca="false">IF($P784="","",INDEX(BookRate,779)*$P784)</f>
        <v/>
      </c>
      <c r="T784" s="35" t="str">
        <f aca="false">IF($R784="","",$R784-$K784)</f>
        <v/>
      </c>
      <c r="U784" s="35" t="str">
        <f aca="false">IF(N($P784)&lt;=0,"",COUNTIF($P$6:$P784,"&gt;0"))</f>
        <v/>
      </c>
    </row>
    <row r="785" customFormat="false" ht="15" hidden="false" customHeight="false" outlineLevel="0" collapsed="false">
      <c r="A785" s="40" t="str">
        <f aca="false">IF(INDEX(BookTitle,780)="","",INDEX(BookGroup,780))</f>
        <v/>
      </c>
      <c r="B785" s="40" t="str">
        <f aca="false">IF(INDEX(BookTitle,780)="","",INDEX(BookRef,780))</f>
        <v/>
      </c>
      <c r="C785" s="40" t="str">
        <f aca="false">IF(INDEX(BookTitle,780)="","",INDEX(BookDivision,780))</f>
        <v/>
      </c>
      <c r="D785" s="40" t="str">
        <f aca="false">IF(INDEX(BookTitle,780)="","",INDEX(BookUnit,780))</f>
        <v/>
      </c>
      <c r="E785" s="40" t="str">
        <f aca="false">IF(INDEX(BookTitle,780)="","",INDEX(BookTitle,780))</f>
        <v/>
      </c>
      <c r="F785" s="40" t="str">
        <f aca="false">IF(INDEX(BookTitle,780)="","",INDEX(BookLevel,780))</f>
        <v/>
      </c>
      <c r="G785" s="40" t="str">
        <f aca="false">IF(INDEX(BookTitle,780)="","",INDEX(BookCategory,780))</f>
        <v/>
      </c>
      <c r="H785" s="40" t="str">
        <f aca="false">IF(INDEX(BookTitle,780)="","",INDEX(BookRank,780))</f>
        <v/>
      </c>
      <c r="I785" s="41" t="str">
        <f aca="false">IF(INDEX(BookTitle,780)="","",INDEX(BookTotal,780))</f>
        <v/>
      </c>
      <c r="J785" s="0" t="str">
        <f aca="false">IF($I785="","",IF(INDEX(BookQ1,780)&gt;0,"Q1",IF(INDEX(BookQ2,780)&gt;0,"Q2",IF(INDEX(BookQ3,780)&gt;0,"Q3",IF(INDEX(BookQ4,780)&gt;0,"Q4","")))))</f>
        <v/>
      </c>
      <c r="K785" s="42" t="str">
        <f aca="false">IF(INDEX(BookTitle,780)="","",INDEX(BookInYear,780))</f>
        <v/>
      </c>
      <c r="L785" s="19"/>
      <c r="M785" s="39"/>
      <c r="N785" s="19"/>
      <c r="O785" s="19"/>
      <c r="P785" s="43" t="str">
        <f aca="false">IF($E785="","",IF($L785="Decline",0,IF($L785="Approve fewer",IF($M785="","",$M785),IF($L785="","",$I785))))</f>
        <v/>
      </c>
      <c r="Q785" s="34" t="str">
        <f aca="false">IF($P785="","",IF($N785&lt;&gt;"",$N785,$J785))</f>
        <v/>
      </c>
      <c r="R785" s="35" t="str">
        <f aca="false">IF(OR($P785="",$Q785=""),"",INDEX(BookRate,780)*$P785*(5-MATCH($Q785,{"Q1";"Q2";"Q3";"Q4"},0))/4+INDEX(BookOneOff,780)*$P785)</f>
        <v/>
      </c>
      <c r="S785" s="35" t="str">
        <f aca="false">IF($P785="","",INDEX(BookRate,780)*$P785)</f>
        <v/>
      </c>
      <c r="T785" s="35" t="str">
        <f aca="false">IF($R785="","",$R785-$K785)</f>
        <v/>
      </c>
      <c r="U785" s="35" t="str">
        <f aca="false">IF(N($P785)&lt;=0,"",COUNTIF($P$6:$P785,"&gt;0"))</f>
        <v/>
      </c>
    </row>
    <row r="786" customFormat="false" ht="15" hidden="false" customHeight="false" outlineLevel="0" collapsed="false">
      <c r="A786" s="40" t="str">
        <f aca="false">IF(INDEX(BookTitle,781)="","",INDEX(BookGroup,781))</f>
        <v/>
      </c>
      <c r="B786" s="40" t="str">
        <f aca="false">IF(INDEX(BookTitle,781)="","",INDEX(BookRef,781))</f>
        <v/>
      </c>
      <c r="C786" s="40" t="str">
        <f aca="false">IF(INDEX(BookTitle,781)="","",INDEX(BookDivision,781))</f>
        <v/>
      </c>
      <c r="D786" s="40" t="str">
        <f aca="false">IF(INDEX(BookTitle,781)="","",INDEX(BookUnit,781))</f>
        <v/>
      </c>
      <c r="E786" s="40" t="str">
        <f aca="false">IF(INDEX(BookTitle,781)="","",INDEX(BookTitle,781))</f>
        <v/>
      </c>
      <c r="F786" s="40" t="str">
        <f aca="false">IF(INDEX(BookTitle,781)="","",INDEX(BookLevel,781))</f>
        <v/>
      </c>
      <c r="G786" s="40" t="str">
        <f aca="false">IF(INDEX(BookTitle,781)="","",INDEX(BookCategory,781))</f>
        <v/>
      </c>
      <c r="H786" s="40" t="str">
        <f aca="false">IF(INDEX(BookTitle,781)="","",INDEX(BookRank,781))</f>
        <v/>
      </c>
      <c r="I786" s="41" t="str">
        <f aca="false">IF(INDEX(BookTitle,781)="","",INDEX(BookTotal,781))</f>
        <v/>
      </c>
      <c r="J786" s="0" t="str">
        <f aca="false">IF($I786="","",IF(INDEX(BookQ1,781)&gt;0,"Q1",IF(INDEX(BookQ2,781)&gt;0,"Q2",IF(INDEX(BookQ3,781)&gt;0,"Q3",IF(INDEX(BookQ4,781)&gt;0,"Q4","")))))</f>
        <v/>
      </c>
      <c r="K786" s="42" t="str">
        <f aca="false">IF(INDEX(BookTitle,781)="","",INDEX(BookInYear,781))</f>
        <v/>
      </c>
      <c r="L786" s="19"/>
      <c r="M786" s="39"/>
      <c r="N786" s="19"/>
      <c r="O786" s="19"/>
      <c r="P786" s="43" t="str">
        <f aca="false">IF($E786="","",IF($L786="Decline",0,IF($L786="Approve fewer",IF($M786="","",$M786),IF($L786="","",$I786))))</f>
        <v/>
      </c>
      <c r="Q786" s="34" t="str">
        <f aca="false">IF($P786="","",IF($N786&lt;&gt;"",$N786,$J786))</f>
        <v/>
      </c>
      <c r="R786" s="35" t="str">
        <f aca="false">IF(OR($P786="",$Q786=""),"",INDEX(BookRate,781)*$P786*(5-MATCH($Q786,{"Q1";"Q2";"Q3";"Q4"},0))/4+INDEX(BookOneOff,781)*$P786)</f>
        <v/>
      </c>
      <c r="S786" s="35" t="str">
        <f aca="false">IF($P786="","",INDEX(BookRate,781)*$P786)</f>
        <v/>
      </c>
      <c r="T786" s="35" t="str">
        <f aca="false">IF($R786="","",$R786-$K786)</f>
        <v/>
      </c>
      <c r="U786" s="35" t="str">
        <f aca="false">IF(N($P786)&lt;=0,"",COUNTIF($P$6:$P786,"&gt;0"))</f>
        <v/>
      </c>
    </row>
    <row r="787" customFormat="false" ht="15" hidden="false" customHeight="false" outlineLevel="0" collapsed="false">
      <c r="A787" s="40" t="str">
        <f aca="false">IF(INDEX(BookTitle,782)="","",INDEX(BookGroup,782))</f>
        <v/>
      </c>
      <c r="B787" s="40" t="str">
        <f aca="false">IF(INDEX(BookTitle,782)="","",INDEX(BookRef,782))</f>
        <v/>
      </c>
      <c r="C787" s="40" t="str">
        <f aca="false">IF(INDEX(BookTitle,782)="","",INDEX(BookDivision,782))</f>
        <v/>
      </c>
      <c r="D787" s="40" t="str">
        <f aca="false">IF(INDEX(BookTitle,782)="","",INDEX(BookUnit,782))</f>
        <v/>
      </c>
      <c r="E787" s="40" t="str">
        <f aca="false">IF(INDEX(BookTitle,782)="","",INDEX(BookTitle,782))</f>
        <v/>
      </c>
      <c r="F787" s="40" t="str">
        <f aca="false">IF(INDEX(BookTitle,782)="","",INDEX(BookLevel,782))</f>
        <v/>
      </c>
      <c r="G787" s="40" t="str">
        <f aca="false">IF(INDEX(BookTitle,782)="","",INDEX(BookCategory,782))</f>
        <v/>
      </c>
      <c r="H787" s="40" t="str">
        <f aca="false">IF(INDEX(BookTitle,782)="","",INDEX(BookRank,782))</f>
        <v/>
      </c>
      <c r="I787" s="41" t="str">
        <f aca="false">IF(INDEX(BookTitle,782)="","",INDEX(BookTotal,782))</f>
        <v/>
      </c>
      <c r="J787" s="0" t="str">
        <f aca="false">IF($I787="","",IF(INDEX(BookQ1,782)&gt;0,"Q1",IF(INDEX(BookQ2,782)&gt;0,"Q2",IF(INDEX(BookQ3,782)&gt;0,"Q3",IF(INDEX(BookQ4,782)&gt;0,"Q4","")))))</f>
        <v/>
      </c>
      <c r="K787" s="42" t="str">
        <f aca="false">IF(INDEX(BookTitle,782)="","",INDEX(BookInYear,782))</f>
        <v/>
      </c>
      <c r="L787" s="19"/>
      <c r="M787" s="39"/>
      <c r="N787" s="19"/>
      <c r="O787" s="19"/>
      <c r="P787" s="43" t="str">
        <f aca="false">IF($E787="","",IF($L787="Decline",0,IF($L787="Approve fewer",IF($M787="","",$M787),IF($L787="","",$I787))))</f>
        <v/>
      </c>
      <c r="Q787" s="34" t="str">
        <f aca="false">IF($P787="","",IF($N787&lt;&gt;"",$N787,$J787))</f>
        <v/>
      </c>
      <c r="R787" s="35" t="str">
        <f aca="false">IF(OR($P787="",$Q787=""),"",INDEX(BookRate,782)*$P787*(5-MATCH($Q787,{"Q1";"Q2";"Q3";"Q4"},0))/4+INDEX(BookOneOff,782)*$P787)</f>
        <v/>
      </c>
      <c r="S787" s="35" t="str">
        <f aca="false">IF($P787="","",INDEX(BookRate,782)*$P787)</f>
        <v/>
      </c>
      <c r="T787" s="35" t="str">
        <f aca="false">IF($R787="","",$R787-$K787)</f>
        <v/>
      </c>
      <c r="U787" s="35" t="str">
        <f aca="false">IF(N($P787)&lt;=0,"",COUNTIF($P$6:$P787,"&gt;0"))</f>
        <v/>
      </c>
    </row>
    <row r="788" customFormat="false" ht="15" hidden="false" customHeight="false" outlineLevel="0" collapsed="false">
      <c r="A788" s="40" t="str">
        <f aca="false">IF(INDEX(BookTitle,783)="","",INDEX(BookGroup,783))</f>
        <v/>
      </c>
      <c r="B788" s="40" t="str">
        <f aca="false">IF(INDEX(BookTitle,783)="","",INDEX(BookRef,783))</f>
        <v/>
      </c>
      <c r="C788" s="40" t="str">
        <f aca="false">IF(INDEX(BookTitle,783)="","",INDEX(BookDivision,783))</f>
        <v/>
      </c>
      <c r="D788" s="40" t="str">
        <f aca="false">IF(INDEX(BookTitle,783)="","",INDEX(BookUnit,783))</f>
        <v/>
      </c>
      <c r="E788" s="40" t="str">
        <f aca="false">IF(INDEX(BookTitle,783)="","",INDEX(BookTitle,783))</f>
        <v/>
      </c>
      <c r="F788" s="40" t="str">
        <f aca="false">IF(INDEX(BookTitle,783)="","",INDEX(BookLevel,783))</f>
        <v/>
      </c>
      <c r="G788" s="40" t="str">
        <f aca="false">IF(INDEX(BookTitle,783)="","",INDEX(BookCategory,783))</f>
        <v/>
      </c>
      <c r="H788" s="40" t="str">
        <f aca="false">IF(INDEX(BookTitle,783)="","",INDEX(BookRank,783))</f>
        <v/>
      </c>
      <c r="I788" s="41" t="str">
        <f aca="false">IF(INDEX(BookTitle,783)="","",INDEX(BookTotal,783))</f>
        <v/>
      </c>
      <c r="J788" s="0" t="str">
        <f aca="false">IF($I788="","",IF(INDEX(BookQ1,783)&gt;0,"Q1",IF(INDEX(BookQ2,783)&gt;0,"Q2",IF(INDEX(BookQ3,783)&gt;0,"Q3",IF(INDEX(BookQ4,783)&gt;0,"Q4","")))))</f>
        <v/>
      </c>
      <c r="K788" s="42" t="str">
        <f aca="false">IF(INDEX(BookTitle,783)="","",INDEX(BookInYear,783))</f>
        <v/>
      </c>
      <c r="L788" s="19"/>
      <c r="M788" s="39"/>
      <c r="N788" s="19"/>
      <c r="O788" s="19"/>
      <c r="P788" s="43" t="str">
        <f aca="false">IF($E788="","",IF($L788="Decline",0,IF($L788="Approve fewer",IF($M788="","",$M788),IF($L788="","",$I788))))</f>
        <v/>
      </c>
      <c r="Q788" s="34" t="str">
        <f aca="false">IF($P788="","",IF($N788&lt;&gt;"",$N788,$J788))</f>
        <v/>
      </c>
      <c r="R788" s="35" t="str">
        <f aca="false">IF(OR($P788="",$Q788=""),"",INDEX(BookRate,783)*$P788*(5-MATCH($Q788,{"Q1";"Q2";"Q3";"Q4"},0))/4+INDEX(BookOneOff,783)*$P788)</f>
        <v/>
      </c>
      <c r="S788" s="35" t="str">
        <f aca="false">IF($P788="","",INDEX(BookRate,783)*$P788)</f>
        <v/>
      </c>
      <c r="T788" s="35" t="str">
        <f aca="false">IF($R788="","",$R788-$K788)</f>
        <v/>
      </c>
      <c r="U788" s="35" t="str">
        <f aca="false">IF(N($P788)&lt;=0,"",COUNTIF($P$6:$P788,"&gt;0"))</f>
        <v/>
      </c>
    </row>
    <row r="789" customFormat="false" ht="15" hidden="false" customHeight="false" outlineLevel="0" collapsed="false">
      <c r="A789" s="40" t="str">
        <f aca="false">IF(INDEX(BookTitle,784)="","",INDEX(BookGroup,784))</f>
        <v/>
      </c>
      <c r="B789" s="40" t="str">
        <f aca="false">IF(INDEX(BookTitle,784)="","",INDEX(BookRef,784))</f>
        <v/>
      </c>
      <c r="C789" s="40" t="str">
        <f aca="false">IF(INDEX(BookTitle,784)="","",INDEX(BookDivision,784))</f>
        <v/>
      </c>
      <c r="D789" s="40" t="str">
        <f aca="false">IF(INDEX(BookTitle,784)="","",INDEX(BookUnit,784))</f>
        <v/>
      </c>
      <c r="E789" s="40" t="str">
        <f aca="false">IF(INDEX(BookTitle,784)="","",INDEX(BookTitle,784))</f>
        <v/>
      </c>
      <c r="F789" s="40" t="str">
        <f aca="false">IF(INDEX(BookTitle,784)="","",INDEX(BookLevel,784))</f>
        <v/>
      </c>
      <c r="G789" s="40" t="str">
        <f aca="false">IF(INDEX(BookTitle,784)="","",INDEX(BookCategory,784))</f>
        <v/>
      </c>
      <c r="H789" s="40" t="str">
        <f aca="false">IF(INDEX(BookTitle,784)="","",INDEX(BookRank,784))</f>
        <v/>
      </c>
      <c r="I789" s="41" t="str">
        <f aca="false">IF(INDEX(BookTitle,784)="","",INDEX(BookTotal,784))</f>
        <v/>
      </c>
      <c r="J789" s="0" t="str">
        <f aca="false">IF($I789="","",IF(INDEX(BookQ1,784)&gt;0,"Q1",IF(INDEX(BookQ2,784)&gt;0,"Q2",IF(INDEX(BookQ3,784)&gt;0,"Q3",IF(INDEX(BookQ4,784)&gt;0,"Q4","")))))</f>
        <v/>
      </c>
      <c r="K789" s="42" t="str">
        <f aca="false">IF(INDEX(BookTitle,784)="","",INDEX(BookInYear,784))</f>
        <v/>
      </c>
      <c r="L789" s="19"/>
      <c r="M789" s="39"/>
      <c r="N789" s="19"/>
      <c r="O789" s="19"/>
      <c r="P789" s="43" t="str">
        <f aca="false">IF($E789="","",IF($L789="Decline",0,IF($L789="Approve fewer",IF($M789="","",$M789),IF($L789="","",$I789))))</f>
        <v/>
      </c>
      <c r="Q789" s="34" t="str">
        <f aca="false">IF($P789="","",IF($N789&lt;&gt;"",$N789,$J789))</f>
        <v/>
      </c>
      <c r="R789" s="35" t="str">
        <f aca="false">IF(OR($P789="",$Q789=""),"",INDEX(BookRate,784)*$P789*(5-MATCH($Q789,{"Q1";"Q2";"Q3";"Q4"},0))/4+INDEX(BookOneOff,784)*$P789)</f>
        <v/>
      </c>
      <c r="S789" s="35" t="str">
        <f aca="false">IF($P789="","",INDEX(BookRate,784)*$P789)</f>
        <v/>
      </c>
      <c r="T789" s="35" t="str">
        <f aca="false">IF($R789="","",$R789-$K789)</f>
        <v/>
      </c>
      <c r="U789" s="35" t="str">
        <f aca="false">IF(N($P789)&lt;=0,"",COUNTIF($P$6:$P789,"&gt;0"))</f>
        <v/>
      </c>
    </row>
    <row r="790" customFormat="false" ht="15" hidden="false" customHeight="false" outlineLevel="0" collapsed="false">
      <c r="A790" s="40" t="str">
        <f aca="false">IF(INDEX(BookTitle,785)="","",INDEX(BookGroup,785))</f>
        <v/>
      </c>
      <c r="B790" s="40" t="str">
        <f aca="false">IF(INDEX(BookTitle,785)="","",INDEX(BookRef,785))</f>
        <v/>
      </c>
      <c r="C790" s="40" t="str">
        <f aca="false">IF(INDEX(BookTitle,785)="","",INDEX(BookDivision,785))</f>
        <v/>
      </c>
      <c r="D790" s="40" t="str">
        <f aca="false">IF(INDEX(BookTitle,785)="","",INDEX(BookUnit,785))</f>
        <v/>
      </c>
      <c r="E790" s="40" t="str">
        <f aca="false">IF(INDEX(BookTitle,785)="","",INDEX(BookTitle,785))</f>
        <v/>
      </c>
      <c r="F790" s="40" t="str">
        <f aca="false">IF(INDEX(BookTitle,785)="","",INDEX(BookLevel,785))</f>
        <v/>
      </c>
      <c r="G790" s="40" t="str">
        <f aca="false">IF(INDEX(BookTitle,785)="","",INDEX(BookCategory,785))</f>
        <v/>
      </c>
      <c r="H790" s="40" t="str">
        <f aca="false">IF(INDEX(BookTitle,785)="","",INDEX(BookRank,785))</f>
        <v/>
      </c>
      <c r="I790" s="41" t="str">
        <f aca="false">IF(INDEX(BookTitle,785)="","",INDEX(BookTotal,785))</f>
        <v/>
      </c>
      <c r="J790" s="0" t="str">
        <f aca="false">IF($I790="","",IF(INDEX(BookQ1,785)&gt;0,"Q1",IF(INDEX(BookQ2,785)&gt;0,"Q2",IF(INDEX(BookQ3,785)&gt;0,"Q3",IF(INDEX(BookQ4,785)&gt;0,"Q4","")))))</f>
        <v/>
      </c>
      <c r="K790" s="42" t="str">
        <f aca="false">IF(INDEX(BookTitle,785)="","",INDEX(BookInYear,785))</f>
        <v/>
      </c>
      <c r="L790" s="19"/>
      <c r="M790" s="39"/>
      <c r="N790" s="19"/>
      <c r="O790" s="19"/>
      <c r="P790" s="43" t="str">
        <f aca="false">IF($E790="","",IF($L790="Decline",0,IF($L790="Approve fewer",IF($M790="","",$M790),IF($L790="","",$I790))))</f>
        <v/>
      </c>
      <c r="Q790" s="34" t="str">
        <f aca="false">IF($P790="","",IF($N790&lt;&gt;"",$N790,$J790))</f>
        <v/>
      </c>
      <c r="R790" s="35" t="str">
        <f aca="false">IF(OR($P790="",$Q790=""),"",INDEX(BookRate,785)*$P790*(5-MATCH($Q790,{"Q1";"Q2";"Q3";"Q4"},0))/4+INDEX(BookOneOff,785)*$P790)</f>
        <v/>
      </c>
      <c r="S790" s="35" t="str">
        <f aca="false">IF($P790="","",INDEX(BookRate,785)*$P790)</f>
        <v/>
      </c>
      <c r="T790" s="35" t="str">
        <f aca="false">IF($R790="","",$R790-$K790)</f>
        <v/>
      </c>
      <c r="U790" s="35" t="str">
        <f aca="false">IF(N($P790)&lt;=0,"",COUNTIF($P$6:$P790,"&gt;0"))</f>
        <v/>
      </c>
    </row>
    <row r="791" customFormat="false" ht="15" hidden="false" customHeight="false" outlineLevel="0" collapsed="false">
      <c r="A791" s="40" t="str">
        <f aca="false">IF(INDEX(BookTitle,786)="","",INDEX(BookGroup,786))</f>
        <v/>
      </c>
      <c r="B791" s="40" t="str">
        <f aca="false">IF(INDEX(BookTitle,786)="","",INDEX(BookRef,786))</f>
        <v/>
      </c>
      <c r="C791" s="40" t="str">
        <f aca="false">IF(INDEX(BookTitle,786)="","",INDEX(BookDivision,786))</f>
        <v/>
      </c>
      <c r="D791" s="40" t="str">
        <f aca="false">IF(INDEX(BookTitle,786)="","",INDEX(BookUnit,786))</f>
        <v/>
      </c>
      <c r="E791" s="40" t="str">
        <f aca="false">IF(INDEX(BookTitle,786)="","",INDEX(BookTitle,786))</f>
        <v/>
      </c>
      <c r="F791" s="40" t="str">
        <f aca="false">IF(INDEX(BookTitle,786)="","",INDEX(BookLevel,786))</f>
        <v/>
      </c>
      <c r="G791" s="40" t="str">
        <f aca="false">IF(INDEX(BookTitle,786)="","",INDEX(BookCategory,786))</f>
        <v/>
      </c>
      <c r="H791" s="40" t="str">
        <f aca="false">IF(INDEX(BookTitle,786)="","",INDEX(BookRank,786))</f>
        <v/>
      </c>
      <c r="I791" s="41" t="str">
        <f aca="false">IF(INDEX(BookTitle,786)="","",INDEX(BookTotal,786))</f>
        <v/>
      </c>
      <c r="J791" s="0" t="str">
        <f aca="false">IF($I791="","",IF(INDEX(BookQ1,786)&gt;0,"Q1",IF(INDEX(BookQ2,786)&gt;0,"Q2",IF(INDEX(BookQ3,786)&gt;0,"Q3",IF(INDEX(BookQ4,786)&gt;0,"Q4","")))))</f>
        <v/>
      </c>
      <c r="K791" s="42" t="str">
        <f aca="false">IF(INDEX(BookTitle,786)="","",INDEX(BookInYear,786))</f>
        <v/>
      </c>
      <c r="L791" s="19"/>
      <c r="M791" s="39"/>
      <c r="N791" s="19"/>
      <c r="O791" s="19"/>
      <c r="P791" s="43" t="str">
        <f aca="false">IF($E791="","",IF($L791="Decline",0,IF($L791="Approve fewer",IF($M791="","",$M791),IF($L791="","",$I791))))</f>
        <v/>
      </c>
      <c r="Q791" s="34" t="str">
        <f aca="false">IF($P791="","",IF($N791&lt;&gt;"",$N791,$J791))</f>
        <v/>
      </c>
      <c r="R791" s="35" t="str">
        <f aca="false">IF(OR($P791="",$Q791=""),"",INDEX(BookRate,786)*$P791*(5-MATCH($Q791,{"Q1";"Q2";"Q3";"Q4"},0))/4+INDEX(BookOneOff,786)*$P791)</f>
        <v/>
      </c>
      <c r="S791" s="35" t="str">
        <f aca="false">IF($P791="","",INDEX(BookRate,786)*$P791)</f>
        <v/>
      </c>
      <c r="T791" s="35" t="str">
        <f aca="false">IF($R791="","",$R791-$K791)</f>
        <v/>
      </c>
      <c r="U791" s="35" t="str">
        <f aca="false">IF(N($P791)&lt;=0,"",COUNTIF($P$6:$P791,"&gt;0"))</f>
        <v/>
      </c>
    </row>
    <row r="792" customFormat="false" ht="15" hidden="false" customHeight="false" outlineLevel="0" collapsed="false">
      <c r="A792" s="40" t="str">
        <f aca="false">IF(INDEX(BookTitle,787)="","",INDEX(BookGroup,787))</f>
        <v/>
      </c>
      <c r="B792" s="40" t="str">
        <f aca="false">IF(INDEX(BookTitle,787)="","",INDEX(BookRef,787))</f>
        <v/>
      </c>
      <c r="C792" s="40" t="str">
        <f aca="false">IF(INDEX(BookTitle,787)="","",INDEX(BookDivision,787))</f>
        <v/>
      </c>
      <c r="D792" s="40" t="str">
        <f aca="false">IF(INDEX(BookTitle,787)="","",INDEX(BookUnit,787))</f>
        <v/>
      </c>
      <c r="E792" s="40" t="str">
        <f aca="false">IF(INDEX(BookTitle,787)="","",INDEX(BookTitle,787))</f>
        <v/>
      </c>
      <c r="F792" s="40" t="str">
        <f aca="false">IF(INDEX(BookTitle,787)="","",INDEX(BookLevel,787))</f>
        <v/>
      </c>
      <c r="G792" s="40" t="str">
        <f aca="false">IF(INDEX(BookTitle,787)="","",INDEX(BookCategory,787))</f>
        <v/>
      </c>
      <c r="H792" s="40" t="str">
        <f aca="false">IF(INDEX(BookTitle,787)="","",INDEX(BookRank,787))</f>
        <v/>
      </c>
      <c r="I792" s="41" t="str">
        <f aca="false">IF(INDEX(BookTitle,787)="","",INDEX(BookTotal,787))</f>
        <v/>
      </c>
      <c r="J792" s="0" t="str">
        <f aca="false">IF($I792="","",IF(INDEX(BookQ1,787)&gt;0,"Q1",IF(INDEX(BookQ2,787)&gt;0,"Q2",IF(INDEX(BookQ3,787)&gt;0,"Q3",IF(INDEX(BookQ4,787)&gt;0,"Q4","")))))</f>
        <v/>
      </c>
      <c r="K792" s="42" t="str">
        <f aca="false">IF(INDEX(BookTitle,787)="","",INDEX(BookInYear,787))</f>
        <v/>
      </c>
      <c r="L792" s="19"/>
      <c r="M792" s="39"/>
      <c r="N792" s="19"/>
      <c r="O792" s="19"/>
      <c r="P792" s="43" t="str">
        <f aca="false">IF($E792="","",IF($L792="Decline",0,IF($L792="Approve fewer",IF($M792="","",$M792),IF($L792="","",$I792))))</f>
        <v/>
      </c>
      <c r="Q792" s="34" t="str">
        <f aca="false">IF($P792="","",IF($N792&lt;&gt;"",$N792,$J792))</f>
        <v/>
      </c>
      <c r="R792" s="35" t="str">
        <f aca="false">IF(OR($P792="",$Q792=""),"",INDEX(BookRate,787)*$P792*(5-MATCH($Q792,{"Q1";"Q2";"Q3";"Q4"},0))/4+INDEX(BookOneOff,787)*$P792)</f>
        <v/>
      </c>
      <c r="S792" s="35" t="str">
        <f aca="false">IF($P792="","",INDEX(BookRate,787)*$P792)</f>
        <v/>
      </c>
      <c r="T792" s="35" t="str">
        <f aca="false">IF($R792="","",$R792-$K792)</f>
        <v/>
      </c>
      <c r="U792" s="35" t="str">
        <f aca="false">IF(N($P792)&lt;=0,"",COUNTIF($P$6:$P792,"&gt;0"))</f>
        <v/>
      </c>
    </row>
    <row r="793" customFormat="false" ht="15" hidden="false" customHeight="false" outlineLevel="0" collapsed="false">
      <c r="A793" s="40" t="str">
        <f aca="false">IF(INDEX(BookTitle,788)="","",INDEX(BookGroup,788))</f>
        <v/>
      </c>
      <c r="B793" s="40" t="str">
        <f aca="false">IF(INDEX(BookTitle,788)="","",INDEX(BookRef,788))</f>
        <v/>
      </c>
      <c r="C793" s="40" t="str">
        <f aca="false">IF(INDEX(BookTitle,788)="","",INDEX(BookDivision,788))</f>
        <v/>
      </c>
      <c r="D793" s="40" t="str">
        <f aca="false">IF(INDEX(BookTitle,788)="","",INDEX(BookUnit,788))</f>
        <v/>
      </c>
      <c r="E793" s="40" t="str">
        <f aca="false">IF(INDEX(BookTitle,788)="","",INDEX(BookTitle,788))</f>
        <v/>
      </c>
      <c r="F793" s="40" t="str">
        <f aca="false">IF(INDEX(BookTitle,788)="","",INDEX(BookLevel,788))</f>
        <v/>
      </c>
      <c r="G793" s="40" t="str">
        <f aca="false">IF(INDEX(BookTitle,788)="","",INDEX(BookCategory,788))</f>
        <v/>
      </c>
      <c r="H793" s="40" t="str">
        <f aca="false">IF(INDEX(BookTitle,788)="","",INDEX(BookRank,788))</f>
        <v/>
      </c>
      <c r="I793" s="41" t="str">
        <f aca="false">IF(INDEX(BookTitle,788)="","",INDEX(BookTotal,788))</f>
        <v/>
      </c>
      <c r="J793" s="0" t="str">
        <f aca="false">IF($I793="","",IF(INDEX(BookQ1,788)&gt;0,"Q1",IF(INDEX(BookQ2,788)&gt;0,"Q2",IF(INDEX(BookQ3,788)&gt;0,"Q3",IF(INDEX(BookQ4,788)&gt;0,"Q4","")))))</f>
        <v/>
      </c>
      <c r="K793" s="42" t="str">
        <f aca="false">IF(INDEX(BookTitle,788)="","",INDEX(BookInYear,788))</f>
        <v/>
      </c>
      <c r="L793" s="19"/>
      <c r="M793" s="39"/>
      <c r="N793" s="19"/>
      <c r="O793" s="19"/>
      <c r="P793" s="43" t="str">
        <f aca="false">IF($E793="","",IF($L793="Decline",0,IF($L793="Approve fewer",IF($M793="","",$M793),IF($L793="","",$I793))))</f>
        <v/>
      </c>
      <c r="Q793" s="34" t="str">
        <f aca="false">IF($P793="","",IF($N793&lt;&gt;"",$N793,$J793))</f>
        <v/>
      </c>
      <c r="R793" s="35" t="str">
        <f aca="false">IF(OR($P793="",$Q793=""),"",INDEX(BookRate,788)*$P793*(5-MATCH($Q793,{"Q1";"Q2";"Q3";"Q4"},0))/4+INDEX(BookOneOff,788)*$P793)</f>
        <v/>
      </c>
      <c r="S793" s="35" t="str">
        <f aca="false">IF($P793="","",INDEX(BookRate,788)*$P793)</f>
        <v/>
      </c>
      <c r="T793" s="35" t="str">
        <f aca="false">IF($R793="","",$R793-$K793)</f>
        <v/>
      </c>
      <c r="U793" s="35" t="str">
        <f aca="false">IF(N($P793)&lt;=0,"",COUNTIF($P$6:$P793,"&gt;0"))</f>
        <v/>
      </c>
    </row>
    <row r="794" customFormat="false" ht="15" hidden="false" customHeight="false" outlineLevel="0" collapsed="false">
      <c r="A794" s="40" t="str">
        <f aca="false">IF(INDEX(BookTitle,789)="","",INDEX(BookGroup,789))</f>
        <v/>
      </c>
      <c r="B794" s="40" t="str">
        <f aca="false">IF(INDEX(BookTitle,789)="","",INDEX(BookRef,789))</f>
        <v/>
      </c>
      <c r="C794" s="40" t="str">
        <f aca="false">IF(INDEX(BookTitle,789)="","",INDEX(BookDivision,789))</f>
        <v/>
      </c>
      <c r="D794" s="40" t="str">
        <f aca="false">IF(INDEX(BookTitle,789)="","",INDEX(BookUnit,789))</f>
        <v/>
      </c>
      <c r="E794" s="40" t="str">
        <f aca="false">IF(INDEX(BookTitle,789)="","",INDEX(BookTitle,789))</f>
        <v/>
      </c>
      <c r="F794" s="40" t="str">
        <f aca="false">IF(INDEX(BookTitle,789)="","",INDEX(BookLevel,789))</f>
        <v/>
      </c>
      <c r="G794" s="40" t="str">
        <f aca="false">IF(INDEX(BookTitle,789)="","",INDEX(BookCategory,789))</f>
        <v/>
      </c>
      <c r="H794" s="40" t="str">
        <f aca="false">IF(INDEX(BookTitle,789)="","",INDEX(BookRank,789))</f>
        <v/>
      </c>
      <c r="I794" s="41" t="str">
        <f aca="false">IF(INDEX(BookTitle,789)="","",INDEX(BookTotal,789))</f>
        <v/>
      </c>
      <c r="J794" s="0" t="str">
        <f aca="false">IF($I794="","",IF(INDEX(BookQ1,789)&gt;0,"Q1",IF(INDEX(BookQ2,789)&gt;0,"Q2",IF(INDEX(BookQ3,789)&gt;0,"Q3",IF(INDEX(BookQ4,789)&gt;0,"Q4","")))))</f>
        <v/>
      </c>
      <c r="K794" s="42" t="str">
        <f aca="false">IF(INDEX(BookTitle,789)="","",INDEX(BookInYear,789))</f>
        <v/>
      </c>
      <c r="L794" s="19"/>
      <c r="M794" s="39"/>
      <c r="N794" s="19"/>
      <c r="O794" s="19"/>
      <c r="P794" s="43" t="str">
        <f aca="false">IF($E794="","",IF($L794="Decline",0,IF($L794="Approve fewer",IF($M794="","",$M794),IF($L794="","",$I794))))</f>
        <v/>
      </c>
      <c r="Q794" s="34" t="str">
        <f aca="false">IF($P794="","",IF($N794&lt;&gt;"",$N794,$J794))</f>
        <v/>
      </c>
      <c r="R794" s="35" t="str">
        <f aca="false">IF(OR($P794="",$Q794=""),"",INDEX(BookRate,789)*$P794*(5-MATCH($Q794,{"Q1";"Q2";"Q3";"Q4"},0))/4+INDEX(BookOneOff,789)*$P794)</f>
        <v/>
      </c>
      <c r="S794" s="35" t="str">
        <f aca="false">IF($P794="","",INDEX(BookRate,789)*$P794)</f>
        <v/>
      </c>
      <c r="T794" s="35" t="str">
        <f aca="false">IF($R794="","",$R794-$K794)</f>
        <v/>
      </c>
      <c r="U794" s="35" t="str">
        <f aca="false">IF(N($P794)&lt;=0,"",COUNTIF($P$6:$P794,"&gt;0"))</f>
        <v/>
      </c>
    </row>
    <row r="795" customFormat="false" ht="15" hidden="false" customHeight="false" outlineLevel="0" collapsed="false">
      <c r="A795" s="40" t="str">
        <f aca="false">IF(INDEX(BookTitle,790)="","",INDEX(BookGroup,790))</f>
        <v/>
      </c>
      <c r="B795" s="40" t="str">
        <f aca="false">IF(INDEX(BookTitle,790)="","",INDEX(BookRef,790))</f>
        <v/>
      </c>
      <c r="C795" s="40" t="str">
        <f aca="false">IF(INDEX(BookTitle,790)="","",INDEX(BookDivision,790))</f>
        <v/>
      </c>
      <c r="D795" s="40" t="str">
        <f aca="false">IF(INDEX(BookTitle,790)="","",INDEX(BookUnit,790))</f>
        <v/>
      </c>
      <c r="E795" s="40" t="str">
        <f aca="false">IF(INDEX(BookTitle,790)="","",INDEX(BookTitle,790))</f>
        <v/>
      </c>
      <c r="F795" s="40" t="str">
        <f aca="false">IF(INDEX(BookTitle,790)="","",INDEX(BookLevel,790))</f>
        <v/>
      </c>
      <c r="G795" s="40" t="str">
        <f aca="false">IF(INDEX(BookTitle,790)="","",INDEX(BookCategory,790))</f>
        <v/>
      </c>
      <c r="H795" s="40" t="str">
        <f aca="false">IF(INDEX(BookTitle,790)="","",INDEX(BookRank,790))</f>
        <v/>
      </c>
      <c r="I795" s="41" t="str">
        <f aca="false">IF(INDEX(BookTitle,790)="","",INDEX(BookTotal,790))</f>
        <v/>
      </c>
      <c r="J795" s="0" t="str">
        <f aca="false">IF($I795="","",IF(INDEX(BookQ1,790)&gt;0,"Q1",IF(INDEX(BookQ2,790)&gt;0,"Q2",IF(INDEX(BookQ3,790)&gt;0,"Q3",IF(INDEX(BookQ4,790)&gt;0,"Q4","")))))</f>
        <v/>
      </c>
      <c r="K795" s="42" t="str">
        <f aca="false">IF(INDEX(BookTitle,790)="","",INDEX(BookInYear,790))</f>
        <v/>
      </c>
      <c r="L795" s="19"/>
      <c r="M795" s="39"/>
      <c r="N795" s="19"/>
      <c r="O795" s="19"/>
      <c r="P795" s="43" t="str">
        <f aca="false">IF($E795="","",IF($L795="Decline",0,IF($L795="Approve fewer",IF($M795="","",$M795),IF($L795="","",$I795))))</f>
        <v/>
      </c>
      <c r="Q795" s="34" t="str">
        <f aca="false">IF($P795="","",IF($N795&lt;&gt;"",$N795,$J795))</f>
        <v/>
      </c>
      <c r="R795" s="35" t="str">
        <f aca="false">IF(OR($P795="",$Q795=""),"",INDEX(BookRate,790)*$P795*(5-MATCH($Q795,{"Q1";"Q2";"Q3";"Q4"},0))/4+INDEX(BookOneOff,790)*$P795)</f>
        <v/>
      </c>
      <c r="S795" s="35" t="str">
        <f aca="false">IF($P795="","",INDEX(BookRate,790)*$P795)</f>
        <v/>
      </c>
      <c r="T795" s="35" t="str">
        <f aca="false">IF($R795="","",$R795-$K795)</f>
        <v/>
      </c>
      <c r="U795" s="35" t="str">
        <f aca="false">IF(N($P795)&lt;=0,"",COUNTIF($P$6:$P795,"&gt;0"))</f>
        <v/>
      </c>
    </row>
    <row r="796" customFormat="false" ht="15" hidden="false" customHeight="false" outlineLevel="0" collapsed="false">
      <c r="A796" s="40" t="str">
        <f aca="false">IF(INDEX(BookTitle,791)="","",INDEX(BookGroup,791))</f>
        <v/>
      </c>
      <c r="B796" s="40" t="str">
        <f aca="false">IF(INDEX(BookTitle,791)="","",INDEX(BookRef,791))</f>
        <v/>
      </c>
      <c r="C796" s="40" t="str">
        <f aca="false">IF(INDEX(BookTitle,791)="","",INDEX(BookDivision,791))</f>
        <v/>
      </c>
      <c r="D796" s="40" t="str">
        <f aca="false">IF(INDEX(BookTitle,791)="","",INDEX(BookUnit,791))</f>
        <v/>
      </c>
      <c r="E796" s="40" t="str">
        <f aca="false">IF(INDEX(BookTitle,791)="","",INDEX(BookTitle,791))</f>
        <v/>
      </c>
      <c r="F796" s="40" t="str">
        <f aca="false">IF(INDEX(BookTitle,791)="","",INDEX(BookLevel,791))</f>
        <v/>
      </c>
      <c r="G796" s="40" t="str">
        <f aca="false">IF(INDEX(BookTitle,791)="","",INDEX(BookCategory,791))</f>
        <v/>
      </c>
      <c r="H796" s="40" t="str">
        <f aca="false">IF(INDEX(BookTitle,791)="","",INDEX(BookRank,791))</f>
        <v/>
      </c>
      <c r="I796" s="41" t="str">
        <f aca="false">IF(INDEX(BookTitle,791)="","",INDEX(BookTotal,791))</f>
        <v/>
      </c>
      <c r="J796" s="0" t="str">
        <f aca="false">IF($I796="","",IF(INDEX(BookQ1,791)&gt;0,"Q1",IF(INDEX(BookQ2,791)&gt;0,"Q2",IF(INDEX(BookQ3,791)&gt;0,"Q3",IF(INDEX(BookQ4,791)&gt;0,"Q4","")))))</f>
        <v/>
      </c>
      <c r="K796" s="42" t="str">
        <f aca="false">IF(INDEX(BookTitle,791)="","",INDEX(BookInYear,791))</f>
        <v/>
      </c>
      <c r="L796" s="19"/>
      <c r="M796" s="39"/>
      <c r="N796" s="19"/>
      <c r="O796" s="19"/>
      <c r="P796" s="43" t="str">
        <f aca="false">IF($E796="","",IF($L796="Decline",0,IF($L796="Approve fewer",IF($M796="","",$M796),IF($L796="","",$I796))))</f>
        <v/>
      </c>
      <c r="Q796" s="34" t="str">
        <f aca="false">IF($P796="","",IF($N796&lt;&gt;"",$N796,$J796))</f>
        <v/>
      </c>
      <c r="R796" s="35" t="str">
        <f aca="false">IF(OR($P796="",$Q796=""),"",INDEX(BookRate,791)*$P796*(5-MATCH($Q796,{"Q1";"Q2";"Q3";"Q4"},0))/4+INDEX(BookOneOff,791)*$P796)</f>
        <v/>
      </c>
      <c r="S796" s="35" t="str">
        <f aca="false">IF($P796="","",INDEX(BookRate,791)*$P796)</f>
        <v/>
      </c>
      <c r="T796" s="35" t="str">
        <f aca="false">IF($R796="","",$R796-$K796)</f>
        <v/>
      </c>
      <c r="U796" s="35" t="str">
        <f aca="false">IF(N($P796)&lt;=0,"",COUNTIF($P$6:$P796,"&gt;0"))</f>
        <v/>
      </c>
    </row>
    <row r="797" customFormat="false" ht="15" hidden="false" customHeight="false" outlineLevel="0" collapsed="false">
      <c r="A797" s="40" t="str">
        <f aca="false">IF(INDEX(BookTitle,792)="","",INDEX(BookGroup,792))</f>
        <v/>
      </c>
      <c r="B797" s="40" t="str">
        <f aca="false">IF(INDEX(BookTitle,792)="","",INDEX(BookRef,792))</f>
        <v/>
      </c>
      <c r="C797" s="40" t="str">
        <f aca="false">IF(INDEX(BookTitle,792)="","",INDEX(BookDivision,792))</f>
        <v/>
      </c>
      <c r="D797" s="40" t="str">
        <f aca="false">IF(INDEX(BookTitle,792)="","",INDEX(BookUnit,792))</f>
        <v/>
      </c>
      <c r="E797" s="40" t="str">
        <f aca="false">IF(INDEX(BookTitle,792)="","",INDEX(BookTitle,792))</f>
        <v/>
      </c>
      <c r="F797" s="40" t="str">
        <f aca="false">IF(INDEX(BookTitle,792)="","",INDEX(BookLevel,792))</f>
        <v/>
      </c>
      <c r="G797" s="40" t="str">
        <f aca="false">IF(INDEX(BookTitle,792)="","",INDEX(BookCategory,792))</f>
        <v/>
      </c>
      <c r="H797" s="40" t="str">
        <f aca="false">IF(INDEX(BookTitle,792)="","",INDEX(BookRank,792))</f>
        <v/>
      </c>
      <c r="I797" s="41" t="str">
        <f aca="false">IF(INDEX(BookTitle,792)="","",INDEX(BookTotal,792))</f>
        <v/>
      </c>
      <c r="J797" s="0" t="str">
        <f aca="false">IF($I797="","",IF(INDEX(BookQ1,792)&gt;0,"Q1",IF(INDEX(BookQ2,792)&gt;0,"Q2",IF(INDEX(BookQ3,792)&gt;0,"Q3",IF(INDEX(BookQ4,792)&gt;0,"Q4","")))))</f>
        <v/>
      </c>
      <c r="K797" s="42" t="str">
        <f aca="false">IF(INDEX(BookTitle,792)="","",INDEX(BookInYear,792))</f>
        <v/>
      </c>
      <c r="L797" s="19"/>
      <c r="M797" s="39"/>
      <c r="N797" s="19"/>
      <c r="O797" s="19"/>
      <c r="P797" s="43" t="str">
        <f aca="false">IF($E797="","",IF($L797="Decline",0,IF($L797="Approve fewer",IF($M797="","",$M797),IF($L797="","",$I797))))</f>
        <v/>
      </c>
      <c r="Q797" s="34" t="str">
        <f aca="false">IF($P797="","",IF($N797&lt;&gt;"",$N797,$J797))</f>
        <v/>
      </c>
      <c r="R797" s="35" t="str">
        <f aca="false">IF(OR($P797="",$Q797=""),"",INDEX(BookRate,792)*$P797*(5-MATCH($Q797,{"Q1";"Q2";"Q3";"Q4"},0))/4+INDEX(BookOneOff,792)*$P797)</f>
        <v/>
      </c>
      <c r="S797" s="35" t="str">
        <f aca="false">IF($P797="","",INDEX(BookRate,792)*$P797)</f>
        <v/>
      </c>
      <c r="T797" s="35" t="str">
        <f aca="false">IF($R797="","",$R797-$K797)</f>
        <v/>
      </c>
      <c r="U797" s="35" t="str">
        <f aca="false">IF(N($P797)&lt;=0,"",COUNTIF($P$6:$P797,"&gt;0"))</f>
        <v/>
      </c>
    </row>
    <row r="798" customFormat="false" ht="15" hidden="false" customHeight="false" outlineLevel="0" collapsed="false">
      <c r="A798" s="40" t="str">
        <f aca="false">IF(INDEX(BookTitle,793)="","",INDEX(BookGroup,793))</f>
        <v/>
      </c>
      <c r="B798" s="40" t="str">
        <f aca="false">IF(INDEX(BookTitle,793)="","",INDEX(BookRef,793))</f>
        <v/>
      </c>
      <c r="C798" s="40" t="str">
        <f aca="false">IF(INDEX(BookTitle,793)="","",INDEX(BookDivision,793))</f>
        <v/>
      </c>
      <c r="D798" s="40" t="str">
        <f aca="false">IF(INDEX(BookTitle,793)="","",INDEX(BookUnit,793))</f>
        <v/>
      </c>
      <c r="E798" s="40" t="str">
        <f aca="false">IF(INDEX(BookTitle,793)="","",INDEX(BookTitle,793))</f>
        <v/>
      </c>
      <c r="F798" s="40" t="str">
        <f aca="false">IF(INDEX(BookTitle,793)="","",INDEX(BookLevel,793))</f>
        <v/>
      </c>
      <c r="G798" s="40" t="str">
        <f aca="false">IF(INDEX(BookTitle,793)="","",INDEX(BookCategory,793))</f>
        <v/>
      </c>
      <c r="H798" s="40" t="str">
        <f aca="false">IF(INDEX(BookTitle,793)="","",INDEX(BookRank,793))</f>
        <v/>
      </c>
      <c r="I798" s="41" t="str">
        <f aca="false">IF(INDEX(BookTitle,793)="","",INDEX(BookTotal,793))</f>
        <v/>
      </c>
      <c r="J798" s="0" t="str">
        <f aca="false">IF($I798="","",IF(INDEX(BookQ1,793)&gt;0,"Q1",IF(INDEX(BookQ2,793)&gt;0,"Q2",IF(INDEX(BookQ3,793)&gt;0,"Q3",IF(INDEX(BookQ4,793)&gt;0,"Q4","")))))</f>
        <v/>
      </c>
      <c r="K798" s="42" t="str">
        <f aca="false">IF(INDEX(BookTitle,793)="","",INDEX(BookInYear,793))</f>
        <v/>
      </c>
      <c r="L798" s="19"/>
      <c r="M798" s="39"/>
      <c r="N798" s="19"/>
      <c r="O798" s="19"/>
      <c r="P798" s="43" t="str">
        <f aca="false">IF($E798="","",IF($L798="Decline",0,IF($L798="Approve fewer",IF($M798="","",$M798),IF($L798="","",$I798))))</f>
        <v/>
      </c>
      <c r="Q798" s="34" t="str">
        <f aca="false">IF($P798="","",IF($N798&lt;&gt;"",$N798,$J798))</f>
        <v/>
      </c>
      <c r="R798" s="35" t="str">
        <f aca="false">IF(OR($P798="",$Q798=""),"",INDEX(BookRate,793)*$P798*(5-MATCH($Q798,{"Q1";"Q2";"Q3";"Q4"},0))/4+INDEX(BookOneOff,793)*$P798)</f>
        <v/>
      </c>
      <c r="S798" s="35" t="str">
        <f aca="false">IF($P798="","",INDEX(BookRate,793)*$P798)</f>
        <v/>
      </c>
      <c r="T798" s="35" t="str">
        <f aca="false">IF($R798="","",$R798-$K798)</f>
        <v/>
      </c>
      <c r="U798" s="35" t="str">
        <f aca="false">IF(N($P798)&lt;=0,"",COUNTIF($P$6:$P798,"&gt;0"))</f>
        <v/>
      </c>
    </row>
    <row r="799" customFormat="false" ht="15" hidden="false" customHeight="false" outlineLevel="0" collapsed="false">
      <c r="A799" s="40" t="str">
        <f aca="false">IF(INDEX(BookTitle,794)="","",INDEX(BookGroup,794))</f>
        <v/>
      </c>
      <c r="B799" s="40" t="str">
        <f aca="false">IF(INDEX(BookTitle,794)="","",INDEX(BookRef,794))</f>
        <v/>
      </c>
      <c r="C799" s="40" t="str">
        <f aca="false">IF(INDEX(BookTitle,794)="","",INDEX(BookDivision,794))</f>
        <v/>
      </c>
      <c r="D799" s="40" t="str">
        <f aca="false">IF(INDEX(BookTitle,794)="","",INDEX(BookUnit,794))</f>
        <v/>
      </c>
      <c r="E799" s="40" t="str">
        <f aca="false">IF(INDEX(BookTitle,794)="","",INDEX(BookTitle,794))</f>
        <v/>
      </c>
      <c r="F799" s="40" t="str">
        <f aca="false">IF(INDEX(BookTitle,794)="","",INDEX(BookLevel,794))</f>
        <v/>
      </c>
      <c r="G799" s="40" t="str">
        <f aca="false">IF(INDEX(BookTitle,794)="","",INDEX(BookCategory,794))</f>
        <v/>
      </c>
      <c r="H799" s="40" t="str">
        <f aca="false">IF(INDEX(BookTitle,794)="","",INDEX(BookRank,794))</f>
        <v/>
      </c>
      <c r="I799" s="41" t="str">
        <f aca="false">IF(INDEX(BookTitle,794)="","",INDEX(BookTotal,794))</f>
        <v/>
      </c>
      <c r="J799" s="0" t="str">
        <f aca="false">IF($I799="","",IF(INDEX(BookQ1,794)&gt;0,"Q1",IF(INDEX(BookQ2,794)&gt;0,"Q2",IF(INDEX(BookQ3,794)&gt;0,"Q3",IF(INDEX(BookQ4,794)&gt;0,"Q4","")))))</f>
        <v/>
      </c>
      <c r="K799" s="42" t="str">
        <f aca="false">IF(INDEX(BookTitle,794)="","",INDEX(BookInYear,794))</f>
        <v/>
      </c>
      <c r="L799" s="19"/>
      <c r="M799" s="39"/>
      <c r="N799" s="19"/>
      <c r="O799" s="19"/>
      <c r="P799" s="43" t="str">
        <f aca="false">IF($E799="","",IF($L799="Decline",0,IF($L799="Approve fewer",IF($M799="","",$M799),IF($L799="","",$I799))))</f>
        <v/>
      </c>
      <c r="Q799" s="34" t="str">
        <f aca="false">IF($P799="","",IF($N799&lt;&gt;"",$N799,$J799))</f>
        <v/>
      </c>
      <c r="R799" s="35" t="str">
        <f aca="false">IF(OR($P799="",$Q799=""),"",INDEX(BookRate,794)*$P799*(5-MATCH($Q799,{"Q1";"Q2";"Q3";"Q4"},0))/4+INDEX(BookOneOff,794)*$P799)</f>
        <v/>
      </c>
      <c r="S799" s="35" t="str">
        <f aca="false">IF($P799="","",INDEX(BookRate,794)*$P799)</f>
        <v/>
      </c>
      <c r="T799" s="35" t="str">
        <f aca="false">IF($R799="","",$R799-$K799)</f>
        <v/>
      </c>
      <c r="U799" s="35" t="str">
        <f aca="false">IF(N($P799)&lt;=0,"",COUNTIF($P$6:$P799,"&gt;0"))</f>
        <v/>
      </c>
    </row>
    <row r="800" customFormat="false" ht="15" hidden="false" customHeight="false" outlineLevel="0" collapsed="false">
      <c r="A800" s="40" t="str">
        <f aca="false">IF(INDEX(BookTitle,795)="","",INDEX(BookGroup,795))</f>
        <v/>
      </c>
      <c r="B800" s="40" t="str">
        <f aca="false">IF(INDEX(BookTitle,795)="","",INDEX(BookRef,795))</f>
        <v/>
      </c>
      <c r="C800" s="40" t="str">
        <f aca="false">IF(INDEX(BookTitle,795)="","",INDEX(BookDivision,795))</f>
        <v/>
      </c>
      <c r="D800" s="40" t="str">
        <f aca="false">IF(INDEX(BookTitle,795)="","",INDEX(BookUnit,795))</f>
        <v/>
      </c>
      <c r="E800" s="40" t="str">
        <f aca="false">IF(INDEX(BookTitle,795)="","",INDEX(BookTitle,795))</f>
        <v/>
      </c>
      <c r="F800" s="40" t="str">
        <f aca="false">IF(INDEX(BookTitle,795)="","",INDEX(BookLevel,795))</f>
        <v/>
      </c>
      <c r="G800" s="40" t="str">
        <f aca="false">IF(INDEX(BookTitle,795)="","",INDEX(BookCategory,795))</f>
        <v/>
      </c>
      <c r="H800" s="40" t="str">
        <f aca="false">IF(INDEX(BookTitle,795)="","",INDEX(BookRank,795))</f>
        <v/>
      </c>
      <c r="I800" s="41" t="str">
        <f aca="false">IF(INDEX(BookTitle,795)="","",INDEX(BookTotal,795))</f>
        <v/>
      </c>
      <c r="J800" s="0" t="str">
        <f aca="false">IF($I800="","",IF(INDEX(BookQ1,795)&gt;0,"Q1",IF(INDEX(BookQ2,795)&gt;0,"Q2",IF(INDEX(BookQ3,795)&gt;0,"Q3",IF(INDEX(BookQ4,795)&gt;0,"Q4","")))))</f>
        <v/>
      </c>
      <c r="K800" s="42" t="str">
        <f aca="false">IF(INDEX(BookTitle,795)="","",INDEX(BookInYear,795))</f>
        <v/>
      </c>
      <c r="L800" s="19"/>
      <c r="M800" s="39"/>
      <c r="N800" s="19"/>
      <c r="O800" s="19"/>
      <c r="P800" s="43" t="str">
        <f aca="false">IF($E800="","",IF($L800="Decline",0,IF($L800="Approve fewer",IF($M800="","",$M800),IF($L800="","",$I800))))</f>
        <v/>
      </c>
      <c r="Q800" s="34" t="str">
        <f aca="false">IF($P800="","",IF($N800&lt;&gt;"",$N800,$J800))</f>
        <v/>
      </c>
      <c r="R800" s="35" t="str">
        <f aca="false">IF(OR($P800="",$Q800=""),"",INDEX(BookRate,795)*$P800*(5-MATCH($Q800,{"Q1";"Q2";"Q3";"Q4"},0))/4+INDEX(BookOneOff,795)*$P800)</f>
        <v/>
      </c>
      <c r="S800" s="35" t="str">
        <f aca="false">IF($P800="","",INDEX(BookRate,795)*$P800)</f>
        <v/>
      </c>
      <c r="T800" s="35" t="str">
        <f aca="false">IF($R800="","",$R800-$K800)</f>
        <v/>
      </c>
      <c r="U800" s="35" t="str">
        <f aca="false">IF(N($P800)&lt;=0,"",COUNTIF($P$6:$P800,"&gt;0"))</f>
        <v/>
      </c>
    </row>
    <row r="801" customFormat="false" ht="15" hidden="false" customHeight="false" outlineLevel="0" collapsed="false">
      <c r="A801" s="40" t="str">
        <f aca="false">IF(INDEX(BookTitle,796)="","",INDEX(BookGroup,796))</f>
        <v/>
      </c>
      <c r="B801" s="40" t="str">
        <f aca="false">IF(INDEX(BookTitle,796)="","",INDEX(BookRef,796))</f>
        <v/>
      </c>
      <c r="C801" s="40" t="str">
        <f aca="false">IF(INDEX(BookTitle,796)="","",INDEX(BookDivision,796))</f>
        <v/>
      </c>
      <c r="D801" s="40" t="str">
        <f aca="false">IF(INDEX(BookTitle,796)="","",INDEX(BookUnit,796))</f>
        <v/>
      </c>
      <c r="E801" s="40" t="str">
        <f aca="false">IF(INDEX(BookTitle,796)="","",INDEX(BookTitle,796))</f>
        <v/>
      </c>
      <c r="F801" s="40" t="str">
        <f aca="false">IF(INDEX(BookTitle,796)="","",INDEX(BookLevel,796))</f>
        <v/>
      </c>
      <c r="G801" s="40" t="str">
        <f aca="false">IF(INDEX(BookTitle,796)="","",INDEX(BookCategory,796))</f>
        <v/>
      </c>
      <c r="H801" s="40" t="str">
        <f aca="false">IF(INDEX(BookTitle,796)="","",INDEX(BookRank,796))</f>
        <v/>
      </c>
      <c r="I801" s="41" t="str">
        <f aca="false">IF(INDEX(BookTitle,796)="","",INDEX(BookTotal,796))</f>
        <v/>
      </c>
      <c r="J801" s="0" t="str">
        <f aca="false">IF($I801="","",IF(INDEX(BookQ1,796)&gt;0,"Q1",IF(INDEX(BookQ2,796)&gt;0,"Q2",IF(INDEX(BookQ3,796)&gt;0,"Q3",IF(INDEX(BookQ4,796)&gt;0,"Q4","")))))</f>
        <v/>
      </c>
      <c r="K801" s="42" t="str">
        <f aca="false">IF(INDEX(BookTitle,796)="","",INDEX(BookInYear,796))</f>
        <v/>
      </c>
      <c r="L801" s="19"/>
      <c r="M801" s="39"/>
      <c r="N801" s="19"/>
      <c r="O801" s="19"/>
      <c r="P801" s="43" t="str">
        <f aca="false">IF($E801="","",IF($L801="Decline",0,IF($L801="Approve fewer",IF($M801="","",$M801),IF($L801="","",$I801))))</f>
        <v/>
      </c>
      <c r="Q801" s="34" t="str">
        <f aca="false">IF($P801="","",IF($N801&lt;&gt;"",$N801,$J801))</f>
        <v/>
      </c>
      <c r="R801" s="35" t="str">
        <f aca="false">IF(OR($P801="",$Q801=""),"",INDEX(BookRate,796)*$P801*(5-MATCH($Q801,{"Q1";"Q2";"Q3";"Q4"},0))/4+INDEX(BookOneOff,796)*$P801)</f>
        <v/>
      </c>
      <c r="S801" s="35" t="str">
        <f aca="false">IF($P801="","",INDEX(BookRate,796)*$P801)</f>
        <v/>
      </c>
      <c r="T801" s="35" t="str">
        <f aca="false">IF($R801="","",$R801-$K801)</f>
        <v/>
      </c>
      <c r="U801" s="35" t="str">
        <f aca="false">IF(N($P801)&lt;=0,"",COUNTIF($P$6:$P801,"&gt;0"))</f>
        <v/>
      </c>
    </row>
    <row r="802" customFormat="false" ht="15" hidden="false" customHeight="false" outlineLevel="0" collapsed="false">
      <c r="A802" s="40" t="str">
        <f aca="false">IF(INDEX(BookTitle,797)="","",INDEX(BookGroup,797))</f>
        <v/>
      </c>
      <c r="B802" s="40" t="str">
        <f aca="false">IF(INDEX(BookTitle,797)="","",INDEX(BookRef,797))</f>
        <v/>
      </c>
      <c r="C802" s="40" t="str">
        <f aca="false">IF(INDEX(BookTitle,797)="","",INDEX(BookDivision,797))</f>
        <v/>
      </c>
      <c r="D802" s="40" t="str">
        <f aca="false">IF(INDEX(BookTitle,797)="","",INDEX(BookUnit,797))</f>
        <v/>
      </c>
      <c r="E802" s="40" t="str">
        <f aca="false">IF(INDEX(BookTitle,797)="","",INDEX(BookTitle,797))</f>
        <v/>
      </c>
      <c r="F802" s="40" t="str">
        <f aca="false">IF(INDEX(BookTitle,797)="","",INDEX(BookLevel,797))</f>
        <v/>
      </c>
      <c r="G802" s="40" t="str">
        <f aca="false">IF(INDEX(BookTitle,797)="","",INDEX(BookCategory,797))</f>
        <v/>
      </c>
      <c r="H802" s="40" t="str">
        <f aca="false">IF(INDEX(BookTitle,797)="","",INDEX(BookRank,797))</f>
        <v/>
      </c>
      <c r="I802" s="41" t="str">
        <f aca="false">IF(INDEX(BookTitle,797)="","",INDEX(BookTotal,797))</f>
        <v/>
      </c>
      <c r="J802" s="0" t="str">
        <f aca="false">IF($I802="","",IF(INDEX(BookQ1,797)&gt;0,"Q1",IF(INDEX(BookQ2,797)&gt;0,"Q2",IF(INDEX(BookQ3,797)&gt;0,"Q3",IF(INDEX(BookQ4,797)&gt;0,"Q4","")))))</f>
        <v/>
      </c>
      <c r="K802" s="42" t="str">
        <f aca="false">IF(INDEX(BookTitle,797)="","",INDEX(BookInYear,797))</f>
        <v/>
      </c>
      <c r="L802" s="19"/>
      <c r="M802" s="39"/>
      <c r="N802" s="19"/>
      <c r="O802" s="19"/>
      <c r="P802" s="43" t="str">
        <f aca="false">IF($E802="","",IF($L802="Decline",0,IF($L802="Approve fewer",IF($M802="","",$M802),IF($L802="","",$I802))))</f>
        <v/>
      </c>
      <c r="Q802" s="34" t="str">
        <f aca="false">IF($P802="","",IF($N802&lt;&gt;"",$N802,$J802))</f>
        <v/>
      </c>
      <c r="R802" s="35" t="str">
        <f aca="false">IF(OR($P802="",$Q802=""),"",INDEX(BookRate,797)*$P802*(5-MATCH($Q802,{"Q1";"Q2";"Q3";"Q4"},0))/4+INDEX(BookOneOff,797)*$P802)</f>
        <v/>
      </c>
      <c r="S802" s="35" t="str">
        <f aca="false">IF($P802="","",INDEX(BookRate,797)*$P802)</f>
        <v/>
      </c>
      <c r="T802" s="35" t="str">
        <f aca="false">IF($R802="","",$R802-$K802)</f>
        <v/>
      </c>
      <c r="U802" s="35" t="str">
        <f aca="false">IF(N($P802)&lt;=0,"",COUNTIF($P$6:$P802,"&gt;0"))</f>
        <v/>
      </c>
    </row>
    <row r="803" customFormat="false" ht="15" hidden="false" customHeight="false" outlineLevel="0" collapsed="false">
      <c r="A803" s="40" t="str">
        <f aca="false">IF(INDEX(BookTitle,798)="","",INDEX(BookGroup,798))</f>
        <v/>
      </c>
      <c r="B803" s="40" t="str">
        <f aca="false">IF(INDEX(BookTitle,798)="","",INDEX(BookRef,798))</f>
        <v/>
      </c>
      <c r="C803" s="40" t="str">
        <f aca="false">IF(INDEX(BookTitle,798)="","",INDEX(BookDivision,798))</f>
        <v/>
      </c>
      <c r="D803" s="40" t="str">
        <f aca="false">IF(INDEX(BookTitle,798)="","",INDEX(BookUnit,798))</f>
        <v/>
      </c>
      <c r="E803" s="40" t="str">
        <f aca="false">IF(INDEX(BookTitle,798)="","",INDEX(BookTitle,798))</f>
        <v/>
      </c>
      <c r="F803" s="40" t="str">
        <f aca="false">IF(INDEX(BookTitle,798)="","",INDEX(BookLevel,798))</f>
        <v/>
      </c>
      <c r="G803" s="40" t="str">
        <f aca="false">IF(INDEX(BookTitle,798)="","",INDEX(BookCategory,798))</f>
        <v/>
      </c>
      <c r="H803" s="40" t="str">
        <f aca="false">IF(INDEX(BookTitle,798)="","",INDEX(BookRank,798))</f>
        <v/>
      </c>
      <c r="I803" s="41" t="str">
        <f aca="false">IF(INDEX(BookTitle,798)="","",INDEX(BookTotal,798))</f>
        <v/>
      </c>
      <c r="J803" s="0" t="str">
        <f aca="false">IF($I803="","",IF(INDEX(BookQ1,798)&gt;0,"Q1",IF(INDEX(BookQ2,798)&gt;0,"Q2",IF(INDEX(BookQ3,798)&gt;0,"Q3",IF(INDEX(BookQ4,798)&gt;0,"Q4","")))))</f>
        <v/>
      </c>
      <c r="K803" s="42" t="str">
        <f aca="false">IF(INDEX(BookTitle,798)="","",INDEX(BookInYear,798))</f>
        <v/>
      </c>
      <c r="L803" s="19"/>
      <c r="M803" s="39"/>
      <c r="N803" s="19"/>
      <c r="O803" s="19"/>
      <c r="P803" s="43" t="str">
        <f aca="false">IF($E803="","",IF($L803="Decline",0,IF($L803="Approve fewer",IF($M803="","",$M803),IF($L803="","",$I803))))</f>
        <v/>
      </c>
      <c r="Q803" s="34" t="str">
        <f aca="false">IF($P803="","",IF($N803&lt;&gt;"",$N803,$J803))</f>
        <v/>
      </c>
      <c r="R803" s="35" t="str">
        <f aca="false">IF(OR($P803="",$Q803=""),"",INDEX(BookRate,798)*$P803*(5-MATCH($Q803,{"Q1";"Q2";"Q3";"Q4"},0))/4+INDEX(BookOneOff,798)*$P803)</f>
        <v/>
      </c>
      <c r="S803" s="35" t="str">
        <f aca="false">IF($P803="","",INDEX(BookRate,798)*$P803)</f>
        <v/>
      </c>
      <c r="T803" s="35" t="str">
        <f aca="false">IF($R803="","",$R803-$K803)</f>
        <v/>
      </c>
      <c r="U803" s="35" t="str">
        <f aca="false">IF(N($P803)&lt;=0,"",COUNTIF($P$6:$P803,"&gt;0"))</f>
        <v/>
      </c>
    </row>
    <row r="804" customFormat="false" ht="15" hidden="false" customHeight="false" outlineLevel="0" collapsed="false">
      <c r="A804" s="40" t="str">
        <f aca="false">IF(INDEX(BookTitle,799)="","",INDEX(BookGroup,799))</f>
        <v/>
      </c>
      <c r="B804" s="40" t="str">
        <f aca="false">IF(INDEX(BookTitle,799)="","",INDEX(BookRef,799))</f>
        <v/>
      </c>
      <c r="C804" s="40" t="str">
        <f aca="false">IF(INDEX(BookTitle,799)="","",INDEX(BookDivision,799))</f>
        <v/>
      </c>
      <c r="D804" s="40" t="str">
        <f aca="false">IF(INDEX(BookTitle,799)="","",INDEX(BookUnit,799))</f>
        <v/>
      </c>
      <c r="E804" s="40" t="str">
        <f aca="false">IF(INDEX(BookTitle,799)="","",INDEX(BookTitle,799))</f>
        <v/>
      </c>
      <c r="F804" s="40" t="str">
        <f aca="false">IF(INDEX(BookTitle,799)="","",INDEX(BookLevel,799))</f>
        <v/>
      </c>
      <c r="G804" s="40" t="str">
        <f aca="false">IF(INDEX(BookTitle,799)="","",INDEX(BookCategory,799))</f>
        <v/>
      </c>
      <c r="H804" s="40" t="str">
        <f aca="false">IF(INDEX(BookTitle,799)="","",INDEX(BookRank,799))</f>
        <v/>
      </c>
      <c r="I804" s="41" t="str">
        <f aca="false">IF(INDEX(BookTitle,799)="","",INDEX(BookTotal,799))</f>
        <v/>
      </c>
      <c r="J804" s="0" t="str">
        <f aca="false">IF($I804="","",IF(INDEX(BookQ1,799)&gt;0,"Q1",IF(INDEX(BookQ2,799)&gt;0,"Q2",IF(INDEX(BookQ3,799)&gt;0,"Q3",IF(INDEX(BookQ4,799)&gt;0,"Q4","")))))</f>
        <v/>
      </c>
      <c r="K804" s="42" t="str">
        <f aca="false">IF(INDEX(BookTitle,799)="","",INDEX(BookInYear,799))</f>
        <v/>
      </c>
      <c r="L804" s="19"/>
      <c r="M804" s="39"/>
      <c r="N804" s="19"/>
      <c r="O804" s="19"/>
      <c r="P804" s="43" t="str">
        <f aca="false">IF($E804="","",IF($L804="Decline",0,IF($L804="Approve fewer",IF($M804="","",$M804),IF($L804="","",$I804))))</f>
        <v/>
      </c>
      <c r="Q804" s="34" t="str">
        <f aca="false">IF($P804="","",IF($N804&lt;&gt;"",$N804,$J804))</f>
        <v/>
      </c>
      <c r="R804" s="35" t="str">
        <f aca="false">IF(OR($P804="",$Q804=""),"",INDEX(BookRate,799)*$P804*(5-MATCH($Q804,{"Q1";"Q2";"Q3";"Q4"},0))/4+INDEX(BookOneOff,799)*$P804)</f>
        <v/>
      </c>
      <c r="S804" s="35" t="str">
        <f aca="false">IF($P804="","",INDEX(BookRate,799)*$P804)</f>
        <v/>
      </c>
      <c r="T804" s="35" t="str">
        <f aca="false">IF($R804="","",$R804-$K804)</f>
        <v/>
      </c>
      <c r="U804" s="35" t="str">
        <f aca="false">IF(N($P804)&lt;=0,"",COUNTIF($P$6:$P804,"&gt;0"))</f>
        <v/>
      </c>
    </row>
    <row r="805" customFormat="false" ht="15" hidden="false" customHeight="false" outlineLevel="0" collapsed="false">
      <c r="A805" s="40" t="str">
        <f aca="false">IF(INDEX(BookTitle,800)="","",INDEX(BookGroup,800))</f>
        <v/>
      </c>
      <c r="B805" s="40" t="str">
        <f aca="false">IF(INDEX(BookTitle,800)="","",INDEX(BookRef,800))</f>
        <v/>
      </c>
      <c r="C805" s="40" t="str">
        <f aca="false">IF(INDEX(BookTitle,800)="","",INDEX(BookDivision,800))</f>
        <v/>
      </c>
      <c r="D805" s="40" t="str">
        <f aca="false">IF(INDEX(BookTitle,800)="","",INDEX(BookUnit,800))</f>
        <v/>
      </c>
      <c r="E805" s="40" t="str">
        <f aca="false">IF(INDEX(BookTitle,800)="","",INDEX(BookTitle,800))</f>
        <v/>
      </c>
      <c r="F805" s="40" t="str">
        <f aca="false">IF(INDEX(BookTitle,800)="","",INDEX(BookLevel,800))</f>
        <v/>
      </c>
      <c r="G805" s="40" t="str">
        <f aca="false">IF(INDEX(BookTitle,800)="","",INDEX(BookCategory,800))</f>
        <v/>
      </c>
      <c r="H805" s="40" t="str">
        <f aca="false">IF(INDEX(BookTitle,800)="","",INDEX(BookRank,800))</f>
        <v/>
      </c>
      <c r="I805" s="41" t="str">
        <f aca="false">IF(INDEX(BookTitle,800)="","",INDEX(BookTotal,800))</f>
        <v/>
      </c>
      <c r="J805" s="0" t="str">
        <f aca="false">IF($I805="","",IF(INDEX(BookQ1,800)&gt;0,"Q1",IF(INDEX(BookQ2,800)&gt;0,"Q2",IF(INDEX(BookQ3,800)&gt;0,"Q3",IF(INDEX(BookQ4,800)&gt;0,"Q4","")))))</f>
        <v/>
      </c>
      <c r="K805" s="42" t="str">
        <f aca="false">IF(INDEX(BookTitle,800)="","",INDEX(BookInYear,800))</f>
        <v/>
      </c>
      <c r="L805" s="19"/>
      <c r="M805" s="39"/>
      <c r="N805" s="19"/>
      <c r="O805" s="19"/>
      <c r="P805" s="43" t="str">
        <f aca="false">IF($E805="","",IF($L805="Decline",0,IF($L805="Approve fewer",IF($M805="","",$M805),IF($L805="","",$I805))))</f>
        <v/>
      </c>
      <c r="Q805" s="34" t="str">
        <f aca="false">IF($P805="","",IF($N805&lt;&gt;"",$N805,$J805))</f>
        <v/>
      </c>
      <c r="R805" s="35" t="str">
        <f aca="false">IF(OR($P805="",$Q805=""),"",INDEX(BookRate,800)*$P805*(5-MATCH($Q805,{"Q1";"Q2";"Q3";"Q4"},0))/4+INDEX(BookOneOff,800)*$P805)</f>
        <v/>
      </c>
      <c r="S805" s="35" t="str">
        <f aca="false">IF($P805="","",INDEX(BookRate,800)*$P805)</f>
        <v/>
      </c>
      <c r="T805" s="35" t="str">
        <f aca="false">IF($R805="","",$R805-$K805)</f>
        <v/>
      </c>
      <c r="U805" s="35" t="str">
        <f aca="false">IF(N($P805)&lt;=0,"",COUNTIF($P$6:$P805,"&gt;0"))</f>
        <v/>
      </c>
    </row>
    <row r="806" customFormat="false" ht="15" hidden="false" customHeight="false" outlineLevel="0" collapsed="false">
      <c r="A806" s="40" t="str">
        <f aca="false">IF(INDEX(BookTitle,801)="","",INDEX(BookGroup,801))</f>
        <v/>
      </c>
      <c r="B806" s="40" t="str">
        <f aca="false">IF(INDEX(BookTitle,801)="","",INDEX(BookRef,801))</f>
        <v/>
      </c>
      <c r="C806" s="40" t="str">
        <f aca="false">IF(INDEX(BookTitle,801)="","",INDEX(BookDivision,801))</f>
        <v/>
      </c>
      <c r="D806" s="40" t="str">
        <f aca="false">IF(INDEX(BookTitle,801)="","",INDEX(BookUnit,801))</f>
        <v/>
      </c>
      <c r="E806" s="40" t="str">
        <f aca="false">IF(INDEX(BookTitle,801)="","",INDEX(BookTitle,801))</f>
        <v/>
      </c>
      <c r="F806" s="40" t="str">
        <f aca="false">IF(INDEX(BookTitle,801)="","",INDEX(BookLevel,801))</f>
        <v/>
      </c>
      <c r="G806" s="40" t="str">
        <f aca="false">IF(INDEX(BookTitle,801)="","",INDEX(BookCategory,801))</f>
        <v/>
      </c>
      <c r="H806" s="40" t="str">
        <f aca="false">IF(INDEX(BookTitle,801)="","",INDEX(BookRank,801))</f>
        <v/>
      </c>
      <c r="I806" s="41" t="str">
        <f aca="false">IF(INDEX(BookTitle,801)="","",INDEX(BookTotal,801))</f>
        <v/>
      </c>
      <c r="J806" s="0" t="str">
        <f aca="false">IF($I806="","",IF(INDEX(BookQ1,801)&gt;0,"Q1",IF(INDEX(BookQ2,801)&gt;0,"Q2",IF(INDEX(BookQ3,801)&gt;0,"Q3",IF(INDEX(BookQ4,801)&gt;0,"Q4","")))))</f>
        <v/>
      </c>
      <c r="K806" s="42" t="str">
        <f aca="false">IF(INDEX(BookTitle,801)="","",INDEX(BookInYear,801))</f>
        <v/>
      </c>
      <c r="L806" s="19"/>
      <c r="M806" s="39"/>
      <c r="N806" s="19"/>
      <c r="O806" s="19"/>
      <c r="P806" s="43" t="str">
        <f aca="false">IF($E806="","",IF($L806="Decline",0,IF($L806="Approve fewer",IF($M806="","",$M806),IF($L806="","",$I806))))</f>
        <v/>
      </c>
      <c r="Q806" s="34" t="str">
        <f aca="false">IF($P806="","",IF($N806&lt;&gt;"",$N806,$J806))</f>
        <v/>
      </c>
      <c r="R806" s="35" t="str">
        <f aca="false">IF(OR($P806="",$Q806=""),"",INDEX(BookRate,801)*$P806*(5-MATCH($Q806,{"Q1";"Q2";"Q3";"Q4"},0))/4+INDEX(BookOneOff,801)*$P806)</f>
        <v/>
      </c>
      <c r="S806" s="35" t="str">
        <f aca="false">IF($P806="","",INDEX(BookRate,801)*$P806)</f>
        <v/>
      </c>
      <c r="T806" s="35" t="str">
        <f aca="false">IF($R806="","",$R806-$K806)</f>
        <v/>
      </c>
      <c r="U806" s="35" t="str">
        <f aca="false">IF(N($P806)&lt;=0,"",COUNTIF($P$6:$P806,"&gt;0"))</f>
        <v/>
      </c>
    </row>
    <row r="807" customFormat="false" ht="15" hidden="false" customHeight="false" outlineLevel="0" collapsed="false">
      <c r="A807" s="40" t="str">
        <f aca="false">IF(INDEX(BookTitle,802)="","",INDEX(BookGroup,802))</f>
        <v/>
      </c>
      <c r="B807" s="40" t="str">
        <f aca="false">IF(INDEX(BookTitle,802)="","",INDEX(BookRef,802))</f>
        <v/>
      </c>
      <c r="C807" s="40" t="str">
        <f aca="false">IF(INDEX(BookTitle,802)="","",INDEX(BookDivision,802))</f>
        <v/>
      </c>
      <c r="D807" s="40" t="str">
        <f aca="false">IF(INDEX(BookTitle,802)="","",INDEX(BookUnit,802))</f>
        <v/>
      </c>
      <c r="E807" s="40" t="str">
        <f aca="false">IF(INDEX(BookTitle,802)="","",INDEX(BookTitle,802))</f>
        <v/>
      </c>
      <c r="F807" s="40" t="str">
        <f aca="false">IF(INDEX(BookTitle,802)="","",INDEX(BookLevel,802))</f>
        <v/>
      </c>
      <c r="G807" s="40" t="str">
        <f aca="false">IF(INDEX(BookTitle,802)="","",INDEX(BookCategory,802))</f>
        <v/>
      </c>
      <c r="H807" s="40" t="str">
        <f aca="false">IF(INDEX(BookTitle,802)="","",INDEX(BookRank,802))</f>
        <v/>
      </c>
      <c r="I807" s="41" t="str">
        <f aca="false">IF(INDEX(BookTitle,802)="","",INDEX(BookTotal,802))</f>
        <v/>
      </c>
      <c r="J807" s="0" t="str">
        <f aca="false">IF($I807="","",IF(INDEX(BookQ1,802)&gt;0,"Q1",IF(INDEX(BookQ2,802)&gt;0,"Q2",IF(INDEX(BookQ3,802)&gt;0,"Q3",IF(INDEX(BookQ4,802)&gt;0,"Q4","")))))</f>
        <v/>
      </c>
      <c r="K807" s="42" t="str">
        <f aca="false">IF(INDEX(BookTitle,802)="","",INDEX(BookInYear,802))</f>
        <v/>
      </c>
      <c r="L807" s="19"/>
      <c r="M807" s="39"/>
      <c r="N807" s="19"/>
      <c r="O807" s="19"/>
      <c r="P807" s="43" t="str">
        <f aca="false">IF($E807="","",IF($L807="Decline",0,IF($L807="Approve fewer",IF($M807="","",$M807),IF($L807="","",$I807))))</f>
        <v/>
      </c>
      <c r="Q807" s="34" t="str">
        <f aca="false">IF($P807="","",IF($N807&lt;&gt;"",$N807,$J807))</f>
        <v/>
      </c>
      <c r="R807" s="35" t="str">
        <f aca="false">IF(OR($P807="",$Q807=""),"",INDEX(BookRate,802)*$P807*(5-MATCH($Q807,{"Q1";"Q2";"Q3";"Q4"},0))/4+INDEX(BookOneOff,802)*$P807)</f>
        <v/>
      </c>
      <c r="S807" s="35" t="str">
        <f aca="false">IF($P807="","",INDEX(BookRate,802)*$P807)</f>
        <v/>
      </c>
      <c r="T807" s="35" t="str">
        <f aca="false">IF($R807="","",$R807-$K807)</f>
        <v/>
      </c>
      <c r="U807" s="35" t="str">
        <f aca="false">IF(N($P807)&lt;=0,"",COUNTIF($P$6:$P807,"&gt;0"))</f>
        <v/>
      </c>
    </row>
    <row r="808" customFormat="false" ht="15" hidden="false" customHeight="false" outlineLevel="0" collapsed="false">
      <c r="A808" s="40" t="str">
        <f aca="false">IF(INDEX(BookTitle,803)="","",INDEX(BookGroup,803))</f>
        <v/>
      </c>
      <c r="B808" s="40" t="str">
        <f aca="false">IF(INDEX(BookTitle,803)="","",INDEX(BookRef,803))</f>
        <v/>
      </c>
      <c r="C808" s="40" t="str">
        <f aca="false">IF(INDEX(BookTitle,803)="","",INDEX(BookDivision,803))</f>
        <v/>
      </c>
      <c r="D808" s="40" t="str">
        <f aca="false">IF(INDEX(BookTitle,803)="","",INDEX(BookUnit,803))</f>
        <v/>
      </c>
      <c r="E808" s="40" t="str">
        <f aca="false">IF(INDEX(BookTitle,803)="","",INDEX(BookTitle,803))</f>
        <v/>
      </c>
      <c r="F808" s="40" t="str">
        <f aca="false">IF(INDEX(BookTitle,803)="","",INDEX(BookLevel,803))</f>
        <v/>
      </c>
      <c r="G808" s="40" t="str">
        <f aca="false">IF(INDEX(BookTitle,803)="","",INDEX(BookCategory,803))</f>
        <v/>
      </c>
      <c r="H808" s="40" t="str">
        <f aca="false">IF(INDEX(BookTitle,803)="","",INDEX(BookRank,803))</f>
        <v/>
      </c>
      <c r="I808" s="41" t="str">
        <f aca="false">IF(INDEX(BookTitle,803)="","",INDEX(BookTotal,803))</f>
        <v/>
      </c>
      <c r="J808" s="0" t="str">
        <f aca="false">IF($I808="","",IF(INDEX(BookQ1,803)&gt;0,"Q1",IF(INDEX(BookQ2,803)&gt;0,"Q2",IF(INDEX(BookQ3,803)&gt;0,"Q3",IF(INDEX(BookQ4,803)&gt;0,"Q4","")))))</f>
        <v/>
      </c>
      <c r="K808" s="42" t="str">
        <f aca="false">IF(INDEX(BookTitle,803)="","",INDEX(BookInYear,803))</f>
        <v/>
      </c>
      <c r="L808" s="19"/>
      <c r="M808" s="39"/>
      <c r="N808" s="19"/>
      <c r="O808" s="19"/>
      <c r="P808" s="43" t="str">
        <f aca="false">IF($E808="","",IF($L808="Decline",0,IF($L808="Approve fewer",IF($M808="","",$M808),IF($L808="","",$I808))))</f>
        <v/>
      </c>
      <c r="Q808" s="34" t="str">
        <f aca="false">IF($P808="","",IF($N808&lt;&gt;"",$N808,$J808))</f>
        <v/>
      </c>
      <c r="R808" s="35" t="str">
        <f aca="false">IF(OR($P808="",$Q808=""),"",INDEX(BookRate,803)*$P808*(5-MATCH($Q808,{"Q1";"Q2";"Q3";"Q4"},0))/4+INDEX(BookOneOff,803)*$P808)</f>
        <v/>
      </c>
      <c r="S808" s="35" t="str">
        <f aca="false">IF($P808="","",INDEX(BookRate,803)*$P808)</f>
        <v/>
      </c>
      <c r="T808" s="35" t="str">
        <f aca="false">IF($R808="","",$R808-$K808)</f>
        <v/>
      </c>
      <c r="U808" s="35" t="str">
        <f aca="false">IF(N($P808)&lt;=0,"",COUNTIF($P$6:$P808,"&gt;0"))</f>
        <v/>
      </c>
    </row>
    <row r="809" customFormat="false" ht="15" hidden="false" customHeight="false" outlineLevel="0" collapsed="false">
      <c r="A809" s="40" t="str">
        <f aca="false">IF(INDEX(BookTitle,804)="","",INDEX(BookGroup,804))</f>
        <v/>
      </c>
      <c r="B809" s="40" t="str">
        <f aca="false">IF(INDEX(BookTitle,804)="","",INDEX(BookRef,804))</f>
        <v/>
      </c>
      <c r="C809" s="40" t="str">
        <f aca="false">IF(INDEX(BookTitle,804)="","",INDEX(BookDivision,804))</f>
        <v/>
      </c>
      <c r="D809" s="40" t="str">
        <f aca="false">IF(INDEX(BookTitle,804)="","",INDEX(BookUnit,804))</f>
        <v/>
      </c>
      <c r="E809" s="40" t="str">
        <f aca="false">IF(INDEX(BookTitle,804)="","",INDEX(BookTitle,804))</f>
        <v/>
      </c>
      <c r="F809" s="40" t="str">
        <f aca="false">IF(INDEX(BookTitle,804)="","",INDEX(BookLevel,804))</f>
        <v/>
      </c>
      <c r="G809" s="40" t="str">
        <f aca="false">IF(INDEX(BookTitle,804)="","",INDEX(BookCategory,804))</f>
        <v/>
      </c>
      <c r="H809" s="40" t="str">
        <f aca="false">IF(INDEX(BookTitle,804)="","",INDEX(BookRank,804))</f>
        <v/>
      </c>
      <c r="I809" s="41" t="str">
        <f aca="false">IF(INDEX(BookTitle,804)="","",INDEX(BookTotal,804))</f>
        <v/>
      </c>
      <c r="J809" s="0" t="str">
        <f aca="false">IF($I809="","",IF(INDEX(BookQ1,804)&gt;0,"Q1",IF(INDEX(BookQ2,804)&gt;0,"Q2",IF(INDEX(BookQ3,804)&gt;0,"Q3",IF(INDEX(BookQ4,804)&gt;0,"Q4","")))))</f>
        <v/>
      </c>
      <c r="K809" s="42" t="str">
        <f aca="false">IF(INDEX(BookTitle,804)="","",INDEX(BookInYear,804))</f>
        <v/>
      </c>
      <c r="L809" s="19"/>
      <c r="M809" s="39"/>
      <c r="N809" s="19"/>
      <c r="O809" s="19"/>
      <c r="P809" s="43" t="str">
        <f aca="false">IF($E809="","",IF($L809="Decline",0,IF($L809="Approve fewer",IF($M809="","",$M809),IF($L809="","",$I809))))</f>
        <v/>
      </c>
      <c r="Q809" s="34" t="str">
        <f aca="false">IF($P809="","",IF($N809&lt;&gt;"",$N809,$J809))</f>
        <v/>
      </c>
      <c r="R809" s="35" t="str">
        <f aca="false">IF(OR($P809="",$Q809=""),"",INDEX(BookRate,804)*$P809*(5-MATCH($Q809,{"Q1";"Q2";"Q3";"Q4"},0))/4+INDEX(BookOneOff,804)*$P809)</f>
        <v/>
      </c>
      <c r="S809" s="35" t="str">
        <f aca="false">IF($P809="","",INDEX(BookRate,804)*$P809)</f>
        <v/>
      </c>
      <c r="T809" s="35" t="str">
        <f aca="false">IF($R809="","",$R809-$K809)</f>
        <v/>
      </c>
      <c r="U809" s="35" t="str">
        <f aca="false">IF(N($P809)&lt;=0,"",COUNTIF($P$6:$P809,"&gt;0"))</f>
        <v/>
      </c>
    </row>
    <row r="810" customFormat="false" ht="15" hidden="false" customHeight="false" outlineLevel="0" collapsed="false">
      <c r="A810" s="40" t="str">
        <f aca="false">IF(INDEX(BookTitle,805)="","",INDEX(BookGroup,805))</f>
        <v/>
      </c>
      <c r="B810" s="40" t="str">
        <f aca="false">IF(INDEX(BookTitle,805)="","",INDEX(BookRef,805))</f>
        <v/>
      </c>
      <c r="C810" s="40" t="str">
        <f aca="false">IF(INDEX(BookTitle,805)="","",INDEX(BookDivision,805))</f>
        <v/>
      </c>
      <c r="D810" s="40" t="str">
        <f aca="false">IF(INDEX(BookTitle,805)="","",INDEX(BookUnit,805))</f>
        <v/>
      </c>
      <c r="E810" s="40" t="str">
        <f aca="false">IF(INDEX(BookTitle,805)="","",INDEX(BookTitle,805))</f>
        <v/>
      </c>
      <c r="F810" s="40" t="str">
        <f aca="false">IF(INDEX(BookTitle,805)="","",INDEX(BookLevel,805))</f>
        <v/>
      </c>
      <c r="G810" s="40" t="str">
        <f aca="false">IF(INDEX(BookTitle,805)="","",INDEX(BookCategory,805))</f>
        <v/>
      </c>
      <c r="H810" s="40" t="str">
        <f aca="false">IF(INDEX(BookTitle,805)="","",INDEX(BookRank,805))</f>
        <v/>
      </c>
      <c r="I810" s="41" t="str">
        <f aca="false">IF(INDEX(BookTitle,805)="","",INDEX(BookTotal,805))</f>
        <v/>
      </c>
      <c r="J810" s="0" t="str">
        <f aca="false">IF($I810="","",IF(INDEX(BookQ1,805)&gt;0,"Q1",IF(INDEX(BookQ2,805)&gt;0,"Q2",IF(INDEX(BookQ3,805)&gt;0,"Q3",IF(INDEX(BookQ4,805)&gt;0,"Q4","")))))</f>
        <v/>
      </c>
      <c r="K810" s="42" t="str">
        <f aca="false">IF(INDEX(BookTitle,805)="","",INDEX(BookInYear,805))</f>
        <v/>
      </c>
      <c r="L810" s="19"/>
      <c r="M810" s="39"/>
      <c r="N810" s="19"/>
      <c r="O810" s="19"/>
      <c r="P810" s="43" t="str">
        <f aca="false">IF($E810="","",IF($L810="Decline",0,IF($L810="Approve fewer",IF($M810="","",$M810),IF($L810="","",$I810))))</f>
        <v/>
      </c>
      <c r="Q810" s="34" t="str">
        <f aca="false">IF($P810="","",IF($N810&lt;&gt;"",$N810,$J810))</f>
        <v/>
      </c>
      <c r="R810" s="35" t="str">
        <f aca="false">IF(OR($P810="",$Q810=""),"",INDEX(BookRate,805)*$P810*(5-MATCH($Q810,{"Q1";"Q2";"Q3";"Q4"},0))/4+INDEX(BookOneOff,805)*$P810)</f>
        <v/>
      </c>
      <c r="S810" s="35" t="str">
        <f aca="false">IF($P810="","",INDEX(BookRate,805)*$P810)</f>
        <v/>
      </c>
      <c r="T810" s="35" t="str">
        <f aca="false">IF($R810="","",$R810-$K810)</f>
        <v/>
      </c>
      <c r="U810" s="35" t="str">
        <f aca="false">IF(N($P810)&lt;=0,"",COUNTIF($P$6:$P810,"&gt;0"))</f>
        <v/>
      </c>
    </row>
    <row r="811" customFormat="false" ht="15" hidden="false" customHeight="false" outlineLevel="0" collapsed="false">
      <c r="A811" s="40" t="str">
        <f aca="false">IF(INDEX(BookTitle,806)="","",INDEX(BookGroup,806))</f>
        <v/>
      </c>
      <c r="B811" s="40" t="str">
        <f aca="false">IF(INDEX(BookTitle,806)="","",INDEX(BookRef,806))</f>
        <v/>
      </c>
      <c r="C811" s="40" t="str">
        <f aca="false">IF(INDEX(BookTitle,806)="","",INDEX(BookDivision,806))</f>
        <v/>
      </c>
      <c r="D811" s="40" t="str">
        <f aca="false">IF(INDEX(BookTitle,806)="","",INDEX(BookUnit,806))</f>
        <v/>
      </c>
      <c r="E811" s="40" t="str">
        <f aca="false">IF(INDEX(BookTitle,806)="","",INDEX(BookTitle,806))</f>
        <v/>
      </c>
      <c r="F811" s="40" t="str">
        <f aca="false">IF(INDEX(BookTitle,806)="","",INDEX(BookLevel,806))</f>
        <v/>
      </c>
      <c r="G811" s="40" t="str">
        <f aca="false">IF(INDEX(BookTitle,806)="","",INDEX(BookCategory,806))</f>
        <v/>
      </c>
      <c r="H811" s="40" t="str">
        <f aca="false">IF(INDEX(BookTitle,806)="","",INDEX(BookRank,806))</f>
        <v/>
      </c>
      <c r="I811" s="41" t="str">
        <f aca="false">IF(INDEX(BookTitle,806)="","",INDEX(BookTotal,806))</f>
        <v/>
      </c>
      <c r="J811" s="0" t="str">
        <f aca="false">IF($I811="","",IF(INDEX(BookQ1,806)&gt;0,"Q1",IF(INDEX(BookQ2,806)&gt;0,"Q2",IF(INDEX(BookQ3,806)&gt;0,"Q3",IF(INDEX(BookQ4,806)&gt;0,"Q4","")))))</f>
        <v/>
      </c>
      <c r="K811" s="42" t="str">
        <f aca="false">IF(INDEX(BookTitle,806)="","",INDEX(BookInYear,806))</f>
        <v/>
      </c>
      <c r="L811" s="19"/>
      <c r="M811" s="39"/>
      <c r="N811" s="19"/>
      <c r="O811" s="19"/>
      <c r="P811" s="43" t="str">
        <f aca="false">IF($E811="","",IF($L811="Decline",0,IF($L811="Approve fewer",IF($M811="","",$M811),IF($L811="","",$I811))))</f>
        <v/>
      </c>
      <c r="Q811" s="34" t="str">
        <f aca="false">IF($P811="","",IF($N811&lt;&gt;"",$N811,$J811))</f>
        <v/>
      </c>
      <c r="R811" s="35" t="str">
        <f aca="false">IF(OR($P811="",$Q811=""),"",INDEX(BookRate,806)*$P811*(5-MATCH($Q811,{"Q1";"Q2";"Q3";"Q4"},0))/4+INDEX(BookOneOff,806)*$P811)</f>
        <v/>
      </c>
      <c r="S811" s="35" t="str">
        <f aca="false">IF($P811="","",INDEX(BookRate,806)*$P811)</f>
        <v/>
      </c>
      <c r="T811" s="35" t="str">
        <f aca="false">IF($R811="","",$R811-$K811)</f>
        <v/>
      </c>
      <c r="U811" s="35" t="str">
        <f aca="false">IF(N($P811)&lt;=0,"",COUNTIF($P$6:$P811,"&gt;0"))</f>
        <v/>
      </c>
    </row>
    <row r="812" customFormat="false" ht="15" hidden="false" customHeight="false" outlineLevel="0" collapsed="false">
      <c r="A812" s="40" t="str">
        <f aca="false">IF(INDEX(BookTitle,807)="","",INDEX(BookGroup,807))</f>
        <v/>
      </c>
      <c r="B812" s="40" t="str">
        <f aca="false">IF(INDEX(BookTitle,807)="","",INDEX(BookRef,807))</f>
        <v/>
      </c>
      <c r="C812" s="40" t="str">
        <f aca="false">IF(INDEX(BookTitle,807)="","",INDEX(BookDivision,807))</f>
        <v/>
      </c>
      <c r="D812" s="40" t="str">
        <f aca="false">IF(INDEX(BookTitle,807)="","",INDEX(BookUnit,807))</f>
        <v/>
      </c>
      <c r="E812" s="40" t="str">
        <f aca="false">IF(INDEX(BookTitle,807)="","",INDEX(BookTitle,807))</f>
        <v/>
      </c>
      <c r="F812" s="40" t="str">
        <f aca="false">IF(INDEX(BookTitle,807)="","",INDEX(BookLevel,807))</f>
        <v/>
      </c>
      <c r="G812" s="40" t="str">
        <f aca="false">IF(INDEX(BookTitle,807)="","",INDEX(BookCategory,807))</f>
        <v/>
      </c>
      <c r="H812" s="40" t="str">
        <f aca="false">IF(INDEX(BookTitle,807)="","",INDEX(BookRank,807))</f>
        <v/>
      </c>
      <c r="I812" s="41" t="str">
        <f aca="false">IF(INDEX(BookTitle,807)="","",INDEX(BookTotal,807))</f>
        <v/>
      </c>
      <c r="J812" s="0" t="str">
        <f aca="false">IF($I812="","",IF(INDEX(BookQ1,807)&gt;0,"Q1",IF(INDEX(BookQ2,807)&gt;0,"Q2",IF(INDEX(BookQ3,807)&gt;0,"Q3",IF(INDEX(BookQ4,807)&gt;0,"Q4","")))))</f>
        <v/>
      </c>
      <c r="K812" s="42" t="str">
        <f aca="false">IF(INDEX(BookTitle,807)="","",INDEX(BookInYear,807))</f>
        <v/>
      </c>
      <c r="L812" s="19"/>
      <c r="M812" s="39"/>
      <c r="N812" s="19"/>
      <c r="O812" s="19"/>
      <c r="P812" s="43" t="str">
        <f aca="false">IF($E812="","",IF($L812="Decline",0,IF($L812="Approve fewer",IF($M812="","",$M812),IF($L812="","",$I812))))</f>
        <v/>
      </c>
      <c r="Q812" s="34" t="str">
        <f aca="false">IF($P812="","",IF($N812&lt;&gt;"",$N812,$J812))</f>
        <v/>
      </c>
      <c r="R812" s="35" t="str">
        <f aca="false">IF(OR($P812="",$Q812=""),"",INDEX(BookRate,807)*$P812*(5-MATCH($Q812,{"Q1";"Q2";"Q3";"Q4"},0))/4+INDEX(BookOneOff,807)*$P812)</f>
        <v/>
      </c>
      <c r="S812" s="35" t="str">
        <f aca="false">IF($P812="","",INDEX(BookRate,807)*$P812)</f>
        <v/>
      </c>
      <c r="T812" s="35" t="str">
        <f aca="false">IF($R812="","",$R812-$K812)</f>
        <v/>
      </c>
      <c r="U812" s="35" t="str">
        <f aca="false">IF(N($P812)&lt;=0,"",COUNTIF($P$6:$P812,"&gt;0"))</f>
        <v/>
      </c>
    </row>
    <row r="813" customFormat="false" ht="15" hidden="false" customHeight="false" outlineLevel="0" collapsed="false">
      <c r="A813" s="40" t="str">
        <f aca="false">IF(INDEX(BookTitle,808)="","",INDEX(BookGroup,808))</f>
        <v/>
      </c>
      <c r="B813" s="40" t="str">
        <f aca="false">IF(INDEX(BookTitle,808)="","",INDEX(BookRef,808))</f>
        <v/>
      </c>
      <c r="C813" s="40" t="str">
        <f aca="false">IF(INDEX(BookTitle,808)="","",INDEX(BookDivision,808))</f>
        <v/>
      </c>
      <c r="D813" s="40" t="str">
        <f aca="false">IF(INDEX(BookTitle,808)="","",INDEX(BookUnit,808))</f>
        <v/>
      </c>
      <c r="E813" s="40" t="str">
        <f aca="false">IF(INDEX(BookTitle,808)="","",INDEX(BookTitle,808))</f>
        <v/>
      </c>
      <c r="F813" s="40" t="str">
        <f aca="false">IF(INDEX(BookTitle,808)="","",INDEX(BookLevel,808))</f>
        <v/>
      </c>
      <c r="G813" s="40" t="str">
        <f aca="false">IF(INDEX(BookTitle,808)="","",INDEX(BookCategory,808))</f>
        <v/>
      </c>
      <c r="H813" s="40" t="str">
        <f aca="false">IF(INDEX(BookTitle,808)="","",INDEX(BookRank,808))</f>
        <v/>
      </c>
      <c r="I813" s="41" t="str">
        <f aca="false">IF(INDEX(BookTitle,808)="","",INDEX(BookTotal,808))</f>
        <v/>
      </c>
      <c r="J813" s="0" t="str">
        <f aca="false">IF($I813="","",IF(INDEX(BookQ1,808)&gt;0,"Q1",IF(INDEX(BookQ2,808)&gt;0,"Q2",IF(INDEX(BookQ3,808)&gt;0,"Q3",IF(INDEX(BookQ4,808)&gt;0,"Q4","")))))</f>
        <v/>
      </c>
      <c r="K813" s="42" t="str">
        <f aca="false">IF(INDEX(BookTitle,808)="","",INDEX(BookInYear,808))</f>
        <v/>
      </c>
      <c r="L813" s="19"/>
      <c r="M813" s="39"/>
      <c r="N813" s="19"/>
      <c r="O813" s="19"/>
      <c r="P813" s="43" t="str">
        <f aca="false">IF($E813="","",IF($L813="Decline",0,IF($L813="Approve fewer",IF($M813="","",$M813),IF($L813="","",$I813))))</f>
        <v/>
      </c>
      <c r="Q813" s="34" t="str">
        <f aca="false">IF($P813="","",IF($N813&lt;&gt;"",$N813,$J813))</f>
        <v/>
      </c>
      <c r="R813" s="35" t="str">
        <f aca="false">IF(OR($P813="",$Q813=""),"",INDEX(BookRate,808)*$P813*(5-MATCH($Q813,{"Q1";"Q2";"Q3";"Q4"},0))/4+INDEX(BookOneOff,808)*$P813)</f>
        <v/>
      </c>
      <c r="S813" s="35" t="str">
        <f aca="false">IF($P813="","",INDEX(BookRate,808)*$P813)</f>
        <v/>
      </c>
      <c r="T813" s="35" t="str">
        <f aca="false">IF($R813="","",$R813-$K813)</f>
        <v/>
      </c>
      <c r="U813" s="35" t="str">
        <f aca="false">IF(N($P813)&lt;=0,"",COUNTIF($P$6:$P813,"&gt;0"))</f>
        <v/>
      </c>
    </row>
    <row r="814" customFormat="false" ht="15" hidden="false" customHeight="false" outlineLevel="0" collapsed="false">
      <c r="A814" s="40" t="str">
        <f aca="false">IF(INDEX(BookTitle,809)="","",INDEX(BookGroup,809))</f>
        <v/>
      </c>
      <c r="B814" s="40" t="str">
        <f aca="false">IF(INDEX(BookTitle,809)="","",INDEX(BookRef,809))</f>
        <v/>
      </c>
      <c r="C814" s="40" t="str">
        <f aca="false">IF(INDEX(BookTitle,809)="","",INDEX(BookDivision,809))</f>
        <v/>
      </c>
      <c r="D814" s="40" t="str">
        <f aca="false">IF(INDEX(BookTitle,809)="","",INDEX(BookUnit,809))</f>
        <v/>
      </c>
      <c r="E814" s="40" t="str">
        <f aca="false">IF(INDEX(BookTitle,809)="","",INDEX(BookTitle,809))</f>
        <v/>
      </c>
      <c r="F814" s="40" t="str">
        <f aca="false">IF(INDEX(BookTitle,809)="","",INDEX(BookLevel,809))</f>
        <v/>
      </c>
      <c r="G814" s="40" t="str">
        <f aca="false">IF(INDEX(BookTitle,809)="","",INDEX(BookCategory,809))</f>
        <v/>
      </c>
      <c r="H814" s="40" t="str">
        <f aca="false">IF(INDEX(BookTitle,809)="","",INDEX(BookRank,809))</f>
        <v/>
      </c>
      <c r="I814" s="41" t="str">
        <f aca="false">IF(INDEX(BookTitle,809)="","",INDEX(BookTotal,809))</f>
        <v/>
      </c>
      <c r="J814" s="0" t="str">
        <f aca="false">IF($I814="","",IF(INDEX(BookQ1,809)&gt;0,"Q1",IF(INDEX(BookQ2,809)&gt;0,"Q2",IF(INDEX(BookQ3,809)&gt;0,"Q3",IF(INDEX(BookQ4,809)&gt;0,"Q4","")))))</f>
        <v/>
      </c>
      <c r="K814" s="42" t="str">
        <f aca="false">IF(INDEX(BookTitle,809)="","",INDEX(BookInYear,809))</f>
        <v/>
      </c>
      <c r="L814" s="19"/>
      <c r="M814" s="39"/>
      <c r="N814" s="19"/>
      <c r="O814" s="19"/>
      <c r="P814" s="43" t="str">
        <f aca="false">IF($E814="","",IF($L814="Decline",0,IF($L814="Approve fewer",IF($M814="","",$M814),IF($L814="","",$I814))))</f>
        <v/>
      </c>
      <c r="Q814" s="34" t="str">
        <f aca="false">IF($P814="","",IF($N814&lt;&gt;"",$N814,$J814))</f>
        <v/>
      </c>
      <c r="R814" s="35" t="str">
        <f aca="false">IF(OR($P814="",$Q814=""),"",INDEX(BookRate,809)*$P814*(5-MATCH($Q814,{"Q1";"Q2";"Q3";"Q4"},0))/4+INDEX(BookOneOff,809)*$P814)</f>
        <v/>
      </c>
      <c r="S814" s="35" t="str">
        <f aca="false">IF($P814="","",INDEX(BookRate,809)*$P814)</f>
        <v/>
      </c>
      <c r="T814" s="35" t="str">
        <f aca="false">IF($R814="","",$R814-$K814)</f>
        <v/>
      </c>
      <c r="U814" s="35" t="str">
        <f aca="false">IF(N($P814)&lt;=0,"",COUNTIF($P$6:$P814,"&gt;0"))</f>
        <v/>
      </c>
    </row>
    <row r="815" customFormat="false" ht="15" hidden="false" customHeight="false" outlineLevel="0" collapsed="false">
      <c r="A815" s="40" t="str">
        <f aca="false">IF(INDEX(BookTitle,810)="","",INDEX(BookGroup,810))</f>
        <v/>
      </c>
      <c r="B815" s="40" t="str">
        <f aca="false">IF(INDEX(BookTitle,810)="","",INDEX(BookRef,810))</f>
        <v/>
      </c>
      <c r="C815" s="40" t="str">
        <f aca="false">IF(INDEX(BookTitle,810)="","",INDEX(BookDivision,810))</f>
        <v/>
      </c>
      <c r="D815" s="40" t="str">
        <f aca="false">IF(INDEX(BookTitle,810)="","",INDEX(BookUnit,810))</f>
        <v/>
      </c>
      <c r="E815" s="40" t="str">
        <f aca="false">IF(INDEX(BookTitle,810)="","",INDEX(BookTitle,810))</f>
        <v/>
      </c>
      <c r="F815" s="40" t="str">
        <f aca="false">IF(INDEX(BookTitle,810)="","",INDEX(BookLevel,810))</f>
        <v/>
      </c>
      <c r="G815" s="40" t="str">
        <f aca="false">IF(INDEX(BookTitle,810)="","",INDEX(BookCategory,810))</f>
        <v/>
      </c>
      <c r="H815" s="40" t="str">
        <f aca="false">IF(INDEX(BookTitle,810)="","",INDEX(BookRank,810))</f>
        <v/>
      </c>
      <c r="I815" s="41" t="str">
        <f aca="false">IF(INDEX(BookTitle,810)="","",INDEX(BookTotal,810))</f>
        <v/>
      </c>
      <c r="J815" s="0" t="str">
        <f aca="false">IF($I815="","",IF(INDEX(BookQ1,810)&gt;0,"Q1",IF(INDEX(BookQ2,810)&gt;0,"Q2",IF(INDEX(BookQ3,810)&gt;0,"Q3",IF(INDEX(BookQ4,810)&gt;0,"Q4","")))))</f>
        <v/>
      </c>
      <c r="K815" s="42" t="str">
        <f aca="false">IF(INDEX(BookTitle,810)="","",INDEX(BookInYear,810))</f>
        <v/>
      </c>
      <c r="L815" s="19"/>
      <c r="M815" s="39"/>
      <c r="N815" s="19"/>
      <c r="O815" s="19"/>
      <c r="P815" s="43" t="str">
        <f aca="false">IF($E815="","",IF($L815="Decline",0,IF($L815="Approve fewer",IF($M815="","",$M815),IF($L815="","",$I815))))</f>
        <v/>
      </c>
      <c r="Q815" s="34" t="str">
        <f aca="false">IF($P815="","",IF($N815&lt;&gt;"",$N815,$J815))</f>
        <v/>
      </c>
      <c r="R815" s="35" t="str">
        <f aca="false">IF(OR($P815="",$Q815=""),"",INDEX(BookRate,810)*$P815*(5-MATCH($Q815,{"Q1";"Q2";"Q3";"Q4"},0))/4+INDEX(BookOneOff,810)*$P815)</f>
        <v/>
      </c>
      <c r="S815" s="35" t="str">
        <f aca="false">IF($P815="","",INDEX(BookRate,810)*$P815)</f>
        <v/>
      </c>
      <c r="T815" s="35" t="str">
        <f aca="false">IF($R815="","",$R815-$K815)</f>
        <v/>
      </c>
      <c r="U815" s="35" t="str">
        <f aca="false">IF(N($P815)&lt;=0,"",COUNTIF($P$6:$P815,"&gt;0"))</f>
        <v/>
      </c>
    </row>
    <row r="816" customFormat="false" ht="15" hidden="false" customHeight="false" outlineLevel="0" collapsed="false">
      <c r="A816" s="40" t="str">
        <f aca="false">IF(INDEX(BookTitle,811)="","",INDEX(BookGroup,811))</f>
        <v/>
      </c>
      <c r="B816" s="40" t="str">
        <f aca="false">IF(INDEX(BookTitle,811)="","",INDEX(BookRef,811))</f>
        <v/>
      </c>
      <c r="C816" s="40" t="str">
        <f aca="false">IF(INDEX(BookTitle,811)="","",INDEX(BookDivision,811))</f>
        <v/>
      </c>
      <c r="D816" s="40" t="str">
        <f aca="false">IF(INDEX(BookTitle,811)="","",INDEX(BookUnit,811))</f>
        <v/>
      </c>
      <c r="E816" s="40" t="str">
        <f aca="false">IF(INDEX(BookTitle,811)="","",INDEX(BookTitle,811))</f>
        <v/>
      </c>
      <c r="F816" s="40" t="str">
        <f aca="false">IF(INDEX(BookTitle,811)="","",INDEX(BookLevel,811))</f>
        <v/>
      </c>
      <c r="G816" s="40" t="str">
        <f aca="false">IF(INDEX(BookTitle,811)="","",INDEX(BookCategory,811))</f>
        <v/>
      </c>
      <c r="H816" s="40" t="str">
        <f aca="false">IF(INDEX(BookTitle,811)="","",INDEX(BookRank,811))</f>
        <v/>
      </c>
      <c r="I816" s="41" t="str">
        <f aca="false">IF(INDEX(BookTitle,811)="","",INDEX(BookTotal,811))</f>
        <v/>
      </c>
      <c r="J816" s="0" t="str">
        <f aca="false">IF($I816="","",IF(INDEX(BookQ1,811)&gt;0,"Q1",IF(INDEX(BookQ2,811)&gt;0,"Q2",IF(INDEX(BookQ3,811)&gt;0,"Q3",IF(INDEX(BookQ4,811)&gt;0,"Q4","")))))</f>
        <v/>
      </c>
      <c r="K816" s="42" t="str">
        <f aca="false">IF(INDEX(BookTitle,811)="","",INDEX(BookInYear,811))</f>
        <v/>
      </c>
      <c r="L816" s="19"/>
      <c r="M816" s="39"/>
      <c r="N816" s="19"/>
      <c r="O816" s="19"/>
      <c r="P816" s="43" t="str">
        <f aca="false">IF($E816="","",IF($L816="Decline",0,IF($L816="Approve fewer",IF($M816="","",$M816),IF($L816="","",$I816))))</f>
        <v/>
      </c>
      <c r="Q816" s="34" t="str">
        <f aca="false">IF($P816="","",IF($N816&lt;&gt;"",$N816,$J816))</f>
        <v/>
      </c>
      <c r="R816" s="35" t="str">
        <f aca="false">IF(OR($P816="",$Q816=""),"",INDEX(BookRate,811)*$P816*(5-MATCH($Q816,{"Q1";"Q2";"Q3";"Q4"},0))/4+INDEX(BookOneOff,811)*$P816)</f>
        <v/>
      </c>
      <c r="S816" s="35" t="str">
        <f aca="false">IF($P816="","",INDEX(BookRate,811)*$P816)</f>
        <v/>
      </c>
      <c r="T816" s="35" t="str">
        <f aca="false">IF($R816="","",$R816-$K816)</f>
        <v/>
      </c>
      <c r="U816" s="35" t="str">
        <f aca="false">IF(N($P816)&lt;=0,"",COUNTIF($P$6:$P816,"&gt;0"))</f>
        <v/>
      </c>
    </row>
    <row r="817" customFormat="false" ht="15" hidden="false" customHeight="false" outlineLevel="0" collapsed="false">
      <c r="A817" s="40" t="str">
        <f aca="false">IF(INDEX(BookTitle,812)="","",INDEX(BookGroup,812))</f>
        <v/>
      </c>
      <c r="B817" s="40" t="str">
        <f aca="false">IF(INDEX(BookTitle,812)="","",INDEX(BookRef,812))</f>
        <v/>
      </c>
      <c r="C817" s="40" t="str">
        <f aca="false">IF(INDEX(BookTitle,812)="","",INDEX(BookDivision,812))</f>
        <v/>
      </c>
      <c r="D817" s="40" t="str">
        <f aca="false">IF(INDEX(BookTitle,812)="","",INDEX(BookUnit,812))</f>
        <v/>
      </c>
      <c r="E817" s="40" t="str">
        <f aca="false">IF(INDEX(BookTitle,812)="","",INDEX(BookTitle,812))</f>
        <v/>
      </c>
      <c r="F817" s="40" t="str">
        <f aca="false">IF(INDEX(BookTitle,812)="","",INDEX(BookLevel,812))</f>
        <v/>
      </c>
      <c r="G817" s="40" t="str">
        <f aca="false">IF(INDEX(BookTitle,812)="","",INDEX(BookCategory,812))</f>
        <v/>
      </c>
      <c r="H817" s="40" t="str">
        <f aca="false">IF(INDEX(BookTitle,812)="","",INDEX(BookRank,812))</f>
        <v/>
      </c>
      <c r="I817" s="41" t="str">
        <f aca="false">IF(INDEX(BookTitle,812)="","",INDEX(BookTotal,812))</f>
        <v/>
      </c>
      <c r="J817" s="0" t="str">
        <f aca="false">IF($I817="","",IF(INDEX(BookQ1,812)&gt;0,"Q1",IF(INDEX(BookQ2,812)&gt;0,"Q2",IF(INDEX(BookQ3,812)&gt;0,"Q3",IF(INDEX(BookQ4,812)&gt;0,"Q4","")))))</f>
        <v/>
      </c>
      <c r="K817" s="42" t="str">
        <f aca="false">IF(INDEX(BookTitle,812)="","",INDEX(BookInYear,812))</f>
        <v/>
      </c>
      <c r="L817" s="19"/>
      <c r="M817" s="39"/>
      <c r="N817" s="19"/>
      <c r="O817" s="19"/>
      <c r="P817" s="43" t="str">
        <f aca="false">IF($E817="","",IF($L817="Decline",0,IF($L817="Approve fewer",IF($M817="","",$M817),IF($L817="","",$I817))))</f>
        <v/>
      </c>
      <c r="Q817" s="34" t="str">
        <f aca="false">IF($P817="","",IF($N817&lt;&gt;"",$N817,$J817))</f>
        <v/>
      </c>
      <c r="R817" s="35" t="str">
        <f aca="false">IF(OR($P817="",$Q817=""),"",INDEX(BookRate,812)*$P817*(5-MATCH($Q817,{"Q1";"Q2";"Q3";"Q4"},0))/4+INDEX(BookOneOff,812)*$P817)</f>
        <v/>
      </c>
      <c r="S817" s="35" t="str">
        <f aca="false">IF($P817="","",INDEX(BookRate,812)*$P817)</f>
        <v/>
      </c>
      <c r="T817" s="35" t="str">
        <f aca="false">IF($R817="","",$R817-$K817)</f>
        <v/>
      </c>
      <c r="U817" s="35" t="str">
        <f aca="false">IF(N($P817)&lt;=0,"",COUNTIF($P$6:$P817,"&gt;0"))</f>
        <v/>
      </c>
    </row>
    <row r="818" customFormat="false" ht="15" hidden="false" customHeight="false" outlineLevel="0" collapsed="false">
      <c r="A818" s="40" t="str">
        <f aca="false">IF(INDEX(BookTitle,813)="","",INDEX(BookGroup,813))</f>
        <v/>
      </c>
      <c r="B818" s="40" t="str">
        <f aca="false">IF(INDEX(BookTitle,813)="","",INDEX(BookRef,813))</f>
        <v/>
      </c>
      <c r="C818" s="40" t="str">
        <f aca="false">IF(INDEX(BookTitle,813)="","",INDEX(BookDivision,813))</f>
        <v/>
      </c>
      <c r="D818" s="40" t="str">
        <f aca="false">IF(INDEX(BookTitle,813)="","",INDEX(BookUnit,813))</f>
        <v/>
      </c>
      <c r="E818" s="40" t="str">
        <f aca="false">IF(INDEX(BookTitle,813)="","",INDEX(BookTitle,813))</f>
        <v/>
      </c>
      <c r="F818" s="40" t="str">
        <f aca="false">IF(INDEX(BookTitle,813)="","",INDEX(BookLevel,813))</f>
        <v/>
      </c>
      <c r="G818" s="40" t="str">
        <f aca="false">IF(INDEX(BookTitle,813)="","",INDEX(BookCategory,813))</f>
        <v/>
      </c>
      <c r="H818" s="40" t="str">
        <f aca="false">IF(INDEX(BookTitle,813)="","",INDEX(BookRank,813))</f>
        <v/>
      </c>
      <c r="I818" s="41" t="str">
        <f aca="false">IF(INDEX(BookTitle,813)="","",INDEX(BookTotal,813))</f>
        <v/>
      </c>
      <c r="J818" s="0" t="str">
        <f aca="false">IF($I818="","",IF(INDEX(BookQ1,813)&gt;0,"Q1",IF(INDEX(BookQ2,813)&gt;0,"Q2",IF(INDEX(BookQ3,813)&gt;0,"Q3",IF(INDEX(BookQ4,813)&gt;0,"Q4","")))))</f>
        <v/>
      </c>
      <c r="K818" s="42" t="str">
        <f aca="false">IF(INDEX(BookTitle,813)="","",INDEX(BookInYear,813))</f>
        <v/>
      </c>
      <c r="L818" s="19"/>
      <c r="M818" s="39"/>
      <c r="N818" s="19"/>
      <c r="O818" s="19"/>
      <c r="P818" s="43" t="str">
        <f aca="false">IF($E818="","",IF($L818="Decline",0,IF($L818="Approve fewer",IF($M818="","",$M818),IF($L818="","",$I818))))</f>
        <v/>
      </c>
      <c r="Q818" s="34" t="str">
        <f aca="false">IF($P818="","",IF($N818&lt;&gt;"",$N818,$J818))</f>
        <v/>
      </c>
      <c r="R818" s="35" t="str">
        <f aca="false">IF(OR($P818="",$Q818=""),"",INDEX(BookRate,813)*$P818*(5-MATCH($Q818,{"Q1";"Q2";"Q3";"Q4"},0))/4+INDEX(BookOneOff,813)*$P818)</f>
        <v/>
      </c>
      <c r="S818" s="35" t="str">
        <f aca="false">IF($P818="","",INDEX(BookRate,813)*$P818)</f>
        <v/>
      </c>
      <c r="T818" s="35" t="str">
        <f aca="false">IF($R818="","",$R818-$K818)</f>
        <v/>
      </c>
      <c r="U818" s="35" t="str">
        <f aca="false">IF(N($P818)&lt;=0,"",COUNTIF($P$6:$P818,"&gt;0"))</f>
        <v/>
      </c>
    </row>
    <row r="819" customFormat="false" ht="15" hidden="false" customHeight="false" outlineLevel="0" collapsed="false">
      <c r="A819" s="40" t="str">
        <f aca="false">IF(INDEX(BookTitle,814)="","",INDEX(BookGroup,814))</f>
        <v/>
      </c>
      <c r="B819" s="40" t="str">
        <f aca="false">IF(INDEX(BookTitle,814)="","",INDEX(BookRef,814))</f>
        <v/>
      </c>
      <c r="C819" s="40" t="str">
        <f aca="false">IF(INDEX(BookTitle,814)="","",INDEX(BookDivision,814))</f>
        <v/>
      </c>
      <c r="D819" s="40" t="str">
        <f aca="false">IF(INDEX(BookTitle,814)="","",INDEX(BookUnit,814))</f>
        <v/>
      </c>
      <c r="E819" s="40" t="str">
        <f aca="false">IF(INDEX(BookTitle,814)="","",INDEX(BookTitle,814))</f>
        <v/>
      </c>
      <c r="F819" s="40" t="str">
        <f aca="false">IF(INDEX(BookTitle,814)="","",INDEX(BookLevel,814))</f>
        <v/>
      </c>
      <c r="G819" s="40" t="str">
        <f aca="false">IF(INDEX(BookTitle,814)="","",INDEX(BookCategory,814))</f>
        <v/>
      </c>
      <c r="H819" s="40" t="str">
        <f aca="false">IF(INDEX(BookTitle,814)="","",INDEX(BookRank,814))</f>
        <v/>
      </c>
      <c r="I819" s="41" t="str">
        <f aca="false">IF(INDEX(BookTitle,814)="","",INDEX(BookTotal,814))</f>
        <v/>
      </c>
      <c r="J819" s="0" t="str">
        <f aca="false">IF($I819="","",IF(INDEX(BookQ1,814)&gt;0,"Q1",IF(INDEX(BookQ2,814)&gt;0,"Q2",IF(INDEX(BookQ3,814)&gt;0,"Q3",IF(INDEX(BookQ4,814)&gt;0,"Q4","")))))</f>
        <v/>
      </c>
      <c r="K819" s="42" t="str">
        <f aca="false">IF(INDEX(BookTitle,814)="","",INDEX(BookInYear,814))</f>
        <v/>
      </c>
      <c r="L819" s="19"/>
      <c r="M819" s="39"/>
      <c r="N819" s="19"/>
      <c r="O819" s="19"/>
      <c r="P819" s="43" t="str">
        <f aca="false">IF($E819="","",IF($L819="Decline",0,IF($L819="Approve fewer",IF($M819="","",$M819),IF($L819="","",$I819))))</f>
        <v/>
      </c>
      <c r="Q819" s="34" t="str">
        <f aca="false">IF($P819="","",IF($N819&lt;&gt;"",$N819,$J819))</f>
        <v/>
      </c>
      <c r="R819" s="35" t="str">
        <f aca="false">IF(OR($P819="",$Q819=""),"",INDEX(BookRate,814)*$P819*(5-MATCH($Q819,{"Q1";"Q2";"Q3";"Q4"},0))/4+INDEX(BookOneOff,814)*$P819)</f>
        <v/>
      </c>
      <c r="S819" s="35" t="str">
        <f aca="false">IF($P819="","",INDEX(BookRate,814)*$P819)</f>
        <v/>
      </c>
      <c r="T819" s="35" t="str">
        <f aca="false">IF($R819="","",$R819-$K819)</f>
        <v/>
      </c>
      <c r="U819" s="35" t="str">
        <f aca="false">IF(N($P819)&lt;=0,"",COUNTIF($P$6:$P819,"&gt;0"))</f>
        <v/>
      </c>
    </row>
    <row r="820" customFormat="false" ht="15" hidden="false" customHeight="false" outlineLevel="0" collapsed="false">
      <c r="A820" s="40" t="str">
        <f aca="false">IF(INDEX(BookTitle,815)="","",INDEX(BookGroup,815))</f>
        <v/>
      </c>
      <c r="B820" s="40" t="str">
        <f aca="false">IF(INDEX(BookTitle,815)="","",INDEX(BookRef,815))</f>
        <v/>
      </c>
      <c r="C820" s="40" t="str">
        <f aca="false">IF(INDEX(BookTitle,815)="","",INDEX(BookDivision,815))</f>
        <v/>
      </c>
      <c r="D820" s="40" t="str">
        <f aca="false">IF(INDEX(BookTitle,815)="","",INDEX(BookUnit,815))</f>
        <v/>
      </c>
      <c r="E820" s="40" t="str">
        <f aca="false">IF(INDEX(BookTitle,815)="","",INDEX(BookTitle,815))</f>
        <v/>
      </c>
      <c r="F820" s="40" t="str">
        <f aca="false">IF(INDEX(BookTitle,815)="","",INDEX(BookLevel,815))</f>
        <v/>
      </c>
      <c r="G820" s="40" t="str">
        <f aca="false">IF(INDEX(BookTitle,815)="","",INDEX(BookCategory,815))</f>
        <v/>
      </c>
      <c r="H820" s="40" t="str">
        <f aca="false">IF(INDEX(BookTitle,815)="","",INDEX(BookRank,815))</f>
        <v/>
      </c>
      <c r="I820" s="41" t="str">
        <f aca="false">IF(INDEX(BookTitle,815)="","",INDEX(BookTotal,815))</f>
        <v/>
      </c>
      <c r="J820" s="0" t="str">
        <f aca="false">IF($I820="","",IF(INDEX(BookQ1,815)&gt;0,"Q1",IF(INDEX(BookQ2,815)&gt;0,"Q2",IF(INDEX(BookQ3,815)&gt;0,"Q3",IF(INDEX(BookQ4,815)&gt;0,"Q4","")))))</f>
        <v/>
      </c>
      <c r="K820" s="42" t="str">
        <f aca="false">IF(INDEX(BookTitle,815)="","",INDEX(BookInYear,815))</f>
        <v/>
      </c>
      <c r="L820" s="19"/>
      <c r="M820" s="39"/>
      <c r="N820" s="19"/>
      <c r="O820" s="19"/>
      <c r="P820" s="43" t="str">
        <f aca="false">IF($E820="","",IF($L820="Decline",0,IF($L820="Approve fewer",IF($M820="","",$M820),IF($L820="","",$I820))))</f>
        <v/>
      </c>
      <c r="Q820" s="34" t="str">
        <f aca="false">IF($P820="","",IF($N820&lt;&gt;"",$N820,$J820))</f>
        <v/>
      </c>
      <c r="R820" s="35" t="str">
        <f aca="false">IF(OR($P820="",$Q820=""),"",INDEX(BookRate,815)*$P820*(5-MATCH($Q820,{"Q1";"Q2";"Q3";"Q4"},0))/4+INDEX(BookOneOff,815)*$P820)</f>
        <v/>
      </c>
      <c r="S820" s="35" t="str">
        <f aca="false">IF($P820="","",INDEX(BookRate,815)*$P820)</f>
        <v/>
      </c>
      <c r="T820" s="35" t="str">
        <f aca="false">IF($R820="","",$R820-$K820)</f>
        <v/>
      </c>
      <c r="U820" s="35" t="str">
        <f aca="false">IF(N($P820)&lt;=0,"",COUNTIF($P$6:$P820,"&gt;0"))</f>
        <v/>
      </c>
    </row>
    <row r="821" customFormat="false" ht="15" hidden="false" customHeight="false" outlineLevel="0" collapsed="false">
      <c r="A821" s="40" t="str">
        <f aca="false">IF(INDEX(BookTitle,816)="","",INDEX(BookGroup,816))</f>
        <v/>
      </c>
      <c r="B821" s="40" t="str">
        <f aca="false">IF(INDEX(BookTitle,816)="","",INDEX(BookRef,816))</f>
        <v/>
      </c>
      <c r="C821" s="40" t="str">
        <f aca="false">IF(INDEX(BookTitle,816)="","",INDEX(BookDivision,816))</f>
        <v/>
      </c>
      <c r="D821" s="40" t="str">
        <f aca="false">IF(INDEX(BookTitle,816)="","",INDEX(BookUnit,816))</f>
        <v/>
      </c>
      <c r="E821" s="40" t="str">
        <f aca="false">IF(INDEX(BookTitle,816)="","",INDEX(BookTitle,816))</f>
        <v/>
      </c>
      <c r="F821" s="40" t="str">
        <f aca="false">IF(INDEX(BookTitle,816)="","",INDEX(BookLevel,816))</f>
        <v/>
      </c>
      <c r="G821" s="40" t="str">
        <f aca="false">IF(INDEX(BookTitle,816)="","",INDEX(BookCategory,816))</f>
        <v/>
      </c>
      <c r="H821" s="40" t="str">
        <f aca="false">IF(INDEX(BookTitle,816)="","",INDEX(BookRank,816))</f>
        <v/>
      </c>
      <c r="I821" s="41" t="str">
        <f aca="false">IF(INDEX(BookTitle,816)="","",INDEX(BookTotal,816))</f>
        <v/>
      </c>
      <c r="J821" s="0" t="str">
        <f aca="false">IF($I821="","",IF(INDEX(BookQ1,816)&gt;0,"Q1",IF(INDEX(BookQ2,816)&gt;0,"Q2",IF(INDEX(BookQ3,816)&gt;0,"Q3",IF(INDEX(BookQ4,816)&gt;0,"Q4","")))))</f>
        <v/>
      </c>
      <c r="K821" s="42" t="str">
        <f aca="false">IF(INDEX(BookTitle,816)="","",INDEX(BookInYear,816))</f>
        <v/>
      </c>
      <c r="L821" s="19"/>
      <c r="M821" s="39"/>
      <c r="N821" s="19"/>
      <c r="O821" s="19"/>
      <c r="P821" s="43" t="str">
        <f aca="false">IF($E821="","",IF($L821="Decline",0,IF($L821="Approve fewer",IF($M821="","",$M821),IF($L821="","",$I821))))</f>
        <v/>
      </c>
      <c r="Q821" s="34" t="str">
        <f aca="false">IF($P821="","",IF($N821&lt;&gt;"",$N821,$J821))</f>
        <v/>
      </c>
      <c r="R821" s="35" t="str">
        <f aca="false">IF(OR($P821="",$Q821=""),"",INDEX(BookRate,816)*$P821*(5-MATCH($Q821,{"Q1";"Q2";"Q3";"Q4"},0))/4+INDEX(BookOneOff,816)*$P821)</f>
        <v/>
      </c>
      <c r="S821" s="35" t="str">
        <f aca="false">IF($P821="","",INDEX(BookRate,816)*$P821)</f>
        <v/>
      </c>
      <c r="T821" s="35" t="str">
        <f aca="false">IF($R821="","",$R821-$K821)</f>
        <v/>
      </c>
      <c r="U821" s="35" t="str">
        <f aca="false">IF(N($P821)&lt;=0,"",COUNTIF($P$6:$P821,"&gt;0"))</f>
        <v/>
      </c>
    </row>
    <row r="822" customFormat="false" ht="15" hidden="false" customHeight="false" outlineLevel="0" collapsed="false">
      <c r="A822" s="40" t="str">
        <f aca="false">IF(INDEX(BookTitle,817)="","",INDEX(BookGroup,817))</f>
        <v/>
      </c>
      <c r="B822" s="40" t="str">
        <f aca="false">IF(INDEX(BookTitle,817)="","",INDEX(BookRef,817))</f>
        <v/>
      </c>
      <c r="C822" s="40" t="str">
        <f aca="false">IF(INDEX(BookTitle,817)="","",INDEX(BookDivision,817))</f>
        <v/>
      </c>
      <c r="D822" s="40" t="str">
        <f aca="false">IF(INDEX(BookTitle,817)="","",INDEX(BookUnit,817))</f>
        <v/>
      </c>
      <c r="E822" s="40" t="str">
        <f aca="false">IF(INDEX(BookTitle,817)="","",INDEX(BookTitle,817))</f>
        <v/>
      </c>
      <c r="F822" s="40" t="str">
        <f aca="false">IF(INDEX(BookTitle,817)="","",INDEX(BookLevel,817))</f>
        <v/>
      </c>
      <c r="G822" s="40" t="str">
        <f aca="false">IF(INDEX(BookTitle,817)="","",INDEX(BookCategory,817))</f>
        <v/>
      </c>
      <c r="H822" s="40" t="str">
        <f aca="false">IF(INDEX(BookTitle,817)="","",INDEX(BookRank,817))</f>
        <v/>
      </c>
      <c r="I822" s="41" t="str">
        <f aca="false">IF(INDEX(BookTitle,817)="","",INDEX(BookTotal,817))</f>
        <v/>
      </c>
      <c r="J822" s="0" t="str">
        <f aca="false">IF($I822="","",IF(INDEX(BookQ1,817)&gt;0,"Q1",IF(INDEX(BookQ2,817)&gt;0,"Q2",IF(INDEX(BookQ3,817)&gt;0,"Q3",IF(INDEX(BookQ4,817)&gt;0,"Q4","")))))</f>
        <v/>
      </c>
      <c r="K822" s="42" t="str">
        <f aca="false">IF(INDEX(BookTitle,817)="","",INDEX(BookInYear,817))</f>
        <v/>
      </c>
      <c r="L822" s="19"/>
      <c r="M822" s="39"/>
      <c r="N822" s="19"/>
      <c r="O822" s="19"/>
      <c r="P822" s="43" t="str">
        <f aca="false">IF($E822="","",IF($L822="Decline",0,IF($L822="Approve fewer",IF($M822="","",$M822),IF($L822="","",$I822))))</f>
        <v/>
      </c>
      <c r="Q822" s="34" t="str">
        <f aca="false">IF($P822="","",IF($N822&lt;&gt;"",$N822,$J822))</f>
        <v/>
      </c>
      <c r="R822" s="35" t="str">
        <f aca="false">IF(OR($P822="",$Q822=""),"",INDEX(BookRate,817)*$P822*(5-MATCH($Q822,{"Q1";"Q2";"Q3";"Q4"},0))/4+INDEX(BookOneOff,817)*$P822)</f>
        <v/>
      </c>
      <c r="S822" s="35" t="str">
        <f aca="false">IF($P822="","",INDEX(BookRate,817)*$P822)</f>
        <v/>
      </c>
      <c r="T822" s="35" t="str">
        <f aca="false">IF($R822="","",$R822-$K822)</f>
        <v/>
      </c>
      <c r="U822" s="35" t="str">
        <f aca="false">IF(N($P822)&lt;=0,"",COUNTIF($P$6:$P822,"&gt;0"))</f>
        <v/>
      </c>
    </row>
    <row r="823" customFormat="false" ht="15" hidden="false" customHeight="false" outlineLevel="0" collapsed="false">
      <c r="A823" s="40" t="str">
        <f aca="false">IF(INDEX(BookTitle,818)="","",INDEX(BookGroup,818))</f>
        <v/>
      </c>
      <c r="B823" s="40" t="str">
        <f aca="false">IF(INDEX(BookTitle,818)="","",INDEX(BookRef,818))</f>
        <v/>
      </c>
      <c r="C823" s="40" t="str">
        <f aca="false">IF(INDEX(BookTitle,818)="","",INDEX(BookDivision,818))</f>
        <v/>
      </c>
      <c r="D823" s="40" t="str">
        <f aca="false">IF(INDEX(BookTitle,818)="","",INDEX(BookUnit,818))</f>
        <v/>
      </c>
      <c r="E823" s="40" t="str">
        <f aca="false">IF(INDEX(BookTitle,818)="","",INDEX(BookTitle,818))</f>
        <v/>
      </c>
      <c r="F823" s="40" t="str">
        <f aca="false">IF(INDEX(BookTitle,818)="","",INDEX(BookLevel,818))</f>
        <v/>
      </c>
      <c r="G823" s="40" t="str">
        <f aca="false">IF(INDEX(BookTitle,818)="","",INDEX(BookCategory,818))</f>
        <v/>
      </c>
      <c r="H823" s="40" t="str">
        <f aca="false">IF(INDEX(BookTitle,818)="","",INDEX(BookRank,818))</f>
        <v/>
      </c>
      <c r="I823" s="41" t="str">
        <f aca="false">IF(INDEX(BookTitle,818)="","",INDEX(BookTotal,818))</f>
        <v/>
      </c>
      <c r="J823" s="0" t="str">
        <f aca="false">IF($I823="","",IF(INDEX(BookQ1,818)&gt;0,"Q1",IF(INDEX(BookQ2,818)&gt;0,"Q2",IF(INDEX(BookQ3,818)&gt;0,"Q3",IF(INDEX(BookQ4,818)&gt;0,"Q4","")))))</f>
        <v/>
      </c>
      <c r="K823" s="42" t="str">
        <f aca="false">IF(INDEX(BookTitle,818)="","",INDEX(BookInYear,818))</f>
        <v/>
      </c>
      <c r="L823" s="19"/>
      <c r="M823" s="39"/>
      <c r="N823" s="19"/>
      <c r="O823" s="19"/>
      <c r="P823" s="43" t="str">
        <f aca="false">IF($E823="","",IF($L823="Decline",0,IF($L823="Approve fewer",IF($M823="","",$M823),IF($L823="","",$I823))))</f>
        <v/>
      </c>
      <c r="Q823" s="34" t="str">
        <f aca="false">IF($P823="","",IF($N823&lt;&gt;"",$N823,$J823))</f>
        <v/>
      </c>
      <c r="R823" s="35" t="str">
        <f aca="false">IF(OR($P823="",$Q823=""),"",INDEX(BookRate,818)*$P823*(5-MATCH($Q823,{"Q1";"Q2";"Q3";"Q4"},0))/4+INDEX(BookOneOff,818)*$P823)</f>
        <v/>
      </c>
      <c r="S823" s="35" t="str">
        <f aca="false">IF($P823="","",INDEX(BookRate,818)*$P823)</f>
        <v/>
      </c>
      <c r="T823" s="35" t="str">
        <f aca="false">IF($R823="","",$R823-$K823)</f>
        <v/>
      </c>
      <c r="U823" s="35" t="str">
        <f aca="false">IF(N($P823)&lt;=0,"",COUNTIF($P$6:$P823,"&gt;0"))</f>
        <v/>
      </c>
    </row>
    <row r="824" customFormat="false" ht="15" hidden="false" customHeight="false" outlineLevel="0" collapsed="false">
      <c r="A824" s="40" t="str">
        <f aca="false">IF(INDEX(BookTitle,819)="","",INDEX(BookGroup,819))</f>
        <v/>
      </c>
      <c r="B824" s="40" t="str">
        <f aca="false">IF(INDEX(BookTitle,819)="","",INDEX(BookRef,819))</f>
        <v/>
      </c>
      <c r="C824" s="40" t="str">
        <f aca="false">IF(INDEX(BookTitle,819)="","",INDEX(BookDivision,819))</f>
        <v/>
      </c>
      <c r="D824" s="40" t="str">
        <f aca="false">IF(INDEX(BookTitle,819)="","",INDEX(BookUnit,819))</f>
        <v/>
      </c>
      <c r="E824" s="40" t="str">
        <f aca="false">IF(INDEX(BookTitle,819)="","",INDEX(BookTitle,819))</f>
        <v/>
      </c>
      <c r="F824" s="40" t="str">
        <f aca="false">IF(INDEX(BookTitle,819)="","",INDEX(BookLevel,819))</f>
        <v/>
      </c>
      <c r="G824" s="40" t="str">
        <f aca="false">IF(INDEX(BookTitle,819)="","",INDEX(BookCategory,819))</f>
        <v/>
      </c>
      <c r="H824" s="40" t="str">
        <f aca="false">IF(INDEX(BookTitle,819)="","",INDEX(BookRank,819))</f>
        <v/>
      </c>
      <c r="I824" s="41" t="str">
        <f aca="false">IF(INDEX(BookTitle,819)="","",INDEX(BookTotal,819))</f>
        <v/>
      </c>
      <c r="J824" s="0" t="str">
        <f aca="false">IF($I824="","",IF(INDEX(BookQ1,819)&gt;0,"Q1",IF(INDEX(BookQ2,819)&gt;0,"Q2",IF(INDEX(BookQ3,819)&gt;0,"Q3",IF(INDEX(BookQ4,819)&gt;0,"Q4","")))))</f>
        <v/>
      </c>
      <c r="K824" s="42" t="str">
        <f aca="false">IF(INDEX(BookTitle,819)="","",INDEX(BookInYear,819))</f>
        <v/>
      </c>
      <c r="L824" s="19"/>
      <c r="M824" s="39"/>
      <c r="N824" s="19"/>
      <c r="O824" s="19"/>
      <c r="P824" s="43" t="str">
        <f aca="false">IF($E824="","",IF($L824="Decline",0,IF($L824="Approve fewer",IF($M824="","",$M824),IF($L824="","",$I824))))</f>
        <v/>
      </c>
      <c r="Q824" s="34" t="str">
        <f aca="false">IF($P824="","",IF($N824&lt;&gt;"",$N824,$J824))</f>
        <v/>
      </c>
      <c r="R824" s="35" t="str">
        <f aca="false">IF(OR($P824="",$Q824=""),"",INDEX(BookRate,819)*$P824*(5-MATCH($Q824,{"Q1";"Q2";"Q3";"Q4"},0))/4+INDEX(BookOneOff,819)*$P824)</f>
        <v/>
      </c>
      <c r="S824" s="35" t="str">
        <f aca="false">IF($P824="","",INDEX(BookRate,819)*$P824)</f>
        <v/>
      </c>
      <c r="T824" s="35" t="str">
        <f aca="false">IF($R824="","",$R824-$K824)</f>
        <v/>
      </c>
      <c r="U824" s="35" t="str">
        <f aca="false">IF(N($P824)&lt;=0,"",COUNTIF($P$6:$P824,"&gt;0"))</f>
        <v/>
      </c>
    </row>
    <row r="825" customFormat="false" ht="15" hidden="false" customHeight="false" outlineLevel="0" collapsed="false">
      <c r="A825" s="40" t="str">
        <f aca="false">IF(INDEX(BookTitle,820)="","",INDEX(BookGroup,820))</f>
        <v/>
      </c>
      <c r="B825" s="40" t="str">
        <f aca="false">IF(INDEX(BookTitle,820)="","",INDEX(BookRef,820))</f>
        <v/>
      </c>
      <c r="C825" s="40" t="str">
        <f aca="false">IF(INDEX(BookTitle,820)="","",INDEX(BookDivision,820))</f>
        <v/>
      </c>
      <c r="D825" s="40" t="str">
        <f aca="false">IF(INDEX(BookTitle,820)="","",INDEX(BookUnit,820))</f>
        <v/>
      </c>
      <c r="E825" s="40" t="str">
        <f aca="false">IF(INDEX(BookTitle,820)="","",INDEX(BookTitle,820))</f>
        <v/>
      </c>
      <c r="F825" s="40" t="str">
        <f aca="false">IF(INDEX(BookTitle,820)="","",INDEX(BookLevel,820))</f>
        <v/>
      </c>
      <c r="G825" s="40" t="str">
        <f aca="false">IF(INDEX(BookTitle,820)="","",INDEX(BookCategory,820))</f>
        <v/>
      </c>
      <c r="H825" s="40" t="str">
        <f aca="false">IF(INDEX(BookTitle,820)="","",INDEX(BookRank,820))</f>
        <v/>
      </c>
      <c r="I825" s="41" t="str">
        <f aca="false">IF(INDEX(BookTitle,820)="","",INDEX(BookTotal,820))</f>
        <v/>
      </c>
      <c r="J825" s="0" t="str">
        <f aca="false">IF($I825="","",IF(INDEX(BookQ1,820)&gt;0,"Q1",IF(INDEX(BookQ2,820)&gt;0,"Q2",IF(INDEX(BookQ3,820)&gt;0,"Q3",IF(INDEX(BookQ4,820)&gt;0,"Q4","")))))</f>
        <v/>
      </c>
      <c r="K825" s="42" t="str">
        <f aca="false">IF(INDEX(BookTitle,820)="","",INDEX(BookInYear,820))</f>
        <v/>
      </c>
      <c r="L825" s="19"/>
      <c r="M825" s="39"/>
      <c r="N825" s="19"/>
      <c r="O825" s="19"/>
      <c r="P825" s="43" t="str">
        <f aca="false">IF($E825="","",IF($L825="Decline",0,IF($L825="Approve fewer",IF($M825="","",$M825),IF($L825="","",$I825))))</f>
        <v/>
      </c>
      <c r="Q825" s="34" t="str">
        <f aca="false">IF($P825="","",IF($N825&lt;&gt;"",$N825,$J825))</f>
        <v/>
      </c>
      <c r="R825" s="35" t="str">
        <f aca="false">IF(OR($P825="",$Q825=""),"",INDEX(BookRate,820)*$P825*(5-MATCH($Q825,{"Q1";"Q2";"Q3";"Q4"},0))/4+INDEX(BookOneOff,820)*$P825)</f>
        <v/>
      </c>
      <c r="S825" s="35" t="str">
        <f aca="false">IF($P825="","",INDEX(BookRate,820)*$P825)</f>
        <v/>
      </c>
      <c r="T825" s="35" t="str">
        <f aca="false">IF($R825="","",$R825-$K825)</f>
        <v/>
      </c>
      <c r="U825" s="35" t="str">
        <f aca="false">IF(N($P825)&lt;=0,"",COUNTIF($P$6:$P825,"&gt;0"))</f>
        <v/>
      </c>
    </row>
    <row r="826" customFormat="false" ht="15" hidden="false" customHeight="false" outlineLevel="0" collapsed="false">
      <c r="A826" s="40" t="str">
        <f aca="false">IF(INDEX(BookTitle,821)="","",INDEX(BookGroup,821))</f>
        <v/>
      </c>
      <c r="B826" s="40" t="str">
        <f aca="false">IF(INDEX(BookTitle,821)="","",INDEX(BookRef,821))</f>
        <v/>
      </c>
      <c r="C826" s="40" t="str">
        <f aca="false">IF(INDEX(BookTitle,821)="","",INDEX(BookDivision,821))</f>
        <v/>
      </c>
      <c r="D826" s="40" t="str">
        <f aca="false">IF(INDEX(BookTitle,821)="","",INDEX(BookUnit,821))</f>
        <v/>
      </c>
      <c r="E826" s="40" t="str">
        <f aca="false">IF(INDEX(BookTitle,821)="","",INDEX(BookTitle,821))</f>
        <v/>
      </c>
      <c r="F826" s="40" t="str">
        <f aca="false">IF(INDEX(BookTitle,821)="","",INDEX(BookLevel,821))</f>
        <v/>
      </c>
      <c r="G826" s="40" t="str">
        <f aca="false">IF(INDEX(BookTitle,821)="","",INDEX(BookCategory,821))</f>
        <v/>
      </c>
      <c r="H826" s="40" t="str">
        <f aca="false">IF(INDEX(BookTitle,821)="","",INDEX(BookRank,821))</f>
        <v/>
      </c>
      <c r="I826" s="41" t="str">
        <f aca="false">IF(INDEX(BookTitle,821)="","",INDEX(BookTotal,821))</f>
        <v/>
      </c>
      <c r="J826" s="0" t="str">
        <f aca="false">IF($I826="","",IF(INDEX(BookQ1,821)&gt;0,"Q1",IF(INDEX(BookQ2,821)&gt;0,"Q2",IF(INDEX(BookQ3,821)&gt;0,"Q3",IF(INDEX(BookQ4,821)&gt;0,"Q4","")))))</f>
        <v/>
      </c>
      <c r="K826" s="42" t="str">
        <f aca="false">IF(INDEX(BookTitle,821)="","",INDEX(BookInYear,821))</f>
        <v/>
      </c>
      <c r="L826" s="19"/>
      <c r="M826" s="39"/>
      <c r="N826" s="19"/>
      <c r="O826" s="19"/>
      <c r="P826" s="43" t="str">
        <f aca="false">IF($E826="","",IF($L826="Decline",0,IF($L826="Approve fewer",IF($M826="","",$M826),IF($L826="","",$I826))))</f>
        <v/>
      </c>
      <c r="Q826" s="34" t="str">
        <f aca="false">IF($P826="","",IF($N826&lt;&gt;"",$N826,$J826))</f>
        <v/>
      </c>
      <c r="R826" s="35" t="str">
        <f aca="false">IF(OR($P826="",$Q826=""),"",INDEX(BookRate,821)*$P826*(5-MATCH($Q826,{"Q1";"Q2";"Q3";"Q4"},0))/4+INDEX(BookOneOff,821)*$P826)</f>
        <v/>
      </c>
      <c r="S826" s="35" t="str">
        <f aca="false">IF($P826="","",INDEX(BookRate,821)*$P826)</f>
        <v/>
      </c>
      <c r="T826" s="35" t="str">
        <f aca="false">IF($R826="","",$R826-$K826)</f>
        <v/>
      </c>
      <c r="U826" s="35" t="str">
        <f aca="false">IF(N($P826)&lt;=0,"",COUNTIF($P$6:$P826,"&gt;0"))</f>
        <v/>
      </c>
    </row>
    <row r="827" customFormat="false" ht="15" hidden="false" customHeight="false" outlineLevel="0" collapsed="false">
      <c r="A827" s="40" t="str">
        <f aca="false">IF(INDEX(BookTitle,822)="","",INDEX(BookGroup,822))</f>
        <v/>
      </c>
      <c r="B827" s="40" t="str">
        <f aca="false">IF(INDEX(BookTitle,822)="","",INDEX(BookRef,822))</f>
        <v/>
      </c>
      <c r="C827" s="40" t="str">
        <f aca="false">IF(INDEX(BookTitle,822)="","",INDEX(BookDivision,822))</f>
        <v/>
      </c>
      <c r="D827" s="40" t="str">
        <f aca="false">IF(INDEX(BookTitle,822)="","",INDEX(BookUnit,822))</f>
        <v/>
      </c>
      <c r="E827" s="40" t="str">
        <f aca="false">IF(INDEX(BookTitle,822)="","",INDEX(BookTitle,822))</f>
        <v/>
      </c>
      <c r="F827" s="40" t="str">
        <f aca="false">IF(INDEX(BookTitle,822)="","",INDEX(BookLevel,822))</f>
        <v/>
      </c>
      <c r="G827" s="40" t="str">
        <f aca="false">IF(INDEX(BookTitle,822)="","",INDEX(BookCategory,822))</f>
        <v/>
      </c>
      <c r="H827" s="40" t="str">
        <f aca="false">IF(INDEX(BookTitle,822)="","",INDEX(BookRank,822))</f>
        <v/>
      </c>
      <c r="I827" s="41" t="str">
        <f aca="false">IF(INDEX(BookTitle,822)="","",INDEX(BookTotal,822))</f>
        <v/>
      </c>
      <c r="J827" s="0" t="str">
        <f aca="false">IF($I827="","",IF(INDEX(BookQ1,822)&gt;0,"Q1",IF(INDEX(BookQ2,822)&gt;0,"Q2",IF(INDEX(BookQ3,822)&gt;0,"Q3",IF(INDEX(BookQ4,822)&gt;0,"Q4","")))))</f>
        <v/>
      </c>
      <c r="K827" s="42" t="str">
        <f aca="false">IF(INDEX(BookTitle,822)="","",INDEX(BookInYear,822))</f>
        <v/>
      </c>
      <c r="L827" s="19"/>
      <c r="M827" s="39"/>
      <c r="N827" s="19"/>
      <c r="O827" s="19"/>
      <c r="P827" s="43" t="str">
        <f aca="false">IF($E827="","",IF($L827="Decline",0,IF($L827="Approve fewer",IF($M827="","",$M827),IF($L827="","",$I827))))</f>
        <v/>
      </c>
      <c r="Q827" s="34" t="str">
        <f aca="false">IF($P827="","",IF($N827&lt;&gt;"",$N827,$J827))</f>
        <v/>
      </c>
      <c r="R827" s="35" t="str">
        <f aca="false">IF(OR($P827="",$Q827=""),"",INDEX(BookRate,822)*$P827*(5-MATCH($Q827,{"Q1";"Q2";"Q3";"Q4"},0))/4+INDEX(BookOneOff,822)*$P827)</f>
        <v/>
      </c>
      <c r="S827" s="35" t="str">
        <f aca="false">IF($P827="","",INDEX(BookRate,822)*$P827)</f>
        <v/>
      </c>
      <c r="T827" s="35" t="str">
        <f aca="false">IF($R827="","",$R827-$K827)</f>
        <v/>
      </c>
      <c r="U827" s="35" t="str">
        <f aca="false">IF(N($P827)&lt;=0,"",COUNTIF($P$6:$P827,"&gt;0"))</f>
        <v/>
      </c>
    </row>
    <row r="828" customFormat="false" ht="15" hidden="false" customHeight="false" outlineLevel="0" collapsed="false">
      <c r="A828" s="40" t="str">
        <f aca="false">IF(INDEX(BookTitle,823)="","",INDEX(BookGroup,823))</f>
        <v/>
      </c>
      <c r="B828" s="40" t="str">
        <f aca="false">IF(INDEX(BookTitle,823)="","",INDEX(BookRef,823))</f>
        <v/>
      </c>
      <c r="C828" s="40" t="str">
        <f aca="false">IF(INDEX(BookTitle,823)="","",INDEX(BookDivision,823))</f>
        <v/>
      </c>
      <c r="D828" s="40" t="str">
        <f aca="false">IF(INDEX(BookTitle,823)="","",INDEX(BookUnit,823))</f>
        <v/>
      </c>
      <c r="E828" s="40" t="str">
        <f aca="false">IF(INDEX(BookTitle,823)="","",INDEX(BookTitle,823))</f>
        <v/>
      </c>
      <c r="F828" s="40" t="str">
        <f aca="false">IF(INDEX(BookTitle,823)="","",INDEX(BookLevel,823))</f>
        <v/>
      </c>
      <c r="G828" s="40" t="str">
        <f aca="false">IF(INDEX(BookTitle,823)="","",INDEX(BookCategory,823))</f>
        <v/>
      </c>
      <c r="H828" s="40" t="str">
        <f aca="false">IF(INDEX(BookTitle,823)="","",INDEX(BookRank,823))</f>
        <v/>
      </c>
      <c r="I828" s="41" t="str">
        <f aca="false">IF(INDEX(BookTitle,823)="","",INDEX(BookTotal,823))</f>
        <v/>
      </c>
      <c r="J828" s="0" t="str">
        <f aca="false">IF($I828="","",IF(INDEX(BookQ1,823)&gt;0,"Q1",IF(INDEX(BookQ2,823)&gt;0,"Q2",IF(INDEX(BookQ3,823)&gt;0,"Q3",IF(INDEX(BookQ4,823)&gt;0,"Q4","")))))</f>
        <v/>
      </c>
      <c r="K828" s="42" t="str">
        <f aca="false">IF(INDEX(BookTitle,823)="","",INDEX(BookInYear,823))</f>
        <v/>
      </c>
      <c r="L828" s="19"/>
      <c r="M828" s="39"/>
      <c r="N828" s="19"/>
      <c r="O828" s="19"/>
      <c r="P828" s="43" t="str">
        <f aca="false">IF($E828="","",IF($L828="Decline",0,IF($L828="Approve fewer",IF($M828="","",$M828),IF($L828="","",$I828))))</f>
        <v/>
      </c>
      <c r="Q828" s="34" t="str">
        <f aca="false">IF($P828="","",IF($N828&lt;&gt;"",$N828,$J828))</f>
        <v/>
      </c>
      <c r="R828" s="35" t="str">
        <f aca="false">IF(OR($P828="",$Q828=""),"",INDEX(BookRate,823)*$P828*(5-MATCH($Q828,{"Q1";"Q2";"Q3";"Q4"},0))/4+INDEX(BookOneOff,823)*$P828)</f>
        <v/>
      </c>
      <c r="S828" s="35" t="str">
        <f aca="false">IF($P828="","",INDEX(BookRate,823)*$P828)</f>
        <v/>
      </c>
      <c r="T828" s="35" t="str">
        <f aca="false">IF($R828="","",$R828-$K828)</f>
        <v/>
      </c>
      <c r="U828" s="35" t="str">
        <f aca="false">IF(N($P828)&lt;=0,"",COUNTIF($P$6:$P828,"&gt;0"))</f>
        <v/>
      </c>
    </row>
    <row r="829" customFormat="false" ht="15" hidden="false" customHeight="false" outlineLevel="0" collapsed="false">
      <c r="A829" s="40" t="str">
        <f aca="false">IF(INDEX(BookTitle,824)="","",INDEX(BookGroup,824))</f>
        <v/>
      </c>
      <c r="B829" s="40" t="str">
        <f aca="false">IF(INDEX(BookTitle,824)="","",INDEX(BookRef,824))</f>
        <v/>
      </c>
      <c r="C829" s="40" t="str">
        <f aca="false">IF(INDEX(BookTitle,824)="","",INDEX(BookDivision,824))</f>
        <v/>
      </c>
      <c r="D829" s="40" t="str">
        <f aca="false">IF(INDEX(BookTitle,824)="","",INDEX(BookUnit,824))</f>
        <v/>
      </c>
      <c r="E829" s="40" t="str">
        <f aca="false">IF(INDEX(BookTitle,824)="","",INDEX(BookTitle,824))</f>
        <v/>
      </c>
      <c r="F829" s="40" t="str">
        <f aca="false">IF(INDEX(BookTitle,824)="","",INDEX(BookLevel,824))</f>
        <v/>
      </c>
      <c r="G829" s="40" t="str">
        <f aca="false">IF(INDEX(BookTitle,824)="","",INDEX(BookCategory,824))</f>
        <v/>
      </c>
      <c r="H829" s="40" t="str">
        <f aca="false">IF(INDEX(BookTitle,824)="","",INDEX(BookRank,824))</f>
        <v/>
      </c>
      <c r="I829" s="41" t="str">
        <f aca="false">IF(INDEX(BookTitle,824)="","",INDEX(BookTotal,824))</f>
        <v/>
      </c>
      <c r="J829" s="0" t="str">
        <f aca="false">IF($I829="","",IF(INDEX(BookQ1,824)&gt;0,"Q1",IF(INDEX(BookQ2,824)&gt;0,"Q2",IF(INDEX(BookQ3,824)&gt;0,"Q3",IF(INDEX(BookQ4,824)&gt;0,"Q4","")))))</f>
        <v/>
      </c>
      <c r="K829" s="42" t="str">
        <f aca="false">IF(INDEX(BookTitle,824)="","",INDEX(BookInYear,824))</f>
        <v/>
      </c>
      <c r="L829" s="19"/>
      <c r="M829" s="39"/>
      <c r="N829" s="19"/>
      <c r="O829" s="19"/>
      <c r="P829" s="43" t="str">
        <f aca="false">IF($E829="","",IF($L829="Decline",0,IF($L829="Approve fewer",IF($M829="","",$M829),IF($L829="","",$I829))))</f>
        <v/>
      </c>
      <c r="Q829" s="34" t="str">
        <f aca="false">IF($P829="","",IF($N829&lt;&gt;"",$N829,$J829))</f>
        <v/>
      </c>
      <c r="R829" s="35" t="str">
        <f aca="false">IF(OR($P829="",$Q829=""),"",INDEX(BookRate,824)*$P829*(5-MATCH($Q829,{"Q1";"Q2";"Q3";"Q4"},0))/4+INDEX(BookOneOff,824)*$P829)</f>
        <v/>
      </c>
      <c r="S829" s="35" t="str">
        <f aca="false">IF($P829="","",INDEX(BookRate,824)*$P829)</f>
        <v/>
      </c>
      <c r="T829" s="35" t="str">
        <f aca="false">IF($R829="","",$R829-$K829)</f>
        <v/>
      </c>
      <c r="U829" s="35" t="str">
        <f aca="false">IF(N($P829)&lt;=0,"",COUNTIF($P$6:$P829,"&gt;0"))</f>
        <v/>
      </c>
    </row>
    <row r="830" customFormat="false" ht="15" hidden="false" customHeight="false" outlineLevel="0" collapsed="false">
      <c r="A830" s="40" t="str">
        <f aca="false">IF(INDEX(BookTitle,825)="","",INDEX(BookGroup,825))</f>
        <v/>
      </c>
      <c r="B830" s="40" t="str">
        <f aca="false">IF(INDEX(BookTitle,825)="","",INDEX(BookRef,825))</f>
        <v/>
      </c>
      <c r="C830" s="40" t="str">
        <f aca="false">IF(INDEX(BookTitle,825)="","",INDEX(BookDivision,825))</f>
        <v/>
      </c>
      <c r="D830" s="40" t="str">
        <f aca="false">IF(INDEX(BookTitle,825)="","",INDEX(BookUnit,825))</f>
        <v/>
      </c>
      <c r="E830" s="40" t="str">
        <f aca="false">IF(INDEX(BookTitle,825)="","",INDEX(BookTitle,825))</f>
        <v/>
      </c>
      <c r="F830" s="40" t="str">
        <f aca="false">IF(INDEX(BookTitle,825)="","",INDEX(BookLevel,825))</f>
        <v/>
      </c>
      <c r="G830" s="40" t="str">
        <f aca="false">IF(INDEX(BookTitle,825)="","",INDEX(BookCategory,825))</f>
        <v/>
      </c>
      <c r="H830" s="40" t="str">
        <f aca="false">IF(INDEX(BookTitle,825)="","",INDEX(BookRank,825))</f>
        <v/>
      </c>
      <c r="I830" s="41" t="str">
        <f aca="false">IF(INDEX(BookTitle,825)="","",INDEX(BookTotal,825))</f>
        <v/>
      </c>
      <c r="J830" s="0" t="str">
        <f aca="false">IF($I830="","",IF(INDEX(BookQ1,825)&gt;0,"Q1",IF(INDEX(BookQ2,825)&gt;0,"Q2",IF(INDEX(BookQ3,825)&gt;0,"Q3",IF(INDEX(BookQ4,825)&gt;0,"Q4","")))))</f>
        <v/>
      </c>
      <c r="K830" s="42" t="str">
        <f aca="false">IF(INDEX(BookTitle,825)="","",INDEX(BookInYear,825))</f>
        <v/>
      </c>
      <c r="L830" s="19"/>
      <c r="M830" s="39"/>
      <c r="N830" s="19"/>
      <c r="O830" s="19"/>
      <c r="P830" s="43" t="str">
        <f aca="false">IF($E830="","",IF($L830="Decline",0,IF($L830="Approve fewer",IF($M830="","",$M830),IF($L830="","",$I830))))</f>
        <v/>
      </c>
      <c r="Q830" s="34" t="str">
        <f aca="false">IF($P830="","",IF($N830&lt;&gt;"",$N830,$J830))</f>
        <v/>
      </c>
      <c r="R830" s="35" t="str">
        <f aca="false">IF(OR($P830="",$Q830=""),"",INDEX(BookRate,825)*$P830*(5-MATCH($Q830,{"Q1";"Q2";"Q3";"Q4"},0))/4+INDEX(BookOneOff,825)*$P830)</f>
        <v/>
      </c>
      <c r="S830" s="35" t="str">
        <f aca="false">IF($P830="","",INDEX(BookRate,825)*$P830)</f>
        <v/>
      </c>
      <c r="T830" s="35" t="str">
        <f aca="false">IF($R830="","",$R830-$K830)</f>
        <v/>
      </c>
      <c r="U830" s="35" t="str">
        <f aca="false">IF(N($P830)&lt;=0,"",COUNTIF($P$6:$P830,"&gt;0"))</f>
        <v/>
      </c>
    </row>
    <row r="831" customFormat="false" ht="15" hidden="false" customHeight="false" outlineLevel="0" collapsed="false">
      <c r="A831" s="40" t="str">
        <f aca="false">IF(INDEX(BookTitle,826)="","",INDEX(BookGroup,826))</f>
        <v/>
      </c>
      <c r="B831" s="40" t="str">
        <f aca="false">IF(INDEX(BookTitle,826)="","",INDEX(BookRef,826))</f>
        <v/>
      </c>
      <c r="C831" s="40" t="str">
        <f aca="false">IF(INDEX(BookTitle,826)="","",INDEX(BookDivision,826))</f>
        <v/>
      </c>
      <c r="D831" s="40" t="str">
        <f aca="false">IF(INDEX(BookTitle,826)="","",INDEX(BookUnit,826))</f>
        <v/>
      </c>
      <c r="E831" s="40" t="str">
        <f aca="false">IF(INDEX(BookTitle,826)="","",INDEX(BookTitle,826))</f>
        <v/>
      </c>
      <c r="F831" s="40" t="str">
        <f aca="false">IF(INDEX(BookTitle,826)="","",INDEX(BookLevel,826))</f>
        <v/>
      </c>
      <c r="G831" s="40" t="str">
        <f aca="false">IF(INDEX(BookTitle,826)="","",INDEX(BookCategory,826))</f>
        <v/>
      </c>
      <c r="H831" s="40" t="str">
        <f aca="false">IF(INDEX(BookTitle,826)="","",INDEX(BookRank,826))</f>
        <v/>
      </c>
      <c r="I831" s="41" t="str">
        <f aca="false">IF(INDEX(BookTitle,826)="","",INDEX(BookTotal,826))</f>
        <v/>
      </c>
      <c r="J831" s="0" t="str">
        <f aca="false">IF($I831="","",IF(INDEX(BookQ1,826)&gt;0,"Q1",IF(INDEX(BookQ2,826)&gt;0,"Q2",IF(INDEX(BookQ3,826)&gt;0,"Q3",IF(INDEX(BookQ4,826)&gt;0,"Q4","")))))</f>
        <v/>
      </c>
      <c r="K831" s="42" t="str">
        <f aca="false">IF(INDEX(BookTitle,826)="","",INDEX(BookInYear,826))</f>
        <v/>
      </c>
      <c r="L831" s="19"/>
      <c r="M831" s="39"/>
      <c r="N831" s="19"/>
      <c r="O831" s="19"/>
      <c r="P831" s="43" t="str">
        <f aca="false">IF($E831="","",IF($L831="Decline",0,IF($L831="Approve fewer",IF($M831="","",$M831),IF($L831="","",$I831))))</f>
        <v/>
      </c>
      <c r="Q831" s="34" t="str">
        <f aca="false">IF($P831="","",IF($N831&lt;&gt;"",$N831,$J831))</f>
        <v/>
      </c>
      <c r="R831" s="35" t="str">
        <f aca="false">IF(OR($P831="",$Q831=""),"",INDEX(BookRate,826)*$P831*(5-MATCH($Q831,{"Q1";"Q2";"Q3";"Q4"},0))/4+INDEX(BookOneOff,826)*$P831)</f>
        <v/>
      </c>
      <c r="S831" s="35" t="str">
        <f aca="false">IF($P831="","",INDEX(BookRate,826)*$P831)</f>
        <v/>
      </c>
      <c r="T831" s="35" t="str">
        <f aca="false">IF($R831="","",$R831-$K831)</f>
        <v/>
      </c>
      <c r="U831" s="35" t="str">
        <f aca="false">IF(N($P831)&lt;=0,"",COUNTIF($P$6:$P831,"&gt;0"))</f>
        <v/>
      </c>
    </row>
    <row r="832" customFormat="false" ht="15" hidden="false" customHeight="false" outlineLevel="0" collapsed="false">
      <c r="A832" s="40" t="str">
        <f aca="false">IF(INDEX(BookTitle,827)="","",INDEX(BookGroup,827))</f>
        <v/>
      </c>
      <c r="B832" s="40" t="str">
        <f aca="false">IF(INDEX(BookTitle,827)="","",INDEX(BookRef,827))</f>
        <v/>
      </c>
      <c r="C832" s="40" t="str">
        <f aca="false">IF(INDEX(BookTitle,827)="","",INDEX(BookDivision,827))</f>
        <v/>
      </c>
      <c r="D832" s="40" t="str">
        <f aca="false">IF(INDEX(BookTitle,827)="","",INDEX(BookUnit,827))</f>
        <v/>
      </c>
      <c r="E832" s="40" t="str">
        <f aca="false">IF(INDEX(BookTitle,827)="","",INDEX(BookTitle,827))</f>
        <v/>
      </c>
      <c r="F832" s="40" t="str">
        <f aca="false">IF(INDEX(BookTitle,827)="","",INDEX(BookLevel,827))</f>
        <v/>
      </c>
      <c r="G832" s="40" t="str">
        <f aca="false">IF(INDEX(BookTitle,827)="","",INDEX(BookCategory,827))</f>
        <v/>
      </c>
      <c r="H832" s="40" t="str">
        <f aca="false">IF(INDEX(BookTitle,827)="","",INDEX(BookRank,827))</f>
        <v/>
      </c>
      <c r="I832" s="41" t="str">
        <f aca="false">IF(INDEX(BookTitle,827)="","",INDEX(BookTotal,827))</f>
        <v/>
      </c>
      <c r="J832" s="0" t="str">
        <f aca="false">IF($I832="","",IF(INDEX(BookQ1,827)&gt;0,"Q1",IF(INDEX(BookQ2,827)&gt;0,"Q2",IF(INDEX(BookQ3,827)&gt;0,"Q3",IF(INDEX(BookQ4,827)&gt;0,"Q4","")))))</f>
        <v/>
      </c>
      <c r="K832" s="42" t="str">
        <f aca="false">IF(INDEX(BookTitle,827)="","",INDEX(BookInYear,827))</f>
        <v/>
      </c>
      <c r="L832" s="19"/>
      <c r="M832" s="39"/>
      <c r="N832" s="19"/>
      <c r="O832" s="19"/>
      <c r="P832" s="43" t="str">
        <f aca="false">IF($E832="","",IF($L832="Decline",0,IF($L832="Approve fewer",IF($M832="","",$M832),IF($L832="","",$I832))))</f>
        <v/>
      </c>
      <c r="Q832" s="34" t="str">
        <f aca="false">IF($P832="","",IF($N832&lt;&gt;"",$N832,$J832))</f>
        <v/>
      </c>
      <c r="R832" s="35" t="str">
        <f aca="false">IF(OR($P832="",$Q832=""),"",INDEX(BookRate,827)*$P832*(5-MATCH($Q832,{"Q1";"Q2";"Q3";"Q4"},0))/4+INDEX(BookOneOff,827)*$P832)</f>
        <v/>
      </c>
      <c r="S832" s="35" t="str">
        <f aca="false">IF($P832="","",INDEX(BookRate,827)*$P832)</f>
        <v/>
      </c>
      <c r="T832" s="35" t="str">
        <f aca="false">IF($R832="","",$R832-$K832)</f>
        <v/>
      </c>
      <c r="U832" s="35" t="str">
        <f aca="false">IF(N($P832)&lt;=0,"",COUNTIF($P$6:$P832,"&gt;0"))</f>
        <v/>
      </c>
    </row>
    <row r="833" customFormat="false" ht="15" hidden="false" customHeight="false" outlineLevel="0" collapsed="false">
      <c r="A833" s="40" t="str">
        <f aca="false">IF(INDEX(BookTitle,828)="","",INDEX(BookGroup,828))</f>
        <v/>
      </c>
      <c r="B833" s="40" t="str">
        <f aca="false">IF(INDEX(BookTitle,828)="","",INDEX(BookRef,828))</f>
        <v/>
      </c>
      <c r="C833" s="40" t="str">
        <f aca="false">IF(INDEX(BookTitle,828)="","",INDEX(BookDivision,828))</f>
        <v/>
      </c>
      <c r="D833" s="40" t="str">
        <f aca="false">IF(INDEX(BookTitle,828)="","",INDEX(BookUnit,828))</f>
        <v/>
      </c>
      <c r="E833" s="40" t="str">
        <f aca="false">IF(INDEX(BookTitle,828)="","",INDEX(BookTitle,828))</f>
        <v/>
      </c>
      <c r="F833" s="40" t="str">
        <f aca="false">IF(INDEX(BookTitle,828)="","",INDEX(BookLevel,828))</f>
        <v/>
      </c>
      <c r="G833" s="40" t="str">
        <f aca="false">IF(INDEX(BookTitle,828)="","",INDEX(BookCategory,828))</f>
        <v/>
      </c>
      <c r="H833" s="40" t="str">
        <f aca="false">IF(INDEX(BookTitle,828)="","",INDEX(BookRank,828))</f>
        <v/>
      </c>
      <c r="I833" s="41" t="str">
        <f aca="false">IF(INDEX(BookTitle,828)="","",INDEX(BookTotal,828))</f>
        <v/>
      </c>
      <c r="J833" s="0" t="str">
        <f aca="false">IF($I833="","",IF(INDEX(BookQ1,828)&gt;0,"Q1",IF(INDEX(BookQ2,828)&gt;0,"Q2",IF(INDEX(BookQ3,828)&gt;0,"Q3",IF(INDEX(BookQ4,828)&gt;0,"Q4","")))))</f>
        <v/>
      </c>
      <c r="K833" s="42" t="str">
        <f aca="false">IF(INDEX(BookTitle,828)="","",INDEX(BookInYear,828))</f>
        <v/>
      </c>
      <c r="L833" s="19"/>
      <c r="M833" s="39"/>
      <c r="N833" s="19"/>
      <c r="O833" s="19"/>
      <c r="P833" s="43" t="str">
        <f aca="false">IF($E833="","",IF($L833="Decline",0,IF($L833="Approve fewer",IF($M833="","",$M833),IF($L833="","",$I833))))</f>
        <v/>
      </c>
      <c r="Q833" s="34" t="str">
        <f aca="false">IF($P833="","",IF($N833&lt;&gt;"",$N833,$J833))</f>
        <v/>
      </c>
      <c r="R833" s="35" t="str">
        <f aca="false">IF(OR($P833="",$Q833=""),"",INDEX(BookRate,828)*$P833*(5-MATCH($Q833,{"Q1";"Q2";"Q3";"Q4"},0))/4+INDEX(BookOneOff,828)*$P833)</f>
        <v/>
      </c>
      <c r="S833" s="35" t="str">
        <f aca="false">IF($P833="","",INDEX(BookRate,828)*$P833)</f>
        <v/>
      </c>
      <c r="T833" s="35" t="str">
        <f aca="false">IF($R833="","",$R833-$K833)</f>
        <v/>
      </c>
      <c r="U833" s="35" t="str">
        <f aca="false">IF(N($P833)&lt;=0,"",COUNTIF($P$6:$P833,"&gt;0"))</f>
        <v/>
      </c>
    </row>
    <row r="834" customFormat="false" ht="15" hidden="false" customHeight="false" outlineLevel="0" collapsed="false">
      <c r="A834" s="40" t="str">
        <f aca="false">IF(INDEX(BookTitle,829)="","",INDEX(BookGroup,829))</f>
        <v/>
      </c>
      <c r="B834" s="40" t="str">
        <f aca="false">IF(INDEX(BookTitle,829)="","",INDEX(BookRef,829))</f>
        <v/>
      </c>
      <c r="C834" s="40" t="str">
        <f aca="false">IF(INDEX(BookTitle,829)="","",INDEX(BookDivision,829))</f>
        <v/>
      </c>
      <c r="D834" s="40" t="str">
        <f aca="false">IF(INDEX(BookTitle,829)="","",INDEX(BookUnit,829))</f>
        <v/>
      </c>
      <c r="E834" s="40" t="str">
        <f aca="false">IF(INDEX(BookTitle,829)="","",INDEX(BookTitle,829))</f>
        <v/>
      </c>
      <c r="F834" s="40" t="str">
        <f aca="false">IF(INDEX(BookTitle,829)="","",INDEX(BookLevel,829))</f>
        <v/>
      </c>
      <c r="G834" s="40" t="str">
        <f aca="false">IF(INDEX(BookTitle,829)="","",INDEX(BookCategory,829))</f>
        <v/>
      </c>
      <c r="H834" s="40" t="str">
        <f aca="false">IF(INDEX(BookTitle,829)="","",INDEX(BookRank,829))</f>
        <v/>
      </c>
      <c r="I834" s="41" t="str">
        <f aca="false">IF(INDEX(BookTitle,829)="","",INDEX(BookTotal,829))</f>
        <v/>
      </c>
      <c r="J834" s="0" t="str">
        <f aca="false">IF($I834="","",IF(INDEX(BookQ1,829)&gt;0,"Q1",IF(INDEX(BookQ2,829)&gt;0,"Q2",IF(INDEX(BookQ3,829)&gt;0,"Q3",IF(INDEX(BookQ4,829)&gt;0,"Q4","")))))</f>
        <v/>
      </c>
      <c r="K834" s="42" t="str">
        <f aca="false">IF(INDEX(BookTitle,829)="","",INDEX(BookInYear,829))</f>
        <v/>
      </c>
      <c r="L834" s="19"/>
      <c r="M834" s="39"/>
      <c r="N834" s="19"/>
      <c r="O834" s="19"/>
      <c r="P834" s="43" t="str">
        <f aca="false">IF($E834="","",IF($L834="Decline",0,IF($L834="Approve fewer",IF($M834="","",$M834),IF($L834="","",$I834))))</f>
        <v/>
      </c>
      <c r="Q834" s="34" t="str">
        <f aca="false">IF($P834="","",IF($N834&lt;&gt;"",$N834,$J834))</f>
        <v/>
      </c>
      <c r="R834" s="35" t="str">
        <f aca="false">IF(OR($P834="",$Q834=""),"",INDEX(BookRate,829)*$P834*(5-MATCH($Q834,{"Q1";"Q2";"Q3";"Q4"},0))/4+INDEX(BookOneOff,829)*$P834)</f>
        <v/>
      </c>
      <c r="S834" s="35" t="str">
        <f aca="false">IF($P834="","",INDEX(BookRate,829)*$P834)</f>
        <v/>
      </c>
      <c r="T834" s="35" t="str">
        <f aca="false">IF($R834="","",$R834-$K834)</f>
        <v/>
      </c>
      <c r="U834" s="35" t="str">
        <f aca="false">IF(N($P834)&lt;=0,"",COUNTIF($P$6:$P834,"&gt;0"))</f>
        <v/>
      </c>
    </row>
    <row r="835" customFormat="false" ht="15" hidden="false" customHeight="false" outlineLevel="0" collapsed="false">
      <c r="A835" s="40" t="str">
        <f aca="false">IF(INDEX(BookTitle,830)="","",INDEX(BookGroup,830))</f>
        <v/>
      </c>
      <c r="B835" s="40" t="str">
        <f aca="false">IF(INDEX(BookTitle,830)="","",INDEX(BookRef,830))</f>
        <v/>
      </c>
      <c r="C835" s="40" t="str">
        <f aca="false">IF(INDEX(BookTitle,830)="","",INDEX(BookDivision,830))</f>
        <v/>
      </c>
      <c r="D835" s="40" t="str">
        <f aca="false">IF(INDEX(BookTitle,830)="","",INDEX(BookUnit,830))</f>
        <v/>
      </c>
      <c r="E835" s="40" t="str">
        <f aca="false">IF(INDEX(BookTitle,830)="","",INDEX(BookTitle,830))</f>
        <v/>
      </c>
      <c r="F835" s="40" t="str">
        <f aca="false">IF(INDEX(BookTitle,830)="","",INDEX(BookLevel,830))</f>
        <v/>
      </c>
      <c r="G835" s="40" t="str">
        <f aca="false">IF(INDEX(BookTitle,830)="","",INDEX(BookCategory,830))</f>
        <v/>
      </c>
      <c r="H835" s="40" t="str">
        <f aca="false">IF(INDEX(BookTitle,830)="","",INDEX(BookRank,830))</f>
        <v/>
      </c>
      <c r="I835" s="41" t="str">
        <f aca="false">IF(INDEX(BookTitle,830)="","",INDEX(BookTotal,830))</f>
        <v/>
      </c>
      <c r="J835" s="0" t="str">
        <f aca="false">IF($I835="","",IF(INDEX(BookQ1,830)&gt;0,"Q1",IF(INDEX(BookQ2,830)&gt;0,"Q2",IF(INDEX(BookQ3,830)&gt;0,"Q3",IF(INDEX(BookQ4,830)&gt;0,"Q4","")))))</f>
        <v/>
      </c>
      <c r="K835" s="42" t="str">
        <f aca="false">IF(INDEX(BookTitle,830)="","",INDEX(BookInYear,830))</f>
        <v/>
      </c>
      <c r="L835" s="19"/>
      <c r="M835" s="39"/>
      <c r="N835" s="19"/>
      <c r="O835" s="19"/>
      <c r="P835" s="43" t="str">
        <f aca="false">IF($E835="","",IF($L835="Decline",0,IF($L835="Approve fewer",IF($M835="","",$M835),IF($L835="","",$I835))))</f>
        <v/>
      </c>
      <c r="Q835" s="34" t="str">
        <f aca="false">IF($P835="","",IF($N835&lt;&gt;"",$N835,$J835))</f>
        <v/>
      </c>
      <c r="R835" s="35" t="str">
        <f aca="false">IF(OR($P835="",$Q835=""),"",INDEX(BookRate,830)*$P835*(5-MATCH($Q835,{"Q1";"Q2";"Q3";"Q4"},0))/4+INDEX(BookOneOff,830)*$P835)</f>
        <v/>
      </c>
      <c r="S835" s="35" t="str">
        <f aca="false">IF($P835="","",INDEX(BookRate,830)*$P835)</f>
        <v/>
      </c>
      <c r="T835" s="35" t="str">
        <f aca="false">IF($R835="","",$R835-$K835)</f>
        <v/>
      </c>
      <c r="U835" s="35" t="str">
        <f aca="false">IF(N($P835)&lt;=0,"",COUNTIF($P$6:$P835,"&gt;0"))</f>
        <v/>
      </c>
    </row>
    <row r="836" customFormat="false" ht="15" hidden="false" customHeight="false" outlineLevel="0" collapsed="false">
      <c r="A836" s="40" t="str">
        <f aca="false">IF(INDEX(BookTitle,831)="","",INDEX(BookGroup,831))</f>
        <v/>
      </c>
      <c r="B836" s="40" t="str">
        <f aca="false">IF(INDEX(BookTitle,831)="","",INDEX(BookRef,831))</f>
        <v/>
      </c>
      <c r="C836" s="40" t="str">
        <f aca="false">IF(INDEX(BookTitle,831)="","",INDEX(BookDivision,831))</f>
        <v/>
      </c>
      <c r="D836" s="40" t="str">
        <f aca="false">IF(INDEX(BookTitle,831)="","",INDEX(BookUnit,831))</f>
        <v/>
      </c>
      <c r="E836" s="40" t="str">
        <f aca="false">IF(INDEX(BookTitle,831)="","",INDEX(BookTitle,831))</f>
        <v/>
      </c>
      <c r="F836" s="40" t="str">
        <f aca="false">IF(INDEX(BookTitle,831)="","",INDEX(BookLevel,831))</f>
        <v/>
      </c>
      <c r="G836" s="40" t="str">
        <f aca="false">IF(INDEX(BookTitle,831)="","",INDEX(BookCategory,831))</f>
        <v/>
      </c>
      <c r="H836" s="40" t="str">
        <f aca="false">IF(INDEX(BookTitle,831)="","",INDEX(BookRank,831))</f>
        <v/>
      </c>
      <c r="I836" s="41" t="str">
        <f aca="false">IF(INDEX(BookTitle,831)="","",INDEX(BookTotal,831))</f>
        <v/>
      </c>
      <c r="J836" s="0" t="str">
        <f aca="false">IF($I836="","",IF(INDEX(BookQ1,831)&gt;0,"Q1",IF(INDEX(BookQ2,831)&gt;0,"Q2",IF(INDEX(BookQ3,831)&gt;0,"Q3",IF(INDEX(BookQ4,831)&gt;0,"Q4","")))))</f>
        <v/>
      </c>
      <c r="K836" s="42" t="str">
        <f aca="false">IF(INDEX(BookTitle,831)="","",INDEX(BookInYear,831))</f>
        <v/>
      </c>
      <c r="L836" s="19"/>
      <c r="M836" s="39"/>
      <c r="N836" s="19"/>
      <c r="O836" s="19"/>
      <c r="P836" s="43" t="str">
        <f aca="false">IF($E836="","",IF($L836="Decline",0,IF($L836="Approve fewer",IF($M836="","",$M836),IF($L836="","",$I836))))</f>
        <v/>
      </c>
      <c r="Q836" s="34" t="str">
        <f aca="false">IF($P836="","",IF($N836&lt;&gt;"",$N836,$J836))</f>
        <v/>
      </c>
      <c r="R836" s="35" t="str">
        <f aca="false">IF(OR($P836="",$Q836=""),"",INDEX(BookRate,831)*$P836*(5-MATCH($Q836,{"Q1";"Q2";"Q3";"Q4"},0))/4+INDEX(BookOneOff,831)*$P836)</f>
        <v/>
      </c>
      <c r="S836" s="35" t="str">
        <f aca="false">IF($P836="","",INDEX(BookRate,831)*$P836)</f>
        <v/>
      </c>
      <c r="T836" s="35" t="str">
        <f aca="false">IF($R836="","",$R836-$K836)</f>
        <v/>
      </c>
      <c r="U836" s="35" t="str">
        <f aca="false">IF(N($P836)&lt;=0,"",COUNTIF($P$6:$P836,"&gt;0"))</f>
        <v/>
      </c>
    </row>
    <row r="837" customFormat="false" ht="15" hidden="false" customHeight="false" outlineLevel="0" collapsed="false">
      <c r="A837" s="40" t="str">
        <f aca="false">IF(INDEX(BookTitle,832)="","",INDEX(BookGroup,832))</f>
        <v/>
      </c>
      <c r="B837" s="40" t="str">
        <f aca="false">IF(INDEX(BookTitle,832)="","",INDEX(BookRef,832))</f>
        <v/>
      </c>
      <c r="C837" s="40" t="str">
        <f aca="false">IF(INDEX(BookTitle,832)="","",INDEX(BookDivision,832))</f>
        <v/>
      </c>
      <c r="D837" s="40" t="str">
        <f aca="false">IF(INDEX(BookTitle,832)="","",INDEX(BookUnit,832))</f>
        <v/>
      </c>
      <c r="E837" s="40" t="str">
        <f aca="false">IF(INDEX(BookTitle,832)="","",INDEX(BookTitle,832))</f>
        <v/>
      </c>
      <c r="F837" s="40" t="str">
        <f aca="false">IF(INDEX(BookTitle,832)="","",INDEX(BookLevel,832))</f>
        <v/>
      </c>
      <c r="G837" s="40" t="str">
        <f aca="false">IF(INDEX(BookTitle,832)="","",INDEX(BookCategory,832))</f>
        <v/>
      </c>
      <c r="H837" s="40" t="str">
        <f aca="false">IF(INDEX(BookTitle,832)="","",INDEX(BookRank,832))</f>
        <v/>
      </c>
      <c r="I837" s="41" t="str">
        <f aca="false">IF(INDEX(BookTitle,832)="","",INDEX(BookTotal,832))</f>
        <v/>
      </c>
      <c r="J837" s="0" t="str">
        <f aca="false">IF($I837="","",IF(INDEX(BookQ1,832)&gt;0,"Q1",IF(INDEX(BookQ2,832)&gt;0,"Q2",IF(INDEX(BookQ3,832)&gt;0,"Q3",IF(INDEX(BookQ4,832)&gt;0,"Q4","")))))</f>
        <v/>
      </c>
      <c r="K837" s="42" t="str">
        <f aca="false">IF(INDEX(BookTitle,832)="","",INDEX(BookInYear,832))</f>
        <v/>
      </c>
      <c r="L837" s="19"/>
      <c r="M837" s="39"/>
      <c r="N837" s="19"/>
      <c r="O837" s="19"/>
      <c r="P837" s="43" t="str">
        <f aca="false">IF($E837="","",IF($L837="Decline",0,IF($L837="Approve fewer",IF($M837="","",$M837),IF($L837="","",$I837))))</f>
        <v/>
      </c>
      <c r="Q837" s="34" t="str">
        <f aca="false">IF($P837="","",IF($N837&lt;&gt;"",$N837,$J837))</f>
        <v/>
      </c>
      <c r="R837" s="35" t="str">
        <f aca="false">IF(OR($P837="",$Q837=""),"",INDEX(BookRate,832)*$P837*(5-MATCH($Q837,{"Q1";"Q2";"Q3";"Q4"},0))/4+INDEX(BookOneOff,832)*$P837)</f>
        <v/>
      </c>
      <c r="S837" s="35" t="str">
        <f aca="false">IF($P837="","",INDEX(BookRate,832)*$P837)</f>
        <v/>
      </c>
      <c r="T837" s="35" t="str">
        <f aca="false">IF($R837="","",$R837-$K837)</f>
        <v/>
      </c>
      <c r="U837" s="35" t="str">
        <f aca="false">IF(N($P837)&lt;=0,"",COUNTIF($P$6:$P837,"&gt;0"))</f>
        <v/>
      </c>
    </row>
    <row r="838" customFormat="false" ht="15" hidden="false" customHeight="false" outlineLevel="0" collapsed="false">
      <c r="A838" s="40" t="str">
        <f aca="false">IF(INDEX(BookTitle,833)="","",INDEX(BookGroup,833))</f>
        <v/>
      </c>
      <c r="B838" s="40" t="str">
        <f aca="false">IF(INDEX(BookTitle,833)="","",INDEX(BookRef,833))</f>
        <v/>
      </c>
      <c r="C838" s="40" t="str">
        <f aca="false">IF(INDEX(BookTitle,833)="","",INDEX(BookDivision,833))</f>
        <v/>
      </c>
      <c r="D838" s="40" t="str">
        <f aca="false">IF(INDEX(BookTitle,833)="","",INDEX(BookUnit,833))</f>
        <v/>
      </c>
      <c r="E838" s="40" t="str">
        <f aca="false">IF(INDEX(BookTitle,833)="","",INDEX(BookTitle,833))</f>
        <v/>
      </c>
      <c r="F838" s="40" t="str">
        <f aca="false">IF(INDEX(BookTitle,833)="","",INDEX(BookLevel,833))</f>
        <v/>
      </c>
      <c r="G838" s="40" t="str">
        <f aca="false">IF(INDEX(BookTitle,833)="","",INDEX(BookCategory,833))</f>
        <v/>
      </c>
      <c r="H838" s="40" t="str">
        <f aca="false">IF(INDEX(BookTitle,833)="","",INDEX(BookRank,833))</f>
        <v/>
      </c>
      <c r="I838" s="41" t="str">
        <f aca="false">IF(INDEX(BookTitle,833)="","",INDEX(BookTotal,833))</f>
        <v/>
      </c>
      <c r="J838" s="0" t="str">
        <f aca="false">IF($I838="","",IF(INDEX(BookQ1,833)&gt;0,"Q1",IF(INDEX(BookQ2,833)&gt;0,"Q2",IF(INDEX(BookQ3,833)&gt;0,"Q3",IF(INDEX(BookQ4,833)&gt;0,"Q4","")))))</f>
        <v/>
      </c>
      <c r="K838" s="42" t="str">
        <f aca="false">IF(INDEX(BookTitle,833)="","",INDEX(BookInYear,833))</f>
        <v/>
      </c>
      <c r="L838" s="19"/>
      <c r="M838" s="39"/>
      <c r="N838" s="19"/>
      <c r="O838" s="19"/>
      <c r="P838" s="43" t="str">
        <f aca="false">IF($E838="","",IF($L838="Decline",0,IF($L838="Approve fewer",IF($M838="","",$M838),IF($L838="","",$I838))))</f>
        <v/>
      </c>
      <c r="Q838" s="34" t="str">
        <f aca="false">IF($P838="","",IF($N838&lt;&gt;"",$N838,$J838))</f>
        <v/>
      </c>
      <c r="R838" s="35" t="str">
        <f aca="false">IF(OR($P838="",$Q838=""),"",INDEX(BookRate,833)*$P838*(5-MATCH($Q838,{"Q1";"Q2";"Q3";"Q4"},0))/4+INDEX(BookOneOff,833)*$P838)</f>
        <v/>
      </c>
      <c r="S838" s="35" t="str">
        <f aca="false">IF($P838="","",INDEX(BookRate,833)*$P838)</f>
        <v/>
      </c>
      <c r="T838" s="35" t="str">
        <f aca="false">IF($R838="","",$R838-$K838)</f>
        <v/>
      </c>
      <c r="U838" s="35" t="str">
        <f aca="false">IF(N($P838)&lt;=0,"",COUNTIF($P$6:$P838,"&gt;0"))</f>
        <v/>
      </c>
    </row>
    <row r="839" customFormat="false" ht="15" hidden="false" customHeight="false" outlineLevel="0" collapsed="false">
      <c r="A839" s="40" t="str">
        <f aca="false">IF(INDEX(BookTitle,834)="","",INDEX(BookGroup,834))</f>
        <v/>
      </c>
      <c r="B839" s="40" t="str">
        <f aca="false">IF(INDEX(BookTitle,834)="","",INDEX(BookRef,834))</f>
        <v/>
      </c>
      <c r="C839" s="40" t="str">
        <f aca="false">IF(INDEX(BookTitle,834)="","",INDEX(BookDivision,834))</f>
        <v/>
      </c>
      <c r="D839" s="40" t="str">
        <f aca="false">IF(INDEX(BookTitle,834)="","",INDEX(BookUnit,834))</f>
        <v/>
      </c>
      <c r="E839" s="40" t="str">
        <f aca="false">IF(INDEX(BookTitle,834)="","",INDEX(BookTitle,834))</f>
        <v/>
      </c>
      <c r="F839" s="40" t="str">
        <f aca="false">IF(INDEX(BookTitle,834)="","",INDEX(BookLevel,834))</f>
        <v/>
      </c>
      <c r="G839" s="40" t="str">
        <f aca="false">IF(INDEX(BookTitle,834)="","",INDEX(BookCategory,834))</f>
        <v/>
      </c>
      <c r="H839" s="40" t="str">
        <f aca="false">IF(INDEX(BookTitle,834)="","",INDEX(BookRank,834))</f>
        <v/>
      </c>
      <c r="I839" s="41" t="str">
        <f aca="false">IF(INDEX(BookTitle,834)="","",INDEX(BookTotal,834))</f>
        <v/>
      </c>
      <c r="J839" s="0" t="str">
        <f aca="false">IF($I839="","",IF(INDEX(BookQ1,834)&gt;0,"Q1",IF(INDEX(BookQ2,834)&gt;0,"Q2",IF(INDEX(BookQ3,834)&gt;0,"Q3",IF(INDEX(BookQ4,834)&gt;0,"Q4","")))))</f>
        <v/>
      </c>
      <c r="K839" s="42" t="str">
        <f aca="false">IF(INDEX(BookTitle,834)="","",INDEX(BookInYear,834))</f>
        <v/>
      </c>
      <c r="L839" s="19"/>
      <c r="M839" s="39"/>
      <c r="N839" s="19"/>
      <c r="O839" s="19"/>
      <c r="P839" s="43" t="str">
        <f aca="false">IF($E839="","",IF($L839="Decline",0,IF($L839="Approve fewer",IF($M839="","",$M839),IF($L839="","",$I839))))</f>
        <v/>
      </c>
      <c r="Q839" s="34" t="str">
        <f aca="false">IF($P839="","",IF($N839&lt;&gt;"",$N839,$J839))</f>
        <v/>
      </c>
      <c r="R839" s="35" t="str">
        <f aca="false">IF(OR($P839="",$Q839=""),"",INDEX(BookRate,834)*$P839*(5-MATCH($Q839,{"Q1";"Q2";"Q3";"Q4"},0))/4+INDEX(BookOneOff,834)*$P839)</f>
        <v/>
      </c>
      <c r="S839" s="35" t="str">
        <f aca="false">IF($P839="","",INDEX(BookRate,834)*$P839)</f>
        <v/>
      </c>
      <c r="T839" s="35" t="str">
        <f aca="false">IF($R839="","",$R839-$K839)</f>
        <v/>
      </c>
      <c r="U839" s="35" t="str">
        <f aca="false">IF(N($P839)&lt;=0,"",COUNTIF($P$6:$P839,"&gt;0"))</f>
        <v/>
      </c>
    </row>
    <row r="840" customFormat="false" ht="15" hidden="false" customHeight="false" outlineLevel="0" collapsed="false">
      <c r="A840" s="40" t="str">
        <f aca="false">IF(INDEX(BookTitle,835)="","",INDEX(BookGroup,835))</f>
        <v/>
      </c>
      <c r="B840" s="40" t="str">
        <f aca="false">IF(INDEX(BookTitle,835)="","",INDEX(BookRef,835))</f>
        <v/>
      </c>
      <c r="C840" s="40" t="str">
        <f aca="false">IF(INDEX(BookTitle,835)="","",INDEX(BookDivision,835))</f>
        <v/>
      </c>
      <c r="D840" s="40" t="str">
        <f aca="false">IF(INDEX(BookTitle,835)="","",INDEX(BookUnit,835))</f>
        <v/>
      </c>
      <c r="E840" s="40" t="str">
        <f aca="false">IF(INDEX(BookTitle,835)="","",INDEX(BookTitle,835))</f>
        <v/>
      </c>
      <c r="F840" s="40" t="str">
        <f aca="false">IF(INDEX(BookTitle,835)="","",INDEX(BookLevel,835))</f>
        <v/>
      </c>
      <c r="G840" s="40" t="str">
        <f aca="false">IF(INDEX(BookTitle,835)="","",INDEX(BookCategory,835))</f>
        <v/>
      </c>
      <c r="H840" s="40" t="str">
        <f aca="false">IF(INDEX(BookTitle,835)="","",INDEX(BookRank,835))</f>
        <v/>
      </c>
      <c r="I840" s="41" t="str">
        <f aca="false">IF(INDEX(BookTitle,835)="","",INDEX(BookTotal,835))</f>
        <v/>
      </c>
      <c r="J840" s="0" t="str">
        <f aca="false">IF($I840="","",IF(INDEX(BookQ1,835)&gt;0,"Q1",IF(INDEX(BookQ2,835)&gt;0,"Q2",IF(INDEX(BookQ3,835)&gt;0,"Q3",IF(INDEX(BookQ4,835)&gt;0,"Q4","")))))</f>
        <v/>
      </c>
      <c r="K840" s="42" t="str">
        <f aca="false">IF(INDEX(BookTitle,835)="","",INDEX(BookInYear,835))</f>
        <v/>
      </c>
      <c r="L840" s="19"/>
      <c r="M840" s="39"/>
      <c r="N840" s="19"/>
      <c r="O840" s="19"/>
      <c r="P840" s="43" t="str">
        <f aca="false">IF($E840="","",IF($L840="Decline",0,IF($L840="Approve fewer",IF($M840="","",$M840),IF($L840="","",$I840))))</f>
        <v/>
      </c>
      <c r="Q840" s="34" t="str">
        <f aca="false">IF($P840="","",IF($N840&lt;&gt;"",$N840,$J840))</f>
        <v/>
      </c>
      <c r="R840" s="35" t="str">
        <f aca="false">IF(OR($P840="",$Q840=""),"",INDEX(BookRate,835)*$P840*(5-MATCH($Q840,{"Q1";"Q2";"Q3";"Q4"},0))/4+INDEX(BookOneOff,835)*$P840)</f>
        <v/>
      </c>
      <c r="S840" s="35" t="str">
        <f aca="false">IF($P840="","",INDEX(BookRate,835)*$P840)</f>
        <v/>
      </c>
      <c r="T840" s="35" t="str">
        <f aca="false">IF($R840="","",$R840-$K840)</f>
        <v/>
      </c>
      <c r="U840" s="35" t="str">
        <f aca="false">IF(N($P840)&lt;=0,"",COUNTIF($P$6:$P840,"&gt;0"))</f>
        <v/>
      </c>
    </row>
    <row r="841" customFormat="false" ht="15" hidden="false" customHeight="false" outlineLevel="0" collapsed="false">
      <c r="A841" s="40" t="str">
        <f aca="false">IF(INDEX(BookTitle,836)="","",INDEX(BookGroup,836))</f>
        <v/>
      </c>
      <c r="B841" s="40" t="str">
        <f aca="false">IF(INDEX(BookTitle,836)="","",INDEX(BookRef,836))</f>
        <v/>
      </c>
      <c r="C841" s="40" t="str">
        <f aca="false">IF(INDEX(BookTitle,836)="","",INDEX(BookDivision,836))</f>
        <v/>
      </c>
      <c r="D841" s="40" t="str">
        <f aca="false">IF(INDEX(BookTitle,836)="","",INDEX(BookUnit,836))</f>
        <v/>
      </c>
      <c r="E841" s="40" t="str">
        <f aca="false">IF(INDEX(BookTitle,836)="","",INDEX(BookTitle,836))</f>
        <v/>
      </c>
      <c r="F841" s="40" t="str">
        <f aca="false">IF(INDEX(BookTitle,836)="","",INDEX(BookLevel,836))</f>
        <v/>
      </c>
      <c r="G841" s="40" t="str">
        <f aca="false">IF(INDEX(BookTitle,836)="","",INDEX(BookCategory,836))</f>
        <v/>
      </c>
      <c r="H841" s="40" t="str">
        <f aca="false">IF(INDEX(BookTitle,836)="","",INDEX(BookRank,836))</f>
        <v/>
      </c>
      <c r="I841" s="41" t="str">
        <f aca="false">IF(INDEX(BookTitle,836)="","",INDEX(BookTotal,836))</f>
        <v/>
      </c>
      <c r="J841" s="0" t="str">
        <f aca="false">IF($I841="","",IF(INDEX(BookQ1,836)&gt;0,"Q1",IF(INDEX(BookQ2,836)&gt;0,"Q2",IF(INDEX(BookQ3,836)&gt;0,"Q3",IF(INDEX(BookQ4,836)&gt;0,"Q4","")))))</f>
        <v/>
      </c>
      <c r="K841" s="42" t="str">
        <f aca="false">IF(INDEX(BookTitle,836)="","",INDEX(BookInYear,836))</f>
        <v/>
      </c>
      <c r="L841" s="19"/>
      <c r="M841" s="39"/>
      <c r="N841" s="19"/>
      <c r="O841" s="19"/>
      <c r="P841" s="43" t="str">
        <f aca="false">IF($E841="","",IF($L841="Decline",0,IF($L841="Approve fewer",IF($M841="","",$M841),IF($L841="","",$I841))))</f>
        <v/>
      </c>
      <c r="Q841" s="34" t="str">
        <f aca="false">IF($P841="","",IF($N841&lt;&gt;"",$N841,$J841))</f>
        <v/>
      </c>
      <c r="R841" s="35" t="str">
        <f aca="false">IF(OR($P841="",$Q841=""),"",INDEX(BookRate,836)*$P841*(5-MATCH($Q841,{"Q1";"Q2";"Q3";"Q4"},0))/4+INDEX(BookOneOff,836)*$P841)</f>
        <v/>
      </c>
      <c r="S841" s="35" t="str">
        <f aca="false">IF($P841="","",INDEX(BookRate,836)*$P841)</f>
        <v/>
      </c>
      <c r="T841" s="35" t="str">
        <f aca="false">IF($R841="","",$R841-$K841)</f>
        <v/>
      </c>
      <c r="U841" s="35" t="str">
        <f aca="false">IF(N($P841)&lt;=0,"",COUNTIF($P$6:$P841,"&gt;0"))</f>
        <v/>
      </c>
    </row>
    <row r="842" customFormat="false" ht="15" hidden="false" customHeight="false" outlineLevel="0" collapsed="false">
      <c r="A842" s="40" t="str">
        <f aca="false">IF(INDEX(BookTitle,837)="","",INDEX(BookGroup,837))</f>
        <v/>
      </c>
      <c r="B842" s="40" t="str">
        <f aca="false">IF(INDEX(BookTitle,837)="","",INDEX(BookRef,837))</f>
        <v/>
      </c>
      <c r="C842" s="40" t="str">
        <f aca="false">IF(INDEX(BookTitle,837)="","",INDEX(BookDivision,837))</f>
        <v/>
      </c>
      <c r="D842" s="40" t="str">
        <f aca="false">IF(INDEX(BookTitle,837)="","",INDEX(BookUnit,837))</f>
        <v/>
      </c>
      <c r="E842" s="40" t="str">
        <f aca="false">IF(INDEX(BookTitle,837)="","",INDEX(BookTitle,837))</f>
        <v/>
      </c>
      <c r="F842" s="40" t="str">
        <f aca="false">IF(INDEX(BookTitle,837)="","",INDEX(BookLevel,837))</f>
        <v/>
      </c>
      <c r="G842" s="40" t="str">
        <f aca="false">IF(INDEX(BookTitle,837)="","",INDEX(BookCategory,837))</f>
        <v/>
      </c>
      <c r="H842" s="40" t="str">
        <f aca="false">IF(INDEX(BookTitle,837)="","",INDEX(BookRank,837))</f>
        <v/>
      </c>
      <c r="I842" s="41" t="str">
        <f aca="false">IF(INDEX(BookTitle,837)="","",INDEX(BookTotal,837))</f>
        <v/>
      </c>
      <c r="J842" s="0" t="str">
        <f aca="false">IF($I842="","",IF(INDEX(BookQ1,837)&gt;0,"Q1",IF(INDEX(BookQ2,837)&gt;0,"Q2",IF(INDEX(BookQ3,837)&gt;0,"Q3",IF(INDEX(BookQ4,837)&gt;0,"Q4","")))))</f>
        <v/>
      </c>
      <c r="K842" s="42" t="str">
        <f aca="false">IF(INDEX(BookTitle,837)="","",INDEX(BookInYear,837))</f>
        <v/>
      </c>
      <c r="L842" s="19"/>
      <c r="M842" s="39"/>
      <c r="N842" s="19"/>
      <c r="O842" s="19"/>
      <c r="P842" s="43" t="str">
        <f aca="false">IF($E842="","",IF($L842="Decline",0,IF($L842="Approve fewer",IF($M842="","",$M842),IF($L842="","",$I842))))</f>
        <v/>
      </c>
      <c r="Q842" s="34" t="str">
        <f aca="false">IF($P842="","",IF($N842&lt;&gt;"",$N842,$J842))</f>
        <v/>
      </c>
      <c r="R842" s="35" t="str">
        <f aca="false">IF(OR($P842="",$Q842=""),"",INDEX(BookRate,837)*$P842*(5-MATCH($Q842,{"Q1";"Q2";"Q3";"Q4"},0))/4+INDEX(BookOneOff,837)*$P842)</f>
        <v/>
      </c>
      <c r="S842" s="35" t="str">
        <f aca="false">IF($P842="","",INDEX(BookRate,837)*$P842)</f>
        <v/>
      </c>
      <c r="T842" s="35" t="str">
        <f aca="false">IF($R842="","",$R842-$K842)</f>
        <v/>
      </c>
      <c r="U842" s="35" t="str">
        <f aca="false">IF(N($P842)&lt;=0,"",COUNTIF($P$6:$P842,"&gt;0"))</f>
        <v/>
      </c>
    </row>
    <row r="843" customFormat="false" ht="15" hidden="false" customHeight="false" outlineLevel="0" collapsed="false">
      <c r="A843" s="40" t="str">
        <f aca="false">IF(INDEX(BookTitle,838)="","",INDEX(BookGroup,838))</f>
        <v/>
      </c>
      <c r="B843" s="40" t="str">
        <f aca="false">IF(INDEX(BookTitle,838)="","",INDEX(BookRef,838))</f>
        <v/>
      </c>
      <c r="C843" s="40" t="str">
        <f aca="false">IF(INDEX(BookTitle,838)="","",INDEX(BookDivision,838))</f>
        <v/>
      </c>
      <c r="D843" s="40" t="str">
        <f aca="false">IF(INDEX(BookTitle,838)="","",INDEX(BookUnit,838))</f>
        <v/>
      </c>
      <c r="E843" s="40" t="str">
        <f aca="false">IF(INDEX(BookTitle,838)="","",INDEX(BookTitle,838))</f>
        <v/>
      </c>
      <c r="F843" s="40" t="str">
        <f aca="false">IF(INDEX(BookTitle,838)="","",INDEX(BookLevel,838))</f>
        <v/>
      </c>
      <c r="G843" s="40" t="str">
        <f aca="false">IF(INDEX(BookTitle,838)="","",INDEX(BookCategory,838))</f>
        <v/>
      </c>
      <c r="H843" s="40" t="str">
        <f aca="false">IF(INDEX(BookTitle,838)="","",INDEX(BookRank,838))</f>
        <v/>
      </c>
      <c r="I843" s="41" t="str">
        <f aca="false">IF(INDEX(BookTitle,838)="","",INDEX(BookTotal,838))</f>
        <v/>
      </c>
      <c r="J843" s="0" t="str">
        <f aca="false">IF($I843="","",IF(INDEX(BookQ1,838)&gt;0,"Q1",IF(INDEX(BookQ2,838)&gt;0,"Q2",IF(INDEX(BookQ3,838)&gt;0,"Q3",IF(INDEX(BookQ4,838)&gt;0,"Q4","")))))</f>
        <v/>
      </c>
      <c r="K843" s="42" t="str">
        <f aca="false">IF(INDEX(BookTitle,838)="","",INDEX(BookInYear,838))</f>
        <v/>
      </c>
      <c r="L843" s="19"/>
      <c r="M843" s="39"/>
      <c r="N843" s="19"/>
      <c r="O843" s="19"/>
      <c r="P843" s="43" t="str">
        <f aca="false">IF($E843="","",IF($L843="Decline",0,IF($L843="Approve fewer",IF($M843="","",$M843),IF($L843="","",$I843))))</f>
        <v/>
      </c>
      <c r="Q843" s="34" t="str">
        <f aca="false">IF($P843="","",IF($N843&lt;&gt;"",$N843,$J843))</f>
        <v/>
      </c>
      <c r="R843" s="35" t="str">
        <f aca="false">IF(OR($P843="",$Q843=""),"",INDEX(BookRate,838)*$P843*(5-MATCH($Q843,{"Q1";"Q2";"Q3";"Q4"},0))/4+INDEX(BookOneOff,838)*$P843)</f>
        <v/>
      </c>
      <c r="S843" s="35" t="str">
        <f aca="false">IF($P843="","",INDEX(BookRate,838)*$P843)</f>
        <v/>
      </c>
      <c r="T843" s="35" t="str">
        <f aca="false">IF($R843="","",$R843-$K843)</f>
        <v/>
      </c>
      <c r="U843" s="35" t="str">
        <f aca="false">IF(N($P843)&lt;=0,"",COUNTIF($P$6:$P843,"&gt;0"))</f>
        <v/>
      </c>
    </row>
    <row r="844" customFormat="false" ht="15" hidden="false" customHeight="false" outlineLevel="0" collapsed="false">
      <c r="A844" s="40" t="str">
        <f aca="false">IF(INDEX(BookTitle,839)="","",INDEX(BookGroup,839))</f>
        <v/>
      </c>
      <c r="B844" s="40" t="str">
        <f aca="false">IF(INDEX(BookTitle,839)="","",INDEX(BookRef,839))</f>
        <v/>
      </c>
      <c r="C844" s="40" t="str">
        <f aca="false">IF(INDEX(BookTitle,839)="","",INDEX(BookDivision,839))</f>
        <v/>
      </c>
      <c r="D844" s="40" t="str">
        <f aca="false">IF(INDEX(BookTitle,839)="","",INDEX(BookUnit,839))</f>
        <v/>
      </c>
      <c r="E844" s="40" t="str">
        <f aca="false">IF(INDEX(BookTitle,839)="","",INDEX(BookTitle,839))</f>
        <v/>
      </c>
      <c r="F844" s="40" t="str">
        <f aca="false">IF(INDEX(BookTitle,839)="","",INDEX(BookLevel,839))</f>
        <v/>
      </c>
      <c r="G844" s="40" t="str">
        <f aca="false">IF(INDEX(BookTitle,839)="","",INDEX(BookCategory,839))</f>
        <v/>
      </c>
      <c r="H844" s="40" t="str">
        <f aca="false">IF(INDEX(BookTitle,839)="","",INDEX(BookRank,839))</f>
        <v/>
      </c>
      <c r="I844" s="41" t="str">
        <f aca="false">IF(INDEX(BookTitle,839)="","",INDEX(BookTotal,839))</f>
        <v/>
      </c>
      <c r="J844" s="0" t="str">
        <f aca="false">IF($I844="","",IF(INDEX(BookQ1,839)&gt;0,"Q1",IF(INDEX(BookQ2,839)&gt;0,"Q2",IF(INDEX(BookQ3,839)&gt;0,"Q3",IF(INDEX(BookQ4,839)&gt;0,"Q4","")))))</f>
        <v/>
      </c>
      <c r="K844" s="42" t="str">
        <f aca="false">IF(INDEX(BookTitle,839)="","",INDEX(BookInYear,839))</f>
        <v/>
      </c>
      <c r="L844" s="19"/>
      <c r="M844" s="39"/>
      <c r="N844" s="19"/>
      <c r="O844" s="19"/>
      <c r="P844" s="43" t="str">
        <f aca="false">IF($E844="","",IF($L844="Decline",0,IF($L844="Approve fewer",IF($M844="","",$M844),IF($L844="","",$I844))))</f>
        <v/>
      </c>
      <c r="Q844" s="34" t="str">
        <f aca="false">IF($P844="","",IF($N844&lt;&gt;"",$N844,$J844))</f>
        <v/>
      </c>
      <c r="R844" s="35" t="str">
        <f aca="false">IF(OR($P844="",$Q844=""),"",INDEX(BookRate,839)*$P844*(5-MATCH($Q844,{"Q1";"Q2";"Q3";"Q4"},0))/4+INDEX(BookOneOff,839)*$P844)</f>
        <v/>
      </c>
      <c r="S844" s="35" t="str">
        <f aca="false">IF($P844="","",INDEX(BookRate,839)*$P844)</f>
        <v/>
      </c>
      <c r="T844" s="35" t="str">
        <f aca="false">IF($R844="","",$R844-$K844)</f>
        <v/>
      </c>
      <c r="U844" s="35" t="str">
        <f aca="false">IF(N($P844)&lt;=0,"",COUNTIF($P$6:$P844,"&gt;0"))</f>
        <v/>
      </c>
    </row>
    <row r="845" customFormat="false" ht="15" hidden="false" customHeight="false" outlineLevel="0" collapsed="false">
      <c r="A845" s="40" t="str">
        <f aca="false">IF(INDEX(BookTitle,840)="","",INDEX(BookGroup,840))</f>
        <v/>
      </c>
      <c r="B845" s="40" t="str">
        <f aca="false">IF(INDEX(BookTitle,840)="","",INDEX(BookRef,840))</f>
        <v/>
      </c>
      <c r="C845" s="40" t="str">
        <f aca="false">IF(INDEX(BookTitle,840)="","",INDEX(BookDivision,840))</f>
        <v/>
      </c>
      <c r="D845" s="40" t="str">
        <f aca="false">IF(INDEX(BookTitle,840)="","",INDEX(BookUnit,840))</f>
        <v/>
      </c>
      <c r="E845" s="40" t="str">
        <f aca="false">IF(INDEX(BookTitle,840)="","",INDEX(BookTitle,840))</f>
        <v/>
      </c>
      <c r="F845" s="40" t="str">
        <f aca="false">IF(INDEX(BookTitle,840)="","",INDEX(BookLevel,840))</f>
        <v/>
      </c>
      <c r="G845" s="40" t="str">
        <f aca="false">IF(INDEX(BookTitle,840)="","",INDEX(BookCategory,840))</f>
        <v/>
      </c>
      <c r="H845" s="40" t="str">
        <f aca="false">IF(INDEX(BookTitle,840)="","",INDEX(BookRank,840))</f>
        <v/>
      </c>
      <c r="I845" s="41" t="str">
        <f aca="false">IF(INDEX(BookTitle,840)="","",INDEX(BookTotal,840))</f>
        <v/>
      </c>
      <c r="J845" s="0" t="str">
        <f aca="false">IF($I845="","",IF(INDEX(BookQ1,840)&gt;0,"Q1",IF(INDEX(BookQ2,840)&gt;0,"Q2",IF(INDEX(BookQ3,840)&gt;0,"Q3",IF(INDEX(BookQ4,840)&gt;0,"Q4","")))))</f>
        <v/>
      </c>
      <c r="K845" s="42" t="str">
        <f aca="false">IF(INDEX(BookTitle,840)="","",INDEX(BookInYear,840))</f>
        <v/>
      </c>
      <c r="L845" s="19"/>
      <c r="M845" s="39"/>
      <c r="N845" s="19"/>
      <c r="O845" s="19"/>
      <c r="P845" s="43" t="str">
        <f aca="false">IF($E845="","",IF($L845="Decline",0,IF($L845="Approve fewer",IF($M845="","",$M845),IF($L845="","",$I845))))</f>
        <v/>
      </c>
      <c r="Q845" s="34" t="str">
        <f aca="false">IF($P845="","",IF($N845&lt;&gt;"",$N845,$J845))</f>
        <v/>
      </c>
      <c r="R845" s="35" t="str">
        <f aca="false">IF(OR($P845="",$Q845=""),"",INDEX(BookRate,840)*$P845*(5-MATCH($Q845,{"Q1";"Q2";"Q3";"Q4"},0))/4+INDEX(BookOneOff,840)*$P845)</f>
        <v/>
      </c>
      <c r="S845" s="35" t="str">
        <f aca="false">IF($P845="","",INDEX(BookRate,840)*$P845)</f>
        <v/>
      </c>
      <c r="T845" s="35" t="str">
        <f aca="false">IF($R845="","",$R845-$K845)</f>
        <v/>
      </c>
      <c r="U845" s="35" t="str">
        <f aca="false">IF(N($P845)&lt;=0,"",COUNTIF($P$6:$P845,"&gt;0"))</f>
        <v/>
      </c>
    </row>
    <row r="846" customFormat="false" ht="15" hidden="false" customHeight="false" outlineLevel="0" collapsed="false">
      <c r="A846" s="40" t="str">
        <f aca="false">IF(INDEX(BookTitle,841)="","",INDEX(BookGroup,841))</f>
        <v/>
      </c>
      <c r="B846" s="40" t="str">
        <f aca="false">IF(INDEX(BookTitle,841)="","",INDEX(BookRef,841))</f>
        <v/>
      </c>
      <c r="C846" s="40" t="str">
        <f aca="false">IF(INDEX(BookTitle,841)="","",INDEX(BookDivision,841))</f>
        <v/>
      </c>
      <c r="D846" s="40" t="str">
        <f aca="false">IF(INDEX(BookTitle,841)="","",INDEX(BookUnit,841))</f>
        <v/>
      </c>
      <c r="E846" s="40" t="str">
        <f aca="false">IF(INDEX(BookTitle,841)="","",INDEX(BookTitle,841))</f>
        <v/>
      </c>
      <c r="F846" s="40" t="str">
        <f aca="false">IF(INDEX(BookTitle,841)="","",INDEX(BookLevel,841))</f>
        <v/>
      </c>
      <c r="G846" s="40" t="str">
        <f aca="false">IF(INDEX(BookTitle,841)="","",INDEX(BookCategory,841))</f>
        <v/>
      </c>
      <c r="H846" s="40" t="str">
        <f aca="false">IF(INDEX(BookTitle,841)="","",INDEX(BookRank,841))</f>
        <v/>
      </c>
      <c r="I846" s="41" t="str">
        <f aca="false">IF(INDEX(BookTitle,841)="","",INDEX(BookTotal,841))</f>
        <v/>
      </c>
      <c r="J846" s="0" t="str">
        <f aca="false">IF($I846="","",IF(INDEX(BookQ1,841)&gt;0,"Q1",IF(INDEX(BookQ2,841)&gt;0,"Q2",IF(INDEX(BookQ3,841)&gt;0,"Q3",IF(INDEX(BookQ4,841)&gt;0,"Q4","")))))</f>
        <v/>
      </c>
      <c r="K846" s="42" t="str">
        <f aca="false">IF(INDEX(BookTitle,841)="","",INDEX(BookInYear,841))</f>
        <v/>
      </c>
      <c r="L846" s="19"/>
      <c r="M846" s="39"/>
      <c r="N846" s="19"/>
      <c r="O846" s="19"/>
      <c r="P846" s="43" t="str">
        <f aca="false">IF($E846="","",IF($L846="Decline",0,IF($L846="Approve fewer",IF($M846="","",$M846),IF($L846="","",$I846))))</f>
        <v/>
      </c>
      <c r="Q846" s="34" t="str">
        <f aca="false">IF($P846="","",IF($N846&lt;&gt;"",$N846,$J846))</f>
        <v/>
      </c>
      <c r="R846" s="35" t="str">
        <f aca="false">IF(OR($P846="",$Q846=""),"",INDEX(BookRate,841)*$P846*(5-MATCH($Q846,{"Q1";"Q2";"Q3";"Q4"},0))/4+INDEX(BookOneOff,841)*$P846)</f>
        <v/>
      </c>
      <c r="S846" s="35" t="str">
        <f aca="false">IF($P846="","",INDEX(BookRate,841)*$P846)</f>
        <v/>
      </c>
      <c r="T846" s="35" t="str">
        <f aca="false">IF($R846="","",$R846-$K846)</f>
        <v/>
      </c>
      <c r="U846" s="35" t="str">
        <f aca="false">IF(N($P846)&lt;=0,"",COUNTIF($P$6:$P846,"&gt;0"))</f>
        <v/>
      </c>
    </row>
    <row r="847" customFormat="false" ht="15" hidden="false" customHeight="false" outlineLevel="0" collapsed="false">
      <c r="A847" s="40" t="str">
        <f aca="false">IF(INDEX(BookTitle,842)="","",INDEX(BookGroup,842))</f>
        <v/>
      </c>
      <c r="B847" s="40" t="str">
        <f aca="false">IF(INDEX(BookTitle,842)="","",INDEX(BookRef,842))</f>
        <v/>
      </c>
      <c r="C847" s="40" t="str">
        <f aca="false">IF(INDEX(BookTitle,842)="","",INDEX(BookDivision,842))</f>
        <v/>
      </c>
      <c r="D847" s="40" t="str">
        <f aca="false">IF(INDEX(BookTitle,842)="","",INDEX(BookUnit,842))</f>
        <v/>
      </c>
      <c r="E847" s="40" t="str">
        <f aca="false">IF(INDEX(BookTitle,842)="","",INDEX(BookTitle,842))</f>
        <v/>
      </c>
      <c r="F847" s="40" t="str">
        <f aca="false">IF(INDEX(BookTitle,842)="","",INDEX(BookLevel,842))</f>
        <v/>
      </c>
      <c r="G847" s="40" t="str">
        <f aca="false">IF(INDEX(BookTitle,842)="","",INDEX(BookCategory,842))</f>
        <v/>
      </c>
      <c r="H847" s="40" t="str">
        <f aca="false">IF(INDEX(BookTitle,842)="","",INDEX(BookRank,842))</f>
        <v/>
      </c>
      <c r="I847" s="41" t="str">
        <f aca="false">IF(INDEX(BookTitle,842)="","",INDEX(BookTotal,842))</f>
        <v/>
      </c>
      <c r="J847" s="0" t="str">
        <f aca="false">IF($I847="","",IF(INDEX(BookQ1,842)&gt;0,"Q1",IF(INDEX(BookQ2,842)&gt;0,"Q2",IF(INDEX(BookQ3,842)&gt;0,"Q3",IF(INDEX(BookQ4,842)&gt;0,"Q4","")))))</f>
        <v/>
      </c>
      <c r="K847" s="42" t="str">
        <f aca="false">IF(INDEX(BookTitle,842)="","",INDEX(BookInYear,842))</f>
        <v/>
      </c>
      <c r="L847" s="19"/>
      <c r="M847" s="39"/>
      <c r="N847" s="19"/>
      <c r="O847" s="19"/>
      <c r="P847" s="43" t="str">
        <f aca="false">IF($E847="","",IF($L847="Decline",0,IF($L847="Approve fewer",IF($M847="","",$M847),IF($L847="","",$I847))))</f>
        <v/>
      </c>
      <c r="Q847" s="34" t="str">
        <f aca="false">IF($P847="","",IF($N847&lt;&gt;"",$N847,$J847))</f>
        <v/>
      </c>
      <c r="R847" s="35" t="str">
        <f aca="false">IF(OR($P847="",$Q847=""),"",INDEX(BookRate,842)*$P847*(5-MATCH($Q847,{"Q1";"Q2";"Q3";"Q4"},0))/4+INDEX(BookOneOff,842)*$P847)</f>
        <v/>
      </c>
      <c r="S847" s="35" t="str">
        <f aca="false">IF($P847="","",INDEX(BookRate,842)*$P847)</f>
        <v/>
      </c>
      <c r="T847" s="35" t="str">
        <f aca="false">IF($R847="","",$R847-$K847)</f>
        <v/>
      </c>
      <c r="U847" s="35" t="str">
        <f aca="false">IF(N($P847)&lt;=0,"",COUNTIF($P$6:$P847,"&gt;0"))</f>
        <v/>
      </c>
    </row>
    <row r="848" customFormat="false" ht="15" hidden="false" customHeight="false" outlineLevel="0" collapsed="false">
      <c r="A848" s="40" t="str">
        <f aca="false">IF(INDEX(BookTitle,843)="","",INDEX(BookGroup,843))</f>
        <v/>
      </c>
      <c r="B848" s="40" t="str">
        <f aca="false">IF(INDEX(BookTitle,843)="","",INDEX(BookRef,843))</f>
        <v/>
      </c>
      <c r="C848" s="40" t="str">
        <f aca="false">IF(INDEX(BookTitle,843)="","",INDEX(BookDivision,843))</f>
        <v/>
      </c>
      <c r="D848" s="40" t="str">
        <f aca="false">IF(INDEX(BookTitle,843)="","",INDEX(BookUnit,843))</f>
        <v/>
      </c>
      <c r="E848" s="40" t="str">
        <f aca="false">IF(INDEX(BookTitle,843)="","",INDEX(BookTitle,843))</f>
        <v/>
      </c>
      <c r="F848" s="40" t="str">
        <f aca="false">IF(INDEX(BookTitle,843)="","",INDEX(BookLevel,843))</f>
        <v/>
      </c>
      <c r="G848" s="40" t="str">
        <f aca="false">IF(INDEX(BookTitle,843)="","",INDEX(BookCategory,843))</f>
        <v/>
      </c>
      <c r="H848" s="40" t="str">
        <f aca="false">IF(INDEX(BookTitle,843)="","",INDEX(BookRank,843))</f>
        <v/>
      </c>
      <c r="I848" s="41" t="str">
        <f aca="false">IF(INDEX(BookTitle,843)="","",INDEX(BookTotal,843))</f>
        <v/>
      </c>
      <c r="J848" s="0" t="str">
        <f aca="false">IF($I848="","",IF(INDEX(BookQ1,843)&gt;0,"Q1",IF(INDEX(BookQ2,843)&gt;0,"Q2",IF(INDEX(BookQ3,843)&gt;0,"Q3",IF(INDEX(BookQ4,843)&gt;0,"Q4","")))))</f>
        <v/>
      </c>
      <c r="K848" s="42" t="str">
        <f aca="false">IF(INDEX(BookTitle,843)="","",INDEX(BookInYear,843))</f>
        <v/>
      </c>
      <c r="L848" s="19"/>
      <c r="M848" s="39"/>
      <c r="N848" s="19"/>
      <c r="O848" s="19"/>
      <c r="P848" s="43" t="str">
        <f aca="false">IF($E848="","",IF($L848="Decline",0,IF($L848="Approve fewer",IF($M848="","",$M848),IF($L848="","",$I848))))</f>
        <v/>
      </c>
      <c r="Q848" s="34" t="str">
        <f aca="false">IF($P848="","",IF($N848&lt;&gt;"",$N848,$J848))</f>
        <v/>
      </c>
      <c r="R848" s="35" t="str">
        <f aca="false">IF(OR($P848="",$Q848=""),"",INDEX(BookRate,843)*$P848*(5-MATCH($Q848,{"Q1";"Q2";"Q3";"Q4"},0))/4+INDEX(BookOneOff,843)*$P848)</f>
        <v/>
      </c>
      <c r="S848" s="35" t="str">
        <f aca="false">IF($P848="","",INDEX(BookRate,843)*$P848)</f>
        <v/>
      </c>
      <c r="T848" s="35" t="str">
        <f aca="false">IF($R848="","",$R848-$K848)</f>
        <v/>
      </c>
      <c r="U848" s="35" t="str">
        <f aca="false">IF(N($P848)&lt;=0,"",COUNTIF($P$6:$P848,"&gt;0"))</f>
        <v/>
      </c>
    </row>
    <row r="849" customFormat="false" ht="15" hidden="false" customHeight="false" outlineLevel="0" collapsed="false">
      <c r="A849" s="40" t="str">
        <f aca="false">IF(INDEX(BookTitle,844)="","",INDEX(BookGroup,844))</f>
        <v/>
      </c>
      <c r="B849" s="40" t="str">
        <f aca="false">IF(INDEX(BookTitle,844)="","",INDEX(BookRef,844))</f>
        <v/>
      </c>
      <c r="C849" s="40" t="str">
        <f aca="false">IF(INDEX(BookTitle,844)="","",INDEX(BookDivision,844))</f>
        <v/>
      </c>
      <c r="D849" s="40" t="str">
        <f aca="false">IF(INDEX(BookTitle,844)="","",INDEX(BookUnit,844))</f>
        <v/>
      </c>
      <c r="E849" s="40" t="str">
        <f aca="false">IF(INDEX(BookTitle,844)="","",INDEX(BookTitle,844))</f>
        <v/>
      </c>
      <c r="F849" s="40" t="str">
        <f aca="false">IF(INDEX(BookTitle,844)="","",INDEX(BookLevel,844))</f>
        <v/>
      </c>
      <c r="G849" s="40" t="str">
        <f aca="false">IF(INDEX(BookTitle,844)="","",INDEX(BookCategory,844))</f>
        <v/>
      </c>
      <c r="H849" s="40" t="str">
        <f aca="false">IF(INDEX(BookTitle,844)="","",INDEX(BookRank,844))</f>
        <v/>
      </c>
      <c r="I849" s="41" t="str">
        <f aca="false">IF(INDEX(BookTitle,844)="","",INDEX(BookTotal,844))</f>
        <v/>
      </c>
      <c r="J849" s="0" t="str">
        <f aca="false">IF($I849="","",IF(INDEX(BookQ1,844)&gt;0,"Q1",IF(INDEX(BookQ2,844)&gt;0,"Q2",IF(INDEX(BookQ3,844)&gt;0,"Q3",IF(INDEX(BookQ4,844)&gt;0,"Q4","")))))</f>
        <v/>
      </c>
      <c r="K849" s="42" t="str">
        <f aca="false">IF(INDEX(BookTitle,844)="","",INDEX(BookInYear,844))</f>
        <v/>
      </c>
      <c r="L849" s="19"/>
      <c r="M849" s="39"/>
      <c r="N849" s="19"/>
      <c r="O849" s="19"/>
      <c r="P849" s="43" t="str">
        <f aca="false">IF($E849="","",IF($L849="Decline",0,IF($L849="Approve fewer",IF($M849="","",$M849),IF($L849="","",$I849))))</f>
        <v/>
      </c>
      <c r="Q849" s="34" t="str">
        <f aca="false">IF($P849="","",IF($N849&lt;&gt;"",$N849,$J849))</f>
        <v/>
      </c>
      <c r="R849" s="35" t="str">
        <f aca="false">IF(OR($P849="",$Q849=""),"",INDEX(BookRate,844)*$P849*(5-MATCH($Q849,{"Q1";"Q2";"Q3";"Q4"},0))/4+INDEX(BookOneOff,844)*$P849)</f>
        <v/>
      </c>
      <c r="S849" s="35" t="str">
        <f aca="false">IF($P849="","",INDEX(BookRate,844)*$P849)</f>
        <v/>
      </c>
      <c r="T849" s="35" t="str">
        <f aca="false">IF($R849="","",$R849-$K849)</f>
        <v/>
      </c>
      <c r="U849" s="35" t="str">
        <f aca="false">IF(N($P849)&lt;=0,"",COUNTIF($P$6:$P849,"&gt;0"))</f>
        <v/>
      </c>
    </row>
    <row r="850" customFormat="false" ht="15" hidden="false" customHeight="false" outlineLevel="0" collapsed="false">
      <c r="A850" s="40" t="str">
        <f aca="false">IF(INDEX(BookTitle,845)="","",INDEX(BookGroup,845))</f>
        <v/>
      </c>
      <c r="B850" s="40" t="str">
        <f aca="false">IF(INDEX(BookTitle,845)="","",INDEX(BookRef,845))</f>
        <v/>
      </c>
      <c r="C850" s="40" t="str">
        <f aca="false">IF(INDEX(BookTitle,845)="","",INDEX(BookDivision,845))</f>
        <v/>
      </c>
      <c r="D850" s="40" t="str">
        <f aca="false">IF(INDEX(BookTitle,845)="","",INDEX(BookUnit,845))</f>
        <v/>
      </c>
      <c r="E850" s="40" t="str">
        <f aca="false">IF(INDEX(BookTitle,845)="","",INDEX(BookTitle,845))</f>
        <v/>
      </c>
      <c r="F850" s="40" t="str">
        <f aca="false">IF(INDEX(BookTitle,845)="","",INDEX(BookLevel,845))</f>
        <v/>
      </c>
      <c r="G850" s="40" t="str">
        <f aca="false">IF(INDEX(BookTitle,845)="","",INDEX(BookCategory,845))</f>
        <v/>
      </c>
      <c r="H850" s="40" t="str">
        <f aca="false">IF(INDEX(BookTitle,845)="","",INDEX(BookRank,845))</f>
        <v/>
      </c>
      <c r="I850" s="41" t="str">
        <f aca="false">IF(INDEX(BookTitle,845)="","",INDEX(BookTotal,845))</f>
        <v/>
      </c>
      <c r="J850" s="0" t="str">
        <f aca="false">IF($I850="","",IF(INDEX(BookQ1,845)&gt;0,"Q1",IF(INDEX(BookQ2,845)&gt;0,"Q2",IF(INDEX(BookQ3,845)&gt;0,"Q3",IF(INDEX(BookQ4,845)&gt;0,"Q4","")))))</f>
        <v/>
      </c>
      <c r="K850" s="42" t="str">
        <f aca="false">IF(INDEX(BookTitle,845)="","",INDEX(BookInYear,845))</f>
        <v/>
      </c>
      <c r="L850" s="19"/>
      <c r="M850" s="39"/>
      <c r="N850" s="19"/>
      <c r="O850" s="19"/>
      <c r="P850" s="43" t="str">
        <f aca="false">IF($E850="","",IF($L850="Decline",0,IF($L850="Approve fewer",IF($M850="","",$M850),IF($L850="","",$I850))))</f>
        <v/>
      </c>
      <c r="Q850" s="34" t="str">
        <f aca="false">IF($P850="","",IF($N850&lt;&gt;"",$N850,$J850))</f>
        <v/>
      </c>
      <c r="R850" s="35" t="str">
        <f aca="false">IF(OR($P850="",$Q850=""),"",INDEX(BookRate,845)*$P850*(5-MATCH($Q850,{"Q1";"Q2";"Q3";"Q4"},0))/4+INDEX(BookOneOff,845)*$P850)</f>
        <v/>
      </c>
      <c r="S850" s="35" t="str">
        <f aca="false">IF($P850="","",INDEX(BookRate,845)*$P850)</f>
        <v/>
      </c>
      <c r="T850" s="35" t="str">
        <f aca="false">IF($R850="","",$R850-$K850)</f>
        <v/>
      </c>
      <c r="U850" s="35" t="str">
        <f aca="false">IF(N($P850)&lt;=0,"",COUNTIF($P$6:$P850,"&gt;0"))</f>
        <v/>
      </c>
    </row>
    <row r="851" customFormat="false" ht="15" hidden="false" customHeight="false" outlineLevel="0" collapsed="false">
      <c r="A851" s="40" t="str">
        <f aca="false">IF(INDEX(BookTitle,846)="","",INDEX(BookGroup,846))</f>
        <v/>
      </c>
      <c r="B851" s="40" t="str">
        <f aca="false">IF(INDEX(BookTitle,846)="","",INDEX(BookRef,846))</f>
        <v/>
      </c>
      <c r="C851" s="40" t="str">
        <f aca="false">IF(INDEX(BookTitle,846)="","",INDEX(BookDivision,846))</f>
        <v/>
      </c>
      <c r="D851" s="40" t="str">
        <f aca="false">IF(INDEX(BookTitle,846)="","",INDEX(BookUnit,846))</f>
        <v/>
      </c>
      <c r="E851" s="40" t="str">
        <f aca="false">IF(INDEX(BookTitle,846)="","",INDEX(BookTitle,846))</f>
        <v/>
      </c>
      <c r="F851" s="40" t="str">
        <f aca="false">IF(INDEX(BookTitle,846)="","",INDEX(BookLevel,846))</f>
        <v/>
      </c>
      <c r="G851" s="40" t="str">
        <f aca="false">IF(INDEX(BookTitle,846)="","",INDEX(BookCategory,846))</f>
        <v/>
      </c>
      <c r="H851" s="40" t="str">
        <f aca="false">IF(INDEX(BookTitle,846)="","",INDEX(BookRank,846))</f>
        <v/>
      </c>
      <c r="I851" s="41" t="str">
        <f aca="false">IF(INDEX(BookTitle,846)="","",INDEX(BookTotal,846))</f>
        <v/>
      </c>
      <c r="J851" s="0" t="str">
        <f aca="false">IF($I851="","",IF(INDEX(BookQ1,846)&gt;0,"Q1",IF(INDEX(BookQ2,846)&gt;0,"Q2",IF(INDEX(BookQ3,846)&gt;0,"Q3",IF(INDEX(BookQ4,846)&gt;0,"Q4","")))))</f>
        <v/>
      </c>
      <c r="K851" s="42" t="str">
        <f aca="false">IF(INDEX(BookTitle,846)="","",INDEX(BookInYear,846))</f>
        <v/>
      </c>
      <c r="L851" s="19"/>
      <c r="M851" s="39"/>
      <c r="N851" s="19"/>
      <c r="O851" s="19"/>
      <c r="P851" s="43" t="str">
        <f aca="false">IF($E851="","",IF($L851="Decline",0,IF($L851="Approve fewer",IF($M851="","",$M851),IF($L851="","",$I851))))</f>
        <v/>
      </c>
      <c r="Q851" s="34" t="str">
        <f aca="false">IF($P851="","",IF($N851&lt;&gt;"",$N851,$J851))</f>
        <v/>
      </c>
      <c r="R851" s="35" t="str">
        <f aca="false">IF(OR($P851="",$Q851=""),"",INDEX(BookRate,846)*$P851*(5-MATCH($Q851,{"Q1";"Q2";"Q3";"Q4"},0))/4+INDEX(BookOneOff,846)*$P851)</f>
        <v/>
      </c>
      <c r="S851" s="35" t="str">
        <f aca="false">IF($P851="","",INDEX(BookRate,846)*$P851)</f>
        <v/>
      </c>
      <c r="T851" s="35" t="str">
        <f aca="false">IF($R851="","",$R851-$K851)</f>
        <v/>
      </c>
      <c r="U851" s="35" t="str">
        <f aca="false">IF(N($P851)&lt;=0,"",COUNTIF($P$6:$P851,"&gt;0"))</f>
        <v/>
      </c>
    </row>
    <row r="852" customFormat="false" ht="15" hidden="false" customHeight="false" outlineLevel="0" collapsed="false">
      <c r="A852" s="40" t="str">
        <f aca="false">IF(INDEX(BookTitle,847)="","",INDEX(BookGroup,847))</f>
        <v/>
      </c>
      <c r="B852" s="40" t="str">
        <f aca="false">IF(INDEX(BookTitle,847)="","",INDEX(BookRef,847))</f>
        <v/>
      </c>
      <c r="C852" s="40" t="str">
        <f aca="false">IF(INDEX(BookTitle,847)="","",INDEX(BookDivision,847))</f>
        <v/>
      </c>
      <c r="D852" s="40" t="str">
        <f aca="false">IF(INDEX(BookTitle,847)="","",INDEX(BookUnit,847))</f>
        <v/>
      </c>
      <c r="E852" s="40" t="str">
        <f aca="false">IF(INDEX(BookTitle,847)="","",INDEX(BookTitle,847))</f>
        <v/>
      </c>
      <c r="F852" s="40" t="str">
        <f aca="false">IF(INDEX(BookTitle,847)="","",INDEX(BookLevel,847))</f>
        <v/>
      </c>
      <c r="G852" s="40" t="str">
        <f aca="false">IF(INDEX(BookTitle,847)="","",INDEX(BookCategory,847))</f>
        <v/>
      </c>
      <c r="H852" s="40" t="str">
        <f aca="false">IF(INDEX(BookTitle,847)="","",INDEX(BookRank,847))</f>
        <v/>
      </c>
      <c r="I852" s="41" t="str">
        <f aca="false">IF(INDEX(BookTitle,847)="","",INDEX(BookTotal,847))</f>
        <v/>
      </c>
      <c r="J852" s="0" t="str">
        <f aca="false">IF($I852="","",IF(INDEX(BookQ1,847)&gt;0,"Q1",IF(INDEX(BookQ2,847)&gt;0,"Q2",IF(INDEX(BookQ3,847)&gt;0,"Q3",IF(INDEX(BookQ4,847)&gt;0,"Q4","")))))</f>
        <v/>
      </c>
      <c r="K852" s="42" t="str">
        <f aca="false">IF(INDEX(BookTitle,847)="","",INDEX(BookInYear,847))</f>
        <v/>
      </c>
      <c r="L852" s="19"/>
      <c r="M852" s="39"/>
      <c r="N852" s="19"/>
      <c r="O852" s="19"/>
      <c r="P852" s="43" t="str">
        <f aca="false">IF($E852="","",IF($L852="Decline",0,IF($L852="Approve fewer",IF($M852="","",$M852),IF($L852="","",$I852))))</f>
        <v/>
      </c>
      <c r="Q852" s="34" t="str">
        <f aca="false">IF($P852="","",IF($N852&lt;&gt;"",$N852,$J852))</f>
        <v/>
      </c>
      <c r="R852" s="35" t="str">
        <f aca="false">IF(OR($P852="",$Q852=""),"",INDEX(BookRate,847)*$P852*(5-MATCH($Q852,{"Q1";"Q2";"Q3";"Q4"},0))/4+INDEX(BookOneOff,847)*$P852)</f>
        <v/>
      </c>
      <c r="S852" s="35" t="str">
        <f aca="false">IF($P852="","",INDEX(BookRate,847)*$P852)</f>
        <v/>
      </c>
      <c r="T852" s="35" t="str">
        <f aca="false">IF($R852="","",$R852-$K852)</f>
        <v/>
      </c>
      <c r="U852" s="35" t="str">
        <f aca="false">IF(N($P852)&lt;=0,"",COUNTIF($P$6:$P852,"&gt;0"))</f>
        <v/>
      </c>
    </row>
    <row r="853" customFormat="false" ht="15" hidden="false" customHeight="false" outlineLevel="0" collapsed="false">
      <c r="A853" s="40" t="str">
        <f aca="false">IF(INDEX(BookTitle,848)="","",INDEX(BookGroup,848))</f>
        <v/>
      </c>
      <c r="B853" s="40" t="str">
        <f aca="false">IF(INDEX(BookTitle,848)="","",INDEX(BookRef,848))</f>
        <v/>
      </c>
      <c r="C853" s="40" t="str">
        <f aca="false">IF(INDEX(BookTitle,848)="","",INDEX(BookDivision,848))</f>
        <v/>
      </c>
      <c r="D853" s="40" t="str">
        <f aca="false">IF(INDEX(BookTitle,848)="","",INDEX(BookUnit,848))</f>
        <v/>
      </c>
      <c r="E853" s="40" t="str">
        <f aca="false">IF(INDEX(BookTitle,848)="","",INDEX(BookTitle,848))</f>
        <v/>
      </c>
      <c r="F853" s="40" t="str">
        <f aca="false">IF(INDEX(BookTitle,848)="","",INDEX(BookLevel,848))</f>
        <v/>
      </c>
      <c r="G853" s="40" t="str">
        <f aca="false">IF(INDEX(BookTitle,848)="","",INDEX(BookCategory,848))</f>
        <v/>
      </c>
      <c r="H853" s="40" t="str">
        <f aca="false">IF(INDEX(BookTitle,848)="","",INDEX(BookRank,848))</f>
        <v/>
      </c>
      <c r="I853" s="41" t="str">
        <f aca="false">IF(INDEX(BookTitle,848)="","",INDEX(BookTotal,848))</f>
        <v/>
      </c>
      <c r="J853" s="0" t="str">
        <f aca="false">IF($I853="","",IF(INDEX(BookQ1,848)&gt;0,"Q1",IF(INDEX(BookQ2,848)&gt;0,"Q2",IF(INDEX(BookQ3,848)&gt;0,"Q3",IF(INDEX(BookQ4,848)&gt;0,"Q4","")))))</f>
        <v/>
      </c>
      <c r="K853" s="42" t="str">
        <f aca="false">IF(INDEX(BookTitle,848)="","",INDEX(BookInYear,848))</f>
        <v/>
      </c>
      <c r="L853" s="19"/>
      <c r="M853" s="39"/>
      <c r="N853" s="19"/>
      <c r="O853" s="19"/>
      <c r="P853" s="43" t="str">
        <f aca="false">IF($E853="","",IF($L853="Decline",0,IF($L853="Approve fewer",IF($M853="","",$M853),IF($L853="","",$I853))))</f>
        <v/>
      </c>
      <c r="Q853" s="34" t="str">
        <f aca="false">IF($P853="","",IF($N853&lt;&gt;"",$N853,$J853))</f>
        <v/>
      </c>
      <c r="R853" s="35" t="str">
        <f aca="false">IF(OR($P853="",$Q853=""),"",INDEX(BookRate,848)*$P853*(5-MATCH($Q853,{"Q1";"Q2";"Q3";"Q4"},0))/4+INDEX(BookOneOff,848)*$P853)</f>
        <v/>
      </c>
      <c r="S853" s="35" t="str">
        <f aca="false">IF($P853="","",INDEX(BookRate,848)*$P853)</f>
        <v/>
      </c>
      <c r="T853" s="35" t="str">
        <f aca="false">IF($R853="","",$R853-$K853)</f>
        <v/>
      </c>
      <c r="U853" s="35" t="str">
        <f aca="false">IF(N($P853)&lt;=0,"",COUNTIF($P$6:$P853,"&gt;0"))</f>
        <v/>
      </c>
    </row>
    <row r="854" customFormat="false" ht="15" hidden="false" customHeight="false" outlineLevel="0" collapsed="false">
      <c r="A854" s="40" t="str">
        <f aca="false">IF(INDEX(BookTitle,849)="","",INDEX(BookGroup,849))</f>
        <v/>
      </c>
      <c r="B854" s="40" t="str">
        <f aca="false">IF(INDEX(BookTitle,849)="","",INDEX(BookRef,849))</f>
        <v/>
      </c>
      <c r="C854" s="40" t="str">
        <f aca="false">IF(INDEX(BookTitle,849)="","",INDEX(BookDivision,849))</f>
        <v/>
      </c>
      <c r="D854" s="40" t="str">
        <f aca="false">IF(INDEX(BookTitle,849)="","",INDEX(BookUnit,849))</f>
        <v/>
      </c>
      <c r="E854" s="40" t="str">
        <f aca="false">IF(INDEX(BookTitle,849)="","",INDEX(BookTitle,849))</f>
        <v/>
      </c>
      <c r="F854" s="40" t="str">
        <f aca="false">IF(INDEX(BookTitle,849)="","",INDEX(BookLevel,849))</f>
        <v/>
      </c>
      <c r="G854" s="40" t="str">
        <f aca="false">IF(INDEX(BookTitle,849)="","",INDEX(BookCategory,849))</f>
        <v/>
      </c>
      <c r="H854" s="40" t="str">
        <f aca="false">IF(INDEX(BookTitle,849)="","",INDEX(BookRank,849))</f>
        <v/>
      </c>
      <c r="I854" s="41" t="str">
        <f aca="false">IF(INDEX(BookTitle,849)="","",INDEX(BookTotal,849))</f>
        <v/>
      </c>
      <c r="J854" s="0" t="str">
        <f aca="false">IF($I854="","",IF(INDEX(BookQ1,849)&gt;0,"Q1",IF(INDEX(BookQ2,849)&gt;0,"Q2",IF(INDEX(BookQ3,849)&gt;0,"Q3",IF(INDEX(BookQ4,849)&gt;0,"Q4","")))))</f>
        <v/>
      </c>
      <c r="K854" s="42" t="str">
        <f aca="false">IF(INDEX(BookTitle,849)="","",INDEX(BookInYear,849))</f>
        <v/>
      </c>
      <c r="L854" s="19"/>
      <c r="M854" s="39"/>
      <c r="N854" s="19"/>
      <c r="O854" s="19"/>
      <c r="P854" s="43" t="str">
        <f aca="false">IF($E854="","",IF($L854="Decline",0,IF($L854="Approve fewer",IF($M854="","",$M854),IF($L854="","",$I854))))</f>
        <v/>
      </c>
      <c r="Q854" s="34" t="str">
        <f aca="false">IF($P854="","",IF($N854&lt;&gt;"",$N854,$J854))</f>
        <v/>
      </c>
      <c r="R854" s="35" t="str">
        <f aca="false">IF(OR($P854="",$Q854=""),"",INDEX(BookRate,849)*$P854*(5-MATCH($Q854,{"Q1";"Q2";"Q3";"Q4"},0))/4+INDEX(BookOneOff,849)*$P854)</f>
        <v/>
      </c>
      <c r="S854" s="35" t="str">
        <f aca="false">IF($P854="","",INDEX(BookRate,849)*$P854)</f>
        <v/>
      </c>
      <c r="T854" s="35" t="str">
        <f aca="false">IF($R854="","",$R854-$K854)</f>
        <v/>
      </c>
      <c r="U854" s="35" t="str">
        <f aca="false">IF(N($P854)&lt;=0,"",COUNTIF($P$6:$P854,"&gt;0"))</f>
        <v/>
      </c>
    </row>
    <row r="855" customFormat="false" ht="15" hidden="false" customHeight="false" outlineLevel="0" collapsed="false">
      <c r="A855" s="40" t="str">
        <f aca="false">IF(INDEX(BookTitle,850)="","",INDEX(BookGroup,850))</f>
        <v/>
      </c>
      <c r="B855" s="40" t="str">
        <f aca="false">IF(INDEX(BookTitle,850)="","",INDEX(BookRef,850))</f>
        <v/>
      </c>
      <c r="C855" s="40" t="str">
        <f aca="false">IF(INDEX(BookTitle,850)="","",INDEX(BookDivision,850))</f>
        <v/>
      </c>
      <c r="D855" s="40" t="str">
        <f aca="false">IF(INDEX(BookTitle,850)="","",INDEX(BookUnit,850))</f>
        <v/>
      </c>
      <c r="E855" s="40" t="str">
        <f aca="false">IF(INDEX(BookTitle,850)="","",INDEX(BookTitle,850))</f>
        <v/>
      </c>
      <c r="F855" s="40" t="str">
        <f aca="false">IF(INDEX(BookTitle,850)="","",INDEX(BookLevel,850))</f>
        <v/>
      </c>
      <c r="G855" s="40" t="str">
        <f aca="false">IF(INDEX(BookTitle,850)="","",INDEX(BookCategory,850))</f>
        <v/>
      </c>
      <c r="H855" s="40" t="str">
        <f aca="false">IF(INDEX(BookTitle,850)="","",INDEX(BookRank,850))</f>
        <v/>
      </c>
      <c r="I855" s="41" t="str">
        <f aca="false">IF(INDEX(BookTitle,850)="","",INDEX(BookTotal,850))</f>
        <v/>
      </c>
      <c r="J855" s="0" t="str">
        <f aca="false">IF($I855="","",IF(INDEX(BookQ1,850)&gt;0,"Q1",IF(INDEX(BookQ2,850)&gt;0,"Q2",IF(INDEX(BookQ3,850)&gt;0,"Q3",IF(INDEX(BookQ4,850)&gt;0,"Q4","")))))</f>
        <v/>
      </c>
      <c r="K855" s="42" t="str">
        <f aca="false">IF(INDEX(BookTitle,850)="","",INDEX(BookInYear,850))</f>
        <v/>
      </c>
      <c r="L855" s="19"/>
      <c r="M855" s="39"/>
      <c r="N855" s="19"/>
      <c r="O855" s="19"/>
      <c r="P855" s="43" t="str">
        <f aca="false">IF($E855="","",IF($L855="Decline",0,IF($L855="Approve fewer",IF($M855="","",$M855),IF($L855="","",$I855))))</f>
        <v/>
      </c>
      <c r="Q855" s="34" t="str">
        <f aca="false">IF($P855="","",IF($N855&lt;&gt;"",$N855,$J855))</f>
        <v/>
      </c>
      <c r="R855" s="35" t="str">
        <f aca="false">IF(OR($P855="",$Q855=""),"",INDEX(BookRate,850)*$P855*(5-MATCH($Q855,{"Q1";"Q2";"Q3";"Q4"},0))/4+INDEX(BookOneOff,850)*$P855)</f>
        <v/>
      </c>
      <c r="S855" s="35" t="str">
        <f aca="false">IF($P855="","",INDEX(BookRate,850)*$P855)</f>
        <v/>
      </c>
      <c r="T855" s="35" t="str">
        <f aca="false">IF($R855="","",$R855-$K855)</f>
        <v/>
      </c>
      <c r="U855" s="35" t="str">
        <f aca="false">IF(N($P855)&lt;=0,"",COUNTIF($P$6:$P855,"&gt;0"))</f>
        <v/>
      </c>
    </row>
    <row r="856" customFormat="false" ht="15" hidden="false" customHeight="false" outlineLevel="0" collapsed="false">
      <c r="A856" s="40" t="str">
        <f aca="false">IF(INDEX(BookTitle,851)="","",INDEX(BookGroup,851))</f>
        <v/>
      </c>
      <c r="B856" s="40" t="str">
        <f aca="false">IF(INDEX(BookTitle,851)="","",INDEX(BookRef,851))</f>
        <v/>
      </c>
      <c r="C856" s="40" t="str">
        <f aca="false">IF(INDEX(BookTitle,851)="","",INDEX(BookDivision,851))</f>
        <v/>
      </c>
      <c r="D856" s="40" t="str">
        <f aca="false">IF(INDEX(BookTitle,851)="","",INDEX(BookUnit,851))</f>
        <v/>
      </c>
      <c r="E856" s="40" t="str">
        <f aca="false">IF(INDEX(BookTitle,851)="","",INDEX(BookTitle,851))</f>
        <v/>
      </c>
      <c r="F856" s="40" t="str">
        <f aca="false">IF(INDEX(BookTitle,851)="","",INDEX(BookLevel,851))</f>
        <v/>
      </c>
      <c r="G856" s="40" t="str">
        <f aca="false">IF(INDEX(BookTitle,851)="","",INDEX(BookCategory,851))</f>
        <v/>
      </c>
      <c r="H856" s="40" t="str">
        <f aca="false">IF(INDEX(BookTitle,851)="","",INDEX(BookRank,851))</f>
        <v/>
      </c>
      <c r="I856" s="41" t="str">
        <f aca="false">IF(INDEX(BookTitle,851)="","",INDEX(BookTotal,851))</f>
        <v/>
      </c>
      <c r="J856" s="0" t="str">
        <f aca="false">IF($I856="","",IF(INDEX(BookQ1,851)&gt;0,"Q1",IF(INDEX(BookQ2,851)&gt;0,"Q2",IF(INDEX(BookQ3,851)&gt;0,"Q3",IF(INDEX(BookQ4,851)&gt;0,"Q4","")))))</f>
        <v/>
      </c>
      <c r="K856" s="42" t="str">
        <f aca="false">IF(INDEX(BookTitle,851)="","",INDEX(BookInYear,851))</f>
        <v/>
      </c>
      <c r="L856" s="19"/>
      <c r="M856" s="39"/>
      <c r="N856" s="19"/>
      <c r="O856" s="19"/>
      <c r="P856" s="43" t="str">
        <f aca="false">IF($E856="","",IF($L856="Decline",0,IF($L856="Approve fewer",IF($M856="","",$M856),IF($L856="","",$I856))))</f>
        <v/>
      </c>
      <c r="Q856" s="34" t="str">
        <f aca="false">IF($P856="","",IF($N856&lt;&gt;"",$N856,$J856))</f>
        <v/>
      </c>
      <c r="R856" s="35" t="str">
        <f aca="false">IF(OR($P856="",$Q856=""),"",INDEX(BookRate,851)*$P856*(5-MATCH($Q856,{"Q1";"Q2";"Q3";"Q4"},0))/4+INDEX(BookOneOff,851)*$P856)</f>
        <v/>
      </c>
      <c r="S856" s="35" t="str">
        <f aca="false">IF($P856="","",INDEX(BookRate,851)*$P856)</f>
        <v/>
      </c>
      <c r="T856" s="35" t="str">
        <f aca="false">IF($R856="","",$R856-$K856)</f>
        <v/>
      </c>
      <c r="U856" s="35" t="str">
        <f aca="false">IF(N($P856)&lt;=0,"",COUNTIF($P$6:$P856,"&gt;0"))</f>
        <v/>
      </c>
    </row>
    <row r="857" customFormat="false" ht="15" hidden="false" customHeight="false" outlineLevel="0" collapsed="false">
      <c r="A857" s="40" t="str">
        <f aca="false">IF(INDEX(BookTitle,852)="","",INDEX(BookGroup,852))</f>
        <v/>
      </c>
      <c r="B857" s="40" t="str">
        <f aca="false">IF(INDEX(BookTitle,852)="","",INDEX(BookRef,852))</f>
        <v/>
      </c>
      <c r="C857" s="40" t="str">
        <f aca="false">IF(INDEX(BookTitle,852)="","",INDEX(BookDivision,852))</f>
        <v/>
      </c>
      <c r="D857" s="40" t="str">
        <f aca="false">IF(INDEX(BookTitle,852)="","",INDEX(BookUnit,852))</f>
        <v/>
      </c>
      <c r="E857" s="40" t="str">
        <f aca="false">IF(INDEX(BookTitle,852)="","",INDEX(BookTitle,852))</f>
        <v/>
      </c>
      <c r="F857" s="40" t="str">
        <f aca="false">IF(INDEX(BookTitle,852)="","",INDEX(BookLevel,852))</f>
        <v/>
      </c>
      <c r="G857" s="40" t="str">
        <f aca="false">IF(INDEX(BookTitle,852)="","",INDEX(BookCategory,852))</f>
        <v/>
      </c>
      <c r="H857" s="40" t="str">
        <f aca="false">IF(INDEX(BookTitle,852)="","",INDEX(BookRank,852))</f>
        <v/>
      </c>
      <c r="I857" s="41" t="str">
        <f aca="false">IF(INDEX(BookTitle,852)="","",INDEX(BookTotal,852))</f>
        <v/>
      </c>
      <c r="J857" s="0" t="str">
        <f aca="false">IF($I857="","",IF(INDEX(BookQ1,852)&gt;0,"Q1",IF(INDEX(BookQ2,852)&gt;0,"Q2",IF(INDEX(BookQ3,852)&gt;0,"Q3",IF(INDEX(BookQ4,852)&gt;0,"Q4","")))))</f>
        <v/>
      </c>
      <c r="K857" s="42" t="str">
        <f aca="false">IF(INDEX(BookTitle,852)="","",INDEX(BookInYear,852))</f>
        <v/>
      </c>
      <c r="L857" s="19"/>
      <c r="M857" s="39"/>
      <c r="N857" s="19"/>
      <c r="O857" s="19"/>
      <c r="P857" s="43" t="str">
        <f aca="false">IF($E857="","",IF($L857="Decline",0,IF($L857="Approve fewer",IF($M857="","",$M857),IF($L857="","",$I857))))</f>
        <v/>
      </c>
      <c r="Q857" s="34" t="str">
        <f aca="false">IF($P857="","",IF($N857&lt;&gt;"",$N857,$J857))</f>
        <v/>
      </c>
      <c r="R857" s="35" t="str">
        <f aca="false">IF(OR($P857="",$Q857=""),"",INDEX(BookRate,852)*$P857*(5-MATCH($Q857,{"Q1";"Q2";"Q3";"Q4"},0))/4+INDEX(BookOneOff,852)*$P857)</f>
        <v/>
      </c>
      <c r="S857" s="35" t="str">
        <f aca="false">IF($P857="","",INDEX(BookRate,852)*$P857)</f>
        <v/>
      </c>
      <c r="T857" s="35" t="str">
        <f aca="false">IF($R857="","",$R857-$K857)</f>
        <v/>
      </c>
      <c r="U857" s="35" t="str">
        <f aca="false">IF(N($P857)&lt;=0,"",COUNTIF($P$6:$P857,"&gt;0"))</f>
        <v/>
      </c>
    </row>
    <row r="858" customFormat="false" ht="15" hidden="false" customHeight="false" outlineLevel="0" collapsed="false">
      <c r="A858" s="40" t="str">
        <f aca="false">IF(INDEX(BookTitle,853)="","",INDEX(BookGroup,853))</f>
        <v/>
      </c>
      <c r="B858" s="40" t="str">
        <f aca="false">IF(INDEX(BookTitle,853)="","",INDEX(BookRef,853))</f>
        <v/>
      </c>
      <c r="C858" s="40" t="str">
        <f aca="false">IF(INDEX(BookTitle,853)="","",INDEX(BookDivision,853))</f>
        <v/>
      </c>
      <c r="D858" s="40" t="str">
        <f aca="false">IF(INDEX(BookTitle,853)="","",INDEX(BookUnit,853))</f>
        <v/>
      </c>
      <c r="E858" s="40" t="str">
        <f aca="false">IF(INDEX(BookTitle,853)="","",INDEX(BookTitle,853))</f>
        <v/>
      </c>
      <c r="F858" s="40" t="str">
        <f aca="false">IF(INDEX(BookTitle,853)="","",INDEX(BookLevel,853))</f>
        <v/>
      </c>
      <c r="G858" s="40" t="str">
        <f aca="false">IF(INDEX(BookTitle,853)="","",INDEX(BookCategory,853))</f>
        <v/>
      </c>
      <c r="H858" s="40" t="str">
        <f aca="false">IF(INDEX(BookTitle,853)="","",INDEX(BookRank,853))</f>
        <v/>
      </c>
      <c r="I858" s="41" t="str">
        <f aca="false">IF(INDEX(BookTitle,853)="","",INDEX(BookTotal,853))</f>
        <v/>
      </c>
      <c r="J858" s="0" t="str">
        <f aca="false">IF($I858="","",IF(INDEX(BookQ1,853)&gt;0,"Q1",IF(INDEX(BookQ2,853)&gt;0,"Q2",IF(INDEX(BookQ3,853)&gt;0,"Q3",IF(INDEX(BookQ4,853)&gt;0,"Q4","")))))</f>
        <v/>
      </c>
      <c r="K858" s="42" t="str">
        <f aca="false">IF(INDEX(BookTitle,853)="","",INDEX(BookInYear,853))</f>
        <v/>
      </c>
      <c r="L858" s="19"/>
      <c r="M858" s="39"/>
      <c r="N858" s="19"/>
      <c r="O858" s="19"/>
      <c r="P858" s="43" t="str">
        <f aca="false">IF($E858="","",IF($L858="Decline",0,IF($L858="Approve fewer",IF($M858="","",$M858),IF($L858="","",$I858))))</f>
        <v/>
      </c>
      <c r="Q858" s="34" t="str">
        <f aca="false">IF($P858="","",IF($N858&lt;&gt;"",$N858,$J858))</f>
        <v/>
      </c>
      <c r="R858" s="35" t="str">
        <f aca="false">IF(OR($P858="",$Q858=""),"",INDEX(BookRate,853)*$P858*(5-MATCH($Q858,{"Q1";"Q2";"Q3";"Q4"},0))/4+INDEX(BookOneOff,853)*$P858)</f>
        <v/>
      </c>
      <c r="S858" s="35" t="str">
        <f aca="false">IF($P858="","",INDEX(BookRate,853)*$P858)</f>
        <v/>
      </c>
      <c r="T858" s="35" t="str">
        <f aca="false">IF($R858="","",$R858-$K858)</f>
        <v/>
      </c>
      <c r="U858" s="35" t="str">
        <f aca="false">IF(N($P858)&lt;=0,"",COUNTIF($P$6:$P858,"&gt;0"))</f>
        <v/>
      </c>
    </row>
    <row r="859" customFormat="false" ht="15" hidden="false" customHeight="false" outlineLevel="0" collapsed="false">
      <c r="A859" s="40" t="str">
        <f aca="false">IF(INDEX(BookTitle,854)="","",INDEX(BookGroup,854))</f>
        <v/>
      </c>
      <c r="B859" s="40" t="str">
        <f aca="false">IF(INDEX(BookTitle,854)="","",INDEX(BookRef,854))</f>
        <v/>
      </c>
      <c r="C859" s="40" t="str">
        <f aca="false">IF(INDEX(BookTitle,854)="","",INDEX(BookDivision,854))</f>
        <v/>
      </c>
      <c r="D859" s="40" t="str">
        <f aca="false">IF(INDEX(BookTitle,854)="","",INDEX(BookUnit,854))</f>
        <v/>
      </c>
      <c r="E859" s="40" t="str">
        <f aca="false">IF(INDEX(BookTitle,854)="","",INDEX(BookTitle,854))</f>
        <v/>
      </c>
      <c r="F859" s="40" t="str">
        <f aca="false">IF(INDEX(BookTitle,854)="","",INDEX(BookLevel,854))</f>
        <v/>
      </c>
      <c r="G859" s="40" t="str">
        <f aca="false">IF(INDEX(BookTitle,854)="","",INDEX(BookCategory,854))</f>
        <v/>
      </c>
      <c r="H859" s="40" t="str">
        <f aca="false">IF(INDEX(BookTitle,854)="","",INDEX(BookRank,854))</f>
        <v/>
      </c>
      <c r="I859" s="41" t="str">
        <f aca="false">IF(INDEX(BookTitle,854)="","",INDEX(BookTotal,854))</f>
        <v/>
      </c>
      <c r="J859" s="0" t="str">
        <f aca="false">IF($I859="","",IF(INDEX(BookQ1,854)&gt;0,"Q1",IF(INDEX(BookQ2,854)&gt;0,"Q2",IF(INDEX(BookQ3,854)&gt;0,"Q3",IF(INDEX(BookQ4,854)&gt;0,"Q4","")))))</f>
        <v/>
      </c>
      <c r="K859" s="42" t="str">
        <f aca="false">IF(INDEX(BookTitle,854)="","",INDEX(BookInYear,854))</f>
        <v/>
      </c>
      <c r="L859" s="19"/>
      <c r="M859" s="39"/>
      <c r="N859" s="19"/>
      <c r="O859" s="19"/>
      <c r="P859" s="43" t="str">
        <f aca="false">IF($E859="","",IF($L859="Decline",0,IF($L859="Approve fewer",IF($M859="","",$M859),IF($L859="","",$I859))))</f>
        <v/>
      </c>
      <c r="Q859" s="34" t="str">
        <f aca="false">IF($P859="","",IF($N859&lt;&gt;"",$N859,$J859))</f>
        <v/>
      </c>
      <c r="R859" s="35" t="str">
        <f aca="false">IF(OR($P859="",$Q859=""),"",INDEX(BookRate,854)*$P859*(5-MATCH($Q859,{"Q1";"Q2";"Q3";"Q4"},0))/4+INDEX(BookOneOff,854)*$P859)</f>
        <v/>
      </c>
      <c r="S859" s="35" t="str">
        <f aca="false">IF($P859="","",INDEX(BookRate,854)*$P859)</f>
        <v/>
      </c>
      <c r="T859" s="35" t="str">
        <f aca="false">IF($R859="","",$R859-$K859)</f>
        <v/>
      </c>
      <c r="U859" s="35" t="str">
        <f aca="false">IF(N($P859)&lt;=0,"",COUNTIF($P$6:$P859,"&gt;0"))</f>
        <v/>
      </c>
    </row>
    <row r="860" customFormat="false" ht="15" hidden="false" customHeight="false" outlineLevel="0" collapsed="false">
      <c r="A860" s="40" t="str">
        <f aca="false">IF(INDEX(BookTitle,855)="","",INDEX(BookGroup,855))</f>
        <v/>
      </c>
      <c r="B860" s="40" t="str">
        <f aca="false">IF(INDEX(BookTitle,855)="","",INDEX(BookRef,855))</f>
        <v/>
      </c>
      <c r="C860" s="40" t="str">
        <f aca="false">IF(INDEX(BookTitle,855)="","",INDEX(BookDivision,855))</f>
        <v/>
      </c>
      <c r="D860" s="40" t="str">
        <f aca="false">IF(INDEX(BookTitle,855)="","",INDEX(BookUnit,855))</f>
        <v/>
      </c>
      <c r="E860" s="40" t="str">
        <f aca="false">IF(INDEX(BookTitle,855)="","",INDEX(BookTitle,855))</f>
        <v/>
      </c>
      <c r="F860" s="40" t="str">
        <f aca="false">IF(INDEX(BookTitle,855)="","",INDEX(BookLevel,855))</f>
        <v/>
      </c>
      <c r="G860" s="40" t="str">
        <f aca="false">IF(INDEX(BookTitle,855)="","",INDEX(BookCategory,855))</f>
        <v/>
      </c>
      <c r="H860" s="40" t="str">
        <f aca="false">IF(INDEX(BookTitle,855)="","",INDEX(BookRank,855))</f>
        <v/>
      </c>
      <c r="I860" s="41" t="str">
        <f aca="false">IF(INDEX(BookTitle,855)="","",INDEX(BookTotal,855))</f>
        <v/>
      </c>
      <c r="J860" s="0" t="str">
        <f aca="false">IF($I860="","",IF(INDEX(BookQ1,855)&gt;0,"Q1",IF(INDEX(BookQ2,855)&gt;0,"Q2",IF(INDEX(BookQ3,855)&gt;0,"Q3",IF(INDEX(BookQ4,855)&gt;0,"Q4","")))))</f>
        <v/>
      </c>
      <c r="K860" s="42" t="str">
        <f aca="false">IF(INDEX(BookTitle,855)="","",INDEX(BookInYear,855))</f>
        <v/>
      </c>
      <c r="L860" s="19"/>
      <c r="M860" s="39"/>
      <c r="N860" s="19"/>
      <c r="O860" s="19"/>
      <c r="P860" s="43" t="str">
        <f aca="false">IF($E860="","",IF($L860="Decline",0,IF($L860="Approve fewer",IF($M860="","",$M860),IF($L860="","",$I860))))</f>
        <v/>
      </c>
      <c r="Q860" s="34" t="str">
        <f aca="false">IF($P860="","",IF($N860&lt;&gt;"",$N860,$J860))</f>
        <v/>
      </c>
      <c r="R860" s="35" t="str">
        <f aca="false">IF(OR($P860="",$Q860=""),"",INDEX(BookRate,855)*$P860*(5-MATCH($Q860,{"Q1";"Q2";"Q3";"Q4"},0))/4+INDEX(BookOneOff,855)*$P860)</f>
        <v/>
      </c>
      <c r="S860" s="35" t="str">
        <f aca="false">IF($P860="","",INDEX(BookRate,855)*$P860)</f>
        <v/>
      </c>
      <c r="T860" s="35" t="str">
        <f aca="false">IF($R860="","",$R860-$K860)</f>
        <v/>
      </c>
      <c r="U860" s="35" t="str">
        <f aca="false">IF(N($P860)&lt;=0,"",COUNTIF($P$6:$P860,"&gt;0"))</f>
        <v/>
      </c>
    </row>
    <row r="861" customFormat="false" ht="15" hidden="false" customHeight="false" outlineLevel="0" collapsed="false">
      <c r="A861" s="40" t="str">
        <f aca="false">IF(INDEX(BookTitle,856)="","",INDEX(BookGroup,856))</f>
        <v/>
      </c>
      <c r="B861" s="40" t="str">
        <f aca="false">IF(INDEX(BookTitle,856)="","",INDEX(BookRef,856))</f>
        <v/>
      </c>
      <c r="C861" s="40" t="str">
        <f aca="false">IF(INDEX(BookTitle,856)="","",INDEX(BookDivision,856))</f>
        <v/>
      </c>
      <c r="D861" s="40" t="str">
        <f aca="false">IF(INDEX(BookTitle,856)="","",INDEX(BookUnit,856))</f>
        <v/>
      </c>
      <c r="E861" s="40" t="str">
        <f aca="false">IF(INDEX(BookTitle,856)="","",INDEX(BookTitle,856))</f>
        <v/>
      </c>
      <c r="F861" s="40" t="str">
        <f aca="false">IF(INDEX(BookTitle,856)="","",INDEX(BookLevel,856))</f>
        <v/>
      </c>
      <c r="G861" s="40" t="str">
        <f aca="false">IF(INDEX(BookTitle,856)="","",INDEX(BookCategory,856))</f>
        <v/>
      </c>
      <c r="H861" s="40" t="str">
        <f aca="false">IF(INDEX(BookTitle,856)="","",INDEX(BookRank,856))</f>
        <v/>
      </c>
      <c r="I861" s="41" t="str">
        <f aca="false">IF(INDEX(BookTitle,856)="","",INDEX(BookTotal,856))</f>
        <v/>
      </c>
      <c r="J861" s="0" t="str">
        <f aca="false">IF($I861="","",IF(INDEX(BookQ1,856)&gt;0,"Q1",IF(INDEX(BookQ2,856)&gt;0,"Q2",IF(INDEX(BookQ3,856)&gt;0,"Q3",IF(INDEX(BookQ4,856)&gt;0,"Q4","")))))</f>
        <v/>
      </c>
      <c r="K861" s="42" t="str">
        <f aca="false">IF(INDEX(BookTitle,856)="","",INDEX(BookInYear,856))</f>
        <v/>
      </c>
      <c r="L861" s="19"/>
      <c r="M861" s="39"/>
      <c r="N861" s="19"/>
      <c r="O861" s="19"/>
      <c r="P861" s="43" t="str">
        <f aca="false">IF($E861="","",IF($L861="Decline",0,IF($L861="Approve fewer",IF($M861="","",$M861),IF($L861="","",$I861))))</f>
        <v/>
      </c>
      <c r="Q861" s="34" t="str">
        <f aca="false">IF($P861="","",IF($N861&lt;&gt;"",$N861,$J861))</f>
        <v/>
      </c>
      <c r="R861" s="35" t="str">
        <f aca="false">IF(OR($P861="",$Q861=""),"",INDEX(BookRate,856)*$P861*(5-MATCH($Q861,{"Q1";"Q2";"Q3";"Q4"},0))/4+INDEX(BookOneOff,856)*$P861)</f>
        <v/>
      </c>
      <c r="S861" s="35" t="str">
        <f aca="false">IF($P861="","",INDEX(BookRate,856)*$P861)</f>
        <v/>
      </c>
      <c r="T861" s="35" t="str">
        <f aca="false">IF($R861="","",$R861-$K861)</f>
        <v/>
      </c>
      <c r="U861" s="35" t="str">
        <f aca="false">IF(N($P861)&lt;=0,"",COUNTIF($P$6:$P861,"&gt;0"))</f>
        <v/>
      </c>
    </row>
    <row r="862" customFormat="false" ht="15" hidden="false" customHeight="false" outlineLevel="0" collapsed="false">
      <c r="A862" s="40" t="str">
        <f aca="false">IF(INDEX(BookTitle,857)="","",INDEX(BookGroup,857))</f>
        <v/>
      </c>
      <c r="B862" s="40" t="str">
        <f aca="false">IF(INDEX(BookTitle,857)="","",INDEX(BookRef,857))</f>
        <v/>
      </c>
      <c r="C862" s="40" t="str">
        <f aca="false">IF(INDEX(BookTitle,857)="","",INDEX(BookDivision,857))</f>
        <v/>
      </c>
      <c r="D862" s="40" t="str">
        <f aca="false">IF(INDEX(BookTitle,857)="","",INDEX(BookUnit,857))</f>
        <v/>
      </c>
      <c r="E862" s="40" t="str">
        <f aca="false">IF(INDEX(BookTitle,857)="","",INDEX(BookTitle,857))</f>
        <v/>
      </c>
      <c r="F862" s="40" t="str">
        <f aca="false">IF(INDEX(BookTitle,857)="","",INDEX(BookLevel,857))</f>
        <v/>
      </c>
      <c r="G862" s="40" t="str">
        <f aca="false">IF(INDEX(BookTitle,857)="","",INDEX(BookCategory,857))</f>
        <v/>
      </c>
      <c r="H862" s="40" t="str">
        <f aca="false">IF(INDEX(BookTitle,857)="","",INDEX(BookRank,857))</f>
        <v/>
      </c>
      <c r="I862" s="41" t="str">
        <f aca="false">IF(INDEX(BookTitle,857)="","",INDEX(BookTotal,857))</f>
        <v/>
      </c>
      <c r="J862" s="0" t="str">
        <f aca="false">IF($I862="","",IF(INDEX(BookQ1,857)&gt;0,"Q1",IF(INDEX(BookQ2,857)&gt;0,"Q2",IF(INDEX(BookQ3,857)&gt;0,"Q3",IF(INDEX(BookQ4,857)&gt;0,"Q4","")))))</f>
        <v/>
      </c>
      <c r="K862" s="42" t="str">
        <f aca="false">IF(INDEX(BookTitle,857)="","",INDEX(BookInYear,857))</f>
        <v/>
      </c>
      <c r="L862" s="19"/>
      <c r="M862" s="39"/>
      <c r="N862" s="19"/>
      <c r="O862" s="19"/>
      <c r="P862" s="43" t="str">
        <f aca="false">IF($E862="","",IF($L862="Decline",0,IF($L862="Approve fewer",IF($M862="","",$M862),IF($L862="","",$I862))))</f>
        <v/>
      </c>
      <c r="Q862" s="34" t="str">
        <f aca="false">IF($P862="","",IF($N862&lt;&gt;"",$N862,$J862))</f>
        <v/>
      </c>
      <c r="R862" s="35" t="str">
        <f aca="false">IF(OR($P862="",$Q862=""),"",INDEX(BookRate,857)*$P862*(5-MATCH($Q862,{"Q1";"Q2";"Q3";"Q4"},0))/4+INDEX(BookOneOff,857)*$P862)</f>
        <v/>
      </c>
      <c r="S862" s="35" t="str">
        <f aca="false">IF($P862="","",INDEX(BookRate,857)*$P862)</f>
        <v/>
      </c>
      <c r="T862" s="35" t="str">
        <f aca="false">IF($R862="","",$R862-$K862)</f>
        <v/>
      </c>
      <c r="U862" s="35" t="str">
        <f aca="false">IF(N($P862)&lt;=0,"",COUNTIF($P$6:$P862,"&gt;0"))</f>
        <v/>
      </c>
    </row>
    <row r="863" customFormat="false" ht="15" hidden="false" customHeight="false" outlineLevel="0" collapsed="false">
      <c r="A863" s="40" t="str">
        <f aca="false">IF(INDEX(BookTitle,858)="","",INDEX(BookGroup,858))</f>
        <v/>
      </c>
      <c r="B863" s="40" t="str">
        <f aca="false">IF(INDEX(BookTitle,858)="","",INDEX(BookRef,858))</f>
        <v/>
      </c>
      <c r="C863" s="40" t="str">
        <f aca="false">IF(INDEX(BookTitle,858)="","",INDEX(BookDivision,858))</f>
        <v/>
      </c>
      <c r="D863" s="40" t="str">
        <f aca="false">IF(INDEX(BookTitle,858)="","",INDEX(BookUnit,858))</f>
        <v/>
      </c>
      <c r="E863" s="40" t="str">
        <f aca="false">IF(INDEX(BookTitle,858)="","",INDEX(BookTitle,858))</f>
        <v/>
      </c>
      <c r="F863" s="40" t="str">
        <f aca="false">IF(INDEX(BookTitle,858)="","",INDEX(BookLevel,858))</f>
        <v/>
      </c>
      <c r="G863" s="40" t="str">
        <f aca="false">IF(INDEX(BookTitle,858)="","",INDEX(BookCategory,858))</f>
        <v/>
      </c>
      <c r="H863" s="40" t="str">
        <f aca="false">IF(INDEX(BookTitle,858)="","",INDEX(BookRank,858))</f>
        <v/>
      </c>
      <c r="I863" s="41" t="str">
        <f aca="false">IF(INDEX(BookTitle,858)="","",INDEX(BookTotal,858))</f>
        <v/>
      </c>
      <c r="J863" s="0" t="str">
        <f aca="false">IF($I863="","",IF(INDEX(BookQ1,858)&gt;0,"Q1",IF(INDEX(BookQ2,858)&gt;0,"Q2",IF(INDEX(BookQ3,858)&gt;0,"Q3",IF(INDEX(BookQ4,858)&gt;0,"Q4","")))))</f>
        <v/>
      </c>
      <c r="K863" s="42" t="str">
        <f aca="false">IF(INDEX(BookTitle,858)="","",INDEX(BookInYear,858))</f>
        <v/>
      </c>
      <c r="L863" s="19"/>
      <c r="M863" s="39"/>
      <c r="N863" s="19"/>
      <c r="O863" s="19"/>
      <c r="P863" s="43" t="str">
        <f aca="false">IF($E863="","",IF($L863="Decline",0,IF($L863="Approve fewer",IF($M863="","",$M863),IF($L863="","",$I863))))</f>
        <v/>
      </c>
      <c r="Q863" s="34" t="str">
        <f aca="false">IF($P863="","",IF($N863&lt;&gt;"",$N863,$J863))</f>
        <v/>
      </c>
      <c r="R863" s="35" t="str">
        <f aca="false">IF(OR($P863="",$Q863=""),"",INDEX(BookRate,858)*$P863*(5-MATCH($Q863,{"Q1";"Q2";"Q3";"Q4"},0))/4+INDEX(BookOneOff,858)*$P863)</f>
        <v/>
      </c>
      <c r="S863" s="35" t="str">
        <f aca="false">IF($P863="","",INDEX(BookRate,858)*$P863)</f>
        <v/>
      </c>
      <c r="T863" s="35" t="str">
        <f aca="false">IF($R863="","",$R863-$K863)</f>
        <v/>
      </c>
      <c r="U863" s="35" t="str">
        <f aca="false">IF(N($P863)&lt;=0,"",COUNTIF($P$6:$P863,"&gt;0"))</f>
        <v/>
      </c>
    </row>
    <row r="864" customFormat="false" ht="15" hidden="false" customHeight="false" outlineLevel="0" collapsed="false">
      <c r="A864" s="40" t="str">
        <f aca="false">IF(INDEX(BookTitle,859)="","",INDEX(BookGroup,859))</f>
        <v/>
      </c>
      <c r="B864" s="40" t="str">
        <f aca="false">IF(INDEX(BookTitle,859)="","",INDEX(BookRef,859))</f>
        <v/>
      </c>
      <c r="C864" s="40" t="str">
        <f aca="false">IF(INDEX(BookTitle,859)="","",INDEX(BookDivision,859))</f>
        <v/>
      </c>
      <c r="D864" s="40" t="str">
        <f aca="false">IF(INDEX(BookTitle,859)="","",INDEX(BookUnit,859))</f>
        <v/>
      </c>
      <c r="E864" s="40" t="str">
        <f aca="false">IF(INDEX(BookTitle,859)="","",INDEX(BookTitle,859))</f>
        <v/>
      </c>
      <c r="F864" s="40" t="str">
        <f aca="false">IF(INDEX(BookTitle,859)="","",INDEX(BookLevel,859))</f>
        <v/>
      </c>
      <c r="G864" s="40" t="str">
        <f aca="false">IF(INDEX(BookTitle,859)="","",INDEX(BookCategory,859))</f>
        <v/>
      </c>
      <c r="H864" s="40" t="str">
        <f aca="false">IF(INDEX(BookTitle,859)="","",INDEX(BookRank,859))</f>
        <v/>
      </c>
      <c r="I864" s="41" t="str">
        <f aca="false">IF(INDEX(BookTitle,859)="","",INDEX(BookTotal,859))</f>
        <v/>
      </c>
      <c r="J864" s="0" t="str">
        <f aca="false">IF($I864="","",IF(INDEX(BookQ1,859)&gt;0,"Q1",IF(INDEX(BookQ2,859)&gt;0,"Q2",IF(INDEX(BookQ3,859)&gt;0,"Q3",IF(INDEX(BookQ4,859)&gt;0,"Q4","")))))</f>
        <v/>
      </c>
      <c r="K864" s="42" t="str">
        <f aca="false">IF(INDEX(BookTitle,859)="","",INDEX(BookInYear,859))</f>
        <v/>
      </c>
      <c r="L864" s="19"/>
      <c r="M864" s="39"/>
      <c r="N864" s="19"/>
      <c r="O864" s="19"/>
      <c r="P864" s="43" t="str">
        <f aca="false">IF($E864="","",IF($L864="Decline",0,IF($L864="Approve fewer",IF($M864="","",$M864),IF($L864="","",$I864))))</f>
        <v/>
      </c>
      <c r="Q864" s="34" t="str">
        <f aca="false">IF($P864="","",IF($N864&lt;&gt;"",$N864,$J864))</f>
        <v/>
      </c>
      <c r="R864" s="35" t="str">
        <f aca="false">IF(OR($P864="",$Q864=""),"",INDEX(BookRate,859)*$P864*(5-MATCH($Q864,{"Q1";"Q2";"Q3";"Q4"},0))/4+INDEX(BookOneOff,859)*$P864)</f>
        <v/>
      </c>
      <c r="S864" s="35" t="str">
        <f aca="false">IF($P864="","",INDEX(BookRate,859)*$P864)</f>
        <v/>
      </c>
      <c r="T864" s="35" t="str">
        <f aca="false">IF($R864="","",$R864-$K864)</f>
        <v/>
      </c>
      <c r="U864" s="35" t="str">
        <f aca="false">IF(N($P864)&lt;=0,"",COUNTIF($P$6:$P864,"&gt;0"))</f>
        <v/>
      </c>
    </row>
    <row r="865" customFormat="false" ht="15" hidden="false" customHeight="false" outlineLevel="0" collapsed="false">
      <c r="A865" s="40" t="str">
        <f aca="false">IF(INDEX(BookTitle,860)="","",INDEX(BookGroup,860))</f>
        <v/>
      </c>
      <c r="B865" s="40" t="str">
        <f aca="false">IF(INDEX(BookTitle,860)="","",INDEX(BookRef,860))</f>
        <v/>
      </c>
      <c r="C865" s="40" t="str">
        <f aca="false">IF(INDEX(BookTitle,860)="","",INDEX(BookDivision,860))</f>
        <v/>
      </c>
      <c r="D865" s="40" t="str">
        <f aca="false">IF(INDEX(BookTitle,860)="","",INDEX(BookUnit,860))</f>
        <v/>
      </c>
      <c r="E865" s="40" t="str">
        <f aca="false">IF(INDEX(BookTitle,860)="","",INDEX(BookTitle,860))</f>
        <v/>
      </c>
      <c r="F865" s="40" t="str">
        <f aca="false">IF(INDEX(BookTitle,860)="","",INDEX(BookLevel,860))</f>
        <v/>
      </c>
      <c r="G865" s="40" t="str">
        <f aca="false">IF(INDEX(BookTitle,860)="","",INDEX(BookCategory,860))</f>
        <v/>
      </c>
      <c r="H865" s="40" t="str">
        <f aca="false">IF(INDEX(BookTitle,860)="","",INDEX(BookRank,860))</f>
        <v/>
      </c>
      <c r="I865" s="41" t="str">
        <f aca="false">IF(INDEX(BookTitle,860)="","",INDEX(BookTotal,860))</f>
        <v/>
      </c>
      <c r="J865" s="0" t="str">
        <f aca="false">IF($I865="","",IF(INDEX(BookQ1,860)&gt;0,"Q1",IF(INDEX(BookQ2,860)&gt;0,"Q2",IF(INDEX(BookQ3,860)&gt;0,"Q3",IF(INDEX(BookQ4,860)&gt;0,"Q4","")))))</f>
        <v/>
      </c>
      <c r="K865" s="42" t="str">
        <f aca="false">IF(INDEX(BookTitle,860)="","",INDEX(BookInYear,860))</f>
        <v/>
      </c>
      <c r="L865" s="19"/>
      <c r="M865" s="39"/>
      <c r="N865" s="19"/>
      <c r="O865" s="19"/>
      <c r="P865" s="43" t="str">
        <f aca="false">IF($E865="","",IF($L865="Decline",0,IF($L865="Approve fewer",IF($M865="","",$M865),IF($L865="","",$I865))))</f>
        <v/>
      </c>
      <c r="Q865" s="34" t="str">
        <f aca="false">IF($P865="","",IF($N865&lt;&gt;"",$N865,$J865))</f>
        <v/>
      </c>
      <c r="R865" s="35" t="str">
        <f aca="false">IF(OR($P865="",$Q865=""),"",INDEX(BookRate,860)*$P865*(5-MATCH($Q865,{"Q1";"Q2";"Q3";"Q4"},0))/4+INDEX(BookOneOff,860)*$P865)</f>
        <v/>
      </c>
      <c r="S865" s="35" t="str">
        <f aca="false">IF($P865="","",INDEX(BookRate,860)*$P865)</f>
        <v/>
      </c>
      <c r="T865" s="35" t="str">
        <f aca="false">IF($R865="","",$R865-$K865)</f>
        <v/>
      </c>
      <c r="U865" s="35" t="str">
        <f aca="false">IF(N($P865)&lt;=0,"",COUNTIF($P$6:$P865,"&gt;0"))</f>
        <v/>
      </c>
    </row>
    <row r="866" customFormat="false" ht="15" hidden="false" customHeight="false" outlineLevel="0" collapsed="false">
      <c r="A866" s="40" t="str">
        <f aca="false">IF(INDEX(BookTitle,861)="","",INDEX(BookGroup,861))</f>
        <v/>
      </c>
      <c r="B866" s="40" t="str">
        <f aca="false">IF(INDEX(BookTitle,861)="","",INDEX(BookRef,861))</f>
        <v/>
      </c>
      <c r="C866" s="40" t="str">
        <f aca="false">IF(INDEX(BookTitle,861)="","",INDEX(BookDivision,861))</f>
        <v/>
      </c>
      <c r="D866" s="40" t="str">
        <f aca="false">IF(INDEX(BookTitle,861)="","",INDEX(BookUnit,861))</f>
        <v/>
      </c>
      <c r="E866" s="40" t="str">
        <f aca="false">IF(INDEX(BookTitle,861)="","",INDEX(BookTitle,861))</f>
        <v/>
      </c>
      <c r="F866" s="40" t="str">
        <f aca="false">IF(INDEX(BookTitle,861)="","",INDEX(BookLevel,861))</f>
        <v/>
      </c>
      <c r="G866" s="40" t="str">
        <f aca="false">IF(INDEX(BookTitle,861)="","",INDEX(BookCategory,861))</f>
        <v/>
      </c>
      <c r="H866" s="40" t="str">
        <f aca="false">IF(INDEX(BookTitle,861)="","",INDEX(BookRank,861))</f>
        <v/>
      </c>
      <c r="I866" s="41" t="str">
        <f aca="false">IF(INDEX(BookTitle,861)="","",INDEX(BookTotal,861))</f>
        <v/>
      </c>
      <c r="J866" s="0" t="str">
        <f aca="false">IF($I866="","",IF(INDEX(BookQ1,861)&gt;0,"Q1",IF(INDEX(BookQ2,861)&gt;0,"Q2",IF(INDEX(BookQ3,861)&gt;0,"Q3",IF(INDEX(BookQ4,861)&gt;0,"Q4","")))))</f>
        <v/>
      </c>
      <c r="K866" s="42" t="str">
        <f aca="false">IF(INDEX(BookTitle,861)="","",INDEX(BookInYear,861))</f>
        <v/>
      </c>
      <c r="L866" s="19"/>
      <c r="M866" s="39"/>
      <c r="N866" s="19"/>
      <c r="O866" s="19"/>
      <c r="P866" s="43" t="str">
        <f aca="false">IF($E866="","",IF($L866="Decline",0,IF($L866="Approve fewer",IF($M866="","",$M866),IF($L866="","",$I866))))</f>
        <v/>
      </c>
      <c r="Q866" s="34" t="str">
        <f aca="false">IF($P866="","",IF($N866&lt;&gt;"",$N866,$J866))</f>
        <v/>
      </c>
      <c r="R866" s="35" t="str">
        <f aca="false">IF(OR($P866="",$Q866=""),"",INDEX(BookRate,861)*$P866*(5-MATCH($Q866,{"Q1";"Q2";"Q3";"Q4"},0))/4+INDEX(BookOneOff,861)*$P866)</f>
        <v/>
      </c>
      <c r="S866" s="35" t="str">
        <f aca="false">IF($P866="","",INDEX(BookRate,861)*$P866)</f>
        <v/>
      </c>
      <c r="T866" s="35" t="str">
        <f aca="false">IF($R866="","",$R866-$K866)</f>
        <v/>
      </c>
      <c r="U866" s="35" t="str">
        <f aca="false">IF(N($P866)&lt;=0,"",COUNTIF($P$6:$P866,"&gt;0"))</f>
        <v/>
      </c>
    </row>
    <row r="867" customFormat="false" ht="15" hidden="false" customHeight="false" outlineLevel="0" collapsed="false">
      <c r="A867" s="40" t="str">
        <f aca="false">IF(INDEX(BookTitle,862)="","",INDEX(BookGroup,862))</f>
        <v/>
      </c>
      <c r="B867" s="40" t="str">
        <f aca="false">IF(INDEX(BookTitle,862)="","",INDEX(BookRef,862))</f>
        <v/>
      </c>
      <c r="C867" s="40" t="str">
        <f aca="false">IF(INDEX(BookTitle,862)="","",INDEX(BookDivision,862))</f>
        <v/>
      </c>
      <c r="D867" s="40" t="str">
        <f aca="false">IF(INDEX(BookTitle,862)="","",INDEX(BookUnit,862))</f>
        <v/>
      </c>
      <c r="E867" s="40" t="str">
        <f aca="false">IF(INDEX(BookTitle,862)="","",INDEX(BookTitle,862))</f>
        <v/>
      </c>
      <c r="F867" s="40" t="str">
        <f aca="false">IF(INDEX(BookTitle,862)="","",INDEX(BookLevel,862))</f>
        <v/>
      </c>
      <c r="G867" s="40" t="str">
        <f aca="false">IF(INDEX(BookTitle,862)="","",INDEX(BookCategory,862))</f>
        <v/>
      </c>
      <c r="H867" s="40" t="str">
        <f aca="false">IF(INDEX(BookTitle,862)="","",INDEX(BookRank,862))</f>
        <v/>
      </c>
      <c r="I867" s="41" t="str">
        <f aca="false">IF(INDEX(BookTitle,862)="","",INDEX(BookTotal,862))</f>
        <v/>
      </c>
      <c r="J867" s="0" t="str">
        <f aca="false">IF($I867="","",IF(INDEX(BookQ1,862)&gt;0,"Q1",IF(INDEX(BookQ2,862)&gt;0,"Q2",IF(INDEX(BookQ3,862)&gt;0,"Q3",IF(INDEX(BookQ4,862)&gt;0,"Q4","")))))</f>
        <v/>
      </c>
      <c r="K867" s="42" t="str">
        <f aca="false">IF(INDEX(BookTitle,862)="","",INDEX(BookInYear,862))</f>
        <v/>
      </c>
      <c r="L867" s="19"/>
      <c r="M867" s="39"/>
      <c r="N867" s="19"/>
      <c r="O867" s="19"/>
      <c r="P867" s="43" t="str">
        <f aca="false">IF($E867="","",IF($L867="Decline",0,IF($L867="Approve fewer",IF($M867="","",$M867),IF($L867="","",$I867))))</f>
        <v/>
      </c>
      <c r="Q867" s="34" t="str">
        <f aca="false">IF($P867="","",IF($N867&lt;&gt;"",$N867,$J867))</f>
        <v/>
      </c>
      <c r="R867" s="35" t="str">
        <f aca="false">IF(OR($P867="",$Q867=""),"",INDEX(BookRate,862)*$P867*(5-MATCH($Q867,{"Q1";"Q2";"Q3";"Q4"},0))/4+INDEX(BookOneOff,862)*$P867)</f>
        <v/>
      </c>
      <c r="S867" s="35" t="str">
        <f aca="false">IF($P867="","",INDEX(BookRate,862)*$P867)</f>
        <v/>
      </c>
      <c r="T867" s="35" t="str">
        <f aca="false">IF($R867="","",$R867-$K867)</f>
        <v/>
      </c>
      <c r="U867" s="35" t="str">
        <f aca="false">IF(N($P867)&lt;=0,"",COUNTIF($P$6:$P867,"&gt;0"))</f>
        <v/>
      </c>
    </row>
    <row r="868" customFormat="false" ht="15" hidden="false" customHeight="false" outlineLevel="0" collapsed="false">
      <c r="A868" s="40" t="str">
        <f aca="false">IF(INDEX(BookTitle,863)="","",INDEX(BookGroup,863))</f>
        <v/>
      </c>
      <c r="B868" s="40" t="str">
        <f aca="false">IF(INDEX(BookTitle,863)="","",INDEX(BookRef,863))</f>
        <v/>
      </c>
      <c r="C868" s="40" t="str">
        <f aca="false">IF(INDEX(BookTitle,863)="","",INDEX(BookDivision,863))</f>
        <v/>
      </c>
      <c r="D868" s="40" t="str">
        <f aca="false">IF(INDEX(BookTitle,863)="","",INDEX(BookUnit,863))</f>
        <v/>
      </c>
      <c r="E868" s="40" t="str">
        <f aca="false">IF(INDEX(BookTitle,863)="","",INDEX(BookTitle,863))</f>
        <v/>
      </c>
      <c r="F868" s="40" t="str">
        <f aca="false">IF(INDEX(BookTitle,863)="","",INDEX(BookLevel,863))</f>
        <v/>
      </c>
      <c r="G868" s="40" t="str">
        <f aca="false">IF(INDEX(BookTitle,863)="","",INDEX(BookCategory,863))</f>
        <v/>
      </c>
      <c r="H868" s="40" t="str">
        <f aca="false">IF(INDEX(BookTitle,863)="","",INDEX(BookRank,863))</f>
        <v/>
      </c>
      <c r="I868" s="41" t="str">
        <f aca="false">IF(INDEX(BookTitle,863)="","",INDEX(BookTotal,863))</f>
        <v/>
      </c>
      <c r="J868" s="0" t="str">
        <f aca="false">IF($I868="","",IF(INDEX(BookQ1,863)&gt;0,"Q1",IF(INDEX(BookQ2,863)&gt;0,"Q2",IF(INDEX(BookQ3,863)&gt;0,"Q3",IF(INDEX(BookQ4,863)&gt;0,"Q4","")))))</f>
        <v/>
      </c>
      <c r="K868" s="42" t="str">
        <f aca="false">IF(INDEX(BookTitle,863)="","",INDEX(BookInYear,863))</f>
        <v/>
      </c>
      <c r="L868" s="19"/>
      <c r="M868" s="39"/>
      <c r="N868" s="19"/>
      <c r="O868" s="19"/>
      <c r="P868" s="43" t="str">
        <f aca="false">IF($E868="","",IF($L868="Decline",0,IF($L868="Approve fewer",IF($M868="","",$M868),IF($L868="","",$I868))))</f>
        <v/>
      </c>
      <c r="Q868" s="34" t="str">
        <f aca="false">IF($P868="","",IF($N868&lt;&gt;"",$N868,$J868))</f>
        <v/>
      </c>
      <c r="R868" s="35" t="str">
        <f aca="false">IF(OR($P868="",$Q868=""),"",INDEX(BookRate,863)*$P868*(5-MATCH($Q868,{"Q1";"Q2";"Q3";"Q4"},0))/4+INDEX(BookOneOff,863)*$P868)</f>
        <v/>
      </c>
      <c r="S868" s="35" t="str">
        <f aca="false">IF($P868="","",INDEX(BookRate,863)*$P868)</f>
        <v/>
      </c>
      <c r="T868" s="35" t="str">
        <f aca="false">IF($R868="","",$R868-$K868)</f>
        <v/>
      </c>
      <c r="U868" s="35" t="str">
        <f aca="false">IF(N($P868)&lt;=0,"",COUNTIF($P$6:$P868,"&gt;0"))</f>
        <v/>
      </c>
    </row>
    <row r="869" customFormat="false" ht="15" hidden="false" customHeight="false" outlineLevel="0" collapsed="false">
      <c r="A869" s="40" t="str">
        <f aca="false">IF(INDEX(BookTitle,864)="","",INDEX(BookGroup,864))</f>
        <v/>
      </c>
      <c r="B869" s="40" t="str">
        <f aca="false">IF(INDEX(BookTitle,864)="","",INDEX(BookRef,864))</f>
        <v/>
      </c>
      <c r="C869" s="40" t="str">
        <f aca="false">IF(INDEX(BookTitle,864)="","",INDEX(BookDivision,864))</f>
        <v/>
      </c>
      <c r="D869" s="40" t="str">
        <f aca="false">IF(INDEX(BookTitle,864)="","",INDEX(BookUnit,864))</f>
        <v/>
      </c>
      <c r="E869" s="40" t="str">
        <f aca="false">IF(INDEX(BookTitle,864)="","",INDEX(BookTitle,864))</f>
        <v/>
      </c>
      <c r="F869" s="40" t="str">
        <f aca="false">IF(INDEX(BookTitle,864)="","",INDEX(BookLevel,864))</f>
        <v/>
      </c>
      <c r="G869" s="40" t="str">
        <f aca="false">IF(INDEX(BookTitle,864)="","",INDEX(BookCategory,864))</f>
        <v/>
      </c>
      <c r="H869" s="40" t="str">
        <f aca="false">IF(INDEX(BookTitle,864)="","",INDEX(BookRank,864))</f>
        <v/>
      </c>
      <c r="I869" s="41" t="str">
        <f aca="false">IF(INDEX(BookTitle,864)="","",INDEX(BookTotal,864))</f>
        <v/>
      </c>
      <c r="J869" s="0" t="str">
        <f aca="false">IF($I869="","",IF(INDEX(BookQ1,864)&gt;0,"Q1",IF(INDEX(BookQ2,864)&gt;0,"Q2",IF(INDEX(BookQ3,864)&gt;0,"Q3",IF(INDEX(BookQ4,864)&gt;0,"Q4","")))))</f>
        <v/>
      </c>
      <c r="K869" s="42" t="str">
        <f aca="false">IF(INDEX(BookTitle,864)="","",INDEX(BookInYear,864))</f>
        <v/>
      </c>
      <c r="L869" s="19"/>
      <c r="M869" s="39"/>
      <c r="N869" s="19"/>
      <c r="O869" s="19"/>
      <c r="P869" s="43" t="str">
        <f aca="false">IF($E869="","",IF($L869="Decline",0,IF($L869="Approve fewer",IF($M869="","",$M869),IF($L869="","",$I869))))</f>
        <v/>
      </c>
      <c r="Q869" s="34" t="str">
        <f aca="false">IF($P869="","",IF($N869&lt;&gt;"",$N869,$J869))</f>
        <v/>
      </c>
      <c r="R869" s="35" t="str">
        <f aca="false">IF(OR($P869="",$Q869=""),"",INDEX(BookRate,864)*$P869*(5-MATCH($Q869,{"Q1";"Q2";"Q3";"Q4"},0))/4+INDEX(BookOneOff,864)*$P869)</f>
        <v/>
      </c>
      <c r="S869" s="35" t="str">
        <f aca="false">IF($P869="","",INDEX(BookRate,864)*$P869)</f>
        <v/>
      </c>
      <c r="T869" s="35" t="str">
        <f aca="false">IF($R869="","",$R869-$K869)</f>
        <v/>
      </c>
      <c r="U869" s="35" t="str">
        <f aca="false">IF(N($P869)&lt;=0,"",COUNTIF($P$6:$P869,"&gt;0"))</f>
        <v/>
      </c>
    </row>
    <row r="870" customFormat="false" ht="15" hidden="false" customHeight="false" outlineLevel="0" collapsed="false">
      <c r="A870" s="40" t="str">
        <f aca="false">IF(INDEX(BookTitle,865)="","",INDEX(BookGroup,865))</f>
        <v/>
      </c>
      <c r="B870" s="40" t="str">
        <f aca="false">IF(INDEX(BookTitle,865)="","",INDEX(BookRef,865))</f>
        <v/>
      </c>
      <c r="C870" s="40" t="str">
        <f aca="false">IF(INDEX(BookTitle,865)="","",INDEX(BookDivision,865))</f>
        <v/>
      </c>
      <c r="D870" s="40" t="str">
        <f aca="false">IF(INDEX(BookTitle,865)="","",INDEX(BookUnit,865))</f>
        <v/>
      </c>
      <c r="E870" s="40" t="str">
        <f aca="false">IF(INDEX(BookTitle,865)="","",INDEX(BookTitle,865))</f>
        <v/>
      </c>
      <c r="F870" s="40" t="str">
        <f aca="false">IF(INDEX(BookTitle,865)="","",INDEX(BookLevel,865))</f>
        <v/>
      </c>
      <c r="G870" s="40" t="str">
        <f aca="false">IF(INDEX(BookTitle,865)="","",INDEX(BookCategory,865))</f>
        <v/>
      </c>
      <c r="H870" s="40" t="str">
        <f aca="false">IF(INDEX(BookTitle,865)="","",INDEX(BookRank,865))</f>
        <v/>
      </c>
      <c r="I870" s="41" t="str">
        <f aca="false">IF(INDEX(BookTitle,865)="","",INDEX(BookTotal,865))</f>
        <v/>
      </c>
      <c r="J870" s="0" t="str">
        <f aca="false">IF($I870="","",IF(INDEX(BookQ1,865)&gt;0,"Q1",IF(INDEX(BookQ2,865)&gt;0,"Q2",IF(INDEX(BookQ3,865)&gt;0,"Q3",IF(INDEX(BookQ4,865)&gt;0,"Q4","")))))</f>
        <v/>
      </c>
      <c r="K870" s="42" t="str">
        <f aca="false">IF(INDEX(BookTitle,865)="","",INDEX(BookInYear,865))</f>
        <v/>
      </c>
      <c r="L870" s="19"/>
      <c r="M870" s="39"/>
      <c r="N870" s="19"/>
      <c r="O870" s="19"/>
      <c r="P870" s="43" t="str">
        <f aca="false">IF($E870="","",IF($L870="Decline",0,IF($L870="Approve fewer",IF($M870="","",$M870),IF($L870="","",$I870))))</f>
        <v/>
      </c>
      <c r="Q870" s="34" t="str">
        <f aca="false">IF($P870="","",IF($N870&lt;&gt;"",$N870,$J870))</f>
        <v/>
      </c>
      <c r="R870" s="35" t="str">
        <f aca="false">IF(OR($P870="",$Q870=""),"",INDEX(BookRate,865)*$P870*(5-MATCH($Q870,{"Q1";"Q2";"Q3";"Q4"},0))/4+INDEX(BookOneOff,865)*$P870)</f>
        <v/>
      </c>
      <c r="S870" s="35" t="str">
        <f aca="false">IF($P870="","",INDEX(BookRate,865)*$P870)</f>
        <v/>
      </c>
      <c r="T870" s="35" t="str">
        <f aca="false">IF($R870="","",$R870-$K870)</f>
        <v/>
      </c>
      <c r="U870" s="35" t="str">
        <f aca="false">IF(N($P870)&lt;=0,"",COUNTIF($P$6:$P870,"&gt;0"))</f>
        <v/>
      </c>
    </row>
    <row r="871" customFormat="false" ht="15" hidden="false" customHeight="false" outlineLevel="0" collapsed="false">
      <c r="A871" s="40" t="str">
        <f aca="false">IF(INDEX(BookTitle,866)="","",INDEX(BookGroup,866))</f>
        <v/>
      </c>
      <c r="B871" s="40" t="str">
        <f aca="false">IF(INDEX(BookTitle,866)="","",INDEX(BookRef,866))</f>
        <v/>
      </c>
      <c r="C871" s="40" t="str">
        <f aca="false">IF(INDEX(BookTitle,866)="","",INDEX(BookDivision,866))</f>
        <v/>
      </c>
      <c r="D871" s="40" t="str">
        <f aca="false">IF(INDEX(BookTitle,866)="","",INDEX(BookUnit,866))</f>
        <v/>
      </c>
      <c r="E871" s="40" t="str">
        <f aca="false">IF(INDEX(BookTitle,866)="","",INDEX(BookTitle,866))</f>
        <v/>
      </c>
      <c r="F871" s="40" t="str">
        <f aca="false">IF(INDEX(BookTitle,866)="","",INDEX(BookLevel,866))</f>
        <v/>
      </c>
      <c r="G871" s="40" t="str">
        <f aca="false">IF(INDEX(BookTitle,866)="","",INDEX(BookCategory,866))</f>
        <v/>
      </c>
      <c r="H871" s="40" t="str">
        <f aca="false">IF(INDEX(BookTitle,866)="","",INDEX(BookRank,866))</f>
        <v/>
      </c>
      <c r="I871" s="41" t="str">
        <f aca="false">IF(INDEX(BookTitle,866)="","",INDEX(BookTotal,866))</f>
        <v/>
      </c>
      <c r="J871" s="0" t="str">
        <f aca="false">IF($I871="","",IF(INDEX(BookQ1,866)&gt;0,"Q1",IF(INDEX(BookQ2,866)&gt;0,"Q2",IF(INDEX(BookQ3,866)&gt;0,"Q3",IF(INDEX(BookQ4,866)&gt;0,"Q4","")))))</f>
        <v/>
      </c>
      <c r="K871" s="42" t="str">
        <f aca="false">IF(INDEX(BookTitle,866)="","",INDEX(BookInYear,866))</f>
        <v/>
      </c>
      <c r="L871" s="19"/>
      <c r="M871" s="39"/>
      <c r="N871" s="19"/>
      <c r="O871" s="19"/>
      <c r="P871" s="43" t="str">
        <f aca="false">IF($E871="","",IF($L871="Decline",0,IF($L871="Approve fewer",IF($M871="","",$M871),IF($L871="","",$I871))))</f>
        <v/>
      </c>
      <c r="Q871" s="34" t="str">
        <f aca="false">IF($P871="","",IF($N871&lt;&gt;"",$N871,$J871))</f>
        <v/>
      </c>
      <c r="R871" s="35" t="str">
        <f aca="false">IF(OR($P871="",$Q871=""),"",INDEX(BookRate,866)*$P871*(5-MATCH($Q871,{"Q1";"Q2";"Q3";"Q4"},0))/4+INDEX(BookOneOff,866)*$P871)</f>
        <v/>
      </c>
      <c r="S871" s="35" t="str">
        <f aca="false">IF($P871="","",INDEX(BookRate,866)*$P871)</f>
        <v/>
      </c>
      <c r="T871" s="35" t="str">
        <f aca="false">IF($R871="","",$R871-$K871)</f>
        <v/>
      </c>
      <c r="U871" s="35" t="str">
        <f aca="false">IF(N($P871)&lt;=0,"",COUNTIF($P$6:$P871,"&gt;0"))</f>
        <v/>
      </c>
    </row>
    <row r="872" customFormat="false" ht="15" hidden="false" customHeight="false" outlineLevel="0" collapsed="false">
      <c r="A872" s="40" t="str">
        <f aca="false">IF(INDEX(BookTitle,867)="","",INDEX(BookGroup,867))</f>
        <v/>
      </c>
      <c r="B872" s="40" t="str">
        <f aca="false">IF(INDEX(BookTitle,867)="","",INDEX(BookRef,867))</f>
        <v/>
      </c>
      <c r="C872" s="40" t="str">
        <f aca="false">IF(INDEX(BookTitle,867)="","",INDEX(BookDivision,867))</f>
        <v/>
      </c>
      <c r="D872" s="40" t="str">
        <f aca="false">IF(INDEX(BookTitle,867)="","",INDEX(BookUnit,867))</f>
        <v/>
      </c>
      <c r="E872" s="40" t="str">
        <f aca="false">IF(INDEX(BookTitle,867)="","",INDEX(BookTitle,867))</f>
        <v/>
      </c>
      <c r="F872" s="40" t="str">
        <f aca="false">IF(INDEX(BookTitle,867)="","",INDEX(BookLevel,867))</f>
        <v/>
      </c>
      <c r="G872" s="40" t="str">
        <f aca="false">IF(INDEX(BookTitle,867)="","",INDEX(BookCategory,867))</f>
        <v/>
      </c>
      <c r="H872" s="40" t="str">
        <f aca="false">IF(INDEX(BookTitle,867)="","",INDEX(BookRank,867))</f>
        <v/>
      </c>
      <c r="I872" s="41" t="str">
        <f aca="false">IF(INDEX(BookTitle,867)="","",INDEX(BookTotal,867))</f>
        <v/>
      </c>
      <c r="J872" s="0" t="str">
        <f aca="false">IF($I872="","",IF(INDEX(BookQ1,867)&gt;0,"Q1",IF(INDEX(BookQ2,867)&gt;0,"Q2",IF(INDEX(BookQ3,867)&gt;0,"Q3",IF(INDEX(BookQ4,867)&gt;0,"Q4","")))))</f>
        <v/>
      </c>
      <c r="K872" s="42" t="str">
        <f aca="false">IF(INDEX(BookTitle,867)="","",INDEX(BookInYear,867))</f>
        <v/>
      </c>
      <c r="L872" s="19"/>
      <c r="M872" s="39"/>
      <c r="N872" s="19"/>
      <c r="O872" s="19"/>
      <c r="P872" s="43" t="str">
        <f aca="false">IF($E872="","",IF($L872="Decline",0,IF($L872="Approve fewer",IF($M872="","",$M872),IF($L872="","",$I872))))</f>
        <v/>
      </c>
      <c r="Q872" s="34" t="str">
        <f aca="false">IF($P872="","",IF($N872&lt;&gt;"",$N872,$J872))</f>
        <v/>
      </c>
      <c r="R872" s="35" t="str">
        <f aca="false">IF(OR($P872="",$Q872=""),"",INDEX(BookRate,867)*$P872*(5-MATCH($Q872,{"Q1";"Q2";"Q3";"Q4"},0))/4+INDEX(BookOneOff,867)*$P872)</f>
        <v/>
      </c>
      <c r="S872" s="35" t="str">
        <f aca="false">IF($P872="","",INDEX(BookRate,867)*$P872)</f>
        <v/>
      </c>
      <c r="T872" s="35" t="str">
        <f aca="false">IF($R872="","",$R872-$K872)</f>
        <v/>
      </c>
      <c r="U872" s="35" t="str">
        <f aca="false">IF(N($P872)&lt;=0,"",COUNTIF($P$6:$P872,"&gt;0"))</f>
        <v/>
      </c>
    </row>
    <row r="873" customFormat="false" ht="15" hidden="false" customHeight="false" outlineLevel="0" collapsed="false">
      <c r="A873" s="40" t="str">
        <f aca="false">IF(INDEX(BookTitle,868)="","",INDEX(BookGroup,868))</f>
        <v/>
      </c>
      <c r="B873" s="40" t="str">
        <f aca="false">IF(INDEX(BookTitle,868)="","",INDEX(BookRef,868))</f>
        <v/>
      </c>
      <c r="C873" s="40" t="str">
        <f aca="false">IF(INDEX(BookTitle,868)="","",INDEX(BookDivision,868))</f>
        <v/>
      </c>
      <c r="D873" s="40" t="str">
        <f aca="false">IF(INDEX(BookTitle,868)="","",INDEX(BookUnit,868))</f>
        <v/>
      </c>
      <c r="E873" s="40" t="str">
        <f aca="false">IF(INDEX(BookTitle,868)="","",INDEX(BookTitle,868))</f>
        <v/>
      </c>
      <c r="F873" s="40" t="str">
        <f aca="false">IF(INDEX(BookTitle,868)="","",INDEX(BookLevel,868))</f>
        <v/>
      </c>
      <c r="G873" s="40" t="str">
        <f aca="false">IF(INDEX(BookTitle,868)="","",INDEX(BookCategory,868))</f>
        <v/>
      </c>
      <c r="H873" s="40" t="str">
        <f aca="false">IF(INDEX(BookTitle,868)="","",INDEX(BookRank,868))</f>
        <v/>
      </c>
      <c r="I873" s="41" t="str">
        <f aca="false">IF(INDEX(BookTitle,868)="","",INDEX(BookTotal,868))</f>
        <v/>
      </c>
      <c r="J873" s="0" t="str">
        <f aca="false">IF($I873="","",IF(INDEX(BookQ1,868)&gt;0,"Q1",IF(INDEX(BookQ2,868)&gt;0,"Q2",IF(INDEX(BookQ3,868)&gt;0,"Q3",IF(INDEX(BookQ4,868)&gt;0,"Q4","")))))</f>
        <v/>
      </c>
      <c r="K873" s="42" t="str">
        <f aca="false">IF(INDEX(BookTitle,868)="","",INDEX(BookInYear,868))</f>
        <v/>
      </c>
      <c r="L873" s="19"/>
      <c r="M873" s="39"/>
      <c r="N873" s="19"/>
      <c r="O873" s="19"/>
      <c r="P873" s="43" t="str">
        <f aca="false">IF($E873="","",IF($L873="Decline",0,IF($L873="Approve fewer",IF($M873="","",$M873),IF($L873="","",$I873))))</f>
        <v/>
      </c>
      <c r="Q873" s="34" t="str">
        <f aca="false">IF($P873="","",IF($N873&lt;&gt;"",$N873,$J873))</f>
        <v/>
      </c>
      <c r="R873" s="35" t="str">
        <f aca="false">IF(OR($P873="",$Q873=""),"",INDEX(BookRate,868)*$P873*(5-MATCH($Q873,{"Q1";"Q2";"Q3";"Q4"},0))/4+INDEX(BookOneOff,868)*$P873)</f>
        <v/>
      </c>
      <c r="S873" s="35" t="str">
        <f aca="false">IF($P873="","",INDEX(BookRate,868)*$P873)</f>
        <v/>
      </c>
      <c r="T873" s="35" t="str">
        <f aca="false">IF($R873="","",$R873-$K873)</f>
        <v/>
      </c>
      <c r="U873" s="35" t="str">
        <f aca="false">IF(N($P873)&lt;=0,"",COUNTIF($P$6:$P873,"&gt;0"))</f>
        <v/>
      </c>
    </row>
    <row r="874" customFormat="false" ht="15" hidden="false" customHeight="false" outlineLevel="0" collapsed="false">
      <c r="A874" s="40" t="str">
        <f aca="false">IF(INDEX(BookTitle,869)="","",INDEX(BookGroup,869))</f>
        <v/>
      </c>
      <c r="B874" s="40" t="str">
        <f aca="false">IF(INDEX(BookTitle,869)="","",INDEX(BookRef,869))</f>
        <v/>
      </c>
      <c r="C874" s="40" t="str">
        <f aca="false">IF(INDEX(BookTitle,869)="","",INDEX(BookDivision,869))</f>
        <v/>
      </c>
      <c r="D874" s="40" t="str">
        <f aca="false">IF(INDEX(BookTitle,869)="","",INDEX(BookUnit,869))</f>
        <v/>
      </c>
      <c r="E874" s="40" t="str">
        <f aca="false">IF(INDEX(BookTitle,869)="","",INDEX(BookTitle,869))</f>
        <v/>
      </c>
      <c r="F874" s="40" t="str">
        <f aca="false">IF(INDEX(BookTitle,869)="","",INDEX(BookLevel,869))</f>
        <v/>
      </c>
      <c r="G874" s="40" t="str">
        <f aca="false">IF(INDEX(BookTitle,869)="","",INDEX(BookCategory,869))</f>
        <v/>
      </c>
      <c r="H874" s="40" t="str">
        <f aca="false">IF(INDEX(BookTitle,869)="","",INDEX(BookRank,869))</f>
        <v/>
      </c>
      <c r="I874" s="41" t="str">
        <f aca="false">IF(INDEX(BookTitle,869)="","",INDEX(BookTotal,869))</f>
        <v/>
      </c>
      <c r="J874" s="0" t="str">
        <f aca="false">IF($I874="","",IF(INDEX(BookQ1,869)&gt;0,"Q1",IF(INDEX(BookQ2,869)&gt;0,"Q2",IF(INDEX(BookQ3,869)&gt;0,"Q3",IF(INDEX(BookQ4,869)&gt;0,"Q4","")))))</f>
        <v/>
      </c>
      <c r="K874" s="42" t="str">
        <f aca="false">IF(INDEX(BookTitle,869)="","",INDEX(BookInYear,869))</f>
        <v/>
      </c>
      <c r="L874" s="19"/>
      <c r="M874" s="39"/>
      <c r="N874" s="19"/>
      <c r="O874" s="19"/>
      <c r="P874" s="43" t="str">
        <f aca="false">IF($E874="","",IF($L874="Decline",0,IF($L874="Approve fewer",IF($M874="","",$M874),IF($L874="","",$I874))))</f>
        <v/>
      </c>
      <c r="Q874" s="34" t="str">
        <f aca="false">IF($P874="","",IF($N874&lt;&gt;"",$N874,$J874))</f>
        <v/>
      </c>
      <c r="R874" s="35" t="str">
        <f aca="false">IF(OR($P874="",$Q874=""),"",INDEX(BookRate,869)*$P874*(5-MATCH($Q874,{"Q1";"Q2";"Q3";"Q4"},0))/4+INDEX(BookOneOff,869)*$P874)</f>
        <v/>
      </c>
      <c r="S874" s="35" t="str">
        <f aca="false">IF($P874="","",INDEX(BookRate,869)*$P874)</f>
        <v/>
      </c>
      <c r="T874" s="35" t="str">
        <f aca="false">IF($R874="","",$R874-$K874)</f>
        <v/>
      </c>
      <c r="U874" s="35" t="str">
        <f aca="false">IF(N($P874)&lt;=0,"",COUNTIF($P$6:$P874,"&gt;0"))</f>
        <v/>
      </c>
    </row>
    <row r="875" customFormat="false" ht="15" hidden="false" customHeight="false" outlineLevel="0" collapsed="false">
      <c r="A875" s="40" t="str">
        <f aca="false">IF(INDEX(BookTitle,870)="","",INDEX(BookGroup,870))</f>
        <v/>
      </c>
      <c r="B875" s="40" t="str">
        <f aca="false">IF(INDEX(BookTitle,870)="","",INDEX(BookRef,870))</f>
        <v/>
      </c>
      <c r="C875" s="40" t="str">
        <f aca="false">IF(INDEX(BookTitle,870)="","",INDEX(BookDivision,870))</f>
        <v/>
      </c>
      <c r="D875" s="40" t="str">
        <f aca="false">IF(INDEX(BookTitle,870)="","",INDEX(BookUnit,870))</f>
        <v/>
      </c>
      <c r="E875" s="40" t="str">
        <f aca="false">IF(INDEX(BookTitle,870)="","",INDEX(BookTitle,870))</f>
        <v/>
      </c>
      <c r="F875" s="40" t="str">
        <f aca="false">IF(INDEX(BookTitle,870)="","",INDEX(BookLevel,870))</f>
        <v/>
      </c>
      <c r="G875" s="40" t="str">
        <f aca="false">IF(INDEX(BookTitle,870)="","",INDEX(BookCategory,870))</f>
        <v/>
      </c>
      <c r="H875" s="40" t="str">
        <f aca="false">IF(INDEX(BookTitle,870)="","",INDEX(BookRank,870))</f>
        <v/>
      </c>
      <c r="I875" s="41" t="str">
        <f aca="false">IF(INDEX(BookTitle,870)="","",INDEX(BookTotal,870))</f>
        <v/>
      </c>
      <c r="J875" s="0" t="str">
        <f aca="false">IF($I875="","",IF(INDEX(BookQ1,870)&gt;0,"Q1",IF(INDEX(BookQ2,870)&gt;0,"Q2",IF(INDEX(BookQ3,870)&gt;0,"Q3",IF(INDEX(BookQ4,870)&gt;0,"Q4","")))))</f>
        <v/>
      </c>
      <c r="K875" s="42" t="str">
        <f aca="false">IF(INDEX(BookTitle,870)="","",INDEX(BookInYear,870))</f>
        <v/>
      </c>
      <c r="L875" s="19"/>
      <c r="M875" s="39"/>
      <c r="N875" s="19"/>
      <c r="O875" s="19"/>
      <c r="P875" s="43" t="str">
        <f aca="false">IF($E875="","",IF($L875="Decline",0,IF($L875="Approve fewer",IF($M875="","",$M875),IF($L875="","",$I875))))</f>
        <v/>
      </c>
      <c r="Q875" s="34" t="str">
        <f aca="false">IF($P875="","",IF($N875&lt;&gt;"",$N875,$J875))</f>
        <v/>
      </c>
      <c r="R875" s="35" t="str">
        <f aca="false">IF(OR($P875="",$Q875=""),"",INDEX(BookRate,870)*$P875*(5-MATCH($Q875,{"Q1";"Q2";"Q3";"Q4"},0))/4+INDEX(BookOneOff,870)*$P875)</f>
        <v/>
      </c>
      <c r="S875" s="35" t="str">
        <f aca="false">IF($P875="","",INDEX(BookRate,870)*$P875)</f>
        <v/>
      </c>
      <c r="T875" s="35" t="str">
        <f aca="false">IF($R875="","",$R875-$K875)</f>
        <v/>
      </c>
      <c r="U875" s="35" t="str">
        <f aca="false">IF(N($P875)&lt;=0,"",COUNTIF($P$6:$P875,"&gt;0"))</f>
        <v/>
      </c>
    </row>
    <row r="876" customFormat="false" ht="15" hidden="false" customHeight="false" outlineLevel="0" collapsed="false">
      <c r="A876" s="40" t="str">
        <f aca="false">IF(INDEX(BookTitle,871)="","",INDEX(BookGroup,871))</f>
        <v/>
      </c>
      <c r="B876" s="40" t="str">
        <f aca="false">IF(INDEX(BookTitle,871)="","",INDEX(BookRef,871))</f>
        <v/>
      </c>
      <c r="C876" s="40" t="str">
        <f aca="false">IF(INDEX(BookTitle,871)="","",INDEX(BookDivision,871))</f>
        <v/>
      </c>
      <c r="D876" s="40" t="str">
        <f aca="false">IF(INDEX(BookTitle,871)="","",INDEX(BookUnit,871))</f>
        <v/>
      </c>
      <c r="E876" s="40" t="str">
        <f aca="false">IF(INDEX(BookTitle,871)="","",INDEX(BookTitle,871))</f>
        <v/>
      </c>
      <c r="F876" s="40" t="str">
        <f aca="false">IF(INDEX(BookTitle,871)="","",INDEX(BookLevel,871))</f>
        <v/>
      </c>
      <c r="G876" s="40" t="str">
        <f aca="false">IF(INDEX(BookTitle,871)="","",INDEX(BookCategory,871))</f>
        <v/>
      </c>
      <c r="H876" s="40" t="str">
        <f aca="false">IF(INDEX(BookTitle,871)="","",INDEX(BookRank,871))</f>
        <v/>
      </c>
      <c r="I876" s="41" t="str">
        <f aca="false">IF(INDEX(BookTitle,871)="","",INDEX(BookTotal,871))</f>
        <v/>
      </c>
      <c r="J876" s="0" t="str">
        <f aca="false">IF($I876="","",IF(INDEX(BookQ1,871)&gt;0,"Q1",IF(INDEX(BookQ2,871)&gt;0,"Q2",IF(INDEX(BookQ3,871)&gt;0,"Q3",IF(INDEX(BookQ4,871)&gt;0,"Q4","")))))</f>
        <v/>
      </c>
      <c r="K876" s="42" t="str">
        <f aca="false">IF(INDEX(BookTitle,871)="","",INDEX(BookInYear,871))</f>
        <v/>
      </c>
      <c r="L876" s="19"/>
      <c r="M876" s="39"/>
      <c r="N876" s="19"/>
      <c r="O876" s="19"/>
      <c r="P876" s="43" t="str">
        <f aca="false">IF($E876="","",IF($L876="Decline",0,IF($L876="Approve fewer",IF($M876="","",$M876),IF($L876="","",$I876))))</f>
        <v/>
      </c>
      <c r="Q876" s="34" t="str">
        <f aca="false">IF($P876="","",IF($N876&lt;&gt;"",$N876,$J876))</f>
        <v/>
      </c>
      <c r="R876" s="35" t="str">
        <f aca="false">IF(OR($P876="",$Q876=""),"",INDEX(BookRate,871)*$P876*(5-MATCH($Q876,{"Q1";"Q2";"Q3";"Q4"},0))/4+INDEX(BookOneOff,871)*$P876)</f>
        <v/>
      </c>
      <c r="S876" s="35" t="str">
        <f aca="false">IF($P876="","",INDEX(BookRate,871)*$P876)</f>
        <v/>
      </c>
      <c r="T876" s="35" t="str">
        <f aca="false">IF($R876="","",$R876-$K876)</f>
        <v/>
      </c>
      <c r="U876" s="35" t="str">
        <f aca="false">IF(N($P876)&lt;=0,"",COUNTIF($P$6:$P876,"&gt;0"))</f>
        <v/>
      </c>
    </row>
    <row r="877" customFormat="false" ht="15" hidden="false" customHeight="false" outlineLevel="0" collapsed="false">
      <c r="A877" s="40" t="str">
        <f aca="false">IF(INDEX(BookTitle,872)="","",INDEX(BookGroup,872))</f>
        <v/>
      </c>
      <c r="B877" s="40" t="str">
        <f aca="false">IF(INDEX(BookTitle,872)="","",INDEX(BookRef,872))</f>
        <v/>
      </c>
      <c r="C877" s="40" t="str">
        <f aca="false">IF(INDEX(BookTitle,872)="","",INDEX(BookDivision,872))</f>
        <v/>
      </c>
      <c r="D877" s="40" t="str">
        <f aca="false">IF(INDEX(BookTitle,872)="","",INDEX(BookUnit,872))</f>
        <v/>
      </c>
      <c r="E877" s="40" t="str">
        <f aca="false">IF(INDEX(BookTitle,872)="","",INDEX(BookTitle,872))</f>
        <v/>
      </c>
      <c r="F877" s="40" t="str">
        <f aca="false">IF(INDEX(BookTitle,872)="","",INDEX(BookLevel,872))</f>
        <v/>
      </c>
      <c r="G877" s="40" t="str">
        <f aca="false">IF(INDEX(BookTitle,872)="","",INDEX(BookCategory,872))</f>
        <v/>
      </c>
      <c r="H877" s="40" t="str">
        <f aca="false">IF(INDEX(BookTitle,872)="","",INDEX(BookRank,872))</f>
        <v/>
      </c>
      <c r="I877" s="41" t="str">
        <f aca="false">IF(INDEX(BookTitle,872)="","",INDEX(BookTotal,872))</f>
        <v/>
      </c>
      <c r="J877" s="0" t="str">
        <f aca="false">IF($I877="","",IF(INDEX(BookQ1,872)&gt;0,"Q1",IF(INDEX(BookQ2,872)&gt;0,"Q2",IF(INDEX(BookQ3,872)&gt;0,"Q3",IF(INDEX(BookQ4,872)&gt;0,"Q4","")))))</f>
        <v/>
      </c>
      <c r="K877" s="42" t="str">
        <f aca="false">IF(INDEX(BookTitle,872)="","",INDEX(BookInYear,872))</f>
        <v/>
      </c>
      <c r="L877" s="19"/>
      <c r="M877" s="39"/>
      <c r="N877" s="19"/>
      <c r="O877" s="19"/>
      <c r="P877" s="43" t="str">
        <f aca="false">IF($E877="","",IF($L877="Decline",0,IF($L877="Approve fewer",IF($M877="","",$M877),IF($L877="","",$I877))))</f>
        <v/>
      </c>
      <c r="Q877" s="34" t="str">
        <f aca="false">IF($P877="","",IF($N877&lt;&gt;"",$N877,$J877))</f>
        <v/>
      </c>
      <c r="R877" s="35" t="str">
        <f aca="false">IF(OR($P877="",$Q877=""),"",INDEX(BookRate,872)*$P877*(5-MATCH($Q877,{"Q1";"Q2";"Q3";"Q4"},0))/4+INDEX(BookOneOff,872)*$P877)</f>
        <v/>
      </c>
      <c r="S877" s="35" t="str">
        <f aca="false">IF($P877="","",INDEX(BookRate,872)*$P877)</f>
        <v/>
      </c>
      <c r="T877" s="35" t="str">
        <f aca="false">IF($R877="","",$R877-$K877)</f>
        <v/>
      </c>
      <c r="U877" s="35" t="str">
        <f aca="false">IF(N($P877)&lt;=0,"",COUNTIF($P$6:$P877,"&gt;0"))</f>
        <v/>
      </c>
    </row>
    <row r="878" customFormat="false" ht="15" hidden="false" customHeight="false" outlineLevel="0" collapsed="false">
      <c r="A878" s="40" t="str">
        <f aca="false">IF(INDEX(BookTitle,873)="","",INDEX(BookGroup,873))</f>
        <v/>
      </c>
      <c r="B878" s="40" t="str">
        <f aca="false">IF(INDEX(BookTitle,873)="","",INDEX(BookRef,873))</f>
        <v/>
      </c>
      <c r="C878" s="40" t="str">
        <f aca="false">IF(INDEX(BookTitle,873)="","",INDEX(BookDivision,873))</f>
        <v/>
      </c>
      <c r="D878" s="40" t="str">
        <f aca="false">IF(INDEX(BookTitle,873)="","",INDEX(BookUnit,873))</f>
        <v/>
      </c>
      <c r="E878" s="40" t="str">
        <f aca="false">IF(INDEX(BookTitle,873)="","",INDEX(BookTitle,873))</f>
        <v/>
      </c>
      <c r="F878" s="40" t="str">
        <f aca="false">IF(INDEX(BookTitle,873)="","",INDEX(BookLevel,873))</f>
        <v/>
      </c>
      <c r="G878" s="40" t="str">
        <f aca="false">IF(INDEX(BookTitle,873)="","",INDEX(BookCategory,873))</f>
        <v/>
      </c>
      <c r="H878" s="40" t="str">
        <f aca="false">IF(INDEX(BookTitle,873)="","",INDEX(BookRank,873))</f>
        <v/>
      </c>
      <c r="I878" s="41" t="str">
        <f aca="false">IF(INDEX(BookTitle,873)="","",INDEX(BookTotal,873))</f>
        <v/>
      </c>
      <c r="J878" s="0" t="str">
        <f aca="false">IF($I878="","",IF(INDEX(BookQ1,873)&gt;0,"Q1",IF(INDEX(BookQ2,873)&gt;0,"Q2",IF(INDEX(BookQ3,873)&gt;0,"Q3",IF(INDEX(BookQ4,873)&gt;0,"Q4","")))))</f>
        <v/>
      </c>
      <c r="K878" s="42" t="str">
        <f aca="false">IF(INDEX(BookTitle,873)="","",INDEX(BookInYear,873))</f>
        <v/>
      </c>
      <c r="L878" s="19"/>
      <c r="M878" s="39"/>
      <c r="N878" s="19"/>
      <c r="O878" s="19"/>
      <c r="P878" s="43" t="str">
        <f aca="false">IF($E878="","",IF($L878="Decline",0,IF($L878="Approve fewer",IF($M878="","",$M878),IF($L878="","",$I878))))</f>
        <v/>
      </c>
      <c r="Q878" s="34" t="str">
        <f aca="false">IF($P878="","",IF($N878&lt;&gt;"",$N878,$J878))</f>
        <v/>
      </c>
      <c r="R878" s="35" t="str">
        <f aca="false">IF(OR($P878="",$Q878=""),"",INDEX(BookRate,873)*$P878*(5-MATCH($Q878,{"Q1";"Q2";"Q3";"Q4"},0))/4+INDEX(BookOneOff,873)*$P878)</f>
        <v/>
      </c>
      <c r="S878" s="35" t="str">
        <f aca="false">IF($P878="","",INDEX(BookRate,873)*$P878)</f>
        <v/>
      </c>
      <c r="T878" s="35" t="str">
        <f aca="false">IF($R878="","",$R878-$K878)</f>
        <v/>
      </c>
      <c r="U878" s="35" t="str">
        <f aca="false">IF(N($P878)&lt;=0,"",COUNTIF($P$6:$P878,"&gt;0"))</f>
        <v/>
      </c>
    </row>
    <row r="879" customFormat="false" ht="15" hidden="false" customHeight="false" outlineLevel="0" collapsed="false">
      <c r="A879" s="40" t="str">
        <f aca="false">IF(INDEX(BookTitle,874)="","",INDEX(BookGroup,874))</f>
        <v/>
      </c>
      <c r="B879" s="40" t="str">
        <f aca="false">IF(INDEX(BookTitle,874)="","",INDEX(BookRef,874))</f>
        <v/>
      </c>
      <c r="C879" s="40" t="str">
        <f aca="false">IF(INDEX(BookTitle,874)="","",INDEX(BookDivision,874))</f>
        <v/>
      </c>
      <c r="D879" s="40" t="str">
        <f aca="false">IF(INDEX(BookTitle,874)="","",INDEX(BookUnit,874))</f>
        <v/>
      </c>
      <c r="E879" s="40" t="str">
        <f aca="false">IF(INDEX(BookTitle,874)="","",INDEX(BookTitle,874))</f>
        <v/>
      </c>
      <c r="F879" s="40" t="str">
        <f aca="false">IF(INDEX(BookTitle,874)="","",INDEX(BookLevel,874))</f>
        <v/>
      </c>
      <c r="G879" s="40" t="str">
        <f aca="false">IF(INDEX(BookTitle,874)="","",INDEX(BookCategory,874))</f>
        <v/>
      </c>
      <c r="H879" s="40" t="str">
        <f aca="false">IF(INDEX(BookTitle,874)="","",INDEX(BookRank,874))</f>
        <v/>
      </c>
      <c r="I879" s="41" t="str">
        <f aca="false">IF(INDEX(BookTitle,874)="","",INDEX(BookTotal,874))</f>
        <v/>
      </c>
      <c r="J879" s="0" t="str">
        <f aca="false">IF($I879="","",IF(INDEX(BookQ1,874)&gt;0,"Q1",IF(INDEX(BookQ2,874)&gt;0,"Q2",IF(INDEX(BookQ3,874)&gt;0,"Q3",IF(INDEX(BookQ4,874)&gt;0,"Q4","")))))</f>
        <v/>
      </c>
      <c r="K879" s="42" t="str">
        <f aca="false">IF(INDEX(BookTitle,874)="","",INDEX(BookInYear,874))</f>
        <v/>
      </c>
      <c r="L879" s="19"/>
      <c r="M879" s="39"/>
      <c r="N879" s="19"/>
      <c r="O879" s="19"/>
      <c r="P879" s="43" t="str">
        <f aca="false">IF($E879="","",IF($L879="Decline",0,IF($L879="Approve fewer",IF($M879="","",$M879),IF($L879="","",$I879))))</f>
        <v/>
      </c>
      <c r="Q879" s="34" t="str">
        <f aca="false">IF($P879="","",IF($N879&lt;&gt;"",$N879,$J879))</f>
        <v/>
      </c>
      <c r="R879" s="35" t="str">
        <f aca="false">IF(OR($P879="",$Q879=""),"",INDEX(BookRate,874)*$P879*(5-MATCH($Q879,{"Q1";"Q2";"Q3";"Q4"},0))/4+INDEX(BookOneOff,874)*$P879)</f>
        <v/>
      </c>
      <c r="S879" s="35" t="str">
        <f aca="false">IF($P879="","",INDEX(BookRate,874)*$P879)</f>
        <v/>
      </c>
      <c r="T879" s="35" t="str">
        <f aca="false">IF($R879="","",$R879-$K879)</f>
        <v/>
      </c>
      <c r="U879" s="35" t="str">
        <f aca="false">IF(N($P879)&lt;=0,"",COUNTIF($P$6:$P879,"&gt;0"))</f>
        <v/>
      </c>
    </row>
    <row r="880" customFormat="false" ht="15" hidden="false" customHeight="false" outlineLevel="0" collapsed="false">
      <c r="A880" s="40" t="str">
        <f aca="false">IF(INDEX(BookTitle,875)="","",INDEX(BookGroup,875))</f>
        <v/>
      </c>
      <c r="B880" s="40" t="str">
        <f aca="false">IF(INDEX(BookTitle,875)="","",INDEX(BookRef,875))</f>
        <v/>
      </c>
      <c r="C880" s="40" t="str">
        <f aca="false">IF(INDEX(BookTitle,875)="","",INDEX(BookDivision,875))</f>
        <v/>
      </c>
      <c r="D880" s="40" t="str">
        <f aca="false">IF(INDEX(BookTitle,875)="","",INDEX(BookUnit,875))</f>
        <v/>
      </c>
      <c r="E880" s="40" t="str">
        <f aca="false">IF(INDEX(BookTitle,875)="","",INDEX(BookTitle,875))</f>
        <v/>
      </c>
      <c r="F880" s="40" t="str">
        <f aca="false">IF(INDEX(BookTitle,875)="","",INDEX(BookLevel,875))</f>
        <v/>
      </c>
      <c r="G880" s="40" t="str">
        <f aca="false">IF(INDEX(BookTitle,875)="","",INDEX(BookCategory,875))</f>
        <v/>
      </c>
      <c r="H880" s="40" t="str">
        <f aca="false">IF(INDEX(BookTitle,875)="","",INDEX(BookRank,875))</f>
        <v/>
      </c>
      <c r="I880" s="41" t="str">
        <f aca="false">IF(INDEX(BookTitle,875)="","",INDEX(BookTotal,875))</f>
        <v/>
      </c>
      <c r="J880" s="0" t="str">
        <f aca="false">IF($I880="","",IF(INDEX(BookQ1,875)&gt;0,"Q1",IF(INDEX(BookQ2,875)&gt;0,"Q2",IF(INDEX(BookQ3,875)&gt;0,"Q3",IF(INDEX(BookQ4,875)&gt;0,"Q4","")))))</f>
        <v/>
      </c>
      <c r="K880" s="42" t="str">
        <f aca="false">IF(INDEX(BookTitle,875)="","",INDEX(BookInYear,875))</f>
        <v/>
      </c>
      <c r="L880" s="19"/>
      <c r="M880" s="39"/>
      <c r="N880" s="19"/>
      <c r="O880" s="19"/>
      <c r="P880" s="43" t="str">
        <f aca="false">IF($E880="","",IF($L880="Decline",0,IF($L880="Approve fewer",IF($M880="","",$M880),IF($L880="","",$I880))))</f>
        <v/>
      </c>
      <c r="Q880" s="34" t="str">
        <f aca="false">IF($P880="","",IF($N880&lt;&gt;"",$N880,$J880))</f>
        <v/>
      </c>
      <c r="R880" s="35" t="str">
        <f aca="false">IF(OR($P880="",$Q880=""),"",INDEX(BookRate,875)*$P880*(5-MATCH($Q880,{"Q1";"Q2";"Q3";"Q4"},0))/4+INDEX(BookOneOff,875)*$P880)</f>
        <v/>
      </c>
      <c r="S880" s="35" t="str">
        <f aca="false">IF($P880="","",INDEX(BookRate,875)*$P880)</f>
        <v/>
      </c>
      <c r="T880" s="35" t="str">
        <f aca="false">IF($R880="","",$R880-$K880)</f>
        <v/>
      </c>
      <c r="U880" s="35" t="str">
        <f aca="false">IF(N($P880)&lt;=0,"",COUNTIF($P$6:$P880,"&gt;0"))</f>
        <v/>
      </c>
    </row>
    <row r="881" customFormat="false" ht="15" hidden="false" customHeight="false" outlineLevel="0" collapsed="false">
      <c r="A881" s="40" t="str">
        <f aca="false">IF(INDEX(BookTitle,876)="","",INDEX(BookGroup,876))</f>
        <v/>
      </c>
      <c r="B881" s="40" t="str">
        <f aca="false">IF(INDEX(BookTitle,876)="","",INDEX(BookRef,876))</f>
        <v/>
      </c>
      <c r="C881" s="40" t="str">
        <f aca="false">IF(INDEX(BookTitle,876)="","",INDEX(BookDivision,876))</f>
        <v/>
      </c>
      <c r="D881" s="40" t="str">
        <f aca="false">IF(INDEX(BookTitle,876)="","",INDEX(BookUnit,876))</f>
        <v/>
      </c>
      <c r="E881" s="40" t="str">
        <f aca="false">IF(INDEX(BookTitle,876)="","",INDEX(BookTitle,876))</f>
        <v/>
      </c>
      <c r="F881" s="40" t="str">
        <f aca="false">IF(INDEX(BookTitle,876)="","",INDEX(BookLevel,876))</f>
        <v/>
      </c>
      <c r="G881" s="40" t="str">
        <f aca="false">IF(INDEX(BookTitle,876)="","",INDEX(BookCategory,876))</f>
        <v/>
      </c>
      <c r="H881" s="40" t="str">
        <f aca="false">IF(INDEX(BookTitle,876)="","",INDEX(BookRank,876))</f>
        <v/>
      </c>
      <c r="I881" s="41" t="str">
        <f aca="false">IF(INDEX(BookTitle,876)="","",INDEX(BookTotal,876))</f>
        <v/>
      </c>
      <c r="J881" s="0" t="str">
        <f aca="false">IF($I881="","",IF(INDEX(BookQ1,876)&gt;0,"Q1",IF(INDEX(BookQ2,876)&gt;0,"Q2",IF(INDEX(BookQ3,876)&gt;0,"Q3",IF(INDEX(BookQ4,876)&gt;0,"Q4","")))))</f>
        <v/>
      </c>
      <c r="K881" s="42" t="str">
        <f aca="false">IF(INDEX(BookTitle,876)="","",INDEX(BookInYear,876))</f>
        <v/>
      </c>
      <c r="L881" s="19"/>
      <c r="M881" s="39"/>
      <c r="N881" s="19"/>
      <c r="O881" s="19"/>
      <c r="P881" s="43" t="str">
        <f aca="false">IF($E881="","",IF($L881="Decline",0,IF($L881="Approve fewer",IF($M881="","",$M881),IF($L881="","",$I881))))</f>
        <v/>
      </c>
      <c r="Q881" s="34" t="str">
        <f aca="false">IF($P881="","",IF($N881&lt;&gt;"",$N881,$J881))</f>
        <v/>
      </c>
      <c r="R881" s="35" t="str">
        <f aca="false">IF(OR($P881="",$Q881=""),"",INDEX(BookRate,876)*$P881*(5-MATCH($Q881,{"Q1";"Q2";"Q3";"Q4"},0))/4+INDEX(BookOneOff,876)*$P881)</f>
        <v/>
      </c>
      <c r="S881" s="35" t="str">
        <f aca="false">IF($P881="","",INDEX(BookRate,876)*$P881)</f>
        <v/>
      </c>
      <c r="T881" s="35" t="str">
        <f aca="false">IF($R881="","",$R881-$K881)</f>
        <v/>
      </c>
      <c r="U881" s="35" t="str">
        <f aca="false">IF(N($P881)&lt;=0,"",COUNTIF($P$6:$P881,"&gt;0"))</f>
        <v/>
      </c>
    </row>
    <row r="882" customFormat="false" ht="15" hidden="false" customHeight="false" outlineLevel="0" collapsed="false">
      <c r="A882" s="40" t="str">
        <f aca="false">IF(INDEX(BookTitle,877)="","",INDEX(BookGroup,877))</f>
        <v/>
      </c>
      <c r="B882" s="40" t="str">
        <f aca="false">IF(INDEX(BookTitle,877)="","",INDEX(BookRef,877))</f>
        <v/>
      </c>
      <c r="C882" s="40" t="str">
        <f aca="false">IF(INDEX(BookTitle,877)="","",INDEX(BookDivision,877))</f>
        <v/>
      </c>
      <c r="D882" s="40" t="str">
        <f aca="false">IF(INDEX(BookTitle,877)="","",INDEX(BookUnit,877))</f>
        <v/>
      </c>
      <c r="E882" s="40" t="str">
        <f aca="false">IF(INDEX(BookTitle,877)="","",INDEX(BookTitle,877))</f>
        <v/>
      </c>
      <c r="F882" s="40" t="str">
        <f aca="false">IF(INDEX(BookTitle,877)="","",INDEX(BookLevel,877))</f>
        <v/>
      </c>
      <c r="G882" s="40" t="str">
        <f aca="false">IF(INDEX(BookTitle,877)="","",INDEX(BookCategory,877))</f>
        <v/>
      </c>
      <c r="H882" s="40" t="str">
        <f aca="false">IF(INDEX(BookTitle,877)="","",INDEX(BookRank,877))</f>
        <v/>
      </c>
      <c r="I882" s="41" t="str">
        <f aca="false">IF(INDEX(BookTitle,877)="","",INDEX(BookTotal,877))</f>
        <v/>
      </c>
      <c r="J882" s="0" t="str">
        <f aca="false">IF($I882="","",IF(INDEX(BookQ1,877)&gt;0,"Q1",IF(INDEX(BookQ2,877)&gt;0,"Q2",IF(INDEX(BookQ3,877)&gt;0,"Q3",IF(INDEX(BookQ4,877)&gt;0,"Q4","")))))</f>
        <v/>
      </c>
      <c r="K882" s="42" t="str">
        <f aca="false">IF(INDEX(BookTitle,877)="","",INDEX(BookInYear,877))</f>
        <v/>
      </c>
      <c r="L882" s="19"/>
      <c r="M882" s="39"/>
      <c r="N882" s="19"/>
      <c r="O882" s="19"/>
      <c r="P882" s="43" t="str">
        <f aca="false">IF($E882="","",IF($L882="Decline",0,IF($L882="Approve fewer",IF($M882="","",$M882),IF($L882="","",$I882))))</f>
        <v/>
      </c>
      <c r="Q882" s="34" t="str">
        <f aca="false">IF($P882="","",IF($N882&lt;&gt;"",$N882,$J882))</f>
        <v/>
      </c>
      <c r="R882" s="35" t="str">
        <f aca="false">IF(OR($P882="",$Q882=""),"",INDEX(BookRate,877)*$P882*(5-MATCH($Q882,{"Q1";"Q2";"Q3";"Q4"},0))/4+INDEX(BookOneOff,877)*$P882)</f>
        <v/>
      </c>
      <c r="S882" s="35" t="str">
        <f aca="false">IF($P882="","",INDEX(BookRate,877)*$P882)</f>
        <v/>
      </c>
      <c r="T882" s="35" t="str">
        <f aca="false">IF($R882="","",$R882-$K882)</f>
        <v/>
      </c>
      <c r="U882" s="35" t="str">
        <f aca="false">IF(N($P882)&lt;=0,"",COUNTIF($P$6:$P882,"&gt;0"))</f>
        <v/>
      </c>
    </row>
    <row r="883" customFormat="false" ht="15" hidden="false" customHeight="false" outlineLevel="0" collapsed="false">
      <c r="A883" s="40" t="str">
        <f aca="false">IF(INDEX(BookTitle,878)="","",INDEX(BookGroup,878))</f>
        <v/>
      </c>
      <c r="B883" s="40" t="str">
        <f aca="false">IF(INDEX(BookTitle,878)="","",INDEX(BookRef,878))</f>
        <v/>
      </c>
      <c r="C883" s="40" t="str">
        <f aca="false">IF(INDEX(BookTitle,878)="","",INDEX(BookDivision,878))</f>
        <v/>
      </c>
      <c r="D883" s="40" t="str">
        <f aca="false">IF(INDEX(BookTitle,878)="","",INDEX(BookUnit,878))</f>
        <v/>
      </c>
      <c r="E883" s="40" t="str">
        <f aca="false">IF(INDEX(BookTitle,878)="","",INDEX(BookTitle,878))</f>
        <v/>
      </c>
      <c r="F883" s="40" t="str">
        <f aca="false">IF(INDEX(BookTitle,878)="","",INDEX(BookLevel,878))</f>
        <v/>
      </c>
      <c r="G883" s="40" t="str">
        <f aca="false">IF(INDEX(BookTitle,878)="","",INDEX(BookCategory,878))</f>
        <v/>
      </c>
      <c r="H883" s="40" t="str">
        <f aca="false">IF(INDEX(BookTitle,878)="","",INDEX(BookRank,878))</f>
        <v/>
      </c>
      <c r="I883" s="41" t="str">
        <f aca="false">IF(INDEX(BookTitle,878)="","",INDEX(BookTotal,878))</f>
        <v/>
      </c>
      <c r="J883" s="0" t="str">
        <f aca="false">IF($I883="","",IF(INDEX(BookQ1,878)&gt;0,"Q1",IF(INDEX(BookQ2,878)&gt;0,"Q2",IF(INDEX(BookQ3,878)&gt;0,"Q3",IF(INDEX(BookQ4,878)&gt;0,"Q4","")))))</f>
        <v/>
      </c>
      <c r="K883" s="42" t="str">
        <f aca="false">IF(INDEX(BookTitle,878)="","",INDEX(BookInYear,878))</f>
        <v/>
      </c>
      <c r="L883" s="19"/>
      <c r="M883" s="39"/>
      <c r="N883" s="19"/>
      <c r="O883" s="19"/>
      <c r="P883" s="43" t="str">
        <f aca="false">IF($E883="","",IF($L883="Decline",0,IF($L883="Approve fewer",IF($M883="","",$M883),IF($L883="","",$I883))))</f>
        <v/>
      </c>
      <c r="Q883" s="34" t="str">
        <f aca="false">IF($P883="","",IF($N883&lt;&gt;"",$N883,$J883))</f>
        <v/>
      </c>
      <c r="R883" s="35" t="str">
        <f aca="false">IF(OR($P883="",$Q883=""),"",INDEX(BookRate,878)*$P883*(5-MATCH($Q883,{"Q1";"Q2";"Q3";"Q4"},0))/4+INDEX(BookOneOff,878)*$P883)</f>
        <v/>
      </c>
      <c r="S883" s="35" t="str">
        <f aca="false">IF($P883="","",INDEX(BookRate,878)*$P883)</f>
        <v/>
      </c>
      <c r="T883" s="35" t="str">
        <f aca="false">IF($R883="","",$R883-$K883)</f>
        <v/>
      </c>
      <c r="U883" s="35" t="str">
        <f aca="false">IF(N($P883)&lt;=0,"",COUNTIF($P$6:$P883,"&gt;0"))</f>
        <v/>
      </c>
    </row>
    <row r="884" customFormat="false" ht="15" hidden="false" customHeight="false" outlineLevel="0" collapsed="false">
      <c r="A884" s="40" t="str">
        <f aca="false">IF(INDEX(BookTitle,879)="","",INDEX(BookGroup,879))</f>
        <v/>
      </c>
      <c r="B884" s="40" t="str">
        <f aca="false">IF(INDEX(BookTitle,879)="","",INDEX(BookRef,879))</f>
        <v/>
      </c>
      <c r="C884" s="40" t="str">
        <f aca="false">IF(INDEX(BookTitle,879)="","",INDEX(BookDivision,879))</f>
        <v/>
      </c>
      <c r="D884" s="40" t="str">
        <f aca="false">IF(INDEX(BookTitle,879)="","",INDEX(BookUnit,879))</f>
        <v/>
      </c>
      <c r="E884" s="40" t="str">
        <f aca="false">IF(INDEX(BookTitle,879)="","",INDEX(BookTitle,879))</f>
        <v/>
      </c>
      <c r="F884" s="40" t="str">
        <f aca="false">IF(INDEX(BookTitle,879)="","",INDEX(BookLevel,879))</f>
        <v/>
      </c>
      <c r="G884" s="40" t="str">
        <f aca="false">IF(INDEX(BookTitle,879)="","",INDEX(BookCategory,879))</f>
        <v/>
      </c>
      <c r="H884" s="40" t="str">
        <f aca="false">IF(INDEX(BookTitle,879)="","",INDEX(BookRank,879))</f>
        <v/>
      </c>
      <c r="I884" s="41" t="str">
        <f aca="false">IF(INDEX(BookTitle,879)="","",INDEX(BookTotal,879))</f>
        <v/>
      </c>
      <c r="J884" s="0" t="str">
        <f aca="false">IF($I884="","",IF(INDEX(BookQ1,879)&gt;0,"Q1",IF(INDEX(BookQ2,879)&gt;0,"Q2",IF(INDEX(BookQ3,879)&gt;0,"Q3",IF(INDEX(BookQ4,879)&gt;0,"Q4","")))))</f>
        <v/>
      </c>
      <c r="K884" s="42" t="str">
        <f aca="false">IF(INDEX(BookTitle,879)="","",INDEX(BookInYear,879))</f>
        <v/>
      </c>
      <c r="L884" s="19"/>
      <c r="M884" s="39"/>
      <c r="N884" s="19"/>
      <c r="O884" s="19"/>
      <c r="P884" s="43" t="str">
        <f aca="false">IF($E884="","",IF($L884="Decline",0,IF($L884="Approve fewer",IF($M884="","",$M884),IF($L884="","",$I884))))</f>
        <v/>
      </c>
      <c r="Q884" s="34" t="str">
        <f aca="false">IF($P884="","",IF($N884&lt;&gt;"",$N884,$J884))</f>
        <v/>
      </c>
      <c r="R884" s="35" t="str">
        <f aca="false">IF(OR($P884="",$Q884=""),"",INDEX(BookRate,879)*$P884*(5-MATCH($Q884,{"Q1";"Q2";"Q3";"Q4"},0))/4+INDEX(BookOneOff,879)*$P884)</f>
        <v/>
      </c>
      <c r="S884" s="35" t="str">
        <f aca="false">IF($P884="","",INDEX(BookRate,879)*$P884)</f>
        <v/>
      </c>
      <c r="T884" s="35" t="str">
        <f aca="false">IF($R884="","",$R884-$K884)</f>
        <v/>
      </c>
      <c r="U884" s="35" t="str">
        <f aca="false">IF(N($P884)&lt;=0,"",COUNTIF($P$6:$P884,"&gt;0"))</f>
        <v/>
      </c>
    </row>
    <row r="885" customFormat="false" ht="15" hidden="false" customHeight="false" outlineLevel="0" collapsed="false">
      <c r="A885" s="40" t="str">
        <f aca="false">IF(INDEX(BookTitle,880)="","",INDEX(BookGroup,880))</f>
        <v/>
      </c>
      <c r="B885" s="40" t="str">
        <f aca="false">IF(INDEX(BookTitle,880)="","",INDEX(BookRef,880))</f>
        <v/>
      </c>
      <c r="C885" s="40" t="str">
        <f aca="false">IF(INDEX(BookTitle,880)="","",INDEX(BookDivision,880))</f>
        <v/>
      </c>
      <c r="D885" s="40" t="str">
        <f aca="false">IF(INDEX(BookTitle,880)="","",INDEX(BookUnit,880))</f>
        <v/>
      </c>
      <c r="E885" s="40" t="str">
        <f aca="false">IF(INDEX(BookTitle,880)="","",INDEX(BookTitle,880))</f>
        <v/>
      </c>
      <c r="F885" s="40" t="str">
        <f aca="false">IF(INDEX(BookTitle,880)="","",INDEX(BookLevel,880))</f>
        <v/>
      </c>
      <c r="G885" s="40" t="str">
        <f aca="false">IF(INDEX(BookTitle,880)="","",INDEX(BookCategory,880))</f>
        <v/>
      </c>
      <c r="H885" s="40" t="str">
        <f aca="false">IF(INDEX(BookTitle,880)="","",INDEX(BookRank,880))</f>
        <v/>
      </c>
      <c r="I885" s="41" t="str">
        <f aca="false">IF(INDEX(BookTitle,880)="","",INDEX(BookTotal,880))</f>
        <v/>
      </c>
      <c r="J885" s="0" t="str">
        <f aca="false">IF($I885="","",IF(INDEX(BookQ1,880)&gt;0,"Q1",IF(INDEX(BookQ2,880)&gt;0,"Q2",IF(INDEX(BookQ3,880)&gt;0,"Q3",IF(INDEX(BookQ4,880)&gt;0,"Q4","")))))</f>
        <v/>
      </c>
      <c r="K885" s="42" t="str">
        <f aca="false">IF(INDEX(BookTitle,880)="","",INDEX(BookInYear,880))</f>
        <v/>
      </c>
      <c r="L885" s="19"/>
      <c r="M885" s="39"/>
      <c r="N885" s="19"/>
      <c r="O885" s="19"/>
      <c r="P885" s="43" t="str">
        <f aca="false">IF($E885="","",IF($L885="Decline",0,IF($L885="Approve fewer",IF($M885="","",$M885),IF($L885="","",$I885))))</f>
        <v/>
      </c>
      <c r="Q885" s="34" t="str">
        <f aca="false">IF($P885="","",IF($N885&lt;&gt;"",$N885,$J885))</f>
        <v/>
      </c>
      <c r="R885" s="35" t="str">
        <f aca="false">IF(OR($P885="",$Q885=""),"",INDEX(BookRate,880)*$P885*(5-MATCH($Q885,{"Q1";"Q2";"Q3";"Q4"},0))/4+INDEX(BookOneOff,880)*$P885)</f>
        <v/>
      </c>
      <c r="S885" s="35" t="str">
        <f aca="false">IF($P885="","",INDEX(BookRate,880)*$P885)</f>
        <v/>
      </c>
      <c r="T885" s="35" t="str">
        <f aca="false">IF($R885="","",$R885-$K885)</f>
        <v/>
      </c>
      <c r="U885" s="35" t="str">
        <f aca="false">IF(N($P885)&lt;=0,"",COUNTIF($P$6:$P885,"&gt;0"))</f>
        <v/>
      </c>
    </row>
    <row r="886" customFormat="false" ht="15" hidden="false" customHeight="false" outlineLevel="0" collapsed="false">
      <c r="A886" s="40" t="str">
        <f aca="false">IF(INDEX(BookTitle,881)="","",INDEX(BookGroup,881))</f>
        <v/>
      </c>
      <c r="B886" s="40" t="str">
        <f aca="false">IF(INDEX(BookTitle,881)="","",INDEX(BookRef,881))</f>
        <v/>
      </c>
      <c r="C886" s="40" t="str">
        <f aca="false">IF(INDEX(BookTitle,881)="","",INDEX(BookDivision,881))</f>
        <v/>
      </c>
      <c r="D886" s="40" t="str">
        <f aca="false">IF(INDEX(BookTitle,881)="","",INDEX(BookUnit,881))</f>
        <v/>
      </c>
      <c r="E886" s="40" t="str">
        <f aca="false">IF(INDEX(BookTitle,881)="","",INDEX(BookTitle,881))</f>
        <v/>
      </c>
      <c r="F886" s="40" t="str">
        <f aca="false">IF(INDEX(BookTitle,881)="","",INDEX(BookLevel,881))</f>
        <v/>
      </c>
      <c r="G886" s="40" t="str">
        <f aca="false">IF(INDEX(BookTitle,881)="","",INDEX(BookCategory,881))</f>
        <v/>
      </c>
      <c r="H886" s="40" t="str">
        <f aca="false">IF(INDEX(BookTitle,881)="","",INDEX(BookRank,881))</f>
        <v/>
      </c>
      <c r="I886" s="41" t="str">
        <f aca="false">IF(INDEX(BookTitle,881)="","",INDEX(BookTotal,881))</f>
        <v/>
      </c>
      <c r="J886" s="0" t="str">
        <f aca="false">IF($I886="","",IF(INDEX(BookQ1,881)&gt;0,"Q1",IF(INDEX(BookQ2,881)&gt;0,"Q2",IF(INDEX(BookQ3,881)&gt;0,"Q3",IF(INDEX(BookQ4,881)&gt;0,"Q4","")))))</f>
        <v/>
      </c>
      <c r="K886" s="42" t="str">
        <f aca="false">IF(INDEX(BookTitle,881)="","",INDEX(BookInYear,881))</f>
        <v/>
      </c>
      <c r="L886" s="19"/>
      <c r="M886" s="39"/>
      <c r="N886" s="19"/>
      <c r="O886" s="19"/>
      <c r="P886" s="43" t="str">
        <f aca="false">IF($E886="","",IF($L886="Decline",0,IF($L886="Approve fewer",IF($M886="","",$M886),IF($L886="","",$I886))))</f>
        <v/>
      </c>
      <c r="Q886" s="34" t="str">
        <f aca="false">IF($P886="","",IF($N886&lt;&gt;"",$N886,$J886))</f>
        <v/>
      </c>
      <c r="R886" s="35" t="str">
        <f aca="false">IF(OR($P886="",$Q886=""),"",INDEX(BookRate,881)*$P886*(5-MATCH($Q886,{"Q1";"Q2";"Q3";"Q4"},0))/4+INDEX(BookOneOff,881)*$P886)</f>
        <v/>
      </c>
      <c r="S886" s="35" t="str">
        <f aca="false">IF($P886="","",INDEX(BookRate,881)*$P886)</f>
        <v/>
      </c>
      <c r="T886" s="35" t="str">
        <f aca="false">IF($R886="","",$R886-$K886)</f>
        <v/>
      </c>
      <c r="U886" s="35" t="str">
        <f aca="false">IF(N($P886)&lt;=0,"",COUNTIF($P$6:$P886,"&gt;0"))</f>
        <v/>
      </c>
    </row>
    <row r="887" customFormat="false" ht="15" hidden="false" customHeight="false" outlineLevel="0" collapsed="false">
      <c r="A887" s="40" t="str">
        <f aca="false">IF(INDEX(BookTitle,882)="","",INDEX(BookGroup,882))</f>
        <v/>
      </c>
      <c r="B887" s="40" t="str">
        <f aca="false">IF(INDEX(BookTitle,882)="","",INDEX(BookRef,882))</f>
        <v/>
      </c>
      <c r="C887" s="40" t="str">
        <f aca="false">IF(INDEX(BookTitle,882)="","",INDEX(BookDivision,882))</f>
        <v/>
      </c>
      <c r="D887" s="40" t="str">
        <f aca="false">IF(INDEX(BookTitle,882)="","",INDEX(BookUnit,882))</f>
        <v/>
      </c>
      <c r="E887" s="40" t="str">
        <f aca="false">IF(INDEX(BookTitle,882)="","",INDEX(BookTitle,882))</f>
        <v/>
      </c>
      <c r="F887" s="40" t="str">
        <f aca="false">IF(INDEX(BookTitle,882)="","",INDEX(BookLevel,882))</f>
        <v/>
      </c>
      <c r="G887" s="40" t="str">
        <f aca="false">IF(INDEX(BookTitle,882)="","",INDEX(BookCategory,882))</f>
        <v/>
      </c>
      <c r="H887" s="40" t="str">
        <f aca="false">IF(INDEX(BookTitle,882)="","",INDEX(BookRank,882))</f>
        <v/>
      </c>
      <c r="I887" s="41" t="str">
        <f aca="false">IF(INDEX(BookTitle,882)="","",INDEX(BookTotal,882))</f>
        <v/>
      </c>
      <c r="J887" s="0" t="str">
        <f aca="false">IF($I887="","",IF(INDEX(BookQ1,882)&gt;0,"Q1",IF(INDEX(BookQ2,882)&gt;0,"Q2",IF(INDEX(BookQ3,882)&gt;0,"Q3",IF(INDEX(BookQ4,882)&gt;0,"Q4","")))))</f>
        <v/>
      </c>
      <c r="K887" s="42" t="str">
        <f aca="false">IF(INDEX(BookTitle,882)="","",INDEX(BookInYear,882))</f>
        <v/>
      </c>
      <c r="L887" s="19"/>
      <c r="M887" s="39"/>
      <c r="N887" s="19"/>
      <c r="O887" s="19"/>
      <c r="P887" s="43" t="str">
        <f aca="false">IF($E887="","",IF($L887="Decline",0,IF($L887="Approve fewer",IF($M887="","",$M887),IF($L887="","",$I887))))</f>
        <v/>
      </c>
      <c r="Q887" s="34" t="str">
        <f aca="false">IF($P887="","",IF($N887&lt;&gt;"",$N887,$J887))</f>
        <v/>
      </c>
      <c r="R887" s="35" t="str">
        <f aca="false">IF(OR($P887="",$Q887=""),"",INDEX(BookRate,882)*$P887*(5-MATCH($Q887,{"Q1";"Q2";"Q3";"Q4"},0))/4+INDEX(BookOneOff,882)*$P887)</f>
        <v/>
      </c>
      <c r="S887" s="35" t="str">
        <f aca="false">IF($P887="","",INDEX(BookRate,882)*$P887)</f>
        <v/>
      </c>
      <c r="T887" s="35" t="str">
        <f aca="false">IF($R887="","",$R887-$K887)</f>
        <v/>
      </c>
      <c r="U887" s="35" t="str">
        <f aca="false">IF(N($P887)&lt;=0,"",COUNTIF($P$6:$P887,"&gt;0"))</f>
        <v/>
      </c>
    </row>
    <row r="888" customFormat="false" ht="15" hidden="false" customHeight="false" outlineLevel="0" collapsed="false">
      <c r="A888" s="40" t="str">
        <f aca="false">IF(INDEX(BookTitle,883)="","",INDEX(BookGroup,883))</f>
        <v/>
      </c>
      <c r="B888" s="40" t="str">
        <f aca="false">IF(INDEX(BookTitle,883)="","",INDEX(BookRef,883))</f>
        <v/>
      </c>
      <c r="C888" s="40" t="str">
        <f aca="false">IF(INDEX(BookTitle,883)="","",INDEX(BookDivision,883))</f>
        <v/>
      </c>
      <c r="D888" s="40" t="str">
        <f aca="false">IF(INDEX(BookTitle,883)="","",INDEX(BookUnit,883))</f>
        <v/>
      </c>
      <c r="E888" s="40" t="str">
        <f aca="false">IF(INDEX(BookTitle,883)="","",INDEX(BookTitle,883))</f>
        <v/>
      </c>
      <c r="F888" s="40" t="str">
        <f aca="false">IF(INDEX(BookTitle,883)="","",INDEX(BookLevel,883))</f>
        <v/>
      </c>
      <c r="G888" s="40" t="str">
        <f aca="false">IF(INDEX(BookTitle,883)="","",INDEX(BookCategory,883))</f>
        <v/>
      </c>
      <c r="H888" s="40" t="str">
        <f aca="false">IF(INDEX(BookTitle,883)="","",INDEX(BookRank,883))</f>
        <v/>
      </c>
      <c r="I888" s="41" t="str">
        <f aca="false">IF(INDEX(BookTitle,883)="","",INDEX(BookTotal,883))</f>
        <v/>
      </c>
      <c r="J888" s="0" t="str">
        <f aca="false">IF($I888="","",IF(INDEX(BookQ1,883)&gt;0,"Q1",IF(INDEX(BookQ2,883)&gt;0,"Q2",IF(INDEX(BookQ3,883)&gt;0,"Q3",IF(INDEX(BookQ4,883)&gt;0,"Q4","")))))</f>
        <v/>
      </c>
      <c r="K888" s="42" t="str">
        <f aca="false">IF(INDEX(BookTitle,883)="","",INDEX(BookInYear,883))</f>
        <v/>
      </c>
      <c r="L888" s="19"/>
      <c r="M888" s="39"/>
      <c r="N888" s="19"/>
      <c r="O888" s="19"/>
      <c r="P888" s="43" t="str">
        <f aca="false">IF($E888="","",IF($L888="Decline",0,IF($L888="Approve fewer",IF($M888="","",$M888),IF($L888="","",$I888))))</f>
        <v/>
      </c>
      <c r="Q888" s="34" t="str">
        <f aca="false">IF($P888="","",IF($N888&lt;&gt;"",$N888,$J888))</f>
        <v/>
      </c>
      <c r="R888" s="35" t="str">
        <f aca="false">IF(OR($P888="",$Q888=""),"",INDEX(BookRate,883)*$P888*(5-MATCH($Q888,{"Q1";"Q2";"Q3";"Q4"},0))/4+INDEX(BookOneOff,883)*$P888)</f>
        <v/>
      </c>
      <c r="S888" s="35" t="str">
        <f aca="false">IF($P888="","",INDEX(BookRate,883)*$P888)</f>
        <v/>
      </c>
      <c r="T888" s="35" t="str">
        <f aca="false">IF($R888="","",$R888-$K888)</f>
        <v/>
      </c>
      <c r="U888" s="35" t="str">
        <f aca="false">IF(N($P888)&lt;=0,"",COUNTIF($P$6:$P888,"&gt;0"))</f>
        <v/>
      </c>
    </row>
    <row r="889" customFormat="false" ht="15" hidden="false" customHeight="false" outlineLevel="0" collapsed="false">
      <c r="A889" s="40" t="str">
        <f aca="false">IF(INDEX(BookTitle,884)="","",INDEX(BookGroup,884))</f>
        <v/>
      </c>
      <c r="B889" s="40" t="str">
        <f aca="false">IF(INDEX(BookTitle,884)="","",INDEX(BookRef,884))</f>
        <v/>
      </c>
      <c r="C889" s="40" t="str">
        <f aca="false">IF(INDEX(BookTitle,884)="","",INDEX(BookDivision,884))</f>
        <v/>
      </c>
      <c r="D889" s="40" t="str">
        <f aca="false">IF(INDEX(BookTitle,884)="","",INDEX(BookUnit,884))</f>
        <v/>
      </c>
      <c r="E889" s="40" t="str">
        <f aca="false">IF(INDEX(BookTitle,884)="","",INDEX(BookTitle,884))</f>
        <v/>
      </c>
      <c r="F889" s="40" t="str">
        <f aca="false">IF(INDEX(BookTitle,884)="","",INDEX(BookLevel,884))</f>
        <v/>
      </c>
      <c r="G889" s="40" t="str">
        <f aca="false">IF(INDEX(BookTitle,884)="","",INDEX(BookCategory,884))</f>
        <v/>
      </c>
      <c r="H889" s="40" t="str">
        <f aca="false">IF(INDEX(BookTitle,884)="","",INDEX(BookRank,884))</f>
        <v/>
      </c>
      <c r="I889" s="41" t="str">
        <f aca="false">IF(INDEX(BookTitle,884)="","",INDEX(BookTotal,884))</f>
        <v/>
      </c>
      <c r="J889" s="0" t="str">
        <f aca="false">IF($I889="","",IF(INDEX(BookQ1,884)&gt;0,"Q1",IF(INDEX(BookQ2,884)&gt;0,"Q2",IF(INDEX(BookQ3,884)&gt;0,"Q3",IF(INDEX(BookQ4,884)&gt;0,"Q4","")))))</f>
        <v/>
      </c>
      <c r="K889" s="42" t="str">
        <f aca="false">IF(INDEX(BookTitle,884)="","",INDEX(BookInYear,884))</f>
        <v/>
      </c>
      <c r="L889" s="19"/>
      <c r="M889" s="39"/>
      <c r="N889" s="19"/>
      <c r="O889" s="19"/>
      <c r="P889" s="43" t="str">
        <f aca="false">IF($E889="","",IF($L889="Decline",0,IF($L889="Approve fewer",IF($M889="","",$M889),IF($L889="","",$I889))))</f>
        <v/>
      </c>
      <c r="Q889" s="34" t="str">
        <f aca="false">IF($P889="","",IF($N889&lt;&gt;"",$N889,$J889))</f>
        <v/>
      </c>
      <c r="R889" s="35" t="str">
        <f aca="false">IF(OR($P889="",$Q889=""),"",INDEX(BookRate,884)*$P889*(5-MATCH($Q889,{"Q1";"Q2";"Q3";"Q4"},0))/4+INDEX(BookOneOff,884)*$P889)</f>
        <v/>
      </c>
      <c r="S889" s="35" t="str">
        <f aca="false">IF($P889="","",INDEX(BookRate,884)*$P889)</f>
        <v/>
      </c>
      <c r="T889" s="35" t="str">
        <f aca="false">IF($R889="","",$R889-$K889)</f>
        <v/>
      </c>
      <c r="U889" s="35" t="str">
        <f aca="false">IF(N($P889)&lt;=0,"",COUNTIF($P$6:$P889,"&gt;0"))</f>
        <v/>
      </c>
    </row>
    <row r="890" customFormat="false" ht="15" hidden="false" customHeight="false" outlineLevel="0" collapsed="false">
      <c r="A890" s="40" t="str">
        <f aca="false">IF(INDEX(BookTitle,885)="","",INDEX(BookGroup,885))</f>
        <v/>
      </c>
      <c r="B890" s="40" t="str">
        <f aca="false">IF(INDEX(BookTitle,885)="","",INDEX(BookRef,885))</f>
        <v/>
      </c>
      <c r="C890" s="40" t="str">
        <f aca="false">IF(INDEX(BookTitle,885)="","",INDEX(BookDivision,885))</f>
        <v/>
      </c>
      <c r="D890" s="40" t="str">
        <f aca="false">IF(INDEX(BookTitle,885)="","",INDEX(BookUnit,885))</f>
        <v/>
      </c>
      <c r="E890" s="40" t="str">
        <f aca="false">IF(INDEX(BookTitle,885)="","",INDEX(BookTitle,885))</f>
        <v/>
      </c>
      <c r="F890" s="40" t="str">
        <f aca="false">IF(INDEX(BookTitle,885)="","",INDEX(BookLevel,885))</f>
        <v/>
      </c>
      <c r="G890" s="40" t="str">
        <f aca="false">IF(INDEX(BookTitle,885)="","",INDEX(BookCategory,885))</f>
        <v/>
      </c>
      <c r="H890" s="40" t="str">
        <f aca="false">IF(INDEX(BookTitle,885)="","",INDEX(BookRank,885))</f>
        <v/>
      </c>
      <c r="I890" s="41" t="str">
        <f aca="false">IF(INDEX(BookTitle,885)="","",INDEX(BookTotal,885))</f>
        <v/>
      </c>
      <c r="J890" s="0" t="str">
        <f aca="false">IF($I890="","",IF(INDEX(BookQ1,885)&gt;0,"Q1",IF(INDEX(BookQ2,885)&gt;0,"Q2",IF(INDEX(BookQ3,885)&gt;0,"Q3",IF(INDEX(BookQ4,885)&gt;0,"Q4","")))))</f>
        <v/>
      </c>
      <c r="K890" s="42" t="str">
        <f aca="false">IF(INDEX(BookTitle,885)="","",INDEX(BookInYear,885))</f>
        <v/>
      </c>
      <c r="L890" s="19"/>
      <c r="M890" s="39"/>
      <c r="N890" s="19"/>
      <c r="O890" s="19"/>
      <c r="P890" s="43" t="str">
        <f aca="false">IF($E890="","",IF($L890="Decline",0,IF($L890="Approve fewer",IF($M890="","",$M890),IF($L890="","",$I890))))</f>
        <v/>
      </c>
      <c r="Q890" s="34" t="str">
        <f aca="false">IF($P890="","",IF($N890&lt;&gt;"",$N890,$J890))</f>
        <v/>
      </c>
      <c r="R890" s="35" t="str">
        <f aca="false">IF(OR($P890="",$Q890=""),"",INDEX(BookRate,885)*$P890*(5-MATCH($Q890,{"Q1";"Q2";"Q3";"Q4"},0))/4+INDEX(BookOneOff,885)*$P890)</f>
        <v/>
      </c>
      <c r="S890" s="35" t="str">
        <f aca="false">IF($P890="","",INDEX(BookRate,885)*$P890)</f>
        <v/>
      </c>
      <c r="T890" s="35" t="str">
        <f aca="false">IF($R890="","",$R890-$K890)</f>
        <v/>
      </c>
      <c r="U890" s="35" t="str">
        <f aca="false">IF(N($P890)&lt;=0,"",COUNTIF($P$6:$P890,"&gt;0"))</f>
        <v/>
      </c>
    </row>
    <row r="891" customFormat="false" ht="15" hidden="false" customHeight="false" outlineLevel="0" collapsed="false">
      <c r="A891" s="40" t="str">
        <f aca="false">IF(INDEX(BookTitle,886)="","",INDEX(BookGroup,886))</f>
        <v/>
      </c>
      <c r="B891" s="40" t="str">
        <f aca="false">IF(INDEX(BookTitle,886)="","",INDEX(BookRef,886))</f>
        <v/>
      </c>
      <c r="C891" s="40" t="str">
        <f aca="false">IF(INDEX(BookTitle,886)="","",INDEX(BookDivision,886))</f>
        <v/>
      </c>
      <c r="D891" s="40" t="str">
        <f aca="false">IF(INDEX(BookTitle,886)="","",INDEX(BookUnit,886))</f>
        <v/>
      </c>
      <c r="E891" s="40" t="str">
        <f aca="false">IF(INDEX(BookTitle,886)="","",INDEX(BookTitle,886))</f>
        <v/>
      </c>
      <c r="F891" s="40" t="str">
        <f aca="false">IF(INDEX(BookTitle,886)="","",INDEX(BookLevel,886))</f>
        <v/>
      </c>
      <c r="G891" s="40" t="str">
        <f aca="false">IF(INDEX(BookTitle,886)="","",INDEX(BookCategory,886))</f>
        <v/>
      </c>
      <c r="H891" s="40" t="str">
        <f aca="false">IF(INDEX(BookTitle,886)="","",INDEX(BookRank,886))</f>
        <v/>
      </c>
      <c r="I891" s="41" t="str">
        <f aca="false">IF(INDEX(BookTitle,886)="","",INDEX(BookTotal,886))</f>
        <v/>
      </c>
      <c r="J891" s="0" t="str">
        <f aca="false">IF($I891="","",IF(INDEX(BookQ1,886)&gt;0,"Q1",IF(INDEX(BookQ2,886)&gt;0,"Q2",IF(INDEX(BookQ3,886)&gt;0,"Q3",IF(INDEX(BookQ4,886)&gt;0,"Q4","")))))</f>
        <v/>
      </c>
      <c r="K891" s="42" t="str">
        <f aca="false">IF(INDEX(BookTitle,886)="","",INDEX(BookInYear,886))</f>
        <v/>
      </c>
      <c r="L891" s="19"/>
      <c r="M891" s="39"/>
      <c r="N891" s="19"/>
      <c r="O891" s="19"/>
      <c r="P891" s="43" t="str">
        <f aca="false">IF($E891="","",IF($L891="Decline",0,IF($L891="Approve fewer",IF($M891="","",$M891),IF($L891="","",$I891))))</f>
        <v/>
      </c>
      <c r="Q891" s="34" t="str">
        <f aca="false">IF($P891="","",IF($N891&lt;&gt;"",$N891,$J891))</f>
        <v/>
      </c>
      <c r="R891" s="35" t="str">
        <f aca="false">IF(OR($P891="",$Q891=""),"",INDEX(BookRate,886)*$P891*(5-MATCH($Q891,{"Q1";"Q2";"Q3";"Q4"},0))/4+INDEX(BookOneOff,886)*$P891)</f>
        <v/>
      </c>
      <c r="S891" s="35" t="str">
        <f aca="false">IF($P891="","",INDEX(BookRate,886)*$P891)</f>
        <v/>
      </c>
      <c r="T891" s="35" t="str">
        <f aca="false">IF($R891="","",$R891-$K891)</f>
        <v/>
      </c>
      <c r="U891" s="35" t="str">
        <f aca="false">IF(N($P891)&lt;=0,"",COUNTIF($P$6:$P891,"&gt;0"))</f>
        <v/>
      </c>
    </row>
    <row r="892" customFormat="false" ht="15" hidden="false" customHeight="false" outlineLevel="0" collapsed="false">
      <c r="A892" s="40" t="str">
        <f aca="false">IF(INDEX(BookTitle,887)="","",INDEX(BookGroup,887))</f>
        <v/>
      </c>
      <c r="B892" s="40" t="str">
        <f aca="false">IF(INDEX(BookTitle,887)="","",INDEX(BookRef,887))</f>
        <v/>
      </c>
      <c r="C892" s="40" t="str">
        <f aca="false">IF(INDEX(BookTitle,887)="","",INDEX(BookDivision,887))</f>
        <v/>
      </c>
      <c r="D892" s="40" t="str">
        <f aca="false">IF(INDEX(BookTitle,887)="","",INDEX(BookUnit,887))</f>
        <v/>
      </c>
      <c r="E892" s="40" t="str">
        <f aca="false">IF(INDEX(BookTitle,887)="","",INDEX(BookTitle,887))</f>
        <v/>
      </c>
      <c r="F892" s="40" t="str">
        <f aca="false">IF(INDEX(BookTitle,887)="","",INDEX(BookLevel,887))</f>
        <v/>
      </c>
      <c r="G892" s="40" t="str">
        <f aca="false">IF(INDEX(BookTitle,887)="","",INDEX(BookCategory,887))</f>
        <v/>
      </c>
      <c r="H892" s="40" t="str">
        <f aca="false">IF(INDEX(BookTitle,887)="","",INDEX(BookRank,887))</f>
        <v/>
      </c>
      <c r="I892" s="41" t="str">
        <f aca="false">IF(INDEX(BookTitle,887)="","",INDEX(BookTotal,887))</f>
        <v/>
      </c>
      <c r="J892" s="0" t="str">
        <f aca="false">IF($I892="","",IF(INDEX(BookQ1,887)&gt;0,"Q1",IF(INDEX(BookQ2,887)&gt;0,"Q2",IF(INDEX(BookQ3,887)&gt;0,"Q3",IF(INDEX(BookQ4,887)&gt;0,"Q4","")))))</f>
        <v/>
      </c>
      <c r="K892" s="42" t="str">
        <f aca="false">IF(INDEX(BookTitle,887)="","",INDEX(BookInYear,887))</f>
        <v/>
      </c>
      <c r="L892" s="19"/>
      <c r="M892" s="39"/>
      <c r="N892" s="19"/>
      <c r="O892" s="19"/>
      <c r="P892" s="43" t="str">
        <f aca="false">IF($E892="","",IF($L892="Decline",0,IF($L892="Approve fewer",IF($M892="","",$M892),IF($L892="","",$I892))))</f>
        <v/>
      </c>
      <c r="Q892" s="34" t="str">
        <f aca="false">IF($P892="","",IF($N892&lt;&gt;"",$N892,$J892))</f>
        <v/>
      </c>
      <c r="R892" s="35" t="str">
        <f aca="false">IF(OR($P892="",$Q892=""),"",INDEX(BookRate,887)*$P892*(5-MATCH($Q892,{"Q1";"Q2";"Q3";"Q4"},0))/4+INDEX(BookOneOff,887)*$P892)</f>
        <v/>
      </c>
      <c r="S892" s="35" t="str">
        <f aca="false">IF($P892="","",INDEX(BookRate,887)*$P892)</f>
        <v/>
      </c>
      <c r="T892" s="35" t="str">
        <f aca="false">IF($R892="","",$R892-$K892)</f>
        <v/>
      </c>
      <c r="U892" s="35" t="str">
        <f aca="false">IF(N($P892)&lt;=0,"",COUNTIF($P$6:$P892,"&gt;0"))</f>
        <v/>
      </c>
    </row>
    <row r="893" customFormat="false" ht="15" hidden="false" customHeight="false" outlineLevel="0" collapsed="false">
      <c r="A893" s="40" t="str">
        <f aca="false">IF(INDEX(BookTitle,888)="","",INDEX(BookGroup,888))</f>
        <v/>
      </c>
      <c r="B893" s="40" t="str">
        <f aca="false">IF(INDEX(BookTitle,888)="","",INDEX(BookRef,888))</f>
        <v/>
      </c>
      <c r="C893" s="40" t="str">
        <f aca="false">IF(INDEX(BookTitle,888)="","",INDEX(BookDivision,888))</f>
        <v/>
      </c>
      <c r="D893" s="40" t="str">
        <f aca="false">IF(INDEX(BookTitle,888)="","",INDEX(BookUnit,888))</f>
        <v/>
      </c>
      <c r="E893" s="40" t="str">
        <f aca="false">IF(INDEX(BookTitle,888)="","",INDEX(BookTitle,888))</f>
        <v/>
      </c>
      <c r="F893" s="40" t="str">
        <f aca="false">IF(INDEX(BookTitle,888)="","",INDEX(BookLevel,888))</f>
        <v/>
      </c>
      <c r="G893" s="40" t="str">
        <f aca="false">IF(INDEX(BookTitle,888)="","",INDEX(BookCategory,888))</f>
        <v/>
      </c>
      <c r="H893" s="40" t="str">
        <f aca="false">IF(INDEX(BookTitle,888)="","",INDEX(BookRank,888))</f>
        <v/>
      </c>
      <c r="I893" s="41" t="str">
        <f aca="false">IF(INDEX(BookTitle,888)="","",INDEX(BookTotal,888))</f>
        <v/>
      </c>
      <c r="J893" s="0" t="str">
        <f aca="false">IF($I893="","",IF(INDEX(BookQ1,888)&gt;0,"Q1",IF(INDEX(BookQ2,888)&gt;0,"Q2",IF(INDEX(BookQ3,888)&gt;0,"Q3",IF(INDEX(BookQ4,888)&gt;0,"Q4","")))))</f>
        <v/>
      </c>
      <c r="K893" s="42" t="str">
        <f aca="false">IF(INDEX(BookTitle,888)="","",INDEX(BookInYear,888))</f>
        <v/>
      </c>
      <c r="L893" s="19"/>
      <c r="M893" s="39"/>
      <c r="N893" s="19"/>
      <c r="O893" s="19"/>
      <c r="P893" s="43" t="str">
        <f aca="false">IF($E893="","",IF($L893="Decline",0,IF($L893="Approve fewer",IF($M893="","",$M893),IF($L893="","",$I893))))</f>
        <v/>
      </c>
      <c r="Q893" s="34" t="str">
        <f aca="false">IF($P893="","",IF($N893&lt;&gt;"",$N893,$J893))</f>
        <v/>
      </c>
      <c r="R893" s="35" t="str">
        <f aca="false">IF(OR($P893="",$Q893=""),"",INDEX(BookRate,888)*$P893*(5-MATCH($Q893,{"Q1";"Q2";"Q3";"Q4"},0))/4+INDEX(BookOneOff,888)*$P893)</f>
        <v/>
      </c>
      <c r="S893" s="35" t="str">
        <f aca="false">IF($P893="","",INDEX(BookRate,888)*$P893)</f>
        <v/>
      </c>
      <c r="T893" s="35" t="str">
        <f aca="false">IF($R893="","",$R893-$K893)</f>
        <v/>
      </c>
      <c r="U893" s="35" t="str">
        <f aca="false">IF(N($P893)&lt;=0,"",COUNTIF($P$6:$P893,"&gt;0"))</f>
        <v/>
      </c>
    </row>
    <row r="894" customFormat="false" ht="15" hidden="false" customHeight="false" outlineLevel="0" collapsed="false">
      <c r="A894" s="40" t="str">
        <f aca="false">IF(INDEX(BookTitle,889)="","",INDEX(BookGroup,889))</f>
        <v/>
      </c>
      <c r="B894" s="40" t="str">
        <f aca="false">IF(INDEX(BookTitle,889)="","",INDEX(BookRef,889))</f>
        <v/>
      </c>
      <c r="C894" s="40" t="str">
        <f aca="false">IF(INDEX(BookTitle,889)="","",INDEX(BookDivision,889))</f>
        <v/>
      </c>
      <c r="D894" s="40" t="str">
        <f aca="false">IF(INDEX(BookTitle,889)="","",INDEX(BookUnit,889))</f>
        <v/>
      </c>
      <c r="E894" s="40" t="str">
        <f aca="false">IF(INDEX(BookTitle,889)="","",INDEX(BookTitle,889))</f>
        <v/>
      </c>
      <c r="F894" s="40" t="str">
        <f aca="false">IF(INDEX(BookTitle,889)="","",INDEX(BookLevel,889))</f>
        <v/>
      </c>
      <c r="G894" s="40" t="str">
        <f aca="false">IF(INDEX(BookTitle,889)="","",INDEX(BookCategory,889))</f>
        <v/>
      </c>
      <c r="H894" s="40" t="str">
        <f aca="false">IF(INDEX(BookTitle,889)="","",INDEX(BookRank,889))</f>
        <v/>
      </c>
      <c r="I894" s="41" t="str">
        <f aca="false">IF(INDEX(BookTitle,889)="","",INDEX(BookTotal,889))</f>
        <v/>
      </c>
      <c r="J894" s="0" t="str">
        <f aca="false">IF($I894="","",IF(INDEX(BookQ1,889)&gt;0,"Q1",IF(INDEX(BookQ2,889)&gt;0,"Q2",IF(INDEX(BookQ3,889)&gt;0,"Q3",IF(INDEX(BookQ4,889)&gt;0,"Q4","")))))</f>
        <v/>
      </c>
      <c r="K894" s="42" t="str">
        <f aca="false">IF(INDEX(BookTitle,889)="","",INDEX(BookInYear,889))</f>
        <v/>
      </c>
      <c r="L894" s="19"/>
      <c r="M894" s="39"/>
      <c r="N894" s="19"/>
      <c r="O894" s="19"/>
      <c r="P894" s="43" t="str">
        <f aca="false">IF($E894="","",IF($L894="Decline",0,IF($L894="Approve fewer",IF($M894="","",$M894),IF($L894="","",$I894))))</f>
        <v/>
      </c>
      <c r="Q894" s="34" t="str">
        <f aca="false">IF($P894="","",IF($N894&lt;&gt;"",$N894,$J894))</f>
        <v/>
      </c>
      <c r="R894" s="35" t="str">
        <f aca="false">IF(OR($P894="",$Q894=""),"",INDEX(BookRate,889)*$P894*(5-MATCH($Q894,{"Q1";"Q2";"Q3";"Q4"},0))/4+INDEX(BookOneOff,889)*$P894)</f>
        <v/>
      </c>
      <c r="S894" s="35" t="str">
        <f aca="false">IF($P894="","",INDEX(BookRate,889)*$P894)</f>
        <v/>
      </c>
      <c r="T894" s="35" t="str">
        <f aca="false">IF($R894="","",$R894-$K894)</f>
        <v/>
      </c>
      <c r="U894" s="35" t="str">
        <f aca="false">IF(N($P894)&lt;=0,"",COUNTIF($P$6:$P894,"&gt;0"))</f>
        <v/>
      </c>
    </row>
    <row r="895" customFormat="false" ht="15" hidden="false" customHeight="false" outlineLevel="0" collapsed="false">
      <c r="A895" s="40" t="str">
        <f aca="false">IF(INDEX(BookTitle,890)="","",INDEX(BookGroup,890))</f>
        <v/>
      </c>
      <c r="B895" s="40" t="str">
        <f aca="false">IF(INDEX(BookTitle,890)="","",INDEX(BookRef,890))</f>
        <v/>
      </c>
      <c r="C895" s="40" t="str">
        <f aca="false">IF(INDEX(BookTitle,890)="","",INDEX(BookDivision,890))</f>
        <v/>
      </c>
      <c r="D895" s="40" t="str">
        <f aca="false">IF(INDEX(BookTitle,890)="","",INDEX(BookUnit,890))</f>
        <v/>
      </c>
      <c r="E895" s="40" t="str">
        <f aca="false">IF(INDEX(BookTitle,890)="","",INDEX(BookTitle,890))</f>
        <v/>
      </c>
      <c r="F895" s="40" t="str">
        <f aca="false">IF(INDEX(BookTitle,890)="","",INDEX(BookLevel,890))</f>
        <v/>
      </c>
      <c r="G895" s="40" t="str">
        <f aca="false">IF(INDEX(BookTitle,890)="","",INDEX(BookCategory,890))</f>
        <v/>
      </c>
      <c r="H895" s="40" t="str">
        <f aca="false">IF(INDEX(BookTitle,890)="","",INDEX(BookRank,890))</f>
        <v/>
      </c>
      <c r="I895" s="41" t="str">
        <f aca="false">IF(INDEX(BookTitle,890)="","",INDEX(BookTotal,890))</f>
        <v/>
      </c>
      <c r="J895" s="0" t="str">
        <f aca="false">IF($I895="","",IF(INDEX(BookQ1,890)&gt;0,"Q1",IF(INDEX(BookQ2,890)&gt;0,"Q2",IF(INDEX(BookQ3,890)&gt;0,"Q3",IF(INDEX(BookQ4,890)&gt;0,"Q4","")))))</f>
        <v/>
      </c>
      <c r="K895" s="42" t="str">
        <f aca="false">IF(INDEX(BookTitle,890)="","",INDEX(BookInYear,890))</f>
        <v/>
      </c>
      <c r="L895" s="19"/>
      <c r="M895" s="39"/>
      <c r="N895" s="19"/>
      <c r="O895" s="19"/>
      <c r="P895" s="43" t="str">
        <f aca="false">IF($E895="","",IF($L895="Decline",0,IF($L895="Approve fewer",IF($M895="","",$M895),IF($L895="","",$I895))))</f>
        <v/>
      </c>
      <c r="Q895" s="34" t="str">
        <f aca="false">IF($P895="","",IF($N895&lt;&gt;"",$N895,$J895))</f>
        <v/>
      </c>
      <c r="R895" s="35" t="str">
        <f aca="false">IF(OR($P895="",$Q895=""),"",INDEX(BookRate,890)*$P895*(5-MATCH($Q895,{"Q1";"Q2";"Q3";"Q4"},0))/4+INDEX(BookOneOff,890)*$P895)</f>
        <v/>
      </c>
      <c r="S895" s="35" t="str">
        <f aca="false">IF($P895="","",INDEX(BookRate,890)*$P895)</f>
        <v/>
      </c>
      <c r="T895" s="35" t="str">
        <f aca="false">IF($R895="","",$R895-$K895)</f>
        <v/>
      </c>
      <c r="U895" s="35" t="str">
        <f aca="false">IF(N($P895)&lt;=0,"",COUNTIF($P$6:$P895,"&gt;0"))</f>
        <v/>
      </c>
    </row>
    <row r="896" customFormat="false" ht="15" hidden="false" customHeight="false" outlineLevel="0" collapsed="false">
      <c r="A896" s="40" t="str">
        <f aca="false">IF(INDEX(BookTitle,891)="","",INDEX(BookGroup,891))</f>
        <v/>
      </c>
      <c r="B896" s="40" t="str">
        <f aca="false">IF(INDEX(BookTitle,891)="","",INDEX(BookRef,891))</f>
        <v/>
      </c>
      <c r="C896" s="40" t="str">
        <f aca="false">IF(INDEX(BookTitle,891)="","",INDEX(BookDivision,891))</f>
        <v/>
      </c>
      <c r="D896" s="40" t="str">
        <f aca="false">IF(INDEX(BookTitle,891)="","",INDEX(BookUnit,891))</f>
        <v/>
      </c>
      <c r="E896" s="40" t="str">
        <f aca="false">IF(INDEX(BookTitle,891)="","",INDEX(BookTitle,891))</f>
        <v/>
      </c>
      <c r="F896" s="40" t="str">
        <f aca="false">IF(INDEX(BookTitle,891)="","",INDEX(BookLevel,891))</f>
        <v/>
      </c>
      <c r="G896" s="40" t="str">
        <f aca="false">IF(INDEX(BookTitle,891)="","",INDEX(BookCategory,891))</f>
        <v/>
      </c>
      <c r="H896" s="40" t="str">
        <f aca="false">IF(INDEX(BookTitle,891)="","",INDEX(BookRank,891))</f>
        <v/>
      </c>
      <c r="I896" s="41" t="str">
        <f aca="false">IF(INDEX(BookTitle,891)="","",INDEX(BookTotal,891))</f>
        <v/>
      </c>
      <c r="J896" s="0" t="str">
        <f aca="false">IF($I896="","",IF(INDEX(BookQ1,891)&gt;0,"Q1",IF(INDEX(BookQ2,891)&gt;0,"Q2",IF(INDEX(BookQ3,891)&gt;0,"Q3",IF(INDEX(BookQ4,891)&gt;0,"Q4","")))))</f>
        <v/>
      </c>
      <c r="K896" s="42" t="str">
        <f aca="false">IF(INDEX(BookTitle,891)="","",INDEX(BookInYear,891))</f>
        <v/>
      </c>
      <c r="L896" s="19"/>
      <c r="M896" s="39"/>
      <c r="N896" s="19"/>
      <c r="O896" s="19"/>
      <c r="P896" s="43" t="str">
        <f aca="false">IF($E896="","",IF($L896="Decline",0,IF($L896="Approve fewer",IF($M896="","",$M896),IF($L896="","",$I896))))</f>
        <v/>
      </c>
      <c r="Q896" s="34" t="str">
        <f aca="false">IF($P896="","",IF($N896&lt;&gt;"",$N896,$J896))</f>
        <v/>
      </c>
      <c r="R896" s="35" t="str">
        <f aca="false">IF(OR($P896="",$Q896=""),"",INDEX(BookRate,891)*$P896*(5-MATCH($Q896,{"Q1";"Q2";"Q3";"Q4"},0))/4+INDEX(BookOneOff,891)*$P896)</f>
        <v/>
      </c>
      <c r="S896" s="35" t="str">
        <f aca="false">IF($P896="","",INDEX(BookRate,891)*$P896)</f>
        <v/>
      </c>
      <c r="T896" s="35" t="str">
        <f aca="false">IF($R896="","",$R896-$K896)</f>
        <v/>
      </c>
      <c r="U896" s="35" t="str">
        <f aca="false">IF(N($P896)&lt;=0,"",COUNTIF($P$6:$P896,"&gt;0"))</f>
        <v/>
      </c>
    </row>
    <row r="897" customFormat="false" ht="15" hidden="false" customHeight="false" outlineLevel="0" collapsed="false">
      <c r="A897" s="40" t="str">
        <f aca="false">IF(INDEX(BookTitle,892)="","",INDEX(BookGroup,892))</f>
        <v/>
      </c>
      <c r="B897" s="40" t="str">
        <f aca="false">IF(INDEX(BookTitle,892)="","",INDEX(BookRef,892))</f>
        <v/>
      </c>
      <c r="C897" s="40" t="str">
        <f aca="false">IF(INDEX(BookTitle,892)="","",INDEX(BookDivision,892))</f>
        <v/>
      </c>
      <c r="D897" s="40" t="str">
        <f aca="false">IF(INDEX(BookTitle,892)="","",INDEX(BookUnit,892))</f>
        <v/>
      </c>
      <c r="E897" s="40" t="str">
        <f aca="false">IF(INDEX(BookTitle,892)="","",INDEX(BookTitle,892))</f>
        <v/>
      </c>
      <c r="F897" s="40" t="str">
        <f aca="false">IF(INDEX(BookTitle,892)="","",INDEX(BookLevel,892))</f>
        <v/>
      </c>
      <c r="G897" s="40" t="str">
        <f aca="false">IF(INDEX(BookTitle,892)="","",INDEX(BookCategory,892))</f>
        <v/>
      </c>
      <c r="H897" s="40" t="str">
        <f aca="false">IF(INDEX(BookTitle,892)="","",INDEX(BookRank,892))</f>
        <v/>
      </c>
      <c r="I897" s="41" t="str">
        <f aca="false">IF(INDEX(BookTitle,892)="","",INDEX(BookTotal,892))</f>
        <v/>
      </c>
      <c r="J897" s="0" t="str">
        <f aca="false">IF($I897="","",IF(INDEX(BookQ1,892)&gt;0,"Q1",IF(INDEX(BookQ2,892)&gt;0,"Q2",IF(INDEX(BookQ3,892)&gt;0,"Q3",IF(INDEX(BookQ4,892)&gt;0,"Q4","")))))</f>
        <v/>
      </c>
      <c r="K897" s="42" t="str">
        <f aca="false">IF(INDEX(BookTitle,892)="","",INDEX(BookInYear,892))</f>
        <v/>
      </c>
      <c r="L897" s="19"/>
      <c r="M897" s="39"/>
      <c r="N897" s="19"/>
      <c r="O897" s="19"/>
      <c r="P897" s="43" t="str">
        <f aca="false">IF($E897="","",IF($L897="Decline",0,IF($L897="Approve fewer",IF($M897="","",$M897),IF($L897="","",$I897))))</f>
        <v/>
      </c>
      <c r="Q897" s="34" t="str">
        <f aca="false">IF($P897="","",IF($N897&lt;&gt;"",$N897,$J897))</f>
        <v/>
      </c>
      <c r="R897" s="35" t="str">
        <f aca="false">IF(OR($P897="",$Q897=""),"",INDEX(BookRate,892)*$P897*(5-MATCH($Q897,{"Q1";"Q2";"Q3";"Q4"},0))/4+INDEX(BookOneOff,892)*$P897)</f>
        <v/>
      </c>
      <c r="S897" s="35" t="str">
        <f aca="false">IF($P897="","",INDEX(BookRate,892)*$P897)</f>
        <v/>
      </c>
      <c r="T897" s="35" t="str">
        <f aca="false">IF($R897="","",$R897-$K897)</f>
        <v/>
      </c>
      <c r="U897" s="35" t="str">
        <f aca="false">IF(N($P897)&lt;=0,"",COUNTIF($P$6:$P897,"&gt;0"))</f>
        <v/>
      </c>
    </row>
    <row r="898" customFormat="false" ht="15" hidden="false" customHeight="false" outlineLevel="0" collapsed="false">
      <c r="A898" s="40" t="str">
        <f aca="false">IF(INDEX(BookTitle,893)="","",INDEX(BookGroup,893))</f>
        <v/>
      </c>
      <c r="B898" s="40" t="str">
        <f aca="false">IF(INDEX(BookTitle,893)="","",INDEX(BookRef,893))</f>
        <v/>
      </c>
      <c r="C898" s="40" t="str">
        <f aca="false">IF(INDEX(BookTitle,893)="","",INDEX(BookDivision,893))</f>
        <v/>
      </c>
      <c r="D898" s="40" t="str">
        <f aca="false">IF(INDEX(BookTitle,893)="","",INDEX(BookUnit,893))</f>
        <v/>
      </c>
      <c r="E898" s="40" t="str">
        <f aca="false">IF(INDEX(BookTitle,893)="","",INDEX(BookTitle,893))</f>
        <v/>
      </c>
      <c r="F898" s="40" t="str">
        <f aca="false">IF(INDEX(BookTitle,893)="","",INDEX(BookLevel,893))</f>
        <v/>
      </c>
      <c r="G898" s="40" t="str">
        <f aca="false">IF(INDEX(BookTitle,893)="","",INDEX(BookCategory,893))</f>
        <v/>
      </c>
      <c r="H898" s="40" t="str">
        <f aca="false">IF(INDEX(BookTitle,893)="","",INDEX(BookRank,893))</f>
        <v/>
      </c>
      <c r="I898" s="41" t="str">
        <f aca="false">IF(INDEX(BookTitle,893)="","",INDEX(BookTotal,893))</f>
        <v/>
      </c>
      <c r="J898" s="0" t="str">
        <f aca="false">IF($I898="","",IF(INDEX(BookQ1,893)&gt;0,"Q1",IF(INDEX(BookQ2,893)&gt;0,"Q2",IF(INDEX(BookQ3,893)&gt;0,"Q3",IF(INDEX(BookQ4,893)&gt;0,"Q4","")))))</f>
        <v/>
      </c>
      <c r="K898" s="42" t="str">
        <f aca="false">IF(INDEX(BookTitle,893)="","",INDEX(BookInYear,893))</f>
        <v/>
      </c>
      <c r="L898" s="19"/>
      <c r="M898" s="39"/>
      <c r="N898" s="19"/>
      <c r="O898" s="19"/>
      <c r="P898" s="43" t="str">
        <f aca="false">IF($E898="","",IF($L898="Decline",0,IF($L898="Approve fewer",IF($M898="","",$M898),IF($L898="","",$I898))))</f>
        <v/>
      </c>
      <c r="Q898" s="34" t="str">
        <f aca="false">IF($P898="","",IF($N898&lt;&gt;"",$N898,$J898))</f>
        <v/>
      </c>
      <c r="R898" s="35" t="str">
        <f aca="false">IF(OR($P898="",$Q898=""),"",INDEX(BookRate,893)*$P898*(5-MATCH($Q898,{"Q1";"Q2";"Q3";"Q4"},0))/4+INDEX(BookOneOff,893)*$P898)</f>
        <v/>
      </c>
      <c r="S898" s="35" t="str">
        <f aca="false">IF($P898="","",INDEX(BookRate,893)*$P898)</f>
        <v/>
      </c>
      <c r="T898" s="35" t="str">
        <f aca="false">IF($R898="","",$R898-$K898)</f>
        <v/>
      </c>
      <c r="U898" s="35" t="str">
        <f aca="false">IF(N($P898)&lt;=0,"",COUNTIF($P$6:$P898,"&gt;0"))</f>
        <v/>
      </c>
    </row>
    <row r="899" customFormat="false" ht="15" hidden="false" customHeight="false" outlineLevel="0" collapsed="false">
      <c r="A899" s="40" t="str">
        <f aca="false">IF(INDEX(BookTitle,894)="","",INDEX(BookGroup,894))</f>
        <v/>
      </c>
      <c r="B899" s="40" t="str">
        <f aca="false">IF(INDEX(BookTitle,894)="","",INDEX(BookRef,894))</f>
        <v/>
      </c>
      <c r="C899" s="40" t="str">
        <f aca="false">IF(INDEX(BookTitle,894)="","",INDEX(BookDivision,894))</f>
        <v/>
      </c>
      <c r="D899" s="40" t="str">
        <f aca="false">IF(INDEX(BookTitle,894)="","",INDEX(BookUnit,894))</f>
        <v/>
      </c>
      <c r="E899" s="40" t="str">
        <f aca="false">IF(INDEX(BookTitle,894)="","",INDEX(BookTitle,894))</f>
        <v/>
      </c>
      <c r="F899" s="40" t="str">
        <f aca="false">IF(INDEX(BookTitle,894)="","",INDEX(BookLevel,894))</f>
        <v/>
      </c>
      <c r="G899" s="40" t="str">
        <f aca="false">IF(INDEX(BookTitle,894)="","",INDEX(BookCategory,894))</f>
        <v/>
      </c>
      <c r="H899" s="40" t="str">
        <f aca="false">IF(INDEX(BookTitle,894)="","",INDEX(BookRank,894))</f>
        <v/>
      </c>
      <c r="I899" s="41" t="str">
        <f aca="false">IF(INDEX(BookTitle,894)="","",INDEX(BookTotal,894))</f>
        <v/>
      </c>
      <c r="J899" s="0" t="str">
        <f aca="false">IF($I899="","",IF(INDEX(BookQ1,894)&gt;0,"Q1",IF(INDEX(BookQ2,894)&gt;0,"Q2",IF(INDEX(BookQ3,894)&gt;0,"Q3",IF(INDEX(BookQ4,894)&gt;0,"Q4","")))))</f>
        <v/>
      </c>
      <c r="K899" s="42" t="str">
        <f aca="false">IF(INDEX(BookTitle,894)="","",INDEX(BookInYear,894))</f>
        <v/>
      </c>
      <c r="L899" s="19"/>
      <c r="M899" s="39"/>
      <c r="N899" s="19"/>
      <c r="O899" s="19"/>
      <c r="P899" s="43" t="str">
        <f aca="false">IF($E899="","",IF($L899="Decline",0,IF($L899="Approve fewer",IF($M899="","",$M899),IF($L899="","",$I899))))</f>
        <v/>
      </c>
      <c r="Q899" s="34" t="str">
        <f aca="false">IF($P899="","",IF($N899&lt;&gt;"",$N899,$J899))</f>
        <v/>
      </c>
      <c r="R899" s="35" t="str">
        <f aca="false">IF(OR($P899="",$Q899=""),"",INDEX(BookRate,894)*$P899*(5-MATCH($Q899,{"Q1";"Q2";"Q3";"Q4"},0))/4+INDEX(BookOneOff,894)*$P899)</f>
        <v/>
      </c>
      <c r="S899" s="35" t="str">
        <f aca="false">IF($P899="","",INDEX(BookRate,894)*$P899)</f>
        <v/>
      </c>
      <c r="T899" s="35" t="str">
        <f aca="false">IF($R899="","",$R899-$K899)</f>
        <v/>
      </c>
      <c r="U899" s="35" t="str">
        <f aca="false">IF(N($P899)&lt;=0,"",COUNTIF($P$6:$P899,"&gt;0"))</f>
        <v/>
      </c>
    </row>
    <row r="900" customFormat="false" ht="15" hidden="false" customHeight="false" outlineLevel="0" collapsed="false">
      <c r="A900" s="40" t="str">
        <f aca="false">IF(INDEX(BookTitle,895)="","",INDEX(BookGroup,895))</f>
        <v/>
      </c>
      <c r="B900" s="40" t="str">
        <f aca="false">IF(INDEX(BookTitle,895)="","",INDEX(BookRef,895))</f>
        <v/>
      </c>
      <c r="C900" s="40" t="str">
        <f aca="false">IF(INDEX(BookTitle,895)="","",INDEX(BookDivision,895))</f>
        <v/>
      </c>
      <c r="D900" s="40" t="str">
        <f aca="false">IF(INDEX(BookTitle,895)="","",INDEX(BookUnit,895))</f>
        <v/>
      </c>
      <c r="E900" s="40" t="str">
        <f aca="false">IF(INDEX(BookTitle,895)="","",INDEX(BookTitle,895))</f>
        <v/>
      </c>
      <c r="F900" s="40" t="str">
        <f aca="false">IF(INDEX(BookTitle,895)="","",INDEX(BookLevel,895))</f>
        <v/>
      </c>
      <c r="G900" s="40" t="str">
        <f aca="false">IF(INDEX(BookTitle,895)="","",INDEX(BookCategory,895))</f>
        <v/>
      </c>
      <c r="H900" s="40" t="str">
        <f aca="false">IF(INDEX(BookTitle,895)="","",INDEX(BookRank,895))</f>
        <v/>
      </c>
      <c r="I900" s="41" t="str">
        <f aca="false">IF(INDEX(BookTitle,895)="","",INDEX(BookTotal,895))</f>
        <v/>
      </c>
      <c r="J900" s="0" t="str">
        <f aca="false">IF($I900="","",IF(INDEX(BookQ1,895)&gt;0,"Q1",IF(INDEX(BookQ2,895)&gt;0,"Q2",IF(INDEX(BookQ3,895)&gt;0,"Q3",IF(INDEX(BookQ4,895)&gt;0,"Q4","")))))</f>
        <v/>
      </c>
      <c r="K900" s="42" t="str">
        <f aca="false">IF(INDEX(BookTitle,895)="","",INDEX(BookInYear,895))</f>
        <v/>
      </c>
      <c r="L900" s="19"/>
      <c r="M900" s="39"/>
      <c r="N900" s="19"/>
      <c r="O900" s="19"/>
      <c r="P900" s="43" t="str">
        <f aca="false">IF($E900="","",IF($L900="Decline",0,IF($L900="Approve fewer",IF($M900="","",$M900),IF($L900="","",$I900))))</f>
        <v/>
      </c>
      <c r="Q900" s="34" t="str">
        <f aca="false">IF($P900="","",IF($N900&lt;&gt;"",$N900,$J900))</f>
        <v/>
      </c>
      <c r="R900" s="35" t="str">
        <f aca="false">IF(OR($P900="",$Q900=""),"",INDEX(BookRate,895)*$P900*(5-MATCH($Q900,{"Q1";"Q2";"Q3";"Q4"},0))/4+INDEX(BookOneOff,895)*$P900)</f>
        <v/>
      </c>
      <c r="S900" s="35" t="str">
        <f aca="false">IF($P900="","",INDEX(BookRate,895)*$P900)</f>
        <v/>
      </c>
      <c r="T900" s="35" t="str">
        <f aca="false">IF($R900="","",$R900-$K900)</f>
        <v/>
      </c>
      <c r="U900" s="35" t="str">
        <f aca="false">IF(N($P900)&lt;=0,"",COUNTIF($P$6:$P900,"&gt;0"))</f>
        <v/>
      </c>
    </row>
    <row r="901" customFormat="false" ht="15" hidden="false" customHeight="false" outlineLevel="0" collapsed="false">
      <c r="A901" s="40" t="str">
        <f aca="false">IF(INDEX(BookTitle,896)="","",INDEX(BookGroup,896))</f>
        <v/>
      </c>
      <c r="B901" s="40" t="str">
        <f aca="false">IF(INDEX(BookTitle,896)="","",INDEX(BookRef,896))</f>
        <v/>
      </c>
      <c r="C901" s="40" t="str">
        <f aca="false">IF(INDEX(BookTitle,896)="","",INDEX(BookDivision,896))</f>
        <v/>
      </c>
      <c r="D901" s="40" t="str">
        <f aca="false">IF(INDEX(BookTitle,896)="","",INDEX(BookUnit,896))</f>
        <v/>
      </c>
      <c r="E901" s="40" t="str">
        <f aca="false">IF(INDEX(BookTitle,896)="","",INDEX(BookTitle,896))</f>
        <v/>
      </c>
      <c r="F901" s="40" t="str">
        <f aca="false">IF(INDEX(BookTitle,896)="","",INDEX(BookLevel,896))</f>
        <v/>
      </c>
      <c r="G901" s="40" t="str">
        <f aca="false">IF(INDEX(BookTitle,896)="","",INDEX(BookCategory,896))</f>
        <v/>
      </c>
      <c r="H901" s="40" t="str">
        <f aca="false">IF(INDEX(BookTitle,896)="","",INDEX(BookRank,896))</f>
        <v/>
      </c>
      <c r="I901" s="41" t="str">
        <f aca="false">IF(INDEX(BookTitle,896)="","",INDEX(BookTotal,896))</f>
        <v/>
      </c>
      <c r="J901" s="0" t="str">
        <f aca="false">IF($I901="","",IF(INDEX(BookQ1,896)&gt;0,"Q1",IF(INDEX(BookQ2,896)&gt;0,"Q2",IF(INDEX(BookQ3,896)&gt;0,"Q3",IF(INDEX(BookQ4,896)&gt;0,"Q4","")))))</f>
        <v/>
      </c>
      <c r="K901" s="42" t="str">
        <f aca="false">IF(INDEX(BookTitle,896)="","",INDEX(BookInYear,896))</f>
        <v/>
      </c>
      <c r="L901" s="19"/>
      <c r="M901" s="39"/>
      <c r="N901" s="19"/>
      <c r="O901" s="19"/>
      <c r="P901" s="43" t="str">
        <f aca="false">IF($E901="","",IF($L901="Decline",0,IF($L901="Approve fewer",IF($M901="","",$M901),IF($L901="","",$I901))))</f>
        <v/>
      </c>
      <c r="Q901" s="34" t="str">
        <f aca="false">IF($P901="","",IF($N901&lt;&gt;"",$N901,$J901))</f>
        <v/>
      </c>
      <c r="R901" s="35" t="str">
        <f aca="false">IF(OR($P901="",$Q901=""),"",INDEX(BookRate,896)*$P901*(5-MATCH($Q901,{"Q1";"Q2";"Q3";"Q4"},0))/4+INDEX(BookOneOff,896)*$P901)</f>
        <v/>
      </c>
      <c r="S901" s="35" t="str">
        <f aca="false">IF($P901="","",INDEX(BookRate,896)*$P901)</f>
        <v/>
      </c>
      <c r="T901" s="35" t="str">
        <f aca="false">IF($R901="","",$R901-$K901)</f>
        <v/>
      </c>
      <c r="U901" s="35" t="str">
        <f aca="false">IF(N($P901)&lt;=0,"",COUNTIF($P$6:$P901,"&gt;0"))</f>
        <v/>
      </c>
    </row>
    <row r="902" customFormat="false" ht="15" hidden="false" customHeight="false" outlineLevel="0" collapsed="false">
      <c r="A902" s="40" t="str">
        <f aca="false">IF(INDEX(BookTitle,897)="","",INDEX(BookGroup,897))</f>
        <v/>
      </c>
      <c r="B902" s="40" t="str">
        <f aca="false">IF(INDEX(BookTitle,897)="","",INDEX(BookRef,897))</f>
        <v/>
      </c>
      <c r="C902" s="40" t="str">
        <f aca="false">IF(INDEX(BookTitle,897)="","",INDEX(BookDivision,897))</f>
        <v/>
      </c>
      <c r="D902" s="40" t="str">
        <f aca="false">IF(INDEX(BookTitle,897)="","",INDEX(BookUnit,897))</f>
        <v/>
      </c>
      <c r="E902" s="40" t="str">
        <f aca="false">IF(INDEX(BookTitle,897)="","",INDEX(BookTitle,897))</f>
        <v/>
      </c>
      <c r="F902" s="40" t="str">
        <f aca="false">IF(INDEX(BookTitle,897)="","",INDEX(BookLevel,897))</f>
        <v/>
      </c>
      <c r="G902" s="40" t="str">
        <f aca="false">IF(INDEX(BookTitle,897)="","",INDEX(BookCategory,897))</f>
        <v/>
      </c>
      <c r="H902" s="40" t="str">
        <f aca="false">IF(INDEX(BookTitle,897)="","",INDEX(BookRank,897))</f>
        <v/>
      </c>
      <c r="I902" s="41" t="str">
        <f aca="false">IF(INDEX(BookTitle,897)="","",INDEX(BookTotal,897))</f>
        <v/>
      </c>
      <c r="J902" s="0" t="str">
        <f aca="false">IF($I902="","",IF(INDEX(BookQ1,897)&gt;0,"Q1",IF(INDEX(BookQ2,897)&gt;0,"Q2",IF(INDEX(BookQ3,897)&gt;0,"Q3",IF(INDEX(BookQ4,897)&gt;0,"Q4","")))))</f>
        <v/>
      </c>
      <c r="K902" s="42" t="str">
        <f aca="false">IF(INDEX(BookTitle,897)="","",INDEX(BookInYear,897))</f>
        <v/>
      </c>
      <c r="L902" s="19"/>
      <c r="M902" s="39"/>
      <c r="N902" s="19"/>
      <c r="O902" s="19"/>
      <c r="P902" s="43" t="str">
        <f aca="false">IF($E902="","",IF($L902="Decline",0,IF($L902="Approve fewer",IF($M902="","",$M902),IF($L902="","",$I902))))</f>
        <v/>
      </c>
      <c r="Q902" s="34" t="str">
        <f aca="false">IF($P902="","",IF($N902&lt;&gt;"",$N902,$J902))</f>
        <v/>
      </c>
      <c r="R902" s="35" t="str">
        <f aca="false">IF(OR($P902="",$Q902=""),"",INDEX(BookRate,897)*$P902*(5-MATCH($Q902,{"Q1";"Q2";"Q3";"Q4"},0))/4+INDEX(BookOneOff,897)*$P902)</f>
        <v/>
      </c>
      <c r="S902" s="35" t="str">
        <f aca="false">IF($P902="","",INDEX(BookRate,897)*$P902)</f>
        <v/>
      </c>
      <c r="T902" s="35" t="str">
        <f aca="false">IF($R902="","",$R902-$K902)</f>
        <v/>
      </c>
      <c r="U902" s="35" t="str">
        <f aca="false">IF(N($P902)&lt;=0,"",COUNTIF($P$6:$P902,"&gt;0"))</f>
        <v/>
      </c>
    </row>
    <row r="903" customFormat="false" ht="15" hidden="false" customHeight="false" outlineLevel="0" collapsed="false">
      <c r="A903" s="40" t="str">
        <f aca="false">IF(INDEX(BookTitle,898)="","",INDEX(BookGroup,898))</f>
        <v/>
      </c>
      <c r="B903" s="40" t="str">
        <f aca="false">IF(INDEX(BookTitle,898)="","",INDEX(BookRef,898))</f>
        <v/>
      </c>
      <c r="C903" s="40" t="str">
        <f aca="false">IF(INDEX(BookTitle,898)="","",INDEX(BookDivision,898))</f>
        <v/>
      </c>
      <c r="D903" s="40" t="str">
        <f aca="false">IF(INDEX(BookTitle,898)="","",INDEX(BookUnit,898))</f>
        <v/>
      </c>
      <c r="E903" s="40" t="str">
        <f aca="false">IF(INDEX(BookTitle,898)="","",INDEX(BookTitle,898))</f>
        <v/>
      </c>
      <c r="F903" s="40" t="str">
        <f aca="false">IF(INDEX(BookTitle,898)="","",INDEX(BookLevel,898))</f>
        <v/>
      </c>
      <c r="G903" s="40" t="str">
        <f aca="false">IF(INDEX(BookTitle,898)="","",INDEX(BookCategory,898))</f>
        <v/>
      </c>
      <c r="H903" s="40" t="str">
        <f aca="false">IF(INDEX(BookTitle,898)="","",INDEX(BookRank,898))</f>
        <v/>
      </c>
      <c r="I903" s="41" t="str">
        <f aca="false">IF(INDEX(BookTitle,898)="","",INDEX(BookTotal,898))</f>
        <v/>
      </c>
      <c r="J903" s="0" t="str">
        <f aca="false">IF($I903="","",IF(INDEX(BookQ1,898)&gt;0,"Q1",IF(INDEX(BookQ2,898)&gt;0,"Q2",IF(INDEX(BookQ3,898)&gt;0,"Q3",IF(INDEX(BookQ4,898)&gt;0,"Q4","")))))</f>
        <v/>
      </c>
      <c r="K903" s="42" t="str">
        <f aca="false">IF(INDEX(BookTitle,898)="","",INDEX(BookInYear,898))</f>
        <v/>
      </c>
      <c r="L903" s="19"/>
      <c r="M903" s="39"/>
      <c r="N903" s="19"/>
      <c r="O903" s="19"/>
      <c r="P903" s="43" t="str">
        <f aca="false">IF($E903="","",IF($L903="Decline",0,IF($L903="Approve fewer",IF($M903="","",$M903),IF($L903="","",$I903))))</f>
        <v/>
      </c>
      <c r="Q903" s="34" t="str">
        <f aca="false">IF($P903="","",IF($N903&lt;&gt;"",$N903,$J903))</f>
        <v/>
      </c>
      <c r="R903" s="35" t="str">
        <f aca="false">IF(OR($P903="",$Q903=""),"",INDEX(BookRate,898)*$P903*(5-MATCH($Q903,{"Q1";"Q2";"Q3";"Q4"},0))/4+INDEX(BookOneOff,898)*$P903)</f>
        <v/>
      </c>
      <c r="S903" s="35" t="str">
        <f aca="false">IF($P903="","",INDEX(BookRate,898)*$P903)</f>
        <v/>
      </c>
      <c r="T903" s="35" t="str">
        <f aca="false">IF($R903="","",$R903-$K903)</f>
        <v/>
      </c>
      <c r="U903" s="35" t="str">
        <f aca="false">IF(N($P903)&lt;=0,"",COUNTIF($P$6:$P903,"&gt;0"))</f>
        <v/>
      </c>
    </row>
    <row r="904" customFormat="false" ht="15" hidden="false" customHeight="false" outlineLevel="0" collapsed="false">
      <c r="A904" s="40" t="str">
        <f aca="false">IF(INDEX(BookTitle,899)="","",INDEX(BookGroup,899))</f>
        <v/>
      </c>
      <c r="B904" s="40" t="str">
        <f aca="false">IF(INDEX(BookTitle,899)="","",INDEX(BookRef,899))</f>
        <v/>
      </c>
      <c r="C904" s="40" t="str">
        <f aca="false">IF(INDEX(BookTitle,899)="","",INDEX(BookDivision,899))</f>
        <v/>
      </c>
      <c r="D904" s="40" t="str">
        <f aca="false">IF(INDEX(BookTitle,899)="","",INDEX(BookUnit,899))</f>
        <v/>
      </c>
      <c r="E904" s="40" t="str">
        <f aca="false">IF(INDEX(BookTitle,899)="","",INDEX(BookTitle,899))</f>
        <v/>
      </c>
      <c r="F904" s="40" t="str">
        <f aca="false">IF(INDEX(BookTitle,899)="","",INDEX(BookLevel,899))</f>
        <v/>
      </c>
      <c r="G904" s="40" t="str">
        <f aca="false">IF(INDEX(BookTitle,899)="","",INDEX(BookCategory,899))</f>
        <v/>
      </c>
      <c r="H904" s="40" t="str">
        <f aca="false">IF(INDEX(BookTitle,899)="","",INDEX(BookRank,899))</f>
        <v/>
      </c>
      <c r="I904" s="41" t="str">
        <f aca="false">IF(INDEX(BookTitle,899)="","",INDEX(BookTotal,899))</f>
        <v/>
      </c>
      <c r="J904" s="0" t="str">
        <f aca="false">IF($I904="","",IF(INDEX(BookQ1,899)&gt;0,"Q1",IF(INDEX(BookQ2,899)&gt;0,"Q2",IF(INDEX(BookQ3,899)&gt;0,"Q3",IF(INDEX(BookQ4,899)&gt;0,"Q4","")))))</f>
        <v/>
      </c>
      <c r="K904" s="42" t="str">
        <f aca="false">IF(INDEX(BookTitle,899)="","",INDEX(BookInYear,899))</f>
        <v/>
      </c>
      <c r="L904" s="19"/>
      <c r="M904" s="39"/>
      <c r="N904" s="19"/>
      <c r="O904" s="19"/>
      <c r="P904" s="43" t="str">
        <f aca="false">IF($E904="","",IF($L904="Decline",0,IF($L904="Approve fewer",IF($M904="","",$M904),IF($L904="","",$I904))))</f>
        <v/>
      </c>
      <c r="Q904" s="34" t="str">
        <f aca="false">IF($P904="","",IF($N904&lt;&gt;"",$N904,$J904))</f>
        <v/>
      </c>
      <c r="R904" s="35" t="str">
        <f aca="false">IF(OR($P904="",$Q904=""),"",INDEX(BookRate,899)*$P904*(5-MATCH($Q904,{"Q1";"Q2";"Q3";"Q4"},0))/4+INDEX(BookOneOff,899)*$P904)</f>
        <v/>
      </c>
      <c r="S904" s="35" t="str">
        <f aca="false">IF($P904="","",INDEX(BookRate,899)*$P904)</f>
        <v/>
      </c>
      <c r="T904" s="35" t="str">
        <f aca="false">IF($R904="","",$R904-$K904)</f>
        <v/>
      </c>
      <c r="U904" s="35" t="str">
        <f aca="false">IF(N($P904)&lt;=0,"",COUNTIF($P$6:$P904,"&gt;0"))</f>
        <v/>
      </c>
    </row>
    <row r="905" customFormat="false" ht="15" hidden="false" customHeight="false" outlineLevel="0" collapsed="false">
      <c r="A905" s="40" t="str">
        <f aca="false">IF(INDEX(BookTitle,900)="","",INDEX(BookGroup,900))</f>
        <v/>
      </c>
      <c r="B905" s="40" t="str">
        <f aca="false">IF(INDEX(BookTitle,900)="","",INDEX(BookRef,900))</f>
        <v/>
      </c>
      <c r="C905" s="40" t="str">
        <f aca="false">IF(INDEX(BookTitle,900)="","",INDEX(BookDivision,900))</f>
        <v/>
      </c>
      <c r="D905" s="40" t="str">
        <f aca="false">IF(INDEX(BookTitle,900)="","",INDEX(BookUnit,900))</f>
        <v/>
      </c>
      <c r="E905" s="40" t="str">
        <f aca="false">IF(INDEX(BookTitle,900)="","",INDEX(BookTitle,900))</f>
        <v/>
      </c>
      <c r="F905" s="40" t="str">
        <f aca="false">IF(INDEX(BookTitle,900)="","",INDEX(BookLevel,900))</f>
        <v/>
      </c>
      <c r="G905" s="40" t="str">
        <f aca="false">IF(INDEX(BookTitle,900)="","",INDEX(BookCategory,900))</f>
        <v/>
      </c>
      <c r="H905" s="40" t="str">
        <f aca="false">IF(INDEX(BookTitle,900)="","",INDEX(BookRank,900))</f>
        <v/>
      </c>
      <c r="I905" s="41" t="str">
        <f aca="false">IF(INDEX(BookTitle,900)="","",INDEX(BookTotal,900))</f>
        <v/>
      </c>
      <c r="J905" s="0" t="str">
        <f aca="false">IF($I905="","",IF(INDEX(BookQ1,900)&gt;0,"Q1",IF(INDEX(BookQ2,900)&gt;0,"Q2",IF(INDEX(BookQ3,900)&gt;0,"Q3",IF(INDEX(BookQ4,900)&gt;0,"Q4","")))))</f>
        <v/>
      </c>
      <c r="K905" s="42" t="str">
        <f aca="false">IF(INDEX(BookTitle,900)="","",INDEX(BookInYear,900))</f>
        <v/>
      </c>
      <c r="L905" s="19"/>
      <c r="M905" s="39"/>
      <c r="N905" s="19"/>
      <c r="O905" s="19"/>
      <c r="P905" s="43" t="str">
        <f aca="false">IF($E905="","",IF($L905="Decline",0,IF($L905="Approve fewer",IF($M905="","",$M905),IF($L905="","",$I905))))</f>
        <v/>
      </c>
      <c r="Q905" s="34" t="str">
        <f aca="false">IF($P905="","",IF($N905&lt;&gt;"",$N905,$J905))</f>
        <v/>
      </c>
      <c r="R905" s="35" t="str">
        <f aca="false">IF(OR($P905="",$Q905=""),"",INDEX(BookRate,900)*$P905*(5-MATCH($Q905,{"Q1";"Q2";"Q3";"Q4"},0))/4+INDEX(BookOneOff,900)*$P905)</f>
        <v/>
      </c>
      <c r="S905" s="35" t="str">
        <f aca="false">IF($P905="","",INDEX(BookRate,900)*$P905)</f>
        <v/>
      </c>
      <c r="T905" s="35" t="str">
        <f aca="false">IF($R905="","",$R905-$K905)</f>
        <v/>
      </c>
      <c r="U905" s="35" t="str">
        <f aca="false">IF(N($P905)&lt;=0,"",COUNTIF($P$6:$P905,"&gt;0"))</f>
        <v/>
      </c>
    </row>
    <row r="906" customFormat="false" ht="15" hidden="false" customHeight="false" outlineLevel="0" collapsed="false">
      <c r="A906" s="40" t="str">
        <f aca="false">IF(INDEX(BookTitle,901)="","",INDEX(BookGroup,901))</f>
        <v/>
      </c>
      <c r="B906" s="40" t="str">
        <f aca="false">IF(INDEX(BookTitle,901)="","",INDEX(BookRef,901))</f>
        <v/>
      </c>
      <c r="C906" s="40" t="str">
        <f aca="false">IF(INDEX(BookTitle,901)="","",INDEX(BookDivision,901))</f>
        <v/>
      </c>
      <c r="D906" s="40" t="str">
        <f aca="false">IF(INDEX(BookTitle,901)="","",INDEX(BookUnit,901))</f>
        <v/>
      </c>
      <c r="E906" s="40" t="str">
        <f aca="false">IF(INDEX(BookTitle,901)="","",INDEX(BookTitle,901))</f>
        <v/>
      </c>
      <c r="F906" s="40" t="str">
        <f aca="false">IF(INDEX(BookTitle,901)="","",INDEX(BookLevel,901))</f>
        <v/>
      </c>
      <c r="G906" s="40" t="str">
        <f aca="false">IF(INDEX(BookTitle,901)="","",INDEX(BookCategory,901))</f>
        <v/>
      </c>
      <c r="H906" s="40" t="str">
        <f aca="false">IF(INDEX(BookTitle,901)="","",INDEX(BookRank,901))</f>
        <v/>
      </c>
      <c r="I906" s="41" t="str">
        <f aca="false">IF(INDEX(BookTitle,901)="","",INDEX(BookTotal,901))</f>
        <v/>
      </c>
      <c r="J906" s="0" t="str">
        <f aca="false">IF($I906="","",IF(INDEX(BookQ1,901)&gt;0,"Q1",IF(INDEX(BookQ2,901)&gt;0,"Q2",IF(INDEX(BookQ3,901)&gt;0,"Q3",IF(INDEX(BookQ4,901)&gt;0,"Q4","")))))</f>
        <v/>
      </c>
      <c r="K906" s="42" t="str">
        <f aca="false">IF(INDEX(BookTitle,901)="","",INDEX(BookInYear,901))</f>
        <v/>
      </c>
      <c r="L906" s="19"/>
      <c r="M906" s="39"/>
      <c r="N906" s="19"/>
      <c r="O906" s="19"/>
      <c r="P906" s="43" t="str">
        <f aca="false">IF($E906="","",IF($L906="Decline",0,IF($L906="Approve fewer",IF($M906="","",$M906),IF($L906="","",$I906))))</f>
        <v/>
      </c>
      <c r="Q906" s="34" t="str">
        <f aca="false">IF($P906="","",IF($N906&lt;&gt;"",$N906,$J906))</f>
        <v/>
      </c>
      <c r="R906" s="35" t="str">
        <f aca="false">IF(OR($P906="",$Q906=""),"",INDEX(BookRate,901)*$P906*(5-MATCH($Q906,{"Q1";"Q2";"Q3";"Q4"},0))/4+INDEX(BookOneOff,901)*$P906)</f>
        <v/>
      </c>
      <c r="S906" s="35" t="str">
        <f aca="false">IF($P906="","",INDEX(BookRate,901)*$P906)</f>
        <v/>
      </c>
      <c r="T906" s="35" t="str">
        <f aca="false">IF($R906="","",$R906-$K906)</f>
        <v/>
      </c>
      <c r="U906" s="35" t="str">
        <f aca="false">IF(N($P906)&lt;=0,"",COUNTIF($P$6:$P906,"&gt;0"))</f>
        <v/>
      </c>
    </row>
    <row r="907" customFormat="false" ht="15" hidden="false" customHeight="false" outlineLevel="0" collapsed="false">
      <c r="A907" s="40" t="str">
        <f aca="false">IF(INDEX(BookTitle,902)="","",INDEX(BookGroup,902))</f>
        <v/>
      </c>
      <c r="B907" s="40" t="str">
        <f aca="false">IF(INDEX(BookTitle,902)="","",INDEX(BookRef,902))</f>
        <v/>
      </c>
      <c r="C907" s="40" t="str">
        <f aca="false">IF(INDEX(BookTitle,902)="","",INDEX(BookDivision,902))</f>
        <v/>
      </c>
      <c r="D907" s="40" t="str">
        <f aca="false">IF(INDEX(BookTitle,902)="","",INDEX(BookUnit,902))</f>
        <v/>
      </c>
      <c r="E907" s="40" t="str">
        <f aca="false">IF(INDEX(BookTitle,902)="","",INDEX(BookTitle,902))</f>
        <v/>
      </c>
      <c r="F907" s="40" t="str">
        <f aca="false">IF(INDEX(BookTitle,902)="","",INDEX(BookLevel,902))</f>
        <v/>
      </c>
      <c r="G907" s="40" t="str">
        <f aca="false">IF(INDEX(BookTitle,902)="","",INDEX(BookCategory,902))</f>
        <v/>
      </c>
      <c r="H907" s="40" t="str">
        <f aca="false">IF(INDEX(BookTitle,902)="","",INDEX(BookRank,902))</f>
        <v/>
      </c>
      <c r="I907" s="41" t="str">
        <f aca="false">IF(INDEX(BookTitle,902)="","",INDEX(BookTotal,902))</f>
        <v/>
      </c>
      <c r="J907" s="0" t="str">
        <f aca="false">IF($I907="","",IF(INDEX(BookQ1,902)&gt;0,"Q1",IF(INDEX(BookQ2,902)&gt;0,"Q2",IF(INDEX(BookQ3,902)&gt;0,"Q3",IF(INDEX(BookQ4,902)&gt;0,"Q4","")))))</f>
        <v/>
      </c>
      <c r="K907" s="42" t="str">
        <f aca="false">IF(INDEX(BookTitle,902)="","",INDEX(BookInYear,902))</f>
        <v/>
      </c>
      <c r="L907" s="19"/>
      <c r="M907" s="39"/>
      <c r="N907" s="19"/>
      <c r="O907" s="19"/>
      <c r="P907" s="43" t="str">
        <f aca="false">IF($E907="","",IF($L907="Decline",0,IF($L907="Approve fewer",IF($M907="","",$M907),IF($L907="","",$I907))))</f>
        <v/>
      </c>
      <c r="Q907" s="34" t="str">
        <f aca="false">IF($P907="","",IF($N907&lt;&gt;"",$N907,$J907))</f>
        <v/>
      </c>
      <c r="R907" s="35" t="str">
        <f aca="false">IF(OR($P907="",$Q907=""),"",INDEX(BookRate,902)*$P907*(5-MATCH($Q907,{"Q1";"Q2";"Q3";"Q4"},0))/4+INDEX(BookOneOff,902)*$P907)</f>
        <v/>
      </c>
      <c r="S907" s="35" t="str">
        <f aca="false">IF($P907="","",INDEX(BookRate,902)*$P907)</f>
        <v/>
      </c>
      <c r="T907" s="35" t="str">
        <f aca="false">IF($R907="","",$R907-$K907)</f>
        <v/>
      </c>
      <c r="U907" s="35" t="str">
        <f aca="false">IF(N($P907)&lt;=0,"",COUNTIF($P$6:$P907,"&gt;0"))</f>
        <v/>
      </c>
    </row>
    <row r="908" customFormat="false" ht="15" hidden="false" customHeight="false" outlineLevel="0" collapsed="false">
      <c r="A908" s="40" t="str">
        <f aca="false">IF(INDEX(BookTitle,903)="","",INDEX(BookGroup,903))</f>
        <v/>
      </c>
      <c r="B908" s="40" t="str">
        <f aca="false">IF(INDEX(BookTitle,903)="","",INDEX(BookRef,903))</f>
        <v/>
      </c>
      <c r="C908" s="40" t="str">
        <f aca="false">IF(INDEX(BookTitle,903)="","",INDEX(BookDivision,903))</f>
        <v/>
      </c>
      <c r="D908" s="40" t="str">
        <f aca="false">IF(INDEX(BookTitle,903)="","",INDEX(BookUnit,903))</f>
        <v/>
      </c>
      <c r="E908" s="40" t="str">
        <f aca="false">IF(INDEX(BookTitle,903)="","",INDEX(BookTitle,903))</f>
        <v/>
      </c>
      <c r="F908" s="40" t="str">
        <f aca="false">IF(INDEX(BookTitle,903)="","",INDEX(BookLevel,903))</f>
        <v/>
      </c>
      <c r="G908" s="40" t="str">
        <f aca="false">IF(INDEX(BookTitle,903)="","",INDEX(BookCategory,903))</f>
        <v/>
      </c>
      <c r="H908" s="40" t="str">
        <f aca="false">IF(INDEX(BookTitle,903)="","",INDEX(BookRank,903))</f>
        <v/>
      </c>
      <c r="I908" s="41" t="str">
        <f aca="false">IF(INDEX(BookTitle,903)="","",INDEX(BookTotal,903))</f>
        <v/>
      </c>
      <c r="J908" s="0" t="str">
        <f aca="false">IF($I908="","",IF(INDEX(BookQ1,903)&gt;0,"Q1",IF(INDEX(BookQ2,903)&gt;0,"Q2",IF(INDEX(BookQ3,903)&gt;0,"Q3",IF(INDEX(BookQ4,903)&gt;0,"Q4","")))))</f>
        <v/>
      </c>
      <c r="K908" s="42" t="str">
        <f aca="false">IF(INDEX(BookTitle,903)="","",INDEX(BookInYear,903))</f>
        <v/>
      </c>
      <c r="L908" s="19"/>
      <c r="M908" s="39"/>
      <c r="N908" s="19"/>
      <c r="O908" s="19"/>
      <c r="P908" s="43" t="str">
        <f aca="false">IF($E908="","",IF($L908="Decline",0,IF($L908="Approve fewer",IF($M908="","",$M908),IF($L908="","",$I908))))</f>
        <v/>
      </c>
      <c r="Q908" s="34" t="str">
        <f aca="false">IF($P908="","",IF($N908&lt;&gt;"",$N908,$J908))</f>
        <v/>
      </c>
      <c r="R908" s="35" t="str">
        <f aca="false">IF(OR($P908="",$Q908=""),"",INDEX(BookRate,903)*$P908*(5-MATCH($Q908,{"Q1";"Q2";"Q3";"Q4"},0))/4+INDEX(BookOneOff,903)*$P908)</f>
        <v/>
      </c>
      <c r="S908" s="35" t="str">
        <f aca="false">IF($P908="","",INDEX(BookRate,903)*$P908)</f>
        <v/>
      </c>
      <c r="T908" s="35" t="str">
        <f aca="false">IF($R908="","",$R908-$K908)</f>
        <v/>
      </c>
      <c r="U908" s="35" t="str">
        <f aca="false">IF(N($P908)&lt;=0,"",COUNTIF($P$6:$P908,"&gt;0"))</f>
        <v/>
      </c>
    </row>
    <row r="909" customFormat="false" ht="15" hidden="false" customHeight="false" outlineLevel="0" collapsed="false">
      <c r="A909" s="40" t="str">
        <f aca="false">IF(INDEX(BookTitle,904)="","",INDEX(BookGroup,904))</f>
        <v/>
      </c>
      <c r="B909" s="40" t="str">
        <f aca="false">IF(INDEX(BookTitle,904)="","",INDEX(BookRef,904))</f>
        <v/>
      </c>
      <c r="C909" s="40" t="str">
        <f aca="false">IF(INDEX(BookTitle,904)="","",INDEX(BookDivision,904))</f>
        <v/>
      </c>
      <c r="D909" s="40" t="str">
        <f aca="false">IF(INDEX(BookTitle,904)="","",INDEX(BookUnit,904))</f>
        <v/>
      </c>
      <c r="E909" s="40" t="str">
        <f aca="false">IF(INDEX(BookTitle,904)="","",INDEX(BookTitle,904))</f>
        <v/>
      </c>
      <c r="F909" s="40" t="str">
        <f aca="false">IF(INDEX(BookTitle,904)="","",INDEX(BookLevel,904))</f>
        <v/>
      </c>
      <c r="G909" s="40" t="str">
        <f aca="false">IF(INDEX(BookTitle,904)="","",INDEX(BookCategory,904))</f>
        <v/>
      </c>
      <c r="H909" s="40" t="str">
        <f aca="false">IF(INDEX(BookTitle,904)="","",INDEX(BookRank,904))</f>
        <v/>
      </c>
      <c r="I909" s="41" t="str">
        <f aca="false">IF(INDEX(BookTitle,904)="","",INDEX(BookTotal,904))</f>
        <v/>
      </c>
      <c r="J909" s="0" t="str">
        <f aca="false">IF($I909="","",IF(INDEX(BookQ1,904)&gt;0,"Q1",IF(INDEX(BookQ2,904)&gt;0,"Q2",IF(INDEX(BookQ3,904)&gt;0,"Q3",IF(INDEX(BookQ4,904)&gt;0,"Q4","")))))</f>
        <v/>
      </c>
      <c r="K909" s="42" t="str">
        <f aca="false">IF(INDEX(BookTitle,904)="","",INDEX(BookInYear,904))</f>
        <v/>
      </c>
      <c r="L909" s="19"/>
      <c r="M909" s="39"/>
      <c r="N909" s="19"/>
      <c r="O909" s="19"/>
      <c r="P909" s="43" t="str">
        <f aca="false">IF($E909="","",IF($L909="Decline",0,IF($L909="Approve fewer",IF($M909="","",$M909),IF($L909="","",$I909))))</f>
        <v/>
      </c>
      <c r="Q909" s="34" t="str">
        <f aca="false">IF($P909="","",IF($N909&lt;&gt;"",$N909,$J909))</f>
        <v/>
      </c>
      <c r="R909" s="35" t="str">
        <f aca="false">IF(OR($P909="",$Q909=""),"",INDEX(BookRate,904)*$P909*(5-MATCH($Q909,{"Q1";"Q2";"Q3";"Q4"},0))/4+INDEX(BookOneOff,904)*$P909)</f>
        <v/>
      </c>
      <c r="S909" s="35" t="str">
        <f aca="false">IF($P909="","",INDEX(BookRate,904)*$P909)</f>
        <v/>
      </c>
      <c r="T909" s="35" t="str">
        <f aca="false">IF($R909="","",$R909-$K909)</f>
        <v/>
      </c>
      <c r="U909" s="35" t="str">
        <f aca="false">IF(N($P909)&lt;=0,"",COUNTIF($P$6:$P909,"&gt;0"))</f>
        <v/>
      </c>
    </row>
    <row r="910" customFormat="false" ht="15" hidden="false" customHeight="false" outlineLevel="0" collapsed="false">
      <c r="A910" s="40" t="str">
        <f aca="false">IF(INDEX(BookTitle,905)="","",INDEX(BookGroup,905))</f>
        <v/>
      </c>
      <c r="B910" s="40" t="str">
        <f aca="false">IF(INDEX(BookTitle,905)="","",INDEX(BookRef,905))</f>
        <v/>
      </c>
      <c r="C910" s="40" t="str">
        <f aca="false">IF(INDEX(BookTitle,905)="","",INDEX(BookDivision,905))</f>
        <v/>
      </c>
      <c r="D910" s="40" t="str">
        <f aca="false">IF(INDEX(BookTitle,905)="","",INDEX(BookUnit,905))</f>
        <v/>
      </c>
      <c r="E910" s="40" t="str">
        <f aca="false">IF(INDEX(BookTitle,905)="","",INDEX(BookTitle,905))</f>
        <v/>
      </c>
      <c r="F910" s="40" t="str">
        <f aca="false">IF(INDEX(BookTitle,905)="","",INDEX(BookLevel,905))</f>
        <v/>
      </c>
      <c r="G910" s="40" t="str">
        <f aca="false">IF(INDEX(BookTitle,905)="","",INDEX(BookCategory,905))</f>
        <v/>
      </c>
      <c r="H910" s="40" t="str">
        <f aca="false">IF(INDEX(BookTitle,905)="","",INDEX(BookRank,905))</f>
        <v/>
      </c>
      <c r="I910" s="41" t="str">
        <f aca="false">IF(INDEX(BookTitle,905)="","",INDEX(BookTotal,905))</f>
        <v/>
      </c>
      <c r="J910" s="0" t="str">
        <f aca="false">IF($I910="","",IF(INDEX(BookQ1,905)&gt;0,"Q1",IF(INDEX(BookQ2,905)&gt;0,"Q2",IF(INDEX(BookQ3,905)&gt;0,"Q3",IF(INDEX(BookQ4,905)&gt;0,"Q4","")))))</f>
        <v/>
      </c>
      <c r="K910" s="42" t="str">
        <f aca="false">IF(INDEX(BookTitle,905)="","",INDEX(BookInYear,905))</f>
        <v/>
      </c>
      <c r="L910" s="19"/>
      <c r="M910" s="39"/>
      <c r="N910" s="19"/>
      <c r="O910" s="19"/>
      <c r="P910" s="43" t="str">
        <f aca="false">IF($E910="","",IF($L910="Decline",0,IF($L910="Approve fewer",IF($M910="","",$M910),IF($L910="","",$I910))))</f>
        <v/>
      </c>
      <c r="Q910" s="34" t="str">
        <f aca="false">IF($P910="","",IF($N910&lt;&gt;"",$N910,$J910))</f>
        <v/>
      </c>
      <c r="R910" s="35" t="str">
        <f aca="false">IF(OR($P910="",$Q910=""),"",INDEX(BookRate,905)*$P910*(5-MATCH($Q910,{"Q1";"Q2";"Q3";"Q4"},0))/4+INDEX(BookOneOff,905)*$P910)</f>
        <v/>
      </c>
      <c r="S910" s="35" t="str">
        <f aca="false">IF($P910="","",INDEX(BookRate,905)*$P910)</f>
        <v/>
      </c>
      <c r="T910" s="35" t="str">
        <f aca="false">IF($R910="","",$R910-$K910)</f>
        <v/>
      </c>
      <c r="U910" s="35" t="str">
        <f aca="false">IF(N($P910)&lt;=0,"",COUNTIF($P$6:$P910,"&gt;0"))</f>
        <v/>
      </c>
    </row>
    <row r="911" customFormat="false" ht="15" hidden="false" customHeight="false" outlineLevel="0" collapsed="false">
      <c r="A911" s="40" t="str">
        <f aca="false">IF(INDEX(BookTitle,906)="","",INDEX(BookGroup,906))</f>
        <v/>
      </c>
      <c r="B911" s="40" t="str">
        <f aca="false">IF(INDEX(BookTitle,906)="","",INDEX(BookRef,906))</f>
        <v/>
      </c>
      <c r="C911" s="40" t="str">
        <f aca="false">IF(INDEX(BookTitle,906)="","",INDEX(BookDivision,906))</f>
        <v/>
      </c>
      <c r="D911" s="40" t="str">
        <f aca="false">IF(INDEX(BookTitle,906)="","",INDEX(BookUnit,906))</f>
        <v/>
      </c>
      <c r="E911" s="40" t="str">
        <f aca="false">IF(INDEX(BookTitle,906)="","",INDEX(BookTitle,906))</f>
        <v/>
      </c>
      <c r="F911" s="40" t="str">
        <f aca="false">IF(INDEX(BookTitle,906)="","",INDEX(BookLevel,906))</f>
        <v/>
      </c>
      <c r="G911" s="40" t="str">
        <f aca="false">IF(INDEX(BookTitle,906)="","",INDEX(BookCategory,906))</f>
        <v/>
      </c>
      <c r="H911" s="40" t="str">
        <f aca="false">IF(INDEX(BookTitle,906)="","",INDEX(BookRank,906))</f>
        <v/>
      </c>
      <c r="I911" s="41" t="str">
        <f aca="false">IF(INDEX(BookTitle,906)="","",INDEX(BookTotal,906))</f>
        <v/>
      </c>
      <c r="J911" s="0" t="str">
        <f aca="false">IF($I911="","",IF(INDEX(BookQ1,906)&gt;0,"Q1",IF(INDEX(BookQ2,906)&gt;0,"Q2",IF(INDEX(BookQ3,906)&gt;0,"Q3",IF(INDEX(BookQ4,906)&gt;0,"Q4","")))))</f>
        <v/>
      </c>
      <c r="K911" s="42" t="str">
        <f aca="false">IF(INDEX(BookTitle,906)="","",INDEX(BookInYear,906))</f>
        <v/>
      </c>
      <c r="L911" s="19"/>
      <c r="M911" s="39"/>
      <c r="N911" s="19"/>
      <c r="O911" s="19"/>
      <c r="P911" s="43" t="str">
        <f aca="false">IF($E911="","",IF($L911="Decline",0,IF($L911="Approve fewer",IF($M911="","",$M911),IF($L911="","",$I911))))</f>
        <v/>
      </c>
      <c r="Q911" s="34" t="str">
        <f aca="false">IF($P911="","",IF($N911&lt;&gt;"",$N911,$J911))</f>
        <v/>
      </c>
      <c r="R911" s="35" t="str">
        <f aca="false">IF(OR($P911="",$Q911=""),"",INDEX(BookRate,906)*$P911*(5-MATCH($Q911,{"Q1";"Q2";"Q3";"Q4"},0))/4+INDEX(BookOneOff,906)*$P911)</f>
        <v/>
      </c>
      <c r="S911" s="35" t="str">
        <f aca="false">IF($P911="","",INDEX(BookRate,906)*$P911)</f>
        <v/>
      </c>
      <c r="T911" s="35" t="str">
        <f aca="false">IF($R911="","",$R911-$K911)</f>
        <v/>
      </c>
      <c r="U911" s="35" t="str">
        <f aca="false">IF(N($P911)&lt;=0,"",COUNTIF($P$6:$P911,"&gt;0"))</f>
        <v/>
      </c>
    </row>
    <row r="912" customFormat="false" ht="15" hidden="false" customHeight="false" outlineLevel="0" collapsed="false">
      <c r="A912" s="40" t="str">
        <f aca="false">IF(INDEX(BookTitle,907)="","",INDEX(BookGroup,907))</f>
        <v/>
      </c>
      <c r="B912" s="40" t="str">
        <f aca="false">IF(INDEX(BookTitle,907)="","",INDEX(BookRef,907))</f>
        <v/>
      </c>
      <c r="C912" s="40" t="str">
        <f aca="false">IF(INDEX(BookTitle,907)="","",INDEX(BookDivision,907))</f>
        <v/>
      </c>
      <c r="D912" s="40" t="str">
        <f aca="false">IF(INDEX(BookTitle,907)="","",INDEX(BookUnit,907))</f>
        <v/>
      </c>
      <c r="E912" s="40" t="str">
        <f aca="false">IF(INDEX(BookTitle,907)="","",INDEX(BookTitle,907))</f>
        <v/>
      </c>
      <c r="F912" s="40" t="str">
        <f aca="false">IF(INDEX(BookTitle,907)="","",INDEX(BookLevel,907))</f>
        <v/>
      </c>
      <c r="G912" s="40" t="str">
        <f aca="false">IF(INDEX(BookTitle,907)="","",INDEX(BookCategory,907))</f>
        <v/>
      </c>
      <c r="H912" s="40" t="str">
        <f aca="false">IF(INDEX(BookTitle,907)="","",INDEX(BookRank,907))</f>
        <v/>
      </c>
      <c r="I912" s="41" t="str">
        <f aca="false">IF(INDEX(BookTitle,907)="","",INDEX(BookTotal,907))</f>
        <v/>
      </c>
      <c r="J912" s="0" t="str">
        <f aca="false">IF($I912="","",IF(INDEX(BookQ1,907)&gt;0,"Q1",IF(INDEX(BookQ2,907)&gt;0,"Q2",IF(INDEX(BookQ3,907)&gt;0,"Q3",IF(INDEX(BookQ4,907)&gt;0,"Q4","")))))</f>
        <v/>
      </c>
      <c r="K912" s="42" t="str">
        <f aca="false">IF(INDEX(BookTitle,907)="","",INDEX(BookInYear,907))</f>
        <v/>
      </c>
      <c r="L912" s="19"/>
      <c r="M912" s="39"/>
      <c r="N912" s="19"/>
      <c r="O912" s="19"/>
      <c r="P912" s="43" t="str">
        <f aca="false">IF($E912="","",IF($L912="Decline",0,IF($L912="Approve fewer",IF($M912="","",$M912),IF($L912="","",$I912))))</f>
        <v/>
      </c>
      <c r="Q912" s="34" t="str">
        <f aca="false">IF($P912="","",IF($N912&lt;&gt;"",$N912,$J912))</f>
        <v/>
      </c>
      <c r="R912" s="35" t="str">
        <f aca="false">IF(OR($P912="",$Q912=""),"",INDEX(BookRate,907)*$P912*(5-MATCH($Q912,{"Q1";"Q2";"Q3";"Q4"},0))/4+INDEX(BookOneOff,907)*$P912)</f>
        <v/>
      </c>
      <c r="S912" s="35" t="str">
        <f aca="false">IF($P912="","",INDEX(BookRate,907)*$P912)</f>
        <v/>
      </c>
      <c r="T912" s="35" t="str">
        <f aca="false">IF($R912="","",$R912-$K912)</f>
        <v/>
      </c>
      <c r="U912" s="35" t="str">
        <f aca="false">IF(N($P912)&lt;=0,"",COUNTIF($P$6:$P912,"&gt;0"))</f>
        <v/>
      </c>
    </row>
    <row r="913" customFormat="false" ht="15" hidden="false" customHeight="false" outlineLevel="0" collapsed="false">
      <c r="A913" s="40" t="str">
        <f aca="false">IF(INDEX(BookTitle,908)="","",INDEX(BookGroup,908))</f>
        <v/>
      </c>
      <c r="B913" s="40" t="str">
        <f aca="false">IF(INDEX(BookTitle,908)="","",INDEX(BookRef,908))</f>
        <v/>
      </c>
      <c r="C913" s="40" t="str">
        <f aca="false">IF(INDEX(BookTitle,908)="","",INDEX(BookDivision,908))</f>
        <v/>
      </c>
      <c r="D913" s="40" t="str">
        <f aca="false">IF(INDEX(BookTitle,908)="","",INDEX(BookUnit,908))</f>
        <v/>
      </c>
      <c r="E913" s="40" t="str">
        <f aca="false">IF(INDEX(BookTitle,908)="","",INDEX(BookTitle,908))</f>
        <v/>
      </c>
      <c r="F913" s="40" t="str">
        <f aca="false">IF(INDEX(BookTitle,908)="","",INDEX(BookLevel,908))</f>
        <v/>
      </c>
      <c r="G913" s="40" t="str">
        <f aca="false">IF(INDEX(BookTitle,908)="","",INDEX(BookCategory,908))</f>
        <v/>
      </c>
      <c r="H913" s="40" t="str">
        <f aca="false">IF(INDEX(BookTitle,908)="","",INDEX(BookRank,908))</f>
        <v/>
      </c>
      <c r="I913" s="41" t="str">
        <f aca="false">IF(INDEX(BookTitle,908)="","",INDEX(BookTotal,908))</f>
        <v/>
      </c>
      <c r="J913" s="0" t="str">
        <f aca="false">IF($I913="","",IF(INDEX(BookQ1,908)&gt;0,"Q1",IF(INDEX(BookQ2,908)&gt;0,"Q2",IF(INDEX(BookQ3,908)&gt;0,"Q3",IF(INDEX(BookQ4,908)&gt;0,"Q4","")))))</f>
        <v/>
      </c>
      <c r="K913" s="42" t="str">
        <f aca="false">IF(INDEX(BookTitle,908)="","",INDEX(BookInYear,908))</f>
        <v/>
      </c>
      <c r="L913" s="19"/>
      <c r="M913" s="39"/>
      <c r="N913" s="19"/>
      <c r="O913" s="19"/>
      <c r="P913" s="43" t="str">
        <f aca="false">IF($E913="","",IF($L913="Decline",0,IF($L913="Approve fewer",IF($M913="","",$M913),IF($L913="","",$I913))))</f>
        <v/>
      </c>
      <c r="Q913" s="34" t="str">
        <f aca="false">IF($P913="","",IF($N913&lt;&gt;"",$N913,$J913))</f>
        <v/>
      </c>
      <c r="R913" s="35" t="str">
        <f aca="false">IF(OR($P913="",$Q913=""),"",INDEX(BookRate,908)*$P913*(5-MATCH($Q913,{"Q1";"Q2";"Q3";"Q4"},0))/4+INDEX(BookOneOff,908)*$P913)</f>
        <v/>
      </c>
      <c r="S913" s="35" t="str">
        <f aca="false">IF($P913="","",INDEX(BookRate,908)*$P913)</f>
        <v/>
      </c>
      <c r="T913" s="35" t="str">
        <f aca="false">IF($R913="","",$R913-$K913)</f>
        <v/>
      </c>
      <c r="U913" s="35" t="str">
        <f aca="false">IF(N($P913)&lt;=0,"",COUNTIF($P$6:$P913,"&gt;0"))</f>
        <v/>
      </c>
    </row>
    <row r="914" customFormat="false" ht="15" hidden="false" customHeight="false" outlineLevel="0" collapsed="false">
      <c r="A914" s="40" t="str">
        <f aca="false">IF(INDEX(BookTitle,909)="","",INDEX(BookGroup,909))</f>
        <v/>
      </c>
      <c r="B914" s="40" t="str">
        <f aca="false">IF(INDEX(BookTitle,909)="","",INDEX(BookRef,909))</f>
        <v/>
      </c>
      <c r="C914" s="40" t="str">
        <f aca="false">IF(INDEX(BookTitle,909)="","",INDEX(BookDivision,909))</f>
        <v/>
      </c>
      <c r="D914" s="40" t="str">
        <f aca="false">IF(INDEX(BookTitle,909)="","",INDEX(BookUnit,909))</f>
        <v/>
      </c>
      <c r="E914" s="40" t="str">
        <f aca="false">IF(INDEX(BookTitle,909)="","",INDEX(BookTitle,909))</f>
        <v/>
      </c>
      <c r="F914" s="40" t="str">
        <f aca="false">IF(INDEX(BookTitle,909)="","",INDEX(BookLevel,909))</f>
        <v/>
      </c>
      <c r="G914" s="40" t="str">
        <f aca="false">IF(INDEX(BookTitle,909)="","",INDEX(BookCategory,909))</f>
        <v/>
      </c>
      <c r="H914" s="40" t="str">
        <f aca="false">IF(INDEX(BookTitle,909)="","",INDEX(BookRank,909))</f>
        <v/>
      </c>
      <c r="I914" s="41" t="str">
        <f aca="false">IF(INDEX(BookTitle,909)="","",INDEX(BookTotal,909))</f>
        <v/>
      </c>
      <c r="J914" s="0" t="str">
        <f aca="false">IF($I914="","",IF(INDEX(BookQ1,909)&gt;0,"Q1",IF(INDEX(BookQ2,909)&gt;0,"Q2",IF(INDEX(BookQ3,909)&gt;0,"Q3",IF(INDEX(BookQ4,909)&gt;0,"Q4","")))))</f>
        <v/>
      </c>
      <c r="K914" s="42" t="str">
        <f aca="false">IF(INDEX(BookTitle,909)="","",INDEX(BookInYear,909))</f>
        <v/>
      </c>
      <c r="L914" s="19"/>
      <c r="M914" s="39"/>
      <c r="N914" s="19"/>
      <c r="O914" s="19"/>
      <c r="P914" s="43" t="str">
        <f aca="false">IF($E914="","",IF($L914="Decline",0,IF($L914="Approve fewer",IF($M914="","",$M914),IF($L914="","",$I914))))</f>
        <v/>
      </c>
      <c r="Q914" s="34" t="str">
        <f aca="false">IF($P914="","",IF($N914&lt;&gt;"",$N914,$J914))</f>
        <v/>
      </c>
      <c r="R914" s="35" t="str">
        <f aca="false">IF(OR($P914="",$Q914=""),"",INDEX(BookRate,909)*$P914*(5-MATCH($Q914,{"Q1";"Q2";"Q3";"Q4"},0))/4+INDEX(BookOneOff,909)*$P914)</f>
        <v/>
      </c>
      <c r="S914" s="35" t="str">
        <f aca="false">IF($P914="","",INDEX(BookRate,909)*$P914)</f>
        <v/>
      </c>
      <c r="T914" s="35" t="str">
        <f aca="false">IF($R914="","",$R914-$K914)</f>
        <v/>
      </c>
      <c r="U914" s="35" t="str">
        <f aca="false">IF(N($P914)&lt;=0,"",COUNTIF($P$6:$P914,"&gt;0"))</f>
        <v/>
      </c>
    </row>
    <row r="915" customFormat="false" ht="15" hidden="false" customHeight="false" outlineLevel="0" collapsed="false">
      <c r="A915" s="40" t="str">
        <f aca="false">IF(INDEX(BookTitle,910)="","",INDEX(BookGroup,910))</f>
        <v/>
      </c>
      <c r="B915" s="40" t="str">
        <f aca="false">IF(INDEX(BookTitle,910)="","",INDEX(BookRef,910))</f>
        <v/>
      </c>
      <c r="C915" s="40" t="str">
        <f aca="false">IF(INDEX(BookTitle,910)="","",INDEX(BookDivision,910))</f>
        <v/>
      </c>
      <c r="D915" s="40" t="str">
        <f aca="false">IF(INDEX(BookTitle,910)="","",INDEX(BookUnit,910))</f>
        <v/>
      </c>
      <c r="E915" s="40" t="str">
        <f aca="false">IF(INDEX(BookTitle,910)="","",INDEX(BookTitle,910))</f>
        <v/>
      </c>
      <c r="F915" s="40" t="str">
        <f aca="false">IF(INDEX(BookTitle,910)="","",INDEX(BookLevel,910))</f>
        <v/>
      </c>
      <c r="G915" s="40" t="str">
        <f aca="false">IF(INDEX(BookTitle,910)="","",INDEX(BookCategory,910))</f>
        <v/>
      </c>
      <c r="H915" s="40" t="str">
        <f aca="false">IF(INDEX(BookTitle,910)="","",INDEX(BookRank,910))</f>
        <v/>
      </c>
      <c r="I915" s="41" t="str">
        <f aca="false">IF(INDEX(BookTitle,910)="","",INDEX(BookTotal,910))</f>
        <v/>
      </c>
      <c r="J915" s="0" t="str">
        <f aca="false">IF($I915="","",IF(INDEX(BookQ1,910)&gt;0,"Q1",IF(INDEX(BookQ2,910)&gt;0,"Q2",IF(INDEX(BookQ3,910)&gt;0,"Q3",IF(INDEX(BookQ4,910)&gt;0,"Q4","")))))</f>
        <v/>
      </c>
      <c r="K915" s="42" t="str">
        <f aca="false">IF(INDEX(BookTitle,910)="","",INDEX(BookInYear,910))</f>
        <v/>
      </c>
      <c r="L915" s="19"/>
      <c r="M915" s="39"/>
      <c r="N915" s="19"/>
      <c r="O915" s="19"/>
      <c r="P915" s="43" t="str">
        <f aca="false">IF($E915="","",IF($L915="Decline",0,IF($L915="Approve fewer",IF($M915="","",$M915),IF($L915="","",$I915))))</f>
        <v/>
      </c>
      <c r="Q915" s="34" t="str">
        <f aca="false">IF($P915="","",IF($N915&lt;&gt;"",$N915,$J915))</f>
        <v/>
      </c>
      <c r="R915" s="35" t="str">
        <f aca="false">IF(OR($P915="",$Q915=""),"",INDEX(BookRate,910)*$P915*(5-MATCH($Q915,{"Q1";"Q2";"Q3";"Q4"},0))/4+INDEX(BookOneOff,910)*$P915)</f>
        <v/>
      </c>
      <c r="S915" s="35" t="str">
        <f aca="false">IF($P915="","",INDEX(BookRate,910)*$P915)</f>
        <v/>
      </c>
      <c r="T915" s="35" t="str">
        <f aca="false">IF($R915="","",$R915-$K915)</f>
        <v/>
      </c>
      <c r="U915" s="35" t="str">
        <f aca="false">IF(N($P915)&lt;=0,"",COUNTIF($P$6:$P915,"&gt;0"))</f>
        <v/>
      </c>
    </row>
    <row r="916" customFormat="false" ht="15" hidden="false" customHeight="false" outlineLevel="0" collapsed="false">
      <c r="A916" s="40" t="str">
        <f aca="false">IF(INDEX(BookTitle,911)="","",INDEX(BookGroup,911))</f>
        <v/>
      </c>
      <c r="B916" s="40" t="str">
        <f aca="false">IF(INDEX(BookTitle,911)="","",INDEX(BookRef,911))</f>
        <v/>
      </c>
      <c r="C916" s="40" t="str">
        <f aca="false">IF(INDEX(BookTitle,911)="","",INDEX(BookDivision,911))</f>
        <v/>
      </c>
      <c r="D916" s="40" t="str">
        <f aca="false">IF(INDEX(BookTitle,911)="","",INDEX(BookUnit,911))</f>
        <v/>
      </c>
      <c r="E916" s="40" t="str">
        <f aca="false">IF(INDEX(BookTitle,911)="","",INDEX(BookTitle,911))</f>
        <v/>
      </c>
      <c r="F916" s="40" t="str">
        <f aca="false">IF(INDEX(BookTitle,911)="","",INDEX(BookLevel,911))</f>
        <v/>
      </c>
      <c r="G916" s="40" t="str">
        <f aca="false">IF(INDEX(BookTitle,911)="","",INDEX(BookCategory,911))</f>
        <v/>
      </c>
      <c r="H916" s="40" t="str">
        <f aca="false">IF(INDEX(BookTitle,911)="","",INDEX(BookRank,911))</f>
        <v/>
      </c>
      <c r="I916" s="41" t="str">
        <f aca="false">IF(INDEX(BookTitle,911)="","",INDEX(BookTotal,911))</f>
        <v/>
      </c>
      <c r="J916" s="0" t="str">
        <f aca="false">IF($I916="","",IF(INDEX(BookQ1,911)&gt;0,"Q1",IF(INDEX(BookQ2,911)&gt;0,"Q2",IF(INDEX(BookQ3,911)&gt;0,"Q3",IF(INDEX(BookQ4,911)&gt;0,"Q4","")))))</f>
        <v/>
      </c>
      <c r="K916" s="42" t="str">
        <f aca="false">IF(INDEX(BookTitle,911)="","",INDEX(BookInYear,911))</f>
        <v/>
      </c>
      <c r="L916" s="19"/>
      <c r="M916" s="39"/>
      <c r="N916" s="19"/>
      <c r="O916" s="19"/>
      <c r="P916" s="43" t="str">
        <f aca="false">IF($E916="","",IF($L916="Decline",0,IF($L916="Approve fewer",IF($M916="","",$M916),IF($L916="","",$I916))))</f>
        <v/>
      </c>
      <c r="Q916" s="34" t="str">
        <f aca="false">IF($P916="","",IF($N916&lt;&gt;"",$N916,$J916))</f>
        <v/>
      </c>
      <c r="R916" s="35" t="str">
        <f aca="false">IF(OR($P916="",$Q916=""),"",INDEX(BookRate,911)*$P916*(5-MATCH($Q916,{"Q1";"Q2";"Q3";"Q4"},0))/4+INDEX(BookOneOff,911)*$P916)</f>
        <v/>
      </c>
      <c r="S916" s="35" t="str">
        <f aca="false">IF($P916="","",INDEX(BookRate,911)*$P916)</f>
        <v/>
      </c>
      <c r="T916" s="35" t="str">
        <f aca="false">IF($R916="","",$R916-$K916)</f>
        <v/>
      </c>
      <c r="U916" s="35" t="str">
        <f aca="false">IF(N($P916)&lt;=0,"",COUNTIF($P$6:$P916,"&gt;0"))</f>
        <v/>
      </c>
    </row>
    <row r="917" customFormat="false" ht="15" hidden="false" customHeight="false" outlineLevel="0" collapsed="false">
      <c r="A917" s="40" t="str">
        <f aca="false">IF(INDEX(BookTitle,912)="","",INDEX(BookGroup,912))</f>
        <v/>
      </c>
      <c r="B917" s="40" t="str">
        <f aca="false">IF(INDEX(BookTitle,912)="","",INDEX(BookRef,912))</f>
        <v/>
      </c>
      <c r="C917" s="40" t="str">
        <f aca="false">IF(INDEX(BookTitle,912)="","",INDEX(BookDivision,912))</f>
        <v/>
      </c>
      <c r="D917" s="40" t="str">
        <f aca="false">IF(INDEX(BookTitle,912)="","",INDEX(BookUnit,912))</f>
        <v/>
      </c>
      <c r="E917" s="40" t="str">
        <f aca="false">IF(INDEX(BookTitle,912)="","",INDEX(BookTitle,912))</f>
        <v/>
      </c>
      <c r="F917" s="40" t="str">
        <f aca="false">IF(INDEX(BookTitle,912)="","",INDEX(BookLevel,912))</f>
        <v/>
      </c>
      <c r="G917" s="40" t="str">
        <f aca="false">IF(INDEX(BookTitle,912)="","",INDEX(BookCategory,912))</f>
        <v/>
      </c>
      <c r="H917" s="40" t="str">
        <f aca="false">IF(INDEX(BookTitle,912)="","",INDEX(BookRank,912))</f>
        <v/>
      </c>
      <c r="I917" s="41" t="str">
        <f aca="false">IF(INDEX(BookTitle,912)="","",INDEX(BookTotal,912))</f>
        <v/>
      </c>
      <c r="J917" s="0" t="str">
        <f aca="false">IF($I917="","",IF(INDEX(BookQ1,912)&gt;0,"Q1",IF(INDEX(BookQ2,912)&gt;0,"Q2",IF(INDEX(BookQ3,912)&gt;0,"Q3",IF(INDEX(BookQ4,912)&gt;0,"Q4","")))))</f>
        <v/>
      </c>
      <c r="K917" s="42" t="str">
        <f aca="false">IF(INDEX(BookTitle,912)="","",INDEX(BookInYear,912))</f>
        <v/>
      </c>
      <c r="L917" s="19"/>
      <c r="M917" s="39"/>
      <c r="N917" s="19"/>
      <c r="O917" s="19"/>
      <c r="P917" s="43" t="str">
        <f aca="false">IF($E917="","",IF($L917="Decline",0,IF($L917="Approve fewer",IF($M917="","",$M917),IF($L917="","",$I917))))</f>
        <v/>
      </c>
      <c r="Q917" s="34" t="str">
        <f aca="false">IF($P917="","",IF($N917&lt;&gt;"",$N917,$J917))</f>
        <v/>
      </c>
      <c r="R917" s="35" t="str">
        <f aca="false">IF(OR($P917="",$Q917=""),"",INDEX(BookRate,912)*$P917*(5-MATCH($Q917,{"Q1";"Q2";"Q3";"Q4"},0))/4+INDEX(BookOneOff,912)*$P917)</f>
        <v/>
      </c>
      <c r="S917" s="35" t="str">
        <f aca="false">IF($P917="","",INDEX(BookRate,912)*$P917)</f>
        <v/>
      </c>
      <c r="T917" s="35" t="str">
        <f aca="false">IF($R917="","",$R917-$K917)</f>
        <v/>
      </c>
      <c r="U917" s="35" t="str">
        <f aca="false">IF(N($P917)&lt;=0,"",COUNTIF($P$6:$P917,"&gt;0"))</f>
        <v/>
      </c>
    </row>
    <row r="918" customFormat="false" ht="15" hidden="false" customHeight="false" outlineLevel="0" collapsed="false">
      <c r="A918" s="40" t="str">
        <f aca="false">IF(INDEX(BookTitle,913)="","",INDEX(BookGroup,913))</f>
        <v/>
      </c>
      <c r="B918" s="40" t="str">
        <f aca="false">IF(INDEX(BookTitle,913)="","",INDEX(BookRef,913))</f>
        <v/>
      </c>
      <c r="C918" s="40" t="str">
        <f aca="false">IF(INDEX(BookTitle,913)="","",INDEX(BookDivision,913))</f>
        <v/>
      </c>
      <c r="D918" s="40" t="str">
        <f aca="false">IF(INDEX(BookTitle,913)="","",INDEX(BookUnit,913))</f>
        <v/>
      </c>
      <c r="E918" s="40" t="str">
        <f aca="false">IF(INDEX(BookTitle,913)="","",INDEX(BookTitle,913))</f>
        <v/>
      </c>
      <c r="F918" s="40" t="str">
        <f aca="false">IF(INDEX(BookTitle,913)="","",INDEX(BookLevel,913))</f>
        <v/>
      </c>
      <c r="G918" s="40" t="str">
        <f aca="false">IF(INDEX(BookTitle,913)="","",INDEX(BookCategory,913))</f>
        <v/>
      </c>
      <c r="H918" s="40" t="str">
        <f aca="false">IF(INDEX(BookTitle,913)="","",INDEX(BookRank,913))</f>
        <v/>
      </c>
      <c r="I918" s="41" t="str">
        <f aca="false">IF(INDEX(BookTitle,913)="","",INDEX(BookTotal,913))</f>
        <v/>
      </c>
      <c r="J918" s="0" t="str">
        <f aca="false">IF($I918="","",IF(INDEX(BookQ1,913)&gt;0,"Q1",IF(INDEX(BookQ2,913)&gt;0,"Q2",IF(INDEX(BookQ3,913)&gt;0,"Q3",IF(INDEX(BookQ4,913)&gt;0,"Q4","")))))</f>
        <v/>
      </c>
      <c r="K918" s="42" t="str">
        <f aca="false">IF(INDEX(BookTitle,913)="","",INDEX(BookInYear,913))</f>
        <v/>
      </c>
      <c r="L918" s="19"/>
      <c r="M918" s="39"/>
      <c r="N918" s="19"/>
      <c r="O918" s="19"/>
      <c r="P918" s="43" t="str">
        <f aca="false">IF($E918="","",IF($L918="Decline",0,IF($L918="Approve fewer",IF($M918="","",$M918),IF($L918="","",$I918))))</f>
        <v/>
      </c>
      <c r="Q918" s="34" t="str">
        <f aca="false">IF($P918="","",IF($N918&lt;&gt;"",$N918,$J918))</f>
        <v/>
      </c>
      <c r="R918" s="35" t="str">
        <f aca="false">IF(OR($P918="",$Q918=""),"",INDEX(BookRate,913)*$P918*(5-MATCH($Q918,{"Q1";"Q2";"Q3";"Q4"},0))/4+INDEX(BookOneOff,913)*$P918)</f>
        <v/>
      </c>
      <c r="S918" s="35" t="str">
        <f aca="false">IF($P918="","",INDEX(BookRate,913)*$P918)</f>
        <v/>
      </c>
      <c r="T918" s="35" t="str">
        <f aca="false">IF($R918="","",$R918-$K918)</f>
        <v/>
      </c>
      <c r="U918" s="35" t="str">
        <f aca="false">IF(N($P918)&lt;=0,"",COUNTIF($P$6:$P918,"&gt;0"))</f>
        <v/>
      </c>
    </row>
    <row r="919" customFormat="false" ht="15" hidden="false" customHeight="false" outlineLevel="0" collapsed="false">
      <c r="A919" s="40" t="str">
        <f aca="false">IF(INDEX(BookTitle,914)="","",INDEX(BookGroup,914))</f>
        <v/>
      </c>
      <c r="B919" s="40" t="str">
        <f aca="false">IF(INDEX(BookTitle,914)="","",INDEX(BookRef,914))</f>
        <v/>
      </c>
      <c r="C919" s="40" t="str">
        <f aca="false">IF(INDEX(BookTitle,914)="","",INDEX(BookDivision,914))</f>
        <v/>
      </c>
      <c r="D919" s="40" t="str">
        <f aca="false">IF(INDEX(BookTitle,914)="","",INDEX(BookUnit,914))</f>
        <v/>
      </c>
      <c r="E919" s="40" t="str">
        <f aca="false">IF(INDEX(BookTitle,914)="","",INDEX(BookTitle,914))</f>
        <v/>
      </c>
      <c r="F919" s="40" t="str">
        <f aca="false">IF(INDEX(BookTitle,914)="","",INDEX(BookLevel,914))</f>
        <v/>
      </c>
      <c r="G919" s="40" t="str">
        <f aca="false">IF(INDEX(BookTitle,914)="","",INDEX(BookCategory,914))</f>
        <v/>
      </c>
      <c r="H919" s="40" t="str">
        <f aca="false">IF(INDEX(BookTitle,914)="","",INDEX(BookRank,914))</f>
        <v/>
      </c>
      <c r="I919" s="41" t="str">
        <f aca="false">IF(INDEX(BookTitle,914)="","",INDEX(BookTotal,914))</f>
        <v/>
      </c>
      <c r="J919" s="0" t="str">
        <f aca="false">IF($I919="","",IF(INDEX(BookQ1,914)&gt;0,"Q1",IF(INDEX(BookQ2,914)&gt;0,"Q2",IF(INDEX(BookQ3,914)&gt;0,"Q3",IF(INDEX(BookQ4,914)&gt;0,"Q4","")))))</f>
        <v/>
      </c>
      <c r="K919" s="42" t="str">
        <f aca="false">IF(INDEX(BookTitle,914)="","",INDEX(BookInYear,914))</f>
        <v/>
      </c>
      <c r="L919" s="19"/>
      <c r="M919" s="39"/>
      <c r="N919" s="19"/>
      <c r="O919" s="19"/>
      <c r="P919" s="43" t="str">
        <f aca="false">IF($E919="","",IF($L919="Decline",0,IF($L919="Approve fewer",IF($M919="","",$M919),IF($L919="","",$I919))))</f>
        <v/>
      </c>
      <c r="Q919" s="34" t="str">
        <f aca="false">IF($P919="","",IF($N919&lt;&gt;"",$N919,$J919))</f>
        <v/>
      </c>
      <c r="R919" s="35" t="str">
        <f aca="false">IF(OR($P919="",$Q919=""),"",INDEX(BookRate,914)*$P919*(5-MATCH($Q919,{"Q1";"Q2";"Q3";"Q4"},0))/4+INDEX(BookOneOff,914)*$P919)</f>
        <v/>
      </c>
      <c r="S919" s="35" t="str">
        <f aca="false">IF($P919="","",INDEX(BookRate,914)*$P919)</f>
        <v/>
      </c>
      <c r="T919" s="35" t="str">
        <f aca="false">IF($R919="","",$R919-$K919)</f>
        <v/>
      </c>
      <c r="U919" s="35" t="str">
        <f aca="false">IF(N($P919)&lt;=0,"",COUNTIF($P$6:$P919,"&gt;0"))</f>
        <v/>
      </c>
    </row>
    <row r="920" customFormat="false" ht="15" hidden="false" customHeight="false" outlineLevel="0" collapsed="false">
      <c r="A920" s="40" t="str">
        <f aca="false">IF(INDEX(BookTitle,915)="","",INDEX(BookGroup,915))</f>
        <v/>
      </c>
      <c r="B920" s="40" t="str">
        <f aca="false">IF(INDEX(BookTitle,915)="","",INDEX(BookRef,915))</f>
        <v/>
      </c>
      <c r="C920" s="40" t="str">
        <f aca="false">IF(INDEX(BookTitle,915)="","",INDEX(BookDivision,915))</f>
        <v/>
      </c>
      <c r="D920" s="40" t="str">
        <f aca="false">IF(INDEX(BookTitle,915)="","",INDEX(BookUnit,915))</f>
        <v/>
      </c>
      <c r="E920" s="40" t="str">
        <f aca="false">IF(INDEX(BookTitle,915)="","",INDEX(BookTitle,915))</f>
        <v/>
      </c>
      <c r="F920" s="40" t="str">
        <f aca="false">IF(INDEX(BookTitle,915)="","",INDEX(BookLevel,915))</f>
        <v/>
      </c>
      <c r="G920" s="40" t="str">
        <f aca="false">IF(INDEX(BookTitle,915)="","",INDEX(BookCategory,915))</f>
        <v/>
      </c>
      <c r="H920" s="40" t="str">
        <f aca="false">IF(INDEX(BookTitle,915)="","",INDEX(BookRank,915))</f>
        <v/>
      </c>
      <c r="I920" s="41" t="str">
        <f aca="false">IF(INDEX(BookTitle,915)="","",INDEX(BookTotal,915))</f>
        <v/>
      </c>
      <c r="J920" s="0" t="str">
        <f aca="false">IF($I920="","",IF(INDEX(BookQ1,915)&gt;0,"Q1",IF(INDEX(BookQ2,915)&gt;0,"Q2",IF(INDEX(BookQ3,915)&gt;0,"Q3",IF(INDEX(BookQ4,915)&gt;0,"Q4","")))))</f>
        <v/>
      </c>
      <c r="K920" s="42" t="str">
        <f aca="false">IF(INDEX(BookTitle,915)="","",INDEX(BookInYear,915))</f>
        <v/>
      </c>
      <c r="L920" s="19"/>
      <c r="M920" s="39"/>
      <c r="N920" s="19"/>
      <c r="O920" s="19"/>
      <c r="P920" s="43" t="str">
        <f aca="false">IF($E920="","",IF($L920="Decline",0,IF($L920="Approve fewer",IF($M920="","",$M920),IF($L920="","",$I920))))</f>
        <v/>
      </c>
      <c r="Q920" s="34" t="str">
        <f aca="false">IF($P920="","",IF($N920&lt;&gt;"",$N920,$J920))</f>
        <v/>
      </c>
      <c r="R920" s="35" t="str">
        <f aca="false">IF(OR($P920="",$Q920=""),"",INDEX(BookRate,915)*$P920*(5-MATCH($Q920,{"Q1";"Q2";"Q3";"Q4"},0))/4+INDEX(BookOneOff,915)*$P920)</f>
        <v/>
      </c>
      <c r="S920" s="35" t="str">
        <f aca="false">IF($P920="","",INDEX(BookRate,915)*$P920)</f>
        <v/>
      </c>
      <c r="T920" s="35" t="str">
        <f aca="false">IF($R920="","",$R920-$K920)</f>
        <v/>
      </c>
      <c r="U920" s="35" t="str">
        <f aca="false">IF(N($P920)&lt;=0,"",COUNTIF($P$6:$P920,"&gt;0"))</f>
        <v/>
      </c>
    </row>
    <row r="921" customFormat="false" ht="15" hidden="false" customHeight="false" outlineLevel="0" collapsed="false">
      <c r="A921" s="40" t="str">
        <f aca="false">IF(INDEX(BookTitle,916)="","",INDEX(BookGroup,916))</f>
        <v/>
      </c>
      <c r="B921" s="40" t="str">
        <f aca="false">IF(INDEX(BookTitle,916)="","",INDEX(BookRef,916))</f>
        <v/>
      </c>
      <c r="C921" s="40" t="str">
        <f aca="false">IF(INDEX(BookTitle,916)="","",INDEX(BookDivision,916))</f>
        <v/>
      </c>
      <c r="D921" s="40" t="str">
        <f aca="false">IF(INDEX(BookTitle,916)="","",INDEX(BookUnit,916))</f>
        <v/>
      </c>
      <c r="E921" s="40" t="str">
        <f aca="false">IF(INDEX(BookTitle,916)="","",INDEX(BookTitle,916))</f>
        <v/>
      </c>
      <c r="F921" s="40" t="str">
        <f aca="false">IF(INDEX(BookTitle,916)="","",INDEX(BookLevel,916))</f>
        <v/>
      </c>
      <c r="G921" s="40" t="str">
        <f aca="false">IF(INDEX(BookTitle,916)="","",INDEX(BookCategory,916))</f>
        <v/>
      </c>
      <c r="H921" s="40" t="str">
        <f aca="false">IF(INDEX(BookTitle,916)="","",INDEX(BookRank,916))</f>
        <v/>
      </c>
      <c r="I921" s="41" t="str">
        <f aca="false">IF(INDEX(BookTitle,916)="","",INDEX(BookTotal,916))</f>
        <v/>
      </c>
      <c r="J921" s="0" t="str">
        <f aca="false">IF($I921="","",IF(INDEX(BookQ1,916)&gt;0,"Q1",IF(INDEX(BookQ2,916)&gt;0,"Q2",IF(INDEX(BookQ3,916)&gt;0,"Q3",IF(INDEX(BookQ4,916)&gt;0,"Q4","")))))</f>
        <v/>
      </c>
      <c r="K921" s="42" t="str">
        <f aca="false">IF(INDEX(BookTitle,916)="","",INDEX(BookInYear,916))</f>
        <v/>
      </c>
      <c r="L921" s="19"/>
      <c r="M921" s="39"/>
      <c r="N921" s="19"/>
      <c r="O921" s="19"/>
      <c r="P921" s="43" t="str">
        <f aca="false">IF($E921="","",IF($L921="Decline",0,IF($L921="Approve fewer",IF($M921="","",$M921),IF($L921="","",$I921))))</f>
        <v/>
      </c>
      <c r="Q921" s="34" t="str">
        <f aca="false">IF($P921="","",IF($N921&lt;&gt;"",$N921,$J921))</f>
        <v/>
      </c>
      <c r="R921" s="35" t="str">
        <f aca="false">IF(OR($P921="",$Q921=""),"",INDEX(BookRate,916)*$P921*(5-MATCH($Q921,{"Q1";"Q2";"Q3";"Q4"},0))/4+INDEX(BookOneOff,916)*$P921)</f>
        <v/>
      </c>
      <c r="S921" s="35" t="str">
        <f aca="false">IF($P921="","",INDEX(BookRate,916)*$P921)</f>
        <v/>
      </c>
      <c r="T921" s="35" t="str">
        <f aca="false">IF($R921="","",$R921-$K921)</f>
        <v/>
      </c>
      <c r="U921" s="35" t="str">
        <f aca="false">IF(N($P921)&lt;=0,"",COUNTIF($P$6:$P921,"&gt;0"))</f>
        <v/>
      </c>
    </row>
    <row r="922" customFormat="false" ht="15" hidden="false" customHeight="false" outlineLevel="0" collapsed="false">
      <c r="A922" s="40" t="str">
        <f aca="false">IF(INDEX(BookTitle,917)="","",INDEX(BookGroup,917))</f>
        <v/>
      </c>
      <c r="B922" s="40" t="str">
        <f aca="false">IF(INDEX(BookTitle,917)="","",INDEX(BookRef,917))</f>
        <v/>
      </c>
      <c r="C922" s="40" t="str">
        <f aca="false">IF(INDEX(BookTitle,917)="","",INDEX(BookDivision,917))</f>
        <v/>
      </c>
      <c r="D922" s="40" t="str">
        <f aca="false">IF(INDEX(BookTitle,917)="","",INDEX(BookUnit,917))</f>
        <v/>
      </c>
      <c r="E922" s="40" t="str">
        <f aca="false">IF(INDEX(BookTitle,917)="","",INDEX(BookTitle,917))</f>
        <v/>
      </c>
      <c r="F922" s="40" t="str">
        <f aca="false">IF(INDEX(BookTitle,917)="","",INDEX(BookLevel,917))</f>
        <v/>
      </c>
      <c r="G922" s="40" t="str">
        <f aca="false">IF(INDEX(BookTitle,917)="","",INDEX(BookCategory,917))</f>
        <v/>
      </c>
      <c r="H922" s="40" t="str">
        <f aca="false">IF(INDEX(BookTitle,917)="","",INDEX(BookRank,917))</f>
        <v/>
      </c>
      <c r="I922" s="41" t="str">
        <f aca="false">IF(INDEX(BookTitle,917)="","",INDEX(BookTotal,917))</f>
        <v/>
      </c>
      <c r="J922" s="0" t="str">
        <f aca="false">IF($I922="","",IF(INDEX(BookQ1,917)&gt;0,"Q1",IF(INDEX(BookQ2,917)&gt;0,"Q2",IF(INDEX(BookQ3,917)&gt;0,"Q3",IF(INDEX(BookQ4,917)&gt;0,"Q4","")))))</f>
        <v/>
      </c>
      <c r="K922" s="42" t="str">
        <f aca="false">IF(INDEX(BookTitle,917)="","",INDEX(BookInYear,917))</f>
        <v/>
      </c>
      <c r="L922" s="19"/>
      <c r="M922" s="39"/>
      <c r="N922" s="19"/>
      <c r="O922" s="19"/>
      <c r="P922" s="43" t="str">
        <f aca="false">IF($E922="","",IF($L922="Decline",0,IF($L922="Approve fewer",IF($M922="","",$M922),IF($L922="","",$I922))))</f>
        <v/>
      </c>
      <c r="Q922" s="34" t="str">
        <f aca="false">IF($P922="","",IF($N922&lt;&gt;"",$N922,$J922))</f>
        <v/>
      </c>
      <c r="R922" s="35" t="str">
        <f aca="false">IF(OR($P922="",$Q922=""),"",INDEX(BookRate,917)*$P922*(5-MATCH($Q922,{"Q1";"Q2";"Q3";"Q4"},0))/4+INDEX(BookOneOff,917)*$P922)</f>
        <v/>
      </c>
      <c r="S922" s="35" t="str">
        <f aca="false">IF($P922="","",INDEX(BookRate,917)*$P922)</f>
        <v/>
      </c>
      <c r="T922" s="35" t="str">
        <f aca="false">IF($R922="","",$R922-$K922)</f>
        <v/>
      </c>
      <c r="U922" s="35" t="str">
        <f aca="false">IF(N($P922)&lt;=0,"",COUNTIF($P$6:$P922,"&gt;0"))</f>
        <v/>
      </c>
    </row>
    <row r="923" customFormat="false" ht="15" hidden="false" customHeight="false" outlineLevel="0" collapsed="false">
      <c r="A923" s="40" t="str">
        <f aca="false">IF(INDEX(BookTitle,918)="","",INDEX(BookGroup,918))</f>
        <v/>
      </c>
      <c r="B923" s="40" t="str">
        <f aca="false">IF(INDEX(BookTitle,918)="","",INDEX(BookRef,918))</f>
        <v/>
      </c>
      <c r="C923" s="40" t="str">
        <f aca="false">IF(INDEX(BookTitle,918)="","",INDEX(BookDivision,918))</f>
        <v/>
      </c>
      <c r="D923" s="40" t="str">
        <f aca="false">IF(INDEX(BookTitle,918)="","",INDEX(BookUnit,918))</f>
        <v/>
      </c>
      <c r="E923" s="40" t="str">
        <f aca="false">IF(INDEX(BookTitle,918)="","",INDEX(BookTitle,918))</f>
        <v/>
      </c>
      <c r="F923" s="40" t="str">
        <f aca="false">IF(INDEX(BookTitle,918)="","",INDEX(BookLevel,918))</f>
        <v/>
      </c>
      <c r="G923" s="40" t="str">
        <f aca="false">IF(INDEX(BookTitle,918)="","",INDEX(BookCategory,918))</f>
        <v/>
      </c>
      <c r="H923" s="40" t="str">
        <f aca="false">IF(INDEX(BookTitle,918)="","",INDEX(BookRank,918))</f>
        <v/>
      </c>
      <c r="I923" s="41" t="str">
        <f aca="false">IF(INDEX(BookTitle,918)="","",INDEX(BookTotal,918))</f>
        <v/>
      </c>
      <c r="J923" s="0" t="str">
        <f aca="false">IF($I923="","",IF(INDEX(BookQ1,918)&gt;0,"Q1",IF(INDEX(BookQ2,918)&gt;0,"Q2",IF(INDEX(BookQ3,918)&gt;0,"Q3",IF(INDEX(BookQ4,918)&gt;0,"Q4","")))))</f>
        <v/>
      </c>
      <c r="K923" s="42" t="str">
        <f aca="false">IF(INDEX(BookTitle,918)="","",INDEX(BookInYear,918))</f>
        <v/>
      </c>
      <c r="L923" s="19"/>
      <c r="M923" s="39"/>
      <c r="N923" s="19"/>
      <c r="O923" s="19"/>
      <c r="P923" s="43" t="str">
        <f aca="false">IF($E923="","",IF($L923="Decline",0,IF($L923="Approve fewer",IF($M923="","",$M923),IF($L923="","",$I923))))</f>
        <v/>
      </c>
      <c r="Q923" s="34" t="str">
        <f aca="false">IF($P923="","",IF($N923&lt;&gt;"",$N923,$J923))</f>
        <v/>
      </c>
      <c r="R923" s="35" t="str">
        <f aca="false">IF(OR($P923="",$Q923=""),"",INDEX(BookRate,918)*$P923*(5-MATCH($Q923,{"Q1";"Q2";"Q3";"Q4"},0))/4+INDEX(BookOneOff,918)*$P923)</f>
        <v/>
      </c>
      <c r="S923" s="35" t="str">
        <f aca="false">IF($P923="","",INDEX(BookRate,918)*$P923)</f>
        <v/>
      </c>
      <c r="T923" s="35" t="str">
        <f aca="false">IF($R923="","",$R923-$K923)</f>
        <v/>
      </c>
      <c r="U923" s="35" t="str">
        <f aca="false">IF(N($P923)&lt;=0,"",COUNTIF($P$6:$P923,"&gt;0"))</f>
        <v/>
      </c>
    </row>
    <row r="924" customFormat="false" ht="15" hidden="false" customHeight="false" outlineLevel="0" collapsed="false">
      <c r="A924" s="40" t="str">
        <f aca="false">IF(INDEX(BookTitle,919)="","",INDEX(BookGroup,919))</f>
        <v/>
      </c>
      <c r="B924" s="40" t="str">
        <f aca="false">IF(INDEX(BookTitle,919)="","",INDEX(BookRef,919))</f>
        <v/>
      </c>
      <c r="C924" s="40" t="str">
        <f aca="false">IF(INDEX(BookTitle,919)="","",INDEX(BookDivision,919))</f>
        <v/>
      </c>
      <c r="D924" s="40" t="str">
        <f aca="false">IF(INDEX(BookTitle,919)="","",INDEX(BookUnit,919))</f>
        <v/>
      </c>
      <c r="E924" s="40" t="str">
        <f aca="false">IF(INDEX(BookTitle,919)="","",INDEX(BookTitle,919))</f>
        <v/>
      </c>
      <c r="F924" s="40" t="str">
        <f aca="false">IF(INDEX(BookTitle,919)="","",INDEX(BookLevel,919))</f>
        <v/>
      </c>
      <c r="G924" s="40" t="str">
        <f aca="false">IF(INDEX(BookTitle,919)="","",INDEX(BookCategory,919))</f>
        <v/>
      </c>
      <c r="H924" s="40" t="str">
        <f aca="false">IF(INDEX(BookTitle,919)="","",INDEX(BookRank,919))</f>
        <v/>
      </c>
      <c r="I924" s="41" t="str">
        <f aca="false">IF(INDEX(BookTitle,919)="","",INDEX(BookTotal,919))</f>
        <v/>
      </c>
      <c r="J924" s="0" t="str">
        <f aca="false">IF($I924="","",IF(INDEX(BookQ1,919)&gt;0,"Q1",IF(INDEX(BookQ2,919)&gt;0,"Q2",IF(INDEX(BookQ3,919)&gt;0,"Q3",IF(INDEX(BookQ4,919)&gt;0,"Q4","")))))</f>
        <v/>
      </c>
      <c r="K924" s="42" t="str">
        <f aca="false">IF(INDEX(BookTitle,919)="","",INDEX(BookInYear,919))</f>
        <v/>
      </c>
      <c r="L924" s="19"/>
      <c r="M924" s="39"/>
      <c r="N924" s="19"/>
      <c r="O924" s="19"/>
      <c r="P924" s="43" t="str">
        <f aca="false">IF($E924="","",IF($L924="Decline",0,IF($L924="Approve fewer",IF($M924="","",$M924),IF($L924="","",$I924))))</f>
        <v/>
      </c>
      <c r="Q924" s="34" t="str">
        <f aca="false">IF($P924="","",IF($N924&lt;&gt;"",$N924,$J924))</f>
        <v/>
      </c>
      <c r="R924" s="35" t="str">
        <f aca="false">IF(OR($P924="",$Q924=""),"",INDEX(BookRate,919)*$P924*(5-MATCH($Q924,{"Q1";"Q2";"Q3";"Q4"},0))/4+INDEX(BookOneOff,919)*$P924)</f>
        <v/>
      </c>
      <c r="S924" s="35" t="str">
        <f aca="false">IF($P924="","",INDEX(BookRate,919)*$P924)</f>
        <v/>
      </c>
      <c r="T924" s="35" t="str">
        <f aca="false">IF($R924="","",$R924-$K924)</f>
        <v/>
      </c>
      <c r="U924" s="35" t="str">
        <f aca="false">IF(N($P924)&lt;=0,"",COUNTIF($P$6:$P924,"&gt;0"))</f>
        <v/>
      </c>
    </row>
    <row r="925" customFormat="false" ht="15" hidden="false" customHeight="false" outlineLevel="0" collapsed="false">
      <c r="A925" s="40" t="str">
        <f aca="false">IF(INDEX(BookTitle,920)="","",INDEX(BookGroup,920))</f>
        <v/>
      </c>
      <c r="B925" s="40" t="str">
        <f aca="false">IF(INDEX(BookTitle,920)="","",INDEX(BookRef,920))</f>
        <v/>
      </c>
      <c r="C925" s="40" t="str">
        <f aca="false">IF(INDEX(BookTitle,920)="","",INDEX(BookDivision,920))</f>
        <v/>
      </c>
      <c r="D925" s="40" t="str">
        <f aca="false">IF(INDEX(BookTitle,920)="","",INDEX(BookUnit,920))</f>
        <v/>
      </c>
      <c r="E925" s="40" t="str">
        <f aca="false">IF(INDEX(BookTitle,920)="","",INDEX(BookTitle,920))</f>
        <v/>
      </c>
      <c r="F925" s="40" t="str">
        <f aca="false">IF(INDEX(BookTitle,920)="","",INDEX(BookLevel,920))</f>
        <v/>
      </c>
      <c r="G925" s="40" t="str">
        <f aca="false">IF(INDEX(BookTitle,920)="","",INDEX(BookCategory,920))</f>
        <v/>
      </c>
      <c r="H925" s="40" t="str">
        <f aca="false">IF(INDEX(BookTitle,920)="","",INDEX(BookRank,920))</f>
        <v/>
      </c>
      <c r="I925" s="41" t="str">
        <f aca="false">IF(INDEX(BookTitle,920)="","",INDEX(BookTotal,920))</f>
        <v/>
      </c>
      <c r="J925" s="0" t="str">
        <f aca="false">IF($I925="","",IF(INDEX(BookQ1,920)&gt;0,"Q1",IF(INDEX(BookQ2,920)&gt;0,"Q2",IF(INDEX(BookQ3,920)&gt;0,"Q3",IF(INDEX(BookQ4,920)&gt;0,"Q4","")))))</f>
        <v/>
      </c>
      <c r="K925" s="42" t="str">
        <f aca="false">IF(INDEX(BookTitle,920)="","",INDEX(BookInYear,920))</f>
        <v/>
      </c>
      <c r="L925" s="19"/>
      <c r="M925" s="39"/>
      <c r="N925" s="19"/>
      <c r="O925" s="19"/>
      <c r="P925" s="43" t="str">
        <f aca="false">IF($E925="","",IF($L925="Decline",0,IF($L925="Approve fewer",IF($M925="","",$M925),IF($L925="","",$I925))))</f>
        <v/>
      </c>
      <c r="Q925" s="34" t="str">
        <f aca="false">IF($P925="","",IF($N925&lt;&gt;"",$N925,$J925))</f>
        <v/>
      </c>
      <c r="R925" s="35" t="str">
        <f aca="false">IF(OR($P925="",$Q925=""),"",INDEX(BookRate,920)*$P925*(5-MATCH($Q925,{"Q1";"Q2";"Q3";"Q4"},0))/4+INDEX(BookOneOff,920)*$P925)</f>
        <v/>
      </c>
      <c r="S925" s="35" t="str">
        <f aca="false">IF($P925="","",INDEX(BookRate,920)*$P925)</f>
        <v/>
      </c>
      <c r="T925" s="35" t="str">
        <f aca="false">IF($R925="","",$R925-$K925)</f>
        <v/>
      </c>
      <c r="U925" s="35" t="str">
        <f aca="false">IF(N($P925)&lt;=0,"",COUNTIF($P$6:$P925,"&gt;0"))</f>
        <v/>
      </c>
    </row>
    <row r="926" customFormat="false" ht="15" hidden="false" customHeight="false" outlineLevel="0" collapsed="false">
      <c r="A926" s="40" t="str">
        <f aca="false">IF(INDEX(BookTitle,921)="","",INDEX(BookGroup,921))</f>
        <v/>
      </c>
      <c r="B926" s="40" t="str">
        <f aca="false">IF(INDEX(BookTitle,921)="","",INDEX(BookRef,921))</f>
        <v/>
      </c>
      <c r="C926" s="40" t="str">
        <f aca="false">IF(INDEX(BookTitle,921)="","",INDEX(BookDivision,921))</f>
        <v/>
      </c>
      <c r="D926" s="40" t="str">
        <f aca="false">IF(INDEX(BookTitle,921)="","",INDEX(BookUnit,921))</f>
        <v/>
      </c>
      <c r="E926" s="40" t="str">
        <f aca="false">IF(INDEX(BookTitle,921)="","",INDEX(BookTitle,921))</f>
        <v/>
      </c>
      <c r="F926" s="40" t="str">
        <f aca="false">IF(INDEX(BookTitle,921)="","",INDEX(BookLevel,921))</f>
        <v/>
      </c>
      <c r="G926" s="40" t="str">
        <f aca="false">IF(INDEX(BookTitle,921)="","",INDEX(BookCategory,921))</f>
        <v/>
      </c>
      <c r="H926" s="40" t="str">
        <f aca="false">IF(INDEX(BookTitle,921)="","",INDEX(BookRank,921))</f>
        <v/>
      </c>
      <c r="I926" s="41" t="str">
        <f aca="false">IF(INDEX(BookTitle,921)="","",INDEX(BookTotal,921))</f>
        <v/>
      </c>
      <c r="J926" s="0" t="str">
        <f aca="false">IF($I926="","",IF(INDEX(BookQ1,921)&gt;0,"Q1",IF(INDEX(BookQ2,921)&gt;0,"Q2",IF(INDEX(BookQ3,921)&gt;0,"Q3",IF(INDEX(BookQ4,921)&gt;0,"Q4","")))))</f>
        <v/>
      </c>
      <c r="K926" s="42" t="str">
        <f aca="false">IF(INDEX(BookTitle,921)="","",INDEX(BookInYear,921))</f>
        <v/>
      </c>
      <c r="L926" s="19"/>
      <c r="M926" s="39"/>
      <c r="N926" s="19"/>
      <c r="O926" s="19"/>
      <c r="P926" s="43" t="str">
        <f aca="false">IF($E926="","",IF($L926="Decline",0,IF($L926="Approve fewer",IF($M926="","",$M926),IF($L926="","",$I926))))</f>
        <v/>
      </c>
      <c r="Q926" s="34" t="str">
        <f aca="false">IF($P926="","",IF($N926&lt;&gt;"",$N926,$J926))</f>
        <v/>
      </c>
      <c r="R926" s="35" t="str">
        <f aca="false">IF(OR($P926="",$Q926=""),"",INDEX(BookRate,921)*$P926*(5-MATCH($Q926,{"Q1";"Q2";"Q3";"Q4"},0))/4+INDEX(BookOneOff,921)*$P926)</f>
        <v/>
      </c>
      <c r="S926" s="35" t="str">
        <f aca="false">IF($P926="","",INDEX(BookRate,921)*$P926)</f>
        <v/>
      </c>
      <c r="T926" s="35" t="str">
        <f aca="false">IF($R926="","",$R926-$K926)</f>
        <v/>
      </c>
      <c r="U926" s="35" t="str">
        <f aca="false">IF(N($P926)&lt;=0,"",COUNTIF($P$6:$P926,"&gt;0"))</f>
        <v/>
      </c>
    </row>
    <row r="927" customFormat="false" ht="15" hidden="false" customHeight="false" outlineLevel="0" collapsed="false">
      <c r="A927" s="40" t="str">
        <f aca="false">IF(INDEX(BookTitle,922)="","",INDEX(BookGroup,922))</f>
        <v/>
      </c>
      <c r="B927" s="40" t="str">
        <f aca="false">IF(INDEX(BookTitle,922)="","",INDEX(BookRef,922))</f>
        <v/>
      </c>
      <c r="C927" s="40" t="str">
        <f aca="false">IF(INDEX(BookTitle,922)="","",INDEX(BookDivision,922))</f>
        <v/>
      </c>
      <c r="D927" s="40" t="str">
        <f aca="false">IF(INDEX(BookTitle,922)="","",INDEX(BookUnit,922))</f>
        <v/>
      </c>
      <c r="E927" s="40" t="str">
        <f aca="false">IF(INDEX(BookTitle,922)="","",INDEX(BookTitle,922))</f>
        <v/>
      </c>
      <c r="F927" s="40" t="str">
        <f aca="false">IF(INDEX(BookTitle,922)="","",INDEX(BookLevel,922))</f>
        <v/>
      </c>
      <c r="G927" s="40" t="str">
        <f aca="false">IF(INDEX(BookTitle,922)="","",INDEX(BookCategory,922))</f>
        <v/>
      </c>
      <c r="H927" s="40" t="str">
        <f aca="false">IF(INDEX(BookTitle,922)="","",INDEX(BookRank,922))</f>
        <v/>
      </c>
      <c r="I927" s="41" t="str">
        <f aca="false">IF(INDEX(BookTitle,922)="","",INDEX(BookTotal,922))</f>
        <v/>
      </c>
      <c r="J927" s="0" t="str">
        <f aca="false">IF($I927="","",IF(INDEX(BookQ1,922)&gt;0,"Q1",IF(INDEX(BookQ2,922)&gt;0,"Q2",IF(INDEX(BookQ3,922)&gt;0,"Q3",IF(INDEX(BookQ4,922)&gt;0,"Q4","")))))</f>
        <v/>
      </c>
      <c r="K927" s="42" t="str">
        <f aca="false">IF(INDEX(BookTitle,922)="","",INDEX(BookInYear,922))</f>
        <v/>
      </c>
      <c r="L927" s="19"/>
      <c r="M927" s="39"/>
      <c r="N927" s="19"/>
      <c r="O927" s="19"/>
      <c r="P927" s="43" t="str">
        <f aca="false">IF($E927="","",IF($L927="Decline",0,IF($L927="Approve fewer",IF($M927="","",$M927),IF($L927="","",$I927))))</f>
        <v/>
      </c>
      <c r="Q927" s="34" t="str">
        <f aca="false">IF($P927="","",IF($N927&lt;&gt;"",$N927,$J927))</f>
        <v/>
      </c>
      <c r="R927" s="35" t="str">
        <f aca="false">IF(OR($P927="",$Q927=""),"",INDEX(BookRate,922)*$P927*(5-MATCH($Q927,{"Q1";"Q2";"Q3";"Q4"},0))/4+INDEX(BookOneOff,922)*$P927)</f>
        <v/>
      </c>
      <c r="S927" s="35" t="str">
        <f aca="false">IF($P927="","",INDEX(BookRate,922)*$P927)</f>
        <v/>
      </c>
      <c r="T927" s="35" t="str">
        <f aca="false">IF($R927="","",$R927-$K927)</f>
        <v/>
      </c>
      <c r="U927" s="35" t="str">
        <f aca="false">IF(N($P927)&lt;=0,"",COUNTIF($P$6:$P927,"&gt;0"))</f>
        <v/>
      </c>
    </row>
    <row r="928" customFormat="false" ht="15" hidden="false" customHeight="false" outlineLevel="0" collapsed="false">
      <c r="A928" s="40" t="str">
        <f aca="false">IF(INDEX(BookTitle,923)="","",INDEX(BookGroup,923))</f>
        <v/>
      </c>
      <c r="B928" s="40" t="str">
        <f aca="false">IF(INDEX(BookTitle,923)="","",INDEX(BookRef,923))</f>
        <v/>
      </c>
      <c r="C928" s="40" t="str">
        <f aca="false">IF(INDEX(BookTitle,923)="","",INDEX(BookDivision,923))</f>
        <v/>
      </c>
      <c r="D928" s="40" t="str">
        <f aca="false">IF(INDEX(BookTitle,923)="","",INDEX(BookUnit,923))</f>
        <v/>
      </c>
      <c r="E928" s="40" t="str">
        <f aca="false">IF(INDEX(BookTitle,923)="","",INDEX(BookTitle,923))</f>
        <v/>
      </c>
      <c r="F928" s="40" t="str">
        <f aca="false">IF(INDEX(BookTitle,923)="","",INDEX(BookLevel,923))</f>
        <v/>
      </c>
      <c r="G928" s="40" t="str">
        <f aca="false">IF(INDEX(BookTitle,923)="","",INDEX(BookCategory,923))</f>
        <v/>
      </c>
      <c r="H928" s="40" t="str">
        <f aca="false">IF(INDEX(BookTitle,923)="","",INDEX(BookRank,923))</f>
        <v/>
      </c>
      <c r="I928" s="41" t="str">
        <f aca="false">IF(INDEX(BookTitle,923)="","",INDEX(BookTotal,923))</f>
        <v/>
      </c>
      <c r="J928" s="0" t="str">
        <f aca="false">IF($I928="","",IF(INDEX(BookQ1,923)&gt;0,"Q1",IF(INDEX(BookQ2,923)&gt;0,"Q2",IF(INDEX(BookQ3,923)&gt;0,"Q3",IF(INDEX(BookQ4,923)&gt;0,"Q4","")))))</f>
        <v/>
      </c>
      <c r="K928" s="42" t="str">
        <f aca="false">IF(INDEX(BookTitle,923)="","",INDEX(BookInYear,923))</f>
        <v/>
      </c>
      <c r="L928" s="19"/>
      <c r="M928" s="39"/>
      <c r="N928" s="19"/>
      <c r="O928" s="19"/>
      <c r="P928" s="43" t="str">
        <f aca="false">IF($E928="","",IF($L928="Decline",0,IF($L928="Approve fewer",IF($M928="","",$M928),IF($L928="","",$I928))))</f>
        <v/>
      </c>
      <c r="Q928" s="34" t="str">
        <f aca="false">IF($P928="","",IF($N928&lt;&gt;"",$N928,$J928))</f>
        <v/>
      </c>
      <c r="R928" s="35" t="str">
        <f aca="false">IF(OR($P928="",$Q928=""),"",INDEX(BookRate,923)*$P928*(5-MATCH($Q928,{"Q1";"Q2";"Q3";"Q4"},0))/4+INDEX(BookOneOff,923)*$P928)</f>
        <v/>
      </c>
      <c r="S928" s="35" t="str">
        <f aca="false">IF($P928="","",INDEX(BookRate,923)*$P928)</f>
        <v/>
      </c>
      <c r="T928" s="35" t="str">
        <f aca="false">IF($R928="","",$R928-$K928)</f>
        <v/>
      </c>
      <c r="U928" s="35" t="str">
        <f aca="false">IF(N($P928)&lt;=0,"",COUNTIF($P$6:$P928,"&gt;0"))</f>
        <v/>
      </c>
    </row>
    <row r="929" customFormat="false" ht="15" hidden="false" customHeight="false" outlineLevel="0" collapsed="false">
      <c r="A929" s="40" t="str">
        <f aca="false">IF(INDEX(BookTitle,924)="","",INDEX(BookGroup,924))</f>
        <v/>
      </c>
      <c r="B929" s="40" t="str">
        <f aca="false">IF(INDEX(BookTitle,924)="","",INDEX(BookRef,924))</f>
        <v/>
      </c>
      <c r="C929" s="40" t="str">
        <f aca="false">IF(INDEX(BookTitle,924)="","",INDEX(BookDivision,924))</f>
        <v/>
      </c>
      <c r="D929" s="40" t="str">
        <f aca="false">IF(INDEX(BookTitle,924)="","",INDEX(BookUnit,924))</f>
        <v/>
      </c>
      <c r="E929" s="40" t="str">
        <f aca="false">IF(INDEX(BookTitle,924)="","",INDEX(BookTitle,924))</f>
        <v/>
      </c>
      <c r="F929" s="40" t="str">
        <f aca="false">IF(INDEX(BookTitle,924)="","",INDEX(BookLevel,924))</f>
        <v/>
      </c>
      <c r="G929" s="40" t="str">
        <f aca="false">IF(INDEX(BookTitle,924)="","",INDEX(BookCategory,924))</f>
        <v/>
      </c>
      <c r="H929" s="40" t="str">
        <f aca="false">IF(INDEX(BookTitle,924)="","",INDEX(BookRank,924))</f>
        <v/>
      </c>
      <c r="I929" s="41" t="str">
        <f aca="false">IF(INDEX(BookTitle,924)="","",INDEX(BookTotal,924))</f>
        <v/>
      </c>
      <c r="J929" s="0" t="str">
        <f aca="false">IF($I929="","",IF(INDEX(BookQ1,924)&gt;0,"Q1",IF(INDEX(BookQ2,924)&gt;0,"Q2",IF(INDEX(BookQ3,924)&gt;0,"Q3",IF(INDEX(BookQ4,924)&gt;0,"Q4","")))))</f>
        <v/>
      </c>
      <c r="K929" s="42" t="str">
        <f aca="false">IF(INDEX(BookTitle,924)="","",INDEX(BookInYear,924))</f>
        <v/>
      </c>
      <c r="L929" s="19"/>
      <c r="M929" s="39"/>
      <c r="N929" s="19"/>
      <c r="O929" s="19"/>
      <c r="P929" s="43" t="str">
        <f aca="false">IF($E929="","",IF($L929="Decline",0,IF($L929="Approve fewer",IF($M929="","",$M929),IF($L929="","",$I929))))</f>
        <v/>
      </c>
      <c r="Q929" s="34" t="str">
        <f aca="false">IF($P929="","",IF($N929&lt;&gt;"",$N929,$J929))</f>
        <v/>
      </c>
      <c r="R929" s="35" t="str">
        <f aca="false">IF(OR($P929="",$Q929=""),"",INDEX(BookRate,924)*$P929*(5-MATCH($Q929,{"Q1";"Q2";"Q3";"Q4"},0))/4+INDEX(BookOneOff,924)*$P929)</f>
        <v/>
      </c>
      <c r="S929" s="35" t="str">
        <f aca="false">IF($P929="","",INDEX(BookRate,924)*$P929)</f>
        <v/>
      </c>
      <c r="T929" s="35" t="str">
        <f aca="false">IF($R929="","",$R929-$K929)</f>
        <v/>
      </c>
      <c r="U929" s="35" t="str">
        <f aca="false">IF(N($P929)&lt;=0,"",COUNTIF($P$6:$P929,"&gt;0"))</f>
        <v/>
      </c>
    </row>
    <row r="930" customFormat="false" ht="15" hidden="false" customHeight="false" outlineLevel="0" collapsed="false">
      <c r="A930" s="40" t="str">
        <f aca="false">IF(INDEX(BookTitle,925)="","",INDEX(BookGroup,925))</f>
        <v/>
      </c>
      <c r="B930" s="40" t="str">
        <f aca="false">IF(INDEX(BookTitle,925)="","",INDEX(BookRef,925))</f>
        <v/>
      </c>
      <c r="C930" s="40" t="str">
        <f aca="false">IF(INDEX(BookTitle,925)="","",INDEX(BookDivision,925))</f>
        <v/>
      </c>
      <c r="D930" s="40" t="str">
        <f aca="false">IF(INDEX(BookTitle,925)="","",INDEX(BookUnit,925))</f>
        <v/>
      </c>
      <c r="E930" s="40" t="str">
        <f aca="false">IF(INDEX(BookTitle,925)="","",INDEX(BookTitle,925))</f>
        <v/>
      </c>
      <c r="F930" s="40" t="str">
        <f aca="false">IF(INDEX(BookTitle,925)="","",INDEX(BookLevel,925))</f>
        <v/>
      </c>
      <c r="G930" s="40" t="str">
        <f aca="false">IF(INDEX(BookTitle,925)="","",INDEX(BookCategory,925))</f>
        <v/>
      </c>
      <c r="H930" s="40" t="str">
        <f aca="false">IF(INDEX(BookTitle,925)="","",INDEX(BookRank,925))</f>
        <v/>
      </c>
      <c r="I930" s="41" t="str">
        <f aca="false">IF(INDEX(BookTitle,925)="","",INDEX(BookTotal,925))</f>
        <v/>
      </c>
      <c r="J930" s="0" t="str">
        <f aca="false">IF($I930="","",IF(INDEX(BookQ1,925)&gt;0,"Q1",IF(INDEX(BookQ2,925)&gt;0,"Q2",IF(INDEX(BookQ3,925)&gt;0,"Q3",IF(INDEX(BookQ4,925)&gt;0,"Q4","")))))</f>
        <v/>
      </c>
      <c r="K930" s="42" t="str">
        <f aca="false">IF(INDEX(BookTitle,925)="","",INDEX(BookInYear,925))</f>
        <v/>
      </c>
      <c r="L930" s="19"/>
      <c r="M930" s="39"/>
      <c r="N930" s="19"/>
      <c r="O930" s="19"/>
      <c r="P930" s="43" t="str">
        <f aca="false">IF($E930="","",IF($L930="Decline",0,IF($L930="Approve fewer",IF($M930="","",$M930),IF($L930="","",$I930))))</f>
        <v/>
      </c>
      <c r="Q930" s="34" t="str">
        <f aca="false">IF($P930="","",IF($N930&lt;&gt;"",$N930,$J930))</f>
        <v/>
      </c>
      <c r="R930" s="35" t="str">
        <f aca="false">IF(OR($P930="",$Q930=""),"",INDEX(BookRate,925)*$P930*(5-MATCH($Q930,{"Q1";"Q2";"Q3";"Q4"},0))/4+INDEX(BookOneOff,925)*$P930)</f>
        <v/>
      </c>
      <c r="S930" s="35" t="str">
        <f aca="false">IF($P930="","",INDEX(BookRate,925)*$P930)</f>
        <v/>
      </c>
      <c r="T930" s="35" t="str">
        <f aca="false">IF($R930="","",$R930-$K930)</f>
        <v/>
      </c>
      <c r="U930" s="35" t="str">
        <f aca="false">IF(N($P930)&lt;=0,"",COUNTIF($P$6:$P930,"&gt;0"))</f>
        <v/>
      </c>
    </row>
    <row r="931" customFormat="false" ht="15" hidden="false" customHeight="false" outlineLevel="0" collapsed="false">
      <c r="A931" s="40" t="str">
        <f aca="false">IF(INDEX(BookTitle,926)="","",INDEX(BookGroup,926))</f>
        <v/>
      </c>
      <c r="B931" s="40" t="str">
        <f aca="false">IF(INDEX(BookTitle,926)="","",INDEX(BookRef,926))</f>
        <v/>
      </c>
      <c r="C931" s="40" t="str">
        <f aca="false">IF(INDEX(BookTitle,926)="","",INDEX(BookDivision,926))</f>
        <v/>
      </c>
      <c r="D931" s="40" t="str">
        <f aca="false">IF(INDEX(BookTitle,926)="","",INDEX(BookUnit,926))</f>
        <v/>
      </c>
      <c r="E931" s="40" t="str">
        <f aca="false">IF(INDEX(BookTitle,926)="","",INDEX(BookTitle,926))</f>
        <v/>
      </c>
      <c r="F931" s="40" t="str">
        <f aca="false">IF(INDEX(BookTitle,926)="","",INDEX(BookLevel,926))</f>
        <v/>
      </c>
      <c r="G931" s="40" t="str">
        <f aca="false">IF(INDEX(BookTitle,926)="","",INDEX(BookCategory,926))</f>
        <v/>
      </c>
      <c r="H931" s="40" t="str">
        <f aca="false">IF(INDEX(BookTitle,926)="","",INDEX(BookRank,926))</f>
        <v/>
      </c>
      <c r="I931" s="41" t="str">
        <f aca="false">IF(INDEX(BookTitle,926)="","",INDEX(BookTotal,926))</f>
        <v/>
      </c>
      <c r="J931" s="0" t="str">
        <f aca="false">IF($I931="","",IF(INDEX(BookQ1,926)&gt;0,"Q1",IF(INDEX(BookQ2,926)&gt;0,"Q2",IF(INDEX(BookQ3,926)&gt;0,"Q3",IF(INDEX(BookQ4,926)&gt;0,"Q4","")))))</f>
        <v/>
      </c>
      <c r="K931" s="42" t="str">
        <f aca="false">IF(INDEX(BookTitle,926)="","",INDEX(BookInYear,926))</f>
        <v/>
      </c>
      <c r="L931" s="19"/>
      <c r="M931" s="39"/>
      <c r="N931" s="19"/>
      <c r="O931" s="19"/>
      <c r="P931" s="43" t="str">
        <f aca="false">IF($E931="","",IF($L931="Decline",0,IF($L931="Approve fewer",IF($M931="","",$M931),IF($L931="","",$I931))))</f>
        <v/>
      </c>
      <c r="Q931" s="34" t="str">
        <f aca="false">IF($P931="","",IF($N931&lt;&gt;"",$N931,$J931))</f>
        <v/>
      </c>
      <c r="R931" s="35" t="str">
        <f aca="false">IF(OR($P931="",$Q931=""),"",INDEX(BookRate,926)*$P931*(5-MATCH($Q931,{"Q1";"Q2";"Q3";"Q4"},0))/4+INDEX(BookOneOff,926)*$P931)</f>
        <v/>
      </c>
      <c r="S931" s="35" t="str">
        <f aca="false">IF($P931="","",INDEX(BookRate,926)*$P931)</f>
        <v/>
      </c>
      <c r="T931" s="35" t="str">
        <f aca="false">IF($R931="","",$R931-$K931)</f>
        <v/>
      </c>
      <c r="U931" s="35" t="str">
        <f aca="false">IF(N($P931)&lt;=0,"",COUNTIF($P$6:$P931,"&gt;0"))</f>
        <v/>
      </c>
    </row>
    <row r="932" customFormat="false" ht="15" hidden="false" customHeight="false" outlineLevel="0" collapsed="false">
      <c r="A932" s="40" t="str">
        <f aca="false">IF(INDEX(BookTitle,927)="","",INDEX(BookGroup,927))</f>
        <v/>
      </c>
      <c r="B932" s="40" t="str">
        <f aca="false">IF(INDEX(BookTitle,927)="","",INDEX(BookRef,927))</f>
        <v/>
      </c>
      <c r="C932" s="40" t="str">
        <f aca="false">IF(INDEX(BookTitle,927)="","",INDEX(BookDivision,927))</f>
        <v/>
      </c>
      <c r="D932" s="40" t="str">
        <f aca="false">IF(INDEX(BookTitle,927)="","",INDEX(BookUnit,927))</f>
        <v/>
      </c>
      <c r="E932" s="40" t="str">
        <f aca="false">IF(INDEX(BookTitle,927)="","",INDEX(BookTitle,927))</f>
        <v/>
      </c>
      <c r="F932" s="40" t="str">
        <f aca="false">IF(INDEX(BookTitle,927)="","",INDEX(BookLevel,927))</f>
        <v/>
      </c>
      <c r="G932" s="40" t="str">
        <f aca="false">IF(INDEX(BookTitle,927)="","",INDEX(BookCategory,927))</f>
        <v/>
      </c>
      <c r="H932" s="40" t="str">
        <f aca="false">IF(INDEX(BookTitle,927)="","",INDEX(BookRank,927))</f>
        <v/>
      </c>
      <c r="I932" s="41" t="str">
        <f aca="false">IF(INDEX(BookTitle,927)="","",INDEX(BookTotal,927))</f>
        <v/>
      </c>
      <c r="J932" s="0" t="str">
        <f aca="false">IF($I932="","",IF(INDEX(BookQ1,927)&gt;0,"Q1",IF(INDEX(BookQ2,927)&gt;0,"Q2",IF(INDEX(BookQ3,927)&gt;0,"Q3",IF(INDEX(BookQ4,927)&gt;0,"Q4","")))))</f>
        <v/>
      </c>
      <c r="K932" s="42" t="str">
        <f aca="false">IF(INDEX(BookTitle,927)="","",INDEX(BookInYear,927))</f>
        <v/>
      </c>
      <c r="L932" s="19"/>
      <c r="M932" s="39"/>
      <c r="N932" s="19"/>
      <c r="O932" s="19"/>
      <c r="P932" s="43" t="str">
        <f aca="false">IF($E932="","",IF($L932="Decline",0,IF($L932="Approve fewer",IF($M932="","",$M932),IF($L932="","",$I932))))</f>
        <v/>
      </c>
      <c r="Q932" s="34" t="str">
        <f aca="false">IF($P932="","",IF($N932&lt;&gt;"",$N932,$J932))</f>
        <v/>
      </c>
      <c r="R932" s="35" t="str">
        <f aca="false">IF(OR($P932="",$Q932=""),"",INDEX(BookRate,927)*$P932*(5-MATCH($Q932,{"Q1";"Q2";"Q3";"Q4"},0))/4+INDEX(BookOneOff,927)*$P932)</f>
        <v/>
      </c>
      <c r="S932" s="35" t="str">
        <f aca="false">IF($P932="","",INDEX(BookRate,927)*$P932)</f>
        <v/>
      </c>
      <c r="T932" s="35" t="str">
        <f aca="false">IF($R932="","",$R932-$K932)</f>
        <v/>
      </c>
      <c r="U932" s="35" t="str">
        <f aca="false">IF(N($P932)&lt;=0,"",COUNTIF($P$6:$P932,"&gt;0"))</f>
        <v/>
      </c>
    </row>
    <row r="933" customFormat="false" ht="15" hidden="false" customHeight="false" outlineLevel="0" collapsed="false">
      <c r="A933" s="40" t="str">
        <f aca="false">IF(INDEX(BookTitle,928)="","",INDEX(BookGroup,928))</f>
        <v/>
      </c>
      <c r="B933" s="40" t="str">
        <f aca="false">IF(INDEX(BookTitle,928)="","",INDEX(BookRef,928))</f>
        <v/>
      </c>
      <c r="C933" s="40" t="str">
        <f aca="false">IF(INDEX(BookTitle,928)="","",INDEX(BookDivision,928))</f>
        <v/>
      </c>
      <c r="D933" s="40" t="str">
        <f aca="false">IF(INDEX(BookTitle,928)="","",INDEX(BookUnit,928))</f>
        <v/>
      </c>
      <c r="E933" s="40" t="str">
        <f aca="false">IF(INDEX(BookTitle,928)="","",INDEX(BookTitle,928))</f>
        <v/>
      </c>
      <c r="F933" s="40" t="str">
        <f aca="false">IF(INDEX(BookTitle,928)="","",INDEX(BookLevel,928))</f>
        <v/>
      </c>
      <c r="G933" s="40" t="str">
        <f aca="false">IF(INDEX(BookTitle,928)="","",INDEX(BookCategory,928))</f>
        <v/>
      </c>
      <c r="H933" s="40" t="str">
        <f aca="false">IF(INDEX(BookTitle,928)="","",INDEX(BookRank,928))</f>
        <v/>
      </c>
      <c r="I933" s="41" t="str">
        <f aca="false">IF(INDEX(BookTitle,928)="","",INDEX(BookTotal,928))</f>
        <v/>
      </c>
      <c r="J933" s="0" t="str">
        <f aca="false">IF($I933="","",IF(INDEX(BookQ1,928)&gt;0,"Q1",IF(INDEX(BookQ2,928)&gt;0,"Q2",IF(INDEX(BookQ3,928)&gt;0,"Q3",IF(INDEX(BookQ4,928)&gt;0,"Q4","")))))</f>
        <v/>
      </c>
      <c r="K933" s="42" t="str">
        <f aca="false">IF(INDEX(BookTitle,928)="","",INDEX(BookInYear,928))</f>
        <v/>
      </c>
      <c r="L933" s="19"/>
      <c r="M933" s="39"/>
      <c r="N933" s="19"/>
      <c r="O933" s="19"/>
      <c r="P933" s="43" t="str">
        <f aca="false">IF($E933="","",IF($L933="Decline",0,IF($L933="Approve fewer",IF($M933="","",$M933),IF($L933="","",$I933))))</f>
        <v/>
      </c>
      <c r="Q933" s="34" t="str">
        <f aca="false">IF($P933="","",IF($N933&lt;&gt;"",$N933,$J933))</f>
        <v/>
      </c>
      <c r="R933" s="35" t="str">
        <f aca="false">IF(OR($P933="",$Q933=""),"",INDEX(BookRate,928)*$P933*(5-MATCH($Q933,{"Q1";"Q2";"Q3";"Q4"},0))/4+INDEX(BookOneOff,928)*$P933)</f>
        <v/>
      </c>
      <c r="S933" s="35" t="str">
        <f aca="false">IF($P933="","",INDEX(BookRate,928)*$P933)</f>
        <v/>
      </c>
      <c r="T933" s="35" t="str">
        <f aca="false">IF($R933="","",$R933-$K933)</f>
        <v/>
      </c>
      <c r="U933" s="35" t="str">
        <f aca="false">IF(N($P933)&lt;=0,"",COUNTIF($P$6:$P933,"&gt;0"))</f>
        <v/>
      </c>
    </row>
    <row r="934" customFormat="false" ht="15" hidden="false" customHeight="false" outlineLevel="0" collapsed="false">
      <c r="A934" s="40" t="str">
        <f aca="false">IF(INDEX(BookTitle,929)="","",INDEX(BookGroup,929))</f>
        <v/>
      </c>
      <c r="B934" s="40" t="str">
        <f aca="false">IF(INDEX(BookTitle,929)="","",INDEX(BookRef,929))</f>
        <v/>
      </c>
      <c r="C934" s="40" t="str">
        <f aca="false">IF(INDEX(BookTitle,929)="","",INDEX(BookDivision,929))</f>
        <v/>
      </c>
      <c r="D934" s="40" t="str">
        <f aca="false">IF(INDEX(BookTitle,929)="","",INDEX(BookUnit,929))</f>
        <v/>
      </c>
      <c r="E934" s="40" t="str">
        <f aca="false">IF(INDEX(BookTitle,929)="","",INDEX(BookTitle,929))</f>
        <v/>
      </c>
      <c r="F934" s="40" t="str">
        <f aca="false">IF(INDEX(BookTitle,929)="","",INDEX(BookLevel,929))</f>
        <v/>
      </c>
      <c r="G934" s="40" t="str">
        <f aca="false">IF(INDEX(BookTitle,929)="","",INDEX(BookCategory,929))</f>
        <v/>
      </c>
      <c r="H934" s="40" t="str">
        <f aca="false">IF(INDEX(BookTitle,929)="","",INDEX(BookRank,929))</f>
        <v/>
      </c>
      <c r="I934" s="41" t="str">
        <f aca="false">IF(INDEX(BookTitle,929)="","",INDEX(BookTotal,929))</f>
        <v/>
      </c>
      <c r="J934" s="0" t="str">
        <f aca="false">IF($I934="","",IF(INDEX(BookQ1,929)&gt;0,"Q1",IF(INDEX(BookQ2,929)&gt;0,"Q2",IF(INDEX(BookQ3,929)&gt;0,"Q3",IF(INDEX(BookQ4,929)&gt;0,"Q4","")))))</f>
        <v/>
      </c>
      <c r="K934" s="42" t="str">
        <f aca="false">IF(INDEX(BookTitle,929)="","",INDEX(BookInYear,929))</f>
        <v/>
      </c>
      <c r="L934" s="19"/>
      <c r="M934" s="39"/>
      <c r="N934" s="19"/>
      <c r="O934" s="19"/>
      <c r="P934" s="43" t="str">
        <f aca="false">IF($E934="","",IF($L934="Decline",0,IF($L934="Approve fewer",IF($M934="","",$M934),IF($L934="","",$I934))))</f>
        <v/>
      </c>
      <c r="Q934" s="34" t="str">
        <f aca="false">IF($P934="","",IF($N934&lt;&gt;"",$N934,$J934))</f>
        <v/>
      </c>
      <c r="R934" s="35" t="str">
        <f aca="false">IF(OR($P934="",$Q934=""),"",INDEX(BookRate,929)*$P934*(5-MATCH($Q934,{"Q1";"Q2";"Q3";"Q4"},0))/4+INDEX(BookOneOff,929)*$P934)</f>
        <v/>
      </c>
      <c r="S934" s="35" t="str">
        <f aca="false">IF($P934="","",INDEX(BookRate,929)*$P934)</f>
        <v/>
      </c>
      <c r="T934" s="35" t="str">
        <f aca="false">IF($R934="","",$R934-$K934)</f>
        <v/>
      </c>
      <c r="U934" s="35" t="str">
        <f aca="false">IF(N($P934)&lt;=0,"",COUNTIF($P$6:$P934,"&gt;0"))</f>
        <v/>
      </c>
    </row>
    <row r="935" customFormat="false" ht="15" hidden="false" customHeight="false" outlineLevel="0" collapsed="false">
      <c r="A935" s="40" t="str">
        <f aca="false">IF(INDEX(BookTitle,930)="","",INDEX(BookGroup,930))</f>
        <v/>
      </c>
      <c r="B935" s="40" t="str">
        <f aca="false">IF(INDEX(BookTitle,930)="","",INDEX(BookRef,930))</f>
        <v/>
      </c>
      <c r="C935" s="40" t="str">
        <f aca="false">IF(INDEX(BookTitle,930)="","",INDEX(BookDivision,930))</f>
        <v/>
      </c>
      <c r="D935" s="40" t="str">
        <f aca="false">IF(INDEX(BookTitle,930)="","",INDEX(BookUnit,930))</f>
        <v/>
      </c>
      <c r="E935" s="40" t="str">
        <f aca="false">IF(INDEX(BookTitle,930)="","",INDEX(BookTitle,930))</f>
        <v/>
      </c>
      <c r="F935" s="40" t="str">
        <f aca="false">IF(INDEX(BookTitle,930)="","",INDEX(BookLevel,930))</f>
        <v/>
      </c>
      <c r="G935" s="40" t="str">
        <f aca="false">IF(INDEX(BookTitle,930)="","",INDEX(BookCategory,930))</f>
        <v/>
      </c>
      <c r="H935" s="40" t="str">
        <f aca="false">IF(INDEX(BookTitle,930)="","",INDEX(BookRank,930))</f>
        <v/>
      </c>
      <c r="I935" s="41" t="str">
        <f aca="false">IF(INDEX(BookTitle,930)="","",INDEX(BookTotal,930))</f>
        <v/>
      </c>
      <c r="J935" s="0" t="str">
        <f aca="false">IF($I935="","",IF(INDEX(BookQ1,930)&gt;0,"Q1",IF(INDEX(BookQ2,930)&gt;0,"Q2",IF(INDEX(BookQ3,930)&gt;0,"Q3",IF(INDEX(BookQ4,930)&gt;0,"Q4","")))))</f>
        <v/>
      </c>
      <c r="K935" s="42" t="str">
        <f aca="false">IF(INDEX(BookTitle,930)="","",INDEX(BookInYear,930))</f>
        <v/>
      </c>
      <c r="L935" s="19"/>
      <c r="M935" s="39"/>
      <c r="N935" s="19"/>
      <c r="O935" s="19"/>
      <c r="P935" s="43" t="str">
        <f aca="false">IF($E935="","",IF($L935="Decline",0,IF($L935="Approve fewer",IF($M935="","",$M935),IF($L935="","",$I935))))</f>
        <v/>
      </c>
      <c r="Q935" s="34" t="str">
        <f aca="false">IF($P935="","",IF($N935&lt;&gt;"",$N935,$J935))</f>
        <v/>
      </c>
      <c r="R935" s="35" t="str">
        <f aca="false">IF(OR($P935="",$Q935=""),"",INDEX(BookRate,930)*$P935*(5-MATCH($Q935,{"Q1";"Q2";"Q3";"Q4"},0))/4+INDEX(BookOneOff,930)*$P935)</f>
        <v/>
      </c>
      <c r="S935" s="35" t="str">
        <f aca="false">IF($P935="","",INDEX(BookRate,930)*$P935)</f>
        <v/>
      </c>
      <c r="T935" s="35" t="str">
        <f aca="false">IF($R935="","",$R935-$K935)</f>
        <v/>
      </c>
      <c r="U935" s="35" t="str">
        <f aca="false">IF(N($P935)&lt;=0,"",COUNTIF($P$6:$P935,"&gt;0"))</f>
        <v/>
      </c>
    </row>
    <row r="936" customFormat="false" ht="15" hidden="false" customHeight="false" outlineLevel="0" collapsed="false">
      <c r="A936" s="40" t="str">
        <f aca="false">IF(INDEX(BookTitle,931)="","",INDEX(BookGroup,931))</f>
        <v/>
      </c>
      <c r="B936" s="40" t="str">
        <f aca="false">IF(INDEX(BookTitle,931)="","",INDEX(BookRef,931))</f>
        <v/>
      </c>
      <c r="C936" s="40" t="str">
        <f aca="false">IF(INDEX(BookTitle,931)="","",INDEX(BookDivision,931))</f>
        <v/>
      </c>
      <c r="D936" s="40" t="str">
        <f aca="false">IF(INDEX(BookTitle,931)="","",INDEX(BookUnit,931))</f>
        <v/>
      </c>
      <c r="E936" s="40" t="str">
        <f aca="false">IF(INDEX(BookTitle,931)="","",INDEX(BookTitle,931))</f>
        <v/>
      </c>
      <c r="F936" s="40" t="str">
        <f aca="false">IF(INDEX(BookTitle,931)="","",INDEX(BookLevel,931))</f>
        <v/>
      </c>
      <c r="G936" s="40" t="str">
        <f aca="false">IF(INDEX(BookTitle,931)="","",INDEX(BookCategory,931))</f>
        <v/>
      </c>
      <c r="H936" s="40" t="str">
        <f aca="false">IF(INDEX(BookTitle,931)="","",INDEX(BookRank,931))</f>
        <v/>
      </c>
      <c r="I936" s="41" t="str">
        <f aca="false">IF(INDEX(BookTitle,931)="","",INDEX(BookTotal,931))</f>
        <v/>
      </c>
      <c r="J936" s="0" t="str">
        <f aca="false">IF($I936="","",IF(INDEX(BookQ1,931)&gt;0,"Q1",IF(INDEX(BookQ2,931)&gt;0,"Q2",IF(INDEX(BookQ3,931)&gt;0,"Q3",IF(INDEX(BookQ4,931)&gt;0,"Q4","")))))</f>
        <v/>
      </c>
      <c r="K936" s="42" t="str">
        <f aca="false">IF(INDEX(BookTitle,931)="","",INDEX(BookInYear,931))</f>
        <v/>
      </c>
      <c r="L936" s="19"/>
      <c r="M936" s="39"/>
      <c r="N936" s="19"/>
      <c r="O936" s="19"/>
      <c r="P936" s="43" t="str">
        <f aca="false">IF($E936="","",IF($L936="Decline",0,IF($L936="Approve fewer",IF($M936="","",$M936),IF($L936="","",$I936))))</f>
        <v/>
      </c>
      <c r="Q936" s="34" t="str">
        <f aca="false">IF($P936="","",IF($N936&lt;&gt;"",$N936,$J936))</f>
        <v/>
      </c>
      <c r="R936" s="35" t="str">
        <f aca="false">IF(OR($P936="",$Q936=""),"",INDEX(BookRate,931)*$P936*(5-MATCH($Q936,{"Q1";"Q2";"Q3";"Q4"},0))/4+INDEX(BookOneOff,931)*$P936)</f>
        <v/>
      </c>
      <c r="S936" s="35" t="str">
        <f aca="false">IF($P936="","",INDEX(BookRate,931)*$P936)</f>
        <v/>
      </c>
      <c r="T936" s="35" t="str">
        <f aca="false">IF($R936="","",$R936-$K936)</f>
        <v/>
      </c>
      <c r="U936" s="35" t="str">
        <f aca="false">IF(N($P936)&lt;=0,"",COUNTIF($P$6:$P936,"&gt;0"))</f>
        <v/>
      </c>
    </row>
    <row r="937" customFormat="false" ht="15" hidden="false" customHeight="false" outlineLevel="0" collapsed="false">
      <c r="A937" s="40" t="str">
        <f aca="false">IF(INDEX(BookTitle,932)="","",INDEX(BookGroup,932))</f>
        <v/>
      </c>
      <c r="B937" s="40" t="str">
        <f aca="false">IF(INDEX(BookTitle,932)="","",INDEX(BookRef,932))</f>
        <v/>
      </c>
      <c r="C937" s="40" t="str">
        <f aca="false">IF(INDEX(BookTitle,932)="","",INDEX(BookDivision,932))</f>
        <v/>
      </c>
      <c r="D937" s="40" t="str">
        <f aca="false">IF(INDEX(BookTitle,932)="","",INDEX(BookUnit,932))</f>
        <v/>
      </c>
      <c r="E937" s="40" t="str">
        <f aca="false">IF(INDEX(BookTitle,932)="","",INDEX(BookTitle,932))</f>
        <v/>
      </c>
      <c r="F937" s="40" t="str">
        <f aca="false">IF(INDEX(BookTitle,932)="","",INDEX(BookLevel,932))</f>
        <v/>
      </c>
      <c r="G937" s="40" t="str">
        <f aca="false">IF(INDEX(BookTitle,932)="","",INDEX(BookCategory,932))</f>
        <v/>
      </c>
      <c r="H937" s="40" t="str">
        <f aca="false">IF(INDEX(BookTitle,932)="","",INDEX(BookRank,932))</f>
        <v/>
      </c>
      <c r="I937" s="41" t="str">
        <f aca="false">IF(INDEX(BookTitle,932)="","",INDEX(BookTotal,932))</f>
        <v/>
      </c>
      <c r="J937" s="0" t="str">
        <f aca="false">IF($I937="","",IF(INDEX(BookQ1,932)&gt;0,"Q1",IF(INDEX(BookQ2,932)&gt;0,"Q2",IF(INDEX(BookQ3,932)&gt;0,"Q3",IF(INDEX(BookQ4,932)&gt;0,"Q4","")))))</f>
        <v/>
      </c>
      <c r="K937" s="42" t="str">
        <f aca="false">IF(INDEX(BookTitle,932)="","",INDEX(BookInYear,932))</f>
        <v/>
      </c>
      <c r="L937" s="19"/>
      <c r="M937" s="39"/>
      <c r="N937" s="19"/>
      <c r="O937" s="19"/>
      <c r="P937" s="43" t="str">
        <f aca="false">IF($E937="","",IF($L937="Decline",0,IF($L937="Approve fewer",IF($M937="","",$M937),IF($L937="","",$I937))))</f>
        <v/>
      </c>
      <c r="Q937" s="34" t="str">
        <f aca="false">IF($P937="","",IF($N937&lt;&gt;"",$N937,$J937))</f>
        <v/>
      </c>
      <c r="R937" s="35" t="str">
        <f aca="false">IF(OR($P937="",$Q937=""),"",INDEX(BookRate,932)*$P937*(5-MATCH($Q937,{"Q1";"Q2";"Q3";"Q4"},0))/4+INDEX(BookOneOff,932)*$P937)</f>
        <v/>
      </c>
      <c r="S937" s="35" t="str">
        <f aca="false">IF($P937="","",INDEX(BookRate,932)*$P937)</f>
        <v/>
      </c>
      <c r="T937" s="35" t="str">
        <f aca="false">IF($R937="","",$R937-$K937)</f>
        <v/>
      </c>
      <c r="U937" s="35" t="str">
        <f aca="false">IF(N($P937)&lt;=0,"",COUNTIF($P$6:$P937,"&gt;0"))</f>
        <v/>
      </c>
    </row>
    <row r="938" customFormat="false" ht="15" hidden="false" customHeight="false" outlineLevel="0" collapsed="false">
      <c r="A938" s="40" t="str">
        <f aca="false">IF(INDEX(BookTitle,933)="","",INDEX(BookGroup,933))</f>
        <v/>
      </c>
      <c r="B938" s="40" t="str">
        <f aca="false">IF(INDEX(BookTitle,933)="","",INDEX(BookRef,933))</f>
        <v/>
      </c>
      <c r="C938" s="40" t="str">
        <f aca="false">IF(INDEX(BookTitle,933)="","",INDEX(BookDivision,933))</f>
        <v/>
      </c>
      <c r="D938" s="40" t="str">
        <f aca="false">IF(INDEX(BookTitle,933)="","",INDEX(BookUnit,933))</f>
        <v/>
      </c>
      <c r="E938" s="40" t="str">
        <f aca="false">IF(INDEX(BookTitle,933)="","",INDEX(BookTitle,933))</f>
        <v/>
      </c>
      <c r="F938" s="40" t="str">
        <f aca="false">IF(INDEX(BookTitle,933)="","",INDEX(BookLevel,933))</f>
        <v/>
      </c>
      <c r="G938" s="40" t="str">
        <f aca="false">IF(INDEX(BookTitle,933)="","",INDEX(BookCategory,933))</f>
        <v/>
      </c>
      <c r="H938" s="40" t="str">
        <f aca="false">IF(INDEX(BookTitle,933)="","",INDEX(BookRank,933))</f>
        <v/>
      </c>
      <c r="I938" s="41" t="str">
        <f aca="false">IF(INDEX(BookTitle,933)="","",INDEX(BookTotal,933))</f>
        <v/>
      </c>
      <c r="J938" s="0" t="str">
        <f aca="false">IF($I938="","",IF(INDEX(BookQ1,933)&gt;0,"Q1",IF(INDEX(BookQ2,933)&gt;0,"Q2",IF(INDEX(BookQ3,933)&gt;0,"Q3",IF(INDEX(BookQ4,933)&gt;0,"Q4","")))))</f>
        <v/>
      </c>
      <c r="K938" s="42" t="str">
        <f aca="false">IF(INDEX(BookTitle,933)="","",INDEX(BookInYear,933))</f>
        <v/>
      </c>
      <c r="L938" s="19"/>
      <c r="M938" s="39"/>
      <c r="N938" s="19"/>
      <c r="O938" s="19"/>
      <c r="P938" s="43" t="str">
        <f aca="false">IF($E938="","",IF($L938="Decline",0,IF($L938="Approve fewer",IF($M938="","",$M938),IF($L938="","",$I938))))</f>
        <v/>
      </c>
      <c r="Q938" s="34" t="str">
        <f aca="false">IF($P938="","",IF($N938&lt;&gt;"",$N938,$J938))</f>
        <v/>
      </c>
      <c r="R938" s="35" t="str">
        <f aca="false">IF(OR($P938="",$Q938=""),"",INDEX(BookRate,933)*$P938*(5-MATCH($Q938,{"Q1";"Q2";"Q3";"Q4"},0))/4+INDEX(BookOneOff,933)*$P938)</f>
        <v/>
      </c>
      <c r="S938" s="35" t="str">
        <f aca="false">IF($P938="","",INDEX(BookRate,933)*$P938)</f>
        <v/>
      </c>
      <c r="T938" s="35" t="str">
        <f aca="false">IF($R938="","",$R938-$K938)</f>
        <v/>
      </c>
      <c r="U938" s="35" t="str">
        <f aca="false">IF(N($P938)&lt;=0,"",COUNTIF($P$6:$P938,"&gt;0"))</f>
        <v/>
      </c>
    </row>
    <row r="939" customFormat="false" ht="15" hidden="false" customHeight="false" outlineLevel="0" collapsed="false">
      <c r="A939" s="40" t="str">
        <f aca="false">IF(INDEX(BookTitle,934)="","",INDEX(BookGroup,934))</f>
        <v/>
      </c>
      <c r="B939" s="40" t="str">
        <f aca="false">IF(INDEX(BookTitle,934)="","",INDEX(BookRef,934))</f>
        <v/>
      </c>
      <c r="C939" s="40" t="str">
        <f aca="false">IF(INDEX(BookTitle,934)="","",INDEX(BookDivision,934))</f>
        <v/>
      </c>
      <c r="D939" s="40" t="str">
        <f aca="false">IF(INDEX(BookTitle,934)="","",INDEX(BookUnit,934))</f>
        <v/>
      </c>
      <c r="E939" s="40" t="str">
        <f aca="false">IF(INDEX(BookTitle,934)="","",INDEX(BookTitle,934))</f>
        <v/>
      </c>
      <c r="F939" s="40" t="str">
        <f aca="false">IF(INDEX(BookTitle,934)="","",INDEX(BookLevel,934))</f>
        <v/>
      </c>
      <c r="G939" s="40" t="str">
        <f aca="false">IF(INDEX(BookTitle,934)="","",INDEX(BookCategory,934))</f>
        <v/>
      </c>
      <c r="H939" s="40" t="str">
        <f aca="false">IF(INDEX(BookTitle,934)="","",INDEX(BookRank,934))</f>
        <v/>
      </c>
      <c r="I939" s="41" t="str">
        <f aca="false">IF(INDEX(BookTitle,934)="","",INDEX(BookTotal,934))</f>
        <v/>
      </c>
      <c r="J939" s="0" t="str">
        <f aca="false">IF($I939="","",IF(INDEX(BookQ1,934)&gt;0,"Q1",IF(INDEX(BookQ2,934)&gt;0,"Q2",IF(INDEX(BookQ3,934)&gt;0,"Q3",IF(INDEX(BookQ4,934)&gt;0,"Q4","")))))</f>
        <v/>
      </c>
      <c r="K939" s="42" t="str">
        <f aca="false">IF(INDEX(BookTitle,934)="","",INDEX(BookInYear,934))</f>
        <v/>
      </c>
      <c r="L939" s="19"/>
      <c r="M939" s="39"/>
      <c r="N939" s="19"/>
      <c r="O939" s="19"/>
      <c r="P939" s="43" t="str">
        <f aca="false">IF($E939="","",IF($L939="Decline",0,IF($L939="Approve fewer",IF($M939="","",$M939),IF($L939="","",$I939))))</f>
        <v/>
      </c>
      <c r="Q939" s="34" t="str">
        <f aca="false">IF($P939="","",IF($N939&lt;&gt;"",$N939,$J939))</f>
        <v/>
      </c>
      <c r="R939" s="35" t="str">
        <f aca="false">IF(OR($P939="",$Q939=""),"",INDEX(BookRate,934)*$P939*(5-MATCH($Q939,{"Q1";"Q2";"Q3";"Q4"},0))/4+INDEX(BookOneOff,934)*$P939)</f>
        <v/>
      </c>
      <c r="S939" s="35" t="str">
        <f aca="false">IF($P939="","",INDEX(BookRate,934)*$P939)</f>
        <v/>
      </c>
      <c r="T939" s="35" t="str">
        <f aca="false">IF($R939="","",$R939-$K939)</f>
        <v/>
      </c>
      <c r="U939" s="35" t="str">
        <f aca="false">IF(N($P939)&lt;=0,"",COUNTIF($P$6:$P939,"&gt;0"))</f>
        <v/>
      </c>
    </row>
    <row r="940" customFormat="false" ht="15" hidden="false" customHeight="false" outlineLevel="0" collapsed="false">
      <c r="A940" s="40" t="str">
        <f aca="false">IF(INDEX(BookTitle,935)="","",INDEX(BookGroup,935))</f>
        <v/>
      </c>
      <c r="B940" s="40" t="str">
        <f aca="false">IF(INDEX(BookTitle,935)="","",INDEX(BookRef,935))</f>
        <v/>
      </c>
      <c r="C940" s="40" t="str">
        <f aca="false">IF(INDEX(BookTitle,935)="","",INDEX(BookDivision,935))</f>
        <v/>
      </c>
      <c r="D940" s="40" t="str">
        <f aca="false">IF(INDEX(BookTitle,935)="","",INDEX(BookUnit,935))</f>
        <v/>
      </c>
      <c r="E940" s="40" t="str">
        <f aca="false">IF(INDEX(BookTitle,935)="","",INDEX(BookTitle,935))</f>
        <v/>
      </c>
      <c r="F940" s="40" t="str">
        <f aca="false">IF(INDEX(BookTitle,935)="","",INDEX(BookLevel,935))</f>
        <v/>
      </c>
      <c r="G940" s="40" t="str">
        <f aca="false">IF(INDEX(BookTitle,935)="","",INDEX(BookCategory,935))</f>
        <v/>
      </c>
      <c r="H940" s="40" t="str">
        <f aca="false">IF(INDEX(BookTitle,935)="","",INDEX(BookRank,935))</f>
        <v/>
      </c>
      <c r="I940" s="41" t="str">
        <f aca="false">IF(INDEX(BookTitle,935)="","",INDEX(BookTotal,935))</f>
        <v/>
      </c>
      <c r="J940" s="0" t="str">
        <f aca="false">IF($I940="","",IF(INDEX(BookQ1,935)&gt;0,"Q1",IF(INDEX(BookQ2,935)&gt;0,"Q2",IF(INDEX(BookQ3,935)&gt;0,"Q3",IF(INDEX(BookQ4,935)&gt;0,"Q4","")))))</f>
        <v/>
      </c>
      <c r="K940" s="42" t="str">
        <f aca="false">IF(INDEX(BookTitle,935)="","",INDEX(BookInYear,935))</f>
        <v/>
      </c>
      <c r="L940" s="19"/>
      <c r="M940" s="39"/>
      <c r="N940" s="19"/>
      <c r="O940" s="19"/>
      <c r="P940" s="43" t="str">
        <f aca="false">IF($E940="","",IF($L940="Decline",0,IF($L940="Approve fewer",IF($M940="","",$M940),IF($L940="","",$I940))))</f>
        <v/>
      </c>
      <c r="Q940" s="34" t="str">
        <f aca="false">IF($P940="","",IF($N940&lt;&gt;"",$N940,$J940))</f>
        <v/>
      </c>
      <c r="R940" s="35" t="str">
        <f aca="false">IF(OR($P940="",$Q940=""),"",INDEX(BookRate,935)*$P940*(5-MATCH($Q940,{"Q1";"Q2";"Q3";"Q4"},0))/4+INDEX(BookOneOff,935)*$P940)</f>
        <v/>
      </c>
      <c r="S940" s="35" t="str">
        <f aca="false">IF($P940="","",INDEX(BookRate,935)*$P940)</f>
        <v/>
      </c>
      <c r="T940" s="35" t="str">
        <f aca="false">IF($R940="","",$R940-$K940)</f>
        <v/>
      </c>
      <c r="U940" s="35" t="str">
        <f aca="false">IF(N($P940)&lt;=0,"",COUNTIF($P$6:$P940,"&gt;0"))</f>
        <v/>
      </c>
    </row>
    <row r="941" customFormat="false" ht="15" hidden="false" customHeight="false" outlineLevel="0" collapsed="false">
      <c r="A941" s="40" t="str">
        <f aca="false">IF(INDEX(BookTitle,936)="","",INDEX(BookGroup,936))</f>
        <v/>
      </c>
      <c r="B941" s="40" t="str">
        <f aca="false">IF(INDEX(BookTitle,936)="","",INDEX(BookRef,936))</f>
        <v/>
      </c>
      <c r="C941" s="40" t="str">
        <f aca="false">IF(INDEX(BookTitle,936)="","",INDEX(BookDivision,936))</f>
        <v/>
      </c>
      <c r="D941" s="40" t="str">
        <f aca="false">IF(INDEX(BookTitle,936)="","",INDEX(BookUnit,936))</f>
        <v/>
      </c>
      <c r="E941" s="40" t="str">
        <f aca="false">IF(INDEX(BookTitle,936)="","",INDEX(BookTitle,936))</f>
        <v/>
      </c>
      <c r="F941" s="40" t="str">
        <f aca="false">IF(INDEX(BookTitle,936)="","",INDEX(BookLevel,936))</f>
        <v/>
      </c>
      <c r="G941" s="40" t="str">
        <f aca="false">IF(INDEX(BookTitle,936)="","",INDEX(BookCategory,936))</f>
        <v/>
      </c>
      <c r="H941" s="40" t="str">
        <f aca="false">IF(INDEX(BookTitle,936)="","",INDEX(BookRank,936))</f>
        <v/>
      </c>
      <c r="I941" s="41" t="str">
        <f aca="false">IF(INDEX(BookTitle,936)="","",INDEX(BookTotal,936))</f>
        <v/>
      </c>
      <c r="J941" s="0" t="str">
        <f aca="false">IF($I941="","",IF(INDEX(BookQ1,936)&gt;0,"Q1",IF(INDEX(BookQ2,936)&gt;0,"Q2",IF(INDEX(BookQ3,936)&gt;0,"Q3",IF(INDEX(BookQ4,936)&gt;0,"Q4","")))))</f>
        <v/>
      </c>
      <c r="K941" s="42" t="str">
        <f aca="false">IF(INDEX(BookTitle,936)="","",INDEX(BookInYear,936))</f>
        <v/>
      </c>
      <c r="L941" s="19"/>
      <c r="M941" s="39"/>
      <c r="N941" s="19"/>
      <c r="O941" s="19"/>
      <c r="P941" s="43" t="str">
        <f aca="false">IF($E941="","",IF($L941="Decline",0,IF($L941="Approve fewer",IF($M941="","",$M941),IF($L941="","",$I941))))</f>
        <v/>
      </c>
      <c r="Q941" s="34" t="str">
        <f aca="false">IF($P941="","",IF($N941&lt;&gt;"",$N941,$J941))</f>
        <v/>
      </c>
      <c r="R941" s="35" t="str">
        <f aca="false">IF(OR($P941="",$Q941=""),"",INDEX(BookRate,936)*$P941*(5-MATCH($Q941,{"Q1";"Q2";"Q3";"Q4"},0))/4+INDEX(BookOneOff,936)*$P941)</f>
        <v/>
      </c>
      <c r="S941" s="35" t="str">
        <f aca="false">IF($P941="","",INDEX(BookRate,936)*$P941)</f>
        <v/>
      </c>
      <c r="T941" s="35" t="str">
        <f aca="false">IF($R941="","",$R941-$K941)</f>
        <v/>
      </c>
      <c r="U941" s="35" t="str">
        <f aca="false">IF(N($P941)&lt;=0,"",COUNTIF($P$6:$P941,"&gt;0"))</f>
        <v/>
      </c>
    </row>
    <row r="942" customFormat="false" ht="15" hidden="false" customHeight="false" outlineLevel="0" collapsed="false">
      <c r="A942" s="40" t="str">
        <f aca="false">IF(INDEX(BookTitle,937)="","",INDEX(BookGroup,937))</f>
        <v/>
      </c>
      <c r="B942" s="40" t="str">
        <f aca="false">IF(INDEX(BookTitle,937)="","",INDEX(BookRef,937))</f>
        <v/>
      </c>
      <c r="C942" s="40" t="str">
        <f aca="false">IF(INDEX(BookTitle,937)="","",INDEX(BookDivision,937))</f>
        <v/>
      </c>
      <c r="D942" s="40" t="str">
        <f aca="false">IF(INDEX(BookTitle,937)="","",INDEX(BookUnit,937))</f>
        <v/>
      </c>
      <c r="E942" s="40" t="str">
        <f aca="false">IF(INDEX(BookTitle,937)="","",INDEX(BookTitle,937))</f>
        <v/>
      </c>
      <c r="F942" s="40" t="str">
        <f aca="false">IF(INDEX(BookTitle,937)="","",INDEX(BookLevel,937))</f>
        <v/>
      </c>
      <c r="G942" s="40" t="str">
        <f aca="false">IF(INDEX(BookTitle,937)="","",INDEX(BookCategory,937))</f>
        <v/>
      </c>
      <c r="H942" s="40" t="str">
        <f aca="false">IF(INDEX(BookTitle,937)="","",INDEX(BookRank,937))</f>
        <v/>
      </c>
      <c r="I942" s="41" t="str">
        <f aca="false">IF(INDEX(BookTitle,937)="","",INDEX(BookTotal,937))</f>
        <v/>
      </c>
      <c r="J942" s="0" t="str">
        <f aca="false">IF($I942="","",IF(INDEX(BookQ1,937)&gt;0,"Q1",IF(INDEX(BookQ2,937)&gt;0,"Q2",IF(INDEX(BookQ3,937)&gt;0,"Q3",IF(INDEX(BookQ4,937)&gt;0,"Q4","")))))</f>
        <v/>
      </c>
      <c r="K942" s="42" t="str">
        <f aca="false">IF(INDEX(BookTitle,937)="","",INDEX(BookInYear,937))</f>
        <v/>
      </c>
      <c r="L942" s="19"/>
      <c r="M942" s="39"/>
      <c r="N942" s="19"/>
      <c r="O942" s="19"/>
      <c r="P942" s="43" t="str">
        <f aca="false">IF($E942="","",IF($L942="Decline",0,IF($L942="Approve fewer",IF($M942="","",$M942),IF($L942="","",$I942))))</f>
        <v/>
      </c>
      <c r="Q942" s="34" t="str">
        <f aca="false">IF($P942="","",IF($N942&lt;&gt;"",$N942,$J942))</f>
        <v/>
      </c>
      <c r="R942" s="35" t="str">
        <f aca="false">IF(OR($P942="",$Q942=""),"",INDEX(BookRate,937)*$P942*(5-MATCH($Q942,{"Q1";"Q2";"Q3";"Q4"},0))/4+INDEX(BookOneOff,937)*$P942)</f>
        <v/>
      </c>
      <c r="S942" s="35" t="str">
        <f aca="false">IF($P942="","",INDEX(BookRate,937)*$P942)</f>
        <v/>
      </c>
      <c r="T942" s="35" t="str">
        <f aca="false">IF($R942="","",$R942-$K942)</f>
        <v/>
      </c>
      <c r="U942" s="35" t="str">
        <f aca="false">IF(N($P942)&lt;=0,"",COUNTIF($P$6:$P942,"&gt;0"))</f>
        <v/>
      </c>
    </row>
    <row r="943" customFormat="false" ht="15" hidden="false" customHeight="false" outlineLevel="0" collapsed="false">
      <c r="A943" s="40" t="str">
        <f aca="false">IF(INDEX(BookTitle,938)="","",INDEX(BookGroup,938))</f>
        <v/>
      </c>
      <c r="B943" s="40" t="str">
        <f aca="false">IF(INDEX(BookTitle,938)="","",INDEX(BookRef,938))</f>
        <v/>
      </c>
      <c r="C943" s="40" t="str">
        <f aca="false">IF(INDEX(BookTitle,938)="","",INDEX(BookDivision,938))</f>
        <v/>
      </c>
      <c r="D943" s="40" t="str">
        <f aca="false">IF(INDEX(BookTitle,938)="","",INDEX(BookUnit,938))</f>
        <v/>
      </c>
      <c r="E943" s="40" t="str">
        <f aca="false">IF(INDEX(BookTitle,938)="","",INDEX(BookTitle,938))</f>
        <v/>
      </c>
      <c r="F943" s="40" t="str">
        <f aca="false">IF(INDEX(BookTitle,938)="","",INDEX(BookLevel,938))</f>
        <v/>
      </c>
      <c r="G943" s="40" t="str">
        <f aca="false">IF(INDEX(BookTitle,938)="","",INDEX(BookCategory,938))</f>
        <v/>
      </c>
      <c r="H943" s="40" t="str">
        <f aca="false">IF(INDEX(BookTitle,938)="","",INDEX(BookRank,938))</f>
        <v/>
      </c>
      <c r="I943" s="41" t="str">
        <f aca="false">IF(INDEX(BookTitle,938)="","",INDEX(BookTotal,938))</f>
        <v/>
      </c>
      <c r="J943" s="0" t="str">
        <f aca="false">IF($I943="","",IF(INDEX(BookQ1,938)&gt;0,"Q1",IF(INDEX(BookQ2,938)&gt;0,"Q2",IF(INDEX(BookQ3,938)&gt;0,"Q3",IF(INDEX(BookQ4,938)&gt;0,"Q4","")))))</f>
        <v/>
      </c>
      <c r="K943" s="42" t="str">
        <f aca="false">IF(INDEX(BookTitle,938)="","",INDEX(BookInYear,938))</f>
        <v/>
      </c>
      <c r="L943" s="19"/>
      <c r="M943" s="39"/>
      <c r="N943" s="19"/>
      <c r="O943" s="19"/>
      <c r="P943" s="43" t="str">
        <f aca="false">IF($E943="","",IF($L943="Decline",0,IF($L943="Approve fewer",IF($M943="","",$M943),IF($L943="","",$I943))))</f>
        <v/>
      </c>
      <c r="Q943" s="34" t="str">
        <f aca="false">IF($P943="","",IF($N943&lt;&gt;"",$N943,$J943))</f>
        <v/>
      </c>
      <c r="R943" s="35" t="str">
        <f aca="false">IF(OR($P943="",$Q943=""),"",INDEX(BookRate,938)*$P943*(5-MATCH($Q943,{"Q1";"Q2";"Q3";"Q4"},0))/4+INDEX(BookOneOff,938)*$P943)</f>
        <v/>
      </c>
      <c r="S943" s="35" t="str">
        <f aca="false">IF($P943="","",INDEX(BookRate,938)*$P943)</f>
        <v/>
      </c>
      <c r="T943" s="35" t="str">
        <f aca="false">IF($R943="","",$R943-$K943)</f>
        <v/>
      </c>
      <c r="U943" s="35" t="str">
        <f aca="false">IF(N($P943)&lt;=0,"",COUNTIF($P$6:$P943,"&gt;0"))</f>
        <v/>
      </c>
    </row>
    <row r="944" customFormat="false" ht="15" hidden="false" customHeight="false" outlineLevel="0" collapsed="false">
      <c r="A944" s="40" t="str">
        <f aca="false">IF(INDEX(BookTitle,939)="","",INDEX(BookGroup,939))</f>
        <v/>
      </c>
      <c r="B944" s="40" t="str">
        <f aca="false">IF(INDEX(BookTitle,939)="","",INDEX(BookRef,939))</f>
        <v/>
      </c>
      <c r="C944" s="40" t="str">
        <f aca="false">IF(INDEX(BookTitle,939)="","",INDEX(BookDivision,939))</f>
        <v/>
      </c>
      <c r="D944" s="40" t="str">
        <f aca="false">IF(INDEX(BookTitle,939)="","",INDEX(BookUnit,939))</f>
        <v/>
      </c>
      <c r="E944" s="40" t="str">
        <f aca="false">IF(INDEX(BookTitle,939)="","",INDEX(BookTitle,939))</f>
        <v/>
      </c>
      <c r="F944" s="40" t="str">
        <f aca="false">IF(INDEX(BookTitle,939)="","",INDEX(BookLevel,939))</f>
        <v/>
      </c>
      <c r="G944" s="40" t="str">
        <f aca="false">IF(INDEX(BookTitle,939)="","",INDEX(BookCategory,939))</f>
        <v/>
      </c>
      <c r="H944" s="40" t="str">
        <f aca="false">IF(INDEX(BookTitle,939)="","",INDEX(BookRank,939))</f>
        <v/>
      </c>
      <c r="I944" s="41" t="str">
        <f aca="false">IF(INDEX(BookTitle,939)="","",INDEX(BookTotal,939))</f>
        <v/>
      </c>
      <c r="J944" s="0" t="str">
        <f aca="false">IF($I944="","",IF(INDEX(BookQ1,939)&gt;0,"Q1",IF(INDEX(BookQ2,939)&gt;0,"Q2",IF(INDEX(BookQ3,939)&gt;0,"Q3",IF(INDEX(BookQ4,939)&gt;0,"Q4","")))))</f>
        <v/>
      </c>
      <c r="K944" s="42" t="str">
        <f aca="false">IF(INDEX(BookTitle,939)="","",INDEX(BookInYear,939))</f>
        <v/>
      </c>
      <c r="L944" s="19"/>
      <c r="M944" s="39"/>
      <c r="N944" s="19"/>
      <c r="O944" s="19"/>
      <c r="P944" s="43" t="str">
        <f aca="false">IF($E944="","",IF($L944="Decline",0,IF($L944="Approve fewer",IF($M944="","",$M944),IF($L944="","",$I944))))</f>
        <v/>
      </c>
      <c r="Q944" s="34" t="str">
        <f aca="false">IF($P944="","",IF($N944&lt;&gt;"",$N944,$J944))</f>
        <v/>
      </c>
      <c r="R944" s="35" t="str">
        <f aca="false">IF(OR($P944="",$Q944=""),"",INDEX(BookRate,939)*$P944*(5-MATCH($Q944,{"Q1";"Q2";"Q3";"Q4"},0))/4+INDEX(BookOneOff,939)*$P944)</f>
        <v/>
      </c>
      <c r="S944" s="35" t="str">
        <f aca="false">IF($P944="","",INDEX(BookRate,939)*$P944)</f>
        <v/>
      </c>
      <c r="T944" s="35" t="str">
        <f aca="false">IF($R944="","",$R944-$K944)</f>
        <v/>
      </c>
      <c r="U944" s="35" t="str">
        <f aca="false">IF(N($P944)&lt;=0,"",COUNTIF($P$6:$P944,"&gt;0"))</f>
        <v/>
      </c>
    </row>
    <row r="945" customFormat="false" ht="15" hidden="false" customHeight="false" outlineLevel="0" collapsed="false">
      <c r="A945" s="40" t="str">
        <f aca="false">IF(INDEX(BookTitle,940)="","",INDEX(BookGroup,940))</f>
        <v/>
      </c>
      <c r="B945" s="40" t="str">
        <f aca="false">IF(INDEX(BookTitle,940)="","",INDEX(BookRef,940))</f>
        <v/>
      </c>
      <c r="C945" s="40" t="str">
        <f aca="false">IF(INDEX(BookTitle,940)="","",INDEX(BookDivision,940))</f>
        <v/>
      </c>
      <c r="D945" s="40" t="str">
        <f aca="false">IF(INDEX(BookTitle,940)="","",INDEX(BookUnit,940))</f>
        <v/>
      </c>
      <c r="E945" s="40" t="str">
        <f aca="false">IF(INDEX(BookTitle,940)="","",INDEX(BookTitle,940))</f>
        <v/>
      </c>
      <c r="F945" s="40" t="str">
        <f aca="false">IF(INDEX(BookTitle,940)="","",INDEX(BookLevel,940))</f>
        <v/>
      </c>
      <c r="G945" s="40" t="str">
        <f aca="false">IF(INDEX(BookTitle,940)="","",INDEX(BookCategory,940))</f>
        <v/>
      </c>
      <c r="H945" s="40" t="str">
        <f aca="false">IF(INDEX(BookTitle,940)="","",INDEX(BookRank,940))</f>
        <v/>
      </c>
      <c r="I945" s="41" t="str">
        <f aca="false">IF(INDEX(BookTitle,940)="","",INDEX(BookTotal,940))</f>
        <v/>
      </c>
      <c r="J945" s="0" t="str">
        <f aca="false">IF($I945="","",IF(INDEX(BookQ1,940)&gt;0,"Q1",IF(INDEX(BookQ2,940)&gt;0,"Q2",IF(INDEX(BookQ3,940)&gt;0,"Q3",IF(INDEX(BookQ4,940)&gt;0,"Q4","")))))</f>
        <v/>
      </c>
      <c r="K945" s="42" t="str">
        <f aca="false">IF(INDEX(BookTitle,940)="","",INDEX(BookInYear,940))</f>
        <v/>
      </c>
      <c r="L945" s="19"/>
      <c r="M945" s="39"/>
      <c r="N945" s="19"/>
      <c r="O945" s="19"/>
      <c r="P945" s="43" t="str">
        <f aca="false">IF($E945="","",IF($L945="Decline",0,IF($L945="Approve fewer",IF($M945="","",$M945),IF($L945="","",$I945))))</f>
        <v/>
      </c>
      <c r="Q945" s="34" t="str">
        <f aca="false">IF($P945="","",IF($N945&lt;&gt;"",$N945,$J945))</f>
        <v/>
      </c>
      <c r="R945" s="35" t="str">
        <f aca="false">IF(OR($P945="",$Q945=""),"",INDEX(BookRate,940)*$P945*(5-MATCH($Q945,{"Q1";"Q2";"Q3";"Q4"},0))/4+INDEX(BookOneOff,940)*$P945)</f>
        <v/>
      </c>
      <c r="S945" s="35" t="str">
        <f aca="false">IF($P945="","",INDEX(BookRate,940)*$P945)</f>
        <v/>
      </c>
      <c r="T945" s="35" t="str">
        <f aca="false">IF($R945="","",$R945-$K945)</f>
        <v/>
      </c>
      <c r="U945" s="35" t="str">
        <f aca="false">IF(N($P945)&lt;=0,"",COUNTIF($P$6:$P945,"&gt;0"))</f>
        <v/>
      </c>
    </row>
    <row r="946" customFormat="false" ht="15" hidden="false" customHeight="false" outlineLevel="0" collapsed="false">
      <c r="A946" s="40" t="str">
        <f aca="false">IF(INDEX(BookTitle,941)="","",INDEX(BookGroup,941))</f>
        <v/>
      </c>
      <c r="B946" s="40" t="str">
        <f aca="false">IF(INDEX(BookTitle,941)="","",INDEX(BookRef,941))</f>
        <v/>
      </c>
      <c r="C946" s="40" t="str">
        <f aca="false">IF(INDEX(BookTitle,941)="","",INDEX(BookDivision,941))</f>
        <v/>
      </c>
      <c r="D946" s="40" t="str">
        <f aca="false">IF(INDEX(BookTitle,941)="","",INDEX(BookUnit,941))</f>
        <v/>
      </c>
      <c r="E946" s="40" t="str">
        <f aca="false">IF(INDEX(BookTitle,941)="","",INDEX(BookTitle,941))</f>
        <v/>
      </c>
      <c r="F946" s="40" t="str">
        <f aca="false">IF(INDEX(BookTitle,941)="","",INDEX(BookLevel,941))</f>
        <v/>
      </c>
      <c r="G946" s="40" t="str">
        <f aca="false">IF(INDEX(BookTitle,941)="","",INDEX(BookCategory,941))</f>
        <v/>
      </c>
      <c r="H946" s="40" t="str">
        <f aca="false">IF(INDEX(BookTitle,941)="","",INDEX(BookRank,941))</f>
        <v/>
      </c>
      <c r="I946" s="41" t="str">
        <f aca="false">IF(INDEX(BookTitle,941)="","",INDEX(BookTotal,941))</f>
        <v/>
      </c>
      <c r="J946" s="0" t="str">
        <f aca="false">IF($I946="","",IF(INDEX(BookQ1,941)&gt;0,"Q1",IF(INDEX(BookQ2,941)&gt;0,"Q2",IF(INDEX(BookQ3,941)&gt;0,"Q3",IF(INDEX(BookQ4,941)&gt;0,"Q4","")))))</f>
        <v/>
      </c>
      <c r="K946" s="42" t="str">
        <f aca="false">IF(INDEX(BookTitle,941)="","",INDEX(BookInYear,941))</f>
        <v/>
      </c>
      <c r="L946" s="19"/>
      <c r="M946" s="39"/>
      <c r="N946" s="19"/>
      <c r="O946" s="19"/>
      <c r="P946" s="43" t="str">
        <f aca="false">IF($E946="","",IF($L946="Decline",0,IF($L946="Approve fewer",IF($M946="","",$M946),IF($L946="","",$I946))))</f>
        <v/>
      </c>
      <c r="Q946" s="34" t="str">
        <f aca="false">IF($P946="","",IF($N946&lt;&gt;"",$N946,$J946))</f>
        <v/>
      </c>
      <c r="R946" s="35" t="str">
        <f aca="false">IF(OR($P946="",$Q946=""),"",INDEX(BookRate,941)*$P946*(5-MATCH($Q946,{"Q1";"Q2";"Q3";"Q4"},0))/4+INDEX(BookOneOff,941)*$P946)</f>
        <v/>
      </c>
      <c r="S946" s="35" t="str">
        <f aca="false">IF($P946="","",INDEX(BookRate,941)*$P946)</f>
        <v/>
      </c>
      <c r="T946" s="35" t="str">
        <f aca="false">IF($R946="","",$R946-$K946)</f>
        <v/>
      </c>
      <c r="U946" s="35" t="str">
        <f aca="false">IF(N($P946)&lt;=0,"",COUNTIF($P$6:$P946,"&gt;0"))</f>
        <v/>
      </c>
    </row>
    <row r="947" customFormat="false" ht="15" hidden="false" customHeight="false" outlineLevel="0" collapsed="false">
      <c r="A947" s="40" t="str">
        <f aca="false">IF(INDEX(BookTitle,942)="","",INDEX(BookGroup,942))</f>
        <v/>
      </c>
      <c r="B947" s="40" t="str">
        <f aca="false">IF(INDEX(BookTitle,942)="","",INDEX(BookRef,942))</f>
        <v/>
      </c>
      <c r="C947" s="40" t="str">
        <f aca="false">IF(INDEX(BookTitle,942)="","",INDEX(BookDivision,942))</f>
        <v/>
      </c>
      <c r="D947" s="40" t="str">
        <f aca="false">IF(INDEX(BookTitle,942)="","",INDEX(BookUnit,942))</f>
        <v/>
      </c>
      <c r="E947" s="40" t="str">
        <f aca="false">IF(INDEX(BookTitle,942)="","",INDEX(BookTitle,942))</f>
        <v/>
      </c>
      <c r="F947" s="40" t="str">
        <f aca="false">IF(INDEX(BookTitle,942)="","",INDEX(BookLevel,942))</f>
        <v/>
      </c>
      <c r="G947" s="40" t="str">
        <f aca="false">IF(INDEX(BookTitle,942)="","",INDEX(BookCategory,942))</f>
        <v/>
      </c>
      <c r="H947" s="40" t="str">
        <f aca="false">IF(INDEX(BookTitle,942)="","",INDEX(BookRank,942))</f>
        <v/>
      </c>
      <c r="I947" s="41" t="str">
        <f aca="false">IF(INDEX(BookTitle,942)="","",INDEX(BookTotal,942))</f>
        <v/>
      </c>
      <c r="J947" s="0" t="str">
        <f aca="false">IF($I947="","",IF(INDEX(BookQ1,942)&gt;0,"Q1",IF(INDEX(BookQ2,942)&gt;0,"Q2",IF(INDEX(BookQ3,942)&gt;0,"Q3",IF(INDEX(BookQ4,942)&gt;0,"Q4","")))))</f>
        <v/>
      </c>
      <c r="K947" s="42" t="str">
        <f aca="false">IF(INDEX(BookTitle,942)="","",INDEX(BookInYear,942))</f>
        <v/>
      </c>
      <c r="L947" s="19"/>
      <c r="M947" s="39"/>
      <c r="N947" s="19"/>
      <c r="O947" s="19"/>
      <c r="P947" s="43" t="str">
        <f aca="false">IF($E947="","",IF($L947="Decline",0,IF($L947="Approve fewer",IF($M947="","",$M947),IF($L947="","",$I947))))</f>
        <v/>
      </c>
      <c r="Q947" s="34" t="str">
        <f aca="false">IF($P947="","",IF($N947&lt;&gt;"",$N947,$J947))</f>
        <v/>
      </c>
      <c r="R947" s="35" t="str">
        <f aca="false">IF(OR($P947="",$Q947=""),"",INDEX(BookRate,942)*$P947*(5-MATCH($Q947,{"Q1";"Q2";"Q3";"Q4"},0))/4+INDEX(BookOneOff,942)*$P947)</f>
        <v/>
      </c>
      <c r="S947" s="35" t="str">
        <f aca="false">IF($P947="","",INDEX(BookRate,942)*$P947)</f>
        <v/>
      </c>
      <c r="T947" s="35" t="str">
        <f aca="false">IF($R947="","",$R947-$K947)</f>
        <v/>
      </c>
      <c r="U947" s="35" t="str">
        <f aca="false">IF(N($P947)&lt;=0,"",COUNTIF($P$6:$P947,"&gt;0"))</f>
        <v/>
      </c>
    </row>
    <row r="948" customFormat="false" ht="15" hidden="false" customHeight="false" outlineLevel="0" collapsed="false">
      <c r="A948" s="40" t="str">
        <f aca="false">IF(INDEX(BookTitle,943)="","",INDEX(BookGroup,943))</f>
        <v/>
      </c>
      <c r="B948" s="40" t="str">
        <f aca="false">IF(INDEX(BookTitle,943)="","",INDEX(BookRef,943))</f>
        <v/>
      </c>
      <c r="C948" s="40" t="str">
        <f aca="false">IF(INDEX(BookTitle,943)="","",INDEX(BookDivision,943))</f>
        <v/>
      </c>
      <c r="D948" s="40" t="str">
        <f aca="false">IF(INDEX(BookTitle,943)="","",INDEX(BookUnit,943))</f>
        <v/>
      </c>
      <c r="E948" s="40" t="str">
        <f aca="false">IF(INDEX(BookTitle,943)="","",INDEX(BookTitle,943))</f>
        <v/>
      </c>
      <c r="F948" s="40" t="str">
        <f aca="false">IF(INDEX(BookTitle,943)="","",INDEX(BookLevel,943))</f>
        <v/>
      </c>
      <c r="G948" s="40" t="str">
        <f aca="false">IF(INDEX(BookTitle,943)="","",INDEX(BookCategory,943))</f>
        <v/>
      </c>
      <c r="H948" s="40" t="str">
        <f aca="false">IF(INDEX(BookTitle,943)="","",INDEX(BookRank,943))</f>
        <v/>
      </c>
      <c r="I948" s="41" t="str">
        <f aca="false">IF(INDEX(BookTitle,943)="","",INDEX(BookTotal,943))</f>
        <v/>
      </c>
      <c r="J948" s="0" t="str">
        <f aca="false">IF($I948="","",IF(INDEX(BookQ1,943)&gt;0,"Q1",IF(INDEX(BookQ2,943)&gt;0,"Q2",IF(INDEX(BookQ3,943)&gt;0,"Q3",IF(INDEX(BookQ4,943)&gt;0,"Q4","")))))</f>
        <v/>
      </c>
      <c r="K948" s="42" t="str">
        <f aca="false">IF(INDEX(BookTitle,943)="","",INDEX(BookInYear,943))</f>
        <v/>
      </c>
      <c r="L948" s="19"/>
      <c r="M948" s="39"/>
      <c r="N948" s="19"/>
      <c r="O948" s="19"/>
      <c r="P948" s="43" t="str">
        <f aca="false">IF($E948="","",IF($L948="Decline",0,IF($L948="Approve fewer",IF($M948="","",$M948),IF($L948="","",$I948))))</f>
        <v/>
      </c>
      <c r="Q948" s="34" t="str">
        <f aca="false">IF($P948="","",IF($N948&lt;&gt;"",$N948,$J948))</f>
        <v/>
      </c>
      <c r="R948" s="35" t="str">
        <f aca="false">IF(OR($P948="",$Q948=""),"",INDEX(BookRate,943)*$P948*(5-MATCH($Q948,{"Q1";"Q2";"Q3";"Q4"},0))/4+INDEX(BookOneOff,943)*$P948)</f>
        <v/>
      </c>
      <c r="S948" s="35" t="str">
        <f aca="false">IF($P948="","",INDEX(BookRate,943)*$P948)</f>
        <v/>
      </c>
      <c r="T948" s="35" t="str">
        <f aca="false">IF($R948="","",$R948-$K948)</f>
        <v/>
      </c>
      <c r="U948" s="35" t="str">
        <f aca="false">IF(N($P948)&lt;=0,"",COUNTIF($P$6:$P948,"&gt;0"))</f>
        <v/>
      </c>
    </row>
    <row r="949" customFormat="false" ht="15" hidden="false" customHeight="false" outlineLevel="0" collapsed="false">
      <c r="A949" s="40" t="str">
        <f aca="false">IF(INDEX(BookTitle,944)="","",INDEX(BookGroup,944))</f>
        <v/>
      </c>
      <c r="B949" s="40" t="str">
        <f aca="false">IF(INDEX(BookTitle,944)="","",INDEX(BookRef,944))</f>
        <v/>
      </c>
      <c r="C949" s="40" t="str">
        <f aca="false">IF(INDEX(BookTitle,944)="","",INDEX(BookDivision,944))</f>
        <v/>
      </c>
      <c r="D949" s="40" t="str">
        <f aca="false">IF(INDEX(BookTitle,944)="","",INDEX(BookUnit,944))</f>
        <v/>
      </c>
      <c r="E949" s="40" t="str">
        <f aca="false">IF(INDEX(BookTitle,944)="","",INDEX(BookTitle,944))</f>
        <v/>
      </c>
      <c r="F949" s="40" t="str">
        <f aca="false">IF(INDEX(BookTitle,944)="","",INDEX(BookLevel,944))</f>
        <v/>
      </c>
      <c r="G949" s="40" t="str">
        <f aca="false">IF(INDEX(BookTitle,944)="","",INDEX(BookCategory,944))</f>
        <v/>
      </c>
      <c r="H949" s="40" t="str">
        <f aca="false">IF(INDEX(BookTitle,944)="","",INDEX(BookRank,944))</f>
        <v/>
      </c>
      <c r="I949" s="41" t="str">
        <f aca="false">IF(INDEX(BookTitle,944)="","",INDEX(BookTotal,944))</f>
        <v/>
      </c>
      <c r="J949" s="0" t="str">
        <f aca="false">IF($I949="","",IF(INDEX(BookQ1,944)&gt;0,"Q1",IF(INDEX(BookQ2,944)&gt;0,"Q2",IF(INDEX(BookQ3,944)&gt;0,"Q3",IF(INDEX(BookQ4,944)&gt;0,"Q4","")))))</f>
        <v/>
      </c>
      <c r="K949" s="42" t="str">
        <f aca="false">IF(INDEX(BookTitle,944)="","",INDEX(BookInYear,944))</f>
        <v/>
      </c>
      <c r="L949" s="19"/>
      <c r="M949" s="39"/>
      <c r="N949" s="19"/>
      <c r="O949" s="19"/>
      <c r="P949" s="43" t="str">
        <f aca="false">IF($E949="","",IF($L949="Decline",0,IF($L949="Approve fewer",IF($M949="","",$M949),IF($L949="","",$I949))))</f>
        <v/>
      </c>
      <c r="Q949" s="34" t="str">
        <f aca="false">IF($P949="","",IF($N949&lt;&gt;"",$N949,$J949))</f>
        <v/>
      </c>
      <c r="R949" s="35" t="str">
        <f aca="false">IF(OR($P949="",$Q949=""),"",INDEX(BookRate,944)*$P949*(5-MATCH($Q949,{"Q1";"Q2";"Q3";"Q4"},0))/4+INDEX(BookOneOff,944)*$P949)</f>
        <v/>
      </c>
      <c r="S949" s="35" t="str">
        <f aca="false">IF($P949="","",INDEX(BookRate,944)*$P949)</f>
        <v/>
      </c>
      <c r="T949" s="35" t="str">
        <f aca="false">IF($R949="","",$R949-$K949)</f>
        <v/>
      </c>
      <c r="U949" s="35" t="str">
        <f aca="false">IF(N($P949)&lt;=0,"",COUNTIF($P$6:$P949,"&gt;0"))</f>
        <v/>
      </c>
    </row>
    <row r="950" customFormat="false" ht="15" hidden="false" customHeight="false" outlineLevel="0" collapsed="false">
      <c r="A950" s="40" t="str">
        <f aca="false">IF(INDEX(BookTitle,945)="","",INDEX(BookGroup,945))</f>
        <v/>
      </c>
      <c r="B950" s="40" t="str">
        <f aca="false">IF(INDEX(BookTitle,945)="","",INDEX(BookRef,945))</f>
        <v/>
      </c>
      <c r="C950" s="40" t="str">
        <f aca="false">IF(INDEX(BookTitle,945)="","",INDEX(BookDivision,945))</f>
        <v/>
      </c>
      <c r="D950" s="40" t="str">
        <f aca="false">IF(INDEX(BookTitle,945)="","",INDEX(BookUnit,945))</f>
        <v/>
      </c>
      <c r="E950" s="40" t="str">
        <f aca="false">IF(INDEX(BookTitle,945)="","",INDEX(BookTitle,945))</f>
        <v/>
      </c>
      <c r="F950" s="40" t="str">
        <f aca="false">IF(INDEX(BookTitle,945)="","",INDEX(BookLevel,945))</f>
        <v/>
      </c>
      <c r="G950" s="40" t="str">
        <f aca="false">IF(INDEX(BookTitle,945)="","",INDEX(BookCategory,945))</f>
        <v/>
      </c>
      <c r="H950" s="40" t="str">
        <f aca="false">IF(INDEX(BookTitle,945)="","",INDEX(BookRank,945))</f>
        <v/>
      </c>
      <c r="I950" s="41" t="str">
        <f aca="false">IF(INDEX(BookTitle,945)="","",INDEX(BookTotal,945))</f>
        <v/>
      </c>
      <c r="J950" s="0" t="str">
        <f aca="false">IF($I950="","",IF(INDEX(BookQ1,945)&gt;0,"Q1",IF(INDEX(BookQ2,945)&gt;0,"Q2",IF(INDEX(BookQ3,945)&gt;0,"Q3",IF(INDEX(BookQ4,945)&gt;0,"Q4","")))))</f>
        <v/>
      </c>
      <c r="K950" s="42" t="str">
        <f aca="false">IF(INDEX(BookTitle,945)="","",INDEX(BookInYear,945))</f>
        <v/>
      </c>
      <c r="L950" s="19"/>
      <c r="M950" s="39"/>
      <c r="N950" s="19"/>
      <c r="O950" s="19"/>
      <c r="P950" s="43" t="str">
        <f aca="false">IF($E950="","",IF($L950="Decline",0,IF($L950="Approve fewer",IF($M950="","",$M950),IF($L950="","",$I950))))</f>
        <v/>
      </c>
      <c r="Q950" s="34" t="str">
        <f aca="false">IF($P950="","",IF($N950&lt;&gt;"",$N950,$J950))</f>
        <v/>
      </c>
      <c r="R950" s="35" t="str">
        <f aca="false">IF(OR($P950="",$Q950=""),"",INDEX(BookRate,945)*$P950*(5-MATCH($Q950,{"Q1";"Q2";"Q3";"Q4"},0))/4+INDEX(BookOneOff,945)*$P950)</f>
        <v/>
      </c>
      <c r="S950" s="35" t="str">
        <f aca="false">IF($P950="","",INDEX(BookRate,945)*$P950)</f>
        <v/>
      </c>
      <c r="T950" s="35" t="str">
        <f aca="false">IF($R950="","",$R950-$K950)</f>
        <v/>
      </c>
      <c r="U950" s="35" t="str">
        <f aca="false">IF(N($P950)&lt;=0,"",COUNTIF($P$6:$P950,"&gt;0"))</f>
        <v/>
      </c>
    </row>
    <row r="951" customFormat="false" ht="15" hidden="false" customHeight="false" outlineLevel="0" collapsed="false">
      <c r="A951" s="40" t="str">
        <f aca="false">IF(INDEX(BookTitle,946)="","",INDEX(BookGroup,946))</f>
        <v/>
      </c>
      <c r="B951" s="40" t="str">
        <f aca="false">IF(INDEX(BookTitle,946)="","",INDEX(BookRef,946))</f>
        <v/>
      </c>
      <c r="C951" s="40" t="str">
        <f aca="false">IF(INDEX(BookTitle,946)="","",INDEX(BookDivision,946))</f>
        <v/>
      </c>
      <c r="D951" s="40" t="str">
        <f aca="false">IF(INDEX(BookTitle,946)="","",INDEX(BookUnit,946))</f>
        <v/>
      </c>
      <c r="E951" s="40" t="str">
        <f aca="false">IF(INDEX(BookTitle,946)="","",INDEX(BookTitle,946))</f>
        <v/>
      </c>
      <c r="F951" s="40" t="str">
        <f aca="false">IF(INDEX(BookTitle,946)="","",INDEX(BookLevel,946))</f>
        <v/>
      </c>
      <c r="G951" s="40" t="str">
        <f aca="false">IF(INDEX(BookTitle,946)="","",INDEX(BookCategory,946))</f>
        <v/>
      </c>
      <c r="H951" s="40" t="str">
        <f aca="false">IF(INDEX(BookTitle,946)="","",INDEX(BookRank,946))</f>
        <v/>
      </c>
      <c r="I951" s="41" t="str">
        <f aca="false">IF(INDEX(BookTitle,946)="","",INDEX(BookTotal,946))</f>
        <v/>
      </c>
      <c r="J951" s="0" t="str">
        <f aca="false">IF($I951="","",IF(INDEX(BookQ1,946)&gt;0,"Q1",IF(INDEX(BookQ2,946)&gt;0,"Q2",IF(INDEX(BookQ3,946)&gt;0,"Q3",IF(INDEX(BookQ4,946)&gt;0,"Q4","")))))</f>
        <v/>
      </c>
      <c r="K951" s="42" t="str">
        <f aca="false">IF(INDEX(BookTitle,946)="","",INDEX(BookInYear,946))</f>
        <v/>
      </c>
      <c r="L951" s="19"/>
      <c r="M951" s="39"/>
      <c r="N951" s="19"/>
      <c r="O951" s="19"/>
      <c r="P951" s="43" t="str">
        <f aca="false">IF($E951="","",IF($L951="Decline",0,IF($L951="Approve fewer",IF($M951="","",$M951),IF($L951="","",$I951))))</f>
        <v/>
      </c>
      <c r="Q951" s="34" t="str">
        <f aca="false">IF($P951="","",IF($N951&lt;&gt;"",$N951,$J951))</f>
        <v/>
      </c>
      <c r="R951" s="35" t="str">
        <f aca="false">IF(OR($P951="",$Q951=""),"",INDEX(BookRate,946)*$P951*(5-MATCH($Q951,{"Q1";"Q2";"Q3";"Q4"},0))/4+INDEX(BookOneOff,946)*$P951)</f>
        <v/>
      </c>
      <c r="S951" s="35" t="str">
        <f aca="false">IF($P951="","",INDEX(BookRate,946)*$P951)</f>
        <v/>
      </c>
      <c r="T951" s="35" t="str">
        <f aca="false">IF($R951="","",$R951-$K951)</f>
        <v/>
      </c>
      <c r="U951" s="35" t="str">
        <f aca="false">IF(N($P951)&lt;=0,"",COUNTIF($P$6:$P951,"&gt;0"))</f>
        <v/>
      </c>
    </row>
    <row r="952" customFormat="false" ht="15" hidden="false" customHeight="false" outlineLevel="0" collapsed="false">
      <c r="A952" s="40" t="str">
        <f aca="false">IF(INDEX(BookTitle,947)="","",INDEX(BookGroup,947))</f>
        <v/>
      </c>
      <c r="B952" s="40" t="str">
        <f aca="false">IF(INDEX(BookTitle,947)="","",INDEX(BookRef,947))</f>
        <v/>
      </c>
      <c r="C952" s="40" t="str">
        <f aca="false">IF(INDEX(BookTitle,947)="","",INDEX(BookDivision,947))</f>
        <v/>
      </c>
      <c r="D952" s="40" t="str">
        <f aca="false">IF(INDEX(BookTitle,947)="","",INDEX(BookUnit,947))</f>
        <v/>
      </c>
      <c r="E952" s="40" t="str">
        <f aca="false">IF(INDEX(BookTitle,947)="","",INDEX(BookTitle,947))</f>
        <v/>
      </c>
      <c r="F952" s="40" t="str">
        <f aca="false">IF(INDEX(BookTitle,947)="","",INDEX(BookLevel,947))</f>
        <v/>
      </c>
      <c r="G952" s="40" t="str">
        <f aca="false">IF(INDEX(BookTitle,947)="","",INDEX(BookCategory,947))</f>
        <v/>
      </c>
      <c r="H952" s="40" t="str">
        <f aca="false">IF(INDEX(BookTitle,947)="","",INDEX(BookRank,947))</f>
        <v/>
      </c>
      <c r="I952" s="41" t="str">
        <f aca="false">IF(INDEX(BookTitle,947)="","",INDEX(BookTotal,947))</f>
        <v/>
      </c>
      <c r="J952" s="0" t="str">
        <f aca="false">IF($I952="","",IF(INDEX(BookQ1,947)&gt;0,"Q1",IF(INDEX(BookQ2,947)&gt;0,"Q2",IF(INDEX(BookQ3,947)&gt;0,"Q3",IF(INDEX(BookQ4,947)&gt;0,"Q4","")))))</f>
        <v/>
      </c>
      <c r="K952" s="42" t="str">
        <f aca="false">IF(INDEX(BookTitle,947)="","",INDEX(BookInYear,947))</f>
        <v/>
      </c>
      <c r="L952" s="19"/>
      <c r="M952" s="39"/>
      <c r="N952" s="19"/>
      <c r="O952" s="19"/>
      <c r="P952" s="43" t="str">
        <f aca="false">IF($E952="","",IF($L952="Decline",0,IF($L952="Approve fewer",IF($M952="","",$M952),IF($L952="","",$I952))))</f>
        <v/>
      </c>
      <c r="Q952" s="34" t="str">
        <f aca="false">IF($P952="","",IF($N952&lt;&gt;"",$N952,$J952))</f>
        <v/>
      </c>
      <c r="R952" s="35" t="str">
        <f aca="false">IF(OR($P952="",$Q952=""),"",INDEX(BookRate,947)*$P952*(5-MATCH($Q952,{"Q1";"Q2";"Q3";"Q4"},0))/4+INDEX(BookOneOff,947)*$P952)</f>
        <v/>
      </c>
      <c r="S952" s="35" t="str">
        <f aca="false">IF($P952="","",INDEX(BookRate,947)*$P952)</f>
        <v/>
      </c>
      <c r="T952" s="35" t="str">
        <f aca="false">IF($R952="","",$R952-$K952)</f>
        <v/>
      </c>
      <c r="U952" s="35" t="str">
        <f aca="false">IF(N($P952)&lt;=0,"",COUNTIF($P$6:$P952,"&gt;0"))</f>
        <v/>
      </c>
    </row>
    <row r="953" customFormat="false" ht="15" hidden="false" customHeight="false" outlineLevel="0" collapsed="false">
      <c r="A953" s="40" t="str">
        <f aca="false">IF(INDEX(BookTitle,948)="","",INDEX(BookGroup,948))</f>
        <v/>
      </c>
      <c r="B953" s="40" t="str">
        <f aca="false">IF(INDEX(BookTitle,948)="","",INDEX(BookRef,948))</f>
        <v/>
      </c>
      <c r="C953" s="40" t="str">
        <f aca="false">IF(INDEX(BookTitle,948)="","",INDEX(BookDivision,948))</f>
        <v/>
      </c>
      <c r="D953" s="40" t="str">
        <f aca="false">IF(INDEX(BookTitle,948)="","",INDEX(BookUnit,948))</f>
        <v/>
      </c>
      <c r="E953" s="40" t="str">
        <f aca="false">IF(INDEX(BookTitle,948)="","",INDEX(BookTitle,948))</f>
        <v/>
      </c>
      <c r="F953" s="40" t="str">
        <f aca="false">IF(INDEX(BookTitle,948)="","",INDEX(BookLevel,948))</f>
        <v/>
      </c>
      <c r="G953" s="40" t="str">
        <f aca="false">IF(INDEX(BookTitle,948)="","",INDEX(BookCategory,948))</f>
        <v/>
      </c>
      <c r="H953" s="40" t="str">
        <f aca="false">IF(INDEX(BookTitle,948)="","",INDEX(BookRank,948))</f>
        <v/>
      </c>
      <c r="I953" s="41" t="str">
        <f aca="false">IF(INDEX(BookTitle,948)="","",INDEX(BookTotal,948))</f>
        <v/>
      </c>
      <c r="J953" s="0" t="str">
        <f aca="false">IF($I953="","",IF(INDEX(BookQ1,948)&gt;0,"Q1",IF(INDEX(BookQ2,948)&gt;0,"Q2",IF(INDEX(BookQ3,948)&gt;0,"Q3",IF(INDEX(BookQ4,948)&gt;0,"Q4","")))))</f>
        <v/>
      </c>
      <c r="K953" s="42" t="str">
        <f aca="false">IF(INDEX(BookTitle,948)="","",INDEX(BookInYear,948))</f>
        <v/>
      </c>
      <c r="L953" s="19"/>
      <c r="M953" s="39"/>
      <c r="N953" s="19"/>
      <c r="O953" s="19"/>
      <c r="P953" s="43" t="str">
        <f aca="false">IF($E953="","",IF($L953="Decline",0,IF($L953="Approve fewer",IF($M953="","",$M953),IF($L953="","",$I953))))</f>
        <v/>
      </c>
      <c r="Q953" s="34" t="str">
        <f aca="false">IF($P953="","",IF($N953&lt;&gt;"",$N953,$J953))</f>
        <v/>
      </c>
      <c r="R953" s="35" t="str">
        <f aca="false">IF(OR($P953="",$Q953=""),"",INDEX(BookRate,948)*$P953*(5-MATCH($Q953,{"Q1";"Q2";"Q3";"Q4"},0))/4+INDEX(BookOneOff,948)*$P953)</f>
        <v/>
      </c>
      <c r="S953" s="35" t="str">
        <f aca="false">IF($P953="","",INDEX(BookRate,948)*$P953)</f>
        <v/>
      </c>
      <c r="T953" s="35" t="str">
        <f aca="false">IF($R953="","",$R953-$K953)</f>
        <v/>
      </c>
      <c r="U953" s="35" t="str">
        <f aca="false">IF(N($P953)&lt;=0,"",COUNTIF($P$6:$P953,"&gt;0"))</f>
        <v/>
      </c>
    </row>
    <row r="954" customFormat="false" ht="15" hidden="false" customHeight="false" outlineLevel="0" collapsed="false">
      <c r="A954" s="40" t="str">
        <f aca="false">IF(INDEX(BookTitle,949)="","",INDEX(BookGroup,949))</f>
        <v/>
      </c>
      <c r="B954" s="40" t="str">
        <f aca="false">IF(INDEX(BookTitle,949)="","",INDEX(BookRef,949))</f>
        <v/>
      </c>
      <c r="C954" s="40" t="str">
        <f aca="false">IF(INDEX(BookTitle,949)="","",INDEX(BookDivision,949))</f>
        <v/>
      </c>
      <c r="D954" s="40" t="str">
        <f aca="false">IF(INDEX(BookTitle,949)="","",INDEX(BookUnit,949))</f>
        <v/>
      </c>
      <c r="E954" s="40" t="str">
        <f aca="false">IF(INDEX(BookTitle,949)="","",INDEX(BookTitle,949))</f>
        <v/>
      </c>
      <c r="F954" s="40" t="str">
        <f aca="false">IF(INDEX(BookTitle,949)="","",INDEX(BookLevel,949))</f>
        <v/>
      </c>
      <c r="G954" s="40" t="str">
        <f aca="false">IF(INDEX(BookTitle,949)="","",INDEX(BookCategory,949))</f>
        <v/>
      </c>
      <c r="H954" s="40" t="str">
        <f aca="false">IF(INDEX(BookTitle,949)="","",INDEX(BookRank,949))</f>
        <v/>
      </c>
      <c r="I954" s="41" t="str">
        <f aca="false">IF(INDEX(BookTitle,949)="","",INDEX(BookTotal,949))</f>
        <v/>
      </c>
      <c r="J954" s="0" t="str">
        <f aca="false">IF($I954="","",IF(INDEX(BookQ1,949)&gt;0,"Q1",IF(INDEX(BookQ2,949)&gt;0,"Q2",IF(INDEX(BookQ3,949)&gt;0,"Q3",IF(INDEX(BookQ4,949)&gt;0,"Q4","")))))</f>
        <v/>
      </c>
      <c r="K954" s="42" t="str">
        <f aca="false">IF(INDEX(BookTitle,949)="","",INDEX(BookInYear,949))</f>
        <v/>
      </c>
      <c r="L954" s="19"/>
      <c r="M954" s="39"/>
      <c r="N954" s="19"/>
      <c r="O954" s="19"/>
      <c r="P954" s="43" t="str">
        <f aca="false">IF($E954="","",IF($L954="Decline",0,IF($L954="Approve fewer",IF($M954="","",$M954),IF($L954="","",$I954))))</f>
        <v/>
      </c>
      <c r="Q954" s="34" t="str">
        <f aca="false">IF($P954="","",IF($N954&lt;&gt;"",$N954,$J954))</f>
        <v/>
      </c>
      <c r="R954" s="35" t="str">
        <f aca="false">IF(OR($P954="",$Q954=""),"",INDEX(BookRate,949)*$P954*(5-MATCH($Q954,{"Q1";"Q2";"Q3";"Q4"},0))/4+INDEX(BookOneOff,949)*$P954)</f>
        <v/>
      </c>
      <c r="S954" s="35" t="str">
        <f aca="false">IF($P954="","",INDEX(BookRate,949)*$P954)</f>
        <v/>
      </c>
      <c r="T954" s="35" t="str">
        <f aca="false">IF($R954="","",$R954-$K954)</f>
        <v/>
      </c>
      <c r="U954" s="35" t="str">
        <f aca="false">IF(N($P954)&lt;=0,"",COUNTIF($P$6:$P954,"&gt;0"))</f>
        <v/>
      </c>
    </row>
    <row r="955" customFormat="false" ht="15" hidden="false" customHeight="false" outlineLevel="0" collapsed="false">
      <c r="A955" s="40" t="str">
        <f aca="false">IF(INDEX(BookTitle,950)="","",INDEX(BookGroup,950))</f>
        <v/>
      </c>
      <c r="B955" s="40" t="str">
        <f aca="false">IF(INDEX(BookTitle,950)="","",INDEX(BookRef,950))</f>
        <v/>
      </c>
      <c r="C955" s="40" t="str">
        <f aca="false">IF(INDEX(BookTitle,950)="","",INDEX(BookDivision,950))</f>
        <v/>
      </c>
      <c r="D955" s="40" t="str">
        <f aca="false">IF(INDEX(BookTitle,950)="","",INDEX(BookUnit,950))</f>
        <v/>
      </c>
      <c r="E955" s="40" t="str">
        <f aca="false">IF(INDEX(BookTitle,950)="","",INDEX(BookTitle,950))</f>
        <v/>
      </c>
      <c r="F955" s="40" t="str">
        <f aca="false">IF(INDEX(BookTitle,950)="","",INDEX(BookLevel,950))</f>
        <v/>
      </c>
      <c r="G955" s="40" t="str">
        <f aca="false">IF(INDEX(BookTitle,950)="","",INDEX(BookCategory,950))</f>
        <v/>
      </c>
      <c r="H955" s="40" t="str">
        <f aca="false">IF(INDEX(BookTitle,950)="","",INDEX(BookRank,950))</f>
        <v/>
      </c>
      <c r="I955" s="41" t="str">
        <f aca="false">IF(INDEX(BookTitle,950)="","",INDEX(BookTotal,950))</f>
        <v/>
      </c>
      <c r="J955" s="0" t="str">
        <f aca="false">IF($I955="","",IF(INDEX(BookQ1,950)&gt;0,"Q1",IF(INDEX(BookQ2,950)&gt;0,"Q2",IF(INDEX(BookQ3,950)&gt;0,"Q3",IF(INDEX(BookQ4,950)&gt;0,"Q4","")))))</f>
        <v/>
      </c>
      <c r="K955" s="42" t="str">
        <f aca="false">IF(INDEX(BookTitle,950)="","",INDEX(BookInYear,950))</f>
        <v/>
      </c>
      <c r="L955" s="19"/>
      <c r="M955" s="39"/>
      <c r="N955" s="19"/>
      <c r="O955" s="19"/>
      <c r="P955" s="43" t="str">
        <f aca="false">IF($E955="","",IF($L955="Decline",0,IF($L955="Approve fewer",IF($M955="","",$M955),IF($L955="","",$I955))))</f>
        <v/>
      </c>
      <c r="Q955" s="34" t="str">
        <f aca="false">IF($P955="","",IF($N955&lt;&gt;"",$N955,$J955))</f>
        <v/>
      </c>
      <c r="R955" s="35" t="str">
        <f aca="false">IF(OR($P955="",$Q955=""),"",INDEX(BookRate,950)*$P955*(5-MATCH($Q955,{"Q1";"Q2";"Q3";"Q4"},0))/4+INDEX(BookOneOff,950)*$P955)</f>
        <v/>
      </c>
      <c r="S955" s="35" t="str">
        <f aca="false">IF($P955="","",INDEX(BookRate,950)*$P955)</f>
        <v/>
      </c>
      <c r="T955" s="35" t="str">
        <f aca="false">IF($R955="","",$R955-$K955)</f>
        <v/>
      </c>
      <c r="U955" s="35" t="str">
        <f aca="false">IF(N($P955)&lt;=0,"",COUNTIF($P$6:$P955,"&gt;0"))</f>
        <v/>
      </c>
    </row>
    <row r="956" customFormat="false" ht="15" hidden="false" customHeight="false" outlineLevel="0" collapsed="false">
      <c r="A956" s="40" t="str">
        <f aca="false">IF(INDEX(BookTitle,951)="","",INDEX(BookGroup,951))</f>
        <v/>
      </c>
      <c r="B956" s="40" t="str">
        <f aca="false">IF(INDEX(BookTitle,951)="","",INDEX(BookRef,951))</f>
        <v/>
      </c>
      <c r="C956" s="40" t="str">
        <f aca="false">IF(INDEX(BookTitle,951)="","",INDEX(BookDivision,951))</f>
        <v/>
      </c>
      <c r="D956" s="40" t="str">
        <f aca="false">IF(INDEX(BookTitle,951)="","",INDEX(BookUnit,951))</f>
        <v/>
      </c>
      <c r="E956" s="40" t="str">
        <f aca="false">IF(INDEX(BookTitle,951)="","",INDEX(BookTitle,951))</f>
        <v/>
      </c>
      <c r="F956" s="40" t="str">
        <f aca="false">IF(INDEX(BookTitle,951)="","",INDEX(BookLevel,951))</f>
        <v/>
      </c>
      <c r="G956" s="40" t="str">
        <f aca="false">IF(INDEX(BookTitle,951)="","",INDEX(BookCategory,951))</f>
        <v/>
      </c>
      <c r="H956" s="40" t="str">
        <f aca="false">IF(INDEX(BookTitle,951)="","",INDEX(BookRank,951))</f>
        <v/>
      </c>
      <c r="I956" s="41" t="str">
        <f aca="false">IF(INDEX(BookTitle,951)="","",INDEX(BookTotal,951))</f>
        <v/>
      </c>
      <c r="J956" s="0" t="str">
        <f aca="false">IF($I956="","",IF(INDEX(BookQ1,951)&gt;0,"Q1",IF(INDEX(BookQ2,951)&gt;0,"Q2",IF(INDEX(BookQ3,951)&gt;0,"Q3",IF(INDEX(BookQ4,951)&gt;0,"Q4","")))))</f>
        <v/>
      </c>
      <c r="K956" s="42" t="str">
        <f aca="false">IF(INDEX(BookTitle,951)="","",INDEX(BookInYear,951))</f>
        <v/>
      </c>
      <c r="L956" s="19"/>
      <c r="M956" s="39"/>
      <c r="N956" s="19"/>
      <c r="O956" s="19"/>
      <c r="P956" s="43" t="str">
        <f aca="false">IF($E956="","",IF($L956="Decline",0,IF($L956="Approve fewer",IF($M956="","",$M956),IF($L956="","",$I956))))</f>
        <v/>
      </c>
      <c r="Q956" s="34" t="str">
        <f aca="false">IF($P956="","",IF($N956&lt;&gt;"",$N956,$J956))</f>
        <v/>
      </c>
      <c r="R956" s="35" t="str">
        <f aca="false">IF(OR($P956="",$Q956=""),"",INDEX(BookRate,951)*$P956*(5-MATCH($Q956,{"Q1";"Q2";"Q3";"Q4"},0))/4+INDEX(BookOneOff,951)*$P956)</f>
        <v/>
      </c>
      <c r="S956" s="35" t="str">
        <f aca="false">IF($P956="","",INDEX(BookRate,951)*$P956)</f>
        <v/>
      </c>
      <c r="T956" s="35" t="str">
        <f aca="false">IF($R956="","",$R956-$K956)</f>
        <v/>
      </c>
      <c r="U956" s="35" t="str">
        <f aca="false">IF(N($P956)&lt;=0,"",COUNTIF($P$6:$P956,"&gt;0"))</f>
        <v/>
      </c>
    </row>
    <row r="957" customFormat="false" ht="15" hidden="false" customHeight="false" outlineLevel="0" collapsed="false">
      <c r="A957" s="40" t="str">
        <f aca="false">IF(INDEX(BookTitle,952)="","",INDEX(BookGroup,952))</f>
        <v/>
      </c>
      <c r="B957" s="40" t="str">
        <f aca="false">IF(INDEX(BookTitle,952)="","",INDEX(BookRef,952))</f>
        <v/>
      </c>
      <c r="C957" s="40" t="str">
        <f aca="false">IF(INDEX(BookTitle,952)="","",INDEX(BookDivision,952))</f>
        <v/>
      </c>
      <c r="D957" s="40" t="str">
        <f aca="false">IF(INDEX(BookTitle,952)="","",INDEX(BookUnit,952))</f>
        <v/>
      </c>
      <c r="E957" s="40" t="str">
        <f aca="false">IF(INDEX(BookTitle,952)="","",INDEX(BookTitle,952))</f>
        <v/>
      </c>
      <c r="F957" s="40" t="str">
        <f aca="false">IF(INDEX(BookTitle,952)="","",INDEX(BookLevel,952))</f>
        <v/>
      </c>
      <c r="G957" s="40" t="str">
        <f aca="false">IF(INDEX(BookTitle,952)="","",INDEX(BookCategory,952))</f>
        <v/>
      </c>
      <c r="H957" s="40" t="str">
        <f aca="false">IF(INDEX(BookTitle,952)="","",INDEX(BookRank,952))</f>
        <v/>
      </c>
      <c r="I957" s="41" t="str">
        <f aca="false">IF(INDEX(BookTitle,952)="","",INDEX(BookTotal,952))</f>
        <v/>
      </c>
      <c r="J957" s="0" t="str">
        <f aca="false">IF($I957="","",IF(INDEX(BookQ1,952)&gt;0,"Q1",IF(INDEX(BookQ2,952)&gt;0,"Q2",IF(INDEX(BookQ3,952)&gt;0,"Q3",IF(INDEX(BookQ4,952)&gt;0,"Q4","")))))</f>
        <v/>
      </c>
      <c r="K957" s="42" t="str">
        <f aca="false">IF(INDEX(BookTitle,952)="","",INDEX(BookInYear,952))</f>
        <v/>
      </c>
      <c r="L957" s="19"/>
      <c r="M957" s="39"/>
      <c r="N957" s="19"/>
      <c r="O957" s="19"/>
      <c r="P957" s="43" t="str">
        <f aca="false">IF($E957="","",IF($L957="Decline",0,IF($L957="Approve fewer",IF($M957="","",$M957),IF($L957="","",$I957))))</f>
        <v/>
      </c>
      <c r="Q957" s="34" t="str">
        <f aca="false">IF($P957="","",IF($N957&lt;&gt;"",$N957,$J957))</f>
        <v/>
      </c>
      <c r="R957" s="35" t="str">
        <f aca="false">IF(OR($P957="",$Q957=""),"",INDEX(BookRate,952)*$P957*(5-MATCH($Q957,{"Q1";"Q2";"Q3";"Q4"},0))/4+INDEX(BookOneOff,952)*$P957)</f>
        <v/>
      </c>
      <c r="S957" s="35" t="str">
        <f aca="false">IF($P957="","",INDEX(BookRate,952)*$P957)</f>
        <v/>
      </c>
      <c r="T957" s="35" t="str">
        <f aca="false">IF($R957="","",$R957-$K957)</f>
        <v/>
      </c>
      <c r="U957" s="35" t="str">
        <f aca="false">IF(N($P957)&lt;=0,"",COUNTIF($P$6:$P957,"&gt;0"))</f>
        <v/>
      </c>
    </row>
    <row r="958" customFormat="false" ht="15" hidden="false" customHeight="false" outlineLevel="0" collapsed="false">
      <c r="A958" s="40" t="str">
        <f aca="false">IF(INDEX(BookTitle,953)="","",INDEX(BookGroup,953))</f>
        <v/>
      </c>
      <c r="B958" s="40" t="str">
        <f aca="false">IF(INDEX(BookTitle,953)="","",INDEX(BookRef,953))</f>
        <v/>
      </c>
      <c r="C958" s="40" t="str">
        <f aca="false">IF(INDEX(BookTitle,953)="","",INDEX(BookDivision,953))</f>
        <v/>
      </c>
      <c r="D958" s="40" t="str">
        <f aca="false">IF(INDEX(BookTitle,953)="","",INDEX(BookUnit,953))</f>
        <v/>
      </c>
      <c r="E958" s="40" t="str">
        <f aca="false">IF(INDEX(BookTitle,953)="","",INDEX(BookTitle,953))</f>
        <v/>
      </c>
      <c r="F958" s="40" t="str">
        <f aca="false">IF(INDEX(BookTitle,953)="","",INDEX(BookLevel,953))</f>
        <v/>
      </c>
      <c r="G958" s="40" t="str">
        <f aca="false">IF(INDEX(BookTitle,953)="","",INDEX(BookCategory,953))</f>
        <v/>
      </c>
      <c r="H958" s="40" t="str">
        <f aca="false">IF(INDEX(BookTitle,953)="","",INDEX(BookRank,953))</f>
        <v/>
      </c>
      <c r="I958" s="41" t="str">
        <f aca="false">IF(INDEX(BookTitle,953)="","",INDEX(BookTotal,953))</f>
        <v/>
      </c>
      <c r="J958" s="0" t="str">
        <f aca="false">IF($I958="","",IF(INDEX(BookQ1,953)&gt;0,"Q1",IF(INDEX(BookQ2,953)&gt;0,"Q2",IF(INDEX(BookQ3,953)&gt;0,"Q3",IF(INDEX(BookQ4,953)&gt;0,"Q4","")))))</f>
        <v/>
      </c>
      <c r="K958" s="42" t="str">
        <f aca="false">IF(INDEX(BookTitle,953)="","",INDEX(BookInYear,953))</f>
        <v/>
      </c>
      <c r="L958" s="19"/>
      <c r="M958" s="39"/>
      <c r="N958" s="19"/>
      <c r="O958" s="19"/>
      <c r="P958" s="43" t="str">
        <f aca="false">IF($E958="","",IF($L958="Decline",0,IF($L958="Approve fewer",IF($M958="","",$M958),IF($L958="","",$I958))))</f>
        <v/>
      </c>
      <c r="Q958" s="34" t="str">
        <f aca="false">IF($P958="","",IF($N958&lt;&gt;"",$N958,$J958))</f>
        <v/>
      </c>
      <c r="R958" s="35" t="str">
        <f aca="false">IF(OR($P958="",$Q958=""),"",INDEX(BookRate,953)*$P958*(5-MATCH($Q958,{"Q1";"Q2";"Q3";"Q4"},0))/4+INDEX(BookOneOff,953)*$P958)</f>
        <v/>
      </c>
      <c r="S958" s="35" t="str">
        <f aca="false">IF($P958="","",INDEX(BookRate,953)*$P958)</f>
        <v/>
      </c>
      <c r="T958" s="35" t="str">
        <f aca="false">IF($R958="","",$R958-$K958)</f>
        <v/>
      </c>
      <c r="U958" s="35" t="str">
        <f aca="false">IF(N($P958)&lt;=0,"",COUNTIF($P$6:$P958,"&gt;0"))</f>
        <v/>
      </c>
    </row>
    <row r="959" customFormat="false" ht="15" hidden="false" customHeight="false" outlineLevel="0" collapsed="false">
      <c r="A959" s="40" t="str">
        <f aca="false">IF(INDEX(BookTitle,954)="","",INDEX(BookGroup,954))</f>
        <v/>
      </c>
      <c r="B959" s="40" t="str">
        <f aca="false">IF(INDEX(BookTitle,954)="","",INDEX(BookRef,954))</f>
        <v/>
      </c>
      <c r="C959" s="40" t="str">
        <f aca="false">IF(INDEX(BookTitle,954)="","",INDEX(BookDivision,954))</f>
        <v/>
      </c>
      <c r="D959" s="40" t="str">
        <f aca="false">IF(INDEX(BookTitle,954)="","",INDEX(BookUnit,954))</f>
        <v/>
      </c>
      <c r="E959" s="40" t="str">
        <f aca="false">IF(INDEX(BookTitle,954)="","",INDEX(BookTitle,954))</f>
        <v/>
      </c>
      <c r="F959" s="40" t="str">
        <f aca="false">IF(INDEX(BookTitle,954)="","",INDEX(BookLevel,954))</f>
        <v/>
      </c>
      <c r="G959" s="40" t="str">
        <f aca="false">IF(INDEX(BookTitle,954)="","",INDEX(BookCategory,954))</f>
        <v/>
      </c>
      <c r="H959" s="40" t="str">
        <f aca="false">IF(INDEX(BookTitle,954)="","",INDEX(BookRank,954))</f>
        <v/>
      </c>
      <c r="I959" s="41" t="str">
        <f aca="false">IF(INDEX(BookTitle,954)="","",INDEX(BookTotal,954))</f>
        <v/>
      </c>
      <c r="J959" s="0" t="str">
        <f aca="false">IF($I959="","",IF(INDEX(BookQ1,954)&gt;0,"Q1",IF(INDEX(BookQ2,954)&gt;0,"Q2",IF(INDEX(BookQ3,954)&gt;0,"Q3",IF(INDEX(BookQ4,954)&gt;0,"Q4","")))))</f>
        <v/>
      </c>
      <c r="K959" s="42" t="str">
        <f aca="false">IF(INDEX(BookTitle,954)="","",INDEX(BookInYear,954))</f>
        <v/>
      </c>
      <c r="L959" s="19"/>
      <c r="M959" s="39"/>
      <c r="N959" s="19"/>
      <c r="O959" s="19"/>
      <c r="P959" s="43" t="str">
        <f aca="false">IF($E959="","",IF($L959="Decline",0,IF($L959="Approve fewer",IF($M959="","",$M959),IF($L959="","",$I959))))</f>
        <v/>
      </c>
      <c r="Q959" s="34" t="str">
        <f aca="false">IF($P959="","",IF($N959&lt;&gt;"",$N959,$J959))</f>
        <v/>
      </c>
      <c r="R959" s="35" t="str">
        <f aca="false">IF(OR($P959="",$Q959=""),"",INDEX(BookRate,954)*$P959*(5-MATCH($Q959,{"Q1";"Q2";"Q3";"Q4"},0))/4+INDEX(BookOneOff,954)*$P959)</f>
        <v/>
      </c>
      <c r="S959" s="35" t="str">
        <f aca="false">IF($P959="","",INDEX(BookRate,954)*$P959)</f>
        <v/>
      </c>
      <c r="T959" s="35" t="str">
        <f aca="false">IF($R959="","",$R959-$K959)</f>
        <v/>
      </c>
      <c r="U959" s="35" t="str">
        <f aca="false">IF(N($P959)&lt;=0,"",COUNTIF($P$6:$P959,"&gt;0"))</f>
        <v/>
      </c>
    </row>
    <row r="960" customFormat="false" ht="15" hidden="false" customHeight="false" outlineLevel="0" collapsed="false">
      <c r="A960" s="40" t="str">
        <f aca="false">IF(INDEX(BookTitle,955)="","",INDEX(BookGroup,955))</f>
        <v/>
      </c>
      <c r="B960" s="40" t="str">
        <f aca="false">IF(INDEX(BookTitle,955)="","",INDEX(BookRef,955))</f>
        <v/>
      </c>
      <c r="C960" s="40" t="str">
        <f aca="false">IF(INDEX(BookTitle,955)="","",INDEX(BookDivision,955))</f>
        <v/>
      </c>
      <c r="D960" s="40" t="str">
        <f aca="false">IF(INDEX(BookTitle,955)="","",INDEX(BookUnit,955))</f>
        <v/>
      </c>
      <c r="E960" s="40" t="str">
        <f aca="false">IF(INDEX(BookTitle,955)="","",INDEX(BookTitle,955))</f>
        <v/>
      </c>
      <c r="F960" s="40" t="str">
        <f aca="false">IF(INDEX(BookTitle,955)="","",INDEX(BookLevel,955))</f>
        <v/>
      </c>
      <c r="G960" s="40" t="str">
        <f aca="false">IF(INDEX(BookTitle,955)="","",INDEX(BookCategory,955))</f>
        <v/>
      </c>
      <c r="H960" s="40" t="str">
        <f aca="false">IF(INDEX(BookTitle,955)="","",INDEX(BookRank,955))</f>
        <v/>
      </c>
      <c r="I960" s="41" t="str">
        <f aca="false">IF(INDEX(BookTitle,955)="","",INDEX(BookTotal,955))</f>
        <v/>
      </c>
      <c r="J960" s="0" t="str">
        <f aca="false">IF($I960="","",IF(INDEX(BookQ1,955)&gt;0,"Q1",IF(INDEX(BookQ2,955)&gt;0,"Q2",IF(INDEX(BookQ3,955)&gt;0,"Q3",IF(INDEX(BookQ4,955)&gt;0,"Q4","")))))</f>
        <v/>
      </c>
      <c r="K960" s="42" t="str">
        <f aca="false">IF(INDEX(BookTitle,955)="","",INDEX(BookInYear,955))</f>
        <v/>
      </c>
      <c r="L960" s="19"/>
      <c r="M960" s="39"/>
      <c r="N960" s="19"/>
      <c r="O960" s="19"/>
      <c r="P960" s="43" t="str">
        <f aca="false">IF($E960="","",IF($L960="Decline",0,IF($L960="Approve fewer",IF($M960="","",$M960),IF($L960="","",$I960))))</f>
        <v/>
      </c>
      <c r="Q960" s="34" t="str">
        <f aca="false">IF($P960="","",IF($N960&lt;&gt;"",$N960,$J960))</f>
        <v/>
      </c>
      <c r="R960" s="35" t="str">
        <f aca="false">IF(OR($P960="",$Q960=""),"",INDEX(BookRate,955)*$P960*(5-MATCH($Q960,{"Q1";"Q2";"Q3";"Q4"},0))/4+INDEX(BookOneOff,955)*$P960)</f>
        <v/>
      </c>
      <c r="S960" s="35" t="str">
        <f aca="false">IF($P960="","",INDEX(BookRate,955)*$P960)</f>
        <v/>
      </c>
      <c r="T960" s="35" t="str">
        <f aca="false">IF($R960="","",$R960-$K960)</f>
        <v/>
      </c>
      <c r="U960" s="35" t="str">
        <f aca="false">IF(N($P960)&lt;=0,"",COUNTIF($P$6:$P960,"&gt;0"))</f>
        <v/>
      </c>
    </row>
    <row r="961" customFormat="false" ht="15" hidden="false" customHeight="false" outlineLevel="0" collapsed="false">
      <c r="A961" s="40" t="str">
        <f aca="false">IF(INDEX(BookTitle,956)="","",INDEX(BookGroup,956))</f>
        <v/>
      </c>
      <c r="B961" s="40" t="str">
        <f aca="false">IF(INDEX(BookTitle,956)="","",INDEX(BookRef,956))</f>
        <v/>
      </c>
      <c r="C961" s="40" t="str">
        <f aca="false">IF(INDEX(BookTitle,956)="","",INDEX(BookDivision,956))</f>
        <v/>
      </c>
      <c r="D961" s="40" t="str">
        <f aca="false">IF(INDEX(BookTitle,956)="","",INDEX(BookUnit,956))</f>
        <v/>
      </c>
      <c r="E961" s="40" t="str">
        <f aca="false">IF(INDEX(BookTitle,956)="","",INDEX(BookTitle,956))</f>
        <v/>
      </c>
      <c r="F961" s="40" t="str">
        <f aca="false">IF(INDEX(BookTitle,956)="","",INDEX(BookLevel,956))</f>
        <v/>
      </c>
      <c r="G961" s="40" t="str">
        <f aca="false">IF(INDEX(BookTitle,956)="","",INDEX(BookCategory,956))</f>
        <v/>
      </c>
      <c r="H961" s="40" t="str">
        <f aca="false">IF(INDEX(BookTitle,956)="","",INDEX(BookRank,956))</f>
        <v/>
      </c>
      <c r="I961" s="41" t="str">
        <f aca="false">IF(INDEX(BookTitle,956)="","",INDEX(BookTotal,956))</f>
        <v/>
      </c>
      <c r="J961" s="0" t="str">
        <f aca="false">IF($I961="","",IF(INDEX(BookQ1,956)&gt;0,"Q1",IF(INDEX(BookQ2,956)&gt;0,"Q2",IF(INDEX(BookQ3,956)&gt;0,"Q3",IF(INDEX(BookQ4,956)&gt;0,"Q4","")))))</f>
        <v/>
      </c>
      <c r="K961" s="42" t="str">
        <f aca="false">IF(INDEX(BookTitle,956)="","",INDEX(BookInYear,956))</f>
        <v/>
      </c>
      <c r="L961" s="19"/>
      <c r="M961" s="39"/>
      <c r="N961" s="19"/>
      <c r="O961" s="19"/>
      <c r="P961" s="43" t="str">
        <f aca="false">IF($E961="","",IF($L961="Decline",0,IF($L961="Approve fewer",IF($M961="","",$M961),IF($L961="","",$I961))))</f>
        <v/>
      </c>
      <c r="Q961" s="34" t="str">
        <f aca="false">IF($P961="","",IF($N961&lt;&gt;"",$N961,$J961))</f>
        <v/>
      </c>
      <c r="R961" s="35" t="str">
        <f aca="false">IF(OR($P961="",$Q961=""),"",INDEX(BookRate,956)*$P961*(5-MATCH($Q961,{"Q1";"Q2";"Q3";"Q4"},0))/4+INDEX(BookOneOff,956)*$P961)</f>
        <v/>
      </c>
      <c r="S961" s="35" t="str">
        <f aca="false">IF($P961="","",INDEX(BookRate,956)*$P961)</f>
        <v/>
      </c>
      <c r="T961" s="35" t="str">
        <f aca="false">IF($R961="","",$R961-$K961)</f>
        <v/>
      </c>
      <c r="U961" s="35" t="str">
        <f aca="false">IF(N($P961)&lt;=0,"",COUNTIF($P$6:$P961,"&gt;0"))</f>
        <v/>
      </c>
    </row>
    <row r="962" customFormat="false" ht="15" hidden="false" customHeight="false" outlineLevel="0" collapsed="false">
      <c r="A962" s="40" t="str">
        <f aca="false">IF(INDEX(BookTitle,957)="","",INDEX(BookGroup,957))</f>
        <v/>
      </c>
      <c r="B962" s="40" t="str">
        <f aca="false">IF(INDEX(BookTitle,957)="","",INDEX(BookRef,957))</f>
        <v/>
      </c>
      <c r="C962" s="40" t="str">
        <f aca="false">IF(INDEX(BookTitle,957)="","",INDEX(BookDivision,957))</f>
        <v/>
      </c>
      <c r="D962" s="40" t="str">
        <f aca="false">IF(INDEX(BookTitle,957)="","",INDEX(BookUnit,957))</f>
        <v/>
      </c>
      <c r="E962" s="40" t="str">
        <f aca="false">IF(INDEX(BookTitle,957)="","",INDEX(BookTitle,957))</f>
        <v/>
      </c>
      <c r="F962" s="40" t="str">
        <f aca="false">IF(INDEX(BookTitle,957)="","",INDEX(BookLevel,957))</f>
        <v/>
      </c>
      <c r="G962" s="40" t="str">
        <f aca="false">IF(INDEX(BookTitle,957)="","",INDEX(BookCategory,957))</f>
        <v/>
      </c>
      <c r="H962" s="40" t="str">
        <f aca="false">IF(INDEX(BookTitle,957)="","",INDEX(BookRank,957))</f>
        <v/>
      </c>
      <c r="I962" s="41" t="str">
        <f aca="false">IF(INDEX(BookTitle,957)="","",INDEX(BookTotal,957))</f>
        <v/>
      </c>
      <c r="J962" s="0" t="str">
        <f aca="false">IF($I962="","",IF(INDEX(BookQ1,957)&gt;0,"Q1",IF(INDEX(BookQ2,957)&gt;0,"Q2",IF(INDEX(BookQ3,957)&gt;0,"Q3",IF(INDEX(BookQ4,957)&gt;0,"Q4","")))))</f>
        <v/>
      </c>
      <c r="K962" s="42" t="str">
        <f aca="false">IF(INDEX(BookTitle,957)="","",INDEX(BookInYear,957))</f>
        <v/>
      </c>
      <c r="L962" s="19"/>
      <c r="M962" s="39"/>
      <c r="N962" s="19"/>
      <c r="O962" s="19"/>
      <c r="P962" s="43" t="str">
        <f aca="false">IF($E962="","",IF($L962="Decline",0,IF($L962="Approve fewer",IF($M962="","",$M962),IF($L962="","",$I962))))</f>
        <v/>
      </c>
      <c r="Q962" s="34" t="str">
        <f aca="false">IF($P962="","",IF($N962&lt;&gt;"",$N962,$J962))</f>
        <v/>
      </c>
      <c r="R962" s="35" t="str">
        <f aca="false">IF(OR($P962="",$Q962=""),"",INDEX(BookRate,957)*$P962*(5-MATCH($Q962,{"Q1";"Q2";"Q3";"Q4"},0))/4+INDEX(BookOneOff,957)*$P962)</f>
        <v/>
      </c>
      <c r="S962" s="35" t="str">
        <f aca="false">IF($P962="","",INDEX(BookRate,957)*$P962)</f>
        <v/>
      </c>
      <c r="T962" s="35" t="str">
        <f aca="false">IF($R962="","",$R962-$K962)</f>
        <v/>
      </c>
      <c r="U962" s="35" t="str">
        <f aca="false">IF(N($P962)&lt;=0,"",COUNTIF($P$6:$P962,"&gt;0"))</f>
        <v/>
      </c>
    </row>
    <row r="963" customFormat="false" ht="15" hidden="false" customHeight="false" outlineLevel="0" collapsed="false">
      <c r="A963" s="40" t="str">
        <f aca="false">IF(INDEX(BookTitle,958)="","",INDEX(BookGroup,958))</f>
        <v/>
      </c>
      <c r="B963" s="40" t="str">
        <f aca="false">IF(INDEX(BookTitle,958)="","",INDEX(BookRef,958))</f>
        <v/>
      </c>
      <c r="C963" s="40" t="str">
        <f aca="false">IF(INDEX(BookTitle,958)="","",INDEX(BookDivision,958))</f>
        <v/>
      </c>
      <c r="D963" s="40" t="str">
        <f aca="false">IF(INDEX(BookTitle,958)="","",INDEX(BookUnit,958))</f>
        <v/>
      </c>
      <c r="E963" s="40" t="str">
        <f aca="false">IF(INDEX(BookTitle,958)="","",INDEX(BookTitle,958))</f>
        <v/>
      </c>
      <c r="F963" s="40" t="str">
        <f aca="false">IF(INDEX(BookTitle,958)="","",INDEX(BookLevel,958))</f>
        <v/>
      </c>
      <c r="G963" s="40" t="str">
        <f aca="false">IF(INDEX(BookTitle,958)="","",INDEX(BookCategory,958))</f>
        <v/>
      </c>
      <c r="H963" s="40" t="str">
        <f aca="false">IF(INDEX(BookTitle,958)="","",INDEX(BookRank,958))</f>
        <v/>
      </c>
      <c r="I963" s="41" t="str">
        <f aca="false">IF(INDEX(BookTitle,958)="","",INDEX(BookTotal,958))</f>
        <v/>
      </c>
      <c r="J963" s="0" t="str">
        <f aca="false">IF($I963="","",IF(INDEX(BookQ1,958)&gt;0,"Q1",IF(INDEX(BookQ2,958)&gt;0,"Q2",IF(INDEX(BookQ3,958)&gt;0,"Q3",IF(INDEX(BookQ4,958)&gt;0,"Q4","")))))</f>
        <v/>
      </c>
      <c r="K963" s="42" t="str">
        <f aca="false">IF(INDEX(BookTitle,958)="","",INDEX(BookInYear,958))</f>
        <v/>
      </c>
      <c r="L963" s="19"/>
      <c r="M963" s="39"/>
      <c r="N963" s="19"/>
      <c r="O963" s="19"/>
      <c r="P963" s="43" t="str">
        <f aca="false">IF($E963="","",IF($L963="Decline",0,IF($L963="Approve fewer",IF($M963="","",$M963),IF($L963="","",$I963))))</f>
        <v/>
      </c>
      <c r="Q963" s="34" t="str">
        <f aca="false">IF($P963="","",IF($N963&lt;&gt;"",$N963,$J963))</f>
        <v/>
      </c>
      <c r="R963" s="35" t="str">
        <f aca="false">IF(OR($P963="",$Q963=""),"",INDEX(BookRate,958)*$P963*(5-MATCH($Q963,{"Q1";"Q2";"Q3";"Q4"},0))/4+INDEX(BookOneOff,958)*$P963)</f>
        <v/>
      </c>
      <c r="S963" s="35" t="str">
        <f aca="false">IF($P963="","",INDEX(BookRate,958)*$P963)</f>
        <v/>
      </c>
      <c r="T963" s="35" t="str">
        <f aca="false">IF($R963="","",$R963-$K963)</f>
        <v/>
      </c>
      <c r="U963" s="35" t="str">
        <f aca="false">IF(N($P963)&lt;=0,"",COUNTIF($P$6:$P963,"&gt;0"))</f>
        <v/>
      </c>
    </row>
    <row r="964" customFormat="false" ht="15" hidden="false" customHeight="false" outlineLevel="0" collapsed="false">
      <c r="A964" s="40" t="str">
        <f aca="false">IF(INDEX(BookTitle,959)="","",INDEX(BookGroup,959))</f>
        <v/>
      </c>
      <c r="B964" s="40" t="str">
        <f aca="false">IF(INDEX(BookTitle,959)="","",INDEX(BookRef,959))</f>
        <v/>
      </c>
      <c r="C964" s="40" t="str">
        <f aca="false">IF(INDEX(BookTitle,959)="","",INDEX(BookDivision,959))</f>
        <v/>
      </c>
      <c r="D964" s="40" t="str">
        <f aca="false">IF(INDEX(BookTitle,959)="","",INDEX(BookUnit,959))</f>
        <v/>
      </c>
      <c r="E964" s="40" t="str">
        <f aca="false">IF(INDEX(BookTitle,959)="","",INDEX(BookTitle,959))</f>
        <v/>
      </c>
      <c r="F964" s="40" t="str">
        <f aca="false">IF(INDEX(BookTitle,959)="","",INDEX(BookLevel,959))</f>
        <v/>
      </c>
      <c r="G964" s="40" t="str">
        <f aca="false">IF(INDEX(BookTitle,959)="","",INDEX(BookCategory,959))</f>
        <v/>
      </c>
      <c r="H964" s="40" t="str">
        <f aca="false">IF(INDEX(BookTitle,959)="","",INDEX(BookRank,959))</f>
        <v/>
      </c>
      <c r="I964" s="41" t="str">
        <f aca="false">IF(INDEX(BookTitle,959)="","",INDEX(BookTotal,959))</f>
        <v/>
      </c>
      <c r="J964" s="0" t="str">
        <f aca="false">IF($I964="","",IF(INDEX(BookQ1,959)&gt;0,"Q1",IF(INDEX(BookQ2,959)&gt;0,"Q2",IF(INDEX(BookQ3,959)&gt;0,"Q3",IF(INDEX(BookQ4,959)&gt;0,"Q4","")))))</f>
        <v/>
      </c>
      <c r="K964" s="42" t="str">
        <f aca="false">IF(INDEX(BookTitle,959)="","",INDEX(BookInYear,959))</f>
        <v/>
      </c>
      <c r="L964" s="19"/>
      <c r="M964" s="39"/>
      <c r="N964" s="19"/>
      <c r="O964" s="19"/>
      <c r="P964" s="43" t="str">
        <f aca="false">IF($E964="","",IF($L964="Decline",0,IF($L964="Approve fewer",IF($M964="","",$M964),IF($L964="","",$I964))))</f>
        <v/>
      </c>
      <c r="Q964" s="34" t="str">
        <f aca="false">IF($P964="","",IF($N964&lt;&gt;"",$N964,$J964))</f>
        <v/>
      </c>
      <c r="R964" s="35" t="str">
        <f aca="false">IF(OR($P964="",$Q964=""),"",INDEX(BookRate,959)*$P964*(5-MATCH($Q964,{"Q1";"Q2";"Q3";"Q4"},0))/4+INDEX(BookOneOff,959)*$P964)</f>
        <v/>
      </c>
      <c r="S964" s="35" t="str">
        <f aca="false">IF($P964="","",INDEX(BookRate,959)*$P964)</f>
        <v/>
      </c>
      <c r="T964" s="35" t="str">
        <f aca="false">IF($R964="","",$R964-$K964)</f>
        <v/>
      </c>
      <c r="U964" s="35" t="str">
        <f aca="false">IF(N($P964)&lt;=0,"",COUNTIF($P$6:$P964,"&gt;0"))</f>
        <v/>
      </c>
    </row>
    <row r="965" customFormat="false" ht="15" hidden="false" customHeight="false" outlineLevel="0" collapsed="false">
      <c r="A965" s="40" t="str">
        <f aca="false">IF(INDEX(BookTitle,960)="","",INDEX(BookGroup,960))</f>
        <v/>
      </c>
      <c r="B965" s="40" t="str">
        <f aca="false">IF(INDEX(BookTitle,960)="","",INDEX(BookRef,960))</f>
        <v/>
      </c>
      <c r="C965" s="40" t="str">
        <f aca="false">IF(INDEX(BookTitle,960)="","",INDEX(BookDivision,960))</f>
        <v/>
      </c>
      <c r="D965" s="40" t="str">
        <f aca="false">IF(INDEX(BookTitle,960)="","",INDEX(BookUnit,960))</f>
        <v/>
      </c>
      <c r="E965" s="40" t="str">
        <f aca="false">IF(INDEX(BookTitle,960)="","",INDEX(BookTitle,960))</f>
        <v/>
      </c>
      <c r="F965" s="40" t="str">
        <f aca="false">IF(INDEX(BookTitle,960)="","",INDEX(BookLevel,960))</f>
        <v/>
      </c>
      <c r="G965" s="40" t="str">
        <f aca="false">IF(INDEX(BookTitle,960)="","",INDEX(BookCategory,960))</f>
        <v/>
      </c>
      <c r="H965" s="40" t="str">
        <f aca="false">IF(INDEX(BookTitle,960)="","",INDEX(BookRank,960))</f>
        <v/>
      </c>
      <c r="I965" s="41" t="str">
        <f aca="false">IF(INDEX(BookTitle,960)="","",INDEX(BookTotal,960))</f>
        <v/>
      </c>
      <c r="J965" s="0" t="str">
        <f aca="false">IF($I965="","",IF(INDEX(BookQ1,960)&gt;0,"Q1",IF(INDEX(BookQ2,960)&gt;0,"Q2",IF(INDEX(BookQ3,960)&gt;0,"Q3",IF(INDEX(BookQ4,960)&gt;0,"Q4","")))))</f>
        <v/>
      </c>
      <c r="K965" s="42" t="str">
        <f aca="false">IF(INDEX(BookTitle,960)="","",INDEX(BookInYear,960))</f>
        <v/>
      </c>
      <c r="L965" s="19"/>
      <c r="M965" s="39"/>
      <c r="N965" s="19"/>
      <c r="O965" s="19"/>
      <c r="P965" s="43" t="str">
        <f aca="false">IF($E965="","",IF($L965="Decline",0,IF($L965="Approve fewer",IF($M965="","",$M965),IF($L965="","",$I965))))</f>
        <v/>
      </c>
      <c r="Q965" s="34" t="str">
        <f aca="false">IF($P965="","",IF($N965&lt;&gt;"",$N965,$J965))</f>
        <v/>
      </c>
      <c r="R965" s="35" t="str">
        <f aca="false">IF(OR($P965="",$Q965=""),"",INDEX(BookRate,960)*$P965*(5-MATCH($Q965,{"Q1";"Q2";"Q3";"Q4"},0))/4+INDEX(BookOneOff,960)*$P965)</f>
        <v/>
      </c>
      <c r="S965" s="35" t="str">
        <f aca="false">IF($P965="","",INDEX(BookRate,960)*$P965)</f>
        <v/>
      </c>
      <c r="T965" s="35" t="str">
        <f aca="false">IF($R965="","",$R965-$K965)</f>
        <v/>
      </c>
      <c r="U965" s="35" t="str">
        <f aca="false">IF(N($P965)&lt;=0,"",COUNTIF($P$6:$P965,"&gt;0"))</f>
        <v/>
      </c>
    </row>
    <row r="966" customFormat="false" ht="15" hidden="false" customHeight="false" outlineLevel="0" collapsed="false">
      <c r="A966" s="40" t="str">
        <f aca="false">IF(INDEX(BookTitle,961)="","",INDEX(BookGroup,961))</f>
        <v/>
      </c>
      <c r="B966" s="40" t="str">
        <f aca="false">IF(INDEX(BookTitle,961)="","",INDEX(BookRef,961))</f>
        <v/>
      </c>
      <c r="C966" s="40" t="str">
        <f aca="false">IF(INDEX(BookTitle,961)="","",INDEX(BookDivision,961))</f>
        <v/>
      </c>
      <c r="D966" s="40" t="str">
        <f aca="false">IF(INDEX(BookTitle,961)="","",INDEX(BookUnit,961))</f>
        <v/>
      </c>
      <c r="E966" s="40" t="str">
        <f aca="false">IF(INDEX(BookTitle,961)="","",INDEX(BookTitle,961))</f>
        <v/>
      </c>
      <c r="F966" s="40" t="str">
        <f aca="false">IF(INDEX(BookTitle,961)="","",INDEX(BookLevel,961))</f>
        <v/>
      </c>
      <c r="G966" s="40" t="str">
        <f aca="false">IF(INDEX(BookTitle,961)="","",INDEX(BookCategory,961))</f>
        <v/>
      </c>
      <c r="H966" s="40" t="str">
        <f aca="false">IF(INDEX(BookTitle,961)="","",INDEX(BookRank,961))</f>
        <v/>
      </c>
      <c r="I966" s="41" t="str">
        <f aca="false">IF(INDEX(BookTitle,961)="","",INDEX(BookTotal,961))</f>
        <v/>
      </c>
      <c r="J966" s="0" t="str">
        <f aca="false">IF($I966="","",IF(INDEX(BookQ1,961)&gt;0,"Q1",IF(INDEX(BookQ2,961)&gt;0,"Q2",IF(INDEX(BookQ3,961)&gt;0,"Q3",IF(INDEX(BookQ4,961)&gt;0,"Q4","")))))</f>
        <v/>
      </c>
      <c r="K966" s="42" t="str">
        <f aca="false">IF(INDEX(BookTitle,961)="","",INDEX(BookInYear,961))</f>
        <v/>
      </c>
      <c r="L966" s="19"/>
      <c r="M966" s="39"/>
      <c r="N966" s="19"/>
      <c r="O966" s="19"/>
      <c r="P966" s="43" t="str">
        <f aca="false">IF($E966="","",IF($L966="Decline",0,IF($L966="Approve fewer",IF($M966="","",$M966),IF($L966="","",$I966))))</f>
        <v/>
      </c>
      <c r="Q966" s="34" t="str">
        <f aca="false">IF($P966="","",IF($N966&lt;&gt;"",$N966,$J966))</f>
        <v/>
      </c>
      <c r="R966" s="35" t="str">
        <f aca="false">IF(OR($P966="",$Q966=""),"",INDEX(BookRate,961)*$P966*(5-MATCH($Q966,{"Q1";"Q2";"Q3";"Q4"},0))/4+INDEX(BookOneOff,961)*$P966)</f>
        <v/>
      </c>
      <c r="S966" s="35" t="str">
        <f aca="false">IF($P966="","",INDEX(BookRate,961)*$P966)</f>
        <v/>
      </c>
      <c r="T966" s="35" t="str">
        <f aca="false">IF($R966="","",$R966-$K966)</f>
        <v/>
      </c>
      <c r="U966" s="35" t="str">
        <f aca="false">IF(N($P966)&lt;=0,"",COUNTIF($P$6:$P966,"&gt;0"))</f>
        <v/>
      </c>
    </row>
    <row r="967" customFormat="false" ht="15" hidden="false" customHeight="false" outlineLevel="0" collapsed="false">
      <c r="A967" s="40" t="str">
        <f aca="false">IF(INDEX(BookTitle,962)="","",INDEX(BookGroup,962))</f>
        <v/>
      </c>
      <c r="B967" s="40" t="str">
        <f aca="false">IF(INDEX(BookTitle,962)="","",INDEX(BookRef,962))</f>
        <v/>
      </c>
      <c r="C967" s="40" t="str">
        <f aca="false">IF(INDEX(BookTitle,962)="","",INDEX(BookDivision,962))</f>
        <v/>
      </c>
      <c r="D967" s="40" t="str">
        <f aca="false">IF(INDEX(BookTitle,962)="","",INDEX(BookUnit,962))</f>
        <v/>
      </c>
      <c r="E967" s="40" t="str">
        <f aca="false">IF(INDEX(BookTitle,962)="","",INDEX(BookTitle,962))</f>
        <v/>
      </c>
      <c r="F967" s="40" t="str">
        <f aca="false">IF(INDEX(BookTitle,962)="","",INDEX(BookLevel,962))</f>
        <v/>
      </c>
      <c r="G967" s="40" t="str">
        <f aca="false">IF(INDEX(BookTitle,962)="","",INDEX(BookCategory,962))</f>
        <v/>
      </c>
      <c r="H967" s="40" t="str">
        <f aca="false">IF(INDEX(BookTitle,962)="","",INDEX(BookRank,962))</f>
        <v/>
      </c>
      <c r="I967" s="41" t="str">
        <f aca="false">IF(INDEX(BookTitle,962)="","",INDEX(BookTotal,962))</f>
        <v/>
      </c>
      <c r="J967" s="0" t="str">
        <f aca="false">IF($I967="","",IF(INDEX(BookQ1,962)&gt;0,"Q1",IF(INDEX(BookQ2,962)&gt;0,"Q2",IF(INDEX(BookQ3,962)&gt;0,"Q3",IF(INDEX(BookQ4,962)&gt;0,"Q4","")))))</f>
        <v/>
      </c>
      <c r="K967" s="42" t="str">
        <f aca="false">IF(INDEX(BookTitle,962)="","",INDEX(BookInYear,962))</f>
        <v/>
      </c>
      <c r="L967" s="19"/>
      <c r="M967" s="39"/>
      <c r="N967" s="19"/>
      <c r="O967" s="19"/>
      <c r="P967" s="43" t="str">
        <f aca="false">IF($E967="","",IF($L967="Decline",0,IF($L967="Approve fewer",IF($M967="","",$M967),IF($L967="","",$I967))))</f>
        <v/>
      </c>
      <c r="Q967" s="34" t="str">
        <f aca="false">IF($P967="","",IF($N967&lt;&gt;"",$N967,$J967))</f>
        <v/>
      </c>
      <c r="R967" s="35" t="str">
        <f aca="false">IF(OR($P967="",$Q967=""),"",INDEX(BookRate,962)*$P967*(5-MATCH($Q967,{"Q1";"Q2";"Q3";"Q4"},0))/4+INDEX(BookOneOff,962)*$P967)</f>
        <v/>
      </c>
      <c r="S967" s="35" t="str">
        <f aca="false">IF($P967="","",INDEX(BookRate,962)*$P967)</f>
        <v/>
      </c>
      <c r="T967" s="35" t="str">
        <f aca="false">IF($R967="","",$R967-$K967)</f>
        <v/>
      </c>
      <c r="U967" s="35" t="str">
        <f aca="false">IF(N($P967)&lt;=0,"",COUNTIF($P$6:$P967,"&gt;0"))</f>
        <v/>
      </c>
    </row>
    <row r="968" customFormat="false" ht="15" hidden="false" customHeight="false" outlineLevel="0" collapsed="false">
      <c r="A968" s="40" t="str">
        <f aca="false">IF(INDEX(BookTitle,963)="","",INDEX(BookGroup,963))</f>
        <v/>
      </c>
      <c r="B968" s="40" t="str">
        <f aca="false">IF(INDEX(BookTitle,963)="","",INDEX(BookRef,963))</f>
        <v/>
      </c>
      <c r="C968" s="40" t="str">
        <f aca="false">IF(INDEX(BookTitle,963)="","",INDEX(BookDivision,963))</f>
        <v/>
      </c>
      <c r="D968" s="40" t="str">
        <f aca="false">IF(INDEX(BookTitle,963)="","",INDEX(BookUnit,963))</f>
        <v/>
      </c>
      <c r="E968" s="40" t="str">
        <f aca="false">IF(INDEX(BookTitle,963)="","",INDEX(BookTitle,963))</f>
        <v/>
      </c>
      <c r="F968" s="40" t="str">
        <f aca="false">IF(INDEX(BookTitle,963)="","",INDEX(BookLevel,963))</f>
        <v/>
      </c>
      <c r="G968" s="40" t="str">
        <f aca="false">IF(INDEX(BookTitle,963)="","",INDEX(BookCategory,963))</f>
        <v/>
      </c>
      <c r="H968" s="40" t="str">
        <f aca="false">IF(INDEX(BookTitle,963)="","",INDEX(BookRank,963))</f>
        <v/>
      </c>
      <c r="I968" s="41" t="str">
        <f aca="false">IF(INDEX(BookTitle,963)="","",INDEX(BookTotal,963))</f>
        <v/>
      </c>
      <c r="J968" s="0" t="str">
        <f aca="false">IF($I968="","",IF(INDEX(BookQ1,963)&gt;0,"Q1",IF(INDEX(BookQ2,963)&gt;0,"Q2",IF(INDEX(BookQ3,963)&gt;0,"Q3",IF(INDEX(BookQ4,963)&gt;0,"Q4","")))))</f>
        <v/>
      </c>
      <c r="K968" s="42" t="str">
        <f aca="false">IF(INDEX(BookTitle,963)="","",INDEX(BookInYear,963))</f>
        <v/>
      </c>
      <c r="L968" s="19"/>
      <c r="M968" s="39"/>
      <c r="N968" s="19"/>
      <c r="O968" s="19"/>
      <c r="P968" s="43" t="str">
        <f aca="false">IF($E968="","",IF($L968="Decline",0,IF($L968="Approve fewer",IF($M968="","",$M968),IF($L968="","",$I968))))</f>
        <v/>
      </c>
      <c r="Q968" s="34" t="str">
        <f aca="false">IF($P968="","",IF($N968&lt;&gt;"",$N968,$J968))</f>
        <v/>
      </c>
      <c r="R968" s="35" t="str">
        <f aca="false">IF(OR($P968="",$Q968=""),"",INDEX(BookRate,963)*$P968*(5-MATCH($Q968,{"Q1";"Q2";"Q3";"Q4"},0))/4+INDEX(BookOneOff,963)*$P968)</f>
        <v/>
      </c>
      <c r="S968" s="35" t="str">
        <f aca="false">IF($P968="","",INDEX(BookRate,963)*$P968)</f>
        <v/>
      </c>
      <c r="T968" s="35" t="str">
        <f aca="false">IF($R968="","",$R968-$K968)</f>
        <v/>
      </c>
      <c r="U968" s="35" t="str">
        <f aca="false">IF(N($P968)&lt;=0,"",COUNTIF($P$6:$P968,"&gt;0"))</f>
        <v/>
      </c>
    </row>
    <row r="969" customFormat="false" ht="15" hidden="false" customHeight="false" outlineLevel="0" collapsed="false">
      <c r="A969" s="40" t="str">
        <f aca="false">IF(INDEX(BookTitle,964)="","",INDEX(BookGroup,964))</f>
        <v/>
      </c>
      <c r="B969" s="40" t="str">
        <f aca="false">IF(INDEX(BookTitle,964)="","",INDEX(BookRef,964))</f>
        <v/>
      </c>
      <c r="C969" s="40" t="str">
        <f aca="false">IF(INDEX(BookTitle,964)="","",INDEX(BookDivision,964))</f>
        <v/>
      </c>
      <c r="D969" s="40" t="str">
        <f aca="false">IF(INDEX(BookTitle,964)="","",INDEX(BookUnit,964))</f>
        <v/>
      </c>
      <c r="E969" s="40" t="str">
        <f aca="false">IF(INDEX(BookTitle,964)="","",INDEX(BookTitle,964))</f>
        <v/>
      </c>
      <c r="F969" s="40" t="str">
        <f aca="false">IF(INDEX(BookTitle,964)="","",INDEX(BookLevel,964))</f>
        <v/>
      </c>
      <c r="G969" s="40" t="str">
        <f aca="false">IF(INDEX(BookTitle,964)="","",INDEX(BookCategory,964))</f>
        <v/>
      </c>
      <c r="H969" s="40" t="str">
        <f aca="false">IF(INDEX(BookTitle,964)="","",INDEX(BookRank,964))</f>
        <v/>
      </c>
      <c r="I969" s="41" t="str">
        <f aca="false">IF(INDEX(BookTitle,964)="","",INDEX(BookTotal,964))</f>
        <v/>
      </c>
      <c r="J969" s="0" t="str">
        <f aca="false">IF($I969="","",IF(INDEX(BookQ1,964)&gt;0,"Q1",IF(INDEX(BookQ2,964)&gt;0,"Q2",IF(INDEX(BookQ3,964)&gt;0,"Q3",IF(INDEX(BookQ4,964)&gt;0,"Q4","")))))</f>
        <v/>
      </c>
      <c r="K969" s="42" t="str">
        <f aca="false">IF(INDEX(BookTitle,964)="","",INDEX(BookInYear,964))</f>
        <v/>
      </c>
      <c r="L969" s="19"/>
      <c r="M969" s="39"/>
      <c r="N969" s="19"/>
      <c r="O969" s="19"/>
      <c r="P969" s="43" t="str">
        <f aca="false">IF($E969="","",IF($L969="Decline",0,IF($L969="Approve fewer",IF($M969="","",$M969),IF($L969="","",$I969))))</f>
        <v/>
      </c>
      <c r="Q969" s="34" t="str">
        <f aca="false">IF($P969="","",IF($N969&lt;&gt;"",$N969,$J969))</f>
        <v/>
      </c>
      <c r="R969" s="35" t="str">
        <f aca="false">IF(OR($P969="",$Q969=""),"",INDEX(BookRate,964)*$P969*(5-MATCH($Q969,{"Q1";"Q2";"Q3";"Q4"},0))/4+INDEX(BookOneOff,964)*$P969)</f>
        <v/>
      </c>
      <c r="S969" s="35" t="str">
        <f aca="false">IF($P969="","",INDEX(BookRate,964)*$P969)</f>
        <v/>
      </c>
      <c r="T969" s="35" t="str">
        <f aca="false">IF($R969="","",$R969-$K969)</f>
        <v/>
      </c>
      <c r="U969" s="35" t="str">
        <f aca="false">IF(N($P969)&lt;=0,"",COUNTIF($P$6:$P969,"&gt;0"))</f>
        <v/>
      </c>
    </row>
    <row r="970" customFormat="false" ht="15" hidden="false" customHeight="false" outlineLevel="0" collapsed="false">
      <c r="A970" s="40" t="str">
        <f aca="false">IF(INDEX(BookTitle,965)="","",INDEX(BookGroup,965))</f>
        <v/>
      </c>
      <c r="B970" s="40" t="str">
        <f aca="false">IF(INDEX(BookTitle,965)="","",INDEX(BookRef,965))</f>
        <v/>
      </c>
      <c r="C970" s="40" t="str">
        <f aca="false">IF(INDEX(BookTitle,965)="","",INDEX(BookDivision,965))</f>
        <v/>
      </c>
      <c r="D970" s="40" t="str">
        <f aca="false">IF(INDEX(BookTitle,965)="","",INDEX(BookUnit,965))</f>
        <v/>
      </c>
      <c r="E970" s="40" t="str">
        <f aca="false">IF(INDEX(BookTitle,965)="","",INDEX(BookTitle,965))</f>
        <v/>
      </c>
      <c r="F970" s="40" t="str">
        <f aca="false">IF(INDEX(BookTitle,965)="","",INDEX(BookLevel,965))</f>
        <v/>
      </c>
      <c r="G970" s="40" t="str">
        <f aca="false">IF(INDEX(BookTitle,965)="","",INDEX(BookCategory,965))</f>
        <v/>
      </c>
      <c r="H970" s="40" t="str">
        <f aca="false">IF(INDEX(BookTitle,965)="","",INDEX(BookRank,965))</f>
        <v/>
      </c>
      <c r="I970" s="41" t="str">
        <f aca="false">IF(INDEX(BookTitle,965)="","",INDEX(BookTotal,965))</f>
        <v/>
      </c>
      <c r="J970" s="0" t="str">
        <f aca="false">IF($I970="","",IF(INDEX(BookQ1,965)&gt;0,"Q1",IF(INDEX(BookQ2,965)&gt;0,"Q2",IF(INDEX(BookQ3,965)&gt;0,"Q3",IF(INDEX(BookQ4,965)&gt;0,"Q4","")))))</f>
        <v/>
      </c>
      <c r="K970" s="42" t="str">
        <f aca="false">IF(INDEX(BookTitle,965)="","",INDEX(BookInYear,965))</f>
        <v/>
      </c>
      <c r="L970" s="19"/>
      <c r="M970" s="39"/>
      <c r="N970" s="19"/>
      <c r="O970" s="19"/>
      <c r="P970" s="43" t="str">
        <f aca="false">IF($E970="","",IF($L970="Decline",0,IF($L970="Approve fewer",IF($M970="","",$M970),IF($L970="","",$I970))))</f>
        <v/>
      </c>
      <c r="Q970" s="34" t="str">
        <f aca="false">IF($P970="","",IF($N970&lt;&gt;"",$N970,$J970))</f>
        <v/>
      </c>
      <c r="R970" s="35" t="str">
        <f aca="false">IF(OR($P970="",$Q970=""),"",INDEX(BookRate,965)*$P970*(5-MATCH($Q970,{"Q1";"Q2";"Q3";"Q4"},0))/4+INDEX(BookOneOff,965)*$P970)</f>
        <v/>
      </c>
      <c r="S970" s="35" t="str">
        <f aca="false">IF($P970="","",INDEX(BookRate,965)*$P970)</f>
        <v/>
      </c>
      <c r="T970" s="35" t="str">
        <f aca="false">IF($R970="","",$R970-$K970)</f>
        <v/>
      </c>
      <c r="U970" s="35" t="str">
        <f aca="false">IF(N($P970)&lt;=0,"",COUNTIF($P$6:$P970,"&gt;0"))</f>
        <v/>
      </c>
    </row>
    <row r="971" customFormat="false" ht="15" hidden="false" customHeight="false" outlineLevel="0" collapsed="false">
      <c r="A971" s="40" t="str">
        <f aca="false">IF(INDEX(BookTitle,966)="","",INDEX(BookGroup,966))</f>
        <v/>
      </c>
      <c r="B971" s="40" t="str">
        <f aca="false">IF(INDEX(BookTitle,966)="","",INDEX(BookRef,966))</f>
        <v/>
      </c>
      <c r="C971" s="40" t="str">
        <f aca="false">IF(INDEX(BookTitle,966)="","",INDEX(BookDivision,966))</f>
        <v/>
      </c>
      <c r="D971" s="40" t="str">
        <f aca="false">IF(INDEX(BookTitle,966)="","",INDEX(BookUnit,966))</f>
        <v/>
      </c>
      <c r="E971" s="40" t="str">
        <f aca="false">IF(INDEX(BookTitle,966)="","",INDEX(BookTitle,966))</f>
        <v/>
      </c>
      <c r="F971" s="40" t="str">
        <f aca="false">IF(INDEX(BookTitle,966)="","",INDEX(BookLevel,966))</f>
        <v/>
      </c>
      <c r="G971" s="40" t="str">
        <f aca="false">IF(INDEX(BookTitle,966)="","",INDEX(BookCategory,966))</f>
        <v/>
      </c>
      <c r="H971" s="40" t="str">
        <f aca="false">IF(INDEX(BookTitle,966)="","",INDEX(BookRank,966))</f>
        <v/>
      </c>
      <c r="I971" s="41" t="str">
        <f aca="false">IF(INDEX(BookTitle,966)="","",INDEX(BookTotal,966))</f>
        <v/>
      </c>
      <c r="J971" s="0" t="str">
        <f aca="false">IF($I971="","",IF(INDEX(BookQ1,966)&gt;0,"Q1",IF(INDEX(BookQ2,966)&gt;0,"Q2",IF(INDEX(BookQ3,966)&gt;0,"Q3",IF(INDEX(BookQ4,966)&gt;0,"Q4","")))))</f>
        <v/>
      </c>
      <c r="K971" s="42" t="str">
        <f aca="false">IF(INDEX(BookTitle,966)="","",INDEX(BookInYear,966))</f>
        <v/>
      </c>
      <c r="L971" s="19"/>
      <c r="M971" s="39"/>
      <c r="N971" s="19"/>
      <c r="O971" s="19"/>
      <c r="P971" s="43" t="str">
        <f aca="false">IF($E971="","",IF($L971="Decline",0,IF($L971="Approve fewer",IF($M971="","",$M971),IF($L971="","",$I971))))</f>
        <v/>
      </c>
      <c r="Q971" s="34" t="str">
        <f aca="false">IF($P971="","",IF($N971&lt;&gt;"",$N971,$J971))</f>
        <v/>
      </c>
      <c r="R971" s="35" t="str">
        <f aca="false">IF(OR($P971="",$Q971=""),"",INDEX(BookRate,966)*$P971*(5-MATCH($Q971,{"Q1";"Q2";"Q3";"Q4"},0))/4+INDEX(BookOneOff,966)*$P971)</f>
        <v/>
      </c>
      <c r="S971" s="35" t="str">
        <f aca="false">IF($P971="","",INDEX(BookRate,966)*$P971)</f>
        <v/>
      </c>
      <c r="T971" s="35" t="str">
        <f aca="false">IF($R971="","",$R971-$K971)</f>
        <v/>
      </c>
      <c r="U971" s="35" t="str">
        <f aca="false">IF(N($P971)&lt;=0,"",COUNTIF($P$6:$P971,"&gt;0"))</f>
        <v/>
      </c>
    </row>
    <row r="972" customFormat="false" ht="15" hidden="false" customHeight="false" outlineLevel="0" collapsed="false">
      <c r="A972" s="40" t="str">
        <f aca="false">IF(INDEX(BookTitle,967)="","",INDEX(BookGroup,967))</f>
        <v/>
      </c>
      <c r="B972" s="40" t="str">
        <f aca="false">IF(INDEX(BookTitle,967)="","",INDEX(BookRef,967))</f>
        <v/>
      </c>
      <c r="C972" s="40" t="str">
        <f aca="false">IF(INDEX(BookTitle,967)="","",INDEX(BookDivision,967))</f>
        <v/>
      </c>
      <c r="D972" s="40" t="str">
        <f aca="false">IF(INDEX(BookTitle,967)="","",INDEX(BookUnit,967))</f>
        <v/>
      </c>
      <c r="E972" s="40" t="str">
        <f aca="false">IF(INDEX(BookTitle,967)="","",INDEX(BookTitle,967))</f>
        <v/>
      </c>
      <c r="F972" s="40" t="str">
        <f aca="false">IF(INDEX(BookTitle,967)="","",INDEX(BookLevel,967))</f>
        <v/>
      </c>
      <c r="G972" s="40" t="str">
        <f aca="false">IF(INDEX(BookTitle,967)="","",INDEX(BookCategory,967))</f>
        <v/>
      </c>
      <c r="H972" s="40" t="str">
        <f aca="false">IF(INDEX(BookTitle,967)="","",INDEX(BookRank,967))</f>
        <v/>
      </c>
      <c r="I972" s="41" t="str">
        <f aca="false">IF(INDEX(BookTitle,967)="","",INDEX(BookTotal,967))</f>
        <v/>
      </c>
      <c r="J972" s="0" t="str">
        <f aca="false">IF($I972="","",IF(INDEX(BookQ1,967)&gt;0,"Q1",IF(INDEX(BookQ2,967)&gt;0,"Q2",IF(INDEX(BookQ3,967)&gt;0,"Q3",IF(INDEX(BookQ4,967)&gt;0,"Q4","")))))</f>
        <v/>
      </c>
      <c r="K972" s="42" t="str">
        <f aca="false">IF(INDEX(BookTitle,967)="","",INDEX(BookInYear,967))</f>
        <v/>
      </c>
      <c r="L972" s="19"/>
      <c r="M972" s="39"/>
      <c r="N972" s="19"/>
      <c r="O972" s="19"/>
      <c r="P972" s="43" t="str">
        <f aca="false">IF($E972="","",IF($L972="Decline",0,IF($L972="Approve fewer",IF($M972="","",$M972),IF($L972="","",$I972))))</f>
        <v/>
      </c>
      <c r="Q972" s="34" t="str">
        <f aca="false">IF($P972="","",IF($N972&lt;&gt;"",$N972,$J972))</f>
        <v/>
      </c>
      <c r="R972" s="35" t="str">
        <f aca="false">IF(OR($P972="",$Q972=""),"",INDEX(BookRate,967)*$P972*(5-MATCH($Q972,{"Q1";"Q2";"Q3";"Q4"},0))/4+INDEX(BookOneOff,967)*$P972)</f>
        <v/>
      </c>
      <c r="S972" s="35" t="str">
        <f aca="false">IF($P972="","",INDEX(BookRate,967)*$P972)</f>
        <v/>
      </c>
      <c r="T972" s="35" t="str">
        <f aca="false">IF($R972="","",$R972-$K972)</f>
        <v/>
      </c>
      <c r="U972" s="35" t="str">
        <f aca="false">IF(N($P972)&lt;=0,"",COUNTIF($P$6:$P972,"&gt;0"))</f>
        <v/>
      </c>
    </row>
    <row r="973" customFormat="false" ht="15" hidden="false" customHeight="false" outlineLevel="0" collapsed="false">
      <c r="A973" s="40" t="str">
        <f aca="false">IF(INDEX(BookTitle,968)="","",INDEX(BookGroup,968))</f>
        <v/>
      </c>
      <c r="B973" s="40" t="str">
        <f aca="false">IF(INDEX(BookTitle,968)="","",INDEX(BookRef,968))</f>
        <v/>
      </c>
      <c r="C973" s="40" t="str">
        <f aca="false">IF(INDEX(BookTitle,968)="","",INDEX(BookDivision,968))</f>
        <v/>
      </c>
      <c r="D973" s="40" t="str">
        <f aca="false">IF(INDEX(BookTitle,968)="","",INDEX(BookUnit,968))</f>
        <v/>
      </c>
      <c r="E973" s="40" t="str">
        <f aca="false">IF(INDEX(BookTitle,968)="","",INDEX(BookTitle,968))</f>
        <v/>
      </c>
      <c r="F973" s="40" t="str">
        <f aca="false">IF(INDEX(BookTitle,968)="","",INDEX(BookLevel,968))</f>
        <v/>
      </c>
      <c r="G973" s="40" t="str">
        <f aca="false">IF(INDEX(BookTitle,968)="","",INDEX(BookCategory,968))</f>
        <v/>
      </c>
      <c r="H973" s="40" t="str">
        <f aca="false">IF(INDEX(BookTitle,968)="","",INDEX(BookRank,968))</f>
        <v/>
      </c>
      <c r="I973" s="41" t="str">
        <f aca="false">IF(INDEX(BookTitle,968)="","",INDEX(BookTotal,968))</f>
        <v/>
      </c>
      <c r="J973" s="0" t="str">
        <f aca="false">IF($I973="","",IF(INDEX(BookQ1,968)&gt;0,"Q1",IF(INDEX(BookQ2,968)&gt;0,"Q2",IF(INDEX(BookQ3,968)&gt;0,"Q3",IF(INDEX(BookQ4,968)&gt;0,"Q4","")))))</f>
        <v/>
      </c>
      <c r="K973" s="42" t="str">
        <f aca="false">IF(INDEX(BookTitle,968)="","",INDEX(BookInYear,968))</f>
        <v/>
      </c>
      <c r="L973" s="19"/>
      <c r="M973" s="39"/>
      <c r="N973" s="19"/>
      <c r="O973" s="19"/>
      <c r="P973" s="43" t="str">
        <f aca="false">IF($E973="","",IF($L973="Decline",0,IF($L973="Approve fewer",IF($M973="","",$M973),IF($L973="","",$I973))))</f>
        <v/>
      </c>
      <c r="Q973" s="34" t="str">
        <f aca="false">IF($P973="","",IF($N973&lt;&gt;"",$N973,$J973))</f>
        <v/>
      </c>
      <c r="R973" s="35" t="str">
        <f aca="false">IF(OR($P973="",$Q973=""),"",INDEX(BookRate,968)*$P973*(5-MATCH($Q973,{"Q1";"Q2";"Q3";"Q4"},0))/4+INDEX(BookOneOff,968)*$P973)</f>
        <v/>
      </c>
      <c r="S973" s="35" t="str">
        <f aca="false">IF($P973="","",INDEX(BookRate,968)*$P973)</f>
        <v/>
      </c>
      <c r="T973" s="35" t="str">
        <f aca="false">IF($R973="","",$R973-$K973)</f>
        <v/>
      </c>
      <c r="U973" s="35" t="str">
        <f aca="false">IF(N($P973)&lt;=0,"",COUNTIF($P$6:$P973,"&gt;0"))</f>
        <v/>
      </c>
    </row>
    <row r="974" customFormat="false" ht="15" hidden="false" customHeight="false" outlineLevel="0" collapsed="false">
      <c r="A974" s="40" t="str">
        <f aca="false">IF(INDEX(BookTitle,969)="","",INDEX(BookGroup,969))</f>
        <v/>
      </c>
      <c r="B974" s="40" t="str">
        <f aca="false">IF(INDEX(BookTitle,969)="","",INDEX(BookRef,969))</f>
        <v/>
      </c>
      <c r="C974" s="40" t="str">
        <f aca="false">IF(INDEX(BookTitle,969)="","",INDEX(BookDivision,969))</f>
        <v/>
      </c>
      <c r="D974" s="40" t="str">
        <f aca="false">IF(INDEX(BookTitle,969)="","",INDEX(BookUnit,969))</f>
        <v/>
      </c>
      <c r="E974" s="40" t="str">
        <f aca="false">IF(INDEX(BookTitle,969)="","",INDEX(BookTitle,969))</f>
        <v/>
      </c>
      <c r="F974" s="40" t="str">
        <f aca="false">IF(INDEX(BookTitle,969)="","",INDEX(BookLevel,969))</f>
        <v/>
      </c>
      <c r="G974" s="40" t="str">
        <f aca="false">IF(INDEX(BookTitle,969)="","",INDEX(BookCategory,969))</f>
        <v/>
      </c>
      <c r="H974" s="40" t="str">
        <f aca="false">IF(INDEX(BookTitle,969)="","",INDEX(BookRank,969))</f>
        <v/>
      </c>
      <c r="I974" s="41" t="str">
        <f aca="false">IF(INDEX(BookTitle,969)="","",INDEX(BookTotal,969))</f>
        <v/>
      </c>
      <c r="J974" s="0" t="str">
        <f aca="false">IF($I974="","",IF(INDEX(BookQ1,969)&gt;0,"Q1",IF(INDEX(BookQ2,969)&gt;0,"Q2",IF(INDEX(BookQ3,969)&gt;0,"Q3",IF(INDEX(BookQ4,969)&gt;0,"Q4","")))))</f>
        <v/>
      </c>
      <c r="K974" s="42" t="str">
        <f aca="false">IF(INDEX(BookTitle,969)="","",INDEX(BookInYear,969))</f>
        <v/>
      </c>
      <c r="L974" s="19"/>
      <c r="M974" s="39"/>
      <c r="N974" s="19"/>
      <c r="O974" s="19"/>
      <c r="P974" s="43" t="str">
        <f aca="false">IF($E974="","",IF($L974="Decline",0,IF($L974="Approve fewer",IF($M974="","",$M974),IF($L974="","",$I974))))</f>
        <v/>
      </c>
      <c r="Q974" s="34" t="str">
        <f aca="false">IF($P974="","",IF($N974&lt;&gt;"",$N974,$J974))</f>
        <v/>
      </c>
      <c r="R974" s="35" t="str">
        <f aca="false">IF(OR($P974="",$Q974=""),"",INDEX(BookRate,969)*$P974*(5-MATCH($Q974,{"Q1";"Q2";"Q3";"Q4"},0))/4+INDEX(BookOneOff,969)*$P974)</f>
        <v/>
      </c>
      <c r="S974" s="35" t="str">
        <f aca="false">IF($P974="","",INDEX(BookRate,969)*$P974)</f>
        <v/>
      </c>
      <c r="T974" s="35" t="str">
        <f aca="false">IF($R974="","",$R974-$K974)</f>
        <v/>
      </c>
      <c r="U974" s="35" t="str">
        <f aca="false">IF(N($P974)&lt;=0,"",COUNTIF($P$6:$P974,"&gt;0"))</f>
        <v/>
      </c>
    </row>
    <row r="975" customFormat="false" ht="15" hidden="false" customHeight="false" outlineLevel="0" collapsed="false">
      <c r="A975" s="40" t="str">
        <f aca="false">IF(INDEX(BookTitle,970)="","",INDEX(BookGroup,970))</f>
        <v/>
      </c>
      <c r="B975" s="40" t="str">
        <f aca="false">IF(INDEX(BookTitle,970)="","",INDEX(BookRef,970))</f>
        <v/>
      </c>
      <c r="C975" s="40" t="str">
        <f aca="false">IF(INDEX(BookTitle,970)="","",INDEX(BookDivision,970))</f>
        <v/>
      </c>
      <c r="D975" s="40" t="str">
        <f aca="false">IF(INDEX(BookTitle,970)="","",INDEX(BookUnit,970))</f>
        <v/>
      </c>
      <c r="E975" s="40" t="str">
        <f aca="false">IF(INDEX(BookTitle,970)="","",INDEX(BookTitle,970))</f>
        <v/>
      </c>
      <c r="F975" s="40" t="str">
        <f aca="false">IF(INDEX(BookTitle,970)="","",INDEX(BookLevel,970))</f>
        <v/>
      </c>
      <c r="G975" s="40" t="str">
        <f aca="false">IF(INDEX(BookTitle,970)="","",INDEX(BookCategory,970))</f>
        <v/>
      </c>
      <c r="H975" s="40" t="str">
        <f aca="false">IF(INDEX(BookTitle,970)="","",INDEX(BookRank,970))</f>
        <v/>
      </c>
      <c r="I975" s="41" t="str">
        <f aca="false">IF(INDEX(BookTitle,970)="","",INDEX(BookTotal,970))</f>
        <v/>
      </c>
      <c r="J975" s="0" t="str">
        <f aca="false">IF($I975="","",IF(INDEX(BookQ1,970)&gt;0,"Q1",IF(INDEX(BookQ2,970)&gt;0,"Q2",IF(INDEX(BookQ3,970)&gt;0,"Q3",IF(INDEX(BookQ4,970)&gt;0,"Q4","")))))</f>
        <v/>
      </c>
      <c r="K975" s="42" t="str">
        <f aca="false">IF(INDEX(BookTitle,970)="","",INDEX(BookInYear,970))</f>
        <v/>
      </c>
      <c r="L975" s="19"/>
      <c r="M975" s="39"/>
      <c r="N975" s="19"/>
      <c r="O975" s="19"/>
      <c r="P975" s="43" t="str">
        <f aca="false">IF($E975="","",IF($L975="Decline",0,IF($L975="Approve fewer",IF($M975="","",$M975),IF($L975="","",$I975))))</f>
        <v/>
      </c>
      <c r="Q975" s="34" t="str">
        <f aca="false">IF($P975="","",IF($N975&lt;&gt;"",$N975,$J975))</f>
        <v/>
      </c>
      <c r="R975" s="35" t="str">
        <f aca="false">IF(OR($P975="",$Q975=""),"",INDEX(BookRate,970)*$P975*(5-MATCH($Q975,{"Q1";"Q2";"Q3";"Q4"},0))/4+INDEX(BookOneOff,970)*$P975)</f>
        <v/>
      </c>
      <c r="S975" s="35" t="str">
        <f aca="false">IF($P975="","",INDEX(BookRate,970)*$P975)</f>
        <v/>
      </c>
      <c r="T975" s="35" t="str">
        <f aca="false">IF($R975="","",$R975-$K975)</f>
        <v/>
      </c>
      <c r="U975" s="35" t="str">
        <f aca="false">IF(N($P975)&lt;=0,"",COUNTIF($P$6:$P975,"&gt;0"))</f>
        <v/>
      </c>
    </row>
    <row r="976" customFormat="false" ht="15" hidden="false" customHeight="false" outlineLevel="0" collapsed="false">
      <c r="A976" s="40" t="str">
        <f aca="false">IF(INDEX(BookTitle,971)="","",INDEX(BookGroup,971))</f>
        <v/>
      </c>
      <c r="B976" s="40" t="str">
        <f aca="false">IF(INDEX(BookTitle,971)="","",INDEX(BookRef,971))</f>
        <v/>
      </c>
      <c r="C976" s="40" t="str">
        <f aca="false">IF(INDEX(BookTitle,971)="","",INDEX(BookDivision,971))</f>
        <v/>
      </c>
      <c r="D976" s="40" t="str">
        <f aca="false">IF(INDEX(BookTitle,971)="","",INDEX(BookUnit,971))</f>
        <v/>
      </c>
      <c r="E976" s="40" t="str">
        <f aca="false">IF(INDEX(BookTitle,971)="","",INDEX(BookTitle,971))</f>
        <v/>
      </c>
      <c r="F976" s="40" t="str">
        <f aca="false">IF(INDEX(BookTitle,971)="","",INDEX(BookLevel,971))</f>
        <v/>
      </c>
      <c r="G976" s="40" t="str">
        <f aca="false">IF(INDEX(BookTitle,971)="","",INDEX(BookCategory,971))</f>
        <v/>
      </c>
      <c r="H976" s="40" t="str">
        <f aca="false">IF(INDEX(BookTitle,971)="","",INDEX(BookRank,971))</f>
        <v/>
      </c>
      <c r="I976" s="41" t="str">
        <f aca="false">IF(INDEX(BookTitle,971)="","",INDEX(BookTotal,971))</f>
        <v/>
      </c>
      <c r="J976" s="0" t="str">
        <f aca="false">IF($I976="","",IF(INDEX(BookQ1,971)&gt;0,"Q1",IF(INDEX(BookQ2,971)&gt;0,"Q2",IF(INDEX(BookQ3,971)&gt;0,"Q3",IF(INDEX(BookQ4,971)&gt;0,"Q4","")))))</f>
        <v/>
      </c>
      <c r="K976" s="42" t="str">
        <f aca="false">IF(INDEX(BookTitle,971)="","",INDEX(BookInYear,971))</f>
        <v/>
      </c>
      <c r="L976" s="19"/>
      <c r="M976" s="39"/>
      <c r="N976" s="19"/>
      <c r="O976" s="19"/>
      <c r="P976" s="43" t="str">
        <f aca="false">IF($E976="","",IF($L976="Decline",0,IF($L976="Approve fewer",IF($M976="","",$M976),IF($L976="","",$I976))))</f>
        <v/>
      </c>
      <c r="Q976" s="34" t="str">
        <f aca="false">IF($P976="","",IF($N976&lt;&gt;"",$N976,$J976))</f>
        <v/>
      </c>
      <c r="R976" s="35" t="str">
        <f aca="false">IF(OR($P976="",$Q976=""),"",INDEX(BookRate,971)*$P976*(5-MATCH($Q976,{"Q1";"Q2";"Q3";"Q4"},0))/4+INDEX(BookOneOff,971)*$P976)</f>
        <v/>
      </c>
      <c r="S976" s="35" t="str">
        <f aca="false">IF($P976="","",INDEX(BookRate,971)*$P976)</f>
        <v/>
      </c>
      <c r="T976" s="35" t="str">
        <f aca="false">IF($R976="","",$R976-$K976)</f>
        <v/>
      </c>
      <c r="U976" s="35" t="str">
        <f aca="false">IF(N($P976)&lt;=0,"",COUNTIF($P$6:$P976,"&gt;0"))</f>
        <v/>
      </c>
    </row>
    <row r="977" customFormat="false" ht="15" hidden="false" customHeight="false" outlineLevel="0" collapsed="false">
      <c r="A977" s="40" t="str">
        <f aca="false">IF(INDEX(BookTitle,972)="","",INDEX(BookGroup,972))</f>
        <v/>
      </c>
      <c r="B977" s="40" t="str">
        <f aca="false">IF(INDEX(BookTitle,972)="","",INDEX(BookRef,972))</f>
        <v/>
      </c>
      <c r="C977" s="40" t="str">
        <f aca="false">IF(INDEX(BookTitle,972)="","",INDEX(BookDivision,972))</f>
        <v/>
      </c>
      <c r="D977" s="40" t="str">
        <f aca="false">IF(INDEX(BookTitle,972)="","",INDEX(BookUnit,972))</f>
        <v/>
      </c>
      <c r="E977" s="40" t="str">
        <f aca="false">IF(INDEX(BookTitle,972)="","",INDEX(BookTitle,972))</f>
        <v/>
      </c>
      <c r="F977" s="40" t="str">
        <f aca="false">IF(INDEX(BookTitle,972)="","",INDEX(BookLevel,972))</f>
        <v/>
      </c>
      <c r="G977" s="40" t="str">
        <f aca="false">IF(INDEX(BookTitle,972)="","",INDEX(BookCategory,972))</f>
        <v/>
      </c>
      <c r="H977" s="40" t="str">
        <f aca="false">IF(INDEX(BookTitle,972)="","",INDEX(BookRank,972))</f>
        <v/>
      </c>
      <c r="I977" s="41" t="str">
        <f aca="false">IF(INDEX(BookTitle,972)="","",INDEX(BookTotal,972))</f>
        <v/>
      </c>
      <c r="J977" s="0" t="str">
        <f aca="false">IF($I977="","",IF(INDEX(BookQ1,972)&gt;0,"Q1",IF(INDEX(BookQ2,972)&gt;0,"Q2",IF(INDEX(BookQ3,972)&gt;0,"Q3",IF(INDEX(BookQ4,972)&gt;0,"Q4","")))))</f>
        <v/>
      </c>
      <c r="K977" s="42" t="str">
        <f aca="false">IF(INDEX(BookTitle,972)="","",INDEX(BookInYear,972))</f>
        <v/>
      </c>
      <c r="L977" s="19"/>
      <c r="M977" s="39"/>
      <c r="N977" s="19"/>
      <c r="O977" s="19"/>
      <c r="P977" s="43" t="str">
        <f aca="false">IF($E977="","",IF($L977="Decline",0,IF($L977="Approve fewer",IF($M977="","",$M977),IF($L977="","",$I977))))</f>
        <v/>
      </c>
      <c r="Q977" s="34" t="str">
        <f aca="false">IF($P977="","",IF($N977&lt;&gt;"",$N977,$J977))</f>
        <v/>
      </c>
      <c r="R977" s="35" t="str">
        <f aca="false">IF(OR($P977="",$Q977=""),"",INDEX(BookRate,972)*$P977*(5-MATCH($Q977,{"Q1";"Q2";"Q3";"Q4"},0))/4+INDEX(BookOneOff,972)*$P977)</f>
        <v/>
      </c>
      <c r="S977" s="35" t="str">
        <f aca="false">IF($P977="","",INDEX(BookRate,972)*$P977)</f>
        <v/>
      </c>
      <c r="T977" s="35" t="str">
        <f aca="false">IF($R977="","",$R977-$K977)</f>
        <v/>
      </c>
      <c r="U977" s="35" t="str">
        <f aca="false">IF(N($P977)&lt;=0,"",COUNTIF($P$6:$P977,"&gt;0"))</f>
        <v/>
      </c>
    </row>
    <row r="978" customFormat="false" ht="15" hidden="false" customHeight="false" outlineLevel="0" collapsed="false">
      <c r="A978" s="40" t="str">
        <f aca="false">IF(INDEX(BookTitle,973)="","",INDEX(BookGroup,973))</f>
        <v/>
      </c>
      <c r="B978" s="40" t="str">
        <f aca="false">IF(INDEX(BookTitle,973)="","",INDEX(BookRef,973))</f>
        <v/>
      </c>
      <c r="C978" s="40" t="str">
        <f aca="false">IF(INDEX(BookTitle,973)="","",INDEX(BookDivision,973))</f>
        <v/>
      </c>
      <c r="D978" s="40" t="str">
        <f aca="false">IF(INDEX(BookTitle,973)="","",INDEX(BookUnit,973))</f>
        <v/>
      </c>
      <c r="E978" s="40" t="str">
        <f aca="false">IF(INDEX(BookTitle,973)="","",INDEX(BookTitle,973))</f>
        <v/>
      </c>
      <c r="F978" s="40" t="str">
        <f aca="false">IF(INDEX(BookTitle,973)="","",INDEX(BookLevel,973))</f>
        <v/>
      </c>
      <c r="G978" s="40" t="str">
        <f aca="false">IF(INDEX(BookTitle,973)="","",INDEX(BookCategory,973))</f>
        <v/>
      </c>
      <c r="H978" s="40" t="str">
        <f aca="false">IF(INDEX(BookTitle,973)="","",INDEX(BookRank,973))</f>
        <v/>
      </c>
      <c r="I978" s="41" t="str">
        <f aca="false">IF(INDEX(BookTitle,973)="","",INDEX(BookTotal,973))</f>
        <v/>
      </c>
      <c r="J978" s="0" t="str">
        <f aca="false">IF($I978="","",IF(INDEX(BookQ1,973)&gt;0,"Q1",IF(INDEX(BookQ2,973)&gt;0,"Q2",IF(INDEX(BookQ3,973)&gt;0,"Q3",IF(INDEX(BookQ4,973)&gt;0,"Q4","")))))</f>
        <v/>
      </c>
      <c r="K978" s="42" t="str">
        <f aca="false">IF(INDEX(BookTitle,973)="","",INDEX(BookInYear,973))</f>
        <v/>
      </c>
      <c r="L978" s="19"/>
      <c r="M978" s="39"/>
      <c r="N978" s="19"/>
      <c r="O978" s="19"/>
      <c r="P978" s="43" t="str">
        <f aca="false">IF($E978="","",IF($L978="Decline",0,IF($L978="Approve fewer",IF($M978="","",$M978),IF($L978="","",$I978))))</f>
        <v/>
      </c>
      <c r="Q978" s="34" t="str">
        <f aca="false">IF($P978="","",IF($N978&lt;&gt;"",$N978,$J978))</f>
        <v/>
      </c>
      <c r="R978" s="35" t="str">
        <f aca="false">IF(OR($P978="",$Q978=""),"",INDEX(BookRate,973)*$P978*(5-MATCH($Q978,{"Q1";"Q2";"Q3";"Q4"},0))/4+INDEX(BookOneOff,973)*$P978)</f>
        <v/>
      </c>
      <c r="S978" s="35" t="str">
        <f aca="false">IF($P978="","",INDEX(BookRate,973)*$P978)</f>
        <v/>
      </c>
      <c r="T978" s="35" t="str">
        <f aca="false">IF($R978="","",$R978-$K978)</f>
        <v/>
      </c>
      <c r="U978" s="35" t="str">
        <f aca="false">IF(N($P978)&lt;=0,"",COUNTIF($P$6:$P978,"&gt;0"))</f>
        <v/>
      </c>
    </row>
    <row r="979" customFormat="false" ht="15" hidden="false" customHeight="false" outlineLevel="0" collapsed="false">
      <c r="A979" s="40" t="str">
        <f aca="false">IF(INDEX(BookTitle,974)="","",INDEX(BookGroup,974))</f>
        <v/>
      </c>
      <c r="B979" s="40" t="str">
        <f aca="false">IF(INDEX(BookTitle,974)="","",INDEX(BookRef,974))</f>
        <v/>
      </c>
      <c r="C979" s="40" t="str">
        <f aca="false">IF(INDEX(BookTitle,974)="","",INDEX(BookDivision,974))</f>
        <v/>
      </c>
      <c r="D979" s="40" t="str">
        <f aca="false">IF(INDEX(BookTitle,974)="","",INDEX(BookUnit,974))</f>
        <v/>
      </c>
      <c r="E979" s="40" t="str">
        <f aca="false">IF(INDEX(BookTitle,974)="","",INDEX(BookTitle,974))</f>
        <v/>
      </c>
      <c r="F979" s="40" t="str">
        <f aca="false">IF(INDEX(BookTitle,974)="","",INDEX(BookLevel,974))</f>
        <v/>
      </c>
      <c r="G979" s="40" t="str">
        <f aca="false">IF(INDEX(BookTitle,974)="","",INDEX(BookCategory,974))</f>
        <v/>
      </c>
      <c r="H979" s="40" t="str">
        <f aca="false">IF(INDEX(BookTitle,974)="","",INDEX(BookRank,974))</f>
        <v/>
      </c>
      <c r="I979" s="41" t="str">
        <f aca="false">IF(INDEX(BookTitle,974)="","",INDEX(BookTotal,974))</f>
        <v/>
      </c>
      <c r="J979" s="0" t="str">
        <f aca="false">IF($I979="","",IF(INDEX(BookQ1,974)&gt;0,"Q1",IF(INDEX(BookQ2,974)&gt;0,"Q2",IF(INDEX(BookQ3,974)&gt;0,"Q3",IF(INDEX(BookQ4,974)&gt;0,"Q4","")))))</f>
        <v/>
      </c>
      <c r="K979" s="42" t="str">
        <f aca="false">IF(INDEX(BookTitle,974)="","",INDEX(BookInYear,974))</f>
        <v/>
      </c>
      <c r="L979" s="19"/>
      <c r="M979" s="39"/>
      <c r="N979" s="19"/>
      <c r="O979" s="19"/>
      <c r="P979" s="43" t="str">
        <f aca="false">IF($E979="","",IF($L979="Decline",0,IF($L979="Approve fewer",IF($M979="","",$M979),IF($L979="","",$I979))))</f>
        <v/>
      </c>
      <c r="Q979" s="34" t="str">
        <f aca="false">IF($P979="","",IF($N979&lt;&gt;"",$N979,$J979))</f>
        <v/>
      </c>
      <c r="R979" s="35" t="str">
        <f aca="false">IF(OR($P979="",$Q979=""),"",INDEX(BookRate,974)*$P979*(5-MATCH($Q979,{"Q1";"Q2";"Q3";"Q4"},0))/4+INDEX(BookOneOff,974)*$P979)</f>
        <v/>
      </c>
      <c r="S979" s="35" t="str">
        <f aca="false">IF($P979="","",INDEX(BookRate,974)*$P979)</f>
        <v/>
      </c>
      <c r="T979" s="35" t="str">
        <f aca="false">IF($R979="","",$R979-$K979)</f>
        <v/>
      </c>
      <c r="U979" s="35" t="str">
        <f aca="false">IF(N($P979)&lt;=0,"",COUNTIF($P$6:$P979,"&gt;0"))</f>
        <v/>
      </c>
    </row>
    <row r="980" customFormat="false" ht="15" hidden="false" customHeight="false" outlineLevel="0" collapsed="false">
      <c r="A980" s="40" t="str">
        <f aca="false">IF(INDEX(BookTitle,975)="","",INDEX(BookGroup,975))</f>
        <v/>
      </c>
      <c r="B980" s="40" t="str">
        <f aca="false">IF(INDEX(BookTitle,975)="","",INDEX(BookRef,975))</f>
        <v/>
      </c>
      <c r="C980" s="40" t="str">
        <f aca="false">IF(INDEX(BookTitle,975)="","",INDEX(BookDivision,975))</f>
        <v/>
      </c>
      <c r="D980" s="40" t="str">
        <f aca="false">IF(INDEX(BookTitle,975)="","",INDEX(BookUnit,975))</f>
        <v/>
      </c>
      <c r="E980" s="40" t="str">
        <f aca="false">IF(INDEX(BookTitle,975)="","",INDEX(BookTitle,975))</f>
        <v/>
      </c>
      <c r="F980" s="40" t="str">
        <f aca="false">IF(INDEX(BookTitle,975)="","",INDEX(BookLevel,975))</f>
        <v/>
      </c>
      <c r="G980" s="40" t="str">
        <f aca="false">IF(INDEX(BookTitle,975)="","",INDEX(BookCategory,975))</f>
        <v/>
      </c>
      <c r="H980" s="40" t="str">
        <f aca="false">IF(INDEX(BookTitle,975)="","",INDEX(BookRank,975))</f>
        <v/>
      </c>
      <c r="I980" s="41" t="str">
        <f aca="false">IF(INDEX(BookTitle,975)="","",INDEX(BookTotal,975))</f>
        <v/>
      </c>
      <c r="J980" s="0" t="str">
        <f aca="false">IF($I980="","",IF(INDEX(BookQ1,975)&gt;0,"Q1",IF(INDEX(BookQ2,975)&gt;0,"Q2",IF(INDEX(BookQ3,975)&gt;0,"Q3",IF(INDEX(BookQ4,975)&gt;0,"Q4","")))))</f>
        <v/>
      </c>
      <c r="K980" s="42" t="str">
        <f aca="false">IF(INDEX(BookTitle,975)="","",INDEX(BookInYear,975))</f>
        <v/>
      </c>
      <c r="L980" s="19"/>
      <c r="M980" s="39"/>
      <c r="N980" s="19"/>
      <c r="O980" s="19"/>
      <c r="P980" s="43" t="str">
        <f aca="false">IF($E980="","",IF($L980="Decline",0,IF($L980="Approve fewer",IF($M980="","",$M980),IF($L980="","",$I980))))</f>
        <v/>
      </c>
      <c r="Q980" s="34" t="str">
        <f aca="false">IF($P980="","",IF($N980&lt;&gt;"",$N980,$J980))</f>
        <v/>
      </c>
      <c r="R980" s="35" t="str">
        <f aca="false">IF(OR($P980="",$Q980=""),"",INDEX(BookRate,975)*$P980*(5-MATCH($Q980,{"Q1";"Q2";"Q3";"Q4"},0))/4+INDEX(BookOneOff,975)*$P980)</f>
        <v/>
      </c>
      <c r="S980" s="35" t="str">
        <f aca="false">IF($P980="","",INDEX(BookRate,975)*$P980)</f>
        <v/>
      </c>
      <c r="T980" s="35" t="str">
        <f aca="false">IF($R980="","",$R980-$K980)</f>
        <v/>
      </c>
      <c r="U980" s="35" t="str">
        <f aca="false">IF(N($P980)&lt;=0,"",COUNTIF($P$6:$P980,"&gt;0"))</f>
        <v/>
      </c>
    </row>
    <row r="981" customFormat="false" ht="15" hidden="false" customHeight="false" outlineLevel="0" collapsed="false">
      <c r="A981" s="40" t="str">
        <f aca="false">IF(INDEX(BookTitle,976)="","",INDEX(BookGroup,976))</f>
        <v/>
      </c>
      <c r="B981" s="40" t="str">
        <f aca="false">IF(INDEX(BookTitle,976)="","",INDEX(BookRef,976))</f>
        <v/>
      </c>
      <c r="C981" s="40" t="str">
        <f aca="false">IF(INDEX(BookTitle,976)="","",INDEX(BookDivision,976))</f>
        <v/>
      </c>
      <c r="D981" s="40" t="str">
        <f aca="false">IF(INDEX(BookTitle,976)="","",INDEX(BookUnit,976))</f>
        <v/>
      </c>
      <c r="E981" s="40" t="str">
        <f aca="false">IF(INDEX(BookTitle,976)="","",INDEX(BookTitle,976))</f>
        <v/>
      </c>
      <c r="F981" s="40" t="str">
        <f aca="false">IF(INDEX(BookTitle,976)="","",INDEX(BookLevel,976))</f>
        <v/>
      </c>
      <c r="G981" s="40" t="str">
        <f aca="false">IF(INDEX(BookTitle,976)="","",INDEX(BookCategory,976))</f>
        <v/>
      </c>
      <c r="H981" s="40" t="str">
        <f aca="false">IF(INDEX(BookTitle,976)="","",INDEX(BookRank,976))</f>
        <v/>
      </c>
      <c r="I981" s="41" t="str">
        <f aca="false">IF(INDEX(BookTitle,976)="","",INDEX(BookTotal,976))</f>
        <v/>
      </c>
      <c r="J981" s="0" t="str">
        <f aca="false">IF($I981="","",IF(INDEX(BookQ1,976)&gt;0,"Q1",IF(INDEX(BookQ2,976)&gt;0,"Q2",IF(INDEX(BookQ3,976)&gt;0,"Q3",IF(INDEX(BookQ4,976)&gt;0,"Q4","")))))</f>
        <v/>
      </c>
      <c r="K981" s="42" t="str">
        <f aca="false">IF(INDEX(BookTitle,976)="","",INDEX(BookInYear,976))</f>
        <v/>
      </c>
      <c r="L981" s="19"/>
      <c r="M981" s="39"/>
      <c r="N981" s="19"/>
      <c r="O981" s="19"/>
      <c r="P981" s="43" t="str">
        <f aca="false">IF($E981="","",IF($L981="Decline",0,IF($L981="Approve fewer",IF($M981="","",$M981),IF($L981="","",$I981))))</f>
        <v/>
      </c>
      <c r="Q981" s="34" t="str">
        <f aca="false">IF($P981="","",IF($N981&lt;&gt;"",$N981,$J981))</f>
        <v/>
      </c>
      <c r="R981" s="35" t="str">
        <f aca="false">IF(OR($P981="",$Q981=""),"",INDEX(BookRate,976)*$P981*(5-MATCH($Q981,{"Q1";"Q2";"Q3";"Q4"},0))/4+INDEX(BookOneOff,976)*$P981)</f>
        <v/>
      </c>
      <c r="S981" s="35" t="str">
        <f aca="false">IF($P981="","",INDEX(BookRate,976)*$P981)</f>
        <v/>
      </c>
      <c r="T981" s="35" t="str">
        <f aca="false">IF($R981="","",$R981-$K981)</f>
        <v/>
      </c>
      <c r="U981" s="35" t="str">
        <f aca="false">IF(N($P981)&lt;=0,"",COUNTIF($P$6:$P981,"&gt;0"))</f>
        <v/>
      </c>
    </row>
    <row r="982" customFormat="false" ht="15" hidden="false" customHeight="false" outlineLevel="0" collapsed="false">
      <c r="A982" s="40" t="str">
        <f aca="false">IF(INDEX(BookTitle,977)="","",INDEX(BookGroup,977))</f>
        <v/>
      </c>
      <c r="B982" s="40" t="str">
        <f aca="false">IF(INDEX(BookTitle,977)="","",INDEX(BookRef,977))</f>
        <v/>
      </c>
      <c r="C982" s="40" t="str">
        <f aca="false">IF(INDEX(BookTitle,977)="","",INDEX(BookDivision,977))</f>
        <v/>
      </c>
      <c r="D982" s="40" t="str">
        <f aca="false">IF(INDEX(BookTitle,977)="","",INDEX(BookUnit,977))</f>
        <v/>
      </c>
      <c r="E982" s="40" t="str">
        <f aca="false">IF(INDEX(BookTitle,977)="","",INDEX(BookTitle,977))</f>
        <v/>
      </c>
      <c r="F982" s="40" t="str">
        <f aca="false">IF(INDEX(BookTitle,977)="","",INDEX(BookLevel,977))</f>
        <v/>
      </c>
      <c r="G982" s="40" t="str">
        <f aca="false">IF(INDEX(BookTitle,977)="","",INDEX(BookCategory,977))</f>
        <v/>
      </c>
      <c r="H982" s="40" t="str">
        <f aca="false">IF(INDEX(BookTitle,977)="","",INDEX(BookRank,977))</f>
        <v/>
      </c>
      <c r="I982" s="41" t="str">
        <f aca="false">IF(INDEX(BookTitle,977)="","",INDEX(BookTotal,977))</f>
        <v/>
      </c>
      <c r="J982" s="0" t="str">
        <f aca="false">IF($I982="","",IF(INDEX(BookQ1,977)&gt;0,"Q1",IF(INDEX(BookQ2,977)&gt;0,"Q2",IF(INDEX(BookQ3,977)&gt;0,"Q3",IF(INDEX(BookQ4,977)&gt;0,"Q4","")))))</f>
        <v/>
      </c>
      <c r="K982" s="42" t="str">
        <f aca="false">IF(INDEX(BookTitle,977)="","",INDEX(BookInYear,977))</f>
        <v/>
      </c>
      <c r="L982" s="19"/>
      <c r="M982" s="39"/>
      <c r="N982" s="19"/>
      <c r="O982" s="19"/>
      <c r="P982" s="43" t="str">
        <f aca="false">IF($E982="","",IF($L982="Decline",0,IF($L982="Approve fewer",IF($M982="","",$M982),IF($L982="","",$I982))))</f>
        <v/>
      </c>
      <c r="Q982" s="34" t="str">
        <f aca="false">IF($P982="","",IF($N982&lt;&gt;"",$N982,$J982))</f>
        <v/>
      </c>
      <c r="R982" s="35" t="str">
        <f aca="false">IF(OR($P982="",$Q982=""),"",INDEX(BookRate,977)*$P982*(5-MATCH($Q982,{"Q1";"Q2";"Q3";"Q4"},0))/4+INDEX(BookOneOff,977)*$P982)</f>
        <v/>
      </c>
      <c r="S982" s="35" t="str">
        <f aca="false">IF($P982="","",INDEX(BookRate,977)*$P982)</f>
        <v/>
      </c>
      <c r="T982" s="35" t="str">
        <f aca="false">IF($R982="","",$R982-$K982)</f>
        <v/>
      </c>
      <c r="U982" s="35" t="str">
        <f aca="false">IF(N($P982)&lt;=0,"",COUNTIF($P$6:$P982,"&gt;0"))</f>
        <v/>
      </c>
    </row>
    <row r="983" customFormat="false" ht="15" hidden="false" customHeight="false" outlineLevel="0" collapsed="false">
      <c r="A983" s="40" t="str">
        <f aca="false">IF(INDEX(BookTitle,978)="","",INDEX(BookGroup,978))</f>
        <v/>
      </c>
      <c r="B983" s="40" t="str">
        <f aca="false">IF(INDEX(BookTitle,978)="","",INDEX(BookRef,978))</f>
        <v/>
      </c>
      <c r="C983" s="40" t="str">
        <f aca="false">IF(INDEX(BookTitle,978)="","",INDEX(BookDivision,978))</f>
        <v/>
      </c>
      <c r="D983" s="40" t="str">
        <f aca="false">IF(INDEX(BookTitle,978)="","",INDEX(BookUnit,978))</f>
        <v/>
      </c>
      <c r="E983" s="40" t="str">
        <f aca="false">IF(INDEX(BookTitle,978)="","",INDEX(BookTitle,978))</f>
        <v/>
      </c>
      <c r="F983" s="40" t="str">
        <f aca="false">IF(INDEX(BookTitle,978)="","",INDEX(BookLevel,978))</f>
        <v/>
      </c>
      <c r="G983" s="40" t="str">
        <f aca="false">IF(INDEX(BookTitle,978)="","",INDEX(BookCategory,978))</f>
        <v/>
      </c>
      <c r="H983" s="40" t="str">
        <f aca="false">IF(INDEX(BookTitle,978)="","",INDEX(BookRank,978))</f>
        <v/>
      </c>
      <c r="I983" s="41" t="str">
        <f aca="false">IF(INDEX(BookTitle,978)="","",INDEX(BookTotal,978))</f>
        <v/>
      </c>
      <c r="J983" s="0" t="str">
        <f aca="false">IF($I983="","",IF(INDEX(BookQ1,978)&gt;0,"Q1",IF(INDEX(BookQ2,978)&gt;0,"Q2",IF(INDEX(BookQ3,978)&gt;0,"Q3",IF(INDEX(BookQ4,978)&gt;0,"Q4","")))))</f>
        <v/>
      </c>
      <c r="K983" s="42" t="str">
        <f aca="false">IF(INDEX(BookTitle,978)="","",INDEX(BookInYear,978))</f>
        <v/>
      </c>
      <c r="L983" s="19"/>
      <c r="M983" s="39"/>
      <c r="N983" s="19"/>
      <c r="O983" s="19"/>
      <c r="P983" s="43" t="str">
        <f aca="false">IF($E983="","",IF($L983="Decline",0,IF($L983="Approve fewer",IF($M983="","",$M983),IF($L983="","",$I983))))</f>
        <v/>
      </c>
      <c r="Q983" s="34" t="str">
        <f aca="false">IF($P983="","",IF($N983&lt;&gt;"",$N983,$J983))</f>
        <v/>
      </c>
      <c r="R983" s="35" t="str">
        <f aca="false">IF(OR($P983="",$Q983=""),"",INDEX(BookRate,978)*$P983*(5-MATCH($Q983,{"Q1";"Q2";"Q3";"Q4"},0))/4+INDEX(BookOneOff,978)*$P983)</f>
        <v/>
      </c>
      <c r="S983" s="35" t="str">
        <f aca="false">IF($P983="","",INDEX(BookRate,978)*$P983)</f>
        <v/>
      </c>
      <c r="T983" s="35" t="str">
        <f aca="false">IF($R983="","",$R983-$K983)</f>
        <v/>
      </c>
      <c r="U983" s="35" t="str">
        <f aca="false">IF(N($P983)&lt;=0,"",COUNTIF($P$6:$P983,"&gt;0"))</f>
        <v/>
      </c>
    </row>
    <row r="984" customFormat="false" ht="15" hidden="false" customHeight="false" outlineLevel="0" collapsed="false">
      <c r="A984" s="40" t="str">
        <f aca="false">IF(INDEX(BookTitle,979)="","",INDEX(BookGroup,979))</f>
        <v/>
      </c>
      <c r="B984" s="40" t="str">
        <f aca="false">IF(INDEX(BookTitle,979)="","",INDEX(BookRef,979))</f>
        <v/>
      </c>
      <c r="C984" s="40" t="str">
        <f aca="false">IF(INDEX(BookTitle,979)="","",INDEX(BookDivision,979))</f>
        <v/>
      </c>
      <c r="D984" s="40" t="str">
        <f aca="false">IF(INDEX(BookTitle,979)="","",INDEX(BookUnit,979))</f>
        <v/>
      </c>
      <c r="E984" s="40" t="str">
        <f aca="false">IF(INDEX(BookTitle,979)="","",INDEX(BookTitle,979))</f>
        <v/>
      </c>
      <c r="F984" s="40" t="str">
        <f aca="false">IF(INDEX(BookTitle,979)="","",INDEX(BookLevel,979))</f>
        <v/>
      </c>
      <c r="G984" s="40" t="str">
        <f aca="false">IF(INDEX(BookTitle,979)="","",INDEX(BookCategory,979))</f>
        <v/>
      </c>
      <c r="H984" s="40" t="str">
        <f aca="false">IF(INDEX(BookTitle,979)="","",INDEX(BookRank,979))</f>
        <v/>
      </c>
      <c r="I984" s="41" t="str">
        <f aca="false">IF(INDEX(BookTitle,979)="","",INDEX(BookTotal,979))</f>
        <v/>
      </c>
      <c r="J984" s="0" t="str">
        <f aca="false">IF($I984="","",IF(INDEX(BookQ1,979)&gt;0,"Q1",IF(INDEX(BookQ2,979)&gt;0,"Q2",IF(INDEX(BookQ3,979)&gt;0,"Q3",IF(INDEX(BookQ4,979)&gt;0,"Q4","")))))</f>
        <v/>
      </c>
      <c r="K984" s="42" t="str">
        <f aca="false">IF(INDEX(BookTitle,979)="","",INDEX(BookInYear,979))</f>
        <v/>
      </c>
      <c r="L984" s="19"/>
      <c r="M984" s="39"/>
      <c r="N984" s="19"/>
      <c r="O984" s="19"/>
      <c r="P984" s="43" t="str">
        <f aca="false">IF($E984="","",IF($L984="Decline",0,IF($L984="Approve fewer",IF($M984="","",$M984),IF($L984="","",$I984))))</f>
        <v/>
      </c>
      <c r="Q984" s="34" t="str">
        <f aca="false">IF($P984="","",IF($N984&lt;&gt;"",$N984,$J984))</f>
        <v/>
      </c>
      <c r="R984" s="35" t="str">
        <f aca="false">IF(OR($P984="",$Q984=""),"",INDEX(BookRate,979)*$P984*(5-MATCH($Q984,{"Q1";"Q2";"Q3";"Q4"},0))/4+INDEX(BookOneOff,979)*$P984)</f>
        <v/>
      </c>
      <c r="S984" s="35" t="str">
        <f aca="false">IF($P984="","",INDEX(BookRate,979)*$P984)</f>
        <v/>
      </c>
      <c r="T984" s="35" t="str">
        <f aca="false">IF($R984="","",$R984-$K984)</f>
        <v/>
      </c>
      <c r="U984" s="35" t="str">
        <f aca="false">IF(N($P984)&lt;=0,"",COUNTIF($P$6:$P984,"&gt;0"))</f>
        <v/>
      </c>
    </row>
    <row r="985" customFormat="false" ht="15" hidden="false" customHeight="false" outlineLevel="0" collapsed="false">
      <c r="A985" s="40" t="str">
        <f aca="false">IF(INDEX(BookTitle,980)="","",INDEX(BookGroup,980))</f>
        <v/>
      </c>
      <c r="B985" s="40" t="str">
        <f aca="false">IF(INDEX(BookTitle,980)="","",INDEX(BookRef,980))</f>
        <v/>
      </c>
      <c r="C985" s="40" t="str">
        <f aca="false">IF(INDEX(BookTitle,980)="","",INDEX(BookDivision,980))</f>
        <v/>
      </c>
      <c r="D985" s="40" t="str">
        <f aca="false">IF(INDEX(BookTitle,980)="","",INDEX(BookUnit,980))</f>
        <v/>
      </c>
      <c r="E985" s="40" t="str">
        <f aca="false">IF(INDEX(BookTitle,980)="","",INDEX(BookTitle,980))</f>
        <v/>
      </c>
      <c r="F985" s="40" t="str">
        <f aca="false">IF(INDEX(BookTitle,980)="","",INDEX(BookLevel,980))</f>
        <v/>
      </c>
      <c r="G985" s="40" t="str">
        <f aca="false">IF(INDEX(BookTitle,980)="","",INDEX(BookCategory,980))</f>
        <v/>
      </c>
      <c r="H985" s="40" t="str">
        <f aca="false">IF(INDEX(BookTitle,980)="","",INDEX(BookRank,980))</f>
        <v/>
      </c>
      <c r="I985" s="41" t="str">
        <f aca="false">IF(INDEX(BookTitle,980)="","",INDEX(BookTotal,980))</f>
        <v/>
      </c>
      <c r="J985" s="0" t="str">
        <f aca="false">IF($I985="","",IF(INDEX(BookQ1,980)&gt;0,"Q1",IF(INDEX(BookQ2,980)&gt;0,"Q2",IF(INDEX(BookQ3,980)&gt;0,"Q3",IF(INDEX(BookQ4,980)&gt;0,"Q4","")))))</f>
        <v/>
      </c>
      <c r="K985" s="42" t="str">
        <f aca="false">IF(INDEX(BookTitle,980)="","",INDEX(BookInYear,980))</f>
        <v/>
      </c>
      <c r="L985" s="19"/>
      <c r="M985" s="39"/>
      <c r="N985" s="19"/>
      <c r="O985" s="19"/>
      <c r="P985" s="43" t="str">
        <f aca="false">IF($E985="","",IF($L985="Decline",0,IF($L985="Approve fewer",IF($M985="","",$M985),IF($L985="","",$I985))))</f>
        <v/>
      </c>
      <c r="Q985" s="34" t="str">
        <f aca="false">IF($P985="","",IF($N985&lt;&gt;"",$N985,$J985))</f>
        <v/>
      </c>
      <c r="R985" s="35" t="str">
        <f aca="false">IF(OR($P985="",$Q985=""),"",INDEX(BookRate,980)*$P985*(5-MATCH($Q985,{"Q1";"Q2";"Q3";"Q4"},0))/4+INDEX(BookOneOff,980)*$P985)</f>
        <v/>
      </c>
      <c r="S985" s="35" t="str">
        <f aca="false">IF($P985="","",INDEX(BookRate,980)*$P985)</f>
        <v/>
      </c>
      <c r="T985" s="35" t="str">
        <f aca="false">IF($R985="","",$R985-$K985)</f>
        <v/>
      </c>
      <c r="U985" s="35" t="str">
        <f aca="false">IF(N($P985)&lt;=0,"",COUNTIF($P$6:$P985,"&gt;0"))</f>
        <v/>
      </c>
    </row>
    <row r="986" customFormat="false" ht="15" hidden="false" customHeight="false" outlineLevel="0" collapsed="false">
      <c r="A986" s="40" t="str">
        <f aca="false">IF(INDEX(BookTitle,981)="","",INDEX(BookGroup,981))</f>
        <v/>
      </c>
      <c r="B986" s="40" t="str">
        <f aca="false">IF(INDEX(BookTitle,981)="","",INDEX(BookRef,981))</f>
        <v/>
      </c>
      <c r="C986" s="40" t="str">
        <f aca="false">IF(INDEX(BookTitle,981)="","",INDEX(BookDivision,981))</f>
        <v/>
      </c>
      <c r="D986" s="40" t="str">
        <f aca="false">IF(INDEX(BookTitle,981)="","",INDEX(BookUnit,981))</f>
        <v/>
      </c>
      <c r="E986" s="40" t="str">
        <f aca="false">IF(INDEX(BookTitle,981)="","",INDEX(BookTitle,981))</f>
        <v/>
      </c>
      <c r="F986" s="40" t="str">
        <f aca="false">IF(INDEX(BookTitle,981)="","",INDEX(BookLevel,981))</f>
        <v/>
      </c>
      <c r="G986" s="40" t="str">
        <f aca="false">IF(INDEX(BookTitle,981)="","",INDEX(BookCategory,981))</f>
        <v/>
      </c>
      <c r="H986" s="40" t="str">
        <f aca="false">IF(INDEX(BookTitle,981)="","",INDEX(BookRank,981))</f>
        <v/>
      </c>
      <c r="I986" s="41" t="str">
        <f aca="false">IF(INDEX(BookTitle,981)="","",INDEX(BookTotal,981))</f>
        <v/>
      </c>
      <c r="J986" s="0" t="str">
        <f aca="false">IF($I986="","",IF(INDEX(BookQ1,981)&gt;0,"Q1",IF(INDEX(BookQ2,981)&gt;0,"Q2",IF(INDEX(BookQ3,981)&gt;0,"Q3",IF(INDEX(BookQ4,981)&gt;0,"Q4","")))))</f>
        <v/>
      </c>
      <c r="K986" s="42" t="str">
        <f aca="false">IF(INDEX(BookTitle,981)="","",INDEX(BookInYear,981))</f>
        <v/>
      </c>
      <c r="L986" s="19"/>
      <c r="M986" s="39"/>
      <c r="N986" s="19"/>
      <c r="O986" s="19"/>
      <c r="P986" s="43" t="str">
        <f aca="false">IF($E986="","",IF($L986="Decline",0,IF($L986="Approve fewer",IF($M986="","",$M986),IF($L986="","",$I986))))</f>
        <v/>
      </c>
      <c r="Q986" s="34" t="str">
        <f aca="false">IF($P986="","",IF($N986&lt;&gt;"",$N986,$J986))</f>
        <v/>
      </c>
      <c r="R986" s="35" t="str">
        <f aca="false">IF(OR($P986="",$Q986=""),"",INDEX(BookRate,981)*$P986*(5-MATCH($Q986,{"Q1";"Q2";"Q3";"Q4"},0))/4+INDEX(BookOneOff,981)*$P986)</f>
        <v/>
      </c>
      <c r="S986" s="35" t="str">
        <f aca="false">IF($P986="","",INDEX(BookRate,981)*$P986)</f>
        <v/>
      </c>
      <c r="T986" s="35" t="str">
        <f aca="false">IF($R986="","",$R986-$K986)</f>
        <v/>
      </c>
      <c r="U986" s="35" t="str">
        <f aca="false">IF(N($P986)&lt;=0,"",COUNTIF($P$6:$P986,"&gt;0"))</f>
        <v/>
      </c>
    </row>
    <row r="987" customFormat="false" ht="15" hidden="false" customHeight="false" outlineLevel="0" collapsed="false">
      <c r="A987" s="40" t="str">
        <f aca="false">IF(INDEX(BookTitle,982)="","",INDEX(BookGroup,982))</f>
        <v/>
      </c>
      <c r="B987" s="40" t="str">
        <f aca="false">IF(INDEX(BookTitle,982)="","",INDEX(BookRef,982))</f>
        <v/>
      </c>
      <c r="C987" s="40" t="str">
        <f aca="false">IF(INDEX(BookTitle,982)="","",INDEX(BookDivision,982))</f>
        <v/>
      </c>
      <c r="D987" s="40" t="str">
        <f aca="false">IF(INDEX(BookTitle,982)="","",INDEX(BookUnit,982))</f>
        <v/>
      </c>
      <c r="E987" s="40" t="str">
        <f aca="false">IF(INDEX(BookTitle,982)="","",INDEX(BookTitle,982))</f>
        <v/>
      </c>
      <c r="F987" s="40" t="str">
        <f aca="false">IF(INDEX(BookTitle,982)="","",INDEX(BookLevel,982))</f>
        <v/>
      </c>
      <c r="G987" s="40" t="str">
        <f aca="false">IF(INDEX(BookTitle,982)="","",INDEX(BookCategory,982))</f>
        <v/>
      </c>
      <c r="H987" s="40" t="str">
        <f aca="false">IF(INDEX(BookTitle,982)="","",INDEX(BookRank,982))</f>
        <v/>
      </c>
      <c r="I987" s="41" t="str">
        <f aca="false">IF(INDEX(BookTitle,982)="","",INDEX(BookTotal,982))</f>
        <v/>
      </c>
      <c r="J987" s="0" t="str">
        <f aca="false">IF($I987="","",IF(INDEX(BookQ1,982)&gt;0,"Q1",IF(INDEX(BookQ2,982)&gt;0,"Q2",IF(INDEX(BookQ3,982)&gt;0,"Q3",IF(INDEX(BookQ4,982)&gt;0,"Q4","")))))</f>
        <v/>
      </c>
      <c r="K987" s="42" t="str">
        <f aca="false">IF(INDEX(BookTitle,982)="","",INDEX(BookInYear,982))</f>
        <v/>
      </c>
      <c r="L987" s="19"/>
      <c r="M987" s="39"/>
      <c r="N987" s="19"/>
      <c r="O987" s="19"/>
      <c r="P987" s="43" t="str">
        <f aca="false">IF($E987="","",IF($L987="Decline",0,IF($L987="Approve fewer",IF($M987="","",$M987),IF($L987="","",$I987))))</f>
        <v/>
      </c>
      <c r="Q987" s="34" t="str">
        <f aca="false">IF($P987="","",IF($N987&lt;&gt;"",$N987,$J987))</f>
        <v/>
      </c>
      <c r="R987" s="35" t="str">
        <f aca="false">IF(OR($P987="",$Q987=""),"",INDEX(BookRate,982)*$P987*(5-MATCH($Q987,{"Q1";"Q2";"Q3";"Q4"},0))/4+INDEX(BookOneOff,982)*$P987)</f>
        <v/>
      </c>
      <c r="S987" s="35" t="str">
        <f aca="false">IF($P987="","",INDEX(BookRate,982)*$P987)</f>
        <v/>
      </c>
      <c r="T987" s="35" t="str">
        <f aca="false">IF($R987="","",$R987-$K987)</f>
        <v/>
      </c>
      <c r="U987" s="35" t="str">
        <f aca="false">IF(N($P987)&lt;=0,"",COUNTIF($P$6:$P987,"&gt;0"))</f>
        <v/>
      </c>
    </row>
    <row r="988" customFormat="false" ht="15" hidden="false" customHeight="false" outlineLevel="0" collapsed="false">
      <c r="A988" s="40" t="str">
        <f aca="false">IF(INDEX(BookTitle,983)="","",INDEX(BookGroup,983))</f>
        <v/>
      </c>
      <c r="B988" s="40" t="str">
        <f aca="false">IF(INDEX(BookTitle,983)="","",INDEX(BookRef,983))</f>
        <v/>
      </c>
      <c r="C988" s="40" t="str">
        <f aca="false">IF(INDEX(BookTitle,983)="","",INDEX(BookDivision,983))</f>
        <v/>
      </c>
      <c r="D988" s="40" t="str">
        <f aca="false">IF(INDEX(BookTitle,983)="","",INDEX(BookUnit,983))</f>
        <v/>
      </c>
      <c r="E988" s="40" t="str">
        <f aca="false">IF(INDEX(BookTitle,983)="","",INDEX(BookTitle,983))</f>
        <v/>
      </c>
      <c r="F988" s="40" t="str">
        <f aca="false">IF(INDEX(BookTitle,983)="","",INDEX(BookLevel,983))</f>
        <v/>
      </c>
      <c r="G988" s="40" t="str">
        <f aca="false">IF(INDEX(BookTitle,983)="","",INDEX(BookCategory,983))</f>
        <v/>
      </c>
      <c r="H988" s="40" t="str">
        <f aca="false">IF(INDEX(BookTitle,983)="","",INDEX(BookRank,983))</f>
        <v/>
      </c>
      <c r="I988" s="41" t="str">
        <f aca="false">IF(INDEX(BookTitle,983)="","",INDEX(BookTotal,983))</f>
        <v/>
      </c>
      <c r="J988" s="0" t="str">
        <f aca="false">IF($I988="","",IF(INDEX(BookQ1,983)&gt;0,"Q1",IF(INDEX(BookQ2,983)&gt;0,"Q2",IF(INDEX(BookQ3,983)&gt;0,"Q3",IF(INDEX(BookQ4,983)&gt;0,"Q4","")))))</f>
        <v/>
      </c>
      <c r="K988" s="42" t="str">
        <f aca="false">IF(INDEX(BookTitle,983)="","",INDEX(BookInYear,983))</f>
        <v/>
      </c>
      <c r="L988" s="19"/>
      <c r="M988" s="39"/>
      <c r="N988" s="19"/>
      <c r="O988" s="19"/>
      <c r="P988" s="43" t="str">
        <f aca="false">IF($E988="","",IF($L988="Decline",0,IF($L988="Approve fewer",IF($M988="","",$M988),IF($L988="","",$I988))))</f>
        <v/>
      </c>
      <c r="Q988" s="34" t="str">
        <f aca="false">IF($P988="","",IF($N988&lt;&gt;"",$N988,$J988))</f>
        <v/>
      </c>
      <c r="R988" s="35" t="str">
        <f aca="false">IF(OR($P988="",$Q988=""),"",INDEX(BookRate,983)*$P988*(5-MATCH($Q988,{"Q1";"Q2";"Q3";"Q4"},0))/4+INDEX(BookOneOff,983)*$P988)</f>
        <v/>
      </c>
      <c r="S988" s="35" t="str">
        <f aca="false">IF($P988="","",INDEX(BookRate,983)*$P988)</f>
        <v/>
      </c>
      <c r="T988" s="35" t="str">
        <f aca="false">IF($R988="","",$R988-$K988)</f>
        <v/>
      </c>
      <c r="U988" s="35" t="str">
        <f aca="false">IF(N($P988)&lt;=0,"",COUNTIF($P$6:$P988,"&gt;0"))</f>
        <v/>
      </c>
    </row>
    <row r="989" customFormat="false" ht="15" hidden="false" customHeight="false" outlineLevel="0" collapsed="false">
      <c r="A989" s="40" t="str">
        <f aca="false">IF(INDEX(BookTitle,984)="","",INDEX(BookGroup,984))</f>
        <v/>
      </c>
      <c r="B989" s="40" t="str">
        <f aca="false">IF(INDEX(BookTitle,984)="","",INDEX(BookRef,984))</f>
        <v/>
      </c>
      <c r="C989" s="40" t="str">
        <f aca="false">IF(INDEX(BookTitle,984)="","",INDEX(BookDivision,984))</f>
        <v/>
      </c>
      <c r="D989" s="40" t="str">
        <f aca="false">IF(INDEX(BookTitle,984)="","",INDEX(BookUnit,984))</f>
        <v/>
      </c>
      <c r="E989" s="40" t="str">
        <f aca="false">IF(INDEX(BookTitle,984)="","",INDEX(BookTitle,984))</f>
        <v/>
      </c>
      <c r="F989" s="40" t="str">
        <f aca="false">IF(INDEX(BookTitle,984)="","",INDEX(BookLevel,984))</f>
        <v/>
      </c>
      <c r="G989" s="40" t="str">
        <f aca="false">IF(INDEX(BookTitle,984)="","",INDEX(BookCategory,984))</f>
        <v/>
      </c>
      <c r="H989" s="40" t="str">
        <f aca="false">IF(INDEX(BookTitle,984)="","",INDEX(BookRank,984))</f>
        <v/>
      </c>
      <c r="I989" s="41" t="str">
        <f aca="false">IF(INDEX(BookTitle,984)="","",INDEX(BookTotal,984))</f>
        <v/>
      </c>
      <c r="J989" s="0" t="str">
        <f aca="false">IF($I989="","",IF(INDEX(BookQ1,984)&gt;0,"Q1",IF(INDEX(BookQ2,984)&gt;0,"Q2",IF(INDEX(BookQ3,984)&gt;0,"Q3",IF(INDEX(BookQ4,984)&gt;0,"Q4","")))))</f>
        <v/>
      </c>
      <c r="K989" s="42" t="str">
        <f aca="false">IF(INDEX(BookTitle,984)="","",INDEX(BookInYear,984))</f>
        <v/>
      </c>
      <c r="L989" s="19"/>
      <c r="M989" s="39"/>
      <c r="N989" s="19"/>
      <c r="O989" s="19"/>
      <c r="P989" s="43" t="str">
        <f aca="false">IF($E989="","",IF($L989="Decline",0,IF($L989="Approve fewer",IF($M989="","",$M989),IF($L989="","",$I989))))</f>
        <v/>
      </c>
      <c r="Q989" s="34" t="str">
        <f aca="false">IF($P989="","",IF($N989&lt;&gt;"",$N989,$J989))</f>
        <v/>
      </c>
      <c r="R989" s="35" t="str">
        <f aca="false">IF(OR($P989="",$Q989=""),"",INDEX(BookRate,984)*$P989*(5-MATCH($Q989,{"Q1";"Q2";"Q3";"Q4"},0))/4+INDEX(BookOneOff,984)*$P989)</f>
        <v/>
      </c>
      <c r="S989" s="35" t="str">
        <f aca="false">IF($P989="","",INDEX(BookRate,984)*$P989)</f>
        <v/>
      </c>
      <c r="T989" s="35" t="str">
        <f aca="false">IF($R989="","",$R989-$K989)</f>
        <v/>
      </c>
      <c r="U989" s="35" t="str">
        <f aca="false">IF(N($P989)&lt;=0,"",COUNTIF($P$6:$P989,"&gt;0"))</f>
        <v/>
      </c>
    </row>
    <row r="990" customFormat="false" ht="15" hidden="false" customHeight="false" outlineLevel="0" collapsed="false">
      <c r="A990" s="40" t="str">
        <f aca="false">IF(INDEX(BookTitle,985)="","",INDEX(BookGroup,985))</f>
        <v/>
      </c>
      <c r="B990" s="40" t="str">
        <f aca="false">IF(INDEX(BookTitle,985)="","",INDEX(BookRef,985))</f>
        <v/>
      </c>
      <c r="C990" s="40" t="str">
        <f aca="false">IF(INDEX(BookTitle,985)="","",INDEX(BookDivision,985))</f>
        <v/>
      </c>
      <c r="D990" s="40" t="str">
        <f aca="false">IF(INDEX(BookTitle,985)="","",INDEX(BookUnit,985))</f>
        <v/>
      </c>
      <c r="E990" s="40" t="str">
        <f aca="false">IF(INDEX(BookTitle,985)="","",INDEX(BookTitle,985))</f>
        <v/>
      </c>
      <c r="F990" s="40" t="str">
        <f aca="false">IF(INDEX(BookTitle,985)="","",INDEX(BookLevel,985))</f>
        <v/>
      </c>
      <c r="G990" s="40" t="str">
        <f aca="false">IF(INDEX(BookTitle,985)="","",INDEX(BookCategory,985))</f>
        <v/>
      </c>
      <c r="H990" s="40" t="str">
        <f aca="false">IF(INDEX(BookTitle,985)="","",INDEX(BookRank,985))</f>
        <v/>
      </c>
      <c r="I990" s="41" t="str">
        <f aca="false">IF(INDEX(BookTitle,985)="","",INDEX(BookTotal,985))</f>
        <v/>
      </c>
      <c r="J990" s="0" t="str">
        <f aca="false">IF($I990="","",IF(INDEX(BookQ1,985)&gt;0,"Q1",IF(INDEX(BookQ2,985)&gt;0,"Q2",IF(INDEX(BookQ3,985)&gt;0,"Q3",IF(INDEX(BookQ4,985)&gt;0,"Q4","")))))</f>
        <v/>
      </c>
      <c r="K990" s="42" t="str">
        <f aca="false">IF(INDEX(BookTitle,985)="","",INDEX(BookInYear,985))</f>
        <v/>
      </c>
      <c r="L990" s="19"/>
      <c r="M990" s="39"/>
      <c r="N990" s="19"/>
      <c r="O990" s="19"/>
      <c r="P990" s="43" t="str">
        <f aca="false">IF($E990="","",IF($L990="Decline",0,IF($L990="Approve fewer",IF($M990="","",$M990),IF($L990="","",$I990))))</f>
        <v/>
      </c>
      <c r="Q990" s="34" t="str">
        <f aca="false">IF($P990="","",IF($N990&lt;&gt;"",$N990,$J990))</f>
        <v/>
      </c>
      <c r="R990" s="35" t="str">
        <f aca="false">IF(OR($P990="",$Q990=""),"",INDEX(BookRate,985)*$P990*(5-MATCH($Q990,{"Q1";"Q2";"Q3";"Q4"},0))/4+INDEX(BookOneOff,985)*$P990)</f>
        <v/>
      </c>
      <c r="S990" s="35" t="str">
        <f aca="false">IF($P990="","",INDEX(BookRate,985)*$P990)</f>
        <v/>
      </c>
      <c r="T990" s="35" t="str">
        <f aca="false">IF($R990="","",$R990-$K990)</f>
        <v/>
      </c>
      <c r="U990" s="35" t="str">
        <f aca="false">IF(N($P990)&lt;=0,"",COUNTIF($P$6:$P990,"&gt;0"))</f>
        <v/>
      </c>
    </row>
    <row r="991" customFormat="false" ht="15" hidden="false" customHeight="false" outlineLevel="0" collapsed="false">
      <c r="A991" s="40" t="str">
        <f aca="false">IF(INDEX(BookTitle,986)="","",INDEX(BookGroup,986))</f>
        <v/>
      </c>
      <c r="B991" s="40" t="str">
        <f aca="false">IF(INDEX(BookTitle,986)="","",INDEX(BookRef,986))</f>
        <v/>
      </c>
      <c r="C991" s="40" t="str">
        <f aca="false">IF(INDEX(BookTitle,986)="","",INDEX(BookDivision,986))</f>
        <v/>
      </c>
      <c r="D991" s="40" t="str">
        <f aca="false">IF(INDEX(BookTitle,986)="","",INDEX(BookUnit,986))</f>
        <v/>
      </c>
      <c r="E991" s="40" t="str">
        <f aca="false">IF(INDEX(BookTitle,986)="","",INDEX(BookTitle,986))</f>
        <v/>
      </c>
      <c r="F991" s="40" t="str">
        <f aca="false">IF(INDEX(BookTitle,986)="","",INDEX(BookLevel,986))</f>
        <v/>
      </c>
      <c r="G991" s="40" t="str">
        <f aca="false">IF(INDEX(BookTitle,986)="","",INDEX(BookCategory,986))</f>
        <v/>
      </c>
      <c r="H991" s="40" t="str">
        <f aca="false">IF(INDEX(BookTitle,986)="","",INDEX(BookRank,986))</f>
        <v/>
      </c>
      <c r="I991" s="41" t="str">
        <f aca="false">IF(INDEX(BookTitle,986)="","",INDEX(BookTotal,986))</f>
        <v/>
      </c>
      <c r="J991" s="0" t="str">
        <f aca="false">IF($I991="","",IF(INDEX(BookQ1,986)&gt;0,"Q1",IF(INDEX(BookQ2,986)&gt;0,"Q2",IF(INDEX(BookQ3,986)&gt;0,"Q3",IF(INDEX(BookQ4,986)&gt;0,"Q4","")))))</f>
        <v/>
      </c>
      <c r="K991" s="42" t="str">
        <f aca="false">IF(INDEX(BookTitle,986)="","",INDEX(BookInYear,986))</f>
        <v/>
      </c>
      <c r="L991" s="19"/>
      <c r="M991" s="39"/>
      <c r="N991" s="19"/>
      <c r="O991" s="19"/>
      <c r="P991" s="43" t="str">
        <f aca="false">IF($E991="","",IF($L991="Decline",0,IF($L991="Approve fewer",IF($M991="","",$M991),IF($L991="","",$I991))))</f>
        <v/>
      </c>
      <c r="Q991" s="34" t="str">
        <f aca="false">IF($P991="","",IF($N991&lt;&gt;"",$N991,$J991))</f>
        <v/>
      </c>
      <c r="R991" s="35" t="str">
        <f aca="false">IF(OR($P991="",$Q991=""),"",INDEX(BookRate,986)*$P991*(5-MATCH($Q991,{"Q1";"Q2";"Q3";"Q4"},0))/4+INDEX(BookOneOff,986)*$P991)</f>
        <v/>
      </c>
      <c r="S991" s="35" t="str">
        <f aca="false">IF($P991="","",INDEX(BookRate,986)*$P991)</f>
        <v/>
      </c>
      <c r="T991" s="35" t="str">
        <f aca="false">IF($R991="","",$R991-$K991)</f>
        <v/>
      </c>
      <c r="U991" s="35" t="str">
        <f aca="false">IF(N($P991)&lt;=0,"",COUNTIF($P$6:$P991,"&gt;0"))</f>
        <v/>
      </c>
    </row>
    <row r="992" customFormat="false" ht="15" hidden="false" customHeight="false" outlineLevel="0" collapsed="false">
      <c r="A992" s="40" t="str">
        <f aca="false">IF(INDEX(BookTitle,987)="","",INDEX(BookGroup,987))</f>
        <v/>
      </c>
      <c r="B992" s="40" t="str">
        <f aca="false">IF(INDEX(BookTitle,987)="","",INDEX(BookRef,987))</f>
        <v/>
      </c>
      <c r="C992" s="40" t="str">
        <f aca="false">IF(INDEX(BookTitle,987)="","",INDEX(BookDivision,987))</f>
        <v/>
      </c>
      <c r="D992" s="40" t="str">
        <f aca="false">IF(INDEX(BookTitle,987)="","",INDEX(BookUnit,987))</f>
        <v/>
      </c>
      <c r="E992" s="40" t="str">
        <f aca="false">IF(INDEX(BookTitle,987)="","",INDEX(BookTitle,987))</f>
        <v/>
      </c>
      <c r="F992" s="40" t="str">
        <f aca="false">IF(INDEX(BookTitle,987)="","",INDEX(BookLevel,987))</f>
        <v/>
      </c>
      <c r="G992" s="40" t="str">
        <f aca="false">IF(INDEX(BookTitle,987)="","",INDEX(BookCategory,987))</f>
        <v/>
      </c>
      <c r="H992" s="40" t="str">
        <f aca="false">IF(INDEX(BookTitle,987)="","",INDEX(BookRank,987))</f>
        <v/>
      </c>
      <c r="I992" s="41" t="str">
        <f aca="false">IF(INDEX(BookTitle,987)="","",INDEX(BookTotal,987))</f>
        <v/>
      </c>
      <c r="J992" s="0" t="str">
        <f aca="false">IF($I992="","",IF(INDEX(BookQ1,987)&gt;0,"Q1",IF(INDEX(BookQ2,987)&gt;0,"Q2",IF(INDEX(BookQ3,987)&gt;0,"Q3",IF(INDEX(BookQ4,987)&gt;0,"Q4","")))))</f>
        <v/>
      </c>
      <c r="K992" s="42" t="str">
        <f aca="false">IF(INDEX(BookTitle,987)="","",INDEX(BookInYear,987))</f>
        <v/>
      </c>
      <c r="L992" s="19"/>
      <c r="M992" s="39"/>
      <c r="N992" s="19"/>
      <c r="O992" s="19"/>
      <c r="P992" s="43" t="str">
        <f aca="false">IF($E992="","",IF($L992="Decline",0,IF($L992="Approve fewer",IF($M992="","",$M992),IF($L992="","",$I992))))</f>
        <v/>
      </c>
      <c r="Q992" s="34" t="str">
        <f aca="false">IF($P992="","",IF($N992&lt;&gt;"",$N992,$J992))</f>
        <v/>
      </c>
      <c r="R992" s="35" t="str">
        <f aca="false">IF(OR($P992="",$Q992=""),"",INDEX(BookRate,987)*$P992*(5-MATCH($Q992,{"Q1";"Q2";"Q3";"Q4"},0))/4+INDEX(BookOneOff,987)*$P992)</f>
        <v/>
      </c>
      <c r="S992" s="35" t="str">
        <f aca="false">IF($P992="","",INDEX(BookRate,987)*$P992)</f>
        <v/>
      </c>
      <c r="T992" s="35" t="str">
        <f aca="false">IF($R992="","",$R992-$K992)</f>
        <v/>
      </c>
      <c r="U992" s="35" t="str">
        <f aca="false">IF(N($P992)&lt;=0,"",COUNTIF($P$6:$P992,"&gt;0"))</f>
        <v/>
      </c>
    </row>
    <row r="993" customFormat="false" ht="15" hidden="false" customHeight="false" outlineLevel="0" collapsed="false">
      <c r="A993" s="40" t="str">
        <f aca="false">IF(INDEX(BookTitle,988)="","",INDEX(BookGroup,988))</f>
        <v/>
      </c>
      <c r="B993" s="40" t="str">
        <f aca="false">IF(INDEX(BookTitle,988)="","",INDEX(BookRef,988))</f>
        <v/>
      </c>
      <c r="C993" s="40" t="str">
        <f aca="false">IF(INDEX(BookTitle,988)="","",INDEX(BookDivision,988))</f>
        <v/>
      </c>
      <c r="D993" s="40" t="str">
        <f aca="false">IF(INDEX(BookTitle,988)="","",INDEX(BookUnit,988))</f>
        <v/>
      </c>
      <c r="E993" s="40" t="str">
        <f aca="false">IF(INDEX(BookTitle,988)="","",INDEX(BookTitle,988))</f>
        <v/>
      </c>
      <c r="F993" s="40" t="str">
        <f aca="false">IF(INDEX(BookTitle,988)="","",INDEX(BookLevel,988))</f>
        <v/>
      </c>
      <c r="G993" s="40" t="str">
        <f aca="false">IF(INDEX(BookTitle,988)="","",INDEX(BookCategory,988))</f>
        <v/>
      </c>
      <c r="H993" s="40" t="str">
        <f aca="false">IF(INDEX(BookTitle,988)="","",INDEX(BookRank,988))</f>
        <v/>
      </c>
      <c r="I993" s="41" t="str">
        <f aca="false">IF(INDEX(BookTitle,988)="","",INDEX(BookTotal,988))</f>
        <v/>
      </c>
      <c r="J993" s="0" t="str">
        <f aca="false">IF($I993="","",IF(INDEX(BookQ1,988)&gt;0,"Q1",IF(INDEX(BookQ2,988)&gt;0,"Q2",IF(INDEX(BookQ3,988)&gt;0,"Q3",IF(INDEX(BookQ4,988)&gt;0,"Q4","")))))</f>
        <v/>
      </c>
      <c r="K993" s="42" t="str">
        <f aca="false">IF(INDEX(BookTitle,988)="","",INDEX(BookInYear,988))</f>
        <v/>
      </c>
      <c r="L993" s="19"/>
      <c r="M993" s="39"/>
      <c r="N993" s="19"/>
      <c r="O993" s="19"/>
      <c r="P993" s="43" t="str">
        <f aca="false">IF($E993="","",IF($L993="Decline",0,IF($L993="Approve fewer",IF($M993="","",$M993),IF($L993="","",$I993))))</f>
        <v/>
      </c>
      <c r="Q993" s="34" t="str">
        <f aca="false">IF($P993="","",IF($N993&lt;&gt;"",$N993,$J993))</f>
        <v/>
      </c>
      <c r="R993" s="35" t="str">
        <f aca="false">IF(OR($P993="",$Q993=""),"",INDEX(BookRate,988)*$P993*(5-MATCH($Q993,{"Q1";"Q2";"Q3";"Q4"},0))/4+INDEX(BookOneOff,988)*$P993)</f>
        <v/>
      </c>
      <c r="S993" s="35" t="str">
        <f aca="false">IF($P993="","",INDEX(BookRate,988)*$P993)</f>
        <v/>
      </c>
      <c r="T993" s="35" t="str">
        <f aca="false">IF($R993="","",$R993-$K993)</f>
        <v/>
      </c>
      <c r="U993" s="35" t="str">
        <f aca="false">IF(N($P993)&lt;=0,"",COUNTIF($P$6:$P993,"&gt;0"))</f>
        <v/>
      </c>
    </row>
    <row r="994" customFormat="false" ht="15" hidden="false" customHeight="false" outlineLevel="0" collapsed="false">
      <c r="A994" s="40" t="str">
        <f aca="false">IF(INDEX(BookTitle,989)="","",INDEX(BookGroup,989))</f>
        <v/>
      </c>
      <c r="B994" s="40" t="str">
        <f aca="false">IF(INDEX(BookTitle,989)="","",INDEX(BookRef,989))</f>
        <v/>
      </c>
      <c r="C994" s="40" t="str">
        <f aca="false">IF(INDEX(BookTitle,989)="","",INDEX(BookDivision,989))</f>
        <v/>
      </c>
      <c r="D994" s="40" t="str">
        <f aca="false">IF(INDEX(BookTitle,989)="","",INDEX(BookUnit,989))</f>
        <v/>
      </c>
      <c r="E994" s="40" t="str">
        <f aca="false">IF(INDEX(BookTitle,989)="","",INDEX(BookTitle,989))</f>
        <v/>
      </c>
      <c r="F994" s="40" t="str">
        <f aca="false">IF(INDEX(BookTitle,989)="","",INDEX(BookLevel,989))</f>
        <v/>
      </c>
      <c r="G994" s="40" t="str">
        <f aca="false">IF(INDEX(BookTitle,989)="","",INDEX(BookCategory,989))</f>
        <v/>
      </c>
      <c r="H994" s="40" t="str">
        <f aca="false">IF(INDEX(BookTitle,989)="","",INDEX(BookRank,989))</f>
        <v/>
      </c>
      <c r="I994" s="41" t="str">
        <f aca="false">IF(INDEX(BookTitle,989)="","",INDEX(BookTotal,989))</f>
        <v/>
      </c>
      <c r="J994" s="0" t="str">
        <f aca="false">IF($I994="","",IF(INDEX(BookQ1,989)&gt;0,"Q1",IF(INDEX(BookQ2,989)&gt;0,"Q2",IF(INDEX(BookQ3,989)&gt;0,"Q3",IF(INDEX(BookQ4,989)&gt;0,"Q4","")))))</f>
        <v/>
      </c>
      <c r="K994" s="42" t="str">
        <f aca="false">IF(INDEX(BookTitle,989)="","",INDEX(BookInYear,989))</f>
        <v/>
      </c>
      <c r="L994" s="19"/>
      <c r="M994" s="39"/>
      <c r="N994" s="19"/>
      <c r="O994" s="19"/>
      <c r="P994" s="43" t="str">
        <f aca="false">IF($E994="","",IF($L994="Decline",0,IF($L994="Approve fewer",IF($M994="","",$M994),IF($L994="","",$I994))))</f>
        <v/>
      </c>
      <c r="Q994" s="34" t="str">
        <f aca="false">IF($P994="","",IF($N994&lt;&gt;"",$N994,$J994))</f>
        <v/>
      </c>
      <c r="R994" s="35" t="str">
        <f aca="false">IF(OR($P994="",$Q994=""),"",INDEX(BookRate,989)*$P994*(5-MATCH($Q994,{"Q1";"Q2";"Q3";"Q4"},0))/4+INDEX(BookOneOff,989)*$P994)</f>
        <v/>
      </c>
      <c r="S994" s="35" t="str">
        <f aca="false">IF($P994="","",INDEX(BookRate,989)*$P994)</f>
        <v/>
      </c>
      <c r="T994" s="35" t="str">
        <f aca="false">IF($R994="","",$R994-$K994)</f>
        <v/>
      </c>
      <c r="U994" s="35" t="str">
        <f aca="false">IF(N($P994)&lt;=0,"",COUNTIF($P$6:$P994,"&gt;0"))</f>
        <v/>
      </c>
    </row>
    <row r="995" customFormat="false" ht="15" hidden="false" customHeight="false" outlineLevel="0" collapsed="false">
      <c r="A995" s="40" t="str">
        <f aca="false">IF(INDEX(BookTitle,990)="","",INDEX(BookGroup,990))</f>
        <v/>
      </c>
      <c r="B995" s="40" t="str">
        <f aca="false">IF(INDEX(BookTitle,990)="","",INDEX(BookRef,990))</f>
        <v/>
      </c>
      <c r="C995" s="40" t="str">
        <f aca="false">IF(INDEX(BookTitle,990)="","",INDEX(BookDivision,990))</f>
        <v/>
      </c>
      <c r="D995" s="40" t="str">
        <f aca="false">IF(INDEX(BookTitle,990)="","",INDEX(BookUnit,990))</f>
        <v/>
      </c>
      <c r="E995" s="40" t="str">
        <f aca="false">IF(INDEX(BookTitle,990)="","",INDEX(BookTitle,990))</f>
        <v/>
      </c>
      <c r="F995" s="40" t="str">
        <f aca="false">IF(INDEX(BookTitle,990)="","",INDEX(BookLevel,990))</f>
        <v/>
      </c>
      <c r="G995" s="40" t="str">
        <f aca="false">IF(INDEX(BookTitle,990)="","",INDEX(BookCategory,990))</f>
        <v/>
      </c>
      <c r="H995" s="40" t="str">
        <f aca="false">IF(INDEX(BookTitle,990)="","",INDEX(BookRank,990))</f>
        <v/>
      </c>
      <c r="I995" s="41" t="str">
        <f aca="false">IF(INDEX(BookTitle,990)="","",INDEX(BookTotal,990))</f>
        <v/>
      </c>
      <c r="J995" s="0" t="str">
        <f aca="false">IF($I995="","",IF(INDEX(BookQ1,990)&gt;0,"Q1",IF(INDEX(BookQ2,990)&gt;0,"Q2",IF(INDEX(BookQ3,990)&gt;0,"Q3",IF(INDEX(BookQ4,990)&gt;0,"Q4","")))))</f>
        <v/>
      </c>
      <c r="K995" s="42" t="str">
        <f aca="false">IF(INDEX(BookTitle,990)="","",INDEX(BookInYear,990))</f>
        <v/>
      </c>
      <c r="L995" s="19"/>
      <c r="M995" s="39"/>
      <c r="N995" s="19"/>
      <c r="O995" s="19"/>
      <c r="P995" s="43" t="str">
        <f aca="false">IF($E995="","",IF($L995="Decline",0,IF($L995="Approve fewer",IF($M995="","",$M995),IF($L995="","",$I995))))</f>
        <v/>
      </c>
      <c r="Q995" s="34" t="str">
        <f aca="false">IF($P995="","",IF($N995&lt;&gt;"",$N995,$J995))</f>
        <v/>
      </c>
      <c r="R995" s="35" t="str">
        <f aca="false">IF(OR($P995="",$Q995=""),"",INDEX(BookRate,990)*$P995*(5-MATCH($Q995,{"Q1";"Q2";"Q3";"Q4"},0))/4+INDEX(BookOneOff,990)*$P995)</f>
        <v/>
      </c>
      <c r="S995" s="35" t="str">
        <f aca="false">IF($P995="","",INDEX(BookRate,990)*$P995)</f>
        <v/>
      </c>
      <c r="T995" s="35" t="str">
        <f aca="false">IF($R995="","",$R995-$K995)</f>
        <v/>
      </c>
      <c r="U995" s="35" t="str">
        <f aca="false">IF(N($P995)&lt;=0,"",COUNTIF($P$6:$P995,"&gt;0"))</f>
        <v/>
      </c>
    </row>
    <row r="996" customFormat="false" ht="15" hidden="false" customHeight="false" outlineLevel="0" collapsed="false">
      <c r="A996" s="40" t="str">
        <f aca="false">IF(INDEX(BookTitle,991)="","",INDEX(BookGroup,991))</f>
        <v/>
      </c>
      <c r="B996" s="40" t="str">
        <f aca="false">IF(INDEX(BookTitle,991)="","",INDEX(BookRef,991))</f>
        <v/>
      </c>
      <c r="C996" s="40" t="str">
        <f aca="false">IF(INDEX(BookTitle,991)="","",INDEX(BookDivision,991))</f>
        <v/>
      </c>
      <c r="D996" s="40" t="str">
        <f aca="false">IF(INDEX(BookTitle,991)="","",INDEX(BookUnit,991))</f>
        <v/>
      </c>
      <c r="E996" s="40" t="str">
        <f aca="false">IF(INDEX(BookTitle,991)="","",INDEX(BookTitle,991))</f>
        <v/>
      </c>
      <c r="F996" s="40" t="str">
        <f aca="false">IF(INDEX(BookTitle,991)="","",INDEX(BookLevel,991))</f>
        <v/>
      </c>
      <c r="G996" s="40" t="str">
        <f aca="false">IF(INDEX(BookTitle,991)="","",INDEX(BookCategory,991))</f>
        <v/>
      </c>
      <c r="H996" s="40" t="str">
        <f aca="false">IF(INDEX(BookTitle,991)="","",INDEX(BookRank,991))</f>
        <v/>
      </c>
      <c r="I996" s="41" t="str">
        <f aca="false">IF(INDEX(BookTitle,991)="","",INDEX(BookTotal,991))</f>
        <v/>
      </c>
      <c r="J996" s="0" t="str">
        <f aca="false">IF($I996="","",IF(INDEX(BookQ1,991)&gt;0,"Q1",IF(INDEX(BookQ2,991)&gt;0,"Q2",IF(INDEX(BookQ3,991)&gt;0,"Q3",IF(INDEX(BookQ4,991)&gt;0,"Q4","")))))</f>
        <v/>
      </c>
      <c r="K996" s="42" t="str">
        <f aca="false">IF(INDEX(BookTitle,991)="","",INDEX(BookInYear,991))</f>
        <v/>
      </c>
      <c r="L996" s="19"/>
      <c r="M996" s="39"/>
      <c r="N996" s="19"/>
      <c r="O996" s="19"/>
      <c r="P996" s="43" t="str">
        <f aca="false">IF($E996="","",IF($L996="Decline",0,IF($L996="Approve fewer",IF($M996="","",$M996),IF($L996="","",$I996))))</f>
        <v/>
      </c>
      <c r="Q996" s="34" t="str">
        <f aca="false">IF($P996="","",IF($N996&lt;&gt;"",$N996,$J996))</f>
        <v/>
      </c>
      <c r="R996" s="35" t="str">
        <f aca="false">IF(OR($P996="",$Q996=""),"",INDEX(BookRate,991)*$P996*(5-MATCH($Q996,{"Q1";"Q2";"Q3";"Q4"},0))/4+INDEX(BookOneOff,991)*$P996)</f>
        <v/>
      </c>
      <c r="S996" s="35" t="str">
        <f aca="false">IF($P996="","",INDEX(BookRate,991)*$P996)</f>
        <v/>
      </c>
      <c r="T996" s="35" t="str">
        <f aca="false">IF($R996="","",$R996-$K996)</f>
        <v/>
      </c>
      <c r="U996" s="35" t="str">
        <f aca="false">IF(N($P996)&lt;=0,"",COUNTIF($P$6:$P996,"&gt;0"))</f>
        <v/>
      </c>
    </row>
    <row r="997" customFormat="false" ht="15" hidden="false" customHeight="false" outlineLevel="0" collapsed="false">
      <c r="A997" s="40" t="str">
        <f aca="false">IF(INDEX(BookTitle,992)="","",INDEX(BookGroup,992))</f>
        <v/>
      </c>
      <c r="B997" s="40" t="str">
        <f aca="false">IF(INDEX(BookTitle,992)="","",INDEX(BookRef,992))</f>
        <v/>
      </c>
      <c r="C997" s="40" t="str">
        <f aca="false">IF(INDEX(BookTitle,992)="","",INDEX(BookDivision,992))</f>
        <v/>
      </c>
      <c r="D997" s="40" t="str">
        <f aca="false">IF(INDEX(BookTitle,992)="","",INDEX(BookUnit,992))</f>
        <v/>
      </c>
      <c r="E997" s="40" t="str">
        <f aca="false">IF(INDEX(BookTitle,992)="","",INDEX(BookTitle,992))</f>
        <v/>
      </c>
      <c r="F997" s="40" t="str">
        <f aca="false">IF(INDEX(BookTitle,992)="","",INDEX(BookLevel,992))</f>
        <v/>
      </c>
      <c r="G997" s="40" t="str">
        <f aca="false">IF(INDEX(BookTitle,992)="","",INDEX(BookCategory,992))</f>
        <v/>
      </c>
      <c r="H997" s="40" t="str">
        <f aca="false">IF(INDEX(BookTitle,992)="","",INDEX(BookRank,992))</f>
        <v/>
      </c>
      <c r="I997" s="41" t="str">
        <f aca="false">IF(INDEX(BookTitle,992)="","",INDEX(BookTotal,992))</f>
        <v/>
      </c>
      <c r="J997" s="0" t="str">
        <f aca="false">IF($I997="","",IF(INDEX(BookQ1,992)&gt;0,"Q1",IF(INDEX(BookQ2,992)&gt;0,"Q2",IF(INDEX(BookQ3,992)&gt;0,"Q3",IF(INDEX(BookQ4,992)&gt;0,"Q4","")))))</f>
        <v/>
      </c>
      <c r="K997" s="42" t="str">
        <f aca="false">IF(INDEX(BookTitle,992)="","",INDEX(BookInYear,992))</f>
        <v/>
      </c>
      <c r="L997" s="19"/>
      <c r="M997" s="39"/>
      <c r="N997" s="19"/>
      <c r="O997" s="19"/>
      <c r="P997" s="43" t="str">
        <f aca="false">IF($E997="","",IF($L997="Decline",0,IF($L997="Approve fewer",IF($M997="","",$M997),IF($L997="","",$I997))))</f>
        <v/>
      </c>
      <c r="Q997" s="34" t="str">
        <f aca="false">IF($P997="","",IF($N997&lt;&gt;"",$N997,$J997))</f>
        <v/>
      </c>
      <c r="R997" s="35" t="str">
        <f aca="false">IF(OR($P997="",$Q997=""),"",INDEX(BookRate,992)*$P997*(5-MATCH($Q997,{"Q1";"Q2";"Q3";"Q4"},0))/4+INDEX(BookOneOff,992)*$P997)</f>
        <v/>
      </c>
      <c r="S997" s="35" t="str">
        <f aca="false">IF($P997="","",INDEX(BookRate,992)*$P997)</f>
        <v/>
      </c>
      <c r="T997" s="35" t="str">
        <f aca="false">IF($R997="","",$R997-$K997)</f>
        <v/>
      </c>
      <c r="U997" s="35" t="str">
        <f aca="false">IF(N($P997)&lt;=0,"",COUNTIF($P$6:$P997,"&gt;0"))</f>
        <v/>
      </c>
    </row>
    <row r="998" customFormat="false" ht="15" hidden="false" customHeight="false" outlineLevel="0" collapsed="false">
      <c r="A998" s="40" t="str">
        <f aca="false">IF(INDEX(BookTitle,993)="","",INDEX(BookGroup,993))</f>
        <v/>
      </c>
      <c r="B998" s="40" t="str">
        <f aca="false">IF(INDEX(BookTitle,993)="","",INDEX(BookRef,993))</f>
        <v/>
      </c>
      <c r="C998" s="40" t="str">
        <f aca="false">IF(INDEX(BookTitle,993)="","",INDEX(BookDivision,993))</f>
        <v/>
      </c>
      <c r="D998" s="40" t="str">
        <f aca="false">IF(INDEX(BookTitle,993)="","",INDEX(BookUnit,993))</f>
        <v/>
      </c>
      <c r="E998" s="40" t="str">
        <f aca="false">IF(INDEX(BookTitle,993)="","",INDEX(BookTitle,993))</f>
        <v/>
      </c>
      <c r="F998" s="40" t="str">
        <f aca="false">IF(INDEX(BookTitle,993)="","",INDEX(BookLevel,993))</f>
        <v/>
      </c>
      <c r="G998" s="40" t="str">
        <f aca="false">IF(INDEX(BookTitle,993)="","",INDEX(BookCategory,993))</f>
        <v/>
      </c>
      <c r="H998" s="40" t="str">
        <f aca="false">IF(INDEX(BookTitle,993)="","",INDEX(BookRank,993))</f>
        <v/>
      </c>
      <c r="I998" s="41" t="str">
        <f aca="false">IF(INDEX(BookTitle,993)="","",INDEX(BookTotal,993))</f>
        <v/>
      </c>
      <c r="J998" s="0" t="str">
        <f aca="false">IF($I998="","",IF(INDEX(BookQ1,993)&gt;0,"Q1",IF(INDEX(BookQ2,993)&gt;0,"Q2",IF(INDEX(BookQ3,993)&gt;0,"Q3",IF(INDEX(BookQ4,993)&gt;0,"Q4","")))))</f>
        <v/>
      </c>
      <c r="K998" s="42" t="str">
        <f aca="false">IF(INDEX(BookTitle,993)="","",INDEX(BookInYear,993))</f>
        <v/>
      </c>
      <c r="L998" s="19"/>
      <c r="M998" s="39"/>
      <c r="N998" s="19"/>
      <c r="O998" s="19"/>
      <c r="P998" s="43" t="str">
        <f aca="false">IF($E998="","",IF($L998="Decline",0,IF($L998="Approve fewer",IF($M998="","",$M998),IF($L998="","",$I998))))</f>
        <v/>
      </c>
      <c r="Q998" s="34" t="str">
        <f aca="false">IF($P998="","",IF($N998&lt;&gt;"",$N998,$J998))</f>
        <v/>
      </c>
      <c r="R998" s="35" t="str">
        <f aca="false">IF(OR($P998="",$Q998=""),"",INDEX(BookRate,993)*$P998*(5-MATCH($Q998,{"Q1";"Q2";"Q3";"Q4"},0))/4+INDEX(BookOneOff,993)*$P998)</f>
        <v/>
      </c>
      <c r="S998" s="35" t="str">
        <f aca="false">IF($P998="","",INDEX(BookRate,993)*$P998)</f>
        <v/>
      </c>
      <c r="T998" s="35" t="str">
        <f aca="false">IF($R998="","",$R998-$K998)</f>
        <v/>
      </c>
      <c r="U998" s="35" t="str">
        <f aca="false">IF(N($P998)&lt;=0,"",COUNTIF($P$6:$P998,"&gt;0"))</f>
        <v/>
      </c>
    </row>
    <row r="999" customFormat="false" ht="15" hidden="false" customHeight="false" outlineLevel="0" collapsed="false">
      <c r="A999" s="40" t="str">
        <f aca="false">IF(INDEX(BookTitle,994)="","",INDEX(BookGroup,994))</f>
        <v/>
      </c>
      <c r="B999" s="40" t="str">
        <f aca="false">IF(INDEX(BookTitle,994)="","",INDEX(BookRef,994))</f>
        <v/>
      </c>
      <c r="C999" s="40" t="str">
        <f aca="false">IF(INDEX(BookTitle,994)="","",INDEX(BookDivision,994))</f>
        <v/>
      </c>
      <c r="D999" s="40" t="str">
        <f aca="false">IF(INDEX(BookTitle,994)="","",INDEX(BookUnit,994))</f>
        <v/>
      </c>
      <c r="E999" s="40" t="str">
        <f aca="false">IF(INDEX(BookTitle,994)="","",INDEX(BookTitle,994))</f>
        <v/>
      </c>
      <c r="F999" s="40" t="str">
        <f aca="false">IF(INDEX(BookTitle,994)="","",INDEX(BookLevel,994))</f>
        <v/>
      </c>
      <c r="G999" s="40" t="str">
        <f aca="false">IF(INDEX(BookTitle,994)="","",INDEX(BookCategory,994))</f>
        <v/>
      </c>
      <c r="H999" s="40" t="str">
        <f aca="false">IF(INDEX(BookTitle,994)="","",INDEX(BookRank,994))</f>
        <v/>
      </c>
      <c r="I999" s="41" t="str">
        <f aca="false">IF(INDEX(BookTitle,994)="","",INDEX(BookTotal,994))</f>
        <v/>
      </c>
      <c r="J999" s="0" t="str">
        <f aca="false">IF($I999="","",IF(INDEX(BookQ1,994)&gt;0,"Q1",IF(INDEX(BookQ2,994)&gt;0,"Q2",IF(INDEX(BookQ3,994)&gt;0,"Q3",IF(INDEX(BookQ4,994)&gt;0,"Q4","")))))</f>
        <v/>
      </c>
      <c r="K999" s="42" t="str">
        <f aca="false">IF(INDEX(BookTitle,994)="","",INDEX(BookInYear,994))</f>
        <v/>
      </c>
      <c r="L999" s="19"/>
      <c r="M999" s="39"/>
      <c r="N999" s="19"/>
      <c r="O999" s="19"/>
      <c r="P999" s="43" t="str">
        <f aca="false">IF($E999="","",IF($L999="Decline",0,IF($L999="Approve fewer",IF($M999="","",$M999),IF($L999="","",$I999))))</f>
        <v/>
      </c>
      <c r="Q999" s="34" t="str">
        <f aca="false">IF($P999="","",IF($N999&lt;&gt;"",$N999,$J999))</f>
        <v/>
      </c>
      <c r="R999" s="35" t="str">
        <f aca="false">IF(OR($P999="",$Q999=""),"",INDEX(BookRate,994)*$P999*(5-MATCH($Q999,{"Q1";"Q2";"Q3";"Q4"},0))/4+INDEX(BookOneOff,994)*$P999)</f>
        <v/>
      </c>
      <c r="S999" s="35" t="str">
        <f aca="false">IF($P999="","",INDEX(BookRate,994)*$P999)</f>
        <v/>
      </c>
      <c r="T999" s="35" t="str">
        <f aca="false">IF($R999="","",$R999-$K999)</f>
        <v/>
      </c>
      <c r="U999" s="35" t="str">
        <f aca="false">IF(N($P999)&lt;=0,"",COUNTIF($P$6:$P999,"&gt;0"))</f>
        <v/>
      </c>
    </row>
    <row r="1000" customFormat="false" ht="15" hidden="false" customHeight="false" outlineLevel="0" collapsed="false">
      <c r="A1000" s="40" t="str">
        <f aca="false">IF(INDEX(BookTitle,995)="","",INDEX(BookGroup,995))</f>
        <v/>
      </c>
      <c r="B1000" s="40" t="str">
        <f aca="false">IF(INDEX(BookTitle,995)="","",INDEX(BookRef,995))</f>
        <v/>
      </c>
      <c r="C1000" s="40" t="str">
        <f aca="false">IF(INDEX(BookTitle,995)="","",INDEX(BookDivision,995))</f>
        <v/>
      </c>
      <c r="D1000" s="40" t="str">
        <f aca="false">IF(INDEX(BookTitle,995)="","",INDEX(BookUnit,995))</f>
        <v/>
      </c>
      <c r="E1000" s="40" t="str">
        <f aca="false">IF(INDEX(BookTitle,995)="","",INDEX(BookTitle,995))</f>
        <v/>
      </c>
      <c r="F1000" s="40" t="str">
        <f aca="false">IF(INDEX(BookTitle,995)="","",INDEX(BookLevel,995))</f>
        <v/>
      </c>
      <c r="G1000" s="40" t="str">
        <f aca="false">IF(INDEX(BookTitle,995)="","",INDEX(BookCategory,995))</f>
        <v/>
      </c>
      <c r="H1000" s="40" t="str">
        <f aca="false">IF(INDEX(BookTitle,995)="","",INDEX(BookRank,995))</f>
        <v/>
      </c>
      <c r="I1000" s="41" t="str">
        <f aca="false">IF(INDEX(BookTitle,995)="","",INDEX(BookTotal,995))</f>
        <v/>
      </c>
      <c r="J1000" s="0" t="str">
        <f aca="false">IF($I1000="","",IF(INDEX(BookQ1,995)&gt;0,"Q1",IF(INDEX(BookQ2,995)&gt;0,"Q2",IF(INDEX(BookQ3,995)&gt;0,"Q3",IF(INDEX(BookQ4,995)&gt;0,"Q4","")))))</f>
        <v/>
      </c>
      <c r="K1000" s="42" t="str">
        <f aca="false">IF(INDEX(BookTitle,995)="","",INDEX(BookInYear,995))</f>
        <v/>
      </c>
      <c r="L1000" s="19"/>
      <c r="M1000" s="39"/>
      <c r="N1000" s="19"/>
      <c r="O1000" s="19"/>
      <c r="P1000" s="43" t="str">
        <f aca="false">IF($E1000="","",IF($L1000="Decline",0,IF($L1000="Approve fewer",IF($M1000="","",$M1000),IF($L1000="","",$I1000))))</f>
        <v/>
      </c>
      <c r="Q1000" s="34" t="str">
        <f aca="false">IF($P1000="","",IF($N1000&lt;&gt;"",$N1000,$J1000))</f>
        <v/>
      </c>
      <c r="R1000" s="35" t="str">
        <f aca="false">IF(OR($P1000="",$Q1000=""),"",INDEX(BookRate,995)*$P1000*(5-MATCH($Q1000,{"Q1";"Q2";"Q3";"Q4"},0))/4+INDEX(BookOneOff,995)*$P1000)</f>
        <v/>
      </c>
      <c r="S1000" s="35" t="str">
        <f aca="false">IF($P1000="","",INDEX(BookRate,995)*$P1000)</f>
        <v/>
      </c>
      <c r="T1000" s="35" t="str">
        <f aca="false">IF($R1000="","",$R1000-$K1000)</f>
        <v/>
      </c>
      <c r="U1000" s="35" t="str">
        <f aca="false">IF(N($P1000)&lt;=0,"",COUNTIF($P$6:$P1000,"&gt;0"))</f>
        <v/>
      </c>
    </row>
    <row r="1001" customFormat="false" ht="15" hidden="false" customHeight="false" outlineLevel="0" collapsed="false">
      <c r="A1001" s="40" t="str">
        <f aca="false">IF(INDEX(BookTitle,996)="","",INDEX(BookGroup,996))</f>
        <v/>
      </c>
      <c r="B1001" s="40" t="str">
        <f aca="false">IF(INDEX(BookTitle,996)="","",INDEX(BookRef,996))</f>
        <v/>
      </c>
      <c r="C1001" s="40" t="str">
        <f aca="false">IF(INDEX(BookTitle,996)="","",INDEX(BookDivision,996))</f>
        <v/>
      </c>
      <c r="D1001" s="40" t="str">
        <f aca="false">IF(INDEX(BookTitle,996)="","",INDEX(BookUnit,996))</f>
        <v/>
      </c>
      <c r="E1001" s="40" t="str">
        <f aca="false">IF(INDEX(BookTitle,996)="","",INDEX(BookTitle,996))</f>
        <v/>
      </c>
      <c r="F1001" s="40" t="str">
        <f aca="false">IF(INDEX(BookTitle,996)="","",INDEX(BookLevel,996))</f>
        <v/>
      </c>
      <c r="G1001" s="40" t="str">
        <f aca="false">IF(INDEX(BookTitle,996)="","",INDEX(BookCategory,996))</f>
        <v/>
      </c>
      <c r="H1001" s="40" t="str">
        <f aca="false">IF(INDEX(BookTitle,996)="","",INDEX(BookRank,996))</f>
        <v/>
      </c>
      <c r="I1001" s="41" t="str">
        <f aca="false">IF(INDEX(BookTitle,996)="","",INDEX(BookTotal,996))</f>
        <v/>
      </c>
      <c r="J1001" s="0" t="str">
        <f aca="false">IF($I1001="","",IF(INDEX(BookQ1,996)&gt;0,"Q1",IF(INDEX(BookQ2,996)&gt;0,"Q2",IF(INDEX(BookQ3,996)&gt;0,"Q3",IF(INDEX(BookQ4,996)&gt;0,"Q4","")))))</f>
        <v/>
      </c>
      <c r="K1001" s="42" t="str">
        <f aca="false">IF(INDEX(BookTitle,996)="","",INDEX(BookInYear,996))</f>
        <v/>
      </c>
      <c r="L1001" s="19"/>
      <c r="M1001" s="39"/>
      <c r="N1001" s="19"/>
      <c r="O1001" s="19"/>
      <c r="P1001" s="43" t="str">
        <f aca="false">IF($E1001="","",IF($L1001="Decline",0,IF($L1001="Approve fewer",IF($M1001="","",$M1001),IF($L1001="","",$I1001))))</f>
        <v/>
      </c>
      <c r="Q1001" s="34" t="str">
        <f aca="false">IF($P1001="","",IF($N1001&lt;&gt;"",$N1001,$J1001))</f>
        <v/>
      </c>
      <c r="R1001" s="35" t="str">
        <f aca="false">IF(OR($P1001="",$Q1001=""),"",INDEX(BookRate,996)*$P1001*(5-MATCH($Q1001,{"Q1";"Q2";"Q3";"Q4"},0))/4+INDEX(BookOneOff,996)*$P1001)</f>
        <v/>
      </c>
      <c r="S1001" s="35" t="str">
        <f aca="false">IF($P1001="","",INDEX(BookRate,996)*$P1001)</f>
        <v/>
      </c>
      <c r="T1001" s="35" t="str">
        <f aca="false">IF($R1001="","",$R1001-$K1001)</f>
        <v/>
      </c>
      <c r="U1001" s="35" t="str">
        <f aca="false">IF(N($P1001)&lt;=0,"",COUNTIF($P$6:$P1001,"&gt;0"))</f>
        <v/>
      </c>
    </row>
    <row r="1002" customFormat="false" ht="15" hidden="false" customHeight="false" outlineLevel="0" collapsed="false">
      <c r="A1002" s="40" t="str">
        <f aca="false">IF(INDEX(BookTitle,997)="","",INDEX(BookGroup,997))</f>
        <v/>
      </c>
      <c r="B1002" s="40" t="str">
        <f aca="false">IF(INDEX(BookTitle,997)="","",INDEX(BookRef,997))</f>
        <v/>
      </c>
      <c r="C1002" s="40" t="str">
        <f aca="false">IF(INDEX(BookTitle,997)="","",INDEX(BookDivision,997))</f>
        <v/>
      </c>
      <c r="D1002" s="40" t="str">
        <f aca="false">IF(INDEX(BookTitle,997)="","",INDEX(BookUnit,997))</f>
        <v/>
      </c>
      <c r="E1002" s="40" t="str">
        <f aca="false">IF(INDEX(BookTitle,997)="","",INDEX(BookTitle,997))</f>
        <v/>
      </c>
      <c r="F1002" s="40" t="str">
        <f aca="false">IF(INDEX(BookTitle,997)="","",INDEX(BookLevel,997))</f>
        <v/>
      </c>
      <c r="G1002" s="40" t="str">
        <f aca="false">IF(INDEX(BookTitle,997)="","",INDEX(BookCategory,997))</f>
        <v/>
      </c>
      <c r="H1002" s="40" t="str">
        <f aca="false">IF(INDEX(BookTitle,997)="","",INDEX(BookRank,997))</f>
        <v/>
      </c>
      <c r="I1002" s="41" t="str">
        <f aca="false">IF(INDEX(BookTitle,997)="","",INDEX(BookTotal,997))</f>
        <v/>
      </c>
      <c r="J1002" s="0" t="str">
        <f aca="false">IF($I1002="","",IF(INDEX(BookQ1,997)&gt;0,"Q1",IF(INDEX(BookQ2,997)&gt;0,"Q2",IF(INDEX(BookQ3,997)&gt;0,"Q3",IF(INDEX(BookQ4,997)&gt;0,"Q4","")))))</f>
        <v/>
      </c>
      <c r="K1002" s="42" t="str">
        <f aca="false">IF(INDEX(BookTitle,997)="","",INDEX(BookInYear,997))</f>
        <v/>
      </c>
      <c r="L1002" s="19"/>
      <c r="M1002" s="39"/>
      <c r="N1002" s="19"/>
      <c r="O1002" s="19"/>
      <c r="P1002" s="43" t="str">
        <f aca="false">IF($E1002="","",IF($L1002="Decline",0,IF($L1002="Approve fewer",IF($M1002="","",$M1002),IF($L1002="","",$I1002))))</f>
        <v/>
      </c>
      <c r="Q1002" s="34" t="str">
        <f aca="false">IF($P1002="","",IF($N1002&lt;&gt;"",$N1002,$J1002))</f>
        <v/>
      </c>
      <c r="R1002" s="35" t="str">
        <f aca="false">IF(OR($P1002="",$Q1002=""),"",INDEX(BookRate,997)*$P1002*(5-MATCH($Q1002,{"Q1";"Q2";"Q3";"Q4"},0))/4+INDEX(BookOneOff,997)*$P1002)</f>
        <v/>
      </c>
      <c r="S1002" s="35" t="str">
        <f aca="false">IF($P1002="","",INDEX(BookRate,997)*$P1002)</f>
        <v/>
      </c>
      <c r="T1002" s="35" t="str">
        <f aca="false">IF($R1002="","",$R1002-$K1002)</f>
        <v/>
      </c>
      <c r="U1002" s="35" t="str">
        <f aca="false">IF(N($P1002)&lt;=0,"",COUNTIF($P$6:$P1002,"&gt;0"))</f>
        <v/>
      </c>
    </row>
    <row r="1003" customFormat="false" ht="15" hidden="false" customHeight="false" outlineLevel="0" collapsed="false">
      <c r="A1003" s="40" t="str">
        <f aca="false">IF(INDEX(BookTitle,998)="","",INDEX(BookGroup,998))</f>
        <v/>
      </c>
      <c r="B1003" s="40" t="str">
        <f aca="false">IF(INDEX(BookTitle,998)="","",INDEX(BookRef,998))</f>
        <v/>
      </c>
      <c r="C1003" s="40" t="str">
        <f aca="false">IF(INDEX(BookTitle,998)="","",INDEX(BookDivision,998))</f>
        <v/>
      </c>
      <c r="D1003" s="40" t="str">
        <f aca="false">IF(INDEX(BookTitle,998)="","",INDEX(BookUnit,998))</f>
        <v/>
      </c>
      <c r="E1003" s="40" t="str">
        <f aca="false">IF(INDEX(BookTitle,998)="","",INDEX(BookTitle,998))</f>
        <v/>
      </c>
      <c r="F1003" s="40" t="str">
        <f aca="false">IF(INDEX(BookTitle,998)="","",INDEX(BookLevel,998))</f>
        <v/>
      </c>
      <c r="G1003" s="40" t="str">
        <f aca="false">IF(INDEX(BookTitle,998)="","",INDEX(BookCategory,998))</f>
        <v/>
      </c>
      <c r="H1003" s="40" t="str">
        <f aca="false">IF(INDEX(BookTitle,998)="","",INDEX(BookRank,998))</f>
        <v/>
      </c>
      <c r="I1003" s="41" t="str">
        <f aca="false">IF(INDEX(BookTitle,998)="","",INDEX(BookTotal,998))</f>
        <v/>
      </c>
      <c r="J1003" s="0" t="str">
        <f aca="false">IF($I1003="","",IF(INDEX(BookQ1,998)&gt;0,"Q1",IF(INDEX(BookQ2,998)&gt;0,"Q2",IF(INDEX(BookQ3,998)&gt;0,"Q3",IF(INDEX(BookQ4,998)&gt;0,"Q4","")))))</f>
        <v/>
      </c>
      <c r="K1003" s="42" t="str">
        <f aca="false">IF(INDEX(BookTitle,998)="","",INDEX(BookInYear,998))</f>
        <v/>
      </c>
      <c r="L1003" s="19"/>
      <c r="M1003" s="39"/>
      <c r="N1003" s="19"/>
      <c r="O1003" s="19"/>
      <c r="P1003" s="43" t="str">
        <f aca="false">IF($E1003="","",IF($L1003="Decline",0,IF($L1003="Approve fewer",IF($M1003="","",$M1003),IF($L1003="","",$I1003))))</f>
        <v/>
      </c>
      <c r="Q1003" s="34" t="str">
        <f aca="false">IF($P1003="","",IF($N1003&lt;&gt;"",$N1003,$J1003))</f>
        <v/>
      </c>
      <c r="R1003" s="35" t="str">
        <f aca="false">IF(OR($P1003="",$Q1003=""),"",INDEX(BookRate,998)*$P1003*(5-MATCH($Q1003,{"Q1";"Q2";"Q3";"Q4"},0))/4+INDEX(BookOneOff,998)*$P1003)</f>
        <v/>
      </c>
      <c r="S1003" s="35" t="str">
        <f aca="false">IF($P1003="","",INDEX(BookRate,998)*$P1003)</f>
        <v/>
      </c>
      <c r="T1003" s="35" t="str">
        <f aca="false">IF($R1003="","",$R1003-$K1003)</f>
        <v/>
      </c>
      <c r="U1003" s="35" t="str">
        <f aca="false">IF(N($P1003)&lt;=0,"",COUNTIF($P$6:$P1003,"&gt;0"))</f>
        <v/>
      </c>
    </row>
    <row r="1004" customFormat="false" ht="15" hidden="false" customHeight="false" outlineLevel="0" collapsed="false">
      <c r="A1004" s="40" t="str">
        <f aca="false">IF(INDEX(BookTitle,999)="","",INDEX(BookGroup,999))</f>
        <v/>
      </c>
      <c r="B1004" s="40" t="str">
        <f aca="false">IF(INDEX(BookTitle,999)="","",INDEX(BookRef,999))</f>
        <v/>
      </c>
      <c r="C1004" s="40" t="str">
        <f aca="false">IF(INDEX(BookTitle,999)="","",INDEX(BookDivision,999))</f>
        <v/>
      </c>
      <c r="D1004" s="40" t="str">
        <f aca="false">IF(INDEX(BookTitle,999)="","",INDEX(BookUnit,999))</f>
        <v/>
      </c>
      <c r="E1004" s="40" t="str">
        <f aca="false">IF(INDEX(BookTitle,999)="","",INDEX(BookTitle,999))</f>
        <v/>
      </c>
      <c r="F1004" s="40" t="str">
        <f aca="false">IF(INDEX(BookTitle,999)="","",INDEX(BookLevel,999))</f>
        <v/>
      </c>
      <c r="G1004" s="40" t="str">
        <f aca="false">IF(INDEX(BookTitle,999)="","",INDEX(BookCategory,999))</f>
        <v/>
      </c>
      <c r="H1004" s="40" t="str">
        <f aca="false">IF(INDEX(BookTitle,999)="","",INDEX(BookRank,999))</f>
        <v/>
      </c>
      <c r="I1004" s="41" t="str">
        <f aca="false">IF(INDEX(BookTitle,999)="","",INDEX(BookTotal,999))</f>
        <v/>
      </c>
      <c r="J1004" s="0" t="str">
        <f aca="false">IF($I1004="","",IF(INDEX(BookQ1,999)&gt;0,"Q1",IF(INDEX(BookQ2,999)&gt;0,"Q2",IF(INDEX(BookQ3,999)&gt;0,"Q3",IF(INDEX(BookQ4,999)&gt;0,"Q4","")))))</f>
        <v/>
      </c>
      <c r="K1004" s="42" t="str">
        <f aca="false">IF(INDEX(BookTitle,999)="","",INDEX(BookInYear,999))</f>
        <v/>
      </c>
      <c r="L1004" s="19"/>
      <c r="M1004" s="39"/>
      <c r="N1004" s="19"/>
      <c r="O1004" s="19"/>
      <c r="P1004" s="43" t="str">
        <f aca="false">IF($E1004="","",IF($L1004="Decline",0,IF($L1004="Approve fewer",IF($M1004="","",$M1004),IF($L1004="","",$I1004))))</f>
        <v/>
      </c>
      <c r="Q1004" s="34" t="str">
        <f aca="false">IF($P1004="","",IF($N1004&lt;&gt;"",$N1004,$J1004))</f>
        <v/>
      </c>
      <c r="R1004" s="35" t="str">
        <f aca="false">IF(OR($P1004="",$Q1004=""),"",INDEX(BookRate,999)*$P1004*(5-MATCH($Q1004,{"Q1";"Q2";"Q3";"Q4"},0))/4+INDEX(BookOneOff,999)*$P1004)</f>
        <v/>
      </c>
      <c r="S1004" s="35" t="str">
        <f aca="false">IF($P1004="","",INDEX(BookRate,999)*$P1004)</f>
        <v/>
      </c>
      <c r="T1004" s="35" t="str">
        <f aca="false">IF($R1004="","",$R1004-$K1004)</f>
        <v/>
      </c>
      <c r="U1004" s="35" t="str">
        <f aca="false">IF(N($P1004)&lt;=0,"",COUNTIF($P$6:$P1004,"&gt;0"))</f>
        <v/>
      </c>
    </row>
    <row r="1005" customFormat="false" ht="15" hidden="false" customHeight="false" outlineLevel="0" collapsed="false">
      <c r="A1005" s="40" t="str">
        <f aca="false">IF(INDEX(BookTitle,1000)="","",INDEX(BookGroup,1000))</f>
        <v/>
      </c>
      <c r="B1005" s="40" t="str">
        <f aca="false">IF(INDEX(BookTitle,1000)="","",INDEX(BookRef,1000))</f>
        <v/>
      </c>
      <c r="C1005" s="40" t="str">
        <f aca="false">IF(INDEX(BookTitle,1000)="","",INDEX(BookDivision,1000))</f>
        <v/>
      </c>
      <c r="D1005" s="40" t="str">
        <f aca="false">IF(INDEX(BookTitle,1000)="","",INDEX(BookUnit,1000))</f>
        <v/>
      </c>
      <c r="E1005" s="40" t="str">
        <f aca="false">IF(INDEX(BookTitle,1000)="","",INDEX(BookTitle,1000))</f>
        <v/>
      </c>
      <c r="F1005" s="40" t="str">
        <f aca="false">IF(INDEX(BookTitle,1000)="","",INDEX(BookLevel,1000))</f>
        <v/>
      </c>
      <c r="G1005" s="40" t="str">
        <f aca="false">IF(INDEX(BookTitle,1000)="","",INDEX(BookCategory,1000))</f>
        <v/>
      </c>
      <c r="H1005" s="40" t="str">
        <f aca="false">IF(INDEX(BookTitle,1000)="","",INDEX(BookRank,1000))</f>
        <v/>
      </c>
      <c r="I1005" s="41" t="str">
        <f aca="false">IF(INDEX(BookTitle,1000)="","",INDEX(BookTotal,1000))</f>
        <v/>
      </c>
      <c r="J1005" s="0" t="str">
        <f aca="false">IF($I1005="","",IF(INDEX(BookQ1,1000)&gt;0,"Q1",IF(INDEX(BookQ2,1000)&gt;0,"Q2",IF(INDEX(BookQ3,1000)&gt;0,"Q3",IF(INDEX(BookQ4,1000)&gt;0,"Q4","")))))</f>
        <v/>
      </c>
      <c r="K1005" s="42" t="str">
        <f aca="false">IF(INDEX(BookTitle,1000)="","",INDEX(BookInYear,1000))</f>
        <v/>
      </c>
      <c r="L1005" s="19"/>
      <c r="M1005" s="39"/>
      <c r="N1005" s="19"/>
      <c r="O1005" s="19"/>
      <c r="P1005" s="43" t="str">
        <f aca="false">IF($E1005="","",IF($L1005="Decline",0,IF($L1005="Approve fewer",IF($M1005="","",$M1005),IF($L1005="","",$I1005))))</f>
        <v/>
      </c>
      <c r="Q1005" s="34" t="str">
        <f aca="false">IF($P1005="","",IF($N1005&lt;&gt;"",$N1005,$J1005))</f>
        <v/>
      </c>
      <c r="R1005" s="35" t="str">
        <f aca="false">IF(OR($P1005="",$Q1005=""),"",INDEX(BookRate,1000)*$P1005*(5-MATCH($Q1005,{"Q1";"Q2";"Q3";"Q4"},0))/4+INDEX(BookOneOff,1000)*$P1005)</f>
        <v/>
      </c>
      <c r="S1005" s="35" t="str">
        <f aca="false">IF($P1005="","",INDEX(BookRate,1000)*$P1005)</f>
        <v/>
      </c>
      <c r="T1005" s="35" t="str">
        <f aca="false">IF($R1005="","",$R1005-$K1005)</f>
        <v/>
      </c>
      <c r="U1005" s="35" t="str">
        <f aca="false">IF(N($P1005)&lt;=0,"",COUNTIF($P$6:$P1005,"&gt;0"))</f>
        <v/>
      </c>
    </row>
    <row r="1006" customFormat="false" ht="15" hidden="false" customHeight="false" outlineLevel="0" collapsed="false">
      <c r="A1006" s="40" t="str">
        <f aca="false">IF(INDEX(BookTitle,1001)="","",INDEX(BookGroup,1001))</f>
        <v/>
      </c>
      <c r="B1006" s="40" t="str">
        <f aca="false">IF(INDEX(BookTitle,1001)="","",INDEX(BookRef,1001))</f>
        <v/>
      </c>
      <c r="C1006" s="40" t="str">
        <f aca="false">IF(INDEX(BookTitle,1001)="","",INDEX(BookDivision,1001))</f>
        <v/>
      </c>
      <c r="D1006" s="40" t="str">
        <f aca="false">IF(INDEX(BookTitle,1001)="","",INDEX(BookUnit,1001))</f>
        <v/>
      </c>
      <c r="E1006" s="40" t="str">
        <f aca="false">IF(INDEX(BookTitle,1001)="","",INDEX(BookTitle,1001))</f>
        <v/>
      </c>
      <c r="F1006" s="40" t="str">
        <f aca="false">IF(INDEX(BookTitle,1001)="","",INDEX(BookLevel,1001))</f>
        <v/>
      </c>
      <c r="G1006" s="40" t="str">
        <f aca="false">IF(INDEX(BookTitle,1001)="","",INDEX(BookCategory,1001))</f>
        <v/>
      </c>
      <c r="H1006" s="40" t="str">
        <f aca="false">IF(INDEX(BookTitle,1001)="","",INDEX(BookRank,1001))</f>
        <v/>
      </c>
      <c r="I1006" s="41" t="str">
        <f aca="false">IF(INDEX(BookTitle,1001)="","",INDEX(BookTotal,1001))</f>
        <v/>
      </c>
      <c r="J1006" s="0" t="str">
        <f aca="false">IF($I1006="","",IF(INDEX(BookQ1,1001)&gt;0,"Q1",IF(INDEX(BookQ2,1001)&gt;0,"Q2",IF(INDEX(BookQ3,1001)&gt;0,"Q3",IF(INDEX(BookQ4,1001)&gt;0,"Q4","")))))</f>
        <v/>
      </c>
      <c r="K1006" s="42" t="str">
        <f aca="false">IF(INDEX(BookTitle,1001)="","",INDEX(BookInYear,1001))</f>
        <v/>
      </c>
      <c r="L1006" s="19"/>
      <c r="M1006" s="39"/>
      <c r="N1006" s="19"/>
      <c r="O1006" s="19"/>
      <c r="P1006" s="43" t="str">
        <f aca="false">IF($E1006="","",IF($L1006="Decline",0,IF($L1006="Approve fewer",IF($M1006="","",$M1006),IF($L1006="","",$I1006))))</f>
        <v/>
      </c>
      <c r="Q1006" s="34" t="str">
        <f aca="false">IF($P1006="","",IF($N1006&lt;&gt;"",$N1006,$J1006))</f>
        <v/>
      </c>
      <c r="R1006" s="35" t="str">
        <f aca="false">IF(OR($P1006="",$Q1006=""),"",INDEX(BookRate,1001)*$P1006*(5-MATCH($Q1006,{"Q1";"Q2";"Q3";"Q4"},0))/4+INDEX(BookOneOff,1001)*$P1006)</f>
        <v/>
      </c>
      <c r="S1006" s="35" t="str">
        <f aca="false">IF($P1006="","",INDEX(BookRate,1001)*$P1006)</f>
        <v/>
      </c>
      <c r="T1006" s="35" t="str">
        <f aca="false">IF($R1006="","",$R1006-$K1006)</f>
        <v/>
      </c>
      <c r="U1006" s="35" t="str">
        <f aca="false">IF(N($P1006)&lt;=0,"",COUNTIF($P$6:$P1006,"&gt;0"))</f>
        <v/>
      </c>
    </row>
    <row r="1007" customFormat="false" ht="15" hidden="false" customHeight="false" outlineLevel="0" collapsed="false">
      <c r="A1007" s="40" t="str">
        <f aca="false">IF(INDEX(BookTitle,1002)="","",INDEX(BookGroup,1002))</f>
        <v/>
      </c>
      <c r="B1007" s="40" t="str">
        <f aca="false">IF(INDEX(BookTitle,1002)="","",INDEX(BookRef,1002))</f>
        <v/>
      </c>
      <c r="C1007" s="40" t="str">
        <f aca="false">IF(INDEX(BookTitle,1002)="","",INDEX(BookDivision,1002))</f>
        <v/>
      </c>
      <c r="D1007" s="40" t="str">
        <f aca="false">IF(INDEX(BookTitle,1002)="","",INDEX(BookUnit,1002))</f>
        <v/>
      </c>
      <c r="E1007" s="40" t="str">
        <f aca="false">IF(INDEX(BookTitle,1002)="","",INDEX(BookTitle,1002))</f>
        <v/>
      </c>
      <c r="F1007" s="40" t="str">
        <f aca="false">IF(INDEX(BookTitle,1002)="","",INDEX(BookLevel,1002))</f>
        <v/>
      </c>
      <c r="G1007" s="40" t="str">
        <f aca="false">IF(INDEX(BookTitle,1002)="","",INDEX(BookCategory,1002))</f>
        <v/>
      </c>
      <c r="H1007" s="40" t="str">
        <f aca="false">IF(INDEX(BookTitle,1002)="","",INDEX(BookRank,1002))</f>
        <v/>
      </c>
      <c r="I1007" s="41" t="str">
        <f aca="false">IF(INDEX(BookTitle,1002)="","",INDEX(BookTotal,1002))</f>
        <v/>
      </c>
      <c r="J1007" s="0" t="str">
        <f aca="false">IF($I1007="","",IF(INDEX(BookQ1,1002)&gt;0,"Q1",IF(INDEX(BookQ2,1002)&gt;0,"Q2",IF(INDEX(BookQ3,1002)&gt;0,"Q3",IF(INDEX(BookQ4,1002)&gt;0,"Q4","")))))</f>
        <v/>
      </c>
      <c r="K1007" s="42" t="str">
        <f aca="false">IF(INDEX(BookTitle,1002)="","",INDEX(BookInYear,1002))</f>
        <v/>
      </c>
      <c r="L1007" s="19"/>
      <c r="M1007" s="39"/>
      <c r="N1007" s="19"/>
      <c r="O1007" s="19"/>
      <c r="P1007" s="43" t="str">
        <f aca="false">IF($E1007="","",IF($L1007="Decline",0,IF($L1007="Approve fewer",IF($M1007="","",$M1007),IF($L1007="","",$I1007))))</f>
        <v/>
      </c>
      <c r="Q1007" s="34" t="str">
        <f aca="false">IF($P1007="","",IF($N1007&lt;&gt;"",$N1007,$J1007))</f>
        <v/>
      </c>
      <c r="R1007" s="35" t="str">
        <f aca="false">IF(OR($P1007="",$Q1007=""),"",INDEX(BookRate,1002)*$P1007*(5-MATCH($Q1007,{"Q1";"Q2";"Q3";"Q4"},0))/4+INDEX(BookOneOff,1002)*$P1007)</f>
        <v/>
      </c>
      <c r="S1007" s="35" t="str">
        <f aca="false">IF($P1007="","",INDEX(BookRate,1002)*$P1007)</f>
        <v/>
      </c>
      <c r="T1007" s="35" t="str">
        <f aca="false">IF($R1007="","",$R1007-$K1007)</f>
        <v/>
      </c>
      <c r="U1007" s="35" t="str">
        <f aca="false">IF(N($P1007)&lt;=0,"",COUNTIF($P$6:$P1007,"&gt;0"))</f>
        <v/>
      </c>
    </row>
    <row r="1008" customFormat="false" ht="15" hidden="false" customHeight="false" outlineLevel="0" collapsed="false">
      <c r="A1008" s="40" t="str">
        <f aca="false">IF(INDEX(BookTitle,1003)="","",INDEX(BookGroup,1003))</f>
        <v/>
      </c>
      <c r="B1008" s="40" t="str">
        <f aca="false">IF(INDEX(BookTitle,1003)="","",INDEX(BookRef,1003))</f>
        <v/>
      </c>
      <c r="C1008" s="40" t="str">
        <f aca="false">IF(INDEX(BookTitle,1003)="","",INDEX(BookDivision,1003))</f>
        <v/>
      </c>
      <c r="D1008" s="40" t="str">
        <f aca="false">IF(INDEX(BookTitle,1003)="","",INDEX(BookUnit,1003))</f>
        <v/>
      </c>
      <c r="E1008" s="40" t="str">
        <f aca="false">IF(INDEX(BookTitle,1003)="","",INDEX(BookTitle,1003))</f>
        <v/>
      </c>
      <c r="F1008" s="40" t="str">
        <f aca="false">IF(INDEX(BookTitle,1003)="","",INDEX(BookLevel,1003))</f>
        <v/>
      </c>
      <c r="G1008" s="40" t="str">
        <f aca="false">IF(INDEX(BookTitle,1003)="","",INDEX(BookCategory,1003))</f>
        <v/>
      </c>
      <c r="H1008" s="40" t="str">
        <f aca="false">IF(INDEX(BookTitle,1003)="","",INDEX(BookRank,1003))</f>
        <v/>
      </c>
      <c r="I1008" s="41" t="str">
        <f aca="false">IF(INDEX(BookTitle,1003)="","",INDEX(BookTotal,1003))</f>
        <v/>
      </c>
      <c r="J1008" s="0" t="str">
        <f aca="false">IF($I1008="","",IF(INDEX(BookQ1,1003)&gt;0,"Q1",IF(INDEX(BookQ2,1003)&gt;0,"Q2",IF(INDEX(BookQ3,1003)&gt;0,"Q3",IF(INDEX(BookQ4,1003)&gt;0,"Q4","")))))</f>
        <v/>
      </c>
      <c r="K1008" s="42" t="str">
        <f aca="false">IF(INDEX(BookTitle,1003)="","",INDEX(BookInYear,1003))</f>
        <v/>
      </c>
      <c r="L1008" s="19"/>
      <c r="M1008" s="39"/>
      <c r="N1008" s="19"/>
      <c r="O1008" s="19"/>
      <c r="P1008" s="43" t="str">
        <f aca="false">IF($E1008="","",IF($L1008="Decline",0,IF($L1008="Approve fewer",IF($M1008="","",$M1008),IF($L1008="","",$I1008))))</f>
        <v/>
      </c>
      <c r="Q1008" s="34" t="str">
        <f aca="false">IF($P1008="","",IF($N1008&lt;&gt;"",$N1008,$J1008))</f>
        <v/>
      </c>
      <c r="R1008" s="35" t="str">
        <f aca="false">IF(OR($P1008="",$Q1008=""),"",INDEX(BookRate,1003)*$P1008*(5-MATCH($Q1008,{"Q1";"Q2";"Q3";"Q4"},0))/4+INDEX(BookOneOff,1003)*$P1008)</f>
        <v/>
      </c>
      <c r="S1008" s="35" t="str">
        <f aca="false">IF($P1008="","",INDEX(BookRate,1003)*$P1008)</f>
        <v/>
      </c>
      <c r="T1008" s="35" t="str">
        <f aca="false">IF($R1008="","",$R1008-$K1008)</f>
        <v/>
      </c>
      <c r="U1008" s="35" t="str">
        <f aca="false">IF(N($P1008)&lt;=0,"",COUNTIF($P$6:$P1008,"&gt;0"))</f>
        <v/>
      </c>
    </row>
    <row r="1009" customFormat="false" ht="15" hidden="false" customHeight="false" outlineLevel="0" collapsed="false">
      <c r="A1009" s="40" t="str">
        <f aca="false">IF(INDEX(BookTitle,1004)="","",INDEX(BookGroup,1004))</f>
        <v/>
      </c>
      <c r="B1009" s="40" t="str">
        <f aca="false">IF(INDEX(BookTitle,1004)="","",INDEX(BookRef,1004))</f>
        <v/>
      </c>
      <c r="C1009" s="40" t="str">
        <f aca="false">IF(INDEX(BookTitle,1004)="","",INDEX(BookDivision,1004))</f>
        <v/>
      </c>
      <c r="D1009" s="40" t="str">
        <f aca="false">IF(INDEX(BookTitle,1004)="","",INDEX(BookUnit,1004))</f>
        <v/>
      </c>
      <c r="E1009" s="40" t="str">
        <f aca="false">IF(INDEX(BookTitle,1004)="","",INDEX(BookTitle,1004))</f>
        <v/>
      </c>
      <c r="F1009" s="40" t="str">
        <f aca="false">IF(INDEX(BookTitle,1004)="","",INDEX(BookLevel,1004))</f>
        <v/>
      </c>
      <c r="G1009" s="40" t="str">
        <f aca="false">IF(INDEX(BookTitle,1004)="","",INDEX(BookCategory,1004))</f>
        <v/>
      </c>
      <c r="H1009" s="40" t="str">
        <f aca="false">IF(INDEX(BookTitle,1004)="","",INDEX(BookRank,1004))</f>
        <v/>
      </c>
      <c r="I1009" s="41" t="str">
        <f aca="false">IF(INDEX(BookTitle,1004)="","",INDEX(BookTotal,1004))</f>
        <v/>
      </c>
      <c r="J1009" s="0" t="str">
        <f aca="false">IF($I1009="","",IF(INDEX(BookQ1,1004)&gt;0,"Q1",IF(INDEX(BookQ2,1004)&gt;0,"Q2",IF(INDEX(BookQ3,1004)&gt;0,"Q3",IF(INDEX(BookQ4,1004)&gt;0,"Q4","")))))</f>
        <v/>
      </c>
      <c r="K1009" s="42" t="str">
        <f aca="false">IF(INDEX(BookTitle,1004)="","",INDEX(BookInYear,1004))</f>
        <v/>
      </c>
      <c r="L1009" s="19"/>
      <c r="M1009" s="39"/>
      <c r="N1009" s="19"/>
      <c r="O1009" s="19"/>
      <c r="P1009" s="43" t="str">
        <f aca="false">IF($E1009="","",IF($L1009="Decline",0,IF($L1009="Approve fewer",IF($M1009="","",$M1009),IF($L1009="","",$I1009))))</f>
        <v/>
      </c>
      <c r="Q1009" s="34" t="str">
        <f aca="false">IF($P1009="","",IF($N1009&lt;&gt;"",$N1009,$J1009))</f>
        <v/>
      </c>
      <c r="R1009" s="35" t="str">
        <f aca="false">IF(OR($P1009="",$Q1009=""),"",INDEX(BookRate,1004)*$P1009*(5-MATCH($Q1009,{"Q1";"Q2";"Q3";"Q4"},0))/4+INDEX(BookOneOff,1004)*$P1009)</f>
        <v/>
      </c>
      <c r="S1009" s="35" t="str">
        <f aca="false">IF($P1009="","",INDEX(BookRate,1004)*$P1009)</f>
        <v/>
      </c>
      <c r="T1009" s="35" t="str">
        <f aca="false">IF($R1009="","",$R1009-$K1009)</f>
        <v/>
      </c>
      <c r="U1009" s="35" t="str">
        <f aca="false">IF(N($P1009)&lt;=0,"",COUNTIF($P$6:$P1009,"&gt;0"))</f>
        <v/>
      </c>
    </row>
    <row r="1010" customFormat="false" ht="15" hidden="false" customHeight="false" outlineLevel="0" collapsed="false">
      <c r="A1010" s="40" t="str">
        <f aca="false">IF(INDEX(BookTitle,1005)="","",INDEX(BookGroup,1005))</f>
        <v/>
      </c>
      <c r="B1010" s="40" t="str">
        <f aca="false">IF(INDEX(BookTitle,1005)="","",INDEX(BookRef,1005))</f>
        <v/>
      </c>
      <c r="C1010" s="40" t="str">
        <f aca="false">IF(INDEX(BookTitle,1005)="","",INDEX(BookDivision,1005))</f>
        <v/>
      </c>
      <c r="D1010" s="40" t="str">
        <f aca="false">IF(INDEX(BookTitle,1005)="","",INDEX(BookUnit,1005))</f>
        <v/>
      </c>
      <c r="E1010" s="40" t="str">
        <f aca="false">IF(INDEX(BookTitle,1005)="","",INDEX(BookTitle,1005))</f>
        <v/>
      </c>
      <c r="F1010" s="40" t="str">
        <f aca="false">IF(INDEX(BookTitle,1005)="","",INDEX(BookLevel,1005))</f>
        <v/>
      </c>
      <c r="G1010" s="40" t="str">
        <f aca="false">IF(INDEX(BookTitle,1005)="","",INDEX(BookCategory,1005))</f>
        <v/>
      </c>
      <c r="H1010" s="40" t="str">
        <f aca="false">IF(INDEX(BookTitle,1005)="","",INDEX(BookRank,1005))</f>
        <v/>
      </c>
      <c r="I1010" s="41" t="str">
        <f aca="false">IF(INDEX(BookTitle,1005)="","",INDEX(BookTotal,1005))</f>
        <v/>
      </c>
      <c r="J1010" s="0" t="str">
        <f aca="false">IF($I1010="","",IF(INDEX(BookQ1,1005)&gt;0,"Q1",IF(INDEX(BookQ2,1005)&gt;0,"Q2",IF(INDEX(BookQ3,1005)&gt;0,"Q3",IF(INDEX(BookQ4,1005)&gt;0,"Q4","")))))</f>
        <v/>
      </c>
      <c r="K1010" s="42" t="str">
        <f aca="false">IF(INDEX(BookTitle,1005)="","",INDEX(BookInYear,1005))</f>
        <v/>
      </c>
      <c r="L1010" s="19"/>
      <c r="M1010" s="39"/>
      <c r="N1010" s="19"/>
      <c r="O1010" s="19"/>
      <c r="P1010" s="43" t="str">
        <f aca="false">IF($E1010="","",IF($L1010="Decline",0,IF($L1010="Approve fewer",IF($M1010="","",$M1010),IF($L1010="","",$I1010))))</f>
        <v/>
      </c>
      <c r="Q1010" s="34" t="str">
        <f aca="false">IF($P1010="","",IF($N1010&lt;&gt;"",$N1010,$J1010))</f>
        <v/>
      </c>
      <c r="R1010" s="35" t="str">
        <f aca="false">IF(OR($P1010="",$Q1010=""),"",INDEX(BookRate,1005)*$P1010*(5-MATCH($Q1010,{"Q1";"Q2";"Q3";"Q4"},0))/4+INDEX(BookOneOff,1005)*$P1010)</f>
        <v/>
      </c>
      <c r="S1010" s="35" t="str">
        <f aca="false">IF($P1010="","",INDEX(BookRate,1005)*$P1010)</f>
        <v/>
      </c>
      <c r="T1010" s="35" t="str">
        <f aca="false">IF($R1010="","",$R1010-$K1010)</f>
        <v/>
      </c>
      <c r="U1010" s="35" t="str">
        <f aca="false">IF(N($P1010)&lt;=0,"",COUNTIF($P$6:$P1010,"&gt;0"))</f>
        <v/>
      </c>
    </row>
    <row r="1011" customFormat="false" ht="15" hidden="false" customHeight="false" outlineLevel="0" collapsed="false">
      <c r="A1011" s="40" t="str">
        <f aca="false">IF(INDEX(BookTitle,1006)="","",INDEX(BookGroup,1006))</f>
        <v/>
      </c>
      <c r="B1011" s="40" t="str">
        <f aca="false">IF(INDEX(BookTitle,1006)="","",INDEX(BookRef,1006))</f>
        <v/>
      </c>
      <c r="C1011" s="40" t="str">
        <f aca="false">IF(INDEX(BookTitle,1006)="","",INDEX(BookDivision,1006))</f>
        <v/>
      </c>
      <c r="D1011" s="40" t="str">
        <f aca="false">IF(INDEX(BookTitle,1006)="","",INDEX(BookUnit,1006))</f>
        <v/>
      </c>
      <c r="E1011" s="40" t="str">
        <f aca="false">IF(INDEX(BookTitle,1006)="","",INDEX(BookTitle,1006))</f>
        <v/>
      </c>
      <c r="F1011" s="40" t="str">
        <f aca="false">IF(INDEX(BookTitle,1006)="","",INDEX(BookLevel,1006))</f>
        <v/>
      </c>
      <c r="G1011" s="40" t="str">
        <f aca="false">IF(INDEX(BookTitle,1006)="","",INDEX(BookCategory,1006))</f>
        <v/>
      </c>
      <c r="H1011" s="40" t="str">
        <f aca="false">IF(INDEX(BookTitle,1006)="","",INDEX(BookRank,1006))</f>
        <v/>
      </c>
      <c r="I1011" s="41" t="str">
        <f aca="false">IF(INDEX(BookTitle,1006)="","",INDEX(BookTotal,1006))</f>
        <v/>
      </c>
      <c r="J1011" s="0" t="str">
        <f aca="false">IF($I1011="","",IF(INDEX(BookQ1,1006)&gt;0,"Q1",IF(INDEX(BookQ2,1006)&gt;0,"Q2",IF(INDEX(BookQ3,1006)&gt;0,"Q3",IF(INDEX(BookQ4,1006)&gt;0,"Q4","")))))</f>
        <v/>
      </c>
      <c r="K1011" s="42" t="str">
        <f aca="false">IF(INDEX(BookTitle,1006)="","",INDEX(BookInYear,1006))</f>
        <v/>
      </c>
      <c r="L1011" s="19"/>
      <c r="M1011" s="39"/>
      <c r="N1011" s="19"/>
      <c r="O1011" s="19"/>
      <c r="P1011" s="43" t="str">
        <f aca="false">IF($E1011="","",IF($L1011="Decline",0,IF($L1011="Approve fewer",IF($M1011="","",$M1011),IF($L1011="","",$I1011))))</f>
        <v/>
      </c>
      <c r="Q1011" s="34" t="str">
        <f aca="false">IF($P1011="","",IF($N1011&lt;&gt;"",$N1011,$J1011))</f>
        <v/>
      </c>
      <c r="R1011" s="35" t="str">
        <f aca="false">IF(OR($P1011="",$Q1011=""),"",INDEX(BookRate,1006)*$P1011*(5-MATCH($Q1011,{"Q1";"Q2";"Q3";"Q4"},0))/4+INDEX(BookOneOff,1006)*$P1011)</f>
        <v/>
      </c>
      <c r="S1011" s="35" t="str">
        <f aca="false">IF($P1011="","",INDEX(BookRate,1006)*$P1011)</f>
        <v/>
      </c>
      <c r="T1011" s="35" t="str">
        <f aca="false">IF($R1011="","",$R1011-$K1011)</f>
        <v/>
      </c>
      <c r="U1011" s="35" t="str">
        <f aca="false">IF(N($P1011)&lt;=0,"",COUNTIF($P$6:$P1011,"&gt;0"))</f>
        <v/>
      </c>
    </row>
    <row r="1012" customFormat="false" ht="15" hidden="false" customHeight="false" outlineLevel="0" collapsed="false">
      <c r="A1012" s="40" t="str">
        <f aca="false">IF(INDEX(BookTitle,1007)="","",INDEX(BookGroup,1007))</f>
        <v/>
      </c>
      <c r="B1012" s="40" t="str">
        <f aca="false">IF(INDEX(BookTitle,1007)="","",INDEX(BookRef,1007))</f>
        <v/>
      </c>
      <c r="C1012" s="40" t="str">
        <f aca="false">IF(INDEX(BookTitle,1007)="","",INDEX(BookDivision,1007))</f>
        <v/>
      </c>
      <c r="D1012" s="40" t="str">
        <f aca="false">IF(INDEX(BookTitle,1007)="","",INDEX(BookUnit,1007))</f>
        <v/>
      </c>
      <c r="E1012" s="40" t="str">
        <f aca="false">IF(INDEX(BookTitle,1007)="","",INDEX(BookTitle,1007))</f>
        <v/>
      </c>
      <c r="F1012" s="40" t="str">
        <f aca="false">IF(INDEX(BookTitle,1007)="","",INDEX(BookLevel,1007))</f>
        <v/>
      </c>
      <c r="G1012" s="40" t="str">
        <f aca="false">IF(INDEX(BookTitle,1007)="","",INDEX(BookCategory,1007))</f>
        <v/>
      </c>
      <c r="H1012" s="40" t="str">
        <f aca="false">IF(INDEX(BookTitle,1007)="","",INDEX(BookRank,1007))</f>
        <v/>
      </c>
      <c r="I1012" s="41" t="str">
        <f aca="false">IF(INDEX(BookTitle,1007)="","",INDEX(BookTotal,1007))</f>
        <v/>
      </c>
      <c r="J1012" s="0" t="str">
        <f aca="false">IF($I1012="","",IF(INDEX(BookQ1,1007)&gt;0,"Q1",IF(INDEX(BookQ2,1007)&gt;0,"Q2",IF(INDEX(BookQ3,1007)&gt;0,"Q3",IF(INDEX(BookQ4,1007)&gt;0,"Q4","")))))</f>
        <v/>
      </c>
      <c r="K1012" s="42" t="str">
        <f aca="false">IF(INDEX(BookTitle,1007)="","",INDEX(BookInYear,1007))</f>
        <v/>
      </c>
      <c r="L1012" s="19"/>
      <c r="M1012" s="39"/>
      <c r="N1012" s="19"/>
      <c r="O1012" s="19"/>
      <c r="P1012" s="43" t="str">
        <f aca="false">IF($E1012="","",IF($L1012="Decline",0,IF($L1012="Approve fewer",IF($M1012="","",$M1012),IF($L1012="","",$I1012))))</f>
        <v/>
      </c>
      <c r="Q1012" s="34" t="str">
        <f aca="false">IF($P1012="","",IF($N1012&lt;&gt;"",$N1012,$J1012))</f>
        <v/>
      </c>
      <c r="R1012" s="35" t="str">
        <f aca="false">IF(OR($P1012="",$Q1012=""),"",INDEX(BookRate,1007)*$P1012*(5-MATCH($Q1012,{"Q1";"Q2";"Q3";"Q4"},0))/4+INDEX(BookOneOff,1007)*$P1012)</f>
        <v/>
      </c>
      <c r="S1012" s="35" t="str">
        <f aca="false">IF($P1012="","",INDEX(BookRate,1007)*$P1012)</f>
        <v/>
      </c>
      <c r="T1012" s="35" t="str">
        <f aca="false">IF($R1012="","",$R1012-$K1012)</f>
        <v/>
      </c>
      <c r="U1012" s="35" t="str">
        <f aca="false">IF(N($P1012)&lt;=0,"",COUNTIF($P$6:$P1012,"&gt;0"))</f>
        <v/>
      </c>
    </row>
    <row r="1013" customFormat="false" ht="15" hidden="false" customHeight="false" outlineLevel="0" collapsed="false">
      <c r="A1013" s="40" t="str">
        <f aca="false">IF(INDEX(BookTitle,1008)="","",INDEX(BookGroup,1008))</f>
        <v/>
      </c>
      <c r="B1013" s="40" t="str">
        <f aca="false">IF(INDEX(BookTitle,1008)="","",INDEX(BookRef,1008))</f>
        <v/>
      </c>
      <c r="C1013" s="40" t="str">
        <f aca="false">IF(INDEX(BookTitle,1008)="","",INDEX(BookDivision,1008))</f>
        <v/>
      </c>
      <c r="D1013" s="40" t="str">
        <f aca="false">IF(INDEX(BookTitle,1008)="","",INDEX(BookUnit,1008))</f>
        <v/>
      </c>
      <c r="E1013" s="40" t="str">
        <f aca="false">IF(INDEX(BookTitle,1008)="","",INDEX(BookTitle,1008))</f>
        <v/>
      </c>
      <c r="F1013" s="40" t="str">
        <f aca="false">IF(INDEX(BookTitle,1008)="","",INDEX(BookLevel,1008))</f>
        <v/>
      </c>
      <c r="G1013" s="40" t="str">
        <f aca="false">IF(INDEX(BookTitle,1008)="","",INDEX(BookCategory,1008))</f>
        <v/>
      </c>
      <c r="H1013" s="40" t="str">
        <f aca="false">IF(INDEX(BookTitle,1008)="","",INDEX(BookRank,1008))</f>
        <v/>
      </c>
      <c r="I1013" s="41" t="str">
        <f aca="false">IF(INDEX(BookTitle,1008)="","",INDEX(BookTotal,1008))</f>
        <v/>
      </c>
      <c r="J1013" s="0" t="str">
        <f aca="false">IF($I1013="","",IF(INDEX(BookQ1,1008)&gt;0,"Q1",IF(INDEX(BookQ2,1008)&gt;0,"Q2",IF(INDEX(BookQ3,1008)&gt;0,"Q3",IF(INDEX(BookQ4,1008)&gt;0,"Q4","")))))</f>
        <v/>
      </c>
      <c r="K1013" s="42" t="str">
        <f aca="false">IF(INDEX(BookTitle,1008)="","",INDEX(BookInYear,1008))</f>
        <v/>
      </c>
      <c r="L1013" s="19"/>
      <c r="M1013" s="39"/>
      <c r="N1013" s="19"/>
      <c r="O1013" s="19"/>
      <c r="P1013" s="43" t="str">
        <f aca="false">IF($E1013="","",IF($L1013="Decline",0,IF($L1013="Approve fewer",IF($M1013="","",$M1013),IF($L1013="","",$I1013))))</f>
        <v/>
      </c>
      <c r="Q1013" s="34" t="str">
        <f aca="false">IF($P1013="","",IF($N1013&lt;&gt;"",$N1013,$J1013))</f>
        <v/>
      </c>
      <c r="R1013" s="35" t="str">
        <f aca="false">IF(OR($P1013="",$Q1013=""),"",INDEX(BookRate,1008)*$P1013*(5-MATCH($Q1013,{"Q1";"Q2";"Q3";"Q4"},0))/4+INDEX(BookOneOff,1008)*$P1013)</f>
        <v/>
      </c>
      <c r="S1013" s="35" t="str">
        <f aca="false">IF($P1013="","",INDEX(BookRate,1008)*$P1013)</f>
        <v/>
      </c>
      <c r="T1013" s="35" t="str">
        <f aca="false">IF($R1013="","",$R1013-$K1013)</f>
        <v/>
      </c>
      <c r="U1013" s="35" t="str">
        <f aca="false">IF(N($P1013)&lt;=0,"",COUNTIF($P$6:$P1013,"&gt;0"))</f>
        <v/>
      </c>
    </row>
    <row r="1014" customFormat="false" ht="15" hidden="false" customHeight="false" outlineLevel="0" collapsed="false">
      <c r="A1014" s="40" t="str">
        <f aca="false">IF(INDEX(BookTitle,1009)="","",INDEX(BookGroup,1009))</f>
        <v/>
      </c>
      <c r="B1014" s="40" t="str">
        <f aca="false">IF(INDEX(BookTitle,1009)="","",INDEX(BookRef,1009))</f>
        <v/>
      </c>
      <c r="C1014" s="40" t="str">
        <f aca="false">IF(INDEX(BookTitle,1009)="","",INDEX(BookDivision,1009))</f>
        <v/>
      </c>
      <c r="D1014" s="40" t="str">
        <f aca="false">IF(INDEX(BookTitle,1009)="","",INDEX(BookUnit,1009))</f>
        <v/>
      </c>
      <c r="E1014" s="40" t="str">
        <f aca="false">IF(INDEX(BookTitle,1009)="","",INDEX(BookTitle,1009))</f>
        <v/>
      </c>
      <c r="F1014" s="40" t="str">
        <f aca="false">IF(INDEX(BookTitle,1009)="","",INDEX(BookLevel,1009))</f>
        <v/>
      </c>
      <c r="G1014" s="40" t="str">
        <f aca="false">IF(INDEX(BookTitle,1009)="","",INDEX(BookCategory,1009))</f>
        <v/>
      </c>
      <c r="H1014" s="40" t="str">
        <f aca="false">IF(INDEX(BookTitle,1009)="","",INDEX(BookRank,1009))</f>
        <v/>
      </c>
      <c r="I1014" s="41" t="str">
        <f aca="false">IF(INDEX(BookTitle,1009)="","",INDEX(BookTotal,1009))</f>
        <v/>
      </c>
      <c r="J1014" s="0" t="str">
        <f aca="false">IF($I1014="","",IF(INDEX(BookQ1,1009)&gt;0,"Q1",IF(INDEX(BookQ2,1009)&gt;0,"Q2",IF(INDEX(BookQ3,1009)&gt;0,"Q3",IF(INDEX(BookQ4,1009)&gt;0,"Q4","")))))</f>
        <v/>
      </c>
      <c r="K1014" s="42" t="str">
        <f aca="false">IF(INDEX(BookTitle,1009)="","",INDEX(BookInYear,1009))</f>
        <v/>
      </c>
      <c r="L1014" s="19"/>
      <c r="M1014" s="39"/>
      <c r="N1014" s="19"/>
      <c r="O1014" s="19"/>
      <c r="P1014" s="43" t="str">
        <f aca="false">IF($E1014="","",IF($L1014="Decline",0,IF($L1014="Approve fewer",IF($M1014="","",$M1014),IF($L1014="","",$I1014))))</f>
        <v/>
      </c>
      <c r="Q1014" s="34" t="str">
        <f aca="false">IF($P1014="","",IF($N1014&lt;&gt;"",$N1014,$J1014))</f>
        <v/>
      </c>
      <c r="R1014" s="35" t="str">
        <f aca="false">IF(OR($P1014="",$Q1014=""),"",INDEX(BookRate,1009)*$P1014*(5-MATCH($Q1014,{"Q1";"Q2";"Q3";"Q4"},0))/4+INDEX(BookOneOff,1009)*$P1014)</f>
        <v/>
      </c>
      <c r="S1014" s="35" t="str">
        <f aca="false">IF($P1014="","",INDEX(BookRate,1009)*$P1014)</f>
        <v/>
      </c>
      <c r="T1014" s="35" t="str">
        <f aca="false">IF($R1014="","",$R1014-$K1014)</f>
        <v/>
      </c>
      <c r="U1014" s="35" t="str">
        <f aca="false">IF(N($P1014)&lt;=0,"",COUNTIF($P$6:$P1014,"&gt;0"))</f>
        <v/>
      </c>
    </row>
    <row r="1015" customFormat="false" ht="15" hidden="false" customHeight="false" outlineLevel="0" collapsed="false">
      <c r="A1015" s="40" t="str">
        <f aca="false">IF(INDEX(BookTitle,1010)="","",INDEX(BookGroup,1010))</f>
        <v/>
      </c>
      <c r="B1015" s="40" t="str">
        <f aca="false">IF(INDEX(BookTitle,1010)="","",INDEX(BookRef,1010))</f>
        <v/>
      </c>
      <c r="C1015" s="40" t="str">
        <f aca="false">IF(INDEX(BookTitle,1010)="","",INDEX(BookDivision,1010))</f>
        <v/>
      </c>
      <c r="D1015" s="40" t="str">
        <f aca="false">IF(INDEX(BookTitle,1010)="","",INDEX(BookUnit,1010))</f>
        <v/>
      </c>
      <c r="E1015" s="40" t="str">
        <f aca="false">IF(INDEX(BookTitle,1010)="","",INDEX(BookTitle,1010))</f>
        <v/>
      </c>
      <c r="F1015" s="40" t="str">
        <f aca="false">IF(INDEX(BookTitle,1010)="","",INDEX(BookLevel,1010))</f>
        <v/>
      </c>
      <c r="G1015" s="40" t="str">
        <f aca="false">IF(INDEX(BookTitle,1010)="","",INDEX(BookCategory,1010))</f>
        <v/>
      </c>
      <c r="H1015" s="40" t="str">
        <f aca="false">IF(INDEX(BookTitle,1010)="","",INDEX(BookRank,1010))</f>
        <v/>
      </c>
      <c r="I1015" s="41" t="str">
        <f aca="false">IF(INDEX(BookTitle,1010)="","",INDEX(BookTotal,1010))</f>
        <v/>
      </c>
      <c r="J1015" s="0" t="str">
        <f aca="false">IF($I1015="","",IF(INDEX(BookQ1,1010)&gt;0,"Q1",IF(INDEX(BookQ2,1010)&gt;0,"Q2",IF(INDEX(BookQ3,1010)&gt;0,"Q3",IF(INDEX(BookQ4,1010)&gt;0,"Q4","")))))</f>
        <v/>
      </c>
      <c r="K1015" s="42" t="str">
        <f aca="false">IF(INDEX(BookTitle,1010)="","",INDEX(BookInYear,1010))</f>
        <v/>
      </c>
      <c r="L1015" s="19"/>
      <c r="M1015" s="39"/>
      <c r="N1015" s="19"/>
      <c r="O1015" s="19"/>
      <c r="P1015" s="43" t="str">
        <f aca="false">IF($E1015="","",IF($L1015="Decline",0,IF($L1015="Approve fewer",IF($M1015="","",$M1015),IF($L1015="","",$I1015))))</f>
        <v/>
      </c>
      <c r="Q1015" s="34" t="str">
        <f aca="false">IF($P1015="","",IF($N1015&lt;&gt;"",$N1015,$J1015))</f>
        <v/>
      </c>
      <c r="R1015" s="35" t="str">
        <f aca="false">IF(OR($P1015="",$Q1015=""),"",INDEX(BookRate,1010)*$P1015*(5-MATCH($Q1015,{"Q1";"Q2";"Q3";"Q4"},0))/4+INDEX(BookOneOff,1010)*$P1015)</f>
        <v/>
      </c>
      <c r="S1015" s="35" t="str">
        <f aca="false">IF($P1015="","",INDEX(BookRate,1010)*$P1015)</f>
        <v/>
      </c>
      <c r="T1015" s="35" t="str">
        <f aca="false">IF($R1015="","",$R1015-$K1015)</f>
        <v/>
      </c>
      <c r="U1015" s="35" t="str">
        <f aca="false">IF(N($P1015)&lt;=0,"",COUNTIF($P$6:$P1015,"&gt;0"))</f>
        <v/>
      </c>
    </row>
    <row r="1016" customFormat="false" ht="15" hidden="false" customHeight="false" outlineLevel="0" collapsed="false">
      <c r="A1016" s="40" t="str">
        <f aca="false">IF(INDEX(BookTitle,1011)="","",INDEX(BookGroup,1011))</f>
        <v/>
      </c>
      <c r="B1016" s="40" t="str">
        <f aca="false">IF(INDEX(BookTitle,1011)="","",INDEX(BookRef,1011))</f>
        <v/>
      </c>
      <c r="C1016" s="40" t="str">
        <f aca="false">IF(INDEX(BookTitle,1011)="","",INDEX(BookDivision,1011))</f>
        <v/>
      </c>
      <c r="D1016" s="40" t="str">
        <f aca="false">IF(INDEX(BookTitle,1011)="","",INDEX(BookUnit,1011))</f>
        <v/>
      </c>
      <c r="E1016" s="40" t="str">
        <f aca="false">IF(INDEX(BookTitle,1011)="","",INDEX(BookTitle,1011))</f>
        <v/>
      </c>
      <c r="F1016" s="40" t="str">
        <f aca="false">IF(INDEX(BookTitle,1011)="","",INDEX(BookLevel,1011))</f>
        <v/>
      </c>
      <c r="G1016" s="40" t="str">
        <f aca="false">IF(INDEX(BookTitle,1011)="","",INDEX(BookCategory,1011))</f>
        <v/>
      </c>
      <c r="H1016" s="40" t="str">
        <f aca="false">IF(INDEX(BookTitle,1011)="","",INDEX(BookRank,1011))</f>
        <v/>
      </c>
      <c r="I1016" s="41" t="str">
        <f aca="false">IF(INDEX(BookTitle,1011)="","",INDEX(BookTotal,1011))</f>
        <v/>
      </c>
      <c r="J1016" s="0" t="str">
        <f aca="false">IF($I1016="","",IF(INDEX(BookQ1,1011)&gt;0,"Q1",IF(INDEX(BookQ2,1011)&gt;0,"Q2",IF(INDEX(BookQ3,1011)&gt;0,"Q3",IF(INDEX(BookQ4,1011)&gt;0,"Q4","")))))</f>
        <v/>
      </c>
      <c r="K1016" s="42" t="str">
        <f aca="false">IF(INDEX(BookTitle,1011)="","",INDEX(BookInYear,1011))</f>
        <v/>
      </c>
      <c r="L1016" s="19"/>
      <c r="M1016" s="39"/>
      <c r="N1016" s="19"/>
      <c r="O1016" s="19"/>
      <c r="P1016" s="43" t="str">
        <f aca="false">IF($E1016="","",IF($L1016="Decline",0,IF($L1016="Approve fewer",IF($M1016="","",$M1016),IF($L1016="","",$I1016))))</f>
        <v/>
      </c>
      <c r="Q1016" s="34" t="str">
        <f aca="false">IF($P1016="","",IF($N1016&lt;&gt;"",$N1016,$J1016))</f>
        <v/>
      </c>
      <c r="R1016" s="35" t="str">
        <f aca="false">IF(OR($P1016="",$Q1016=""),"",INDEX(BookRate,1011)*$P1016*(5-MATCH($Q1016,{"Q1";"Q2";"Q3";"Q4"},0))/4+INDEX(BookOneOff,1011)*$P1016)</f>
        <v/>
      </c>
      <c r="S1016" s="35" t="str">
        <f aca="false">IF($P1016="","",INDEX(BookRate,1011)*$P1016)</f>
        <v/>
      </c>
      <c r="T1016" s="35" t="str">
        <f aca="false">IF($R1016="","",$R1016-$K1016)</f>
        <v/>
      </c>
      <c r="U1016" s="35" t="str">
        <f aca="false">IF(N($P1016)&lt;=0,"",COUNTIF($P$6:$P1016,"&gt;0"))</f>
        <v/>
      </c>
    </row>
    <row r="1017" customFormat="false" ht="15" hidden="false" customHeight="false" outlineLevel="0" collapsed="false">
      <c r="A1017" s="40" t="str">
        <f aca="false">IF(INDEX(BookTitle,1012)="","",INDEX(BookGroup,1012))</f>
        <v/>
      </c>
      <c r="B1017" s="40" t="str">
        <f aca="false">IF(INDEX(BookTitle,1012)="","",INDEX(BookRef,1012))</f>
        <v/>
      </c>
      <c r="C1017" s="40" t="str">
        <f aca="false">IF(INDEX(BookTitle,1012)="","",INDEX(BookDivision,1012))</f>
        <v/>
      </c>
      <c r="D1017" s="40" t="str">
        <f aca="false">IF(INDEX(BookTitle,1012)="","",INDEX(BookUnit,1012))</f>
        <v/>
      </c>
      <c r="E1017" s="40" t="str">
        <f aca="false">IF(INDEX(BookTitle,1012)="","",INDEX(BookTitle,1012))</f>
        <v/>
      </c>
      <c r="F1017" s="40" t="str">
        <f aca="false">IF(INDEX(BookTitle,1012)="","",INDEX(BookLevel,1012))</f>
        <v/>
      </c>
      <c r="G1017" s="40" t="str">
        <f aca="false">IF(INDEX(BookTitle,1012)="","",INDEX(BookCategory,1012))</f>
        <v/>
      </c>
      <c r="H1017" s="40" t="str">
        <f aca="false">IF(INDEX(BookTitle,1012)="","",INDEX(BookRank,1012))</f>
        <v/>
      </c>
      <c r="I1017" s="41" t="str">
        <f aca="false">IF(INDEX(BookTitle,1012)="","",INDEX(BookTotal,1012))</f>
        <v/>
      </c>
      <c r="J1017" s="0" t="str">
        <f aca="false">IF($I1017="","",IF(INDEX(BookQ1,1012)&gt;0,"Q1",IF(INDEX(BookQ2,1012)&gt;0,"Q2",IF(INDEX(BookQ3,1012)&gt;0,"Q3",IF(INDEX(BookQ4,1012)&gt;0,"Q4","")))))</f>
        <v/>
      </c>
      <c r="K1017" s="42" t="str">
        <f aca="false">IF(INDEX(BookTitle,1012)="","",INDEX(BookInYear,1012))</f>
        <v/>
      </c>
      <c r="L1017" s="19"/>
      <c r="M1017" s="39"/>
      <c r="N1017" s="19"/>
      <c r="O1017" s="19"/>
      <c r="P1017" s="43" t="str">
        <f aca="false">IF($E1017="","",IF($L1017="Decline",0,IF($L1017="Approve fewer",IF($M1017="","",$M1017),IF($L1017="","",$I1017))))</f>
        <v/>
      </c>
      <c r="Q1017" s="34" t="str">
        <f aca="false">IF($P1017="","",IF($N1017&lt;&gt;"",$N1017,$J1017))</f>
        <v/>
      </c>
      <c r="R1017" s="35" t="str">
        <f aca="false">IF(OR($P1017="",$Q1017=""),"",INDEX(BookRate,1012)*$P1017*(5-MATCH($Q1017,{"Q1";"Q2";"Q3";"Q4"},0))/4+INDEX(BookOneOff,1012)*$P1017)</f>
        <v/>
      </c>
      <c r="S1017" s="35" t="str">
        <f aca="false">IF($P1017="","",INDEX(BookRate,1012)*$P1017)</f>
        <v/>
      </c>
      <c r="T1017" s="35" t="str">
        <f aca="false">IF($R1017="","",$R1017-$K1017)</f>
        <v/>
      </c>
      <c r="U1017" s="35" t="str">
        <f aca="false">IF(N($P1017)&lt;=0,"",COUNTIF($P$6:$P1017,"&gt;0"))</f>
        <v/>
      </c>
    </row>
    <row r="1018" customFormat="false" ht="15" hidden="false" customHeight="false" outlineLevel="0" collapsed="false">
      <c r="A1018" s="40" t="str">
        <f aca="false">IF(INDEX(BookTitle,1013)="","",INDEX(BookGroup,1013))</f>
        <v/>
      </c>
      <c r="B1018" s="40" t="str">
        <f aca="false">IF(INDEX(BookTitle,1013)="","",INDEX(BookRef,1013))</f>
        <v/>
      </c>
      <c r="C1018" s="40" t="str">
        <f aca="false">IF(INDEX(BookTitle,1013)="","",INDEX(BookDivision,1013))</f>
        <v/>
      </c>
      <c r="D1018" s="40" t="str">
        <f aca="false">IF(INDEX(BookTitle,1013)="","",INDEX(BookUnit,1013))</f>
        <v/>
      </c>
      <c r="E1018" s="40" t="str">
        <f aca="false">IF(INDEX(BookTitle,1013)="","",INDEX(BookTitle,1013))</f>
        <v/>
      </c>
      <c r="F1018" s="40" t="str">
        <f aca="false">IF(INDEX(BookTitle,1013)="","",INDEX(BookLevel,1013))</f>
        <v/>
      </c>
      <c r="G1018" s="40" t="str">
        <f aca="false">IF(INDEX(BookTitle,1013)="","",INDEX(BookCategory,1013))</f>
        <v/>
      </c>
      <c r="H1018" s="40" t="str">
        <f aca="false">IF(INDEX(BookTitle,1013)="","",INDEX(BookRank,1013))</f>
        <v/>
      </c>
      <c r="I1018" s="41" t="str">
        <f aca="false">IF(INDEX(BookTitle,1013)="","",INDEX(BookTotal,1013))</f>
        <v/>
      </c>
      <c r="J1018" s="0" t="str">
        <f aca="false">IF($I1018="","",IF(INDEX(BookQ1,1013)&gt;0,"Q1",IF(INDEX(BookQ2,1013)&gt;0,"Q2",IF(INDEX(BookQ3,1013)&gt;0,"Q3",IF(INDEX(BookQ4,1013)&gt;0,"Q4","")))))</f>
        <v/>
      </c>
      <c r="K1018" s="42" t="str">
        <f aca="false">IF(INDEX(BookTitle,1013)="","",INDEX(BookInYear,1013))</f>
        <v/>
      </c>
      <c r="L1018" s="19"/>
      <c r="M1018" s="39"/>
      <c r="N1018" s="19"/>
      <c r="O1018" s="19"/>
      <c r="P1018" s="43" t="str">
        <f aca="false">IF($E1018="","",IF($L1018="Decline",0,IF($L1018="Approve fewer",IF($M1018="","",$M1018),IF($L1018="","",$I1018))))</f>
        <v/>
      </c>
      <c r="Q1018" s="34" t="str">
        <f aca="false">IF($P1018="","",IF($N1018&lt;&gt;"",$N1018,$J1018))</f>
        <v/>
      </c>
      <c r="R1018" s="35" t="str">
        <f aca="false">IF(OR($P1018="",$Q1018=""),"",INDEX(BookRate,1013)*$P1018*(5-MATCH($Q1018,{"Q1";"Q2";"Q3";"Q4"},0))/4+INDEX(BookOneOff,1013)*$P1018)</f>
        <v/>
      </c>
      <c r="S1018" s="35" t="str">
        <f aca="false">IF($P1018="","",INDEX(BookRate,1013)*$P1018)</f>
        <v/>
      </c>
      <c r="T1018" s="35" t="str">
        <f aca="false">IF($R1018="","",$R1018-$K1018)</f>
        <v/>
      </c>
      <c r="U1018" s="35" t="str">
        <f aca="false">IF(N($P1018)&lt;=0,"",COUNTIF($P$6:$P1018,"&gt;0"))</f>
        <v/>
      </c>
    </row>
    <row r="1019" customFormat="false" ht="15" hidden="false" customHeight="false" outlineLevel="0" collapsed="false">
      <c r="A1019" s="40" t="str">
        <f aca="false">IF(INDEX(BookTitle,1014)="","",INDEX(BookGroup,1014))</f>
        <v/>
      </c>
      <c r="B1019" s="40" t="str">
        <f aca="false">IF(INDEX(BookTitle,1014)="","",INDEX(BookRef,1014))</f>
        <v/>
      </c>
      <c r="C1019" s="40" t="str">
        <f aca="false">IF(INDEX(BookTitle,1014)="","",INDEX(BookDivision,1014))</f>
        <v/>
      </c>
      <c r="D1019" s="40" t="str">
        <f aca="false">IF(INDEX(BookTitle,1014)="","",INDEX(BookUnit,1014))</f>
        <v/>
      </c>
      <c r="E1019" s="40" t="str">
        <f aca="false">IF(INDEX(BookTitle,1014)="","",INDEX(BookTitle,1014))</f>
        <v/>
      </c>
      <c r="F1019" s="40" t="str">
        <f aca="false">IF(INDEX(BookTitle,1014)="","",INDEX(BookLevel,1014))</f>
        <v/>
      </c>
      <c r="G1019" s="40" t="str">
        <f aca="false">IF(INDEX(BookTitle,1014)="","",INDEX(BookCategory,1014))</f>
        <v/>
      </c>
      <c r="H1019" s="40" t="str">
        <f aca="false">IF(INDEX(BookTitle,1014)="","",INDEX(BookRank,1014))</f>
        <v/>
      </c>
      <c r="I1019" s="41" t="str">
        <f aca="false">IF(INDEX(BookTitle,1014)="","",INDEX(BookTotal,1014))</f>
        <v/>
      </c>
      <c r="J1019" s="0" t="str">
        <f aca="false">IF($I1019="","",IF(INDEX(BookQ1,1014)&gt;0,"Q1",IF(INDEX(BookQ2,1014)&gt;0,"Q2",IF(INDEX(BookQ3,1014)&gt;0,"Q3",IF(INDEX(BookQ4,1014)&gt;0,"Q4","")))))</f>
        <v/>
      </c>
      <c r="K1019" s="42" t="str">
        <f aca="false">IF(INDEX(BookTitle,1014)="","",INDEX(BookInYear,1014))</f>
        <v/>
      </c>
      <c r="L1019" s="19"/>
      <c r="M1019" s="39"/>
      <c r="N1019" s="19"/>
      <c r="O1019" s="19"/>
      <c r="P1019" s="43" t="str">
        <f aca="false">IF($E1019="","",IF($L1019="Decline",0,IF($L1019="Approve fewer",IF($M1019="","",$M1019),IF($L1019="","",$I1019))))</f>
        <v/>
      </c>
      <c r="Q1019" s="34" t="str">
        <f aca="false">IF($P1019="","",IF($N1019&lt;&gt;"",$N1019,$J1019))</f>
        <v/>
      </c>
      <c r="R1019" s="35" t="str">
        <f aca="false">IF(OR($P1019="",$Q1019=""),"",INDEX(BookRate,1014)*$P1019*(5-MATCH($Q1019,{"Q1";"Q2";"Q3";"Q4"},0))/4+INDEX(BookOneOff,1014)*$P1019)</f>
        <v/>
      </c>
      <c r="S1019" s="35" t="str">
        <f aca="false">IF($P1019="","",INDEX(BookRate,1014)*$P1019)</f>
        <v/>
      </c>
      <c r="T1019" s="35" t="str">
        <f aca="false">IF($R1019="","",$R1019-$K1019)</f>
        <v/>
      </c>
      <c r="U1019" s="35" t="str">
        <f aca="false">IF(N($P1019)&lt;=0,"",COUNTIF($P$6:$P1019,"&gt;0"))</f>
        <v/>
      </c>
    </row>
    <row r="1020" customFormat="false" ht="15" hidden="false" customHeight="false" outlineLevel="0" collapsed="false">
      <c r="A1020" s="40" t="str">
        <f aca="false">IF(INDEX(BookTitle,1015)="","",INDEX(BookGroup,1015))</f>
        <v/>
      </c>
      <c r="B1020" s="40" t="str">
        <f aca="false">IF(INDEX(BookTitle,1015)="","",INDEX(BookRef,1015))</f>
        <v/>
      </c>
      <c r="C1020" s="40" t="str">
        <f aca="false">IF(INDEX(BookTitle,1015)="","",INDEX(BookDivision,1015))</f>
        <v/>
      </c>
      <c r="D1020" s="40" t="str">
        <f aca="false">IF(INDEX(BookTitle,1015)="","",INDEX(BookUnit,1015))</f>
        <v/>
      </c>
      <c r="E1020" s="40" t="str">
        <f aca="false">IF(INDEX(BookTitle,1015)="","",INDEX(BookTitle,1015))</f>
        <v/>
      </c>
      <c r="F1020" s="40" t="str">
        <f aca="false">IF(INDEX(BookTitle,1015)="","",INDEX(BookLevel,1015))</f>
        <v/>
      </c>
      <c r="G1020" s="40" t="str">
        <f aca="false">IF(INDEX(BookTitle,1015)="","",INDEX(BookCategory,1015))</f>
        <v/>
      </c>
      <c r="H1020" s="40" t="str">
        <f aca="false">IF(INDEX(BookTitle,1015)="","",INDEX(BookRank,1015))</f>
        <v/>
      </c>
      <c r="I1020" s="41" t="str">
        <f aca="false">IF(INDEX(BookTitle,1015)="","",INDEX(BookTotal,1015))</f>
        <v/>
      </c>
      <c r="J1020" s="0" t="str">
        <f aca="false">IF($I1020="","",IF(INDEX(BookQ1,1015)&gt;0,"Q1",IF(INDEX(BookQ2,1015)&gt;0,"Q2",IF(INDEX(BookQ3,1015)&gt;0,"Q3",IF(INDEX(BookQ4,1015)&gt;0,"Q4","")))))</f>
        <v/>
      </c>
      <c r="K1020" s="42" t="str">
        <f aca="false">IF(INDEX(BookTitle,1015)="","",INDEX(BookInYear,1015))</f>
        <v/>
      </c>
      <c r="L1020" s="19"/>
      <c r="M1020" s="39"/>
      <c r="N1020" s="19"/>
      <c r="O1020" s="19"/>
      <c r="P1020" s="43" t="str">
        <f aca="false">IF($E1020="","",IF($L1020="Decline",0,IF($L1020="Approve fewer",IF($M1020="","",$M1020),IF($L1020="","",$I1020))))</f>
        <v/>
      </c>
      <c r="Q1020" s="34" t="str">
        <f aca="false">IF($P1020="","",IF($N1020&lt;&gt;"",$N1020,$J1020))</f>
        <v/>
      </c>
      <c r="R1020" s="35" t="str">
        <f aca="false">IF(OR($P1020="",$Q1020=""),"",INDEX(BookRate,1015)*$P1020*(5-MATCH($Q1020,{"Q1";"Q2";"Q3";"Q4"},0))/4+INDEX(BookOneOff,1015)*$P1020)</f>
        <v/>
      </c>
      <c r="S1020" s="35" t="str">
        <f aca="false">IF($P1020="","",INDEX(BookRate,1015)*$P1020)</f>
        <v/>
      </c>
      <c r="T1020" s="35" t="str">
        <f aca="false">IF($R1020="","",$R1020-$K1020)</f>
        <v/>
      </c>
      <c r="U1020" s="35" t="str">
        <f aca="false">IF(N($P1020)&lt;=0,"",COUNTIF($P$6:$P1020,"&gt;0"))</f>
        <v/>
      </c>
    </row>
    <row r="1021" customFormat="false" ht="15" hidden="false" customHeight="false" outlineLevel="0" collapsed="false">
      <c r="A1021" s="40" t="str">
        <f aca="false">IF(INDEX(BookTitle,1016)="","",INDEX(BookGroup,1016))</f>
        <v/>
      </c>
      <c r="B1021" s="40" t="str">
        <f aca="false">IF(INDEX(BookTitle,1016)="","",INDEX(BookRef,1016))</f>
        <v/>
      </c>
      <c r="C1021" s="40" t="str">
        <f aca="false">IF(INDEX(BookTitle,1016)="","",INDEX(BookDivision,1016))</f>
        <v/>
      </c>
      <c r="D1021" s="40" t="str">
        <f aca="false">IF(INDEX(BookTitle,1016)="","",INDEX(BookUnit,1016))</f>
        <v/>
      </c>
      <c r="E1021" s="40" t="str">
        <f aca="false">IF(INDEX(BookTitle,1016)="","",INDEX(BookTitle,1016))</f>
        <v/>
      </c>
      <c r="F1021" s="40" t="str">
        <f aca="false">IF(INDEX(BookTitle,1016)="","",INDEX(BookLevel,1016))</f>
        <v/>
      </c>
      <c r="G1021" s="40" t="str">
        <f aca="false">IF(INDEX(BookTitle,1016)="","",INDEX(BookCategory,1016))</f>
        <v/>
      </c>
      <c r="H1021" s="40" t="str">
        <f aca="false">IF(INDEX(BookTitle,1016)="","",INDEX(BookRank,1016))</f>
        <v/>
      </c>
      <c r="I1021" s="41" t="str">
        <f aca="false">IF(INDEX(BookTitle,1016)="","",INDEX(BookTotal,1016))</f>
        <v/>
      </c>
      <c r="J1021" s="0" t="str">
        <f aca="false">IF($I1021="","",IF(INDEX(BookQ1,1016)&gt;0,"Q1",IF(INDEX(BookQ2,1016)&gt;0,"Q2",IF(INDEX(BookQ3,1016)&gt;0,"Q3",IF(INDEX(BookQ4,1016)&gt;0,"Q4","")))))</f>
        <v/>
      </c>
      <c r="K1021" s="42" t="str">
        <f aca="false">IF(INDEX(BookTitle,1016)="","",INDEX(BookInYear,1016))</f>
        <v/>
      </c>
      <c r="L1021" s="19"/>
      <c r="M1021" s="39"/>
      <c r="N1021" s="19"/>
      <c r="O1021" s="19"/>
      <c r="P1021" s="43" t="str">
        <f aca="false">IF($E1021="","",IF($L1021="Decline",0,IF($L1021="Approve fewer",IF($M1021="","",$M1021),IF($L1021="","",$I1021))))</f>
        <v/>
      </c>
      <c r="Q1021" s="34" t="str">
        <f aca="false">IF($P1021="","",IF($N1021&lt;&gt;"",$N1021,$J1021))</f>
        <v/>
      </c>
      <c r="R1021" s="35" t="str">
        <f aca="false">IF(OR($P1021="",$Q1021=""),"",INDEX(BookRate,1016)*$P1021*(5-MATCH($Q1021,{"Q1";"Q2";"Q3";"Q4"},0))/4+INDEX(BookOneOff,1016)*$P1021)</f>
        <v/>
      </c>
      <c r="S1021" s="35" t="str">
        <f aca="false">IF($P1021="","",INDEX(BookRate,1016)*$P1021)</f>
        <v/>
      </c>
      <c r="T1021" s="35" t="str">
        <f aca="false">IF($R1021="","",$R1021-$K1021)</f>
        <v/>
      </c>
      <c r="U1021" s="35" t="str">
        <f aca="false">IF(N($P1021)&lt;=0,"",COUNTIF($P$6:$P1021,"&gt;0"))</f>
        <v/>
      </c>
    </row>
    <row r="1022" customFormat="false" ht="15" hidden="false" customHeight="false" outlineLevel="0" collapsed="false">
      <c r="A1022" s="40" t="str">
        <f aca="false">IF(INDEX(BookTitle,1017)="","",INDEX(BookGroup,1017))</f>
        <v/>
      </c>
      <c r="B1022" s="40" t="str">
        <f aca="false">IF(INDEX(BookTitle,1017)="","",INDEX(BookRef,1017))</f>
        <v/>
      </c>
      <c r="C1022" s="40" t="str">
        <f aca="false">IF(INDEX(BookTitle,1017)="","",INDEX(BookDivision,1017))</f>
        <v/>
      </c>
      <c r="D1022" s="40" t="str">
        <f aca="false">IF(INDEX(BookTitle,1017)="","",INDEX(BookUnit,1017))</f>
        <v/>
      </c>
      <c r="E1022" s="40" t="str">
        <f aca="false">IF(INDEX(BookTitle,1017)="","",INDEX(BookTitle,1017))</f>
        <v/>
      </c>
      <c r="F1022" s="40" t="str">
        <f aca="false">IF(INDEX(BookTitle,1017)="","",INDEX(BookLevel,1017))</f>
        <v/>
      </c>
      <c r="G1022" s="40" t="str">
        <f aca="false">IF(INDEX(BookTitle,1017)="","",INDEX(BookCategory,1017))</f>
        <v/>
      </c>
      <c r="H1022" s="40" t="str">
        <f aca="false">IF(INDEX(BookTitle,1017)="","",INDEX(BookRank,1017))</f>
        <v/>
      </c>
      <c r="I1022" s="41" t="str">
        <f aca="false">IF(INDEX(BookTitle,1017)="","",INDEX(BookTotal,1017))</f>
        <v/>
      </c>
      <c r="J1022" s="0" t="str">
        <f aca="false">IF($I1022="","",IF(INDEX(BookQ1,1017)&gt;0,"Q1",IF(INDEX(BookQ2,1017)&gt;0,"Q2",IF(INDEX(BookQ3,1017)&gt;0,"Q3",IF(INDEX(BookQ4,1017)&gt;0,"Q4","")))))</f>
        <v/>
      </c>
      <c r="K1022" s="42" t="str">
        <f aca="false">IF(INDEX(BookTitle,1017)="","",INDEX(BookInYear,1017))</f>
        <v/>
      </c>
      <c r="L1022" s="19"/>
      <c r="M1022" s="39"/>
      <c r="N1022" s="19"/>
      <c r="O1022" s="19"/>
      <c r="P1022" s="43" t="str">
        <f aca="false">IF($E1022="","",IF($L1022="Decline",0,IF($L1022="Approve fewer",IF($M1022="","",$M1022),IF($L1022="","",$I1022))))</f>
        <v/>
      </c>
      <c r="Q1022" s="34" t="str">
        <f aca="false">IF($P1022="","",IF($N1022&lt;&gt;"",$N1022,$J1022))</f>
        <v/>
      </c>
      <c r="R1022" s="35" t="str">
        <f aca="false">IF(OR($P1022="",$Q1022=""),"",INDEX(BookRate,1017)*$P1022*(5-MATCH($Q1022,{"Q1";"Q2";"Q3";"Q4"},0))/4+INDEX(BookOneOff,1017)*$P1022)</f>
        <v/>
      </c>
      <c r="S1022" s="35" t="str">
        <f aca="false">IF($P1022="","",INDEX(BookRate,1017)*$P1022)</f>
        <v/>
      </c>
      <c r="T1022" s="35" t="str">
        <f aca="false">IF($R1022="","",$R1022-$K1022)</f>
        <v/>
      </c>
      <c r="U1022" s="35" t="str">
        <f aca="false">IF(N($P1022)&lt;=0,"",COUNTIF($P$6:$P1022,"&gt;0"))</f>
        <v/>
      </c>
    </row>
    <row r="1023" customFormat="false" ht="15" hidden="false" customHeight="false" outlineLevel="0" collapsed="false">
      <c r="A1023" s="40" t="str">
        <f aca="false">IF(INDEX(BookTitle,1018)="","",INDEX(BookGroup,1018))</f>
        <v/>
      </c>
      <c r="B1023" s="40" t="str">
        <f aca="false">IF(INDEX(BookTitle,1018)="","",INDEX(BookRef,1018))</f>
        <v/>
      </c>
      <c r="C1023" s="40" t="str">
        <f aca="false">IF(INDEX(BookTitle,1018)="","",INDEX(BookDivision,1018))</f>
        <v/>
      </c>
      <c r="D1023" s="40" t="str">
        <f aca="false">IF(INDEX(BookTitle,1018)="","",INDEX(BookUnit,1018))</f>
        <v/>
      </c>
      <c r="E1023" s="40" t="str">
        <f aca="false">IF(INDEX(BookTitle,1018)="","",INDEX(BookTitle,1018))</f>
        <v/>
      </c>
      <c r="F1023" s="40" t="str">
        <f aca="false">IF(INDEX(BookTitle,1018)="","",INDEX(BookLevel,1018))</f>
        <v/>
      </c>
      <c r="G1023" s="40" t="str">
        <f aca="false">IF(INDEX(BookTitle,1018)="","",INDEX(BookCategory,1018))</f>
        <v/>
      </c>
      <c r="H1023" s="40" t="str">
        <f aca="false">IF(INDEX(BookTitle,1018)="","",INDEX(BookRank,1018))</f>
        <v/>
      </c>
      <c r="I1023" s="41" t="str">
        <f aca="false">IF(INDEX(BookTitle,1018)="","",INDEX(BookTotal,1018))</f>
        <v/>
      </c>
      <c r="J1023" s="0" t="str">
        <f aca="false">IF($I1023="","",IF(INDEX(BookQ1,1018)&gt;0,"Q1",IF(INDEX(BookQ2,1018)&gt;0,"Q2",IF(INDEX(BookQ3,1018)&gt;0,"Q3",IF(INDEX(BookQ4,1018)&gt;0,"Q4","")))))</f>
        <v/>
      </c>
      <c r="K1023" s="42" t="str">
        <f aca="false">IF(INDEX(BookTitle,1018)="","",INDEX(BookInYear,1018))</f>
        <v/>
      </c>
      <c r="L1023" s="19"/>
      <c r="M1023" s="39"/>
      <c r="N1023" s="19"/>
      <c r="O1023" s="19"/>
      <c r="P1023" s="43" t="str">
        <f aca="false">IF($E1023="","",IF($L1023="Decline",0,IF($L1023="Approve fewer",IF($M1023="","",$M1023),IF($L1023="","",$I1023))))</f>
        <v/>
      </c>
      <c r="Q1023" s="34" t="str">
        <f aca="false">IF($P1023="","",IF($N1023&lt;&gt;"",$N1023,$J1023))</f>
        <v/>
      </c>
      <c r="R1023" s="35" t="str">
        <f aca="false">IF(OR($P1023="",$Q1023=""),"",INDEX(BookRate,1018)*$P1023*(5-MATCH($Q1023,{"Q1";"Q2";"Q3";"Q4"},0))/4+INDEX(BookOneOff,1018)*$P1023)</f>
        <v/>
      </c>
      <c r="S1023" s="35" t="str">
        <f aca="false">IF($P1023="","",INDEX(BookRate,1018)*$P1023)</f>
        <v/>
      </c>
      <c r="T1023" s="35" t="str">
        <f aca="false">IF($R1023="","",$R1023-$K1023)</f>
        <v/>
      </c>
      <c r="U1023" s="35" t="str">
        <f aca="false">IF(N($P1023)&lt;=0,"",COUNTIF($P$6:$P1023,"&gt;0"))</f>
        <v/>
      </c>
    </row>
    <row r="1024" customFormat="false" ht="15" hidden="false" customHeight="false" outlineLevel="0" collapsed="false">
      <c r="A1024" s="40" t="str">
        <f aca="false">IF(INDEX(BookTitle,1019)="","",INDEX(BookGroup,1019))</f>
        <v/>
      </c>
      <c r="B1024" s="40" t="str">
        <f aca="false">IF(INDEX(BookTitle,1019)="","",INDEX(BookRef,1019))</f>
        <v/>
      </c>
      <c r="C1024" s="40" t="str">
        <f aca="false">IF(INDEX(BookTitle,1019)="","",INDEX(BookDivision,1019))</f>
        <v/>
      </c>
      <c r="D1024" s="40" t="str">
        <f aca="false">IF(INDEX(BookTitle,1019)="","",INDEX(BookUnit,1019))</f>
        <v/>
      </c>
      <c r="E1024" s="40" t="str">
        <f aca="false">IF(INDEX(BookTitle,1019)="","",INDEX(BookTitle,1019))</f>
        <v/>
      </c>
      <c r="F1024" s="40" t="str">
        <f aca="false">IF(INDEX(BookTitle,1019)="","",INDEX(BookLevel,1019))</f>
        <v/>
      </c>
      <c r="G1024" s="40" t="str">
        <f aca="false">IF(INDEX(BookTitle,1019)="","",INDEX(BookCategory,1019))</f>
        <v/>
      </c>
      <c r="H1024" s="40" t="str">
        <f aca="false">IF(INDEX(BookTitle,1019)="","",INDEX(BookRank,1019))</f>
        <v/>
      </c>
      <c r="I1024" s="41" t="str">
        <f aca="false">IF(INDEX(BookTitle,1019)="","",INDEX(BookTotal,1019))</f>
        <v/>
      </c>
      <c r="J1024" s="0" t="str">
        <f aca="false">IF($I1024="","",IF(INDEX(BookQ1,1019)&gt;0,"Q1",IF(INDEX(BookQ2,1019)&gt;0,"Q2",IF(INDEX(BookQ3,1019)&gt;0,"Q3",IF(INDEX(BookQ4,1019)&gt;0,"Q4","")))))</f>
        <v/>
      </c>
      <c r="K1024" s="42" t="str">
        <f aca="false">IF(INDEX(BookTitle,1019)="","",INDEX(BookInYear,1019))</f>
        <v/>
      </c>
      <c r="L1024" s="19"/>
      <c r="M1024" s="39"/>
      <c r="N1024" s="19"/>
      <c r="O1024" s="19"/>
      <c r="P1024" s="43" t="str">
        <f aca="false">IF($E1024="","",IF($L1024="Decline",0,IF($L1024="Approve fewer",IF($M1024="","",$M1024),IF($L1024="","",$I1024))))</f>
        <v/>
      </c>
      <c r="Q1024" s="34" t="str">
        <f aca="false">IF($P1024="","",IF($N1024&lt;&gt;"",$N1024,$J1024))</f>
        <v/>
      </c>
      <c r="R1024" s="35" t="str">
        <f aca="false">IF(OR($P1024="",$Q1024=""),"",INDEX(BookRate,1019)*$P1024*(5-MATCH($Q1024,{"Q1";"Q2";"Q3";"Q4"},0))/4+INDEX(BookOneOff,1019)*$P1024)</f>
        <v/>
      </c>
      <c r="S1024" s="35" t="str">
        <f aca="false">IF($P1024="","",INDEX(BookRate,1019)*$P1024)</f>
        <v/>
      </c>
      <c r="T1024" s="35" t="str">
        <f aca="false">IF($R1024="","",$R1024-$K1024)</f>
        <v/>
      </c>
      <c r="U1024" s="35" t="str">
        <f aca="false">IF(N($P1024)&lt;=0,"",COUNTIF($P$6:$P1024,"&gt;0"))</f>
        <v/>
      </c>
    </row>
    <row r="1025" customFormat="false" ht="15" hidden="false" customHeight="false" outlineLevel="0" collapsed="false">
      <c r="A1025" s="40" t="str">
        <f aca="false">IF(INDEX(BookTitle,1020)="","",INDEX(BookGroup,1020))</f>
        <v/>
      </c>
      <c r="B1025" s="40" t="str">
        <f aca="false">IF(INDEX(BookTitle,1020)="","",INDEX(BookRef,1020))</f>
        <v/>
      </c>
      <c r="C1025" s="40" t="str">
        <f aca="false">IF(INDEX(BookTitle,1020)="","",INDEX(BookDivision,1020))</f>
        <v/>
      </c>
      <c r="D1025" s="40" t="str">
        <f aca="false">IF(INDEX(BookTitle,1020)="","",INDEX(BookUnit,1020))</f>
        <v/>
      </c>
      <c r="E1025" s="40" t="str">
        <f aca="false">IF(INDEX(BookTitle,1020)="","",INDEX(BookTitle,1020))</f>
        <v/>
      </c>
      <c r="F1025" s="40" t="str">
        <f aca="false">IF(INDEX(BookTitle,1020)="","",INDEX(BookLevel,1020))</f>
        <v/>
      </c>
      <c r="G1025" s="40" t="str">
        <f aca="false">IF(INDEX(BookTitle,1020)="","",INDEX(BookCategory,1020))</f>
        <v/>
      </c>
      <c r="H1025" s="40" t="str">
        <f aca="false">IF(INDEX(BookTitle,1020)="","",INDEX(BookRank,1020))</f>
        <v/>
      </c>
      <c r="I1025" s="41" t="str">
        <f aca="false">IF(INDEX(BookTitle,1020)="","",INDEX(BookTotal,1020))</f>
        <v/>
      </c>
      <c r="J1025" s="0" t="str">
        <f aca="false">IF($I1025="","",IF(INDEX(BookQ1,1020)&gt;0,"Q1",IF(INDEX(BookQ2,1020)&gt;0,"Q2",IF(INDEX(BookQ3,1020)&gt;0,"Q3",IF(INDEX(BookQ4,1020)&gt;0,"Q4","")))))</f>
        <v/>
      </c>
      <c r="K1025" s="42" t="str">
        <f aca="false">IF(INDEX(BookTitle,1020)="","",INDEX(BookInYear,1020))</f>
        <v/>
      </c>
      <c r="L1025" s="19"/>
      <c r="M1025" s="39"/>
      <c r="N1025" s="19"/>
      <c r="O1025" s="19"/>
      <c r="P1025" s="43" t="str">
        <f aca="false">IF($E1025="","",IF($L1025="Decline",0,IF($L1025="Approve fewer",IF($M1025="","",$M1025),IF($L1025="","",$I1025))))</f>
        <v/>
      </c>
      <c r="Q1025" s="34" t="str">
        <f aca="false">IF($P1025="","",IF($N1025&lt;&gt;"",$N1025,$J1025))</f>
        <v/>
      </c>
      <c r="R1025" s="35" t="str">
        <f aca="false">IF(OR($P1025="",$Q1025=""),"",INDEX(BookRate,1020)*$P1025*(5-MATCH($Q1025,{"Q1";"Q2";"Q3";"Q4"},0))/4+INDEX(BookOneOff,1020)*$P1025)</f>
        <v/>
      </c>
      <c r="S1025" s="35" t="str">
        <f aca="false">IF($P1025="","",INDEX(BookRate,1020)*$P1025)</f>
        <v/>
      </c>
      <c r="T1025" s="35" t="str">
        <f aca="false">IF($R1025="","",$R1025-$K1025)</f>
        <v/>
      </c>
      <c r="U1025" s="35" t="str">
        <f aca="false">IF(N($P1025)&lt;=0,"",COUNTIF($P$6:$P1025,"&gt;0"))</f>
        <v/>
      </c>
    </row>
    <row r="1026" customFormat="false" ht="15" hidden="false" customHeight="false" outlineLevel="0" collapsed="false">
      <c r="A1026" s="40" t="str">
        <f aca="false">IF(INDEX(BookTitle,1021)="","",INDEX(BookGroup,1021))</f>
        <v/>
      </c>
      <c r="B1026" s="40" t="str">
        <f aca="false">IF(INDEX(BookTitle,1021)="","",INDEX(BookRef,1021))</f>
        <v/>
      </c>
      <c r="C1026" s="40" t="str">
        <f aca="false">IF(INDEX(BookTitle,1021)="","",INDEX(BookDivision,1021))</f>
        <v/>
      </c>
      <c r="D1026" s="40" t="str">
        <f aca="false">IF(INDEX(BookTitle,1021)="","",INDEX(BookUnit,1021))</f>
        <v/>
      </c>
      <c r="E1026" s="40" t="str">
        <f aca="false">IF(INDEX(BookTitle,1021)="","",INDEX(BookTitle,1021))</f>
        <v/>
      </c>
      <c r="F1026" s="40" t="str">
        <f aca="false">IF(INDEX(BookTitle,1021)="","",INDEX(BookLevel,1021))</f>
        <v/>
      </c>
      <c r="G1026" s="40" t="str">
        <f aca="false">IF(INDEX(BookTitle,1021)="","",INDEX(BookCategory,1021))</f>
        <v/>
      </c>
      <c r="H1026" s="40" t="str">
        <f aca="false">IF(INDEX(BookTitle,1021)="","",INDEX(BookRank,1021))</f>
        <v/>
      </c>
      <c r="I1026" s="41" t="str">
        <f aca="false">IF(INDEX(BookTitle,1021)="","",INDEX(BookTotal,1021))</f>
        <v/>
      </c>
      <c r="J1026" s="0" t="str">
        <f aca="false">IF($I1026="","",IF(INDEX(BookQ1,1021)&gt;0,"Q1",IF(INDEX(BookQ2,1021)&gt;0,"Q2",IF(INDEX(BookQ3,1021)&gt;0,"Q3",IF(INDEX(BookQ4,1021)&gt;0,"Q4","")))))</f>
        <v/>
      </c>
      <c r="K1026" s="42" t="str">
        <f aca="false">IF(INDEX(BookTitle,1021)="","",INDEX(BookInYear,1021))</f>
        <v/>
      </c>
      <c r="L1026" s="19"/>
      <c r="M1026" s="39"/>
      <c r="N1026" s="19"/>
      <c r="O1026" s="19"/>
      <c r="P1026" s="43" t="str">
        <f aca="false">IF($E1026="","",IF($L1026="Decline",0,IF($L1026="Approve fewer",IF($M1026="","",$M1026),IF($L1026="","",$I1026))))</f>
        <v/>
      </c>
      <c r="Q1026" s="34" t="str">
        <f aca="false">IF($P1026="","",IF($N1026&lt;&gt;"",$N1026,$J1026))</f>
        <v/>
      </c>
      <c r="R1026" s="35" t="str">
        <f aca="false">IF(OR($P1026="",$Q1026=""),"",INDEX(BookRate,1021)*$P1026*(5-MATCH($Q1026,{"Q1";"Q2";"Q3";"Q4"},0))/4+INDEX(BookOneOff,1021)*$P1026)</f>
        <v/>
      </c>
      <c r="S1026" s="35" t="str">
        <f aca="false">IF($P1026="","",INDEX(BookRate,1021)*$P1026)</f>
        <v/>
      </c>
      <c r="T1026" s="35" t="str">
        <f aca="false">IF($R1026="","",$R1026-$K1026)</f>
        <v/>
      </c>
      <c r="U1026" s="35" t="str">
        <f aca="false">IF(N($P1026)&lt;=0,"",COUNTIF($P$6:$P1026,"&gt;0"))</f>
        <v/>
      </c>
    </row>
    <row r="1027" customFormat="false" ht="15" hidden="false" customHeight="false" outlineLevel="0" collapsed="false">
      <c r="A1027" s="40" t="str">
        <f aca="false">IF(INDEX(BookTitle,1022)="","",INDEX(BookGroup,1022))</f>
        <v/>
      </c>
      <c r="B1027" s="40" t="str">
        <f aca="false">IF(INDEX(BookTitle,1022)="","",INDEX(BookRef,1022))</f>
        <v/>
      </c>
      <c r="C1027" s="40" t="str">
        <f aca="false">IF(INDEX(BookTitle,1022)="","",INDEX(BookDivision,1022))</f>
        <v/>
      </c>
      <c r="D1027" s="40" t="str">
        <f aca="false">IF(INDEX(BookTitle,1022)="","",INDEX(BookUnit,1022))</f>
        <v/>
      </c>
      <c r="E1027" s="40" t="str">
        <f aca="false">IF(INDEX(BookTitle,1022)="","",INDEX(BookTitle,1022))</f>
        <v/>
      </c>
      <c r="F1027" s="40" t="str">
        <f aca="false">IF(INDEX(BookTitle,1022)="","",INDEX(BookLevel,1022))</f>
        <v/>
      </c>
      <c r="G1027" s="40" t="str">
        <f aca="false">IF(INDEX(BookTitle,1022)="","",INDEX(BookCategory,1022))</f>
        <v/>
      </c>
      <c r="H1027" s="40" t="str">
        <f aca="false">IF(INDEX(BookTitle,1022)="","",INDEX(BookRank,1022))</f>
        <v/>
      </c>
      <c r="I1027" s="41" t="str">
        <f aca="false">IF(INDEX(BookTitle,1022)="","",INDEX(BookTotal,1022))</f>
        <v/>
      </c>
      <c r="J1027" s="0" t="str">
        <f aca="false">IF($I1027="","",IF(INDEX(BookQ1,1022)&gt;0,"Q1",IF(INDEX(BookQ2,1022)&gt;0,"Q2",IF(INDEX(BookQ3,1022)&gt;0,"Q3",IF(INDEX(BookQ4,1022)&gt;0,"Q4","")))))</f>
        <v/>
      </c>
      <c r="K1027" s="42" t="str">
        <f aca="false">IF(INDEX(BookTitle,1022)="","",INDEX(BookInYear,1022))</f>
        <v/>
      </c>
      <c r="L1027" s="19"/>
      <c r="M1027" s="39"/>
      <c r="N1027" s="19"/>
      <c r="O1027" s="19"/>
      <c r="P1027" s="43" t="str">
        <f aca="false">IF($E1027="","",IF($L1027="Decline",0,IF($L1027="Approve fewer",IF($M1027="","",$M1027),IF($L1027="","",$I1027))))</f>
        <v/>
      </c>
      <c r="Q1027" s="34" t="str">
        <f aca="false">IF($P1027="","",IF($N1027&lt;&gt;"",$N1027,$J1027))</f>
        <v/>
      </c>
      <c r="R1027" s="35" t="str">
        <f aca="false">IF(OR($P1027="",$Q1027=""),"",INDEX(BookRate,1022)*$P1027*(5-MATCH($Q1027,{"Q1";"Q2";"Q3";"Q4"},0))/4+INDEX(BookOneOff,1022)*$P1027)</f>
        <v/>
      </c>
      <c r="S1027" s="35" t="str">
        <f aca="false">IF($P1027="","",INDEX(BookRate,1022)*$P1027)</f>
        <v/>
      </c>
      <c r="T1027" s="35" t="str">
        <f aca="false">IF($R1027="","",$R1027-$K1027)</f>
        <v/>
      </c>
      <c r="U1027" s="35" t="str">
        <f aca="false">IF(N($P1027)&lt;=0,"",COUNTIF($P$6:$P1027,"&gt;0"))</f>
        <v/>
      </c>
    </row>
    <row r="1028" customFormat="false" ht="15" hidden="false" customHeight="false" outlineLevel="0" collapsed="false">
      <c r="A1028" s="40" t="str">
        <f aca="false">IF(INDEX(BookTitle,1023)="","",INDEX(BookGroup,1023))</f>
        <v/>
      </c>
      <c r="B1028" s="40" t="str">
        <f aca="false">IF(INDEX(BookTitle,1023)="","",INDEX(BookRef,1023))</f>
        <v/>
      </c>
      <c r="C1028" s="40" t="str">
        <f aca="false">IF(INDEX(BookTitle,1023)="","",INDEX(BookDivision,1023))</f>
        <v/>
      </c>
      <c r="D1028" s="40" t="str">
        <f aca="false">IF(INDEX(BookTitle,1023)="","",INDEX(BookUnit,1023))</f>
        <v/>
      </c>
      <c r="E1028" s="40" t="str">
        <f aca="false">IF(INDEX(BookTitle,1023)="","",INDEX(BookTitle,1023))</f>
        <v/>
      </c>
      <c r="F1028" s="40" t="str">
        <f aca="false">IF(INDEX(BookTitle,1023)="","",INDEX(BookLevel,1023))</f>
        <v/>
      </c>
      <c r="G1028" s="40" t="str">
        <f aca="false">IF(INDEX(BookTitle,1023)="","",INDEX(BookCategory,1023))</f>
        <v/>
      </c>
      <c r="H1028" s="40" t="str">
        <f aca="false">IF(INDEX(BookTitle,1023)="","",INDEX(BookRank,1023))</f>
        <v/>
      </c>
      <c r="I1028" s="41" t="str">
        <f aca="false">IF(INDEX(BookTitle,1023)="","",INDEX(BookTotal,1023))</f>
        <v/>
      </c>
      <c r="J1028" s="0" t="str">
        <f aca="false">IF($I1028="","",IF(INDEX(BookQ1,1023)&gt;0,"Q1",IF(INDEX(BookQ2,1023)&gt;0,"Q2",IF(INDEX(BookQ3,1023)&gt;0,"Q3",IF(INDEX(BookQ4,1023)&gt;0,"Q4","")))))</f>
        <v/>
      </c>
      <c r="K1028" s="42" t="str">
        <f aca="false">IF(INDEX(BookTitle,1023)="","",INDEX(BookInYear,1023))</f>
        <v/>
      </c>
      <c r="L1028" s="19"/>
      <c r="M1028" s="39"/>
      <c r="N1028" s="19"/>
      <c r="O1028" s="19"/>
      <c r="P1028" s="43" t="str">
        <f aca="false">IF($E1028="","",IF($L1028="Decline",0,IF($L1028="Approve fewer",IF($M1028="","",$M1028),IF($L1028="","",$I1028))))</f>
        <v/>
      </c>
      <c r="Q1028" s="34" t="str">
        <f aca="false">IF($P1028="","",IF($N1028&lt;&gt;"",$N1028,$J1028))</f>
        <v/>
      </c>
      <c r="R1028" s="35" t="str">
        <f aca="false">IF(OR($P1028="",$Q1028=""),"",INDEX(BookRate,1023)*$P1028*(5-MATCH($Q1028,{"Q1";"Q2";"Q3";"Q4"},0))/4+INDEX(BookOneOff,1023)*$P1028)</f>
        <v/>
      </c>
      <c r="S1028" s="35" t="str">
        <f aca="false">IF($P1028="","",INDEX(BookRate,1023)*$P1028)</f>
        <v/>
      </c>
      <c r="T1028" s="35" t="str">
        <f aca="false">IF($R1028="","",$R1028-$K1028)</f>
        <v/>
      </c>
      <c r="U1028" s="35" t="str">
        <f aca="false">IF(N($P1028)&lt;=0,"",COUNTIF($P$6:$P1028,"&gt;0"))</f>
        <v/>
      </c>
    </row>
    <row r="1029" customFormat="false" ht="15" hidden="false" customHeight="false" outlineLevel="0" collapsed="false">
      <c r="A1029" s="40" t="str">
        <f aca="false">IF(INDEX(BookTitle,1024)="","",INDEX(BookGroup,1024))</f>
        <v/>
      </c>
      <c r="B1029" s="40" t="str">
        <f aca="false">IF(INDEX(BookTitle,1024)="","",INDEX(BookRef,1024))</f>
        <v/>
      </c>
      <c r="C1029" s="40" t="str">
        <f aca="false">IF(INDEX(BookTitle,1024)="","",INDEX(BookDivision,1024))</f>
        <v/>
      </c>
      <c r="D1029" s="40" t="str">
        <f aca="false">IF(INDEX(BookTitle,1024)="","",INDEX(BookUnit,1024))</f>
        <v/>
      </c>
      <c r="E1029" s="40" t="str">
        <f aca="false">IF(INDEX(BookTitle,1024)="","",INDEX(BookTitle,1024))</f>
        <v/>
      </c>
      <c r="F1029" s="40" t="str">
        <f aca="false">IF(INDEX(BookTitle,1024)="","",INDEX(BookLevel,1024))</f>
        <v/>
      </c>
      <c r="G1029" s="40" t="str">
        <f aca="false">IF(INDEX(BookTitle,1024)="","",INDEX(BookCategory,1024))</f>
        <v/>
      </c>
      <c r="H1029" s="40" t="str">
        <f aca="false">IF(INDEX(BookTitle,1024)="","",INDEX(BookRank,1024))</f>
        <v/>
      </c>
      <c r="I1029" s="41" t="str">
        <f aca="false">IF(INDEX(BookTitle,1024)="","",INDEX(BookTotal,1024))</f>
        <v/>
      </c>
      <c r="J1029" s="0" t="str">
        <f aca="false">IF($I1029="","",IF(INDEX(BookQ1,1024)&gt;0,"Q1",IF(INDEX(BookQ2,1024)&gt;0,"Q2",IF(INDEX(BookQ3,1024)&gt;0,"Q3",IF(INDEX(BookQ4,1024)&gt;0,"Q4","")))))</f>
        <v/>
      </c>
      <c r="K1029" s="42" t="str">
        <f aca="false">IF(INDEX(BookTitle,1024)="","",INDEX(BookInYear,1024))</f>
        <v/>
      </c>
      <c r="L1029" s="19"/>
      <c r="M1029" s="39"/>
      <c r="N1029" s="19"/>
      <c r="O1029" s="19"/>
      <c r="P1029" s="43" t="str">
        <f aca="false">IF($E1029="","",IF($L1029="Decline",0,IF($L1029="Approve fewer",IF($M1029="","",$M1029),IF($L1029="","",$I1029))))</f>
        <v/>
      </c>
      <c r="Q1029" s="34" t="str">
        <f aca="false">IF($P1029="","",IF($N1029&lt;&gt;"",$N1029,$J1029))</f>
        <v/>
      </c>
      <c r="R1029" s="35" t="str">
        <f aca="false">IF(OR($P1029="",$Q1029=""),"",INDEX(BookRate,1024)*$P1029*(5-MATCH($Q1029,{"Q1";"Q2";"Q3";"Q4"},0))/4+INDEX(BookOneOff,1024)*$P1029)</f>
        <v/>
      </c>
      <c r="S1029" s="35" t="str">
        <f aca="false">IF($P1029="","",INDEX(BookRate,1024)*$P1029)</f>
        <v/>
      </c>
      <c r="T1029" s="35" t="str">
        <f aca="false">IF($R1029="","",$R1029-$K1029)</f>
        <v/>
      </c>
      <c r="U1029" s="35" t="str">
        <f aca="false">IF(N($P1029)&lt;=0,"",COUNTIF($P$6:$P1029,"&gt;0"))</f>
        <v/>
      </c>
    </row>
    <row r="1030" customFormat="false" ht="15" hidden="false" customHeight="false" outlineLevel="0" collapsed="false">
      <c r="A1030" s="40" t="str">
        <f aca="false">IF(INDEX(BookTitle,1025)="","",INDEX(BookGroup,1025))</f>
        <v/>
      </c>
      <c r="B1030" s="40" t="str">
        <f aca="false">IF(INDEX(BookTitle,1025)="","",INDEX(BookRef,1025))</f>
        <v/>
      </c>
      <c r="C1030" s="40" t="str">
        <f aca="false">IF(INDEX(BookTitle,1025)="","",INDEX(BookDivision,1025))</f>
        <v/>
      </c>
      <c r="D1030" s="40" t="str">
        <f aca="false">IF(INDEX(BookTitle,1025)="","",INDEX(BookUnit,1025))</f>
        <v/>
      </c>
      <c r="E1030" s="40" t="str">
        <f aca="false">IF(INDEX(BookTitle,1025)="","",INDEX(BookTitle,1025))</f>
        <v/>
      </c>
      <c r="F1030" s="40" t="str">
        <f aca="false">IF(INDEX(BookTitle,1025)="","",INDEX(BookLevel,1025))</f>
        <v/>
      </c>
      <c r="G1030" s="40" t="str">
        <f aca="false">IF(INDEX(BookTitle,1025)="","",INDEX(BookCategory,1025))</f>
        <v/>
      </c>
      <c r="H1030" s="40" t="str">
        <f aca="false">IF(INDEX(BookTitle,1025)="","",INDEX(BookRank,1025))</f>
        <v/>
      </c>
      <c r="I1030" s="41" t="str">
        <f aca="false">IF(INDEX(BookTitle,1025)="","",INDEX(BookTotal,1025))</f>
        <v/>
      </c>
      <c r="J1030" s="0" t="str">
        <f aca="false">IF($I1030="","",IF(INDEX(BookQ1,1025)&gt;0,"Q1",IF(INDEX(BookQ2,1025)&gt;0,"Q2",IF(INDEX(BookQ3,1025)&gt;0,"Q3",IF(INDEX(BookQ4,1025)&gt;0,"Q4","")))))</f>
        <v/>
      </c>
      <c r="K1030" s="42" t="str">
        <f aca="false">IF(INDEX(BookTitle,1025)="","",INDEX(BookInYear,1025))</f>
        <v/>
      </c>
      <c r="L1030" s="19"/>
      <c r="M1030" s="39"/>
      <c r="N1030" s="19"/>
      <c r="O1030" s="19"/>
      <c r="P1030" s="43" t="str">
        <f aca="false">IF($E1030="","",IF($L1030="Decline",0,IF($L1030="Approve fewer",IF($M1030="","",$M1030),IF($L1030="","",$I1030))))</f>
        <v/>
      </c>
      <c r="Q1030" s="34" t="str">
        <f aca="false">IF($P1030="","",IF($N1030&lt;&gt;"",$N1030,$J1030))</f>
        <v/>
      </c>
      <c r="R1030" s="35" t="str">
        <f aca="false">IF(OR($P1030="",$Q1030=""),"",INDEX(BookRate,1025)*$P1030*(5-MATCH($Q1030,{"Q1";"Q2";"Q3";"Q4"},0))/4+INDEX(BookOneOff,1025)*$P1030)</f>
        <v/>
      </c>
      <c r="S1030" s="35" t="str">
        <f aca="false">IF($P1030="","",INDEX(BookRate,1025)*$P1030)</f>
        <v/>
      </c>
      <c r="T1030" s="35" t="str">
        <f aca="false">IF($R1030="","",$R1030-$K1030)</f>
        <v/>
      </c>
      <c r="U1030" s="35" t="str">
        <f aca="false">IF(N($P1030)&lt;=0,"",COUNTIF($P$6:$P1030,"&gt;0"))</f>
        <v/>
      </c>
    </row>
    <row r="1031" customFormat="false" ht="15" hidden="false" customHeight="false" outlineLevel="0" collapsed="false">
      <c r="A1031" s="40" t="str">
        <f aca="false">IF(INDEX(BookTitle,1026)="","",INDEX(BookGroup,1026))</f>
        <v/>
      </c>
      <c r="B1031" s="40" t="str">
        <f aca="false">IF(INDEX(BookTitle,1026)="","",INDEX(BookRef,1026))</f>
        <v/>
      </c>
      <c r="C1031" s="40" t="str">
        <f aca="false">IF(INDEX(BookTitle,1026)="","",INDEX(BookDivision,1026))</f>
        <v/>
      </c>
      <c r="D1031" s="40" t="str">
        <f aca="false">IF(INDEX(BookTitle,1026)="","",INDEX(BookUnit,1026))</f>
        <v/>
      </c>
      <c r="E1031" s="40" t="str">
        <f aca="false">IF(INDEX(BookTitle,1026)="","",INDEX(BookTitle,1026))</f>
        <v/>
      </c>
      <c r="F1031" s="40" t="str">
        <f aca="false">IF(INDEX(BookTitle,1026)="","",INDEX(BookLevel,1026))</f>
        <v/>
      </c>
      <c r="G1031" s="40" t="str">
        <f aca="false">IF(INDEX(BookTitle,1026)="","",INDEX(BookCategory,1026))</f>
        <v/>
      </c>
      <c r="H1031" s="40" t="str">
        <f aca="false">IF(INDEX(BookTitle,1026)="","",INDEX(BookRank,1026))</f>
        <v/>
      </c>
      <c r="I1031" s="41" t="str">
        <f aca="false">IF(INDEX(BookTitle,1026)="","",INDEX(BookTotal,1026))</f>
        <v/>
      </c>
      <c r="J1031" s="0" t="str">
        <f aca="false">IF($I1031="","",IF(INDEX(BookQ1,1026)&gt;0,"Q1",IF(INDEX(BookQ2,1026)&gt;0,"Q2",IF(INDEX(BookQ3,1026)&gt;0,"Q3",IF(INDEX(BookQ4,1026)&gt;0,"Q4","")))))</f>
        <v/>
      </c>
      <c r="K1031" s="42" t="str">
        <f aca="false">IF(INDEX(BookTitle,1026)="","",INDEX(BookInYear,1026))</f>
        <v/>
      </c>
      <c r="L1031" s="19"/>
      <c r="M1031" s="39"/>
      <c r="N1031" s="19"/>
      <c r="O1031" s="19"/>
      <c r="P1031" s="43" t="str">
        <f aca="false">IF($E1031="","",IF($L1031="Decline",0,IF($L1031="Approve fewer",IF($M1031="","",$M1031),IF($L1031="","",$I1031))))</f>
        <v/>
      </c>
      <c r="Q1031" s="34" t="str">
        <f aca="false">IF($P1031="","",IF($N1031&lt;&gt;"",$N1031,$J1031))</f>
        <v/>
      </c>
      <c r="R1031" s="35" t="str">
        <f aca="false">IF(OR($P1031="",$Q1031=""),"",INDEX(BookRate,1026)*$P1031*(5-MATCH($Q1031,{"Q1";"Q2";"Q3";"Q4"},0))/4+INDEX(BookOneOff,1026)*$P1031)</f>
        <v/>
      </c>
      <c r="S1031" s="35" t="str">
        <f aca="false">IF($P1031="","",INDEX(BookRate,1026)*$P1031)</f>
        <v/>
      </c>
      <c r="T1031" s="35" t="str">
        <f aca="false">IF($R1031="","",$R1031-$K1031)</f>
        <v/>
      </c>
      <c r="U1031" s="35" t="str">
        <f aca="false">IF(N($P1031)&lt;=0,"",COUNTIF($P$6:$P1031,"&gt;0"))</f>
        <v/>
      </c>
    </row>
    <row r="1032" customFormat="false" ht="15" hidden="false" customHeight="false" outlineLevel="0" collapsed="false">
      <c r="A1032" s="40" t="str">
        <f aca="false">IF(INDEX(BookTitle,1027)="","",INDEX(BookGroup,1027))</f>
        <v/>
      </c>
      <c r="B1032" s="40" t="str">
        <f aca="false">IF(INDEX(BookTitle,1027)="","",INDEX(BookRef,1027))</f>
        <v/>
      </c>
      <c r="C1032" s="40" t="str">
        <f aca="false">IF(INDEX(BookTitle,1027)="","",INDEX(BookDivision,1027))</f>
        <v/>
      </c>
      <c r="D1032" s="40" t="str">
        <f aca="false">IF(INDEX(BookTitle,1027)="","",INDEX(BookUnit,1027))</f>
        <v/>
      </c>
      <c r="E1032" s="40" t="str">
        <f aca="false">IF(INDEX(BookTitle,1027)="","",INDEX(BookTitle,1027))</f>
        <v/>
      </c>
      <c r="F1032" s="40" t="str">
        <f aca="false">IF(INDEX(BookTitle,1027)="","",INDEX(BookLevel,1027))</f>
        <v/>
      </c>
      <c r="G1032" s="40" t="str">
        <f aca="false">IF(INDEX(BookTitle,1027)="","",INDEX(BookCategory,1027))</f>
        <v/>
      </c>
      <c r="H1032" s="40" t="str">
        <f aca="false">IF(INDEX(BookTitle,1027)="","",INDEX(BookRank,1027))</f>
        <v/>
      </c>
      <c r="I1032" s="41" t="str">
        <f aca="false">IF(INDEX(BookTitle,1027)="","",INDEX(BookTotal,1027))</f>
        <v/>
      </c>
      <c r="J1032" s="0" t="str">
        <f aca="false">IF($I1032="","",IF(INDEX(BookQ1,1027)&gt;0,"Q1",IF(INDEX(BookQ2,1027)&gt;0,"Q2",IF(INDEX(BookQ3,1027)&gt;0,"Q3",IF(INDEX(BookQ4,1027)&gt;0,"Q4","")))))</f>
        <v/>
      </c>
      <c r="K1032" s="42" t="str">
        <f aca="false">IF(INDEX(BookTitle,1027)="","",INDEX(BookInYear,1027))</f>
        <v/>
      </c>
      <c r="L1032" s="19"/>
      <c r="M1032" s="39"/>
      <c r="N1032" s="19"/>
      <c r="O1032" s="19"/>
      <c r="P1032" s="43" t="str">
        <f aca="false">IF($E1032="","",IF($L1032="Decline",0,IF($L1032="Approve fewer",IF($M1032="","",$M1032),IF($L1032="","",$I1032))))</f>
        <v/>
      </c>
      <c r="Q1032" s="34" t="str">
        <f aca="false">IF($P1032="","",IF($N1032&lt;&gt;"",$N1032,$J1032))</f>
        <v/>
      </c>
      <c r="R1032" s="35" t="str">
        <f aca="false">IF(OR($P1032="",$Q1032=""),"",INDEX(BookRate,1027)*$P1032*(5-MATCH($Q1032,{"Q1";"Q2";"Q3";"Q4"},0))/4+INDEX(BookOneOff,1027)*$P1032)</f>
        <v/>
      </c>
      <c r="S1032" s="35" t="str">
        <f aca="false">IF($P1032="","",INDEX(BookRate,1027)*$P1032)</f>
        <v/>
      </c>
      <c r="T1032" s="35" t="str">
        <f aca="false">IF($R1032="","",$R1032-$K1032)</f>
        <v/>
      </c>
      <c r="U1032" s="35" t="str">
        <f aca="false">IF(N($P1032)&lt;=0,"",COUNTIF($P$6:$P1032,"&gt;0"))</f>
        <v/>
      </c>
    </row>
    <row r="1033" customFormat="false" ht="15" hidden="false" customHeight="false" outlineLevel="0" collapsed="false">
      <c r="A1033" s="40" t="str">
        <f aca="false">IF(INDEX(BookTitle,1028)="","",INDEX(BookGroup,1028))</f>
        <v/>
      </c>
      <c r="B1033" s="40" t="str">
        <f aca="false">IF(INDEX(BookTitle,1028)="","",INDEX(BookRef,1028))</f>
        <v/>
      </c>
      <c r="C1033" s="40" t="str">
        <f aca="false">IF(INDEX(BookTitle,1028)="","",INDEX(BookDivision,1028))</f>
        <v/>
      </c>
      <c r="D1033" s="40" t="str">
        <f aca="false">IF(INDEX(BookTitle,1028)="","",INDEX(BookUnit,1028))</f>
        <v/>
      </c>
      <c r="E1033" s="40" t="str">
        <f aca="false">IF(INDEX(BookTitle,1028)="","",INDEX(BookTitle,1028))</f>
        <v/>
      </c>
      <c r="F1033" s="40" t="str">
        <f aca="false">IF(INDEX(BookTitle,1028)="","",INDEX(BookLevel,1028))</f>
        <v/>
      </c>
      <c r="G1033" s="40" t="str">
        <f aca="false">IF(INDEX(BookTitle,1028)="","",INDEX(BookCategory,1028))</f>
        <v/>
      </c>
      <c r="H1033" s="40" t="str">
        <f aca="false">IF(INDEX(BookTitle,1028)="","",INDEX(BookRank,1028))</f>
        <v/>
      </c>
      <c r="I1033" s="41" t="str">
        <f aca="false">IF(INDEX(BookTitle,1028)="","",INDEX(BookTotal,1028))</f>
        <v/>
      </c>
      <c r="J1033" s="0" t="str">
        <f aca="false">IF($I1033="","",IF(INDEX(BookQ1,1028)&gt;0,"Q1",IF(INDEX(BookQ2,1028)&gt;0,"Q2",IF(INDEX(BookQ3,1028)&gt;0,"Q3",IF(INDEX(BookQ4,1028)&gt;0,"Q4","")))))</f>
        <v/>
      </c>
      <c r="K1033" s="42" t="str">
        <f aca="false">IF(INDEX(BookTitle,1028)="","",INDEX(BookInYear,1028))</f>
        <v/>
      </c>
      <c r="L1033" s="19"/>
      <c r="M1033" s="39"/>
      <c r="N1033" s="19"/>
      <c r="O1033" s="19"/>
      <c r="P1033" s="43" t="str">
        <f aca="false">IF($E1033="","",IF($L1033="Decline",0,IF($L1033="Approve fewer",IF($M1033="","",$M1033),IF($L1033="","",$I1033))))</f>
        <v/>
      </c>
      <c r="Q1033" s="34" t="str">
        <f aca="false">IF($P1033="","",IF($N1033&lt;&gt;"",$N1033,$J1033))</f>
        <v/>
      </c>
      <c r="R1033" s="35" t="str">
        <f aca="false">IF(OR($P1033="",$Q1033=""),"",INDEX(BookRate,1028)*$P1033*(5-MATCH($Q1033,{"Q1";"Q2";"Q3";"Q4"},0))/4+INDEX(BookOneOff,1028)*$P1033)</f>
        <v/>
      </c>
      <c r="S1033" s="35" t="str">
        <f aca="false">IF($P1033="","",INDEX(BookRate,1028)*$P1033)</f>
        <v/>
      </c>
      <c r="T1033" s="35" t="str">
        <f aca="false">IF($R1033="","",$R1033-$K1033)</f>
        <v/>
      </c>
      <c r="U1033" s="35" t="str">
        <f aca="false">IF(N($P1033)&lt;=0,"",COUNTIF($P$6:$P1033,"&gt;0"))</f>
        <v/>
      </c>
    </row>
    <row r="1034" customFormat="false" ht="15" hidden="false" customHeight="false" outlineLevel="0" collapsed="false">
      <c r="A1034" s="40" t="str">
        <f aca="false">IF(INDEX(BookTitle,1029)="","",INDEX(BookGroup,1029))</f>
        <v/>
      </c>
      <c r="B1034" s="40" t="str">
        <f aca="false">IF(INDEX(BookTitle,1029)="","",INDEX(BookRef,1029))</f>
        <v/>
      </c>
      <c r="C1034" s="40" t="str">
        <f aca="false">IF(INDEX(BookTitle,1029)="","",INDEX(BookDivision,1029))</f>
        <v/>
      </c>
      <c r="D1034" s="40" t="str">
        <f aca="false">IF(INDEX(BookTitle,1029)="","",INDEX(BookUnit,1029))</f>
        <v/>
      </c>
      <c r="E1034" s="40" t="str">
        <f aca="false">IF(INDEX(BookTitle,1029)="","",INDEX(BookTitle,1029))</f>
        <v/>
      </c>
      <c r="F1034" s="40" t="str">
        <f aca="false">IF(INDEX(BookTitle,1029)="","",INDEX(BookLevel,1029))</f>
        <v/>
      </c>
      <c r="G1034" s="40" t="str">
        <f aca="false">IF(INDEX(BookTitle,1029)="","",INDEX(BookCategory,1029))</f>
        <v/>
      </c>
      <c r="H1034" s="40" t="str">
        <f aca="false">IF(INDEX(BookTitle,1029)="","",INDEX(BookRank,1029))</f>
        <v/>
      </c>
      <c r="I1034" s="41" t="str">
        <f aca="false">IF(INDEX(BookTitle,1029)="","",INDEX(BookTotal,1029))</f>
        <v/>
      </c>
      <c r="J1034" s="0" t="str">
        <f aca="false">IF($I1034="","",IF(INDEX(BookQ1,1029)&gt;0,"Q1",IF(INDEX(BookQ2,1029)&gt;0,"Q2",IF(INDEX(BookQ3,1029)&gt;0,"Q3",IF(INDEX(BookQ4,1029)&gt;0,"Q4","")))))</f>
        <v/>
      </c>
      <c r="K1034" s="42" t="str">
        <f aca="false">IF(INDEX(BookTitle,1029)="","",INDEX(BookInYear,1029))</f>
        <v/>
      </c>
      <c r="L1034" s="19"/>
      <c r="M1034" s="39"/>
      <c r="N1034" s="19"/>
      <c r="O1034" s="19"/>
      <c r="P1034" s="43" t="str">
        <f aca="false">IF($E1034="","",IF($L1034="Decline",0,IF($L1034="Approve fewer",IF($M1034="","",$M1034),IF($L1034="","",$I1034))))</f>
        <v/>
      </c>
      <c r="Q1034" s="34" t="str">
        <f aca="false">IF($P1034="","",IF($N1034&lt;&gt;"",$N1034,$J1034))</f>
        <v/>
      </c>
      <c r="R1034" s="35" t="str">
        <f aca="false">IF(OR($P1034="",$Q1034=""),"",INDEX(BookRate,1029)*$P1034*(5-MATCH($Q1034,{"Q1";"Q2";"Q3";"Q4"},0))/4+INDEX(BookOneOff,1029)*$P1034)</f>
        <v/>
      </c>
      <c r="S1034" s="35" t="str">
        <f aca="false">IF($P1034="","",INDEX(BookRate,1029)*$P1034)</f>
        <v/>
      </c>
      <c r="T1034" s="35" t="str">
        <f aca="false">IF($R1034="","",$R1034-$K1034)</f>
        <v/>
      </c>
      <c r="U1034" s="35" t="str">
        <f aca="false">IF(N($P1034)&lt;=0,"",COUNTIF($P$6:$P1034,"&gt;0"))</f>
        <v/>
      </c>
    </row>
    <row r="1035" customFormat="false" ht="15" hidden="false" customHeight="false" outlineLevel="0" collapsed="false">
      <c r="A1035" s="40" t="str">
        <f aca="false">IF(INDEX(BookTitle,1030)="","",INDEX(BookGroup,1030))</f>
        <v/>
      </c>
      <c r="B1035" s="40" t="str">
        <f aca="false">IF(INDEX(BookTitle,1030)="","",INDEX(BookRef,1030))</f>
        <v/>
      </c>
      <c r="C1035" s="40" t="str">
        <f aca="false">IF(INDEX(BookTitle,1030)="","",INDEX(BookDivision,1030))</f>
        <v/>
      </c>
      <c r="D1035" s="40" t="str">
        <f aca="false">IF(INDEX(BookTitle,1030)="","",INDEX(BookUnit,1030))</f>
        <v/>
      </c>
      <c r="E1035" s="40" t="str">
        <f aca="false">IF(INDEX(BookTitle,1030)="","",INDEX(BookTitle,1030))</f>
        <v/>
      </c>
      <c r="F1035" s="40" t="str">
        <f aca="false">IF(INDEX(BookTitle,1030)="","",INDEX(BookLevel,1030))</f>
        <v/>
      </c>
      <c r="G1035" s="40" t="str">
        <f aca="false">IF(INDEX(BookTitle,1030)="","",INDEX(BookCategory,1030))</f>
        <v/>
      </c>
      <c r="H1035" s="40" t="str">
        <f aca="false">IF(INDEX(BookTitle,1030)="","",INDEX(BookRank,1030))</f>
        <v/>
      </c>
      <c r="I1035" s="41" t="str">
        <f aca="false">IF(INDEX(BookTitle,1030)="","",INDEX(BookTotal,1030))</f>
        <v/>
      </c>
      <c r="J1035" s="0" t="str">
        <f aca="false">IF($I1035="","",IF(INDEX(BookQ1,1030)&gt;0,"Q1",IF(INDEX(BookQ2,1030)&gt;0,"Q2",IF(INDEX(BookQ3,1030)&gt;0,"Q3",IF(INDEX(BookQ4,1030)&gt;0,"Q4","")))))</f>
        <v/>
      </c>
      <c r="K1035" s="42" t="str">
        <f aca="false">IF(INDEX(BookTitle,1030)="","",INDEX(BookInYear,1030))</f>
        <v/>
      </c>
      <c r="L1035" s="19"/>
      <c r="M1035" s="39"/>
      <c r="N1035" s="19"/>
      <c r="O1035" s="19"/>
      <c r="P1035" s="43" t="str">
        <f aca="false">IF($E1035="","",IF($L1035="Decline",0,IF($L1035="Approve fewer",IF($M1035="","",$M1035),IF($L1035="","",$I1035))))</f>
        <v/>
      </c>
      <c r="Q1035" s="34" t="str">
        <f aca="false">IF($P1035="","",IF($N1035&lt;&gt;"",$N1035,$J1035))</f>
        <v/>
      </c>
      <c r="R1035" s="35" t="str">
        <f aca="false">IF(OR($P1035="",$Q1035=""),"",INDEX(BookRate,1030)*$P1035*(5-MATCH($Q1035,{"Q1";"Q2";"Q3";"Q4"},0))/4+INDEX(BookOneOff,1030)*$P1035)</f>
        <v/>
      </c>
      <c r="S1035" s="35" t="str">
        <f aca="false">IF($P1035="","",INDEX(BookRate,1030)*$P1035)</f>
        <v/>
      </c>
      <c r="T1035" s="35" t="str">
        <f aca="false">IF($R1035="","",$R1035-$K1035)</f>
        <v/>
      </c>
      <c r="U1035" s="35" t="str">
        <f aca="false">IF(N($P1035)&lt;=0,"",COUNTIF($P$6:$P1035,"&gt;0"))</f>
        <v/>
      </c>
    </row>
    <row r="1036" customFormat="false" ht="15" hidden="false" customHeight="false" outlineLevel="0" collapsed="false">
      <c r="A1036" s="40" t="str">
        <f aca="false">IF(INDEX(BookTitle,1031)="","",INDEX(BookGroup,1031))</f>
        <v/>
      </c>
      <c r="B1036" s="40" t="str">
        <f aca="false">IF(INDEX(BookTitle,1031)="","",INDEX(BookRef,1031))</f>
        <v/>
      </c>
      <c r="C1036" s="40" t="str">
        <f aca="false">IF(INDEX(BookTitle,1031)="","",INDEX(BookDivision,1031))</f>
        <v/>
      </c>
      <c r="D1036" s="40" t="str">
        <f aca="false">IF(INDEX(BookTitle,1031)="","",INDEX(BookUnit,1031))</f>
        <v/>
      </c>
      <c r="E1036" s="40" t="str">
        <f aca="false">IF(INDEX(BookTitle,1031)="","",INDEX(BookTitle,1031))</f>
        <v/>
      </c>
      <c r="F1036" s="40" t="str">
        <f aca="false">IF(INDEX(BookTitle,1031)="","",INDEX(BookLevel,1031))</f>
        <v/>
      </c>
      <c r="G1036" s="40" t="str">
        <f aca="false">IF(INDEX(BookTitle,1031)="","",INDEX(BookCategory,1031))</f>
        <v/>
      </c>
      <c r="H1036" s="40" t="str">
        <f aca="false">IF(INDEX(BookTitle,1031)="","",INDEX(BookRank,1031))</f>
        <v/>
      </c>
      <c r="I1036" s="41" t="str">
        <f aca="false">IF(INDEX(BookTitle,1031)="","",INDEX(BookTotal,1031))</f>
        <v/>
      </c>
      <c r="J1036" s="0" t="str">
        <f aca="false">IF($I1036="","",IF(INDEX(BookQ1,1031)&gt;0,"Q1",IF(INDEX(BookQ2,1031)&gt;0,"Q2",IF(INDEX(BookQ3,1031)&gt;0,"Q3",IF(INDEX(BookQ4,1031)&gt;0,"Q4","")))))</f>
        <v/>
      </c>
      <c r="K1036" s="42" t="str">
        <f aca="false">IF(INDEX(BookTitle,1031)="","",INDEX(BookInYear,1031))</f>
        <v/>
      </c>
      <c r="L1036" s="19"/>
      <c r="M1036" s="39"/>
      <c r="N1036" s="19"/>
      <c r="O1036" s="19"/>
      <c r="P1036" s="43" t="str">
        <f aca="false">IF($E1036="","",IF($L1036="Decline",0,IF($L1036="Approve fewer",IF($M1036="","",$M1036),IF($L1036="","",$I1036))))</f>
        <v/>
      </c>
      <c r="Q1036" s="34" t="str">
        <f aca="false">IF($P1036="","",IF($N1036&lt;&gt;"",$N1036,$J1036))</f>
        <v/>
      </c>
      <c r="R1036" s="35" t="str">
        <f aca="false">IF(OR($P1036="",$Q1036=""),"",INDEX(BookRate,1031)*$P1036*(5-MATCH($Q1036,{"Q1";"Q2";"Q3";"Q4"},0))/4+INDEX(BookOneOff,1031)*$P1036)</f>
        <v/>
      </c>
      <c r="S1036" s="35" t="str">
        <f aca="false">IF($P1036="","",INDEX(BookRate,1031)*$P1036)</f>
        <v/>
      </c>
      <c r="T1036" s="35" t="str">
        <f aca="false">IF($R1036="","",$R1036-$K1036)</f>
        <v/>
      </c>
      <c r="U1036" s="35" t="str">
        <f aca="false">IF(N($P1036)&lt;=0,"",COUNTIF($P$6:$P1036,"&gt;0"))</f>
        <v/>
      </c>
    </row>
    <row r="1037" customFormat="false" ht="15" hidden="false" customHeight="false" outlineLevel="0" collapsed="false">
      <c r="A1037" s="40" t="str">
        <f aca="false">IF(INDEX(BookTitle,1032)="","",INDEX(BookGroup,1032))</f>
        <v/>
      </c>
      <c r="B1037" s="40" t="str">
        <f aca="false">IF(INDEX(BookTitle,1032)="","",INDEX(BookRef,1032))</f>
        <v/>
      </c>
      <c r="C1037" s="40" t="str">
        <f aca="false">IF(INDEX(BookTitle,1032)="","",INDEX(BookDivision,1032))</f>
        <v/>
      </c>
      <c r="D1037" s="40" t="str">
        <f aca="false">IF(INDEX(BookTitle,1032)="","",INDEX(BookUnit,1032))</f>
        <v/>
      </c>
      <c r="E1037" s="40" t="str">
        <f aca="false">IF(INDEX(BookTitle,1032)="","",INDEX(BookTitle,1032))</f>
        <v/>
      </c>
      <c r="F1037" s="40" t="str">
        <f aca="false">IF(INDEX(BookTitle,1032)="","",INDEX(BookLevel,1032))</f>
        <v/>
      </c>
      <c r="G1037" s="40" t="str">
        <f aca="false">IF(INDEX(BookTitle,1032)="","",INDEX(BookCategory,1032))</f>
        <v/>
      </c>
      <c r="H1037" s="40" t="str">
        <f aca="false">IF(INDEX(BookTitle,1032)="","",INDEX(BookRank,1032))</f>
        <v/>
      </c>
      <c r="I1037" s="41" t="str">
        <f aca="false">IF(INDEX(BookTitle,1032)="","",INDEX(BookTotal,1032))</f>
        <v/>
      </c>
      <c r="J1037" s="0" t="str">
        <f aca="false">IF($I1037="","",IF(INDEX(BookQ1,1032)&gt;0,"Q1",IF(INDEX(BookQ2,1032)&gt;0,"Q2",IF(INDEX(BookQ3,1032)&gt;0,"Q3",IF(INDEX(BookQ4,1032)&gt;0,"Q4","")))))</f>
        <v/>
      </c>
      <c r="K1037" s="42" t="str">
        <f aca="false">IF(INDEX(BookTitle,1032)="","",INDEX(BookInYear,1032))</f>
        <v/>
      </c>
      <c r="L1037" s="19"/>
      <c r="M1037" s="39"/>
      <c r="N1037" s="19"/>
      <c r="O1037" s="19"/>
      <c r="P1037" s="43" t="str">
        <f aca="false">IF($E1037="","",IF($L1037="Decline",0,IF($L1037="Approve fewer",IF($M1037="","",$M1037),IF($L1037="","",$I1037))))</f>
        <v/>
      </c>
      <c r="Q1037" s="34" t="str">
        <f aca="false">IF($P1037="","",IF($N1037&lt;&gt;"",$N1037,$J1037))</f>
        <v/>
      </c>
      <c r="R1037" s="35" t="str">
        <f aca="false">IF(OR($P1037="",$Q1037=""),"",INDEX(BookRate,1032)*$P1037*(5-MATCH($Q1037,{"Q1";"Q2";"Q3";"Q4"},0))/4+INDEX(BookOneOff,1032)*$P1037)</f>
        <v/>
      </c>
      <c r="S1037" s="35" t="str">
        <f aca="false">IF($P1037="","",INDEX(BookRate,1032)*$P1037)</f>
        <v/>
      </c>
      <c r="T1037" s="35" t="str">
        <f aca="false">IF($R1037="","",$R1037-$K1037)</f>
        <v/>
      </c>
      <c r="U1037" s="35" t="str">
        <f aca="false">IF(N($P1037)&lt;=0,"",COUNTIF($P$6:$P1037,"&gt;0"))</f>
        <v/>
      </c>
    </row>
    <row r="1038" customFormat="false" ht="15" hidden="false" customHeight="false" outlineLevel="0" collapsed="false">
      <c r="A1038" s="40" t="str">
        <f aca="false">IF(INDEX(BookTitle,1033)="","",INDEX(BookGroup,1033))</f>
        <v/>
      </c>
      <c r="B1038" s="40" t="str">
        <f aca="false">IF(INDEX(BookTitle,1033)="","",INDEX(BookRef,1033))</f>
        <v/>
      </c>
      <c r="C1038" s="40" t="str">
        <f aca="false">IF(INDEX(BookTitle,1033)="","",INDEX(BookDivision,1033))</f>
        <v/>
      </c>
      <c r="D1038" s="40" t="str">
        <f aca="false">IF(INDEX(BookTitle,1033)="","",INDEX(BookUnit,1033))</f>
        <v/>
      </c>
      <c r="E1038" s="40" t="str">
        <f aca="false">IF(INDEX(BookTitle,1033)="","",INDEX(BookTitle,1033))</f>
        <v/>
      </c>
      <c r="F1038" s="40" t="str">
        <f aca="false">IF(INDEX(BookTitle,1033)="","",INDEX(BookLevel,1033))</f>
        <v/>
      </c>
      <c r="G1038" s="40" t="str">
        <f aca="false">IF(INDEX(BookTitle,1033)="","",INDEX(BookCategory,1033))</f>
        <v/>
      </c>
      <c r="H1038" s="40" t="str">
        <f aca="false">IF(INDEX(BookTitle,1033)="","",INDEX(BookRank,1033))</f>
        <v/>
      </c>
      <c r="I1038" s="41" t="str">
        <f aca="false">IF(INDEX(BookTitle,1033)="","",INDEX(BookTotal,1033))</f>
        <v/>
      </c>
      <c r="J1038" s="0" t="str">
        <f aca="false">IF($I1038="","",IF(INDEX(BookQ1,1033)&gt;0,"Q1",IF(INDEX(BookQ2,1033)&gt;0,"Q2",IF(INDEX(BookQ3,1033)&gt;0,"Q3",IF(INDEX(BookQ4,1033)&gt;0,"Q4","")))))</f>
        <v/>
      </c>
      <c r="K1038" s="42" t="str">
        <f aca="false">IF(INDEX(BookTitle,1033)="","",INDEX(BookInYear,1033))</f>
        <v/>
      </c>
      <c r="L1038" s="19"/>
      <c r="M1038" s="39"/>
      <c r="N1038" s="19"/>
      <c r="O1038" s="19"/>
      <c r="P1038" s="43" t="str">
        <f aca="false">IF($E1038="","",IF($L1038="Decline",0,IF($L1038="Approve fewer",IF($M1038="","",$M1038),IF($L1038="","",$I1038))))</f>
        <v/>
      </c>
      <c r="Q1038" s="34" t="str">
        <f aca="false">IF($P1038="","",IF($N1038&lt;&gt;"",$N1038,$J1038))</f>
        <v/>
      </c>
      <c r="R1038" s="35" t="str">
        <f aca="false">IF(OR($P1038="",$Q1038=""),"",INDEX(BookRate,1033)*$P1038*(5-MATCH($Q1038,{"Q1";"Q2";"Q3";"Q4"},0))/4+INDEX(BookOneOff,1033)*$P1038)</f>
        <v/>
      </c>
      <c r="S1038" s="35" t="str">
        <f aca="false">IF($P1038="","",INDEX(BookRate,1033)*$P1038)</f>
        <v/>
      </c>
      <c r="T1038" s="35" t="str">
        <f aca="false">IF($R1038="","",$R1038-$K1038)</f>
        <v/>
      </c>
      <c r="U1038" s="35" t="str">
        <f aca="false">IF(N($P1038)&lt;=0,"",COUNTIF($P$6:$P1038,"&gt;0"))</f>
        <v/>
      </c>
    </row>
    <row r="1039" customFormat="false" ht="15" hidden="false" customHeight="false" outlineLevel="0" collapsed="false">
      <c r="A1039" s="40" t="str">
        <f aca="false">IF(INDEX(BookTitle,1034)="","",INDEX(BookGroup,1034))</f>
        <v/>
      </c>
      <c r="B1039" s="40" t="str">
        <f aca="false">IF(INDEX(BookTitle,1034)="","",INDEX(BookRef,1034))</f>
        <v/>
      </c>
      <c r="C1039" s="40" t="str">
        <f aca="false">IF(INDEX(BookTitle,1034)="","",INDEX(BookDivision,1034))</f>
        <v/>
      </c>
      <c r="D1039" s="40" t="str">
        <f aca="false">IF(INDEX(BookTitle,1034)="","",INDEX(BookUnit,1034))</f>
        <v/>
      </c>
      <c r="E1039" s="40" t="str">
        <f aca="false">IF(INDEX(BookTitle,1034)="","",INDEX(BookTitle,1034))</f>
        <v/>
      </c>
      <c r="F1039" s="40" t="str">
        <f aca="false">IF(INDEX(BookTitle,1034)="","",INDEX(BookLevel,1034))</f>
        <v/>
      </c>
      <c r="G1039" s="40" t="str">
        <f aca="false">IF(INDEX(BookTitle,1034)="","",INDEX(BookCategory,1034))</f>
        <v/>
      </c>
      <c r="H1039" s="40" t="str">
        <f aca="false">IF(INDEX(BookTitle,1034)="","",INDEX(BookRank,1034))</f>
        <v/>
      </c>
      <c r="I1039" s="41" t="str">
        <f aca="false">IF(INDEX(BookTitle,1034)="","",INDEX(BookTotal,1034))</f>
        <v/>
      </c>
      <c r="J1039" s="0" t="str">
        <f aca="false">IF($I1039="","",IF(INDEX(BookQ1,1034)&gt;0,"Q1",IF(INDEX(BookQ2,1034)&gt;0,"Q2",IF(INDEX(BookQ3,1034)&gt;0,"Q3",IF(INDEX(BookQ4,1034)&gt;0,"Q4","")))))</f>
        <v/>
      </c>
      <c r="K1039" s="42" t="str">
        <f aca="false">IF(INDEX(BookTitle,1034)="","",INDEX(BookInYear,1034))</f>
        <v/>
      </c>
      <c r="L1039" s="19"/>
      <c r="M1039" s="39"/>
      <c r="N1039" s="19"/>
      <c r="O1039" s="19"/>
      <c r="P1039" s="43" t="str">
        <f aca="false">IF($E1039="","",IF($L1039="Decline",0,IF($L1039="Approve fewer",IF($M1039="","",$M1039),IF($L1039="","",$I1039))))</f>
        <v/>
      </c>
      <c r="Q1039" s="34" t="str">
        <f aca="false">IF($P1039="","",IF($N1039&lt;&gt;"",$N1039,$J1039))</f>
        <v/>
      </c>
      <c r="R1039" s="35" t="str">
        <f aca="false">IF(OR($P1039="",$Q1039=""),"",INDEX(BookRate,1034)*$P1039*(5-MATCH($Q1039,{"Q1";"Q2";"Q3";"Q4"},0))/4+INDEX(BookOneOff,1034)*$P1039)</f>
        <v/>
      </c>
      <c r="S1039" s="35" t="str">
        <f aca="false">IF($P1039="","",INDEX(BookRate,1034)*$P1039)</f>
        <v/>
      </c>
      <c r="T1039" s="35" t="str">
        <f aca="false">IF($R1039="","",$R1039-$K1039)</f>
        <v/>
      </c>
      <c r="U1039" s="35" t="str">
        <f aca="false">IF(N($P1039)&lt;=0,"",COUNTIF($P$6:$P1039,"&gt;0"))</f>
        <v/>
      </c>
    </row>
    <row r="1040" customFormat="false" ht="15" hidden="false" customHeight="false" outlineLevel="0" collapsed="false">
      <c r="A1040" s="40" t="str">
        <f aca="false">IF(INDEX(BookTitle,1035)="","",INDEX(BookGroup,1035))</f>
        <v/>
      </c>
      <c r="B1040" s="40" t="str">
        <f aca="false">IF(INDEX(BookTitle,1035)="","",INDEX(BookRef,1035))</f>
        <v/>
      </c>
      <c r="C1040" s="40" t="str">
        <f aca="false">IF(INDEX(BookTitle,1035)="","",INDEX(BookDivision,1035))</f>
        <v/>
      </c>
      <c r="D1040" s="40" t="str">
        <f aca="false">IF(INDEX(BookTitle,1035)="","",INDEX(BookUnit,1035))</f>
        <v/>
      </c>
      <c r="E1040" s="40" t="str">
        <f aca="false">IF(INDEX(BookTitle,1035)="","",INDEX(BookTitle,1035))</f>
        <v/>
      </c>
      <c r="F1040" s="40" t="str">
        <f aca="false">IF(INDEX(BookTitle,1035)="","",INDEX(BookLevel,1035))</f>
        <v/>
      </c>
      <c r="G1040" s="40" t="str">
        <f aca="false">IF(INDEX(BookTitle,1035)="","",INDEX(BookCategory,1035))</f>
        <v/>
      </c>
      <c r="H1040" s="40" t="str">
        <f aca="false">IF(INDEX(BookTitle,1035)="","",INDEX(BookRank,1035))</f>
        <v/>
      </c>
      <c r="I1040" s="41" t="str">
        <f aca="false">IF(INDEX(BookTitle,1035)="","",INDEX(BookTotal,1035))</f>
        <v/>
      </c>
      <c r="J1040" s="0" t="str">
        <f aca="false">IF($I1040="","",IF(INDEX(BookQ1,1035)&gt;0,"Q1",IF(INDEX(BookQ2,1035)&gt;0,"Q2",IF(INDEX(BookQ3,1035)&gt;0,"Q3",IF(INDEX(BookQ4,1035)&gt;0,"Q4","")))))</f>
        <v/>
      </c>
      <c r="K1040" s="42" t="str">
        <f aca="false">IF(INDEX(BookTitle,1035)="","",INDEX(BookInYear,1035))</f>
        <v/>
      </c>
      <c r="L1040" s="19"/>
      <c r="M1040" s="39"/>
      <c r="N1040" s="19"/>
      <c r="O1040" s="19"/>
      <c r="P1040" s="43" t="str">
        <f aca="false">IF($E1040="","",IF($L1040="Decline",0,IF($L1040="Approve fewer",IF($M1040="","",$M1040),IF($L1040="","",$I1040))))</f>
        <v/>
      </c>
      <c r="Q1040" s="34" t="str">
        <f aca="false">IF($P1040="","",IF($N1040&lt;&gt;"",$N1040,$J1040))</f>
        <v/>
      </c>
      <c r="R1040" s="35" t="str">
        <f aca="false">IF(OR($P1040="",$Q1040=""),"",INDEX(BookRate,1035)*$P1040*(5-MATCH($Q1040,{"Q1";"Q2";"Q3";"Q4"},0))/4+INDEX(BookOneOff,1035)*$P1040)</f>
        <v/>
      </c>
      <c r="S1040" s="35" t="str">
        <f aca="false">IF($P1040="","",INDEX(BookRate,1035)*$P1040)</f>
        <v/>
      </c>
      <c r="T1040" s="35" t="str">
        <f aca="false">IF($R1040="","",$R1040-$K1040)</f>
        <v/>
      </c>
      <c r="U1040" s="35" t="str">
        <f aca="false">IF(N($P1040)&lt;=0,"",COUNTIF($P$6:$P1040,"&gt;0"))</f>
        <v/>
      </c>
    </row>
    <row r="1041" customFormat="false" ht="15" hidden="false" customHeight="false" outlineLevel="0" collapsed="false">
      <c r="A1041" s="40" t="str">
        <f aca="false">IF(INDEX(BookTitle,1036)="","",INDEX(BookGroup,1036))</f>
        <v/>
      </c>
      <c r="B1041" s="40" t="str">
        <f aca="false">IF(INDEX(BookTitle,1036)="","",INDEX(BookRef,1036))</f>
        <v/>
      </c>
      <c r="C1041" s="40" t="str">
        <f aca="false">IF(INDEX(BookTitle,1036)="","",INDEX(BookDivision,1036))</f>
        <v/>
      </c>
      <c r="D1041" s="40" t="str">
        <f aca="false">IF(INDEX(BookTitle,1036)="","",INDEX(BookUnit,1036))</f>
        <v/>
      </c>
      <c r="E1041" s="40" t="str">
        <f aca="false">IF(INDEX(BookTitle,1036)="","",INDEX(BookTitle,1036))</f>
        <v/>
      </c>
      <c r="F1041" s="40" t="str">
        <f aca="false">IF(INDEX(BookTitle,1036)="","",INDEX(BookLevel,1036))</f>
        <v/>
      </c>
      <c r="G1041" s="40" t="str">
        <f aca="false">IF(INDEX(BookTitle,1036)="","",INDEX(BookCategory,1036))</f>
        <v/>
      </c>
      <c r="H1041" s="40" t="str">
        <f aca="false">IF(INDEX(BookTitle,1036)="","",INDEX(BookRank,1036))</f>
        <v/>
      </c>
      <c r="I1041" s="41" t="str">
        <f aca="false">IF(INDEX(BookTitle,1036)="","",INDEX(BookTotal,1036))</f>
        <v/>
      </c>
      <c r="J1041" s="0" t="str">
        <f aca="false">IF($I1041="","",IF(INDEX(BookQ1,1036)&gt;0,"Q1",IF(INDEX(BookQ2,1036)&gt;0,"Q2",IF(INDEX(BookQ3,1036)&gt;0,"Q3",IF(INDEX(BookQ4,1036)&gt;0,"Q4","")))))</f>
        <v/>
      </c>
      <c r="K1041" s="42" t="str">
        <f aca="false">IF(INDEX(BookTitle,1036)="","",INDEX(BookInYear,1036))</f>
        <v/>
      </c>
      <c r="L1041" s="19"/>
      <c r="M1041" s="39"/>
      <c r="N1041" s="19"/>
      <c r="O1041" s="19"/>
      <c r="P1041" s="43" t="str">
        <f aca="false">IF($E1041="","",IF($L1041="Decline",0,IF($L1041="Approve fewer",IF($M1041="","",$M1041),IF($L1041="","",$I1041))))</f>
        <v/>
      </c>
      <c r="Q1041" s="34" t="str">
        <f aca="false">IF($P1041="","",IF($N1041&lt;&gt;"",$N1041,$J1041))</f>
        <v/>
      </c>
      <c r="R1041" s="35" t="str">
        <f aca="false">IF(OR($P1041="",$Q1041=""),"",INDEX(BookRate,1036)*$P1041*(5-MATCH($Q1041,{"Q1";"Q2";"Q3";"Q4"},0))/4+INDEX(BookOneOff,1036)*$P1041)</f>
        <v/>
      </c>
      <c r="S1041" s="35" t="str">
        <f aca="false">IF($P1041="","",INDEX(BookRate,1036)*$P1041)</f>
        <v/>
      </c>
      <c r="T1041" s="35" t="str">
        <f aca="false">IF($R1041="","",$R1041-$K1041)</f>
        <v/>
      </c>
      <c r="U1041" s="35" t="str">
        <f aca="false">IF(N($P1041)&lt;=0,"",COUNTIF($P$6:$P1041,"&gt;0"))</f>
        <v/>
      </c>
    </row>
    <row r="1042" customFormat="false" ht="15" hidden="false" customHeight="false" outlineLevel="0" collapsed="false">
      <c r="A1042" s="40" t="str">
        <f aca="false">IF(INDEX(BookTitle,1037)="","",INDEX(BookGroup,1037))</f>
        <v/>
      </c>
      <c r="B1042" s="40" t="str">
        <f aca="false">IF(INDEX(BookTitle,1037)="","",INDEX(BookRef,1037))</f>
        <v/>
      </c>
      <c r="C1042" s="40" t="str">
        <f aca="false">IF(INDEX(BookTitle,1037)="","",INDEX(BookDivision,1037))</f>
        <v/>
      </c>
      <c r="D1042" s="40" t="str">
        <f aca="false">IF(INDEX(BookTitle,1037)="","",INDEX(BookUnit,1037))</f>
        <v/>
      </c>
      <c r="E1042" s="40" t="str">
        <f aca="false">IF(INDEX(BookTitle,1037)="","",INDEX(BookTitle,1037))</f>
        <v/>
      </c>
      <c r="F1042" s="40" t="str">
        <f aca="false">IF(INDEX(BookTitle,1037)="","",INDEX(BookLevel,1037))</f>
        <v/>
      </c>
      <c r="G1042" s="40" t="str">
        <f aca="false">IF(INDEX(BookTitle,1037)="","",INDEX(BookCategory,1037))</f>
        <v/>
      </c>
      <c r="H1042" s="40" t="str">
        <f aca="false">IF(INDEX(BookTitle,1037)="","",INDEX(BookRank,1037))</f>
        <v/>
      </c>
      <c r="I1042" s="41" t="str">
        <f aca="false">IF(INDEX(BookTitle,1037)="","",INDEX(BookTotal,1037))</f>
        <v/>
      </c>
      <c r="J1042" s="0" t="str">
        <f aca="false">IF($I1042="","",IF(INDEX(BookQ1,1037)&gt;0,"Q1",IF(INDEX(BookQ2,1037)&gt;0,"Q2",IF(INDEX(BookQ3,1037)&gt;0,"Q3",IF(INDEX(BookQ4,1037)&gt;0,"Q4","")))))</f>
        <v/>
      </c>
      <c r="K1042" s="42" t="str">
        <f aca="false">IF(INDEX(BookTitle,1037)="","",INDEX(BookInYear,1037))</f>
        <v/>
      </c>
      <c r="L1042" s="19"/>
      <c r="M1042" s="39"/>
      <c r="N1042" s="19"/>
      <c r="O1042" s="19"/>
      <c r="P1042" s="43" t="str">
        <f aca="false">IF($E1042="","",IF($L1042="Decline",0,IF($L1042="Approve fewer",IF($M1042="","",$M1042),IF($L1042="","",$I1042))))</f>
        <v/>
      </c>
      <c r="Q1042" s="34" t="str">
        <f aca="false">IF($P1042="","",IF($N1042&lt;&gt;"",$N1042,$J1042))</f>
        <v/>
      </c>
      <c r="R1042" s="35" t="str">
        <f aca="false">IF(OR($P1042="",$Q1042=""),"",INDEX(BookRate,1037)*$P1042*(5-MATCH($Q1042,{"Q1";"Q2";"Q3";"Q4"},0))/4+INDEX(BookOneOff,1037)*$P1042)</f>
        <v/>
      </c>
      <c r="S1042" s="35" t="str">
        <f aca="false">IF($P1042="","",INDEX(BookRate,1037)*$P1042)</f>
        <v/>
      </c>
      <c r="T1042" s="35" t="str">
        <f aca="false">IF($R1042="","",$R1042-$K1042)</f>
        <v/>
      </c>
      <c r="U1042" s="35" t="str">
        <f aca="false">IF(N($P1042)&lt;=0,"",COUNTIF($P$6:$P1042,"&gt;0"))</f>
        <v/>
      </c>
    </row>
    <row r="1043" customFormat="false" ht="15" hidden="false" customHeight="false" outlineLevel="0" collapsed="false">
      <c r="A1043" s="40" t="str">
        <f aca="false">IF(INDEX(BookTitle,1038)="","",INDEX(BookGroup,1038))</f>
        <v/>
      </c>
      <c r="B1043" s="40" t="str">
        <f aca="false">IF(INDEX(BookTitle,1038)="","",INDEX(BookRef,1038))</f>
        <v/>
      </c>
      <c r="C1043" s="40" t="str">
        <f aca="false">IF(INDEX(BookTitle,1038)="","",INDEX(BookDivision,1038))</f>
        <v/>
      </c>
      <c r="D1043" s="40" t="str">
        <f aca="false">IF(INDEX(BookTitle,1038)="","",INDEX(BookUnit,1038))</f>
        <v/>
      </c>
      <c r="E1043" s="40" t="str">
        <f aca="false">IF(INDEX(BookTitle,1038)="","",INDEX(BookTitle,1038))</f>
        <v/>
      </c>
      <c r="F1043" s="40" t="str">
        <f aca="false">IF(INDEX(BookTitle,1038)="","",INDEX(BookLevel,1038))</f>
        <v/>
      </c>
      <c r="G1043" s="40" t="str">
        <f aca="false">IF(INDEX(BookTitle,1038)="","",INDEX(BookCategory,1038))</f>
        <v/>
      </c>
      <c r="H1043" s="40" t="str">
        <f aca="false">IF(INDEX(BookTitle,1038)="","",INDEX(BookRank,1038))</f>
        <v/>
      </c>
      <c r="I1043" s="41" t="str">
        <f aca="false">IF(INDEX(BookTitle,1038)="","",INDEX(BookTotal,1038))</f>
        <v/>
      </c>
      <c r="J1043" s="0" t="str">
        <f aca="false">IF($I1043="","",IF(INDEX(BookQ1,1038)&gt;0,"Q1",IF(INDEX(BookQ2,1038)&gt;0,"Q2",IF(INDEX(BookQ3,1038)&gt;0,"Q3",IF(INDEX(BookQ4,1038)&gt;0,"Q4","")))))</f>
        <v/>
      </c>
      <c r="K1043" s="42" t="str">
        <f aca="false">IF(INDEX(BookTitle,1038)="","",INDEX(BookInYear,1038))</f>
        <v/>
      </c>
      <c r="L1043" s="19"/>
      <c r="M1043" s="39"/>
      <c r="N1043" s="19"/>
      <c r="O1043" s="19"/>
      <c r="P1043" s="43" t="str">
        <f aca="false">IF($E1043="","",IF($L1043="Decline",0,IF($L1043="Approve fewer",IF($M1043="","",$M1043),IF($L1043="","",$I1043))))</f>
        <v/>
      </c>
      <c r="Q1043" s="34" t="str">
        <f aca="false">IF($P1043="","",IF($N1043&lt;&gt;"",$N1043,$J1043))</f>
        <v/>
      </c>
      <c r="R1043" s="35" t="str">
        <f aca="false">IF(OR($P1043="",$Q1043=""),"",INDEX(BookRate,1038)*$P1043*(5-MATCH($Q1043,{"Q1";"Q2";"Q3";"Q4"},0))/4+INDEX(BookOneOff,1038)*$P1043)</f>
        <v/>
      </c>
      <c r="S1043" s="35" t="str">
        <f aca="false">IF($P1043="","",INDEX(BookRate,1038)*$P1043)</f>
        <v/>
      </c>
      <c r="T1043" s="35" t="str">
        <f aca="false">IF($R1043="","",$R1043-$K1043)</f>
        <v/>
      </c>
      <c r="U1043" s="35" t="str">
        <f aca="false">IF(N($P1043)&lt;=0,"",COUNTIF($P$6:$P1043,"&gt;0"))</f>
        <v/>
      </c>
    </row>
    <row r="1044" customFormat="false" ht="15" hidden="false" customHeight="false" outlineLevel="0" collapsed="false">
      <c r="A1044" s="40" t="str">
        <f aca="false">IF(INDEX(BookTitle,1039)="","",INDEX(BookGroup,1039))</f>
        <v/>
      </c>
      <c r="B1044" s="40" t="str">
        <f aca="false">IF(INDEX(BookTitle,1039)="","",INDEX(BookRef,1039))</f>
        <v/>
      </c>
      <c r="C1044" s="40" t="str">
        <f aca="false">IF(INDEX(BookTitle,1039)="","",INDEX(BookDivision,1039))</f>
        <v/>
      </c>
      <c r="D1044" s="40" t="str">
        <f aca="false">IF(INDEX(BookTitle,1039)="","",INDEX(BookUnit,1039))</f>
        <v/>
      </c>
      <c r="E1044" s="40" t="str">
        <f aca="false">IF(INDEX(BookTitle,1039)="","",INDEX(BookTitle,1039))</f>
        <v/>
      </c>
      <c r="F1044" s="40" t="str">
        <f aca="false">IF(INDEX(BookTitle,1039)="","",INDEX(BookLevel,1039))</f>
        <v/>
      </c>
      <c r="G1044" s="40" t="str">
        <f aca="false">IF(INDEX(BookTitle,1039)="","",INDEX(BookCategory,1039))</f>
        <v/>
      </c>
      <c r="H1044" s="40" t="str">
        <f aca="false">IF(INDEX(BookTitle,1039)="","",INDEX(BookRank,1039))</f>
        <v/>
      </c>
      <c r="I1044" s="41" t="str">
        <f aca="false">IF(INDEX(BookTitle,1039)="","",INDEX(BookTotal,1039))</f>
        <v/>
      </c>
      <c r="J1044" s="0" t="str">
        <f aca="false">IF($I1044="","",IF(INDEX(BookQ1,1039)&gt;0,"Q1",IF(INDEX(BookQ2,1039)&gt;0,"Q2",IF(INDEX(BookQ3,1039)&gt;0,"Q3",IF(INDEX(BookQ4,1039)&gt;0,"Q4","")))))</f>
        <v/>
      </c>
      <c r="K1044" s="42" t="str">
        <f aca="false">IF(INDEX(BookTitle,1039)="","",INDEX(BookInYear,1039))</f>
        <v/>
      </c>
      <c r="L1044" s="19"/>
      <c r="M1044" s="39"/>
      <c r="N1044" s="19"/>
      <c r="O1044" s="19"/>
      <c r="P1044" s="43" t="str">
        <f aca="false">IF($E1044="","",IF($L1044="Decline",0,IF($L1044="Approve fewer",IF($M1044="","",$M1044),IF($L1044="","",$I1044))))</f>
        <v/>
      </c>
      <c r="Q1044" s="34" t="str">
        <f aca="false">IF($P1044="","",IF($N1044&lt;&gt;"",$N1044,$J1044))</f>
        <v/>
      </c>
      <c r="R1044" s="35" t="str">
        <f aca="false">IF(OR($P1044="",$Q1044=""),"",INDEX(BookRate,1039)*$P1044*(5-MATCH($Q1044,{"Q1";"Q2";"Q3";"Q4"},0))/4+INDEX(BookOneOff,1039)*$P1044)</f>
        <v/>
      </c>
      <c r="S1044" s="35" t="str">
        <f aca="false">IF($P1044="","",INDEX(BookRate,1039)*$P1044)</f>
        <v/>
      </c>
      <c r="T1044" s="35" t="str">
        <f aca="false">IF($R1044="","",$R1044-$K1044)</f>
        <v/>
      </c>
      <c r="U1044" s="35" t="str">
        <f aca="false">IF(N($P1044)&lt;=0,"",COUNTIF($P$6:$P1044,"&gt;0"))</f>
        <v/>
      </c>
    </row>
    <row r="1045" customFormat="false" ht="15" hidden="false" customHeight="false" outlineLevel="0" collapsed="false">
      <c r="A1045" s="40" t="str">
        <f aca="false">IF(INDEX(BookTitle,1040)="","",INDEX(BookGroup,1040))</f>
        <v/>
      </c>
      <c r="B1045" s="40" t="str">
        <f aca="false">IF(INDEX(BookTitle,1040)="","",INDEX(BookRef,1040))</f>
        <v/>
      </c>
      <c r="C1045" s="40" t="str">
        <f aca="false">IF(INDEX(BookTitle,1040)="","",INDEX(BookDivision,1040))</f>
        <v/>
      </c>
      <c r="D1045" s="40" t="str">
        <f aca="false">IF(INDEX(BookTitle,1040)="","",INDEX(BookUnit,1040))</f>
        <v/>
      </c>
      <c r="E1045" s="40" t="str">
        <f aca="false">IF(INDEX(BookTitle,1040)="","",INDEX(BookTitle,1040))</f>
        <v/>
      </c>
      <c r="F1045" s="40" t="str">
        <f aca="false">IF(INDEX(BookTitle,1040)="","",INDEX(BookLevel,1040))</f>
        <v/>
      </c>
      <c r="G1045" s="40" t="str">
        <f aca="false">IF(INDEX(BookTitle,1040)="","",INDEX(BookCategory,1040))</f>
        <v/>
      </c>
      <c r="H1045" s="40" t="str">
        <f aca="false">IF(INDEX(BookTitle,1040)="","",INDEX(BookRank,1040))</f>
        <v/>
      </c>
      <c r="I1045" s="41" t="str">
        <f aca="false">IF(INDEX(BookTitle,1040)="","",INDEX(BookTotal,1040))</f>
        <v/>
      </c>
      <c r="J1045" s="0" t="str">
        <f aca="false">IF($I1045="","",IF(INDEX(BookQ1,1040)&gt;0,"Q1",IF(INDEX(BookQ2,1040)&gt;0,"Q2",IF(INDEX(BookQ3,1040)&gt;0,"Q3",IF(INDEX(BookQ4,1040)&gt;0,"Q4","")))))</f>
        <v/>
      </c>
      <c r="K1045" s="42" t="str">
        <f aca="false">IF(INDEX(BookTitle,1040)="","",INDEX(BookInYear,1040))</f>
        <v/>
      </c>
      <c r="L1045" s="19"/>
      <c r="M1045" s="39"/>
      <c r="N1045" s="19"/>
      <c r="O1045" s="19"/>
      <c r="P1045" s="43" t="str">
        <f aca="false">IF($E1045="","",IF($L1045="Decline",0,IF($L1045="Approve fewer",IF($M1045="","",$M1045),IF($L1045="","",$I1045))))</f>
        <v/>
      </c>
      <c r="Q1045" s="34" t="str">
        <f aca="false">IF($P1045="","",IF($N1045&lt;&gt;"",$N1045,$J1045))</f>
        <v/>
      </c>
      <c r="R1045" s="35" t="str">
        <f aca="false">IF(OR($P1045="",$Q1045=""),"",INDEX(BookRate,1040)*$P1045*(5-MATCH($Q1045,{"Q1";"Q2";"Q3";"Q4"},0))/4+INDEX(BookOneOff,1040)*$P1045)</f>
        <v/>
      </c>
      <c r="S1045" s="35" t="str">
        <f aca="false">IF($P1045="","",INDEX(BookRate,1040)*$P1045)</f>
        <v/>
      </c>
      <c r="T1045" s="35" t="str">
        <f aca="false">IF($R1045="","",$R1045-$K1045)</f>
        <v/>
      </c>
      <c r="U1045" s="35" t="str">
        <f aca="false">IF(N($P1045)&lt;=0,"",COUNTIF($P$6:$P1045,"&gt;0"))</f>
        <v/>
      </c>
    </row>
    <row r="1046" customFormat="false" ht="15" hidden="false" customHeight="false" outlineLevel="0" collapsed="false">
      <c r="A1046" s="40" t="str">
        <f aca="false">IF(INDEX(BookTitle,1041)="","",INDEX(BookGroup,1041))</f>
        <v/>
      </c>
      <c r="B1046" s="40" t="str">
        <f aca="false">IF(INDEX(BookTitle,1041)="","",INDEX(BookRef,1041))</f>
        <v/>
      </c>
      <c r="C1046" s="40" t="str">
        <f aca="false">IF(INDEX(BookTitle,1041)="","",INDEX(BookDivision,1041))</f>
        <v/>
      </c>
      <c r="D1046" s="40" t="str">
        <f aca="false">IF(INDEX(BookTitle,1041)="","",INDEX(BookUnit,1041))</f>
        <v/>
      </c>
      <c r="E1046" s="40" t="str">
        <f aca="false">IF(INDEX(BookTitle,1041)="","",INDEX(BookTitle,1041))</f>
        <v/>
      </c>
      <c r="F1046" s="40" t="str">
        <f aca="false">IF(INDEX(BookTitle,1041)="","",INDEX(BookLevel,1041))</f>
        <v/>
      </c>
      <c r="G1046" s="40" t="str">
        <f aca="false">IF(INDEX(BookTitle,1041)="","",INDEX(BookCategory,1041))</f>
        <v/>
      </c>
      <c r="H1046" s="40" t="str">
        <f aca="false">IF(INDEX(BookTitle,1041)="","",INDEX(BookRank,1041))</f>
        <v/>
      </c>
      <c r="I1046" s="41" t="str">
        <f aca="false">IF(INDEX(BookTitle,1041)="","",INDEX(BookTotal,1041))</f>
        <v/>
      </c>
      <c r="J1046" s="0" t="str">
        <f aca="false">IF($I1046="","",IF(INDEX(BookQ1,1041)&gt;0,"Q1",IF(INDEX(BookQ2,1041)&gt;0,"Q2",IF(INDEX(BookQ3,1041)&gt;0,"Q3",IF(INDEX(BookQ4,1041)&gt;0,"Q4","")))))</f>
        <v/>
      </c>
      <c r="K1046" s="42" t="str">
        <f aca="false">IF(INDEX(BookTitle,1041)="","",INDEX(BookInYear,1041))</f>
        <v/>
      </c>
      <c r="L1046" s="19"/>
      <c r="M1046" s="39"/>
      <c r="N1046" s="19"/>
      <c r="O1046" s="19"/>
      <c r="P1046" s="43" t="str">
        <f aca="false">IF($E1046="","",IF($L1046="Decline",0,IF($L1046="Approve fewer",IF($M1046="","",$M1046),IF($L1046="","",$I1046))))</f>
        <v/>
      </c>
      <c r="Q1046" s="34" t="str">
        <f aca="false">IF($P1046="","",IF($N1046&lt;&gt;"",$N1046,$J1046))</f>
        <v/>
      </c>
      <c r="R1046" s="35" t="str">
        <f aca="false">IF(OR($P1046="",$Q1046=""),"",INDEX(BookRate,1041)*$P1046*(5-MATCH($Q1046,{"Q1";"Q2";"Q3";"Q4"},0))/4+INDEX(BookOneOff,1041)*$P1046)</f>
        <v/>
      </c>
      <c r="S1046" s="35" t="str">
        <f aca="false">IF($P1046="","",INDEX(BookRate,1041)*$P1046)</f>
        <v/>
      </c>
      <c r="T1046" s="35" t="str">
        <f aca="false">IF($R1046="","",$R1046-$K1046)</f>
        <v/>
      </c>
      <c r="U1046" s="35" t="str">
        <f aca="false">IF(N($P1046)&lt;=0,"",COUNTIF($P$6:$P1046,"&gt;0"))</f>
        <v/>
      </c>
    </row>
    <row r="1047" customFormat="false" ht="15" hidden="false" customHeight="false" outlineLevel="0" collapsed="false">
      <c r="A1047" s="40" t="str">
        <f aca="false">IF(INDEX(BookTitle,1042)="","",INDEX(BookGroup,1042))</f>
        <v/>
      </c>
      <c r="B1047" s="40" t="str">
        <f aca="false">IF(INDEX(BookTitle,1042)="","",INDEX(BookRef,1042))</f>
        <v/>
      </c>
      <c r="C1047" s="40" t="str">
        <f aca="false">IF(INDEX(BookTitle,1042)="","",INDEX(BookDivision,1042))</f>
        <v/>
      </c>
      <c r="D1047" s="40" t="str">
        <f aca="false">IF(INDEX(BookTitle,1042)="","",INDEX(BookUnit,1042))</f>
        <v/>
      </c>
      <c r="E1047" s="40" t="str">
        <f aca="false">IF(INDEX(BookTitle,1042)="","",INDEX(BookTitle,1042))</f>
        <v/>
      </c>
      <c r="F1047" s="40" t="str">
        <f aca="false">IF(INDEX(BookTitle,1042)="","",INDEX(BookLevel,1042))</f>
        <v/>
      </c>
      <c r="G1047" s="40" t="str">
        <f aca="false">IF(INDEX(BookTitle,1042)="","",INDEX(BookCategory,1042))</f>
        <v/>
      </c>
      <c r="H1047" s="40" t="str">
        <f aca="false">IF(INDEX(BookTitle,1042)="","",INDEX(BookRank,1042))</f>
        <v/>
      </c>
      <c r="I1047" s="41" t="str">
        <f aca="false">IF(INDEX(BookTitle,1042)="","",INDEX(BookTotal,1042))</f>
        <v/>
      </c>
      <c r="J1047" s="0" t="str">
        <f aca="false">IF($I1047="","",IF(INDEX(BookQ1,1042)&gt;0,"Q1",IF(INDEX(BookQ2,1042)&gt;0,"Q2",IF(INDEX(BookQ3,1042)&gt;0,"Q3",IF(INDEX(BookQ4,1042)&gt;0,"Q4","")))))</f>
        <v/>
      </c>
      <c r="K1047" s="42" t="str">
        <f aca="false">IF(INDEX(BookTitle,1042)="","",INDEX(BookInYear,1042))</f>
        <v/>
      </c>
      <c r="L1047" s="19"/>
      <c r="M1047" s="39"/>
      <c r="N1047" s="19"/>
      <c r="O1047" s="19"/>
      <c r="P1047" s="43" t="str">
        <f aca="false">IF($E1047="","",IF($L1047="Decline",0,IF($L1047="Approve fewer",IF($M1047="","",$M1047),IF($L1047="","",$I1047))))</f>
        <v/>
      </c>
      <c r="Q1047" s="34" t="str">
        <f aca="false">IF($P1047="","",IF($N1047&lt;&gt;"",$N1047,$J1047))</f>
        <v/>
      </c>
      <c r="R1047" s="35" t="str">
        <f aca="false">IF(OR($P1047="",$Q1047=""),"",INDEX(BookRate,1042)*$P1047*(5-MATCH($Q1047,{"Q1";"Q2";"Q3";"Q4"},0))/4+INDEX(BookOneOff,1042)*$P1047)</f>
        <v/>
      </c>
      <c r="S1047" s="35" t="str">
        <f aca="false">IF($P1047="","",INDEX(BookRate,1042)*$P1047)</f>
        <v/>
      </c>
      <c r="T1047" s="35" t="str">
        <f aca="false">IF($R1047="","",$R1047-$K1047)</f>
        <v/>
      </c>
      <c r="U1047" s="35" t="str">
        <f aca="false">IF(N($P1047)&lt;=0,"",COUNTIF($P$6:$P1047,"&gt;0"))</f>
        <v/>
      </c>
    </row>
    <row r="1048" customFormat="false" ht="15" hidden="false" customHeight="false" outlineLevel="0" collapsed="false">
      <c r="A1048" s="40" t="str">
        <f aca="false">IF(INDEX(BookTitle,1043)="","",INDEX(BookGroup,1043))</f>
        <v/>
      </c>
      <c r="B1048" s="40" t="str">
        <f aca="false">IF(INDEX(BookTitle,1043)="","",INDEX(BookRef,1043))</f>
        <v/>
      </c>
      <c r="C1048" s="40" t="str">
        <f aca="false">IF(INDEX(BookTitle,1043)="","",INDEX(BookDivision,1043))</f>
        <v/>
      </c>
      <c r="D1048" s="40" t="str">
        <f aca="false">IF(INDEX(BookTitle,1043)="","",INDEX(BookUnit,1043))</f>
        <v/>
      </c>
      <c r="E1048" s="40" t="str">
        <f aca="false">IF(INDEX(BookTitle,1043)="","",INDEX(BookTitle,1043))</f>
        <v/>
      </c>
      <c r="F1048" s="40" t="str">
        <f aca="false">IF(INDEX(BookTitle,1043)="","",INDEX(BookLevel,1043))</f>
        <v/>
      </c>
      <c r="G1048" s="40" t="str">
        <f aca="false">IF(INDEX(BookTitle,1043)="","",INDEX(BookCategory,1043))</f>
        <v/>
      </c>
      <c r="H1048" s="40" t="str">
        <f aca="false">IF(INDEX(BookTitle,1043)="","",INDEX(BookRank,1043))</f>
        <v/>
      </c>
      <c r="I1048" s="41" t="str">
        <f aca="false">IF(INDEX(BookTitle,1043)="","",INDEX(BookTotal,1043))</f>
        <v/>
      </c>
      <c r="J1048" s="0" t="str">
        <f aca="false">IF($I1048="","",IF(INDEX(BookQ1,1043)&gt;0,"Q1",IF(INDEX(BookQ2,1043)&gt;0,"Q2",IF(INDEX(BookQ3,1043)&gt;0,"Q3",IF(INDEX(BookQ4,1043)&gt;0,"Q4","")))))</f>
        <v/>
      </c>
      <c r="K1048" s="42" t="str">
        <f aca="false">IF(INDEX(BookTitle,1043)="","",INDEX(BookInYear,1043))</f>
        <v/>
      </c>
      <c r="L1048" s="19"/>
      <c r="M1048" s="39"/>
      <c r="N1048" s="19"/>
      <c r="O1048" s="19"/>
      <c r="P1048" s="43" t="str">
        <f aca="false">IF($E1048="","",IF($L1048="Decline",0,IF($L1048="Approve fewer",IF($M1048="","",$M1048),IF($L1048="","",$I1048))))</f>
        <v/>
      </c>
      <c r="Q1048" s="34" t="str">
        <f aca="false">IF($P1048="","",IF($N1048&lt;&gt;"",$N1048,$J1048))</f>
        <v/>
      </c>
      <c r="R1048" s="35" t="str">
        <f aca="false">IF(OR($P1048="",$Q1048=""),"",INDEX(BookRate,1043)*$P1048*(5-MATCH($Q1048,{"Q1";"Q2";"Q3";"Q4"},0))/4+INDEX(BookOneOff,1043)*$P1048)</f>
        <v/>
      </c>
      <c r="S1048" s="35" t="str">
        <f aca="false">IF($P1048="","",INDEX(BookRate,1043)*$P1048)</f>
        <v/>
      </c>
      <c r="T1048" s="35" t="str">
        <f aca="false">IF($R1048="","",$R1048-$K1048)</f>
        <v/>
      </c>
      <c r="U1048" s="35" t="str">
        <f aca="false">IF(N($P1048)&lt;=0,"",COUNTIF($P$6:$P1048,"&gt;0"))</f>
        <v/>
      </c>
    </row>
    <row r="1049" customFormat="false" ht="15" hidden="false" customHeight="false" outlineLevel="0" collapsed="false">
      <c r="A1049" s="40" t="str">
        <f aca="false">IF(INDEX(BookTitle,1044)="","",INDEX(BookGroup,1044))</f>
        <v/>
      </c>
      <c r="B1049" s="40" t="str">
        <f aca="false">IF(INDEX(BookTitle,1044)="","",INDEX(BookRef,1044))</f>
        <v/>
      </c>
      <c r="C1049" s="40" t="str">
        <f aca="false">IF(INDEX(BookTitle,1044)="","",INDEX(BookDivision,1044))</f>
        <v/>
      </c>
      <c r="D1049" s="40" t="str">
        <f aca="false">IF(INDEX(BookTitle,1044)="","",INDEX(BookUnit,1044))</f>
        <v/>
      </c>
      <c r="E1049" s="40" t="str">
        <f aca="false">IF(INDEX(BookTitle,1044)="","",INDEX(BookTitle,1044))</f>
        <v/>
      </c>
      <c r="F1049" s="40" t="str">
        <f aca="false">IF(INDEX(BookTitle,1044)="","",INDEX(BookLevel,1044))</f>
        <v/>
      </c>
      <c r="G1049" s="40" t="str">
        <f aca="false">IF(INDEX(BookTitle,1044)="","",INDEX(BookCategory,1044))</f>
        <v/>
      </c>
      <c r="H1049" s="40" t="str">
        <f aca="false">IF(INDEX(BookTitle,1044)="","",INDEX(BookRank,1044))</f>
        <v/>
      </c>
      <c r="I1049" s="41" t="str">
        <f aca="false">IF(INDEX(BookTitle,1044)="","",INDEX(BookTotal,1044))</f>
        <v/>
      </c>
      <c r="J1049" s="0" t="str">
        <f aca="false">IF($I1049="","",IF(INDEX(BookQ1,1044)&gt;0,"Q1",IF(INDEX(BookQ2,1044)&gt;0,"Q2",IF(INDEX(BookQ3,1044)&gt;0,"Q3",IF(INDEX(BookQ4,1044)&gt;0,"Q4","")))))</f>
        <v/>
      </c>
      <c r="K1049" s="42" t="str">
        <f aca="false">IF(INDEX(BookTitle,1044)="","",INDEX(BookInYear,1044))</f>
        <v/>
      </c>
      <c r="L1049" s="19"/>
      <c r="M1049" s="39"/>
      <c r="N1049" s="19"/>
      <c r="O1049" s="19"/>
      <c r="P1049" s="43" t="str">
        <f aca="false">IF($E1049="","",IF($L1049="Decline",0,IF($L1049="Approve fewer",IF($M1049="","",$M1049),IF($L1049="","",$I1049))))</f>
        <v/>
      </c>
      <c r="Q1049" s="34" t="str">
        <f aca="false">IF($P1049="","",IF($N1049&lt;&gt;"",$N1049,$J1049))</f>
        <v/>
      </c>
      <c r="R1049" s="35" t="str">
        <f aca="false">IF(OR($P1049="",$Q1049=""),"",INDEX(BookRate,1044)*$P1049*(5-MATCH($Q1049,{"Q1";"Q2";"Q3";"Q4"},0))/4+INDEX(BookOneOff,1044)*$P1049)</f>
        <v/>
      </c>
      <c r="S1049" s="35" t="str">
        <f aca="false">IF($P1049="","",INDEX(BookRate,1044)*$P1049)</f>
        <v/>
      </c>
      <c r="T1049" s="35" t="str">
        <f aca="false">IF($R1049="","",$R1049-$K1049)</f>
        <v/>
      </c>
      <c r="U1049" s="35" t="str">
        <f aca="false">IF(N($P1049)&lt;=0,"",COUNTIF($P$6:$P1049,"&gt;0"))</f>
        <v/>
      </c>
    </row>
    <row r="1050" customFormat="false" ht="15" hidden="false" customHeight="false" outlineLevel="0" collapsed="false">
      <c r="A1050" s="40" t="str">
        <f aca="false">IF(INDEX(BookTitle,1045)="","",INDEX(BookGroup,1045))</f>
        <v/>
      </c>
      <c r="B1050" s="40" t="str">
        <f aca="false">IF(INDEX(BookTitle,1045)="","",INDEX(BookRef,1045))</f>
        <v/>
      </c>
      <c r="C1050" s="40" t="str">
        <f aca="false">IF(INDEX(BookTitle,1045)="","",INDEX(BookDivision,1045))</f>
        <v/>
      </c>
      <c r="D1050" s="40" t="str">
        <f aca="false">IF(INDEX(BookTitle,1045)="","",INDEX(BookUnit,1045))</f>
        <v/>
      </c>
      <c r="E1050" s="40" t="str">
        <f aca="false">IF(INDEX(BookTitle,1045)="","",INDEX(BookTitle,1045))</f>
        <v/>
      </c>
      <c r="F1050" s="40" t="str">
        <f aca="false">IF(INDEX(BookTitle,1045)="","",INDEX(BookLevel,1045))</f>
        <v/>
      </c>
      <c r="G1050" s="40" t="str">
        <f aca="false">IF(INDEX(BookTitle,1045)="","",INDEX(BookCategory,1045))</f>
        <v/>
      </c>
      <c r="H1050" s="40" t="str">
        <f aca="false">IF(INDEX(BookTitle,1045)="","",INDEX(BookRank,1045))</f>
        <v/>
      </c>
      <c r="I1050" s="41" t="str">
        <f aca="false">IF(INDEX(BookTitle,1045)="","",INDEX(BookTotal,1045))</f>
        <v/>
      </c>
      <c r="J1050" s="0" t="str">
        <f aca="false">IF($I1050="","",IF(INDEX(BookQ1,1045)&gt;0,"Q1",IF(INDEX(BookQ2,1045)&gt;0,"Q2",IF(INDEX(BookQ3,1045)&gt;0,"Q3",IF(INDEX(BookQ4,1045)&gt;0,"Q4","")))))</f>
        <v/>
      </c>
      <c r="K1050" s="42" t="str">
        <f aca="false">IF(INDEX(BookTitle,1045)="","",INDEX(BookInYear,1045))</f>
        <v/>
      </c>
      <c r="L1050" s="19"/>
      <c r="M1050" s="39"/>
      <c r="N1050" s="19"/>
      <c r="O1050" s="19"/>
      <c r="P1050" s="43" t="str">
        <f aca="false">IF($E1050="","",IF($L1050="Decline",0,IF($L1050="Approve fewer",IF($M1050="","",$M1050),IF($L1050="","",$I1050))))</f>
        <v/>
      </c>
      <c r="Q1050" s="34" t="str">
        <f aca="false">IF($P1050="","",IF($N1050&lt;&gt;"",$N1050,$J1050))</f>
        <v/>
      </c>
      <c r="R1050" s="35" t="str">
        <f aca="false">IF(OR($P1050="",$Q1050=""),"",INDEX(BookRate,1045)*$P1050*(5-MATCH($Q1050,{"Q1";"Q2";"Q3";"Q4"},0))/4+INDEX(BookOneOff,1045)*$P1050)</f>
        <v/>
      </c>
      <c r="S1050" s="35" t="str">
        <f aca="false">IF($P1050="","",INDEX(BookRate,1045)*$P1050)</f>
        <v/>
      </c>
      <c r="T1050" s="35" t="str">
        <f aca="false">IF($R1050="","",$R1050-$K1050)</f>
        <v/>
      </c>
      <c r="U1050" s="35" t="str">
        <f aca="false">IF(N($P1050)&lt;=0,"",COUNTIF($P$6:$P1050,"&gt;0"))</f>
        <v/>
      </c>
    </row>
    <row r="1051" customFormat="false" ht="15" hidden="false" customHeight="false" outlineLevel="0" collapsed="false">
      <c r="A1051" s="40" t="str">
        <f aca="false">IF(INDEX(BookTitle,1046)="","",INDEX(BookGroup,1046))</f>
        <v/>
      </c>
      <c r="B1051" s="40" t="str">
        <f aca="false">IF(INDEX(BookTitle,1046)="","",INDEX(BookRef,1046))</f>
        <v/>
      </c>
      <c r="C1051" s="40" t="str">
        <f aca="false">IF(INDEX(BookTitle,1046)="","",INDEX(BookDivision,1046))</f>
        <v/>
      </c>
      <c r="D1051" s="40" t="str">
        <f aca="false">IF(INDEX(BookTitle,1046)="","",INDEX(BookUnit,1046))</f>
        <v/>
      </c>
      <c r="E1051" s="40" t="str">
        <f aca="false">IF(INDEX(BookTitle,1046)="","",INDEX(BookTitle,1046))</f>
        <v/>
      </c>
      <c r="F1051" s="40" t="str">
        <f aca="false">IF(INDEX(BookTitle,1046)="","",INDEX(BookLevel,1046))</f>
        <v/>
      </c>
      <c r="G1051" s="40" t="str">
        <f aca="false">IF(INDEX(BookTitle,1046)="","",INDEX(BookCategory,1046))</f>
        <v/>
      </c>
      <c r="H1051" s="40" t="str">
        <f aca="false">IF(INDEX(BookTitle,1046)="","",INDEX(BookRank,1046))</f>
        <v/>
      </c>
      <c r="I1051" s="41" t="str">
        <f aca="false">IF(INDEX(BookTitle,1046)="","",INDEX(BookTotal,1046))</f>
        <v/>
      </c>
      <c r="J1051" s="0" t="str">
        <f aca="false">IF($I1051="","",IF(INDEX(BookQ1,1046)&gt;0,"Q1",IF(INDEX(BookQ2,1046)&gt;0,"Q2",IF(INDEX(BookQ3,1046)&gt;0,"Q3",IF(INDEX(BookQ4,1046)&gt;0,"Q4","")))))</f>
        <v/>
      </c>
      <c r="K1051" s="42" t="str">
        <f aca="false">IF(INDEX(BookTitle,1046)="","",INDEX(BookInYear,1046))</f>
        <v/>
      </c>
      <c r="L1051" s="19"/>
      <c r="M1051" s="39"/>
      <c r="N1051" s="19"/>
      <c r="O1051" s="19"/>
      <c r="P1051" s="43" t="str">
        <f aca="false">IF($E1051="","",IF($L1051="Decline",0,IF($L1051="Approve fewer",IF($M1051="","",$M1051),IF($L1051="","",$I1051))))</f>
        <v/>
      </c>
      <c r="Q1051" s="34" t="str">
        <f aca="false">IF($P1051="","",IF($N1051&lt;&gt;"",$N1051,$J1051))</f>
        <v/>
      </c>
      <c r="R1051" s="35" t="str">
        <f aca="false">IF(OR($P1051="",$Q1051=""),"",INDEX(BookRate,1046)*$P1051*(5-MATCH($Q1051,{"Q1";"Q2";"Q3";"Q4"},0))/4+INDEX(BookOneOff,1046)*$P1051)</f>
        <v/>
      </c>
      <c r="S1051" s="35" t="str">
        <f aca="false">IF($P1051="","",INDEX(BookRate,1046)*$P1051)</f>
        <v/>
      </c>
      <c r="T1051" s="35" t="str">
        <f aca="false">IF($R1051="","",$R1051-$K1051)</f>
        <v/>
      </c>
      <c r="U1051" s="35" t="str">
        <f aca="false">IF(N($P1051)&lt;=0,"",COUNTIF($P$6:$P1051,"&gt;0"))</f>
        <v/>
      </c>
    </row>
    <row r="1052" customFormat="false" ht="15" hidden="false" customHeight="false" outlineLevel="0" collapsed="false">
      <c r="A1052" s="40" t="str">
        <f aca="false">IF(INDEX(BookTitle,1047)="","",INDEX(BookGroup,1047))</f>
        <v/>
      </c>
      <c r="B1052" s="40" t="str">
        <f aca="false">IF(INDEX(BookTitle,1047)="","",INDEX(BookRef,1047))</f>
        <v/>
      </c>
      <c r="C1052" s="40" t="str">
        <f aca="false">IF(INDEX(BookTitle,1047)="","",INDEX(BookDivision,1047))</f>
        <v/>
      </c>
      <c r="D1052" s="40" t="str">
        <f aca="false">IF(INDEX(BookTitle,1047)="","",INDEX(BookUnit,1047))</f>
        <v/>
      </c>
      <c r="E1052" s="40" t="str">
        <f aca="false">IF(INDEX(BookTitle,1047)="","",INDEX(BookTitle,1047))</f>
        <v/>
      </c>
      <c r="F1052" s="40" t="str">
        <f aca="false">IF(INDEX(BookTitle,1047)="","",INDEX(BookLevel,1047))</f>
        <v/>
      </c>
      <c r="G1052" s="40" t="str">
        <f aca="false">IF(INDEX(BookTitle,1047)="","",INDEX(BookCategory,1047))</f>
        <v/>
      </c>
      <c r="H1052" s="40" t="str">
        <f aca="false">IF(INDEX(BookTitle,1047)="","",INDEX(BookRank,1047))</f>
        <v/>
      </c>
      <c r="I1052" s="41" t="str">
        <f aca="false">IF(INDEX(BookTitle,1047)="","",INDEX(BookTotal,1047))</f>
        <v/>
      </c>
      <c r="J1052" s="0" t="str">
        <f aca="false">IF($I1052="","",IF(INDEX(BookQ1,1047)&gt;0,"Q1",IF(INDEX(BookQ2,1047)&gt;0,"Q2",IF(INDEX(BookQ3,1047)&gt;0,"Q3",IF(INDEX(BookQ4,1047)&gt;0,"Q4","")))))</f>
        <v/>
      </c>
      <c r="K1052" s="42" t="str">
        <f aca="false">IF(INDEX(BookTitle,1047)="","",INDEX(BookInYear,1047))</f>
        <v/>
      </c>
      <c r="L1052" s="19"/>
      <c r="M1052" s="39"/>
      <c r="N1052" s="19"/>
      <c r="O1052" s="19"/>
      <c r="P1052" s="43" t="str">
        <f aca="false">IF($E1052="","",IF($L1052="Decline",0,IF($L1052="Approve fewer",IF($M1052="","",$M1052),IF($L1052="","",$I1052))))</f>
        <v/>
      </c>
      <c r="Q1052" s="34" t="str">
        <f aca="false">IF($P1052="","",IF($N1052&lt;&gt;"",$N1052,$J1052))</f>
        <v/>
      </c>
      <c r="R1052" s="35" t="str">
        <f aca="false">IF(OR($P1052="",$Q1052=""),"",INDEX(BookRate,1047)*$P1052*(5-MATCH($Q1052,{"Q1";"Q2";"Q3";"Q4"},0))/4+INDEX(BookOneOff,1047)*$P1052)</f>
        <v/>
      </c>
      <c r="S1052" s="35" t="str">
        <f aca="false">IF($P1052="","",INDEX(BookRate,1047)*$P1052)</f>
        <v/>
      </c>
      <c r="T1052" s="35" t="str">
        <f aca="false">IF($R1052="","",$R1052-$K1052)</f>
        <v/>
      </c>
      <c r="U1052" s="35" t="str">
        <f aca="false">IF(N($P1052)&lt;=0,"",COUNTIF($P$6:$P1052,"&gt;0"))</f>
        <v/>
      </c>
    </row>
    <row r="1053" customFormat="false" ht="15" hidden="false" customHeight="false" outlineLevel="0" collapsed="false">
      <c r="A1053" s="40" t="str">
        <f aca="false">IF(INDEX(BookTitle,1048)="","",INDEX(BookGroup,1048))</f>
        <v/>
      </c>
      <c r="B1053" s="40" t="str">
        <f aca="false">IF(INDEX(BookTitle,1048)="","",INDEX(BookRef,1048))</f>
        <v/>
      </c>
      <c r="C1053" s="40" t="str">
        <f aca="false">IF(INDEX(BookTitle,1048)="","",INDEX(BookDivision,1048))</f>
        <v/>
      </c>
      <c r="D1053" s="40" t="str">
        <f aca="false">IF(INDEX(BookTitle,1048)="","",INDEX(BookUnit,1048))</f>
        <v/>
      </c>
      <c r="E1053" s="40" t="str">
        <f aca="false">IF(INDEX(BookTitle,1048)="","",INDEX(BookTitle,1048))</f>
        <v/>
      </c>
      <c r="F1053" s="40" t="str">
        <f aca="false">IF(INDEX(BookTitle,1048)="","",INDEX(BookLevel,1048))</f>
        <v/>
      </c>
      <c r="G1053" s="40" t="str">
        <f aca="false">IF(INDEX(BookTitle,1048)="","",INDEX(BookCategory,1048))</f>
        <v/>
      </c>
      <c r="H1053" s="40" t="str">
        <f aca="false">IF(INDEX(BookTitle,1048)="","",INDEX(BookRank,1048))</f>
        <v/>
      </c>
      <c r="I1053" s="41" t="str">
        <f aca="false">IF(INDEX(BookTitle,1048)="","",INDEX(BookTotal,1048))</f>
        <v/>
      </c>
      <c r="J1053" s="0" t="str">
        <f aca="false">IF($I1053="","",IF(INDEX(BookQ1,1048)&gt;0,"Q1",IF(INDEX(BookQ2,1048)&gt;0,"Q2",IF(INDEX(BookQ3,1048)&gt;0,"Q3",IF(INDEX(BookQ4,1048)&gt;0,"Q4","")))))</f>
        <v/>
      </c>
      <c r="K1053" s="42" t="str">
        <f aca="false">IF(INDEX(BookTitle,1048)="","",INDEX(BookInYear,1048))</f>
        <v/>
      </c>
      <c r="L1053" s="19"/>
      <c r="M1053" s="39"/>
      <c r="N1053" s="19"/>
      <c r="O1053" s="19"/>
      <c r="P1053" s="43" t="str">
        <f aca="false">IF($E1053="","",IF($L1053="Decline",0,IF($L1053="Approve fewer",IF($M1053="","",$M1053),IF($L1053="","",$I1053))))</f>
        <v/>
      </c>
      <c r="Q1053" s="34" t="str">
        <f aca="false">IF($P1053="","",IF($N1053&lt;&gt;"",$N1053,$J1053))</f>
        <v/>
      </c>
      <c r="R1053" s="35" t="str">
        <f aca="false">IF(OR($P1053="",$Q1053=""),"",INDEX(BookRate,1048)*$P1053*(5-MATCH($Q1053,{"Q1";"Q2";"Q3";"Q4"},0))/4+INDEX(BookOneOff,1048)*$P1053)</f>
        <v/>
      </c>
      <c r="S1053" s="35" t="str">
        <f aca="false">IF($P1053="","",INDEX(BookRate,1048)*$P1053)</f>
        <v/>
      </c>
      <c r="T1053" s="35" t="str">
        <f aca="false">IF($R1053="","",$R1053-$K1053)</f>
        <v/>
      </c>
      <c r="U1053" s="35" t="str">
        <f aca="false">IF(N($P1053)&lt;=0,"",COUNTIF($P$6:$P1053,"&gt;0"))</f>
        <v/>
      </c>
    </row>
    <row r="1054" customFormat="false" ht="15" hidden="false" customHeight="false" outlineLevel="0" collapsed="false">
      <c r="A1054" s="40" t="str">
        <f aca="false">IF(INDEX(BookTitle,1049)="","",INDEX(BookGroup,1049))</f>
        <v/>
      </c>
      <c r="B1054" s="40" t="str">
        <f aca="false">IF(INDEX(BookTitle,1049)="","",INDEX(BookRef,1049))</f>
        <v/>
      </c>
      <c r="C1054" s="40" t="str">
        <f aca="false">IF(INDEX(BookTitle,1049)="","",INDEX(BookDivision,1049))</f>
        <v/>
      </c>
      <c r="D1054" s="40" t="str">
        <f aca="false">IF(INDEX(BookTitle,1049)="","",INDEX(BookUnit,1049))</f>
        <v/>
      </c>
      <c r="E1054" s="40" t="str">
        <f aca="false">IF(INDEX(BookTitle,1049)="","",INDEX(BookTitle,1049))</f>
        <v/>
      </c>
      <c r="F1054" s="40" t="str">
        <f aca="false">IF(INDEX(BookTitle,1049)="","",INDEX(BookLevel,1049))</f>
        <v/>
      </c>
      <c r="G1054" s="40" t="str">
        <f aca="false">IF(INDEX(BookTitle,1049)="","",INDEX(BookCategory,1049))</f>
        <v/>
      </c>
      <c r="H1054" s="40" t="str">
        <f aca="false">IF(INDEX(BookTitle,1049)="","",INDEX(BookRank,1049))</f>
        <v/>
      </c>
      <c r="I1054" s="41" t="str">
        <f aca="false">IF(INDEX(BookTitle,1049)="","",INDEX(BookTotal,1049))</f>
        <v/>
      </c>
      <c r="J1054" s="0" t="str">
        <f aca="false">IF($I1054="","",IF(INDEX(BookQ1,1049)&gt;0,"Q1",IF(INDEX(BookQ2,1049)&gt;0,"Q2",IF(INDEX(BookQ3,1049)&gt;0,"Q3",IF(INDEX(BookQ4,1049)&gt;0,"Q4","")))))</f>
        <v/>
      </c>
      <c r="K1054" s="42" t="str">
        <f aca="false">IF(INDEX(BookTitle,1049)="","",INDEX(BookInYear,1049))</f>
        <v/>
      </c>
      <c r="L1054" s="19"/>
      <c r="M1054" s="39"/>
      <c r="N1054" s="19"/>
      <c r="O1054" s="19"/>
      <c r="P1054" s="43" t="str">
        <f aca="false">IF($E1054="","",IF($L1054="Decline",0,IF($L1054="Approve fewer",IF($M1054="","",$M1054),IF($L1054="","",$I1054))))</f>
        <v/>
      </c>
      <c r="Q1054" s="34" t="str">
        <f aca="false">IF($P1054="","",IF($N1054&lt;&gt;"",$N1054,$J1054))</f>
        <v/>
      </c>
      <c r="R1054" s="35" t="str">
        <f aca="false">IF(OR($P1054="",$Q1054=""),"",INDEX(BookRate,1049)*$P1054*(5-MATCH($Q1054,{"Q1";"Q2";"Q3";"Q4"},0))/4+INDEX(BookOneOff,1049)*$P1054)</f>
        <v/>
      </c>
      <c r="S1054" s="35" t="str">
        <f aca="false">IF($P1054="","",INDEX(BookRate,1049)*$P1054)</f>
        <v/>
      </c>
      <c r="T1054" s="35" t="str">
        <f aca="false">IF($R1054="","",$R1054-$K1054)</f>
        <v/>
      </c>
      <c r="U1054" s="35" t="str">
        <f aca="false">IF(N($P1054)&lt;=0,"",COUNTIF($P$6:$P1054,"&gt;0"))</f>
        <v/>
      </c>
    </row>
    <row r="1055" customFormat="false" ht="15" hidden="false" customHeight="false" outlineLevel="0" collapsed="false">
      <c r="A1055" s="40" t="str">
        <f aca="false">IF(INDEX(BookTitle,1050)="","",INDEX(BookGroup,1050))</f>
        <v/>
      </c>
      <c r="B1055" s="40" t="str">
        <f aca="false">IF(INDEX(BookTitle,1050)="","",INDEX(BookRef,1050))</f>
        <v/>
      </c>
      <c r="C1055" s="40" t="str">
        <f aca="false">IF(INDEX(BookTitle,1050)="","",INDEX(BookDivision,1050))</f>
        <v/>
      </c>
      <c r="D1055" s="40" t="str">
        <f aca="false">IF(INDEX(BookTitle,1050)="","",INDEX(BookUnit,1050))</f>
        <v/>
      </c>
      <c r="E1055" s="40" t="str">
        <f aca="false">IF(INDEX(BookTitle,1050)="","",INDEX(BookTitle,1050))</f>
        <v/>
      </c>
      <c r="F1055" s="40" t="str">
        <f aca="false">IF(INDEX(BookTitle,1050)="","",INDEX(BookLevel,1050))</f>
        <v/>
      </c>
      <c r="G1055" s="40" t="str">
        <f aca="false">IF(INDEX(BookTitle,1050)="","",INDEX(BookCategory,1050))</f>
        <v/>
      </c>
      <c r="H1055" s="40" t="str">
        <f aca="false">IF(INDEX(BookTitle,1050)="","",INDEX(BookRank,1050))</f>
        <v/>
      </c>
      <c r="I1055" s="41" t="str">
        <f aca="false">IF(INDEX(BookTitle,1050)="","",INDEX(BookTotal,1050))</f>
        <v/>
      </c>
      <c r="J1055" s="0" t="str">
        <f aca="false">IF($I1055="","",IF(INDEX(BookQ1,1050)&gt;0,"Q1",IF(INDEX(BookQ2,1050)&gt;0,"Q2",IF(INDEX(BookQ3,1050)&gt;0,"Q3",IF(INDEX(BookQ4,1050)&gt;0,"Q4","")))))</f>
        <v/>
      </c>
      <c r="K1055" s="42" t="str">
        <f aca="false">IF(INDEX(BookTitle,1050)="","",INDEX(BookInYear,1050))</f>
        <v/>
      </c>
      <c r="L1055" s="19"/>
      <c r="M1055" s="39"/>
      <c r="N1055" s="19"/>
      <c r="O1055" s="19"/>
      <c r="P1055" s="43" t="str">
        <f aca="false">IF($E1055="","",IF($L1055="Decline",0,IF($L1055="Approve fewer",IF($M1055="","",$M1055),IF($L1055="","",$I1055))))</f>
        <v/>
      </c>
      <c r="Q1055" s="34" t="str">
        <f aca="false">IF($P1055="","",IF($N1055&lt;&gt;"",$N1055,$J1055))</f>
        <v/>
      </c>
      <c r="R1055" s="35" t="str">
        <f aca="false">IF(OR($P1055="",$Q1055=""),"",INDEX(BookRate,1050)*$P1055*(5-MATCH($Q1055,{"Q1";"Q2";"Q3";"Q4"},0))/4+INDEX(BookOneOff,1050)*$P1055)</f>
        <v/>
      </c>
      <c r="S1055" s="35" t="str">
        <f aca="false">IF($P1055="","",INDEX(BookRate,1050)*$P1055)</f>
        <v/>
      </c>
      <c r="T1055" s="35" t="str">
        <f aca="false">IF($R1055="","",$R1055-$K1055)</f>
        <v/>
      </c>
      <c r="U1055" s="35" t="str">
        <f aca="false">IF(N($P1055)&lt;=0,"",COUNTIF($P$6:$P1055,"&gt;0"))</f>
        <v/>
      </c>
    </row>
    <row r="1056" customFormat="false" ht="15" hidden="false" customHeight="false" outlineLevel="0" collapsed="false">
      <c r="A1056" s="40" t="str">
        <f aca="false">IF(INDEX(BookTitle,1051)="","",INDEX(BookGroup,1051))</f>
        <v/>
      </c>
      <c r="B1056" s="40" t="str">
        <f aca="false">IF(INDEX(BookTitle,1051)="","",INDEX(BookRef,1051))</f>
        <v/>
      </c>
      <c r="C1056" s="40" t="str">
        <f aca="false">IF(INDEX(BookTitle,1051)="","",INDEX(BookDivision,1051))</f>
        <v/>
      </c>
      <c r="D1056" s="40" t="str">
        <f aca="false">IF(INDEX(BookTitle,1051)="","",INDEX(BookUnit,1051))</f>
        <v/>
      </c>
      <c r="E1056" s="40" t="str">
        <f aca="false">IF(INDEX(BookTitle,1051)="","",INDEX(BookTitle,1051))</f>
        <v/>
      </c>
      <c r="F1056" s="40" t="str">
        <f aca="false">IF(INDEX(BookTitle,1051)="","",INDEX(BookLevel,1051))</f>
        <v/>
      </c>
      <c r="G1056" s="40" t="str">
        <f aca="false">IF(INDEX(BookTitle,1051)="","",INDEX(BookCategory,1051))</f>
        <v/>
      </c>
      <c r="H1056" s="40" t="str">
        <f aca="false">IF(INDEX(BookTitle,1051)="","",INDEX(BookRank,1051))</f>
        <v/>
      </c>
      <c r="I1056" s="41" t="str">
        <f aca="false">IF(INDEX(BookTitle,1051)="","",INDEX(BookTotal,1051))</f>
        <v/>
      </c>
      <c r="J1056" s="0" t="str">
        <f aca="false">IF($I1056="","",IF(INDEX(BookQ1,1051)&gt;0,"Q1",IF(INDEX(BookQ2,1051)&gt;0,"Q2",IF(INDEX(BookQ3,1051)&gt;0,"Q3",IF(INDEX(BookQ4,1051)&gt;0,"Q4","")))))</f>
        <v/>
      </c>
      <c r="K1056" s="42" t="str">
        <f aca="false">IF(INDEX(BookTitle,1051)="","",INDEX(BookInYear,1051))</f>
        <v/>
      </c>
      <c r="L1056" s="19"/>
      <c r="M1056" s="39"/>
      <c r="N1056" s="19"/>
      <c r="O1056" s="19"/>
      <c r="P1056" s="43" t="str">
        <f aca="false">IF($E1056="","",IF($L1056="Decline",0,IF($L1056="Approve fewer",IF($M1056="","",$M1056),IF($L1056="","",$I1056))))</f>
        <v/>
      </c>
      <c r="Q1056" s="34" t="str">
        <f aca="false">IF($P1056="","",IF($N1056&lt;&gt;"",$N1056,$J1056))</f>
        <v/>
      </c>
      <c r="R1056" s="35" t="str">
        <f aca="false">IF(OR($P1056="",$Q1056=""),"",INDEX(BookRate,1051)*$P1056*(5-MATCH($Q1056,{"Q1";"Q2";"Q3";"Q4"},0))/4+INDEX(BookOneOff,1051)*$P1056)</f>
        <v/>
      </c>
      <c r="S1056" s="35" t="str">
        <f aca="false">IF($P1056="","",INDEX(BookRate,1051)*$P1056)</f>
        <v/>
      </c>
      <c r="T1056" s="35" t="str">
        <f aca="false">IF($R1056="","",$R1056-$K1056)</f>
        <v/>
      </c>
      <c r="U1056" s="35" t="str">
        <f aca="false">IF(N($P1056)&lt;=0,"",COUNTIF($P$6:$P1056,"&gt;0"))</f>
        <v/>
      </c>
    </row>
    <row r="1057" customFormat="false" ht="15" hidden="false" customHeight="false" outlineLevel="0" collapsed="false">
      <c r="A1057" s="40" t="str">
        <f aca="false">IF(INDEX(BookTitle,1052)="","",INDEX(BookGroup,1052))</f>
        <v/>
      </c>
      <c r="B1057" s="40" t="str">
        <f aca="false">IF(INDEX(BookTitle,1052)="","",INDEX(BookRef,1052))</f>
        <v/>
      </c>
      <c r="C1057" s="40" t="str">
        <f aca="false">IF(INDEX(BookTitle,1052)="","",INDEX(BookDivision,1052))</f>
        <v/>
      </c>
      <c r="D1057" s="40" t="str">
        <f aca="false">IF(INDEX(BookTitle,1052)="","",INDEX(BookUnit,1052))</f>
        <v/>
      </c>
      <c r="E1057" s="40" t="str">
        <f aca="false">IF(INDEX(BookTitle,1052)="","",INDEX(BookTitle,1052))</f>
        <v/>
      </c>
      <c r="F1057" s="40" t="str">
        <f aca="false">IF(INDEX(BookTitle,1052)="","",INDEX(BookLevel,1052))</f>
        <v/>
      </c>
      <c r="G1057" s="40" t="str">
        <f aca="false">IF(INDEX(BookTitle,1052)="","",INDEX(BookCategory,1052))</f>
        <v/>
      </c>
      <c r="H1057" s="40" t="str">
        <f aca="false">IF(INDEX(BookTitle,1052)="","",INDEX(BookRank,1052))</f>
        <v/>
      </c>
      <c r="I1057" s="41" t="str">
        <f aca="false">IF(INDEX(BookTitle,1052)="","",INDEX(BookTotal,1052))</f>
        <v/>
      </c>
      <c r="J1057" s="0" t="str">
        <f aca="false">IF($I1057="","",IF(INDEX(BookQ1,1052)&gt;0,"Q1",IF(INDEX(BookQ2,1052)&gt;0,"Q2",IF(INDEX(BookQ3,1052)&gt;0,"Q3",IF(INDEX(BookQ4,1052)&gt;0,"Q4","")))))</f>
        <v/>
      </c>
      <c r="K1057" s="42" t="str">
        <f aca="false">IF(INDEX(BookTitle,1052)="","",INDEX(BookInYear,1052))</f>
        <v/>
      </c>
      <c r="L1057" s="19"/>
      <c r="M1057" s="39"/>
      <c r="N1057" s="19"/>
      <c r="O1057" s="19"/>
      <c r="P1057" s="43" t="str">
        <f aca="false">IF($E1057="","",IF($L1057="Decline",0,IF($L1057="Approve fewer",IF($M1057="","",$M1057),IF($L1057="","",$I1057))))</f>
        <v/>
      </c>
      <c r="Q1057" s="34" t="str">
        <f aca="false">IF($P1057="","",IF($N1057&lt;&gt;"",$N1057,$J1057))</f>
        <v/>
      </c>
      <c r="R1057" s="35" t="str">
        <f aca="false">IF(OR($P1057="",$Q1057=""),"",INDEX(BookRate,1052)*$P1057*(5-MATCH($Q1057,{"Q1";"Q2";"Q3";"Q4"},0))/4+INDEX(BookOneOff,1052)*$P1057)</f>
        <v/>
      </c>
      <c r="S1057" s="35" t="str">
        <f aca="false">IF($P1057="","",INDEX(BookRate,1052)*$P1057)</f>
        <v/>
      </c>
      <c r="T1057" s="35" t="str">
        <f aca="false">IF($R1057="","",$R1057-$K1057)</f>
        <v/>
      </c>
      <c r="U1057" s="35" t="str">
        <f aca="false">IF(N($P1057)&lt;=0,"",COUNTIF($P$6:$P1057,"&gt;0"))</f>
        <v/>
      </c>
    </row>
    <row r="1058" customFormat="false" ht="15" hidden="false" customHeight="false" outlineLevel="0" collapsed="false">
      <c r="A1058" s="40" t="str">
        <f aca="false">IF(INDEX(BookTitle,1053)="","",INDEX(BookGroup,1053))</f>
        <v/>
      </c>
      <c r="B1058" s="40" t="str">
        <f aca="false">IF(INDEX(BookTitle,1053)="","",INDEX(BookRef,1053))</f>
        <v/>
      </c>
      <c r="C1058" s="40" t="str">
        <f aca="false">IF(INDEX(BookTitle,1053)="","",INDEX(BookDivision,1053))</f>
        <v/>
      </c>
      <c r="D1058" s="40" t="str">
        <f aca="false">IF(INDEX(BookTitle,1053)="","",INDEX(BookUnit,1053))</f>
        <v/>
      </c>
      <c r="E1058" s="40" t="str">
        <f aca="false">IF(INDEX(BookTitle,1053)="","",INDEX(BookTitle,1053))</f>
        <v/>
      </c>
      <c r="F1058" s="40" t="str">
        <f aca="false">IF(INDEX(BookTitle,1053)="","",INDEX(BookLevel,1053))</f>
        <v/>
      </c>
      <c r="G1058" s="40" t="str">
        <f aca="false">IF(INDEX(BookTitle,1053)="","",INDEX(BookCategory,1053))</f>
        <v/>
      </c>
      <c r="H1058" s="40" t="str">
        <f aca="false">IF(INDEX(BookTitle,1053)="","",INDEX(BookRank,1053))</f>
        <v/>
      </c>
      <c r="I1058" s="41" t="str">
        <f aca="false">IF(INDEX(BookTitle,1053)="","",INDEX(BookTotal,1053))</f>
        <v/>
      </c>
      <c r="J1058" s="0" t="str">
        <f aca="false">IF($I1058="","",IF(INDEX(BookQ1,1053)&gt;0,"Q1",IF(INDEX(BookQ2,1053)&gt;0,"Q2",IF(INDEX(BookQ3,1053)&gt;0,"Q3",IF(INDEX(BookQ4,1053)&gt;0,"Q4","")))))</f>
        <v/>
      </c>
      <c r="K1058" s="42" t="str">
        <f aca="false">IF(INDEX(BookTitle,1053)="","",INDEX(BookInYear,1053))</f>
        <v/>
      </c>
      <c r="L1058" s="19"/>
      <c r="M1058" s="39"/>
      <c r="N1058" s="19"/>
      <c r="O1058" s="19"/>
      <c r="P1058" s="43" t="str">
        <f aca="false">IF($E1058="","",IF($L1058="Decline",0,IF($L1058="Approve fewer",IF($M1058="","",$M1058),IF($L1058="","",$I1058))))</f>
        <v/>
      </c>
      <c r="Q1058" s="34" t="str">
        <f aca="false">IF($P1058="","",IF($N1058&lt;&gt;"",$N1058,$J1058))</f>
        <v/>
      </c>
      <c r="R1058" s="35" t="str">
        <f aca="false">IF(OR($P1058="",$Q1058=""),"",INDEX(BookRate,1053)*$P1058*(5-MATCH($Q1058,{"Q1";"Q2";"Q3";"Q4"},0))/4+INDEX(BookOneOff,1053)*$P1058)</f>
        <v/>
      </c>
      <c r="S1058" s="35" t="str">
        <f aca="false">IF($P1058="","",INDEX(BookRate,1053)*$P1058)</f>
        <v/>
      </c>
      <c r="T1058" s="35" t="str">
        <f aca="false">IF($R1058="","",$R1058-$K1058)</f>
        <v/>
      </c>
      <c r="U1058" s="35" t="str">
        <f aca="false">IF(N($P1058)&lt;=0,"",COUNTIF($P$6:$P1058,"&gt;0"))</f>
        <v/>
      </c>
    </row>
    <row r="1059" customFormat="false" ht="15" hidden="false" customHeight="false" outlineLevel="0" collapsed="false">
      <c r="A1059" s="40" t="str">
        <f aca="false">IF(INDEX(BookTitle,1054)="","",INDEX(BookGroup,1054))</f>
        <v/>
      </c>
      <c r="B1059" s="40" t="str">
        <f aca="false">IF(INDEX(BookTitle,1054)="","",INDEX(BookRef,1054))</f>
        <v/>
      </c>
      <c r="C1059" s="40" t="str">
        <f aca="false">IF(INDEX(BookTitle,1054)="","",INDEX(BookDivision,1054))</f>
        <v/>
      </c>
      <c r="D1059" s="40" t="str">
        <f aca="false">IF(INDEX(BookTitle,1054)="","",INDEX(BookUnit,1054))</f>
        <v/>
      </c>
      <c r="E1059" s="40" t="str">
        <f aca="false">IF(INDEX(BookTitle,1054)="","",INDEX(BookTitle,1054))</f>
        <v/>
      </c>
      <c r="F1059" s="40" t="str">
        <f aca="false">IF(INDEX(BookTitle,1054)="","",INDEX(BookLevel,1054))</f>
        <v/>
      </c>
      <c r="G1059" s="40" t="str">
        <f aca="false">IF(INDEX(BookTitle,1054)="","",INDEX(BookCategory,1054))</f>
        <v/>
      </c>
      <c r="H1059" s="40" t="str">
        <f aca="false">IF(INDEX(BookTitle,1054)="","",INDEX(BookRank,1054))</f>
        <v/>
      </c>
      <c r="I1059" s="41" t="str">
        <f aca="false">IF(INDEX(BookTitle,1054)="","",INDEX(BookTotal,1054))</f>
        <v/>
      </c>
      <c r="J1059" s="0" t="str">
        <f aca="false">IF($I1059="","",IF(INDEX(BookQ1,1054)&gt;0,"Q1",IF(INDEX(BookQ2,1054)&gt;0,"Q2",IF(INDEX(BookQ3,1054)&gt;0,"Q3",IF(INDEX(BookQ4,1054)&gt;0,"Q4","")))))</f>
        <v/>
      </c>
      <c r="K1059" s="42" t="str">
        <f aca="false">IF(INDEX(BookTitle,1054)="","",INDEX(BookInYear,1054))</f>
        <v/>
      </c>
      <c r="L1059" s="19"/>
      <c r="M1059" s="39"/>
      <c r="N1059" s="19"/>
      <c r="O1059" s="19"/>
      <c r="P1059" s="43" t="str">
        <f aca="false">IF($E1059="","",IF($L1059="Decline",0,IF($L1059="Approve fewer",IF($M1059="","",$M1059),IF($L1059="","",$I1059))))</f>
        <v/>
      </c>
      <c r="Q1059" s="34" t="str">
        <f aca="false">IF($P1059="","",IF($N1059&lt;&gt;"",$N1059,$J1059))</f>
        <v/>
      </c>
      <c r="R1059" s="35" t="str">
        <f aca="false">IF(OR($P1059="",$Q1059=""),"",INDEX(BookRate,1054)*$P1059*(5-MATCH($Q1059,{"Q1";"Q2";"Q3";"Q4"},0))/4+INDEX(BookOneOff,1054)*$P1059)</f>
        <v/>
      </c>
      <c r="S1059" s="35" t="str">
        <f aca="false">IF($P1059="","",INDEX(BookRate,1054)*$P1059)</f>
        <v/>
      </c>
      <c r="T1059" s="35" t="str">
        <f aca="false">IF($R1059="","",$R1059-$K1059)</f>
        <v/>
      </c>
      <c r="U1059" s="35" t="str">
        <f aca="false">IF(N($P1059)&lt;=0,"",COUNTIF($P$6:$P1059,"&gt;0"))</f>
        <v/>
      </c>
    </row>
    <row r="1060" customFormat="false" ht="15" hidden="false" customHeight="false" outlineLevel="0" collapsed="false">
      <c r="A1060" s="40" t="str">
        <f aca="false">IF(INDEX(BookTitle,1055)="","",INDEX(BookGroup,1055))</f>
        <v/>
      </c>
      <c r="B1060" s="40" t="str">
        <f aca="false">IF(INDEX(BookTitle,1055)="","",INDEX(BookRef,1055))</f>
        <v/>
      </c>
      <c r="C1060" s="40" t="str">
        <f aca="false">IF(INDEX(BookTitle,1055)="","",INDEX(BookDivision,1055))</f>
        <v/>
      </c>
      <c r="D1060" s="40" t="str">
        <f aca="false">IF(INDEX(BookTitle,1055)="","",INDEX(BookUnit,1055))</f>
        <v/>
      </c>
      <c r="E1060" s="40" t="str">
        <f aca="false">IF(INDEX(BookTitle,1055)="","",INDEX(BookTitle,1055))</f>
        <v/>
      </c>
      <c r="F1060" s="40" t="str">
        <f aca="false">IF(INDEX(BookTitle,1055)="","",INDEX(BookLevel,1055))</f>
        <v/>
      </c>
      <c r="G1060" s="40" t="str">
        <f aca="false">IF(INDEX(BookTitle,1055)="","",INDEX(BookCategory,1055))</f>
        <v/>
      </c>
      <c r="H1060" s="40" t="str">
        <f aca="false">IF(INDEX(BookTitle,1055)="","",INDEX(BookRank,1055))</f>
        <v/>
      </c>
      <c r="I1060" s="41" t="str">
        <f aca="false">IF(INDEX(BookTitle,1055)="","",INDEX(BookTotal,1055))</f>
        <v/>
      </c>
      <c r="J1060" s="0" t="str">
        <f aca="false">IF($I1060="","",IF(INDEX(BookQ1,1055)&gt;0,"Q1",IF(INDEX(BookQ2,1055)&gt;0,"Q2",IF(INDEX(BookQ3,1055)&gt;0,"Q3",IF(INDEX(BookQ4,1055)&gt;0,"Q4","")))))</f>
        <v/>
      </c>
      <c r="K1060" s="42" t="str">
        <f aca="false">IF(INDEX(BookTitle,1055)="","",INDEX(BookInYear,1055))</f>
        <v/>
      </c>
      <c r="L1060" s="19"/>
      <c r="M1060" s="39"/>
      <c r="N1060" s="19"/>
      <c r="O1060" s="19"/>
      <c r="P1060" s="43" t="str">
        <f aca="false">IF($E1060="","",IF($L1060="Decline",0,IF($L1060="Approve fewer",IF($M1060="","",$M1060),IF($L1060="","",$I1060))))</f>
        <v/>
      </c>
      <c r="Q1060" s="34" t="str">
        <f aca="false">IF($P1060="","",IF($N1060&lt;&gt;"",$N1060,$J1060))</f>
        <v/>
      </c>
      <c r="R1060" s="35" t="str">
        <f aca="false">IF(OR($P1060="",$Q1060=""),"",INDEX(BookRate,1055)*$P1060*(5-MATCH($Q1060,{"Q1";"Q2";"Q3";"Q4"},0))/4+INDEX(BookOneOff,1055)*$P1060)</f>
        <v/>
      </c>
      <c r="S1060" s="35" t="str">
        <f aca="false">IF($P1060="","",INDEX(BookRate,1055)*$P1060)</f>
        <v/>
      </c>
      <c r="T1060" s="35" t="str">
        <f aca="false">IF($R1060="","",$R1060-$K1060)</f>
        <v/>
      </c>
      <c r="U1060" s="35" t="str">
        <f aca="false">IF(N($P1060)&lt;=0,"",COUNTIF($P$6:$P1060,"&gt;0"))</f>
        <v/>
      </c>
    </row>
    <row r="1061" customFormat="false" ht="15" hidden="false" customHeight="false" outlineLevel="0" collapsed="false">
      <c r="A1061" s="40" t="str">
        <f aca="false">IF(INDEX(BookTitle,1056)="","",INDEX(BookGroup,1056))</f>
        <v/>
      </c>
      <c r="B1061" s="40" t="str">
        <f aca="false">IF(INDEX(BookTitle,1056)="","",INDEX(BookRef,1056))</f>
        <v/>
      </c>
      <c r="C1061" s="40" t="str">
        <f aca="false">IF(INDEX(BookTitle,1056)="","",INDEX(BookDivision,1056))</f>
        <v/>
      </c>
      <c r="D1061" s="40" t="str">
        <f aca="false">IF(INDEX(BookTitle,1056)="","",INDEX(BookUnit,1056))</f>
        <v/>
      </c>
      <c r="E1061" s="40" t="str">
        <f aca="false">IF(INDEX(BookTitle,1056)="","",INDEX(BookTitle,1056))</f>
        <v/>
      </c>
      <c r="F1061" s="40" t="str">
        <f aca="false">IF(INDEX(BookTitle,1056)="","",INDEX(BookLevel,1056))</f>
        <v/>
      </c>
      <c r="G1061" s="40" t="str">
        <f aca="false">IF(INDEX(BookTitle,1056)="","",INDEX(BookCategory,1056))</f>
        <v/>
      </c>
      <c r="H1061" s="40" t="str">
        <f aca="false">IF(INDEX(BookTitle,1056)="","",INDEX(BookRank,1056))</f>
        <v/>
      </c>
      <c r="I1061" s="41" t="str">
        <f aca="false">IF(INDEX(BookTitle,1056)="","",INDEX(BookTotal,1056))</f>
        <v/>
      </c>
      <c r="J1061" s="0" t="str">
        <f aca="false">IF($I1061="","",IF(INDEX(BookQ1,1056)&gt;0,"Q1",IF(INDEX(BookQ2,1056)&gt;0,"Q2",IF(INDEX(BookQ3,1056)&gt;0,"Q3",IF(INDEX(BookQ4,1056)&gt;0,"Q4","")))))</f>
        <v/>
      </c>
      <c r="K1061" s="42" t="str">
        <f aca="false">IF(INDEX(BookTitle,1056)="","",INDEX(BookInYear,1056))</f>
        <v/>
      </c>
      <c r="L1061" s="19"/>
      <c r="M1061" s="39"/>
      <c r="N1061" s="19"/>
      <c r="O1061" s="19"/>
      <c r="P1061" s="43" t="str">
        <f aca="false">IF($E1061="","",IF($L1061="Decline",0,IF($L1061="Approve fewer",IF($M1061="","",$M1061),IF($L1061="","",$I1061))))</f>
        <v/>
      </c>
      <c r="Q1061" s="34" t="str">
        <f aca="false">IF($P1061="","",IF($N1061&lt;&gt;"",$N1061,$J1061))</f>
        <v/>
      </c>
      <c r="R1061" s="35" t="str">
        <f aca="false">IF(OR($P1061="",$Q1061=""),"",INDEX(BookRate,1056)*$P1061*(5-MATCH($Q1061,{"Q1";"Q2";"Q3";"Q4"},0))/4+INDEX(BookOneOff,1056)*$P1061)</f>
        <v/>
      </c>
      <c r="S1061" s="35" t="str">
        <f aca="false">IF($P1061="","",INDEX(BookRate,1056)*$P1061)</f>
        <v/>
      </c>
      <c r="T1061" s="35" t="str">
        <f aca="false">IF($R1061="","",$R1061-$K1061)</f>
        <v/>
      </c>
      <c r="U1061" s="35" t="str">
        <f aca="false">IF(N($P1061)&lt;=0,"",COUNTIF($P$6:$P1061,"&gt;0"))</f>
        <v/>
      </c>
    </row>
    <row r="1062" customFormat="false" ht="15" hidden="false" customHeight="false" outlineLevel="0" collapsed="false">
      <c r="A1062" s="40" t="str">
        <f aca="false">IF(INDEX(BookTitle,1057)="","",INDEX(BookGroup,1057))</f>
        <v/>
      </c>
      <c r="B1062" s="40" t="str">
        <f aca="false">IF(INDEX(BookTitle,1057)="","",INDEX(BookRef,1057))</f>
        <v/>
      </c>
      <c r="C1062" s="40" t="str">
        <f aca="false">IF(INDEX(BookTitle,1057)="","",INDEX(BookDivision,1057))</f>
        <v/>
      </c>
      <c r="D1062" s="40" t="str">
        <f aca="false">IF(INDEX(BookTitle,1057)="","",INDEX(BookUnit,1057))</f>
        <v/>
      </c>
      <c r="E1062" s="40" t="str">
        <f aca="false">IF(INDEX(BookTitle,1057)="","",INDEX(BookTitle,1057))</f>
        <v/>
      </c>
      <c r="F1062" s="40" t="str">
        <f aca="false">IF(INDEX(BookTitle,1057)="","",INDEX(BookLevel,1057))</f>
        <v/>
      </c>
      <c r="G1062" s="40" t="str">
        <f aca="false">IF(INDEX(BookTitle,1057)="","",INDEX(BookCategory,1057))</f>
        <v/>
      </c>
      <c r="H1062" s="40" t="str">
        <f aca="false">IF(INDEX(BookTitle,1057)="","",INDEX(BookRank,1057))</f>
        <v/>
      </c>
      <c r="I1062" s="41" t="str">
        <f aca="false">IF(INDEX(BookTitle,1057)="","",INDEX(BookTotal,1057))</f>
        <v/>
      </c>
      <c r="J1062" s="0" t="str">
        <f aca="false">IF($I1062="","",IF(INDEX(BookQ1,1057)&gt;0,"Q1",IF(INDEX(BookQ2,1057)&gt;0,"Q2",IF(INDEX(BookQ3,1057)&gt;0,"Q3",IF(INDEX(BookQ4,1057)&gt;0,"Q4","")))))</f>
        <v/>
      </c>
      <c r="K1062" s="42" t="str">
        <f aca="false">IF(INDEX(BookTitle,1057)="","",INDEX(BookInYear,1057))</f>
        <v/>
      </c>
      <c r="L1062" s="19"/>
      <c r="M1062" s="39"/>
      <c r="N1062" s="19"/>
      <c r="O1062" s="19"/>
      <c r="P1062" s="43" t="str">
        <f aca="false">IF($E1062="","",IF($L1062="Decline",0,IF($L1062="Approve fewer",IF($M1062="","",$M1062),IF($L1062="","",$I1062))))</f>
        <v/>
      </c>
      <c r="Q1062" s="34" t="str">
        <f aca="false">IF($P1062="","",IF($N1062&lt;&gt;"",$N1062,$J1062))</f>
        <v/>
      </c>
      <c r="R1062" s="35" t="str">
        <f aca="false">IF(OR($P1062="",$Q1062=""),"",INDEX(BookRate,1057)*$P1062*(5-MATCH($Q1062,{"Q1";"Q2";"Q3";"Q4"},0))/4+INDEX(BookOneOff,1057)*$P1062)</f>
        <v/>
      </c>
      <c r="S1062" s="35" t="str">
        <f aca="false">IF($P1062="","",INDEX(BookRate,1057)*$P1062)</f>
        <v/>
      </c>
      <c r="T1062" s="35" t="str">
        <f aca="false">IF($R1062="","",$R1062-$K1062)</f>
        <v/>
      </c>
      <c r="U1062" s="35" t="str">
        <f aca="false">IF(N($P1062)&lt;=0,"",COUNTIF($P$6:$P1062,"&gt;0"))</f>
        <v/>
      </c>
    </row>
    <row r="1063" customFormat="false" ht="15" hidden="false" customHeight="false" outlineLevel="0" collapsed="false">
      <c r="A1063" s="40" t="str">
        <f aca="false">IF(INDEX(BookTitle,1058)="","",INDEX(BookGroup,1058))</f>
        <v/>
      </c>
      <c r="B1063" s="40" t="str">
        <f aca="false">IF(INDEX(BookTitle,1058)="","",INDEX(BookRef,1058))</f>
        <v/>
      </c>
      <c r="C1063" s="40" t="str">
        <f aca="false">IF(INDEX(BookTitle,1058)="","",INDEX(BookDivision,1058))</f>
        <v/>
      </c>
      <c r="D1063" s="40" t="str">
        <f aca="false">IF(INDEX(BookTitle,1058)="","",INDEX(BookUnit,1058))</f>
        <v/>
      </c>
      <c r="E1063" s="40" t="str">
        <f aca="false">IF(INDEX(BookTitle,1058)="","",INDEX(BookTitle,1058))</f>
        <v/>
      </c>
      <c r="F1063" s="40" t="str">
        <f aca="false">IF(INDEX(BookTitle,1058)="","",INDEX(BookLevel,1058))</f>
        <v/>
      </c>
      <c r="G1063" s="40" t="str">
        <f aca="false">IF(INDEX(BookTitle,1058)="","",INDEX(BookCategory,1058))</f>
        <v/>
      </c>
      <c r="H1063" s="40" t="str">
        <f aca="false">IF(INDEX(BookTitle,1058)="","",INDEX(BookRank,1058))</f>
        <v/>
      </c>
      <c r="I1063" s="41" t="str">
        <f aca="false">IF(INDEX(BookTitle,1058)="","",INDEX(BookTotal,1058))</f>
        <v/>
      </c>
      <c r="J1063" s="0" t="str">
        <f aca="false">IF($I1063="","",IF(INDEX(BookQ1,1058)&gt;0,"Q1",IF(INDEX(BookQ2,1058)&gt;0,"Q2",IF(INDEX(BookQ3,1058)&gt;0,"Q3",IF(INDEX(BookQ4,1058)&gt;0,"Q4","")))))</f>
        <v/>
      </c>
      <c r="K1063" s="42" t="str">
        <f aca="false">IF(INDEX(BookTitle,1058)="","",INDEX(BookInYear,1058))</f>
        <v/>
      </c>
      <c r="L1063" s="19"/>
      <c r="M1063" s="39"/>
      <c r="N1063" s="19"/>
      <c r="O1063" s="19"/>
      <c r="P1063" s="43" t="str">
        <f aca="false">IF($E1063="","",IF($L1063="Decline",0,IF($L1063="Approve fewer",IF($M1063="","",$M1063),IF($L1063="","",$I1063))))</f>
        <v/>
      </c>
      <c r="Q1063" s="34" t="str">
        <f aca="false">IF($P1063="","",IF($N1063&lt;&gt;"",$N1063,$J1063))</f>
        <v/>
      </c>
      <c r="R1063" s="35" t="str">
        <f aca="false">IF(OR($P1063="",$Q1063=""),"",INDEX(BookRate,1058)*$P1063*(5-MATCH($Q1063,{"Q1";"Q2";"Q3";"Q4"},0))/4+INDEX(BookOneOff,1058)*$P1063)</f>
        <v/>
      </c>
      <c r="S1063" s="35" t="str">
        <f aca="false">IF($P1063="","",INDEX(BookRate,1058)*$P1063)</f>
        <v/>
      </c>
      <c r="T1063" s="35" t="str">
        <f aca="false">IF($R1063="","",$R1063-$K1063)</f>
        <v/>
      </c>
      <c r="U1063" s="35" t="str">
        <f aca="false">IF(N($P1063)&lt;=0,"",COUNTIF($P$6:$P1063,"&gt;0"))</f>
        <v/>
      </c>
    </row>
    <row r="1064" customFormat="false" ht="15" hidden="false" customHeight="false" outlineLevel="0" collapsed="false">
      <c r="A1064" s="40" t="str">
        <f aca="false">IF(INDEX(BookTitle,1059)="","",INDEX(BookGroup,1059))</f>
        <v/>
      </c>
      <c r="B1064" s="40" t="str">
        <f aca="false">IF(INDEX(BookTitle,1059)="","",INDEX(BookRef,1059))</f>
        <v/>
      </c>
      <c r="C1064" s="40" t="str">
        <f aca="false">IF(INDEX(BookTitle,1059)="","",INDEX(BookDivision,1059))</f>
        <v/>
      </c>
      <c r="D1064" s="40" t="str">
        <f aca="false">IF(INDEX(BookTitle,1059)="","",INDEX(BookUnit,1059))</f>
        <v/>
      </c>
      <c r="E1064" s="40" t="str">
        <f aca="false">IF(INDEX(BookTitle,1059)="","",INDEX(BookTitle,1059))</f>
        <v/>
      </c>
      <c r="F1064" s="40" t="str">
        <f aca="false">IF(INDEX(BookTitle,1059)="","",INDEX(BookLevel,1059))</f>
        <v/>
      </c>
      <c r="G1064" s="40" t="str">
        <f aca="false">IF(INDEX(BookTitle,1059)="","",INDEX(BookCategory,1059))</f>
        <v/>
      </c>
      <c r="H1064" s="40" t="str">
        <f aca="false">IF(INDEX(BookTitle,1059)="","",INDEX(BookRank,1059))</f>
        <v/>
      </c>
      <c r="I1064" s="41" t="str">
        <f aca="false">IF(INDEX(BookTitle,1059)="","",INDEX(BookTotal,1059))</f>
        <v/>
      </c>
      <c r="J1064" s="0" t="str">
        <f aca="false">IF($I1064="","",IF(INDEX(BookQ1,1059)&gt;0,"Q1",IF(INDEX(BookQ2,1059)&gt;0,"Q2",IF(INDEX(BookQ3,1059)&gt;0,"Q3",IF(INDEX(BookQ4,1059)&gt;0,"Q4","")))))</f>
        <v/>
      </c>
      <c r="K1064" s="42" t="str">
        <f aca="false">IF(INDEX(BookTitle,1059)="","",INDEX(BookInYear,1059))</f>
        <v/>
      </c>
      <c r="L1064" s="19"/>
      <c r="M1064" s="39"/>
      <c r="N1064" s="19"/>
      <c r="O1064" s="19"/>
      <c r="P1064" s="43" t="str">
        <f aca="false">IF($E1064="","",IF($L1064="Decline",0,IF($L1064="Approve fewer",IF($M1064="","",$M1064),IF($L1064="","",$I1064))))</f>
        <v/>
      </c>
      <c r="Q1064" s="34" t="str">
        <f aca="false">IF($P1064="","",IF($N1064&lt;&gt;"",$N1064,$J1064))</f>
        <v/>
      </c>
      <c r="R1064" s="35" t="str">
        <f aca="false">IF(OR($P1064="",$Q1064=""),"",INDEX(BookRate,1059)*$P1064*(5-MATCH($Q1064,{"Q1";"Q2";"Q3";"Q4"},0))/4+INDEX(BookOneOff,1059)*$P1064)</f>
        <v/>
      </c>
      <c r="S1064" s="35" t="str">
        <f aca="false">IF($P1064="","",INDEX(BookRate,1059)*$P1064)</f>
        <v/>
      </c>
      <c r="T1064" s="35" t="str">
        <f aca="false">IF($R1064="","",$R1064-$K1064)</f>
        <v/>
      </c>
      <c r="U1064" s="35" t="str">
        <f aca="false">IF(N($P1064)&lt;=0,"",COUNTIF($P$6:$P1064,"&gt;0"))</f>
        <v/>
      </c>
    </row>
    <row r="1065" customFormat="false" ht="15" hidden="false" customHeight="false" outlineLevel="0" collapsed="false">
      <c r="A1065" s="40" t="str">
        <f aca="false">IF(INDEX(BookTitle,1060)="","",INDEX(BookGroup,1060))</f>
        <v/>
      </c>
      <c r="B1065" s="40" t="str">
        <f aca="false">IF(INDEX(BookTitle,1060)="","",INDEX(BookRef,1060))</f>
        <v/>
      </c>
      <c r="C1065" s="40" t="str">
        <f aca="false">IF(INDEX(BookTitle,1060)="","",INDEX(BookDivision,1060))</f>
        <v/>
      </c>
      <c r="D1065" s="40" t="str">
        <f aca="false">IF(INDEX(BookTitle,1060)="","",INDEX(BookUnit,1060))</f>
        <v/>
      </c>
      <c r="E1065" s="40" t="str">
        <f aca="false">IF(INDEX(BookTitle,1060)="","",INDEX(BookTitle,1060))</f>
        <v/>
      </c>
      <c r="F1065" s="40" t="str">
        <f aca="false">IF(INDEX(BookTitle,1060)="","",INDEX(BookLevel,1060))</f>
        <v/>
      </c>
      <c r="G1065" s="40" t="str">
        <f aca="false">IF(INDEX(BookTitle,1060)="","",INDEX(BookCategory,1060))</f>
        <v/>
      </c>
      <c r="H1065" s="40" t="str">
        <f aca="false">IF(INDEX(BookTitle,1060)="","",INDEX(BookRank,1060))</f>
        <v/>
      </c>
      <c r="I1065" s="41" t="str">
        <f aca="false">IF(INDEX(BookTitle,1060)="","",INDEX(BookTotal,1060))</f>
        <v/>
      </c>
      <c r="J1065" s="0" t="str">
        <f aca="false">IF($I1065="","",IF(INDEX(BookQ1,1060)&gt;0,"Q1",IF(INDEX(BookQ2,1060)&gt;0,"Q2",IF(INDEX(BookQ3,1060)&gt;0,"Q3",IF(INDEX(BookQ4,1060)&gt;0,"Q4","")))))</f>
        <v/>
      </c>
      <c r="K1065" s="42" t="str">
        <f aca="false">IF(INDEX(BookTitle,1060)="","",INDEX(BookInYear,1060))</f>
        <v/>
      </c>
      <c r="L1065" s="19"/>
      <c r="M1065" s="39"/>
      <c r="N1065" s="19"/>
      <c r="O1065" s="19"/>
      <c r="P1065" s="43" t="str">
        <f aca="false">IF($E1065="","",IF($L1065="Decline",0,IF($L1065="Approve fewer",IF($M1065="","",$M1065),IF($L1065="","",$I1065))))</f>
        <v/>
      </c>
      <c r="Q1065" s="34" t="str">
        <f aca="false">IF($P1065="","",IF($N1065&lt;&gt;"",$N1065,$J1065))</f>
        <v/>
      </c>
      <c r="R1065" s="35" t="str">
        <f aca="false">IF(OR($P1065="",$Q1065=""),"",INDEX(BookRate,1060)*$P1065*(5-MATCH($Q1065,{"Q1";"Q2";"Q3";"Q4"},0))/4+INDEX(BookOneOff,1060)*$P1065)</f>
        <v/>
      </c>
      <c r="S1065" s="35" t="str">
        <f aca="false">IF($P1065="","",INDEX(BookRate,1060)*$P1065)</f>
        <v/>
      </c>
      <c r="T1065" s="35" t="str">
        <f aca="false">IF($R1065="","",$R1065-$K1065)</f>
        <v/>
      </c>
      <c r="U1065" s="35" t="str">
        <f aca="false">IF(N($P1065)&lt;=0,"",COUNTIF($P$6:$P1065,"&gt;0"))</f>
        <v/>
      </c>
    </row>
    <row r="1066" customFormat="false" ht="15" hidden="false" customHeight="false" outlineLevel="0" collapsed="false">
      <c r="A1066" s="40" t="str">
        <f aca="false">IF(INDEX(BookTitle,1061)="","",INDEX(BookGroup,1061))</f>
        <v/>
      </c>
      <c r="B1066" s="40" t="str">
        <f aca="false">IF(INDEX(BookTitle,1061)="","",INDEX(BookRef,1061))</f>
        <v/>
      </c>
      <c r="C1066" s="40" t="str">
        <f aca="false">IF(INDEX(BookTitle,1061)="","",INDEX(BookDivision,1061))</f>
        <v/>
      </c>
      <c r="D1066" s="40" t="str">
        <f aca="false">IF(INDEX(BookTitle,1061)="","",INDEX(BookUnit,1061))</f>
        <v/>
      </c>
      <c r="E1066" s="40" t="str">
        <f aca="false">IF(INDEX(BookTitle,1061)="","",INDEX(BookTitle,1061))</f>
        <v/>
      </c>
      <c r="F1066" s="40" t="str">
        <f aca="false">IF(INDEX(BookTitle,1061)="","",INDEX(BookLevel,1061))</f>
        <v/>
      </c>
      <c r="G1066" s="40" t="str">
        <f aca="false">IF(INDEX(BookTitle,1061)="","",INDEX(BookCategory,1061))</f>
        <v/>
      </c>
      <c r="H1066" s="40" t="str">
        <f aca="false">IF(INDEX(BookTitle,1061)="","",INDEX(BookRank,1061))</f>
        <v/>
      </c>
      <c r="I1066" s="41" t="str">
        <f aca="false">IF(INDEX(BookTitle,1061)="","",INDEX(BookTotal,1061))</f>
        <v/>
      </c>
      <c r="J1066" s="0" t="str">
        <f aca="false">IF($I1066="","",IF(INDEX(BookQ1,1061)&gt;0,"Q1",IF(INDEX(BookQ2,1061)&gt;0,"Q2",IF(INDEX(BookQ3,1061)&gt;0,"Q3",IF(INDEX(BookQ4,1061)&gt;0,"Q4","")))))</f>
        <v/>
      </c>
      <c r="K1066" s="42" t="str">
        <f aca="false">IF(INDEX(BookTitle,1061)="","",INDEX(BookInYear,1061))</f>
        <v/>
      </c>
      <c r="L1066" s="19"/>
      <c r="M1066" s="39"/>
      <c r="N1066" s="19"/>
      <c r="O1066" s="19"/>
      <c r="P1066" s="43" t="str">
        <f aca="false">IF($E1066="","",IF($L1066="Decline",0,IF($L1066="Approve fewer",IF($M1066="","",$M1066),IF($L1066="","",$I1066))))</f>
        <v/>
      </c>
      <c r="Q1066" s="34" t="str">
        <f aca="false">IF($P1066="","",IF($N1066&lt;&gt;"",$N1066,$J1066))</f>
        <v/>
      </c>
      <c r="R1066" s="35" t="str">
        <f aca="false">IF(OR($P1066="",$Q1066=""),"",INDEX(BookRate,1061)*$P1066*(5-MATCH($Q1066,{"Q1";"Q2";"Q3";"Q4"},0))/4+INDEX(BookOneOff,1061)*$P1066)</f>
        <v/>
      </c>
      <c r="S1066" s="35" t="str">
        <f aca="false">IF($P1066="","",INDEX(BookRate,1061)*$P1066)</f>
        <v/>
      </c>
      <c r="T1066" s="35" t="str">
        <f aca="false">IF($R1066="","",$R1066-$K1066)</f>
        <v/>
      </c>
      <c r="U1066" s="35" t="str">
        <f aca="false">IF(N($P1066)&lt;=0,"",COUNTIF($P$6:$P1066,"&gt;0"))</f>
        <v/>
      </c>
    </row>
    <row r="1067" customFormat="false" ht="15" hidden="false" customHeight="false" outlineLevel="0" collapsed="false">
      <c r="A1067" s="40" t="str">
        <f aca="false">IF(INDEX(BookTitle,1062)="","",INDEX(BookGroup,1062))</f>
        <v/>
      </c>
      <c r="B1067" s="40" t="str">
        <f aca="false">IF(INDEX(BookTitle,1062)="","",INDEX(BookRef,1062))</f>
        <v/>
      </c>
      <c r="C1067" s="40" t="str">
        <f aca="false">IF(INDEX(BookTitle,1062)="","",INDEX(BookDivision,1062))</f>
        <v/>
      </c>
      <c r="D1067" s="40" t="str">
        <f aca="false">IF(INDEX(BookTitle,1062)="","",INDEX(BookUnit,1062))</f>
        <v/>
      </c>
      <c r="E1067" s="40" t="str">
        <f aca="false">IF(INDEX(BookTitle,1062)="","",INDEX(BookTitle,1062))</f>
        <v/>
      </c>
      <c r="F1067" s="40" t="str">
        <f aca="false">IF(INDEX(BookTitle,1062)="","",INDEX(BookLevel,1062))</f>
        <v/>
      </c>
      <c r="G1067" s="40" t="str">
        <f aca="false">IF(INDEX(BookTitle,1062)="","",INDEX(BookCategory,1062))</f>
        <v/>
      </c>
      <c r="H1067" s="40" t="str">
        <f aca="false">IF(INDEX(BookTitle,1062)="","",INDEX(BookRank,1062))</f>
        <v/>
      </c>
      <c r="I1067" s="41" t="str">
        <f aca="false">IF(INDEX(BookTitle,1062)="","",INDEX(BookTotal,1062))</f>
        <v/>
      </c>
      <c r="J1067" s="0" t="str">
        <f aca="false">IF($I1067="","",IF(INDEX(BookQ1,1062)&gt;0,"Q1",IF(INDEX(BookQ2,1062)&gt;0,"Q2",IF(INDEX(BookQ3,1062)&gt;0,"Q3",IF(INDEX(BookQ4,1062)&gt;0,"Q4","")))))</f>
        <v/>
      </c>
      <c r="K1067" s="42" t="str">
        <f aca="false">IF(INDEX(BookTitle,1062)="","",INDEX(BookInYear,1062))</f>
        <v/>
      </c>
      <c r="L1067" s="19"/>
      <c r="M1067" s="39"/>
      <c r="N1067" s="19"/>
      <c r="O1067" s="19"/>
      <c r="P1067" s="43" t="str">
        <f aca="false">IF($E1067="","",IF($L1067="Decline",0,IF($L1067="Approve fewer",IF($M1067="","",$M1067),IF($L1067="","",$I1067))))</f>
        <v/>
      </c>
      <c r="Q1067" s="34" t="str">
        <f aca="false">IF($P1067="","",IF($N1067&lt;&gt;"",$N1067,$J1067))</f>
        <v/>
      </c>
      <c r="R1067" s="35" t="str">
        <f aca="false">IF(OR($P1067="",$Q1067=""),"",INDEX(BookRate,1062)*$P1067*(5-MATCH($Q1067,{"Q1";"Q2";"Q3";"Q4"},0))/4+INDEX(BookOneOff,1062)*$P1067)</f>
        <v/>
      </c>
      <c r="S1067" s="35" t="str">
        <f aca="false">IF($P1067="","",INDEX(BookRate,1062)*$P1067)</f>
        <v/>
      </c>
      <c r="T1067" s="35" t="str">
        <f aca="false">IF($R1067="","",$R1067-$K1067)</f>
        <v/>
      </c>
      <c r="U1067" s="35" t="str">
        <f aca="false">IF(N($P1067)&lt;=0,"",COUNTIF($P$6:$P1067,"&gt;0"))</f>
        <v/>
      </c>
    </row>
    <row r="1068" customFormat="false" ht="15" hidden="false" customHeight="false" outlineLevel="0" collapsed="false">
      <c r="A1068" s="40" t="str">
        <f aca="false">IF(INDEX(BookTitle,1063)="","",INDEX(BookGroup,1063))</f>
        <v/>
      </c>
      <c r="B1068" s="40" t="str">
        <f aca="false">IF(INDEX(BookTitle,1063)="","",INDEX(BookRef,1063))</f>
        <v/>
      </c>
      <c r="C1068" s="40" t="str">
        <f aca="false">IF(INDEX(BookTitle,1063)="","",INDEX(BookDivision,1063))</f>
        <v/>
      </c>
      <c r="D1068" s="40" t="str">
        <f aca="false">IF(INDEX(BookTitle,1063)="","",INDEX(BookUnit,1063))</f>
        <v/>
      </c>
      <c r="E1068" s="40" t="str">
        <f aca="false">IF(INDEX(BookTitle,1063)="","",INDEX(BookTitle,1063))</f>
        <v/>
      </c>
      <c r="F1068" s="40" t="str">
        <f aca="false">IF(INDEX(BookTitle,1063)="","",INDEX(BookLevel,1063))</f>
        <v/>
      </c>
      <c r="G1068" s="40" t="str">
        <f aca="false">IF(INDEX(BookTitle,1063)="","",INDEX(BookCategory,1063))</f>
        <v/>
      </c>
      <c r="H1068" s="40" t="str">
        <f aca="false">IF(INDEX(BookTitle,1063)="","",INDEX(BookRank,1063))</f>
        <v/>
      </c>
      <c r="I1068" s="41" t="str">
        <f aca="false">IF(INDEX(BookTitle,1063)="","",INDEX(BookTotal,1063))</f>
        <v/>
      </c>
      <c r="J1068" s="0" t="str">
        <f aca="false">IF($I1068="","",IF(INDEX(BookQ1,1063)&gt;0,"Q1",IF(INDEX(BookQ2,1063)&gt;0,"Q2",IF(INDEX(BookQ3,1063)&gt;0,"Q3",IF(INDEX(BookQ4,1063)&gt;0,"Q4","")))))</f>
        <v/>
      </c>
      <c r="K1068" s="42" t="str">
        <f aca="false">IF(INDEX(BookTitle,1063)="","",INDEX(BookInYear,1063))</f>
        <v/>
      </c>
      <c r="L1068" s="19"/>
      <c r="M1068" s="39"/>
      <c r="N1068" s="19"/>
      <c r="O1068" s="19"/>
      <c r="P1068" s="43" t="str">
        <f aca="false">IF($E1068="","",IF($L1068="Decline",0,IF($L1068="Approve fewer",IF($M1068="","",$M1068),IF($L1068="","",$I1068))))</f>
        <v/>
      </c>
      <c r="Q1068" s="34" t="str">
        <f aca="false">IF($P1068="","",IF($N1068&lt;&gt;"",$N1068,$J1068))</f>
        <v/>
      </c>
      <c r="R1068" s="35" t="str">
        <f aca="false">IF(OR($P1068="",$Q1068=""),"",INDEX(BookRate,1063)*$P1068*(5-MATCH($Q1068,{"Q1";"Q2";"Q3";"Q4"},0))/4+INDEX(BookOneOff,1063)*$P1068)</f>
        <v/>
      </c>
      <c r="S1068" s="35" t="str">
        <f aca="false">IF($P1068="","",INDEX(BookRate,1063)*$P1068)</f>
        <v/>
      </c>
      <c r="T1068" s="35" t="str">
        <f aca="false">IF($R1068="","",$R1068-$K1068)</f>
        <v/>
      </c>
      <c r="U1068" s="35" t="str">
        <f aca="false">IF(N($P1068)&lt;=0,"",COUNTIF($P$6:$P1068,"&gt;0"))</f>
        <v/>
      </c>
    </row>
    <row r="1069" customFormat="false" ht="15" hidden="false" customHeight="false" outlineLevel="0" collapsed="false">
      <c r="A1069" s="40" t="str">
        <f aca="false">IF(INDEX(BookTitle,1064)="","",INDEX(BookGroup,1064))</f>
        <v/>
      </c>
      <c r="B1069" s="40" t="str">
        <f aca="false">IF(INDEX(BookTitle,1064)="","",INDEX(BookRef,1064))</f>
        <v/>
      </c>
      <c r="C1069" s="40" t="str">
        <f aca="false">IF(INDEX(BookTitle,1064)="","",INDEX(BookDivision,1064))</f>
        <v/>
      </c>
      <c r="D1069" s="40" t="str">
        <f aca="false">IF(INDEX(BookTitle,1064)="","",INDEX(BookUnit,1064))</f>
        <v/>
      </c>
      <c r="E1069" s="40" t="str">
        <f aca="false">IF(INDEX(BookTitle,1064)="","",INDEX(BookTitle,1064))</f>
        <v/>
      </c>
      <c r="F1069" s="40" t="str">
        <f aca="false">IF(INDEX(BookTitle,1064)="","",INDEX(BookLevel,1064))</f>
        <v/>
      </c>
      <c r="G1069" s="40" t="str">
        <f aca="false">IF(INDEX(BookTitle,1064)="","",INDEX(BookCategory,1064))</f>
        <v/>
      </c>
      <c r="H1069" s="40" t="str">
        <f aca="false">IF(INDEX(BookTitle,1064)="","",INDEX(BookRank,1064))</f>
        <v/>
      </c>
      <c r="I1069" s="41" t="str">
        <f aca="false">IF(INDEX(BookTitle,1064)="","",INDEX(BookTotal,1064))</f>
        <v/>
      </c>
      <c r="J1069" s="0" t="str">
        <f aca="false">IF($I1069="","",IF(INDEX(BookQ1,1064)&gt;0,"Q1",IF(INDEX(BookQ2,1064)&gt;0,"Q2",IF(INDEX(BookQ3,1064)&gt;0,"Q3",IF(INDEX(BookQ4,1064)&gt;0,"Q4","")))))</f>
        <v/>
      </c>
      <c r="K1069" s="42" t="str">
        <f aca="false">IF(INDEX(BookTitle,1064)="","",INDEX(BookInYear,1064))</f>
        <v/>
      </c>
      <c r="L1069" s="19"/>
      <c r="M1069" s="39"/>
      <c r="N1069" s="19"/>
      <c r="O1069" s="19"/>
      <c r="P1069" s="43" t="str">
        <f aca="false">IF($E1069="","",IF($L1069="Decline",0,IF($L1069="Approve fewer",IF($M1069="","",$M1069),IF($L1069="","",$I1069))))</f>
        <v/>
      </c>
      <c r="Q1069" s="34" t="str">
        <f aca="false">IF($P1069="","",IF($N1069&lt;&gt;"",$N1069,$J1069))</f>
        <v/>
      </c>
      <c r="R1069" s="35" t="str">
        <f aca="false">IF(OR($P1069="",$Q1069=""),"",INDEX(BookRate,1064)*$P1069*(5-MATCH($Q1069,{"Q1";"Q2";"Q3";"Q4"},0))/4+INDEX(BookOneOff,1064)*$P1069)</f>
        <v/>
      </c>
      <c r="S1069" s="35" t="str">
        <f aca="false">IF($P1069="","",INDEX(BookRate,1064)*$P1069)</f>
        <v/>
      </c>
      <c r="T1069" s="35" t="str">
        <f aca="false">IF($R1069="","",$R1069-$K1069)</f>
        <v/>
      </c>
      <c r="U1069" s="35" t="str">
        <f aca="false">IF(N($P1069)&lt;=0,"",COUNTIF($P$6:$P1069,"&gt;0"))</f>
        <v/>
      </c>
    </row>
    <row r="1070" customFormat="false" ht="15" hidden="false" customHeight="false" outlineLevel="0" collapsed="false">
      <c r="A1070" s="40" t="str">
        <f aca="false">IF(INDEX(BookTitle,1065)="","",INDEX(BookGroup,1065))</f>
        <v/>
      </c>
      <c r="B1070" s="40" t="str">
        <f aca="false">IF(INDEX(BookTitle,1065)="","",INDEX(BookRef,1065))</f>
        <v/>
      </c>
      <c r="C1070" s="40" t="str">
        <f aca="false">IF(INDEX(BookTitle,1065)="","",INDEX(BookDivision,1065))</f>
        <v/>
      </c>
      <c r="D1070" s="40" t="str">
        <f aca="false">IF(INDEX(BookTitle,1065)="","",INDEX(BookUnit,1065))</f>
        <v/>
      </c>
      <c r="E1070" s="40" t="str">
        <f aca="false">IF(INDEX(BookTitle,1065)="","",INDEX(BookTitle,1065))</f>
        <v/>
      </c>
      <c r="F1070" s="40" t="str">
        <f aca="false">IF(INDEX(BookTitle,1065)="","",INDEX(BookLevel,1065))</f>
        <v/>
      </c>
      <c r="G1070" s="40" t="str">
        <f aca="false">IF(INDEX(BookTitle,1065)="","",INDEX(BookCategory,1065))</f>
        <v/>
      </c>
      <c r="H1070" s="40" t="str">
        <f aca="false">IF(INDEX(BookTitle,1065)="","",INDEX(BookRank,1065))</f>
        <v/>
      </c>
      <c r="I1070" s="41" t="str">
        <f aca="false">IF(INDEX(BookTitle,1065)="","",INDEX(BookTotal,1065))</f>
        <v/>
      </c>
      <c r="J1070" s="0" t="str">
        <f aca="false">IF($I1070="","",IF(INDEX(BookQ1,1065)&gt;0,"Q1",IF(INDEX(BookQ2,1065)&gt;0,"Q2",IF(INDEX(BookQ3,1065)&gt;0,"Q3",IF(INDEX(BookQ4,1065)&gt;0,"Q4","")))))</f>
        <v/>
      </c>
      <c r="K1070" s="42" t="str">
        <f aca="false">IF(INDEX(BookTitle,1065)="","",INDEX(BookInYear,1065))</f>
        <v/>
      </c>
      <c r="L1070" s="19"/>
      <c r="M1070" s="39"/>
      <c r="N1070" s="19"/>
      <c r="O1070" s="19"/>
      <c r="P1070" s="43" t="str">
        <f aca="false">IF($E1070="","",IF($L1070="Decline",0,IF($L1070="Approve fewer",IF($M1070="","",$M1070),IF($L1070="","",$I1070))))</f>
        <v/>
      </c>
      <c r="Q1070" s="34" t="str">
        <f aca="false">IF($P1070="","",IF($N1070&lt;&gt;"",$N1070,$J1070))</f>
        <v/>
      </c>
      <c r="R1070" s="35" t="str">
        <f aca="false">IF(OR($P1070="",$Q1070=""),"",INDEX(BookRate,1065)*$P1070*(5-MATCH($Q1070,{"Q1";"Q2";"Q3";"Q4"},0))/4+INDEX(BookOneOff,1065)*$P1070)</f>
        <v/>
      </c>
      <c r="S1070" s="35" t="str">
        <f aca="false">IF($P1070="","",INDEX(BookRate,1065)*$P1070)</f>
        <v/>
      </c>
      <c r="T1070" s="35" t="str">
        <f aca="false">IF($R1070="","",$R1070-$K1070)</f>
        <v/>
      </c>
      <c r="U1070" s="35" t="str">
        <f aca="false">IF(N($P1070)&lt;=0,"",COUNTIF($P$6:$P1070,"&gt;0"))</f>
        <v/>
      </c>
    </row>
    <row r="1071" customFormat="false" ht="15" hidden="false" customHeight="false" outlineLevel="0" collapsed="false">
      <c r="A1071" s="40" t="str">
        <f aca="false">IF(INDEX(BookTitle,1066)="","",INDEX(BookGroup,1066))</f>
        <v/>
      </c>
      <c r="B1071" s="40" t="str">
        <f aca="false">IF(INDEX(BookTitle,1066)="","",INDEX(BookRef,1066))</f>
        <v/>
      </c>
      <c r="C1071" s="40" t="str">
        <f aca="false">IF(INDEX(BookTitle,1066)="","",INDEX(BookDivision,1066))</f>
        <v/>
      </c>
      <c r="D1071" s="40" t="str">
        <f aca="false">IF(INDEX(BookTitle,1066)="","",INDEX(BookUnit,1066))</f>
        <v/>
      </c>
      <c r="E1071" s="40" t="str">
        <f aca="false">IF(INDEX(BookTitle,1066)="","",INDEX(BookTitle,1066))</f>
        <v/>
      </c>
      <c r="F1071" s="40" t="str">
        <f aca="false">IF(INDEX(BookTitle,1066)="","",INDEX(BookLevel,1066))</f>
        <v/>
      </c>
      <c r="G1071" s="40" t="str">
        <f aca="false">IF(INDEX(BookTitle,1066)="","",INDEX(BookCategory,1066))</f>
        <v/>
      </c>
      <c r="H1071" s="40" t="str">
        <f aca="false">IF(INDEX(BookTitle,1066)="","",INDEX(BookRank,1066))</f>
        <v/>
      </c>
      <c r="I1071" s="41" t="str">
        <f aca="false">IF(INDEX(BookTitle,1066)="","",INDEX(BookTotal,1066))</f>
        <v/>
      </c>
      <c r="J1071" s="0" t="str">
        <f aca="false">IF($I1071="","",IF(INDEX(BookQ1,1066)&gt;0,"Q1",IF(INDEX(BookQ2,1066)&gt;0,"Q2",IF(INDEX(BookQ3,1066)&gt;0,"Q3",IF(INDEX(BookQ4,1066)&gt;0,"Q4","")))))</f>
        <v/>
      </c>
      <c r="K1071" s="42" t="str">
        <f aca="false">IF(INDEX(BookTitle,1066)="","",INDEX(BookInYear,1066))</f>
        <v/>
      </c>
      <c r="L1071" s="19"/>
      <c r="M1071" s="39"/>
      <c r="N1071" s="19"/>
      <c r="O1071" s="19"/>
      <c r="P1071" s="43" t="str">
        <f aca="false">IF($E1071="","",IF($L1071="Decline",0,IF($L1071="Approve fewer",IF($M1071="","",$M1071),IF($L1071="","",$I1071))))</f>
        <v/>
      </c>
      <c r="Q1071" s="34" t="str">
        <f aca="false">IF($P1071="","",IF($N1071&lt;&gt;"",$N1071,$J1071))</f>
        <v/>
      </c>
      <c r="R1071" s="35" t="str">
        <f aca="false">IF(OR($P1071="",$Q1071=""),"",INDEX(BookRate,1066)*$P1071*(5-MATCH($Q1071,{"Q1";"Q2";"Q3";"Q4"},0))/4+INDEX(BookOneOff,1066)*$P1071)</f>
        <v/>
      </c>
      <c r="S1071" s="35" t="str">
        <f aca="false">IF($P1071="","",INDEX(BookRate,1066)*$P1071)</f>
        <v/>
      </c>
      <c r="T1071" s="35" t="str">
        <f aca="false">IF($R1071="","",$R1071-$K1071)</f>
        <v/>
      </c>
      <c r="U1071" s="35" t="str">
        <f aca="false">IF(N($P1071)&lt;=0,"",COUNTIF($P$6:$P1071,"&gt;0"))</f>
        <v/>
      </c>
    </row>
    <row r="1072" customFormat="false" ht="15" hidden="false" customHeight="false" outlineLevel="0" collapsed="false">
      <c r="A1072" s="40" t="str">
        <f aca="false">IF(INDEX(BookTitle,1067)="","",INDEX(BookGroup,1067))</f>
        <v/>
      </c>
      <c r="B1072" s="40" t="str">
        <f aca="false">IF(INDEX(BookTitle,1067)="","",INDEX(BookRef,1067))</f>
        <v/>
      </c>
      <c r="C1072" s="40" t="str">
        <f aca="false">IF(INDEX(BookTitle,1067)="","",INDEX(BookDivision,1067))</f>
        <v/>
      </c>
      <c r="D1072" s="40" t="str">
        <f aca="false">IF(INDEX(BookTitle,1067)="","",INDEX(BookUnit,1067))</f>
        <v/>
      </c>
      <c r="E1072" s="40" t="str">
        <f aca="false">IF(INDEX(BookTitle,1067)="","",INDEX(BookTitle,1067))</f>
        <v/>
      </c>
      <c r="F1072" s="40" t="str">
        <f aca="false">IF(INDEX(BookTitle,1067)="","",INDEX(BookLevel,1067))</f>
        <v/>
      </c>
      <c r="G1072" s="40" t="str">
        <f aca="false">IF(INDEX(BookTitle,1067)="","",INDEX(BookCategory,1067))</f>
        <v/>
      </c>
      <c r="H1072" s="40" t="str">
        <f aca="false">IF(INDEX(BookTitle,1067)="","",INDEX(BookRank,1067))</f>
        <v/>
      </c>
      <c r="I1072" s="41" t="str">
        <f aca="false">IF(INDEX(BookTitle,1067)="","",INDEX(BookTotal,1067))</f>
        <v/>
      </c>
      <c r="J1072" s="0" t="str">
        <f aca="false">IF($I1072="","",IF(INDEX(BookQ1,1067)&gt;0,"Q1",IF(INDEX(BookQ2,1067)&gt;0,"Q2",IF(INDEX(BookQ3,1067)&gt;0,"Q3",IF(INDEX(BookQ4,1067)&gt;0,"Q4","")))))</f>
        <v/>
      </c>
      <c r="K1072" s="42" t="str">
        <f aca="false">IF(INDEX(BookTitle,1067)="","",INDEX(BookInYear,1067))</f>
        <v/>
      </c>
      <c r="L1072" s="19"/>
      <c r="M1072" s="39"/>
      <c r="N1072" s="19"/>
      <c r="O1072" s="19"/>
      <c r="P1072" s="43" t="str">
        <f aca="false">IF($E1072="","",IF($L1072="Decline",0,IF($L1072="Approve fewer",IF($M1072="","",$M1072),IF($L1072="","",$I1072))))</f>
        <v/>
      </c>
      <c r="Q1072" s="34" t="str">
        <f aca="false">IF($P1072="","",IF($N1072&lt;&gt;"",$N1072,$J1072))</f>
        <v/>
      </c>
      <c r="R1072" s="35" t="str">
        <f aca="false">IF(OR($P1072="",$Q1072=""),"",INDEX(BookRate,1067)*$P1072*(5-MATCH($Q1072,{"Q1";"Q2";"Q3";"Q4"},0))/4+INDEX(BookOneOff,1067)*$P1072)</f>
        <v/>
      </c>
      <c r="S1072" s="35" t="str">
        <f aca="false">IF($P1072="","",INDEX(BookRate,1067)*$P1072)</f>
        <v/>
      </c>
      <c r="T1072" s="35" t="str">
        <f aca="false">IF($R1072="","",$R1072-$K1072)</f>
        <v/>
      </c>
      <c r="U1072" s="35" t="str">
        <f aca="false">IF(N($P1072)&lt;=0,"",COUNTIF($P$6:$P1072,"&gt;0"))</f>
        <v/>
      </c>
    </row>
    <row r="1073" customFormat="false" ht="15" hidden="false" customHeight="false" outlineLevel="0" collapsed="false">
      <c r="A1073" s="40" t="str">
        <f aca="false">IF(INDEX(BookTitle,1068)="","",INDEX(BookGroup,1068))</f>
        <v/>
      </c>
      <c r="B1073" s="40" t="str">
        <f aca="false">IF(INDEX(BookTitle,1068)="","",INDEX(BookRef,1068))</f>
        <v/>
      </c>
      <c r="C1073" s="40" t="str">
        <f aca="false">IF(INDEX(BookTitle,1068)="","",INDEX(BookDivision,1068))</f>
        <v/>
      </c>
      <c r="D1073" s="40" t="str">
        <f aca="false">IF(INDEX(BookTitle,1068)="","",INDEX(BookUnit,1068))</f>
        <v/>
      </c>
      <c r="E1073" s="40" t="str">
        <f aca="false">IF(INDEX(BookTitle,1068)="","",INDEX(BookTitle,1068))</f>
        <v/>
      </c>
      <c r="F1073" s="40" t="str">
        <f aca="false">IF(INDEX(BookTitle,1068)="","",INDEX(BookLevel,1068))</f>
        <v/>
      </c>
      <c r="G1073" s="40" t="str">
        <f aca="false">IF(INDEX(BookTitle,1068)="","",INDEX(BookCategory,1068))</f>
        <v/>
      </c>
      <c r="H1073" s="40" t="str">
        <f aca="false">IF(INDEX(BookTitle,1068)="","",INDEX(BookRank,1068))</f>
        <v/>
      </c>
      <c r="I1073" s="41" t="str">
        <f aca="false">IF(INDEX(BookTitle,1068)="","",INDEX(BookTotal,1068))</f>
        <v/>
      </c>
      <c r="J1073" s="0" t="str">
        <f aca="false">IF($I1073="","",IF(INDEX(BookQ1,1068)&gt;0,"Q1",IF(INDEX(BookQ2,1068)&gt;0,"Q2",IF(INDEX(BookQ3,1068)&gt;0,"Q3",IF(INDEX(BookQ4,1068)&gt;0,"Q4","")))))</f>
        <v/>
      </c>
      <c r="K1073" s="42" t="str">
        <f aca="false">IF(INDEX(BookTitle,1068)="","",INDEX(BookInYear,1068))</f>
        <v/>
      </c>
      <c r="L1073" s="19"/>
      <c r="M1073" s="39"/>
      <c r="N1073" s="19"/>
      <c r="O1073" s="19"/>
      <c r="P1073" s="43" t="str">
        <f aca="false">IF($E1073="","",IF($L1073="Decline",0,IF($L1073="Approve fewer",IF($M1073="","",$M1073),IF($L1073="","",$I1073))))</f>
        <v/>
      </c>
      <c r="Q1073" s="34" t="str">
        <f aca="false">IF($P1073="","",IF($N1073&lt;&gt;"",$N1073,$J1073))</f>
        <v/>
      </c>
      <c r="R1073" s="35" t="str">
        <f aca="false">IF(OR($P1073="",$Q1073=""),"",INDEX(BookRate,1068)*$P1073*(5-MATCH($Q1073,{"Q1";"Q2";"Q3";"Q4"},0))/4+INDEX(BookOneOff,1068)*$P1073)</f>
        <v/>
      </c>
      <c r="S1073" s="35" t="str">
        <f aca="false">IF($P1073="","",INDEX(BookRate,1068)*$P1073)</f>
        <v/>
      </c>
      <c r="T1073" s="35" t="str">
        <f aca="false">IF($R1073="","",$R1073-$K1073)</f>
        <v/>
      </c>
      <c r="U1073" s="35" t="str">
        <f aca="false">IF(N($P1073)&lt;=0,"",COUNTIF($P$6:$P1073,"&gt;0"))</f>
        <v/>
      </c>
    </row>
    <row r="1074" customFormat="false" ht="15" hidden="false" customHeight="false" outlineLevel="0" collapsed="false">
      <c r="A1074" s="40" t="str">
        <f aca="false">IF(INDEX(BookTitle,1069)="","",INDEX(BookGroup,1069))</f>
        <v/>
      </c>
      <c r="B1074" s="40" t="str">
        <f aca="false">IF(INDEX(BookTitle,1069)="","",INDEX(BookRef,1069))</f>
        <v/>
      </c>
      <c r="C1074" s="40" t="str">
        <f aca="false">IF(INDEX(BookTitle,1069)="","",INDEX(BookDivision,1069))</f>
        <v/>
      </c>
      <c r="D1074" s="40" t="str">
        <f aca="false">IF(INDEX(BookTitle,1069)="","",INDEX(BookUnit,1069))</f>
        <v/>
      </c>
      <c r="E1074" s="40" t="str">
        <f aca="false">IF(INDEX(BookTitle,1069)="","",INDEX(BookTitle,1069))</f>
        <v/>
      </c>
      <c r="F1074" s="40" t="str">
        <f aca="false">IF(INDEX(BookTitle,1069)="","",INDEX(BookLevel,1069))</f>
        <v/>
      </c>
      <c r="G1074" s="40" t="str">
        <f aca="false">IF(INDEX(BookTitle,1069)="","",INDEX(BookCategory,1069))</f>
        <v/>
      </c>
      <c r="H1074" s="40" t="str">
        <f aca="false">IF(INDEX(BookTitle,1069)="","",INDEX(BookRank,1069))</f>
        <v/>
      </c>
      <c r="I1074" s="41" t="str">
        <f aca="false">IF(INDEX(BookTitle,1069)="","",INDEX(BookTotal,1069))</f>
        <v/>
      </c>
      <c r="J1074" s="0" t="str">
        <f aca="false">IF($I1074="","",IF(INDEX(BookQ1,1069)&gt;0,"Q1",IF(INDEX(BookQ2,1069)&gt;0,"Q2",IF(INDEX(BookQ3,1069)&gt;0,"Q3",IF(INDEX(BookQ4,1069)&gt;0,"Q4","")))))</f>
        <v/>
      </c>
      <c r="K1074" s="42" t="str">
        <f aca="false">IF(INDEX(BookTitle,1069)="","",INDEX(BookInYear,1069))</f>
        <v/>
      </c>
      <c r="L1074" s="19"/>
      <c r="M1074" s="39"/>
      <c r="N1074" s="19"/>
      <c r="O1074" s="19"/>
      <c r="P1074" s="43" t="str">
        <f aca="false">IF($E1074="","",IF($L1074="Decline",0,IF($L1074="Approve fewer",IF($M1074="","",$M1074),IF($L1074="","",$I1074))))</f>
        <v/>
      </c>
      <c r="Q1074" s="34" t="str">
        <f aca="false">IF($P1074="","",IF($N1074&lt;&gt;"",$N1074,$J1074))</f>
        <v/>
      </c>
      <c r="R1074" s="35" t="str">
        <f aca="false">IF(OR($P1074="",$Q1074=""),"",INDEX(BookRate,1069)*$P1074*(5-MATCH($Q1074,{"Q1";"Q2";"Q3";"Q4"},0))/4+INDEX(BookOneOff,1069)*$P1074)</f>
        <v/>
      </c>
      <c r="S1074" s="35" t="str">
        <f aca="false">IF($P1074="","",INDEX(BookRate,1069)*$P1074)</f>
        <v/>
      </c>
      <c r="T1074" s="35" t="str">
        <f aca="false">IF($R1074="","",$R1074-$K1074)</f>
        <v/>
      </c>
      <c r="U1074" s="35" t="str">
        <f aca="false">IF(N($P1074)&lt;=0,"",COUNTIF($P$6:$P1074,"&gt;0"))</f>
        <v/>
      </c>
    </row>
    <row r="1075" customFormat="false" ht="15" hidden="false" customHeight="false" outlineLevel="0" collapsed="false">
      <c r="A1075" s="40" t="str">
        <f aca="false">IF(INDEX(BookTitle,1070)="","",INDEX(BookGroup,1070))</f>
        <v/>
      </c>
      <c r="B1075" s="40" t="str">
        <f aca="false">IF(INDEX(BookTitle,1070)="","",INDEX(BookRef,1070))</f>
        <v/>
      </c>
      <c r="C1075" s="40" t="str">
        <f aca="false">IF(INDEX(BookTitle,1070)="","",INDEX(BookDivision,1070))</f>
        <v/>
      </c>
      <c r="D1075" s="40" t="str">
        <f aca="false">IF(INDEX(BookTitle,1070)="","",INDEX(BookUnit,1070))</f>
        <v/>
      </c>
      <c r="E1075" s="40" t="str">
        <f aca="false">IF(INDEX(BookTitle,1070)="","",INDEX(BookTitle,1070))</f>
        <v/>
      </c>
      <c r="F1075" s="40" t="str">
        <f aca="false">IF(INDEX(BookTitle,1070)="","",INDEX(BookLevel,1070))</f>
        <v/>
      </c>
      <c r="G1075" s="40" t="str">
        <f aca="false">IF(INDEX(BookTitle,1070)="","",INDEX(BookCategory,1070))</f>
        <v/>
      </c>
      <c r="H1075" s="40" t="str">
        <f aca="false">IF(INDEX(BookTitle,1070)="","",INDEX(BookRank,1070))</f>
        <v/>
      </c>
      <c r="I1075" s="41" t="str">
        <f aca="false">IF(INDEX(BookTitle,1070)="","",INDEX(BookTotal,1070))</f>
        <v/>
      </c>
      <c r="J1075" s="0" t="str">
        <f aca="false">IF($I1075="","",IF(INDEX(BookQ1,1070)&gt;0,"Q1",IF(INDEX(BookQ2,1070)&gt;0,"Q2",IF(INDEX(BookQ3,1070)&gt;0,"Q3",IF(INDEX(BookQ4,1070)&gt;0,"Q4","")))))</f>
        <v/>
      </c>
      <c r="K1075" s="42" t="str">
        <f aca="false">IF(INDEX(BookTitle,1070)="","",INDEX(BookInYear,1070))</f>
        <v/>
      </c>
      <c r="L1075" s="19"/>
      <c r="M1075" s="39"/>
      <c r="N1075" s="19"/>
      <c r="O1075" s="19"/>
      <c r="P1075" s="43" t="str">
        <f aca="false">IF($E1075="","",IF($L1075="Decline",0,IF($L1075="Approve fewer",IF($M1075="","",$M1075),IF($L1075="","",$I1075))))</f>
        <v/>
      </c>
      <c r="Q1075" s="34" t="str">
        <f aca="false">IF($P1075="","",IF($N1075&lt;&gt;"",$N1075,$J1075))</f>
        <v/>
      </c>
      <c r="R1075" s="35" t="str">
        <f aca="false">IF(OR($P1075="",$Q1075=""),"",INDEX(BookRate,1070)*$P1075*(5-MATCH($Q1075,{"Q1";"Q2";"Q3";"Q4"},0))/4+INDEX(BookOneOff,1070)*$P1075)</f>
        <v/>
      </c>
      <c r="S1075" s="35" t="str">
        <f aca="false">IF($P1075="","",INDEX(BookRate,1070)*$P1075)</f>
        <v/>
      </c>
      <c r="T1075" s="35" t="str">
        <f aca="false">IF($R1075="","",$R1075-$K1075)</f>
        <v/>
      </c>
      <c r="U1075" s="35" t="str">
        <f aca="false">IF(N($P1075)&lt;=0,"",COUNTIF($P$6:$P1075,"&gt;0"))</f>
        <v/>
      </c>
    </row>
    <row r="1076" customFormat="false" ht="15" hidden="false" customHeight="false" outlineLevel="0" collapsed="false">
      <c r="A1076" s="40" t="str">
        <f aca="false">IF(INDEX(BookTitle,1071)="","",INDEX(BookGroup,1071))</f>
        <v/>
      </c>
      <c r="B1076" s="40" t="str">
        <f aca="false">IF(INDEX(BookTitle,1071)="","",INDEX(BookRef,1071))</f>
        <v/>
      </c>
      <c r="C1076" s="40" t="str">
        <f aca="false">IF(INDEX(BookTitle,1071)="","",INDEX(BookDivision,1071))</f>
        <v/>
      </c>
      <c r="D1076" s="40" t="str">
        <f aca="false">IF(INDEX(BookTitle,1071)="","",INDEX(BookUnit,1071))</f>
        <v/>
      </c>
      <c r="E1076" s="40" t="str">
        <f aca="false">IF(INDEX(BookTitle,1071)="","",INDEX(BookTitle,1071))</f>
        <v/>
      </c>
      <c r="F1076" s="40" t="str">
        <f aca="false">IF(INDEX(BookTitle,1071)="","",INDEX(BookLevel,1071))</f>
        <v/>
      </c>
      <c r="G1076" s="40" t="str">
        <f aca="false">IF(INDEX(BookTitle,1071)="","",INDEX(BookCategory,1071))</f>
        <v/>
      </c>
      <c r="H1076" s="40" t="str">
        <f aca="false">IF(INDEX(BookTitle,1071)="","",INDEX(BookRank,1071))</f>
        <v/>
      </c>
      <c r="I1076" s="41" t="str">
        <f aca="false">IF(INDEX(BookTitle,1071)="","",INDEX(BookTotal,1071))</f>
        <v/>
      </c>
      <c r="J1076" s="0" t="str">
        <f aca="false">IF($I1076="","",IF(INDEX(BookQ1,1071)&gt;0,"Q1",IF(INDEX(BookQ2,1071)&gt;0,"Q2",IF(INDEX(BookQ3,1071)&gt;0,"Q3",IF(INDEX(BookQ4,1071)&gt;0,"Q4","")))))</f>
        <v/>
      </c>
      <c r="K1076" s="42" t="str">
        <f aca="false">IF(INDEX(BookTitle,1071)="","",INDEX(BookInYear,1071))</f>
        <v/>
      </c>
      <c r="L1076" s="19"/>
      <c r="M1076" s="39"/>
      <c r="N1076" s="19"/>
      <c r="O1076" s="19"/>
      <c r="P1076" s="43" t="str">
        <f aca="false">IF($E1076="","",IF($L1076="Decline",0,IF($L1076="Approve fewer",IF($M1076="","",$M1076),IF($L1076="","",$I1076))))</f>
        <v/>
      </c>
      <c r="Q1076" s="34" t="str">
        <f aca="false">IF($P1076="","",IF($N1076&lt;&gt;"",$N1076,$J1076))</f>
        <v/>
      </c>
      <c r="R1076" s="35" t="str">
        <f aca="false">IF(OR($P1076="",$Q1076=""),"",INDEX(BookRate,1071)*$P1076*(5-MATCH($Q1076,{"Q1";"Q2";"Q3";"Q4"},0))/4+INDEX(BookOneOff,1071)*$P1076)</f>
        <v/>
      </c>
      <c r="S1076" s="35" t="str">
        <f aca="false">IF($P1076="","",INDEX(BookRate,1071)*$P1076)</f>
        <v/>
      </c>
      <c r="T1076" s="35" t="str">
        <f aca="false">IF($R1076="","",$R1076-$K1076)</f>
        <v/>
      </c>
      <c r="U1076" s="35" t="str">
        <f aca="false">IF(N($P1076)&lt;=0,"",COUNTIF($P$6:$P1076,"&gt;0"))</f>
        <v/>
      </c>
    </row>
    <row r="1077" customFormat="false" ht="15" hidden="false" customHeight="false" outlineLevel="0" collapsed="false">
      <c r="A1077" s="40" t="str">
        <f aca="false">IF(INDEX(BookTitle,1072)="","",INDEX(BookGroup,1072))</f>
        <v/>
      </c>
      <c r="B1077" s="40" t="str">
        <f aca="false">IF(INDEX(BookTitle,1072)="","",INDEX(BookRef,1072))</f>
        <v/>
      </c>
      <c r="C1077" s="40" t="str">
        <f aca="false">IF(INDEX(BookTitle,1072)="","",INDEX(BookDivision,1072))</f>
        <v/>
      </c>
      <c r="D1077" s="40" t="str">
        <f aca="false">IF(INDEX(BookTitle,1072)="","",INDEX(BookUnit,1072))</f>
        <v/>
      </c>
      <c r="E1077" s="40" t="str">
        <f aca="false">IF(INDEX(BookTitle,1072)="","",INDEX(BookTitle,1072))</f>
        <v/>
      </c>
      <c r="F1077" s="40" t="str">
        <f aca="false">IF(INDEX(BookTitle,1072)="","",INDEX(BookLevel,1072))</f>
        <v/>
      </c>
      <c r="G1077" s="40" t="str">
        <f aca="false">IF(INDEX(BookTitle,1072)="","",INDEX(BookCategory,1072))</f>
        <v/>
      </c>
      <c r="H1077" s="40" t="str">
        <f aca="false">IF(INDEX(BookTitle,1072)="","",INDEX(BookRank,1072))</f>
        <v/>
      </c>
      <c r="I1077" s="41" t="str">
        <f aca="false">IF(INDEX(BookTitle,1072)="","",INDEX(BookTotal,1072))</f>
        <v/>
      </c>
      <c r="J1077" s="0" t="str">
        <f aca="false">IF($I1077="","",IF(INDEX(BookQ1,1072)&gt;0,"Q1",IF(INDEX(BookQ2,1072)&gt;0,"Q2",IF(INDEX(BookQ3,1072)&gt;0,"Q3",IF(INDEX(BookQ4,1072)&gt;0,"Q4","")))))</f>
        <v/>
      </c>
      <c r="K1077" s="42" t="str">
        <f aca="false">IF(INDEX(BookTitle,1072)="","",INDEX(BookInYear,1072))</f>
        <v/>
      </c>
      <c r="L1077" s="19"/>
      <c r="M1077" s="39"/>
      <c r="N1077" s="19"/>
      <c r="O1077" s="19"/>
      <c r="P1077" s="43" t="str">
        <f aca="false">IF($E1077="","",IF($L1077="Decline",0,IF($L1077="Approve fewer",IF($M1077="","",$M1077),IF($L1077="","",$I1077))))</f>
        <v/>
      </c>
      <c r="Q1077" s="34" t="str">
        <f aca="false">IF($P1077="","",IF($N1077&lt;&gt;"",$N1077,$J1077))</f>
        <v/>
      </c>
      <c r="R1077" s="35" t="str">
        <f aca="false">IF(OR($P1077="",$Q1077=""),"",INDEX(BookRate,1072)*$P1077*(5-MATCH($Q1077,{"Q1";"Q2";"Q3";"Q4"},0))/4+INDEX(BookOneOff,1072)*$P1077)</f>
        <v/>
      </c>
      <c r="S1077" s="35" t="str">
        <f aca="false">IF($P1077="","",INDEX(BookRate,1072)*$P1077)</f>
        <v/>
      </c>
      <c r="T1077" s="35" t="str">
        <f aca="false">IF($R1077="","",$R1077-$K1077)</f>
        <v/>
      </c>
      <c r="U1077" s="35" t="str">
        <f aca="false">IF(N($P1077)&lt;=0,"",COUNTIF($P$6:$P1077,"&gt;0"))</f>
        <v/>
      </c>
    </row>
    <row r="1078" customFormat="false" ht="15" hidden="false" customHeight="false" outlineLevel="0" collapsed="false">
      <c r="A1078" s="40" t="str">
        <f aca="false">IF(INDEX(BookTitle,1073)="","",INDEX(BookGroup,1073))</f>
        <v/>
      </c>
      <c r="B1078" s="40" t="str">
        <f aca="false">IF(INDEX(BookTitle,1073)="","",INDEX(BookRef,1073))</f>
        <v/>
      </c>
      <c r="C1078" s="40" t="str">
        <f aca="false">IF(INDEX(BookTitle,1073)="","",INDEX(BookDivision,1073))</f>
        <v/>
      </c>
      <c r="D1078" s="40" t="str">
        <f aca="false">IF(INDEX(BookTitle,1073)="","",INDEX(BookUnit,1073))</f>
        <v/>
      </c>
      <c r="E1078" s="40" t="str">
        <f aca="false">IF(INDEX(BookTitle,1073)="","",INDEX(BookTitle,1073))</f>
        <v/>
      </c>
      <c r="F1078" s="40" t="str">
        <f aca="false">IF(INDEX(BookTitle,1073)="","",INDEX(BookLevel,1073))</f>
        <v/>
      </c>
      <c r="G1078" s="40" t="str">
        <f aca="false">IF(INDEX(BookTitle,1073)="","",INDEX(BookCategory,1073))</f>
        <v/>
      </c>
      <c r="H1078" s="40" t="str">
        <f aca="false">IF(INDEX(BookTitle,1073)="","",INDEX(BookRank,1073))</f>
        <v/>
      </c>
      <c r="I1078" s="41" t="str">
        <f aca="false">IF(INDEX(BookTitle,1073)="","",INDEX(BookTotal,1073))</f>
        <v/>
      </c>
      <c r="J1078" s="0" t="str">
        <f aca="false">IF($I1078="","",IF(INDEX(BookQ1,1073)&gt;0,"Q1",IF(INDEX(BookQ2,1073)&gt;0,"Q2",IF(INDEX(BookQ3,1073)&gt;0,"Q3",IF(INDEX(BookQ4,1073)&gt;0,"Q4","")))))</f>
        <v/>
      </c>
      <c r="K1078" s="42" t="str">
        <f aca="false">IF(INDEX(BookTitle,1073)="","",INDEX(BookInYear,1073))</f>
        <v/>
      </c>
      <c r="L1078" s="19"/>
      <c r="M1078" s="39"/>
      <c r="N1078" s="19"/>
      <c r="O1078" s="19"/>
      <c r="P1078" s="43" t="str">
        <f aca="false">IF($E1078="","",IF($L1078="Decline",0,IF($L1078="Approve fewer",IF($M1078="","",$M1078),IF($L1078="","",$I1078))))</f>
        <v/>
      </c>
      <c r="Q1078" s="34" t="str">
        <f aca="false">IF($P1078="","",IF($N1078&lt;&gt;"",$N1078,$J1078))</f>
        <v/>
      </c>
      <c r="R1078" s="35" t="str">
        <f aca="false">IF(OR($P1078="",$Q1078=""),"",INDEX(BookRate,1073)*$P1078*(5-MATCH($Q1078,{"Q1";"Q2";"Q3";"Q4"},0))/4+INDEX(BookOneOff,1073)*$P1078)</f>
        <v/>
      </c>
      <c r="S1078" s="35" t="str">
        <f aca="false">IF($P1078="","",INDEX(BookRate,1073)*$P1078)</f>
        <v/>
      </c>
      <c r="T1078" s="35" t="str">
        <f aca="false">IF($R1078="","",$R1078-$K1078)</f>
        <v/>
      </c>
      <c r="U1078" s="35" t="str">
        <f aca="false">IF(N($P1078)&lt;=0,"",COUNTIF($P$6:$P1078,"&gt;0"))</f>
        <v/>
      </c>
    </row>
    <row r="1079" customFormat="false" ht="15" hidden="false" customHeight="false" outlineLevel="0" collapsed="false">
      <c r="A1079" s="40" t="str">
        <f aca="false">IF(INDEX(BookTitle,1074)="","",INDEX(BookGroup,1074))</f>
        <v/>
      </c>
      <c r="B1079" s="40" t="str">
        <f aca="false">IF(INDEX(BookTitle,1074)="","",INDEX(BookRef,1074))</f>
        <v/>
      </c>
      <c r="C1079" s="40" t="str">
        <f aca="false">IF(INDEX(BookTitle,1074)="","",INDEX(BookDivision,1074))</f>
        <v/>
      </c>
      <c r="D1079" s="40" t="str">
        <f aca="false">IF(INDEX(BookTitle,1074)="","",INDEX(BookUnit,1074))</f>
        <v/>
      </c>
      <c r="E1079" s="40" t="str">
        <f aca="false">IF(INDEX(BookTitle,1074)="","",INDEX(BookTitle,1074))</f>
        <v/>
      </c>
      <c r="F1079" s="40" t="str">
        <f aca="false">IF(INDEX(BookTitle,1074)="","",INDEX(BookLevel,1074))</f>
        <v/>
      </c>
      <c r="G1079" s="40" t="str">
        <f aca="false">IF(INDEX(BookTitle,1074)="","",INDEX(BookCategory,1074))</f>
        <v/>
      </c>
      <c r="H1079" s="40" t="str">
        <f aca="false">IF(INDEX(BookTitle,1074)="","",INDEX(BookRank,1074))</f>
        <v/>
      </c>
      <c r="I1079" s="41" t="str">
        <f aca="false">IF(INDEX(BookTitle,1074)="","",INDEX(BookTotal,1074))</f>
        <v/>
      </c>
      <c r="J1079" s="0" t="str">
        <f aca="false">IF($I1079="","",IF(INDEX(BookQ1,1074)&gt;0,"Q1",IF(INDEX(BookQ2,1074)&gt;0,"Q2",IF(INDEX(BookQ3,1074)&gt;0,"Q3",IF(INDEX(BookQ4,1074)&gt;0,"Q4","")))))</f>
        <v/>
      </c>
      <c r="K1079" s="42" t="str">
        <f aca="false">IF(INDEX(BookTitle,1074)="","",INDEX(BookInYear,1074))</f>
        <v/>
      </c>
      <c r="L1079" s="19"/>
      <c r="M1079" s="39"/>
      <c r="N1079" s="19"/>
      <c r="O1079" s="19"/>
      <c r="P1079" s="43" t="str">
        <f aca="false">IF($E1079="","",IF($L1079="Decline",0,IF($L1079="Approve fewer",IF($M1079="","",$M1079),IF($L1079="","",$I1079))))</f>
        <v/>
      </c>
      <c r="Q1079" s="34" t="str">
        <f aca="false">IF($P1079="","",IF($N1079&lt;&gt;"",$N1079,$J1079))</f>
        <v/>
      </c>
      <c r="R1079" s="35" t="str">
        <f aca="false">IF(OR($P1079="",$Q1079=""),"",INDEX(BookRate,1074)*$P1079*(5-MATCH($Q1079,{"Q1";"Q2";"Q3";"Q4"},0))/4+INDEX(BookOneOff,1074)*$P1079)</f>
        <v/>
      </c>
      <c r="S1079" s="35" t="str">
        <f aca="false">IF($P1079="","",INDEX(BookRate,1074)*$P1079)</f>
        <v/>
      </c>
      <c r="T1079" s="35" t="str">
        <f aca="false">IF($R1079="","",$R1079-$K1079)</f>
        <v/>
      </c>
      <c r="U1079" s="35" t="str">
        <f aca="false">IF(N($P1079)&lt;=0,"",COUNTIF($P$6:$P1079,"&gt;0"))</f>
        <v/>
      </c>
    </row>
    <row r="1080" customFormat="false" ht="15" hidden="false" customHeight="false" outlineLevel="0" collapsed="false">
      <c r="A1080" s="40" t="str">
        <f aca="false">IF(INDEX(BookTitle,1075)="","",INDEX(BookGroup,1075))</f>
        <v/>
      </c>
      <c r="B1080" s="40" t="str">
        <f aca="false">IF(INDEX(BookTitle,1075)="","",INDEX(BookRef,1075))</f>
        <v/>
      </c>
      <c r="C1080" s="40" t="str">
        <f aca="false">IF(INDEX(BookTitle,1075)="","",INDEX(BookDivision,1075))</f>
        <v/>
      </c>
      <c r="D1080" s="40" t="str">
        <f aca="false">IF(INDEX(BookTitle,1075)="","",INDEX(BookUnit,1075))</f>
        <v/>
      </c>
      <c r="E1080" s="40" t="str">
        <f aca="false">IF(INDEX(BookTitle,1075)="","",INDEX(BookTitle,1075))</f>
        <v/>
      </c>
      <c r="F1080" s="40" t="str">
        <f aca="false">IF(INDEX(BookTitle,1075)="","",INDEX(BookLevel,1075))</f>
        <v/>
      </c>
      <c r="G1080" s="40" t="str">
        <f aca="false">IF(INDEX(BookTitle,1075)="","",INDEX(BookCategory,1075))</f>
        <v/>
      </c>
      <c r="H1080" s="40" t="str">
        <f aca="false">IF(INDEX(BookTitle,1075)="","",INDEX(BookRank,1075))</f>
        <v/>
      </c>
      <c r="I1080" s="41" t="str">
        <f aca="false">IF(INDEX(BookTitle,1075)="","",INDEX(BookTotal,1075))</f>
        <v/>
      </c>
      <c r="J1080" s="0" t="str">
        <f aca="false">IF($I1080="","",IF(INDEX(BookQ1,1075)&gt;0,"Q1",IF(INDEX(BookQ2,1075)&gt;0,"Q2",IF(INDEX(BookQ3,1075)&gt;0,"Q3",IF(INDEX(BookQ4,1075)&gt;0,"Q4","")))))</f>
        <v/>
      </c>
      <c r="K1080" s="42" t="str">
        <f aca="false">IF(INDEX(BookTitle,1075)="","",INDEX(BookInYear,1075))</f>
        <v/>
      </c>
      <c r="L1080" s="19"/>
      <c r="M1080" s="39"/>
      <c r="N1080" s="19"/>
      <c r="O1080" s="19"/>
      <c r="P1080" s="43" t="str">
        <f aca="false">IF($E1080="","",IF($L1080="Decline",0,IF($L1080="Approve fewer",IF($M1080="","",$M1080),IF($L1080="","",$I1080))))</f>
        <v/>
      </c>
      <c r="Q1080" s="34" t="str">
        <f aca="false">IF($P1080="","",IF($N1080&lt;&gt;"",$N1080,$J1080))</f>
        <v/>
      </c>
      <c r="R1080" s="35" t="str">
        <f aca="false">IF(OR($P1080="",$Q1080=""),"",INDEX(BookRate,1075)*$P1080*(5-MATCH($Q1080,{"Q1";"Q2";"Q3";"Q4"},0))/4+INDEX(BookOneOff,1075)*$P1080)</f>
        <v/>
      </c>
      <c r="S1080" s="35" t="str">
        <f aca="false">IF($P1080="","",INDEX(BookRate,1075)*$P1080)</f>
        <v/>
      </c>
      <c r="T1080" s="35" t="str">
        <f aca="false">IF($R1080="","",$R1080-$K1080)</f>
        <v/>
      </c>
      <c r="U1080" s="35" t="str">
        <f aca="false">IF(N($P1080)&lt;=0,"",COUNTIF($P$6:$P1080,"&gt;0"))</f>
        <v/>
      </c>
    </row>
    <row r="1081" customFormat="false" ht="15" hidden="false" customHeight="false" outlineLevel="0" collapsed="false">
      <c r="A1081" s="40" t="str">
        <f aca="false">IF(INDEX(BookTitle,1076)="","",INDEX(BookGroup,1076))</f>
        <v/>
      </c>
      <c r="B1081" s="40" t="str">
        <f aca="false">IF(INDEX(BookTitle,1076)="","",INDEX(BookRef,1076))</f>
        <v/>
      </c>
      <c r="C1081" s="40" t="str">
        <f aca="false">IF(INDEX(BookTitle,1076)="","",INDEX(BookDivision,1076))</f>
        <v/>
      </c>
      <c r="D1081" s="40" t="str">
        <f aca="false">IF(INDEX(BookTitle,1076)="","",INDEX(BookUnit,1076))</f>
        <v/>
      </c>
      <c r="E1081" s="40" t="str">
        <f aca="false">IF(INDEX(BookTitle,1076)="","",INDEX(BookTitle,1076))</f>
        <v/>
      </c>
      <c r="F1081" s="40" t="str">
        <f aca="false">IF(INDEX(BookTitle,1076)="","",INDEX(BookLevel,1076))</f>
        <v/>
      </c>
      <c r="G1081" s="40" t="str">
        <f aca="false">IF(INDEX(BookTitle,1076)="","",INDEX(BookCategory,1076))</f>
        <v/>
      </c>
      <c r="H1081" s="40" t="str">
        <f aca="false">IF(INDEX(BookTitle,1076)="","",INDEX(BookRank,1076))</f>
        <v/>
      </c>
      <c r="I1081" s="41" t="str">
        <f aca="false">IF(INDEX(BookTitle,1076)="","",INDEX(BookTotal,1076))</f>
        <v/>
      </c>
      <c r="J1081" s="0" t="str">
        <f aca="false">IF($I1081="","",IF(INDEX(BookQ1,1076)&gt;0,"Q1",IF(INDEX(BookQ2,1076)&gt;0,"Q2",IF(INDEX(BookQ3,1076)&gt;0,"Q3",IF(INDEX(BookQ4,1076)&gt;0,"Q4","")))))</f>
        <v/>
      </c>
      <c r="K1081" s="42" t="str">
        <f aca="false">IF(INDEX(BookTitle,1076)="","",INDEX(BookInYear,1076))</f>
        <v/>
      </c>
      <c r="L1081" s="19"/>
      <c r="M1081" s="39"/>
      <c r="N1081" s="19"/>
      <c r="O1081" s="19"/>
      <c r="P1081" s="43" t="str">
        <f aca="false">IF($E1081="","",IF($L1081="Decline",0,IF($L1081="Approve fewer",IF($M1081="","",$M1081),IF($L1081="","",$I1081))))</f>
        <v/>
      </c>
      <c r="Q1081" s="34" t="str">
        <f aca="false">IF($P1081="","",IF($N1081&lt;&gt;"",$N1081,$J1081))</f>
        <v/>
      </c>
      <c r="R1081" s="35" t="str">
        <f aca="false">IF(OR($P1081="",$Q1081=""),"",INDEX(BookRate,1076)*$P1081*(5-MATCH($Q1081,{"Q1";"Q2";"Q3";"Q4"},0))/4+INDEX(BookOneOff,1076)*$P1081)</f>
        <v/>
      </c>
      <c r="S1081" s="35" t="str">
        <f aca="false">IF($P1081="","",INDEX(BookRate,1076)*$P1081)</f>
        <v/>
      </c>
      <c r="T1081" s="35" t="str">
        <f aca="false">IF($R1081="","",$R1081-$K1081)</f>
        <v/>
      </c>
      <c r="U1081" s="35" t="str">
        <f aca="false">IF(N($P1081)&lt;=0,"",COUNTIF($P$6:$P1081,"&gt;0"))</f>
        <v/>
      </c>
    </row>
    <row r="1082" customFormat="false" ht="15" hidden="false" customHeight="false" outlineLevel="0" collapsed="false">
      <c r="A1082" s="40" t="str">
        <f aca="false">IF(INDEX(BookTitle,1077)="","",INDEX(BookGroup,1077))</f>
        <v/>
      </c>
      <c r="B1082" s="40" t="str">
        <f aca="false">IF(INDEX(BookTitle,1077)="","",INDEX(BookRef,1077))</f>
        <v/>
      </c>
      <c r="C1082" s="40" t="str">
        <f aca="false">IF(INDEX(BookTitle,1077)="","",INDEX(BookDivision,1077))</f>
        <v/>
      </c>
      <c r="D1082" s="40" t="str">
        <f aca="false">IF(INDEX(BookTitle,1077)="","",INDEX(BookUnit,1077))</f>
        <v/>
      </c>
      <c r="E1082" s="40" t="str">
        <f aca="false">IF(INDEX(BookTitle,1077)="","",INDEX(BookTitle,1077))</f>
        <v/>
      </c>
      <c r="F1082" s="40" t="str">
        <f aca="false">IF(INDEX(BookTitle,1077)="","",INDEX(BookLevel,1077))</f>
        <v/>
      </c>
      <c r="G1082" s="40" t="str">
        <f aca="false">IF(INDEX(BookTitle,1077)="","",INDEX(BookCategory,1077))</f>
        <v/>
      </c>
      <c r="H1082" s="40" t="str">
        <f aca="false">IF(INDEX(BookTitle,1077)="","",INDEX(BookRank,1077))</f>
        <v/>
      </c>
      <c r="I1082" s="41" t="str">
        <f aca="false">IF(INDEX(BookTitle,1077)="","",INDEX(BookTotal,1077))</f>
        <v/>
      </c>
      <c r="J1082" s="0" t="str">
        <f aca="false">IF($I1082="","",IF(INDEX(BookQ1,1077)&gt;0,"Q1",IF(INDEX(BookQ2,1077)&gt;0,"Q2",IF(INDEX(BookQ3,1077)&gt;0,"Q3",IF(INDEX(BookQ4,1077)&gt;0,"Q4","")))))</f>
        <v/>
      </c>
      <c r="K1082" s="42" t="str">
        <f aca="false">IF(INDEX(BookTitle,1077)="","",INDEX(BookInYear,1077))</f>
        <v/>
      </c>
      <c r="L1082" s="19"/>
      <c r="M1082" s="39"/>
      <c r="N1082" s="19"/>
      <c r="O1082" s="19"/>
      <c r="P1082" s="43" t="str">
        <f aca="false">IF($E1082="","",IF($L1082="Decline",0,IF($L1082="Approve fewer",IF($M1082="","",$M1082),IF($L1082="","",$I1082))))</f>
        <v/>
      </c>
      <c r="Q1082" s="34" t="str">
        <f aca="false">IF($P1082="","",IF($N1082&lt;&gt;"",$N1082,$J1082))</f>
        <v/>
      </c>
      <c r="R1082" s="35" t="str">
        <f aca="false">IF(OR($P1082="",$Q1082=""),"",INDEX(BookRate,1077)*$P1082*(5-MATCH($Q1082,{"Q1";"Q2";"Q3";"Q4"},0))/4+INDEX(BookOneOff,1077)*$P1082)</f>
        <v/>
      </c>
      <c r="S1082" s="35" t="str">
        <f aca="false">IF($P1082="","",INDEX(BookRate,1077)*$P1082)</f>
        <v/>
      </c>
      <c r="T1082" s="35" t="str">
        <f aca="false">IF($R1082="","",$R1082-$K1082)</f>
        <v/>
      </c>
      <c r="U1082" s="35" t="str">
        <f aca="false">IF(N($P1082)&lt;=0,"",COUNTIF($P$6:$P1082,"&gt;0"))</f>
        <v/>
      </c>
    </row>
    <row r="1083" customFormat="false" ht="15" hidden="false" customHeight="false" outlineLevel="0" collapsed="false">
      <c r="A1083" s="40" t="str">
        <f aca="false">IF(INDEX(BookTitle,1078)="","",INDEX(BookGroup,1078))</f>
        <v/>
      </c>
      <c r="B1083" s="40" t="str">
        <f aca="false">IF(INDEX(BookTitle,1078)="","",INDEX(BookRef,1078))</f>
        <v/>
      </c>
      <c r="C1083" s="40" t="str">
        <f aca="false">IF(INDEX(BookTitle,1078)="","",INDEX(BookDivision,1078))</f>
        <v/>
      </c>
      <c r="D1083" s="40" t="str">
        <f aca="false">IF(INDEX(BookTitle,1078)="","",INDEX(BookUnit,1078))</f>
        <v/>
      </c>
      <c r="E1083" s="40" t="str">
        <f aca="false">IF(INDEX(BookTitle,1078)="","",INDEX(BookTitle,1078))</f>
        <v/>
      </c>
      <c r="F1083" s="40" t="str">
        <f aca="false">IF(INDEX(BookTitle,1078)="","",INDEX(BookLevel,1078))</f>
        <v/>
      </c>
      <c r="G1083" s="40" t="str">
        <f aca="false">IF(INDEX(BookTitle,1078)="","",INDEX(BookCategory,1078))</f>
        <v/>
      </c>
      <c r="H1083" s="40" t="str">
        <f aca="false">IF(INDEX(BookTitle,1078)="","",INDEX(BookRank,1078))</f>
        <v/>
      </c>
      <c r="I1083" s="41" t="str">
        <f aca="false">IF(INDEX(BookTitle,1078)="","",INDEX(BookTotal,1078))</f>
        <v/>
      </c>
      <c r="J1083" s="0" t="str">
        <f aca="false">IF($I1083="","",IF(INDEX(BookQ1,1078)&gt;0,"Q1",IF(INDEX(BookQ2,1078)&gt;0,"Q2",IF(INDEX(BookQ3,1078)&gt;0,"Q3",IF(INDEX(BookQ4,1078)&gt;0,"Q4","")))))</f>
        <v/>
      </c>
      <c r="K1083" s="42" t="str">
        <f aca="false">IF(INDEX(BookTitle,1078)="","",INDEX(BookInYear,1078))</f>
        <v/>
      </c>
      <c r="L1083" s="19"/>
      <c r="M1083" s="39"/>
      <c r="N1083" s="19"/>
      <c r="O1083" s="19"/>
      <c r="P1083" s="43" t="str">
        <f aca="false">IF($E1083="","",IF($L1083="Decline",0,IF($L1083="Approve fewer",IF($M1083="","",$M1083),IF($L1083="","",$I1083))))</f>
        <v/>
      </c>
      <c r="Q1083" s="34" t="str">
        <f aca="false">IF($P1083="","",IF($N1083&lt;&gt;"",$N1083,$J1083))</f>
        <v/>
      </c>
      <c r="R1083" s="35" t="str">
        <f aca="false">IF(OR($P1083="",$Q1083=""),"",INDEX(BookRate,1078)*$P1083*(5-MATCH($Q1083,{"Q1";"Q2";"Q3";"Q4"},0))/4+INDEX(BookOneOff,1078)*$P1083)</f>
        <v/>
      </c>
      <c r="S1083" s="35" t="str">
        <f aca="false">IF($P1083="","",INDEX(BookRate,1078)*$P1083)</f>
        <v/>
      </c>
      <c r="T1083" s="35" t="str">
        <f aca="false">IF($R1083="","",$R1083-$K1083)</f>
        <v/>
      </c>
      <c r="U1083" s="35" t="str">
        <f aca="false">IF(N($P1083)&lt;=0,"",COUNTIF($P$6:$P1083,"&gt;0"))</f>
        <v/>
      </c>
    </row>
    <row r="1084" customFormat="false" ht="15" hidden="false" customHeight="false" outlineLevel="0" collapsed="false">
      <c r="A1084" s="40" t="str">
        <f aca="false">IF(INDEX(BookTitle,1079)="","",INDEX(BookGroup,1079))</f>
        <v/>
      </c>
      <c r="B1084" s="40" t="str">
        <f aca="false">IF(INDEX(BookTitle,1079)="","",INDEX(BookRef,1079))</f>
        <v/>
      </c>
      <c r="C1084" s="40" t="str">
        <f aca="false">IF(INDEX(BookTitle,1079)="","",INDEX(BookDivision,1079))</f>
        <v/>
      </c>
      <c r="D1084" s="40" t="str">
        <f aca="false">IF(INDEX(BookTitle,1079)="","",INDEX(BookUnit,1079))</f>
        <v/>
      </c>
      <c r="E1084" s="40" t="str">
        <f aca="false">IF(INDEX(BookTitle,1079)="","",INDEX(BookTitle,1079))</f>
        <v/>
      </c>
      <c r="F1084" s="40" t="str">
        <f aca="false">IF(INDEX(BookTitle,1079)="","",INDEX(BookLevel,1079))</f>
        <v/>
      </c>
      <c r="G1084" s="40" t="str">
        <f aca="false">IF(INDEX(BookTitle,1079)="","",INDEX(BookCategory,1079))</f>
        <v/>
      </c>
      <c r="H1084" s="40" t="str">
        <f aca="false">IF(INDEX(BookTitle,1079)="","",INDEX(BookRank,1079))</f>
        <v/>
      </c>
      <c r="I1084" s="41" t="str">
        <f aca="false">IF(INDEX(BookTitle,1079)="","",INDEX(BookTotal,1079))</f>
        <v/>
      </c>
      <c r="J1084" s="0" t="str">
        <f aca="false">IF($I1084="","",IF(INDEX(BookQ1,1079)&gt;0,"Q1",IF(INDEX(BookQ2,1079)&gt;0,"Q2",IF(INDEX(BookQ3,1079)&gt;0,"Q3",IF(INDEX(BookQ4,1079)&gt;0,"Q4","")))))</f>
        <v/>
      </c>
      <c r="K1084" s="42" t="str">
        <f aca="false">IF(INDEX(BookTitle,1079)="","",INDEX(BookInYear,1079))</f>
        <v/>
      </c>
      <c r="L1084" s="19"/>
      <c r="M1084" s="39"/>
      <c r="N1084" s="19"/>
      <c r="O1084" s="19"/>
      <c r="P1084" s="43" t="str">
        <f aca="false">IF($E1084="","",IF($L1084="Decline",0,IF($L1084="Approve fewer",IF($M1084="","",$M1084),IF($L1084="","",$I1084))))</f>
        <v/>
      </c>
      <c r="Q1084" s="34" t="str">
        <f aca="false">IF($P1084="","",IF($N1084&lt;&gt;"",$N1084,$J1084))</f>
        <v/>
      </c>
      <c r="R1084" s="35" t="str">
        <f aca="false">IF(OR($P1084="",$Q1084=""),"",INDEX(BookRate,1079)*$P1084*(5-MATCH($Q1084,{"Q1";"Q2";"Q3";"Q4"},0))/4+INDEX(BookOneOff,1079)*$P1084)</f>
        <v/>
      </c>
      <c r="S1084" s="35" t="str">
        <f aca="false">IF($P1084="","",INDEX(BookRate,1079)*$P1084)</f>
        <v/>
      </c>
      <c r="T1084" s="35" t="str">
        <f aca="false">IF($R1084="","",$R1084-$K1084)</f>
        <v/>
      </c>
      <c r="U1084" s="35" t="str">
        <f aca="false">IF(N($P1084)&lt;=0,"",COUNTIF($P$6:$P1084,"&gt;0"))</f>
        <v/>
      </c>
    </row>
    <row r="1085" customFormat="false" ht="15" hidden="false" customHeight="false" outlineLevel="0" collapsed="false">
      <c r="A1085" s="40" t="str">
        <f aca="false">IF(INDEX(BookTitle,1080)="","",INDEX(BookGroup,1080))</f>
        <v/>
      </c>
      <c r="B1085" s="40" t="str">
        <f aca="false">IF(INDEX(BookTitle,1080)="","",INDEX(BookRef,1080))</f>
        <v/>
      </c>
      <c r="C1085" s="40" t="str">
        <f aca="false">IF(INDEX(BookTitle,1080)="","",INDEX(BookDivision,1080))</f>
        <v/>
      </c>
      <c r="D1085" s="40" t="str">
        <f aca="false">IF(INDEX(BookTitle,1080)="","",INDEX(BookUnit,1080))</f>
        <v/>
      </c>
      <c r="E1085" s="40" t="str">
        <f aca="false">IF(INDEX(BookTitle,1080)="","",INDEX(BookTitle,1080))</f>
        <v/>
      </c>
      <c r="F1085" s="40" t="str">
        <f aca="false">IF(INDEX(BookTitle,1080)="","",INDEX(BookLevel,1080))</f>
        <v/>
      </c>
      <c r="G1085" s="40" t="str">
        <f aca="false">IF(INDEX(BookTitle,1080)="","",INDEX(BookCategory,1080))</f>
        <v/>
      </c>
      <c r="H1085" s="40" t="str">
        <f aca="false">IF(INDEX(BookTitle,1080)="","",INDEX(BookRank,1080))</f>
        <v/>
      </c>
      <c r="I1085" s="41" t="str">
        <f aca="false">IF(INDEX(BookTitle,1080)="","",INDEX(BookTotal,1080))</f>
        <v/>
      </c>
      <c r="J1085" s="0" t="str">
        <f aca="false">IF($I1085="","",IF(INDEX(BookQ1,1080)&gt;0,"Q1",IF(INDEX(BookQ2,1080)&gt;0,"Q2",IF(INDEX(BookQ3,1080)&gt;0,"Q3",IF(INDEX(BookQ4,1080)&gt;0,"Q4","")))))</f>
        <v/>
      </c>
      <c r="K1085" s="42" t="str">
        <f aca="false">IF(INDEX(BookTitle,1080)="","",INDEX(BookInYear,1080))</f>
        <v/>
      </c>
      <c r="L1085" s="19"/>
      <c r="M1085" s="39"/>
      <c r="N1085" s="19"/>
      <c r="O1085" s="19"/>
      <c r="P1085" s="43" t="str">
        <f aca="false">IF($E1085="","",IF($L1085="Decline",0,IF($L1085="Approve fewer",IF($M1085="","",$M1085),IF($L1085="","",$I1085))))</f>
        <v/>
      </c>
      <c r="Q1085" s="34" t="str">
        <f aca="false">IF($P1085="","",IF($N1085&lt;&gt;"",$N1085,$J1085))</f>
        <v/>
      </c>
      <c r="R1085" s="35" t="str">
        <f aca="false">IF(OR($P1085="",$Q1085=""),"",INDEX(BookRate,1080)*$P1085*(5-MATCH($Q1085,{"Q1";"Q2";"Q3";"Q4"},0))/4+INDEX(BookOneOff,1080)*$P1085)</f>
        <v/>
      </c>
      <c r="S1085" s="35" t="str">
        <f aca="false">IF($P1085="","",INDEX(BookRate,1080)*$P1085)</f>
        <v/>
      </c>
      <c r="T1085" s="35" t="str">
        <f aca="false">IF($R1085="","",$R1085-$K1085)</f>
        <v/>
      </c>
      <c r="U1085" s="35" t="str">
        <f aca="false">IF(N($P1085)&lt;=0,"",COUNTIF($P$6:$P1085,"&gt;0"))</f>
        <v/>
      </c>
    </row>
    <row r="1086" customFormat="false" ht="15" hidden="false" customHeight="false" outlineLevel="0" collapsed="false">
      <c r="A1086" s="40" t="str">
        <f aca="false">IF(INDEX(BookTitle,1081)="","",INDEX(BookGroup,1081))</f>
        <v/>
      </c>
      <c r="B1086" s="40" t="str">
        <f aca="false">IF(INDEX(BookTitle,1081)="","",INDEX(BookRef,1081))</f>
        <v/>
      </c>
      <c r="C1086" s="40" t="str">
        <f aca="false">IF(INDEX(BookTitle,1081)="","",INDEX(BookDivision,1081))</f>
        <v/>
      </c>
      <c r="D1086" s="40" t="str">
        <f aca="false">IF(INDEX(BookTitle,1081)="","",INDEX(BookUnit,1081))</f>
        <v/>
      </c>
      <c r="E1086" s="40" t="str">
        <f aca="false">IF(INDEX(BookTitle,1081)="","",INDEX(BookTitle,1081))</f>
        <v/>
      </c>
      <c r="F1086" s="40" t="str">
        <f aca="false">IF(INDEX(BookTitle,1081)="","",INDEX(BookLevel,1081))</f>
        <v/>
      </c>
      <c r="G1086" s="40" t="str">
        <f aca="false">IF(INDEX(BookTitle,1081)="","",INDEX(BookCategory,1081))</f>
        <v/>
      </c>
      <c r="H1086" s="40" t="str">
        <f aca="false">IF(INDEX(BookTitle,1081)="","",INDEX(BookRank,1081))</f>
        <v/>
      </c>
      <c r="I1086" s="41" t="str">
        <f aca="false">IF(INDEX(BookTitle,1081)="","",INDEX(BookTotal,1081))</f>
        <v/>
      </c>
      <c r="J1086" s="0" t="str">
        <f aca="false">IF($I1086="","",IF(INDEX(BookQ1,1081)&gt;0,"Q1",IF(INDEX(BookQ2,1081)&gt;0,"Q2",IF(INDEX(BookQ3,1081)&gt;0,"Q3",IF(INDEX(BookQ4,1081)&gt;0,"Q4","")))))</f>
        <v/>
      </c>
      <c r="K1086" s="42" t="str">
        <f aca="false">IF(INDEX(BookTitle,1081)="","",INDEX(BookInYear,1081))</f>
        <v/>
      </c>
      <c r="L1086" s="19"/>
      <c r="M1086" s="39"/>
      <c r="N1086" s="19"/>
      <c r="O1086" s="19"/>
      <c r="P1086" s="43" t="str">
        <f aca="false">IF($E1086="","",IF($L1086="Decline",0,IF($L1086="Approve fewer",IF($M1086="","",$M1086),IF($L1086="","",$I1086))))</f>
        <v/>
      </c>
      <c r="Q1086" s="34" t="str">
        <f aca="false">IF($P1086="","",IF($N1086&lt;&gt;"",$N1086,$J1086))</f>
        <v/>
      </c>
      <c r="R1086" s="35" t="str">
        <f aca="false">IF(OR($P1086="",$Q1086=""),"",INDEX(BookRate,1081)*$P1086*(5-MATCH($Q1086,{"Q1";"Q2";"Q3";"Q4"},0))/4+INDEX(BookOneOff,1081)*$P1086)</f>
        <v/>
      </c>
      <c r="S1086" s="35" t="str">
        <f aca="false">IF($P1086="","",INDEX(BookRate,1081)*$P1086)</f>
        <v/>
      </c>
      <c r="T1086" s="35" t="str">
        <f aca="false">IF($R1086="","",$R1086-$K1086)</f>
        <v/>
      </c>
      <c r="U1086" s="35" t="str">
        <f aca="false">IF(N($P1086)&lt;=0,"",COUNTIF($P$6:$P1086,"&gt;0"))</f>
        <v/>
      </c>
    </row>
    <row r="1087" customFormat="false" ht="15" hidden="false" customHeight="false" outlineLevel="0" collapsed="false">
      <c r="A1087" s="40" t="str">
        <f aca="false">IF(INDEX(BookTitle,1082)="","",INDEX(BookGroup,1082))</f>
        <v/>
      </c>
      <c r="B1087" s="40" t="str">
        <f aca="false">IF(INDEX(BookTitle,1082)="","",INDEX(BookRef,1082))</f>
        <v/>
      </c>
      <c r="C1087" s="40" t="str">
        <f aca="false">IF(INDEX(BookTitle,1082)="","",INDEX(BookDivision,1082))</f>
        <v/>
      </c>
      <c r="D1087" s="40" t="str">
        <f aca="false">IF(INDEX(BookTitle,1082)="","",INDEX(BookUnit,1082))</f>
        <v/>
      </c>
      <c r="E1087" s="40" t="str">
        <f aca="false">IF(INDEX(BookTitle,1082)="","",INDEX(BookTitle,1082))</f>
        <v/>
      </c>
      <c r="F1087" s="40" t="str">
        <f aca="false">IF(INDEX(BookTitle,1082)="","",INDEX(BookLevel,1082))</f>
        <v/>
      </c>
      <c r="G1087" s="40" t="str">
        <f aca="false">IF(INDEX(BookTitle,1082)="","",INDEX(BookCategory,1082))</f>
        <v/>
      </c>
      <c r="H1087" s="40" t="str">
        <f aca="false">IF(INDEX(BookTitle,1082)="","",INDEX(BookRank,1082))</f>
        <v/>
      </c>
      <c r="I1087" s="41" t="str">
        <f aca="false">IF(INDEX(BookTitle,1082)="","",INDEX(BookTotal,1082))</f>
        <v/>
      </c>
      <c r="J1087" s="0" t="str">
        <f aca="false">IF($I1087="","",IF(INDEX(BookQ1,1082)&gt;0,"Q1",IF(INDEX(BookQ2,1082)&gt;0,"Q2",IF(INDEX(BookQ3,1082)&gt;0,"Q3",IF(INDEX(BookQ4,1082)&gt;0,"Q4","")))))</f>
        <v/>
      </c>
      <c r="K1087" s="42" t="str">
        <f aca="false">IF(INDEX(BookTitle,1082)="","",INDEX(BookInYear,1082))</f>
        <v/>
      </c>
      <c r="L1087" s="19"/>
      <c r="M1087" s="39"/>
      <c r="N1087" s="19"/>
      <c r="O1087" s="19"/>
      <c r="P1087" s="43" t="str">
        <f aca="false">IF($E1087="","",IF($L1087="Decline",0,IF($L1087="Approve fewer",IF($M1087="","",$M1087),IF($L1087="","",$I1087))))</f>
        <v/>
      </c>
      <c r="Q1087" s="34" t="str">
        <f aca="false">IF($P1087="","",IF($N1087&lt;&gt;"",$N1087,$J1087))</f>
        <v/>
      </c>
      <c r="R1087" s="35" t="str">
        <f aca="false">IF(OR($P1087="",$Q1087=""),"",INDEX(BookRate,1082)*$P1087*(5-MATCH($Q1087,{"Q1";"Q2";"Q3";"Q4"},0))/4+INDEX(BookOneOff,1082)*$P1087)</f>
        <v/>
      </c>
      <c r="S1087" s="35" t="str">
        <f aca="false">IF($P1087="","",INDEX(BookRate,1082)*$P1087)</f>
        <v/>
      </c>
      <c r="T1087" s="35" t="str">
        <f aca="false">IF($R1087="","",$R1087-$K1087)</f>
        <v/>
      </c>
      <c r="U1087" s="35" t="str">
        <f aca="false">IF(N($P1087)&lt;=0,"",COUNTIF($P$6:$P1087,"&gt;0"))</f>
        <v/>
      </c>
    </row>
    <row r="1088" customFormat="false" ht="15" hidden="false" customHeight="false" outlineLevel="0" collapsed="false">
      <c r="A1088" s="40" t="str">
        <f aca="false">IF(INDEX(BookTitle,1083)="","",INDEX(BookGroup,1083))</f>
        <v/>
      </c>
      <c r="B1088" s="40" t="str">
        <f aca="false">IF(INDEX(BookTitle,1083)="","",INDEX(BookRef,1083))</f>
        <v/>
      </c>
      <c r="C1088" s="40" t="str">
        <f aca="false">IF(INDEX(BookTitle,1083)="","",INDEX(BookDivision,1083))</f>
        <v/>
      </c>
      <c r="D1088" s="40" t="str">
        <f aca="false">IF(INDEX(BookTitle,1083)="","",INDEX(BookUnit,1083))</f>
        <v/>
      </c>
      <c r="E1088" s="40" t="str">
        <f aca="false">IF(INDEX(BookTitle,1083)="","",INDEX(BookTitle,1083))</f>
        <v/>
      </c>
      <c r="F1088" s="40" t="str">
        <f aca="false">IF(INDEX(BookTitle,1083)="","",INDEX(BookLevel,1083))</f>
        <v/>
      </c>
      <c r="G1088" s="40" t="str">
        <f aca="false">IF(INDEX(BookTitle,1083)="","",INDEX(BookCategory,1083))</f>
        <v/>
      </c>
      <c r="H1088" s="40" t="str">
        <f aca="false">IF(INDEX(BookTitle,1083)="","",INDEX(BookRank,1083))</f>
        <v/>
      </c>
      <c r="I1088" s="41" t="str">
        <f aca="false">IF(INDEX(BookTitle,1083)="","",INDEX(BookTotal,1083))</f>
        <v/>
      </c>
      <c r="J1088" s="0" t="str">
        <f aca="false">IF($I1088="","",IF(INDEX(BookQ1,1083)&gt;0,"Q1",IF(INDEX(BookQ2,1083)&gt;0,"Q2",IF(INDEX(BookQ3,1083)&gt;0,"Q3",IF(INDEX(BookQ4,1083)&gt;0,"Q4","")))))</f>
        <v/>
      </c>
      <c r="K1088" s="42" t="str">
        <f aca="false">IF(INDEX(BookTitle,1083)="","",INDEX(BookInYear,1083))</f>
        <v/>
      </c>
      <c r="L1088" s="19"/>
      <c r="M1088" s="39"/>
      <c r="N1088" s="19"/>
      <c r="O1088" s="19"/>
      <c r="P1088" s="43" t="str">
        <f aca="false">IF($E1088="","",IF($L1088="Decline",0,IF($L1088="Approve fewer",IF($M1088="","",$M1088),IF($L1088="","",$I1088))))</f>
        <v/>
      </c>
      <c r="Q1088" s="34" t="str">
        <f aca="false">IF($P1088="","",IF($N1088&lt;&gt;"",$N1088,$J1088))</f>
        <v/>
      </c>
      <c r="R1088" s="35" t="str">
        <f aca="false">IF(OR($P1088="",$Q1088=""),"",INDEX(BookRate,1083)*$P1088*(5-MATCH($Q1088,{"Q1";"Q2";"Q3";"Q4"},0))/4+INDEX(BookOneOff,1083)*$P1088)</f>
        <v/>
      </c>
      <c r="S1088" s="35" t="str">
        <f aca="false">IF($P1088="","",INDEX(BookRate,1083)*$P1088)</f>
        <v/>
      </c>
      <c r="T1088" s="35" t="str">
        <f aca="false">IF($R1088="","",$R1088-$K1088)</f>
        <v/>
      </c>
      <c r="U1088" s="35" t="str">
        <f aca="false">IF(N($P1088)&lt;=0,"",COUNTIF($P$6:$P1088,"&gt;0"))</f>
        <v/>
      </c>
    </row>
    <row r="1089" customFormat="false" ht="15" hidden="false" customHeight="false" outlineLevel="0" collapsed="false">
      <c r="A1089" s="40" t="str">
        <f aca="false">IF(INDEX(BookTitle,1084)="","",INDEX(BookGroup,1084))</f>
        <v/>
      </c>
      <c r="B1089" s="40" t="str">
        <f aca="false">IF(INDEX(BookTitle,1084)="","",INDEX(BookRef,1084))</f>
        <v/>
      </c>
      <c r="C1089" s="40" t="str">
        <f aca="false">IF(INDEX(BookTitle,1084)="","",INDEX(BookDivision,1084))</f>
        <v/>
      </c>
      <c r="D1089" s="40" t="str">
        <f aca="false">IF(INDEX(BookTitle,1084)="","",INDEX(BookUnit,1084))</f>
        <v/>
      </c>
      <c r="E1089" s="40" t="str">
        <f aca="false">IF(INDEX(BookTitle,1084)="","",INDEX(BookTitle,1084))</f>
        <v/>
      </c>
      <c r="F1089" s="40" t="str">
        <f aca="false">IF(INDEX(BookTitle,1084)="","",INDEX(BookLevel,1084))</f>
        <v/>
      </c>
      <c r="G1089" s="40" t="str">
        <f aca="false">IF(INDEX(BookTitle,1084)="","",INDEX(BookCategory,1084))</f>
        <v/>
      </c>
      <c r="H1089" s="40" t="str">
        <f aca="false">IF(INDEX(BookTitle,1084)="","",INDEX(BookRank,1084))</f>
        <v/>
      </c>
      <c r="I1089" s="41" t="str">
        <f aca="false">IF(INDEX(BookTitle,1084)="","",INDEX(BookTotal,1084))</f>
        <v/>
      </c>
      <c r="J1089" s="0" t="str">
        <f aca="false">IF($I1089="","",IF(INDEX(BookQ1,1084)&gt;0,"Q1",IF(INDEX(BookQ2,1084)&gt;0,"Q2",IF(INDEX(BookQ3,1084)&gt;0,"Q3",IF(INDEX(BookQ4,1084)&gt;0,"Q4","")))))</f>
        <v/>
      </c>
      <c r="K1089" s="42" t="str">
        <f aca="false">IF(INDEX(BookTitle,1084)="","",INDEX(BookInYear,1084))</f>
        <v/>
      </c>
      <c r="L1089" s="19"/>
      <c r="M1089" s="39"/>
      <c r="N1089" s="19"/>
      <c r="O1089" s="19"/>
      <c r="P1089" s="43" t="str">
        <f aca="false">IF($E1089="","",IF($L1089="Decline",0,IF($L1089="Approve fewer",IF($M1089="","",$M1089),IF($L1089="","",$I1089))))</f>
        <v/>
      </c>
      <c r="Q1089" s="34" t="str">
        <f aca="false">IF($P1089="","",IF($N1089&lt;&gt;"",$N1089,$J1089))</f>
        <v/>
      </c>
      <c r="R1089" s="35" t="str">
        <f aca="false">IF(OR($P1089="",$Q1089=""),"",INDEX(BookRate,1084)*$P1089*(5-MATCH($Q1089,{"Q1";"Q2";"Q3";"Q4"},0))/4+INDEX(BookOneOff,1084)*$P1089)</f>
        <v/>
      </c>
      <c r="S1089" s="35" t="str">
        <f aca="false">IF($P1089="","",INDEX(BookRate,1084)*$P1089)</f>
        <v/>
      </c>
      <c r="T1089" s="35" t="str">
        <f aca="false">IF($R1089="","",$R1089-$K1089)</f>
        <v/>
      </c>
      <c r="U1089" s="35" t="str">
        <f aca="false">IF(N($P1089)&lt;=0,"",COUNTIF($P$6:$P1089,"&gt;0"))</f>
        <v/>
      </c>
    </row>
    <row r="1090" customFormat="false" ht="15" hidden="false" customHeight="false" outlineLevel="0" collapsed="false">
      <c r="A1090" s="40" t="str">
        <f aca="false">IF(INDEX(BookTitle,1085)="","",INDEX(BookGroup,1085))</f>
        <v/>
      </c>
      <c r="B1090" s="40" t="str">
        <f aca="false">IF(INDEX(BookTitle,1085)="","",INDEX(BookRef,1085))</f>
        <v/>
      </c>
      <c r="C1090" s="40" t="str">
        <f aca="false">IF(INDEX(BookTitle,1085)="","",INDEX(BookDivision,1085))</f>
        <v/>
      </c>
      <c r="D1090" s="40" t="str">
        <f aca="false">IF(INDEX(BookTitle,1085)="","",INDEX(BookUnit,1085))</f>
        <v/>
      </c>
      <c r="E1090" s="40" t="str">
        <f aca="false">IF(INDEX(BookTitle,1085)="","",INDEX(BookTitle,1085))</f>
        <v/>
      </c>
      <c r="F1090" s="40" t="str">
        <f aca="false">IF(INDEX(BookTitle,1085)="","",INDEX(BookLevel,1085))</f>
        <v/>
      </c>
      <c r="G1090" s="40" t="str">
        <f aca="false">IF(INDEX(BookTitle,1085)="","",INDEX(BookCategory,1085))</f>
        <v/>
      </c>
      <c r="H1090" s="40" t="str">
        <f aca="false">IF(INDEX(BookTitle,1085)="","",INDEX(BookRank,1085))</f>
        <v/>
      </c>
      <c r="I1090" s="41" t="str">
        <f aca="false">IF(INDEX(BookTitle,1085)="","",INDEX(BookTotal,1085))</f>
        <v/>
      </c>
      <c r="J1090" s="0" t="str">
        <f aca="false">IF($I1090="","",IF(INDEX(BookQ1,1085)&gt;0,"Q1",IF(INDEX(BookQ2,1085)&gt;0,"Q2",IF(INDEX(BookQ3,1085)&gt;0,"Q3",IF(INDEX(BookQ4,1085)&gt;0,"Q4","")))))</f>
        <v/>
      </c>
      <c r="K1090" s="42" t="str">
        <f aca="false">IF(INDEX(BookTitle,1085)="","",INDEX(BookInYear,1085))</f>
        <v/>
      </c>
      <c r="L1090" s="19"/>
      <c r="M1090" s="39"/>
      <c r="N1090" s="19"/>
      <c r="O1090" s="19"/>
      <c r="P1090" s="43" t="str">
        <f aca="false">IF($E1090="","",IF($L1090="Decline",0,IF($L1090="Approve fewer",IF($M1090="","",$M1090),IF($L1090="","",$I1090))))</f>
        <v/>
      </c>
      <c r="Q1090" s="34" t="str">
        <f aca="false">IF($P1090="","",IF($N1090&lt;&gt;"",$N1090,$J1090))</f>
        <v/>
      </c>
      <c r="R1090" s="35" t="str">
        <f aca="false">IF(OR($P1090="",$Q1090=""),"",INDEX(BookRate,1085)*$P1090*(5-MATCH($Q1090,{"Q1";"Q2";"Q3";"Q4"},0))/4+INDEX(BookOneOff,1085)*$P1090)</f>
        <v/>
      </c>
      <c r="S1090" s="35" t="str">
        <f aca="false">IF($P1090="","",INDEX(BookRate,1085)*$P1090)</f>
        <v/>
      </c>
      <c r="T1090" s="35" t="str">
        <f aca="false">IF($R1090="","",$R1090-$K1090)</f>
        <v/>
      </c>
      <c r="U1090" s="35" t="str">
        <f aca="false">IF(N($P1090)&lt;=0,"",COUNTIF($P$6:$P1090,"&gt;0"))</f>
        <v/>
      </c>
    </row>
    <row r="1091" customFormat="false" ht="15" hidden="false" customHeight="false" outlineLevel="0" collapsed="false">
      <c r="A1091" s="40" t="str">
        <f aca="false">IF(INDEX(BookTitle,1086)="","",INDEX(BookGroup,1086))</f>
        <v/>
      </c>
      <c r="B1091" s="40" t="str">
        <f aca="false">IF(INDEX(BookTitle,1086)="","",INDEX(BookRef,1086))</f>
        <v/>
      </c>
      <c r="C1091" s="40" t="str">
        <f aca="false">IF(INDEX(BookTitle,1086)="","",INDEX(BookDivision,1086))</f>
        <v/>
      </c>
      <c r="D1091" s="40" t="str">
        <f aca="false">IF(INDEX(BookTitle,1086)="","",INDEX(BookUnit,1086))</f>
        <v/>
      </c>
      <c r="E1091" s="40" t="str">
        <f aca="false">IF(INDEX(BookTitle,1086)="","",INDEX(BookTitle,1086))</f>
        <v/>
      </c>
      <c r="F1091" s="40" t="str">
        <f aca="false">IF(INDEX(BookTitle,1086)="","",INDEX(BookLevel,1086))</f>
        <v/>
      </c>
      <c r="G1091" s="40" t="str">
        <f aca="false">IF(INDEX(BookTitle,1086)="","",INDEX(BookCategory,1086))</f>
        <v/>
      </c>
      <c r="H1091" s="40" t="str">
        <f aca="false">IF(INDEX(BookTitle,1086)="","",INDEX(BookRank,1086))</f>
        <v/>
      </c>
      <c r="I1091" s="41" t="str">
        <f aca="false">IF(INDEX(BookTitle,1086)="","",INDEX(BookTotal,1086))</f>
        <v/>
      </c>
      <c r="J1091" s="0" t="str">
        <f aca="false">IF($I1091="","",IF(INDEX(BookQ1,1086)&gt;0,"Q1",IF(INDEX(BookQ2,1086)&gt;0,"Q2",IF(INDEX(BookQ3,1086)&gt;0,"Q3",IF(INDEX(BookQ4,1086)&gt;0,"Q4","")))))</f>
        <v/>
      </c>
      <c r="K1091" s="42" t="str">
        <f aca="false">IF(INDEX(BookTitle,1086)="","",INDEX(BookInYear,1086))</f>
        <v/>
      </c>
      <c r="L1091" s="19"/>
      <c r="M1091" s="39"/>
      <c r="N1091" s="19"/>
      <c r="O1091" s="19"/>
      <c r="P1091" s="43" t="str">
        <f aca="false">IF($E1091="","",IF($L1091="Decline",0,IF($L1091="Approve fewer",IF($M1091="","",$M1091),IF($L1091="","",$I1091))))</f>
        <v/>
      </c>
      <c r="Q1091" s="34" t="str">
        <f aca="false">IF($P1091="","",IF($N1091&lt;&gt;"",$N1091,$J1091))</f>
        <v/>
      </c>
      <c r="R1091" s="35" t="str">
        <f aca="false">IF(OR($P1091="",$Q1091=""),"",INDEX(BookRate,1086)*$P1091*(5-MATCH($Q1091,{"Q1";"Q2";"Q3";"Q4"},0))/4+INDEX(BookOneOff,1086)*$P1091)</f>
        <v/>
      </c>
      <c r="S1091" s="35" t="str">
        <f aca="false">IF($P1091="","",INDEX(BookRate,1086)*$P1091)</f>
        <v/>
      </c>
      <c r="T1091" s="35" t="str">
        <f aca="false">IF($R1091="","",$R1091-$K1091)</f>
        <v/>
      </c>
      <c r="U1091" s="35" t="str">
        <f aca="false">IF(N($P1091)&lt;=0,"",COUNTIF($P$6:$P1091,"&gt;0"))</f>
        <v/>
      </c>
    </row>
    <row r="1092" customFormat="false" ht="15" hidden="false" customHeight="false" outlineLevel="0" collapsed="false">
      <c r="A1092" s="40" t="str">
        <f aca="false">IF(INDEX(BookTitle,1087)="","",INDEX(BookGroup,1087))</f>
        <v/>
      </c>
      <c r="B1092" s="40" t="str">
        <f aca="false">IF(INDEX(BookTitle,1087)="","",INDEX(BookRef,1087))</f>
        <v/>
      </c>
      <c r="C1092" s="40" t="str">
        <f aca="false">IF(INDEX(BookTitle,1087)="","",INDEX(BookDivision,1087))</f>
        <v/>
      </c>
      <c r="D1092" s="40" t="str">
        <f aca="false">IF(INDEX(BookTitle,1087)="","",INDEX(BookUnit,1087))</f>
        <v/>
      </c>
      <c r="E1092" s="40" t="str">
        <f aca="false">IF(INDEX(BookTitle,1087)="","",INDEX(BookTitle,1087))</f>
        <v/>
      </c>
      <c r="F1092" s="40" t="str">
        <f aca="false">IF(INDEX(BookTitle,1087)="","",INDEX(BookLevel,1087))</f>
        <v/>
      </c>
      <c r="G1092" s="40" t="str">
        <f aca="false">IF(INDEX(BookTitle,1087)="","",INDEX(BookCategory,1087))</f>
        <v/>
      </c>
      <c r="H1092" s="40" t="str">
        <f aca="false">IF(INDEX(BookTitle,1087)="","",INDEX(BookRank,1087))</f>
        <v/>
      </c>
      <c r="I1092" s="41" t="str">
        <f aca="false">IF(INDEX(BookTitle,1087)="","",INDEX(BookTotal,1087))</f>
        <v/>
      </c>
      <c r="J1092" s="0" t="str">
        <f aca="false">IF($I1092="","",IF(INDEX(BookQ1,1087)&gt;0,"Q1",IF(INDEX(BookQ2,1087)&gt;0,"Q2",IF(INDEX(BookQ3,1087)&gt;0,"Q3",IF(INDEX(BookQ4,1087)&gt;0,"Q4","")))))</f>
        <v/>
      </c>
      <c r="K1092" s="42" t="str">
        <f aca="false">IF(INDEX(BookTitle,1087)="","",INDEX(BookInYear,1087))</f>
        <v/>
      </c>
      <c r="L1092" s="19"/>
      <c r="M1092" s="39"/>
      <c r="N1092" s="19"/>
      <c r="O1092" s="19"/>
      <c r="P1092" s="43" t="str">
        <f aca="false">IF($E1092="","",IF($L1092="Decline",0,IF($L1092="Approve fewer",IF($M1092="","",$M1092),IF($L1092="","",$I1092))))</f>
        <v/>
      </c>
      <c r="Q1092" s="34" t="str">
        <f aca="false">IF($P1092="","",IF($N1092&lt;&gt;"",$N1092,$J1092))</f>
        <v/>
      </c>
      <c r="R1092" s="35" t="str">
        <f aca="false">IF(OR($P1092="",$Q1092=""),"",INDEX(BookRate,1087)*$P1092*(5-MATCH($Q1092,{"Q1";"Q2";"Q3";"Q4"},0))/4+INDEX(BookOneOff,1087)*$P1092)</f>
        <v/>
      </c>
      <c r="S1092" s="35" t="str">
        <f aca="false">IF($P1092="","",INDEX(BookRate,1087)*$P1092)</f>
        <v/>
      </c>
      <c r="T1092" s="35" t="str">
        <f aca="false">IF($R1092="","",$R1092-$K1092)</f>
        <v/>
      </c>
      <c r="U1092" s="35" t="str">
        <f aca="false">IF(N($P1092)&lt;=0,"",COUNTIF($P$6:$P1092,"&gt;0"))</f>
        <v/>
      </c>
    </row>
    <row r="1093" customFormat="false" ht="15" hidden="false" customHeight="false" outlineLevel="0" collapsed="false">
      <c r="A1093" s="40" t="str">
        <f aca="false">IF(INDEX(BookTitle,1088)="","",INDEX(BookGroup,1088))</f>
        <v/>
      </c>
      <c r="B1093" s="40" t="str">
        <f aca="false">IF(INDEX(BookTitle,1088)="","",INDEX(BookRef,1088))</f>
        <v/>
      </c>
      <c r="C1093" s="40" t="str">
        <f aca="false">IF(INDEX(BookTitle,1088)="","",INDEX(BookDivision,1088))</f>
        <v/>
      </c>
      <c r="D1093" s="40" t="str">
        <f aca="false">IF(INDEX(BookTitle,1088)="","",INDEX(BookUnit,1088))</f>
        <v/>
      </c>
      <c r="E1093" s="40" t="str">
        <f aca="false">IF(INDEX(BookTitle,1088)="","",INDEX(BookTitle,1088))</f>
        <v/>
      </c>
      <c r="F1093" s="40" t="str">
        <f aca="false">IF(INDEX(BookTitle,1088)="","",INDEX(BookLevel,1088))</f>
        <v/>
      </c>
      <c r="G1093" s="40" t="str">
        <f aca="false">IF(INDEX(BookTitle,1088)="","",INDEX(BookCategory,1088))</f>
        <v/>
      </c>
      <c r="H1093" s="40" t="str">
        <f aca="false">IF(INDEX(BookTitle,1088)="","",INDEX(BookRank,1088))</f>
        <v/>
      </c>
      <c r="I1093" s="41" t="str">
        <f aca="false">IF(INDEX(BookTitle,1088)="","",INDEX(BookTotal,1088))</f>
        <v/>
      </c>
      <c r="J1093" s="0" t="str">
        <f aca="false">IF($I1093="","",IF(INDEX(BookQ1,1088)&gt;0,"Q1",IF(INDEX(BookQ2,1088)&gt;0,"Q2",IF(INDEX(BookQ3,1088)&gt;0,"Q3",IF(INDEX(BookQ4,1088)&gt;0,"Q4","")))))</f>
        <v/>
      </c>
      <c r="K1093" s="42" t="str">
        <f aca="false">IF(INDEX(BookTitle,1088)="","",INDEX(BookInYear,1088))</f>
        <v/>
      </c>
      <c r="L1093" s="19"/>
      <c r="M1093" s="39"/>
      <c r="N1093" s="19"/>
      <c r="O1093" s="19"/>
      <c r="P1093" s="43" t="str">
        <f aca="false">IF($E1093="","",IF($L1093="Decline",0,IF($L1093="Approve fewer",IF($M1093="","",$M1093),IF($L1093="","",$I1093))))</f>
        <v/>
      </c>
      <c r="Q1093" s="34" t="str">
        <f aca="false">IF($P1093="","",IF($N1093&lt;&gt;"",$N1093,$J1093))</f>
        <v/>
      </c>
      <c r="R1093" s="35" t="str">
        <f aca="false">IF(OR($P1093="",$Q1093=""),"",INDEX(BookRate,1088)*$P1093*(5-MATCH($Q1093,{"Q1";"Q2";"Q3";"Q4"},0))/4+INDEX(BookOneOff,1088)*$P1093)</f>
        <v/>
      </c>
      <c r="S1093" s="35" t="str">
        <f aca="false">IF($P1093="","",INDEX(BookRate,1088)*$P1093)</f>
        <v/>
      </c>
      <c r="T1093" s="35" t="str">
        <f aca="false">IF($R1093="","",$R1093-$K1093)</f>
        <v/>
      </c>
      <c r="U1093" s="35" t="str">
        <f aca="false">IF(N($P1093)&lt;=0,"",COUNTIF($P$6:$P1093,"&gt;0"))</f>
        <v/>
      </c>
    </row>
    <row r="1094" customFormat="false" ht="15" hidden="false" customHeight="false" outlineLevel="0" collapsed="false">
      <c r="A1094" s="40" t="str">
        <f aca="false">IF(INDEX(BookTitle,1089)="","",INDEX(BookGroup,1089))</f>
        <v/>
      </c>
      <c r="B1094" s="40" t="str">
        <f aca="false">IF(INDEX(BookTitle,1089)="","",INDEX(BookRef,1089))</f>
        <v/>
      </c>
      <c r="C1094" s="40" t="str">
        <f aca="false">IF(INDEX(BookTitle,1089)="","",INDEX(BookDivision,1089))</f>
        <v/>
      </c>
      <c r="D1094" s="40" t="str">
        <f aca="false">IF(INDEX(BookTitle,1089)="","",INDEX(BookUnit,1089))</f>
        <v/>
      </c>
      <c r="E1094" s="40" t="str">
        <f aca="false">IF(INDEX(BookTitle,1089)="","",INDEX(BookTitle,1089))</f>
        <v/>
      </c>
      <c r="F1094" s="40" t="str">
        <f aca="false">IF(INDEX(BookTitle,1089)="","",INDEX(BookLevel,1089))</f>
        <v/>
      </c>
      <c r="G1094" s="40" t="str">
        <f aca="false">IF(INDEX(BookTitle,1089)="","",INDEX(BookCategory,1089))</f>
        <v/>
      </c>
      <c r="H1094" s="40" t="str">
        <f aca="false">IF(INDEX(BookTitle,1089)="","",INDEX(BookRank,1089))</f>
        <v/>
      </c>
      <c r="I1094" s="41" t="str">
        <f aca="false">IF(INDEX(BookTitle,1089)="","",INDEX(BookTotal,1089))</f>
        <v/>
      </c>
      <c r="J1094" s="0" t="str">
        <f aca="false">IF($I1094="","",IF(INDEX(BookQ1,1089)&gt;0,"Q1",IF(INDEX(BookQ2,1089)&gt;0,"Q2",IF(INDEX(BookQ3,1089)&gt;0,"Q3",IF(INDEX(BookQ4,1089)&gt;0,"Q4","")))))</f>
        <v/>
      </c>
      <c r="K1094" s="42" t="str">
        <f aca="false">IF(INDEX(BookTitle,1089)="","",INDEX(BookInYear,1089))</f>
        <v/>
      </c>
      <c r="L1094" s="19"/>
      <c r="M1094" s="39"/>
      <c r="N1094" s="19"/>
      <c r="O1094" s="19"/>
      <c r="P1094" s="43" t="str">
        <f aca="false">IF($E1094="","",IF($L1094="Decline",0,IF($L1094="Approve fewer",IF($M1094="","",$M1094),IF($L1094="","",$I1094))))</f>
        <v/>
      </c>
      <c r="Q1094" s="34" t="str">
        <f aca="false">IF($P1094="","",IF($N1094&lt;&gt;"",$N1094,$J1094))</f>
        <v/>
      </c>
      <c r="R1094" s="35" t="str">
        <f aca="false">IF(OR($P1094="",$Q1094=""),"",INDEX(BookRate,1089)*$P1094*(5-MATCH($Q1094,{"Q1";"Q2";"Q3";"Q4"},0))/4+INDEX(BookOneOff,1089)*$P1094)</f>
        <v/>
      </c>
      <c r="S1094" s="35" t="str">
        <f aca="false">IF($P1094="","",INDEX(BookRate,1089)*$P1094)</f>
        <v/>
      </c>
      <c r="T1094" s="35" t="str">
        <f aca="false">IF($R1094="","",$R1094-$K1094)</f>
        <v/>
      </c>
      <c r="U1094" s="35" t="str">
        <f aca="false">IF(N($P1094)&lt;=0,"",COUNTIF($P$6:$P1094,"&gt;0"))</f>
        <v/>
      </c>
    </row>
    <row r="1095" customFormat="false" ht="15" hidden="false" customHeight="false" outlineLevel="0" collapsed="false">
      <c r="A1095" s="40" t="str">
        <f aca="false">IF(INDEX(BookTitle,1090)="","",INDEX(BookGroup,1090))</f>
        <v/>
      </c>
      <c r="B1095" s="40" t="str">
        <f aca="false">IF(INDEX(BookTitle,1090)="","",INDEX(BookRef,1090))</f>
        <v/>
      </c>
      <c r="C1095" s="40" t="str">
        <f aca="false">IF(INDEX(BookTitle,1090)="","",INDEX(BookDivision,1090))</f>
        <v/>
      </c>
      <c r="D1095" s="40" t="str">
        <f aca="false">IF(INDEX(BookTitle,1090)="","",INDEX(BookUnit,1090))</f>
        <v/>
      </c>
      <c r="E1095" s="40" t="str">
        <f aca="false">IF(INDEX(BookTitle,1090)="","",INDEX(BookTitle,1090))</f>
        <v/>
      </c>
      <c r="F1095" s="40" t="str">
        <f aca="false">IF(INDEX(BookTitle,1090)="","",INDEX(BookLevel,1090))</f>
        <v/>
      </c>
      <c r="G1095" s="40" t="str">
        <f aca="false">IF(INDEX(BookTitle,1090)="","",INDEX(BookCategory,1090))</f>
        <v/>
      </c>
      <c r="H1095" s="40" t="str">
        <f aca="false">IF(INDEX(BookTitle,1090)="","",INDEX(BookRank,1090))</f>
        <v/>
      </c>
      <c r="I1095" s="41" t="str">
        <f aca="false">IF(INDEX(BookTitle,1090)="","",INDEX(BookTotal,1090))</f>
        <v/>
      </c>
      <c r="J1095" s="0" t="str">
        <f aca="false">IF($I1095="","",IF(INDEX(BookQ1,1090)&gt;0,"Q1",IF(INDEX(BookQ2,1090)&gt;0,"Q2",IF(INDEX(BookQ3,1090)&gt;0,"Q3",IF(INDEX(BookQ4,1090)&gt;0,"Q4","")))))</f>
        <v/>
      </c>
      <c r="K1095" s="42" t="str">
        <f aca="false">IF(INDEX(BookTitle,1090)="","",INDEX(BookInYear,1090))</f>
        <v/>
      </c>
      <c r="L1095" s="19"/>
      <c r="M1095" s="39"/>
      <c r="N1095" s="19"/>
      <c r="O1095" s="19"/>
      <c r="P1095" s="43" t="str">
        <f aca="false">IF($E1095="","",IF($L1095="Decline",0,IF($L1095="Approve fewer",IF($M1095="","",$M1095),IF($L1095="","",$I1095))))</f>
        <v/>
      </c>
      <c r="Q1095" s="34" t="str">
        <f aca="false">IF($P1095="","",IF($N1095&lt;&gt;"",$N1095,$J1095))</f>
        <v/>
      </c>
      <c r="R1095" s="35" t="str">
        <f aca="false">IF(OR($P1095="",$Q1095=""),"",INDEX(BookRate,1090)*$P1095*(5-MATCH($Q1095,{"Q1";"Q2";"Q3";"Q4"},0))/4+INDEX(BookOneOff,1090)*$P1095)</f>
        <v/>
      </c>
      <c r="S1095" s="35" t="str">
        <f aca="false">IF($P1095="","",INDEX(BookRate,1090)*$P1095)</f>
        <v/>
      </c>
      <c r="T1095" s="35" t="str">
        <f aca="false">IF($R1095="","",$R1095-$K1095)</f>
        <v/>
      </c>
      <c r="U1095" s="35" t="str">
        <f aca="false">IF(N($P1095)&lt;=0,"",COUNTIF($P$6:$P1095,"&gt;0"))</f>
        <v/>
      </c>
    </row>
    <row r="1096" customFormat="false" ht="15" hidden="false" customHeight="false" outlineLevel="0" collapsed="false">
      <c r="A1096" s="40" t="str">
        <f aca="false">IF(INDEX(BookTitle,1091)="","",INDEX(BookGroup,1091))</f>
        <v/>
      </c>
      <c r="B1096" s="40" t="str">
        <f aca="false">IF(INDEX(BookTitle,1091)="","",INDEX(BookRef,1091))</f>
        <v/>
      </c>
      <c r="C1096" s="40" t="str">
        <f aca="false">IF(INDEX(BookTitle,1091)="","",INDEX(BookDivision,1091))</f>
        <v/>
      </c>
      <c r="D1096" s="40" t="str">
        <f aca="false">IF(INDEX(BookTitle,1091)="","",INDEX(BookUnit,1091))</f>
        <v/>
      </c>
      <c r="E1096" s="40" t="str">
        <f aca="false">IF(INDEX(BookTitle,1091)="","",INDEX(BookTitle,1091))</f>
        <v/>
      </c>
      <c r="F1096" s="40" t="str">
        <f aca="false">IF(INDEX(BookTitle,1091)="","",INDEX(BookLevel,1091))</f>
        <v/>
      </c>
      <c r="G1096" s="40" t="str">
        <f aca="false">IF(INDEX(BookTitle,1091)="","",INDEX(BookCategory,1091))</f>
        <v/>
      </c>
      <c r="H1096" s="40" t="str">
        <f aca="false">IF(INDEX(BookTitle,1091)="","",INDEX(BookRank,1091))</f>
        <v/>
      </c>
      <c r="I1096" s="41" t="str">
        <f aca="false">IF(INDEX(BookTitle,1091)="","",INDEX(BookTotal,1091))</f>
        <v/>
      </c>
      <c r="J1096" s="0" t="str">
        <f aca="false">IF($I1096="","",IF(INDEX(BookQ1,1091)&gt;0,"Q1",IF(INDEX(BookQ2,1091)&gt;0,"Q2",IF(INDEX(BookQ3,1091)&gt;0,"Q3",IF(INDEX(BookQ4,1091)&gt;0,"Q4","")))))</f>
        <v/>
      </c>
      <c r="K1096" s="42" t="str">
        <f aca="false">IF(INDEX(BookTitle,1091)="","",INDEX(BookInYear,1091))</f>
        <v/>
      </c>
      <c r="L1096" s="19"/>
      <c r="M1096" s="39"/>
      <c r="N1096" s="19"/>
      <c r="O1096" s="19"/>
      <c r="P1096" s="43" t="str">
        <f aca="false">IF($E1096="","",IF($L1096="Decline",0,IF($L1096="Approve fewer",IF($M1096="","",$M1096),IF($L1096="","",$I1096))))</f>
        <v/>
      </c>
      <c r="Q1096" s="34" t="str">
        <f aca="false">IF($P1096="","",IF($N1096&lt;&gt;"",$N1096,$J1096))</f>
        <v/>
      </c>
      <c r="R1096" s="35" t="str">
        <f aca="false">IF(OR($P1096="",$Q1096=""),"",INDEX(BookRate,1091)*$P1096*(5-MATCH($Q1096,{"Q1";"Q2";"Q3";"Q4"},0))/4+INDEX(BookOneOff,1091)*$P1096)</f>
        <v/>
      </c>
      <c r="S1096" s="35" t="str">
        <f aca="false">IF($P1096="","",INDEX(BookRate,1091)*$P1096)</f>
        <v/>
      </c>
      <c r="T1096" s="35" t="str">
        <f aca="false">IF($R1096="","",$R1096-$K1096)</f>
        <v/>
      </c>
      <c r="U1096" s="35" t="str">
        <f aca="false">IF(N($P1096)&lt;=0,"",COUNTIF($P$6:$P1096,"&gt;0"))</f>
        <v/>
      </c>
    </row>
    <row r="1097" customFormat="false" ht="15" hidden="false" customHeight="false" outlineLevel="0" collapsed="false">
      <c r="A1097" s="40" t="str">
        <f aca="false">IF(INDEX(BookTitle,1092)="","",INDEX(BookGroup,1092))</f>
        <v/>
      </c>
      <c r="B1097" s="40" t="str">
        <f aca="false">IF(INDEX(BookTitle,1092)="","",INDEX(BookRef,1092))</f>
        <v/>
      </c>
      <c r="C1097" s="40" t="str">
        <f aca="false">IF(INDEX(BookTitle,1092)="","",INDEX(BookDivision,1092))</f>
        <v/>
      </c>
      <c r="D1097" s="40" t="str">
        <f aca="false">IF(INDEX(BookTitle,1092)="","",INDEX(BookUnit,1092))</f>
        <v/>
      </c>
      <c r="E1097" s="40" t="str">
        <f aca="false">IF(INDEX(BookTitle,1092)="","",INDEX(BookTitle,1092))</f>
        <v/>
      </c>
      <c r="F1097" s="40" t="str">
        <f aca="false">IF(INDEX(BookTitle,1092)="","",INDEX(BookLevel,1092))</f>
        <v/>
      </c>
      <c r="G1097" s="40" t="str">
        <f aca="false">IF(INDEX(BookTitle,1092)="","",INDEX(BookCategory,1092))</f>
        <v/>
      </c>
      <c r="H1097" s="40" t="str">
        <f aca="false">IF(INDEX(BookTitle,1092)="","",INDEX(BookRank,1092))</f>
        <v/>
      </c>
      <c r="I1097" s="41" t="str">
        <f aca="false">IF(INDEX(BookTitle,1092)="","",INDEX(BookTotal,1092))</f>
        <v/>
      </c>
      <c r="J1097" s="0" t="str">
        <f aca="false">IF($I1097="","",IF(INDEX(BookQ1,1092)&gt;0,"Q1",IF(INDEX(BookQ2,1092)&gt;0,"Q2",IF(INDEX(BookQ3,1092)&gt;0,"Q3",IF(INDEX(BookQ4,1092)&gt;0,"Q4","")))))</f>
        <v/>
      </c>
      <c r="K1097" s="42" t="str">
        <f aca="false">IF(INDEX(BookTitle,1092)="","",INDEX(BookInYear,1092))</f>
        <v/>
      </c>
      <c r="L1097" s="19"/>
      <c r="M1097" s="39"/>
      <c r="N1097" s="19"/>
      <c r="O1097" s="19"/>
      <c r="P1097" s="43" t="str">
        <f aca="false">IF($E1097="","",IF($L1097="Decline",0,IF($L1097="Approve fewer",IF($M1097="","",$M1097),IF($L1097="","",$I1097))))</f>
        <v/>
      </c>
      <c r="Q1097" s="34" t="str">
        <f aca="false">IF($P1097="","",IF($N1097&lt;&gt;"",$N1097,$J1097))</f>
        <v/>
      </c>
      <c r="R1097" s="35" t="str">
        <f aca="false">IF(OR($P1097="",$Q1097=""),"",INDEX(BookRate,1092)*$P1097*(5-MATCH($Q1097,{"Q1";"Q2";"Q3";"Q4"},0))/4+INDEX(BookOneOff,1092)*$P1097)</f>
        <v/>
      </c>
      <c r="S1097" s="35" t="str">
        <f aca="false">IF($P1097="","",INDEX(BookRate,1092)*$P1097)</f>
        <v/>
      </c>
      <c r="T1097" s="35" t="str">
        <f aca="false">IF($R1097="","",$R1097-$K1097)</f>
        <v/>
      </c>
      <c r="U1097" s="35" t="str">
        <f aca="false">IF(N($P1097)&lt;=0,"",COUNTIF($P$6:$P1097,"&gt;0"))</f>
        <v/>
      </c>
    </row>
    <row r="1098" customFormat="false" ht="15" hidden="false" customHeight="false" outlineLevel="0" collapsed="false">
      <c r="A1098" s="40" t="str">
        <f aca="false">IF(INDEX(BookTitle,1093)="","",INDEX(BookGroup,1093))</f>
        <v/>
      </c>
      <c r="B1098" s="40" t="str">
        <f aca="false">IF(INDEX(BookTitle,1093)="","",INDEX(BookRef,1093))</f>
        <v/>
      </c>
      <c r="C1098" s="40" t="str">
        <f aca="false">IF(INDEX(BookTitle,1093)="","",INDEX(BookDivision,1093))</f>
        <v/>
      </c>
      <c r="D1098" s="40" t="str">
        <f aca="false">IF(INDEX(BookTitle,1093)="","",INDEX(BookUnit,1093))</f>
        <v/>
      </c>
      <c r="E1098" s="40" t="str">
        <f aca="false">IF(INDEX(BookTitle,1093)="","",INDEX(BookTitle,1093))</f>
        <v/>
      </c>
      <c r="F1098" s="40" t="str">
        <f aca="false">IF(INDEX(BookTitle,1093)="","",INDEX(BookLevel,1093))</f>
        <v/>
      </c>
      <c r="G1098" s="40" t="str">
        <f aca="false">IF(INDEX(BookTitle,1093)="","",INDEX(BookCategory,1093))</f>
        <v/>
      </c>
      <c r="H1098" s="40" t="str">
        <f aca="false">IF(INDEX(BookTitle,1093)="","",INDEX(BookRank,1093))</f>
        <v/>
      </c>
      <c r="I1098" s="41" t="str">
        <f aca="false">IF(INDEX(BookTitle,1093)="","",INDEX(BookTotal,1093))</f>
        <v/>
      </c>
      <c r="J1098" s="0" t="str">
        <f aca="false">IF($I1098="","",IF(INDEX(BookQ1,1093)&gt;0,"Q1",IF(INDEX(BookQ2,1093)&gt;0,"Q2",IF(INDEX(BookQ3,1093)&gt;0,"Q3",IF(INDEX(BookQ4,1093)&gt;0,"Q4","")))))</f>
        <v/>
      </c>
      <c r="K1098" s="42" t="str">
        <f aca="false">IF(INDEX(BookTitle,1093)="","",INDEX(BookInYear,1093))</f>
        <v/>
      </c>
      <c r="L1098" s="19"/>
      <c r="M1098" s="39"/>
      <c r="N1098" s="19"/>
      <c r="O1098" s="19"/>
      <c r="P1098" s="43" t="str">
        <f aca="false">IF($E1098="","",IF($L1098="Decline",0,IF($L1098="Approve fewer",IF($M1098="","",$M1098),IF($L1098="","",$I1098))))</f>
        <v/>
      </c>
      <c r="Q1098" s="34" t="str">
        <f aca="false">IF($P1098="","",IF($N1098&lt;&gt;"",$N1098,$J1098))</f>
        <v/>
      </c>
      <c r="R1098" s="35" t="str">
        <f aca="false">IF(OR($P1098="",$Q1098=""),"",INDEX(BookRate,1093)*$P1098*(5-MATCH($Q1098,{"Q1";"Q2";"Q3";"Q4"},0))/4+INDEX(BookOneOff,1093)*$P1098)</f>
        <v/>
      </c>
      <c r="S1098" s="35" t="str">
        <f aca="false">IF($P1098="","",INDEX(BookRate,1093)*$P1098)</f>
        <v/>
      </c>
      <c r="T1098" s="35" t="str">
        <f aca="false">IF($R1098="","",$R1098-$K1098)</f>
        <v/>
      </c>
      <c r="U1098" s="35" t="str">
        <f aca="false">IF(N($P1098)&lt;=0,"",COUNTIF($P$6:$P1098,"&gt;0"))</f>
        <v/>
      </c>
    </row>
    <row r="1099" customFormat="false" ht="15" hidden="false" customHeight="false" outlineLevel="0" collapsed="false">
      <c r="A1099" s="40" t="str">
        <f aca="false">IF(INDEX(BookTitle,1094)="","",INDEX(BookGroup,1094))</f>
        <v/>
      </c>
      <c r="B1099" s="40" t="str">
        <f aca="false">IF(INDEX(BookTitle,1094)="","",INDEX(BookRef,1094))</f>
        <v/>
      </c>
      <c r="C1099" s="40" t="str">
        <f aca="false">IF(INDEX(BookTitle,1094)="","",INDEX(BookDivision,1094))</f>
        <v/>
      </c>
      <c r="D1099" s="40" t="str">
        <f aca="false">IF(INDEX(BookTitle,1094)="","",INDEX(BookUnit,1094))</f>
        <v/>
      </c>
      <c r="E1099" s="40" t="str">
        <f aca="false">IF(INDEX(BookTitle,1094)="","",INDEX(BookTitle,1094))</f>
        <v/>
      </c>
      <c r="F1099" s="40" t="str">
        <f aca="false">IF(INDEX(BookTitle,1094)="","",INDEX(BookLevel,1094))</f>
        <v/>
      </c>
      <c r="G1099" s="40" t="str">
        <f aca="false">IF(INDEX(BookTitle,1094)="","",INDEX(BookCategory,1094))</f>
        <v/>
      </c>
      <c r="H1099" s="40" t="str">
        <f aca="false">IF(INDEX(BookTitle,1094)="","",INDEX(BookRank,1094))</f>
        <v/>
      </c>
      <c r="I1099" s="41" t="str">
        <f aca="false">IF(INDEX(BookTitle,1094)="","",INDEX(BookTotal,1094))</f>
        <v/>
      </c>
      <c r="J1099" s="0" t="str">
        <f aca="false">IF($I1099="","",IF(INDEX(BookQ1,1094)&gt;0,"Q1",IF(INDEX(BookQ2,1094)&gt;0,"Q2",IF(INDEX(BookQ3,1094)&gt;0,"Q3",IF(INDEX(BookQ4,1094)&gt;0,"Q4","")))))</f>
        <v/>
      </c>
      <c r="K1099" s="42" t="str">
        <f aca="false">IF(INDEX(BookTitle,1094)="","",INDEX(BookInYear,1094))</f>
        <v/>
      </c>
      <c r="L1099" s="19"/>
      <c r="M1099" s="39"/>
      <c r="N1099" s="19"/>
      <c r="O1099" s="19"/>
      <c r="P1099" s="43" t="str">
        <f aca="false">IF($E1099="","",IF($L1099="Decline",0,IF($L1099="Approve fewer",IF($M1099="","",$M1099),IF($L1099="","",$I1099))))</f>
        <v/>
      </c>
      <c r="Q1099" s="34" t="str">
        <f aca="false">IF($P1099="","",IF($N1099&lt;&gt;"",$N1099,$J1099))</f>
        <v/>
      </c>
      <c r="R1099" s="35" t="str">
        <f aca="false">IF(OR($P1099="",$Q1099=""),"",INDEX(BookRate,1094)*$P1099*(5-MATCH($Q1099,{"Q1";"Q2";"Q3";"Q4"},0))/4+INDEX(BookOneOff,1094)*$P1099)</f>
        <v/>
      </c>
      <c r="S1099" s="35" t="str">
        <f aca="false">IF($P1099="","",INDEX(BookRate,1094)*$P1099)</f>
        <v/>
      </c>
      <c r="T1099" s="35" t="str">
        <f aca="false">IF($R1099="","",$R1099-$K1099)</f>
        <v/>
      </c>
      <c r="U1099" s="35" t="str">
        <f aca="false">IF(N($P1099)&lt;=0,"",COUNTIF($P$6:$P1099,"&gt;0"))</f>
        <v/>
      </c>
    </row>
    <row r="1100" customFormat="false" ht="15" hidden="false" customHeight="false" outlineLevel="0" collapsed="false">
      <c r="A1100" s="40" t="str">
        <f aca="false">IF(INDEX(BookTitle,1095)="","",INDEX(BookGroup,1095))</f>
        <v/>
      </c>
      <c r="B1100" s="40" t="str">
        <f aca="false">IF(INDEX(BookTitle,1095)="","",INDEX(BookRef,1095))</f>
        <v/>
      </c>
      <c r="C1100" s="40" t="str">
        <f aca="false">IF(INDEX(BookTitle,1095)="","",INDEX(BookDivision,1095))</f>
        <v/>
      </c>
      <c r="D1100" s="40" t="str">
        <f aca="false">IF(INDEX(BookTitle,1095)="","",INDEX(BookUnit,1095))</f>
        <v/>
      </c>
      <c r="E1100" s="40" t="str">
        <f aca="false">IF(INDEX(BookTitle,1095)="","",INDEX(BookTitle,1095))</f>
        <v/>
      </c>
      <c r="F1100" s="40" t="str">
        <f aca="false">IF(INDEX(BookTitle,1095)="","",INDEX(BookLevel,1095))</f>
        <v/>
      </c>
      <c r="G1100" s="40" t="str">
        <f aca="false">IF(INDEX(BookTitle,1095)="","",INDEX(BookCategory,1095))</f>
        <v/>
      </c>
      <c r="H1100" s="40" t="str">
        <f aca="false">IF(INDEX(BookTitle,1095)="","",INDEX(BookRank,1095))</f>
        <v/>
      </c>
      <c r="I1100" s="41" t="str">
        <f aca="false">IF(INDEX(BookTitle,1095)="","",INDEX(BookTotal,1095))</f>
        <v/>
      </c>
      <c r="J1100" s="0" t="str">
        <f aca="false">IF($I1100="","",IF(INDEX(BookQ1,1095)&gt;0,"Q1",IF(INDEX(BookQ2,1095)&gt;0,"Q2",IF(INDEX(BookQ3,1095)&gt;0,"Q3",IF(INDEX(BookQ4,1095)&gt;0,"Q4","")))))</f>
        <v/>
      </c>
      <c r="K1100" s="42" t="str">
        <f aca="false">IF(INDEX(BookTitle,1095)="","",INDEX(BookInYear,1095))</f>
        <v/>
      </c>
      <c r="L1100" s="19"/>
      <c r="M1100" s="39"/>
      <c r="N1100" s="19"/>
      <c r="O1100" s="19"/>
      <c r="P1100" s="43" t="str">
        <f aca="false">IF($E1100="","",IF($L1100="Decline",0,IF($L1100="Approve fewer",IF($M1100="","",$M1100),IF($L1100="","",$I1100))))</f>
        <v/>
      </c>
      <c r="Q1100" s="34" t="str">
        <f aca="false">IF($P1100="","",IF($N1100&lt;&gt;"",$N1100,$J1100))</f>
        <v/>
      </c>
      <c r="R1100" s="35" t="str">
        <f aca="false">IF(OR($P1100="",$Q1100=""),"",INDEX(BookRate,1095)*$P1100*(5-MATCH($Q1100,{"Q1";"Q2";"Q3";"Q4"},0))/4+INDEX(BookOneOff,1095)*$P1100)</f>
        <v/>
      </c>
      <c r="S1100" s="35" t="str">
        <f aca="false">IF($P1100="","",INDEX(BookRate,1095)*$P1100)</f>
        <v/>
      </c>
      <c r="T1100" s="35" t="str">
        <f aca="false">IF($R1100="","",$R1100-$K1100)</f>
        <v/>
      </c>
      <c r="U1100" s="35" t="str">
        <f aca="false">IF(N($P1100)&lt;=0,"",COUNTIF($P$6:$P1100,"&gt;0"))</f>
        <v/>
      </c>
    </row>
    <row r="1101" customFormat="false" ht="15" hidden="false" customHeight="false" outlineLevel="0" collapsed="false">
      <c r="A1101" s="40" t="str">
        <f aca="false">IF(INDEX(BookTitle,1096)="","",INDEX(BookGroup,1096))</f>
        <v/>
      </c>
      <c r="B1101" s="40" t="str">
        <f aca="false">IF(INDEX(BookTitle,1096)="","",INDEX(BookRef,1096))</f>
        <v/>
      </c>
      <c r="C1101" s="40" t="str">
        <f aca="false">IF(INDEX(BookTitle,1096)="","",INDEX(BookDivision,1096))</f>
        <v/>
      </c>
      <c r="D1101" s="40" t="str">
        <f aca="false">IF(INDEX(BookTitle,1096)="","",INDEX(BookUnit,1096))</f>
        <v/>
      </c>
      <c r="E1101" s="40" t="str">
        <f aca="false">IF(INDEX(BookTitle,1096)="","",INDEX(BookTitle,1096))</f>
        <v/>
      </c>
      <c r="F1101" s="40" t="str">
        <f aca="false">IF(INDEX(BookTitle,1096)="","",INDEX(BookLevel,1096))</f>
        <v/>
      </c>
      <c r="G1101" s="40" t="str">
        <f aca="false">IF(INDEX(BookTitle,1096)="","",INDEX(BookCategory,1096))</f>
        <v/>
      </c>
      <c r="H1101" s="40" t="str">
        <f aca="false">IF(INDEX(BookTitle,1096)="","",INDEX(BookRank,1096))</f>
        <v/>
      </c>
      <c r="I1101" s="41" t="str">
        <f aca="false">IF(INDEX(BookTitle,1096)="","",INDEX(BookTotal,1096))</f>
        <v/>
      </c>
      <c r="J1101" s="0" t="str">
        <f aca="false">IF($I1101="","",IF(INDEX(BookQ1,1096)&gt;0,"Q1",IF(INDEX(BookQ2,1096)&gt;0,"Q2",IF(INDEX(BookQ3,1096)&gt;0,"Q3",IF(INDEX(BookQ4,1096)&gt;0,"Q4","")))))</f>
        <v/>
      </c>
      <c r="K1101" s="42" t="str">
        <f aca="false">IF(INDEX(BookTitle,1096)="","",INDEX(BookInYear,1096))</f>
        <v/>
      </c>
      <c r="L1101" s="19"/>
      <c r="M1101" s="39"/>
      <c r="N1101" s="19"/>
      <c r="O1101" s="19"/>
      <c r="P1101" s="43" t="str">
        <f aca="false">IF($E1101="","",IF($L1101="Decline",0,IF($L1101="Approve fewer",IF($M1101="","",$M1101),IF($L1101="","",$I1101))))</f>
        <v/>
      </c>
      <c r="Q1101" s="34" t="str">
        <f aca="false">IF($P1101="","",IF($N1101&lt;&gt;"",$N1101,$J1101))</f>
        <v/>
      </c>
      <c r="R1101" s="35" t="str">
        <f aca="false">IF(OR($P1101="",$Q1101=""),"",INDEX(BookRate,1096)*$P1101*(5-MATCH($Q1101,{"Q1";"Q2";"Q3";"Q4"},0))/4+INDEX(BookOneOff,1096)*$P1101)</f>
        <v/>
      </c>
      <c r="S1101" s="35" t="str">
        <f aca="false">IF($P1101="","",INDEX(BookRate,1096)*$P1101)</f>
        <v/>
      </c>
      <c r="T1101" s="35" t="str">
        <f aca="false">IF($R1101="","",$R1101-$K1101)</f>
        <v/>
      </c>
      <c r="U1101" s="35" t="str">
        <f aca="false">IF(N($P1101)&lt;=0,"",COUNTIF($P$6:$P1101,"&gt;0"))</f>
        <v/>
      </c>
    </row>
    <row r="1102" customFormat="false" ht="15" hidden="false" customHeight="false" outlineLevel="0" collapsed="false">
      <c r="A1102" s="40" t="str">
        <f aca="false">IF(INDEX(BookTitle,1097)="","",INDEX(BookGroup,1097))</f>
        <v/>
      </c>
      <c r="B1102" s="40" t="str">
        <f aca="false">IF(INDEX(BookTitle,1097)="","",INDEX(BookRef,1097))</f>
        <v/>
      </c>
      <c r="C1102" s="40" t="str">
        <f aca="false">IF(INDEX(BookTitle,1097)="","",INDEX(BookDivision,1097))</f>
        <v/>
      </c>
      <c r="D1102" s="40" t="str">
        <f aca="false">IF(INDEX(BookTitle,1097)="","",INDEX(BookUnit,1097))</f>
        <v/>
      </c>
      <c r="E1102" s="40" t="str">
        <f aca="false">IF(INDEX(BookTitle,1097)="","",INDEX(BookTitle,1097))</f>
        <v/>
      </c>
      <c r="F1102" s="40" t="str">
        <f aca="false">IF(INDEX(BookTitle,1097)="","",INDEX(BookLevel,1097))</f>
        <v/>
      </c>
      <c r="G1102" s="40" t="str">
        <f aca="false">IF(INDEX(BookTitle,1097)="","",INDEX(BookCategory,1097))</f>
        <v/>
      </c>
      <c r="H1102" s="40" t="str">
        <f aca="false">IF(INDEX(BookTitle,1097)="","",INDEX(BookRank,1097))</f>
        <v/>
      </c>
      <c r="I1102" s="41" t="str">
        <f aca="false">IF(INDEX(BookTitle,1097)="","",INDEX(BookTotal,1097))</f>
        <v/>
      </c>
      <c r="J1102" s="0" t="str">
        <f aca="false">IF($I1102="","",IF(INDEX(BookQ1,1097)&gt;0,"Q1",IF(INDEX(BookQ2,1097)&gt;0,"Q2",IF(INDEX(BookQ3,1097)&gt;0,"Q3",IF(INDEX(BookQ4,1097)&gt;0,"Q4","")))))</f>
        <v/>
      </c>
      <c r="K1102" s="42" t="str">
        <f aca="false">IF(INDEX(BookTitle,1097)="","",INDEX(BookInYear,1097))</f>
        <v/>
      </c>
      <c r="L1102" s="19"/>
      <c r="M1102" s="39"/>
      <c r="N1102" s="19"/>
      <c r="O1102" s="19"/>
      <c r="P1102" s="43" t="str">
        <f aca="false">IF($E1102="","",IF($L1102="Decline",0,IF($L1102="Approve fewer",IF($M1102="","",$M1102),IF($L1102="","",$I1102))))</f>
        <v/>
      </c>
      <c r="Q1102" s="34" t="str">
        <f aca="false">IF($P1102="","",IF($N1102&lt;&gt;"",$N1102,$J1102))</f>
        <v/>
      </c>
      <c r="R1102" s="35" t="str">
        <f aca="false">IF(OR($P1102="",$Q1102=""),"",INDEX(BookRate,1097)*$P1102*(5-MATCH($Q1102,{"Q1";"Q2";"Q3";"Q4"},0))/4+INDEX(BookOneOff,1097)*$P1102)</f>
        <v/>
      </c>
      <c r="S1102" s="35" t="str">
        <f aca="false">IF($P1102="","",INDEX(BookRate,1097)*$P1102)</f>
        <v/>
      </c>
      <c r="T1102" s="35" t="str">
        <f aca="false">IF($R1102="","",$R1102-$K1102)</f>
        <v/>
      </c>
      <c r="U1102" s="35" t="str">
        <f aca="false">IF(N($P1102)&lt;=0,"",COUNTIF($P$6:$P1102,"&gt;0"))</f>
        <v/>
      </c>
    </row>
    <row r="1103" customFormat="false" ht="15" hidden="false" customHeight="false" outlineLevel="0" collapsed="false">
      <c r="A1103" s="40" t="str">
        <f aca="false">IF(INDEX(BookTitle,1098)="","",INDEX(BookGroup,1098))</f>
        <v/>
      </c>
      <c r="B1103" s="40" t="str">
        <f aca="false">IF(INDEX(BookTitle,1098)="","",INDEX(BookRef,1098))</f>
        <v/>
      </c>
      <c r="C1103" s="40" t="str">
        <f aca="false">IF(INDEX(BookTitle,1098)="","",INDEX(BookDivision,1098))</f>
        <v/>
      </c>
      <c r="D1103" s="40" t="str">
        <f aca="false">IF(INDEX(BookTitle,1098)="","",INDEX(BookUnit,1098))</f>
        <v/>
      </c>
      <c r="E1103" s="40" t="str">
        <f aca="false">IF(INDEX(BookTitle,1098)="","",INDEX(BookTitle,1098))</f>
        <v/>
      </c>
      <c r="F1103" s="40" t="str">
        <f aca="false">IF(INDEX(BookTitle,1098)="","",INDEX(BookLevel,1098))</f>
        <v/>
      </c>
      <c r="G1103" s="40" t="str">
        <f aca="false">IF(INDEX(BookTitle,1098)="","",INDEX(BookCategory,1098))</f>
        <v/>
      </c>
      <c r="H1103" s="40" t="str">
        <f aca="false">IF(INDEX(BookTitle,1098)="","",INDEX(BookRank,1098))</f>
        <v/>
      </c>
      <c r="I1103" s="41" t="str">
        <f aca="false">IF(INDEX(BookTitle,1098)="","",INDEX(BookTotal,1098))</f>
        <v/>
      </c>
      <c r="J1103" s="0" t="str">
        <f aca="false">IF($I1103="","",IF(INDEX(BookQ1,1098)&gt;0,"Q1",IF(INDEX(BookQ2,1098)&gt;0,"Q2",IF(INDEX(BookQ3,1098)&gt;0,"Q3",IF(INDEX(BookQ4,1098)&gt;0,"Q4","")))))</f>
        <v/>
      </c>
      <c r="K1103" s="42" t="str">
        <f aca="false">IF(INDEX(BookTitle,1098)="","",INDEX(BookInYear,1098))</f>
        <v/>
      </c>
      <c r="L1103" s="19"/>
      <c r="M1103" s="39"/>
      <c r="N1103" s="19"/>
      <c r="O1103" s="19"/>
      <c r="P1103" s="43" t="str">
        <f aca="false">IF($E1103="","",IF($L1103="Decline",0,IF($L1103="Approve fewer",IF($M1103="","",$M1103),IF($L1103="","",$I1103))))</f>
        <v/>
      </c>
      <c r="Q1103" s="34" t="str">
        <f aca="false">IF($P1103="","",IF($N1103&lt;&gt;"",$N1103,$J1103))</f>
        <v/>
      </c>
      <c r="R1103" s="35" t="str">
        <f aca="false">IF(OR($P1103="",$Q1103=""),"",INDEX(BookRate,1098)*$P1103*(5-MATCH($Q1103,{"Q1";"Q2";"Q3";"Q4"},0))/4+INDEX(BookOneOff,1098)*$P1103)</f>
        <v/>
      </c>
      <c r="S1103" s="35" t="str">
        <f aca="false">IF($P1103="","",INDEX(BookRate,1098)*$P1103)</f>
        <v/>
      </c>
      <c r="T1103" s="35" t="str">
        <f aca="false">IF($R1103="","",$R1103-$K1103)</f>
        <v/>
      </c>
      <c r="U1103" s="35" t="str">
        <f aca="false">IF(N($P1103)&lt;=0,"",COUNTIF($P$6:$P1103,"&gt;0"))</f>
        <v/>
      </c>
    </row>
    <row r="1104" customFormat="false" ht="15" hidden="false" customHeight="false" outlineLevel="0" collapsed="false">
      <c r="A1104" s="40" t="str">
        <f aca="false">IF(INDEX(BookTitle,1099)="","",INDEX(BookGroup,1099))</f>
        <v/>
      </c>
      <c r="B1104" s="40" t="str">
        <f aca="false">IF(INDEX(BookTitle,1099)="","",INDEX(BookRef,1099))</f>
        <v/>
      </c>
      <c r="C1104" s="40" t="str">
        <f aca="false">IF(INDEX(BookTitle,1099)="","",INDEX(BookDivision,1099))</f>
        <v/>
      </c>
      <c r="D1104" s="40" t="str">
        <f aca="false">IF(INDEX(BookTitle,1099)="","",INDEX(BookUnit,1099))</f>
        <v/>
      </c>
      <c r="E1104" s="40" t="str">
        <f aca="false">IF(INDEX(BookTitle,1099)="","",INDEX(BookTitle,1099))</f>
        <v/>
      </c>
      <c r="F1104" s="40" t="str">
        <f aca="false">IF(INDEX(BookTitle,1099)="","",INDEX(BookLevel,1099))</f>
        <v/>
      </c>
      <c r="G1104" s="40" t="str">
        <f aca="false">IF(INDEX(BookTitle,1099)="","",INDEX(BookCategory,1099))</f>
        <v/>
      </c>
      <c r="H1104" s="40" t="str">
        <f aca="false">IF(INDEX(BookTitle,1099)="","",INDEX(BookRank,1099))</f>
        <v/>
      </c>
      <c r="I1104" s="41" t="str">
        <f aca="false">IF(INDEX(BookTitle,1099)="","",INDEX(BookTotal,1099))</f>
        <v/>
      </c>
      <c r="J1104" s="0" t="str">
        <f aca="false">IF($I1104="","",IF(INDEX(BookQ1,1099)&gt;0,"Q1",IF(INDEX(BookQ2,1099)&gt;0,"Q2",IF(INDEX(BookQ3,1099)&gt;0,"Q3",IF(INDEX(BookQ4,1099)&gt;0,"Q4","")))))</f>
        <v/>
      </c>
      <c r="K1104" s="42" t="str">
        <f aca="false">IF(INDEX(BookTitle,1099)="","",INDEX(BookInYear,1099))</f>
        <v/>
      </c>
      <c r="L1104" s="19"/>
      <c r="M1104" s="39"/>
      <c r="N1104" s="19"/>
      <c r="O1104" s="19"/>
      <c r="P1104" s="43" t="str">
        <f aca="false">IF($E1104="","",IF($L1104="Decline",0,IF($L1104="Approve fewer",IF($M1104="","",$M1104),IF($L1104="","",$I1104))))</f>
        <v/>
      </c>
      <c r="Q1104" s="34" t="str">
        <f aca="false">IF($P1104="","",IF($N1104&lt;&gt;"",$N1104,$J1104))</f>
        <v/>
      </c>
      <c r="R1104" s="35" t="str">
        <f aca="false">IF(OR($P1104="",$Q1104=""),"",INDEX(BookRate,1099)*$P1104*(5-MATCH($Q1104,{"Q1";"Q2";"Q3";"Q4"},0))/4+INDEX(BookOneOff,1099)*$P1104)</f>
        <v/>
      </c>
      <c r="S1104" s="35" t="str">
        <f aca="false">IF($P1104="","",INDEX(BookRate,1099)*$P1104)</f>
        <v/>
      </c>
      <c r="T1104" s="35" t="str">
        <f aca="false">IF($R1104="","",$R1104-$K1104)</f>
        <v/>
      </c>
      <c r="U1104" s="35" t="str">
        <f aca="false">IF(N($P1104)&lt;=0,"",COUNTIF($P$6:$P1104,"&gt;0"))</f>
        <v/>
      </c>
    </row>
    <row r="1105" customFormat="false" ht="15" hidden="false" customHeight="false" outlineLevel="0" collapsed="false">
      <c r="A1105" s="40" t="str">
        <f aca="false">IF(INDEX(BookTitle,1100)="","",INDEX(BookGroup,1100))</f>
        <v/>
      </c>
      <c r="B1105" s="40" t="str">
        <f aca="false">IF(INDEX(BookTitle,1100)="","",INDEX(BookRef,1100))</f>
        <v/>
      </c>
      <c r="C1105" s="40" t="str">
        <f aca="false">IF(INDEX(BookTitle,1100)="","",INDEX(BookDivision,1100))</f>
        <v/>
      </c>
      <c r="D1105" s="40" t="str">
        <f aca="false">IF(INDEX(BookTitle,1100)="","",INDEX(BookUnit,1100))</f>
        <v/>
      </c>
      <c r="E1105" s="40" t="str">
        <f aca="false">IF(INDEX(BookTitle,1100)="","",INDEX(BookTitle,1100))</f>
        <v/>
      </c>
      <c r="F1105" s="40" t="str">
        <f aca="false">IF(INDEX(BookTitle,1100)="","",INDEX(BookLevel,1100))</f>
        <v/>
      </c>
      <c r="G1105" s="40" t="str">
        <f aca="false">IF(INDEX(BookTitle,1100)="","",INDEX(BookCategory,1100))</f>
        <v/>
      </c>
      <c r="H1105" s="40" t="str">
        <f aca="false">IF(INDEX(BookTitle,1100)="","",INDEX(BookRank,1100))</f>
        <v/>
      </c>
      <c r="I1105" s="41" t="str">
        <f aca="false">IF(INDEX(BookTitle,1100)="","",INDEX(BookTotal,1100))</f>
        <v/>
      </c>
      <c r="J1105" s="0" t="str">
        <f aca="false">IF($I1105="","",IF(INDEX(BookQ1,1100)&gt;0,"Q1",IF(INDEX(BookQ2,1100)&gt;0,"Q2",IF(INDEX(BookQ3,1100)&gt;0,"Q3",IF(INDEX(BookQ4,1100)&gt;0,"Q4","")))))</f>
        <v/>
      </c>
      <c r="K1105" s="42" t="str">
        <f aca="false">IF(INDEX(BookTitle,1100)="","",INDEX(BookInYear,1100))</f>
        <v/>
      </c>
      <c r="L1105" s="19"/>
      <c r="M1105" s="39"/>
      <c r="N1105" s="19"/>
      <c r="O1105" s="19"/>
      <c r="P1105" s="43" t="str">
        <f aca="false">IF($E1105="","",IF($L1105="Decline",0,IF($L1105="Approve fewer",IF($M1105="","",$M1105),IF($L1105="","",$I1105))))</f>
        <v/>
      </c>
      <c r="Q1105" s="34" t="str">
        <f aca="false">IF($P1105="","",IF($N1105&lt;&gt;"",$N1105,$J1105))</f>
        <v/>
      </c>
      <c r="R1105" s="35" t="str">
        <f aca="false">IF(OR($P1105="",$Q1105=""),"",INDEX(BookRate,1100)*$P1105*(5-MATCH($Q1105,{"Q1";"Q2";"Q3";"Q4"},0))/4+INDEX(BookOneOff,1100)*$P1105)</f>
        <v/>
      </c>
      <c r="S1105" s="35" t="str">
        <f aca="false">IF($P1105="","",INDEX(BookRate,1100)*$P1105)</f>
        <v/>
      </c>
      <c r="T1105" s="35" t="str">
        <f aca="false">IF($R1105="","",$R1105-$K1105)</f>
        <v/>
      </c>
      <c r="U1105" s="35" t="str">
        <f aca="false">IF(N($P1105)&lt;=0,"",COUNTIF($P$6:$P1105,"&gt;0"))</f>
        <v/>
      </c>
    </row>
    <row r="1106" customFormat="false" ht="15" hidden="false" customHeight="false" outlineLevel="0" collapsed="false">
      <c r="A1106" s="40" t="str">
        <f aca="false">IF(INDEX(BookTitle,1101)="","",INDEX(BookGroup,1101))</f>
        <v/>
      </c>
      <c r="B1106" s="40" t="str">
        <f aca="false">IF(INDEX(BookTitle,1101)="","",INDEX(BookRef,1101))</f>
        <v/>
      </c>
      <c r="C1106" s="40" t="str">
        <f aca="false">IF(INDEX(BookTitle,1101)="","",INDEX(BookDivision,1101))</f>
        <v/>
      </c>
      <c r="D1106" s="40" t="str">
        <f aca="false">IF(INDEX(BookTitle,1101)="","",INDEX(BookUnit,1101))</f>
        <v/>
      </c>
      <c r="E1106" s="40" t="str">
        <f aca="false">IF(INDEX(BookTitle,1101)="","",INDEX(BookTitle,1101))</f>
        <v/>
      </c>
      <c r="F1106" s="40" t="str">
        <f aca="false">IF(INDEX(BookTitle,1101)="","",INDEX(BookLevel,1101))</f>
        <v/>
      </c>
      <c r="G1106" s="40" t="str">
        <f aca="false">IF(INDEX(BookTitle,1101)="","",INDEX(BookCategory,1101))</f>
        <v/>
      </c>
      <c r="H1106" s="40" t="str">
        <f aca="false">IF(INDEX(BookTitle,1101)="","",INDEX(BookRank,1101))</f>
        <v/>
      </c>
      <c r="I1106" s="41" t="str">
        <f aca="false">IF(INDEX(BookTitle,1101)="","",INDEX(BookTotal,1101))</f>
        <v/>
      </c>
      <c r="J1106" s="0" t="str">
        <f aca="false">IF($I1106="","",IF(INDEX(BookQ1,1101)&gt;0,"Q1",IF(INDEX(BookQ2,1101)&gt;0,"Q2",IF(INDEX(BookQ3,1101)&gt;0,"Q3",IF(INDEX(BookQ4,1101)&gt;0,"Q4","")))))</f>
        <v/>
      </c>
      <c r="K1106" s="42" t="str">
        <f aca="false">IF(INDEX(BookTitle,1101)="","",INDEX(BookInYear,1101))</f>
        <v/>
      </c>
      <c r="L1106" s="19"/>
      <c r="M1106" s="39"/>
      <c r="N1106" s="19"/>
      <c r="O1106" s="19"/>
      <c r="P1106" s="43" t="str">
        <f aca="false">IF($E1106="","",IF($L1106="Decline",0,IF($L1106="Approve fewer",IF($M1106="","",$M1106),IF($L1106="","",$I1106))))</f>
        <v/>
      </c>
      <c r="Q1106" s="34" t="str">
        <f aca="false">IF($P1106="","",IF($N1106&lt;&gt;"",$N1106,$J1106))</f>
        <v/>
      </c>
      <c r="R1106" s="35" t="str">
        <f aca="false">IF(OR($P1106="",$Q1106=""),"",INDEX(BookRate,1101)*$P1106*(5-MATCH($Q1106,{"Q1";"Q2";"Q3";"Q4"},0))/4+INDEX(BookOneOff,1101)*$P1106)</f>
        <v/>
      </c>
      <c r="S1106" s="35" t="str">
        <f aca="false">IF($P1106="","",INDEX(BookRate,1101)*$P1106)</f>
        <v/>
      </c>
      <c r="T1106" s="35" t="str">
        <f aca="false">IF($R1106="","",$R1106-$K1106)</f>
        <v/>
      </c>
      <c r="U1106" s="35" t="str">
        <f aca="false">IF(N($P1106)&lt;=0,"",COUNTIF($P$6:$P1106,"&gt;0"))</f>
        <v/>
      </c>
    </row>
    <row r="1107" customFormat="false" ht="15" hidden="false" customHeight="false" outlineLevel="0" collapsed="false">
      <c r="A1107" s="40" t="str">
        <f aca="false">IF(INDEX(BookTitle,1102)="","",INDEX(BookGroup,1102))</f>
        <v/>
      </c>
      <c r="B1107" s="40" t="str">
        <f aca="false">IF(INDEX(BookTitle,1102)="","",INDEX(BookRef,1102))</f>
        <v/>
      </c>
      <c r="C1107" s="40" t="str">
        <f aca="false">IF(INDEX(BookTitle,1102)="","",INDEX(BookDivision,1102))</f>
        <v/>
      </c>
      <c r="D1107" s="40" t="str">
        <f aca="false">IF(INDEX(BookTitle,1102)="","",INDEX(BookUnit,1102))</f>
        <v/>
      </c>
      <c r="E1107" s="40" t="str">
        <f aca="false">IF(INDEX(BookTitle,1102)="","",INDEX(BookTitle,1102))</f>
        <v/>
      </c>
      <c r="F1107" s="40" t="str">
        <f aca="false">IF(INDEX(BookTitle,1102)="","",INDEX(BookLevel,1102))</f>
        <v/>
      </c>
      <c r="G1107" s="40" t="str">
        <f aca="false">IF(INDEX(BookTitle,1102)="","",INDEX(BookCategory,1102))</f>
        <v/>
      </c>
      <c r="H1107" s="40" t="str">
        <f aca="false">IF(INDEX(BookTitle,1102)="","",INDEX(BookRank,1102))</f>
        <v/>
      </c>
      <c r="I1107" s="41" t="str">
        <f aca="false">IF(INDEX(BookTitle,1102)="","",INDEX(BookTotal,1102))</f>
        <v/>
      </c>
      <c r="J1107" s="0" t="str">
        <f aca="false">IF($I1107="","",IF(INDEX(BookQ1,1102)&gt;0,"Q1",IF(INDEX(BookQ2,1102)&gt;0,"Q2",IF(INDEX(BookQ3,1102)&gt;0,"Q3",IF(INDEX(BookQ4,1102)&gt;0,"Q4","")))))</f>
        <v/>
      </c>
      <c r="K1107" s="42" t="str">
        <f aca="false">IF(INDEX(BookTitle,1102)="","",INDEX(BookInYear,1102))</f>
        <v/>
      </c>
      <c r="L1107" s="19"/>
      <c r="M1107" s="39"/>
      <c r="N1107" s="19"/>
      <c r="O1107" s="19"/>
      <c r="P1107" s="43" t="str">
        <f aca="false">IF($E1107="","",IF($L1107="Decline",0,IF($L1107="Approve fewer",IF($M1107="","",$M1107),IF($L1107="","",$I1107))))</f>
        <v/>
      </c>
      <c r="Q1107" s="34" t="str">
        <f aca="false">IF($P1107="","",IF($N1107&lt;&gt;"",$N1107,$J1107))</f>
        <v/>
      </c>
      <c r="R1107" s="35" t="str">
        <f aca="false">IF(OR($P1107="",$Q1107=""),"",INDEX(BookRate,1102)*$P1107*(5-MATCH($Q1107,{"Q1";"Q2";"Q3";"Q4"},0))/4+INDEX(BookOneOff,1102)*$P1107)</f>
        <v/>
      </c>
      <c r="S1107" s="35" t="str">
        <f aca="false">IF($P1107="","",INDEX(BookRate,1102)*$P1107)</f>
        <v/>
      </c>
      <c r="T1107" s="35" t="str">
        <f aca="false">IF($R1107="","",$R1107-$K1107)</f>
        <v/>
      </c>
      <c r="U1107" s="35" t="str">
        <f aca="false">IF(N($P1107)&lt;=0,"",COUNTIF($P$6:$P1107,"&gt;0"))</f>
        <v/>
      </c>
    </row>
    <row r="1108" customFormat="false" ht="15" hidden="false" customHeight="false" outlineLevel="0" collapsed="false">
      <c r="A1108" s="40" t="str">
        <f aca="false">IF(INDEX(BookTitle,1103)="","",INDEX(BookGroup,1103))</f>
        <v/>
      </c>
      <c r="B1108" s="40" t="str">
        <f aca="false">IF(INDEX(BookTitle,1103)="","",INDEX(BookRef,1103))</f>
        <v/>
      </c>
      <c r="C1108" s="40" t="str">
        <f aca="false">IF(INDEX(BookTitle,1103)="","",INDEX(BookDivision,1103))</f>
        <v/>
      </c>
      <c r="D1108" s="40" t="str">
        <f aca="false">IF(INDEX(BookTitle,1103)="","",INDEX(BookUnit,1103))</f>
        <v/>
      </c>
      <c r="E1108" s="40" t="str">
        <f aca="false">IF(INDEX(BookTitle,1103)="","",INDEX(BookTitle,1103))</f>
        <v/>
      </c>
      <c r="F1108" s="40" t="str">
        <f aca="false">IF(INDEX(BookTitle,1103)="","",INDEX(BookLevel,1103))</f>
        <v/>
      </c>
      <c r="G1108" s="40" t="str">
        <f aca="false">IF(INDEX(BookTitle,1103)="","",INDEX(BookCategory,1103))</f>
        <v/>
      </c>
      <c r="H1108" s="40" t="str">
        <f aca="false">IF(INDEX(BookTitle,1103)="","",INDEX(BookRank,1103))</f>
        <v/>
      </c>
      <c r="I1108" s="41" t="str">
        <f aca="false">IF(INDEX(BookTitle,1103)="","",INDEX(BookTotal,1103))</f>
        <v/>
      </c>
      <c r="J1108" s="0" t="str">
        <f aca="false">IF($I1108="","",IF(INDEX(BookQ1,1103)&gt;0,"Q1",IF(INDEX(BookQ2,1103)&gt;0,"Q2",IF(INDEX(BookQ3,1103)&gt;0,"Q3",IF(INDEX(BookQ4,1103)&gt;0,"Q4","")))))</f>
        <v/>
      </c>
      <c r="K1108" s="42" t="str">
        <f aca="false">IF(INDEX(BookTitle,1103)="","",INDEX(BookInYear,1103))</f>
        <v/>
      </c>
      <c r="L1108" s="19"/>
      <c r="M1108" s="39"/>
      <c r="N1108" s="19"/>
      <c r="O1108" s="19"/>
      <c r="P1108" s="43" t="str">
        <f aca="false">IF($E1108="","",IF($L1108="Decline",0,IF($L1108="Approve fewer",IF($M1108="","",$M1108),IF($L1108="","",$I1108))))</f>
        <v/>
      </c>
      <c r="Q1108" s="34" t="str">
        <f aca="false">IF($P1108="","",IF($N1108&lt;&gt;"",$N1108,$J1108))</f>
        <v/>
      </c>
      <c r="R1108" s="35" t="str">
        <f aca="false">IF(OR($P1108="",$Q1108=""),"",INDEX(BookRate,1103)*$P1108*(5-MATCH($Q1108,{"Q1";"Q2";"Q3";"Q4"},0))/4+INDEX(BookOneOff,1103)*$P1108)</f>
        <v/>
      </c>
      <c r="S1108" s="35" t="str">
        <f aca="false">IF($P1108="","",INDEX(BookRate,1103)*$P1108)</f>
        <v/>
      </c>
      <c r="T1108" s="35" t="str">
        <f aca="false">IF($R1108="","",$R1108-$K1108)</f>
        <v/>
      </c>
      <c r="U1108" s="35" t="str">
        <f aca="false">IF(N($P1108)&lt;=0,"",COUNTIF($P$6:$P1108,"&gt;0"))</f>
        <v/>
      </c>
    </row>
    <row r="1109" customFormat="false" ht="15" hidden="false" customHeight="false" outlineLevel="0" collapsed="false">
      <c r="A1109" s="40" t="str">
        <f aca="false">IF(INDEX(BookTitle,1104)="","",INDEX(BookGroup,1104))</f>
        <v/>
      </c>
      <c r="B1109" s="40" t="str">
        <f aca="false">IF(INDEX(BookTitle,1104)="","",INDEX(BookRef,1104))</f>
        <v/>
      </c>
      <c r="C1109" s="40" t="str">
        <f aca="false">IF(INDEX(BookTitle,1104)="","",INDEX(BookDivision,1104))</f>
        <v/>
      </c>
      <c r="D1109" s="40" t="str">
        <f aca="false">IF(INDEX(BookTitle,1104)="","",INDEX(BookUnit,1104))</f>
        <v/>
      </c>
      <c r="E1109" s="40" t="str">
        <f aca="false">IF(INDEX(BookTitle,1104)="","",INDEX(BookTitle,1104))</f>
        <v/>
      </c>
      <c r="F1109" s="40" t="str">
        <f aca="false">IF(INDEX(BookTitle,1104)="","",INDEX(BookLevel,1104))</f>
        <v/>
      </c>
      <c r="G1109" s="40" t="str">
        <f aca="false">IF(INDEX(BookTitle,1104)="","",INDEX(BookCategory,1104))</f>
        <v/>
      </c>
      <c r="H1109" s="40" t="str">
        <f aca="false">IF(INDEX(BookTitle,1104)="","",INDEX(BookRank,1104))</f>
        <v/>
      </c>
      <c r="I1109" s="41" t="str">
        <f aca="false">IF(INDEX(BookTitle,1104)="","",INDEX(BookTotal,1104))</f>
        <v/>
      </c>
      <c r="J1109" s="0" t="str">
        <f aca="false">IF($I1109="","",IF(INDEX(BookQ1,1104)&gt;0,"Q1",IF(INDEX(BookQ2,1104)&gt;0,"Q2",IF(INDEX(BookQ3,1104)&gt;0,"Q3",IF(INDEX(BookQ4,1104)&gt;0,"Q4","")))))</f>
        <v/>
      </c>
      <c r="K1109" s="42" t="str">
        <f aca="false">IF(INDEX(BookTitle,1104)="","",INDEX(BookInYear,1104))</f>
        <v/>
      </c>
      <c r="L1109" s="19"/>
      <c r="M1109" s="39"/>
      <c r="N1109" s="19"/>
      <c r="O1109" s="19"/>
      <c r="P1109" s="43" t="str">
        <f aca="false">IF($E1109="","",IF($L1109="Decline",0,IF($L1109="Approve fewer",IF($M1109="","",$M1109),IF($L1109="","",$I1109))))</f>
        <v/>
      </c>
      <c r="Q1109" s="34" t="str">
        <f aca="false">IF($P1109="","",IF($N1109&lt;&gt;"",$N1109,$J1109))</f>
        <v/>
      </c>
      <c r="R1109" s="35" t="str">
        <f aca="false">IF(OR($P1109="",$Q1109=""),"",INDEX(BookRate,1104)*$P1109*(5-MATCH($Q1109,{"Q1";"Q2";"Q3";"Q4"},0))/4+INDEX(BookOneOff,1104)*$P1109)</f>
        <v/>
      </c>
      <c r="S1109" s="35" t="str">
        <f aca="false">IF($P1109="","",INDEX(BookRate,1104)*$P1109)</f>
        <v/>
      </c>
      <c r="T1109" s="35" t="str">
        <f aca="false">IF($R1109="","",$R1109-$K1109)</f>
        <v/>
      </c>
      <c r="U1109" s="35" t="str">
        <f aca="false">IF(N($P1109)&lt;=0,"",COUNTIF($P$6:$P1109,"&gt;0"))</f>
        <v/>
      </c>
    </row>
    <row r="1110" customFormat="false" ht="15" hidden="false" customHeight="false" outlineLevel="0" collapsed="false">
      <c r="A1110" s="40" t="str">
        <f aca="false">IF(INDEX(BookTitle,1105)="","",INDEX(BookGroup,1105))</f>
        <v/>
      </c>
      <c r="B1110" s="40" t="str">
        <f aca="false">IF(INDEX(BookTitle,1105)="","",INDEX(BookRef,1105))</f>
        <v/>
      </c>
      <c r="C1110" s="40" t="str">
        <f aca="false">IF(INDEX(BookTitle,1105)="","",INDEX(BookDivision,1105))</f>
        <v/>
      </c>
      <c r="D1110" s="40" t="str">
        <f aca="false">IF(INDEX(BookTitle,1105)="","",INDEX(BookUnit,1105))</f>
        <v/>
      </c>
      <c r="E1110" s="40" t="str">
        <f aca="false">IF(INDEX(BookTitle,1105)="","",INDEX(BookTitle,1105))</f>
        <v/>
      </c>
      <c r="F1110" s="40" t="str">
        <f aca="false">IF(INDEX(BookTitle,1105)="","",INDEX(BookLevel,1105))</f>
        <v/>
      </c>
      <c r="G1110" s="40" t="str">
        <f aca="false">IF(INDEX(BookTitle,1105)="","",INDEX(BookCategory,1105))</f>
        <v/>
      </c>
      <c r="H1110" s="40" t="str">
        <f aca="false">IF(INDEX(BookTitle,1105)="","",INDEX(BookRank,1105))</f>
        <v/>
      </c>
      <c r="I1110" s="41" t="str">
        <f aca="false">IF(INDEX(BookTitle,1105)="","",INDEX(BookTotal,1105))</f>
        <v/>
      </c>
      <c r="J1110" s="0" t="str">
        <f aca="false">IF($I1110="","",IF(INDEX(BookQ1,1105)&gt;0,"Q1",IF(INDEX(BookQ2,1105)&gt;0,"Q2",IF(INDEX(BookQ3,1105)&gt;0,"Q3",IF(INDEX(BookQ4,1105)&gt;0,"Q4","")))))</f>
        <v/>
      </c>
      <c r="K1110" s="42" t="str">
        <f aca="false">IF(INDEX(BookTitle,1105)="","",INDEX(BookInYear,1105))</f>
        <v/>
      </c>
      <c r="L1110" s="19"/>
      <c r="M1110" s="39"/>
      <c r="N1110" s="19"/>
      <c r="O1110" s="19"/>
      <c r="P1110" s="43" t="str">
        <f aca="false">IF($E1110="","",IF($L1110="Decline",0,IF($L1110="Approve fewer",IF($M1110="","",$M1110),IF($L1110="","",$I1110))))</f>
        <v/>
      </c>
      <c r="Q1110" s="34" t="str">
        <f aca="false">IF($P1110="","",IF($N1110&lt;&gt;"",$N1110,$J1110))</f>
        <v/>
      </c>
      <c r="R1110" s="35" t="str">
        <f aca="false">IF(OR($P1110="",$Q1110=""),"",INDEX(BookRate,1105)*$P1110*(5-MATCH($Q1110,{"Q1";"Q2";"Q3";"Q4"},0))/4+INDEX(BookOneOff,1105)*$P1110)</f>
        <v/>
      </c>
      <c r="S1110" s="35" t="str">
        <f aca="false">IF($P1110="","",INDEX(BookRate,1105)*$P1110)</f>
        <v/>
      </c>
      <c r="T1110" s="35" t="str">
        <f aca="false">IF($R1110="","",$R1110-$K1110)</f>
        <v/>
      </c>
      <c r="U1110" s="35" t="str">
        <f aca="false">IF(N($P1110)&lt;=0,"",COUNTIF($P$6:$P1110,"&gt;0"))</f>
        <v/>
      </c>
    </row>
    <row r="1111" customFormat="false" ht="15" hidden="false" customHeight="false" outlineLevel="0" collapsed="false">
      <c r="A1111" s="40" t="str">
        <f aca="false">IF(INDEX(BookTitle,1106)="","",INDEX(BookGroup,1106))</f>
        <v/>
      </c>
      <c r="B1111" s="40" t="str">
        <f aca="false">IF(INDEX(BookTitle,1106)="","",INDEX(BookRef,1106))</f>
        <v/>
      </c>
      <c r="C1111" s="40" t="str">
        <f aca="false">IF(INDEX(BookTitle,1106)="","",INDEX(BookDivision,1106))</f>
        <v/>
      </c>
      <c r="D1111" s="40" t="str">
        <f aca="false">IF(INDEX(BookTitle,1106)="","",INDEX(BookUnit,1106))</f>
        <v/>
      </c>
      <c r="E1111" s="40" t="str">
        <f aca="false">IF(INDEX(BookTitle,1106)="","",INDEX(BookTitle,1106))</f>
        <v/>
      </c>
      <c r="F1111" s="40" t="str">
        <f aca="false">IF(INDEX(BookTitle,1106)="","",INDEX(BookLevel,1106))</f>
        <v/>
      </c>
      <c r="G1111" s="40" t="str">
        <f aca="false">IF(INDEX(BookTitle,1106)="","",INDEX(BookCategory,1106))</f>
        <v/>
      </c>
      <c r="H1111" s="40" t="str">
        <f aca="false">IF(INDEX(BookTitle,1106)="","",INDEX(BookRank,1106))</f>
        <v/>
      </c>
      <c r="I1111" s="41" t="str">
        <f aca="false">IF(INDEX(BookTitle,1106)="","",INDEX(BookTotal,1106))</f>
        <v/>
      </c>
      <c r="J1111" s="0" t="str">
        <f aca="false">IF($I1111="","",IF(INDEX(BookQ1,1106)&gt;0,"Q1",IF(INDEX(BookQ2,1106)&gt;0,"Q2",IF(INDEX(BookQ3,1106)&gt;0,"Q3",IF(INDEX(BookQ4,1106)&gt;0,"Q4","")))))</f>
        <v/>
      </c>
      <c r="K1111" s="42" t="str">
        <f aca="false">IF(INDEX(BookTitle,1106)="","",INDEX(BookInYear,1106))</f>
        <v/>
      </c>
      <c r="L1111" s="19"/>
      <c r="M1111" s="39"/>
      <c r="N1111" s="19"/>
      <c r="O1111" s="19"/>
      <c r="P1111" s="43" t="str">
        <f aca="false">IF($E1111="","",IF($L1111="Decline",0,IF($L1111="Approve fewer",IF($M1111="","",$M1111),IF($L1111="","",$I1111))))</f>
        <v/>
      </c>
      <c r="Q1111" s="34" t="str">
        <f aca="false">IF($P1111="","",IF($N1111&lt;&gt;"",$N1111,$J1111))</f>
        <v/>
      </c>
      <c r="R1111" s="35" t="str">
        <f aca="false">IF(OR($P1111="",$Q1111=""),"",INDEX(BookRate,1106)*$P1111*(5-MATCH($Q1111,{"Q1";"Q2";"Q3";"Q4"},0))/4+INDEX(BookOneOff,1106)*$P1111)</f>
        <v/>
      </c>
      <c r="S1111" s="35" t="str">
        <f aca="false">IF($P1111="","",INDEX(BookRate,1106)*$P1111)</f>
        <v/>
      </c>
      <c r="T1111" s="35" t="str">
        <f aca="false">IF($R1111="","",$R1111-$K1111)</f>
        <v/>
      </c>
      <c r="U1111" s="35" t="str">
        <f aca="false">IF(N($P1111)&lt;=0,"",COUNTIF($P$6:$P1111,"&gt;0"))</f>
        <v/>
      </c>
    </row>
    <row r="1112" customFormat="false" ht="15" hidden="false" customHeight="false" outlineLevel="0" collapsed="false">
      <c r="A1112" s="40" t="str">
        <f aca="false">IF(INDEX(BookTitle,1107)="","",INDEX(BookGroup,1107))</f>
        <v/>
      </c>
      <c r="B1112" s="40" t="str">
        <f aca="false">IF(INDEX(BookTitle,1107)="","",INDEX(BookRef,1107))</f>
        <v/>
      </c>
      <c r="C1112" s="40" t="str">
        <f aca="false">IF(INDEX(BookTitle,1107)="","",INDEX(BookDivision,1107))</f>
        <v/>
      </c>
      <c r="D1112" s="40" t="str">
        <f aca="false">IF(INDEX(BookTitle,1107)="","",INDEX(BookUnit,1107))</f>
        <v/>
      </c>
      <c r="E1112" s="40" t="str">
        <f aca="false">IF(INDEX(BookTitle,1107)="","",INDEX(BookTitle,1107))</f>
        <v/>
      </c>
      <c r="F1112" s="40" t="str">
        <f aca="false">IF(INDEX(BookTitle,1107)="","",INDEX(BookLevel,1107))</f>
        <v/>
      </c>
      <c r="G1112" s="40" t="str">
        <f aca="false">IF(INDEX(BookTitle,1107)="","",INDEX(BookCategory,1107))</f>
        <v/>
      </c>
      <c r="H1112" s="40" t="str">
        <f aca="false">IF(INDEX(BookTitle,1107)="","",INDEX(BookRank,1107))</f>
        <v/>
      </c>
      <c r="I1112" s="41" t="str">
        <f aca="false">IF(INDEX(BookTitle,1107)="","",INDEX(BookTotal,1107))</f>
        <v/>
      </c>
      <c r="J1112" s="0" t="str">
        <f aca="false">IF($I1112="","",IF(INDEX(BookQ1,1107)&gt;0,"Q1",IF(INDEX(BookQ2,1107)&gt;0,"Q2",IF(INDEX(BookQ3,1107)&gt;0,"Q3",IF(INDEX(BookQ4,1107)&gt;0,"Q4","")))))</f>
        <v/>
      </c>
      <c r="K1112" s="42" t="str">
        <f aca="false">IF(INDEX(BookTitle,1107)="","",INDEX(BookInYear,1107))</f>
        <v/>
      </c>
      <c r="L1112" s="19"/>
      <c r="M1112" s="39"/>
      <c r="N1112" s="19"/>
      <c r="O1112" s="19"/>
      <c r="P1112" s="43" t="str">
        <f aca="false">IF($E1112="","",IF($L1112="Decline",0,IF($L1112="Approve fewer",IF($M1112="","",$M1112),IF($L1112="","",$I1112))))</f>
        <v/>
      </c>
      <c r="Q1112" s="34" t="str">
        <f aca="false">IF($P1112="","",IF($N1112&lt;&gt;"",$N1112,$J1112))</f>
        <v/>
      </c>
      <c r="R1112" s="35" t="str">
        <f aca="false">IF(OR($P1112="",$Q1112=""),"",INDEX(BookRate,1107)*$P1112*(5-MATCH($Q1112,{"Q1";"Q2";"Q3";"Q4"},0))/4+INDEX(BookOneOff,1107)*$P1112)</f>
        <v/>
      </c>
      <c r="S1112" s="35" t="str">
        <f aca="false">IF($P1112="","",INDEX(BookRate,1107)*$P1112)</f>
        <v/>
      </c>
      <c r="T1112" s="35" t="str">
        <f aca="false">IF($R1112="","",$R1112-$K1112)</f>
        <v/>
      </c>
      <c r="U1112" s="35" t="str">
        <f aca="false">IF(N($P1112)&lt;=0,"",COUNTIF($P$6:$P1112,"&gt;0"))</f>
        <v/>
      </c>
    </row>
    <row r="1113" customFormat="false" ht="15" hidden="false" customHeight="false" outlineLevel="0" collapsed="false">
      <c r="A1113" s="40" t="str">
        <f aca="false">IF(INDEX(BookTitle,1108)="","",INDEX(BookGroup,1108))</f>
        <v/>
      </c>
      <c r="B1113" s="40" t="str">
        <f aca="false">IF(INDEX(BookTitle,1108)="","",INDEX(BookRef,1108))</f>
        <v/>
      </c>
      <c r="C1113" s="40" t="str">
        <f aca="false">IF(INDEX(BookTitle,1108)="","",INDEX(BookDivision,1108))</f>
        <v/>
      </c>
      <c r="D1113" s="40" t="str">
        <f aca="false">IF(INDEX(BookTitle,1108)="","",INDEX(BookUnit,1108))</f>
        <v/>
      </c>
      <c r="E1113" s="40" t="str">
        <f aca="false">IF(INDEX(BookTitle,1108)="","",INDEX(BookTitle,1108))</f>
        <v/>
      </c>
      <c r="F1113" s="40" t="str">
        <f aca="false">IF(INDEX(BookTitle,1108)="","",INDEX(BookLevel,1108))</f>
        <v/>
      </c>
      <c r="G1113" s="40" t="str">
        <f aca="false">IF(INDEX(BookTitle,1108)="","",INDEX(BookCategory,1108))</f>
        <v/>
      </c>
      <c r="H1113" s="40" t="str">
        <f aca="false">IF(INDEX(BookTitle,1108)="","",INDEX(BookRank,1108))</f>
        <v/>
      </c>
      <c r="I1113" s="41" t="str">
        <f aca="false">IF(INDEX(BookTitle,1108)="","",INDEX(BookTotal,1108))</f>
        <v/>
      </c>
      <c r="J1113" s="0" t="str">
        <f aca="false">IF($I1113="","",IF(INDEX(BookQ1,1108)&gt;0,"Q1",IF(INDEX(BookQ2,1108)&gt;0,"Q2",IF(INDEX(BookQ3,1108)&gt;0,"Q3",IF(INDEX(BookQ4,1108)&gt;0,"Q4","")))))</f>
        <v/>
      </c>
      <c r="K1113" s="42" t="str">
        <f aca="false">IF(INDEX(BookTitle,1108)="","",INDEX(BookInYear,1108))</f>
        <v/>
      </c>
      <c r="L1113" s="19"/>
      <c r="M1113" s="39"/>
      <c r="N1113" s="19"/>
      <c r="O1113" s="19"/>
      <c r="P1113" s="43" t="str">
        <f aca="false">IF($E1113="","",IF($L1113="Decline",0,IF($L1113="Approve fewer",IF($M1113="","",$M1113),IF($L1113="","",$I1113))))</f>
        <v/>
      </c>
      <c r="Q1113" s="34" t="str">
        <f aca="false">IF($P1113="","",IF($N1113&lt;&gt;"",$N1113,$J1113))</f>
        <v/>
      </c>
      <c r="R1113" s="35" t="str">
        <f aca="false">IF(OR($P1113="",$Q1113=""),"",INDEX(BookRate,1108)*$P1113*(5-MATCH($Q1113,{"Q1";"Q2";"Q3";"Q4"},0))/4+INDEX(BookOneOff,1108)*$P1113)</f>
        <v/>
      </c>
      <c r="S1113" s="35" t="str">
        <f aca="false">IF($P1113="","",INDEX(BookRate,1108)*$P1113)</f>
        <v/>
      </c>
      <c r="T1113" s="35" t="str">
        <f aca="false">IF($R1113="","",$R1113-$K1113)</f>
        <v/>
      </c>
      <c r="U1113" s="35" t="str">
        <f aca="false">IF(N($P1113)&lt;=0,"",COUNTIF($P$6:$P1113,"&gt;0"))</f>
        <v/>
      </c>
    </row>
    <row r="1114" customFormat="false" ht="15" hidden="false" customHeight="false" outlineLevel="0" collapsed="false">
      <c r="A1114" s="40" t="str">
        <f aca="false">IF(INDEX(BookTitle,1109)="","",INDEX(BookGroup,1109))</f>
        <v/>
      </c>
      <c r="B1114" s="40" t="str">
        <f aca="false">IF(INDEX(BookTitle,1109)="","",INDEX(BookRef,1109))</f>
        <v/>
      </c>
      <c r="C1114" s="40" t="str">
        <f aca="false">IF(INDEX(BookTitle,1109)="","",INDEX(BookDivision,1109))</f>
        <v/>
      </c>
      <c r="D1114" s="40" t="str">
        <f aca="false">IF(INDEX(BookTitle,1109)="","",INDEX(BookUnit,1109))</f>
        <v/>
      </c>
      <c r="E1114" s="40" t="str">
        <f aca="false">IF(INDEX(BookTitle,1109)="","",INDEX(BookTitle,1109))</f>
        <v/>
      </c>
      <c r="F1114" s="40" t="str">
        <f aca="false">IF(INDEX(BookTitle,1109)="","",INDEX(BookLevel,1109))</f>
        <v/>
      </c>
      <c r="G1114" s="40" t="str">
        <f aca="false">IF(INDEX(BookTitle,1109)="","",INDEX(BookCategory,1109))</f>
        <v/>
      </c>
      <c r="H1114" s="40" t="str">
        <f aca="false">IF(INDEX(BookTitle,1109)="","",INDEX(BookRank,1109))</f>
        <v/>
      </c>
      <c r="I1114" s="41" t="str">
        <f aca="false">IF(INDEX(BookTitle,1109)="","",INDEX(BookTotal,1109))</f>
        <v/>
      </c>
      <c r="J1114" s="0" t="str">
        <f aca="false">IF($I1114="","",IF(INDEX(BookQ1,1109)&gt;0,"Q1",IF(INDEX(BookQ2,1109)&gt;0,"Q2",IF(INDEX(BookQ3,1109)&gt;0,"Q3",IF(INDEX(BookQ4,1109)&gt;0,"Q4","")))))</f>
        <v/>
      </c>
      <c r="K1114" s="42" t="str">
        <f aca="false">IF(INDEX(BookTitle,1109)="","",INDEX(BookInYear,1109))</f>
        <v/>
      </c>
      <c r="L1114" s="19"/>
      <c r="M1114" s="39"/>
      <c r="N1114" s="19"/>
      <c r="O1114" s="19"/>
      <c r="P1114" s="43" t="str">
        <f aca="false">IF($E1114="","",IF($L1114="Decline",0,IF($L1114="Approve fewer",IF($M1114="","",$M1114),IF($L1114="","",$I1114))))</f>
        <v/>
      </c>
      <c r="Q1114" s="34" t="str">
        <f aca="false">IF($P1114="","",IF($N1114&lt;&gt;"",$N1114,$J1114))</f>
        <v/>
      </c>
      <c r="R1114" s="35" t="str">
        <f aca="false">IF(OR($P1114="",$Q1114=""),"",INDEX(BookRate,1109)*$P1114*(5-MATCH($Q1114,{"Q1";"Q2";"Q3";"Q4"},0))/4+INDEX(BookOneOff,1109)*$P1114)</f>
        <v/>
      </c>
      <c r="S1114" s="35" t="str">
        <f aca="false">IF($P1114="","",INDEX(BookRate,1109)*$P1114)</f>
        <v/>
      </c>
      <c r="T1114" s="35" t="str">
        <f aca="false">IF($R1114="","",$R1114-$K1114)</f>
        <v/>
      </c>
      <c r="U1114" s="35" t="str">
        <f aca="false">IF(N($P1114)&lt;=0,"",COUNTIF($P$6:$P1114,"&gt;0"))</f>
        <v/>
      </c>
    </row>
    <row r="1115" customFormat="false" ht="15" hidden="false" customHeight="false" outlineLevel="0" collapsed="false">
      <c r="A1115" s="40" t="str">
        <f aca="false">IF(INDEX(BookTitle,1110)="","",INDEX(BookGroup,1110))</f>
        <v/>
      </c>
      <c r="B1115" s="40" t="str">
        <f aca="false">IF(INDEX(BookTitle,1110)="","",INDEX(BookRef,1110))</f>
        <v/>
      </c>
      <c r="C1115" s="40" t="str">
        <f aca="false">IF(INDEX(BookTitle,1110)="","",INDEX(BookDivision,1110))</f>
        <v/>
      </c>
      <c r="D1115" s="40" t="str">
        <f aca="false">IF(INDEX(BookTitle,1110)="","",INDEX(BookUnit,1110))</f>
        <v/>
      </c>
      <c r="E1115" s="40" t="str">
        <f aca="false">IF(INDEX(BookTitle,1110)="","",INDEX(BookTitle,1110))</f>
        <v/>
      </c>
      <c r="F1115" s="40" t="str">
        <f aca="false">IF(INDEX(BookTitle,1110)="","",INDEX(BookLevel,1110))</f>
        <v/>
      </c>
      <c r="G1115" s="40" t="str">
        <f aca="false">IF(INDEX(BookTitle,1110)="","",INDEX(BookCategory,1110))</f>
        <v/>
      </c>
      <c r="H1115" s="40" t="str">
        <f aca="false">IF(INDEX(BookTitle,1110)="","",INDEX(BookRank,1110))</f>
        <v/>
      </c>
      <c r="I1115" s="41" t="str">
        <f aca="false">IF(INDEX(BookTitle,1110)="","",INDEX(BookTotal,1110))</f>
        <v/>
      </c>
      <c r="J1115" s="0" t="str">
        <f aca="false">IF($I1115="","",IF(INDEX(BookQ1,1110)&gt;0,"Q1",IF(INDEX(BookQ2,1110)&gt;0,"Q2",IF(INDEX(BookQ3,1110)&gt;0,"Q3",IF(INDEX(BookQ4,1110)&gt;0,"Q4","")))))</f>
        <v/>
      </c>
      <c r="K1115" s="42" t="str">
        <f aca="false">IF(INDEX(BookTitle,1110)="","",INDEX(BookInYear,1110))</f>
        <v/>
      </c>
      <c r="L1115" s="19"/>
      <c r="M1115" s="39"/>
      <c r="N1115" s="19"/>
      <c r="O1115" s="19"/>
      <c r="P1115" s="43" t="str">
        <f aca="false">IF($E1115="","",IF($L1115="Decline",0,IF($L1115="Approve fewer",IF($M1115="","",$M1115),IF($L1115="","",$I1115))))</f>
        <v/>
      </c>
      <c r="Q1115" s="34" t="str">
        <f aca="false">IF($P1115="","",IF($N1115&lt;&gt;"",$N1115,$J1115))</f>
        <v/>
      </c>
      <c r="R1115" s="35" t="str">
        <f aca="false">IF(OR($P1115="",$Q1115=""),"",INDEX(BookRate,1110)*$P1115*(5-MATCH($Q1115,{"Q1";"Q2";"Q3";"Q4"},0))/4+INDEX(BookOneOff,1110)*$P1115)</f>
        <v/>
      </c>
      <c r="S1115" s="35" t="str">
        <f aca="false">IF($P1115="","",INDEX(BookRate,1110)*$P1115)</f>
        <v/>
      </c>
      <c r="T1115" s="35" t="str">
        <f aca="false">IF($R1115="","",$R1115-$K1115)</f>
        <v/>
      </c>
      <c r="U1115" s="35" t="str">
        <f aca="false">IF(N($P1115)&lt;=0,"",COUNTIF($P$6:$P1115,"&gt;0"))</f>
        <v/>
      </c>
    </row>
    <row r="1116" customFormat="false" ht="15" hidden="false" customHeight="false" outlineLevel="0" collapsed="false">
      <c r="A1116" s="40" t="str">
        <f aca="false">IF(INDEX(BookTitle,1111)="","",INDEX(BookGroup,1111))</f>
        <v/>
      </c>
      <c r="B1116" s="40" t="str">
        <f aca="false">IF(INDEX(BookTitle,1111)="","",INDEX(BookRef,1111))</f>
        <v/>
      </c>
      <c r="C1116" s="40" t="str">
        <f aca="false">IF(INDEX(BookTitle,1111)="","",INDEX(BookDivision,1111))</f>
        <v/>
      </c>
      <c r="D1116" s="40" t="str">
        <f aca="false">IF(INDEX(BookTitle,1111)="","",INDEX(BookUnit,1111))</f>
        <v/>
      </c>
      <c r="E1116" s="40" t="str">
        <f aca="false">IF(INDEX(BookTitle,1111)="","",INDEX(BookTitle,1111))</f>
        <v/>
      </c>
      <c r="F1116" s="40" t="str">
        <f aca="false">IF(INDEX(BookTitle,1111)="","",INDEX(BookLevel,1111))</f>
        <v/>
      </c>
      <c r="G1116" s="40" t="str">
        <f aca="false">IF(INDEX(BookTitle,1111)="","",INDEX(BookCategory,1111))</f>
        <v/>
      </c>
      <c r="H1116" s="40" t="str">
        <f aca="false">IF(INDEX(BookTitle,1111)="","",INDEX(BookRank,1111))</f>
        <v/>
      </c>
      <c r="I1116" s="41" t="str">
        <f aca="false">IF(INDEX(BookTitle,1111)="","",INDEX(BookTotal,1111))</f>
        <v/>
      </c>
      <c r="J1116" s="0" t="str">
        <f aca="false">IF($I1116="","",IF(INDEX(BookQ1,1111)&gt;0,"Q1",IF(INDEX(BookQ2,1111)&gt;0,"Q2",IF(INDEX(BookQ3,1111)&gt;0,"Q3",IF(INDEX(BookQ4,1111)&gt;0,"Q4","")))))</f>
        <v/>
      </c>
      <c r="K1116" s="42" t="str">
        <f aca="false">IF(INDEX(BookTitle,1111)="","",INDEX(BookInYear,1111))</f>
        <v/>
      </c>
      <c r="L1116" s="19"/>
      <c r="M1116" s="39"/>
      <c r="N1116" s="19"/>
      <c r="O1116" s="19"/>
      <c r="P1116" s="43" t="str">
        <f aca="false">IF($E1116="","",IF($L1116="Decline",0,IF($L1116="Approve fewer",IF($M1116="","",$M1116),IF($L1116="","",$I1116))))</f>
        <v/>
      </c>
      <c r="Q1116" s="34" t="str">
        <f aca="false">IF($P1116="","",IF($N1116&lt;&gt;"",$N1116,$J1116))</f>
        <v/>
      </c>
      <c r="R1116" s="35" t="str">
        <f aca="false">IF(OR($P1116="",$Q1116=""),"",INDEX(BookRate,1111)*$P1116*(5-MATCH($Q1116,{"Q1";"Q2";"Q3";"Q4"},0))/4+INDEX(BookOneOff,1111)*$P1116)</f>
        <v/>
      </c>
      <c r="S1116" s="35" t="str">
        <f aca="false">IF($P1116="","",INDEX(BookRate,1111)*$P1116)</f>
        <v/>
      </c>
      <c r="T1116" s="35" t="str">
        <f aca="false">IF($R1116="","",$R1116-$K1116)</f>
        <v/>
      </c>
      <c r="U1116" s="35" t="str">
        <f aca="false">IF(N($P1116)&lt;=0,"",COUNTIF($P$6:$P1116,"&gt;0"))</f>
        <v/>
      </c>
    </row>
    <row r="1117" customFormat="false" ht="15" hidden="false" customHeight="false" outlineLevel="0" collapsed="false">
      <c r="A1117" s="40" t="str">
        <f aca="false">IF(INDEX(BookTitle,1112)="","",INDEX(BookGroup,1112))</f>
        <v/>
      </c>
      <c r="B1117" s="40" t="str">
        <f aca="false">IF(INDEX(BookTitle,1112)="","",INDEX(BookRef,1112))</f>
        <v/>
      </c>
      <c r="C1117" s="40" t="str">
        <f aca="false">IF(INDEX(BookTitle,1112)="","",INDEX(BookDivision,1112))</f>
        <v/>
      </c>
      <c r="D1117" s="40" t="str">
        <f aca="false">IF(INDEX(BookTitle,1112)="","",INDEX(BookUnit,1112))</f>
        <v/>
      </c>
      <c r="E1117" s="40" t="str">
        <f aca="false">IF(INDEX(BookTitle,1112)="","",INDEX(BookTitle,1112))</f>
        <v/>
      </c>
      <c r="F1117" s="40" t="str">
        <f aca="false">IF(INDEX(BookTitle,1112)="","",INDEX(BookLevel,1112))</f>
        <v/>
      </c>
      <c r="G1117" s="40" t="str">
        <f aca="false">IF(INDEX(BookTitle,1112)="","",INDEX(BookCategory,1112))</f>
        <v/>
      </c>
      <c r="H1117" s="40" t="str">
        <f aca="false">IF(INDEX(BookTitle,1112)="","",INDEX(BookRank,1112))</f>
        <v/>
      </c>
      <c r="I1117" s="41" t="str">
        <f aca="false">IF(INDEX(BookTitle,1112)="","",INDEX(BookTotal,1112))</f>
        <v/>
      </c>
      <c r="J1117" s="0" t="str">
        <f aca="false">IF($I1117="","",IF(INDEX(BookQ1,1112)&gt;0,"Q1",IF(INDEX(BookQ2,1112)&gt;0,"Q2",IF(INDEX(BookQ3,1112)&gt;0,"Q3",IF(INDEX(BookQ4,1112)&gt;0,"Q4","")))))</f>
        <v/>
      </c>
      <c r="K1117" s="42" t="str">
        <f aca="false">IF(INDEX(BookTitle,1112)="","",INDEX(BookInYear,1112))</f>
        <v/>
      </c>
      <c r="L1117" s="19"/>
      <c r="M1117" s="39"/>
      <c r="N1117" s="19"/>
      <c r="O1117" s="19"/>
      <c r="P1117" s="43" t="str">
        <f aca="false">IF($E1117="","",IF($L1117="Decline",0,IF($L1117="Approve fewer",IF($M1117="","",$M1117),IF($L1117="","",$I1117))))</f>
        <v/>
      </c>
      <c r="Q1117" s="34" t="str">
        <f aca="false">IF($P1117="","",IF($N1117&lt;&gt;"",$N1117,$J1117))</f>
        <v/>
      </c>
      <c r="R1117" s="35" t="str">
        <f aca="false">IF(OR($P1117="",$Q1117=""),"",INDEX(BookRate,1112)*$P1117*(5-MATCH($Q1117,{"Q1";"Q2";"Q3";"Q4"},0))/4+INDEX(BookOneOff,1112)*$P1117)</f>
        <v/>
      </c>
      <c r="S1117" s="35" t="str">
        <f aca="false">IF($P1117="","",INDEX(BookRate,1112)*$P1117)</f>
        <v/>
      </c>
      <c r="T1117" s="35" t="str">
        <f aca="false">IF($R1117="","",$R1117-$K1117)</f>
        <v/>
      </c>
      <c r="U1117" s="35" t="str">
        <f aca="false">IF(N($P1117)&lt;=0,"",COUNTIF($P$6:$P1117,"&gt;0"))</f>
        <v/>
      </c>
    </row>
    <row r="1118" customFormat="false" ht="15" hidden="false" customHeight="false" outlineLevel="0" collapsed="false">
      <c r="A1118" s="40" t="str">
        <f aca="false">IF(INDEX(BookTitle,1113)="","",INDEX(BookGroup,1113))</f>
        <v/>
      </c>
      <c r="B1118" s="40" t="str">
        <f aca="false">IF(INDEX(BookTitle,1113)="","",INDEX(BookRef,1113))</f>
        <v/>
      </c>
      <c r="C1118" s="40" t="str">
        <f aca="false">IF(INDEX(BookTitle,1113)="","",INDEX(BookDivision,1113))</f>
        <v/>
      </c>
      <c r="D1118" s="40" t="str">
        <f aca="false">IF(INDEX(BookTitle,1113)="","",INDEX(BookUnit,1113))</f>
        <v/>
      </c>
      <c r="E1118" s="40" t="str">
        <f aca="false">IF(INDEX(BookTitle,1113)="","",INDEX(BookTitle,1113))</f>
        <v/>
      </c>
      <c r="F1118" s="40" t="str">
        <f aca="false">IF(INDEX(BookTitle,1113)="","",INDEX(BookLevel,1113))</f>
        <v/>
      </c>
      <c r="G1118" s="40" t="str">
        <f aca="false">IF(INDEX(BookTitle,1113)="","",INDEX(BookCategory,1113))</f>
        <v/>
      </c>
      <c r="H1118" s="40" t="str">
        <f aca="false">IF(INDEX(BookTitle,1113)="","",INDEX(BookRank,1113))</f>
        <v/>
      </c>
      <c r="I1118" s="41" t="str">
        <f aca="false">IF(INDEX(BookTitle,1113)="","",INDEX(BookTotal,1113))</f>
        <v/>
      </c>
      <c r="J1118" s="0" t="str">
        <f aca="false">IF($I1118="","",IF(INDEX(BookQ1,1113)&gt;0,"Q1",IF(INDEX(BookQ2,1113)&gt;0,"Q2",IF(INDEX(BookQ3,1113)&gt;0,"Q3",IF(INDEX(BookQ4,1113)&gt;0,"Q4","")))))</f>
        <v/>
      </c>
      <c r="K1118" s="42" t="str">
        <f aca="false">IF(INDEX(BookTitle,1113)="","",INDEX(BookInYear,1113))</f>
        <v/>
      </c>
      <c r="L1118" s="19"/>
      <c r="M1118" s="39"/>
      <c r="N1118" s="19"/>
      <c r="O1118" s="19"/>
      <c r="P1118" s="43" t="str">
        <f aca="false">IF($E1118="","",IF($L1118="Decline",0,IF($L1118="Approve fewer",IF($M1118="","",$M1118),IF($L1118="","",$I1118))))</f>
        <v/>
      </c>
      <c r="Q1118" s="34" t="str">
        <f aca="false">IF($P1118="","",IF($N1118&lt;&gt;"",$N1118,$J1118))</f>
        <v/>
      </c>
      <c r="R1118" s="35" t="str">
        <f aca="false">IF(OR($P1118="",$Q1118=""),"",INDEX(BookRate,1113)*$P1118*(5-MATCH($Q1118,{"Q1";"Q2";"Q3";"Q4"},0))/4+INDEX(BookOneOff,1113)*$P1118)</f>
        <v/>
      </c>
      <c r="S1118" s="35" t="str">
        <f aca="false">IF($P1118="","",INDEX(BookRate,1113)*$P1118)</f>
        <v/>
      </c>
      <c r="T1118" s="35" t="str">
        <f aca="false">IF($R1118="","",$R1118-$K1118)</f>
        <v/>
      </c>
      <c r="U1118" s="35" t="str">
        <f aca="false">IF(N($P1118)&lt;=0,"",COUNTIF($P$6:$P1118,"&gt;0"))</f>
        <v/>
      </c>
    </row>
    <row r="1119" customFormat="false" ht="15" hidden="false" customHeight="false" outlineLevel="0" collapsed="false">
      <c r="A1119" s="40" t="str">
        <f aca="false">IF(INDEX(BookTitle,1114)="","",INDEX(BookGroup,1114))</f>
        <v/>
      </c>
      <c r="B1119" s="40" t="str">
        <f aca="false">IF(INDEX(BookTitle,1114)="","",INDEX(BookRef,1114))</f>
        <v/>
      </c>
      <c r="C1119" s="40" t="str">
        <f aca="false">IF(INDEX(BookTitle,1114)="","",INDEX(BookDivision,1114))</f>
        <v/>
      </c>
      <c r="D1119" s="40" t="str">
        <f aca="false">IF(INDEX(BookTitle,1114)="","",INDEX(BookUnit,1114))</f>
        <v/>
      </c>
      <c r="E1119" s="40" t="str">
        <f aca="false">IF(INDEX(BookTitle,1114)="","",INDEX(BookTitle,1114))</f>
        <v/>
      </c>
      <c r="F1119" s="40" t="str">
        <f aca="false">IF(INDEX(BookTitle,1114)="","",INDEX(BookLevel,1114))</f>
        <v/>
      </c>
      <c r="G1119" s="40" t="str">
        <f aca="false">IF(INDEX(BookTitle,1114)="","",INDEX(BookCategory,1114))</f>
        <v/>
      </c>
      <c r="H1119" s="40" t="str">
        <f aca="false">IF(INDEX(BookTitle,1114)="","",INDEX(BookRank,1114))</f>
        <v/>
      </c>
      <c r="I1119" s="41" t="str">
        <f aca="false">IF(INDEX(BookTitle,1114)="","",INDEX(BookTotal,1114))</f>
        <v/>
      </c>
      <c r="J1119" s="0" t="str">
        <f aca="false">IF($I1119="","",IF(INDEX(BookQ1,1114)&gt;0,"Q1",IF(INDEX(BookQ2,1114)&gt;0,"Q2",IF(INDEX(BookQ3,1114)&gt;0,"Q3",IF(INDEX(BookQ4,1114)&gt;0,"Q4","")))))</f>
        <v/>
      </c>
      <c r="K1119" s="42" t="str">
        <f aca="false">IF(INDEX(BookTitle,1114)="","",INDEX(BookInYear,1114))</f>
        <v/>
      </c>
      <c r="L1119" s="19"/>
      <c r="M1119" s="39"/>
      <c r="N1119" s="19"/>
      <c r="O1119" s="19"/>
      <c r="P1119" s="43" t="str">
        <f aca="false">IF($E1119="","",IF($L1119="Decline",0,IF($L1119="Approve fewer",IF($M1119="","",$M1119),IF($L1119="","",$I1119))))</f>
        <v/>
      </c>
      <c r="Q1119" s="34" t="str">
        <f aca="false">IF($P1119="","",IF($N1119&lt;&gt;"",$N1119,$J1119))</f>
        <v/>
      </c>
      <c r="R1119" s="35" t="str">
        <f aca="false">IF(OR($P1119="",$Q1119=""),"",INDEX(BookRate,1114)*$P1119*(5-MATCH($Q1119,{"Q1";"Q2";"Q3";"Q4"},0))/4+INDEX(BookOneOff,1114)*$P1119)</f>
        <v/>
      </c>
      <c r="S1119" s="35" t="str">
        <f aca="false">IF($P1119="","",INDEX(BookRate,1114)*$P1119)</f>
        <v/>
      </c>
      <c r="T1119" s="35" t="str">
        <f aca="false">IF($R1119="","",$R1119-$K1119)</f>
        <v/>
      </c>
      <c r="U1119" s="35" t="str">
        <f aca="false">IF(N($P1119)&lt;=0,"",COUNTIF($P$6:$P1119,"&gt;0"))</f>
        <v/>
      </c>
    </row>
    <row r="1120" customFormat="false" ht="15" hidden="false" customHeight="false" outlineLevel="0" collapsed="false">
      <c r="A1120" s="40" t="str">
        <f aca="false">IF(INDEX(BookTitle,1115)="","",INDEX(BookGroup,1115))</f>
        <v/>
      </c>
      <c r="B1120" s="40" t="str">
        <f aca="false">IF(INDEX(BookTitle,1115)="","",INDEX(BookRef,1115))</f>
        <v/>
      </c>
      <c r="C1120" s="40" t="str">
        <f aca="false">IF(INDEX(BookTitle,1115)="","",INDEX(BookDivision,1115))</f>
        <v/>
      </c>
      <c r="D1120" s="40" t="str">
        <f aca="false">IF(INDEX(BookTitle,1115)="","",INDEX(BookUnit,1115))</f>
        <v/>
      </c>
      <c r="E1120" s="40" t="str">
        <f aca="false">IF(INDEX(BookTitle,1115)="","",INDEX(BookTitle,1115))</f>
        <v/>
      </c>
      <c r="F1120" s="40" t="str">
        <f aca="false">IF(INDEX(BookTitle,1115)="","",INDEX(BookLevel,1115))</f>
        <v/>
      </c>
      <c r="G1120" s="40" t="str">
        <f aca="false">IF(INDEX(BookTitle,1115)="","",INDEX(BookCategory,1115))</f>
        <v/>
      </c>
      <c r="H1120" s="40" t="str">
        <f aca="false">IF(INDEX(BookTitle,1115)="","",INDEX(BookRank,1115))</f>
        <v/>
      </c>
      <c r="I1120" s="41" t="str">
        <f aca="false">IF(INDEX(BookTitle,1115)="","",INDEX(BookTotal,1115))</f>
        <v/>
      </c>
      <c r="J1120" s="0" t="str">
        <f aca="false">IF($I1120="","",IF(INDEX(BookQ1,1115)&gt;0,"Q1",IF(INDEX(BookQ2,1115)&gt;0,"Q2",IF(INDEX(BookQ3,1115)&gt;0,"Q3",IF(INDEX(BookQ4,1115)&gt;0,"Q4","")))))</f>
        <v/>
      </c>
      <c r="K1120" s="42" t="str">
        <f aca="false">IF(INDEX(BookTitle,1115)="","",INDEX(BookInYear,1115))</f>
        <v/>
      </c>
      <c r="L1120" s="19"/>
      <c r="M1120" s="39"/>
      <c r="N1120" s="19"/>
      <c r="O1120" s="19"/>
      <c r="P1120" s="43" t="str">
        <f aca="false">IF($E1120="","",IF($L1120="Decline",0,IF($L1120="Approve fewer",IF($M1120="","",$M1120),IF($L1120="","",$I1120))))</f>
        <v/>
      </c>
      <c r="Q1120" s="34" t="str">
        <f aca="false">IF($P1120="","",IF($N1120&lt;&gt;"",$N1120,$J1120))</f>
        <v/>
      </c>
      <c r="R1120" s="35" t="str">
        <f aca="false">IF(OR($P1120="",$Q1120=""),"",INDEX(BookRate,1115)*$P1120*(5-MATCH($Q1120,{"Q1";"Q2";"Q3";"Q4"},0))/4+INDEX(BookOneOff,1115)*$P1120)</f>
        <v/>
      </c>
      <c r="S1120" s="35" t="str">
        <f aca="false">IF($P1120="","",INDEX(BookRate,1115)*$P1120)</f>
        <v/>
      </c>
      <c r="T1120" s="35" t="str">
        <f aca="false">IF($R1120="","",$R1120-$K1120)</f>
        <v/>
      </c>
      <c r="U1120" s="35" t="str">
        <f aca="false">IF(N($P1120)&lt;=0,"",COUNTIF($P$6:$P1120,"&gt;0"))</f>
        <v/>
      </c>
    </row>
    <row r="1121" customFormat="false" ht="15" hidden="false" customHeight="false" outlineLevel="0" collapsed="false">
      <c r="A1121" s="40" t="str">
        <f aca="false">IF(INDEX(BookTitle,1116)="","",INDEX(BookGroup,1116))</f>
        <v/>
      </c>
      <c r="B1121" s="40" t="str">
        <f aca="false">IF(INDEX(BookTitle,1116)="","",INDEX(BookRef,1116))</f>
        <v/>
      </c>
      <c r="C1121" s="40" t="str">
        <f aca="false">IF(INDEX(BookTitle,1116)="","",INDEX(BookDivision,1116))</f>
        <v/>
      </c>
      <c r="D1121" s="40" t="str">
        <f aca="false">IF(INDEX(BookTitle,1116)="","",INDEX(BookUnit,1116))</f>
        <v/>
      </c>
      <c r="E1121" s="40" t="str">
        <f aca="false">IF(INDEX(BookTitle,1116)="","",INDEX(BookTitle,1116))</f>
        <v/>
      </c>
      <c r="F1121" s="40" t="str">
        <f aca="false">IF(INDEX(BookTitle,1116)="","",INDEX(BookLevel,1116))</f>
        <v/>
      </c>
      <c r="G1121" s="40" t="str">
        <f aca="false">IF(INDEX(BookTitle,1116)="","",INDEX(BookCategory,1116))</f>
        <v/>
      </c>
      <c r="H1121" s="40" t="str">
        <f aca="false">IF(INDEX(BookTitle,1116)="","",INDEX(BookRank,1116))</f>
        <v/>
      </c>
      <c r="I1121" s="41" t="str">
        <f aca="false">IF(INDEX(BookTitle,1116)="","",INDEX(BookTotal,1116))</f>
        <v/>
      </c>
      <c r="J1121" s="0" t="str">
        <f aca="false">IF($I1121="","",IF(INDEX(BookQ1,1116)&gt;0,"Q1",IF(INDEX(BookQ2,1116)&gt;0,"Q2",IF(INDEX(BookQ3,1116)&gt;0,"Q3",IF(INDEX(BookQ4,1116)&gt;0,"Q4","")))))</f>
        <v/>
      </c>
      <c r="K1121" s="42" t="str">
        <f aca="false">IF(INDEX(BookTitle,1116)="","",INDEX(BookInYear,1116))</f>
        <v/>
      </c>
      <c r="L1121" s="19"/>
      <c r="M1121" s="39"/>
      <c r="N1121" s="19"/>
      <c r="O1121" s="19"/>
      <c r="P1121" s="43" t="str">
        <f aca="false">IF($E1121="","",IF($L1121="Decline",0,IF($L1121="Approve fewer",IF($M1121="","",$M1121),IF($L1121="","",$I1121))))</f>
        <v/>
      </c>
      <c r="Q1121" s="34" t="str">
        <f aca="false">IF($P1121="","",IF($N1121&lt;&gt;"",$N1121,$J1121))</f>
        <v/>
      </c>
      <c r="R1121" s="35" t="str">
        <f aca="false">IF(OR($P1121="",$Q1121=""),"",INDEX(BookRate,1116)*$P1121*(5-MATCH($Q1121,{"Q1";"Q2";"Q3";"Q4"},0))/4+INDEX(BookOneOff,1116)*$P1121)</f>
        <v/>
      </c>
      <c r="S1121" s="35" t="str">
        <f aca="false">IF($P1121="","",INDEX(BookRate,1116)*$P1121)</f>
        <v/>
      </c>
      <c r="T1121" s="35" t="str">
        <f aca="false">IF($R1121="","",$R1121-$K1121)</f>
        <v/>
      </c>
      <c r="U1121" s="35" t="str">
        <f aca="false">IF(N($P1121)&lt;=0,"",COUNTIF($P$6:$P1121,"&gt;0"))</f>
        <v/>
      </c>
    </row>
    <row r="1122" customFormat="false" ht="15" hidden="false" customHeight="false" outlineLevel="0" collapsed="false">
      <c r="A1122" s="40" t="str">
        <f aca="false">IF(INDEX(BookTitle,1117)="","",INDEX(BookGroup,1117))</f>
        <v/>
      </c>
      <c r="B1122" s="40" t="str">
        <f aca="false">IF(INDEX(BookTitle,1117)="","",INDEX(BookRef,1117))</f>
        <v/>
      </c>
      <c r="C1122" s="40" t="str">
        <f aca="false">IF(INDEX(BookTitle,1117)="","",INDEX(BookDivision,1117))</f>
        <v/>
      </c>
      <c r="D1122" s="40" t="str">
        <f aca="false">IF(INDEX(BookTitle,1117)="","",INDEX(BookUnit,1117))</f>
        <v/>
      </c>
      <c r="E1122" s="40" t="str">
        <f aca="false">IF(INDEX(BookTitle,1117)="","",INDEX(BookTitle,1117))</f>
        <v/>
      </c>
      <c r="F1122" s="40" t="str">
        <f aca="false">IF(INDEX(BookTitle,1117)="","",INDEX(BookLevel,1117))</f>
        <v/>
      </c>
      <c r="G1122" s="40" t="str">
        <f aca="false">IF(INDEX(BookTitle,1117)="","",INDEX(BookCategory,1117))</f>
        <v/>
      </c>
      <c r="H1122" s="40" t="str">
        <f aca="false">IF(INDEX(BookTitle,1117)="","",INDEX(BookRank,1117))</f>
        <v/>
      </c>
      <c r="I1122" s="41" t="str">
        <f aca="false">IF(INDEX(BookTitle,1117)="","",INDEX(BookTotal,1117))</f>
        <v/>
      </c>
      <c r="J1122" s="0" t="str">
        <f aca="false">IF($I1122="","",IF(INDEX(BookQ1,1117)&gt;0,"Q1",IF(INDEX(BookQ2,1117)&gt;0,"Q2",IF(INDEX(BookQ3,1117)&gt;0,"Q3",IF(INDEX(BookQ4,1117)&gt;0,"Q4","")))))</f>
        <v/>
      </c>
      <c r="K1122" s="42" t="str">
        <f aca="false">IF(INDEX(BookTitle,1117)="","",INDEX(BookInYear,1117))</f>
        <v/>
      </c>
      <c r="L1122" s="19"/>
      <c r="M1122" s="39"/>
      <c r="N1122" s="19"/>
      <c r="O1122" s="19"/>
      <c r="P1122" s="43" t="str">
        <f aca="false">IF($E1122="","",IF($L1122="Decline",0,IF($L1122="Approve fewer",IF($M1122="","",$M1122),IF($L1122="","",$I1122))))</f>
        <v/>
      </c>
      <c r="Q1122" s="34" t="str">
        <f aca="false">IF($P1122="","",IF($N1122&lt;&gt;"",$N1122,$J1122))</f>
        <v/>
      </c>
      <c r="R1122" s="35" t="str">
        <f aca="false">IF(OR($P1122="",$Q1122=""),"",INDEX(BookRate,1117)*$P1122*(5-MATCH($Q1122,{"Q1";"Q2";"Q3";"Q4"},0))/4+INDEX(BookOneOff,1117)*$P1122)</f>
        <v/>
      </c>
      <c r="S1122" s="35" t="str">
        <f aca="false">IF($P1122="","",INDEX(BookRate,1117)*$P1122)</f>
        <v/>
      </c>
      <c r="T1122" s="35" t="str">
        <f aca="false">IF($R1122="","",$R1122-$K1122)</f>
        <v/>
      </c>
      <c r="U1122" s="35" t="str">
        <f aca="false">IF(N($P1122)&lt;=0,"",COUNTIF($P$6:$P1122,"&gt;0"))</f>
        <v/>
      </c>
    </row>
    <row r="1123" customFormat="false" ht="15" hidden="false" customHeight="false" outlineLevel="0" collapsed="false">
      <c r="A1123" s="40" t="str">
        <f aca="false">IF(INDEX(BookTitle,1118)="","",INDEX(BookGroup,1118))</f>
        <v/>
      </c>
      <c r="B1123" s="40" t="str">
        <f aca="false">IF(INDEX(BookTitle,1118)="","",INDEX(BookRef,1118))</f>
        <v/>
      </c>
      <c r="C1123" s="40" t="str">
        <f aca="false">IF(INDEX(BookTitle,1118)="","",INDEX(BookDivision,1118))</f>
        <v/>
      </c>
      <c r="D1123" s="40" t="str">
        <f aca="false">IF(INDEX(BookTitle,1118)="","",INDEX(BookUnit,1118))</f>
        <v/>
      </c>
      <c r="E1123" s="40" t="str">
        <f aca="false">IF(INDEX(BookTitle,1118)="","",INDEX(BookTitle,1118))</f>
        <v/>
      </c>
      <c r="F1123" s="40" t="str">
        <f aca="false">IF(INDEX(BookTitle,1118)="","",INDEX(BookLevel,1118))</f>
        <v/>
      </c>
      <c r="G1123" s="40" t="str">
        <f aca="false">IF(INDEX(BookTitle,1118)="","",INDEX(BookCategory,1118))</f>
        <v/>
      </c>
      <c r="H1123" s="40" t="str">
        <f aca="false">IF(INDEX(BookTitle,1118)="","",INDEX(BookRank,1118))</f>
        <v/>
      </c>
      <c r="I1123" s="41" t="str">
        <f aca="false">IF(INDEX(BookTitle,1118)="","",INDEX(BookTotal,1118))</f>
        <v/>
      </c>
      <c r="J1123" s="0" t="str">
        <f aca="false">IF($I1123="","",IF(INDEX(BookQ1,1118)&gt;0,"Q1",IF(INDEX(BookQ2,1118)&gt;0,"Q2",IF(INDEX(BookQ3,1118)&gt;0,"Q3",IF(INDEX(BookQ4,1118)&gt;0,"Q4","")))))</f>
        <v/>
      </c>
      <c r="K1123" s="42" t="str">
        <f aca="false">IF(INDEX(BookTitle,1118)="","",INDEX(BookInYear,1118))</f>
        <v/>
      </c>
      <c r="L1123" s="19"/>
      <c r="M1123" s="39"/>
      <c r="N1123" s="19"/>
      <c r="O1123" s="19"/>
      <c r="P1123" s="43" t="str">
        <f aca="false">IF($E1123="","",IF($L1123="Decline",0,IF($L1123="Approve fewer",IF($M1123="","",$M1123),IF($L1123="","",$I1123))))</f>
        <v/>
      </c>
      <c r="Q1123" s="34" t="str">
        <f aca="false">IF($P1123="","",IF($N1123&lt;&gt;"",$N1123,$J1123))</f>
        <v/>
      </c>
      <c r="R1123" s="35" t="str">
        <f aca="false">IF(OR($P1123="",$Q1123=""),"",INDEX(BookRate,1118)*$P1123*(5-MATCH($Q1123,{"Q1";"Q2";"Q3";"Q4"},0))/4+INDEX(BookOneOff,1118)*$P1123)</f>
        <v/>
      </c>
      <c r="S1123" s="35" t="str">
        <f aca="false">IF($P1123="","",INDEX(BookRate,1118)*$P1123)</f>
        <v/>
      </c>
      <c r="T1123" s="35" t="str">
        <f aca="false">IF($R1123="","",$R1123-$K1123)</f>
        <v/>
      </c>
      <c r="U1123" s="35" t="str">
        <f aca="false">IF(N($P1123)&lt;=0,"",COUNTIF($P$6:$P1123,"&gt;0"))</f>
        <v/>
      </c>
    </row>
    <row r="1124" customFormat="false" ht="15" hidden="false" customHeight="false" outlineLevel="0" collapsed="false">
      <c r="A1124" s="40" t="str">
        <f aca="false">IF(INDEX(BookTitle,1119)="","",INDEX(BookGroup,1119))</f>
        <v/>
      </c>
      <c r="B1124" s="40" t="str">
        <f aca="false">IF(INDEX(BookTitle,1119)="","",INDEX(BookRef,1119))</f>
        <v/>
      </c>
      <c r="C1124" s="40" t="str">
        <f aca="false">IF(INDEX(BookTitle,1119)="","",INDEX(BookDivision,1119))</f>
        <v/>
      </c>
      <c r="D1124" s="40" t="str">
        <f aca="false">IF(INDEX(BookTitle,1119)="","",INDEX(BookUnit,1119))</f>
        <v/>
      </c>
      <c r="E1124" s="40" t="str">
        <f aca="false">IF(INDEX(BookTitle,1119)="","",INDEX(BookTitle,1119))</f>
        <v/>
      </c>
      <c r="F1124" s="40" t="str">
        <f aca="false">IF(INDEX(BookTitle,1119)="","",INDEX(BookLevel,1119))</f>
        <v/>
      </c>
      <c r="G1124" s="40" t="str">
        <f aca="false">IF(INDEX(BookTitle,1119)="","",INDEX(BookCategory,1119))</f>
        <v/>
      </c>
      <c r="H1124" s="40" t="str">
        <f aca="false">IF(INDEX(BookTitle,1119)="","",INDEX(BookRank,1119))</f>
        <v/>
      </c>
      <c r="I1124" s="41" t="str">
        <f aca="false">IF(INDEX(BookTitle,1119)="","",INDEX(BookTotal,1119))</f>
        <v/>
      </c>
      <c r="J1124" s="0" t="str">
        <f aca="false">IF($I1124="","",IF(INDEX(BookQ1,1119)&gt;0,"Q1",IF(INDEX(BookQ2,1119)&gt;0,"Q2",IF(INDEX(BookQ3,1119)&gt;0,"Q3",IF(INDEX(BookQ4,1119)&gt;0,"Q4","")))))</f>
        <v/>
      </c>
      <c r="K1124" s="42" t="str">
        <f aca="false">IF(INDEX(BookTitle,1119)="","",INDEX(BookInYear,1119))</f>
        <v/>
      </c>
      <c r="L1124" s="19"/>
      <c r="M1124" s="39"/>
      <c r="N1124" s="19"/>
      <c r="O1124" s="19"/>
      <c r="P1124" s="43" t="str">
        <f aca="false">IF($E1124="","",IF($L1124="Decline",0,IF($L1124="Approve fewer",IF($M1124="","",$M1124),IF($L1124="","",$I1124))))</f>
        <v/>
      </c>
      <c r="Q1124" s="34" t="str">
        <f aca="false">IF($P1124="","",IF($N1124&lt;&gt;"",$N1124,$J1124))</f>
        <v/>
      </c>
      <c r="R1124" s="35" t="str">
        <f aca="false">IF(OR($P1124="",$Q1124=""),"",INDEX(BookRate,1119)*$P1124*(5-MATCH($Q1124,{"Q1";"Q2";"Q3";"Q4"},0))/4+INDEX(BookOneOff,1119)*$P1124)</f>
        <v/>
      </c>
      <c r="S1124" s="35" t="str">
        <f aca="false">IF($P1124="","",INDEX(BookRate,1119)*$P1124)</f>
        <v/>
      </c>
      <c r="T1124" s="35" t="str">
        <f aca="false">IF($R1124="","",$R1124-$K1124)</f>
        <v/>
      </c>
      <c r="U1124" s="35" t="str">
        <f aca="false">IF(N($P1124)&lt;=0,"",COUNTIF($P$6:$P1124,"&gt;0"))</f>
        <v/>
      </c>
    </row>
    <row r="1125" customFormat="false" ht="15" hidden="false" customHeight="false" outlineLevel="0" collapsed="false">
      <c r="A1125" s="40" t="str">
        <f aca="false">IF(INDEX(BookTitle,1120)="","",INDEX(BookGroup,1120))</f>
        <v/>
      </c>
      <c r="B1125" s="40" t="str">
        <f aca="false">IF(INDEX(BookTitle,1120)="","",INDEX(BookRef,1120))</f>
        <v/>
      </c>
      <c r="C1125" s="40" t="str">
        <f aca="false">IF(INDEX(BookTitle,1120)="","",INDEX(BookDivision,1120))</f>
        <v/>
      </c>
      <c r="D1125" s="40" t="str">
        <f aca="false">IF(INDEX(BookTitle,1120)="","",INDEX(BookUnit,1120))</f>
        <v/>
      </c>
      <c r="E1125" s="40" t="str">
        <f aca="false">IF(INDEX(BookTitle,1120)="","",INDEX(BookTitle,1120))</f>
        <v/>
      </c>
      <c r="F1125" s="40" t="str">
        <f aca="false">IF(INDEX(BookTitle,1120)="","",INDEX(BookLevel,1120))</f>
        <v/>
      </c>
      <c r="G1125" s="40" t="str">
        <f aca="false">IF(INDEX(BookTitle,1120)="","",INDEX(BookCategory,1120))</f>
        <v/>
      </c>
      <c r="H1125" s="40" t="str">
        <f aca="false">IF(INDEX(BookTitle,1120)="","",INDEX(BookRank,1120))</f>
        <v/>
      </c>
      <c r="I1125" s="41" t="str">
        <f aca="false">IF(INDEX(BookTitle,1120)="","",INDEX(BookTotal,1120))</f>
        <v/>
      </c>
      <c r="J1125" s="0" t="str">
        <f aca="false">IF($I1125="","",IF(INDEX(BookQ1,1120)&gt;0,"Q1",IF(INDEX(BookQ2,1120)&gt;0,"Q2",IF(INDEX(BookQ3,1120)&gt;0,"Q3",IF(INDEX(BookQ4,1120)&gt;0,"Q4","")))))</f>
        <v/>
      </c>
      <c r="K1125" s="42" t="str">
        <f aca="false">IF(INDEX(BookTitle,1120)="","",INDEX(BookInYear,1120))</f>
        <v/>
      </c>
      <c r="L1125" s="19"/>
      <c r="M1125" s="39"/>
      <c r="N1125" s="19"/>
      <c r="O1125" s="19"/>
      <c r="P1125" s="43" t="str">
        <f aca="false">IF($E1125="","",IF($L1125="Decline",0,IF($L1125="Approve fewer",IF($M1125="","",$M1125),IF($L1125="","",$I1125))))</f>
        <v/>
      </c>
      <c r="Q1125" s="34" t="str">
        <f aca="false">IF($P1125="","",IF($N1125&lt;&gt;"",$N1125,$J1125))</f>
        <v/>
      </c>
      <c r="R1125" s="35" t="str">
        <f aca="false">IF(OR($P1125="",$Q1125=""),"",INDEX(BookRate,1120)*$P1125*(5-MATCH($Q1125,{"Q1";"Q2";"Q3";"Q4"},0))/4+INDEX(BookOneOff,1120)*$P1125)</f>
        <v/>
      </c>
      <c r="S1125" s="35" t="str">
        <f aca="false">IF($P1125="","",INDEX(BookRate,1120)*$P1125)</f>
        <v/>
      </c>
      <c r="T1125" s="35" t="str">
        <f aca="false">IF($R1125="","",$R1125-$K1125)</f>
        <v/>
      </c>
      <c r="U1125" s="35" t="str">
        <f aca="false">IF(N($P1125)&lt;=0,"",COUNTIF($P$6:$P1125,"&gt;0"))</f>
        <v/>
      </c>
    </row>
    <row r="1126" customFormat="false" ht="15" hidden="false" customHeight="false" outlineLevel="0" collapsed="false">
      <c r="A1126" s="40" t="str">
        <f aca="false">IF(INDEX(BookTitle,1121)="","",INDEX(BookGroup,1121))</f>
        <v/>
      </c>
      <c r="B1126" s="40" t="str">
        <f aca="false">IF(INDEX(BookTitle,1121)="","",INDEX(BookRef,1121))</f>
        <v/>
      </c>
      <c r="C1126" s="40" t="str">
        <f aca="false">IF(INDEX(BookTitle,1121)="","",INDEX(BookDivision,1121))</f>
        <v/>
      </c>
      <c r="D1126" s="40" t="str">
        <f aca="false">IF(INDEX(BookTitle,1121)="","",INDEX(BookUnit,1121))</f>
        <v/>
      </c>
      <c r="E1126" s="40" t="str">
        <f aca="false">IF(INDEX(BookTitle,1121)="","",INDEX(BookTitle,1121))</f>
        <v/>
      </c>
      <c r="F1126" s="40" t="str">
        <f aca="false">IF(INDEX(BookTitle,1121)="","",INDEX(BookLevel,1121))</f>
        <v/>
      </c>
      <c r="G1126" s="40" t="str">
        <f aca="false">IF(INDEX(BookTitle,1121)="","",INDEX(BookCategory,1121))</f>
        <v/>
      </c>
      <c r="H1126" s="40" t="str">
        <f aca="false">IF(INDEX(BookTitle,1121)="","",INDEX(BookRank,1121))</f>
        <v/>
      </c>
      <c r="I1126" s="41" t="str">
        <f aca="false">IF(INDEX(BookTitle,1121)="","",INDEX(BookTotal,1121))</f>
        <v/>
      </c>
      <c r="J1126" s="0" t="str">
        <f aca="false">IF($I1126="","",IF(INDEX(BookQ1,1121)&gt;0,"Q1",IF(INDEX(BookQ2,1121)&gt;0,"Q2",IF(INDEX(BookQ3,1121)&gt;0,"Q3",IF(INDEX(BookQ4,1121)&gt;0,"Q4","")))))</f>
        <v/>
      </c>
      <c r="K1126" s="42" t="str">
        <f aca="false">IF(INDEX(BookTitle,1121)="","",INDEX(BookInYear,1121))</f>
        <v/>
      </c>
      <c r="L1126" s="19"/>
      <c r="M1126" s="39"/>
      <c r="N1126" s="19"/>
      <c r="O1126" s="19"/>
      <c r="P1126" s="43" t="str">
        <f aca="false">IF($E1126="","",IF($L1126="Decline",0,IF($L1126="Approve fewer",IF($M1126="","",$M1126),IF($L1126="","",$I1126))))</f>
        <v/>
      </c>
      <c r="Q1126" s="34" t="str">
        <f aca="false">IF($P1126="","",IF($N1126&lt;&gt;"",$N1126,$J1126))</f>
        <v/>
      </c>
      <c r="R1126" s="35" t="str">
        <f aca="false">IF(OR($P1126="",$Q1126=""),"",INDEX(BookRate,1121)*$P1126*(5-MATCH($Q1126,{"Q1";"Q2";"Q3";"Q4"},0))/4+INDEX(BookOneOff,1121)*$P1126)</f>
        <v/>
      </c>
      <c r="S1126" s="35" t="str">
        <f aca="false">IF($P1126="","",INDEX(BookRate,1121)*$P1126)</f>
        <v/>
      </c>
      <c r="T1126" s="35" t="str">
        <f aca="false">IF($R1126="","",$R1126-$K1126)</f>
        <v/>
      </c>
      <c r="U1126" s="35" t="str">
        <f aca="false">IF(N($P1126)&lt;=0,"",COUNTIF($P$6:$P1126,"&gt;0"))</f>
        <v/>
      </c>
    </row>
    <row r="1127" customFormat="false" ht="15" hidden="false" customHeight="false" outlineLevel="0" collapsed="false">
      <c r="A1127" s="40" t="str">
        <f aca="false">IF(INDEX(BookTitle,1122)="","",INDEX(BookGroup,1122))</f>
        <v/>
      </c>
      <c r="B1127" s="40" t="str">
        <f aca="false">IF(INDEX(BookTitle,1122)="","",INDEX(BookRef,1122))</f>
        <v/>
      </c>
      <c r="C1127" s="40" t="str">
        <f aca="false">IF(INDEX(BookTitle,1122)="","",INDEX(BookDivision,1122))</f>
        <v/>
      </c>
      <c r="D1127" s="40" t="str">
        <f aca="false">IF(INDEX(BookTitle,1122)="","",INDEX(BookUnit,1122))</f>
        <v/>
      </c>
      <c r="E1127" s="40" t="str">
        <f aca="false">IF(INDEX(BookTitle,1122)="","",INDEX(BookTitle,1122))</f>
        <v/>
      </c>
      <c r="F1127" s="40" t="str">
        <f aca="false">IF(INDEX(BookTitle,1122)="","",INDEX(BookLevel,1122))</f>
        <v/>
      </c>
      <c r="G1127" s="40" t="str">
        <f aca="false">IF(INDEX(BookTitle,1122)="","",INDEX(BookCategory,1122))</f>
        <v/>
      </c>
      <c r="H1127" s="40" t="str">
        <f aca="false">IF(INDEX(BookTitle,1122)="","",INDEX(BookRank,1122))</f>
        <v/>
      </c>
      <c r="I1127" s="41" t="str">
        <f aca="false">IF(INDEX(BookTitle,1122)="","",INDEX(BookTotal,1122))</f>
        <v/>
      </c>
      <c r="J1127" s="0" t="str">
        <f aca="false">IF($I1127="","",IF(INDEX(BookQ1,1122)&gt;0,"Q1",IF(INDEX(BookQ2,1122)&gt;0,"Q2",IF(INDEX(BookQ3,1122)&gt;0,"Q3",IF(INDEX(BookQ4,1122)&gt;0,"Q4","")))))</f>
        <v/>
      </c>
      <c r="K1127" s="42" t="str">
        <f aca="false">IF(INDEX(BookTitle,1122)="","",INDEX(BookInYear,1122))</f>
        <v/>
      </c>
      <c r="L1127" s="19"/>
      <c r="M1127" s="39"/>
      <c r="N1127" s="19"/>
      <c r="O1127" s="19"/>
      <c r="P1127" s="43" t="str">
        <f aca="false">IF($E1127="","",IF($L1127="Decline",0,IF($L1127="Approve fewer",IF($M1127="","",$M1127),IF($L1127="","",$I1127))))</f>
        <v/>
      </c>
      <c r="Q1127" s="34" t="str">
        <f aca="false">IF($P1127="","",IF($N1127&lt;&gt;"",$N1127,$J1127))</f>
        <v/>
      </c>
      <c r="R1127" s="35" t="str">
        <f aca="false">IF(OR($P1127="",$Q1127=""),"",INDEX(BookRate,1122)*$P1127*(5-MATCH($Q1127,{"Q1";"Q2";"Q3";"Q4"},0))/4+INDEX(BookOneOff,1122)*$P1127)</f>
        <v/>
      </c>
      <c r="S1127" s="35" t="str">
        <f aca="false">IF($P1127="","",INDEX(BookRate,1122)*$P1127)</f>
        <v/>
      </c>
      <c r="T1127" s="35" t="str">
        <f aca="false">IF($R1127="","",$R1127-$K1127)</f>
        <v/>
      </c>
      <c r="U1127" s="35" t="str">
        <f aca="false">IF(N($P1127)&lt;=0,"",COUNTIF($P$6:$P1127,"&gt;0"))</f>
        <v/>
      </c>
    </row>
    <row r="1128" customFormat="false" ht="15" hidden="false" customHeight="false" outlineLevel="0" collapsed="false">
      <c r="A1128" s="40" t="str">
        <f aca="false">IF(INDEX(BookTitle,1123)="","",INDEX(BookGroup,1123))</f>
        <v/>
      </c>
      <c r="B1128" s="40" t="str">
        <f aca="false">IF(INDEX(BookTitle,1123)="","",INDEX(BookRef,1123))</f>
        <v/>
      </c>
      <c r="C1128" s="40" t="str">
        <f aca="false">IF(INDEX(BookTitle,1123)="","",INDEX(BookDivision,1123))</f>
        <v/>
      </c>
      <c r="D1128" s="40" t="str">
        <f aca="false">IF(INDEX(BookTitle,1123)="","",INDEX(BookUnit,1123))</f>
        <v/>
      </c>
      <c r="E1128" s="40" t="str">
        <f aca="false">IF(INDEX(BookTitle,1123)="","",INDEX(BookTitle,1123))</f>
        <v/>
      </c>
      <c r="F1128" s="40" t="str">
        <f aca="false">IF(INDEX(BookTitle,1123)="","",INDEX(BookLevel,1123))</f>
        <v/>
      </c>
      <c r="G1128" s="40" t="str">
        <f aca="false">IF(INDEX(BookTitle,1123)="","",INDEX(BookCategory,1123))</f>
        <v/>
      </c>
      <c r="H1128" s="40" t="str">
        <f aca="false">IF(INDEX(BookTitle,1123)="","",INDEX(BookRank,1123))</f>
        <v/>
      </c>
      <c r="I1128" s="41" t="str">
        <f aca="false">IF(INDEX(BookTitle,1123)="","",INDEX(BookTotal,1123))</f>
        <v/>
      </c>
      <c r="J1128" s="0" t="str">
        <f aca="false">IF($I1128="","",IF(INDEX(BookQ1,1123)&gt;0,"Q1",IF(INDEX(BookQ2,1123)&gt;0,"Q2",IF(INDEX(BookQ3,1123)&gt;0,"Q3",IF(INDEX(BookQ4,1123)&gt;0,"Q4","")))))</f>
        <v/>
      </c>
      <c r="K1128" s="42" t="str">
        <f aca="false">IF(INDEX(BookTitle,1123)="","",INDEX(BookInYear,1123))</f>
        <v/>
      </c>
      <c r="L1128" s="19"/>
      <c r="M1128" s="39"/>
      <c r="N1128" s="19"/>
      <c r="O1128" s="19"/>
      <c r="P1128" s="43" t="str">
        <f aca="false">IF($E1128="","",IF($L1128="Decline",0,IF($L1128="Approve fewer",IF($M1128="","",$M1128),IF($L1128="","",$I1128))))</f>
        <v/>
      </c>
      <c r="Q1128" s="34" t="str">
        <f aca="false">IF($P1128="","",IF($N1128&lt;&gt;"",$N1128,$J1128))</f>
        <v/>
      </c>
      <c r="R1128" s="35" t="str">
        <f aca="false">IF(OR($P1128="",$Q1128=""),"",INDEX(BookRate,1123)*$P1128*(5-MATCH($Q1128,{"Q1";"Q2";"Q3";"Q4"},0))/4+INDEX(BookOneOff,1123)*$P1128)</f>
        <v/>
      </c>
      <c r="S1128" s="35" t="str">
        <f aca="false">IF($P1128="","",INDEX(BookRate,1123)*$P1128)</f>
        <v/>
      </c>
      <c r="T1128" s="35" t="str">
        <f aca="false">IF($R1128="","",$R1128-$K1128)</f>
        <v/>
      </c>
      <c r="U1128" s="35" t="str">
        <f aca="false">IF(N($P1128)&lt;=0,"",COUNTIF($P$6:$P1128,"&gt;0"))</f>
        <v/>
      </c>
    </row>
    <row r="1129" customFormat="false" ht="15" hidden="false" customHeight="false" outlineLevel="0" collapsed="false">
      <c r="A1129" s="40" t="str">
        <f aca="false">IF(INDEX(BookTitle,1124)="","",INDEX(BookGroup,1124))</f>
        <v/>
      </c>
      <c r="B1129" s="40" t="str">
        <f aca="false">IF(INDEX(BookTitle,1124)="","",INDEX(BookRef,1124))</f>
        <v/>
      </c>
      <c r="C1129" s="40" t="str">
        <f aca="false">IF(INDEX(BookTitle,1124)="","",INDEX(BookDivision,1124))</f>
        <v/>
      </c>
      <c r="D1129" s="40" t="str">
        <f aca="false">IF(INDEX(BookTitle,1124)="","",INDEX(BookUnit,1124))</f>
        <v/>
      </c>
      <c r="E1129" s="40" t="str">
        <f aca="false">IF(INDEX(BookTitle,1124)="","",INDEX(BookTitle,1124))</f>
        <v/>
      </c>
      <c r="F1129" s="40" t="str">
        <f aca="false">IF(INDEX(BookTitle,1124)="","",INDEX(BookLevel,1124))</f>
        <v/>
      </c>
      <c r="G1129" s="40" t="str">
        <f aca="false">IF(INDEX(BookTitle,1124)="","",INDEX(BookCategory,1124))</f>
        <v/>
      </c>
      <c r="H1129" s="40" t="str">
        <f aca="false">IF(INDEX(BookTitle,1124)="","",INDEX(BookRank,1124))</f>
        <v/>
      </c>
      <c r="I1129" s="41" t="str">
        <f aca="false">IF(INDEX(BookTitle,1124)="","",INDEX(BookTotal,1124))</f>
        <v/>
      </c>
      <c r="J1129" s="0" t="str">
        <f aca="false">IF($I1129="","",IF(INDEX(BookQ1,1124)&gt;0,"Q1",IF(INDEX(BookQ2,1124)&gt;0,"Q2",IF(INDEX(BookQ3,1124)&gt;0,"Q3",IF(INDEX(BookQ4,1124)&gt;0,"Q4","")))))</f>
        <v/>
      </c>
      <c r="K1129" s="42" t="str">
        <f aca="false">IF(INDEX(BookTitle,1124)="","",INDEX(BookInYear,1124))</f>
        <v/>
      </c>
      <c r="L1129" s="19"/>
      <c r="M1129" s="39"/>
      <c r="N1129" s="19"/>
      <c r="O1129" s="19"/>
      <c r="P1129" s="43" t="str">
        <f aca="false">IF($E1129="","",IF($L1129="Decline",0,IF($L1129="Approve fewer",IF($M1129="","",$M1129),IF($L1129="","",$I1129))))</f>
        <v/>
      </c>
      <c r="Q1129" s="34" t="str">
        <f aca="false">IF($P1129="","",IF($N1129&lt;&gt;"",$N1129,$J1129))</f>
        <v/>
      </c>
      <c r="R1129" s="35" t="str">
        <f aca="false">IF(OR($P1129="",$Q1129=""),"",INDEX(BookRate,1124)*$P1129*(5-MATCH($Q1129,{"Q1";"Q2";"Q3";"Q4"},0))/4+INDEX(BookOneOff,1124)*$P1129)</f>
        <v/>
      </c>
      <c r="S1129" s="35" t="str">
        <f aca="false">IF($P1129="","",INDEX(BookRate,1124)*$P1129)</f>
        <v/>
      </c>
      <c r="T1129" s="35" t="str">
        <f aca="false">IF($R1129="","",$R1129-$K1129)</f>
        <v/>
      </c>
      <c r="U1129" s="35" t="str">
        <f aca="false">IF(N($P1129)&lt;=0,"",COUNTIF($P$6:$P1129,"&gt;0"))</f>
        <v/>
      </c>
    </row>
    <row r="1130" customFormat="false" ht="15" hidden="false" customHeight="false" outlineLevel="0" collapsed="false">
      <c r="A1130" s="40" t="str">
        <f aca="false">IF(INDEX(BookTitle,1125)="","",INDEX(BookGroup,1125))</f>
        <v/>
      </c>
      <c r="B1130" s="40" t="str">
        <f aca="false">IF(INDEX(BookTitle,1125)="","",INDEX(BookRef,1125))</f>
        <v/>
      </c>
      <c r="C1130" s="40" t="str">
        <f aca="false">IF(INDEX(BookTitle,1125)="","",INDEX(BookDivision,1125))</f>
        <v/>
      </c>
      <c r="D1130" s="40" t="str">
        <f aca="false">IF(INDEX(BookTitle,1125)="","",INDEX(BookUnit,1125))</f>
        <v/>
      </c>
      <c r="E1130" s="40" t="str">
        <f aca="false">IF(INDEX(BookTitle,1125)="","",INDEX(BookTitle,1125))</f>
        <v/>
      </c>
      <c r="F1130" s="40" t="str">
        <f aca="false">IF(INDEX(BookTitle,1125)="","",INDEX(BookLevel,1125))</f>
        <v/>
      </c>
      <c r="G1130" s="40" t="str">
        <f aca="false">IF(INDEX(BookTitle,1125)="","",INDEX(BookCategory,1125))</f>
        <v/>
      </c>
      <c r="H1130" s="40" t="str">
        <f aca="false">IF(INDEX(BookTitle,1125)="","",INDEX(BookRank,1125))</f>
        <v/>
      </c>
      <c r="I1130" s="41" t="str">
        <f aca="false">IF(INDEX(BookTitle,1125)="","",INDEX(BookTotal,1125))</f>
        <v/>
      </c>
      <c r="J1130" s="0" t="str">
        <f aca="false">IF($I1130="","",IF(INDEX(BookQ1,1125)&gt;0,"Q1",IF(INDEX(BookQ2,1125)&gt;0,"Q2",IF(INDEX(BookQ3,1125)&gt;0,"Q3",IF(INDEX(BookQ4,1125)&gt;0,"Q4","")))))</f>
        <v/>
      </c>
      <c r="K1130" s="42" t="str">
        <f aca="false">IF(INDEX(BookTitle,1125)="","",INDEX(BookInYear,1125))</f>
        <v/>
      </c>
      <c r="L1130" s="19"/>
      <c r="M1130" s="39"/>
      <c r="N1130" s="19"/>
      <c r="O1130" s="19"/>
      <c r="P1130" s="43" t="str">
        <f aca="false">IF($E1130="","",IF($L1130="Decline",0,IF($L1130="Approve fewer",IF($M1130="","",$M1130),IF($L1130="","",$I1130))))</f>
        <v/>
      </c>
      <c r="Q1130" s="34" t="str">
        <f aca="false">IF($P1130="","",IF($N1130&lt;&gt;"",$N1130,$J1130))</f>
        <v/>
      </c>
      <c r="R1130" s="35" t="str">
        <f aca="false">IF(OR($P1130="",$Q1130=""),"",INDEX(BookRate,1125)*$P1130*(5-MATCH($Q1130,{"Q1";"Q2";"Q3";"Q4"},0))/4+INDEX(BookOneOff,1125)*$P1130)</f>
        <v/>
      </c>
      <c r="S1130" s="35" t="str">
        <f aca="false">IF($P1130="","",INDEX(BookRate,1125)*$P1130)</f>
        <v/>
      </c>
      <c r="T1130" s="35" t="str">
        <f aca="false">IF($R1130="","",$R1130-$K1130)</f>
        <v/>
      </c>
      <c r="U1130" s="35" t="str">
        <f aca="false">IF(N($P1130)&lt;=0,"",COUNTIF($P$6:$P1130,"&gt;0"))</f>
        <v/>
      </c>
    </row>
    <row r="1131" customFormat="false" ht="15" hidden="false" customHeight="false" outlineLevel="0" collapsed="false">
      <c r="A1131" s="40" t="str">
        <f aca="false">IF(INDEX(BookTitle,1126)="","",INDEX(BookGroup,1126))</f>
        <v/>
      </c>
      <c r="B1131" s="40" t="str">
        <f aca="false">IF(INDEX(BookTitle,1126)="","",INDEX(BookRef,1126))</f>
        <v/>
      </c>
      <c r="C1131" s="40" t="str">
        <f aca="false">IF(INDEX(BookTitle,1126)="","",INDEX(BookDivision,1126))</f>
        <v/>
      </c>
      <c r="D1131" s="40" t="str">
        <f aca="false">IF(INDEX(BookTitle,1126)="","",INDEX(BookUnit,1126))</f>
        <v/>
      </c>
      <c r="E1131" s="40" t="str">
        <f aca="false">IF(INDEX(BookTitle,1126)="","",INDEX(BookTitle,1126))</f>
        <v/>
      </c>
      <c r="F1131" s="40" t="str">
        <f aca="false">IF(INDEX(BookTitle,1126)="","",INDEX(BookLevel,1126))</f>
        <v/>
      </c>
      <c r="G1131" s="40" t="str">
        <f aca="false">IF(INDEX(BookTitle,1126)="","",INDEX(BookCategory,1126))</f>
        <v/>
      </c>
      <c r="H1131" s="40" t="str">
        <f aca="false">IF(INDEX(BookTitle,1126)="","",INDEX(BookRank,1126))</f>
        <v/>
      </c>
      <c r="I1131" s="41" t="str">
        <f aca="false">IF(INDEX(BookTitle,1126)="","",INDEX(BookTotal,1126))</f>
        <v/>
      </c>
      <c r="J1131" s="0" t="str">
        <f aca="false">IF($I1131="","",IF(INDEX(BookQ1,1126)&gt;0,"Q1",IF(INDEX(BookQ2,1126)&gt;0,"Q2",IF(INDEX(BookQ3,1126)&gt;0,"Q3",IF(INDEX(BookQ4,1126)&gt;0,"Q4","")))))</f>
        <v/>
      </c>
      <c r="K1131" s="42" t="str">
        <f aca="false">IF(INDEX(BookTitle,1126)="","",INDEX(BookInYear,1126))</f>
        <v/>
      </c>
      <c r="L1131" s="19"/>
      <c r="M1131" s="39"/>
      <c r="N1131" s="19"/>
      <c r="O1131" s="19"/>
      <c r="P1131" s="43" t="str">
        <f aca="false">IF($E1131="","",IF($L1131="Decline",0,IF($L1131="Approve fewer",IF($M1131="","",$M1131),IF($L1131="","",$I1131))))</f>
        <v/>
      </c>
      <c r="Q1131" s="34" t="str">
        <f aca="false">IF($P1131="","",IF($N1131&lt;&gt;"",$N1131,$J1131))</f>
        <v/>
      </c>
      <c r="R1131" s="35" t="str">
        <f aca="false">IF(OR($P1131="",$Q1131=""),"",INDEX(BookRate,1126)*$P1131*(5-MATCH($Q1131,{"Q1";"Q2";"Q3";"Q4"},0))/4+INDEX(BookOneOff,1126)*$P1131)</f>
        <v/>
      </c>
      <c r="S1131" s="35" t="str">
        <f aca="false">IF($P1131="","",INDEX(BookRate,1126)*$P1131)</f>
        <v/>
      </c>
      <c r="T1131" s="35" t="str">
        <f aca="false">IF($R1131="","",$R1131-$K1131)</f>
        <v/>
      </c>
      <c r="U1131" s="35" t="str">
        <f aca="false">IF(N($P1131)&lt;=0,"",COUNTIF($P$6:$P1131,"&gt;0"))</f>
        <v/>
      </c>
    </row>
    <row r="1132" customFormat="false" ht="15" hidden="false" customHeight="false" outlineLevel="0" collapsed="false">
      <c r="A1132" s="40" t="str">
        <f aca="false">IF(INDEX(BookTitle,1127)="","",INDEX(BookGroup,1127))</f>
        <v/>
      </c>
      <c r="B1132" s="40" t="str">
        <f aca="false">IF(INDEX(BookTitle,1127)="","",INDEX(BookRef,1127))</f>
        <v/>
      </c>
      <c r="C1132" s="40" t="str">
        <f aca="false">IF(INDEX(BookTitle,1127)="","",INDEX(BookDivision,1127))</f>
        <v/>
      </c>
      <c r="D1132" s="40" t="str">
        <f aca="false">IF(INDEX(BookTitle,1127)="","",INDEX(BookUnit,1127))</f>
        <v/>
      </c>
      <c r="E1132" s="40" t="str">
        <f aca="false">IF(INDEX(BookTitle,1127)="","",INDEX(BookTitle,1127))</f>
        <v/>
      </c>
      <c r="F1132" s="40" t="str">
        <f aca="false">IF(INDEX(BookTitle,1127)="","",INDEX(BookLevel,1127))</f>
        <v/>
      </c>
      <c r="G1132" s="40" t="str">
        <f aca="false">IF(INDEX(BookTitle,1127)="","",INDEX(BookCategory,1127))</f>
        <v/>
      </c>
      <c r="H1132" s="40" t="str">
        <f aca="false">IF(INDEX(BookTitle,1127)="","",INDEX(BookRank,1127))</f>
        <v/>
      </c>
      <c r="I1132" s="41" t="str">
        <f aca="false">IF(INDEX(BookTitle,1127)="","",INDEX(BookTotal,1127))</f>
        <v/>
      </c>
      <c r="J1132" s="0" t="str">
        <f aca="false">IF($I1132="","",IF(INDEX(BookQ1,1127)&gt;0,"Q1",IF(INDEX(BookQ2,1127)&gt;0,"Q2",IF(INDEX(BookQ3,1127)&gt;0,"Q3",IF(INDEX(BookQ4,1127)&gt;0,"Q4","")))))</f>
        <v/>
      </c>
      <c r="K1132" s="42" t="str">
        <f aca="false">IF(INDEX(BookTitle,1127)="","",INDEX(BookInYear,1127))</f>
        <v/>
      </c>
      <c r="L1132" s="19"/>
      <c r="M1132" s="39"/>
      <c r="N1132" s="19"/>
      <c r="O1132" s="19"/>
      <c r="P1132" s="43" t="str">
        <f aca="false">IF($E1132="","",IF($L1132="Decline",0,IF($L1132="Approve fewer",IF($M1132="","",$M1132),IF($L1132="","",$I1132))))</f>
        <v/>
      </c>
      <c r="Q1132" s="34" t="str">
        <f aca="false">IF($P1132="","",IF($N1132&lt;&gt;"",$N1132,$J1132))</f>
        <v/>
      </c>
      <c r="R1132" s="35" t="str">
        <f aca="false">IF(OR($P1132="",$Q1132=""),"",INDEX(BookRate,1127)*$P1132*(5-MATCH($Q1132,{"Q1";"Q2";"Q3";"Q4"},0))/4+INDEX(BookOneOff,1127)*$P1132)</f>
        <v/>
      </c>
      <c r="S1132" s="35" t="str">
        <f aca="false">IF($P1132="","",INDEX(BookRate,1127)*$P1132)</f>
        <v/>
      </c>
      <c r="T1132" s="35" t="str">
        <f aca="false">IF($R1132="","",$R1132-$K1132)</f>
        <v/>
      </c>
      <c r="U1132" s="35" t="str">
        <f aca="false">IF(N($P1132)&lt;=0,"",COUNTIF($P$6:$P1132,"&gt;0"))</f>
        <v/>
      </c>
    </row>
    <row r="1133" customFormat="false" ht="15" hidden="false" customHeight="false" outlineLevel="0" collapsed="false">
      <c r="A1133" s="40" t="str">
        <f aca="false">IF(INDEX(BookTitle,1128)="","",INDEX(BookGroup,1128))</f>
        <v/>
      </c>
      <c r="B1133" s="40" t="str">
        <f aca="false">IF(INDEX(BookTitle,1128)="","",INDEX(BookRef,1128))</f>
        <v/>
      </c>
      <c r="C1133" s="40" t="str">
        <f aca="false">IF(INDEX(BookTitle,1128)="","",INDEX(BookDivision,1128))</f>
        <v/>
      </c>
      <c r="D1133" s="40" t="str">
        <f aca="false">IF(INDEX(BookTitle,1128)="","",INDEX(BookUnit,1128))</f>
        <v/>
      </c>
      <c r="E1133" s="40" t="str">
        <f aca="false">IF(INDEX(BookTitle,1128)="","",INDEX(BookTitle,1128))</f>
        <v/>
      </c>
      <c r="F1133" s="40" t="str">
        <f aca="false">IF(INDEX(BookTitle,1128)="","",INDEX(BookLevel,1128))</f>
        <v/>
      </c>
      <c r="G1133" s="40" t="str">
        <f aca="false">IF(INDEX(BookTitle,1128)="","",INDEX(BookCategory,1128))</f>
        <v/>
      </c>
      <c r="H1133" s="40" t="str">
        <f aca="false">IF(INDEX(BookTitle,1128)="","",INDEX(BookRank,1128))</f>
        <v/>
      </c>
      <c r="I1133" s="41" t="str">
        <f aca="false">IF(INDEX(BookTitle,1128)="","",INDEX(BookTotal,1128))</f>
        <v/>
      </c>
      <c r="J1133" s="0" t="str">
        <f aca="false">IF($I1133="","",IF(INDEX(BookQ1,1128)&gt;0,"Q1",IF(INDEX(BookQ2,1128)&gt;0,"Q2",IF(INDEX(BookQ3,1128)&gt;0,"Q3",IF(INDEX(BookQ4,1128)&gt;0,"Q4","")))))</f>
        <v/>
      </c>
      <c r="K1133" s="42" t="str">
        <f aca="false">IF(INDEX(BookTitle,1128)="","",INDEX(BookInYear,1128))</f>
        <v/>
      </c>
      <c r="L1133" s="19"/>
      <c r="M1133" s="39"/>
      <c r="N1133" s="19"/>
      <c r="O1133" s="19"/>
      <c r="P1133" s="43" t="str">
        <f aca="false">IF($E1133="","",IF($L1133="Decline",0,IF($L1133="Approve fewer",IF($M1133="","",$M1133),IF($L1133="","",$I1133))))</f>
        <v/>
      </c>
      <c r="Q1133" s="34" t="str">
        <f aca="false">IF($P1133="","",IF($N1133&lt;&gt;"",$N1133,$J1133))</f>
        <v/>
      </c>
      <c r="R1133" s="35" t="str">
        <f aca="false">IF(OR($P1133="",$Q1133=""),"",INDEX(BookRate,1128)*$P1133*(5-MATCH($Q1133,{"Q1";"Q2";"Q3";"Q4"},0))/4+INDEX(BookOneOff,1128)*$P1133)</f>
        <v/>
      </c>
      <c r="S1133" s="35" t="str">
        <f aca="false">IF($P1133="","",INDEX(BookRate,1128)*$P1133)</f>
        <v/>
      </c>
      <c r="T1133" s="35" t="str">
        <f aca="false">IF($R1133="","",$R1133-$K1133)</f>
        <v/>
      </c>
      <c r="U1133" s="35" t="str">
        <f aca="false">IF(N($P1133)&lt;=0,"",COUNTIF($P$6:$P1133,"&gt;0"))</f>
        <v/>
      </c>
    </row>
    <row r="1134" customFormat="false" ht="15" hidden="false" customHeight="false" outlineLevel="0" collapsed="false">
      <c r="A1134" s="40" t="str">
        <f aca="false">IF(INDEX(BookTitle,1129)="","",INDEX(BookGroup,1129))</f>
        <v/>
      </c>
      <c r="B1134" s="40" t="str">
        <f aca="false">IF(INDEX(BookTitle,1129)="","",INDEX(BookRef,1129))</f>
        <v/>
      </c>
      <c r="C1134" s="40" t="str">
        <f aca="false">IF(INDEX(BookTitle,1129)="","",INDEX(BookDivision,1129))</f>
        <v/>
      </c>
      <c r="D1134" s="40" t="str">
        <f aca="false">IF(INDEX(BookTitle,1129)="","",INDEX(BookUnit,1129))</f>
        <v/>
      </c>
      <c r="E1134" s="40" t="str">
        <f aca="false">IF(INDEX(BookTitle,1129)="","",INDEX(BookTitle,1129))</f>
        <v/>
      </c>
      <c r="F1134" s="40" t="str">
        <f aca="false">IF(INDEX(BookTitle,1129)="","",INDEX(BookLevel,1129))</f>
        <v/>
      </c>
      <c r="G1134" s="40" t="str">
        <f aca="false">IF(INDEX(BookTitle,1129)="","",INDEX(BookCategory,1129))</f>
        <v/>
      </c>
      <c r="H1134" s="40" t="str">
        <f aca="false">IF(INDEX(BookTitle,1129)="","",INDEX(BookRank,1129))</f>
        <v/>
      </c>
      <c r="I1134" s="41" t="str">
        <f aca="false">IF(INDEX(BookTitle,1129)="","",INDEX(BookTotal,1129))</f>
        <v/>
      </c>
      <c r="J1134" s="0" t="str">
        <f aca="false">IF($I1134="","",IF(INDEX(BookQ1,1129)&gt;0,"Q1",IF(INDEX(BookQ2,1129)&gt;0,"Q2",IF(INDEX(BookQ3,1129)&gt;0,"Q3",IF(INDEX(BookQ4,1129)&gt;0,"Q4","")))))</f>
        <v/>
      </c>
      <c r="K1134" s="42" t="str">
        <f aca="false">IF(INDEX(BookTitle,1129)="","",INDEX(BookInYear,1129))</f>
        <v/>
      </c>
      <c r="L1134" s="19"/>
      <c r="M1134" s="39"/>
      <c r="N1134" s="19"/>
      <c r="O1134" s="19"/>
      <c r="P1134" s="43" t="str">
        <f aca="false">IF($E1134="","",IF($L1134="Decline",0,IF($L1134="Approve fewer",IF($M1134="","",$M1134),IF($L1134="","",$I1134))))</f>
        <v/>
      </c>
      <c r="Q1134" s="34" t="str">
        <f aca="false">IF($P1134="","",IF($N1134&lt;&gt;"",$N1134,$J1134))</f>
        <v/>
      </c>
      <c r="R1134" s="35" t="str">
        <f aca="false">IF(OR($P1134="",$Q1134=""),"",INDEX(BookRate,1129)*$P1134*(5-MATCH($Q1134,{"Q1";"Q2";"Q3";"Q4"},0))/4+INDEX(BookOneOff,1129)*$P1134)</f>
        <v/>
      </c>
      <c r="S1134" s="35" t="str">
        <f aca="false">IF($P1134="","",INDEX(BookRate,1129)*$P1134)</f>
        <v/>
      </c>
      <c r="T1134" s="35" t="str">
        <f aca="false">IF($R1134="","",$R1134-$K1134)</f>
        <v/>
      </c>
      <c r="U1134" s="35" t="str">
        <f aca="false">IF(N($P1134)&lt;=0,"",COUNTIF($P$6:$P1134,"&gt;0"))</f>
        <v/>
      </c>
    </row>
    <row r="1135" customFormat="false" ht="15" hidden="false" customHeight="false" outlineLevel="0" collapsed="false">
      <c r="A1135" s="40" t="str">
        <f aca="false">IF(INDEX(BookTitle,1130)="","",INDEX(BookGroup,1130))</f>
        <v/>
      </c>
      <c r="B1135" s="40" t="str">
        <f aca="false">IF(INDEX(BookTitle,1130)="","",INDEX(BookRef,1130))</f>
        <v/>
      </c>
      <c r="C1135" s="40" t="str">
        <f aca="false">IF(INDEX(BookTitle,1130)="","",INDEX(BookDivision,1130))</f>
        <v/>
      </c>
      <c r="D1135" s="40" t="str">
        <f aca="false">IF(INDEX(BookTitle,1130)="","",INDEX(BookUnit,1130))</f>
        <v/>
      </c>
      <c r="E1135" s="40" t="str">
        <f aca="false">IF(INDEX(BookTitle,1130)="","",INDEX(BookTitle,1130))</f>
        <v/>
      </c>
      <c r="F1135" s="40" t="str">
        <f aca="false">IF(INDEX(BookTitle,1130)="","",INDEX(BookLevel,1130))</f>
        <v/>
      </c>
      <c r="G1135" s="40" t="str">
        <f aca="false">IF(INDEX(BookTitle,1130)="","",INDEX(BookCategory,1130))</f>
        <v/>
      </c>
      <c r="H1135" s="40" t="str">
        <f aca="false">IF(INDEX(BookTitle,1130)="","",INDEX(BookRank,1130))</f>
        <v/>
      </c>
      <c r="I1135" s="41" t="str">
        <f aca="false">IF(INDEX(BookTitle,1130)="","",INDEX(BookTotal,1130))</f>
        <v/>
      </c>
      <c r="J1135" s="0" t="str">
        <f aca="false">IF($I1135="","",IF(INDEX(BookQ1,1130)&gt;0,"Q1",IF(INDEX(BookQ2,1130)&gt;0,"Q2",IF(INDEX(BookQ3,1130)&gt;0,"Q3",IF(INDEX(BookQ4,1130)&gt;0,"Q4","")))))</f>
        <v/>
      </c>
      <c r="K1135" s="42" t="str">
        <f aca="false">IF(INDEX(BookTitle,1130)="","",INDEX(BookInYear,1130))</f>
        <v/>
      </c>
      <c r="L1135" s="19"/>
      <c r="M1135" s="39"/>
      <c r="N1135" s="19"/>
      <c r="O1135" s="19"/>
      <c r="P1135" s="43" t="str">
        <f aca="false">IF($E1135="","",IF($L1135="Decline",0,IF($L1135="Approve fewer",IF($M1135="","",$M1135),IF($L1135="","",$I1135))))</f>
        <v/>
      </c>
      <c r="Q1135" s="34" t="str">
        <f aca="false">IF($P1135="","",IF($N1135&lt;&gt;"",$N1135,$J1135))</f>
        <v/>
      </c>
      <c r="R1135" s="35" t="str">
        <f aca="false">IF(OR($P1135="",$Q1135=""),"",INDEX(BookRate,1130)*$P1135*(5-MATCH($Q1135,{"Q1";"Q2";"Q3";"Q4"},0))/4+INDEX(BookOneOff,1130)*$P1135)</f>
        <v/>
      </c>
      <c r="S1135" s="35" t="str">
        <f aca="false">IF($P1135="","",INDEX(BookRate,1130)*$P1135)</f>
        <v/>
      </c>
      <c r="T1135" s="35" t="str">
        <f aca="false">IF($R1135="","",$R1135-$K1135)</f>
        <v/>
      </c>
      <c r="U1135" s="35" t="str">
        <f aca="false">IF(N($P1135)&lt;=0,"",COUNTIF($P$6:$P1135,"&gt;0"))</f>
        <v/>
      </c>
    </row>
    <row r="1136" customFormat="false" ht="15" hidden="false" customHeight="false" outlineLevel="0" collapsed="false">
      <c r="A1136" s="40" t="str">
        <f aca="false">IF(INDEX(BookTitle,1131)="","",INDEX(BookGroup,1131))</f>
        <v/>
      </c>
      <c r="B1136" s="40" t="str">
        <f aca="false">IF(INDEX(BookTitle,1131)="","",INDEX(BookRef,1131))</f>
        <v/>
      </c>
      <c r="C1136" s="40" t="str">
        <f aca="false">IF(INDEX(BookTitle,1131)="","",INDEX(BookDivision,1131))</f>
        <v/>
      </c>
      <c r="D1136" s="40" t="str">
        <f aca="false">IF(INDEX(BookTitle,1131)="","",INDEX(BookUnit,1131))</f>
        <v/>
      </c>
      <c r="E1136" s="40" t="str">
        <f aca="false">IF(INDEX(BookTitle,1131)="","",INDEX(BookTitle,1131))</f>
        <v/>
      </c>
      <c r="F1136" s="40" t="str">
        <f aca="false">IF(INDEX(BookTitle,1131)="","",INDEX(BookLevel,1131))</f>
        <v/>
      </c>
      <c r="G1136" s="40" t="str">
        <f aca="false">IF(INDEX(BookTitle,1131)="","",INDEX(BookCategory,1131))</f>
        <v/>
      </c>
      <c r="H1136" s="40" t="str">
        <f aca="false">IF(INDEX(BookTitle,1131)="","",INDEX(BookRank,1131))</f>
        <v/>
      </c>
      <c r="I1136" s="41" t="str">
        <f aca="false">IF(INDEX(BookTitle,1131)="","",INDEX(BookTotal,1131))</f>
        <v/>
      </c>
      <c r="J1136" s="0" t="str">
        <f aca="false">IF($I1136="","",IF(INDEX(BookQ1,1131)&gt;0,"Q1",IF(INDEX(BookQ2,1131)&gt;0,"Q2",IF(INDEX(BookQ3,1131)&gt;0,"Q3",IF(INDEX(BookQ4,1131)&gt;0,"Q4","")))))</f>
        <v/>
      </c>
      <c r="K1136" s="42" t="str">
        <f aca="false">IF(INDEX(BookTitle,1131)="","",INDEX(BookInYear,1131))</f>
        <v/>
      </c>
      <c r="L1136" s="19"/>
      <c r="M1136" s="39"/>
      <c r="N1136" s="19"/>
      <c r="O1136" s="19"/>
      <c r="P1136" s="43" t="str">
        <f aca="false">IF($E1136="","",IF($L1136="Decline",0,IF($L1136="Approve fewer",IF($M1136="","",$M1136),IF($L1136="","",$I1136))))</f>
        <v/>
      </c>
      <c r="Q1136" s="34" t="str">
        <f aca="false">IF($P1136="","",IF($N1136&lt;&gt;"",$N1136,$J1136))</f>
        <v/>
      </c>
      <c r="R1136" s="35" t="str">
        <f aca="false">IF(OR($P1136="",$Q1136=""),"",INDEX(BookRate,1131)*$P1136*(5-MATCH($Q1136,{"Q1";"Q2";"Q3";"Q4"},0))/4+INDEX(BookOneOff,1131)*$P1136)</f>
        <v/>
      </c>
      <c r="S1136" s="35" t="str">
        <f aca="false">IF($P1136="","",INDEX(BookRate,1131)*$P1136)</f>
        <v/>
      </c>
      <c r="T1136" s="35" t="str">
        <f aca="false">IF($R1136="","",$R1136-$K1136)</f>
        <v/>
      </c>
      <c r="U1136" s="35" t="str">
        <f aca="false">IF(N($P1136)&lt;=0,"",COUNTIF($P$6:$P1136,"&gt;0"))</f>
        <v/>
      </c>
    </row>
    <row r="1137" customFormat="false" ht="15" hidden="false" customHeight="false" outlineLevel="0" collapsed="false">
      <c r="A1137" s="40" t="str">
        <f aca="false">IF(INDEX(BookTitle,1132)="","",INDEX(BookGroup,1132))</f>
        <v/>
      </c>
      <c r="B1137" s="40" t="str">
        <f aca="false">IF(INDEX(BookTitle,1132)="","",INDEX(BookRef,1132))</f>
        <v/>
      </c>
      <c r="C1137" s="40" t="str">
        <f aca="false">IF(INDEX(BookTitle,1132)="","",INDEX(BookDivision,1132))</f>
        <v/>
      </c>
      <c r="D1137" s="40" t="str">
        <f aca="false">IF(INDEX(BookTitle,1132)="","",INDEX(BookUnit,1132))</f>
        <v/>
      </c>
      <c r="E1137" s="40" t="str">
        <f aca="false">IF(INDEX(BookTitle,1132)="","",INDEX(BookTitle,1132))</f>
        <v/>
      </c>
      <c r="F1137" s="40" t="str">
        <f aca="false">IF(INDEX(BookTitle,1132)="","",INDEX(BookLevel,1132))</f>
        <v/>
      </c>
      <c r="G1137" s="40" t="str">
        <f aca="false">IF(INDEX(BookTitle,1132)="","",INDEX(BookCategory,1132))</f>
        <v/>
      </c>
      <c r="H1137" s="40" t="str">
        <f aca="false">IF(INDEX(BookTitle,1132)="","",INDEX(BookRank,1132))</f>
        <v/>
      </c>
      <c r="I1137" s="41" t="str">
        <f aca="false">IF(INDEX(BookTitle,1132)="","",INDEX(BookTotal,1132))</f>
        <v/>
      </c>
      <c r="J1137" s="0" t="str">
        <f aca="false">IF($I1137="","",IF(INDEX(BookQ1,1132)&gt;0,"Q1",IF(INDEX(BookQ2,1132)&gt;0,"Q2",IF(INDEX(BookQ3,1132)&gt;0,"Q3",IF(INDEX(BookQ4,1132)&gt;0,"Q4","")))))</f>
        <v/>
      </c>
      <c r="K1137" s="42" t="str">
        <f aca="false">IF(INDEX(BookTitle,1132)="","",INDEX(BookInYear,1132))</f>
        <v/>
      </c>
      <c r="L1137" s="19"/>
      <c r="M1137" s="39"/>
      <c r="N1137" s="19"/>
      <c r="O1137" s="19"/>
      <c r="P1137" s="43" t="str">
        <f aca="false">IF($E1137="","",IF($L1137="Decline",0,IF($L1137="Approve fewer",IF($M1137="","",$M1137),IF($L1137="","",$I1137))))</f>
        <v/>
      </c>
      <c r="Q1137" s="34" t="str">
        <f aca="false">IF($P1137="","",IF($N1137&lt;&gt;"",$N1137,$J1137))</f>
        <v/>
      </c>
      <c r="R1137" s="35" t="str">
        <f aca="false">IF(OR($P1137="",$Q1137=""),"",INDEX(BookRate,1132)*$P1137*(5-MATCH($Q1137,{"Q1";"Q2";"Q3";"Q4"},0))/4+INDEX(BookOneOff,1132)*$P1137)</f>
        <v/>
      </c>
      <c r="S1137" s="35" t="str">
        <f aca="false">IF($P1137="","",INDEX(BookRate,1132)*$P1137)</f>
        <v/>
      </c>
      <c r="T1137" s="35" t="str">
        <f aca="false">IF($R1137="","",$R1137-$K1137)</f>
        <v/>
      </c>
      <c r="U1137" s="35" t="str">
        <f aca="false">IF(N($P1137)&lt;=0,"",COUNTIF($P$6:$P1137,"&gt;0"))</f>
        <v/>
      </c>
    </row>
    <row r="1138" customFormat="false" ht="15" hidden="false" customHeight="false" outlineLevel="0" collapsed="false">
      <c r="A1138" s="40" t="str">
        <f aca="false">IF(INDEX(BookTitle,1133)="","",INDEX(BookGroup,1133))</f>
        <v/>
      </c>
      <c r="B1138" s="40" t="str">
        <f aca="false">IF(INDEX(BookTitle,1133)="","",INDEX(BookRef,1133))</f>
        <v/>
      </c>
      <c r="C1138" s="40" t="str">
        <f aca="false">IF(INDEX(BookTitle,1133)="","",INDEX(BookDivision,1133))</f>
        <v/>
      </c>
      <c r="D1138" s="40" t="str">
        <f aca="false">IF(INDEX(BookTitle,1133)="","",INDEX(BookUnit,1133))</f>
        <v/>
      </c>
      <c r="E1138" s="40" t="str">
        <f aca="false">IF(INDEX(BookTitle,1133)="","",INDEX(BookTitle,1133))</f>
        <v/>
      </c>
      <c r="F1138" s="40" t="str">
        <f aca="false">IF(INDEX(BookTitle,1133)="","",INDEX(BookLevel,1133))</f>
        <v/>
      </c>
      <c r="G1138" s="40" t="str">
        <f aca="false">IF(INDEX(BookTitle,1133)="","",INDEX(BookCategory,1133))</f>
        <v/>
      </c>
      <c r="H1138" s="40" t="str">
        <f aca="false">IF(INDEX(BookTitle,1133)="","",INDEX(BookRank,1133))</f>
        <v/>
      </c>
      <c r="I1138" s="41" t="str">
        <f aca="false">IF(INDEX(BookTitle,1133)="","",INDEX(BookTotal,1133))</f>
        <v/>
      </c>
      <c r="J1138" s="0" t="str">
        <f aca="false">IF($I1138="","",IF(INDEX(BookQ1,1133)&gt;0,"Q1",IF(INDEX(BookQ2,1133)&gt;0,"Q2",IF(INDEX(BookQ3,1133)&gt;0,"Q3",IF(INDEX(BookQ4,1133)&gt;0,"Q4","")))))</f>
        <v/>
      </c>
      <c r="K1138" s="42" t="str">
        <f aca="false">IF(INDEX(BookTitle,1133)="","",INDEX(BookInYear,1133))</f>
        <v/>
      </c>
      <c r="L1138" s="19"/>
      <c r="M1138" s="39"/>
      <c r="N1138" s="19"/>
      <c r="O1138" s="19"/>
      <c r="P1138" s="43" t="str">
        <f aca="false">IF($E1138="","",IF($L1138="Decline",0,IF($L1138="Approve fewer",IF($M1138="","",$M1138),IF($L1138="","",$I1138))))</f>
        <v/>
      </c>
      <c r="Q1138" s="34" t="str">
        <f aca="false">IF($P1138="","",IF($N1138&lt;&gt;"",$N1138,$J1138))</f>
        <v/>
      </c>
      <c r="R1138" s="35" t="str">
        <f aca="false">IF(OR($P1138="",$Q1138=""),"",INDEX(BookRate,1133)*$P1138*(5-MATCH($Q1138,{"Q1";"Q2";"Q3";"Q4"},0))/4+INDEX(BookOneOff,1133)*$P1138)</f>
        <v/>
      </c>
      <c r="S1138" s="35" t="str">
        <f aca="false">IF($P1138="","",INDEX(BookRate,1133)*$P1138)</f>
        <v/>
      </c>
      <c r="T1138" s="35" t="str">
        <f aca="false">IF($R1138="","",$R1138-$K1138)</f>
        <v/>
      </c>
      <c r="U1138" s="35" t="str">
        <f aca="false">IF(N($P1138)&lt;=0,"",COUNTIF($P$6:$P1138,"&gt;0"))</f>
        <v/>
      </c>
    </row>
    <row r="1139" customFormat="false" ht="15" hidden="false" customHeight="false" outlineLevel="0" collapsed="false">
      <c r="A1139" s="40" t="str">
        <f aca="false">IF(INDEX(BookTitle,1134)="","",INDEX(BookGroup,1134))</f>
        <v/>
      </c>
      <c r="B1139" s="40" t="str">
        <f aca="false">IF(INDEX(BookTitle,1134)="","",INDEX(BookRef,1134))</f>
        <v/>
      </c>
      <c r="C1139" s="40" t="str">
        <f aca="false">IF(INDEX(BookTitle,1134)="","",INDEX(BookDivision,1134))</f>
        <v/>
      </c>
      <c r="D1139" s="40" t="str">
        <f aca="false">IF(INDEX(BookTitle,1134)="","",INDEX(BookUnit,1134))</f>
        <v/>
      </c>
      <c r="E1139" s="40" t="str">
        <f aca="false">IF(INDEX(BookTitle,1134)="","",INDEX(BookTitle,1134))</f>
        <v/>
      </c>
      <c r="F1139" s="40" t="str">
        <f aca="false">IF(INDEX(BookTitle,1134)="","",INDEX(BookLevel,1134))</f>
        <v/>
      </c>
      <c r="G1139" s="40" t="str">
        <f aca="false">IF(INDEX(BookTitle,1134)="","",INDEX(BookCategory,1134))</f>
        <v/>
      </c>
      <c r="H1139" s="40" t="str">
        <f aca="false">IF(INDEX(BookTitle,1134)="","",INDEX(BookRank,1134))</f>
        <v/>
      </c>
      <c r="I1139" s="41" t="str">
        <f aca="false">IF(INDEX(BookTitle,1134)="","",INDEX(BookTotal,1134))</f>
        <v/>
      </c>
      <c r="J1139" s="0" t="str">
        <f aca="false">IF($I1139="","",IF(INDEX(BookQ1,1134)&gt;0,"Q1",IF(INDEX(BookQ2,1134)&gt;0,"Q2",IF(INDEX(BookQ3,1134)&gt;0,"Q3",IF(INDEX(BookQ4,1134)&gt;0,"Q4","")))))</f>
        <v/>
      </c>
      <c r="K1139" s="42" t="str">
        <f aca="false">IF(INDEX(BookTitle,1134)="","",INDEX(BookInYear,1134))</f>
        <v/>
      </c>
      <c r="L1139" s="19"/>
      <c r="M1139" s="39"/>
      <c r="N1139" s="19"/>
      <c r="O1139" s="19"/>
      <c r="P1139" s="43" t="str">
        <f aca="false">IF($E1139="","",IF($L1139="Decline",0,IF($L1139="Approve fewer",IF($M1139="","",$M1139),IF($L1139="","",$I1139))))</f>
        <v/>
      </c>
      <c r="Q1139" s="34" t="str">
        <f aca="false">IF($P1139="","",IF($N1139&lt;&gt;"",$N1139,$J1139))</f>
        <v/>
      </c>
      <c r="R1139" s="35" t="str">
        <f aca="false">IF(OR($P1139="",$Q1139=""),"",INDEX(BookRate,1134)*$P1139*(5-MATCH($Q1139,{"Q1";"Q2";"Q3";"Q4"},0))/4+INDEX(BookOneOff,1134)*$P1139)</f>
        <v/>
      </c>
      <c r="S1139" s="35" t="str">
        <f aca="false">IF($P1139="","",INDEX(BookRate,1134)*$P1139)</f>
        <v/>
      </c>
      <c r="T1139" s="35" t="str">
        <f aca="false">IF($R1139="","",$R1139-$K1139)</f>
        <v/>
      </c>
      <c r="U1139" s="35" t="str">
        <f aca="false">IF(N($P1139)&lt;=0,"",COUNTIF($P$6:$P1139,"&gt;0"))</f>
        <v/>
      </c>
    </row>
    <row r="1140" customFormat="false" ht="15" hidden="false" customHeight="false" outlineLevel="0" collapsed="false">
      <c r="A1140" s="40" t="str">
        <f aca="false">IF(INDEX(BookTitle,1135)="","",INDEX(BookGroup,1135))</f>
        <v/>
      </c>
      <c r="B1140" s="40" t="str">
        <f aca="false">IF(INDEX(BookTitle,1135)="","",INDEX(BookRef,1135))</f>
        <v/>
      </c>
      <c r="C1140" s="40" t="str">
        <f aca="false">IF(INDEX(BookTitle,1135)="","",INDEX(BookDivision,1135))</f>
        <v/>
      </c>
      <c r="D1140" s="40" t="str">
        <f aca="false">IF(INDEX(BookTitle,1135)="","",INDEX(BookUnit,1135))</f>
        <v/>
      </c>
      <c r="E1140" s="40" t="str">
        <f aca="false">IF(INDEX(BookTitle,1135)="","",INDEX(BookTitle,1135))</f>
        <v/>
      </c>
      <c r="F1140" s="40" t="str">
        <f aca="false">IF(INDEX(BookTitle,1135)="","",INDEX(BookLevel,1135))</f>
        <v/>
      </c>
      <c r="G1140" s="40" t="str">
        <f aca="false">IF(INDEX(BookTitle,1135)="","",INDEX(BookCategory,1135))</f>
        <v/>
      </c>
      <c r="H1140" s="40" t="str">
        <f aca="false">IF(INDEX(BookTitle,1135)="","",INDEX(BookRank,1135))</f>
        <v/>
      </c>
      <c r="I1140" s="41" t="str">
        <f aca="false">IF(INDEX(BookTitle,1135)="","",INDEX(BookTotal,1135))</f>
        <v/>
      </c>
      <c r="J1140" s="0" t="str">
        <f aca="false">IF($I1140="","",IF(INDEX(BookQ1,1135)&gt;0,"Q1",IF(INDEX(BookQ2,1135)&gt;0,"Q2",IF(INDEX(BookQ3,1135)&gt;0,"Q3",IF(INDEX(BookQ4,1135)&gt;0,"Q4","")))))</f>
        <v/>
      </c>
      <c r="K1140" s="42" t="str">
        <f aca="false">IF(INDEX(BookTitle,1135)="","",INDEX(BookInYear,1135))</f>
        <v/>
      </c>
      <c r="L1140" s="19"/>
      <c r="M1140" s="39"/>
      <c r="N1140" s="19"/>
      <c r="O1140" s="19"/>
      <c r="P1140" s="43" t="str">
        <f aca="false">IF($E1140="","",IF($L1140="Decline",0,IF($L1140="Approve fewer",IF($M1140="","",$M1140),IF($L1140="","",$I1140))))</f>
        <v/>
      </c>
      <c r="Q1140" s="34" t="str">
        <f aca="false">IF($P1140="","",IF($N1140&lt;&gt;"",$N1140,$J1140))</f>
        <v/>
      </c>
      <c r="R1140" s="35" t="str">
        <f aca="false">IF(OR($P1140="",$Q1140=""),"",INDEX(BookRate,1135)*$P1140*(5-MATCH($Q1140,{"Q1";"Q2";"Q3";"Q4"},0))/4+INDEX(BookOneOff,1135)*$P1140)</f>
        <v/>
      </c>
      <c r="S1140" s="35" t="str">
        <f aca="false">IF($P1140="","",INDEX(BookRate,1135)*$P1140)</f>
        <v/>
      </c>
      <c r="T1140" s="35" t="str">
        <f aca="false">IF($R1140="","",$R1140-$K1140)</f>
        <v/>
      </c>
      <c r="U1140" s="35" t="str">
        <f aca="false">IF(N($P1140)&lt;=0,"",COUNTIF($P$6:$P1140,"&gt;0"))</f>
        <v/>
      </c>
    </row>
    <row r="1141" customFormat="false" ht="15" hidden="false" customHeight="false" outlineLevel="0" collapsed="false">
      <c r="A1141" s="40" t="str">
        <f aca="false">IF(INDEX(BookTitle,1136)="","",INDEX(BookGroup,1136))</f>
        <v/>
      </c>
      <c r="B1141" s="40" t="str">
        <f aca="false">IF(INDEX(BookTitle,1136)="","",INDEX(BookRef,1136))</f>
        <v/>
      </c>
      <c r="C1141" s="40" t="str">
        <f aca="false">IF(INDEX(BookTitle,1136)="","",INDEX(BookDivision,1136))</f>
        <v/>
      </c>
      <c r="D1141" s="40" t="str">
        <f aca="false">IF(INDEX(BookTitle,1136)="","",INDEX(BookUnit,1136))</f>
        <v/>
      </c>
      <c r="E1141" s="40" t="str">
        <f aca="false">IF(INDEX(BookTitle,1136)="","",INDEX(BookTitle,1136))</f>
        <v/>
      </c>
      <c r="F1141" s="40" t="str">
        <f aca="false">IF(INDEX(BookTitle,1136)="","",INDEX(BookLevel,1136))</f>
        <v/>
      </c>
      <c r="G1141" s="40" t="str">
        <f aca="false">IF(INDEX(BookTitle,1136)="","",INDEX(BookCategory,1136))</f>
        <v/>
      </c>
      <c r="H1141" s="40" t="str">
        <f aca="false">IF(INDEX(BookTitle,1136)="","",INDEX(BookRank,1136))</f>
        <v/>
      </c>
      <c r="I1141" s="41" t="str">
        <f aca="false">IF(INDEX(BookTitle,1136)="","",INDEX(BookTotal,1136))</f>
        <v/>
      </c>
      <c r="J1141" s="0" t="str">
        <f aca="false">IF($I1141="","",IF(INDEX(BookQ1,1136)&gt;0,"Q1",IF(INDEX(BookQ2,1136)&gt;0,"Q2",IF(INDEX(BookQ3,1136)&gt;0,"Q3",IF(INDEX(BookQ4,1136)&gt;0,"Q4","")))))</f>
        <v/>
      </c>
      <c r="K1141" s="42" t="str">
        <f aca="false">IF(INDEX(BookTitle,1136)="","",INDEX(BookInYear,1136))</f>
        <v/>
      </c>
      <c r="L1141" s="19"/>
      <c r="M1141" s="39"/>
      <c r="N1141" s="19"/>
      <c r="O1141" s="19"/>
      <c r="P1141" s="43" t="str">
        <f aca="false">IF($E1141="","",IF($L1141="Decline",0,IF($L1141="Approve fewer",IF($M1141="","",$M1141),IF($L1141="","",$I1141))))</f>
        <v/>
      </c>
      <c r="Q1141" s="34" t="str">
        <f aca="false">IF($P1141="","",IF($N1141&lt;&gt;"",$N1141,$J1141))</f>
        <v/>
      </c>
      <c r="R1141" s="35" t="str">
        <f aca="false">IF(OR($P1141="",$Q1141=""),"",INDEX(BookRate,1136)*$P1141*(5-MATCH($Q1141,{"Q1";"Q2";"Q3";"Q4"},0))/4+INDEX(BookOneOff,1136)*$P1141)</f>
        <v/>
      </c>
      <c r="S1141" s="35" t="str">
        <f aca="false">IF($P1141="","",INDEX(BookRate,1136)*$P1141)</f>
        <v/>
      </c>
      <c r="T1141" s="35" t="str">
        <f aca="false">IF($R1141="","",$R1141-$K1141)</f>
        <v/>
      </c>
      <c r="U1141" s="35" t="str">
        <f aca="false">IF(N($P1141)&lt;=0,"",COUNTIF($P$6:$P1141,"&gt;0"))</f>
        <v/>
      </c>
    </row>
    <row r="1142" customFormat="false" ht="15" hidden="false" customHeight="false" outlineLevel="0" collapsed="false">
      <c r="A1142" s="40" t="str">
        <f aca="false">IF(INDEX(BookTitle,1137)="","",INDEX(BookGroup,1137))</f>
        <v/>
      </c>
      <c r="B1142" s="40" t="str">
        <f aca="false">IF(INDEX(BookTitle,1137)="","",INDEX(BookRef,1137))</f>
        <v/>
      </c>
      <c r="C1142" s="40" t="str">
        <f aca="false">IF(INDEX(BookTitle,1137)="","",INDEX(BookDivision,1137))</f>
        <v/>
      </c>
      <c r="D1142" s="40" t="str">
        <f aca="false">IF(INDEX(BookTitle,1137)="","",INDEX(BookUnit,1137))</f>
        <v/>
      </c>
      <c r="E1142" s="40" t="str">
        <f aca="false">IF(INDEX(BookTitle,1137)="","",INDEX(BookTitle,1137))</f>
        <v/>
      </c>
      <c r="F1142" s="40" t="str">
        <f aca="false">IF(INDEX(BookTitle,1137)="","",INDEX(BookLevel,1137))</f>
        <v/>
      </c>
      <c r="G1142" s="40" t="str">
        <f aca="false">IF(INDEX(BookTitle,1137)="","",INDEX(BookCategory,1137))</f>
        <v/>
      </c>
      <c r="H1142" s="40" t="str">
        <f aca="false">IF(INDEX(BookTitle,1137)="","",INDEX(BookRank,1137))</f>
        <v/>
      </c>
      <c r="I1142" s="41" t="str">
        <f aca="false">IF(INDEX(BookTitle,1137)="","",INDEX(BookTotal,1137))</f>
        <v/>
      </c>
      <c r="J1142" s="0" t="str">
        <f aca="false">IF($I1142="","",IF(INDEX(BookQ1,1137)&gt;0,"Q1",IF(INDEX(BookQ2,1137)&gt;0,"Q2",IF(INDEX(BookQ3,1137)&gt;0,"Q3",IF(INDEX(BookQ4,1137)&gt;0,"Q4","")))))</f>
        <v/>
      </c>
      <c r="K1142" s="42" t="str">
        <f aca="false">IF(INDEX(BookTitle,1137)="","",INDEX(BookInYear,1137))</f>
        <v/>
      </c>
      <c r="L1142" s="19"/>
      <c r="M1142" s="39"/>
      <c r="N1142" s="19"/>
      <c r="O1142" s="19"/>
      <c r="P1142" s="43" t="str">
        <f aca="false">IF($E1142="","",IF($L1142="Decline",0,IF($L1142="Approve fewer",IF($M1142="","",$M1142),IF($L1142="","",$I1142))))</f>
        <v/>
      </c>
      <c r="Q1142" s="34" t="str">
        <f aca="false">IF($P1142="","",IF($N1142&lt;&gt;"",$N1142,$J1142))</f>
        <v/>
      </c>
      <c r="R1142" s="35" t="str">
        <f aca="false">IF(OR($P1142="",$Q1142=""),"",INDEX(BookRate,1137)*$P1142*(5-MATCH($Q1142,{"Q1";"Q2";"Q3";"Q4"},0))/4+INDEX(BookOneOff,1137)*$P1142)</f>
        <v/>
      </c>
      <c r="S1142" s="35" t="str">
        <f aca="false">IF($P1142="","",INDEX(BookRate,1137)*$P1142)</f>
        <v/>
      </c>
      <c r="T1142" s="35" t="str">
        <f aca="false">IF($R1142="","",$R1142-$K1142)</f>
        <v/>
      </c>
      <c r="U1142" s="35" t="str">
        <f aca="false">IF(N($P1142)&lt;=0,"",COUNTIF($P$6:$P1142,"&gt;0"))</f>
        <v/>
      </c>
    </row>
    <row r="1143" customFormat="false" ht="15" hidden="false" customHeight="false" outlineLevel="0" collapsed="false">
      <c r="A1143" s="40" t="str">
        <f aca="false">IF(INDEX(BookTitle,1138)="","",INDEX(BookGroup,1138))</f>
        <v/>
      </c>
      <c r="B1143" s="40" t="str">
        <f aca="false">IF(INDEX(BookTitle,1138)="","",INDEX(BookRef,1138))</f>
        <v/>
      </c>
      <c r="C1143" s="40" t="str">
        <f aca="false">IF(INDEX(BookTitle,1138)="","",INDEX(BookDivision,1138))</f>
        <v/>
      </c>
      <c r="D1143" s="40" t="str">
        <f aca="false">IF(INDEX(BookTitle,1138)="","",INDEX(BookUnit,1138))</f>
        <v/>
      </c>
      <c r="E1143" s="40" t="str">
        <f aca="false">IF(INDEX(BookTitle,1138)="","",INDEX(BookTitle,1138))</f>
        <v/>
      </c>
      <c r="F1143" s="40" t="str">
        <f aca="false">IF(INDEX(BookTitle,1138)="","",INDEX(BookLevel,1138))</f>
        <v/>
      </c>
      <c r="G1143" s="40" t="str">
        <f aca="false">IF(INDEX(BookTitle,1138)="","",INDEX(BookCategory,1138))</f>
        <v/>
      </c>
      <c r="H1143" s="40" t="str">
        <f aca="false">IF(INDEX(BookTitle,1138)="","",INDEX(BookRank,1138))</f>
        <v/>
      </c>
      <c r="I1143" s="41" t="str">
        <f aca="false">IF(INDEX(BookTitle,1138)="","",INDEX(BookTotal,1138))</f>
        <v/>
      </c>
      <c r="J1143" s="0" t="str">
        <f aca="false">IF($I1143="","",IF(INDEX(BookQ1,1138)&gt;0,"Q1",IF(INDEX(BookQ2,1138)&gt;0,"Q2",IF(INDEX(BookQ3,1138)&gt;0,"Q3",IF(INDEX(BookQ4,1138)&gt;0,"Q4","")))))</f>
        <v/>
      </c>
      <c r="K1143" s="42" t="str">
        <f aca="false">IF(INDEX(BookTitle,1138)="","",INDEX(BookInYear,1138))</f>
        <v/>
      </c>
      <c r="L1143" s="19"/>
      <c r="M1143" s="39"/>
      <c r="N1143" s="19"/>
      <c r="O1143" s="19"/>
      <c r="P1143" s="43" t="str">
        <f aca="false">IF($E1143="","",IF($L1143="Decline",0,IF($L1143="Approve fewer",IF($M1143="","",$M1143),IF($L1143="","",$I1143))))</f>
        <v/>
      </c>
      <c r="Q1143" s="34" t="str">
        <f aca="false">IF($P1143="","",IF($N1143&lt;&gt;"",$N1143,$J1143))</f>
        <v/>
      </c>
      <c r="R1143" s="35" t="str">
        <f aca="false">IF(OR($P1143="",$Q1143=""),"",INDEX(BookRate,1138)*$P1143*(5-MATCH($Q1143,{"Q1";"Q2";"Q3";"Q4"},0))/4+INDEX(BookOneOff,1138)*$P1143)</f>
        <v/>
      </c>
      <c r="S1143" s="35" t="str">
        <f aca="false">IF($P1143="","",INDEX(BookRate,1138)*$P1143)</f>
        <v/>
      </c>
      <c r="T1143" s="35" t="str">
        <f aca="false">IF($R1143="","",$R1143-$K1143)</f>
        <v/>
      </c>
      <c r="U1143" s="35" t="str">
        <f aca="false">IF(N($P1143)&lt;=0,"",COUNTIF($P$6:$P1143,"&gt;0"))</f>
        <v/>
      </c>
    </row>
    <row r="1144" customFormat="false" ht="15" hidden="false" customHeight="false" outlineLevel="0" collapsed="false">
      <c r="A1144" s="40" t="str">
        <f aca="false">IF(INDEX(BookTitle,1139)="","",INDEX(BookGroup,1139))</f>
        <v/>
      </c>
      <c r="B1144" s="40" t="str">
        <f aca="false">IF(INDEX(BookTitle,1139)="","",INDEX(BookRef,1139))</f>
        <v/>
      </c>
      <c r="C1144" s="40" t="str">
        <f aca="false">IF(INDEX(BookTitle,1139)="","",INDEX(BookDivision,1139))</f>
        <v/>
      </c>
      <c r="D1144" s="40" t="str">
        <f aca="false">IF(INDEX(BookTitle,1139)="","",INDEX(BookUnit,1139))</f>
        <v/>
      </c>
      <c r="E1144" s="40" t="str">
        <f aca="false">IF(INDEX(BookTitle,1139)="","",INDEX(BookTitle,1139))</f>
        <v/>
      </c>
      <c r="F1144" s="40" t="str">
        <f aca="false">IF(INDEX(BookTitle,1139)="","",INDEX(BookLevel,1139))</f>
        <v/>
      </c>
      <c r="G1144" s="40" t="str">
        <f aca="false">IF(INDEX(BookTitle,1139)="","",INDEX(BookCategory,1139))</f>
        <v/>
      </c>
      <c r="H1144" s="40" t="str">
        <f aca="false">IF(INDEX(BookTitle,1139)="","",INDEX(BookRank,1139))</f>
        <v/>
      </c>
      <c r="I1144" s="41" t="str">
        <f aca="false">IF(INDEX(BookTitle,1139)="","",INDEX(BookTotal,1139))</f>
        <v/>
      </c>
      <c r="J1144" s="0" t="str">
        <f aca="false">IF($I1144="","",IF(INDEX(BookQ1,1139)&gt;0,"Q1",IF(INDEX(BookQ2,1139)&gt;0,"Q2",IF(INDEX(BookQ3,1139)&gt;0,"Q3",IF(INDEX(BookQ4,1139)&gt;0,"Q4","")))))</f>
        <v/>
      </c>
      <c r="K1144" s="42" t="str">
        <f aca="false">IF(INDEX(BookTitle,1139)="","",INDEX(BookInYear,1139))</f>
        <v/>
      </c>
      <c r="L1144" s="19"/>
      <c r="M1144" s="39"/>
      <c r="N1144" s="19"/>
      <c r="O1144" s="19"/>
      <c r="P1144" s="43" t="str">
        <f aca="false">IF($E1144="","",IF($L1144="Decline",0,IF($L1144="Approve fewer",IF($M1144="","",$M1144),IF($L1144="","",$I1144))))</f>
        <v/>
      </c>
      <c r="Q1144" s="34" t="str">
        <f aca="false">IF($P1144="","",IF($N1144&lt;&gt;"",$N1144,$J1144))</f>
        <v/>
      </c>
      <c r="R1144" s="35" t="str">
        <f aca="false">IF(OR($P1144="",$Q1144=""),"",INDEX(BookRate,1139)*$P1144*(5-MATCH($Q1144,{"Q1";"Q2";"Q3";"Q4"},0))/4+INDEX(BookOneOff,1139)*$P1144)</f>
        <v/>
      </c>
      <c r="S1144" s="35" t="str">
        <f aca="false">IF($P1144="","",INDEX(BookRate,1139)*$P1144)</f>
        <v/>
      </c>
      <c r="T1144" s="35" t="str">
        <f aca="false">IF($R1144="","",$R1144-$K1144)</f>
        <v/>
      </c>
      <c r="U1144" s="35" t="str">
        <f aca="false">IF(N($P1144)&lt;=0,"",COUNTIF($P$6:$P1144,"&gt;0"))</f>
        <v/>
      </c>
    </row>
    <row r="1145" customFormat="false" ht="15" hidden="false" customHeight="false" outlineLevel="0" collapsed="false">
      <c r="A1145" s="40" t="str">
        <f aca="false">IF(INDEX(BookTitle,1140)="","",INDEX(BookGroup,1140))</f>
        <v/>
      </c>
      <c r="B1145" s="40" t="str">
        <f aca="false">IF(INDEX(BookTitle,1140)="","",INDEX(BookRef,1140))</f>
        <v/>
      </c>
      <c r="C1145" s="40" t="str">
        <f aca="false">IF(INDEX(BookTitle,1140)="","",INDEX(BookDivision,1140))</f>
        <v/>
      </c>
      <c r="D1145" s="40" t="str">
        <f aca="false">IF(INDEX(BookTitle,1140)="","",INDEX(BookUnit,1140))</f>
        <v/>
      </c>
      <c r="E1145" s="40" t="str">
        <f aca="false">IF(INDEX(BookTitle,1140)="","",INDEX(BookTitle,1140))</f>
        <v/>
      </c>
      <c r="F1145" s="40" t="str">
        <f aca="false">IF(INDEX(BookTitle,1140)="","",INDEX(BookLevel,1140))</f>
        <v/>
      </c>
      <c r="G1145" s="40" t="str">
        <f aca="false">IF(INDEX(BookTitle,1140)="","",INDEX(BookCategory,1140))</f>
        <v/>
      </c>
      <c r="H1145" s="40" t="str">
        <f aca="false">IF(INDEX(BookTitle,1140)="","",INDEX(BookRank,1140))</f>
        <v/>
      </c>
      <c r="I1145" s="41" t="str">
        <f aca="false">IF(INDEX(BookTitle,1140)="","",INDEX(BookTotal,1140))</f>
        <v/>
      </c>
      <c r="J1145" s="0" t="str">
        <f aca="false">IF($I1145="","",IF(INDEX(BookQ1,1140)&gt;0,"Q1",IF(INDEX(BookQ2,1140)&gt;0,"Q2",IF(INDEX(BookQ3,1140)&gt;0,"Q3",IF(INDEX(BookQ4,1140)&gt;0,"Q4","")))))</f>
        <v/>
      </c>
      <c r="K1145" s="42" t="str">
        <f aca="false">IF(INDEX(BookTitle,1140)="","",INDEX(BookInYear,1140))</f>
        <v/>
      </c>
      <c r="L1145" s="19"/>
      <c r="M1145" s="39"/>
      <c r="N1145" s="19"/>
      <c r="O1145" s="19"/>
      <c r="P1145" s="43" t="str">
        <f aca="false">IF($E1145="","",IF($L1145="Decline",0,IF($L1145="Approve fewer",IF($M1145="","",$M1145),IF($L1145="","",$I1145))))</f>
        <v/>
      </c>
      <c r="Q1145" s="34" t="str">
        <f aca="false">IF($P1145="","",IF($N1145&lt;&gt;"",$N1145,$J1145))</f>
        <v/>
      </c>
      <c r="R1145" s="35" t="str">
        <f aca="false">IF(OR($P1145="",$Q1145=""),"",INDEX(BookRate,1140)*$P1145*(5-MATCH($Q1145,{"Q1";"Q2";"Q3";"Q4"},0))/4+INDEX(BookOneOff,1140)*$P1145)</f>
        <v/>
      </c>
      <c r="S1145" s="35" t="str">
        <f aca="false">IF($P1145="","",INDEX(BookRate,1140)*$P1145)</f>
        <v/>
      </c>
      <c r="T1145" s="35" t="str">
        <f aca="false">IF($R1145="","",$R1145-$K1145)</f>
        <v/>
      </c>
      <c r="U1145" s="35" t="str">
        <f aca="false">IF(N($P1145)&lt;=0,"",COUNTIF($P$6:$P1145,"&gt;0"))</f>
        <v/>
      </c>
    </row>
    <row r="1146" customFormat="false" ht="15" hidden="false" customHeight="false" outlineLevel="0" collapsed="false">
      <c r="A1146" s="40" t="str">
        <f aca="false">IF(INDEX(BookTitle,1141)="","",INDEX(BookGroup,1141))</f>
        <v/>
      </c>
      <c r="B1146" s="40" t="str">
        <f aca="false">IF(INDEX(BookTitle,1141)="","",INDEX(BookRef,1141))</f>
        <v/>
      </c>
      <c r="C1146" s="40" t="str">
        <f aca="false">IF(INDEX(BookTitle,1141)="","",INDEX(BookDivision,1141))</f>
        <v/>
      </c>
      <c r="D1146" s="40" t="str">
        <f aca="false">IF(INDEX(BookTitle,1141)="","",INDEX(BookUnit,1141))</f>
        <v/>
      </c>
      <c r="E1146" s="40" t="str">
        <f aca="false">IF(INDEX(BookTitle,1141)="","",INDEX(BookTitle,1141))</f>
        <v/>
      </c>
      <c r="F1146" s="40" t="str">
        <f aca="false">IF(INDEX(BookTitle,1141)="","",INDEX(BookLevel,1141))</f>
        <v/>
      </c>
      <c r="G1146" s="40" t="str">
        <f aca="false">IF(INDEX(BookTitle,1141)="","",INDEX(BookCategory,1141))</f>
        <v/>
      </c>
      <c r="H1146" s="40" t="str">
        <f aca="false">IF(INDEX(BookTitle,1141)="","",INDEX(BookRank,1141))</f>
        <v/>
      </c>
      <c r="I1146" s="41" t="str">
        <f aca="false">IF(INDEX(BookTitle,1141)="","",INDEX(BookTotal,1141))</f>
        <v/>
      </c>
      <c r="J1146" s="0" t="str">
        <f aca="false">IF($I1146="","",IF(INDEX(BookQ1,1141)&gt;0,"Q1",IF(INDEX(BookQ2,1141)&gt;0,"Q2",IF(INDEX(BookQ3,1141)&gt;0,"Q3",IF(INDEX(BookQ4,1141)&gt;0,"Q4","")))))</f>
        <v/>
      </c>
      <c r="K1146" s="42" t="str">
        <f aca="false">IF(INDEX(BookTitle,1141)="","",INDEX(BookInYear,1141))</f>
        <v/>
      </c>
      <c r="L1146" s="19"/>
      <c r="M1146" s="39"/>
      <c r="N1146" s="19"/>
      <c r="O1146" s="19"/>
      <c r="P1146" s="43" t="str">
        <f aca="false">IF($E1146="","",IF($L1146="Decline",0,IF($L1146="Approve fewer",IF($M1146="","",$M1146),IF($L1146="","",$I1146))))</f>
        <v/>
      </c>
      <c r="Q1146" s="34" t="str">
        <f aca="false">IF($P1146="","",IF($N1146&lt;&gt;"",$N1146,$J1146))</f>
        <v/>
      </c>
      <c r="R1146" s="35" t="str">
        <f aca="false">IF(OR($P1146="",$Q1146=""),"",INDEX(BookRate,1141)*$P1146*(5-MATCH($Q1146,{"Q1";"Q2";"Q3";"Q4"},0))/4+INDEX(BookOneOff,1141)*$P1146)</f>
        <v/>
      </c>
      <c r="S1146" s="35" t="str">
        <f aca="false">IF($P1146="","",INDEX(BookRate,1141)*$P1146)</f>
        <v/>
      </c>
      <c r="T1146" s="35" t="str">
        <f aca="false">IF($R1146="","",$R1146-$K1146)</f>
        <v/>
      </c>
      <c r="U1146" s="35" t="str">
        <f aca="false">IF(N($P1146)&lt;=0,"",COUNTIF($P$6:$P1146,"&gt;0"))</f>
        <v/>
      </c>
    </row>
    <row r="1147" customFormat="false" ht="15" hidden="false" customHeight="false" outlineLevel="0" collapsed="false">
      <c r="A1147" s="40" t="str">
        <f aca="false">IF(INDEX(BookTitle,1142)="","",INDEX(BookGroup,1142))</f>
        <v/>
      </c>
      <c r="B1147" s="40" t="str">
        <f aca="false">IF(INDEX(BookTitle,1142)="","",INDEX(BookRef,1142))</f>
        <v/>
      </c>
      <c r="C1147" s="40" t="str">
        <f aca="false">IF(INDEX(BookTitle,1142)="","",INDEX(BookDivision,1142))</f>
        <v/>
      </c>
      <c r="D1147" s="40" t="str">
        <f aca="false">IF(INDEX(BookTitle,1142)="","",INDEX(BookUnit,1142))</f>
        <v/>
      </c>
      <c r="E1147" s="40" t="str">
        <f aca="false">IF(INDEX(BookTitle,1142)="","",INDEX(BookTitle,1142))</f>
        <v/>
      </c>
      <c r="F1147" s="40" t="str">
        <f aca="false">IF(INDEX(BookTitle,1142)="","",INDEX(BookLevel,1142))</f>
        <v/>
      </c>
      <c r="G1147" s="40" t="str">
        <f aca="false">IF(INDEX(BookTitle,1142)="","",INDEX(BookCategory,1142))</f>
        <v/>
      </c>
      <c r="H1147" s="40" t="str">
        <f aca="false">IF(INDEX(BookTitle,1142)="","",INDEX(BookRank,1142))</f>
        <v/>
      </c>
      <c r="I1147" s="41" t="str">
        <f aca="false">IF(INDEX(BookTitle,1142)="","",INDEX(BookTotal,1142))</f>
        <v/>
      </c>
      <c r="J1147" s="0" t="str">
        <f aca="false">IF($I1147="","",IF(INDEX(BookQ1,1142)&gt;0,"Q1",IF(INDEX(BookQ2,1142)&gt;0,"Q2",IF(INDEX(BookQ3,1142)&gt;0,"Q3",IF(INDEX(BookQ4,1142)&gt;0,"Q4","")))))</f>
        <v/>
      </c>
      <c r="K1147" s="42" t="str">
        <f aca="false">IF(INDEX(BookTitle,1142)="","",INDEX(BookInYear,1142))</f>
        <v/>
      </c>
      <c r="L1147" s="19"/>
      <c r="M1147" s="39"/>
      <c r="N1147" s="19"/>
      <c r="O1147" s="19"/>
      <c r="P1147" s="43" t="str">
        <f aca="false">IF($E1147="","",IF($L1147="Decline",0,IF($L1147="Approve fewer",IF($M1147="","",$M1147),IF($L1147="","",$I1147))))</f>
        <v/>
      </c>
      <c r="Q1147" s="34" t="str">
        <f aca="false">IF($P1147="","",IF($N1147&lt;&gt;"",$N1147,$J1147))</f>
        <v/>
      </c>
      <c r="R1147" s="35" t="str">
        <f aca="false">IF(OR($P1147="",$Q1147=""),"",INDEX(BookRate,1142)*$P1147*(5-MATCH($Q1147,{"Q1";"Q2";"Q3";"Q4"},0))/4+INDEX(BookOneOff,1142)*$P1147)</f>
        <v/>
      </c>
      <c r="S1147" s="35" t="str">
        <f aca="false">IF($P1147="","",INDEX(BookRate,1142)*$P1147)</f>
        <v/>
      </c>
      <c r="T1147" s="35" t="str">
        <f aca="false">IF($R1147="","",$R1147-$K1147)</f>
        <v/>
      </c>
      <c r="U1147" s="35" t="str">
        <f aca="false">IF(N($P1147)&lt;=0,"",COUNTIF($P$6:$P1147,"&gt;0"))</f>
        <v/>
      </c>
    </row>
    <row r="1148" customFormat="false" ht="15" hidden="false" customHeight="false" outlineLevel="0" collapsed="false">
      <c r="A1148" s="40" t="str">
        <f aca="false">IF(INDEX(BookTitle,1143)="","",INDEX(BookGroup,1143))</f>
        <v/>
      </c>
      <c r="B1148" s="40" t="str">
        <f aca="false">IF(INDEX(BookTitle,1143)="","",INDEX(BookRef,1143))</f>
        <v/>
      </c>
      <c r="C1148" s="40" t="str">
        <f aca="false">IF(INDEX(BookTitle,1143)="","",INDEX(BookDivision,1143))</f>
        <v/>
      </c>
      <c r="D1148" s="40" t="str">
        <f aca="false">IF(INDEX(BookTitle,1143)="","",INDEX(BookUnit,1143))</f>
        <v/>
      </c>
      <c r="E1148" s="40" t="str">
        <f aca="false">IF(INDEX(BookTitle,1143)="","",INDEX(BookTitle,1143))</f>
        <v/>
      </c>
      <c r="F1148" s="40" t="str">
        <f aca="false">IF(INDEX(BookTitle,1143)="","",INDEX(BookLevel,1143))</f>
        <v/>
      </c>
      <c r="G1148" s="40" t="str">
        <f aca="false">IF(INDEX(BookTitle,1143)="","",INDEX(BookCategory,1143))</f>
        <v/>
      </c>
      <c r="H1148" s="40" t="str">
        <f aca="false">IF(INDEX(BookTitle,1143)="","",INDEX(BookRank,1143))</f>
        <v/>
      </c>
      <c r="I1148" s="41" t="str">
        <f aca="false">IF(INDEX(BookTitle,1143)="","",INDEX(BookTotal,1143))</f>
        <v/>
      </c>
      <c r="J1148" s="0" t="str">
        <f aca="false">IF($I1148="","",IF(INDEX(BookQ1,1143)&gt;0,"Q1",IF(INDEX(BookQ2,1143)&gt;0,"Q2",IF(INDEX(BookQ3,1143)&gt;0,"Q3",IF(INDEX(BookQ4,1143)&gt;0,"Q4","")))))</f>
        <v/>
      </c>
      <c r="K1148" s="42" t="str">
        <f aca="false">IF(INDEX(BookTitle,1143)="","",INDEX(BookInYear,1143))</f>
        <v/>
      </c>
      <c r="L1148" s="19"/>
      <c r="M1148" s="39"/>
      <c r="N1148" s="19"/>
      <c r="O1148" s="19"/>
      <c r="P1148" s="43" t="str">
        <f aca="false">IF($E1148="","",IF($L1148="Decline",0,IF($L1148="Approve fewer",IF($M1148="","",$M1148),IF($L1148="","",$I1148))))</f>
        <v/>
      </c>
      <c r="Q1148" s="34" t="str">
        <f aca="false">IF($P1148="","",IF($N1148&lt;&gt;"",$N1148,$J1148))</f>
        <v/>
      </c>
      <c r="R1148" s="35" t="str">
        <f aca="false">IF(OR($P1148="",$Q1148=""),"",INDEX(BookRate,1143)*$P1148*(5-MATCH($Q1148,{"Q1";"Q2";"Q3";"Q4"},0))/4+INDEX(BookOneOff,1143)*$P1148)</f>
        <v/>
      </c>
      <c r="S1148" s="35" t="str">
        <f aca="false">IF($P1148="","",INDEX(BookRate,1143)*$P1148)</f>
        <v/>
      </c>
      <c r="T1148" s="35" t="str">
        <f aca="false">IF($R1148="","",$R1148-$K1148)</f>
        <v/>
      </c>
      <c r="U1148" s="35" t="str">
        <f aca="false">IF(N($P1148)&lt;=0,"",COUNTIF($P$6:$P1148,"&gt;0"))</f>
        <v/>
      </c>
    </row>
    <row r="1149" customFormat="false" ht="15" hidden="false" customHeight="false" outlineLevel="0" collapsed="false">
      <c r="A1149" s="40" t="str">
        <f aca="false">IF(INDEX(BookTitle,1144)="","",INDEX(BookGroup,1144))</f>
        <v/>
      </c>
      <c r="B1149" s="40" t="str">
        <f aca="false">IF(INDEX(BookTitle,1144)="","",INDEX(BookRef,1144))</f>
        <v/>
      </c>
      <c r="C1149" s="40" t="str">
        <f aca="false">IF(INDEX(BookTitle,1144)="","",INDEX(BookDivision,1144))</f>
        <v/>
      </c>
      <c r="D1149" s="40" t="str">
        <f aca="false">IF(INDEX(BookTitle,1144)="","",INDEX(BookUnit,1144))</f>
        <v/>
      </c>
      <c r="E1149" s="40" t="str">
        <f aca="false">IF(INDEX(BookTitle,1144)="","",INDEX(BookTitle,1144))</f>
        <v/>
      </c>
      <c r="F1149" s="40" t="str">
        <f aca="false">IF(INDEX(BookTitle,1144)="","",INDEX(BookLevel,1144))</f>
        <v/>
      </c>
      <c r="G1149" s="40" t="str">
        <f aca="false">IF(INDEX(BookTitle,1144)="","",INDEX(BookCategory,1144))</f>
        <v/>
      </c>
      <c r="H1149" s="40" t="str">
        <f aca="false">IF(INDEX(BookTitle,1144)="","",INDEX(BookRank,1144))</f>
        <v/>
      </c>
      <c r="I1149" s="41" t="str">
        <f aca="false">IF(INDEX(BookTitle,1144)="","",INDEX(BookTotal,1144))</f>
        <v/>
      </c>
      <c r="J1149" s="0" t="str">
        <f aca="false">IF($I1149="","",IF(INDEX(BookQ1,1144)&gt;0,"Q1",IF(INDEX(BookQ2,1144)&gt;0,"Q2",IF(INDEX(BookQ3,1144)&gt;0,"Q3",IF(INDEX(BookQ4,1144)&gt;0,"Q4","")))))</f>
        <v/>
      </c>
      <c r="K1149" s="42" t="str">
        <f aca="false">IF(INDEX(BookTitle,1144)="","",INDEX(BookInYear,1144))</f>
        <v/>
      </c>
      <c r="L1149" s="19"/>
      <c r="M1149" s="39"/>
      <c r="N1149" s="19"/>
      <c r="O1149" s="19"/>
      <c r="P1149" s="43" t="str">
        <f aca="false">IF($E1149="","",IF($L1149="Decline",0,IF($L1149="Approve fewer",IF($M1149="","",$M1149),IF($L1149="","",$I1149))))</f>
        <v/>
      </c>
      <c r="Q1149" s="34" t="str">
        <f aca="false">IF($P1149="","",IF($N1149&lt;&gt;"",$N1149,$J1149))</f>
        <v/>
      </c>
      <c r="R1149" s="35" t="str">
        <f aca="false">IF(OR($P1149="",$Q1149=""),"",INDEX(BookRate,1144)*$P1149*(5-MATCH($Q1149,{"Q1";"Q2";"Q3";"Q4"},0))/4+INDEX(BookOneOff,1144)*$P1149)</f>
        <v/>
      </c>
      <c r="S1149" s="35" t="str">
        <f aca="false">IF($P1149="","",INDEX(BookRate,1144)*$P1149)</f>
        <v/>
      </c>
      <c r="T1149" s="35" t="str">
        <f aca="false">IF($R1149="","",$R1149-$K1149)</f>
        <v/>
      </c>
      <c r="U1149" s="35" t="str">
        <f aca="false">IF(N($P1149)&lt;=0,"",COUNTIF($P$6:$P1149,"&gt;0"))</f>
        <v/>
      </c>
    </row>
    <row r="1150" customFormat="false" ht="15" hidden="false" customHeight="false" outlineLevel="0" collapsed="false">
      <c r="A1150" s="40" t="str">
        <f aca="false">IF(INDEX(BookTitle,1145)="","",INDEX(BookGroup,1145))</f>
        <v/>
      </c>
      <c r="B1150" s="40" t="str">
        <f aca="false">IF(INDEX(BookTitle,1145)="","",INDEX(BookRef,1145))</f>
        <v/>
      </c>
      <c r="C1150" s="40" t="str">
        <f aca="false">IF(INDEX(BookTitle,1145)="","",INDEX(BookDivision,1145))</f>
        <v/>
      </c>
      <c r="D1150" s="40" t="str">
        <f aca="false">IF(INDEX(BookTitle,1145)="","",INDEX(BookUnit,1145))</f>
        <v/>
      </c>
      <c r="E1150" s="40" t="str">
        <f aca="false">IF(INDEX(BookTitle,1145)="","",INDEX(BookTitle,1145))</f>
        <v/>
      </c>
      <c r="F1150" s="40" t="str">
        <f aca="false">IF(INDEX(BookTitle,1145)="","",INDEX(BookLevel,1145))</f>
        <v/>
      </c>
      <c r="G1150" s="40" t="str">
        <f aca="false">IF(INDEX(BookTitle,1145)="","",INDEX(BookCategory,1145))</f>
        <v/>
      </c>
      <c r="H1150" s="40" t="str">
        <f aca="false">IF(INDEX(BookTitle,1145)="","",INDEX(BookRank,1145))</f>
        <v/>
      </c>
      <c r="I1150" s="41" t="str">
        <f aca="false">IF(INDEX(BookTitle,1145)="","",INDEX(BookTotal,1145))</f>
        <v/>
      </c>
      <c r="J1150" s="0" t="str">
        <f aca="false">IF($I1150="","",IF(INDEX(BookQ1,1145)&gt;0,"Q1",IF(INDEX(BookQ2,1145)&gt;0,"Q2",IF(INDEX(BookQ3,1145)&gt;0,"Q3",IF(INDEX(BookQ4,1145)&gt;0,"Q4","")))))</f>
        <v/>
      </c>
      <c r="K1150" s="42" t="str">
        <f aca="false">IF(INDEX(BookTitle,1145)="","",INDEX(BookInYear,1145))</f>
        <v/>
      </c>
      <c r="L1150" s="19"/>
      <c r="M1150" s="39"/>
      <c r="N1150" s="19"/>
      <c r="O1150" s="19"/>
      <c r="P1150" s="43" t="str">
        <f aca="false">IF($E1150="","",IF($L1150="Decline",0,IF($L1150="Approve fewer",IF($M1150="","",$M1150),IF($L1150="","",$I1150))))</f>
        <v/>
      </c>
      <c r="Q1150" s="34" t="str">
        <f aca="false">IF($P1150="","",IF($N1150&lt;&gt;"",$N1150,$J1150))</f>
        <v/>
      </c>
      <c r="R1150" s="35" t="str">
        <f aca="false">IF(OR($P1150="",$Q1150=""),"",INDEX(BookRate,1145)*$P1150*(5-MATCH($Q1150,{"Q1";"Q2";"Q3";"Q4"},0))/4+INDEX(BookOneOff,1145)*$P1150)</f>
        <v/>
      </c>
      <c r="S1150" s="35" t="str">
        <f aca="false">IF($P1150="","",INDEX(BookRate,1145)*$P1150)</f>
        <v/>
      </c>
      <c r="T1150" s="35" t="str">
        <f aca="false">IF($R1150="","",$R1150-$K1150)</f>
        <v/>
      </c>
      <c r="U1150" s="35" t="str">
        <f aca="false">IF(N($P1150)&lt;=0,"",COUNTIF($P$6:$P1150,"&gt;0"))</f>
        <v/>
      </c>
    </row>
    <row r="1151" customFormat="false" ht="15" hidden="false" customHeight="false" outlineLevel="0" collapsed="false">
      <c r="A1151" s="40" t="str">
        <f aca="false">IF(INDEX(BookTitle,1146)="","",INDEX(BookGroup,1146))</f>
        <v/>
      </c>
      <c r="B1151" s="40" t="str">
        <f aca="false">IF(INDEX(BookTitle,1146)="","",INDEX(BookRef,1146))</f>
        <v/>
      </c>
      <c r="C1151" s="40" t="str">
        <f aca="false">IF(INDEX(BookTitle,1146)="","",INDEX(BookDivision,1146))</f>
        <v/>
      </c>
      <c r="D1151" s="40" t="str">
        <f aca="false">IF(INDEX(BookTitle,1146)="","",INDEX(BookUnit,1146))</f>
        <v/>
      </c>
      <c r="E1151" s="40" t="str">
        <f aca="false">IF(INDEX(BookTitle,1146)="","",INDEX(BookTitle,1146))</f>
        <v/>
      </c>
      <c r="F1151" s="40" t="str">
        <f aca="false">IF(INDEX(BookTitle,1146)="","",INDEX(BookLevel,1146))</f>
        <v/>
      </c>
      <c r="G1151" s="40" t="str">
        <f aca="false">IF(INDEX(BookTitle,1146)="","",INDEX(BookCategory,1146))</f>
        <v/>
      </c>
      <c r="H1151" s="40" t="str">
        <f aca="false">IF(INDEX(BookTitle,1146)="","",INDEX(BookRank,1146))</f>
        <v/>
      </c>
      <c r="I1151" s="41" t="str">
        <f aca="false">IF(INDEX(BookTitle,1146)="","",INDEX(BookTotal,1146))</f>
        <v/>
      </c>
      <c r="J1151" s="0" t="str">
        <f aca="false">IF($I1151="","",IF(INDEX(BookQ1,1146)&gt;0,"Q1",IF(INDEX(BookQ2,1146)&gt;0,"Q2",IF(INDEX(BookQ3,1146)&gt;0,"Q3",IF(INDEX(BookQ4,1146)&gt;0,"Q4","")))))</f>
        <v/>
      </c>
      <c r="K1151" s="42" t="str">
        <f aca="false">IF(INDEX(BookTitle,1146)="","",INDEX(BookInYear,1146))</f>
        <v/>
      </c>
      <c r="L1151" s="19"/>
      <c r="M1151" s="39"/>
      <c r="N1151" s="19"/>
      <c r="O1151" s="19"/>
      <c r="P1151" s="43" t="str">
        <f aca="false">IF($E1151="","",IF($L1151="Decline",0,IF($L1151="Approve fewer",IF($M1151="","",$M1151),IF($L1151="","",$I1151))))</f>
        <v/>
      </c>
      <c r="Q1151" s="34" t="str">
        <f aca="false">IF($P1151="","",IF($N1151&lt;&gt;"",$N1151,$J1151))</f>
        <v/>
      </c>
      <c r="R1151" s="35" t="str">
        <f aca="false">IF(OR($P1151="",$Q1151=""),"",INDEX(BookRate,1146)*$P1151*(5-MATCH($Q1151,{"Q1";"Q2";"Q3";"Q4"},0))/4+INDEX(BookOneOff,1146)*$P1151)</f>
        <v/>
      </c>
      <c r="S1151" s="35" t="str">
        <f aca="false">IF($P1151="","",INDEX(BookRate,1146)*$P1151)</f>
        <v/>
      </c>
      <c r="T1151" s="35" t="str">
        <f aca="false">IF($R1151="","",$R1151-$K1151)</f>
        <v/>
      </c>
      <c r="U1151" s="35" t="str">
        <f aca="false">IF(N($P1151)&lt;=0,"",COUNTIF($P$6:$P1151,"&gt;0"))</f>
        <v/>
      </c>
    </row>
    <row r="1152" customFormat="false" ht="15" hidden="false" customHeight="false" outlineLevel="0" collapsed="false">
      <c r="A1152" s="40" t="str">
        <f aca="false">IF(INDEX(BookTitle,1147)="","",INDEX(BookGroup,1147))</f>
        <v/>
      </c>
      <c r="B1152" s="40" t="str">
        <f aca="false">IF(INDEX(BookTitle,1147)="","",INDEX(BookRef,1147))</f>
        <v/>
      </c>
      <c r="C1152" s="40" t="str">
        <f aca="false">IF(INDEX(BookTitle,1147)="","",INDEX(BookDivision,1147))</f>
        <v/>
      </c>
      <c r="D1152" s="40" t="str">
        <f aca="false">IF(INDEX(BookTitle,1147)="","",INDEX(BookUnit,1147))</f>
        <v/>
      </c>
      <c r="E1152" s="40" t="str">
        <f aca="false">IF(INDEX(BookTitle,1147)="","",INDEX(BookTitle,1147))</f>
        <v/>
      </c>
      <c r="F1152" s="40" t="str">
        <f aca="false">IF(INDEX(BookTitle,1147)="","",INDEX(BookLevel,1147))</f>
        <v/>
      </c>
      <c r="G1152" s="40" t="str">
        <f aca="false">IF(INDEX(BookTitle,1147)="","",INDEX(BookCategory,1147))</f>
        <v/>
      </c>
      <c r="H1152" s="40" t="str">
        <f aca="false">IF(INDEX(BookTitle,1147)="","",INDEX(BookRank,1147))</f>
        <v/>
      </c>
      <c r="I1152" s="41" t="str">
        <f aca="false">IF(INDEX(BookTitle,1147)="","",INDEX(BookTotal,1147))</f>
        <v/>
      </c>
      <c r="J1152" s="0" t="str">
        <f aca="false">IF($I1152="","",IF(INDEX(BookQ1,1147)&gt;0,"Q1",IF(INDEX(BookQ2,1147)&gt;0,"Q2",IF(INDEX(BookQ3,1147)&gt;0,"Q3",IF(INDEX(BookQ4,1147)&gt;0,"Q4","")))))</f>
        <v/>
      </c>
      <c r="K1152" s="42" t="str">
        <f aca="false">IF(INDEX(BookTitle,1147)="","",INDEX(BookInYear,1147))</f>
        <v/>
      </c>
      <c r="L1152" s="19"/>
      <c r="M1152" s="39"/>
      <c r="N1152" s="19"/>
      <c r="O1152" s="19"/>
      <c r="P1152" s="43" t="str">
        <f aca="false">IF($E1152="","",IF($L1152="Decline",0,IF($L1152="Approve fewer",IF($M1152="","",$M1152),IF($L1152="","",$I1152))))</f>
        <v/>
      </c>
      <c r="Q1152" s="34" t="str">
        <f aca="false">IF($P1152="","",IF($N1152&lt;&gt;"",$N1152,$J1152))</f>
        <v/>
      </c>
      <c r="R1152" s="35" t="str">
        <f aca="false">IF(OR($P1152="",$Q1152=""),"",INDEX(BookRate,1147)*$P1152*(5-MATCH($Q1152,{"Q1";"Q2";"Q3";"Q4"},0))/4+INDEX(BookOneOff,1147)*$P1152)</f>
        <v/>
      </c>
      <c r="S1152" s="35" t="str">
        <f aca="false">IF($P1152="","",INDEX(BookRate,1147)*$P1152)</f>
        <v/>
      </c>
      <c r="T1152" s="35" t="str">
        <f aca="false">IF($R1152="","",$R1152-$K1152)</f>
        <v/>
      </c>
      <c r="U1152" s="35" t="str">
        <f aca="false">IF(N($P1152)&lt;=0,"",COUNTIF($P$6:$P1152,"&gt;0"))</f>
        <v/>
      </c>
    </row>
    <row r="1153" customFormat="false" ht="15" hidden="false" customHeight="false" outlineLevel="0" collapsed="false">
      <c r="A1153" s="40" t="str">
        <f aca="false">IF(INDEX(BookTitle,1148)="","",INDEX(BookGroup,1148))</f>
        <v/>
      </c>
      <c r="B1153" s="40" t="str">
        <f aca="false">IF(INDEX(BookTitle,1148)="","",INDEX(BookRef,1148))</f>
        <v/>
      </c>
      <c r="C1153" s="40" t="str">
        <f aca="false">IF(INDEX(BookTitle,1148)="","",INDEX(BookDivision,1148))</f>
        <v/>
      </c>
      <c r="D1153" s="40" t="str">
        <f aca="false">IF(INDEX(BookTitle,1148)="","",INDEX(BookUnit,1148))</f>
        <v/>
      </c>
      <c r="E1153" s="40" t="str">
        <f aca="false">IF(INDEX(BookTitle,1148)="","",INDEX(BookTitle,1148))</f>
        <v/>
      </c>
      <c r="F1153" s="40" t="str">
        <f aca="false">IF(INDEX(BookTitle,1148)="","",INDEX(BookLevel,1148))</f>
        <v/>
      </c>
      <c r="G1153" s="40" t="str">
        <f aca="false">IF(INDEX(BookTitle,1148)="","",INDEX(BookCategory,1148))</f>
        <v/>
      </c>
      <c r="H1153" s="40" t="str">
        <f aca="false">IF(INDEX(BookTitle,1148)="","",INDEX(BookRank,1148))</f>
        <v/>
      </c>
      <c r="I1153" s="41" t="str">
        <f aca="false">IF(INDEX(BookTitle,1148)="","",INDEX(BookTotal,1148))</f>
        <v/>
      </c>
      <c r="J1153" s="0" t="str">
        <f aca="false">IF($I1153="","",IF(INDEX(BookQ1,1148)&gt;0,"Q1",IF(INDEX(BookQ2,1148)&gt;0,"Q2",IF(INDEX(BookQ3,1148)&gt;0,"Q3",IF(INDEX(BookQ4,1148)&gt;0,"Q4","")))))</f>
        <v/>
      </c>
      <c r="K1153" s="42" t="str">
        <f aca="false">IF(INDEX(BookTitle,1148)="","",INDEX(BookInYear,1148))</f>
        <v/>
      </c>
      <c r="L1153" s="19"/>
      <c r="M1153" s="39"/>
      <c r="N1153" s="19"/>
      <c r="O1153" s="19"/>
      <c r="P1153" s="43" t="str">
        <f aca="false">IF($E1153="","",IF($L1153="Decline",0,IF($L1153="Approve fewer",IF($M1153="","",$M1153),IF($L1153="","",$I1153))))</f>
        <v/>
      </c>
      <c r="Q1153" s="34" t="str">
        <f aca="false">IF($P1153="","",IF($N1153&lt;&gt;"",$N1153,$J1153))</f>
        <v/>
      </c>
      <c r="R1153" s="35" t="str">
        <f aca="false">IF(OR($P1153="",$Q1153=""),"",INDEX(BookRate,1148)*$P1153*(5-MATCH($Q1153,{"Q1";"Q2";"Q3";"Q4"},0))/4+INDEX(BookOneOff,1148)*$P1153)</f>
        <v/>
      </c>
      <c r="S1153" s="35" t="str">
        <f aca="false">IF($P1153="","",INDEX(BookRate,1148)*$P1153)</f>
        <v/>
      </c>
      <c r="T1153" s="35" t="str">
        <f aca="false">IF($R1153="","",$R1153-$K1153)</f>
        <v/>
      </c>
      <c r="U1153" s="35" t="str">
        <f aca="false">IF(N($P1153)&lt;=0,"",COUNTIF($P$6:$P1153,"&gt;0"))</f>
        <v/>
      </c>
    </row>
    <row r="1154" customFormat="false" ht="15" hidden="false" customHeight="false" outlineLevel="0" collapsed="false">
      <c r="A1154" s="40" t="str">
        <f aca="false">IF(INDEX(BookTitle,1149)="","",INDEX(BookGroup,1149))</f>
        <v/>
      </c>
      <c r="B1154" s="40" t="str">
        <f aca="false">IF(INDEX(BookTitle,1149)="","",INDEX(BookRef,1149))</f>
        <v/>
      </c>
      <c r="C1154" s="40" t="str">
        <f aca="false">IF(INDEX(BookTitle,1149)="","",INDEX(BookDivision,1149))</f>
        <v/>
      </c>
      <c r="D1154" s="40" t="str">
        <f aca="false">IF(INDEX(BookTitle,1149)="","",INDEX(BookUnit,1149))</f>
        <v/>
      </c>
      <c r="E1154" s="40" t="str">
        <f aca="false">IF(INDEX(BookTitle,1149)="","",INDEX(BookTitle,1149))</f>
        <v/>
      </c>
      <c r="F1154" s="40" t="str">
        <f aca="false">IF(INDEX(BookTitle,1149)="","",INDEX(BookLevel,1149))</f>
        <v/>
      </c>
      <c r="G1154" s="40" t="str">
        <f aca="false">IF(INDEX(BookTitle,1149)="","",INDEX(BookCategory,1149))</f>
        <v/>
      </c>
      <c r="H1154" s="40" t="str">
        <f aca="false">IF(INDEX(BookTitle,1149)="","",INDEX(BookRank,1149))</f>
        <v/>
      </c>
      <c r="I1154" s="41" t="str">
        <f aca="false">IF(INDEX(BookTitle,1149)="","",INDEX(BookTotal,1149))</f>
        <v/>
      </c>
      <c r="J1154" s="0" t="str">
        <f aca="false">IF($I1154="","",IF(INDEX(BookQ1,1149)&gt;0,"Q1",IF(INDEX(BookQ2,1149)&gt;0,"Q2",IF(INDEX(BookQ3,1149)&gt;0,"Q3",IF(INDEX(BookQ4,1149)&gt;0,"Q4","")))))</f>
        <v/>
      </c>
      <c r="K1154" s="42" t="str">
        <f aca="false">IF(INDEX(BookTitle,1149)="","",INDEX(BookInYear,1149))</f>
        <v/>
      </c>
      <c r="L1154" s="19"/>
      <c r="M1154" s="39"/>
      <c r="N1154" s="19"/>
      <c r="O1154" s="19"/>
      <c r="P1154" s="43" t="str">
        <f aca="false">IF($E1154="","",IF($L1154="Decline",0,IF($L1154="Approve fewer",IF($M1154="","",$M1154),IF($L1154="","",$I1154))))</f>
        <v/>
      </c>
      <c r="Q1154" s="34" t="str">
        <f aca="false">IF($P1154="","",IF($N1154&lt;&gt;"",$N1154,$J1154))</f>
        <v/>
      </c>
      <c r="R1154" s="35" t="str">
        <f aca="false">IF(OR($P1154="",$Q1154=""),"",INDEX(BookRate,1149)*$P1154*(5-MATCH($Q1154,{"Q1";"Q2";"Q3";"Q4"},0))/4+INDEX(BookOneOff,1149)*$P1154)</f>
        <v/>
      </c>
      <c r="S1154" s="35" t="str">
        <f aca="false">IF($P1154="","",INDEX(BookRate,1149)*$P1154)</f>
        <v/>
      </c>
      <c r="T1154" s="35" t="str">
        <f aca="false">IF($R1154="","",$R1154-$K1154)</f>
        <v/>
      </c>
      <c r="U1154" s="35" t="str">
        <f aca="false">IF(N($P1154)&lt;=0,"",COUNTIF($P$6:$P1154,"&gt;0"))</f>
        <v/>
      </c>
    </row>
    <row r="1155" customFormat="false" ht="15" hidden="false" customHeight="false" outlineLevel="0" collapsed="false">
      <c r="A1155" s="40" t="str">
        <f aca="false">IF(INDEX(BookTitle,1150)="","",INDEX(BookGroup,1150))</f>
        <v/>
      </c>
      <c r="B1155" s="40" t="str">
        <f aca="false">IF(INDEX(BookTitle,1150)="","",INDEX(BookRef,1150))</f>
        <v/>
      </c>
      <c r="C1155" s="40" t="str">
        <f aca="false">IF(INDEX(BookTitle,1150)="","",INDEX(BookDivision,1150))</f>
        <v/>
      </c>
      <c r="D1155" s="40" t="str">
        <f aca="false">IF(INDEX(BookTitle,1150)="","",INDEX(BookUnit,1150))</f>
        <v/>
      </c>
      <c r="E1155" s="40" t="str">
        <f aca="false">IF(INDEX(BookTitle,1150)="","",INDEX(BookTitle,1150))</f>
        <v/>
      </c>
      <c r="F1155" s="40" t="str">
        <f aca="false">IF(INDEX(BookTitle,1150)="","",INDEX(BookLevel,1150))</f>
        <v/>
      </c>
      <c r="G1155" s="40" t="str">
        <f aca="false">IF(INDEX(BookTitle,1150)="","",INDEX(BookCategory,1150))</f>
        <v/>
      </c>
      <c r="H1155" s="40" t="str">
        <f aca="false">IF(INDEX(BookTitle,1150)="","",INDEX(BookRank,1150))</f>
        <v/>
      </c>
      <c r="I1155" s="41" t="str">
        <f aca="false">IF(INDEX(BookTitle,1150)="","",INDEX(BookTotal,1150))</f>
        <v/>
      </c>
      <c r="J1155" s="0" t="str">
        <f aca="false">IF($I1155="","",IF(INDEX(BookQ1,1150)&gt;0,"Q1",IF(INDEX(BookQ2,1150)&gt;0,"Q2",IF(INDEX(BookQ3,1150)&gt;0,"Q3",IF(INDEX(BookQ4,1150)&gt;0,"Q4","")))))</f>
        <v/>
      </c>
      <c r="K1155" s="42" t="str">
        <f aca="false">IF(INDEX(BookTitle,1150)="","",INDEX(BookInYear,1150))</f>
        <v/>
      </c>
      <c r="L1155" s="19"/>
      <c r="M1155" s="39"/>
      <c r="N1155" s="19"/>
      <c r="O1155" s="19"/>
      <c r="P1155" s="43" t="str">
        <f aca="false">IF($E1155="","",IF($L1155="Decline",0,IF($L1155="Approve fewer",IF($M1155="","",$M1155),IF($L1155="","",$I1155))))</f>
        <v/>
      </c>
      <c r="Q1155" s="34" t="str">
        <f aca="false">IF($P1155="","",IF($N1155&lt;&gt;"",$N1155,$J1155))</f>
        <v/>
      </c>
      <c r="R1155" s="35" t="str">
        <f aca="false">IF(OR($P1155="",$Q1155=""),"",INDEX(BookRate,1150)*$P1155*(5-MATCH($Q1155,{"Q1";"Q2";"Q3";"Q4"},0))/4+INDEX(BookOneOff,1150)*$P1155)</f>
        <v/>
      </c>
      <c r="S1155" s="35" t="str">
        <f aca="false">IF($P1155="","",INDEX(BookRate,1150)*$P1155)</f>
        <v/>
      </c>
      <c r="T1155" s="35" t="str">
        <f aca="false">IF($R1155="","",$R1155-$K1155)</f>
        <v/>
      </c>
      <c r="U1155" s="35" t="str">
        <f aca="false">IF(N($P1155)&lt;=0,"",COUNTIF($P$6:$P1155,"&gt;0"))</f>
        <v/>
      </c>
    </row>
    <row r="1156" customFormat="false" ht="15" hidden="false" customHeight="false" outlineLevel="0" collapsed="false">
      <c r="A1156" s="40" t="str">
        <f aca="false">IF(INDEX(BookTitle,1151)="","",INDEX(BookGroup,1151))</f>
        <v/>
      </c>
      <c r="B1156" s="40" t="str">
        <f aca="false">IF(INDEX(BookTitle,1151)="","",INDEX(BookRef,1151))</f>
        <v/>
      </c>
      <c r="C1156" s="40" t="str">
        <f aca="false">IF(INDEX(BookTitle,1151)="","",INDEX(BookDivision,1151))</f>
        <v/>
      </c>
      <c r="D1156" s="40" t="str">
        <f aca="false">IF(INDEX(BookTitle,1151)="","",INDEX(BookUnit,1151))</f>
        <v/>
      </c>
      <c r="E1156" s="40" t="str">
        <f aca="false">IF(INDEX(BookTitle,1151)="","",INDEX(BookTitle,1151))</f>
        <v/>
      </c>
      <c r="F1156" s="40" t="str">
        <f aca="false">IF(INDEX(BookTitle,1151)="","",INDEX(BookLevel,1151))</f>
        <v/>
      </c>
      <c r="G1156" s="40" t="str">
        <f aca="false">IF(INDEX(BookTitle,1151)="","",INDEX(BookCategory,1151))</f>
        <v/>
      </c>
      <c r="H1156" s="40" t="str">
        <f aca="false">IF(INDEX(BookTitle,1151)="","",INDEX(BookRank,1151))</f>
        <v/>
      </c>
      <c r="I1156" s="41" t="str">
        <f aca="false">IF(INDEX(BookTitle,1151)="","",INDEX(BookTotal,1151))</f>
        <v/>
      </c>
      <c r="J1156" s="0" t="str">
        <f aca="false">IF($I1156="","",IF(INDEX(BookQ1,1151)&gt;0,"Q1",IF(INDEX(BookQ2,1151)&gt;0,"Q2",IF(INDEX(BookQ3,1151)&gt;0,"Q3",IF(INDEX(BookQ4,1151)&gt;0,"Q4","")))))</f>
        <v/>
      </c>
      <c r="K1156" s="42" t="str">
        <f aca="false">IF(INDEX(BookTitle,1151)="","",INDEX(BookInYear,1151))</f>
        <v/>
      </c>
      <c r="L1156" s="19"/>
      <c r="M1156" s="39"/>
      <c r="N1156" s="19"/>
      <c r="O1156" s="19"/>
      <c r="P1156" s="43" t="str">
        <f aca="false">IF($E1156="","",IF($L1156="Decline",0,IF($L1156="Approve fewer",IF($M1156="","",$M1156),IF($L1156="","",$I1156))))</f>
        <v/>
      </c>
      <c r="Q1156" s="34" t="str">
        <f aca="false">IF($P1156="","",IF($N1156&lt;&gt;"",$N1156,$J1156))</f>
        <v/>
      </c>
      <c r="R1156" s="35" t="str">
        <f aca="false">IF(OR($P1156="",$Q1156=""),"",INDEX(BookRate,1151)*$P1156*(5-MATCH($Q1156,{"Q1";"Q2";"Q3";"Q4"},0))/4+INDEX(BookOneOff,1151)*$P1156)</f>
        <v/>
      </c>
      <c r="S1156" s="35" t="str">
        <f aca="false">IF($P1156="","",INDEX(BookRate,1151)*$P1156)</f>
        <v/>
      </c>
      <c r="T1156" s="35" t="str">
        <f aca="false">IF($R1156="","",$R1156-$K1156)</f>
        <v/>
      </c>
      <c r="U1156" s="35" t="str">
        <f aca="false">IF(N($P1156)&lt;=0,"",COUNTIF($P$6:$P1156,"&gt;0"))</f>
        <v/>
      </c>
    </row>
    <row r="1157" customFormat="false" ht="15" hidden="false" customHeight="false" outlineLevel="0" collapsed="false">
      <c r="A1157" s="40" t="str">
        <f aca="false">IF(INDEX(BookTitle,1152)="","",INDEX(BookGroup,1152))</f>
        <v/>
      </c>
      <c r="B1157" s="40" t="str">
        <f aca="false">IF(INDEX(BookTitle,1152)="","",INDEX(BookRef,1152))</f>
        <v/>
      </c>
      <c r="C1157" s="40" t="str">
        <f aca="false">IF(INDEX(BookTitle,1152)="","",INDEX(BookDivision,1152))</f>
        <v/>
      </c>
      <c r="D1157" s="40" t="str">
        <f aca="false">IF(INDEX(BookTitle,1152)="","",INDEX(BookUnit,1152))</f>
        <v/>
      </c>
      <c r="E1157" s="40" t="str">
        <f aca="false">IF(INDEX(BookTitle,1152)="","",INDEX(BookTitle,1152))</f>
        <v/>
      </c>
      <c r="F1157" s="40" t="str">
        <f aca="false">IF(INDEX(BookTitle,1152)="","",INDEX(BookLevel,1152))</f>
        <v/>
      </c>
      <c r="G1157" s="40" t="str">
        <f aca="false">IF(INDEX(BookTitle,1152)="","",INDEX(BookCategory,1152))</f>
        <v/>
      </c>
      <c r="H1157" s="40" t="str">
        <f aca="false">IF(INDEX(BookTitle,1152)="","",INDEX(BookRank,1152))</f>
        <v/>
      </c>
      <c r="I1157" s="41" t="str">
        <f aca="false">IF(INDEX(BookTitle,1152)="","",INDEX(BookTotal,1152))</f>
        <v/>
      </c>
      <c r="J1157" s="0" t="str">
        <f aca="false">IF($I1157="","",IF(INDEX(BookQ1,1152)&gt;0,"Q1",IF(INDEX(BookQ2,1152)&gt;0,"Q2",IF(INDEX(BookQ3,1152)&gt;0,"Q3",IF(INDEX(BookQ4,1152)&gt;0,"Q4","")))))</f>
        <v/>
      </c>
      <c r="K1157" s="42" t="str">
        <f aca="false">IF(INDEX(BookTitle,1152)="","",INDEX(BookInYear,1152))</f>
        <v/>
      </c>
      <c r="L1157" s="19"/>
      <c r="M1157" s="39"/>
      <c r="N1157" s="19"/>
      <c r="O1157" s="19"/>
      <c r="P1157" s="43" t="str">
        <f aca="false">IF($E1157="","",IF($L1157="Decline",0,IF($L1157="Approve fewer",IF($M1157="","",$M1157),IF($L1157="","",$I1157))))</f>
        <v/>
      </c>
      <c r="Q1157" s="34" t="str">
        <f aca="false">IF($P1157="","",IF($N1157&lt;&gt;"",$N1157,$J1157))</f>
        <v/>
      </c>
      <c r="R1157" s="35" t="str">
        <f aca="false">IF(OR($P1157="",$Q1157=""),"",INDEX(BookRate,1152)*$P1157*(5-MATCH($Q1157,{"Q1";"Q2";"Q3";"Q4"},0))/4+INDEX(BookOneOff,1152)*$P1157)</f>
        <v/>
      </c>
      <c r="S1157" s="35" t="str">
        <f aca="false">IF($P1157="","",INDEX(BookRate,1152)*$P1157)</f>
        <v/>
      </c>
      <c r="T1157" s="35" t="str">
        <f aca="false">IF($R1157="","",$R1157-$K1157)</f>
        <v/>
      </c>
      <c r="U1157" s="35" t="str">
        <f aca="false">IF(N($P1157)&lt;=0,"",COUNTIF($P$6:$P1157,"&gt;0"))</f>
        <v/>
      </c>
    </row>
    <row r="1158" customFormat="false" ht="15" hidden="false" customHeight="false" outlineLevel="0" collapsed="false">
      <c r="A1158" s="40" t="str">
        <f aca="false">IF(INDEX(BookTitle,1153)="","",INDEX(BookGroup,1153))</f>
        <v/>
      </c>
      <c r="B1158" s="40" t="str">
        <f aca="false">IF(INDEX(BookTitle,1153)="","",INDEX(BookRef,1153))</f>
        <v/>
      </c>
      <c r="C1158" s="40" t="str">
        <f aca="false">IF(INDEX(BookTitle,1153)="","",INDEX(BookDivision,1153))</f>
        <v/>
      </c>
      <c r="D1158" s="40" t="str">
        <f aca="false">IF(INDEX(BookTitle,1153)="","",INDEX(BookUnit,1153))</f>
        <v/>
      </c>
      <c r="E1158" s="40" t="str">
        <f aca="false">IF(INDEX(BookTitle,1153)="","",INDEX(BookTitle,1153))</f>
        <v/>
      </c>
      <c r="F1158" s="40" t="str">
        <f aca="false">IF(INDEX(BookTitle,1153)="","",INDEX(BookLevel,1153))</f>
        <v/>
      </c>
      <c r="G1158" s="40" t="str">
        <f aca="false">IF(INDEX(BookTitle,1153)="","",INDEX(BookCategory,1153))</f>
        <v/>
      </c>
      <c r="H1158" s="40" t="str">
        <f aca="false">IF(INDEX(BookTitle,1153)="","",INDEX(BookRank,1153))</f>
        <v/>
      </c>
      <c r="I1158" s="41" t="str">
        <f aca="false">IF(INDEX(BookTitle,1153)="","",INDEX(BookTotal,1153))</f>
        <v/>
      </c>
      <c r="J1158" s="0" t="str">
        <f aca="false">IF($I1158="","",IF(INDEX(BookQ1,1153)&gt;0,"Q1",IF(INDEX(BookQ2,1153)&gt;0,"Q2",IF(INDEX(BookQ3,1153)&gt;0,"Q3",IF(INDEX(BookQ4,1153)&gt;0,"Q4","")))))</f>
        <v/>
      </c>
      <c r="K1158" s="42" t="str">
        <f aca="false">IF(INDEX(BookTitle,1153)="","",INDEX(BookInYear,1153))</f>
        <v/>
      </c>
      <c r="L1158" s="19"/>
      <c r="M1158" s="39"/>
      <c r="N1158" s="19"/>
      <c r="O1158" s="19"/>
      <c r="P1158" s="43" t="str">
        <f aca="false">IF($E1158="","",IF($L1158="Decline",0,IF($L1158="Approve fewer",IF($M1158="","",$M1158),IF($L1158="","",$I1158))))</f>
        <v/>
      </c>
      <c r="Q1158" s="34" t="str">
        <f aca="false">IF($P1158="","",IF($N1158&lt;&gt;"",$N1158,$J1158))</f>
        <v/>
      </c>
      <c r="R1158" s="35" t="str">
        <f aca="false">IF(OR($P1158="",$Q1158=""),"",INDEX(BookRate,1153)*$P1158*(5-MATCH($Q1158,{"Q1";"Q2";"Q3";"Q4"},0))/4+INDEX(BookOneOff,1153)*$P1158)</f>
        <v/>
      </c>
      <c r="S1158" s="35" t="str">
        <f aca="false">IF($P1158="","",INDEX(BookRate,1153)*$P1158)</f>
        <v/>
      </c>
      <c r="T1158" s="35" t="str">
        <f aca="false">IF($R1158="","",$R1158-$K1158)</f>
        <v/>
      </c>
      <c r="U1158" s="35" t="str">
        <f aca="false">IF(N($P1158)&lt;=0,"",COUNTIF($P$6:$P1158,"&gt;0"))</f>
        <v/>
      </c>
    </row>
    <row r="1159" customFormat="false" ht="15" hidden="false" customHeight="false" outlineLevel="0" collapsed="false">
      <c r="A1159" s="40" t="str">
        <f aca="false">IF(INDEX(BookTitle,1154)="","",INDEX(BookGroup,1154))</f>
        <v/>
      </c>
      <c r="B1159" s="40" t="str">
        <f aca="false">IF(INDEX(BookTitle,1154)="","",INDEX(BookRef,1154))</f>
        <v/>
      </c>
      <c r="C1159" s="40" t="str">
        <f aca="false">IF(INDEX(BookTitle,1154)="","",INDEX(BookDivision,1154))</f>
        <v/>
      </c>
      <c r="D1159" s="40" t="str">
        <f aca="false">IF(INDEX(BookTitle,1154)="","",INDEX(BookUnit,1154))</f>
        <v/>
      </c>
      <c r="E1159" s="40" t="str">
        <f aca="false">IF(INDEX(BookTitle,1154)="","",INDEX(BookTitle,1154))</f>
        <v/>
      </c>
      <c r="F1159" s="40" t="str">
        <f aca="false">IF(INDEX(BookTitle,1154)="","",INDEX(BookLevel,1154))</f>
        <v/>
      </c>
      <c r="G1159" s="40" t="str">
        <f aca="false">IF(INDEX(BookTitle,1154)="","",INDEX(BookCategory,1154))</f>
        <v/>
      </c>
      <c r="H1159" s="40" t="str">
        <f aca="false">IF(INDEX(BookTitle,1154)="","",INDEX(BookRank,1154))</f>
        <v/>
      </c>
      <c r="I1159" s="41" t="str">
        <f aca="false">IF(INDEX(BookTitle,1154)="","",INDEX(BookTotal,1154))</f>
        <v/>
      </c>
      <c r="J1159" s="0" t="str">
        <f aca="false">IF($I1159="","",IF(INDEX(BookQ1,1154)&gt;0,"Q1",IF(INDEX(BookQ2,1154)&gt;0,"Q2",IF(INDEX(BookQ3,1154)&gt;0,"Q3",IF(INDEX(BookQ4,1154)&gt;0,"Q4","")))))</f>
        <v/>
      </c>
      <c r="K1159" s="42" t="str">
        <f aca="false">IF(INDEX(BookTitle,1154)="","",INDEX(BookInYear,1154))</f>
        <v/>
      </c>
      <c r="L1159" s="19"/>
      <c r="M1159" s="39"/>
      <c r="N1159" s="19"/>
      <c r="O1159" s="19"/>
      <c r="P1159" s="43" t="str">
        <f aca="false">IF($E1159="","",IF($L1159="Decline",0,IF($L1159="Approve fewer",IF($M1159="","",$M1159),IF($L1159="","",$I1159))))</f>
        <v/>
      </c>
      <c r="Q1159" s="34" t="str">
        <f aca="false">IF($P1159="","",IF($N1159&lt;&gt;"",$N1159,$J1159))</f>
        <v/>
      </c>
      <c r="R1159" s="35" t="str">
        <f aca="false">IF(OR($P1159="",$Q1159=""),"",INDEX(BookRate,1154)*$P1159*(5-MATCH($Q1159,{"Q1";"Q2";"Q3";"Q4"},0))/4+INDEX(BookOneOff,1154)*$P1159)</f>
        <v/>
      </c>
      <c r="S1159" s="35" t="str">
        <f aca="false">IF($P1159="","",INDEX(BookRate,1154)*$P1159)</f>
        <v/>
      </c>
      <c r="T1159" s="35" t="str">
        <f aca="false">IF($R1159="","",$R1159-$K1159)</f>
        <v/>
      </c>
      <c r="U1159" s="35" t="str">
        <f aca="false">IF(N($P1159)&lt;=0,"",COUNTIF($P$6:$P1159,"&gt;0"))</f>
        <v/>
      </c>
    </row>
    <row r="1160" customFormat="false" ht="15" hidden="false" customHeight="false" outlineLevel="0" collapsed="false">
      <c r="A1160" s="40" t="str">
        <f aca="false">IF(INDEX(BookTitle,1155)="","",INDEX(BookGroup,1155))</f>
        <v/>
      </c>
      <c r="B1160" s="40" t="str">
        <f aca="false">IF(INDEX(BookTitle,1155)="","",INDEX(BookRef,1155))</f>
        <v/>
      </c>
      <c r="C1160" s="40" t="str">
        <f aca="false">IF(INDEX(BookTitle,1155)="","",INDEX(BookDivision,1155))</f>
        <v/>
      </c>
      <c r="D1160" s="40" t="str">
        <f aca="false">IF(INDEX(BookTitle,1155)="","",INDEX(BookUnit,1155))</f>
        <v/>
      </c>
      <c r="E1160" s="40" t="str">
        <f aca="false">IF(INDEX(BookTitle,1155)="","",INDEX(BookTitle,1155))</f>
        <v/>
      </c>
      <c r="F1160" s="40" t="str">
        <f aca="false">IF(INDEX(BookTitle,1155)="","",INDEX(BookLevel,1155))</f>
        <v/>
      </c>
      <c r="G1160" s="40" t="str">
        <f aca="false">IF(INDEX(BookTitle,1155)="","",INDEX(BookCategory,1155))</f>
        <v/>
      </c>
      <c r="H1160" s="40" t="str">
        <f aca="false">IF(INDEX(BookTitle,1155)="","",INDEX(BookRank,1155))</f>
        <v/>
      </c>
      <c r="I1160" s="41" t="str">
        <f aca="false">IF(INDEX(BookTitle,1155)="","",INDEX(BookTotal,1155))</f>
        <v/>
      </c>
      <c r="J1160" s="0" t="str">
        <f aca="false">IF($I1160="","",IF(INDEX(BookQ1,1155)&gt;0,"Q1",IF(INDEX(BookQ2,1155)&gt;0,"Q2",IF(INDEX(BookQ3,1155)&gt;0,"Q3",IF(INDEX(BookQ4,1155)&gt;0,"Q4","")))))</f>
        <v/>
      </c>
      <c r="K1160" s="42" t="str">
        <f aca="false">IF(INDEX(BookTitle,1155)="","",INDEX(BookInYear,1155))</f>
        <v/>
      </c>
      <c r="L1160" s="19"/>
      <c r="M1160" s="39"/>
      <c r="N1160" s="19"/>
      <c r="O1160" s="19"/>
      <c r="P1160" s="43" t="str">
        <f aca="false">IF($E1160="","",IF($L1160="Decline",0,IF($L1160="Approve fewer",IF($M1160="","",$M1160),IF($L1160="","",$I1160))))</f>
        <v/>
      </c>
      <c r="Q1160" s="34" t="str">
        <f aca="false">IF($P1160="","",IF($N1160&lt;&gt;"",$N1160,$J1160))</f>
        <v/>
      </c>
      <c r="R1160" s="35" t="str">
        <f aca="false">IF(OR($P1160="",$Q1160=""),"",INDEX(BookRate,1155)*$P1160*(5-MATCH($Q1160,{"Q1";"Q2";"Q3";"Q4"},0))/4+INDEX(BookOneOff,1155)*$P1160)</f>
        <v/>
      </c>
      <c r="S1160" s="35" t="str">
        <f aca="false">IF($P1160="","",INDEX(BookRate,1155)*$P1160)</f>
        <v/>
      </c>
      <c r="T1160" s="35" t="str">
        <f aca="false">IF($R1160="","",$R1160-$K1160)</f>
        <v/>
      </c>
      <c r="U1160" s="35" t="str">
        <f aca="false">IF(N($P1160)&lt;=0,"",COUNTIF($P$6:$P1160,"&gt;0"))</f>
        <v/>
      </c>
    </row>
    <row r="1161" customFormat="false" ht="15" hidden="false" customHeight="false" outlineLevel="0" collapsed="false">
      <c r="A1161" s="40" t="str">
        <f aca="false">IF(INDEX(BookTitle,1156)="","",INDEX(BookGroup,1156))</f>
        <v/>
      </c>
      <c r="B1161" s="40" t="str">
        <f aca="false">IF(INDEX(BookTitle,1156)="","",INDEX(BookRef,1156))</f>
        <v/>
      </c>
      <c r="C1161" s="40" t="str">
        <f aca="false">IF(INDEX(BookTitle,1156)="","",INDEX(BookDivision,1156))</f>
        <v/>
      </c>
      <c r="D1161" s="40" t="str">
        <f aca="false">IF(INDEX(BookTitle,1156)="","",INDEX(BookUnit,1156))</f>
        <v/>
      </c>
      <c r="E1161" s="40" t="str">
        <f aca="false">IF(INDEX(BookTitle,1156)="","",INDEX(BookTitle,1156))</f>
        <v/>
      </c>
      <c r="F1161" s="40" t="str">
        <f aca="false">IF(INDEX(BookTitle,1156)="","",INDEX(BookLevel,1156))</f>
        <v/>
      </c>
      <c r="G1161" s="40" t="str">
        <f aca="false">IF(INDEX(BookTitle,1156)="","",INDEX(BookCategory,1156))</f>
        <v/>
      </c>
      <c r="H1161" s="40" t="str">
        <f aca="false">IF(INDEX(BookTitle,1156)="","",INDEX(BookRank,1156))</f>
        <v/>
      </c>
      <c r="I1161" s="41" t="str">
        <f aca="false">IF(INDEX(BookTitle,1156)="","",INDEX(BookTotal,1156))</f>
        <v/>
      </c>
      <c r="J1161" s="0" t="str">
        <f aca="false">IF($I1161="","",IF(INDEX(BookQ1,1156)&gt;0,"Q1",IF(INDEX(BookQ2,1156)&gt;0,"Q2",IF(INDEX(BookQ3,1156)&gt;0,"Q3",IF(INDEX(BookQ4,1156)&gt;0,"Q4","")))))</f>
        <v/>
      </c>
      <c r="K1161" s="42" t="str">
        <f aca="false">IF(INDEX(BookTitle,1156)="","",INDEX(BookInYear,1156))</f>
        <v/>
      </c>
      <c r="L1161" s="19"/>
      <c r="M1161" s="39"/>
      <c r="N1161" s="19"/>
      <c r="O1161" s="19"/>
      <c r="P1161" s="43" t="str">
        <f aca="false">IF($E1161="","",IF($L1161="Decline",0,IF($L1161="Approve fewer",IF($M1161="","",$M1161),IF($L1161="","",$I1161))))</f>
        <v/>
      </c>
      <c r="Q1161" s="34" t="str">
        <f aca="false">IF($P1161="","",IF($N1161&lt;&gt;"",$N1161,$J1161))</f>
        <v/>
      </c>
      <c r="R1161" s="35" t="str">
        <f aca="false">IF(OR($P1161="",$Q1161=""),"",INDEX(BookRate,1156)*$P1161*(5-MATCH($Q1161,{"Q1";"Q2";"Q3";"Q4"},0))/4+INDEX(BookOneOff,1156)*$P1161)</f>
        <v/>
      </c>
      <c r="S1161" s="35" t="str">
        <f aca="false">IF($P1161="","",INDEX(BookRate,1156)*$P1161)</f>
        <v/>
      </c>
      <c r="T1161" s="35" t="str">
        <f aca="false">IF($R1161="","",$R1161-$K1161)</f>
        <v/>
      </c>
      <c r="U1161" s="35" t="str">
        <f aca="false">IF(N($P1161)&lt;=0,"",COUNTIF($P$6:$P1161,"&gt;0"))</f>
        <v/>
      </c>
    </row>
    <row r="1162" customFormat="false" ht="15" hidden="false" customHeight="false" outlineLevel="0" collapsed="false">
      <c r="A1162" s="40" t="str">
        <f aca="false">IF(INDEX(BookTitle,1157)="","",INDEX(BookGroup,1157))</f>
        <v/>
      </c>
      <c r="B1162" s="40" t="str">
        <f aca="false">IF(INDEX(BookTitle,1157)="","",INDEX(BookRef,1157))</f>
        <v/>
      </c>
      <c r="C1162" s="40" t="str">
        <f aca="false">IF(INDEX(BookTitle,1157)="","",INDEX(BookDivision,1157))</f>
        <v/>
      </c>
      <c r="D1162" s="40" t="str">
        <f aca="false">IF(INDEX(BookTitle,1157)="","",INDEX(BookUnit,1157))</f>
        <v/>
      </c>
      <c r="E1162" s="40" t="str">
        <f aca="false">IF(INDEX(BookTitle,1157)="","",INDEX(BookTitle,1157))</f>
        <v/>
      </c>
      <c r="F1162" s="40" t="str">
        <f aca="false">IF(INDEX(BookTitle,1157)="","",INDEX(BookLevel,1157))</f>
        <v/>
      </c>
      <c r="G1162" s="40" t="str">
        <f aca="false">IF(INDEX(BookTitle,1157)="","",INDEX(BookCategory,1157))</f>
        <v/>
      </c>
      <c r="H1162" s="40" t="str">
        <f aca="false">IF(INDEX(BookTitle,1157)="","",INDEX(BookRank,1157))</f>
        <v/>
      </c>
      <c r="I1162" s="41" t="str">
        <f aca="false">IF(INDEX(BookTitle,1157)="","",INDEX(BookTotal,1157))</f>
        <v/>
      </c>
      <c r="J1162" s="0" t="str">
        <f aca="false">IF($I1162="","",IF(INDEX(BookQ1,1157)&gt;0,"Q1",IF(INDEX(BookQ2,1157)&gt;0,"Q2",IF(INDEX(BookQ3,1157)&gt;0,"Q3",IF(INDEX(BookQ4,1157)&gt;0,"Q4","")))))</f>
        <v/>
      </c>
      <c r="K1162" s="42" t="str">
        <f aca="false">IF(INDEX(BookTitle,1157)="","",INDEX(BookInYear,1157))</f>
        <v/>
      </c>
      <c r="L1162" s="19"/>
      <c r="M1162" s="39"/>
      <c r="N1162" s="19"/>
      <c r="O1162" s="19"/>
      <c r="P1162" s="43" t="str">
        <f aca="false">IF($E1162="","",IF($L1162="Decline",0,IF($L1162="Approve fewer",IF($M1162="","",$M1162),IF($L1162="","",$I1162))))</f>
        <v/>
      </c>
      <c r="Q1162" s="34" t="str">
        <f aca="false">IF($P1162="","",IF($N1162&lt;&gt;"",$N1162,$J1162))</f>
        <v/>
      </c>
      <c r="R1162" s="35" t="str">
        <f aca="false">IF(OR($P1162="",$Q1162=""),"",INDEX(BookRate,1157)*$P1162*(5-MATCH($Q1162,{"Q1";"Q2";"Q3";"Q4"},0))/4+INDEX(BookOneOff,1157)*$P1162)</f>
        <v/>
      </c>
      <c r="S1162" s="35" t="str">
        <f aca="false">IF($P1162="","",INDEX(BookRate,1157)*$P1162)</f>
        <v/>
      </c>
      <c r="T1162" s="35" t="str">
        <f aca="false">IF($R1162="","",$R1162-$K1162)</f>
        <v/>
      </c>
      <c r="U1162" s="35" t="str">
        <f aca="false">IF(N($P1162)&lt;=0,"",COUNTIF($P$6:$P1162,"&gt;0"))</f>
        <v/>
      </c>
    </row>
    <row r="1163" customFormat="false" ht="15" hidden="false" customHeight="false" outlineLevel="0" collapsed="false">
      <c r="A1163" s="40" t="str">
        <f aca="false">IF(INDEX(BookTitle,1158)="","",INDEX(BookGroup,1158))</f>
        <v/>
      </c>
      <c r="B1163" s="40" t="str">
        <f aca="false">IF(INDEX(BookTitle,1158)="","",INDEX(BookRef,1158))</f>
        <v/>
      </c>
      <c r="C1163" s="40" t="str">
        <f aca="false">IF(INDEX(BookTitle,1158)="","",INDEX(BookDivision,1158))</f>
        <v/>
      </c>
      <c r="D1163" s="40" t="str">
        <f aca="false">IF(INDEX(BookTitle,1158)="","",INDEX(BookUnit,1158))</f>
        <v/>
      </c>
      <c r="E1163" s="40" t="str">
        <f aca="false">IF(INDEX(BookTitle,1158)="","",INDEX(BookTitle,1158))</f>
        <v/>
      </c>
      <c r="F1163" s="40" t="str">
        <f aca="false">IF(INDEX(BookTitle,1158)="","",INDEX(BookLevel,1158))</f>
        <v/>
      </c>
      <c r="G1163" s="40" t="str">
        <f aca="false">IF(INDEX(BookTitle,1158)="","",INDEX(BookCategory,1158))</f>
        <v/>
      </c>
      <c r="H1163" s="40" t="str">
        <f aca="false">IF(INDEX(BookTitle,1158)="","",INDEX(BookRank,1158))</f>
        <v/>
      </c>
      <c r="I1163" s="41" t="str">
        <f aca="false">IF(INDEX(BookTitle,1158)="","",INDEX(BookTotal,1158))</f>
        <v/>
      </c>
      <c r="J1163" s="0" t="str">
        <f aca="false">IF($I1163="","",IF(INDEX(BookQ1,1158)&gt;0,"Q1",IF(INDEX(BookQ2,1158)&gt;0,"Q2",IF(INDEX(BookQ3,1158)&gt;0,"Q3",IF(INDEX(BookQ4,1158)&gt;0,"Q4","")))))</f>
        <v/>
      </c>
      <c r="K1163" s="42" t="str">
        <f aca="false">IF(INDEX(BookTitle,1158)="","",INDEX(BookInYear,1158))</f>
        <v/>
      </c>
      <c r="L1163" s="19"/>
      <c r="M1163" s="39"/>
      <c r="N1163" s="19"/>
      <c r="O1163" s="19"/>
      <c r="P1163" s="43" t="str">
        <f aca="false">IF($E1163="","",IF($L1163="Decline",0,IF($L1163="Approve fewer",IF($M1163="","",$M1163),IF($L1163="","",$I1163))))</f>
        <v/>
      </c>
      <c r="Q1163" s="34" t="str">
        <f aca="false">IF($P1163="","",IF($N1163&lt;&gt;"",$N1163,$J1163))</f>
        <v/>
      </c>
      <c r="R1163" s="35" t="str">
        <f aca="false">IF(OR($P1163="",$Q1163=""),"",INDEX(BookRate,1158)*$P1163*(5-MATCH($Q1163,{"Q1";"Q2";"Q3";"Q4"},0))/4+INDEX(BookOneOff,1158)*$P1163)</f>
        <v/>
      </c>
      <c r="S1163" s="35" t="str">
        <f aca="false">IF($P1163="","",INDEX(BookRate,1158)*$P1163)</f>
        <v/>
      </c>
      <c r="T1163" s="35" t="str">
        <f aca="false">IF($R1163="","",$R1163-$K1163)</f>
        <v/>
      </c>
      <c r="U1163" s="35" t="str">
        <f aca="false">IF(N($P1163)&lt;=0,"",COUNTIF($P$6:$P1163,"&gt;0"))</f>
        <v/>
      </c>
    </row>
    <row r="1164" customFormat="false" ht="15" hidden="false" customHeight="false" outlineLevel="0" collapsed="false">
      <c r="A1164" s="40" t="str">
        <f aca="false">IF(INDEX(BookTitle,1159)="","",INDEX(BookGroup,1159))</f>
        <v/>
      </c>
      <c r="B1164" s="40" t="str">
        <f aca="false">IF(INDEX(BookTitle,1159)="","",INDEX(BookRef,1159))</f>
        <v/>
      </c>
      <c r="C1164" s="40" t="str">
        <f aca="false">IF(INDEX(BookTitle,1159)="","",INDEX(BookDivision,1159))</f>
        <v/>
      </c>
      <c r="D1164" s="40" t="str">
        <f aca="false">IF(INDEX(BookTitle,1159)="","",INDEX(BookUnit,1159))</f>
        <v/>
      </c>
      <c r="E1164" s="40" t="str">
        <f aca="false">IF(INDEX(BookTitle,1159)="","",INDEX(BookTitle,1159))</f>
        <v/>
      </c>
      <c r="F1164" s="40" t="str">
        <f aca="false">IF(INDEX(BookTitle,1159)="","",INDEX(BookLevel,1159))</f>
        <v/>
      </c>
      <c r="G1164" s="40" t="str">
        <f aca="false">IF(INDEX(BookTitle,1159)="","",INDEX(BookCategory,1159))</f>
        <v/>
      </c>
      <c r="H1164" s="40" t="str">
        <f aca="false">IF(INDEX(BookTitle,1159)="","",INDEX(BookRank,1159))</f>
        <v/>
      </c>
      <c r="I1164" s="41" t="str">
        <f aca="false">IF(INDEX(BookTitle,1159)="","",INDEX(BookTotal,1159))</f>
        <v/>
      </c>
      <c r="J1164" s="0" t="str">
        <f aca="false">IF($I1164="","",IF(INDEX(BookQ1,1159)&gt;0,"Q1",IF(INDEX(BookQ2,1159)&gt;0,"Q2",IF(INDEX(BookQ3,1159)&gt;0,"Q3",IF(INDEX(BookQ4,1159)&gt;0,"Q4","")))))</f>
        <v/>
      </c>
      <c r="K1164" s="42" t="str">
        <f aca="false">IF(INDEX(BookTitle,1159)="","",INDEX(BookInYear,1159))</f>
        <v/>
      </c>
      <c r="L1164" s="19"/>
      <c r="M1164" s="39"/>
      <c r="N1164" s="19"/>
      <c r="O1164" s="19"/>
      <c r="P1164" s="43" t="str">
        <f aca="false">IF($E1164="","",IF($L1164="Decline",0,IF($L1164="Approve fewer",IF($M1164="","",$M1164),IF($L1164="","",$I1164))))</f>
        <v/>
      </c>
      <c r="Q1164" s="34" t="str">
        <f aca="false">IF($P1164="","",IF($N1164&lt;&gt;"",$N1164,$J1164))</f>
        <v/>
      </c>
      <c r="R1164" s="35" t="str">
        <f aca="false">IF(OR($P1164="",$Q1164=""),"",INDEX(BookRate,1159)*$P1164*(5-MATCH($Q1164,{"Q1";"Q2";"Q3";"Q4"},0))/4+INDEX(BookOneOff,1159)*$P1164)</f>
        <v/>
      </c>
      <c r="S1164" s="35" t="str">
        <f aca="false">IF($P1164="","",INDEX(BookRate,1159)*$P1164)</f>
        <v/>
      </c>
      <c r="T1164" s="35" t="str">
        <f aca="false">IF($R1164="","",$R1164-$K1164)</f>
        <v/>
      </c>
      <c r="U1164" s="35" t="str">
        <f aca="false">IF(N($P1164)&lt;=0,"",COUNTIF($P$6:$P1164,"&gt;0"))</f>
        <v/>
      </c>
    </row>
    <row r="1165" customFormat="false" ht="15" hidden="false" customHeight="false" outlineLevel="0" collapsed="false">
      <c r="A1165" s="40" t="str">
        <f aca="false">IF(INDEX(BookTitle,1160)="","",INDEX(BookGroup,1160))</f>
        <v/>
      </c>
      <c r="B1165" s="40" t="str">
        <f aca="false">IF(INDEX(BookTitle,1160)="","",INDEX(BookRef,1160))</f>
        <v/>
      </c>
      <c r="C1165" s="40" t="str">
        <f aca="false">IF(INDEX(BookTitle,1160)="","",INDEX(BookDivision,1160))</f>
        <v/>
      </c>
      <c r="D1165" s="40" t="str">
        <f aca="false">IF(INDEX(BookTitle,1160)="","",INDEX(BookUnit,1160))</f>
        <v/>
      </c>
      <c r="E1165" s="40" t="str">
        <f aca="false">IF(INDEX(BookTitle,1160)="","",INDEX(BookTitle,1160))</f>
        <v/>
      </c>
      <c r="F1165" s="40" t="str">
        <f aca="false">IF(INDEX(BookTitle,1160)="","",INDEX(BookLevel,1160))</f>
        <v/>
      </c>
      <c r="G1165" s="40" t="str">
        <f aca="false">IF(INDEX(BookTitle,1160)="","",INDEX(BookCategory,1160))</f>
        <v/>
      </c>
      <c r="H1165" s="40" t="str">
        <f aca="false">IF(INDEX(BookTitle,1160)="","",INDEX(BookRank,1160))</f>
        <v/>
      </c>
      <c r="I1165" s="41" t="str">
        <f aca="false">IF(INDEX(BookTitle,1160)="","",INDEX(BookTotal,1160))</f>
        <v/>
      </c>
      <c r="J1165" s="0" t="str">
        <f aca="false">IF($I1165="","",IF(INDEX(BookQ1,1160)&gt;0,"Q1",IF(INDEX(BookQ2,1160)&gt;0,"Q2",IF(INDEX(BookQ3,1160)&gt;0,"Q3",IF(INDEX(BookQ4,1160)&gt;0,"Q4","")))))</f>
        <v/>
      </c>
      <c r="K1165" s="42" t="str">
        <f aca="false">IF(INDEX(BookTitle,1160)="","",INDEX(BookInYear,1160))</f>
        <v/>
      </c>
      <c r="L1165" s="19"/>
      <c r="M1165" s="39"/>
      <c r="N1165" s="19"/>
      <c r="O1165" s="19"/>
      <c r="P1165" s="43" t="str">
        <f aca="false">IF($E1165="","",IF($L1165="Decline",0,IF($L1165="Approve fewer",IF($M1165="","",$M1165),IF($L1165="","",$I1165))))</f>
        <v/>
      </c>
      <c r="Q1165" s="34" t="str">
        <f aca="false">IF($P1165="","",IF($N1165&lt;&gt;"",$N1165,$J1165))</f>
        <v/>
      </c>
      <c r="R1165" s="35" t="str">
        <f aca="false">IF(OR($P1165="",$Q1165=""),"",INDEX(BookRate,1160)*$P1165*(5-MATCH($Q1165,{"Q1";"Q2";"Q3";"Q4"},0))/4+INDEX(BookOneOff,1160)*$P1165)</f>
        <v/>
      </c>
      <c r="S1165" s="35" t="str">
        <f aca="false">IF($P1165="","",INDEX(BookRate,1160)*$P1165)</f>
        <v/>
      </c>
      <c r="T1165" s="35" t="str">
        <f aca="false">IF($R1165="","",$R1165-$K1165)</f>
        <v/>
      </c>
      <c r="U1165" s="35" t="str">
        <f aca="false">IF(N($P1165)&lt;=0,"",COUNTIF($P$6:$P1165,"&gt;0"))</f>
        <v/>
      </c>
    </row>
    <row r="1166" customFormat="false" ht="15" hidden="false" customHeight="false" outlineLevel="0" collapsed="false">
      <c r="A1166" s="40" t="str">
        <f aca="false">IF(INDEX(BookTitle,1161)="","",INDEX(BookGroup,1161))</f>
        <v/>
      </c>
      <c r="B1166" s="40" t="str">
        <f aca="false">IF(INDEX(BookTitle,1161)="","",INDEX(BookRef,1161))</f>
        <v/>
      </c>
      <c r="C1166" s="40" t="str">
        <f aca="false">IF(INDEX(BookTitle,1161)="","",INDEX(BookDivision,1161))</f>
        <v/>
      </c>
      <c r="D1166" s="40" t="str">
        <f aca="false">IF(INDEX(BookTitle,1161)="","",INDEX(BookUnit,1161))</f>
        <v/>
      </c>
      <c r="E1166" s="40" t="str">
        <f aca="false">IF(INDEX(BookTitle,1161)="","",INDEX(BookTitle,1161))</f>
        <v/>
      </c>
      <c r="F1166" s="40" t="str">
        <f aca="false">IF(INDEX(BookTitle,1161)="","",INDEX(BookLevel,1161))</f>
        <v/>
      </c>
      <c r="G1166" s="40" t="str">
        <f aca="false">IF(INDEX(BookTitle,1161)="","",INDEX(BookCategory,1161))</f>
        <v/>
      </c>
      <c r="H1166" s="40" t="str">
        <f aca="false">IF(INDEX(BookTitle,1161)="","",INDEX(BookRank,1161))</f>
        <v/>
      </c>
      <c r="I1166" s="41" t="str">
        <f aca="false">IF(INDEX(BookTitle,1161)="","",INDEX(BookTotal,1161))</f>
        <v/>
      </c>
      <c r="J1166" s="0" t="str">
        <f aca="false">IF($I1166="","",IF(INDEX(BookQ1,1161)&gt;0,"Q1",IF(INDEX(BookQ2,1161)&gt;0,"Q2",IF(INDEX(BookQ3,1161)&gt;0,"Q3",IF(INDEX(BookQ4,1161)&gt;0,"Q4","")))))</f>
        <v/>
      </c>
      <c r="K1166" s="42" t="str">
        <f aca="false">IF(INDEX(BookTitle,1161)="","",INDEX(BookInYear,1161))</f>
        <v/>
      </c>
      <c r="L1166" s="19"/>
      <c r="M1166" s="39"/>
      <c r="N1166" s="19"/>
      <c r="O1166" s="19"/>
      <c r="P1166" s="43" t="str">
        <f aca="false">IF($E1166="","",IF($L1166="Decline",0,IF($L1166="Approve fewer",IF($M1166="","",$M1166),IF($L1166="","",$I1166))))</f>
        <v/>
      </c>
      <c r="Q1166" s="34" t="str">
        <f aca="false">IF($P1166="","",IF($N1166&lt;&gt;"",$N1166,$J1166))</f>
        <v/>
      </c>
      <c r="R1166" s="35" t="str">
        <f aca="false">IF(OR($P1166="",$Q1166=""),"",INDEX(BookRate,1161)*$P1166*(5-MATCH($Q1166,{"Q1";"Q2";"Q3";"Q4"},0))/4+INDEX(BookOneOff,1161)*$P1166)</f>
        <v/>
      </c>
      <c r="S1166" s="35" t="str">
        <f aca="false">IF($P1166="","",INDEX(BookRate,1161)*$P1166)</f>
        <v/>
      </c>
      <c r="T1166" s="35" t="str">
        <f aca="false">IF($R1166="","",$R1166-$K1166)</f>
        <v/>
      </c>
      <c r="U1166" s="35" t="str">
        <f aca="false">IF(N($P1166)&lt;=0,"",COUNTIF($P$6:$P1166,"&gt;0"))</f>
        <v/>
      </c>
    </row>
    <row r="1167" customFormat="false" ht="15" hidden="false" customHeight="false" outlineLevel="0" collapsed="false">
      <c r="A1167" s="40" t="str">
        <f aca="false">IF(INDEX(BookTitle,1162)="","",INDEX(BookGroup,1162))</f>
        <v/>
      </c>
      <c r="B1167" s="40" t="str">
        <f aca="false">IF(INDEX(BookTitle,1162)="","",INDEX(BookRef,1162))</f>
        <v/>
      </c>
      <c r="C1167" s="40" t="str">
        <f aca="false">IF(INDEX(BookTitle,1162)="","",INDEX(BookDivision,1162))</f>
        <v/>
      </c>
      <c r="D1167" s="40" t="str">
        <f aca="false">IF(INDEX(BookTitle,1162)="","",INDEX(BookUnit,1162))</f>
        <v/>
      </c>
      <c r="E1167" s="40" t="str">
        <f aca="false">IF(INDEX(BookTitle,1162)="","",INDEX(BookTitle,1162))</f>
        <v/>
      </c>
      <c r="F1167" s="40" t="str">
        <f aca="false">IF(INDEX(BookTitle,1162)="","",INDEX(BookLevel,1162))</f>
        <v/>
      </c>
      <c r="G1167" s="40" t="str">
        <f aca="false">IF(INDEX(BookTitle,1162)="","",INDEX(BookCategory,1162))</f>
        <v/>
      </c>
      <c r="H1167" s="40" t="str">
        <f aca="false">IF(INDEX(BookTitle,1162)="","",INDEX(BookRank,1162))</f>
        <v/>
      </c>
      <c r="I1167" s="41" t="str">
        <f aca="false">IF(INDEX(BookTitle,1162)="","",INDEX(BookTotal,1162))</f>
        <v/>
      </c>
      <c r="J1167" s="0" t="str">
        <f aca="false">IF($I1167="","",IF(INDEX(BookQ1,1162)&gt;0,"Q1",IF(INDEX(BookQ2,1162)&gt;0,"Q2",IF(INDEX(BookQ3,1162)&gt;0,"Q3",IF(INDEX(BookQ4,1162)&gt;0,"Q4","")))))</f>
        <v/>
      </c>
      <c r="K1167" s="42" t="str">
        <f aca="false">IF(INDEX(BookTitle,1162)="","",INDEX(BookInYear,1162))</f>
        <v/>
      </c>
      <c r="L1167" s="19"/>
      <c r="M1167" s="39"/>
      <c r="N1167" s="19"/>
      <c r="O1167" s="19"/>
      <c r="P1167" s="43" t="str">
        <f aca="false">IF($E1167="","",IF($L1167="Decline",0,IF($L1167="Approve fewer",IF($M1167="","",$M1167),IF($L1167="","",$I1167))))</f>
        <v/>
      </c>
      <c r="Q1167" s="34" t="str">
        <f aca="false">IF($P1167="","",IF($N1167&lt;&gt;"",$N1167,$J1167))</f>
        <v/>
      </c>
      <c r="R1167" s="35" t="str">
        <f aca="false">IF(OR($P1167="",$Q1167=""),"",INDEX(BookRate,1162)*$P1167*(5-MATCH($Q1167,{"Q1";"Q2";"Q3";"Q4"},0))/4+INDEX(BookOneOff,1162)*$P1167)</f>
        <v/>
      </c>
      <c r="S1167" s="35" t="str">
        <f aca="false">IF($P1167="","",INDEX(BookRate,1162)*$P1167)</f>
        <v/>
      </c>
      <c r="T1167" s="35" t="str">
        <f aca="false">IF($R1167="","",$R1167-$K1167)</f>
        <v/>
      </c>
      <c r="U1167" s="35" t="str">
        <f aca="false">IF(N($P1167)&lt;=0,"",COUNTIF($P$6:$P1167,"&gt;0"))</f>
        <v/>
      </c>
    </row>
    <row r="1168" customFormat="false" ht="15" hidden="false" customHeight="false" outlineLevel="0" collapsed="false">
      <c r="A1168" s="40" t="str">
        <f aca="false">IF(INDEX(BookTitle,1163)="","",INDEX(BookGroup,1163))</f>
        <v/>
      </c>
      <c r="B1168" s="40" t="str">
        <f aca="false">IF(INDEX(BookTitle,1163)="","",INDEX(BookRef,1163))</f>
        <v/>
      </c>
      <c r="C1168" s="40" t="str">
        <f aca="false">IF(INDEX(BookTitle,1163)="","",INDEX(BookDivision,1163))</f>
        <v/>
      </c>
      <c r="D1168" s="40" t="str">
        <f aca="false">IF(INDEX(BookTitle,1163)="","",INDEX(BookUnit,1163))</f>
        <v/>
      </c>
      <c r="E1168" s="40" t="str">
        <f aca="false">IF(INDEX(BookTitle,1163)="","",INDEX(BookTitle,1163))</f>
        <v/>
      </c>
      <c r="F1168" s="40" t="str">
        <f aca="false">IF(INDEX(BookTitle,1163)="","",INDEX(BookLevel,1163))</f>
        <v/>
      </c>
      <c r="G1168" s="40" t="str">
        <f aca="false">IF(INDEX(BookTitle,1163)="","",INDEX(BookCategory,1163))</f>
        <v/>
      </c>
      <c r="H1168" s="40" t="str">
        <f aca="false">IF(INDEX(BookTitle,1163)="","",INDEX(BookRank,1163))</f>
        <v/>
      </c>
      <c r="I1168" s="41" t="str">
        <f aca="false">IF(INDEX(BookTitle,1163)="","",INDEX(BookTotal,1163))</f>
        <v/>
      </c>
      <c r="J1168" s="0" t="str">
        <f aca="false">IF($I1168="","",IF(INDEX(BookQ1,1163)&gt;0,"Q1",IF(INDEX(BookQ2,1163)&gt;0,"Q2",IF(INDEX(BookQ3,1163)&gt;0,"Q3",IF(INDEX(BookQ4,1163)&gt;0,"Q4","")))))</f>
        <v/>
      </c>
      <c r="K1168" s="42" t="str">
        <f aca="false">IF(INDEX(BookTitle,1163)="","",INDEX(BookInYear,1163))</f>
        <v/>
      </c>
      <c r="L1168" s="19"/>
      <c r="M1168" s="39"/>
      <c r="N1168" s="19"/>
      <c r="O1168" s="19"/>
      <c r="P1168" s="43" t="str">
        <f aca="false">IF($E1168="","",IF($L1168="Decline",0,IF($L1168="Approve fewer",IF($M1168="","",$M1168),IF($L1168="","",$I1168))))</f>
        <v/>
      </c>
      <c r="Q1168" s="34" t="str">
        <f aca="false">IF($P1168="","",IF($N1168&lt;&gt;"",$N1168,$J1168))</f>
        <v/>
      </c>
      <c r="R1168" s="35" t="str">
        <f aca="false">IF(OR($P1168="",$Q1168=""),"",INDEX(BookRate,1163)*$P1168*(5-MATCH($Q1168,{"Q1";"Q2";"Q3";"Q4"},0))/4+INDEX(BookOneOff,1163)*$P1168)</f>
        <v/>
      </c>
      <c r="S1168" s="35" t="str">
        <f aca="false">IF($P1168="","",INDEX(BookRate,1163)*$P1168)</f>
        <v/>
      </c>
      <c r="T1168" s="35" t="str">
        <f aca="false">IF($R1168="","",$R1168-$K1168)</f>
        <v/>
      </c>
      <c r="U1168" s="35" t="str">
        <f aca="false">IF(N($P1168)&lt;=0,"",COUNTIF($P$6:$P1168,"&gt;0"))</f>
        <v/>
      </c>
    </row>
    <row r="1169" customFormat="false" ht="15" hidden="false" customHeight="false" outlineLevel="0" collapsed="false">
      <c r="A1169" s="40" t="str">
        <f aca="false">IF(INDEX(BookTitle,1164)="","",INDEX(BookGroup,1164))</f>
        <v/>
      </c>
      <c r="B1169" s="40" t="str">
        <f aca="false">IF(INDEX(BookTitle,1164)="","",INDEX(BookRef,1164))</f>
        <v/>
      </c>
      <c r="C1169" s="40" t="str">
        <f aca="false">IF(INDEX(BookTitle,1164)="","",INDEX(BookDivision,1164))</f>
        <v/>
      </c>
      <c r="D1169" s="40" t="str">
        <f aca="false">IF(INDEX(BookTitle,1164)="","",INDEX(BookUnit,1164))</f>
        <v/>
      </c>
      <c r="E1169" s="40" t="str">
        <f aca="false">IF(INDEX(BookTitle,1164)="","",INDEX(BookTitle,1164))</f>
        <v/>
      </c>
      <c r="F1169" s="40" t="str">
        <f aca="false">IF(INDEX(BookTitle,1164)="","",INDEX(BookLevel,1164))</f>
        <v/>
      </c>
      <c r="G1169" s="40" t="str">
        <f aca="false">IF(INDEX(BookTitle,1164)="","",INDEX(BookCategory,1164))</f>
        <v/>
      </c>
      <c r="H1169" s="40" t="str">
        <f aca="false">IF(INDEX(BookTitle,1164)="","",INDEX(BookRank,1164))</f>
        <v/>
      </c>
      <c r="I1169" s="41" t="str">
        <f aca="false">IF(INDEX(BookTitle,1164)="","",INDEX(BookTotal,1164))</f>
        <v/>
      </c>
      <c r="J1169" s="0" t="str">
        <f aca="false">IF($I1169="","",IF(INDEX(BookQ1,1164)&gt;0,"Q1",IF(INDEX(BookQ2,1164)&gt;0,"Q2",IF(INDEX(BookQ3,1164)&gt;0,"Q3",IF(INDEX(BookQ4,1164)&gt;0,"Q4","")))))</f>
        <v/>
      </c>
      <c r="K1169" s="42" t="str">
        <f aca="false">IF(INDEX(BookTitle,1164)="","",INDEX(BookInYear,1164))</f>
        <v/>
      </c>
      <c r="L1169" s="19"/>
      <c r="M1169" s="39"/>
      <c r="N1169" s="19"/>
      <c r="O1169" s="19"/>
      <c r="P1169" s="43" t="str">
        <f aca="false">IF($E1169="","",IF($L1169="Decline",0,IF($L1169="Approve fewer",IF($M1169="","",$M1169),IF($L1169="","",$I1169))))</f>
        <v/>
      </c>
      <c r="Q1169" s="34" t="str">
        <f aca="false">IF($P1169="","",IF($N1169&lt;&gt;"",$N1169,$J1169))</f>
        <v/>
      </c>
      <c r="R1169" s="35" t="str">
        <f aca="false">IF(OR($P1169="",$Q1169=""),"",INDEX(BookRate,1164)*$P1169*(5-MATCH($Q1169,{"Q1";"Q2";"Q3";"Q4"},0))/4+INDEX(BookOneOff,1164)*$P1169)</f>
        <v/>
      </c>
      <c r="S1169" s="35" t="str">
        <f aca="false">IF($P1169="","",INDEX(BookRate,1164)*$P1169)</f>
        <v/>
      </c>
      <c r="T1169" s="35" t="str">
        <f aca="false">IF($R1169="","",$R1169-$K1169)</f>
        <v/>
      </c>
      <c r="U1169" s="35" t="str">
        <f aca="false">IF(N($P1169)&lt;=0,"",COUNTIF($P$6:$P1169,"&gt;0"))</f>
        <v/>
      </c>
    </row>
    <row r="1170" customFormat="false" ht="15" hidden="false" customHeight="false" outlineLevel="0" collapsed="false">
      <c r="A1170" s="40" t="str">
        <f aca="false">IF(INDEX(BookTitle,1165)="","",INDEX(BookGroup,1165))</f>
        <v/>
      </c>
      <c r="B1170" s="40" t="str">
        <f aca="false">IF(INDEX(BookTitle,1165)="","",INDEX(BookRef,1165))</f>
        <v/>
      </c>
      <c r="C1170" s="40" t="str">
        <f aca="false">IF(INDEX(BookTitle,1165)="","",INDEX(BookDivision,1165))</f>
        <v/>
      </c>
      <c r="D1170" s="40" t="str">
        <f aca="false">IF(INDEX(BookTitle,1165)="","",INDEX(BookUnit,1165))</f>
        <v/>
      </c>
      <c r="E1170" s="40" t="str">
        <f aca="false">IF(INDEX(BookTitle,1165)="","",INDEX(BookTitle,1165))</f>
        <v/>
      </c>
      <c r="F1170" s="40" t="str">
        <f aca="false">IF(INDEX(BookTitle,1165)="","",INDEX(BookLevel,1165))</f>
        <v/>
      </c>
      <c r="G1170" s="40" t="str">
        <f aca="false">IF(INDEX(BookTitle,1165)="","",INDEX(BookCategory,1165))</f>
        <v/>
      </c>
      <c r="H1170" s="40" t="str">
        <f aca="false">IF(INDEX(BookTitle,1165)="","",INDEX(BookRank,1165))</f>
        <v/>
      </c>
      <c r="I1170" s="41" t="str">
        <f aca="false">IF(INDEX(BookTitle,1165)="","",INDEX(BookTotal,1165))</f>
        <v/>
      </c>
      <c r="J1170" s="0" t="str">
        <f aca="false">IF($I1170="","",IF(INDEX(BookQ1,1165)&gt;0,"Q1",IF(INDEX(BookQ2,1165)&gt;0,"Q2",IF(INDEX(BookQ3,1165)&gt;0,"Q3",IF(INDEX(BookQ4,1165)&gt;0,"Q4","")))))</f>
        <v/>
      </c>
      <c r="K1170" s="42" t="str">
        <f aca="false">IF(INDEX(BookTitle,1165)="","",INDEX(BookInYear,1165))</f>
        <v/>
      </c>
      <c r="L1170" s="19"/>
      <c r="M1170" s="39"/>
      <c r="N1170" s="19"/>
      <c r="O1170" s="19"/>
      <c r="P1170" s="43" t="str">
        <f aca="false">IF($E1170="","",IF($L1170="Decline",0,IF($L1170="Approve fewer",IF($M1170="","",$M1170),IF($L1170="","",$I1170))))</f>
        <v/>
      </c>
      <c r="Q1170" s="34" t="str">
        <f aca="false">IF($P1170="","",IF($N1170&lt;&gt;"",$N1170,$J1170))</f>
        <v/>
      </c>
      <c r="R1170" s="35" t="str">
        <f aca="false">IF(OR($P1170="",$Q1170=""),"",INDEX(BookRate,1165)*$P1170*(5-MATCH($Q1170,{"Q1";"Q2";"Q3";"Q4"},0))/4+INDEX(BookOneOff,1165)*$P1170)</f>
        <v/>
      </c>
      <c r="S1170" s="35" t="str">
        <f aca="false">IF($P1170="","",INDEX(BookRate,1165)*$P1170)</f>
        <v/>
      </c>
      <c r="T1170" s="35" t="str">
        <f aca="false">IF($R1170="","",$R1170-$K1170)</f>
        <v/>
      </c>
      <c r="U1170" s="35" t="str">
        <f aca="false">IF(N($P1170)&lt;=0,"",COUNTIF($P$6:$P1170,"&gt;0"))</f>
        <v/>
      </c>
    </row>
    <row r="1171" customFormat="false" ht="15" hidden="false" customHeight="false" outlineLevel="0" collapsed="false">
      <c r="A1171" s="40" t="str">
        <f aca="false">IF(INDEX(BookTitle,1166)="","",INDEX(BookGroup,1166))</f>
        <v/>
      </c>
      <c r="B1171" s="40" t="str">
        <f aca="false">IF(INDEX(BookTitle,1166)="","",INDEX(BookRef,1166))</f>
        <v/>
      </c>
      <c r="C1171" s="40" t="str">
        <f aca="false">IF(INDEX(BookTitle,1166)="","",INDEX(BookDivision,1166))</f>
        <v/>
      </c>
      <c r="D1171" s="40" t="str">
        <f aca="false">IF(INDEX(BookTitle,1166)="","",INDEX(BookUnit,1166))</f>
        <v/>
      </c>
      <c r="E1171" s="40" t="str">
        <f aca="false">IF(INDEX(BookTitle,1166)="","",INDEX(BookTitle,1166))</f>
        <v/>
      </c>
      <c r="F1171" s="40" t="str">
        <f aca="false">IF(INDEX(BookTitle,1166)="","",INDEX(BookLevel,1166))</f>
        <v/>
      </c>
      <c r="G1171" s="40" t="str">
        <f aca="false">IF(INDEX(BookTitle,1166)="","",INDEX(BookCategory,1166))</f>
        <v/>
      </c>
      <c r="H1171" s="40" t="str">
        <f aca="false">IF(INDEX(BookTitle,1166)="","",INDEX(BookRank,1166))</f>
        <v/>
      </c>
      <c r="I1171" s="41" t="str">
        <f aca="false">IF(INDEX(BookTitle,1166)="","",INDEX(BookTotal,1166))</f>
        <v/>
      </c>
      <c r="J1171" s="0" t="str">
        <f aca="false">IF($I1171="","",IF(INDEX(BookQ1,1166)&gt;0,"Q1",IF(INDEX(BookQ2,1166)&gt;0,"Q2",IF(INDEX(BookQ3,1166)&gt;0,"Q3",IF(INDEX(BookQ4,1166)&gt;0,"Q4","")))))</f>
        <v/>
      </c>
      <c r="K1171" s="42" t="str">
        <f aca="false">IF(INDEX(BookTitle,1166)="","",INDEX(BookInYear,1166))</f>
        <v/>
      </c>
      <c r="L1171" s="19"/>
      <c r="M1171" s="39"/>
      <c r="N1171" s="19"/>
      <c r="O1171" s="19"/>
      <c r="P1171" s="43" t="str">
        <f aca="false">IF($E1171="","",IF($L1171="Decline",0,IF($L1171="Approve fewer",IF($M1171="","",$M1171),IF($L1171="","",$I1171))))</f>
        <v/>
      </c>
      <c r="Q1171" s="34" t="str">
        <f aca="false">IF($P1171="","",IF($N1171&lt;&gt;"",$N1171,$J1171))</f>
        <v/>
      </c>
      <c r="R1171" s="35" t="str">
        <f aca="false">IF(OR($P1171="",$Q1171=""),"",INDEX(BookRate,1166)*$P1171*(5-MATCH($Q1171,{"Q1";"Q2";"Q3";"Q4"},0))/4+INDEX(BookOneOff,1166)*$P1171)</f>
        <v/>
      </c>
      <c r="S1171" s="35" t="str">
        <f aca="false">IF($P1171="","",INDEX(BookRate,1166)*$P1171)</f>
        <v/>
      </c>
      <c r="T1171" s="35" t="str">
        <f aca="false">IF($R1171="","",$R1171-$K1171)</f>
        <v/>
      </c>
      <c r="U1171" s="35" t="str">
        <f aca="false">IF(N($P1171)&lt;=0,"",COUNTIF($P$6:$P1171,"&gt;0"))</f>
        <v/>
      </c>
    </row>
    <row r="1172" customFormat="false" ht="15" hidden="false" customHeight="false" outlineLevel="0" collapsed="false">
      <c r="A1172" s="40" t="str">
        <f aca="false">IF(INDEX(BookTitle,1167)="","",INDEX(BookGroup,1167))</f>
        <v/>
      </c>
      <c r="B1172" s="40" t="str">
        <f aca="false">IF(INDEX(BookTitle,1167)="","",INDEX(BookRef,1167))</f>
        <v/>
      </c>
      <c r="C1172" s="40" t="str">
        <f aca="false">IF(INDEX(BookTitle,1167)="","",INDEX(BookDivision,1167))</f>
        <v/>
      </c>
      <c r="D1172" s="40" t="str">
        <f aca="false">IF(INDEX(BookTitle,1167)="","",INDEX(BookUnit,1167))</f>
        <v/>
      </c>
      <c r="E1172" s="40" t="str">
        <f aca="false">IF(INDEX(BookTitle,1167)="","",INDEX(BookTitle,1167))</f>
        <v/>
      </c>
      <c r="F1172" s="40" t="str">
        <f aca="false">IF(INDEX(BookTitle,1167)="","",INDEX(BookLevel,1167))</f>
        <v/>
      </c>
      <c r="G1172" s="40" t="str">
        <f aca="false">IF(INDEX(BookTitle,1167)="","",INDEX(BookCategory,1167))</f>
        <v/>
      </c>
      <c r="H1172" s="40" t="str">
        <f aca="false">IF(INDEX(BookTitle,1167)="","",INDEX(BookRank,1167))</f>
        <v/>
      </c>
      <c r="I1172" s="41" t="str">
        <f aca="false">IF(INDEX(BookTitle,1167)="","",INDEX(BookTotal,1167))</f>
        <v/>
      </c>
      <c r="J1172" s="0" t="str">
        <f aca="false">IF($I1172="","",IF(INDEX(BookQ1,1167)&gt;0,"Q1",IF(INDEX(BookQ2,1167)&gt;0,"Q2",IF(INDEX(BookQ3,1167)&gt;0,"Q3",IF(INDEX(BookQ4,1167)&gt;0,"Q4","")))))</f>
        <v/>
      </c>
      <c r="K1172" s="42" t="str">
        <f aca="false">IF(INDEX(BookTitle,1167)="","",INDEX(BookInYear,1167))</f>
        <v/>
      </c>
      <c r="L1172" s="19"/>
      <c r="M1172" s="39"/>
      <c r="N1172" s="19"/>
      <c r="O1172" s="19"/>
      <c r="P1172" s="43" t="str">
        <f aca="false">IF($E1172="","",IF($L1172="Decline",0,IF($L1172="Approve fewer",IF($M1172="","",$M1172),IF($L1172="","",$I1172))))</f>
        <v/>
      </c>
      <c r="Q1172" s="34" t="str">
        <f aca="false">IF($P1172="","",IF($N1172&lt;&gt;"",$N1172,$J1172))</f>
        <v/>
      </c>
      <c r="R1172" s="35" t="str">
        <f aca="false">IF(OR($P1172="",$Q1172=""),"",INDEX(BookRate,1167)*$P1172*(5-MATCH($Q1172,{"Q1";"Q2";"Q3";"Q4"},0))/4+INDEX(BookOneOff,1167)*$P1172)</f>
        <v/>
      </c>
      <c r="S1172" s="35" t="str">
        <f aca="false">IF($P1172="","",INDEX(BookRate,1167)*$P1172)</f>
        <v/>
      </c>
      <c r="T1172" s="35" t="str">
        <f aca="false">IF($R1172="","",$R1172-$K1172)</f>
        <v/>
      </c>
      <c r="U1172" s="35" t="str">
        <f aca="false">IF(N($P1172)&lt;=0,"",COUNTIF($P$6:$P1172,"&gt;0"))</f>
        <v/>
      </c>
    </row>
    <row r="1173" customFormat="false" ht="15" hidden="false" customHeight="false" outlineLevel="0" collapsed="false">
      <c r="A1173" s="40" t="str">
        <f aca="false">IF(INDEX(BookTitle,1168)="","",INDEX(BookGroup,1168))</f>
        <v/>
      </c>
      <c r="B1173" s="40" t="str">
        <f aca="false">IF(INDEX(BookTitle,1168)="","",INDEX(BookRef,1168))</f>
        <v/>
      </c>
      <c r="C1173" s="40" t="str">
        <f aca="false">IF(INDEX(BookTitle,1168)="","",INDEX(BookDivision,1168))</f>
        <v/>
      </c>
      <c r="D1173" s="40" t="str">
        <f aca="false">IF(INDEX(BookTitle,1168)="","",INDEX(BookUnit,1168))</f>
        <v/>
      </c>
      <c r="E1173" s="40" t="str">
        <f aca="false">IF(INDEX(BookTitle,1168)="","",INDEX(BookTitle,1168))</f>
        <v/>
      </c>
      <c r="F1173" s="40" t="str">
        <f aca="false">IF(INDEX(BookTitle,1168)="","",INDEX(BookLevel,1168))</f>
        <v/>
      </c>
      <c r="G1173" s="40" t="str">
        <f aca="false">IF(INDEX(BookTitle,1168)="","",INDEX(BookCategory,1168))</f>
        <v/>
      </c>
      <c r="H1173" s="40" t="str">
        <f aca="false">IF(INDEX(BookTitle,1168)="","",INDEX(BookRank,1168))</f>
        <v/>
      </c>
      <c r="I1173" s="41" t="str">
        <f aca="false">IF(INDEX(BookTitle,1168)="","",INDEX(BookTotal,1168))</f>
        <v/>
      </c>
      <c r="J1173" s="0" t="str">
        <f aca="false">IF($I1173="","",IF(INDEX(BookQ1,1168)&gt;0,"Q1",IF(INDEX(BookQ2,1168)&gt;0,"Q2",IF(INDEX(BookQ3,1168)&gt;0,"Q3",IF(INDEX(BookQ4,1168)&gt;0,"Q4","")))))</f>
        <v/>
      </c>
      <c r="K1173" s="42" t="str">
        <f aca="false">IF(INDEX(BookTitle,1168)="","",INDEX(BookInYear,1168))</f>
        <v/>
      </c>
      <c r="L1173" s="19"/>
      <c r="M1173" s="39"/>
      <c r="N1173" s="19"/>
      <c r="O1173" s="19"/>
      <c r="P1173" s="43" t="str">
        <f aca="false">IF($E1173="","",IF($L1173="Decline",0,IF($L1173="Approve fewer",IF($M1173="","",$M1173),IF($L1173="","",$I1173))))</f>
        <v/>
      </c>
      <c r="Q1173" s="34" t="str">
        <f aca="false">IF($P1173="","",IF($N1173&lt;&gt;"",$N1173,$J1173))</f>
        <v/>
      </c>
      <c r="R1173" s="35" t="str">
        <f aca="false">IF(OR($P1173="",$Q1173=""),"",INDEX(BookRate,1168)*$P1173*(5-MATCH($Q1173,{"Q1";"Q2";"Q3";"Q4"},0))/4+INDEX(BookOneOff,1168)*$P1173)</f>
        <v/>
      </c>
      <c r="S1173" s="35" t="str">
        <f aca="false">IF($P1173="","",INDEX(BookRate,1168)*$P1173)</f>
        <v/>
      </c>
      <c r="T1173" s="35" t="str">
        <f aca="false">IF($R1173="","",$R1173-$K1173)</f>
        <v/>
      </c>
      <c r="U1173" s="35" t="str">
        <f aca="false">IF(N($P1173)&lt;=0,"",COUNTIF($P$6:$P1173,"&gt;0"))</f>
        <v/>
      </c>
    </row>
    <row r="1174" customFormat="false" ht="15" hidden="false" customHeight="false" outlineLevel="0" collapsed="false">
      <c r="A1174" s="40" t="str">
        <f aca="false">IF(INDEX(BookTitle,1169)="","",INDEX(BookGroup,1169))</f>
        <v/>
      </c>
      <c r="B1174" s="40" t="str">
        <f aca="false">IF(INDEX(BookTitle,1169)="","",INDEX(BookRef,1169))</f>
        <v/>
      </c>
      <c r="C1174" s="40" t="str">
        <f aca="false">IF(INDEX(BookTitle,1169)="","",INDEX(BookDivision,1169))</f>
        <v/>
      </c>
      <c r="D1174" s="40" t="str">
        <f aca="false">IF(INDEX(BookTitle,1169)="","",INDEX(BookUnit,1169))</f>
        <v/>
      </c>
      <c r="E1174" s="40" t="str">
        <f aca="false">IF(INDEX(BookTitle,1169)="","",INDEX(BookTitle,1169))</f>
        <v/>
      </c>
      <c r="F1174" s="40" t="str">
        <f aca="false">IF(INDEX(BookTitle,1169)="","",INDEX(BookLevel,1169))</f>
        <v/>
      </c>
      <c r="G1174" s="40" t="str">
        <f aca="false">IF(INDEX(BookTitle,1169)="","",INDEX(BookCategory,1169))</f>
        <v/>
      </c>
      <c r="H1174" s="40" t="str">
        <f aca="false">IF(INDEX(BookTitle,1169)="","",INDEX(BookRank,1169))</f>
        <v/>
      </c>
      <c r="I1174" s="41" t="str">
        <f aca="false">IF(INDEX(BookTitle,1169)="","",INDEX(BookTotal,1169))</f>
        <v/>
      </c>
      <c r="J1174" s="0" t="str">
        <f aca="false">IF($I1174="","",IF(INDEX(BookQ1,1169)&gt;0,"Q1",IF(INDEX(BookQ2,1169)&gt;0,"Q2",IF(INDEX(BookQ3,1169)&gt;0,"Q3",IF(INDEX(BookQ4,1169)&gt;0,"Q4","")))))</f>
        <v/>
      </c>
      <c r="K1174" s="42" t="str">
        <f aca="false">IF(INDEX(BookTitle,1169)="","",INDEX(BookInYear,1169))</f>
        <v/>
      </c>
      <c r="L1174" s="19"/>
      <c r="M1174" s="39"/>
      <c r="N1174" s="19"/>
      <c r="O1174" s="19"/>
      <c r="P1174" s="43" t="str">
        <f aca="false">IF($E1174="","",IF($L1174="Decline",0,IF($L1174="Approve fewer",IF($M1174="","",$M1174),IF($L1174="","",$I1174))))</f>
        <v/>
      </c>
      <c r="Q1174" s="34" t="str">
        <f aca="false">IF($P1174="","",IF($N1174&lt;&gt;"",$N1174,$J1174))</f>
        <v/>
      </c>
      <c r="R1174" s="35" t="str">
        <f aca="false">IF(OR($P1174="",$Q1174=""),"",INDEX(BookRate,1169)*$P1174*(5-MATCH($Q1174,{"Q1";"Q2";"Q3";"Q4"},0))/4+INDEX(BookOneOff,1169)*$P1174)</f>
        <v/>
      </c>
      <c r="S1174" s="35" t="str">
        <f aca="false">IF($P1174="","",INDEX(BookRate,1169)*$P1174)</f>
        <v/>
      </c>
      <c r="T1174" s="35" t="str">
        <f aca="false">IF($R1174="","",$R1174-$K1174)</f>
        <v/>
      </c>
      <c r="U1174" s="35" t="str">
        <f aca="false">IF(N($P1174)&lt;=0,"",COUNTIF($P$6:$P1174,"&gt;0"))</f>
        <v/>
      </c>
    </row>
    <row r="1175" customFormat="false" ht="15" hidden="false" customHeight="false" outlineLevel="0" collapsed="false">
      <c r="A1175" s="40" t="str">
        <f aca="false">IF(INDEX(BookTitle,1170)="","",INDEX(BookGroup,1170))</f>
        <v/>
      </c>
      <c r="B1175" s="40" t="str">
        <f aca="false">IF(INDEX(BookTitle,1170)="","",INDEX(BookRef,1170))</f>
        <v/>
      </c>
      <c r="C1175" s="40" t="str">
        <f aca="false">IF(INDEX(BookTitle,1170)="","",INDEX(BookDivision,1170))</f>
        <v/>
      </c>
      <c r="D1175" s="40" t="str">
        <f aca="false">IF(INDEX(BookTitle,1170)="","",INDEX(BookUnit,1170))</f>
        <v/>
      </c>
      <c r="E1175" s="40" t="str">
        <f aca="false">IF(INDEX(BookTitle,1170)="","",INDEX(BookTitle,1170))</f>
        <v/>
      </c>
      <c r="F1175" s="40" t="str">
        <f aca="false">IF(INDEX(BookTitle,1170)="","",INDEX(BookLevel,1170))</f>
        <v/>
      </c>
      <c r="G1175" s="40" t="str">
        <f aca="false">IF(INDEX(BookTitle,1170)="","",INDEX(BookCategory,1170))</f>
        <v/>
      </c>
      <c r="H1175" s="40" t="str">
        <f aca="false">IF(INDEX(BookTitle,1170)="","",INDEX(BookRank,1170))</f>
        <v/>
      </c>
      <c r="I1175" s="41" t="str">
        <f aca="false">IF(INDEX(BookTitle,1170)="","",INDEX(BookTotal,1170))</f>
        <v/>
      </c>
      <c r="J1175" s="0" t="str">
        <f aca="false">IF($I1175="","",IF(INDEX(BookQ1,1170)&gt;0,"Q1",IF(INDEX(BookQ2,1170)&gt;0,"Q2",IF(INDEX(BookQ3,1170)&gt;0,"Q3",IF(INDEX(BookQ4,1170)&gt;0,"Q4","")))))</f>
        <v/>
      </c>
      <c r="K1175" s="42" t="str">
        <f aca="false">IF(INDEX(BookTitle,1170)="","",INDEX(BookInYear,1170))</f>
        <v/>
      </c>
      <c r="L1175" s="19"/>
      <c r="M1175" s="39"/>
      <c r="N1175" s="19"/>
      <c r="O1175" s="19"/>
      <c r="P1175" s="43" t="str">
        <f aca="false">IF($E1175="","",IF($L1175="Decline",0,IF($L1175="Approve fewer",IF($M1175="","",$M1175),IF($L1175="","",$I1175))))</f>
        <v/>
      </c>
      <c r="Q1175" s="34" t="str">
        <f aca="false">IF($P1175="","",IF($N1175&lt;&gt;"",$N1175,$J1175))</f>
        <v/>
      </c>
      <c r="R1175" s="35" t="str">
        <f aca="false">IF(OR($P1175="",$Q1175=""),"",INDEX(BookRate,1170)*$P1175*(5-MATCH($Q1175,{"Q1";"Q2";"Q3";"Q4"},0))/4+INDEX(BookOneOff,1170)*$P1175)</f>
        <v/>
      </c>
      <c r="S1175" s="35" t="str">
        <f aca="false">IF($P1175="","",INDEX(BookRate,1170)*$P1175)</f>
        <v/>
      </c>
      <c r="T1175" s="35" t="str">
        <f aca="false">IF($R1175="","",$R1175-$K1175)</f>
        <v/>
      </c>
      <c r="U1175" s="35" t="str">
        <f aca="false">IF(N($P1175)&lt;=0,"",COUNTIF($P$6:$P1175,"&gt;0"))</f>
        <v/>
      </c>
    </row>
    <row r="1176" customFormat="false" ht="15" hidden="false" customHeight="false" outlineLevel="0" collapsed="false">
      <c r="A1176" s="40" t="str">
        <f aca="false">IF(INDEX(BookTitle,1171)="","",INDEX(BookGroup,1171))</f>
        <v/>
      </c>
      <c r="B1176" s="40" t="str">
        <f aca="false">IF(INDEX(BookTitle,1171)="","",INDEX(BookRef,1171))</f>
        <v/>
      </c>
      <c r="C1176" s="40" t="str">
        <f aca="false">IF(INDEX(BookTitle,1171)="","",INDEX(BookDivision,1171))</f>
        <v/>
      </c>
      <c r="D1176" s="40" t="str">
        <f aca="false">IF(INDEX(BookTitle,1171)="","",INDEX(BookUnit,1171))</f>
        <v/>
      </c>
      <c r="E1176" s="40" t="str">
        <f aca="false">IF(INDEX(BookTitle,1171)="","",INDEX(BookTitle,1171))</f>
        <v/>
      </c>
      <c r="F1176" s="40" t="str">
        <f aca="false">IF(INDEX(BookTitle,1171)="","",INDEX(BookLevel,1171))</f>
        <v/>
      </c>
      <c r="G1176" s="40" t="str">
        <f aca="false">IF(INDEX(BookTitle,1171)="","",INDEX(BookCategory,1171))</f>
        <v/>
      </c>
      <c r="H1176" s="40" t="str">
        <f aca="false">IF(INDEX(BookTitle,1171)="","",INDEX(BookRank,1171))</f>
        <v/>
      </c>
      <c r="I1176" s="41" t="str">
        <f aca="false">IF(INDEX(BookTitle,1171)="","",INDEX(BookTotal,1171))</f>
        <v/>
      </c>
      <c r="J1176" s="0" t="str">
        <f aca="false">IF($I1176="","",IF(INDEX(BookQ1,1171)&gt;0,"Q1",IF(INDEX(BookQ2,1171)&gt;0,"Q2",IF(INDEX(BookQ3,1171)&gt;0,"Q3",IF(INDEX(BookQ4,1171)&gt;0,"Q4","")))))</f>
        <v/>
      </c>
      <c r="K1176" s="42" t="str">
        <f aca="false">IF(INDEX(BookTitle,1171)="","",INDEX(BookInYear,1171))</f>
        <v/>
      </c>
      <c r="L1176" s="19"/>
      <c r="M1176" s="39"/>
      <c r="N1176" s="19"/>
      <c r="O1176" s="19"/>
      <c r="P1176" s="43" t="str">
        <f aca="false">IF($E1176="","",IF($L1176="Decline",0,IF($L1176="Approve fewer",IF($M1176="","",$M1176),IF($L1176="","",$I1176))))</f>
        <v/>
      </c>
      <c r="Q1176" s="34" t="str">
        <f aca="false">IF($P1176="","",IF($N1176&lt;&gt;"",$N1176,$J1176))</f>
        <v/>
      </c>
      <c r="R1176" s="35" t="str">
        <f aca="false">IF(OR($P1176="",$Q1176=""),"",INDEX(BookRate,1171)*$P1176*(5-MATCH($Q1176,{"Q1";"Q2";"Q3";"Q4"},0))/4+INDEX(BookOneOff,1171)*$P1176)</f>
        <v/>
      </c>
      <c r="S1176" s="35" t="str">
        <f aca="false">IF($P1176="","",INDEX(BookRate,1171)*$P1176)</f>
        <v/>
      </c>
      <c r="T1176" s="35" t="str">
        <f aca="false">IF($R1176="","",$R1176-$K1176)</f>
        <v/>
      </c>
      <c r="U1176" s="35" t="str">
        <f aca="false">IF(N($P1176)&lt;=0,"",COUNTIF($P$6:$P1176,"&gt;0"))</f>
        <v/>
      </c>
    </row>
    <row r="1177" customFormat="false" ht="15" hidden="false" customHeight="false" outlineLevel="0" collapsed="false">
      <c r="A1177" s="40" t="str">
        <f aca="false">IF(INDEX(BookTitle,1172)="","",INDEX(BookGroup,1172))</f>
        <v/>
      </c>
      <c r="B1177" s="40" t="str">
        <f aca="false">IF(INDEX(BookTitle,1172)="","",INDEX(BookRef,1172))</f>
        <v/>
      </c>
      <c r="C1177" s="40" t="str">
        <f aca="false">IF(INDEX(BookTitle,1172)="","",INDEX(BookDivision,1172))</f>
        <v/>
      </c>
      <c r="D1177" s="40" t="str">
        <f aca="false">IF(INDEX(BookTitle,1172)="","",INDEX(BookUnit,1172))</f>
        <v/>
      </c>
      <c r="E1177" s="40" t="str">
        <f aca="false">IF(INDEX(BookTitle,1172)="","",INDEX(BookTitle,1172))</f>
        <v/>
      </c>
      <c r="F1177" s="40" t="str">
        <f aca="false">IF(INDEX(BookTitle,1172)="","",INDEX(BookLevel,1172))</f>
        <v/>
      </c>
      <c r="G1177" s="40" t="str">
        <f aca="false">IF(INDEX(BookTitle,1172)="","",INDEX(BookCategory,1172))</f>
        <v/>
      </c>
      <c r="H1177" s="40" t="str">
        <f aca="false">IF(INDEX(BookTitle,1172)="","",INDEX(BookRank,1172))</f>
        <v/>
      </c>
      <c r="I1177" s="41" t="str">
        <f aca="false">IF(INDEX(BookTitle,1172)="","",INDEX(BookTotal,1172))</f>
        <v/>
      </c>
      <c r="J1177" s="0" t="str">
        <f aca="false">IF($I1177="","",IF(INDEX(BookQ1,1172)&gt;0,"Q1",IF(INDEX(BookQ2,1172)&gt;0,"Q2",IF(INDEX(BookQ3,1172)&gt;0,"Q3",IF(INDEX(BookQ4,1172)&gt;0,"Q4","")))))</f>
        <v/>
      </c>
      <c r="K1177" s="42" t="str">
        <f aca="false">IF(INDEX(BookTitle,1172)="","",INDEX(BookInYear,1172))</f>
        <v/>
      </c>
      <c r="L1177" s="19"/>
      <c r="M1177" s="39"/>
      <c r="N1177" s="19"/>
      <c r="O1177" s="19"/>
      <c r="P1177" s="43" t="str">
        <f aca="false">IF($E1177="","",IF($L1177="Decline",0,IF($L1177="Approve fewer",IF($M1177="","",$M1177),IF($L1177="","",$I1177))))</f>
        <v/>
      </c>
      <c r="Q1177" s="34" t="str">
        <f aca="false">IF($P1177="","",IF($N1177&lt;&gt;"",$N1177,$J1177))</f>
        <v/>
      </c>
      <c r="R1177" s="35" t="str">
        <f aca="false">IF(OR($P1177="",$Q1177=""),"",INDEX(BookRate,1172)*$P1177*(5-MATCH($Q1177,{"Q1";"Q2";"Q3";"Q4"},0))/4+INDEX(BookOneOff,1172)*$P1177)</f>
        <v/>
      </c>
      <c r="S1177" s="35" t="str">
        <f aca="false">IF($P1177="","",INDEX(BookRate,1172)*$P1177)</f>
        <v/>
      </c>
      <c r="T1177" s="35" t="str">
        <f aca="false">IF($R1177="","",$R1177-$K1177)</f>
        <v/>
      </c>
      <c r="U1177" s="35" t="str">
        <f aca="false">IF(N($P1177)&lt;=0,"",COUNTIF($P$6:$P1177,"&gt;0"))</f>
        <v/>
      </c>
    </row>
    <row r="1178" customFormat="false" ht="15" hidden="false" customHeight="false" outlineLevel="0" collapsed="false">
      <c r="A1178" s="40" t="str">
        <f aca="false">IF(INDEX(BookTitle,1173)="","",INDEX(BookGroup,1173))</f>
        <v/>
      </c>
      <c r="B1178" s="40" t="str">
        <f aca="false">IF(INDEX(BookTitle,1173)="","",INDEX(BookRef,1173))</f>
        <v/>
      </c>
      <c r="C1178" s="40" t="str">
        <f aca="false">IF(INDEX(BookTitle,1173)="","",INDEX(BookDivision,1173))</f>
        <v/>
      </c>
      <c r="D1178" s="40" t="str">
        <f aca="false">IF(INDEX(BookTitle,1173)="","",INDEX(BookUnit,1173))</f>
        <v/>
      </c>
      <c r="E1178" s="40" t="str">
        <f aca="false">IF(INDEX(BookTitle,1173)="","",INDEX(BookTitle,1173))</f>
        <v/>
      </c>
      <c r="F1178" s="40" t="str">
        <f aca="false">IF(INDEX(BookTitle,1173)="","",INDEX(BookLevel,1173))</f>
        <v/>
      </c>
      <c r="G1178" s="40" t="str">
        <f aca="false">IF(INDEX(BookTitle,1173)="","",INDEX(BookCategory,1173))</f>
        <v/>
      </c>
      <c r="H1178" s="40" t="str">
        <f aca="false">IF(INDEX(BookTitle,1173)="","",INDEX(BookRank,1173))</f>
        <v/>
      </c>
      <c r="I1178" s="41" t="str">
        <f aca="false">IF(INDEX(BookTitle,1173)="","",INDEX(BookTotal,1173))</f>
        <v/>
      </c>
      <c r="J1178" s="0" t="str">
        <f aca="false">IF($I1178="","",IF(INDEX(BookQ1,1173)&gt;0,"Q1",IF(INDEX(BookQ2,1173)&gt;0,"Q2",IF(INDEX(BookQ3,1173)&gt;0,"Q3",IF(INDEX(BookQ4,1173)&gt;0,"Q4","")))))</f>
        <v/>
      </c>
      <c r="K1178" s="42" t="str">
        <f aca="false">IF(INDEX(BookTitle,1173)="","",INDEX(BookInYear,1173))</f>
        <v/>
      </c>
      <c r="L1178" s="19"/>
      <c r="M1178" s="39"/>
      <c r="N1178" s="19"/>
      <c r="O1178" s="19"/>
      <c r="P1178" s="43" t="str">
        <f aca="false">IF($E1178="","",IF($L1178="Decline",0,IF($L1178="Approve fewer",IF($M1178="","",$M1178),IF($L1178="","",$I1178))))</f>
        <v/>
      </c>
      <c r="Q1178" s="34" t="str">
        <f aca="false">IF($P1178="","",IF($N1178&lt;&gt;"",$N1178,$J1178))</f>
        <v/>
      </c>
      <c r="R1178" s="35" t="str">
        <f aca="false">IF(OR($P1178="",$Q1178=""),"",INDEX(BookRate,1173)*$P1178*(5-MATCH($Q1178,{"Q1";"Q2";"Q3";"Q4"},0))/4+INDEX(BookOneOff,1173)*$P1178)</f>
        <v/>
      </c>
      <c r="S1178" s="35" t="str">
        <f aca="false">IF($P1178="","",INDEX(BookRate,1173)*$P1178)</f>
        <v/>
      </c>
      <c r="T1178" s="35" t="str">
        <f aca="false">IF($R1178="","",$R1178-$K1178)</f>
        <v/>
      </c>
      <c r="U1178" s="35" t="str">
        <f aca="false">IF(N($P1178)&lt;=0,"",COUNTIF($P$6:$P1178,"&gt;0"))</f>
        <v/>
      </c>
    </row>
    <row r="1179" customFormat="false" ht="15" hidden="false" customHeight="false" outlineLevel="0" collapsed="false">
      <c r="A1179" s="40" t="str">
        <f aca="false">IF(INDEX(BookTitle,1174)="","",INDEX(BookGroup,1174))</f>
        <v/>
      </c>
      <c r="B1179" s="40" t="str">
        <f aca="false">IF(INDEX(BookTitle,1174)="","",INDEX(BookRef,1174))</f>
        <v/>
      </c>
      <c r="C1179" s="40" t="str">
        <f aca="false">IF(INDEX(BookTitle,1174)="","",INDEX(BookDivision,1174))</f>
        <v/>
      </c>
      <c r="D1179" s="40" t="str">
        <f aca="false">IF(INDEX(BookTitle,1174)="","",INDEX(BookUnit,1174))</f>
        <v/>
      </c>
      <c r="E1179" s="40" t="str">
        <f aca="false">IF(INDEX(BookTitle,1174)="","",INDEX(BookTitle,1174))</f>
        <v/>
      </c>
      <c r="F1179" s="40" t="str">
        <f aca="false">IF(INDEX(BookTitle,1174)="","",INDEX(BookLevel,1174))</f>
        <v/>
      </c>
      <c r="G1179" s="40" t="str">
        <f aca="false">IF(INDEX(BookTitle,1174)="","",INDEX(BookCategory,1174))</f>
        <v/>
      </c>
      <c r="H1179" s="40" t="str">
        <f aca="false">IF(INDEX(BookTitle,1174)="","",INDEX(BookRank,1174))</f>
        <v/>
      </c>
      <c r="I1179" s="41" t="str">
        <f aca="false">IF(INDEX(BookTitle,1174)="","",INDEX(BookTotal,1174))</f>
        <v/>
      </c>
      <c r="J1179" s="0" t="str">
        <f aca="false">IF($I1179="","",IF(INDEX(BookQ1,1174)&gt;0,"Q1",IF(INDEX(BookQ2,1174)&gt;0,"Q2",IF(INDEX(BookQ3,1174)&gt;0,"Q3",IF(INDEX(BookQ4,1174)&gt;0,"Q4","")))))</f>
        <v/>
      </c>
      <c r="K1179" s="42" t="str">
        <f aca="false">IF(INDEX(BookTitle,1174)="","",INDEX(BookInYear,1174))</f>
        <v/>
      </c>
      <c r="L1179" s="19"/>
      <c r="M1179" s="39"/>
      <c r="N1179" s="19"/>
      <c r="O1179" s="19"/>
      <c r="P1179" s="43" t="str">
        <f aca="false">IF($E1179="","",IF($L1179="Decline",0,IF($L1179="Approve fewer",IF($M1179="","",$M1179),IF($L1179="","",$I1179))))</f>
        <v/>
      </c>
      <c r="Q1179" s="34" t="str">
        <f aca="false">IF($P1179="","",IF($N1179&lt;&gt;"",$N1179,$J1179))</f>
        <v/>
      </c>
      <c r="R1179" s="35" t="str">
        <f aca="false">IF(OR($P1179="",$Q1179=""),"",INDEX(BookRate,1174)*$P1179*(5-MATCH($Q1179,{"Q1";"Q2";"Q3";"Q4"},0))/4+INDEX(BookOneOff,1174)*$P1179)</f>
        <v/>
      </c>
      <c r="S1179" s="35" t="str">
        <f aca="false">IF($P1179="","",INDEX(BookRate,1174)*$P1179)</f>
        <v/>
      </c>
      <c r="T1179" s="35" t="str">
        <f aca="false">IF($R1179="","",$R1179-$K1179)</f>
        <v/>
      </c>
      <c r="U1179" s="35" t="str">
        <f aca="false">IF(N($P1179)&lt;=0,"",COUNTIF($P$6:$P1179,"&gt;0"))</f>
        <v/>
      </c>
    </row>
    <row r="1180" customFormat="false" ht="15" hidden="false" customHeight="false" outlineLevel="0" collapsed="false">
      <c r="A1180" s="40" t="str">
        <f aca="false">IF(INDEX(BookTitle,1175)="","",INDEX(BookGroup,1175))</f>
        <v/>
      </c>
      <c r="B1180" s="40" t="str">
        <f aca="false">IF(INDEX(BookTitle,1175)="","",INDEX(BookRef,1175))</f>
        <v/>
      </c>
      <c r="C1180" s="40" t="str">
        <f aca="false">IF(INDEX(BookTitle,1175)="","",INDEX(BookDivision,1175))</f>
        <v/>
      </c>
      <c r="D1180" s="40" t="str">
        <f aca="false">IF(INDEX(BookTitle,1175)="","",INDEX(BookUnit,1175))</f>
        <v/>
      </c>
      <c r="E1180" s="40" t="str">
        <f aca="false">IF(INDEX(BookTitle,1175)="","",INDEX(BookTitle,1175))</f>
        <v/>
      </c>
      <c r="F1180" s="40" t="str">
        <f aca="false">IF(INDEX(BookTitle,1175)="","",INDEX(BookLevel,1175))</f>
        <v/>
      </c>
      <c r="G1180" s="40" t="str">
        <f aca="false">IF(INDEX(BookTitle,1175)="","",INDEX(BookCategory,1175))</f>
        <v/>
      </c>
      <c r="H1180" s="40" t="str">
        <f aca="false">IF(INDEX(BookTitle,1175)="","",INDEX(BookRank,1175))</f>
        <v/>
      </c>
      <c r="I1180" s="41" t="str">
        <f aca="false">IF(INDEX(BookTitle,1175)="","",INDEX(BookTotal,1175))</f>
        <v/>
      </c>
      <c r="J1180" s="0" t="str">
        <f aca="false">IF($I1180="","",IF(INDEX(BookQ1,1175)&gt;0,"Q1",IF(INDEX(BookQ2,1175)&gt;0,"Q2",IF(INDEX(BookQ3,1175)&gt;0,"Q3",IF(INDEX(BookQ4,1175)&gt;0,"Q4","")))))</f>
        <v/>
      </c>
      <c r="K1180" s="42" t="str">
        <f aca="false">IF(INDEX(BookTitle,1175)="","",INDEX(BookInYear,1175))</f>
        <v/>
      </c>
      <c r="L1180" s="19"/>
      <c r="M1180" s="39"/>
      <c r="N1180" s="19"/>
      <c r="O1180" s="19"/>
      <c r="P1180" s="43" t="str">
        <f aca="false">IF($E1180="","",IF($L1180="Decline",0,IF($L1180="Approve fewer",IF($M1180="","",$M1180),IF($L1180="","",$I1180))))</f>
        <v/>
      </c>
      <c r="Q1180" s="34" t="str">
        <f aca="false">IF($P1180="","",IF($N1180&lt;&gt;"",$N1180,$J1180))</f>
        <v/>
      </c>
      <c r="R1180" s="35" t="str">
        <f aca="false">IF(OR($P1180="",$Q1180=""),"",INDEX(BookRate,1175)*$P1180*(5-MATCH($Q1180,{"Q1";"Q2";"Q3";"Q4"},0))/4+INDEX(BookOneOff,1175)*$P1180)</f>
        <v/>
      </c>
      <c r="S1180" s="35" t="str">
        <f aca="false">IF($P1180="","",INDEX(BookRate,1175)*$P1180)</f>
        <v/>
      </c>
      <c r="T1180" s="35" t="str">
        <f aca="false">IF($R1180="","",$R1180-$K1180)</f>
        <v/>
      </c>
      <c r="U1180" s="35" t="str">
        <f aca="false">IF(N($P1180)&lt;=0,"",COUNTIF($P$6:$P1180,"&gt;0"))</f>
        <v/>
      </c>
    </row>
    <row r="1181" customFormat="false" ht="15" hidden="false" customHeight="false" outlineLevel="0" collapsed="false">
      <c r="A1181" s="40" t="str">
        <f aca="false">IF(INDEX(BookTitle,1176)="","",INDEX(BookGroup,1176))</f>
        <v/>
      </c>
      <c r="B1181" s="40" t="str">
        <f aca="false">IF(INDEX(BookTitle,1176)="","",INDEX(BookRef,1176))</f>
        <v/>
      </c>
      <c r="C1181" s="40" t="str">
        <f aca="false">IF(INDEX(BookTitle,1176)="","",INDEX(BookDivision,1176))</f>
        <v/>
      </c>
      <c r="D1181" s="40" t="str">
        <f aca="false">IF(INDEX(BookTitle,1176)="","",INDEX(BookUnit,1176))</f>
        <v/>
      </c>
      <c r="E1181" s="40" t="str">
        <f aca="false">IF(INDEX(BookTitle,1176)="","",INDEX(BookTitle,1176))</f>
        <v/>
      </c>
      <c r="F1181" s="40" t="str">
        <f aca="false">IF(INDEX(BookTitle,1176)="","",INDEX(BookLevel,1176))</f>
        <v/>
      </c>
      <c r="G1181" s="40" t="str">
        <f aca="false">IF(INDEX(BookTitle,1176)="","",INDEX(BookCategory,1176))</f>
        <v/>
      </c>
      <c r="H1181" s="40" t="str">
        <f aca="false">IF(INDEX(BookTitle,1176)="","",INDEX(BookRank,1176))</f>
        <v/>
      </c>
      <c r="I1181" s="41" t="str">
        <f aca="false">IF(INDEX(BookTitle,1176)="","",INDEX(BookTotal,1176))</f>
        <v/>
      </c>
      <c r="J1181" s="0" t="str">
        <f aca="false">IF($I1181="","",IF(INDEX(BookQ1,1176)&gt;0,"Q1",IF(INDEX(BookQ2,1176)&gt;0,"Q2",IF(INDEX(BookQ3,1176)&gt;0,"Q3",IF(INDEX(BookQ4,1176)&gt;0,"Q4","")))))</f>
        <v/>
      </c>
      <c r="K1181" s="42" t="str">
        <f aca="false">IF(INDEX(BookTitle,1176)="","",INDEX(BookInYear,1176))</f>
        <v/>
      </c>
      <c r="L1181" s="19"/>
      <c r="M1181" s="39"/>
      <c r="N1181" s="19"/>
      <c r="O1181" s="19"/>
      <c r="P1181" s="43" t="str">
        <f aca="false">IF($E1181="","",IF($L1181="Decline",0,IF($L1181="Approve fewer",IF($M1181="","",$M1181),IF($L1181="","",$I1181))))</f>
        <v/>
      </c>
      <c r="Q1181" s="34" t="str">
        <f aca="false">IF($P1181="","",IF($N1181&lt;&gt;"",$N1181,$J1181))</f>
        <v/>
      </c>
      <c r="R1181" s="35" t="str">
        <f aca="false">IF(OR($P1181="",$Q1181=""),"",INDEX(BookRate,1176)*$P1181*(5-MATCH($Q1181,{"Q1";"Q2";"Q3";"Q4"},0))/4+INDEX(BookOneOff,1176)*$P1181)</f>
        <v/>
      </c>
      <c r="S1181" s="35" t="str">
        <f aca="false">IF($P1181="","",INDEX(BookRate,1176)*$P1181)</f>
        <v/>
      </c>
      <c r="T1181" s="35" t="str">
        <f aca="false">IF($R1181="","",$R1181-$K1181)</f>
        <v/>
      </c>
      <c r="U1181" s="35" t="str">
        <f aca="false">IF(N($P1181)&lt;=0,"",COUNTIF($P$6:$P1181,"&gt;0"))</f>
        <v/>
      </c>
    </row>
    <row r="1182" customFormat="false" ht="15" hidden="false" customHeight="false" outlineLevel="0" collapsed="false">
      <c r="A1182" s="40" t="str">
        <f aca="false">IF(INDEX(BookTitle,1177)="","",INDEX(BookGroup,1177))</f>
        <v/>
      </c>
      <c r="B1182" s="40" t="str">
        <f aca="false">IF(INDEX(BookTitle,1177)="","",INDEX(BookRef,1177))</f>
        <v/>
      </c>
      <c r="C1182" s="40" t="str">
        <f aca="false">IF(INDEX(BookTitle,1177)="","",INDEX(BookDivision,1177))</f>
        <v/>
      </c>
      <c r="D1182" s="40" t="str">
        <f aca="false">IF(INDEX(BookTitle,1177)="","",INDEX(BookUnit,1177))</f>
        <v/>
      </c>
      <c r="E1182" s="40" t="str">
        <f aca="false">IF(INDEX(BookTitle,1177)="","",INDEX(BookTitle,1177))</f>
        <v/>
      </c>
      <c r="F1182" s="40" t="str">
        <f aca="false">IF(INDEX(BookTitle,1177)="","",INDEX(BookLevel,1177))</f>
        <v/>
      </c>
      <c r="G1182" s="40" t="str">
        <f aca="false">IF(INDEX(BookTitle,1177)="","",INDEX(BookCategory,1177))</f>
        <v/>
      </c>
      <c r="H1182" s="40" t="str">
        <f aca="false">IF(INDEX(BookTitle,1177)="","",INDEX(BookRank,1177))</f>
        <v/>
      </c>
      <c r="I1182" s="41" t="str">
        <f aca="false">IF(INDEX(BookTitle,1177)="","",INDEX(BookTotal,1177))</f>
        <v/>
      </c>
      <c r="J1182" s="0" t="str">
        <f aca="false">IF($I1182="","",IF(INDEX(BookQ1,1177)&gt;0,"Q1",IF(INDEX(BookQ2,1177)&gt;0,"Q2",IF(INDEX(BookQ3,1177)&gt;0,"Q3",IF(INDEX(BookQ4,1177)&gt;0,"Q4","")))))</f>
        <v/>
      </c>
      <c r="K1182" s="42" t="str">
        <f aca="false">IF(INDEX(BookTitle,1177)="","",INDEX(BookInYear,1177))</f>
        <v/>
      </c>
      <c r="L1182" s="19"/>
      <c r="M1182" s="39"/>
      <c r="N1182" s="19"/>
      <c r="O1182" s="19"/>
      <c r="P1182" s="43" t="str">
        <f aca="false">IF($E1182="","",IF($L1182="Decline",0,IF($L1182="Approve fewer",IF($M1182="","",$M1182),IF($L1182="","",$I1182))))</f>
        <v/>
      </c>
      <c r="Q1182" s="34" t="str">
        <f aca="false">IF($P1182="","",IF($N1182&lt;&gt;"",$N1182,$J1182))</f>
        <v/>
      </c>
      <c r="R1182" s="35" t="str">
        <f aca="false">IF(OR($P1182="",$Q1182=""),"",INDEX(BookRate,1177)*$P1182*(5-MATCH($Q1182,{"Q1";"Q2";"Q3";"Q4"},0))/4+INDEX(BookOneOff,1177)*$P1182)</f>
        <v/>
      </c>
      <c r="S1182" s="35" t="str">
        <f aca="false">IF($P1182="","",INDEX(BookRate,1177)*$P1182)</f>
        <v/>
      </c>
      <c r="T1182" s="35" t="str">
        <f aca="false">IF($R1182="","",$R1182-$K1182)</f>
        <v/>
      </c>
      <c r="U1182" s="35" t="str">
        <f aca="false">IF(N($P1182)&lt;=0,"",COUNTIF($P$6:$P1182,"&gt;0"))</f>
        <v/>
      </c>
    </row>
    <row r="1183" customFormat="false" ht="15" hidden="false" customHeight="false" outlineLevel="0" collapsed="false">
      <c r="A1183" s="40" t="str">
        <f aca="false">IF(INDEX(BookTitle,1178)="","",INDEX(BookGroup,1178))</f>
        <v/>
      </c>
      <c r="B1183" s="40" t="str">
        <f aca="false">IF(INDEX(BookTitle,1178)="","",INDEX(BookRef,1178))</f>
        <v/>
      </c>
      <c r="C1183" s="40" t="str">
        <f aca="false">IF(INDEX(BookTitle,1178)="","",INDEX(BookDivision,1178))</f>
        <v/>
      </c>
      <c r="D1183" s="40" t="str">
        <f aca="false">IF(INDEX(BookTitle,1178)="","",INDEX(BookUnit,1178))</f>
        <v/>
      </c>
      <c r="E1183" s="40" t="str">
        <f aca="false">IF(INDEX(BookTitle,1178)="","",INDEX(BookTitle,1178))</f>
        <v/>
      </c>
      <c r="F1183" s="40" t="str">
        <f aca="false">IF(INDEX(BookTitle,1178)="","",INDEX(BookLevel,1178))</f>
        <v/>
      </c>
      <c r="G1183" s="40" t="str">
        <f aca="false">IF(INDEX(BookTitle,1178)="","",INDEX(BookCategory,1178))</f>
        <v/>
      </c>
      <c r="H1183" s="40" t="str">
        <f aca="false">IF(INDEX(BookTitle,1178)="","",INDEX(BookRank,1178))</f>
        <v/>
      </c>
      <c r="I1183" s="41" t="str">
        <f aca="false">IF(INDEX(BookTitle,1178)="","",INDEX(BookTotal,1178))</f>
        <v/>
      </c>
      <c r="J1183" s="0" t="str">
        <f aca="false">IF($I1183="","",IF(INDEX(BookQ1,1178)&gt;0,"Q1",IF(INDEX(BookQ2,1178)&gt;0,"Q2",IF(INDEX(BookQ3,1178)&gt;0,"Q3",IF(INDEX(BookQ4,1178)&gt;0,"Q4","")))))</f>
        <v/>
      </c>
      <c r="K1183" s="42" t="str">
        <f aca="false">IF(INDEX(BookTitle,1178)="","",INDEX(BookInYear,1178))</f>
        <v/>
      </c>
      <c r="L1183" s="19"/>
      <c r="M1183" s="39"/>
      <c r="N1183" s="19"/>
      <c r="O1183" s="19"/>
      <c r="P1183" s="43" t="str">
        <f aca="false">IF($E1183="","",IF($L1183="Decline",0,IF($L1183="Approve fewer",IF($M1183="","",$M1183),IF($L1183="","",$I1183))))</f>
        <v/>
      </c>
      <c r="Q1183" s="34" t="str">
        <f aca="false">IF($P1183="","",IF($N1183&lt;&gt;"",$N1183,$J1183))</f>
        <v/>
      </c>
      <c r="R1183" s="35" t="str">
        <f aca="false">IF(OR($P1183="",$Q1183=""),"",INDEX(BookRate,1178)*$P1183*(5-MATCH($Q1183,{"Q1";"Q2";"Q3";"Q4"},0))/4+INDEX(BookOneOff,1178)*$P1183)</f>
        <v/>
      </c>
      <c r="S1183" s="35" t="str">
        <f aca="false">IF($P1183="","",INDEX(BookRate,1178)*$P1183)</f>
        <v/>
      </c>
      <c r="T1183" s="35" t="str">
        <f aca="false">IF($R1183="","",$R1183-$K1183)</f>
        <v/>
      </c>
      <c r="U1183" s="35" t="str">
        <f aca="false">IF(N($P1183)&lt;=0,"",COUNTIF($P$6:$P1183,"&gt;0"))</f>
        <v/>
      </c>
    </row>
    <row r="1184" customFormat="false" ht="15" hidden="false" customHeight="false" outlineLevel="0" collapsed="false">
      <c r="A1184" s="40" t="str">
        <f aca="false">IF(INDEX(BookTitle,1179)="","",INDEX(BookGroup,1179))</f>
        <v/>
      </c>
      <c r="B1184" s="40" t="str">
        <f aca="false">IF(INDEX(BookTitle,1179)="","",INDEX(BookRef,1179))</f>
        <v/>
      </c>
      <c r="C1184" s="40" t="str">
        <f aca="false">IF(INDEX(BookTitle,1179)="","",INDEX(BookDivision,1179))</f>
        <v/>
      </c>
      <c r="D1184" s="40" t="str">
        <f aca="false">IF(INDEX(BookTitle,1179)="","",INDEX(BookUnit,1179))</f>
        <v/>
      </c>
      <c r="E1184" s="40" t="str">
        <f aca="false">IF(INDEX(BookTitle,1179)="","",INDEX(BookTitle,1179))</f>
        <v/>
      </c>
      <c r="F1184" s="40" t="str">
        <f aca="false">IF(INDEX(BookTitle,1179)="","",INDEX(BookLevel,1179))</f>
        <v/>
      </c>
      <c r="G1184" s="40" t="str">
        <f aca="false">IF(INDEX(BookTitle,1179)="","",INDEX(BookCategory,1179))</f>
        <v/>
      </c>
      <c r="H1184" s="40" t="str">
        <f aca="false">IF(INDEX(BookTitle,1179)="","",INDEX(BookRank,1179))</f>
        <v/>
      </c>
      <c r="I1184" s="41" t="str">
        <f aca="false">IF(INDEX(BookTitle,1179)="","",INDEX(BookTotal,1179))</f>
        <v/>
      </c>
      <c r="J1184" s="0" t="str">
        <f aca="false">IF($I1184="","",IF(INDEX(BookQ1,1179)&gt;0,"Q1",IF(INDEX(BookQ2,1179)&gt;0,"Q2",IF(INDEX(BookQ3,1179)&gt;0,"Q3",IF(INDEX(BookQ4,1179)&gt;0,"Q4","")))))</f>
        <v/>
      </c>
      <c r="K1184" s="42" t="str">
        <f aca="false">IF(INDEX(BookTitle,1179)="","",INDEX(BookInYear,1179))</f>
        <v/>
      </c>
      <c r="L1184" s="19"/>
      <c r="M1184" s="39"/>
      <c r="N1184" s="19"/>
      <c r="O1184" s="19"/>
      <c r="P1184" s="43" t="str">
        <f aca="false">IF($E1184="","",IF($L1184="Decline",0,IF($L1184="Approve fewer",IF($M1184="","",$M1184),IF($L1184="","",$I1184))))</f>
        <v/>
      </c>
      <c r="Q1184" s="34" t="str">
        <f aca="false">IF($P1184="","",IF($N1184&lt;&gt;"",$N1184,$J1184))</f>
        <v/>
      </c>
      <c r="R1184" s="35" t="str">
        <f aca="false">IF(OR($P1184="",$Q1184=""),"",INDEX(BookRate,1179)*$P1184*(5-MATCH($Q1184,{"Q1";"Q2";"Q3";"Q4"},0))/4+INDEX(BookOneOff,1179)*$P1184)</f>
        <v/>
      </c>
      <c r="S1184" s="35" t="str">
        <f aca="false">IF($P1184="","",INDEX(BookRate,1179)*$P1184)</f>
        <v/>
      </c>
      <c r="T1184" s="35" t="str">
        <f aca="false">IF($R1184="","",$R1184-$K1184)</f>
        <v/>
      </c>
      <c r="U1184" s="35" t="str">
        <f aca="false">IF(N($P1184)&lt;=0,"",COUNTIF($P$6:$P1184,"&gt;0"))</f>
        <v/>
      </c>
    </row>
    <row r="1185" customFormat="false" ht="15" hidden="false" customHeight="false" outlineLevel="0" collapsed="false">
      <c r="A1185" s="40" t="str">
        <f aca="false">IF(INDEX(BookTitle,1180)="","",INDEX(BookGroup,1180))</f>
        <v/>
      </c>
      <c r="B1185" s="40" t="str">
        <f aca="false">IF(INDEX(BookTitle,1180)="","",INDEX(BookRef,1180))</f>
        <v/>
      </c>
      <c r="C1185" s="40" t="str">
        <f aca="false">IF(INDEX(BookTitle,1180)="","",INDEX(BookDivision,1180))</f>
        <v/>
      </c>
      <c r="D1185" s="40" t="str">
        <f aca="false">IF(INDEX(BookTitle,1180)="","",INDEX(BookUnit,1180))</f>
        <v/>
      </c>
      <c r="E1185" s="40" t="str">
        <f aca="false">IF(INDEX(BookTitle,1180)="","",INDEX(BookTitle,1180))</f>
        <v/>
      </c>
      <c r="F1185" s="40" t="str">
        <f aca="false">IF(INDEX(BookTitle,1180)="","",INDEX(BookLevel,1180))</f>
        <v/>
      </c>
      <c r="G1185" s="40" t="str">
        <f aca="false">IF(INDEX(BookTitle,1180)="","",INDEX(BookCategory,1180))</f>
        <v/>
      </c>
      <c r="H1185" s="40" t="str">
        <f aca="false">IF(INDEX(BookTitle,1180)="","",INDEX(BookRank,1180))</f>
        <v/>
      </c>
      <c r="I1185" s="41" t="str">
        <f aca="false">IF(INDEX(BookTitle,1180)="","",INDEX(BookTotal,1180))</f>
        <v/>
      </c>
      <c r="J1185" s="0" t="str">
        <f aca="false">IF($I1185="","",IF(INDEX(BookQ1,1180)&gt;0,"Q1",IF(INDEX(BookQ2,1180)&gt;0,"Q2",IF(INDEX(BookQ3,1180)&gt;0,"Q3",IF(INDEX(BookQ4,1180)&gt;0,"Q4","")))))</f>
        <v/>
      </c>
      <c r="K1185" s="42" t="str">
        <f aca="false">IF(INDEX(BookTitle,1180)="","",INDEX(BookInYear,1180))</f>
        <v/>
      </c>
      <c r="L1185" s="19"/>
      <c r="M1185" s="39"/>
      <c r="N1185" s="19"/>
      <c r="O1185" s="19"/>
      <c r="P1185" s="43" t="str">
        <f aca="false">IF($E1185="","",IF($L1185="Decline",0,IF($L1185="Approve fewer",IF($M1185="","",$M1185),IF($L1185="","",$I1185))))</f>
        <v/>
      </c>
      <c r="Q1185" s="34" t="str">
        <f aca="false">IF($P1185="","",IF($N1185&lt;&gt;"",$N1185,$J1185))</f>
        <v/>
      </c>
      <c r="R1185" s="35" t="str">
        <f aca="false">IF(OR($P1185="",$Q1185=""),"",INDEX(BookRate,1180)*$P1185*(5-MATCH($Q1185,{"Q1";"Q2";"Q3";"Q4"},0))/4+INDEX(BookOneOff,1180)*$P1185)</f>
        <v/>
      </c>
      <c r="S1185" s="35" t="str">
        <f aca="false">IF($P1185="","",INDEX(BookRate,1180)*$P1185)</f>
        <v/>
      </c>
      <c r="T1185" s="35" t="str">
        <f aca="false">IF($R1185="","",$R1185-$K1185)</f>
        <v/>
      </c>
      <c r="U1185" s="35" t="str">
        <f aca="false">IF(N($P1185)&lt;=0,"",COUNTIF($P$6:$P1185,"&gt;0"))</f>
        <v/>
      </c>
    </row>
    <row r="1186" customFormat="false" ht="15" hidden="false" customHeight="false" outlineLevel="0" collapsed="false">
      <c r="A1186" s="40" t="str">
        <f aca="false">IF(INDEX(BookTitle,1181)="","",INDEX(BookGroup,1181))</f>
        <v/>
      </c>
      <c r="B1186" s="40" t="str">
        <f aca="false">IF(INDEX(BookTitle,1181)="","",INDEX(BookRef,1181))</f>
        <v/>
      </c>
      <c r="C1186" s="40" t="str">
        <f aca="false">IF(INDEX(BookTitle,1181)="","",INDEX(BookDivision,1181))</f>
        <v/>
      </c>
      <c r="D1186" s="40" t="str">
        <f aca="false">IF(INDEX(BookTitle,1181)="","",INDEX(BookUnit,1181))</f>
        <v/>
      </c>
      <c r="E1186" s="40" t="str">
        <f aca="false">IF(INDEX(BookTitle,1181)="","",INDEX(BookTitle,1181))</f>
        <v/>
      </c>
      <c r="F1186" s="40" t="str">
        <f aca="false">IF(INDEX(BookTitle,1181)="","",INDEX(BookLevel,1181))</f>
        <v/>
      </c>
      <c r="G1186" s="40" t="str">
        <f aca="false">IF(INDEX(BookTitle,1181)="","",INDEX(BookCategory,1181))</f>
        <v/>
      </c>
      <c r="H1186" s="40" t="str">
        <f aca="false">IF(INDEX(BookTitle,1181)="","",INDEX(BookRank,1181))</f>
        <v/>
      </c>
      <c r="I1186" s="41" t="str">
        <f aca="false">IF(INDEX(BookTitle,1181)="","",INDEX(BookTotal,1181))</f>
        <v/>
      </c>
      <c r="J1186" s="0" t="str">
        <f aca="false">IF($I1186="","",IF(INDEX(BookQ1,1181)&gt;0,"Q1",IF(INDEX(BookQ2,1181)&gt;0,"Q2",IF(INDEX(BookQ3,1181)&gt;0,"Q3",IF(INDEX(BookQ4,1181)&gt;0,"Q4","")))))</f>
        <v/>
      </c>
      <c r="K1186" s="42" t="str">
        <f aca="false">IF(INDEX(BookTitle,1181)="","",INDEX(BookInYear,1181))</f>
        <v/>
      </c>
      <c r="L1186" s="19"/>
      <c r="M1186" s="39"/>
      <c r="N1186" s="19"/>
      <c r="O1186" s="19"/>
      <c r="P1186" s="43" t="str">
        <f aca="false">IF($E1186="","",IF($L1186="Decline",0,IF($L1186="Approve fewer",IF($M1186="","",$M1186),IF($L1186="","",$I1186))))</f>
        <v/>
      </c>
      <c r="Q1186" s="34" t="str">
        <f aca="false">IF($P1186="","",IF($N1186&lt;&gt;"",$N1186,$J1186))</f>
        <v/>
      </c>
      <c r="R1186" s="35" t="str">
        <f aca="false">IF(OR($P1186="",$Q1186=""),"",INDEX(BookRate,1181)*$P1186*(5-MATCH($Q1186,{"Q1";"Q2";"Q3";"Q4"},0))/4+INDEX(BookOneOff,1181)*$P1186)</f>
        <v/>
      </c>
      <c r="S1186" s="35" t="str">
        <f aca="false">IF($P1186="","",INDEX(BookRate,1181)*$P1186)</f>
        <v/>
      </c>
      <c r="T1186" s="35" t="str">
        <f aca="false">IF($R1186="","",$R1186-$K1186)</f>
        <v/>
      </c>
      <c r="U1186" s="35" t="str">
        <f aca="false">IF(N($P1186)&lt;=0,"",COUNTIF($P$6:$P1186,"&gt;0"))</f>
        <v/>
      </c>
    </row>
    <row r="1187" customFormat="false" ht="15" hidden="false" customHeight="false" outlineLevel="0" collapsed="false">
      <c r="A1187" s="40" t="str">
        <f aca="false">IF(INDEX(BookTitle,1182)="","",INDEX(BookGroup,1182))</f>
        <v/>
      </c>
      <c r="B1187" s="40" t="str">
        <f aca="false">IF(INDEX(BookTitle,1182)="","",INDEX(BookRef,1182))</f>
        <v/>
      </c>
      <c r="C1187" s="40" t="str">
        <f aca="false">IF(INDEX(BookTitle,1182)="","",INDEX(BookDivision,1182))</f>
        <v/>
      </c>
      <c r="D1187" s="40" t="str">
        <f aca="false">IF(INDEX(BookTitle,1182)="","",INDEX(BookUnit,1182))</f>
        <v/>
      </c>
      <c r="E1187" s="40" t="str">
        <f aca="false">IF(INDEX(BookTitle,1182)="","",INDEX(BookTitle,1182))</f>
        <v/>
      </c>
      <c r="F1187" s="40" t="str">
        <f aca="false">IF(INDEX(BookTitle,1182)="","",INDEX(BookLevel,1182))</f>
        <v/>
      </c>
      <c r="G1187" s="40" t="str">
        <f aca="false">IF(INDEX(BookTitle,1182)="","",INDEX(BookCategory,1182))</f>
        <v/>
      </c>
      <c r="H1187" s="40" t="str">
        <f aca="false">IF(INDEX(BookTitle,1182)="","",INDEX(BookRank,1182))</f>
        <v/>
      </c>
      <c r="I1187" s="41" t="str">
        <f aca="false">IF(INDEX(BookTitle,1182)="","",INDEX(BookTotal,1182))</f>
        <v/>
      </c>
      <c r="J1187" s="0" t="str">
        <f aca="false">IF($I1187="","",IF(INDEX(BookQ1,1182)&gt;0,"Q1",IF(INDEX(BookQ2,1182)&gt;0,"Q2",IF(INDEX(BookQ3,1182)&gt;0,"Q3",IF(INDEX(BookQ4,1182)&gt;0,"Q4","")))))</f>
        <v/>
      </c>
      <c r="K1187" s="42" t="str">
        <f aca="false">IF(INDEX(BookTitle,1182)="","",INDEX(BookInYear,1182))</f>
        <v/>
      </c>
      <c r="L1187" s="19"/>
      <c r="M1187" s="39"/>
      <c r="N1187" s="19"/>
      <c r="O1187" s="19"/>
      <c r="P1187" s="43" t="str">
        <f aca="false">IF($E1187="","",IF($L1187="Decline",0,IF($L1187="Approve fewer",IF($M1187="","",$M1187),IF($L1187="","",$I1187))))</f>
        <v/>
      </c>
      <c r="Q1187" s="34" t="str">
        <f aca="false">IF($P1187="","",IF($N1187&lt;&gt;"",$N1187,$J1187))</f>
        <v/>
      </c>
      <c r="R1187" s="35" t="str">
        <f aca="false">IF(OR($P1187="",$Q1187=""),"",INDEX(BookRate,1182)*$P1187*(5-MATCH($Q1187,{"Q1";"Q2";"Q3";"Q4"},0))/4+INDEX(BookOneOff,1182)*$P1187)</f>
        <v/>
      </c>
      <c r="S1187" s="35" t="str">
        <f aca="false">IF($P1187="","",INDEX(BookRate,1182)*$P1187)</f>
        <v/>
      </c>
      <c r="T1187" s="35" t="str">
        <f aca="false">IF($R1187="","",$R1187-$K1187)</f>
        <v/>
      </c>
      <c r="U1187" s="35" t="str">
        <f aca="false">IF(N($P1187)&lt;=0,"",COUNTIF($P$6:$P1187,"&gt;0"))</f>
        <v/>
      </c>
    </row>
    <row r="1188" customFormat="false" ht="15" hidden="false" customHeight="false" outlineLevel="0" collapsed="false">
      <c r="A1188" s="40" t="str">
        <f aca="false">IF(INDEX(BookTitle,1183)="","",INDEX(BookGroup,1183))</f>
        <v/>
      </c>
      <c r="B1188" s="40" t="str">
        <f aca="false">IF(INDEX(BookTitle,1183)="","",INDEX(BookRef,1183))</f>
        <v/>
      </c>
      <c r="C1188" s="40" t="str">
        <f aca="false">IF(INDEX(BookTitle,1183)="","",INDEX(BookDivision,1183))</f>
        <v/>
      </c>
      <c r="D1188" s="40" t="str">
        <f aca="false">IF(INDEX(BookTitle,1183)="","",INDEX(BookUnit,1183))</f>
        <v/>
      </c>
      <c r="E1188" s="40" t="str">
        <f aca="false">IF(INDEX(BookTitle,1183)="","",INDEX(BookTitle,1183))</f>
        <v/>
      </c>
      <c r="F1188" s="40" t="str">
        <f aca="false">IF(INDEX(BookTitle,1183)="","",INDEX(BookLevel,1183))</f>
        <v/>
      </c>
      <c r="G1188" s="40" t="str">
        <f aca="false">IF(INDEX(BookTitle,1183)="","",INDEX(BookCategory,1183))</f>
        <v/>
      </c>
      <c r="H1188" s="40" t="str">
        <f aca="false">IF(INDEX(BookTitle,1183)="","",INDEX(BookRank,1183))</f>
        <v/>
      </c>
      <c r="I1188" s="41" t="str">
        <f aca="false">IF(INDEX(BookTitle,1183)="","",INDEX(BookTotal,1183))</f>
        <v/>
      </c>
      <c r="J1188" s="0" t="str">
        <f aca="false">IF($I1188="","",IF(INDEX(BookQ1,1183)&gt;0,"Q1",IF(INDEX(BookQ2,1183)&gt;0,"Q2",IF(INDEX(BookQ3,1183)&gt;0,"Q3",IF(INDEX(BookQ4,1183)&gt;0,"Q4","")))))</f>
        <v/>
      </c>
      <c r="K1188" s="42" t="str">
        <f aca="false">IF(INDEX(BookTitle,1183)="","",INDEX(BookInYear,1183))</f>
        <v/>
      </c>
      <c r="L1188" s="19"/>
      <c r="M1188" s="39"/>
      <c r="N1188" s="19"/>
      <c r="O1188" s="19"/>
      <c r="P1188" s="43" t="str">
        <f aca="false">IF($E1188="","",IF($L1188="Decline",0,IF($L1188="Approve fewer",IF($M1188="","",$M1188),IF($L1188="","",$I1188))))</f>
        <v/>
      </c>
      <c r="Q1188" s="34" t="str">
        <f aca="false">IF($P1188="","",IF($N1188&lt;&gt;"",$N1188,$J1188))</f>
        <v/>
      </c>
      <c r="R1188" s="35" t="str">
        <f aca="false">IF(OR($P1188="",$Q1188=""),"",INDEX(BookRate,1183)*$P1188*(5-MATCH($Q1188,{"Q1";"Q2";"Q3";"Q4"},0))/4+INDEX(BookOneOff,1183)*$P1188)</f>
        <v/>
      </c>
      <c r="S1188" s="35" t="str">
        <f aca="false">IF($P1188="","",INDEX(BookRate,1183)*$P1188)</f>
        <v/>
      </c>
      <c r="T1188" s="35" t="str">
        <f aca="false">IF($R1188="","",$R1188-$K1188)</f>
        <v/>
      </c>
      <c r="U1188" s="35" t="str">
        <f aca="false">IF(N($P1188)&lt;=0,"",COUNTIF($P$6:$P1188,"&gt;0"))</f>
        <v/>
      </c>
    </row>
    <row r="1189" customFormat="false" ht="15" hidden="false" customHeight="false" outlineLevel="0" collapsed="false">
      <c r="A1189" s="40" t="str">
        <f aca="false">IF(INDEX(BookTitle,1184)="","",INDEX(BookGroup,1184))</f>
        <v/>
      </c>
      <c r="B1189" s="40" t="str">
        <f aca="false">IF(INDEX(BookTitle,1184)="","",INDEX(BookRef,1184))</f>
        <v/>
      </c>
      <c r="C1189" s="40" t="str">
        <f aca="false">IF(INDEX(BookTitle,1184)="","",INDEX(BookDivision,1184))</f>
        <v/>
      </c>
      <c r="D1189" s="40" t="str">
        <f aca="false">IF(INDEX(BookTitle,1184)="","",INDEX(BookUnit,1184))</f>
        <v/>
      </c>
      <c r="E1189" s="40" t="str">
        <f aca="false">IF(INDEX(BookTitle,1184)="","",INDEX(BookTitle,1184))</f>
        <v/>
      </c>
      <c r="F1189" s="40" t="str">
        <f aca="false">IF(INDEX(BookTitle,1184)="","",INDEX(BookLevel,1184))</f>
        <v/>
      </c>
      <c r="G1189" s="40" t="str">
        <f aca="false">IF(INDEX(BookTitle,1184)="","",INDEX(BookCategory,1184))</f>
        <v/>
      </c>
      <c r="H1189" s="40" t="str">
        <f aca="false">IF(INDEX(BookTitle,1184)="","",INDEX(BookRank,1184))</f>
        <v/>
      </c>
      <c r="I1189" s="41" t="str">
        <f aca="false">IF(INDEX(BookTitle,1184)="","",INDEX(BookTotal,1184))</f>
        <v/>
      </c>
      <c r="J1189" s="0" t="str">
        <f aca="false">IF($I1189="","",IF(INDEX(BookQ1,1184)&gt;0,"Q1",IF(INDEX(BookQ2,1184)&gt;0,"Q2",IF(INDEX(BookQ3,1184)&gt;0,"Q3",IF(INDEX(BookQ4,1184)&gt;0,"Q4","")))))</f>
        <v/>
      </c>
      <c r="K1189" s="42" t="str">
        <f aca="false">IF(INDEX(BookTitle,1184)="","",INDEX(BookInYear,1184))</f>
        <v/>
      </c>
      <c r="L1189" s="19"/>
      <c r="M1189" s="39"/>
      <c r="N1189" s="19"/>
      <c r="O1189" s="19"/>
      <c r="P1189" s="43" t="str">
        <f aca="false">IF($E1189="","",IF($L1189="Decline",0,IF($L1189="Approve fewer",IF($M1189="","",$M1189),IF($L1189="","",$I1189))))</f>
        <v/>
      </c>
      <c r="Q1189" s="34" t="str">
        <f aca="false">IF($P1189="","",IF($N1189&lt;&gt;"",$N1189,$J1189))</f>
        <v/>
      </c>
      <c r="R1189" s="35" t="str">
        <f aca="false">IF(OR($P1189="",$Q1189=""),"",INDEX(BookRate,1184)*$P1189*(5-MATCH($Q1189,{"Q1";"Q2";"Q3";"Q4"},0))/4+INDEX(BookOneOff,1184)*$P1189)</f>
        <v/>
      </c>
      <c r="S1189" s="35" t="str">
        <f aca="false">IF($P1189="","",INDEX(BookRate,1184)*$P1189)</f>
        <v/>
      </c>
      <c r="T1189" s="35" t="str">
        <f aca="false">IF($R1189="","",$R1189-$K1189)</f>
        <v/>
      </c>
      <c r="U1189" s="35" t="str">
        <f aca="false">IF(N($P1189)&lt;=0,"",COUNTIF($P$6:$P1189,"&gt;0"))</f>
        <v/>
      </c>
    </row>
    <row r="1190" customFormat="false" ht="15" hidden="false" customHeight="false" outlineLevel="0" collapsed="false">
      <c r="A1190" s="40" t="str">
        <f aca="false">IF(INDEX(BookTitle,1185)="","",INDEX(BookGroup,1185))</f>
        <v/>
      </c>
      <c r="B1190" s="40" t="str">
        <f aca="false">IF(INDEX(BookTitle,1185)="","",INDEX(BookRef,1185))</f>
        <v/>
      </c>
      <c r="C1190" s="40" t="str">
        <f aca="false">IF(INDEX(BookTitle,1185)="","",INDEX(BookDivision,1185))</f>
        <v/>
      </c>
      <c r="D1190" s="40" t="str">
        <f aca="false">IF(INDEX(BookTitle,1185)="","",INDEX(BookUnit,1185))</f>
        <v/>
      </c>
      <c r="E1190" s="40" t="str">
        <f aca="false">IF(INDEX(BookTitle,1185)="","",INDEX(BookTitle,1185))</f>
        <v/>
      </c>
      <c r="F1190" s="40" t="str">
        <f aca="false">IF(INDEX(BookTitle,1185)="","",INDEX(BookLevel,1185))</f>
        <v/>
      </c>
      <c r="G1190" s="40" t="str">
        <f aca="false">IF(INDEX(BookTitle,1185)="","",INDEX(BookCategory,1185))</f>
        <v/>
      </c>
      <c r="H1190" s="40" t="str">
        <f aca="false">IF(INDEX(BookTitle,1185)="","",INDEX(BookRank,1185))</f>
        <v/>
      </c>
      <c r="I1190" s="41" t="str">
        <f aca="false">IF(INDEX(BookTitle,1185)="","",INDEX(BookTotal,1185))</f>
        <v/>
      </c>
      <c r="J1190" s="0" t="str">
        <f aca="false">IF($I1190="","",IF(INDEX(BookQ1,1185)&gt;0,"Q1",IF(INDEX(BookQ2,1185)&gt;0,"Q2",IF(INDEX(BookQ3,1185)&gt;0,"Q3",IF(INDEX(BookQ4,1185)&gt;0,"Q4","")))))</f>
        <v/>
      </c>
      <c r="K1190" s="42" t="str">
        <f aca="false">IF(INDEX(BookTitle,1185)="","",INDEX(BookInYear,1185))</f>
        <v/>
      </c>
      <c r="L1190" s="19"/>
      <c r="M1190" s="39"/>
      <c r="N1190" s="19"/>
      <c r="O1190" s="19"/>
      <c r="P1190" s="43" t="str">
        <f aca="false">IF($E1190="","",IF($L1190="Decline",0,IF($L1190="Approve fewer",IF($M1190="","",$M1190),IF($L1190="","",$I1190))))</f>
        <v/>
      </c>
      <c r="Q1190" s="34" t="str">
        <f aca="false">IF($P1190="","",IF($N1190&lt;&gt;"",$N1190,$J1190))</f>
        <v/>
      </c>
      <c r="R1190" s="35" t="str">
        <f aca="false">IF(OR($P1190="",$Q1190=""),"",INDEX(BookRate,1185)*$P1190*(5-MATCH($Q1190,{"Q1";"Q2";"Q3";"Q4"},0))/4+INDEX(BookOneOff,1185)*$P1190)</f>
        <v/>
      </c>
      <c r="S1190" s="35" t="str">
        <f aca="false">IF($P1190="","",INDEX(BookRate,1185)*$P1190)</f>
        <v/>
      </c>
      <c r="T1190" s="35" t="str">
        <f aca="false">IF($R1190="","",$R1190-$K1190)</f>
        <v/>
      </c>
      <c r="U1190" s="35" t="str">
        <f aca="false">IF(N($P1190)&lt;=0,"",COUNTIF($P$6:$P1190,"&gt;0"))</f>
        <v/>
      </c>
    </row>
    <row r="1191" customFormat="false" ht="15" hidden="false" customHeight="false" outlineLevel="0" collapsed="false">
      <c r="A1191" s="40" t="str">
        <f aca="false">IF(INDEX(BookTitle,1186)="","",INDEX(BookGroup,1186))</f>
        <v/>
      </c>
      <c r="B1191" s="40" t="str">
        <f aca="false">IF(INDEX(BookTitle,1186)="","",INDEX(BookRef,1186))</f>
        <v/>
      </c>
      <c r="C1191" s="40" t="str">
        <f aca="false">IF(INDEX(BookTitle,1186)="","",INDEX(BookDivision,1186))</f>
        <v/>
      </c>
      <c r="D1191" s="40" t="str">
        <f aca="false">IF(INDEX(BookTitle,1186)="","",INDEX(BookUnit,1186))</f>
        <v/>
      </c>
      <c r="E1191" s="40" t="str">
        <f aca="false">IF(INDEX(BookTitle,1186)="","",INDEX(BookTitle,1186))</f>
        <v/>
      </c>
      <c r="F1191" s="40" t="str">
        <f aca="false">IF(INDEX(BookTitle,1186)="","",INDEX(BookLevel,1186))</f>
        <v/>
      </c>
      <c r="G1191" s="40" t="str">
        <f aca="false">IF(INDEX(BookTitle,1186)="","",INDEX(BookCategory,1186))</f>
        <v/>
      </c>
      <c r="H1191" s="40" t="str">
        <f aca="false">IF(INDEX(BookTitle,1186)="","",INDEX(BookRank,1186))</f>
        <v/>
      </c>
      <c r="I1191" s="41" t="str">
        <f aca="false">IF(INDEX(BookTitle,1186)="","",INDEX(BookTotal,1186))</f>
        <v/>
      </c>
      <c r="J1191" s="0" t="str">
        <f aca="false">IF($I1191="","",IF(INDEX(BookQ1,1186)&gt;0,"Q1",IF(INDEX(BookQ2,1186)&gt;0,"Q2",IF(INDEX(BookQ3,1186)&gt;0,"Q3",IF(INDEX(BookQ4,1186)&gt;0,"Q4","")))))</f>
        <v/>
      </c>
      <c r="K1191" s="42" t="str">
        <f aca="false">IF(INDEX(BookTitle,1186)="","",INDEX(BookInYear,1186))</f>
        <v/>
      </c>
      <c r="L1191" s="19"/>
      <c r="M1191" s="39"/>
      <c r="N1191" s="19"/>
      <c r="O1191" s="19"/>
      <c r="P1191" s="43" t="str">
        <f aca="false">IF($E1191="","",IF($L1191="Decline",0,IF($L1191="Approve fewer",IF($M1191="","",$M1191),IF($L1191="","",$I1191))))</f>
        <v/>
      </c>
      <c r="Q1191" s="34" t="str">
        <f aca="false">IF($P1191="","",IF($N1191&lt;&gt;"",$N1191,$J1191))</f>
        <v/>
      </c>
      <c r="R1191" s="35" t="str">
        <f aca="false">IF(OR($P1191="",$Q1191=""),"",INDEX(BookRate,1186)*$P1191*(5-MATCH($Q1191,{"Q1";"Q2";"Q3";"Q4"},0))/4+INDEX(BookOneOff,1186)*$P1191)</f>
        <v/>
      </c>
      <c r="S1191" s="35" t="str">
        <f aca="false">IF($P1191="","",INDEX(BookRate,1186)*$P1191)</f>
        <v/>
      </c>
      <c r="T1191" s="35" t="str">
        <f aca="false">IF($R1191="","",$R1191-$K1191)</f>
        <v/>
      </c>
      <c r="U1191" s="35" t="str">
        <f aca="false">IF(N($P1191)&lt;=0,"",COUNTIF($P$6:$P1191,"&gt;0"))</f>
        <v/>
      </c>
    </row>
    <row r="1192" customFormat="false" ht="15" hidden="false" customHeight="false" outlineLevel="0" collapsed="false">
      <c r="A1192" s="40" t="str">
        <f aca="false">IF(INDEX(BookTitle,1187)="","",INDEX(BookGroup,1187))</f>
        <v/>
      </c>
      <c r="B1192" s="40" t="str">
        <f aca="false">IF(INDEX(BookTitle,1187)="","",INDEX(BookRef,1187))</f>
        <v/>
      </c>
      <c r="C1192" s="40" t="str">
        <f aca="false">IF(INDEX(BookTitle,1187)="","",INDEX(BookDivision,1187))</f>
        <v/>
      </c>
      <c r="D1192" s="40" t="str">
        <f aca="false">IF(INDEX(BookTitle,1187)="","",INDEX(BookUnit,1187))</f>
        <v/>
      </c>
      <c r="E1192" s="40" t="str">
        <f aca="false">IF(INDEX(BookTitle,1187)="","",INDEX(BookTitle,1187))</f>
        <v/>
      </c>
      <c r="F1192" s="40" t="str">
        <f aca="false">IF(INDEX(BookTitle,1187)="","",INDEX(BookLevel,1187))</f>
        <v/>
      </c>
      <c r="G1192" s="40" t="str">
        <f aca="false">IF(INDEX(BookTitle,1187)="","",INDEX(BookCategory,1187))</f>
        <v/>
      </c>
      <c r="H1192" s="40" t="str">
        <f aca="false">IF(INDEX(BookTitle,1187)="","",INDEX(BookRank,1187))</f>
        <v/>
      </c>
      <c r="I1192" s="41" t="str">
        <f aca="false">IF(INDEX(BookTitle,1187)="","",INDEX(BookTotal,1187))</f>
        <v/>
      </c>
      <c r="J1192" s="0" t="str">
        <f aca="false">IF($I1192="","",IF(INDEX(BookQ1,1187)&gt;0,"Q1",IF(INDEX(BookQ2,1187)&gt;0,"Q2",IF(INDEX(BookQ3,1187)&gt;0,"Q3",IF(INDEX(BookQ4,1187)&gt;0,"Q4","")))))</f>
        <v/>
      </c>
      <c r="K1192" s="42" t="str">
        <f aca="false">IF(INDEX(BookTitle,1187)="","",INDEX(BookInYear,1187))</f>
        <v/>
      </c>
      <c r="L1192" s="19"/>
      <c r="M1192" s="39"/>
      <c r="N1192" s="19"/>
      <c r="O1192" s="19"/>
      <c r="P1192" s="43" t="str">
        <f aca="false">IF($E1192="","",IF($L1192="Decline",0,IF($L1192="Approve fewer",IF($M1192="","",$M1192),IF($L1192="","",$I1192))))</f>
        <v/>
      </c>
      <c r="Q1192" s="34" t="str">
        <f aca="false">IF($P1192="","",IF($N1192&lt;&gt;"",$N1192,$J1192))</f>
        <v/>
      </c>
      <c r="R1192" s="35" t="str">
        <f aca="false">IF(OR($P1192="",$Q1192=""),"",INDEX(BookRate,1187)*$P1192*(5-MATCH($Q1192,{"Q1";"Q2";"Q3";"Q4"},0))/4+INDEX(BookOneOff,1187)*$P1192)</f>
        <v/>
      </c>
      <c r="S1192" s="35" t="str">
        <f aca="false">IF($P1192="","",INDEX(BookRate,1187)*$P1192)</f>
        <v/>
      </c>
      <c r="T1192" s="35" t="str">
        <f aca="false">IF($R1192="","",$R1192-$K1192)</f>
        <v/>
      </c>
      <c r="U1192" s="35" t="str">
        <f aca="false">IF(N($P1192)&lt;=0,"",COUNTIF($P$6:$P1192,"&gt;0"))</f>
        <v/>
      </c>
    </row>
    <row r="1193" customFormat="false" ht="15" hidden="false" customHeight="false" outlineLevel="0" collapsed="false">
      <c r="A1193" s="40" t="str">
        <f aca="false">IF(INDEX(BookTitle,1188)="","",INDEX(BookGroup,1188))</f>
        <v/>
      </c>
      <c r="B1193" s="40" t="str">
        <f aca="false">IF(INDEX(BookTitle,1188)="","",INDEX(BookRef,1188))</f>
        <v/>
      </c>
      <c r="C1193" s="40" t="str">
        <f aca="false">IF(INDEX(BookTitle,1188)="","",INDEX(BookDivision,1188))</f>
        <v/>
      </c>
      <c r="D1193" s="40" t="str">
        <f aca="false">IF(INDEX(BookTitle,1188)="","",INDEX(BookUnit,1188))</f>
        <v/>
      </c>
      <c r="E1193" s="40" t="str">
        <f aca="false">IF(INDEX(BookTitle,1188)="","",INDEX(BookTitle,1188))</f>
        <v/>
      </c>
      <c r="F1193" s="40" t="str">
        <f aca="false">IF(INDEX(BookTitle,1188)="","",INDEX(BookLevel,1188))</f>
        <v/>
      </c>
      <c r="G1193" s="40" t="str">
        <f aca="false">IF(INDEX(BookTitle,1188)="","",INDEX(BookCategory,1188))</f>
        <v/>
      </c>
      <c r="H1193" s="40" t="str">
        <f aca="false">IF(INDEX(BookTitle,1188)="","",INDEX(BookRank,1188))</f>
        <v/>
      </c>
      <c r="I1193" s="41" t="str">
        <f aca="false">IF(INDEX(BookTitle,1188)="","",INDEX(BookTotal,1188))</f>
        <v/>
      </c>
      <c r="J1193" s="0" t="str">
        <f aca="false">IF($I1193="","",IF(INDEX(BookQ1,1188)&gt;0,"Q1",IF(INDEX(BookQ2,1188)&gt;0,"Q2",IF(INDEX(BookQ3,1188)&gt;0,"Q3",IF(INDEX(BookQ4,1188)&gt;0,"Q4","")))))</f>
        <v/>
      </c>
      <c r="K1193" s="42" t="str">
        <f aca="false">IF(INDEX(BookTitle,1188)="","",INDEX(BookInYear,1188))</f>
        <v/>
      </c>
      <c r="L1193" s="19"/>
      <c r="M1193" s="39"/>
      <c r="N1193" s="19"/>
      <c r="O1193" s="19"/>
      <c r="P1193" s="43" t="str">
        <f aca="false">IF($E1193="","",IF($L1193="Decline",0,IF($L1193="Approve fewer",IF($M1193="","",$M1193),IF($L1193="","",$I1193))))</f>
        <v/>
      </c>
      <c r="Q1193" s="34" t="str">
        <f aca="false">IF($P1193="","",IF($N1193&lt;&gt;"",$N1193,$J1193))</f>
        <v/>
      </c>
      <c r="R1193" s="35" t="str">
        <f aca="false">IF(OR($P1193="",$Q1193=""),"",INDEX(BookRate,1188)*$P1193*(5-MATCH($Q1193,{"Q1";"Q2";"Q3";"Q4"},0))/4+INDEX(BookOneOff,1188)*$P1193)</f>
        <v/>
      </c>
      <c r="S1193" s="35" t="str">
        <f aca="false">IF($P1193="","",INDEX(BookRate,1188)*$P1193)</f>
        <v/>
      </c>
      <c r="T1193" s="35" t="str">
        <f aca="false">IF($R1193="","",$R1193-$K1193)</f>
        <v/>
      </c>
      <c r="U1193" s="35" t="str">
        <f aca="false">IF(N($P1193)&lt;=0,"",COUNTIF($P$6:$P1193,"&gt;0"))</f>
        <v/>
      </c>
    </row>
    <row r="1194" customFormat="false" ht="15" hidden="false" customHeight="false" outlineLevel="0" collapsed="false">
      <c r="A1194" s="40" t="str">
        <f aca="false">IF(INDEX(BookTitle,1189)="","",INDEX(BookGroup,1189))</f>
        <v/>
      </c>
      <c r="B1194" s="40" t="str">
        <f aca="false">IF(INDEX(BookTitle,1189)="","",INDEX(BookRef,1189))</f>
        <v/>
      </c>
      <c r="C1194" s="40" t="str">
        <f aca="false">IF(INDEX(BookTitle,1189)="","",INDEX(BookDivision,1189))</f>
        <v/>
      </c>
      <c r="D1194" s="40" t="str">
        <f aca="false">IF(INDEX(BookTitle,1189)="","",INDEX(BookUnit,1189))</f>
        <v/>
      </c>
      <c r="E1194" s="40" t="str">
        <f aca="false">IF(INDEX(BookTitle,1189)="","",INDEX(BookTitle,1189))</f>
        <v/>
      </c>
      <c r="F1194" s="40" t="str">
        <f aca="false">IF(INDEX(BookTitle,1189)="","",INDEX(BookLevel,1189))</f>
        <v/>
      </c>
      <c r="G1194" s="40" t="str">
        <f aca="false">IF(INDEX(BookTitle,1189)="","",INDEX(BookCategory,1189))</f>
        <v/>
      </c>
      <c r="H1194" s="40" t="str">
        <f aca="false">IF(INDEX(BookTitle,1189)="","",INDEX(BookRank,1189))</f>
        <v/>
      </c>
      <c r="I1194" s="41" t="str">
        <f aca="false">IF(INDEX(BookTitle,1189)="","",INDEX(BookTotal,1189))</f>
        <v/>
      </c>
      <c r="J1194" s="0" t="str">
        <f aca="false">IF($I1194="","",IF(INDEX(BookQ1,1189)&gt;0,"Q1",IF(INDEX(BookQ2,1189)&gt;0,"Q2",IF(INDEX(BookQ3,1189)&gt;0,"Q3",IF(INDEX(BookQ4,1189)&gt;0,"Q4","")))))</f>
        <v/>
      </c>
      <c r="K1194" s="42" t="str">
        <f aca="false">IF(INDEX(BookTitle,1189)="","",INDEX(BookInYear,1189))</f>
        <v/>
      </c>
      <c r="L1194" s="19"/>
      <c r="M1194" s="39"/>
      <c r="N1194" s="19"/>
      <c r="O1194" s="19"/>
      <c r="P1194" s="43" t="str">
        <f aca="false">IF($E1194="","",IF($L1194="Decline",0,IF($L1194="Approve fewer",IF($M1194="","",$M1194),IF($L1194="","",$I1194))))</f>
        <v/>
      </c>
      <c r="Q1194" s="34" t="str">
        <f aca="false">IF($P1194="","",IF($N1194&lt;&gt;"",$N1194,$J1194))</f>
        <v/>
      </c>
      <c r="R1194" s="35" t="str">
        <f aca="false">IF(OR($P1194="",$Q1194=""),"",INDEX(BookRate,1189)*$P1194*(5-MATCH($Q1194,{"Q1";"Q2";"Q3";"Q4"},0))/4+INDEX(BookOneOff,1189)*$P1194)</f>
        <v/>
      </c>
      <c r="S1194" s="35" t="str">
        <f aca="false">IF($P1194="","",INDEX(BookRate,1189)*$P1194)</f>
        <v/>
      </c>
      <c r="T1194" s="35" t="str">
        <f aca="false">IF($R1194="","",$R1194-$K1194)</f>
        <v/>
      </c>
      <c r="U1194" s="35" t="str">
        <f aca="false">IF(N($P1194)&lt;=0,"",COUNTIF($P$6:$P1194,"&gt;0"))</f>
        <v/>
      </c>
    </row>
    <row r="1195" customFormat="false" ht="15" hidden="false" customHeight="false" outlineLevel="0" collapsed="false">
      <c r="A1195" s="40" t="str">
        <f aca="false">IF(INDEX(BookTitle,1190)="","",INDEX(BookGroup,1190))</f>
        <v/>
      </c>
      <c r="B1195" s="40" t="str">
        <f aca="false">IF(INDEX(BookTitle,1190)="","",INDEX(BookRef,1190))</f>
        <v/>
      </c>
      <c r="C1195" s="40" t="str">
        <f aca="false">IF(INDEX(BookTitle,1190)="","",INDEX(BookDivision,1190))</f>
        <v/>
      </c>
      <c r="D1195" s="40" t="str">
        <f aca="false">IF(INDEX(BookTitle,1190)="","",INDEX(BookUnit,1190))</f>
        <v/>
      </c>
      <c r="E1195" s="40" t="str">
        <f aca="false">IF(INDEX(BookTitle,1190)="","",INDEX(BookTitle,1190))</f>
        <v/>
      </c>
      <c r="F1195" s="40" t="str">
        <f aca="false">IF(INDEX(BookTitle,1190)="","",INDEX(BookLevel,1190))</f>
        <v/>
      </c>
      <c r="G1195" s="40" t="str">
        <f aca="false">IF(INDEX(BookTitle,1190)="","",INDEX(BookCategory,1190))</f>
        <v/>
      </c>
      <c r="H1195" s="40" t="str">
        <f aca="false">IF(INDEX(BookTitle,1190)="","",INDEX(BookRank,1190))</f>
        <v/>
      </c>
      <c r="I1195" s="41" t="str">
        <f aca="false">IF(INDEX(BookTitle,1190)="","",INDEX(BookTotal,1190))</f>
        <v/>
      </c>
      <c r="J1195" s="0" t="str">
        <f aca="false">IF($I1195="","",IF(INDEX(BookQ1,1190)&gt;0,"Q1",IF(INDEX(BookQ2,1190)&gt;0,"Q2",IF(INDEX(BookQ3,1190)&gt;0,"Q3",IF(INDEX(BookQ4,1190)&gt;0,"Q4","")))))</f>
        <v/>
      </c>
      <c r="K1195" s="42" t="str">
        <f aca="false">IF(INDEX(BookTitle,1190)="","",INDEX(BookInYear,1190))</f>
        <v/>
      </c>
      <c r="L1195" s="19"/>
      <c r="M1195" s="39"/>
      <c r="N1195" s="19"/>
      <c r="O1195" s="19"/>
      <c r="P1195" s="43" t="str">
        <f aca="false">IF($E1195="","",IF($L1195="Decline",0,IF($L1195="Approve fewer",IF($M1195="","",$M1195),IF($L1195="","",$I1195))))</f>
        <v/>
      </c>
      <c r="Q1195" s="34" t="str">
        <f aca="false">IF($P1195="","",IF($N1195&lt;&gt;"",$N1195,$J1195))</f>
        <v/>
      </c>
      <c r="R1195" s="35" t="str">
        <f aca="false">IF(OR($P1195="",$Q1195=""),"",INDEX(BookRate,1190)*$P1195*(5-MATCH($Q1195,{"Q1";"Q2";"Q3";"Q4"},0))/4+INDEX(BookOneOff,1190)*$P1195)</f>
        <v/>
      </c>
      <c r="S1195" s="35" t="str">
        <f aca="false">IF($P1195="","",INDEX(BookRate,1190)*$P1195)</f>
        <v/>
      </c>
      <c r="T1195" s="35" t="str">
        <f aca="false">IF($R1195="","",$R1195-$K1195)</f>
        <v/>
      </c>
      <c r="U1195" s="35" t="str">
        <f aca="false">IF(N($P1195)&lt;=0,"",COUNTIF($P$6:$P1195,"&gt;0"))</f>
        <v/>
      </c>
    </row>
    <row r="1196" customFormat="false" ht="15" hidden="false" customHeight="false" outlineLevel="0" collapsed="false">
      <c r="A1196" s="40" t="str">
        <f aca="false">IF(INDEX(BookTitle,1191)="","",INDEX(BookGroup,1191))</f>
        <v/>
      </c>
      <c r="B1196" s="40" t="str">
        <f aca="false">IF(INDEX(BookTitle,1191)="","",INDEX(BookRef,1191))</f>
        <v/>
      </c>
      <c r="C1196" s="40" t="str">
        <f aca="false">IF(INDEX(BookTitle,1191)="","",INDEX(BookDivision,1191))</f>
        <v/>
      </c>
      <c r="D1196" s="40" t="str">
        <f aca="false">IF(INDEX(BookTitle,1191)="","",INDEX(BookUnit,1191))</f>
        <v/>
      </c>
      <c r="E1196" s="40" t="str">
        <f aca="false">IF(INDEX(BookTitle,1191)="","",INDEX(BookTitle,1191))</f>
        <v/>
      </c>
      <c r="F1196" s="40" t="str">
        <f aca="false">IF(INDEX(BookTitle,1191)="","",INDEX(BookLevel,1191))</f>
        <v/>
      </c>
      <c r="G1196" s="40" t="str">
        <f aca="false">IF(INDEX(BookTitle,1191)="","",INDEX(BookCategory,1191))</f>
        <v/>
      </c>
      <c r="H1196" s="40" t="str">
        <f aca="false">IF(INDEX(BookTitle,1191)="","",INDEX(BookRank,1191))</f>
        <v/>
      </c>
      <c r="I1196" s="41" t="str">
        <f aca="false">IF(INDEX(BookTitle,1191)="","",INDEX(BookTotal,1191))</f>
        <v/>
      </c>
      <c r="J1196" s="0" t="str">
        <f aca="false">IF($I1196="","",IF(INDEX(BookQ1,1191)&gt;0,"Q1",IF(INDEX(BookQ2,1191)&gt;0,"Q2",IF(INDEX(BookQ3,1191)&gt;0,"Q3",IF(INDEX(BookQ4,1191)&gt;0,"Q4","")))))</f>
        <v/>
      </c>
      <c r="K1196" s="42" t="str">
        <f aca="false">IF(INDEX(BookTitle,1191)="","",INDEX(BookInYear,1191))</f>
        <v/>
      </c>
      <c r="L1196" s="19"/>
      <c r="M1196" s="39"/>
      <c r="N1196" s="19"/>
      <c r="O1196" s="19"/>
      <c r="P1196" s="43" t="str">
        <f aca="false">IF($E1196="","",IF($L1196="Decline",0,IF($L1196="Approve fewer",IF($M1196="","",$M1196),IF($L1196="","",$I1196))))</f>
        <v/>
      </c>
      <c r="Q1196" s="34" t="str">
        <f aca="false">IF($P1196="","",IF($N1196&lt;&gt;"",$N1196,$J1196))</f>
        <v/>
      </c>
      <c r="R1196" s="35" t="str">
        <f aca="false">IF(OR($P1196="",$Q1196=""),"",INDEX(BookRate,1191)*$P1196*(5-MATCH($Q1196,{"Q1";"Q2";"Q3";"Q4"},0))/4+INDEX(BookOneOff,1191)*$P1196)</f>
        <v/>
      </c>
      <c r="S1196" s="35" t="str">
        <f aca="false">IF($P1196="","",INDEX(BookRate,1191)*$P1196)</f>
        <v/>
      </c>
      <c r="T1196" s="35" t="str">
        <f aca="false">IF($R1196="","",$R1196-$K1196)</f>
        <v/>
      </c>
      <c r="U1196" s="35" t="str">
        <f aca="false">IF(N($P1196)&lt;=0,"",COUNTIF($P$6:$P1196,"&gt;0"))</f>
        <v/>
      </c>
    </row>
    <row r="1197" customFormat="false" ht="15" hidden="false" customHeight="false" outlineLevel="0" collapsed="false">
      <c r="A1197" s="40" t="str">
        <f aca="false">IF(INDEX(BookTitle,1192)="","",INDEX(BookGroup,1192))</f>
        <v/>
      </c>
      <c r="B1197" s="40" t="str">
        <f aca="false">IF(INDEX(BookTitle,1192)="","",INDEX(BookRef,1192))</f>
        <v/>
      </c>
      <c r="C1197" s="40" t="str">
        <f aca="false">IF(INDEX(BookTitle,1192)="","",INDEX(BookDivision,1192))</f>
        <v/>
      </c>
      <c r="D1197" s="40" t="str">
        <f aca="false">IF(INDEX(BookTitle,1192)="","",INDEX(BookUnit,1192))</f>
        <v/>
      </c>
      <c r="E1197" s="40" t="str">
        <f aca="false">IF(INDEX(BookTitle,1192)="","",INDEX(BookTitle,1192))</f>
        <v/>
      </c>
      <c r="F1197" s="40" t="str">
        <f aca="false">IF(INDEX(BookTitle,1192)="","",INDEX(BookLevel,1192))</f>
        <v/>
      </c>
      <c r="G1197" s="40" t="str">
        <f aca="false">IF(INDEX(BookTitle,1192)="","",INDEX(BookCategory,1192))</f>
        <v/>
      </c>
      <c r="H1197" s="40" t="str">
        <f aca="false">IF(INDEX(BookTitle,1192)="","",INDEX(BookRank,1192))</f>
        <v/>
      </c>
      <c r="I1197" s="41" t="str">
        <f aca="false">IF(INDEX(BookTitle,1192)="","",INDEX(BookTotal,1192))</f>
        <v/>
      </c>
      <c r="J1197" s="0" t="str">
        <f aca="false">IF($I1197="","",IF(INDEX(BookQ1,1192)&gt;0,"Q1",IF(INDEX(BookQ2,1192)&gt;0,"Q2",IF(INDEX(BookQ3,1192)&gt;0,"Q3",IF(INDEX(BookQ4,1192)&gt;0,"Q4","")))))</f>
        <v/>
      </c>
      <c r="K1197" s="42" t="str">
        <f aca="false">IF(INDEX(BookTitle,1192)="","",INDEX(BookInYear,1192))</f>
        <v/>
      </c>
      <c r="L1197" s="19"/>
      <c r="M1197" s="39"/>
      <c r="N1197" s="19"/>
      <c r="O1197" s="19"/>
      <c r="P1197" s="43" t="str">
        <f aca="false">IF($E1197="","",IF($L1197="Decline",0,IF($L1197="Approve fewer",IF($M1197="","",$M1197),IF($L1197="","",$I1197))))</f>
        <v/>
      </c>
      <c r="Q1197" s="34" t="str">
        <f aca="false">IF($P1197="","",IF($N1197&lt;&gt;"",$N1197,$J1197))</f>
        <v/>
      </c>
      <c r="R1197" s="35" t="str">
        <f aca="false">IF(OR($P1197="",$Q1197=""),"",INDEX(BookRate,1192)*$P1197*(5-MATCH($Q1197,{"Q1";"Q2";"Q3";"Q4"},0))/4+INDEX(BookOneOff,1192)*$P1197)</f>
        <v/>
      </c>
      <c r="S1197" s="35" t="str">
        <f aca="false">IF($P1197="","",INDEX(BookRate,1192)*$P1197)</f>
        <v/>
      </c>
      <c r="T1197" s="35" t="str">
        <f aca="false">IF($R1197="","",$R1197-$K1197)</f>
        <v/>
      </c>
      <c r="U1197" s="35" t="str">
        <f aca="false">IF(N($P1197)&lt;=0,"",COUNTIF($P$6:$P1197,"&gt;0"))</f>
        <v/>
      </c>
    </row>
    <row r="1198" customFormat="false" ht="15" hidden="false" customHeight="false" outlineLevel="0" collapsed="false">
      <c r="A1198" s="40" t="str">
        <f aca="false">IF(INDEX(BookTitle,1193)="","",INDEX(BookGroup,1193))</f>
        <v/>
      </c>
      <c r="B1198" s="40" t="str">
        <f aca="false">IF(INDEX(BookTitle,1193)="","",INDEX(BookRef,1193))</f>
        <v/>
      </c>
      <c r="C1198" s="40" t="str">
        <f aca="false">IF(INDEX(BookTitle,1193)="","",INDEX(BookDivision,1193))</f>
        <v/>
      </c>
      <c r="D1198" s="40" t="str">
        <f aca="false">IF(INDEX(BookTitle,1193)="","",INDEX(BookUnit,1193))</f>
        <v/>
      </c>
      <c r="E1198" s="40" t="str">
        <f aca="false">IF(INDEX(BookTitle,1193)="","",INDEX(BookTitle,1193))</f>
        <v/>
      </c>
      <c r="F1198" s="40" t="str">
        <f aca="false">IF(INDEX(BookTitle,1193)="","",INDEX(BookLevel,1193))</f>
        <v/>
      </c>
      <c r="G1198" s="40" t="str">
        <f aca="false">IF(INDEX(BookTitle,1193)="","",INDEX(BookCategory,1193))</f>
        <v/>
      </c>
      <c r="H1198" s="40" t="str">
        <f aca="false">IF(INDEX(BookTitle,1193)="","",INDEX(BookRank,1193))</f>
        <v/>
      </c>
      <c r="I1198" s="41" t="str">
        <f aca="false">IF(INDEX(BookTitle,1193)="","",INDEX(BookTotal,1193))</f>
        <v/>
      </c>
      <c r="J1198" s="0" t="str">
        <f aca="false">IF($I1198="","",IF(INDEX(BookQ1,1193)&gt;0,"Q1",IF(INDEX(BookQ2,1193)&gt;0,"Q2",IF(INDEX(BookQ3,1193)&gt;0,"Q3",IF(INDEX(BookQ4,1193)&gt;0,"Q4","")))))</f>
        <v/>
      </c>
      <c r="K1198" s="42" t="str">
        <f aca="false">IF(INDEX(BookTitle,1193)="","",INDEX(BookInYear,1193))</f>
        <v/>
      </c>
      <c r="L1198" s="19"/>
      <c r="M1198" s="39"/>
      <c r="N1198" s="19"/>
      <c r="O1198" s="19"/>
      <c r="P1198" s="43" t="str">
        <f aca="false">IF($E1198="","",IF($L1198="Decline",0,IF($L1198="Approve fewer",IF($M1198="","",$M1198),IF($L1198="","",$I1198))))</f>
        <v/>
      </c>
      <c r="Q1198" s="34" t="str">
        <f aca="false">IF($P1198="","",IF($N1198&lt;&gt;"",$N1198,$J1198))</f>
        <v/>
      </c>
      <c r="R1198" s="35" t="str">
        <f aca="false">IF(OR($P1198="",$Q1198=""),"",INDEX(BookRate,1193)*$P1198*(5-MATCH($Q1198,{"Q1";"Q2";"Q3";"Q4"},0))/4+INDEX(BookOneOff,1193)*$P1198)</f>
        <v/>
      </c>
      <c r="S1198" s="35" t="str">
        <f aca="false">IF($P1198="","",INDEX(BookRate,1193)*$P1198)</f>
        <v/>
      </c>
      <c r="T1198" s="35" t="str">
        <f aca="false">IF($R1198="","",$R1198-$K1198)</f>
        <v/>
      </c>
      <c r="U1198" s="35" t="str">
        <f aca="false">IF(N($P1198)&lt;=0,"",COUNTIF($P$6:$P1198,"&gt;0"))</f>
        <v/>
      </c>
    </row>
    <row r="1199" customFormat="false" ht="15" hidden="false" customHeight="false" outlineLevel="0" collapsed="false">
      <c r="A1199" s="40" t="str">
        <f aca="false">IF(INDEX(BookTitle,1194)="","",INDEX(BookGroup,1194))</f>
        <v/>
      </c>
      <c r="B1199" s="40" t="str">
        <f aca="false">IF(INDEX(BookTitle,1194)="","",INDEX(BookRef,1194))</f>
        <v/>
      </c>
      <c r="C1199" s="40" t="str">
        <f aca="false">IF(INDEX(BookTitle,1194)="","",INDEX(BookDivision,1194))</f>
        <v/>
      </c>
      <c r="D1199" s="40" t="str">
        <f aca="false">IF(INDEX(BookTitle,1194)="","",INDEX(BookUnit,1194))</f>
        <v/>
      </c>
      <c r="E1199" s="40" t="str">
        <f aca="false">IF(INDEX(BookTitle,1194)="","",INDEX(BookTitle,1194))</f>
        <v/>
      </c>
      <c r="F1199" s="40" t="str">
        <f aca="false">IF(INDEX(BookTitle,1194)="","",INDEX(BookLevel,1194))</f>
        <v/>
      </c>
      <c r="G1199" s="40" t="str">
        <f aca="false">IF(INDEX(BookTitle,1194)="","",INDEX(BookCategory,1194))</f>
        <v/>
      </c>
      <c r="H1199" s="40" t="str">
        <f aca="false">IF(INDEX(BookTitle,1194)="","",INDEX(BookRank,1194))</f>
        <v/>
      </c>
      <c r="I1199" s="41" t="str">
        <f aca="false">IF(INDEX(BookTitle,1194)="","",INDEX(BookTotal,1194))</f>
        <v/>
      </c>
      <c r="J1199" s="0" t="str">
        <f aca="false">IF($I1199="","",IF(INDEX(BookQ1,1194)&gt;0,"Q1",IF(INDEX(BookQ2,1194)&gt;0,"Q2",IF(INDEX(BookQ3,1194)&gt;0,"Q3",IF(INDEX(BookQ4,1194)&gt;0,"Q4","")))))</f>
        <v/>
      </c>
      <c r="K1199" s="42" t="str">
        <f aca="false">IF(INDEX(BookTitle,1194)="","",INDEX(BookInYear,1194))</f>
        <v/>
      </c>
      <c r="L1199" s="19"/>
      <c r="M1199" s="39"/>
      <c r="N1199" s="19"/>
      <c r="O1199" s="19"/>
      <c r="P1199" s="43" t="str">
        <f aca="false">IF($E1199="","",IF($L1199="Decline",0,IF($L1199="Approve fewer",IF($M1199="","",$M1199),IF($L1199="","",$I1199))))</f>
        <v/>
      </c>
      <c r="Q1199" s="34" t="str">
        <f aca="false">IF($P1199="","",IF($N1199&lt;&gt;"",$N1199,$J1199))</f>
        <v/>
      </c>
      <c r="R1199" s="35" t="str">
        <f aca="false">IF(OR($P1199="",$Q1199=""),"",INDEX(BookRate,1194)*$P1199*(5-MATCH($Q1199,{"Q1";"Q2";"Q3";"Q4"},0))/4+INDEX(BookOneOff,1194)*$P1199)</f>
        <v/>
      </c>
      <c r="S1199" s="35" t="str">
        <f aca="false">IF($P1199="","",INDEX(BookRate,1194)*$P1199)</f>
        <v/>
      </c>
      <c r="T1199" s="35" t="str">
        <f aca="false">IF($R1199="","",$R1199-$K1199)</f>
        <v/>
      </c>
      <c r="U1199" s="35" t="str">
        <f aca="false">IF(N($P1199)&lt;=0,"",COUNTIF($P$6:$P1199,"&gt;0"))</f>
        <v/>
      </c>
    </row>
    <row r="1200" customFormat="false" ht="15" hidden="false" customHeight="false" outlineLevel="0" collapsed="false">
      <c r="A1200" s="40" t="str">
        <f aca="false">IF(INDEX(BookTitle,1195)="","",INDEX(BookGroup,1195))</f>
        <v/>
      </c>
      <c r="B1200" s="40" t="str">
        <f aca="false">IF(INDEX(BookTitle,1195)="","",INDEX(BookRef,1195))</f>
        <v/>
      </c>
      <c r="C1200" s="40" t="str">
        <f aca="false">IF(INDEX(BookTitle,1195)="","",INDEX(BookDivision,1195))</f>
        <v/>
      </c>
      <c r="D1200" s="40" t="str">
        <f aca="false">IF(INDEX(BookTitle,1195)="","",INDEX(BookUnit,1195))</f>
        <v/>
      </c>
      <c r="E1200" s="40" t="str">
        <f aca="false">IF(INDEX(BookTitle,1195)="","",INDEX(BookTitle,1195))</f>
        <v/>
      </c>
      <c r="F1200" s="40" t="str">
        <f aca="false">IF(INDEX(BookTitle,1195)="","",INDEX(BookLevel,1195))</f>
        <v/>
      </c>
      <c r="G1200" s="40" t="str">
        <f aca="false">IF(INDEX(BookTitle,1195)="","",INDEX(BookCategory,1195))</f>
        <v/>
      </c>
      <c r="H1200" s="40" t="str">
        <f aca="false">IF(INDEX(BookTitle,1195)="","",INDEX(BookRank,1195))</f>
        <v/>
      </c>
      <c r="I1200" s="41" t="str">
        <f aca="false">IF(INDEX(BookTitle,1195)="","",INDEX(BookTotal,1195))</f>
        <v/>
      </c>
      <c r="J1200" s="0" t="str">
        <f aca="false">IF($I1200="","",IF(INDEX(BookQ1,1195)&gt;0,"Q1",IF(INDEX(BookQ2,1195)&gt;0,"Q2",IF(INDEX(BookQ3,1195)&gt;0,"Q3",IF(INDEX(BookQ4,1195)&gt;0,"Q4","")))))</f>
        <v/>
      </c>
      <c r="K1200" s="42" t="str">
        <f aca="false">IF(INDEX(BookTitle,1195)="","",INDEX(BookInYear,1195))</f>
        <v/>
      </c>
      <c r="L1200" s="19"/>
      <c r="M1200" s="39"/>
      <c r="N1200" s="19"/>
      <c r="O1200" s="19"/>
      <c r="P1200" s="43" t="str">
        <f aca="false">IF($E1200="","",IF($L1200="Decline",0,IF($L1200="Approve fewer",IF($M1200="","",$M1200),IF($L1200="","",$I1200))))</f>
        <v/>
      </c>
      <c r="Q1200" s="34" t="str">
        <f aca="false">IF($P1200="","",IF($N1200&lt;&gt;"",$N1200,$J1200))</f>
        <v/>
      </c>
      <c r="R1200" s="35" t="str">
        <f aca="false">IF(OR($P1200="",$Q1200=""),"",INDEX(BookRate,1195)*$P1200*(5-MATCH($Q1200,{"Q1";"Q2";"Q3";"Q4"},0))/4+INDEX(BookOneOff,1195)*$P1200)</f>
        <v/>
      </c>
      <c r="S1200" s="35" t="str">
        <f aca="false">IF($P1200="","",INDEX(BookRate,1195)*$P1200)</f>
        <v/>
      </c>
      <c r="T1200" s="35" t="str">
        <f aca="false">IF($R1200="","",$R1200-$K1200)</f>
        <v/>
      </c>
      <c r="U1200" s="35" t="str">
        <f aca="false">IF(N($P1200)&lt;=0,"",COUNTIF($P$6:$P1200,"&gt;0"))</f>
        <v/>
      </c>
    </row>
    <row r="1201" customFormat="false" ht="15" hidden="false" customHeight="false" outlineLevel="0" collapsed="false">
      <c r="A1201" s="40" t="str">
        <f aca="false">IF(INDEX(BookTitle,1196)="","",INDEX(BookGroup,1196))</f>
        <v/>
      </c>
      <c r="B1201" s="40" t="str">
        <f aca="false">IF(INDEX(BookTitle,1196)="","",INDEX(BookRef,1196))</f>
        <v/>
      </c>
      <c r="C1201" s="40" t="str">
        <f aca="false">IF(INDEX(BookTitle,1196)="","",INDEX(BookDivision,1196))</f>
        <v/>
      </c>
      <c r="D1201" s="40" t="str">
        <f aca="false">IF(INDEX(BookTitle,1196)="","",INDEX(BookUnit,1196))</f>
        <v/>
      </c>
      <c r="E1201" s="40" t="str">
        <f aca="false">IF(INDEX(BookTitle,1196)="","",INDEX(BookTitle,1196))</f>
        <v/>
      </c>
      <c r="F1201" s="40" t="str">
        <f aca="false">IF(INDEX(BookTitle,1196)="","",INDEX(BookLevel,1196))</f>
        <v/>
      </c>
      <c r="G1201" s="40" t="str">
        <f aca="false">IF(INDEX(BookTitle,1196)="","",INDEX(BookCategory,1196))</f>
        <v/>
      </c>
      <c r="H1201" s="40" t="str">
        <f aca="false">IF(INDEX(BookTitle,1196)="","",INDEX(BookRank,1196))</f>
        <v/>
      </c>
      <c r="I1201" s="41" t="str">
        <f aca="false">IF(INDEX(BookTitle,1196)="","",INDEX(BookTotal,1196))</f>
        <v/>
      </c>
      <c r="J1201" s="0" t="str">
        <f aca="false">IF($I1201="","",IF(INDEX(BookQ1,1196)&gt;0,"Q1",IF(INDEX(BookQ2,1196)&gt;0,"Q2",IF(INDEX(BookQ3,1196)&gt;0,"Q3",IF(INDEX(BookQ4,1196)&gt;0,"Q4","")))))</f>
        <v/>
      </c>
      <c r="K1201" s="42" t="str">
        <f aca="false">IF(INDEX(BookTitle,1196)="","",INDEX(BookInYear,1196))</f>
        <v/>
      </c>
      <c r="L1201" s="19"/>
      <c r="M1201" s="39"/>
      <c r="N1201" s="19"/>
      <c r="O1201" s="19"/>
      <c r="P1201" s="43" t="str">
        <f aca="false">IF($E1201="","",IF($L1201="Decline",0,IF($L1201="Approve fewer",IF($M1201="","",$M1201),IF($L1201="","",$I1201))))</f>
        <v/>
      </c>
      <c r="Q1201" s="34" t="str">
        <f aca="false">IF($P1201="","",IF($N1201&lt;&gt;"",$N1201,$J1201))</f>
        <v/>
      </c>
      <c r="R1201" s="35" t="str">
        <f aca="false">IF(OR($P1201="",$Q1201=""),"",INDEX(BookRate,1196)*$P1201*(5-MATCH($Q1201,{"Q1";"Q2";"Q3";"Q4"},0))/4+INDEX(BookOneOff,1196)*$P1201)</f>
        <v/>
      </c>
      <c r="S1201" s="35" t="str">
        <f aca="false">IF($P1201="","",INDEX(BookRate,1196)*$P1201)</f>
        <v/>
      </c>
      <c r="T1201" s="35" t="str">
        <f aca="false">IF($R1201="","",$R1201-$K1201)</f>
        <v/>
      </c>
      <c r="U1201" s="35" t="str">
        <f aca="false">IF(N($P1201)&lt;=0,"",COUNTIF($P$6:$P1201,"&gt;0"))</f>
        <v/>
      </c>
    </row>
    <row r="1202" customFormat="false" ht="15" hidden="false" customHeight="false" outlineLevel="0" collapsed="false">
      <c r="A1202" s="40" t="str">
        <f aca="false">IF(INDEX(BookTitle,1197)="","",INDEX(BookGroup,1197))</f>
        <v/>
      </c>
      <c r="B1202" s="40" t="str">
        <f aca="false">IF(INDEX(BookTitle,1197)="","",INDEX(BookRef,1197))</f>
        <v/>
      </c>
      <c r="C1202" s="40" t="str">
        <f aca="false">IF(INDEX(BookTitle,1197)="","",INDEX(BookDivision,1197))</f>
        <v/>
      </c>
      <c r="D1202" s="40" t="str">
        <f aca="false">IF(INDEX(BookTitle,1197)="","",INDEX(BookUnit,1197))</f>
        <v/>
      </c>
      <c r="E1202" s="40" t="str">
        <f aca="false">IF(INDEX(BookTitle,1197)="","",INDEX(BookTitle,1197))</f>
        <v/>
      </c>
      <c r="F1202" s="40" t="str">
        <f aca="false">IF(INDEX(BookTitle,1197)="","",INDEX(BookLevel,1197))</f>
        <v/>
      </c>
      <c r="G1202" s="40" t="str">
        <f aca="false">IF(INDEX(BookTitle,1197)="","",INDEX(BookCategory,1197))</f>
        <v/>
      </c>
      <c r="H1202" s="40" t="str">
        <f aca="false">IF(INDEX(BookTitle,1197)="","",INDEX(BookRank,1197))</f>
        <v/>
      </c>
      <c r="I1202" s="41" t="str">
        <f aca="false">IF(INDEX(BookTitle,1197)="","",INDEX(BookTotal,1197))</f>
        <v/>
      </c>
      <c r="J1202" s="0" t="str">
        <f aca="false">IF($I1202="","",IF(INDEX(BookQ1,1197)&gt;0,"Q1",IF(INDEX(BookQ2,1197)&gt;0,"Q2",IF(INDEX(BookQ3,1197)&gt;0,"Q3",IF(INDEX(BookQ4,1197)&gt;0,"Q4","")))))</f>
        <v/>
      </c>
      <c r="K1202" s="42" t="str">
        <f aca="false">IF(INDEX(BookTitle,1197)="","",INDEX(BookInYear,1197))</f>
        <v/>
      </c>
      <c r="L1202" s="19"/>
      <c r="M1202" s="39"/>
      <c r="N1202" s="19"/>
      <c r="O1202" s="19"/>
      <c r="P1202" s="43" t="str">
        <f aca="false">IF($E1202="","",IF($L1202="Decline",0,IF($L1202="Approve fewer",IF($M1202="","",$M1202),IF($L1202="","",$I1202))))</f>
        <v/>
      </c>
      <c r="Q1202" s="34" t="str">
        <f aca="false">IF($P1202="","",IF($N1202&lt;&gt;"",$N1202,$J1202))</f>
        <v/>
      </c>
      <c r="R1202" s="35" t="str">
        <f aca="false">IF(OR($P1202="",$Q1202=""),"",INDEX(BookRate,1197)*$P1202*(5-MATCH($Q1202,{"Q1";"Q2";"Q3";"Q4"},0))/4+INDEX(BookOneOff,1197)*$P1202)</f>
        <v/>
      </c>
      <c r="S1202" s="35" t="str">
        <f aca="false">IF($P1202="","",INDEX(BookRate,1197)*$P1202)</f>
        <v/>
      </c>
      <c r="T1202" s="35" t="str">
        <f aca="false">IF($R1202="","",$R1202-$K1202)</f>
        <v/>
      </c>
      <c r="U1202" s="35" t="str">
        <f aca="false">IF(N($P1202)&lt;=0,"",COUNTIF($P$6:$P1202,"&gt;0"))</f>
        <v/>
      </c>
    </row>
    <row r="1203" customFormat="false" ht="15" hidden="false" customHeight="false" outlineLevel="0" collapsed="false">
      <c r="A1203" s="40" t="str">
        <f aca="false">IF(INDEX(BookTitle,1198)="","",INDEX(BookGroup,1198))</f>
        <v/>
      </c>
      <c r="B1203" s="40" t="str">
        <f aca="false">IF(INDEX(BookTitle,1198)="","",INDEX(BookRef,1198))</f>
        <v/>
      </c>
      <c r="C1203" s="40" t="str">
        <f aca="false">IF(INDEX(BookTitle,1198)="","",INDEX(BookDivision,1198))</f>
        <v/>
      </c>
      <c r="D1203" s="40" t="str">
        <f aca="false">IF(INDEX(BookTitle,1198)="","",INDEX(BookUnit,1198))</f>
        <v/>
      </c>
      <c r="E1203" s="40" t="str">
        <f aca="false">IF(INDEX(BookTitle,1198)="","",INDEX(BookTitle,1198))</f>
        <v/>
      </c>
      <c r="F1203" s="40" t="str">
        <f aca="false">IF(INDEX(BookTitle,1198)="","",INDEX(BookLevel,1198))</f>
        <v/>
      </c>
      <c r="G1203" s="40" t="str">
        <f aca="false">IF(INDEX(BookTitle,1198)="","",INDEX(BookCategory,1198))</f>
        <v/>
      </c>
      <c r="H1203" s="40" t="str">
        <f aca="false">IF(INDEX(BookTitle,1198)="","",INDEX(BookRank,1198))</f>
        <v/>
      </c>
      <c r="I1203" s="41" t="str">
        <f aca="false">IF(INDEX(BookTitle,1198)="","",INDEX(BookTotal,1198))</f>
        <v/>
      </c>
      <c r="J1203" s="0" t="str">
        <f aca="false">IF($I1203="","",IF(INDEX(BookQ1,1198)&gt;0,"Q1",IF(INDEX(BookQ2,1198)&gt;0,"Q2",IF(INDEX(BookQ3,1198)&gt;0,"Q3",IF(INDEX(BookQ4,1198)&gt;0,"Q4","")))))</f>
        <v/>
      </c>
      <c r="K1203" s="42" t="str">
        <f aca="false">IF(INDEX(BookTitle,1198)="","",INDEX(BookInYear,1198))</f>
        <v/>
      </c>
      <c r="L1203" s="19"/>
      <c r="M1203" s="39"/>
      <c r="N1203" s="19"/>
      <c r="O1203" s="19"/>
      <c r="P1203" s="43" t="str">
        <f aca="false">IF($E1203="","",IF($L1203="Decline",0,IF($L1203="Approve fewer",IF($M1203="","",$M1203),IF($L1203="","",$I1203))))</f>
        <v/>
      </c>
      <c r="Q1203" s="34" t="str">
        <f aca="false">IF($P1203="","",IF($N1203&lt;&gt;"",$N1203,$J1203))</f>
        <v/>
      </c>
      <c r="R1203" s="35" t="str">
        <f aca="false">IF(OR($P1203="",$Q1203=""),"",INDEX(BookRate,1198)*$P1203*(5-MATCH($Q1203,{"Q1";"Q2";"Q3";"Q4"},0))/4+INDEX(BookOneOff,1198)*$P1203)</f>
        <v/>
      </c>
      <c r="S1203" s="35" t="str">
        <f aca="false">IF($P1203="","",INDEX(BookRate,1198)*$P1203)</f>
        <v/>
      </c>
      <c r="T1203" s="35" t="str">
        <f aca="false">IF($R1203="","",$R1203-$K1203)</f>
        <v/>
      </c>
      <c r="U1203" s="35" t="str">
        <f aca="false">IF(N($P1203)&lt;=0,"",COUNTIF($P$6:$P1203,"&gt;0"))</f>
        <v/>
      </c>
    </row>
    <row r="1204" customFormat="false" ht="15" hidden="false" customHeight="false" outlineLevel="0" collapsed="false">
      <c r="A1204" s="40" t="str">
        <f aca="false">IF(INDEX(BookTitle,1199)="","",INDEX(BookGroup,1199))</f>
        <v/>
      </c>
      <c r="B1204" s="40" t="str">
        <f aca="false">IF(INDEX(BookTitle,1199)="","",INDEX(BookRef,1199))</f>
        <v/>
      </c>
      <c r="C1204" s="40" t="str">
        <f aca="false">IF(INDEX(BookTitle,1199)="","",INDEX(BookDivision,1199))</f>
        <v/>
      </c>
      <c r="D1204" s="40" t="str">
        <f aca="false">IF(INDEX(BookTitle,1199)="","",INDEX(BookUnit,1199))</f>
        <v/>
      </c>
      <c r="E1204" s="40" t="str">
        <f aca="false">IF(INDEX(BookTitle,1199)="","",INDEX(BookTitle,1199))</f>
        <v/>
      </c>
      <c r="F1204" s="40" t="str">
        <f aca="false">IF(INDEX(BookTitle,1199)="","",INDEX(BookLevel,1199))</f>
        <v/>
      </c>
      <c r="G1204" s="40" t="str">
        <f aca="false">IF(INDEX(BookTitle,1199)="","",INDEX(BookCategory,1199))</f>
        <v/>
      </c>
      <c r="H1204" s="40" t="str">
        <f aca="false">IF(INDEX(BookTitle,1199)="","",INDEX(BookRank,1199))</f>
        <v/>
      </c>
      <c r="I1204" s="41" t="str">
        <f aca="false">IF(INDEX(BookTitle,1199)="","",INDEX(BookTotal,1199))</f>
        <v/>
      </c>
      <c r="J1204" s="0" t="str">
        <f aca="false">IF($I1204="","",IF(INDEX(BookQ1,1199)&gt;0,"Q1",IF(INDEX(BookQ2,1199)&gt;0,"Q2",IF(INDEX(BookQ3,1199)&gt;0,"Q3",IF(INDEX(BookQ4,1199)&gt;0,"Q4","")))))</f>
        <v/>
      </c>
      <c r="K1204" s="42" t="str">
        <f aca="false">IF(INDEX(BookTitle,1199)="","",INDEX(BookInYear,1199))</f>
        <v/>
      </c>
      <c r="L1204" s="19"/>
      <c r="M1204" s="39"/>
      <c r="N1204" s="19"/>
      <c r="O1204" s="19"/>
      <c r="P1204" s="43" t="str">
        <f aca="false">IF($E1204="","",IF($L1204="Decline",0,IF($L1204="Approve fewer",IF($M1204="","",$M1204),IF($L1204="","",$I1204))))</f>
        <v/>
      </c>
      <c r="Q1204" s="34" t="str">
        <f aca="false">IF($P1204="","",IF($N1204&lt;&gt;"",$N1204,$J1204))</f>
        <v/>
      </c>
      <c r="R1204" s="35" t="str">
        <f aca="false">IF(OR($P1204="",$Q1204=""),"",INDEX(BookRate,1199)*$P1204*(5-MATCH($Q1204,{"Q1";"Q2";"Q3";"Q4"},0))/4+INDEX(BookOneOff,1199)*$P1204)</f>
        <v/>
      </c>
      <c r="S1204" s="35" t="str">
        <f aca="false">IF($P1204="","",INDEX(BookRate,1199)*$P1204)</f>
        <v/>
      </c>
      <c r="T1204" s="35" t="str">
        <f aca="false">IF($R1204="","",$R1204-$K1204)</f>
        <v/>
      </c>
      <c r="U1204" s="35" t="str">
        <f aca="false">IF(N($P1204)&lt;=0,"",COUNTIF($P$6:$P1204,"&gt;0"))</f>
        <v/>
      </c>
    </row>
    <row r="1205" customFormat="false" ht="15" hidden="false" customHeight="false" outlineLevel="0" collapsed="false">
      <c r="A1205" s="40" t="str">
        <f aca="false">IF(INDEX(BookTitle,1200)="","",INDEX(BookGroup,1200))</f>
        <v/>
      </c>
      <c r="B1205" s="40" t="str">
        <f aca="false">IF(INDEX(BookTitle,1200)="","",INDEX(BookRef,1200))</f>
        <v/>
      </c>
      <c r="C1205" s="40" t="str">
        <f aca="false">IF(INDEX(BookTitle,1200)="","",INDEX(BookDivision,1200))</f>
        <v/>
      </c>
      <c r="D1205" s="40" t="str">
        <f aca="false">IF(INDEX(BookTitle,1200)="","",INDEX(BookUnit,1200))</f>
        <v/>
      </c>
      <c r="E1205" s="40" t="str">
        <f aca="false">IF(INDEX(BookTitle,1200)="","",INDEX(BookTitle,1200))</f>
        <v/>
      </c>
      <c r="F1205" s="40" t="str">
        <f aca="false">IF(INDEX(BookTitle,1200)="","",INDEX(BookLevel,1200))</f>
        <v/>
      </c>
      <c r="G1205" s="40" t="str">
        <f aca="false">IF(INDEX(BookTitle,1200)="","",INDEX(BookCategory,1200))</f>
        <v/>
      </c>
      <c r="H1205" s="40" t="str">
        <f aca="false">IF(INDEX(BookTitle,1200)="","",INDEX(BookRank,1200))</f>
        <v/>
      </c>
      <c r="I1205" s="41" t="str">
        <f aca="false">IF(INDEX(BookTitle,1200)="","",INDEX(BookTotal,1200))</f>
        <v/>
      </c>
      <c r="J1205" s="0" t="str">
        <f aca="false">IF($I1205="","",IF(INDEX(BookQ1,1200)&gt;0,"Q1",IF(INDEX(BookQ2,1200)&gt;0,"Q2",IF(INDEX(BookQ3,1200)&gt;0,"Q3",IF(INDEX(BookQ4,1200)&gt;0,"Q4","")))))</f>
        <v/>
      </c>
      <c r="K1205" s="42" t="str">
        <f aca="false">IF(INDEX(BookTitle,1200)="","",INDEX(BookInYear,1200))</f>
        <v/>
      </c>
      <c r="L1205" s="19"/>
      <c r="M1205" s="39"/>
      <c r="N1205" s="19"/>
      <c r="O1205" s="19"/>
      <c r="P1205" s="43" t="str">
        <f aca="false">IF($E1205="","",IF($L1205="Decline",0,IF($L1205="Approve fewer",IF($M1205="","",$M1205),IF($L1205="","",$I1205))))</f>
        <v/>
      </c>
      <c r="Q1205" s="34" t="str">
        <f aca="false">IF($P1205="","",IF($N1205&lt;&gt;"",$N1205,$J1205))</f>
        <v/>
      </c>
      <c r="R1205" s="35" t="str">
        <f aca="false">IF(OR($P1205="",$Q1205=""),"",INDEX(BookRate,1200)*$P1205*(5-MATCH($Q1205,{"Q1";"Q2";"Q3";"Q4"},0))/4+INDEX(BookOneOff,1200)*$P1205)</f>
        <v/>
      </c>
      <c r="S1205" s="35" t="str">
        <f aca="false">IF($P1205="","",INDEX(BookRate,1200)*$P1205)</f>
        <v/>
      </c>
      <c r="T1205" s="35" t="str">
        <f aca="false">IF($R1205="","",$R1205-$K1205)</f>
        <v/>
      </c>
      <c r="U1205" s="35" t="str">
        <f aca="false">IF(N($P1205)&lt;=0,"",COUNTIF($P$6:$P1205,"&gt;0"))</f>
        <v/>
      </c>
    </row>
    <row r="1206" customFormat="false" ht="15" hidden="false" customHeight="false" outlineLevel="0" collapsed="false">
      <c r="A1206" s="40" t="str">
        <f aca="false">IF(INDEX(BookTitle,1201)="","",INDEX(BookGroup,1201))</f>
        <v/>
      </c>
      <c r="B1206" s="40" t="str">
        <f aca="false">IF(INDEX(BookTitle,1201)="","",INDEX(BookRef,1201))</f>
        <v/>
      </c>
      <c r="C1206" s="40" t="str">
        <f aca="false">IF(INDEX(BookTitle,1201)="","",INDEX(BookDivision,1201))</f>
        <v/>
      </c>
      <c r="D1206" s="40" t="str">
        <f aca="false">IF(INDEX(BookTitle,1201)="","",INDEX(BookUnit,1201))</f>
        <v/>
      </c>
      <c r="E1206" s="40" t="str">
        <f aca="false">IF(INDEX(BookTitle,1201)="","",INDEX(BookTitle,1201))</f>
        <v/>
      </c>
      <c r="F1206" s="40" t="str">
        <f aca="false">IF(INDEX(BookTitle,1201)="","",INDEX(BookLevel,1201))</f>
        <v/>
      </c>
      <c r="G1206" s="40" t="str">
        <f aca="false">IF(INDEX(BookTitle,1201)="","",INDEX(BookCategory,1201))</f>
        <v/>
      </c>
      <c r="H1206" s="40" t="str">
        <f aca="false">IF(INDEX(BookTitle,1201)="","",INDEX(BookRank,1201))</f>
        <v/>
      </c>
      <c r="I1206" s="41" t="str">
        <f aca="false">IF(INDEX(BookTitle,1201)="","",INDEX(BookTotal,1201))</f>
        <v/>
      </c>
      <c r="J1206" s="0" t="str">
        <f aca="false">IF($I1206="","",IF(INDEX(BookQ1,1201)&gt;0,"Q1",IF(INDEX(BookQ2,1201)&gt;0,"Q2",IF(INDEX(BookQ3,1201)&gt;0,"Q3",IF(INDEX(BookQ4,1201)&gt;0,"Q4","")))))</f>
        <v/>
      </c>
      <c r="K1206" s="42" t="str">
        <f aca="false">IF(INDEX(BookTitle,1201)="","",INDEX(BookInYear,1201))</f>
        <v/>
      </c>
      <c r="L1206" s="19"/>
      <c r="M1206" s="39"/>
      <c r="N1206" s="19"/>
      <c r="O1206" s="19"/>
      <c r="P1206" s="43" t="str">
        <f aca="false">IF($E1206="","",IF($L1206="Decline",0,IF($L1206="Approve fewer",IF($M1206="","",$M1206),IF($L1206="","",$I1206))))</f>
        <v/>
      </c>
      <c r="Q1206" s="34" t="str">
        <f aca="false">IF($P1206="","",IF($N1206&lt;&gt;"",$N1206,$J1206))</f>
        <v/>
      </c>
      <c r="R1206" s="35" t="str">
        <f aca="false">IF(OR($P1206="",$Q1206=""),"",INDEX(BookRate,1201)*$P1206*(5-MATCH($Q1206,{"Q1";"Q2";"Q3";"Q4"},0))/4+INDEX(BookOneOff,1201)*$P1206)</f>
        <v/>
      </c>
      <c r="S1206" s="35" t="str">
        <f aca="false">IF($P1206="","",INDEX(BookRate,1201)*$P1206)</f>
        <v/>
      </c>
      <c r="T1206" s="35" t="str">
        <f aca="false">IF($R1206="","",$R1206-$K1206)</f>
        <v/>
      </c>
      <c r="U1206" s="35" t="str">
        <f aca="false">IF(N($P1206)&lt;=0,"",COUNTIF($P$6:$P1206,"&gt;0"))</f>
        <v/>
      </c>
    </row>
    <row r="1207" customFormat="false" ht="15" hidden="false" customHeight="false" outlineLevel="0" collapsed="false">
      <c r="A1207" s="40" t="str">
        <f aca="false">IF(INDEX(BookTitle,1202)="","",INDEX(BookGroup,1202))</f>
        <v/>
      </c>
      <c r="B1207" s="40" t="str">
        <f aca="false">IF(INDEX(BookTitle,1202)="","",INDEX(BookRef,1202))</f>
        <v/>
      </c>
      <c r="C1207" s="40" t="str">
        <f aca="false">IF(INDEX(BookTitle,1202)="","",INDEX(BookDivision,1202))</f>
        <v/>
      </c>
      <c r="D1207" s="40" t="str">
        <f aca="false">IF(INDEX(BookTitle,1202)="","",INDEX(BookUnit,1202))</f>
        <v/>
      </c>
      <c r="E1207" s="40" t="str">
        <f aca="false">IF(INDEX(BookTitle,1202)="","",INDEX(BookTitle,1202))</f>
        <v/>
      </c>
      <c r="F1207" s="40" t="str">
        <f aca="false">IF(INDEX(BookTitle,1202)="","",INDEX(BookLevel,1202))</f>
        <v/>
      </c>
      <c r="G1207" s="40" t="str">
        <f aca="false">IF(INDEX(BookTitle,1202)="","",INDEX(BookCategory,1202))</f>
        <v/>
      </c>
      <c r="H1207" s="40" t="str">
        <f aca="false">IF(INDEX(BookTitle,1202)="","",INDEX(BookRank,1202))</f>
        <v/>
      </c>
      <c r="I1207" s="41" t="str">
        <f aca="false">IF(INDEX(BookTitle,1202)="","",INDEX(BookTotal,1202))</f>
        <v/>
      </c>
      <c r="J1207" s="0" t="str">
        <f aca="false">IF($I1207="","",IF(INDEX(BookQ1,1202)&gt;0,"Q1",IF(INDEX(BookQ2,1202)&gt;0,"Q2",IF(INDEX(BookQ3,1202)&gt;0,"Q3",IF(INDEX(BookQ4,1202)&gt;0,"Q4","")))))</f>
        <v/>
      </c>
      <c r="K1207" s="42" t="str">
        <f aca="false">IF(INDEX(BookTitle,1202)="","",INDEX(BookInYear,1202))</f>
        <v/>
      </c>
      <c r="L1207" s="19"/>
      <c r="M1207" s="39"/>
      <c r="N1207" s="19"/>
      <c r="O1207" s="19"/>
      <c r="P1207" s="43" t="str">
        <f aca="false">IF($E1207="","",IF($L1207="Decline",0,IF($L1207="Approve fewer",IF($M1207="","",$M1207),IF($L1207="","",$I1207))))</f>
        <v/>
      </c>
      <c r="Q1207" s="34" t="str">
        <f aca="false">IF($P1207="","",IF($N1207&lt;&gt;"",$N1207,$J1207))</f>
        <v/>
      </c>
      <c r="R1207" s="35" t="str">
        <f aca="false">IF(OR($P1207="",$Q1207=""),"",INDEX(BookRate,1202)*$P1207*(5-MATCH($Q1207,{"Q1";"Q2";"Q3";"Q4"},0))/4+INDEX(BookOneOff,1202)*$P1207)</f>
        <v/>
      </c>
      <c r="S1207" s="35" t="str">
        <f aca="false">IF($P1207="","",INDEX(BookRate,1202)*$P1207)</f>
        <v/>
      </c>
      <c r="T1207" s="35" t="str">
        <f aca="false">IF($R1207="","",$R1207-$K1207)</f>
        <v/>
      </c>
      <c r="U1207" s="35" t="str">
        <f aca="false">IF(N($P1207)&lt;=0,"",COUNTIF($P$6:$P1207,"&gt;0"))</f>
        <v/>
      </c>
    </row>
    <row r="1208" customFormat="false" ht="15" hidden="false" customHeight="false" outlineLevel="0" collapsed="false">
      <c r="A1208" s="40" t="str">
        <f aca="false">IF(INDEX(BookTitle,1203)="","",INDEX(BookGroup,1203))</f>
        <v/>
      </c>
      <c r="B1208" s="40" t="str">
        <f aca="false">IF(INDEX(BookTitle,1203)="","",INDEX(BookRef,1203))</f>
        <v/>
      </c>
      <c r="C1208" s="40" t="str">
        <f aca="false">IF(INDEX(BookTitle,1203)="","",INDEX(BookDivision,1203))</f>
        <v/>
      </c>
      <c r="D1208" s="40" t="str">
        <f aca="false">IF(INDEX(BookTitle,1203)="","",INDEX(BookUnit,1203))</f>
        <v/>
      </c>
      <c r="E1208" s="40" t="str">
        <f aca="false">IF(INDEX(BookTitle,1203)="","",INDEX(BookTitle,1203))</f>
        <v/>
      </c>
      <c r="F1208" s="40" t="str">
        <f aca="false">IF(INDEX(BookTitle,1203)="","",INDEX(BookLevel,1203))</f>
        <v/>
      </c>
      <c r="G1208" s="40" t="str">
        <f aca="false">IF(INDEX(BookTitle,1203)="","",INDEX(BookCategory,1203))</f>
        <v/>
      </c>
      <c r="H1208" s="40" t="str">
        <f aca="false">IF(INDEX(BookTitle,1203)="","",INDEX(BookRank,1203))</f>
        <v/>
      </c>
      <c r="I1208" s="41" t="str">
        <f aca="false">IF(INDEX(BookTitle,1203)="","",INDEX(BookTotal,1203))</f>
        <v/>
      </c>
      <c r="J1208" s="0" t="str">
        <f aca="false">IF($I1208="","",IF(INDEX(BookQ1,1203)&gt;0,"Q1",IF(INDEX(BookQ2,1203)&gt;0,"Q2",IF(INDEX(BookQ3,1203)&gt;0,"Q3",IF(INDEX(BookQ4,1203)&gt;0,"Q4","")))))</f>
        <v/>
      </c>
      <c r="K1208" s="42" t="str">
        <f aca="false">IF(INDEX(BookTitle,1203)="","",INDEX(BookInYear,1203))</f>
        <v/>
      </c>
      <c r="L1208" s="19"/>
      <c r="M1208" s="39"/>
      <c r="N1208" s="19"/>
      <c r="O1208" s="19"/>
      <c r="P1208" s="43" t="str">
        <f aca="false">IF($E1208="","",IF($L1208="Decline",0,IF($L1208="Approve fewer",IF($M1208="","",$M1208),IF($L1208="","",$I1208))))</f>
        <v/>
      </c>
      <c r="Q1208" s="34" t="str">
        <f aca="false">IF($P1208="","",IF($N1208&lt;&gt;"",$N1208,$J1208))</f>
        <v/>
      </c>
      <c r="R1208" s="35" t="str">
        <f aca="false">IF(OR($P1208="",$Q1208=""),"",INDEX(BookRate,1203)*$P1208*(5-MATCH($Q1208,{"Q1";"Q2";"Q3";"Q4"},0))/4+INDEX(BookOneOff,1203)*$P1208)</f>
        <v/>
      </c>
      <c r="S1208" s="35" t="str">
        <f aca="false">IF($P1208="","",INDEX(BookRate,1203)*$P1208)</f>
        <v/>
      </c>
      <c r="T1208" s="35" t="str">
        <f aca="false">IF($R1208="","",$R1208-$K1208)</f>
        <v/>
      </c>
      <c r="U1208" s="35" t="str">
        <f aca="false">IF(N($P1208)&lt;=0,"",COUNTIF($P$6:$P1208,"&gt;0"))</f>
        <v/>
      </c>
    </row>
    <row r="1209" customFormat="false" ht="15" hidden="false" customHeight="false" outlineLevel="0" collapsed="false">
      <c r="A1209" s="40" t="str">
        <f aca="false">IF(INDEX(BookTitle,1204)="","",INDEX(BookGroup,1204))</f>
        <v/>
      </c>
      <c r="B1209" s="40" t="str">
        <f aca="false">IF(INDEX(BookTitle,1204)="","",INDEX(BookRef,1204))</f>
        <v/>
      </c>
      <c r="C1209" s="40" t="str">
        <f aca="false">IF(INDEX(BookTitle,1204)="","",INDEX(BookDivision,1204))</f>
        <v/>
      </c>
      <c r="D1209" s="40" t="str">
        <f aca="false">IF(INDEX(BookTitle,1204)="","",INDEX(BookUnit,1204))</f>
        <v/>
      </c>
      <c r="E1209" s="40" t="str">
        <f aca="false">IF(INDEX(BookTitle,1204)="","",INDEX(BookTitle,1204))</f>
        <v/>
      </c>
      <c r="F1209" s="40" t="str">
        <f aca="false">IF(INDEX(BookTitle,1204)="","",INDEX(BookLevel,1204))</f>
        <v/>
      </c>
      <c r="G1209" s="40" t="str">
        <f aca="false">IF(INDEX(BookTitle,1204)="","",INDEX(BookCategory,1204))</f>
        <v/>
      </c>
      <c r="H1209" s="40" t="str">
        <f aca="false">IF(INDEX(BookTitle,1204)="","",INDEX(BookRank,1204))</f>
        <v/>
      </c>
      <c r="I1209" s="41" t="str">
        <f aca="false">IF(INDEX(BookTitle,1204)="","",INDEX(BookTotal,1204))</f>
        <v/>
      </c>
      <c r="J1209" s="0" t="str">
        <f aca="false">IF($I1209="","",IF(INDEX(BookQ1,1204)&gt;0,"Q1",IF(INDEX(BookQ2,1204)&gt;0,"Q2",IF(INDEX(BookQ3,1204)&gt;0,"Q3",IF(INDEX(BookQ4,1204)&gt;0,"Q4","")))))</f>
        <v/>
      </c>
      <c r="K1209" s="42" t="str">
        <f aca="false">IF(INDEX(BookTitle,1204)="","",INDEX(BookInYear,1204))</f>
        <v/>
      </c>
      <c r="L1209" s="19"/>
      <c r="M1209" s="39"/>
      <c r="N1209" s="19"/>
      <c r="O1209" s="19"/>
      <c r="P1209" s="43" t="str">
        <f aca="false">IF($E1209="","",IF($L1209="Decline",0,IF($L1209="Approve fewer",IF($M1209="","",$M1209),IF($L1209="","",$I1209))))</f>
        <v/>
      </c>
      <c r="Q1209" s="34" t="str">
        <f aca="false">IF($P1209="","",IF($N1209&lt;&gt;"",$N1209,$J1209))</f>
        <v/>
      </c>
      <c r="R1209" s="35" t="str">
        <f aca="false">IF(OR($P1209="",$Q1209=""),"",INDEX(BookRate,1204)*$P1209*(5-MATCH($Q1209,{"Q1";"Q2";"Q3";"Q4"},0))/4+INDEX(BookOneOff,1204)*$P1209)</f>
        <v/>
      </c>
      <c r="S1209" s="35" t="str">
        <f aca="false">IF($P1209="","",INDEX(BookRate,1204)*$P1209)</f>
        <v/>
      </c>
      <c r="T1209" s="35" t="str">
        <f aca="false">IF($R1209="","",$R1209-$K1209)</f>
        <v/>
      </c>
      <c r="U1209" s="35" t="str">
        <f aca="false">IF(N($P1209)&lt;=0,"",COUNTIF($P$6:$P1209,"&gt;0"))</f>
        <v/>
      </c>
    </row>
    <row r="1210" customFormat="false" ht="15" hidden="false" customHeight="false" outlineLevel="0" collapsed="false">
      <c r="A1210" s="40" t="str">
        <f aca="false">IF(INDEX(BookTitle,1205)="","",INDEX(BookGroup,1205))</f>
        <v/>
      </c>
      <c r="B1210" s="40" t="str">
        <f aca="false">IF(INDEX(BookTitle,1205)="","",INDEX(BookRef,1205))</f>
        <v/>
      </c>
      <c r="C1210" s="40" t="str">
        <f aca="false">IF(INDEX(BookTitle,1205)="","",INDEX(BookDivision,1205))</f>
        <v/>
      </c>
      <c r="D1210" s="40" t="str">
        <f aca="false">IF(INDEX(BookTitle,1205)="","",INDEX(BookUnit,1205))</f>
        <v/>
      </c>
      <c r="E1210" s="40" t="str">
        <f aca="false">IF(INDEX(BookTitle,1205)="","",INDEX(BookTitle,1205))</f>
        <v/>
      </c>
      <c r="F1210" s="40" t="str">
        <f aca="false">IF(INDEX(BookTitle,1205)="","",INDEX(BookLevel,1205))</f>
        <v/>
      </c>
      <c r="G1210" s="40" t="str">
        <f aca="false">IF(INDEX(BookTitle,1205)="","",INDEX(BookCategory,1205))</f>
        <v/>
      </c>
      <c r="H1210" s="40" t="str">
        <f aca="false">IF(INDEX(BookTitle,1205)="","",INDEX(BookRank,1205))</f>
        <v/>
      </c>
      <c r="I1210" s="41" t="str">
        <f aca="false">IF(INDEX(BookTitle,1205)="","",INDEX(BookTotal,1205))</f>
        <v/>
      </c>
      <c r="J1210" s="0" t="str">
        <f aca="false">IF($I1210="","",IF(INDEX(BookQ1,1205)&gt;0,"Q1",IF(INDEX(BookQ2,1205)&gt;0,"Q2",IF(INDEX(BookQ3,1205)&gt;0,"Q3",IF(INDEX(BookQ4,1205)&gt;0,"Q4","")))))</f>
        <v/>
      </c>
      <c r="K1210" s="42" t="str">
        <f aca="false">IF(INDEX(BookTitle,1205)="","",INDEX(BookInYear,1205))</f>
        <v/>
      </c>
      <c r="L1210" s="19"/>
      <c r="M1210" s="39"/>
      <c r="N1210" s="19"/>
      <c r="O1210" s="19"/>
      <c r="P1210" s="43" t="str">
        <f aca="false">IF($E1210="","",IF($L1210="Decline",0,IF($L1210="Approve fewer",IF($M1210="","",$M1210),IF($L1210="","",$I1210))))</f>
        <v/>
      </c>
      <c r="Q1210" s="34" t="str">
        <f aca="false">IF($P1210="","",IF($N1210&lt;&gt;"",$N1210,$J1210))</f>
        <v/>
      </c>
      <c r="R1210" s="35" t="str">
        <f aca="false">IF(OR($P1210="",$Q1210=""),"",INDEX(BookRate,1205)*$P1210*(5-MATCH($Q1210,{"Q1";"Q2";"Q3";"Q4"},0))/4+INDEX(BookOneOff,1205)*$P1210)</f>
        <v/>
      </c>
      <c r="S1210" s="35" t="str">
        <f aca="false">IF($P1210="","",INDEX(BookRate,1205)*$P1210)</f>
        <v/>
      </c>
      <c r="T1210" s="35" t="str">
        <f aca="false">IF($R1210="","",$R1210-$K1210)</f>
        <v/>
      </c>
      <c r="U1210" s="35" t="str">
        <f aca="false">IF(N($P1210)&lt;=0,"",COUNTIF($P$6:$P1210,"&gt;0"))</f>
        <v/>
      </c>
    </row>
    <row r="1211" customFormat="false" ht="15" hidden="false" customHeight="false" outlineLevel="0" collapsed="false">
      <c r="A1211" s="40" t="str">
        <f aca="false">IF(INDEX(BookTitle,1206)="","",INDEX(BookGroup,1206))</f>
        <v/>
      </c>
      <c r="B1211" s="40" t="str">
        <f aca="false">IF(INDEX(BookTitle,1206)="","",INDEX(BookRef,1206))</f>
        <v/>
      </c>
      <c r="C1211" s="40" t="str">
        <f aca="false">IF(INDEX(BookTitle,1206)="","",INDEX(BookDivision,1206))</f>
        <v/>
      </c>
      <c r="D1211" s="40" t="str">
        <f aca="false">IF(INDEX(BookTitle,1206)="","",INDEX(BookUnit,1206))</f>
        <v/>
      </c>
      <c r="E1211" s="40" t="str">
        <f aca="false">IF(INDEX(BookTitle,1206)="","",INDEX(BookTitle,1206))</f>
        <v/>
      </c>
      <c r="F1211" s="40" t="str">
        <f aca="false">IF(INDEX(BookTitle,1206)="","",INDEX(BookLevel,1206))</f>
        <v/>
      </c>
      <c r="G1211" s="40" t="str">
        <f aca="false">IF(INDEX(BookTitle,1206)="","",INDEX(BookCategory,1206))</f>
        <v/>
      </c>
      <c r="H1211" s="40" t="str">
        <f aca="false">IF(INDEX(BookTitle,1206)="","",INDEX(BookRank,1206))</f>
        <v/>
      </c>
      <c r="I1211" s="41" t="str">
        <f aca="false">IF(INDEX(BookTitle,1206)="","",INDEX(BookTotal,1206))</f>
        <v/>
      </c>
      <c r="J1211" s="0" t="str">
        <f aca="false">IF($I1211="","",IF(INDEX(BookQ1,1206)&gt;0,"Q1",IF(INDEX(BookQ2,1206)&gt;0,"Q2",IF(INDEX(BookQ3,1206)&gt;0,"Q3",IF(INDEX(BookQ4,1206)&gt;0,"Q4","")))))</f>
        <v/>
      </c>
      <c r="K1211" s="42" t="str">
        <f aca="false">IF(INDEX(BookTitle,1206)="","",INDEX(BookInYear,1206))</f>
        <v/>
      </c>
      <c r="L1211" s="19"/>
      <c r="M1211" s="39"/>
      <c r="N1211" s="19"/>
      <c r="O1211" s="19"/>
      <c r="P1211" s="43" t="str">
        <f aca="false">IF($E1211="","",IF($L1211="Decline",0,IF($L1211="Approve fewer",IF($M1211="","",$M1211),IF($L1211="","",$I1211))))</f>
        <v/>
      </c>
      <c r="Q1211" s="34" t="str">
        <f aca="false">IF($P1211="","",IF($N1211&lt;&gt;"",$N1211,$J1211))</f>
        <v/>
      </c>
      <c r="R1211" s="35" t="str">
        <f aca="false">IF(OR($P1211="",$Q1211=""),"",INDEX(BookRate,1206)*$P1211*(5-MATCH($Q1211,{"Q1";"Q2";"Q3";"Q4"},0))/4+INDEX(BookOneOff,1206)*$P1211)</f>
        <v/>
      </c>
      <c r="S1211" s="35" t="str">
        <f aca="false">IF($P1211="","",INDEX(BookRate,1206)*$P1211)</f>
        <v/>
      </c>
      <c r="T1211" s="35" t="str">
        <f aca="false">IF($R1211="","",$R1211-$K1211)</f>
        <v/>
      </c>
      <c r="U1211" s="35" t="str">
        <f aca="false">IF(N($P1211)&lt;=0,"",COUNTIF($P$6:$P1211,"&gt;0"))</f>
        <v/>
      </c>
    </row>
    <row r="1212" customFormat="false" ht="15" hidden="false" customHeight="false" outlineLevel="0" collapsed="false">
      <c r="A1212" s="40" t="str">
        <f aca="false">IF(INDEX(BookTitle,1207)="","",INDEX(BookGroup,1207))</f>
        <v/>
      </c>
      <c r="B1212" s="40" t="str">
        <f aca="false">IF(INDEX(BookTitle,1207)="","",INDEX(BookRef,1207))</f>
        <v/>
      </c>
      <c r="C1212" s="40" t="str">
        <f aca="false">IF(INDEX(BookTitle,1207)="","",INDEX(BookDivision,1207))</f>
        <v/>
      </c>
      <c r="D1212" s="40" t="str">
        <f aca="false">IF(INDEX(BookTitle,1207)="","",INDEX(BookUnit,1207))</f>
        <v/>
      </c>
      <c r="E1212" s="40" t="str">
        <f aca="false">IF(INDEX(BookTitle,1207)="","",INDEX(BookTitle,1207))</f>
        <v/>
      </c>
      <c r="F1212" s="40" t="str">
        <f aca="false">IF(INDEX(BookTitle,1207)="","",INDEX(BookLevel,1207))</f>
        <v/>
      </c>
      <c r="G1212" s="40" t="str">
        <f aca="false">IF(INDEX(BookTitle,1207)="","",INDEX(BookCategory,1207))</f>
        <v/>
      </c>
      <c r="H1212" s="40" t="str">
        <f aca="false">IF(INDEX(BookTitle,1207)="","",INDEX(BookRank,1207))</f>
        <v/>
      </c>
      <c r="I1212" s="41" t="str">
        <f aca="false">IF(INDEX(BookTitle,1207)="","",INDEX(BookTotal,1207))</f>
        <v/>
      </c>
      <c r="J1212" s="0" t="str">
        <f aca="false">IF($I1212="","",IF(INDEX(BookQ1,1207)&gt;0,"Q1",IF(INDEX(BookQ2,1207)&gt;0,"Q2",IF(INDEX(BookQ3,1207)&gt;0,"Q3",IF(INDEX(BookQ4,1207)&gt;0,"Q4","")))))</f>
        <v/>
      </c>
      <c r="K1212" s="42" t="str">
        <f aca="false">IF(INDEX(BookTitle,1207)="","",INDEX(BookInYear,1207))</f>
        <v/>
      </c>
      <c r="L1212" s="19"/>
      <c r="M1212" s="39"/>
      <c r="N1212" s="19"/>
      <c r="O1212" s="19"/>
      <c r="P1212" s="43" t="str">
        <f aca="false">IF($E1212="","",IF($L1212="Decline",0,IF($L1212="Approve fewer",IF($M1212="","",$M1212),IF($L1212="","",$I1212))))</f>
        <v/>
      </c>
      <c r="Q1212" s="34" t="str">
        <f aca="false">IF($P1212="","",IF($N1212&lt;&gt;"",$N1212,$J1212))</f>
        <v/>
      </c>
      <c r="R1212" s="35" t="str">
        <f aca="false">IF(OR($P1212="",$Q1212=""),"",INDEX(BookRate,1207)*$P1212*(5-MATCH($Q1212,{"Q1";"Q2";"Q3";"Q4"},0))/4+INDEX(BookOneOff,1207)*$P1212)</f>
        <v/>
      </c>
      <c r="S1212" s="35" t="str">
        <f aca="false">IF($P1212="","",INDEX(BookRate,1207)*$P1212)</f>
        <v/>
      </c>
      <c r="T1212" s="35" t="str">
        <f aca="false">IF($R1212="","",$R1212-$K1212)</f>
        <v/>
      </c>
      <c r="U1212" s="35" t="str">
        <f aca="false">IF(N($P1212)&lt;=0,"",COUNTIF($P$6:$P1212,"&gt;0"))</f>
        <v/>
      </c>
    </row>
    <row r="1213" customFormat="false" ht="15" hidden="false" customHeight="false" outlineLevel="0" collapsed="false">
      <c r="A1213" s="40" t="str">
        <f aca="false">IF(INDEX(BookTitle,1208)="","",INDEX(BookGroup,1208))</f>
        <v/>
      </c>
      <c r="B1213" s="40" t="str">
        <f aca="false">IF(INDEX(BookTitle,1208)="","",INDEX(BookRef,1208))</f>
        <v/>
      </c>
      <c r="C1213" s="40" t="str">
        <f aca="false">IF(INDEX(BookTitle,1208)="","",INDEX(BookDivision,1208))</f>
        <v/>
      </c>
      <c r="D1213" s="40" t="str">
        <f aca="false">IF(INDEX(BookTitle,1208)="","",INDEX(BookUnit,1208))</f>
        <v/>
      </c>
      <c r="E1213" s="40" t="str">
        <f aca="false">IF(INDEX(BookTitle,1208)="","",INDEX(BookTitle,1208))</f>
        <v/>
      </c>
      <c r="F1213" s="40" t="str">
        <f aca="false">IF(INDEX(BookTitle,1208)="","",INDEX(BookLevel,1208))</f>
        <v/>
      </c>
      <c r="G1213" s="40" t="str">
        <f aca="false">IF(INDEX(BookTitle,1208)="","",INDEX(BookCategory,1208))</f>
        <v/>
      </c>
      <c r="H1213" s="40" t="str">
        <f aca="false">IF(INDEX(BookTitle,1208)="","",INDEX(BookRank,1208))</f>
        <v/>
      </c>
      <c r="I1213" s="41" t="str">
        <f aca="false">IF(INDEX(BookTitle,1208)="","",INDEX(BookTotal,1208))</f>
        <v/>
      </c>
      <c r="J1213" s="0" t="str">
        <f aca="false">IF($I1213="","",IF(INDEX(BookQ1,1208)&gt;0,"Q1",IF(INDEX(BookQ2,1208)&gt;0,"Q2",IF(INDEX(BookQ3,1208)&gt;0,"Q3",IF(INDEX(BookQ4,1208)&gt;0,"Q4","")))))</f>
        <v/>
      </c>
      <c r="K1213" s="42" t="str">
        <f aca="false">IF(INDEX(BookTitle,1208)="","",INDEX(BookInYear,1208))</f>
        <v/>
      </c>
      <c r="L1213" s="19"/>
      <c r="M1213" s="39"/>
      <c r="N1213" s="19"/>
      <c r="O1213" s="19"/>
      <c r="P1213" s="43" t="str">
        <f aca="false">IF($E1213="","",IF($L1213="Decline",0,IF($L1213="Approve fewer",IF($M1213="","",$M1213),IF($L1213="","",$I1213))))</f>
        <v/>
      </c>
      <c r="Q1213" s="34" t="str">
        <f aca="false">IF($P1213="","",IF($N1213&lt;&gt;"",$N1213,$J1213))</f>
        <v/>
      </c>
      <c r="R1213" s="35" t="str">
        <f aca="false">IF(OR($P1213="",$Q1213=""),"",INDEX(BookRate,1208)*$P1213*(5-MATCH($Q1213,{"Q1";"Q2";"Q3";"Q4"},0))/4+INDEX(BookOneOff,1208)*$P1213)</f>
        <v/>
      </c>
      <c r="S1213" s="35" t="str">
        <f aca="false">IF($P1213="","",INDEX(BookRate,1208)*$P1213)</f>
        <v/>
      </c>
      <c r="T1213" s="35" t="str">
        <f aca="false">IF($R1213="","",$R1213-$K1213)</f>
        <v/>
      </c>
      <c r="U1213" s="35" t="str">
        <f aca="false">IF(N($P1213)&lt;=0,"",COUNTIF($P$6:$P1213,"&gt;0"))</f>
        <v/>
      </c>
    </row>
    <row r="1214" customFormat="false" ht="15" hidden="false" customHeight="false" outlineLevel="0" collapsed="false">
      <c r="A1214" s="40" t="str">
        <f aca="false">IF(INDEX(BookTitle,1209)="","",INDEX(BookGroup,1209))</f>
        <v/>
      </c>
      <c r="B1214" s="40" t="str">
        <f aca="false">IF(INDEX(BookTitle,1209)="","",INDEX(BookRef,1209))</f>
        <v/>
      </c>
      <c r="C1214" s="40" t="str">
        <f aca="false">IF(INDEX(BookTitle,1209)="","",INDEX(BookDivision,1209))</f>
        <v/>
      </c>
      <c r="D1214" s="40" t="str">
        <f aca="false">IF(INDEX(BookTitle,1209)="","",INDEX(BookUnit,1209))</f>
        <v/>
      </c>
      <c r="E1214" s="40" t="str">
        <f aca="false">IF(INDEX(BookTitle,1209)="","",INDEX(BookTitle,1209))</f>
        <v/>
      </c>
      <c r="F1214" s="40" t="str">
        <f aca="false">IF(INDEX(BookTitle,1209)="","",INDEX(BookLevel,1209))</f>
        <v/>
      </c>
      <c r="G1214" s="40" t="str">
        <f aca="false">IF(INDEX(BookTitle,1209)="","",INDEX(BookCategory,1209))</f>
        <v/>
      </c>
      <c r="H1214" s="40" t="str">
        <f aca="false">IF(INDEX(BookTitle,1209)="","",INDEX(BookRank,1209))</f>
        <v/>
      </c>
      <c r="I1214" s="41" t="str">
        <f aca="false">IF(INDEX(BookTitle,1209)="","",INDEX(BookTotal,1209))</f>
        <v/>
      </c>
      <c r="J1214" s="0" t="str">
        <f aca="false">IF($I1214="","",IF(INDEX(BookQ1,1209)&gt;0,"Q1",IF(INDEX(BookQ2,1209)&gt;0,"Q2",IF(INDEX(BookQ3,1209)&gt;0,"Q3",IF(INDEX(BookQ4,1209)&gt;0,"Q4","")))))</f>
        <v/>
      </c>
      <c r="K1214" s="42" t="str">
        <f aca="false">IF(INDEX(BookTitle,1209)="","",INDEX(BookInYear,1209))</f>
        <v/>
      </c>
      <c r="L1214" s="19"/>
      <c r="M1214" s="39"/>
      <c r="N1214" s="19"/>
      <c r="O1214" s="19"/>
      <c r="P1214" s="43" t="str">
        <f aca="false">IF($E1214="","",IF($L1214="Decline",0,IF($L1214="Approve fewer",IF($M1214="","",$M1214),IF($L1214="","",$I1214))))</f>
        <v/>
      </c>
      <c r="Q1214" s="34" t="str">
        <f aca="false">IF($P1214="","",IF($N1214&lt;&gt;"",$N1214,$J1214))</f>
        <v/>
      </c>
      <c r="R1214" s="35" t="str">
        <f aca="false">IF(OR($P1214="",$Q1214=""),"",INDEX(BookRate,1209)*$P1214*(5-MATCH($Q1214,{"Q1";"Q2";"Q3";"Q4"},0))/4+INDEX(BookOneOff,1209)*$P1214)</f>
        <v/>
      </c>
      <c r="S1214" s="35" t="str">
        <f aca="false">IF($P1214="","",INDEX(BookRate,1209)*$P1214)</f>
        <v/>
      </c>
      <c r="T1214" s="35" t="str">
        <f aca="false">IF($R1214="","",$R1214-$K1214)</f>
        <v/>
      </c>
      <c r="U1214" s="35" t="str">
        <f aca="false">IF(N($P1214)&lt;=0,"",COUNTIF($P$6:$P1214,"&gt;0"))</f>
        <v/>
      </c>
    </row>
    <row r="1215" customFormat="false" ht="15" hidden="false" customHeight="false" outlineLevel="0" collapsed="false">
      <c r="A1215" s="40" t="str">
        <f aca="false">IF(INDEX(BookTitle,1210)="","",INDEX(BookGroup,1210))</f>
        <v/>
      </c>
      <c r="B1215" s="40" t="str">
        <f aca="false">IF(INDEX(BookTitle,1210)="","",INDEX(BookRef,1210))</f>
        <v/>
      </c>
      <c r="C1215" s="40" t="str">
        <f aca="false">IF(INDEX(BookTitle,1210)="","",INDEX(BookDivision,1210))</f>
        <v/>
      </c>
      <c r="D1215" s="40" t="str">
        <f aca="false">IF(INDEX(BookTitle,1210)="","",INDEX(BookUnit,1210))</f>
        <v/>
      </c>
      <c r="E1215" s="40" t="str">
        <f aca="false">IF(INDEX(BookTitle,1210)="","",INDEX(BookTitle,1210))</f>
        <v/>
      </c>
      <c r="F1215" s="40" t="str">
        <f aca="false">IF(INDEX(BookTitle,1210)="","",INDEX(BookLevel,1210))</f>
        <v/>
      </c>
      <c r="G1215" s="40" t="str">
        <f aca="false">IF(INDEX(BookTitle,1210)="","",INDEX(BookCategory,1210))</f>
        <v/>
      </c>
      <c r="H1215" s="40" t="str">
        <f aca="false">IF(INDEX(BookTitle,1210)="","",INDEX(BookRank,1210))</f>
        <v/>
      </c>
      <c r="I1215" s="41" t="str">
        <f aca="false">IF(INDEX(BookTitle,1210)="","",INDEX(BookTotal,1210))</f>
        <v/>
      </c>
      <c r="J1215" s="0" t="str">
        <f aca="false">IF($I1215="","",IF(INDEX(BookQ1,1210)&gt;0,"Q1",IF(INDEX(BookQ2,1210)&gt;0,"Q2",IF(INDEX(BookQ3,1210)&gt;0,"Q3",IF(INDEX(BookQ4,1210)&gt;0,"Q4","")))))</f>
        <v/>
      </c>
      <c r="K1215" s="42" t="str">
        <f aca="false">IF(INDEX(BookTitle,1210)="","",INDEX(BookInYear,1210))</f>
        <v/>
      </c>
      <c r="L1215" s="19"/>
      <c r="M1215" s="39"/>
      <c r="N1215" s="19"/>
      <c r="O1215" s="19"/>
      <c r="P1215" s="43" t="str">
        <f aca="false">IF($E1215="","",IF($L1215="Decline",0,IF($L1215="Approve fewer",IF($M1215="","",$M1215),IF($L1215="","",$I1215))))</f>
        <v/>
      </c>
      <c r="Q1215" s="34" t="str">
        <f aca="false">IF($P1215="","",IF($N1215&lt;&gt;"",$N1215,$J1215))</f>
        <v/>
      </c>
      <c r="R1215" s="35" t="str">
        <f aca="false">IF(OR($P1215="",$Q1215=""),"",INDEX(BookRate,1210)*$P1215*(5-MATCH($Q1215,{"Q1";"Q2";"Q3";"Q4"},0))/4+INDEX(BookOneOff,1210)*$P1215)</f>
        <v/>
      </c>
      <c r="S1215" s="35" t="str">
        <f aca="false">IF($P1215="","",INDEX(BookRate,1210)*$P1215)</f>
        <v/>
      </c>
      <c r="T1215" s="35" t="str">
        <f aca="false">IF($R1215="","",$R1215-$K1215)</f>
        <v/>
      </c>
      <c r="U1215" s="35" t="str">
        <f aca="false">IF(N($P1215)&lt;=0,"",COUNTIF($P$6:$P1215,"&gt;0"))</f>
        <v/>
      </c>
    </row>
    <row r="1216" customFormat="false" ht="15" hidden="false" customHeight="false" outlineLevel="0" collapsed="false">
      <c r="A1216" s="40" t="str">
        <f aca="false">IF(INDEX(BookTitle,1211)="","",INDEX(BookGroup,1211))</f>
        <v/>
      </c>
      <c r="B1216" s="40" t="str">
        <f aca="false">IF(INDEX(BookTitle,1211)="","",INDEX(BookRef,1211))</f>
        <v/>
      </c>
      <c r="C1216" s="40" t="str">
        <f aca="false">IF(INDEX(BookTitle,1211)="","",INDEX(BookDivision,1211))</f>
        <v/>
      </c>
      <c r="D1216" s="40" t="str">
        <f aca="false">IF(INDEX(BookTitle,1211)="","",INDEX(BookUnit,1211))</f>
        <v/>
      </c>
      <c r="E1216" s="40" t="str">
        <f aca="false">IF(INDEX(BookTitle,1211)="","",INDEX(BookTitle,1211))</f>
        <v/>
      </c>
      <c r="F1216" s="40" t="str">
        <f aca="false">IF(INDEX(BookTitle,1211)="","",INDEX(BookLevel,1211))</f>
        <v/>
      </c>
      <c r="G1216" s="40" t="str">
        <f aca="false">IF(INDEX(BookTitle,1211)="","",INDEX(BookCategory,1211))</f>
        <v/>
      </c>
      <c r="H1216" s="40" t="str">
        <f aca="false">IF(INDEX(BookTitle,1211)="","",INDEX(BookRank,1211))</f>
        <v/>
      </c>
      <c r="I1216" s="41" t="str">
        <f aca="false">IF(INDEX(BookTitle,1211)="","",INDEX(BookTotal,1211))</f>
        <v/>
      </c>
      <c r="J1216" s="0" t="str">
        <f aca="false">IF($I1216="","",IF(INDEX(BookQ1,1211)&gt;0,"Q1",IF(INDEX(BookQ2,1211)&gt;0,"Q2",IF(INDEX(BookQ3,1211)&gt;0,"Q3",IF(INDEX(BookQ4,1211)&gt;0,"Q4","")))))</f>
        <v/>
      </c>
      <c r="K1216" s="42" t="str">
        <f aca="false">IF(INDEX(BookTitle,1211)="","",INDEX(BookInYear,1211))</f>
        <v/>
      </c>
      <c r="L1216" s="19"/>
      <c r="M1216" s="39"/>
      <c r="N1216" s="19"/>
      <c r="O1216" s="19"/>
      <c r="P1216" s="43" t="str">
        <f aca="false">IF($E1216="","",IF($L1216="Decline",0,IF($L1216="Approve fewer",IF($M1216="","",$M1216),IF($L1216="","",$I1216))))</f>
        <v/>
      </c>
      <c r="Q1216" s="34" t="str">
        <f aca="false">IF($P1216="","",IF($N1216&lt;&gt;"",$N1216,$J1216))</f>
        <v/>
      </c>
      <c r="R1216" s="35" t="str">
        <f aca="false">IF(OR($P1216="",$Q1216=""),"",INDEX(BookRate,1211)*$P1216*(5-MATCH($Q1216,{"Q1";"Q2";"Q3";"Q4"},0))/4+INDEX(BookOneOff,1211)*$P1216)</f>
        <v/>
      </c>
      <c r="S1216" s="35" t="str">
        <f aca="false">IF($P1216="","",INDEX(BookRate,1211)*$P1216)</f>
        <v/>
      </c>
      <c r="T1216" s="35" t="str">
        <f aca="false">IF($R1216="","",$R1216-$K1216)</f>
        <v/>
      </c>
      <c r="U1216" s="35" t="str">
        <f aca="false">IF(N($P1216)&lt;=0,"",COUNTIF($P$6:$P1216,"&gt;0"))</f>
        <v/>
      </c>
    </row>
    <row r="1217" customFormat="false" ht="15" hidden="false" customHeight="false" outlineLevel="0" collapsed="false">
      <c r="A1217" s="40" t="str">
        <f aca="false">IF(INDEX(BookTitle,1212)="","",INDEX(BookGroup,1212))</f>
        <v/>
      </c>
      <c r="B1217" s="40" t="str">
        <f aca="false">IF(INDEX(BookTitle,1212)="","",INDEX(BookRef,1212))</f>
        <v/>
      </c>
      <c r="C1217" s="40" t="str">
        <f aca="false">IF(INDEX(BookTitle,1212)="","",INDEX(BookDivision,1212))</f>
        <v/>
      </c>
      <c r="D1217" s="40" t="str">
        <f aca="false">IF(INDEX(BookTitle,1212)="","",INDEX(BookUnit,1212))</f>
        <v/>
      </c>
      <c r="E1217" s="40" t="str">
        <f aca="false">IF(INDEX(BookTitle,1212)="","",INDEX(BookTitle,1212))</f>
        <v/>
      </c>
      <c r="F1217" s="40" t="str">
        <f aca="false">IF(INDEX(BookTitle,1212)="","",INDEX(BookLevel,1212))</f>
        <v/>
      </c>
      <c r="G1217" s="40" t="str">
        <f aca="false">IF(INDEX(BookTitle,1212)="","",INDEX(BookCategory,1212))</f>
        <v/>
      </c>
      <c r="H1217" s="40" t="str">
        <f aca="false">IF(INDEX(BookTitle,1212)="","",INDEX(BookRank,1212))</f>
        <v/>
      </c>
      <c r="I1217" s="41" t="str">
        <f aca="false">IF(INDEX(BookTitle,1212)="","",INDEX(BookTotal,1212))</f>
        <v/>
      </c>
      <c r="J1217" s="0" t="str">
        <f aca="false">IF($I1217="","",IF(INDEX(BookQ1,1212)&gt;0,"Q1",IF(INDEX(BookQ2,1212)&gt;0,"Q2",IF(INDEX(BookQ3,1212)&gt;0,"Q3",IF(INDEX(BookQ4,1212)&gt;0,"Q4","")))))</f>
        <v/>
      </c>
      <c r="K1217" s="42" t="str">
        <f aca="false">IF(INDEX(BookTitle,1212)="","",INDEX(BookInYear,1212))</f>
        <v/>
      </c>
      <c r="L1217" s="19"/>
      <c r="M1217" s="39"/>
      <c r="N1217" s="19"/>
      <c r="O1217" s="19"/>
      <c r="P1217" s="43" t="str">
        <f aca="false">IF($E1217="","",IF($L1217="Decline",0,IF($L1217="Approve fewer",IF($M1217="","",$M1217),IF($L1217="","",$I1217))))</f>
        <v/>
      </c>
      <c r="Q1217" s="34" t="str">
        <f aca="false">IF($P1217="","",IF($N1217&lt;&gt;"",$N1217,$J1217))</f>
        <v/>
      </c>
      <c r="R1217" s="35" t="str">
        <f aca="false">IF(OR($P1217="",$Q1217=""),"",INDEX(BookRate,1212)*$P1217*(5-MATCH($Q1217,{"Q1";"Q2";"Q3";"Q4"},0))/4+INDEX(BookOneOff,1212)*$P1217)</f>
        <v/>
      </c>
      <c r="S1217" s="35" t="str">
        <f aca="false">IF($P1217="","",INDEX(BookRate,1212)*$P1217)</f>
        <v/>
      </c>
      <c r="T1217" s="35" t="str">
        <f aca="false">IF($R1217="","",$R1217-$K1217)</f>
        <v/>
      </c>
      <c r="U1217" s="35" t="str">
        <f aca="false">IF(N($P1217)&lt;=0,"",COUNTIF($P$6:$P1217,"&gt;0"))</f>
        <v/>
      </c>
    </row>
    <row r="1218" customFormat="false" ht="15" hidden="false" customHeight="false" outlineLevel="0" collapsed="false">
      <c r="A1218" s="40" t="str">
        <f aca="false">IF(INDEX(BookTitle,1213)="","",INDEX(BookGroup,1213))</f>
        <v/>
      </c>
      <c r="B1218" s="40" t="str">
        <f aca="false">IF(INDEX(BookTitle,1213)="","",INDEX(BookRef,1213))</f>
        <v/>
      </c>
      <c r="C1218" s="40" t="str">
        <f aca="false">IF(INDEX(BookTitle,1213)="","",INDEX(BookDivision,1213))</f>
        <v/>
      </c>
      <c r="D1218" s="40" t="str">
        <f aca="false">IF(INDEX(BookTitle,1213)="","",INDEX(BookUnit,1213))</f>
        <v/>
      </c>
      <c r="E1218" s="40" t="str">
        <f aca="false">IF(INDEX(BookTitle,1213)="","",INDEX(BookTitle,1213))</f>
        <v/>
      </c>
      <c r="F1218" s="40" t="str">
        <f aca="false">IF(INDEX(BookTitle,1213)="","",INDEX(BookLevel,1213))</f>
        <v/>
      </c>
      <c r="G1218" s="40" t="str">
        <f aca="false">IF(INDEX(BookTitle,1213)="","",INDEX(BookCategory,1213))</f>
        <v/>
      </c>
      <c r="H1218" s="40" t="str">
        <f aca="false">IF(INDEX(BookTitle,1213)="","",INDEX(BookRank,1213))</f>
        <v/>
      </c>
      <c r="I1218" s="41" t="str">
        <f aca="false">IF(INDEX(BookTitle,1213)="","",INDEX(BookTotal,1213))</f>
        <v/>
      </c>
      <c r="J1218" s="0" t="str">
        <f aca="false">IF($I1218="","",IF(INDEX(BookQ1,1213)&gt;0,"Q1",IF(INDEX(BookQ2,1213)&gt;0,"Q2",IF(INDEX(BookQ3,1213)&gt;0,"Q3",IF(INDEX(BookQ4,1213)&gt;0,"Q4","")))))</f>
        <v/>
      </c>
      <c r="K1218" s="42" t="str">
        <f aca="false">IF(INDEX(BookTitle,1213)="","",INDEX(BookInYear,1213))</f>
        <v/>
      </c>
      <c r="L1218" s="19"/>
      <c r="M1218" s="39"/>
      <c r="N1218" s="19"/>
      <c r="O1218" s="19"/>
      <c r="P1218" s="43" t="str">
        <f aca="false">IF($E1218="","",IF($L1218="Decline",0,IF($L1218="Approve fewer",IF($M1218="","",$M1218),IF($L1218="","",$I1218))))</f>
        <v/>
      </c>
      <c r="Q1218" s="34" t="str">
        <f aca="false">IF($P1218="","",IF($N1218&lt;&gt;"",$N1218,$J1218))</f>
        <v/>
      </c>
      <c r="R1218" s="35" t="str">
        <f aca="false">IF(OR($P1218="",$Q1218=""),"",INDEX(BookRate,1213)*$P1218*(5-MATCH($Q1218,{"Q1";"Q2";"Q3";"Q4"},0))/4+INDEX(BookOneOff,1213)*$P1218)</f>
        <v/>
      </c>
      <c r="S1218" s="35" t="str">
        <f aca="false">IF($P1218="","",INDEX(BookRate,1213)*$P1218)</f>
        <v/>
      </c>
      <c r="T1218" s="35" t="str">
        <f aca="false">IF($R1218="","",$R1218-$K1218)</f>
        <v/>
      </c>
      <c r="U1218" s="35" t="str">
        <f aca="false">IF(N($P1218)&lt;=0,"",COUNTIF($P$6:$P1218,"&gt;0"))</f>
        <v/>
      </c>
    </row>
    <row r="1219" customFormat="false" ht="15" hidden="false" customHeight="false" outlineLevel="0" collapsed="false">
      <c r="A1219" s="40" t="str">
        <f aca="false">IF(INDEX(BookTitle,1214)="","",INDEX(BookGroup,1214))</f>
        <v/>
      </c>
      <c r="B1219" s="40" t="str">
        <f aca="false">IF(INDEX(BookTitle,1214)="","",INDEX(BookRef,1214))</f>
        <v/>
      </c>
      <c r="C1219" s="40" t="str">
        <f aca="false">IF(INDEX(BookTitle,1214)="","",INDEX(BookDivision,1214))</f>
        <v/>
      </c>
      <c r="D1219" s="40" t="str">
        <f aca="false">IF(INDEX(BookTitle,1214)="","",INDEX(BookUnit,1214))</f>
        <v/>
      </c>
      <c r="E1219" s="40" t="str">
        <f aca="false">IF(INDEX(BookTitle,1214)="","",INDEX(BookTitle,1214))</f>
        <v/>
      </c>
      <c r="F1219" s="40" t="str">
        <f aca="false">IF(INDEX(BookTitle,1214)="","",INDEX(BookLevel,1214))</f>
        <v/>
      </c>
      <c r="G1219" s="40" t="str">
        <f aca="false">IF(INDEX(BookTitle,1214)="","",INDEX(BookCategory,1214))</f>
        <v/>
      </c>
      <c r="H1219" s="40" t="str">
        <f aca="false">IF(INDEX(BookTitle,1214)="","",INDEX(BookRank,1214))</f>
        <v/>
      </c>
      <c r="I1219" s="41" t="str">
        <f aca="false">IF(INDEX(BookTitle,1214)="","",INDEX(BookTotal,1214))</f>
        <v/>
      </c>
      <c r="J1219" s="0" t="str">
        <f aca="false">IF($I1219="","",IF(INDEX(BookQ1,1214)&gt;0,"Q1",IF(INDEX(BookQ2,1214)&gt;0,"Q2",IF(INDEX(BookQ3,1214)&gt;0,"Q3",IF(INDEX(BookQ4,1214)&gt;0,"Q4","")))))</f>
        <v/>
      </c>
      <c r="K1219" s="42" t="str">
        <f aca="false">IF(INDEX(BookTitle,1214)="","",INDEX(BookInYear,1214))</f>
        <v/>
      </c>
      <c r="L1219" s="19"/>
      <c r="M1219" s="39"/>
      <c r="N1219" s="19"/>
      <c r="O1219" s="19"/>
      <c r="P1219" s="43" t="str">
        <f aca="false">IF($E1219="","",IF($L1219="Decline",0,IF($L1219="Approve fewer",IF($M1219="","",$M1219),IF($L1219="","",$I1219))))</f>
        <v/>
      </c>
      <c r="Q1219" s="34" t="str">
        <f aca="false">IF($P1219="","",IF($N1219&lt;&gt;"",$N1219,$J1219))</f>
        <v/>
      </c>
      <c r="R1219" s="35" t="str">
        <f aca="false">IF(OR($P1219="",$Q1219=""),"",INDEX(BookRate,1214)*$P1219*(5-MATCH($Q1219,{"Q1";"Q2";"Q3";"Q4"},0))/4+INDEX(BookOneOff,1214)*$P1219)</f>
        <v/>
      </c>
      <c r="S1219" s="35" t="str">
        <f aca="false">IF($P1219="","",INDEX(BookRate,1214)*$P1219)</f>
        <v/>
      </c>
      <c r="T1219" s="35" t="str">
        <f aca="false">IF($R1219="","",$R1219-$K1219)</f>
        <v/>
      </c>
      <c r="U1219" s="35" t="str">
        <f aca="false">IF(N($P1219)&lt;=0,"",COUNTIF($P$6:$P1219,"&gt;0"))</f>
        <v/>
      </c>
    </row>
    <row r="1220" customFormat="false" ht="15" hidden="false" customHeight="false" outlineLevel="0" collapsed="false">
      <c r="A1220" s="40" t="str">
        <f aca="false">IF(INDEX(BookTitle,1215)="","",INDEX(BookGroup,1215))</f>
        <v/>
      </c>
      <c r="B1220" s="40" t="str">
        <f aca="false">IF(INDEX(BookTitle,1215)="","",INDEX(BookRef,1215))</f>
        <v/>
      </c>
      <c r="C1220" s="40" t="str">
        <f aca="false">IF(INDEX(BookTitle,1215)="","",INDEX(BookDivision,1215))</f>
        <v/>
      </c>
      <c r="D1220" s="40" t="str">
        <f aca="false">IF(INDEX(BookTitle,1215)="","",INDEX(BookUnit,1215))</f>
        <v/>
      </c>
      <c r="E1220" s="40" t="str">
        <f aca="false">IF(INDEX(BookTitle,1215)="","",INDEX(BookTitle,1215))</f>
        <v/>
      </c>
      <c r="F1220" s="40" t="str">
        <f aca="false">IF(INDEX(BookTitle,1215)="","",INDEX(BookLevel,1215))</f>
        <v/>
      </c>
      <c r="G1220" s="40" t="str">
        <f aca="false">IF(INDEX(BookTitle,1215)="","",INDEX(BookCategory,1215))</f>
        <v/>
      </c>
      <c r="H1220" s="40" t="str">
        <f aca="false">IF(INDEX(BookTitle,1215)="","",INDEX(BookRank,1215))</f>
        <v/>
      </c>
      <c r="I1220" s="41" t="str">
        <f aca="false">IF(INDEX(BookTitle,1215)="","",INDEX(BookTotal,1215))</f>
        <v/>
      </c>
      <c r="J1220" s="0" t="str">
        <f aca="false">IF($I1220="","",IF(INDEX(BookQ1,1215)&gt;0,"Q1",IF(INDEX(BookQ2,1215)&gt;0,"Q2",IF(INDEX(BookQ3,1215)&gt;0,"Q3",IF(INDEX(BookQ4,1215)&gt;0,"Q4","")))))</f>
        <v/>
      </c>
      <c r="K1220" s="42" t="str">
        <f aca="false">IF(INDEX(BookTitle,1215)="","",INDEX(BookInYear,1215))</f>
        <v/>
      </c>
      <c r="L1220" s="19"/>
      <c r="M1220" s="39"/>
      <c r="N1220" s="19"/>
      <c r="O1220" s="19"/>
      <c r="P1220" s="43" t="str">
        <f aca="false">IF($E1220="","",IF($L1220="Decline",0,IF($L1220="Approve fewer",IF($M1220="","",$M1220),IF($L1220="","",$I1220))))</f>
        <v/>
      </c>
      <c r="Q1220" s="34" t="str">
        <f aca="false">IF($P1220="","",IF($N1220&lt;&gt;"",$N1220,$J1220))</f>
        <v/>
      </c>
      <c r="R1220" s="35" t="str">
        <f aca="false">IF(OR($P1220="",$Q1220=""),"",INDEX(BookRate,1215)*$P1220*(5-MATCH($Q1220,{"Q1";"Q2";"Q3";"Q4"},0))/4+INDEX(BookOneOff,1215)*$P1220)</f>
        <v/>
      </c>
      <c r="S1220" s="35" t="str">
        <f aca="false">IF($P1220="","",INDEX(BookRate,1215)*$P1220)</f>
        <v/>
      </c>
      <c r="T1220" s="35" t="str">
        <f aca="false">IF($R1220="","",$R1220-$K1220)</f>
        <v/>
      </c>
      <c r="U1220" s="35" t="str">
        <f aca="false">IF(N($P1220)&lt;=0,"",COUNTIF($P$6:$P1220,"&gt;0"))</f>
        <v/>
      </c>
    </row>
    <row r="1221" customFormat="false" ht="15" hidden="false" customHeight="false" outlineLevel="0" collapsed="false">
      <c r="A1221" s="40" t="str">
        <f aca="false">IF(INDEX(BookTitle,1216)="","",INDEX(BookGroup,1216))</f>
        <v/>
      </c>
      <c r="B1221" s="40" t="str">
        <f aca="false">IF(INDEX(BookTitle,1216)="","",INDEX(BookRef,1216))</f>
        <v/>
      </c>
      <c r="C1221" s="40" t="str">
        <f aca="false">IF(INDEX(BookTitle,1216)="","",INDEX(BookDivision,1216))</f>
        <v/>
      </c>
      <c r="D1221" s="40" t="str">
        <f aca="false">IF(INDEX(BookTitle,1216)="","",INDEX(BookUnit,1216))</f>
        <v/>
      </c>
      <c r="E1221" s="40" t="str">
        <f aca="false">IF(INDEX(BookTitle,1216)="","",INDEX(BookTitle,1216))</f>
        <v/>
      </c>
      <c r="F1221" s="40" t="str">
        <f aca="false">IF(INDEX(BookTitle,1216)="","",INDEX(BookLevel,1216))</f>
        <v/>
      </c>
      <c r="G1221" s="40" t="str">
        <f aca="false">IF(INDEX(BookTitle,1216)="","",INDEX(BookCategory,1216))</f>
        <v/>
      </c>
      <c r="H1221" s="40" t="str">
        <f aca="false">IF(INDEX(BookTitle,1216)="","",INDEX(BookRank,1216))</f>
        <v/>
      </c>
      <c r="I1221" s="41" t="str">
        <f aca="false">IF(INDEX(BookTitle,1216)="","",INDEX(BookTotal,1216))</f>
        <v/>
      </c>
      <c r="J1221" s="0" t="str">
        <f aca="false">IF($I1221="","",IF(INDEX(BookQ1,1216)&gt;0,"Q1",IF(INDEX(BookQ2,1216)&gt;0,"Q2",IF(INDEX(BookQ3,1216)&gt;0,"Q3",IF(INDEX(BookQ4,1216)&gt;0,"Q4","")))))</f>
        <v/>
      </c>
      <c r="K1221" s="42" t="str">
        <f aca="false">IF(INDEX(BookTitle,1216)="","",INDEX(BookInYear,1216))</f>
        <v/>
      </c>
      <c r="L1221" s="19"/>
      <c r="M1221" s="39"/>
      <c r="N1221" s="19"/>
      <c r="O1221" s="19"/>
      <c r="P1221" s="43" t="str">
        <f aca="false">IF($E1221="","",IF($L1221="Decline",0,IF($L1221="Approve fewer",IF($M1221="","",$M1221),IF($L1221="","",$I1221))))</f>
        <v/>
      </c>
      <c r="Q1221" s="34" t="str">
        <f aca="false">IF($P1221="","",IF($N1221&lt;&gt;"",$N1221,$J1221))</f>
        <v/>
      </c>
      <c r="R1221" s="35" t="str">
        <f aca="false">IF(OR($P1221="",$Q1221=""),"",INDEX(BookRate,1216)*$P1221*(5-MATCH($Q1221,{"Q1";"Q2";"Q3";"Q4"},0))/4+INDEX(BookOneOff,1216)*$P1221)</f>
        <v/>
      </c>
      <c r="S1221" s="35" t="str">
        <f aca="false">IF($P1221="","",INDEX(BookRate,1216)*$P1221)</f>
        <v/>
      </c>
      <c r="T1221" s="35" t="str">
        <f aca="false">IF($R1221="","",$R1221-$K1221)</f>
        <v/>
      </c>
      <c r="U1221" s="35" t="str">
        <f aca="false">IF(N($P1221)&lt;=0,"",COUNTIF($P$6:$P1221,"&gt;0"))</f>
        <v/>
      </c>
    </row>
    <row r="1222" customFormat="false" ht="15" hidden="false" customHeight="false" outlineLevel="0" collapsed="false">
      <c r="A1222" s="40" t="str">
        <f aca="false">IF(INDEX(BookTitle,1217)="","",INDEX(BookGroup,1217))</f>
        <v/>
      </c>
      <c r="B1222" s="40" t="str">
        <f aca="false">IF(INDEX(BookTitle,1217)="","",INDEX(BookRef,1217))</f>
        <v/>
      </c>
      <c r="C1222" s="40" t="str">
        <f aca="false">IF(INDEX(BookTitle,1217)="","",INDEX(BookDivision,1217))</f>
        <v/>
      </c>
      <c r="D1222" s="40" t="str">
        <f aca="false">IF(INDEX(BookTitle,1217)="","",INDEX(BookUnit,1217))</f>
        <v/>
      </c>
      <c r="E1222" s="40" t="str">
        <f aca="false">IF(INDEX(BookTitle,1217)="","",INDEX(BookTitle,1217))</f>
        <v/>
      </c>
      <c r="F1222" s="40" t="str">
        <f aca="false">IF(INDEX(BookTitle,1217)="","",INDEX(BookLevel,1217))</f>
        <v/>
      </c>
      <c r="G1222" s="40" t="str">
        <f aca="false">IF(INDEX(BookTitle,1217)="","",INDEX(BookCategory,1217))</f>
        <v/>
      </c>
      <c r="H1222" s="40" t="str">
        <f aca="false">IF(INDEX(BookTitle,1217)="","",INDEX(BookRank,1217))</f>
        <v/>
      </c>
      <c r="I1222" s="41" t="str">
        <f aca="false">IF(INDEX(BookTitle,1217)="","",INDEX(BookTotal,1217))</f>
        <v/>
      </c>
      <c r="J1222" s="0" t="str">
        <f aca="false">IF($I1222="","",IF(INDEX(BookQ1,1217)&gt;0,"Q1",IF(INDEX(BookQ2,1217)&gt;0,"Q2",IF(INDEX(BookQ3,1217)&gt;0,"Q3",IF(INDEX(BookQ4,1217)&gt;0,"Q4","")))))</f>
        <v/>
      </c>
      <c r="K1222" s="42" t="str">
        <f aca="false">IF(INDEX(BookTitle,1217)="","",INDEX(BookInYear,1217))</f>
        <v/>
      </c>
      <c r="L1222" s="19"/>
      <c r="M1222" s="39"/>
      <c r="N1222" s="19"/>
      <c r="O1222" s="19"/>
      <c r="P1222" s="43" t="str">
        <f aca="false">IF($E1222="","",IF($L1222="Decline",0,IF($L1222="Approve fewer",IF($M1222="","",$M1222),IF($L1222="","",$I1222))))</f>
        <v/>
      </c>
      <c r="Q1222" s="34" t="str">
        <f aca="false">IF($P1222="","",IF($N1222&lt;&gt;"",$N1222,$J1222))</f>
        <v/>
      </c>
      <c r="R1222" s="35" t="str">
        <f aca="false">IF(OR($P1222="",$Q1222=""),"",INDEX(BookRate,1217)*$P1222*(5-MATCH($Q1222,{"Q1";"Q2";"Q3";"Q4"},0))/4+INDEX(BookOneOff,1217)*$P1222)</f>
        <v/>
      </c>
      <c r="S1222" s="35" t="str">
        <f aca="false">IF($P1222="","",INDEX(BookRate,1217)*$P1222)</f>
        <v/>
      </c>
      <c r="T1222" s="35" t="str">
        <f aca="false">IF($R1222="","",$R1222-$K1222)</f>
        <v/>
      </c>
      <c r="U1222" s="35" t="str">
        <f aca="false">IF(N($P1222)&lt;=0,"",COUNTIF($P$6:$P1222,"&gt;0"))</f>
        <v/>
      </c>
    </row>
    <row r="1223" customFormat="false" ht="15" hidden="false" customHeight="false" outlineLevel="0" collapsed="false">
      <c r="A1223" s="40" t="str">
        <f aca="false">IF(INDEX(BookTitle,1218)="","",INDEX(BookGroup,1218))</f>
        <v/>
      </c>
      <c r="B1223" s="40" t="str">
        <f aca="false">IF(INDEX(BookTitle,1218)="","",INDEX(BookRef,1218))</f>
        <v/>
      </c>
      <c r="C1223" s="40" t="str">
        <f aca="false">IF(INDEX(BookTitle,1218)="","",INDEX(BookDivision,1218))</f>
        <v/>
      </c>
      <c r="D1223" s="40" t="str">
        <f aca="false">IF(INDEX(BookTitle,1218)="","",INDEX(BookUnit,1218))</f>
        <v/>
      </c>
      <c r="E1223" s="40" t="str">
        <f aca="false">IF(INDEX(BookTitle,1218)="","",INDEX(BookTitle,1218))</f>
        <v/>
      </c>
      <c r="F1223" s="40" t="str">
        <f aca="false">IF(INDEX(BookTitle,1218)="","",INDEX(BookLevel,1218))</f>
        <v/>
      </c>
      <c r="G1223" s="40" t="str">
        <f aca="false">IF(INDEX(BookTitle,1218)="","",INDEX(BookCategory,1218))</f>
        <v/>
      </c>
      <c r="H1223" s="40" t="str">
        <f aca="false">IF(INDEX(BookTitle,1218)="","",INDEX(BookRank,1218))</f>
        <v/>
      </c>
      <c r="I1223" s="41" t="str">
        <f aca="false">IF(INDEX(BookTitle,1218)="","",INDEX(BookTotal,1218))</f>
        <v/>
      </c>
      <c r="J1223" s="0" t="str">
        <f aca="false">IF($I1223="","",IF(INDEX(BookQ1,1218)&gt;0,"Q1",IF(INDEX(BookQ2,1218)&gt;0,"Q2",IF(INDEX(BookQ3,1218)&gt;0,"Q3",IF(INDEX(BookQ4,1218)&gt;0,"Q4","")))))</f>
        <v/>
      </c>
      <c r="K1223" s="42" t="str">
        <f aca="false">IF(INDEX(BookTitle,1218)="","",INDEX(BookInYear,1218))</f>
        <v/>
      </c>
      <c r="L1223" s="19"/>
      <c r="M1223" s="39"/>
      <c r="N1223" s="19"/>
      <c r="O1223" s="19"/>
      <c r="P1223" s="43" t="str">
        <f aca="false">IF($E1223="","",IF($L1223="Decline",0,IF($L1223="Approve fewer",IF($M1223="","",$M1223),IF($L1223="","",$I1223))))</f>
        <v/>
      </c>
      <c r="Q1223" s="34" t="str">
        <f aca="false">IF($P1223="","",IF($N1223&lt;&gt;"",$N1223,$J1223))</f>
        <v/>
      </c>
      <c r="R1223" s="35" t="str">
        <f aca="false">IF(OR($P1223="",$Q1223=""),"",INDEX(BookRate,1218)*$P1223*(5-MATCH($Q1223,{"Q1";"Q2";"Q3";"Q4"},0))/4+INDEX(BookOneOff,1218)*$P1223)</f>
        <v/>
      </c>
      <c r="S1223" s="35" t="str">
        <f aca="false">IF($P1223="","",INDEX(BookRate,1218)*$P1223)</f>
        <v/>
      </c>
      <c r="T1223" s="35" t="str">
        <f aca="false">IF($R1223="","",$R1223-$K1223)</f>
        <v/>
      </c>
      <c r="U1223" s="35" t="str">
        <f aca="false">IF(N($P1223)&lt;=0,"",COUNTIF($P$6:$P1223,"&gt;0"))</f>
        <v/>
      </c>
    </row>
    <row r="1224" customFormat="false" ht="15" hidden="false" customHeight="false" outlineLevel="0" collapsed="false">
      <c r="A1224" s="40" t="str">
        <f aca="false">IF(INDEX(BookTitle,1219)="","",INDEX(BookGroup,1219))</f>
        <v/>
      </c>
      <c r="B1224" s="40" t="str">
        <f aca="false">IF(INDEX(BookTitle,1219)="","",INDEX(BookRef,1219))</f>
        <v/>
      </c>
      <c r="C1224" s="40" t="str">
        <f aca="false">IF(INDEX(BookTitle,1219)="","",INDEX(BookDivision,1219))</f>
        <v/>
      </c>
      <c r="D1224" s="40" t="str">
        <f aca="false">IF(INDEX(BookTitle,1219)="","",INDEX(BookUnit,1219))</f>
        <v/>
      </c>
      <c r="E1224" s="40" t="str">
        <f aca="false">IF(INDEX(BookTitle,1219)="","",INDEX(BookTitle,1219))</f>
        <v/>
      </c>
      <c r="F1224" s="40" t="str">
        <f aca="false">IF(INDEX(BookTitle,1219)="","",INDEX(BookLevel,1219))</f>
        <v/>
      </c>
      <c r="G1224" s="40" t="str">
        <f aca="false">IF(INDEX(BookTitle,1219)="","",INDEX(BookCategory,1219))</f>
        <v/>
      </c>
      <c r="H1224" s="40" t="str">
        <f aca="false">IF(INDEX(BookTitle,1219)="","",INDEX(BookRank,1219))</f>
        <v/>
      </c>
      <c r="I1224" s="41" t="str">
        <f aca="false">IF(INDEX(BookTitle,1219)="","",INDEX(BookTotal,1219))</f>
        <v/>
      </c>
      <c r="J1224" s="0" t="str">
        <f aca="false">IF($I1224="","",IF(INDEX(BookQ1,1219)&gt;0,"Q1",IF(INDEX(BookQ2,1219)&gt;0,"Q2",IF(INDEX(BookQ3,1219)&gt;0,"Q3",IF(INDEX(BookQ4,1219)&gt;0,"Q4","")))))</f>
        <v/>
      </c>
      <c r="K1224" s="42" t="str">
        <f aca="false">IF(INDEX(BookTitle,1219)="","",INDEX(BookInYear,1219))</f>
        <v/>
      </c>
      <c r="L1224" s="19"/>
      <c r="M1224" s="39"/>
      <c r="N1224" s="19"/>
      <c r="O1224" s="19"/>
      <c r="P1224" s="43" t="str">
        <f aca="false">IF($E1224="","",IF($L1224="Decline",0,IF($L1224="Approve fewer",IF($M1224="","",$M1224),IF($L1224="","",$I1224))))</f>
        <v/>
      </c>
      <c r="Q1224" s="34" t="str">
        <f aca="false">IF($P1224="","",IF($N1224&lt;&gt;"",$N1224,$J1224))</f>
        <v/>
      </c>
      <c r="R1224" s="35" t="str">
        <f aca="false">IF(OR($P1224="",$Q1224=""),"",INDEX(BookRate,1219)*$P1224*(5-MATCH($Q1224,{"Q1";"Q2";"Q3";"Q4"},0))/4+INDEX(BookOneOff,1219)*$P1224)</f>
        <v/>
      </c>
      <c r="S1224" s="35" t="str">
        <f aca="false">IF($P1224="","",INDEX(BookRate,1219)*$P1224)</f>
        <v/>
      </c>
      <c r="T1224" s="35" t="str">
        <f aca="false">IF($R1224="","",$R1224-$K1224)</f>
        <v/>
      </c>
      <c r="U1224" s="35" t="str">
        <f aca="false">IF(N($P1224)&lt;=0,"",COUNTIF($P$6:$P1224,"&gt;0"))</f>
        <v/>
      </c>
    </row>
    <row r="1225" customFormat="false" ht="15" hidden="false" customHeight="false" outlineLevel="0" collapsed="false">
      <c r="A1225" s="40" t="str">
        <f aca="false">IF(INDEX(BookTitle,1220)="","",INDEX(BookGroup,1220))</f>
        <v/>
      </c>
      <c r="B1225" s="40" t="str">
        <f aca="false">IF(INDEX(BookTitle,1220)="","",INDEX(BookRef,1220))</f>
        <v/>
      </c>
      <c r="C1225" s="40" t="str">
        <f aca="false">IF(INDEX(BookTitle,1220)="","",INDEX(BookDivision,1220))</f>
        <v/>
      </c>
      <c r="D1225" s="40" t="str">
        <f aca="false">IF(INDEX(BookTitle,1220)="","",INDEX(BookUnit,1220))</f>
        <v/>
      </c>
      <c r="E1225" s="40" t="str">
        <f aca="false">IF(INDEX(BookTitle,1220)="","",INDEX(BookTitle,1220))</f>
        <v/>
      </c>
      <c r="F1225" s="40" t="str">
        <f aca="false">IF(INDEX(BookTitle,1220)="","",INDEX(BookLevel,1220))</f>
        <v/>
      </c>
      <c r="G1225" s="40" t="str">
        <f aca="false">IF(INDEX(BookTitle,1220)="","",INDEX(BookCategory,1220))</f>
        <v/>
      </c>
      <c r="H1225" s="40" t="str">
        <f aca="false">IF(INDEX(BookTitle,1220)="","",INDEX(BookRank,1220))</f>
        <v/>
      </c>
      <c r="I1225" s="41" t="str">
        <f aca="false">IF(INDEX(BookTitle,1220)="","",INDEX(BookTotal,1220))</f>
        <v/>
      </c>
      <c r="J1225" s="0" t="str">
        <f aca="false">IF($I1225="","",IF(INDEX(BookQ1,1220)&gt;0,"Q1",IF(INDEX(BookQ2,1220)&gt;0,"Q2",IF(INDEX(BookQ3,1220)&gt;0,"Q3",IF(INDEX(BookQ4,1220)&gt;0,"Q4","")))))</f>
        <v/>
      </c>
      <c r="K1225" s="42" t="str">
        <f aca="false">IF(INDEX(BookTitle,1220)="","",INDEX(BookInYear,1220))</f>
        <v/>
      </c>
      <c r="L1225" s="19"/>
      <c r="M1225" s="39"/>
      <c r="N1225" s="19"/>
      <c r="O1225" s="19"/>
      <c r="P1225" s="43" t="str">
        <f aca="false">IF($E1225="","",IF($L1225="Decline",0,IF($L1225="Approve fewer",IF($M1225="","",$M1225),IF($L1225="","",$I1225))))</f>
        <v/>
      </c>
      <c r="Q1225" s="34" t="str">
        <f aca="false">IF($P1225="","",IF($N1225&lt;&gt;"",$N1225,$J1225))</f>
        <v/>
      </c>
      <c r="R1225" s="35" t="str">
        <f aca="false">IF(OR($P1225="",$Q1225=""),"",INDEX(BookRate,1220)*$P1225*(5-MATCH($Q1225,{"Q1";"Q2";"Q3";"Q4"},0))/4+INDEX(BookOneOff,1220)*$P1225)</f>
        <v/>
      </c>
      <c r="S1225" s="35" t="str">
        <f aca="false">IF($P1225="","",INDEX(BookRate,1220)*$P1225)</f>
        <v/>
      </c>
      <c r="T1225" s="35" t="str">
        <f aca="false">IF($R1225="","",$R1225-$K1225)</f>
        <v/>
      </c>
      <c r="U1225" s="35" t="str">
        <f aca="false">IF(N($P1225)&lt;=0,"",COUNTIF($P$6:$P1225,"&gt;0"))</f>
        <v/>
      </c>
    </row>
    <row r="1226" customFormat="false" ht="15" hidden="false" customHeight="false" outlineLevel="0" collapsed="false">
      <c r="A1226" s="40" t="str">
        <f aca="false">IF(INDEX(BookTitle,1221)="","",INDEX(BookGroup,1221))</f>
        <v/>
      </c>
      <c r="B1226" s="40" t="str">
        <f aca="false">IF(INDEX(BookTitle,1221)="","",INDEX(BookRef,1221))</f>
        <v/>
      </c>
      <c r="C1226" s="40" t="str">
        <f aca="false">IF(INDEX(BookTitle,1221)="","",INDEX(BookDivision,1221))</f>
        <v/>
      </c>
      <c r="D1226" s="40" t="str">
        <f aca="false">IF(INDEX(BookTitle,1221)="","",INDEX(BookUnit,1221))</f>
        <v/>
      </c>
      <c r="E1226" s="40" t="str">
        <f aca="false">IF(INDEX(BookTitle,1221)="","",INDEX(BookTitle,1221))</f>
        <v/>
      </c>
      <c r="F1226" s="40" t="str">
        <f aca="false">IF(INDEX(BookTitle,1221)="","",INDEX(BookLevel,1221))</f>
        <v/>
      </c>
      <c r="G1226" s="40" t="str">
        <f aca="false">IF(INDEX(BookTitle,1221)="","",INDEX(BookCategory,1221))</f>
        <v/>
      </c>
      <c r="H1226" s="40" t="str">
        <f aca="false">IF(INDEX(BookTitle,1221)="","",INDEX(BookRank,1221))</f>
        <v/>
      </c>
      <c r="I1226" s="41" t="str">
        <f aca="false">IF(INDEX(BookTitle,1221)="","",INDEX(BookTotal,1221))</f>
        <v/>
      </c>
      <c r="J1226" s="0" t="str">
        <f aca="false">IF($I1226="","",IF(INDEX(BookQ1,1221)&gt;0,"Q1",IF(INDEX(BookQ2,1221)&gt;0,"Q2",IF(INDEX(BookQ3,1221)&gt;0,"Q3",IF(INDEX(BookQ4,1221)&gt;0,"Q4","")))))</f>
        <v/>
      </c>
      <c r="K1226" s="42" t="str">
        <f aca="false">IF(INDEX(BookTitle,1221)="","",INDEX(BookInYear,1221))</f>
        <v/>
      </c>
      <c r="L1226" s="19"/>
      <c r="M1226" s="39"/>
      <c r="N1226" s="19"/>
      <c r="O1226" s="19"/>
      <c r="P1226" s="43" t="str">
        <f aca="false">IF($E1226="","",IF($L1226="Decline",0,IF($L1226="Approve fewer",IF($M1226="","",$M1226),IF($L1226="","",$I1226))))</f>
        <v/>
      </c>
      <c r="Q1226" s="34" t="str">
        <f aca="false">IF($P1226="","",IF($N1226&lt;&gt;"",$N1226,$J1226))</f>
        <v/>
      </c>
      <c r="R1226" s="35" t="str">
        <f aca="false">IF(OR($P1226="",$Q1226=""),"",INDEX(BookRate,1221)*$P1226*(5-MATCH($Q1226,{"Q1";"Q2";"Q3";"Q4"},0))/4+INDEX(BookOneOff,1221)*$P1226)</f>
        <v/>
      </c>
      <c r="S1226" s="35" t="str">
        <f aca="false">IF($P1226="","",INDEX(BookRate,1221)*$P1226)</f>
        <v/>
      </c>
      <c r="T1226" s="35" t="str">
        <f aca="false">IF($R1226="","",$R1226-$K1226)</f>
        <v/>
      </c>
      <c r="U1226" s="35" t="str">
        <f aca="false">IF(N($P1226)&lt;=0,"",COUNTIF($P$6:$P1226,"&gt;0"))</f>
        <v/>
      </c>
    </row>
    <row r="1227" customFormat="false" ht="15" hidden="false" customHeight="false" outlineLevel="0" collapsed="false">
      <c r="A1227" s="40" t="str">
        <f aca="false">IF(INDEX(BookTitle,1222)="","",INDEX(BookGroup,1222))</f>
        <v/>
      </c>
      <c r="B1227" s="40" t="str">
        <f aca="false">IF(INDEX(BookTitle,1222)="","",INDEX(BookRef,1222))</f>
        <v/>
      </c>
      <c r="C1227" s="40" t="str">
        <f aca="false">IF(INDEX(BookTitle,1222)="","",INDEX(BookDivision,1222))</f>
        <v/>
      </c>
      <c r="D1227" s="40" t="str">
        <f aca="false">IF(INDEX(BookTitle,1222)="","",INDEX(BookUnit,1222))</f>
        <v/>
      </c>
      <c r="E1227" s="40" t="str">
        <f aca="false">IF(INDEX(BookTitle,1222)="","",INDEX(BookTitle,1222))</f>
        <v/>
      </c>
      <c r="F1227" s="40" t="str">
        <f aca="false">IF(INDEX(BookTitle,1222)="","",INDEX(BookLevel,1222))</f>
        <v/>
      </c>
      <c r="G1227" s="40" t="str">
        <f aca="false">IF(INDEX(BookTitle,1222)="","",INDEX(BookCategory,1222))</f>
        <v/>
      </c>
      <c r="H1227" s="40" t="str">
        <f aca="false">IF(INDEX(BookTitle,1222)="","",INDEX(BookRank,1222))</f>
        <v/>
      </c>
      <c r="I1227" s="41" t="str">
        <f aca="false">IF(INDEX(BookTitle,1222)="","",INDEX(BookTotal,1222))</f>
        <v/>
      </c>
      <c r="J1227" s="0" t="str">
        <f aca="false">IF($I1227="","",IF(INDEX(BookQ1,1222)&gt;0,"Q1",IF(INDEX(BookQ2,1222)&gt;0,"Q2",IF(INDEX(BookQ3,1222)&gt;0,"Q3",IF(INDEX(BookQ4,1222)&gt;0,"Q4","")))))</f>
        <v/>
      </c>
      <c r="K1227" s="42" t="str">
        <f aca="false">IF(INDEX(BookTitle,1222)="","",INDEX(BookInYear,1222))</f>
        <v/>
      </c>
      <c r="L1227" s="19"/>
      <c r="M1227" s="39"/>
      <c r="N1227" s="19"/>
      <c r="O1227" s="19"/>
      <c r="P1227" s="43" t="str">
        <f aca="false">IF($E1227="","",IF($L1227="Decline",0,IF($L1227="Approve fewer",IF($M1227="","",$M1227),IF($L1227="","",$I1227))))</f>
        <v/>
      </c>
      <c r="Q1227" s="34" t="str">
        <f aca="false">IF($P1227="","",IF($N1227&lt;&gt;"",$N1227,$J1227))</f>
        <v/>
      </c>
      <c r="R1227" s="35" t="str">
        <f aca="false">IF(OR($P1227="",$Q1227=""),"",INDEX(BookRate,1222)*$P1227*(5-MATCH($Q1227,{"Q1";"Q2";"Q3";"Q4"},0))/4+INDEX(BookOneOff,1222)*$P1227)</f>
        <v/>
      </c>
      <c r="S1227" s="35" t="str">
        <f aca="false">IF($P1227="","",INDEX(BookRate,1222)*$P1227)</f>
        <v/>
      </c>
      <c r="T1227" s="35" t="str">
        <f aca="false">IF($R1227="","",$R1227-$K1227)</f>
        <v/>
      </c>
      <c r="U1227" s="35" t="str">
        <f aca="false">IF(N($P1227)&lt;=0,"",COUNTIF($P$6:$P1227,"&gt;0"))</f>
        <v/>
      </c>
    </row>
    <row r="1228" customFormat="false" ht="15" hidden="false" customHeight="false" outlineLevel="0" collapsed="false">
      <c r="A1228" s="40" t="str">
        <f aca="false">IF(INDEX(BookTitle,1223)="","",INDEX(BookGroup,1223))</f>
        <v/>
      </c>
      <c r="B1228" s="40" t="str">
        <f aca="false">IF(INDEX(BookTitle,1223)="","",INDEX(BookRef,1223))</f>
        <v/>
      </c>
      <c r="C1228" s="40" t="str">
        <f aca="false">IF(INDEX(BookTitle,1223)="","",INDEX(BookDivision,1223))</f>
        <v/>
      </c>
      <c r="D1228" s="40" t="str">
        <f aca="false">IF(INDEX(BookTitle,1223)="","",INDEX(BookUnit,1223))</f>
        <v/>
      </c>
      <c r="E1228" s="40" t="str">
        <f aca="false">IF(INDEX(BookTitle,1223)="","",INDEX(BookTitle,1223))</f>
        <v/>
      </c>
      <c r="F1228" s="40" t="str">
        <f aca="false">IF(INDEX(BookTitle,1223)="","",INDEX(BookLevel,1223))</f>
        <v/>
      </c>
      <c r="G1228" s="40" t="str">
        <f aca="false">IF(INDEX(BookTitle,1223)="","",INDEX(BookCategory,1223))</f>
        <v/>
      </c>
      <c r="H1228" s="40" t="str">
        <f aca="false">IF(INDEX(BookTitle,1223)="","",INDEX(BookRank,1223))</f>
        <v/>
      </c>
      <c r="I1228" s="41" t="str">
        <f aca="false">IF(INDEX(BookTitle,1223)="","",INDEX(BookTotal,1223))</f>
        <v/>
      </c>
      <c r="J1228" s="0" t="str">
        <f aca="false">IF($I1228="","",IF(INDEX(BookQ1,1223)&gt;0,"Q1",IF(INDEX(BookQ2,1223)&gt;0,"Q2",IF(INDEX(BookQ3,1223)&gt;0,"Q3",IF(INDEX(BookQ4,1223)&gt;0,"Q4","")))))</f>
        <v/>
      </c>
      <c r="K1228" s="42" t="str">
        <f aca="false">IF(INDEX(BookTitle,1223)="","",INDEX(BookInYear,1223))</f>
        <v/>
      </c>
      <c r="L1228" s="19"/>
      <c r="M1228" s="39"/>
      <c r="N1228" s="19"/>
      <c r="O1228" s="19"/>
      <c r="P1228" s="43" t="str">
        <f aca="false">IF($E1228="","",IF($L1228="Decline",0,IF($L1228="Approve fewer",IF($M1228="","",$M1228),IF($L1228="","",$I1228))))</f>
        <v/>
      </c>
      <c r="Q1228" s="34" t="str">
        <f aca="false">IF($P1228="","",IF($N1228&lt;&gt;"",$N1228,$J1228))</f>
        <v/>
      </c>
      <c r="R1228" s="35" t="str">
        <f aca="false">IF(OR($P1228="",$Q1228=""),"",INDEX(BookRate,1223)*$P1228*(5-MATCH($Q1228,{"Q1";"Q2";"Q3";"Q4"},0))/4+INDEX(BookOneOff,1223)*$P1228)</f>
        <v/>
      </c>
      <c r="S1228" s="35" t="str">
        <f aca="false">IF($P1228="","",INDEX(BookRate,1223)*$P1228)</f>
        <v/>
      </c>
      <c r="T1228" s="35" t="str">
        <f aca="false">IF($R1228="","",$R1228-$K1228)</f>
        <v/>
      </c>
      <c r="U1228" s="35" t="str">
        <f aca="false">IF(N($P1228)&lt;=0,"",COUNTIF($P$6:$P1228,"&gt;0"))</f>
        <v/>
      </c>
    </row>
    <row r="1229" customFormat="false" ht="15" hidden="false" customHeight="false" outlineLevel="0" collapsed="false">
      <c r="A1229" s="40" t="str">
        <f aca="false">IF(INDEX(BookTitle,1224)="","",INDEX(BookGroup,1224))</f>
        <v/>
      </c>
      <c r="B1229" s="40" t="str">
        <f aca="false">IF(INDEX(BookTitle,1224)="","",INDEX(BookRef,1224))</f>
        <v/>
      </c>
      <c r="C1229" s="40" t="str">
        <f aca="false">IF(INDEX(BookTitle,1224)="","",INDEX(BookDivision,1224))</f>
        <v/>
      </c>
      <c r="D1229" s="40" t="str">
        <f aca="false">IF(INDEX(BookTitle,1224)="","",INDEX(BookUnit,1224))</f>
        <v/>
      </c>
      <c r="E1229" s="40" t="str">
        <f aca="false">IF(INDEX(BookTitle,1224)="","",INDEX(BookTitle,1224))</f>
        <v/>
      </c>
      <c r="F1229" s="40" t="str">
        <f aca="false">IF(INDEX(BookTitle,1224)="","",INDEX(BookLevel,1224))</f>
        <v/>
      </c>
      <c r="G1229" s="40" t="str">
        <f aca="false">IF(INDEX(BookTitle,1224)="","",INDEX(BookCategory,1224))</f>
        <v/>
      </c>
      <c r="H1229" s="40" t="str">
        <f aca="false">IF(INDEX(BookTitle,1224)="","",INDEX(BookRank,1224))</f>
        <v/>
      </c>
      <c r="I1229" s="41" t="str">
        <f aca="false">IF(INDEX(BookTitle,1224)="","",INDEX(BookTotal,1224))</f>
        <v/>
      </c>
      <c r="J1229" s="0" t="str">
        <f aca="false">IF($I1229="","",IF(INDEX(BookQ1,1224)&gt;0,"Q1",IF(INDEX(BookQ2,1224)&gt;0,"Q2",IF(INDEX(BookQ3,1224)&gt;0,"Q3",IF(INDEX(BookQ4,1224)&gt;0,"Q4","")))))</f>
        <v/>
      </c>
      <c r="K1229" s="42" t="str">
        <f aca="false">IF(INDEX(BookTitle,1224)="","",INDEX(BookInYear,1224))</f>
        <v/>
      </c>
      <c r="L1229" s="19"/>
      <c r="M1229" s="39"/>
      <c r="N1229" s="19"/>
      <c r="O1229" s="19"/>
      <c r="P1229" s="43" t="str">
        <f aca="false">IF($E1229="","",IF($L1229="Decline",0,IF($L1229="Approve fewer",IF($M1229="","",$M1229),IF($L1229="","",$I1229))))</f>
        <v/>
      </c>
      <c r="Q1229" s="34" t="str">
        <f aca="false">IF($P1229="","",IF($N1229&lt;&gt;"",$N1229,$J1229))</f>
        <v/>
      </c>
      <c r="R1229" s="35" t="str">
        <f aca="false">IF(OR($P1229="",$Q1229=""),"",INDEX(BookRate,1224)*$P1229*(5-MATCH($Q1229,{"Q1";"Q2";"Q3";"Q4"},0))/4+INDEX(BookOneOff,1224)*$P1229)</f>
        <v/>
      </c>
      <c r="S1229" s="35" t="str">
        <f aca="false">IF($P1229="","",INDEX(BookRate,1224)*$P1229)</f>
        <v/>
      </c>
      <c r="T1229" s="35" t="str">
        <f aca="false">IF($R1229="","",$R1229-$K1229)</f>
        <v/>
      </c>
      <c r="U1229" s="35" t="str">
        <f aca="false">IF(N($P1229)&lt;=0,"",COUNTIF($P$6:$P1229,"&gt;0"))</f>
        <v/>
      </c>
    </row>
    <row r="1230" customFormat="false" ht="15" hidden="false" customHeight="false" outlineLevel="0" collapsed="false">
      <c r="A1230" s="40" t="str">
        <f aca="false">IF(INDEX(BookTitle,1225)="","",INDEX(BookGroup,1225))</f>
        <v/>
      </c>
      <c r="B1230" s="40" t="str">
        <f aca="false">IF(INDEX(BookTitle,1225)="","",INDEX(BookRef,1225))</f>
        <v/>
      </c>
      <c r="C1230" s="40" t="str">
        <f aca="false">IF(INDEX(BookTitle,1225)="","",INDEX(BookDivision,1225))</f>
        <v/>
      </c>
      <c r="D1230" s="40" t="str">
        <f aca="false">IF(INDEX(BookTitle,1225)="","",INDEX(BookUnit,1225))</f>
        <v/>
      </c>
      <c r="E1230" s="40" t="str">
        <f aca="false">IF(INDEX(BookTitle,1225)="","",INDEX(BookTitle,1225))</f>
        <v/>
      </c>
      <c r="F1230" s="40" t="str">
        <f aca="false">IF(INDEX(BookTitle,1225)="","",INDEX(BookLevel,1225))</f>
        <v/>
      </c>
      <c r="G1230" s="40" t="str">
        <f aca="false">IF(INDEX(BookTitle,1225)="","",INDEX(BookCategory,1225))</f>
        <v/>
      </c>
      <c r="H1230" s="40" t="str">
        <f aca="false">IF(INDEX(BookTitle,1225)="","",INDEX(BookRank,1225))</f>
        <v/>
      </c>
      <c r="I1230" s="41" t="str">
        <f aca="false">IF(INDEX(BookTitle,1225)="","",INDEX(BookTotal,1225))</f>
        <v/>
      </c>
      <c r="J1230" s="0" t="str">
        <f aca="false">IF($I1230="","",IF(INDEX(BookQ1,1225)&gt;0,"Q1",IF(INDEX(BookQ2,1225)&gt;0,"Q2",IF(INDEX(BookQ3,1225)&gt;0,"Q3",IF(INDEX(BookQ4,1225)&gt;0,"Q4","")))))</f>
        <v/>
      </c>
      <c r="K1230" s="42" t="str">
        <f aca="false">IF(INDEX(BookTitle,1225)="","",INDEX(BookInYear,1225))</f>
        <v/>
      </c>
      <c r="L1230" s="19"/>
      <c r="M1230" s="39"/>
      <c r="N1230" s="19"/>
      <c r="O1230" s="19"/>
      <c r="P1230" s="43" t="str">
        <f aca="false">IF($E1230="","",IF($L1230="Decline",0,IF($L1230="Approve fewer",IF($M1230="","",$M1230),IF($L1230="","",$I1230))))</f>
        <v/>
      </c>
      <c r="Q1230" s="34" t="str">
        <f aca="false">IF($P1230="","",IF($N1230&lt;&gt;"",$N1230,$J1230))</f>
        <v/>
      </c>
      <c r="R1230" s="35" t="str">
        <f aca="false">IF(OR($P1230="",$Q1230=""),"",INDEX(BookRate,1225)*$P1230*(5-MATCH($Q1230,{"Q1";"Q2";"Q3";"Q4"},0))/4+INDEX(BookOneOff,1225)*$P1230)</f>
        <v/>
      </c>
      <c r="S1230" s="35" t="str">
        <f aca="false">IF($P1230="","",INDEX(BookRate,1225)*$P1230)</f>
        <v/>
      </c>
      <c r="T1230" s="35" t="str">
        <f aca="false">IF($R1230="","",$R1230-$K1230)</f>
        <v/>
      </c>
      <c r="U1230" s="35" t="str">
        <f aca="false">IF(N($P1230)&lt;=0,"",COUNTIF($P$6:$P1230,"&gt;0"))</f>
        <v/>
      </c>
    </row>
    <row r="1231" customFormat="false" ht="15" hidden="false" customHeight="false" outlineLevel="0" collapsed="false">
      <c r="A1231" s="40" t="str">
        <f aca="false">IF(INDEX(BookTitle,1226)="","",INDEX(BookGroup,1226))</f>
        <v/>
      </c>
      <c r="B1231" s="40" t="str">
        <f aca="false">IF(INDEX(BookTitle,1226)="","",INDEX(BookRef,1226))</f>
        <v/>
      </c>
      <c r="C1231" s="40" t="str">
        <f aca="false">IF(INDEX(BookTitle,1226)="","",INDEX(BookDivision,1226))</f>
        <v/>
      </c>
      <c r="D1231" s="40" t="str">
        <f aca="false">IF(INDEX(BookTitle,1226)="","",INDEX(BookUnit,1226))</f>
        <v/>
      </c>
      <c r="E1231" s="40" t="str">
        <f aca="false">IF(INDEX(BookTitle,1226)="","",INDEX(BookTitle,1226))</f>
        <v/>
      </c>
      <c r="F1231" s="40" t="str">
        <f aca="false">IF(INDEX(BookTitle,1226)="","",INDEX(BookLevel,1226))</f>
        <v/>
      </c>
      <c r="G1231" s="40" t="str">
        <f aca="false">IF(INDEX(BookTitle,1226)="","",INDEX(BookCategory,1226))</f>
        <v/>
      </c>
      <c r="H1231" s="40" t="str">
        <f aca="false">IF(INDEX(BookTitle,1226)="","",INDEX(BookRank,1226))</f>
        <v/>
      </c>
      <c r="I1231" s="41" t="str">
        <f aca="false">IF(INDEX(BookTitle,1226)="","",INDEX(BookTotal,1226))</f>
        <v/>
      </c>
      <c r="J1231" s="0" t="str">
        <f aca="false">IF($I1231="","",IF(INDEX(BookQ1,1226)&gt;0,"Q1",IF(INDEX(BookQ2,1226)&gt;0,"Q2",IF(INDEX(BookQ3,1226)&gt;0,"Q3",IF(INDEX(BookQ4,1226)&gt;0,"Q4","")))))</f>
        <v/>
      </c>
      <c r="K1231" s="42" t="str">
        <f aca="false">IF(INDEX(BookTitle,1226)="","",INDEX(BookInYear,1226))</f>
        <v/>
      </c>
      <c r="L1231" s="19"/>
      <c r="M1231" s="39"/>
      <c r="N1231" s="19"/>
      <c r="O1231" s="19"/>
      <c r="P1231" s="43" t="str">
        <f aca="false">IF($E1231="","",IF($L1231="Decline",0,IF($L1231="Approve fewer",IF($M1231="","",$M1231),IF($L1231="","",$I1231))))</f>
        <v/>
      </c>
      <c r="Q1231" s="34" t="str">
        <f aca="false">IF($P1231="","",IF($N1231&lt;&gt;"",$N1231,$J1231))</f>
        <v/>
      </c>
      <c r="R1231" s="35" t="str">
        <f aca="false">IF(OR($P1231="",$Q1231=""),"",INDEX(BookRate,1226)*$P1231*(5-MATCH($Q1231,{"Q1";"Q2";"Q3";"Q4"},0))/4+INDEX(BookOneOff,1226)*$P1231)</f>
        <v/>
      </c>
      <c r="S1231" s="35" t="str">
        <f aca="false">IF($P1231="","",INDEX(BookRate,1226)*$P1231)</f>
        <v/>
      </c>
      <c r="T1231" s="35" t="str">
        <f aca="false">IF($R1231="","",$R1231-$K1231)</f>
        <v/>
      </c>
      <c r="U1231" s="35" t="str">
        <f aca="false">IF(N($P1231)&lt;=0,"",COUNTIF($P$6:$P1231,"&gt;0"))</f>
        <v/>
      </c>
    </row>
    <row r="1232" customFormat="false" ht="15" hidden="false" customHeight="false" outlineLevel="0" collapsed="false">
      <c r="A1232" s="40" t="str">
        <f aca="false">IF(INDEX(BookTitle,1227)="","",INDEX(BookGroup,1227))</f>
        <v/>
      </c>
      <c r="B1232" s="40" t="str">
        <f aca="false">IF(INDEX(BookTitle,1227)="","",INDEX(BookRef,1227))</f>
        <v/>
      </c>
      <c r="C1232" s="40" t="str">
        <f aca="false">IF(INDEX(BookTitle,1227)="","",INDEX(BookDivision,1227))</f>
        <v/>
      </c>
      <c r="D1232" s="40" t="str">
        <f aca="false">IF(INDEX(BookTitle,1227)="","",INDEX(BookUnit,1227))</f>
        <v/>
      </c>
      <c r="E1232" s="40" t="str">
        <f aca="false">IF(INDEX(BookTitle,1227)="","",INDEX(BookTitle,1227))</f>
        <v/>
      </c>
      <c r="F1232" s="40" t="str">
        <f aca="false">IF(INDEX(BookTitle,1227)="","",INDEX(BookLevel,1227))</f>
        <v/>
      </c>
      <c r="G1232" s="40" t="str">
        <f aca="false">IF(INDEX(BookTitle,1227)="","",INDEX(BookCategory,1227))</f>
        <v/>
      </c>
      <c r="H1232" s="40" t="str">
        <f aca="false">IF(INDEX(BookTitle,1227)="","",INDEX(BookRank,1227))</f>
        <v/>
      </c>
      <c r="I1232" s="41" t="str">
        <f aca="false">IF(INDEX(BookTitle,1227)="","",INDEX(BookTotal,1227))</f>
        <v/>
      </c>
      <c r="J1232" s="0" t="str">
        <f aca="false">IF($I1232="","",IF(INDEX(BookQ1,1227)&gt;0,"Q1",IF(INDEX(BookQ2,1227)&gt;0,"Q2",IF(INDEX(BookQ3,1227)&gt;0,"Q3",IF(INDEX(BookQ4,1227)&gt;0,"Q4","")))))</f>
        <v/>
      </c>
      <c r="K1232" s="42" t="str">
        <f aca="false">IF(INDEX(BookTitle,1227)="","",INDEX(BookInYear,1227))</f>
        <v/>
      </c>
      <c r="L1232" s="19"/>
      <c r="M1232" s="39"/>
      <c r="N1232" s="19"/>
      <c r="O1232" s="19"/>
      <c r="P1232" s="43" t="str">
        <f aca="false">IF($E1232="","",IF($L1232="Decline",0,IF($L1232="Approve fewer",IF($M1232="","",$M1232),IF($L1232="","",$I1232))))</f>
        <v/>
      </c>
      <c r="Q1232" s="34" t="str">
        <f aca="false">IF($P1232="","",IF($N1232&lt;&gt;"",$N1232,$J1232))</f>
        <v/>
      </c>
      <c r="R1232" s="35" t="str">
        <f aca="false">IF(OR($P1232="",$Q1232=""),"",INDEX(BookRate,1227)*$P1232*(5-MATCH($Q1232,{"Q1";"Q2";"Q3";"Q4"},0))/4+INDEX(BookOneOff,1227)*$P1232)</f>
        <v/>
      </c>
      <c r="S1232" s="35" t="str">
        <f aca="false">IF($P1232="","",INDEX(BookRate,1227)*$P1232)</f>
        <v/>
      </c>
      <c r="T1232" s="35" t="str">
        <f aca="false">IF($R1232="","",$R1232-$K1232)</f>
        <v/>
      </c>
      <c r="U1232" s="35" t="str">
        <f aca="false">IF(N($P1232)&lt;=0,"",COUNTIF($P$6:$P1232,"&gt;0"))</f>
        <v/>
      </c>
    </row>
    <row r="1233" customFormat="false" ht="15" hidden="false" customHeight="false" outlineLevel="0" collapsed="false">
      <c r="A1233" s="40" t="str">
        <f aca="false">IF(INDEX(BookTitle,1228)="","",INDEX(BookGroup,1228))</f>
        <v/>
      </c>
      <c r="B1233" s="40" t="str">
        <f aca="false">IF(INDEX(BookTitle,1228)="","",INDEX(BookRef,1228))</f>
        <v/>
      </c>
      <c r="C1233" s="40" t="str">
        <f aca="false">IF(INDEX(BookTitle,1228)="","",INDEX(BookDivision,1228))</f>
        <v/>
      </c>
      <c r="D1233" s="40" t="str">
        <f aca="false">IF(INDEX(BookTitle,1228)="","",INDEX(BookUnit,1228))</f>
        <v/>
      </c>
      <c r="E1233" s="40" t="str">
        <f aca="false">IF(INDEX(BookTitle,1228)="","",INDEX(BookTitle,1228))</f>
        <v/>
      </c>
      <c r="F1233" s="40" t="str">
        <f aca="false">IF(INDEX(BookTitle,1228)="","",INDEX(BookLevel,1228))</f>
        <v/>
      </c>
      <c r="G1233" s="40" t="str">
        <f aca="false">IF(INDEX(BookTitle,1228)="","",INDEX(BookCategory,1228))</f>
        <v/>
      </c>
      <c r="H1233" s="40" t="str">
        <f aca="false">IF(INDEX(BookTitle,1228)="","",INDEX(BookRank,1228))</f>
        <v/>
      </c>
      <c r="I1233" s="41" t="str">
        <f aca="false">IF(INDEX(BookTitle,1228)="","",INDEX(BookTotal,1228))</f>
        <v/>
      </c>
      <c r="J1233" s="0" t="str">
        <f aca="false">IF($I1233="","",IF(INDEX(BookQ1,1228)&gt;0,"Q1",IF(INDEX(BookQ2,1228)&gt;0,"Q2",IF(INDEX(BookQ3,1228)&gt;0,"Q3",IF(INDEX(BookQ4,1228)&gt;0,"Q4","")))))</f>
        <v/>
      </c>
      <c r="K1233" s="42" t="str">
        <f aca="false">IF(INDEX(BookTitle,1228)="","",INDEX(BookInYear,1228))</f>
        <v/>
      </c>
      <c r="L1233" s="19"/>
      <c r="M1233" s="39"/>
      <c r="N1233" s="19"/>
      <c r="O1233" s="19"/>
      <c r="P1233" s="43" t="str">
        <f aca="false">IF($E1233="","",IF($L1233="Decline",0,IF($L1233="Approve fewer",IF($M1233="","",$M1233),IF($L1233="","",$I1233))))</f>
        <v/>
      </c>
      <c r="Q1233" s="34" t="str">
        <f aca="false">IF($P1233="","",IF($N1233&lt;&gt;"",$N1233,$J1233))</f>
        <v/>
      </c>
      <c r="R1233" s="35" t="str">
        <f aca="false">IF(OR($P1233="",$Q1233=""),"",INDEX(BookRate,1228)*$P1233*(5-MATCH($Q1233,{"Q1";"Q2";"Q3";"Q4"},0))/4+INDEX(BookOneOff,1228)*$P1233)</f>
        <v/>
      </c>
      <c r="S1233" s="35" t="str">
        <f aca="false">IF($P1233="","",INDEX(BookRate,1228)*$P1233)</f>
        <v/>
      </c>
      <c r="T1233" s="35" t="str">
        <f aca="false">IF($R1233="","",$R1233-$K1233)</f>
        <v/>
      </c>
      <c r="U1233" s="35" t="str">
        <f aca="false">IF(N($P1233)&lt;=0,"",COUNTIF($P$6:$P1233,"&gt;0"))</f>
        <v/>
      </c>
    </row>
    <row r="1234" customFormat="false" ht="15" hidden="false" customHeight="false" outlineLevel="0" collapsed="false">
      <c r="A1234" s="40" t="str">
        <f aca="false">IF(INDEX(BookTitle,1229)="","",INDEX(BookGroup,1229))</f>
        <v/>
      </c>
      <c r="B1234" s="40" t="str">
        <f aca="false">IF(INDEX(BookTitle,1229)="","",INDEX(BookRef,1229))</f>
        <v/>
      </c>
      <c r="C1234" s="40" t="str">
        <f aca="false">IF(INDEX(BookTitle,1229)="","",INDEX(BookDivision,1229))</f>
        <v/>
      </c>
      <c r="D1234" s="40" t="str">
        <f aca="false">IF(INDEX(BookTitle,1229)="","",INDEX(BookUnit,1229))</f>
        <v/>
      </c>
      <c r="E1234" s="40" t="str">
        <f aca="false">IF(INDEX(BookTitle,1229)="","",INDEX(BookTitle,1229))</f>
        <v/>
      </c>
      <c r="F1234" s="40" t="str">
        <f aca="false">IF(INDEX(BookTitle,1229)="","",INDEX(BookLevel,1229))</f>
        <v/>
      </c>
      <c r="G1234" s="40" t="str">
        <f aca="false">IF(INDEX(BookTitle,1229)="","",INDEX(BookCategory,1229))</f>
        <v/>
      </c>
      <c r="H1234" s="40" t="str">
        <f aca="false">IF(INDEX(BookTitle,1229)="","",INDEX(BookRank,1229))</f>
        <v/>
      </c>
      <c r="I1234" s="41" t="str">
        <f aca="false">IF(INDEX(BookTitle,1229)="","",INDEX(BookTotal,1229))</f>
        <v/>
      </c>
      <c r="J1234" s="0" t="str">
        <f aca="false">IF($I1234="","",IF(INDEX(BookQ1,1229)&gt;0,"Q1",IF(INDEX(BookQ2,1229)&gt;0,"Q2",IF(INDEX(BookQ3,1229)&gt;0,"Q3",IF(INDEX(BookQ4,1229)&gt;0,"Q4","")))))</f>
        <v/>
      </c>
      <c r="K1234" s="42" t="str">
        <f aca="false">IF(INDEX(BookTitle,1229)="","",INDEX(BookInYear,1229))</f>
        <v/>
      </c>
      <c r="L1234" s="19"/>
      <c r="M1234" s="39"/>
      <c r="N1234" s="19"/>
      <c r="O1234" s="19"/>
      <c r="P1234" s="43" t="str">
        <f aca="false">IF($E1234="","",IF($L1234="Decline",0,IF($L1234="Approve fewer",IF($M1234="","",$M1234),IF($L1234="","",$I1234))))</f>
        <v/>
      </c>
      <c r="Q1234" s="34" t="str">
        <f aca="false">IF($P1234="","",IF($N1234&lt;&gt;"",$N1234,$J1234))</f>
        <v/>
      </c>
      <c r="R1234" s="35" t="str">
        <f aca="false">IF(OR($P1234="",$Q1234=""),"",INDEX(BookRate,1229)*$P1234*(5-MATCH($Q1234,{"Q1";"Q2";"Q3";"Q4"},0))/4+INDEX(BookOneOff,1229)*$P1234)</f>
        <v/>
      </c>
      <c r="S1234" s="35" t="str">
        <f aca="false">IF($P1234="","",INDEX(BookRate,1229)*$P1234)</f>
        <v/>
      </c>
      <c r="T1234" s="35" t="str">
        <f aca="false">IF($R1234="","",$R1234-$K1234)</f>
        <v/>
      </c>
      <c r="U1234" s="35" t="str">
        <f aca="false">IF(N($P1234)&lt;=0,"",COUNTIF($P$6:$P1234,"&gt;0"))</f>
        <v/>
      </c>
    </row>
    <row r="1235" customFormat="false" ht="15" hidden="false" customHeight="false" outlineLevel="0" collapsed="false">
      <c r="A1235" s="40" t="str">
        <f aca="false">IF(INDEX(BookTitle,1230)="","",INDEX(BookGroup,1230))</f>
        <v/>
      </c>
      <c r="B1235" s="40" t="str">
        <f aca="false">IF(INDEX(BookTitle,1230)="","",INDEX(BookRef,1230))</f>
        <v/>
      </c>
      <c r="C1235" s="40" t="str">
        <f aca="false">IF(INDEX(BookTitle,1230)="","",INDEX(BookDivision,1230))</f>
        <v/>
      </c>
      <c r="D1235" s="40" t="str">
        <f aca="false">IF(INDEX(BookTitle,1230)="","",INDEX(BookUnit,1230))</f>
        <v/>
      </c>
      <c r="E1235" s="40" t="str">
        <f aca="false">IF(INDEX(BookTitle,1230)="","",INDEX(BookTitle,1230))</f>
        <v/>
      </c>
      <c r="F1235" s="40" t="str">
        <f aca="false">IF(INDEX(BookTitle,1230)="","",INDEX(BookLevel,1230))</f>
        <v/>
      </c>
      <c r="G1235" s="40" t="str">
        <f aca="false">IF(INDEX(BookTitle,1230)="","",INDEX(BookCategory,1230))</f>
        <v/>
      </c>
      <c r="H1235" s="40" t="str">
        <f aca="false">IF(INDEX(BookTitle,1230)="","",INDEX(BookRank,1230))</f>
        <v/>
      </c>
      <c r="I1235" s="41" t="str">
        <f aca="false">IF(INDEX(BookTitle,1230)="","",INDEX(BookTotal,1230))</f>
        <v/>
      </c>
      <c r="J1235" s="0" t="str">
        <f aca="false">IF($I1235="","",IF(INDEX(BookQ1,1230)&gt;0,"Q1",IF(INDEX(BookQ2,1230)&gt;0,"Q2",IF(INDEX(BookQ3,1230)&gt;0,"Q3",IF(INDEX(BookQ4,1230)&gt;0,"Q4","")))))</f>
        <v/>
      </c>
      <c r="K1235" s="42" t="str">
        <f aca="false">IF(INDEX(BookTitle,1230)="","",INDEX(BookInYear,1230))</f>
        <v/>
      </c>
      <c r="L1235" s="19"/>
      <c r="M1235" s="39"/>
      <c r="N1235" s="19"/>
      <c r="O1235" s="19"/>
      <c r="P1235" s="43" t="str">
        <f aca="false">IF($E1235="","",IF($L1235="Decline",0,IF($L1235="Approve fewer",IF($M1235="","",$M1235),IF($L1235="","",$I1235))))</f>
        <v/>
      </c>
      <c r="Q1235" s="34" t="str">
        <f aca="false">IF($P1235="","",IF($N1235&lt;&gt;"",$N1235,$J1235))</f>
        <v/>
      </c>
      <c r="R1235" s="35" t="str">
        <f aca="false">IF(OR($P1235="",$Q1235=""),"",INDEX(BookRate,1230)*$P1235*(5-MATCH($Q1235,{"Q1";"Q2";"Q3";"Q4"},0))/4+INDEX(BookOneOff,1230)*$P1235)</f>
        <v/>
      </c>
      <c r="S1235" s="35" t="str">
        <f aca="false">IF($P1235="","",INDEX(BookRate,1230)*$P1235)</f>
        <v/>
      </c>
      <c r="T1235" s="35" t="str">
        <f aca="false">IF($R1235="","",$R1235-$K1235)</f>
        <v/>
      </c>
      <c r="U1235" s="35" t="str">
        <f aca="false">IF(N($P1235)&lt;=0,"",COUNTIF($P$6:$P1235,"&gt;0"))</f>
        <v/>
      </c>
    </row>
    <row r="1236" customFormat="false" ht="15" hidden="false" customHeight="false" outlineLevel="0" collapsed="false">
      <c r="A1236" s="40" t="str">
        <f aca="false">IF(INDEX(BookTitle,1231)="","",INDEX(BookGroup,1231))</f>
        <v/>
      </c>
      <c r="B1236" s="40" t="str">
        <f aca="false">IF(INDEX(BookTitle,1231)="","",INDEX(BookRef,1231))</f>
        <v/>
      </c>
      <c r="C1236" s="40" t="str">
        <f aca="false">IF(INDEX(BookTitle,1231)="","",INDEX(BookDivision,1231))</f>
        <v/>
      </c>
      <c r="D1236" s="40" t="str">
        <f aca="false">IF(INDEX(BookTitle,1231)="","",INDEX(BookUnit,1231))</f>
        <v/>
      </c>
      <c r="E1236" s="40" t="str">
        <f aca="false">IF(INDEX(BookTitle,1231)="","",INDEX(BookTitle,1231))</f>
        <v/>
      </c>
      <c r="F1236" s="40" t="str">
        <f aca="false">IF(INDEX(BookTitle,1231)="","",INDEX(BookLevel,1231))</f>
        <v/>
      </c>
      <c r="G1236" s="40" t="str">
        <f aca="false">IF(INDEX(BookTitle,1231)="","",INDEX(BookCategory,1231))</f>
        <v/>
      </c>
      <c r="H1236" s="40" t="str">
        <f aca="false">IF(INDEX(BookTitle,1231)="","",INDEX(BookRank,1231))</f>
        <v/>
      </c>
      <c r="I1236" s="41" t="str">
        <f aca="false">IF(INDEX(BookTitle,1231)="","",INDEX(BookTotal,1231))</f>
        <v/>
      </c>
      <c r="J1236" s="0" t="str">
        <f aca="false">IF($I1236="","",IF(INDEX(BookQ1,1231)&gt;0,"Q1",IF(INDEX(BookQ2,1231)&gt;0,"Q2",IF(INDEX(BookQ3,1231)&gt;0,"Q3",IF(INDEX(BookQ4,1231)&gt;0,"Q4","")))))</f>
        <v/>
      </c>
      <c r="K1236" s="42" t="str">
        <f aca="false">IF(INDEX(BookTitle,1231)="","",INDEX(BookInYear,1231))</f>
        <v/>
      </c>
      <c r="L1236" s="19"/>
      <c r="M1236" s="39"/>
      <c r="N1236" s="19"/>
      <c r="O1236" s="19"/>
      <c r="P1236" s="43" t="str">
        <f aca="false">IF($E1236="","",IF($L1236="Decline",0,IF($L1236="Approve fewer",IF($M1236="","",$M1236),IF($L1236="","",$I1236))))</f>
        <v/>
      </c>
      <c r="Q1236" s="34" t="str">
        <f aca="false">IF($P1236="","",IF($N1236&lt;&gt;"",$N1236,$J1236))</f>
        <v/>
      </c>
      <c r="R1236" s="35" t="str">
        <f aca="false">IF(OR($P1236="",$Q1236=""),"",INDEX(BookRate,1231)*$P1236*(5-MATCH($Q1236,{"Q1";"Q2";"Q3";"Q4"},0))/4+INDEX(BookOneOff,1231)*$P1236)</f>
        <v/>
      </c>
      <c r="S1236" s="35" t="str">
        <f aca="false">IF($P1236="","",INDEX(BookRate,1231)*$P1236)</f>
        <v/>
      </c>
      <c r="T1236" s="35" t="str">
        <f aca="false">IF($R1236="","",$R1236-$K1236)</f>
        <v/>
      </c>
      <c r="U1236" s="35" t="str">
        <f aca="false">IF(N($P1236)&lt;=0,"",COUNTIF($P$6:$P1236,"&gt;0"))</f>
        <v/>
      </c>
    </row>
    <row r="1237" customFormat="false" ht="15" hidden="false" customHeight="false" outlineLevel="0" collapsed="false">
      <c r="A1237" s="40" t="str">
        <f aca="false">IF(INDEX(BookTitle,1232)="","",INDEX(BookGroup,1232))</f>
        <v/>
      </c>
      <c r="B1237" s="40" t="str">
        <f aca="false">IF(INDEX(BookTitle,1232)="","",INDEX(BookRef,1232))</f>
        <v/>
      </c>
      <c r="C1237" s="40" t="str">
        <f aca="false">IF(INDEX(BookTitle,1232)="","",INDEX(BookDivision,1232))</f>
        <v/>
      </c>
      <c r="D1237" s="40" t="str">
        <f aca="false">IF(INDEX(BookTitle,1232)="","",INDEX(BookUnit,1232))</f>
        <v/>
      </c>
      <c r="E1237" s="40" t="str">
        <f aca="false">IF(INDEX(BookTitle,1232)="","",INDEX(BookTitle,1232))</f>
        <v/>
      </c>
      <c r="F1237" s="40" t="str">
        <f aca="false">IF(INDEX(BookTitle,1232)="","",INDEX(BookLevel,1232))</f>
        <v/>
      </c>
      <c r="G1237" s="40" t="str">
        <f aca="false">IF(INDEX(BookTitle,1232)="","",INDEX(BookCategory,1232))</f>
        <v/>
      </c>
      <c r="H1237" s="40" t="str">
        <f aca="false">IF(INDEX(BookTitle,1232)="","",INDEX(BookRank,1232))</f>
        <v/>
      </c>
      <c r="I1237" s="41" t="str">
        <f aca="false">IF(INDEX(BookTitle,1232)="","",INDEX(BookTotal,1232))</f>
        <v/>
      </c>
      <c r="J1237" s="0" t="str">
        <f aca="false">IF($I1237="","",IF(INDEX(BookQ1,1232)&gt;0,"Q1",IF(INDEX(BookQ2,1232)&gt;0,"Q2",IF(INDEX(BookQ3,1232)&gt;0,"Q3",IF(INDEX(BookQ4,1232)&gt;0,"Q4","")))))</f>
        <v/>
      </c>
      <c r="K1237" s="42" t="str">
        <f aca="false">IF(INDEX(BookTitle,1232)="","",INDEX(BookInYear,1232))</f>
        <v/>
      </c>
      <c r="L1237" s="19"/>
      <c r="M1237" s="39"/>
      <c r="N1237" s="19"/>
      <c r="O1237" s="19"/>
      <c r="P1237" s="43" t="str">
        <f aca="false">IF($E1237="","",IF($L1237="Decline",0,IF($L1237="Approve fewer",IF($M1237="","",$M1237),IF($L1237="","",$I1237))))</f>
        <v/>
      </c>
      <c r="Q1237" s="34" t="str">
        <f aca="false">IF($P1237="","",IF($N1237&lt;&gt;"",$N1237,$J1237))</f>
        <v/>
      </c>
      <c r="R1237" s="35" t="str">
        <f aca="false">IF(OR($P1237="",$Q1237=""),"",INDEX(BookRate,1232)*$P1237*(5-MATCH($Q1237,{"Q1";"Q2";"Q3";"Q4"},0))/4+INDEX(BookOneOff,1232)*$P1237)</f>
        <v/>
      </c>
      <c r="S1237" s="35" t="str">
        <f aca="false">IF($P1237="","",INDEX(BookRate,1232)*$P1237)</f>
        <v/>
      </c>
      <c r="T1237" s="35" t="str">
        <f aca="false">IF($R1237="","",$R1237-$K1237)</f>
        <v/>
      </c>
      <c r="U1237" s="35" t="str">
        <f aca="false">IF(N($P1237)&lt;=0,"",COUNTIF($P$6:$P1237,"&gt;0"))</f>
        <v/>
      </c>
    </row>
    <row r="1238" customFormat="false" ht="15" hidden="false" customHeight="false" outlineLevel="0" collapsed="false">
      <c r="A1238" s="40" t="str">
        <f aca="false">IF(INDEX(BookTitle,1233)="","",INDEX(BookGroup,1233))</f>
        <v/>
      </c>
      <c r="B1238" s="40" t="str">
        <f aca="false">IF(INDEX(BookTitle,1233)="","",INDEX(BookRef,1233))</f>
        <v/>
      </c>
      <c r="C1238" s="40" t="str">
        <f aca="false">IF(INDEX(BookTitle,1233)="","",INDEX(BookDivision,1233))</f>
        <v/>
      </c>
      <c r="D1238" s="40" t="str">
        <f aca="false">IF(INDEX(BookTitle,1233)="","",INDEX(BookUnit,1233))</f>
        <v/>
      </c>
      <c r="E1238" s="40" t="str">
        <f aca="false">IF(INDEX(BookTitle,1233)="","",INDEX(BookTitle,1233))</f>
        <v/>
      </c>
      <c r="F1238" s="40" t="str">
        <f aca="false">IF(INDEX(BookTitle,1233)="","",INDEX(BookLevel,1233))</f>
        <v/>
      </c>
      <c r="G1238" s="40" t="str">
        <f aca="false">IF(INDEX(BookTitle,1233)="","",INDEX(BookCategory,1233))</f>
        <v/>
      </c>
      <c r="H1238" s="40" t="str">
        <f aca="false">IF(INDEX(BookTitle,1233)="","",INDEX(BookRank,1233))</f>
        <v/>
      </c>
      <c r="I1238" s="41" t="str">
        <f aca="false">IF(INDEX(BookTitle,1233)="","",INDEX(BookTotal,1233))</f>
        <v/>
      </c>
      <c r="J1238" s="0" t="str">
        <f aca="false">IF($I1238="","",IF(INDEX(BookQ1,1233)&gt;0,"Q1",IF(INDEX(BookQ2,1233)&gt;0,"Q2",IF(INDEX(BookQ3,1233)&gt;0,"Q3",IF(INDEX(BookQ4,1233)&gt;0,"Q4","")))))</f>
        <v/>
      </c>
      <c r="K1238" s="42" t="str">
        <f aca="false">IF(INDEX(BookTitle,1233)="","",INDEX(BookInYear,1233))</f>
        <v/>
      </c>
      <c r="L1238" s="19"/>
      <c r="M1238" s="39"/>
      <c r="N1238" s="19"/>
      <c r="O1238" s="19"/>
      <c r="P1238" s="43" t="str">
        <f aca="false">IF($E1238="","",IF($L1238="Decline",0,IF($L1238="Approve fewer",IF($M1238="","",$M1238),IF($L1238="","",$I1238))))</f>
        <v/>
      </c>
      <c r="Q1238" s="34" t="str">
        <f aca="false">IF($P1238="","",IF($N1238&lt;&gt;"",$N1238,$J1238))</f>
        <v/>
      </c>
      <c r="R1238" s="35" t="str">
        <f aca="false">IF(OR($P1238="",$Q1238=""),"",INDEX(BookRate,1233)*$P1238*(5-MATCH($Q1238,{"Q1";"Q2";"Q3";"Q4"},0))/4+INDEX(BookOneOff,1233)*$P1238)</f>
        <v/>
      </c>
      <c r="S1238" s="35" t="str">
        <f aca="false">IF($P1238="","",INDEX(BookRate,1233)*$P1238)</f>
        <v/>
      </c>
      <c r="T1238" s="35" t="str">
        <f aca="false">IF($R1238="","",$R1238-$K1238)</f>
        <v/>
      </c>
      <c r="U1238" s="35" t="str">
        <f aca="false">IF(N($P1238)&lt;=0,"",COUNTIF($P$6:$P1238,"&gt;0"))</f>
        <v/>
      </c>
    </row>
    <row r="1239" customFormat="false" ht="15" hidden="false" customHeight="false" outlineLevel="0" collapsed="false">
      <c r="A1239" s="40" t="str">
        <f aca="false">IF(INDEX(BookTitle,1234)="","",INDEX(BookGroup,1234))</f>
        <v/>
      </c>
      <c r="B1239" s="40" t="str">
        <f aca="false">IF(INDEX(BookTitle,1234)="","",INDEX(BookRef,1234))</f>
        <v/>
      </c>
      <c r="C1239" s="40" t="str">
        <f aca="false">IF(INDEX(BookTitle,1234)="","",INDEX(BookDivision,1234))</f>
        <v/>
      </c>
      <c r="D1239" s="40" t="str">
        <f aca="false">IF(INDEX(BookTitle,1234)="","",INDEX(BookUnit,1234))</f>
        <v/>
      </c>
      <c r="E1239" s="40" t="str">
        <f aca="false">IF(INDEX(BookTitle,1234)="","",INDEX(BookTitle,1234))</f>
        <v/>
      </c>
      <c r="F1239" s="40" t="str">
        <f aca="false">IF(INDEX(BookTitle,1234)="","",INDEX(BookLevel,1234))</f>
        <v/>
      </c>
      <c r="G1239" s="40" t="str">
        <f aca="false">IF(INDEX(BookTitle,1234)="","",INDEX(BookCategory,1234))</f>
        <v/>
      </c>
      <c r="H1239" s="40" t="str">
        <f aca="false">IF(INDEX(BookTitle,1234)="","",INDEX(BookRank,1234))</f>
        <v/>
      </c>
      <c r="I1239" s="41" t="str">
        <f aca="false">IF(INDEX(BookTitle,1234)="","",INDEX(BookTotal,1234))</f>
        <v/>
      </c>
      <c r="J1239" s="0" t="str">
        <f aca="false">IF($I1239="","",IF(INDEX(BookQ1,1234)&gt;0,"Q1",IF(INDEX(BookQ2,1234)&gt;0,"Q2",IF(INDEX(BookQ3,1234)&gt;0,"Q3",IF(INDEX(BookQ4,1234)&gt;0,"Q4","")))))</f>
        <v/>
      </c>
      <c r="K1239" s="42" t="str">
        <f aca="false">IF(INDEX(BookTitle,1234)="","",INDEX(BookInYear,1234))</f>
        <v/>
      </c>
      <c r="L1239" s="19"/>
      <c r="M1239" s="39"/>
      <c r="N1239" s="19"/>
      <c r="O1239" s="19"/>
      <c r="P1239" s="43" t="str">
        <f aca="false">IF($E1239="","",IF($L1239="Decline",0,IF($L1239="Approve fewer",IF($M1239="","",$M1239),IF($L1239="","",$I1239))))</f>
        <v/>
      </c>
      <c r="Q1239" s="34" t="str">
        <f aca="false">IF($P1239="","",IF($N1239&lt;&gt;"",$N1239,$J1239))</f>
        <v/>
      </c>
      <c r="R1239" s="35" t="str">
        <f aca="false">IF(OR($P1239="",$Q1239=""),"",INDEX(BookRate,1234)*$P1239*(5-MATCH($Q1239,{"Q1";"Q2";"Q3";"Q4"},0))/4+INDEX(BookOneOff,1234)*$P1239)</f>
        <v/>
      </c>
      <c r="S1239" s="35" t="str">
        <f aca="false">IF($P1239="","",INDEX(BookRate,1234)*$P1239)</f>
        <v/>
      </c>
      <c r="T1239" s="35" t="str">
        <f aca="false">IF($R1239="","",$R1239-$K1239)</f>
        <v/>
      </c>
      <c r="U1239" s="35" t="str">
        <f aca="false">IF(N($P1239)&lt;=0,"",COUNTIF($P$6:$P1239,"&gt;0"))</f>
        <v/>
      </c>
    </row>
    <row r="1240" customFormat="false" ht="15" hidden="false" customHeight="false" outlineLevel="0" collapsed="false">
      <c r="A1240" s="40" t="str">
        <f aca="false">IF(INDEX(BookTitle,1235)="","",INDEX(BookGroup,1235))</f>
        <v/>
      </c>
      <c r="B1240" s="40" t="str">
        <f aca="false">IF(INDEX(BookTitle,1235)="","",INDEX(BookRef,1235))</f>
        <v/>
      </c>
      <c r="C1240" s="40" t="str">
        <f aca="false">IF(INDEX(BookTitle,1235)="","",INDEX(BookDivision,1235))</f>
        <v/>
      </c>
      <c r="D1240" s="40" t="str">
        <f aca="false">IF(INDEX(BookTitle,1235)="","",INDEX(BookUnit,1235))</f>
        <v/>
      </c>
      <c r="E1240" s="40" t="str">
        <f aca="false">IF(INDEX(BookTitle,1235)="","",INDEX(BookTitle,1235))</f>
        <v/>
      </c>
      <c r="F1240" s="40" t="str">
        <f aca="false">IF(INDEX(BookTitle,1235)="","",INDEX(BookLevel,1235))</f>
        <v/>
      </c>
      <c r="G1240" s="40" t="str">
        <f aca="false">IF(INDEX(BookTitle,1235)="","",INDEX(BookCategory,1235))</f>
        <v/>
      </c>
      <c r="H1240" s="40" t="str">
        <f aca="false">IF(INDEX(BookTitle,1235)="","",INDEX(BookRank,1235))</f>
        <v/>
      </c>
      <c r="I1240" s="41" t="str">
        <f aca="false">IF(INDEX(BookTitle,1235)="","",INDEX(BookTotal,1235))</f>
        <v/>
      </c>
      <c r="J1240" s="0" t="str">
        <f aca="false">IF($I1240="","",IF(INDEX(BookQ1,1235)&gt;0,"Q1",IF(INDEX(BookQ2,1235)&gt;0,"Q2",IF(INDEX(BookQ3,1235)&gt;0,"Q3",IF(INDEX(BookQ4,1235)&gt;0,"Q4","")))))</f>
        <v/>
      </c>
      <c r="K1240" s="42" t="str">
        <f aca="false">IF(INDEX(BookTitle,1235)="","",INDEX(BookInYear,1235))</f>
        <v/>
      </c>
      <c r="L1240" s="19"/>
      <c r="M1240" s="39"/>
      <c r="N1240" s="19"/>
      <c r="O1240" s="19"/>
      <c r="P1240" s="43" t="str">
        <f aca="false">IF($E1240="","",IF($L1240="Decline",0,IF($L1240="Approve fewer",IF($M1240="","",$M1240),IF($L1240="","",$I1240))))</f>
        <v/>
      </c>
      <c r="Q1240" s="34" t="str">
        <f aca="false">IF($P1240="","",IF($N1240&lt;&gt;"",$N1240,$J1240))</f>
        <v/>
      </c>
      <c r="R1240" s="35" t="str">
        <f aca="false">IF(OR($P1240="",$Q1240=""),"",INDEX(BookRate,1235)*$P1240*(5-MATCH($Q1240,{"Q1";"Q2";"Q3";"Q4"},0))/4+INDEX(BookOneOff,1235)*$P1240)</f>
        <v/>
      </c>
      <c r="S1240" s="35" t="str">
        <f aca="false">IF($P1240="","",INDEX(BookRate,1235)*$P1240)</f>
        <v/>
      </c>
      <c r="T1240" s="35" t="str">
        <f aca="false">IF($R1240="","",$R1240-$K1240)</f>
        <v/>
      </c>
      <c r="U1240" s="35" t="str">
        <f aca="false">IF(N($P1240)&lt;=0,"",COUNTIF($P$6:$P1240,"&gt;0"))</f>
        <v/>
      </c>
    </row>
    <row r="1241" customFormat="false" ht="15" hidden="false" customHeight="false" outlineLevel="0" collapsed="false">
      <c r="A1241" s="40" t="str">
        <f aca="false">IF(INDEX(BookTitle,1236)="","",INDEX(BookGroup,1236))</f>
        <v/>
      </c>
      <c r="B1241" s="40" t="str">
        <f aca="false">IF(INDEX(BookTitle,1236)="","",INDEX(BookRef,1236))</f>
        <v/>
      </c>
      <c r="C1241" s="40" t="str">
        <f aca="false">IF(INDEX(BookTitle,1236)="","",INDEX(BookDivision,1236))</f>
        <v/>
      </c>
      <c r="D1241" s="40" t="str">
        <f aca="false">IF(INDEX(BookTitle,1236)="","",INDEX(BookUnit,1236))</f>
        <v/>
      </c>
      <c r="E1241" s="40" t="str">
        <f aca="false">IF(INDEX(BookTitle,1236)="","",INDEX(BookTitle,1236))</f>
        <v/>
      </c>
      <c r="F1241" s="40" t="str">
        <f aca="false">IF(INDEX(BookTitle,1236)="","",INDEX(BookLevel,1236))</f>
        <v/>
      </c>
      <c r="G1241" s="40" t="str">
        <f aca="false">IF(INDEX(BookTitle,1236)="","",INDEX(BookCategory,1236))</f>
        <v/>
      </c>
      <c r="H1241" s="40" t="str">
        <f aca="false">IF(INDEX(BookTitle,1236)="","",INDEX(BookRank,1236))</f>
        <v/>
      </c>
      <c r="I1241" s="41" t="str">
        <f aca="false">IF(INDEX(BookTitle,1236)="","",INDEX(BookTotal,1236))</f>
        <v/>
      </c>
      <c r="J1241" s="0" t="str">
        <f aca="false">IF($I1241="","",IF(INDEX(BookQ1,1236)&gt;0,"Q1",IF(INDEX(BookQ2,1236)&gt;0,"Q2",IF(INDEX(BookQ3,1236)&gt;0,"Q3",IF(INDEX(BookQ4,1236)&gt;0,"Q4","")))))</f>
        <v/>
      </c>
      <c r="K1241" s="42" t="str">
        <f aca="false">IF(INDEX(BookTitle,1236)="","",INDEX(BookInYear,1236))</f>
        <v/>
      </c>
      <c r="L1241" s="19"/>
      <c r="M1241" s="39"/>
      <c r="N1241" s="19"/>
      <c r="O1241" s="19"/>
      <c r="P1241" s="43" t="str">
        <f aca="false">IF($E1241="","",IF($L1241="Decline",0,IF($L1241="Approve fewer",IF($M1241="","",$M1241),IF($L1241="","",$I1241))))</f>
        <v/>
      </c>
      <c r="Q1241" s="34" t="str">
        <f aca="false">IF($P1241="","",IF($N1241&lt;&gt;"",$N1241,$J1241))</f>
        <v/>
      </c>
      <c r="R1241" s="35" t="str">
        <f aca="false">IF(OR($P1241="",$Q1241=""),"",INDEX(BookRate,1236)*$P1241*(5-MATCH($Q1241,{"Q1";"Q2";"Q3";"Q4"},0))/4+INDEX(BookOneOff,1236)*$P1241)</f>
        <v/>
      </c>
      <c r="S1241" s="35" t="str">
        <f aca="false">IF($P1241="","",INDEX(BookRate,1236)*$P1241)</f>
        <v/>
      </c>
      <c r="T1241" s="35" t="str">
        <f aca="false">IF($R1241="","",$R1241-$K1241)</f>
        <v/>
      </c>
      <c r="U1241" s="35" t="str">
        <f aca="false">IF(N($P1241)&lt;=0,"",COUNTIF($P$6:$P1241,"&gt;0"))</f>
        <v/>
      </c>
    </row>
    <row r="1242" customFormat="false" ht="15" hidden="false" customHeight="false" outlineLevel="0" collapsed="false">
      <c r="A1242" s="40" t="str">
        <f aca="false">IF(INDEX(BookTitle,1237)="","",INDEX(BookGroup,1237))</f>
        <v/>
      </c>
      <c r="B1242" s="40" t="str">
        <f aca="false">IF(INDEX(BookTitle,1237)="","",INDEX(BookRef,1237))</f>
        <v/>
      </c>
      <c r="C1242" s="40" t="str">
        <f aca="false">IF(INDEX(BookTitle,1237)="","",INDEX(BookDivision,1237))</f>
        <v/>
      </c>
      <c r="D1242" s="40" t="str">
        <f aca="false">IF(INDEX(BookTitle,1237)="","",INDEX(BookUnit,1237))</f>
        <v/>
      </c>
      <c r="E1242" s="40" t="str">
        <f aca="false">IF(INDEX(BookTitle,1237)="","",INDEX(BookTitle,1237))</f>
        <v/>
      </c>
      <c r="F1242" s="40" t="str">
        <f aca="false">IF(INDEX(BookTitle,1237)="","",INDEX(BookLevel,1237))</f>
        <v/>
      </c>
      <c r="G1242" s="40" t="str">
        <f aca="false">IF(INDEX(BookTitle,1237)="","",INDEX(BookCategory,1237))</f>
        <v/>
      </c>
      <c r="H1242" s="40" t="str">
        <f aca="false">IF(INDEX(BookTitle,1237)="","",INDEX(BookRank,1237))</f>
        <v/>
      </c>
      <c r="I1242" s="41" t="str">
        <f aca="false">IF(INDEX(BookTitle,1237)="","",INDEX(BookTotal,1237))</f>
        <v/>
      </c>
      <c r="J1242" s="0" t="str">
        <f aca="false">IF($I1242="","",IF(INDEX(BookQ1,1237)&gt;0,"Q1",IF(INDEX(BookQ2,1237)&gt;0,"Q2",IF(INDEX(BookQ3,1237)&gt;0,"Q3",IF(INDEX(BookQ4,1237)&gt;0,"Q4","")))))</f>
        <v/>
      </c>
      <c r="K1242" s="42" t="str">
        <f aca="false">IF(INDEX(BookTitle,1237)="","",INDEX(BookInYear,1237))</f>
        <v/>
      </c>
      <c r="L1242" s="19"/>
      <c r="M1242" s="39"/>
      <c r="N1242" s="19"/>
      <c r="O1242" s="19"/>
      <c r="P1242" s="43" t="str">
        <f aca="false">IF($E1242="","",IF($L1242="Decline",0,IF($L1242="Approve fewer",IF($M1242="","",$M1242),IF($L1242="","",$I1242))))</f>
        <v/>
      </c>
      <c r="Q1242" s="34" t="str">
        <f aca="false">IF($P1242="","",IF($N1242&lt;&gt;"",$N1242,$J1242))</f>
        <v/>
      </c>
      <c r="R1242" s="35" t="str">
        <f aca="false">IF(OR($P1242="",$Q1242=""),"",INDEX(BookRate,1237)*$P1242*(5-MATCH($Q1242,{"Q1";"Q2";"Q3";"Q4"},0))/4+INDEX(BookOneOff,1237)*$P1242)</f>
        <v/>
      </c>
      <c r="S1242" s="35" t="str">
        <f aca="false">IF($P1242="","",INDEX(BookRate,1237)*$P1242)</f>
        <v/>
      </c>
      <c r="T1242" s="35" t="str">
        <f aca="false">IF($R1242="","",$R1242-$K1242)</f>
        <v/>
      </c>
      <c r="U1242" s="35" t="str">
        <f aca="false">IF(N($P1242)&lt;=0,"",COUNTIF($P$6:$P1242,"&gt;0"))</f>
        <v/>
      </c>
    </row>
    <row r="1243" customFormat="false" ht="15" hidden="false" customHeight="false" outlineLevel="0" collapsed="false">
      <c r="A1243" s="40" t="str">
        <f aca="false">IF(INDEX(BookTitle,1238)="","",INDEX(BookGroup,1238))</f>
        <v/>
      </c>
      <c r="B1243" s="40" t="str">
        <f aca="false">IF(INDEX(BookTitle,1238)="","",INDEX(BookRef,1238))</f>
        <v/>
      </c>
      <c r="C1243" s="40" t="str">
        <f aca="false">IF(INDEX(BookTitle,1238)="","",INDEX(BookDivision,1238))</f>
        <v/>
      </c>
      <c r="D1243" s="40" t="str">
        <f aca="false">IF(INDEX(BookTitle,1238)="","",INDEX(BookUnit,1238))</f>
        <v/>
      </c>
      <c r="E1243" s="40" t="str">
        <f aca="false">IF(INDEX(BookTitle,1238)="","",INDEX(BookTitle,1238))</f>
        <v/>
      </c>
      <c r="F1243" s="40" t="str">
        <f aca="false">IF(INDEX(BookTitle,1238)="","",INDEX(BookLevel,1238))</f>
        <v/>
      </c>
      <c r="G1243" s="40" t="str">
        <f aca="false">IF(INDEX(BookTitle,1238)="","",INDEX(BookCategory,1238))</f>
        <v/>
      </c>
      <c r="H1243" s="40" t="str">
        <f aca="false">IF(INDEX(BookTitle,1238)="","",INDEX(BookRank,1238))</f>
        <v/>
      </c>
      <c r="I1243" s="41" t="str">
        <f aca="false">IF(INDEX(BookTitle,1238)="","",INDEX(BookTotal,1238))</f>
        <v/>
      </c>
      <c r="J1243" s="0" t="str">
        <f aca="false">IF($I1243="","",IF(INDEX(BookQ1,1238)&gt;0,"Q1",IF(INDEX(BookQ2,1238)&gt;0,"Q2",IF(INDEX(BookQ3,1238)&gt;0,"Q3",IF(INDEX(BookQ4,1238)&gt;0,"Q4","")))))</f>
        <v/>
      </c>
      <c r="K1243" s="42" t="str">
        <f aca="false">IF(INDEX(BookTitle,1238)="","",INDEX(BookInYear,1238))</f>
        <v/>
      </c>
      <c r="L1243" s="19"/>
      <c r="M1243" s="39"/>
      <c r="N1243" s="19"/>
      <c r="O1243" s="19"/>
      <c r="P1243" s="43" t="str">
        <f aca="false">IF($E1243="","",IF($L1243="Decline",0,IF($L1243="Approve fewer",IF($M1243="","",$M1243),IF($L1243="","",$I1243))))</f>
        <v/>
      </c>
      <c r="Q1243" s="34" t="str">
        <f aca="false">IF($P1243="","",IF($N1243&lt;&gt;"",$N1243,$J1243))</f>
        <v/>
      </c>
      <c r="R1243" s="35" t="str">
        <f aca="false">IF(OR($P1243="",$Q1243=""),"",INDEX(BookRate,1238)*$P1243*(5-MATCH($Q1243,{"Q1";"Q2";"Q3";"Q4"},0))/4+INDEX(BookOneOff,1238)*$P1243)</f>
        <v/>
      </c>
      <c r="S1243" s="35" t="str">
        <f aca="false">IF($P1243="","",INDEX(BookRate,1238)*$P1243)</f>
        <v/>
      </c>
      <c r="T1243" s="35" t="str">
        <f aca="false">IF($R1243="","",$R1243-$K1243)</f>
        <v/>
      </c>
      <c r="U1243" s="35" t="str">
        <f aca="false">IF(N($P1243)&lt;=0,"",COUNTIF($P$6:$P1243,"&gt;0"))</f>
        <v/>
      </c>
    </row>
    <row r="1244" customFormat="false" ht="15" hidden="false" customHeight="false" outlineLevel="0" collapsed="false">
      <c r="A1244" s="40" t="str">
        <f aca="false">IF(INDEX(BookTitle,1239)="","",INDEX(BookGroup,1239))</f>
        <v/>
      </c>
      <c r="B1244" s="40" t="str">
        <f aca="false">IF(INDEX(BookTitle,1239)="","",INDEX(BookRef,1239))</f>
        <v/>
      </c>
      <c r="C1244" s="40" t="str">
        <f aca="false">IF(INDEX(BookTitle,1239)="","",INDEX(BookDivision,1239))</f>
        <v/>
      </c>
      <c r="D1244" s="40" t="str">
        <f aca="false">IF(INDEX(BookTitle,1239)="","",INDEX(BookUnit,1239))</f>
        <v/>
      </c>
      <c r="E1244" s="40" t="str">
        <f aca="false">IF(INDEX(BookTitle,1239)="","",INDEX(BookTitle,1239))</f>
        <v/>
      </c>
      <c r="F1244" s="40" t="str">
        <f aca="false">IF(INDEX(BookTitle,1239)="","",INDEX(BookLevel,1239))</f>
        <v/>
      </c>
      <c r="G1244" s="40" t="str">
        <f aca="false">IF(INDEX(BookTitle,1239)="","",INDEX(BookCategory,1239))</f>
        <v/>
      </c>
      <c r="H1244" s="40" t="str">
        <f aca="false">IF(INDEX(BookTitle,1239)="","",INDEX(BookRank,1239))</f>
        <v/>
      </c>
      <c r="I1244" s="41" t="str">
        <f aca="false">IF(INDEX(BookTitle,1239)="","",INDEX(BookTotal,1239))</f>
        <v/>
      </c>
      <c r="J1244" s="0" t="str">
        <f aca="false">IF($I1244="","",IF(INDEX(BookQ1,1239)&gt;0,"Q1",IF(INDEX(BookQ2,1239)&gt;0,"Q2",IF(INDEX(BookQ3,1239)&gt;0,"Q3",IF(INDEX(BookQ4,1239)&gt;0,"Q4","")))))</f>
        <v/>
      </c>
      <c r="K1244" s="42" t="str">
        <f aca="false">IF(INDEX(BookTitle,1239)="","",INDEX(BookInYear,1239))</f>
        <v/>
      </c>
      <c r="L1244" s="19"/>
      <c r="M1244" s="39"/>
      <c r="N1244" s="19"/>
      <c r="O1244" s="19"/>
      <c r="P1244" s="43" t="str">
        <f aca="false">IF($E1244="","",IF($L1244="Decline",0,IF($L1244="Approve fewer",IF($M1244="","",$M1244),IF($L1244="","",$I1244))))</f>
        <v/>
      </c>
      <c r="Q1244" s="34" t="str">
        <f aca="false">IF($P1244="","",IF($N1244&lt;&gt;"",$N1244,$J1244))</f>
        <v/>
      </c>
      <c r="R1244" s="35" t="str">
        <f aca="false">IF(OR($P1244="",$Q1244=""),"",INDEX(BookRate,1239)*$P1244*(5-MATCH($Q1244,{"Q1";"Q2";"Q3";"Q4"},0))/4+INDEX(BookOneOff,1239)*$P1244)</f>
        <v/>
      </c>
      <c r="S1244" s="35" t="str">
        <f aca="false">IF($P1244="","",INDEX(BookRate,1239)*$P1244)</f>
        <v/>
      </c>
      <c r="T1244" s="35" t="str">
        <f aca="false">IF($R1244="","",$R1244-$K1244)</f>
        <v/>
      </c>
      <c r="U1244" s="35" t="str">
        <f aca="false">IF(N($P1244)&lt;=0,"",COUNTIF($P$6:$P1244,"&gt;0"))</f>
        <v/>
      </c>
    </row>
    <row r="1245" customFormat="false" ht="15" hidden="false" customHeight="false" outlineLevel="0" collapsed="false">
      <c r="A1245" s="40" t="str">
        <f aca="false">IF(INDEX(BookTitle,1240)="","",INDEX(BookGroup,1240))</f>
        <v/>
      </c>
      <c r="B1245" s="40" t="str">
        <f aca="false">IF(INDEX(BookTitle,1240)="","",INDEX(BookRef,1240))</f>
        <v/>
      </c>
      <c r="C1245" s="40" t="str">
        <f aca="false">IF(INDEX(BookTitle,1240)="","",INDEX(BookDivision,1240))</f>
        <v/>
      </c>
      <c r="D1245" s="40" t="str">
        <f aca="false">IF(INDEX(BookTitle,1240)="","",INDEX(BookUnit,1240))</f>
        <v/>
      </c>
      <c r="E1245" s="40" t="str">
        <f aca="false">IF(INDEX(BookTitle,1240)="","",INDEX(BookTitle,1240))</f>
        <v/>
      </c>
      <c r="F1245" s="40" t="str">
        <f aca="false">IF(INDEX(BookTitle,1240)="","",INDEX(BookLevel,1240))</f>
        <v/>
      </c>
      <c r="G1245" s="40" t="str">
        <f aca="false">IF(INDEX(BookTitle,1240)="","",INDEX(BookCategory,1240))</f>
        <v/>
      </c>
      <c r="H1245" s="40" t="str">
        <f aca="false">IF(INDEX(BookTitle,1240)="","",INDEX(BookRank,1240))</f>
        <v/>
      </c>
      <c r="I1245" s="41" t="str">
        <f aca="false">IF(INDEX(BookTitle,1240)="","",INDEX(BookTotal,1240))</f>
        <v/>
      </c>
      <c r="J1245" s="0" t="str">
        <f aca="false">IF($I1245="","",IF(INDEX(BookQ1,1240)&gt;0,"Q1",IF(INDEX(BookQ2,1240)&gt;0,"Q2",IF(INDEX(BookQ3,1240)&gt;0,"Q3",IF(INDEX(BookQ4,1240)&gt;0,"Q4","")))))</f>
        <v/>
      </c>
      <c r="K1245" s="42" t="str">
        <f aca="false">IF(INDEX(BookTitle,1240)="","",INDEX(BookInYear,1240))</f>
        <v/>
      </c>
      <c r="L1245" s="19"/>
      <c r="M1245" s="39"/>
      <c r="N1245" s="19"/>
      <c r="O1245" s="19"/>
      <c r="P1245" s="43" t="str">
        <f aca="false">IF($E1245="","",IF($L1245="Decline",0,IF($L1245="Approve fewer",IF($M1245="","",$M1245),IF($L1245="","",$I1245))))</f>
        <v/>
      </c>
      <c r="Q1245" s="34" t="str">
        <f aca="false">IF($P1245="","",IF($N1245&lt;&gt;"",$N1245,$J1245))</f>
        <v/>
      </c>
      <c r="R1245" s="35" t="str">
        <f aca="false">IF(OR($P1245="",$Q1245=""),"",INDEX(BookRate,1240)*$P1245*(5-MATCH($Q1245,{"Q1";"Q2";"Q3";"Q4"},0))/4+INDEX(BookOneOff,1240)*$P1245)</f>
        <v/>
      </c>
      <c r="S1245" s="35" t="str">
        <f aca="false">IF($P1245="","",INDEX(BookRate,1240)*$P1245)</f>
        <v/>
      </c>
      <c r="T1245" s="35" t="str">
        <f aca="false">IF($R1245="","",$R1245-$K1245)</f>
        <v/>
      </c>
      <c r="U1245" s="35" t="str">
        <f aca="false">IF(N($P1245)&lt;=0,"",COUNTIF($P$6:$P1245,"&gt;0"))</f>
        <v/>
      </c>
    </row>
    <row r="1246" customFormat="false" ht="15" hidden="false" customHeight="false" outlineLevel="0" collapsed="false">
      <c r="A1246" s="40" t="str">
        <f aca="false">IF(INDEX(BookTitle,1241)="","",INDEX(BookGroup,1241))</f>
        <v/>
      </c>
      <c r="B1246" s="40" t="str">
        <f aca="false">IF(INDEX(BookTitle,1241)="","",INDEX(BookRef,1241))</f>
        <v/>
      </c>
      <c r="C1246" s="40" t="str">
        <f aca="false">IF(INDEX(BookTitle,1241)="","",INDEX(BookDivision,1241))</f>
        <v/>
      </c>
      <c r="D1246" s="40" t="str">
        <f aca="false">IF(INDEX(BookTitle,1241)="","",INDEX(BookUnit,1241))</f>
        <v/>
      </c>
      <c r="E1246" s="40" t="str">
        <f aca="false">IF(INDEX(BookTitle,1241)="","",INDEX(BookTitle,1241))</f>
        <v/>
      </c>
      <c r="F1246" s="40" t="str">
        <f aca="false">IF(INDEX(BookTitle,1241)="","",INDEX(BookLevel,1241))</f>
        <v/>
      </c>
      <c r="G1246" s="40" t="str">
        <f aca="false">IF(INDEX(BookTitle,1241)="","",INDEX(BookCategory,1241))</f>
        <v/>
      </c>
      <c r="H1246" s="40" t="str">
        <f aca="false">IF(INDEX(BookTitle,1241)="","",INDEX(BookRank,1241))</f>
        <v/>
      </c>
      <c r="I1246" s="41" t="str">
        <f aca="false">IF(INDEX(BookTitle,1241)="","",INDEX(BookTotal,1241))</f>
        <v/>
      </c>
      <c r="J1246" s="0" t="str">
        <f aca="false">IF($I1246="","",IF(INDEX(BookQ1,1241)&gt;0,"Q1",IF(INDEX(BookQ2,1241)&gt;0,"Q2",IF(INDEX(BookQ3,1241)&gt;0,"Q3",IF(INDEX(BookQ4,1241)&gt;0,"Q4","")))))</f>
        <v/>
      </c>
      <c r="K1246" s="42" t="str">
        <f aca="false">IF(INDEX(BookTitle,1241)="","",INDEX(BookInYear,1241))</f>
        <v/>
      </c>
      <c r="L1246" s="19"/>
      <c r="M1246" s="39"/>
      <c r="N1246" s="19"/>
      <c r="O1246" s="19"/>
      <c r="P1246" s="43" t="str">
        <f aca="false">IF($E1246="","",IF($L1246="Decline",0,IF($L1246="Approve fewer",IF($M1246="","",$M1246),IF($L1246="","",$I1246))))</f>
        <v/>
      </c>
      <c r="Q1246" s="34" t="str">
        <f aca="false">IF($P1246="","",IF($N1246&lt;&gt;"",$N1246,$J1246))</f>
        <v/>
      </c>
      <c r="R1246" s="35" t="str">
        <f aca="false">IF(OR($P1246="",$Q1246=""),"",INDEX(BookRate,1241)*$P1246*(5-MATCH($Q1246,{"Q1";"Q2";"Q3";"Q4"},0))/4+INDEX(BookOneOff,1241)*$P1246)</f>
        <v/>
      </c>
      <c r="S1246" s="35" t="str">
        <f aca="false">IF($P1246="","",INDEX(BookRate,1241)*$P1246)</f>
        <v/>
      </c>
      <c r="T1246" s="35" t="str">
        <f aca="false">IF($R1246="","",$R1246-$K1246)</f>
        <v/>
      </c>
      <c r="U1246" s="35" t="str">
        <f aca="false">IF(N($P1246)&lt;=0,"",COUNTIF($P$6:$P1246,"&gt;0"))</f>
        <v/>
      </c>
    </row>
    <row r="1247" customFormat="false" ht="15" hidden="false" customHeight="false" outlineLevel="0" collapsed="false">
      <c r="A1247" s="40" t="str">
        <f aca="false">IF(INDEX(BookTitle,1242)="","",INDEX(BookGroup,1242))</f>
        <v/>
      </c>
      <c r="B1247" s="40" t="str">
        <f aca="false">IF(INDEX(BookTitle,1242)="","",INDEX(BookRef,1242))</f>
        <v/>
      </c>
      <c r="C1247" s="40" t="str">
        <f aca="false">IF(INDEX(BookTitle,1242)="","",INDEX(BookDivision,1242))</f>
        <v/>
      </c>
      <c r="D1247" s="40" t="str">
        <f aca="false">IF(INDEX(BookTitle,1242)="","",INDEX(BookUnit,1242))</f>
        <v/>
      </c>
      <c r="E1247" s="40" t="str">
        <f aca="false">IF(INDEX(BookTitle,1242)="","",INDEX(BookTitle,1242))</f>
        <v/>
      </c>
      <c r="F1247" s="40" t="str">
        <f aca="false">IF(INDEX(BookTitle,1242)="","",INDEX(BookLevel,1242))</f>
        <v/>
      </c>
      <c r="G1247" s="40" t="str">
        <f aca="false">IF(INDEX(BookTitle,1242)="","",INDEX(BookCategory,1242))</f>
        <v/>
      </c>
      <c r="H1247" s="40" t="str">
        <f aca="false">IF(INDEX(BookTitle,1242)="","",INDEX(BookRank,1242))</f>
        <v/>
      </c>
      <c r="I1247" s="41" t="str">
        <f aca="false">IF(INDEX(BookTitle,1242)="","",INDEX(BookTotal,1242))</f>
        <v/>
      </c>
      <c r="J1247" s="0" t="str">
        <f aca="false">IF($I1247="","",IF(INDEX(BookQ1,1242)&gt;0,"Q1",IF(INDEX(BookQ2,1242)&gt;0,"Q2",IF(INDEX(BookQ3,1242)&gt;0,"Q3",IF(INDEX(BookQ4,1242)&gt;0,"Q4","")))))</f>
        <v/>
      </c>
      <c r="K1247" s="42" t="str">
        <f aca="false">IF(INDEX(BookTitle,1242)="","",INDEX(BookInYear,1242))</f>
        <v/>
      </c>
      <c r="L1247" s="19"/>
      <c r="M1247" s="39"/>
      <c r="N1247" s="19"/>
      <c r="O1247" s="19"/>
      <c r="P1247" s="43" t="str">
        <f aca="false">IF($E1247="","",IF($L1247="Decline",0,IF($L1247="Approve fewer",IF($M1247="","",$M1247),IF($L1247="","",$I1247))))</f>
        <v/>
      </c>
      <c r="Q1247" s="34" t="str">
        <f aca="false">IF($P1247="","",IF($N1247&lt;&gt;"",$N1247,$J1247))</f>
        <v/>
      </c>
      <c r="R1247" s="35" t="str">
        <f aca="false">IF(OR($P1247="",$Q1247=""),"",INDEX(BookRate,1242)*$P1247*(5-MATCH($Q1247,{"Q1";"Q2";"Q3";"Q4"},0))/4+INDEX(BookOneOff,1242)*$P1247)</f>
        <v/>
      </c>
      <c r="S1247" s="35" t="str">
        <f aca="false">IF($P1247="","",INDEX(BookRate,1242)*$P1247)</f>
        <v/>
      </c>
      <c r="T1247" s="35" t="str">
        <f aca="false">IF($R1247="","",$R1247-$K1247)</f>
        <v/>
      </c>
      <c r="U1247" s="35" t="str">
        <f aca="false">IF(N($P1247)&lt;=0,"",COUNTIF($P$6:$P1247,"&gt;0"))</f>
        <v/>
      </c>
    </row>
    <row r="1248" customFormat="false" ht="15" hidden="false" customHeight="false" outlineLevel="0" collapsed="false">
      <c r="A1248" s="40" t="str">
        <f aca="false">IF(INDEX(BookTitle,1243)="","",INDEX(BookGroup,1243))</f>
        <v/>
      </c>
      <c r="B1248" s="40" t="str">
        <f aca="false">IF(INDEX(BookTitle,1243)="","",INDEX(BookRef,1243))</f>
        <v/>
      </c>
      <c r="C1248" s="40" t="str">
        <f aca="false">IF(INDEX(BookTitle,1243)="","",INDEX(BookDivision,1243))</f>
        <v/>
      </c>
      <c r="D1248" s="40" t="str">
        <f aca="false">IF(INDEX(BookTitle,1243)="","",INDEX(BookUnit,1243))</f>
        <v/>
      </c>
      <c r="E1248" s="40" t="str">
        <f aca="false">IF(INDEX(BookTitle,1243)="","",INDEX(BookTitle,1243))</f>
        <v/>
      </c>
      <c r="F1248" s="40" t="str">
        <f aca="false">IF(INDEX(BookTitle,1243)="","",INDEX(BookLevel,1243))</f>
        <v/>
      </c>
      <c r="G1248" s="40" t="str">
        <f aca="false">IF(INDEX(BookTitle,1243)="","",INDEX(BookCategory,1243))</f>
        <v/>
      </c>
      <c r="H1248" s="40" t="str">
        <f aca="false">IF(INDEX(BookTitle,1243)="","",INDEX(BookRank,1243))</f>
        <v/>
      </c>
      <c r="I1248" s="41" t="str">
        <f aca="false">IF(INDEX(BookTitle,1243)="","",INDEX(BookTotal,1243))</f>
        <v/>
      </c>
      <c r="J1248" s="0" t="str">
        <f aca="false">IF($I1248="","",IF(INDEX(BookQ1,1243)&gt;0,"Q1",IF(INDEX(BookQ2,1243)&gt;0,"Q2",IF(INDEX(BookQ3,1243)&gt;0,"Q3",IF(INDEX(BookQ4,1243)&gt;0,"Q4","")))))</f>
        <v/>
      </c>
      <c r="K1248" s="42" t="str">
        <f aca="false">IF(INDEX(BookTitle,1243)="","",INDEX(BookInYear,1243))</f>
        <v/>
      </c>
      <c r="L1248" s="19"/>
      <c r="M1248" s="39"/>
      <c r="N1248" s="19"/>
      <c r="O1248" s="19"/>
      <c r="P1248" s="43" t="str">
        <f aca="false">IF($E1248="","",IF($L1248="Decline",0,IF($L1248="Approve fewer",IF($M1248="","",$M1248),IF($L1248="","",$I1248))))</f>
        <v/>
      </c>
      <c r="Q1248" s="34" t="str">
        <f aca="false">IF($P1248="","",IF($N1248&lt;&gt;"",$N1248,$J1248))</f>
        <v/>
      </c>
      <c r="R1248" s="35" t="str">
        <f aca="false">IF(OR($P1248="",$Q1248=""),"",INDEX(BookRate,1243)*$P1248*(5-MATCH($Q1248,{"Q1";"Q2";"Q3";"Q4"},0))/4+INDEX(BookOneOff,1243)*$P1248)</f>
        <v/>
      </c>
      <c r="S1248" s="35" t="str">
        <f aca="false">IF($P1248="","",INDEX(BookRate,1243)*$P1248)</f>
        <v/>
      </c>
      <c r="T1248" s="35" t="str">
        <f aca="false">IF($R1248="","",$R1248-$K1248)</f>
        <v/>
      </c>
      <c r="U1248" s="35" t="str">
        <f aca="false">IF(N($P1248)&lt;=0,"",COUNTIF($P$6:$P1248,"&gt;0"))</f>
        <v/>
      </c>
    </row>
    <row r="1249" customFormat="false" ht="15" hidden="false" customHeight="false" outlineLevel="0" collapsed="false">
      <c r="A1249" s="40" t="str">
        <f aca="false">IF(INDEX(BookTitle,1244)="","",INDEX(BookGroup,1244))</f>
        <v/>
      </c>
      <c r="B1249" s="40" t="str">
        <f aca="false">IF(INDEX(BookTitle,1244)="","",INDEX(BookRef,1244))</f>
        <v/>
      </c>
      <c r="C1249" s="40" t="str">
        <f aca="false">IF(INDEX(BookTitle,1244)="","",INDEX(BookDivision,1244))</f>
        <v/>
      </c>
      <c r="D1249" s="40" t="str">
        <f aca="false">IF(INDEX(BookTitle,1244)="","",INDEX(BookUnit,1244))</f>
        <v/>
      </c>
      <c r="E1249" s="40" t="str">
        <f aca="false">IF(INDEX(BookTitle,1244)="","",INDEX(BookTitle,1244))</f>
        <v/>
      </c>
      <c r="F1249" s="40" t="str">
        <f aca="false">IF(INDEX(BookTitle,1244)="","",INDEX(BookLevel,1244))</f>
        <v/>
      </c>
      <c r="G1249" s="40" t="str">
        <f aca="false">IF(INDEX(BookTitle,1244)="","",INDEX(BookCategory,1244))</f>
        <v/>
      </c>
      <c r="H1249" s="40" t="str">
        <f aca="false">IF(INDEX(BookTitle,1244)="","",INDEX(BookRank,1244))</f>
        <v/>
      </c>
      <c r="I1249" s="41" t="str">
        <f aca="false">IF(INDEX(BookTitle,1244)="","",INDEX(BookTotal,1244))</f>
        <v/>
      </c>
      <c r="J1249" s="0" t="str">
        <f aca="false">IF($I1249="","",IF(INDEX(BookQ1,1244)&gt;0,"Q1",IF(INDEX(BookQ2,1244)&gt;0,"Q2",IF(INDEX(BookQ3,1244)&gt;0,"Q3",IF(INDEX(BookQ4,1244)&gt;0,"Q4","")))))</f>
        <v/>
      </c>
      <c r="K1249" s="42" t="str">
        <f aca="false">IF(INDEX(BookTitle,1244)="","",INDEX(BookInYear,1244))</f>
        <v/>
      </c>
      <c r="L1249" s="19"/>
      <c r="M1249" s="39"/>
      <c r="N1249" s="19"/>
      <c r="O1249" s="19"/>
      <c r="P1249" s="43" t="str">
        <f aca="false">IF($E1249="","",IF($L1249="Decline",0,IF($L1249="Approve fewer",IF($M1249="","",$M1249),IF($L1249="","",$I1249))))</f>
        <v/>
      </c>
      <c r="Q1249" s="34" t="str">
        <f aca="false">IF($P1249="","",IF($N1249&lt;&gt;"",$N1249,$J1249))</f>
        <v/>
      </c>
      <c r="R1249" s="35" t="str">
        <f aca="false">IF(OR($P1249="",$Q1249=""),"",INDEX(BookRate,1244)*$P1249*(5-MATCH($Q1249,{"Q1";"Q2";"Q3";"Q4"},0))/4+INDEX(BookOneOff,1244)*$P1249)</f>
        <v/>
      </c>
      <c r="S1249" s="35" t="str">
        <f aca="false">IF($P1249="","",INDEX(BookRate,1244)*$P1249)</f>
        <v/>
      </c>
      <c r="T1249" s="35" t="str">
        <f aca="false">IF($R1249="","",$R1249-$K1249)</f>
        <v/>
      </c>
      <c r="U1249" s="35" t="str">
        <f aca="false">IF(N($P1249)&lt;=0,"",COUNTIF($P$6:$P1249,"&gt;0"))</f>
        <v/>
      </c>
    </row>
    <row r="1250" customFormat="false" ht="15" hidden="false" customHeight="false" outlineLevel="0" collapsed="false">
      <c r="A1250" s="40" t="str">
        <f aca="false">IF(INDEX(BookTitle,1245)="","",INDEX(BookGroup,1245))</f>
        <v/>
      </c>
      <c r="B1250" s="40" t="str">
        <f aca="false">IF(INDEX(BookTitle,1245)="","",INDEX(BookRef,1245))</f>
        <v/>
      </c>
      <c r="C1250" s="40" t="str">
        <f aca="false">IF(INDEX(BookTitle,1245)="","",INDEX(BookDivision,1245))</f>
        <v/>
      </c>
      <c r="D1250" s="40" t="str">
        <f aca="false">IF(INDEX(BookTitle,1245)="","",INDEX(BookUnit,1245))</f>
        <v/>
      </c>
      <c r="E1250" s="40" t="str">
        <f aca="false">IF(INDEX(BookTitle,1245)="","",INDEX(BookTitle,1245))</f>
        <v/>
      </c>
      <c r="F1250" s="40" t="str">
        <f aca="false">IF(INDEX(BookTitle,1245)="","",INDEX(BookLevel,1245))</f>
        <v/>
      </c>
      <c r="G1250" s="40" t="str">
        <f aca="false">IF(INDEX(BookTitle,1245)="","",INDEX(BookCategory,1245))</f>
        <v/>
      </c>
      <c r="H1250" s="40" t="str">
        <f aca="false">IF(INDEX(BookTitle,1245)="","",INDEX(BookRank,1245))</f>
        <v/>
      </c>
      <c r="I1250" s="41" t="str">
        <f aca="false">IF(INDEX(BookTitle,1245)="","",INDEX(BookTotal,1245))</f>
        <v/>
      </c>
      <c r="J1250" s="0" t="str">
        <f aca="false">IF($I1250="","",IF(INDEX(BookQ1,1245)&gt;0,"Q1",IF(INDEX(BookQ2,1245)&gt;0,"Q2",IF(INDEX(BookQ3,1245)&gt;0,"Q3",IF(INDEX(BookQ4,1245)&gt;0,"Q4","")))))</f>
        <v/>
      </c>
      <c r="K1250" s="42" t="str">
        <f aca="false">IF(INDEX(BookTitle,1245)="","",INDEX(BookInYear,1245))</f>
        <v/>
      </c>
      <c r="L1250" s="19"/>
      <c r="M1250" s="39"/>
      <c r="N1250" s="19"/>
      <c r="O1250" s="19"/>
      <c r="P1250" s="43" t="str">
        <f aca="false">IF($E1250="","",IF($L1250="Decline",0,IF($L1250="Approve fewer",IF($M1250="","",$M1250),IF($L1250="","",$I1250))))</f>
        <v/>
      </c>
      <c r="Q1250" s="34" t="str">
        <f aca="false">IF($P1250="","",IF($N1250&lt;&gt;"",$N1250,$J1250))</f>
        <v/>
      </c>
      <c r="R1250" s="35" t="str">
        <f aca="false">IF(OR($P1250="",$Q1250=""),"",INDEX(BookRate,1245)*$P1250*(5-MATCH($Q1250,{"Q1";"Q2";"Q3";"Q4"},0))/4+INDEX(BookOneOff,1245)*$P1250)</f>
        <v/>
      </c>
      <c r="S1250" s="35" t="str">
        <f aca="false">IF($P1250="","",INDEX(BookRate,1245)*$P1250)</f>
        <v/>
      </c>
      <c r="T1250" s="35" t="str">
        <f aca="false">IF($R1250="","",$R1250-$K1250)</f>
        <v/>
      </c>
      <c r="U1250" s="35" t="str">
        <f aca="false">IF(N($P1250)&lt;=0,"",COUNTIF($P$6:$P1250,"&gt;0"))</f>
        <v/>
      </c>
    </row>
    <row r="1251" customFormat="false" ht="15" hidden="false" customHeight="false" outlineLevel="0" collapsed="false">
      <c r="A1251" s="40" t="str">
        <f aca="false">IF(INDEX(BookTitle,1246)="","",INDEX(BookGroup,1246))</f>
        <v/>
      </c>
      <c r="B1251" s="40" t="str">
        <f aca="false">IF(INDEX(BookTitle,1246)="","",INDEX(BookRef,1246))</f>
        <v/>
      </c>
      <c r="C1251" s="40" t="str">
        <f aca="false">IF(INDEX(BookTitle,1246)="","",INDEX(BookDivision,1246))</f>
        <v/>
      </c>
      <c r="D1251" s="40" t="str">
        <f aca="false">IF(INDEX(BookTitle,1246)="","",INDEX(BookUnit,1246))</f>
        <v/>
      </c>
      <c r="E1251" s="40" t="str">
        <f aca="false">IF(INDEX(BookTitle,1246)="","",INDEX(BookTitle,1246))</f>
        <v/>
      </c>
      <c r="F1251" s="40" t="str">
        <f aca="false">IF(INDEX(BookTitle,1246)="","",INDEX(BookLevel,1246))</f>
        <v/>
      </c>
      <c r="G1251" s="40" t="str">
        <f aca="false">IF(INDEX(BookTitle,1246)="","",INDEX(BookCategory,1246))</f>
        <v/>
      </c>
      <c r="H1251" s="40" t="str">
        <f aca="false">IF(INDEX(BookTitle,1246)="","",INDEX(BookRank,1246))</f>
        <v/>
      </c>
      <c r="I1251" s="41" t="str">
        <f aca="false">IF(INDEX(BookTitle,1246)="","",INDEX(BookTotal,1246))</f>
        <v/>
      </c>
      <c r="J1251" s="0" t="str">
        <f aca="false">IF($I1251="","",IF(INDEX(BookQ1,1246)&gt;0,"Q1",IF(INDEX(BookQ2,1246)&gt;0,"Q2",IF(INDEX(BookQ3,1246)&gt;0,"Q3",IF(INDEX(BookQ4,1246)&gt;0,"Q4","")))))</f>
        <v/>
      </c>
      <c r="K1251" s="42" t="str">
        <f aca="false">IF(INDEX(BookTitle,1246)="","",INDEX(BookInYear,1246))</f>
        <v/>
      </c>
      <c r="L1251" s="19"/>
      <c r="M1251" s="39"/>
      <c r="N1251" s="19"/>
      <c r="O1251" s="19"/>
      <c r="P1251" s="43" t="str">
        <f aca="false">IF($E1251="","",IF($L1251="Decline",0,IF($L1251="Approve fewer",IF($M1251="","",$M1251),IF($L1251="","",$I1251))))</f>
        <v/>
      </c>
      <c r="Q1251" s="34" t="str">
        <f aca="false">IF($P1251="","",IF($N1251&lt;&gt;"",$N1251,$J1251))</f>
        <v/>
      </c>
      <c r="R1251" s="35" t="str">
        <f aca="false">IF(OR($P1251="",$Q1251=""),"",INDEX(BookRate,1246)*$P1251*(5-MATCH($Q1251,{"Q1";"Q2";"Q3";"Q4"},0))/4+INDEX(BookOneOff,1246)*$P1251)</f>
        <v/>
      </c>
      <c r="S1251" s="35" t="str">
        <f aca="false">IF($P1251="","",INDEX(BookRate,1246)*$P1251)</f>
        <v/>
      </c>
      <c r="T1251" s="35" t="str">
        <f aca="false">IF($R1251="","",$R1251-$K1251)</f>
        <v/>
      </c>
      <c r="U1251" s="35" t="str">
        <f aca="false">IF(N($P1251)&lt;=0,"",COUNTIF($P$6:$P1251,"&gt;0"))</f>
        <v/>
      </c>
    </row>
    <row r="1252" customFormat="false" ht="15" hidden="false" customHeight="false" outlineLevel="0" collapsed="false">
      <c r="A1252" s="40" t="str">
        <f aca="false">IF(INDEX(BookTitle,1247)="","",INDEX(BookGroup,1247))</f>
        <v/>
      </c>
      <c r="B1252" s="40" t="str">
        <f aca="false">IF(INDEX(BookTitle,1247)="","",INDEX(BookRef,1247))</f>
        <v/>
      </c>
      <c r="C1252" s="40" t="str">
        <f aca="false">IF(INDEX(BookTitle,1247)="","",INDEX(BookDivision,1247))</f>
        <v/>
      </c>
      <c r="D1252" s="40" t="str">
        <f aca="false">IF(INDEX(BookTitle,1247)="","",INDEX(BookUnit,1247))</f>
        <v/>
      </c>
      <c r="E1252" s="40" t="str">
        <f aca="false">IF(INDEX(BookTitle,1247)="","",INDEX(BookTitle,1247))</f>
        <v/>
      </c>
      <c r="F1252" s="40" t="str">
        <f aca="false">IF(INDEX(BookTitle,1247)="","",INDEX(BookLevel,1247))</f>
        <v/>
      </c>
      <c r="G1252" s="40" t="str">
        <f aca="false">IF(INDEX(BookTitle,1247)="","",INDEX(BookCategory,1247))</f>
        <v/>
      </c>
      <c r="H1252" s="40" t="str">
        <f aca="false">IF(INDEX(BookTitle,1247)="","",INDEX(BookRank,1247))</f>
        <v/>
      </c>
      <c r="I1252" s="41" t="str">
        <f aca="false">IF(INDEX(BookTitle,1247)="","",INDEX(BookTotal,1247))</f>
        <v/>
      </c>
      <c r="J1252" s="0" t="str">
        <f aca="false">IF($I1252="","",IF(INDEX(BookQ1,1247)&gt;0,"Q1",IF(INDEX(BookQ2,1247)&gt;0,"Q2",IF(INDEX(BookQ3,1247)&gt;0,"Q3",IF(INDEX(BookQ4,1247)&gt;0,"Q4","")))))</f>
        <v/>
      </c>
      <c r="K1252" s="42" t="str">
        <f aca="false">IF(INDEX(BookTitle,1247)="","",INDEX(BookInYear,1247))</f>
        <v/>
      </c>
      <c r="L1252" s="19"/>
      <c r="M1252" s="39"/>
      <c r="N1252" s="19"/>
      <c r="O1252" s="19"/>
      <c r="P1252" s="43" t="str">
        <f aca="false">IF($E1252="","",IF($L1252="Decline",0,IF($L1252="Approve fewer",IF($M1252="","",$M1252),IF($L1252="","",$I1252))))</f>
        <v/>
      </c>
      <c r="Q1252" s="34" t="str">
        <f aca="false">IF($P1252="","",IF($N1252&lt;&gt;"",$N1252,$J1252))</f>
        <v/>
      </c>
      <c r="R1252" s="35" t="str">
        <f aca="false">IF(OR($P1252="",$Q1252=""),"",INDEX(BookRate,1247)*$P1252*(5-MATCH($Q1252,{"Q1";"Q2";"Q3";"Q4"},0))/4+INDEX(BookOneOff,1247)*$P1252)</f>
        <v/>
      </c>
      <c r="S1252" s="35" t="str">
        <f aca="false">IF($P1252="","",INDEX(BookRate,1247)*$P1252)</f>
        <v/>
      </c>
      <c r="T1252" s="35" t="str">
        <f aca="false">IF($R1252="","",$R1252-$K1252)</f>
        <v/>
      </c>
      <c r="U1252" s="35" t="str">
        <f aca="false">IF(N($P1252)&lt;=0,"",COUNTIF($P$6:$P1252,"&gt;0"))</f>
        <v/>
      </c>
    </row>
    <row r="1253" customFormat="false" ht="15" hidden="false" customHeight="false" outlineLevel="0" collapsed="false">
      <c r="A1253" s="40" t="str">
        <f aca="false">IF(INDEX(BookTitle,1248)="","",INDEX(BookGroup,1248))</f>
        <v/>
      </c>
      <c r="B1253" s="40" t="str">
        <f aca="false">IF(INDEX(BookTitle,1248)="","",INDEX(BookRef,1248))</f>
        <v/>
      </c>
      <c r="C1253" s="40" t="str">
        <f aca="false">IF(INDEX(BookTitle,1248)="","",INDEX(BookDivision,1248))</f>
        <v/>
      </c>
      <c r="D1253" s="40" t="str">
        <f aca="false">IF(INDEX(BookTitle,1248)="","",INDEX(BookUnit,1248))</f>
        <v/>
      </c>
      <c r="E1253" s="40" t="str">
        <f aca="false">IF(INDEX(BookTitle,1248)="","",INDEX(BookTitle,1248))</f>
        <v/>
      </c>
      <c r="F1253" s="40" t="str">
        <f aca="false">IF(INDEX(BookTitle,1248)="","",INDEX(BookLevel,1248))</f>
        <v/>
      </c>
      <c r="G1253" s="40" t="str">
        <f aca="false">IF(INDEX(BookTitle,1248)="","",INDEX(BookCategory,1248))</f>
        <v/>
      </c>
      <c r="H1253" s="40" t="str">
        <f aca="false">IF(INDEX(BookTitle,1248)="","",INDEX(BookRank,1248))</f>
        <v/>
      </c>
      <c r="I1253" s="41" t="str">
        <f aca="false">IF(INDEX(BookTitle,1248)="","",INDEX(BookTotal,1248))</f>
        <v/>
      </c>
      <c r="J1253" s="0" t="str">
        <f aca="false">IF($I1253="","",IF(INDEX(BookQ1,1248)&gt;0,"Q1",IF(INDEX(BookQ2,1248)&gt;0,"Q2",IF(INDEX(BookQ3,1248)&gt;0,"Q3",IF(INDEX(BookQ4,1248)&gt;0,"Q4","")))))</f>
        <v/>
      </c>
      <c r="K1253" s="42" t="str">
        <f aca="false">IF(INDEX(BookTitle,1248)="","",INDEX(BookInYear,1248))</f>
        <v/>
      </c>
      <c r="L1253" s="19"/>
      <c r="M1253" s="39"/>
      <c r="N1253" s="19"/>
      <c r="O1253" s="19"/>
      <c r="P1253" s="43" t="str">
        <f aca="false">IF($E1253="","",IF($L1253="Decline",0,IF($L1253="Approve fewer",IF($M1253="","",$M1253),IF($L1253="","",$I1253))))</f>
        <v/>
      </c>
      <c r="Q1253" s="34" t="str">
        <f aca="false">IF($P1253="","",IF($N1253&lt;&gt;"",$N1253,$J1253))</f>
        <v/>
      </c>
      <c r="R1253" s="35" t="str">
        <f aca="false">IF(OR($P1253="",$Q1253=""),"",INDEX(BookRate,1248)*$P1253*(5-MATCH($Q1253,{"Q1";"Q2";"Q3";"Q4"},0))/4+INDEX(BookOneOff,1248)*$P1253)</f>
        <v/>
      </c>
      <c r="S1253" s="35" t="str">
        <f aca="false">IF($P1253="","",INDEX(BookRate,1248)*$P1253)</f>
        <v/>
      </c>
      <c r="T1253" s="35" t="str">
        <f aca="false">IF($R1253="","",$R1253-$K1253)</f>
        <v/>
      </c>
      <c r="U1253" s="35" t="str">
        <f aca="false">IF(N($P1253)&lt;=0,"",COUNTIF($P$6:$P1253,"&gt;0"))</f>
        <v/>
      </c>
    </row>
    <row r="1254" customFormat="false" ht="15" hidden="false" customHeight="false" outlineLevel="0" collapsed="false">
      <c r="A1254" s="40" t="str">
        <f aca="false">IF(INDEX(BookTitle,1249)="","",INDEX(BookGroup,1249))</f>
        <v/>
      </c>
      <c r="B1254" s="40" t="str">
        <f aca="false">IF(INDEX(BookTitle,1249)="","",INDEX(BookRef,1249))</f>
        <v/>
      </c>
      <c r="C1254" s="40" t="str">
        <f aca="false">IF(INDEX(BookTitle,1249)="","",INDEX(BookDivision,1249))</f>
        <v/>
      </c>
      <c r="D1254" s="40" t="str">
        <f aca="false">IF(INDEX(BookTitle,1249)="","",INDEX(BookUnit,1249))</f>
        <v/>
      </c>
      <c r="E1254" s="40" t="str">
        <f aca="false">IF(INDEX(BookTitle,1249)="","",INDEX(BookTitle,1249))</f>
        <v/>
      </c>
      <c r="F1254" s="40" t="str">
        <f aca="false">IF(INDEX(BookTitle,1249)="","",INDEX(BookLevel,1249))</f>
        <v/>
      </c>
      <c r="G1254" s="40" t="str">
        <f aca="false">IF(INDEX(BookTitle,1249)="","",INDEX(BookCategory,1249))</f>
        <v/>
      </c>
      <c r="H1254" s="40" t="str">
        <f aca="false">IF(INDEX(BookTitle,1249)="","",INDEX(BookRank,1249))</f>
        <v/>
      </c>
      <c r="I1254" s="41" t="str">
        <f aca="false">IF(INDEX(BookTitle,1249)="","",INDEX(BookTotal,1249))</f>
        <v/>
      </c>
      <c r="J1254" s="0" t="str">
        <f aca="false">IF($I1254="","",IF(INDEX(BookQ1,1249)&gt;0,"Q1",IF(INDEX(BookQ2,1249)&gt;0,"Q2",IF(INDEX(BookQ3,1249)&gt;0,"Q3",IF(INDEX(BookQ4,1249)&gt;0,"Q4","")))))</f>
        <v/>
      </c>
      <c r="K1254" s="42" t="str">
        <f aca="false">IF(INDEX(BookTitle,1249)="","",INDEX(BookInYear,1249))</f>
        <v/>
      </c>
      <c r="L1254" s="19"/>
      <c r="M1254" s="39"/>
      <c r="N1254" s="19"/>
      <c r="O1254" s="19"/>
      <c r="P1254" s="43" t="str">
        <f aca="false">IF($E1254="","",IF($L1254="Decline",0,IF($L1254="Approve fewer",IF($M1254="","",$M1254),IF($L1254="","",$I1254))))</f>
        <v/>
      </c>
      <c r="Q1254" s="34" t="str">
        <f aca="false">IF($P1254="","",IF($N1254&lt;&gt;"",$N1254,$J1254))</f>
        <v/>
      </c>
      <c r="R1254" s="35" t="str">
        <f aca="false">IF(OR($P1254="",$Q1254=""),"",INDEX(BookRate,1249)*$P1254*(5-MATCH($Q1254,{"Q1";"Q2";"Q3";"Q4"},0))/4+INDEX(BookOneOff,1249)*$P1254)</f>
        <v/>
      </c>
      <c r="S1254" s="35" t="str">
        <f aca="false">IF($P1254="","",INDEX(BookRate,1249)*$P1254)</f>
        <v/>
      </c>
      <c r="T1254" s="35" t="str">
        <f aca="false">IF($R1254="","",$R1254-$K1254)</f>
        <v/>
      </c>
      <c r="U1254" s="35" t="str">
        <f aca="false">IF(N($P1254)&lt;=0,"",COUNTIF($P$6:$P1254,"&gt;0"))</f>
        <v/>
      </c>
    </row>
    <row r="1255" customFormat="false" ht="15" hidden="false" customHeight="false" outlineLevel="0" collapsed="false">
      <c r="A1255" s="40" t="str">
        <f aca="false">IF(INDEX(BookTitle,1250)="","",INDEX(BookGroup,1250))</f>
        <v/>
      </c>
      <c r="B1255" s="40" t="str">
        <f aca="false">IF(INDEX(BookTitle,1250)="","",INDEX(BookRef,1250))</f>
        <v/>
      </c>
      <c r="C1255" s="40" t="str">
        <f aca="false">IF(INDEX(BookTitle,1250)="","",INDEX(BookDivision,1250))</f>
        <v/>
      </c>
      <c r="D1255" s="40" t="str">
        <f aca="false">IF(INDEX(BookTitle,1250)="","",INDEX(BookUnit,1250))</f>
        <v/>
      </c>
      <c r="E1255" s="40" t="str">
        <f aca="false">IF(INDEX(BookTitle,1250)="","",INDEX(BookTitle,1250))</f>
        <v/>
      </c>
      <c r="F1255" s="40" t="str">
        <f aca="false">IF(INDEX(BookTitle,1250)="","",INDEX(BookLevel,1250))</f>
        <v/>
      </c>
      <c r="G1255" s="40" t="str">
        <f aca="false">IF(INDEX(BookTitle,1250)="","",INDEX(BookCategory,1250))</f>
        <v/>
      </c>
      <c r="H1255" s="40" t="str">
        <f aca="false">IF(INDEX(BookTitle,1250)="","",INDEX(BookRank,1250))</f>
        <v/>
      </c>
      <c r="I1255" s="41" t="str">
        <f aca="false">IF(INDEX(BookTitle,1250)="","",INDEX(BookTotal,1250))</f>
        <v/>
      </c>
      <c r="J1255" s="0" t="str">
        <f aca="false">IF($I1255="","",IF(INDEX(BookQ1,1250)&gt;0,"Q1",IF(INDEX(BookQ2,1250)&gt;0,"Q2",IF(INDEX(BookQ3,1250)&gt;0,"Q3",IF(INDEX(BookQ4,1250)&gt;0,"Q4","")))))</f>
        <v/>
      </c>
      <c r="K1255" s="42" t="str">
        <f aca="false">IF(INDEX(BookTitle,1250)="","",INDEX(BookInYear,1250))</f>
        <v/>
      </c>
      <c r="L1255" s="19"/>
      <c r="M1255" s="39"/>
      <c r="N1255" s="19"/>
      <c r="O1255" s="19"/>
      <c r="P1255" s="43" t="str">
        <f aca="false">IF($E1255="","",IF($L1255="Decline",0,IF($L1255="Approve fewer",IF($M1255="","",$M1255),IF($L1255="","",$I1255))))</f>
        <v/>
      </c>
      <c r="Q1255" s="34" t="str">
        <f aca="false">IF($P1255="","",IF($N1255&lt;&gt;"",$N1255,$J1255))</f>
        <v/>
      </c>
      <c r="R1255" s="35" t="str">
        <f aca="false">IF(OR($P1255="",$Q1255=""),"",INDEX(BookRate,1250)*$P1255*(5-MATCH($Q1255,{"Q1";"Q2";"Q3";"Q4"},0))/4+INDEX(BookOneOff,1250)*$P1255)</f>
        <v/>
      </c>
      <c r="S1255" s="35" t="str">
        <f aca="false">IF($P1255="","",INDEX(BookRate,1250)*$P1255)</f>
        <v/>
      </c>
      <c r="T1255" s="35" t="str">
        <f aca="false">IF($R1255="","",$R1255-$K1255)</f>
        <v/>
      </c>
      <c r="U1255" s="35" t="str">
        <f aca="false">IF(N($P1255)&lt;=0,"",COUNTIF($P$6:$P1255,"&gt;0"))</f>
        <v/>
      </c>
    </row>
    <row r="1256" customFormat="false" ht="15" hidden="false" customHeight="false" outlineLevel="0" collapsed="false">
      <c r="A1256" s="40" t="str">
        <f aca="false">IF(INDEX(BookTitle,1251)="","",INDEX(BookGroup,1251))</f>
        <v/>
      </c>
      <c r="B1256" s="40" t="str">
        <f aca="false">IF(INDEX(BookTitle,1251)="","",INDEX(BookRef,1251))</f>
        <v/>
      </c>
      <c r="C1256" s="40" t="str">
        <f aca="false">IF(INDEX(BookTitle,1251)="","",INDEX(BookDivision,1251))</f>
        <v/>
      </c>
      <c r="D1256" s="40" t="str">
        <f aca="false">IF(INDEX(BookTitle,1251)="","",INDEX(BookUnit,1251))</f>
        <v/>
      </c>
      <c r="E1256" s="40" t="str">
        <f aca="false">IF(INDEX(BookTitle,1251)="","",INDEX(BookTitle,1251))</f>
        <v/>
      </c>
      <c r="F1256" s="40" t="str">
        <f aca="false">IF(INDEX(BookTitle,1251)="","",INDEX(BookLevel,1251))</f>
        <v/>
      </c>
      <c r="G1256" s="40" t="str">
        <f aca="false">IF(INDEX(BookTitle,1251)="","",INDEX(BookCategory,1251))</f>
        <v/>
      </c>
      <c r="H1256" s="40" t="str">
        <f aca="false">IF(INDEX(BookTitle,1251)="","",INDEX(BookRank,1251))</f>
        <v/>
      </c>
      <c r="I1256" s="41" t="str">
        <f aca="false">IF(INDEX(BookTitle,1251)="","",INDEX(BookTotal,1251))</f>
        <v/>
      </c>
      <c r="J1256" s="0" t="str">
        <f aca="false">IF($I1256="","",IF(INDEX(BookQ1,1251)&gt;0,"Q1",IF(INDEX(BookQ2,1251)&gt;0,"Q2",IF(INDEX(BookQ3,1251)&gt;0,"Q3",IF(INDEX(BookQ4,1251)&gt;0,"Q4","")))))</f>
        <v/>
      </c>
      <c r="K1256" s="42" t="str">
        <f aca="false">IF(INDEX(BookTitle,1251)="","",INDEX(BookInYear,1251))</f>
        <v/>
      </c>
      <c r="L1256" s="19"/>
      <c r="M1256" s="39"/>
      <c r="N1256" s="19"/>
      <c r="O1256" s="19"/>
      <c r="P1256" s="43" t="str">
        <f aca="false">IF($E1256="","",IF($L1256="Decline",0,IF($L1256="Approve fewer",IF($M1256="","",$M1256),IF($L1256="","",$I1256))))</f>
        <v/>
      </c>
      <c r="Q1256" s="34" t="str">
        <f aca="false">IF($P1256="","",IF($N1256&lt;&gt;"",$N1256,$J1256))</f>
        <v/>
      </c>
      <c r="R1256" s="35" t="str">
        <f aca="false">IF(OR($P1256="",$Q1256=""),"",INDEX(BookRate,1251)*$P1256*(5-MATCH($Q1256,{"Q1";"Q2";"Q3";"Q4"},0))/4+INDEX(BookOneOff,1251)*$P1256)</f>
        <v/>
      </c>
      <c r="S1256" s="35" t="str">
        <f aca="false">IF($P1256="","",INDEX(BookRate,1251)*$P1256)</f>
        <v/>
      </c>
      <c r="T1256" s="35" t="str">
        <f aca="false">IF($R1256="","",$R1256-$K1256)</f>
        <v/>
      </c>
      <c r="U1256" s="35" t="str">
        <f aca="false">IF(N($P1256)&lt;=0,"",COUNTIF($P$6:$P1256,"&gt;0"))</f>
        <v/>
      </c>
    </row>
    <row r="1257" customFormat="false" ht="15" hidden="false" customHeight="false" outlineLevel="0" collapsed="false">
      <c r="A1257" s="40" t="str">
        <f aca="false">IF(INDEX(BookTitle,1252)="","",INDEX(BookGroup,1252))</f>
        <v/>
      </c>
      <c r="B1257" s="40" t="str">
        <f aca="false">IF(INDEX(BookTitle,1252)="","",INDEX(BookRef,1252))</f>
        <v/>
      </c>
      <c r="C1257" s="40" t="str">
        <f aca="false">IF(INDEX(BookTitle,1252)="","",INDEX(BookDivision,1252))</f>
        <v/>
      </c>
      <c r="D1257" s="40" t="str">
        <f aca="false">IF(INDEX(BookTitle,1252)="","",INDEX(BookUnit,1252))</f>
        <v/>
      </c>
      <c r="E1257" s="40" t="str">
        <f aca="false">IF(INDEX(BookTitle,1252)="","",INDEX(BookTitle,1252))</f>
        <v/>
      </c>
      <c r="F1257" s="40" t="str">
        <f aca="false">IF(INDEX(BookTitle,1252)="","",INDEX(BookLevel,1252))</f>
        <v/>
      </c>
      <c r="G1257" s="40" t="str">
        <f aca="false">IF(INDEX(BookTitle,1252)="","",INDEX(BookCategory,1252))</f>
        <v/>
      </c>
      <c r="H1257" s="40" t="str">
        <f aca="false">IF(INDEX(BookTitle,1252)="","",INDEX(BookRank,1252))</f>
        <v/>
      </c>
      <c r="I1257" s="41" t="str">
        <f aca="false">IF(INDEX(BookTitle,1252)="","",INDEX(BookTotal,1252))</f>
        <v/>
      </c>
      <c r="J1257" s="0" t="str">
        <f aca="false">IF($I1257="","",IF(INDEX(BookQ1,1252)&gt;0,"Q1",IF(INDEX(BookQ2,1252)&gt;0,"Q2",IF(INDEX(BookQ3,1252)&gt;0,"Q3",IF(INDEX(BookQ4,1252)&gt;0,"Q4","")))))</f>
        <v/>
      </c>
      <c r="K1257" s="42" t="str">
        <f aca="false">IF(INDEX(BookTitle,1252)="","",INDEX(BookInYear,1252))</f>
        <v/>
      </c>
      <c r="L1257" s="19"/>
      <c r="M1257" s="39"/>
      <c r="N1257" s="19"/>
      <c r="O1257" s="19"/>
      <c r="P1257" s="43" t="str">
        <f aca="false">IF($E1257="","",IF($L1257="Decline",0,IF($L1257="Approve fewer",IF($M1257="","",$M1257),IF($L1257="","",$I1257))))</f>
        <v/>
      </c>
      <c r="Q1257" s="34" t="str">
        <f aca="false">IF($P1257="","",IF($N1257&lt;&gt;"",$N1257,$J1257))</f>
        <v/>
      </c>
      <c r="R1257" s="35" t="str">
        <f aca="false">IF(OR($P1257="",$Q1257=""),"",INDEX(BookRate,1252)*$P1257*(5-MATCH($Q1257,{"Q1";"Q2";"Q3";"Q4"},0))/4+INDEX(BookOneOff,1252)*$P1257)</f>
        <v/>
      </c>
      <c r="S1257" s="35" t="str">
        <f aca="false">IF($P1257="","",INDEX(BookRate,1252)*$P1257)</f>
        <v/>
      </c>
      <c r="T1257" s="35" t="str">
        <f aca="false">IF($R1257="","",$R1257-$K1257)</f>
        <v/>
      </c>
      <c r="U1257" s="35" t="str">
        <f aca="false">IF(N($P1257)&lt;=0,"",COUNTIF($P$6:$P1257,"&gt;0"))</f>
        <v/>
      </c>
    </row>
    <row r="1258" customFormat="false" ht="15" hidden="false" customHeight="false" outlineLevel="0" collapsed="false">
      <c r="A1258" s="40" t="str">
        <f aca="false">IF(INDEX(BookTitle,1253)="","",INDEX(BookGroup,1253))</f>
        <v/>
      </c>
      <c r="B1258" s="40" t="str">
        <f aca="false">IF(INDEX(BookTitle,1253)="","",INDEX(BookRef,1253))</f>
        <v/>
      </c>
      <c r="C1258" s="40" t="str">
        <f aca="false">IF(INDEX(BookTitle,1253)="","",INDEX(BookDivision,1253))</f>
        <v/>
      </c>
      <c r="D1258" s="40" t="str">
        <f aca="false">IF(INDEX(BookTitle,1253)="","",INDEX(BookUnit,1253))</f>
        <v/>
      </c>
      <c r="E1258" s="40" t="str">
        <f aca="false">IF(INDEX(BookTitle,1253)="","",INDEX(BookTitle,1253))</f>
        <v/>
      </c>
      <c r="F1258" s="40" t="str">
        <f aca="false">IF(INDEX(BookTitle,1253)="","",INDEX(BookLevel,1253))</f>
        <v/>
      </c>
      <c r="G1258" s="40" t="str">
        <f aca="false">IF(INDEX(BookTitle,1253)="","",INDEX(BookCategory,1253))</f>
        <v/>
      </c>
      <c r="H1258" s="40" t="str">
        <f aca="false">IF(INDEX(BookTitle,1253)="","",INDEX(BookRank,1253))</f>
        <v/>
      </c>
      <c r="I1258" s="41" t="str">
        <f aca="false">IF(INDEX(BookTitle,1253)="","",INDEX(BookTotal,1253))</f>
        <v/>
      </c>
      <c r="J1258" s="0" t="str">
        <f aca="false">IF($I1258="","",IF(INDEX(BookQ1,1253)&gt;0,"Q1",IF(INDEX(BookQ2,1253)&gt;0,"Q2",IF(INDEX(BookQ3,1253)&gt;0,"Q3",IF(INDEX(BookQ4,1253)&gt;0,"Q4","")))))</f>
        <v/>
      </c>
      <c r="K1258" s="42" t="str">
        <f aca="false">IF(INDEX(BookTitle,1253)="","",INDEX(BookInYear,1253))</f>
        <v/>
      </c>
      <c r="L1258" s="19"/>
      <c r="M1258" s="39"/>
      <c r="N1258" s="19"/>
      <c r="O1258" s="19"/>
      <c r="P1258" s="43" t="str">
        <f aca="false">IF($E1258="","",IF($L1258="Decline",0,IF($L1258="Approve fewer",IF($M1258="","",$M1258),IF($L1258="","",$I1258))))</f>
        <v/>
      </c>
      <c r="Q1258" s="34" t="str">
        <f aca="false">IF($P1258="","",IF($N1258&lt;&gt;"",$N1258,$J1258))</f>
        <v/>
      </c>
      <c r="R1258" s="35" t="str">
        <f aca="false">IF(OR($P1258="",$Q1258=""),"",INDEX(BookRate,1253)*$P1258*(5-MATCH($Q1258,{"Q1";"Q2";"Q3";"Q4"},0))/4+INDEX(BookOneOff,1253)*$P1258)</f>
        <v/>
      </c>
      <c r="S1258" s="35" t="str">
        <f aca="false">IF($P1258="","",INDEX(BookRate,1253)*$P1258)</f>
        <v/>
      </c>
      <c r="T1258" s="35" t="str">
        <f aca="false">IF($R1258="","",$R1258-$K1258)</f>
        <v/>
      </c>
      <c r="U1258" s="35" t="str">
        <f aca="false">IF(N($P1258)&lt;=0,"",COUNTIF($P$6:$P1258,"&gt;0"))</f>
        <v/>
      </c>
    </row>
    <row r="1259" customFormat="false" ht="15" hidden="false" customHeight="false" outlineLevel="0" collapsed="false">
      <c r="A1259" s="40" t="str">
        <f aca="false">IF(INDEX(BookTitle,1254)="","",INDEX(BookGroup,1254))</f>
        <v/>
      </c>
      <c r="B1259" s="40" t="str">
        <f aca="false">IF(INDEX(BookTitle,1254)="","",INDEX(BookRef,1254))</f>
        <v/>
      </c>
      <c r="C1259" s="40" t="str">
        <f aca="false">IF(INDEX(BookTitle,1254)="","",INDEX(BookDivision,1254))</f>
        <v/>
      </c>
      <c r="D1259" s="40" t="str">
        <f aca="false">IF(INDEX(BookTitle,1254)="","",INDEX(BookUnit,1254))</f>
        <v/>
      </c>
      <c r="E1259" s="40" t="str">
        <f aca="false">IF(INDEX(BookTitle,1254)="","",INDEX(BookTitle,1254))</f>
        <v/>
      </c>
      <c r="F1259" s="40" t="str">
        <f aca="false">IF(INDEX(BookTitle,1254)="","",INDEX(BookLevel,1254))</f>
        <v/>
      </c>
      <c r="G1259" s="40" t="str">
        <f aca="false">IF(INDEX(BookTitle,1254)="","",INDEX(BookCategory,1254))</f>
        <v/>
      </c>
      <c r="H1259" s="40" t="str">
        <f aca="false">IF(INDEX(BookTitle,1254)="","",INDEX(BookRank,1254))</f>
        <v/>
      </c>
      <c r="I1259" s="41" t="str">
        <f aca="false">IF(INDEX(BookTitle,1254)="","",INDEX(BookTotal,1254))</f>
        <v/>
      </c>
      <c r="J1259" s="0" t="str">
        <f aca="false">IF($I1259="","",IF(INDEX(BookQ1,1254)&gt;0,"Q1",IF(INDEX(BookQ2,1254)&gt;0,"Q2",IF(INDEX(BookQ3,1254)&gt;0,"Q3",IF(INDEX(BookQ4,1254)&gt;0,"Q4","")))))</f>
        <v/>
      </c>
      <c r="K1259" s="42" t="str">
        <f aca="false">IF(INDEX(BookTitle,1254)="","",INDEX(BookInYear,1254))</f>
        <v/>
      </c>
      <c r="L1259" s="19"/>
      <c r="M1259" s="39"/>
      <c r="N1259" s="19"/>
      <c r="O1259" s="19"/>
      <c r="P1259" s="43" t="str">
        <f aca="false">IF($E1259="","",IF($L1259="Decline",0,IF($L1259="Approve fewer",IF($M1259="","",$M1259),IF($L1259="","",$I1259))))</f>
        <v/>
      </c>
      <c r="Q1259" s="34" t="str">
        <f aca="false">IF($P1259="","",IF($N1259&lt;&gt;"",$N1259,$J1259))</f>
        <v/>
      </c>
      <c r="R1259" s="35" t="str">
        <f aca="false">IF(OR($P1259="",$Q1259=""),"",INDEX(BookRate,1254)*$P1259*(5-MATCH($Q1259,{"Q1";"Q2";"Q3";"Q4"},0))/4+INDEX(BookOneOff,1254)*$P1259)</f>
        <v/>
      </c>
      <c r="S1259" s="35" t="str">
        <f aca="false">IF($P1259="","",INDEX(BookRate,1254)*$P1259)</f>
        <v/>
      </c>
      <c r="T1259" s="35" t="str">
        <f aca="false">IF($R1259="","",$R1259-$K1259)</f>
        <v/>
      </c>
      <c r="U1259" s="35" t="str">
        <f aca="false">IF(N($P1259)&lt;=0,"",COUNTIF($P$6:$P1259,"&gt;0"))</f>
        <v/>
      </c>
    </row>
    <row r="1260" customFormat="false" ht="15" hidden="false" customHeight="false" outlineLevel="0" collapsed="false">
      <c r="A1260" s="40" t="str">
        <f aca="false">IF(INDEX(BookTitle,1255)="","",INDEX(BookGroup,1255))</f>
        <v/>
      </c>
      <c r="B1260" s="40" t="str">
        <f aca="false">IF(INDEX(BookTitle,1255)="","",INDEX(BookRef,1255))</f>
        <v/>
      </c>
      <c r="C1260" s="40" t="str">
        <f aca="false">IF(INDEX(BookTitle,1255)="","",INDEX(BookDivision,1255))</f>
        <v/>
      </c>
      <c r="D1260" s="40" t="str">
        <f aca="false">IF(INDEX(BookTitle,1255)="","",INDEX(BookUnit,1255))</f>
        <v/>
      </c>
      <c r="E1260" s="40" t="str">
        <f aca="false">IF(INDEX(BookTitle,1255)="","",INDEX(BookTitle,1255))</f>
        <v/>
      </c>
      <c r="F1260" s="40" t="str">
        <f aca="false">IF(INDEX(BookTitle,1255)="","",INDEX(BookLevel,1255))</f>
        <v/>
      </c>
      <c r="G1260" s="40" t="str">
        <f aca="false">IF(INDEX(BookTitle,1255)="","",INDEX(BookCategory,1255))</f>
        <v/>
      </c>
      <c r="H1260" s="40" t="str">
        <f aca="false">IF(INDEX(BookTitle,1255)="","",INDEX(BookRank,1255))</f>
        <v/>
      </c>
      <c r="I1260" s="41" t="str">
        <f aca="false">IF(INDEX(BookTitle,1255)="","",INDEX(BookTotal,1255))</f>
        <v/>
      </c>
      <c r="J1260" s="0" t="str">
        <f aca="false">IF($I1260="","",IF(INDEX(BookQ1,1255)&gt;0,"Q1",IF(INDEX(BookQ2,1255)&gt;0,"Q2",IF(INDEX(BookQ3,1255)&gt;0,"Q3",IF(INDEX(BookQ4,1255)&gt;0,"Q4","")))))</f>
        <v/>
      </c>
      <c r="K1260" s="42" t="str">
        <f aca="false">IF(INDEX(BookTitle,1255)="","",INDEX(BookInYear,1255))</f>
        <v/>
      </c>
      <c r="L1260" s="19"/>
      <c r="M1260" s="39"/>
      <c r="N1260" s="19"/>
      <c r="O1260" s="19"/>
      <c r="P1260" s="43" t="str">
        <f aca="false">IF($E1260="","",IF($L1260="Decline",0,IF($L1260="Approve fewer",IF($M1260="","",$M1260),IF($L1260="","",$I1260))))</f>
        <v/>
      </c>
      <c r="Q1260" s="34" t="str">
        <f aca="false">IF($P1260="","",IF($N1260&lt;&gt;"",$N1260,$J1260))</f>
        <v/>
      </c>
      <c r="R1260" s="35" t="str">
        <f aca="false">IF(OR($P1260="",$Q1260=""),"",INDEX(BookRate,1255)*$P1260*(5-MATCH($Q1260,{"Q1";"Q2";"Q3";"Q4"},0))/4+INDEX(BookOneOff,1255)*$P1260)</f>
        <v/>
      </c>
      <c r="S1260" s="35" t="str">
        <f aca="false">IF($P1260="","",INDEX(BookRate,1255)*$P1260)</f>
        <v/>
      </c>
      <c r="T1260" s="35" t="str">
        <f aca="false">IF($R1260="","",$R1260-$K1260)</f>
        <v/>
      </c>
      <c r="U1260" s="35" t="str">
        <f aca="false">IF(N($P1260)&lt;=0,"",COUNTIF($P$6:$P1260,"&gt;0"))</f>
        <v/>
      </c>
    </row>
    <row r="1261" customFormat="false" ht="15" hidden="false" customHeight="false" outlineLevel="0" collapsed="false">
      <c r="A1261" s="40" t="str">
        <f aca="false">IF(INDEX(BookTitle,1256)="","",INDEX(BookGroup,1256))</f>
        <v/>
      </c>
      <c r="B1261" s="40" t="str">
        <f aca="false">IF(INDEX(BookTitle,1256)="","",INDEX(BookRef,1256))</f>
        <v/>
      </c>
      <c r="C1261" s="40" t="str">
        <f aca="false">IF(INDEX(BookTitle,1256)="","",INDEX(BookDivision,1256))</f>
        <v/>
      </c>
      <c r="D1261" s="40" t="str">
        <f aca="false">IF(INDEX(BookTitle,1256)="","",INDEX(BookUnit,1256))</f>
        <v/>
      </c>
      <c r="E1261" s="40" t="str">
        <f aca="false">IF(INDEX(BookTitle,1256)="","",INDEX(BookTitle,1256))</f>
        <v/>
      </c>
      <c r="F1261" s="40" t="str">
        <f aca="false">IF(INDEX(BookTitle,1256)="","",INDEX(BookLevel,1256))</f>
        <v/>
      </c>
      <c r="G1261" s="40" t="str">
        <f aca="false">IF(INDEX(BookTitle,1256)="","",INDEX(BookCategory,1256))</f>
        <v/>
      </c>
      <c r="H1261" s="40" t="str">
        <f aca="false">IF(INDEX(BookTitle,1256)="","",INDEX(BookRank,1256))</f>
        <v/>
      </c>
      <c r="I1261" s="41" t="str">
        <f aca="false">IF(INDEX(BookTitle,1256)="","",INDEX(BookTotal,1256))</f>
        <v/>
      </c>
      <c r="J1261" s="0" t="str">
        <f aca="false">IF($I1261="","",IF(INDEX(BookQ1,1256)&gt;0,"Q1",IF(INDEX(BookQ2,1256)&gt;0,"Q2",IF(INDEX(BookQ3,1256)&gt;0,"Q3",IF(INDEX(BookQ4,1256)&gt;0,"Q4","")))))</f>
        <v/>
      </c>
      <c r="K1261" s="42" t="str">
        <f aca="false">IF(INDEX(BookTitle,1256)="","",INDEX(BookInYear,1256))</f>
        <v/>
      </c>
      <c r="L1261" s="19"/>
      <c r="M1261" s="39"/>
      <c r="N1261" s="19"/>
      <c r="O1261" s="19"/>
      <c r="P1261" s="43" t="str">
        <f aca="false">IF($E1261="","",IF($L1261="Decline",0,IF($L1261="Approve fewer",IF($M1261="","",$M1261),IF($L1261="","",$I1261))))</f>
        <v/>
      </c>
      <c r="Q1261" s="34" t="str">
        <f aca="false">IF($P1261="","",IF($N1261&lt;&gt;"",$N1261,$J1261))</f>
        <v/>
      </c>
      <c r="R1261" s="35" t="str">
        <f aca="false">IF(OR($P1261="",$Q1261=""),"",INDEX(BookRate,1256)*$P1261*(5-MATCH($Q1261,{"Q1";"Q2";"Q3";"Q4"},0))/4+INDEX(BookOneOff,1256)*$P1261)</f>
        <v/>
      </c>
      <c r="S1261" s="35" t="str">
        <f aca="false">IF($P1261="","",INDEX(BookRate,1256)*$P1261)</f>
        <v/>
      </c>
      <c r="T1261" s="35" t="str">
        <f aca="false">IF($R1261="","",$R1261-$K1261)</f>
        <v/>
      </c>
      <c r="U1261" s="35" t="str">
        <f aca="false">IF(N($P1261)&lt;=0,"",COUNTIF($P$6:$P1261,"&gt;0"))</f>
        <v/>
      </c>
    </row>
    <row r="1262" customFormat="false" ht="15" hidden="false" customHeight="false" outlineLevel="0" collapsed="false">
      <c r="A1262" s="40" t="str">
        <f aca="false">IF(INDEX(BookTitle,1257)="","",INDEX(BookGroup,1257))</f>
        <v/>
      </c>
      <c r="B1262" s="40" t="str">
        <f aca="false">IF(INDEX(BookTitle,1257)="","",INDEX(BookRef,1257))</f>
        <v/>
      </c>
      <c r="C1262" s="40" t="str">
        <f aca="false">IF(INDEX(BookTitle,1257)="","",INDEX(BookDivision,1257))</f>
        <v/>
      </c>
      <c r="D1262" s="40" t="str">
        <f aca="false">IF(INDEX(BookTitle,1257)="","",INDEX(BookUnit,1257))</f>
        <v/>
      </c>
      <c r="E1262" s="40" t="str">
        <f aca="false">IF(INDEX(BookTitle,1257)="","",INDEX(BookTitle,1257))</f>
        <v/>
      </c>
      <c r="F1262" s="40" t="str">
        <f aca="false">IF(INDEX(BookTitle,1257)="","",INDEX(BookLevel,1257))</f>
        <v/>
      </c>
      <c r="G1262" s="40" t="str">
        <f aca="false">IF(INDEX(BookTitle,1257)="","",INDEX(BookCategory,1257))</f>
        <v/>
      </c>
      <c r="H1262" s="40" t="str">
        <f aca="false">IF(INDEX(BookTitle,1257)="","",INDEX(BookRank,1257))</f>
        <v/>
      </c>
      <c r="I1262" s="41" t="str">
        <f aca="false">IF(INDEX(BookTitle,1257)="","",INDEX(BookTotal,1257))</f>
        <v/>
      </c>
      <c r="J1262" s="0" t="str">
        <f aca="false">IF($I1262="","",IF(INDEX(BookQ1,1257)&gt;0,"Q1",IF(INDEX(BookQ2,1257)&gt;0,"Q2",IF(INDEX(BookQ3,1257)&gt;0,"Q3",IF(INDEX(BookQ4,1257)&gt;0,"Q4","")))))</f>
        <v/>
      </c>
      <c r="K1262" s="42" t="str">
        <f aca="false">IF(INDEX(BookTitle,1257)="","",INDEX(BookInYear,1257))</f>
        <v/>
      </c>
      <c r="L1262" s="19"/>
      <c r="M1262" s="39"/>
      <c r="N1262" s="19"/>
      <c r="O1262" s="19"/>
      <c r="P1262" s="43" t="str">
        <f aca="false">IF($E1262="","",IF($L1262="Decline",0,IF($L1262="Approve fewer",IF($M1262="","",$M1262),IF($L1262="","",$I1262))))</f>
        <v/>
      </c>
      <c r="Q1262" s="34" t="str">
        <f aca="false">IF($P1262="","",IF($N1262&lt;&gt;"",$N1262,$J1262))</f>
        <v/>
      </c>
      <c r="R1262" s="35" t="str">
        <f aca="false">IF(OR($P1262="",$Q1262=""),"",INDEX(BookRate,1257)*$P1262*(5-MATCH($Q1262,{"Q1";"Q2";"Q3";"Q4"},0))/4+INDEX(BookOneOff,1257)*$P1262)</f>
        <v/>
      </c>
      <c r="S1262" s="35" t="str">
        <f aca="false">IF($P1262="","",INDEX(BookRate,1257)*$P1262)</f>
        <v/>
      </c>
      <c r="T1262" s="35" t="str">
        <f aca="false">IF($R1262="","",$R1262-$K1262)</f>
        <v/>
      </c>
      <c r="U1262" s="35" t="str">
        <f aca="false">IF(N($P1262)&lt;=0,"",COUNTIF($P$6:$P1262,"&gt;0"))</f>
        <v/>
      </c>
    </row>
    <row r="1263" customFormat="false" ht="15" hidden="false" customHeight="false" outlineLevel="0" collapsed="false">
      <c r="A1263" s="40" t="str">
        <f aca="false">IF(INDEX(BookTitle,1258)="","",INDEX(BookGroup,1258))</f>
        <v/>
      </c>
      <c r="B1263" s="40" t="str">
        <f aca="false">IF(INDEX(BookTitle,1258)="","",INDEX(BookRef,1258))</f>
        <v/>
      </c>
      <c r="C1263" s="40" t="str">
        <f aca="false">IF(INDEX(BookTitle,1258)="","",INDEX(BookDivision,1258))</f>
        <v/>
      </c>
      <c r="D1263" s="40" t="str">
        <f aca="false">IF(INDEX(BookTitle,1258)="","",INDEX(BookUnit,1258))</f>
        <v/>
      </c>
      <c r="E1263" s="40" t="str">
        <f aca="false">IF(INDEX(BookTitle,1258)="","",INDEX(BookTitle,1258))</f>
        <v/>
      </c>
      <c r="F1263" s="40" t="str">
        <f aca="false">IF(INDEX(BookTitle,1258)="","",INDEX(BookLevel,1258))</f>
        <v/>
      </c>
      <c r="G1263" s="40" t="str">
        <f aca="false">IF(INDEX(BookTitle,1258)="","",INDEX(BookCategory,1258))</f>
        <v/>
      </c>
      <c r="H1263" s="40" t="str">
        <f aca="false">IF(INDEX(BookTitle,1258)="","",INDEX(BookRank,1258))</f>
        <v/>
      </c>
      <c r="I1263" s="41" t="str">
        <f aca="false">IF(INDEX(BookTitle,1258)="","",INDEX(BookTotal,1258))</f>
        <v/>
      </c>
      <c r="J1263" s="0" t="str">
        <f aca="false">IF($I1263="","",IF(INDEX(BookQ1,1258)&gt;0,"Q1",IF(INDEX(BookQ2,1258)&gt;0,"Q2",IF(INDEX(BookQ3,1258)&gt;0,"Q3",IF(INDEX(BookQ4,1258)&gt;0,"Q4","")))))</f>
        <v/>
      </c>
      <c r="K1263" s="42" t="str">
        <f aca="false">IF(INDEX(BookTitle,1258)="","",INDEX(BookInYear,1258))</f>
        <v/>
      </c>
      <c r="L1263" s="19"/>
      <c r="M1263" s="39"/>
      <c r="N1263" s="19"/>
      <c r="O1263" s="19"/>
      <c r="P1263" s="43" t="str">
        <f aca="false">IF($E1263="","",IF($L1263="Decline",0,IF($L1263="Approve fewer",IF($M1263="","",$M1263),IF($L1263="","",$I1263))))</f>
        <v/>
      </c>
      <c r="Q1263" s="34" t="str">
        <f aca="false">IF($P1263="","",IF($N1263&lt;&gt;"",$N1263,$J1263))</f>
        <v/>
      </c>
      <c r="R1263" s="35" t="str">
        <f aca="false">IF(OR($P1263="",$Q1263=""),"",INDEX(BookRate,1258)*$P1263*(5-MATCH($Q1263,{"Q1";"Q2";"Q3";"Q4"},0))/4+INDEX(BookOneOff,1258)*$P1263)</f>
        <v/>
      </c>
      <c r="S1263" s="35" t="str">
        <f aca="false">IF($P1263="","",INDEX(BookRate,1258)*$P1263)</f>
        <v/>
      </c>
      <c r="T1263" s="35" t="str">
        <f aca="false">IF($R1263="","",$R1263-$K1263)</f>
        <v/>
      </c>
      <c r="U1263" s="35" t="str">
        <f aca="false">IF(N($P1263)&lt;=0,"",COUNTIF($P$6:$P1263,"&gt;0"))</f>
        <v/>
      </c>
    </row>
    <row r="1264" customFormat="false" ht="15" hidden="false" customHeight="false" outlineLevel="0" collapsed="false">
      <c r="A1264" s="40" t="str">
        <f aca="false">IF(INDEX(BookTitle,1259)="","",INDEX(BookGroup,1259))</f>
        <v/>
      </c>
      <c r="B1264" s="40" t="str">
        <f aca="false">IF(INDEX(BookTitle,1259)="","",INDEX(BookRef,1259))</f>
        <v/>
      </c>
      <c r="C1264" s="40" t="str">
        <f aca="false">IF(INDEX(BookTitle,1259)="","",INDEX(BookDivision,1259))</f>
        <v/>
      </c>
      <c r="D1264" s="40" t="str">
        <f aca="false">IF(INDEX(BookTitle,1259)="","",INDEX(BookUnit,1259))</f>
        <v/>
      </c>
      <c r="E1264" s="40" t="str">
        <f aca="false">IF(INDEX(BookTitle,1259)="","",INDEX(BookTitle,1259))</f>
        <v/>
      </c>
      <c r="F1264" s="40" t="str">
        <f aca="false">IF(INDEX(BookTitle,1259)="","",INDEX(BookLevel,1259))</f>
        <v/>
      </c>
      <c r="G1264" s="40" t="str">
        <f aca="false">IF(INDEX(BookTitle,1259)="","",INDEX(BookCategory,1259))</f>
        <v/>
      </c>
      <c r="H1264" s="40" t="str">
        <f aca="false">IF(INDEX(BookTitle,1259)="","",INDEX(BookRank,1259))</f>
        <v/>
      </c>
      <c r="I1264" s="41" t="str">
        <f aca="false">IF(INDEX(BookTitle,1259)="","",INDEX(BookTotal,1259))</f>
        <v/>
      </c>
      <c r="J1264" s="0" t="str">
        <f aca="false">IF($I1264="","",IF(INDEX(BookQ1,1259)&gt;0,"Q1",IF(INDEX(BookQ2,1259)&gt;0,"Q2",IF(INDEX(BookQ3,1259)&gt;0,"Q3",IF(INDEX(BookQ4,1259)&gt;0,"Q4","")))))</f>
        <v/>
      </c>
      <c r="K1264" s="42" t="str">
        <f aca="false">IF(INDEX(BookTitle,1259)="","",INDEX(BookInYear,1259))</f>
        <v/>
      </c>
      <c r="L1264" s="19"/>
      <c r="M1264" s="39"/>
      <c r="N1264" s="19"/>
      <c r="O1264" s="19"/>
      <c r="P1264" s="43" t="str">
        <f aca="false">IF($E1264="","",IF($L1264="Decline",0,IF($L1264="Approve fewer",IF($M1264="","",$M1264),IF($L1264="","",$I1264))))</f>
        <v/>
      </c>
      <c r="Q1264" s="34" t="str">
        <f aca="false">IF($P1264="","",IF($N1264&lt;&gt;"",$N1264,$J1264))</f>
        <v/>
      </c>
      <c r="R1264" s="35" t="str">
        <f aca="false">IF(OR($P1264="",$Q1264=""),"",INDEX(BookRate,1259)*$P1264*(5-MATCH($Q1264,{"Q1";"Q2";"Q3";"Q4"},0))/4+INDEX(BookOneOff,1259)*$P1264)</f>
        <v/>
      </c>
      <c r="S1264" s="35" t="str">
        <f aca="false">IF($P1264="","",INDEX(BookRate,1259)*$P1264)</f>
        <v/>
      </c>
      <c r="T1264" s="35" t="str">
        <f aca="false">IF($R1264="","",$R1264-$K1264)</f>
        <v/>
      </c>
      <c r="U1264" s="35" t="str">
        <f aca="false">IF(N($P1264)&lt;=0,"",COUNTIF($P$6:$P1264,"&gt;0"))</f>
        <v/>
      </c>
    </row>
    <row r="1265" customFormat="false" ht="15" hidden="false" customHeight="false" outlineLevel="0" collapsed="false">
      <c r="A1265" s="40" t="str">
        <f aca="false">IF(INDEX(BookTitle,1260)="","",INDEX(BookGroup,1260))</f>
        <v/>
      </c>
      <c r="B1265" s="40" t="str">
        <f aca="false">IF(INDEX(BookTitle,1260)="","",INDEX(BookRef,1260))</f>
        <v/>
      </c>
      <c r="C1265" s="40" t="str">
        <f aca="false">IF(INDEX(BookTitle,1260)="","",INDEX(BookDivision,1260))</f>
        <v/>
      </c>
      <c r="D1265" s="40" t="str">
        <f aca="false">IF(INDEX(BookTitle,1260)="","",INDEX(BookUnit,1260))</f>
        <v/>
      </c>
      <c r="E1265" s="40" t="str">
        <f aca="false">IF(INDEX(BookTitle,1260)="","",INDEX(BookTitle,1260))</f>
        <v/>
      </c>
      <c r="F1265" s="40" t="str">
        <f aca="false">IF(INDEX(BookTitle,1260)="","",INDEX(BookLevel,1260))</f>
        <v/>
      </c>
      <c r="G1265" s="40" t="str">
        <f aca="false">IF(INDEX(BookTitle,1260)="","",INDEX(BookCategory,1260))</f>
        <v/>
      </c>
      <c r="H1265" s="40" t="str">
        <f aca="false">IF(INDEX(BookTitle,1260)="","",INDEX(BookRank,1260))</f>
        <v/>
      </c>
      <c r="I1265" s="41" t="str">
        <f aca="false">IF(INDEX(BookTitle,1260)="","",INDEX(BookTotal,1260))</f>
        <v/>
      </c>
      <c r="J1265" s="0" t="str">
        <f aca="false">IF($I1265="","",IF(INDEX(BookQ1,1260)&gt;0,"Q1",IF(INDEX(BookQ2,1260)&gt;0,"Q2",IF(INDEX(BookQ3,1260)&gt;0,"Q3",IF(INDEX(BookQ4,1260)&gt;0,"Q4","")))))</f>
        <v/>
      </c>
      <c r="K1265" s="42" t="str">
        <f aca="false">IF(INDEX(BookTitle,1260)="","",INDEX(BookInYear,1260))</f>
        <v/>
      </c>
      <c r="L1265" s="19"/>
      <c r="M1265" s="39"/>
      <c r="N1265" s="19"/>
      <c r="O1265" s="19"/>
      <c r="P1265" s="43" t="str">
        <f aca="false">IF($E1265="","",IF($L1265="Decline",0,IF($L1265="Approve fewer",IF($M1265="","",$M1265),IF($L1265="","",$I1265))))</f>
        <v/>
      </c>
      <c r="Q1265" s="34" t="str">
        <f aca="false">IF($P1265="","",IF($N1265&lt;&gt;"",$N1265,$J1265))</f>
        <v/>
      </c>
      <c r="R1265" s="35" t="str">
        <f aca="false">IF(OR($P1265="",$Q1265=""),"",INDEX(BookRate,1260)*$P1265*(5-MATCH($Q1265,{"Q1";"Q2";"Q3";"Q4"},0))/4+INDEX(BookOneOff,1260)*$P1265)</f>
        <v/>
      </c>
      <c r="S1265" s="35" t="str">
        <f aca="false">IF($P1265="","",INDEX(BookRate,1260)*$P1265)</f>
        <v/>
      </c>
      <c r="T1265" s="35" t="str">
        <f aca="false">IF($R1265="","",$R1265-$K1265)</f>
        <v/>
      </c>
      <c r="U1265" s="35" t="str">
        <f aca="false">IF(N($P1265)&lt;=0,"",COUNTIF($P$6:$P1265,"&gt;0"))</f>
        <v/>
      </c>
    </row>
    <row r="1266" customFormat="false" ht="15" hidden="false" customHeight="false" outlineLevel="0" collapsed="false">
      <c r="A1266" s="40" t="str">
        <f aca="false">IF(INDEX(BookTitle,1261)="","",INDEX(BookGroup,1261))</f>
        <v/>
      </c>
      <c r="B1266" s="40" t="str">
        <f aca="false">IF(INDEX(BookTitle,1261)="","",INDEX(BookRef,1261))</f>
        <v/>
      </c>
      <c r="C1266" s="40" t="str">
        <f aca="false">IF(INDEX(BookTitle,1261)="","",INDEX(BookDivision,1261))</f>
        <v/>
      </c>
      <c r="D1266" s="40" t="str">
        <f aca="false">IF(INDEX(BookTitle,1261)="","",INDEX(BookUnit,1261))</f>
        <v/>
      </c>
      <c r="E1266" s="40" t="str">
        <f aca="false">IF(INDEX(BookTitle,1261)="","",INDEX(BookTitle,1261))</f>
        <v/>
      </c>
      <c r="F1266" s="40" t="str">
        <f aca="false">IF(INDEX(BookTitle,1261)="","",INDEX(BookLevel,1261))</f>
        <v/>
      </c>
      <c r="G1266" s="40" t="str">
        <f aca="false">IF(INDEX(BookTitle,1261)="","",INDEX(BookCategory,1261))</f>
        <v/>
      </c>
      <c r="H1266" s="40" t="str">
        <f aca="false">IF(INDEX(BookTitle,1261)="","",INDEX(BookRank,1261))</f>
        <v/>
      </c>
      <c r="I1266" s="41" t="str">
        <f aca="false">IF(INDEX(BookTitle,1261)="","",INDEX(BookTotal,1261))</f>
        <v/>
      </c>
      <c r="J1266" s="0" t="str">
        <f aca="false">IF($I1266="","",IF(INDEX(BookQ1,1261)&gt;0,"Q1",IF(INDEX(BookQ2,1261)&gt;0,"Q2",IF(INDEX(BookQ3,1261)&gt;0,"Q3",IF(INDEX(BookQ4,1261)&gt;0,"Q4","")))))</f>
        <v/>
      </c>
      <c r="K1266" s="42" t="str">
        <f aca="false">IF(INDEX(BookTitle,1261)="","",INDEX(BookInYear,1261))</f>
        <v/>
      </c>
      <c r="L1266" s="19"/>
      <c r="M1266" s="39"/>
      <c r="N1266" s="19"/>
      <c r="O1266" s="19"/>
      <c r="P1266" s="43" t="str">
        <f aca="false">IF($E1266="","",IF($L1266="Decline",0,IF($L1266="Approve fewer",IF($M1266="","",$M1266),IF($L1266="","",$I1266))))</f>
        <v/>
      </c>
      <c r="Q1266" s="34" t="str">
        <f aca="false">IF($P1266="","",IF($N1266&lt;&gt;"",$N1266,$J1266))</f>
        <v/>
      </c>
      <c r="R1266" s="35" t="str">
        <f aca="false">IF(OR($P1266="",$Q1266=""),"",INDEX(BookRate,1261)*$P1266*(5-MATCH($Q1266,{"Q1";"Q2";"Q3";"Q4"},0))/4+INDEX(BookOneOff,1261)*$P1266)</f>
        <v/>
      </c>
      <c r="S1266" s="35" t="str">
        <f aca="false">IF($P1266="","",INDEX(BookRate,1261)*$P1266)</f>
        <v/>
      </c>
      <c r="T1266" s="35" t="str">
        <f aca="false">IF($R1266="","",$R1266-$K1266)</f>
        <v/>
      </c>
      <c r="U1266" s="35" t="str">
        <f aca="false">IF(N($P1266)&lt;=0,"",COUNTIF($P$6:$P1266,"&gt;0"))</f>
        <v/>
      </c>
    </row>
    <row r="1267" customFormat="false" ht="15" hidden="false" customHeight="false" outlineLevel="0" collapsed="false">
      <c r="A1267" s="40" t="str">
        <f aca="false">IF(INDEX(BookTitle,1262)="","",INDEX(BookGroup,1262))</f>
        <v/>
      </c>
      <c r="B1267" s="40" t="str">
        <f aca="false">IF(INDEX(BookTitle,1262)="","",INDEX(BookRef,1262))</f>
        <v/>
      </c>
      <c r="C1267" s="40" t="str">
        <f aca="false">IF(INDEX(BookTitle,1262)="","",INDEX(BookDivision,1262))</f>
        <v/>
      </c>
      <c r="D1267" s="40" t="str">
        <f aca="false">IF(INDEX(BookTitle,1262)="","",INDEX(BookUnit,1262))</f>
        <v/>
      </c>
      <c r="E1267" s="40" t="str">
        <f aca="false">IF(INDEX(BookTitle,1262)="","",INDEX(BookTitle,1262))</f>
        <v/>
      </c>
      <c r="F1267" s="40" t="str">
        <f aca="false">IF(INDEX(BookTitle,1262)="","",INDEX(BookLevel,1262))</f>
        <v/>
      </c>
      <c r="G1267" s="40" t="str">
        <f aca="false">IF(INDEX(BookTitle,1262)="","",INDEX(BookCategory,1262))</f>
        <v/>
      </c>
      <c r="H1267" s="40" t="str">
        <f aca="false">IF(INDEX(BookTitle,1262)="","",INDEX(BookRank,1262))</f>
        <v/>
      </c>
      <c r="I1267" s="41" t="str">
        <f aca="false">IF(INDEX(BookTitle,1262)="","",INDEX(BookTotal,1262))</f>
        <v/>
      </c>
      <c r="J1267" s="0" t="str">
        <f aca="false">IF($I1267="","",IF(INDEX(BookQ1,1262)&gt;0,"Q1",IF(INDEX(BookQ2,1262)&gt;0,"Q2",IF(INDEX(BookQ3,1262)&gt;0,"Q3",IF(INDEX(BookQ4,1262)&gt;0,"Q4","")))))</f>
        <v/>
      </c>
      <c r="K1267" s="42" t="str">
        <f aca="false">IF(INDEX(BookTitle,1262)="","",INDEX(BookInYear,1262))</f>
        <v/>
      </c>
      <c r="L1267" s="19"/>
      <c r="M1267" s="39"/>
      <c r="N1267" s="19"/>
      <c r="O1267" s="19"/>
      <c r="P1267" s="43" t="str">
        <f aca="false">IF($E1267="","",IF($L1267="Decline",0,IF($L1267="Approve fewer",IF($M1267="","",$M1267),IF($L1267="","",$I1267))))</f>
        <v/>
      </c>
      <c r="Q1267" s="34" t="str">
        <f aca="false">IF($P1267="","",IF($N1267&lt;&gt;"",$N1267,$J1267))</f>
        <v/>
      </c>
      <c r="R1267" s="35" t="str">
        <f aca="false">IF(OR($P1267="",$Q1267=""),"",INDEX(BookRate,1262)*$P1267*(5-MATCH($Q1267,{"Q1";"Q2";"Q3";"Q4"},0))/4+INDEX(BookOneOff,1262)*$P1267)</f>
        <v/>
      </c>
      <c r="S1267" s="35" t="str">
        <f aca="false">IF($P1267="","",INDEX(BookRate,1262)*$P1267)</f>
        <v/>
      </c>
      <c r="T1267" s="35" t="str">
        <f aca="false">IF($R1267="","",$R1267-$K1267)</f>
        <v/>
      </c>
      <c r="U1267" s="35" t="str">
        <f aca="false">IF(N($P1267)&lt;=0,"",COUNTIF($P$6:$P1267,"&gt;0"))</f>
        <v/>
      </c>
    </row>
    <row r="1268" customFormat="false" ht="15" hidden="false" customHeight="false" outlineLevel="0" collapsed="false">
      <c r="A1268" s="40" t="str">
        <f aca="false">IF(INDEX(BookTitle,1263)="","",INDEX(BookGroup,1263))</f>
        <v/>
      </c>
      <c r="B1268" s="40" t="str">
        <f aca="false">IF(INDEX(BookTitle,1263)="","",INDEX(BookRef,1263))</f>
        <v/>
      </c>
      <c r="C1268" s="40" t="str">
        <f aca="false">IF(INDEX(BookTitle,1263)="","",INDEX(BookDivision,1263))</f>
        <v/>
      </c>
      <c r="D1268" s="40" t="str">
        <f aca="false">IF(INDEX(BookTitle,1263)="","",INDEX(BookUnit,1263))</f>
        <v/>
      </c>
      <c r="E1268" s="40" t="str">
        <f aca="false">IF(INDEX(BookTitle,1263)="","",INDEX(BookTitle,1263))</f>
        <v/>
      </c>
      <c r="F1268" s="40" t="str">
        <f aca="false">IF(INDEX(BookTitle,1263)="","",INDEX(BookLevel,1263))</f>
        <v/>
      </c>
      <c r="G1268" s="40" t="str">
        <f aca="false">IF(INDEX(BookTitle,1263)="","",INDEX(BookCategory,1263))</f>
        <v/>
      </c>
      <c r="H1268" s="40" t="str">
        <f aca="false">IF(INDEX(BookTitle,1263)="","",INDEX(BookRank,1263))</f>
        <v/>
      </c>
      <c r="I1268" s="41" t="str">
        <f aca="false">IF(INDEX(BookTitle,1263)="","",INDEX(BookTotal,1263))</f>
        <v/>
      </c>
      <c r="J1268" s="0" t="str">
        <f aca="false">IF($I1268="","",IF(INDEX(BookQ1,1263)&gt;0,"Q1",IF(INDEX(BookQ2,1263)&gt;0,"Q2",IF(INDEX(BookQ3,1263)&gt;0,"Q3",IF(INDEX(BookQ4,1263)&gt;0,"Q4","")))))</f>
        <v/>
      </c>
      <c r="K1268" s="42" t="str">
        <f aca="false">IF(INDEX(BookTitle,1263)="","",INDEX(BookInYear,1263))</f>
        <v/>
      </c>
      <c r="L1268" s="19"/>
      <c r="M1268" s="39"/>
      <c r="N1268" s="19"/>
      <c r="O1268" s="19"/>
      <c r="P1268" s="43" t="str">
        <f aca="false">IF($E1268="","",IF($L1268="Decline",0,IF($L1268="Approve fewer",IF($M1268="","",$M1268),IF($L1268="","",$I1268))))</f>
        <v/>
      </c>
      <c r="Q1268" s="34" t="str">
        <f aca="false">IF($P1268="","",IF($N1268&lt;&gt;"",$N1268,$J1268))</f>
        <v/>
      </c>
      <c r="R1268" s="35" t="str">
        <f aca="false">IF(OR($P1268="",$Q1268=""),"",INDEX(BookRate,1263)*$P1268*(5-MATCH($Q1268,{"Q1";"Q2";"Q3";"Q4"},0))/4+INDEX(BookOneOff,1263)*$P1268)</f>
        <v/>
      </c>
      <c r="S1268" s="35" t="str">
        <f aca="false">IF($P1268="","",INDEX(BookRate,1263)*$P1268)</f>
        <v/>
      </c>
      <c r="T1268" s="35" t="str">
        <f aca="false">IF($R1268="","",$R1268-$K1268)</f>
        <v/>
      </c>
      <c r="U1268" s="35" t="str">
        <f aca="false">IF(N($P1268)&lt;=0,"",COUNTIF($P$6:$P1268,"&gt;0"))</f>
        <v/>
      </c>
    </row>
    <row r="1269" customFormat="false" ht="15" hidden="false" customHeight="false" outlineLevel="0" collapsed="false">
      <c r="A1269" s="40" t="str">
        <f aca="false">IF(INDEX(BookTitle,1264)="","",INDEX(BookGroup,1264))</f>
        <v/>
      </c>
      <c r="B1269" s="40" t="str">
        <f aca="false">IF(INDEX(BookTitle,1264)="","",INDEX(BookRef,1264))</f>
        <v/>
      </c>
      <c r="C1269" s="40" t="str">
        <f aca="false">IF(INDEX(BookTitle,1264)="","",INDEX(BookDivision,1264))</f>
        <v/>
      </c>
      <c r="D1269" s="40" t="str">
        <f aca="false">IF(INDEX(BookTitle,1264)="","",INDEX(BookUnit,1264))</f>
        <v/>
      </c>
      <c r="E1269" s="40" t="str">
        <f aca="false">IF(INDEX(BookTitle,1264)="","",INDEX(BookTitle,1264))</f>
        <v/>
      </c>
      <c r="F1269" s="40" t="str">
        <f aca="false">IF(INDEX(BookTitle,1264)="","",INDEX(BookLevel,1264))</f>
        <v/>
      </c>
      <c r="G1269" s="40" t="str">
        <f aca="false">IF(INDEX(BookTitle,1264)="","",INDEX(BookCategory,1264))</f>
        <v/>
      </c>
      <c r="H1269" s="40" t="str">
        <f aca="false">IF(INDEX(BookTitle,1264)="","",INDEX(BookRank,1264))</f>
        <v/>
      </c>
      <c r="I1269" s="41" t="str">
        <f aca="false">IF(INDEX(BookTitle,1264)="","",INDEX(BookTotal,1264))</f>
        <v/>
      </c>
      <c r="J1269" s="0" t="str">
        <f aca="false">IF($I1269="","",IF(INDEX(BookQ1,1264)&gt;0,"Q1",IF(INDEX(BookQ2,1264)&gt;0,"Q2",IF(INDEX(BookQ3,1264)&gt;0,"Q3",IF(INDEX(BookQ4,1264)&gt;0,"Q4","")))))</f>
        <v/>
      </c>
      <c r="K1269" s="42" t="str">
        <f aca="false">IF(INDEX(BookTitle,1264)="","",INDEX(BookInYear,1264))</f>
        <v/>
      </c>
      <c r="L1269" s="19"/>
      <c r="M1269" s="39"/>
      <c r="N1269" s="19"/>
      <c r="O1269" s="19"/>
      <c r="P1269" s="43" t="str">
        <f aca="false">IF($E1269="","",IF($L1269="Decline",0,IF($L1269="Approve fewer",IF($M1269="","",$M1269),IF($L1269="","",$I1269))))</f>
        <v/>
      </c>
      <c r="Q1269" s="34" t="str">
        <f aca="false">IF($P1269="","",IF($N1269&lt;&gt;"",$N1269,$J1269))</f>
        <v/>
      </c>
      <c r="R1269" s="35" t="str">
        <f aca="false">IF(OR($P1269="",$Q1269=""),"",INDEX(BookRate,1264)*$P1269*(5-MATCH($Q1269,{"Q1";"Q2";"Q3";"Q4"},0))/4+INDEX(BookOneOff,1264)*$P1269)</f>
        <v/>
      </c>
      <c r="S1269" s="35" t="str">
        <f aca="false">IF($P1269="","",INDEX(BookRate,1264)*$P1269)</f>
        <v/>
      </c>
      <c r="T1269" s="35" t="str">
        <f aca="false">IF($R1269="","",$R1269-$K1269)</f>
        <v/>
      </c>
      <c r="U1269" s="35" t="str">
        <f aca="false">IF(N($P1269)&lt;=0,"",COUNTIF($P$6:$P1269,"&gt;0"))</f>
        <v/>
      </c>
    </row>
    <row r="1270" customFormat="false" ht="15" hidden="false" customHeight="false" outlineLevel="0" collapsed="false">
      <c r="A1270" s="40" t="str">
        <f aca="false">IF(INDEX(BookTitle,1265)="","",INDEX(BookGroup,1265))</f>
        <v/>
      </c>
      <c r="B1270" s="40" t="str">
        <f aca="false">IF(INDEX(BookTitle,1265)="","",INDEX(BookRef,1265))</f>
        <v/>
      </c>
      <c r="C1270" s="40" t="str">
        <f aca="false">IF(INDEX(BookTitle,1265)="","",INDEX(BookDivision,1265))</f>
        <v/>
      </c>
      <c r="D1270" s="40" t="str">
        <f aca="false">IF(INDEX(BookTitle,1265)="","",INDEX(BookUnit,1265))</f>
        <v/>
      </c>
      <c r="E1270" s="40" t="str">
        <f aca="false">IF(INDEX(BookTitle,1265)="","",INDEX(BookTitle,1265))</f>
        <v/>
      </c>
      <c r="F1270" s="40" t="str">
        <f aca="false">IF(INDEX(BookTitle,1265)="","",INDEX(BookLevel,1265))</f>
        <v/>
      </c>
      <c r="G1270" s="40" t="str">
        <f aca="false">IF(INDEX(BookTitle,1265)="","",INDEX(BookCategory,1265))</f>
        <v/>
      </c>
      <c r="H1270" s="40" t="str">
        <f aca="false">IF(INDEX(BookTitle,1265)="","",INDEX(BookRank,1265))</f>
        <v/>
      </c>
      <c r="I1270" s="41" t="str">
        <f aca="false">IF(INDEX(BookTitle,1265)="","",INDEX(BookTotal,1265))</f>
        <v/>
      </c>
      <c r="J1270" s="0" t="str">
        <f aca="false">IF($I1270="","",IF(INDEX(BookQ1,1265)&gt;0,"Q1",IF(INDEX(BookQ2,1265)&gt;0,"Q2",IF(INDEX(BookQ3,1265)&gt;0,"Q3",IF(INDEX(BookQ4,1265)&gt;0,"Q4","")))))</f>
        <v/>
      </c>
      <c r="K1270" s="42" t="str">
        <f aca="false">IF(INDEX(BookTitle,1265)="","",INDEX(BookInYear,1265))</f>
        <v/>
      </c>
      <c r="L1270" s="19"/>
      <c r="M1270" s="39"/>
      <c r="N1270" s="19"/>
      <c r="O1270" s="19"/>
      <c r="P1270" s="43" t="str">
        <f aca="false">IF($E1270="","",IF($L1270="Decline",0,IF($L1270="Approve fewer",IF($M1270="","",$M1270),IF($L1270="","",$I1270))))</f>
        <v/>
      </c>
      <c r="Q1270" s="34" t="str">
        <f aca="false">IF($P1270="","",IF($N1270&lt;&gt;"",$N1270,$J1270))</f>
        <v/>
      </c>
      <c r="R1270" s="35" t="str">
        <f aca="false">IF(OR($P1270="",$Q1270=""),"",INDEX(BookRate,1265)*$P1270*(5-MATCH($Q1270,{"Q1";"Q2";"Q3";"Q4"},0))/4+INDEX(BookOneOff,1265)*$P1270)</f>
        <v/>
      </c>
      <c r="S1270" s="35" t="str">
        <f aca="false">IF($P1270="","",INDEX(BookRate,1265)*$P1270)</f>
        <v/>
      </c>
      <c r="T1270" s="35" t="str">
        <f aca="false">IF($R1270="","",$R1270-$K1270)</f>
        <v/>
      </c>
      <c r="U1270" s="35" t="str">
        <f aca="false">IF(N($P1270)&lt;=0,"",COUNTIF($P$6:$P1270,"&gt;0"))</f>
        <v/>
      </c>
    </row>
    <row r="1271" customFormat="false" ht="15" hidden="false" customHeight="false" outlineLevel="0" collapsed="false">
      <c r="A1271" s="40" t="str">
        <f aca="false">IF(INDEX(BookTitle,1266)="","",INDEX(BookGroup,1266))</f>
        <v/>
      </c>
      <c r="B1271" s="40" t="str">
        <f aca="false">IF(INDEX(BookTitle,1266)="","",INDEX(BookRef,1266))</f>
        <v/>
      </c>
      <c r="C1271" s="40" t="str">
        <f aca="false">IF(INDEX(BookTitle,1266)="","",INDEX(BookDivision,1266))</f>
        <v/>
      </c>
      <c r="D1271" s="40" t="str">
        <f aca="false">IF(INDEX(BookTitle,1266)="","",INDEX(BookUnit,1266))</f>
        <v/>
      </c>
      <c r="E1271" s="40" t="str">
        <f aca="false">IF(INDEX(BookTitle,1266)="","",INDEX(BookTitle,1266))</f>
        <v/>
      </c>
      <c r="F1271" s="40" t="str">
        <f aca="false">IF(INDEX(BookTitle,1266)="","",INDEX(BookLevel,1266))</f>
        <v/>
      </c>
      <c r="G1271" s="40" t="str">
        <f aca="false">IF(INDEX(BookTitle,1266)="","",INDEX(BookCategory,1266))</f>
        <v/>
      </c>
      <c r="H1271" s="40" t="str">
        <f aca="false">IF(INDEX(BookTitle,1266)="","",INDEX(BookRank,1266))</f>
        <v/>
      </c>
      <c r="I1271" s="41" t="str">
        <f aca="false">IF(INDEX(BookTitle,1266)="","",INDEX(BookTotal,1266))</f>
        <v/>
      </c>
      <c r="J1271" s="0" t="str">
        <f aca="false">IF($I1271="","",IF(INDEX(BookQ1,1266)&gt;0,"Q1",IF(INDEX(BookQ2,1266)&gt;0,"Q2",IF(INDEX(BookQ3,1266)&gt;0,"Q3",IF(INDEX(BookQ4,1266)&gt;0,"Q4","")))))</f>
        <v/>
      </c>
      <c r="K1271" s="42" t="str">
        <f aca="false">IF(INDEX(BookTitle,1266)="","",INDEX(BookInYear,1266))</f>
        <v/>
      </c>
      <c r="L1271" s="19"/>
      <c r="M1271" s="39"/>
      <c r="N1271" s="19"/>
      <c r="O1271" s="19"/>
      <c r="P1271" s="43" t="str">
        <f aca="false">IF($E1271="","",IF($L1271="Decline",0,IF($L1271="Approve fewer",IF($M1271="","",$M1271),IF($L1271="","",$I1271))))</f>
        <v/>
      </c>
      <c r="Q1271" s="34" t="str">
        <f aca="false">IF($P1271="","",IF($N1271&lt;&gt;"",$N1271,$J1271))</f>
        <v/>
      </c>
      <c r="R1271" s="35" t="str">
        <f aca="false">IF(OR($P1271="",$Q1271=""),"",INDEX(BookRate,1266)*$P1271*(5-MATCH($Q1271,{"Q1";"Q2";"Q3";"Q4"},0))/4+INDEX(BookOneOff,1266)*$P1271)</f>
        <v/>
      </c>
      <c r="S1271" s="35" t="str">
        <f aca="false">IF($P1271="","",INDEX(BookRate,1266)*$P1271)</f>
        <v/>
      </c>
      <c r="T1271" s="35" t="str">
        <f aca="false">IF($R1271="","",$R1271-$K1271)</f>
        <v/>
      </c>
      <c r="U1271" s="35" t="str">
        <f aca="false">IF(N($P1271)&lt;=0,"",COUNTIF($P$6:$P1271,"&gt;0"))</f>
        <v/>
      </c>
    </row>
    <row r="1272" customFormat="false" ht="15" hidden="false" customHeight="false" outlineLevel="0" collapsed="false">
      <c r="A1272" s="40" t="str">
        <f aca="false">IF(INDEX(BookTitle,1267)="","",INDEX(BookGroup,1267))</f>
        <v/>
      </c>
      <c r="B1272" s="40" t="str">
        <f aca="false">IF(INDEX(BookTitle,1267)="","",INDEX(BookRef,1267))</f>
        <v/>
      </c>
      <c r="C1272" s="40" t="str">
        <f aca="false">IF(INDEX(BookTitle,1267)="","",INDEX(BookDivision,1267))</f>
        <v/>
      </c>
      <c r="D1272" s="40" t="str">
        <f aca="false">IF(INDEX(BookTitle,1267)="","",INDEX(BookUnit,1267))</f>
        <v/>
      </c>
      <c r="E1272" s="40" t="str">
        <f aca="false">IF(INDEX(BookTitle,1267)="","",INDEX(BookTitle,1267))</f>
        <v/>
      </c>
      <c r="F1272" s="40" t="str">
        <f aca="false">IF(INDEX(BookTitle,1267)="","",INDEX(BookLevel,1267))</f>
        <v/>
      </c>
      <c r="G1272" s="40" t="str">
        <f aca="false">IF(INDEX(BookTitle,1267)="","",INDEX(BookCategory,1267))</f>
        <v/>
      </c>
      <c r="H1272" s="40" t="str">
        <f aca="false">IF(INDEX(BookTitle,1267)="","",INDEX(BookRank,1267))</f>
        <v/>
      </c>
      <c r="I1272" s="41" t="str">
        <f aca="false">IF(INDEX(BookTitle,1267)="","",INDEX(BookTotal,1267))</f>
        <v/>
      </c>
      <c r="J1272" s="0" t="str">
        <f aca="false">IF($I1272="","",IF(INDEX(BookQ1,1267)&gt;0,"Q1",IF(INDEX(BookQ2,1267)&gt;0,"Q2",IF(INDEX(BookQ3,1267)&gt;0,"Q3",IF(INDEX(BookQ4,1267)&gt;0,"Q4","")))))</f>
        <v/>
      </c>
      <c r="K1272" s="42" t="str">
        <f aca="false">IF(INDEX(BookTitle,1267)="","",INDEX(BookInYear,1267))</f>
        <v/>
      </c>
      <c r="L1272" s="19"/>
      <c r="M1272" s="39"/>
      <c r="N1272" s="19"/>
      <c r="O1272" s="19"/>
      <c r="P1272" s="43" t="str">
        <f aca="false">IF($E1272="","",IF($L1272="Decline",0,IF($L1272="Approve fewer",IF($M1272="","",$M1272),IF($L1272="","",$I1272))))</f>
        <v/>
      </c>
      <c r="Q1272" s="34" t="str">
        <f aca="false">IF($P1272="","",IF($N1272&lt;&gt;"",$N1272,$J1272))</f>
        <v/>
      </c>
      <c r="R1272" s="35" t="str">
        <f aca="false">IF(OR($P1272="",$Q1272=""),"",INDEX(BookRate,1267)*$P1272*(5-MATCH($Q1272,{"Q1";"Q2";"Q3";"Q4"},0))/4+INDEX(BookOneOff,1267)*$P1272)</f>
        <v/>
      </c>
      <c r="S1272" s="35" t="str">
        <f aca="false">IF($P1272="","",INDEX(BookRate,1267)*$P1272)</f>
        <v/>
      </c>
      <c r="T1272" s="35" t="str">
        <f aca="false">IF($R1272="","",$R1272-$K1272)</f>
        <v/>
      </c>
      <c r="U1272" s="35" t="str">
        <f aca="false">IF(N($P1272)&lt;=0,"",COUNTIF($P$6:$P1272,"&gt;0"))</f>
        <v/>
      </c>
    </row>
    <row r="1273" customFormat="false" ht="15" hidden="false" customHeight="false" outlineLevel="0" collapsed="false">
      <c r="A1273" s="40" t="str">
        <f aca="false">IF(INDEX(BookTitle,1268)="","",INDEX(BookGroup,1268))</f>
        <v/>
      </c>
      <c r="B1273" s="40" t="str">
        <f aca="false">IF(INDEX(BookTitle,1268)="","",INDEX(BookRef,1268))</f>
        <v/>
      </c>
      <c r="C1273" s="40" t="str">
        <f aca="false">IF(INDEX(BookTitle,1268)="","",INDEX(BookDivision,1268))</f>
        <v/>
      </c>
      <c r="D1273" s="40" t="str">
        <f aca="false">IF(INDEX(BookTitle,1268)="","",INDEX(BookUnit,1268))</f>
        <v/>
      </c>
      <c r="E1273" s="40" t="str">
        <f aca="false">IF(INDEX(BookTitle,1268)="","",INDEX(BookTitle,1268))</f>
        <v/>
      </c>
      <c r="F1273" s="40" t="str">
        <f aca="false">IF(INDEX(BookTitle,1268)="","",INDEX(BookLevel,1268))</f>
        <v/>
      </c>
      <c r="G1273" s="40" t="str">
        <f aca="false">IF(INDEX(BookTitle,1268)="","",INDEX(BookCategory,1268))</f>
        <v/>
      </c>
      <c r="H1273" s="40" t="str">
        <f aca="false">IF(INDEX(BookTitle,1268)="","",INDEX(BookRank,1268))</f>
        <v/>
      </c>
      <c r="I1273" s="41" t="str">
        <f aca="false">IF(INDEX(BookTitle,1268)="","",INDEX(BookTotal,1268))</f>
        <v/>
      </c>
      <c r="J1273" s="0" t="str">
        <f aca="false">IF($I1273="","",IF(INDEX(BookQ1,1268)&gt;0,"Q1",IF(INDEX(BookQ2,1268)&gt;0,"Q2",IF(INDEX(BookQ3,1268)&gt;0,"Q3",IF(INDEX(BookQ4,1268)&gt;0,"Q4","")))))</f>
        <v/>
      </c>
      <c r="K1273" s="42" t="str">
        <f aca="false">IF(INDEX(BookTitle,1268)="","",INDEX(BookInYear,1268))</f>
        <v/>
      </c>
      <c r="L1273" s="19"/>
      <c r="M1273" s="39"/>
      <c r="N1273" s="19"/>
      <c r="O1273" s="19"/>
      <c r="P1273" s="43" t="str">
        <f aca="false">IF($E1273="","",IF($L1273="Decline",0,IF($L1273="Approve fewer",IF($M1273="","",$M1273),IF($L1273="","",$I1273))))</f>
        <v/>
      </c>
      <c r="Q1273" s="34" t="str">
        <f aca="false">IF($P1273="","",IF($N1273&lt;&gt;"",$N1273,$J1273))</f>
        <v/>
      </c>
      <c r="R1273" s="35" t="str">
        <f aca="false">IF(OR($P1273="",$Q1273=""),"",INDEX(BookRate,1268)*$P1273*(5-MATCH($Q1273,{"Q1";"Q2";"Q3";"Q4"},0))/4+INDEX(BookOneOff,1268)*$P1273)</f>
        <v/>
      </c>
      <c r="S1273" s="35" t="str">
        <f aca="false">IF($P1273="","",INDEX(BookRate,1268)*$P1273)</f>
        <v/>
      </c>
      <c r="T1273" s="35" t="str">
        <f aca="false">IF($R1273="","",$R1273-$K1273)</f>
        <v/>
      </c>
      <c r="U1273" s="35" t="str">
        <f aca="false">IF(N($P1273)&lt;=0,"",COUNTIF($P$6:$P1273,"&gt;0"))</f>
        <v/>
      </c>
    </row>
    <row r="1274" customFormat="false" ht="15" hidden="false" customHeight="false" outlineLevel="0" collapsed="false">
      <c r="A1274" s="40" t="str">
        <f aca="false">IF(INDEX(BookTitle,1269)="","",INDEX(BookGroup,1269))</f>
        <v/>
      </c>
      <c r="B1274" s="40" t="str">
        <f aca="false">IF(INDEX(BookTitle,1269)="","",INDEX(BookRef,1269))</f>
        <v/>
      </c>
      <c r="C1274" s="40" t="str">
        <f aca="false">IF(INDEX(BookTitle,1269)="","",INDEX(BookDivision,1269))</f>
        <v/>
      </c>
      <c r="D1274" s="40" t="str">
        <f aca="false">IF(INDEX(BookTitle,1269)="","",INDEX(BookUnit,1269))</f>
        <v/>
      </c>
      <c r="E1274" s="40" t="str">
        <f aca="false">IF(INDEX(BookTitle,1269)="","",INDEX(BookTitle,1269))</f>
        <v/>
      </c>
      <c r="F1274" s="40" t="str">
        <f aca="false">IF(INDEX(BookTitle,1269)="","",INDEX(BookLevel,1269))</f>
        <v/>
      </c>
      <c r="G1274" s="40" t="str">
        <f aca="false">IF(INDEX(BookTitle,1269)="","",INDEX(BookCategory,1269))</f>
        <v/>
      </c>
      <c r="H1274" s="40" t="str">
        <f aca="false">IF(INDEX(BookTitle,1269)="","",INDEX(BookRank,1269))</f>
        <v/>
      </c>
      <c r="I1274" s="41" t="str">
        <f aca="false">IF(INDEX(BookTitle,1269)="","",INDEX(BookTotal,1269))</f>
        <v/>
      </c>
      <c r="J1274" s="0" t="str">
        <f aca="false">IF($I1274="","",IF(INDEX(BookQ1,1269)&gt;0,"Q1",IF(INDEX(BookQ2,1269)&gt;0,"Q2",IF(INDEX(BookQ3,1269)&gt;0,"Q3",IF(INDEX(BookQ4,1269)&gt;0,"Q4","")))))</f>
        <v/>
      </c>
      <c r="K1274" s="42" t="str">
        <f aca="false">IF(INDEX(BookTitle,1269)="","",INDEX(BookInYear,1269))</f>
        <v/>
      </c>
      <c r="L1274" s="19"/>
      <c r="M1274" s="39"/>
      <c r="N1274" s="19"/>
      <c r="O1274" s="19"/>
      <c r="P1274" s="43" t="str">
        <f aca="false">IF($E1274="","",IF($L1274="Decline",0,IF($L1274="Approve fewer",IF($M1274="","",$M1274),IF($L1274="","",$I1274))))</f>
        <v/>
      </c>
      <c r="Q1274" s="34" t="str">
        <f aca="false">IF($P1274="","",IF($N1274&lt;&gt;"",$N1274,$J1274))</f>
        <v/>
      </c>
      <c r="R1274" s="35" t="str">
        <f aca="false">IF(OR($P1274="",$Q1274=""),"",INDEX(BookRate,1269)*$P1274*(5-MATCH($Q1274,{"Q1";"Q2";"Q3";"Q4"},0))/4+INDEX(BookOneOff,1269)*$P1274)</f>
        <v/>
      </c>
      <c r="S1274" s="35" t="str">
        <f aca="false">IF($P1274="","",INDEX(BookRate,1269)*$P1274)</f>
        <v/>
      </c>
      <c r="T1274" s="35" t="str">
        <f aca="false">IF($R1274="","",$R1274-$K1274)</f>
        <v/>
      </c>
      <c r="U1274" s="35" t="str">
        <f aca="false">IF(N($P1274)&lt;=0,"",COUNTIF($P$6:$P1274,"&gt;0"))</f>
        <v/>
      </c>
    </row>
    <row r="1275" customFormat="false" ht="15" hidden="false" customHeight="false" outlineLevel="0" collapsed="false">
      <c r="A1275" s="40" t="str">
        <f aca="false">IF(INDEX(BookTitle,1270)="","",INDEX(BookGroup,1270))</f>
        <v/>
      </c>
      <c r="B1275" s="40" t="str">
        <f aca="false">IF(INDEX(BookTitle,1270)="","",INDEX(BookRef,1270))</f>
        <v/>
      </c>
      <c r="C1275" s="40" t="str">
        <f aca="false">IF(INDEX(BookTitle,1270)="","",INDEX(BookDivision,1270))</f>
        <v/>
      </c>
      <c r="D1275" s="40" t="str">
        <f aca="false">IF(INDEX(BookTitle,1270)="","",INDEX(BookUnit,1270))</f>
        <v/>
      </c>
      <c r="E1275" s="40" t="str">
        <f aca="false">IF(INDEX(BookTitle,1270)="","",INDEX(BookTitle,1270))</f>
        <v/>
      </c>
      <c r="F1275" s="40" t="str">
        <f aca="false">IF(INDEX(BookTitle,1270)="","",INDEX(BookLevel,1270))</f>
        <v/>
      </c>
      <c r="G1275" s="40" t="str">
        <f aca="false">IF(INDEX(BookTitle,1270)="","",INDEX(BookCategory,1270))</f>
        <v/>
      </c>
      <c r="H1275" s="40" t="str">
        <f aca="false">IF(INDEX(BookTitle,1270)="","",INDEX(BookRank,1270))</f>
        <v/>
      </c>
      <c r="I1275" s="41" t="str">
        <f aca="false">IF(INDEX(BookTitle,1270)="","",INDEX(BookTotal,1270))</f>
        <v/>
      </c>
      <c r="J1275" s="0" t="str">
        <f aca="false">IF($I1275="","",IF(INDEX(BookQ1,1270)&gt;0,"Q1",IF(INDEX(BookQ2,1270)&gt;0,"Q2",IF(INDEX(BookQ3,1270)&gt;0,"Q3",IF(INDEX(BookQ4,1270)&gt;0,"Q4","")))))</f>
        <v/>
      </c>
      <c r="K1275" s="42" t="str">
        <f aca="false">IF(INDEX(BookTitle,1270)="","",INDEX(BookInYear,1270))</f>
        <v/>
      </c>
      <c r="L1275" s="19"/>
      <c r="M1275" s="39"/>
      <c r="N1275" s="19"/>
      <c r="O1275" s="19"/>
      <c r="P1275" s="43" t="str">
        <f aca="false">IF($E1275="","",IF($L1275="Decline",0,IF($L1275="Approve fewer",IF($M1275="","",$M1275),IF($L1275="","",$I1275))))</f>
        <v/>
      </c>
      <c r="Q1275" s="34" t="str">
        <f aca="false">IF($P1275="","",IF($N1275&lt;&gt;"",$N1275,$J1275))</f>
        <v/>
      </c>
      <c r="R1275" s="35" t="str">
        <f aca="false">IF(OR($P1275="",$Q1275=""),"",INDEX(BookRate,1270)*$P1275*(5-MATCH($Q1275,{"Q1";"Q2";"Q3";"Q4"},0))/4+INDEX(BookOneOff,1270)*$P1275)</f>
        <v/>
      </c>
      <c r="S1275" s="35" t="str">
        <f aca="false">IF($P1275="","",INDEX(BookRate,1270)*$P1275)</f>
        <v/>
      </c>
      <c r="T1275" s="35" t="str">
        <f aca="false">IF($R1275="","",$R1275-$K1275)</f>
        <v/>
      </c>
      <c r="U1275" s="35" t="str">
        <f aca="false">IF(N($P1275)&lt;=0,"",COUNTIF($P$6:$P1275,"&gt;0"))</f>
        <v/>
      </c>
    </row>
    <row r="1276" customFormat="false" ht="15" hidden="false" customHeight="false" outlineLevel="0" collapsed="false">
      <c r="A1276" s="40" t="str">
        <f aca="false">IF(INDEX(BookTitle,1271)="","",INDEX(BookGroup,1271))</f>
        <v/>
      </c>
      <c r="B1276" s="40" t="str">
        <f aca="false">IF(INDEX(BookTitle,1271)="","",INDEX(BookRef,1271))</f>
        <v/>
      </c>
      <c r="C1276" s="40" t="str">
        <f aca="false">IF(INDEX(BookTitle,1271)="","",INDEX(BookDivision,1271))</f>
        <v/>
      </c>
      <c r="D1276" s="40" t="str">
        <f aca="false">IF(INDEX(BookTitle,1271)="","",INDEX(BookUnit,1271))</f>
        <v/>
      </c>
      <c r="E1276" s="40" t="str">
        <f aca="false">IF(INDEX(BookTitle,1271)="","",INDEX(BookTitle,1271))</f>
        <v/>
      </c>
      <c r="F1276" s="40" t="str">
        <f aca="false">IF(INDEX(BookTitle,1271)="","",INDEX(BookLevel,1271))</f>
        <v/>
      </c>
      <c r="G1276" s="40" t="str">
        <f aca="false">IF(INDEX(BookTitle,1271)="","",INDEX(BookCategory,1271))</f>
        <v/>
      </c>
      <c r="H1276" s="40" t="str">
        <f aca="false">IF(INDEX(BookTitle,1271)="","",INDEX(BookRank,1271))</f>
        <v/>
      </c>
      <c r="I1276" s="41" t="str">
        <f aca="false">IF(INDEX(BookTitle,1271)="","",INDEX(BookTotal,1271))</f>
        <v/>
      </c>
      <c r="J1276" s="0" t="str">
        <f aca="false">IF($I1276="","",IF(INDEX(BookQ1,1271)&gt;0,"Q1",IF(INDEX(BookQ2,1271)&gt;0,"Q2",IF(INDEX(BookQ3,1271)&gt;0,"Q3",IF(INDEX(BookQ4,1271)&gt;0,"Q4","")))))</f>
        <v/>
      </c>
      <c r="K1276" s="42" t="str">
        <f aca="false">IF(INDEX(BookTitle,1271)="","",INDEX(BookInYear,1271))</f>
        <v/>
      </c>
      <c r="L1276" s="19"/>
      <c r="M1276" s="39"/>
      <c r="N1276" s="19"/>
      <c r="O1276" s="19"/>
      <c r="P1276" s="43" t="str">
        <f aca="false">IF($E1276="","",IF($L1276="Decline",0,IF($L1276="Approve fewer",IF($M1276="","",$M1276),IF($L1276="","",$I1276))))</f>
        <v/>
      </c>
      <c r="Q1276" s="34" t="str">
        <f aca="false">IF($P1276="","",IF($N1276&lt;&gt;"",$N1276,$J1276))</f>
        <v/>
      </c>
      <c r="R1276" s="35" t="str">
        <f aca="false">IF(OR($P1276="",$Q1276=""),"",INDEX(BookRate,1271)*$P1276*(5-MATCH($Q1276,{"Q1";"Q2";"Q3";"Q4"},0))/4+INDEX(BookOneOff,1271)*$P1276)</f>
        <v/>
      </c>
      <c r="S1276" s="35" t="str">
        <f aca="false">IF($P1276="","",INDEX(BookRate,1271)*$P1276)</f>
        <v/>
      </c>
      <c r="T1276" s="35" t="str">
        <f aca="false">IF($R1276="","",$R1276-$K1276)</f>
        <v/>
      </c>
      <c r="U1276" s="35" t="str">
        <f aca="false">IF(N($P1276)&lt;=0,"",COUNTIF($P$6:$P1276,"&gt;0"))</f>
        <v/>
      </c>
    </row>
    <row r="1277" customFormat="false" ht="15" hidden="false" customHeight="false" outlineLevel="0" collapsed="false">
      <c r="A1277" s="40" t="str">
        <f aca="false">IF(INDEX(BookTitle,1272)="","",INDEX(BookGroup,1272))</f>
        <v/>
      </c>
      <c r="B1277" s="40" t="str">
        <f aca="false">IF(INDEX(BookTitle,1272)="","",INDEX(BookRef,1272))</f>
        <v/>
      </c>
      <c r="C1277" s="40" t="str">
        <f aca="false">IF(INDEX(BookTitle,1272)="","",INDEX(BookDivision,1272))</f>
        <v/>
      </c>
      <c r="D1277" s="40" t="str">
        <f aca="false">IF(INDEX(BookTitle,1272)="","",INDEX(BookUnit,1272))</f>
        <v/>
      </c>
      <c r="E1277" s="40" t="str">
        <f aca="false">IF(INDEX(BookTitle,1272)="","",INDEX(BookTitle,1272))</f>
        <v/>
      </c>
      <c r="F1277" s="40" t="str">
        <f aca="false">IF(INDEX(BookTitle,1272)="","",INDEX(BookLevel,1272))</f>
        <v/>
      </c>
      <c r="G1277" s="40" t="str">
        <f aca="false">IF(INDEX(BookTitle,1272)="","",INDEX(BookCategory,1272))</f>
        <v/>
      </c>
      <c r="H1277" s="40" t="str">
        <f aca="false">IF(INDEX(BookTitle,1272)="","",INDEX(BookRank,1272))</f>
        <v/>
      </c>
      <c r="I1277" s="41" t="str">
        <f aca="false">IF(INDEX(BookTitle,1272)="","",INDEX(BookTotal,1272))</f>
        <v/>
      </c>
      <c r="J1277" s="0" t="str">
        <f aca="false">IF($I1277="","",IF(INDEX(BookQ1,1272)&gt;0,"Q1",IF(INDEX(BookQ2,1272)&gt;0,"Q2",IF(INDEX(BookQ3,1272)&gt;0,"Q3",IF(INDEX(BookQ4,1272)&gt;0,"Q4","")))))</f>
        <v/>
      </c>
      <c r="K1277" s="42" t="str">
        <f aca="false">IF(INDEX(BookTitle,1272)="","",INDEX(BookInYear,1272))</f>
        <v/>
      </c>
      <c r="L1277" s="19"/>
      <c r="M1277" s="39"/>
      <c r="N1277" s="19"/>
      <c r="O1277" s="19"/>
      <c r="P1277" s="43" t="str">
        <f aca="false">IF($E1277="","",IF($L1277="Decline",0,IF($L1277="Approve fewer",IF($M1277="","",$M1277),IF($L1277="","",$I1277))))</f>
        <v/>
      </c>
      <c r="Q1277" s="34" t="str">
        <f aca="false">IF($P1277="","",IF($N1277&lt;&gt;"",$N1277,$J1277))</f>
        <v/>
      </c>
      <c r="R1277" s="35" t="str">
        <f aca="false">IF(OR($P1277="",$Q1277=""),"",INDEX(BookRate,1272)*$P1277*(5-MATCH($Q1277,{"Q1";"Q2";"Q3";"Q4"},0))/4+INDEX(BookOneOff,1272)*$P1277)</f>
        <v/>
      </c>
      <c r="S1277" s="35" t="str">
        <f aca="false">IF($P1277="","",INDEX(BookRate,1272)*$P1277)</f>
        <v/>
      </c>
      <c r="T1277" s="35" t="str">
        <f aca="false">IF($R1277="","",$R1277-$K1277)</f>
        <v/>
      </c>
      <c r="U1277" s="35" t="str">
        <f aca="false">IF(N($P1277)&lt;=0,"",COUNTIF($P$6:$P1277,"&gt;0"))</f>
        <v/>
      </c>
    </row>
    <row r="1278" customFormat="false" ht="15" hidden="false" customHeight="false" outlineLevel="0" collapsed="false">
      <c r="A1278" s="40" t="str">
        <f aca="false">IF(INDEX(BookTitle,1273)="","",INDEX(BookGroup,1273))</f>
        <v/>
      </c>
      <c r="B1278" s="40" t="str">
        <f aca="false">IF(INDEX(BookTitle,1273)="","",INDEX(BookRef,1273))</f>
        <v/>
      </c>
      <c r="C1278" s="40" t="str">
        <f aca="false">IF(INDEX(BookTitle,1273)="","",INDEX(BookDivision,1273))</f>
        <v/>
      </c>
      <c r="D1278" s="40" t="str">
        <f aca="false">IF(INDEX(BookTitle,1273)="","",INDEX(BookUnit,1273))</f>
        <v/>
      </c>
      <c r="E1278" s="40" t="str">
        <f aca="false">IF(INDEX(BookTitle,1273)="","",INDEX(BookTitle,1273))</f>
        <v/>
      </c>
      <c r="F1278" s="40" t="str">
        <f aca="false">IF(INDEX(BookTitle,1273)="","",INDEX(BookLevel,1273))</f>
        <v/>
      </c>
      <c r="G1278" s="40" t="str">
        <f aca="false">IF(INDEX(BookTitle,1273)="","",INDEX(BookCategory,1273))</f>
        <v/>
      </c>
      <c r="H1278" s="40" t="str">
        <f aca="false">IF(INDEX(BookTitle,1273)="","",INDEX(BookRank,1273))</f>
        <v/>
      </c>
      <c r="I1278" s="41" t="str">
        <f aca="false">IF(INDEX(BookTitle,1273)="","",INDEX(BookTotal,1273))</f>
        <v/>
      </c>
      <c r="J1278" s="0" t="str">
        <f aca="false">IF($I1278="","",IF(INDEX(BookQ1,1273)&gt;0,"Q1",IF(INDEX(BookQ2,1273)&gt;0,"Q2",IF(INDEX(BookQ3,1273)&gt;0,"Q3",IF(INDEX(BookQ4,1273)&gt;0,"Q4","")))))</f>
        <v/>
      </c>
      <c r="K1278" s="42" t="str">
        <f aca="false">IF(INDEX(BookTitle,1273)="","",INDEX(BookInYear,1273))</f>
        <v/>
      </c>
      <c r="L1278" s="19"/>
      <c r="M1278" s="39"/>
      <c r="N1278" s="19"/>
      <c r="O1278" s="19"/>
      <c r="P1278" s="43" t="str">
        <f aca="false">IF($E1278="","",IF($L1278="Decline",0,IF($L1278="Approve fewer",IF($M1278="","",$M1278),IF($L1278="","",$I1278))))</f>
        <v/>
      </c>
      <c r="Q1278" s="34" t="str">
        <f aca="false">IF($P1278="","",IF($N1278&lt;&gt;"",$N1278,$J1278))</f>
        <v/>
      </c>
      <c r="R1278" s="35" t="str">
        <f aca="false">IF(OR($P1278="",$Q1278=""),"",INDEX(BookRate,1273)*$P1278*(5-MATCH($Q1278,{"Q1";"Q2";"Q3";"Q4"},0))/4+INDEX(BookOneOff,1273)*$P1278)</f>
        <v/>
      </c>
      <c r="S1278" s="35" t="str">
        <f aca="false">IF($P1278="","",INDEX(BookRate,1273)*$P1278)</f>
        <v/>
      </c>
      <c r="T1278" s="35" t="str">
        <f aca="false">IF($R1278="","",$R1278-$K1278)</f>
        <v/>
      </c>
      <c r="U1278" s="35" t="str">
        <f aca="false">IF(N($P1278)&lt;=0,"",COUNTIF($P$6:$P1278,"&gt;0"))</f>
        <v/>
      </c>
    </row>
    <row r="1279" customFormat="false" ht="15" hidden="false" customHeight="false" outlineLevel="0" collapsed="false">
      <c r="A1279" s="40" t="str">
        <f aca="false">IF(INDEX(BookTitle,1274)="","",INDEX(BookGroup,1274))</f>
        <v/>
      </c>
      <c r="B1279" s="40" t="str">
        <f aca="false">IF(INDEX(BookTitle,1274)="","",INDEX(BookRef,1274))</f>
        <v/>
      </c>
      <c r="C1279" s="40" t="str">
        <f aca="false">IF(INDEX(BookTitle,1274)="","",INDEX(BookDivision,1274))</f>
        <v/>
      </c>
      <c r="D1279" s="40" t="str">
        <f aca="false">IF(INDEX(BookTitle,1274)="","",INDEX(BookUnit,1274))</f>
        <v/>
      </c>
      <c r="E1279" s="40" t="str">
        <f aca="false">IF(INDEX(BookTitle,1274)="","",INDEX(BookTitle,1274))</f>
        <v/>
      </c>
      <c r="F1279" s="40" t="str">
        <f aca="false">IF(INDEX(BookTitle,1274)="","",INDEX(BookLevel,1274))</f>
        <v/>
      </c>
      <c r="G1279" s="40" t="str">
        <f aca="false">IF(INDEX(BookTitle,1274)="","",INDEX(BookCategory,1274))</f>
        <v/>
      </c>
      <c r="H1279" s="40" t="str">
        <f aca="false">IF(INDEX(BookTitle,1274)="","",INDEX(BookRank,1274))</f>
        <v/>
      </c>
      <c r="I1279" s="41" t="str">
        <f aca="false">IF(INDEX(BookTitle,1274)="","",INDEX(BookTotal,1274))</f>
        <v/>
      </c>
      <c r="J1279" s="0" t="str">
        <f aca="false">IF($I1279="","",IF(INDEX(BookQ1,1274)&gt;0,"Q1",IF(INDEX(BookQ2,1274)&gt;0,"Q2",IF(INDEX(BookQ3,1274)&gt;0,"Q3",IF(INDEX(BookQ4,1274)&gt;0,"Q4","")))))</f>
        <v/>
      </c>
      <c r="K1279" s="42" t="str">
        <f aca="false">IF(INDEX(BookTitle,1274)="","",INDEX(BookInYear,1274))</f>
        <v/>
      </c>
      <c r="L1279" s="19"/>
      <c r="M1279" s="39"/>
      <c r="N1279" s="19"/>
      <c r="O1279" s="19"/>
      <c r="P1279" s="43" t="str">
        <f aca="false">IF($E1279="","",IF($L1279="Decline",0,IF($L1279="Approve fewer",IF($M1279="","",$M1279),IF($L1279="","",$I1279))))</f>
        <v/>
      </c>
      <c r="Q1279" s="34" t="str">
        <f aca="false">IF($P1279="","",IF($N1279&lt;&gt;"",$N1279,$J1279))</f>
        <v/>
      </c>
      <c r="R1279" s="35" t="str">
        <f aca="false">IF(OR($P1279="",$Q1279=""),"",INDEX(BookRate,1274)*$P1279*(5-MATCH($Q1279,{"Q1";"Q2";"Q3";"Q4"},0))/4+INDEX(BookOneOff,1274)*$P1279)</f>
        <v/>
      </c>
      <c r="S1279" s="35" t="str">
        <f aca="false">IF($P1279="","",INDEX(BookRate,1274)*$P1279)</f>
        <v/>
      </c>
      <c r="T1279" s="35" t="str">
        <f aca="false">IF($R1279="","",$R1279-$K1279)</f>
        <v/>
      </c>
      <c r="U1279" s="35" t="str">
        <f aca="false">IF(N($P1279)&lt;=0,"",COUNTIF($P$6:$P1279,"&gt;0"))</f>
        <v/>
      </c>
    </row>
    <row r="1280" customFormat="false" ht="15" hidden="false" customHeight="false" outlineLevel="0" collapsed="false">
      <c r="A1280" s="40" t="str">
        <f aca="false">IF(INDEX(BookTitle,1275)="","",INDEX(BookGroup,1275))</f>
        <v/>
      </c>
      <c r="B1280" s="40" t="str">
        <f aca="false">IF(INDEX(BookTitle,1275)="","",INDEX(BookRef,1275))</f>
        <v/>
      </c>
      <c r="C1280" s="40" t="str">
        <f aca="false">IF(INDEX(BookTitle,1275)="","",INDEX(BookDivision,1275))</f>
        <v/>
      </c>
      <c r="D1280" s="40" t="str">
        <f aca="false">IF(INDEX(BookTitle,1275)="","",INDEX(BookUnit,1275))</f>
        <v/>
      </c>
      <c r="E1280" s="40" t="str">
        <f aca="false">IF(INDEX(BookTitle,1275)="","",INDEX(BookTitle,1275))</f>
        <v/>
      </c>
      <c r="F1280" s="40" t="str">
        <f aca="false">IF(INDEX(BookTitle,1275)="","",INDEX(BookLevel,1275))</f>
        <v/>
      </c>
      <c r="G1280" s="40" t="str">
        <f aca="false">IF(INDEX(BookTitle,1275)="","",INDEX(BookCategory,1275))</f>
        <v/>
      </c>
      <c r="H1280" s="40" t="str">
        <f aca="false">IF(INDEX(BookTitle,1275)="","",INDEX(BookRank,1275))</f>
        <v/>
      </c>
      <c r="I1280" s="41" t="str">
        <f aca="false">IF(INDEX(BookTitle,1275)="","",INDEX(BookTotal,1275))</f>
        <v/>
      </c>
      <c r="J1280" s="0" t="str">
        <f aca="false">IF($I1280="","",IF(INDEX(BookQ1,1275)&gt;0,"Q1",IF(INDEX(BookQ2,1275)&gt;0,"Q2",IF(INDEX(BookQ3,1275)&gt;0,"Q3",IF(INDEX(BookQ4,1275)&gt;0,"Q4","")))))</f>
        <v/>
      </c>
      <c r="K1280" s="42" t="str">
        <f aca="false">IF(INDEX(BookTitle,1275)="","",INDEX(BookInYear,1275))</f>
        <v/>
      </c>
      <c r="L1280" s="19"/>
      <c r="M1280" s="39"/>
      <c r="N1280" s="19"/>
      <c r="O1280" s="19"/>
      <c r="P1280" s="43" t="str">
        <f aca="false">IF($E1280="","",IF($L1280="Decline",0,IF($L1280="Approve fewer",IF($M1280="","",$M1280),IF($L1280="","",$I1280))))</f>
        <v/>
      </c>
      <c r="Q1280" s="34" t="str">
        <f aca="false">IF($P1280="","",IF($N1280&lt;&gt;"",$N1280,$J1280))</f>
        <v/>
      </c>
      <c r="R1280" s="35" t="str">
        <f aca="false">IF(OR($P1280="",$Q1280=""),"",INDEX(BookRate,1275)*$P1280*(5-MATCH($Q1280,{"Q1";"Q2";"Q3";"Q4"},0))/4+INDEX(BookOneOff,1275)*$P1280)</f>
        <v/>
      </c>
      <c r="S1280" s="35" t="str">
        <f aca="false">IF($P1280="","",INDEX(BookRate,1275)*$P1280)</f>
        <v/>
      </c>
      <c r="T1280" s="35" t="str">
        <f aca="false">IF($R1280="","",$R1280-$K1280)</f>
        <v/>
      </c>
      <c r="U1280" s="35" t="str">
        <f aca="false">IF(N($P1280)&lt;=0,"",COUNTIF($P$6:$P1280,"&gt;0"))</f>
        <v/>
      </c>
    </row>
    <row r="1281" customFormat="false" ht="15" hidden="false" customHeight="false" outlineLevel="0" collapsed="false">
      <c r="A1281" s="40" t="str">
        <f aca="false">IF(INDEX(BookTitle,1276)="","",INDEX(BookGroup,1276))</f>
        <v/>
      </c>
      <c r="B1281" s="40" t="str">
        <f aca="false">IF(INDEX(BookTitle,1276)="","",INDEX(BookRef,1276))</f>
        <v/>
      </c>
      <c r="C1281" s="40" t="str">
        <f aca="false">IF(INDEX(BookTitle,1276)="","",INDEX(BookDivision,1276))</f>
        <v/>
      </c>
      <c r="D1281" s="40" t="str">
        <f aca="false">IF(INDEX(BookTitle,1276)="","",INDEX(BookUnit,1276))</f>
        <v/>
      </c>
      <c r="E1281" s="40" t="str">
        <f aca="false">IF(INDEX(BookTitle,1276)="","",INDEX(BookTitle,1276))</f>
        <v/>
      </c>
      <c r="F1281" s="40" t="str">
        <f aca="false">IF(INDEX(BookTitle,1276)="","",INDEX(BookLevel,1276))</f>
        <v/>
      </c>
      <c r="G1281" s="40" t="str">
        <f aca="false">IF(INDEX(BookTitle,1276)="","",INDEX(BookCategory,1276))</f>
        <v/>
      </c>
      <c r="H1281" s="40" t="str">
        <f aca="false">IF(INDEX(BookTitle,1276)="","",INDEX(BookRank,1276))</f>
        <v/>
      </c>
      <c r="I1281" s="41" t="str">
        <f aca="false">IF(INDEX(BookTitle,1276)="","",INDEX(BookTotal,1276))</f>
        <v/>
      </c>
      <c r="J1281" s="0" t="str">
        <f aca="false">IF($I1281="","",IF(INDEX(BookQ1,1276)&gt;0,"Q1",IF(INDEX(BookQ2,1276)&gt;0,"Q2",IF(INDEX(BookQ3,1276)&gt;0,"Q3",IF(INDEX(BookQ4,1276)&gt;0,"Q4","")))))</f>
        <v/>
      </c>
      <c r="K1281" s="42" t="str">
        <f aca="false">IF(INDEX(BookTitle,1276)="","",INDEX(BookInYear,1276))</f>
        <v/>
      </c>
      <c r="L1281" s="19"/>
      <c r="M1281" s="39"/>
      <c r="N1281" s="19"/>
      <c r="O1281" s="19"/>
      <c r="P1281" s="43" t="str">
        <f aca="false">IF($E1281="","",IF($L1281="Decline",0,IF($L1281="Approve fewer",IF($M1281="","",$M1281),IF($L1281="","",$I1281))))</f>
        <v/>
      </c>
      <c r="Q1281" s="34" t="str">
        <f aca="false">IF($P1281="","",IF($N1281&lt;&gt;"",$N1281,$J1281))</f>
        <v/>
      </c>
      <c r="R1281" s="35" t="str">
        <f aca="false">IF(OR($P1281="",$Q1281=""),"",INDEX(BookRate,1276)*$P1281*(5-MATCH($Q1281,{"Q1";"Q2";"Q3";"Q4"},0))/4+INDEX(BookOneOff,1276)*$P1281)</f>
        <v/>
      </c>
      <c r="S1281" s="35" t="str">
        <f aca="false">IF($P1281="","",INDEX(BookRate,1276)*$P1281)</f>
        <v/>
      </c>
      <c r="T1281" s="35" t="str">
        <f aca="false">IF($R1281="","",$R1281-$K1281)</f>
        <v/>
      </c>
      <c r="U1281" s="35" t="str">
        <f aca="false">IF(N($P1281)&lt;=0,"",COUNTIF($P$6:$P1281,"&gt;0"))</f>
        <v/>
      </c>
    </row>
    <row r="1282" customFormat="false" ht="15" hidden="false" customHeight="false" outlineLevel="0" collapsed="false">
      <c r="A1282" s="40" t="str">
        <f aca="false">IF(INDEX(BookTitle,1277)="","",INDEX(BookGroup,1277))</f>
        <v/>
      </c>
      <c r="B1282" s="40" t="str">
        <f aca="false">IF(INDEX(BookTitle,1277)="","",INDEX(BookRef,1277))</f>
        <v/>
      </c>
      <c r="C1282" s="40" t="str">
        <f aca="false">IF(INDEX(BookTitle,1277)="","",INDEX(BookDivision,1277))</f>
        <v/>
      </c>
      <c r="D1282" s="40" t="str">
        <f aca="false">IF(INDEX(BookTitle,1277)="","",INDEX(BookUnit,1277))</f>
        <v/>
      </c>
      <c r="E1282" s="40" t="str">
        <f aca="false">IF(INDEX(BookTitle,1277)="","",INDEX(BookTitle,1277))</f>
        <v/>
      </c>
      <c r="F1282" s="40" t="str">
        <f aca="false">IF(INDEX(BookTitle,1277)="","",INDEX(BookLevel,1277))</f>
        <v/>
      </c>
      <c r="G1282" s="40" t="str">
        <f aca="false">IF(INDEX(BookTitle,1277)="","",INDEX(BookCategory,1277))</f>
        <v/>
      </c>
      <c r="H1282" s="40" t="str">
        <f aca="false">IF(INDEX(BookTitle,1277)="","",INDEX(BookRank,1277))</f>
        <v/>
      </c>
      <c r="I1282" s="41" t="str">
        <f aca="false">IF(INDEX(BookTitle,1277)="","",INDEX(BookTotal,1277))</f>
        <v/>
      </c>
      <c r="J1282" s="0" t="str">
        <f aca="false">IF($I1282="","",IF(INDEX(BookQ1,1277)&gt;0,"Q1",IF(INDEX(BookQ2,1277)&gt;0,"Q2",IF(INDEX(BookQ3,1277)&gt;0,"Q3",IF(INDEX(BookQ4,1277)&gt;0,"Q4","")))))</f>
        <v/>
      </c>
      <c r="K1282" s="42" t="str">
        <f aca="false">IF(INDEX(BookTitle,1277)="","",INDEX(BookInYear,1277))</f>
        <v/>
      </c>
      <c r="L1282" s="19"/>
      <c r="M1282" s="39"/>
      <c r="N1282" s="19"/>
      <c r="O1282" s="19"/>
      <c r="P1282" s="43" t="str">
        <f aca="false">IF($E1282="","",IF($L1282="Decline",0,IF($L1282="Approve fewer",IF($M1282="","",$M1282),IF($L1282="","",$I1282))))</f>
        <v/>
      </c>
      <c r="Q1282" s="34" t="str">
        <f aca="false">IF($P1282="","",IF($N1282&lt;&gt;"",$N1282,$J1282))</f>
        <v/>
      </c>
      <c r="R1282" s="35" t="str">
        <f aca="false">IF(OR($P1282="",$Q1282=""),"",INDEX(BookRate,1277)*$P1282*(5-MATCH($Q1282,{"Q1";"Q2";"Q3";"Q4"},0))/4+INDEX(BookOneOff,1277)*$P1282)</f>
        <v/>
      </c>
      <c r="S1282" s="35" t="str">
        <f aca="false">IF($P1282="","",INDEX(BookRate,1277)*$P1282)</f>
        <v/>
      </c>
      <c r="T1282" s="35" t="str">
        <f aca="false">IF($R1282="","",$R1282-$K1282)</f>
        <v/>
      </c>
      <c r="U1282" s="35" t="str">
        <f aca="false">IF(N($P1282)&lt;=0,"",COUNTIF($P$6:$P1282,"&gt;0"))</f>
        <v/>
      </c>
    </row>
    <row r="1283" customFormat="false" ht="15" hidden="false" customHeight="false" outlineLevel="0" collapsed="false">
      <c r="A1283" s="40" t="str">
        <f aca="false">IF(INDEX(BookTitle,1278)="","",INDEX(BookGroup,1278))</f>
        <v/>
      </c>
      <c r="B1283" s="40" t="str">
        <f aca="false">IF(INDEX(BookTitle,1278)="","",INDEX(BookRef,1278))</f>
        <v/>
      </c>
      <c r="C1283" s="40" t="str">
        <f aca="false">IF(INDEX(BookTitle,1278)="","",INDEX(BookDivision,1278))</f>
        <v/>
      </c>
      <c r="D1283" s="40" t="str">
        <f aca="false">IF(INDEX(BookTitle,1278)="","",INDEX(BookUnit,1278))</f>
        <v/>
      </c>
      <c r="E1283" s="40" t="str">
        <f aca="false">IF(INDEX(BookTitle,1278)="","",INDEX(BookTitle,1278))</f>
        <v/>
      </c>
      <c r="F1283" s="40" t="str">
        <f aca="false">IF(INDEX(BookTitle,1278)="","",INDEX(BookLevel,1278))</f>
        <v/>
      </c>
      <c r="G1283" s="40" t="str">
        <f aca="false">IF(INDEX(BookTitle,1278)="","",INDEX(BookCategory,1278))</f>
        <v/>
      </c>
      <c r="H1283" s="40" t="str">
        <f aca="false">IF(INDEX(BookTitle,1278)="","",INDEX(BookRank,1278))</f>
        <v/>
      </c>
      <c r="I1283" s="41" t="str">
        <f aca="false">IF(INDEX(BookTitle,1278)="","",INDEX(BookTotal,1278))</f>
        <v/>
      </c>
      <c r="J1283" s="0" t="str">
        <f aca="false">IF($I1283="","",IF(INDEX(BookQ1,1278)&gt;0,"Q1",IF(INDEX(BookQ2,1278)&gt;0,"Q2",IF(INDEX(BookQ3,1278)&gt;0,"Q3",IF(INDEX(BookQ4,1278)&gt;0,"Q4","")))))</f>
        <v/>
      </c>
      <c r="K1283" s="42" t="str">
        <f aca="false">IF(INDEX(BookTitle,1278)="","",INDEX(BookInYear,1278))</f>
        <v/>
      </c>
      <c r="L1283" s="19"/>
      <c r="M1283" s="39"/>
      <c r="N1283" s="19"/>
      <c r="O1283" s="19"/>
      <c r="P1283" s="43" t="str">
        <f aca="false">IF($E1283="","",IF($L1283="Decline",0,IF($L1283="Approve fewer",IF($M1283="","",$M1283),IF($L1283="","",$I1283))))</f>
        <v/>
      </c>
      <c r="Q1283" s="34" t="str">
        <f aca="false">IF($P1283="","",IF($N1283&lt;&gt;"",$N1283,$J1283))</f>
        <v/>
      </c>
      <c r="R1283" s="35" t="str">
        <f aca="false">IF(OR($P1283="",$Q1283=""),"",INDEX(BookRate,1278)*$P1283*(5-MATCH($Q1283,{"Q1";"Q2";"Q3";"Q4"},0))/4+INDEX(BookOneOff,1278)*$P1283)</f>
        <v/>
      </c>
      <c r="S1283" s="35" t="str">
        <f aca="false">IF($P1283="","",INDEX(BookRate,1278)*$P1283)</f>
        <v/>
      </c>
      <c r="T1283" s="35" t="str">
        <f aca="false">IF($R1283="","",$R1283-$K1283)</f>
        <v/>
      </c>
      <c r="U1283" s="35" t="str">
        <f aca="false">IF(N($P1283)&lt;=0,"",COUNTIF($P$6:$P1283,"&gt;0"))</f>
        <v/>
      </c>
    </row>
    <row r="1284" customFormat="false" ht="15" hidden="false" customHeight="false" outlineLevel="0" collapsed="false">
      <c r="A1284" s="40" t="str">
        <f aca="false">IF(INDEX(BookTitle,1279)="","",INDEX(BookGroup,1279))</f>
        <v/>
      </c>
      <c r="B1284" s="40" t="str">
        <f aca="false">IF(INDEX(BookTitle,1279)="","",INDEX(BookRef,1279))</f>
        <v/>
      </c>
      <c r="C1284" s="40" t="str">
        <f aca="false">IF(INDEX(BookTitle,1279)="","",INDEX(BookDivision,1279))</f>
        <v/>
      </c>
      <c r="D1284" s="40" t="str">
        <f aca="false">IF(INDEX(BookTitle,1279)="","",INDEX(BookUnit,1279))</f>
        <v/>
      </c>
      <c r="E1284" s="40" t="str">
        <f aca="false">IF(INDEX(BookTitle,1279)="","",INDEX(BookTitle,1279))</f>
        <v/>
      </c>
      <c r="F1284" s="40" t="str">
        <f aca="false">IF(INDEX(BookTitle,1279)="","",INDEX(BookLevel,1279))</f>
        <v/>
      </c>
      <c r="G1284" s="40" t="str">
        <f aca="false">IF(INDEX(BookTitle,1279)="","",INDEX(BookCategory,1279))</f>
        <v/>
      </c>
      <c r="H1284" s="40" t="str">
        <f aca="false">IF(INDEX(BookTitle,1279)="","",INDEX(BookRank,1279))</f>
        <v/>
      </c>
      <c r="I1284" s="41" t="str">
        <f aca="false">IF(INDEX(BookTitle,1279)="","",INDEX(BookTotal,1279))</f>
        <v/>
      </c>
      <c r="J1284" s="0" t="str">
        <f aca="false">IF($I1284="","",IF(INDEX(BookQ1,1279)&gt;0,"Q1",IF(INDEX(BookQ2,1279)&gt;0,"Q2",IF(INDEX(BookQ3,1279)&gt;0,"Q3",IF(INDEX(BookQ4,1279)&gt;0,"Q4","")))))</f>
        <v/>
      </c>
      <c r="K1284" s="42" t="str">
        <f aca="false">IF(INDEX(BookTitle,1279)="","",INDEX(BookInYear,1279))</f>
        <v/>
      </c>
      <c r="L1284" s="19"/>
      <c r="M1284" s="39"/>
      <c r="N1284" s="19"/>
      <c r="O1284" s="19"/>
      <c r="P1284" s="43" t="str">
        <f aca="false">IF($E1284="","",IF($L1284="Decline",0,IF($L1284="Approve fewer",IF($M1284="","",$M1284),IF($L1284="","",$I1284))))</f>
        <v/>
      </c>
      <c r="Q1284" s="34" t="str">
        <f aca="false">IF($P1284="","",IF($N1284&lt;&gt;"",$N1284,$J1284))</f>
        <v/>
      </c>
      <c r="R1284" s="35" t="str">
        <f aca="false">IF(OR($P1284="",$Q1284=""),"",INDEX(BookRate,1279)*$P1284*(5-MATCH($Q1284,{"Q1";"Q2";"Q3";"Q4"},0))/4+INDEX(BookOneOff,1279)*$P1284)</f>
        <v/>
      </c>
      <c r="S1284" s="35" t="str">
        <f aca="false">IF($P1284="","",INDEX(BookRate,1279)*$P1284)</f>
        <v/>
      </c>
      <c r="T1284" s="35" t="str">
        <f aca="false">IF($R1284="","",$R1284-$K1284)</f>
        <v/>
      </c>
      <c r="U1284" s="35" t="str">
        <f aca="false">IF(N($P1284)&lt;=0,"",COUNTIF($P$6:$P1284,"&gt;0"))</f>
        <v/>
      </c>
    </row>
    <row r="1285" customFormat="false" ht="15" hidden="false" customHeight="false" outlineLevel="0" collapsed="false">
      <c r="A1285" s="40" t="str">
        <f aca="false">IF(INDEX(BookTitle,1280)="","",INDEX(BookGroup,1280))</f>
        <v/>
      </c>
      <c r="B1285" s="40" t="str">
        <f aca="false">IF(INDEX(BookTitle,1280)="","",INDEX(BookRef,1280))</f>
        <v/>
      </c>
      <c r="C1285" s="40" t="str">
        <f aca="false">IF(INDEX(BookTitle,1280)="","",INDEX(BookDivision,1280))</f>
        <v/>
      </c>
      <c r="D1285" s="40" t="str">
        <f aca="false">IF(INDEX(BookTitle,1280)="","",INDEX(BookUnit,1280))</f>
        <v/>
      </c>
      <c r="E1285" s="40" t="str">
        <f aca="false">IF(INDEX(BookTitle,1280)="","",INDEX(BookTitle,1280))</f>
        <v/>
      </c>
      <c r="F1285" s="40" t="str">
        <f aca="false">IF(INDEX(BookTitle,1280)="","",INDEX(BookLevel,1280))</f>
        <v/>
      </c>
      <c r="G1285" s="40" t="str">
        <f aca="false">IF(INDEX(BookTitle,1280)="","",INDEX(BookCategory,1280))</f>
        <v/>
      </c>
      <c r="H1285" s="40" t="str">
        <f aca="false">IF(INDEX(BookTitle,1280)="","",INDEX(BookRank,1280))</f>
        <v/>
      </c>
      <c r="I1285" s="41" t="str">
        <f aca="false">IF(INDEX(BookTitle,1280)="","",INDEX(BookTotal,1280))</f>
        <v/>
      </c>
      <c r="J1285" s="0" t="str">
        <f aca="false">IF($I1285="","",IF(INDEX(BookQ1,1280)&gt;0,"Q1",IF(INDEX(BookQ2,1280)&gt;0,"Q2",IF(INDEX(BookQ3,1280)&gt;0,"Q3",IF(INDEX(BookQ4,1280)&gt;0,"Q4","")))))</f>
        <v/>
      </c>
      <c r="K1285" s="42" t="str">
        <f aca="false">IF(INDEX(BookTitle,1280)="","",INDEX(BookInYear,1280))</f>
        <v/>
      </c>
      <c r="L1285" s="19"/>
      <c r="M1285" s="39"/>
      <c r="N1285" s="19"/>
      <c r="O1285" s="19"/>
      <c r="P1285" s="43" t="str">
        <f aca="false">IF($E1285="","",IF($L1285="Decline",0,IF($L1285="Approve fewer",IF($M1285="","",$M1285),IF($L1285="","",$I1285))))</f>
        <v/>
      </c>
      <c r="Q1285" s="34" t="str">
        <f aca="false">IF($P1285="","",IF($N1285&lt;&gt;"",$N1285,$J1285))</f>
        <v/>
      </c>
      <c r="R1285" s="35" t="str">
        <f aca="false">IF(OR($P1285="",$Q1285=""),"",INDEX(BookRate,1280)*$P1285*(5-MATCH($Q1285,{"Q1";"Q2";"Q3";"Q4"},0))/4+INDEX(BookOneOff,1280)*$P1285)</f>
        <v/>
      </c>
      <c r="S1285" s="35" t="str">
        <f aca="false">IF($P1285="","",INDEX(BookRate,1280)*$P1285)</f>
        <v/>
      </c>
      <c r="T1285" s="35" t="str">
        <f aca="false">IF($R1285="","",$R1285-$K1285)</f>
        <v/>
      </c>
      <c r="U1285" s="35" t="str">
        <f aca="false">IF(N($P1285)&lt;=0,"",COUNTIF($P$6:$P1285,"&gt;0"))</f>
        <v/>
      </c>
    </row>
    <row r="1286" customFormat="false" ht="15" hidden="false" customHeight="false" outlineLevel="0" collapsed="false">
      <c r="A1286" s="40" t="str">
        <f aca="false">IF(INDEX(BookTitle,1281)="","",INDEX(BookGroup,1281))</f>
        <v/>
      </c>
      <c r="B1286" s="40" t="str">
        <f aca="false">IF(INDEX(BookTitle,1281)="","",INDEX(BookRef,1281))</f>
        <v/>
      </c>
      <c r="C1286" s="40" t="str">
        <f aca="false">IF(INDEX(BookTitle,1281)="","",INDEX(BookDivision,1281))</f>
        <v/>
      </c>
      <c r="D1286" s="40" t="str">
        <f aca="false">IF(INDEX(BookTitle,1281)="","",INDEX(BookUnit,1281))</f>
        <v/>
      </c>
      <c r="E1286" s="40" t="str">
        <f aca="false">IF(INDEX(BookTitle,1281)="","",INDEX(BookTitle,1281))</f>
        <v/>
      </c>
      <c r="F1286" s="40" t="str">
        <f aca="false">IF(INDEX(BookTitle,1281)="","",INDEX(BookLevel,1281))</f>
        <v/>
      </c>
      <c r="G1286" s="40" t="str">
        <f aca="false">IF(INDEX(BookTitle,1281)="","",INDEX(BookCategory,1281))</f>
        <v/>
      </c>
      <c r="H1286" s="40" t="str">
        <f aca="false">IF(INDEX(BookTitle,1281)="","",INDEX(BookRank,1281))</f>
        <v/>
      </c>
      <c r="I1286" s="41" t="str">
        <f aca="false">IF(INDEX(BookTitle,1281)="","",INDEX(BookTotal,1281))</f>
        <v/>
      </c>
      <c r="J1286" s="0" t="str">
        <f aca="false">IF($I1286="","",IF(INDEX(BookQ1,1281)&gt;0,"Q1",IF(INDEX(BookQ2,1281)&gt;0,"Q2",IF(INDEX(BookQ3,1281)&gt;0,"Q3",IF(INDEX(BookQ4,1281)&gt;0,"Q4","")))))</f>
        <v/>
      </c>
      <c r="K1286" s="42" t="str">
        <f aca="false">IF(INDEX(BookTitle,1281)="","",INDEX(BookInYear,1281))</f>
        <v/>
      </c>
      <c r="L1286" s="19"/>
      <c r="M1286" s="39"/>
      <c r="N1286" s="19"/>
      <c r="O1286" s="19"/>
      <c r="P1286" s="43" t="str">
        <f aca="false">IF($E1286="","",IF($L1286="Decline",0,IF($L1286="Approve fewer",IF($M1286="","",$M1286),IF($L1286="","",$I1286))))</f>
        <v/>
      </c>
      <c r="Q1286" s="34" t="str">
        <f aca="false">IF($P1286="","",IF($N1286&lt;&gt;"",$N1286,$J1286))</f>
        <v/>
      </c>
      <c r="R1286" s="35" t="str">
        <f aca="false">IF(OR($P1286="",$Q1286=""),"",INDEX(BookRate,1281)*$P1286*(5-MATCH($Q1286,{"Q1";"Q2";"Q3";"Q4"},0))/4+INDEX(BookOneOff,1281)*$P1286)</f>
        <v/>
      </c>
      <c r="S1286" s="35" t="str">
        <f aca="false">IF($P1286="","",INDEX(BookRate,1281)*$P1286)</f>
        <v/>
      </c>
      <c r="T1286" s="35" t="str">
        <f aca="false">IF($R1286="","",$R1286-$K1286)</f>
        <v/>
      </c>
      <c r="U1286" s="35" t="str">
        <f aca="false">IF(N($P1286)&lt;=0,"",COUNTIF($P$6:$P1286,"&gt;0"))</f>
        <v/>
      </c>
    </row>
    <row r="1287" customFormat="false" ht="15" hidden="false" customHeight="false" outlineLevel="0" collapsed="false">
      <c r="A1287" s="40" t="str">
        <f aca="false">IF(INDEX(BookTitle,1282)="","",INDEX(BookGroup,1282))</f>
        <v/>
      </c>
      <c r="B1287" s="40" t="str">
        <f aca="false">IF(INDEX(BookTitle,1282)="","",INDEX(BookRef,1282))</f>
        <v/>
      </c>
      <c r="C1287" s="40" t="str">
        <f aca="false">IF(INDEX(BookTitle,1282)="","",INDEX(BookDivision,1282))</f>
        <v/>
      </c>
      <c r="D1287" s="40" t="str">
        <f aca="false">IF(INDEX(BookTitle,1282)="","",INDEX(BookUnit,1282))</f>
        <v/>
      </c>
      <c r="E1287" s="40" t="str">
        <f aca="false">IF(INDEX(BookTitle,1282)="","",INDEX(BookTitle,1282))</f>
        <v/>
      </c>
      <c r="F1287" s="40" t="str">
        <f aca="false">IF(INDEX(BookTitle,1282)="","",INDEX(BookLevel,1282))</f>
        <v/>
      </c>
      <c r="G1287" s="40" t="str">
        <f aca="false">IF(INDEX(BookTitle,1282)="","",INDEX(BookCategory,1282))</f>
        <v/>
      </c>
      <c r="H1287" s="40" t="str">
        <f aca="false">IF(INDEX(BookTitle,1282)="","",INDEX(BookRank,1282))</f>
        <v/>
      </c>
      <c r="I1287" s="41" t="str">
        <f aca="false">IF(INDEX(BookTitle,1282)="","",INDEX(BookTotal,1282))</f>
        <v/>
      </c>
      <c r="J1287" s="0" t="str">
        <f aca="false">IF($I1287="","",IF(INDEX(BookQ1,1282)&gt;0,"Q1",IF(INDEX(BookQ2,1282)&gt;0,"Q2",IF(INDEX(BookQ3,1282)&gt;0,"Q3",IF(INDEX(BookQ4,1282)&gt;0,"Q4","")))))</f>
        <v/>
      </c>
      <c r="K1287" s="42" t="str">
        <f aca="false">IF(INDEX(BookTitle,1282)="","",INDEX(BookInYear,1282))</f>
        <v/>
      </c>
      <c r="L1287" s="19"/>
      <c r="M1287" s="39"/>
      <c r="N1287" s="19"/>
      <c r="O1287" s="19"/>
      <c r="P1287" s="43" t="str">
        <f aca="false">IF($E1287="","",IF($L1287="Decline",0,IF($L1287="Approve fewer",IF($M1287="","",$M1287),IF($L1287="","",$I1287))))</f>
        <v/>
      </c>
      <c r="Q1287" s="34" t="str">
        <f aca="false">IF($P1287="","",IF($N1287&lt;&gt;"",$N1287,$J1287))</f>
        <v/>
      </c>
      <c r="R1287" s="35" t="str">
        <f aca="false">IF(OR($P1287="",$Q1287=""),"",INDEX(BookRate,1282)*$P1287*(5-MATCH($Q1287,{"Q1";"Q2";"Q3";"Q4"},0))/4+INDEX(BookOneOff,1282)*$P1287)</f>
        <v/>
      </c>
      <c r="S1287" s="35" t="str">
        <f aca="false">IF($P1287="","",INDEX(BookRate,1282)*$P1287)</f>
        <v/>
      </c>
      <c r="T1287" s="35" t="str">
        <f aca="false">IF($R1287="","",$R1287-$K1287)</f>
        <v/>
      </c>
      <c r="U1287" s="35" t="str">
        <f aca="false">IF(N($P1287)&lt;=0,"",COUNTIF($P$6:$P1287,"&gt;0"))</f>
        <v/>
      </c>
    </row>
    <row r="1288" customFormat="false" ht="15" hidden="false" customHeight="false" outlineLevel="0" collapsed="false">
      <c r="A1288" s="40" t="str">
        <f aca="false">IF(INDEX(BookTitle,1283)="","",INDEX(BookGroup,1283))</f>
        <v/>
      </c>
      <c r="B1288" s="40" t="str">
        <f aca="false">IF(INDEX(BookTitle,1283)="","",INDEX(BookRef,1283))</f>
        <v/>
      </c>
      <c r="C1288" s="40" t="str">
        <f aca="false">IF(INDEX(BookTitle,1283)="","",INDEX(BookDivision,1283))</f>
        <v/>
      </c>
      <c r="D1288" s="40" t="str">
        <f aca="false">IF(INDEX(BookTitle,1283)="","",INDEX(BookUnit,1283))</f>
        <v/>
      </c>
      <c r="E1288" s="40" t="str">
        <f aca="false">IF(INDEX(BookTitle,1283)="","",INDEX(BookTitle,1283))</f>
        <v/>
      </c>
      <c r="F1288" s="40" t="str">
        <f aca="false">IF(INDEX(BookTitle,1283)="","",INDEX(BookLevel,1283))</f>
        <v/>
      </c>
      <c r="G1288" s="40" t="str">
        <f aca="false">IF(INDEX(BookTitle,1283)="","",INDEX(BookCategory,1283))</f>
        <v/>
      </c>
      <c r="H1288" s="40" t="str">
        <f aca="false">IF(INDEX(BookTitle,1283)="","",INDEX(BookRank,1283))</f>
        <v/>
      </c>
      <c r="I1288" s="41" t="str">
        <f aca="false">IF(INDEX(BookTitle,1283)="","",INDEX(BookTotal,1283))</f>
        <v/>
      </c>
      <c r="J1288" s="0" t="str">
        <f aca="false">IF($I1288="","",IF(INDEX(BookQ1,1283)&gt;0,"Q1",IF(INDEX(BookQ2,1283)&gt;0,"Q2",IF(INDEX(BookQ3,1283)&gt;0,"Q3",IF(INDEX(BookQ4,1283)&gt;0,"Q4","")))))</f>
        <v/>
      </c>
      <c r="K1288" s="42" t="str">
        <f aca="false">IF(INDEX(BookTitle,1283)="","",INDEX(BookInYear,1283))</f>
        <v/>
      </c>
      <c r="L1288" s="19"/>
      <c r="M1288" s="39"/>
      <c r="N1288" s="19"/>
      <c r="O1288" s="19"/>
      <c r="P1288" s="43" t="str">
        <f aca="false">IF($E1288="","",IF($L1288="Decline",0,IF($L1288="Approve fewer",IF($M1288="","",$M1288),IF($L1288="","",$I1288))))</f>
        <v/>
      </c>
      <c r="Q1288" s="34" t="str">
        <f aca="false">IF($P1288="","",IF($N1288&lt;&gt;"",$N1288,$J1288))</f>
        <v/>
      </c>
      <c r="R1288" s="35" t="str">
        <f aca="false">IF(OR($P1288="",$Q1288=""),"",INDEX(BookRate,1283)*$P1288*(5-MATCH($Q1288,{"Q1";"Q2";"Q3";"Q4"},0))/4+INDEX(BookOneOff,1283)*$P1288)</f>
        <v/>
      </c>
      <c r="S1288" s="35" t="str">
        <f aca="false">IF($P1288="","",INDEX(BookRate,1283)*$P1288)</f>
        <v/>
      </c>
      <c r="T1288" s="35" t="str">
        <f aca="false">IF($R1288="","",$R1288-$K1288)</f>
        <v/>
      </c>
      <c r="U1288" s="35" t="str">
        <f aca="false">IF(N($P1288)&lt;=0,"",COUNTIF($P$6:$P1288,"&gt;0"))</f>
        <v/>
      </c>
    </row>
    <row r="1289" customFormat="false" ht="15" hidden="false" customHeight="false" outlineLevel="0" collapsed="false">
      <c r="A1289" s="40" t="str">
        <f aca="false">IF(INDEX(BookTitle,1284)="","",INDEX(BookGroup,1284))</f>
        <v/>
      </c>
      <c r="B1289" s="40" t="str">
        <f aca="false">IF(INDEX(BookTitle,1284)="","",INDEX(BookRef,1284))</f>
        <v/>
      </c>
      <c r="C1289" s="40" t="str">
        <f aca="false">IF(INDEX(BookTitle,1284)="","",INDEX(BookDivision,1284))</f>
        <v/>
      </c>
      <c r="D1289" s="40" t="str">
        <f aca="false">IF(INDEX(BookTitle,1284)="","",INDEX(BookUnit,1284))</f>
        <v/>
      </c>
      <c r="E1289" s="40" t="str">
        <f aca="false">IF(INDEX(BookTitle,1284)="","",INDEX(BookTitle,1284))</f>
        <v/>
      </c>
      <c r="F1289" s="40" t="str">
        <f aca="false">IF(INDEX(BookTitle,1284)="","",INDEX(BookLevel,1284))</f>
        <v/>
      </c>
      <c r="G1289" s="40" t="str">
        <f aca="false">IF(INDEX(BookTitle,1284)="","",INDEX(BookCategory,1284))</f>
        <v/>
      </c>
      <c r="H1289" s="40" t="str">
        <f aca="false">IF(INDEX(BookTitle,1284)="","",INDEX(BookRank,1284))</f>
        <v/>
      </c>
      <c r="I1289" s="41" t="str">
        <f aca="false">IF(INDEX(BookTitle,1284)="","",INDEX(BookTotal,1284))</f>
        <v/>
      </c>
      <c r="J1289" s="0" t="str">
        <f aca="false">IF($I1289="","",IF(INDEX(BookQ1,1284)&gt;0,"Q1",IF(INDEX(BookQ2,1284)&gt;0,"Q2",IF(INDEX(BookQ3,1284)&gt;0,"Q3",IF(INDEX(BookQ4,1284)&gt;0,"Q4","")))))</f>
        <v/>
      </c>
      <c r="K1289" s="42" t="str">
        <f aca="false">IF(INDEX(BookTitle,1284)="","",INDEX(BookInYear,1284))</f>
        <v/>
      </c>
      <c r="L1289" s="19"/>
      <c r="M1289" s="39"/>
      <c r="N1289" s="19"/>
      <c r="O1289" s="19"/>
      <c r="P1289" s="43" t="str">
        <f aca="false">IF($E1289="","",IF($L1289="Decline",0,IF($L1289="Approve fewer",IF($M1289="","",$M1289),IF($L1289="","",$I1289))))</f>
        <v/>
      </c>
      <c r="Q1289" s="34" t="str">
        <f aca="false">IF($P1289="","",IF($N1289&lt;&gt;"",$N1289,$J1289))</f>
        <v/>
      </c>
      <c r="R1289" s="35" t="str">
        <f aca="false">IF(OR($P1289="",$Q1289=""),"",INDEX(BookRate,1284)*$P1289*(5-MATCH($Q1289,{"Q1";"Q2";"Q3";"Q4"},0))/4+INDEX(BookOneOff,1284)*$P1289)</f>
        <v/>
      </c>
      <c r="S1289" s="35" t="str">
        <f aca="false">IF($P1289="","",INDEX(BookRate,1284)*$P1289)</f>
        <v/>
      </c>
      <c r="T1289" s="35" t="str">
        <f aca="false">IF($R1289="","",$R1289-$K1289)</f>
        <v/>
      </c>
      <c r="U1289" s="35" t="str">
        <f aca="false">IF(N($P1289)&lt;=0,"",COUNTIF($P$6:$P1289,"&gt;0"))</f>
        <v/>
      </c>
    </row>
    <row r="1290" customFormat="false" ht="15" hidden="false" customHeight="false" outlineLevel="0" collapsed="false">
      <c r="A1290" s="40" t="str">
        <f aca="false">IF(INDEX(BookTitle,1285)="","",INDEX(BookGroup,1285))</f>
        <v/>
      </c>
      <c r="B1290" s="40" t="str">
        <f aca="false">IF(INDEX(BookTitle,1285)="","",INDEX(BookRef,1285))</f>
        <v/>
      </c>
      <c r="C1290" s="40" t="str">
        <f aca="false">IF(INDEX(BookTitle,1285)="","",INDEX(BookDivision,1285))</f>
        <v/>
      </c>
      <c r="D1290" s="40" t="str">
        <f aca="false">IF(INDEX(BookTitle,1285)="","",INDEX(BookUnit,1285))</f>
        <v/>
      </c>
      <c r="E1290" s="40" t="str">
        <f aca="false">IF(INDEX(BookTitle,1285)="","",INDEX(BookTitle,1285))</f>
        <v/>
      </c>
      <c r="F1290" s="40" t="str">
        <f aca="false">IF(INDEX(BookTitle,1285)="","",INDEX(BookLevel,1285))</f>
        <v/>
      </c>
      <c r="G1290" s="40" t="str">
        <f aca="false">IF(INDEX(BookTitle,1285)="","",INDEX(BookCategory,1285))</f>
        <v/>
      </c>
      <c r="H1290" s="40" t="str">
        <f aca="false">IF(INDEX(BookTitle,1285)="","",INDEX(BookRank,1285))</f>
        <v/>
      </c>
      <c r="I1290" s="41" t="str">
        <f aca="false">IF(INDEX(BookTitle,1285)="","",INDEX(BookTotal,1285))</f>
        <v/>
      </c>
      <c r="J1290" s="0" t="str">
        <f aca="false">IF($I1290="","",IF(INDEX(BookQ1,1285)&gt;0,"Q1",IF(INDEX(BookQ2,1285)&gt;0,"Q2",IF(INDEX(BookQ3,1285)&gt;0,"Q3",IF(INDEX(BookQ4,1285)&gt;0,"Q4","")))))</f>
        <v/>
      </c>
      <c r="K1290" s="42" t="str">
        <f aca="false">IF(INDEX(BookTitle,1285)="","",INDEX(BookInYear,1285))</f>
        <v/>
      </c>
      <c r="L1290" s="19"/>
      <c r="M1290" s="39"/>
      <c r="N1290" s="19"/>
      <c r="O1290" s="19"/>
      <c r="P1290" s="43" t="str">
        <f aca="false">IF($E1290="","",IF($L1290="Decline",0,IF($L1290="Approve fewer",IF($M1290="","",$M1290),IF($L1290="","",$I1290))))</f>
        <v/>
      </c>
      <c r="Q1290" s="34" t="str">
        <f aca="false">IF($P1290="","",IF($N1290&lt;&gt;"",$N1290,$J1290))</f>
        <v/>
      </c>
      <c r="R1290" s="35" t="str">
        <f aca="false">IF(OR($P1290="",$Q1290=""),"",INDEX(BookRate,1285)*$P1290*(5-MATCH($Q1290,{"Q1";"Q2";"Q3";"Q4"},0))/4+INDEX(BookOneOff,1285)*$P1290)</f>
        <v/>
      </c>
      <c r="S1290" s="35" t="str">
        <f aca="false">IF($P1290="","",INDEX(BookRate,1285)*$P1290)</f>
        <v/>
      </c>
      <c r="T1290" s="35" t="str">
        <f aca="false">IF($R1290="","",$R1290-$K1290)</f>
        <v/>
      </c>
      <c r="U1290" s="35" t="str">
        <f aca="false">IF(N($P1290)&lt;=0,"",COUNTIF($P$6:$P1290,"&gt;0"))</f>
        <v/>
      </c>
    </row>
    <row r="1291" customFormat="false" ht="15" hidden="false" customHeight="false" outlineLevel="0" collapsed="false">
      <c r="A1291" s="40" t="str">
        <f aca="false">IF(INDEX(BookTitle,1286)="","",INDEX(BookGroup,1286))</f>
        <v/>
      </c>
      <c r="B1291" s="40" t="str">
        <f aca="false">IF(INDEX(BookTitle,1286)="","",INDEX(BookRef,1286))</f>
        <v/>
      </c>
      <c r="C1291" s="40" t="str">
        <f aca="false">IF(INDEX(BookTitle,1286)="","",INDEX(BookDivision,1286))</f>
        <v/>
      </c>
      <c r="D1291" s="40" t="str">
        <f aca="false">IF(INDEX(BookTitle,1286)="","",INDEX(BookUnit,1286))</f>
        <v/>
      </c>
      <c r="E1291" s="40" t="str">
        <f aca="false">IF(INDEX(BookTitle,1286)="","",INDEX(BookTitle,1286))</f>
        <v/>
      </c>
      <c r="F1291" s="40" t="str">
        <f aca="false">IF(INDEX(BookTitle,1286)="","",INDEX(BookLevel,1286))</f>
        <v/>
      </c>
      <c r="G1291" s="40" t="str">
        <f aca="false">IF(INDEX(BookTitle,1286)="","",INDEX(BookCategory,1286))</f>
        <v/>
      </c>
      <c r="H1291" s="40" t="str">
        <f aca="false">IF(INDEX(BookTitle,1286)="","",INDEX(BookRank,1286))</f>
        <v/>
      </c>
      <c r="I1291" s="41" t="str">
        <f aca="false">IF(INDEX(BookTitle,1286)="","",INDEX(BookTotal,1286))</f>
        <v/>
      </c>
      <c r="J1291" s="0" t="str">
        <f aca="false">IF($I1291="","",IF(INDEX(BookQ1,1286)&gt;0,"Q1",IF(INDEX(BookQ2,1286)&gt;0,"Q2",IF(INDEX(BookQ3,1286)&gt;0,"Q3",IF(INDEX(BookQ4,1286)&gt;0,"Q4","")))))</f>
        <v/>
      </c>
      <c r="K1291" s="42" t="str">
        <f aca="false">IF(INDEX(BookTitle,1286)="","",INDEX(BookInYear,1286))</f>
        <v/>
      </c>
      <c r="L1291" s="19"/>
      <c r="M1291" s="39"/>
      <c r="N1291" s="19"/>
      <c r="O1291" s="19"/>
      <c r="P1291" s="43" t="str">
        <f aca="false">IF($E1291="","",IF($L1291="Decline",0,IF($L1291="Approve fewer",IF($M1291="","",$M1291),IF($L1291="","",$I1291))))</f>
        <v/>
      </c>
      <c r="Q1291" s="34" t="str">
        <f aca="false">IF($P1291="","",IF($N1291&lt;&gt;"",$N1291,$J1291))</f>
        <v/>
      </c>
      <c r="R1291" s="35" t="str">
        <f aca="false">IF(OR($P1291="",$Q1291=""),"",INDEX(BookRate,1286)*$P1291*(5-MATCH($Q1291,{"Q1";"Q2";"Q3";"Q4"},0))/4+INDEX(BookOneOff,1286)*$P1291)</f>
        <v/>
      </c>
      <c r="S1291" s="35" t="str">
        <f aca="false">IF($P1291="","",INDEX(BookRate,1286)*$P1291)</f>
        <v/>
      </c>
      <c r="T1291" s="35" t="str">
        <f aca="false">IF($R1291="","",$R1291-$K1291)</f>
        <v/>
      </c>
      <c r="U1291" s="35" t="str">
        <f aca="false">IF(N($P1291)&lt;=0,"",COUNTIF($P$6:$P1291,"&gt;0"))</f>
        <v/>
      </c>
    </row>
    <row r="1292" customFormat="false" ht="15" hidden="false" customHeight="false" outlineLevel="0" collapsed="false">
      <c r="A1292" s="40" t="str">
        <f aca="false">IF(INDEX(BookTitle,1287)="","",INDEX(BookGroup,1287))</f>
        <v/>
      </c>
      <c r="B1292" s="40" t="str">
        <f aca="false">IF(INDEX(BookTitle,1287)="","",INDEX(BookRef,1287))</f>
        <v/>
      </c>
      <c r="C1292" s="40" t="str">
        <f aca="false">IF(INDEX(BookTitle,1287)="","",INDEX(BookDivision,1287))</f>
        <v/>
      </c>
      <c r="D1292" s="40" t="str">
        <f aca="false">IF(INDEX(BookTitle,1287)="","",INDEX(BookUnit,1287))</f>
        <v/>
      </c>
      <c r="E1292" s="40" t="str">
        <f aca="false">IF(INDEX(BookTitle,1287)="","",INDEX(BookTitle,1287))</f>
        <v/>
      </c>
      <c r="F1292" s="40" t="str">
        <f aca="false">IF(INDEX(BookTitle,1287)="","",INDEX(BookLevel,1287))</f>
        <v/>
      </c>
      <c r="G1292" s="40" t="str">
        <f aca="false">IF(INDEX(BookTitle,1287)="","",INDEX(BookCategory,1287))</f>
        <v/>
      </c>
      <c r="H1292" s="40" t="str">
        <f aca="false">IF(INDEX(BookTitle,1287)="","",INDEX(BookRank,1287))</f>
        <v/>
      </c>
      <c r="I1292" s="41" t="str">
        <f aca="false">IF(INDEX(BookTitle,1287)="","",INDEX(BookTotal,1287))</f>
        <v/>
      </c>
      <c r="J1292" s="0" t="str">
        <f aca="false">IF($I1292="","",IF(INDEX(BookQ1,1287)&gt;0,"Q1",IF(INDEX(BookQ2,1287)&gt;0,"Q2",IF(INDEX(BookQ3,1287)&gt;0,"Q3",IF(INDEX(BookQ4,1287)&gt;0,"Q4","")))))</f>
        <v/>
      </c>
      <c r="K1292" s="42" t="str">
        <f aca="false">IF(INDEX(BookTitle,1287)="","",INDEX(BookInYear,1287))</f>
        <v/>
      </c>
      <c r="L1292" s="19"/>
      <c r="M1292" s="39"/>
      <c r="N1292" s="19"/>
      <c r="O1292" s="19"/>
      <c r="P1292" s="43" t="str">
        <f aca="false">IF($E1292="","",IF($L1292="Decline",0,IF($L1292="Approve fewer",IF($M1292="","",$M1292),IF($L1292="","",$I1292))))</f>
        <v/>
      </c>
      <c r="Q1292" s="34" t="str">
        <f aca="false">IF($P1292="","",IF($N1292&lt;&gt;"",$N1292,$J1292))</f>
        <v/>
      </c>
      <c r="R1292" s="35" t="str">
        <f aca="false">IF(OR($P1292="",$Q1292=""),"",INDEX(BookRate,1287)*$P1292*(5-MATCH($Q1292,{"Q1";"Q2";"Q3";"Q4"},0))/4+INDEX(BookOneOff,1287)*$P1292)</f>
        <v/>
      </c>
      <c r="S1292" s="35" t="str">
        <f aca="false">IF($P1292="","",INDEX(BookRate,1287)*$P1292)</f>
        <v/>
      </c>
      <c r="T1292" s="35" t="str">
        <f aca="false">IF($R1292="","",$R1292-$K1292)</f>
        <v/>
      </c>
      <c r="U1292" s="35" t="str">
        <f aca="false">IF(N($P1292)&lt;=0,"",COUNTIF($P$6:$P1292,"&gt;0"))</f>
        <v/>
      </c>
    </row>
    <row r="1293" customFormat="false" ht="15" hidden="false" customHeight="false" outlineLevel="0" collapsed="false">
      <c r="A1293" s="40" t="str">
        <f aca="false">IF(INDEX(BookTitle,1288)="","",INDEX(BookGroup,1288))</f>
        <v/>
      </c>
      <c r="B1293" s="40" t="str">
        <f aca="false">IF(INDEX(BookTitle,1288)="","",INDEX(BookRef,1288))</f>
        <v/>
      </c>
      <c r="C1293" s="40" t="str">
        <f aca="false">IF(INDEX(BookTitle,1288)="","",INDEX(BookDivision,1288))</f>
        <v/>
      </c>
      <c r="D1293" s="40" t="str">
        <f aca="false">IF(INDEX(BookTitle,1288)="","",INDEX(BookUnit,1288))</f>
        <v/>
      </c>
      <c r="E1293" s="40" t="str">
        <f aca="false">IF(INDEX(BookTitle,1288)="","",INDEX(BookTitle,1288))</f>
        <v/>
      </c>
      <c r="F1293" s="40" t="str">
        <f aca="false">IF(INDEX(BookTitle,1288)="","",INDEX(BookLevel,1288))</f>
        <v/>
      </c>
      <c r="G1293" s="40" t="str">
        <f aca="false">IF(INDEX(BookTitle,1288)="","",INDEX(BookCategory,1288))</f>
        <v/>
      </c>
      <c r="H1293" s="40" t="str">
        <f aca="false">IF(INDEX(BookTitle,1288)="","",INDEX(BookRank,1288))</f>
        <v/>
      </c>
      <c r="I1293" s="41" t="str">
        <f aca="false">IF(INDEX(BookTitle,1288)="","",INDEX(BookTotal,1288))</f>
        <v/>
      </c>
      <c r="J1293" s="0" t="str">
        <f aca="false">IF($I1293="","",IF(INDEX(BookQ1,1288)&gt;0,"Q1",IF(INDEX(BookQ2,1288)&gt;0,"Q2",IF(INDEX(BookQ3,1288)&gt;0,"Q3",IF(INDEX(BookQ4,1288)&gt;0,"Q4","")))))</f>
        <v/>
      </c>
      <c r="K1293" s="42" t="str">
        <f aca="false">IF(INDEX(BookTitle,1288)="","",INDEX(BookInYear,1288))</f>
        <v/>
      </c>
      <c r="L1293" s="19"/>
      <c r="M1293" s="39"/>
      <c r="N1293" s="19"/>
      <c r="O1293" s="19"/>
      <c r="P1293" s="43" t="str">
        <f aca="false">IF($E1293="","",IF($L1293="Decline",0,IF($L1293="Approve fewer",IF($M1293="","",$M1293),IF($L1293="","",$I1293))))</f>
        <v/>
      </c>
      <c r="Q1293" s="34" t="str">
        <f aca="false">IF($P1293="","",IF($N1293&lt;&gt;"",$N1293,$J1293))</f>
        <v/>
      </c>
      <c r="R1293" s="35" t="str">
        <f aca="false">IF(OR($P1293="",$Q1293=""),"",INDEX(BookRate,1288)*$P1293*(5-MATCH($Q1293,{"Q1";"Q2";"Q3";"Q4"},0))/4+INDEX(BookOneOff,1288)*$P1293)</f>
        <v/>
      </c>
      <c r="S1293" s="35" t="str">
        <f aca="false">IF($P1293="","",INDEX(BookRate,1288)*$P1293)</f>
        <v/>
      </c>
      <c r="T1293" s="35" t="str">
        <f aca="false">IF($R1293="","",$R1293-$K1293)</f>
        <v/>
      </c>
      <c r="U1293" s="35" t="str">
        <f aca="false">IF(N($P1293)&lt;=0,"",COUNTIF($P$6:$P1293,"&gt;0"))</f>
        <v/>
      </c>
    </row>
    <row r="1294" customFormat="false" ht="15" hidden="false" customHeight="false" outlineLevel="0" collapsed="false">
      <c r="A1294" s="40" t="str">
        <f aca="false">IF(INDEX(BookTitle,1289)="","",INDEX(BookGroup,1289))</f>
        <v/>
      </c>
      <c r="B1294" s="40" t="str">
        <f aca="false">IF(INDEX(BookTitle,1289)="","",INDEX(BookRef,1289))</f>
        <v/>
      </c>
      <c r="C1294" s="40" t="str">
        <f aca="false">IF(INDEX(BookTitle,1289)="","",INDEX(BookDivision,1289))</f>
        <v/>
      </c>
      <c r="D1294" s="40" t="str">
        <f aca="false">IF(INDEX(BookTitle,1289)="","",INDEX(BookUnit,1289))</f>
        <v/>
      </c>
      <c r="E1294" s="40" t="str">
        <f aca="false">IF(INDEX(BookTitle,1289)="","",INDEX(BookTitle,1289))</f>
        <v/>
      </c>
      <c r="F1294" s="40" t="str">
        <f aca="false">IF(INDEX(BookTitle,1289)="","",INDEX(BookLevel,1289))</f>
        <v/>
      </c>
      <c r="G1294" s="40" t="str">
        <f aca="false">IF(INDEX(BookTitle,1289)="","",INDEX(BookCategory,1289))</f>
        <v/>
      </c>
      <c r="H1294" s="40" t="str">
        <f aca="false">IF(INDEX(BookTitle,1289)="","",INDEX(BookRank,1289))</f>
        <v/>
      </c>
      <c r="I1294" s="41" t="str">
        <f aca="false">IF(INDEX(BookTitle,1289)="","",INDEX(BookTotal,1289))</f>
        <v/>
      </c>
      <c r="J1294" s="0" t="str">
        <f aca="false">IF($I1294="","",IF(INDEX(BookQ1,1289)&gt;0,"Q1",IF(INDEX(BookQ2,1289)&gt;0,"Q2",IF(INDEX(BookQ3,1289)&gt;0,"Q3",IF(INDEX(BookQ4,1289)&gt;0,"Q4","")))))</f>
        <v/>
      </c>
      <c r="K1294" s="42" t="str">
        <f aca="false">IF(INDEX(BookTitle,1289)="","",INDEX(BookInYear,1289))</f>
        <v/>
      </c>
      <c r="L1294" s="19"/>
      <c r="M1294" s="39"/>
      <c r="N1294" s="19"/>
      <c r="O1294" s="19"/>
      <c r="P1294" s="43" t="str">
        <f aca="false">IF($E1294="","",IF($L1294="Decline",0,IF($L1294="Approve fewer",IF($M1294="","",$M1294),IF($L1294="","",$I1294))))</f>
        <v/>
      </c>
      <c r="Q1294" s="34" t="str">
        <f aca="false">IF($P1294="","",IF($N1294&lt;&gt;"",$N1294,$J1294))</f>
        <v/>
      </c>
      <c r="R1294" s="35" t="str">
        <f aca="false">IF(OR($P1294="",$Q1294=""),"",INDEX(BookRate,1289)*$P1294*(5-MATCH($Q1294,{"Q1";"Q2";"Q3";"Q4"},0))/4+INDEX(BookOneOff,1289)*$P1294)</f>
        <v/>
      </c>
      <c r="S1294" s="35" t="str">
        <f aca="false">IF($P1294="","",INDEX(BookRate,1289)*$P1294)</f>
        <v/>
      </c>
      <c r="T1294" s="35" t="str">
        <f aca="false">IF($R1294="","",$R1294-$K1294)</f>
        <v/>
      </c>
      <c r="U1294" s="35" t="str">
        <f aca="false">IF(N($P1294)&lt;=0,"",COUNTIF($P$6:$P1294,"&gt;0"))</f>
        <v/>
      </c>
    </row>
    <row r="1295" customFormat="false" ht="15" hidden="false" customHeight="false" outlineLevel="0" collapsed="false">
      <c r="A1295" s="40" t="str">
        <f aca="false">IF(INDEX(BookTitle,1290)="","",INDEX(BookGroup,1290))</f>
        <v/>
      </c>
      <c r="B1295" s="40" t="str">
        <f aca="false">IF(INDEX(BookTitle,1290)="","",INDEX(BookRef,1290))</f>
        <v/>
      </c>
      <c r="C1295" s="40" t="str">
        <f aca="false">IF(INDEX(BookTitle,1290)="","",INDEX(BookDivision,1290))</f>
        <v/>
      </c>
      <c r="D1295" s="40" t="str">
        <f aca="false">IF(INDEX(BookTitle,1290)="","",INDEX(BookUnit,1290))</f>
        <v/>
      </c>
      <c r="E1295" s="40" t="str">
        <f aca="false">IF(INDEX(BookTitle,1290)="","",INDEX(BookTitle,1290))</f>
        <v/>
      </c>
      <c r="F1295" s="40" t="str">
        <f aca="false">IF(INDEX(BookTitle,1290)="","",INDEX(BookLevel,1290))</f>
        <v/>
      </c>
      <c r="G1295" s="40" t="str">
        <f aca="false">IF(INDEX(BookTitle,1290)="","",INDEX(BookCategory,1290))</f>
        <v/>
      </c>
      <c r="H1295" s="40" t="str">
        <f aca="false">IF(INDEX(BookTitle,1290)="","",INDEX(BookRank,1290))</f>
        <v/>
      </c>
      <c r="I1295" s="41" t="str">
        <f aca="false">IF(INDEX(BookTitle,1290)="","",INDEX(BookTotal,1290))</f>
        <v/>
      </c>
      <c r="J1295" s="0" t="str">
        <f aca="false">IF($I1295="","",IF(INDEX(BookQ1,1290)&gt;0,"Q1",IF(INDEX(BookQ2,1290)&gt;0,"Q2",IF(INDEX(BookQ3,1290)&gt;0,"Q3",IF(INDEX(BookQ4,1290)&gt;0,"Q4","")))))</f>
        <v/>
      </c>
      <c r="K1295" s="42" t="str">
        <f aca="false">IF(INDEX(BookTitle,1290)="","",INDEX(BookInYear,1290))</f>
        <v/>
      </c>
      <c r="L1295" s="19"/>
      <c r="M1295" s="39"/>
      <c r="N1295" s="19"/>
      <c r="O1295" s="19"/>
      <c r="P1295" s="43" t="str">
        <f aca="false">IF($E1295="","",IF($L1295="Decline",0,IF($L1295="Approve fewer",IF($M1295="","",$M1295),IF($L1295="","",$I1295))))</f>
        <v/>
      </c>
      <c r="Q1295" s="34" t="str">
        <f aca="false">IF($P1295="","",IF($N1295&lt;&gt;"",$N1295,$J1295))</f>
        <v/>
      </c>
      <c r="R1295" s="35" t="str">
        <f aca="false">IF(OR($P1295="",$Q1295=""),"",INDEX(BookRate,1290)*$P1295*(5-MATCH($Q1295,{"Q1";"Q2";"Q3";"Q4"},0))/4+INDEX(BookOneOff,1290)*$P1295)</f>
        <v/>
      </c>
      <c r="S1295" s="35" t="str">
        <f aca="false">IF($P1295="","",INDEX(BookRate,1290)*$P1295)</f>
        <v/>
      </c>
      <c r="T1295" s="35" t="str">
        <f aca="false">IF($R1295="","",$R1295-$K1295)</f>
        <v/>
      </c>
      <c r="U1295" s="35" t="str">
        <f aca="false">IF(N($P1295)&lt;=0,"",COUNTIF($P$6:$P1295,"&gt;0"))</f>
        <v/>
      </c>
    </row>
    <row r="1296" customFormat="false" ht="15" hidden="false" customHeight="false" outlineLevel="0" collapsed="false">
      <c r="A1296" s="40" t="str">
        <f aca="false">IF(INDEX(BookTitle,1291)="","",INDEX(BookGroup,1291))</f>
        <v/>
      </c>
      <c r="B1296" s="40" t="str">
        <f aca="false">IF(INDEX(BookTitle,1291)="","",INDEX(BookRef,1291))</f>
        <v/>
      </c>
      <c r="C1296" s="40" t="str">
        <f aca="false">IF(INDEX(BookTitle,1291)="","",INDEX(BookDivision,1291))</f>
        <v/>
      </c>
      <c r="D1296" s="40" t="str">
        <f aca="false">IF(INDEX(BookTitle,1291)="","",INDEX(BookUnit,1291))</f>
        <v/>
      </c>
      <c r="E1296" s="40" t="str">
        <f aca="false">IF(INDEX(BookTitle,1291)="","",INDEX(BookTitle,1291))</f>
        <v/>
      </c>
      <c r="F1296" s="40" t="str">
        <f aca="false">IF(INDEX(BookTitle,1291)="","",INDEX(BookLevel,1291))</f>
        <v/>
      </c>
      <c r="G1296" s="40" t="str">
        <f aca="false">IF(INDEX(BookTitle,1291)="","",INDEX(BookCategory,1291))</f>
        <v/>
      </c>
      <c r="H1296" s="40" t="str">
        <f aca="false">IF(INDEX(BookTitle,1291)="","",INDEX(BookRank,1291))</f>
        <v/>
      </c>
      <c r="I1296" s="41" t="str">
        <f aca="false">IF(INDEX(BookTitle,1291)="","",INDEX(BookTotal,1291))</f>
        <v/>
      </c>
      <c r="J1296" s="0" t="str">
        <f aca="false">IF($I1296="","",IF(INDEX(BookQ1,1291)&gt;0,"Q1",IF(INDEX(BookQ2,1291)&gt;0,"Q2",IF(INDEX(BookQ3,1291)&gt;0,"Q3",IF(INDEX(BookQ4,1291)&gt;0,"Q4","")))))</f>
        <v/>
      </c>
      <c r="K1296" s="42" t="str">
        <f aca="false">IF(INDEX(BookTitle,1291)="","",INDEX(BookInYear,1291))</f>
        <v/>
      </c>
      <c r="L1296" s="19"/>
      <c r="M1296" s="39"/>
      <c r="N1296" s="19"/>
      <c r="O1296" s="19"/>
      <c r="P1296" s="43" t="str">
        <f aca="false">IF($E1296="","",IF($L1296="Decline",0,IF($L1296="Approve fewer",IF($M1296="","",$M1296),IF($L1296="","",$I1296))))</f>
        <v/>
      </c>
      <c r="Q1296" s="34" t="str">
        <f aca="false">IF($P1296="","",IF($N1296&lt;&gt;"",$N1296,$J1296))</f>
        <v/>
      </c>
      <c r="R1296" s="35" t="str">
        <f aca="false">IF(OR($P1296="",$Q1296=""),"",INDEX(BookRate,1291)*$P1296*(5-MATCH($Q1296,{"Q1";"Q2";"Q3";"Q4"},0))/4+INDEX(BookOneOff,1291)*$P1296)</f>
        <v/>
      </c>
      <c r="S1296" s="35" t="str">
        <f aca="false">IF($P1296="","",INDEX(BookRate,1291)*$P1296)</f>
        <v/>
      </c>
      <c r="T1296" s="35" t="str">
        <f aca="false">IF($R1296="","",$R1296-$K1296)</f>
        <v/>
      </c>
      <c r="U1296" s="35" t="str">
        <f aca="false">IF(N($P1296)&lt;=0,"",COUNTIF($P$6:$P1296,"&gt;0"))</f>
        <v/>
      </c>
    </row>
    <row r="1297" customFormat="false" ht="15" hidden="false" customHeight="false" outlineLevel="0" collapsed="false">
      <c r="A1297" s="40" t="str">
        <f aca="false">IF(INDEX(BookTitle,1292)="","",INDEX(BookGroup,1292))</f>
        <v/>
      </c>
      <c r="B1297" s="40" t="str">
        <f aca="false">IF(INDEX(BookTitle,1292)="","",INDEX(BookRef,1292))</f>
        <v/>
      </c>
      <c r="C1297" s="40" t="str">
        <f aca="false">IF(INDEX(BookTitle,1292)="","",INDEX(BookDivision,1292))</f>
        <v/>
      </c>
      <c r="D1297" s="40" t="str">
        <f aca="false">IF(INDEX(BookTitle,1292)="","",INDEX(BookUnit,1292))</f>
        <v/>
      </c>
      <c r="E1297" s="40" t="str">
        <f aca="false">IF(INDEX(BookTitle,1292)="","",INDEX(BookTitle,1292))</f>
        <v/>
      </c>
      <c r="F1297" s="40" t="str">
        <f aca="false">IF(INDEX(BookTitle,1292)="","",INDEX(BookLevel,1292))</f>
        <v/>
      </c>
      <c r="G1297" s="40" t="str">
        <f aca="false">IF(INDEX(BookTitle,1292)="","",INDEX(BookCategory,1292))</f>
        <v/>
      </c>
      <c r="H1297" s="40" t="str">
        <f aca="false">IF(INDEX(BookTitle,1292)="","",INDEX(BookRank,1292))</f>
        <v/>
      </c>
      <c r="I1297" s="41" t="str">
        <f aca="false">IF(INDEX(BookTitle,1292)="","",INDEX(BookTotal,1292))</f>
        <v/>
      </c>
      <c r="J1297" s="0" t="str">
        <f aca="false">IF($I1297="","",IF(INDEX(BookQ1,1292)&gt;0,"Q1",IF(INDEX(BookQ2,1292)&gt;0,"Q2",IF(INDEX(BookQ3,1292)&gt;0,"Q3",IF(INDEX(BookQ4,1292)&gt;0,"Q4","")))))</f>
        <v/>
      </c>
      <c r="K1297" s="42" t="str">
        <f aca="false">IF(INDEX(BookTitle,1292)="","",INDEX(BookInYear,1292))</f>
        <v/>
      </c>
      <c r="L1297" s="19"/>
      <c r="M1297" s="39"/>
      <c r="N1297" s="19"/>
      <c r="O1297" s="19"/>
      <c r="P1297" s="43" t="str">
        <f aca="false">IF($E1297="","",IF($L1297="Decline",0,IF($L1297="Approve fewer",IF($M1297="","",$M1297),IF($L1297="","",$I1297))))</f>
        <v/>
      </c>
      <c r="Q1297" s="34" t="str">
        <f aca="false">IF($P1297="","",IF($N1297&lt;&gt;"",$N1297,$J1297))</f>
        <v/>
      </c>
      <c r="R1297" s="35" t="str">
        <f aca="false">IF(OR($P1297="",$Q1297=""),"",INDEX(BookRate,1292)*$P1297*(5-MATCH($Q1297,{"Q1";"Q2";"Q3";"Q4"},0))/4+INDEX(BookOneOff,1292)*$P1297)</f>
        <v/>
      </c>
      <c r="S1297" s="35" t="str">
        <f aca="false">IF($P1297="","",INDEX(BookRate,1292)*$P1297)</f>
        <v/>
      </c>
      <c r="T1297" s="35" t="str">
        <f aca="false">IF($R1297="","",$R1297-$K1297)</f>
        <v/>
      </c>
      <c r="U1297" s="35" t="str">
        <f aca="false">IF(N($P1297)&lt;=0,"",COUNTIF($P$6:$P1297,"&gt;0"))</f>
        <v/>
      </c>
    </row>
    <row r="1298" customFormat="false" ht="15" hidden="false" customHeight="false" outlineLevel="0" collapsed="false">
      <c r="A1298" s="40" t="str">
        <f aca="false">IF(INDEX(BookTitle,1293)="","",INDEX(BookGroup,1293))</f>
        <v/>
      </c>
      <c r="B1298" s="40" t="str">
        <f aca="false">IF(INDEX(BookTitle,1293)="","",INDEX(BookRef,1293))</f>
        <v/>
      </c>
      <c r="C1298" s="40" t="str">
        <f aca="false">IF(INDEX(BookTitle,1293)="","",INDEX(BookDivision,1293))</f>
        <v/>
      </c>
      <c r="D1298" s="40" t="str">
        <f aca="false">IF(INDEX(BookTitle,1293)="","",INDEX(BookUnit,1293))</f>
        <v/>
      </c>
      <c r="E1298" s="40" t="str">
        <f aca="false">IF(INDEX(BookTitle,1293)="","",INDEX(BookTitle,1293))</f>
        <v/>
      </c>
      <c r="F1298" s="40" t="str">
        <f aca="false">IF(INDEX(BookTitle,1293)="","",INDEX(BookLevel,1293))</f>
        <v/>
      </c>
      <c r="G1298" s="40" t="str">
        <f aca="false">IF(INDEX(BookTitle,1293)="","",INDEX(BookCategory,1293))</f>
        <v/>
      </c>
      <c r="H1298" s="40" t="str">
        <f aca="false">IF(INDEX(BookTitle,1293)="","",INDEX(BookRank,1293))</f>
        <v/>
      </c>
      <c r="I1298" s="41" t="str">
        <f aca="false">IF(INDEX(BookTitle,1293)="","",INDEX(BookTotal,1293))</f>
        <v/>
      </c>
      <c r="J1298" s="0" t="str">
        <f aca="false">IF($I1298="","",IF(INDEX(BookQ1,1293)&gt;0,"Q1",IF(INDEX(BookQ2,1293)&gt;0,"Q2",IF(INDEX(BookQ3,1293)&gt;0,"Q3",IF(INDEX(BookQ4,1293)&gt;0,"Q4","")))))</f>
        <v/>
      </c>
      <c r="K1298" s="42" t="str">
        <f aca="false">IF(INDEX(BookTitle,1293)="","",INDEX(BookInYear,1293))</f>
        <v/>
      </c>
      <c r="L1298" s="19"/>
      <c r="M1298" s="39"/>
      <c r="N1298" s="19"/>
      <c r="O1298" s="19"/>
      <c r="P1298" s="43" t="str">
        <f aca="false">IF($E1298="","",IF($L1298="Decline",0,IF($L1298="Approve fewer",IF($M1298="","",$M1298),IF($L1298="","",$I1298))))</f>
        <v/>
      </c>
      <c r="Q1298" s="34" t="str">
        <f aca="false">IF($P1298="","",IF($N1298&lt;&gt;"",$N1298,$J1298))</f>
        <v/>
      </c>
      <c r="R1298" s="35" t="str">
        <f aca="false">IF(OR($P1298="",$Q1298=""),"",INDEX(BookRate,1293)*$P1298*(5-MATCH($Q1298,{"Q1";"Q2";"Q3";"Q4"},0))/4+INDEX(BookOneOff,1293)*$P1298)</f>
        <v/>
      </c>
      <c r="S1298" s="35" t="str">
        <f aca="false">IF($P1298="","",INDEX(BookRate,1293)*$P1298)</f>
        <v/>
      </c>
      <c r="T1298" s="35" t="str">
        <f aca="false">IF($R1298="","",$R1298-$K1298)</f>
        <v/>
      </c>
      <c r="U1298" s="35" t="str">
        <f aca="false">IF(N($P1298)&lt;=0,"",COUNTIF($P$6:$P1298,"&gt;0"))</f>
        <v/>
      </c>
    </row>
    <row r="1299" customFormat="false" ht="15" hidden="false" customHeight="false" outlineLevel="0" collapsed="false">
      <c r="A1299" s="40" t="str">
        <f aca="false">IF(INDEX(BookTitle,1294)="","",INDEX(BookGroup,1294))</f>
        <v/>
      </c>
      <c r="B1299" s="40" t="str">
        <f aca="false">IF(INDEX(BookTitle,1294)="","",INDEX(BookRef,1294))</f>
        <v/>
      </c>
      <c r="C1299" s="40" t="str">
        <f aca="false">IF(INDEX(BookTitle,1294)="","",INDEX(BookDivision,1294))</f>
        <v/>
      </c>
      <c r="D1299" s="40" t="str">
        <f aca="false">IF(INDEX(BookTitle,1294)="","",INDEX(BookUnit,1294))</f>
        <v/>
      </c>
      <c r="E1299" s="40" t="str">
        <f aca="false">IF(INDEX(BookTitle,1294)="","",INDEX(BookTitle,1294))</f>
        <v/>
      </c>
      <c r="F1299" s="40" t="str">
        <f aca="false">IF(INDEX(BookTitle,1294)="","",INDEX(BookLevel,1294))</f>
        <v/>
      </c>
      <c r="G1299" s="40" t="str">
        <f aca="false">IF(INDEX(BookTitle,1294)="","",INDEX(BookCategory,1294))</f>
        <v/>
      </c>
      <c r="H1299" s="40" t="str">
        <f aca="false">IF(INDEX(BookTitle,1294)="","",INDEX(BookRank,1294))</f>
        <v/>
      </c>
      <c r="I1299" s="41" t="str">
        <f aca="false">IF(INDEX(BookTitle,1294)="","",INDEX(BookTotal,1294))</f>
        <v/>
      </c>
      <c r="J1299" s="0" t="str">
        <f aca="false">IF($I1299="","",IF(INDEX(BookQ1,1294)&gt;0,"Q1",IF(INDEX(BookQ2,1294)&gt;0,"Q2",IF(INDEX(BookQ3,1294)&gt;0,"Q3",IF(INDEX(BookQ4,1294)&gt;0,"Q4","")))))</f>
        <v/>
      </c>
      <c r="K1299" s="42" t="str">
        <f aca="false">IF(INDEX(BookTitle,1294)="","",INDEX(BookInYear,1294))</f>
        <v/>
      </c>
      <c r="L1299" s="19"/>
      <c r="M1299" s="39"/>
      <c r="N1299" s="19"/>
      <c r="O1299" s="19"/>
      <c r="P1299" s="43" t="str">
        <f aca="false">IF($E1299="","",IF($L1299="Decline",0,IF($L1299="Approve fewer",IF($M1299="","",$M1299),IF($L1299="","",$I1299))))</f>
        <v/>
      </c>
      <c r="Q1299" s="34" t="str">
        <f aca="false">IF($P1299="","",IF($N1299&lt;&gt;"",$N1299,$J1299))</f>
        <v/>
      </c>
      <c r="R1299" s="35" t="str">
        <f aca="false">IF(OR($P1299="",$Q1299=""),"",INDEX(BookRate,1294)*$P1299*(5-MATCH($Q1299,{"Q1";"Q2";"Q3";"Q4"},0))/4+INDEX(BookOneOff,1294)*$P1299)</f>
        <v/>
      </c>
      <c r="S1299" s="35" t="str">
        <f aca="false">IF($P1299="","",INDEX(BookRate,1294)*$P1299)</f>
        <v/>
      </c>
      <c r="T1299" s="35" t="str">
        <f aca="false">IF($R1299="","",$R1299-$K1299)</f>
        <v/>
      </c>
      <c r="U1299" s="35" t="str">
        <f aca="false">IF(N($P1299)&lt;=0,"",COUNTIF($P$6:$P1299,"&gt;0"))</f>
        <v/>
      </c>
    </row>
    <row r="1300" customFormat="false" ht="15" hidden="false" customHeight="false" outlineLevel="0" collapsed="false">
      <c r="A1300" s="40" t="str">
        <f aca="false">IF(INDEX(BookTitle,1295)="","",INDEX(BookGroup,1295))</f>
        <v/>
      </c>
      <c r="B1300" s="40" t="str">
        <f aca="false">IF(INDEX(BookTitle,1295)="","",INDEX(BookRef,1295))</f>
        <v/>
      </c>
      <c r="C1300" s="40" t="str">
        <f aca="false">IF(INDEX(BookTitle,1295)="","",INDEX(BookDivision,1295))</f>
        <v/>
      </c>
      <c r="D1300" s="40" t="str">
        <f aca="false">IF(INDEX(BookTitle,1295)="","",INDEX(BookUnit,1295))</f>
        <v/>
      </c>
      <c r="E1300" s="40" t="str">
        <f aca="false">IF(INDEX(BookTitle,1295)="","",INDEX(BookTitle,1295))</f>
        <v/>
      </c>
      <c r="F1300" s="40" t="str">
        <f aca="false">IF(INDEX(BookTitle,1295)="","",INDEX(BookLevel,1295))</f>
        <v/>
      </c>
      <c r="G1300" s="40" t="str">
        <f aca="false">IF(INDEX(BookTitle,1295)="","",INDEX(BookCategory,1295))</f>
        <v/>
      </c>
      <c r="H1300" s="40" t="str">
        <f aca="false">IF(INDEX(BookTitle,1295)="","",INDEX(BookRank,1295))</f>
        <v/>
      </c>
      <c r="I1300" s="41" t="str">
        <f aca="false">IF(INDEX(BookTitle,1295)="","",INDEX(BookTotal,1295))</f>
        <v/>
      </c>
      <c r="J1300" s="0" t="str">
        <f aca="false">IF($I1300="","",IF(INDEX(BookQ1,1295)&gt;0,"Q1",IF(INDEX(BookQ2,1295)&gt;0,"Q2",IF(INDEX(BookQ3,1295)&gt;0,"Q3",IF(INDEX(BookQ4,1295)&gt;0,"Q4","")))))</f>
        <v/>
      </c>
      <c r="K1300" s="42" t="str">
        <f aca="false">IF(INDEX(BookTitle,1295)="","",INDEX(BookInYear,1295))</f>
        <v/>
      </c>
      <c r="L1300" s="19"/>
      <c r="M1300" s="39"/>
      <c r="N1300" s="19"/>
      <c r="O1300" s="19"/>
      <c r="P1300" s="43" t="str">
        <f aca="false">IF($E1300="","",IF($L1300="Decline",0,IF($L1300="Approve fewer",IF($M1300="","",$M1300),IF($L1300="","",$I1300))))</f>
        <v/>
      </c>
      <c r="Q1300" s="34" t="str">
        <f aca="false">IF($P1300="","",IF($N1300&lt;&gt;"",$N1300,$J1300))</f>
        <v/>
      </c>
      <c r="R1300" s="35" t="str">
        <f aca="false">IF(OR($P1300="",$Q1300=""),"",INDEX(BookRate,1295)*$P1300*(5-MATCH($Q1300,{"Q1";"Q2";"Q3";"Q4"},0))/4+INDEX(BookOneOff,1295)*$P1300)</f>
        <v/>
      </c>
      <c r="S1300" s="35" t="str">
        <f aca="false">IF($P1300="","",INDEX(BookRate,1295)*$P1300)</f>
        <v/>
      </c>
      <c r="T1300" s="35" t="str">
        <f aca="false">IF($R1300="","",$R1300-$K1300)</f>
        <v/>
      </c>
      <c r="U1300" s="35" t="str">
        <f aca="false">IF(N($P1300)&lt;=0,"",COUNTIF($P$6:$P1300,"&gt;0"))</f>
        <v/>
      </c>
    </row>
    <row r="1301" customFormat="false" ht="15" hidden="false" customHeight="false" outlineLevel="0" collapsed="false">
      <c r="A1301" s="40" t="str">
        <f aca="false">IF(INDEX(BookTitle,1296)="","",INDEX(BookGroup,1296))</f>
        <v/>
      </c>
      <c r="B1301" s="40" t="str">
        <f aca="false">IF(INDEX(BookTitle,1296)="","",INDEX(BookRef,1296))</f>
        <v/>
      </c>
      <c r="C1301" s="40" t="str">
        <f aca="false">IF(INDEX(BookTitle,1296)="","",INDEX(BookDivision,1296))</f>
        <v/>
      </c>
      <c r="D1301" s="40" t="str">
        <f aca="false">IF(INDEX(BookTitle,1296)="","",INDEX(BookUnit,1296))</f>
        <v/>
      </c>
      <c r="E1301" s="40" t="str">
        <f aca="false">IF(INDEX(BookTitle,1296)="","",INDEX(BookTitle,1296))</f>
        <v/>
      </c>
      <c r="F1301" s="40" t="str">
        <f aca="false">IF(INDEX(BookTitle,1296)="","",INDEX(BookLevel,1296))</f>
        <v/>
      </c>
      <c r="G1301" s="40" t="str">
        <f aca="false">IF(INDEX(BookTitle,1296)="","",INDEX(BookCategory,1296))</f>
        <v/>
      </c>
      <c r="H1301" s="40" t="str">
        <f aca="false">IF(INDEX(BookTitle,1296)="","",INDEX(BookRank,1296))</f>
        <v/>
      </c>
      <c r="I1301" s="41" t="str">
        <f aca="false">IF(INDEX(BookTitle,1296)="","",INDEX(BookTotal,1296))</f>
        <v/>
      </c>
      <c r="J1301" s="0" t="str">
        <f aca="false">IF($I1301="","",IF(INDEX(BookQ1,1296)&gt;0,"Q1",IF(INDEX(BookQ2,1296)&gt;0,"Q2",IF(INDEX(BookQ3,1296)&gt;0,"Q3",IF(INDEX(BookQ4,1296)&gt;0,"Q4","")))))</f>
        <v/>
      </c>
      <c r="K1301" s="42" t="str">
        <f aca="false">IF(INDEX(BookTitle,1296)="","",INDEX(BookInYear,1296))</f>
        <v/>
      </c>
      <c r="L1301" s="19"/>
      <c r="M1301" s="39"/>
      <c r="N1301" s="19"/>
      <c r="O1301" s="19"/>
      <c r="P1301" s="43" t="str">
        <f aca="false">IF($E1301="","",IF($L1301="Decline",0,IF($L1301="Approve fewer",IF($M1301="","",$M1301),IF($L1301="","",$I1301))))</f>
        <v/>
      </c>
      <c r="Q1301" s="34" t="str">
        <f aca="false">IF($P1301="","",IF($N1301&lt;&gt;"",$N1301,$J1301))</f>
        <v/>
      </c>
      <c r="R1301" s="35" t="str">
        <f aca="false">IF(OR($P1301="",$Q1301=""),"",INDEX(BookRate,1296)*$P1301*(5-MATCH($Q1301,{"Q1";"Q2";"Q3";"Q4"},0))/4+INDEX(BookOneOff,1296)*$P1301)</f>
        <v/>
      </c>
      <c r="S1301" s="35" t="str">
        <f aca="false">IF($P1301="","",INDEX(BookRate,1296)*$P1301)</f>
        <v/>
      </c>
      <c r="T1301" s="35" t="str">
        <f aca="false">IF($R1301="","",$R1301-$K1301)</f>
        <v/>
      </c>
      <c r="U1301" s="35" t="str">
        <f aca="false">IF(N($P1301)&lt;=0,"",COUNTIF($P$6:$P1301,"&gt;0"))</f>
        <v/>
      </c>
    </row>
    <row r="1302" customFormat="false" ht="15" hidden="false" customHeight="false" outlineLevel="0" collapsed="false">
      <c r="A1302" s="40" t="str">
        <f aca="false">IF(INDEX(BookTitle,1297)="","",INDEX(BookGroup,1297))</f>
        <v/>
      </c>
      <c r="B1302" s="40" t="str">
        <f aca="false">IF(INDEX(BookTitle,1297)="","",INDEX(BookRef,1297))</f>
        <v/>
      </c>
      <c r="C1302" s="40" t="str">
        <f aca="false">IF(INDEX(BookTitle,1297)="","",INDEX(BookDivision,1297))</f>
        <v/>
      </c>
      <c r="D1302" s="40" t="str">
        <f aca="false">IF(INDEX(BookTitle,1297)="","",INDEX(BookUnit,1297))</f>
        <v/>
      </c>
      <c r="E1302" s="40" t="str">
        <f aca="false">IF(INDEX(BookTitle,1297)="","",INDEX(BookTitle,1297))</f>
        <v/>
      </c>
      <c r="F1302" s="40" t="str">
        <f aca="false">IF(INDEX(BookTitle,1297)="","",INDEX(BookLevel,1297))</f>
        <v/>
      </c>
      <c r="G1302" s="40" t="str">
        <f aca="false">IF(INDEX(BookTitle,1297)="","",INDEX(BookCategory,1297))</f>
        <v/>
      </c>
      <c r="H1302" s="40" t="str">
        <f aca="false">IF(INDEX(BookTitle,1297)="","",INDEX(BookRank,1297))</f>
        <v/>
      </c>
      <c r="I1302" s="41" t="str">
        <f aca="false">IF(INDEX(BookTitle,1297)="","",INDEX(BookTotal,1297))</f>
        <v/>
      </c>
      <c r="J1302" s="0" t="str">
        <f aca="false">IF($I1302="","",IF(INDEX(BookQ1,1297)&gt;0,"Q1",IF(INDEX(BookQ2,1297)&gt;0,"Q2",IF(INDEX(BookQ3,1297)&gt;0,"Q3",IF(INDEX(BookQ4,1297)&gt;0,"Q4","")))))</f>
        <v/>
      </c>
      <c r="K1302" s="42" t="str">
        <f aca="false">IF(INDEX(BookTitle,1297)="","",INDEX(BookInYear,1297))</f>
        <v/>
      </c>
      <c r="L1302" s="19"/>
      <c r="M1302" s="39"/>
      <c r="N1302" s="19"/>
      <c r="O1302" s="19"/>
      <c r="P1302" s="43" t="str">
        <f aca="false">IF($E1302="","",IF($L1302="Decline",0,IF($L1302="Approve fewer",IF($M1302="","",$M1302),IF($L1302="","",$I1302))))</f>
        <v/>
      </c>
      <c r="Q1302" s="34" t="str">
        <f aca="false">IF($P1302="","",IF($N1302&lt;&gt;"",$N1302,$J1302))</f>
        <v/>
      </c>
      <c r="R1302" s="35" t="str">
        <f aca="false">IF(OR($P1302="",$Q1302=""),"",INDEX(BookRate,1297)*$P1302*(5-MATCH($Q1302,{"Q1";"Q2";"Q3";"Q4"},0))/4+INDEX(BookOneOff,1297)*$P1302)</f>
        <v/>
      </c>
      <c r="S1302" s="35" t="str">
        <f aca="false">IF($P1302="","",INDEX(BookRate,1297)*$P1302)</f>
        <v/>
      </c>
      <c r="T1302" s="35" t="str">
        <f aca="false">IF($R1302="","",$R1302-$K1302)</f>
        <v/>
      </c>
      <c r="U1302" s="35" t="str">
        <f aca="false">IF(N($P1302)&lt;=0,"",COUNTIF($P$6:$P1302,"&gt;0"))</f>
        <v/>
      </c>
    </row>
    <row r="1303" customFormat="false" ht="15" hidden="false" customHeight="false" outlineLevel="0" collapsed="false">
      <c r="A1303" s="40" t="str">
        <f aca="false">IF(INDEX(BookTitle,1298)="","",INDEX(BookGroup,1298))</f>
        <v/>
      </c>
      <c r="B1303" s="40" t="str">
        <f aca="false">IF(INDEX(BookTitle,1298)="","",INDEX(BookRef,1298))</f>
        <v/>
      </c>
      <c r="C1303" s="40" t="str">
        <f aca="false">IF(INDEX(BookTitle,1298)="","",INDEX(BookDivision,1298))</f>
        <v/>
      </c>
      <c r="D1303" s="40" t="str">
        <f aca="false">IF(INDEX(BookTitle,1298)="","",INDEX(BookUnit,1298))</f>
        <v/>
      </c>
      <c r="E1303" s="40" t="str">
        <f aca="false">IF(INDEX(BookTitle,1298)="","",INDEX(BookTitle,1298))</f>
        <v/>
      </c>
      <c r="F1303" s="40" t="str">
        <f aca="false">IF(INDEX(BookTitle,1298)="","",INDEX(BookLevel,1298))</f>
        <v/>
      </c>
      <c r="G1303" s="40" t="str">
        <f aca="false">IF(INDEX(BookTitle,1298)="","",INDEX(BookCategory,1298))</f>
        <v/>
      </c>
      <c r="H1303" s="40" t="str">
        <f aca="false">IF(INDEX(BookTitle,1298)="","",INDEX(BookRank,1298))</f>
        <v/>
      </c>
      <c r="I1303" s="41" t="str">
        <f aca="false">IF(INDEX(BookTitle,1298)="","",INDEX(BookTotal,1298))</f>
        <v/>
      </c>
      <c r="J1303" s="0" t="str">
        <f aca="false">IF($I1303="","",IF(INDEX(BookQ1,1298)&gt;0,"Q1",IF(INDEX(BookQ2,1298)&gt;0,"Q2",IF(INDEX(BookQ3,1298)&gt;0,"Q3",IF(INDEX(BookQ4,1298)&gt;0,"Q4","")))))</f>
        <v/>
      </c>
      <c r="K1303" s="42" t="str">
        <f aca="false">IF(INDEX(BookTitle,1298)="","",INDEX(BookInYear,1298))</f>
        <v/>
      </c>
      <c r="L1303" s="19"/>
      <c r="M1303" s="39"/>
      <c r="N1303" s="19"/>
      <c r="O1303" s="19"/>
      <c r="P1303" s="43" t="str">
        <f aca="false">IF($E1303="","",IF($L1303="Decline",0,IF($L1303="Approve fewer",IF($M1303="","",$M1303),IF($L1303="","",$I1303))))</f>
        <v/>
      </c>
      <c r="Q1303" s="34" t="str">
        <f aca="false">IF($P1303="","",IF($N1303&lt;&gt;"",$N1303,$J1303))</f>
        <v/>
      </c>
      <c r="R1303" s="35" t="str">
        <f aca="false">IF(OR($P1303="",$Q1303=""),"",INDEX(BookRate,1298)*$P1303*(5-MATCH($Q1303,{"Q1";"Q2";"Q3";"Q4"},0))/4+INDEX(BookOneOff,1298)*$P1303)</f>
        <v/>
      </c>
      <c r="S1303" s="35" t="str">
        <f aca="false">IF($P1303="","",INDEX(BookRate,1298)*$P1303)</f>
        <v/>
      </c>
      <c r="T1303" s="35" t="str">
        <f aca="false">IF($R1303="","",$R1303-$K1303)</f>
        <v/>
      </c>
      <c r="U1303" s="35" t="str">
        <f aca="false">IF(N($P1303)&lt;=0,"",COUNTIF($P$6:$P1303,"&gt;0"))</f>
        <v/>
      </c>
    </row>
    <row r="1304" customFormat="false" ht="15" hidden="false" customHeight="false" outlineLevel="0" collapsed="false">
      <c r="A1304" s="40" t="str">
        <f aca="false">IF(INDEX(BookTitle,1299)="","",INDEX(BookGroup,1299))</f>
        <v/>
      </c>
      <c r="B1304" s="40" t="str">
        <f aca="false">IF(INDEX(BookTitle,1299)="","",INDEX(BookRef,1299))</f>
        <v/>
      </c>
      <c r="C1304" s="40" t="str">
        <f aca="false">IF(INDEX(BookTitle,1299)="","",INDEX(BookDivision,1299))</f>
        <v/>
      </c>
      <c r="D1304" s="40" t="str">
        <f aca="false">IF(INDEX(BookTitle,1299)="","",INDEX(BookUnit,1299))</f>
        <v/>
      </c>
      <c r="E1304" s="40" t="str">
        <f aca="false">IF(INDEX(BookTitle,1299)="","",INDEX(BookTitle,1299))</f>
        <v/>
      </c>
      <c r="F1304" s="40" t="str">
        <f aca="false">IF(INDEX(BookTitle,1299)="","",INDEX(BookLevel,1299))</f>
        <v/>
      </c>
      <c r="G1304" s="40" t="str">
        <f aca="false">IF(INDEX(BookTitle,1299)="","",INDEX(BookCategory,1299))</f>
        <v/>
      </c>
      <c r="H1304" s="40" t="str">
        <f aca="false">IF(INDEX(BookTitle,1299)="","",INDEX(BookRank,1299))</f>
        <v/>
      </c>
      <c r="I1304" s="41" t="str">
        <f aca="false">IF(INDEX(BookTitle,1299)="","",INDEX(BookTotal,1299))</f>
        <v/>
      </c>
      <c r="J1304" s="0" t="str">
        <f aca="false">IF($I1304="","",IF(INDEX(BookQ1,1299)&gt;0,"Q1",IF(INDEX(BookQ2,1299)&gt;0,"Q2",IF(INDEX(BookQ3,1299)&gt;0,"Q3",IF(INDEX(BookQ4,1299)&gt;0,"Q4","")))))</f>
        <v/>
      </c>
      <c r="K1304" s="42" t="str">
        <f aca="false">IF(INDEX(BookTitle,1299)="","",INDEX(BookInYear,1299))</f>
        <v/>
      </c>
      <c r="L1304" s="19"/>
      <c r="M1304" s="39"/>
      <c r="N1304" s="19"/>
      <c r="O1304" s="19"/>
      <c r="P1304" s="43" t="str">
        <f aca="false">IF($E1304="","",IF($L1304="Decline",0,IF($L1304="Approve fewer",IF($M1304="","",$M1304),IF($L1304="","",$I1304))))</f>
        <v/>
      </c>
      <c r="Q1304" s="34" t="str">
        <f aca="false">IF($P1304="","",IF($N1304&lt;&gt;"",$N1304,$J1304))</f>
        <v/>
      </c>
      <c r="R1304" s="35" t="str">
        <f aca="false">IF(OR($P1304="",$Q1304=""),"",INDEX(BookRate,1299)*$P1304*(5-MATCH($Q1304,{"Q1";"Q2";"Q3";"Q4"},0))/4+INDEX(BookOneOff,1299)*$P1304)</f>
        <v/>
      </c>
      <c r="S1304" s="35" t="str">
        <f aca="false">IF($P1304="","",INDEX(BookRate,1299)*$P1304)</f>
        <v/>
      </c>
      <c r="T1304" s="35" t="str">
        <f aca="false">IF($R1304="","",$R1304-$K1304)</f>
        <v/>
      </c>
      <c r="U1304" s="35" t="str">
        <f aca="false">IF(N($P1304)&lt;=0,"",COUNTIF($P$6:$P1304,"&gt;0"))</f>
        <v/>
      </c>
    </row>
    <row r="1305" customFormat="false" ht="15" hidden="false" customHeight="false" outlineLevel="0" collapsed="false">
      <c r="A1305" s="40" t="str">
        <f aca="false">IF(INDEX(BookTitle,1300)="","",INDEX(BookGroup,1300))</f>
        <v/>
      </c>
      <c r="B1305" s="40" t="str">
        <f aca="false">IF(INDEX(BookTitle,1300)="","",INDEX(BookRef,1300))</f>
        <v/>
      </c>
      <c r="C1305" s="40" t="str">
        <f aca="false">IF(INDEX(BookTitle,1300)="","",INDEX(BookDivision,1300))</f>
        <v/>
      </c>
      <c r="D1305" s="40" t="str">
        <f aca="false">IF(INDEX(BookTitle,1300)="","",INDEX(BookUnit,1300))</f>
        <v/>
      </c>
      <c r="E1305" s="40" t="str">
        <f aca="false">IF(INDEX(BookTitle,1300)="","",INDEX(BookTitle,1300))</f>
        <v/>
      </c>
      <c r="F1305" s="40" t="str">
        <f aca="false">IF(INDEX(BookTitle,1300)="","",INDEX(BookLevel,1300))</f>
        <v/>
      </c>
      <c r="G1305" s="40" t="str">
        <f aca="false">IF(INDEX(BookTitle,1300)="","",INDEX(BookCategory,1300))</f>
        <v/>
      </c>
      <c r="H1305" s="40" t="str">
        <f aca="false">IF(INDEX(BookTitle,1300)="","",INDEX(BookRank,1300))</f>
        <v/>
      </c>
      <c r="I1305" s="41" t="str">
        <f aca="false">IF(INDEX(BookTitle,1300)="","",INDEX(BookTotal,1300))</f>
        <v/>
      </c>
      <c r="J1305" s="0" t="str">
        <f aca="false">IF($I1305="","",IF(INDEX(BookQ1,1300)&gt;0,"Q1",IF(INDEX(BookQ2,1300)&gt;0,"Q2",IF(INDEX(BookQ3,1300)&gt;0,"Q3",IF(INDEX(BookQ4,1300)&gt;0,"Q4","")))))</f>
        <v/>
      </c>
      <c r="K1305" s="42" t="str">
        <f aca="false">IF(INDEX(BookTitle,1300)="","",INDEX(BookInYear,1300))</f>
        <v/>
      </c>
      <c r="L1305" s="19"/>
      <c r="M1305" s="39"/>
      <c r="N1305" s="19"/>
      <c r="O1305" s="19"/>
      <c r="P1305" s="43" t="str">
        <f aca="false">IF($E1305="","",IF($L1305="Decline",0,IF($L1305="Approve fewer",IF($M1305="","",$M1305),IF($L1305="","",$I1305))))</f>
        <v/>
      </c>
      <c r="Q1305" s="34" t="str">
        <f aca="false">IF($P1305="","",IF($N1305&lt;&gt;"",$N1305,$J1305))</f>
        <v/>
      </c>
      <c r="R1305" s="35" t="str">
        <f aca="false">IF(OR($P1305="",$Q1305=""),"",INDEX(BookRate,1300)*$P1305*(5-MATCH($Q1305,{"Q1";"Q2";"Q3";"Q4"},0))/4+INDEX(BookOneOff,1300)*$P1305)</f>
        <v/>
      </c>
      <c r="S1305" s="35" t="str">
        <f aca="false">IF($P1305="","",INDEX(BookRate,1300)*$P1305)</f>
        <v/>
      </c>
      <c r="T1305" s="35" t="str">
        <f aca="false">IF($R1305="","",$R1305-$K1305)</f>
        <v/>
      </c>
      <c r="U1305" s="35" t="str">
        <f aca="false">IF(N($P1305)&lt;=0,"",COUNTIF($P$6:$P1305,"&gt;0"))</f>
        <v/>
      </c>
    </row>
    <row r="1306" customFormat="false" ht="15" hidden="false" customHeight="false" outlineLevel="0" collapsed="false">
      <c r="A1306" s="40" t="str">
        <f aca="false">IF(INDEX(BookTitle,1301)="","",INDEX(BookGroup,1301))</f>
        <v/>
      </c>
      <c r="B1306" s="40" t="str">
        <f aca="false">IF(INDEX(BookTitle,1301)="","",INDEX(BookRef,1301))</f>
        <v/>
      </c>
      <c r="C1306" s="40" t="str">
        <f aca="false">IF(INDEX(BookTitle,1301)="","",INDEX(BookDivision,1301))</f>
        <v/>
      </c>
      <c r="D1306" s="40" t="str">
        <f aca="false">IF(INDEX(BookTitle,1301)="","",INDEX(BookUnit,1301))</f>
        <v/>
      </c>
      <c r="E1306" s="40" t="str">
        <f aca="false">IF(INDEX(BookTitle,1301)="","",INDEX(BookTitle,1301))</f>
        <v/>
      </c>
      <c r="F1306" s="40" t="str">
        <f aca="false">IF(INDEX(BookTitle,1301)="","",INDEX(BookLevel,1301))</f>
        <v/>
      </c>
      <c r="G1306" s="40" t="str">
        <f aca="false">IF(INDEX(BookTitle,1301)="","",INDEX(BookCategory,1301))</f>
        <v/>
      </c>
      <c r="H1306" s="40" t="str">
        <f aca="false">IF(INDEX(BookTitle,1301)="","",INDEX(BookRank,1301))</f>
        <v/>
      </c>
      <c r="I1306" s="41" t="str">
        <f aca="false">IF(INDEX(BookTitle,1301)="","",INDEX(BookTotal,1301))</f>
        <v/>
      </c>
      <c r="J1306" s="0" t="str">
        <f aca="false">IF($I1306="","",IF(INDEX(BookQ1,1301)&gt;0,"Q1",IF(INDEX(BookQ2,1301)&gt;0,"Q2",IF(INDEX(BookQ3,1301)&gt;0,"Q3",IF(INDEX(BookQ4,1301)&gt;0,"Q4","")))))</f>
        <v/>
      </c>
      <c r="K1306" s="42" t="str">
        <f aca="false">IF(INDEX(BookTitle,1301)="","",INDEX(BookInYear,1301))</f>
        <v/>
      </c>
      <c r="L1306" s="19"/>
      <c r="M1306" s="39"/>
      <c r="N1306" s="19"/>
      <c r="O1306" s="19"/>
      <c r="P1306" s="43" t="str">
        <f aca="false">IF($E1306="","",IF($L1306="Decline",0,IF($L1306="Approve fewer",IF($M1306="","",$M1306),IF($L1306="","",$I1306))))</f>
        <v/>
      </c>
      <c r="Q1306" s="34" t="str">
        <f aca="false">IF($P1306="","",IF($N1306&lt;&gt;"",$N1306,$J1306))</f>
        <v/>
      </c>
      <c r="R1306" s="35" t="str">
        <f aca="false">IF(OR($P1306="",$Q1306=""),"",INDEX(BookRate,1301)*$P1306*(5-MATCH($Q1306,{"Q1";"Q2";"Q3";"Q4"},0))/4+INDEX(BookOneOff,1301)*$P1306)</f>
        <v/>
      </c>
      <c r="S1306" s="35" t="str">
        <f aca="false">IF($P1306="","",INDEX(BookRate,1301)*$P1306)</f>
        <v/>
      </c>
      <c r="T1306" s="35" t="str">
        <f aca="false">IF($R1306="","",$R1306-$K1306)</f>
        <v/>
      </c>
      <c r="U1306" s="35" t="str">
        <f aca="false">IF(N($P1306)&lt;=0,"",COUNTIF($P$6:$P1306,"&gt;0"))</f>
        <v/>
      </c>
    </row>
    <row r="1307" customFormat="false" ht="15" hidden="false" customHeight="false" outlineLevel="0" collapsed="false">
      <c r="A1307" s="40" t="str">
        <f aca="false">IF(INDEX(BookTitle,1302)="","",INDEX(BookGroup,1302))</f>
        <v/>
      </c>
      <c r="B1307" s="40" t="str">
        <f aca="false">IF(INDEX(BookTitle,1302)="","",INDEX(BookRef,1302))</f>
        <v/>
      </c>
      <c r="C1307" s="40" t="str">
        <f aca="false">IF(INDEX(BookTitle,1302)="","",INDEX(BookDivision,1302))</f>
        <v/>
      </c>
      <c r="D1307" s="40" t="str">
        <f aca="false">IF(INDEX(BookTitle,1302)="","",INDEX(BookUnit,1302))</f>
        <v/>
      </c>
      <c r="E1307" s="40" t="str">
        <f aca="false">IF(INDEX(BookTitle,1302)="","",INDEX(BookTitle,1302))</f>
        <v/>
      </c>
      <c r="F1307" s="40" t="str">
        <f aca="false">IF(INDEX(BookTitle,1302)="","",INDEX(BookLevel,1302))</f>
        <v/>
      </c>
      <c r="G1307" s="40" t="str">
        <f aca="false">IF(INDEX(BookTitle,1302)="","",INDEX(BookCategory,1302))</f>
        <v/>
      </c>
      <c r="H1307" s="40" t="str">
        <f aca="false">IF(INDEX(BookTitle,1302)="","",INDEX(BookRank,1302))</f>
        <v/>
      </c>
      <c r="I1307" s="41" t="str">
        <f aca="false">IF(INDEX(BookTitle,1302)="","",INDEX(BookTotal,1302))</f>
        <v/>
      </c>
      <c r="J1307" s="0" t="str">
        <f aca="false">IF($I1307="","",IF(INDEX(BookQ1,1302)&gt;0,"Q1",IF(INDEX(BookQ2,1302)&gt;0,"Q2",IF(INDEX(BookQ3,1302)&gt;0,"Q3",IF(INDEX(BookQ4,1302)&gt;0,"Q4","")))))</f>
        <v/>
      </c>
      <c r="K1307" s="42" t="str">
        <f aca="false">IF(INDEX(BookTitle,1302)="","",INDEX(BookInYear,1302))</f>
        <v/>
      </c>
      <c r="L1307" s="19"/>
      <c r="M1307" s="39"/>
      <c r="N1307" s="19"/>
      <c r="O1307" s="19"/>
      <c r="P1307" s="43" t="str">
        <f aca="false">IF($E1307="","",IF($L1307="Decline",0,IF($L1307="Approve fewer",IF($M1307="","",$M1307),IF($L1307="","",$I1307))))</f>
        <v/>
      </c>
      <c r="Q1307" s="34" t="str">
        <f aca="false">IF($P1307="","",IF($N1307&lt;&gt;"",$N1307,$J1307))</f>
        <v/>
      </c>
      <c r="R1307" s="35" t="str">
        <f aca="false">IF(OR($P1307="",$Q1307=""),"",INDEX(BookRate,1302)*$P1307*(5-MATCH($Q1307,{"Q1";"Q2";"Q3";"Q4"},0))/4+INDEX(BookOneOff,1302)*$P1307)</f>
        <v/>
      </c>
      <c r="S1307" s="35" t="str">
        <f aca="false">IF($P1307="","",INDEX(BookRate,1302)*$P1307)</f>
        <v/>
      </c>
      <c r="T1307" s="35" t="str">
        <f aca="false">IF($R1307="","",$R1307-$K1307)</f>
        <v/>
      </c>
      <c r="U1307" s="35" t="str">
        <f aca="false">IF(N($P1307)&lt;=0,"",COUNTIF($P$6:$P1307,"&gt;0"))</f>
        <v/>
      </c>
    </row>
    <row r="1308" customFormat="false" ht="15" hidden="false" customHeight="false" outlineLevel="0" collapsed="false">
      <c r="A1308" s="40" t="str">
        <f aca="false">IF(INDEX(BookTitle,1303)="","",INDEX(BookGroup,1303))</f>
        <v/>
      </c>
      <c r="B1308" s="40" t="str">
        <f aca="false">IF(INDEX(BookTitle,1303)="","",INDEX(BookRef,1303))</f>
        <v/>
      </c>
      <c r="C1308" s="40" t="str">
        <f aca="false">IF(INDEX(BookTitle,1303)="","",INDEX(BookDivision,1303))</f>
        <v/>
      </c>
      <c r="D1308" s="40" t="str">
        <f aca="false">IF(INDEX(BookTitle,1303)="","",INDEX(BookUnit,1303))</f>
        <v/>
      </c>
      <c r="E1308" s="40" t="str">
        <f aca="false">IF(INDEX(BookTitle,1303)="","",INDEX(BookTitle,1303))</f>
        <v/>
      </c>
      <c r="F1308" s="40" t="str">
        <f aca="false">IF(INDEX(BookTitle,1303)="","",INDEX(BookLevel,1303))</f>
        <v/>
      </c>
      <c r="G1308" s="40" t="str">
        <f aca="false">IF(INDEX(BookTitle,1303)="","",INDEX(BookCategory,1303))</f>
        <v/>
      </c>
      <c r="H1308" s="40" t="str">
        <f aca="false">IF(INDEX(BookTitle,1303)="","",INDEX(BookRank,1303))</f>
        <v/>
      </c>
      <c r="I1308" s="41" t="str">
        <f aca="false">IF(INDEX(BookTitle,1303)="","",INDEX(BookTotal,1303))</f>
        <v/>
      </c>
      <c r="J1308" s="0" t="str">
        <f aca="false">IF($I1308="","",IF(INDEX(BookQ1,1303)&gt;0,"Q1",IF(INDEX(BookQ2,1303)&gt;0,"Q2",IF(INDEX(BookQ3,1303)&gt;0,"Q3",IF(INDEX(BookQ4,1303)&gt;0,"Q4","")))))</f>
        <v/>
      </c>
      <c r="K1308" s="42" t="str">
        <f aca="false">IF(INDEX(BookTitle,1303)="","",INDEX(BookInYear,1303))</f>
        <v/>
      </c>
      <c r="L1308" s="19"/>
      <c r="M1308" s="39"/>
      <c r="N1308" s="19"/>
      <c r="O1308" s="19"/>
      <c r="P1308" s="43" t="str">
        <f aca="false">IF($E1308="","",IF($L1308="Decline",0,IF($L1308="Approve fewer",IF($M1308="","",$M1308),IF($L1308="","",$I1308))))</f>
        <v/>
      </c>
      <c r="Q1308" s="34" t="str">
        <f aca="false">IF($P1308="","",IF($N1308&lt;&gt;"",$N1308,$J1308))</f>
        <v/>
      </c>
      <c r="R1308" s="35" t="str">
        <f aca="false">IF(OR($P1308="",$Q1308=""),"",INDEX(BookRate,1303)*$P1308*(5-MATCH($Q1308,{"Q1";"Q2";"Q3";"Q4"},0))/4+INDEX(BookOneOff,1303)*$P1308)</f>
        <v/>
      </c>
      <c r="S1308" s="35" t="str">
        <f aca="false">IF($P1308="","",INDEX(BookRate,1303)*$P1308)</f>
        <v/>
      </c>
      <c r="T1308" s="35" t="str">
        <f aca="false">IF($R1308="","",$R1308-$K1308)</f>
        <v/>
      </c>
      <c r="U1308" s="35" t="str">
        <f aca="false">IF(N($P1308)&lt;=0,"",COUNTIF($P$6:$P1308,"&gt;0"))</f>
        <v/>
      </c>
    </row>
    <row r="1309" customFormat="false" ht="15" hidden="false" customHeight="false" outlineLevel="0" collapsed="false">
      <c r="A1309" s="40" t="str">
        <f aca="false">IF(INDEX(BookTitle,1304)="","",INDEX(BookGroup,1304))</f>
        <v/>
      </c>
      <c r="B1309" s="40" t="str">
        <f aca="false">IF(INDEX(BookTitle,1304)="","",INDEX(BookRef,1304))</f>
        <v/>
      </c>
      <c r="C1309" s="40" t="str">
        <f aca="false">IF(INDEX(BookTitle,1304)="","",INDEX(BookDivision,1304))</f>
        <v/>
      </c>
      <c r="D1309" s="40" t="str">
        <f aca="false">IF(INDEX(BookTitle,1304)="","",INDEX(BookUnit,1304))</f>
        <v/>
      </c>
      <c r="E1309" s="40" t="str">
        <f aca="false">IF(INDEX(BookTitle,1304)="","",INDEX(BookTitle,1304))</f>
        <v/>
      </c>
      <c r="F1309" s="40" t="str">
        <f aca="false">IF(INDEX(BookTitle,1304)="","",INDEX(BookLevel,1304))</f>
        <v/>
      </c>
      <c r="G1309" s="40" t="str">
        <f aca="false">IF(INDEX(BookTitle,1304)="","",INDEX(BookCategory,1304))</f>
        <v/>
      </c>
      <c r="H1309" s="40" t="str">
        <f aca="false">IF(INDEX(BookTitle,1304)="","",INDEX(BookRank,1304))</f>
        <v/>
      </c>
      <c r="I1309" s="41" t="str">
        <f aca="false">IF(INDEX(BookTitle,1304)="","",INDEX(BookTotal,1304))</f>
        <v/>
      </c>
      <c r="J1309" s="0" t="str">
        <f aca="false">IF($I1309="","",IF(INDEX(BookQ1,1304)&gt;0,"Q1",IF(INDEX(BookQ2,1304)&gt;0,"Q2",IF(INDEX(BookQ3,1304)&gt;0,"Q3",IF(INDEX(BookQ4,1304)&gt;0,"Q4","")))))</f>
        <v/>
      </c>
      <c r="K1309" s="42" t="str">
        <f aca="false">IF(INDEX(BookTitle,1304)="","",INDEX(BookInYear,1304))</f>
        <v/>
      </c>
      <c r="L1309" s="19"/>
      <c r="M1309" s="39"/>
      <c r="N1309" s="19"/>
      <c r="O1309" s="19"/>
      <c r="P1309" s="43" t="str">
        <f aca="false">IF($E1309="","",IF($L1309="Decline",0,IF($L1309="Approve fewer",IF($M1309="","",$M1309),IF($L1309="","",$I1309))))</f>
        <v/>
      </c>
      <c r="Q1309" s="34" t="str">
        <f aca="false">IF($P1309="","",IF($N1309&lt;&gt;"",$N1309,$J1309))</f>
        <v/>
      </c>
      <c r="R1309" s="35" t="str">
        <f aca="false">IF(OR($P1309="",$Q1309=""),"",INDEX(BookRate,1304)*$P1309*(5-MATCH($Q1309,{"Q1";"Q2";"Q3";"Q4"},0))/4+INDEX(BookOneOff,1304)*$P1309)</f>
        <v/>
      </c>
      <c r="S1309" s="35" t="str">
        <f aca="false">IF($P1309="","",INDEX(BookRate,1304)*$P1309)</f>
        <v/>
      </c>
      <c r="T1309" s="35" t="str">
        <f aca="false">IF($R1309="","",$R1309-$K1309)</f>
        <v/>
      </c>
      <c r="U1309" s="35" t="str">
        <f aca="false">IF(N($P1309)&lt;=0,"",COUNTIF($P$6:$P1309,"&gt;0"))</f>
        <v/>
      </c>
    </row>
    <row r="1310" customFormat="false" ht="15" hidden="false" customHeight="false" outlineLevel="0" collapsed="false">
      <c r="A1310" s="40" t="str">
        <f aca="false">IF(INDEX(BookTitle,1305)="","",INDEX(BookGroup,1305))</f>
        <v/>
      </c>
      <c r="B1310" s="40" t="str">
        <f aca="false">IF(INDEX(BookTitle,1305)="","",INDEX(BookRef,1305))</f>
        <v/>
      </c>
      <c r="C1310" s="40" t="str">
        <f aca="false">IF(INDEX(BookTitle,1305)="","",INDEX(BookDivision,1305))</f>
        <v/>
      </c>
      <c r="D1310" s="40" t="str">
        <f aca="false">IF(INDEX(BookTitle,1305)="","",INDEX(BookUnit,1305))</f>
        <v/>
      </c>
      <c r="E1310" s="40" t="str">
        <f aca="false">IF(INDEX(BookTitle,1305)="","",INDEX(BookTitle,1305))</f>
        <v/>
      </c>
      <c r="F1310" s="40" t="str">
        <f aca="false">IF(INDEX(BookTitle,1305)="","",INDEX(BookLevel,1305))</f>
        <v/>
      </c>
      <c r="G1310" s="40" t="str">
        <f aca="false">IF(INDEX(BookTitle,1305)="","",INDEX(BookCategory,1305))</f>
        <v/>
      </c>
      <c r="H1310" s="40" t="str">
        <f aca="false">IF(INDEX(BookTitle,1305)="","",INDEX(BookRank,1305))</f>
        <v/>
      </c>
      <c r="I1310" s="41" t="str">
        <f aca="false">IF(INDEX(BookTitle,1305)="","",INDEX(BookTotal,1305))</f>
        <v/>
      </c>
      <c r="J1310" s="0" t="str">
        <f aca="false">IF($I1310="","",IF(INDEX(BookQ1,1305)&gt;0,"Q1",IF(INDEX(BookQ2,1305)&gt;0,"Q2",IF(INDEX(BookQ3,1305)&gt;0,"Q3",IF(INDEX(BookQ4,1305)&gt;0,"Q4","")))))</f>
        <v/>
      </c>
      <c r="K1310" s="42" t="str">
        <f aca="false">IF(INDEX(BookTitle,1305)="","",INDEX(BookInYear,1305))</f>
        <v/>
      </c>
      <c r="L1310" s="19"/>
      <c r="M1310" s="39"/>
      <c r="N1310" s="19"/>
      <c r="O1310" s="19"/>
      <c r="P1310" s="43" t="str">
        <f aca="false">IF($E1310="","",IF($L1310="Decline",0,IF($L1310="Approve fewer",IF($M1310="","",$M1310),IF($L1310="","",$I1310))))</f>
        <v/>
      </c>
      <c r="Q1310" s="34" t="str">
        <f aca="false">IF($P1310="","",IF($N1310&lt;&gt;"",$N1310,$J1310))</f>
        <v/>
      </c>
      <c r="R1310" s="35" t="str">
        <f aca="false">IF(OR($P1310="",$Q1310=""),"",INDEX(BookRate,1305)*$P1310*(5-MATCH($Q1310,{"Q1";"Q2";"Q3";"Q4"},0))/4+INDEX(BookOneOff,1305)*$P1310)</f>
        <v/>
      </c>
      <c r="S1310" s="35" t="str">
        <f aca="false">IF($P1310="","",INDEX(BookRate,1305)*$P1310)</f>
        <v/>
      </c>
      <c r="T1310" s="35" t="str">
        <f aca="false">IF($R1310="","",$R1310-$K1310)</f>
        <v/>
      </c>
      <c r="U1310" s="35" t="str">
        <f aca="false">IF(N($P1310)&lt;=0,"",COUNTIF($P$6:$P1310,"&gt;0"))</f>
        <v/>
      </c>
    </row>
    <row r="1311" customFormat="false" ht="15" hidden="false" customHeight="false" outlineLevel="0" collapsed="false">
      <c r="A1311" s="40" t="str">
        <f aca="false">IF(INDEX(BookTitle,1306)="","",INDEX(BookGroup,1306))</f>
        <v/>
      </c>
      <c r="B1311" s="40" t="str">
        <f aca="false">IF(INDEX(BookTitle,1306)="","",INDEX(BookRef,1306))</f>
        <v/>
      </c>
      <c r="C1311" s="40" t="str">
        <f aca="false">IF(INDEX(BookTitle,1306)="","",INDEX(BookDivision,1306))</f>
        <v/>
      </c>
      <c r="D1311" s="40" t="str">
        <f aca="false">IF(INDEX(BookTitle,1306)="","",INDEX(BookUnit,1306))</f>
        <v/>
      </c>
      <c r="E1311" s="40" t="str">
        <f aca="false">IF(INDEX(BookTitle,1306)="","",INDEX(BookTitle,1306))</f>
        <v/>
      </c>
      <c r="F1311" s="40" t="str">
        <f aca="false">IF(INDEX(BookTitle,1306)="","",INDEX(BookLevel,1306))</f>
        <v/>
      </c>
      <c r="G1311" s="40" t="str">
        <f aca="false">IF(INDEX(BookTitle,1306)="","",INDEX(BookCategory,1306))</f>
        <v/>
      </c>
      <c r="H1311" s="40" t="str">
        <f aca="false">IF(INDEX(BookTitle,1306)="","",INDEX(BookRank,1306))</f>
        <v/>
      </c>
      <c r="I1311" s="41" t="str">
        <f aca="false">IF(INDEX(BookTitle,1306)="","",INDEX(BookTotal,1306))</f>
        <v/>
      </c>
      <c r="J1311" s="0" t="str">
        <f aca="false">IF($I1311="","",IF(INDEX(BookQ1,1306)&gt;0,"Q1",IF(INDEX(BookQ2,1306)&gt;0,"Q2",IF(INDEX(BookQ3,1306)&gt;0,"Q3",IF(INDEX(BookQ4,1306)&gt;0,"Q4","")))))</f>
        <v/>
      </c>
      <c r="K1311" s="42" t="str">
        <f aca="false">IF(INDEX(BookTitle,1306)="","",INDEX(BookInYear,1306))</f>
        <v/>
      </c>
      <c r="L1311" s="19"/>
      <c r="M1311" s="39"/>
      <c r="N1311" s="19"/>
      <c r="O1311" s="19"/>
      <c r="P1311" s="43" t="str">
        <f aca="false">IF($E1311="","",IF($L1311="Decline",0,IF($L1311="Approve fewer",IF($M1311="","",$M1311),IF($L1311="","",$I1311))))</f>
        <v/>
      </c>
      <c r="Q1311" s="34" t="str">
        <f aca="false">IF($P1311="","",IF($N1311&lt;&gt;"",$N1311,$J1311))</f>
        <v/>
      </c>
      <c r="R1311" s="35" t="str">
        <f aca="false">IF(OR($P1311="",$Q1311=""),"",INDEX(BookRate,1306)*$P1311*(5-MATCH($Q1311,{"Q1";"Q2";"Q3";"Q4"},0))/4+INDEX(BookOneOff,1306)*$P1311)</f>
        <v/>
      </c>
      <c r="S1311" s="35" t="str">
        <f aca="false">IF($P1311="","",INDEX(BookRate,1306)*$P1311)</f>
        <v/>
      </c>
      <c r="T1311" s="35" t="str">
        <f aca="false">IF($R1311="","",$R1311-$K1311)</f>
        <v/>
      </c>
      <c r="U1311" s="35" t="str">
        <f aca="false">IF(N($P1311)&lt;=0,"",COUNTIF($P$6:$P1311,"&gt;0"))</f>
        <v/>
      </c>
    </row>
    <row r="1312" customFormat="false" ht="15" hidden="false" customHeight="false" outlineLevel="0" collapsed="false">
      <c r="A1312" s="40" t="str">
        <f aca="false">IF(INDEX(BookTitle,1307)="","",INDEX(BookGroup,1307))</f>
        <v/>
      </c>
      <c r="B1312" s="40" t="str">
        <f aca="false">IF(INDEX(BookTitle,1307)="","",INDEX(BookRef,1307))</f>
        <v/>
      </c>
      <c r="C1312" s="40" t="str">
        <f aca="false">IF(INDEX(BookTitle,1307)="","",INDEX(BookDivision,1307))</f>
        <v/>
      </c>
      <c r="D1312" s="40" t="str">
        <f aca="false">IF(INDEX(BookTitle,1307)="","",INDEX(BookUnit,1307))</f>
        <v/>
      </c>
      <c r="E1312" s="40" t="str">
        <f aca="false">IF(INDEX(BookTitle,1307)="","",INDEX(BookTitle,1307))</f>
        <v/>
      </c>
      <c r="F1312" s="40" t="str">
        <f aca="false">IF(INDEX(BookTitle,1307)="","",INDEX(BookLevel,1307))</f>
        <v/>
      </c>
      <c r="G1312" s="40" t="str">
        <f aca="false">IF(INDEX(BookTitle,1307)="","",INDEX(BookCategory,1307))</f>
        <v/>
      </c>
      <c r="H1312" s="40" t="str">
        <f aca="false">IF(INDEX(BookTitle,1307)="","",INDEX(BookRank,1307))</f>
        <v/>
      </c>
      <c r="I1312" s="41" t="str">
        <f aca="false">IF(INDEX(BookTitle,1307)="","",INDEX(BookTotal,1307))</f>
        <v/>
      </c>
      <c r="J1312" s="0" t="str">
        <f aca="false">IF($I1312="","",IF(INDEX(BookQ1,1307)&gt;0,"Q1",IF(INDEX(BookQ2,1307)&gt;0,"Q2",IF(INDEX(BookQ3,1307)&gt;0,"Q3",IF(INDEX(BookQ4,1307)&gt;0,"Q4","")))))</f>
        <v/>
      </c>
      <c r="K1312" s="42" t="str">
        <f aca="false">IF(INDEX(BookTitle,1307)="","",INDEX(BookInYear,1307))</f>
        <v/>
      </c>
      <c r="L1312" s="19"/>
      <c r="M1312" s="39"/>
      <c r="N1312" s="19"/>
      <c r="O1312" s="19"/>
      <c r="P1312" s="43" t="str">
        <f aca="false">IF($E1312="","",IF($L1312="Decline",0,IF($L1312="Approve fewer",IF($M1312="","",$M1312),IF($L1312="","",$I1312))))</f>
        <v/>
      </c>
      <c r="Q1312" s="34" t="str">
        <f aca="false">IF($P1312="","",IF($N1312&lt;&gt;"",$N1312,$J1312))</f>
        <v/>
      </c>
      <c r="R1312" s="35" t="str">
        <f aca="false">IF(OR($P1312="",$Q1312=""),"",INDEX(BookRate,1307)*$P1312*(5-MATCH($Q1312,{"Q1";"Q2";"Q3";"Q4"},0))/4+INDEX(BookOneOff,1307)*$P1312)</f>
        <v/>
      </c>
      <c r="S1312" s="35" t="str">
        <f aca="false">IF($P1312="","",INDEX(BookRate,1307)*$P1312)</f>
        <v/>
      </c>
      <c r="T1312" s="35" t="str">
        <f aca="false">IF($R1312="","",$R1312-$K1312)</f>
        <v/>
      </c>
      <c r="U1312" s="35" t="str">
        <f aca="false">IF(N($P1312)&lt;=0,"",COUNTIF($P$6:$P1312,"&gt;0"))</f>
        <v/>
      </c>
    </row>
    <row r="1313" customFormat="false" ht="15" hidden="false" customHeight="false" outlineLevel="0" collapsed="false">
      <c r="A1313" s="40" t="str">
        <f aca="false">IF(INDEX(BookTitle,1308)="","",INDEX(BookGroup,1308))</f>
        <v/>
      </c>
      <c r="B1313" s="40" t="str">
        <f aca="false">IF(INDEX(BookTitle,1308)="","",INDEX(BookRef,1308))</f>
        <v/>
      </c>
      <c r="C1313" s="40" t="str">
        <f aca="false">IF(INDEX(BookTitle,1308)="","",INDEX(BookDivision,1308))</f>
        <v/>
      </c>
      <c r="D1313" s="40" t="str">
        <f aca="false">IF(INDEX(BookTitle,1308)="","",INDEX(BookUnit,1308))</f>
        <v/>
      </c>
      <c r="E1313" s="40" t="str">
        <f aca="false">IF(INDEX(BookTitle,1308)="","",INDEX(BookTitle,1308))</f>
        <v/>
      </c>
      <c r="F1313" s="40" t="str">
        <f aca="false">IF(INDEX(BookTitle,1308)="","",INDEX(BookLevel,1308))</f>
        <v/>
      </c>
      <c r="G1313" s="40" t="str">
        <f aca="false">IF(INDEX(BookTitle,1308)="","",INDEX(BookCategory,1308))</f>
        <v/>
      </c>
      <c r="H1313" s="40" t="str">
        <f aca="false">IF(INDEX(BookTitle,1308)="","",INDEX(BookRank,1308))</f>
        <v/>
      </c>
      <c r="I1313" s="41" t="str">
        <f aca="false">IF(INDEX(BookTitle,1308)="","",INDEX(BookTotal,1308))</f>
        <v/>
      </c>
      <c r="J1313" s="0" t="str">
        <f aca="false">IF($I1313="","",IF(INDEX(BookQ1,1308)&gt;0,"Q1",IF(INDEX(BookQ2,1308)&gt;0,"Q2",IF(INDEX(BookQ3,1308)&gt;0,"Q3",IF(INDEX(BookQ4,1308)&gt;0,"Q4","")))))</f>
        <v/>
      </c>
      <c r="K1313" s="42" t="str">
        <f aca="false">IF(INDEX(BookTitle,1308)="","",INDEX(BookInYear,1308))</f>
        <v/>
      </c>
      <c r="L1313" s="19"/>
      <c r="M1313" s="39"/>
      <c r="N1313" s="19"/>
      <c r="O1313" s="19"/>
      <c r="P1313" s="43" t="str">
        <f aca="false">IF($E1313="","",IF($L1313="Decline",0,IF($L1313="Approve fewer",IF($M1313="","",$M1313),IF($L1313="","",$I1313))))</f>
        <v/>
      </c>
      <c r="Q1313" s="34" t="str">
        <f aca="false">IF($P1313="","",IF($N1313&lt;&gt;"",$N1313,$J1313))</f>
        <v/>
      </c>
      <c r="R1313" s="35" t="str">
        <f aca="false">IF(OR($P1313="",$Q1313=""),"",INDEX(BookRate,1308)*$P1313*(5-MATCH($Q1313,{"Q1";"Q2";"Q3";"Q4"},0))/4+INDEX(BookOneOff,1308)*$P1313)</f>
        <v/>
      </c>
      <c r="S1313" s="35" t="str">
        <f aca="false">IF($P1313="","",INDEX(BookRate,1308)*$P1313)</f>
        <v/>
      </c>
      <c r="T1313" s="35" t="str">
        <f aca="false">IF($R1313="","",$R1313-$K1313)</f>
        <v/>
      </c>
      <c r="U1313" s="35" t="str">
        <f aca="false">IF(N($P1313)&lt;=0,"",COUNTIF($P$6:$P1313,"&gt;0"))</f>
        <v/>
      </c>
    </row>
    <row r="1314" customFormat="false" ht="15" hidden="false" customHeight="false" outlineLevel="0" collapsed="false">
      <c r="A1314" s="40" t="str">
        <f aca="false">IF(INDEX(BookTitle,1309)="","",INDEX(BookGroup,1309))</f>
        <v/>
      </c>
      <c r="B1314" s="40" t="str">
        <f aca="false">IF(INDEX(BookTitle,1309)="","",INDEX(BookRef,1309))</f>
        <v/>
      </c>
      <c r="C1314" s="40" t="str">
        <f aca="false">IF(INDEX(BookTitle,1309)="","",INDEX(BookDivision,1309))</f>
        <v/>
      </c>
      <c r="D1314" s="40" t="str">
        <f aca="false">IF(INDEX(BookTitle,1309)="","",INDEX(BookUnit,1309))</f>
        <v/>
      </c>
      <c r="E1314" s="40" t="str">
        <f aca="false">IF(INDEX(BookTitle,1309)="","",INDEX(BookTitle,1309))</f>
        <v/>
      </c>
      <c r="F1314" s="40" t="str">
        <f aca="false">IF(INDEX(BookTitle,1309)="","",INDEX(BookLevel,1309))</f>
        <v/>
      </c>
      <c r="G1314" s="40" t="str">
        <f aca="false">IF(INDEX(BookTitle,1309)="","",INDEX(BookCategory,1309))</f>
        <v/>
      </c>
      <c r="H1314" s="40" t="str">
        <f aca="false">IF(INDEX(BookTitle,1309)="","",INDEX(BookRank,1309))</f>
        <v/>
      </c>
      <c r="I1314" s="41" t="str">
        <f aca="false">IF(INDEX(BookTitle,1309)="","",INDEX(BookTotal,1309))</f>
        <v/>
      </c>
      <c r="J1314" s="0" t="str">
        <f aca="false">IF($I1314="","",IF(INDEX(BookQ1,1309)&gt;0,"Q1",IF(INDEX(BookQ2,1309)&gt;0,"Q2",IF(INDEX(BookQ3,1309)&gt;0,"Q3",IF(INDEX(BookQ4,1309)&gt;0,"Q4","")))))</f>
        <v/>
      </c>
      <c r="K1314" s="42" t="str">
        <f aca="false">IF(INDEX(BookTitle,1309)="","",INDEX(BookInYear,1309))</f>
        <v/>
      </c>
      <c r="L1314" s="19"/>
      <c r="M1314" s="39"/>
      <c r="N1314" s="19"/>
      <c r="O1314" s="19"/>
      <c r="P1314" s="43" t="str">
        <f aca="false">IF($E1314="","",IF($L1314="Decline",0,IF($L1314="Approve fewer",IF($M1314="","",$M1314),IF($L1314="","",$I1314))))</f>
        <v/>
      </c>
      <c r="Q1314" s="34" t="str">
        <f aca="false">IF($P1314="","",IF($N1314&lt;&gt;"",$N1314,$J1314))</f>
        <v/>
      </c>
      <c r="R1314" s="35" t="str">
        <f aca="false">IF(OR($P1314="",$Q1314=""),"",INDEX(BookRate,1309)*$P1314*(5-MATCH($Q1314,{"Q1";"Q2";"Q3";"Q4"},0))/4+INDEX(BookOneOff,1309)*$P1314)</f>
        <v/>
      </c>
      <c r="S1314" s="35" t="str">
        <f aca="false">IF($P1314="","",INDEX(BookRate,1309)*$P1314)</f>
        <v/>
      </c>
      <c r="T1314" s="35" t="str">
        <f aca="false">IF($R1314="","",$R1314-$K1314)</f>
        <v/>
      </c>
      <c r="U1314" s="35" t="str">
        <f aca="false">IF(N($P1314)&lt;=0,"",COUNTIF($P$6:$P1314,"&gt;0"))</f>
        <v/>
      </c>
    </row>
    <row r="1315" customFormat="false" ht="15" hidden="false" customHeight="false" outlineLevel="0" collapsed="false">
      <c r="A1315" s="40" t="str">
        <f aca="false">IF(INDEX(BookTitle,1310)="","",INDEX(BookGroup,1310))</f>
        <v/>
      </c>
      <c r="B1315" s="40" t="str">
        <f aca="false">IF(INDEX(BookTitle,1310)="","",INDEX(BookRef,1310))</f>
        <v/>
      </c>
      <c r="C1315" s="40" t="str">
        <f aca="false">IF(INDEX(BookTitle,1310)="","",INDEX(BookDivision,1310))</f>
        <v/>
      </c>
      <c r="D1315" s="40" t="str">
        <f aca="false">IF(INDEX(BookTitle,1310)="","",INDEX(BookUnit,1310))</f>
        <v/>
      </c>
      <c r="E1315" s="40" t="str">
        <f aca="false">IF(INDEX(BookTitle,1310)="","",INDEX(BookTitle,1310))</f>
        <v/>
      </c>
      <c r="F1315" s="40" t="str">
        <f aca="false">IF(INDEX(BookTitle,1310)="","",INDEX(BookLevel,1310))</f>
        <v/>
      </c>
      <c r="G1315" s="40" t="str">
        <f aca="false">IF(INDEX(BookTitle,1310)="","",INDEX(BookCategory,1310))</f>
        <v/>
      </c>
      <c r="H1315" s="40" t="str">
        <f aca="false">IF(INDEX(BookTitle,1310)="","",INDEX(BookRank,1310))</f>
        <v/>
      </c>
      <c r="I1315" s="41" t="str">
        <f aca="false">IF(INDEX(BookTitle,1310)="","",INDEX(BookTotal,1310))</f>
        <v/>
      </c>
      <c r="J1315" s="0" t="str">
        <f aca="false">IF($I1315="","",IF(INDEX(BookQ1,1310)&gt;0,"Q1",IF(INDEX(BookQ2,1310)&gt;0,"Q2",IF(INDEX(BookQ3,1310)&gt;0,"Q3",IF(INDEX(BookQ4,1310)&gt;0,"Q4","")))))</f>
        <v/>
      </c>
      <c r="K1315" s="42" t="str">
        <f aca="false">IF(INDEX(BookTitle,1310)="","",INDEX(BookInYear,1310))</f>
        <v/>
      </c>
      <c r="L1315" s="19"/>
      <c r="M1315" s="39"/>
      <c r="N1315" s="19"/>
      <c r="O1315" s="19"/>
      <c r="P1315" s="43" t="str">
        <f aca="false">IF($E1315="","",IF($L1315="Decline",0,IF($L1315="Approve fewer",IF($M1315="","",$M1315),IF($L1315="","",$I1315))))</f>
        <v/>
      </c>
      <c r="Q1315" s="34" t="str">
        <f aca="false">IF($P1315="","",IF($N1315&lt;&gt;"",$N1315,$J1315))</f>
        <v/>
      </c>
      <c r="R1315" s="35" t="str">
        <f aca="false">IF(OR($P1315="",$Q1315=""),"",INDEX(BookRate,1310)*$P1315*(5-MATCH($Q1315,{"Q1";"Q2";"Q3";"Q4"},0))/4+INDEX(BookOneOff,1310)*$P1315)</f>
        <v/>
      </c>
      <c r="S1315" s="35" t="str">
        <f aca="false">IF($P1315="","",INDEX(BookRate,1310)*$P1315)</f>
        <v/>
      </c>
      <c r="T1315" s="35" t="str">
        <f aca="false">IF($R1315="","",$R1315-$K1315)</f>
        <v/>
      </c>
      <c r="U1315" s="35" t="str">
        <f aca="false">IF(N($P1315)&lt;=0,"",COUNTIF($P$6:$P1315,"&gt;0"))</f>
        <v/>
      </c>
    </row>
    <row r="1316" customFormat="false" ht="15" hidden="false" customHeight="false" outlineLevel="0" collapsed="false">
      <c r="A1316" s="40" t="str">
        <f aca="false">IF(INDEX(BookTitle,1311)="","",INDEX(BookGroup,1311))</f>
        <v/>
      </c>
      <c r="B1316" s="40" t="str">
        <f aca="false">IF(INDEX(BookTitle,1311)="","",INDEX(BookRef,1311))</f>
        <v/>
      </c>
      <c r="C1316" s="40" t="str">
        <f aca="false">IF(INDEX(BookTitle,1311)="","",INDEX(BookDivision,1311))</f>
        <v/>
      </c>
      <c r="D1316" s="40" t="str">
        <f aca="false">IF(INDEX(BookTitle,1311)="","",INDEX(BookUnit,1311))</f>
        <v/>
      </c>
      <c r="E1316" s="40" t="str">
        <f aca="false">IF(INDEX(BookTitle,1311)="","",INDEX(BookTitle,1311))</f>
        <v/>
      </c>
      <c r="F1316" s="40" t="str">
        <f aca="false">IF(INDEX(BookTitle,1311)="","",INDEX(BookLevel,1311))</f>
        <v/>
      </c>
      <c r="G1316" s="40" t="str">
        <f aca="false">IF(INDEX(BookTitle,1311)="","",INDEX(BookCategory,1311))</f>
        <v/>
      </c>
      <c r="H1316" s="40" t="str">
        <f aca="false">IF(INDEX(BookTitle,1311)="","",INDEX(BookRank,1311))</f>
        <v/>
      </c>
      <c r="I1316" s="41" t="str">
        <f aca="false">IF(INDEX(BookTitle,1311)="","",INDEX(BookTotal,1311))</f>
        <v/>
      </c>
      <c r="J1316" s="0" t="str">
        <f aca="false">IF($I1316="","",IF(INDEX(BookQ1,1311)&gt;0,"Q1",IF(INDEX(BookQ2,1311)&gt;0,"Q2",IF(INDEX(BookQ3,1311)&gt;0,"Q3",IF(INDEX(BookQ4,1311)&gt;0,"Q4","")))))</f>
        <v/>
      </c>
      <c r="K1316" s="42" t="str">
        <f aca="false">IF(INDEX(BookTitle,1311)="","",INDEX(BookInYear,1311))</f>
        <v/>
      </c>
      <c r="L1316" s="19"/>
      <c r="M1316" s="39"/>
      <c r="N1316" s="19"/>
      <c r="O1316" s="19"/>
      <c r="P1316" s="43" t="str">
        <f aca="false">IF($E1316="","",IF($L1316="Decline",0,IF($L1316="Approve fewer",IF($M1316="","",$M1316),IF($L1316="","",$I1316))))</f>
        <v/>
      </c>
      <c r="Q1316" s="34" t="str">
        <f aca="false">IF($P1316="","",IF($N1316&lt;&gt;"",$N1316,$J1316))</f>
        <v/>
      </c>
      <c r="R1316" s="35" t="str">
        <f aca="false">IF(OR($P1316="",$Q1316=""),"",INDEX(BookRate,1311)*$P1316*(5-MATCH($Q1316,{"Q1";"Q2";"Q3";"Q4"},0))/4+INDEX(BookOneOff,1311)*$P1316)</f>
        <v/>
      </c>
      <c r="S1316" s="35" t="str">
        <f aca="false">IF($P1316="","",INDEX(BookRate,1311)*$P1316)</f>
        <v/>
      </c>
      <c r="T1316" s="35" t="str">
        <f aca="false">IF($R1316="","",$R1316-$K1316)</f>
        <v/>
      </c>
      <c r="U1316" s="35" t="str">
        <f aca="false">IF(N($P1316)&lt;=0,"",COUNTIF($P$6:$P1316,"&gt;0"))</f>
        <v/>
      </c>
    </row>
    <row r="1317" customFormat="false" ht="15" hidden="false" customHeight="false" outlineLevel="0" collapsed="false">
      <c r="A1317" s="40" t="str">
        <f aca="false">IF(INDEX(BookTitle,1312)="","",INDEX(BookGroup,1312))</f>
        <v/>
      </c>
      <c r="B1317" s="40" t="str">
        <f aca="false">IF(INDEX(BookTitle,1312)="","",INDEX(BookRef,1312))</f>
        <v/>
      </c>
      <c r="C1317" s="40" t="str">
        <f aca="false">IF(INDEX(BookTitle,1312)="","",INDEX(BookDivision,1312))</f>
        <v/>
      </c>
      <c r="D1317" s="40" t="str">
        <f aca="false">IF(INDEX(BookTitle,1312)="","",INDEX(BookUnit,1312))</f>
        <v/>
      </c>
      <c r="E1317" s="40" t="str">
        <f aca="false">IF(INDEX(BookTitle,1312)="","",INDEX(BookTitle,1312))</f>
        <v/>
      </c>
      <c r="F1317" s="40" t="str">
        <f aca="false">IF(INDEX(BookTitle,1312)="","",INDEX(BookLevel,1312))</f>
        <v/>
      </c>
      <c r="G1317" s="40" t="str">
        <f aca="false">IF(INDEX(BookTitle,1312)="","",INDEX(BookCategory,1312))</f>
        <v/>
      </c>
      <c r="H1317" s="40" t="str">
        <f aca="false">IF(INDEX(BookTitle,1312)="","",INDEX(BookRank,1312))</f>
        <v/>
      </c>
      <c r="I1317" s="41" t="str">
        <f aca="false">IF(INDEX(BookTitle,1312)="","",INDEX(BookTotal,1312))</f>
        <v/>
      </c>
      <c r="J1317" s="0" t="str">
        <f aca="false">IF($I1317="","",IF(INDEX(BookQ1,1312)&gt;0,"Q1",IF(INDEX(BookQ2,1312)&gt;0,"Q2",IF(INDEX(BookQ3,1312)&gt;0,"Q3",IF(INDEX(BookQ4,1312)&gt;0,"Q4","")))))</f>
        <v/>
      </c>
      <c r="K1317" s="42" t="str">
        <f aca="false">IF(INDEX(BookTitle,1312)="","",INDEX(BookInYear,1312))</f>
        <v/>
      </c>
      <c r="L1317" s="19"/>
      <c r="M1317" s="39"/>
      <c r="N1317" s="19"/>
      <c r="O1317" s="19"/>
      <c r="P1317" s="43" t="str">
        <f aca="false">IF($E1317="","",IF($L1317="Decline",0,IF($L1317="Approve fewer",IF($M1317="","",$M1317),IF($L1317="","",$I1317))))</f>
        <v/>
      </c>
      <c r="Q1317" s="34" t="str">
        <f aca="false">IF($P1317="","",IF($N1317&lt;&gt;"",$N1317,$J1317))</f>
        <v/>
      </c>
      <c r="R1317" s="35" t="str">
        <f aca="false">IF(OR($P1317="",$Q1317=""),"",INDEX(BookRate,1312)*$P1317*(5-MATCH($Q1317,{"Q1";"Q2";"Q3";"Q4"},0))/4+INDEX(BookOneOff,1312)*$P1317)</f>
        <v/>
      </c>
      <c r="S1317" s="35" t="str">
        <f aca="false">IF($P1317="","",INDEX(BookRate,1312)*$P1317)</f>
        <v/>
      </c>
      <c r="T1317" s="35" t="str">
        <f aca="false">IF($R1317="","",$R1317-$K1317)</f>
        <v/>
      </c>
      <c r="U1317" s="35" t="str">
        <f aca="false">IF(N($P1317)&lt;=0,"",COUNTIF($P$6:$P1317,"&gt;0"))</f>
        <v/>
      </c>
    </row>
    <row r="1318" customFormat="false" ht="15" hidden="false" customHeight="false" outlineLevel="0" collapsed="false">
      <c r="A1318" s="40" t="str">
        <f aca="false">IF(INDEX(BookTitle,1313)="","",INDEX(BookGroup,1313))</f>
        <v/>
      </c>
      <c r="B1318" s="40" t="str">
        <f aca="false">IF(INDEX(BookTitle,1313)="","",INDEX(BookRef,1313))</f>
        <v/>
      </c>
      <c r="C1318" s="40" t="str">
        <f aca="false">IF(INDEX(BookTitle,1313)="","",INDEX(BookDivision,1313))</f>
        <v/>
      </c>
      <c r="D1318" s="40" t="str">
        <f aca="false">IF(INDEX(BookTitle,1313)="","",INDEX(BookUnit,1313))</f>
        <v/>
      </c>
      <c r="E1318" s="40" t="str">
        <f aca="false">IF(INDEX(BookTitle,1313)="","",INDEX(BookTitle,1313))</f>
        <v/>
      </c>
      <c r="F1318" s="40" t="str">
        <f aca="false">IF(INDEX(BookTitle,1313)="","",INDEX(BookLevel,1313))</f>
        <v/>
      </c>
      <c r="G1318" s="40" t="str">
        <f aca="false">IF(INDEX(BookTitle,1313)="","",INDEX(BookCategory,1313))</f>
        <v/>
      </c>
      <c r="H1318" s="40" t="str">
        <f aca="false">IF(INDEX(BookTitle,1313)="","",INDEX(BookRank,1313))</f>
        <v/>
      </c>
      <c r="I1318" s="41" t="str">
        <f aca="false">IF(INDEX(BookTitle,1313)="","",INDEX(BookTotal,1313))</f>
        <v/>
      </c>
      <c r="J1318" s="0" t="str">
        <f aca="false">IF($I1318="","",IF(INDEX(BookQ1,1313)&gt;0,"Q1",IF(INDEX(BookQ2,1313)&gt;0,"Q2",IF(INDEX(BookQ3,1313)&gt;0,"Q3",IF(INDEX(BookQ4,1313)&gt;0,"Q4","")))))</f>
        <v/>
      </c>
      <c r="K1318" s="42" t="str">
        <f aca="false">IF(INDEX(BookTitle,1313)="","",INDEX(BookInYear,1313))</f>
        <v/>
      </c>
      <c r="L1318" s="19"/>
      <c r="M1318" s="39"/>
      <c r="N1318" s="19"/>
      <c r="O1318" s="19"/>
      <c r="P1318" s="43" t="str">
        <f aca="false">IF($E1318="","",IF($L1318="Decline",0,IF($L1318="Approve fewer",IF($M1318="","",$M1318),IF($L1318="","",$I1318))))</f>
        <v/>
      </c>
      <c r="Q1318" s="34" t="str">
        <f aca="false">IF($P1318="","",IF($N1318&lt;&gt;"",$N1318,$J1318))</f>
        <v/>
      </c>
      <c r="R1318" s="35" t="str">
        <f aca="false">IF(OR($P1318="",$Q1318=""),"",INDEX(BookRate,1313)*$P1318*(5-MATCH($Q1318,{"Q1";"Q2";"Q3";"Q4"},0))/4+INDEX(BookOneOff,1313)*$P1318)</f>
        <v/>
      </c>
      <c r="S1318" s="35" t="str">
        <f aca="false">IF($P1318="","",INDEX(BookRate,1313)*$P1318)</f>
        <v/>
      </c>
      <c r="T1318" s="35" t="str">
        <f aca="false">IF($R1318="","",$R1318-$K1318)</f>
        <v/>
      </c>
      <c r="U1318" s="35" t="str">
        <f aca="false">IF(N($P1318)&lt;=0,"",COUNTIF($P$6:$P1318,"&gt;0"))</f>
        <v/>
      </c>
    </row>
    <row r="1319" customFormat="false" ht="15" hidden="false" customHeight="false" outlineLevel="0" collapsed="false">
      <c r="A1319" s="40" t="str">
        <f aca="false">IF(INDEX(BookTitle,1314)="","",INDEX(BookGroup,1314))</f>
        <v/>
      </c>
      <c r="B1319" s="40" t="str">
        <f aca="false">IF(INDEX(BookTitle,1314)="","",INDEX(BookRef,1314))</f>
        <v/>
      </c>
      <c r="C1319" s="40" t="str">
        <f aca="false">IF(INDEX(BookTitle,1314)="","",INDEX(BookDivision,1314))</f>
        <v/>
      </c>
      <c r="D1319" s="40" t="str">
        <f aca="false">IF(INDEX(BookTitle,1314)="","",INDEX(BookUnit,1314))</f>
        <v/>
      </c>
      <c r="E1319" s="40" t="str">
        <f aca="false">IF(INDEX(BookTitle,1314)="","",INDEX(BookTitle,1314))</f>
        <v/>
      </c>
      <c r="F1319" s="40" t="str">
        <f aca="false">IF(INDEX(BookTitle,1314)="","",INDEX(BookLevel,1314))</f>
        <v/>
      </c>
      <c r="G1319" s="40" t="str">
        <f aca="false">IF(INDEX(BookTitle,1314)="","",INDEX(BookCategory,1314))</f>
        <v/>
      </c>
      <c r="H1319" s="40" t="str">
        <f aca="false">IF(INDEX(BookTitle,1314)="","",INDEX(BookRank,1314))</f>
        <v/>
      </c>
      <c r="I1319" s="41" t="str">
        <f aca="false">IF(INDEX(BookTitle,1314)="","",INDEX(BookTotal,1314))</f>
        <v/>
      </c>
      <c r="J1319" s="0" t="str">
        <f aca="false">IF($I1319="","",IF(INDEX(BookQ1,1314)&gt;0,"Q1",IF(INDEX(BookQ2,1314)&gt;0,"Q2",IF(INDEX(BookQ3,1314)&gt;0,"Q3",IF(INDEX(BookQ4,1314)&gt;0,"Q4","")))))</f>
        <v/>
      </c>
      <c r="K1319" s="42" t="str">
        <f aca="false">IF(INDEX(BookTitle,1314)="","",INDEX(BookInYear,1314))</f>
        <v/>
      </c>
      <c r="L1319" s="19"/>
      <c r="M1319" s="39"/>
      <c r="N1319" s="19"/>
      <c r="O1319" s="19"/>
      <c r="P1319" s="43" t="str">
        <f aca="false">IF($E1319="","",IF($L1319="Decline",0,IF($L1319="Approve fewer",IF($M1319="","",$M1319),IF($L1319="","",$I1319))))</f>
        <v/>
      </c>
      <c r="Q1319" s="34" t="str">
        <f aca="false">IF($P1319="","",IF($N1319&lt;&gt;"",$N1319,$J1319))</f>
        <v/>
      </c>
      <c r="R1319" s="35" t="str">
        <f aca="false">IF(OR($P1319="",$Q1319=""),"",INDEX(BookRate,1314)*$P1319*(5-MATCH($Q1319,{"Q1";"Q2";"Q3";"Q4"},0))/4+INDEX(BookOneOff,1314)*$P1319)</f>
        <v/>
      </c>
      <c r="S1319" s="35" t="str">
        <f aca="false">IF($P1319="","",INDEX(BookRate,1314)*$P1319)</f>
        <v/>
      </c>
      <c r="T1319" s="35" t="str">
        <f aca="false">IF($R1319="","",$R1319-$K1319)</f>
        <v/>
      </c>
      <c r="U1319" s="35" t="str">
        <f aca="false">IF(N($P1319)&lt;=0,"",COUNTIF($P$6:$P1319,"&gt;0"))</f>
        <v/>
      </c>
    </row>
    <row r="1320" customFormat="false" ht="15" hidden="false" customHeight="false" outlineLevel="0" collapsed="false">
      <c r="A1320" s="40" t="str">
        <f aca="false">IF(INDEX(BookTitle,1315)="","",INDEX(BookGroup,1315))</f>
        <v/>
      </c>
      <c r="B1320" s="40" t="str">
        <f aca="false">IF(INDEX(BookTitle,1315)="","",INDEX(BookRef,1315))</f>
        <v/>
      </c>
      <c r="C1320" s="40" t="str">
        <f aca="false">IF(INDEX(BookTitle,1315)="","",INDEX(BookDivision,1315))</f>
        <v/>
      </c>
      <c r="D1320" s="40" t="str">
        <f aca="false">IF(INDEX(BookTitle,1315)="","",INDEX(BookUnit,1315))</f>
        <v/>
      </c>
      <c r="E1320" s="40" t="str">
        <f aca="false">IF(INDEX(BookTitle,1315)="","",INDEX(BookTitle,1315))</f>
        <v/>
      </c>
      <c r="F1320" s="40" t="str">
        <f aca="false">IF(INDEX(BookTitle,1315)="","",INDEX(BookLevel,1315))</f>
        <v/>
      </c>
      <c r="G1320" s="40" t="str">
        <f aca="false">IF(INDEX(BookTitle,1315)="","",INDEX(BookCategory,1315))</f>
        <v/>
      </c>
      <c r="H1320" s="40" t="str">
        <f aca="false">IF(INDEX(BookTitle,1315)="","",INDEX(BookRank,1315))</f>
        <v/>
      </c>
      <c r="I1320" s="41" t="str">
        <f aca="false">IF(INDEX(BookTitle,1315)="","",INDEX(BookTotal,1315))</f>
        <v/>
      </c>
      <c r="J1320" s="0" t="str">
        <f aca="false">IF($I1320="","",IF(INDEX(BookQ1,1315)&gt;0,"Q1",IF(INDEX(BookQ2,1315)&gt;0,"Q2",IF(INDEX(BookQ3,1315)&gt;0,"Q3",IF(INDEX(BookQ4,1315)&gt;0,"Q4","")))))</f>
        <v/>
      </c>
      <c r="K1320" s="42" t="str">
        <f aca="false">IF(INDEX(BookTitle,1315)="","",INDEX(BookInYear,1315))</f>
        <v/>
      </c>
      <c r="L1320" s="19"/>
      <c r="M1320" s="39"/>
      <c r="N1320" s="19"/>
      <c r="O1320" s="19"/>
      <c r="P1320" s="43" t="str">
        <f aca="false">IF($E1320="","",IF($L1320="Decline",0,IF($L1320="Approve fewer",IF($M1320="","",$M1320),IF($L1320="","",$I1320))))</f>
        <v/>
      </c>
      <c r="Q1320" s="34" t="str">
        <f aca="false">IF($P1320="","",IF($N1320&lt;&gt;"",$N1320,$J1320))</f>
        <v/>
      </c>
      <c r="R1320" s="35" t="str">
        <f aca="false">IF(OR($P1320="",$Q1320=""),"",INDEX(BookRate,1315)*$P1320*(5-MATCH($Q1320,{"Q1";"Q2";"Q3";"Q4"},0))/4+INDEX(BookOneOff,1315)*$P1320)</f>
        <v/>
      </c>
      <c r="S1320" s="35" t="str">
        <f aca="false">IF($P1320="","",INDEX(BookRate,1315)*$P1320)</f>
        <v/>
      </c>
      <c r="T1320" s="35" t="str">
        <f aca="false">IF($R1320="","",$R1320-$K1320)</f>
        <v/>
      </c>
      <c r="U1320" s="35" t="str">
        <f aca="false">IF(N($P1320)&lt;=0,"",COUNTIF($P$6:$P1320,"&gt;0"))</f>
        <v/>
      </c>
    </row>
    <row r="1321" customFormat="false" ht="15" hidden="false" customHeight="false" outlineLevel="0" collapsed="false">
      <c r="A1321" s="40" t="str">
        <f aca="false">IF(INDEX(BookTitle,1316)="","",INDEX(BookGroup,1316))</f>
        <v/>
      </c>
      <c r="B1321" s="40" t="str">
        <f aca="false">IF(INDEX(BookTitle,1316)="","",INDEX(BookRef,1316))</f>
        <v/>
      </c>
      <c r="C1321" s="40" t="str">
        <f aca="false">IF(INDEX(BookTitle,1316)="","",INDEX(BookDivision,1316))</f>
        <v/>
      </c>
      <c r="D1321" s="40" t="str">
        <f aca="false">IF(INDEX(BookTitle,1316)="","",INDEX(BookUnit,1316))</f>
        <v/>
      </c>
      <c r="E1321" s="40" t="str">
        <f aca="false">IF(INDEX(BookTitle,1316)="","",INDEX(BookTitle,1316))</f>
        <v/>
      </c>
      <c r="F1321" s="40" t="str">
        <f aca="false">IF(INDEX(BookTitle,1316)="","",INDEX(BookLevel,1316))</f>
        <v/>
      </c>
      <c r="G1321" s="40" t="str">
        <f aca="false">IF(INDEX(BookTitle,1316)="","",INDEX(BookCategory,1316))</f>
        <v/>
      </c>
      <c r="H1321" s="40" t="str">
        <f aca="false">IF(INDEX(BookTitle,1316)="","",INDEX(BookRank,1316))</f>
        <v/>
      </c>
      <c r="I1321" s="41" t="str">
        <f aca="false">IF(INDEX(BookTitle,1316)="","",INDEX(BookTotal,1316))</f>
        <v/>
      </c>
      <c r="J1321" s="0" t="str">
        <f aca="false">IF($I1321="","",IF(INDEX(BookQ1,1316)&gt;0,"Q1",IF(INDEX(BookQ2,1316)&gt;0,"Q2",IF(INDEX(BookQ3,1316)&gt;0,"Q3",IF(INDEX(BookQ4,1316)&gt;0,"Q4","")))))</f>
        <v/>
      </c>
      <c r="K1321" s="42" t="str">
        <f aca="false">IF(INDEX(BookTitle,1316)="","",INDEX(BookInYear,1316))</f>
        <v/>
      </c>
      <c r="L1321" s="19"/>
      <c r="M1321" s="39"/>
      <c r="N1321" s="19"/>
      <c r="O1321" s="19"/>
      <c r="P1321" s="43" t="str">
        <f aca="false">IF($E1321="","",IF($L1321="Decline",0,IF($L1321="Approve fewer",IF($M1321="","",$M1321),IF($L1321="","",$I1321))))</f>
        <v/>
      </c>
      <c r="Q1321" s="34" t="str">
        <f aca="false">IF($P1321="","",IF($N1321&lt;&gt;"",$N1321,$J1321))</f>
        <v/>
      </c>
      <c r="R1321" s="35" t="str">
        <f aca="false">IF(OR($P1321="",$Q1321=""),"",INDEX(BookRate,1316)*$P1321*(5-MATCH($Q1321,{"Q1";"Q2";"Q3";"Q4"},0))/4+INDEX(BookOneOff,1316)*$P1321)</f>
        <v/>
      </c>
      <c r="S1321" s="35" t="str">
        <f aca="false">IF($P1321="","",INDEX(BookRate,1316)*$P1321)</f>
        <v/>
      </c>
      <c r="T1321" s="35" t="str">
        <f aca="false">IF($R1321="","",$R1321-$K1321)</f>
        <v/>
      </c>
      <c r="U1321" s="35" t="str">
        <f aca="false">IF(N($P1321)&lt;=0,"",COUNTIF($P$6:$P1321,"&gt;0"))</f>
        <v/>
      </c>
    </row>
    <row r="1322" customFormat="false" ht="15" hidden="false" customHeight="false" outlineLevel="0" collapsed="false">
      <c r="A1322" s="40" t="str">
        <f aca="false">IF(INDEX(BookTitle,1317)="","",INDEX(BookGroup,1317))</f>
        <v/>
      </c>
      <c r="B1322" s="40" t="str">
        <f aca="false">IF(INDEX(BookTitle,1317)="","",INDEX(BookRef,1317))</f>
        <v/>
      </c>
      <c r="C1322" s="40" t="str">
        <f aca="false">IF(INDEX(BookTitle,1317)="","",INDEX(BookDivision,1317))</f>
        <v/>
      </c>
      <c r="D1322" s="40" t="str">
        <f aca="false">IF(INDEX(BookTitle,1317)="","",INDEX(BookUnit,1317))</f>
        <v/>
      </c>
      <c r="E1322" s="40" t="str">
        <f aca="false">IF(INDEX(BookTitle,1317)="","",INDEX(BookTitle,1317))</f>
        <v/>
      </c>
      <c r="F1322" s="40" t="str">
        <f aca="false">IF(INDEX(BookTitle,1317)="","",INDEX(BookLevel,1317))</f>
        <v/>
      </c>
      <c r="G1322" s="40" t="str">
        <f aca="false">IF(INDEX(BookTitle,1317)="","",INDEX(BookCategory,1317))</f>
        <v/>
      </c>
      <c r="H1322" s="40" t="str">
        <f aca="false">IF(INDEX(BookTitle,1317)="","",INDEX(BookRank,1317))</f>
        <v/>
      </c>
      <c r="I1322" s="41" t="str">
        <f aca="false">IF(INDEX(BookTitle,1317)="","",INDEX(BookTotal,1317))</f>
        <v/>
      </c>
      <c r="J1322" s="0" t="str">
        <f aca="false">IF($I1322="","",IF(INDEX(BookQ1,1317)&gt;0,"Q1",IF(INDEX(BookQ2,1317)&gt;0,"Q2",IF(INDEX(BookQ3,1317)&gt;0,"Q3",IF(INDEX(BookQ4,1317)&gt;0,"Q4","")))))</f>
        <v/>
      </c>
      <c r="K1322" s="42" t="str">
        <f aca="false">IF(INDEX(BookTitle,1317)="","",INDEX(BookInYear,1317))</f>
        <v/>
      </c>
      <c r="L1322" s="19"/>
      <c r="M1322" s="39"/>
      <c r="N1322" s="19"/>
      <c r="O1322" s="19"/>
      <c r="P1322" s="43" t="str">
        <f aca="false">IF($E1322="","",IF($L1322="Decline",0,IF($L1322="Approve fewer",IF($M1322="","",$M1322),IF($L1322="","",$I1322))))</f>
        <v/>
      </c>
      <c r="Q1322" s="34" t="str">
        <f aca="false">IF($P1322="","",IF($N1322&lt;&gt;"",$N1322,$J1322))</f>
        <v/>
      </c>
      <c r="R1322" s="35" t="str">
        <f aca="false">IF(OR($P1322="",$Q1322=""),"",INDEX(BookRate,1317)*$P1322*(5-MATCH($Q1322,{"Q1";"Q2";"Q3";"Q4"},0))/4+INDEX(BookOneOff,1317)*$P1322)</f>
        <v/>
      </c>
      <c r="S1322" s="35" t="str">
        <f aca="false">IF($P1322="","",INDEX(BookRate,1317)*$P1322)</f>
        <v/>
      </c>
      <c r="T1322" s="35" t="str">
        <f aca="false">IF($R1322="","",$R1322-$K1322)</f>
        <v/>
      </c>
      <c r="U1322" s="35" t="str">
        <f aca="false">IF(N($P1322)&lt;=0,"",COUNTIF($P$6:$P1322,"&gt;0"))</f>
        <v/>
      </c>
    </row>
    <row r="1323" customFormat="false" ht="15" hidden="false" customHeight="false" outlineLevel="0" collapsed="false">
      <c r="A1323" s="40" t="str">
        <f aca="false">IF(INDEX(BookTitle,1318)="","",INDEX(BookGroup,1318))</f>
        <v/>
      </c>
      <c r="B1323" s="40" t="str">
        <f aca="false">IF(INDEX(BookTitle,1318)="","",INDEX(BookRef,1318))</f>
        <v/>
      </c>
      <c r="C1323" s="40" t="str">
        <f aca="false">IF(INDEX(BookTitle,1318)="","",INDEX(BookDivision,1318))</f>
        <v/>
      </c>
      <c r="D1323" s="40" t="str">
        <f aca="false">IF(INDEX(BookTitle,1318)="","",INDEX(BookUnit,1318))</f>
        <v/>
      </c>
      <c r="E1323" s="40" t="str">
        <f aca="false">IF(INDEX(BookTitle,1318)="","",INDEX(BookTitle,1318))</f>
        <v/>
      </c>
      <c r="F1323" s="40" t="str">
        <f aca="false">IF(INDEX(BookTitle,1318)="","",INDEX(BookLevel,1318))</f>
        <v/>
      </c>
      <c r="G1323" s="40" t="str">
        <f aca="false">IF(INDEX(BookTitle,1318)="","",INDEX(BookCategory,1318))</f>
        <v/>
      </c>
      <c r="H1323" s="40" t="str">
        <f aca="false">IF(INDEX(BookTitle,1318)="","",INDEX(BookRank,1318))</f>
        <v/>
      </c>
      <c r="I1323" s="41" t="str">
        <f aca="false">IF(INDEX(BookTitle,1318)="","",INDEX(BookTotal,1318))</f>
        <v/>
      </c>
      <c r="J1323" s="0" t="str">
        <f aca="false">IF($I1323="","",IF(INDEX(BookQ1,1318)&gt;0,"Q1",IF(INDEX(BookQ2,1318)&gt;0,"Q2",IF(INDEX(BookQ3,1318)&gt;0,"Q3",IF(INDEX(BookQ4,1318)&gt;0,"Q4","")))))</f>
        <v/>
      </c>
      <c r="K1323" s="42" t="str">
        <f aca="false">IF(INDEX(BookTitle,1318)="","",INDEX(BookInYear,1318))</f>
        <v/>
      </c>
      <c r="L1323" s="19"/>
      <c r="M1323" s="39"/>
      <c r="N1323" s="19"/>
      <c r="O1323" s="19"/>
      <c r="P1323" s="43" t="str">
        <f aca="false">IF($E1323="","",IF($L1323="Decline",0,IF($L1323="Approve fewer",IF($M1323="","",$M1323),IF($L1323="","",$I1323))))</f>
        <v/>
      </c>
      <c r="Q1323" s="34" t="str">
        <f aca="false">IF($P1323="","",IF($N1323&lt;&gt;"",$N1323,$J1323))</f>
        <v/>
      </c>
      <c r="R1323" s="35" t="str">
        <f aca="false">IF(OR($P1323="",$Q1323=""),"",INDEX(BookRate,1318)*$P1323*(5-MATCH($Q1323,{"Q1";"Q2";"Q3";"Q4"},0))/4+INDEX(BookOneOff,1318)*$P1323)</f>
        <v/>
      </c>
      <c r="S1323" s="35" t="str">
        <f aca="false">IF($P1323="","",INDEX(BookRate,1318)*$P1323)</f>
        <v/>
      </c>
      <c r="T1323" s="35" t="str">
        <f aca="false">IF($R1323="","",$R1323-$K1323)</f>
        <v/>
      </c>
      <c r="U1323" s="35" t="str">
        <f aca="false">IF(N($P1323)&lt;=0,"",COUNTIF($P$6:$P1323,"&gt;0"))</f>
        <v/>
      </c>
    </row>
    <row r="1324" customFormat="false" ht="15" hidden="false" customHeight="false" outlineLevel="0" collapsed="false">
      <c r="A1324" s="40" t="str">
        <f aca="false">IF(INDEX(BookTitle,1319)="","",INDEX(BookGroup,1319))</f>
        <v/>
      </c>
      <c r="B1324" s="40" t="str">
        <f aca="false">IF(INDEX(BookTitle,1319)="","",INDEX(BookRef,1319))</f>
        <v/>
      </c>
      <c r="C1324" s="40" t="str">
        <f aca="false">IF(INDEX(BookTitle,1319)="","",INDEX(BookDivision,1319))</f>
        <v/>
      </c>
      <c r="D1324" s="40" t="str">
        <f aca="false">IF(INDEX(BookTitle,1319)="","",INDEX(BookUnit,1319))</f>
        <v/>
      </c>
      <c r="E1324" s="40" t="str">
        <f aca="false">IF(INDEX(BookTitle,1319)="","",INDEX(BookTitle,1319))</f>
        <v/>
      </c>
      <c r="F1324" s="40" t="str">
        <f aca="false">IF(INDEX(BookTitle,1319)="","",INDEX(BookLevel,1319))</f>
        <v/>
      </c>
      <c r="G1324" s="40" t="str">
        <f aca="false">IF(INDEX(BookTitle,1319)="","",INDEX(BookCategory,1319))</f>
        <v/>
      </c>
      <c r="H1324" s="40" t="str">
        <f aca="false">IF(INDEX(BookTitle,1319)="","",INDEX(BookRank,1319))</f>
        <v/>
      </c>
      <c r="I1324" s="41" t="str">
        <f aca="false">IF(INDEX(BookTitle,1319)="","",INDEX(BookTotal,1319))</f>
        <v/>
      </c>
      <c r="J1324" s="0" t="str">
        <f aca="false">IF($I1324="","",IF(INDEX(BookQ1,1319)&gt;0,"Q1",IF(INDEX(BookQ2,1319)&gt;0,"Q2",IF(INDEX(BookQ3,1319)&gt;0,"Q3",IF(INDEX(BookQ4,1319)&gt;0,"Q4","")))))</f>
        <v/>
      </c>
      <c r="K1324" s="42" t="str">
        <f aca="false">IF(INDEX(BookTitle,1319)="","",INDEX(BookInYear,1319))</f>
        <v/>
      </c>
      <c r="L1324" s="19"/>
      <c r="M1324" s="39"/>
      <c r="N1324" s="19"/>
      <c r="O1324" s="19"/>
      <c r="P1324" s="43" t="str">
        <f aca="false">IF($E1324="","",IF($L1324="Decline",0,IF($L1324="Approve fewer",IF($M1324="","",$M1324),IF($L1324="","",$I1324))))</f>
        <v/>
      </c>
      <c r="Q1324" s="34" t="str">
        <f aca="false">IF($P1324="","",IF($N1324&lt;&gt;"",$N1324,$J1324))</f>
        <v/>
      </c>
      <c r="R1324" s="35" t="str">
        <f aca="false">IF(OR($P1324="",$Q1324=""),"",INDEX(BookRate,1319)*$P1324*(5-MATCH($Q1324,{"Q1";"Q2";"Q3";"Q4"},0))/4+INDEX(BookOneOff,1319)*$P1324)</f>
        <v/>
      </c>
      <c r="S1324" s="35" t="str">
        <f aca="false">IF($P1324="","",INDEX(BookRate,1319)*$P1324)</f>
        <v/>
      </c>
      <c r="T1324" s="35" t="str">
        <f aca="false">IF($R1324="","",$R1324-$K1324)</f>
        <v/>
      </c>
      <c r="U1324" s="35" t="str">
        <f aca="false">IF(N($P1324)&lt;=0,"",COUNTIF($P$6:$P1324,"&gt;0"))</f>
        <v/>
      </c>
    </row>
    <row r="1325" customFormat="false" ht="15" hidden="false" customHeight="false" outlineLevel="0" collapsed="false">
      <c r="A1325" s="40" t="str">
        <f aca="false">IF(INDEX(BookTitle,1320)="","",INDEX(BookGroup,1320))</f>
        <v/>
      </c>
      <c r="B1325" s="40" t="str">
        <f aca="false">IF(INDEX(BookTitle,1320)="","",INDEX(BookRef,1320))</f>
        <v/>
      </c>
      <c r="C1325" s="40" t="str">
        <f aca="false">IF(INDEX(BookTitle,1320)="","",INDEX(BookDivision,1320))</f>
        <v/>
      </c>
      <c r="D1325" s="40" t="str">
        <f aca="false">IF(INDEX(BookTitle,1320)="","",INDEX(BookUnit,1320))</f>
        <v/>
      </c>
      <c r="E1325" s="40" t="str">
        <f aca="false">IF(INDEX(BookTitle,1320)="","",INDEX(BookTitle,1320))</f>
        <v/>
      </c>
      <c r="F1325" s="40" t="str">
        <f aca="false">IF(INDEX(BookTitle,1320)="","",INDEX(BookLevel,1320))</f>
        <v/>
      </c>
      <c r="G1325" s="40" t="str">
        <f aca="false">IF(INDEX(BookTitle,1320)="","",INDEX(BookCategory,1320))</f>
        <v/>
      </c>
      <c r="H1325" s="40" t="str">
        <f aca="false">IF(INDEX(BookTitle,1320)="","",INDEX(BookRank,1320))</f>
        <v/>
      </c>
      <c r="I1325" s="41" t="str">
        <f aca="false">IF(INDEX(BookTitle,1320)="","",INDEX(BookTotal,1320))</f>
        <v/>
      </c>
      <c r="J1325" s="0" t="str">
        <f aca="false">IF($I1325="","",IF(INDEX(BookQ1,1320)&gt;0,"Q1",IF(INDEX(BookQ2,1320)&gt;0,"Q2",IF(INDEX(BookQ3,1320)&gt;0,"Q3",IF(INDEX(BookQ4,1320)&gt;0,"Q4","")))))</f>
        <v/>
      </c>
      <c r="K1325" s="42" t="str">
        <f aca="false">IF(INDEX(BookTitle,1320)="","",INDEX(BookInYear,1320))</f>
        <v/>
      </c>
      <c r="L1325" s="19"/>
      <c r="M1325" s="39"/>
      <c r="N1325" s="19"/>
      <c r="O1325" s="19"/>
      <c r="P1325" s="43" t="str">
        <f aca="false">IF($E1325="","",IF($L1325="Decline",0,IF($L1325="Approve fewer",IF($M1325="","",$M1325),IF($L1325="","",$I1325))))</f>
        <v/>
      </c>
      <c r="Q1325" s="34" t="str">
        <f aca="false">IF($P1325="","",IF($N1325&lt;&gt;"",$N1325,$J1325))</f>
        <v/>
      </c>
      <c r="R1325" s="35" t="str">
        <f aca="false">IF(OR($P1325="",$Q1325=""),"",INDEX(BookRate,1320)*$P1325*(5-MATCH($Q1325,{"Q1";"Q2";"Q3";"Q4"},0))/4+INDEX(BookOneOff,1320)*$P1325)</f>
        <v/>
      </c>
      <c r="S1325" s="35" t="str">
        <f aca="false">IF($P1325="","",INDEX(BookRate,1320)*$P1325)</f>
        <v/>
      </c>
      <c r="T1325" s="35" t="str">
        <f aca="false">IF($R1325="","",$R1325-$K1325)</f>
        <v/>
      </c>
      <c r="U1325" s="35" t="str">
        <f aca="false">IF(N($P1325)&lt;=0,"",COUNTIF($P$6:$P1325,"&gt;0"))</f>
        <v/>
      </c>
    </row>
    <row r="1326" customFormat="false" ht="15" hidden="false" customHeight="false" outlineLevel="0" collapsed="false">
      <c r="A1326" s="40" t="str">
        <f aca="false">IF(INDEX(BookTitle,1321)="","",INDEX(BookGroup,1321))</f>
        <v/>
      </c>
      <c r="B1326" s="40" t="str">
        <f aca="false">IF(INDEX(BookTitle,1321)="","",INDEX(BookRef,1321))</f>
        <v/>
      </c>
      <c r="C1326" s="40" t="str">
        <f aca="false">IF(INDEX(BookTitle,1321)="","",INDEX(BookDivision,1321))</f>
        <v/>
      </c>
      <c r="D1326" s="40" t="str">
        <f aca="false">IF(INDEX(BookTitle,1321)="","",INDEX(BookUnit,1321))</f>
        <v/>
      </c>
      <c r="E1326" s="40" t="str">
        <f aca="false">IF(INDEX(BookTitle,1321)="","",INDEX(BookTitle,1321))</f>
        <v/>
      </c>
      <c r="F1326" s="40" t="str">
        <f aca="false">IF(INDEX(BookTitle,1321)="","",INDEX(BookLevel,1321))</f>
        <v/>
      </c>
      <c r="G1326" s="40" t="str">
        <f aca="false">IF(INDEX(BookTitle,1321)="","",INDEX(BookCategory,1321))</f>
        <v/>
      </c>
      <c r="H1326" s="40" t="str">
        <f aca="false">IF(INDEX(BookTitle,1321)="","",INDEX(BookRank,1321))</f>
        <v/>
      </c>
      <c r="I1326" s="41" t="str">
        <f aca="false">IF(INDEX(BookTitle,1321)="","",INDEX(BookTotal,1321))</f>
        <v/>
      </c>
      <c r="J1326" s="0" t="str">
        <f aca="false">IF($I1326="","",IF(INDEX(BookQ1,1321)&gt;0,"Q1",IF(INDEX(BookQ2,1321)&gt;0,"Q2",IF(INDEX(BookQ3,1321)&gt;0,"Q3",IF(INDEX(BookQ4,1321)&gt;0,"Q4","")))))</f>
        <v/>
      </c>
      <c r="K1326" s="42" t="str">
        <f aca="false">IF(INDEX(BookTitle,1321)="","",INDEX(BookInYear,1321))</f>
        <v/>
      </c>
      <c r="L1326" s="19"/>
      <c r="M1326" s="39"/>
      <c r="N1326" s="19"/>
      <c r="O1326" s="19"/>
      <c r="P1326" s="43" t="str">
        <f aca="false">IF($E1326="","",IF($L1326="Decline",0,IF($L1326="Approve fewer",IF($M1326="","",$M1326),IF($L1326="","",$I1326))))</f>
        <v/>
      </c>
      <c r="Q1326" s="34" t="str">
        <f aca="false">IF($P1326="","",IF($N1326&lt;&gt;"",$N1326,$J1326))</f>
        <v/>
      </c>
      <c r="R1326" s="35" t="str">
        <f aca="false">IF(OR($P1326="",$Q1326=""),"",INDEX(BookRate,1321)*$P1326*(5-MATCH($Q1326,{"Q1";"Q2";"Q3";"Q4"},0))/4+INDEX(BookOneOff,1321)*$P1326)</f>
        <v/>
      </c>
      <c r="S1326" s="35" t="str">
        <f aca="false">IF($P1326="","",INDEX(BookRate,1321)*$P1326)</f>
        <v/>
      </c>
      <c r="T1326" s="35" t="str">
        <f aca="false">IF($R1326="","",$R1326-$K1326)</f>
        <v/>
      </c>
      <c r="U1326" s="35" t="str">
        <f aca="false">IF(N($P1326)&lt;=0,"",COUNTIF($P$6:$P1326,"&gt;0"))</f>
        <v/>
      </c>
    </row>
    <row r="1327" customFormat="false" ht="15" hidden="false" customHeight="false" outlineLevel="0" collapsed="false">
      <c r="A1327" s="40" t="str">
        <f aca="false">IF(INDEX(BookTitle,1322)="","",INDEX(BookGroup,1322))</f>
        <v/>
      </c>
      <c r="B1327" s="40" t="str">
        <f aca="false">IF(INDEX(BookTitle,1322)="","",INDEX(BookRef,1322))</f>
        <v/>
      </c>
      <c r="C1327" s="40" t="str">
        <f aca="false">IF(INDEX(BookTitle,1322)="","",INDEX(BookDivision,1322))</f>
        <v/>
      </c>
      <c r="D1327" s="40" t="str">
        <f aca="false">IF(INDEX(BookTitle,1322)="","",INDEX(BookUnit,1322))</f>
        <v/>
      </c>
      <c r="E1327" s="40" t="str">
        <f aca="false">IF(INDEX(BookTitle,1322)="","",INDEX(BookTitle,1322))</f>
        <v/>
      </c>
      <c r="F1327" s="40" t="str">
        <f aca="false">IF(INDEX(BookTitle,1322)="","",INDEX(BookLevel,1322))</f>
        <v/>
      </c>
      <c r="G1327" s="40" t="str">
        <f aca="false">IF(INDEX(BookTitle,1322)="","",INDEX(BookCategory,1322))</f>
        <v/>
      </c>
      <c r="H1327" s="40" t="str">
        <f aca="false">IF(INDEX(BookTitle,1322)="","",INDEX(BookRank,1322))</f>
        <v/>
      </c>
      <c r="I1327" s="41" t="str">
        <f aca="false">IF(INDEX(BookTitle,1322)="","",INDEX(BookTotal,1322))</f>
        <v/>
      </c>
      <c r="J1327" s="0" t="str">
        <f aca="false">IF($I1327="","",IF(INDEX(BookQ1,1322)&gt;0,"Q1",IF(INDEX(BookQ2,1322)&gt;0,"Q2",IF(INDEX(BookQ3,1322)&gt;0,"Q3",IF(INDEX(BookQ4,1322)&gt;0,"Q4","")))))</f>
        <v/>
      </c>
      <c r="K1327" s="42" t="str">
        <f aca="false">IF(INDEX(BookTitle,1322)="","",INDEX(BookInYear,1322))</f>
        <v/>
      </c>
      <c r="L1327" s="19"/>
      <c r="M1327" s="39"/>
      <c r="N1327" s="19"/>
      <c r="O1327" s="19"/>
      <c r="P1327" s="43" t="str">
        <f aca="false">IF($E1327="","",IF($L1327="Decline",0,IF($L1327="Approve fewer",IF($M1327="","",$M1327),IF($L1327="","",$I1327))))</f>
        <v/>
      </c>
      <c r="Q1327" s="34" t="str">
        <f aca="false">IF($P1327="","",IF($N1327&lt;&gt;"",$N1327,$J1327))</f>
        <v/>
      </c>
      <c r="R1327" s="35" t="str">
        <f aca="false">IF(OR($P1327="",$Q1327=""),"",INDEX(BookRate,1322)*$P1327*(5-MATCH($Q1327,{"Q1";"Q2";"Q3";"Q4"},0))/4+INDEX(BookOneOff,1322)*$P1327)</f>
        <v/>
      </c>
      <c r="S1327" s="35" t="str">
        <f aca="false">IF($P1327="","",INDEX(BookRate,1322)*$P1327)</f>
        <v/>
      </c>
      <c r="T1327" s="35" t="str">
        <f aca="false">IF($R1327="","",$R1327-$K1327)</f>
        <v/>
      </c>
      <c r="U1327" s="35" t="str">
        <f aca="false">IF(N($P1327)&lt;=0,"",COUNTIF($P$6:$P1327,"&gt;0"))</f>
        <v/>
      </c>
    </row>
    <row r="1328" customFormat="false" ht="15" hidden="false" customHeight="false" outlineLevel="0" collapsed="false">
      <c r="A1328" s="40" t="str">
        <f aca="false">IF(INDEX(BookTitle,1323)="","",INDEX(BookGroup,1323))</f>
        <v/>
      </c>
      <c r="B1328" s="40" t="str">
        <f aca="false">IF(INDEX(BookTitle,1323)="","",INDEX(BookRef,1323))</f>
        <v/>
      </c>
      <c r="C1328" s="40" t="str">
        <f aca="false">IF(INDEX(BookTitle,1323)="","",INDEX(BookDivision,1323))</f>
        <v/>
      </c>
      <c r="D1328" s="40" t="str">
        <f aca="false">IF(INDEX(BookTitle,1323)="","",INDEX(BookUnit,1323))</f>
        <v/>
      </c>
      <c r="E1328" s="40" t="str">
        <f aca="false">IF(INDEX(BookTitle,1323)="","",INDEX(BookTitle,1323))</f>
        <v/>
      </c>
      <c r="F1328" s="40" t="str">
        <f aca="false">IF(INDEX(BookTitle,1323)="","",INDEX(BookLevel,1323))</f>
        <v/>
      </c>
      <c r="G1328" s="40" t="str">
        <f aca="false">IF(INDEX(BookTitle,1323)="","",INDEX(BookCategory,1323))</f>
        <v/>
      </c>
      <c r="H1328" s="40" t="str">
        <f aca="false">IF(INDEX(BookTitle,1323)="","",INDEX(BookRank,1323))</f>
        <v/>
      </c>
      <c r="I1328" s="41" t="str">
        <f aca="false">IF(INDEX(BookTitle,1323)="","",INDEX(BookTotal,1323))</f>
        <v/>
      </c>
      <c r="J1328" s="0" t="str">
        <f aca="false">IF($I1328="","",IF(INDEX(BookQ1,1323)&gt;0,"Q1",IF(INDEX(BookQ2,1323)&gt;0,"Q2",IF(INDEX(BookQ3,1323)&gt;0,"Q3",IF(INDEX(BookQ4,1323)&gt;0,"Q4","")))))</f>
        <v/>
      </c>
      <c r="K1328" s="42" t="str">
        <f aca="false">IF(INDEX(BookTitle,1323)="","",INDEX(BookInYear,1323))</f>
        <v/>
      </c>
      <c r="L1328" s="19"/>
      <c r="M1328" s="39"/>
      <c r="N1328" s="19"/>
      <c r="O1328" s="19"/>
      <c r="P1328" s="43" t="str">
        <f aca="false">IF($E1328="","",IF($L1328="Decline",0,IF($L1328="Approve fewer",IF($M1328="","",$M1328),IF($L1328="","",$I1328))))</f>
        <v/>
      </c>
      <c r="Q1328" s="34" t="str">
        <f aca="false">IF($P1328="","",IF($N1328&lt;&gt;"",$N1328,$J1328))</f>
        <v/>
      </c>
      <c r="R1328" s="35" t="str">
        <f aca="false">IF(OR($P1328="",$Q1328=""),"",INDEX(BookRate,1323)*$P1328*(5-MATCH($Q1328,{"Q1";"Q2";"Q3";"Q4"},0))/4+INDEX(BookOneOff,1323)*$P1328)</f>
        <v/>
      </c>
      <c r="S1328" s="35" t="str">
        <f aca="false">IF($P1328="","",INDEX(BookRate,1323)*$P1328)</f>
        <v/>
      </c>
      <c r="T1328" s="35" t="str">
        <f aca="false">IF($R1328="","",$R1328-$K1328)</f>
        <v/>
      </c>
      <c r="U1328" s="35" t="str">
        <f aca="false">IF(N($P1328)&lt;=0,"",COUNTIF($P$6:$P1328,"&gt;0"))</f>
        <v/>
      </c>
    </row>
    <row r="1329" customFormat="false" ht="15" hidden="false" customHeight="false" outlineLevel="0" collapsed="false">
      <c r="A1329" s="40" t="str">
        <f aca="false">IF(INDEX(BookTitle,1324)="","",INDEX(BookGroup,1324))</f>
        <v/>
      </c>
      <c r="B1329" s="40" t="str">
        <f aca="false">IF(INDEX(BookTitle,1324)="","",INDEX(BookRef,1324))</f>
        <v/>
      </c>
      <c r="C1329" s="40" t="str">
        <f aca="false">IF(INDEX(BookTitle,1324)="","",INDEX(BookDivision,1324))</f>
        <v/>
      </c>
      <c r="D1329" s="40" t="str">
        <f aca="false">IF(INDEX(BookTitle,1324)="","",INDEX(BookUnit,1324))</f>
        <v/>
      </c>
      <c r="E1329" s="40" t="str">
        <f aca="false">IF(INDEX(BookTitle,1324)="","",INDEX(BookTitle,1324))</f>
        <v/>
      </c>
      <c r="F1329" s="40" t="str">
        <f aca="false">IF(INDEX(BookTitle,1324)="","",INDEX(BookLevel,1324))</f>
        <v/>
      </c>
      <c r="G1329" s="40" t="str">
        <f aca="false">IF(INDEX(BookTitle,1324)="","",INDEX(BookCategory,1324))</f>
        <v/>
      </c>
      <c r="H1329" s="40" t="str">
        <f aca="false">IF(INDEX(BookTitle,1324)="","",INDEX(BookRank,1324))</f>
        <v/>
      </c>
      <c r="I1329" s="41" t="str">
        <f aca="false">IF(INDEX(BookTitle,1324)="","",INDEX(BookTotal,1324))</f>
        <v/>
      </c>
      <c r="J1329" s="0" t="str">
        <f aca="false">IF($I1329="","",IF(INDEX(BookQ1,1324)&gt;0,"Q1",IF(INDEX(BookQ2,1324)&gt;0,"Q2",IF(INDEX(BookQ3,1324)&gt;0,"Q3",IF(INDEX(BookQ4,1324)&gt;0,"Q4","")))))</f>
        <v/>
      </c>
      <c r="K1329" s="42" t="str">
        <f aca="false">IF(INDEX(BookTitle,1324)="","",INDEX(BookInYear,1324))</f>
        <v/>
      </c>
      <c r="L1329" s="19"/>
      <c r="M1329" s="39"/>
      <c r="N1329" s="19"/>
      <c r="O1329" s="19"/>
      <c r="P1329" s="43" t="str">
        <f aca="false">IF($E1329="","",IF($L1329="Decline",0,IF($L1329="Approve fewer",IF($M1329="","",$M1329),IF($L1329="","",$I1329))))</f>
        <v/>
      </c>
      <c r="Q1329" s="34" t="str">
        <f aca="false">IF($P1329="","",IF($N1329&lt;&gt;"",$N1329,$J1329))</f>
        <v/>
      </c>
      <c r="R1329" s="35" t="str">
        <f aca="false">IF(OR($P1329="",$Q1329=""),"",INDEX(BookRate,1324)*$P1329*(5-MATCH($Q1329,{"Q1";"Q2";"Q3";"Q4"},0))/4+INDEX(BookOneOff,1324)*$P1329)</f>
        <v/>
      </c>
      <c r="S1329" s="35" t="str">
        <f aca="false">IF($P1329="","",INDEX(BookRate,1324)*$P1329)</f>
        <v/>
      </c>
      <c r="T1329" s="35" t="str">
        <f aca="false">IF($R1329="","",$R1329-$K1329)</f>
        <v/>
      </c>
      <c r="U1329" s="35" t="str">
        <f aca="false">IF(N($P1329)&lt;=0,"",COUNTIF($P$6:$P1329,"&gt;0"))</f>
        <v/>
      </c>
    </row>
    <row r="1330" customFormat="false" ht="15" hidden="false" customHeight="false" outlineLevel="0" collapsed="false">
      <c r="A1330" s="40" t="str">
        <f aca="false">IF(INDEX(BookTitle,1325)="","",INDEX(BookGroup,1325))</f>
        <v/>
      </c>
      <c r="B1330" s="40" t="str">
        <f aca="false">IF(INDEX(BookTitle,1325)="","",INDEX(BookRef,1325))</f>
        <v/>
      </c>
      <c r="C1330" s="40" t="str">
        <f aca="false">IF(INDEX(BookTitle,1325)="","",INDEX(BookDivision,1325))</f>
        <v/>
      </c>
      <c r="D1330" s="40" t="str">
        <f aca="false">IF(INDEX(BookTitle,1325)="","",INDEX(BookUnit,1325))</f>
        <v/>
      </c>
      <c r="E1330" s="40" t="str">
        <f aca="false">IF(INDEX(BookTitle,1325)="","",INDEX(BookTitle,1325))</f>
        <v/>
      </c>
      <c r="F1330" s="40" t="str">
        <f aca="false">IF(INDEX(BookTitle,1325)="","",INDEX(BookLevel,1325))</f>
        <v/>
      </c>
      <c r="G1330" s="40" t="str">
        <f aca="false">IF(INDEX(BookTitle,1325)="","",INDEX(BookCategory,1325))</f>
        <v/>
      </c>
      <c r="H1330" s="40" t="str">
        <f aca="false">IF(INDEX(BookTitle,1325)="","",INDEX(BookRank,1325))</f>
        <v/>
      </c>
      <c r="I1330" s="41" t="str">
        <f aca="false">IF(INDEX(BookTitle,1325)="","",INDEX(BookTotal,1325))</f>
        <v/>
      </c>
      <c r="J1330" s="0" t="str">
        <f aca="false">IF($I1330="","",IF(INDEX(BookQ1,1325)&gt;0,"Q1",IF(INDEX(BookQ2,1325)&gt;0,"Q2",IF(INDEX(BookQ3,1325)&gt;0,"Q3",IF(INDEX(BookQ4,1325)&gt;0,"Q4","")))))</f>
        <v/>
      </c>
      <c r="K1330" s="42" t="str">
        <f aca="false">IF(INDEX(BookTitle,1325)="","",INDEX(BookInYear,1325))</f>
        <v/>
      </c>
      <c r="L1330" s="19"/>
      <c r="M1330" s="39"/>
      <c r="N1330" s="19"/>
      <c r="O1330" s="19"/>
      <c r="P1330" s="43" t="str">
        <f aca="false">IF($E1330="","",IF($L1330="Decline",0,IF($L1330="Approve fewer",IF($M1330="","",$M1330),IF($L1330="","",$I1330))))</f>
        <v/>
      </c>
      <c r="Q1330" s="34" t="str">
        <f aca="false">IF($P1330="","",IF($N1330&lt;&gt;"",$N1330,$J1330))</f>
        <v/>
      </c>
      <c r="R1330" s="35" t="str">
        <f aca="false">IF(OR($P1330="",$Q1330=""),"",INDEX(BookRate,1325)*$P1330*(5-MATCH($Q1330,{"Q1";"Q2";"Q3";"Q4"},0))/4+INDEX(BookOneOff,1325)*$P1330)</f>
        <v/>
      </c>
      <c r="S1330" s="35" t="str">
        <f aca="false">IF($P1330="","",INDEX(BookRate,1325)*$P1330)</f>
        <v/>
      </c>
      <c r="T1330" s="35" t="str">
        <f aca="false">IF($R1330="","",$R1330-$K1330)</f>
        <v/>
      </c>
      <c r="U1330" s="35" t="str">
        <f aca="false">IF(N($P1330)&lt;=0,"",COUNTIF($P$6:$P1330,"&gt;0"))</f>
        <v/>
      </c>
    </row>
    <row r="1331" customFormat="false" ht="15" hidden="false" customHeight="false" outlineLevel="0" collapsed="false">
      <c r="A1331" s="40" t="str">
        <f aca="false">IF(INDEX(BookTitle,1326)="","",INDEX(BookGroup,1326))</f>
        <v/>
      </c>
      <c r="B1331" s="40" t="str">
        <f aca="false">IF(INDEX(BookTitle,1326)="","",INDEX(BookRef,1326))</f>
        <v/>
      </c>
      <c r="C1331" s="40" t="str">
        <f aca="false">IF(INDEX(BookTitle,1326)="","",INDEX(BookDivision,1326))</f>
        <v/>
      </c>
      <c r="D1331" s="40" t="str">
        <f aca="false">IF(INDEX(BookTitle,1326)="","",INDEX(BookUnit,1326))</f>
        <v/>
      </c>
      <c r="E1331" s="40" t="str">
        <f aca="false">IF(INDEX(BookTitle,1326)="","",INDEX(BookTitle,1326))</f>
        <v/>
      </c>
      <c r="F1331" s="40" t="str">
        <f aca="false">IF(INDEX(BookTitle,1326)="","",INDEX(BookLevel,1326))</f>
        <v/>
      </c>
      <c r="G1331" s="40" t="str">
        <f aca="false">IF(INDEX(BookTitle,1326)="","",INDEX(BookCategory,1326))</f>
        <v/>
      </c>
      <c r="H1331" s="40" t="str">
        <f aca="false">IF(INDEX(BookTitle,1326)="","",INDEX(BookRank,1326))</f>
        <v/>
      </c>
      <c r="I1331" s="41" t="str">
        <f aca="false">IF(INDEX(BookTitle,1326)="","",INDEX(BookTotal,1326))</f>
        <v/>
      </c>
      <c r="J1331" s="0" t="str">
        <f aca="false">IF($I1331="","",IF(INDEX(BookQ1,1326)&gt;0,"Q1",IF(INDEX(BookQ2,1326)&gt;0,"Q2",IF(INDEX(BookQ3,1326)&gt;0,"Q3",IF(INDEX(BookQ4,1326)&gt;0,"Q4","")))))</f>
        <v/>
      </c>
      <c r="K1331" s="42" t="str">
        <f aca="false">IF(INDEX(BookTitle,1326)="","",INDEX(BookInYear,1326))</f>
        <v/>
      </c>
      <c r="L1331" s="19"/>
      <c r="M1331" s="39"/>
      <c r="N1331" s="19"/>
      <c r="O1331" s="19"/>
      <c r="P1331" s="43" t="str">
        <f aca="false">IF($E1331="","",IF($L1331="Decline",0,IF($L1331="Approve fewer",IF($M1331="","",$M1331),IF($L1331="","",$I1331))))</f>
        <v/>
      </c>
      <c r="Q1331" s="34" t="str">
        <f aca="false">IF($P1331="","",IF($N1331&lt;&gt;"",$N1331,$J1331))</f>
        <v/>
      </c>
      <c r="R1331" s="35" t="str">
        <f aca="false">IF(OR($P1331="",$Q1331=""),"",INDEX(BookRate,1326)*$P1331*(5-MATCH($Q1331,{"Q1";"Q2";"Q3";"Q4"},0))/4+INDEX(BookOneOff,1326)*$P1331)</f>
        <v/>
      </c>
      <c r="S1331" s="35" t="str">
        <f aca="false">IF($P1331="","",INDEX(BookRate,1326)*$P1331)</f>
        <v/>
      </c>
      <c r="T1331" s="35" t="str">
        <f aca="false">IF($R1331="","",$R1331-$K1331)</f>
        <v/>
      </c>
      <c r="U1331" s="35" t="str">
        <f aca="false">IF(N($P1331)&lt;=0,"",COUNTIF($P$6:$P1331,"&gt;0"))</f>
        <v/>
      </c>
    </row>
    <row r="1332" customFormat="false" ht="15" hidden="false" customHeight="false" outlineLevel="0" collapsed="false">
      <c r="A1332" s="40" t="str">
        <f aca="false">IF(INDEX(BookTitle,1327)="","",INDEX(BookGroup,1327))</f>
        <v/>
      </c>
      <c r="B1332" s="40" t="str">
        <f aca="false">IF(INDEX(BookTitle,1327)="","",INDEX(BookRef,1327))</f>
        <v/>
      </c>
      <c r="C1332" s="40" t="str">
        <f aca="false">IF(INDEX(BookTitle,1327)="","",INDEX(BookDivision,1327))</f>
        <v/>
      </c>
      <c r="D1332" s="40" t="str">
        <f aca="false">IF(INDEX(BookTitle,1327)="","",INDEX(BookUnit,1327))</f>
        <v/>
      </c>
      <c r="E1332" s="40" t="str">
        <f aca="false">IF(INDEX(BookTitle,1327)="","",INDEX(BookTitle,1327))</f>
        <v/>
      </c>
      <c r="F1332" s="40" t="str">
        <f aca="false">IF(INDEX(BookTitle,1327)="","",INDEX(BookLevel,1327))</f>
        <v/>
      </c>
      <c r="G1332" s="40" t="str">
        <f aca="false">IF(INDEX(BookTitle,1327)="","",INDEX(BookCategory,1327))</f>
        <v/>
      </c>
      <c r="H1332" s="40" t="str">
        <f aca="false">IF(INDEX(BookTitle,1327)="","",INDEX(BookRank,1327))</f>
        <v/>
      </c>
      <c r="I1332" s="41" t="str">
        <f aca="false">IF(INDEX(BookTitle,1327)="","",INDEX(BookTotal,1327))</f>
        <v/>
      </c>
      <c r="J1332" s="0" t="str">
        <f aca="false">IF($I1332="","",IF(INDEX(BookQ1,1327)&gt;0,"Q1",IF(INDEX(BookQ2,1327)&gt;0,"Q2",IF(INDEX(BookQ3,1327)&gt;0,"Q3",IF(INDEX(BookQ4,1327)&gt;0,"Q4","")))))</f>
        <v/>
      </c>
      <c r="K1332" s="42" t="str">
        <f aca="false">IF(INDEX(BookTitle,1327)="","",INDEX(BookInYear,1327))</f>
        <v/>
      </c>
      <c r="L1332" s="19"/>
      <c r="M1332" s="39"/>
      <c r="N1332" s="19"/>
      <c r="O1332" s="19"/>
      <c r="P1332" s="43" t="str">
        <f aca="false">IF($E1332="","",IF($L1332="Decline",0,IF($L1332="Approve fewer",IF($M1332="","",$M1332),IF($L1332="","",$I1332))))</f>
        <v/>
      </c>
      <c r="Q1332" s="34" t="str">
        <f aca="false">IF($P1332="","",IF($N1332&lt;&gt;"",$N1332,$J1332))</f>
        <v/>
      </c>
      <c r="R1332" s="35" t="str">
        <f aca="false">IF(OR($P1332="",$Q1332=""),"",INDEX(BookRate,1327)*$P1332*(5-MATCH($Q1332,{"Q1";"Q2";"Q3";"Q4"},0))/4+INDEX(BookOneOff,1327)*$P1332)</f>
        <v/>
      </c>
      <c r="S1332" s="35" t="str">
        <f aca="false">IF($P1332="","",INDEX(BookRate,1327)*$P1332)</f>
        <v/>
      </c>
      <c r="T1332" s="35" t="str">
        <f aca="false">IF($R1332="","",$R1332-$K1332)</f>
        <v/>
      </c>
      <c r="U1332" s="35" t="str">
        <f aca="false">IF(N($P1332)&lt;=0,"",COUNTIF($P$6:$P1332,"&gt;0"))</f>
        <v/>
      </c>
    </row>
    <row r="1333" customFormat="false" ht="15" hidden="false" customHeight="false" outlineLevel="0" collapsed="false">
      <c r="A1333" s="40" t="str">
        <f aca="false">IF(INDEX(BookTitle,1328)="","",INDEX(BookGroup,1328))</f>
        <v/>
      </c>
      <c r="B1333" s="40" t="str">
        <f aca="false">IF(INDEX(BookTitle,1328)="","",INDEX(BookRef,1328))</f>
        <v/>
      </c>
      <c r="C1333" s="40" t="str">
        <f aca="false">IF(INDEX(BookTitle,1328)="","",INDEX(BookDivision,1328))</f>
        <v/>
      </c>
      <c r="D1333" s="40" t="str">
        <f aca="false">IF(INDEX(BookTitle,1328)="","",INDEX(BookUnit,1328))</f>
        <v/>
      </c>
      <c r="E1333" s="40" t="str">
        <f aca="false">IF(INDEX(BookTitle,1328)="","",INDEX(BookTitle,1328))</f>
        <v/>
      </c>
      <c r="F1333" s="40" t="str">
        <f aca="false">IF(INDEX(BookTitle,1328)="","",INDEX(BookLevel,1328))</f>
        <v/>
      </c>
      <c r="G1333" s="40" t="str">
        <f aca="false">IF(INDEX(BookTitle,1328)="","",INDEX(BookCategory,1328))</f>
        <v/>
      </c>
      <c r="H1333" s="40" t="str">
        <f aca="false">IF(INDEX(BookTitle,1328)="","",INDEX(BookRank,1328))</f>
        <v/>
      </c>
      <c r="I1333" s="41" t="str">
        <f aca="false">IF(INDEX(BookTitle,1328)="","",INDEX(BookTotal,1328))</f>
        <v/>
      </c>
      <c r="J1333" s="0" t="str">
        <f aca="false">IF($I1333="","",IF(INDEX(BookQ1,1328)&gt;0,"Q1",IF(INDEX(BookQ2,1328)&gt;0,"Q2",IF(INDEX(BookQ3,1328)&gt;0,"Q3",IF(INDEX(BookQ4,1328)&gt;0,"Q4","")))))</f>
        <v/>
      </c>
      <c r="K1333" s="42" t="str">
        <f aca="false">IF(INDEX(BookTitle,1328)="","",INDEX(BookInYear,1328))</f>
        <v/>
      </c>
      <c r="L1333" s="19"/>
      <c r="M1333" s="39"/>
      <c r="N1333" s="19"/>
      <c r="O1333" s="19"/>
      <c r="P1333" s="43" t="str">
        <f aca="false">IF($E1333="","",IF($L1333="Decline",0,IF($L1333="Approve fewer",IF($M1333="","",$M1333),IF($L1333="","",$I1333))))</f>
        <v/>
      </c>
      <c r="Q1333" s="34" t="str">
        <f aca="false">IF($P1333="","",IF($N1333&lt;&gt;"",$N1333,$J1333))</f>
        <v/>
      </c>
      <c r="R1333" s="35" t="str">
        <f aca="false">IF(OR($P1333="",$Q1333=""),"",INDEX(BookRate,1328)*$P1333*(5-MATCH($Q1333,{"Q1";"Q2";"Q3";"Q4"},0))/4+INDEX(BookOneOff,1328)*$P1333)</f>
        <v/>
      </c>
      <c r="S1333" s="35" t="str">
        <f aca="false">IF($P1333="","",INDEX(BookRate,1328)*$P1333)</f>
        <v/>
      </c>
      <c r="T1333" s="35" t="str">
        <f aca="false">IF($R1333="","",$R1333-$K1333)</f>
        <v/>
      </c>
      <c r="U1333" s="35" t="str">
        <f aca="false">IF(N($P1333)&lt;=0,"",COUNTIF($P$6:$P1333,"&gt;0"))</f>
        <v/>
      </c>
    </row>
    <row r="1334" customFormat="false" ht="15" hidden="false" customHeight="false" outlineLevel="0" collapsed="false">
      <c r="A1334" s="40" t="str">
        <f aca="false">IF(INDEX(BookTitle,1329)="","",INDEX(BookGroup,1329))</f>
        <v/>
      </c>
      <c r="B1334" s="40" t="str">
        <f aca="false">IF(INDEX(BookTitle,1329)="","",INDEX(BookRef,1329))</f>
        <v/>
      </c>
      <c r="C1334" s="40" t="str">
        <f aca="false">IF(INDEX(BookTitle,1329)="","",INDEX(BookDivision,1329))</f>
        <v/>
      </c>
      <c r="D1334" s="40" t="str">
        <f aca="false">IF(INDEX(BookTitle,1329)="","",INDEX(BookUnit,1329))</f>
        <v/>
      </c>
      <c r="E1334" s="40" t="str">
        <f aca="false">IF(INDEX(BookTitle,1329)="","",INDEX(BookTitle,1329))</f>
        <v/>
      </c>
      <c r="F1334" s="40" t="str">
        <f aca="false">IF(INDEX(BookTitle,1329)="","",INDEX(BookLevel,1329))</f>
        <v/>
      </c>
      <c r="G1334" s="40" t="str">
        <f aca="false">IF(INDEX(BookTitle,1329)="","",INDEX(BookCategory,1329))</f>
        <v/>
      </c>
      <c r="H1334" s="40" t="str">
        <f aca="false">IF(INDEX(BookTitle,1329)="","",INDEX(BookRank,1329))</f>
        <v/>
      </c>
      <c r="I1334" s="41" t="str">
        <f aca="false">IF(INDEX(BookTitle,1329)="","",INDEX(BookTotal,1329))</f>
        <v/>
      </c>
      <c r="J1334" s="0" t="str">
        <f aca="false">IF($I1334="","",IF(INDEX(BookQ1,1329)&gt;0,"Q1",IF(INDEX(BookQ2,1329)&gt;0,"Q2",IF(INDEX(BookQ3,1329)&gt;0,"Q3",IF(INDEX(BookQ4,1329)&gt;0,"Q4","")))))</f>
        <v/>
      </c>
      <c r="K1334" s="42" t="str">
        <f aca="false">IF(INDEX(BookTitle,1329)="","",INDEX(BookInYear,1329))</f>
        <v/>
      </c>
      <c r="L1334" s="19"/>
      <c r="M1334" s="39"/>
      <c r="N1334" s="19"/>
      <c r="O1334" s="19"/>
      <c r="P1334" s="43" t="str">
        <f aca="false">IF($E1334="","",IF($L1334="Decline",0,IF($L1334="Approve fewer",IF($M1334="","",$M1334),IF($L1334="","",$I1334))))</f>
        <v/>
      </c>
      <c r="Q1334" s="34" t="str">
        <f aca="false">IF($P1334="","",IF($N1334&lt;&gt;"",$N1334,$J1334))</f>
        <v/>
      </c>
      <c r="R1334" s="35" t="str">
        <f aca="false">IF(OR($P1334="",$Q1334=""),"",INDEX(BookRate,1329)*$P1334*(5-MATCH($Q1334,{"Q1";"Q2";"Q3";"Q4"},0))/4+INDEX(BookOneOff,1329)*$P1334)</f>
        <v/>
      </c>
      <c r="S1334" s="35" t="str">
        <f aca="false">IF($P1334="","",INDEX(BookRate,1329)*$P1334)</f>
        <v/>
      </c>
      <c r="T1334" s="35" t="str">
        <f aca="false">IF($R1334="","",$R1334-$K1334)</f>
        <v/>
      </c>
      <c r="U1334" s="35" t="str">
        <f aca="false">IF(N($P1334)&lt;=0,"",COUNTIF($P$6:$P1334,"&gt;0"))</f>
        <v/>
      </c>
    </row>
    <row r="1335" customFormat="false" ht="15" hidden="false" customHeight="false" outlineLevel="0" collapsed="false">
      <c r="A1335" s="40" t="str">
        <f aca="false">IF(INDEX(BookTitle,1330)="","",INDEX(BookGroup,1330))</f>
        <v/>
      </c>
      <c r="B1335" s="40" t="str">
        <f aca="false">IF(INDEX(BookTitle,1330)="","",INDEX(BookRef,1330))</f>
        <v/>
      </c>
      <c r="C1335" s="40" t="str">
        <f aca="false">IF(INDEX(BookTitle,1330)="","",INDEX(BookDivision,1330))</f>
        <v/>
      </c>
      <c r="D1335" s="40" t="str">
        <f aca="false">IF(INDEX(BookTitle,1330)="","",INDEX(BookUnit,1330))</f>
        <v/>
      </c>
      <c r="E1335" s="40" t="str">
        <f aca="false">IF(INDEX(BookTitle,1330)="","",INDEX(BookTitle,1330))</f>
        <v/>
      </c>
      <c r="F1335" s="40" t="str">
        <f aca="false">IF(INDEX(BookTitle,1330)="","",INDEX(BookLevel,1330))</f>
        <v/>
      </c>
      <c r="G1335" s="40" t="str">
        <f aca="false">IF(INDEX(BookTitle,1330)="","",INDEX(BookCategory,1330))</f>
        <v/>
      </c>
      <c r="H1335" s="40" t="str">
        <f aca="false">IF(INDEX(BookTitle,1330)="","",INDEX(BookRank,1330))</f>
        <v/>
      </c>
      <c r="I1335" s="41" t="str">
        <f aca="false">IF(INDEX(BookTitle,1330)="","",INDEX(BookTotal,1330))</f>
        <v/>
      </c>
      <c r="J1335" s="0" t="str">
        <f aca="false">IF($I1335="","",IF(INDEX(BookQ1,1330)&gt;0,"Q1",IF(INDEX(BookQ2,1330)&gt;0,"Q2",IF(INDEX(BookQ3,1330)&gt;0,"Q3",IF(INDEX(BookQ4,1330)&gt;0,"Q4","")))))</f>
        <v/>
      </c>
      <c r="K1335" s="42" t="str">
        <f aca="false">IF(INDEX(BookTitle,1330)="","",INDEX(BookInYear,1330))</f>
        <v/>
      </c>
      <c r="L1335" s="19"/>
      <c r="M1335" s="39"/>
      <c r="N1335" s="19"/>
      <c r="O1335" s="19"/>
      <c r="P1335" s="43" t="str">
        <f aca="false">IF($E1335="","",IF($L1335="Decline",0,IF($L1335="Approve fewer",IF($M1335="","",$M1335),IF($L1335="","",$I1335))))</f>
        <v/>
      </c>
      <c r="Q1335" s="34" t="str">
        <f aca="false">IF($P1335="","",IF($N1335&lt;&gt;"",$N1335,$J1335))</f>
        <v/>
      </c>
      <c r="R1335" s="35" t="str">
        <f aca="false">IF(OR($P1335="",$Q1335=""),"",INDEX(BookRate,1330)*$P1335*(5-MATCH($Q1335,{"Q1";"Q2";"Q3";"Q4"},0))/4+INDEX(BookOneOff,1330)*$P1335)</f>
        <v/>
      </c>
      <c r="S1335" s="35" t="str">
        <f aca="false">IF($P1335="","",INDEX(BookRate,1330)*$P1335)</f>
        <v/>
      </c>
      <c r="T1335" s="35" t="str">
        <f aca="false">IF($R1335="","",$R1335-$K1335)</f>
        <v/>
      </c>
      <c r="U1335" s="35" t="str">
        <f aca="false">IF(N($P1335)&lt;=0,"",COUNTIF($P$6:$P1335,"&gt;0"))</f>
        <v/>
      </c>
    </row>
    <row r="1336" customFormat="false" ht="15" hidden="false" customHeight="false" outlineLevel="0" collapsed="false">
      <c r="A1336" s="40" t="str">
        <f aca="false">IF(INDEX(BookTitle,1331)="","",INDEX(BookGroup,1331))</f>
        <v/>
      </c>
      <c r="B1336" s="40" t="str">
        <f aca="false">IF(INDEX(BookTitle,1331)="","",INDEX(BookRef,1331))</f>
        <v/>
      </c>
      <c r="C1336" s="40" t="str">
        <f aca="false">IF(INDEX(BookTitle,1331)="","",INDEX(BookDivision,1331))</f>
        <v/>
      </c>
      <c r="D1336" s="40" t="str">
        <f aca="false">IF(INDEX(BookTitle,1331)="","",INDEX(BookUnit,1331))</f>
        <v/>
      </c>
      <c r="E1336" s="40" t="str">
        <f aca="false">IF(INDEX(BookTitle,1331)="","",INDEX(BookTitle,1331))</f>
        <v/>
      </c>
      <c r="F1336" s="40" t="str">
        <f aca="false">IF(INDEX(BookTitle,1331)="","",INDEX(BookLevel,1331))</f>
        <v/>
      </c>
      <c r="G1336" s="40" t="str">
        <f aca="false">IF(INDEX(BookTitle,1331)="","",INDEX(BookCategory,1331))</f>
        <v/>
      </c>
      <c r="H1336" s="40" t="str">
        <f aca="false">IF(INDEX(BookTitle,1331)="","",INDEX(BookRank,1331))</f>
        <v/>
      </c>
      <c r="I1336" s="41" t="str">
        <f aca="false">IF(INDEX(BookTitle,1331)="","",INDEX(BookTotal,1331))</f>
        <v/>
      </c>
      <c r="J1336" s="0" t="str">
        <f aca="false">IF($I1336="","",IF(INDEX(BookQ1,1331)&gt;0,"Q1",IF(INDEX(BookQ2,1331)&gt;0,"Q2",IF(INDEX(BookQ3,1331)&gt;0,"Q3",IF(INDEX(BookQ4,1331)&gt;0,"Q4","")))))</f>
        <v/>
      </c>
      <c r="K1336" s="42" t="str">
        <f aca="false">IF(INDEX(BookTitle,1331)="","",INDEX(BookInYear,1331))</f>
        <v/>
      </c>
      <c r="L1336" s="19"/>
      <c r="M1336" s="39"/>
      <c r="N1336" s="19"/>
      <c r="O1336" s="19"/>
      <c r="P1336" s="43" t="str">
        <f aca="false">IF($E1336="","",IF($L1336="Decline",0,IF($L1336="Approve fewer",IF($M1336="","",$M1336),IF($L1336="","",$I1336))))</f>
        <v/>
      </c>
      <c r="Q1336" s="34" t="str">
        <f aca="false">IF($P1336="","",IF($N1336&lt;&gt;"",$N1336,$J1336))</f>
        <v/>
      </c>
      <c r="R1336" s="35" t="str">
        <f aca="false">IF(OR($P1336="",$Q1336=""),"",INDEX(BookRate,1331)*$P1336*(5-MATCH($Q1336,{"Q1";"Q2";"Q3";"Q4"},0))/4+INDEX(BookOneOff,1331)*$P1336)</f>
        <v/>
      </c>
      <c r="S1336" s="35" t="str">
        <f aca="false">IF($P1336="","",INDEX(BookRate,1331)*$P1336)</f>
        <v/>
      </c>
      <c r="T1336" s="35" t="str">
        <f aca="false">IF($R1336="","",$R1336-$K1336)</f>
        <v/>
      </c>
      <c r="U1336" s="35" t="str">
        <f aca="false">IF(N($P1336)&lt;=0,"",COUNTIF($P$6:$P1336,"&gt;0"))</f>
        <v/>
      </c>
    </row>
    <row r="1337" customFormat="false" ht="15" hidden="false" customHeight="false" outlineLevel="0" collapsed="false">
      <c r="A1337" s="40" t="str">
        <f aca="false">IF(INDEX(BookTitle,1332)="","",INDEX(BookGroup,1332))</f>
        <v/>
      </c>
      <c r="B1337" s="40" t="str">
        <f aca="false">IF(INDEX(BookTitle,1332)="","",INDEX(BookRef,1332))</f>
        <v/>
      </c>
      <c r="C1337" s="40" t="str">
        <f aca="false">IF(INDEX(BookTitle,1332)="","",INDEX(BookDivision,1332))</f>
        <v/>
      </c>
      <c r="D1337" s="40" t="str">
        <f aca="false">IF(INDEX(BookTitle,1332)="","",INDEX(BookUnit,1332))</f>
        <v/>
      </c>
      <c r="E1337" s="40" t="str">
        <f aca="false">IF(INDEX(BookTitle,1332)="","",INDEX(BookTitle,1332))</f>
        <v/>
      </c>
      <c r="F1337" s="40" t="str">
        <f aca="false">IF(INDEX(BookTitle,1332)="","",INDEX(BookLevel,1332))</f>
        <v/>
      </c>
      <c r="G1337" s="40" t="str">
        <f aca="false">IF(INDEX(BookTitle,1332)="","",INDEX(BookCategory,1332))</f>
        <v/>
      </c>
      <c r="H1337" s="40" t="str">
        <f aca="false">IF(INDEX(BookTitle,1332)="","",INDEX(BookRank,1332))</f>
        <v/>
      </c>
      <c r="I1337" s="41" t="str">
        <f aca="false">IF(INDEX(BookTitle,1332)="","",INDEX(BookTotal,1332))</f>
        <v/>
      </c>
      <c r="J1337" s="0" t="str">
        <f aca="false">IF($I1337="","",IF(INDEX(BookQ1,1332)&gt;0,"Q1",IF(INDEX(BookQ2,1332)&gt;0,"Q2",IF(INDEX(BookQ3,1332)&gt;0,"Q3",IF(INDEX(BookQ4,1332)&gt;0,"Q4","")))))</f>
        <v/>
      </c>
      <c r="K1337" s="42" t="str">
        <f aca="false">IF(INDEX(BookTitle,1332)="","",INDEX(BookInYear,1332))</f>
        <v/>
      </c>
      <c r="L1337" s="19"/>
      <c r="M1337" s="39"/>
      <c r="N1337" s="19"/>
      <c r="O1337" s="19"/>
      <c r="P1337" s="43" t="str">
        <f aca="false">IF($E1337="","",IF($L1337="Decline",0,IF($L1337="Approve fewer",IF($M1337="","",$M1337),IF($L1337="","",$I1337))))</f>
        <v/>
      </c>
      <c r="Q1337" s="34" t="str">
        <f aca="false">IF($P1337="","",IF($N1337&lt;&gt;"",$N1337,$J1337))</f>
        <v/>
      </c>
      <c r="R1337" s="35" t="str">
        <f aca="false">IF(OR($P1337="",$Q1337=""),"",INDEX(BookRate,1332)*$P1337*(5-MATCH($Q1337,{"Q1";"Q2";"Q3";"Q4"},0))/4+INDEX(BookOneOff,1332)*$P1337)</f>
        <v/>
      </c>
      <c r="S1337" s="35" t="str">
        <f aca="false">IF($P1337="","",INDEX(BookRate,1332)*$P1337)</f>
        <v/>
      </c>
      <c r="T1337" s="35" t="str">
        <f aca="false">IF($R1337="","",$R1337-$K1337)</f>
        <v/>
      </c>
      <c r="U1337" s="35" t="str">
        <f aca="false">IF(N($P1337)&lt;=0,"",COUNTIF($P$6:$P1337,"&gt;0"))</f>
        <v/>
      </c>
    </row>
    <row r="1338" customFormat="false" ht="15" hidden="false" customHeight="false" outlineLevel="0" collapsed="false">
      <c r="A1338" s="40" t="str">
        <f aca="false">IF(INDEX(BookTitle,1333)="","",INDEX(BookGroup,1333))</f>
        <v/>
      </c>
      <c r="B1338" s="40" t="str">
        <f aca="false">IF(INDEX(BookTitle,1333)="","",INDEX(BookRef,1333))</f>
        <v/>
      </c>
      <c r="C1338" s="40" t="str">
        <f aca="false">IF(INDEX(BookTitle,1333)="","",INDEX(BookDivision,1333))</f>
        <v/>
      </c>
      <c r="D1338" s="40" t="str">
        <f aca="false">IF(INDEX(BookTitle,1333)="","",INDEX(BookUnit,1333))</f>
        <v/>
      </c>
      <c r="E1338" s="40" t="str">
        <f aca="false">IF(INDEX(BookTitle,1333)="","",INDEX(BookTitle,1333))</f>
        <v/>
      </c>
      <c r="F1338" s="40" t="str">
        <f aca="false">IF(INDEX(BookTitle,1333)="","",INDEX(BookLevel,1333))</f>
        <v/>
      </c>
      <c r="G1338" s="40" t="str">
        <f aca="false">IF(INDEX(BookTitle,1333)="","",INDEX(BookCategory,1333))</f>
        <v/>
      </c>
      <c r="H1338" s="40" t="str">
        <f aca="false">IF(INDEX(BookTitle,1333)="","",INDEX(BookRank,1333))</f>
        <v/>
      </c>
      <c r="I1338" s="41" t="str">
        <f aca="false">IF(INDEX(BookTitle,1333)="","",INDEX(BookTotal,1333))</f>
        <v/>
      </c>
      <c r="J1338" s="0" t="str">
        <f aca="false">IF($I1338="","",IF(INDEX(BookQ1,1333)&gt;0,"Q1",IF(INDEX(BookQ2,1333)&gt;0,"Q2",IF(INDEX(BookQ3,1333)&gt;0,"Q3",IF(INDEX(BookQ4,1333)&gt;0,"Q4","")))))</f>
        <v/>
      </c>
      <c r="K1338" s="42" t="str">
        <f aca="false">IF(INDEX(BookTitle,1333)="","",INDEX(BookInYear,1333))</f>
        <v/>
      </c>
      <c r="L1338" s="19"/>
      <c r="M1338" s="39"/>
      <c r="N1338" s="19"/>
      <c r="O1338" s="19"/>
      <c r="P1338" s="43" t="str">
        <f aca="false">IF($E1338="","",IF($L1338="Decline",0,IF($L1338="Approve fewer",IF($M1338="","",$M1338),IF($L1338="","",$I1338))))</f>
        <v/>
      </c>
      <c r="Q1338" s="34" t="str">
        <f aca="false">IF($P1338="","",IF($N1338&lt;&gt;"",$N1338,$J1338))</f>
        <v/>
      </c>
      <c r="R1338" s="35" t="str">
        <f aca="false">IF(OR($P1338="",$Q1338=""),"",INDEX(BookRate,1333)*$P1338*(5-MATCH($Q1338,{"Q1";"Q2";"Q3";"Q4"},0))/4+INDEX(BookOneOff,1333)*$P1338)</f>
        <v/>
      </c>
      <c r="S1338" s="35" t="str">
        <f aca="false">IF($P1338="","",INDEX(BookRate,1333)*$P1338)</f>
        <v/>
      </c>
      <c r="T1338" s="35" t="str">
        <f aca="false">IF($R1338="","",$R1338-$K1338)</f>
        <v/>
      </c>
      <c r="U1338" s="35" t="str">
        <f aca="false">IF(N($P1338)&lt;=0,"",COUNTIF($P$6:$P1338,"&gt;0"))</f>
        <v/>
      </c>
    </row>
    <row r="1339" customFormat="false" ht="15" hidden="false" customHeight="false" outlineLevel="0" collapsed="false">
      <c r="A1339" s="40" t="str">
        <f aca="false">IF(INDEX(BookTitle,1334)="","",INDEX(BookGroup,1334))</f>
        <v/>
      </c>
      <c r="B1339" s="40" t="str">
        <f aca="false">IF(INDEX(BookTitle,1334)="","",INDEX(BookRef,1334))</f>
        <v/>
      </c>
      <c r="C1339" s="40" t="str">
        <f aca="false">IF(INDEX(BookTitle,1334)="","",INDEX(BookDivision,1334))</f>
        <v/>
      </c>
      <c r="D1339" s="40" t="str">
        <f aca="false">IF(INDEX(BookTitle,1334)="","",INDEX(BookUnit,1334))</f>
        <v/>
      </c>
      <c r="E1339" s="40" t="str">
        <f aca="false">IF(INDEX(BookTitle,1334)="","",INDEX(BookTitle,1334))</f>
        <v/>
      </c>
      <c r="F1339" s="40" t="str">
        <f aca="false">IF(INDEX(BookTitle,1334)="","",INDEX(BookLevel,1334))</f>
        <v/>
      </c>
      <c r="G1339" s="40" t="str">
        <f aca="false">IF(INDEX(BookTitle,1334)="","",INDEX(BookCategory,1334))</f>
        <v/>
      </c>
      <c r="H1339" s="40" t="str">
        <f aca="false">IF(INDEX(BookTitle,1334)="","",INDEX(BookRank,1334))</f>
        <v/>
      </c>
      <c r="I1339" s="41" t="str">
        <f aca="false">IF(INDEX(BookTitle,1334)="","",INDEX(BookTotal,1334))</f>
        <v/>
      </c>
      <c r="J1339" s="0" t="str">
        <f aca="false">IF($I1339="","",IF(INDEX(BookQ1,1334)&gt;0,"Q1",IF(INDEX(BookQ2,1334)&gt;0,"Q2",IF(INDEX(BookQ3,1334)&gt;0,"Q3",IF(INDEX(BookQ4,1334)&gt;0,"Q4","")))))</f>
        <v/>
      </c>
      <c r="K1339" s="42" t="str">
        <f aca="false">IF(INDEX(BookTitle,1334)="","",INDEX(BookInYear,1334))</f>
        <v/>
      </c>
      <c r="L1339" s="19"/>
      <c r="M1339" s="39"/>
      <c r="N1339" s="19"/>
      <c r="O1339" s="19"/>
      <c r="P1339" s="43" t="str">
        <f aca="false">IF($E1339="","",IF($L1339="Decline",0,IF($L1339="Approve fewer",IF($M1339="","",$M1339),IF($L1339="","",$I1339))))</f>
        <v/>
      </c>
      <c r="Q1339" s="34" t="str">
        <f aca="false">IF($P1339="","",IF($N1339&lt;&gt;"",$N1339,$J1339))</f>
        <v/>
      </c>
      <c r="R1339" s="35" t="str">
        <f aca="false">IF(OR($P1339="",$Q1339=""),"",INDEX(BookRate,1334)*$P1339*(5-MATCH($Q1339,{"Q1";"Q2";"Q3";"Q4"},0))/4+INDEX(BookOneOff,1334)*$P1339)</f>
        <v/>
      </c>
      <c r="S1339" s="35" t="str">
        <f aca="false">IF($P1339="","",INDEX(BookRate,1334)*$P1339)</f>
        <v/>
      </c>
      <c r="T1339" s="35" t="str">
        <f aca="false">IF($R1339="","",$R1339-$K1339)</f>
        <v/>
      </c>
      <c r="U1339" s="35" t="str">
        <f aca="false">IF(N($P1339)&lt;=0,"",COUNTIF($P$6:$P1339,"&gt;0"))</f>
        <v/>
      </c>
    </row>
    <row r="1340" customFormat="false" ht="15" hidden="false" customHeight="false" outlineLevel="0" collapsed="false">
      <c r="A1340" s="40" t="str">
        <f aca="false">IF(INDEX(BookTitle,1335)="","",INDEX(BookGroup,1335))</f>
        <v/>
      </c>
      <c r="B1340" s="40" t="str">
        <f aca="false">IF(INDEX(BookTitle,1335)="","",INDEX(BookRef,1335))</f>
        <v/>
      </c>
      <c r="C1340" s="40" t="str">
        <f aca="false">IF(INDEX(BookTitle,1335)="","",INDEX(BookDivision,1335))</f>
        <v/>
      </c>
      <c r="D1340" s="40" t="str">
        <f aca="false">IF(INDEX(BookTitle,1335)="","",INDEX(BookUnit,1335))</f>
        <v/>
      </c>
      <c r="E1340" s="40" t="str">
        <f aca="false">IF(INDEX(BookTitle,1335)="","",INDEX(BookTitle,1335))</f>
        <v/>
      </c>
      <c r="F1340" s="40" t="str">
        <f aca="false">IF(INDEX(BookTitle,1335)="","",INDEX(BookLevel,1335))</f>
        <v/>
      </c>
      <c r="G1340" s="40" t="str">
        <f aca="false">IF(INDEX(BookTitle,1335)="","",INDEX(BookCategory,1335))</f>
        <v/>
      </c>
      <c r="H1340" s="40" t="str">
        <f aca="false">IF(INDEX(BookTitle,1335)="","",INDEX(BookRank,1335))</f>
        <v/>
      </c>
      <c r="I1340" s="41" t="str">
        <f aca="false">IF(INDEX(BookTitle,1335)="","",INDEX(BookTotal,1335))</f>
        <v/>
      </c>
      <c r="J1340" s="0" t="str">
        <f aca="false">IF($I1340="","",IF(INDEX(BookQ1,1335)&gt;0,"Q1",IF(INDEX(BookQ2,1335)&gt;0,"Q2",IF(INDEX(BookQ3,1335)&gt;0,"Q3",IF(INDEX(BookQ4,1335)&gt;0,"Q4","")))))</f>
        <v/>
      </c>
      <c r="K1340" s="42" t="str">
        <f aca="false">IF(INDEX(BookTitle,1335)="","",INDEX(BookInYear,1335))</f>
        <v/>
      </c>
      <c r="L1340" s="19"/>
      <c r="M1340" s="39"/>
      <c r="N1340" s="19"/>
      <c r="O1340" s="19"/>
      <c r="P1340" s="43" t="str">
        <f aca="false">IF($E1340="","",IF($L1340="Decline",0,IF($L1340="Approve fewer",IF($M1340="","",$M1340),IF($L1340="","",$I1340))))</f>
        <v/>
      </c>
      <c r="Q1340" s="34" t="str">
        <f aca="false">IF($P1340="","",IF($N1340&lt;&gt;"",$N1340,$J1340))</f>
        <v/>
      </c>
      <c r="R1340" s="35" t="str">
        <f aca="false">IF(OR($P1340="",$Q1340=""),"",INDEX(BookRate,1335)*$P1340*(5-MATCH($Q1340,{"Q1";"Q2";"Q3";"Q4"},0))/4+INDEX(BookOneOff,1335)*$P1340)</f>
        <v/>
      </c>
      <c r="S1340" s="35" t="str">
        <f aca="false">IF($P1340="","",INDEX(BookRate,1335)*$P1340)</f>
        <v/>
      </c>
      <c r="T1340" s="35" t="str">
        <f aca="false">IF($R1340="","",$R1340-$K1340)</f>
        <v/>
      </c>
      <c r="U1340" s="35" t="str">
        <f aca="false">IF(N($P1340)&lt;=0,"",COUNTIF($P$6:$P1340,"&gt;0"))</f>
        <v/>
      </c>
    </row>
    <row r="1341" customFormat="false" ht="15" hidden="false" customHeight="false" outlineLevel="0" collapsed="false">
      <c r="A1341" s="40" t="str">
        <f aca="false">IF(INDEX(BookTitle,1336)="","",INDEX(BookGroup,1336))</f>
        <v/>
      </c>
      <c r="B1341" s="40" t="str">
        <f aca="false">IF(INDEX(BookTitle,1336)="","",INDEX(BookRef,1336))</f>
        <v/>
      </c>
      <c r="C1341" s="40" t="str">
        <f aca="false">IF(INDEX(BookTitle,1336)="","",INDEX(BookDivision,1336))</f>
        <v/>
      </c>
      <c r="D1341" s="40" t="str">
        <f aca="false">IF(INDEX(BookTitle,1336)="","",INDEX(BookUnit,1336))</f>
        <v/>
      </c>
      <c r="E1341" s="40" t="str">
        <f aca="false">IF(INDEX(BookTitle,1336)="","",INDEX(BookTitle,1336))</f>
        <v/>
      </c>
      <c r="F1341" s="40" t="str">
        <f aca="false">IF(INDEX(BookTitle,1336)="","",INDEX(BookLevel,1336))</f>
        <v/>
      </c>
      <c r="G1341" s="40" t="str">
        <f aca="false">IF(INDEX(BookTitle,1336)="","",INDEX(BookCategory,1336))</f>
        <v/>
      </c>
      <c r="H1341" s="40" t="str">
        <f aca="false">IF(INDEX(BookTitle,1336)="","",INDEX(BookRank,1336))</f>
        <v/>
      </c>
      <c r="I1341" s="41" t="str">
        <f aca="false">IF(INDEX(BookTitle,1336)="","",INDEX(BookTotal,1336))</f>
        <v/>
      </c>
      <c r="J1341" s="0" t="str">
        <f aca="false">IF($I1341="","",IF(INDEX(BookQ1,1336)&gt;0,"Q1",IF(INDEX(BookQ2,1336)&gt;0,"Q2",IF(INDEX(BookQ3,1336)&gt;0,"Q3",IF(INDEX(BookQ4,1336)&gt;0,"Q4","")))))</f>
        <v/>
      </c>
      <c r="K1341" s="42" t="str">
        <f aca="false">IF(INDEX(BookTitle,1336)="","",INDEX(BookInYear,1336))</f>
        <v/>
      </c>
      <c r="L1341" s="19"/>
      <c r="M1341" s="39"/>
      <c r="N1341" s="19"/>
      <c r="O1341" s="19"/>
      <c r="P1341" s="43" t="str">
        <f aca="false">IF($E1341="","",IF($L1341="Decline",0,IF($L1341="Approve fewer",IF($M1341="","",$M1341),IF($L1341="","",$I1341))))</f>
        <v/>
      </c>
      <c r="Q1341" s="34" t="str">
        <f aca="false">IF($P1341="","",IF($N1341&lt;&gt;"",$N1341,$J1341))</f>
        <v/>
      </c>
      <c r="R1341" s="35" t="str">
        <f aca="false">IF(OR($P1341="",$Q1341=""),"",INDEX(BookRate,1336)*$P1341*(5-MATCH($Q1341,{"Q1";"Q2";"Q3";"Q4"},0))/4+INDEX(BookOneOff,1336)*$P1341)</f>
        <v/>
      </c>
      <c r="S1341" s="35" t="str">
        <f aca="false">IF($P1341="","",INDEX(BookRate,1336)*$P1341)</f>
        <v/>
      </c>
      <c r="T1341" s="35" t="str">
        <f aca="false">IF($R1341="","",$R1341-$K1341)</f>
        <v/>
      </c>
      <c r="U1341" s="35" t="str">
        <f aca="false">IF(N($P1341)&lt;=0,"",COUNTIF($P$6:$P1341,"&gt;0"))</f>
        <v/>
      </c>
    </row>
    <row r="1342" customFormat="false" ht="15" hidden="false" customHeight="false" outlineLevel="0" collapsed="false">
      <c r="A1342" s="40" t="str">
        <f aca="false">IF(INDEX(BookTitle,1337)="","",INDEX(BookGroup,1337))</f>
        <v/>
      </c>
      <c r="B1342" s="40" t="str">
        <f aca="false">IF(INDEX(BookTitle,1337)="","",INDEX(BookRef,1337))</f>
        <v/>
      </c>
      <c r="C1342" s="40" t="str">
        <f aca="false">IF(INDEX(BookTitle,1337)="","",INDEX(BookDivision,1337))</f>
        <v/>
      </c>
      <c r="D1342" s="40" t="str">
        <f aca="false">IF(INDEX(BookTitle,1337)="","",INDEX(BookUnit,1337))</f>
        <v/>
      </c>
      <c r="E1342" s="40" t="str">
        <f aca="false">IF(INDEX(BookTitle,1337)="","",INDEX(BookTitle,1337))</f>
        <v/>
      </c>
      <c r="F1342" s="40" t="str">
        <f aca="false">IF(INDEX(BookTitle,1337)="","",INDEX(BookLevel,1337))</f>
        <v/>
      </c>
      <c r="G1342" s="40" t="str">
        <f aca="false">IF(INDEX(BookTitle,1337)="","",INDEX(BookCategory,1337))</f>
        <v/>
      </c>
      <c r="H1342" s="40" t="str">
        <f aca="false">IF(INDEX(BookTitle,1337)="","",INDEX(BookRank,1337))</f>
        <v/>
      </c>
      <c r="I1342" s="41" t="str">
        <f aca="false">IF(INDEX(BookTitle,1337)="","",INDEX(BookTotal,1337))</f>
        <v/>
      </c>
      <c r="J1342" s="0" t="str">
        <f aca="false">IF($I1342="","",IF(INDEX(BookQ1,1337)&gt;0,"Q1",IF(INDEX(BookQ2,1337)&gt;0,"Q2",IF(INDEX(BookQ3,1337)&gt;0,"Q3",IF(INDEX(BookQ4,1337)&gt;0,"Q4","")))))</f>
        <v/>
      </c>
      <c r="K1342" s="42" t="str">
        <f aca="false">IF(INDEX(BookTitle,1337)="","",INDEX(BookInYear,1337))</f>
        <v/>
      </c>
      <c r="L1342" s="19"/>
      <c r="M1342" s="39"/>
      <c r="N1342" s="19"/>
      <c r="O1342" s="19"/>
      <c r="P1342" s="43" t="str">
        <f aca="false">IF($E1342="","",IF($L1342="Decline",0,IF($L1342="Approve fewer",IF($M1342="","",$M1342),IF($L1342="","",$I1342))))</f>
        <v/>
      </c>
      <c r="Q1342" s="34" t="str">
        <f aca="false">IF($P1342="","",IF($N1342&lt;&gt;"",$N1342,$J1342))</f>
        <v/>
      </c>
      <c r="R1342" s="35" t="str">
        <f aca="false">IF(OR($P1342="",$Q1342=""),"",INDEX(BookRate,1337)*$P1342*(5-MATCH($Q1342,{"Q1";"Q2";"Q3";"Q4"},0))/4+INDEX(BookOneOff,1337)*$P1342)</f>
        <v/>
      </c>
      <c r="S1342" s="35" t="str">
        <f aca="false">IF($P1342="","",INDEX(BookRate,1337)*$P1342)</f>
        <v/>
      </c>
      <c r="T1342" s="35" t="str">
        <f aca="false">IF($R1342="","",$R1342-$K1342)</f>
        <v/>
      </c>
      <c r="U1342" s="35" t="str">
        <f aca="false">IF(N($P1342)&lt;=0,"",COUNTIF($P$6:$P1342,"&gt;0"))</f>
        <v/>
      </c>
    </row>
    <row r="1343" customFormat="false" ht="15" hidden="false" customHeight="false" outlineLevel="0" collapsed="false">
      <c r="A1343" s="40" t="str">
        <f aca="false">IF(INDEX(BookTitle,1338)="","",INDEX(BookGroup,1338))</f>
        <v/>
      </c>
      <c r="B1343" s="40" t="str">
        <f aca="false">IF(INDEX(BookTitle,1338)="","",INDEX(BookRef,1338))</f>
        <v/>
      </c>
      <c r="C1343" s="40" t="str">
        <f aca="false">IF(INDEX(BookTitle,1338)="","",INDEX(BookDivision,1338))</f>
        <v/>
      </c>
      <c r="D1343" s="40" t="str">
        <f aca="false">IF(INDEX(BookTitle,1338)="","",INDEX(BookUnit,1338))</f>
        <v/>
      </c>
      <c r="E1343" s="40" t="str">
        <f aca="false">IF(INDEX(BookTitle,1338)="","",INDEX(BookTitle,1338))</f>
        <v/>
      </c>
      <c r="F1343" s="40" t="str">
        <f aca="false">IF(INDEX(BookTitle,1338)="","",INDEX(BookLevel,1338))</f>
        <v/>
      </c>
      <c r="G1343" s="40" t="str">
        <f aca="false">IF(INDEX(BookTitle,1338)="","",INDEX(BookCategory,1338))</f>
        <v/>
      </c>
      <c r="H1343" s="40" t="str">
        <f aca="false">IF(INDEX(BookTitle,1338)="","",INDEX(BookRank,1338))</f>
        <v/>
      </c>
      <c r="I1343" s="41" t="str">
        <f aca="false">IF(INDEX(BookTitle,1338)="","",INDEX(BookTotal,1338))</f>
        <v/>
      </c>
      <c r="J1343" s="0" t="str">
        <f aca="false">IF($I1343="","",IF(INDEX(BookQ1,1338)&gt;0,"Q1",IF(INDEX(BookQ2,1338)&gt;0,"Q2",IF(INDEX(BookQ3,1338)&gt;0,"Q3",IF(INDEX(BookQ4,1338)&gt;0,"Q4","")))))</f>
        <v/>
      </c>
      <c r="K1343" s="42" t="str">
        <f aca="false">IF(INDEX(BookTitle,1338)="","",INDEX(BookInYear,1338))</f>
        <v/>
      </c>
      <c r="L1343" s="19"/>
      <c r="M1343" s="39"/>
      <c r="N1343" s="19"/>
      <c r="O1343" s="19"/>
      <c r="P1343" s="43" t="str">
        <f aca="false">IF($E1343="","",IF($L1343="Decline",0,IF($L1343="Approve fewer",IF($M1343="","",$M1343),IF($L1343="","",$I1343))))</f>
        <v/>
      </c>
      <c r="Q1343" s="34" t="str">
        <f aca="false">IF($P1343="","",IF($N1343&lt;&gt;"",$N1343,$J1343))</f>
        <v/>
      </c>
      <c r="R1343" s="35" t="str">
        <f aca="false">IF(OR($P1343="",$Q1343=""),"",INDEX(BookRate,1338)*$P1343*(5-MATCH($Q1343,{"Q1";"Q2";"Q3";"Q4"},0))/4+INDEX(BookOneOff,1338)*$P1343)</f>
        <v/>
      </c>
      <c r="S1343" s="35" t="str">
        <f aca="false">IF($P1343="","",INDEX(BookRate,1338)*$P1343)</f>
        <v/>
      </c>
      <c r="T1343" s="35" t="str">
        <f aca="false">IF($R1343="","",$R1343-$K1343)</f>
        <v/>
      </c>
      <c r="U1343" s="35" t="str">
        <f aca="false">IF(N($P1343)&lt;=0,"",COUNTIF($P$6:$P1343,"&gt;0"))</f>
        <v/>
      </c>
    </row>
    <row r="1344" customFormat="false" ht="15" hidden="false" customHeight="false" outlineLevel="0" collapsed="false">
      <c r="A1344" s="40" t="str">
        <f aca="false">IF(INDEX(BookTitle,1339)="","",INDEX(BookGroup,1339))</f>
        <v/>
      </c>
      <c r="B1344" s="40" t="str">
        <f aca="false">IF(INDEX(BookTitle,1339)="","",INDEX(BookRef,1339))</f>
        <v/>
      </c>
      <c r="C1344" s="40" t="str">
        <f aca="false">IF(INDEX(BookTitle,1339)="","",INDEX(BookDivision,1339))</f>
        <v/>
      </c>
      <c r="D1344" s="40" t="str">
        <f aca="false">IF(INDEX(BookTitle,1339)="","",INDEX(BookUnit,1339))</f>
        <v/>
      </c>
      <c r="E1344" s="40" t="str">
        <f aca="false">IF(INDEX(BookTitle,1339)="","",INDEX(BookTitle,1339))</f>
        <v/>
      </c>
      <c r="F1344" s="40" t="str">
        <f aca="false">IF(INDEX(BookTitle,1339)="","",INDEX(BookLevel,1339))</f>
        <v/>
      </c>
      <c r="G1344" s="40" t="str">
        <f aca="false">IF(INDEX(BookTitle,1339)="","",INDEX(BookCategory,1339))</f>
        <v/>
      </c>
      <c r="H1344" s="40" t="str">
        <f aca="false">IF(INDEX(BookTitle,1339)="","",INDEX(BookRank,1339))</f>
        <v/>
      </c>
      <c r="I1344" s="41" t="str">
        <f aca="false">IF(INDEX(BookTitle,1339)="","",INDEX(BookTotal,1339))</f>
        <v/>
      </c>
      <c r="J1344" s="0" t="str">
        <f aca="false">IF($I1344="","",IF(INDEX(BookQ1,1339)&gt;0,"Q1",IF(INDEX(BookQ2,1339)&gt;0,"Q2",IF(INDEX(BookQ3,1339)&gt;0,"Q3",IF(INDEX(BookQ4,1339)&gt;0,"Q4","")))))</f>
        <v/>
      </c>
      <c r="K1344" s="42" t="str">
        <f aca="false">IF(INDEX(BookTitle,1339)="","",INDEX(BookInYear,1339))</f>
        <v/>
      </c>
      <c r="L1344" s="19"/>
      <c r="M1344" s="39"/>
      <c r="N1344" s="19"/>
      <c r="O1344" s="19"/>
      <c r="P1344" s="43" t="str">
        <f aca="false">IF($E1344="","",IF($L1344="Decline",0,IF($L1344="Approve fewer",IF($M1344="","",$M1344),IF($L1344="","",$I1344))))</f>
        <v/>
      </c>
      <c r="Q1344" s="34" t="str">
        <f aca="false">IF($P1344="","",IF($N1344&lt;&gt;"",$N1344,$J1344))</f>
        <v/>
      </c>
      <c r="R1344" s="35" t="str">
        <f aca="false">IF(OR($P1344="",$Q1344=""),"",INDEX(BookRate,1339)*$P1344*(5-MATCH($Q1344,{"Q1";"Q2";"Q3";"Q4"},0))/4+INDEX(BookOneOff,1339)*$P1344)</f>
        <v/>
      </c>
      <c r="S1344" s="35" t="str">
        <f aca="false">IF($P1344="","",INDEX(BookRate,1339)*$P1344)</f>
        <v/>
      </c>
      <c r="T1344" s="35" t="str">
        <f aca="false">IF($R1344="","",$R1344-$K1344)</f>
        <v/>
      </c>
      <c r="U1344" s="35" t="str">
        <f aca="false">IF(N($P1344)&lt;=0,"",COUNTIF($P$6:$P1344,"&gt;0"))</f>
        <v/>
      </c>
    </row>
    <row r="1345" customFormat="false" ht="15" hidden="false" customHeight="false" outlineLevel="0" collapsed="false">
      <c r="A1345" s="40" t="str">
        <f aca="false">IF(INDEX(BookTitle,1340)="","",INDEX(BookGroup,1340))</f>
        <v/>
      </c>
      <c r="B1345" s="40" t="str">
        <f aca="false">IF(INDEX(BookTitle,1340)="","",INDEX(BookRef,1340))</f>
        <v/>
      </c>
      <c r="C1345" s="40" t="str">
        <f aca="false">IF(INDEX(BookTitle,1340)="","",INDEX(BookDivision,1340))</f>
        <v/>
      </c>
      <c r="D1345" s="40" t="str">
        <f aca="false">IF(INDEX(BookTitle,1340)="","",INDEX(BookUnit,1340))</f>
        <v/>
      </c>
      <c r="E1345" s="40" t="str">
        <f aca="false">IF(INDEX(BookTitle,1340)="","",INDEX(BookTitle,1340))</f>
        <v/>
      </c>
      <c r="F1345" s="40" t="str">
        <f aca="false">IF(INDEX(BookTitle,1340)="","",INDEX(BookLevel,1340))</f>
        <v/>
      </c>
      <c r="G1345" s="40" t="str">
        <f aca="false">IF(INDEX(BookTitle,1340)="","",INDEX(BookCategory,1340))</f>
        <v/>
      </c>
      <c r="H1345" s="40" t="str">
        <f aca="false">IF(INDEX(BookTitle,1340)="","",INDEX(BookRank,1340))</f>
        <v/>
      </c>
      <c r="I1345" s="41" t="str">
        <f aca="false">IF(INDEX(BookTitle,1340)="","",INDEX(BookTotal,1340))</f>
        <v/>
      </c>
      <c r="J1345" s="0" t="str">
        <f aca="false">IF($I1345="","",IF(INDEX(BookQ1,1340)&gt;0,"Q1",IF(INDEX(BookQ2,1340)&gt;0,"Q2",IF(INDEX(BookQ3,1340)&gt;0,"Q3",IF(INDEX(BookQ4,1340)&gt;0,"Q4","")))))</f>
        <v/>
      </c>
      <c r="K1345" s="42" t="str">
        <f aca="false">IF(INDEX(BookTitle,1340)="","",INDEX(BookInYear,1340))</f>
        <v/>
      </c>
      <c r="L1345" s="19"/>
      <c r="M1345" s="39"/>
      <c r="N1345" s="19"/>
      <c r="O1345" s="19"/>
      <c r="P1345" s="43" t="str">
        <f aca="false">IF($E1345="","",IF($L1345="Decline",0,IF($L1345="Approve fewer",IF($M1345="","",$M1345),IF($L1345="","",$I1345))))</f>
        <v/>
      </c>
      <c r="Q1345" s="34" t="str">
        <f aca="false">IF($P1345="","",IF($N1345&lt;&gt;"",$N1345,$J1345))</f>
        <v/>
      </c>
      <c r="R1345" s="35" t="str">
        <f aca="false">IF(OR($P1345="",$Q1345=""),"",INDEX(BookRate,1340)*$P1345*(5-MATCH($Q1345,{"Q1";"Q2";"Q3";"Q4"},0))/4+INDEX(BookOneOff,1340)*$P1345)</f>
        <v/>
      </c>
      <c r="S1345" s="35" t="str">
        <f aca="false">IF($P1345="","",INDEX(BookRate,1340)*$P1345)</f>
        <v/>
      </c>
      <c r="T1345" s="35" t="str">
        <f aca="false">IF($R1345="","",$R1345-$K1345)</f>
        <v/>
      </c>
      <c r="U1345" s="35" t="str">
        <f aca="false">IF(N($P1345)&lt;=0,"",COUNTIF($P$6:$P1345,"&gt;0"))</f>
        <v/>
      </c>
    </row>
    <row r="1346" customFormat="false" ht="15" hidden="false" customHeight="false" outlineLevel="0" collapsed="false">
      <c r="A1346" s="40" t="str">
        <f aca="false">IF(INDEX(BookTitle,1341)="","",INDEX(BookGroup,1341))</f>
        <v/>
      </c>
      <c r="B1346" s="40" t="str">
        <f aca="false">IF(INDEX(BookTitle,1341)="","",INDEX(BookRef,1341))</f>
        <v/>
      </c>
      <c r="C1346" s="40" t="str">
        <f aca="false">IF(INDEX(BookTitle,1341)="","",INDEX(BookDivision,1341))</f>
        <v/>
      </c>
      <c r="D1346" s="40" t="str">
        <f aca="false">IF(INDEX(BookTitle,1341)="","",INDEX(BookUnit,1341))</f>
        <v/>
      </c>
      <c r="E1346" s="40" t="str">
        <f aca="false">IF(INDEX(BookTitle,1341)="","",INDEX(BookTitle,1341))</f>
        <v/>
      </c>
      <c r="F1346" s="40" t="str">
        <f aca="false">IF(INDEX(BookTitle,1341)="","",INDEX(BookLevel,1341))</f>
        <v/>
      </c>
      <c r="G1346" s="40" t="str">
        <f aca="false">IF(INDEX(BookTitle,1341)="","",INDEX(BookCategory,1341))</f>
        <v/>
      </c>
      <c r="H1346" s="40" t="str">
        <f aca="false">IF(INDEX(BookTitle,1341)="","",INDEX(BookRank,1341))</f>
        <v/>
      </c>
      <c r="I1346" s="41" t="str">
        <f aca="false">IF(INDEX(BookTitle,1341)="","",INDEX(BookTotal,1341))</f>
        <v/>
      </c>
      <c r="J1346" s="0" t="str">
        <f aca="false">IF($I1346="","",IF(INDEX(BookQ1,1341)&gt;0,"Q1",IF(INDEX(BookQ2,1341)&gt;0,"Q2",IF(INDEX(BookQ3,1341)&gt;0,"Q3",IF(INDEX(BookQ4,1341)&gt;0,"Q4","")))))</f>
        <v/>
      </c>
      <c r="K1346" s="42" t="str">
        <f aca="false">IF(INDEX(BookTitle,1341)="","",INDEX(BookInYear,1341))</f>
        <v/>
      </c>
      <c r="L1346" s="19"/>
      <c r="M1346" s="39"/>
      <c r="N1346" s="19"/>
      <c r="O1346" s="19"/>
      <c r="P1346" s="43" t="str">
        <f aca="false">IF($E1346="","",IF($L1346="Decline",0,IF($L1346="Approve fewer",IF($M1346="","",$M1346),IF($L1346="","",$I1346))))</f>
        <v/>
      </c>
      <c r="Q1346" s="34" t="str">
        <f aca="false">IF($P1346="","",IF($N1346&lt;&gt;"",$N1346,$J1346))</f>
        <v/>
      </c>
      <c r="R1346" s="35" t="str">
        <f aca="false">IF(OR($P1346="",$Q1346=""),"",INDEX(BookRate,1341)*$P1346*(5-MATCH($Q1346,{"Q1";"Q2";"Q3";"Q4"},0))/4+INDEX(BookOneOff,1341)*$P1346)</f>
        <v/>
      </c>
      <c r="S1346" s="35" t="str">
        <f aca="false">IF($P1346="","",INDEX(BookRate,1341)*$P1346)</f>
        <v/>
      </c>
      <c r="T1346" s="35" t="str">
        <f aca="false">IF($R1346="","",$R1346-$K1346)</f>
        <v/>
      </c>
      <c r="U1346" s="35" t="str">
        <f aca="false">IF(N($P1346)&lt;=0,"",COUNTIF($P$6:$P1346,"&gt;0"))</f>
        <v/>
      </c>
    </row>
    <row r="1347" customFormat="false" ht="15" hidden="false" customHeight="false" outlineLevel="0" collapsed="false">
      <c r="A1347" s="40" t="str">
        <f aca="false">IF(INDEX(BookTitle,1342)="","",INDEX(BookGroup,1342))</f>
        <v/>
      </c>
      <c r="B1347" s="40" t="str">
        <f aca="false">IF(INDEX(BookTitle,1342)="","",INDEX(BookRef,1342))</f>
        <v/>
      </c>
      <c r="C1347" s="40" t="str">
        <f aca="false">IF(INDEX(BookTitle,1342)="","",INDEX(BookDivision,1342))</f>
        <v/>
      </c>
      <c r="D1347" s="40" t="str">
        <f aca="false">IF(INDEX(BookTitle,1342)="","",INDEX(BookUnit,1342))</f>
        <v/>
      </c>
      <c r="E1347" s="40" t="str">
        <f aca="false">IF(INDEX(BookTitle,1342)="","",INDEX(BookTitle,1342))</f>
        <v/>
      </c>
      <c r="F1347" s="40" t="str">
        <f aca="false">IF(INDEX(BookTitle,1342)="","",INDEX(BookLevel,1342))</f>
        <v/>
      </c>
      <c r="G1347" s="40" t="str">
        <f aca="false">IF(INDEX(BookTitle,1342)="","",INDEX(BookCategory,1342))</f>
        <v/>
      </c>
      <c r="H1347" s="40" t="str">
        <f aca="false">IF(INDEX(BookTitle,1342)="","",INDEX(BookRank,1342))</f>
        <v/>
      </c>
      <c r="I1347" s="41" t="str">
        <f aca="false">IF(INDEX(BookTitle,1342)="","",INDEX(BookTotal,1342))</f>
        <v/>
      </c>
      <c r="J1347" s="0" t="str">
        <f aca="false">IF($I1347="","",IF(INDEX(BookQ1,1342)&gt;0,"Q1",IF(INDEX(BookQ2,1342)&gt;0,"Q2",IF(INDEX(BookQ3,1342)&gt;0,"Q3",IF(INDEX(BookQ4,1342)&gt;0,"Q4","")))))</f>
        <v/>
      </c>
      <c r="K1347" s="42" t="str">
        <f aca="false">IF(INDEX(BookTitle,1342)="","",INDEX(BookInYear,1342))</f>
        <v/>
      </c>
      <c r="L1347" s="19"/>
      <c r="M1347" s="39"/>
      <c r="N1347" s="19"/>
      <c r="O1347" s="19"/>
      <c r="P1347" s="43" t="str">
        <f aca="false">IF($E1347="","",IF($L1347="Decline",0,IF($L1347="Approve fewer",IF($M1347="","",$M1347),IF($L1347="","",$I1347))))</f>
        <v/>
      </c>
      <c r="Q1347" s="34" t="str">
        <f aca="false">IF($P1347="","",IF($N1347&lt;&gt;"",$N1347,$J1347))</f>
        <v/>
      </c>
      <c r="R1347" s="35" t="str">
        <f aca="false">IF(OR($P1347="",$Q1347=""),"",INDEX(BookRate,1342)*$P1347*(5-MATCH($Q1347,{"Q1";"Q2";"Q3";"Q4"},0))/4+INDEX(BookOneOff,1342)*$P1347)</f>
        <v/>
      </c>
      <c r="S1347" s="35" t="str">
        <f aca="false">IF($P1347="","",INDEX(BookRate,1342)*$P1347)</f>
        <v/>
      </c>
      <c r="T1347" s="35" t="str">
        <f aca="false">IF($R1347="","",$R1347-$K1347)</f>
        <v/>
      </c>
      <c r="U1347" s="35" t="str">
        <f aca="false">IF(N($P1347)&lt;=0,"",COUNTIF($P$6:$P1347,"&gt;0"))</f>
        <v/>
      </c>
    </row>
    <row r="1348" customFormat="false" ht="15" hidden="false" customHeight="false" outlineLevel="0" collapsed="false">
      <c r="A1348" s="40" t="str">
        <f aca="false">IF(INDEX(BookTitle,1343)="","",INDEX(BookGroup,1343))</f>
        <v/>
      </c>
      <c r="B1348" s="40" t="str">
        <f aca="false">IF(INDEX(BookTitle,1343)="","",INDEX(BookRef,1343))</f>
        <v/>
      </c>
      <c r="C1348" s="40" t="str">
        <f aca="false">IF(INDEX(BookTitle,1343)="","",INDEX(BookDivision,1343))</f>
        <v/>
      </c>
      <c r="D1348" s="40" t="str">
        <f aca="false">IF(INDEX(BookTitle,1343)="","",INDEX(BookUnit,1343))</f>
        <v/>
      </c>
      <c r="E1348" s="40" t="str">
        <f aca="false">IF(INDEX(BookTitle,1343)="","",INDEX(BookTitle,1343))</f>
        <v/>
      </c>
      <c r="F1348" s="40" t="str">
        <f aca="false">IF(INDEX(BookTitle,1343)="","",INDEX(BookLevel,1343))</f>
        <v/>
      </c>
      <c r="G1348" s="40" t="str">
        <f aca="false">IF(INDEX(BookTitle,1343)="","",INDEX(BookCategory,1343))</f>
        <v/>
      </c>
      <c r="H1348" s="40" t="str">
        <f aca="false">IF(INDEX(BookTitle,1343)="","",INDEX(BookRank,1343))</f>
        <v/>
      </c>
      <c r="I1348" s="41" t="str">
        <f aca="false">IF(INDEX(BookTitle,1343)="","",INDEX(BookTotal,1343))</f>
        <v/>
      </c>
      <c r="J1348" s="0" t="str">
        <f aca="false">IF($I1348="","",IF(INDEX(BookQ1,1343)&gt;0,"Q1",IF(INDEX(BookQ2,1343)&gt;0,"Q2",IF(INDEX(BookQ3,1343)&gt;0,"Q3",IF(INDEX(BookQ4,1343)&gt;0,"Q4","")))))</f>
        <v/>
      </c>
      <c r="K1348" s="42" t="str">
        <f aca="false">IF(INDEX(BookTitle,1343)="","",INDEX(BookInYear,1343))</f>
        <v/>
      </c>
      <c r="L1348" s="19"/>
      <c r="M1348" s="39"/>
      <c r="N1348" s="19"/>
      <c r="O1348" s="19"/>
      <c r="P1348" s="43" t="str">
        <f aca="false">IF($E1348="","",IF($L1348="Decline",0,IF($L1348="Approve fewer",IF($M1348="","",$M1348),IF($L1348="","",$I1348))))</f>
        <v/>
      </c>
      <c r="Q1348" s="34" t="str">
        <f aca="false">IF($P1348="","",IF($N1348&lt;&gt;"",$N1348,$J1348))</f>
        <v/>
      </c>
      <c r="R1348" s="35" t="str">
        <f aca="false">IF(OR($P1348="",$Q1348=""),"",INDEX(BookRate,1343)*$P1348*(5-MATCH($Q1348,{"Q1";"Q2";"Q3";"Q4"},0))/4+INDEX(BookOneOff,1343)*$P1348)</f>
        <v/>
      </c>
      <c r="S1348" s="35" t="str">
        <f aca="false">IF($P1348="","",INDEX(BookRate,1343)*$P1348)</f>
        <v/>
      </c>
      <c r="T1348" s="35" t="str">
        <f aca="false">IF($R1348="","",$R1348-$K1348)</f>
        <v/>
      </c>
      <c r="U1348" s="35" t="str">
        <f aca="false">IF(N($P1348)&lt;=0,"",COUNTIF($P$6:$P1348,"&gt;0"))</f>
        <v/>
      </c>
    </row>
    <row r="1349" customFormat="false" ht="15" hidden="false" customHeight="false" outlineLevel="0" collapsed="false">
      <c r="A1349" s="40" t="str">
        <f aca="false">IF(INDEX(BookTitle,1344)="","",INDEX(BookGroup,1344))</f>
        <v/>
      </c>
      <c r="B1349" s="40" t="str">
        <f aca="false">IF(INDEX(BookTitle,1344)="","",INDEX(BookRef,1344))</f>
        <v/>
      </c>
      <c r="C1349" s="40" t="str">
        <f aca="false">IF(INDEX(BookTitle,1344)="","",INDEX(BookDivision,1344))</f>
        <v/>
      </c>
      <c r="D1349" s="40" t="str">
        <f aca="false">IF(INDEX(BookTitle,1344)="","",INDEX(BookUnit,1344))</f>
        <v/>
      </c>
      <c r="E1349" s="40" t="str">
        <f aca="false">IF(INDEX(BookTitle,1344)="","",INDEX(BookTitle,1344))</f>
        <v/>
      </c>
      <c r="F1349" s="40" t="str">
        <f aca="false">IF(INDEX(BookTitle,1344)="","",INDEX(BookLevel,1344))</f>
        <v/>
      </c>
      <c r="G1349" s="40" t="str">
        <f aca="false">IF(INDEX(BookTitle,1344)="","",INDEX(BookCategory,1344))</f>
        <v/>
      </c>
      <c r="H1349" s="40" t="str">
        <f aca="false">IF(INDEX(BookTitle,1344)="","",INDEX(BookRank,1344))</f>
        <v/>
      </c>
      <c r="I1349" s="41" t="str">
        <f aca="false">IF(INDEX(BookTitle,1344)="","",INDEX(BookTotal,1344))</f>
        <v/>
      </c>
      <c r="J1349" s="0" t="str">
        <f aca="false">IF($I1349="","",IF(INDEX(BookQ1,1344)&gt;0,"Q1",IF(INDEX(BookQ2,1344)&gt;0,"Q2",IF(INDEX(BookQ3,1344)&gt;0,"Q3",IF(INDEX(BookQ4,1344)&gt;0,"Q4","")))))</f>
        <v/>
      </c>
      <c r="K1349" s="42" t="str">
        <f aca="false">IF(INDEX(BookTitle,1344)="","",INDEX(BookInYear,1344))</f>
        <v/>
      </c>
      <c r="L1349" s="19"/>
      <c r="M1349" s="39"/>
      <c r="N1349" s="19"/>
      <c r="O1349" s="19"/>
      <c r="P1349" s="43" t="str">
        <f aca="false">IF($E1349="","",IF($L1349="Decline",0,IF($L1349="Approve fewer",IF($M1349="","",$M1349),IF($L1349="","",$I1349))))</f>
        <v/>
      </c>
      <c r="Q1349" s="34" t="str">
        <f aca="false">IF($P1349="","",IF($N1349&lt;&gt;"",$N1349,$J1349))</f>
        <v/>
      </c>
      <c r="R1349" s="35" t="str">
        <f aca="false">IF(OR($P1349="",$Q1349=""),"",INDEX(BookRate,1344)*$P1349*(5-MATCH($Q1349,{"Q1";"Q2";"Q3";"Q4"},0))/4+INDEX(BookOneOff,1344)*$P1349)</f>
        <v/>
      </c>
      <c r="S1349" s="35" t="str">
        <f aca="false">IF($P1349="","",INDEX(BookRate,1344)*$P1349)</f>
        <v/>
      </c>
      <c r="T1349" s="35" t="str">
        <f aca="false">IF($R1349="","",$R1349-$K1349)</f>
        <v/>
      </c>
      <c r="U1349" s="35" t="str">
        <f aca="false">IF(N($P1349)&lt;=0,"",COUNTIF($P$6:$P1349,"&gt;0"))</f>
        <v/>
      </c>
    </row>
    <row r="1350" customFormat="false" ht="15" hidden="false" customHeight="false" outlineLevel="0" collapsed="false">
      <c r="A1350" s="40" t="str">
        <f aca="false">IF(INDEX(BookTitle,1345)="","",INDEX(BookGroup,1345))</f>
        <v/>
      </c>
      <c r="B1350" s="40" t="str">
        <f aca="false">IF(INDEX(BookTitle,1345)="","",INDEX(BookRef,1345))</f>
        <v/>
      </c>
      <c r="C1350" s="40" t="str">
        <f aca="false">IF(INDEX(BookTitle,1345)="","",INDEX(BookDivision,1345))</f>
        <v/>
      </c>
      <c r="D1350" s="40" t="str">
        <f aca="false">IF(INDEX(BookTitle,1345)="","",INDEX(BookUnit,1345))</f>
        <v/>
      </c>
      <c r="E1350" s="40" t="str">
        <f aca="false">IF(INDEX(BookTitle,1345)="","",INDEX(BookTitle,1345))</f>
        <v/>
      </c>
      <c r="F1350" s="40" t="str">
        <f aca="false">IF(INDEX(BookTitle,1345)="","",INDEX(BookLevel,1345))</f>
        <v/>
      </c>
      <c r="G1350" s="40" t="str">
        <f aca="false">IF(INDEX(BookTitle,1345)="","",INDEX(BookCategory,1345))</f>
        <v/>
      </c>
      <c r="H1350" s="40" t="str">
        <f aca="false">IF(INDEX(BookTitle,1345)="","",INDEX(BookRank,1345))</f>
        <v/>
      </c>
      <c r="I1350" s="41" t="str">
        <f aca="false">IF(INDEX(BookTitle,1345)="","",INDEX(BookTotal,1345))</f>
        <v/>
      </c>
      <c r="J1350" s="0" t="str">
        <f aca="false">IF($I1350="","",IF(INDEX(BookQ1,1345)&gt;0,"Q1",IF(INDEX(BookQ2,1345)&gt;0,"Q2",IF(INDEX(BookQ3,1345)&gt;0,"Q3",IF(INDEX(BookQ4,1345)&gt;0,"Q4","")))))</f>
        <v/>
      </c>
      <c r="K1350" s="42" t="str">
        <f aca="false">IF(INDEX(BookTitle,1345)="","",INDEX(BookInYear,1345))</f>
        <v/>
      </c>
      <c r="L1350" s="19"/>
      <c r="M1350" s="39"/>
      <c r="N1350" s="19"/>
      <c r="O1350" s="19"/>
      <c r="P1350" s="43" t="str">
        <f aca="false">IF($E1350="","",IF($L1350="Decline",0,IF($L1350="Approve fewer",IF($M1350="","",$M1350),IF($L1350="","",$I1350))))</f>
        <v/>
      </c>
      <c r="Q1350" s="34" t="str">
        <f aca="false">IF($P1350="","",IF($N1350&lt;&gt;"",$N1350,$J1350))</f>
        <v/>
      </c>
      <c r="R1350" s="35" t="str">
        <f aca="false">IF(OR($P1350="",$Q1350=""),"",INDEX(BookRate,1345)*$P1350*(5-MATCH($Q1350,{"Q1";"Q2";"Q3";"Q4"},0))/4+INDEX(BookOneOff,1345)*$P1350)</f>
        <v/>
      </c>
      <c r="S1350" s="35" t="str">
        <f aca="false">IF($P1350="","",INDEX(BookRate,1345)*$P1350)</f>
        <v/>
      </c>
      <c r="T1350" s="35" t="str">
        <f aca="false">IF($R1350="","",$R1350-$K1350)</f>
        <v/>
      </c>
      <c r="U1350" s="35" t="str">
        <f aca="false">IF(N($P1350)&lt;=0,"",COUNTIF($P$6:$P1350,"&gt;0"))</f>
        <v/>
      </c>
    </row>
    <row r="1351" customFormat="false" ht="15" hidden="false" customHeight="false" outlineLevel="0" collapsed="false">
      <c r="A1351" s="40" t="str">
        <f aca="false">IF(INDEX(BookTitle,1346)="","",INDEX(BookGroup,1346))</f>
        <v/>
      </c>
      <c r="B1351" s="40" t="str">
        <f aca="false">IF(INDEX(BookTitle,1346)="","",INDEX(BookRef,1346))</f>
        <v/>
      </c>
      <c r="C1351" s="40" t="str">
        <f aca="false">IF(INDEX(BookTitle,1346)="","",INDEX(BookDivision,1346))</f>
        <v/>
      </c>
      <c r="D1351" s="40" t="str">
        <f aca="false">IF(INDEX(BookTitle,1346)="","",INDEX(BookUnit,1346))</f>
        <v/>
      </c>
      <c r="E1351" s="40" t="str">
        <f aca="false">IF(INDEX(BookTitle,1346)="","",INDEX(BookTitle,1346))</f>
        <v/>
      </c>
      <c r="F1351" s="40" t="str">
        <f aca="false">IF(INDEX(BookTitle,1346)="","",INDEX(BookLevel,1346))</f>
        <v/>
      </c>
      <c r="G1351" s="40" t="str">
        <f aca="false">IF(INDEX(BookTitle,1346)="","",INDEX(BookCategory,1346))</f>
        <v/>
      </c>
      <c r="H1351" s="40" t="str">
        <f aca="false">IF(INDEX(BookTitle,1346)="","",INDEX(BookRank,1346))</f>
        <v/>
      </c>
      <c r="I1351" s="41" t="str">
        <f aca="false">IF(INDEX(BookTitle,1346)="","",INDEX(BookTotal,1346))</f>
        <v/>
      </c>
      <c r="J1351" s="0" t="str">
        <f aca="false">IF($I1351="","",IF(INDEX(BookQ1,1346)&gt;0,"Q1",IF(INDEX(BookQ2,1346)&gt;0,"Q2",IF(INDEX(BookQ3,1346)&gt;0,"Q3",IF(INDEX(BookQ4,1346)&gt;0,"Q4","")))))</f>
        <v/>
      </c>
      <c r="K1351" s="42" t="str">
        <f aca="false">IF(INDEX(BookTitle,1346)="","",INDEX(BookInYear,1346))</f>
        <v/>
      </c>
      <c r="L1351" s="19"/>
      <c r="M1351" s="39"/>
      <c r="N1351" s="19"/>
      <c r="O1351" s="19"/>
      <c r="P1351" s="43" t="str">
        <f aca="false">IF($E1351="","",IF($L1351="Decline",0,IF($L1351="Approve fewer",IF($M1351="","",$M1351),IF($L1351="","",$I1351))))</f>
        <v/>
      </c>
      <c r="Q1351" s="34" t="str">
        <f aca="false">IF($P1351="","",IF($N1351&lt;&gt;"",$N1351,$J1351))</f>
        <v/>
      </c>
      <c r="R1351" s="35" t="str">
        <f aca="false">IF(OR($P1351="",$Q1351=""),"",INDEX(BookRate,1346)*$P1351*(5-MATCH($Q1351,{"Q1";"Q2";"Q3";"Q4"},0))/4+INDEX(BookOneOff,1346)*$P1351)</f>
        <v/>
      </c>
      <c r="S1351" s="35" t="str">
        <f aca="false">IF($P1351="","",INDEX(BookRate,1346)*$P1351)</f>
        <v/>
      </c>
      <c r="T1351" s="35" t="str">
        <f aca="false">IF($R1351="","",$R1351-$K1351)</f>
        <v/>
      </c>
      <c r="U1351" s="35" t="str">
        <f aca="false">IF(N($P1351)&lt;=0,"",COUNTIF($P$6:$P1351,"&gt;0"))</f>
        <v/>
      </c>
    </row>
    <row r="1352" customFormat="false" ht="15" hidden="false" customHeight="false" outlineLevel="0" collapsed="false">
      <c r="A1352" s="40" t="str">
        <f aca="false">IF(INDEX(BookTitle,1347)="","",INDEX(BookGroup,1347))</f>
        <v/>
      </c>
      <c r="B1352" s="40" t="str">
        <f aca="false">IF(INDEX(BookTitle,1347)="","",INDEX(BookRef,1347))</f>
        <v/>
      </c>
      <c r="C1352" s="40" t="str">
        <f aca="false">IF(INDEX(BookTitle,1347)="","",INDEX(BookDivision,1347))</f>
        <v/>
      </c>
      <c r="D1352" s="40" t="str">
        <f aca="false">IF(INDEX(BookTitle,1347)="","",INDEX(BookUnit,1347))</f>
        <v/>
      </c>
      <c r="E1352" s="40" t="str">
        <f aca="false">IF(INDEX(BookTitle,1347)="","",INDEX(BookTitle,1347))</f>
        <v/>
      </c>
      <c r="F1352" s="40" t="str">
        <f aca="false">IF(INDEX(BookTitle,1347)="","",INDEX(BookLevel,1347))</f>
        <v/>
      </c>
      <c r="G1352" s="40" t="str">
        <f aca="false">IF(INDEX(BookTitle,1347)="","",INDEX(BookCategory,1347))</f>
        <v/>
      </c>
      <c r="H1352" s="40" t="str">
        <f aca="false">IF(INDEX(BookTitle,1347)="","",INDEX(BookRank,1347))</f>
        <v/>
      </c>
      <c r="I1352" s="41" t="str">
        <f aca="false">IF(INDEX(BookTitle,1347)="","",INDEX(BookTotal,1347))</f>
        <v/>
      </c>
      <c r="J1352" s="0" t="str">
        <f aca="false">IF($I1352="","",IF(INDEX(BookQ1,1347)&gt;0,"Q1",IF(INDEX(BookQ2,1347)&gt;0,"Q2",IF(INDEX(BookQ3,1347)&gt;0,"Q3",IF(INDEX(BookQ4,1347)&gt;0,"Q4","")))))</f>
        <v/>
      </c>
      <c r="K1352" s="42" t="str">
        <f aca="false">IF(INDEX(BookTitle,1347)="","",INDEX(BookInYear,1347))</f>
        <v/>
      </c>
      <c r="L1352" s="19"/>
      <c r="M1352" s="39"/>
      <c r="N1352" s="19"/>
      <c r="O1352" s="19"/>
      <c r="P1352" s="43" t="str">
        <f aca="false">IF($E1352="","",IF($L1352="Decline",0,IF($L1352="Approve fewer",IF($M1352="","",$M1352),IF($L1352="","",$I1352))))</f>
        <v/>
      </c>
      <c r="Q1352" s="34" t="str">
        <f aca="false">IF($P1352="","",IF($N1352&lt;&gt;"",$N1352,$J1352))</f>
        <v/>
      </c>
      <c r="R1352" s="35" t="str">
        <f aca="false">IF(OR($P1352="",$Q1352=""),"",INDEX(BookRate,1347)*$P1352*(5-MATCH($Q1352,{"Q1";"Q2";"Q3";"Q4"},0))/4+INDEX(BookOneOff,1347)*$P1352)</f>
        <v/>
      </c>
      <c r="S1352" s="35" t="str">
        <f aca="false">IF($P1352="","",INDEX(BookRate,1347)*$P1352)</f>
        <v/>
      </c>
      <c r="T1352" s="35" t="str">
        <f aca="false">IF($R1352="","",$R1352-$K1352)</f>
        <v/>
      </c>
      <c r="U1352" s="35" t="str">
        <f aca="false">IF(N($P1352)&lt;=0,"",COUNTIF($P$6:$P1352,"&gt;0"))</f>
        <v/>
      </c>
    </row>
    <row r="1353" customFormat="false" ht="15" hidden="false" customHeight="false" outlineLevel="0" collapsed="false">
      <c r="A1353" s="40" t="str">
        <f aca="false">IF(INDEX(BookTitle,1348)="","",INDEX(BookGroup,1348))</f>
        <v/>
      </c>
      <c r="B1353" s="40" t="str">
        <f aca="false">IF(INDEX(BookTitle,1348)="","",INDEX(BookRef,1348))</f>
        <v/>
      </c>
      <c r="C1353" s="40" t="str">
        <f aca="false">IF(INDEX(BookTitle,1348)="","",INDEX(BookDivision,1348))</f>
        <v/>
      </c>
      <c r="D1353" s="40" t="str">
        <f aca="false">IF(INDEX(BookTitle,1348)="","",INDEX(BookUnit,1348))</f>
        <v/>
      </c>
      <c r="E1353" s="40" t="str">
        <f aca="false">IF(INDEX(BookTitle,1348)="","",INDEX(BookTitle,1348))</f>
        <v/>
      </c>
      <c r="F1353" s="40" t="str">
        <f aca="false">IF(INDEX(BookTitle,1348)="","",INDEX(BookLevel,1348))</f>
        <v/>
      </c>
      <c r="G1353" s="40" t="str">
        <f aca="false">IF(INDEX(BookTitle,1348)="","",INDEX(BookCategory,1348))</f>
        <v/>
      </c>
      <c r="H1353" s="40" t="str">
        <f aca="false">IF(INDEX(BookTitle,1348)="","",INDEX(BookRank,1348))</f>
        <v/>
      </c>
      <c r="I1353" s="41" t="str">
        <f aca="false">IF(INDEX(BookTitle,1348)="","",INDEX(BookTotal,1348))</f>
        <v/>
      </c>
      <c r="J1353" s="0" t="str">
        <f aca="false">IF($I1353="","",IF(INDEX(BookQ1,1348)&gt;0,"Q1",IF(INDEX(BookQ2,1348)&gt;0,"Q2",IF(INDEX(BookQ3,1348)&gt;0,"Q3",IF(INDEX(BookQ4,1348)&gt;0,"Q4","")))))</f>
        <v/>
      </c>
      <c r="K1353" s="42" t="str">
        <f aca="false">IF(INDEX(BookTitle,1348)="","",INDEX(BookInYear,1348))</f>
        <v/>
      </c>
      <c r="L1353" s="19"/>
      <c r="M1353" s="39"/>
      <c r="N1353" s="19"/>
      <c r="O1353" s="19"/>
      <c r="P1353" s="43" t="str">
        <f aca="false">IF($E1353="","",IF($L1353="Decline",0,IF($L1353="Approve fewer",IF($M1353="","",$M1353),IF($L1353="","",$I1353))))</f>
        <v/>
      </c>
      <c r="Q1353" s="34" t="str">
        <f aca="false">IF($P1353="","",IF($N1353&lt;&gt;"",$N1353,$J1353))</f>
        <v/>
      </c>
      <c r="R1353" s="35" t="str">
        <f aca="false">IF(OR($P1353="",$Q1353=""),"",INDEX(BookRate,1348)*$P1353*(5-MATCH($Q1353,{"Q1";"Q2";"Q3";"Q4"},0))/4+INDEX(BookOneOff,1348)*$P1353)</f>
        <v/>
      </c>
      <c r="S1353" s="35" t="str">
        <f aca="false">IF($P1353="","",INDEX(BookRate,1348)*$P1353)</f>
        <v/>
      </c>
      <c r="T1353" s="35" t="str">
        <f aca="false">IF($R1353="","",$R1353-$K1353)</f>
        <v/>
      </c>
      <c r="U1353" s="35" t="str">
        <f aca="false">IF(N($P1353)&lt;=0,"",COUNTIF($P$6:$P1353,"&gt;0"))</f>
        <v/>
      </c>
    </row>
    <row r="1354" customFormat="false" ht="15" hidden="false" customHeight="false" outlineLevel="0" collapsed="false">
      <c r="A1354" s="40" t="str">
        <f aca="false">IF(INDEX(BookTitle,1349)="","",INDEX(BookGroup,1349))</f>
        <v/>
      </c>
      <c r="B1354" s="40" t="str">
        <f aca="false">IF(INDEX(BookTitle,1349)="","",INDEX(BookRef,1349))</f>
        <v/>
      </c>
      <c r="C1354" s="40" t="str">
        <f aca="false">IF(INDEX(BookTitle,1349)="","",INDEX(BookDivision,1349))</f>
        <v/>
      </c>
      <c r="D1354" s="40" t="str">
        <f aca="false">IF(INDEX(BookTitle,1349)="","",INDEX(BookUnit,1349))</f>
        <v/>
      </c>
      <c r="E1354" s="40" t="str">
        <f aca="false">IF(INDEX(BookTitle,1349)="","",INDEX(BookTitle,1349))</f>
        <v/>
      </c>
      <c r="F1354" s="40" t="str">
        <f aca="false">IF(INDEX(BookTitle,1349)="","",INDEX(BookLevel,1349))</f>
        <v/>
      </c>
      <c r="G1354" s="40" t="str">
        <f aca="false">IF(INDEX(BookTitle,1349)="","",INDEX(BookCategory,1349))</f>
        <v/>
      </c>
      <c r="H1354" s="40" t="str">
        <f aca="false">IF(INDEX(BookTitle,1349)="","",INDEX(BookRank,1349))</f>
        <v/>
      </c>
      <c r="I1354" s="41" t="str">
        <f aca="false">IF(INDEX(BookTitle,1349)="","",INDEX(BookTotal,1349))</f>
        <v/>
      </c>
      <c r="J1354" s="0" t="str">
        <f aca="false">IF($I1354="","",IF(INDEX(BookQ1,1349)&gt;0,"Q1",IF(INDEX(BookQ2,1349)&gt;0,"Q2",IF(INDEX(BookQ3,1349)&gt;0,"Q3",IF(INDEX(BookQ4,1349)&gt;0,"Q4","")))))</f>
        <v/>
      </c>
      <c r="K1354" s="42" t="str">
        <f aca="false">IF(INDEX(BookTitle,1349)="","",INDEX(BookInYear,1349))</f>
        <v/>
      </c>
      <c r="L1354" s="19"/>
      <c r="M1354" s="39"/>
      <c r="N1354" s="19"/>
      <c r="O1354" s="19"/>
      <c r="P1354" s="43" t="str">
        <f aca="false">IF($E1354="","",IF($L1354="Decline",0,IF($L1354="Approve fewer",IF($M1354="","",$M1354),IF($L1354="","",$I1354))))</f>
        <v/>
      </c>
      <c r="Q1354" s="34" t="str">
        <f aca="false">IF($P1354="","",IF($N1354&lt;&gt;"",$N1354,$J1354))</f>
        <v/>
      </c>
      <c r="R1354" s="35" t="str">
        <f aca="false">IF(OR($P1354="",$Q1354=""),"",INDEX(BookRate,1349)*$P1354*(5-MATCH($Q1354,{"Q1";"Q2";"Q3";"Q4"},0))/4+INDEX(BookOneOff,1349)*$P1354)</f>
        <v/>
      </c>
      <c r="S1354" s="35" t="str">
        <f aca="false">IF($P1354="","",INDEX(BookRate,1349)*$P1354)</f>
        <v/>
      </c>
      <c r="T1354" s="35" t="str">
        <f aca="false">IF($R1354="","",$R1354-$K1354)</f>
        <v/>
      </c>
      <c r="U1354" s="35" t="str">
        <f aca="false">IF(N($P1354)&lt;=0,"",COUNTIF($P$6:$P1354,"&gt;0"))</f>
        <v/>
      </c>
    </row>
    <row r="1355" customFormat="false" ht="15" hidden="false" customHeight="false" outlineLevel="0" collapsed="false">
      <c r="A1355" s="40" t="str">
        <f aca="false">IF(INDEX(BookTitle,1350)="","",INDEX(BookGroup,1350))</f>
        <v/>
      </c>
      <c r="B1355" s="40" t="str">
        <f aca="false">IF(INDEX(BookTitle,1350)="","",INDEX(BookRef,1350))</f>
        <v/>
      </c>
      <c r="C1355" s="40" t="str">
        <f aca="false">IF(INDEX(BookTitle,1350)="","",INDEX(BookDivision,1350))</f>
        <v/>
      </c>
      <c r="D1355" s="40" t="str">
        <f aca="false">IF(INDEX(BookTitle,1350)="","",INDEX(BookUnit,1350))</f>
        <v/>
      </c>
      <c r="E1355" s="40" t="str">
        <f aca="false">IF(INDEX(BookTitle,1350)="","",INDEX(BookTitle,1350))</f>
        <v/>
      </c>
      <c r="F1355" s="40" t="str">
        <f aca="false">IF(INDEX(BookTitle,1350)="","",INDEX(BookLevel,1350))</f>
        <v/>
      </c>
      <c r="G1355" s="40" t="str">
        <f aca="false">IF(INDEX(BookTitle,1350)="","",INDEX(BookCategory,1350))</f>
        <v/>
      </c>
      <c r="H1355" s="40" t="str">
        <f aca="false">IF(INDEX(BookTitle,1350)="","",INDEX(BookRank,1350))</f>
        <v/>
      </c>
      <c r="I1355" s="41" t="str">
        <f aca="false">IF(INDEX(BookTitle,1350)="","",INDEX(BookTotal,1350))</f>
        <v/>
      </c>
      <c r="J1355" s="0" t="str">
        <f aca="false">IF($I1355="","",IF(INDEX(BookQ1,1350)&gt;0,"Q1",IF(INDEX(BookQ2,1350)&gt;0,"Q2",IF(INDEX(BookQ3,1350)&gt;0,"Q3",IF(INDEX(BookQ4,1350)&gt;0,"Q4","")))))</f>
        <v/>
      </c>
      <c r="K1355" s="42" t="str">
        <f aca="false">IF(INDEX(BookTitle,1350)="","",INDEX(BookInYear,1350))</f>
        <v/>
      </c>
      <c r="L1355" s="19"/>
      <c r="M1355" s="39"/>
      <c r="N1355" s="19"/>
      <c r="O1355" s="19"/>
      <c r="P1355" s="43" t="str">
        <f aca="false">IF($E1355="","",IF($L1355="Decline",0,IF($L1355="Approve fewer",IF($M1355="","",$M1355),IF($L1355="","",$I1355))))</f>
        <v/>
      </c>
      <c r="Q1355" s="34" t="str">
        <f aca="false">IF($P1355="","",IF($N1355&lt;&gt;"",$N1355,$J1355))</f>
        <v/>
      </c>
      <c r="R1355" s="35" t="str">
        <f aca="false">IF(OR($P1355="",$Q1355=""),"",INDEX(BookRate,1350)*$P1355*(5-MATCH($Q1355,{"Q1";"Q2";"Q3";"Q4"},0))/4+INDEX(BookOneOff,1350)*$P1355)</f>
        <v/>
      </c>
      <c r="S1355" s="35" t="str">
        <f aca="false">IF($P1355="","",INDEX(BookRate,1350)*$P1355)</f>
        <v/>
      </c>
      <c r="T1355" s="35" t="str">
        <f aca="false">IF($R1355="","",$R1355-$K1355)</f>
        <v/>
      </c>
      <c r="U1355" s="35" t="str">
        <f aca="false">IF(N($P1355)&lt;=0,"",COUNTIF($P$6:$P1355,"&gt;0"))</f>
        <v/>
      </c>
    </row>
    <row r="1356" customFormat="false" ht="15" hidden="false" customHeight="false" outlineLevel="0" collapsed="false">
      <c r="A1356" s="40" t="str">
        <f aca="false">IF(INDEX(BookTitle,1351)="","",INDEX(BookGroup,1351))</f>
        <v/>
      </c>
      <c r="B1356" s="40" t="str">
        <f aca="false">IF(INDEX(BookTitle,1351)="","",INDEX(BookRef,1351))</f>
        <v/>
      </c>
      <c r="C1356" s="40" t="str">
        <f aca="false">IF(INDEX(BookTitle,1351)="","",INDEX(BookDivision,1351))</f>
        <v/>
      </c>
      <c r="D1356" s="40" t="str">
        <f aca="false">IF(INDEX(BookTitle,1351)="","",INDEX(BookUnit,1351))</f>
        <v/>
      </c>
      <c r="E1356" s="40" t="str">
        <f aca="false">IF(INDEX(BookTitle,1351)="","",INDEX(BookTitle,1351))</f>
        <v/>
      </c>
      <c r="F1356" s="40" t="str">
        <f aca="false">IF(INDEX(BookTitle,1351)="","",INDEX(BookLevel,1351))</f>
        <v/>
      </c>
      <c r="G1356" s="40" t="str">
        <f aca="false">IF(INDEX(BookTitle,1351)="","",INDEX(BookCategory,1351))</f>
        <v/>
      </c>
      <c r="H1356" s="40" t="str">
        <f aca="false">IF(INDEX(BookTitle,1351)="","",INDEX(BookRank,1351))</f>
        <v/>
      </c>
      <c r="I1356" s="41" t="str">
        <f aca="false">IF(INDEX(BookTitle,1351)="","",INDEX(BookTotal,1351))</f>
        <v/>
      </c>
      <c r="J1356" s="0" t="str">
        <f aca="false">IF($I1356="","",IF(INDEX(BookQ1,1351)&gt;0,"Q1",IF(INDEX(BookQ2,1351)&gt;0,"Q2",IF(INDEX(BookQ3,1351)&gt;0,"Q3",IF(INDEX(BookQ4,1351)&gt;0,"Q4","")))))</f>
        <v/>
      </c>
      <c r="K1356" s="42" t="str">
        <f aca="false">IF(INDEX(BookTitle,1351)="","",INDEX(BookInYear,1351))</f>
        <v/>
      </c>
      <c r="L1356" s="19"/>
      <c r="M1356" s="39"/>
      <c r="N1356" s="19"/>
      <c r="O1356" s="19"/>
      <c r="P1356" s="43" t="str">
        <f aca="false">IF($E1356="","",IF($L1356="Decline",0,IF($L1356="Approve fewer",IF($M1356="","",$M1356),IF($L1356="","",$I1356))))</f>
        <v/>
      </c>
      <c r="Q1356" s="34" t="str">
        <f aca="false">IF($P1356="","",IF($N1356&lt;&gt;"",$N1356,$J1356))</f>
        <v/>
      </c>
      <c r="R1356" s="35" t="str">
        <f aca="false">IF(OR($P1356="",$Q1356=""),"",INDEX(BookRate,1351)*$P1356*(5-MATCH($Q1356,{"Q1";"Q2";"Q3";"Q4"},0))/4+INDEX(BookOneOff,1351)*$P1356)</f>
        <v/>
      </c>
      <c r="S1356" s="35" t="str">
        <f aca="false">IF($P1356="","",INDEX(BookRate,1351)*$P1356)</f>
        <v/>
      </c>
      <c r="T1356" s="35" t="str">
        <f aca="false">IF($R1356="","",$R1356-$K1356)</f>
        <v/>
      </c>
      <c r="U1356" s="35" t="str">
        <f aca="false">IF(N($P1356)&lt;=0,"",COUNTIF($P$6:$P1356,"&gt;0"))</f>
        <v/>
      </c>
    </row>
    <row r="1357" customFormat="false" ht="15" hidden="false" customHeight="false" outlineLevel="0" collapsed="false">
      <c r="A1357" s="40" t="str">
        <f aca="false">IF(INDEX(BookTitle,1352)="","",INDEX(BookGroup,1352))</f>
        <v/>
      </c>
      <c r="B1357" s="40" t="str">
        <f aca="false">IF(INDEX(BookTitle,1352)="","",INDEX(BookRef,1352))</f>
        <v/>
      </c>
      <c r="C1357" s="40" t="str">
        <f aca="false">IF(INDEX(BookTitle,1352)="","",INDEX(BookDivision,1352))</f>
        <v/>
      </c>
      <c r="D1357" s="40" t="str">
        <f aca="false">IF(INDEX(BookTitle,1352)="","",INDEX(BookUnit,1352))</f>
        <v/>
      </c>
      <c r="E1357" s="40" t="str">
        <f aca="false">IF(INDEX(BookTitle,1352)="","",INDEX(BookTitle,1352))</f>
        <v/>
      </c>
      <c r="F1357" s="40" t="str">
        <f aca="false">IF(INDEX(BookTitle,1352)="","",INDEX(BookLevel,1352))</f>
        <v/>
      </c>
      <c r="G1357" s="40" t="str">
        <f aca="false">IF(INDEX(BookTitle,1352)="","",INDEX(BookCategory,1352))</f>
        <v/>
      </c>
      <c r="H1357" s="40" t="str">
        <f aca="false">IF(INDEX(BookTitle,1352)="","",INDEX(BookRank,1352))</f>
        <v/>
      </c>
      <c r="I1357" s="41" t="str">
        <f aca="false">IF(INDEX(BookTitle,1352)="","",INDEX(BookTotal,1352))</f>
        <v/>
      </c>
      <c r="J1357" s="0" t="str">
        <f aca="false">IF($I1357="","",IF(INDEX(BookQ1,1352)&gt;0,"Q1",IF(INDEX(BookQ2,1352)&gt;0,"Q2",IF(INDEX(BookQ3,1352)&gt;0,"Q3",IF(INDEX(BookQ4,1352)&gt;0,"Q4","")))))</f>
        <v/>
      </c>
      <c r="K1357" s="42" t="str">
        <f aca="false">IF(INDEX(BookTitle,1352)="","",INDEX(BookInYear,1352))</f>
        <v/>
      </c>
      <c r="L1357" s="19"/>
      <c r="M1357" s="39"/>
      <c r="N1357" s="19"/>
      <c r="O1357" s="19"/>
      <c r="P1357" s="43" t="str">
        <f aca="false">IF($E1357="","",IF($L1357="Decline",0,IF($L1357="Approve fewer",IF($M1357="","",$M1357),IF($L1357="","",$I1357))))</f>
        <v/>
      </c>
      <c r="Q1357" s="34" t="str">
        <f aca="false">IF($P1357="","",IF($N1357&lt;&gt;"",$N1357,$J1357))</f>
        <v/>
      </c>
      <c r="R1357" s="35" t="str">
        <f aca="false">IF(OR($P1357="",$Q1357=""),"",INDEX(BookRate,1352)*$P1357*(5-MATCH($Q1357,{"Q1";"Q2";"Q3";"Q4"},0))/4+INDEX(BookOneOff,1352)*$P1357)</f>
        <v/>
      </c>
      <c r="S1357" s="35" t="str">
        <f aca="false">IF($P1357="","",INDEX(BookRate,1352)*$P1357)</f>
        <v/>
      </c>
      <c r="T1357" s="35" t="str">
        <f aca="false">IF($R1357="","",$R1357-$K1357)</f>
        <v/>
      </c>
      <c r="U1357" s="35" t="str">
        <f aca="false">IF(N($P1357)&lt;=0,"",COUNTIF($P$6:$P1357,"&gt;0"))</f>
        <v/>
      </c>
    </row>
    <row r="1358" customFormat="false" ht="15" hidden="false" customHeight="false" outlineLevel="0" collapsed="false">
      <c r="A1358" s="40" t="str">
        <f aca="false">IF(INDEX(BookTitle,1353)="","",INDEX(BookGroup,1353))</f>
        <v/>
      </c>
      <c r="B1358" s="40" t="str">
        <f aca="false">IF(INDEX(BookTitle,1353)="","",INDEX(BookRef,1353))</f>
        <v/>
      </c>
      <c r="C1358" s="40" t="str">
        <f aca="false">IF(INDEX(BookTitle,1353)="","",INDEX(BookDivision,1353))</f>
        <v/>
      </c>
      <c r="D1358" s="40" t="str">
        <f aca="false">IF(INDEX(BookTitle,1353)="","",INDEX(BookUnit,1353))</f>
        <v/>
      </c>
      <c r="E1358" s="40" t="str">
        <f aca="false">IF(INDEX(BookTitle,1353)="","",INDEX(BookTitle,1353))</f>
        <v/>
      </c>
      <c r="F1358" s="40" t="str">
        <f aca="false">IF(INDEX(BookTitle,1353)="","",INDEX(BookLevel,1353))</f>
        <v/>
      </c>
      <c r="G1358" s="40" t="str">
        <f aca="false">IF(INDEX(BookTitle,1353)="","",INDEX(BookCategory,1353))</f>
        <v/>
      </c>
      <c r="H1358" s="40" t="str">
        <f aca="false">IF(INDEX(BookTitle,1353)="","",INDEX(BookRank,1353))</f>
        <v/>
      </c>
      <c r="I1358" s="41" t="str">
        <f aca="false">IF(INDEX(BookTitle,1353)="","",INDEX(BookTotal,1353))</f>
        <v/>
      </c>
      <c r="J1358" s="0" t="str">
        <f aca="false">IF($I1358="","",IF(INDEX(BookQ1,1353)&gt;0,"Q1",IF(INDEX(BookQ2,1353)&gt;0,"Q2",IF(INDEX(BookQ3,1353)&gt;0,"Q3",IF(INDEX(BookQ4,1353)&gt;0,"Q4","")))))</f>
        <v/>
      </c>
      <c r="K1358" s="42" t="str">
        <f aca="false">IF(INDEX(BookTitle,1353)="","",INDEX(BookInYear,1353))</f>
        <v/>
      </c>
      <c r="L1358" s="19"/>
      <c r="M1358" s="39"/>
      <c r="N1358" s="19"/>
      <c r="O1358" s="19"/>
      <c r="P1358" s="43" t="str">
        <f aca="false">IF($E1358="","",IF($L1358="Decline",0,IF($L1358="Approve fewer",IF($M1358="","",$M1358),IF($L1358="","",$I1358))))</f>
        <v/>
      </c>
      <c r="Q1358" s="34" t="str">
        <f aca="false">IF($P1358="","",IF($N1358&lt;&gt;"",$N1358,$J1358))</f>
        <v/>
      </c>
      <c r="R1358" s="35" t="str">
        <f aca="false">IF(OR($P1358="",$Q1358=""),"",INDEX(BookRate,1353)*$P1358*(5-MATCH($Q1358,{"Q1";"Q2";"Q3";"Q4"},0))/4+INDEX(BookOneOff,1353)*$P1358)</f>
        <v/>
      </c>
      <c r="S1358" s="35" t="str">
        <f aca="false">IF($P1358="","",INDEX(BookRate,1353)*$P1358)</f>
        <v/>
      </c>
      <c r="T1358" s="35" t="str">
        <f aca="false">IF($R1358="","",$R1358-$K1358)</f>
        <v/>
      </c>
      <c r="U1358" s="35" t="str">
        <f aca="false">IF(N($P1358)&lt;=0,"",COUNTIF($P$6:$P1358,"&gt;0"))</f>
        <v/>
      </c>
    </row>
    <row r="1359" customFormat="false" ht="15" hidden="false" customHeight="false" outlineLevel="0" collapsed="false">
      <c r="A1359" s="40" t="str">
        <f aca="false">IF(INDEX(BookTitle,1354)="","",INDEX(BookGroup,1354))</f>
        <v/>
      </c>
      <c r="B1359" s="40" t="str">
        <f aca="false">IF(INDEX(BookTitle,1354)="","",INDEX(BookRef,1354))</f>
        <v/>
      </c>
      <c r="C1359" s="40" t="str">
        <f aca="false">IF(INDEX(BookTitle,1354)="","",INDEX(BookDivision,1354))</f>
        <v/>
      </c>
      <c r="D1359" s="40" t="str">
        <f aca="false">IF(INDEX(BookTitle,1354)="","",INDEX(BookUnit,1354))</f>
        <v/>
      </c>
      <c r="E1359" s="40" t="str">
        <f aca="false">IF(INDEX(BookTitle,1354)="","",INDEX(BookTitle,1354))</f>
        <v/>
      </c>
      <c r="F1359" s="40" t="str">
        <f aca="false">IF(INDEX(BookTitle,1354)="","",INDEX(BookLevel,1354))</f>
        <v/>
      </c>
      <c r="G1359" s="40" t="str">
        <f aca="false">IF(INDEX(BookTitle,1354)="","",INDEX(BookCategory,1354))</f>
        <v/>
      </c>
      <c r="H1359" s="40" t="str">
        <f aca="false">IF(INDEX(BookTitle,1354)="","",INDEX(BookRank,1354))</f>
        <v/>
      </c>
      <c r="I1359" s="41" t="str">
        <f aca="false">IF(INDEX(BookTitle,1354)="","",INDEX(BookTotal,1354))</f>
        <v/>
      </c>
      <c r="J1359" s="0" t="str">
        <f aca="false">IF($I1359="","",IF(INDEX(BookQ1,1354)&gt;0,"Q1",IF(INDEX(BookQ2,1354)&gt;0,"Q2",IF(INDEX(BookQ3,1354)&gt;0,"Q3",IF(INDEX(BookQ4,1354)&gt;0,"Q4","")))))</f>
        <v/>
      </c>
      <c r="K1359" s="42" t="str">
        <f aca="false">IF(INDEX(BookTitle,1354)="","",INDEX(BookInYear,1354))</f>
        <v/>
      </c>
      <c r="L1359" s="19"/>
      <c r="M1359" s="39"/>
      <c r="N1359" s="19"/>
      <c r="O1359" s="19"/>
      <c r="P1359" s="43" t="str">
        <f aca="false">IF($E1359="","",IF($L1359="Decline",0,IF($L1359="Approve fewer",IF($M1359="","",$M1359),IF($L1359="","",$I1359))))</f>
        <v/>
      </c>
      <c r="Q1359" s="34" t="str">
        <f aca="false">IF($P1359="","",IF($N1359&lt;&gt;"",$N1359,$J1359))</f>
        <v/>
      </c>
      <c r="R1359" s="35" t="str">
        <f aca="false">IF(OR($P1359="",$Q1359=""),"",INDEX(BookRate,1354)*$P1359*(5-MATCH($Q1359,{"Q1";"Q2";"Q3";"Q4"},0))/4+INDEX(BookOneOff,1354)*$P1359)</f>
        <v/>
      </c>
      <c r="S1359" s="35" t="str">
        <f aca="false">IF($P1359="","",INDEX(BookRate,1354)*$P1359)</f>
        <v/>
      </c>
      <c r="T1359" s="35" t="str">
        <f aca="false">IF($R1359="","",$R1359-$K1359)</f>
        <v/>
      </c>
      <c r="U1359" s="35" t="str">
        <f aca="false">IF(N($P1359)&lt;=0,"",COUNTIF($P$6:$P1359,"&gt;0"))</f>
        <v/>
      </c>
    </row>
    <row r="1360" customFormat="false" ht="15" hidden="false" customHeight="false" outlineLevel="0" collapsed="false">
      <c r="A1360" s="40" t="str">
        <f aca="false">IF(INDEX(BookTitle,1355)="","",INDEX(BookGroup,1355))</f>
        <v/>
      </c>
      <c r="B1360" s="40" t="str">
        <f aca="false">IF(INDEX(BookTitle,1355)="","",INDEX(BookRef,1355))</f>
        <v/>
      </c>
      <c r="C1360" s="40" t="str">
        <f aca="false">IF(INDEX(BookTitle,1355)="","",INDEX(BookDivision,1355))</f>
        <v/>
      </c>
      <c r="D1360" s="40" t="str">
        <f aca="false">IF(INDEX(BookTitle,1355)="","",INDEX(BookUnit,1355))</f>
        <v/>
      </c>
      <c r="E1360" s="40" t="str">
        <f aca="false">IF(INDEX(BookTitle,1355)="","",INDEX(BookTitle,1355))</f>
        <v/>
      </c>
      <c r="F1360" s="40" t="str">
        <f aca="false">IF(INDEX(BookTitle,1355)="","",INDEX(BookLevel,1355))</f>
        <v/>
      </c>
      <c r="G1360" s="40" t="str">
        <f aca="false">IF(INDEX(BookTitle,1355)="","",INDEX(BookCategory,1355))</f>
        <v/>
      </c>
      <c r="H1360" s="40" t="str">
        <f aca="false">IF(INDEX(BookTitle,1355)="","",INDEX(BookRank,1355))</f>
        <v/>
      </c>
      <c r="I1360" s="41" t="str">
        <f aca="false">IF(INDEX(BookTitle,1355)="","",INDEX(BookTotal,1355))</f>
        <v/>
      </c>
      <c r="J1360" s="0" t="str">
        <f aca="false">IF($I1360="","",IF(INDEX(BookQ1,1355)&gt;0,"Q1",IF(INDEX(BookQ2,1355)&gt;0,"Q2",IF(INDEX(BookQ3,1355)&gt;0,"Q3",IF(INDEX(BookQ4,1355)&gt;0,"Q4","")))))</f>
        <v/>
      </c>
      <c r="K1360" s="42" t="str">
        <f aca="false">IF(INDEX(BookTitle,1355)="","",INDEX(BookInYear,1355))</f>
        <v/>
      </c>
      <c r="L1360" s="19"/>
      <c r="M1360" s="39"/>
      <c r="N1360" s="19"/>
      <c r="O1360" s="19"/>
      <c r="P1360" s="43" t="str">
        <f aca="false">IF($E1360="","",IF($L1360="Decline",0,IF($L1360="Approve fewer",IF($M1360="","",$M1360),IF($L1360="","",$I1360))))</f>
        <v/>
      </c>
      <c r="Q1360" s="34" t="str">
        <f aca="false">IF($P1360="","",IF($N1360&lt;&gt;"",$N1360,$J1360))</f>
        <v/>
      </c>
      <c r="R1360" s="35" t="str">
        <f aca="false">IF(OR($P1360="",$Q1360=""),"",INDEX(BookRate,1355)*$P1360*(5-MATCH($Q1360,{"Q1";"Q2";"Q3";"Q4"},0))/4+INDEX(BookOneOff,1355)*$P1360)</f>
        <v/>
      </c>
      <c r="S1360" s="35" t="str">
        <f aca="false">IF($P1360="","",INDEX(BookRate,1355)*$P1360)</f>
        <v/>
      </c>
      <c r="T1360" s="35" t="str">
        <f aca="false">IF($R1360="","",$R1360-$K1360)</f>
        <v/>
      </c>
      <c r="U1360" s="35" t="str">
        <f aca="false">IF(N($P1360)&lt;=0,"",COUNTIF($P$6:$P1360,"&gt;0"))</f>
        <v/>
      </c>
    </row>
    <row r="1361" customFormat="false" ht="15" hidden="false" customHeight="false" outlineLevel="0" collapsed="false">
      <c r="A1361" s="40" t="str">
        <f aca="false">IF(INDEX(BookTitle,1356)="","",INDEX(BookGroup,1356))</f>
        <v/>
      </c>
      <c r="B1361" s="40" t="str">
        <f aca="false">IF(INDEX(BookTitle,1356)="","",INDEX(BookRef,1356))</f>
        <v/>
      </c>
      <c r="C1361" s="40" t="str">
        <f aca="false">IF(INDEX(BookTitle,1356)="","",INDEX(BookDivision,1356))</f>
        <v/>
      </c>
      <c r="D1361" s="40" t="str">
        <f aca="false">IF(INDEX(BookTitle,1356)="","",INDEX(BookUnit,1356))</f>
        <v/>
      </c>
      <c r="E1361" s="40" t="str">
        <f aca="false">IF(INDEX(BookTitle,1356)="","",INDEX(BookTitle,1356))</f>
        <v/>
      </c>
      <c r="F1361" s="40" t="str">
        <f aca="false">IF(INDEX(BookTitle,1356)="","",INDEX(BookLevel,1356))</f>
        <v/>
      </c>
      <c r="G1361" s="40" t="str">
        <f aca="false">IF(INDEX(BookTitle,1356)="","",INDEX(BookCategory,1356))</f>
        <v/>
      </c>
      <c r="H1361" s="40" t="str">
        <f aca="false">IF(INDEX(BookTitle,1356)="","",INDEX(BookRank,1356))</f>
        <v/>
      </c>
      <c r="I1361" s="41" t="str">
        <f aca="false">IF(INDEX(BookTitle,1356)="","",INDEX(BookTotal,1356))</f>
        <v/>
      </c>
      <c r="J1361" s="0" t="str">
        <f aca="false">IF($I1361="","",IF(INDEX(BookQ1,1356)&gt;0,"Q1",IF(INDEX(BookQ2,1356)&gt;0,"Q2",IF(INDEX(BookQ3,1356)&gt;0,"Q3",IF(INDEX(BookQ4,1356)&gt;0,"Q4","")))))</f>
        <v/>
      </c>
      <c r="K1361" s="42" t="str">
        <f aca="false">IF(INDEX(BookTitle,1356)="","",INDEX(BookInYear,1356))</f>
        <v/>
      </c>
      <c r="L1361" s="19"/>
      <c r="M1361" s="39"/>
      <c r="N1361" s="19"/>
      <c r="O1361" s="19"/>
      <c r="P1361" s="43" t="str">
        <f aca="false">IF($E1361="","",IF($L1361="Decline",0,IF($L1361="Approve fewer",IF($M1361="","",$M1361),IF($L1361="","",$I1361))))</f>
        <v/>
      </c>
      <c r="Q1361" s="34" t="str">
        <f aca="false">IF($P1361="","",IF($N1361&lt;&gt;"",$N1361,$J1361))</f>
        <v/>
      </c>
      <c r="R1361" s="35" t="str">
        <f aca="false">IF(OR($P1361="",$Q1361=""),"",INDEX(BookRate,1356)*$P1361*(5-MATCH($Q1361,{"Q1";"Q2";"Q3";"Q4"},0))/4+INDEX(BookOneOff,1356)*$P1361)</f>
        <v/>
      </c>
      <c r="S1361" s="35" t="str">
        <f aca="false">IF($P1361="","",INDEX(BookRate,1356)*$P1361)</f>
        <v/>
      </c>
      <c r="T1361" s="35" t="str">
        <f aca="false">IF($R1361="","",$R1361-$K1361)</f>
        <v/>
      </c>
      <c r="U1361" s="35" t="str">
        <f aca="false">IF(N($P1361)&lt;=0,"",COUNTIF($P$6:$P1361,"&gt;0"))</f>
        <v/>
      </c>
    </row>
    <row r="1362" customFormat="false" ht="15" hidden="false" customHeight="false" outlineLevel="0" collapsed="false">
      <c r="A1362" s="40" t="str">
        <f aca="false">IF(INDEX(BookTitle,1357)="","",INDEX(BookGroup,1357))</f>
        <v/>
      </c>
      <c r="B1362" s="40" t="str">
        <f aca="false">IF(INDEX(BookTitle,1357)="","",INDEX(BookRef,1357))</f>
        <v/>
      </c>
      <c r="C1362" s="40" t="str">
        <f aca="false">IF(INDEX(BookTitle,1357)="","",INDEX(BookDivision,1357))</f>
        <v/>
      </c>
      <c r="D1362" s="40" t="str">
        <f aca="false">IF(INDEX(BookTitle,1357)="","",INDEX(BookUnit,1357))</f>
        <v/>
      </c>
      <c r="E1362" s="40" t="str">
        <f aca="false">IF(INDEX(BookTitle,1357)="","",INDEX(BookTitle,1357))</f>
        <v/>
      </c>
      <c r="F1362" s="40" t="str">
        <f aca="false">IF(INDEX(BookTitle,1357)="","",INDEX(BookLevel,1357))</f>
        <v/>
      </c>
      <c r="G1362" s="40" t="str">
        <f aca="false">IF(INDEX(BookTitle,1357)="","",INDEX(BookCategory,1357))</f>
        <v/>
      </c>
      <c r="H1362" s="40" t="str">
        <f aca="false">IF(INDEX(BookTitle,1357)="","",INDEX(BookRank,1357))</f>
        <v/>
      </c>
      <c r="I1362" s="41" t="str">
        <f aca="false">IF(INDEX(BookTitle,1357)="","",INDEX(BookTotal,1357))</f>
        <v/>
      </c>
      <c r="J1362" s="0" t="str">
        <f aca="false">IF($I1362="","",IF(INDEX(BookQ1,1357)&gt;0,"Q1",IF(INDEX(BookQ2,1357)&gt;0,"Q2",IF(INDEX(BookQ3,1357)&gt;0,"Q3",IF(INDEX(BookQ4,1357)&gt;0,"Q4","")))))</f>
        <v/>
      </c>
      <c r="K1362" s="42" t="str">
        <f aca="false">IF(INDEX(BookTitle,1357)="","",INDEX(BookInYear,1357))</f>
        <v/>
      </c>
      <c r="L1362" s="19"/>
      <c r="M1362" s="39"/>
      <c r="N1362" s="19"/>
      <c r="O1362" s="19"/>
      <c r="P1362" s="43" t="str">
        <f aca="false">IF($E1362="","",IF($L1362="Decline",0,IF($L1362="Approve fewer",IF($M1362="","",$M1362),IF($L1362="","",$I1362))))</f>
        <v/>
      </c>
      <c r="Q1362" s="34" t="str">
        <f aca="false">IF($P1362="","",IF($N1362&lt;&gt;"",$N1362,$J1362))</f>
        <v/>
      </c>
      <c r="R1362" s="35" t="str">
        <f aca="false">IF(OR($P1362="",$Q1362=""),"",INDEX(BookRate,1357)*$P1362*(5-MATCH($Q1362,{"Q1";"Q2";"Q3";"Q4"},0))/4+INDEX(BookOneOff,1357)*$P1362)</f>
        <v/>
      </c>
      <c r="S1362" s="35" t="str">
        <f aca="false">IF($P1362="","",INDEX(BookRate,1357)*$P1362)</f>
        <v/>
      </c>
      <c r="T1362" s="35" t="str">
        <f aca="false">IF($R1362="","",$R1362-$K1362)</f>
        <v/>
      </c>
      <c r="U1362" s="35" t="str">
        <f aca="false">IF(N($P1362)&lt;=0,"",COUNTIF($P$6:$P1362,"&gt;0"))</f>
        <v/>
      </c>
    </row>
    <row r="1363" customFormat="false" ht="15" hidden="false" customHeight="false" outlineLevel="0" collapsed="false">
      <c r="A1363" s="40" t="str">
        <f aca="false">IF(INDEX(BookTitle,1358)="","",INDEX(BookGroup,1358))</f>
        <v/>
      </c>
      <c r="B1363" s="40" t="str">
        <f aca="false">IF(INDEX(BookTitle,1358)="","",INDEX(BookRef,1358))</f>
        <v/>
      </c>
      <c r="C1363" s="40" t="str">
        <f aca="false">IF(INDEX(BookTitle,1358)="","",INDEX(BookDivision,1358))</f>
        <v/>
      </c>
      <c r="D1363" s="40" t="str">
        <f aca="false">IF(INDEX(BookTitle,1358)="","",INDEX(BookUnit,1358))</f>
        <v/>
      </c>
      <c r="E1363" s="40" t="str">
        <f aca="false">IF(INDEX(BookTitle,1358)="","",INDEX(BookTitle,1358))</f>
        <v/>
      </c>
      <c r="F1363" s="40" t="str">
        <f aca="false">IF(INDEX(BookTitle,1358)="","",INDEX(BookLevel,1358))</f>
        <v/>
      </c>
      <c r="G1363" s="40" t="str">
        <f aca="false">IF(INDEX(BookTitle,1358)="","",INDEX(BookCategory,1358))</f>
        <v/>
      </c>
      <c r="H1363" s="40" t="str">
        <f aca="false">IF(INDEX(BookTitle,1358)="","",INDEX(BookRank,1358))</f>
        <v/>
      </c>
      <c r="I1363" s="41" t="str">
        <f aca="false">IF(INDEX(BookTitle,1358)="","",INDEX(BookTotal,1358))</f>
        <v/>
      </c>
      <c r="J1363" s="0" t="str">
        <f aca="false">IF($I1363="","",IF(INDEX(BookQ1,1358)&gt;0,"Q1",IF(INDEX(BookQ2,1358)&gt;0,"Q2",IF(INDEX(BookQ3,1358)&gt;0,"Q3",IF(INDEX(BookQ4,1358)&gt;0,"Q4","")))))</f>
        <v/>
      </c>
      <c r="K1363" s="42" t="str">
        <f aca="false">IF(INDEX(BookTitle,1358)="","",INDEX(BookInYear,1358))</f>
        <v/>
      </c>
      <c r="L1363" s="19"/>
      <c r="M1363" s="39"/>
      <c r="N1363" s="19"/>
      <c r="O1363" s="19"/>
      <c r="P1363" s="43" t="str">
        <f aca="false">IF($E1363="","",IF($L1363="Decline",0,IF($L1363="Approve fewer",IF($M1363="","",$M1363),IF($L1363="","",$I1363))))</f>
        <v/>
      </c>
      <c r="Q1363" s="34" t="str">
        <f aca="false">IF($P1363="","",IF($N1363&lt;&gt;"",$N1363,$J1363))</f>
        <v/>
      </c>
      <c r="R1363" s="35" t="str">
        <f aca="false">IF(OR($P1363="",$Q1363=""),"",INDEX(BookRate,1358)*$P1363*(5-MATCH($Q1363,{"Q1";"Q2";"Q3";"Q4"},0))/4+INDEX(BookOneOff,1358)*$P1363)</f>
        <v/>
      </c>
      <c r="S1363" s="35" t="str">
        <f aca="false">IF($P1363="","",INDEX(BookRate,1358)*$P1363)</f>
        <v/>
      </c>
      <c r="T1363" s="35" t="str">
        <f aca="false">IF($R1363="","",$R1363-$K1363)</f>
        <v/>
      </c>
      <c r="U1363" s="35" t="str">
        <f aca="false">IF(N($P1363)&lt;=0,"",COUNTIF($P$6:$P1363,"&gt;0"))</f>
        <v/>
      </c>
    </row>
    <row r="1364" customFormat="false" ht="15" hidden="false" customHeight="false" outlineLevel="0" collapsed="false">
      <c r="A1364" s="40" t="str">
        <f aca="false">IF(INDEX(BookTitle,1359)="","",INDEX(BookGroup,1359))</f>
        <v/>
      </c>
      <c r="B1364" s="40" t="str">
        <f aca="false">IF(INDEX(BookTitle,1359)="","",INDEX(BookRef,1359))</f>
        <v/>
      </c>
      <c r="C1364" s="40" t="str">
        <f aca="false">IF(INDEX(BookTitle,1359)="","",INDEX(BookDivision,1359))</f>
        <v/>
      </c>
      <c r="D1364" s="40" t="str">
        <f aca="false">IF(INDEX(BookTitle,1359)="","",INDEX(BookUnit,1359))</f>
        <v/>
      </c>
      <c r="E1364" s="40" t="str">
        <f aca="false">IF(INDEX(BookTitle,1359)="","",INDEX(BookTitle,1359))</f>
        <v/>
      </c>
      <c r="F1364" s="40" t="str">
        <f aca="false">IF(INDEX(BookTitle,1359)="","",INDEX(BookLevel,1359))</f>
        <v/>
      </c>
      <c r="G1364" s="40" t="str">
        <f aca="false">IF(INDEX(BookTitle,1359)="","",INDEX(BookCategory,1359))</f>
        <v/>
      </c>
      <c r="H1364" s="40" t="str">
        <f aca="false">IF(INDEX(BookTitle,1359)="","",INDEX(BookRank,1359))</f>
        <v/>
      </c>
      <c r="I1364" s="41" t="str">
        <f aca="false">IF(INDEX(BookTitle,1359)="","",INDEX(BookTotal,1359))</f>
        <v/>
      </c>
      <c r="J1364" s="0" t="str">
        <f aca="false">IF($I1364="","",IF(INDEX(BookQ1,1359)&gt;0,"Q1",IF(INDEX(BookQ2,1359)&gt;0,"Q2",IF(INDEX(BookQ3,1359)&gt;0,"Q3",IF(INDEX(BookQ4,1359)&gt;0,"Q4","")))))</f>
        <v/>
      </c>
      <c r="K1364" s="42" t="str">
        <f aca="false">IF(INDEX(BookTitle,1359)="","",INDEX(BookInYear,1359))</f>
        <v/>
      </c>
      <c r="L1364" s="19"/>
      <c r="M1364" s="39"/>
      <c r="N1364" s="19"/>
      <c r="O1364" s="19"/>
      <c r="P1364" s="43" t="str">
        <f aca="false">IF($E1364="","",IF($L1364="Decline",0,IF($L1364="Approve fewer",IF($M1364="","",$M1364),IF($L1364="","",$I1364))))</f>
        <v/>
      </c>
      <c r="Q1364" s="34" t="str">
        <f aca="false">IF($P1364="","",IF($N1364&lt;&gt;"",$N1364,$J1364))</f>
        <v/>
      </c>
      <c r="R1364" s="35" t="str">
        <f aca="false">IF(OR($P1364="",$Q1364=""),"",INDEX(BookRate,1359)*$P1364*(5-MATCH($Q1364,{"Q1";"Q2";"Q3";"Q4"},0))/4+INDEX(BookOneOff,1359)*$P1364)</f>
        <v/>
      </c>
      <c r="S1364" s="35" t="str">
        <f aca="false">IF($P1364="","",INDEX(BookRate,1359)*$P1364)</f>
        <v/>
      </c>
      <c r="T1364" s="35" t="str">
        <f aca="false">IF($R1364="","",$R1364-$K1364)</f>
        <v/>
      </c>
      <c r="U1364" s="35" t="str">
        <f aca="false">IF(N($P1364)&lt;=0,"",COUNTIF($P$6:$P1364,"&gt;0"))</f>
        <v/>
      </c>
    </row>
    <row r="1365" customFormat="false" ht="15" hidden="false" customHeight="false" outlineLevel="0" collapsed="false">
      <c r="A1365" s="40" t="str">
        <f aca="false">IF(INDEX(BookTitle,1360)="","",INDEX(BookGroup,1360))</f>
        <v/>
      </c>
      <c r="B1365" s="40" t="str">
        <f aca="false">IF(INDEX(BookTitle,1360)="","",INDEX(BookRef,1360))</f>
        <v/>
      </c>
      <c r="C1365" s="40" t="str">
        <f aca="false">IF(INDEX(BookTitle,1360)="","",INDEX(BookDivision,1360))</f>
        <v/>
      </c>
      <c r="D1365" s="40" t="str">
        <f aca="false">IF(INDEX(BookTitle,1360)="","",INDEX(BookUnit,1360))</f>
        <v/>
      </c>
      <c r="E1365" s="40" t="str">
        <f aca="false">IF(INDEX(BookTitle,1360)="","",INDEX(BookTitle,1360))</f>
        <v/>
      </c>
      <c r="F1365" s="40" t="str">
        <f aca="false">IF(INDEX(BookTitle,1360)="","",INDEX(BookLevel,1360))</f>
        <v/>
      </c>
      <c r="G1365" s="40" t="str">
        <f aca="false">IF(INDEX(BookTitle,1360)="","",INDEX(BookCategory,1360))</f>
        <v/>
      </c>
      <c r="H1365" s="40" t="str">
        <f aca="false">IF(INDEX(BookTitle,1360)="","",INDEX(BookRank,1360))</f>
        <v/>
      </c>
      <c r="I1365" s="41" t="str">
        <f aca="false">IF(INDEX(BookTitle,1360)="","",INDEX(BookTotal,1360))</f>
        <v/>
      </c>
      <c r="J1365" s="0" t="str">
        <f aca="false">IF($I1365="","",IF(INDEX(BookQ1,1360)&gt;0,"Q1",IF(INDEX(BookQ2,1360)&gt;0,"Q2",IF(INDEX(BookQ3,1360)&gt;0,"Q3",IF(INDEX(BookQ4,1360)&gt;0,"Q4","")))))</f>
        <v/>
      </c>
      <c r="K1365" s="42" t="str">
        <f aca="false">IF(INDEX(BookTitle,1360)="","",INDEX(BookInYear,1360))</f>
        <v/>
      </c>
      <c r="L1365" s="19"/>
      <c r="M1365" s="39"/>
      <c r="N1365" s="19"/>
      <c r="O1365" s="19"/>
      <c r="P1365" s="43" t="str">
        <f aca="false">IF($E1365="","",IF($L1365="Decline",0,IF($L1365="Approve fewer",IF($M1365="","",$M1365),IF($L1365="","",$I1365))))</f>
        <v/>
      </c>
      <c r="Q1365" s="34" t="str">
        <f aca="false">IF($P1365="","",IF($N1365&lt;&gt;"",$N1365,$J1365))</f>
        <v/>
      </c>
      <c r="R1365" s="35" t="str">
        <f aca="false">IF(OR($P1365="",$Q1365=""),"",INDEX(BookRate,1360)*$P1365*(5-MATCH($Q1365,{"Q1";"Q2";"Q3";"Q4"},0))/4+INDEX(BookOneOff,1360)*$P1365)</f>
        <v/>
      </c>
      <c r="S1365" s="35" t="str">
        <f aca="false">IF($P1365="","",INDEX(BookRate,1360)*$P1365)</f>
        <v/>
      </c>
      <c r="T1365" s="35" t="str">
        <f aca="false">IF($R1365="","",$R1365-$K1365)</f>
        <v/>
      </c>
      <c r="U1365" s="35" t="str">
        <f aca="false">IF(N($P1365)&lt;=0,"",COUNTIF($P$6:$P1365,"&gt;0"))</f>
        <v/>
      </c>
    </row>
    <row r="1366" customFormat="false" ht="15" hidden="false" customHeight="false" outlineLevel="0" collapsed="false">
      <c r="A1366" s="40" t="str">
        <f aca="false">IF(INDEX(BookTitle,1361)="","",INDEX(BookGroup,1361))</f>
        <v/>
      </c>
      <c r="B1366" s="40" t="str">
        <f aca="false">IF(INDEX(BookTitle,1361)="","",INDEX(BookRef,1361))</f>
        <v/>
      </c>
      <c r="C1366" s="40" t="str">
        <f aca="false">IF(INDEX(BookTitle,1361)="","",INDEX(BookDivision,1361))</f>
        <v/>
      </c>
      <c r="D1366" s="40" t="str">
        <f aca="false">IF(INDEX(BookTitle,1361)="","",INDEX(BookUnit,1361))</f>
        <v/>
      </c>
      <c r="E1366" s="40" t="str">
        <f aca="false">IF(INDEX(BookTitle,1361)="","",INDEX(BookTitle,1361))</f>
        <v/>
      </c>
      <c r="F1366" s="40" t="str">
        <f aca="false">IF(INDEX(BookTitle,1361)="","",INDEX(BookLevel,1361))</f>
        <v/>
      </c>
      <c r="G1366" s="40" t="str">
        <f aca="false">IF(INDEX(BookTitle,1361)="","",INDEX(BookCategory,1361))</f>
        <v/>
      </c>
      <c r="H1366" s="40" t="str">
        <f aca="false">IF(INDEX(BookTitle,1361)="","",INDEX(BookRank,1361))</f>
        <v/>
      </c>
      <c r="I1366" s="41" t="str">
        <f aca="false">IF(INDEX(BookTitle,1361)="","",INDEX(BookTotal,1361))</f>
        <v/>
      </c>
      <c r="J1366" s="0" t="str">
        <f aca="false">IF($I1366="","",IF(INDEX(BookQ1,1361)&gt;0,"Q1",IF(INDEX(BookQ2,1361)&gt;0,"Q2",IF(INDEX(BookQ3,1361)&gt;0,"Q3",IF(INDEX(BookQ4,1361)&gt;0,"Q4","")))))</f>
        <v/>
      </c>
      <c r="K1366" s="42" t="str">
        <f aca="false">IF(INDEX(BookTitle,1361)="","",INDEX(BookInYear,1361))</f>
        <v/>
      </c>
      <c r="L1366" s="19"/>
      <c r="M1366" s="39"/>
      <c r="N1366" s="19"/>
      <c r="O1366" s="19"/>
      <c r="P1366" s="43" t="str">
        <f aca="false">IF($E1366="","",IF($L1366="Decline",0,IF($L1366="Approve fewer",IF($M1366="","",$M1366),IF($L1366="","",$I1366))))</f>
        <v/>
      </c>
      <c r="Q1366" s="34" t="str">
        <f aca="false">IF($P1366="","",IF($N1366&lt;&gt;"",$N1366,$J1366))</f>
        <v/>
      </c>
      <c r="R1366" s="35" t="str">
        <f aca="false">IF(OR($P1366="",$Q1366=""),"",INDEX(BookRate,1361)*$P1366*(5-MATCH($Q1366,{"Q1";"Q2";"Q3";"Q4"},0))/4+INDEX(BookOneOff,1361)*$P1366)</f>
        <v/>
      </c>
      <c r="S1366" s="35" t="str">
        <f aca="false">IF($P1366="","",INDEX(BookRate,1361)*$P1366)</f>
        <v/>
      </c>
      <c r="T1366" s="35" t="str">
        <f aca="false">IF($R1366="","",$R1366-$K1366)</f>
        <v/>
      </c>
      <c r="U1366" s="35" t="str">
        <f aca="false">IF(N($P1366)&lt;=0,"",COUNTIF($P$6:$P1366,"&gt;0"))</f>
        <v/>
      </c>
    </row>
    <row r="1367" customFormat="false" ht="15" hidden="false" customHeight="false" outlineLevel="0" collapsed="false">
      <c r="A1367" s="40" t="str">
        <f aca="false">IF(INDEX(BookTitle,1362)="","",INDEX(BookGroup,1362))</f>
        <v/>
      </c>
      <c r="B1367" s="40" t="str">
        <f aca="false">IF(INDEX(BookTitle,1362)="","",INDEX(BookRef,1362))</f>
        <v/>
      </c>
      <c r="C1367" s="40" t="str">
        <f aca="false">IF(INDEX(BookTitle,1362)="","",INDEX(BookDivision,1362))</f>
        <v/>
      </c>
      <c r="D1367" s="40" t="str">
        <f aca="false">IF(INDEX(BookTitle,1362)="","",INDEX(BookUnit,1362))</f>
        <v/>
      </c>
      <c r="E1367" s="40" t="str">
        <f aca="false">IF(INDEX(BookTitle,1362)="","",INDEX(BookTitle,1362))</f>
        <v/>
      </c>
      <c r="F1367" s="40" t="str">
        <f aca="false">IF(INDEX(BookTitle,1362)="","",INDEX(BookLevel,1362))</f>
        <v/>
      </c>
      <c r="G1367" s="40" t="str">
        <f aca="false">IF(INDEX(BookTitle,1362)="","",INDEX(BookCategory,1362))</f>
        <v/>
      </c>
      <c r="H1367" s="40" t="str">
        <f aca="false">IF(INDEX(BookTitle,1362)="","",INDEX(BookRank,1362))</f>
        <v/>
      </c>
      <c r="I1367" s="41" t="str">
        <f aca="false">IF(INDEX(BookTitle,1362)="","",INDEX(BookTotal,1362))</f>
        <v/>
      </c>
      <c r="J1367" s="0" t="str">
        <f aca="false">IF($I1367="","",IF(INDEX(BookQ1,1362)&gt;0,"Q1",IF(INDEX(BookQ2,1362)&gt;0,"Q2",IF(INDEX(BookQ3,1362)&gt;0,"Q3",IF(INDEX(BookQ4,1362)&gt;0,"Q4","")))))</f>
        <v/>
      </c>
      <c r="K1367" s="42" t="str">
        <f aca="false">IF(INDEX(BookTitle,1362)="","",INDEX(BookInYear,1362))</f>
        <v/>
      </c>
      <c r="L1367" s="19"/>
      <c r="M1367" s="39"/>
      <c r="N1367" s="19"/>
      <c r="O1367" s="19"/>
      <c r="P1367" s="43" t="str">
        <f aca="false">IF($E1367="","",IF($L1367="Decline",0,IF($L1367="Approve fewer",IF($M1367="","",$M1367),IF($L1367="","",$I1367))))</f>
        <v/>
      </c>
      <c r="Q1367" s="34" t="str">
        <f aca="false">IF($P1367="","",IF($N1367&lt;&gt;"",$N1367,$J1367))</f>
        <v/>
      </c>
      <c r="R1367" s="35" t="str">
        <f aca="false">IF(OR($P1367="",$Q1367=""),"",INDEX(BookRate,1362)*$P1367*(5-MATCH($Q1367,{"Q1";"Q2";"Q3";"Q4"},0))/4+INDEX(BookOneOff,1362)*$P1367)</f>
        <v/>
      </c>
      <c r="S1367" s="35" t="str">
        <f aca="false">IF($P1367="","",INDEX(BookRate,1362)*$P1367)</f>
        <v/>
      </c>
      <c r="T1367" s="35" t="str">
        <f aca="false">IF($R1367="","",$R1367-$K1367)</f>
        <v/>
      </c>
      <c r="U1367" s="35" t="str">
        <f aca="false">IF(N($P1367)&lt;=0,"",COUNTIF($P$6:$P1367,"&gt;0"))</f>
        <v/>
      </c>
    </row>
    <row r="1368" customFormat="false" ht="15" hidden="false" customHeight="false" outlineLevel="0" collapsed="false">
      <c r="A1368" s="40" t="str">
        <f aca="false">IF(INDEX(BookTitle,1363)="","",INDEX(BookGroup,1363))</f>
        <v/>
      </c>
      <c r="B1368" s="40" t="str">
        <f aca="false">IF(INDEX(BookTitle,1363)="","",INDEX(BookRef,1363))</f>
        <v/>
      </c>
      <c r="C1368" s="40" t="str">
        <f aca="false">IF(INDEX(BookTitle,1363)="","",INDEX(BookDivision,1363))</f>
        <v/>
      </c>
      <c r="D1368" s="40" t="str">
        <f aca="false">IF(INDEX(BookTitle,1363)="","",INDEX(BookUnit,1363))</f>
        <v/>
      </c>
      <c r="E1368" s="40" t="str">
        <f aca="false">IF(INDEX(BookTitle,1363)="","",INDEX(BookTitle,1363))</f>
        <v/>
      </c>
      <c r="F1368" s="40" t="str">
        <f aca="false">IF(INDEX(BookTitle,1363)="","",INDEX(BookLevel,1363))</f>
        <v/>
      </c>
      <c r="G1368" s="40" t="str">
        <f aca="false">IF(INDEX(BookTitle,1363)="","",INDEX(BookCategory,1363))</f>
        <v/>
      </c>
      <c r="H1368" s="40" t="str">
        <f aca="false">IF(INDEX(BookTitle,1363)="","",INDEX(BookRank,1363))</f>
        <v/>
      </c>
      <c r="I1368" s="41" t="str">
        <f aca="false">IF(INDEX(BookTitle,1363)="","",INDEX(BookTotal,1363))</f>
        <v/>
      </c>
      <c r="J1368" s="0" t="str">
        <f aca="false">IF($I1368="","",IF(INDEX(BookQ1,1363)&gt;0,"Q1",IF(INDEX(BookQ2,1363)&gt;0,"Q2",IF(INDEX(BookQ3,1363)&gt;0,"Q3",IF(INDEX(BookQ4,1363)&gt;0,"Q4","")))))</f>
        <v/>
      </c>
      <c r="K1368" s="42" t="str">
        <f aca="false">IF(INDEX(BookTitle,1363)="","",INDEX(BookInYear,1363))</f>
        <v/>
      </c>
      <c r="L1368" s="19"/>
      <c r="M1368" s="39"/>
      <c r="N1368" s="19"/>
      <c r="O1368" s="19"/>
      <c r="P1368" s="43" t="str">
        <f aca="false">IF($E1368="","",IF($L1368="Decline",0,IF($L1368="Approve fewer",IF($M1368="","",$M1368),IF($L1368="","",$I1368))))</f>
        <v/>
      </c>
      <c r="Q1368" s="34" t="str">
        <f aca="false">IF($P1368="","",IF($N1368&lt;&gt;"",$N1368,$J1368))</f>
        <v/>
      </c>
      <c r="R1368" s="35" t="str">
        <f aca="false">IF(OR($P1368="",$Q1368=""),"",INDEX(BookRate,1363)*$P1368*(5-MATCH($Q1368,{"Q1";"Q2";"Q3";"Q4"},0))/4+INDEX(BookOneOff,1363)*$P1368)</f>
        <v/>
      </c>
      <c r="S1368" s="35" t="str">
        <f aca="false">IF($P1368="","",INDEX(BookRate,1363)*$P1368)</f>
        <v/>
      </c>
      <c r="T1368" s="35" t="str">
        <f aca="false">IF($R1368="","",$R1368-$K1368)</f>
        <v/>
      </c>
      <c r="U1368" s="35" t="str">
        <f aca="false">IF(N($P1368)&lt;=0,"",COUNTIF($P$6:$P1368,"&gt;0"))</f>
        <v/>
      </c>
    </row>
    <row r="1369" customFormat="false" ht="15" hidden="false" customHeight="false" outlineLevel="0" collapsed="false">
      <c r="A1369" s="40" t="str">
        <f aca="false">IF(INDEX(BookTitle,1364)="","",INDEX(BookGroup,1364))</f>
        <v/>
      </c>
      <c r="B1369" s="40" t="str">
        <f aca="false">IF(INDEX(BookTitle,1364)="","",INDEX(BookRef,1364))</f>
        <v/>
      </c>
      <c r="C1369" s="40" t="str">
        <f aca="false">IF(INDEX(BookTitle,1364)="","",INDEX(BookDivision,1364))</f>
        <v/>
      </c>
      <c r="D1369" s="40" t="str">
        <f aca="false">IF(INDEX(BookTitle,1364)="","",INDEX(BookUnit,1364))</f>
        <v/>
      </c>
      <c r="E1369" s="40" t="str">
        <f aca="false">IF(INDEX(BookTitle,1364)="","",INDEX(BookTitle,1364))</f>
        <v/>
      </c>
      <c r="F1369" s="40" t="str">
        <f aca="false">IF(INDEX(BookTitle,1364)="","",INDEX(BookLevel,1364))</f>
        <v/>
      </c>
      <c r="G1369" s="40" t="str">
        <f aca="false">IF(INDEX(BookTitle,1364)="","",INDEX(BookCategory,1364))</f>
        <v/>
      </c>
      <c r="H1369" s="40" t="str">
        <f aca="false">IF(INDEX(BookTitle,1364)="","",INDEX(BookRank,1364))</f>
        <v/>
      </c>
      <c r="I1369" s="41" t="str">
        <f aca="false">IF(INDEX(BookTitle,1364)="","",INDEX(BookTotal,1364))</f>
        <v/>
      </c>
      <c r="J1369" s="0" t="str">
        <f aca="false">IF($I1369="","",IF(INDEX(BookQ1,1364)&gt;0,"Q1",IF(INDEX(BookQ2,1364)&gt;0,"Q2",IF(INDEX(BookQ3,1364)&gt;0,"Q3",IF(INDEX(BookQ4,1364)&gt;0,"Q4","")))))</f>
        <v/>
      </c>
      <c r="K1369" s="42" t="str">
        <f aca="false">IF(INDEX(BookTitle,1364)="","",INDEX(BookInYear,1364))</f>
        <v/>
      </c>
      <c r="L1369" s="19"/>
      <c r="M1369" s="39"/>
      <c r="N1369" s="19"/>
      <c r="O1369" s="19"/>
      <c r="P1369" s="43" t="str">
        <f aca="false">IF($E1369="","",IF($L1369="Decline",0,IF($L1369="Approve fewer",IF($M1369="","",$M1369),IF($L1369="","",$I1369))))</f>
        <v/>
      </c>
      <c r="Q1369" s="34" t="str">
        <f aca="false">IF($P1369="","",IF($N1369&lt;&gt;"",$N1369,$J1369))</f>
        <v/>
      </c>
      <c r="R1369" s="35" t="str">
        <f aca="false">IF(OR($P1369="",$Q1369=""),"",INDEX(BookRate,1364)*$P1369*(5-MATCH($Q1369,{"Q1";"Q2";"Q3";"Q4"},0))/4+INDEX(BookOneOff,1364)*$P1369)</f>
        <v/>
      </c>
      <c r="S1369" s="35" t="str">
        <f aca="false">IF($P1369="","",INDEX(BookRate,1364)*$P1369)</f>
        <v/>
      </c>
      <c r="T1369" s="35" t="str">
        <f aca="false">IF($R1369="","",$R1369-$K1369)</f>
        <v/>
      </c>
      <c r="U1369" s="35" t="str">
        <f aca="false">IF(N($P1369)&lt;=0,"",COUNTIF($P$6:$P1369,"&gt;0"))</f>
        <v/>
      </c>
    </row>
    <row r="1370" customFormat="false" ht="15" hidden="false" customHeight="false" outlineLevel="0" collapsed="false">
      <c r="A1370" s="40" t="str">
        <f aca="false">IF(INDEX(BookTitle,1365)="","",INDEX(BookGroup,1365))</f>
        <v/>
      </c>
      <c r="B1370" s="40" t="str">
        <f aca="false">IF(INDEX(BookTitle,1365)="","",INDEX(BookRef,1365))</f>
        <v/>
      </c>
      <c r="C1370" s="40" t="str">
        <f aca="false">IF(INDEX(BookTitle,1365)="","",INDEX(BookDivision,1365))</f>
        <v/>
      </c>
      <c r="D1370" s="40" t="str">
        <f aca="false">IF(INDEX(BookTitle,1365)="","",INDEX(BookUnit,1365))</f>
        <v/>
      </c>
      <c r="E1370" s="40" t="str">
        <f aca="false">IF(INDEX(BookTitle,1365)="","",INDEX(BookTitle,1365))</f>
        <v/>
      </c>
      <c r="F1370" s="40" t="str">
        <f aca="false">IF(INDEX(BookTitle,1365)="","",INDEX(BookLevel,1365))</f>
        <v/>
      </c>
      <c r="G1370" s="40" t="str">
        <f aca="false">IF(INDEX(BookTitle,1365)="","",INDEX(BookCategory,1365))</f>
        <v/>
      </c>
      <c r="H1370" s="40" t="str">
        <f aca="false">IF(INDEX(BookTitle,1365)="","",INDEX(BookRank,1365))</f>
        <v/>
      </c>
      <c r="I1370" s="41" t="str">
        <f aca="false">IF(INDEX(BookTitle,1365)="","",INDEX(BookTotal,1365))</f>
        <v/>
      </c>
      <c r="J1370" s="0" t="str">
        <f aca="false">IF($I1370="","",IF(INDEX(BookQ1,1365)&gt;0,"Q1",IF(INDEX(BookQ2,1365)&gt;0,"Q2",IF(INDEX(BookQ3,1365)&gt;0,"Q3",IF(INDEX(BookQ4,1365)&gt;0,"Q4","")))))</f>
        <v/>
      </c>
      <c r="K1370" s="42" t="str">
        <f aca="false">IF(INDEX(BookTitle,1365)="","",INDEX(BookInYear,1365))</f>
        <v/>
      </c>
      <c r="L1370" s="19"/>
      <c r="M1370" s="39"/>
      <c r="N1370" s="19"/>
      <c r="O1370" s="19"/>
      <c r="P1370" s="43" t="str">
        <f aca="false">IF($E1370="","",IF($L1370="Decline",0,IF($L1370="Approve fewer",IF($M1370="","",$M1370),IF($L1370="","",$I1370))))</f>
        <v/>
      </c>
      <c r="Q1370" s="34" t="str">
        <f aca="false">IF($P1370="","",IF($N1370&lt;&gt;"",$N1370,$J1370))</f>
        <v/>
      </c>
      <c r="R1370" s="35" t="str">
        <f aca="false">IF(OR($P1370="",$Q1370=""),"",INDEX(BookRate,1365)*$P1370*(5-MATCH($Q1370,{"Q1";"Q2";"Q3";"Q4"},0))/4+INDEX(BookOneOff,1365)*$P1370)</f>
        <v/>
      </c>
      <c r="S1370" s="35" t="str">
        <f aca="false">IF($P1370="","",INDEX(BookRate,1365)*$P1370)</f>
        <v/>
      </c>
      <c r="T1370" s="35" t="str">
        <f aca="false">IF($R1370="","",$R1370-$K1370)</f>
        <v/>
      </c>
      <c r="U1370" s="35" t="str">
        <f aca="false">IF(N($P1370)&lt;=0,"",COUNTIF($P$6:$P1370,"&gt;0"))</f>
        <v/>
      </c>
    </row>
    <row r="1371" customFormat="false" ht="15" hidden="false" customHeight="false" outlineLevel="0" collapsed="false">
      <c r="A1371" s="40" t="str">
        <f aca="false">IF(INDEX(BookTitle,1366)="","",INDEX(BookGroup,1366))</f>
        <v/>
      </c>
      <c r="B1371" s="40" t="str">
        <f aca="false">IF(INDEX(BookTitle,1366)="","",INDEX(BookRef,1366))</f>
        <v/>
      </c>
      <c r="C1371" s="40" t="str">
        <f aca="false">IF(INDEX(BookTitle,1366)="","",INDEX(BookDivision,1366))</f>
        <v/>
      </c>
      <c r="D1371" s="40" t="str">
        <f aca="false">IF(INDEX(BookTitle,1366)="","",INDEX(BookUnit,1366))</f>
        <v/>
      </c>
      <c r="E1371" s="40" t="str">
        <f aca="false">IF(INDEX(BookTitle,1366)="","",INDEX(BookTitle,1366))</f>
        <v/>
      </c>
      <c r="F1371" s="40" t="str">
        <f aca="false">IF(INDEX(BookTitle,1366)="","",INDEX(BookLevel,1366))</f>
        <v/>
      </c>
      <c r="G1371" s="40" t="str">
        <f aca="false">IF(INDEX(BookTitle,1366)="","",INDEX(BookCategory,1366))</f>
        <v/>
      </c>
      <c r="H1371" s="40" t="str">
        <f aca="false">IF(INDEX(BookTitle,1366)="","",INDEX(BookRank,1366))</f>
        <v/>
      </c>
      <c r="I1371" s="41" t="str">
        <f aca="false">IF(INDEX(BookTitle,1366)="","",INDEX(BookTotal,1366))</f>
        <v/>
      </c>
      <c r="J1371" s="0" t="str">
        <f aca="false">IF($I1371="","",IF(INDEX(BookQ1,1366)&gt;0,"Q1",IF(INDEX(BookQ2,1366)&gt;0,"Q2",IF(INDEX(BookQ3,1366)&gt;0,"Q3",IF(INDEX(BookQ4,1366)&gt;0,"Q4","")))))</f>
        <v/>
      </c>
      <c r="K1371" s="42" t="str">
        <f aca="false">IF(INDEX(BookTitle,1366)="","",INDEX(BookInYear,1366))</f>
        <v/>
      </c>
      <c r="L1371" s="19"/>
      <c r="M1371" s="39"/>
      <c r="N1371" s="19"/>
      <c r="O1371" s="19"/>
      <c r="P1371" s="43" t="str">
        <f aca="false">IF($E1371="","",IF($L1371="Decline",0,IF($L1371="Approve fewer",IF($M1371="","",$M1371),IF($L1371="","",$I1371))))</f>
        <v/>
      </c>
      <c r="Q1371" s="34" t="str">
        <f aca="false">IF($P1371="","",IF($N1371&lt;&gt;"",$N1371,$J1371))</f>
        <v/>
      </c>
      <c r="R1371" s="35" t="str">
        <f aca="false">IF(OR($P1371="",$Q1371=""),"",INDEX(BookRate,1366)*$P1371*(5-MATCH($Q1371,{"Q1";"Q2";"Q3";"Q4"},0))/4+INDEX(BookOneOff,1366)*$P1371)</f>
        <v/>
      </c>
      <c r="S1371" s="35" t="str">
        <f aca="false">IF($P1371="","",INDEX(BookRate,1366)*$P1371)</f>
        <v/>
      </c>
      <c r="T1371" s="35" t="str">
        <f aca="false">IF($R1371="","",$R1371-$K1371)</f>
        <v/>
      </c>
      <c r="U1371" s="35" t="str">
        <f aca="false">IF(N($P1371)&lt;=0,"",COUNTIF($P$6:$P1371,"&gt;0"))</f>
        <v/>
      </c>
    </row>
    <row r="1372" customFormat="false" ht="15" hidden="false" customHeight="false" outlineLevel="0" collapsed="false">
      <c r="A1372" s="40" t="str">
        <f aca="false">IF(INDEX(BookTitle,1367)="","",INDEX(BookGroup,1367))</f>
        <v/>
      </c>
      <c r="B1372" s="40" t="str">
        <f aca="false">IF(INDEX(BookTitle,1367)="","",INDEX(BookRef,1367))</f>
        <v/>
      </c>
      <c r="C1372" s="40" t="str">
        <f aca="false">IF(INDEX(BookTitle,1367)="","",INDEX(BookDivision,1367))</f>
        <v/>
      </c>
      <c r="D1372" s="40" t="str">
        <f aca="false">IF(INDEX(BookTitle,1367)="","",INDEX(BookUnit,1367))</f>
        <v/>
      </c>
      <c r="E1372" s="40" t="str">
        <f aca="false">IF(INDEX(BookTitle,1367)="","",INDEX(BookTitle,1367))</f>
        <v/>
      </c>
      <c r="F1372" s="40" t="str">
        <f aca="false">IF(INDEX(BookTitle,1367)="","",INDEX(BookLevel,1367))</f>
        <v/>
      </c>
      <c r="G1372" s="40" t="str">
        <f aca="false">IF(INDEX(BookTitle,1367)="","",INDEX(BookCategory,1367))</f>
        <v/>
      </c>
      <c r="H1372" s="40" t="str">
        <f aca="false">IF(INDEX(BookTitle,1367)="","",INDEX(BookRank,1367))</f>
        <v/>
      </c>
      <c r="I1372" s="41" t="str">
        <f aca="false">IF(INDEX(BookTitle,1367)="","",INDEX(BookTotal,1367))</f>
        <v/>
      </c>
      <c r="J1372" s="0" t="str">
        <f aca="false">IF($I1372="","",IF(INDEX(BookQ1,1367)&gt;0,"Q1",IF(INDEX(BookQ2,1367)&gt;0,"Q2",IF(INDEX(BookQ3,1367)&gt;0,"Q3",IF(INDEX(BookQ4,1367)&gt;0,"Q4","")))))</f>
        <v/>
      </c>
      <c r="K1372" s="42" t="str">
        <f aca="false">IF(INDEX(BookTitle,1367)="","",INDEX(BookInYear,1367))</f>
        <v/>
      </c>
      <c r="L1372" s="19"/>
      <c r="M1372" s="39"/>
      <c r="N1372" s="19"/>
      <c r="O1372" s="19"/>
      <c r="P1372" s="43" t="str">
        <f aca="false">IF($E1372="","",IF($L1372="Decline",0,IF($L1372="Approve fewer",IF($M1372="","",$M1372),IF($L1372="","",$I1372))))</f>
        <v/>
      </c>
      <c r="Q1372" s="34" t="str">
        <f aca="false">IF($P1372="","",IF($N1372&lt;&gt;"",$N1372,$J1372))</f>
        <v/>
      </c>
      <c r="R1372" s="35" t="str">
        <f aca="false">IF(OR($P1372="",$Q1372=""),"",INDEX(BookRate,1367)*$P1372*(5-MATCH($Q1372,{"Q1";"Q2";"Q3";"Q4"},0))/4+INDEX(BookOneOff,1367)*$P1372)</f>
        <v/>
      </c>
      <c r="S1372" s="35" t="str">
        <f aca="false">IF($P1372="","",INDEX(BookRate,1367)*$P1372)</f>
        <v/>
      </c>
      <c r="T1372" s="35" t="str">
        <f aca="false">IF($R1372="","",$R1372-$K1372)</f>
        <v/>
      </c>
      <c r="U1372" s="35" t="str">
        <f aca="false">IF(N($P1372)&lt;=0,"",COUNTIF($P$6:$P1372,"&gt;0"))</f>
        <v/>
      </c>
    </row>
    <row r="1373" customFormat="false" ht="15" hidden="false" customHeight="false" outlineLevel="0" collapsed="false">
      <c r="A1373" s="40" t="str">
        <f aca="false">IF(INDEX(BookTitle,1368)="","",INDEX(BookGroup,1368))</f>
        <v/>
      </c>
      <c r="B1373" s="40" t="str">
        <f aca="false">IF(INDEX(BookTitle,1368)="","",INDEX(BookRef,1368))</f>
        <v/>
      </c>
      <c r="C1373" s="40" t="str">
        <f aca="false">IF(INDEX(BookTitle,1368)="","",INDEX(BookDivision,1368))</f>
        <v/>
      </c>
      <c r="D1373" s="40" t="str">
        <f aca="false">IF(INDEX(BookTitle,1368)="","",INDEX(BookUnit,1368))</f>
        <v/>
      </c>
      <c r="E1373" s="40" t="str">
        <f aca="false">IF(INDEX(BookTitle,1368)="","",INDEX(BookTitle,1368))</f>
        <v/>
      </c>
      <c r="F1373" s="40" t="str">
        <f aca="false">IF(INDEX(BookTitle,1368)="","",INDEX(BookLevel,1368))</f>
        <v/>
      </c>
      <c r="G1373" s="40" t="str">
        <f aca="false">IF(INDEX(BookTitle,1368)="","",INDEX(BookCategory,1368))</f>
        <v/>
      </c>
      <c r="H1373" s="40" t="str">
        <f aca="false">IF(INDEX(BookTitle,1368)="","",INDEX(BookRank,1368))</f>
        <v/>
      </c>
      <c r="I1373" s="41" t="str">
        <f aca="false">IF(INDEX(BookTitle,1368)="","",INDEX(BookTotal,1368))</f>
        <v/>
      </c>
      <c r="J1373" s="0" t="str">
        <f aca="false">IF($I1373="","",IF(INDEX(BookQ1,1368)&gt;0,"Q1",IF(INDEX(BookQ2,1368)&gt;0,"Q2",IF(INDEX(BookQ3,1368)&gt;0,"Q3",IF(INDEX(BookQ4,1368)&gt;0,"Q4","")))))</f>
        <v/>
      </c>
      <c r="K1373" s="42" t="str">
        <f aca="false">IF(INDEX(BookTitle,1368)="","",INDEX(BookInYear,1368))</f>
        <v/>
      </c>
      <c r="L1373" s="19"/>
      <c r="M1373" s="39"/>
      <c r="N1373" s="19"/>
      <c r="O1373" s="19"/>
      <c r="P1373" s="43" t="str">
        <f aca="false">IF($E1373="","",IF($L1373="Decline",0,IF($L1373="Approve fewer",IF($M1373="","",$M1373),IF($L1373="","",$I1373))))</f>
        <v/>
      </c>
      <c r="Q1373" s="34" t="str">
        <f aca="false">IF($P1373="","",IF($N1373&lt;&gt;"",$N1373,$J1373))</f>
        <v/>
      </c>
      <c r="R1373" s="35" t="str">
        <f aca="false">IF(OR($P1373="",$Q1373=""),"",INDEX(BookRate,1368)*$P1373*(5-MATCH($Q1373,{"Q1";"Q2";"Q3";"Q4"},0))/4+INDEX(BookOneOff,1368)*$P1373)</f>
        <v/>
      </c>
      <c r="S1373" s="35" t="str">
        <f aca="false">IF($P1373="","",INDEX(BookRate,1368)*$P1373)</f>
        <v/>
      </c>
      <c r="T1373" s="35" t="str">
        <f aca="false">IF($R1373="","",$R1373-$K1373)</f>
        <v/>
      </c>
      <c r="U1373" s="35" t="str">
        <f aca="false">IF(N($P1373)&lt;=0,"",COUNTIF($P$6:$P1373,"&gt;0"))</f>
        <v/>
      </c>
    </row>
    <row r="1374" customFormat="false" ht="15" hidden="false" customHeight="false" outlineLevel="0" collapsed="false">
      <c r="A1374" s="40" t="str">
        <f aca="false">IF(INDEX(BookTitle,1369)="","",INDEX(BookGroup,1369))</f>
        <v/>
      </c>
      <c r="B1374" s="40" t="str">
        <f aca="false">IF(INDEX(BookTitle,1369)="","",INDEX(BookRef,1369))</f>
        <v/>
      </c>
      <c r="C1374" s="40" t="str">
        <f aca="false">IF(INDEX(BookTitle,1369)="","",INDEX(BookDivision,1369))</f>
        <v/>
      </c>
      <c r="D1374" s="40" t="str">
        <f aca="false">IF(INDEX(BookTitle,1369)="","",INDEX(BookUnit,1369))</f>
        <v/>
      </c>
      <c r="E1374" s="40" t="str">
        <f aca="false">IF(INDEX(BookTitle,1369)="","",INDEX(BookTitle,1369))</f>
        <v/>
      </c>
      <c r="F1374" s="40" t="str">
        <f aca="false">IF(INDEX(BookTitle,1369)="","",INDEX(BookLevel,1369))</f>
        <v/>
      </c>
      <c r="G1374" s="40" t="str">
        <f aca="false">IF(INDEX(BookTitle,1369)="","",INDEX(BookCategory,1369))</f>
        <v/>
      </c>
      <c r="H1374" s="40" t="str">
        <f aca="false">IF(INDEX(BookTitle,1369)="","",INDEX(BookRank,1369))</f>
        <v/>
      </c>
      <c r="I1374" s="41" t="str">
        <f aca="false">IF(INDEX(BookTitle,1369)="","",INDEX(BookTotal,1369))</f>
        <v/>
      </c>
      <c r="J1374" s="0" t="str">
        <f aca="false">IF($I1374="","",IF(INDEX(BookQ1,1369)&gt;0,"Q1",IF(INDEX(BookQ2,1369)&gt;0,"Q2",IF(INDEX(BookQ3,1369)&gt;0,"Q3",IF(INDEX(BookQ4,1369)&gt;0,"Q4","")))))</f>
        <v/>
      </c>
      <c r="K1374" s="42" t="str">
        <f aca="false">IF(INDEX(BookTitle,1369)="","",INDEX(BookInYear,1369))</f>
        <v/>
      </c>
      <c r="L1374" s="19"/>
      <c r="M1374" s="39"/>
      <c r="N1374" s="19"/>
      <c r="O1374" s="19"/>
      <c r="P1374" s="43" t="str">
        <f aca="false">IF($E1374="","",IF($L1374="Decline",0,IF($L1374="Approve fewer",IF($M1374="","",$M1374),IF($L1374="","",$I1374))))</f>
        <v/>
      </c>
      <c r="Q1374" s="34" t="str">
        <f aca="false">IF($P1374="","",IF($N1374&lt;&gt;"",$N1374,$J1374))</f>
        <v/>
      </c>
      <c r="R1374" s="35" t="str">
        <f aca="false">IF(OR($P1374="",$Q1374=""),"",INDEX(BookRate,1369)*$P1374*(5-MATCH($Q1374,{"Q1";"Q2";"Q3";"Q4"},0))/4+INDEX(BookOneOff,1369)*$P1374)</f>
        <v/>
      </c>
      <c r="S1374" s="35" t="str">
        <f aca="false">IF($P1374="","",INDEX(BookRate,1369)*$P1374)</f>
        <v/>
      </c>
      <c r="T1374" s="35" t="str">
        <f aca="false">IF($R1374="","",$R1374-$K1374)</f>
        <v/>
      </c>
      <c r="U1374" s="35" t="str">
        <f aca="false">IF(N($P1374)&lt;=0,"",COUNTIF($P$6:$P1374,"&gt;0"))</f>
        <v/>
      </c>
    </row>
    <row r="1375" customFormat="false" ht="15" hidden="false" customHeight="false" outlineLevel="0" collapsed="false">
      <c r="A1375" s="40" t="str">
        <f aca="false">IF(INDEX(BookTitle,1370)="","",INDEX(BookGroup,1370))</f>
        <v/>
      </c>
      <c r="B1375" s="40" t="str">
        <f aca="false">IF(INDEX(BookTitle,1370)="","",INDEX(BookRef,1370))</f>
        <v/>
      </c>
      <c r="C1375" s="40" t="str">
        <f aca="false">IF(INDEX(BookTitle,1370)="","",INDEX(BookDivision,1370))</f>
        <v/>
      </c>
      <c r="D1375" s="40" t="str">
        <f aca="false">IF(INDEX(BookTitle,1370)="","",INDEX(BookUnit,1370))</f>
        <v/>
      </c>
      <c r="E1375" s="40" t="str">
        <f aca="false">IF(INDEX(BookTitle,1370)="","",INDEX(BookTitle,1370))</f>
        <v/>
      </c>
      <c r="F1375" s="40" t="str">
        <f aca="false">IF(INDEX(BookTitle,1370)="","",INDEX(BookLevel,1370))</f>
        <v/>
      </c>
      <c r="G1375" s="40" t="str">
        <f aca="false">IF(INDEX(BookTitle,1370)="","",INDEX(BookCategory,1370))</f>
        <v/>
      </c>
      <c r="H1375" s="40" t="str">
        <f aca="false">IF(INDEX(BookTitle,1370)="","",INDEX(BookRank,1370))</f>
        <v/>
      </c>
      <c r="I1375" s="41" t="str">
        <f aca="false">IF(INDEX(BookTitle,1370)="","",INDEX(BookTotal,1370))</f>
        <v/>
      </c>
      <c r="J1375" s="0" t="str">
        <f aca="false">IF($I1375="","",IF(INDEX(BookQ1,1370)&gt;0,"Q1",IF(INDEX(BookQ2,1370)&gt;0,"Q2",IF(INDEX(BookQ3,1370)&gt;0,"Q3",IF(INDEX(BookQ4,1370)&gt;0,"Q4","")))))</f>
        <v/>
      </c>
      <c r="K1375" s="42" t="str">
        <f aca="false">IF(INDEX(BookTitle,1370)="","",INDEX(BookInYear,1370))</f>
        <v/>
      </c>
      <c r="L1375" s="19"/>
      <c r="M1375" s="39"/>
      <c r="N1375" s="19"/>
      <c r="O1375" s="19"/>
      <c r="P1375" s="43" t="str">
        <f aca="false">IF($E1375="","",IF($L1375="Decline",0,IF($L1375="Approve fewer",IF($M1375="","",$M1375),IF($L1375="","",$I1375))))</f>
        <v/>
      </c>
      <c r="Q1375" s="34" t="str">
        <f aca="false">IF($P1375="","",IF($N1375&lt;&gt;"",$N1375,$J1375))</f>
        <v/>
      </c>
      <c r="R1375" s="35" t="str">
        <f aca="false">IF(OR($P1375="",$Q1375=""),"",INDEX(BookRate,1370)*$P1375*(5-MATCH($Q1375,{"Q1";"Q2";"Q3";"Q4"},0))/4+INDEX(BookOneOff,1370)*$P1375)</f>
        <v/>
      </c>
      <c r="S1375" s="35" t="str">
        <f aca="false">IF($P1375="","",INDEX(BookRate,1370)*$P1375)</f>
        <v/>
      </c>
      <c r="T1375" s="35" t="str">
        <f aca="false">IF($R1375="","",$R1375-$K1375)</f>
        <v/>
      </c>
      <c r="U1375" s="35" t="str">
        <f aca="false">IF(N($P1375)&lt;=0,"",COUNTIF($P$6:$P1375,"&gt;0"))</f>
        <v/>
      </c>
    </row>
    <row r="1376" customFormat="false" ht="15" hidden="false" customHeight="false" outlineLevel="0" collapsed="false">
      <c r="A1376" s="40" t="str">
        <f aca="false">IF(INDEX(BookTitle,1371)="","",INDEX(BookGroup,1371))</f>
        <v/>
      </c>
      <c r="B1376" s="40" t="str">
        <f aca="false">IF(INDEX(BookTitle,1371)="","",INDEX(BookRef,1371))</f>
        <v/>
      </c>
      <c r="C1376" s="40" t="str">
        <f aca="false">IF(INDEX(BookTitle,1371)="","",INDEX(BookDivision,1371))</f>
        <v/>
      </c>
      <c r="D1376" s="40" t="str">
        <f aca="false">IF(INDEX(BookTitle,1371)="","",INDEX(BookUnit,1371))</f>
        <v/>
      </c>
      <c r="E1376" s="40" t="str">
        <f aca="false">IF(INDEX(BookTitle,1371)="","",INDEX(BookTitle,1371))</f>
        <v/>
      </c>
      <c r="F1376" s="40" t="str">
        <f aca="false">IF(INDEX(BookTitle,1371)="","",INDEX(BookLevel,1371))</f>
        <v/>
      </c>
      <c r="G1376" s="40" t="str">
        <f aca="false">IF(INDEX(BookTitle,1371)="","",INDEX(BookCategory,1371))</f>
        <v/>
      </c>
      <c r="H1376" s="40" t="str">
        <f aca="false">IF(INDEX(BookTitle,1371)="","",INDEX(BookRank,1371))</f>
        <v/>
      </c>
      <c r="I1376" s="41" t="str">
        <f aca="false">IF(INDEX(BookTitle,1371)="","",INDEX(BookTotal,1371))</f>
        <v/>
      </c>
      <c r="J1376" s="0" t="str">
        <f aca="false">IF($I1376="","",IF(INDEX(BookQ1,1371)&gt;0,"Q1",IF(INDEX(BookQ2,1371)&gt;0,"Q2",IF(INDEX(BookQ3,1371)&gt;0,"Q3",IF(INDEX(BookQ4,1371)&gt;0,"Q4","")))))</f>
        <v/>
      </c>
      <c r="K1376" s="42" t="str">
        <f aca="false">IF(INDEX(BookTitle,1371)="","",INDEX(BookInYear,1371))</f>
        <v/>
      </c>
      <c r="L1376" s="19"/>
      <c r="M1376" s="39"/>
      <c r="N1376" s="19"/>
      <c r="O1376" s="19"/>
      <c r="P1376" s="43" t="str">
        <f aca="false">IF($E1376="","",IF($L1376="Decline",0,IF($L1376="Approve fewer",IF($M1376="","",$M1376),IF($L1376="","",$I1376))))</f>
        <v/>
      </c>
      <c r="Q1376" s="34" t="str">
        <f aca="false">IF($P1376="","",IF($N1376&lt;&gt;"",$N1376,$J1376))</f>
        <v/>
      </c>
      <c r="R1376" s="35" t="str">
        <f aca="false">IF(OR($P1376="",$Q1376=""),"",INDEX(BookRate,1371)*$P1376*(5-MATCH($Q1376,{"Q1";"Q2";"Q3";"Q4"},0))/4+INDEX(BookOneOff,1371)*$P1376)</f>
        <v/>
      </c>
      <c r="S1376" s="35" t="str">
        <f aca="false">IF($P1376="","",INDEX(BookRate,1371)*$P1376)</f>
        <v/>
      </c>
      <c r="T1376" s="35" t="str">
        <f aca="false">IF($R1376="","",$R1376-$K1376)</f>
        <v/>
      </c>
      <c r="U1376" s="35" t="str">
        <f aca="false">IF(N($P1376)&lt;=0,"",COUNTIF($P$6:$P1376,"&gt;0"))</f>
        <v/>
      </c>
    </row>
    <row r="1377" customFormat="false" ht="15" hidden="false" customHeight="false" outlineLevel="0" collapsed="false">
      <c r="A1377" s="40" t="str">
        <f aca="false">IF(INDEX(BookTitle,1372)="","",INDEX(BookGroup,1372))</f>
        <v/>
      </c>
      <c r="B1377" s="40" t="str">
        <f aca="false">IF(INDEX(BookTitle,1372)="","",INDEX(BookRef,1372))</f>
        <v/>
      </c>
      <c r="C1377" s="40" t="str">
        <f aca="false">IF(INDEX(BookTitle,1372)="","",INDEX(BookDivision,1372))</f>
        <v/>
      </c>
      <c r="D1377" s="40" t="str">
        <f aca="false">IF(INDEX(BookTitle,1372)="","",INDEX(BookUnit,1372))</f>
        <v/>
      </c>
      <c r="E1377" s="40" t="str">
        <f aca="false">IF(INDEX(BookTitle,1372)="","",INDEX(BookTitle,1372))</f>
        <v/>
      </c>
      <c r="F1377" s="40" t="str">
        <f aca="false">IF(INDEX(BookTitle,1372)="","",INDEX(BookLevel,1372))</f>
        <v/>
      </c>
      <c r="G1377" s="40" t="str">
        <f aca="false">IF(INDEX(BookTitle,1372)="","",INDEX(BookCategory,1372))</f>
        <v/>
      </c>
      <c r="H1377" s="40" t="str">
        <f aca="false">IF(INDEX(BookTitle,1372)="","",INDEX(BookRank,1372))</f>
        <v/>
      </c>
      <c r="I1377" s="41" t="str">
        <f aca="false">IF(INDEX(BookTitle,1372)="","",INDEX(BookTotal,1372))</f>
        <v/>
      </c>
      <c r="J1377" s="0" t="str">
        <f aca="false">IF($I1377="","",IF(INDEX(BookQ1,1372)&gt;0,"Q1",IF(INDEX(BookQ2,1372)&gt;0,"Q2",IF(INDEX(BookQ3,1372)&gt;0,"Q3",IF(INDEX(BookQ4,1372)&gt;0,"Q4","")))))</f>
        <v/>
      </c>
      <c r="K1377" s="42" t="str">
        <f aca="false">IF(INDEX(BookTitle,1372)="","",INDEX(BookInYear,1372))</f>
        <v/>
      </c>
      <c r="L1377" s="19"/>
      <c r="M1377" s="39"/>
      <c r="N1377" s="19"/>
      <c r="O1377" s="19"/>
      <c r="P1377" s="43" t="str">
        <f aca="false">IF($E1377="","",IF($L1377="Decline",0,IF($L1377="Approve fewer",IF($M1377="","",$M1377),IF($L1377="","",$I1377))))</f>
        <v/>
      </c>
      <c r="Q1377" s="34" t="str">
        <f aca="false">IF($P1377="","",IF($N1377&lt;&gt;"",$N1377,$J1377))</f>
        <v/>
      </c>
      <c r="R1377" s="35" t="str">
        <f aca="false">IF(OR($P1377="",$Q1377=""),"",INDEX(BookRate,1372)*$P1377*(5-MATCH($Q1377,{"Q1";"Q2";"Q3";"Q4"},0))/4+INDEX(BookOneOff,1372)*$P1377)</f>
        <v/>
      </c>
      <c r="S1377" s="35" t="str">
        <f aca="false">IF($P1377="","",INDEX(BookRate,1372)*$P1377)</f>
        <v/>
      </c>
      <c r="T1377" s="35" t="str">
        <f aca="false">IF($R1377="","",$R1377-$K1377)</f>
        <v/>
      </c>
      <c r="U1377" s="35" t="str">
        <f aca="false">IF(N($P1377)&lt;=0,"",COUNTIF($P$6:$P1377,"&gt;0"))</f>
        <v/>
      </c>
    </row>
    <row r="1378" customFormat="false" ht="15" hidden="false" customHeight="false" outlineLevel="0" collapsed="false">
      <c r="A1378" s="40" t="str">
        <f aca="false">IF(INDEX(BookTitle,1373)="","",INDEX(BookGroup,1373))</f>
        <v/>
      </c>
      <c r="B1378" s="40" t="str">
        <f aca="false">IF(INDEX(BookTitle,1373)="","",INDEX(BookRef,1373))</f>
        <v/>
      </c>
      <c r="C1378" s="40" t="str">
        <f aca="false">IF(INDEX(BookTitle,1373)="","",INDEX(BookDivision,1373))</f>
        <v/>
      </c>
      <c r="D1378" s="40" t="str">
        <f aca="false">IF(INDEX(BookTitle,1373)="","",INDEX(BookUnit,1373))</f>
        <v/>
      </c>
      <c r="E1378" s="40" t="str">
        <f aca="false">IF(INDEX(BookTitle,1373)="","",INDEX(BookTitle,1373))</f>
        <v/>
      </c>
      <c r="F1378" s="40" t="str">
        <f aca="false">IF(INDEX(BookTitle,1373)="","",INDEX(BookLevel,1373))</f>
        <v/>
      </c>
      <c r="G1378" s="40" t="str">
        <f aca="false">IF(INDEX(BookTitle,1373)="","",INDEX(BookCategory,1373))</f>
        <v/>
      </c>
      <c r="H1378" s="40" t="str">
        <f aca="false">IF(INDEX(BookTitle,1373)="","",INDEX(BookRank,1373))</f>
        <v/>
      </c>
      <c r="I1378" s="41" t="str">
        <f aca="false">IF(INDEX(BookTitle,1373)="","",INDEX(BookTotal,1373))</f>
        <v/>
      </c>
      <c r="J1378" s="0" t="str">
        <f aca="false">IF($I1378="","",IF(INDEX(BookQ1,1373)&gt;0,"Q1",IF(INDEX(BookQ2,1373)&gt;0,"Q2",IF(INDEX(BookQ3,1373)&gt;0,"Q3",IF(INDEX(BookQ4,1373)&gt;0,"Q4","")))))</f>
        <v/>
      </c>
      <c r="K1378" s="42" t="str">
        <f aca="false">IF(INDEX(BookTitle,1373)="","",INDEX(BookInYear,1373))</f>
        <v/>
      </c>
      <c r="L1378" s="19"/>
      <c r="M1378" s="39"/>
      <c r="N1378" s="19"/>
      <c r="O1378" s="19"/>
      <c r="P1378" s="43" t="str">
        <f aca="false">IF($E1378="","",IF($L1378="Decline",0,IF($L1378="Approve fewer",IF($M1378="","",$M1378),IF($L1378="","",$I1378))))</f>
        <v/>
      </c>
      <c r="Q1378" s="34" t="str">
        <f aca="false">IF($P1378="","",IF($N1378&lt;&gt;"",$N1378,$J1378))</f>
        <v/>
      </c>
      <c r="R1378" s="35" t="str">
        <f aca="false">IF(OR($P1378="",$Q1378=""),"",INDEX(BookRate,1373)*$P1378*(5-MATCH($Q1378,{"Q1";"Q2";"Q3";"Q4"},0))/4+INDEX(BookOneOff,1373)*$P1378)</f>
        <v/>
      </c>
      <c r="S1378" s="35" t="str">
        <f aca="false">IF($P1378="","",INDEX(BookRate,1373)*$P1378)</f>
        <v/>
      </c>
      <c r="T1378" s="35" t="str">
        <f aca="false">IF($R1378="","",$R1378-$K1378)</f>
        <v/>
      </c>
      <c r="U1378" s="35" t="str">
        <f aca="false">IF(N($P1378)&lt;=0,"",COUNTIF($P$6:$P1378,"&gt;0"))</f>
        <v/>
      </c>
    </row>
    <row r="1379" customFormat="false" ht="15" hidden="false" customHeight="false" outlineLevel="0" collapsed="false">
      <c r="A1379" s="40" t="str">
        <f aca="false">IF(INDEX(BookTitle,1374)="","",INDEX(BookGroup,1374))</f>
        <v/>
      </c>
      <c r="B1379" s="40" t="str">
        <f aca="false">IF(INDEX(BookTitle,1374)="","",INDEX(BookRef,1374))</f>
        <v/>
      </c>
      <c r="C1379" s="40" t="str">
        <f aca="false">IF(INDEX(BookTitle,1374)="","",INDEX(BookDivision,1374))</f>
        <v/>
      </c>
      <c r="D1379" s="40" t="str">
        <f aca="false">IF(INDEX(BookTitle,1374)="","",INDEX(BookUnit,1374))</f>
        <v/>
      </c>
      <c r="E1379" s="40" t="str">
        <f aca="false">IF(INDEX(BookTitle,1374)="","",INDEX(BookTitle,1374))</f>
        <v/>
      </c>
      <c r="F1379" s="40" t="str">
        <f aca="false">IF(INDEX(BookTitle,1374)="","",INDEX(BookLevel,1374))</f>
        <v/>
      </c>
      <c r="G1379" s="40" t="str">
        <f aca="false">IF(INDEX(BookTitle,1374)="","",INDEX(BookCategory,1374))</f>
        <v/>
      </c>
      <c r="H1379" s="40" t="str">
        <f aca="false">IF(INDEX(BookTitle,1374)="","",INDEX(BookRank,1374))</f>
        <v/>
      </c>
      <c r="I1379" s="41" t="str">
        <f aca="false">IF(INDEX(BookTitle,1374)="","",INDEX(BookTotal,1374))</f>
        <v/>
      </c>
      <c r="J1379" s="0" t="str">
        <f aca="false">IF($I1379="","",IF(INDEX(BookQ1,1374)&gt;0,"Q1",IF(INDEX(BookQ2,1374)&gt;0,"Q2",IF(INDEX(BookQ3,1374)&gt;0,"Q3",IF(INDEX(BookQ4,1374)&gt;0,"Q4","")))))</f>
        <v/>
      </c>
      <c r="K1379" s="42" t="str">
        <f aca="false">IF(INDEX(BookTitle,1374)="","",INDEX(BookInYear,1374))</f>
        <v/>
      </c>
      <c r="L1379" s="19"/>
      <c r="M1379" s="39"/>
      <c r="N1379" s="19"/>
      <c r="O1379" s="19"/>
      <c r="P1379" s="43" t="str">
        <f aca="false">IF($E1379="","",IF($L1379="Decline",0,IF($L1379="Approve fewer",IF($M1379="","",$M1379),IF($L1379="","",$I1379))))</f>
        <v/>
      </c>
      <c r="Q1379" s="34" t="str">
        <f aca="false">IF($P1379="","",IF($N1379&lt;&gt;"",$N1379,$J1379))</f>
        <v/>
      </c>
      <c r="R1379" s="35" t="str">
        <f aca="false">IF(OR($P1379="",$Q1379=""),"",INDEX(BookRate,1374)*$P1379*(5-MATCH($Q1379,{"Q1";"Q2";"Q3";"Q4"},0))/4+INDEX(BookOneOff,1374)*$P1379)</f>
        <v/>
      </c>
      <c r="S1379" s="35" t="str">
        <f aca="false">IF($P1379="","",INDEX(BookRate,1374)*$P1379)</f>
        <v/>
      </c>
      <c r="T1379" s="35" t="str">
        <f aca="false">IF($R1379="","",$R1379-$K1379)</f>
        <v/>
      </c>
      <c r="U1379" s="35" t="str">
        <f aca="false">IF(N($P1379)&lt;=0,"",COUNTIF($P$6:$P1379,"&gt;0"))</f>
        <v/>
      </c>
    </row>
    <row r="1380" customFormat="false" ht="15" hidden="false" customHeight="false" outlineLevel="0" collapsed="false">
      <c r="A1380" s="40" t="str">
        <f aca="false">IF(INDEX(BookTitle,1375)="","",INDEX(BookGroup,1375))</f>
        <v/>
      </c>
      <c r="B1380" s="40" t="str">
        <f aca="false">IF(INDEX(BookTitle,1375)="","",INDEX(BookRef,1375))</f>
        <v/>
      </c>
      <c r="C1380" s="40" t="str">
        <f aca="false">IF(INDEX(BookTitle,1375)="","",INDEX(BookDivision,1375))</f>
        <v/>
      </c>
      <c r="D1380" s="40" t="str">
        <f aca="false">IF(INDEX(BookTitle,1375)="","",INDEX(BookUnit,1375))</f>
        <v/>
      </c>
      <c r="E1380" s="40" t="str">
        <f aca="false">IF(INDEX(BookTitle,1375)="","",INDEX(BookTitle,1375))</f>
        <v/>
      </c>
      <c r="F1380" s="40" t="str">
        <f aca="false">IF(INDEX(BookTitle,1375)="","",INDEX(BookLevel,1375))</f>
        <v/>
      </c>
      <c r="G1380" s="40" t="str">
        <f aca="false">IF(INDEX(BookTitle,1375)="","",INDEX(BookCategory,1375))</f>
        <v/>
      </c>
      <c r="H1380" s="40" t="str">
        <f aca="false">IF(INDEX(BookTitle,1375)="","",INDEX(BookRank,1375))</f>
        <v/>
      </c>
      <c r="I1380" s="41" t="str">
        <f aca="false">IF(INDEX(BookTitle,1375)="","",INDEX(BookTotal,1375))</f>
        <v/>
      </c>
      <c r="J1380" s="0" t="str">
        <f aca="false">IF($I1380="","",IF(INDEX(BookQ1,1375)&gt;0,"Q1",IF(INDEX(BookQ2,1375)&gt;0,"Q2",IF(INDEX(BookQ3,1375)&gt;0,"Q3",IF(INDEX(BookQ4,1375)&gt;0,"Q4","")))))</f>
        <v/>
      </c>
      <c r="K1380" s="42" t="str">
        <f aca="false">IF(INDEX(BookTitle,1375)="","",INDEX(BookInYear,1375))</f>
        <v/>
      </c>
      <c r="L1380" s="19"/>
      <c r="M1380" s="39"/>
      <c r="N1380" s="19"/>
      <c r="O1380" s="19"/>
      <c r="P1380" s="43" t="str">
        <f aca="false">IF($E1380="","",IF($L1380="Decline",0,IF($L1380="Approve fewer",IF($M1380="","",$M1380),IF($L1380="","",$I1380))))</f>
        <v/>
      </c>
      <c r="Q1380" s="34" t="str">
        <f aca="false">IF($P1380="","",IF($N1380&lt;&gt;"",$N1380,$J1380))</f>
        <v/>
      </c>
      <c r="R1380" s="35" t="str">
        <f aca="false">IF(OR($P1380="",$Q1380=""),"",INDEX(BookRate,1375)*$P1380*(5-MATCH($Q1380,{"Q1";"Q2";"Q3";"Q4"},0))/4+INDEX(BookOneOff,1375)*$P1380)</f>
        <v/>
      </c>
      <c r="S1380" s="35" t="str">
        <f aca="false">IF($P1380="","",INDEX(BookRate,1375)*$P1380)</f>
        <v/>
      </c>
      <c r="T1380" s="35" t="str">
        <f aca="false">IF($R1380="","",$R1380-$K1380)</f>
        <v/>
      </c>
      <c r="U1380" s="35" t="str">
        <f aca="false">IF(N($P1380)&lt;=0,"",COUNTIF($P$6:$P1380,"&gt;0"))</f>
        <v/>
      </c>
    </row>
    <row r="1381" customFormat="false" ht="15" hidden="false" customHeight="false" outlineLevel="0" collapsed="false">
      <c r="A1381" s="40" t="str">
        <f aca="false">IF(INDEX(BookTitle,1376)="","",INDEX(BookGroup,1376))</f>
        <v/>
      </c>
      <c r="B1381" s="40" t="str">
        <f aca="false">IF(INDEX(BookTitle,1376)="","",INDEX(BookRef,1376))</f>
        <v/>
      </c>
      <c r="C1381" s="40" t="str">
        <f aca="false">IF(INDEX(BookTitle,1376)="","",INDEX(BookDivision,1376))</f>
        <v/>
      </c>
      <c r="D1381" s="40" t="str">
        <f aca="false">IF(INDEX(BookTitle,1376)="","",INDEX(BookUnit,1376))</f>
        <v/>
      </c>
      <c r="E1381" s="40" t="str">
        <f aca="false">IF(INDEX(BookTitle,1376)="","",INDEX(BookTitle,1376))</f>
        <v/>
      </c>
      <c r="F1381" s="40" t="str">
        <f aca="false">IF(INDEX(BookTitle,1376)="","",INDEX(BookLevel,1376))</f>
        <v/>
      </c>
      <c r="G1381" s="40" t="str">
        <f aca="false">IF(INDEX(BookTitle,1376)="","",INDEX(BookCategory,1376))</f>
        <v/>
      </c>
      <c r="H1381" s="40" t="str">
        <f aca="false">IF(INDEX(BookTitle,1376)="","",INDEX(BookRank,1376))</f>
        <v/>
      </c>
      <c r="I1381" s="41" t="str">
        <f aca="false">IF(INDEX(BookTitle,1376)="","",INDEX(BookTotal,1376))</f>
        <v/>
      </c>
      <c r="J1381" s="0" t="str">
        <f aca="false">IF($I1381="","",IF(INDEX(BookQ1,1376)&gt;0,"Q1",IF(INDEX(BookQ2,1376)&gt;0,"Q2",IF(INDEX(BookQ3,1376)&gt;0,"Q3",IF(INDEX(BookQ4,1376)&gt;0,"Q4","")))))</f>
        <v/>
      </c>
      <c r="K1381" s="42" t="str">
        <f aca="false">IF(INDEX(BookTitle,1376)="","",INDEX(BookInYear,1376))</f>
        <v/>
      </c>
      <c r="L1381" s="19"/>
      <c r="M1381" s="39"/>
      <c r="N1381" s="19"/>
      <c r="O1381" s="19"/>
      <c r="P1381" s="43" t="str">
        <f aca="false">IF($E1381="","",IF($L1381="Decline",0,IF($L1381="Approve fewer",IF($M1381="","",$M1381),IF($L1381="","",$I1381))))</f>
        <v/>
      </c>
      <c r="Q1381" s="34" t="str">
        <f aca="false">IF($P1381="","",IF($N1381&lt;&gt;"",$N1381,$J1381))</f>
        <v/>
      </c>
      <c r="R1381" s="35" t="str">
        <f aca="false">IF(OR($P1381="",$Q1381=""),"",INDEX(BookRate,1376)*$P1381*(5-MATCH($Q1381,{"Q1";"Q2";"Q3";"Q4"},0))/4+INDEX(BookOneOff,1376)*$P1381)</f>
        <v/>
      </c>
      <c r="S1381" s="35" t="str">
        <f aca="false">IF($P1381="","",INDEX(BookRate,1376)*$P1381)</f>
        <v/>
      </c>
      <c r="T1381" s="35" t="str">
        <f aca="false">IF($R1381="","",$R1381-$K1381)</f>
        <v/>
      </c>
      <c r="U1381" s="35" t="str">
        <f aca="false">IF(N($P1381)&lt;=0,"",COUNTIF($P$6:$P1381,"&gt;0"))</f>
        <v/>
      </c>
    </row>
    <row r="1382" customFormat="false" ht="15" hidden="false" customHeight="false" outlineLevel="0" collapsed="false">
      <c r="A1382" s="40" t="str">
        <f aca="false">IF(INDEX(BookTitle,1377)="","",INDEX(BookGroup,1377))</f>
        <v/>
      </c>
      <c r="B1382" s="40" t="str">
        <f aca="false">IF(INDEX(BookTitle,1377)="","",INDEX(BookRef,1377))</f>
        <v/>
      </c>
      <c r="C1382" s="40" t="str">
        <f aca="false">IF(INDEX(BookTitle,1377)="","",INDEX(BookDivision,1377))</f>
        <v/>
      </c>
      <c r="D1382" s="40" t="str">
        <f aca="false">IF(INDEX(BookTitle,1377)="","",INDEX(BookUnit,1377))</f>
        <v/>
      </c>
      <c r="E1382" s="40" t="str">
        <f aca="false">IF(INDEX(BookTitle,1377)="","",INDEX(BookTitle,1377))</f>
        <v/>
      </c>
      <c r="F1382" s="40" t="str">
        <f aca="false">IF(INDEX(BookTitle,1377)="","",INDEX(BookLevel,1377))</f>
        <v/>
      </c>
      <c r="G1382" s="40" t="str">
        <f aca="false">IF(INDEX(BookTitle,1377)="","",INDEX(BookCategory,1377))</f>
        <v/>
      </c>
      <c r="H1382" s="40" t="str">
        <f aca="false">IF(INDEX(BookTitle,1377)="","",INDEX(BookRank,1377))</f>
        <v/>
      </c>
      <c r="I1382" s="41" t="str">
        <f aca="false">IF(INDEX(BookTitle,1377)="","",INDEX(BookTotal,1377))</f>
        <v/>
      </c>
      <c r="J1382" s="0" t="str">
        <f aca="false">IF($I1382="","",IF(INDEX(BookQ1,1377)&gt;0,"Q1",IF(INDEX(BookQ2,1377)&gt;0,"Q2",IF(INDEX(BookQ3,1377)&gt;0,"Q3",IF(INDEX(BookQ4,1377)&gt;0,"Q4","")))))</f>
        <v/>
      </c>
      <c r="K1382" s="42" t="str">
        <f aca="false">IF(INDEX(BookTitle,1377)="","",INDEX(BookInYear,1377))</f>
        <v/>
      </c>
      <c r="L1382" s="19"/>
      <c r="M1382" s="39"/>
      <c r="N1382" s="19"/>
      <c r="O1382" s="19"/>
      <c r="P1382" s="43" t="str">
        <f aca="false">IF($E1382="","",IF($L1382="Decline",0,IF($L1382="Approve fewer",IF($M1382="","",$M1382),IF($L1382="","",$I1382))))</f>
        <v/>
      </c>
      <c r="Q1382" s="34" t="str">
        <f aca="false">IF($P1382="","",IF($N1382&lt;&gt;"",$N1382,$J1382))</f>
        <v/>
      </c>
      <c r="R1382" s="35" t="str">
        <f aca="false">IF(OR($P1382="",$Q1382=""),"",INDEX(BookRate,1377)*$P1382*(5-MATCH($Q1382,{"Q1";"Q2";"Q3";"Q4"},0))/4+INDEX(BookOneOff,1377)*$P1382)</f>
        <v/>
      </c>
      <c r="S1382" s="35" t="str">
        <f aca="false">IF($P1382="","",INDEX(BookRate,1377)*$P1382)</f>
        <v/>
      </c>
      <c r="T1382" s="35" t="str">
        <f aca="false">IF($R1382="","",$R1382-$K1382)</f>
        <v/>
      </c>
      <c r="U1382" s="35" t="str">
        <f aca="false">IF(N($P1382)&lt;=0,"",COUNTIF($P$6:$P1382,"&gt;0"))</f>
        <v/>
      </c>
    </row>
    <row r="1383" customFormat="false" ht="15" hidden="false" customHeight="false" outlineLevel="0" collapsed="false">
      <c r="A1383" s="40" t="str">
        <f aca="false">IF(INDEX(BookTitle,1378)="","",INDEX(BookGroup,1378))</f>
        <v/>
      </c>
      <c r="B1383" s="40" t="str">
        <f aca="false">IF(INDEX(BookTitle,1378)="","",INDEX(BookRef,1378))</f>
        <v/>
      </c>
      <c r="C1383" s="40" t="str">
        <f aca="false">IF(INDEX(BookTitle,1378)="","",INDEX(BookDivision,1378))</f>
        <v/>
      </c>
      <c r="D1383" s="40" t="str">
        <f aca="false">IF(INDEX(BookTitle,1378)="","",INDEX(BookUnit,1378))</f>
        <v/>
      </c>
      <c r="E1383" s="40" t="str">
        <f aca="false">IF(INDEX(BookTitle,1378)="","",INDEX(BookTitle,1378))</f>
        <v/>
      </c>
      <c r="F1383" s="40" t="str">
        <f aca="false">IF(INDEX(BookTitle,1378)="","",INDEX(BookLevel,1378))</f>
        <v/>
      </c>
      <c r="G1383" s="40" t="str">
        <f aca="false">IF(INDEX(BookTitle,1378)="","",INDEX(BookCategory,1378))</f>
        <v/>
      </c>
      <c r="H1383" s="40" t="str">
        <f aca="false">IF(INDEX(BookTitle,1378)="","",INDEX(BookRank,1378))</f>
        <v/>
      </c>
      <c r="I1383" s="41" t="str">
        <f aca="false">IF(INDEX(BookTitle,1378)="","",INDEX(BookTotal,1378))</f>
        <v/>
      </c>
      <c r="J1383" s="0" t="str">
        <f aca="false">IF($I1383="","",IF(INDEX(BookQ1,1378)&gt;0,"Q1",IF(INDEX(BookQ2,1378)&gt;0,"Q2",IF(INDEX(BookQ3,1378)&gt;0,"Q3",IF(INDEX(BookQ4,1378)&gt;0,"Q4","")))))</f>
        <v/>
      </c>
      <c r="K1383" s="42" t="str">
        <f aca="false">IF(INDEX(BookTitle,1378)="","",INDEX(BookInYear,1378))</f>
        <v/>
      </c>
      <c r="L1383" s="19"/>
      <c r="M1383" s="39"/>
      <c r="N1383" s="19"/>
      <c r="O1383" s="19"/>
      <c r="P1383" s="43" t="str">
        <f aca="false">IF($E1383="","",IF($L1383="Decline",0,IF($L1383="Approve fewer",IF($M1383="","",$M1383),IF($L1383="","",$I1383))))</f>
        <v/>
      </c>
      <c r="Q1383" s="34" t="str">
        <f aca="false">IF($P1383="","",IF($N1383&lt;&gt;"",$N1383,$J1383))</f>
        <v/>
      </c>
      <c r="R1383" s="35" t="str">
        <f aca="false">IF(OR($P1383="",$Q1383=""),"",INDEX(BookRate,1378)*$P1383*(5-MATCH($Q1383,{"Q1";"Q2";"Q3";"Q4"},0))/4+INDEX(BookOneOff,1378)*$P1383)</f>
        <v/>
      </c>
      <c r="S1383" s="35" t="str">
        <f aca="false">IF($P1383="","",INDEX(BookRate,1378)*$P1383)</f>
        <v/>
      </c>
      <c r="T1383" s="35" t="str">
        <f aca="false">IF($R1383="","",$R1383-$K1383)</f>
        <v/>
      </c>
      <c r="U1383" s="35" t="str">
        <f aca="false">IF(N($P1383)&lt;=0,"",COUNTIF($P$6:$P1383,"&gt;0"))</f>
        <v/>
      </c>
    </row>
    <row r="1384" customFormat="false" ht="15" hidden="false" customHeight="false" outlineLevel="0" collapsed="false">
      <c r="A1384" s="40" t="str">
        <f aca="false">IF(INDEX(BookTitle,1379)="","",INDEX(BookGroup,1379))</f>
        <v/>
      </c>
      <c r="B1384" s="40" t="str">
        <f aca="false">IF(INDEX(BookTitle,1379)="","",INDEX(BookRef,1379))</f>
        <v/>
      </c>
      <c r="C1384" s="40" t="str">
        <f aca="false">IF(INDEX(BookTitle,1379)="","",INDEX(BookDivision,1379))</f>
        <v/>
      </c>
      <c r="D1384" s="40" t="str">
        <f aca="false">IF(INDEX(BookTitle,1379)="","",INDEX(BookUnit,1379))</f>
        <v/>
      </c>
      <c r="E1384" s="40" t="str">
        <f aca="false">IF(INDEX(BookTitle,1379)="","",INDEX(BookTitle,1379))</f>
        <v/>
      </c>
      <c r="F1384" s="40" t="str">
        <f aca="false">IF(INDEX(BookTitle,1379)="","",INDEX(BookLevel,1379))</f>
        <v/>
      </c>
      <c r="G1384" s="40" t="str">
        <f aca="false">IF(INDEX(BookTitle,1379)="","",INDEX(BookCategory,1379))</f>
        <v/>
      </c>
      <c r="H1384" s="40" t="str">
        <f aca="false">IF(INDEX(BookTitle,1379)="","",INDEX(BookRank,1379))</f>
        <v/>
      </c>
      <c r="I1384" s="41" t="str">
        <f aca="false">IF(INDEX(BookTitle,1379)="","",INDEX(BookTotal,1379))</f>
        <v/>
      </c>
      <c r="J1384" s="0" t="str">
        <f aca="false">IF($I1384="","",IF(INDEX(BookQ1,1379)&gt;0,"Q1",IF(INDEX(BookQ2,1379)&gt;0,"Q2",IF(INDEX(BookQ3,1379)&gt;0,"Q3",IF(INDEX(BookQ4,1379)&gt;0,"Q4","")))))</f>
        <v/>
      </c>
      <c r="K1384" s="42" t="str">
        <f aca="false">IF(INDEX(BookTitle,1379)="","",INDEX(BookInYear,1379))</f>
        <v/>
      </c>
      <c r="L1384" s="19"/>
      <c r="M1384" s="39"/>
      <c r="N1384" s="19"/>
      <c r="O1384" s="19"/>
      <c r="P1384" s="43" t="str">
        <f aca="false">IF($E1384="","",IF($L1384="Decline",0,IF($L1384="Approve fewer",IF($M1384="","",$M1384),IF($L1384="","",$I1384))))</f>
        <v/>
      </c>
      <c r="Q1384" s="34" t="str">
        <f aca="false">IF($P1384="","",IF($N1384&lt;&gt;"",$N1384,$J1384))</f>
        <v/>
      </c>
      <c r="R1384" s="35" t="str">
        <f aca="false">IF(OR($P1384="",$Q1384=""),"",INDEX(BookRate,1379)*$P1384*(5-MATCH($Q1384,{"Q1";"Q2";"Q3";"Q4"},0))/4+INDEX(BookOneOff,1379)*$P1384)</f>
        <v/>
      </c>
      <c r="S1384" s="35" t="str">
        <f aca="false">IF($P1384="","",INDEX(BookRate,1379)*$P1384)</f>
        <v/>
      </c>
      <c r="T1384" s="35" t="str">
        <f aca="false">IF($R1384="","",$R1384-$K1384)</f>
        <v/>
      </c>
      <c r="U1384" s="35" t="str">
        <f aca="false">IF(N($P1384)&lt;=0,"",COUNTIF($P$6:$P1384,"&gt;0"))</f>
        <v/>
      </c>
    </row>
    <row r="1385" customFormat="false" ht="15" hidden="false" customHeight="false" outlineLevel="0" collapsed="false">
      <c r="A1385" s="40" t="str">
        <f aca="false">IF(INDEX(BookTitle,1380)="","",INDEX(BookGroup,1380))</f>
        <v/>
      </c>
      <c r="B1385" s="40" t="str">
        <f aca="false">IF(INDEX(BookTitle,1380)="","",INDEX(BookRef,1380))</f>
        <v/>
      </c>
      <c r="C1385" s="40" t="str">
        <f aca="false">IF(INDEX(BookTitle,1380)="","",INDEX(BookDivision,1380))</f>
        <v/>
      </c>
      <c r="D1385" s="40" t="str">
        <f aca="false">IF(INDEX(BookTitle,1380)="","",INDEX(BookUnit,1380))</f>
        <v/>
      </c>
      <c r="E1385" s="40" t="str">
        <f aca="false">IF(INDEX(BookTitle,1380)="","",INDEX(BookTitle,1380))</f>
        <v/>
      </c>
      <c r="F1385" s="40" t="str">
        <f aca="false">IF(INDEX(BookTitle,1380)="","",INDEX(BookLevel,1380))</f>
        <v/>
      </c>
      <c r="G1385" s="40" t="str">
        <f aca="false">IF(INDEX(BookTitle,1380)="","",INDEX(BookCategory,1380))</f>
        <v/>
      </c>
      <c r="H1385" s="40" t="str">
        <f aca="false">IF(INDEX(BookTitle,1380)="","",INDEX(BookRank,1380))</f>
        <v/>
      </c>
      <c r="I1385" s="41" t="str">
        <f aca="false">IF(INDEX(BookTitle,1380)="","",INDEX(BookTotal,1380))</f>
        <v/>
      </c>
      <c r="J1385" s="0" t="str">
        <f aca="false">IF($I1385="","",IF(INDEX(BookQ1,1380)&gt;0,"Q1",IF(INDEX(BookQ2,1380)&gt;0,"Q2",IF(INDEX(BookQ3,1380)&gt;0,"Q3",IF(INDEX(BookQ4,1380)&gt;0,"Q4","")))))</f>
        <v/>
      </c>
      <c r="K1385" s="42" t="str">
        <f aca="false">IF(INDEX(BookTitle,1380)="","",INDEX(BookInYear,1380))</f>
        <v/>
      </c>
      <c r="L1385" s="19"/>
      <c r="M1385" s="39"/>
      <c r="N1385" s="19"/>
      <c r="O1385" s="19"/>
      <c r="P1385" s="43" t="str">
        <f aca="false">IF($E1385="","",IF($L1385="Decline",0,IF($L1385="Approve fewer",IF($M1385="","",$M1385),IF($L1385="","",$I1385))))</f>
        <v/>
      </c>
      <c r="Q1385" s="34" t="str">
        <f aca="false">IF($P1385="","",IF($N1385&lt;&gt;"",$N1385,$J1385))</f>
        <v/>
      </c>
      <c r="R1385" s="35" t="str">
        <f aca="false">IF(OR($P1385="",$Q1385=""),"",INDEX(BookRate,1380)*$P1385*(5-MATCH($Q1385,{"Q1";"Q2";"Q3";"Q4"},0))/4+INDEX(BookOneOff,1380)*$P1385)</f>
        <v/>
      </c>
      <c r="S1385" s="35" t="str">
        <f aca="false">IF($P1385="","",INDEX(BookRate,1380)*$P1385)</f>
        <v/>
      </c>
      <c r="T1385" s="35" t="str">
        <f aca="false">IF($R1385="","",$R1385-$K1385)</f>
        <v/>
      </c>
      <c r="U1385" s="35" t="str">
        <f aca="false">IF(N($P1385)&lt;=0,"",COUNTIF($P$6:$P1385,"&gt;0"))</f>
        <v/>
      </c>
    </row>
    <row r="1386" customFormat="false" ht="15" hidden="false" customHeight="false" outlineLevel="0" collapsed="false">
      <c r="A1386" s="40" t="str">
        <f aca="false">IF(INDEX(BookTitle,1381)="","",INDEX(BookGroup,1381))</f>
        <v/>
      </c>
      <c r="B1386" s="40" t="str">
        <f aca="false">IF(INDEX(BookTitle,1381)="","",INDEX(BookRef,1381))</f>
        <v/>
      </c>
      <c r="C1386" s="40" t="str">
        <f aca="false">IF(INDEX(BookTitle,1381)="","",INDEX(BookDivision,1381))</f>
        <v/>
      </c>
      <c r="D1386" s="40" t="str">
        <f aca="false">IF(INDEX(BookTitle,1381)="","",INDEX(BookUnit,1381))</f>
        <v/>
      </c>
      <c r="E1386" s="40" t="str">
        <f aca="false">IF(INDEX(BookTitle,1381)="","",INDEX(BookTitle,1381))</f>
        <v/>
      </c>
      <c r="F1386" s="40" t="str">
        <f aca="false">IF(INDEX(BookTitle,1381)="","",INDEX(BookLevel,1381))</f>
        <v/>
      </c>
      <c r="G1386" s="40" t="str">
        <f aca="false">IF(INDEX(BookTitle,1381)="","",INDEX(BookCategory,1381))</f>
        <v/>
      </c>
      <c r="H1386" s="40" t="str">
        <f aca="false">IF(INDEX(BookTitle,1381)="","",INDEX(BookRank,1381))</f>
        <v/>
      </c>
      <c r="I1386" s="41" t="str">
        <f aca="false">IF(INDEX(BookTitle,1381)="","",INDEX(BookTotal,1381))</f>
        <v/>
      </c>
      <c r="J1386" s="0" t="str">
        <f aca="false">IF($I1386="","",IF(INDEX(BookQ1,1381)&gt;0,"Q1",IF(INDEX(BookQ2,1381)&gt;0,"Q2",IF(INDEX(BookQ3,1381)&gt;0,"Q3",IF(INDEX(BookQ4,1381)&gt;0,"Q4","")))))</f>
        <v/>
      </c>
      <c r="K1386" s="42" t="str">
        <f aca="false">IF(INDEX(BookTitle,1381)="","",INDEX(BookInYear,1381))</f>
        <v/>
      </c>
      <c r="L1386" s="19"/>
      <c r="M1386" s="39"/>
      <c r="N1386" s="19"/>
      <c r="O1386" s="19"/>
      <c r="P1386" s="43" t="str">
        <f aca="false">IF($E1386="","",IF($L1386="Decline",0,IF($L1386="Approve fewer",IF($M1386="","",$M1386),IF($L1386="","",$I1386))))</f>
        <v/>
      </c>
      <c r="Q1386" s="34" t="str">
        <f aca="false">IF($P1386="","",IF($N1386&lt;&gt;"",$N1386,$J1386))</f>
        <v/>
      </c>
      <c r="R1386" s="35" t="str">
        <f aca="false">IF(OR($P1386="",$Q1386=""),"",INDEX(BookRate,1381)*$P1386*(5-MATCH($Q1386,{"Q1";"Q2";"Q3";"Q4"},0))/4+INDEX(BookOneOff,1381)*$P1386)</f>
        <v/>
      </c>
      <c r="S1386" s="35" t="str">
        <f aca="false">IF($P1386="","",INDEX(BookRate,1381)*$P1386)</f>
        <v/>
      </c>
      <c r="T1386" s="35" t="str">
        <f aca="false">IF($R1386="","",$R1386-$K1386)</f>
        <v/>
      </c>
      <c r="U1386" s="35" t="str">
        <f aca="false">IF(N($P1386)&lt;=0,"",COUNTIF($P$6:$P1386,"&gt;0"))</f>
        <v/>
      </c>
    </row>
    <row r="1387" customFormat="false" ht="15" hidden="false" customHeight="false" outlineLevel="0" collapsed="false">
      <c r="A1387" s="40" t="str">
        <f aca="false">IF(INDEX(BookTitle,1382)="","",INDEX(BookGroup,1382))</f>
        <v/>
      </c>
      <c r="B1387" s="40" t="str">
        <f aca="false">IF(INDEX(BookTitle,1382)="","",INDEX(BookRef,1382))</f>
        <v/>
      </c>
      <c r="C1387" s="40" t="str">
        <f aca="false">IF(INDEX(BookTitle,1382)="","",INDEX(BookDivision,1382))</f>
        <v/>
      </c>
      <c r="D1387" s="40" t="str">
        <f aca="false">IF(INDEX(BookTitle,1382)="","",INDEX(BookUnit,1382))</f>
        <v/>
      </c>
      <c r="E1387" s="40" t="str">
        <f aca="false">IF(INDEX(BookTitle,1382)="","",INDEX(BookTitle,1382))</f>
        <v/>
      </c>
      <c r="F1387" s="40" t="str">
        <f aca="false">IF(INDEX(BookTitle,1382)="","",INDEX(BookLevel,1382))</f>
        <v/>
      </c>
      <c r="G1387" s="40" t="str">
        <f aca="false">IF(INDEX(BookTitle,1382)="","",INDEX(BookCategory,1382))</f>
        <v/>
      </c>
      <c r="H1387" s="40" t="str">
        <f aca="false">IF(INDEX(BookTitle,1382)="","",INDEX(BookRank,1382))</f>
        <v/>
      </c>
      <c r="I1387" s="41" t="str">
        <f aca="false">IF(INDEX(BookTitle,1382)="","",INDEX(BookTotal,1382))</f>
        <v/>
      </c>
      <c r="J1387" s="0" t="str">
        <f aca="false">IF($I1387="","",IF(INDEX(BookQ1,1382)&gt;0,"Q1",IF(INDEX(BookQ2,1382)&gt;0,"Q2",IF(INDEX(BookQ3,1382)&gt;0,"Q3",IF(INDEX(BookQ4,1382)&gt;0,"Q4","")))))</f>
        <v/>
      </c>
      <c r="K1387" s="42" t="str">
        <f aca="false">IF(INDEX(BookTitle,1382)="","",INDEX(BookInYear,1382))</f>
        <v/>
      </c>
      <c r="L1387" s="19"/>
      <c r="M1387" s="39"/>
      <c r="N1387" s="19"/>
      <c r="O1387" s="19"/>
      <c r="P1387" s="43" t="str">
        <f aca="false">IF($E1387="","",IF($L1387="Decline",0,IF($L1387="Approve fewer",IF($M1387="","",$M1387),IF($L1387="","",$I1387))))</f>
        <v/>
      </c>
      <c r="Q1387" s="34" t="str">
        <f aca="false">IF($P1387="","",IF($N1387&lt;&gt;"",$N1387,$J1387))</f>
        <v/>
      </c>
      <c r="R1387" s="35" t="str">
        <f aca="false">IF(OR($P1387="",$Q1387=""),"",INDEX(BookRate,1382)*$P1387*(5-MATCH($Q1387,{"Q1";"Q2";"Q3";"Q4"},0))/4+INDEX(BookOneOff,1382)*$P1387)</f>
        <v/>
      </c>
      <c r="S1387" s="35" t="str">
        <f aca="false">IF($P1387="","",INDEX(BookRate,1382)*$P1387)</f>
        <v/>
      </c>
      <c r="T1387" s="35" t="str">
        <f aca="false">IF($R1387="","",$R1387-$K1387)</f>
        <v/>
      </c>
      <c r="U1387" s="35" t="str">
        <f aca="false">IF(N($P1387)&lt;=0,"",COUNTIF($P$6:$P1387,"&gt;0"))</f>
        <v/>
      </c>
    </row>
    <row r="1388" customFormat="false" ht="15" hidden="false" customHeight="false" outlineLevel="0" collapsed="false">
      <c r="A1388" s="40" t="str">
        <f aca="false">IF(INDEX(BookTitle,1383)="","",INDEX(BookGroup,1383))</f>
        <v/>
      </c>
      <c r="B1388" s="40" t="str">
        <f aca="false">IF(INDEX(BookTitle,1383)="","",INDEX(BookRef,1383))</f>
        <v/>
      </c>
      <c r="C1388" s="40" t="str">
        <f aca="false">IF(INDEX(BookTitle,1383)="","",INDEX(BookDivision,1383))</f>
        <v/>
      </c>
      <c r="D1388" s="40" t="str">
        <f aca="false">IF(INDEX(BookTitle,1383)="","",INDEX(BookUnit,1383))</f>
        <v/>
      </c>
      <c r="E1388" s="40" t="str">
        <f aca="false">IF(INDEX(BookTitle,1383)="","",INDEX(BookTitle,1383))</f>
        <v/>
      </c>
      <c r="F1388" s="40" t="str">
        <f aca="false">IF(INDEX(BookTitle,1383)="","",INDEX(BookLevel,1383))</f>
        <v/>
      </c>
      <c r="G1388" s="40" t="str">
        <f aca="false">IF(INDEX(BookTitle,1383)="","",INDEX(BookCategory,1383))</f>
        <v/>
      </c>
      <c r="H1388" s="40" t="str">
        <f aca="false">IF(INDEX(BookTitle,1383)="","",INDEX(BookRank,1383))</f>
        <v/>
      </c>
      <c r="I1388" s="41" t="str">
        <f aca="false">IF(INDEX(BookTitle,1383)="","",INDEX(BookTotal,1383))</f>
        <v/>
      </c>
      <c r="J1388" s="0" t="str">
        <f aca="false">IF($I1388="","",IF(INDEX(BookQ1,1383)&gt;0,"Q1",IF(INDEX(BookQ2,1383)&gt;0,"Q2",IF(INDEX(BookQ3,1383)&gt;0,"Q3",IF(INDEX(BookQ4,1383)&gt;0,"Q4","")))))</f>
        <v/>
      </c>
      <c r="K1388" s="42" t="str">
        <f aca="false">IF(INDEX(BookTitle,1383)="","",INDEX(BookInYear,1383))</f>
        <v/>
      </c>
      <c r="L1388" s="19"/>
      <c r="M1388" s="39"/>
      <c r="N1388" s="19"/>
      <c r="O1388" s="19"/>
      <c r="P1388" s="43" t="str">
        <f aca="false">IF($E1388="","",IF($L1388="Decline",0,IF($L1388="Approve fewer",IF($M1388="","",$M1388),IF($L1388="","",$I1388))))</f>
        <v/>
      </c>
      <c r="Q1388" s="34" t="str">
        <f aca="false">IF($P1388="","",IF($N1388&lt;&gt;"",$N1388,$J1388))</f>
        <v/>
      </c>
      <c r="R1388" s="35" t="str">
        <f aca="false">IF(OR($P1388="",$Q1388=""),"",INDEX(BookRate,1383)*$P1388*(5-MATCH($Q1388,{"Q1";"Q2";"Q3";"Q4"},0))/4+INDEX(BookOneOff,1383)*$P1388)</f>
        <v/>
      </c>
      <c r="S1388" s="35" t="str">
        <f aca="false">IF($P1388="","",INDEX(BookRate,1383)*$P1388)</f>
        <v/>
      </c>
      <c r="T1388" s="35" t="str">
        <f aca="false">IF($R1388="","",$R1388-$K1388)</f>
        <v/>
      </c>
      <c r="U1388" s="35" t="str">
        <f aca="false">IF(N($P1388)&lt;=0,"",COUNTIF($P$6:$P1388,"&gt;0"))</f>
        <v/>
      </c>
    </row>
    <row r="1389" customFormat="false" ht="15" hidden="false" customHeight="false" outlineLevel="0" collapsed="false">
      <c r="A1389" s="40" t="str">
        <f aca="false">IF(INDEX(BookTitle,1384)="","",INDEX(BookGroup,1384))</f>
        <v/>
      </c>
      <c r="B1389" s="40" t="str">
        <f aca="false">IF(INDEX(BookTitle,1384)="","",INDEX(BookRef,1384))</f>
        <v/>
      </c>
      <c r="C1389" s="40" t="str">
        <f aca="false">IF(INDEX(BookTitle,1384)="","",INDEX(BookDivision,1384))</f>
        <v/>
      </c>
      <c r="D1389" s="40" t="str">
        <f aca="false">IF(INDEX(BookTitle,1384)="","",INDEX(BookUnit,1384))</f>
        <v/>
      </c>
      <c r="E1389" s="40" t="str">
        <f aca="false">IF(INDEX(BookTitle,1384)="","",INDEX(BookTitle,1384))</f>
        <v/>
      </c>
      <c r="F1389" s="40" t="str">
        <f aca="false">IF(INDEX(BookTitle,1384)="","",INDEX(BookLevel,1384))</f>
        <v/>
      </c>
      <c r="G1389" s="40" t="str">
        <f aca="false">IF(INDEX(BookTitle,1384)="","",INDEX(BookCategory,1384))</f>
        <v/>
      </c>
      <c r="H1389" s="40" t="str">
        <f aca="false">IF(INDEX(BookTitle,1384)="","",INDEX(BookRank,1384))</f>
        <v/>
      </c>
      <c r="I1389" s="41" t="str">
        <f aca="false">IF(INDEX(BookTitle,1384)="","",INDEX(BookTotal,1384))</f>
        <v/>
      </c>
      <c r="J1389" s="0" t="str">
        <f aca="false">IF($I1389="","",IF(INDEX(BookQ1,1384)&gt;0,"Q1",IF(INDEX(BookQ2,1384)&gt;0,"Q2",IF(INDEX(BookQ3,1384)&gt;0,"Q3",IF(INDEX(BookQ4,1384)&gt;0,"Q4","")))))</f>
        <v/>
      </c>
      <c r="K1389" s="42" t="str">
        <f aca="false">IF(INDEX(BookTitle,1384)="","",INDEX(BookInYear,1384))</f>
        <v/>
      </c>
      <c r="L1389" s="19"/>
      <c r="M1389" s="39"/>
      <c r="N1389" s="19"/>
      <c r="O1389" s="19"/>
      <c r="P1389" s="43" t="str">
        <f aca="false">IF($E1389="","",IF($L1389="Decline",0,IF($L1389="Approve fewer",IF($M1389="","",$M1389),IF($L1389="","",$I1389))))</f>
        <v/>
      </c>
      <c r="Q1389" s="34" t="str">
        <f aca="false">IF($P1389="","",IF($N1389&lt;&gt;"",$N1389,$J1389))</f>
        <v/>
      </c>
      <c r="R1389" s="35" t="str">
        <f aca="false">IF(OR($P1389="",$Q1389=""),"",INDEX(BookRate,1384)*$P1389*(5-MATCH($Q1389,{"Q1";"Q2";"Q3";"Q4"},0))/4+INDEX(BookOneOff,1384)*$P1389)</f>
        <v/>
      </c>
      <c r="S1389" s="35" t="str">
        <f aca="false">IF($P1389="","",INDEX(BookRate,1384)*$P1389)</f>
        <v/>
      </c>
      <c r="T1389" s="35" t="str">
        <f aca="false">IF($R1389="","",$R1389-$K1389)</f>
        <v/>
      </c>
      <c r="U1389" s="35" t="str">
        <f aca="false">IF(N($P1389)&lt;=0,"",COUNTIF($P$6:$P1389,"&gt;0"))</f>
        <v/>
      </c>
    </row>
    <row r="1390" customFormat="false" ht="15" hidden="false" customHeight="false" outlineLevel="0" collapsed="false">
      <c r="A1390" s="40" t="str">
        <f aca="false">IF(INDEX(BookTitle,1385)="","",INDEX(BookGroup,1385))</f>
        <v/>
      </c>
      <c r="B1390" s="40" t="str">
        <f aca="false">IF(INDEX(BookTitle,1385)="","",INDEX(BookRef,1385))</f>
        <v/>
      </c>
      <c r="C1390" s="40" t="str">
        <f aca="false">IF(INDEX(BookTitle,1385)="","",INDEX(BookDivision,1385))</f>
        <v/>
      </c>
      <c r="D1390" s="40" t="str">
        <f aca="false">IF(INDEX(BookTitle,1385)="","",INDEX(BookUnit,1385))</f>
        <v/>
      </c>
      <c r="E1390" s="40" t="str">
        <f aca="false">IF(INDEX(BookTitle,1385)="","",INDEX(BookTitle,1385))</f>
        <v/>
      </c>
      <c r="F1390" s="40" t="str">
        <f aca="false">IF(INDEX(BookTitle,1385)="","",INDEX(BookLevel,1385))</f>
        <v/>
      </c>
      <c r="G1390" s="40" t="str">
        <f aca="false">IF(INDEX(BookTitle,1385)="","",INDEX(BookCategory,1385))</f>
        <v/>
      </c>
      <c r="H1390" s="40" t="str">
        <f aca="false">IF(INDEX(BookTitle,1385)="","",INDEX(BookRank,1385))</f>
        <v/>
      </c>
      <c r="I1390" s="41" t="str">
        <f aca="false">IF(INDEX(BookTitle,1385)="","",INDEX(BookTotal,1385))</f>
        <v/>
      </c>
      <c r="J1390" s="0" t="str">
        <f aca="false">IF($I1390="","",IF(INDEX(BookQ1,1385)&gt;0,"Q1",IF(INDEX(BookQ2,1385)&gt;0,"Q2",IF(INDEX(BookQ3,1385)&gt;0,"Q3",IF(INDEX(BookQ4,1385)&gt;0,"Q4","")))))</f>
        <v/>
      </c>
      <c r="K1390" s="42" t="str">
        <f aca="false">IF(INDEX(BookTitle,1385)="","",INDEX(BookInYear,1385))</f>
        <v/>
      </c>
      <c r="L1390" s="19"/>
      <c r="M1390" s="39"/>
      <c r="N1390" s="19"/>
      <c r="O1390" s="19"/>
      <c r="P1390" s="43" t="str">
        <f aca="false">IF($E1390="","",IF($L1390="Decline",0,IF($L1390="Approve fewer",IF($M1390="","",$M1390),IF($L1390="","",$I1390))))</f>
        <v/>
      </c>
      <c r="Q1390" s="34" t="str">
        <f aca="false">IF($P1390="","",IF($N1390&lt;&gt;"",$N1390,$J1390))</f>
        <v/>
      </c>
      <c r="R1390" s="35" t="str">
        <f aca="false">IF(OR($P1390="",$Q1390=""),"",INDEX(BookRate,1385)*$P1390*(5-MATCH($Q1390,{"Q1";"Q2";"Q3";"Q4"},0))/4+INDEX(BookOneOff,1385)*$P1390)</f>
        <v/>
      </c>
      <c r="S1390" s="35" t="str">
        <f aca="false">IF($P1390="","",INDEX(BookRate,1385)*$P1390)</f>
        <v/>
      </c>
      <c r="T1390" s="35" t="str">
        <f aca="false">IF($R1390="","",$R1390-$K1390)</f>
        <v/>
      </c>
      <c r="U1390" s="35" t="str">
        <f aca="false">IF(N($P1390)&lt;=0,"",COUNTIF($P$6:$P1390,"&gt;0"))</f>
        <v/>
      </c>
    </row>
    <row r="1391" customFormat="false" ht="15" hidden="false" customHeight="false" outlineLevel="0" collapsed="false">
      <c r="A1391" s="40" t="str">
        <f aca="false">IF(INDEX(BookTitle,1386)="","",INDEX(BookGroup,1386))</f>
        <v/>
      </c>
      <c r="B1391" s="40" t="str">
        <f aca="false">IF(INDEX(BookTitle,1386)="","",INDEX(BookRef,1386))</f>
        <v/>
      </c>
      <c r="C1391" s="40" t="str">
        <f aca="false">IF(INDEX(BookTitle,1386)="","",INDEX(BookDivision,1386))</f>
        <v/>
      </c>
      <c r="D1391" s="40" t="str">
        <f aca="false">IF(INDEX(BookTitle,1386)="","",INDEX(BookUnit,1386))</f>
        <v/>
      </c>
      <c r="E1391" s="40" t="str">
        <f aca="false">IF(INDEX(BookTitle,1386)="","",INDEX(BookTitle,1386))</f>
        <v/>
      </c>
      <c r="F1391" s="40" t="str">
        <f aca="false">IF(INDEX(BookTitle,1386)="","",INDEX(BookLevel,1386))</f>
        <v/>
      </c>
      <c r="G1391" s="40" t="str">
        <f aca="false">IF(INDEX(BookTitle,1386)="","",INDEX(BookCategory,1386))</f>
        <v/>
      </c>
      <c r="H1391" s="40" t="str">
        <f aca="false">IF(INDEX(BookTitle,1386)="","",INDEX(BookRank,1386))</f>
        <v/>
      </c>
      <c r="I1391" s="41" t="str">
        <f aca="false">IF(INDEX(BookTitle,1386)="","",INDEX(BookTotal,1386))</f>
        <v/>
      </c>
      <c r="J1391" s="0" t="str">
        <f aca="false">IF($I1391="","",IF(INDEX(BookQ1,1386)&gt;0,"Q1",IF(INDEX(BookQ2,1386)&gt;0,"Q2",IF(INDEX(BookQ3,1386)&gt;0,"Q3",IF(INDEX(BookQ4,1386)&gt;0,"Q4","")))))</f>
        <v/>
      </c>
      <c r="K1391" s="42" t="str">
        <f aca="false">IF(INDEX(BookTitle,1386)="","",INDEX(BookInYear,1386))</f>
        <v/>
      </c>
      <c r="L1391" s="19"/>
      <c r="M1391" s="39"/>
      <c r="N1391" s="19"/>
      <c r="O1391" s="19"/>
      <c r="P1391" s="43" t="str">
        <f aca="false">IF($E1391="","",IF($L1391="Decline",0,IF($L1391="Approve fewer",IF($M1391="","",$M1391),IF($L1391="","",$I1391))))</f>
        <v/>
      </c>
      <c r="Q1391" s="34" t="str">
        <f aca="false">IF($P1391="","",IF($N1391&lt;&gt;"",$N1391,$J1391))</f>
        <v/>
      </c>
      <c r="R1391" s="35" t="str">
        <f aca="false">IF(OR($P1391="",$Q1391=""),"",INDEX(BookRate,1386)*$P1391*(5-MATCH($Q1391,{"Q1";"Q2";"Q3";"Q4"},0))/4+INDEX(BookOneOff,1386)*$P1391)</f>
        <v/>
      </c>
      <c r="S1391" s="35" t="str">
        <f aca="false">IF($P1391="","",INDEX(BookRate,1386)*$P1391)</f>
        <v/>
      </c>
      <c r="T1391" s="35" t="str">
        <f aca="false">IF($R1391="","",$R1391-$K1391)</f>
        <v/>
      </c>
      <c r="U1391" s="35" t="str">
        <f aca="false">IF(N($P1391)&lt;=0,"",COUNTIF($P$6:$P1391,"&gt;0"))</f>
        <v/>
      </c>
    </row>
    <row r="1392" customFormat="false" ht="15" hidden="false" customHeight="false" outlineLevel="0" collapsed="false">
      <c r="A1392" s="40" t="str">
        <f aca="false">IF(INDEX(BookTitle,1387)="","",INDEX(BookGroup,1387))</f>
        <v/>
      </c>
      <c r="B1392" s="40" t="str">
        <f aca="false">IF(INDEX(BookTitle,1387)="","",INDEX(BookRef,1387))</f>
        <v/>
      </c>
      <c r="C1392" s="40" t="str">
        <f aca="false">IF(INDEX(BookTitle,1387)="","",INDEX(BookDivision,1387))</f>
        <v/>
      </c>
      <c r="D1392" s="40" t="str">
        <f aca="false">IF(INDEX(BookTitle,1387)="","",INDEX(BookUnit,1387))</f>
        <v/>
      </c>
      <c r="E1392" s="40" t="str">
        <f aca="false">IF(INDEX(BookTitle,1387)="","",INDEX(BookTitle,1387))</f>
        <v/>
      </c>
      <c r="F1392" s="40" t="str">
        <f aca="false">IF(INDEX(BookTitle,1387)="","",INDEX(BookLevel,1387))</f>
        <v/>
      </c>
      <c r="G1392" s="40" t="str">
        <f aca="false">IF(INDEX(BookTitle,1387)="","",INDEX(BookCategory,1387))</f>
        <v/>
      </c>
      <c r="H1392" s="40" t="str">
        <f aca="false">IF(INDEX(BookTitle,1387)="","",INDEX(BookRank,1387))</f>
        <v/>
      </c>
      <c r="I1392" s="41" t="str">
        <f aca="false">IF(INDEX(BookTitle,1387)="","",INDEX(BookTotal,1387))</f>
        <v/>
      </c>
      <c r="J1392" s="0" t="str">
        <f aca="false">IF($I1392="","",IF(INDEX(BookQ1,1387)&gt;0,"Q1",IF(INDEX(BookQ2,1387)&gt;0,"Q2",IF(INDEX(BookQ3,1387)&gt;0,"Q3",IF(INDEX(BookQ4,1387)&gt;0,"Q4","")))))</f>
        <v/>
      </c>
      <c r="K1392" s="42" t="str">
        <f aca="false">IF(INDEX(BookTitle,1387)="","",INDEX(BookInYear,1387))</f>
        <v/>
      </c>
      <c r="L1392" s="19"/>
      <c r="M1392" s="39"/>
      <c r="N1392" s="19"/>
      <c r="O1392" s="19"/>
      <c r="P1392" s="43" t="str">
        <f aca="false">IF($E1392="","",IF($L1392="Decline",0,IF($L1392="Approve fewer",IF($M1392="","",$M1392),IF($L1392="","",$I1392))))</f>
        <v/>
      </c>
      <c r="Q1392" s="34" t="str">
        <f aca="false">IF($P1392="","",IF($N1392&lt;&gt;"",$N1392,$J1392))</f>
        <v/>
      </c>
      <c r="R1392" s="35" t="str">
        <f aca="false">IF(OR($P1392="",$Q1392=""),"",INDEX(BookRate,1387)*$P1392*(5-MATCH($Q1392,{"Q1";"Q2";"Q3";"Q4"},0))/4+INDEX(BookOneOff,1387)*$P1392)</f>
        <v/>
      </c>
      <c r="S1392" s="35" t="str">
        <f aca="false">IF($P1392="","",INDEX(BookRate,1387)*$P1392)</f>
        <v/>
      </c>
      <c r="T1392" s="35" t="str">
        <f aca="false">IF($R1392="","",$R1392-$K1392)</f>
        <v/>
      </c>
      <c r="U1392" s="35" t="str">
        <f aca="false">IF(N($P1392)&lt;=0,"",COUNTIF($P$6:$P1392,"&gt;0"))</f>
        <v/>
      </c>
    </row>
    <row r="1393" customFormat="false" ht="15" hidden="false" customHeight="false" outlineLevel="0" collapsed="false">
      <c r="A1393" s="40" t="str">
        <f aca="false">IF(INDEX(BookTitle,1388)="","",INDEX(BookGroup,1388))</f>
        <v/>
      </c>
      <c r="B1393" s="40" t="str">
        <f aca="false">IF(INDEX(BookTitle,1388)="","",INDEX(BookRef,1388))</f>
        <v/>
      </c>
      <c r="C1393" s="40" t="str">
        <f aca="false">IF(INDEX(BookTitle,1388)="","",INDEX(BookDivision,1388))</f>
        <v/>
      </c>
      <c r="D1393" s="40" t="str">
        <f aca="false">IF(INDEX(BookTitle,1388)="","",INDEX(BookUnit,1388))</f>
        <v/>
      </c>
      <c r="E1393" s="40" t="str">
        <f aca="false">IF(INDEX(BookTitle,1388)="","",INDEX(BookTitle,1388))</f>
        <v/>
      </c>
      <c r="F1393" s="40" t="str">
        <f aca="false">IF(INDEX(BookTitle,1388)="","",INDEX(BookLevel,1388))</f>
        <v/>
      </c>
      <c r="G1393" s="40" t="str">
        <f aca="false">IF(INDEX(BookTitle,1388)="","",INDEX(BookCategory,1388))</f>
        <v/>
      </c>
      <c r="H1393" s="40" t="str">
        <f aca="false">IF(INDEX(BookTitle,1388)="","",INDEX(BookRank,1388))</f>
        <v/>
      </c>
      <c r="I1393" s="41" t="str">
        <f aca="false">IF(INDEX(BookTitle,1388)="","",INDEX(BookTotal,1388))</f>
        <v/>
      </c>
      <c r="J1393" s="0" t="str">
        <f aca="false">IF($I1393="","",IF(INDEX(BookQ1,1388)&gt;0,"Q1",IF(INDEX(BookQ2,1388)&gt;0,"Q2",IF(INDEX(BookQ3,1388)&gt;0,"Q3",IF(INDEX(BookQ4,1388)&gt;0,"Q4","")))))</f>
        <v/>
      </c>
      <c r="K1393" s="42" t="str">
        <f aca="false">IF(INDEX(BookTitle,1388)="","",INDEX(BookInYear,1388))</f>
        <v/>
      </c>
      <c r="L1393" s="19"/>
      <c r="M1393" s="39"/>
      <c r="N1393" s="19"/>
      <c r="O1393" s="19"/>
      <c r="P1393" s="43" t="str">
        <f aca="false">IF($E1393="","",IF($L1393="Decline",0,IF($L1393="Approve fewer",IF($M1393="","",$M1393),IF($L1393="","",$I1393))))</f>
        <v/>
      </c>
      <c r="Q1393" s="34" t="str">
        <f aca="false">IF($P1393="","",IF($N1393&lt;&gt;"",$N1393,$J1393))</f>
        <v/>
      </c>
      <c r="R1393" s="35" t="str">
        <f aca="false">IF(OR($P1393="",$Q1393=""),"",INDEX(BookRate,1388)*$P1393*(5-MATCH($Q1393,{"Q1";"Q2";"Q3";"Q4"},0))/4+INDEX(BookOneOff,1388)*$P1393)</f>
        <v/>
      </c>
      <c r="S1393" s="35" t="str">
        <f aca="false">IF($P1393="","",INDEX(BookRate,1388)*$P1393)</f>
        <v/>
      </c>
      <c r="T1393" s="35" t="str">
        <f aca="false">IF($R1393="","",$R1393-$K1393)</f>
        <v/>
      </c>
      <c r="U1393" s="35" t="str">
        <f aca="false">IF(N($P1393)&lt;=0,"",COUNTIF($P$6:$P1393,"&gt;0"))</f>
        <v/>
      </c>
    </row>
    <row r="1394" customFormat="false" ht="15" hidden="false" customHeight="false" outlineLevel="0" collapsed="false">
      <c r="A1394" s="40" t="str">
        <f aca="false">IF(INDEX(BookTitle,1389)="","",INDEX(BookGroup,1389))</f>
        <v/>
      </c>
      <c r="B1394" s="40" t="str">
        <f aca="false">IF(INDEX(BookTitle,1389)="","",INDEX(BookRef,1389))</f>
        <v/>
      </c>
      <c r="C1394" s="40" t="str">
        <f aca="false">IF(INDEX(BookTitle,1389)="","",INDEX(BookDivision,1389))</f>
        <v/>
      </c>
      <c r="D1394" s="40" t="str">
        <f aca="false">IF(INDEX(BookTitle,1389)="","",INDEX(BookUnit,1389))</f>
        <v/>
      </c>
      <c r="E1394" s="40" t="str">
        <f aca="false">IF(INDEX(BookTitle,1389)="","",INDEX(BookTitle,1389))</f>
        <v/>
      </c>
      <c r="F1394" s="40" t="str">
        <f aca="false">IF(INDEX(BookTitle,1389)="","",INDEX(BookLevel,1389))</f>
        <v/>
      </c>
      <c r="G1394" s="40" t="str">
        <f aca="false">IF(INDEX(BookTitle,1389)="","",INDEX(BookCategory,1389))</f>
        <v/>
      </c>
      <c r="H1394" s="40" t="str">
        <f aca="false">IF(INDEX(BookTitle,1389)="","",INDEX(BookRank,1389))</f>
        <v/>
      </c>
      <c r="I1394" s="41" t="str">
        <f aca="false">IF(INDEX(BookTitle,1389)="","",INDEX(BookTotal,1389))</f>
        <v/>
      </c>
      <c r="J1394" s="0" t="str">
        <f aca="false">IF($I1394="","",IF(INDEX(BookQ1,1389)&gt;0,"Q1",IF(INDEX(BookQ2,1389)&gt;0,"Q2",IF(INDEX(BookQ3,1389)&gt;0,"Q3",IF(INDEX(BookQ4,1389)&gt;0,"Q4","")))))</f>
        <v/>
      </c>
      <c r="K1394" s="42" t="str">
        <f aca="false">IF(INDEX(BookTitle,1389)="","",INDEX(BookInYear,1389))</f>
        <v/>
      </c>
      <c r="L1394" s="19"/>
      <c r="M1394" s="39"/>
      <c r="N1394" s="19"/>
      <c r="O1394" s="19"/>
      <c r="P1394" s="43" t="str">
        <f aca="false">IF($E1394="","",IF($L1394="Decline",0,IF($L1394="Approve fewer",IF($M1394="","",$M1394),IF($L1394="","",$I1394))))</f>
        <v/>
      </c>
      <c r="Q1394" s="34" t="str">
        <f aca="false">IF($P1394="","",IF($N1394&lt;&gt;"",$N1394,$J1394))</f>
        <v/>
      </c>
      <c r="R1394" s="35" t="str">
        <f aca="false">IF(OR($P1394="",$Q1394=""),"",INDEX(BookRate,1389)*$P1394*(5-MATCH($Q1394,{"Q1";"Q2";"Q3";"Q4"},0))/4+INDEX(BookOneOff,1389)*$P1394)</f>
        <v/>
      </c>
      <c r="S1394" s="35" t="str">
        <f aca="false">IF($P1394="","",INDEX(BookRate,1389)*$P1394)</f>
        <v/>
      </c>
      <c r="T1394" s="35" t="str">
        <f aca="false">IF($R1394="","",$R1394-$K1394)</f>
        <v/>
      </c>
      <c r="U1394" s="35" t="str">
        <f aca="false">IF(N($P1394)&lt;=0,"",COUNTIF($P$6:$P1394,"&gt;0"))</f>
        <v/>
      </c>
    </row>
    <row r="1395" customFormat="false" ht="15" hidden="false" customHeight="false" outlineLevel="0" collapsed="false">
      <c r="A1395" s="40" t="str">
        <f aca="false">IF(INDEX(BookTitle,1390)="","",INDEX(BookGroup,1390))</f>
        <v/>
      </c>
      <c r="B1395" s="40" t="str">
        <f aca="false">IF(INDEX(BookTitle,1390)="","",INDEX(BookRef,1390))</f>
        <v/>
      </c>
      <c r="C1395" s="40" t="str">
        <f aca="false">IF(INDEX(BookTitle,1390)="","",INDEX(BookDivision,1390))</f>
        <v/>
      </c>
      <c r="D1395" s="40" t="str">
        <f aca="false">IF(INDEX(BookTitle,1390)="","",INDEX(BookUnit,1390))</f>
        <v/>
      </c>
      <c r="E1395" s="40" t="str">
        <f aca="false">IF(INDEX(BookTitle,1390)="","",INDEX(BookTitle,1390))</f>
        <v/>
      </c>
      <c r="F1395" s="40" t="str">
        <f aca="false">IF(INDEX(BookTitle,1390)="","",INDEX(BookLevel,1390))</f>
        <v/>
      </c>
      <c r="G1395" s="40" t="str">
        <f aca="false">IF(INDEX(BookTitle,1390)="","",INDEX(BookCategory,1390))</f>
        <v/>
      </c>
      <c r="H1395" s="40" t="str">
        <f aca="false">IF(INDEX(BookTitle,1390)="","",INDEX(BookRank,1390))</f>
        <v/>
      </c>
      <c r="I1395" s="41" t="str">
        <f aca="false">IF(INDEX(BookTitle,1390)="","",INDEX(BookTotal,1390))</f>
        <v/>
      </c>
      <c r="J1395" s="0" t="str">
        <f aca="false">IF($I1395="","",IF(INDEX(BookQ1,1390)&gt;0,"Q1",IF(INDEX(BookQ2,1390)&gt;0,"Q2",IF(INDEX(BookQ3,1390)&gt;0,"Q3",IF(INDEX(BookQ4,1390)&gt;0,"Q4","")))))</f>
        <v/>
      </c>
      <c r="K1395" s="42" t="str">
        <f aca="false">IF(INDEX(BookTitle,1390)="","",INDEX(BookInYear,1390))</f>
        <v/>
      </c>
      <c r="L1395" s="19"/>
      <c r="M1395" s="39"/>
      <c r="N1395" s="19"/>
      <c r="O1395" s="19"/>
      <c r="P1395" s="43" t="str">
        <f aca="false">IF($E1395="","",IF($L1395="Decline",0,IF($L1395="Approve fewer",IF($M1395="","",$M1395),IF($L1395="","",$I1395))))</f>
        <v/>
      </c>
      <c r="Q1395" s="34" t="str">
        <f aca="false">IF($P1395="","",IF($N1395&lt;&gt;"",$N1395,$J1395))</f>
        <v/>
      </c>
      <c r="R1395" s="35" t="str">
        <f aca="false">IF(OR($P1395="",$Q1395=""),"",INDEX(BookRate,1390)*$P1395*(5-MATCH($Q1395,{"Q1";"Q2";"Q3";"Q4"},0))/4+INDEX(BookOneOff,1390)*$P1395)</f>
        <v/>
      </c>
      <c r="S1395" s="35" t="str">
        <f aca="false">IF($P1395="","",INDEX(BookRate,1390)*$P1395)</f>
        <v/>
      </c>
      <c r="T1395" s="35" t="str">
        <f aca="false">IF($R1395="","",$R1395-$K1395)</f>
        <v/>
      </c>
      <c r="U1395" s="35" t="str">
        <f aca="false">IF(N($P1395)&lt;=0,"",COUNTIF($P$6:$P1395,"&gt;0"))</f>
        <v/>
      </c>
    </row>
    <row r="1396" customFormat="false" ht="15" hidden="false" customHeight="false" outlineLevel="0" collapsed="false">
      <c r="A1396" s="40" t="str">
        <f aca="false">IF(INDEX(BookTitle,1391)="","",INDEX(BookGroup,1391))</f>
        <v/>
      </c>
      <c r="B1396" s="40" t="str">
        <f aca="false">IF(INDEX(BookTitle,1391)="","",INDEX(BookRef,1391))</f>
        <v/>
      </c>
      <c r="C1396" s="40" t="str">
        <f aca="false">IF(INDEX(BookTitle,1391)="","",INDEX(BookDivision,1391))</f>
        <v/>
      </c>
      <c r="D1396" s="40" t="str">
        <f aca="false">IF(INDEX(BookTitle,1391)="","",INDEX(BookUnit,1391))</f>
        <v/>
      </c>
      <c r="E1396" s="40" t="str">
        <f aca="false">IF(INDEX(BookTitle,1391)="","",INDEX(BookTitle,1391))</f>
        <v/>
      </c>
      <c r="F1396" s="40" t="str">
        <f aca="false">IF(INDEX(BookTitle,1391)="","",INDEX(BookLevel,1391))</f>
        <v/>
      </c>
      <c r="G1396" s="40" t="str">
        <f aca="false">IF(INDEX(BookTitle,1391)="","",INDEX(BookCategory,1391))</f>
        <v/>
      </c>
      <c r="H1396" s="40" t="str">
        <f aca="false">IF(INDEX(BookTitle,1391)="","",INDEX(BookRank,1391))</f>
        <v/>
      </c>
      <c r="I1396" s="41" t="str">
        <f aca="false">IF(INDEX(BookTitle,1391)="","",INDEX(BookTotal,1391))</f>
        <v/>
      </c>
      <c r="J1396" s="0" t="str">
        <f aca="false">IF($I1396="","",IF(INDEX(BookQ1,1391)&gt;0,"Q1",IF(INDEX(BookQ2,1391)&gt;0,"Q2",IF(INDEX(BookQ3,1391)&gt;0,"Q3",IF(INDEX(BookQ4,1391)&gt;0,"Q4","")))))</f>
        <v/>
      </c>
      <c r="K1396" s="42" t="str">
        <f aca="false">IF(INDEX(BookTitle,1391)="","",INDEX(BookInYear,1391))</f>
        <v/>
      </c>
      <c r="L1396" s="19"/>
      <c r="M1396" s="39"/>
      <c r="N1396" s="19"/>
      <c r="O1396" s="19"/>
      <c r="P1396" s="43" t="str">
        <f aca="false">IF($E1396="","",IF($L1396="Decline",0,IF($L1396="Approve fewer",IF($M1396="","",$M1396),IF($L1396="","",$I1396))))</f>
        <v/>
      </c>
      <c r="Q1396" s="34" t="str">
        <f aca="false">IF($P1396="","",IF($N1396&lt;&gt;"",$N1396,$J1396))</f>
        <v/>
      </c>
      <c r="R1396" s="35" t="str">
        <f aca="false">IF(OR($P1396="",$Q1396=""),"",INDEX(BookRate,1391)*$P1396*(5-MATCH($Q1396,{"Q1";"Q2";"Q3";"Q4"},0))/4+INDEX(BookOneOff,1391)*$P1396)</f>
        <v/>
      </c>
      <c r="S1396" s="35" t="str">
        <f aca="false">IF($P1396="","",INDEX(BookRate,1391)*$P1396)</f>
        <v/>
      </c>
      <c r="T1396" s="35" t="str">
        <f aca="false">IF($R1396="","",$R1396-$K1396)</f>
        <v/>
      </c>
      <c r="U1396" s="35" t="str">
        <f aca="false">IF(N($P1396)&lt;=0,"",COUNTIF($P$6:$P1396,"&gt;0"))</f>
        <v/>
      </c>
    </row>
    <row r="1397" customFormat="false" ht="15" hidden="false" customHeight="false" outlineLevel="0" collapsed="false">
      <c r="A1397" s="40" t="str">
        <f aca="false">IF(INDEX(BookTitle,1392)="","",INDEX(BookGroup,1392))</f>
        <v/>
      </c>
      <c r="B1397" s="40" t="str">
        <f aca="false">IF(INDEX(BookTitle,1392)="","",INDEX(BookRef,1392))</f>
        <v/>
      </c>
      <c r="C1397" s="40" t="str">
        <f aca="false">IF(INDEX(BookTitle,1392)="","",INDEX(BookDivision,1392))</f>
        <v/>
      </c>
      <c r="D1397" s="40" t="str">
        <f aca="false">IF(INDEX(BookTitle,1392)="","",INDEX(BookUnit,1392))</f>
        <v/>
      </c>
      <c r="E1397" s="40" t="str">
        <f aca="false">IF(INDEX(BookTitle,1392)="","",INDEX(BookTitle,1392))</f>
        <v/>
      </c>
      <c r="F1397" s="40" t="str">
        <f aca="false">IF(INDEX(BookTitle,1392)="","",INDEX(BookLevel,1392))</f>
        <v/>
      </c>
      <c r="G1397" s="40" t="str">
        <f aca="false">IF(INDEX(BookTitle,1392)="","",INDEX(BookCategory,1392))</f>
        <v/>
      </c>
      <c r="H1397" s="40" t="str">
        <f aca="false">IF(INDEX(BookTitle,1392)="","",INDEX(BookRank,1392))</f>
        <v/>
      </c>
      <c r="I1397" s="41" t="str">
        <f aca="false">IF(INDEX(BookTitle,1392)="","",INDEX(BookTotal,1392))</f>
        <v/>
      </c>
      <c r="J1397" s="0" t="str">
        <f aca="false">IF($I1397="","",IF(INDEX(BookQ1,1392)&gt;0,"Q1",IF(INDEX(BookQ2,1392)&gt;0,"Q2",IF(INDEX(BookQ3,1392)&gt;0,"Q3",IF(INDEX(BookQ4,1392)&gt;0,"Q4","")))))</f>
        <v/>
      </c>
      <c r="K1397" s="42" t="str">
        <f aca="false">IF(INDEX(BookTitle,1392)="","",INDEX(BookInYear,1392))</f>
        <v/>
      </c>
      <c r="L1397" s="19"/>
      <c r="M1397" s="39"/>
      <c r="N1397" s="19"/>
      <c r="O1397" s="19"/>
      <c r="P1397" s="43" t="str">
        <f aca="false">IF($E1397="","",IF($L1397="Decline",0,IF($L1397="Approve fewer",IF($M1397="","",$M1397),IF($L1397="","",$I1397))))</f>
        <v/>
      </c>
      <c r="Q1397" s="34" t="str">
        <f aca="false">IF($P1397="","",IF($N1397&lt;&gt;"",$N1397,$J1397))</f>
        <v/>
      </c>
      <c r="R1397" s="35" t="str">
        <f aca="false">IF(OR($P1397="",$Q1397=""),"",INDEX(BookRate,1392)*$P1397*(5-MATCH($Q1397,{"Q1";"Q2";"Q3";"Q4"},0))/4+INDEX(BookOneOff,1392)*$P1397)</f>
        <v/>
      </c>
      <c r="S1397" s="35" t="str">
        <f aca="false">IF($P1397="","",INDEX(BookRate,1392)*$P1397)</f>
        <v/>
      </c>
      <c r="T1397" s="35" t="str">
        <f aca="false">IF($R1397="","",$R1397-$K1397)</f>
        <v/>
      </c>
      <c r="U1397" s="35" t="str">
        <f aca="false">IF(N($P1397)&lt;=0,"",COUNTIF($P$6:$P1397,"&gt;0"))</f>
        <v/>
      </c>
    </row>
    <row r="1398" customFormat="false" ht="15" hidden="false" customHeight="false" outlineLevel="0" collapsed="false">
      <c r="A1398" s="40" t="str">
        <f aca="false">IF(INDEX(BookTitle,1393)="","",INDEX(BookGroup,1393))</f>
        <v/>
      </c>
      <c r="B1398" s="40" t="str">
        <f aca="false">IF(INDEX(BookTitle,1393)="","",INDEX(BookRef,1393))</f>
        <v/>
      </c>
      <c r="C1398" s="40" t="str">
        <f aca="false">IF(INDEX(BookTitle,1393)="","",INDEX(BookDivision,1393))</f>
        <v/>
      </c>
      <c r="D1398" s="40" t="str">
        <f aca="false">IF(INDEX(BookTitle,1393)="","",INDEX(BookUnit,1393))</f>
        <v/>
      </c>
      <c r="E1398" s="40" t="str">
        <f aca="false">IF(INDEX(BookTitle,1393)="","",INDEX(BookTitle,1393))</f>
        <v/>
      </c>
      <c r="F1398" s="40" t="str">
        <f aca="false">IF(INDEX(BookTitle,1393)="","",INDEX(BookLevel,1393))</f>
        <v/>
      </c>
      <c r="G1398" s="40" t="str">
        <f aca="false">IF(INDEX(BookTitle,1393)="","",INDEX(BookCategory,1393))</f>
        <v/>
      </c>
      <c r="H1398" s="40" t="str">
        <f aca="false">IF(INDEX(BookTitle,1393)="","",INDEX(BookRank,1393))</f>
        <v/>
      </c>
      <c r="I1398" s="41" t="str">
        <f aca="false">IF(INDEX(BookTitle,1393)="","",INDEX(BookTotal,1393))</f>
        <v/>
      </c>
      <c r="J1398" s="0" t="str">
        <f aca="false">IF($I1398="","",IF(INDEX(BookQ1,1393)&gt;0,"Q1",IF(INDEX(BookQ2,1393)&gt;0,"Q2",IF(INDEX(BookQ3,1393)&gt;0,"Q3",IF(INDEX(BookQ4,1393)&gt;0,"Q4","")))))</f>
        <v/>
      </c>
      <c r="K1398" s="42" t="str">
        <f aca="false">IF(INDEX(BookTitle,1393)="","",INDEX(BookInYear,1393))</f>
        <v/>
      </c>
      <c r="L1398" s="19"/>
      <c r="M1398" s="39"/>
      <c r="N1398" s="19"/>
      <c r="O1398" s="19"/>
      <c r="P1398" s="43" t="str">
        <f aca="false">IF($E1398="","",IF($L1398="Decline",0,IF($L1398="Approve fewer",IF($M1398="","",$M1398),IF($L1398="","",$I1398))))</f>
        <v/>
      </c>
      <c r="Q1398" s="34" t="str">
        <f aca="false">IF($P1398="","",IF($N1398&lt;&gt;"",$N1398,$J1398))</f>
        <v/>
      </c>
      <c r="R1398" s="35" t="str">
        <f aca="false">IF(OR($P1398="",$Q1398=""),"",INDEX(BookRate,1393)*$P1398*(5-MATCH($Q1398,{"Q1";"Q2";"Q3";"Q4"},0))/4+INDEX(BookOneOff,1393)*$P1398)</f>
        <v/>
      </c>
      <c r="S1398" s="35" t="str">
        <f aca="false">IF($P1398="","",INDEX(BookRate,1393)*$P1398)</f>
        <v/>
      </c>
      <c r="T1398" s="35" t="str">
        <f aca="false">IF($R1398="","",$R1398-$K1398)</f>
        <v/>
      </c>
      <c r="U1398" s="35" t="str">
        <f aca="false">IF(N($P1398)&lt;=0,"",COUNTIF($P$6:$P1398,"&gt;0"))</f>
        <v/>
      </c>
    </row>
    <row r="1399" customFormat="false" ht="15" hidden="false" customHeight="false" outlineLevel="0" collapsed="false">
      <c r="A1399" s="40" t="str">
        <f aca="false">IF(INDEX(BookTitle,1394)="","",INDEX(BookGroup,1394))</f>
        <v/>
      </c>
      <c r="B1399" s="40" t="str">
        <f aca="false">IF(INDEX(BookTitle,1394)="","",INDEX(BookRef,1394))</f>
        <v/>
      </c>
      <c r="C1399" s="40" t="str">
        <f aca="false">IF(INDEX(BookTitle,1394)="","",INDEX(BookDivision,1394))</f>
        <v/>
      </c>
      <c r="D1399" s="40" t="str">
        <f aca="false">IF(INDEX(BookTitle,1394)="","",INDEX(BookUnit,1394))</f>
        <v/>
      </c>
      <c r="E1399" s="40" t="str">
        <f aca="false">IF(INDEX(BookTitle,1394)="","",INDEX(BookTitle,1394))</f>
        <v/>
      </c>
      <c r="F1399" s="40" t="str">
        <f aca="false">IF(INDEX(BookTitle,1394)="","",INDEX(BookLevel,1394))</f>
        <v/>
      </c>
      <c r="G1399" s="40" t="str">
        <f aca="false">IF(INDEX(BookTitle,1394)="","",INDEX(BookCategory,1394))</f>
        <v/>
      </c>
      <c r="H1399" s="40" t="str">
        <f aca="false">IF(INDEX(BookTitle,1394)="","",INDEX(BookRank,1394))</f>
        <v/>
      </c>
      <c r="I1399" s="41" t="str">
        <f aca="false">IF(INDEX(BookTitle,1394)="","",INDEX(BookTotal,1394))</f>
        <v/>
      </c>
      <c r="J1399" s="0" t="str">
        <f aca="false">IF($I1399="","",IF(INDEX(BookQ1,1394)&gt;0,"Q1",IF(INDEX(BookQ2,1394)&gt;0,"Q2",IF(INDEX(BookQ3,1394)&gt;0,"Q3",IF(INDEX(BookQ4,1394)&gt;0,"Q4","")))))</f>
        <v/>
      </c>
      <c r="K1399" s="42" t="str">
        <f aca="false">IF(INDEX(BookTitle,1394)="","",INDEX(BookInYear,1394))</f>
        <v/>
      </c>
      <c r="L1399" s="19"/>
      <c r="M1399" s="39"/>
      <c r="N1399" s="19"/>
      <c r="O1399" s="19"/>
      <c r="P1399" s="43" t="str">
        <f aca="false">IF($E1399="","",IF($L1399="Decline",0,IF($L1399="Approve fewer",IF($M1399="","",$M1399),IF($L1399="","",$I1399))))</f>
        <v/>
      </c>
      <c r="Q1399" s="34" t="str">
        <f aca="false">IF($P1399="","",IF($N1399&lt;&gt;"",$N1399,$J1399))</f>
        <v/>
      </c>
      <c r="R1399" s="35" t="str">
        <f aca="false">IF(OR($P1399="",$Q1399=""),"",INDEX(BookRate,1394)*$P1399*(5-MATCH($Q1399,{"Q1";"Q2";"Q3";"Q4"},0))/4+INDEX(BookOneOff,1394)*$P1399)</f>
        <v/>
      </c>
      <c r="S1399" s="35" t="str">
        <f aca="false">IF($P1399="","",INDEX(BookRate,1394)*$P1399)</f>
        <v/>
      </c>
      <c r="T1399" s="35" t="str">
        <f aca="false">IF($R1399="","",$R1399-$K1399)</f>
        <v/>
      </c>
      <c r="U1399" s="35" t="str">
        <f aca="false">IF(N($P1399)&lt;=0,"",COUNTIF($P$6:$P1399,"&gt;0"))</f>
        <v/>
      </c>
    </row>
    <row r="1400" customFormat="false" ht="15" hidden="false" customHeight="false" outlineLevel="0" collapsed="false">
      <c r="A1400" s="40" t="str">
        <f aca="false">IF(INDEX(BookTitle,1395)="","",INDEX(BookGroup,1395))</f>
        <v/>
      </c>
      <c r="B1400" s="40" t="str">
        <f aca="false">IF(INDEX(BookTitle,1395)="","",INDEX(BookRef,1395))</f>
        <v/>
      </c>
      <c r="C1400" s="40" t="str">
        <f aca="false">IF(INDEX(BookTitle,1395)="","",INDEX(BookDivision,1395))</f>
        <v/>
      </c>
      <c r="D1400" s="40" t="str">
        <f aca="false">IF(INDEX(BookTitle,1395)="","",INDEX(BookUnit,1395))</f>
        <v/>
      </c>
      <c r="E1400" s="40" t="str">
        <f aca="false">IF(INDEX(BookTitle,1395)="","",INDEX(BookTitle,1395))</f>
        <v/>
      </c>
      <c r="F1400" s="40" t="str">
        <f aca="false">IF(INDEX(BookTitle,1395)="","",INDEX(BookLevel,1395))</f>
        <v/>
      </c>
      <c r="G1400" s="40" t="str">
        <f aca="false">IF(INDEX(BookTitle,1395)="","",INDEX(BookCategory,1395))</f>
        <v/>
      </c>
      <c r="H1400" s="40" t="str">
        <f aca="false">IF(INDEX(BookTitle,1395)="","",INDEX(BookRank,1395))</f>
        <v/>
      </c>
      <c r="I1400" s="41" t="str">
        <f aca="false">IF(INDEX(BookTitle,1395)="","",INDEX(BookTotal,1395))</f>
        <v/>
      </c>
      <c r="J1400" s="0" t="str">
        <f aca="false">IF($I1400="","",IF(INDEX(BookQ1,1395)&gt;0,"Q1",IF(INDEX(BookQ2,1395)&gt;0,"Q2",IF(INDEX(BookQ3,1395)&gt;0,"Q3",IF(INDEX(BookQ4,1395)&gt;0,"Q4","")))))</f>
        <v/>
      </c>
      <c r="K1400" s="42" t="str">
        <f aca="false">IF(INDEX(BookTitle,1395)="","",INDEX(BookInYear,1395))</f>
        <v/>
      </c>
      <c r="L1400" s="19"/>
      <c r="M1400" s="39"/>
      <c r="N1400" s="19"/>
      <c r="O1400" s="19"/>
      <c r="P1400" s="43" t="str">
        <f aca="false">IF($E1400="","",IF($L1400="Decline",0,IF($L1400="Approve fewer",IF($M1400="","",$M1400),IF($L1400="","",$I1400))))</f>
        <v/>
      </c>
      <c r="Q1400" s="34" t="str">
        <f aca="false">IF($P1400="","",IF($N1400&lt;&gt;"",$N1400,$J1400))</f>
        <v/>
      </c>
      <c r="R1400" s="35" t="str">
        <f aca="false">IF(OR($P1400="",$Q1400=""),"",INDEX(BookRate,1395)*$P1400*(5-MATCH($Q1400,{"Q1";"Q2";"Q3";"Q4"},0))/4+INDEX(BookOneOff,1395)*$P1400)</f>
        <v/>
      </c>
      <c r="S1400" s="35" t="str">
        <f aca="false">IF($P1400="","",INDEX(BookRate,1395)*$P1400)</f>
        <v/>
      </c>
      <c r="T1400" s="35" t="str">
        <f aca="false">IF($R1400="","",$R1400-$K1400)</f>
        <v/>
      </c>
      <c r="U1400" s="35" t="str">
        <f aca="false">IF(N($P1400)&lt;=0,"",COUNTIF($P$6:$P1400,"&gt;0"))</f>
        <v/>
      </c>
    </row>
    <row r="1401" customFormat="false" ht="15" hidden="false" customHeight="false" outlineLevel="0" collapsed="false">
      <c r="A1401" s="40" t="str">
        <f aca="false">IF(INDEX(BookTitle,1396)="","",INDEX(BookGroup,1396))</f>
        <v/>
      </c>
      <c r="B1401" s="40" t="str">
        <f aca="false">IF(INDEX(BookTitle,1396)="","",INDEX(BookRef,1396))</f>
        <v/>
      </c>
      <c r="C1401" s="40" t="str">
        <f aca="false">IF(INDEX(BookTitle,1396)="","",INDEX(BookDivision,1396))</f>
        <v/>
      </c>
      <c r="D1401" s="40" t="str">
        <f aca="false">IF(INDEX(BookTitle,1396)="","",INDEX(BookUnit,1396))</f>
        <v/>
      </c>
      <c r="E1401" s="40" t="str">
        <f aca="false">IF(INDEX(BookTitle,1396)="","",INDEX(BookTitle,1396))</f>
        <v/>
      </c>
      <c r="F1401" s="40" t="str">
        <f aca="false">IF(INDEX(BookTitle,1396)="","",INDEX(BookLevel,1396))</f>
        <v/>
      </c>
      <c r="G1401" s="40" t="str">
        <f aca="false">IF(INDEX(BookTitle,1396)="","",INDEX(BookCategory,1396))</f>
        <v/>
      </c>
      <c r="H1401" s="40" t="str">
        <f aca="false">IF(INDEX(BookTitle,1396)="","",INDEX(BookRank,1396))</f>
        <v/>
      </c>
      <c r="I1401" s="41" t="str">
        <f aca="false">IF(INDEX(BookTitle,1396)="","",INDEX(BookTotal,1396))</f>
        <v/>
      </c>
      <c r="J1401" s="0" t="str">
        <f aca="false">IF($I1401="","",IF(INDEX(BookQ1,1396)&gt;0,"Q1",IF(INDEX(BookQ2,1396)&gt;0,"Q2",IF(INDEX(BookQ3,1396)&gt;0,"Q3",IF(INDEX(BookQ4,1396)&gt;0,"Q4","")))))</f>
        <v/>
      </c>
      <c r="K1401" s="42" t="str">
        <f aca="false">IF(INDEX(BookTitle,1396)="","",INDEX(BookInYear,1396))</f>
        <v/>
      </c>
      <c r="L1401" s="19"/>
      <c r="M1401" s="39"/>
      <c r="N1401" s="19"/>
      <c r="O1401" s="19"/>
      <c r="P1401" s="43" t="str">
        <f aca="false">IF($E1401="","",IF($L1401="Decline",0,IF($L1401="Approve fewer",IF($M1401="","",$M1401),IF($L1401="","",$I1401))))</f>
        <v/>
      </c>
      <c r="Q1401" s="34" t="str">
        <f aca="false">IF($P1401="","",IF($N1401&lt;&gt;"",$N1401,$J1401))</f>
        <v/>
      </c>
      <c r="R1401" s="35" t="str">
        <f aca="false">IF(OR($P1401="",$Q1401=""),"",INDEX(BookRate,1396)*$P1401*(5-MATCH($Q1401,{"Q1";"Q2";"Q3";"Q4"},0))/4+INDEX(BookOneOff,1396)*$P1401)</f>
        <v/>
      </c>
      <c r="S1401" s="35" t="str">
        <f aca="false">IF($P1401="","",INDEX(BookRate,1396)*$P1401)</f>
        <v/>
      </c>
      <c r="T1401" s="35" t="str">
        <f aca="false">IF($R1401="","",$R1401-$K1401)</f>
        <v/>
      </c>
      <c r="U1401" s="35" t="str">
        <f aca="false">IF(N($P1401)&lt;=0,"",COUNTIF($P$6:$P1401,"&gt;0"))</f>
        <v/>
      </c>
    </row>
    <row r="1402" customFormat="false" ht="15" hidden="false" customHeight="false" outlineLevel="0" collapsed="false">
      <c r="A1402" s="40" t="str">
        <f aca="false">IF(INDEX(BookTitle,1397)="","",INDEX(BookGroup,1397))</f>
        <v/>
      </c>
      <c r="B1402" s="40" t="str">
        <f aca="false">IF(INDEX(BookTitle,1397)="","",INDEX(BookRef,1397))</f>
        <v/>
      </c>
      <c r="C1402" s="40" t="str">
        <f aca="false">IF(INDEX(BookTitle,1397)="","",INDEX(BookDivision,1397))</f>
        <v/>
      </c>
      <c r="D1402" s="40" t="str">
        <f aca="false">IF(INDEX(BookTitle,1397)="","",INDEX(BookUnit,1397))</f>
        <v/>
      </c>
      <c r="E1402" s="40" t="str">
        <f aca="false">IF(INDEX(BookTitle,1397)="","",INDEX(BookTitle,1397))</f>
        <v/>
      </c>
      <c r="F1402" s="40" t="str">
        <f aca="false">IF(INDEX(BookTitle,1397)="","",INDEX(BookLevel,1397))</f>
        <v/>
      </c>
      <c r="G1402" s="40" t="str">
        <f aca="false">IF(INDEX(BookTitle,1397)="","",INDEX(BookCategory,1397))</f>
        <v/>
      </c>
      <c r="H1402" s="40" t="str">
        <f aca="false">IF(INDEX(BookTitle,1397)="","",INDEX(BookRank,1397))</f>
        <v/>
      </c>
      <c r="I1402" s="41" t="str">
        <f aca="false">IF(INDEX(BookTitle,1397)="","",INDEX(BookTotal,1397))</f>
        <v/>
      </c>
      <c r="J1402" s="0" t="str">
        <f aca="false">IF($I1402="","",IF(INDEX(BookQ1,1397)&gt;0,"Q1",IF(INDEX(BookQ2,1397)&gt;0,"Q2",IF(INDEX(BookQ3,1397)&gt;0,"Q3",IF(INDEX(BookQ4,1397)&gt;0,"Q4","")))))</f>
        <v/>
      </c>
      <c r="K1402" s="42" t="str">
        <f aca="false">IF(INDEX(BookTitle,1397)="","",INDEX(BookInYear,1397))</f>
        <v/>
      </c>
      <c r="L1402" s="19"/>
      <c r="M1402" s="39"/>
      <c r="N1402" s="19"/>
      <c r="O1402" s="19"/>
      <c r="P1402" s="43" t="str">
        <f aca="false">IF($E1402="","",IF($L1402="Decline",0,IF($L1402="Approve fewer",IF($M1402="","",$M1402),IF($L1402="","",$I1402))))</f>
        <v/>
      </c>
      <c r="Q1402" s="34" t="str">
        <f aca="false">IF($P1402="","",IF($N1402&lt;&gt;"",$N1402,$J1402))</f>
        <v/>
      </c>
      <c r="R1402" s="35" t="str">
        <f aca="false">IF(OR($P1402="",$Q1402=""),"",INDEX(BookRate,1397)*$P1402*(5-MATCH($Q1402,{"Q1";"Q2";"Q3";"Q4"},0))/4+INDEX(BookOneOff,1397)*$P1402)</f>
        <v/>
      </c>
      <c r="S1402" s="35" t="str">
        <f aca="false">IF($P1402="","",INDEX(BookRate,1397)*$P1402)</f>
        <v/>
      </c>
      <c r="T1402" s="35" t="str">
        <f aca="false">IF($R1402="","",$R1402-$K1402)</f>
        <v/>
      </c>
      <c r="U1402" s="35" t="str">
        <f aca="false">IF(N($P1402)&lt;=0,"",COUNTIF($P$6:$P1402,"&gt;0"))</f>
        <v/>
      </c>
    </row>
    <row r="1403" customFormat="false" ht="15" hidden="false" customHeight="false" outlineLevel="0" collapsed="false">
      <c r="A1403" s="40" t="str">
        <f aca="false">IF(INDEX(BookTitle,1398)="","",INDEX(BookGroup,1398))</f>
        <v/>
      </c>
      <c r="B1403" s="40" t="str">
        <f aca="false">IF(INDEX(BookTitle,1398)="","",INDEX(BookRef,1398))</f>
        <v/>
      </c>
      <c r="C1403" s="40" t="str">
        <f aca="false">IF(INDEX(BookTitle,1398)="","",INDEX(BookDivision,1398))</f>
        <v/>
      </c>
      <c r="D1403" s="40" t="str">
        <f aca="false">IF(INDEX(BookTitle,1398)="","",INDEX(BookUnit,1398))</f>
        <v/>
      </c>
      <c r="E1403" s="40" t="str">
        <f aca="false">IF(INDEX(BookTitle,1398)="","",INDEX(BookTitle,1398))</f>
        <v/>
      </c>
      <c r="F1403" s="40" t="str">
        <f aca="false">IF(INDEX(BookTitle,1398)="","",INDEX(BookLevel,1398))</f>
        <v/>
      </c>
      <c r="G1403" s="40" t="str">
        <f aca="false">IF(INDEX(BookTitle,1398)="","",INDEX(BookCategory,1398))</f>
        <v/>
      </c>
      <c r="H1403" s="40" t="str">
        <f aca="false">IF(INDEX(BookTitle,1398)="","",INDEX(BookRank,1398))</f>
        <v/>
      </c>
      <c r="I1403" s="41" t="str">
        <f aca="false">IF(INDEX(BookTitle,1398)="","",INDEX(BookTotal,1398))</f>
        <v/>
      </c>
      <c r="J1403" s="0" t="str">
        <f aca="false">IF($I1403="","",IF(INDEX(BookQ1,1398)&gt;0,"Q1",IF(INDEX(BookQ2,1398)&gt;0,"Q2",IF(INDEX(BookQ3,1398)&gt;0,"Q3",IF(INDEX(BookQ4,1398)&gt;0,"Q4","")))))</f>
        <v/>
      </c>
      <c r="K1403" s="42" t="str">
        <f aca="false">IF(INDEX(BookTitle,1398)="","",INDEX(BookInYear,1398))</f>
        <v/>
      </c>
      <c r="L1403" s="19"/>
      <c r="M1403" s="39"/>
      <c r="N1403" s="19"/>
      <c r="O1403" s="19"/>
      <c r="P1403" s="43" t="str">
        <f aca="false">IF($E1403="","",IF($L1403="Decline",0,IF($L1403="Approve fewer",IF($M1403="","",$M1403),IF($L1403="","",$I1403))))</f>
        <v/>
      </c>
      <c r="Q1403" s="34" t="str">
        <f aca="false">IF($P1403="","",IF($N1403&lt;&gt;"",$N1403,$J1403))</f>
        <v/>
      </c>
      <c r="R1403" s="35" t="str">
        <f aca="false">IF(OR($P1403="",$Q1403=""),"",INDEX(BookRate,1398)*$P1403*(5-MATCH($Q1403,{"Q1";"Q2";"Q3";"Q4"},0))/4+INDEX(BookOneOff,1398)*$P1403)</f>
        <v/>
      </c>
      <c r="S1403" s="35" t="str">
        <f aca="false">IF($P1403="","",INDEX(BookRate,1398)*$P1403)</f>
        <v/>
      </c>
      <c r="T1403" s="35" t="str">
        <f aca="false">IF($R1403="","",$R1403-$K1403)</f>
        <v/>
      </c>
      <c r="U1403" s="35" t="str">
        <f aca="false">IF(N($P1403)&lt;=0,"",COUNTIF($P$6:$P1403,"&gt;0"))</f>
        <v/>
      </c>
    </row>
    <row r="1404" customFormat="false" ht="15" hidden="false" customHeight="false" outlineLevel="0" collapsed="false">
      <c r="A1404" s="40" t="str">
        <f aca="false">IF(INDEX(BookTitle,1399)="","",INDEX(BookGroup,1399))</f>
        <v/>
      </c>
      <c r="B1404" s="40" t="str">
        <f aca="false">IF(INDEX(BookTitle,1399)="","",INDEX(BookRef,1399))</f>
        <v/>
      </c>
      <c r="C1404" s="40" t="str">
        <f aca="false">IF(INDEX(BookTitle,1399)="","",INDEX(BookDivision,1399))</f>
        <v/>
      </c>
      <c r="D1404" s="40" t="str">
        <f aca="false">IF(INDEX(BookTitle,1399)="","",INDEX(BookUnit,1399))</f>
        <v/>
      </c>
      <c r="E1404" s="40" t="str">
        <f aca="false">IF(INDEX(BookTitle,1399)="","",INDEX(BookTitle,1399))</f>
        <v/>
      </c>
      <c r="F1404" s="40" t="str">
        <f aca="false">IF(INDEX(BookTitle,1399)="","",INDEX(BookLevel,1399))</f>
        <v/>
      </c>
      <c r="G1404" s="40" t="str">
        <f aca="false">IF(INDEX(BookTitle,1399)="","",INDEX(BookCategory,1399))</f>
        <v/>
      </c>
      <c r="H1404" s="40" t="str">
        <f aca="false">IF(INDEX(BookTitle,1399)="","",INDEX(BookRank,1399))</f>
        <v/>
      </c>
      <c r="I1404" s="41" t="str">
        <f aca="false">IF(INDEX(BookTitle,1399)="","",INDEX(BookTotal,1399))</f>
        <v/>
      </c>
      <c r="J1404" s="0" t="str">
        <f aca="false">IF($I1404="","",IF(INDEX(BookQ1,1399)&gt;0,"Q1",IF(INDEX(BookQ2,1399)&gt;0,"Q2",IF(INDEX(BookQ3,1399)&gt;0,"Q3",IF(INDEX(BookQ4,1399)&gt;0,"Q4","")))))</f>
        <v/>
      </c>
      <c r="K1404" s="42" t="str">
        <f aca="false">IF(INDEX(BookTitle,1399)="","",INDEX(BookInYear,1399))</f>
        <v/>
      </c>
      <c r="L1404" s="19"/>
      <c r="M1404" s="39"/>
      <c r="N1404" s="19"/>
      <c r="O1404" s="19"/>
      <c r="P1404" s="43" t="str">
        <f aca="false">IF($E1404="","",IF($L1404="Decline",0,IF($L1404="Approve fewer",IF($M1404="","",$M1404),IF($L1404="","",$I1404))))</f>
        <v/>
      </c>
      <c r="Q1404" s="34" t="str">
        <f aca="false">IF($P1404="","",IF($N1404&lt;&gt;"",$N1404,$J1404))</f>
        <v/>
      </c>
      <c r="R1404" s="35" t="str">
        <f aca="false">IF(OR($P1404="",$Q1404=""),"",INDEX(BookRate,1399)*$P1404*(5-MATCH($Q1404,{"Q1";"Q2";"Q3";"Q4"},0))/4+INDEX(BookOneOff,1399)*$P1404)</f>
        <v/>
      </c>
      <c r="S1404" s="35" t="str">
        <f aca="false">IF($P1404="","",INDEX(BookRate,1399)*$P1404)</f>
        <v/>
      </c>
      <c r="T1404" s="35" t="str">
        <f aca="false">IF($R1404="","",$R1404-$K1404)</f>
        <v/>
      </c>
      <c r="U1404" s="35" t="str">
        <f aca="false">IF(N($P1404)&lt;=0,"",COUNTIF($P$6:$P1404,"&gt;0"))</f>
        <v/>
      </c>
    </row>
    <row r="1405" customFormat="false" ht="15" hidden="false" customHeight="false" outlineLevel="0" collapsed="false">
      <c r="A1405" s="40" t="str">
        <f aca="false">IF(INDEX(BookTitle,1400)="","",INDEX(BookGroup,1400))</f>
        <v/>
      </c>
      <c r="B1405" s="40" t="str">
        <f aca="false">IF(INDEX(BookTitle,1400)="","",INDEX(BookRef,1400))</f>
        <v/>
      </c>
      <c r="C1405" s="40" t="str">
        <f aca="false">IF(INDEX(BookTitle,1400)="","",INDEX(BookDivision,1400))</f>
        <v/>
      </c>
      <c r="D1405" s="40" t="str">
        <f aca="false">IF(INDEX(BookTitle,1400)="","",INDEX(BookUnit,1400))</f>
        <v/>
      </c>
      <c r="E1405" s="40" t="str">
        <f aca="false">IF(INDEX(BookTitle,1400)="","",INDEX(BookTitle,1400))</f>
        <v/>
      </c>
      <c r="F1405" s="40" t="str">
        <f aca="false">IF(INDEX(BookTitle,1400)="","",INDEX(BookLevel,1400))</f>
        <v/>
      </c>
      <c r="G1405" s="40" t="str">
        <f aca="false">IF(INDEX(BookTitle,1400)="","",INDEX(BookCategory,1400))</f>
        <v/>
      </c>
      <c r="H1405" s="40" t="str">
        <f aca="false">IF(INDEX(BookTitle,1400)="","",INDEX(BookRank,1400))</f>
        <v/>
      </c>
      <c r="I1405" s="41" t="str">
        <f aca="false">IF(INDEX(BookTitle,1400)="","",INDEX(BookTotal,1400))</f>
        <v/>
      </c>
      <c r="J1405" s="0" t="str">
        <f aca="false">IF($I1405="","",IF(INDEX(BookQ1,1400)&gt;0,"Q1",IF(INDEX(BookQ2,1400)&gt;0,"Q2",IF(INDEX(BookQ3,1400)&gt;0,"Q3",IF(INDEX(BookQ4,1400)&gt;0,"Q4","")))))</f>
        <v/>
      </c>
      <c r="K1405" s="42" t="str">
        <f aca="false">IF(INDEX(BookTitle,1400)="","",INDEX(BookInYear,1400))</f>
        <v/>
      </c>
      <c r="L1405" s="19"/>
      <c r="M1405" s="39"/>
      <c r="N1405" s="19"/>
      <c r="O1405" s="19"/>
      <c r="P1405" s="43" t="str">
        <f aca="false">IF($E1405="","",IF($L1405="Decline",0,IF($L1405="Approve fewer",IF($M1405="","",$M1405),IF($L1405="","",$I1405))))</f>
        <v/>
      </c>
      <c r="Q1405" s="34" t="str">
        <f aca="false">IF($P1405="","",IF($N1405&lt;&gt;"",$N1405,$J1405))</f>
        <v/>
      </c>
      <c r="R1405" s="35" t="str">
        <f aca="false">IF(OR($P1405="",$Q1405=""),"",INDEX(BookRate,1400)*$P1405*(5-MATCH($Q1405,{"Q1";"Q2";"Q3";"Q4"},0))/4+INDEX(BookOneOff,1400)*$P1405)</f>
        <v/>
      </c>
      <c r="S1405" s="35" t="str">
        <f aca="false">IF($P1405="","",INDEX(BookRate,1400)*$P1405)</f>
        <v/>
      </c>
      <c r="T1405" s="35" t="str">
        <f aca="false">IF($R1405="","",$R1405-$K1405)</f>
        <v/>
      </c>
      <c r="U1405" s="35" t="str">
        <f aca="false">IF(N($P1405)&lt;=0,"",COUNTIF($P$6:$P1405,"&gt;0"))</f>
        <v/>
      </c>
    </row>
    <row r="1406" customFormat="false" ht="15" hidden="false" customHeight="false" outlineLevel="0" collapsed="false">
      <c r="A1406" s="40" t="str">
        <f aca="false">IF(INDEX(BookTitle,1401)="","",INDEX(BookGroup,1401))</f>
        <v/>
      </c>
      <c r="B1406" s="40" t="str">
        <f aca="false">IF(INDEX(BookTitle,1401)="","",INDEX(BookRef,1401))</f>
        <v/>
      </c>
      <c r="C1406" s="40" t="str">
        <f aca="false">IF(INDEX(BookTitle,1401)="","",INDEX(BookDivision,1401))</f>
        <v/>
      </c>
      <c r="D1406" s="40" t="str">
        <f aca="false">IF(INDEX(BookTitle,1401)="","",INDEX(BookUnit,1401))</f>
        <v/>
      </c>
      <c r="E1406" s="40" t="str">
        <f aca="false">IF(INDEX(BookTitle,1401)="","",INDEX(BookTitle,1401))</f>
        <v/>
      </c>
      <c r="F1406" s="40" t="str">
        <f aca="false">IF(INDEX(BookTitle,1401)="","",INDEX(BookLevel,1401))</f>
        <v/>
      </c>
      <c r="G1406" s="40" t="str">
        <f aca="false">IF(INDEX(BookTitle,1401)="","",INDEX(BookCategory,1401))</f>
        <v/>
      </c>
      <c r="H1406" s="40" t="str">
        <f aca="false">IF(INDEX(BookTitle,1401)="","",INDEX(BookRank,1401))</f>
        <v/>
      </c>
      <c r="I1406" s="41" t="str">
        <f aca="false">IF(INDEX(BookTitle,1401)="","",INDEX(BookTotal,1401))</f>
        <v/>
      </c>
      <c r="J1406" s="0" t="str">
        <f aca="false">IF($I1406="","",IF(INDEX(BookQ1,1401)&gt;0,"Q1",IF(INDEX(BookQ2,1401)&gt;0,"Q2",IF(INDEX(BookQ3,1401)&gt;0,"Q3",IF(INDEX(BookQ4,1401)&gt;0,"Q4","")))))</f>
        <v/>
      </c>
      <c r="K1406" s="42" t="str">
        <f aca="false">IF(INDEX(BookTitle,1401)="","",INDEX(BookInYear,1401))</f>
        <v/>
      </c>
      <c r="L1406" s="19"/>
      <c r="M1406" s="39"/>
      <c r="N1406" s="19"/>
      <c r="O1406" s="19"/>
      <c r="P1406" s="43" t="str">
        <f aca="false">IF($E1406="","",IF($L1406="Decline",0,IF($L1406="Approve fewer",IF($M1406="","",$M1406),IF($L1406="","",$I1406))))</f>
        <v/>
      </c>
      <c r="Q1406" s="34" t="str">
        <f aca="false">IF($P1406="","",IF($N1406&lt;&gt;"",$N1406,$J1406))</f>
        <v/>
      </c>
      <c r="R1406" s="35" t="str">
        <f aca="false">IF(OR($P1406="",$Q1406=""),"",INDEX(BookRate,1401)*$P1406*(5-MATCH($Q1406,{"Q1";"Q2";"Q3";"Q4"},0))/4+INDEX(BookOneOff,1401)*$P1406)</f>
        <v/>
      </c>
      <c r="S1406" s="35" t="str">
        <f aca="false">IF($P1406="","",INDEX(BookRate,1401)*$P1406)</f>
        <v/>
      </c>
      <c r="T1406" s="35" t="str">
        <f aca="false">IF($R1406="","",$R1406-$K1406)</f>
        <v/>
      </c>
      <c r="U1406" s="35" t="str">
        <f aca="false">IF(N($P1406)&lt;=0,"",COUNTIF($P$6:$P1406,"&gt;0"))</f>
        <v/>
      </c>
    </row>
    <row r="1407" customFormat="false" ht="15" hidden="false" customHeight="false" outlineLevel="0" collapsed="false">
      <c r="A1407" s="40" t="str">
        <f aca="false">IF(INDEX(BookTitle,1402)="","",INDEX(BookGroup,1402))</f>
        <v/>
      </c>
      <c r="B1407" s="40" t="str">
        <f aca="false">IF(INDEX(BookTitle,1402)="","",INDEX(BookRef,1402))</f>
        <v/>
      </c>
      <c r="C1407" s="40" t="str">
        <f aca="false">IF(INDEX(BookTitle,1402)="","",INDEX(BookDivision,1402))</f>
        <v/>
      </c>
      <c r="D1407" s="40" t="str">
        <f aca="false">IF(INDEX(BookTitle,1402)="","",INDEX(BookUnit,1402))</f>
        <v/>
      </c>
      <c r="E1407" s="40" t="str">
        <f aca="false">IF(INDEX(BookTitle,1402)="","",INDEX(BookTitle,1402))</f>
        <v/>
      </c>
      <c r="F1407" s="40" t="str">
        <f aca="false">IF(INDEX(BookTitle,1402)="","",INDEX(BookLevel,1402))</f>
        <v/>
      </c>
      <c r="G1407" s="40" t="str">
        <f aca="false">IF(INDEX(BookTitle,1402)="","",INDEX(BookCategory,1402))</f>
        <v/>
      </c>
      <c r="H1407" s="40" t="str">
        <f aca="false">IF(INDEX(BookTitle,1402)="","",INDEX(BookRank,1402))</f>
        <v/>
      </c>
      <c r="I1407" s="41" t="str">
        <f aca="false">IF(INDEX(BookTitle,1402)="","",INDEX(BookTotal,1402))</f>
        <v/>
      </c>
      <c r="J1407" s="0" t="str">
        <f aca="false">IF($I1407="","",IF(INDEX(BookQ1,1402)&gt;0,"Q1",IF(INDEX(BookQ2,1402)&gt;0,"Q2",IF(INDEX(BookQ3,1402)&gt;0,"Q3",IF(INDEX(BookQ4,1402)&gt;0,"Q4","")))))</f>
        <v/>
      </c>
      <c r="K1407" s="42" t="str">
        <f aca="false">IF(INDEX(BookTitle,1402)="","",INDEX(BookInYear,1402))</f>
        <v/>
      </c>
      <c r="L1407" s="19"/>
      <c r="M1407" s="39"/>
      <c r="N1407" s="19"/>
      <c r="O1407" s="19"/>
      <c r="P1407" s="43" t="str">
        <f aca="false">IF($E1407="","",IF($L1407="Decline",0,IF($L1407="Approve fewer",IF($M1407="","",$M1407),IF($L1407="","",$I1407))))</f>
        <v/>
      </c>
      <c r="Q1407" s="34" t="str">
        <f aca="false">IF($P1407="","",IF($N1407&lt;&gt;"",$N1407,$J1407))</f>
        <v/>
      </c>
      <c r="R1407" s="35" t="str">
        <f aca="false">IF(OR($P1407="",$Q1407=""),"",INDEX(BookRate,1402)*$P1407*(5-MATCH($Q1407,{"Q1";"Q2";"Q3";"Q4"},0))/4+INDEX(BookOneOff,1402)*$P1407)</f>
        <v/>
      </c>
      <c r="S1407" s="35" t="str">
        <f aca="false">IF($P1407="","",INDEX(BookRate,1402)*$P1407)</f>
        <v/>
      </c>
      <c r="T1407" s="35" t="str">
        <f aca="false">IF($R1407="","",$R1407-$K1407)</f>
        <v/>
      </c>
      <c r="U1407" s="35" t="str">
        <f aca="false">IF(N($P1407)&lt;=0,"",COUNTIF($P$6:$P1407,"&gt;0"))</f>
        <v/>
      </c>
    </row>
    <row r="1408" customFormat="false" ht="15" hidden="false" customHeight="false" outlineLevel="0" collapsed="false">
      <c r="A1408" s="40" t="str">
        <f aca="false">IF(INDEX(BookTitle,1403)="","",INDEX(BookGroup,1403))</f>
        <v/>
      </c>
      <c r="B1408" s="40" t="str">
        <f aca="false">IF(INDEX(BookTitle,1403)="","",INDEX(BookRef,1403))</f>
        <v/>
      </c>
      <c r="C1408" s="40" t="str">
        <f aca="false">IF(INDEX(BookTitle,1403)="","",INDEX(BookDivision,1403))</f>
        <v/>
      </c>
      <c r="D1408" s="40" t="str">
        <f aca="false">IF(INDEX(BookTitle,1403)="","",INDEX(BookUnit,1403))</f>
        <v/>
      </c>
      <c r="E1408" s="40" t="str">
        <f aca="false">IF(INDEX(BookTitle,1403)="","",INDEX(BookTitle,1403))</f>
        <v/>
      </c>
      <c r="F1408" s="40" t="str">
        <f aca="false">IF(INDEX(BookTitle,1403)="","",INDEX(BookLevel,1403))</f>
        <v/>
      </c>
      <c r="G1408" s="40" t="str">
        <f aca="false">IF(INDEX(BookTitle,1403)="","",INDEX(BookCategory,1403))</f>
        <v/>
      </c>
      <c r="H1408" s="40" t="str">
        <f aca="false">IF(INDEX(BookTitle,1403)="","",INDEX(BookRank,1403))</f>
        <v/>
      </c>
      <c r="I1408" s="41" t="str">
        <f aca="false">IF(INDEX(BookTitle,1403)="","",INDEX(BookTotal,1403))</f>
        <v/>
      </c>
      <c r="J1408" s="0" t="str">
        <f aca="false">IF($I1408="","",IF(INDEX(BookQ1,1403)&gt;0,"Q1",IF(INDEX(BookQ2,1403)&gt;0,"Q2",IF(INDEX(BookQ3,1403)&gt;0,"Q3",IF(INDEX(BookQ4,1403)&gt;0,"Q4","")))))</f>
        <v/>
      </c>
      <c r="K1408" s="42" t="str">
        <f aca="false">IF(INDEX(BookTitle,1403)="","",INDEX(BookInYear,1403))</f>
        <v/>
      </c>
      <c r="L1408" s="19"/>
      <c r="M1408" s="39"/>
      <c r="N1408" s="19"/>
      <c r="O1408" s="19"/>
      <c r="P1408" s="43" t="str">
        <f aca="false">IF($E1408="","",IF($L1408="Decline",0,IF($L1408="Approve fewer",IF($M1408="","",$M1408),IF($L1408="","",$I1408))))</f>
        <v/>
      </c>
      <c r="Q1408" s="34" t="str">
        <f aca="false">IF($P1408="","",IF($N1408&lt;&gt;"",$N1408,$J1408))</f>
        <v/>
      </c>
      <c r="R1408" s="35" t="str">
        <f aca="false">IF(OR($P1408="",$Q1408=""),"",INDEX(BookRate,1403)*$P1408*(5-MATCH($Q1408,{"Q1";"Q2";"Q3";"Q4"},0))/4+INDEX(BookOneOff,1403)*$P1408)</f>
        <v/>
      </c>
      <c r="S1408" s="35" t="str">
        <f aca="false">IF($P1408="","",INDEX(BookRate,1403)*$P1408)</f>
        <v/>
      </c>
      <c r="T1408" s="35" t="str">
        <f aca="false">IF($R1408="","",$R1408-$K1408)</f>
        <v/>
      </c>
      <c r="U1408" s="35" t="str">
        <f aca="false">IF(N($P1408)&lt;=0,"",COUNTIF($P$6:$P1408,"&gt;0"))</f>
        <v/>
      </c>
    </row>
    <row r="1409" customFormat="false" ht="15" hidden="false" customHeight="false" outlineLevel="0" collapsed="false">
      <c r="A1409" s="40" t="str">
        <f aca="false">IF(INDEX(BookTitle,1404)="","",INDEX(BookGroup,1404))</f>
        <v/>
      </c>
      <c r="B1409" s="40" t="str">
        <f aca="false">IF(INDEX(BookTitle,1404)="","",INDEX(BookRef,1404))</f>
        <v/>
      </c>
      <c r="C1409" s="40" t="str">
        <f aca="false">IF(INDEX(BookTitle,1404)="","",INDEX(BookDivision,1404))</f>
        <v/>
      </c>
      <c r="D1409" s="40" t="str">
        <f aca="false">IF(INDEX(BookTitle,1404)="","",INDEX(BookUnit,1404))</f>
        <v/>
      </c>
      <c r="E1409" s="40" t="str">
        <f aca="false">IF(INDEX(BookTitle,1404)="","",INDEX(BookTitle,1404))</f>
        <v/>
      </c>
      <c r="F1409" s="40" t="str">
        <f aca="false">IF(INDEX(BookTitle,1404)="","",INDEX(BookLevel,1404))</f>
        <v/>
      </c>
      <c r="G1409" s="40" t="str">
        <f aca="false">IF(INDEX(BookTitle,1404)="","",INDEX(BookCategory,1404))</f>
        <v/>
      </c>
      <c r="H1409" s="40" t="str">
        <f aca="false">IF(INDEX(BookTitle,1404)="","",INDEX(BookRank,1404))</f>
        <v/>
      </c>
      <c r="I1409" s="41" t="str">
        <f aca="false">IF(INDEX(BookTitle,1404)="","",INDEX(BookTotal,1404))</f>
        <v/>
      </c>
      <c r="J1409" s="0" t="str">
        <f aca="false">IF($I1409="","",IF(INDEX(BookQ1,1404)&gt;0,"Q1",IF(INDEX(BookQ2,1404)&gt;0,"Q2",IF(INDEX(BookQ3,1404)&gt;0,"Q3",IF(INDEX(BookQ4,1404)&gt;0,"Q4","")))))</f>
        <v/>
      </c>
      <c r="K1409" s="42" t="str">
        <f aca="false">IF(INDEX(BookTitle,1404)="","",INDEX(BookInYear,1404))</f>
        <v/>
      </c>
      <c r="L1409" s="19"/>
      <c r="M1409" s="39"/>
      <c r="N1409" s="19"/>
      <c r="O1409" s="19"/>
      <c r="P1409" s="43" t="str">
        <f aca="false">IF($E1409="","",IF($L1409="Decline",0,IF($L1409="Approve fewer",IF($M1409="","",$M1409),IF($L1409="","",$I1409))))</f>
        <v/>
      </c>
      <c r="Q1409" s="34" t="str">
        <f aca="false">IF($P1409="","",IF($N1409&lt;&gt;"",$N1409,$J1409))</f>
        <v/>
      </c>
      <c r="R1409" s="35" t="str">
        <f aca="false">IF(OR($P1409="",$Q1409=""),"",INDEX(BookRate,1404)*$P1409*(5-MATCH($Q1409,{"Q1";"Q2";"Q3";"Q4"},0))/4+INDEX(BookOneOff,1404)*$P1409)</f>
        <v/>
      </c>
      <c r="S1409" s="35" t="str">
        <f aca="false">IF($P1409="","",INDEX(BookRate,1404)*$P1409)</f>
        <v/>
      </c>
      <c r="T1409" s="35" t="str">
        <f aca="false">IF($R1409="","",$R1409-$K1409)</f>
        <v/>
      </c>
      <c r="U1409" s="35" t="str">
        <f aca="false">IF(N($P1409)&lt;=0,"",COUNTIF($P$6:$P1409,"&gt;0"))</f>
        <v/>
      </c>
    </row>
    <row r="1410" customFormat="false" ht="15" hidden="false" customHeight="false" outlineLevel="0" collapsed="false">
      <c r="A1410" s="40" t="str">
        <f aca="false">IF(INDEX(BookTitle,1405)="","",INDEX(BookGroup,1405))</f>
        <v/>
      </c>
      <c r="B1410" s="40" t="str">
        <f aca="false">IF(INDEX(BookTitle,1405)="","",INDEX(BookRef,1405))</f>
        <v/>
      </c>
      <c r="C1410" s="40" t="str">
        <f aca="false">IF(INDEX(BookTitle,1405)="","",INDEX(BookDivision,1405))</f>
        <v/>
      </c>
      <c r="D1410" s="40" t="str">
        <f aca="false">IF(INDEX(BookTitle,1405)="","",INDEX(BookUnit,1405))</f>
        <v/>
      </c>
      <c r="E1410" s="40" t="str">
        <f aca="false">IF(INDEX(BookTitle,1405)="","",INDEX(BookTitle,1405))</f>
        <v/>
      </c>
      <c r="F1410" s="40" t="str">
        <f aca="false">IF(INDEX(BookTitle,1405)="","",INDEX(BookLevel,1405))</f>
        <v/>
      </c>
      <c r="G1410" s="40" t="str">
        <f aca="false">IF(INDEX(BookTitle,1405)="","",INDEX(BookCategory,1405))</f>
        <v/>
      </c>
      <c r="H1410" s="40" t="str">
        <f aca="false">IF(INDEX(BookTitle,1405)="","",INDEX(BookRank,1405))</f>
        <v/>
      </c>
      <c r="I1410" s="41" t="str">
        <f aca="false">IF(INDEX(BookTitle,1405)="","",INDEX(BookTotal,1405))</f>
        <v/>
      </c>
      <c r="J1410" s="0" t="str">
        <f aca="false">IF($I1410="","",IF(INDEX(BookQ1,1405)&gt;0,"Q1",IF(INDEX(BookQ2,1405)&gt;0,"Q2",IF(INDEX(BookQ3,1405)&gt;0,"Q3",IF(INDEX(BookQ4,1405)&gt;0,"Q4","")))))</f>
        <v/>
      </c>
      <c r="K1410" s="42" t="str">
        <f aca="false">IF(INDEX(BookTitle,1405)="","",INDEX(BookInYear,1405))</f>
        <v/>
      </c>
      <c r="L1410" s="19"/>
      <c r="M1410" s="39"/>
      <c r="N1410" s="19"/>
      <c r="O1410" s="19"/>
      <c r="P1410" s="43" t="str">
        <f aca="false">IF($E1410="","",IF($L1410="Decline",0,IF($L1410="Approve fewer",IF($M1410="","",$M1410),IF($L1410="","",$I1410))))</f>
        <v/>
      </c>
      <c r="Q1410" s="34" t="str">
        <f aca="false">IF($P1410="","",IF($N1410&lt;&gt;"",$N1410,$J1410))</f>
        <v/>
      </c>
      <c r="R1410" s="35" t="str">
        <f aca="false">IF(OR($P1410="",$Q1410=""),"",INDEX(BookRate,1405)*$P1410*(5-MATCH($Q1410,{"Q1";"Q2";"Q3";"Q4"},0))/4+INDEX(BookOneOff,1405)*$P1410)</f>
        <v/>
      </c>
      <c r="S1410" s="35" t="str">
        <f aca="false">IF($P1410="","",INDEX(BookRate,1405)*$P1410)</f>
        <v/>
      </c>
      <c r="T1410" s="35" t="str">
        <f aca="false">IF($R1410="","",$R1410-$K1410)</f>
        <v/>
      </c>
      <c r="U1410" s="35" t="str">
        <f aca="false">IF(N($P1410)&lt;=0,"",COUNTIF($P$6:$P1410,"&gt;0"))</f>
        <v/>
      </c>
    </row>
    <row r="1411" customFormat="false" ht="15" hidden="false" customHeight="false" outlineLevel="0" collapsed="false">
      <c r="A1411" s="40" t="str">
        <f aca="false">IF(INDEX(BookTitle,1406)="","",INDEX(BookGroup,1406))</f>
        <v/>
      </c>
      <c r="B1411" s="40" t="str">
        <f aca="false">IF(INDEX(BookTitle,1406)="","",INDEX(BookRef,1406))</f>
        <v/>
      </c>
      <c r="C1411" s="40" t="str">
        <f aca="false">IF(INDEX(BookTitle,1406)="","",INDEX(BookDivision,1406))</f>
        <v/>
      </c>
      <c r="D1411" s="40" t="str">
        <f aca="false">IF(INDEX(BookTitle,1406)="","",INDEX(BookUnit,1406))</f>
        <v/>
      </c>
      <c r="E1411" s="40" t="str">
        <f aca="false">IF(INDEX(BookTitle,1406)="","",INDEX(BookTitle,1406))</f>
        <v/>
      </c>
      <c r="F1411" s="40" t="str">
        <f aca="false">IF(INDEX(BookTitle,1406)="","",INDEX(BookLevel,1406))</f>
        <v/>
      </c>
      <c r="G1411" s="40" t="str">
        <f aca="false">IF(INDEX(BookTitle,1406)="","",INDEX(BookCategory,1406))</f>
        <v/>
      </c>
      <c r="H1411" s="40" t="str">
        <f aca="false">IF(INDEX(BookTitle,1406)="","",INDEX(BookRank,1406))</f>
        <v/>
      </c>
      <c r="I1411" s="41" t="str">
        <f aca="false">IF(INDEX(BookTitle,1406)="","",INDEX(BookTotal,1406))</f>
        <v/>
      </c>
      <c r="J1411" s="0" t="str">
        <f aca="false">IF($I1411="","",IF(INDEX(BookQ1,1406)&gt;0,"Q1",IF(INDEX(BookQ2,1406)&gt;0,"Q2",IF(INDEX(BookQ3,1406)&gt;0,"Q3",IF(INDEX(BookQ4,1406)&gt;0,"Q4","")))))</f>
        <v/>
      </c>
      <c r="K1411" s="42" t="str">
        <f aca="false">IF(INDEX(BookTitle,1406)="","",INDEX(BookInYear,1406))</f>
        <v/>
      </c>
      <c r="L1411" s="19"/>
      <c r="M1411" s="39"/>
      <c r="N1411" s="19"/>
      <c r="O1411" s="19"/>
      <c r="P1411" s="43" t="str">
        <f aca="false">IF($E1411="","",IF($L1411="Decline",0,IF($L1411="Approve fewer",IF($M1411="","",$M1411),IF($L1411="","",$I1411))))</f>
        <v/>
      </c>
      <c r="Q1411" s="34" t="str">
        <f aca="false">IF($P1411="","",IF($N1411&lt;&gt;"",$N1411,$J1411))</f>
        <v/>
      </c>
      <c r="R1411" s="35" t="str">
        <f aca="false">IF(OR($P1411="",$Q1411=""),"",INDEX(BookRate,1406)*$P1411*(5-MATCH($Q1411,{"Q1";"Q2";"Q3";"Q4"},0))/4+INDEX(BookOneOff,1406)*$P1411)</f>
        <v/>
      </c>
      <c r="S1411" s="35" t="str">
        <f aca="false">IF($P1411="","",INDEX(BookRate,1406)*$P1411)</f>
        <v/>
      </c>
      <c r="T1411" s="35" t="str">
        <f aca="false">IF($R1411="","",$R1411-$K1411)</f>
        <v/>
      </c>
      <c r="U1411" s="35" t="str">
        <f aca="false">IF(N($P1411)&lt;=0,"",COUNTIF($P$6:$P1411,"&gt;0"))</f>
        <v/>
      </c>
    </row>
    <row r="1412" customFormat="false" ht="15" hidden="false" customHeight="false" outlineLevel="0" collapsed="false">
      <c r="A1412" s="40" t="str">
        <f aca="false">IF(INDEX(BookTitle,1407)="","",INDEX(BookGroup,1407))</f>
        <v/>
      </c>
      <c r="B1412" s="40" t="str">
        <f aca="false">IF(INDEX(BookTitle,1407)="","",INDEX(BookRef,1407))</f>
        <v/>
      </c>
      <c r="C1412" s="40" t="str">
        <f aca="false">IF(INDEX(BookTitle,1407)="","",INDEX(BookDivision,1407))</f>
        <v/>
      </c>
      <c r="D1412" s="40" t="str">
        <f aca="false">IF(INDEX(BookTitle,1407)="","",INDEX(BookUnit,1407))</f>
        <v/>
      </c>
      <c r="E1412" s="40" t="str">
        <f aca="false">IF(INDEX(BookTitle,1407)="","",INDEX(BookTitle,1407))</f>
        <v/>
      </c>
      <c r="F1412" s="40" t="str">
        <f aca="false">IF(INDEX(BookTitle,1407)="","",INDEX(BookLevel,1407))</f>
        <v/>
      </c>
      <c r="G1412" s="40" t="str">
        <f aca="false">IF(INDEX(BookTitle,1407)="","",INDEX(BookCategory,1407))</f>
        <v/>
      </c>
      <c r="H1412" s="40" t="str">
        <f aca="false">IF(INDEX(BookTitle,1407)="","",INDEX(BookRank,1407))</f>
        <v/>
      </c>
      <c r="I1412" s="41" t="str">
        <f aca="false">IF(INDEX(BookTitle,1407)="","",INDEX(BookTotal,1407))</f>
        <v/>
      </c>
      <c r="J1412" s="0" t="str">
        <f aca="false">IF($I1412="","",IF(INDEX(BookQ1,1407)&gt;0,"Q1",IF(INDEX(BookQ2,1407)&gt;0,"Q2",IF(INDEX(BookQ3,1407)&gt;0,"Q3",IF(INDEX(BookQ4,1407)&gt;0,"Q4","")))))</f>
        <v/>
      </c>
      <c r="K1412" s="42" t="str">
        <f aca="false">IF(INDEX(BookTitle,1407)="","",INDEX(BookInYear,1407))</f>
        <v/>
      </c>
      <c r="L1412" s="19"/>
      <c r="M1412" s="39"/>
      <c r="N1412" s="19"/>
      <c r="O1412" s="19"/>
      <c r="P1412" s="43" t="str">
        <f aca="false">IF($E1412="","",IF($L1412="Decline",0,IF($L1412="Approve fewer",IF($M1412="","",$M1412),IF($L1412="","",$I1412))))</f>
        <v/>
      </c>
      <c r="Q1412" s="34" t="str">
        <f aca="false">IF($P1412="","",IF($N1412&lt;&gt;"",$N1412,$J1412))</f>
        <v/>
      </c>
      <c r="R1412" s="35" t="str">
        <f aca="false">IF(OR($P1412="",$Q1412=""),"",INDEX(BookRate,1407)*$P1412*(5-MATCH($Q1412,{"Q1";"Q2";"Q3";"Q4"},0))/4+INDEX(BookOneOff,1407)*$P1412)</f>
        <v/>
      </c>
      <c r="S1412" s="35" t="str">
        <f aca="false">IF($P1412="","",INDEX(BookRate,1407)*$P1412)</f>
        <v/>
      </c>
      <c r="T1412" s="35" t="str">
        <f aca="false">IF($R1412="","",$R1412-$K1412)</f>
        <v/>
      </c>
      <c r="U1412" s="35" t="str">
        <f aca="false">IF(N($P1412)&lt;=0,"",COUNTIF($P$6:$P1412,"&gt;0"))</f>
        <v/>
      </c>
    </row>
    <row r="1413" customFormat="false" ht="15" hidden="false" customHeight="false" outlineLevel="0" collapsed="false">
      <c r="A1413" s="40" t="str">
        <f aca="false">IF(INDEX(BookTitle,1408)="","",INDEX(BookGroup,1408))</f>
        <v/>
      </c>
      <c r="B1413" s="40" t="str">
        <f aca="false">IF(INDEX(BookTitle,1408)="","",INDEX(BookRef,1408))</f>
        <v/>
      </c>
      <c r="C1413" s="40" t="str">
        <f aca="false">IF(INDEX(BookTitle,1408)="","",INDEX(BookDivision,1408))</f>
        <v/>
      </c>
      <c r="D1413" s="40" t="str">
        <f aca="false">IF(INDEX(BookTitle,1408)="","",INDEX(BookUnit,1408))</f>
        <v/>
      </c>
      <c r="E1413" s="40" t="str">
        <f aca="false">IF(INDEX(BookTitle,1408)="","",INDEX(BookTitle,1408))</f>
        <v/>
      </c>
      <c r="F1413" s="40" t="str">
        <f aca="false">IF(INDEX(BookTitle,1408)="","",INDEX(BookLevel,1408))</f>
        <v/>
      </c>
      <c r="G1413" s="40" t="str">
        <f aca="false">IF(INDEX(BookTitle,1408)="","",INDEX(BookCategory,1408))</f>
        <v/>
      </c>
      <c r="H1413" s="40" t="str">
        <f aca="false">IF(INDEX(BookTitle,1408)="","",INDEX(BookRank,1408))</f>
        <v/>
      </c>
      <c r="I1413" s="41" t="str">
        <f aca="false">IF(INDEX(BookTitle,1408)="","",INDEX(BookTotal,1408))</f>
        <v/>
      </c>
      <c r="J1413" s="0" t="str">
        <f aca="false">IF($I1413="","",IF(INDEX(BookQ1,1408)&gt;0,"Q1",IF(INDEX(BookQ2,1408)&gt;0,"Q2",IF(INDEX(BookQ3,1408)&gt;0,"Q3",IF(INDEX(BookQ4,1408)&gt;0,"Q4","")))))</f>
        <v/>
      </c>
      <c r="K1413" s="42" t="str">
        <f aca="false">IF(INDEX(BookTitle,1408)="","",INDEX(BookInYear,1408))</f>
        <v/>
      </c>
      <c r="L1413" s="19"/>
      <c r="M1413" s="39"/>
      <c r="N1413" s="19"/>
      <c r="O1413" s="19"/>
      <c r="P1413" s="43" t="str">
        <f aca="false">IF($E1413="","",IF($L1413="Decline",0,IF($L1413="Approve fewer",IF($M1413="","",$M1413),IF($L1413="","",$I1413))))</f>
        <v/>
      </c>
      <c r="Q1413" s="34" t="str">
        <f aca="false">IF($P1413="","",IF($N1413&lt;&gt;"",$N1413,$J1413))</f>
        <v/>
      </c>
      <c r="R1413" s="35" t="str">
        <f aca="false">IF(OR($P1413="",$Q1413=""),"",INDEX(BookRate,1408)*$P1413*(5-MATCH($Q1413,{"Q1";"Q2";"Q3";"Q4"},0))/4+INDEX(BookOneOff,1408)*$P1413)</f>
        <v/>
      </c>
      <c r="S1413" s="35" t="str">
        <f aca="false">IF($P1413="","",INDEX(BookRate,1408)*$P1413)</f>
        <v/>
      </c>
      <c r="T1413" s="35" t="str">
        <f aca="false">IF($R1413="","",$R1413-$K1413)</f>
        <v/>
      </c>
      <c r="U1413" s="35" t="str">
        <f aca="false">IF(N($P1413)&lt;=0,"",COUNTIF($P$6:$P1413,"&gt;0"))</f>
        <v/>
      </c>
    </row>
    <row r="1414" customFormat="false" ht="15" hidden="false" customHeight="false" outlineLevel="0" collapsed="false">
      <c r="A1414" s="40" t="str">
        <f aca="false">IF(INDEX(BookTitle,1409)="","",INDEX(BookGroup,1409))</f>
        <v/>
      </c>
      <c r="B1414" s="40" t="str">
        <f aca="false">IF(INDEX(BookTitle,1409)="","",INDEX(BookRef,1409))</f>
        <v/>
      </c>
      <c r="C1414" s="40" t="str">
        <f aca="false">IF(INDEX(BookTitle,1409)="","",INDEX(BookDivision,1409))</f>
        <v/>
      </c>
      <c r="D1414" s="40" t="str">
        <f aca="false">IF(INDEX(BookTitle,1409)="","",INDEX(BookUnit,1409))</f>
        <v/>
      </c>
      <c r="E1414" s="40" t="str">
        <f aca="false">IF(INDEX(BookTitle,1409)="","",INDEX(BookTitle,1409))</f>
        <v/>
      </c>
      <c r="F1414" s="40" t="str">
        <f aca="false">IF(INDEX(BookTitle,1409)="","",INDEX(BookLevel,1409))</f>
        <v/>
      </c>
      <c r="G1414" s="40" t="str">
        <f aca="false">IF(INDEX(BookTitle,1409)="","",INDEX(BookCategory,1409))</f>
        <v/>
      </c>
      <c r="H1414" s="40" t="str">
        <f aca="false">IF(INDEX(BookTitle,1409)="","",INDEX(BookRank,1409))</f>
        <v/>
      </c>
      <c r="I1414" s="41" t="str">
        <f aca="false">IF(INDEX(BookTitle,1409)="","",INDEX(BookTotal,1409))</f>
        <v/>
      </c>
      <c r="J1414" s="0" t="str">
        <f aca="false">IF($I1414="","",IF(INDEX(BookQ1,1409)&gt;0,"Q1",IF(INDEX(BookQ2,1409)&gt;0,"Q2",IF(INDEX(BookQ3,1409)&gt;0,"Q3",IF(INDEX(BookQ4,1409)&gt;0,"Q4","")))))</f>
        <v/>
      </c>
      <c r="K1414" s="42" t="str">
        <f aca="false">IF(INDEX(BookTitle,1409)="","",INDEX(BookInYear,1409))</f>
        <v/>
      </c>
      <c r="L1414" s="19"/>
      <c r="M1414" s="39"/>
      <c r="N1414" s="19"/>
      <c r="O1414" s="19"/>
      <c r="P1414" s="43" t="str">
        <f aca="false">IF($E1414="","",IF($L1414="Decline",0,IF($L1414="Approve fewer",IF($M1414="","",$M1414),IF($L1414="","",$I1414))))</f>
        <v/>
      </c>
      <c r="Q1414" s="34" t="str">
        <f aca="false">IF($P1414="","",IF($N1414&lt;&gt;"",$N1414,$J1414))</f>
        <v/>
      </c>
      <c r="R1414" s="35" t="str">
        <f aca="false">IF(OR($P1414="",$Q1414=""),"",INDEX(BookRate,1409)*$P1414*(5-MATCH($Q1414,{"Q1";"Q2";"Q3";"Q4"},0))/4+INDEX(BookOneOff,1409)*$P1414)</f>
        <v/>
      </c>
      <c r="S1414" s="35" t="str">
        <f aca="false">IF($P1414="","",INDEX(BookRate,1409)*$P1414)</f>
        <v/>
      </c>
      <c r="T1414" s="35" t="str">
        <f aca="false">IF($R1414="","",$R1414-$K1414)</f>
        <v/>
      </c>
      <c r="U1414" s="35" t="str">
        <f aca="false">IF(N($P1414)&lt;=0,"",COUNTIF($P$6:$P1414,"&gt;0"))</f>
        <v/>
      </c>
    </row>
    <row r="1415" customFormat="false" ht="15" hidden="false" customHeight="false" outlineLevel="0" collapsed="false">
      <c r="A1415" s="40" t="str">
        <f aca="false">IF(INDEX(BookTitle,1410)="","",INDEX(BookGroup,1410))</f>
        <v/>
      </c>
      <c r="B1415" s="40" t="str">
        <f aca="false">IF(INDEX(BookTitle,1410)="","",INDEX(BookRef,1410))</f>
        <v/>
      </c>
      <c r="C1415" s="40" t="str">
        <f aca="false">IF(INDEX(BookTitle,1410)="","",INDEX(BookDivision,1410))</f>
        <v/>
      </c>
      <c r="D1415" s="40" t="str">
        <f aca="false">IF(INDEX(BookTitle,1410)="","",INDEX(BookUnit,1410))</f>
        <v/>
      </c>
      <c r="E1415" s="40" t="str">
        <f aca="false">IF(INDEX(BookTitle,1410)="","",INDEX(BookTitle,1410))</f>
        <v/>
      </c>
      <c r="F1415" s="40" t="str">
        <f aca="false">IF(INDEX(BookTitle,1410)="","",INDEX(BookLevel,1410))</f>
        <v/>
      </c>
      <c r="G1415" s="40" t="str">
        <f aca="false">IF(INDEX(BookTitle,1410)="","",INDEX(BookCategory,1410))</f>
        <v/>
      </c>
      <c r="H1415" s="40" t="str">
        <f aca="false">IF(INDEX(BookTitle,1410)="","",INDEX(BookRank,1410))</f>
        <v/>
      </c>
      <c r="I1415" s="41" t="str">
        <f aca="false">IF(INDEX(BookTitle,1410)="","",INDEX(BookTotal,1410))</f>
        <v/>
      </c>
      <c r="J1415" s="0" t="str">
        <f aca="false">IF($I1415="","",IF(INDEX(BookQ1,1410)&gt;0,"Q1",IF(INDEX(BookQ2,1410)&gt;0,"Q2",IF(INDEX(BookQ3,1410)&gt;0,"Q3",IF(INDEX(BookQ4,1410)&gt;0,"Q4","")))))</f>
        <v/>
      </c>
      <c r="K1415" s="42" t="str">
        <f aca="false">IF(INDEX(BookTitle,1410)="","",INDEX(BookInYear,1410))</f>
        <v/>
      </c>
      <c r="L1415" s="19"/>
      <c r="M1415" s="39"/>
      <c r="N1415" s="19"/>
      <c r="O1415" s="19"/>
      <c r="P1415" s="43" t="str">
        <f aca="false">IF($E1415="","",IF($L1415="Decline",0,IF($L1415="Approve fewer",IF($M1415="","",$M1415),IF($L1415="","",$I1415))))</f>
        <v/>
      </c>
      <c r="Q1415" s="34" t="str">
        <f aca="false">IF($P1415="","",IF($N1415&lt;&gt;"",$N1415,$J1415))</f>
        <v/>
      </c>
      <c r="R1415" s="35" t="str">
        <f aca="false">IF(OR($P1415="",$Q1415=""),"",INDEX(BookRate,1410)*$P1415*(5-MATCH($Q1415,{"Q1";"Q2";"Q3";"Q4"},0))/4+INDEX(BookOneOff,1410)*$P1415)</f>
        <v/>
      </c>
      <c r="S1415" s="35" t="str">
        <f aca="false">IF($P1415="","",INDEX(BookRate,1410)*$P1415)</f>
        <v/>
      </c>
      <c r="T1415" s="35" t="str">
        <f aca="false">IF($R1415="","",$R1415-$K1415)</f>
        <v/>
      </c>
      <c r="U1415" s="35" t="str">
        <f aca="false">IF(N($P1415)&lt;=0,"",COUNTIF($P$6:$P1415,"&gt;0"))</f>
        <v/>
      </c>
    </row>
    <row r="1416" customFormat="false" ht="15" hidden="false" customHeight="false" outlineLevel="0" collapsed="false">
      <c r="A1416" s="40" t="str">
        <f aca="false">IF(INDEX(BookTitle,1411)="","",INDEX(BookGroup,1411))</f>
        <v/>
      </c>
      <c r="B1416" s="40" t="str">
        <f aca="false">IF(INDEX(BookTitle,1411)="","",INDEX(BookRef,1411))</f>
        <v/>
      </c>
      <c r="C1416" s="40" t="str">
        <f aca="false">IF(INDEX(BookTitle,1411)="","",INDEX(BookDivision,1411))</f>
        <v/>
      </c>
      <c r="D1416" s="40" t="str">
        <f aca="false">IF(INDEX(BookTitle,1411)="","",INDEX(BookUnit,1411))</f>
        <v/>
      </c>
      <c r="E1416" s="40" t="str">
        <f aca="false">IF(INDEX(BookTitle,1411)="","",INDEX(BookTitle,1411))</f>
        <v/>
      </c>
      <c r="F1416" s="40" t="str">
        <f aca="false">IF(INDEX(BookTitle,1411)="","",INDEX(BookLevel,1411))</f>
        <v/>
      </c>
      <c r="G1416" s="40" t="str">
        <f aca="false">IF(INDEX(BookTitle,1411)="","",INDEX(BookCategory,1411))</f>
        <v/>
      </c>
      <c r="H1416" s="40" t="str">
        <f aca="false">IF(INDEX(BookTitle,1411)="","",INDEX(BookRank,1411))</f>
        <v/>
      </c>
      <c r="I1416" s="41" t="str">
        <f aca="false">IF(INDEX(BookTitle,1411)="","",INDEX(BookTotal,1411))</f>
        <v/>
      </c>
      <c r="J1416" s="0" t="str">
        <f aca="false">IF($I1416="","",IF(INDEX(BookQ1,1411)&gt;0,"Q1",IF(INDEX(BookQ2,1411)&gt;0,"Q2",IF(INDEX(BookQ3,1411)&gt;0,"Q3",IF(INDEX(BookQ4,1411)&gt;0,"Q4","")))))</f>
        <v/>
      </c>
      <c r="K1416" s="42" t="str">
        <f aca="false">IF(INDEX(BookTitle,1411)="","",INDEX(BookInYear,1411))</f>
        <v/>
      </c>
      <c r="L1416" s="19"/>
      <c r="M1416" s="39"/>
      <c r="N1416" s="19"/>
      <c r="O1416" s="19"/>
      <c r="P1416" s="43" t="str">
        <f aca="false">IF($E1416="","",IF($L1416="Decline",0,IF($L1416="Approve fewer",IF($M1416="","",$M1416),IF($L1416="","",$I1416))))</f>
        <v/>
      </c>
      <c r="Q1416" s="34" t="str">
        <f aca="false">IF($P1416="","",IF($N1416&lt;&gt;"",$N1416,$J1416))</f>
        <v/>
      </c>
      <c r="R1416" s="35" t="str">
        <f aca="false">IF(OR($P1416="",$Q1416=""),"",INDEX(BookRate,1411)*$P1416*(5-MATCH($Q1416,{"Q1";"Q2";"Q3";"Q4"},0))/4+INDEX(BookOneOff,1411)*$P1416)</f>
        <v/>
      </c>
      <c r="S1416" s="35" t="str">
        <f aca="false">IF($P1416="","",INDEX(BookRate,1411)*$P1416)</f>
        <v/>
      </c>
      <c r="T1416" s="35" t="str">
        <f aca="false">IF($R1416="","",$R1416-$K1416)</f>
        <v/>
      </c>
      <c r="U1416" s="35" t="str">
        <f aca="false">IF(N($P1416)&lt;=0,"",COUNTIF($P$6:$P1416,"&gt;0"))</f>
        <v/>
      </c>
    </row>
    <row r="1417" customFormat="false" ht="15" hidden="false" customHeight="false" outlineLevel="0" collapsed="false">
      <c r="A1417" s="40" t="str">
        <f aca="false">IF(INDEX(BookTitle,1412)="","",INDEX(BookGroup,1412))</f>
        <v/>
      </c>
      <c r="B1417" s="40" t="str">
        <f aca="false">IF(INDEX(BookTitle,1412)="","",INDEX(BookRef,1412))</f>
        <v/>
      </c>
      <c r="C1417" s="40" t="str">
        <f aca="false">IF(INDEX(BookTitle,1412)="","",INDEX(BookDivision,1412))</f>
        <v/>
      </c>
      <c r="D1417" s="40" t="str">
        <f aca="false">IF(INDEX(BookTitle,1412)="","",INDEX(BookUnit,1412))</f>
        <v/>
      </c>
      <c r="E1417" s="40" t="str">
        <f aca="false">IF(INDEX(BookTitle,1412)="","",INDEX(BookTitle,1412))</f>
        <v/>
      </c>
      <c r="F1417" s="40" t="str">
        <f aca="false">IF(INDEX(BookTitle,1412)="","",INDEX(BookLevel,1412))</f>
        <v/>
      </c>
      <c r="G1417" s="40" t="str">
        <f aca="false">IF(INDEX(BookTitle,1412)="","",INDEX(BookCategory,1412))</f>
        <v/>
      </c>
      <c r="H1417" s="40" t="str">
        <f aca="false">IF(INDEX(BookTitle,1412)="","",INDEX(BookRank,1412))</f>
        <v/>
      </c>
      <c r="I1417" s="41" t="str">
        <f aca="false">IF(INDEX(BookTitle,1412)="","",INDEX(BookTotal,1412))</f>
        <v/>
      </c>
      <c r="J1417" s="0" t="str">
        <f aca="false">IF($I1417="","",IF(INDEX(BookQ1,1412)&gt;0,"Q1",IF(INDEX(BookQ2,1412)&gt;0,"Q2",IF(INDEX(BookQ3,1412)&gt;0,"Q3",IF(INDEX(BookQ4,1412)&gt;0,"Q4","")))))</f>
        <v/>
      </c>
      <c r="K1417" s="42" t="str">
        <f aca="false">IF(INDEX(BookTitle,1412)="","",INDEX(BookInYear,1412))</f>
        <v/>
      </c>
      <c r="L1417" s="19"/>
      <c r="M1417" s="39"/>
      <c r="N1417" s="19"/>
      <c r="O1417" s="19"/>
      <c r="P1417" s="43" t="str">
        <f aca="false">IF($E1417="","",IF($L1417="Decline",0,IF($L1417="Approve fewer",IF($M1417="","",$M1417),IF($L1417="","",$I1417))))</f>
        <v/>
      </c>
      <c r="Q1417" s="34" t="str">
        <f aca="false">IF($P1417="","",IF($N1417&lt;&gt;"",$N1417,$J1417))</f>
        <v/>
      </c>
      <c r="R1417" s="35" t="str">
        <f aca="false">IF(OR($P1417="",$Q1417=""),"",INDEX(BookRate,1412)*$P1417*(5-MATCH($Q1417,{"Q1";"Q2";"Q3";"Q4"},0))/4+INDEX(BookOneOff,1412)*$P1417)</f>
        <v/>
      </c>
      <c r="S1417" s="35" t="str">
        <f aca="false">IF($P1417="","",INDEX(BookRate,1412)*$P1417)</f>
        <v/>
      </c>
      <c r="T1417" s="35" t="str">
        <f aca="false">IF($R1417="","",$R1417-$K1417)</f>
        <v/>
      </c>
      <c r="U1417" s="35" t="str">
        <f aca="false">IF(N($P1417)&lt;=0,"",COUNTIF($P$6:$P1417,"&gt;0"))</f>
        <v/>
      </c>
    </row>
    <row r="1418" customFormat="false" ht="15" hidden="false" customHeight="false" outlineLevel="0" collapsed="false">
      <c r="A1418" s="40" t="str">
        <f aca="false">IF(INDEX(BookTitle,1413)="","",INDEX(BookGroup,1413))</f>
        <v/>
      </c>
      <c r="B1418" s="40" t="str">
        <f aca="false">IF(INDEX(BookTitle,1413)="","",INDEX(BookRef,1413))</f>
        <v/>
      </c>
      <c r="C1418" s="40" t="str">
        <f aca="false">IF(INDEX(BookTitle,1413)="","",INDEX(BookDivision,1413))</f>
        <v/>
      </c>
      <c r="D1418" s="40" t="str">
        <f aca="false">IF(INDEX(BookTitle,1413)="","",INDEX(BookUnit,1413))</f>
        <v/>
      </c>
      <c r="E1418" s="40" t="str">
        <f aca="false">IF(INDEX(BookTitle,1413)="","",INDEX(BookTitle,1413))</f>
        <v/>
      </c>
      <c r="F1418" s="40" t="str">
        <f aca="false">IF(INDEX(BookTitle,1413)="","",INDEX(BookLevel,1413))</f>
        <v/>
      </c>
      <c r="G1418" s="40" t="str">
        <f aca="false">IF(INDEX(BookTitle,1413)="","",INDEX(BookCategory,1413))</f>
        <v/>
      </c>
      <c r="H1418" s="40" t="str">
        <f aca="false">IF(INDEX(BookTitle,1413)="","",INDEX(BookRank,1413))</f>
        <v/>
      </c>
      <c r="I1418" s="41" t="str">
        <f aca="false">IF(INDEX(BookTitle,1413)="","",INDEX(BookTotal,1413))</f>
        <v/>
      </c>
      <c r="J1418" s="0" t="str">
        <f aca="false">IF($I1418="","",IF(INDEX(BookQ1,1413)&gt;0,"Q1",IF(INDEX(BookQ2,1413)&gt;0,"Q2",IF(INDEX(BookQ3,1413)&gt;0,"Q3",IF(INDEX(BookQ4,1413)&gt;0,"Q4","")))))</f>
        <v/>
      </c>
      <c r="K1418" s="42" t="str">
        <f aca="false">IF(INDEX(BookTitle,1413)="","",INDEX(BookInYear,1413))</f>
        <v/>
      </c>
      <c r="L1418" s="19"/>
      <c r="M1418" s="39"/>
      <c r="N1418" s="19"/>
      <c r="O1418" s="19"/>
      <c r="P1418" s="43" t="str">
        <f aca="false">IF($E1418="","",IF($L1418="Decline",0,IF($L1418="Approve fewer",IF($M1418="","",$M1418),IF($L1418="","",$I1418))))</f>
        <v/>
      </c>
      <c r="Q1418" s="34" t="str">
        <f aca="false">IF($P1418="","",IF($N1418&lt;&gt;"",$N1418,$J1418))</f>
        <v/>
      </c>
      <c r="R1418" s="35" t="str">
        <f aca="false">IF(OR($P1418="",$Q1418=""),"",INDEX(BookRate,1413)*$P1418*(5-MATCH($Q1418,{"Q1";"Q2";"Q3";"Q4"},0))/4+INDEX(BookOneOff,1413)*$P1418)</f>
        <v/>
      </c>
      <c r="S1418" s="35" t="str">
        <f aca="false">IF($P1418="","",INDEX(BookRate,1413)*$P1418)</f>
        <v/>
      </c>
      <c r="T1418" s="35" t="str">
        <f aca="false">IF($R1418="","",$R1418-$K1418)</f>
        <v/>
      </c>
      <c r="U1418" s="35" t="str">
        <f aca="false">IF(N($P1418)&lt;=0,"",COUNTIF($P$6:$P1418,"&gt;0"))</f>
        <v/>
      </c>
    </row>
    <row r="1419" customFormat="false" ht="15" hidden="false" customHeight="false" outlineLevel="0" collapsed="false">
      <c r="A1419" s="40" t="str">
        <f aca="false">IF(INDEX(BookTitle,1414)="","",INDEX(BookGroup,1414))</f>
        <v/>
      </c>
      <c r="B1419" s="40" t="str">
        <f aca="false">IF(INDEX(BookTitle,1414)="","",INDEX(BookRef,1414))</f>
        <v/>
      </c>
      <c r="C1419" s="40" t="str">
        <f aca="false">IF(INDEX(BookTitle,1414)="","",INDEX(BookDivision,1414))</f>
        <v/>
      </c>
      <c r="D1419" s="40" t="str">
        <f aca="false">IF(INDEX(BookTitle,1414)="","",INDEX(BookUnit,1414))</f>
        <v/>
      </c>
      <c r="E1419" s="40" t="str">
        <f aca="false">IF(INDEX(BookTitle,1414)="","",INDEX(BookTitle,1414))</f>
        <v/>
      </c>
      <c r="F1419" s="40" t="str">
        <f aca="false">IF(INDEX(BookTitle,1414)="","",INDEX(BookLevel,1414))</f>
        <v/>
      </c>
      <c r="G1419" s="40" t="str">
        <f aca="false">IF(INDEX(BookTitle,1414)="","",INDEX(BookCategory,1414))</f>
        <v/>
      </c>
      <c r="H1419" s="40" t="str">
        <f aca="false">IF(INDEX(BookTitle,1414)="","",INDEX(BookRank,1414))</f>
        <v/>
      </c>
      <c r="I1419" s="41" t="str">
        <f aca="false">IF(INDEX(BookTitle,1414)="","",INDEX(BookTotal,1414))</f>
        <v/>
      </c>
      <c r="J1419" s="0" t="str">
        <f aca="false">IF($I1419="","",IF(INDEX(BookQ1,1414)&gt;0,"Q1",IF(INDEX(BookQ2,1414)&gt;0,"Q2",IF(INDEX(BookQ3,1414)&gt;0,"Q3",IF(INDEX(BookQ4,1414)&gt;0,"Q4","")))))</f>
        <v/>
      </c>
      <c r="K1419" s="42" t="str">
        <f aca="false">IF(INDEX(BookTitle,1414)="","",INDEX(BookInYear,1414))</f>
        <v/>
      </c>
      <c r="L1419" s="19"/>
      <c r="M1419" s="39"/>
      <c r="N1419" s="19"/>
      <c r="O1419" s="19"/>
      <c r="P1419" s="43" t="str">
        <f aca="false">IF($E1419="","",IF($L1419="Decline",0,IF($L1419="Approve fewer",IF($M1419="","",$M1419),IF($L1419="","",$I1419))))</f>
        <v/>
      </c>
      <c r="Q1419" s="34" t="str">
        <f aca="false">IF($P1419="","",IF($N1419&lt;&gt;"",$N1419,$J1419))</f>
        <v/>
      </c>
      <c r="R1419" s="35" t="str">
        <f aca="false">IF(OR($P1419="",$Q1419=""),"",INDEX(BookRate,1414)*$P1419*(5-MATCH($Q1419,{"Q1";"Q2";"Q3";"Q4"},0))/4+INDEX(BookOneOff,1414)*$P1419)</f>
        <v/>
      </c>
      <c r="S1419" s="35" t="str">
        <f aca="false">IF($P1419="","",INDEX(BookRate,1414)*$P1419)</f>
        <v/>
      </c>
      <c r="T1419" s="35" t="str">
        <f aca="false">IF($R1419="","",$R1419-$K1419)</f>
        <v/>
      </c>
      <c r="U1419" s="35" t="str">
        <f aca="false">IF(N($P1419)&lt;=0,"",COUNTIF($P$6:$P1419,"&gt;0"))</f>
        <v/>
      </c>
    </row>
    <row r="1420" customFormat="false" ht="15" hidden="false" customHeight="false" outlineLevel="0" collapsed="false">
      <c r="A1420" s="40" t="str">
        <f aca="false">IF(INDEX(BookTitle,1415)="","",INDEX(BookGroup,1415))</f>
        <v/>
      </c>
      <c r="B1420" s="40" t="str">
        <f aca="false">IF(INDEX(BookTitle,1415)="","",INDEX(BookRef,1415))</f>
        <v/>
      </c>
      <c r="C1420" s="40" t="str">
        <f aca="false">IF(INDEX(BookTitle,1415)="","",INDEX(BookDivision,1415))</f>
        <v/>
      </c>
      <c r="D1420" s="40" t="str">
        <f aca="false">IF(INDEX(BookTitle,1415)="","",INDEX(BookUnit,1415))</f>
        <v/>
      </c>
      <c r="E1420" s="40" t="str">
        <f aca="false">IF(INDEX(BookTitle,1415)="","",INDEX(BookTitle,1415))</f>
        <v/>
      </c>
      <c r="F1420" s="40" t="str">
        <f aca="false">IF(INDEX(BookTitle,1415)="","",INDEX(BookLevel,1415))</f>
        <v/>
      </c>
      <c r="G1420" s="40" t="str">
        <f aca="false">IF(INDEX(BookTitle,1415)="","",INDEX(BookCategory,1415))</f>
        <v/>
      </c>
      <c r="H1420" s="40" t="str">
        <f aca="false">IF(INDEX(BookTitle,1415)="","",INDEX(BookRank,1415))</f>
        <v/>
      </c>
      <c r="I1420" s="41" t="str">
        <f aca="false">IF(INDEX(BookTitle,1415)="","",INDEX(BookTotal,1415))</f>
        <v/>
      </c>
      <c r="J1420" s="0" t="str">
        <f aca="false">IF($I1420="","",IF(INDEX(BookQ1,1415)&gt;0,"Q1",IF(INDEX(BookQ2,1415)&gt;0,"Q2",IF(INDEX(BookQ3,1415)&gt;0,"Q3",IF(INDEX(BookQ4,1415)&gt;0,"Q4","")))))</f>
        <v/>
      </c>
      <c r="K1420" s="42" t="str">
        <f aca="false">IF(INDEX(BookTitle,1415)="","",INDEX(BookInYear,1415))</f>
        <v/>
      </c>
      <c r="L1420" s="19"/>
      <c r="M1420" s="39"/>
      <c r="N1420" s="19"/>
      <c r="O1420" s="19"/>
      <c r="P1420" s="43" t="str">
        <f aca="false">IF($E1420="","",IF($L1420="Decline",0,IF($L1420="Approve fewer",IF($M1420="","",$M1420),IF($L1420="","",$I1420))))</f>
        <v/>
      </c>
      <c r="Q1420" s="34" t="str">
        <f aca="false">IF($P1420="","",IF($N1420&lt;&gt;"",$N1420,$J1420))</f>
        <v/>
      </c>
      <c r="R1420" s="35" t="str">
        <f aca="false">IF(OR($P1420="",$Q1420=""),"",INDEX(BookRate,1415)*$P1420*(5-MATCH($Q1420,{"Q1";"Q2";"Q3";"Q4"},0))/4+INDEX(BookOneOff,1415)*$P1420)</f>
        <v/>
      </c>
      <c r="S1420" s="35" t="str">
        <f aca="false">IF($P1420="","",INDEX(BookRate,1415)*$P1420)</f>
        <v/>
      </c>
      <c r="T1420" s="35" t="str">
        <f aca="false">IF($R1420="","",$R1420-$K1420)</f>
        <v/>
      </c>
      <c r="U1420" s="35" t="str">
        <f aca="false">IF(N($P1420)&lt;=0,"",COUNTIF($P$6:$P1420,"&gt;0"))</f>
        <v/>
      </c>
    </row>
    <row r="1421" customFormat="false" ht="15" hidden="false" customHeight="false" outlineLevel="0" collapsed="false">
      <c r="A1421" s="40" t="str">
        <f aca="false">IF(INDEX(BookTitle,1416)="","",INDEX(BookGroup,1416))</f>
        <v/>
      </c>
      <c r="B1421" s="40" t="str">
        <f aca="false">IF(INDEX(BookTitle,1416)="","",INDEX(BookRef,1416))</f>
        <v/>
      </c>
      <c r="C1421" s="40" t="str">
        <f aca="false">IF(INDEX(BookTitle,1416)="","",INDEX(BookDivision,1416))</f>
        <v/>
      </c>
      <c r="D1421" s="40" t="str">
        <f aca="false">IF(INDEX(BookTitle,1416)="","",INDEX(BookUnit,1416))</f>
        <v/>
      </c>
      <c r="E1421" s="40" t="str">
        <f aca="false">IF(INDEX(BookTitle,1416)="","",INDEX(BookTitle,1416))</f>
        <v/>
      </c>
      <c r="F1421" s="40" t="str">
        <f aca="false">IF(INDEX(BookTitle,1416)="","",INDEX(BookLevel,1416))</f>
        <v/>
      </c>
      <c r="G1421" s="40" t="str">
        <f aca="false">IF(INDEX(BookTitle,1416)="","",INDEX(BookCategory,1416))</f>
        <v/>
      </c>
      <c r="H1421" s="40" t="str">
        <f aca="false">IF(INDEX(BookTitle,1416)="","",INDEX(BookRank,1416))</f>
        <v/>
      </c>
      <c r="I1421" s="41" t="str">
        <f aca="false">IF(INDEX(BookTitle,1416)="","",INDEX(BookTotal,1416))</f>
        <v/>
      </c>
      <c r="J1421" s="0" t="str">
        <f aca="false">IF($I1421="","",IF(INDEX(BookQ1,1416)&gt;0,"Q1",IF(INDEX(BookQ2,1416)&gt;0,"Q2",IF(INDEX(BookQ3,1416)&gt;0,"Q3",IF(INDEX(BookQ4,1416)&gt;0,"Q4","")))))</f>
        <v/>
      </c>
      <c r="K1421" s="42" t="str">
        <f aca="false">IF(INDEX(BookTitle,1416)="","",INDEX(BookInYear,1416))</f>
        <v/>
      </c>
      <c r="L1421" s="19"/>
      <c r="M1421" s="39"/>
      <c r="N1421" s="19"/>
      <c r="O1421" s="19"/>
      <c r="P1421" s="43" t="str">
        <f aca="false">IF($E1421="","",IF($L1421="Decline",0,IF($L1421="Approve fewer",IF($M1421="","",$M1421),IF($L1421="","",$I1421))))</f>
        <v/>
      </c>
      <c r="Q1421" s="34" t="str">
        <f aca="false">IF($P1421="","",IF($N1421&lt;&gt;"",$N1421,$J1421))</f>
        <v/>
      </c>
      <c r="R1421" s="35" t="str">
        <f aca="false">IF(OR($P1421="",$Q1421=""),"",INDEX(BookRate,1416)*$P1421*(5-MATCH($Q1421,{"Q1";"Q2";"Q3";"Q4"},0))/4+INDEX(BookOneOff,1416)*$P1421)</f>
        <v/>
      </c>
      <c r="S1421" s="35" t="str">
        <f aca="false">IF($P1421="","",INDEX(BookRate,1416)*$P1421)</f>
        <v/>
      </c>
      <c r="T1421" s="35" t="str">
        <f aca="false">IF($R1421="","",$R1421-$K1421)</f>
        <v/>
      </c>
      <c r="U1421" s="35" t="str">
        <f aca="false">IF(N($P1421)&lt;=0,"",COUNTIF($P$6:$P1421,"&gt;0"))</f>
        <v/>
      </c>
    </row>
    <row r="1422" customFormat="false" ht="15" hidden="false" customHeight="false" outlineLevel="0" collapsed="false">
      <c r="A1422" s="40" t="str">
        <f aca="false">IF(INDEX(BookTitle,1417)="","",INDEX(BookGroup,1417))</f>
        <v/>
      </c>
      <c r="B1422" s="40" t="str">
        <f aca="false">IF(INDEX(BookTitle,1417)="","",INDEX(BookRef,1417))</f>
        <v/>
      </c>
      <c r="C1422" s="40" t="str">
        <f aca="false">IF(INDEX(BookTitle,1417)="","",INDEX(BookDivision,1417))</f>
        <v/>
      </c>
      <c r="D1422" s="40" t="str">
        <f aca="false">IF(INDEX(BookTitle,1417)="","",INDEX(BookUnit,1417))</f>
        <v/>
      </c>
      <c r="E1422" s="40" t="str">
        <f aca="false">IF(INDEX(BookTitle,1417)="","",INDEX(BookTitle,1417))</f>
        <v/>
      </c>
      <c r="F1422" s="40" t="str">
        <f aca="false">IF(INDEX(BookTitle,1417)="","",INDEX(BookLevel,1417))</f>
        <v/>
      </c>
      <c r="G1422" s="40" t="str">
        <f aca="false">IF(INDEX(BookTitle,1417)="","",INDEX(BookCategory,1417))</f>
        <v/>
      </c>
      <c r="H1422" s="40" t="str">
        <f aca="false">IF(INDEX(BookTitle,1417)="","",INDEX(BookRank,1417))</f>
        <v/>
      </c>
      <c r="I1422" s="41" t="str">
        <f aca="false">IF(INDEX(BookTitle,1417)="","",INDEX(BookTotal,1417))</f>
        <v/>
      </c>
      <c r="J1422" s="0" t="str">
        <f aca="false">IF($I1422="","",IF(INDEX(BookQ1,1417)&gt;0,"Q1",IF(INDEX(BookQ2,1417)&gt;0,"Q2",IF(INDEX(BookQ3,1417)&gt;0,"Q3",IF(INDEX(BookQ4,1417)&gt;0,"Q4","")))))</f>
        <v/>
      </c>
      <c r="K1422" s="42" t="str">
        <f aca="false">IF(INDEX(BookTitle,1417)="","",INDEX(BookInYear,1417))</f>
        <v/>
      </c>
      <c r="L1422" s="19"/>
      <c r="M1422" s="39"/>
      <c r="N1422" s="19"/>
      <c r="O1422" s="19"/>
      <c r="P1422" s="43" t="str">
        <f aca="false">IF($E1422="","",IF($L1422="Decline",0,IF($L1422="Approve fewer",IF($M1422="","",$M1422),IF($L1422="","",$I1422))))</f>
        <v/>
      </c>
      <c r="Q1422" s="34" t="str">
        <f aca="false">IF($P1422="","",IF($N1422&lt;&gt;"",$N1422,$J1422))</f>
        <v/>
      </c>
      <c r="R1422" s="35" t="str">
        <f aca="false">IF(OR($P1422="",$Q1422=""),"",INDEX(BookRate,1417)*$P1422*(5-MATCH($Q1422,{"Q1";"Q2";"Q3";"Q4"},0))/4+INDEX(BookOneOff,1417)*$P1422)</f>
        <v/>
      </c>
      <c r="S1422" s="35" t="str">
        <f aca="false">IF($P1422="","",INDEX(BookRate,1417)*$P1422)</f>
        <v/>
      </c>
      <c r="T1422" s="35" t="str">
        <f aca="false">IF($R1422="","",$R1422-$K1422)</f>
        <v/>
      </c>
      <c r="U1422" s="35" t="str">
        <f aca="false">IF(N($P1422)&lt;=0,"",COUNTIF($P$6:$P1422,"&gt;0"))</f>
        <v/>
      </c>
    </row>
    <row r="1423" customFormat="false" ht="15" hidden="false" customHeight="false" outlineLevel="0" collapsed="false">
      <c r="A1423" s="40" t="str">
        <f aca="false">IF(INDEX(BookTitle,1418)="","",INDEX(BookGroup,1418))</f>
        <v/>
      </c>
      <c r="B1423" s="40" t="str">
        <f aca="false">IF(INDEX(BookTitle,1418)="","",INDEX(BookRef,1418))</f>
        <v/>
      </c>
      <c r="C1423" s="40" t="str">
        <f aca="false">IF(INDEX(BookTitle,1418)="","",INDEX(BookDivision,1418))</f>
        <v/>
      </c>
      <c r="D1423" s="40" t="str">
        <f aca="false">IF(INDEX(BookTitle,1418)="","",INDEX(BookUnit,1418))</f>
        <v/>
      </c>
      <c r="E1423" s="40" t="str">
        <f aca="false">IF(INDEX(BookTitle,1418)="","",INDEX(BookTitle,1418))</f>
        <v/>
      </c>
      <c r="F1423" s="40" t="str">
        <f aca="false">IF(INDEX(BookTitle,1418)="","",INDEX(BookLevel,1418))</f>
        <v/>
      </c>
      <c r="G1423" s="40" t="str">
        <f aca="false">IF(INDEX(BookTitle,1418)="","",INDEX(BookCategory,1418))</f>
        <v/>
      </c>
      <c r="H1423" s="40" t="str">
        <f aca="false">IF(INDEX(BookTitle,1418)="","",INDEX(BookRank,1418))</f>
        <v/>
      </c>
      <c r="I1423" s="41" t="str">
        <f aca="false">IF(INDEX(BookTitle,1418)="","",INDEX(BookTotal,1418))</f>
        <v/>
      </c>
      <c r="J1423" s="0" t="str">
        <f aca="false">IF($I1423="","",IF(INDEX(BookQ1,1418)&gt;0,"Q1",IF(INDEX(BookQ2,1418)&gt;0,"Q2",IF(INDEX(BookQ3,1418)&gt;0,"Q3",IF(INDEX(BookQ4,1418)&gt;0,"Q4","")))))</f>
        <v/>
      </c>
      <c r="K1423" s="42" t="str">
        <f aca="false">IF(INDEX(BookTitle,1418)="","",INDEX(BookInYear,1418))</f>
        <v/>
      </c>
      <c r="L1423" s="19"/>
      <c r="M1423" s="39"/>
      <c r="N1423" s="19"/>
      <c r="O1423" s="19"/>
      <c r="P1423" s="43" t="str">
        <f aca="false">IF($E1423="","",IF($L1423="Decline",0,IF($L1423="Approve fewer",IF($M1423="","",$M1423),IF($L1423="","",$I1423))))</f>
        <v/>
      </c>
      <c r="Q1423" s="34" t="str">
        <f aca="false">IF($P1423="","",IF($N1423&lt;&gt;"",$N1423,$J1423))</f>
        <v/>
      </c>
      <c r="R1423" s="35" t="str">
        <f aca="false">IF(OR($P1423="",$Q1423=""),"",INDEX(BookRate,1418)*$P1423*(5-MATCH($Q1423,{"Q1";"Q2";"Q3";"Q4"},0))/4+INDEX(BookOneOff,1418)*$P1423)</f>
        <v/>
      </c>
      <c r="S1423" s="35" t="str">
        <f aca="false">IF($P1423="","",INDEX(BookRate,1418)*$P1423)</f>
        <v/>
      </c>
      <c r="T1423" s="35" t="str">
        <f aca="false">IF($R1423="","",$R1423-$K1423)</f>
        <v/>
      </c>
      <c r="U1423" s="35" t="str">
        <f aca="false">IF(N($P1423)&lt;=0,"",COUNTIF($P$6:$P1423,"&gt;0"))</f>
        <v/>
      </c>
    </row>
    <row r="1424" customFormat="false" ht="15" hidden="false" customHeight="false" outlineLevel="0" collapsed="false">
      <c r="A1424" s="40" t="str">
        <f aca="false">IF(INDEX(BookTitle,1419)="","",INDEX(BookGroup,1419))</f>
        <v/>
      </c>
      <c r="B1424" s="40" t="str">
        <f aca="false">IF(INDEX(BookTitle,1419)="","",INDEX(BookRef,1419))</f>
        <v/>
      </c>
      <c r="C1424" s="40" t="str">
        <f aca="false">IF(INDEX(BookTitle,1419)="","",INDEX(BookDivision,1419))</f>
        <v/>
      </c>
      <c r="D1424" s="40" t="str">
        <f aca="false">IF(INDEX(BookTitle,1419)="","",INDEX(BookUnit,1419))</f>
        <v/>
      </c>
      <c r="E1424" s="40" t="str">
        <f aca="false">IF(INDEX(BookTitle,1419)="","",INDEX(BookTitle,1419))</f>
        <v/>
      </c>
      <c r="F1424" s="40" t="str">
        <f aca="false">IF(INDEX(BookTitle,1419)="","",INDEX(BookLevel,1419))</f>
        <v/>
      </c>
      <c r="G1424" s="40" t="str">
        <f aca="false">IF(INDEX(BookTitle,1419)="","",INDEX(BookCategory,1419))</f>
        <v/>
      </c>
      <c r="H1424" s="40" t="str">
        <f aca="false">IF(INDEX(BookTitle,1419)="","",INDEX(BookRank,1419))</f>
        <v/>
      </c>
      <c r="I1424" s="41" t="str">
        <f aca="false">IF(INDEX(BookTitle,1419)="","",INDEX(BookTotal,1419))</f>
        <v/>
      </c>
      <c r="J1424" s="0" t="str">
        <f aca="false">IF($I1424="","",IF(INDEX(BookQ1,1419)&gt;0,"Q1",IF(INDEX(BookQ2,1419)&gt;0,"Q2",IF(INDEX(BookQ3,1419)&gt;0,"Q3",IF(INDEX(BookQ4,1419)&gt;0,"Q4","")))))</f>
        <v/>
      </c>
      <c r="K1424" s="42" t="str">
        <f aca="false">IF(INDEX(BookTitle,1419)="","",INDEX(BookInYear,1419))</f>
        <v/>
      </c>
      <c r="L1424" s="19"/>
      <c r="M1424" s="39"/>
      <c r="N1424" s="19"/>
      <c r="O1424" s="19"/>
      <c r="P1424" s="43" t="str">
        <f aca="false">IF($E1424="","",IF($L1424="Decline",0,IF($L1424="Approve fewer",IF($M1424="","",$M1424),IF($L1424="","",$I1424))))</f>
        <v/>
      </c>
      <c r="Q1424" s="34" t="str">
        <f aca="false">IF($P1424="","",IF($N1424&lt;&gt;"",$N1424,$J1424))</f>
        <v/>
      </c>
      <c r="R1424" s="35" t="str">
        <f aca="false">IF(OR($P1424="",$Q1424=""),"",INDEX(BookRate,1419)*$P1424*(5-MATCH($Q1424,{"Q1";"Q2";"Q3";"Q4"},0))/4+INDEX(BookOneOff,1419)*$P1424)</f>
        <v/>
      </c>
      <c r="S1424" s="35" t="str">
        <f aca="false">IF($P1424="","",INDEX(BookRate,1419)*$P1424)</f>
        <v/>
      </c>
      <c r="T1424" s="35" t="str">
        <f aca="false">IF($R1424="","",$R1424-$K1424)</f>
        <v/>
      </c>
      <c r="U1424" s="35" t="str">
        <f aca="false">IF(N($P1424)&lt;=0,"",COUNTIF($P$6:$P1424,"&gt;0"))</f>
        <v/>
      </c>
    </row>
    <row r="1425" customFormat="false" ht="15" hidden="false" customHeight="false" outlineLevel="0" collapsed="false">
      <c r="A1425" s="40" t="str">
        <f aca="false">IF(INDEX(BookTitle,1420)="","",INDEX(BookGroup,1420))</f>
        <v/>
      </c>
      <c r="B1425" s="40" t="str">
        <f aca="false">IF(INDEX(BookTitle,1420)="","",INDEX(BookRef,1420))</f>
        <v/>
      </c>
      <c r="C1425" s="40" t="str">
        <f aca="false">IF(INDEX(BookTitle,1420)="","",INDEX(BookDivision,1420))</f>
        <v/>
      </c>
      <c r="D1425" s="40" t="str">
        <f aca="false">IF(INDEX(BookTitle,1420)="","",INDEX(BookUnit,1420))</f>
        <v/>
      </c>
      <c r="E1425" s="40" t="str">
        <f aca="false">IF(INDEX(BookTitle,1420)="","",INDEX(BookTitle,1420))</f>
        <v/>
      </c>
      <c r="F1425" s="40" t="str">
        <f aca="false">IF(INDEX(BookTitle,1420)="","",INDEX(BookLevel,1420))</f>
        <v/>
      </c>
      <c r="G1425" s="40" t="str">
        <f aca="false">IF(INDEX(BookTitle,1420)="","",INDEX(BookCategory,1420))</f>
        <v/>
      </c>
      <c r="H1425" s="40" t="str">
        <f aca="false">IF(INDEX(BookTitle,1420)="","",INDEX(BookRank,1420))</f>
        <v/>
      </c>
      <c r="I1425" s="41" t="str">
        <f aca="false">IF(INDEX(BookTitle,1420)="","",INDEX(BookTotal,1420))</f>
        <v/>
      </c>
      <c r="J1425" s="0" t="str">
        <f aca="false">IF($I1425="","",IF(INDEX(BookQ1,1420)&gt;0,"Q1",IF(INDEX(BookQ2,1420)&gt;0,"Q2",IF(INDEX(BookQ3,1420)&gt;0,"Q3",IF(INDEX(BookQ4,1420)&gt;0,"Q4","")))))</f>
        <v/>
      </c>
      <c r="K1425" s="42" t="str">
        <f aca="false">IF(INDEX(BookTitle,1420)="","",INDEX(BookInYear,1420))</f>
        <v/>
      </c>
      <c r="L1425" s="19"/>
      <c r="M1425" s="39"/>
      <c r="N1425" s="19"/>
      <c r="O1425" s="19"/>
      <c r="P1425" s="43" t="str">
        <f aca="false">IF($E1425="","",IF($L1425="Decline",0,IF($L1425="Approve fewer",IF($M1425="","",$M1425),IF($L1425="","",$I1425))))</f>
        <v/>
      </c>
      <c r="Q1425" s="34" t="str">
        <f aca="false">IF($P1425="","",IF($N1425&lt;&gt;"",$N1425,$J1425))</f>
        <v/>
      </c>
      <c r="R1425" s="35" t="str">
        <f aca="false">IF(OR($P1425="",$Q1425=""),"",INDEX(BookRate,1420)*$P1425*(5-MATCH($Q1425,{"Q1";"Q2";"Q3";"Q4"},0))/4+INDEX(BookOneOff,1420)*$P1425)</f>
        <v/>
      </c>
      <c r="S1425" s="35" t="str">
        <f aca="false">IF($P1425="","",INDEX(BookRate,1420)*$P1425)</f>
        <v/>
      </c>
      <c r="T1425" s="35" t="str">
        <f aca="false">IF($R1425="","",$R1425-$K1425)</f>
        <v/>
      </c>
      <c r="U1425" s="35" t="str">
        <f aca="false">IF(N($P1425)&lt;=0,"",COUNTIF($P$6:$P1425,"&gt;0"))</f>
        <v/>
      </c>
    </row>
    <row r="1426" customFormat="false" ht="15" hidden="false" customHeight="false" outlineLevel="0" collapsed="false">
      <c r="A1426" s="40" t="str">
        <f aca="false">IF(INDEX(BookTitle,1421)="","",INDEX(BookGroup,1421))</f>
        <v/>
      </c>
      <c r="B1426" s="40" t="str">
        <f aca="false">IF(INDEX(BookTitle,1421)="","",INDEX(BookRef,1421))</f>
        <v/>
      </c>
      <c r="C1426" s="40" t="str">
        <f aca="false">IF(INDEX(BookTitle,1421)="","",INDEX(BookDivision,1421))</f>
        <v/>
      </c>
      <c r="D1426" s="40" t="str">
        <f aca="false">IF(INDEX(BookTitle,1421)="","",INDEX(BookUnit,1421))</f>
        <v/>
      </c>
      <c r="E1426" s="40" t="str">
        <f aca="false">IF(INDEX(BookTitle,1421)="","",INDEX(BookTitle,1421))</f>
        <v/>
      </c>
      <c r="F1426" s="40" t="str">
        <f aca="false">IF(INDEX(BookTitle,1421)="","",INDEX(BookLevel,1421))</f>
        <v/>
      </c>
      <c r="G1426" s="40" t="str">
        <f aca="false">IF(INDEX(BookTitle,1421)="","",INDEX(BookCategory,1421))</f>
        <v/>
      </c>
      <c r="H1426" s="40" t="str">
        <f aca="false">IF(INDEX(BookTitle,1421)="","",INDEX(BookRank,1421))</f>
        <v/>
      </c>
      <c r="I1426" s="41" t="str">
        <f aca="false">IF(INDEX(BookTitle,1421)="","",INDEX(BookTotal,1421))</f>
        <v/>
      </c>
      <c r="J1426" s="0" t="str">
        <f aca="false">IF($I1426="","",IF(INDEX(BookQ1,1421)&gt;0,"Q1",IF(INDEX(BookQ2,1421)&gt;0,"Q2",IF(INDEX(BookQ3,1421)&gt;0,"Q3",IF(INDEX(BookQ4,1421)&gt;0,"Q4","")))))</f>
        <v/>
      </c>
      <c r="K1426" s="42" t="str">
        <f aca="false">IF(INDEX(BookTitle,1421)="","",INDEX(BookInYear,1421))</f>
        <v/>
      </c>
      <c r="L1426" s="19"/>
      <c r="M1426" s="39"/>
      <c r="N1426" s="19"/>
      <c r="O1426" s="19"/>
      <c r="P1426" s="43" t="str">
        <f aca="false">IF($E1426="","",IF($L1426="Decline",0,IF($L1426="Approve fewer",IF($M1426="","",$M1426),IF($L1426="","",$I1426))))</f>
        <v/>
      </c>
      <c r="Q1426" s="34" t="str">
        <f aca="false">IF($P1426="","",IF($N1426&lt;&gt;"",$N1426,$J1426))</f>
        <v/>
      </c>
      <c r="R1426" s="35" t="str">
        <f aca="false">IF(OR($P1426="",$Q1426=""),"",INDEX(BookRate,1421)*$P1426*(5-MATCH($Q1426,{"Q1";"Q2";"Q3";"Q4"},0))/4+INDEX(BookOneOff,1421)*$P1426)</f>
        <v/>
      </c>
      <c r="S1426" s="35" t="str">
        <f aca="false">IF($P1426="","",INDEX(BookRate,1421)*$P1426)</f>
        <v/>
      </c>
      <c r="T1426" s="35" t="str">
        <f aca="false">IF($R1426="","",$R1426-$K1426)</f>
        <v/>
      </c>
      <c r="U1426" s="35" t="str">
        <f aca="false">IF(N($P1426)&lt;=0,"",COUNTIF($P$6:$P1426,"&gt;0"))</f>
        <v/>
      </c>
    </row>
    <row r="1427" customFormat="false" ht="15" hidden="false" customHeight="false" outlineLevel="0" collapsed="false">
      <c r="A1427" s="40" t="str">
        <f aca="false">IF(INDEX(BookTitle,1422)="","",INDEX(BookGroup,1422))</f>
        <v/>
      </c>
      <c r="B1427" s="40" t="str">
        <f aca="false">IF(INDEX(BookTitle,1422)="","",INDEX(BookRef,1422))</f>
        <v/>
      </c>
      <c r="C1427" s="40" t="str">
        <f aca="false">IF(INDEX(BookTitle,1422)="","",INDEX(BookDivision,1422))</f>
        <v/>
      </c>
      <c r="D1427" s="40" t="str">
        <f aca="false">IF(INDEX(BookTitle,1422)="","",INDEX(BookUnit,1422))</f>
        <v/>
      </c>
      <c r="E1427" s="40" t="str">
        <f aca="false">IF(INDEX(BookTitle,1422)="","",INDEX(BookTitle,1422))</f>
        <v/>
      </c>
      <c r="F1427" s="40" t="str">
        <f aca="false">IF(INDEX(BookTitle,1422)="","",INDEX(BookLevel,1422))</f>
        <v/>
      </c>
      <c r="G1427" s="40" t="str">
        <f aca="false">IF(INDEX(BookTitle,1422)="","",INDEX(BookCategory,1422))</f>
        <v/>
      </c>
      <c r="H1427" s="40" t="str">
        <f aca="false">IF(INDEX(BookTitle,1422)="","",INDEX(BookRank,1422))</f>
        <v/>
      </c>
      <c r="I1427" s="41" t="str">
        <f aca="false">IF(INDEX(BookTitle,1422)="","",INDEX(BookTotal,1422))</f>
        <v/>
      </c>
      <c r="J1427" s="0" t="str">
        <f aca="false">IF($I1427="","",IF(INDEX(BookQ1,1422)&gt;0,"Q1",IF(INDEX(BookQ2,1422)&gt;0,"Q2",IF(INDEX(BookQ3,1422)&gt;0,"Q3",IF(INDEX(BookQ4,1422)&gt;0,"Q4","")))))</f>
        <v/>
      </c>
      <c r="K1427" s="42" t="str">
        <f aca="false">IF(INDEX(BookTitle,1422)="","",INDEX(BookInYear,1422))</f>
        <v/>
      </c>
      <c r="L1427" s="19"/>
      <c r="M1427" s="39"/>
      <c r="N1427" s="19"/>
      <c r="O1427" s="19"/>
      <c r="P1427" s="43" t="str">
        <f aca="false">IF($E1427="","",IF($L1427="Decline",0,IF($L1427="Approve fewer",IF($M1427="","",$M1427),IF($L1427="","",$I1427))))</f>
        <v/>
      </c>
      <c r="Q1427" s="34" t="str">
        <f aca="false">IF($P1427="","",IF($N1427&lt;&gt;"",$N1427,$J1427))</f>
        <v/>
      </c>
      <c r="R1427" s="35" t="str">
        <f aca="false">IF(OR($P1427="",$Q1427=""),"",INDEX(BookRate,1422)*$P1427*(5-MATCH($Q1427,{"Q1";"Q2";"Q3";"Q4"},0))/4+INDEX(BookOneOff,1422)*$P1427)</f>
        <v/>
      </c>
      <c r="S1427" s="35" t="str">
        <f aca="false">IF($P1427="","",INDEX(BookRate,1422)*$P1427)</f>
        <v/>
      </c>
      <c r="T1427" s="35" t="str">
        <f aca="false">IF($R1427="","",$R1427-$K1427)</f>
        <v/>
      </c>
      <c r="U1427" s="35" t="str">
        <f aca="false">IF(N($P1427)&lt;=0,"",COUNTIF($P$6:$P1427,"&gt;0"))</f>
        <v/>
      </c>
    </row>
    <row r="1428" customFormat="false" ht="15" hidden="false" customHeight="false" outlineLevel="0" collapsed="false">
      <c r="A1428" s="40" t="str">
        <f aca="false">IF(INDEX(BookTitle,1423)="","",INDEX(BookGroup,1423))</f>
        <v/>
      </c>
      <c r="B1428" s="40" t="str">
        <f aca="false">IF(INDEX(BookTitle,1423)="","",INDEX(BookRef,1423))</f>
        <v/>
      </c>
      <c r="C1428" s="40" t="str">
        <f aca="false">IF(INDEX(BookTitle,1423)="","",INDEX(BookDivision,1423))</f>
        <v/>
      </c>
      <c r="D1428" s="40" t="str">
        <f aca="false">IF(INDEX(BookTitle,1423)="","",INDEX(BookUnit,1423))</f>
        <v/>
      </c>
      <c r="E1428" s="40" t="str">
        <f aca="false">IF(INDEX(BookTitle,1423)="","",INDEX(BookTitle,1423))</f>
        <v/>
      </c>
      <c r="F1428" s="40" t="str">
        <f aca="false">IF(INDEX(BookTitle,1423)="","",INDEX(BookLevel,1423))</f>
        <v/>
      </c>
      <c r="G1428" s="40" t="str">
        <f aca="false">IF(INDEX(BookTitle,1423)="","",INDEX(BookCategory,1423))</f>
        <v/>
      </c>
      <c r="H1428" s="40" t="str">
        <f aca="false">IF(INDEX(BookTitle,1423)="","",INDEX(BookRank,1423))</f>
        <v/>
      </c>
      <c r="I1428" s="41" t="str">
        <f aca="false">IF(INDEX(BookTitle,1423)="","",INDEX(BookTotal,1423))</f>
        <v/>
      </c>
      <c r="J1428" s="0" t="str">
        <f aca="false">IF($I1428="","",IF(INDEX(BookQ1,1423)&gt;0,"Q1",IF(INDEX(BookQ2,1423)&gt;0,"Q2",IF(INDEX(BookQ3,1423)&gt;0,"Q3",IF(INDEX(BookQ4,1423)&gt;0,"Q4","")))))</f>
        <v/>
      </c>
      <c r="K1428" s="42" t="str">
        <f aca="false">IF(INDEX(BookTitle,1423)="","",INDEX(BookInYear,1423))</f>
        <v/>
      </c>
      <c r="L1428" s="19"/>
      <c r="M1428" s="39"/>
      <c r="N1428" s="19"/>
      <c r="O1428" s="19"/>
      <c r="P1428" s="43" t="str">
        <f aca="false">IF($E1428="","",IF($L1428="Decline",0,IF($L1428="Approve fewer",IF($M1428="","",$M1428),IF($L1428="","",$I1428))))</f>
        <v/>
      </c>
      <c r="Q1428" s="34" t="str">
        <f aca="false">IF($P1428="","",IF($N1428&lt;&gt;"",$N1428,$J1428))</f>
        <v/>
      </c>
      <c r="R1428" s="35" t="str">
        <f aca="false">IF(OR($P1428="",$Q1428=""),"",INDEX(BookRate,1423)*$P1428*(5-MATCH($Q1428,{"Q1";"Q2";"Q3";"Q4"},0))/4+INDEX(BookOneOff,1423)*$P1428)</f>
        <v/>
      </c>
      <c r="S1428" s="35" t="str">
        <f aca="false">IF($P1428="","",INDEX(BookRate,1423)*$P1428)</f>
        <v/>
      </c>
      <c r="T1428" s="35" t="str">
        <f aca="false">IF($R1428="","",$R1428-$K1428)</f>
        <v/>
      </c>
      <c r="U1428" s="35" t="str">
        <f aca="false">IF(N($P1428)&lt;=0,"",COUNTIF($P$6:$P1428,"&gt;0"))</f>
        <v/>
      </c>
    </row>
    <row r="1429" customFormat="false" ht="15" hidden="false" customHeight="false" outlineLevel="0" collapsed="false">
      <c r="A1429" s="40" t="str">
        <f aca="false">IF(INDEX(BookTitle,1424)="","",INDEX(BookGroup,1424))</f>
        <v/>
      </c>
      <c r="B1429" s="40" t="str">
        <f aca="false">IF(INDEX(BookTitle,1424)="","",INDEX(BookRef,1424))</f>
        <v/>
      </c>
      <c r="C1429" s="40" t="str">
        <f aca="false">IF(INDEX(BookTitle,1424)="","",INDEX(BookDivision,1424))</f>
        <v/>
      </c>
      <c r="D1429" s="40" t="str">
        <f aca="false">IF(INDEX(BookTitle,1424)="","",INDEX(BookUnit,1424))</f>
        <v/>
      </c>
      <c r="E1429" s="40" t="str">
        <f aca="false">IF(INDEX(BookTitle,1424)="","",INDEX(BookTitle,1424))</f>
        <v/>
      </c>
      <c r="F1429" s="40" t="str">
        <f aca="false">IF(INDEX(BookTitle,1424)="","",INDEX(BookLevel,1424))</f>
        <v/>
      </c>
      <c r="G1429" s="40" t="str">
        <f aca="false">IF(INDEX(BookTitle,1424)="","",INDEX(BookCategory,1424))</f>
        <v/>
      </c>
      <c r="H1429" s="40" t="str">
        <f aca="false">IF(INDEX(BookTitle,1424)="","",INDEX(BookRank,1424))</f>
        <v/>
      </c>
      <c r="I1429" s="41" t="str">
        <f aca="false">IF(INDEX(BookTitle,1424)="","",INDEX(BookTotal,1424))</f>
        <v/>
      </c>
      <c r="J1429" s="0" t="str">
        <f aca="false">IF($I1429="","",IF(INDEX(BookQ1,1424)&gt;0,"Q1",IF(INDEX(BookQ2,1424)&gt;0,"Q2",IF(INDEX(BookQ3,1424)&gt;0,"Q3",IF(INDEX(BookQ4,1424)&gt;0,"Q4","")))))</f>
        <v/>
      </c>
      <c r="K1429" s="42" t="str">
        <f aca="false">IF(INDEX(BookTitle,1424)="","",INDEX(BookInYear,1424))</f>
        <v/>
      </c>
      <c r="L1429" s="19"/>
      <c r="M1429" s="39"/>
      <c r="N1429" s="19"/>
      <c r="O1429" s="19"/>
      <c r="P1429" s="43" t="str">
        <f aca="false">IF($E1429="","",IF($L1429="Decline",0,IF($L1429="Approve fewer",IF($M1429="","",$M1429),IF($L1429="","",$I1429))))</f>
        <v/>
      </c>
      <c r="Q1429" s="34" t="str">
        <f aca="false">IF($P1429="","",IF($N1429&lt;&gt;"",$N1429,$J1429))</f>
        <v/>
      </c>
      <c r="R1429" s="35" t="str">
        <f aca="false">IF(OR($P1429="",$Q1429=""),"",INDEX(BookRate,1424)*$P1429*(5-MATCH($Q1429,{"Q1";"Q2";"Q3";"Q4"},0))/4+INDEX(BookOneOff,1424)*$P1429)</f>
        <v/>
      </c>
      <c r="S1429" s="35" t="str">
        <f aca="false">IF($P1429="","",INDEX(BookRate,1424)*$P1429)</f>
        <v/>
      </c>
      <c r="T1429" s="35" t="str">
        <f aca="false">IF($R1429="","",$R1429-$K1429)</f>
        <v/>
      </c>
      <c r="U1429" s="35" t="str">
        <f aca="false">IF(N($P1429)&lt;=0,"",COUNTIF($P$6:$P1429,"&gt;0"))</f>
        <v/>
      </c>
    </row>
    <row r="1430" customFormat="false" ht="15" hidden="false" customHeight="false" outlineLevel="0" collapsed="false">
      <c r="A1430" s="40" t="str">
        <f aca="false">IF(INDEX(BookTitle,1425)="","",INDEX(BookGroup,1425))</f>
        <v/>
      </c>
      <c r="B1430" s="40" t="str">
        <f aca="false">IF(INDEX(BookTitle,1425)="","",INDEX(BookRef,1425))</f>
        <v/>
      </c>
      <c r="C1430" s="40" t="str">
        <f aca="false">IF(INDEX(BookTitle,1425)="","",INDEX(BookDivision,1425))</f>
        <v/>
      </c>
      <c r="D1430" s="40" t="str">
        <f aca="false">IF(INDEX(BookTitle,1425)="","",INDEX(BookUnit,1425))</f>
        <v/>
      </c>
      <c r="E1430" s="40" t="str">
        <f aca="false">IF(INDEX(BookTitle,1425)="","",INDEX(BookTitle,1425))</f>
        <v/>
      </c>
      <c r="F1430" s="40" t="str">
        <f aca="false">IF(INDEX(BookTitle,1425)="","",INDEX(BookLevel,1425))</f>
        <v/>
      </c>
      <c r="G1430" s="40" t="str">
        <f aca="false">IF(INDEX(BookTitle,1425)="","",INDEX(BookCategory,1425))</f>
        <v/>
      </c>
      <c r="H1430" s="40" t="str">
        <f aca="false">IF(INDEX(BookTitle,1425)="","",INDEX(BookRank,1425))</f>
        <v/>
      </c>
      <c r="I1430" s="41" t="str">
        <f aca="false">IF(INDEX(BookTitle,1425)="","",INDEX(BookTotal,1425))</f>
        <v/>
      </c>
      <c r="J1430" s="0" t="str">
        <f aca="false">IF($I1430="","",IF(INDEX(BookQ1,1425)&gt;0,"Q1",IF(INDEX(BookQ2,1425)&gt;0,"Q2",IF(INDEX(BookQ3,1425)&gt;0,"Q3",IF(INDEX(BookQ4,1425)&gt;0,"Q4","")))))</f>
        <v/>
      </c>
      <c r="K1430" s="42" t="str">
        <f aca="false">IF(INDEX(BookTitle,1425)="","",INDEX(BookInYear,1425))</f>
        <v/>
      </c>
      <c r="L1430" s="19"/>
      <c r="M1430" s="39"/>
      <c r="N1430" s="19"/>
      <c r="O1430" s="19"/>
      <c r="P1430" s="43" t="str">
        <f aca="false">IF($E1430="","",IF($L1430="Decline",0,IF($L1430="Approve fewer",IF($M1430="","",$M1430),IF($L1430="","",$I1430))))</f>
        <v/>
      </c>
      <c r="Q1430" s="34" t="str">
        <f aca="false">IF($P1430="","",IF($N1430&lt;&gt;"",$N1430,$J1430))</f>
        <v/>
      </c>
      <c r="R1430" s="35" t="str">
        <f aca="false">IF(OR($P1430="",$Q1430=""),"",INDEX(BookRate,1425)*$P1430*(5-MATCH($Q1430,{"Q1";"Q2";"Q3";"Q4"},0))/4+INDEX(BookOneOff,1425)*$P1430)</f>
        <v/>
      </c>
      <c r="S1430" s="35" t="str">
        <f aca="false">IF($P1430="","",INDEX(BookRate,1425)*$P1430)</f>
        <v/>
      </c>
      <c r="T1430" s="35" t="str">
        <f aca="false">IF($R1430="","",$R1430-$K1430)</f>
        <v/>
      </c>
      <c r="U1430" s="35" t="str">
        <f aca="false">IF(N($P1430)&lt;=0,"",COUNTIF($P$6:$P1430,"&gt;0"))</f>
        <v/>
      </c>
    </row>
    <row r="1431" customFormat="false" ht="15" hidden="false" customHeight="false" outlineLevel="0" collapsed="false">
      <c r="A1431" s="40" t="str">
        <f aca="false">IF(INDEX(BookTitle,1426)="","",INDEX(BookGroup,1426))</f>
        <v/>
      </c>
      <c r="B1431" s="40" t="str">
        <f aca="false">IF(INDEX(BookTitle,1426)="","",INDEX(BookRef,1426))</f>
        <v/>
      </c>
      <c r="C1431" s="40" t="str">
        <f aca="false">IF(INDEX(BookTitle,1426)="","",INDEX(BookDivision,1426))</f>
        <v/>
      </c>
      <c r="D1431" s="40" t="str">
        <f aca="false">IF(INDEX(BookTitle,1426)="","",INDEX(BookUnit,1426))</f>
        <v/>
      </c>
      <c r="E1431" s="40" t="str">
        <f aca="false">IF(INDEX(BookTitle,1426)="","",INDEX(BookTitle,1426))</f>
        <v/>
      </c>
      <c r="F1431" s="40" t="str">
        <f aca="false">IF(INDEX(BookTitle,1426)="","",INDEX(BookLevel,1426))</f>
        <v/>
      </c>
      <c r="G1431" s="40" t="str">
        <f aca="false">IF(INDEX(BookTitle,1426)="","",INDEX(BookCategory,1426))</f>
        <v/>
      </c>
      <c r="H1431" s="40" t="str">
        <f aca="false">IF(INDEX(BookTitle,1426)="","",INDEX(BookRank,1426))</f>
        <v/>
      </c>
      <c r="I1431" s="41" t="str">
        <f aca="false">IF(INDEX(BookTitle,1426)="","",INDEX(BookTotal,1426))</f>
        <v/>
      </c>
      <c r="J1431" s="0" t="str">
        <f aca="false">IF($I1431="","",IF(INDEX(BookQ1,1426)&gt;0,"Q1",IF(INDEX(BookQ2,1426)&gt;0,"Q2",IF(INDEX(BookQ3,1426)&gt;0,"Q3",IF(INDEX(BookQ4,1426)&gt;0,"Q4","")))))</f>
        <v/>
      </c>
      <c r="K1431" s="42" t="str">
        <f aca="false">IF(INDEX(BookTitle,1426)="","",INDEX(BookInYear,1426))</f>
        <v/>
      </c>
      <c r="L1431" s="19"/>
      <c r="M1431" s="39"/>
      <c r="N1431" s="19"/>
      <c r="O1431" s="19"/>
      <c r="P1431" s="43" t="str">
        <f aca="false">IF($E1431="","",IF($L1431="Decline",0,IF($L1431="Approve fewer",IF($M1431="","",$M1431),IF($L1431="","",$I1431))))</f>
        <v/>
      </c>
      <c r="Q1431" s="34" t="str">
        <f aca="false">IF($P1431="","",IF($N1431&lt;&gt;"",$N1431,$J1431))</f>
        <v/>
      </c>
      <c r="R1431" s="35" t="str">
        <f aca="false">IF(OR($P1431="",$Q1431=""),"",INDEX(BookRate,1426)*$P1431*(5-MATCH($Q1431,{"Q1";"Q2";"Q3";"Q4"},0))/4+INDEX(BookOneOff,1426)*$P1431)</f>
        <v/>
      </c>
      <c r="S1431" s="35" t="str">
        <f aca="false">IF($P1431="","",INDEX(BookRate,1426)*$P1431)</f>
        <v/>
      </c>
      <c r="T1431" s="35" t="str">
        <f aca="false">IF($R1431="","",$R1431-$K1431)</f>
        <v/>
      </c>
      <c r="U1431" s="35" t="str">
        <f aca="false">IF(N($P1431)&lt;=0,"",COUNTIF($P$6:$P1431,"&gt;0"))</f>
        <v/>
      </c>
    </row>
    <row r="1432" customFormat="false" ht="15" hidden="false" customHeight="false" outlineLevel="0" collapsed="false">
      <c r="A1432" s="40" t="str">
        <f aca="false">IF(INDEX(BookTitle,1427)="","",INDEX(BookGroup,1427))</f>
        <v/>
      </c>
      <c r="B1432" s="40" t="str">
        <f aca="false">IF(INDEX(BookTitle,1427)="","",INDEX(BookRef,1427))</f>
        <v/>
      </c>
      <c r="C1432" s="40" t="str">
        <f aca="false">IF(INDEX(BookTitle,1427)="","",INDEX(BookDivision,1427))</f>
        <v/>
      </c>
      <c r="D1432" s="40" t="str">
        <f aca="false">IF(INDEX(BookTitle,1427)="","",INDEX(BookUnit,1427))</f>
        <v/>
      </c>
      <c r="E1432" s="40" t="str">
        <f aca="false">IF(INDEX(BookTitle,1427)="","",INDEX(BookTitle,1427))</f>
        <v/>
      </c>
      <c r="F1432" s="40" t="str">
        <f aca="false">IF(INDEX(BookTitle,1427)="","",INDEX(BookLevel,1427))</f>
        <v/>
      </c>
      <c r="G1432" s="40" t="str">
        <f aca="false">IF(INDEX(BookTitle,1427)="","",INDEX(BookCategory,1427))</f>
        <v/>
      </c>
      <c r="H1432" s="40" t="str">
        <f aca="false">IF(INDEX(BookTitle,1427)="","",INDEX(BookRank,1427))</f>
        <v/>
      </c>
      <c r="I1432" s="41" t="str">
        <f aca="false">IF(INDEX(BookTitle,1427)="","",INDEX(BookTotal,1427))</f>
        <v/>
      </c>
      <c r="J1432" s="0" t="str">
        <f aca="false">IF($I1432="","",IF(INDEX(BookQ1,1427)&gt;0,"Q1",IF(INDEX(BookQ2,1427)&gt;0,"Q2",IF(INDEX(BookQ3,1427)&gt;0,"Q3",IF(INDEX(BookQ4,1427)&gt;0,"Q4","")))))</f>
        <v/>
      </c>
      <c r="K1432" s="42" t="str">
        <f aca="false">IF(INDEX(BookTitle,1427)="","",INDEX(BookInYear,1427))</f>
        <v/>
      </c>
      <c r="L1432" s="19"/>
      <c r="M1432" s="39"/>
      <c r="N1432" s="19"/>
      <c r="O1432" s="19"/>
      <c r="P1432" s="43" t="str">
        <f aca="false">IF($E1432="","",IF($L1432="Decline",0,IF($L1432="Approve fewer",IF($M1432="","",$M1432),IF($L1432="","",$I1432))))</f>
        <v/>
      </c>
      <c r="Q1432" s="34" t="str">
        <f aca="false">IF($P1432="","",IF($N1432&lt;&gt;"",$N1432,$J1432))</f>
        <v/>
      </c>
      <c r="R1432" s="35" t="str">
        <f aca="false">IF(OR($P1432="",$Q1432=""),"",INDEX(BookRate,1427)*$P1432*(5-MATCH($Q1432,{"Q1";"Q2";"Q3";"Q4"},0))/4+INDEX(BookOneOff,1427)*$P1432)</f>
        <v/>
      </c>
      <c r="S1432" s="35" t="str">
        <f aca="false">IF($P1432="","",INDEX(BookRate,1427)*$P1432)</f>
        <v/>
      </c>
      <c r="T1432" s="35" t="str">
        <f aca="false">IF($R1432="","",$R1432-$K1432)</f>
        <v/>
      </c>
      <c r="U1432" s="35" t="str">
        <f aca="false">IF(N($P1432)&lt;=0,"",COUNTIF($P$6:$P1432,"&gt;0"))</f>
        <v/>
      </c>
    </row>
    <row r="1433" customFormat="false" ht="15" hidden="false" customHeight="false" outlineLevel="0" collapsed="false">
      <c r="A1433" s="40" t="str">
        <f aca="false">IF(INDEX(BookTitle,1428)="","",INDEX(BookGroup,1428))</f>
        <v/>
      </c>
      <c r="B1433" s="40" t="str">
        <f aca="false">IF(INDEX(BookTitle,1428)="","",INDEX(BookRef,1428))</f>
        <v/>
      </c>
      <c r="C1433" s="40" t="str">
        <f aca="false">IF(INDEX(BookTitle,1428)="","",INDEX(BookDivision,1428))</f>
        <v/>
      </c>
      <c r="D1433" s="40" t="str">
        <f aca="false">IF(INDEX(BookTitle,1428)="","",INDEX(BookUnit,1428))</f>
        <v/>
      </c>
      <c r="E1433" s="40" t="str">
        <f aca="false">IF(INDEX(BookTitle,1428)="","",INDEX(BookTitle,1428))</f>
        <v/>
      </c>
      <c r="F1433" s="40" t="str">
        <f aca="false">IF(INDEX(BookTitle,1428)="","",INDEX(BookLevel,1428))</f>
        <v/>
      </c>
      <c r="G1433" s="40" t="str">
        <f aca="false">IF(INDEX(BookTitle,1428)="","",INDEX(BookCategory,1428))</f>
        <v/>
      </c>
      <c r="H1433" s="40" t="str">
        <f aca="false">IF(INDEX(BookTitle,1428)="","",INDEX(BookRank,1428))</f>
        <v/>
      </c>
      <c r="I1433" s="41" t="str">
        <f aca="false">IF(INDEX(BookTitle,1428)="","",INDEX(BookTotal,1428))</f>
        <v/>
      </c>
      <c r="J1433" s="0" t="str">
        <f aca="false">IF($I1433="","",IF(INDEX(BookQ1,1428)&gt;0,"Q1",IF(INDEX(BookQ2,1428)&gt;0,"Q2",IF(INDEX(BookQ3,1428)&gt;0,"Q3",IF(INDEX(BookQ4,1428)&gt;0,"Q4","")))))</f>
        <v/>
      </c>
      <c r="K1433" s="42" t="str">
        <f aca="false">IF(INDEX(BookTitle,1428)="","",INDEX(BookInYear,1428))</f>
        <v/>
      </c>
      <c r="L1433" s="19"/>
      <c r="M1433" s="39"/>
      <c r="N1433" s="19"/>
      <c r="O1433" s="19"/>
      <c r="P1433" s="43" t="str">
        <f aca="false">IF($E1433="","",IF($L1433="Decline",0,IF($L1433="Approve fewer",IF($M1433="","",$M1433),IF($L1433="","",$I1433))))</f>
        <v/>
      </c>
      <c r="Q1433" s="34" t="str">
        <f aca="false">IF($P1433="","",IF($N1433&lt;&gt;"",$N1433,$J1433))</f>
        <v/>
      </c>
      <c r="R1433" s="35" t="str">
        <f aca="false">IF(OR($P1433="",$Q1433=""),"",INDEX(BookRate,1428)*$P1433*(5-MATCH($Q1433,{"Q1";"Q2";"Q3";"Q4"},0))/4+INDEX(BookOneOff,1428)*$P1433)</f>
        <v/>
      </c>
      <c r="S1433" s="35" t="str">
        <f aca="false">IF($P1433="","",INDEX(BookRate,1428)*$P1433)</f>
        <v/>
      </c>
      <c r="T1433" s="35" t="str">
        <f aca="false">IF($R1433="","",$R1433-$K1433)</f>
        <v/>
      </c>
      <c r="U1433" s="35" t="str">
        <f aca="false">IF(N($P1433)&lt;=0,"",COUNTIF($P$6:$P1433,"&gt;0"))</f>
        <v/>
      </c>
    </row>
    <row r="1434" customFormat="false" ht="15" hidden="false" customHeight="false" outlineLevel="0" collapsed="false">
      <c r="A1434" s="40" t="str">
        <f aca="false">IF(INDEX(BookTitle,1429)="","",INDEX(BookGroup,1429))</f>
        <v/>
      </c>
      <c r="B1434" s="40" t="str">
        <f aca="false">IF(INDEX(BookTitle,1429)="","",INDEX(BookRef,1429))</f>
        <v/>
      </c>
      <c r="C1434" s="40" t="str">
        <f aca="false">IF(INDEX(BookTitle,1429)="","",INDEX(BookDivision,1429))</f>
        <v/>
      </c>
      <c r="D1434" s="40" t="str">
        <f aca="false">IF(INDEX(BookTitle,1429)="","",INDEX(BookUnit,1429))</f>
        <v/>
      </c>
      <c r="E1434" s="40" t="str">
        <f aca="false">IF(INDEX(BookTitle,1429)="","",INDEX(BookTitle,1429))</f>
        <v/>
      </c>
      <c r="F1434" s="40" t="str">
        <f aca="false">IF(INDEX(BookTitle,1429)="","",INDEX(BookLevel,1429))</f>
        <v/>
      </c>
      <c r="G1434" s="40" t="str">
        <f aca="false">IF(INDEX(BookTitle,1429)="","",INDEX(BookCategory,1429))</f>
        <v/>
      </c>
      <c r="H1434" s="40" t="str">
        <f aca="false">IF(INDEX(BookTitle,1429)="","",INDEX(BookRank,1429))</f>
        <v/>
      </c>
      <c r="I1434" s="41" t="str">
        <f aca="false">IF(INDEX(BookTitle,1429)="","",INDEX(BookTotal,1429))</f>
        <v/>
      </c>
      <c r="J1434" s="0" t="str">
        <f aca="false">IF($I1434="","",IF(INDEX(BookQ1,1429)&gt;0,"Q1",IF(INDEX(BookQ2,1429)&gt;0,"Q2",IF(INDEX(BookQ3,1429)&gt;0,"Q3",IF(INDEX(BookQ4,1429)&gt;0,"Q4","")))))</f>
        <v/>
      </c>
      <c r="K1434" s="42" t="str">
        <f aca="false">IF(INDEX(BookTitle,1429)="","",INDEX(BookInYear,1429))</f>
        <v/>
      </c>
      <c r="L1434" s="19"/>
      <c r="M1434" s="39"/>
      <c r="N1434" s="19"/>
      <c r="O1434" s="19"/>
      <c r="P1434" s="43" t="str">
        <f aca="false">IF($E1434="","",IF($L1434="Decline",0,IF($L1434="Approve fewer",IF($M1434="","",$M1434),IF($L1434="","",$I1434))))</f>
        <v/>
      </c>
      <c r="Q1434" s="34" t="str">
        <f aca="false">IF($P1434="","",IF($N1434&lt;&gt;"",$N1434,$J1434))</f>
        <v/>
      </c>
      <c r="R1434" s="35" t="str">
        <f aca="false">IF(OR($P1434="",$Q1434=""),"",INDEX(BookRate,1429)*$P1434*(5-MATCH($Q1434,{"Q1";"Q2";"Q3";"Q4"},0))/4+INDEX(BookOneOff,1429)*$P1434)</f>
        <v/>
      </c>
      <c r="S1434" s="35" t="str">
        <f aca="false">IF($P1434="","",INDEX(BookRate,1429)*$P1434)</f>
        <v/>
      </c>
      <c r="T1434" s="35" t="str">
        <f aca="false">IF($R1434="","",$R1434-$K1434)</f>
        <v/>
      </c>
      <c r="U1434" s="35" t="str">
        <f aca="false">IF(N($P1434)&lt;=0,"",COUNTIF($P$6:$P1434,"&gt;0"))</f>
        <v/>
      </c>
    </row>
    <row r="1435" customFormat="false" ht="15" hidden="false" customHeight="false" outlineLevel="0" collapsed="false">
      <c r="A1435" s="40" t="str">
        <f aca="false">IF(INDEX(BookTitle,1430)="","",INDEX(BookGroup,1430))</f>
        <v/>
      </c>
      <c r="B1435" s="40" t="str">
        <f aca="false">IF(INDEX(BookTitle,1430)="","",INDEX(BookRef,1430))</f>
        <v/>
      </c>
      <c r="C1435" s="40" t="str">
        <f aca="false">IF(INDEX(BookTitle,1430)="","",INDEX(BookDivision,1430))</f>
        <v/>
      </c>
      <c r="D1435" s="40" t="str">
        <f aca="false">IF(INDEX(BookTitle,1430)="","",INDEX(BookUnit,1430))</f>
        <v/>
      </c>
      <c r="E1435" s="40" t="str">
        <f aca="false">IF(INDEX(BookTitle,1430)="","",INDEX(BookTitle,1430))</f>
        <v/>
      </c>
      <c r="F1435" s="40" t="str">
        <f aca="false">IF(INDEX(BookTitle,1430)="","",INDEX(BookLevel,1430))</f>
        <v/>
      </c>
      <c r="G1435" s="40" t="str">
        <f aca="false">IF(INDEX(BookTitle,1430)="","",INDEX(BookCategory,1430))</f>
        <v/>
      </c>
      <c r="H1435" s="40" t="str">
        <f aca="false">IF(INDEX(BookTitle,1430)="","",INDEX(BookRank,1430))</f>
        <v/>
      </c>
      <c r="I1435" s="41" t="str">
        <f aca="false">IF(INDEX(BookTitle,1430)="","",INDEX(BookTotal,1430))</f>
        <v/>
      </c>
      <c r="J1435" s="0" t="str">
        <f aca="false">IF($I1435="","",IF(INDEX(BookQ1,1430)&gt;0,"Q1",IF(INDEX(BookQ2,1430)&gt;0,"Q2",IF(INDEX(BookQ3,1430)&gt;0,"Q3",IF(INDEX(BookQ4,1430)&gt;0,"Q4","")))))</f>
        <v/>
      </c>
      <c r="K1435" s="42" t="str">
        <f aca="false">IF(INDEX(BookTitle,1430)="","",INDEX(BookInYear,1430))</f>
        <v/>
      </c>
      <c r="L1435" s="19"/>
      <c r="M1435" s="39"/>
      <c r="N1435" s="19"/>
      <c r="O1435" s="19"/>
      <c r="P1435" s="43" t="str">
        <f aca="false">IF($E1435="","",IF($L1435="Decline",0,IF($L1435="Approve fewer",IF($M1435="","",$M1435),IF($L1435="","",$I1435))))</f>
        <v/>
      </c>
      <c r="Q1435" s="34" t="str">
        <f aca="false">IF($P1435="","",IF($N1435&lt;&gt;"",$N1435,$J1435))</f>
        <v/>
      </c>
      <c r="R1435" s="35" t="str">
        <f aca="false">IF(OR($P1435="",$Q1435=""),"",INDEX(BookRate,1430)*$P1435*(5-MATCH($Q1435,{"Q1";"Q2";"Q3";"Q4"},0))/4+INDEX(BookOneOff,1430)*$P1435)</f>
        <v/>
      </c>
      <c r="S1435" s="35" t="str">
        <f aca="false">IF($P1435="","",INDEX(BookRate,1430)*$P1435)</f>
        <v/>
      </c>
      <c r="T1435" s="35" t="str">
        <f aca="false">IF($R1435="","",$R1435-$K1435)</f>
        <v/>
      </c>
      <c r="U1435" s="35" t="str">
        <f aca="false">IF(N($P1435)&lt;=0,"",COUNTIF($P$6:$P1435,"&gt;0"))</f>
        <v/>
      </c>
    </row>
    <row r="1436" customFormat="false" ht="15" hidden="false" customHeight="false" outlineLevel="0" collapsed="false">
      <c r="A1436" s="40" t="str">
        <f aca="false">IF(INDEX(BookTitle,1431)="","",INDEX(BookGroup,1431))</f>
        <v/>
      </c>
      <c r="B1436" s="40" t="str">
        <f aca="false">IF(INDEX(BookTitle,1431)="","",INDEX(BookRef,1431))</f>
        <v/>
      </c>
      <c r="C1436" s="40" t="str">
        <f aca="false">IF(INDEX(BookTitle,1431)="","",INDEX(BookDivision,1431))</f>
        <v/>
      </c>
      <c r="D1436" s="40" t="str">
        <f aca="false">IF(INDEX(BookTitle,1431)="","",INDEX(BookUnit,1431))</f>
        <v/>
      </c>
      <c r="E1436" s="40" t="str">
        <f aca="false">IF(INDEX(BookTitle,1431)="","",INDEX(BookTitle,1431))</f>
        <v/>
      </c>
      <c r="F1436" s="40" t="str">
        <f aca="false">IF(INDEX(BookTitle,1431)="","",INDEX(BookLevel,1431))</f>
        <v/>
      </c>
      <c r="G1436" s="40" t="str">
        <f aca="false">IF(INDEX(BookTitle,1431)="","",INDEX(BookCategory,1431))</f>
        <v/>
      </c>
      <c r="H1436" s="40" t="str">
        <f aca="false">IF(INDEX(BookTitle,1431)="","",INDEX(BookRank,1431))</f>
        <v/>
      </c>
      <c r="I1436" s="41" t="str">
        <f aca="false">IF(INDEX(BookTitle,1431)="","",INDEX(BookTotal,1431))</f>
        <v/>
      </c>
      <c r="J1436" s="0" t="str">
        <f aca="false">IF($I1436="","",IF(INDEX(BookQ1,1431)&gt;0,"Q1",IF(INDEX(BookQ2,1431)&gt;0,"Q2",IF(INDEX(BookQ3,1431)&gt;0,"Q3",IF(INDEX(BookQ4,1431)&gt;0,"Q4","")))))</f>
        <v/>
      </c>
      <c r="K1436" s="42" t="str">
        <f aca="false">IF(INDEX(BookTitle,1431)="","",INDEX(BookInYear,1431))</f>
        <v/>
      </c>
      <c r="L1436" s="19"/>
      <c r="M1436" s="39"/>
      <c r="N1436" s="19"/>
      <c r="O1436" s="19"/>
      <c r="P1436" s="43" t="str">
        <f aca="false">IF($E1436="","",IF($L1436="Decline",0,IF($L1436="Approve fewer",IF($M1436="","",$M1436),IF($L1436="","",$I1436))))</f>
        <v/>
      </c>
      <c r="Q1436" s="34" t="str">
        <f aca="false">IF($P1436="","",IF($N1436&lt;&gt;"",$N1436,$J1436))</f>
        <v/>
      </c>
      <c r="R1436" s="35" t="str">
        <f aca="false">IF(OR($P1436="",$Q1436=""),"",INDEX(BookRate,1431)*$P1436*(5-MATCH($Q1436,{"Q1";"Q2";"Q3";"Q4"},0))/4+INDEX(BookOneOff,1431)*$P1436)</f>
        <v/>
      </c>
      <c r="S1436" s="35" t="str">
        <f aca="false">IF($P1436="","",INDEX(BookRate,1431)*$P1436)</f>
        <v/>
      </c>
      <c r="T1436" s="35" t="str">
        <f aca="false">IF($R1436="","",$R1436-$K1436)</f>
        <v/>
      </c>
      <c r="U1436" s="35" t="str">
        <f aca="false">IF(N($P1436)&lt;=0,"",COUNTIF($P$6:$P1436,"&gt;0"))</f>
        <v/>
      </c>
    </row>
    <row r="1437" customFormat="false" ht="15" hidden="false" customHeight="false" outlineLevel="0" collapsed="false">
      <c r="A1437" s="40" t="str">
        <f aca="false">IF(INDEX(BookTitle,1432)="","",INDEX(BookGroup,1432))</f>
        <v/>
      </c>
      <c r="B1437" s="40" t="str">
        <f aca="false">IF(INDEX(BookTitle,1432)="","",INDEX(BookRef,1432))</f>
        <v/>
      </c>
      <c r="C1437" s="40" t="str">
        <f aca="false">IF(INDEX(BookTitle,1432)="","",INDEX(BookDivision,1432))</f>
        <v/>
      </c>
      <c r="D1437" s="40" t="str">
        <f aca="false">IF(INDEX(BookTitle,1432)="","",INDEX(BookUnit,1432))</f>
        <v/>
      </c>
      <c r="E1437" s="40" t="str">
        <f aca="false">IF(INDEX(BookTitle,1432)="","",INDEX(BookTitle,1432))</f>
        <v/>
      </c>
      <c r="F1437" s="40" t="str">
        <f aca="false">IF(INDEX(BookTitle,1432)="","",INDEX(BookLevel,1432))</f>
        <v/>
      </c>
      <c r="G1437" s="40" t="str">
        <f aca="false">IF(INDEX(BookTitle,1432)="","",INDEX(BookCategory,1432))</f>
        <v/>
      </c>
      <c r="H1437" s="40" t="str">
        <f aca="false">IF(INDEX(BookTitle,1432)="","",INDEX(BookRank,1432))</f>
        <v/>
      </c>
      <c r="I1437" s="41" t="str">
        <f aca="false">IF(INDEX(BookTitle,1432)="","",INDEX(BookTotal,1432))</f>
        <v/>
      </c>
      <c r="J1437" s="0" t="str">
        <f aca="false">IF($I1437="","",IF(INDEX(BookQ1,1432)&gt;0,"Q1",IF(INDEX(BookQ2,1432)&gt;0,"Q2",IF(INDEX(BookQ3,1432)&gt;0,"Q3",IF(INDEX(BookQ4,1432)&gt;0,"Q4","")))))</f>
        <v/>
      </c>
      <c r="K1437" s="42" t="str">
        <f aca="false">IF(INDEX(BookTitle,1432)="","",INDEX(BookInYear,1432))</f>
        <v/>
      </c>
      <c r="L1437" s="19"/>
      <c r="M1437" s="39"/>
      <c r="N1437" s="19"/>
      <c r="O1437" s="19"/>
      <c r="P1437" s="43" t="str">
        <f aca="false">IF($E1437="","",IF($L1437="Decline",0,IF($L1437="Approve fewer",IF($M1437="","",$M1437),IF($L1437="","",$I1437))))</f>
        <v/>
      </c>
      <c r="Q1437" s="34" t="str">
        <f aca="false">IF($P1437="","",IF($N1437&lt;&gt;"",$N1437,$J1437))</f>
        <v/>
      </c>
      <c r="R1437" s="35" t="str">
        <f aca="false">IF(OR($P1437="",$Q1437=""),"",INDEX(BookRate,1432)*$P1437*(5-MATCH($Q1437,{"Q1";"Q2";"Q3";"Q4"},0))/4+INDEX(BookOneOff,1432)*$P1437)</f>
        <v/>
      </c>
      <c r="S1437" s="35" t="str">
        <f aca="false">IF($P1437="","",INDEX(BookRate,1432)*$P1437)</f>
        <v/>
      </c>
      <c r="T1437" s="35" t="str">
        <f aca="false">IF($R1437="","",$R1437-$K1437)</f>
        <v/>
      </c>
      <c r="U1437" s="35" t="str">
        <f aca="false">IF(N($P1437)&lt;=0,"",COUNTIF($P$6:$P1437,"&gt;0"))</f>
        <v/>
      </c>
    </row>
    <row r="1438" customFormat="false" ht="15" hidden="false" customHeight="false" outlineLevel="0" collapsed="false">
      <c r="A1438" s="40" t="str">
        <f aca="false">IF(INDEX(BookTitle,1433)="","",INDEX(BookGroup,1433))</f>
        <v/>
      </c>
      <c r="B1438" s="40" t="str">
        <f aca="false">IF(INDEX(BookTitle,1433)="","",INDEX(BookRef,1433))</f>
        <v/>
      </c>
      <c r="C1438" s="40" t="str">
        <f aca="false">IF(INDEX(BookTitle,1433)="","",INDEX(BookDivision,1433))</f>
        <v/>
      </c>
      <c r="D1438" s="40" t="str">
        <f aca="false">IF(INDEX(BookTitle,1433)="","",INDEX(BookUnit,1433))</f>
        <v/>
      </c>
      <c r="E1438" s="40" t="str">
        <f aca="false">IF(INDEX(BookTitle,1433)="","",INDEX(BookTitle,1433))</f>
        <v/>
      </c>
      <c r="F1438" s="40" t="str">
        <f aca="false">IF(INDEX(BookTitle,1433)="","",INDEX(BookLevel,1433))</f>
        <v/>
      </c>
      <c r="G1438" s="40" t="str">
        <f aca="false">IF(INDEX(BookTitle,1433)="","",INDEX(BookCategory,1433))</f>
        <v/>
      </c>
      <c r="H1438" s="40" t="str">
        <f aca="false">IF(INDEX(BookTitle,1433)="","",INDEX(BookRank,1433))</f>
        <v/>
      </c>
      <c r="I1438" s="41" t="str">
        <f aca="false">IF(INDEX(BookTitle,1433)="","",INDEX(BookTotal,1433))</f>
        <v/>
      </c>
      <c r="J1438" s="0" t="str">
        <f aca="false">IF($I1438="","",IF(INDEX(BookQ1,1433)&gt;0,"Q1",IF(INDEX(BookQ2,1433)&gt;0,"Q2",IF(INDEX(BookQ3,1433)&gt;0,"Q3",IF(INDEX(BookQ4,1433)&gt;0,"Q4","")))))</f>
        <v/>
      </c>
      <c r="K1438" s="42" t="str">
        <f aca="false">IF(INDEX(BookTitle,1433)="","",INDEX(BookInYear,1433))</f>
        <v/>
      </c>
      <c r="L1438" s="19"/>
      <c r="M1438" s="39"/>
      <c r="N1438" s="19"/>
      <c r="O1438" s="19"/>
      <c r="P1438" s="43" t="str">
        <f aca="false">IF($E1438="","",IF($L1438="Decline",0,IF($L1438="Approve fewer",IF($M1438="","",$M1438),IF($L1438="","",$I1438))))</f>
        <v/>
      </c>
      <c r="Q1438" s="34" t="str">
        <f aca="false">IF($P1438="","",IF($N1438&lt;&gt;"",$N1438,$J1438))</f>
        <v/>
      </c>
      <c r="R1438" s="35" t="str">
        <f aca="false">IF(OR($P1438="",$Q1438=""),"",INDEX(BookRate,1433)*$P1438*(5-MATCH($Q1438,{"Q1";"Q2";"Q3";"Q4"},0))/4+INDEX(BookOneOff,1433)*$P1438)</f>
        <v/>
      </c>
      <c r="S1438" s="35" t="str">
        <f aca="false">IF($P1438="","",INDEX(BookRate,1433)*$P1438)</f>
        <v/>
      </c>
      <c r="T1438" s="35" t="str">
        <f aca="false">IF($R1438="","",$R1438-$K1438)</f>
        <v/>
      </c>
      <c r="U1438" s="35" t="str">
        <f aca="false">IF(N($P1438)&lt;=0,"",COUNTIF($P$6:$P1438,"&gt;0"))</f>
        <v/>
      </c>
    </row>
    <row r="1439" customFormat="false" ht="15" hidden="false" customHeight="false" outlineLevel="0" collapsed="false">
      <c r="A1439" s="40" t="str">
        <f aca="false">IF(INDEX(BookTitle,1434)="","",INDEX(BookGroup,1434))</f>
        <v/>
      </c>
      <c r="B1439" s="40" t="str">
        <f aca="false">IF(INDEX(BookTitle,1434)="","",INDEX(BookRef,1434))</f>
        <v/>
      </c>
      <c r="C1439" s="40" t="str">
        <f aca="false">IF(INDEX(BookTitle,1434)="","",INDEX(BookDivision,1434))</f>
        <v/>
      </c>
      <c r="D1439" s="40" t="str">
        <f aca="false">IF(INDEX(BookTitle,1434)="","",INDEX(BookUnit,1434))</f>
        <v/>
      </c>
      <c r="E1439" s="40" t="str">
        <f aca="false">IF(INDEX(BookTitle,1434)="","",INDEX(BookTitle,1434))</f>
        <v/>
      </c>
      <c r="F1439" s="40" t="str">
        <f aca="false">IF(INDEX(BookTitle,1434)="","",INDEX(BookLevel,1434))</f>
        <v/>
      </c>
      <c r="G1439" s="40" t="str">
        <f aca="false">IF(INDEX(BookTitle,1434)="","",INDEX(BookCategory,1434))</f>
        <v/>
      </c>
      <c r="H1439" s="40" t="str">
        <f aca="false">IF(INDEX(BookTitle,1434)="","",INDEX(BookRank,1434))</f>
        <v/>
      </c>
      <c r="I1439" s="41" t="str">
        <f aca="false">IF(INDEX(BookTitle,1434)="","",INDEX(BookTotal,1434))</f>
        <v/>
      </c>
      <c r="J1439" s="0" t="str">
        <f aca="false">IF($I1439="","",IF(INDEX(BookQ1,1434)&gt;0,"Q1",IF(INDEX(BookQ2,1434)&gt;0,"Q2",IF(INDEX(BookQ3,1434)&gt;0,"Q3",IF(INDEX(BookQ4,1434)&gt;0,"Q4","")))))</f>
        <v/>
      </c>
      <c r="K1439" s="42" t="str">
        <f aca="false">IF(INDEX(BookTitle,1434)="","",INDEX(BookInYear,1434))</f>
        <v/>
      </c>
      <c r="L1439" s="19"/>
      <c r="M1439" s="39"/>
      <c r="N1439" s="19"/>
      <c r="O1439" s="19"/>
      <c r="P1439" s="43" t="str">
        <f aca="false">IF($E1439="","",IF($L1439="Decline",0,IF($L1439="Approve fewer",IF($M1439="","",$M1439),IF($L1439="","",$I1439))))</f>
        <v/>
      </c>
      <c r="Q1439" s="34" t="str">
        <f aca="false">IF($P1439="","",IF($N1439&lt;&gt;"",$N1439,$J1439))</f>
        <v/>
      </c>
      <c r="R1439" s="35" t="str">
        <f aca="false">IF(OR($P1439="",$Q1439=""),"",INDEX(BookRate,1434)*$P1439*(5-MATCH($Q1439,{"Q1";"Q2";"Q3";"Q4"},0))/4+INDEX(BookOneOff,1434)*$P1439)</f>
        <v/>
      </c>
      <c r="S1439" s="35" t="str">
        <f aca="false">IF($P1439="","",INDEX(BookRate,1434)*$P1439)</f>
        <v/>
      </c>
      <c r="T1439" s="35" t="str">
        <f aca="false">IF($R1439="","",$R1439-$K1439)</f>
        <v/>
      </c>
      <c r="U1439" s="35" t="str">
        <f aca="false">IF(N($P1439)&lt;=0,"",COUNTIF($P$6:$P1439,"&gt;0"))</f>
        <v/>
      </c>
    </row>
    <row r="1440" customFormat="false" ht="15" hidden="false" customHeight="false" outlineLevel="0" collapsed="false">
      <c r="A1440" s="40" t="str">
        <f aca="false">IF(INDEX(BookTitle,1435)="","",INDEX(BookGroup,1435))</f>
        <v/>
      </c>
      <c r="B1440" s="40" t="str">
        <f aca="false">IF(INDEX(BookTitle,1435)="","",INDEX(BookRef,1435))</f>
        <v/>
      </c>
      <c r="C1440" s="40" t="str">
        <f aca="false">IF(INDEX(BookTitle,1435)="","",INDEX(BookDivision,1435))</f>
        <v/>
      </c>
      <c r="D1440" s="40" t="str">
        <f aca="false">IF(INDEX(BookTitle,1435)="","",INDEX(BookUnit,1435))</f>
        <v/>
      </c>
      <c r="E1440" s="40" t="str">
        <f aca="false">IF(INDEX(BookTitle,1435)="","",INDEX(BookTitle,1435))</f>
        <v/>
      </c>
      <c r="F1440" s="40" t="str">
        <f aca="false">IF(INDEX(BookTitle,1435)="","",INDEX(BookLevel,1435))</f>
        <v/>
      </c>
      <c r="G1440" s="40" t="str">
        <f aca="false">IF(INDEX(BookTitle,1435)="","",INDEX(BookCategory,1435))</f>
        <v/>
      </c>
      <c r="H1440" s="40" t="str">
        <f aca="false">IF(INDEX(BookTitle,1435)="","",INDEX(BookRank,1435))</f>
        <v/>
      </c>
      <c r="I1440" s="41" t="str">
        <f aca="false">IF(INDEX(BookTitle,1435)="","",INDEX(BookTotal,1435))</f>
        <v/>
      </c>
      <c r="J1440" s="0" t="str">
        <f aca="false">IF($I1440="","",IF(INDEX(BookQ1,1435)&gt;0,"Q1",IF(INDEX(BookQ2,1435)&gt;0,"Q2",IF(INDEX(BookQ3,1435)&gt;0,"Q3",IF(INDEX(BookQ4,1435)&gt;0,"Q4","")))))</f>
        <v/>
      </c>
      <c r="K1440" s="42" t="str">
        <f aca="false">IF(INDEX(BookTitle,1435)="","",INDEX(BookInYear,1435))</f>
        <v/>
      </c>
      <c r="L1440" s="19"/>
      <c r="M1440" s="39"/>
      <c r="N1440" s="19"/>
      <c r="O1440" s="19"/>
      <c r="P1440" s="43" t="str">
        <f aca="false">IF($E1440="","",IF($L1440="Decline",0,IF($L1440="Approve fewer",IF($M1440="","",$M1440),IF($L1440="","",$I1440))))</f>
        <v/>
      </c>
      <c r="Q1440" s="34" t="str">
        <f aca="false">IF($P1440="","",IF($N1440&lt;&gt;"",$N1440,$J1440))</f>
        <v/>
      </c>
      <c r="R1440" s="35" t="str">
        <f aca="false">IF(OR($P1440="",$Q1440=""),"",INDEX(BookRate,1435)*$P1440*(5-MATCH($Q1440,{"Q1";"Q2";"Q3";"Q4"},0))/4+INDEX(BookOneOff,1435)*$P1440)</f>
        <v/>
      </c>
      <c r="S1440" s="35" t="str">
        <f aca="false">IF($P1440="","",INDEX(BookRate,1435)*$P1440)</f>
        <v/>
      </c>
      <c r="T1440" s="35" t="str">
        <f aca="false">IF($R1440="","",$R1440-$K1440)</f>
        <v/>
      </c>
      <c r="U1440" s="35" t="str">
        <f aca="false">IF(N($P1440)&lt;=0,"",COUNTIF($P$6:$P1440,"&gt;0"))</f>
        <v/>
      </c>
    </row>
    <row r="1441" customFormat="false" ht="15" hidden="false" customHeight="false" outlineLevel="0" collapsed="false">
      <c r="A1441" s="40" t="str">
        <f aca="false">IF(INDEX(BookTitle,1436)="","",INDEX(BookGroup,1436))</f>
        <v/>
      </c>
      <c r="B1441" s="40" t="str">
        <f aca="false">IF(INDEX(BookTitle,1436)="","",INDEX(BookRef,1436))</f>
        <v/>
      </c>
      <c r="C1441" s="40" t="str">
        <f aca="false">IF(INDEX(BookTitle,1436)="","",INDEX(BookDivision,1436))</f>
        <v/>
      </c>
      <c r="D1441" s="40" t="str">
        <f aca="false">IF(INDEX(BookTitle,1436)="","",INDEX(BookUnit,1436))</f>
        <v/>
      </c>
      <c r="E1441" s="40" t="str">
        <f aca="false">IF(INDEX(BookTitle,1436)="","",INDEX(BookTitle,1436))</f>
        <v/>
      </c>
      <c r="F1441" s="40" t="str">
        <f aca="false">IF(INDEX(BookTitle,1436)="","",INDEX(BookLevel,1436))</f>
        <v/>
      </c>
      <c r="G1441" s="40" t="str">
        <f aca="false">IF(INDEX(BookTitle,1436)="","",INDEX(BookCategory,1436))</f>
        <v/>
      </c>
      <c r="H1441" s="40" t="str">
        <f aca="false">IF(INDEX(BookTitle,1436)="","",INDEX(BookRank,1436))</f>
        <v/>
      </c>
      <c r="I1441" s="41" t="str">
        <f aca="false">IF(INDEX(BookTitle,1436)="","",INDEX(BookTotal,1436))</f>
        <v/>
      </c>
      <c r="J1441" s="0" t="str">
        <f aca="false">IF($I1441="","",IF(INDEX(BookQ1,1436)&gt;0,"Q1",IF(INDEX(BookQ2,1436)&gt;0,"Q2",IF(INDEX(BookQ3,1436)&gt;0,"Q3",IF(INDEX(BookQ4,1436)&gt;0,"Q4","")))))</f>
        <v/>
      </c>
      <c r="K1441" s="42" t="str">
        <f aca="false">IF(INDEX(BookTitle,1436)="","",INDEX(BookInYear,1436))</f>
        <v/>
      </c>
      <c r="L1441" s="19"/>
      <c r="M1441" s="39"/>
      <c r="N1441" s="19"/>
      <c r="O1441" s="19"/>
      <c r="P1441" s="43" t="str">
        <f aca="false">IF($E1441="","",IF($L1441="Decline",0,IF($L1441="Approve fewer",IF($M1441="","",$M1441),IF($L1441="","",$I1441))))</f>
        <v/>
      </c>
      <c r="Q1441" s="34" t="str">
        <f aca="false">IF($P1441="","",IF($N1441&lt;&gt;"",$N1441,$J1441))</f>
        <v/>
      </c>
      <c r="R1441" s="35" t="str">
        <f aca="false">IF(OR($P1441="",$Q1441=""),"",INDEX(BookRate,1436)*$P1441*(5-MATCH($Q1441,{"Q1";"Q2";"Q3";"Q4"},0))/4+INDEX(BookOneOff,1436)*$P1441)</f>
        <v/>
      </c>
      <c r="S1441" s="35" t="str">
        <f aca="false">IF($P1441="","",INDEX(BookRate,1436)*$P1441)</f>
        <v/>
      </c>
      <c r="T1441" s="35" t="str">
        <f aca="false">IF($R1441="","",$R1441-$K1441)</f>
        <v/>
      </c>
      <c r="U1441" s="35" t="str">
        <f aca="false">IF(N($P1441)&lt;=0,"",COUNTIF($P$6:$P1441,"&gt;0"))</f>
        <v/>
      </c>
    </row>
    <row r="1442" customFormat="false" ht="15" hidden="false" customHeight="false" outlineLevel="0" collapsed="false">
      <c r="A1442" s="40" t="str">
        <f aca="false">IF(INDEX(BookTitle,1437)="","",INDEX(BookGroup,1437))</f>
        <v/>
      </c>
      <c r="B1442" s="40" t="str">
        <f aca="false">IF(INDEX(BookTitle,1437)="","",INDEX(BookRef,1437))</f>
        <v/>
      </c>
      <c r="C1442" s="40" t="str">
        <f aca="false">IF(INDEX(BookTitle,1437)="","",INDEX(BookDivision,1437))</f>
        <v/>
      </c>
      <c r="D1442" s="40" t="str">
        <f aca="false">IF(INDEX(BookTitle,1437)="","",INDEX(BookUnit,1437))</f>
        <v/>
      </c>
      <c r="E1442" s="40" t="str">
        <f aca="false">IF(INDEX(BookTitle,1437)="","",INDEX(BookTitle,1437))</f>
        <v/>
      </c>
      <c r="F1442" s="40" t="str">
        <f aca="false">IF(INDEX(BookTitle,1437)="","",INDEX(BookLevel,1437))</f>
        <v/>
      </c>
      <c r="G1442" s="40" t="str">
        <f aca="false">IF(INDEX(BookTitle,1437)="","",INDEX(BookCategory,1437))</f>
        <v/>
      </c>
      <c r="H1442" s="40" t="str">
        <f aca="false">IF(INDEX(BookTitle,1437)="","",INDEX(BookRank,1437))</f>
        <v/>
      </c>
      <c r="I1442" s="41" t="str">
        <f aca="false">IF(INDEX(BookTitle,1437)="","",INDEX(BookTotal,1437))</f>
        <v/>
      </c>
      <c r="J1442" s="0" t="str">
        <f aca="false">IF($I1442="","",IF(INDEX(BookQ1,1437)&gt;0,"Q1",IF(INDEX(BookQ2,1437)&gt;0,"Q2",IF(INDEX(BookQ3,1437)&gt;0,"Q3",IF(INDEX(BookQ4,1437)&gt;0,"Q4","")))))</f>
        <v/>
      </c>
      <c r="K1442" s="42" t="str">
        <f aca="false">IF(INDEX(BookTitle,1437)="","",INDEX(BookInYear,1437))</f>
        <v/>
      </c>
      <c r="L1442" s="19"/>
      <c r="M1442" s="39"/>
      <c r="N1442" s="19"/>
      <c r="O1442" s="19"/>
      <c r="P1442" s="43" t="str">
        <f aca="false">IF($E1442="","",IF($L1442="Decline",0,IF($L1442="Approve fewer",IF($M1442="","",$M1442),IF($L1442="","",$I1442))))</f>
        <v/>
      </c>
      <c r="Q1442" s="34" t="str">
        <f aca="false">IF($P1442="","",IF($N1442&lt;&gt;"",$N1442,$J1442))</f>
        <v/>
      </c>
      <c r="R1442" s="35" t="str">
        <f aca="false">IF(OR($P1442="",$Q1442=""),"",INDEX(BookRate,1437)*$P1442*(5-MATCH($Q1442,{"Q1";"Q2";"Q3";"Q4"},0))/4+INDEX(BookOneOff,1437)*$P1442)</f>
        <v/>
      </c>
      <c r="S1442" s="35" t="str">
        <f aca="false">IF($P1442="","",INDEX(BookRate,1437)*$P1442)</f>
        <v/>
      </c>
      <c r="T1442" s="35" t="str">
        <f aca="false">IF($R1442="","",$R1442-$K1442)</f>
        <v/>
      </c>
      <c r="U1442" s="35" t="str">
        <f aca="false">IF(N($P1442)&lt;=0,"",COUNTIF($P$6:$P1442,"&gt;0"))</f>
        <v/>
      </c>
    </row>
    <row r="1443" customFormat="false" ht="15" hidden="false" customHeight="false" outlineLevel="0" collapsed="false">
      <c r="A1443" s="40" t="str">
        <f aca="false">IF(INDEX(BookTitle,1438)="","",INDEX(BookGroup,1438))</f>
        <v/>
      </c>
      <c r="B1443" s="40" t="str">
        <f aca="false">IF(INDEX(BookTitle,1438)="","",INDEX(BookRef,1438))</f>
        <v/>
      </c>
      <c r="C1443" s="40" t="str">
        <f aca="false">IF(INDEX(BookTitle,1438)="","",INDEX(BookDivision,1438))</f>
        <v/>
      </c>
      <c r="D1443" s="40" t="str">
        <f aca="false">IF(INDEX(BookTitle,1438)="","",INDEX(BookUnit,1438))</f>
        <v/>
      </c>
      <c r="E1443" s="40" t="str">
        <f aca="false">IF(INDEX(BookTitle,1438)="","",INDEX(BookTitle,1438))</f>
        <v/>
      </c>
      <c r="F1443" s="40" t="str">
        <f aca="false">IF(INDEX(BookTitle,1438)="","",INDEX(BookLevel,1438))</f>
        <v/>
      </c>
      <c r="G1443" s="40" t="str">
        <f aca="false">IF(INDEX(BookTitle,1438)="","",INDEX(BookCategory,1438))</f>
        <v/>
      </c>
      <c r="H1443" s="40" t="str">
        <f aca="false">IF(INDEX(BookTitle,1438)="","",INDEX(BookRank,1438))</f>
        <v/>
      </c>
      <c r="I1443" s="41" t="str">
        <f aca="false">IF(INDEX(BookTitle,1438)="","",INDEX(BookTotal,1438))</f>
        <v/>
      </c>
      <c r="J1443" s="0" t="str">
        <f aca="false">IF($I1443="","",IF(INDEX(BookQ1,1438)&gt;0,"Q1",IF(INDEX(BookQ2,1438)&gt;0,"Q2",IF(INDEX(BookQ3,1438)&gt;0,"Q3",IF(INDEX(BookQ4,1438)&gt;0,"Q4","")))))</f>
        <v/>
      </c>
      <c r="K1443" s="42" t="str">
        <f aca="false">IF(INDEX(BookTitle,1438)="","",INDEX(BookInYear,1438))</f>
        <v/>
      </c>
      <c r="L1443" s="19"/>
      <c r="M1443" s="39"/>
      <c r="N1443" s="19"/>
      <c r="O1443" s="19"/>
      <c r="P1443" s="43" t="str">
        <f aca="false">IF($E1443="","",IF($L1443="Decline",0,IF($L1443="Approve fewer",IF($M1443="","",$M1443),IF($L1443="","",$I1443))))</f>
        <v/>
      </c>
      <c r="Q1443" s="34" t="str">
        <f aca="false">IF($P1443="","",IF($N1443&lt;&gt;"",$N1443,$J1443))</f>
        <v/>
      </c>
      <c r="R1443" s="35" t="str">
        <f aca="false">IF(OR($P1443="",$Q1443=""),"",INDEX(BookRate,1438)*$P1443*(5-MATCH($Q1443,{"Q1";"Q2";"Q3";"Q4"},0))/4+INDEX(BookOneOff,1438)*$P1443)</f>
        <v/>
      </c>
      <c r="S1443" s="35" t="str">
        <f aca="false">IF($P1443="","",INDEX(BookRate,1438)*$P1443)</f>
        <v/>
      </c>
      <c r="T1443" s="35" t="str">
        <f aca="false">IF($R1443="","",$R1443-$K1443)</f>
        <v/>
      </c>
      <c r="U1443" s="35" t="str">
        <f aca="false">IF(N($P1443)&lt;=0,"",COUNTIF($P$6:$P1443,"&gt;0"))</f>
        <v/>
      </c>
    </row>
    <row r="1444" customFormat="false" ht="15" hidden="false" customHeight="false" outlineLevel="0" collapsed="false">
      <c r="A1444" s="40" t="str">
        <f aca="false">IF(INDEX(BookTitle,1439)="","",INDEX(BookGroup,1439))</f>
        <v/>
      </c>
      <c r="B1444" s="40" t="str">
        <f aca="false">IF(INDEX(BookTitle,1439)="","",INDEX(BookRef,1439))</f>
        <v/>
      </c>
      <c r="C1444" s="40" t="str">
        <f aca="false">IF(INDEX(BookTitle,1439)="","",INDEX(BookDivision,1439))</f>
        <v/>
      </c>
      <c r="D1444" s="40" t="str">
        <f aca="false">IF(INDEX(BookTitle,1439)="","",INDEX(BookUnit,1439))</f>
        <v/>
      </c>
      <c r="E1444" s="40" t="str">
        <f aca="false">IF(INDEX(BookTitle,1439)="","",INDEX(BookTitle,1439))</f>
        <v/>
      </c>
      <c r="F1444" s="40" t="str">
        <f aca="false">IF(INDEX(BookTitle,1439)="","",INDEX(BookLevel,1439))</f>
        <v/>
      </c>
      <c r="G1444" s="40" t="str">
        <f aca="false">IF(INDEX(BookTitle,1439)="","",INDEX(BookCategory,1439))</f>
        <v/>
      </c>
      <c r="H1444" s="40" t="str">
        <f aca="false">IF(INDEX(BookTitle,1439)="","",INDEX(BookRank,1439))</f>
        <v/>
      </c>
      <c r="I1444" s="41" t="str">
        <f aca="false">IF(INDEX(BookTitle,1439)="","",INDEX(BookTotal,1439))</f>
        <v/>
      </c>
      <c r="J1444" s="0" t="str">
        <f aca="false">IF($I1444="","",IF(INDEX(BookQ1,1439)&gt;0,"Q1",IF(INDEX(BookQ2,1439)&gt;0,"Q2",IF(INDEX(BookQ3,1439)&gt;0,"Q3",IF(INDEX(BookQ4,1439)&gt;0,"Q4","")))))</f>
        <v/>
      </c>
      <c r="K1444" s="42" t="str">
        <f aca="false">IF(INDEX(BookTitle,1439)="","",INDEX(BookInYear,1439))</f>
        <v/>
      </c>
      <c r="L1444" s="19"/>
      <c r="M1444" s="39"/>
      <c r="N1444" s="19"/>
      <c r="O1444" s="19"/>
      <c r="P1444" s="43" t="str">
        <f aca="false">IF($E1444="","",IF($L1444="Decline",0,IF($L1444="Approve fewer",IF($M1444="","",$M1444),IF($L1444="","",$I1444))))</f>
        <v/>
      </c>
      <c r="Q1444" s="34" t="str">
        <f aca="false">IF($P1444="","",IF($N1444&lt;&gt;"",$N1444,$J1444))</f>
        <v/>
      </c>
      <c r="R1444" s="35" t="str">
        <f aca="false">IF(OR($P1444="",$Q1444=""),"",INDEX(BookRate,1439)*$P1444*(5-MATCH($Q1444,{"Q1";"Q2";"Q3";"Q4"},0))/4+INDEX(BookOneOff,1439)*$P1444)</f>
        <v/>
      </c>
      <c r="S1444" s="35" t="str">
        <f aca="false">IF($P1444="","",INDEX(BookRate,1439)*$P1444)</f>
        <v/>
      </c>
      <c r="T1444" s="35" t="str">
        <f aca="false">IF($R1444="","",$R1444-$K1444)</f>
        <v/>
      </c>
      <c r="U1444" s="35" t="str">
        <f aca="false">IF(N($P1444)&lt;=0,"",COUNTIF($P$6:$P1444,"&gt;0"))</f>
        <v/>
      </c>
    </row>
    <row r="1445" customFormat="false" ht="15" hidden="false" customHeight="false" outlineLevel="0" collapsed="false">
      <c r="A1445" s="40" t="str">
        <f aca="false">IF(INDEX(BookTitle,1440)="","",INDEX(BookGroup,1440))</f>
        <v/>
      </c>
      <c r="B1445" s="40" t="str">
        <f aca="false">IF(INDEX(BookTitle,1440)="","",INDEX(BookRef,1440))</f>
        <v/>
      </c>
      <c r="C1445" s="40" t="str">
        <f aca="false">IF(INDEX(BookTitle,1440)="","",INDEX(BookDivision,1440))</f>
        <v/>
      </c>
      <c r="D1445" s="40" t="str">
        <f aca="false">IF(INDEX(BookTitle,1440)="","",INDEX(BookUnit,1440))</f>
        <v/>
      </c>
      <c r="E1445" s="40" t="str">
        <f aca="false">IF(INDEX(BookTitle,1440)="","",INDEX(BookTitle,1440))</f>
        <v/>
      </c>
      <c r="F1445" s="40" t="str">
        <f aca="false">IF(INDEX(BookTitle,1440)="","",INDEX(BookLevel,1440))</f>
        <v/>
      </c>
      <c r="G1445" s="40" t="str">
        <f aca="false">IF(INDEX(BookTitle,1440)="","",INDEX(BookCategory,1440))</f>
        <v/>
      </c>
      <c r="H1445" s="40" t="str">
        <f aca="false">IF(INDEX(BookTitle,1440)="","",INDEX(BookRank,1440))</f>
        <v/>
      </c>
      <c r="I1445" s="41" t="str">
        <f aca="false">IF(INDEX(BookTitle,1440)="","",INDEX(BookTotal,1440))</f>
        <v/>
      </c>
      <c r="J1445" s="0" t="str">
        <f aca="false">IF($I1445="","",IF(INDEX(BookQ1,1440)&gt;0,"Q1",IF(INDEX(BookQ2,1440)&gt;0,"Q2",IF(INDEX(BookQ3,1440)&gt;0,"Q3",IF(INDEX(BookQ4,1440)&gt;0,"Q4","")))))</f>
        <v/>
      </c>
      <c r="K1445" s="42" t="str">
        <f aca="false">IF(INDEX(BookTitle,1440)="","",INDEX(BookInYear,1440))</f>
        <v/>
      </c>
      <c r="L1445" s="19"/>
      <c r="M1445" s="39"/>
      <c r="N1445" s="19"/>
      <c r="O1445" s="19"/>
      <c r="P1445" s="43" t="str">
        <f aca="false">IF($E1445="","",IF($L1445="Decline",0,IF($L1445="Approve fewer",IF($M1445="","",$M1445),IF($L1445="","",$I1445))))</f>
        <v/>
      </c>
      <c r="Q1445" s="34" t="str">
        <f aca="false">IF($P1445="","",IF($N1445&lt;&gt;"",$N1445,$J1445))</f>
        <v/>
      </c>
      <c r="R1445" s="35" t="str">
        <f aca="false">IF(OR($P1445="",$Q1445=""),"",INDEX(BookRate,1440)*$P1445*(5-MATCH($Q1445,{"Q1";"Q2";"Q3";"Q4"},0))/4+INDEX(BookOneOff,1440)*$P1445)</f>
        <v/>
      </c>
      <c r="S1445" s="35" t="str">
        <f aca="false">IF($P1445="","",INDEX(BookRate,1440)*$P1445)</f>
        <v/>
      </c>
      <c r="T1445" s="35" t="str">
        <f aca="false">IF($R1445="","",$R1445-$K1445)</f>
        <v/>
      </c>
      <c r="U1445" s="35" t="str">
        <f aca="false">IF(N($P1445)&lt;=0,"",COUNTIF($P$6:$P1445,"&gt;0"))</f>
        <v/>
      </c>
    </row>
    <row r="1446" customFormat="false" ht="15" hidden="false" customHeight="false" outlineLevel="0" collapsed="false">
      <c r="A1446" s="40" t="str">
        <f aca="false">IF(INDEX(BookTitle,1441)="","",INDEX(BookGroup,1441))</f>
        <v/>
      </c>
      <c r="B1446" s="40" t="str">
        <f aca="false">IF(INDEX(BookTitle,1441)="","",INDEX(BookRef,1441))</f>
        <v/>
      </c>
      <c r="C1446" s="40" t="str">
        <f aca="false">IF(INDEX(BookTitle,1441)="","",INDEX(BookDivision,1441))</f>
        <v/>
      </c>
      <c r="D1446" s="40" t="str">
        <f aca="false">IF(INDEX(BookTitle,1441)="","",INDEX(BookUnit,1441))</f>
        <v/>
      </c>
      <c r="E1446" s="40" t="str">
        <f aca="false">IF(INDEX(BookTitle,1441)="","",INDEX(BookTitle,1441))</f>
        <v/>
      </c>
      <c r="F1446" s="40" t="str">
        <f aca="false">IF(INDEX(BookTitle,1441)="","",INDEX(BookLevel,1441))</f>
        <v/>
      </c>
      <c r="G1446" s="40" t="str">
        <f aca="false">IF(INDEX(BookTitle,1441)="","",INDEX(BookCategory,1441))</f>
        <v/>
      </c>
      <c r="H1446" s="40" t="str">
        <f aca="false">IF(INDEX(BookTitle,1441)="","",INDEX(BookRank,1441))</f>
        <v/>
      </c>
      <c r="I1446" s="41" t="str">
        <f aca="false">IF(INDEX(BookTitle,1441)="","",INDEX(BookTotal,1441))</f>
        <v/>
      </c>
      <c r="J1446" s="0" t="str">
        <f aca="false">IF($I1446="","",IF(INDEX(BookQ1,1441)&gt;0,"Q1",IF(INDEX(BookQ2,1441)&gt;0,"Q2",IF(INDEX(BookQ3,1441)&gt;0,"Q3",IF(INDEX(BookQ4,1441)&gt;0,"Q4","")))))</f>
        <v/>
      </c>
      <c r="K1446" s="42" t="str">
        <f aca="false">IF(INDEX(BookTitle,1441)="","",INDEX(BookInYear,1441))</f>
        <v/>
      </c>
      <c r="L1446" s="19"/>
      <c r="M1446" s="39"/>
      <c r="N1446" s="19"/>
      <c r="O1446" s="19"/>
      <c r="P1446" s="43" t="str">
        <f aca="false">IF($E1446="","",IF($L1446="Decline",0,IF($L1446="Approve fewer",IF($M1446="","",$M1446),IF($L1446="","",$I1446))))</f>
        <v/>
      </c>
      <c r="Q1446" s="34" t="str">
        <f aca="false">IF($P1446="","",IF($N1446&lt;&gt;"",$N1446,$J1446))</f>
        <v/>
      </c>
      <c r="R1446" s="35" t="str">
        <f aca="false">IF(OR($P1446="",$Q1446=""),"",INDEX(BookRate,1441)*$P1446*(5-MATCH($Q1446,{"Q1";"Q2";"Q3";"Q4"},0))/4+INDEX(BookOneOff,1441)*$P1446)</f>
        <v/>
      </c>
      <c r="S1446" s="35" t="str">
        <f aca="false">IF($P1446="","",INDEX(BookRate,1441)*$P1446)</f>
        <v/>
      </c>
      <c r="T1446" s="35" t="str">
        <f aca="false">IF($R1446="","",$R1446-$K1446)</f>
        <v/>
      </c>
      <c r="U1446" s="35" t="str">
        <f aca="false">IF(N($P1446)&lt;=0,"",COUNTIF($P$6:$P1446,"&gt;0"))</f>
        <v/>
      </c>
    </row>
    <row r="1447" customFormat="false" ht="15" hidden="false" customHeight="false" outlineLevel="0" collapsed="false">
      <c r="A1447" s="40" t="str">
        <f aca="false">IF(INDEX(BookTitle,1442)="","",INDEX(BookGroup,1442))</f>
        <v/>
      </c>
      <c r="B1447" s="40" t="str">
        <f aca="false">IF(INDEX(BookTitle,1442)="","",INDEX(BookRef,1442))</f>
        <v/>
      </c>
      <c r="C1447" s="40" t="str">
        <f aca="false">IF(INDEX(BookTitle,1442)="","",INDEX(BookDivision,1442))</f>
        <v/>
      </c>
      <c r="D1447" s="40" t="str">
        <f aca="false">IF(INDEX(BookTitle,1442)="","",INDEX(BookUnit,1442))</f>
        <v/>
      </c>
      <c r="E1447" s="40" t="str">
        <f aca="false">IF(INDEX(BookTitle,1442)="","",INDEX(BookTitle,1442))</f>
        <v/>
      </c>
      <c r="F1447" s="40" t="str">
        <f aca="false">IF(INDEX(BookTitle,1442)="","",INDEX(BookLevel,1442))</f>
        <v/>
      </c>
      <c r="G1447" s="40" t="str">
        <f aca="false">IF(INDEX(BookTitle,1442)="","",INDEX(BookCategory,1442))</f>
        <v/>
      </c>
      <c r="H1447" s="40" t="str">
        <f aca="false">IF(INDEX(BookTitle,1442)="","",INDEX(BookRank,1442))</f>
        <v/>
      </c>
      <c r="I1447" s="41" t="str">
        <f aca="false">IF(INDEX(BookTitle,1442)="","",INDEX(BookTotal,1442))</f>
        <v/>
      </c>
      <c r="J1447" s="0" t="str">
        <f aca="false">IF($I1447="","",IF(INDEX(BookQ1,1442)&gt;0,"Q1",IF(INDEX(BookQ2,1442)&gt;0,"Q2",IF(INDEX(BookQ3,1442)&gt;0,"Q3",IF(INDEX(BookQ4,1442)&gt;0,"Q4","")))))</f>
        <v/>
      </c>
      <c r="K1447" s="42" t="str">
        <f aca="false">IF(INDEX(BookTitle,1442)="","",INDEX(BookInYear,1442))</f>
        <v/>
      </c>
      <c r="L1447" s="19"/>
      <c r="M1447" s="39"/>
      <c r="N1447" s="19"/>
      <c r="O1447" s="19"/>
      <c r="P1447" s="43" t="str">
        <f aca="false">IF($E1447="","",IF($L1447="Decline",0,IF($L1447="Approve fewer",IF($M1447="","",$M1447),IF($L1447="","",$I1447))))</f>
        <v/>
      </c>
      <c r="Q1447" s="34" t="str">
        <f aca="false">IF($P1447="","",IF($N1447&lt;&gt;"",$N1447,$J1447))</f>
        <v/>
      </c>
      <c r="R1447" s="35" t="str">
        <f aca="false">IF(OR($P1447="",$Q1447=""),"",INDEX(BookRate,1442)*$P1447*(5-MATCH($Q1447,{"Q1";"Q2";"Q3";"Q4"},0))/4+INDEX(BookOneOff,1442)*$P1447)</f>
        <v/>
      </c>
      <c r="S1447" s="35" t="str">
        <f aca="false">IF($P1447="","",INDEX(BookRate,1442)*$P1447)</f>
        <v/>
      </c>
      <c r="T1447" s="35" t="str">
        <f aca="false">IF($R1447="","",$R1447-$K1447)</f>
        <v/>
      </c>
      <c r="U1447" s="35" t="str">
        <f aca="false">IF(N($P1447)&lt;=0,"",COUNTIF($P$6:$P1447,"&gt;0"))</f>
        <v/>
      </c>
    </row>
    <row r="1448" customFormat="false" ht="15" hidden="false" customHeight="false" outlineLevel="0" collapsed="false">
      <c r="A1448" s="40" t="str">
        <f aca="false">IF(INDEX(BookTitle,1443)="","",INDEX(BookGroup,1443))</f>
        <v/>
      </c>
      <c r="B1448" s="40" t="str">
        <f aca="false">IF(INDEX(BookTitle,1443)="","",INDEX(BookRef,1443))</f>
        <v/>
      </c>
      <c r="C1448" s="40" t="str">
        <f aca="false">IF(INDEX(BookTitle,1443)="","",INDEX(BookDivision,1443))</f>
        <v/>
      </c>
      <c r="D1448" s="40" t="str">
        <f aca="false">IF(INDEX(BookTitle,1443)="","",INDEX(BookUnit,1443))</f>
        <v/>
      </c>
      <c r="E1448" s="40" t="str">
        <f aca="false">IF(INDEX(BookTitle,1443)="","",INDEX(BookTitle,1443))</f>
        <v/>
      </c>
      <c r="F1448" s="40" t="str">
        <f aca="false">IF(INDEX(BookTitle,1443)="","",INDEX(BookLevel,1443))</f>
        <v/>
      </c>
      <c r="G1448" s="40" t="str">
        <f aca="false">IF(INDEX(BookTitle,1443)="","",INDEX(BookCategory,1443))</f>
        <v/>
      </c>
      <c r="H1448" s="40" t="str">
        <f aca="false">IF(INDEX(BookTitle,1443)="","",INDEX(BookRank,1443))</f>
        <v/>
      </c>
      <c r="I1448" s="41" t="str">
        <f aca="false">IF(INDEX(BookTitle,1443)="","",INDEX(BookTotal,1443))</f>
        <v/>
      </c>
      <c r="J1448" s="0" t="str">
        <f aca="false">IF($I1448="","",IF(INDEX(BookQ1,1443)&gt;0,"Q1",IF(INDEX(BookQ2,1443)&gt;0,"Q2",IF(INDEX(BookQ3,1443)&gt;0,"Q3",IF(INDEX(BookQ4,1443)&gt;0,"Q4","")))))</f>
        <v/>
      </c>
      <c r="K1448" s="42" t="str">
        <f aca="false">IF(INDEX(BookTitle,1443)="","",INDEX(BookInYear,1443))</f>
        <v/>
      </c>
      <c r="L1448" s="19"/>
      <c r="M1448" s="39"/>
      <c r="N1448" s="19"/>
      <c r="O1448" s="19"/>
      <c r="P1448" s="43" t="str">
        <f aca="false">IF($E1448="","",IF($L1448="Decline",0,IF($L1448="Approve fewer",IF($M1448="","",$M1448),IF($L1448="","",$I1448))))</f>
        <v/>
      </c>
      <c r="Q1448" s="34" t="str">
        <f aca="false">IF($P1448="","",IF($N1448&lt;&gt;"",$N1448,$J1448))</f>
        <v/>
      </c>
      <c r="R1448" s="35" t="str">
        <f aca="false">IF(OR($P1448="",$Q1448=""),"",INDEX(BookRate,1443)*$P1448*(5-MATCH($Q1448,{"Q1";"Q2";"Q3";"Q4"},0))/4+INDEX(BookOneOff,1443)*$P1448)</f>
        <v/>
      </c>
      <c r="S1448" s="35" t="str">
        <f aca="false">IF($P1448="","",INDEX(BookRate,1443)*$P1448)</f>
        <v/>
      </c>
      <c r="T1448" s="35" t="str">
        <f aca="false">IF($R1448="","",$R1448-$K1448)</f>
        <v/>
      </c>
      <c r="U1448" s="35" t="str">
        <f aca="false">IF(N($P1448)&lt;=0,"",COUNTIF($P$6:$P1448,"&gt;0"))</f>
        <v/>
      </c>
    </row>
    <row r="1449" customFormat="false" ht="15" hidden="false" customHeight="false" outlineLevel="0" collapsed="false">
      <c r="A1449" s="40" t="str">
        <f aca="false">IF(INDEX(BookTitle,1444)="","",INDEX(BookGroup,1444))</f>
        <v/>
      </c>
      <c r="B1449" s="40" t="str">
        <f aca="false">IF(INDEX(BookTitle,1444)="","",INDEX(BookRef,1444))</f>
        <v/>
      </c>
      <c r="C1449" s="40" t="str">
        <f aca="false">IF(INDEX(BookTitle,1444)="","",INDEX(BookDivision,1444))</f>
        <v/>
      </c>
      <c r="D1449" s="40" t="str">
        <f aca="false">IF(INDEX(BookTitle,1444)="","",INDEX(BookUnit,1444))</f>
        <v/>
      </c>
      <c r="E1449" s="40" t="str">
        <f aca="false">IF(INDEX(BookTitle,1444)="","",INDEX(BookTitle,1444))</f>
        <v/>
      </c>
      <c r="F1449" s="40" t="str">
        <f aca="false">IF(INDEX(BookTitle,1444)="","",INDEX(BookLevel,1444))</f>
        <v/>
      </c>
      <c r="G1449" s="40" t="str">
        <f aca="false">IF(INDEX(BookTitle,1444)="","",INDEX(BookCategory,1444))</f>
        <v/>
      </c>
      <c r="H1449" s="40" t="str">
        <f aca="false">IF(INDEX(BookTitle,1444)="","",INDEX(BookRank,1444))</f>
        <v/>
      </c>
      <c r="I1449" s="41" t="str">
        <f aca="false">IF(INDEX(BookTitle,1444)="","",INDEX(BookTotal,1444))</f>
        <v/>
      </c>
      <c r="J1449" s="0" t="str">
        <f aca="false">IF($I1449="","",IF(INDEX(BookQ1,1444)&gt;0,"Q1",IF(INDEX(BookQ2,1444)&gt;0,"Q2",IF(INDEX(BookQ3,1444)&gt;0,"Q3",IF(INDEX(BookQ4,1444)&gt;0,"Q4","")))))</f>
        <v/>
      </c>
      <c r="K1449" s="42" t="str">
        <f aca="false">IF(INDEX(BookTitle,1444)="","",INDEX(BookInYear,1444))</f>
        <v/>
      </c>
      <c r="L1449" s="19"/>
      <c r="M1449" s="39"/>
      <c r="N1449" s="19"/>
      <c r="O1449" s="19"/>
      <c r="P1449" s="43" t="str">
        <f aca="false">IF($E1449="","",IF($L1449="Decline",0,IF($L1449="Approve fewer",IF($M1449="","",$M1449),IF($L1449="","",$I1449))))</f>
        <v/>
      </c>
      <c r="Q1449" s="34" t="str">
        <f aca="false">IF($P1449="","",IF($N1449&lt;&gt;"",$N1449,$J1449))</f>
        <v/>
      </c>
      <c r="R1449" s="35" t="str">
        <f aca="false">IF(OR($P1449="",$Q1449=""),"",INDEX(BookRate,1444)*$P1449*(5-MATCH($Q1449,{"Q1";"Q2";"Q3";"Q4"},0))/4+INDEX(BookOneOff,1444)*$P1449)</f>
        <v/>
      </c>
      <c r="S1449" s="35" t="str">
        <f aca="false">IF($P1449="","",INDEX(BookRate,1444)*$P1449)</f>
        <v/>
      </c>
      <c r="T1449" s="35" t="str">
        <f aca="false">IF($R1449="","",$R1449-$K1449)</f>
        <v/>
      </c>
      <c r="U1449" s="35" t="str">
        <f aca="false">IF(N($P1449)&lt;=0,"",COUNTIF($P$6:$P1449,"&gt;0"))</f>
        <v/>
      </c>
    </row>
    <row r="1450" customFormat="false" ht="15" hidden="false" customHeight="false" outlineLevel="0" collapsed="false">
      <c r="A1450" s="40" t="str">
        <f aca="false">IF(INDEX(BookTitle,1445)="","",INDEX(BookGroup,1445))</f>
        <v/>
      </c>
      <c r="B1450" s="40" t="str">
        <f aca="false">IF(INDEX(BookTitle,1445)="","",INDEX(BookRef,1445))</f>
        <v/>
      </c>
      <c r="C1450" s="40" t="str">
        <f aca="false">IF(INDEX(BookTitle,1445)="","",INDEX(BookDivision,1445))</f>
        <v/>
      </c>
      <c r="D1450" s="40" t="str">
        <f aca="false">IF(INDEX(BookTitle,1445)="","",INDEX(BookUnit,1445))</f>
        <v/>
      </c>
      <c r="E1450" s="40" t="str">
        <f aca="false">IF(INDEX(BookTitle,1445)="","",INDEX(BookTitle,1445))</f>
        <v/>
      </c>
      <c r="F1450" s="40" t="str">
        <f aca="false">IF(INDEX(BookTitle,1445)="","",INDEX(BookLevel,1445))</f>
        <v/>
      </c>
      <c r="G1450" s="40" t="str">
        <f aca="false">IF(INDEX(BookTitle,1445)="","",INDEX(BookCategory,1445))</f>
        <v/>
      </c>
      <c r="H1450" s="40" t="str">
        <f aca="false">IF(INDEX(BookTitle,1445)="","",INDEX(BookRank,1445))</f>
        <v/>
      </c>
      <c r="I1450" s="41" t="str">
        <f aca="false">IF(INDEX(BookTitle,1445)="","",INDEX(BookTotal,1445))</f>
        <v/>
      </c>
      <c r="J1450" s="0" t="str">
        <f aca="false">IF($I1450="","",IF(INDEX(BookQ1,1445)&gt;0,"Q1",IF(INDEX(BookQ2,1445)&gt;0,"Q2",IF(INDEX(BookQ3,1445)&gt;0,"Q3",IF(INDEX(BookQ4,1445)&gt;0,"Q4","")))))</f>
        <v/>
      </c>
      <c r="K1450" s="42" t="str">
        <f aca="false">IF(INDEX(BookTitle,1445)="","",INDEX(BookInYear,1445))</f>
        <v/>
      </c>
      <c r="L1450" s="19"/>
      <c r="M1450" s="39"/>
      <c r="N1450" s="19"/>
      <c r="O1450" s="19"/>
      <c r="P1450" s="43" t="str">
        <f aca="false">IF($E1450="","",IF($L1450="Decline",0,IF($L1450="Approve fewer",IF($M1450="","",$M1450),IF($L1450="","",$I1450))))</f>
        <v/>
      </c>
      <c r="Q1450" s="34" t="str">
        <f aca="false">IF($P1450="","",IF($N1450&lt;&gt;"",$N1450,$J1450))</f>
        <v/>
      </c>
      <c r="R1450" s="35" t="str">
        <f aca="false">IF(OR($P1450="",$Q1450=""),"",INDEX(BookRate,1445)*$P1450*(5-MATCH($Q1450,{"Q1";"Q2";"Q3";"Q4"},0))/4+INDEX(BookOneOff,1445)*$P1450)</f>
        <v/>
      </c>
      <c r="S1450" s="35" t="str">
        <f aca="false">IF($P1450="","",INDEX(BookRate,1445)*$P1450)</f>
        <v/>
      </c>
      <c r="T1450" s="35" t="str">
        <f aca="false">IF($R1450="","",$R1450-$K1450)</f>
        <v/>
      </c>
      <c r="U1450" s="35" t="str">
        <f aca="false">IF(N($P1450)&lt;=0,"",COUNTIF($P$6:$P1450,"&gt;0"))</f>
        <v/>
      </c>
    </row>
    <row r="1451" customFormat="false" ht="15" hidden="false" customHeight="false" outlineLevel="0" collapsed="false">
      <c r="A1451" s="40" t="str">
        <f aca="false">IF(INDEX(BookTitle,1446)="","",INDEX(BookGroup,1446))</f>
        <v/>
      </c>
      <c r="B1451" s="40" t="str">
        <f aca="false">IF(INDEX(BookTitle,1446)="","",INDEX(BookRef,1446))</f>
        <v/>
      </c>
      <c r="C1451" s="40" t="str">
        <f aca="false">IF(INDEX(BookTitle,1446)="","",INDEX(BookDivision,1446))</f>
        <v/>
      </c>
      <c r="D1451" s="40" t="str">
        <f aca="false">IF(INDEX(BookTitle,1446)="","",INDEX(BookUnit,1446))</f>
        <v/>
      </c>
      <c r="E1451" s="40" t="str">
        <f aca="false">IF(INDEX(BookTitle,1446)="","",INDEX(BookTitle,1446))</f>
        <v/>
      </c>
      <c r="F1451" s="40" t="str">
        <f aca="false">IF(INDEX(BookTitle,1446)="","",INDEX(BookLevel,1446))</f>
        <v/>
      </c>
      <c r="G1451" s="40" t="str">
        <f aca="false">IF(INDEX(BookTitle,1446)="","",INDEX(BookCategory,1446))</f>
        <v/>
      </c>
      <c r="H1451" s="40" t="str">
        <f aca="false">IF(INDEX(BookTitle,1446)="","",INDEX(BookRank,1446))</f>
        <v/>
      </c>
      <c r="I1451" s="41" t="str">
        <f aca="false">IF(INDEX(BookTitle,1446)="","",INDEX(BookTotal,1446))</f>
        <v/>
      </c>
      <c r="J1451" s="0" t="str">
        <f aca="false">IF($I1451="","",IF(INDEX(BookQ1,1446)&gt;0,"Q1",IF(INDEX(BookQ2,1446)&gt;0,"Q2",IF(INDEX(BookQ3,1446)&gt;0,"Q3",IF(INDEX(BookQ4,1446)&gt;0,"Q4","")))))</f>
        <v/>
      </c>
      <c r="K1451" s="42" t="str">
        <f aca="false">IF(INDEX(BookTitle,1446)="","",INDEX(BookInYear,1446))</f>
        <v/>
      </c>
      <c r="L1451" s="19"/>
      <c r="M1451" s="39"/>
      <c r="N1451" s="19"/>
      <c r="O1451" s="19"/>
      <c r="P1451" s="43" t="str">
        <f aca="false">IF($E1451="","",IF($L1451="Decline",0,IF($L1451="Approve fewer",IF($M1451="","",$M1451),IF($L1451="","",$I1451))))</f>
        <v/>
      </c>
      <c r="Q1451" s="34" t="str">
        <f aca="false">IF($P1451="","",IF($N1451&lt;&gt;"",$N1451,$J1451))</f>
        <v/>
      </c>
      <c r="R1451" s="35" t="str">
        <f aca="false">IF(OR($P1451="",$Q1451=""),"",INDEX(BookRate,1446)*$P1451*(5-MATCH($Q1451,{"Q1";"Q2";"Q3";"Q4"},0))/4+INDEX(BookOneOff,1446)*$P1451)</f>
        <v/>
      </c>
      <c r="S1451" s="35" t="str">
        <f aca="false">IF($P1451="","",INDEX(BookRate,1446)*$P1451)</f>
        <v/>
      </c>
      <c r="T1451" s="35" t="str">
        <f aca="false">IF($R1451="","",$R1451-$K1451)</f>
        <v/>
      </c>
      <c r="U1451" s="35" t="str">
        <f aca="false">IF(N($P1451)&lt;=0,"",COUNTIF($P$6:$P1451,"&gt;0"))</f>
        <v/>
      </c>
    </row>
    <row r="1452" customFormat="false" ht="15" hidden="false" customHeight="false" outlineLevel="0" collapsed="false">
      <c r="A1452" s="40" t="str">
        <f aca="false">IF(INDEX(BookTitle,1447)="","",INDEX(BookGroup,1447))</f>
        <v/>
      </c>
      <c r="B1452" s="40" t="str">
        <f aca="false">IF(INDEX(BookTitle,1447)="","",INDEX(BookRef,1447))</f>
        <v/>
      </c>
      <c r="C1452" s="40" t="str">
        <f aca="false">IF(INDEX(BookTitle,1447)="","",INDEX(BookDivision,1447))</f>
        <v/>
      </c>
      <c r="D1452" s="40" t="str">
        <f aca="false">IF(INDEX(BookTitle,1447)="","",INDEX(BookUnit,1447))</f>
        <v/>
      </c>
      <c r="E1452" s="40" t="str">
        <f aca="false">IF(INDEX(BookTitle,1447)="","",INDEX(BookTitle,1447))</f>
        <v/>
      </c>
      <c r="F1452" s="40" t="str">
        <f aca="false">IF(INDEX(BookTitle,1447)="","",INDEX(BookLevel,1447))</f>
        <v/>
      </c>
      <c r="G1452" s="40" t="str">
        <f aca="false">IF(INDEX(BookTitle,1447)="","",INDEX(BookCategory,1447))</f>
        <v/>
      </c>
      <c r="H1452" s="40" t="str">
        <f aca="false">IF(INDEX(BookTitle,1447)="","",INDEX(BookRank,1447))</f>
        <v/>
      </c>
      <c r="I1452" s="41" t="str">
        <f aca="false">IF(INDEX(BookTitle,1447)="","",INDEX(BookTotal,1447))</f>
        <v/>
      </c>
      <c r="J1452" s="0" t="str">
        <f aca="false">IF($I1452="","",IF(INDEX(BookQ1,1447)&gt;0,"Q1",IF(INDEX(BookQ2,1447)&gt;0,"Q2",IF(INDEX(BookQ3,1447)&gt;0,"Q3",IF(INDEX(BookQ4,1447)&gt;0,"Q4","")))))</f>
        <v/>
      </c>
      <c r="K1452" s="42" t="str">
        <f aca="false">IF(INDEX(BookTitle,1447)="","",INDEX(BookInYear,1447))</f>
        <v/>
      </c>
      <c r="L1452" s="19"/>
      <c r="M1452" s="39"/>
      <c r="N1452" s="19"/>
      <c r="O1452" s="19"/>
      <c r="P1452" s="43" t="str">
        <f aca="false">IF($E1452="","",IF($L1452="Decline",0,IF($L1452="Approve fewer",IF($M1452="","",$M1452),IF($L1452="","",$I1452))))</f>
        <v/>
      </c>
      <c r="Q1452" s="34" t="str">
        <f aca="false">IF($P1452="","",IF($N1452&lt;&gt;"",$N1452,$J1452))</f>
        <v/>
      </c>
      <c r="R1452" s="35" t="str">
        <f aca="false">IF(OR($P1452="",$Q1452=""),"",INDEX(BookRate,1447)*$P1452*(5-MATCH($Q1452,{"Q1";"Q2";"Q3";"Q4"},0))/4+INDEX(BookOneOff,1447)*$P1452)</f>
        <v/>
      </c>
      <c r="S1452" s="35" t="str">
        <f aca="false">IF($P1452="","",INDEX(BookRate,1447)*$P1452)</f>
        <v/>
      </c>
      <c r="T1452" s="35" t="str">
        <f aca="false">IF($R1452="","",$R1452-$K1452)</f>
        <v/>
      </c>
      <c r="U1452" s="35" t="str">
        <f aca="false">IF(N($P1452)&lt;=0,"",COUNTIF($P$6:$P1452,"&gt;0"))</f>
        <v/>
      </c>
    </row>
    <row r="1453" customFormat="false" ht="15" hidden="false" customHeight="false" outlineLevel="0" collapsed="false">
      <c r="A1453" s="40" t="str">
        <f aca="false">IF(INDEX(BookTitle,1448)="","",INDEX(BookGroup,1448))</f>
        <v/>
      </c>
      <c r="B1453" s="40" t="str">
        <f aca="false">IF(INDEX(BookTitle,1448)="","",INDEX(BookRef,1448))</f>
        <v/>
      </c>
      <c r="C1453" s="40" t="str">
        <f aca="false">IF(INDEX(BookTitle,1448)="","",INDEX(BookDivision,1448))</f>
        <v/>
      </c>
      <c r="D1453" s="40" t="str">
        <f aca="false">IF(INDEX(BookTitle,1448)="","",INDEX(BookUnit,1448))</f>
        <v/>
      </c>
      <c r="E1453" s="40" t="str">
        <f aca="false">IF(INDEX(BookTitle,1448)="","",INDEX(BookTitle,1448))</f>
        <v/>
      </c>
      <c r="F1453" s="40" t="str">
        <f aca="false">IF(INDEX(BookTitle,1448)="","",INDEX(BookLevel,1448))</f>
        <v/>
      </c>
      <c r="G1453" s="40" t="str">
        <f aca="false">IF(INDEX(BookTitle,1448)="","",INDEX(BookCategory,1448))</f>
        <v/>
      </c>
      <c r="H1453" s="40" t="str">
        <f aca="false">IF(INDEX(BookTitle,1448)="","",INDEX(BookRank,1448))</f>
        <v/>
      </c>
      <c r="I1453" s="41" t="str">
        <f aca="false">IF(INDEX(BookTitle,1448)="","",INDEX(BookTotal,1448))</f>
        <v/>
      </c>
      <c r="J1453" s="0" t="str">
        <f aca="false">IF($I1453="","",IF(INDEX(BookQ1,1448)&gt;0,"Q1",IF(INDEX(BookQ2,1448)&gt;0,"Q2",IF(INDEX(BookQ3,1448)&gt;0,"Q3",IF(INDEX(BookQ4,1448)&gt;0,"Q4","")))))</f>
        <v/>
      </c>
      <c r="K1453" s="42" t="str">
        <f aca="false">IF(INDEX(BookTitle,1448)="","",INDEX(BookInYear,1448))</f>
        <v/>
      </c>
      <c r="L1453" s="19"/>
      <c r="M1453" s="39"/>
      <c r="N1453" s="19"/>
      <c r="O1453" s="19"/>
      <c r="P1453" s="43" t="str">
        <f aca="false">IF($E1453="","",IF($L1453="Decline",0,IF($L1453="Approve fewer",IF($M1453="","",$M1453),IF($L1453="","",$I1453))))</f>
        <v/>
      </c>
      <c r="Q1453" s="34" t="str">
        <f aca="false">IF($P1453="","",IF($N1453&lt;&gt;"",$N1453,$J1453))</f>
        <v/>
      </c>
      <c r="R1453" s="35" t="str">
        <f aca="false">IF(OR($P1453="",$Q1453=""),"",INDEX(BookRate,1448)*$P1453*(5-MATCH($Q1453,{"Q1";"Q2";"Q3";"Q4"},0))/4+INDEX(BookOneOff,1448)*$P1453)</f>
        <v/>
      </c>
      <c r="S1453" s="35" t="str">
        <f aca="false">IF($P1453="","",INDEX(BookRate,1448)*$P1453)</f>
        <v/>
      </c>
      <c r="T1453" s="35" t="str">
        <f aca="false">IF($R1453="","",$R1453-$K1453)</f>
        <v/>
      </c>
      <c r="U1453" s="35" t="str">
        <f aca="false">IF(N($P1453)&lt;=0,"",COUNTIF($P$6:$P1453,"&gt;0"))</f>
        <v/>
      </c>
    </row>
    <row r="1454" customFormat="false" ht="15" hidden="false" customHeight="false" outlineLevel="0" collapsed="false">
      <c r="A1454" s="40" t="str">
        <f aca="false">IF(INDEX(BookTitle,1449)="","",INDEX(BookGroup,1449))</f>
        <v/>
      </c>
      <c r="B1454" s="40" t="str">
        <f aca="false">IF(INDEX(BookTitle,1449)="","",INDEX(BookRef,1449))</f>
        <v/>
      </c>
      <c r="C1454" s="40" t="str">
        <f aca="false">IF(INDEX(BookTitle,1449)="","",INDEX(BookDivision,1449))</f>
        <v/>
      </c>
      <c r="D1454" s="40" t="str">
        <f aca="false">IF(INDEX(BookTitle,1449)="","",INDEX(BookUnit,1449))</f>
        <v/>
      </c>
      <c r="E1454" s="40" t="str">
        <f aca="false">IF(INDEX(BookTitle,1449)="","",INDEX(BookTitle,1449))</f>
        <v/>
      </c>
      <c r="F1454" s="40" t="str">
        <f aca="false">IF(INDEX(BookTitle,1449)="","",INDEX(BookLevel,1449))</f>
        <v/>
      </c>
      <c r="G1454" s="40" t="str">
        <f aca="false">IF(INDEX(BookTitle,1449)="","",INDEX(BookCategory,1449))</f>
        <v/>
      </c>
      <c r="H1454" s="40" t="str">
        <f aca="false">IF(INDEX(BookTitle,1449)="","",INDEX(BookRank,1449))</f>
        <v/>
      </c>
      <c r="I1454" s="41" t="str">
        <f aca="false">IF(INDEX(BookTitle,1449)="","",INDEX(BookTotal,1449))</f>
        <v/>
      </c>
      <c r="J1454" s="0" t="str">
        <f aca="false">IF($I1454="","",IF(INDEX(BookQ1,1449)&gt;0,"Q1",IF(INDEX(BookQ2,1449)&gt;0,"Q2",IF(INDEX(BookQ3,1449)&gt;0,"Q3",IF(INDEX(BookQ4,1449)&gt;0,"Q4","")))))</f>
        <v/>
      </c>
      <c r="K1454" s="42" t="str">
        <f aca="false">IF(INDEX(BookTitle,1449)="","",INDEX(BookInYear,1449))</f>
        <v/>
      </c>
      <c r="L1454" s="19"/>
      <c r="M1454" s="39"/>
      <c r="N1454" s="19"/>
      <c r="O1454" s="19"/>
      <c r="P1454" s="43" t="str">
        <f aca="false">IF($E1454="","",IF($L1454="Decline",0,IF($L1454="Approve fewer",IF($M1454="","",$M1454),IF($L1454="","",$I1454))))</f>
        <v/>
      </c>
      <c r="Q1454" s="34" t="str">
        <f aca="false">IF($P1454="","",IF($N1454&lt;&gt;"",$N1454,$J1454))</f>
        <v/>
      </c>
      <c r="R1454" s="35" t="str">
        <f aca="false">IF(OR($P1454="",$Q1454=""),"",INDEX(BookRate,1449)*$P1454*(5-MATCH($Q1454,{"Q1";"Q2";"Q3";"Q4"},0))/4+INDEX(BookOneOff,1449)*$P1454)</f>
        <v/>
      </c>
      <c r="S1454" s="35" t="str">
        <f aca="false">IF($P1454="","",INDEX(BookRate,1449)*$P1454)</f>
        <v/>
      </c>
      <c r="T1454" s="35" t="str">
        <f aca="false">IF($R1454="","",$R1454-$K1454)</f>
        <v/>
      </c>
      <c r="U1454" s="35" t="str">
        <f aca="false">IF(N($P1454)&lt;=0,"",COUNTIF($P$6:$P1454,"&gt;0"))</f>
        <v/>
      </c>
    </row>
    <row r="1455" customFormat="false" ht="15" hidden="false" customHeight="false" outlineLevel="0" collapsed="false">
      <c r="A1455" s="40" t="str">
        <f aca="false">IF(INDEX(BookTitle,1450)="","",INDEX(BookGroup,1450))</f>
        <v/>
      </c>
      <c r="B1455" s="40" t="str">
        <f aca="false">IF(INDEX(BookTitle,1450)="","",INDEX(BookRef,1450))</f>
        <v/>
      </c>
      <c r="C1455" s="40" t="str">
        <f aca="false">IF(INDEX(BookTitle,1450)="","",INDEX(BookDivision,1450))</f>
        <v/>
      </c>
      <c r="D1455" s="40" t="str">
        <f aca="false">IF(INDEX(BookTitle,1450)="","",INDEX(BookUnit,1450))</f>
        <v/>
      </c>
      <c r="E1455" s="40" t="str">
        <f aca="false">IF(INDEX(BookTitle,1450)="","",INDEX(BookTitle,1450))</f>
        <v/>
      </c>
      <c r="F1455" s="40" t="str">
        <f aca="false">IF(INDEX(BookTitle,1450)="","",INDEX(BookLevel,1450))</f>
        <v/>
      </c>
      <c r="G1455" s="40" t="str">
        <f aca="false">IF(INDEX(BookTitle,1450)="","",INDEX(BookCategory,1450))</f>
        <v/>
      </c>
      <c r="H1455" s="40" t="str">
        <f aca="false">IF(INDEX(BookTitle,1450)="","",INDEX(BookRank,1450))</f>
        <v/>
      </c>
      <c r="I1455" s="41" t="str">
        <f aca="false">IF(INDEX(BookTitle,1450)="","",INDEX(BookTotal,1450))</f>
        <v/>
      </c>
      <c r="J1455" s="0" t="str">
        <f aca="false">IF($I1455="","",IF(INDEX(BookQ1,1450)&gt;0,"Q1",IF(INDEX(BookQ2,1450)&gt;0,"Q2",IF(INDEX(BookQ3,1450)&gt;0,"Q3",IF(INDEX(BookQ4,1450)&gt;0,"Q4","")))))</f>
        <v/>
      </c>
      <c r="K1455" s="42" t="str">
        <f aca="false">IF(INDEX(BookTitle,1450)="","",INDEX(BookInYear,1450))</f>
        <v/>
      </c>
      <c r="L1455" s="19"/>
      <c r="M1455" s="39"/>
      <c r="N1455" s="19"/>
      <c r="O1455" s="19"/>
      <c r="P1455" s="43" t="str">
        <f aca="false">IF($E1455="","",IF($L1455="Decline",0,IF($L1455="Approve fewer",IF($M1455="","",$M1455),IF($L1455="","",$I1455))))</f>
        <v/>
      </c>
      <c r="Q1455" s="34" t="str">
        <f aca="false">IF($P1455="","",IF($N1455&lt;&gt;"",$N1455,$J1455))</f>
        <v/>
      </c>
      <c r="R1455" s="35" t="str">
        <f aca="false">IF(OR($P1455="",$Q1455=""),"",INDEX(BookRate,1450)*$P1455*(5-MATCH($Q1455,{"Q1";"Q2";"Q3";"Q4"},0))/4+INDEX(BookOneOff,1450)*$P1455)</f>
        <v/>
      </c>
      <c r="S1455" s="35" t="str">
        <f aca="false">IF($P1455="","",INDEX(BookRate,1450)*$P1455)</f>
        <v/>
      </c>
      <c r="T1455" s="35" t="str">
        <f aca="false">IF($R1455="","",$R1455-$K1455)</f>
        <v/>
      </c>
      <c r="U1455" s="35" t="str">
        <f aca="false">IF(N($P1455)&lt;=0,"",COUNTIF($P$6:$P1455,"&gt;0"))</f>
        <v/>
      </c>
    </row>
    <row r="1456" customFormat="false" ht="15" hidden="false" customHeight="false" outlineLevel="0" collapsed="false">
      <c r="A1456" s="40" t="str">
        <f aca="false">IF(INDEX(BookTitle,1451)="","",INDEX(BookGroup,1451))</f>
        <v/>
      </c>
      <c r="B1456" s="40" t="str">
        <f aca="false">IF(INDEX(BookTitle,1451)="","",INDEX(BookRef,1451))</f>
        <v/>
      </c>
      <c r="C1456" s="40" t="str">
        <f aca="false">IF(INDEX(BookTitle,1451)="","",INDEX(BookDivision,1451))</f>
        <v/>
      </c>
      <c r="D1456" s="40" t="str">
        <f aca="false">IF(INDEX(BookTitle,1451)="","",INDEX(BookUnit,1451))</f>
        <v/>
      </c>
      <c r="E1456" s="40" t="str">
        <f aca="false">IF(INDEX(BookTitle,1451)="","",INDEX(BookTitle,1451))</f>
        <v/>
      </c>
      <c r="F1456" s="40" t="str">
        <f aca="false">IF(INDEX(BookTitle,1451)="","",INDEX(BookLevel,1451))</f>
        <v/>
      </c>
      <c r="G1456" s="40" t="str">
        <f aca="false">IF(INDEX(BookTitle,1451)="","",INDEX(BookCategory,1451))</f>
        <v/>
      </c>
      <c r="H1456" s="40" t="str">
        <f aca="false">IF(INDEX(BookTitle,1451)="","",INDEX(BookRank,1451))</f>
        <v/>
      </c>
      <c r="I1456" s="41" t="str">
        <f aca="false">IF(INDEX(BookTitle,1451)="","",INDEX(BookTotal,1451))</f>
        <v/>
      </c>
      <c r="J1456" s="0" t="str">
        <f aca="false">IF($I1456="","",IF(INDEX(BookQ1,1451)&gt;0,"Q1",IF(INDEX(BookQ2,1451)&gt;0,"Q2",IF(INDEX(BookQ3,1451)&gt;0,"Q3",IF(INDEX(BookQ4,1451)&gt;0,"Q4","")))))</f>
        <v/>
      </c>
      <c r="K1456" s="42" t="str">
        <f aca="false">IF(INDEX(BookTitle,1451)="","",INDEX(BookInYear,1451))</f>
        <v/>
      </c>
      <c r="L1456" s="19"/>
      <c r="M1456" s="39"/>
      <c r="N1456" s="19"/>
      <c r="O1456" s="19"/>
      <c r="P1456" s="43" t="str">
        <f aca="false">IF($E1456="","",IF($L1456="Decline",0,IF($L1456="Approve fewer",IF($M1456="","",$M1456),IF($L1456="","",$I1456))))</f>
        <v/>
      </c>
      <c r="Q1456" s="34" t="str">
        <f aca="false">IF($P1456="","",IF($N1456&lt;&gt;"",$N1456,$J1456))</f>
        <v/>
      </c>
      <c r="R1456" s="35" t="str">
        <f aca="false">IF(OR($P1456="",$Q1456=""),"",INDEX(BookRate,1451)*$P1456*(5-MATCH($Q1456,{"Q1";"Q2";"Q3";"Q4"},0))/4+INDEX(BookOneOff,1451)*$P1456)</f>
        <v/>
      </c>
      <c r="S1456" s="35" t="str">
        <f aca="false">IF($P1456="","",INDEX(BookRate,1451)*$P1456)</f>
        <v/>
      </c>
      <c r="T1456" s="35" t="str">
        <f aca="false">IF($R1456="","",$R1456-$K1456)</f>
        <v/>
      </c>
      <c r="U1456" s="35" t="str">
        <f aca="false">IF(N($P1456)&lt;=0,"",COUNTIF($P$6:$P1456,"&gt;0"))</f>
        <v/>
      </c>
    </row>
    <row r="1457" customFormat="false" ht="15" hidden="false" customHeight="false" outlineLevel="0" collapsed="false">
      <c r="A1457" s="40" t="str">
        <f aca="false">IF(INDEX(BookTitle,1452)="","",INDEX(BookGroup,1452))</f>
        <v/>
      </c>
      <c r="B1457" s="40" t="str">
        <f aca="false">IF(INDEX(BookTitle,1452)="","",INDEX(BookRef,1452))</f>
        <v/>
      </c>
      <c r="C1457" s="40" t="str">
        <f aca="false">IF(INDEX(BookTitle,1452)="","",INDEX(BookDivision,1452))</f>
        <v/>
      </c>
      <c r="D1457" s="40" t="str">
        <f aca="false">IF(INDEX(BookTitle,1452)="","",INDEX(BookUnit,1452))</f>
        <v/>
      </c>
      <c r="E1457" s="40" t="str">
        <f aca="false">IF(INDEX(BookTitle,1452)="","",INDEX(BookTitle,1452))</f>
        <v/>
      </c>
      <c r="F1457" s="40" t="str">
        <f aca="false">IF(INDEX(BookTitle,1452)="","",INDEX(BookLevel,1452))</f>
        <v/>
      </c>
      <c r="G1457" s="40" t="str">
        <f aca="false">IF(INDEX(BookTitle,1452)="","",INDEX(BookCategory,1452))</f>
        <v/>
      </c>
      <c r="H1457" s="40" t="str">
        <f aca="false">IF(INDEX(BookTitle,1452)="","",INDEX(BookRank,1452))</f>
        <v/>
      </c>
      <c r="I1457" s="41" t="str">
        <f aca="false">IF(INDEX(BookTitle,1452)="","",INDEX(BookTotal,1452))</f>
        <v/>
      </c>
      <c r="J1457" s="0" t="str">
        <f aca="false">IF($I1457="","",IF(INDEX(BookQ1,1452)&gt;0,"Q1",IF(INDEX(BookQ2,1452)&gt;0,"Q2",IF(INDEX(BookQ3,1452)&gt;0,"Q3",IF(INDEX(BookQ4,1452)&gt;0,"Q4","")))))</f>
        <v/>
      </c>
      <c r="K1457" s="42" t="str">
        <f aca="false">IF(INDEX(BookTitle,1452)="","",INDEX(BookInYear,1452))</f>
        <v/>
      </c>
      <c r="L1457" s="19"/>
      <c r="M1457" s="39"/>
      <c r="N1457" s="19"/>
      <c r="O1457" s="19"/>
      <c r="P1457" s="43" t="str">
        <f aca="false">IF($E1457="","",IF($L1457="Decline",0,IF($L1457="Approve fewer",IF($M1457="","",$M1457),IF($L1457="","",$I1457))))</f>
        <v/>
      </c>
      <c r="Q1457" s="34" t="str">
        <f aca="false">IF($P1457="","",IF($N1457&lt;&gt;"",$N1457,$J1457))</f>
        <v/>
      </c>
      <c r="R1457" s="35" t="str">
        <f aca="false">IF(OR($P1457="",$Q1457=""),"",INDEX(BookRate,1452)*$P1457*(5-MATCH($Q1457,{"Q1";"Q2";"Q3";"Q4"},0))/4+INDEX(BookOneOff,1452)*$P1457)</f>
        <v/>
      </c>
      <c r="S1457" s="35" t="str">
        <f aca="false">IF($P1457="","",INDEX(BookRate,1452)*$P1457)</f>
        <v/>
      </c>
      <c r="T1457" s="35" t="str">
        <f aca="false">IF($R1457="","",$R1457-$K1457)</f>
        <v/>
      </c>
      <c r="U1457" s="35" t="str">
        <f aca="false">IF(N($P1457)&lt;=0,"",COUNTIF($P$6:$P1457,"&gt;0"))</f>
        <v/>
      </c>
    </row>
    <row r="1458" customFormat="false" ht="15" hidden="false" customHeight="false" outlineLevel="0" collapsed="false">
      <c r="A1458" s="40" t="str">
        <f aca="false">IF(INDEX(BookTitle,1453)="","",INDEX(BookGroup,1453))</f>
        <v/>
      </c>
      <c r="B1458" s="40" t="str">
        <f aca="false">IF(INDEX(BookTitle,1453)="","",INDEX(BookRef,1453))</f>
        <v/>
      </c>
      <c r="C1458" s="40" t="str">
        <f aca="false">IF(INDEX(BookTitle,1453)="","",INDEX(BookDivision,1453))</f>
        <v/>
      </c>
      <c r="D1458" s="40" t="str">
        <f aca="false">IF(INDEX(BookTitle,1453)="","",INDEX(BookUnit,1453))</f>
        <v/>
      </c>
      <c r="E1458" s="40" t="str">
        <f aca="false">IF(INDEX(BookTitle,1453)="","",INDEX(BookTitle,1453))</f>
        <v/>
      </c>
      <c r="F1458" s="40" t="str">
        <f aca="false">IF(INDEX(BookTitle,1453)="","",INDEX(BookLevel,1453))</f>
        <v/>
      </c>
      <c r="G1458" s="40" t="str">
        <f aca="false">IF(INDEX(BookTitle,1453)="","",INDEX(BookCategory,1453))</f>
        <v/>
      </c>
      <c r="H1458" s="40" t="str">
        <f aca="false">IF(INDEX(BookTitle,1453)="","",INDEX(BookRank,1453))</f>
        <v/>
      </c>
      <c r="I1458" s="41" t="str">
        <f aca="false">IF(INDEX(BookTitle,1453)="","",INDEX(BookTotal,1453))</f>
        <v/>
      </c>
      <c r="J1458" s="0" t="str">
        <f aca="false">IF($I1458="","",IF(INDEX(BookQ1,1453)&gt;0,"Q1",IF(INDEX(BookQ2,1453)&gt;0,"Q2",IF(INDEX(BookQ3,1453)&gt;0,"Q3",IF(INDEX(BookQ4,1453)&gt;0,"Q4","")))))</f>
        <v/>
      </c>
      <c r="K1458" s="42" t="str">
        <f aca="false">IF(INDEX(BookTitle,1453)="","",INDEX(BookInYear,1453))</f>
        <v/>
      </c>
      <c r="L1458" s="19"/>
      <c r="M1458" s="39"/>
      <c r="N1458" s="19"/>
      <c r="O1458" s="19"/>
      <c r="P1458" s="43" t="str">
        <f aca="false">IF($E1458="","",IF($L1458="Decline",0,IF($L1458="Approve fewer",IF($M1458="","",$M1458),IF($L1458="","",$I1458))))</f>
        <v/>
      </c>
      <c r="Q1458" s="34" t="str">
        <f aca="false">IF($P1458="","",IF($N1458&lt;&gt;"",$N1458,$J1458))</f>
        <v/>
      </c>
      <c r="R1458" s="35" t="str">
        <f aca="false">IF(OR($P1458="",$Q1458=""),"",INDEX(BookRate,1453)*$P1458*(5-MATCH($Q1458,{"Q1";"Q2";"Q3";"Q4"},0))/4+INDEX(BookOneOff,1453)*$P1458)</f>
        <v/>
      </c>
      <c r="S1458" s="35" t="str">
        <f aca="false">IF($P1458="","",INDEX(BookRate,1453)*$P1458)</f>
        <v/>
      </c>
      <c r="T1458" s="35" t="str">
        <f aca="false">IF($R1458="","",$R1458-$K1458)</f>
        <v/>
      </c>
      <c r="U1458" s="35" t="str">
        <f aca="false">IF(N($P1458)&lt;=0,"",COUNTIF($P$6:$P1458,"&gt;0"))</f>
        <v/>
      </c>
    </row>
    <row r="1459" customFormat="false" ht="15" hidden="false" customHeight="false" outlineLevel="0" collapsed="false">
      <c r="A1459" s="40" t="str">
        <f aca="false">IF(INDEX(BookTitle,1454)="","",INDEX(BookGroup,1454))</f>
        <v/>
      </c>
      <c r="B1459" s="40" t="str">
        <f aca="false">IF(INDEX(BookTitle,1454)="","",INDEX(BookRef,1454))</f>
        <v/>
      </c>
      <c r="C1459" s="40" t="str">
        <f aca="false">IF(INDEX(BookTitle,1454)="","",INDEX(BookDivision,1454))</f>
        <v/>
      </c>
      <c r="D1459" s="40" t="str">
        <f aca="false">IF(INDEX(BookTitle,1454)="","",INDEX(BookUnit,1454))</f>
        <v/>
      </c>
      <c r="E1459" s="40" t="str">
        <f aca="false">IF(INDEX(BookTitle,1454)="","",INDEX(BookTitle,1454))</f>
        <v/>
      </c>
      <c r="F1459" s="40" t="str">
        <f aca="false">IF(INDEX(BookTitle,1454)="","",INDEX(BookLevel,1454))</f>
        <v/>
      </c>
      <c r="G1459" s="40" t="str">
        <f aca="false">IF(INDEX(BookTitle,1454)="","",INDEX(BookCategory,1454))</f>
        <v/>
      </c>
      <c r="H1459" s="40" t="str">
        <f aca="false">IF(INDEX(BookTitle,1454)="","",INDEX(BookRank,1454))</f>
        <v/>
      </c>
      <c r="I1459" s="41" t="str">
        <f aca="false">IF(INDEX(BookTitle,1454)="","",INDEX(BookTotal,1454))</f>
        <v/>
      </c>
      <c r="J1459" s="0" t="str">
        <f aca="false">IF($I1459="","",IF(INDEX(BookQ1,1454)&gt;0,"Q1",IF(INDEX(BookQ2,1454)&gt;0,"Q2",IF(INDEX(BookQ3,1454)&gt;0,"Q3",IF(INDEX(BookQ4,1454)&gt;0,"Q4","")))))</f>
        <v/>
      </c>
      <c r="K1459" s="42" t="str">
        <f aca="false">IF(INDEX(BookTitle,1454)="","",INDEX(BookInYear,1454))</f>
        <v/>
      </c>
      <c r="L1459" s="19"/>
      <c r="M1459" s="39"/>
      <c r="N1459" s="19"/>
      <c r="O1459" s="19"/>
      <c r="P1459" s="43" t="str">
        <f aca="false">IF($E1459="","",IF($L1459="Decline",0,IF($L1459="Approve fewer",IF($M1459="","",$M1459),IF($L1459="","",$I1459))))</f>
        <v/>
      </c>
      <c r="Q1459" s="34" t="str">
        <f aca="false">IF($P1459="","",IF($N1459&lt;&gt;"",$N1459,$J1459))</f>
        <v/>
      </c>
      <c r="R1459" s="35" t="str">
        <f aca="false">IF(OR($P1459="",$Q1459=""),"",INDEX(BookRate,1454)*$P1459*(5-MATCH($Q1459,{"Q1";"Q2";"Q3";"Q4"},0))/4+INDEX(BookOneOff,1454)*$P1459)</f>
        <v/>
      </c>
      <c r="S1459" s="35" t="str">
        <f aca="false">IF($P1459="","",INDEX(BookRate,1454)*$P1459)</f>
        <v/>
      </c>
      <c r="T1459" s="35" t="str">
        <f aca="false">IF($R1459="","",$R1459-$K1459)</f>
        <v/>
      </c>
      <c r="U1459" s="35" t="str">
        <f aca="false">IF(N($P1459)&lt;=0,"",COUNTIF($P$6:$P1459,"&gt;0"))</f>
        <v/>
      </c>
    </row>
    <row r="1460" customFormat="false" ht="15" hidden="false" customHeight="false" outlineLevel="0" collapsed="false">
      <c r="A1460" s="40" t="str">
        <f aca="false">IF(INDEX(BookTitle,1455)="","",INDEX(BookGroup,1455))</f>
        <v/>
      </c>
      <c r="B1460" s="40" t="str">
        <f aca="false">IF(INDEX(BookTitle,1455)="","",INDEX(BookRef,1455))</f>
        <v/>
      </c>
      <c r="C1460" s="40" t="str">
        <f aca="false">IF(INDEX(BookTitle,1455)="","",INDEX(BookDivision,1455))</f>
        <v/>
      </c>
      <c r="D1460" s="40" t="str">
        <f aca="false">IF(INDEX(BookTitle,1455)="","",INDEX(BookUnit,1455))</f>
        <v/>
      </c>
      <c r="E1460" s="40" t="str">
        <f aca="false">IF(INDEX(BookTitle,1455)="","",INDEX(BookTitle,1455))</f>
        <v/>
      </c>
      <c r="F1460" s="40" t="str">
        <f aca="false">IF(INDEX(BookTitle,1455)="","",INDEX(BookLevel,1455))</f>
        <v/>
      </c>
      <c r="G1460" s="40" t="str">
        <f aca="false">IF(INDEX(BookTitle,1455)="","",INDEX(BookCategory,1455))</f>
        <v/>
      </c>
      <c r="H1460" s="40" t="str">
        <f aca="false">IF(INDEX(BookTitle,1455)="","",INDEX(BookRank,1455))</f>
        <v/>
      </c>
      <c r="I1460" s="41" t="str">
        <f aca="false">IF(INDEX(BookTitle,1455)="","",INDEX(BookTotal,1455))</f>
        <v/>
      </c>
      <c r="J1460" s="0" t="str">
        <f aca="false">IF($I1460="","",IF(INDEX(BookQ1,1455)&gt;0,"Q1",IF(INDEX(BookQ2,1455)&gt;0,"Q2",IF(INDEX(BookQ3,1455)&gt;0,"Q3",IF(INDEX(BookQ4,1455)&gt;0,"Q4","")))))</f>
        <v/>
      </c>
      <c r="K1460" s="42" t="str">
        <f aca="false">IF(INDEX(BookTitle,1455)="","",INDEX(BookInYear,1455))</f>
        <v/>
      </c>
      <c r="L1460" s="19"/>
      <c r="M1460" s="39"/>
      <c r="N1460" s="19"/>
      <c r="O1460" s="19"/>
      <c r="P1460" s="43" t="str">
        <f aca="false">IF($E1460="","",IF($L1460="Decline",0,IF($L1460="Approve fewer",IF($M1460="","",$M1460),IF($L1460="","",$I1460))))</f>
        <v/>
      </c>
      <c r="Q1460" s="34" t="str">
        <f aca="false">IF($P1460="","",IF($N1460&lt;&gt;"",$N1460,$J1460))</f>
        <v/>
      </c>
      <c r="R1460" s="35" t="str">
        <f aca="false">IF(OR($P1460="",$Q1460=""),"",INDEX(BookRate,1455)*$P1460*(5-MATCH($Q1460,{"Q1";"Q2";"Q3";"Q4"},0))/4+INDEX(BookOneOff,1455)*$P1460)</f>
        <v/>
      </c>
      <c r="S1460" s="35" t="str">
        <f aca="false">IF($P1460="","",INDEX(BookRate,1455)*$P1460)</f>
        <v/>
      </c>
      <c r="T1460" s="35" t="str">
        <f aca="false">IF($R1460="","",$R1460-$K1460)</f>
        <v/>
      </c>
      <c r="U1460" s="35" t="str">
        <f aca="false">IF(N($P1460)&lt;=0,"",COUNTIF($P$6:$P1460,"&gt;0"))</f>
        <v/>
      </c>
    </row>
    <row r="1461" customFormat="false" ht="15" hidden="false" customHeight="false" outlineLevel="0" collapsed="false">
      <c r="A1461" s="40" t="str">
        <f aca="false">IF(INDEX(BookTitle,1456)="","",INDEX(BookGroup,1456))</f>
        <v/>
      </c>
      <c r="B1461" s="40" t="str">
        <f aca="false">IF(INDEX(BookTitle,1456)="","",INDEX(BookRef,1456))</f>
        <v/>
      </c>
      <c r="C1461" s="40" t="str">
        <f aca="false">IF(INDEX(BookTitle,1456)="","",INDEX(BookDivision,1456))</f>
        <v/>
      </c>
      <c r="D1461" s="40" t="str">
        <f aca="false">IF(INDEX(BookTitle,1456)="","",INDEX(BookUnit,1456))</f>
        <v/>
      </c>
      <c r="E1461" s="40" t="str">
        <f aca="false">IF(INDEX(BookTitle,1456)="","",INDEX(BookTitle,1456))</f>
        <v/>
      </c>
      <c r="F1461" s="40" t="str">
        <f aca="false">IF(INDEX(BookTitle,1456)="","",INDEX(BookLevel,1456))</f>
        <v/>
      </c>
      <c r="G1461" s="40" t="str">
        <f aca="false">IF(INDEX(BookTitle,1456)="","",INDEX(BookCategory,1456))</f>
        <v/>
      </c>
      <c r="H1461" s="40" t="str">
        <f aca="false">IF(INDEX(BookTitle,1456)="","",INDEX(BookRank,1456))</f>
        <v/>
      </c>
      <c r="I1461" s="41" t="str">
        <f aca="false">IF(INDEX(BookTitle,1456)="","",INDEX(BookTotal,1456))</f>
        <v/>
      </c>
      <c r="J1461" s="0" t="str">
        <f aca="false">IF($I1461="","",IF(INDEX(BookQ1,1456)&gt;0,"Q1",IF(INDEX(BookQ2,1456)&gt;0,"Q2",IF(INDEX(BookQ3,1456)&gt;0,"Q3",IF(INDEX(BookQ4,1456)&gt;0,"Q4","")))))</f>
        <v/>
      </c>
      <c r="K1461" s="42" t="str">
        <f aca="false">IF(INDEX(BookTitle,1456)="","",INDEX(BookInYear,1456))</f>
        <v/>
      </c>
      <c r="L1461" s="19"/>
      <c r="M1461" s="39"/>
      <c r="N1461" s="19"/>
      <c r="O1461" s="19"/>
      <c r="P1461" s="43" t="str">
        <f aca="false">IF($E1461="","",IF($L1461="Decline",0,IF($L1461="Approve fewer",IF($M1461="","",$M1461),IF($L1461="","",$I1461))))</f>
        <v/>
      </c>
      <c r="Q1461" s="34" t="str">
        <f aca="false">IF($P1461="","",IF($N1461&lt;&gt;"",$N1461,$J1461))</f>
        <v/>
      </c>
      <c r="R1461" s="35" t="str">
        <f aca="false">IF(OR($P1461="",$Q1461=""),"",INDEX(BookRate,1456)*$P1461*(5-MATCH($Q1461,{"Q1";"Q2";"Q3";"Q4"},0))/4+INDEX(BookOneOff,1456)*$P1461)</f>
        <v/>
      </c>
      <c r="S1461" s="35" t="str">
        <f aca="false">IF($P1461="","",INDEX(BookRate,1456)*$P1461)</f>
        <v/>
      </c>
      <c r="T1461" s="35" t="str">
        <f aca="false">IF($R1461="","",$R1461-$K1461)</f>
        <v/>
      </c>
      <c r="U1461" s="35" t="str">
        <f aca="false">IF(N($P1461)&lt;=0,"",COUNTIF($P$6:$P1461,"&gt;0"))</f>
        <v/>
      </c>
    </row>
    <row r="1462" customFormat="false" ht="15" hidden="false" customHeight="false" outlineLevel="0" collapsed="false">
      <c r="A1462" s="40" t="str">
        <f aca="false">IF(INDEX(BookTitle,1457)="","",INDEX(BookGroup,1457))</f>
        <v/>
      </c>
      <c r="B1462" s="40" t="str">
        <f aca="false">IF(INDEX(BookTitle,1457)="","",INDEX(BookRef,1457))</f>
        <v/>
      </c>
      <c r="C1462" s="40" t="str">
        <f aca="false">IF(INDEX(BookTitle,1457)="","",INDEX(BookDivision,1457))</f>
        <v/>
      </c>
      <c r="D1462" s="40" t="str">
        <f aca="false">IF(INDEX(BookTitle,1457)="","",INDEX(BookUnit,1457))</f>
        <v/>
      </c>
      <c r="E1462" s="40" t="str">
        <f aca="false">IF(INDEX(BookTitle,1457)="","",INDEX(BookTitle,1457))</f>
        <v/>
      </c>
      <c r="F1462" s="40" t="str">
        <f aca="false">IF(INDEX(BookTitle,1457)="","",INDEX(BookLevel,1457))</f>
        <v/>
      </c>
      <c r="G1462" s="40" t="str">
        <f aca="false">IF(INDEX(BookTitle,1457)="","",INDEX(BookCategory,1457))</f>
        <v/>
      </c>
      <c r="H1462" s="40" t="str">
        <f aca="false">IF(INDEX(BookTitle,1457)="","",INDEX(BookRank,1457))</f>
        <v/>
      </c>
      <c r="I1462" s="41" t="str">
        <f aca="false">IF(INDEX(BookTitle,1457)="","",INDEX(BookTotal,1457))</f>
        <v/>
      </c>
      <c r="J1462" s="0" t="str">
        <f aca="false">IF($I1462="","",IF(INDEX(BookQ1,1457)&gt;0,"Q1",IF(INDEX(BookQ2,1457)&gt;0,"Q2",IF(INDEX(BookQ3,1457)&gt;0,"Q3",IF(INDEX(BookQ4,1457)&gt;0,"Q4","")))))</f>
        <v/>
      </c>
      <c r="K1462" s="42" t="str">
        <f aca="false">IF(INDEX(BookTitle,1457)="","",INDEX(BookInYear,1457))</f>
        <v/>
      </c>
      <c r="L1462" s="19"/>
      <c r="M1462" s="39"/>
      <c r="N1462" s="19"/>
      <c r="O1462" s="19"/>
      <c r="P1462" s="43" t="str">
        <f aca="false">IF($E1462="","",IF($L1462="Decline",0,IF($L1462="Approve fewer",IF($M1462="","",$M1462),IF($L1462="","",$I1462))))</f>
        <v/>
      </c>
      <c r="Q1462" s="34" t="str">
        <f aca="false">IF($P1462="","",IF($N1462&lt;&gt;"",$N1462,$J1462))</f>
        <v/>
      </c>
      <c r="R1462" s="35" t="str">
        <f aca="false">IF(OR($P1462="",$Q1462=""),"",INDEX(BookRate,1457)*$P1462*(5-MATCH($Q1462,{"Q1";"Q2";"Q3";"Q4"},0))/4+INDEX(BookOneOff,1457)*$P1462)</f>
        <v/>
      </c>
      <c r="S1462" s="35" t="str">
        <f aca="false">IF($P1462="","",INDEX(BookRate,1457)*$P1462)</f>
        <v/>
      </c>
      <c r="T1462" s="35" t="str">
        <f aca="false">IF($R1462="","",$R1462-$K1462)</f>
        <v/>
      </c>
      <c r="U1462" s="35" t="str">
        <f aca="false">IF(N($P1462)&lt;=0,"",COUNTIF($P$6:$P1462,"&gt;0"))</f>
        <v/>
      </c>
    </row>
    <row r="1463" customFormat="false" ht="15" hidden="false" customHeight="false" outlineLevel="0" collapsed="false">
      <c r="A1463" s="40" t="str">
        <f aca="false">IF(INDEX(BookTitle,1458)="","",INDEX(BookGroup,1458))</f>
        <v/>
      </c>
      <c r="B1463" s="40" t="str">
        <f aca="false">IF(INDEX(BookTitle,1458)="","",INDEX(BookRef,1458))</f>
        <v/>
      </c>
      <c r="C1463" s="40" t="str">
        <f aca="false">IF(INDEX(BookTitle,1458)="","",INDEX(BookDivision,1458))</f>
        <v/>
      </c>
      <c r="D1463" s="40" t="str">
        <f aca="false">IF(INDEX(BookTitle,1458)="","",INDEX(BookUnit,1458))</f>
        <v/>
      </c>
      <c r="E1463" s="40" t="str">
        <f aca="false">IF(INDEX(BookTitle,1458)="","",INDEX(BookTitle,1458))</f>
        <v/>
      </c>
      <c r="F1463" s="40" t="str">
        <f aca="false">IF(INDEX(BookTitle,1458)="","",INDEX(BookLevel,1458))</f>
        <v/>
      </c>
      <c r="G1463" s="40" t="str">
        <f aca="false">IF(INDEX(BookTitle,1458)="","",INDEX(BookCategory,1458))</f>
        <v/>
      </c>
      <c r="H1463" s="40" t="str">
        <f aca="false">IF(INDEX(BookTitle,1458)="","",INDEX(BookRank,1458))</f>
        <v/>
      </c>
      <c r="I1463" s="41" t="str">
        <f aca="false">IF(INDEX(BookTitle,1458)="","",INDEX(BookTotal,1458))</f>
        <v/>
      </c>
      <c r="J1463" s="0" t="str">
        <f aca="false">IF($I1463="","",IF(INDEX(BookQ1,1458)&gt;0,"Q1",IF(INDEX(BookQ2,1458)&gt;0,"Q2",IF(INDEX(BookQ3,1458)&gt;0,"Q3",IF(INDEX(BookQ4,1458)&gt;0,"Q4","")))))</f>
        <v/>
      </c>
      <c r="K1463" s="42" t="str">
        <f aca="false">IF(INDEX(BookTitle,1458)="","",INDEX(BookInYear,1458))</f>
        <v/>
      </c>
      <c r="L1463" s="19"/>
      <c r="M1463" s="39"/>
      <c r="N1463" s="19"/>
      <c r="O1463" s="19"/>
      <c r="P1463" s="43" t="str">
        <f aca="false">IF($E1463="","",IF($L1463="Decline",0,IF($L1463="Approve fewer",IF($M1463="","",$M1463),IF($L1463="","",$I1463))))</f>
        <v/>
      </c>
      <c r="Q1463" s="34" t="str">
        <f aca="false">IF($P1463="","",IF($N1463&lt;&gt;"",$N1463,$J1463))</f>
        <v/>
      </c>
      <c r="R1463" s="35" t="str">
        <f aca="false">IF(OR($P1463="",$Q1463=""),"",INDEX(BookRate,1458)*$P1463*(5-MATCH($Q1463,{"Q1";"Q2";"Q3";"Q4"},0))/4+INDEX(BookOneOff,1458)*$P1463)</f>
        <v/>
      </c>
      <c r="S1463" s="35" t="str">
        <f aca="false">IF($P1463="","",INDEX(BookRate,1458)*$P1463)</f>
        <v/>
      </c>
      <c r="T1463" s="35" t="str">
        <f aca="false">IF($R1463="","",$R1463-$K1463)</f>
        <v/>
      </c>
      <c r="U1463" s="35" t="str">
        <f aca="false">IF(N($P1463)&lt;=0,"",COUNTIF($P$6:$P1463,"&gt;0"))</f>
        <v/>
      </c>
    </row>
    <row r="1464" customFormat="false" ht="15" hidden="false" customHeight="false" outlineLevel="0" collapsed="false">
      <c r="A1464" s="40" t="str">
        <f aca="false">IF(INDEX(BookTitle,1459)="","",INDEX(BookGroup,1459))</f>
        <v/>
      </c>
      <c r="B1464" s="40" t="str">
        <f aca="false">IF(INDEX(BookTitle,1459)="","",INDEX(BookRef,1459))</f>
        <v/>
      </c>
      <c r="C1464" s="40" t="str">
        <f aca="false">IF(INDEX(BookTitle,1459)="","",INDEX(BookDivision,1459))</f>
        <v/>
      </c>
      <c r="D1464" s="40" t="str">
        <f aca="false">IF(INDEX(BookTitle,1459)="","",INDEX(BookUnit,1459))</f>
        <v/>
      </c>
      <c r="E1464" s="40" t="str">
        <f aca="false">IF(INDEX(BookTitle,1459)="","",INDEX(BookTitle,1459))</f>
        <v/>
      </c>
      <c r="F1464" s="40" t="str">
        <f aca="false">IF(INDEX(BookTitle,1459)="","",INDEX(BookLevel,1459))</f>
        <v/>
      </c>
      <c r="G1464" s="40" t="str">
        <f aca="false">IF(INDEX(BookTitle,1459)="","",INDEX(BookCategory,1459))</f>
        <v/>
      </c>
      <c r="H1464" s="40" t="str">
        <f aca="false">IF(INDEX(BookTitle,1459)="","",INDEX(BookRank,1459))</f>
        <v/>
      </c>
      <c r="I1464" s="41" t="str">
        <f aca="false">IF(INDEX(BookTitle,1459)="","",INDEX(BookTotal,1459))</f>
        <v/>
      </c>
      <c r="J1464" s="0" t="str">
        <f aca="false">IF($I1464="","",IF(INDEX(BookQ1,1459)&gt;0,"Q1",IF(INDEX(BookQ2,1459)&gt;0,"Q2",IF(INDEX(BookQ3,1459)&gt;0,"Q3",IF(INDEX(BookQ4,1459)&gt;0,"Q4","")))))</f>
        <v/>
      </c>
      <c r="K1464" s="42" t="str">
        <f aca="false">IF(INDEX(BookTitle,1459)="","",INDEX(BookInYear,1459))</f>
        <v/>
      </c>
      <c r="L1464" s="19"/>
      <c r="M1464" s="39"/>
      <c r="N1464" s="19"/>
      <c r="O1464" s="19"/>
      <c r="P1464" s="43" t="str">
        <f aca="false">IF($E1464="","",IF($L1464="Decline",0,IF($L1464="Approve fewer",IF($M1464="","",$M1464),IF($L1464="","",$I1464))))</f>
        <v/>
      </c>
      <c r="Q1464" s="34" t="str">
        <f aca="false">IF($P1464="","",IF($N1464&lt;&gt;"",$N1464,$J1464))</f>
        <v/>
      </c>
      <c r="R1464" s="35" t="str">
        <f aca="false">IF(OR($P1464="",$Q1464=""),"",INDEX(BookRate,1459)*$P1464*(5-MATCH($Q1464,{"Q1";"Q2";"Q3";"Q4"},0))/4+INDEX(BookOneOff,1459)*$P1464)</f>
        <v/>
      </c>
      <c r="S1464" s="35" t="str">
        <f aca="false">IF($P1464="","",INDEX(BookRate,1459)*$P1464)</f>
        <v/>
      </c>
      <c r="T1464" s="35" t="str">
        <f aca="false">IF($R1464="","",$R1464-$K1464)</f>
        <v/>
      </c>
      <c r="U1464" s="35" t="str">
        <f aca="false">IF(N($P1464)&lt;=0,"",COUNTIF($P$6:$P1464,"&gt;0"))</f>
        <v/>
      </c>
    </row>
    <row r="1465" customFormat="false" ht="15" hidden="false" customHeight="false" outlineLevel="0" collapsed="false">
      <c r="A1465" s="40" t="str">
        <f aca="false">IF(INDEX(BookTitle,1460)="","",INDEX(BookGroup,1460))</f>
        <v/>
      </c>
      <c r="B1465" s="40" t="str">
        <f aca="false">IF(INDEX(BookTitle,1460)="","",INDEX(BookRef,1460))</f>
        <v/>
      </c>
      <c r="C1465" s="40" t="str">
        <f aca="false">IF(INDEX(BookTitle,1460)="","",INDEX(BookDivision,1460))</f>
        <v/>
      </c>
      <c r="D1465" s="40" t="str">
        <f aca="false">IF(INDEX(BookTitle,1460)="","",INDEX(BookUnit,1460))</f>
        <v/>
      </c>
      <c r="E1465" s="40" t="str">
        <f aca="false">IF(INDEX(BookTitle,1460)="","",INDEX(BookTitle,1460))</f>
        <v/>
      </c>
      <c r="F1465" s="40" t="str">
        <f aca="false">IF(INDEX(BookTitle,1460)="","",INDEX(BookLevel,1460))</f>
        <v/>
      </c>
      <c r="G1465" s="40" t="str">
        <f aca="false">IF(INDEX(BookTitle,1460)="","",INDEX(BookCategory,1460))</f>
        <v/>
      </c>
      <c r="H1465" s="40" t="str">
        <f aca="false">IF(INDEX(BookTitle,1460)="","",INDEX(BookRank,1460))</f>
        <v/>
      </c>
      <c r="I1465" s="41" t="str">
        <f aca="false">IF(INDEX(BookTitle,1460)="","",INDEX(BookTotal,1460))</f>
        <v/>
      </c>
      <c r="J1465" s="0" t="str">
        <f aca="false">IF($I1465="","",IF(INDEX(BookQ1,1460)&gt;0,"Q1",IF(INDEX(BookQ2,1460)&gt;0,"Q2",IF(INDEX(BookQ3,1460)&gt;0,"Q3",IF(INDEX(BookQ4,1460)&gt;0,"Q4","")))))</f>
        <v/>
      </c>
      <c r="K1465" s="42" t="str">
        <f aca="false">IF(INDEX(BookTitle,1460)="","",INDEX(BookInYear,1460))</f>
        <v/>
      </c>
      <c r="L1465" s="19"/>
      <c r="M1465" s="39"/>
      <c r="N1465" s="19"/>
      <c r="O1465" s="19"/>
      <c r="P1465" s="43" t="str">
        <f aca="false">IF($E1465="","",IF($L1465="Decline",0,IF($L1465="Approve fewer",IF($M1465="","",$M1465),IF($L1465="","",$I1465))))</f>
        <v/>
      </c>
      <c r="Q1465" s="34" t="str">
        <f aca="false">IF($P1465="","",IF($N1465&lt;&gt;"",$N1465,$J1465))</f>
        <v/>
      </c>
      <c r="R1465" s="35" t="str">
        <f aca="false">IF(OR($P1465="",$Q1465=""),"",INDEX(BookRate,1460)*$P1465*(5-MATCH($Q1465,{"Q1";"Q2";"Q3";"Q4"},0))/4+INDEX(BookOneOff,1460)*$P1465)</f>
        <v/>
      </c>
      <c r="S1465" s="35" t="str">
        <f aca="false">IF($P1465="","",INDEX(BookRate,1460)*$P1465)</f>
        <v/>
      </c>
      <c r="T1465" s="35" t="str">
        <f aca="false">IF($R1465="","",$R1465-$K1465)</f>
        <v/>
      </c>
      <c r="U1465" s="35" t="str">
        <f aca="false">IF(N($P1465)&lt;=0,"",COUNTIF($P$6:$P1465,"&gt;0"))</f>
        <v/>
      </c>
    </row>
    <row r="1466" customFormat="false" ht="15" hidden="false" customHeight="false" outlineLevel="0" collapsed="false">
      <c r="A1466" s="40" t="str">
        <f aca="false">IF(INDEX(BookTitle,1461)="","",INDEX(BookGroup,1461))</f>
        <v/>
      </c>
      <c r="B1466" s="40" t="str">
        <f aca="false">IF(INDEX(BookTitle,1461)="","",INDEX(BookRef,1461))</f>
        <v/>
      </c>
      <c r="C1466" s="40" t="str">
        <f aca="false">IF(INDEX(BookTitle,1461)="","",INDEX(BookDivision,1461))</f>
        <v/>
      </c>
      <c r="D1466" s="40" t="str">
        <f aca="false">IF(INDEX(BookTitle,1461)="","",INDEX(BookUnit,1461))</f>
        <v/>
      </c>
      <c r="E1466" s="40" t="str">
        <f aca="false">IF(INDEX(BookTitle,1461)="","",INDEX(BookTitle,1461))</f>
        <v/>
      </c>
      <c r="F1466" s="40" t="str">
        <f aca="false">IF(INDEX(BookTitle,1461)="","",INDEX(BookLevel,1461))</f>
        <v/>
      </c>
      <c r="G1466" s="40" t="str">
        <f aca="false">IF(INDEX(BookTitle,1461)="","",INDEX(BookCategory,1461))</f>
        <v/>
      </c>
      <c r="H1466" s="40" t="str">
        <f aca="false">IF(INDEX(BookTitle,1461)="","",INDEX(BookRank,1461))</f>
        <v/>
      </c>
      <c r="I1466" s="41" t="str">
        <f aca="false">IF(INDEX(BookTitle,1461)="","",INDEX(BookTotal,1461))</f>
        <v/>
      </c>
      <c r="J1466" s="0" t="str">
        <f aca="false">IF($I1466="","",IF(INDEX(BookQ1,1461)&gt;0,"Q1",IF(INDEX(BookQ2,1461)&gt;0,"Q2",IF(INDEX(BookQ3,1461)&gt;0,"Q3",IF(INDEX(BookQ4,1461)&gt;0,"Q4","")))))</f>
        <v/>
      </c>
      <c r="K1466" s="42" t="str">
        <f aca="false">IF(INDEX(BookTitle,1461)="","",INDEX(BookInYear,1461))</f>
        <v/>
      </c>
      <c r="L1466" s="19"/>
      <c r="M1466" s="39"/>
      <c r="N1466" s="19"/>
      <c r="O1466" s="19"/>
      <c r="P1466" s="43" t="str">
        <f aca="false">IF($E1466="","",IF($L1466="Decline",0,IF($L1466="Approve fewer",IF($M1466="","",$M1466),IF($L1466="","",$I1466))))</f>
        <v/>
      </c>
      <c r="Q1466" s="34" t="str">
        <f aca="false">IF($P1466="","",IF($N1466&lt;&gt;"",$N1466,$J1466))</f>
        <v/>
      </c>
      <c r="R1466" s="35" t="str">
        <f aca="false">IF(OR($P1466="",$Q1466=""),"",INDEX(BookRate,1461)*$P1466*(5-MATCH($Q1466,{"Q1";"Q2";"Q3";"Q4"},0))/4+INDEX(BookOneOff,1461)*$P1466)</f>
        <v/>
      </c>
      <c r="S1466" s="35" t="str">
        <f aca="false">IF($P1466="","",INDEX(BookRate,1461)*$P1466)</f>
        <v/>
      </c>
      <c r="T1466" s="35" t="str">
        <f aca="false">IF($R1466="","",$R1466-$K1466)</f>
        <v/>
      </c>
      <c r="U1466" s="35" t="str">
        <f aca="false">IF(N($P1466)&lt;=0,"",COUNTIF($P$6:$P1466,"&gt;0"))</f>
        <v/>
      </c>
    </row>
    <row r="1467" customFormat="false" ht="15" hidden="false" customHeight="false" outlineLevel="0" collapsed="false">
      <c r="A1467" s="40" t="str">
        <f aca="false">IF(INDEX(BookTitle,1462)="","",INDEX(BookGroup,1462))</f>
        <v/>
      </c>
      <c r="B1467" s="40" t="str">
        <f aca="false">IF(INDEX(BookTitle,1462)="","",INDEX(BookRef,1462))</f>
        <v/>
      </c>
      <c r="C1467" s="40" t="str">
        <f aca="false">IF(INDEX(BookTitle,1462)="","",INDEX(BookDivision,1462))</f>
        <v/>
      </c>
      <c r="D1467" s="40" t="str">
        <f aca="false">IF(INDEX(BookTitle,1462)="","",INDEX(BookUnit,1462))</f>
        <v/>
      </c>
      <c r="E1467" s="40" t="str">
        <f aca="false">IF(INDEX(BookTitle,1462)="","",INDEX(BookTitle,1462))</f>
        <v/>
      </c>
      <c r="F1467" s="40" t="str">
        <f aca="false">IF(INDEX(BookTitle,1462)="","",INDEX(BookLevel,1462))</f>
        <v/>
      </c>
      <c r="G1467" s="40" t="str">
        <f aca="false">IF(INDEX(BookTitle,1462)="","",INDEX(BookCategory,1462))</f>
        <v/>
      </c>
      <c r="H1467" s="40" t="str">
        <f aca="false">IF(INDEX(BookTitle,1462)="","",INDEX(BookRank,1462))</f>
        <v/>
      </c>
      <c r="I1467" s="41" t="str">
        <f aca="false">IF(INDEX(BookTitle,1462)="","",INDEX(BookTotal,1462))</f>
        <v/>
      </c>
      <c r="J1467" s="0" t="str">
        <f aca="false">IF($I1467="","",IF(INDEX(BookQ1,1462)&gt;0,"Q1",IF(INDEX(BookQ2,1462)&gt;0,"Q2",IF(INDEX(BookQ3,1462)&gt;0,"Q3",IF(INDEX(BookQ4,1462)&gt;0,"Q4","")))))</f>
        <v/>
      </c>
      <c r="K1467" s="42" t="str">
        <f aca="false">IF(INDEX(BookTitle,1462)="","",INDEX(BookInYear,1462))</f>
        <v/>
      </c>
      <c r="L1467" s="19"/>
      <c r="M1467" s="39"/>
      <c r="N1467" s="19"/>
      <c r="O1467" s="19"/>
      <c r="P1467" s="43" t="str">
        <f aca="false">IF($E1467="","",IF($L1467="Decline",0,IF($L1467="Approve fewer",IF($M1467="","",$M1467),IF($L1467="","",$I1467))))</f>
        <v/>
      </c>
      <c r="Q1467" s="34" t="str">
        <f aca="false">IF($P1467="","",IF($N1467&lt;&gt;"",$N1467,$J1467))</f>
        <v/>
      </c>
      <c r="R1467" s="35" t="str">
        <f aca="false">IF(OR($P1467="",$Q1467=""),"",INDEX(BookRate,1462)*$P1467*(5-MATCH($Q1467,{"Q1";"Q2";"Q3";"Q4"},0))/4+INDEX(BookOneOff,1462)*$P1467)</f>
        <v/>
      </c>
      <c r="S1467" s="35" t="str">
        <f aca="false">IF($P1467="","",INDEX(BookRate,1462)*$P1467)</f>
        <v/>
      </c>
      <c r="T1467" s="35" t="str">
        <f aca="false">IF($R1467="","",$R1467-$K1467)</f>
        <v/>
      </c>
      <c r="U1467" s="35" t="str">
        <f aca="false">IF(N($P1467)&lt;=0,"",COUNTIF($P$6:$P1467,"&gt;0"))</f>
        <v/>
      </c>
    </row>
    <row r="1468" customFormat="false" ht="15" hidden="false" customHeight="false" outlineLevel="0" collapsed="false">
      <c r="A1468" s="40" t="str">
        <f aca="false">IF(INDEX(BookTitle,1463)="","",INDEX(BookGroup,1463))</f>
        <v/>
      </c>
      <c r="B1468" s="40" t="str">
        <f aca="false">IF(INDEX(BookTitle,1463)="","",INDEX(BookRef,1463))</f>
        <v/>
      </c>
      <c r="C1468" s="40" t="str">
        <f aca="false">IF(INDEX(BookTitle,1463)="","",INDEX(BookDivision,1463))</f>
        <v/>
      </c>
      <c r="D1468" s="40" t="str">
        <f aca="false">IF(INDEX(BookTitle,1463)="","",INDEX(BookUnit,1463))</f>
        <v/>
      </c>
      <c r="E1468" s="40" t="str">
        <f aca="false">IF(INDEX(BookTitle,1463)="","",INDEX(BookTitle,1463))</f>
        <v/>
      </c>
      <c r="F1468" s="40" t="str">
        <f aca="false">IF(INDEX(BookTitle,1463)="","",INDEX(BookLevel,1463))</f>
        <v/>
      </c>
      <c r="G1468" s="40" t="str">
        <f aca="false">IF(INDEX(BookTitle,1463)="","",INDEX(BookCategory,1463))</f>
        <v/>
      </c>
      <c r="H1468" s="40" t="str">
        <f aca="false">IF(INDEX(BookTitle,1463)="","",INDEX(BookRank,1463))</f>
        <v/>
      </c>
      <c r="I1468" s="41" t="str">
        <f aca="false">IF(INDEX(BookTitle,1463)="","",INDEX(BookTotal,1463))</f>
        <v/>
      </c>
      <c r="J1468" s="0" t="str">
        <f aca="false">IF($I1468="","",IF(INDEX(BookQ1,1463)&gt;0,"Q1",IF(INDEX(BookQ2,1463)&gt;0,"Q2",IF(INDEX(BookQ3,1463)&gt;0,"Q3",IF(INDEX(BookQ4,1463)&gt;0,"Q4","")))))</f>
        <v/>
      </c>
      <c r="K1468" s="42" t="str">
        <f aca="false">IF(INDEX(BookTitle,1463)="","",INDEX(BookInYear,1463))</f>
        <v/>
      </c>
      <c r="L1468" s="19"/>
      <c r="M1468" s="39"/>
      <c r="N1468" s="19"/>
      <c r="O1468" s="19"/>
      <c r="P1468" s="43" t="str">
        <f aca="false">IF($E1468="","",IF($L1468="Decline",0,IF($L1468="Approve fewer",IF($M1468="","",$M1468),IF($L1468="","",$I1468))))</f>
        <v/>
      </c>
      <c r="Q1468" s="34" t="str">
        <f aca="false">IF($P1468="","",IF($N1468&lt;&gt;"",$N1468,$J1468))</f>
        <v/>
      </c>
      <c r="R1468" s="35" t="str">
        <f aca="false">IF(OR($P1468="",$Q1468=""),"",INDEX(BookRate,1463)*$P1468*(5-MATCH($Q1468,{"Q1";"Q2";"Q3";"Q4"},0))/4+INDEX(BookOneOff,1463)*$P1468)</f>
        <v/>
      </c>
      <c r="S1468" s="35" t="str">
        <f aca="false">IF($P1468="","",INDEX(BookRate,1463)*$P1468)</f>
        <v/>
      </c>
      <c r="T1468" s="35" t="str">
        <f aca="false">IF($R1468="","",$R1468-$K1468)</f>
        <v/>
      </c>
      <c r="U1468" s="35" t="str">
        <f aca="false">IF(N($P1468)&lt;=0,"",COUNTIF($P$6:$P1468,"&gt;0"))</f>
        <v/>
      </c>
    </row>
    <row r="1469" customFormat="false" ht="15" hidden="false" customHeight="false" outlineLevel="0" collapsed="false">
      <c r="A1469" s="40" t="str">
        <f aca="false">IF(INDEX(BookTitle,1464)="","",INDEX(BookGroup,1464))</f>
        <v/>
      </c>
      <c r="B1469" s="40" t="str">
        <f aca="false">IF(INDEX(BookTitle,1464)="","",INDEX(BookRef,1464))</f>
        <v/>
      </c>
      <c r="C1469" s="40" t="str">
        <f aca="false">IF(INDEX(BookTitle,1464)="","",INDEX(BookDivision,1464))</f>
        <v/>
      </c>
      <c r="D1469" s="40" t="str">
        <f aca="false">IF(INDEX(BookTitle,1464)="","",INDEX(BookUnit,1464))</f>
        <v/>
      </c>
      <c r="E1469" s="40" t="str">
        <f aca="false">IF(INDEX(BookTitle,1464)="","",INDEX(BookTitle,1464))</f>
        <v/>
      </c>
      <c r="F1469" s="40" t="str">
        <f aca="false">IF(INDEX(BookTitle,1464)="","",INDEX(BookLevel,1464))</f>
        <v/>
      </c>
      <c r="G1469" s="40" t="str">
        <f aca="false">IF(INDEX(BookTitle,1464)="","",INDEX(BookCategory,1464))</f>
        <v/>
      </c>
      <c r="H1469" s="40" t="str">
        <f aca="false">IF(INDEX(BookTitle,1464)="","",INDEX(BookRank,1464))</f>
        <v/>
      </c>
      <c r="I1469" s="41" t="str">
        <f aca="false">IF(INDEX(BookTitle,1464)="","",INDEX(BookTotal,1464))</f>
        <v/>
      </c>
      <c r="J1469" s="0" t="str">
        <f aca="false">IF($I1469="","",IF(INDEX(BookQ1,1464)&gt;0,"Q1",IF(INDEX(BookQ2,1464)&gt;0,"Q2",IF(INDEX(BookQ3,1464)&gt;0,"Q3",IF(INDEX(BookQ4,1464)&gt;0,"Q4","")))))</f>
        <v/>
      </c>
      <c r="K1469" s="42" t="str">
        <f aca="false">IF(INDEX(BookTitle,1464)="","",INDEX(BookInYear,1464))</f>
        <v/>
      </c>
      <c r="L1469" s="19"/>
      <c r="M1469" s="39"/>
      <c r="N1469" s="19"/>
      <c r="O1469" s="19"/>
      <c r="P1469" s="43" t="str">
        <f aca="false">IF($E1469="","",IF($L1469="Decline",0,IF($L1469="Approve fewer",IF($M1469="","",$M1469),IF($L1469="","",$I1469))))</f>
        <v/>
      </c>
      <c r="Q1469" s="34" t="str">
        <f aca="false">IF($P1469="","",IF($N1469&lt;&gt;"",$N1469,$J1469))</f>
        <v/>
      </c>
      <c r="R1469" s="35" t="str">
        <f aca="false">IF(OR($P1469="",$Q1469=""),"",INDEX(BookRate,1464)*$P1469*(5-MATCH($Q1469,{"Q1";"Q2";"Q3";"Q4"},0))/4+INDEX(BookOneOff,1464)*$P1469)</f>
        <v/>
      </c>
      <c r="S1469" s="35" t="str">
        <f aca="false">IF($P1469="","",INDEX(BookRate,1464)*$P1469)</f>
        <v/>
      </c>
      <c r="T1469" s="35" t="str">
        <f aca="false">IF($R1469="","",$R1469-$K1469)</f>
        <v/>
      </c>
      <c r="U1469" s="35" t="str">
        <f aca="false">IF(N($P1469)&lt;=0,"",COUNTIF($P$6:$P1469,"&gt;0"))</f>
        <v/>
      </c>
    </row>
    <row r="1470" customFormat="false" ht="15" hidden="false" customHeight="false" outlineLevel="0" collapsed="false">
      <c r="A1470" s="40" t="str">
        <f aca="false">IF(INDEX(BookTitle,1465)="","",INDEX(BookGroup,1465))</f>
        <v/>
      </c>
      <c r="B1470" s="40" t="str">
        <f aca="false">IF(INDEX(BookTitle,1465)="","",INDEX(BookRef,1465))</f>
        <v/>
      </c>
      <c r="C1470" s="40" t="str">
        <f aca="false">IF(INDEX(BookTitle,1465)="","",INDEX(BookDivision,1465))</f>
        <v/>
      </c>
      <c r="D1470" s="40" t="str">
        <f aca="false">IF(INDEX(BookTitle,1465)="","",INDEX(BookUnit,1465))</f>
        <v/>
      </c>
      <c r="E1470" s="40" t="str">
        <f aca="false">IF(INDEX(BookTitle,1465)="","",INDEX(BookTitle,1465))</f>
        <v/>
      </c>
      <c r="F1470" s="40" t="str">
        <f aca="false">IF(INDEX(BookTitle,1465)="","",INDEX(BookLevel,1465))</f>
        <v/>
      </c>
      <c r="G1470" s="40" t="str">
        <f aca="false">IF(INDEX(BookTitle,1465)="","",INDEX(BookCategory,1465))</f>
        <v/>
      </c>
      <c r="H1470" s="40" t="str">
        <f aca="false">IF(INDEX(BookTitle,1465)="","",INDEX(BookRank,1465))</f>
        <v/>
      </c>
      <c r="I1470" s="41" t="str">
        <f aca="false">IF(INDEX(BookTitle,1465)="","",INDEX(BookTotal,1465))</f>
        <v/>
      </c>
      <c r="J1470" s="0" t="str">
        <f aca="false">IF($I1470="","",IF(INDEX(BookQ1,1465)&gt;0,"Q1",IF(INDEX(BookQ2,1465)&gt;0,"Q2",IF(INDEX(BookQ3,1465)&gt;0,"Q3",IF(INDEX(BookQ4,1465)&gt;0,"Q4","")))))</f>
        <v/>
      </c>
      <c r="K1470" s="42" t="str">
        <f aca="false">IF(INDEX(BookTitle,1465)="","",INDEX(BookInYear,1465))</f>
        <v/>
      </c>
      <c r="L1470" s="19"/>
      <c r="M1470" s="39"/>
      <c r="N1470" s="19"/>
      <c r="O1470" s="19"/>
      <c r="P1470" s="43" t="str">
        <f aca="false">IF($E1470="","",IF($L1470="Decline",0,IF($L1470="Approve fewer",IF($M1470="","",$M1470),IF($L1470="","",$I1470))))</f>
        <v/>
      </c>
      <c r="Q1470" s="34" t="str">
        <f aca="false">IF($P1470="","",IF($N1470&lt;&gt;"",$N1470,$J1470))</f>
        <v/>
      </c>
      <c r="R1470" s="35" t="str">
        <f aca="false">IF(OR($P1470="",$Q1470=""),"",INDEX(BookRate,1465)*$P1470*(5-MATCH($Q1470,{"Q1";"Q2";"Q3";"Q4"},0))/4+INDEX(BookOneOff,1465)*$P1470)</f>
        <v/>
      </c>
      <c r="S1470" s="35" t="str">
        <f aca="false">IF($P1470="","",INDEX(BookRate,1465)*$P1470)</f>
        <v/>
      </c>
      <c r="T1470" s="35" t="str">
        <f aca="false">IF($R1470="","",$R1470-$K1470)</f>
        <v/>
      </c>
      <c r="U1470" s="35" t="str">
        <f aca="false">IF(N($P1470)&lt;=0,"",COUNTIF($P$6:$P1470,"&gt;0"))</f>
        <v/>
      </c>
    </row>
    <row r="1471" customFormat="false" ht="15" hidden="false" customHeight="false" outlineLevel="0" collapsed="false">
      <c r="A1471" s="40" t="str">
        <f aca="false">IF(INDEX(BookTitle,1466)="","",INDEX(BookGroup,1466))</f>
        <v/>
      </c>
      <c r="B1471" s="40" t="str">
        <f aca="false">IF(INDEX(BookTitle,1466)="","",INDEX(BookRef,1466))</f>
        <v/>
      </c>
      <c r="C1471" s="40" t="str">
        <f aca="false">IF(INDEX(BookTitle,1466)="","",INDEX(BookDivision,1466))</f>
        <v/>
      </c>
      <c r="D1471" s="40" t="str">
        <f aca="false">IF(INDEX(BookTitle,1466)="","",INDEX(BookUnit,1466))</f>
        <v/>
      </c>
      <c r="E1471" s="40" t="str">
        <f aca="false">IF(INDEX(BookTitle,1466)="","",INDEX(BookTitle,1466))</f>
        <v/>
      </c>
      <c r="F1471" s="40" t="str">
        <f aca="false">IF(INDEX(BookTitle,1466)="","",INDEX(BookLevel,1466))</f>
        <v/>
      </c>
      <c r="G1471" s="40" t="str">
        <f aca="false">IF(INDEX(BookTitle,1466)="","",INDEX(BookCategory,1466))</f>
        <v/>
      </c>
      <c r="H1471" s="40" t="str">
        <f aca="false">IF(INDEX(BookTitle,1466)="","",INDEX(BookRank,1466))</f>
        <v/>
      </c>
      <c r="I1471" s="41" t="str">
        <f aca="false">IF(INDEX(BookTitle,1466)="","",INDEX(BookTotal,1466))</f>
        <v/>
      </c>
      <c r="J1471" s="0" t="str">
        <f aca="false">IF($I1471="","",IF(INDEX(BookQ1,1466)&gt;0,"Q1",IF(INDEX(BookQ2,1466)&gt;0,"Q2",IF(INDEX(BookQ3,1466)&gt;0,"Q3",IF(INDEX(BookQ4,1466)&gt;0,"Q4","")))))</f>
        <v/>
      </c>
      <c r="K1471" s="42" t="str">
        <f aca="false">IF(INDEX(BookTitle,1466)="","",INDEX(BookInYear,1466))</f>
        <v/>
      </c>
      <c r="L1471" s="19"/>
      <c r="M1471" s="39"/>
      <c r="N1471" s="19"/>
      <c r="O1471" s="19"/>
      <c r="P1471" s="43" t="str">
        <f aca="false">IF($E1471="","",IF($L1471="Decline",0,IF($L1471="Approve fewer",IF($M1471="","",$M1471),IF($L1471="","",$I1471))))</f>
        <v/>
      </c>
      <c r="Q1471" s="34" t="str">
        <f aca="false">IF($P1471="","",IF($N1471&lt;&gt;"",$N1471,$J1471))</f>
        <v/>
      </c>
      <c r="R1471" s="35" t="str">
        <f aca="false">IF(OR($P1471="",$Q1471=""),"",INDEX(BookRate,1466)*$P1471*(5-MATCH($Q1471,{"Q1";"Q2";"Q3";"Q4"},0))/4+INDEX(BookOneOff,1466)*$P1471)</f>
        <v/>
      </c>
      <c r="S1471" s="35" t="str">
        <f aca="false">IF($P1471="","",INDEX(BookRate,1466)*$P1471)</f>
        <v/>
      </c>
      <c r="T1471" s="35" t="str">
        <f aca="false">IF($R1471="","",$R1471-$K1471)</f>
        <v/>
      </c>
      <c r="U1471" s="35" t="str">
        <f aca="false">IF(N($P1471)&lt;=0,"",COUNTIF($P$6:$P1471,"&gt;0"))</f>
        <v/>
      </c>
    </row>
    <row r="1472" customFormat="false" ht="15" hidden="false" customHeight="false" outlineLevel="0" collapsed="false">
      <c r="A1472" s="40" t="str">
        <f aca="false">IF(INDEX(BookTitle,1467)="","",INDEX(BookGroup,1467))</f>
        <v/>
      </c>
      <c r="B1472" s="40" t="str">
        <f aca="false">IF(INDEX(BookTitle,1467)="","",INDEX(BookRef,1467))</f>
        <v/>
      </c>
      <c r="C1472" s="40" t="str">
        <f aca="false">IF(INDEX(BookTitle,1467)="","",INDEX(BookDivision,1467))</f>
        <v/>
      </c>
      <c r="D1472" s="40" t="str">
        <f aca="false">IF(INDEX(BookTitle,1467)="","",INDEX(BookUnit,1467))</f>
        <v/>
      </c>
      <c r="E1472" s="40" t="str">
        <f aca="false">IF(INDEX(BookTitle,1467)="","",INDEX(BookTitle,1467))</f>
        <v/>
      </c>
      <c r="F1472" s="40" t="str">
        <f aca="false">IF(INDEX(BookTitle,1467)="","",INDEX(BookLevel,1467))</f>
        <v/>
      </c>
      <c r="G1472" s="40" t="str">
        <f aca="false">IF(INDEX(BookTitle,1467)="","",INDEX(BookCategory,1467))</f>
        <v/>
      </c>
      <c r="H1472" s="40" t="str">
        <f aca="false">IF(INDEX(BookTitle,1467)="","",INDEX(BookRank,1467))</f>
        <v/>
      </c>
      <c r="I1472" s="41" t="str">
        <f aca="false">IF(INDEX(BookTitle,1467)="","",INDEX(BookTotal,1467))</f>
        <v/>
      </c>
      <c r="J1472" s="0" t="str">
        <f aca="false">IF($I1472="","",IF(INDEX(BookQ1,1467)&gt;0,"Q1",IF(INDEX(BookQ2,1467)&gt;0,"Q2",IF(INDEX(BookQ3,1467)&gt;0,"Q3",IF(INDEX(BookQ4,1467)&gt;0,"Q4","")))))</f>
        <v/>
      </c>
      <c r="K1472" s="42" t="str">
        <f aca="false">IF(INDEX(BookTitle,1467)="","",INDEX(BookInYear,1467))</f>
        <v/>
      </c>
      <c r="L1472" s="19"/>
      <c r="M1472" s="39"/>
      <c r="N1472" s="19"/>
      <c r="O1472" s="19"/>
      <c r="P1472" s="43" t="str">
        <f aca="false">IF($E1472="","",IF($L1472="Decline",0,IF($L1472="Approve fewer",IF($M1472="","",$M1472),IF($L1472="","",$I1472))))</f>
        <v/>
      </c>
      <c r="Q1472" s="34" t="str">
        <f aca="false">IF($P1472="","",IF($N1472&lt;&gt;"",$N1472,$J1472))</f>
        <v/>
      </c>
      <c r="R1472" s="35" t="str">
        <f aca="false">IF(OR($P1472="",$Q1472=""),"",INDEX(BookRate,1467)*$P1472*(5-MATCH($Q1472,{"Q1";"Q2";"Q3";"Q4"},0))/4+INDEX(BookOneOff,1467)*$P1472)</f>
        <v/>
      </c>
      <c r="S1472" s="35" t="str">
        <f aca="false">IF($P1472="","",INDEX(BookRate,1467)*$P1472)</f>
        <v/>
      </c>
      <c r="T1472" s="35" t="str">
        <f aca="false">IF($R1472="","",$R1472-$K1472)</f>
        <v/>
      </c>
      <c r="U1472" s="35" t="str">
        <f aca="false">IF(N($P1472)&lt;=0,"",COUNTIF($P$6:$P1472,"&gt;0"))</f>
        <v/>
      </c>
    </row>
    <row r="1473" customFormat="false" ht="15" hidden="false" customHeight="false" outlineLevel="0" collapsed="false">
      <c r="A1473" s="40" t="str">
        <f aca="false">IF(INDEX(BookTitle,1468)="","",INDEX(BookGroup,1468))</f>
        <v/>
      </c>
      <c r="B1473" s="40" t="str">
        <f aca="false">IF(INDEX(BookTitle,1468)="","",INDEX(BookRef,1468))</f>
        <v/>
      </c>
      <c r="C1473" s="40" t="str">
        <f aca="false">IF(INDEX(BookTitle,1468)="","",INDEX(BookDivision,1468))</f>
        <v/>
      </c>
      <c r="D1473" s="40" t="str">
        <f aca="false">IF(INDEX(BookTitle,1468)="","",INDEX(BookUnit,1468))</f>
        <v/>
      </c>
      <c r="E1473" s="40" t="str">
        <f aca="false">IF(INDEX(BookTitle,1468)="","",INDEX(BookTitle,1468))</f>
        <v/>
      </c>
      <c r="F1473" s="40" t="str">
        <f aca="false">IF(INDEX(BookTitle,1468)="","",INDEX(BookLevel,1468))</f>
        <v/>
      </c>
      <c r="G1473" s="40" t="str">
        <f aca="false">IF(INDEX(BookTitle,1468)="","",INDEX(BookCategory,1468))</f>
        <v/>
      </c>
      <c r="H1473" s="40" t="str">
        <f aca="false">IF(INDEX(BookTitle,1468)="","",INDEX(BookRank,1468))</f>
        <v/>
      </c>
      <c r="I1473" s="41" t="str">
        <f aca="false">IF(INDEX(BookTitle,1468)="","",INDEX(BookTotal,1468))</f>
        <v/>
      </c>
      <c r="J1473" s="0" t="str">
        <f aca="false">IF($I1473="","",IF(INDEX(BookQ1,1468)&gt;0,"Q1",IF(INDEX(BookQ2,1468)&gt;0,"Q2",IF(INDEX(BookQ3,1468)&gt;0,"Q3",IF(INDEX(BookQ4,1468)&gt;0,"Q4","")))))</f>
        <v/>
      </c>
      <c r="K1473" s="42" t="str">
        <f aca="false">IF(INDEX(BookTitle,1468)="","",INDEX(BookInYear,1468))</f>
        <v/>
      </c>
      <c r="L1473" s="19"/>
      <c r="M1473" s="39"/>
      <c r="N1473" s="19"/>
      <c r="O1473" s="19"/>
      <c r="P1473" s="43" t="str">
        <f aca="false">IF($E1473="","",IF($L1473="Decline",0,IF($L1473="Approve fewer",IF($M1473="","",$M1473),IF($L1473="","",$I1473))))</f>
        <v/>
      </c>
      <c r="Q1473" s="34" t="str">
        <f aca="false">IF($P1473="","",IF($N1473&lt;&gt;"",$N1473,$J1473))</f>
        <v/>
      </c>
      <c r="R1473" s="35" t="str">
        <f aca="false">IF(OR($P1473="",$Q1473=""),"",INDEX(BookRate,1468)*$P1473*(5-MATCH($Q1473,{"Q1";"Q2";"Q3";"Q4"},0))/4+INDEX(BookOneOff,1468)*$P1473)</f>
        <v/>
      </c>
      <c r="S1473" s="35" t="str">
        <f aca="false">IF($P1473="","",INDEX(BookRate,1468)*$P1473)</f>
        <v/>
      </c>
      <c r="T1473" s="35" t="str">
        <f aca="false">IF($R1473="","",$R1473-$K1473)</f>
        <v/>
      </c>
      <c r="U1473" s="35" t="str">
        <f aca="false">IF(N($P1473)&lt;=0,"",COUNTIF($P$6:$P1473,"&gt;0"))</f>
        <v/>
      </c>
    </row>
    <row r="1474" customFormat="false" ht="15" hidden="false" customHeight="false" outlineLevel="0" collapsed="false">
      <c r="A1474" s="40" t="str">
        <f aca="false">IF(INDEX(BookTitle,1469)="","",INDEX(BookGroup,1469))</f>
        <v/>
      </c>
      <c r="B1474" s="40" t="str">
        <f aca="false">IF(INDEX(BookTitle,1469)="","",INDEX(BookRef,1469))</f>
        <v/>
      </c>
      <c r="C1474" s="40" t="str">
        <f aca="false">IF(INDEX(BookTitle,1469)="","",INDEX(BookDivision,1469))</f>
        <v/>
      </c>
      <c r="D1474" s="40" t="str">
        <f aca="false">IF(INDEX(BookTitle,1469)="","",INDEX(BookUnit,1469))</f>
        <v/>
      </c>
      <c r="E1474" s="40" t="str">
        <f aca="false">IF(INDEX(BookTitle,1469)="","",INDEX(BookTitle,1469))</f>
        <v/>
      </c>
      <c r="F1474" s="40" t="str">
        <f aca="false">IF(INDEX(BookTitle,1469)="","",INDEX(BookLevel,1469))</f>
        <v/>
      </c>
      <c r="G1474" s="40" t="str">
        <f aca="false">IF(INDEX(BookTitle,1469)="","",INDEX(BookCategory,1469))</f>
        <v/>
      </c>
      <c r="H1474" s="40" t="str">
        <f aca="false">IF(INDEX(BookTitle,1469)="","",INDEX(BookRank,1469))</f>
        <v/>
      </c>
      <c r="I1474" s="41" t="str">
        <f aca="false">IF(INDEX(BookTitle,1469)="","",INDEX(BookTotal,1469))</f>
        <v/>
      </c>
      <c r="J1474" s="0" t="str">
        <f aca="false">IF($I1474="","",IF(INDEX(BookQ1,1469)&gt;0,"Q1",IF(INDEX(BookQ2,1469)&gt;0,"Q2",IF(INDEX(BookQ3,1469)&gt;0,"Q3",IF(INDEX(BookQ4,1469)&gt;0,"Q4","")))))</f>
        <v/>
      </c>
      <c r="K1474" s="42" t="str">
        <f aca="false">IF(INDEX(BookTitle,1469)="","",INDEX(BookInYear,1469))</f>
        <v/>
      </c>
      <c r="L1474" s="19"/>
      <c r="M1474" s="39"/>
      <c r="N1474" s="19"/>
      <c r="O1474" s="19"/>
      <c r="P1474" s="43" t="str">
        <f aca="false">IF($E1474="","",IF($L1474="Decline",0,IF($L1474="Approve fewer",IF($M1474="","",$M1474),IF($L1474="","",$I1474))))</f>
        <v/>
      </c>
      <c r="Q1474" s="34" t="str">
        <f aca="false">IF($P1474="","",IF($N1474&lt;&gt;"",$N1474,$J1474))</f>
        <v/>
      </c>
      <c r="R1474" s="35" t="str">
        <f aca="false">IF(OR($P1474="",$Q1474=""),"",INDEX(BookRate,1469)*$P1474*(5-MATCH($Q1474,{"Q1";"Q2";"Q3";"Q4"},0))/4+INDEX(BookOneOff,1469)*$P1474)</f>
        <v/>
      </c>
      <c r="S1474" s="35" t="str">
        <f aca="false">IF($P1474="","",INDEX(BookRate,1469)*$P1474)</f>
        <v/>
      </c>
      <c r="T1474" s="35" t="str">
        <f aca="false">IF($R1474="","",$R1474-$K1474)</f>
        <v/>
      </c>
      <c r="U1474" s="35" t="str">
        <f aca="false">IF(N($P1474)&lt;=0,"",COUNTIF($P$6:$P1474,"&gt;0"))</f>
        <v/>
      </c>
    </row>
    <row r="1475" customFormat="false" ht="15" hidden="false" customHeight="false" outlineLevel="0" collapsed="false">
      <c r="A1475" s="40" t="str">
        <f aca="false">IF(INDEX(BookTitle,1470)="","",INDEX(BookGroup,1470))</f>
        <v/>
      </c>
      <c r="B1475" s="40" t="str">
        <f aca="false">IF(INDEX(BookTitle,1470)="","",INDEX(BookRef,1470))</f>
        <v/>
      </c>
      <c r="C1475" s="40" t="str">
        <f aca="false">IF(INDEX(BookTitle,1470)="","",INDEX(BookDivision,1470))</f>
        <v/>
      </c>
      <c r="D1475" s="40" t="str">
        <f aca="false">IF(INDEX(BookTitle,1470)="","",INDEX(BookUnit,1470))</f>
        <v/>
      </c>
      <c r="E1475" s="40" t="str">
        <f aca="false">IF(INDEX(BookTitle,1470)="","",INDEX(BookTitle,1470))</f>
        <v/>
      </c>
      <c r="F1475" s="40" t="str">
        <f aca="false">IF(INDEX(BookTitle,1470)="","",INDEX(BookLevel,1470))</f>
        <v/>
      </c>
      <c r="G1475" s="40" t="str">
        <f aca="false">IF(INDEX(BookTitle,1470)="","",INDEX(BookCategory,1470))</f>
        <v/>
      </c>
      <c r="H1475" s="40" t="str">
        <f aca="false">IF(INDEX(BookTitle,1470)="","",INDEX(BookRank,1470))</f>
        <v/>
      </c>
      <c r="I1475" s="41" t="str">
        <f aca="false">IF(INDEX(BookTitle,1470)="","",INDEX(BookTotal,1470))</f>
        <v/>
      </c>
      <c r="J1475" s="0" t="str">
        <f aca="false">IF($I1475="","",IF(INDEX(BookQ1,1470)&gt;0,"Q1",IF(INDEX(BookQ2,1470)&gt;0,"Q2",IF(INDEX(BookQ3,1470)&gt;0,"Q3",IF(INDEX(BookQ4,1470)&gt;0,"Q4","")))))</f>
        <v/>
      </c>
      <c r="K1475" s="42" t="str">
        <f aca="false">IF(INDEX(BookTitle,1470)="","",INDEX(BookInYear,1470))</f>
        <v/>
      </c>
      <c r="L1475" s="19"/>
      <c r="M1475" s="39"/>
      <c r="N1475" s="19"/>
      <c r="O1475" s="19"/>
      <c r="P1475" s="43" t="str">
        <f aca="false">IF($E1475="","",IF($L1475="Decline",0,IF($L1475="Approve fewer",IF($M1475="","",$M1475),IF($L1475="","",$I1475))))</f>
        <v/>
      </c>
      <c r="Q1475" s="34" t="str">
        <f aca="false">IF($P1475="","",IF($N1475&lt;&gt;"",$N1475,$J1475))</f>
        <v/>
      </c>
      <c r="R1475" s="35" t="str">
        <f aca="false">IF(OR($P1475="",$Q1475=""),"",INDEX(BookRate,1470)*$P1475*(5-MATCH($Q1475,{"Q1";"Q2";"Q3";"Q4"},0))/4+INDEX(BookOneOff,1470)*$P1475)</f>
        <v/>
      </c>
      <c r="S1475" s="35" t="str">
        <f aca="false">IF($P1475="","",INDEX(BookRate,1470)*$P1475)</f>
        <v/>
      </c>
      <c r="T1475" s="35" t="str">
        <f aca="false">IF($R1475="","",$R1475-$K1475)</f>
        <v/>
      </c>
      <c r="U1475" s="35" t="str">
        <f aca="false">IF(N($P1475)&lt;=0,"",COUNTIF($P$6:$P1475,"&gt;0"))</f>
        <v/>
      </c>
    </row>
    <row r="1476" customFormat="false" ht="15" hidden="false" customHeight="false" outlineLevel="0" collapsed="false">
      <c r="A1476" s="40" t="str">
        <f aca="false">IF(INDEX(BookTitle,1471)="","",INDEX(BookGroup,1471))</f>
        <v/>
      </c>
      <c r="B1476" s="40" t="str">
        <f aca="false">IF(INDEX(BookTitle,1471)="","",INDEX(BookRef,1471))</f>
        <v/>
      </c>
      <c r="C1476" s="40" t="str">
        <f aca="false">IF(INDEX(BookTitle,1471)="","",INDEX(BookDivision,1471))</f>
        <v/>
      </c>
      <c r="D1476" s="40" t="str">
        <f aca="false">IF(INDEX(BookTitle,1471)="","",INDEX(BookUnit,1471))</f>
        <v/>
      </c>
      <c r="E1476" s="40" t="str">
        <f aca="false">IF(INDEX(BookTitle,1471)="","",INDEX(BookTitle,1471))</f>
        <v/>
      </c>
      <c r="F1476" s="40" t="str">
        <f aca="false">IF(INDEX(BookTitle,1471)="","",INDEX(BookLevel,1471))</f>
        <v/>
      </c>
      <c r="G1476" s="40" t="str">
        <f aca="false">IF(INDEX(BookTitle,1471)="","",INDEX(BookCategory,1471))</f>
        <v/>
      </c>
      <c r="H1476" s="40" t="str">
        <f aca="false">IF(INDEX(BookTitle,1471)="","",INDEX(BookRank,1471))</f>
        <v/>
      </c>
      <c r="I1476" s="41" t="str">
        <f aca="false">IF(INDEX(BookTitle,1471)="","",INDEX(BookTotal,1471))</f>
        <v/>
      </c>
      <c r="J1476" s="0" t="str">
        <f aca="false">IF($I1476="","",IF(INDEX(BookQ1,1471)&gt;0,"Q1",IF(INDEX(BookQ2,1471)&gt;0,"Q2",IF(INDEX(BookQ3,1471)&gt;0,"Q3",IF(INDEX(BookQ4,1471)&gt;0,"Q4","")))))</f>
        <v/>
      </c>
      <c r="K1476" s="42" t="str">
        <f aca="false">IF(INDEX(BookTitle,1471)="","",INDEX(BookInYear,1471))</f>
        <v/>
      </c>
      <c r="L1476" s="19"/>
      <c r="M1476" s="39"/>
      <c r="N1476" s="19"/>
      <c r="O1476" s="19"/>
      <c r="P1476" s="43" t="str">
        <f aca="false">IF($E1476="","",IF($L1476="Decline",0,IF($L1476="Approve fewer",IF($M1476="","",$M1476),IF($L1476="","",$I1476))))</f>
        <v/>
      </c>
      <c r="Q1476" s="34" t="str">
        <f aca="false">IF($P1476="","",IF($N1476&lt;&gt;"",$N1476,$J1476))</f>
        <v/>
      </c>
      <c r="R1476" s="35" t="str">
        <f aca="false">IF(OR($P1476="",$Q1476=""),"",INDEX(BookRate,1471)*$P1476*(5-MATCH($Q1476,{"Q1";"Q2";"Q3";"Q4"},0))/4+INDEX(BookOneOff,1471)*$P1476)</f>
        <v/>
      </c>
      <c r="S1476" s="35" t="str">
        <f aca="false">IF($P1476="","",INDEX(BookRate,1471)*$P1476)</f>
        <v/>
      </c>
      <c r="T1476" s="35" t="str">
        <f aca="false">IF($R1476="","",$R1476-$K1476)</f>
        <v/>
      </c>
      <c r="U1476" s="35" t="str">
        <f aca="false">IF(N($P1476)&lt;=0,"",COUNTIF($P$6:$P1476,"&gt;0"))</f>
        <v/>
      </c>
    </row>
    <row r="1477" customFormat="false" ht="15" hidden="false" customHeight="false" outlineLevel="0" collapsed="false">
      <c r="A1477" s="40" t="str">
        <f aca="false">IF(INDEX(BookTitle,1472)="","",INDEX(BookGroup,1472))</f>
        <v/>
      </c>
      <c r="B1477" s="40" t="str">
        <f aca="false">IF(INDEX(BookTitle,1472)="","",INDEX(BookRef,1472))</f>
        <v/>
      </c>
      <c r="C1477" s="40" t="str">
        <f aca="false">IF(INDEX(BookTitle,1472)="","",INDEX(BookDivision,1472))</f>
        <v/>
      </c>
      <c r="D1477" s="40" t="str">
        <f aca="false">IF(INDEX(BookTitle,1472)="","",INDEX(BookUnit,1472))</f>
        <v/>
      </c>
      <c r="E1477" s="40" t="str">
        <f aca="false">IF(INDEX(BookTitle,1472)="","",INDEX(BookTitle,1472))</f>
        <v/>
      </c>
      <c r="F1477" s="40" t="str">
        <f aca="false">IF(INDEX(BookTitle,1472)="","",INDEX(BookLevel,1472))</f>
        <v/>
      </c>
      <c r="G1477" s="40" t="str">
        <f aca="false">IF(INDEX(BookTitle,1472)="","",INDEX(BookCategory,1472))</f>
        <v/>
      </c>
      <c r="H1477" s="40" t="str">
        <f aca="false">IF(INDEX(BookTitle,1472)="","",INDEX(BookRank,1472))</f>
        <v/>
      </c>
      <c r="I1477" s="41" t="str">
        <f aca="false">IF(INDEX(BookTitle,1472)="","",INDEX(BookTotal,1472))</f>
        <v/>
      </c>
      <c r="J1477" s="0" t="str">
        <f aca="false">IF($I1477="","",IF(INDEX(BookQ1,1472)&gt;0,"Q1",IF(INDEX(BookQ2,1472)&gt;0,"Q2",IF(INDEX(BookQ3,1472)&gt;0,"Q3",IF(INDEX(BookQ4,1472)&gt;0,"Q4","")))))</f>
        <v/>
      </c>
      <c r="K1477" s="42" t="str">
        <f aca="false">IF(INDEX(BookTitle,1472)="","",INDEX(BookInYear,1472))</f>
        <v/>
      </c>
      <c r="L1477" s="19"/>
      <c r="M1477" s="39"/>
      <c r="N1477" s="19"/>
      <c r="O1477" s="19"/>
      <c r="P1477" s="43" t="str">
        <f aca="false">IF($E1477="","",IF($L1477="Decline",0,IF($L1477="Approve fewer",IF($M1477="","",$M1477),IF($L1477="","",$I1477))))</f>
        <v/>
      </c>
      <c r="Q1477" s="34" t="str">
        <f aca="false">IF($P1477="","",IF($N1477&lt;&gt;"",$N1477,$J1477))</f>
        <v/>
      </c>
      <c r="R1477" s="35" t="str">
        <f aca="false">IF(OR($P1477="",$Q1477=""),"",INDEX(BookRate,1472)*$P1477*(5-MATCH($Q1477,{"Q1";"Q2";"Q3";"Q4"},0))/4+INDEX(BookOneOff,1472)*$P1477)</f>
        <v/>
      </c>
      <c r="S1477" s="35" t="str">
        <f aca="false">IF($P1477="","",INDEX(BookRate,1472)*$P1477)</f>
        <v/>
      </c>
      <c r="T1477" s="35" t="str">
        <f aca="false">IF($R1477="","",$R1477-$K1477)</f>
        <v/>
      </c>
      <c r="U1477" s="35" t="str">
        <f aca="false">IF(N($P1477)&lt;=0,"",COUNTIF($P$6:$P1477,"&gt;0"))</f>
        <v/>
      </c>
    </row>
    <row r="1478" customFormat="false" ht="15" hidden="false" customHeight="false" outlineLevel="0" collapsed="false">
      <c r="A1478" s="40" t="str">
        <f aca="false">IF(INDEX(BookTitle,1473)="","",INDEX(BookGroup,1473))</f>
        <v/>
      </c>
      <c r="B1478" s="40" t="str">
        <f aca="false">IF(INDEX(BookTitle,1473)="","",INDEX(BookRef,1473))</f>
        <v/>
      </c>
      <c r="C1478" s="40" t="str">
        <f aca="false">IF(INDEX(BookTitle,1473)="","",INDEX(BookDivision,1473))</f>
        <v/>
      </c>
      <c r="D1478" s="40" t="str">
        <f aca="false">IF(INDEX(BookTitle,1473)="","",INDEX(BookUnit,1473))</f>
        <v/>
      </c>
      <c r="E1478" s="40" t="str">
        <f aca="false">IF(INDEX(BookTitle,1473)="","",INDEX(BookTitle,1473))</f>
        <v/>
      </c>
      <c r="F1478" s="40" t="str">
        <f aca="false">IF(INDEX(BookTitle,1473)="","",INDEX(BookLevel,1473))</f>
        <v/>
      </c>
      <c r="G1478" s="40" t="str">
        <f aca="false">IF(INDEX(BookTitle,1473)="","",INDEX(BookCategory,1473))</f>
        <v/>
      </c>
      <c r="H1478" s="40" t="str">
        <f aca="false">IF(INDEX(BookTitle,1473)="","",INDEX(BookRank,1473))</f>
        <v/>
      </c>
      <c r="I1478" s="41" t="str">
        <f aca="false">IF(INDEX(BookTitle,1473)="","",INDEX(BookTotal,1473))</f>
        <v/>
      </c>
      <c r="J1478" s="0" t="str">
        <f aca="false">IF($I1478="","",IF(INDEX(BookQ1,1473)&gt;0,"Q1",IF(INDEX(BookQ2,1473)&gt;0,"Q2",IF(INDEX(BookQ3,1473)&gt;0,"Q3",IF(INDEX(BookQ4,1473)&gt;0,"Q4","")))))</f>
        <v/>
      </c>
      <c r="K1478" s="42" t="str">
        <f aca="false">IF(INDEX(BookTitle,1473)="","",INDEX(BookInYear,1473))</f>
        <v/>
      </c>
      <c r="L1478" s="19"/>
      <c r="M1478" s="39"/>
      <c r="N1478" s="19"/>
      <c r="O1478" s="19"/>
      <c r="P1478" s="43" t="str">
        <f aca="false">IF($E1478="","",IF($L1478="Decline",0,IF($L1478="Approve fewer",IF($M1478="","",$M1478),IF($L1478="","",$I1478))))</f>
        <v/>
      </c>
      <c r="Q1478" s="34" t="str">
        <f aca="false">IF($P1478="","",IF($N1478&lt;&gt;"",$N1478,$J1478))</f>
        <v/>
      </c>
      <c r="R1478" s="35" t="str">
        <f aca="false">IF(OR($P1478="",$Q1478=""),"",INDEX(BookRate,1473)*$P1478*(5-MATCH($Q1478,{"Q1";"Q2";"Q3";"Q4"},0))/4+INDEX(BookOneOff,1473)*$P1478)</f>
        <v/>
      </c>
      <c r="S1478" s="35" t="str">
        <f aca="false">IF($P1478="","",INDEX(BookRate,1473)*$P1478)</f>
        <v/>
      </c>
      <c r="T1478" s="35" t="str">
        <f aca="false">IF($R1478="","",$R1478-$K1478)</f>
        <v/>
      </c>
      <c r="U1478" s="35" t="str">
        <f aca="false">IF(N($P1478)&lt;=0,"",COUNTIF($P$6:$P1478,"&gt;0"))</f>
        <v/>
      </c>
    </row>
    <row r="1479" customFormat="false" ht="15" hidden="false" customHeight="false" outlineLevel="0" collapsed="false">
      <c r="A1479" s="40" t="str">
        <f aca="false">IF(INDEX(BookTitle,1474)="","",INDEX(BookGroup,1474))</f>
        <v/>
      </c>
      <c r="B1479" s="40" t="str">
        <f aca="false">IF(INDEX(BookTitle,1474)="","",INDEX(BookRef,1474))</f>
        <v/>
      </c>
      <c r="C1479" s="40" t="str">
        <f aca="false">IF(INDEX(BookTitle,1474)="","",INDEX(BookDivision,1474))</f>
        <v/>
      </c>
      <c r="D1479" s="40" t="str">
        <f aca="false">IF(INDEX(BookTitle,1474)="","",INDEX(BookUnit,1474))</f>
        <v/>
      </c>
      <c r="E1479" s="40" t="str">
        <f aca="false">IF(INDEX(BookTitle,1474)="","",INDEX(BookTitle,1474))</f>
        <v/>
      </c>
      <c r="F1479" s="40" t="str">
        <f aca="false">IF(INDEX(BookTitle,1474)="","",INDEX(BookLevel,1474))</f>
        <v/>
      </c>
      <c r="G1479" s="40" t="str">
        <f aca="false">IF(INDEX(BookTitle,1474)="","",INDEX(BookCategory,1474))</f>
        <v/>
      </c>
      <c r="H1479" s="40" t="str">
        <f aca="false">IF(INDEX(BookTitle,1474)="","",INDEX(BookRank,1474))</f>
        <v/>
      </c>
      <c r="I1479" s="41" t="str">
        <f aca="false">IF(INDEX(BookTitle,1474)="","",INDEX(BookTotal,1474))</f>
        <v/>
      </c>
      <c r="J1479" s="0" t="str">
        <f aca="false">IF($I1479="","",IF(INDEX(BookQ1,1474)&gt;0,"Q1",IF(INDEX(BookQ2,1474)&gt;0,"Q2",IF(INDEX(BookQ3,1474)&gt;0,"Q3",IF(INDEX(BookQ4,1474)&gt;0,"Q4","")))))</f>
        <v/>
      </c>
      <c r="K1479" s="42" t="str">
        <f aca="false">IF(INDEX(BookTitle,1474)="","",INDEX(BookInYear,1474))</f>
        <v/>
      </c>
      <c r="L1479" s="19"/>
      <c r="M1479" s="39"/>
      <c r="N1479" s="19"/>
      <c r="O1479" s="19"/>
      <c r="P1479" s="43" t="str">
        <f aca="false">IF($E1479="","",IF($L1479="Decline",0,IF($L1479="Approve fewer",IF($M1479="","",$M1479),IF($L1479="","",$I1479))))</f>
        <v/>
      </c>
      <c r="Q1479" s="34" t="str">
        <f aca="false">IF($P1479="","",IF($N1479&lt;&gt;"",$N1479,$J1479))</f>
        <v/>
      </c>
      <c r="R1479" s="35" t="str">
        <f aca="false">IF(OR($P1479="",$Q1479=""),"",INDEX(BookRate,1474)*$P1479*(5-MATCH($Q1479,{"Q1";"Q2";"Q3";"Q4"},0))/4+INDEX(BookOneOff,1474)*$P1479)</f>
        <v/>
      </c>
      <c r="S1479" s="35" t="str">
        <f aca="false">IF($P1479="","",INDEX(BookRate,1474)*$P1479)</f>
        <v/>
      </c>
      <c r="T1479" s="35" t="str">
        <f aca="false">IF($R1479="","",$R1479-$K1479)</f>
        <v/>
      </c>
      <c r="U1479" s="35" t="str">
        <f aca="false">IF(N($P1479)&lt;=0,"",COUNTIF($P$6:$P1479,"&gt;0"))</f>
        <v/>
      </c>
    </row>
    <row r="1480" customFormat="false" ht="15" hidden="false" customHeight="false" outlineLevel="0" collapsed="false">
      <c r="A1480" s="40" t="str">
        <f aca="false">IF(INDEX(BookTitle,1475)="","",INDEX(BookGroup,1475))</f>
        <v/>
      </c>
      <c r="B1480" s="40" t="str">
        <f aca="false">IF(INDEX(BookTitle,1475)="","",INDEX(BookRef,1475))</f>
        <v/>
      </c>
      <c r="C1480" s="40" t="str">
        <f aca="false">IF(INDEX(BookTitle,1475)="","",INDEX(BookDivision,1475))</f>
        <v/>
      </c>
      <c r="D1480" s="40" t="str">
        <f aca="false">IF(INDEX(BookTitle,1475)="","",INDEX(BookUnit,1475))</f>
        <v/>
      </c>
      <c r="E1480" s="40" t="str">
        <f aca="false">IF(INDEX(BookTitle,1475)="","",INDEX(BookTitle,1475))</f>
        <v/>
      </c>
      <c r="F1480" s="40" t="str">
        <f aca="false">IF(INDEX(BookTitle,1475)="","",INDEX(BookLevel,1475))</f>
        <v/>
      </c>
      <c r="G1480" s="40" t="str">
        <f aca="false">IF(INDEX(BookTitle,1475)="","",INDEX(BookCategory,1475))</f>
        <v/>
      </c>
      <c r="H1480" s="40" t="str">
        <f aca="false">IF(INDEX(BookTitle,1475)="","",INDEX(BookRank,1475))</f>
        <v/>
      </c>
      <c r="I1480" s="41" t="str">
        <f aca="false">IF(INDEX(BookTitle,1475)="","",INDEX(BookTotal,1475))</f>
        <v/>
      </c>
      <c r="J1480" s="0" t="str">
        <f aca="false">IF($I1480="","",IF(INDEX(BookQ1,1475)&gt;0,"Q1",IF(INDEX(BookQ2,1475)&gt;0,"Q2",IF(INDEX(BookQ3,1475)&gt;0,"Q3",IF(INDEX(BookQ4,1475)&gt;0,"Q4","")))))</f>
        <v/>
      </c>
      <c r="K1480" s="42" t="str">
        <f aca="false">IF(INDEX(BookTitle,1475)="","",INDEX(BookInYear,1475))</f>
        <v/>
      </c>
      <c r="L1480" s="19"/>
      <c r="M1480" s="39"/>
      <c r="N1480" s="19"/>
      <c r="O1480" s="19"/>
      <c r="P1480" s="43" t="str">
        <f aca="false">IF($E1480="","",IF($L1480="Decline",0,IF($L1480="Approve fewer",IF($M1480="","",$M1480),IF($L1480="","",$I1480))))</f>
        <v/>
      </c>
      <c r="Q1480" s="34" t="str">
        <f aca="false">IF($P1480="","",IF($N1480&lt;&gt;"",$N1480,$J1480))</f>
        <v/>
      </c>
      <c r="R1480" s="35" t="str">
        <f aca="false">IF(OR($P1480="",$Q1480=""),"",INDEX(BookRate,1475)*$P1480*(5-MATCH($Q1480,{"Q1";"Q2";"Q3";"Q4"},0))/4+INDEX(BookOneOff,1475)*$P1480)</f>
        <v/>
      </c>
      <c r="S1480" s="35" t="str">
        <f aca="false">IF($P1480="","",INDEX(BookRate,1475)*$P1480)</f>
        <v/>
      </c>
      <c r="T1480" s="35" t="str">
        <f aca="false">IF($R1480="","",$R1480-$K1480)</f>
        <v/>
      </c>
      <c r="U1480" s="35" t="str">
        <f aca="false">IF(N($P1480)&lt;=0,"",COUNTIF($P$6:$P1480,"&gt;0"))</f>
        <v/>
      </c>
    </row>
    <row r="1481" customFormat="false" ht="15" hidden="false" customHeight="false" outlineLevel="0" collapsed="false">
      <c r="A1481" s="40" t="str">
        <f aca="false">IF(INDEX(BookTitle,1476)="","",INDEX(BookGroup,1476))</f>
        <v/>
      </c>
      <c r="B1481" s="40" t="str">
        <f aca="false">IF(INDEX(BookTitle,1476)="","",INDEX(BookRef,1476))</f>
        <v/>
      </c>
      <c r="C1481" s="40" t="str">
        <f aca="false">IF(INDEX(BookTitle,1476)="","",INDEX(BookDivision,1476))</f>
        <v/>
      </c>
      <c r="D1481" s="40" t="str">
        <f aca="false">IF(INDEX(BookTitle,1476)="","",INDEX(BookUnit,1476))</f>
        <v/>
      </c>
      <c r="E1481" s="40" t="str">
        <f aca="false">IF(INDEX(BookTitle,1476)="","",INDEX(BookTitle,1476))</f>
        <v/>
      </c>
      <c r="F1481" s="40" t="str">
        <f aca="false">IF(INDEX(BookTitle,1476)="","",INDEX(BookLevel,1476))</f>
        <v/>
      </c>
      <c r="G1481" s="40" t="str">
        <f aca="false">IF(INDEX(BookTitle,1476)="","",INDEX(BookCategory,1476))</f>
        <v/>
      </c>
      <c r="H1481" s="40" t="str">
        <f aca="false">IF(INDEX(BookTitle,1476)="","",INDEX(BookRank,1476))</f>
        <v/>
      </c>
      <c r="I1481" s="41" t="str">
        <f aca="false">IF(INDEX(BookTitle,1476)="","",INDEX(BookTotal,1476))</f>
        <v/>
      </c>
      <c r="J1481" s="0" t="str">
        <f aca="false">IF($I1481="","",IF(INDEX(BookQ1,1476)&gt;0,"Q1",IF(INDEX(BookQ2,1476)&gt;0,"Q2",IF(INDEX(BookQ3,1476)&gt;0,"Q3",IF(INDEX(BookQ4,1476)&gt;0,"Q4","")))))</f>
        <v/>
      </c>
      <c r="K1481" s="42" t="str">
        <f aca="false">IF(INDEX(BookTitle,1476)="","",INDEX(BookInYear,1476))</f>
        <v/>
      </c>
      <c r="L1481" s="19"/>
      <c r="M1481" s="39"/>
      <c r="N1481" s="19"/>
      <c r="O1481" s="19"/>
      <c r="P1481" s="43" t="str">
        <f aca="false">IF($E1481="","",IF($L1481="Decline",0,IF($L1481="Approve fewer",IF($M1481="","",$M1481),IF($L1481="","",$I1481))))</f>
        <v/>
      </c>
      <c r="Q1481" s="34" t="str">
        <f aca="false">IF($P1481="","",IF($N1481&lt;&gt;"",$N1481,$J1481))</f>
        <v/>
      </c>
      <c r="R1481" s="35" t="str">
        <f aca="false">IF(OR($P1481="",$Q1481=""),"",INDEX(BookRate,1476)*$P1481*(5-MATCH($Q1481,{"Q1";"Q2";"Q3";"Q4"},0))/4+INDEX(BookOneOff,1476)*$P1481)</f>
        <v/>
      </c>
      <c r="S1481" s="35" t="str">
        <f aca="false">IF($P1481="","",INDEX(BookRate,1476)*$P1481)</f>
        <v/>
      </c>
      <c r="T1481" s="35" t="str">
        <f aca="false">IF($R1481="","",$R1481-$K1481)</f>
        <v/>
      </c>
      <c r="U1481" s="35" t="str">
        <f aca="false">IF(N($P1481)&lt;=0,"",COUNTIF($P$6:$P1481,"&gt;0"))</f>
        <v/>
      </c>
    </row>
    <row r="1482" customFormat="false" ht="15" hidden="false" customHeight="false" outlineLevel="0" collapsed="false">
      <c r="A1482" s="40" t="str">
        <f aca="false">IF(INDEX(BookTitle,1477)="","",INDEX(BookGroup,1477))</f>
        <v/>
      </c>
      <c r="B1482" s="40" t="str">
        <f aca="false">IF(INDEX(BookTitle,1477)="","",INDEX(BookRef,1477))</f>
        <v/>
      </c>
      <c r="C1482" s="40" t="str">
        <f aca="false">IF(INDEX(BookTitle,1477)="","",INDEX(BookDivision,1477))</f>
        <v/>
      </c>
      <c r="D1482" s="40" t="str">
        <f aca="false">IF(INDEX(BookTitle,1477)="","",INDEX(BookUnit,1477))</f>
        <v/>
      </c>
      <c r="E1482" s="40" t="str">
        <f aca="false">IF(INDEX(BookTitle,1477)="","",INDEX(BookTitle,1477))</f>
        <v/>
      </c>
      <c r="F1482" s="40" t="str">
        <f aca="false">IF(INDEX(BookTitle,1477)="","",INDEX(BookLevel,1477))</f>
        <v/>
      </c>
      <c r="G1482" s="40" t="str">
        <f aca="false">IF(INDEX(BookTitle,1477)="","",INDEX(BookCategory,1477))</f>
        <v/>
      </c>
      <c r="H1482" s="40" t="str">
        <f aca="false">IF(INDEX(BookTitle,1477)="","",INDEX(BookRank,1477))</f>
        <v/>
      </c>
      <c r="I1482" s="41" t="str">
        <f aca="false">IF(INDEX(BookTitle,1477)="","",INDEX(BookTotal,1477))</f>
        <v/>
      </c>
      <c r="J1482" s="0" t="str">
        <f aca="false">IF($I1482="","",IF(INDEX(BookQ1,1477)&gt;0,"Q1",IF(INDEX(BookQ2,1477)&gt;0,"Q2",IF(INDEX(BookQ3,1477)&gt;0,"Q3",IF(INDEX(BookQ4,1477)&gt;0,"Q4","")))))</f>
        <v/>
      </c>
      <c r="K1482" s="42" t="str">
        <f aca="false">IF(INDEX(BookTitle,1477)="","",INDEX(BookInYear,1477))</f>
        <v/>
      </c>
      <c r="L1482" s="19"/>
      <c r="M1482" s="39"/>
      <c r="N1482" s="19"/>
      <c r="O1482" s="19"/>
      <c r="P1482" s="43" t="str">
        <f aca="false">IF($E1482="","",IF($L1482="Decline",0,IF($L1482="Approve fewer",IF($M1482="","",$M1482),IF($L1482="","",$I1482))))</f>
        <v/>
      </c>
      <c r="Q1482" s="34" t="str">
        <f aca="false">IF($P1482="","",IF($N1482&lt;&gt;"",$N1482,$J1482))</f>
        <v/>
      </c>
      <c r="R1482" s="35" t="str">
        <f aca="false">IF(OR($P1482="",$Q1482=""),"",INDEX(BookRate,1477)*$P1482*(5-MATCH($Q1482,{"Q1";"Q2";"Q3";"Q4"},0))/4+INDEX(BookOneOff,1477)*$P1482)</f>
        <v/>
      </c>
      <c r="S1482" s="35" t="str">
        <f aca="false">IF($P1482="","",INDEX(BookRate,1477)*$P1482)</f>
        <v/>
      </c>
      <c r="T1482" s="35" t="str">
        <f aca="false">IF($R1482="","",$R1482-$K1482)</f>
        <v/>
      </c>
      <c r="U1482" s="35" t="str">
        <f aca="false">IF(N($P1482)&lt;=0,"",COUNTIF($P$6:$P1482,"&gt;0"))</f>
        <v/>
      </c>
    </row>
    <row r="1483" customFormat="false" ht="15" hidden="false" customHeight="false" outlineLevel="0" collapsed="false">
      <c r="A1483" s="40" t="str">
        <f aca="false">IF(INDEX(BookTitle,1478)="","",INDEX(BookGroup,1478))</f>
        <v/>
      </c>
      <c r="B1483" s="40" t="str">
        <f aca="false">IF(INDEX(BookTitle,1478)="","",INDEX(BookRef,1478))</f>
        <v/>
      </c>
      <c r="C1483" s="40" t="str">
        <f aca="false">IF(INDEX(BookTitle,1478)="","",INDEX(BookDivision,1478))</f>
        <v/>
      </c>
      <c r="D1483" s="40" t="str">
        <f aca="false">IF(INDEX(BookTitle,1478)="","",INDEX(BookUnit,1478))</f>
        <v/>
      </c>
      <c r="E1483" s="40" t="str">
        <f aca="false">IF(INDEX(BookTitle,1478)="","",INDEX(BookTitle,1478))</f>
        <v/>
      </c>
      <c r="F1483" s="40" t="str">
        <f aca="false">IF(INDEX(BookTitle,1478)="","",INDEX(BookLevel,1478))</f>
        <v/>
      </c>
      <c r="G1483" s="40" t="str">
        <f aca="false">IF(INDEX(BookTitle,1478)="","",INDEX(BookCategory,1478))</f>
        <v/>
      </c>
      <c r="H1483" s="40" t="str">
        <f aca="false">IF(INDEX(BookTitle,1478)="","",INDEX(BookRank,1478))</f>
        <v/>
      </c>
      <c r="I1483" s="41" t="str">
        <f aca="false">IF(INDEX(BookTitle,1478)="","",INDEX(BookTotal,1478))</f>
        <v/>
      </c>
      <c r="J1483" s="0" t="str">
        <f aca="false">IF($I1483="","",IF(INDEX(BookQ1,1478)&gt;0,"Q1",IF(INDEX(BookQ2,1478)&gt;0,"Q2",IF(INDEX(BookQ3,1478)&gt;0,"Q3",IF(INDEX(BookQ4,1478)&gt;0,"Q4","")))))</f>
        <v/>
      </c>
      <c r="K1483" s="42" t="str">
        <f aca="false">IF(INDEX(BookTitle,1478)="","",INDEX(BookInYear,1478))</f>
        <v/>
      </c>
      <c r="L1483" s="19"/>
      <c r="M1483" s="39"/>
      <c r="N1483" s="19"/>
      <c r="O1483" s="19"/>
      <c r="P1483" s="43" t="str">
        <f aca="false">IF($E1483="","",IF($L1483="Decline",0,IF($L1483="Approve fewer",IF($M1483="","",$M1483),IF($L1483="","",$I1483))))</f>
        <v/>
      </c>
      <c r="Q1483" s="34" t="str">
        <f aca="false">IF($P1483="","",IF($N1483&lt;&gt;"",$N1483,$J1483))</f>
        <v/>
      </c>
      <c r="R1483" s="35" t="str">
        <f aca="false">IF(OR($P1483="",$Q1483=""),"",INDEX(BookRate,1478)*$P1483*(5-MATCH($Q1483,{"Q1";"Q2";"Q3";"Q4"},0))/4+INDEX(BookOneOff,1478)*$P1483)</f>
        <v/>
      </c>
      <c r="S1483" s="35" t="str">
        <f aca="false">IF($P1483="","",INDEX(BookRate,1478)*$P1483)</f>
        <v/>
      </c>
      <c r="T1483" s="35" t="str">
        <f aca="false">IF($R1483="","",$R1483-$K1483)</f>
        <v/>
      </c>
      <c r="U1483" s="35" t="str">
        <f aca="false">IF(N($P1483)&lt;=0,"",COUNTIF($P$6:$P1483,"&gt;0"))</f>
        <v/>
      </c>
    </row>
    <row r="1484" customFormat="false" ht="15" hidden="false" customHeight="false" outlineLevel="0" collapsed="false">
      <c r="A1484" s="40" t="str">
        <f aca="false">IF(INDEX(BookTitle,1479)="","",INDEX(BookGroup,1479))</f>
        <v/>
      </c>
      <c r="B1484" s="40" t="str">
        <f aca="false">IF(INDEX(BookTitle,1479)="","",INDEX(BookRef,1479))</f>
        <v/>
      </c>
      <c r="C1484" s="40" t="str">
        <f aca="false">IF(INDEX(BookTitle,1479)="","",INDEX(BookDivision,1479))</f>
        <v/>
      </c>
      <c r="D1484" s="40" t="str">
        <f aca="false">IF(INDEX(BookTitle,1479)="","",INDEX(BookUnit,1479))</f>
        <v/>
      </c>
      <c r="E1484" s="40" t="str">
        <f aca="false">IF(INDEX(BookTitle,1479)="","",INDEX(BookTitle,1479))</f>
        <v/>
      </c>
      <c r="F1484" s="40" t="str">
        <f aca="false">IF(INDEX(BookTitle,1479)="","",INDEX(BookLevel,1479))</f>
        <v/>
      </c>
      <c r="G1484" s="40" t="str">
        <f aca="false">IF(INDEX(BookTitle,1479)="","",INDEX(BookCategory,1479))</f>
        <v/>
      </c>
      <c r="H1484" s="40" t="str">
        <f aca="false">IF(INDEX(BookTitle,1479)="","",INDEX(BookRank,1479))</f>
        <v/>
      </c>
      <c r="I1484" s="41" t="str">
        <f aca="false">IF(INDEX(BookTitle,1479)="","",INDEX(BookTotal,1479))</f>
        <v/>
      </c>
      <c r="J1484" s="0" t="str">
        <f aca="false">IF($I1484="","",IF(INDEX(BookQ1,1479)&gt;0,"Q1",IF(INDEX(BookQ2,1479)&gt;0,"Q2",IF(INDEX(BookQ3,1479)&gt;0,"Q3",IF(INDEX(BookQ4,1479)&gt;0,"Q4","")))))</f>
        <v/>
      </c>
      <c r="K1484" s="42" t="str">
        <f aca="false">IF(INDEX(BookTitle,1479)="","",INDEX(BookInYear,1479))</f>
        <v/>
      </c>
      <c r="L1484" s="19"/>
      <c r="M1484" s="39"/>
      <c r="N1484" s="19"/>
      <c r="O1484" s="19"/>
      <c r="P1484" s="43" t="str">
        <f aca="false">IF($E1484="","",IF($L1484="Decline",0,IF($L1484="Approve fewer",IF($M1484="","",$M1484),IF($L1484="","",$I1484))))</f>
        <v/>
      </c>
      <c r="Q1484" s="34" t="str">
        <f aca="false">IF($P1484="","",IF($N1484&lt;&gt;"",$N1484,$J1484))</f>
        <v/>
      </c>
      <c r="R1484" s="35" t="str">
        <f aca="false">IF(OR($P1484="",$Q1484=""),"",INDEX(BookRate,1479)*$P1484*(5-MATCH($Q1484,{"Q1";"Q2";"Q3";"Q4"},0))/4+INDEX(BookOneOff,1479)*$P1484)</f>
        <v/>
      </c>
      <c r="S1484" s="35" t="str">
        <f aca="false">IF($P1484="","",INDEX(BookRate,1479)*$P1484)</f>
        <v/>
      </c>
      <c r="T1484" s="35" t="str">
        <f aca="false">IF($R1484="","",$R1484-$K1484)</f>
        <v/>
      </c>
      <c r="U1484" s="35" t="str">
        <f aca="false">IF(N($P1484)&lt;=0,"",COUNTIF($P$6:$P1484,"&gt;0"))</f>
        <v/>
      </c>
    </row>
    <row r="1485" customFormat="false" ht="15" hidden="false" customHeight="false" outlineLevel="0" collapsed="false">
      <c r="A1485" s="40" t="str">
        <f aca="false">IF(INDEX(BookTitle,1480)="","",INDEX(BookGroup,1480))</f>
        <v/>
      </c>
      <c r="B1485" s="40" t="str">
        <f aca="false">IF(INDEX(BookTitle,1480)="","",INDEX(BookRef,1480))</f>
        <v/>
      </c>
      <c r="C1485" s="40" t="str">
        <f aca="false">IF(INDEX(BookTitle,1480)="","",INDEX(BookDivision,1480))</f>
        <v/>
      </c>
      <c r="D1485" s="40" t="str">
        <f aca="false">IF(INDEX(BookTitle,1480)="","",INDEX(BookUnit,1480))</f>
        <v/>
      </c>
      <c r="E1485" s="40" t="str">
        <f aca="false">IF(INDEX(BookTitle,1480)="","",INDEX(BookTitle,1480))</f>
        <v/>
      </c>
      <c r="F1485" s="40" t="str">
        <f aca="false">IF(INDEX(BookTitle,1480)="","",INDEX(BookLevel,1480))</f>
        <v/>
      </c>
      <c r="G1485" s="40" t="str">
        <f aca="false">IF(INDEX(BookTitle,1480)="","",INDEX(BookCategory,1480))</f>
        <v/>
      </c>
      <c r="H1485" s="40" t="str">
        <f aca="false">IF(INDEX(BookTitle,1480)="","",INDEX(BookRank,1480))</f>
        <v/>
      </c>
      <c r="I1485" s="41" t="str">
        <f aca="false">IF(INDEX(BookTitle,1480)="","",INDEX(BookTotal,1480))</f>
        <v/>
      </c>
      <c r="J1485" s="0" t="str">
        <f aca="false">IF($I1485="","",IF(INDEX(BookQ1,1480)&gt;0,"Q1",IF(INDEX(BookQ2,1480)&gt;0,"Q2",IF(INDEX(BookQ3,1480)&gt;0,"Q3",IF(INDEX(BookQ4,1480)&gt;0,"Q4","")))))</f>
        <v/>
      </c>
      <c r="K1485" s="42" t="str">
        <f aca="false">IF(INDEX(BookTitle,1480)="","",INDEX(BookInYear,1480))</f>
        <v/>
      </c>
      <c r="L1485" s="19"/>
      <c r="M1485" s="39"/>
      <c r="N1485" s="19"/>
      <c r="O1485" s="19"/>
      <c r="P1485" s="43" t="str">
        <f aca="false">IF($E1485="","",IF($L1485="Decline",0,IF($L1485="Approve fewer",IF($M1485="","",$M1485),IF($L1485="","",$I1485))))</f>
        <v/>
      </c>
      <c r="Q1485" s="34" t="str">
        <f aca="false">IF($P1485="","",IF($N1485&lt;&gt;"",$N1485,$J1485))</f>
        <v/>
      </c>
      <c r="R1485" s="35" t="str">
        <f aca="false">IF(OR($P1485="",$Q1485=""),"",INDEX(BookRate,1480)*$P1485*(5-MATCH($Q1485,{"Q1";"Q2";"Q3";"Q4"},0))/4+INDEX(BookOneOff,1480)*$P1485)</f>
        <v/>
      </c>
      <c r="S1485" s="35" t="str">
        <f aca="false">IF($P1485="","",INDEX(BookRate,1480)*$P1485)</f>
        <v/>
      </c>
      <c r="T1485" s="35" t="str">
        <f aca="false">IF($R1485="","",$R1485-$K1485)</f>
        <v/>
      </c>
      <c r="U1485" s="35" t="str">
        <f aca="false">IF(N($P1485)&lt;=0,"",COUNTIF($P$6:$P1485,"&gt;0"))</f>
        <v/>
      </c>
    </row>
    <row r="1486" customFormat="false" ht="15" hidden="false" customHeight="false" outlineLevel="0" collapsed="false">
      <c r="A1486" s="40" t="str">
        <f aca="false">IF(INDEX(BookTitle,1481)="","",INDEX(BookGroup,1481))</f>
        <v/>
      </c>
      <c r="B1486" s="40" t="str">
        <f aca="false">IF(INDEX(BookTitle,1481)="","",INDEX(BookRef,1481))</f>
        <v/>
      </c>
      <c r="C1486" s="40" t="str">
        <f aca="false">IF(INDEX(BookTitle,1481)="","",INDEX(BookDivision,1481))</f>
        <v/>
      </c>
      <c r="D1486" s="40" t="str">
        <f aca="false">IF(INDEX(BookTitle,1481)="","",INDEX(BookUnit,1481))</f>
        <v/>
      </c>
      <c r="E1486" s="40" t="str">
        <f aca="false">IF(INDEX(BookTitle,1481)="","",INDEX(BookTitle,1481))</f>
        <v/>
      </c>
      <c r="F1486" s="40" t="str">
        <f aca="false">IF(INDEX(BookTitle,1481)="","",INDEX(BookLevel,1481))</f>
        <v/>
      </c>
      <c r="G1486" s="40" t="str">
        <f aca="false">IF(INDEX(BookTitle,1481)="","",INDEX(BookCategory,1481))</f>
        <v/>
      </c>
      <c r="H1486" s="40" t="str">
        <f aca="false">IF(INDEX(BookTitle,1481)="","",INDEX(BookRank,1481))</f>
        <v/>
      </c>
      <c r="I1486" s="41" t="str">
        <f aca="false">IF(INDEX(BookTitle,1481)="","",INDEX(BookTotal,1481))</f>
        <v/>
      </c>
      <c r="J1486" s="0" t="str">
        <f aca="false">IF($I1486="","",IF(INDEX(BookQ1,1481)&gt;0,"Q1",IF(INDEX(BookQ2,1481)&gt;0,"Q2",IF(INDEX(BookQ3,1481)&gt;0,"Q3",IF(INDEX(BookQ4,1481)&gt;0,"Q4","")))))</f>
        <v/>
      </c>
      <c r="K1486" s="42" t="str">
        <f aca="false">IF(INDEX(BookTitle,1481)="","",INDEX(BookInYear,1481))</f>
        <v/>
      </c>
      <c r="L1486" s="19"/>
      <c r="M1486" s="39"/>
      <c r="N1486" s="19"/>
      <c r="O1486" s="19"/>
      <c r="P1486" s="43" t="str">
        <f aca="false">IF($E1486="","",IF($L1486="Decline",0,IF($L1486="Approve fewer",IF($M1486="","",$M1486),IF($L1486="","",$I1486))))</f>
        <v/>
      </c>
      <c r="Q1486" s="34" t="str">
        <f aca="false">IF($P1486="","",IF($N1486&lt;&gt;"",$N1486,$J1486))</f>
        <v/>
      </c>
      <c r="R1486" s="35" t="str">
        <f aca="false">IF(OR($P1486="",$Q1486=""),"",INDEX(BookRate,1481)*$P1486*(5-MATCH($Q1486,{"Q1";"Q2";"Q3";"Q4"},0))/4+INDEX(BookOneOff,1481)*$P1486)</f>
        <v/>
      </c>
      <c r="S1486" s="35" t="str">
        <f aca="false">IF($P1486="","",INDEX(BookRate,1481)*$P1486)</f>
        <v/>
      </c>
      <c r="T1486" s="35" t="str">
        <f aca="false">IF($R1486="","",$R1486-$K1486)</f>
        <v/>
      </c>
      <c r="U1486" s="35" t="str">
        <f aca="false">IF(N($P1486)&lt;=0,"",COUNTIF($P$6:$P1486,"&gt;0"))</f>
        <v/>
      </c>
    </row>
    <row r="1487" customFormat="false" ht="15" hidden="false" customHeight="false" outlineLevel="0" collapsed="false">
      <c r="A1487" s="40" t="str">
        <f aca="false">IF(INDEX(BookTitle,1482)="","",INDEX(BookGroup,1482))</f>
        <v/>
      </c>
      <c r="B1487" s="40" t="str">
        <f aca="false">IF(INDEX(BookTitle,1482)="","",INDEX(BookRef,1482))</f>
        <v/>
      </c>
      <c r="C1487" s="40" t="str">
        <f aca="false">IF(INDEX(BookTitle,1482)="","",INDEX(BookDivision,1482))</f>
        <v/>
      </c>
      <c r="D1487" s="40" t="str">
        <f aca="false">IF(INDEX(BookTitle,1482)="","",INDEX(BookUnit,1482))</f>
        <v/>
      </c>
      <c r="E1487" s="40" t="str">
        <f aca="false">IF(INDEX(BookTitle,1482)="","",INDEX(BookTitle,1482))</f>
        <v/>
      </c>
      <c r="F1487" s="40" t="str">
        <f aca="false">IF(INDEX(BookTitle,1482)="","",INDEX(BookLevel,1482))</f>
        <v/>
      </c>
      <c r="G1487" s="40" t="str">
        <f aca="false">IF(INDEX(BookTitle,1482)="","",INDEX(BookCategory,1482))</f>
        <v/>
      </c>
      <c r="H1487" s="40" t="str">
        <f aca="false">IF(INDEX(BookTitle,1482)="","",INDEX(BookRank,1482))</f>
        <v/>
      </c>
      <c r="I1487" s="41" t="str">
        <f aca="false">IF(INDEX(BookTitle,1482)="","",INDEX(BookTotal,1482))</f>
        <v/>
      </c>
      <c r="J1487" s="0" t="str">
        <f aca="false">IF($I1487="","",IF(INDEX(BookQ1,1482)&gt;0,"Q1",IF(INDEX(BookQ2,1482)&gt;0,"Q2",IF(INDEX(BookQ3,1482)&gt;0,"Q3",IF(INDEX(BookQ4,1482)&gt;0,"Q4","")))))</f>
        <v/>
      </c>
      <c r="K1487" s="42" t="str">
        <f aca="false">IF(INDEX(BookTitle,1482)="","",INDEX(BookInYear,1482))</f>
        <v/>
      </c>
      <c r="L1487" s="19"/>
      <c r="M1487" s="39"/>
      <c r="N1487" s="19"/>
      <c r="O1487" s="19"/>
      <c r="P1487" s="43" t="str">
        <f aca="false">IF($E1487="","",IF($L1487="Decline",0,IF($L1487="Approve fewer",IF($M1487="","",$M1487),IF($L1487="","",$I1487))))</f>
        <v/>
      </c>
      <c r="Q1487" s="34" t="str">
        <f aca="false">IF($P1487="","",IF($N1487&lt;&gt;"",$N1487,$J1487))</f>
        <v/>
      </c>
      <c r="R1487" s="35" t="str">
        <f aca="false">IF(OR($P1487="",$Q1487=""),"",INDEX(BookRate,1482)*$P1487*(5-MATCH($Q1487,{"Q1";"Q2";"Q3";"Q4"},0))/4+INDEX(BookOneOff,1482)*$P1487)</f>
        <v/>
      </c>
      <c r="S1487" s="35" t="str">
        <f aca="false">IF($P1487="","",INDEX(BookRate,1482)*$P1487)</f>
        <v/>
      </c>
      <c r="T1487" s="35" t="str">
        <f aca="false">IF($R1487="","",$R1487-$K1487)</f>
        <v/>
      </c>
      <c r="U1487" s="35" t="str">
        <f aca="false">IF(N($P1487)&lt;=0,"",COUNTIF($P$6:$P1487,"&gt;0"))</f>
        <v/>
      </c>
    </row>
    <row r="1488" customFormat="false" ht="15" hidden="false" customHeight="false" outlineLevel="0" collapsed="false">
      <c r="A1488" s="40" t="str">
        <f aca="false">IF(INDEX(BookTitle,1483)="","",INDEX(BookGroup,1483))</f>
        <v/>
      </c>
      <c r="B1488" s="40" t="str">
        <f aca="false">IF(INDEX(BookTitle,1483)="","",INDEX(BookRef,1483))</f>
        <v/>
      </c>
      <c r="C1488" s="40" t="str">
        <f aca="false">IF(INDEX(BookTitle,1483)="","",INDEX(BookDivision,1483))</f>
        <v/>
      </c>
      <c r="D1488" s="40" t="str">
        <f aca="false">IF(INDEX(BookTitle,1483)="","",INDEX(BookUnit,1483))</f>
        <v/>
      </c>
      <c r="E1488" s="40" t="str">
        <f aca="false">IF(INDEX(BookTitle,1483)="","",INDEX(BookTitle,1483))</f>
        <v/>
      </c>
      <c r="F1488" s="40" t="str">
        <f aca="false">IF(INDEX(BookTitle,1483)="","",INDEX(BookLevel,1483))</f>
        <v/>
      </c>
      <c r="G1488" s="40" t="str">
        <f aca="false">IF(INDEX(BookTitle,1483)="","",INDEX(BookCategory,1483))</f>
        <v/>
      </c>
      <c r="H1488" s="40" t="str">
        <f aca="false">IF(INDEX(BookTitle,1483)="","",INDEX(BookRank,1483))</f>
        <v/>
      </c>
      <c r="I1488" s="41" t="str">
        <f aca="false">IF(INDEX(BookTitle,1483)="","",INDEX(BookTotal,1483))</f>
        <v/>
      </c>
      <c r="J1488" s="0" t="str">
        <f aca="false">IF($I1488="","",IF(INDEX(BookQ1,1483)&gt;0,"Q1",IF(INDEX(BookQ2,1483)&gt;0,"Q2",IF(INDEX(BookQ3,1483)&gt;0,"Q3",IF(INDEX(BookQ4,1483)&gt;0,"Q4","")))))</f>
        <v/>
      </c>
      <c r="K1488" s="42" t="str">
        <f aca="false">IF(INDEX(BookTitle,1483)="","",INDEX(BookInYear,1483))</f>
        <v/>
      </c>
      <c r="L1488" s="19"/>
      <c r="M1488" s="39"/>
      <c r="N1488" s="19"/>
      <c r="O1488" s="19"/>
      <c r="P1488" s="43" t="str">
        <f aca="false">IF($E1488="","",IF($L1488="Decline",0,IF($L1488="Approve fewer",IF($M1488="","",$M1488),IF($L1488="","",$I1488))))</f>
        <v/>
      </c>
      <c r="Q1488" s="34" t="str">
        <f aca="false">IF($P1488="","",IF($N1488&lt;&gt;"",$N1488,$J1488))</f>
        <v/>
      </c>
      <c r="R1488" s="35" t="str">
        <f aca="false">IF(OR($P1488="",$Q1488=""),"",INDEX(BookRate,1483)*$P1488*(5-MATCH($Q1488,{"Q1";"Q2";"Q3";"Q4"},0))/4+INDEX(BookOneOff,1483)*$P1488)</f>
        <v/>
      </c>
      <c r="S1488" s="35" t="str">
        <f aca="false">IF($P1488="","",INDEX(BookRate,1483)*$P1488)</f>
        <v/>
      </c>
      <c r="T1488" s="35" t="str">
        <f aca="false">IF($R1488="","",$R1488-$K1488)</f>
        <v/>
      </c>
      <c r="U1488" s="35" t="str">
        <f aca="false">IF(N($P1488)&lt;=0,"",COUNTIF($P$6:$P1488,"&gt;0"))</f>
        <v/>
      </c>
    </row>
    <row r="1489" customFormat="false" ht="15" hidden="false" customHeight="false" outlineLevel="0" collapsed="false">
      <c r="A1489" s="40" t="str">
        <f aca="false">IF(INDEX(BookTitle,1484)="","",INDEX(BookGroup,1484))</f>
        <v/>
      </c>
      <c r="B1489" s="40" t="str">
        <f aca="false">IF(INDEX(BookTitle,1484)="","",INDEX(BookRef,1484))</f>
        <v/>
      </c>
      <c r="C1489" s="40" t="str">
        <f aca="false">IF(INDEX(BookTitle,1484)="","",INDEX(BookDivision,1484))</f>
        <v/>
      </c>
      <c r="D1489" s="40" t="str">
        <f aca="false">IF(INDEX(BookTitle,1484)="","",INDEX(BookUnit,1484))</f>
        <v/>
      </c>
      <c r="E1489" s="40" t="str">
        <f aca="false">IF(INDEX(BookTitle,1484)="","",INDEX(BookTitle,1484))</f>
        <v/>
      </c>
      <c r="F1489" s="40" t="str">
        <f aca="false">IF(INDEX(BookTitle,1484)="","",INDEX(BookLevel,1484))</f>
        <v/>
      </c>
      <c r="G1489" s="40" t="str">
        <f aca="false">IF(INDEX(BookTitle,1484)="","",INDEX(BookCategory,1484))</f>
        <v/>
      </c>
      <c r="H1489" s="40" t="str">
        <f aca="false">IF(INDEX(BookTitle,1484)="","",INDEX(BookRank,1484))</f>
        <v/>
      </c>
      <c r="I1489" s="41" t="str">
        <f aca="false">IF(INDEX(BookTitle,1484)="","",INDEX(BookTotal,1484))</f>
        <v/>
      </c>
      <c r="J1489" s="0" t="str">
        <f aca="false">IF($I1489="","",IF(INDEX(BookQ1,1484)&gt;0,"Q1",IF(INDEX(BookQ2,1484)&gt;0,"Q2",IF(INDEX(BookQ3,1484)&gt;0,"Q3",IF(INDEX(BookQ4,1484)&gt;0,"Q4","")))))</f>
        <v/>
      </c>
      <c r="K1489" s="42" t="str">
        <f aca="false">IF(INDEX(BookTitle,1484)="","",INDEX(BookInYear,1484))</f>
        <v/>
      </c>
      <c r="L1489" s="19"/>
      <c r="M1489" s="39"/>
      <c r="N1489" s="19"/>
      <c r="O1489" s="19"/>
      <c r="P1489" s="43" t="str">
        <f aca="false">IF($E1489="","",IF($L1489="Decline",0,IF($L1489="Approve fewer",IF($M1489="","",$M1489),IF($L1489="","",$I1489))))</f>
        <v/>
      </c>
      <c r="Q1489" s="34" t="str">
        <f aca="false">IF($P1489="","",IF($N1489&lt;&gt;"",$N1489,$J1489))</f>
        <v/>
      </c>
      <c r="R1489" s="35" t="str">
        <f aca="false">IF(OR($P1489="",$Q1489=""),"",INDEX(BookRate,1484)*$P1489*(5-MATCH($Q1489,{"Q1";"Q2";"Q3";"Q4"},0))/4+INDEX(BookOneOff,1484)*$P1489)</f>
        <v/>
      </c>
      <c r="S1489" s="35" t="str">
        <f aca="false">IF($P1489="","",INDEX(BookRate,1484)*$P1489)</f>
        <v/>
      </c>
      <c r="T1489" s="35" t="str">
        <f aca="false">IF($R1489="","",$R1489-$K1489)</f>
        <v/>
      </c>
      <c r="U1489" s="35" t="str">
        <f aca="false">IF(N($P1489)&lt;=0,"",COUNTIF($P$6:$P1489,"&gt;0"))</f>
        <v/>
      </c>
    </row>
    <row r="1490" customFormat="false" ht="15" hidden="false" customHeight="false" outlineLevel="0" collapsed="false">
      <c r="A1490" s="40" t="str">
        <f aca="false">IF(INDEX(BookTitle,1485)="","",INDEX(BookGroup,1485))</f>
        <v/>
      </c>
      <c r="B1490" s="40" t="str">
        <f aca="false">IF(INDEX(BookTitle,1485)="","",INDEX(BookRef,1485))</f>
        <v/>
      </c>
      <c r="C1490" s="40" t="str">
        <f aca="false">IF(INDEX(BookTitle,1485)="","",INDEX(BookDivision,1485))</f>
        <v/>
      </c>
      <c r="D1490" s="40" t="str">
        <f aca="false">IF(INDEX(BookTitle,1485)="","",INDEX(BookUnit,1485))</f>
        <v/>
      </c>
      <c r="E1490" s="40" t="str">
        <f aca="false">IF(INDEX(BookTitle,1485)="","",INDEX(BookTitle,1485))</f>
        <v/>
      </c>
      <c r="F1490" s="40" t="str">
        <f aca="false">IF(INDEX(BookTitle,1485)="","",INDEX(BookLevel,1485))</f>
        <v/>
      </c>
      <c r="G1490" s="40" t="str">
        <f aca="false">IF(INDEX(BookTitle,1485)="","",INDEX(BookCategory,1485))</f>
        <v/>
      </c>
      <c r="H1490" s="40" t="str">
        <f aca="false">IF(INDEX(BookTitle,1485)="","",INDEX(BookRank,1485))</f>
        <v/>
      </c>
      <c r="I1490" s="41" t="str">
        <f aca="false">IF(INDEX(BookTitle,1485)="","",INDEX(BookTotal,1485))</f>
        <v/>
      </c>
      <c r="J1490" s="0" t="str">
        <f aca="false">IF($I1490="","",IF(INDEX(BookQ1,1485)&gt;0,"Q1",IF(INDEX(BookQ2,1485)&gt;0,"Q2",IF(INDEX(BookQ3,1485)&gt;0,"Q3",IF(INDEX(BookQ4,1485)&gt;0,"Q4","")))))</f>
        <v/>
      </c>
      <c r="K1490" s="42" t="str">
        <f aca="false">IF(INDEX(BookTitle,1485)="","",INDEX(BookInYear,1485))</f>
        <v/>
      </c>
      <c r="L1490" s="19"/>
      <c r="M1490" s="39"/>
      <c r="N1490" s="19"/>
      <c r="O1490" s="19"/>
      <c r="P1490" s="43" t="str">
        <f aca="false">IF($E1490="","",IF($L1490="Decline",0,IF($L1490="Approve fewer",IF($M1490="","",$M1490),IF($L1490="","",$I1490))))</f>
        <v/>
      </c>
      <c r="Q1490" s="34" t="str">
        <f aca="false">IF($P1490="","",IF($N1490&lt;&gt;"",$N1490,$J1490))</f>
        <v/>
      </c>
      <c r="R1490" s="35" t="str">
        <f aca="false">IF(OR($P1490="",$Q1490=""),"",INDEX(BookRate,1485)*$P1490*(5-MATCH($Q1490,{"Q1";"Q2";"Q3";"Q4"},0))/4+INDEX(BookOneOff,1485)*$P1490)</f>
        <v/>
      </c>
      <c r="S1490" s="35" t="str">
        <f aca="false">IF($P1490="","",INDEX(BookRate,1485)*$P1490)</f>
        <v/>
      </c>
      <c r="T1490" s="35" t="str">
        <f aca="false">IF($R1490="","",$R1490-$K1490)</f>
        <v/>
      </c>
      <c r="U1490" s="35" t="str">
        <f aca="false">IF(N($P1490)&lt;=0,"",COUNTIF($P$6:$P1490,"&gt;0"))</f>
        <v/>
      </c>
    </row>
    <row r="1491" customFormat="false" ht="15" hidden="false" customHeight="false" outlineLevel="0" collapsed="false">
      <c r="A1491" s="40" t="str">
        <f aca="false">IF(INDEX(BookTitle,1486)="","",INDEX(BookGroup,1486))</f>
        <v/>
      </c>
      <c r="B1491" s="40" t="str">
        <f aca="false">IF(INDEX(BookTitle,1486)="","",INDEX(BookRef,1486))</f>
        <v/>
      </c>
      <c r="C1491" s="40" t="str">
        <f aca="false">IF(INDEX(BookTitle,1486)="","",INDEX(BookDivision,1486))</f>
        <v/>
      </c>
      <c r="D1491" s="40" t="str">
        <f aca="false">IF(INDEX(BookTitle,1486)="","",INDEX(BookUnit,1486))</f>
        <v/>
      </c>
      <c r="E1491" s="40" t="str">
        <f aca="false">IF(INDEX(BookTitle,1486)="","",INDEX(BookTitle,1486))</f>
        <v/>
      </c>
      <c r="F1491" s="40" t="str">
        <f aca="false">IF(INDEX(BookTitle,1486)="","",INDEX(BookLevel,1486))</f>
        <v/>
      </c>
      <c r="G1491" s="40" t="str">
        <f aca="false">IF(INDEX(BookTitle,1486)="","",INDEX(BookCategory,1486))</f>
        <v/>
      </c>
      <c r="H1491" s="40" t="str">
        <f aca="false">IF(INDEX(BookTitle,1486)="","",INDEX(BookRank,1486))</f>
        <v/>
      </c>
      <c r="I1491" s="41" t="str">
        <f aca="false">IF(INDEX(BookTitle,1486)="","",INDEX(BookTotal,1486))</f>
        <v/>
      </c>
      <c r="J1491" s="0" t="str">
        <f aca="false">IF($I1491="","",IF(INDEX(BookQ1,1486)&gt;0,"Q1",IF(INDEX(BookQ2,1486)&gt;0,"Q2",IF(INDEX(BookQ3,1486)&gt;0,"Q3",IF(INDEX(BookQ4,1486)&gt;0,"Q4","")))))</f>
        <v/>
      </c>
      <c r="K1491" s="42" t="str">
        <f aca="false">IF(INDEX(BookTitle,1486)="","",INDEX(BookInYear,1486))</f>
        <v/>
      </c>
      <c r="L1491" s="19"/>
      <c r="M1491" s="39"/>
      <c r="N1491" s="19"/>
      <c r="O1491" s="19"/>
      <c r="P1491" s="43" t="str">
        <f aca="false">IF($E1491="","",IF($L1491="Decline",0,IF($L1491="Approve fewer",IF($M1491="","",$M1491),IF($L1491="","",$I1491))))</f>
        <v/>
      </c>
      <c r="Q1491" s="34" t="str">
        <f aca="false">IF($P1491="","",IF($N1491&lt;&gt;"",$N1491,$J1491))</f>
        <v/>
      </c>
      <c r="R1491" s="35" t="str">
        <f aca="false">IF(OR($P1491="",$Q1491=""),"",INDEX(BookRate,1486)*$P1491*(5-MATCH($Q1491,{"Q1";"Q2";"Q3";"Q4"},0))/4+INDEX(BookOneOff,1486)*$P1491)</f>
        <v/>
      </c>
      <c r="S1491" s="35" t="str">
        <f aca="false">IF($P1491="","",INDEX(BookRate,1486)*$P1491)</f>
        <v/>
      </c>
      <c r="T1491" s="35" t="str">
        <f aca="false">IF($R1491="","",$R1491-$K1491)</f>
        <v/>
      </c>
      <c r="U1491" s="35" t="str">
        <f aca="false">IF(N($P1491)&lt;=0,"",COUNTIF($P$6:$P1491,"&gt;0"))</f>
        <v/>
      </c>
    </row>
    <row r="1492" customFormat="false" ht="15" hidden="false" customHeight="false" outlineLevel="0" collapsed="false">
      <c r="A1492" s="40" t="str">
        <f aca="false">IF(INDEX(BookTitle,1487)="","",INDEX(BookGroup,1487))</f>
        <v/>
      </c>
      <c r="B1492" s="40" t="str">
        <f aca="false">IF(INDEX(BookTitle,1487)="","",INDEX(BookRef,1487))</f>
        <v/>
      </c>
      <c r="C1492" s="40" t="str">
        <f aca="false">IF(INDEX(BookTitle,1487)="","",INDEX(BookDivision,1487))</f>
        <v/>
      </c>
      <c r="D1492" s="40" t="str">
        <f aca="false">IF(INDEX(BookTitle,1487)="","",INDEX(BookUnit,1487))</f>
        <v/>
      </c>
      <c r="E1492" s="40" t="str">
        <f aca="false">IF(INDEX(BookTitle,1487)="","",INDEX(BookTitle,1487))</f>
        <v/>
      </c>
      <c r="F1492" s="40" t="str">
        <f aca="false">IF(INDEX(BookTitle,1487)="","",INDEX(BookLevel,1487))</f>
        <v/>
      </c>
      <c r="G1492" s="40" t="str">
        <f aca="false">IF(INDEX(BookTitle,1487)="","",INDEX(BookCategory,1487))</f>
        <v/>
      </c>
      <c r="H1492" s="40" t="str">
        <f aca="false">IF(INDEX(BookTitle,1487)="","",INDEX(BookRank,1487))</f>
        <v/>
      </c>
      <c r="I1492" s="41" t="str">
        <f aca="false">IF(INDEX(BookTitle,1487)="","",INDEX(BookTotal,1487))</f>
        <v/>
      </c>
      <c r="J1492" s="0" t="str">
        <f aca="false">IF($I1492="","",IF(INDEX(BookQ1,1487)&gt;0,"Q1",IF(INDEX(BookQ2,1487)&gt;0,"Q2",IF(INDEX(BookQ3,1487)&gt;0,"Q3",IF(INDEX(BookQ4,1487)&gt;0,"Q4","")))))</f>
        <v/>
      </c>
      <c r="K1492" s="42" t="str">
        <f aca="false">IF(INDEX(BookTitle,1487)="","",INDEX(BookInYear,1487))</f>
        <v/>
      </c>
      <c r="L1492" s="19"/>
      <c r="M1492" s="39"/>
      <c r="N1492" s="19"/>
      <c r="O1492" s="19"/>
      <c r="P1492" s="43" t="str">
        <f aca="false">IF($E1492="","",IF($L1492="Decline",0,IF($L1492="Approve fewer",IF($M1492="","",$M1492),IF($L1492="","",$I1492))))</f>
        <v/>
      </c>
      <c r="Q1492" s="34" t="str">
        <f aca="false">IF($P1492="","",IF($N1492&lt;&gt;"",$N1492,$J1492))</f>
        <v/>
      </c>
      <c r="R1492" s="35" t="str">
        <f aca="false">IF(OR($P1492="",$Q1492=""),"",INDEX(BookRate,1487)*$P1492*(5-MATCH($Q1492,{"Q1";"Q2";"Q3";"Q4"},0))/4+INDEX(BookOneOff,1487)*$P1492)</f>
        <v/>
      </c>
      <c r="S1492" s="35" t="str">
        <f aca="false">IF($P1492="","",INDEX(BookRate,1487)*$P1492)</f>
        <v/>
      </c>
      <c r="T1492" s="35" t="str">
        <f aca="false">IF($R1492="","",$R1492-$K1492)</f>
        <v/>
      </c>
      <c r="U1492" s="35" t="str">
        <f aca="false">IF(N($P1492)&lt;=0,"",COUNTIF($P$6:$P1492,"&gt;0"))</f>
        <v/>
      </c>
    </row>
    <row r="1493" customFormat="false" ht="15" hidden="false" customHeight="false" outlineLevel="0" collapsed="false">
      <c r="A1493" s="40" t="str">
        <f aca="false">IF(INDEX(BookTitle,1488)="","",INDEX(BookGroup,1488))</f>
        <v/>
      </c>
      <c r="B1493" s="40" t="str">
        <f aca="false">IF(INDEX(BookTitle,1488)="","",INDEX(BookRef,1488))</f>
        <v/>
      </c>
      <c r="C1493" s="40" t="str">
        <f aca="false">IF(INDEX(BookTitle,1488)="","",INDEX(BookDivision,1488))</f>
        <v/>
      </c>
      <c r="D1493" s="40" t="str">
        <f aca="false">IF(INDEX(BookTitle,1488)="","",INDEX(BookUnit,1488))</f>
        <v/>
      </c>
      <c r="E1493" s="40" t="str">
        <f aca="false">IF(INDEX(BookTitle,1488)="","",INDEX(BookTitle,1488))</f>
        <v/>
      </c>
      <c r="F1493" s="40" t="str">
        <f aca="false">IF(INDEX(BookTitle,1488)="","",INDEX(BookLevel,1488))</f>
        <v/>
      </c>
      <c r="G1493" s="40" t="str">
        <f aca="false">IF(INDEX(BookTitle,1488)="","",INDEX(BookCategory,1488))</f>
        <v/>
      </c>
      <c r="H1493" s="40" t="str">
        <f aca="false">IF(INDEX(BookTitle,1488)="","",INDEX(BookRank,1488))</f>
        <v/>
      </c>
      <c r="I1493" s="41" t="str">
        <f aca="false">IF(INDEX(BookTitle,1488)="","",INDEX(BookTotal,1488))</f>
        <v/>
      </c>
      <c r="J1493" s="0" t="str">
        <f aca="false">IF($I1493="","",IF(INDEX(BookQ1,1488)&gt;0,"Q1",IF(INDEX(BookQ2,1488)&gt;0,"Q2",IF(INDEX(BookQ3,1488)&gt;0,"Q3",IF(INDEX(BookQ4,1488)&gt;0,"Q4","")))))</f>
        <v/>
      </c>
      <c r="K1493" s="42" t="str">
        <f aca="false">IF(INDEX(BookTitle,1488)="","",INDEX(BookInYear,1488))</f>
        <v/>
      </c>
      <c r="L1493" s="19"/>
      <c r="M1493" s="39"/>
      <c r="N1493" s="19"/>
      <c r="O1493" s="19"/>
      <c r="P1493" s="43" t="str">
        <f aca="false">IF($E1493="","",IF($L1493="Decline",0,IF($L1493="Approve fewer",IF($M1493="","",$M1493),IF($L1493="","",$I1493))))</f>
        <v/>
      </c>
      <c r="Q1493" s="34" t="str">
        <f aca="false">IF($P1493="","",IF($N1493&lt;&gt;"",$N1493,$J1493))</f>
        <v/>
      </c>
      <c r="R1493" s="35" t="str">
        <f aca="false">IF(OR($P1493="",$Q1493=""),"",INDEX(BookRate,1488)*$P1493*(5-MATCH($Q1493,{"Q1";"Q2";"Q3";"Q4"},0))/4+INDEX(BookOneOff,1488)*$P1493)</f>
        <v/>
      </c>
      <c r="S1493" s="35" t="str">
        <f aca="false">IF($P1493="","",INDEX(BookRate,1488)*$P1493)</f>
        <v/>
      </c>
      <c r="T1493" s="35" t="str">
        <f aca="false">IF($R1493="","",$R1493-$K1493)</f>
        <v/>
      </c>
      <c r="U1493" s="35" t="str">
        <f aca="false">IF(N($P1493)&lt;=0,"",COUNTIF($P$6:$P1493,"&gt;0"))</f>
        <v/>
      </c>
    </row>
    <row r="1494" customFormat="false" ht="15" hidden="false" customHeight="false" outlineLevel="0" collapsed="false">
      <c r="A1494" s="40" t="str">
        <f aca="false">IF(INDEX(BookTitle,1489)="","",INDEX(BookGroup,1489))</f>
        <v/>
      </c>
      <c r="B1494" s="40" t="str">
        <f aca="false">IF(INDEX(BookTitle,1489)="","",INDEX(BookRef,1489))</f>
        <v/>
      </c>
      <c r="C1494" s="40" t="str">
        <f aca="false">IF(INDEX(BookTitle,1489)="","",INDEX(BookDivision,1489))</f>
        <v/>
      </c>
      <c r="D1494" s="40" t="str">
        <f aca="false">IF(INDEX(BookTitle,1489)="","",INDEX(BookUnit,1489))</f>
        <v/>
      </c>
      <c r="E1494" s="40" t="str">
        <f aca="false">IF(INDEX(BookTitle,1489)="","",INDEX(BookTitle,1489))</f>
        <v/>
      </c>
      <c r="F1494" s="40" t="str">
        <f aca="false">IF(INDEX(BookTitle,1489)="","",INDEX(BookLevel,1489))</f>
        <v/>
      </c>
      <c r="G1494" s="40" t="str">
        <f aca="false">IF(INDEX(BookTitle,1489)="","",INDEX(BookCategory,1489))</f>
        <v/>
      </c>
      <c r="H1494" s="40" t="str">
        <f aca="false">IF(INDEX(BookTitle,1489)="","",INDEX(BookRank,1489))</f>
        <v/>
      </c>
      <c r="I1494" s="41" t="str">
        <f aca="false">IF(INDEX(BookTitle,1489)="","",INDEX(BookTotal,1489))</f>
        <v/>
      </c>
      <c r="J1494" s="0" t="str">
        <f aca="false">IF($I1494="","",IF(INDEX(BookQ1,1489)&gt;0,"Q1",IF(INDEX(BookQ2,1489)&gt;0,"Q2",IF(INDEX(BookQ3,1489)&gt;0,"Q3",IF(INDEX(BookQ4,1489)&gt;0,"Q4","")))))</f>
        <v/>
      </c>
      <c r="K1494" s="42" t="str">
        <f aca="false">IF(INDEX(BookTitle,1489)="","",INDEX(BookInYear,1489))</f>
        <v/>
      </c>
      <c r="L1494" s="19"/>
      <c r="M1494" s="39"/>
      <c r="N1494" s="19"/>
      <c r="O1494" s="19"/>
      <c r="P1494" s="43" t="str">
        <f aca="false">IF($E1494="","",IF($L1494="Decline",0,IF($L1494="Approve fewer",IF($M1494="","",$M1494),IF($L1494="","",$I1494))))</f>
        <v/>
      </c>
      <c r="Q1494" s="34" t="str">
        <f aca="false">IF($P1494="","",IF($N1494&lt;&gt;"",$N1494,$J1494))</f>
        <v/>
      </c>
      <c r="R1494" s="35" t="str">
        <f aca="false">IF(OR($P1494="",$Q1494=""),"",INDEX(BookRate,1489)*$P1494*(5-MATCH($Q1494,{"Q1";"Q2";"Q3";"Q4"},0))/4+INDEX(BookOneOff,1489)*$P1494)</f>
        <v/>
      </c>
      <c r="S1494" s="35" t="str">
        <f aca="false">IF($P1494="","",INDEX(BookRate,1489)*$P1494)</f>
        <v/>
      </c>
      <c r="T1494" s="35" t="str">
        <f aca="false">IF($R1494="","",$R1494-$K1494)</f>
        <v/>
      </c>
      <c r="U1494" s="35" t="str">
        <f aca="false">IF(N($P1494)&lt;=0,"",COUNTIF($P$6:$P1494,"&gt;0"))</f>
        <v/>
      </c>
    </row>
    <row r="1495" customFormat="false" ht="15" hidden="false" customHeight="false" outlineLevel="0" collapsed="false">
      <c r="A1495" s="40" t="str">
        <f aca="false">IF(INDEX(BookTitle,1490)="","",INDEX(BookGroup,1490))</f>
        <v/>
      </c>
      <c r="B1495" s="40" t="str">
        <f aca="false">IF(INDEX(BookTitle,1490)="","",INDEX(BookRef,1490))</f>
        <v/>
      </c>
      <c r="C1495" s="40" t="str">
        <f aca="false">IF(INDEX(BookTitle,1490)="","",INDEX(BookDivision,1490))</f>
        <v/>
      </c>
      <c r="D1495" s="40" t="str">
        <f aca="false">IF(INDEX(BookTitle,1490)="","",INDEX(BookUnit,1490))</f>
        <v/>
      </c>
      <c r="E1495" s="40" t="str">
        <f aca="false">IF(INDEX(BookTitle,1490)="","",INDEX(BookTitle,1490))</f>
        <v/>
      </c>
      <c r="F1495" s="40" t="str">
        <f aca="false">IF(INDEX(BookTitle,1490)="","",INDEX(BookLevel,1490))</f>
        <v/>
      </c>
      <c r="G1495" s="40" t="str">
        <f aca="false">IF(INDEX(BookTitle,1490)="","",INDEX(BookCategory,1490))</f>
        <v/>
      </c>
      <c r="H1495" s="40" t="str">
        <f aca="false">IF(INDEX(BookTitle,1490)="","",INDEX(BookRank,1490))</f>
        <v/>
      </c>
      <c r="I1495" s="41" t="str">
        <f aca="false">IF(INDEX(BookTitle,1490)="","",INDEX(BookTotal,1490))</f>
        <v/>
      </c>
      <c r="J1495" s="0" t="str">
        <f aca="false">IF($I1495="","",IF(INDEX(BookQ1,1490)&gt;0,"Q1",IF(INDEX(BookQ2,1490)&gt;0,"Q2",IF(INDEX(BookQ3,1490)&gt;0,"Q3",IF(INDEX(BookQ4,1490)&gt;0,"Q4","")))))</f>
        <v/>
      </c>
      <c r="K1495" s="42" t="str">
        <f aca="false">IF(INDEX(BookTitle,1490)="","",INDEX(BookInYear,1490))</f>
        <v/>
      </c>
      <c r="L1495" s="19"/>
      <c r="M1495" s="39"/>
      <c r="N1495" s="19"/>
      <c r="O1495" s="19"/>
      <c r="P1495" s="43" t="str">
        <f aca="false">IF($E1495="","",IF($L1495="Decline",0,IF($L1495="Approve fewer",IF($M1495="","",$M1495),IF($L1495="","",$I1495))))</f>
        <v/>
      </c>
      <c r="Q1495" s="34" t="str">
        <f aca="false">IF($P1495="","",IF($N1495&lt;&gt;"",$N1495,$J1495))</f>
        <v/>
      </c>
      <c r="R1495" s="35" t="str">
        <f aca="false">IF(OR($P1495="",$Q1495=""),"",INDEX(BookRate,1490)*$P1495*(5-MATCH($Q1495,{"Q1";"Q2";"Q3";"Q4"},0))/4+INDEX(BookOneOff,1490)*$P1495)</f>
        <v/>
      </c>
      <c r="S1495" s="35" t="str">
        <f aca="false">IF($P1495="","",INDEX(BookRate,1490)*$P1495)</f>
        <v/>
      </c>
      <c r="T1495" s="35" t="str">
        <f aca="false">IF($R1495="","",$R1495-$K1495)</f>
        <v/>
      </c>
      <c r="U1495" s="35" t="str">
        <f aca="false">IF(N($P1495)&lt;=0,"",COUNTIF($P$6:$P1495,"&gt;0"))</f>
        <v/>
      </c>
    </row>
    <row r="1496" customFormat="false" ht="15" hidden="false" customHeight="false" outlineLevel="0" collapsed="false">
      <c r="A1496" s="40" t="str">
        <f aca="false">IF(INDEX(BookTitle,1491)="","",INDEX(BookGroup,1491))</f>
        <v/>
      </c>
      <c r="B1496" s="40" t="str">
        <f aca="false">IF(INDEX(BookTitle,1491)="","",INDEX(BookRef,1491))</f>
        <v/>
      </c>
      <c r="C1496" s="40" t="str">
        <f aca="false">IF(INDEX(BookTitle,1491)="","",INDEX(BookDivision,1491))</f>
        <v/>
      </c>
      <c r="D1496" s="40" t="str">
        <f aca="false">IF(INDEX(BookTitle,1491)="","",INDEX(BookUnit,1491))</f>
        <v/>
      </c>
      <c r="E1496" s="40" t="str">
        <f aca="false">IF(INDEX(BookTitle,1491)="","",INDEX(BookTitle,1491))</f>
        <v/>
      </c>
      <c r="F1496" s="40" t="str">
        <f aca="false">IF(INDEX(BookTitle,1491)="","",INDEX(BookLevel,1491))</f>
        <v/>
      </c>
      <c r="G1496" s="40" t="str">
        <f aca="false">IF(INDEX(BookTitle,1491)="","",INDEX(BookCategory,1491))</f>
        <v/>
      </c>
      <c r="H1496" s="40" t="str">
        <f aca="false">IF(INDEX(BookTitle,1491)="","",INDEX(BookRank,1491))</f>
        <v/>
      </c>
      <c r="I1496" s="41" t="str">
        <f aca="false">IF(INDEX(BookTitle,1491)="","",INDEX(BookTotal,1491))</f>
        <v/>
      </c>
      <c r="J1496" s="0" t="str">
        <f aca="false">IF($I1496="","",IF(INDEX(BookQ1,1491)&gt;0,"Q1",IF(INDEX(BookQ2,1491)&gt;0,"Q2",IF(INDEX(BookQ3,1491)&gt;0,"Q3",IF(INDEX(BookQ4,1491)&gt;0,"Q4","")))))</f>
        <v/>
      </c>
      <c r="K1496" s="42" t="str">
        <f aca="false">IF(INDEX(BookTitle,1491)="","",INDEX(BookInYear,1491))</f>
        <v/>
      </c>
      <c r="L1496" s="19"/>
      <c r="M1496" s="39"/>
      <c r="N1496" s="19"/>
      <c r="O1496" s="19"/>
      <c r="P1496" s="43" t="str">
        <f aca="false">IF($E1496="","",IF($L1496="Decline",0,IF($L1496="Approve fewer",IF($M1496="","",$M1496),IF($L1496="","",$I1496))))</f>
        <v/>
      </c>
      <c r="Q1496" s="34" t="str">
        <f aca="false">IF($P1496="","",IF($N1496&lt;&gt;"",$N1496,$J1496))</f>
        <v/>
      </c>
      <c r="R1496" s="35" t="str">
        <f aca="false">IF(OR($P1496="",$Q1496=""),"",INDEX(BookRate,1491)*$P1496*(5-MATCH($Q1496,{"Q1";"Q2";"Q3";"Q4"},0))/4+INDEX(BookOneOff,1491)*$P1496)</f>
        <v/>
      </c>
      <c r="S1496" s="35" t="str">
        <f aca="false">IF($P1496="","",INDEX(BookRate,1491)*$P1496)</f>
        <v/>
      </c>
      <c r="T1496" s="35" t="str">
        <f aca="false">IF($R1496="","",$R1496-$K1496)</f>
        <v/>
      </c>
      <c r="U1496" s="35" t="str">
        <f aca="false">IF(N($P1496)&lt;=0,"",COUNTIF($P$6:$P1496,"&gt;0"))</f>
        <v/>
      </c>
    </row>
    <row r="1497" customFormat="false" ht="15" hidden="false" customHeight="false" outlineLevel="0" collapsed="false">
      <c r="A1497" s="40" t="str">
        <f aca="false">IF(INDEX(BookTitle,1492)="","",INDEX(BookGroup,1492))</f>
        <v/>
      </c>
      <c r="B1497" s="40" t="str">
        <f aca="false">IF(INDEX(BookTitle,1492)="","",INDEX(BookRef,1492))</f>
        <v/>
      </c>
      <c r="C1497" s="40" t="str">
        <f aca="false">IF(INDEX(BookTitle,1492)="","",INDEX(BookDivision,1492))</f>
        <v/>
      </c>
      <c r="D1497" s="40" t="str">
        <f aca="false">IF(INDEX(BookTitle,1492)="","",INDEX(BookUnit,1492))</f>
        <v/>
      </c>
      <c r="E1497" s="40" t="str">
        <f aca="false">IF(INDEX(BookTitle,1492)="","",INDEX(BookTitle,1492))</f>
        <v/>
      </c>
      <c r="F1497" s="40" t="str">
        <f aca="false">IF(INDEX(BookTitle,1492)="","",INDEX(BookLevel,1492))</f>
        <v/>
      </c>
      <c r="G1497" s="40" t="str">
        <f aca="false">IF(INDEX(BookTitle,1492)="","",INDEX(BookCategory,1492))</f>
        <v/>
      </c>
      <c r="H1497" s="40" t="str">
        <f aca="false">IF(INDEX(BookTitle,1492)="","",INDEX(BookRank,1492))</f>
        <v/>
      </c>
      <c r="I1497" s="41" t="str">
        <f aca="false">IF(INDEX(BookTitle,1492)="","",INDEX(BookTotal,1492))</f>
        <v/>
      </c>
      <c r="J1497" s="0" t="str">
        <f aca="false">IF($I1497="","",IF(INDEX(BookQ1,1492)&gt;0,"Q1",IF(INDEX(BookQ2,1492)&gt;0,"Q2",IF(INDEX(BookQ3,1492)&gt;0,"Q3",IF(INDEX(BookQ4,1492)&gt;0,"Q4","")))))</f>
        <v/>
      </c>
      <c r="K1497" s="42" t="str">
        <f aca="false">IF(INDEX(BookTitle,1492)="","",INDEX(BookInYear,1492))</f>
        <v/>
      </c>
      <c r="L1497" s="19"/>
      <c r="M1497" s="39"/>
      <c r="N1497" s="19"/>
      <c r="O1497" s="19"/>
      <c r="P1497" s="43" t="str">
        <f aca="false">IF($E1497="","",IF($L1497="Decline",0,IF($L1497="Approve fewer",IF($M1497="","",$M1497),IF($L1497="","",$I1497))))</f>
        <v/>
      </c>
      <c r="Q1497" s="34" t="str">
        <f aca="false">IF($P1497="","",IF($N1497&lt;&gt;"",$N1497,$J1497))</f>
        <v/>
      </c>
      <c r="R1497" s="35" t="str">
        <f aca="false">IF(OR($P1497="",$Q1497=""),"",INDEX(BookRate,1492)*$P1497*(5-MATCH($Q1497,{"Q1";"Q2";"Q3";"Q4"},0))/4+INDEX(BookOneOff,1492)*$P1497)</f>
        <v/>
      </c>
      <c r="S1497" s="35" t="str">
        <f aca="false">IF($P1497="","",INDEX(BookRate,1492)*$P1497)</f>
        <v/>
      </c>
      <c r="T1497" s="35" t="str">
        <f aca="false">IF($R1497="","",$R1497-$K1497)</f>
        <v/>
      </c>
      <c r="U1497" s="35" t="str">
        <f aca="false">IF(N($P1497)&lt;=0,"",COUNTIF($P$6:$P1497,"&gt;0"))</f>
        <v/>
      </c>
    </row>
    <row r="1498" customFormat="false" ht="15" hidden="false" customHeight="false" outlineLevel="0" collapsed="false">
      <c r="A1498" s="40" t="str">
        <f aca="false">IF(INDEX(BookTitle,1493)="","",INDEX(BookGroup,1493))</f>
        <v/>
      </c>
      <c r="B1498" s="40" t="str">
        <f aca="false">IF(INDEX(BookTitle,1493)="","",INDEX(BookRef,1493))</f>
        <v/>
      </c>
      <c r="C1498" s="40" t="str">
        <f aca="false">IF(INDEX(BookTitle,1493)="","",INDEX(BookDivision,1493))</f>
        <v/>
      </c>
      <c r="D1498" s="40" t="str">
        <f aca="false">IF(INDEX(BookTitle,1493)="","",INDEX(BookUnit,1493))</f>
        <v/>
      </c>
      <c r="E1498" s="40" t="str">
        <f aca="false">IF(INDEX(BookTitle,1493)="","",INDEX(BookTitle,1493))</f>
        <v/>
      </c>
      <c r="F1498" s="40" t="str">
        <f aca="false">IF(INDEX(BookTitle,1493)="","",INDEX(BookLevel,1493))</f>
        <v/>
      </c>
      <c r="G1498" s="40" t="str">
        <f aca="false">IF(INDEX(BookTitle,1493)="","",INDEX(BookCategory,1493))</f>
        <v/>
      </c>
      <c r="H1498" s="40" t="str">
        <f aca="false">IF(INDEX(BookTitle,1493)="","",INDEX(BookRank,1493))</f>
        <v/>
      </c>
      <c r="I1498" s="41" t="str">
        <f aca="false">IF(INDEX(BookTitle,1493)="","",INDEX(BookTotal,1493))</f>
        <v/>
      </c>
      <c r="J1498" s="0" t="str">
        <f aca="false">IF($I1498="","",IF(INDEX(BookQ1,1493)&gt;0,"Q1",IF(INDEX(BookQ2,1493)&gt;0,"Q2",IF(INDEX(BookQ3,1493)&gt;0,"Q3",IF(INDEX(BookQ4,1493)&gt;0,"Q4","")))))</f>
        <v/>
      </c>
      <c r="K1498" s="42" t="str">
        <f aca="false">IF(INDEX(BookTitle,1493)="","",INDEX(BookInYear,1493))</f>
        <v/>
      </c>
      <c r="L1498" s="19"/>
      <c r="M1498" s="39"/>
      <c r="N1498" s="19"/>
      <c r="O1498" s="19"/>
      <c r="P1498" s="43" t="str">
        <f aca="false">IF($E1498="","",IF($L1498="Decline",0,IF($L1498="Approve fewer",IF($M1498="","",$M1498),IF($L1498="","",$I1498))))</f>
        <v/>
      </c>
      <c r="Q1498" s="34" t="str">
        <f aca="false">IF($P1498="","",IF($N1498&lt;&gt;"",$N1498,$J1498))</f>
        <v/>
      </c>
      <c r="R1498" s="35" t="str">
        <f aca="false">IF(OR($P1498="",$Q1498=""),"",INDEX(BookRate,1493)*$P1498*(5-MATCH($Q1498,{"Q1";"Q2";"Q3";"Q4"},0))/4+INDEX(BookOneOff,1493)*$P1498)</f>
        <v/>
      </c>
      <c r="S1498" s="35" t="str">
        <f aca="false">IF($P1498="","",INDEX(BookRate,1493)*$P1498)</f>
        <v/>
      </c>
      <c r="T1498" s="35" t="str">
        <f aca="false">IF($R1498="","",$R1498-$K1498)</f>
        <v/>
      </c>
      <c r="U1498" s="35" t="str">
        <f aca="false">IF(N($P1498)&lt;=0,"",COUNTIF($P$6:$P1498,"&gt;0"))</f>
        <v/>
      </c>
    </row>
    <row r="1499" customFormat="false" ht="15" hidden="false" customHeight="false" outlineLevel="0" collapsed="false">
      <c r="A1499" s="40" t="str">
        <f aca="false">IF(INDEX(BookTitle,1494)="","",INDEX(BookGroup,1494))</f>
        <v/>
      </c>
      <c r="B1499" s="40" t="str">
        <f aca="false">IF(INDEX(BookTitle,1494)="","",INDEX(BookRef,1494))</f>
        <v/>
      </c>
      <c r="C1499" s="40" t="str">
        <f aca="false">IF(INDEX(BookTitle,1494)="","",INDEX(BookDivision,1494))</f>
        <v/>
      </c>
      <c r="D1499" s="40" t="str">
        <f aca="false">IF(INDEX(BookTitle,1494)="","",INDEX(BookUnit,1494))</f>
        <v/>
      </c>
      <c r="E1499" s="40" t="str">
        <f aca="false">IF(INDEX(BookTitle,1494)="","",INDEX(BookTitle,1494))</f>
        <v/>
      </c>
      <c r="F1499" s="40" t="str">
        <f aca="false">IF(INDEX(BookTitle,1494)="","",INDEX(BookLevel,1494))</f>
        <v/>
      </c>
      <c r="G1499" s="40" t="str">
        <f aca="false">IF(INDEX(BookTitle,1494)="","",INDEX(BookCategory,1494))</f>
        <v/>
      </c>
      <c r="H1499" s="40" t="str">
        <f aca="false">IF(INDEX(BookTitle,1494)="","",INDEX(BookRank,1494))</f>
        <v/>
      </c>
      <c r="I1499" s="41" t="str">
        <f aca="false">IF(INDEX(BookTitle,1494)="","",INDEX(BookTotal,1494))</f>
        <v/>
      </c>
      <c r="J1499" s="0" t="str">
        <f aca="false">IF($I1499="","",IF(INDEX(BookQ1,1494)&gt;0,"Q1",IF(INDEX(BookQ2,1494)&gt;0,"Q2",IF(INDEX(BookQ3,1494)&gt;0,"Q3",IF(INDEX(BookQ4,1494)&gt;0,"Q4","")))))</f>
        <v/>
      </c>
      <c r="K1499" s="42" t="str">
        <f aca="false">IF(INDEX(BookTitle,1494)="","",INDEX(BookInYear,1494))</f>
        <v/>
      </c>
      <c r="L1499" s="19"/>
      <c r="M1499" s="39"/>
      <c r="N1499" s="19"/>
      <c r="O1499" s="19"/>
      <c r="P1499" s="43" t="str">
        <f aca="false">IF($E1499="","",IF($L1499="Decline",0,IF($L1499="Approve fewer",IF($M1499="","",$M1499),IF($L1499="","",$I1499))))</f>
        <v/>
      </c>
      <c r="Q1499" s="34" t="str">
        <f aca="false">IF($P1499="","",IF($N1499&lt;&gt;"",$N1499,$J1499))</f>
        <v/>
      </c>
      <c r="R1499" s="35" t="str">
        <f aca="false">IF(OR($P1499="",$Q1499=""),"",INDEX(BookRate,1494)*$P1499*(5-MATCH($Q1499,{"Q1";"Q2";"Q3";"Q4"},0))/4+INDEX(BookOneOff,1494)*$P1499)</f>
        <v/>
      </c>
      <c r="S1499" s="35" t="str">
        <f aca="false">IF($P1499="","",INDEX(BookRate,1494)*$P1499)</f>
        <v/>
      </c>
      <c r="T1499" s="35" t="str">
        <f aca="false">IF($R1499="","",$R1499-$K1499)</f>
        <v/>
      </c>
      <c r="U1499" s="35" t="str">
        <f aca="false">IF(N($P1499)&lt;=0,"",COUNTIF($P$6:$P1499,"&gt;0"))</f>
        <v/>
      </c>
    </row>
    <row r="1500" customFormat="false" ht="15" hidden="false" customHeight="false" outlineLevel="0" collapsed="false">
      <c r="A1500" s="40" t="str">
        <f aca="false">IF(INDEX(BookTitle,1495)="","",INDEX(BookGroup,1495))</f>
        <v/>
      </c>
      <c r="B1500" s="40" t="str">
        <f aca="false">IF(INDEX(BookTitle,1495)="","",INDEX(BookRef,1495))</f>
        <v/>
      </c>
      <c r="C1500" s="40" t="str">
        <f aca="false">IF(INDEX(BookTitle,1495)="","",INDEX(BookDivision,1495))</f>
        <v/>
      </c>
      <c r="D1500" s="40" t="str">
        <f aca="false">IF(INDEX(BookTitle,1495)="","",INDEX(BookUnit,1495))</f>
        <v/>
      </c>
      <c r="E1500" s="40" t="str">
        <f aca="false">IF(INDEX(BookTitle,1495)="","",INDEX(BookTitle,1495))</f>
        <v/>
      </c>
      <c r="F1500" s="40" t="str">
        <f aca="false">IF(INDEX(BookTitle,1495)="","",INDEX(BookLevel,1495))</f>
        <v/>
      </c>
      <c r="G1500" s="40" t="str">
        <f aca="false">IF(INDEX(BookTitle,1495)="","",INDEX(BookCategory,1495))</f>
        <v/>
      </c>
      <c r="H1500" s="40" t="str">
        <f aca="false">IF(INDEX(BookTitle,1495)="","",INDEX(BookRank,1495))</f>
        <v/>
      </c>
      <c r="I1500" s="41" t="str">
        <f aca="false">IF(INDEX(BookTitle,1495)="","",INDEX(BookTotal,1495))</f>
        <v/>
      </c>
      <c r="J1500" s="0" t="str">
        <f aca="false">IF($I1500="","",IF(INDEX(BookQ1,1495)&gt;0,"Q1",IF(INDEX(BookQ2,1495)&gt;0,"Q2",IF(INDEX(BookQ3,1495)&gt;0,"Q3",IF(INDEX(BookQ4,1495)&gt;0,"Q4","")))))</f>
        <v/>
      </c>
      <c r="K1500" s="42" t="str">
        <f aca="false">IF(INDEX(BookTitle,1495)="","",INDEX(BookInYear,1495))</f>
        <v/>
      </c>
      <c r="L1500" s="19"/>
      <c r="M1500" s="39"/>
      <c r="N1500" s="19"/>
      <c r="O1500" s="19"/>
      <c r="P1500" s="43" t="str">
        <f aca="false">IF($E1500="","",IF($L1500="Decline",0,IF($L1500="Approve fewer",IF($M1500="","",$M1500),IF($L1500="","",$I1500))))</f>
        <v/>
      </c>
      <c r="Q1500" s="34" t="str">
        <f aca="false">IF($P1500="","",IF($N1500&lt;&gt;"",$N1500,$J1500))</f>
        <v/>
      </c>
      <c r="R1500" s="35" t="str">
        <f aca="false">IF(OR($P1500="",$Q1500=""),"",INDEX(BookRate,1495)*$P1500*(5-MATCH($Q1500,{"Q1";"Q2";"Q3";"Q4"},0))/4+INDEX(BookOneOff,1495)*$P1500)</f>
        <v/>
      </c>
      <c r="S1500" s="35" t="str">
        <f aca="false">IF($P1500="","",INDEX(BookRate,1495)*$P1500)</f>
        <v/>
      </c>
      <c r="T1500" s="35" t="str">
        <f aca="false">IF($R1500="","",$R1500-$K1500)</f>
        <v/>
      </c>
      <c r="U1500" s="35" t="str">
        <f aca="false">IF(N($P1500)&lt;=0,"",COUNTIF($P$6:$P1500,"&gt;0"))</f>
        <v/>
      </c>
    </row>
    <row r="1501" customFormat="false" ht="15" hidden="false" customHeight="false" outlineLevel="0" collapsed="false">
      <c r="A1501" s="40" t="str">
        <f aca="false">IF(INDEX(BookTitle,1496)="","",INDEX(BookGroup,1496))</f>
        <v/>
      </c>
      <c r="B1501" s="40" t="str">
        <f aca="false">IF(INDEX(BookTitle,1496)="","",INDEX(BookRef,1496))</f>
        <v/>
      </c>
      <c r="C1501" s="40" t="str">
        <f aca="false">IF(INDEX(BookTitle,1496)="","",INDEX(BookDivision,1496))</f>
        <v/>
      </c>
      <c r="D1501" s="40" t="str">
        <f aca="false">IF(INDEX(BookTitle,1496)="","",INDEX(BookUnit,1496))</f>
        <v/>
      </c>
      <c r="E1501" s="40" t="str">
        <f aca="false">IF(INDEX(BookTitle,1496)="","",INDEX(BookTitle,1496))</f>
        <v/>
      </c>
      <c r="F1501" s="40" t="str">
        <f aca="false">IF(INDEX(BookTitle,1496)="","",INDEX(BookLevel,1496))</f>
        <v/>
      </c>
      <c r="G1501" s="40" t="str">
        <f aca="false">IF(INDEX(BookTitle,1496)="","",INDEX(BookCategory,1496))</f>
        <v/>
      </c>
      <c r="H1501" s="40" t="str">
        <f aca="false">IF(INDEX(BookTitle,1496)="","",INDEX(BookRank,1496))</f>
        <v/>
      </c>
      <c r="I1501" s="41" t="str">
        <f aca="false">IF(INDEX(BookTitle,1496)="","",INDEX(BookTotal,1496))</f>
        <v/>
      </c>
      <c r="J1501" s="0" t="str">
        <f aca="false">IF($I1501="","",IF(INDEX(BookQ1,1496)&gt;0,"Q1",IF(INDEX(BookQ2,1496)&gt;0,"Q2",IF(INDEX(BookQ3,1496)&gt;0,"Q3",IF(INDEX(BookQ4,1496)&gt;0,"Q4","")))))</f>
        <v/>
      </c>
      <c r="K1501" s="42" t="str">
        <f aca="false">IF(INDEX(BookTitle,1496)="","",INDEX(BookInYear,1496))</f>
        <v/>
      </c>
      <c r="L1501" s="19"/>
      <c r="M1501" s="39"/>
      <c r="N1501" s="19"/>
      <c r="O1501" s="19"/>
      <c r="P1501" s="43" t="str">
        <f aca="false">IF($E1501="","",IF($L1501="Decline",0,IF($L1501="Approve fewer",IF($M1501="","",$M1501),IF($L1501="","",$I1501))))</f>
        <v/>
      </c>
      <c r="Q1501" s="34" t="str">
        <f aca="false">IF($P1501="","",IF($N1501&lt;&gt;"",$N1501,$J1501))</f>
        <v/>
      </c>
      <c r="R1501" s="35" t="str">
        <f aca="false">IF(OR($P1501="",$Q1501=""),"",INDEX(BookRate,1496)*$P1501*(5-MATCH($Q1501,{"Q1";"Q2";"Q3";"Q4"},0))/4+INDEX(BookOneOff,1496)*$P1501)</f>
        <v/>
      </c>
      <c r="S1501" s="35" t="str">
        <f aca="false">IF($P1501="","",INDEX(BookRate,1496)*$P1501)</f>
        <v/>
      </c>
      <c r="T1501" s="35" t="str">
        <f aca="false">IF($R1501="","",$R1501-$K1501)</f>
        <v/>
      </c>
      <c r="U1501" s="35" t="str">
        <f aca="false">IF(N($P1501)&lt;=0,"",COUNTIF($P$6:$P1501,"&gt;0"))</f>
        <v/>
      </c>
    </row>
    <row r="1502" customFormat="false" ht="15" hidden="false" customHeight="false" outlineLevel="0" collapsed="false">
      <c r="A1502" s="40" t="str">
        <f aca="false">IF(INDEX(BookTitle,1497)="","",INDEX(BookGroup,1497))</f>
        <v/>
      </c>
      <c r="B1502" s="40" t="str">
        <f aca="false">IF(INDEX(BookTitle,1497)="","",INDEX(BookRef,1497))</f>
        <v/>
      </c>
      <c r="C1502" s="40" t="str">
        <f aca="false">IF(INDEX(BookTitle,1497)="","",INDEX(BookDivision,1497))</f>
        <v/>
      </c>
      <c r="D1502" s="40" t="str">
        <f aca="false">IF(INDEX(BookTitle,1497)="","",INDEX(BookUnit,1497))</f>
        <v/>
      </c>
      <c r="E1502" s="40" t="str">
        <f aca="false">IF(INDEX(BookTitle,1497)="","",INDEX(BookTitle,1497))</f>
        <v/>
      </c>
      <c r="F1502" s="40" t="str">
        <f aca="false">IF(INDEX(BookTitle,1497)="","",INDEX(BookLevel,1497))</f>
        <v/>
      </c>
      <c r="G1502" s="40" t="str">
        <f aca="false">IF(INDEX(BookTitle,1497)="","",INDEX(BookCategory,1497))</f>
        <v/>
      </c>
      <c r="H1502" s="40" t="str">
        <f aca="false">IF(INDEX(BookTitle,1497)="","",INDEX(BookRank,1497))</f>
        <v/>
      </c>
      <c r="I1502" s="41" t="str">
        <f aca="false">IF(INDEX(BookTitle,1497)="","",INDEX(BookTotal,1497))</f>
        <v/>
      </c>
      <c r="J1502" s="0" t="str">
        <f aca="false">IF($I1502="","",IF(INDEX(BookQ1,1497)&gt;0,"Q1",IF(INDEX(BookQ2,1497)&gt;0,"Q2",IF(INDEX(BookQ3,1497)&gt;0,"Q3",IF(INDEX(BookQ4,1497)&gt;0,"Q4","")))))</f>
        <v/>
      </c>
      <c r="K1502" s="42" t="str">
        <f aca="false">IF(INDEX(BookTitle,1497)="","",INDEX(BookInYear,1497))</f>
        <v/>
      </c>
      <c r="L1502" s="19"/>
      <c r="M1502" s="39"/>
      <c r="N1502" s="19"/>
      <c r="O1502" s="19"/>
      <c r="P1502" s="43" t="str">
        <f aca="false">IF($E1502="","",IF($L1502="Decline",0,IF($L1502="Approve fewer",IF($M1502="","",$M1502),IF($L1502="","",$I1502))))</f>
        <v/>
      </c>
      <c r="Q1502" s="34" t="str">
        <f aca="false">IF($P1502="","",IF($N1502&lt;&gt;"",$N1502,$J1502))</f>
        <v/>
      </c>
      <c r="R1502" s="35" t="str">
        <f aca="false">IF(OR($P1502="",$Q1502=""),"",INDEX(BookRate,1497)*$P1502*(5-MATCH($Q1502,{"Q1";"Q2";"Q3";"Q4"},0))/4+INDEX(BookOneOff,1497)*$P1502)</f>
        <v/>
      </c>
      <c r="S1502" s="35" t="str">
        <f aca="false">IF($P1502="","",INDEX(BookRate,1497)*$P1502)</f>
        <v/>
      </c>
      <c r="T1502" s="35" t="str">
        <f aca="false">IF($R1502="","",$R1502-$K1502)</f>
        <v/>
      </c>
      <c r="U1502" s="35" t="str">
        <f aca="false">IF(N($P1502)&lt;=0,"",COUNTIF($P$6:$P1502,"&gt;0"))</f>
        <v/>
      </c>
    </row>
    <row r="1503" customFormat="false" ht="15" hidden="false" customHeight="false" outlineLevel="0" collapsed="false">
      <c r="A1503" s="40" t="str">
        <f aca="false">IF(INDEX(BookTitle,1498)="","",INDEX(BookGroup,1498))</f>
        <v/>
      </c>
      <c r="B1503" s="40" t="str">
        <f aca="false">IF(INDEX(BookTitle,1498)="","",INDEX(BookRef,1498))</f>
        <v/>
      </c>
      <c r="C1503" s="40" t="str">
        <f aca="false">IF(INDEX(BookTitle,1498)="","",INDEX(BookDivision,1498))</f>
        <v/>
      </c>
      <c r="D1503" s="40" t="str">
        <f aca="false">IF(INDEX(BookTitle,1498)="","",INDEX(BookUnit,1498))</f>
        <v/>
      </c>
      <c r="E1503" s="40" t="str">
        <f aca="false">IF(INDEX(BookTitle,1498)="","",INDEX(BookTitle,1498))</f>
        <v/>
      </c>
      <c r="F1503" s="40" t="str">
        <f aca="false">IF(INDEX(BookTitle,1498)="","",INDEX(BookLevel,1498))</f>
        <v/>
      </c>
      <c r="G1503" s="40" t="str">
        <f aca="false">IF(INDEX(BookTitle,1498)="","",INDEX(BookCategory,1498))</f>
        <v/>
      </c>
      <c r="H1503" s="40" t="str">
        <f aca="false">IF(INDEX(BookTitle,1498)="","",INDEX(BookRank,1498))</f>
        <v/>
      </c>
      <c r="I1503" s="41" t="str">
        <f aca="false">IF(INDEX(BookTitle,1498)="","",INDEX(BookTotal,1498))</f>
        <v/>
      </c>
      <c r="J1503" s="0" t="str">
        <f aca="false">IF($I1503="","",IF(INDEX(BookQ1,1498)&gt;0,"Q1",IF(INDEX(BookQ2,1498)&gt;0,"Q2",IF(INDEX(BookQ3,1498)&gt;0,"Q3",IF(INDEX(BookQ4,1498)&gt;0,"Q4","")))))</f>
        <v/>
      </c>
      <c r="K1503" s="42" t="str">
        <f aca="false">IF(INDEX(BookTitle,1498)="","",INDEX(BookInYear,1498))</f>
        <v/>
      </c>
      <c r="L1503" s="19"/>
      <c r="M1503" s="39"/>
      <c r="N1503" s="19"/>
      <c r="O1503" s="19"/>
      <c r="P1503" s="43" t="str">
        <f aca="false">IF($E1503="","",IF($L1503="Decline",0,IF($L1503="Approve fewer",IF($M1503="","",$M1503),IF($L1503="","",$I1503))))</f>
        <v/>
      </c>
      <c r="Q1503" s="34" t="str">
        <f aca="false">IF($P1503="","",IF($N1503&lt;&gt;"",$N1503,$J1503))</f>
        <v/>
      </c>
      <c r="R1503" s="35" t="str">
        <f aca="false">IF(OR($P1503="",$Q1503=""),"",INDEX(BookRate,1498)*$P1503*(5-MATCH($Q1503,{"Q1";"Q2";"Q3";"Q4"},0))/4+INDEX(BookOneOff,1498)*$P1503)</f>
        <v/>
      </c>
      <c r="S1503" s="35" t="str">
        <f aca="false">IF($P1503="","",INDEX(BookRate,1498)*$P1503)</f>
        <v/>
      </c>
      <c r="T1503" s="35" t="str">
        <f aca="false">IF($R1503="","",$R1503-$K1503)</f>
        <v/>
      </c>
      <c r="U1503" s="35" t="str">
        <f aca="false">IF(N($P1503)&lt;=0,"",COUNTIF($P$6:$P1503,"&gt;0"))</f>
        <v/>
      </c>
    </row>
    <row r="1504" customFormat="false" ht="15" hidden="false" customHeight="false" outlineLevel="0" collapsed="false">
      <c r="A1504" s="40" t="str">
        <f aca="false">IF(INDEX(BookTitle,1499)="","",INDEX(BookGroup,1499))</f>
        <v/>
      </c>
      <c r="B1504" s="40" t="str">
        <f aca="false">IF(INDEX(BookTitle,1499)="","",INDEX(BookRef,1499))</f>
        <v/>
      </c>
      <c r="C1504" s="40" t="str">
        <f aca="false">IF(INDEX(BookTitle,1499)="","",INDEX(BookDivision,1499))</f>
        <v/>
      </c>
      <c r="D1504" s="40" t="str">
        <f aca="false">IF(INDEX(BookTitle,1499)="","",INDEX(BookUnit,1499))</f>
        <v/>
      </c>
      <c r="E1504" s="40" t="str">
        <f aca="false">IF(INDEX(BookTitle,1499)="","",INDEX(BookTitle,1499))</f>
        <v/>
      </c>
      <c r="F1504" s="40" t="str">
        <f aca="false">IF(INDEX(BookTitle,1499)="","",INDEX(BookLevel,1499))</f>
        <v/>
      </c>
      <c r="G1504" s="40" t="str">
        <f aca="false">IF(INDEX(BookTitle,1499)="","",INDEX(BookCategory,1499))</f>
        <v/>
      </c>
      <c r="H1504" s="40" t="str">
        <f aca="false">IF(INDEX(BookTitle,1499)="","",INDEX(BookRank,1499))</f>
        <v/>
      </c>
      <c r="I1504" s="41" t="str">
        <f aca="false">IF(INDEX(BookTitle,1499)="","",INDEX(BookTotal,1499))</f>
        <v/>
      </c>
      <c r="J1504" s="0" t="str">
        <f aca="false">IF($I1504="","",IF(INDEX(BookQ1,1499)&gt;0,"Q1",IF(INDEX(BookQ2,1499)&gt;0,"Q2",IF(INDEX(BookQ3,1499)&gt;0,"Q3",IF(INDEX(BookQ4,1499)&gt;0,"Q4","")))))</f>
        <v/>
      </c>
      <c r="K1504" s="42" t="str">
        <f aca="false">IF(INDEX(BookTitle,1499)="","",INDEX(BookInYear,1499))</f>
        <v/>
      </c>
      <c r="L1504" s="19"/>
      <c r="M1504" s="39"/>
      <c r="N1504" s="19"/>
      <c r="O1504" s="19"/>
      <c r="P1504" s="43" t="str">
        <f aca="false">IF($E1504="","",IF($L1504="Decline",0,IF($L1504="Approve fewer",IF($M1504="","",$M1504),IF($L1504="","",$I1504))))</f>
        <v/>
      </c>
      <c r="Q1504" s="34" t="str">
        <f aca="false">IF($P1504="","",IF($N1504&lt;&gt;"",$N1504,$J1504))</f>
        <v/>
      </c>
      <c r="R1504" s="35" t="str">
        <f aca="false">IF(OR($P1504="",$Q1504=""),"",INDEX(BookRate,1499)*$P1504*(5-MATCH($Q1504,{"Q1";"Q2";"Q3";"Q4"},0))/4+INDEX(BookOneOff,1499)*$P1504)</f>
        <v/>
      </c>
      <c r="S1504" s="35" t="str">
        <f aca="false">IF($P1504="","",INDEX(BookRate,1499)*$P1504)</f>
        <v/>
      </c>
      <c r="T1504" s="35" t="str">
        <f aca="false">IF($R1504="","",$R1504-$K1504)</f>
        <v/>
      </c>
      <c r="U1504" s="35" t="str">
        <f aca="false">IF(N($P1504)&lt;=0,"",COUNTIF($P$6:$P1504,"&gt;0"))</f>
        <v/>
      </c>
    </row>
    <row r="1505" customFormat="false" ht="15" hidden="false" customHeight="false" outlineLevel="0" collapsed="false">
      <c r="A1505" s="40" t="str">
        <f aca="false">IF(INDEX(BookTitle,1500)="","",INDEX(BookGroup,1500))</f>
        <v/>
      </c>
      <c r="B1505" s="40" t="str">
        <f aca="false">IF(INDEX(BookTitle,1500)="","",INDEX(BookRef,1500))</f>
        <v/>
      </c>
      <c r="C1505" s="40" t="str">
        <f aca="false">IF(INDEX(BookTitle,1500)="","",INDEX(BookDivision,1500))</f>
        <v/>
      </c>
      <c r="D1505" s="40" t="str">
        <f aca="false">IF(INDEX(BookTitle,1500)="","",INDEX(BookUnit,1500))</f>
        <v/>
      </c>
      <c r="E1505" s="40" t="str">
        <f aca="false">IF(INDEX(BookTitle,1500)="","",INDEX(BookTitle,1500))</f>
        <v/>
      </c>
      <c r="F1505" s="40" t="str">
        <f aca="false">IF(INDEX(BookTitle,1500)="","",INDEX(BookLevel,1500))</f>
        <v/>
      </c>
      <c r="G1505" s="40" t="str">
        <f aca="false">IF(INDEX(BookTitle,1500)="","",INDEX(BookCategory,1500))</f>
        <v/>
      </c>
      <c r="H1505" s="40" t="str">
        <f aca="false">IF(INDEX(BookTitle,1500)="","",INDEX(BookRank,1500))</f>
        <v/>
      </c>
      <c r="I1505" s="41" t="str">
        <f aca="false">IF(INDEX(BookTitle,1500)="","",INDEX(BookTotal,1500))</f>
        <v/>
      </c>
      <c r="J1505" s="0" t="str">
        <f aca="false">IF($I1505="","",IF(INDEX(BookQ1,1500)&gt;0,"Q1",IF(INDEX(BookQ2,1500)&gt;0,"Q2",IF(INDEX(BookQ3,1500)&gt;0,"Q3",IF(INDEX(BookQ4,1500)&gt;0,"Q4","")))))</f>
        <v/>
      </c>
      <c r="K1505" s="42" t="str">
        <f aca="false">IF(INDEX(BookTitle,1500)="","",INDEX(BookInYear,1500))</f>
        <v/>
      </c>
      <c r="L1505" s="19"/>
      <c r="M1505" s="39"/>
      <c r="N1505" s="19"/>
      <c r="O1505" s="19"/>
      <c r="P1505" s="43" t="str">
        <f aca="false">IF($E1505="","",IF($L1505="Decline",0,IF($L1505="Approve fewer",IF($M1505="","",$M1505),IF($L1505="","",$I1505))))</f>
        <v/>
      </c>
      <c r="Q1505" s="34" t="str">
        <f aca="false">IF($P1505="","",IF($N1505&lt;&gt;"",$N1505,$J1505))</f>
        <v/>
      </c>
      <c r="R1505" s="35" t="str">
        <f aca="false">IF(OR($P1505="",$Q1505=""),"",INDEX(BookRate,1500)*$P1505*(5-MATCH($Q1505,{"Q1";"Q2";"Q3";"Q4"},0))/4+INDEX(BookOneOff,1500)*$P1505)</f>
        <v/>
      </c>
      <c r="S1505" s="35" t="str">
        <f aca="false">IF($P1505="","",INDEX(BookRate,1500)*$P1505)</f>
        <v/>
      </c>
      <c r="T1505" s="35" t="str">
        <f aca="false">IF($R1505="","",$R1505-$K1505)</f>
        <v/>
      </c>
      <c r="U1505" s="35" t="str">
        <f aca="false">IF(N($P1505)&lt;=0,"",COUNTIF($P$6:$P1505,"&gt;0"))</f>
        <v/>
      </c>
    </row>
    <row r="1506" customFormat="false" ht="15" hidden="false" customHeight="false" outlineLevel="0" collapsed="false">
      <c r="A1506" s="40" t="str">
        <f aca="false">IF(INDEX(BookTitle,1501)="","",INDEX(BookGroup,1501))</f>
        <v/>
      </c>
      <c r="B1506" s="40" t="str">
        <f aca="false">IF(INDEX(BookTitle,1501)="","",INDEX(BookRef,1501))</f>
        <v/>
      </c>
      <c r="C1506" s="40" t="str">
        <f aca="false">IF(INDEX(BookTitle,1501)="","",INDEX(BookDivision,1501))</f>
        <v/>
      </c>
      <c r="D1506" s="40" t="str">
        <f aca="false">IF(INDEX(BookTitle,1501)="","",INDEX(BookUnit,1501))</f>
        <v/>
      </c>
      <c r="E1506" s="40" t="str">
        <f aca="false">IF(INDEX(BookTitle,1501)="","",INDEX(BookTitle,1501))</f>
        <v/>
      </c>
      <c r="F1506" s="40" t="str">
        <f aca="false">IF(INDEX(BookTitle,1501)="","",INDEX(BookLevel,1501))</f>
        <v/>
      </c>
      <c r="G1506" s="40" t="str">
        <f aca="false">IF(INDEX(BookTitle,1501)="","",INDEX(BookCategory,1501))</f>
        <v/>
      </c>
      <c r="H1506" s="40" t="str">
        <f aca="false">IF(INDEX(BookTitle,1501)="","",INDEX(BookRank,1501))</f>
        <v/>
      </c>
      <c r="I1506" s="41" t="str">
        <f aca="false">IF(INDEX(BookTitle,1501)="","",INDEX(BookTotal,1501))</f>
        <v/>
      </c>
      <c r="J1506" s="0" t="str">
        <f aca="false">IF($I1506="","",IF(INDEX(BookQ1,1501)&gt;0,"Q1",IF(INDEX(BookQ2,1501)&gt;0,"Q2",IF(INDEX(BookQ3,1501)&gt;0,"Q3",IF(INDEX(BookQ4,1501)&gt;0,"Q4","")))))</f>
        <v/>
      </c>
      <c r="K1506" s="42" t="str">
        <f aca="false">IF(INDEX(BookTitle,1501)="","",INDEX(BookInYear,1501))</f>
        <v/>
      </c>
      <c r="L1506" s="19"/>
      <c r="M1506" s="39"/>
      <c r="N1506" s="19"/>
      <c r="O1506" s="19"/>
      <c r="P1506" s="43" t="str">
        <f aca="false">IF($E1506="","",IF($L1506="Decline",0,IF($L1506="Approve fewer",IF($M1506="","",$M1506),IF($L1506="","",$I1506))))</f>
        <v/>
      </c>
      <c r="Q1506" s="34" t="str">
        <f aca="false">IF($P1506="","",IF($N1506&lt;&gt;"",$N1506,$J1506))</f>
        <v/>
      </c>
      <c r="R1506" s="35" t="str">
        <f aca="false">IF(OR($P1506="",$Q1506=""),"",INDEX(BookRate,1501)*$P1506*(5-MATCH($Q1506,{"Q1";"Q2";"Q3";"Q4"},0))/4+INDEX(BookOneOff,1501)*$P1506)</f>
        <v/>
      </c>
      <c r="S1506" s="35" t="str">
        <f aca="false">IF($P1506="","",INDEX(BookRate,1501)*$P1506)</f>
        <v/>
      </c>
      <c r="T1506" s="35" t="str">
        <f aca="false">IF($R1506="","",$R1506-$K1506)</f>
        <v/>
      </c>
      <c r="U1506" s="35" t="str">
        <f aca="false">IF(N($P1506)&lt;=0,"",COUNTIF($P$6:$P1506,"&gt;0"))</f>
        <v/>
      </c>
    </row>
    <row r="1507" customFormat="false" ht="15" hidden="false" customHeight="false" outlineLevel="0" collapsed="false">
      <c r="A1507" s="40" t="str">
        <f aca="false">IF(INDEX(BookTitle,1502)="","",INDEX(BookGroup,1502))</f>
        <v/>
      </c>
      <c r="B1507" s="40" t="str">
        <f aca="false">IF(INDEX(BookTitle,1502)="","",INDEX(BookRef,1502))</f>
        <v/>
      </c>
      <c r="C1507" s="40" t="str">
        <f aca="false">IF(INDEX(BookTitle,1502)="","",INDEX(BookDivision,1502))</f>
        <v/>
      </c>
      <c r="D1507" s="40" t="str">
        <f aca="false">IF(INDEX(BookTitle,1502)="","",INDEX(BookUnit,1502))</f>
        <v/>
      </c>
      <c r="E1507" s="40" t="str">
        <f aca="false">IF(INDEX(BookTitle,1502)="","",INDEX(BookTitle,1502))</f>
        <v/>
      </c>
      <c r="F1507" s="40" t="str">
        <f aca="false">IF(INDEX(BookTitle,1502)="","",INDEX(BookLevel,1502))</f>
        <v/>
      </c>
      <c r="G1507" s="40" t="str">
        <f aca="false">IF(INDEX(BookTitle,1502)="","",INDEX(BookCategory,1502))</f>
        <v/>
      </c>
      <c r="H1507" s="40" t="str">
        <f aca="false">IF(INDEX(BookTitle,1502)="","",INDEX(BookRank,1502))</f>
        <v/>
      </c>
      <c r="I1507" s="41" t="str">
        <f aca="false">IF(INDEX(BookTitle,1502)="","",INDEX(BookTotal,1502))</f>
        <v/>
      </c>
      <c r="J1507" s="0" t="str">
        <f aca="false">IF($I1507="","",IF(INDEX(BookQ1,1502)&gt;0,"Q1",IF(INDEX(BookQ2,1502)&gt;0,"Q2",IF(INDEX(BookQ3,1502)&gt;0,"Q3",IF(INDEX(BookQ4,1502)&gt;0,"Q4","")))))</f>
        <v/>
      </c>
      <c r="K1507" s="42" t="str">
        <f aca="false">IF(INDEX(BookTitle,1502)="","",INDEX(BookInYear,1502))</f>
        <v/>
      </c>
      <c r="L1507" s="19"/>
      <c r="M1507" s="39"/>
      <c r="N1507" s="19"/>
      <c r="O1507" s="19"/>
      <c r="P1507" s="43" t="str">
        <f aca="false">IF($E1507="","",IF($L1507="Decline",0,IF($L1507="Approve fewer",IF($M1507="","",$M1507),IF($L1507="","",$I1507))))</f>
        <v/>
      </c>
      <c r="Q1507" s="34" t="str">
        <f aca="false">IF($P1507="","",IF($N1507&lt;&gt;"",$N1507,$J1507))</f>
        <v/>
      </c>
      <c r="R1507" s="35" t="str">
        <f aca="false">IF(OR($P1507="",$Q1507=""),"",INDEX(BookRate,1502)*$P1507*(5-MATCH($Q1507,{"Q1";"Q2";"Q3";"Q4"},0))/4+INDEX(BookOneOff,1502)*$P1507)</f>
        <v/>
      </c>
      <c r="S1507" s="35" t="str">
        <f aca="false">IF($P1507="","",INDEX(BookRate,1502)*$P1507)</f>
        <v/>
      </c>
      <c r="T1507" s="35" t="str">
        <f aca="false">IF($R1507="","",$R1507-$K1507)</f>
        <v/>
      </c>
      <c r="U1507" s="35" t="str">
        <f aca="false">IF(N($P1507)&lt;=0,"",COUNTIF($P$6:$P1507,"&gt;0"))</f>
        <v/>
      </c>
    </row>
    <row r="1508" customFormat="false" ht="15" hidden="false" customHeight="false" outlineLevel="0" collapsed="false">
      <c r="A1508" s="40" t="str">
        <f aca="false">IF(INDEX(BookTitle,1503)="","",INDEX(BookGroup,1503))</f>
        <v/>
      </c>
      <c r="B1508" s="40" t="str">
        <f aca="false">IF(INDEX(BookTitle,1503)="","",INDEX(BookRef,1503))</f>
        <v/>
      </c>
      <c r="C1508" s="40" t="str">
        <f aca="false">IF(INDEX(BookTitle,1503)="","",INDEX(BookDivision,1503))</f>
        <v/>
      </c>
      <c r="D1508" s="40" t="str">
        <f aca="false">IF(INDEX(BookTitle,1503)="","",INDEX(BookUnit,1503))</f>
        <v/>
      </c>
      <c r="E1508" s="40" t="str">
        <f aca="false">IF(INDEX(BookTitle,1503)="","",INDEX(BookTitle,1503))</f>
        <v/>
      </c>
      <c r="F1508" s="40" t="str">
        <f aca="false">IF(INDEX(BookTitle,1503)="","",INDEX(BookLevel,1503))</f>
        <v/>
      </c>
      <c r="G1508" s="40" t="str">
        <f aca="false">IF(INDEX(BookTitle,1503)="","",INDEX(BookCategory,1503))</f>
        <v/>
      </c>
      <c r="H1508" s="40" t="str">
        <f aca="false">IF(INDEX(BookTitle,1503)="","",INDEX(BookRank,1503))</f>
        <v/>
      </c>
      <c r="I1508" s="41" t="str">
        <f aca="false">IF(INDEX(BookTitle,1503)="","",INDEX(BookTotal,1503))</f>
        <v/>
      </c>
      <c r="J1508" s="0" t="str">
        <f aca="false">IF($I1508="","",IF(INDEX(BookQ1,1503)&gt;0,"Q1",IF(INDEX(BookQ2,1503)&gt;0,"Q2",IF(INDEX(BookQ3,1503)&gt;0,"Q3",IF(INDEX(BookQ4,1503)&gt;0,"Q4","")))))</f>
        <v/>
      </c>
      <c r="K1508" s="42" t="str">
        <f aca="false">IF(INDEX(BookTitle,1503)="","",INDEX(BookInYear,1503))</f>
        <v/>
      </c>
      <c r="L1508" s="19"/>
      <c r="M1508" s="39"/>
      <c r="N1508" s="19"/>
      <c r="O1508" s="19"/>
      <c r="P1508" s="43" t="str">
        <f aca="false">IF($E1508="","",IF($L1508="Decline",0,IF($L1508="Approve fewer",IF($M1508="","",$M1508),IF($L1508="","",$I1508))))</f>
        <v/>
      </c>
      <c r="Q1508" s="34" t="str">
        <f aca="false">IF($P1508="","",IF($N1508&lt;&gt;"",$N1508,$J1508))</f>
        <v/>
      </c>
      <c r="R1508" s="35" t="str">
        <f aca="false">IF(OR($P1508="",$Q1508=""),"",INDEX(BookRate,1503)*$P1508*(5-MATCH($Q1508,{"Q1";"Q2";"Q3";"Q4"},0))/4+INDEX(BookOneOff,1503)*$P1508)</f>
        <v/>
      </c>
      <c r="S1508" s="35" t="str">
        <f aca="false">IF($P1508="","",INDEX(BookRate,1503)*$P1508)</f>
        <v/>
      </c>
      <c r="T1508" s="35" t="str">
        <f aca="false">IF($R1508="","",$R1508-$K1508)</f>
        <v/>
      </c>
      <c r="U1508" s="35" t="str">
        <f aca="false">IF(N($P1508)&lt;=0,"",COUNTIF($P$6:$P1508,"&gt;0"))</f>
        <v/>
      </c>
    </row>
    <row r="1509" customFormat="false" ht="15" hidden="false" customHeight="false" outlineLevel="0" collapsed="false">
      <c r="A1509" s="40" t="str">
        <f aca="false">IF(INDEX(BookTitle,1504)="","",INDEX(BookGroup,1504))</f>
        <v/>
      </c>
      <c r="B1509" s="40" t="str">
        <f aca="false">IF(INDEX(BookTitle,1504)="","",INDEX(BookRef,1504))</f>
        <v/>
      </c>
      <c r="C1509" s="40" t="str">
        <f aca="false">IF(INDEX(BookTitle,1504)="","",INDEX(BookDivision,1504))</f>
        <v/>
      </c>
      <c r="D1509" s="40" t="str">
        <f aca="false">IF(INDEX(BookTitle,1504)="","",INDEX(BookUnit,1504))</f>
        <v/>
      </c>
      <c r="E1509" s="40" t="str">
        <f aca="false">IF(INDEX(BookTitle,1504)="","",INDEX(BookTitle,1504))</f>
        <v/>
      </c>
      <c r="F1509" s="40" t="str">
        <f aca="false">IF(INDEX(BookTitle,1504)="","",INDEX(BookLevel,1504))</f>
        <v/>
      </c>
      <c r="G1509" s="40" t="str">
        <f aca="false">IF(INDEX(BookTitle,1504)="","",INDEX(BookCategory,1504))</f>
        <v/>
      </c>
      <c r="H1509" s="40" t="str">
        <f aca="false">IF(INDEX(BookTitle,1504)="","",INDEX(BookRank,1504))</f>
        <v/>
      </c>
      <c r="I1509" s="41" t="str">
        <f aca="false">IF(INDEX(BookTitle,1504)="","",INDEX(BookTotal,1504))</f>
        <v/>
      </c>
      <c r="J1509" s="0" t="str">
        <f aca="false">IF($I1509="","",IF(INDEX(BookQ1,1504)&gt;0,"Q1",IF(INDEX(BookQ2,1504)&gt;0,"Q2",IF(INDEX(BookQ3,1504)&gt;0,"Q3",IF(INDEX(BookQ4,1504)&gt;0,"Q4","")))))</f>
        <v/>
      </c>
      <c r="K1509" s="42" t="str">
        <f aca="false">IF(INDEX(BookTitle,1504)="","",INDEX(BookInYear,1504))</f>
        <v/>
      </c>
      <c r="L1509" s="19"/>
      <c r="M1509" s="39"/>
      <c r="N1509" s="19"/>
      <c r="O1509" s="19"/>
      <c r="P1509" s="43" t="str">
        <f aca="false">IF($E1509="","",IF($L1509="Decline",0,IF($L1509="Approve fewer",IF($M1509="","",$M1509),IF($L1509="","",$I1509))))</f>
        <v/>
      </c>
      <c r="Q1509" s="34" t="str">
        <f aca="false">IF($P1509="","",IF($N1509&lt;&gt;"",$N1509,$J1509))</f>
        <v/>
      </c>
      <c r="R1509" s="35" t="str">
        <f aca="false">IF(OR($P1509="",$Q1509=""),"",INDEX(BookRate,1504)*$P1509*(5-MATCH($Q1509,{"Q1";"Q2";"Q3";"Q4"},0))/4+INDEX(BookOneOff,1504)*$P1509)</f>
        <v/>
      </c>
      <c r="S1509" s="35" t="str">
        <f aca="false">IF($P1509="","",INDEX(BookRate,1504)*$P1509)</f>
        <v/>
      </c>
      <c r="T1509" s="35" t="str">
        <f aca="false">IF($R1509="","",$R1509-$K1509)</f>
        <v/>
      </c>
      <c r="U1509" s="35" t="str">
        <f aca="false">IF(N($P1509)&lt;=0,"",COUNTIF($P$6:$P1509,"&gt;0"))</f>
        <v/>
      </c>
    </row>
    <row r="1510" customFormat="false" ht="15" hidden="false" customHeight="false" outlineLevel="0" collapsed="false">
      <c r="A1510" s="40" t="str">
        <f aca="false">IF(INDEX(BookTitle,1505)="","",INDEX(BookGroup,1505))</f>
        <v/>
      </c>
      <c r="B1510" s="40" t="str">
        <f aca="false">IF(INDEX(BookTitle,1505)="","",INDEX(BookRef,1505))</f>
        <v/>
      </c>
      <c r="C1510" s="40" t="str">
        <f aca="false">IF(INDEX(BookTitle,1505)="","",INDEX(BookDivision,1505))</f>
        <v/>
      </c>
      <c r="D1510" s="40" t="str">
        <f aca="false">IF(INDEX(BookTitle,1505)="","",INDEX(BookUnit,1505))</f>
        <v/>
      </c>
      <c r="E1510" s="40" t="str">
        <f aca="false">IF(INDEX(BookTitle,1505)="","",INDEX(BookTitle,1505))</f>
        <v/>
      </c>
      <c r="F1510" s="40" t="str">
        <f aca="false">IF(INDEX(BookTitle,1505)="","",INDEX(BookLevel,1505))</f>
        <v/>
      </c>
      <c r="G1510" s="40" t="str">
        <f aca="false">IF(INDEX(BookTitle,1505)="","",INDEX(BookCategory,1505))</f>
        <v/>
      </c>
      <c r="H1510" s="40" t="str">
        <f aca="false">IF(INDEX(BookTitle,1505)="","",INDEX(BookRank,1505))</f>
        <v/>
      </c>
      <c r="I1510" s="41" t="str">
        <f aca="false">IF(INDEX(BookTitle,1505)="","",INDEX(BookTotal,1505))</f>
        <v/>
      </c>
      <c r="J1510" s="0" t="str">
        <f aca="false">IF($I1510="","",IF(INDEX(BookQ1,1505)&gt;0,"Q1",IF(INDEX(BookQ2,1505)&gt;0,"Q2",IF(INDEX(BookQ3,1505)&gt;0,"Q3",IF(INDEX(BookQ4,1505)&gt;0,"Q4","")))))</f>
        <v/>
      </c>
      <c r="K1510" s="42" t="str">
        <f aca="false">IF(INDEX(BookTitle,1505)="","",INDEX(BookInYear,1505))</f>
        <v/>
      </c>
      <c r="L1510" s="19"/>
      <c r="M1510" s="39"/>
      <c r="N1510" s="19"/>
      <c r="O1510" s="19"/>
      <c r="P1510" s="43" t="str">
        <f aca="false">IF($E1510="","",IF($L1510="Decline",0,IF($L1510="Approve fewer",IF($M1510="","",$M1510),IF($L1510="","",$I1510))))</f>
        <v/>
      </c>
      <c r="Q1510" s="34" t="str">
        <f aca="false">IF($P1510="","",IF($N1510&lt;&gt;"",$N1510,$J1510))</f>
        <v/>
      </c>
      <c r="R1510" s="35" t="str">
        <f aca="false">IF(OR($P1510="",$Q1510=""),"",INDEX(BookRate,1505)*$P1510*(5-MATCH($Q1510,{"Q1";"Q2";"Q3";"Q4"},0))/4+INDEX(BookOneOff,1505)*$P1510)</f>
        <v/>
      </c>
      <c r="S1510" s="35" t="str">
        <f aca="false">IF($P1510="","",INDEX(BookRate,1505)*$P1510)</f>
        <v/>
      </c>
      <c r="T1510" s="35" t="str">
        <f aca="false">IF($R1510="","",$R1510-$K1510)</f>
        <v/>
      </c>
      <c r="U1510" s="35" t="str">
        <f aca="false">IF(N($P1510)&lt;=0,"",COUNTIF($P$6:$P1510,"&gt;0"))</f>
        <v/>
      </c>
    </row>
    <row r="1511" customFormat="false" ht="15" hidden="false" customHeight="false" outlineLevel="0" collapsed="false">
      <c r="A1511" s="40" t="str">
        <f aca="false">IF(INDEX(BookTitle,1506)="","",INDEX(BookGroup,1506))</f>
        <v/>
      </c>
      <c r="B1511" s="40" t="str">
        <f aca="false">IF(INDEX(BookTitle,1506)="","",INDEX(BookRef,1506))</f>
        <v/>
      </c>
      <c r="C1511" s="40" t="str">
        <f aca="false">IF(INDEX(BookTitle,1506)="","",INDEX(BookDivision,1506))</f>
        <v/>
      </c>
      <c r="D1511" s="40" t="str">
        <f aca="false">IF(INDEX(BookTitle,1506)="","",INDEX(BookUnit,1506))</f>
        <v/>
      </c>
      <c r="E1511" s="40" t="str">
        <f aca="false">IF(INDEX(BookTitle,1506)="","",INDEX(BookTitle,1506))</f>
        <v/>
      </c>
      <c r="F1511" s="40" t="str">
        <f aca="false">IF(INDEX(BookTitle,1506)="","",INDEX(BookLevel,1506))</f>
        <v/>
      </c>
      <c r="G1511" s="40" t="str">
        <f aca="false">IF(INDEX(BookTitle,1506)="","",INDEX(BookCategory,1506))</f>
        <v/>
      </c>
      <c r="H1511" s="40" t="str">
        <f aca="false">IF(INDEX(BookTitle,1506)="","",INDEX(BookRank,1506))</f>
        <v/>
      </c>
      <c r="I1511" s="41" t="str">
        <f aca="false">IF(INDEX(BookTitle,1506)="","",INDEX(BookTotal,1506))</f>
        <v/>
      </c>
      <c r="J1511" s="0" t="str">
        <f aca="false">IF($I1511="","",IF(INDEX(BookQ1,1506)&gt;0,"Q1",IF(INDEX(BookQ2,1506)&gt;0,"Q2",IF(INDEX(BookQ3,1506)&gt;0,"Q3",IF(INDEX(BookQ4,1506)&gt;0,"Q4","")))))</f>
        <v/>
      </c>
      <c r="K1511" s="42" t="str">
        <f aca="false">IF(INDEX(BookTitle,1506)="","",INDEX(BookInYear,1506))</f>
        <v/>
      </c>
      <c r="L1511" s="19"/>
      <c r="M1511" s="39"/>
      <c r="N1511" s="19"/>
      <c r="O1511" s="19"/>
      <c r="P1511" s="43" t="str">
        <f aca="false">IF($E1511="","",IF($L1511="Decline",0,IF($L1511="Approve fewer",IF($M1511="","",$M1511),IF($L1511="","",$I1511))))</f>
        <v/>
      </c>
      <c r="Q1511" s="34" t="str">
        <f aca="false">IF($P1511="","",IF($N1511&lt;&gt;"",$N1511,$J1511))</f>
        <v/>
      </c>
      <c r="R1511" s="35" t="str">
        <f aca="false">IF(OR($P1511="",$Q1511=""),"",INDEX(BookRate,1506)*$P1511*(5-MATCH($Q1511,{"Q1";"Q2";"Q3";"Q4"},0))/4+INDEX(BookOneOff,1506)*$P1511)</f>
        <v/>
      </c>
      <c r="S1511" s="35" t="str">
        <f aca="false">IF($P1511="","",INDEX(BookRate,1506)*$P1511)</f>
        <v/>
      </c>
      <c r="T1511" s="35" t="str">
        <f aca="false">IF($R1511="","",$R1511-$K1511)</f>
        <v/>
      </c>
      <c r="U1511" s="35" t="str">
        <f aca="false">IF(N($P1511)&lt;=0,"",COUNTIF($P$6:$P1511,"&gt;0"))</f>
        <v/>
      </c>
    </row>
    <row r="1512" customFormat="false" ht="15" hidden="false" customHeight="false" outlineLevel="0" collapsed="false">
      <c r="A1512" s="40" t="str">
        <f aca="false">IF(INDEX(BookTitle,1507)="","",INDEX(BookGroup,1507))</f>
        <v/>
      </c>
      <c r="B1512" s="40" t="str">
        <f aca="false">IF(INDEX(BookTitle,1507)="","",INDEX(BookRef,1507))</f>
        <v/>
      </c>
      <c r="C1512" s="40" t="str">
        <f aca="false">IF(INDEX(BookTitle,1507)="","",INDEX(BookDivision,1507))</f>
        <v/>
      </c>
      <c r="D1512" s="40" t="str">
        <f aca="false">IF(INDEX(BookTitle,1507)="","",INDEX(BookUnit,1507))</f>
        <v/>
      </c>
      <c r="E1512" s="40" t="str">
        <f aca="false">IF(INDEX(BookTitle,1507)="","",INDEX(BookTitle,1507))</f>
        <v/>
      </c>
      <c r="F1512" s="40" t="str">
        <f aca="false">IF(INDEX(BookTitle,1507)="","",INDEX(BookLevel,1507))</f>
        <v/>
      </c>
      <c r="G1512" s="40" t="str">
        <f aca="false">IF(INDEX(BookTitle,1507)="","",INDEX(BookCategory,1507))</f>
        <v/>
      </c>
      <c r="H1512" s="40" t="str">
        <f aca="false">IF(INDEX(BookTitle,1507)="","",INDEX(BookRank,1507))</f>
        <v/>
      </c>
      <c r="I1512" s="41" t="str">
        <f aca="false">IF(INDEX(BookTitle,1507)="","",INDEX(BookTotal,1507))</f>
        <v/>
      </c>
      <c r="J1512" s="0" t="str">
        <f aca="false">IF($I1512="","",IF(INDEX(BookQ1,1507)&gt;0,"Q1",IF(INDEX(BookQ2,1507)&gt;0,"Q2",IF(INDEX(BookQ3,1507)&gt;0,"Q3",IF(INDEX(BookQ4,1507)&gt;0,"Q4","")))))</f>
        <v/>
      </c>
      <c r="K1512" s="42" t="str">
        <f aca="false">IF(INDEX(BookTitle,1507)="","",INDEX(BookInYear,1507))</f>
        <v/>
      </c>
      <c r="L1512" s="19"/>
      <c r="M1512" s="39"/>
      <c r="N1512" s="19"/>
      <c r="O1512" s="19"/>
      <c r="P1512" s="43" t="str">
        <f aca="false">IF($E1512="","",IF($L1512="Decline",0,IF($L1512="Approve fewer",IF($M1512="","",$M1512),IF($L1512="","",$I1512))))</f>
        <v/>
      </c>
      <c r="Q1512" s="34" t="str">
        <f aca="false">IF($P1512="","",IF($N1512&lt;&gt;"",$N1512,$J1512))</f>
        <v/>
      </c>
      <c r="R1512" s="35" t="str">
        <f aca="false">IF(OR($P1512="",$Q1512=""),"",INDEX(BookRate,1507)*$P1512*(5-MATCH($Q1512,{"Q1";"Q2";"Q3";"Q4"},0))/4+INDEX(BookOneOff,1507)*$P1512)</f>
        <v/>
      </c>
      <c r="S1512" s="35" t="str">
        <f aca="false">IF($P1512="","",INDEX(BookRate,1507)*$P1512)</f>
        <v/>
      </c>
      <c r="T1512" s="35" t="str">
        <f aca="false">IF($R1512="","",$R1512-$K1512)</f>
        <v/>
      </c>
      <c r="U1512" s="35" t="str">
        <f aca="false">IF(N($P1512)&lt;=0,"",COUNTIF($P$6:$P1512,"&gt;0"))</f>
        <v/>
      </c>
    </row>
    <row r="1513" customFormat="false" ht="15" hidden="false" customHeight="false" outlineLevel="0" collapsed="false">
      <c r="A1513" s="40" t="str">
        <f aca="false">IF(INDEX(BookTitle,1508)="","",INDEX(BookGroup,1508))</f>
        <v/>
      </c>
      <c r="B1513" s="40" t="str">
        <f aca="false">IF(INDEX(BookTitle,1508)="","",INDEX(BookRef,1508))</f>
        <v/>
      </c>
      <c r="C1513" s="40" t="str">
        <f aca="false">IF(INDEX(BookTitle,1508)="","",INDEX(BookDivision,1508))</f>
        <v/>
      </c>
      <c r="D1513" s="40" t="str">
        <f aca="false">IF(INDEX(BookTitle,1508)="","",INDEX(BookUnit,1508))</f>
        <v/>
      </c>
      <c r="E1513" s="40" t="str">
        <f aca="false">IF(INDEX(BookTitle,1508)="","",INDEX(BookTitle,1508))</f>
        <v/>
      </c>
      <c r="F1513" s="40" t="str">
        <f aca="false">IF(INDEX(BookTitle,1508)="","",INDEX(BookLevel,1508))</f>
        <v/>
      </c>
      <c r="G1513" s="40" t="str">
        <f aca="false">IF(INDEX(BookTitle,1508)="","",INDEX(BookCategory,1508))</f>
        <v/>
      </c>
      <c r="H1513" s="40" t="str">
        <f aca="false">IF(INDEX(BookTitle,1508)="","",INDEX(BookRank,1508))</f>
        <v/>
      </c>
      <c r="I1513" s="41" t="str">
        <f aca="false">IF(INDEX(BookTitle,1508)="","",INDEX(BookTotal,1508))</f>
        <v/>
      </c>
      <c r="J1513" s="0" t="str">
        <f aca="false">IF($I1513="","",IF(INDEX(BookQ1,1508)&gt;0,"Q1",IF(INDEX(BookQ2,1508)&gt;0,"Q2",IF(INDEX(BookQ3,1508)&gt;0,"Q3",IF(INDEX(BookQ4,1508)&gt;0,"Q4","")))))</f>
        <v/>
      </c>
      <c r="K1513" s="42" t="str">
        <f aca="false">IF(INDEX(BookTitle,1508)="","",INDEX(BookInYear,1508))</f>
        <v/>
      </c>
      <c r="L1513" s="19"/>
      <c r="M1513" s="39"/>
      <c r="N1513" s="19"/>
      <c r="O1513" s="19"/>
      <c r="P1513" s="43" t="str">
        <f aca="false">IF($E1513="","",IF($L1513="Decline",0,IF($L1513="Approve fewer",IF($M1513="","",$M1513),IF($L1513="","",$I1513))))</f>
        <v/>
      </c>
      <c r="Q1513" s="34" t="str">
        <f aca="false">IF($P1513="","",IF($N1513&lt;&gt;"",$N1513,$J1513))</f>
        <v/>
      </c>
      <c r="R1513" s="35" t="str">
        <f aca="false">IF(OR($P1513="",$Q1513=""),"",INDEX(BookRate,1508)*$P1513*(5-MATCH($Q1513,{"Q1";"Q2";"Q3";"Q4"},0))/4+INDEX(BookOneOff,1508)*$P1513)</f>
        <v/>
      </c>
      <c r="S1513" s="35" t="str">
        <f aca="false">IF($P1513="","",INDEX(BookRate,1508)*$P1513)</f>
        <v/>
      </c>
      <c r="T1513" s="35" t="str">
        <f aca="false">IF($R1513="","",$R1513-$K1513)</f>
        <v/>
      </c>
      <c r="U1513" s="35" t="str">
        <f aca="false">IF(N($P1513)&lt;=0,"",COUNTIF($P$6:$P1513,"&gt;0"))</f>
        <v/>
      </c>
    </row>
    <row r="1514" customFormat="false" ht="15" hidden="false" customHeight="false" outlineLevel="0" collapsed="false">
      <c r="A1514" s="40" t="str">
        <f aca="false">IF(INDEX(BookTitle,1509)="","",INDEX(BookGroup,1509))</f>
        <v/>
      </c>
      <c r="B1514" s="40" t="str">
        <f aca="false">IF(INDEX(BookTitle,1509)="","",INDEX(BookRef,1509))</f>
        <v/>
      </c>
      <c r="C1514" s="40" t="str">
        <f aca="false">IF(INDEX(BookTitle,1509)="","",INDEX(BookDivision,1509))</f>
        <v/>
      </c>
      <c r="D1514" s="40" t="str">
        <f aca="false">IF(INDEX(BookTitle,1509)="","",INDEX(BookUnit,1509))</f>
        <v/>
      </c>
      <c r="E1514" s="40" t="str">
        <f aca="false">IF(INDEX(BookTitle,1509)="","",INDEX(BookTitle,1509))</f>
        <v/>
      </c>
      <c r="F1514" s="40" t="str">
        <f aca="false">IF(INDEX(BookTitle,1509)="","",INDEX(BookLevel,1509))</f>
        <v/>
      </c>
      <c r="G1514" s="40" t="str">
        <f aca="false">IF(INDEX(BookTitle,1509)="","",INDEX(BookCategory,1509))</f>
        <v/>
      </c>
      <c r="H1514" s="40" t="str">
        <f aca="false">IF(INDEX(BookTitle,1509)="","",INDEX(BookRank,1509))</f>
        <v/>
      </c>
      <c r="I1514" s="41" t="str">
        <f aca="false">IF(INDEX(BookTitle,1509)="","",INDEX(BookTotal,1509))</f>
        <v/>
      </c>
      <c r="J1514" s="0" t="str">
        <f aca="false">IF($I1514="","",IF(INDEX(BookQ1,1509)&gt;0,"Q1",IF(INDEX(BookQ2,1509)&gt;0,"Q2",IF(INDEX(BookQ3,1509)&gt;0,"Q3",IF(INDEX(BookQ4,1509)&gt;0,"Q4","")))))</f>
        <v/>
      </c>
      <c r="K1514" s="42" t="str">
        <f aca="false">IF(INDEX(BookTitle,1509)="","",INDEX(BookInYear,1509))</f>
        <v/>
      </c>
      <c r="L1514" s="19"/>
      <c r="M1514" s="39"/>
      <c r="N1514" s="19"/>
      <c r="O1514" s="19"/>
      <c r="P1514" s="43" t="str">
        <f aca="false">IF($E1514="","",IF($L1514="Decline",0,IF($L1514="Approve fewer",IF($M1514="","",$M1514),IF($L1514="","",$I1514))))</f>
        <v/>
      </c>
      <c r="Q1514" s="34" t="str">
        <f aca="false">IF($P1514="","",IF($N1514&lt;&gt;"",$N1514,$J1514))</f>
        <v/>
      </c>
      <c r="R1514" s="35" t="str">
        <f aca="false">IF(OR($P1514="",$Q1514=""),"",INDEX(BookRate,1509)*$P1514*(5-MATCH($Q1514,{"Q1";"Q2";"Q3";"Q4"},0))/4+INDEX(BookOneOff,1509)*$P1514)</f>
        <v/>
      </c>
      <c r="S1514" s="35" t="str">
        <f aca="false">IF($P1514="","",INDEX(BookRate,1509)*$P1514)</f>
        <v/>
      </c>
      <c r="T1514" s="35" t="str">
        <f aca="false">IF($R1514="","",$R1514-$K1514)</f>
        <v/>
      </c>
      <c r="U1514" s="35" t="str">
        <f aca="false">IF(N($P1514)&lt;=0,"",COUNTIF($P$6:$P1514,"&gt;0"))</f>
        <v/>
      </c>
    </row>
    <row r="1515" customFormat="false" ht="15" hidden="false" customHeight="false" outlineLevel="0" collapsed="false">
      <c r="A1515" s="40" t="str">
        <f aca="false">IF(INDEX(BookTitle,1510)="","",INDEX(BookGroup,1510))</f>
        <v/>
      </c>
      <c r="B1515" s="40" t="str">
        <f aca="false">IF(INDEX(BookTitle,1510)="","",INDEX(BookRef,1510))</f>
        <v/>
      </c>
      <c r="C1515" s="40" t="str">
        <f aca="false">IF(INDEX(BookTitle,1510)="","",INDEX(BookDivision,1510))</f>
        <v/>
      </c>
      <c r="D1515" s="40" t="str">
        <f aca="false">IF(INDEX(BookTitle,1510)="","",INDEX(BookUnit,1510))</f>
        <v/>
      </c>
      <c r="E1515" s="40" t="str">
        <f aca="false">IF(INDEX(BookTitle,1510)="","",INDEX(BookTitle,1510))</f>
        <v/>
      </c>
      <c r="F1515" s="40" t="str">
        <f aca="false">IF(INDEX(BookTitle,1510)="","",INDEX(BookLevel,1510))</f>
        <v/>
      </c>
      <c r="G1515" s="40" t="str">
        <f aca="false">IF(INDEX(BookTitle,1510)="","",INDEX(BookCategory,1510))</f>
        <v/>
      </c>
      <c r="H1515" s="40" t="str">
        <f aca="false">IF(INDEX(BookTitle,1510)="","",INDEX(BookRank,1510))</f>
        <v/>
      </c>
      <c r="I1515" s="41" t="str">
        <f aca="false">IF(INDEX(BookTitle,1510)="","",INDEX(BookTotal,1510))</f>
        <v/>
      </c>
      <c r="J1515" s="0" t="str">
        <f aca="false">IF($I1515="","",IF(INDEX(BookQ1,1510)&gt;0,"Q1",IF(INDEX(BookQ2,1510)&gt;0,"Q2",IF(INDEX(BookQ3,1510)&gt;0,"Q3",IF(INDEX(BookQ4,1510)&gt;0,"Q4","")))))</f>
        <v/>
      </c>
      <c r="K1515" s="42" t="str">
        <f aca="false">IF(INDEX(BookTitle,1510)="","",INDEX(BookInYear,1510))</f>
        <v/>
      </c>
      <c r="L1515" s="19"/>
      <c r="M1515" s="39"/>
      <c r="N1515" s="19"/>
      <c r="O1515" s="19"/>
      <c r="P1515" s="43" t="str">
        <f aca="false">IF($E1515="","",IF($L1515="Decline",0,IF($L1515="Approve fewer",IF($M1515="","",$M1515),IF($L1515="","",$I1515))))</f>
        <v/>
      </c>
      <c r="Q1515" s="34" t="str">
        <f aca="false">IF($P1515="","",IF($N1515&lt;&gt;"",$N1515,$J1515))</f>
        <v/>
      </c>
      <c r="R1515" s="35" t="str">
        <f aca="false">IF(OR($P1515="",$Q1515=""),"",INDEX(BookRate,1510)*$P1515*(5-MATCH($Q1515,{"Q1";"Q2";"Q3";"Q4"},0))/4+INDEX(BookOneOff,1510)*$P1515)</f>
        <v/>
      </c>
      <c r="S1515" s="35" t="str">
        <f aca="false">IF($P1515="","",INDEX(BookRate,1510)*$P1515)</f>
        <v/>
      </c>
      <c r="T1515" s="35" t="str">
        <f aca="false">IF($R1515="","",$R1515-$K1515)</f>
        <v/>
      </c>
      <c r="U1515" s="35" t="str">
        <f aca="false">IF(N($P1515)&lt;=0,"",COUNTIF($P$6:$P1515,"&gt;0"))</f>
        <v/>
      </c>
    </row>
    <row r="1516" customFormat="false" ht="15" hidden="false" customHeight="false" outlineLevel="0" collapsed="false">
      <c r="A1516" s="40" t="str">
        <f aca="false">IF(INDEX(BookTitle,1511)="","",INDEX(BookGroup,1511))</f>
        <v/>
      </c>
      <c r="B1516" s="40" t="str">
        <f aca="false">IF(INDEX(BookTitle,1511)="","",INDEX(BookRef,1511))</f>
        <v/>
      </c>
      <c r="C1516" s="40" t="str">
        <f aca="false">IF(INDEX(BookTitle,1511)="","",INDEX(BookDivision,1511))</f>
        <v/>
      </c>
      <c r="D1516" s="40" t="str">
        <f aca="false">IF(INDEX(BookTitle,1511)="","",INDEX(BookUnit,1511))</f>
        <v/>
      </c>
      <c r="E1516" s="40" t="str">
        <f aca="false">IF(INDEX(BookTitle,1511)="","",INDEX(BookTitle,1511))</f>
        <v/>
      </c>
      <c r="F1516" s="40" t="str">
        <f aca="false">IF(INDEX(BookTitle,1511)="","",INDEX(BookLevel,1511))</f>
        <v/>
      </c>
      <c r="G1516" s="40" t="str">
        <f aca="false">IF(INDEX(BookTitle,1511)="","",INDEX(BookCategory,1511))</f>
        <v/>
      </c>
      <c r="H1516" s="40" t="str">
        <f aca="false">IF(INDEX(BookTitle,1511)="","",INDEX(BookRank,1511))</f>
        <v/>
      </c>
      <c r="I1516" s="41" t="str">
        <f aca="false">IF(INDEX(BookTitle,1511)="","",INDEX(BookTotal,1511))</f>
        <v/>
      </c>
      <c r="J1516" s="0" t="str">
        <f aca="false">IF($I1516="","",IF(INDEX(BookQ1,1511)&gt;0,"Q1",IF(INDEX(BookQ2,1511)&gt;0,"Q2",IF(INDEX(BookQ3,1511)&gt;0,"Q3",IF(INDEX(BookQ4,1511)&gt;0,"Q4","")))))</f>
        <v/>
      </c>
      <c r="K1516" s="42" t="str">
        <f aca="false">IF(INDEX(BookTitle,1511)="","",INDEX(BookInYear,1511))</f>
        <v/>
      </c>
      <c r="L1516" s="19"/>
      <c r="M1516" s="39"/>
      <c r="N1516" s="19"/>
      <c r="O1516" s="19"/>
      <c r="P1516" s="43" t="str">
        <f aca="false">IF($E1516="","",IF($L1516="Decline",0,IF($L1516="Approve fewer",IF($M1516="","",$M1516),IF($L1516="","",$I1516))))</f>
        <v/>
      </c>
      <c r="Q1516" s="34" t="str">
        <f aca="false">IF($P1516="","",IF($N1516&lt;&gt;"",$N1516,$J1516))</f>
        <v/>
      </c>
      <c r="R1516" s="35" t="str">
        <f aca="false">IF(OR($P1516="",$Q1516=""),"",INDEX(BookRate,1511)*$P1516*(5-MATCH($Q1516,{"Q1";"Q2";"Q3";"Q4"},0))/4+INDEX(BookOneOff,1511)*$P1516)</f>
        <v/>
      </c>
      <c r="S1516" s="35" t="str">
        <f aca="false">IF($P1516="","",INDEX(BookRate,1511)*$P1516)</f>
        <v/>
      </c>
      <c r="T1516" s="35" t="str">
        <f aca="false">IF($R1516="","",$R1516-$K1516)</f>
        <v/>
      </c>
      <c r="U1516" s="35" t="str">
        <f aca="false">IF(N($P1516)&lt;=0,"",COUNTIF($P$6:$P1516,"&gt;0"))</f>
        <v/>
      </c>
    </row>
    <row r="1517" customFormat="false" ht="15" hidden="false" customHeight="false" outlineLevel="0" collapsed="false">
      <c r="A1517" s="40" t="str">
        <f aca="false">IF(INDEX(BookTitle,1512)="","",INDEX(BookGroup,1512))</f>
        <v/>
      </c>
      <c r="B1517" s="40" t="str">
        <f aca="false">IF(INDEX(BookTitle,1512)="","",INDEX(BookRef,1512))</f>
        <v/>
      </c>
      <c r="C1517" s="40" t="str">
        <f aca="false">IF(INDEX(BookTitle,1512)="","",INDEX(BookDivision,1512))</f>
        <v/>
      </c>
      <c r="D1517" s="40" t="str">
        <f aca="false">IF(INDEX(BookTitle,1512)="","",INDEX(BookUnit,1512))</f>
        <v/>
      </c>
      <c r="E1517" s="40" t="str">
        <f aca="false">IF(INDEX(BookTitle,1512)="","",INDEX(BookTitle,1512))</f>
        <v/>
      </c>
      <c r="F1517" s="40" t="str">
        <f aca="false">IF(INDEX(BookTitle,1512)="","",INDEX(BookLevel,1512))</f>
        <v/>
      </c>
      <c r="G1517" s="40" t="str">
        <f aca="false">IF(INDEX(BookTitle,1512)="","",INDEX(BookCategory,1512))</f>
        <v/>
      </c>
      <c r="H1517" s="40" t="str">
        <f aca="false">IF(INDEX(BookTitle,1512)="","",INDEX(BookRank,1512))</f>
        <v/>
      </c>
      <c r="I1517" s="41" t="str">
        <f aca="false">IF(INDEX(BookTitle,1512)="","",INDEX(BookTotal,1512))</f>
        <v/>
      </c>
      <c r="J1517" s="0" t="str">
        <f aca="false">IF($I1517="","",IF(INDEX(BookQ1,1512)&gt;0,"Q1",IF(INDEX(BookQ2,1512)&gt;0,"Q2",IF(INDEX(BookQ3,1512)&gt;0,"Q3",IF(INDEX(BookQ4,1512)&gt;0,"Q4","")))))</f>
        <v/>
      </c>
      <c r="K1517" s="42" t="str">
        <f aca="false">IF(INDEX(BookTitle,1512)="","",INDEX(BookInYear,1512))</f>
        <v/>
      </c>
      <c r="L1517" s="19"/>
      <c r="M1517" s="39"/>
      <c r="N1517" s="19"/>
      <c r="O1517" s="19"/>
      <c r="P1517" s="43" t="str">
        <f aca="false">IF($E1517="","",IF($L1517="Decline",0,IF($L1517="Approve fewer",IF($M1517="","",$M1517),IF($L1517="","",$I1517))))</f>
        <v/>
      </c>
      <c r="Q1517" s="34" t="str">
        <f aca="false">IF($P1517="","",IF($N1517&lt;&gt;"",$N1517,$J1517))</f>
        <v/>
      </c>
      <c r="R1517" s="35" t="str">
        <f aca="false">IF(OR($P1517="",$Q1517=""),"",INDEX(BookRate,1512)*$P1517*(5-MATCH($Q1517,{"Q1";"Q2";"Q3";"Q4"},0))/4+INDEX(BookOneOff,1512)*$P1517)</f>
        <v/>
      </c>
      <c r="S1517" s="35" t="str">
        <f aca="false">IF($P1517="","",INDEX(BookRate,1512)*$P1517)</f>
        <v/>
      </c>
      <c r="T1517" s="35" t="str">
        <f aca="false">IF($R1517="","",$R1517-$K1517)</f>
        <v/>
      </c>
      <c r="U1517" s="35" t="str">
        <f aca="false">IF(N($P1517)&lt;=0,"",COUNTIF($P$6:$P1517,"&gt;0"))</f>
        <v/>
      </c>
    </row>
    <row r="1518" customFormat="false" ht="15" hidden="false" customHeight="false" outlineLevel="0" collapsed="false">
      <c r="A1518" s="40" t="str">
        <f aca="false">IF(INDEX(BookTitle,1513)="","",INDEX(BookGroup,1513))</f>
        <v/>
      </c>
      <c r="B1518" s="40" t="str">
        <f aca="false">IF(INDEX(BookTitle,1513)="","",INDEX(BookRef,1513))</f>
        <v/>
      </c>
      <c r="C1518" s="40" t="str">
        <f aca="false">IF(INDEX(BookTitle,1513)="","",INDEX(BookDivision,1513))</f>
        <v/>
      </c>
      <c r="D1518" s="40" t="str">
        <f aca="false">IF(INDEX(BookTitle,1513)="","",INDEX(BookUnit,1513))</f>
        <v/>
      </c>
      <c r="E1518" s="40" t="str">
        <f aca="false">IF(INDEX(BookTitle,1513)="","",INDEX(BookTitle,1513))</f>
        <v/>
      </c>
      <c r="F1518" s="40" t="str">
        <f aca="false">IF(INDEX(BookTitle,1513)="","",INDEX(BookLevel,1513))</f>
        <v/>
      </c>
      <c r="G1518" s="40" t="str">
        <f aca="false">IF(INDEX(BookTitle,1513)="","",INDEX(BookCategory,1513))</f>
        <v/>
      </c>
      <c r="H1518" s="40" t="str">
        <f aca="false">IF(INDEX(BookTitle,1513)="","",INDEX(BookRank,1513))</f>
        <v/>
      </c>
      <c r="I1518" s="41" t="str">
        <f aca="false">IF(INDEX(BookTitle,1513)="","",INDEX(BookTotal,1513))</f>
        <v/>
      </c>
      <c r="J1518" s="0" t="str">
        <f aca="false">IF($I1518="","",IF(INDEX(BookQ1,1513)&gt;0,"Q1",IF(INDEX(BookQ2,1513)&gt;0,"Q2",IF(INDEX(BookQ3,1513)&gt;0,"Q3",IF(INDEX(BookQ4,1513)&gt;0,"Q4","")))))</f>
        <v/>
      </c>
      <c r="K1518" s="42" t="str">
        <f aca="false">IF(INDEX(BookTitle,1513)="","",INDEX(BookInYear,1513))</f>
        <v/>
      </c>
      <c r="L1518" s="19"/>
      <c r="M1518" s="39"/>
      <c r="N1518" s="19"/>
      <c r="O1518" s="19"/>
      <c r="P1518" s="43" t="str">
        <f aca="false">IF($E1518="","",IF($L1518="Decline",0,IF($L1518="Approve fewer",IF($M1518="","",$M1518),IF($L1518="","",$I1518))))</f>
        <v/>
      </c>
      <c r="Q1518" s="34" t="str">
        <f aca="false">IF($P1518="","",IF($N1518&lt;&gt;"",$N1518,$J1518))</f>
        <v/>
      </c>
      <c r="R1518" s="35" t="str">
        <f aca="false">IF(OR($P1518="",$Q1518=""),"",INDEX(BookRate,1513)*$P1518*(5-MATCH($Q1518,{"Q1";"Q2";"Q3";"Q4"},0))/4+INDEX(BookOneOff,1513)*$P1518)</f>
        <v/>
      </c>
      <c r="S1518" s="35" t="str">
        <f aca="false">IF($P1518="","",INDEX(BookRate,1513)*$P1518)</f>
        <v/>
      </c>
      <c r="T1518" s="35" t="str">
        <f aca="false">IF($R1518="","",$R1518-$K1518)</f>
        <v/>
      </c>
      <c r="U1518" s="35" t="str">
        <f aca="false">IF(N($P1518)&lt;=0,"",COUNTIF($P$6:$P1518,"&gt;0"))</f>
        <v/>
      </c>
    </row>
    <row r="1519" customFormat="false" ht="15" hidden="false" customHeight="false" outlineLevel="0" collapsed="false">
      <c r="A1519" s="40" t="str">
        <f aca="false">IF(INDEX(BookTitle,1514)="","",INDEX(BookGroup,1514))</f>
        <v/>
      </c>
      <c r="B1519" s="40" t="str">
        <f aca="false">IF(INDEX(BookTitle,1514)="","",INDEX(BookRef,1514))</f>
        <v/>
      </c>
      <c r="C1519" s="40" t="str">
        <f aca="false">IF(INDEX(BookTitle,1514)="","",INDEX(BookDivision,1514))</f>
        <v/>
      </c>
      <c r="D1519" s="40" t="str">
        <f aca="false">IF(INDEX(BookTitle,1514)="","",INDEX(BookUnit,1514))</f>
        <v/>
      </c>
      <c r="E1519" s="40" t="str">
        <f aca="false">IF(INDEX(BookTitle,1514)="","",INDEX(BookTitle,1514))</f>
        <v/>
      </c>
      <c r="F1519" s="40" t="str">
        <f aca="false">IF(INDEX(BookTitle,1514)="","",INDEX(BookLevel,1514))</f>
        <v/>
      </c>
      <c r="G1519" s="40" t="str">
        <f aca="false">IF(INDEX(BookTitle,1514)="","",INDEX(BookCategory,1514))</f>
        <v/>
      </c>
      <c r="H1519" s="40" t="str">
        <f aca="false">IF(INDEX(BookTitle,1514)="","",INDEX(BookRank,1514))</f>
        <v/>
      </c>
      <c r="I1519" s="41" t="str">
        <f aca="false">IF(INDEX(BookTitle,1514)="","",INDEX(BookTotal,1514))</f>
        <v/>
      </c>
      <c r="J1519" s="0" t="str">
        <f aca="false">IF($I1519="","",IF(INDEX(BookQ1,1514)&gt;0,"Q1",IF(INDEX(BookQ2,1514)&gt;0,"Q2",IF(INDEX(BookQ3,1514)&gt;0,"Q3",IF(INDEX(BookQ4,1514)&gt;0,"Q4","")))))</f>
        <v/>
      </c>
      <c r="K1519" s="42" t="str">
        <f aca="false">IF(INDEX(BookTitle,1514)="","",INDEX(BookInYear,1514))</f>
        <v/>
      </c>
      <c r="L1519" s="19"/>
      <c r="M1519" s="39"/>
      <c r="N1519" s="19"/>
      <c r="O1519" s="19"/>
      <c r="P1519" s="43" t="str">
        <f aca="false">IF($E1519="","",IF($L1519="Decline",0,IF($L1519="Approve fewer",IF($M1519="","",$M1519),IF($L1519="","",$I1519))))</f>
        <v/>
      </c>
      <c r="Q1519" s="34" t="str">
        <f aca="false">IF($P1519="","",IF($N1519&lt;&gt;"",$N1519,$J1519))</f>
        <v/>
      </c>
      <c r="R1519" s="35" t="str">
        <f aca="false">IF(OR($P1519="",$Q1519=""),"",INDEX(BookRate,1514)*$P1519*(5-MATCH($Q1519,{"Q1";"Q2";"Q3";"Q4"},0))/4+INDEX(BookOneOff,1514)*$P1519)</f>
        <v/>
      </c>
      <c r="S1519" s="35" t="str">
        <f aca="false">IF($P1519="","",INDEX(BookRate,1514)*$P1519)</f>
        <v/>
      </c>
      <c r="T1519" s="35" t="str">
        <f aca="false">IF($R1519="","",$R1519-$K1519)</f>
        <v/>
      </c>
      <c r="U1519" s="35" t="str">
        <f aca="false">IF(N($P1519)&lt;=0,"",COUNTIF($P$6:$P1519,"&gt;0"))</f>
        <v/>
      </c>
    </row>
    <row r="1520" customFormat="false" ht="15" hidden="false" customHeight="false" outlineLevel="0" collapsed="false">
      <c r="A1520" s="40" t="str">
        <f aca="false">IF(INDEX(BookTitle,1515)="","",INDEX(BookGroup,1515))</f>
        <v/>
      </c>
      <c r="B1520" s="40" t="str">
        <f aca="false">IF(INDEX(BookTitle,1515)="","",INDEX(BookRef,1515))</f>
        <v/>
      </c>
      <c r="C1520" s="40" t="str">
        <f aca="false">IF(INDEX(BookTitle,1515)="","",INDEX(BookDivision,1515))</f>
        <v/>
      </c>
      <c r="D1520" s="40" t="str">
        <f aca="false">IF(INDEX(BookTitle,1515)="","",INDEX(BookUnit,1515))</f>
        <v/>
      </c>
      <c r="E1520" s="40" t="str">
        <f aca="false">IF(INDEX(BookTitle,1515)="","",INDEX(BookTitle,1515))</f>
        <v/>
      </c>
      <c r="F1520" s="40" t="str">
        <f aca="false">IF(INDEX(BookTitle,1515)="","",INDEX(BookLevel,1515))</f>
        <v/>
      </c>
      <c r="G1520" s="40" t="str">
        <f aca="false">IF(INDEX(BookTitle,1515)="","",INDEX(BookCategory,1515))</f>
        <v/>
      </c>
      <c r="H1520" s="40" t="str">
        <f aca="false">IF(INDEX(BookTitle,1515)="","",INDEX(BookRank,1515))</f>
        <v/>
      </c>
      <c r="I1520" s="41" t="str">
        <f aca="false">IF(INDEX(BookTitle,1515)="","",INDEX(BookTotal,1515))</f>
        <v/>
      </c>
      <c r="J1520" s="0" t="str">
        <f aca="false">IF($I1520="","",IF(INDEX(BookQ1,1515)&gt;0,"Q1",IF(INDEX(BookQ2,1515)&gt;0,"Q2",IF(INDEX(BookQ3,1515)&gt;0,"Q3",IF(INDEX(BookQ4,1515)&gt;0,"Q4","")))))</f>
        <v/>
      </c>
      <c r="K1520" s="42" t="str">
        <f aca="false">IF(INDEX(BookTitle,1515)="","",INDEX(BookInYear,1515))</f>
        <v/>
      </c>
      <c r="L1520" s="19"/>
      <c r="M1520" s="39"/>
      <c r="N1520" s="19"/>
      <c r="O1520" s="19"/>
      <c r="P1520" s="43" t="str">
        <f aca="false">IF($E1520="","",IF($L1520="Decline",0,IF($L1520="Approve fewer",IF($M1520="","",$M1520),IF($L1520="","",$I1520))))</f>
        <v/>
      </c>
      <c r="Q1520" s="34" t="str">
        <f aca="false">IF($P1520="","",IF($N1520&lt;&gt;"",$N1520,$J1520))</f>
        <v/>
      </c>
      <c r="R1520" s="35" t="str">
        <f aca="false">IF(OR($P1520="",$Q1520=""),"",INDEX(BookRate,1515)*$P1520*(5-MATCH($Q1520,{"Q1";"Q2";"Q3";"Q4"},0))/4+INDEX(BookOneOff,1515)*$P1520)</f>
        <v/>
      </c>
      <c r="S1520" s="35" t="str">
        <f aca="false">IF($P1520="","",INDEX(BookRate,1515)*$P1520)</f>
        <v/>
      </c>
      <c r="T1520" s="35" t="str">
        <f aca="false">IF($R1520="","",$R1520-$K1520)</f>
        <v/>
      </c>
      <c r="U1520" s="35" t="str">
        <f aca="false">IF(N($P1520)&lt;=0,"",COUNTIF($P$6:$P1520,"&gt;0"))</f>
        <v/>
      </c>
    </row>
    <row r="1521" customFormat="false" ht="15" hidden="false" customHeight="false" outlineLevel="0" collapsed="false">
      <c r="A1521" s="40" t="str">
        <f aca="false">IF(INDEX(BookTitle,1516)="","",INDEX(BookGroup,1516))</f>
        <v/>
      </c>
      <c r="B1521" s="40" t="str">
        <f aca="false">IF(INDEX(BookTitle,1516)="","",INDEX(BookRef,1516))</f>
        <v/>
      </c>
      <c r="C1521" s="40" t="str">
        <f aca="false">IF(INDEX(BookTitle,1516)="","",INDEX(BookDivision,1516))</f>
        <v/>
      </c>
      <c r="D1521" s="40" t="str">
        <f aca="false">IF(INDEX(BookTitle,1516)="","",INDEX(BookUnit,1516))</f>
        <v/>
      </c>
      <c r="E1521" s="40" t="str">
        <f aca="false">IF(INDEX(BookTitle,1516)="","",INDEX(BookTitle,1516))</f>
        <v/>
      </c>
      <c r="F1521" s="40" t="str">
        <f aca="false">IF(INDEX(BookTitle,1516)="","",INDEX(BookLevel,1516))</f>
        <v/>
      </c>
      <c r="G1521" s="40" t="str">
        <f aca="false">IF(INDEX(BookTitle,1516)="","",INDEX(BookCategory,1516))</f>
        <v/>
      </c>
      <c r="H1521" s="40" t="str">
        <f aca="false">IF(INDEX(BookTitle,1516)="","",INDEX(BookRank,1516))</f>
        <v/>
      </c>
      <c r="I1521" s="41" t="str">
        <f aca="false">IF(INDEX(BookTitle,1516)="","",INDEX(BookTotal,1516))</f>
        <v/>
      </c>
      <c r="J1521" s="0" t="str">
        <f aca="false">IF($I1521="","",IF(INDEX(BookQ1,1516)&gt;0,"Q1",IF(INDEX(BookQ2,1516)&gt;0,"Q2",IF(INDEX(BookQ3,1516)&gt;0,"Q3",IF(INDEX(BookQ4,1516)&gt;0,"Q4","")))))</f>
        <v/>
      </c>
      <c r="K1521" s="42" t="str">
        <f aca="false">IF(INDEX(BookTitle,1516)="","",INDEX(BookInYear,1516))</f>
        <v/>
      </c>
      <c r="L1521" s="19"/>
      <c r="M1521" s="39"/>
      <c r="N1521" s="19"/>
      <c r="O1521" s="19"/>
      <c r="P1521" s="43" t="str">
        <f aca="false">IF($E1521="","",IF($L1521="Decline",0,IF($L1521="Approve fewer",IF($M1521="","",$M1521),IF($L1521="","",$I1521))))</f>
        <v/>
      </c>
      <c r="Q1521" s="34" t="str">
        <f aca="false">IF($P1521="","",IF($N1521&lt;&gt;"",$N1521,$J1521))</f>
        <v/>
      </c>
      <c r="R1521" s="35" t="str">
        <f aca="false">IF(OR($P1521="",$Q1521=""),"",INDEX(BookRate,1516)*$P1521*(5-MATCH($Q1521,{"Q1";"Q2";"Q3";"Q4"},0))/4+INDEX(BookOneOff,1516)*$P1521)</f>
        <v/>
      </c>
      <c r="S1521" s="35" t="str">
        <f aca="false">IF($P1521="","",INDEX(BookRate,1516)*$P1521)</f>
        <v/>
      </c>
      <c r="T1521" s="35" t="str">
        <f aca="false">IF($R1521="","",$R1521-$K1521)</f>
        <v/>
      </c>
      <c r="U1521" s="35" t="str">
        <f aca="false">IF(N($P1521)&lt;=0,"",COUNTIF($P$6:$P1521,"&gt;0"))</f>
        <v/>
      </c>
    </row>
    <row r="1522" customFormat="false" ht="15" hidden="false" customHeight="false" outlineLevel="0" collapsed="false">
      <c r="A1522" s="40" t="str">
        <f aca="false">IF(INDEX(BookTitle,1517)="","",INDEX(BookGroup,1517))</f>
        <v/>
      </c>
      <c r="B1522" s="40" t="str">
        <f aca="false">IF(INDEX(BookTitle,1517)="","",INDEX(BookRef,1517))</f>
        <v/>
      </c>
      <c r="C1522" s="40" t="str">
        <f aca="false">IF(INDEX(BookTitle,1517)="","",INDEX(BookDivision,1517))</f>
        <v/>
      </c>
      <c r="D1522" s="40" t="str">
        <f aca="false">IF(INDEX(BookTitle,1517)="","",INDEX(BookUnit,1517))</f>
        <v/>
      </c>
      <c r="E1522" s="40" t="str">
        <f aca="false">IF(INDEX(BookTitle,1517)="","",INDEX(BookTitle,1517))</f>
        <v/>
      </c>
      <c r="F1522" s="40" t="str">
        <f aca="false">IF(INDEX(BookTitle,1517)="","",INDEX(BookLevel,1517))</f>
        <v/>
      </c>
      <c r="G1522" s="40" t="str">
        <f aca="false">IF(INDEX(BookTitle,1517)="","",INDEX(BookCategory,1517))</f>
        <v/>
      </c>
      <c r="H1522" s="40" t="str">
        <f aca="false">IF(INDEX(BookTitle,1517)="","",INDEX(BookRank,1517))</f>
        <v/>
      </c>
      <c r="I1522" s="41" t="str">
        <f aca="false">IF(INDEX(BookTitle,1517)="","",INDEX(BookTotal,1517))</f>
        <v/>
      </c>
      <c r="J1522" s="0" t="str">
        <f aca="false">IF($I1522="","",IF(INDEX(BookQ1,1517)&gt;0,"Q1",IF(INDEX(BookQ2,1517)&gt;0,"Q2",IF(INDEX(BookQ3,1517)&gt;0,"Q3",IF(INDEX(BookQ4,1517)&gt;0,"Q4","")))))</f>
        <v/>
      </c>
      <c r="K1522" s="42" t="str">
        <f aca="false">IF(INDEX(BookTitle,1517)="","",INDEX(BookInYear,1517))</f>
        <v/>
      </c>
      <c r="L1522" s="19"/>
      <c r="M1522" s="39"/>
      <c r="N1522" s="19"/>
      <c r="O1522" s="19"/>
      <c r="P1522" s="43" t="str">
        <f aca="false">IF($E1522="","",IF($L1522="Decline",0,IF($L1522="Approve fewer",IF($M1522="","",$M1522),IF($L1522="","",$I1522))))</f>
        <v/>
      </c>
      <c r="Q1522" s="34" t="str">
        <f aca="false">IF($P1522="","",IF($N1522&lt;&gt;"",$N1522,$J1522))</f>
        <v/>
      </c>
      <c r="R1522" s="35" t="str">
        <f aca="false">IF(OR($P1522="",$Q1522=""),"",INDEX(BookRate,1517)*$P1522*(5-MATCH($Q1522,{"Q1";"Q2";"Q3";"Q4"},0))/4+INDEX(BookOneOff,1517)*$P1522)</f>
        <v/>
      </c>
      <c r="S1522" s="35" t="str">
        <f aca="false">IF($P1522="","",INDEX(BookRate,1517)*$P1522)</f>
        <v/>
      </c>
      <c r="T1522" s="35" t="str">
        <f aca="false">IF($R1522="","",$R1522-$K1522)</f>
        <v/>
      </c>
      <c r="U1522" s="35" t="str">
        <f aca="false">IF(N($P1522)&lt;=0,"",COUNTIF($P$6:$P1522,"&gt;0"))</f>
        <v/>
      </c>
    </row>
    <row r="1523" customFormat="false" ht="15" hidden="false" customHeight="false" outlineLevel="0" collapsed="false">
      <c r="A1523" s="40" t="str">
        <f aca="false">IF(INDEX(BookTitle,1518)="","",INDEX(BookGroup,1518))</f>
        <v/>
      </c>
      <c r="B1523" s="40" t="str">
        <f aca="false">IF(INDEX(BookTitle,1518)="","",INDEX(BookRef,1518))</f>
        <v/>
      </c>
      <c r="C1523" s="40" t="str">
        <f aca="false">IF(INDEX(BookTitle,1518)="","",INDEX(BookDivision,1518))</f>
        <v/>
      </c>
      <c r="D1523" s="40" t="str">
        <f aca="false">IF(INDEX(BookTitle,1518)="","",INDEX(BookUnit,1518))</f>
        <v/>
      </c>
      <c r="E1523" s="40" t="str">
        <f aca="false">IF(INDEX(BookTitle,1518)="","",INDEX(BookTitle,1518))</f>
        <v/>
      </c>
      <c r="F1523" s="40" t="str">
        <f aca="false">IF(INDEX(BookTitle,1518)="","",INDEX(BookLevel,1518))</f>
        <v/>
      </c>
      <c r="G1523" s="40" t="str">
        <f aca="false">IF(INDEX(BookTitle,1518)="","",INDEX(BookCategory,1518))</f>
        <v/>
      </c>
      <c r="H1523" s="40" t="str">
        <f aca="false">IF(INDEX(BookTitle,1518)="","",INDEX(BookRank,1518))</f>
        <v/>
      </c>
      <c r="I1523" s="41" t="str">
        <f aca="false">IF(INDEX(BookTitle,1518)="","",INDEX(BookTotal,1518))</f>
        <v/>
      </c>
      <c r="J1523" s="0" t="str">
        <f aca="false">IF($I1523="","",IF(INDEX(BookQ1,1518)&gt;0,"Q1",IF(INDEX(BookQ2,1518)&gt;0,"Q2",IF(INDEX(BookQ3,1518)&gt;0,"Q3",IF(INDEX(BookQ4,1518)&gt;0,"Q4","")))))</f>
        <v/>
      </c>
      <c r="K1523" s="42" t="str">
        <f aca="false">IF(INDEX(BookTitle,1518)="","",INDEX(BookInYear,1518))</f>
        <v/>
      </c>
      <c r="L1523" s="19"/>
      <c r="M1523" s="39"/>
      <c r="N1523" s="19"/>
      <c r="O1523" s="19"/>
      <c r="P1523" s="43" t="str">
        <f aca="false">IF($E1523="","",IF($L1523="Decline",0,IF($L1523="Approve fewer",IF($M1523="","",$M1523),IF($L1523="","",$I1523))))</f>
        <v/>
      </c>
      <c r="Q1523" s="34" t="str">
        <f aca="false">IF($P1523="","",IF($N1523&lt;&gt;"",$N1523,$J1523))</f>
        <v/>
      </c>
      <c r="R1523" s="35" t="str">
        <f aca="false">IF(OR($P1523="",$Q1523=""),"",INDEX(BookRate,1518)*$P1523*(5-MATCH($Q1523,{"Q1";"Q2";"Q3";"Q4"},0))/4+INDEX(BookOneOff,1518)*$P1523)</f>
        <v/>
      </c>
      <c r="S1523" s="35" t="str">
        <f aca="false">IF($P1523="","",INDEX(BookRate,1518)*$P1523)</f>
        <v/>
      </c>
      <c r="T1523" s="35" t="str">
        <f aca="false">IF($R1523="","",$R1523-$K1523)</f>
        <v/>
      </c>
      <c r="U1523" s="35" t="str">
        <f aca="false">IF(N($P1523)&lt;=0,"",COUNTIF($P$6:$P1523,"&gt;0"))</f>
        <v/>
      </c>
    </row>
    <row r="1524" customFormat="false" ht="15" hidden="false" customHeight="false" outlineLevel="0" collapsed="false">
      <c r="A1524" s="40" t="str">
        <f aca="false">IF(INDEX(BookTitle,1519)="","",INDEX(BookGroup,1519))</f>
        <v/>
      </c>
      <c r="B1524" s="40" t="str">
        <f aca="false">IF(INDEX(BookTitle,1519)="","",INDEX(BookRef,1519))</f>
        <v/>
      </c>
      <c r="C1524" s="40" t="str">
        <f aca="false">IF(INDEX(BookTitle,1519)="","",INDEX(BookDivision,1519))</f>
        <v/>
      </c>
      <c r="D1524" s="40" t="str">
        <f aca="false">IF(INDEX(BookTitle,1519)="","",INDEX(BookUnit,1519))</f>
        <v/>
      </c>
      <c r="E1524" s="40" t="str">
        <f aca="false">IF(INDEX(BookTitle,1519)="","",INDEX(BookTitle,1519))</f>
        <v/>
      </c>
      <c r="F1524" s="40" t="str">
        <f aca="false">IF(INDEX(BookTitle,1519)="","",INDEX(BookLevel,1519))</f>
        <v/>
      </c>
      <c r="G1524" s="40" t="str">
        <f aca="false">IF(INDEX(BookTitle,1519)="","",INDEX(BookCategory,1519))</f>
        <v/>
      </c>
      <c r="H1524" s="40" t="str">
        <f aca="false">IF(INDEX(BookTitle,1519)="","",INDEX(BookRank,1519))</f>
        <v/>
      </c>
      <c r="I1524" s="41" t="str">
        <f aca="false">IF(INDEX(BookTitle,1519)="","",INDEX(BookTotal,1519))</f>
        <v/>
      </c>
      <c r="J1524" s="0" t="str">
        <f aca="false">IF($I1524="","",IF(INDEX(BookQ1,1519)&gt;0,"Q1",IF(INDEX(BookQ2,1519)&gt;0,"Q2",IF(INDEX(BookQ3,1519)&gt;0,"Q3",IF(INDEX(BookQ4,1519)&gt;0,"Q4","")))))</f>
        <v/>
      </c>
      <c r="K1524" s="42" t="str">
        <f aca="false">IF(INDEX(BookTitle,1519)="","",INDEX(BookInYear,1519))</f>
        <v/>
      </c>
      <c r="L1524" s="19"/>
      <c r="M1524" s="39"/>
      <c r="N1524" s="19"/>
      <c r="O1524" s="19"/>
      <c r="P1524" s="43" t="str">
        <f aca="false">IF($E1524="","",IF($L1524="Decline",0,IF($L1524="Approve fewer",IF($M1524="","",$M1524),IF($L1524="","",$I1524))))</f>
        <v/>
      </c>
      <c r="Q1524" s="34" t="str">
        <f aca="false">IF($P1524="","",IF($N1524&lt;&gt;"",$N1524,$J1524))</f>
        <v/>
      </c>
      <c r="R1524" s="35" t="str">
        <f aca="false">IF(OR($P1524="",$Q1524=""),"",INDEX(BookRate,1519)*$P1524*(5-MATCH($Q1524,{"Q1";"Q2";"Q3";"Q4"},0))/4+INDEX(BookOneOff,1519)*$P1524)</f>
        <v/>
      </c>
      <c r="S1524" s="35" t="str">
        <f aca="false">IF($P1524="","",INDEX(BookRate,1519)*$P1524)</f>
        <v/>
      </c>
      <c r="T1524" s="35" t="str">
        <f aca="false">IF($R1524="","",$R1524-$K1524)</f>
        <v/>
      </c>
      <c r="U1524" s="35" t="str">
        <f aca="false">IF(N($P1524)&lt;=0,"",COUNTIF($P$6:$P1524,"&gt;0"))</f>
        <v/>
      </c>
    </row>
    <row r="1525" customFormat="false" ht="15" hidden="false" customHeight="false" outlineLevel="0" collapsed="false">
      <c r="A1525" s="40" t="str">
        <f aca="false">IF(INDEX(BookTitle,1520)="","",INDEX(BookGroup,1520))</f>
        <v/>
      </c>
      <c r="B1525" s="40" t="str">
        <f aca="false">IF(INDEX(BookTitle,1520)="","",INDEX(BookRef,1520))</f>
        <v/>
      </c>
      <c r="C1525" s="40" t="str">
        <f aca="false">IF(INDEX(BookTitle,1520)="","",INDEX(BookDivision,1520))</f>
        <v/>
      </c>
      <c r="D1525" s="40" t="str">
        <f aca="false">IF(INDEX(BookTitle,1520)="","",INDEX(BookUnit,1520))</f>
        <v/>
      </c>
      <c r="E1525" s="40" t="str">
        <f aca="false">IF(INDEX(BookTitle,1520)="","",INDEX(BookTitle,1520))</f>
        <v/>
      </c>
      <c r="F1525" s="40" t="str">
        <f aca="false">IF(INDEX(BookTitle,1520)="","",INDEX(BookLevel,1520))</f>
        <v/>
      </c>
      <c r="G1525" s="40" t="str">
        <f aca="false">IF(INDEX(BookTitle,1520)="","",INDEX(BookCategory,1520))</f>
        <v/>
      </c>
      <c r="H1525" s="40" t="str">
        <f aca="false">IF(INDEX(BookTitle,1520)="","",INDEX(BookRank,1520))</f>
        <v/>
      </c>
      <c r="I1525" s="41" t="str">
        <f aca="false">IF(INDEX(BookTitle,1520)="","",INDEX(BookTotal,1520))</f>
        <v/>
      </c>
      <c r="J1525" s="0" t="str">
        <f aca="false">IF($I1525="","",IF(INDEX(BookQ1,1520)&gt;0,"Q1",IF(INDEX(BookQ2,1520)&gt;0,"Q2",IF(INDEX(BookQ3,1520)&gt;0,"Q3",IF(INDEX(BookQ4,1520)&gt;0,"Q4","")))))</f>
        <v/>
      </c>
      <c r="K1525" s="42" t="str">
        <f aca="false">IF(INDEX(BookTitle,1520)="","",INDEX(BookInYear,1520))</f>
        <v/>
      </c>
      <c r="L1525" s="19"/>
      <c r="M1525" s="39"/>
      <c r="N1525" s="19"/>
      <c r="O1525" s="19"/>
      <c r="P1525" s="43" t="str">
        <f aca="false">IF($E1525="","",IF($L1525="Decline",0,IF($L1525="Approve fewer",IF($M1525="","",$M1525),IF($L1525="","",$I1525))))</f>
        <v/>
      </c>
      <c r="Q1525" s="34" t="str">
        <f aca="false">IF($P1525="","",IF($N1525&lt;&gt;"",$N1525,$J1525))</f>
        <v/>
      </c>
      <c r="R1525" s="35" t="str">
        <f aca="false">IF(OR($P1525="",$Q1525=""),"",INDEX(BookRate,1520)*$P1525*(5-MATCH($Q1525,{"Q1";"Q2";"Q3";"Q4"},0))/4+INDEX(BookOneOff,1520)*$P1525)</f>
        <v/>
      </c>
      <c r="S1525" s="35" t="str">
        <f aca="false">IF($P1525="","",INDEX(BookRate,1520)*$P1525)</f>
        <v/>
      </c>
      <c r="T1525" s="35" t="str">
        <f aca="false">IF($R1525="","",$R1525-$K1525)</f>
        <v/>
      </c>
      <c r="U1525" s="35" t="str">
        <f aca="false">IF(N($P1525)&lt;=0,"",COUNTIF($P$6:$P1525,"&gt;0"))</f>
        <v/>
      </c>
    </row>
    <row r="1526" customFormat="false" ht="15" hidden="false" customHeight="false" outlineLevel="0" collapsed="false">
      <c r="A1526" s="40" t="str">
        <f aca="false">IF(INDEX(BookTitle,1521)="","",INDEX(BookGroup,1521))</f>
        <v/>
      </c>
      <c r="B1526" s="40" t="str">
        <f aca="false">IF(INDEX(BookTitle,1521)="","",INDEX(BookRef,1521))</f>
        <v/>
      </c>
      <c r="C1526" s="40" t="str">
        <f aca="false">IF(INDEX(BookTitle,1521)="","",INDEX(BookDivision,1521))</f>
        <v/>
      </c>
      <c r="D1526" s="40" t="str">
        <f aca="false">IF(INDEX(BookTitle,1521)="","",INDEX(BookUnit,1521))</f>
        <v/>
      </c>
      <c r="E1526" s="40" t="str">
        <f aca="false">IF(INDEX(BookTitle,1521)="","",INDEX(BookTitle,1521))</f>
        <v/>
      </c>
      <c r="F1526" s="40" t="str">
        <f aca="false">IF(INDEX(BookTitle,1521)="","",INDEX(BookLevel,1521))</f>
        <v/>
      </c>
      <c r="G1526" s="40" t="str">
        <f aca="false">IF(INDEX(BookTitle,1521)="","",INDEX(BookCategory,1521))</f>
        <v/>
      </c>
      <c r="H1526" s="40" t="str">
        <f aca="false">IF(INDEX(BookTitle,1521)="","",INDEX(BookRank,1521))</f>
        <v/>
      </c>
      <c r="I1526" s="41" t="str">
        <f aca="false">IF(INDEX(BookTitle,1521)="","",INDEX(BookTotal,1521))</f>
        <v/>
      </c>
      <c r="J1526" s="0" t="str">
        <f aca="false">IF($I1526="","",IF(INDEX(BookQ1,1521)&gt;0,"Q1",IF(INDEX(BookQ2,1521)&gt;0,"Q2",IF(INDEX(BookQ3,1521)&gt;0,"Q3",IF(INDEX(BookQ4,1521)&gt;0,"Q4","")))))</f>
        <v/>
      </c>
      <c r="K1526" s="42" t="str">
        <f aca="false">IF(INDEX(BookTitle,1521)="","",INDEX(BookInYear,1521))</f>
        <v/>
      </c>
      <c r="L1526" s="19"/>
      <c r="M1526" s="39"/>
      <c r="N1526" s="19"/>
      <c r="O1526" s="19"/>
      <c r="P1526" s="43" t="str">
        <f aca="false">IF($E1526="","",IF($L1526="Decline",0,IF($L1526="Approve fewer",IF($M1526="","",$M1526),IF($L1526="","",$I1526))))</f>
        <v/>
      </c>
      <c r="Q1526" s="34" t="str">
        <f aca="false">IF($P1526="","",IF($N1526&lt;&gt;"",$N1526,$J1526))</f>
        <v/>
      </c>
      <c r="R1526" s="35" t="str">
        <f aca="false">IF(OR($P1526="",$Q1526=""),"",INDEX(BookRate,1521)*$P1526*(5-MATCH($Q1526,{"Q1";"Q2";"Q3";"Q4"},0))/4+INDEX(BookOneOff,1521)*$P1526)</f>
        <v/>
      </c>
      <c r="S1526" s="35" t="str">
        <f aca="false">IF($P1526="","",INDEX(BookRate,1521)*$P1526)</f>
        <v/>
      </c>
      <c r="T1526" s="35" t="str">
        <f aca="false">IF($R1526="","",$R1526-$K1526)</f>
        <v/>
      </c>
      <c r="U1526" s="35" t="str">
        <f aca="false">IF(N($P1526)&lt;=0,"",COUNTIF($P$6:$P1526,"&gt;0"))</f>
        <v/>
      </c>
    </row>
    <row r="1527" customFormat="false" ht="15" hidden="false" customHeight="false" outlineLevel="0" collapsed="false">
      <c r="A1527" s="40" t="str">
        <f aca="false">IF(INDEX(BookTitle,1522)="","",INDEX(BookGroup,1522))</f>
        <v/>
      </c>
      <c r="B1527" s="40" t="str">
        <f aca="false">IF(INDEX(BookTitle,1522)="","",INDEX(BookRef,1522))</f>
        <v/>
      </c>
      <c r="C1527" s="40" t="str">
        <f aca="false">IF(INDEX(BookTitle,1522)="","",INDEX(BookDivision,1522))</f>
        <v/>
      </c>
      <c r="D1527" s="40" t="str">
        <f aca="false">IF(INDEX(BookTitle,1522)="","",INDEX(BookUnit,1522))</f>
        <v/>
      </c>
      <c r="E1527" s="40" t="str">
        <f aca="false">IF(INDEX(BookTitle,1522)="","",INDEX(BookTitle,1522))</f>
        <v/>
      </c>
      <c r="F1527" s="40" t="str">
        <f aca="false">IF(INDEX(BookTitle,1522)="","",INDEX(BookLevel,1522))</f>
        <v/>
      </c>
      <c r="G1527" s="40" t="str">
        <f aca="false">IF(INDEX(BookTitle,1522)="","",INDEX(BookCategory,1522))</f>
        <v/>
      </c>
      <c r="H1527" s="40" t="str">
        <f aca="false">IF(INDEX(BookTitle,1522)="","",INDEX(BookRank,1522))</f>
        <v/>
      </c>
      <c r="I1527" s="41" t="str">
        <f aca="false">IF(INDEX(BookTitle,1522)="","",INDEX(BookTotal,1522))</f>
        <v/>
      </c>
      <c r="J1527" s="0" t="str">
        <f aca="false">IF($I1527="","",IF(INDEX(BookQ1,1522)&gt;0,"Q1",IF(INDEX(BookQ2,1522)&gt;0,"Q2",IF(INDEX(BookQ3,1522)&gt;0,"Q3",IF(INDEX(BookQ4,1522)&gt;0,"Q4","")))))</f>
        <v/>
      </c>
      <c r="K1527" s="42" t="str">
        <f aca="false">IF(INDEX(BookTitle,1522)="","",INDEX(BookInYear,1522))</f>
        <v/>
      </c>
      <c r="L1527" s="19"/>
      <c r="M1527" s="39"/>
      <c r="N1527" s="19"/>
      <c r="O1527" s="19"/>
      <c r="P1527" s="43" t="str">
        <f aca="false">IF($E1527="","",IF($L1527="Decline",0,IF($L1527="Approve fewer",IF($M1527="","",$M1527),IF($L1527="","",$I1527))))</f>
        <v/>
      </c>
      <c r="Q1527" s="34" t="str">
        <f aca="false">IF($P1527="","",IF($N1527&lt;&gt;"",$N1527,$J1527))</f>
        <v/>
      </c>
      <c r="R1527" s="35" t="str">
        <f aca="false">IF(OR($P1527="",$Q1527=""),"",INDEX(BookRate,1522)*$P1527*(5-MATCH($Q1527,{"Q1";"Q2";"Q3";"Q4"},0))/4+INDEX(BookOneOff,1522)*$P1527)</f>
        <v/>
      </c>
      <c r="S1527" s="35" t="str">
        <f aca="false">IF($P1527="","",INDEX(BookRate,1522)*$P1527)</f>
        <v/>
      </c>
      <c r="T1527" s="35" t="str">
        <f aca="false">IF($R1527="","",$R1527-$K1527)</f>
        <v/>
      </c>
      <c r="U1527" s="35" t="str">
        <f aca="false">IF(N($P1527)&lt;=0,"",COUNTIF($P$6:$P1527,"&gt;0"))</f>
        <v/>
      </c>
    </row>
    <row r="1528" customFormat="false" ht="15" hidden="false" customHeight="false" outlineLevel="0" collapsed="false">
      <c r="A1528" s="40" t="str">
        <f aca="false">IF(INDEX(BookTitle,1523)="","",INDEX(BookGroup,1523))</f>
        <v/>
      </c>
      <c r="B1528" s="40" t="str">
        <f aca="false">IF(INDEX(BookTitle,1523)="","",INDEX(BookRef,1523))</f>
        <v/>
      </c>
      <c r="C1528" s="40" t="str">
        <f aca="false">IF(INDEX(BookTitle,1523)="","",INDEX(BookDivision,1523))</f>
        <v/>
      </c>
      <c r="D1528" s="40" t="str">
        <f aca="false">IF(INDEX(BookTitle,1523)="","",INDEX(BookUnit,1523))</f>
        <v/>
      </c>
      <c r="E1528" s="40" t="str">
        <f aca="false">IF(INDEX(BookTitle,1523)="","",INDEX(BookTitle,1523))</f>
        <v/>
      </c>
      <c r="F1528" s="40" t="str">
        <f aca="false">IF(INDEX(BookTitle,1523)="","",INDEX(BookLevel,1523))</f>
        <v/>
      </c>
      <c r="G1528" s="40" t="str">
        <f aca="false">IF(INDEX(BookTitle,1523)="","",INDEX(BookCategory,1523))</f>
        <v/>
      </c>
      <c r="H1528" s="40" t="str">
        <f aca="false">IF(INDEX(BookTitle,1523)="","",INDEX(BookRank,1523))</f>
        <v/>
      </c>
      <c r="I1528" s="41" t="str">
        <f aca="false">IF(INDEX(BookTitle,1523)="","",INDEX(BookTotal,1523))</f>
        <v/>
      </c>
      <c r="J1528" s="0" t="str">
        <f aca="false">IF($I1528="","",IF(INDEX(BookQ1,1523)&gt;0,"Q1",IF(INDEX(BookQ2,1523)&gt;0,"Q2",IF(INDEX(BookQ3,1523)&gt;0,"Q3",IF(INDEX(BookQ4,1523)&gt;0,"Q4","")))))</f>
        <v/>
      </c>
      <c r="K1528" s="42" t="str">
        <f aca="false">IF(INDEX(BookTitle,1523)="","",INDEX(BookInYear,1523))</f>
        <v/>
      </c>
      <c r="L1528" s="19"/>
      <c r="M1528" s="39"/>
      <c r="N1528" s="19"/>
      <c r="O1528" s="19"/>
      <c r="P1528" s="43" t="str">
        <f aca="false">IF($E1528="","",IF($L1528="Decline",0,IF($L1528="Approve fewer",IF($M1528="","",$M1528),IF($L1528="","",$I1528))))</f>
        <v/>
      </c>
      <c r="Q1528" s="34" t="str">
        <f aca="false">IF($P1528="","",IF($N1528&lt;&gt;"",$N1528,$J1528))</f>
        <v/>
      </c>
      <c r="R1528" s="35" t="str">
        <f aca="false">IF(OR($P1528="",$Q1528=""),"",INDEX(BookRate,1523)*$P1528*(5-MATCH($Q1528,{"Q1";"Q2";"Q3";"Q4"},0))/4+INDEX(BookOneOff,1523)*$P1528)</f>
        <v/>
      </c>
      <c r="S1528" s="35" t="str">
        <f aca="false">IF($P1528="","",INDEX(BookRate,1523)*$P1528)</f>
        <v/>
      </c>
      <c r="T1528" s="35" t="str">
        <f aca="false">IF($R1528="","",$R1528-$K1528)</f>
        <v/>
      </c>
      <c r="U1528" s="35" t="str">
        <f aca="false">IF(N($P1528)&lt;=0,"",COUNTIF($P$6:$P1528,"&gt;0"))</f>
        <v/>
      </c>
    </row>
    <row r="1529" customFormat="false" ht="15" hidden="false" customHeight="false" outlineLevel="0" collapsed="false">
      <c r="A1529" s="40" t="str">
        <f aca="false">IF(INDEX(BookTitle,1524)="","",INDEX(BookGroup,1524))</f>
        <v/>
      </c>
      <c r="B1529" s="40" t="str">
        <f aca="false">IF(INDEX(BookTitle,1524)="","",INDEX(BookRef,1524))</f>
        <v/>
      </c>
      <c r="C1529" s="40" t="str">
        <f aca="false">IF(INDEX(BookTitle,1524)="","",INDEX(BookDivision,1524))</f>
        <v/>
      </c>
      <c r="D1529" s="40" t="str">
        <f aca="false">IF(INDEX(BookTitle,1524)="","",INDEX(BookUnit,1524))</f>
        <v/>
      </c>
      <c r="E1529" s="40" t="str">
        <f aca="false">IF(INDEX(BookTitle,1524)="","",INDEX(BookTitle,1524))</f>
        <v/>
      </c>
      <c r="F1529" s="40" t="str">
        <f aca="false">IF(INDEX(BookTitle,1524)="","",INDEX(BookLevel,1524))</f>
        <v/>
      </c>
      <c r="G1529" s="40" t="str">
        <f aca="false">IF(INDEX(BookTitle,1524)="","",INDEX(BookCategory,1524))</f>
        <v/>
      </c>
      <c r="H1529" s="40" t="str">
        <f aca="false">IF(INDEX(BookTitle,1524)="","",INDEX(BookRank,1524))</f>
        <v/>
      </c>
      <c r="I1529" s="41" t="str">
        <f aca="false">IF(INDEX(BookTitle,1524)="","",INDEX(BookTotal,1524))</f>
        <v/>
      </c>
      <c r="J1529" s="0" t="str">
        <f aca="false">IF($I1529="","",IF(INDEX(BookQ1,1524)&gt;0,"Q1",IF(INDEX(BookQ2,1524)&gt;0,"Q2",IF(INDEX(BookQ3,1524)&gt;0,"Q3",IF(INDEX(BookQ4,1524)&gt;0,"Q4","")))))</f>
        <v/>
      </c>
      <c r="K1529" s="42" t="str">
        <f aca="false">IF(INDEX(BookTitle,1524)="","",INDEX(BookInYear,1524))</f>
        <v/>
      </c>
      <c r="L1529" s="19"/>
      <c r="M1529" s="39"/>
      <c r="N1529" s="19"/>
      <c r="O1529" s="19"/>
      <c r="P1529" s="43" t="str">
        <f aca="false">IF($E1529="","",IF($L1529="Decline",0,IF($L1529="Approve fewer",IF($M1529="","",$M1529),IF($L1529="","",$I1529))))</f>
        <v/>
      </c>
      <c r="Q1529" s="34" t="str">
        <f aca="false">IF($P1529="","",IF($N1529&lt;&gt;"",$N1529,$J1529))</f>
        <v/>
      </c>
      <c r="R1529" s="35" t="str">
        <f aca="false">IF(OR($P1529="",$Q1529=""),"",INDEX(BookRate,1524)*$P1529*(5-MATCH($Q1529,{"Q1";"Q2";"Q3";"Q4"},0))/4+INDEX(BookOneOff,1524)*$P1529)</f>
        <v/>
      </c>
      <c r="S1529" s="35" t="str">
        <f aca="false">IF($P1529="","",INDEX(BookRate,1524)*$P1529)</f>
        <v/>
      </c>
      <c r="T1529" s="35" t="str">
        <f aca="false">IF($R1529="","",$R1529-$K1529)</f>
        <v/>
      </c>
      <c r="U1529" s="35" t="str">
        <f aca="false">IF(N($P1529)&lt;=0,"",COUNTIF($P$6:$P1529,"&gt;0"))</f>
        <v/>
      </c>
    </row>
    <row r="1530" customFormat="false" ht="15" hidden="false" customHeight="false" outlineLevel="0" collapsed="false">
      <c r="A1530" s="40" t="str">
        <f aca="false">IF(INDEX(BookTitle,1525)="","",INDEX(BookGroup,1525))</f>
        <v/>
      </c>
      <c r="B1530" s="40" t="str">
        <f aca="false">IF(INDEX(BookTitle,1525)="","",INDEX(BookRef,1525))</f>
        <v/>
      </c>
      <c r="C1530" s="40" t="str">
        <f aca="false">IF(INDEX(BookTitle,1525)="","",INDEX(BookDivision,1525))</f>
        <v/>
      </c>
      <c r="D1530" s="40" t="str">
        <f aca="false">IF(INDEX(BookTitle,1525)="","",INDEX(BookUnit,1525))</f>
        <v/>
      </c>
      <c r="E1530" s="40" t="str">
        <f aca="false">IF(INDEX(BookTitle,1525)="","",INDEX(BookTitle,1525))</f>
        <v/>
      </c>
      <c r="F1530" s="40" t="str">
        <f aca="false">IF(INDEX(BookTitle,1525)="","",INDEX(BookLevel,1525))</f>
        <v/>
      </c>
      <c r="G1530" s="40" t="str">
        <f aca="false">IF(INDEX(BookTitle,1525)="","",INDEX(BookCategory,1525))</f>
        <v/>
      </c>
      <c r="H1530" s="40" t="str">
        <f aca="false">IF(INDEX(BookTitle,1525)="","",INDEX(BookRank,1525))</f>
        <v/>
      </c>
      <c r="I1530" s="41" t="str">
        <f aca="false">IF(INDEX(BookTitle,1525)="","",INDEX(BookTotal,1525))</f>
        <v/>
      </c>
      <c r="J1530" s="0" t="str">
        <f aca="false">IF($I1530="","",IF(INDEX(BookQ1,1525)&gt;0,"Q1",IF(INDEX(BookQ2,1525)&gt;0,"Q2",IF(INDEX(BookQ3,1525)&gt;0,"Q3",IF(INDEX(BookQ4,1525)&gt;0,"Q4","")))))</f>
        <v/>
      </c>
      <c r="K1530" s="42" t="str">
        <f aca="false">IF(INDEX(BookTitle,1525)="","",INDEX(BookInYear,1525))</f>
        <v/>
      </c>
      <c r="L1530" s="19"/>
      <c r="M1530" s="39"/>
      <c r="N1530" s="19"/>
      <c r="O1530" s="19"/>
      <c r="P1530" s="43" t="str">
        <f aca="false">IF($E1530="","",IF($L1530="Decline",0,IF($L1530="Approve fewer",IF($M1530="","",$M1530),IF($L1530="","",$I1530))))</f>
        <v/>
      </c>
      <c r="Q1530" s="34" t="str">
        <f aca="false">IF($P1530="","",IF($N1530&lt;&gt;"",$N1530,$J1530))</f>
        <v/>
      </c>
      <c r="R1530" s="35" t="str">
        <f aca="false">IF(OR($P1530="",$Q1530=""),"",INDEX(BookRate,1525)*$P1530*(5-MATCH($Q1530,{"Q1";"Q2";"Q3";"Q4"},0))/4+INDEX(BookOneOff,1525)*$P1530)</f>
        <v/>
      </c>
      <c r="S1530" s="35" t="str">
        <f aca="false">IF($P1530="","",INDEX(BookRate,1525)*$P1530)</f>
        <v/>
      </c>
      <c r="T1530" s="35" t="str">
        <f aca="false">IF($R1530="","",$R1530-$K1530)</f>
        <v/>
      </c>
      <c r="U1530" s="35" t="str">
        <f aca="false">IF(N($P1530)&lt;=0,"",COUNTIF($P$6:$P1530,"&gt;0"))</f>
        <v/>
      </c>
    </row>
    <row r="1531" customFormat="false" ht="15" hidden="false" customHeight="false" outlineLevel="0" collapsed="false">
      <c r="A1531" s="40" t="str">
        <f aca="false">IF(INDEX(BookTitle,1526)="","",INDEX(BookGroup,1526))</f>
        <v/>
      </c>
      <c r="B1531" s="40" t="str">
        <f aca="false">IF(INDEX(BookTitle,1526)="","",INDEX(BookRef,1526))</f>
        <v/>
      </c>
      <c r="C1531" s="40" t="str">
        <f aca="false">IF(INDEX(BookTitle,1526)="","",INDEX(BookDivision,1526))</f>
        <v/>
      </c>
      <c r="D1531" s="40" t="str">
        <f aca="false">IF(INDEX(BookTitle,1526)="","",INDEX(BookUnit,1526))</f>
        <v/>
      </c>
      <c r="E1531" s="40" t="str">
        <f aca="false">IF(INDEX(BookTitle,1526)="","",INDEX(BookTitle,1526))</f>
        <v/>
      </c>
      <c r="F1531" s="40" t="str">
        <f aca="false">IF(INDEX(BookTitle,1526)="","",INDEX(BookLevel,1526))</f>
        <v/>
      </c>
      <c r="G1531" s="40" t="str">
        <f aca="false">IF(INDEX(BookTitle,1526)="","",INDEX(BookCategory,1526))</f>
        <v/>
      </c>
      <c r="H1531" s="40" t="str">
        <f aca="false">IF(INDEX(BookTitle,1526)="","",INDEX(BookRank,1526))</f>
        <v/>
      </c>
      <c r="I1531" s="41" t="str">
        <f aca="false">IF(INDEX(BookTitle,1526)="","",INDEX(BookTotal,1526))</f>
        <v/>
      </c>
      <c r="J1531" s="0" t="str">
        <f aca="false">IF($I1531="","",IF(INDEX(BookQ1,1526)&gt;0,"Q1",IF(INDEX(BookQ2,1526)&gt;0,"Q2",IF(INDEX(BookQ3,1526)&gt;0,"Q3",IF(INDEX(BookQ4,1526)&gt;0,"Q4","")))))</f>
        <v/>
      </c>
      <c r="K1531" s="42" t="str">
        <f aca="false">IF(INDEX(BookTitle,1526)="","",INDEX(BookInYear,1526))</f>
        <v/>
      </c>
      <c r="L1531" s="19"/>
      <c r="M1531" s="39"/>
      <c r="N1531" s="19"/>
      <c r="O1531" s="19"/>
      <c r="P1531" s="43" t="str">
        <f aca="false">IF($E1531="","",IF($L1531="Decline",0,IF($L1531="Approve fewer",IF($M1531="","",$M1531),IF($L1531="","",$I1531))))</f>
        <v/>
      </c>
      <c r="Q1531" s="34" t="str">
        <f aca="false">IF($P1531="","",IF($N1531&lt;&gt;"",$N1531,$J1531))</f>
        <v/>
      </c>
      <c r="R1531" s="35" t="str">
        <f aca="false">IF(OR($P1531="",$Q1531=""),"",INDEX(BookRate,1526)*$P1531*(5-MATCH($Q1531,{"Q1";"Q2";"Q3";"Q4"},0))/4+INDEX(BookOneOff,1526)*$P1531)</f>
        <v/>
      </c>
      <c r="S1531" s="35" t="str">
        <f aca="false">IF($P1531="","",INDEX(BookRate,1526)*$P1531)</f>
        <v/>
      </c>
      <c r="T1531" s="35" t="str">
        <f aca="false">IF($R1531="","",$R1531-$K1531)</f>
        <v/>
      </c>
      <c r="U1531" s="35" t="str">
        <f aca="false">IF(N($P1531)&lt;=0,"",COUNTIF($P$6:$P1531,"&gt;0"))</f>
        <v/>
      </c>
    </row>
    <row r="1532" customFormat="false" ht="15" hidden="false" customHeight="false" outlineLevel="0" collapsed="false">
      <c r="A1532" s="40" t="str">
        <f aca="false">IF(INDEX(BookTitle,1527)="","",INDEX(BookGroup,1527))</f>
        <v/>
      </c>
      <c r="B1532" s="40" t="str">
        <f aca="false">IF(INDEX(BookTitle,1527)="","",INDEX(BookRef,1527))</f>
        <v/>
      </c>
      <c r="C1532" s="40" t="str">
        <f aca="false">IF(INDEX(BookTitle,1527)="","",INDEX(BookDivision,1527))</f>
        <v/>
      </c>
      <c r="D1532" s="40" t="str">
        <f aca="false">IF(INDEX(BookTitle,1527)="","",INDEX(BookUnit,1527))</f>
        <v/>
      </c>
      <c r="E1532" s="40" t="str">
        <f aca="false">IF(INDEX(BookTitle,1527)="","",INDEX(BookTitle,1527))</f>
        <v/>
      </c>
      <c r="F1532" s="40" t="str">
        <f aca="false">IF(INDEX(BookTitle,1527)="","",INDEX(BookLevel,1527))</f>
        <v/>
      </c>
      <c r="G1532" s="40" t="str">
        <f aca="false">IF(INDEX(BookTitle,1527)="","",INDEX(BookCategory,1527))</f>
        <v/>
      </c>
      <c r="H1532" s="40" t="str">
        <f aca="false">IF(INDEX(BookTitle,1527)="","",INDEX(BookRank,1527))</f>
        <v/>
      </c>
      <c r="I1532" s="41" t="str">
        <f aca="false">IF(INDEX(BookTitle,1527)="","",INDEX(BookTotal,1527))</f>
        <v/>
      </c>
      <c r="J1532" s="0" t="str">
        <f aca="false">IF($I1532="","",IF(INDEX(BookQ1,1527)&gt;0,"Q1",IF(INDEX(BookQ2,1527)&gt;0,"Q2",IF(INDEX(BookQ3,1527)&gt;0,"Q3",IF(INDEX(BookQ4,1527)&gt;0,"Q4","")))))</f>
        <v/>
      </c>
      <c r="K1532" s="42" t="str">
        <f aca="false">IF(INDEX(BookTitle,1527)="","",INDEX(BookInYear,1527))</f>
        <v/>
      </c>
      <c r="L1532" s="19"/>
      <c r="M1532" s="39"/>
      <c r="N1532" s="19"/>
      <c r="O1532" s="19"/>
      <c r="P1532" s="43" t="str">
        <f aca="false">IF($E1532="","",IF($L1532="Decline",0,IF($L1532="Approve fewer",IF($M1532="","",$M1532),IF($L1532="","",$I1532))))</f>
        <v/>
      </c>
      <c r="Q1532" s="34" t="str">
        <f aca="false">IF($P1532="","",IF($N1532&lt;&gt;"",$N1532,$J1532))</f>
        <v/>
      </c>
      <c r="R1532" s="35" t="str">
        <f aca="false">IF(OR($P1532="",$Q1532=""),"",INDEX(BookRate,1527)*$P1532*(5-MATCH($Q1532,{"Q1";"Q2";"Q3";"Q4"},0))/4+INDEX(BookOneOff,1527)*$P1532)</f>
        <v/>
      </c>
      <c r="S1532" s="35" t="str">
        <f aca="false">IF($P1532="","",INDEX(BookRate,1527)*$P1532)</f>
        <v/>
      </c>
      <c r="T1532" s="35" t="str">
        <f aca="false">IF($R1532="","",$R1532-$K1532)</f>
        <v/>
      </c>
      <c r="U1532" s="35" t="str">
        <f aca="false">IF(N($P1532)&lt;=0,"",COUNTIF($P$6:$P1532,"&gt;0"))</f>
        <v/>
      </c>
    </row>
    <row r="1533" customFormat="false" ht="15" hidden="false" customHeight="false" outlineLevel="0" collapsed="false">
      <c r="A1533" s="40" t="str">
        <f aca="false">IF(INDEX(BookTitle,1528)="","",INDEX(BookGroup,1528))</f>
        <v/>
      </c>
      <c r="B1533" s="40" t="str">
        <f aca="false">IF(INDEX(BookTitle,1528)="","",INDEX(BookRef,1528))</f>
        <v/>
      </c>
      <c r="C1533" s="40" t="str">
        <f aca="false">IF(INDEX(BookTitle,1528)="","",INDEX(BookDivision,1528))</f>
        <v/>
      </c>
      <c r="D1533" s="40" t="str">
        <f aca="false">IF(INDEX(BookTitle,1528)="","",INDEX(BookUnit,1528))</f>
        <v/>
      </c>
      <c r="E1533" s="40" t="str">
        <f aca="false">IF(INDEX(BookTitle,1528)="","",INDEX(BookTitle,1528))</f>
        <v/>
      </c>
      <c r="F1533" s="40" t="str">
        <f aca="false">IF(INDEX(BookTitle,1528)="","",INDEX(BookLevel,1528))</f>
        <v/>
      </c>
      <c r="G1533" s="40" t="str">
        <f aca="false">IF(INDEX(BookTitle,1528)="","",INDEX(BookCategory,1528))</f>
        <v/>
      </c>
      <c r="H1533" s="40" t="str">
        <f aca="false">IF(INDEX(BookTitle,1528)="","",INDEX(BookRank,1528))</f>
        <v/>
      </c>
      <c r="I1533" s="41" t="str">
        <f aca="false">IF(INDEX(BookTitle,1528)="","",INDEX(BookTotal,1528))</f>
        <v/>
      </c>
      <c r="J1533" s="0" t="str">
        <f aca="false">IF($I1533="","",IF(INDEX(BookQ1,1528)&gt;0,"Q1",IF(INDEX(BookQ2,1528)&gt;0,"Q2",IF(INDEX(BookQ3,1528)&gt;0,"Q3",IF(INDEX(BookQ4,1528)&gt;0,"Q4","")))))</f>
        <v/>
      </c>
      <c r="K1533" s="42" t="str">
        <f aca="false">IF(INDEX(BookTitle,1528)="","",INDEX(BookInYear,1528))</f>
        <v/>
      </c>
      <c r="L1533" s="19"/>
      <c r="M1533" s="39"/>
      <c r="N1533" s="19"/>
      <c r="O1533" s="19"/>
      <c r="P1533" s="43" t="str">
        <f aca="false">IF($E1533="","",IF($L1533="Decline",0,IF($L1533="Approve fewer",IF($M1533="","",$M1533),IF($L1533="","",$I1533))))</f>
        <v/>
      </c>
      <c r="Q1533" s="34" t="str">
        <f aca="false">IF($P1533="","",IF($N1533&lt;&gt;"",$N1533,$J1533))</f>
        <v/>
      </c>
      <c r="R1533" s="35" t="str">
        <f aca="false">IF(OR($P1533="",$Q1533=""),"",INDEX(BookRate,1528)*$P1533*(5-MATCH($Q1533,{"Q1";"Q2";"Q3";"Q4"},0))/4+INDEX(BookOneOff,1528)*$P1533)</f>
        <v/>
      </c>
      <c r="S1533" s="35" t="str">
        <f aca="false">IF($P1533="","",INDEX(BookRate,1528)*$P1533)</f>
        <v/>
      </c>
      <c r="T1533" s="35" t="str">
        <f aca="false">IF($R1533="","",$R1533-$K1533)</f>
        <v/>
      </c>
      <c r="U1533" s="35" t="str">
        <f aca="false">IF(N($P1533)&lt;=0,"",COUNTIF($P$6:$P1533,"&gt;0"))</f>
        <v/>
      </c>
    </row>
    <row r="1534" customFormat="false" ht="15" hidden="false" customHeight="false" outlineLevel="0" collapsed="false">
      <c r="A1534" s="40" t="str">
        <f aca="false">IF(INDEX(BookTitle,1529)="","",INDEX(BookGroup,1529))</f>
        <v/>
      </c>
      <c r="B1534" s="40" t="str">
        <f aca="false">IF(INDEX(BookTitle,1529)="","",INDEX(BookRef,1529))</f>
        <v/>
      </c>
      <c r="C1534" s="40" t="str">
        <f aca="false">IF(INDEX(BookTitle,1529)="","",INDEX(BookDivision,1529))</f>
        <v/>
      </c>
      <c r="D1534" s="40" t="str">
        <f aca="false">IF(INDEX(BookTitle,1529)="","",INDEX(BookUnit,1529))</f>
        <v/>
      </c>
      <c r="E1534" s="40" t="str">
        <f aca="false">IF(INDEX(BookTitle,1529)="","",INDEX(BookTitle,1529))</f>
        <v/>
      </c>
      <c r="F1534" s="40" t="str">
        <f aca="false">IF(INDEX(BookTitle,1529)="","",INDEX(BookLevel,1529))</f>
        <v/>
      </c>
      <c r="G1534" s="40" t="str">
        <f aca="false">IF(INDEX(BookTitle,1529)="","",INDEX(BookCategory,1529))</f>
        <v/>
      </c>
      <c r="H1534" s="40" t="str">
        <f aca="false">IF(INDEX(BookTitle,1529)="","",INDEX(BookRank,1529))</f>
        <v/>
      </c>
      <c r="I1534" s="41" t="str">
        <f aca="false">IF(INDEX(BookTitle,1529)="","",INDEX(BookTotal,1529))</f>
        <v/>
      </c>
      <c r="J1534" s="0" t="str">
        <f aca="false">IF($I1534="","",IF(INDEX(BookQ1,1529)&gt;0,"Q1",IF(INDEX(BookQ2,1529)&gt;0,"Q2",IF(INDEX(BookQ3,1529)&gt;0,"Q3",IF(INDEX(BookQ4,1529)&gt;0,"Q4","")))))</f>
        <v/>
      </c>
      <c r="K1534" s="42" t="str">
        <f aca="false">IF(INDEX(BookTitle,1529)="","",INDEX(BookInYear,1529))</f>
        <v/>
      </c>
      <c r="L1534" s="19"/>
      <c r="M1534" s="39"/>
      <c r="N1534" s="19"/>
      <c r="O1534" s="19"/>
      <c r="P1534" s="43" t="str">
        <f aca="false">IF($E1534="","",IF($L1534="Decline",0,IF($L1534="Approve fewer",IF($M1534="","",$M1534),IF($L1534="","",$I1534))))</f>
        <v/>
      </c>
      <c r="Q1534" s="34" t="str">
        <f aca="false">IF($P1534="","",IF($N1534&lt;&gt;"",$N1534,$J1534))</f>
        <v/>
      </c>
      <c r="R1534" s="35" t="str">
        <f aca="false">IF(OR($P1534="",$Q1534=""),"",INDEX(BookRate,1529)*$P1534*(5-MATCH($Q1534,{"Q1";"Q2";"Q3";"Q4"},0))/4+INDEX(BookOneOff,1529)*$P1534)</f>
        <v/>
      </c>
      <c r="S1534" s="35" t="str">
        <f aca="false">IF($P1534="","",INDEX(BookRate,1529)*$P1534)</f>
        <v/>
      </c>
      <c r="T1534" s="35" t="str">
        <f aca="false">IF($R1534="","",$R1534-$K1534)</f>
        <v/>
      </c>
      <c r="U1534" s="35" t="str">
        <f aca="false">IF(N($P1534)&lt;=0,"",COUNTIF($P$6:$P1534,"&gt;0"))</f>
        <v/>
      </c>
    </row>
    <row r="1535" customFormat="false" ht="15" hidden="false" customHeight="false" outlineLevel="0" collapsed="false">
      <c r="A1535" s="40" t="str">
        <f aca="false">IF(INDEX(BookTitle,1530)="","",INDEX(BookGroup,1530))</f>
        <v/>
      </c>
      <c r="B1535" s="40" t="str">
        <f aca="false">IF(INDEX(BookTitle,1530)="","",INDEX(BookRef,1530))</f>
        <v/>
      </c>
      <c r="C1535" s="40" t="str">
        <f aca="false">IF(INDEX(BookTitle,1530)="","",INDEX(BookDivision,1530))</f>
        <v/>
      </c>
      <c r="D1535" s="40" t="str">
        <f aca="false">IF(INDEX(BookTitle,1530)="","",INDEX(BookUnit,1530))</f>
        <v/>
      </c>
      <c r="E1535" s="40" t="str">
        <f aca="false">IF(INDEX(BookTitle,1530)="","",INDEX(BookTitle,1530))</f>
        <v/>
      </c>
      <c r="F1535" s="40" t="str">
        <f aca="false">IF(INDEX(BookTitle,1530)="","",INDEX(BookLevel,1530))</f>
        <v/>
      </c>
      <c r="G1535" s="40" t="str">
        <f aca="false">IF(INDEX(BookTitle,1530)="","",INDEX(BookCategory,1530))</f>
        <v/>
      </c>
      <c r="H1535" s="40" t="str">
        <f aca="false">IF(INDEX(BookTitle,1530)="","",INDEX(BookRank,1530))</f>
        <v/>
      </c>
      <c r="I1535" s="41" t="str">
        <f aca="false">IF(INDEX(BookTitle,1530)="","",INDEX(BookTotal,1530))</f>
        <v/>
      </c>
      <c r="J1535" s="0" t="str">
        <f aca="false">IF($I1535="","",IF(INDEX(BookQ1,1530)&gt;0,"Q1",IF(INDEX(BookQ2,1530)&gt;0,"Q2",IF(INDEX(BookQ3,1530)&gt;0,"Q3",IF(INDEX(BookQ4,1530)&gt;0,"Q4","")))))</f>
        <v/>
      </c>
      <c r="K1535" s="42" t="str">
        <f aca="false">IF(INDEX(BookTitle,1530)="","",INDEX(BookInYear,1530))</f>
        <v/>
      </c>
      <c r="L1535" s="19"/>
      <c r="M1535" s="39"/>
      <c r="N1535" s="19"/>
      <c r="O1535" s="19"/>
      <c r="P1535" s="43" t="str">
        <f aca="false">IF($E1535="","",IF($L1535="Decline",0,IF($L1535="Approve fewer",IF($M1535="","",$M1535),IF($L1535="","",$I1535))))</f>
        <v/>
      </c>
      <c r="Q1535" s="34" t="str">
        <f aca="false">IF($P1535="","",IF($N1535&lt;&gt;"",$N1535,$J1535))</f>
        <v/>
      </c>
      <c r="R1535" s="35" t="str">
        <f aca="false">IF(OR($P1535="",$Q1535=""),"",INDEX(BookRate,1530)*$P1535*(5-MATCH($Q1535,{"Q1";"Q2";"Q3";"Q4"},0))/4+INDEX(BookOneOff,1530)*$P1535)</f>
        <v/>
      </c>
      <c r="S1535" s="35" t="str">
        <f aca="false">IF($P1535="","",INDEX(BookRate,1530)*$P1535)</f>
        <v/>
      </c>
      <c r="T1535" s="35" t="str">
        <f aca="false">IF($R1535="","",$R1535-$K1535)</f>
        <v/>
      </c>
      <c r="U1535" s="35" t="str">
        <f aca="false">IF(N($P1535)&lt;=0,"",COUNTIF($P$6:$P1535,"&gt;0"))</f>
        <v/>
      </c>
    </row>
    <row r="1536" customFormat="false" ht="15" hidden="false" customHeight="false" outlineLevel="0" collapsed="false">
      <c r="A1536" s="40" t="str">
        <f aca="false">IF(INDEX(BookTitle,1531)="","",INDEX(BookGroup,1531))</f>
        <v/>
      </c>
      <c r="B1536" s="40" t="str">
        <f aca="false">IF(INDEX(BookTitle,1531)="","",INDEX(BookRef,1531))</f>
        <v/>
      </c>
      <c r="C1536" s="40" t="str">
        <f aca="false">IF(INDEX(BookTitle,1531)="","",INDEX(BookDivision,1531))</f>
        <v/>
      </c>
      <c r="D1536" s="40" t="str">
        <f aca="false">IF(INDEX(BookTitle,1531)="","",INDEX(BookUnit,1531))</f>
        <v/>
      </c>
      <c r="E1536" s="40" t="str">
        <f aca="false">IF(INDEX(BookTitle,1531)="","",INDEX(BookTitle,1531))</f>
        <v/>
      </c>
      <c r="F1536" s="40" t="str">
        <f aca="false">IF(INDEX(BookTitle,1531)="","",INDEX(BookLevel,1531))</f>
        <v/>
      </c>
      <c r="G1536" s="40" t="str">
        <f aca="false">IF(INDEX(BookTitle,1531)="","",INDEX(BookCategory,1531))</f>
        <v/>
      </c>
      <c r="H1536" s="40" t="str">
        <f aca="false">IF(INDEX(BookTitle,1531)="","",INDEX(BookRank,1531))</f>
        <v/>
      </c>
      <c r="I1536" s="41" t="str">
        <f aca="false">IF(INDEX(BookTitle,1531)="","",INDEX(BookTotal,1531))</f>
        <v/>
      </c>
      <c r="J1536" s="0" t="str">
        <f aca="false">IF($I1536="","",IF(INDEX(BookQ1,1531)&gt;0,"Q1",IF(INDEX(BookQ2,1531)&gt;0,"Q2",IF(INDEX(BookQ3,1531)&gt;0,"Q3",IF(INDEX(BookQ4,1531)&gt;0,"Q4","")))))</f>
        <v/>
      </c>
      <c r="K1536" s="42" t="str">
        <f aca="false">IF(INDEX(BookTitle,1531)="","",INDEX(BookInYear,1531))</f>
        <v/>
      </c>
      <c r="L1536" s="19"/>
      <c r="M1536" s="39"/>
      <c r="N1536" s="19"/>
      <c r="O1536" s="19"/>
      <c r="P1536" s="43" t="str">
        <f aca="false">IF($E1536="","",IF($L1536="Decline",0,IF($L1536="Approve fewer",IF($M1536="","",$M1536),IF($L1536="","",$I1536))))</f>
        <v/>
      </c>
      <c r="Q1536" s="34" t="str">
        <f aca="false">IF($P1536="","",IF($N1536&lt;&gt;"",$N1536,$J1536))</f>
        <v/>
      </c>
      <c r="R1536" s="35" t="str">
        <f aca="false">IF(OR($P1536="",$Q1536=""),"",INDEX(BookRate,1531)*$P1536*(5-MATCH($Q1536,{"Q1";"Q2";"Q3";"Q4"},0))/4+INDEX(BookOneOff,1531)*$P1536)</f>
        <v/>
      </c>
      <c r="S1536" s="35" t="str">
        <f aca="false">IF($P1536="","",INDEX(BookRate,1531)*$P1536)</f>
        <v/>
      </c>
      <c r="T1536" s="35" t="str">
        <f aca="false">IF($R1536="","",$R1536-$K1536)</f>
        <v/>
      </c>
      <c r="U1536" s="35" t="str">
        <f aca="false">IF(N($P1536)&lt;=0,"",COUNTIF($P$6:$P1536,"&gt;0"))</f>
        <v/>
      </c>
    </row>
    <row r="1537" customFormat="false" ht="15" hidden="false" customHeight="false" outlineLevel="0" collapsed="false">
      <c r="A1537" s="40" t="str">
        <f aca="false">IF(INDEX(BookTitle,1532)="","",INDEX(BookGroup,1532))</f>
        <v/>
      </c>
      <c r="B1537" s="40" t="str">
        <f aca="false">IF(INDEX(BookTitle,1532)="","",INDEX(BookRef,1532))</f>
        <v/>
      </c>
      <c r="C1537" s="40" t="str">
        <f aca="false">IF(INDEX(BookTitle,1532)="","",INDEX(BookDivision,1532))</f>
        <v/>
      </c>
      <c r="D1537" s="40" t="str">
        <f aca="false">IF(INDEX(BookTitle,1532)="","",INDEX(BookUnit,1532))</f>
        <v/>
      </c>
      <c r="E1537" s="40" t="str">
        <f aca="false">IF(INDEX(BookTitle,1532)="","",INDEX(BookTitle,1532))</f>
        <v/>
      </c>
      <c r="F1537" s="40" t="str">
        <f aca="false">IF(INDEX(BookTitle,1532)="","",INDEX(BookLevel,1532))</f>
        <v/>
      </c>
      <c r="G1537" s="40" t="str">
        <f aca="false">IF(INDEX(BookTitle,1532)="","",INDEX(BookCategory,1532))</f>
        <v/>
      </c>
      <c r="H1537" s="40" t="str">
        <f aca="false">IF(INDEX(BookTitle,1532)="","",INDEX(BookRank,1532))</f>
        <v/>
      </c>
      <c r="I1537" s="41" t="str">
        <f aca="false">IF(INDEX(BookTitle,1532)="","",INDEX(BookTotal,1532))</f>
        <v/>
      </c>
      <c r="J1537" s="0" t="str">
        <f aca="false">IF($I1537="","",IF(INDEX(BookQ1,1532)&gt;0,"Q1",IF(INDEX(BookQ2,1532)&gt;0,"Q2",IF(INDEX(BookQ3,1532)&gt;0,"Q3",IF(INDEX(BookQ4,1532)&gt;0,"Q4","")))))</f>
        <v/>
      </c>
      <c r="K1537" s="42" t="str">
        <f aca="false">IF(INDEX(BookTitle,1532)="","",INDEX(BookInYear,1532))</f>
        <v/>
      </c>
      <c r="L1537" s="19"/>
      <c r="M1537" s="39"/>
      <c r="N1537" s="19"/>
      <c r="O1537" s="19"/>
      <c r="P1537" s="43" t="str">
        <f aca="false">IF($E1537="","",IF($L1537="Decline",0,IF($L1537="Approve fewer",IF($M1537="","",$M1537),IF($L1537="","",$I1537))))</f>
        <v/>
      </c>
      <c r="Q1537" s="34" t="str">
        <f aca="false">IF($P1537="","",IF($N1537&lt;&gt;"",$N1537,$J1537))</f>
        <v/>
      </c>
      <c r="R1537" s="35" t="str">
        <f aca="false">IF(OR($P1537="",$Q1537=""),"",INDEX(BookRate,1532)*$P1537*(5-MATCH($Q1537,{"Q1";"Q2";"Q3";"Q4"},0))/4+INDEX(BookOneOff,1532)*$P1537)</f>
        <v/>
      </c>
      <c r="S1537" s="35" t="str">
        <f aca="false">IF($P1537="","",INDEX(BookRate,1532)*$P1537)</f>
        <v/>
      </c>
      <c r="T1537" s="35" t="str">
        <f aca="false">IF($R1537="","",$R1537-$K1537)</f>
        <v/>
      </c>
      <c r="U1537" s="35" t="str">
        <f aca="false">IF(N($P1537)&lt;=0,"",COUNTIF($P$6:$P1537,"&gt;0"))</f>
        <v/>
      </c>
    </row>
    <row r="1538" customFormat="false" ht="15" hidden="false" customHeight="false" outlineLevel="0" collapsed="false">
      <c r="A1538" s="40" t="str">
        <f aca="false">IF(INDEX(BookTitle,1533)="","",INDEX(BookGroup,1533))</f>
        <v/>
      </c>
      <c r="B1538" s="40" t="str">
        <f aca="false">IF(INDEX(BookTitle,1533)="","",INDEX(BookRef,1533))</f>
        <v/>
      </c>
      <c r="C1538" s="40" t="str">
        <f aca="false">IF(INDEX(BookTitle,1533)="","",INDEX(BookDivision,1533))</f>
        <v/>
      </c>
      <c r="D1538" s="40" t="str">
        <f aca="false">IF(INDEX(BookTitle,1533)="","",INDEX(BookUnit,1533))</f>
        <v/>
      </c>
      <c r="E1538" s="40" t="str">
        <f aca="false">IF(INDEX(BookTitle,1533)="","",INDEX(BookTitle,1533))</f>
        <v/>
      </c>
      <c r="F1538" s="40" t="str">
        <f aca="false">IF(INDEX(BookTitle,1533)="","",INDEX(BookLevel,1533))</f>
        <v/>
      </c>
      <c r="G1538" s="40" t="str">
        <f aca="false">IF(INDEX(BookTitle,1533)="","",INDEX(BookCategory,1533))</f>
        <v/>
      </c>
      <c r="H1538" s="40" t="str">
        <f aca="false">IF(INDEX(BookTitle,1533)="","",INDEX(BookRank,1533))</f>
        <v/>
      </c>
      <c r="I1538" s="41" t="str">
        <f aca="false">IF(INDEX(BookTitle,1533)="","",INDEX(BookTotal,1533))</f>
        <v/>
      </c>
      <c r="J1538" s="0" t="str">
        <f aca="false">IF($I1538="","",IF(INDEX(BookQ1,1533)&gt;0,"Q1",IF(INDEX(BookQ2,1533)&gt;0,"Q2",IF(INDEX(BookQ3,1533)&gt;0,"Q3",IF(INDEX(BookQ4,1533)&gt;0,"Q4","")))))</f>
        <v/>
      </c>
      <c r="K1538" s="42" t="str">
        <f aca="false">IF(INDEX(BookTitle,1533)="","",INDEX(BookInYear,1533))</f>
        <v/>
      </c>
      <c r="L1538" s="19"/>
      <c r="M1538" s="39"/>
      <c r="N1538" s="19"/>
      <c r="O1538" s="19"/>
      <c r="P1538" s="43" t="str">
        <f aca="false">IF($E1538="","",IF($L1538="Decline",0,IF($L1538="Approve fewer",IF($M1538="","",$M1538),IF($L1538="","",$I1538))))</f>
        <v/>
      </c>
      <c r="Q1538" s="34" t="str">
        <f aca="false">IF($P1538="","",IF($N1538&lt;&gt;"",$N1538,$J1538))</f>
        <v/>
      </c>
      <c r="R1538" s="35" t="str">
        <f aca="false">IF(OR($P1538="",$Q1538=""),"",INDEX(BookRate,1533)*$P1538*(5-MATCH($Q1538,{"Q1";"Q2";"Q3";"Q4"},0))/4+INDEX(BookOneOff,1533)*$P1538)</f>
        <v/>
      </c>
      <c r="S1538" s="35" t="str">
        <f aca="false">IF($P1538="","",INDEX(BookRate,1533)*$P1538)</f>
        <v/>
      </c>
      <c r="T1538" s="35" t="str">
        <f aca="false">IF($R1538="","",$R1538-$K1538)</f>
        <v/>
      </c>
      <c r="U1538" s="35" t="str">
        <f aca="false">IF(N($P1538)&lt;=0,"",COUNTIF($P$6:$P1538,"&gt;0"))</f>
        <v/>
      </c>
    </row>
    <row r="1539" customFormat="false" ht="15" hidden="false" customHeight="false" outlineLevel="0" collapsed="false">
      <c r="A1539" s="40" t="str">
        <f aca="false">IF(INDEX(BookTitle,1534)="","",INDEX(BookGroup,1534))</f>
        <v/>
      </c>
      <c r="B1539" s="40" t="str">
        <f aca="false">IF(INDEX(BookTitle,1534)="","",INDEX(BookRef,1534))</f>
        <v/>
      </c>
      <c r="C1539" s="40" t="str">
        <f aca="false">IF(INDEX(BookTitle,1534)="","",INDEX(BookDivision,1534))</f>
        <v/>
      </c>
      <c r="D1539" s="40" t="str">
        <f aca="false">IF(INDEX(BookTitle,1534)="","",INDEX(BookUnit,1534))</f>
        <v/>
      </c>
      <c r="E1539" s="40" t="str">
        <f aca="false">IF(INDEX(BookTitle,1534)="","",INDEX(BookTitle,1534))</f>
        <v/>
      </c>
      <c r="F1539" s="40" t="str">
        <f aca="false">IF(INDEX(BookTitle,1534)="","",INDEX(BookLevel,1534))</f>
        <v/>
      </c>
      <c r="G1539" s="40" t="str">
        <f aca="false">IF(INDEX(BookTitle,1534)="","",INDEX(BookCategory,1534))</f>
        <v/>
      </c>
      <c r="H1539" s="40" t="str">
        <f aca="false">IF(INDEX(BookTitle,1534)="","",INDEX(BookRank,1534))</f>
        <v/>
      </c>
      <c r="I1539" s="41" t="str">
        <f aca="false">IF(INDEX(BookTitle,1534)="","",INDEX(BookTotal,1534))</f>
        <v/>
      </c>
      <c r="J1539" s="0" t="str">
        <f aca="false">IF($I1539="","",IF(INDEX(BookQ1,1534)&gt;0,"Q1",IF(INDEX(BookQ2,1534)&gt;0,"Q2",IF(INDEX(BookQ3,1534)&gt;0,"Q3",IF(INDEX(BookQ4,1534)&gt;0,"Q4","")))))</f>
        <v/>
      </c>
      <c r="K1539" s="42" t="str">
        <f aca="false">IF(INDEX(BookTitle,1534)="","",INDEX(BookInYear,1534))</f>
        <v/>
      </c>
      <c r="L1539" s="19"/>
      <c r="M1539" s="39"/>
      <c r="N1539" s="19"/>
      <c r="O1539" s="19"/>
      <c r="P1539" s="43" t="str">
        <f aca="false">IF($E1539="","",IF($L1539="Decline",0,IF($L1539="Approve fewer",IF($M1539="","",$M1539),IF($L1539="","",$I1539))))</f>
        <v/>
      </c>
      <c r="Q1539" s="34" t="str">
        <f aca="false">IF($P1539="","",IF($N1539&lt;&gt;"",$N1539,$J1539))</f>
        <v/>
      </c>
      <c r="R1539" s="35" t="str">
        <f aca="false">IF(OR($P1539="",$Q1539=""),"",INDEX(BookRate,1534)*$P1539*(5-MATCH($Q1539,{"Q1";"Q2";"Q3";"Q4"},0))/4+INDEX(BookOneOff,1534)*$P1539)</f>
        <v/>
      </c>
      <c r="S1539" s="35" t="str">
        <f aca="false">IF($P1539="","",INDEX(BookRate,1534)*$P1539)</f>
        <v/>
      </c>
      <c r="T1539" s="35" t="str">
        <f aca="false">IF($R1539="","",$R1539-$K1539)</f>
        <v/>
      </c>
      <c r="U1539" s="35" t="str">
        <f aca="false">IF(N($P1539)&lt;=0,"",COUNTIF($P$6:$P1539,"&gt;0"))</f>
        <v/>
      </c>
    </row>
    <row r="1540" customFormat="false" ht="15" hidden="false" customHeight="false" outlineLevel="0" collapsed="false">
      <c r="A1540" s="40" t="str">
        <f aca="false">IF(INDEX(BookTitle,1535)="","",INDEX(BookGroup,1535))</f>
        <v/>
      </c>
      <c r="B1540" s="40" t="str">
        <f aca="false">IF(INDEX(BookTitle,1535)="","",INDEX(BookRef,1535))</f>
        <v/>
      </c>
      <c r="C1540" s="40" t="str">
        <f aca="false">IF(INDEX(BookTitle,1535)="","",INDEX(BookDivision,1535))</f>
        <v/>
      </c>
      <c r="D1540" s="40" t="str">
        <f aca="false">IF(INDEX(BookTitle,1535)="","",INDEX(BookUnit,1535))</f>
        <v/>
      </c>
      <c r="E1540" s="40" t="str">
        <f aca="false">IF(INDEX(BookTitle,1535)="","",INDEX(BookTitle,1535))</f>
        <v/>
      </c>
      <c r="F1540" s="40" t="str">
        <f aca="false">IF(INDEX(BookTitle,1535)="","",INDEX(BookLevel,1535))</f>
        <v/>
      </c>
      <c r="G1540" s="40" t="str">
        <f aca="false">IF(INDEX(BookTitle,1535)="","",INDEX(BookCategory,1535))</f>
        <v/>
      </c>
      <c r="H1540" s="40" t="str">
        <f aca="false">IF(INDEX(BookTitle,1535)="","",INDEX(BookRank,1535))</f>
        <v/>
      </c>
      <c r="I1540" s="41" t="str">
        <f aca="false">IF(INDEX(BookTitle,1535)="","",INDEX(BookTotal,1535))</f>
        <v/>
      </c>
      <c r="J1540" s="0" t="str">
        <f aca="false">IF($I1540="","",IF(INDEX(BookQ1,1535)&gt;0,"Q1",IF(INDEX(BookQ2,1535)&gt;0,"Q2",IF(INDEX(BookQ3,1535)&gt;0,"Q3",IF(INDEX(BookQ4,1535)&gt;0,"Q4","")))))</f>
        <v/>
      </c>
      <c r="K1540" s="42" t="str">
        <f aca="false">IF(INDEX(BookTitle,1535)="","",INDEX(BookInYear,1535))</f>
        <v/>
      </c>
      <c r="L1540" s="19"/>
      <c r="M1540" s="39"/>
      <c r="N1540" s="19"/>
      <c r="O1540" s="19"/>
      <c r="P1540" s="43" t="str">
        <f aca="false">IF($E1540="","",IF($L1540="Decline",0,IF($L1540="Approve fewer",IF($M1540="","",$M1540),IF($L1540="","",$I1540))))</f>
        <v/>
      </c>
      <c r="Q1540" s="34" t="str">
        <f aca="false">IF($P1540="","",IF($N1540&lt;&gt;"",$N1540,$J1540))</f>
        <v/>
      </c>
      <c r="R1540" s="35" t="str">
        <f aca="false">IF(OR($P1540="",$Q1540=""),"",INDEX(BookRate,1535)*$P1540*(5-MATCH($Q1540,{"Q1";"Q2";"Q3";"Q4"},0))/4+INDEX(BookOneOff,1535)*$P1540)</f>
        <v/>
      </c>
      <c r="S1540" s="35" t="str">
        <f aca="false">IF($P1540="","",INDEX(BookRate,1535)*$P1540)</f>
        <v/>
      </c>
      <c r="T1540" s="35" t="str">
        <f aca="false">IF($R1540="","",$R1540-$K1540)</f>
        <v/>
      </c>
      <c r="U1540" s="35" t="str">
        <f aca="false">IF(N($P1540)&lt;=0,"",COUNTIF($P$6:$P1540,"&gt;0"))</f>
        <v/>
      </c>
    </row>
    <row r="1541" customFormat="false" ht="15" hidden="false" customHeight="false" outlineLevel="0" collapsed="false">
      <c r="A1541" s="40" t="str">
        <f aca="false">IF(INDEX(BookTitle,1536)="","",INDEX(BookGroup,1536))</f>
        <v/>
      </c>
      <c r="B1541" s="40" t="str">
        <f aca="false">IF(INDEX(BookTitle,1536)="","",INDEX(BookRef,1536))</f>
        <v/>
      </c>
      <c r="C1541" s="40" t="str">
        <f aca="false">IF(INDEX(BookTitle,1536)="","",INDEX(BookDivision,1536))</f>
        <v/>
      </c>
      <c r="D1541" s="40" t="str">
        <f aca="false">IF(INDEX(BookTitle,1536)="","",INDEX(BookUnit,1536))</f>
        <v/>
      </c>
      <c r="E1541" s="40" t="str">
        <f aca="false">IF(INDEX(BookTitle,1536)="","",INDEX(BookTitle,1536))</f>
        <v/>
      </c>
      <c r="F1541" s="40" t="str">
        <f aca="false">IF(INDEX(BookTitle,1536)="","",INDEX(BookLevel,1536))</f>
        <v/>
      </c>
      <c r="G1541" s="40" t="str">
        <f aca="false">IF(INDEX(BookTitle,1536)="","",INDEX(BookCategory,1536))</f>
        <v/>
      </c>
      <c r="H1541" s="40" t="str">
        <f aca="false">IF(INDEX(BookTitle,1536)="","",INDEX(BookRank,1536))</f>
        <v/>
      </c>
      <c r="I1541" s="41" t="str">
        <f aca="false">IF(INDEX(BookTitle,1536)="","",INDEX(BookTotal,1536))</f>
        <v/>
      </c>
      <c r="J1541" s="0" t="str">
        <f aca="false">IF($I1541="","",IF(INDEX(BookQ1,1536)&gt;0,"Q1",IF(INDEX(BookQ2,1536)&gt;0,"Q2",IF(INDEX(BookQ3,1536)&gt;0,"Q3",IF(INDEX(BookQ4,1536)&gt;0,"Q4","")))))</f>
        <v/>
      </c>
      <c r="K1541" s="42" t="str">
        <f aca="false">IF(INDEX(BookTitle,1536)="","",INDEX(BookInYear,1536))</f>
        <v/>
      </c>
      <c r="L1541" s="19"/>
      <c r="M1541" s="39"/>
      <c r="N1541" s="19"/>
      <c r="O1541" s="19"/>
      <c r="P1541" s="43" t="str">
        <f aca="false">IF($E1541="","",IF($L1541="Decline",0,IF($L1541="Approve fewer",IF($M1541="","",$M1541),IF($L1541="","",$I1541))))</f>
        <v/>
      </c>
      <c r="Q1541" s="34" t="str">
        <f aca="false">IF($P1541="","",IF($N1541&lt;&gt;"",$N1541,$J1541))</f>
        <v/>
      </c>
      <c r="R1541" s="35" t="str">
        <f aca="false">IF(OR($P1541="",$Q1541=""),"",INDEX(BookRate,1536)*$P1541*(5-MATCH($Q1541,{"Q1";"Q2";"Q3";"Q4"},0))/4+INDEX(BookOneOff,1536)*$P1541)</f>
        <v/>
      </c>
      <c r="S1541" s="35" t="str">
        <f aca="false">IF($P1541="","",INDEX(BookRate,1536)*$P1541)</f>
        <v/>
      </c>
      <c r="T1541" s="35" t="str">
        <f aca="false">IF($R1541="","",$R1541-$K1541)</f>
        <v/>
      </c>
      <c r="U1541" s="35" t="str">
        <f aca="false">IF(N($P1541)&lt;=0,"",COUNTIF($P$6:$P1541,"&gt;0"))</f>
        <v/>
      </c>
    </row>
    <row r="1542" customFormat="false" ht="15" hidden="false" customHeight="false" outlineLevel="0" collapsed="false">
      <c r="A1542" s="40" t="str">
        <f aca="false">IF(INDEX(BookTitle,1537)="","",INDEX(BookGroup,1537))</f>
        <v/>
      </c>
      <c r="B1542" s="40" t="str">
        <f aca="false">IF(INDEX(BookTitle,1537)="","",INDEX(BookRef,1537))</f>
        <v/>
      </c>
      <c r="C1542" s="40" t="str">
        <f aca="false">IF(INDEX(BookTitle,1537)="","",INDEX(BookDivision,1537))</f>
        <v/>
      </c>
      <c r="D1542" s="40" t="str">
        <f aca="false">IF(INDEX(BookTitle,1537)="","",INDEX(BookUnit,1537))</f>
        <v/>
      </c>
      <c r="E1542" s="40" t="str">
        <f aca="false">IF(INDEX(BookTitle,1537)="","",INDEX(BookTitle,1537))</f>
        <v/>
      </c>
      <c r="F1542" s="40" t="str">
        <f aca="false">IF(INDEX(BookTitle,1537)="","",INDEX(BookLevel,1537))</f>
        <v/>
      </c>
      <c r="G1542" s="40" t="str">
        <f aca="false">IF(INDEX(BookTitle,1537)="","",INDEX(BookCategory,1537))</f>
        <v/>
      </c>
      <c r="H1542" s="40" t="str">
        <f aca="false">IF(INDEX(BookTitle,1537)="","",INDEX(BookRank,1537))</f>
        <v/>
      </c>
      <c r="I1542" s="41" t="str">
        <f aca="false">IF(INDEX(BookTitle,1537)="","",INDEX(BookTotal,1537))</f>
        <v/>
      </c>
      <c r="J1542" s="0" t="str">
        <f aca="false">IF($I1542="","",IF(INDEX(BookQ1,1537)&gt;0,"Q1",IF(INDEX(BookQ2,1537)&gt;0,"Q2",IF(INDEX(BookQ3,1537)&gt;0,"Q3",IF(INDEX(BookQ4,1537)&gt;0,"Q4","")))))</f>
        <v/>
      </c>
      <c r="K1542" s="42" t="str">
        <f aca="false">IF(INDEX(BookTitle,1537)="","",INDEX(BookInYear,1537))</f>
        <v/>
      </c>
      <c r="L1542" s="19"/>
      <c r="M1542" s="39"/>
      <c r="N1542" s="19"/>
      <c r="O1542" s="19"/>
      <c r="P1542" s="43" t="str">
        <f aca="false">IF($E1542="","",IF($L1542="Decline",0,IF($L1542="Approve fewer",IF($M1542="","",$M1542),IF($L1542="","",$I1542))))</f>
        <v/>
      </c>
      <c r="Q1542" s="34" t="str">
        <f aca="false">IF($P1542="","",IF($N1542&lt;&gt;"",$N1542,$J1542))</f>
        <v/>
      </c>
      <c r="R1542" s="35" t="str">
        <f aca="false">IF(OR($P1542="",$Q1542=""),"",INDEX(BookRate,1537)*$P1542*(5-MATCH($Q1542,{"Q1";"Q2";"Q3";"Q4"},0))/4+INDEX(BookOneOff,1537)*$P1542)</f>
        <v/>
      </c>
      <c r="S1542" s="35" t="str">
        <f aca="false">IF($P1542="","",INDEX(BookRate,1537)*$P1542)</f>
        <v/>
      </c>
      <c r="T1542" s="35" t="str">
        <f aca="false">IF($R1542="","",$R1542-$K1542)</f>
        <v/>
      </c>
      <c r="U1542" s="35" t="str">
        <f aca="false">IF(N($P1542)&lt;=0,"",COUNTIF($P$6:$P1542,"&gt;0"))</f>
        <v/>
      </c>
    </row>
    <row r="1543" customFormat="false" ht="15" hidden="false" customHeight="false" outlineLevel="0" collapsed="false">
      <c r="A1543" s="40" t="str">
        <f aca="false">IF(INDEX(BookTitle,1538)="","",INDEX(BookGroup,1538))</f>
        <v/>
      </c>
      <c r="B1543" s="40" t="str">
        <f aca="false">IF(INDEX(BookTitle,1538)="","",INDEX(BookRef,1538))</f>
        <v/>
      </c>
      <c r="C1543" s="40" t="str">
        <f aca="false">IF(INDEX(BookTitle,1538)="","",INDEX(BookDivision,1538))</f>
        <v/>
      </c>
      <c r="D1543" s="40" t="str">
        <f aca="false">IF(INDEX(BookTitle,1538)="","",INDEX(BookUnit,1538))</f>
        <v/>
      </c>
      <c r="E1543" s="40" t="str">
        <f aca="false">IF(INDEX(BookTitle,1538)="","",INDEX(BookTitle,1538))</f>
        <v/>
      </c>
      <c r="F1543" s="40" t="str">
        <f aca="false">IF(INDEX(BookTitle,1538)="","",INDEX(BookLevel,1538))</f>
        <v/>
      </c>
      <c r="G1543" s="40" t="str">
        <f aca="false">IF(INDEX(BookTitle,1538)="","",INDEX(BookCategory,1538))</f>
        <v/>
      </c>
      <c r="H1543" s="40" t="str">
        <f aca="false">IF(INDEX(BookTitle,1538)="","",INDEX(BookRank,1538))</f>
        <v/>
      </c>
      <c r="I1543" s="41" t="str">
        <f aca="false">IF(INDEX(BookTitle,1538)="","",INDEX(BookTotal,1538))</f>
        <v/>
      </c>
      <c r="J1543" s="0" t="str">
        <f aca="false">IF($I1543="","",IF(INDEX(BookQ1,1538)&gt;0,"Q1",IF(INDEX(BookQ2,1538)&gt;0,"Q2",IF(INDEX(BookQ3,1538)&gt;0,"Q3",IF(INDEX(BookQ4,1538)&gt;0,"Q4","")))))</f>
        <v/>
      </c>
      <c r="K1543" s="42" t="str">
        <f aca="false">IF(INDEX(BookTitle,1538)="","",INDEX(BookInYear,1538))</f>
        <v/>
      </c>
      <c r="L1543" s="19"/>
      <c r="M1543" s="39"/>
      <c r="N1543" s="19"/>
      <c r="O1543" s="19"/>
      <c r="P1543" s="43" t="str">
        <f aca="false">IF($E1543="","",IF($L1543="Decline",0,IF($L1543="Approve fewer",IF($M1543="","",$M1543),IF($L1543="","",$I1543))))</f>
        <v/>
      </c>
      <c r="Q1543" s="34" t="str">
        <f aca="false">IF($P1543="","",IF($N1543&lt;&gt;"",$N1543,$J1543))</f>
        <v/>
      </c>
      <c r="R1543" s="35" t="str">
        <f aca="false">IF(OR($P1543="",$Q1543=""),"",INDEX(BookRate,1538)*$P1543*(5-MATCH($Q1543,{"Q1";"Q2";"Q3";"Q4"},0))/4+INDEX(BookOneOff,1538)*$P1543)</f>
        <v/>
      </c>
      <c r="S1543" s="35" t="str">
        <f aca="false">IF($P1543="","",INDEX(BookRate,1538)*$P1543)</f>
        <v/>
      </c>
      <c r="T1543" s="35" t="str">
        <f aca="false">IF($R1543="","",$R1543-$K1543)</f>
        <v/>
      </c>
      <c r="U1543" s="35" t="str">
        <f aca="false">IF(N($P1543)&lt;=0,"",COUNTIF($P$6:$P1543,"&gt;0"))</f>
        <v/>
      </c>
    </row>
    <row r="1544" customFormat="false" ht="15" hidden="false" customHeight="false" outlineLevel="0" collapsed="false">
      <c r="A1544" s="40" t="str">
        <f aca="false">IF(INDEX(BookTitle,1539)="","",INDEX(BookGroup,1539))</f>
        <v/>
      </c>
      <c r="B1544" s="40" t="str">
        <f aca="false">IF(INDEX(BookTitle,1539)="","",INDEX(BookRef,1539))</f>
        <v/>
      </c>
      <c r="C1544" s="40" t="str">
        <f aca="false">IF(INDEX(BookTitle,1539)="","",INDEX(BookDivision,1539))</f>
        <v/>
      </c>
      <c r="D1544" s="40" t="str">
        <f aca="false">IF(INDEX(BookTitle,1539)="","",INDEX(BookUnit,1539))</f>
        <v/>
      </c>
      <c r="E1544" s="40" t="str">
        <f aca="false">IF(INDEX(BookTitle,1539)="","",INDEX(BookTitle,1539))</f>
        <v/>
      </c>
      <c r="F1544" s="40" t="str">
        <f aca="false">IF(INDEX(BookTitle,1539)="","",INDEX(BookLevel,1539))</f>
        <v/>
      </c>
      <c r="G1544" s="40" t="str">
        <f aca="false">IF(INDEX(BookTitle,1539)="","",INDEX(BookCategory,1539))</f>
        <v/>
      </c>
      <c r="H1544" s="40" t="str">
        <f aca="false">IF(INDEX(BookTitle,1539)="","",INDEX(BookRank,1539))</f>
        <v/>
      </c>
      <c r="I1544" s="41" t="str">
        <f aca="false">IF(INDEX(BookTitle,1539)="","",INDEX(BookTotal,1539))</f>
        <v/>
      </c>
      <c r="J1544" s="0" t="str">
        <f aca="false">IF($I1544="","",IF(INDEX(BookQ1,1539)&gt;0,"Q1",IF(INDEX(BookQ2,1539)&gt;0,"Q2",IF(INDEX(BookQ3,1539)&gt;0,"Q3",IF(INDEX(BookQ4,1539)&gt;0,"Q4","")))))</f>
        <v/>
      </c>
      <c r="K1544" s="42" t="str">
        <f aca="false">IF(INDEX(BookTitle,1539)="","",INDEX(BookInYear,1539))</f>
        <v/>
      </c>
      <c r="L1544" s="19"/>
      <c r="M1544" s="39"/>
      <c r="N1544" s="19"/>
      <c r="O1544" s="19"/>
      <c r="P1544" s="43" t="str">
        <f aca="false">IF($E1544="","",IF($L1544="Decline",0,IF($L1544="Approve fewer",IF($M1544="","",$M1544),IF($L1544="","",$I1544))))</f>
        <v/>
      </c>
      <c r="Q1544" s="34" t="str">
        <f aca="false">IF($P1544="","",IF($N1544&lt;&gt;"",$N1544,$J1544))</f>
        <v/>
      </c>
      <c r="R1544" s="35" t="str">
        <f aca="false">IF(OR($P1544="",$Q1544=""),"",INDEX(BookRate,1539)*$P1544*(5-MATCH($Q1544,{"Q1";"Q2";"Q3";"Q4"},0))/4+INDEX(BookOneOff,1539)*$P1544)</f>
        <v/>
      </c>
      <c r="S1544" s="35" t="str">
        <f aca="false">IF($P1544="","",INDEX(BookRate,1539)*$P1544)</f>
        <v/>
      </c>
      <c r="T1544" s="35" t="str">
        <f aca="false">IF($R1544="","",$R1544-$K1544)</f>
        <v/>
      </c>
      <c r="U1544" s="35" t="str">
        <f aca="false">IF(N($P1544)&lt;=0,"",COUNTIF($P$6:$P1544,"&gt;0"))</f>
        <v/>
      </c>
    </row>
    <row r="1545" customFormat="false" ht="15" hidden="false" customHeight="false" outlineLevel="0" collapsed="false">
      <c r="A1545" s="40" t="str">
        <f aca="false">IF(INDEX(BookTitle,1540)="","",INDEX(BookGroup,1540))</f>
        <v/>
      </c>
      <c r="B1545" s="40" t="str">
        <f aca="false">IF(INDEX(BookTitle,1540)="","",INDEX(BookRef,1540))</f>
        <v/>
      </c>
      <c r="C1545" s="40" t="str">
        <f aca="false">IF(INDEX(BookTitle,1540)="","",INDEX(BookDivision,1540))</f>
        <v/>
      </c>
      <c r="D1545" s="40" t="str">
        <f aca="false">IF(INDEX(BookTitle,1540)="","",INDEX(BookUnit,1540))</f>
        <v/>
      </c>
      <c r="E1545" s="40" t="str">
        <f aca="false">IF(INDEX(BookTitle,1540)="","",INDEX(BookTitle,1540))</f>
        <v/>
      </c>
      <c r="F1545" s="40" t="str">
        <f aca="false">IF(INDEX(BookTitle,1540)="","",INDEX(BookLevel,1540))</f>
        <v/>
      </c>
      <c r="G1545" s="40" t="str">
        <f aca="false">IF(INDEX(BookTitle,1540)="","",INDEX(BookCategory,1540))</f>
        <v/>
      </c>
      <c r="H1545" s="40" t="str">
        <f aca="false">IF(INDEX(BookTitle,1540)="","",INDEX(BookRank,1540))</f>
        <v/>
      </c>
      <c r="I1545" s="41" t="str">
        <f aca="false">IF(INDEX(BookTitle,1540)="","",INDEX(BookTotal,1540))</f>
        <v/>
      </c>
      <c r="J1545" s="0" t="str">
        <f aca="false">IF($I1545="","",IF(INDEX(BookQ1,1540)&gt;0,"Q1",IF(INDEX(BookQ2,1540)&gt;0,"Q2",IF(INDEX(BookQ3,1540)&gt;0,"Q3",IF(INDEX(BookQ4,1540)&gt;0,"Q4","")))))</f>
        <v/>
      </c>
      <c r="K1545" s="42" t="str">
        <f aca="false">IF(INDEX(BookTitle,1540)="","",INDEX(BookInYear,1540))</f>
        <v/>
      </c>
      <c r="L1545" s="19"/>
      <c r="M1545" s="39"/>
      <c r="N1545" s="19"/>
      <c r="O1545" s="19"/>
      <c r="P1545" s="43" t="str">
        <f aca="false">IF($E1545="","",IF($L1545="Decline",0,IF($L1545="Approve fewer",IF($M1545="","",$M1545),IF($L1545="","",$I1545))))</f>
        <v/>
      </c>
      <c r="Q1545" s="34" t="str">
        <f aca="false">IF($P1545="","",IF($N1545&lt;&gt;"",$N1545,$J1545))</f>
        <v/>
      </c>
      <c r="R1545" s="35" t="str">
        <f aca="false">IF(OR($P1545="",$Q1545=""),"",INDEX(BookRate,1540)*$P1545*(5-MATCH($Q1545,{"Q1";"Q2";"Q3";"Q4"},0))/4+INDEX(BookOneOff,1540)*$P1545)</f>
        <v/>
      </c>
      <c r="S1545" s="35" t="str">
        <f aca="false">IF($P1545="","",INDEX(BookRate,1540)*$P1545)</f>
        <v/>
      </c>
      <c r="T1545" s="35" t="str">
        <f aca="false">IF($R1545="","",$R1545-$K1545)</f>
        <v/>
      </c>
      <c r="U1545" s="35" t="str">
        <f aca="false">IF(N($P1545)&lt;=0,"",COUNTIF($P$6:$P1545,"&gt;0"))</f>
        <v/>
      </c>
    </row>
    <row r="1546" customFormat="false" ht="15" hidden="false" customHeight="false" outlineLevel="0" collapsed="false">
      <c r="A1546" s="40" t="str">
        <f aca="false">IF(INDEX(BookTitle,1541)="","",INDEX(BookGroup,1541))</f>
        <v/>
      </c>
      <c r="B1546" s="40" t="str">
        <f aca="false">IF(INDEX(BookTitle,1541)="","",INDEX(BookRef,1541))</f>
        <v/>
      </c>
      <c r="C1546" s="40" t="str">
        <f aca="false">IF(INDEX(BookTitle,1541)="","",INDEX(BookDivision,1541))</f>
        <v/>
      </c>
      <c r="D1546" s="40" t="str">
        <f aca="false">IF(INDEX(BookTitle,1541)="","",INDEX(BookUnit,1541))</f>
        <v/>
      </c>
      <c r="E1546" s="40" t="str">
        <f aca="false">IF(INDEX(BookTitle,1541)="","",INDEX(BookTitle,1541))</f>
        <v/>
      </c>
      <c r="F1546" s="40" t="str">
        <f aca="false">IF(INDEX(BookTitle,1541)="","",INDEX(BookLevel,1541))</f>
        <v/>
      </c>
      <c r="G1546" s="40" t="str">
        <f aca="false">IF(INDEX(BookTitle,1541)="","",INDEX(BookCategory,1541))</f>
        <v/>
      </c>
      <c r="H1546" s="40" t="str">
        <f aca="false">IF(INDEX(BookTitle,1541)="","",INDEX(BookRank,1541))</f>
        <v/>
      </c>
      <c r="I1546" s="41" t="str">
        <f aca="false">IF(INDEX(BookTitle,1541)="","",INDEX(BookTotal,1541))</f>
        <v/>
      </c>
      <c r="J1546" s="0" t="str">
        <f aca="false">IF($I1546="","",IF(INDEX(BookQ1,1541)&gt;0,"Q1",IF(INDEX(BookQ2,1541)&gt;0,"Q2",IF(INDEX(BookQ3,1541)&gt;0,"Q3",IF(INDEX(BookQ4,1541)&gt;0,"Q4","")))))</f>
        <v/>
      </c>
      <c r="K1546" s="42" t="str">
        <f aca="false">IF(INDEX(BookTitle,1541)="","",INDEX(BookInYear,1541))</f>
        <v/>
      </c>
      <c r="L1546" s="19"/>
      <c r="M1546" s="39"/>
      <c r="N1546" s="19"/>
      <c r="O1546" s="19"/>
      <c r="P1546" s="43" t="str">
        <f aca="false">IF($E1546="","",IF($L1546="Decline",0,IF($L1546="Approve fewer",IF($M1546="","",$M1546),IF($L1546="","",$I1546))))</f>
        <v/>
      </c>
      <c r="Q1546" s="34" t="str">
        <f aca="false">IF($P1546="","",IF($N1546&lt;&gt;"",$N1546,$J1546))</f>
        <v/>
      </c>
      <c r="R1546" s="35" t="str">
        <f aca="false">IF(OR($P1546="",$Q1546=""),"",INDEX(BookRate,1541)*$P1546*(5-MATCH($Q1546,{"Q1";"Q2";"Q3";"Q4"},0))/4+INDEX(BookOneOff,1541)*$P1546)</f>
        <v/>
      </c>
      <c r="S1546" s="35" t="str">
        <f aca="false">IF($P1546="","",INDEX(BookRate,1541)*$P1546)</f>
        <v/>
      </c>
      <c r="T1546" s="35" t="str">
        <f aca="false">IF($R1546="","",$R1546-$K1546)</f>
        <v/>
      </c>
      <c r="U1546" s="35" t="str">
        <f aca="false">IF(N($P1546)&lt;=0,"",COUNTIF($P$6:$P1546,"&gt;0"))</f>
        <v/>
      </c>
    </row>
    <row r="1547" customFormat="false" ht="15" hidden="false" customHeight="false" outlineLevel="0" collapsed="false">
      <c r="A1547" s="40" t="str">
        <f aca="false">IF(INDEX(BookTitle,1542)="","",INDEX(BookGroup,1542))</f>
        <v/>
      </c>
      <c r="B1547" s="40" t="str">
        <f aca="false">IF(INDEX(BookTitle,1542)="","",INDEX(BookRef,1542))</f>
        <v/>
      </c>
      <c r="C1547" s="40" t="str">
        <f aca="false">IF(INDEX(BookTitle,1542)="","",INDEX(BookDivision,1542))</f>
        <v/>
      </c>
      <c r="D1547" s="40" t="str">
        <f aca="false">IF(INDEX(BookTitle,1542)="","",INDEX(BookUnit,1542))</f>
        <v/>
      </c>
      <c r="E1547" s="40" t="str">
        <f aca="false">IF(INDEX(BookTitle,1542)="","",INDEX(BookTitle,1542))</f>
        <v/>
      </c>
      <c r="F1547" s="40" t="str">
        <f aca="false">IF(INDEX(BookTitle,1542)="","",INDEX(BookLevel,1542))</f>
        <v/>
      </c>
      <c r="G1547" s="40" t="str">
        <f aca="false">IF(INDEX(BookTitle,1542)="","",INDEX(BookCategory,1542))</f>
        <v/>
      </c>
      <c r="H1547" s="40" t="str">
        <f aca="false">IF(INDEX(BookTitle,1542)="","",INDEX(BookRank,1542))</f>
        <v/>
      </c>
      <c r="I1547" s="41" t="str">
        <f aca="false">IF(INDEX(BookTitle,1542)="","",INDEX(BookTotal,1542))</f>
        <v/>
      </c>
      <c r="J1547" s="0" t="str">
        <f aca="false">IF($I1547="","",IF(INDEX(BookQ1,1542)&gt;0,"Q1",IF(INDEX(BookQ2,1542)&gt;0,"Q2",IF(INDEX(BookQ3,1542)&gt;0,"Q3",IF(INDEX(BookQ4,1542)&gt;0,"Q4","")))))</f>
        <v/>
      </c>
      <c r="K1547" s="42" t="str">
        <f aca="false">IF(INDEX(BookTitle,1542)="","",INDEX(BookInYear,1542))</f>
        <v/>
      </c>
      <c r="L1547" s="19"/>
      <c r="M1547" s="39"/>
      <c r="N1547" s="19"/>
      <c r="O1547" s="19"/>
      <c r="P1547" s="43" t="str">
        <f aca="false">IF($E1547="","",IF($L1547="Decline",0,IF($L1547="Approve fewer",IF($M1547="","",$M1547),IF($L1547="","",$I1547))))</f>
        <v/>
      </c>
      <c r="Q1547" s="34" t="str">
        <f aca="false">IF($P1547="","",IF($N1547&lt;&gt;"",$N1547,$J1547))</f>
        <v/>
      </c>
      <c r="R1547" s="35" t="str">
        <f aca="false">IF(OR($P1547="",$Q1547=""),"",INDEX(BookRate,1542)*$P1547*(5-MATCH($Q1547,{"Q1";"Q2";"Q3";"Q4"},0))/4+INDEX(BookOneOff,1542)*$P1547)</f>
        <v/>
      </c>
      <c r="S1547" s="35" t="str">
        <f aca="false">IF($P1547="","",INDEX(BookRate,1542)*$P1547)</f>
        <v/>
      </c>
      <c r="T1547" s="35" t="str">
        <f aca="false">IF($R1547="","",$R1547-$K1547)</f>
        <v/>
      </c>
      <c r="U1547" s="35" t="str">
        <f aca="false">IF(N($P1547)&lt;=0,"",COUNTIF($P$6:$P1547,"&gt;0"))</f>
        <v/>
      </c>
    </row>
    <row r="1548" customFormat="false" ht="15" hidden="false" customHeight="false" outlineLevel="0" collapsed="false">
      <c r="A1548" s="40" t="str">
        <f aca="false">IF(INDEX(BookTitle,1543)="","",INDEX(BookGroup,1543))</f>
        <v/>
      </c>
      <c r="B1548" s="40" t="str">
        <f aca="false">IF(INDEX(BookTitle,1543)="","",INDEX(BookRef,1543))</f>
        <v/>
      </c>
      <c r="C1548" s="40" t="str">
        <f aca="false">IF(INDEX(BookTitle,1543)="","",INDEX(BookDivision,1543))</f>
        <v/>
      </c>
      <c r="D1548" s="40" t="str">
        <f aca="false">IF(INDEX(BookTitle,1543)="","",INDEX(BookUnit,1543))</f>
        <v/>
      </c>
      <c r="E1548" s="40" t="str">
        <f aca="false">IF(INDEX(BookTitle,1543)="","",INDEX(BookTitle,1543))</f>
        <v/>
      </c>
      <c r="F1548" s="40" t="str">
        <f aca="false">IF(INDEX(BookTitle,1543)="","",INDEX(BookLevel,1543))</f>
        <v/>
      </c>
      <c r="G1548" s="40" t="str">
        <f aca="false">IF(INDEX(BookTitle,1543)="","",INDEX(BookCategory,1543))</f>
        <v/>
      </c>
      <c r="H1548" s="40" t="str">
        <f aca="false">IF(INDEX(BookTitle,1543)="","",INDEX(BookRank,1543))</f>
        <v/>
      </c>
      <c r="I1548" s="41" t="str">
        <f aca="false">IF(INDEX(BookTitle,1543)="","",INDEX(BookTotal,1543))</f>
        <v/>
      </c>
      <c r="J1548" s="0" t="str">
        <f aca="false">IF($I1548="","",IF(INDEX(BookQ1,1543)&gt;0,"Q1",IF(INDEX(BookQ2,1543)&gt;0,"Q2",IF(INDEX(BookQ3,1543)&gt;0,"Q3",IF(INDEX(BookQ4,1543)&gt;0,"Q4","")))))</f>
        <v/>
      </c>
      <c r="K1548" s="42" t="str">
        <f aca="false">IF(INDEX(BookTitle,1543)="","",INDEX(BookInYear,1543))</f>
        <v/>
      </c>
      <c r="L1548" s="19"/>
      <c r="M1548" s="39"/>
      <c r="N1548" s="19"/>
      <c r="O1548" s="19"/>
      <c r="P1548" s="43" t="str">
        <f aca="false">IF($E1548="","",IF($L1548="Decline",0,IF($L1548="Approve fewer",IF($M1548="","",$M1548),IF($L1548="","",$I1548))))</f>
        <v/>
      </c>
      <c r="Q1548" s="34" t="str">
        <f aca="false">IF($P1548="","",IF($N1548&lt;&gt;"",$N1548,$J1548))</f>
        <v/>
      </c>
      <c r="R1548" s="35" t="str">
        <f aca="false">IF(OR($P1548="",$Q1548=""),"",INDEX(BookRate,1543)*$P1548*(5-MATCH($Q1548,{"Q1";"Q2";"Q3";"Q4"},0))/4+INDEX(BookOneOff,1543)*$P1548)</f>
        <v/>
      </c>
      <c r="S1548" s="35" t="str">
        <f aca="false">IF($P1548="","",INDEX(BookRate,1543)*$P1548)</f>
        <v/>
      </c>
      <c r="T1548" s="35" t="str">
        <f aca="false">IF($R1548="","",$R1548-$K1548)</f>
        <v/>
      </c>
      <c r="U1548" s="35" t="str">
        <f aca="false">IF(N($P1548)&lt;=0,"",COUNTIF($P$6:$P1548,"&gt;0"))</f>
        <v/>
      </c>
    </row>
    <row r="1549" customFormat="false" ht="15" hidden="false" customHeight="false" outlineLevel="0" collapsed="false">
      <c r="A1549" s="40" t="str">
        <f aca="false">IF(INDEX(BookTitle,1544)="","",INDEX(BookGroup,1544))</f>
        <v/>
      </c>
      <c r="B1549" s="40" t="str">
        <f aca="false">IF(INDEX(BookTitle,1544)="","",INDEX(BookRef,1544))</f>
        <v/>
      </c>
      <c r="C1549" s="40" t="str">
        <f aca="false">IF(INDEX(BookTitle,1544)="","",INDEX(BookDivision,1544))</f>
        <v/>
      </c>
      <c r="D1549" s="40" t="str">
        <f aca="false">IF(INDEX(BookTitle,1544)="","",INDEX(BookUnit,1544))</f>
        <v/>
      </c>
      <c r="E1549" s="40" t="str">
        <f aca="false">IF(INDEX(BookTitle,1544)="","",INDEX(BookTitle,1544))</f>
        <v/>
      </c>
      <c r="F1549" s="40" t="str">
        <f aca="false">IF(INDEX(BookTitle,1544)="","",INDEX(BookLevel,1544))</f>
        <v/>
      </c>
      <c r="G1549" s="40" t="str">
        <f aca="false">IF(INDEX(BookTitle,1544)="","",INDEX(BookCategory,1544))</f>
        <v/>
      </c>
      <c r="H1549" s="40" t="str">
        <f aca="false">IF(INDEX(BookTitle,1544)="","",INDEX(BookRank,1544))</f>
        <v/>
      </c>
      <c r="I1549" s="41" t="str">
        <f aca="false">IF(INDEX(BookTitle,1544)="","",INDEX(BookTotal,1544))</f>
        <v/>
      </c>
      <c r="J1549" s="0" t="str">
        <f aca="false">IF($I1549="","",IF(INDEX(BookQ1,1544)&gt;0,"Q1",IF(INDEX(BookQ2,1544)&gt;0,"Q2",IF(INDEX(BookQ3,1544)&gt;0,"Q3",IF(INDEX(BookQ4,1544)&gt;0,"Q4","")))))</f>
        <v/>
      </c>
      <c r="K1549" s="42" t="str">
        <f aca="false">IF(INDEX(BookTitle,1544)="","",INDEX(BookInYear,1544))</f>
        <v/>
      </c>
      <c r="L1549" s="19"/>
      <c r="M1549" s="39"/>
      <c r="N1549" s="19"/>
      <c r="O1549" s="19"/>
      <c r="P1549" s="43" t="str">
        <f aca="false">IF($E1549="","",IF($L1549="Decline",0,IF($L1549="Approve fewer",IF($M1549="","",$M1549),IF($L1549="","",$I1549))))</f>
        <v/>
      </c>
      <c r="Q1549" s="34" t="str">
        <f aca="false">IF($P1549="","",IF($N1549&lt;&gt;"",$N1549,$J1549))</f>
        <v/>
      </c>
      <c r="R1549" s="35" t="str">
        <f aca="false">IF(OR($P1549="",$Q1549=""),"",INDEX(BookRate,1544)*$P1549*(5-MATCH($Q1549,{"Q1";"Q2";"Q3";"Q4"},0))/4+INDEX(BookOneOff,1544)*$P1549)</f>
        <v/>
      </c>
      <c r="S1549" s="35" t="str">
        <f aca="false">IF($P1549="","",INDEX(BookRate,1544)*$P1549)</f>
        <v/>
      </c>
      <c r="T1549" s="35" t="str">
        <f aca="false">IF($R1549="","",$R1549-$K1549)</f>
        <v/>
      </c>
      <c r="U1549" s="35" t="str">
        <f aca="false">IF(N($P1549)&lt;=0,"",COUNTIF($P$6:$P1549,"&gt;0"))</f>
        <v/>
      </c>
    </row>
    <row r="1550" customFormat="false" ht="15" hidden="false" customHeight="false" outlineLevel="0" collapsed="false">
      <c r="A1550" s="40" t="str">
        <f aca="false">IF(INDEX(BookTitle,1545)="","",INDEX(BookGroup,1545))</f>
        <v/>
      </c>
      <c r="B1550" s="40" t="str">
        <f aca="false">IF(INDEX(BookTitle,1545)="","",INDEX(BookRef,1545))</f>
        <v/>
      </c>
      <c r="C1550" s="40" t="str">
        <f aca="false">IF(INDEX(BookTitle,1545)="","",INDEX(BookDivision,1545))</f>
        <v/>
      </c>
      <c r="D1550" s="40" t="str">
        <f aca="false">IF(INDEX(BookTitle,1545)="","",INDEX(BookUnit,1545))</f>
        <v/>
      </c>
      <c r="E1550" s="40" t="str">
        <f aca="false">IF(INDEX(BookTitle,1545)="","",INDEX(BookTitle,1545))</f>
        <v/>
      </c>
      <c r="F1550" s="40" t="str">
        <f aca="false">IF(INDEX(BookTitle,1545)="","",INDEX(BookLevel,1545))</f>
        <v/>
      </c>
      <c r="G1550" s="40" t="str">
        <f aca="false">IF(INDEX(BookTitle,1545)="","",INDEX(BookCategory,1545))</f>
        <v/>
      </c>
      <c r="H1550" s="40" t="str">
        <f aca="false">IF(INDEX(BookTitle,1545)="","",INDEX(BookRank,1545))</f>
        <v/>
      </c>
      <c r="I1550" s="41" t="str">
        <f aca="false">IF(INDEX(BookTitle,1545)="","",INDEX(BookTotal,1545))</f>
        <v/>
      </c>
      <c r="J1550" s="0" t="str">
        <f aca="false">IF($I1550="","",IF(INDEX(BookQ1,1545)&gt;0,"Q1",IF(INDEX(BookQ2,1545)&gt;0,"Q2",IF(INDEX(BookQ3,1545)&gt;0,"Q3",IF(INDEX(BookQ4,1545)&gt;0,"Q4","")))))</f>
        <v/>
      </c>
      <c r="K1550" s="42" t="str">
        <f aca="false">IF(INDEX(BookTitle,1545)="","",INDEX(BookInYear,1545))</f>
        <v/>
      </c>
      <c r="L1550" s="19"/>
      <c r="M1550" s="39"/>
      <c r="N1550" s="19"/>
      <c r="O1550" s="19"/>
      <c r="P1550" s="43" t="str">
        <f aca="false">IF($E1550="","",IF($L1550="Decline",0,IF($L1550="Approve fewer",IF($M1550="","",$M1550),IF($L1550="","",$I1550))))</f>
        <v/>
      </c>
      <c r="Q1550" s="34" t="str">
        <f aca="false">IF($P1550="","",IF($N1550&lt;&gt;"",$N1550,$J1550))</f>
        <v/>
      </c>
      <c r="R1550" s="35" t="str">
        <f aca="false">IF(OR($P1550="",$Q1550=""),"",INDEX(BookRate,1545)*$P1550*(5-MATCH($Q1550,{"Q1";"Q2";"Q3";"Q4"},0))/4+INDEX(BookOneOff,1545)*$P1550)</f>
        <v/>
      </c>
      <c r="S1550" s="35" t="str">
        <f aca="false">IF($P1550="","",INDEX(BookRate,1545)*$P1550)</f>
        <v/>
      </c>
      <c r="T1550" s="35" t="str">
        <f aca="false">IF($R1550="","",$R1550-$K1550)</f>
        <v/>
      </c>
      <c r="U1550" s="35" t="str">
        <f aca="false">IF(N($P1550)&lt;=0,"",COUNTIF($P$6:$P1550,"&gt;0"))</f>
        <v/>
      </c>
    </row>
    <row r="1551" customFormat="false" ht="15" hidden="false" customHeight="false" outlineLevel="0" collapsed="false">
      <c r="A1551" s="40" t="str">
        <f aca="false">IF(INDEX(BookTitle,1546)="","",INDEX(BookGroup,1546))</f>
        <v/>
      </c>
      <c r="B1551" s="40" t="str">
        <f aca="false">IF(INDEX(BookTitle,1546)="","",INDEX(BookRef,1546))</f>
        <v/>
      </c>
      <c r="C1551" s="40" t="str">
        <f aca="false">IF(INDEX(BookTitle,1546)="","",INDEX(BookDivision,1546))</f>
        <v/>
      </c>
      <c r="D1551" s="40" t="str">
        <f aca="false">IF(INDEX(BookTitle,1546)="","",INDEX(BookUnit,1546))</f>
        <v/>
      </c>
      <c r="E1551" s="40" t="str">
        <f aca="false">IF(INDEX(BookTitle,1546)="","",INDEX(BookTitle,1546))</f>
        <v/>
      </c>
      <c r="F1551" s="40" t="str">
        <f aca="false">IF(INDEX(BookTitle,1546)="","",INDEX(BookLevel,1546))</f>
        <v/>
      </c>
      <c r="G1551" s="40" t="str">
        <f aca="false">IF(INDEX(BookTitle,1546)="","",INDEX(BookCategory,1546))</f>
        <v/>
      </c>
      <c r="H1551" s="40" t="str">
        <f aca="false">IF(INDEX(BookTitle,1546)="","",INDEX(BookRank,1546))</f>
        <v/>
      </c>
      <c r="I1551" s="41" t="str">
        <f aca="false">IF(INDEX(BookTitle,1546)="","",INDEX(BookTotal,1546))</f>
        <v/>
      </c>
      <c r="J1551" s="0" t="str">
        <f aca="false">IF($I1551="","",IF(INDEX(BookQ1,1546)&gt;0,"Q1",IF(INDEX(BookQ2,1546)&gt;0,"Q2",IF(INDEX(BookQ3,1546)&gt;0,"Q3",IF(INDEX(BookQ4,1546)&gt;0,"Q4","")))))</f>
        <v/>
      </c>
      <c r="K1551" s="42" t="str">
        <f aca="false">IF(INDEX(BookTitle,1546)="","",INDEX(BookInYear,1546))</f>
        <v/>
      </c>
      <c r="L1551" s="19"/>
      <c r="M1551" s="39"/>
      <c r="N1551" s="19"/>
      <c r="O1551" s="19"/>
      <c r="P1551" s="43" t="str">
        <f aca="false">IF($E1551="","",IF($L1551="Decline",0,IF($L1551="Approve fewer",IF($M1551="","",$M1551),IF($L1551="","",$I1551))))</f>
        <v/>
      </c>
      <c r="Q1551" s="34" t="str">
        <f aca="false">IF($P1551="","",IF($N1551&lt;&gt;"",$N1551,$J1551))</f>
        <v/>
      </c>
      <c r="R1551" s="35" t="str">
        <f aca="false">IF(OR($P1551="",$Q1551=""),"",INDEX(BookRate,1546)*$P1551*(5-MATCH($Q1551,{"Q1";"Q2";"Q3";"Q4"},0))/4+INDEX(BookOneOff,1546)*$P1551)</f>
        <v/>
      </c>
      <c r="S1551" s="35" t="str">
        <f aca="false">IF($P1551="","",INDEX(BookRate,1546)*$P1551)</f>
        <v/>
      </c>
      <c r="T1551" s="35" t="str">
        <f aca="false">IF($R1551="","",$R1551-$K1551)</f>
        <v/>
      </c>
      <c r="U1551" s="35" t="str">
        <f aca="false">IF(N($P1551)&lt;=0,"",COUNTIF($P$6:$P1551,"&gt;0"))</f>
        <v/>
      </c>
    </row>
    <row r="1552" customFormat="false" ht="15" hidden="false" customHeight="false" outlineLevel="0" collapsed="false">
      <c r="A1552" s="40" t="str">
        <f aca="false">IF(INDEX(BookTitle,1547)="","",INDEX(BookGroup,1547))</f>
        <v/>
      </c>
      <c r="B1552" s="40" t="str">
        <f aca="false">IF(INDEX(BookTitle,1547)="","",INDEX(BookRef,1547))</f>
        <v/>
      </c>
      <c r="C1552" s="40" t="str">
        <f aca="false">IF(INDEX(BookTitle,1547)="","",INDEX(BookDivision,1547))</f>
        <v/>
      </c>
      <c r="D1552" s="40" t="str">
        <f aca="false">IF(INDEX(BookTitle,1547)="","",INDEX(BookUnit,1547))</f>
        <v/>
      </c>
      <c r="E1552" s="40" t="str">
        <f aca="false">IF(INDEX(BookTitle,1547)="","",INDEX(BookTitle,1547))</f>
        <v/>
      </c>
      <c r="F1552" s="40" t="str">
        <f aca="false">IF(INDEX(BookTitle,1547)="","",INDEX(BookLevel,1547))</f>
        <v/>
      </c>
      <c r="G1552" s="40" t="str">
        <f aca="false">IF(INDEX(BookTitle,1547)="","",INDEX(BookCategory,1547))</f>
        <v/>
      </c>
      <c r="H1552" s="40" t="str">
        <f aca="false">IF(INDEX(BookTitle,1547)="","",INDEX(BookRank,1547))</f>
        <v/>
      </c>
      <c r="I1552" s="41" t="str">
        <f aca="false">IF(INDEX(BookTitle,1547)="","",INDEX(BookTotal,1547))</f>
        <v/>
      </c>
      <c r="J1552" s="0" t="str">
        <f aca="false">IF($I1552="","",IF(INDEX(BookQ1,1547)&gt;0,"Q1",IF(INDEX(BookQ2,1547)&gt;0,"Q2",IF(INDEX(BookQ3,1547)&gt;0,"Q3",IF(INDEX(BookQ4,1547)&gt;0,"Q4","")))))</f>
        <v/>
      </c>
      <c r="K1552" s="42" t="str">
        <f aca="false">IF(INDEX(BookTitle,1547)="","",INDEX(BookInYear,1547))</f>
        <v/>
      </c>
      <c r="L1552" s="19"/>
      <c r="M1552" s="39"/>
      <c r="N1552" s="19"/>
      <c r="O1552" s="19"/>
      <c r="P1552" s="43" t="str">
        <f aca="false">IF($E1552="","",IF($L1552="Decline",0,IF($L1552="Approve fewer",IF($M1552="","",$M1552),IF($L1552="","",$I1552))))</f>
        <v/>
      </c>
      <c r="Q1552" s="34" t="str">
        <f aca="false">IF($P1552="","",IF($N1552&lt;&gt;"",$N1552,$J1552))</f>
        <v/>
      </c>
      <c r="R1552" s="35" t="str">
        <f aca="false">IF(OR($P1552="",$Q1552=""),"",INDEX(BookRate,1547)*$P1552*(5-MATCH($Q1552,{"Q1";"Q2";"Q3";"Q4"},0))/4+INDEX(BookOneOff,1547)*$P1552)</f>
        <v/>
      </c>
      <c r="S1552" s="35" t="str">
        <f aca="false">IF($P1552="","",INDEX(BookRate,1547)*$P1552)</f>
        <v/>
      </c>
      <c r="T1552" s="35" t="str">
        <f aca="false">IF($R1552="","",$R1552-$K1552)</f>
        <v/>
      </c>
      <c r="U1552" s="35" t="str">
        <f aca="false">IF(N($P1552)&lt;=0,"",COUNTIF($P$6:$P1552,"&gt;0"))</f>
        <v/>
      </c>
    </row>
    <row r="1553" customFormat="false" ht="15" hidden="false" customHeight="false" outlineLevel="0" collapsed="false">
      <c r="A1553" s="40" t="str">
        <f aca="false">IF(INDEX(BookTitle,1548)="","",INDEX(BookGroup,1548))</f>
        <v/>
      </c>
      <c r="B1553" s="40" t="str">
        <f aca="false">IF(INDEX(BookTitle,1548)="","",INDEX(BookRef,1548))</f>
        <v/>
      </c>
      <c r="C1553" s="40" t="str">
        <f aca="false">IF(INDEX(BookTitle,1548)="","",INDEX(BookDivision,1548))</f>
        <v/>
      </c>
      <c r="D1553" s="40" t="str">
        <f aca="false">IF(INDEX(BookTitle,1548)="","",INDEX(BookUnit,1548))</f>
        <v/>
      </c>
      <c r="E1553" s="40" t="str">
        <f aca="false">IF(INDEX(BookTitle,1548)="","",INDEX(BookTitle,1548))</f>
        <v/>
      </c>
      <c r="F1553" s="40" t="str">
        <f aca="false">IF(INDEX(BookTitle,1548)="","",INDEX(BookLevel,1548))</f>
        <v/>
      </c>
      <c r="G1553" s="40" t="str">
        <f aca="false">IF(INDEX(BookTitle,1548)="","",INDEX(BookCategory,1548))</f>
        <v/>
      </c>
      <c r="H1553" s="40" t="str">
        <f aca="false">IF(INDEX(BookTitle,1548)="","",INDEX(BookRank,1548))</f>
        <v/>
      </c>
      <c r="I1553" s="41" t="str">
        <f aca="false">IF(INDEX(BookTitle,1548)="","",INDEX(BookTotal,1548))</f>
        <v/>
      </c>
      <c r="J1553" s="0" t="str">
        <f aca="false">IF($I1553="","",IF(INDEX(BookQ1,1548)&gt;0,"Q1",IF(INDEX(BookQ2,1548)&gt;0,"Q2",IF(INDEX(BookQ3,1548)&gt;0,"Q3",IF(INDEX(BookQ4,1548)&gt;0,"Q4","")))))</f>
        <v/>
      </c>
      <c r="K1553" s="42" t="str">
        <f aca="false">IF(INDEX(BookTitle,1548)="","",INDEX(BookInYear,1548))</f>
        <v/>
      </c>
      <c r="L1553" s="19"/>
      <c r="M1553" s="39"/>
      <c r="N1553" s="19"/>
      <c r="O1553" s="19"/>
      <c r="P1553" s="43" t="str">
        <f aca="false">IF($E1553="","",IF($L1553="Decline",0,IF($L1553="Approve fewer",IF($M1553="","",$M1553),IF($L1553="","",$I1553))))</f>
        <v/>
      </c>
      <c r="Q1553" s="34" t="str">
        <f aca="false">IF($P1553="","",IF($N1553&lt;&gt;"",$N1553,$J1553))</f>
        <v/>
      </c>
      <c r="R1553" s="35" t="str">
        <f aca="false">IF(OR($P1553="",$Q1553=""),"",INDEX(BookRate,1548)*$P1553*(5-MATCH($Q1553,{"Q1";"Q2";"Q3";"Q4"},0))/4+INDEX(BookOneOff,1548)*$P1553)</f>
        <v/>
      </c>
      <c r="S1553" s="35" t="str">
        <f aca="false">IF($P1553="","",INDEX(BookRate,1548)*$P1553)</f>
        <v/>
      </c>
      <c r="T1553" s="35" t="str">
        <f aca="false">IF($R1553="","",$R1553-$K1553)</f>
        <v/>
      </c>
      <c r="U1553" s="35" t="str">
        <f aca="false">IF(N($P1553)&lt;=0,"",COUNTIF($P$6:$P1553,"&gt;0"))</f>
        <v/>
      </c>
    </row>
    <row r="1554" customFormat="false" ht="15" hidden="false" customHeight="false" outlineLevel="0" collapsed="false">
      <c r="A1554" s="40" t="str">
        <f aca="false">IF(INDEX(BookTitle,1549)="","",INDEX(BookGroup,1549))</f>
        <v/>
      </c>
      <c r="B1554" s="40" t="str">
        <f aca="false">IF(INDEX(BookTitle,1549)="","",INDEX(BookRef,1549))</f>
        <v/>
      </c>
      <c r="C1554" s="40" t="str">
        <f aca="false">IF(INDEX(BookTitle,1549)="","",INDEX(BookDivision,1549))</f>
        <v/>
      </c>
      <c r="D1554" s="40" t="str">
        <f aca="false">IF(INDEX(BookTitle,1549)="","",INDEX(BookUnit,1549))</f>
        <v/>
      </c>
      <c r="E1554" s="40" t="str">
        <f aca="false">IF(INDEX(BookTitle,1549)="","",INDEX(BookTitle,1549))</f>
        <v/>
      </c>
      <c r="F1554" s="40" t="str">
        <f aca="false">IF(INDEX(BookTitle,1549)="","",INDEX(BookLevel,1549))</f>
        <v/>
      </c>
      <c r="G1554" s="40" t="str">
        <f aca="false">IF(INDEX(BookTitle,1549)="","",INDEX(BookCategory,1549))</f>
        <v/>
      </c>
      <c r="H1554" s="40" t="str">
        <f aca="false">IF(INDEX(BookTitle,1549)="","",INDEX(BookRank,1549))</f>
        <v/>
      </c>
      <c r="I1554" s="41" t="str">
        <f aca="false">IF(INDEX(BookTitle,1549)="","",INDEX(BookTotal,1549))</f>
        <v/>
      </c>
      <c r="J1554" s="0" t="str">
        <f aca="false">IF($I1554="","",IF(INDEX(BookQ1,1549)&gt;0,"Q1",IF(INDEX(BookQ2,1549)&gt;0,"Q2",IF(INDEX(BookQ3,1549)&gt;0,"Q3",IF(INDEX(BookQ4,1549)&gt;0,"Q4","")))))</f>
        <v/>
      </c>
      <c r="K1554" s="42" t="str">
        <f aca="false">IF(INDEX(BookTitle,1549)="","",INDEX(BookInYear,1549))</f>
        <v/>
      </c>
      <c r="L1554" s="19"/>
      <c r="M1554" s="39"/>
      <c r="N1554" s="19"/>
      <c r="O1554" s="19"/>
      <c r="P1554" s="43" t="str">
        <f aca="false">IF($E1554="","",IF($L1554="Decline",0,IF($L1554="Approve fewer",IF($M1554="","",$M1554),IF($L1554="","",$I1554))))</f>
        <v/>
      </c>
      <c r="Q1554" s="34" t="str">
        <f aca="false">IF($P1554="","",IF($N1554&lt;&gt;"",$N1554,$J1554))</f>
        <v/>
      </c>
      <c r="R1554" s="35" t="str">
        <f aca="false">IF(OR($P1554="",$Q1554=""),"",INDEX(BookRate,1549)*$P1554*(5-MATCH($Q1554,{"Q1";"Q2";"Q3";"Q4"},0))/4+INDEX(BookOneOff,1549)*$P1554)</f>
        <v/>
      </c>
      <c r="S1554" s="35" t="str">
        <f aca="false">IF($P1554="","",INDEX(BookRate,1549)*$P1554)</f>
        <v/>
      </c>
      <c r="T1554" s="35" t="str">
        <f aca="false">IF($R1554="","",$R1554-$K1554)</f>
        <v/>
      </c>
      <c r="U1554" s="35" t="str">
        <f aca="false">IF(N($P1554)&lt;=0,"",COUNTIF($P$6:$P1554,"&gt;0"))</f>
        <v/>
      </c>
    </row>
    <row r="1555" customFormat="false" ht="15" hidden="false" customHeight="false" outlineLevel="0" collapsed="false">
      <c r="A1555" s="40" t="str">
        <f aca="false">IF(INDEX(BookTitle,1550)="","",INDEX(BookGroup,1550))</f>
        <v/>
      </c>
      <c r="B1555" s="40" t="str">
        <f aca="false">IF(INDEX(BookTitle,1550)="","",INDEX(BookRef,1550))</f>
        <v/>
      </c>
      <c r="C1555" s="40" t="str">
        <f aca="false">IF(INDEX(BookTitle,1550)="","",INDEX(BookDivision,1550))</f>
        <v/>
      </c>
      <c r="D1555" s="40" t="str">
        <f aca="false">IF(INDEX(BookTitle,1550)="","",INDEX(BookUnit,1550))</f>
        <v/>
      </c>
      <c r="E1555" s="40" t="str">
        <f aca="false">IF(INDEX(BookTitle,1550)="","",INDEX(BookTitle,1550))</f>
        <v/>
      </c>
      <c r="F1555" s="40" t="str">
        <f aca="false">IF(INDEX(BookTitle,1550)="","",INDEX(BookLevel,1550))</f>
        <v/>
      </c>
      <c r="G1555" s="40" t="str">
        <f aca="false">IF(INDEX(BookTitle,1550)="","",INDEX(BookCategory,1550))</f>
        <v/>
      </c>
      <c r="H1555" s="40" t="str">
        <f aca="false">IF(INDEX(BookTitle,1550)="","",INDEX(BookRank,1550))</f>
        <v/>
      </c>
      <c r="I1555" s="41" t="str">
        <f aca="false">IF(INDEX(BookTitle,1550)="","",INDEX(BookTotal,1550))</f>
        <v/>
      </c>
      <c r="J1555" s="0" t="str">
        <f aca="false">IF($I1555="","",IF(INDEX(BookQ1,1550)&gt;0,"Q1",IF(INDEX(BookQ2,1550)&gt;0,"Q2",IF(INDEX(BookQ3,1550)&gt;0,"Q3",IF(INDEX(BookQ4,1550)&gt;0,"Q4","")))))</f>
        <v/>
      </c>
      <c r="K1555" s="42" t="str">
        <f aca="false">IF(INDEX(BookTitle,1550)="","",INDEX(BookInYear,1550))</f>
        <v/>
      </c>
      <c r="L1555" s="19"/>
      <c r="M1555" s="39"/>
      <c r="N1555" s="19"/>
      <c r="O1555" s="19"/>
      <c r="P1555" s="43" t="str">
        <f aca="false">IF($E1555="","",IF($L1555="Decline",0,IF($L1555="Approve fewer",IF($M1555="","",$M1555),IF($L1555="","",$I1555))))</f>
        <v/>
      </c>
      <c r="Q1555" s="34" t="str">
        <f aca="false">IF($P1555="","",IF($N1555&lt;&gt;"",$N1555,$J1555))</f>
        <v/>
      </c>
      <c r="R1555" s="35" t="str">
        <f aca="false">IF(OR($P1555="",$Q1555=""),"",INDEX(BookRate,1550)*$P1555*(5-MATCH($Q1555,{"Q1";"Q2";"Q3";"Q4"},0))/4+INDEX(BookOneOff,1550)*$P1555)</f>
        <v/>
      </c>
      <c r="S1555" s="35" t="str">
        <f aca="false">IF($P1555="","",INDEX(BookRate,1550)*$P1555)</f>
        <v/>
      </c>
      <c r="T1555" s="35" t="str">
        <f aca="false">IF($R1555="","",$R1555-$K1555)</f>
        <v/>
      </c>
      <c r="U1555" s="35" t="str">
        <f aca="false">IF(N($P1555)&lt;=0,"",COUNTIF($P$6:$P1555,"&gt;0"))</f>
        <v/>
      </c>
    </row>
    <row r="1556" customFormat="false" ht="15" hidden="false" customHeight="false" outlineLevel="0" collapsed="false">
      <c r="A1556" s="40" t="str">
        <f aca="false">IF(INDEX(BookTitle,1551)="","",INDEX(BookGroup,1551))</f>
        <v/>
      </c>
      <c r="B1556" s="40" t="str">
        <f aca="false">IF(INDEX(BookTitle,1551)="","",INDEX(BookRef,1551))</f>
        <v/>
      </c>
      <c r="C1556" s="40" t="str">
        <f aca="false">IF(INDEX(BookTitle,1551)="","",INDEX(BookDivision,1551))</f>
        <v/>
      </c>
      <c r="D1556" s="40" t="str">
        <f aca="false">IF(INDEX(BookTitle,1551)="","",INDEX(BookUnit,1551))</f>
        <v/>
      </c>
      <c r="E1556" s="40" t="str">
        <f aca="false">IF(INDEX(BookTitle,1551)="","",INDEX(BookTitle,1551))</f>
        <v/>
      </c>
      <c r="F1556" s="40" t="str">
        <f aca="false">IF(INDEX(BookTitle,1551)="","",INDEX(BookLevel,1551))</f>
        <v/>
      </c>
      <c r="G1556" s="40" t="str">
        <f aca="false">IF(INDEX(BookTitle,1551)="","",INDEX(BookCategory,1551))</f>
        <v/>
      </c>
      <c r="H1556" s="40" t="str">
        <f aca="false">IF(INDEX(BookTitle,1551)="","",INDEX(BookRank,1551))</f>
        <v/>
      </c>
      <c r="I1556" s="41" t="str">
        <f aca="false">IF(INDEX(BookTitle,1551)="","",INDEX(BookTotal,1551))</f>
        <v/>
      </c>
      <c r="J1556" s="0" t="str">
        <f aca="false">IF($I1556="","",IF(INDEX(BookQ1,1551)&gt;0,"Q1",IF(INDEX(BookQ2,1551)&gt;0,"Q2",IF(INDEX(BookQ3,1551)&gt;0,"Q3",IF(INDEX(BookQ4,1551)&gt;0,"Q4","")))))</f>
        <v/>
      </c>
      <c r="K1556" s="42" t="str">
        <f aca="false">IF(INDEX(BookTitle,1551)="","",INDEX(BookInYear,1551))</f>
        <v/>
      </c>
      <c r="L1556" s="19"/>
      <c r="M1556" s="39"/>
      <c r="N1556" s="19"/>
      <c r="O1556" s="19"/>
      <c r="P1556" s="43" t="str">
        <f aca="false">IF($E1556="","",IF($L1556="Decline",0,IF($L1556="Approve fewer",IF($M1556="","",$M1556),IF($L1556="","",$I1556))))</f>
        <v/>
      </c>
      <c r="Q1556" s="34" t="str">
        <f aca="false">IF($P1556="","",IF($N1556&lt;&gt;"",$N1556,$J1556))</f>
        <v/>
      </c>
      <c r="R1556" s="35" t="str">
        <f aca="false">IF(OR($P1556="",$Q1556=""),"",INDEX(BookRate,1551)*$P1556*(5-MATCH($Q1556,{"Q1";"Q2";"Q3";"Q4"},0))/4+INDEX(BookOneOff,1551)*$P1556)</f>
        <v/>
      </c>
      <c r="S1556" s="35" t="str">
        <f aca="false">IF($P1556="","",INDEX(BookRate,1551)*$P1556)</f>
        <v/>
      </c>
      <c r="T1556" s="35" t="str">
        <f aca="false">IF($R1556="","",$R1556-$K1556)</f>
        <v/>
      </c>
      <c r="U1556" s="35" t="str">
        <f aca="false">IF(N($P1556)&lt;=0,"",COUNTIF($P$6:$P1556,"&gt;0"))</f>
        <v/>
      </c>
    </row>
    <row r="1557" customFormat="false" ht="15" hidden="false" customHeight="false" outlineLevel="0" collapsed="false">
      <c r="A1557" s="40" t="str">
        <f aca="false">IF(INDEX(BookTitle,1552)="","",INDEX(BookGroup,1552))</f>
        <v/>
      </c>
      <c r="B1557" s="40" t="str">
        <f aca="false">IF(INDEX(BookTitle,1552)="","",INDEX(BookRef,1552))</f>
        <v/>
      </c>
      <c r="C1557" s="40" t="str">
        <f aca="false">IF(INDEX(BookTitle,1552)="","",INDEX(BookDivision,1552))</f>
        <v/>
      </c>
      <c r="D1557" s="40" t="str">
        <f aca="false">IF(INDEX(BookTitle,1552)="","",INDEX(BookUnit,1552))</f>
        <v/>
      </c>
      <c r="E1557" s="40" t="str">
        <f aca="false">IF(INDEX(BookTitle,1552)="","",INDEX(BookTitle,1552))</f>
        <v/>
      </c>
      <c r="F1557" s="40" t="str">
        <f aca="false">IF(INDEX(BookTitle,1552)="","",INDEX(BookLevel,1552))</f>
        <v/>
      </c>
      <c r="G1557" s="40" t="str">
        <f aca="false">IF(INDEX(BookTitle,1552)="","",INDEX(BookCategory,1552))</f>
        <v/>
      </c>
      <c r="H1557" s="40" t="str">
        <f aca="false">IF(INDEX(BookTitle,1552)="","",INDEX(BookRank,1552))</f>
        <v/>
      </c>
      <c r="I1557" s="41" t="str">
        <f aca="false">IF(INDEX(BookTitle,1552)="","",INDEX(BookTotal,1552))</f>
        <v/>
      </c>
      <c r="J1557" s="0" t="str">
        <f aca="false">IF($I1557="","",IF(INDEX(BookQ1,1552)&gt;0,"Q1",IF(INDEX(BookQ2,1552)&gt;0,"Q2",IF(INDEX(BookQ3,1552)&gt;0,"Q3",IF(INDEX(BookQ4,1552)&gt;0,"Q4","")))))</f>
        <v/>
      </c>
      <c r="K1557" s="42" t="str">
        <f aca="false">IF(INDEX(BookTitle,1552)="","",INDEX(BookInYear,1552))</f>
        <v/>
      </c>
      <c r="L1557" s="19"/>
      <c r="M1557" s="39"/>
      <c r="N1557" s="19"/>
      <c r="O1557" s="19"/>
      <c r="P1557" s="43" t="str">
        <f aca="false">IF($E1557="","",IF($L1557="Decline",0,IF($L1557="Approve fewer",IF($M1557="","",$M1557),IF($L1557="","",$I1557))))</f>
        <v/>
      </c>
      <c r="Q1557" s="34" t="str">
        <f aca="false">IF($P1557="","",IF($N1557&lt;&gt;"",$N1557,$J1557))</f>
        <v/>
      </c>
      <c r="R1557" s="35" t="str">
        <f aca="false">IF(OR($P1557="",$Q1557=""),"",INDEX(BookRate,1552)*$P1557*(5-MATCH($Q1557,{"Q1";"Q2";"Q3";"Q4"},0))/4+INDEX(BookOneOff,1552)*$P1557)</f>
        <v/>
      </c>
      <c r="S1557" s="35" t="str">
        <f aca="false">IF($P1557="","",INDEX(BookRate,1552)*$P1557)</f>
        <v/>
      </c>
      <c r="T1557" s="35" t="str">
        <f aca="false">IF($R1557="","",$R1557-$K1557)</f>
        <v/>
      </c>
      <c r="U1557" s="35" t="str">
        <f aca="false">IF(N($P1557)&lt;=0,"",COUNTIF($P$6:$P1557,"&gt;0"))</f>
        <v/>
      </c>
    </row>
    <row r="1558" customFormat="false" ht="15" hidden="false" customHeight="false" outlineLevel="0" collapsed="false">
      <c r="A1558" s="40" t="str">
        <f aca="false">IF(INDEX(BookTitle,1553)="","",INDEX(BookGroup,1553))</f>
        <v/>
      </c>
      <c r="B1558" s="40" t="str">
        <f aca="false">IF(INDEX(BookTitle,1553)="","",INDEX(BookRef,1553))</f>
        <v/>
      </c>
      <c r="C1558" s="40" t="str">
        <f aca="false">IF(INDEX(BookTitle,1553)="","",INDEX(BookDivision,1553))</f>
        <v/>
      </c>
      <c r="D1558" s="40" t="str">
        <f aca="false">IF(INDEX(BookTitle,1553)="","",INDEX(BookUnit,1553))</f>
        <v/>
      </c>
      <c r="E1558" s="40" t="str">
        <f aca="false">IF(INDEX(BookTitle,1553)="","",INDEX(BookTitle,1553))</f>
        <v/>
      </c>
      <c r="F1558" s="40" t="str">
        <f aca="false">IF(INDEX(BookTitle,1553)="","",INDEX(BookLevel,1553))</f>
        <v/>
      </c>
      <c r="G1558" s="40" t="str">
        <f aca="false">IF(INDEX(BookTitle,1553)="","",INDEX(BookCategory,1553))</f>
        <v/>
      </c>
      <c r="H1558" s="40" t="str">
        <f aca="false">IF(INDEX(BookTitle,1553)="","",INDEX(BookRank,1553))</f>
        <v/>
      </c>
      <c r="I1558" s="41" t="str">
        <f aca="false">IF(INDEX(BookTitle,1553)="","",INDEX(BookTotal,1553))</f>
        <v/>
      </c>
      <c r="J1558" s="0" t="str">
        <f aca="false">IF($I1558="","",IF(INDEX(BookQ1,1553)&gt;0,"Q1",IF(INDEX(BookQ2,1553)&gt;0,"Q2",IF(INDEX(BookQ3,1553)&gt;0,"Q3",IF(INDEX(BookQ4,1553)&gt;0,"Q4","")))))</f>
        <v/>
      </c>
      <c r="K1558" s="42" t="str">
        <f aca="false">IF(INDEX(BookTitle,1553)="","",INDEX(BookInYear,1553))</f>
        <v/>
      </c>
      <c r="L1558" s="19"/>
      <c r="M1558" s="39"/>
      <c r="N1558" s="19"/>
      <c r="O1558" s="19"/>
      <c r="P1558" s="43" t="str">
        <f aca="false">IF($E1558="","",IF($L1558="Decline",0,IF($L1558="Approve fewer",IF($M1558="","",$M1558),IF($L1558="","",$I1558))))</f>
        <v/>
      </c>
      <c r="Q1558" s="34" t="str">
        <f aca="false">IF($P1558="","",IF($N1558&lt;&gt;"",$N1558,$J1558))</f>
        <v/>
      </c>
      <c r="R1558" s="35" t="str">
        <f aca="false">IF(OR($P1558="",$Q1558=""),"",INDEX(BookRate,1553)*$P1558*(5-MATCH($Q1558,{"Q1";"Q2";"Q3";"Q4"},0))/4+INDEX(BookOneOff,1553)*$P1558)</f>
        <v/>
      </c>
      <c r="S1558" s="35" t="str">
        <f aca="false">IF($P1558="","",INDEX(BookRate,1553)*$P1558)</f>
        <v/>
      </c>
      <c r="T1558" s="35" t="str">
        <f aca="false">IF($R1558="","",$R1558-$K1558)</f>
        <v/>
      </c>
      <c r="U1558" s="35" t="str">
        <f aca="false">IF(N($P1558)&lt;=0,"",COUNTIF($P$6:$P1558,"&gt;0"))</f>
        <v/>
      </c>
    </row>
    <row r="1559" customFormat="false" ht="15" hidden="false" customHeight="false" outlineLevel="0" collapsed="false">
      <c r="A1559" s="40" t="str">
        <f aca="false">IF(INDEX(BookTitle,1554)="","",INDEX(BookGroup,1554))</f>
        <v/>
      </c>
      <c r="B1559" s="40" t="str">
        <f aca="false">IF(INDEX(BookTitle,1554)="","",INDEX(BookRef,1554))</f>
        <v/>
      </c>
      <c r="C1559" s="40" t="str">
        <f aca="false">IF(INDEX(BookTitle,1554)="","",INDEX(BookDivision,1554))</f>
        <v/>
      </c>
      <c r="D1559" s="40" t="str">
        <f aca="false">IF(INDEX(BookTitle,1554)="","",INDEX(BookUnit,1554))</f>
        <v/>
      </c>
      <c r="E1559" s="40" t="str">
        <f aca="false">IF(INDEX(BookTitle,1554)="","",INDEX(BookTitle,1554))</f>
        <v/>
      </c>
      <c r="F1559" s="40" t="str">
        <f aca="false">IF(INDEX(BookTitle,1554)="","",INDEX(BookLevel,1554))</f>
        <v/>
      </c>
      <c r="G1559" s="40" t="str">
        <f aca="false">IF(INDEX(BookTitle,1554)="","",INDEX(BookCategory,1554))</f>
        <v/>
      </c>
      <c r="H1559" s="40" t="str">
        <f aca="false">IF(INDEX(BookTitle,1554)="","",INDEX(BookRank,1554))</f>
        <v/>
      </c>
      <c r="I1559" s="41" t="str">
        <f aca="false">IF(INDEX(BookTitle,1554)="","",INDEX(BookTotal,1554))</f>
        <v/>
      </c>
      <c r="J1559" s="0" t="str">
        <f aca="false">IF($I1559="","",IF(INDEX(BookQ1,1554)&gt;0,"Q1",IF(INDEX(BookQ2,1554)&gt;0,"Q2",IF(INDEX(BookQ3,1554)&gt;0,"Q3",IF(INDEX(BookQ4,1554)&gt;0,"Q4","")))))</f>
        <v/>
      </c>
      <c r="K1559" s="42" t="str">
        <f aca="false">IF(INDEX(BookTitle,1554)="","",INDEX(BookInYear,1554))</f>
        <v/>
      </c>
      <c r="L1559" s="19"/>
      <c r="M1559" s="39"/>
      <c r="N1559" s="19"/>
      <c r="O1559" s="19"/>
      <c r="P1559" s="43" t="str">
        <f aca="false">IF($E1559="","",IF($L1559="Decline",0,IF($L1559="Approve fewer",IF($M1559="","",$M1559),IF($L1559="","",$I1559))))</f>
        <v/>
      </c>
      <c r="Q1559" s="34" t="str">
        <f aca="false">IF($P1559="","",IF($N1559&lt;&gt;"",$N1559,$J1559))</f>
        <v/>
      </c>
      <c r="R1559" s="35" t="str">
        <f aca="false">IF(OR($P1559="",$Q1559=""),"",INDEX(BookRate,1554)*$P1559*(5-MATCH($Q1559,{"Q1";"Q2";"Q3";"Q4"},0))/4+INDEX(BookOneOff,1554)*$P1559)</f>
        <v/>
      </c>
      <c r="S1559" s="35" t="str">
        <f aca="false">IF($P1559="","",INDEX(BookRate,1554)*$P1559)</f>
        <v/>
      </c>
      <c r="T1559" s="35" t="str">
        <f aca="false">IF($R1559="","",$R1559-$K1559)</f>
        <v/>
      </c>
      <c r="U1559" s="35" t="str">
        <f aca="false">IF(N($P1559)&lt;=0,"",COUNTIF($P$6:$P1559,"&gt;0"))</f>
        <v/>
      </c>
    </row>
    <row r="1560" customFormat="false" ht="15" hidden="false" customHeight="false" outlineLevel="0" collapsed="false">
      <c r="A1560" s="40" t="str">
        <f aca="false">IF(INDEX(BookTitle,1555)="","",INDEX(BookGroup,1555))</f>
        <v/>
      </c>
      <c r="B1560" s="40" t="str">
        <f aca="false">IF(INDEX(BookTitle,1555)="","",INDEX(BookRef,1555))</f>
        <v/>
      </c>
      <c r="C1560" s="40" t="str">
        <f aca="false">IF(INDEX(BookTitle,1555)="","",INDEX(BookDivision,1555))</f>
        <v/>
      </c>
      <c r="D1560" s="40" t="str">
        <f aca="false">IF(INDEX(BookTitle,1555)="","",INDEX(BookUnit,1555))</f>
        <v/>
      </c>
      <c r="E1560" s="40" t="str">
        <f aca="false">IF(INDEX(BookTitle,1555)="","",INDEX(BookTitle,1555))</f>
        <v/>
      </c>
      <c r="F1560" s="40" t="str">
        <f aca="false">IF(INDEX(BookTitle,1555)="","",INDEX(BookLevel,1555))</f>
        <v/>
      </c>
      <c r="G1560" s="40" t="str">
        <f aca="false">IF(INDEX(BookTitle,1555)="","",INDEX(BookCategory,1555))</f>
        <v/>
      </c>
      <c r="H1560" s="40" t="str">
        <f aca="false">IF(INDEX(BookTitle,1555)="","",INDEX(BookRank,1555))</f>
        <v/>
      </c>
      <c r="I1560" s="41" t="str">
        <f aca="false">IF(INDEX(BookTitle,1555)="","",INDEX(BookTotal,1555))</f>
        <v/>
      </c>
      <c r="J1560" s="0" t="str">
        <f aca="false">IF($I1560="","",IF(INDEX(BookQ1,1555)&gt;0,"Q1",IF(INDEX(BookQ2,1555)&gt;0,"Q2",IF(INDEX(BookQ3,1555)&gt;0,"Q3",IF(INDEX(BookQ4,1555)&gt;0,"Q4","")))))</f>
        <v/>
      </c>
      <c r="K1560" s="42" t="str">
        <f aca="false">IF(INDEX(BookTitle,1555)="","",INDEX(BookInYear,1555))</f>
        <v/>
      </c>
      <c r="L1560" s="19"/>
      <c r="M1560" s="39"/>
      <c r="N1560" s="19"/>
      <c r="O1560" s="19"/>
      <c r="P1560" s="43" t="str">
        <f aca="false">IF($E1560="","",IF($L1560="Decline",0,IF($L1560="Approve fewer",IF($M1560="","",$M1560),IF($L1560="","",$I1560))))</f>
        <v/>
      </c>
      <c r="Q1560" s="34" t="str">
        <f aca="false">IF($P1560="","",IF($N1560&lt;&gt;"",$N1560,$J1560))</f>
        <v/>
      </c>
      <c r="R1560" s="35" t="str">
        <f aca="false">IF(OR($P1560="",$Q1560=""),"",INDEX(BookRate,1555)*$P1560*(5-MATCH($Q1560,{"Q1";"Q2";"Q3";"Q4"},0))/4+INDEX(BookOneOff,1555)*$P1560)</f>
        <v/>
      </c>
      <c r="S1560" s="35" t="str">
        <f aca="false">IF($P1560="","",INDEX(BookRate,1555)*$P1560)</f>
        <v/>
      </c>
      <c r="T1560" s="35" t="str">
        <f aca="false">IF($R1560="","",$R1560-$K1560)</f>
        <v/>
      </c>
      <c r="U1560" s="35" t="str">
        <f aca="false">IF(N($P1560)&lt;=0,"",COUNTIF($P$6:$P1560,"&gt;0"))</f>
        <v/>
      </c>
    </row>
    <row r="1561" customFormat="false" ht="15" hidden="false" customHeight="false" outlineLevel="0" collapsed="false">
      <c r="A1561" s="40" t="str">
        <f aca="false">IF(INDEX(BookTitle,1556)="","",INDEX(BookGroup,1556))</f>
        <v/>
      </c>
      <c r="B1561" s="40" t="str">
        <f aca="false">IF(INDEX(BookTitle,1556)="","",INDEX(BookRef,1556))</f>
        <v/>
      </c>
      <c r="C1561" s="40" t="str">
        <f aca="false">IF(INDEX(BookTitle,1556)="","",INDEX(BookDivision,1556))</f>
        <v/>
      </c>
      <c r="D1561" s="40" t="str">
        <f aca="false">IF(INDEX(BookTitle,1556)="","",INDEX(BookUnit,1556))</f>
        <v/>
      </c>
      <c r="E1561" s="40" t="str">
        <f aca="false">IF(INDEX(BookTitle,1556)="","",INDEX(BookTitle,1556))</f>
        <v/>
      </c>
      <c r="F1561" s="40" t="str">
        <f aca="false">IF(INDEX(BookTitle,1556)="","",INDEX(BookLevel,1556))</f>
        <v/>
      </c>
      <c r="G1561" s="40" t="str">
        <f aca="false">IF(INDEX(BookTitle,1556)="","",INDEX(BookCategory,1556))</f>
        <v/>
      </c>
      <c r="H1561" s="40" t="str">
        <f aca="false">IF(INDEX(BookTitle,1556)="","",INDEX(BookRank,1556))</f>
        <v/>
      </c>
      <c r="I1561" s="41" t="str">
        <f aca="false">IF(INDEX(BookTitle,1556)="","",INDEX(BookTotal,1556))</f>
        <v/>
      </c>
      <c r="J1561" s="0" t="str">
        <f aca="false">IF($I1561="","",IF(INDEX(BookQ1,1556)&gt;0,"Q1",IF(INDEX(BookQ2,1556)&gt;0,"Q2",IF(INDEX(BookQ3,1556)&gt;0,"Q3",IF(INDEX(BookQ4,1556)&gt;0,"Q4","")))))</f>
        <v/>
      </c>
      <c r="K1561" s="42" t="str">
        <f aca="false">IF(INDEX(BookTitle,1556)="","",INDEX(BookInYear,1556))</f>
        <v/>
      </c>
      <c r="L1561" s="19"/>
      <c r="M1561" s="39"/>
      <c r="N1561" s="19"/>
      <c r="O1561" s="19"/>
      <c r="P1561" s="43" t="str">
        <f aca="false">IF($E1561="","",IF($L1561="Decline",0,IF($L1561="Approve fewer",IF($M1561="","",$M1561),IF($L1561="","",$I1561))))</f>
        <v/>
      </c>
      <c r="Q1561" s="34" t="str">
        <f aca="false">IF($P1561="","",IF($N1561&lt;&gt;"",$N1561,$J1561))</f>
        <v/>
      </c>
      <c r="R1561" s="35" t="str">
        <f aca="false">IF(OR($P1561="",$Q1561=""),"",INDEX(BookRate,1556)*$P1561*(5-MATCH($Q1561,{"Q1";"Q2";"Q3";"Q4"},0))/4+INDEX(BookOneOff,1556)*$P1561)</f>
        <v/>
      </c>
      <c r="S1561" s="35" t="str">
        <f aca="false">IF($P1561="","",INDEX(BookRate,1556)*$P1561)</f>
        <v/>
      </c>
      <c r="T1561" s="35" t="str">
        <f aca="false">IF($R1561="","",$R1561-$K1561)</f>
        <v/>
      </c>
      <c r="U1561" s="35" t="str">
        <f aca="false">IF(N($P1561)&lt;=0,"",COUNTIF($P$6:$P1561,"&gt;0"))</f>
        <v/>
      </c>
    </row>
    <row r="1562" customFormat="false" ht="15" hidden="false" customHeight="false" outlineLevel="0" collapsed="false">
      <c r="A1562" s="40" t="str">
        <f aca="false">IF(INDEX(BookTitle,1557)="","",INDEX(BookGroup,1557))</f>
        <v/>
      </c>
      <c r="B1562" s="40" t="str">
        <f aca="false">IF(INDEX(BookTitle,1557)="","",INDEX(BookRef,1557))</f>
        <v/>
      </c>
      <c r="C1562" s="40" t="str">
        <f aca="false">IF(INDEX(BookTitle,1557)="","",INDEX(BookDivision,1557))</f>
        <v/>
      </c>
      <c r="D1562" s="40" t="str">
        <f aca="false">IF(INDEX(BookTitle,1557)="","",INDEX(BookUnit,1557))</f>
        <v/>
      </c>
      <c r="E1562" s="40" t="str">
        <f aca="false">IF(INDEX(BookTitle,1557)="","",INDEX(BookTitle,1557))</f>
        <v/>
      </c>
      <c r="F1562" s="40" t="str">
        <f aca="false">IF(INDEX(BookTitle,1557)="","",INDEX(BookLevel,1557))</f>
        <v/>
      </c>
      <c r="G1562" s="40" t="str">
        <f aca="false">IF(INDEX(BookTitle,1557)="","",INDEX(BookCategory,1557))</f>
        <v/>
      </c>
      <c r="H1562" s="40" t="str">
        <f aca="false">IF(INDEX(BookTitle,1557)="","",INDEX(BookRank,1557))</f>
        <v/>
      </c>
      <c r="I1562" s="41" t="str">
        <f aca="false">IF(INDEX(BookTitle,1557)="","",INDEX(BookTotal,1557))</f>
        <v/>
      </c>
      <c r="J1562" s="0" t="str">
        <f aca="false">IF($I1562="","",IF(INDEX(BookQ1,1557)&gt;0,"Q1",IF(INDEX(BookQ2,1557)&gt;0,"Q2",IF(INDEX(BookQ3,1557)&gt;0,"Q3",IF(INDEX(BookQ4,1557)&gt;0,"Q4","")))))</f>
        <v/>
      </c>
      <c r="K1562" s="42" t="str">
        <f aca="false">IF(INDEX(BookTitle,1557)="","",INDEX(BookInYear,1557))</f>
        <v/>
      </c>
      <c r="L1562" s="19"/>
      <c r="M1562" s="39"/>
      <c r="N1562" s="19"/>
      <c r="O1562" s="19"/>
      <c r="P1562" s="43" t="str">
        <f aca="false">IF($E1562="","",IF($L1562="Decline",0,IF($L1562="Approve fewer",IF($M1562="","",$M1562),IF($L1562="","",$I1562))))</f>
        <v/>
      </c>
      <c r="Q1562" s="34" t="str">
        <f aca="false">IF($P1562="","",IF($N1562&lt;&gt;"",$N1562,$J1562))</f>
        <v/>
      </c>
      <c r="R1562" s="35" t="str">
        <f aca="false">IF(OR($P1562="",$Q1562=""),"",INDEX(BookRate,1557)*$P1562*(5-MATCH($Q1562,{"Q1";"Q2";"Q3";"Q4"},0))/4+INDEX(BookOneOff,1557)*$P1562)</f>
        <v/>
      </c>
      <c r="S1562" s="35" t="str">
        <f aca="false">IF($P1562="","",INDEX(BookRate,1557)*$P1562)</f>
        <v/>
      </c>
      <c r="T1562" s="35" t="str">
        <f aca="false">IF($R1562="","",$R1562-$K1562)</f>
        <v/>
      </c>
      <c r="U1562" s="35" t="str">
        <f aca="false">IF(N($P1562)&lt;=0,"",COUNTIF($P$6:$P1562,"&gt;0"))</f>
        <v/>
      </c>
    </row>
    <row r="1563" customFormat="false" ht="15" hidden="false" customHeight="false" outlineLevel="0" collapsed="false">
      <c r="A1563" s="40" t="str">
        <f aca="false">IF(INDEX(BookTitle,1558)="","",INDEX(BookGroup,1558))</f>
        <v/>
      </c>
      <c r="B1563" s="40" t="str">
        <f aca="false">IF(INDEX(BookTitle,1558)="","",INDEX(BookRef,1558))</f>
        <v/>
      </c>
      <c r="C1563" s="40" t="str">
        <f aca="false">IF(INDEX(BookTitle,1558)="","",INDEX(BookDivision,1558))</f>
        <v/>
      </c>
      <c r="D1563" s="40" t="str">
        <f aca="false">IF(INDEX(BookTitle,1558)="","",INDEX(BookUnit,1558))</f>
        <v/>
      </c>
      <c r="E1563" s="40" t="str">
        <f aca="false">IF(INDEX(BookTitle,1558)="","",INDEX(BookTitle,1558))</f>
        <v/>
      </c>
      <c r="F1563" s="40" t="str">
        <f aca="false">IF(INDEX(BookTitle,1558)="","",INDEX(BookLevel,1558))</f>
        <v/>
      </c>
      <c r="G1563" s="40" t="str">
        <f aca="false">IF(INDEX(BookTitle,1558)="","",INDEX(BookCategory,1558))</f>
        <v/>
      </c>
      <c r="H1563" s="40" t="str">
        <f aca="false">IF(INDEX(BookTitle,1558)="","",INDEX(BookRank,1558))</f>
        <v/>
      </c>
      <c r="I1563" s="41" t="str">
        <f aca="false">IF(INDEX(BookTitle,1558)="","",INDEX(BookTotal,1558))</f>
        <v/>
      </c>
      <c r="J1563" s="0" t="str">
        <f aca="false">IF($I1563="","",IF(INDEX(BookQ1,1558)&gt;0,"Q1",IF(INDEX(BookQ2,1558)&gt;0,"Q2",IF(INDEX(BookQ3,1558)&gt;0,"Q3",IF(INDEX(BookQ4,1558)&gt;0,"Q4","")))))</f>
        <v/>
      </c>
      <c r="K1563" s="42" t="str">
        <f aca="false">IF(INDEX(BookTitle,1558)="","",INDEX(BookInYear,1558))</f>
        <v/>
      </c>
      <c r="L1563" s="19"/>
      <c r="M1563" s="39"/>
      <c r="N1563" s="19"/>
      <c r="O1563" s="19"/>
      <c r="P1563" s="43" t="str">
        <f aca="false">IF($E1563="","",IF($L1563="Decline",0,IF($L1563="Approve fewer",IF($M1563="","",$M1563),IF($L1563="","",$I1563))))</f>
        <v/>
      </c>
      <c r="Q1563" s="34" t="str">
        <f aca="false">IF($P1563="","",IF($N1563&lt;&gt;"",$N1563,$J1563))</f>
        <v/>
      </c>
      <c r="R1563" s="35" t="str">
        <f aca="false">IF(OR($P1563="",$Q1563=""),"",INDEX(BookRate,1558)*$P1563*(5-MATCH($Q1563,{"Q1";"Q2";"Q3";"Q4"},0))/4+INDEX(BookOneOff,1558)*$P1563)</f>
        <v/>
      </c>
      <c r="S1563" s="35" t="str">
        <f aca="false">IF($P1563="","",INDEX(BookRate,1558)*$P1563)</f>
        <v/>
      </c>
      <c r="T1563" s="35" t="str">
        <f aca="false">IF($R1563="","",$R1563-$K1563)</f>
        <v/>
      </c>
      <c r="U1563" s="35" t="str">
        <f aca="false">IF(N($P1563)&lt;=0,"",COUNTIF($P$6:$P1563,"&gt;0"))</f>
        <v/>
      </c>
    </row>
    <row r="1564" customFormat="false" ht="15" hidden="false" customHeight="false" outlineLevel="0" collapsed="false">
      <c r="A1564" s="40" t="str">
        <f aca="false">IF(INDEX(BookTitle,1559)="","",INDEX(BookGroup,1559))</f>
        <v/>
      </c>
      <c r="B1564" s="40" t="str">
        <f aca="false">IF(INDEX(BookTitle,1559)="","",INDEX(BookRef,1559))</f>
        <v/>
      </c>
      <c r="C1564" s="40" t="str">
        <f aca="false">IF(INDEX(BookTitle,1559)="","",INDEX(BookDivision,1559))</f>
        <v/>
      </c>
      <c r="D1564" s="40" t="str">
        <f aca="false">IF(INDEX(BookTitle,1559)="","",INDEX(BookUnit,1559))</f>
        <v/>
      </c>
      <c r="E1564" s="40" t="str">
        <f aca="false">IF(INDEX(BookTitle,1559)="","",INDEX(BookTitle,1559))</f>
        <v/>
      </c>
      <c r="F1564" s="40" t="str">
        <f aca="false">IF(INDEX(BookTitle,1559)="","",INDEX(BookLevel,1559))</f>
        <v/>
      </c>
      <c r="G1564" s="40" t="str">
        <f aca="false">IF(INDEX(BookTitle,1559)="","",INDEX(BookCategory,1559))</f>
        <v/>
      </c>
      <c r="H1564" s="40" t="str">
        <f aca="false">IF(INDEX(BookTitle,1559)="","",INDEX(BookRank,1559))</f>
        <v/>
      </c>
      <c r="I1564" s="41" t="str">
        <f aca="false">IF(INDEX(BookTitle,1559)="","",INDEX(BookTotal,1559))</f>
        <v/>
      </c>
      <c r="J1564" s="0" t="str">
        <f aca="false">IF($I1564="","",IF(INDEX(BookQ1,1559)&gt;0,"Q1",IF(INDEX(BookQ2,1559)&gt;0,"Q2",IF(INDEX(BookQ3,1559)&gt;0,"Q3",IF(INDEX(BookQ4,1559)&gt;0,"Q4","")))))</f>
        <v/>
      </c>
      <c r="K1564" s="42" t="str">
        <f aca="false">IF(INDEX(BookTitle,1559)="","",INDEX(BookInYear,1559))</f>
        <v/>
      </c>
      <c r="L1564" s="19"/>
      <c r="M1564" s="39"/>
      <c r="N1564" s="19"/>
      <c r="O1564" s="19"/>
      <c r="P1564" s="43" t="str">
        <f aca="false">IF($E1564="","",IF($L1564="Decline",0,IF($L1564="Approve fewer",IF($M1564="","",$M1564),IF($L1564="","",$I1564))))</f>
        <v/>
      </c>
      <c r="Q1564" s="34" t="str">
        <f aca="false">IF($P1564="","",IF($N1564&lt;&gt;"",$N1564,$J1564))</f>
        <v/>
      </c>
      <c r="R1564" s="35" t="str">
        <f aca="false">IF(OR($P1564="",$Q1564=""),"",INDEX(BookRate,1559)*$P1564*(5-MATCH($Q1564,{"Q1";"Q2";"Q3";"Q4"},0))/4+INDEX(BookOneOff,1559)*$P1564)</f>
        <v/>
      </c>
      <c r="S1564" s="35" t="str">
        <f aca="false">IF($P1564="","",INDEX(BookRate,1559)*$P1564)</f>
        <v/>
      </c>
      <c r="T1564" s="35" t="str">
        <f aca="false">IF($R1564="","",$R1564-$K1564)</f>
        <v/>
      </c>
      <c r="U1564" s="35" t="str">
        <f aca="false">IF(N($P1564)&lt;=0,"",COUNTIF($P$6:$P1564,"&gt;0"))</f>
        <v/>
      </c>
    </row>
    <row r="1565" customFormat="false" ht="15" hidden="false" customHeight="false" outlineLevel="0" collapsed="false">
      <c r="A1565" s="40" t="str">
        <f aca="false">IF(INDEX(BookTitle,1560)="","",INDEX(BookGroup,1560))</f>
        <v/>
      </c>
      <c r="B1565" s="40" t="str">
        <f aca="false">IF(INDEX(BookTitle,1560)="","",INDEX(BookRef,1560))</f>
        <v/>
      </c>
      <c r="C1565" s="40" t="str">
        <f aca="false">IF(INDEX(BookTitle,1560)="","",INDEX(BookDivision,1560))</f>
        <v/>
      </c>
      <c r="D1565" s="40" t="str">
        <f aca="false">IF(INDEX(BookTitle,1560)="","",INDEX(BookUnit,1560))</f>
        <v/>
      </c>
      <c r="E1565" s="40" t="str">
        <f aca="false">IF(INDEX(BookTitle,1560)="","",INDEX(BookTitle,1560))</f>
        <v/>
      </c>
      <c r="F1565" s="40" t="str">
        <f aca="false">IF(INDEX(BookTitle,1560)="","",INDEX(BookLevel,1560))</f>
        <v/>
      </c>
      <c r="G1565" s="40" t="str">
        <f aca="false">IF(INDEX(BookTitle,1560)="","",INDEX(BookCategory,1560))</f>
        <v/>
      </c>
      <c r="H1565" s="40" t="str">
        <f aca="false">IF(INDEX(BookTitle,1560)="","",INDEX(BookRank,1560))</f>
        <v/>
      </c>
      <c r="I1565" s="41" t="str">
        <f aca="false">IF(INDEX(BookTitle,1560)="","",INDEX(BookTotal,1560))</f>
        <v/>
      </c>
      <c r="J1565" s="0" t="str">
        <f aca="false">IF($I1565="","",IF(INDEX(BookQ1,1560)&gt;0,"Q1",IF(INDEX(BookQ2,1560)&gt;0,"Q2",IF(INDEX(BookQ3,1560)&gt;0,"Q3",IF(INDEX(BookQ4,1560)&gt;0,"Q4","")))))</f>
        <v/>
      </c>
      <c r="K1565" s="42" t="str">
        <f aca="false">IF(INDEX(BookTitle,1560)="","",INDEX(BookInYear,1560))</f>
        <v/>
      </c>
      <c r="L1565" s="19"/>
      <c r="M1565" s="39"/>
      <c r="N1565" s="19"/>
      <c r="O1565" s="19"/>
      <c r="P1565" s="43" t="str">
        <f aca="false">IF($E1565="","",IF($L1565="Decline",0,IF($L1565="Approve fewer",IF($M1565="","",$M1565),IF($L1565="","",$I1565))))</f>
        <v/>
      </c>
      <c r="Q1565" s="34" t="str">
        <f aca="false">IF($P1565="","",IF($N1565&lt;&gt;"",$N1565,$J1565))</f>
        <v/>
      </c>
      <c r="R1565" s="35" t="str">
        <f aca="false">IF(OR($P1565="",$Q1565=""),"",INDEX(BookRate,1560)*$P1565*(5-MATCH($Q1565,{"Q1";"Q2";"Q3";"Q4"},0))/4+INDEX(BookOneOff,1560)*$P1565)</f>
        <v/>
      </c>
      <c r="S1565" s="35" t="str">
        <f aca="false">IF($P1565="","",INDEX(BookRate,1560)*$P1565)</f>
        <v/>
      </c>
      <c r="T1565" s="35" t="str">
        <f aca="false">IF($R1565="","",$R1565-$K1565)</f>
        <v/>
      </c>
      <c r="U1565" s="35" t="str">
        <f aca="false">IF(N($P1565)&lt;=0,"",COUNTIF($P$6:$P1565,"&gt;0"))</f>
        <v/>
      </c>
    </row>
    <row r="1566" customFormat="false" ht="15" hidden="false" customHeight="false" outlineLevel="0" collapsed="false">
      <c r="A1566" s="40" t="str">
        <f aca="false">IF(INDEX(BookTitle,1561)="","",INDEX(BookGroup,1561))</f>
        <v/>
      </c>
      <c r="B1566" s="40" t="str">
        <f aca="false">IF(INDEX(BookTitle,1561)="","",INDEX(BookRef,1561))</f>
        <v/>
      </c>
      <c r="C1566" s="40" t="str">
        <f aca="false">IF(INDEX(BookTitle,1561)="","",INDEX(BookDivision,1561))</f>
        <v/>
      </c>
      <c r="D1566" s="40" t="str">
        <f aca="false">IF(INDEX(BookTitle,1561)="","",INDEX(BookUnit,1561))</f>
        <v/>
      </c>
      <c r="E1566" s="40" t="str">
        <f aca="false">IF(INDEX(BookTitle,1561)="","",INDEX(BookTitle,1561))</f>
        <v/>
      </c>
      <c r="F1566" s="40" t="str">
        <f aca="false">IF(INDEX(BookTitle,1561)="","",INDEX(BookLevel,1561))</f>
        <v/>
      </c>
      <c r="G1566" s="40" t="str">
        <f aca="false">IF(INDEX(BookTitle,1561)="","",INDEX(BookCategory,1561))</f>
        <v/>
      </c>
      <c r="H1566" s="40" t="str">
        <f aca="false">IF(INDEX(BookTitle,1561)="","",INDEX(BookRank,1561))</f>
        <v/>
      </c>
      <c r="I1566" s="41" t="str">
        <f aca="false">IF(INDEX(BookTitle,1561)="","",INDEX(BookTotal,1561))</f>
        <v/>
      </c>
      <c r="J1566" s="0" t="str">
        <f aca="false">IF($I1566="","",IF(INDEX(BookQ1,1561)&gt;0,"Q1",IF(INDEX(BookQ2,1561)&gt;0,"Q2",IF(INDEX(BookQ3,1561)&gt;0,"Q3",IF(INDEX(BookQ4,1561)&gt;0,"Q4","")))))</f>
        <v/>
      </c>
      <c r="K1566" s="42" t="str">
        <f aca="false">IF(INDEX(BookTitle,1561)="","",INDEX(BookInYear,1561))</f>
        <v/>
      </c>
      <c r="L1566" s="19"/>
      <c r="M1566" s="39"/>
      <c r="N1566" s="19"/>
      <c r="O1566" s="19"/>
      <c r="P1566" s="43" t="str">
        <f aca="false">IF($E1566="","",IF($L1566="Decline",0,IF($L1566="Approve fewer",IF($M1566="","",$M1566),IF($L1566="","",$I1566))))</f>
        <v/>
      </c>
      <c r="Q1566" s="34" t="str">
        <f aca="false">IF($P1566="","",IF($N1566&lt;&gt;"",$N1566,$J1566))</f>
        <v/>
      </c>
      <c r="R1566" s="35" t="str">
        <f aca="false">IF(OR($P1566="",$Q1566=""),"",INDEX(BookRate,1561)*$P1566*(5-MATCH($Q1566,{"Q1";"Q2";"Q3";"Q4"},0))/4+INDEX(BookOneOff,1561)*$P1566)</f>
        <v/>
      </c>
      <c r="S1566" s="35" t="str">
        <f aca="false">IF($P1566="","",INDEX(BookRate,1561)*$P1566)</f>
        <v/>
      </c>
      <c r="T1566" s="35" t="str">
        <f aca="false">IF($R1566="","",$R1566-$K1566)</f>
        <v/>
      </c>
      <c r="U1566" s="35" t="str">
        <f aca="false">IF(N($P1566)&lt;=0,"",COUNTIF($P$6:$P1566,"&gt;0"))</f>
        <v/>
      </c>
    </row>
    <row r="1567" customFormat="false" ht="15" hidden="false" customHeight="false" outlineLevel="0" collapsed="false">
      <c r="A1567" s="40" t="str">
        <f aca="false">IF(INDEX(BookTitle,1562)="","",INDEX(BookGroup,1562))</f>
        <v/>
      </c>
      <c r="B1567" s="40" t="str">
        <f aca="false">IF(INDEX(BookTitle,1562)="","",INDEX(BookRef,1562))</f>
        <v/>
      </c>
      <c r="C1567" s="40" t="str">
        <f aca="false">IF(INDEX(BookTitle,1562)="","",INDEX(BookDivision,1562))</f>
        <v/>
      </c>
      <c r="D1567" s="40" t="str">
        <f aca="false">IF(INDEX(BookTitle,1562)="","",INDEX(BookUnit,1562))</f>
        <v/>
      </c>
      <c r="E1567" s="40" t="str">
        <f aca="false">IF(INDEX(BookTitle,1562)="","",INDEX(BookTitle,1562))</f>
        <v/>
      </c>
      <c r="F1567" s="40" t="str">
        <f aca="false">IF(INDEX(BookTitle,1562)="","",INDEX(BookLevel,1562))</f>
        <v/>
      </c>
      <c r="G1567" s="40" t="str">
        <f aca="false">IF(INDEX(BookTitle,1562)="","",INDEX(BookCategory,1562))</f>
        <v/>
      </c>
      <c r="H1567" s="40" t="str">
        <f aca="false">IF(INDEX(BookTitle,1562)="","",INDEX(BookRank,1562))</f>
        <v/>
      </c>
      <c r="I1567" s="41" t="str">
        <f aca="false">IF(INDEX(BookTitle,1562)="","",INDEX(BookTotal,1562))</f>
        <v/>
      </c>
      <c r="J1567" s="0" t="str">
        <f aca="false">IF($I1567="","",IF(INDEX(BookQ1,1562)&gt;0,"Q1",IF(INDEX(BookQ2,1562)&gt;0,"Q2",IF(INDEX(BookQ3,1562)&gt;0,"Q3",IF(INDEX(BookQ4,1562)&gt;0,"Q4","")))))</f>
        <v/>
      </c>
      <c r="K1567" s="42" t="str">
        <f aca="false">IF(INDEX(BookTitle,1562)="","",INDEX(BookInYear,1562))</f>
        <v/>
      </c>
      <c r="L1567" s="19"/>
      <c r="M1567" s="39"/>
      <c r="N1567" s="19"/>
      <c r="O1567" s="19"/>
      <c r="P1567" s="43" t="str">
        <f aca="false">IF($E1567="","",IF($L1567="Decline",0,IF($L1567="Approve fewer",IF($M1567="","",$M1567),IF($L1567="","",$I1567))))</f>
        <v/>
      </c>
      <c r="Q1567" s="34" t="str">
        <f aca="false">IF($P1567="","",IF($N1567&lt;&gt;"",$N1567,$J1567))</f>
        <v/>
      </c>
      <c r="R1567" s="35" t="str">
        <f aca="false">IF(OR($P1567="",$Q1567=""),"",INDEX(BookRate,1562)*$P1567*(5-MATCH($Q1567,{"Q1";"Q2";"Q3";"Q4"},0))/4+INDEX(BookOneOff,1562)*$P1567)</f>
        <v/>
      </c>
      <c r="S1567" s="35" t="str">
        <f aca="false">IF($P1567="","",INDEX(BookRate,1562)*$P1567)</f>
        <v/>
      </c>
      <c r="T1567" s="35" t="str">
        <f aca="false">IF($R1567="","",$R1567-$K1567)</f>
        <v/>
      </c>
      <c r="U1567" s="35" t="str">
        <f aca="false">IF(N($P1567)&lt;=0,"",COUNTIF($P$6:$P1567,"&gt;0"))</f>
        <v/>
      </c>
    </row>
    <row r="1568" customFormat="false" ht="15" hidden="false" customHeight="false" outlineLevel="0" collapsed="false">
      <c r="A1568" s="40" t="str">
        <f aca="false">IF(INDEX(BookTitle,1563)="","",INDEX(BookGroup,1563))</f>
        <v/>
      </c>
      <c r="B1568" s="40" t="str">
        <f aca="false">IF(INDEX(BookTitle,1563)="","",INDEX(BookRef,1563))</f>
        <v/>
      </c>
      <c r="C1568" s="40" t="str">
        <f aca="false">IF(INDEX(BookTitle,1563)="","",INDEX(BookDivision,1563))</f>
        <v/>
      </c>
      <c r="D1568" s="40" t="str">
        <f aca="false">IF(INDEX(BookTitle,1563)="","",INDEX(BookUnit,1563))</f>
        <v/>
      </c>
      <c r="E1568" s="40" t="str">
        <f aca="false">IF(INDEX(BookTitle,1563)="","",INDEX(BookTitle,1563))</f>
        <v/>
      </c>
      <c r="F1568" s="40" t="str">
        <f aca="false">IF(INDEX(BookTitle,1563)="","",INDEX(BookLevel,1563))</f>
        <v/>
      </c>
      <c r="G1568" s="40" t="str">
        <f aca="false">IF(INDEX(BookTitle,1563)="","",INDEX(BookCategory,1563))</f>
        <v/>
      </c>
      <c r="H1568" s="40" t="str">
        <f aca="false">IF(INDEX(BookTitle,1563)="","",INDEX(BookRank,1563))</f>
        <v/>
      </c>
      <c r="I1568" s="41" t="str">
        <f aca="false">IF(INDEX(BookTitle,1563)="","",INDEX(BookTotal,1563))</f>
        <v/>
      </c>
      <c r="J1568" s="0" t="str">
        <f aca="false">IF($I1568="","",IF(INDEX(BookQ1,1563)&gt;0,"Q1",IF(INDEX(BookQ2,1563)&gt;0,"Q2",IF(INDEX(BookQ3,1563)&gt;0,"Q3",IF(INDEX(BookQ4,1563)&gt;0,"Q4","")))))</f>
        <v/>
      </c>
      <c r="K1568" s="42" t="str">
        <f aca="false">IF(INDEX(BookTitle,1563)="","",INDEX(BookInYear,1563))</f>
        <v/>
      </c>
      <c r="L1568" s="19"/>
      <c r="M1568" s="39"/>
      <c r="N1568" s="19"/>
      <c r="O1568" s="19"/>
      <c r="P1568" s="43" t="str">
        <f aca="false">IF($E1568="","",IF($L1568="Decline",0,IF($L1568="Approve fewer",IF($M1568="","",$M1568),IF($L1568="","",$I1568))))</f>
        <v/>
      </c>
      <c r="Q1568" s="34" t="str">
        <f aca="false">IF($P1568="","",IF($N1568&lt;&gt;"",$N1568,$J1568))</f>
        <v/>
      </c>
      <c r="R1568" s="35" t="str">
        <f aca="false">IF(OR($P1568="",$Q1568=""),"",INDEX(BookRate,1563)*$P1568*(5-MATCH($Q1568,{"Q1";"Q2";"Q3";"Q4"},0))/4+INDEX(BookOneOff,1563)*$P1568)</f>
        <v/>
      </c>
      <c r="S1568" s="35" t="str">
        <f aca="false">IF($P1568="","",INDEX(BookRate,1563)*$P1568)</f>
        <v/>
      </c>
      <c r="T1568" s="35" t="str">
        <f aca="false">IF($R1568="","",$R1568-$K1568)</f>
        <v/>
      </c>
      <c r="U1568" s="35" t="str">
        <f aca="false">IF(N($P1568)&lt;=0,"",COUNTIF($P$6:$P1568,"&gt;0"))</f>
        <v/>
      </c>
    </row>
    <row r="1569" customFormat="false" ht="15" hidden="false" customHeight="false" outlineLevel="0" collapsed="false">
      <c r="A1569" s="40" t="str">
        <f aca="false">IF(INDEX(BookTitle,1564)="","",INDEX(BookGroup,1564))</f>
        <v/>
      </c>
      <c r="B1569" s="40" t="str">
        <f aca="false">IF(INDEX(BookTitle,1564)="","",INDEX(BookRef,1564))</f>
        <v/>
      </c>
      <c r="C1569" s="40" t="str">
        <f aca="false">IF(INDEX(BookTitle,1564)="","",INDEX(BookDivision,1564))</f>
        <v/>
      </c>
      <c r="D1569" s="40" t="str">
        <f aca="false">IF(INDEX(BookTitle,1564)="","",INDEX(BookUnit,1564))</f>
        <v/>
      </c>
      <c r="E1569" s="40" t="str">
        <f aca="false">IF(INDEX(BookTitle,1564)="","",INDEX(BookTitle,1564))</f>
        <v/>
      </c>
      <c r="F1569" s="40" t="str">
        <f aca="false">IF(INDEX(BookTitle,1564)="","",INDEX(BookLevel,1564))</f>
        <v/>
      </c>
      <c r="G1569" s="40" t="str">
        <f aca="false">IF(INDEX(BookTitle,1564)="","",INDEX(BookCategory,1564))</f>
        <v/>
      </c>
      <c r="H1569" s="40" t="str">
        <f aca="false">IF(INDEX(BookTitle,1564)="","",INDEX(BookRank,1564))</f>
        <v/>
      </c>
      <c r="I1569" s="41" t="str">
        <f aca="false">IF(INDEX(BookTitle,1564)="","",INDEX(BookTotal,1564))</f>
        <v/>
      </c>
      <c r="J1569" s="0" t="str">
        <f aca="false">IF($I1569="","",IF(INDEX(BookQ1,1564)&gt;0,"Q1",IF(INDEX(BookQ2,1564)&gt;0,"Q2",IF(INDEX(BookQ3,1564)&gt;0,"Q3",IF(INDEX(BookQ4,1564)&gt;0,"Q4","")))))</f>
        <v/>
      </c>
      <c r="K1569" s="42" t="str">
        <f aca="false">IF(INDEX(BookTitle,1564)="","",INDEX(BookInYear,1564))</f>
        <v/>
      </c>
      <c r="L1569" s="19"/>
      <c r="M1569" s="39"/>
      <c r="N1569" s="19"/>
      <c r="O1569" s="19"/>
      <c r="P1569" s="43" t="str">
        <f aca="false">IF($E1569="","",IF($L1569="Decline",0,IF($L1569="Approve fewer",IF($M1569="","",$M1569),IF($L1569="","",$I1569))))</f>
        <v/>
      </c>
      <c r="Q1569" s="34" t="str">
        <f aca="false">IF($P1569="","",IF($N1569&lt;&gt;"",$N1569,$J1569))</f>
        <v/>
      </c>
      <c r="R1569" s="35" t="str">
        <f aca="false">IF(OR($P1569="",$Q1569=""),"",INDEX(BookRate,1564)*$P1569*(5-MATCH($Q1569,{"Q1";"Q2";"Q3";"Q4"},0))/4+INDEX(BookOneOff,1564)*$P1569)</f>
        <v/>
      </c>
      <c r="S1569" s="35" t="str">
        <f aca="false">IF($P1569="","",INDEX(BookRate,1564)*$P1569)</f>
        <v/>
      </c>
      <c r="T1569" s="35" t="str">
        <f aca="false">IF($R1569="","",$R1569-$K1569)</f>
        <v/>
      </c>
      <c r="U1569" s="35" t="str">
        <f aca="false">IF(N($P1569)&lt;=0,"",COUNTIF($P$6:$P1569,"&gt;0"))</f>
        <v/>
      </c>
    </row>
    <row r="1570" customFormat="false" ht="15" hidden="false" customHeight="false" outlineLevel="0" collapsed="false">
      <c r="A1570" s="40" t="str">
        <f aca="false">IF(INDEX(BookTitle,1565)="","",INDEX(BookGroup,1565))</f>
        <v/>
      </c>
      <c r="B1570" s="40" t="str">
        <f aca="false">IF(INDEX(BookTitle,1565)="","",INDEX(BookRef,1565))</f>
        <v/>
      </c>
      <c r="C1570" s="40" t="str">
        <f aca="false">IF(INDEX(BookTitle,1565)="","",INDEX(BookDivision,1565))</f>
        <v/>
      </c>
      <c r="D1570" s="40" t="str">
        <f aca="false">IF(INDEX(BookTitle,1565)="","",INDEX(BookUnit,1565))</f>
        <v/>
      </c>
      <c r="E1570" s="40" t="str">
        <f aca="false">IF(INDEX(BookTitle,1565)="","",INDEX(BookTitle,1565))</f>
        <v/>
      </c>
      <c r="F1570" s="40" t="str">
        <f aca="false">IF(INDEX(BookTitle,1565)="","",INDEX(BookLevel,1565))</f>
        <v/>
      </c>
      <c r="G1570" s="40" t="str">
        <f aca="false">IF(INDEX(BookTitle,1565)="","",INDEX(BookCategory,1565))</f>
        <v/>
      </c>
      <c r="H1570" s="40" t="str">
        <f aca="false">IF(INDEX(BookTitle,1565)="","",INDEX(BookRank,1565))</f>
        <v/>
      </c>
      <c r="I1570" s="41" t="str">
        <f aca="false">IF(INDEX(BookTitle,1565)="","",INDEX(BookTotal,1565))</f>
        <v/>
      </c>
      <c r="J1570" s="0" t="str">
        <f aca="false">IF($I1570="","",IF(INDEX(BookQ1,1565)&gt;0,"Q1",IF(INDEX(BookQ2,1565)&gt;0,"Q2",IF(INDEX(BookQ3,1565)&gt;0,"Q3",IF(INDEX(BookQ4,1565)&gt;0,"Q4","")))))</f>
        <v/>
      </c>
      <c r="K1570" s="42" t="str">
        <f aca="false">IF(INDEX(BookTitle,1565)="","",INDEX(BookInYear,1565))</f>
        <v/>
      </c>
      <c r="L1570" s="19"/>
      <c r="M1570" s="39"/>
      <c r="N1570" s="19"/>
      <c r="O1570" s="19"/>
      <c r="P1570" s="43" t="str">
        <f aca="false">IF($E1570="","",IF($L1570="Decline",0,IF($L1570="Approve fewer",IF($M1570="","",$M1570),IF($L1570="","",$I1570))))</f>
        <v/>
      </c>
      <c r="Q1570" s="34" t="str">
        <f aca="false">IF($P1570="","",IF($N1570&lt;&gt;"",$N1570,$J1570))</f>
        <v/>
      </c>
      <c r="R1570" s="35" t="str">
        <f aca="false">IF(OR($P1570="",$Q1570=""),"",INDEX(BookRate,1565)*$P1570*(5-MATCH($Q1570,{"Q1";"Q2";"Q3";"Q4"},0))/4+INDEX(BookOneOff,1565)*$P1570)</f>
        <v/>
      </c>
      <c r="S1570" s="35" t="str">
        <f aca="false">IF($P1570="","",INDEX(BookRate,1565)*$P1570)</f>
        <v/>
      </c>
      <c r="T1570" s="35" t="str">
        <f aca="false">IF($R1570="","",$R1570-$K1570)</f>
        <v/>
      </c>
      <c r="U1570" s="35" t="str">
        <f aca="false">IF(N($P1570)&lt;=0,"",COUNTIF($P$6:$P1570,"&gt;0"))</f>
        <v/>
      </c>
    </row>
    <row r="1571" customFormat="false" ht="15" hidden="false" customHeight="false" outlineLevel="0" collapsed="false">
      <c r="A1571" s="40" t="str">
        <f aca="false">IF(INDEX(BookTitle,1566)="","",INDEX(BookGroup,1566))</f>
        <v/>
      </c>
      <c r="B1571" s="40" t="str">
        <f aca="false">IF(INDEX(BookTitle,1566)="","",INDEX(BookRef,1566))</f>
        <v/>
      </c>
      <c r="C1571" s="40" t="str">
        <f aca="false">IF(INDEX(BookTitle,1566)="","",INDEX(BookDivision,1566))</f>
        <v/>
      </c>
      <c r="D1571" s="40" t="str">
        <f aca="false">IF(INDEX(BookTitle,1566)="","",INDEX(BookUnit,1566))</f>
        <v/>
      </c>
      <c r="E1571" s="40" t="str">
        <f aca="false">IF(INDEX(BookTitle,1566)="","",INDEX(BookTitle,1566))</f>
        <v/>
      </c>
      <c r="F1571" s="40" t="str">
        <f aca="false">IF(INDEX(BookTitle,1566)="","",INDEX(BookLevel,1566))</f>
        <v/>
      </c>
      <c r="G1571" s="40" t="str">
        <f aca="false">IF(INDEX(BookTitle,1566)="","",INDEX(BookCategory,1566))</f>
        <v/>
      </c>
      <c r="H1571" s="40" t="str">
        <f aca="false">IF(INDEX(BookTitle,1566)="","",INDEX(BookRank,1566))</f>
        <v/>
      </c>
      <c r="I1571" s="41" t="str">
        <f aca="false">IF(INDEX(BookTitle,1566)="","",INDEX(BookTotal,1566))</f>
        <v/>
      </c>
      <c r="J1571" s="0" t="str">
        <f aca="false">IF($I1571="","",IF(INDEX(BookQ1,1566)&gt;0,"Q1",IF(INDEX(BookQ2,1566)&gt;0,"Q2",IF(INDEX(BookQ3,1566)&gt;0,"Q3",IF(INDEX(BookQ4,1566)&gt;0,"Q4","")))))</f>
        <v/>
      </c>
      <c r="K1571" s="42" t="str">
        <f aca="false">IF(INDEX(BookTitle,1566)="","",INDEX(BookInYear,1566))</f>
        <v/>
      </c>
      <c r="L1571" s="19"/>
      <c r="M1571" s="39"/>
      <c r="N1571" s="19"/>
      <c r="O1571" s="19"/>
      <c r="P1571" s="43" t="str">
        <f aca="false">IF($E1571="","",IF($L1571="Decline",0,IF($L1571="Approve fewer",IF($M1571="","",$M1571),IF($L1571="","",$I1571))))</f>
        <v/>
      </c>
      <c r="Q1571" s="34" t="str">
        <f aca="false">IF($P1571="","",IF($N1571&lt;&gt;"",$N1571,$J1571))</f>
        <v/>
      </c>
      <c r="R1571" s="35" t="str">
        <f aca="false">IF(OR($P1571="",$Q1571=""),"",INDEX(BookRate,1566)*$P1571*(5-MATCH($Q1571,{"Q1";"Q2";"Q3";"Q4"},0))/4+INDEX(BookOneOff,1566)*$P1571)</f>
        <v/>
      </c>
      <c r="S1571" s="35" t="str">
        <f aca="false">IF($P1571="","",INDEX(BookRate,1566)*$P1571)</f>
        <v/>
      </c>
      <c r="T1571" s="35" t="str">
        <f aca="false">IF($R1571="","",$R1571-$K1571)</f>
        <v/>
      </c>
      <c r="U1571" s="35" t="str">
        <f aca="false">IF(N($P1571)&lt;=0,"",COUNTIF($P$6:$P1571,"&gt;0"))</f>
        <v/>
      </c>
    </row>
    <row r="1572" customFormat="false" ht="15" hidden="false" customHeight="false" outlineLevel="0" collapsed="false">
      <c r="A1572" s="40" t="str">
        <f aca="false">IF(INDEX(BookTitle,1567)="","",INDEX(BookGroup,1567))</f>
        <v/>
      </c>
      <c r="B1572" s="40" t="str">
        <f aca="false">IF(INDEX(BookTitle,1567)="","",INDEX(BookRef,1567))</f>
        <v/>
      </c>
      <c r="C1572" s="40" t="str">
        <f aca="false">IF(INDEX(BookTitle,1567)="","",INDEX(BookDivision,1567))</f>
        <v/>
      </c>
      <c r="D1572" s="40" t="str">
        <f aca="false">IF(INDEX(BookTitle,1567)="","",INDEX(BookUnit,1567))</f>
        <v/>
      </c>
      <c r="E1572" s="40" t="str">
        <f aca="false">IF(INDEX(BookTitle,1567)="","",INDEX(BookTitle,1567))</f>
        <v/>
      </c>
      <c r="F1572" s="40" t="str">
        <f aca="false">IF(INDEX(BookTitle,1567)="","",INDEX(BookLevel,1567))</f>
        <v/>
      </c>
      <c r="G1572" s="40" t="str">
        <f aca="false">IF(INDEX(BookTitle,1567)="","",INDEX(BookCategory,1567))</f>
        <v/>
      </c>
      <c r="H1572" s="40" t="str">
        <f aca="false">IF(INDEX(BookTitle,1567)="","",INDEX(BookRank,1567))</f>
        <v/>
      </c>
      <c r="I1572" s="41" t="str">
        <f aca="false">IF(INDEX(BookTitle,1567)="","",INDEX(BookTotal,1567))</f>
        <v/>
      </c>
      <c r="J1572" s="0" t="str">
        <f aca="false">IF($I1572="","",IF(INDEX(BookQ1,1567)&gt;0,"Q1",IF(INDEX(BookQ2,1567)&gt;0,"Q2",IF(INDEX(BookQ3,1567)&gt;0,"Q3",IF(INDEX(BookQ4,1567)&gt;0,"Q4","")))))</f>
        <v/>
      </c>
      <c r="K1572" s="42" t="str">
        <f aca="false">IF(INDEX(BookTitle,1567)="","",INDEX(BookInYear,1567))</f>
        <v/>
      </c>
      <c r="L1572" s="19"/>
      <c r="M1572" s="39"/>
      <c r="N1572" s="19"/>
      <c r="O1572" s="19"/>
      <c r="P1572" s="43" t="str">
        <f aca="false">IF($E1572="","",IF($L1572="Decline",0,IF($L1572="Approve fewer",IF($M1572="","",$M1572),IF($L1572="","",$I1572))))</f>
        <v/>
      </c>
      <c r="Q1572" s="34" t="str">
        <f aca="false">IF($P1572="","",IF($N1572&lt;&gt;"",$N1572,$J1572))</f>
        <v/>
      </c>
      <c r="R1572" s="35" t="str">
        <f aca="false">IF(OR($P1572="",$Q1572=""),"",INDEX(BookRate,1567)*$P1572*(5-MATCH($Q1572,{"Q1";"Q2";"Q3";"Q4"},0))/4+INDEX(BookOneOff,1567)*$P1572)</f>
        <v/>
      </c>
      <c r="S1572" s="35" t="str">
        <f aca="false">IF($P1572="","",INDEX(BookRate,1567)*$P1572)</f>
        <v/>
      </c>
      <c r="T1572" s="35" t="str">
        <f aca="false">IF($R1572="","",$R1572-$K1572)</f>
        <v/>
      </c>
      <c r="U1572" s="35" t="str">
        <f aca="false">IF(N($P1572)&lt;=0,"",COUNTIF($P$6:$P1572,"&gt;0"))</f>
        <v/>
      </c>
    </row>
    <row r="1573" customFormat="false" ht="15" hidden="false" customHeight="false" outlineLevel="0" collapsed="false">
      <c r="A1573" s="40" t="str">
        <f aca="false">IF(INDEX(BookTitle,1568)="","",INDEX(BookGroup,1568))</f>
        <v/>
      </c>
      <c r="B1573" s="40" t="str">
        <f aca="false">IF(INDEX(BookTitle,1568)="","",INDEX(BookRef,1568))</f>
        <v/>
      </c>
      <c r="C1573" s="40" t="str">
        <f aca="false">IF(INDEX(BookTitle,1568)="","",INDEX(BookDivision,1568))</f>
        <v/>
      </c>
      <c r="D1573" s="40" t="str">
        <f aca="false">IF(INDEX(BookTitle,1568)="","",INDEX(BookUnit,1568))</f>
        <v/>
      </c>
      <c r="E1573" s="40" t="str">
        <f aca="false">IF(INDEX(BookTitle,1568)="","",INDEX(BookTitle,1568))</f>
        <v/>
      </c>
      <c r="F1573" s="40" t="str">
        <f aca="false">IF(INDEX(BookTitle,1568)="","",INDEX(BookLevel,1568))</f>
        <v/>
      </c>
      <c r="G1573" s="40" t="str">
        <f aca="false">IF(INDEX(BookTitle,1568)="","",INDEX(BookCategory,1568))</f>
        <v/>
      </c>
      <c r="H1573" s="40" t="str">
        <f aca="false">IF(INDEX(BookTitle,1568)="","",INDEX(BookRank,1568))</f>
        <v/>
      </c>
      <c r="I1573" s="41" t="str">
        <f aca="false">IF(INDEX(BookTitle,1568)="","",INDEX(BookTotal,1568))</f>
        <v/>
      </c>
      <c r="J1573" s="0" t="str">
        <f aca="false">IF($I1573="","",IF(INDEX(BookQ1,1568)&gt;0,"Q1",IF(INDEX(BookQ2,1568)&gt;0,"Q2",IF(INDEX(BookQ3,1568)&gt;0,"Q3",IF(INDEX(BookQ4,1568)&gt;0,"Q4","")))))</f>
        <v/>
      </c>
      <c r="K1573" s="42" t="str">
        <f aca="false">IF(INDEX(BookTitle,1568)="","",INDEX(BookInYear,1568))</f>
        <v/>
      </c>
      <c r="L1573" s="19"/>
      <c r="M1573" s="39"/>
      <c r="N1573" s="19"/>
      <c r="O1573" s="19"/>
      <c r="P1573" s="43" t="str">
        <f aca="false">IF($E1573="","",IF($L1573="Decline",0,IF($L1573="Approve fewer",IF($M1573="","",$M1573),IF($L1573="","",$I1573))))</f>
        <v/>
      </c>
      <c r="Q1573" s="34" t="str">
        <f aca="false">IF($P1573="","",IF($N1573&lt;&gt;"",$N1573,$J1573))</f>
        <v/>
      </c>
      <c r="R1573" s="35" t="str">
        <f aca="false">IF(OR($P1573="",$Q1573=""),"",INDEX(BookRate,1568)*$P1573*(5-MATCH($Q1573,{"Q1";"Q2";"Q3";"Q4"},0))/4+INDEX(BookOneOff,1568)*$P1573)</f>
        <v/>
      </c>
      <c r="S1573" s="35" t="str">
        <f aca="false">IF($P1573="","",INDEX(BookRate,1568)*$P1573)</f>
        <v/>
      </c>
      <c r="T1573" s="35" t="str">
        <f aca="false">IF($R1573="","",$R1573-$K1573)</f>
        <v/>
      </c>
      <c r="U1573" s="35" t="str">
        <f aca="false">IF(N($P1573)&lt;=0,"",COUNTIF($P$6:$P1573,"&gt;0"))</f>
        <v/>
      </c>
    </row>
    <row r="1574" customFormat="false" ht="15" hidden="false" customHeight="false" outlineLevel="0" collapsed="false">
      <c r="A1574" s="40" t="str">
        <f aca="false">IF(INDEX(BookTitle,1569)="","",INDEX(BookGroup,1569))</f>
        <v/>
      </c>
      <c r="B1574" s="40" t="str">
        <f aca="false">IF(INDEX(BookTitle,1569)="","",INDEX(BookRef,1569))</f>
        <v/>
      </c>
      <c r="C1574" s="40" t="str">
        <f aca="false">IF(INDEX(BookTitle,1569)="","",INDEX(BookDivision,1569))</f>
        <v/>
      </c>
      <c r="D1574" s="40" t="str">
        <f aca="false">IF(INDEX(BookTitle,1569)="","",INDEX(BookUnit,1569))</f>
        <v/>
      </c>
      <c r="E1574" s="40" t="str">
        <f aca="false">IF(INDEX(BookTitle,1569)="","",INDEX(BookTitle,1569))</f>
        <v/>
      </c>
      <c r="F1574" s="40" t="str">
        <f aca="false">IF(INDEX(BookTitle,1569)="","",INDEX(BookLevel,1569))</f>
        <v/>
      </c>
      <c r="G1574" s="40" t="str">
        <f aca="false">IF(INDEX(BookTitle,1569)="","",INDEX(BookCategory,1569))</f>
        <v/>
      </c>
      <c r="H1574" s="40" t="str">
        <f aca="false">IF(INDEX(BookTitle,1569)="","",INDEX(BookRank,1569))</f>
        <v/>
      </c>
      <c r="I1574" s="41" t="str">
        <f aca="false">IF(INDEX(BookTitle,1569)="","",INDEX(BookTotal,1569))</f>
        <v/>
      </c>
      <c r="J1574" s="0" t="str">
        <f aca="false">IF($I1574="","",IF(INDEX(BookQ1,1569)&gt;0,"Q1",IF(INDEX(BookQ2,1569)&gt;0,"Q2",IF(INDEX(BookQ3,1569)&gt;0,"Q3",IF(INDEX(BookQ4,1569)&gt;0,"Q4","")))))</f>
        <v/>
      </c>
      <c r="K1574" s="42" t="str">
        <f aca="false">IF(INDEX(BookTitle,1569)="","",INDEX(BookInYear,1569))</f>
        <v/>
      </c>
      <c r="L1574" s="19"/>
      <c r="M1574" s="39"/>
      <c r="N1574" s="19"/>
      <c r="O1574" s="19"/>
      <c r="P1574" s="43" t="str">
        <f aca="false">IF($E1574="","",IF($L1574="Decline",0,IF($L1574="Approve fewer",IF($M1574="","",$M1574),IF($L1574="","",$I1574))))</f>
        <v/>
      </c>
      <c r="Q1574" s="34" t="str">
        <f aca="false">IF($P1574="","",IF($N1574&lt;&gt;"",$N1574,$J1574))</f>
        <v/>
      </c>
      <c r="R1574" s="35" t="str">
        <f aca="false">IF(OR($P1574="",$Q1574=""),"",INDEX(BookRate,1569)*$P1574*(5-MATCH($Q1574,{"Q1";"Q2";"Q3";"Q4"},0))/4+INDEX(BookOneOff,1569)*$P1574)</f>
        <v/>
      </c>
      <c r="S1574" s="35" t="str">
        <f aca="false">IF($P1574="","",INDEX(BookRate,1569)*$P1574)</f>
        <v/>
      </c>
      <c r="T1574" s="35" t="str">
        <f aca="false">IF($R1574="","",$R1574-$K1574)</f>
        <v/>
      </c>
      <c r="U1574" s="35" t="str">
        <f aca="false">IF(N($P1574)&lt;=0,"",COUNTIF($P$6:$P1574,"&gt;0"))</f>
        <v/>
      </c>
    </row>
    <row r="1575" customFormat="false" ht="15" hidden="false" customHeight="false" outlineLevel="0" collapsed="false">
      <c r="A1575" s="40" t="str">
        <f aca="false">IF(INDEX(BookTitle,1570)="","",INDEX(BookGroup,1570))</f>
        <v/>
      </c>
      <c r="B1575" s="40" t="str">
        <f aca="false">IF(INDEX(BookTitle,1570)="","",INDEX(BookRef,1570))</f>
        <v/>
      </c>
      <c r="C1575" s="40" t="str">
        <f aca="false">IF(INDEX(BookTitle,1570)="","",INDEX(BookDivision,1570))</f>
        <v/>
      </c>
      <c r="D1575" s="40" t="str">
        <f aca="false">IF(INDEX(BookTitle,1570)="","",INDEX(BookUnit,1570))</f>
        <v/>
      </c>
      <c r="E1575" s="40" t="str">
        <f aca="false">IF(INDEX(BookTitle,1570)="","",INDEX(BookTitle,1570))</f>
        <v/>
      </c>
      <c r="F1575" s="40" t="str">
        <f aca="false">IF(INDEX(BookTitle,1570)="","",INDEX(BookLevel,1570))</f>
        <v/>
      </c>
      <c r="G1575" s="40" t="str">
        <f aca="false">IF(INDEX(BookTitle,1570)="","",INDEX(BookCategory,1570))</f>
        <v/>
      </c>
      <c r="H1575" s="40" t="str">
        <f aca="false">IF(INDEX(BookTitle,1570)="","",INDEX(BookRank,1570))</f>
        <v/>
      </c>
      <c r="I1575" s="41" t="str">
        <f aca="false">IF(INDEX(BookTitle,1570)="","",INDEX(BookTotal,1570))</f>
        <v/>
      </c>
      <c r="J1575" s="0" t="str">
        <f aca="false">IF($I1575="","",IF(INDEX(BookQ1,1570)&gt;0,"Q1",IF(INDEX(BookQ2,1570)&gt;0,"Q2",IF(INDEX(BookQ3,1570)&gt;0,"Q3",IF(INDEX(BookQ4,1570)&gt;0,"Q4","")))))</f>
        <v/>
      </c>
      <c r="K1575" s="42" t="str">
        <f aca="false">IF(INDEX(BookTitle,1570)="","",INDEX(BookInYear,1570))</f>
        <v/>
      </c>
      <c r="L1575" s="19"/>
      <c r="M1575" s="39"/>
      <c r="N1575" s="19"/>
      <c r="O1575" s="19"/>
      <c r="P1575" s="43" t="str">
        <f aca="false">IF($E1575="","",IF($L1575="Decline",0,IF($L1575="Approve fewer",IF($M1575="","",$M1575),IF($L1575="","",$I1575))))</f>
        <v/>
      </c>
      <c r="Q1575" s="34" t="str">
        <f aca="false">IF($P1575="","",IF($N1575&lt;&gt;"",$N1575,$J1575))</f>
        <v/>
      </c>
      <c r="R1575" s="35" t="str">
        <f aca="false">IF(OR($P1575="",$Q1575=""),"",INDEX(BookRate,1570)*$P1575*(5-MATCH($Q1575,{"Q1";"Q2";"Q3";"Q4"},0))/4+INDEX(BookOneOff,1570)*$P1575)</f>
        <v/>
      </c>
      <c r="S1575" s="35" t="str">
        <f aca="false">IF($P1575="","",INDEX(BookRate,1570)*$P1575)</f>
        <v/>
      </c>
      <c r="T1575" s="35" t="str">
        <f aca="false">IF($R1575="","",$R1575-$K1575)</f>
        <v/>
      </c>
      <c r="U1575" s="35" t="str">
        <f aca="false">IF(N($P1575)&lt;=0,"",COUNTIF($P$6:$P1575,"&gt;0"))</f>
        <v/>
      </c>
    </row>
    <row r="1576" customFormat="false" ht="15" hidden="false" customHeight="false" outlineLevel="0" collapsed="false">
      <c r="A1576" s="40" t="str">
        <f aca="false">IF(INDEX(BookTitle,1571)="","",INDEX(BookGroup,1571))</f>
        <v/>
      </c>
      <c r="B1576" s="40" t="str">
        <f aca="false">IF(INDEX(BookTitle,1571)="","",INDEX(BookRef,1571))</f>
        <v/>
      </c>
      <c r="C1576" s="40" t="str">
        <f aca="false">IF(INDEX(BookTitle,1571)="","",INDEX(BookDivision,1571))</f>
        <v/>
      </c>
      <c r="D1576" s="40" t="str">
        <f aca="false">IF(INDEX(BookTitle,1571)="","",INDEX(BookUnit,1571))</f>
        <v/>
      </c>
      <c r="E1576" s="40" t="str">
        <f aca="false">IF(INDEX(BookTitle,1571)="","",INDEX(BookTitle,1571))</f>
        <v/>
      </c>
      <c r="F1576" s="40" t="str">
        <f aca="false">IF(INDEX(BookTitle,1571)="","",INDEX(BookLevel,1571))</f>
        <v/>
      </c>
      <c r="G1576" s="40" t="str">
        <f aca="false">IF(INDEX(BookTitle,1571)="","",INDEX(BookCategory,1571))</f>
        <v/>
      </c>
      <c r="H1576" s="40" t="str">
        <f aca="false">IF(INDEX(BookTitle,1571)="","",INDEX(BookRank,1571))</f>
        <v/>
      </c>
      <c r="I1576" s="41" t="str">
        <f aca="false">IF(INDEX(BookTitle,1571)="","",INDEX(BookTotal,1571))</f>
        <v/>
      </c>
      <c r="J1576" s="0" t="str">
        <f aca="false">IF($I1576="","",IF(INDEX(BookQ1,1571)&gt;0,"Q1",IF(INDEX(BookQ2,1571)&gt;0,"Q2",IF(INDEX(BookQ3,1571)&gt;0,"Q3",IF(INDEX(BookQ4,1571)&gt;0,"Q4","")))))</f>
        <v/>
      </c>
      <c r="K1576" s="42" t="str">
        <f aca="false">IF(INDEX(BookTitle,1571)="","",INDEX(BookInYear,1571))</f>
        <v/>
      </c>
      <c r="L1576" s="19"/>
      <c r="M1576" s="39"/>
      <c r="N1576" s="19"/>
      <c r="O1576" s="19"/>
      <c r="P1576" s="43" t="str">
        <f aca="false">IF($E1576="","",IF($L1576="Decline",0,IF($L1576="Approve fewer",IF($M1576="","",$M1576),IF($L1576="","",$I1576))))</f>
        <v/>
      </c>
      <c r="Q1576" s="34" t="str">
        <f aca="false">IF($P1576="","",IF($N1576&lt;&gt;"",$N1576,$J1576))</f>
        <v/>
      </c>
      <c r="R1576" s="35" t="str">
        <f aca="false">IF(OR($P1576="",$Q1576=""),"",INDEX(BookRate,1571)*$P1576*(5-MATCH($Q1576,{"Q1";"Q2";"Q3";"Q4"},0))/4+INDEX(BookOneOff,1571)*$P1576)</f>
        <v/>
      </c>
      <c r="S1576" s="35" t="str">
        <f aca="false">IF($P1576="","",INDEX(BookRate,1571)*$P1576)</f>
        <v/>
      </c>
      <c r="T1576" s="35" t="str">
        <f aca="false">IF($R1576="","",$R1576-$K1576)</f>
        <v/>
      </c>
      <c r="U1576" s="35" t="str">
        <f aca="false">IF(N($P1576)&lt;=0,"",COUNTIF($P$6:$P1576,"&gt;0"))</f>
        <v/>
      </c>
    </row>
    <row r="1577" customFormat="false" ht="15" hidden="false" customHeight="false" outlineLevel="0" collapsed="false">
      <c r="A1577" s="40" t="str">
        <f aca="false">IF(INDEX(BookTitle,1572)="","",INDEX(BookGroup,1572))</f>
        <v/>
      </c>
      <c r="B1577" s="40" t="str">
        <f aca="false">IF(INDEX(BookTitle,1572)="","",INDEX(BookRef,1572))</f>
        <v/>
      </c>
      <c r="C1577" s="40" t="str">
        <f aca="false">IF(INDEX(BookTitle,1572)="","",INDEX(BookDivision,1572))</f>
        <v/>
      </c>
      <c r="D1577" s="40" t="str">
        <f aca="false">IF(INDEX(BookTitle,1572)="","",INDEX(BookUnit,1572))</f>
        <v/>
      </c>
      <c r="E1577" s="40" t="str">
        <f aca="false">IF(INDEX(BookTitle,1572)="","",INDEX(BookTitle,1572))</f>
        <v/>
      </c>
      <c r="F1577" s="40" t="str">
        <f aca="false">IF(INDEX(BookTitle,1572)="","",INDEX(BookLevel,1572))</f>
        <v/>
      </c>
      <c r="G1577" s="40" t="str">
        <f aca="false">IF(INDEX(BookTitle,1572)="","",INDEX(BookCategory,1572))</f>
        <v/>
      </c>
      <c r="H1577" s="40" t="str">
        <f aca="false">IF(INDEX(BookTitle,1572)="","",INDEX(BookRank,1572))</f>
        <v/>
      </c>
      <c r="I1577" s="41" t="str">
        <f aca="false">IF(INDEX(BookTitle,1572)="","",INDEX(BookTotal,1572))</f>
        <v/>
      </c>
      <c r="J1577" s="0" t="str">
        <f aca="false">IF($I1577="","",IF(INDEX(BookQ1,1572)&gt;0,"Q1",IF(INDEX(BookQ2,1572)&gt;0,"Q2",IF(INDEX(BookQ3,1572)&gt;0,"Q3",IF(INDEX(BookQ4,1572)&gt;0,"Q4","")))))</f>
        <v/>
      </c>
      <c r="K1577" s="42" t="str">
        <f aca="false">IF(INDEX(BookTitle,1572)="","",INDEX(BookInYear,1572))</f>
        <v/>
      </c>
      <c r="L1577" s="19"/>
      <c r="M1577" s="39"/>
      <c r="N1577" s="19"/>
      <c r="O1577" s="19"/>
      <c r="P1577" s="43" t="str">
        <f aca="false">IF($E1577="","",IF($L1577="Decline",0,IF($L1577="Approve fewer",IF($M1577="","",$M1577),IF($L1577="","",$I1577))))</f>
        <v/>
      </c>
      <c r="Q1577" s="34" t="str">
        <f aca="false">IF($P1577="","",IF($N1577&lt;&gt;"",$N1577,$J1577))</f>
        <v/>
      </c>
      <c r="R1577" s="35" t="str">
        <f aca="false">IF(OR($P1577="",$Q1577=""),"",INDEX(BookRate,1572)*$P1577*(5-MATCH($Q1577,{"Q1";"Q2";"Q3";"Q4"},0))/4+INDEX(BookOneOff,1572)*$P1577)</f>
        <v/>
      </c>
      <c r="S1577" s="35" t="str">
        <f aca="false">IF($P1577="","",INDEX(BookRate,1572)*$P1577)</f>
        <v/>
      </c>
      <c r="T1577" s="35" t="str">
        <f aca="false">IF($R1577="","",$R1577-$K1577)</f>
        <v/>
      </c>
      <c r="U1577" s="35" t="str">
        <f aca="false">IF(N($P1577)&lt;=0,"",COUNTIF($P$6:$P1577,"&gt;0"))</f>
        <v/>
      </c>
    </row>
    <row r="1578" customFormat="false" ht="15" hidden="false" customHeight="false" outlineLevel="0" collapsed="false">
      <c r="A1578" s="40" t="str">
        <f aca="false">IF(INDEX(BookTitle,1573)="","",INDEX(BookGroup,1573))</f>
        <v/>
      </c>
      <c r="B1578" s="40" t="str">
        <f aca="false">IF(INDEX(BookTitle,1573)="","",INDEX(BookRef,1573))</f>
        <v/>
      </c>
      <c r="C1578" s="40" t="str">
        <f aca="false">IF(INDEX(BookTitle,1573)="","",INDEX(BookDivision,1573))</f>
        <v/>
      </c>
      <c r="D1578" s="40" t="str">
        <f aca="false">IF(INDEX(BookTitle,1573)="","",INDEX(BookUnit,1573))</f>
        <v/>
      </c>
      <c r="E1578" s="40" t="str">
        <f aca="false">IF(INDEX(BookTitle,1573)="","",INDEX(BookTitle,1573))</f>
        <v/>
      </c>
      <c r="F1578" s="40" t="str">
        <f aca="false">IF(INDEX(BookTitle,1573)="","",INDEX(BookLevel,1573))</f>
        <v/>
      </c>
      <c r="G1578" s="40" t="str">
        <f aca="false">IF(INDEX(BookTitle,1573)="","",INDEX(BookCategory,1573))</f>
        <v/>
      </c>
      <c r="H1578" s="40" t="str">
        <f aca="false">IF(INDEX(BookTitle,1573)="","",INDEX(BookRank,1573))</f>
        <v/>
      </c>
      <c r="I1578" s="41" t="str">
        <f aca="false">IF(INDEX(BookTitle,1573)="","",INDEX(BookTotal,1573))</f>
        <v/>
      </c>
      <c r="J1578" s="0" t="str">
        <f aca="false">IF($I1578="","",IF(INDEX(BookQ1,1573)&gt;0,"Q1",IF(INDEX(BookQ2,1573)&gt;0,"Q2",IF(INDEX(BookQ3,1573)&gt;0,"Q3",IF(INDEX(BookQ4,1573)&gt;0,"Q4","")))))</f>
        <v/>
      </c>
      <c r="K1578" s="42" t="str">
        <f aca="false">IF(INDEX(BookTitle,1573)="","",INDEX(BookInYear,1573))</f>
        <v/>
      </c>
      <c r="L1578" s="19"/>
      <c r="M1578" s="39"/>
      <c r="N1578" s="19"/>
      <c r="O1578" s="19"/>
      <c r="P1578" s="43" t="str">
        <f aca="false">IF($E1578="","",IF($L1578="Decline",0,IF($L1578="Approve fewer",IF($M1578="","",$M1578),IF($L1578="","",$I1578))))</f>
        <v/>
      </c>
      <c r="Q1578" s="34" t="str">
        <f aca="false">IF($P1578="","",IF($N1578&lt;&gt;"",$N1578,$J1578))</f>
        <v/>
      </c>
      <c r="R1578" s="35" t="str">
        <f aca="false">IF(OR($P1578="",$Q1578=""),"",INDEX(BookRate,1573)*$P1578*(5-MATCH($Q1578,{"Q1";"Q2";"Q3";"Q4"},0))/4+INDEX(BookOneOff,1573)*$P1578)</f>
        <v/>
      </c>
      <c r="S1578" s="35" t="str">
        <f aca="false">IF($P1578="","",INDEX(BookRate,1573)*$P1578)</f>
        <v/>
      </c>
      <c r="T1578" s="35" t="str">
        <f aca="false">IF($R1578="","",$R1578-$K1578)</f>
        <v/>
      </c>
      <c r="U1578" s="35" t="str">
        <f aca="false">IF(N($P1578)&lt;=0,"",COUNTIF($P$6:$P1578,"&gt;0"))</f>
        <v/>
      </c>
    </row>
    <row r="1579" customFormat="false" ht="15" hidden="false" customHeight="false" outlineLevel="0" collapsed="false">
      <c r="A1579" s="40" t="str">
        <f aca="false">IF(INDEX(BookTitle,1574)="","",INDEX(BookGroup,1574))</f>
        <v/>
      </c>
      <c r="B1579" s="40" t="str">
        <f aca="false">IF(INDEX(BookTitle,1574)="","",INDEX(BookRef,1574))</f>
        <v/>
      </c>
      <c r="C1579" s="40" t="str">
        <f aca="false">IF(INDEX(BookTitle,1574)="","",INDEX(BookDivision,1574))</f>
        <v/>
      </c>
      <c r="D1579" s="40" t="str">
        <f aca="false">IF(INDEX(BookTitle,1574)="","",INDEX(BookUnit,1574))</f>
        <v/>
      </c>
      <c r="E1579" s="40" t="str">
        <f aca="false">IF(INDEX(BookTitle,1574)="","",INDEX(BookTitle,1574))</f>
        <v/>
      </c>
      <c r="F1579" s="40" t="str">
        <f aca="false">IF(INDEX(BookTitle,1574)="","",INDEX(BookLevel,1574))</f>
        <v/>
      </c>
      <c r="G1579" s="40" t="str">
        <f aca="false">IF(INDEX(BookTitle,1574)="","",INDEX(BookCategory,1574))</f>
        <v/>
      </c>
      <c r="H1579" s="40" t="str">
        <f aca="false">IF(INDEX(BookTitle,1574)="","",INDEX(BookRank,1574))</f>
        <v/>
      </c>
      <c r="I1579" s="41" t="str">
        <f aca="false">IF(INDEX(BookTitle,1574)="","",INDEX(BookTotal,1574))</f>
        <v/>
      </c>
      <c r="J1579" s="0" t="str">
        <f aca="false">IF($I1579="","",IF(INDEX(BookQ1,1574)&gt;0,"Q1",IF(INDEX(BookQ2,1574)&gt;0,"Q2",IF(INDEX(BookQ3,1574)&gt;0,"Q3",IF(INDEX(BookQ4,1574)&gt;0,"Q4","")))))</f>
        <v/>
      </c>
      <c r="K1579" s="42" t="str">
        <f aca="false">IF(INDEX(BookTitle,1574)="","",INDEX(BookInYear,1574))</f>
        <v/>
      </c>
      <c r="L1579" s="19"/>
      <c r="M1579" s="39"/>
      <c r="N1579" s="19"/>
      <c r="O1579" s="19"/>
      <c r="P1579" s="43" t="str">
        <f aca="false">IF($E1579="","",IF($L1579="Decline",0,IF($L1579="Approve fewer",IF($M1579="","",$M1579),IF($L1579="","",$I1579))))</f>
        <v/>
      </c>
      <c r="Q1579" s="34" t="str">
        <f aca="false">IF($P1579="","",IF($N1579&lt;&gt;"",$N1579,$J1579))</f>
        <v/>
      </c>
      <c r="R1579" s="35" t="str">
        <f aca="false">IF(OR($P1579="",$Q1579=""),"",INDEX(BookRate,1574)*$P1579*(5-MATCH($Q1579,{"Q1";"Q2";"Q3";"Q4"},0))/4+INDEX(BookOneOff,1574)*$P1579)</f>
        <v/>
      </c>
      <c r="S1579" s="35" t="str">
        <f aca="false">IF($P1579="","",INDEX(BookRate,1574)*$P1579)</f>
        <v/>
      </c>
      <c r="T1579" s="35" t="str">
        <f aca="false">IF($R1579="","",$R1579-$K1579)</f>
        <v/>
      </c>
      <c r="U1579" s="35" t="str">
        <f aca="false">IF(N($P1579)&lt;=0,"",COUNTIF($P$6:$P1579,"&gt;0"))</f>
        <v/>
      </c>
    </row>
    <row r="1580" customFormat="false" ht="15" hidden="false" customHeight="false" outlineLevel="0" collapsed="false">
      <c r="A1580" s="40" t="str">
        <f aca="false">IF(INDEX(BookTitle,1575)="","",INDEX(BookGroup,1575))</f>
        <v/>
      </c>
      <c r="B1580" s="40" t="str">
        <f aca="false">IF(INDEX(BookTitle,1575)="","",INDEX(BookRef,1575))</f>
        <v/>
      </c>
      <c r="C1580" s="40" t="str">
        <f aca="false">IF(INDEX(BookTitle,1575)="","",INDEX(BookDivision,1575))</f>
        <v/>
      </c>
      <c r="D1580" s="40" t="str">
        <f aca="false">IF(INDEX(BookTitle,1575)="","",INDEX(BookUnit,1575))</f>
        <v/>
      </c>
      <c r="E1580" s="40" t="str">
        <f aca="false">IF(INDEX(BookTitle,1575)="","",INDEX(BookTitle,1575))</f>
        <v/>
      </c>
      <c r="F1580" s="40" t="str">
        <f aca="false">IF(INDEX(BookTitle,1575)="","",INDEX(BookLevel,1575))</f>
        <v/>
      </c>
      <c r="G1580" s="40" t="str">
        <f aca="false">IF(INDEX(BookTitle,1575)="","",INDEX(BookCategory,1575))</f>
        <v/>
      </c>
      <c r="H1580" s="40" t="str">
        <f aca="false">IF(INDEX(BookTitle,1575)="","",INDEX(BookRank,1575))</f>
        <v/>
      </c>
      <c r="I1580" s="41" t="str">
        <f aca="false">IF(INDEX(BookTitle,1575)="","",INDEX(BookTotal,1575))</f>
        <v/>
      </c>
      <c r="J1580" s="0" t="str">
        <f aca="false">IF($I1580="","",IF(INDEX(BookQ1,1575)&gt;0,"Q1",IF(INDEX(BookQ2,1575)&gt;0,"Q2",IF(INDEX(BookQ3,1575)&gt;0,"Q3",IF(INDEX(BookQ4,1575)&gt;0,"Q4","")))))</f>
        <v/>
      </c>
      <c r="K1580" s="42" t="str">
        <f aca="false">IF(INDEX(BookTitle,1575)="","",INDEX(BookInYear,1575))</f>
        <v/>
      </c>
      <c r="L1580" s="19"/>
      <c r="M1580" s="39"/>
      <c r="N1580" s="19"/>
      <c r="O1580" s="19"/>
      <c r="P1580" s="43" t="str">
        <f aca="false">IF($E1580="","",IF($L1580="Decline",0,IF($L1580="Approve fewer",IF($M1580="","",$M1580),IF($L1580="","",$I1580))))</f>
        <v/>
      </c>
      <c r="Q1580" s="34" t="str">
        <f aca="false">IF($P1580="","",IF($N1580&lt;&gt;"",$N1580,$J1580))</f>
        <v/>
      </c>
      <c r="R1580" s="35" t="str">
        <f aca="false">IF(OR($P1580="",$Q1580=""),"",INDEX(BookRate,1575)*$P1580*(5-MATCH($Q1580,{"Q1";"Q2";"Q3";"Q4"},0))/4+INDEX(BookOneOff,1575)*$P1580)</f>
        <v/>
      </c>
      <c r="S1580" s="35" t="str">
        <f aca="false">IF($P1580="","",INDEX(BookRate,1575)*$P1580)</f>
        <v/>
      </c>
      <c r="T1580" s="35" t="str">
        <f aca="false">IF($R1580="","",$R1580-$K1580)</f>
        <v/>
      </c>
      <c r="U1580" s="35" t="str">
        <f aca="false">IF(N($P1580)&lt;=0,"",COUNTIF($P$6:$P1580,"&gt;0"))</f>
        <v/>
      </c>
    </row>
    <row r="1581" customFormat="false" ht="15" hidden="false" customHeight="false" outlineLevel="0" collapsed="false">
      <c r="A1581" s="40" t="str">
        <f aca="false">IF(INDEX(BookTitle,1576)="","",INDEX(BookGroup,1576))</f>
        <v/>
      </c>
      <c r="B1581" s="40" t="str">
        <f aca="false">IF(INDEX(BookTitle,1576)="","",INDEX(BookRef,1576))</f>
        <v/>
      </c>
      <c r="C1581" s="40" t="str">
        <f aca="false">IF(INDEX(BookTitle,1576)="","",INDEX(BookDivision,1576))</f>
        <v/>
      </c>
      <c r="D1581" s="40" t="str">
        <f aca="false">IF(INDEX(BookTitle,1576)="","",INDEX(BookUnit,1576))</f>
        <v/>
      </c>
      <c r="E1581" s="40" t="str">
        <f aca="false">IF(INDEX(BookTitle,1576)="","",INDEX(BookTitle,1576))</f>
        <v/>
      </c>
      <c r="F1581" s="40" t="str">
        <f aca="false">IF(INDEX(BookTitle,1576)="","",INDEX(BookLevel,1576))</f>
        <v/>
      </c>
      <c r="G1581" s="40" t="str">
        <f aca="false">IF(INDEX(BookTitle,1576)="","",INDEX(BookCategory,1576))</f>
        <v/>
      </c>
      <c r="H1581" s="40" t="str">
        <f aca="false">IF(INDEX(BookTitle,1576)="","",INDEX(BookRank,1576))</f>
        <v/>
      </c>
      <c r="I1581" s="41" t="str">
        <f aca="false">IF(INDEX(BookTitle,1576)="","",INDEX(BookTotal,1576))</f>
        <v/>
      </c>
      <c r="J1581" s="0" t="str">
        <f aca="false">IF($I1581="","",IF(INDEX(BookQ1,1576)&gt;0,"Q1",IF(INDEX(BookQ2,1576)&gt;0,"Q2",IF(INDEX(BookQ3,1576)&gt;0,"Q3",IF(INDEX(BookQ4,1576)&gt;0,"Q4","")))))</f>
        <v/>
      </c>
      <c r="K1581" s="42" t="str">
        <f aca="false">IF(INDEX(BookTitle,1576)="","",INDEX(BookInYear,1576))</f>
        <v/>
      </c>
      <c r="L1581" s="19"/>
      <c r="M1581" s="39"/>
      <c r="N1581" s="19"/>
      <c r="O1581" s="19"/>
      <c r="P1581" s="43" t="str">
        <f aca="false">IF($E1581="","",IF($L1581="Decline",0,IF($L1581="Approve fewer",IF($M1581="","",$M1581),IF($L1581="","",$I1581))))</f>
        <v/>
      </c>
      <c r="Q1581" s="34" t="str">
        <f aca="false">IF($P1581="","",IF($N1581&lt;&gt;"",$N1581,$J1581))</f>
        <v/>
      </c>
      <c r="R1581" s="35" t="str">
        <f aca="false">IF(OR($P1581="",$Q1581=""),"",INDEX(BookRate,1576)*$P1581*(5-MATCH($Q1581,{"Q1";"Q2";"Q3";"Q4"},0))/4+INDEX(BookOneOff,1576)*$P1581)</f>
        <v/>
      </c>
      <c r="S1581" s="35" t="str">
        <f aca="false">IF($P1581="","",INDEX(BookRate,1576)*$P1581)</f>
        <v/>
      </c>
      <c r="T1581" s="35" t="str">
        <f aca="false">IF($R1581="","",$R1581-$K1581)</f>
        <v/>
      </c>
      <c r="U1581" s="35" t="str">
        <f aca="false">IF(N($P1581)&lt;=0,"",COUNTIF($P$6:$P1581,"&gt;0"))</f>
        <v/>
      </c>
    </row>
    <row r="1582" customFormat="false" ht="15" hidden="false" customHeight="false" outlineLevel="0" collapsed="false">
      <c r="A1582" s="40" t="str">
        <f aca="false">IF(INDEX(BookTitle,1577)="","",INDEX(BookGroup,1577))</f>
        <v/>
      </c>
      <c r="B1582" s="40" t="str">
        <f aca="false">IF(INDEX(BookTitle,1577)="","",INDEX(BookRef,1577))</f>
        <v/>
      </c>
      <c r="C1582" s="40" t="str">
        <f aca="false">IF(INDEX(BookTitle,1577)="","",INDEX(BookDivision,1577))</f>
        <v/>
      </c>
      <c r="D1582" s="40" t="str">
        <f aca="false">IF(INDEX(BookTitle,1577)="","",INDEX(BookUnit,1577))</f>
        <v/>
      </c>
      <c r="E1582" s="40" t="str">
        <f aca="false">IF(INDEX(BookTitle,1577)="","",INDEX(BookTitle,1577))</f>
        <v/>
      </c>
      <c r="F1582" s="40" t="str">
        <f aca="false">IF(INDEX(BookTitle,1577)="","",INDEX(BookLevel,1577))</f>
        <v/>
      </c>
      <c r="G1582" s="40" t="str">
        <f aca="false">IF(INDEX(BookTitle,1577)="","",INDEX(BookCategory,1577))</f>
        <v/>
      </c>
      <c r="H1582" s="40" t="str">
        <f aca="false">IF(INDEX(BookTitle,1577)="","",INDEX(BookRank,1577))</f>
        <v/>
      </c>
      <c r="I1582" s="41" t="str">
        <f aca="false">IF(INDEX(BookTitle,1577)="","",INDEX(BookTotal,1577))</f>
        <v/>
      </c>
      <c r="J1582" s="0" t="str">
        <f aca="false">IF($I1582="","",IF(INDEX(BookQ1,1577)&gt;0,"Q1",IF(INDEX(BookQ2,1577)&gt;0,"Q2",IF(INDEX(BookQ3,1577)&gt;0,"Q3",IF(INDEX(BookQ4,1577)&gt;0,"Q4","")))))</f>
        <v/>
      </c>
      <c r="K1582" s="42" t="str">
        <f aca="false">IF(INDEX(BookTitle,1577)="","",INDEX(BookInYear,1577))</f>
        <v/>
      </c>
      <c r="L1582" s="19"/>
      <c r="M1582" s="39"/>
      <c r="N1582" s="19"/>
      <c r="O1582" s="19"/>
      <c r="P1582" s="43" t="str">
        <f aca="false">IF($E1582="","",IF($L1582="Decline",0,IF($L1582="Approve fewer",IF($M1582="","",$M1582),IF($L1582="","",$I1582))))</f>
        <v/>
      </c>
      <c r="Q1582" s="34" t="str">
        <f aca="false">IF($P1582="","",IF($N1582&lt;&gt;"",$N1582,$J1582))</f>
        <v/>
      </c>
      <c r="R1582" s="35" t="str">
        <f aca="false">IF(OR($P1582="",$Q1582=""),"",INDEX(BookRate,1577)*$P1582*(5-MATCH($Q1582,{"Q1";"Q2";"Q3";"Q4"},0))/4+INDEX(BookOneOff,1577)*$P1582)</f>
        <v/>
      </c>
      <c r="S1582" s="35" t="str">
        <f aca="false">IF($P1582="","",INDEX(BookRate,1577)*$P1582)</f>
        <v/>
      </c>
      <c r="T1582" s="35" t="str">
        <f aca="false">IF($R1582="","",$R1582-$K1582)</f>
        <v/>
      </c>
      <c r="U1582" s="35" t="str">
        <f aca="false">IF(N($P1582)&lt;=0,"",COUNTIF($P$6:$P1582,"&gt;0"))</f>
        <v/>
      </c>
    </row>
    <row r="1583" customFormat="false" ht="15" hidden="false" customHeight="false" outlineLevel="0" collapsed="false">
      <c r="A1583" s="40" t="str">
        <f aca="false">IF(INDEX(BookTitle,1578)="","",INDEX(BookGroup,1578))</f>
        <v/>
      </c>
      <c r="B1583" s="40" t="str">
        <f aca="false">IF(INDEX(BookTitle,1578)="","",INDEX(BookRef,1578))</f>
        <v/>
      </c>
      <c r="C1583" s="40" t="str">
        <f aca="false">IF(INDEX(BookTitle,1578)="","",INDEX(BookDivision,1578))</f>
        <v/>
      </c>
      <c r="D1583" s="40" t="str">
        <f aca="false">IF(INDEX(BookTitle,1578)="","",INDEX(BookUnit,1578))</f>
        <v/>
      </c>
      <c r="E1583" s="40" t="str">
        <f aca="false">IF(INDEX(BookTitle,1578)="","",INDEX(BookTitle,1578))</f>
        <v/>
      </c>
      <c r="F1583" s="40" t="str">
        <f aca="false">IF(INDEX(BookTitle,1578)="","",INDEX(BookLevel,1578))</f>
        <v/>
      </c>
      <c r="G1583" s="40" t="str">
        <f aca="false">IF(INDEX(BookTitle,1578)="","",INDEX(BookCategory,1578))</f>
        <v/>
      </c>
      <c r="H1583" s="40" t="str">
        <f aca="false">IF(INDEX(BookTitle,1578)="","",INDEX(BookRank,1578))</f>
        <v/>
      </c>
      <c r="I1583" s="41" t="str">
        <f aca="false">IF(INDEX(BookTitle,1578)="","",INDEX(BookTotal,1578))</f>
        <v/>
      </c>
      <c r="J1583" s="0" t="str">
        <f aca="false">IF($I1583="","",IF(INDEX(BookQ1,1578)&gt;0,"Q1",IF(INDEX(BookQ2,1578)&gt;0,"Q2",IF(INDEX(BookQ3,1578)&gt;0,"Q3",IF(INDEX(BookQ4,1578)&gt;0,"Q4","")))))</f>
        <v/>
      </c>
      <c r="K1583" s="42" t="str">
        <f aca="false">IF(INDEX(BookTitle,1578)="","",INDEX(BookInYear,1578))</f>
        <v/>
      </c>
      <c r="L1583" s="19"/>
      <c r="M1583" s="39"/>
      <c r="N1583" s="19"/>
      <c r="O1583" s="19"/>
      <c r="P1583" s="43" t="str">
        <f aca="false">IF($E1583="","",IF($L1583="Decline",0,IF($L1583="Approve fewer",IF($M1583="","",$M1583),IF($L1583="","",$I1583))))</f>
        <v/>
      </c>
      <c r="Q1583" s="34" t="str">
        <f aca="false">IF($P1583="","",IF($N1583&lt;&gt;"",$N1583,$J1583))</f>
        <v/>
      </c>
      <c r="R1583" s="35" t="str">
        <f aca="false">IF(OR($P1583="",$Q1583=""),"",INDEX(BookRate,1578)*$P1583*(5-MATCH($Q1583,{"Q1";"Q2";"Q3";"Q4"},0))/4+INDEX(BookOneOff,1578)*$P1583)</f>
        <v/>
      </c>
      <c r="S1583" s="35" t="str">
        <f aca="false">IF($P1583="","",INDEX(BookRate,1578)*$P1583)</f>
        <v/>
      </c>
      <c r="T1583" s="35" t="str">
        <f aca="false">IF($R1583="","",$R1583-$K1583)</f>
        <v/>
      </c>
      <c r="U1583" s="35" t="str">
        <f aca="false">IF(N($P1583)&lt;=0,"",COUNTIF($P$6:$P1583,"&gt;0"))</f>
        <v/>
      </c>
    </row>
    <row r="1584" customFormat="false" ht="15" hidden="false" customHeight="false" outlineLevel="0" collapsed="false">
      <c r="A1584" s="40" t="str">
        <f aca="false">IF(INDEX(BookTitle,1579)="","",INDEX(BookGroup,1579))</f>
        <v/>
      </c>
      <c r="B1584" s="40" t="str">
        <f aca="false">IF(INDEX(BookTitle,1579)="","",INDEX(BookRef,1579))</f>
        <v/>
      </c>
      <c r="C1584" s="40" t="str">
        <f aca="false">IF(INDEX(BookTitle,1579)="","",INDEX(BookDivision,1579))</f>
        <v/>
      </c>
      <c r="D1584" s="40" t="str">
        <f aca="false">IF(INDEX(BookTitle,1579)="","",INDEX(BookUnit,1579))</f>
        <v/>
      </c>
      <c r="E1584" s="40" t="str">
        <f aca="false">IF(INDEX(BookTitle,1579)="","",INDEX(BookTitle,1579))</f>
        <v/>
      </c>
      <c r="F1584" s="40" t="str">
        <f aca="false">IF(INDEX(BookTitle,1579)="","",INDEX(BookLevel,1579))</f>
        <v/>
      </c>
      <c r="G1584" s="40" t="str">
        <f aca="false">IF(INDEX(BookTitle,1579)="","",INDEX(BookCategory,1579))</f>
        <v/>
      </c>
      <c r="H1584" s="40" t="str">
        <f aca="false">IF(INDEX(BookTitle,1579)="","",INDEX(BookRank,1579))</f>
        <v/>
      </c>
      <c r="I1584" s="41" t="str">
        <f aca="false">IF(INDEX(BookTitle,1579)="","",INDEX(BookTotal,1579))</f>
        <v/>
      </c>
      <c r="J1584" s="0" t="str">
        <f aca="false">IF($I1584="","",IF(INDEX(BookQ1,1579)&gt;0,"Q1",IF(INDEX(BookQ2,1579)&gt;0,"Q2",IF(INDEX(BookQ3,1579)&gt;0,"Q3",IF(INDEX(BookQ4,1579)&gt;0,"Q4","")))))</f>
        <v/>
      </c>
      <c r="K1584" s="42" t="str">
        <f aca="false">IF(INDEX(BookTitle,1579)="","",INDEX(BookInYear,1579))</f>
        <v/>
      </c>
      <c r="L1584" s="19"/>
      <c r="M1584" s="39"/>
      <c r="N1584" s="19"/>
      <c r="O1584" s="19"/>
      <c r="P1584" s="43" t="str">
        <f aca="false">IF($E1584="","",IF($L1584="Decline",0,IF($L1584="Approve fewer",IF($M1584="","",$M1584),IF($L1584="","",$I1584))))</f>
        <v/>
      </c>
      <c r="Q1584" s="34" t="str">
        <f aca="false">IF($P1584="","",IF($N1584&lt;&gt;"",$N1584,$J1584))</f>
        <v/>
      </c>
      <c r="R1584" s="35" t="str">
        <f aca="false">IF(OR($P1584="",$Q1584=""),"",INDEX(BookRate,1579)*$P1584*(5-MATCH($Q1584,{"Q1";"Q2";"Q3";"Q4"},0))/4+INDEX(BookOneOff,1579)*$P1584)</f>
        <v/>
      </c>
      <c r="S1584" s="35" t="str">
        <f aca="false">IF($P1584="","",INDEX(BookRate,1579)*$P1584)</f>
        <v/>
      </c>
      <c r="T1584" s="35" t="str">
        <f aca="false">IF($R1584="","",$R1584-$K1584)</f>
        <v/>
      </c>
      <c r="U1584" s="35" t="str">
        <f aca="false">IF(N($P1584)&lt;=0,"",COUNTIF($P$6:$P1584,"&gt;0"))</f>
        <v/>
      </c>
    </row>
    <row r="1585" customFormat="false" ht="15" hidden="false" customHeight="false" outlineLevel="0" collapsed="false">
      <c r="A1585" s="40" t="str">
        <f aca="false">IF(INDEX(BookTitle,1580)="","",INDEX(BookGroup,1580))</f>
        <v/>
      </c>
      <c r="B1585" s="40" t="str">
        <f aca="false">IF(INDEX(BookTitle,1580)="","",INDEX(BookRef,1580))</f>
        <v/>
      </c>
      <c r="C1585" s="40" t="str">
        <f aca="false">IF(INDEX(BookTitle,1580)="","",INDEX(BookDivision,1580))</f>
        <v/>
      </c>
      <c r="D1585" s="40" t="str">
        <f aca="false">IF(INDEX(BookTitle,1580)="","",INDEX(BookUnit,1580))</f>
        <v/>
      </c>
      <c r="E1585" s="40" t="str">
        <f aca="false">IF(INDEX(BookTitle,1580)="","",INDEX(BookTitle,1580))</f>
        <v/>
      </c>
      <c r="F1585" s="40" t="str">
        <f aca="false">IF(INDEX(BookTitle,1580)="","",INDEX(BookLevel,1580))</f>
        <v/>
      </c>
      <c r="G1585" s="40" t="str">
        <f aca="false">IF(INDEX(BookTitle,1580)="","",INDEX(BookCategory,1580))</f>
        <v/>
      </c>
      <c r="H1585" s="40" t="str">
        <f aca="false">IF(INDEX(BookTitle,1580)="","",INDEX(BookRank,1580))</f>
        <v/>
      </c>
      <c r="I1585" s="41" t="str">
        <f aca="false">IF(INDEX(BookTitle,1580)="","",INDEX(BookTotal,1580))</f>
        <v/>
      </c>
      <c r="J1585" s="0" t="str">
        <f aca="false">IF($I1585="","",IF(INDEX(BookQ1,1580)&gt;0,"Q1",IF(INDEX(BookQ2,1580)&gt;0,"Q2",IF(INDEX(BookQ3,1580)&gt;0,"Q3",IF(INDEX(BookQ4,1580)&gt;0,"Q4","")))))</f>
        <v/>
      </c>
      <c r="K1585" s="42" t="str">
        <f aca="false">IF(INDEX(BookTitle,1580)="","",INDEX(BookInYear,1580))</f>
        <v/>
      </c>
      <c r="L1585" s="19"/>
      <c r="M1585" s="39"/>
      <c r="N1585" s="19"/>
      <c r="O1585" s="19"/>
      <c r="P1585" s="43" t="str">
        <f aca="false">IF($E1585="","",IF($L1585="Decline",0,IF($L1585="Approve fewer",IF($M1585="","",$M1585),IF($L1585="","",$I1585))))</f>
        <v/>
      </c>
      <c r="Q1585" s="34" t="str">
        <f aca="false">IF($P1585="","",IF($N1585&lt;&gt;"",$N1585,$J1585))</f>
        <v/>
      </c>
      <c r="R1585" s="35" t="str">
        <f aca="false">IF(OR($P1585="",$Q1585=""),"",INDEX(BookRate,1580)*$P1585*(5-MATCH($Q1585,{"Q1";"Q2";"Q3";"Q4"},0))/4+INDEX(BookOneOff,1580)*$P1585)</f>
        <v/>
      </c>
      <c r="S1585" s="35" t="str">
        <f aca="false">IF($P1585="","",INDEX(BookRate,1580)*$P1585)</f>
        <v/>
      </c>
      <c r="T1585" s="35" t="str">
        <f aca="false">IF($R1585="","",$R1585-$K1585)</f>
        <v/>
      </c>
      <c r="U1585" s="35" t="str">
        <f aca="false">IF(N($P1585)&lt;=0,"",COUNTIF($P$6:$P1585,"&gt;0"))</f>
        <v/>
      </c>
    </row>
    <row r="1586" customFormat="false" ht="15" hidden="false" customHeight="false" outlineLevel="0" collapsed="false">
      <c r="A1586" s="40" t="str">
        <f aca="false">IF(INDEX(BookTitle,1581)="","",INDEX(BookGroup,1581))</f>
        <v/>
      </c>
      <c r="B1586" s="40" t="str">
        <f aca="false">IF(INDEX(BookTitle,1581)="","",INDEX(BookRef,1581))</f>
        <v/>
      </c>
      <c r="C1586" s="40" t="str">
        <f aca="false">IF(INDEX(BookTitle,1581)="","",INDEX(BookDivision,1581))</f>
        <v/>
      </c>
      <c r="D1586" s="40" t="str">
        <f aca="false">IF(INDEX(BookTitle,1581)="","",INDEX(BookUnit,1581))</f>
        <v/>
      </c>
      <c r="E1586" s="40" t="str">
        <f aca="false">IF(INDEX(BookTitle,1581)="","",INDEX(BookTitle,1581))</f>
        <v/>
      </c>
      <c r="F1586" s="40" t="str">
        <f aca="false">IF(INDEX(BookTitle,1581)="","",INDEX(BookLevel,1581))</f>
        <v/>
      </c>
      <c r="G1586" s="40" t="str">
        <f aca="false">IF(INDEX(BookTitle,1581)="","",INDEX(BookCategory,1581))</f>
        <v/>
      </c>
      <c r="H1586" s="40" t="str">
        <f aca="false">IF(INDEX(BookTitle,1581)="","",INDEX(BookRank,1581))</f>
        <v/>
      </c>
      <c r="I1586" s="41" t="str">
        <f aca="false">IF(INDEX(BookTitle,1581)="","",INDEX(BookTotal,1581))</f>
        <v/>
      </c>
      <c r="J1586" s="0" t="str">
        <f aca="false">IF($I1586="","",IF(INDEX(BookQ1,1581)&gt;0,"Q1",IF(INDEX(BookQ2,1581)&gt;0,"Q2",IF(INDEX(BookQ3,1581)&gt;0,"Q3",IF(INDEX(BookQ4,1581)&gt;0,"Q4","")))))</f>
        <v/>
      </c>
      <c r="K1586" s="42" t="str">
        <f aca="false">IF(INDEX(BookTitle,1581)="","",INDEX(BookInYear,1581))</f>
        <v/>
      </c>
      <c r="L1586" s="19"/>
      <c r="M1586" s="39"/>
      <c r="N1586" s="19"/>
      <c r="O1586" s="19"/>
      <c r="P1586" s="43" t="str">
        <f aca="false">IF($E1586="","",IF($L1586="Decline",0,IF($L1586="Approve fewer",IF($M1586="","",$M1586),IF($L1586="","",$I1586))))</f>
        <v/>
      </c>
      <c r="Q1586" s="34" t="str">
        <f aca="false">IF($P1586="","",IF($N1586&lt;&gt;"",$N1586,$J1586))</f>
        <v/>
      </c>
      <c r="R1586" s="35" t="str">
        <f aca="false">IF(OR($P1586="",$Q1586=""),"",INDEX(BookRate,1581)*$P1586*(5-MATCH($Q1586,{"Q1";"Q2";"Q3";"Q4"},0))/4+INDEX(BookOneOff,1581)*$P1586)</f>
        <v/>
      </c>
      <c r="S1586" s="35" t="str">
        <f aca="false">IF($P1586="","",INDEX(BookRate,1581)*$P1586)</f>
        <v/>
      </c>
      <c r="T1586" s="35" t="str">
        <f aca="false">IF($R1586="","",$R1586-$K1586)</f>
        <v/>
      </c>
      <c r="U1586" s="35" t="str">
        <f aca="false">IF(N($P1586)&lt;=0,"",COUNTIF($P$6:$P1586,"&gt;0"))</f>
        <v/>
      </c>
    </row>
    <row r="1587" customFormat="false" ht="15" hidden="false" customHeight="false" outlineLevel="0" collapsed="false">
      <c r="A1587" s="40" t="str">
        <f aca="false">IF(INDEX(BookTitle,1582)="","",INDEX(BookGroup,1582))</f>
        <v/>
      </c>
      <c r="B1587" s="40" t="str">
        <f aca="false">IF(INDEX(BookTitle,1582)="","",INDEX(BookRef,1582))</f>
        <v/>
      </c>
      <c r="C1587" s="40" t="str">
        <f aca="false">IF(INDEX(BookTitle,1582)="","",INDEX(BookDivision,1582))</f>
        <v/>
      </c>
      <c r="D1587" s="40" t="str">
        <f aca="false">IF(INDEX(BookTitle,1582)="","",INDEX(BookUnit,1582))</f>
        <v/>
      </c>
      <c r="E1587" s="40" t="str">
        <f aca="false">IF(INDEX(BookTitle,1582)="","",INDEX(BookTitle,1582))</f>
        <v/>
      </c>
      <c r="F1587" s="40" t="str">
        <f aca="false">IF(INDEX(BookTitle,1582)="","",INDEX(BookLevel,1582))</f>
        <v/>
      </c>
      <c r="G1587" s="40" t="str">
        <f aca="false">IF(INDEX(BookTitle,1582)="","",INDEX(BookCategory,1582))</f>
        <v/>
      </c>
      <c r="H1587" s="40" t="str">
        <f aca="false">IF(INDEX(BookTitle,1582)="","",INDEX(BookRank,1582))</f>
        <v/>
      </c>
      <c r="I1587" s="41" t="str">
        <f aca="false">IF(INDEX(BookTitle,1582)="","",INDEX(BookTotal,1582))</f>
        <v/>
      </c>
      <c r="J1587" s="0" t="str">
        <f aca="false">IF($I1587="","",IF(INDEX(BookQ1,1582)&gt;0,"Q1",IF(INDEX(BookQ2,1582)&gt;0,"Q2",IF(INDEX(BookQ3,1582)&gt;0,"Q3",IF(INDEX(BookQ4,1582)&gt;0,"Q4","")))))</f>
        <v/>
      </c>
      <c r="K1587" s="42" t="str">
        <f aca="false">IF(INDEX(BookTitle,1582)="","",INDEX(BookInYear,1582))</f>
        <v/>
      </c>
      <c r="L1587" s="19"/>
      <c r="M1587" s="39"/>
      <c r="N1587" s="19"/>
      <c r="O1587" s="19"/>
      <c r="P1587" s="43" t="str">
        <f aca="false">IF($E1587="","",IF($L1587="Decline",0,IF($L1587="Approve fewer",IF($M1587="","",$M1587),IF($L1587="","",$I1587))))</f>
        <v/>
      </c>
      <c r="Q1587" s="34" t="str">
        <f aca="false">IF($P1587="","",IF($N1587&lt;&gt;"",$N1587,$J1587))</f>
        <v/>
      </c>
      <c r="R1587" s="35" t="str">
        <f aca="false">IF(OR($P1587="",$Q1587=""),"",INDEX(BookRate,1582)*$P1587*(5-MATCH($Q1587,{"Q1";"Q2";"Q3";"Q4"},0))/4+INDEX(BookOneOff,1582)*$P1587)</f>
        <v/>
      </c>
      <c r="S1587" s="35" t="str">
        <f aca="false">IF($P1587="","",INDEX(BookRate,1582)*$P1587)</f>
        <v/>
      </c>
      <c r="T1587" s="35" t="str">
        <f aca="false">IF($R1587="","",$R1587-$K1587)</f>
        <v/>
      </c>
      <c r="U1587" s="35" t="str">
        <f aca="false">IF(N($P1587)&lt;=0,"",COUNTIF($P$6:$P1587,"&gt;0"))</f>
        <v/>
      </c>
    </row>
    <row r="1588" customFormat="false" ht="15" hidden="false" customHeight="false" outlineLevel="0" collapsed="false">
      <c r="A1588" s="40" t="str">
        <f aca="false">IF(INDEX(BookTitle,1583)="","",INDEX(BookGroup,1583))</f>
        <v/>
      </c>
      <c r="B1588" s="40" t="str">
        <f aca="false">IF(INDEX(BookTitle,1583)="","",INDEX(BookRef,1583))</f>
        <v/>
      </c>
      <c r="C1588" s="40" t="str">
        <f aca="false">IF(INDEX(BookTitle,1583)="","",INDEX(BookDivision,1583))</f>
        <v/>
      </c>
      <c r="D1588" s="40" t="str">
        <f aca="false">IF(INDEX(BookTitle,1583)="","",INDEX(BookUnit,1583))</f>
        <v/>
      </c>
      <c r="E1588" s="40" t="str">
        <f aca="false">IF(INDEX(BookTitle,1583)="","",INDEX(BookTitle,1583))</f>
        <v/>
      </c>
      <c r="F1588" s="40" t="str">
        <f aca="false">IF(INDEX(BookTitle,1583)="","",INDEX(BookLevel,1583))</f>
        <v/>
      </c>
      <c r="G1588" s="40" t="str">
        <f aca="false">IF(INDEX(BookTitle,1583)="","",INDEX(BookCategory,1583))</f>
        <v/>
      </c>
      <c r="H1588" s="40" t="str">
        <f aca="false">IF(INDEX(BookTitle,1583)="","",INDEX(BookRank,1583))</f>
        <v/>
      </c>
      <c r="I1588" s="41" t="str">
        <f aca="false">IF(INDEX(BookTitle,1583)="","",INDEX(BookTotal,1583))</f>
        <v/>
      </c>
      <c r="J1588" s="0" t="str">
        <f aca="false">IF($I1588="","",IF(INDEX(BookQ1,1583)&gt;0,"Q1",IF(INDEX(BookQ2,1583)&gt;0,"Q2",IF(INDEX(BookQ3,1583)&gt;0,"Q3",IF(INDEX(BookQ4,1583)&gt;0,"Q4","")))))</f>
        <v/>
      </c>
      <c r="K1588" s="42" t="str">
        <f aca="false">IF(INDEX(BookTitle,1583)="","",INDEX(BookInYear,1583))</f>
        <v/>
      </c>
      <c r="L1588" s="19"/>
      <c r="M1588" s="39"/>
      <c r="N1588" s="19"/>
      <c r="O1588" s="19"/>
      <c r="P1588" s="43" t="str">
        <f aca="false">IF($E1588="","",IF($L1588="Decline",0,IF($L1588="Approve fewer",IF($M1588="","",$M1588),IF($L1588="","",$I1588))))</f>
        <v/>
      </c>
      <c r="Q1588" s="34" t="str">
        <f aca="false">IF($P1588="","",IF($N1588&lt;&gt;"",$N1588,$J1588))</f>
        <v/>
      </c>
      <c r="R1588" s="35" t="str">
        <f aca="false">IF(OR($P1588="",$Q1588=""),"",INDEX(BookRate,1583)*$P1588*(5-MATCH($Q1588,{"Q1";"Q2";"Q3";"Q4"},0))/4+INDEX(BookOneOff,1583)*$P1588)</f>
        <v/>
      </c>
      <c r="S1588" s="35" t="str">
        <f aca="false">IF($P1588="","",INDEX(BookRate,1583)*$P1588)</f>
        <v/>
      </c>
      <c r="T1588" s="35" t="str">
        <f aca="false">IF($R1588="","",$R1588-$K1588)</f>
        <v/>
      </c>
      <c r="U1588" s="35" t="str">
        <f aca="false">IF(N($P1588)&lt;=0,"",COUNTIF($P$6:$P1588,"&gt;0"))</f>
        <v/>
      </c>
    </row>
    <row r="1589" customFormat="false" ht="15" hidden="false" customHeight="false" outlineLevel="0" collapsed="false">
      <c r="A1589" s="40" t="str">
        <f aca="false">IF(INDEX(BookTitle,1584)="","",INDEX(BookGroup,1584))</f>
        <v/>
      </c>
      <c r="B1589" s="40" t="str">
        <f aca="false">IF(INDEX(BookTitle,1584)="","",INDEX(BookRef,1584))</f>
        <v/>
      </c>
      <c r="C1589" s="40" t="str">
        <f aca="false">IF(INDEX(BookTitle,1584)="","",INDEX(BookDivision,1584))</f>
        <v/>
      </c>
      <c r="D1589" s="40" t="str">
        <f aca="false">IF(INDEX(BookTitle,1584)="","",INDEX(BookUnit,1584))</f>
        <v/>
      </c>
      <c r="E1589" s="40" t="str">
        <f aca="false">IF(INDEX(BookTitle,1584)="","",INDEX(BookTitle,1584))</f>
        <v/>
      </c>
      <c r="F1589" s="40" t="str">
        <f aca="false">IF(INDEX(BookTitle,1584)="","",INDEX(BookLevel,1584))</f>
        <v/>
      </c>
      <c r="G1589" s="40" t="str">
        <f aca="false">IF(INDEX(BookTitle,1584)="","",INDEX(BookCategory,1584))</f>
        <v/>
      </c>
      <c r="H1589" s="40" t="str">
        <f aca="false">IF(INDEX(BookTitle,1584)="","",INDEX(BookRank,1584))</f>
        <v/>
      </c>
      <c r="I1589" s="41" t="str">
        <f aca="false">IF(INDEX(BookTitle,1584)="","",INDEX(BookTotal,1584))</f>
        <v/>
      </c>
      <c r="J1589" s="0" t="str">
        <f aca="false">IF($I1589="","",IF(INDEX(BookQ1,1584)&gt;0,"Q1",IF(INDEX(BookQ2,1584)&gt;0,"Q2",IF(INDEX(BookQ3,1584)&gt;0,"Q3",IF(INDEX(BookQ4,1584)&gt;0,"Q4","")))))</f>
        <v/>
      </c>
      <c r="K1589" s="42" t="str">
        <f aca="false">IF(INDEX(BookTitle,1584)="","",INDEX(BookInYear,1584))</f>
        <v/>
      </c>
      <c r="L1589" s="19"/>
      <c r="M1589" s="39"/>
      <c r="N1589" s="19"/>
      <c r="O1589" s="19"/>
      <c r="P1589" s="43" t="str">
        <f aca="false">IF($E1589="","",IF($L1589="Decline",0,IF($L1589="Approve fewer",IF($M1589="","",$M1589),IF($L1589="","",$I1589))))</f>
        <v/>
      </c>
      <c r="Q1589" s="34" t="str">
        <f aca="false">IF($P1589="","",IF($N1589&lt;&gt;"",$N1589,$J1589))</f>
        <v/>
      </c>
      <c r="R1589" s="35" t="str">
        <f aca="false">IF(OR($P1589="",$Q1589=""),"",INDEX(BookRate,1584)*$P1589*(5-MATCH($Q1589,{"Q1";"Q2";"Q3";"Q4"},0))/4+INDEX(BookOneOff,1584)*$P1589)</f>
        <v/>
      </c>
      <c r="S1589" s="35" t="str">
        <f aca="false">IF($P1589="","",INDEX(BookRate,1584)*$P1589)</f>
        <v/>
      </c>
      <c r="T1589" s="35" t="str">
        <f aca="false">IF($R1589="","",$R1589-$K1589)</f>
        <v/>
      </c>
      <c r="U1589" s="35" t="str">
        <f aca="false">IF(N($P1589)&lt;=0,"",COUNTIF($P$6:$P1589,"&gt;0"))</f>
        <v/>
      </c>
    </row>
    <row r="1590" customFormat="false" ht="15" hidden="false" customHeight="false" outlineLevel="0" collapsed="false">
      <c r="A1590" s="40" t="str">
        <f aca="false">IF(INDEX(BookTitle,1585)="","",INDEX(BookGroup,1585))</f>
        <v/>
      </c>
      <c r="B1590" s="40" t="str">
        <f aca="false">IF(INDEX(BookTitle,1585)="","",INDEX(BookRef,1585))</f>
        <v/>
      </c>
      <c r="C1590" s="40" t="str">
        <f aca="false">IF(INDEX(BookTitle,1585)="","",INDEX(BookDivision,1585))</f>
        <v/>
      </c>
      <c r="D1590" s="40" t="str">
        <f aca="false">IF(INDEX(BookTitle,1585)="","",INDEX(BookUnit,1585))</f>
        <v/>
      </c>
      <c r="E1590" s="40" t="str">
        <f aca="false">IF(INDEX(BookTitle,1585)="","",INDEX(BookTitle,1585))</f>
        <v/>
      </c>
      <c r="F1590" s="40" t="str">
        <f aca="false">IF(INDEX(BookTitle,1585)="","",INDEX(BookLevel,1585))</f>
        <v/>
      </c>
      <c r="G1590" s="40" t="str">
        <f aca="false">IF(INDEX(BookTitle,1585)="","",INDEX(BookCategory,1585))</f>
        <v/>
      </c>
      <c r="H1590" s="40" t="str">
        <f aca="false">IF(INDEX(BookTitle,1585)="","",INDEX(BookRank,1585))</f>
        <v/>
      </c>
      <c r="I1590" s="41" t="str">
        <f aca="false">IF(INDEX(BookTitle,1585)="","",INDEX(BookTotal,1585))</f>
        <v/>
      </c>
      <c r="J1590" s="0" t="str">
        <f aca="false">IF($I1590="","",IF(INDEX(BookQ1,1585)&gt;0,"Q1",IF(INDEX(BookQ2,1585)&gt;0,"Q2",IF(INDEX(BookQ3,1585)&gt;0,"Q3",IF(INDEX(BookQ4,1585)&gt;0,"Q4","")))))</f>
        <v/>
      </c>
      <c r="K1590" s="42" t="str">
        <f aca="false">IF(INDEX(BookTitle,1585)="","",INDEX(BookInYear,1585))</f>
        <v/>
      </c>
      <c r="L1590" s="19"/>
      <c r="M1590" s="39"/>
      <c r="N1590" s="19"/>
      <c r="O1590" s="19"/>
      <c r="P1590" s="43" t="str">
        <f aca="false">IF($E1590="","",IF($L1590="Decline",0,IF($L1590="Approve fewer",IF($M1590="","",$M1590),IF($L1590="","",$I1590))))</f>
        <v/>
      </c>
      <c r="Q1590" s="34" t="str">
        <f aca="false">IF($P1590="","",IF($N1590&lt;&gt;"",$N1590,$J1590))</f>
        <v/>
      </c>
      <c r="R1590" s="35" t="str">
        <f aca="false">IF(OR($P1590="",$Q1590=""),"",INDEX(BookRate,1585)*$P1590*(5-MATCH($Q1590,{"Q1";"Q2";"Q3";"Q4"},0))/4+INDEX(BookOneOff,1585)*$P1590)</f>
        <v/>
      </c>
      <c r="S1590" s="35" t="str">
        <f aca="false">IF($P1590="","",INDEX(BookRate,1585)*$P1590)</f>
        <v/>
      </c>
      <c r="T1590" s="35" t="str">
        <f aca="false">IF($R1590="","",$R1590-$K1590)</f>
        <v/>
      </c>
      <c r="U1590" s="35" t="str">
        <f aca="false">IF(N($P1590)&lt;=0,"",COUNTIF($P$6:$P1590,"&gt;0"))</f>
        <v/>
      </c>
    </row>
    <row r="1591" customFormat="false" ht="15" hidden="false" customHeight="false" outlineLevel="0" collapsed="false">
      <c r="A1591" s="40" t="str">
        <f aca="false">IF(INDEX(BookTitle,1586)="","",INDEX(BookGroup,1586))</f>
        <v/>
      </c>
      <c r="B1591" s="40" t="str">
        <f aca="false">IF(INDEX(BookTitle,1586)="","",INDEX(BookRef,1586))</f>
        <v/>
      </c>
      <c r="C1591" s="40" t="str">
        <f aca="false">IF(INDEX(BookTitle,1586)="","",INDEX(BookDivision,1586))</f>
        <v/>
      </c>
      <c r="D1591" s="40" t="str">
        <f aca="false">IF(INDEX(BookTitle,1586)="","",INDEX(BookUnit,1586))</f>
        <v/>
      </c>
      <c r="E1591" s="40" t="str">
        <f aca="false">IF(INDEX(BookTitle,1586)="","",INDEX(BookTitle,1586))</f>
        <v/>
      </c>
      <c r="F1591" s="40" t="str">
        <f aca="false">IF(INDEX(BookTitle,1586)="","",INDEX(BookLevel,1586))</f>
        <v/>
      </c>
      <c r="G1591" s="40" t="str">
        <f aca="false">IF(INDEX(BookTitle,1586)="","",INDEX(BookCategory,1586))</f>
        <v/>
      </c>
      <c r="H1591" s="40" t="str">
        <f aca="false">IF(INDEX(BookTitle,1586)="","",INDEX(BookRank,1586))</f>
        <v/>
      </c>
      <c r="I1591" s="41" t="str">
        <f aca="false">IF(INDEX(BookTitle,1586)="","",INDEX(BookTotal,1586))</f>
        <v/>
      </c>
      <c r="J1591" s="0" t="str">
        <f aca="false">IF($I1591="","",IF(INDEX(BookQ1,1586)&gt;0,"Q1",IF(INDEX(BookQ2,1586)&gt;0,"Q2",IF(INDEX(BookQ3,1586)&gt;0,"Q3",IF(INDEX(BookQ4,1586)&gt;0,"Q4","")))))</f>
        <v/>
      </c>
      <c r="K1591" s="42" t="str">
        <f aca="false">IF(INDEX(BookTitle,1586)="","",INDEX(BookInYear,1586))</f>
        <v/>
      </c>
      <c r="L1591" s="19"/>
      <c r="M1591" s="39"/>
      <c r="N1591" s="19"/>
      <c r="O1591" s="19"/>
      <c r="P1591" s="43" t="str">
        <f aca="false">IF($E1591="","",IF($L1591="Decline",0,IF($L1591="Approve fewer",IF($M1591="","",$M1591),IF($L1591="","",$I1591))))</f>
        <v/>
      </c>
      <c r="Q1591" s="34" t="str">
        <f aca="false">IF($P1591="","",IF($N1591&lt;&gt;"",$N1591,$J1591))</f>
        <v/>
      </c>
      <c r="R1591" s="35" t="str">
        <f aca="false">IF(OR($P1591="",$Q1591=""),"",INDEX(BookRate,1586)*$P1591*(5-MATCH($Q1591,{"Q1";"Q2";"Q3";"Q4"},0))/4+INDEX(BookOneOff,1586)*$P1591)</f>
        <v/>
      </c>
      <c r="S1591" s="35" t="str">
        <f aca="false">IF($P1591="","",INDEX(BookRate,1586)*$P1591)</f>
        <v/>
      </c>
      <c r="T1591" s="35" t="str">
        <f aca="false">IF($R1591="","",$R1591-$K1591)</f>
        <v/>
      </c>
      <c r="U1591" s="35" t="str">
        <f aca="false">IF(N($P1591)&lt;=0,"",COUNTIF($P$6:$P1591,"&gt;0"))</f>
        <v/>
      </c>
    </row>
    <row r="1592" customFormat="false" ht="15" hidden="false" customHeight="false" outlineLevel="0" collapsed="false">
      <c r="A1592" s="40" t="str">
        <f aca="false">IF(INDEX(BookTitle,1587)="","",INDEX(BookGroup,1587))</f>
        <v/>
      </c>
      <c r="B1592" s="40" t="str">
        <f aca="false">IF(INDEX(BookTitle,1587)="","",INDEX(BookRef,1587))</f>
        <v/>
      </c>
      <c r="C1592" s="40" t="str">
        <f aca="false">IF(INDEX(BookTitle,1587)="","",INDEX(BookDivision,1587))</f>
        <v/>
      </c>
      <c r="D1592" s="40" t="str">
        <f aca="false">IF(INDEX(BookTitle,1587)="","",INDEX(BookUnit,1587))</f>
        <v/>
      </c>
      <c r="E1592" s="40" t="str">
        <f aca="false">IF(INDEX(BookTitle,1587)="","",INDEX(BookTitle,1587))</f>
        <v/>
      </c>
      <c r="F1592" s="40" t="str">
        <f aca="false">IF(INDEX(BookTitle,1587)="","",INDEX(BookLevel,1587))</f>
        <v/>
      </c>
      <c r="G1592" s="40" t="str">
        <f aca="false">IF(INDEX(BookTitle,1587)="","",INDEX(BookCategory,1587))</f>
        <v/>
      </c>
      <c r="H1592" s="40" t="str">
        <f aca="false">IF(INDEX(BookTitle,1587)="","",INDEX(BookRank,1587))</f>
        <v/>
      </c>
      <c r="I1592" s="41" t="str">
        <f aca="false">IF(INDEX(BookTitle,1587)="","",INDEX(BookTotal,1587))</f>
        <v/>
      </c>
      <c r="J1592" s="0" t="str">
        <f aca="false">IF($I1592="","",IF(INDEX(BookQ1,1587)&gt;0,"Q1",IF(INDEX(BookQ2,1587)&gt;0,"Q2",IF(INDEX(BookQ3,1587)&gt;0,"Q3",IF(INDEX(BookQ4,1587)&gt;0,"Q4","")))))</f>
        <v/>
      </c>
      <c r="K1592" s="42" t="str">
        <f aca="false">IF(INDEX(BookTitle,1587)="","",INDEX(BookInYear,1587))</f>
        <v/>
      </c>
      <c r="L1592" s="19"/>
      <c r="M1592" s="39"/>
      <c r="N1592" s="19"/>
      <c r="O1592" s="19"/>
      <c r="P1592" s="43" t="str">
        <f aca="false">IF($E1592="","",IF($L1592="Decline",0,IF($L1592="Approve fewer",IF($M1592="","",$M1592),IF($L1592="","",$I1592))))</f>
        <v/>
      </c>
      <c r="Q1592" s="34" t="str">
        <f aca="false">IF($P1592="","",IF($N1592&lt;&gt;"",$N1592,$J1592))</f>
        <v/>
      </c>
      <c r="R1592" s="35" t="str">
        <f aca="false">IF(OR($P1592="",$Q1592=""),"",INDEX(BookRate,1587)*$P1592*(5-MATCH($Q1592,{"Q1";"Q2";"Q3";"Q4"},0))/4+INDEX(BookOneOff,1587)*$P1592)</f>
        <v/>
      </c>
      <c r="S1592" s="35" t="str">
        <f aca="false">IF($P1592="","",INDEX(BookRate,1587)*$P1592)</f>
        <v/>
      </c>
      <c r="T1592" s="35" t="str">
        <f aca="false">IF($R1592="","",$R1592-$K1592)</f>
        <v/>
      </c>
      <c r="U1592" s="35" t="str">
        <f aca="false">IF(N($P1592)&lt;=0,"",COUNTIF($P$6:$P1592,"&gt;0"))</f>
        <v/>
      </c>
    </row>
    <row r="1593" customFormat="false" ht="15" hidden="false" customHeight="false" outlineLevel="0" collapsed="false">
      <c r="A1593" s="40" t="str">
        <f aca="false">IF(INDEX(BookTitle,1588)="","",INDEX(BookGroup,1588))</f>
        <v/>
      </c>
      <c r="B1593" s="40" t="str">
        <f aca="false">IF(INDEX(BookTitle,1588)="","",INDEX(BookRef,1588))</f>
        <v/>
      </c>
      <c r="C1593" s="40" t="str">
        <f aca="false">IF(INDEX(BookTitle,1588)="","",INDEX(BookDivision,1588))</f>
        <v/>
      </c>
      <c r="D1593" s="40" t="str">
        <f aca="false">IF(INDEX(BookTitle,1588)="","",INDEX(BookUnit,1588))</f>
        <v/>
      </c>
      <c r="E1593" s="40" t="str">
        <f aca="false">IF(INDEX(BookTitle,1588)="","",INDEX(BookTitle,1588))</f>
        <v/>
      </c>
      <c r="F1593" s="40" t="str">
        <f aca="false">IF(INDEX(BookTitle,1588)="","",INDEX(BookLevel,1588))</f>
        <v/>
      </c>
      <c r="G1593" s="40" t="str">
        <f aca="false">IF(INDEX(BookTitle,1588)="","",INDEX(BookCategory,1588))</f>
        <v/>
      </c>
      <c r="H1593" s="40" t="str">
        <f aca="false">IF(INDEX(BookTitle,1588)="","",INDEX(BookRank,1588))</f>
        <v/>
      </c>
      <c r="I1593" s="41" t="str">
        <f aca="false">IF(INDEX(BookTitle,1588)="","",INDEX(BookTotal,1588))</f>
        <v/>
      </c>
      <c r="J1593" s="0" t="str">
        <f aca="false">IF($I1593="","",IF(INDEX(BookQ1,1588)&gt;0,"Q1",IF(INDEX(BookQ2,1588)&gt;0,"Q2",IF(INDEX(BookQ3,1588)&gt;0,"Q3",IF(INDEX(BookQ4,1588)&gt;0,"Q4","")))))</f>
        <v/>
      </c>
      <c r="K1593" s="42" t="str">
        <f aca="false">IF(INDEX(BookTitle,1588)="","",INDEX(BookInYear,1588))</f>
        <v/>
      </c>
      <c r="L1593" s="19"/>
      <c r="M1593" s="39"/>
      <c r="N1593" s="19"/>
      <c r="O1593" s="19"/>
      <c r="P1593" s="43" t="str">
        <f aca="false">IF($E1593="","",IF($L1593="Decline",0,IF($L1593="Approve fewer",IF($M1593="","",$M1593),IF($L1593="","",$I1593))))</f>
        <v/>
      </c>
      <c r="Q1593" s="34" t="str">
        <f aca="false">IF($P1593="","",IF($N1593&lt;&gt;"",$N1593,$J1593))</f>
        <v/>
      </c>
      <c r="R1593" s="35" t="str">
        <f aca="false">IF(OR($P1593="",$Q1593=""),"",INDEX(BookRate,1588)*$P1593*(5-MATCH($Q1593,{"Q1";"Q2";"Q3";"Q4"},0))/4+INDEX(BookOneOff,1588)*$P1593)</f>
        <v/>
      </c>
      <c r="S1593" s="35" t="str">
        <f aca="false">IF($P1593="","",INDEX(BookRate,1588)*$P1593)</f>
        <v/>
      </c>
      <c r="T1593" s="35" t="str">
        <f aca="false">IF($R1593="","",$R1593-$K1593)</f>
        <v/>
      </c>
      <c r="U1593" s="35" t="str">
        <f aca="false">IF(N($P1593)&lt;=0,"",COUNTIF($P$6:$P1593,"&gt;0"))</f>
        <v/>
      </c>
    </row>
    <row r="1594" customFormat="false" ht="15" hidden="false" customHeight="false" outlineLevel="0" collapsed="false">
      <c r="A1594" s="40" t="str">
        <f aca="false">IF(INDEX(BookTitle,1589)="","",INDEX(BookGroup,1589))</f>
        <v/>
      </c>
      <c r="B1594" s="40" t="str">
        <f aca="false">IF(INDEX(BookTitle,1589)="","",INDEX(BookRef,1589))</f>
        <v/>
      </c>
      <c r="C1594" s="40" t="str">
        <f aca="false">IF(INDEX(BookTitle,1589)="","",INDEX(BookDivision,1589))</f>
        <v/>
      </c>
      <c r="D1594" s="40" t="str">
        <f aca="false">IF(INDEX(BookTitle,1589)="","",INDEX(BookUnit,1589))</f>
        <v/>
      </c>
      <c r="E1594" s="40" t="str">
        <f aca="false">IF(INDEX(BookTitle,1589)="","",INDEX(BookTitle,1589))</f>
        <v/>
      </c>
      <c r="F1594" s="40" t="str">
        <f aca="false">IF(INDEX(BookTitle,1589)="","",INDEX(BookLevel,1589))</f>
        <v/>
      </c>
      <c r="G1594" s="40" t="str">
        <f aca="false">IF(INDEX(BookTitle,1589)="","",INDEX(BookCategory,1589))</f>
        <v/>
      </c>
      <c r="H1594" s="40" t="str">
        <f aca="false">IF(INDEX(BookTitle,1589)="","",INDEX(BookRank,1589))</f>
        <v/>
      </c>
      <c r="I1594" s="41" t="str">
        <f aca="false">IF(INDEX(BookTitle,1589)="","",INDEX(BookTotal,1589))</f>
        <v/>
      </c>
      <c r="J1594" s="0" t="str">
        <f aca="false">IF($I1594="","",IF(INDEX(BookQ1,1589)&gt;0,"Q1",IF(INDEX(BookQ2,1589)&gt;0,"Q2",IF(INDEX(BookQ3,1589)&gt;0,"Q3",IF(INDEX(BookQ4,1589)&gt;0,"Q4","")))))</f>
        <v/>
      </c>
      <c r="K1594" s="42" t="str">
        <f aca="false">IF(INDEX(BookTitle,1589)="","",INDEX(BookInYear,1589))</f>
        <v/>
      </c>
      <c r="L1594" s="19"/>
      <c r="M1594" s="39"/>
      <c r="N1594" s="19"/>
      <c r="O1594" s="19"/>
      <c r="P1594" s="43" t="str">
        <f aca="false">IF($E1594="","",IF($L1594="Decline",0,IF($L1594="Approve fewer",IF($M1594="","",$M1594),IF($L1594="","",$I1594))))</f>
        <v/>
      </c>
      <c r="Q1594" s="34" t="str">
        <f aca="false">IF($P1594="","",IF($N1594&lt;&gt;"",$N1594,$J1594))</f>
        <v/>
      </c>
      <c r="R1594" s="35" t="str">
        <f aca="false">IF(OR($P1594="",$Q1594=""),"",INDEX(BookRate,1589)*$P1594*(5-MATCH($Q1594,{"Q1";"Q2";"Q3";"Q4"},0))/4+INDEX(BookOneOff,1589)*$P1594)</f>
        <v/>
      </c>
      <c r="S1594" s="35" t="str">
        <f aca="false">IF($P1594="","",INDEX(BookRate,1589)*$P1594)</f>
        <v/>
      </c>
      <c r="T1594" s="35" t="str">
        <f aca="false">IF($R1594="","",$R1594-$K1594)</f>
        <v/>
      </c>
      <c r="U1594" s="35" t="str">
        <f aca="false">IF(N($P1594)&lt;=0,"",COUNTIF($P$6:$P1594,"&gt;0"))</f>
        <v/>
      </c>
    </row>
    <row r="1595" customFormat="false" ht="15" hidden="false" customHeight="false" outlineLevel="0" collapsed="false">
      <c r="A1595" s="40" t="str">
        <f aca="false">IF(INDEX(BookTitle,1590)="","",INDEX(BookGroup,1590))</f>
        <v/>
      </c>
      <c r="B1595" s="40" t="str">
        <f aca="false">IF(INDEX(BookTitle,1590)="","",INDEX(BookRef,1590))</f>
        <v/>
      </c>
      <c r="C1595" s="40" t="str">
        <f aca="false">IF(INDEX(BookTitle,1590)="","",INDEX(BookDivision,1590))</f>
        <v/>
      </c>
      <c r="D1595" s="40" t="str">
        <f aca="false">IF(INDEX(BookTitle,1590)="","",INDEX(BookUnit,1590))</f>
        <v/>
      </c>
      <c r="E1595" s="40" t="str">
        <f aca="false">IF(INDEX(BookTitle,1590)="","",INDEX(BookTitle,1590))</f>
        <v/>
      </c>
      <c r="F1595" s="40" t="str">
        <f aca="false">IF(INDEX(BookTitle,1590)="","",INDEX(BookLevel,1590))</f>
        <v/>
      </c>
      <c r="G1595" s="40" t="str">
        <f aca="false">IF(INDEX(BookTitle,1590)="","",INDEX(BookCategory,1590))</f>
        <v/>
      </c>
      <c r="H1595" s="40" t="str">
        <f aca="false">IF(INDEX(BookTitle,1590)="","",INDEX(BookRank,1590))</f>
        <v/>
      </c>
      <c r="I1595" s="41" t="str">
        <f aca="false">IF(INDEX(BookTitle,1590)="","",INDEX(BookTotal,1590))</f>
        <v/>
      </c>
      <c r="J1595" s="0" t="str">
        <f aca="false">IF($I1595="","",IF(INDEX(BookQ1,1590)&gt;0,"Q1",IF(INDEX(BookQ2,1590)&gt;0,"Q2",IF(INDEX(BookQ3,1590)&gt;0,"Q3",IF(INDEX(BookQ4,1590)&gt;0,"Q4","")))))</f>
        <v/>
      </c>
      <c r="K1595" s="42" t="str">
        <f aca="false">IF(INDEX(BookTitle,1590)="","",INDEX(BookInYear,1590))</f>
        <v/>
      </c>
      <c r="L1595" s="19"/>
      <c r="M1595" s="39"/>
      <c r="N1595" s="19"/>
      <c r="O1595" s="19"/>
      <c r="P1595" s="43" t="str">
        <f aca="false">IF($E1595="","",IF($L1595="Decline",0,IF($L1595="Approve fewer",IF($M1595="","",$M1595),IF($L1595="","",$I1595))))</f>
        <v/>
      </c>
      <c r="Q1595" s="34" t="str">
        <f aca="false">IF($P1595="","",IF($N1595&lt;&gt;"",$N1595,$J1595))</f>
        <v/>
      </c>
      <c r="R1595" s="35" t="str">
        <f aca="false">IF(OR($P1595="",$Q1595=""),"",INDEX(BookRate,1590)*$P1595*(5-MATCH($Q1595,{"Q1";"Q2";"Q3";"Q4"},0))/4+INDEX(BookOneOff,1590)*$P1595)</f>
        <v/>
      </c>
      <c r="S1595" s="35" t="str">
        <f aca="false">IF($P1595="","",INDEX(BookRate,1590)*$P1595)</f>
        <v/>
      </c>
      <c r="T1595" s="35" t="str">
        <f aca="false">IF($R1595="","",$R1595-$K1595)</f>
        <v/>
      </c>
      <c r="U1595" s="35" t="str">
        <f aca="false">IF(N($P1595)&lt;=0,"",COUNTIF($P$6:$P1595,"&gt;0"))</f>
        <v/>
      </c>
    </row>
    <row r="1596" customFormat="false" ht="15" hidden="false" customHeight="false" outlineLevel="0" collapsed="false">
      <c r="A1596" s="40" t="str">
        <f aca="false">IF(INDEX(BookTitle,1591)="","",INDEX(BookGroup,1591))</f>
        <v/>
      </c>
      <c r="B1596" s="40" t="str">
        <f aca="false">IF(INDEX(BookTitle,1591)="","",INDEX(BookRef,1591))</f>
        <v/>
      </c>
      <c r="C1596" s="40" t="str">
        <f aca="false">IF(INDEX(BookTitle,1591)="","",INDEX(BookDivision,1591))</f>
        <v/>
      </c>
      <c r="D1596" s="40" t="str">
        <f aca="false">IF(INDEX(BookTitle,1591)="","",INDEX(BookUnit,1591))</f>
        <v/>
      </c>
      <c r="E1596" s="40" t="str">
        <f aca="false">IF(INDEX(BookTitle,1591)="","",INDEX(BookTitle,1591))</f>
        <v/>
      </c>
      <c r="F1596" s="40" t="str">
        <f aca="false">IF(INDEX(BookTitle,1591)="","",INDEX(BookLevel,1591))</f>
        <v/>
      </c>
      <c r="G1596" s="40" t="str">
        <f aca="false">IF(INDEX(BookTitle,1591)="","",INDEX(BookCategory,1591))</f>
        <v/>
      </c>
      <c r="H1596" s="40" t="str">
        <f aca="false">IF(INDEX(BookTitle,1591)="","",INDEX(BookRank,1591))</f>
        <v/>
      </c>
      <c r="I1596" s="41" t="str">
        <f aca="false">IF(INDEX(BookTitle,1591)="","",INDEX(BookTotal,1591))</f>
        <v/>
      </c>
      <c r="J1596" s="0" t="str">
        <f aca="false">IF($I1596="","",IF(INDEX(BookQ1,1591)&gt;0,"Q1",IF(INDEX(BookQ2,1591)&gt;0,"Q2",IF(INDEX(BookQ3,1591)&gt;0,"Q3",IF(INDEX(BookQ4,1591)&gt;0,"Q4","")))))</f>
        <v/>
      </c>
      <c r="K1596" s="42" t="str">
        <f aca="false">IF(INDEX(BookTitle,1591)="","",INDEX(BookInYear,1591))</f>
        <v/>
      </c>
      <c r="L1596" s="19"/>
      <c r="M1596" s="39"/>
      <c r="N1596" s="19"/>
      <c r="O1596" s="19"/>
      <c r="P1596" s="43" t="str">
        <f aca="false">IF($E1596="","",IF($L1596="Decline",0,IF($L1596="Approve fewer",IF($M1596="","",$M1596),IF($L1596="","",$I1596))))</f>
        <v/>
      </c>
      <c r="Q1596" s="34" t="str">
        <f aca="false">IF($P1596="","",IF($N1596&lt;&gt;"",$N1596,$J1596))</f>
        <v/>
      </c>
      <c r="R1596" s="35" t="str">
        <f aca="false">IF(OR($P1596="",$Q1596=""),"",INDEX(BookRate,1591)*$P1596*(5-MATCH($Q1596,{"Q1";"Q2";"Q3";"Q4"},0))/4+INDEX(BookOneOff,1591)*$P1596)</f>
        <v/>
      </c>
      <c r="S1596" s="35" t="str">
        <f aca="false">IF($P1596="","",INDEX(BookRate,1591)*$P1596)</f>
        <v/>
      </c>
      <c r="T1596" s="35" t="str">
        <f aca="false">IF($R1596="","",$R1596-$K1596)</f>
        <v/>
      </c>
      <c r="U1596" s="35" t="str">
        <f aca="false">IF(N($P1596)&lt;=0,"",COUNTIF($P$6:$P1596,"&gt;0"))</f>
        <v/>
      </c>
    </row>
    <row r="1597" customFormat="false" ht="15" hidden="false" customHeight="false" outlineLevel="0" collapsed="false">
      <c r="A1597" s="40" t="str">
        <f aca="false">IF(INDEX(BookTitle,1592)="","",INDEX(BookGroup,1592))</f>
        <v/>
      </c>
      <c r="B1597" s="40" t="str">
        <f aca="false">IF(INDEX(BookTitle,1592)="","",INDEX(BookRef,1592))</f>
        <v/>
      </c>
      <c r="C1597" s="40" t="str">
        <f aca="false">IF(INDEX(BookTitle,1592)="","",INDEX(BookDivision,1592))</f>
        <v/>
      </c>
      <c r="D1597" s="40" t="str">
        <f aca="false">IF(INDEX(BookTitle,1592)="","",INDEX(BookUnit,1592))</f>
        <v/>
      </c>
      <c r="E1597" s="40" t="str">
        <f aca="false">IF(INDEX(BookTitle,1592)="","",INDEX(BookTitle,1592))</f>
        <v/>
      </c>
      <c r="F1597" s="40" t="str">
        <f aca="false">IF(INDEX(BookTitle,1592)="","",INDEX(BookLevel,1592))</f>
        <v/>
      </c>
      <c r="G1597" s="40" t="str">
        <f aca="false">IF(INDEX(BookTitle,1592)="","",INDEX(BookCategory,1592))</f>
        <v/>
      </c>
      <c r="H1597" s="40" t="str">
        <f aca="false">IF(INDEX(BookTitle,1592)="","",INDEX(BookRank,1592))</f>
        <v/>
      </c>
      <c r="I1597" s="41" t="str">
        <f aca="false">IF(INDEX(BookTitle,1592)="","",INDEX(BookTotal,1592))</f>
        <v/>
      </c>
      <c r="J1597" s="0" t="str">
        <f aca="false">IF($I1597="","",IF(INDEX(BookQ1,1592)&gt;0,"Q1",IF(INDEX(BookQ2,1592)&gt;0,"Q2",IF(INDEX(BookQ3,1592)&gt;0,"Q3",IF(INDEX(BookQ4,1592)&gt;0,"Q4","")))))</f>
        <v/>
      </c>
      <c r="K1597" s="42" t="str">
        <f aca="false">IF(INDEX(BookTitle,1592)="","",INDEX(BookInYear,1592))</f>
        <v/>
      </c>
      <c r="L1597" s="19"/>
      <c r="M1597" s="39"/>
      <c r="N1597" s="19"/>
      <c r="O1597" s="19"/>
      <c r="P1597" s="43" t="str">
        <f aca="false">IF($E1597="","",IF($L1597="Decline",0,IF($L1597="Approve fewer",IF($M1597="","",$M1597),IF($L1597="","",$I1597))))</f>
        <v/>
      </c>
      <c r="Q1597" s="34" t="str">
        <f aca="false">IF($P1597="","",IF($N1597&lt;&gt;"",$N1597,$J1597))</f>
        <v/>
      </c>
      <c r="R1597" s="35" t="str">
        <f aca="false">IF(OR($P1597="",$Q1597=""),"",INDEX(BookRate,1592)*$P1597*(5-MATCH($Q1597,{"Q1";"Q2";"Q3";"Q4"},0))/4+INDEX(BookOneOff,1592)*$P1597)</f>
        <v/>
      </c>
      <c r="S1597" s="35" t="str">
        <f aca="false">IF($P1597="","",INDEX(BookRate,1592)*$P1597)</f>
        <v/>
      </c>
      <c r="T1597" s="35" t="str">
        <f aca="false">IF($R1597="","",$R1597-$K1597)</f>
        <v/>
      </c>
      <c r="U1597" s="35" t="str">
        <f aca="false">IF(N($P1597)&lt;=0,"",COUNTIF($P$6:$P1597,"&gt;0"))</f>
        <v/>
      </c>
    </row>
    <row r="1598" customFormat="false" ht="15" hidden="false" customHeight="false" outlineLevel="0" collapsed="false">
      <c r="A1598" s="40" t="str">
        <f aca="false">IF(INDEX(BookTitle,1593)="","",INDEX(BookGroup,1593))</f>
        <v/>
      </c>
      <c r="B1598" s="40" t="str">
        <f aca="false">IF(INDEX(BookTitle,1593)="","",INDEX(BookRef,1593))</f>
        <v/>
      </c>
      <c r="C1598" s="40" t="str">
        <f aca="false">IF(INDEX(BookTitle,1593)="","",INDEX(BookDivision,1593))</f>
        <v/>
      </c>
      <c r="D1598" s="40" t="str">
        <f aca="false">IF(INDEX(BookTitle,1593)="","",INDEX(BookUnit,1593))</f>
        <v/>
      </c>
      <c r="E1598" s="40" t="str">
        <f aca="false">IF(INDEX(BookTitle,1593)="","",INDEX(BookTitle,1593))</f>
        <v/>
      </c>
      <c r="F1598" s="40" t="str">
        <f aca="false">IF(INDEX(BookTitle,1593)="","",INDEX(BookLevel,1593))</f>
        <v/>
      </c>
      <c r="G1598" s="40" t="str">
        <f aca="false">IF(INDEX(BookTitle,1593)="","",INDEX(BookCategory,1593))</f>
        <v/>
      </c>
      <c r="H1598" s="40" t="str">
        <f aca="false">IF(INDEX(BookTitle,1593)="","",INDEX(BookRank,1593))</f>
        <v/>
      </c>
      <c r="I1598" s="41" t="str">
        <f aca="false">IF(INDEX(BookTitle,1593)="","",INDEX(BookTotal,1593))</f>
        <v/>
      </c>
      <c r="J1598" s="0" t="str">
        <f aca="false">IF($I1598="","",IF(INDEX(BookQ1,1593)&gt;0,"Q1",IF(INDEX(BookQ2,1593)&gt;0,"Q2",IF(INDEX(BookQ3,1593)&gt;0,"Q3",IF(INDEX(BookQ4,1593)&gt;0,"Q4","")))))</f>
        <v/>
      </c>
      <c r="K1598" s="42" t="str">
        <f aca="false">IF(INDEX(BookTitle,1593)="","",INDEX(BookInYear,1593))</f>
        <v/>
      </c>
      <c r="L1598" s="19"/>
      <c r="M1598" s="39"/>
      <c r="N1598" s="19"/>
      <c r="O1598" s="19"/>
      <c r="P1598" s="43" t="str">
        <f aca="false">IF($E1598="","",IF($L1598="Decline",0,IF($L1598="Approve fewer",IF($M1598="","",$M1598),IF($L1598="","",$I1598))))</f>
        <v/>
      </c>
      <c r="Q1598" s="34" t="str">
        <f aca="false">IF($P1598="","",IF($N1598&lt;&gt;"",$N1598,$J1598))</f>
        <v/>
      </c>
      <c r="R1598" s="35" t="str">
        <f aca="false">IF(OR($P1598="",$Q1598=""),"",INDEX(BookRate,1593)*$P1598*(5-MATCH($Q1598,{"Q1";"Q2";"Q3";"Q4"},0))/4+INDEX(BookOneOff,1593)*$P1598)</f>
        <v/>
      </c>
      <c r="S1598" s="35" t="str">
        <f aca="false">IF($P1598="","",INDEX(BookRate,1593)*$P1598)</f>
        <v/>
      </c>
      <c r="T1598" s="35" t="str">
        <f aca="false">IF($R1598="","",$R1598-$K1598)</f>
        <v/>
      </c>
      <c r="U1598" s="35" t="str">
        <f aca="false">IF(N($P1598)&lt;=0,"",COUNTIF($P$6:$P1598,"&gt;0"))</f>
        <v/>
      </c>
    </row>
    <row r="1599" customFormat="false" ht="15" hidden="false" customHeight="false" outlineLevel="0" collapsed="false">
      <c r="A1599" s="40" t="str">
        <f aca="false">IF(INDEX(BookTitle,1594)="","",INDEX(BookGroup,1594))</f>
        <v/>
      </c>
      <c r="B1599" s="40" t="str">
        <f aca="false">IF(INDEX(BookTitle,1594)="","",INDEX(BookRef,1594))</f>
        <v/>
      </c>
      <c r="C1599" s="40" t="str">
        <f aca="false">IF(INDEX(BookTitle,1594)="","",INDEX(BookDivision,1594))</f>
        <v/>
      </c>
      <c r="D1599" s="40" t="str">
        <f aca="false">IF(INDEX(BookTitle,1594)="","",INDEX(BookUnit,1594))</f>
        <v/>
      </c>
      <c r="E1599" s="40" t="str">
        <f aca="false">IF(INDEX(BookTitle,1594)="","",INDEX(BookTitle,1594))</f>
        <v/>
      </c>
      <c r="F1599" s="40" t="str">
        <f aca="false">IF(INDEX(BookTitle,1594)="","",INDEX(BookLevel,1594))</f>
        <v/>
      </c>
      <c r="G1599" s="40" t="str">
        <f aca="false">IF(INDEX(BookTitle,1594)="","",INDEX(BookCategory,1594))</f>
        <v/>
      </c>
      <c r="H1599" s="40" t="str">
        <f aca="false">IF(INDEX(BookTitle,1594)="","",INDEX(BookRank,1594))</f>
        <v/>
      </c>
      <c r="I1599" s="41" t="str">
        <f aca="false">IF(INDEX(BookTitle,1594)="","",INDEX(BookTotal,1594))</f>
        <v/>
      </c>
      <c r="J1599" s="0" t="str">
        <f aca="false">IF($I1599="","",IF(INDEX(BookQ1,1594)&gt;0,"Q1",IF(INDEX(BookQ2,1594)&gt;0,"Q2",IF(INDEX(BookQ3,1594)&gt;0,"Q3",IF(INDEX(BookQ4,1594)&gt;0,"Q4","")))))</f>
        <v/>
      </c>
      <c r="K1599" s="42" t="str">
        <f aca="false">IF(INDEX(BookTitle,1594)="","",INDEX(BookInYear,1594))</f>
        <v/>
      </c>
      <c r="L1599" s="19"/>
      <c r="M1599" s="39"/>
      <c r="N1599" s="19"/>
      <c r="O1599" s="19"/>
      <c r="P1599" s="43" t="str">
        <f aca="false">IF($E1599="","",IF($L1599="Decline",0,IF($L1599="Approve fewer",IF($M1599="","",$M1599),IF($L1599="","",$I1599))))</f>
        <v/>
      </c>
      <c r="Q1599" s="34" t="str">
        <f aca="false">IF($P1599="","",IF($N1599&lt;&gt;"",$N1599,$J1599))</f>
        <v/>
      </c>
      <c r="R1599" s="35" t="str">
        <f aca="false">IF(OR($P1599="",$Q1599=""),"",INDEX(BookRate,1594)*$P1599*(5-MATCH($Q1599,{"Q1";"Q2";"Q3";"Q4"},0))/4+INDEX(BookOneOff,1594)*$P1599)</f>
        <v/>
      </c>
      <c r="S1599" s="35" t="str">
        <f aca="false">IF($P1599="","",INDEX(BookRate,1594)*$P1599)</f>
        <v/>
      </c>
      <c r="T1599" s="35" t="str">
        <f aca="false">IF($R1599="","",$R1599-$K1599)</f>
        <v/>
      </c>
      <c r="U1599" s="35" t="str">
        <f aca="false">IF(N($P1599)&lt;=0,"",COUNTIF($P$6:$P1599,"&gt;0"))</f>
        <v/>
      </c>
    </row>
    <row r="1600" customFormat="false" ht="15" hidden="false" customHeight="false" outlineLevel="0" collapsed="false">
      <c r="A1600" s="40" t="str">
        <f aca="false">IF(INDEX(BookTitle,1595)="","",INDEX(BookGroup,1595))</f>
        <v/>
      </c>
      <c r="B1600" s="40" t="str">
        <f aca="false">IF(INDEX(BookTitle,1595)="","",INDEX(BookRef,1595))</f>
        <v/>
      </c>
      <c r="C1600" s="40" t="str">
        <f aca="false">IF(INDEX(BookTitle,1595)="","",INDEX(BookDivision,1595))</f>
        <v/>
      </c>
      <c r="D1600" s="40" t="str">
        <f aca="false">IF(INDEX(BookTitle,1595)="","",INDEX(BookUnit,1595))</f>
        <v/>
      </c>
      <c r="E1600" s="40" t="str">
        <f aca="false">IF(INDEX(BookTitle,1595)="","",INDEX(BookTitle,1595))</f>
        <v/>
      </c>
      <c r="F1600" s="40" t="str">
        <f aca="false">IF(INDEX(BookTitle,1595)="","",INDEX(BookLevel,1595))</f>
        <v/>
      </c>
      <c r="G1600" s="40" t="str">
        <f aca="false">IF(INDEX(BookTitle,1595)="","",INDEX(BookCategory,1595))</f>
        <v/>
      </c>
      <c r="H1600" s="40" t="str">
        <f aca="false">IF(INDEX(BookTitle,1595)="","",INDEX(BookRank,1595))</f>
        <v/>
      </c>
      <c r="I1600" s="41" t="str">
        <f aca="false">IF(INDEX(BookTitle,1595)="","",INDEX(BookTotal,1595))</f>
        <v/>
      </c>
      <c r="J1600" s="0" t="str">
        <f aca="false">IF($I1600="","",IF(INDEX(BookQ1,1595)&gt;0,"Q1",IF(INDEX(BookQ2,1595)&gt;0,"Q2",IF(INDEX(BookQ3,1595)&gt;0,"Q3",IF(INDEX(BookQ4,1595)&gt;0,"Q4","")))))</f>
        <v/>
      </c>
      <c r="K1600" s="42" t="str">
        <f aca="false">IF(INDEX(BookTitle,1595)="","",INDEX(BookInYear,1595))</f>
        <v/>
      </c>
      <c r="L1600" s="19"/>
      <c r="M1600" s="39"/>
      <c r="N1600" s="19"/>
      <c r="O1600" s="19"/>
      <c r="P1600" s="43" t="str">
        <f aca="false">IF($E1600="","",IF($L1600="Decline",0,IF($L1600="Approve fewer",IF($M1600="","",$M1600),IF($L1600="","",$I1600))))</f>
        <v/>
      </c>
      <c r="Q1600" s="34" t="str">
        <f aca="false">IF($P1600="","",IF($N1600&lt;&gt;"",$N1600,$J1600))</f>
        <v/>
      </c>
      <c r="R1600" s="35" t="str">
        <f aca="false">IF(OR($P1600="",$Q1600=""),"",INDEX(BookRate,1595)*$P1600*(5-MATCH($Q1600,{"Q1";"Q2";"Q3";"Q4"},0))/4+INDEX(BookOneOff,1595)*$P1600)</f>
        <v/>
      </c>
      <c r="S1600" s="35" t="str">
        <f aca="false">IF($P1600="","",INDEX(BookRate,1595)*$P1600)</f>
        <v/>
      </c>
      <c r="T1600" s="35" t="str">
        <f aca="false">IF($R1600="","",$R1600-$K1600)</f>
        <v/>
      </c>
      <c r="U1600" s="35" t="str">
        <f aca="false">IF(N($P1600)&lt;=0,"",COUNTIF($P$6:$P1600,"&gt;0"))</f>
        <v/>
      </c>
    </row>
    <row r="1601" customFormat="false" ht="15" hidden="false" customHeight="false" outlineLevel="0" collapsed="false">
      <c r="A1601" s="40" t="str">
        <f aca="false">IF(INDEX(BookTitle,1596)="","",INDEX(BookGroup,1596))</f>
        <v/>
      </c>
      <c r="B1601" s="40" t="str">
        <f aca="false">IF(INDEX(BookTitle,1596)="","",INDEX(BookRef,1596))</f>
        <v/>
      </c>
      <c r="C1601" s="40" t="str">
        <f aca="false">IF(INDEX(BookTitle,1596)="","",INDEX(BookDivision,1596))</f>
        <v/>
      </c>
      <c r="D1601" s="40" t="str">
        <f aca="false">IF(INDEX(BookTitle,1596)="","",INDEX(BookUnit,1596))</f>
        <v/>
      </c>
      <c r="E1601" s="40" t="str">
        <f aca="false">IF(INDEX(BookTitle,1596)="","",INDEX(BookTitle,1596))</f>
        <v/>
      </c>
      <c r="F1601" s="40" t="str">
        <f aca="false">IF(INDEX(BookTitle,1596)="","",INDEX(BookLevel,1596))</f>
        <v/>
      </c>
      <c r="G1601" s="40" t="str">
        <f aca="false">IF(INDEX(BookTitle,1596)="","",INDEX(BookCategory,1596))</f>
        <v/>
      </c>
      <c r="H1601" s="40" t="str">
        <f aca="false">IF(INDEX(BookTitle,1596)="","",INDEX(BookRank,1596))</f>
        <v/>
      </c>
      <c r="I1601" s="41" t="str">
        <f aca="false">IF(INDEX(BookTitle,1596)="","",INDEX(BookTotal,1596))</f>
        <v/>
      </c>
      <c r="J1601" s="0" t="str">
        <f aca="false">IF($I1601="","",IF(INDEX(BookQ1,1596)&gt;0,"Q1",IF(INDEX(BookQ2,1596)&gt;0,"Q2",IF(INDEX(BookQ3,1596)&gt;0,"Q3",IF(INDEX(BookQ4,1596)&gt;0,"Q4","")))))</f>
        <v/>
      </c>
      <c r="K1601" s="42" t="str">
        <f aca="false">IF(INDEX(BookTitle,1596)="","",INDEX(BookInYear,1596))</f>
        <v/>
      </c>
      <c r="L1601" s="19"/>
      <c r="M1601" s="39"/>
      <c r="N1601" s="19"/>
      <c r="O1601" s="19"/>
      <c r="P1601" s="43" t="str">
        <f aca="false">IF($E1601="","",IF($L1601="Decline",0,IF($L1601="Approve fewer",IF($M1601="","",$M1601),IF($L1601="","",$I1601))))</f>
        <v/>
      </c>
      <c r="Q1601" s="34" t="str">
        <f aca="false">IF($P1601="","",IF($N1601&lt;&gt;"",$N1601,$J1601))</f>
        <v/>
      </c>
      <c r="R1601" s="35" t="str">
        <f aca="false">IF(OR($P1601="",$Q1601=""),"",INDEX(BookRate,1596)*$P1601*(5-MATCH($Q1601,{"Q1";"Q2";"Q3";"Q4"},0))/4+INDEX(BookOneOff,1596)*$P1601)</f>
        <v/>
      </c>
      <c r="S1601" s="35" t="str">
        <f aca="false">IF($P1601="","",INDEX(BookRate,1596)*$P1601)</f>
        <v/>
      </c>
      <c r="T1601" s="35" t="str">
        <f aca="false">IF($R1601="","",$R1601-$K1601)</f>
        <v/>
      </c>
      <c r="U1601" s="35" t="str">
        <f aca="false">IF(N($P1601)&lt;=0,"",COUNTIF($P$6:$P1601,"&gt;0"))</f>
        <v/>
      </c>
    </row>
    <row r="1602" customFormat="false" ht="15" hidden="false" customHeight="false" outlineLevel="0" collapsed="false">
      <c r="A1602" s="40" t="str">
        <f aca="false">IF(INDEX(BookTitle,1597)="","",INDEX(BookGroup,1597))</f>
        <v/>
      </c>
      <c r="B1602" s="40" t="str">
        <f aca="false">IF(INDEX(BookTitle,1597)="","",INDEX(BookRef,1597))</f>
        <v/>
      </c>
      <c r="C1602" s="40" t="str">
        <f aca="false">IF(INDEX(BookTitle,1597)="","",INDEX(BookDivision,1597))</f>
        <v/>
      </c>
      <c r="D1602" s="40" t="str">
        <f aca="false">IF(INDEX(BookTitle,1597)="","",INDEX(BookUnit,1597))</f>
        <v/>
      </c>
      <c r="E1602" s="40" t="str">
        <f aca="false">IF(INDEX(BookTitle,1597)="","",INDEX(BookTitle,1597))</f>
        <v/>
      </c>
      <c r="F1602" s="40" t="str">
        <f aca="false">IF(INDEX(BookTitle,1597)="","",INDEX(BookLevel,1597))</f>
        <v/>
      </c>
      <c r="G1602" s="40" t="str">
        <f aca="false">IF(INDEX(BookTitle,1597)="","",INDEX(BookCategory,1597))</f>
        <v/>
      </c>
      <c r="H1602" s="40" t="str">
        <f aca="false">IF(INDEX(BookTitle,1597)="","",INDEX(BookRank,1597))</f>
        <v/>
      </c>
      <c r="I1602" s="41" t="str">
        <f aca="false">IF(INDEX(BookTitle,1597)="","",INDEX(BookTotal,1597))</f>
        <v/>
      </c>
      <c r="J1602" s="0" t="str">
        <f aca="false">IF($I1602="","",IF(INDEX(BookQ1,1597)&gt;0,"Q1",IF(INDEX(BookQ2,1597)&gt;0,"Q2",IF(INDEX(BookQ3,1597)&gt;0,"Q3",IF(INDEX(BookQ4,1597)&gt;0,"Q4","")))))</f>
        <v/>
      </c>
      <c r="K1602" s="42" t="str">
        <f aca="false">IF(INDEX(BookTitle,1597)="","",INDEX(BookInYear,1597))</f>
        <v/>
      </c>
      <c r="L1602" s="19"/>
      <c r="M1602" s="39"/>
      <c r="N1602" s="19"/>
      <c r="O1602" s="19"/>
      <c r="P1602" s="43" t="str">
        <f aca="false">IF($E1602="","",IF($L1602="Decline",0,IF($L1602="Approve fewer",IF($M1602="","",$M1602),IF($L1602="","",$I1602))))</f>
        <v/>
      </c>
      <c r="Q1602" s="34" t="str">
        <f aca="false">IF($P1602="","",IF($N1602&lt;&gt;"",$N1602,$J1602))</f>
        <v/>
      </c>
      <c r="R1602" s="35" t="str">
        <f aca="false">IF(OR($P1602="",$Q1602=""),"",INDEX(BookRate,1597)*$P1602*(5-MATCH($Q1602,{"Q1";"Q2";"Q3";"Q4"},0))/4+INDEX(BookOneOff,1597)*$P1602)</f>
        <v/>
      </c>
      <c r="S1602" s="35" t="str">
        <f aca="false">IF($P1602="","",INDEX(BookRate,1597)*$P1602)</f>
        <v/>
      </c>
      <c r="T1602" s="35" t="str">
        <f aca="false">IF($R1602="","",$R1602-$K1602)</f>
        <v/>
      </c>
      <c r="U1602" s="35" t="str">
        <f aca="false">IF(N($P1602)&lt;=0,"",COUNTIF($P$6:$P1602,"&gt;0"))</f>
        <v/>
      </c>
    </row>
    <row r="1603" customFormat="false" ht="15" hidden="false" customHeight="false" outlineLevel="0" collapsed="false">
      <c r="A1603" s="40" t="str">
        <f aca="false">IF(INDEX(BookTitle,1598)="","",INDEX(BookGroup,1598))</f>
        <v/>
      </c>
      <c r="B1603" s="40" t="str">
        <f aca="false">IF(INDEX(BookTitle,1598)="","",INDEX(BookRef,1598))</f>
        <v/>
      </c>
      <c r="C1603" s="40" t="str">
        <f aca="false">IF(INDEX(BookTitle,1598)="","",INDEX(BookDivision,1598))</f>
        <v/>
      </c>
      <c r="D1603" s="40" t="str">
        <f aca="false">IF(INDEX(BookTitle,1598)="","",INDEX(BookUnit,1598))</f>
        <v/>
      </c>
      <c r="E1603" s="40" t="str">
        <f aca="false">IF(INDEX(BookTitle,1598)="","",INDEX(BookTitle,1598))</f>
        <v/>
      </c>
      <c r="F1603" s="40" t="str">
        <f aca="false">IF(INDEX(BookTitle,1598)="","",INDEX(BookLevel,1598))</f>
        <v/>
      </c>
      <c r="G1603" s="40" t="str">
        <f aca="false">IF(INDEX(BookTitle,1598)="","",INDEX(BookCategory,1598))</f>
        <v/>
      </c>
      <c r="H1603" s="40" t="str">
        <f aca="false">IF(INDEX(BookTitle,1598)="","",INDEX(BookRank,1598))</f>
        <v/>
      </c>
      <c r="I1603" s="41" t="str">
        <f aca="false">IF(INDEX(BookTitle,1598)="","",INDEX(BookTotal,1598))</f>
        <v/>
      </c>
      <c r="J1603" s="0" t="str">
        <f aca="false">IF($I1603="","",IF(INDEX(BookQ1,1598)&gt;0,"Q1",IF(INDEX(BookQ2,1598)&gt;0,"Q2",IF(INDEX(BookQ3,1598)&gt;0,"Q3",IF(INDEX(BookQ4,1598)&gt;0,"Q4","")))))</f>
        <v/>
      </c>
      <c r="K1603" s="42" t="str">
        <f aca="false">IF(INDEX(BookTitle,1598)="","",INDEX(BookInYear,1598))</f>
        <v/>
      </c>
      <c r="L1603" s="19"/>
      <c r="M1603" s="39"/>
      <c r="N1603" s="19"/>
      <c r="O1603" s="19"/>
      <c r="P1603" s="43" t="str">
        <f aca="false">IF($E1603="","",IF($L1603="Decline",0,IF($L1603="Approve fewer",IF($M1603="","",$M1603),IF($L1603="","",$I1603))))</f>
        <v/>
      </c>
      <c r="Q1603" s="34" t="str">
        <f aca="false">IF($P1603="","",IF($N1603&lt;&gt;"",$N1603,$J1603))</f>
        <v/>
      </c>
      <c r="R1603" s="35" t="str">
        <f aca="false">IF(OR($P1603="",$Q1603=""),"",INDEX(BookRate,1598)*$P1603*(5-MATCH($Q1603,{"Q1";"Q2";"Q3";"Q4"},0))/4+INDEX(BookOneOff,1598)*$P1603)</f>
        <v/>
      </c>
      <c r="S1603" s="35" t="str">
        <f aca="false">IF($P1603="","",INDEX(BookRate,1598)*$P1603)</f>
        <v/>
      </c>
      <c r="T1603" s="35" t="str">
        <f aca="false">IF($R1603="","",$R1603-$K1603)</f>
        <v/>
      </c>
      <c r="U1603" s="35" t="str">
        <f aca="false">IF(N($P1603)&lt;=0,"",COUNTIF($P$6:$P1603,"&gt;0"))</f>
        <v/>
      </c>
    </row>
    <row r="1604" customFormat="false" ht="15" hidden="false" customHeight="false" outlineLevel="0" collapsed="false">
      <c r="A1604" s="40" t="str">
        <f aca="false">IF(INDEX(BookTitle,1599)="","",INDEX(BookGroup,1599))</f>
        <v/>
      </c>
      <c r="B1604" s="40" t="str">
        <f aca="false">IF(INDEX(BookTitle,1599)="","",INDEX(BookRef,1599))</f>
        <v/>
      </c>
      <c r="C1604" s="40" t="str">
        <f aca="false">IF(INDEX(BookTitle,1599)="","",INDEX(BookDivision,1599))</f>
        <v/>
      </c>
      <c r="D1604" s="40" t="str">
        <f aca="false">IF(INDEX(BookTitle,1599)="","",INDEX(BookUnit,1599))</f>
        <v/>
      </c>
      <c r="E1604" s="40" t="str">
        <f aca="false">IF(INDEX(BookTitle,1599)="","",INDEX(BookTitle,1599))</f>
        <v/>
      </c>
      <c r="F1604" s="40" t="str">
        <f aca="false">IF(INDEX(BookTitle,1599)="","",INDEX(BookLevel,1599))</f>
        <v/>
      </c>
      <c r="G1604" s="40" t="str">
        <f aca="false">IF(INDEX(BookTitle,1599)="","",INDEX(BookCategory,1599))</f>
        <v/>
      </c>
      <c r="H1604" s="40" t="str">
        <f aca="false">IF(INDEX(BookTitle,1599)="","",INDEX(BookRank,1599))</f>
        <v/>
      </c>
      <c r="I1604" s="41" t="str">
        <f aca="false">IF(INDEX(BookTitle,1599)="","",INDEX(BookTotal,1599))</f>
        <v/>
      </c>
      <c r="J1604" s="0" t="str">
        <f aca="false">IF($I1604="","",IF(INDEX(BookQ1,1599)&gt;0,"Q1",IF(INDEX(BookQ2,1599)&gt;0,"Q2",IF(INDEX(BookQ3,1599)&gt;0,"Q3",IF(INDEX(BookQ4,1599)&gt;0,"Q4","")))))</f>
        <v/>
      </c>
      <c r="K1604" s="42" t="str">
        <f aca="false">IF(INDEX(BookTitle,1599)="","",INDEX(BookInYear,1599))</f>
        <v/>
      </c>
      <c r="L1604" s="19"/>
      <c r="M1604" s="39"/>
      <c r="N1604" s="19"/>
      <c r="O1604" s="19"/>
      <c r="P1604" s="43" t="str">
        <f aca="false">IF($E1604="","",IF($L1604="Decline",0,IF($L1604="Approve fewer",IF($M1604="","",$M1604),IF($L1604="","",$I1604))))</f>
        <v/>
      </c>
      <c r="Q1604" s="34" t="str">
        <f aca="false">IF($P1604="","",IF($N1604&lt;&gt;"",$N1604,$J1604))</f>
        <v/>
      </c>
      <c r="R1604" s="35" t="str">
        <f aca="false">IF(OR($P1604="",$Q1604=""),"",INDEX(BookRate,1599)*$P1604*(5-MATCH($Q1604,{"Q1";"Q2";"Q3";"Q4"},0))/4+INDEX(BookOneOff,1599)*$P1604)</f>
        <v/>
      </c>
      <c r="S1604" s="35" t="str">
        <f aca="false">IF($P1604="","",INDEX(BookRate,1599)*$P1604)</f>
        <v/>
      </c>
      <c r="T1604" s="35" t="str">
        <f aca="false">IF($R1604="","",$R1604-$K1604)</f>
        <v/>
      </c>
      <c r="U1604" s="35" t="str">
        <f aca="false">IF(N($P1604)&lt;=0,"",COUNTIF($P$6:$P1604,"&gt;0"))</f>
        <v/>
      </c>
    </row>
    <row r="1605" customFormat="false" ht="15" hidden="false" customHeight="false" outlineLevel="0" collapsed="false">
      <c r="A1605" s="40" t="str">
        <f aca="false">IF(INDEX(BookTitle,1600)="","",INDEX(BookGroup,1600))</f>
        <v/>
      </c>
      <c r="B1605" s="40" t="str">
        <f aca="false">IF(INDEX(BookTitle,1600)="","",INDEX(BookRef,1600))</f>
        <v/>
      </c>
      <c r="C1605" s="40" t="str">
        <f aca="false">IF(INDEX(BookTitle,1600)="","",INDEX(BookDivision,1600))</f>
        <v/>
      </c>
      <c r="D1605" s="40" t="str">
        <f aca="false">IF(INDEX(BookTitle,1600)="","",INDEX(BookUnit,1600))</f>
        <v/>
      </c>
      <c r="E1605" s="40" t="str">
        <f aca="false">IF(INDEX(BookTitle,1600)="","",INDEX(BookTitle,1600))</f>
        <v/>
      </c>
      <c r="F1605" s="40" t="str">
        <f aca="false">IF(INDEX(BookTitle,1600)="","",INDEX(BookLevel,1600))</f>
        <v/>
      </c>
      <c r="G1605" s="40" t="str">
        <f aca="false">IF(INDEX(BookTitle,1600)="","",INDEX(BookCategory,1600))</f>
        <v/>
      </c>
      <c r="H1605" s="40" t="str">
        <f aca="false">IF(INDEX(BookTitle,1600)="","",INDEX(BookRank,1600))</f>
        <v/>
      </c>
      <c r="I1605" s="41" t="str">
        <f aca="false">IF(INDEX(BookTitle,1600)="","",INDEX(BookTotal,1600))</f>
        <v/>
      </c>
      <c r="J1605" s="0" t="str">
        <f aca="false">IF($I1605="","",IF(INDEX(BookQ1,1600)&gt;0,"Q1",IF(INDEX(BookQ2,1600)&gt;0,"Q2",IF(INDEX(BookQ3,1600)&gt;0,"Q3",IF(INDEX(BookQ4,1600)&gt;0,"Q4","")))))</f>
        <v/>
      </c>
      <c r="K1605" s="42" t="str">
        <f aca="false">IF(INDEX(BookTitle,1600)="","",INDEX(BookInYear,1600))</f>
        <v/>
      </c>
      <c r="L1605" s="19"/>
      <c r="M1605" s="39"/>
      <c r="N1605" s="19"/>
      <c r="O1605" s="19"/>
      <c r="P1605" s="43" t="str">
        <f aca="false">IF($E1605="","",IF($L1605="Decline",0,IF($L1605="Approve fewer",IF($M1605="","",$M1605),IF($L1605="","",$I1605))))</f>
        <v/>
      </c>
      <c r="Q1605" s="34" t="str">
        <f aca="false">IF($P1605="","",IF($N1605&lt;&gt;"",$N1605,$J1605))</f>
        <v/>
      </c>
      <c r="R1605" s="35" t="str">
        <f aca="false">IF(OR($P1605="",$Q1605=""),"",INDEX(BookRate,1600)*$P1605*(5-MATCH($Q1605,{"Q1";"Q2";"Q3";"Q4"},0))/4+INDEX(BookOneOff,1600)*$P1605)</f>
        <v/>
      </c>
      <c r="S1605" s="35" t="str">
        <f aca="false">IF($P1605="","",INDEX(BookRate,1600)*$P1605)</f>
        <v/>
      </c>
      <c r="T1605" s="35" t="str">
        <f aca="false">IF($R1605="","",$R1605-$K1605)</f>
        <v/>
      </c>
      <c r="U1605" s="35" t="str">
        <f aca="false">IF(N($P1605)&lt;=0,"",COUNTIF($P$6:$P1605,"&gt;0"))</f>
        <v/>
      </c>
    </row>
    <row r="1606" customFormat="false" ht="15" hidden="false" customHeight="false" outlineLevel="0" collapsed="false">
      <c r="A1606" s="40" t="str">
        <f aca="false">IF(INDEX(BookTitle,1601)="","",INDEX(BookGroup,1601))</f>
        <v/>
      </c>
      <c r="B1606" s="40" t="str">
        <f aca="false">IF(INDEX(BookTitle,1601)="","",INDEX(BookRef,1601))</f>
        <v/>
      </c>
      <c r="C1606" s="40" t="str">
        <f aca="false">IF(INDEX(BookTitle,1601)="","",INDEX(BookDivision,1601))</f>
        <v/>
      </c>
      <c r="D1606" s="40" t="str">
        <f aca="false">IF(INDEX(BookTitle,1601)="","",INDEX(BookUnit,1601))</f>
        <v/>
      </c>
      <c r="E1606" s="40" t="str">
        <f aca="false">IF(INDEX(BookTitle,1601)="","",INDEX(BookTitle,1601))</f>
        <v/>
      </c>
      <c r="F1606" s="40" t="str">
        <f aca="false">IF(INDEX(BookTitle,1601)="","",INDEX(BookLevel,1601))</f>
        <v/>
      </c>
      <c r="G1606" s="40" t="str">
        <f aca="false">IF(INDEX(BookTitle,1601)="","",INDEX(BookCategory,1601))</f>
        <v/>
      </c>
      <c r="H1606" s="40" t="str">
        <f aca="false">IF(INDEX(BookTitle,1601)="","",INDEX(BookRank,1601))</f>
        <v/>
      </c>
      <c r="I1606" s="41" t="str">
        <f aca="false">IF(INDEX(BookTitle,1601)="","",INDEX(BookTotal,1601))</f>
        <v/>
      </c>
      <c r="J1606" s="0" t="str">
        <f aca="false">IF($I1606="","",IF(INDEX(BookQ1,1601)&gt;0,"Q1",IF(INDEX(BookQ2,1601)&gt;0,"Q2",IF(INDEX(BookQ3,1601)&gt;0,"Q3",IF(INDEX(BookQ4,1601)&gt;0,"Q4","")))))</f>
        <v/>
      </c>
      <c r="K1606" s="42" t="str">
        <f aca="false">IF(INDEX(BookTitle,1601)="","",INDEX(BookInYear,1601))</f>
        <v/>
      </c>
      <c r="L1606" s="19"/>
      <c r="M1606" s="39"/>
      <c r="N1606" s="19"/>
      <c r="O1606" s="19"/>
      <c r="P1606" s="43" t="str">
        <f aca="false">IF($E1606="","",IF($L1606="Decline",0,IF($L1606="Approve fewer",IF($M1606="","",$M1606),IF($L1606="","",$I1606))))</f>
        <v/>
      </c>
      <c r="Q1606" s="34" t="str">
        <f aca="false">IF($P1606="","",IF($N1606&lt;&gt;"",$N1606,$J1606))</f>
        <v/>
      </c>
      <c r="R1606" s="35" t="str">
        <f aca="false">IF(OR($P1606="",$Q1606=""),"",INDEX(BookRate,1601)*$P1606*(5-MATCH($Q1606,{"Q1";"Q2";"Q3";"Q4"},0))/4+INDEX(BookOneOff,1601)*$P1606)</f>
        <v/>
      </c>
      <c r="S1606" s="35" t="str">
        <f aca="false">IF($P1606="","",INDEX(BookRate,1601)*$P1606)</f>
        <v/>
      </c>
      <c r="T1606" s="35" t="str">
        <f aca="false">IF($R1606="","",$R1606-$K1606)</f>
        <v/>
      </c>
      <c r="U1606" s="35" t="str">
        <f aca="false">IF(N($P1606)&lt;=0,"",COUNTIF($P$6:$P1606,"&gt;0"))</f>
        <v/>
      </c>
    </row>
    <row r="1607" customFormat="false" ht="15" hidden="false" customHeight="false" outlineLevel="0" collapsed="false">
      <c r="A1607" s="40" t="str">
        <f aca="false">IF(INDEX(BookTitle,1602)="","",INDEX(BookGroup,1602))</f>
        <v/>
      </c>
      <c r="B1607" s="40" t="str">
        <f aca="false">IF(INDEX(BookTitle,1602)="","",INDEX(BookRef,1602))</f>
        <v/>
      </c>
      <c r="C1607" s="40" t="str">
        <f aca="false">IF(INDEX(BookTitle,1602)="","",INDEX(BookDivision,1602))</f>
        <v/>
      </c>
      <c r="D1607" s="40" t="str">
        <f aca="false">IF(INDEX(BookTitle,1602)="","",INDEX(BookUnit,1602))</f>
        <v/>
      </c>
      <c r="E1607" s="40" t="str">
        <f aca="false">IF(INDEX(BookTitle,1602)="","",INDEX(BookTitle,1602))</f>
        <v/>
      </c>
      <c r="F1607" s="40" t="str">
        <f aca="false">IF(INDEX(BookTitle,1602)="","",INDEX(BookLevel,1602))</f>
        <v/>
      </c>
      <c r="G1607" s="40" t="str">
        <f aca="false">IF(INDEX(BookTitle,1602)="","",INDEX(BookCategory,1602))</f>
        <v/>
      </c>
      <c r="H1607" s="40" t="str">
        <f aca="false">IF(INDEX(BookTitle,1602)="","",INDEX(BookRank,1602))</f>
        <v/>
      </c>
      <c r="I1607" s="41" t="str">
        <f aca="false">IF(INDEX(BookTitle,1602)="","",INDEX(BookTotal,1602))</f>
        <v/>
      </c>
      <c r="J1607" s="0" t="str">
        <f aca="false">IF($I1607="","",IF(INDEX(BookQ1,1602)&gt;0,"Q1",IF(INDEX(BookQ2,1602)&gt;0,"Q2",IF(INDEX(BookQ3,1602)&gt;0,"Q3",IF(INDEX(BookQ4,1602)&gt;0,"Q4","")))))</f>
        <v/>
      </c>
      <c r="K1607" s="42" t="str">
        <f aca="false">IF(INDEX(BookTitle,1602)="","",INDEX(BookInYear,1602))</f>
        <v/>
      </c>
      <c r="L1607" s="19"/>
      <c r="M1607" s="39"/>
      <c r="N1607" s="19"/>
      <c r="O1607" s="19"/>
      <c r="P1607" s="43" t="str">
        <f aca="false">IF($E1607="","",IF($L1607="Decline",0,IF($L1607="Approve fewer",IF($M1607="","",$M1607),IF($L1607="","",$I1607))))</f>
        <v/>
      </c>
      <c r="Q1607" s="34" t="str">
        <f aca="false">IF($P1607="","",IF($N1607&lt;&gt;"",$N1607,$J1607))</f>
        <v/>
      </c>
      <c r="R1607" s="35" t="str">
        <f aca="false">IF(OR($P1607="",$Q1607=""),"",INDEX(BookRate,1602)*$P1607*(5-MATCH($Q1607,{"Q1";"Q2";"Q3";"Q4"},0))/4+INDEX(BookOneOff,1602)*$P1607)</f>
        <v/>
      </c>
      <c r="S1607" s="35" t="str">
        <f aca="false">IF($P1607="","",INDEX(BookRate,1602)*$P1607)</f>
        <v/>
      </c>
      <c r="T1607" s="35" t="str">
        <f aca="false">IF($R1607="","",$R1607-$K1607)</f>
        <v/>
      </c>
      <c r="U1607" s="35" t="str">
        <f aca="false">IF(N($P1607)&lt;=0,"",COUNTIF($P$6:$P1607,"&gt;0"))</f>
        <v/>
      </c>
    </row>
    <row r="1608" customFormat="false" ht="15" hidden="false" customHeight="false" outlineLevel="0" collapsed="false">
      <c r="A1608" s="40" t="str">
        <f aca="false">IF(INDEX(BookTitle,1603)="","",INDEX(BookGroup,1603))</f>
        <v/>
      </c>
      <c r="B1608" s="40" t="str">
        <f aca="false">IF(INDEX(BookTitle,1603)="","",INDEX(BookRef,1603))</f>
        <v/>
      </c>
      <c r="C1608" s="40" t="str">
        <f aca="false">IF(INDEX(BookTitle,1603)="","",INDEX(BookDivision,1603))</f>
        <v/>
      </c>
      <c r="D1608" s="40" t="str">
        <f aca="false">IF(INDEX(BookTitle,1603)="","",INDEX(BookUnit,1603))</f>
        <v/>
      </c>
      <c r="E1608" s="40" t="str">
        <f aca="false">IF(INDEX(BookTitle,1603)="","",INDEX(BookTitle,1603))</f>
        <v/>
      </c>
      <c r="F1608" s="40" t="str">
        <f aca="false">IF(INDEX(BookTitle,1603)="","",INDEX(BookLevel,1603))</f>
        <v/>
      </c>
      <c r="G1608" s="40" t="str">
        <f aca="false">IF(INDEX(BookTitle,1603)="","",INDEX(BookCategory,1603))</f>
        <v/>
      </c>
      <c r="H1608" s="40" t="str">
        <f aca="false">IF(INDEX(BookTitle,1603)="","",INDEX(BookRank,1603))</f>
        <v/>
      </c>
      <c r="I1608" s="41" t="str">
        <f aca="false">IF(INDEX(BookTitle,1603)="","",INDEX(BookTotal,1603))</f>
        <v/>
      </c>
      <c r="J1608" s="0" t="str">
        <f aca="false">IF($I1608="","",IF(INDEX(BookQ1,1603)&gt;0,"Q1",IF(INDEX(BookQ2,1603)&gt;0,"Q2",IF(INDEX(BookQ3,1603)&gt;0,"Q3",IF(INDEX(BookQ4,1603)&gt;0,"Q4","")))))</f>
        <v/>
      </c>
      <c r="K1608" s="42" t="str">
        <f aca="false">IF(INDEX(BookTitle,1603)="","",INDEX(BookInYear,1603))</f>
        <v/>
      </c>
      <c r="L1608" s="19"/>
      <c r="M1608" s="39"/>
      <c r="N1608" s="19"/>
      <c r="O1608" s="19"/>
      <c r="P1608" s="43" t="str">
        <f aca="false">IF($E1608="","",IF($L1608="Decline",0,IF($L1608="Approve fewer",IF($M1608="","",$M1608),IF($L1608="","",$I1608))))</f>
        <v/>
      </c>
      <c r="Q1608" s="34" t="str">
        <f aca="false">IF($P1608="","",IF($N1608&lt;&gt;"",$N1608,$J1608))</f>
        <v/>
      </c>
      <c r="R1608" s="35" t="str">
        <f aca="false">IF(OR($P1608="",$Q1608=""),"",INDEX(BookRate,1603)*$P1608*(5-MATCH($Q1608,{"Q1";"Q2";"Q3";"Q4"},0))/4+INDEX(BookOneOff,1603)*$P1608)</f>
        <v/>
      </c>
      <c r="S1608" s="35" t="str">
        <f aca="false">IF($P1608="","",INDEX(BookRate,1603)*$P1608)</f>
        <v/>
      </c>
      <c r="T1608" s="35" t="str">
        <f aca="false">IF($R1608="","",$R1608-$K1608)</f>
        <v/>
      </c>
      <c r="U1608" s="35" t="str">
        <f aca="false">IF(N($P1608)&lt;=0,"",COUNTIF($P$6:$P1608,"&gt;0"))</f>
        <v/>
      </c>
    </row>
    <row r="1609" customFormat="false" ht="15" hidden="false" customHeight="false" outlineLevel="0" collapsed="false">
      <c r="A1609" s="40" t="str">
        <f aca="false">IF(INDEX(BookTitle,1604)="","",INDEX(BookGroup,1604))</f>
        <v/>
      </c>
      <c r="B1609" s="40" t="str">
        <f aca="false">IF(INDEX(BookTitle,1604)="","",INDEX(BookRef,1604))</f>
        <v/>
      </c>
      <c r="C1609" s="40" t="str">
        <f aca="false">IF(INDEX(BookTitle,1604)="","",INDEX(BookDivision,1604))</f>
        <v/>
      </c>
      <c r="D1609" s="40" t="str">
        <f aca="false">IF(INDEX(BookTitle,1604)="","",INDEX(BookUnit,1604))</f>
        <v/>
      </c>
      <c r="E1609" s="40" t="str">
        <f aca="false">IF(INDEX(BookTitle,1604)="","",INDEX(BookTitle,1604))</f>
        <v/>
      </c>
      <c r="F1609" s="40" t="str">
        <f aca="false">IF(INDEX(BookTitle,1604)="","",INDEX(BookLevel,1604))</f>
        <v/>
      </c>
      <c r="G1609" s="40" t="str">
        <f aca="false">IF(INDEX(BookTitle,1604)="","",INDEX(BookCategory,1604))</f>
        <v/>
      </c>
      <c r="H1609" s="40" t="str">
        <f aca="false">IF(INDEX(BookTitle,1604)="","",INDEX(BookRank,1604))</f>
        <v/>
      </c>
      <c r="I1609" s="41" t="str">
        <f aca="false">IF(INDEX(BookTitle,1604)="","",INDEX(BookTotal,1604))</f>
        <v/>
      </c>
      <c r="J1609" s="0" t="str">
        <f aca="false">IF($I1609="","",IF(INDEX(BookQ1,1604)&gt;0,"Q1",IF(INDEX(BookQ2,1604)&gt;0,"Q2",IF(INDEX(BookQ3,1604)&gt;0,"Q3",IF(INDEX(BookQ4,1604)&gt;0,"Q4","")))))</f>
        <v/>
      </c>
      <c r="K1609" s="42" t="str">
        <f aca="false">IF(INDEX(BookTitle,1604)="","",INDEX(BookInYear,1604))</f>
        <v/>
      </c>
      <c r="L1609" s="19"/>
      <c r="M1609" s="39"/>
      <c r="N1609" s="19"/>
      <c r="O1609" s="19"/>
      <c r="P1609" s="43" t="str">
        <f aca="false">IF($E1609="","",IF($L1609="Decline",0,IF($L1609="Approve fewer",IF($M1609="","",$M1609),IF($L1609="","",$I1609))))</f>
        <v/>
      </c>
      <c r="Q1609" s="34" t="str">
        <f aca="false">IF($P1609="","",IF($N1609&lt;&gt;"",$N1609,$J1609))</f>
        <v/>
      </c>
      <c r="R1609" s="35" t="str">
        <f aca="false">IF(OR($P1609="",$Q1609=""),"",INDEX(BookRate,1604)*$P1609*(5-MATCH($Q1609,{"Q1";"Q2";"Q3";"Q4"},0))/4+INDEX(BookOneOff,1604)*$P1609)</f>
        <v/>
      </c>
      <c r="S1609" s="35" t="str">
        <f aca="false">IF($P1609="","",INDEX(BookRate,1604)*$P1609)</f>
        <v/>
      </c>
      <c r="T1609" s="35" t="str">
        <f aca="false">IF($R1609="","",$R1609-$K1609)</f>
        <v/>
      </c>
      <c r="U1609" s="35" t="str">
        <f aca="false">IF(N($P1609)&lt;=0,"",COUNTIF($P$6:$P1609,"&gt;0"))</f>
        <v/>
      </c>
    </row>
    <row r="1610" customFormat="false" ht="15" hidden="false" customHeight="false" outlineLevel="0" collapsed="false">
      <c r="A1610" s="40" t="str">
        <f aca="false">IF(INDEX(BookTitle,1605)="","",INDEX(BookGroup,1605))</f>
        <v/>
      </c>
      <c r="B1610" s="40" t="str">
        <f aca="false">IF(INDEX(BookTitle,1605)="","",INDEX(BookRef,1605))</f>
        <v/>
      </c>
      <c r="C1610" s="40" t="str">
        <f aca="false">IF(INDEX(BookTitle,1605)="","",INDEX(BookDivision,1605))</f>
        <v/>
      </c>
      <c r="D1610" s="40" t="str">
        <f aca="false">IF(INDEX(BookTitle,1605)="","",INDEX(BookUnit,1605))</f>
        <v/>
      </c>
      <c r="E1610" s="40" t="str">
        <f aca="false">IF(INDEX(BookTitle,1605)="","",INDEX(BookTitle,1605))</f>
        <v/>
      </c>
      <c r="F1610" s="40" t="str">
        <f aca="false">IF(INDEX(BookTitle,1605)="","",INDEX(BookLevel,1605))</f>
        <v/>
      </c>
      <c r="G1610" s="40" t="str">
        <f aca="false">IF(INDEX(BookTitle,1605)="","",INDEX(BookCategory,1605))</f>
        <v/>
      </c>
      <c r="H1610" s="40" t="str">
        <f aca="false">IF(INDEX(BookTitle,1605)="","",INDEX(BookRank,1605))</f>
        <v/>
      </c>
      <c r="I1610" s="41" t="str">
        <f aca="false">IF(INDEX(BookTitle,1605)="","",INDEX(BookTotal,1605))</f>
        <v/>
      </c>
      <c r="J1610" s="0" t="str">
        <f aca="false">IF($I1610="","",IF(INDEX(BookQ1,1605)&gt;0,"Q1",IF(INDEX(BookQ2,1605)&gt;0,"Q2",IF(INDEX(BookQ3,1605)&gt;0,"Q3",IF(INDEX(BookQ4,1605)&gt;0,"Q4","")))))</f>
        <v/>
      </c>
      <c r="K1610" s="42" t="str">
        <f aca="false">IF(INDEX(BookTitle,1605)="","",INDEX(BookInYear,1605))</f>
        <v/>
      </c>
      <c r="L1610" s="19"/>
      <c r="M1610" s="39"/>
      <c r="N1610" s="19"/>
      <c r="O1610" s="19"/>
      <c r="P1610" s="43" t="str">
        <f aca="false">IF($E1610="","",IF($L1610="Decline",0,IF($L1610="Approve fewer",IF($M1610="","",$M1610),IF($L1610="","",$I1610))))</f>
        <v/>
      </c>
      <c r="Q1610" s="34" t="str">
        <f aca="false">IF($P1610="","",IF($N1610&lt;&gt;"",$N1610,$J1610))</f>
        <v/>
      </c>
      <c r="R1610" s="35" t="str">
        <f aca="false">IF(OR($P1610="",$Q1610=""),"",INDEX(BookRate,1605)*$P1610*(5-MATCH($Q1610,{"Q1";"Q2";"Q3";"Q4"},0))/4+INDEX(BookOneOff,1605)*$P1610)</f>
        <v/>
      </c>
      <c r="S1610" s="35" t="str">
        <f aca="false">IF($P1610="","",INDEX(BookRate,1605)*$P1610)</f>
        <v/>
      </c>
      <c r="T1610" s="35" t="str">
        <f aca="false">IF($R1610="","",$R1610-$K1610)</f>
        <v/>
      </c>
      <c r="U1610" s="35" t="str">
        <f aca="false">IF(N($P1610)&lt;=0,"",COUNTIF($P$6:$P1610,"&gt;0"))</f>
        <v/>
      </c>
    </row>
    <row r="1611" customFormat="false" ht="15" hidden="false" customHeight="false" outlineLevel="0" collapsed="false">
      <c r="A1611" s="40" t="str">
        <f aca="false">IF(INDEX(BookTitle,1606)="","",INDEX(BookGroup,1606))</f>
        <v/>
      </c>
      <c r="B1611" s="40" t="str">
        <f aca="false">IF(INDEX(BookTitle,1606)="","",INDEX(BookRef,1606))</f>
        <v/>
      </c>
      <c r="C1611" s="40" t="str">
        <f aca="false">IF(INDEX(BookTitle,1606)="","",INDEX(BookDivision,1606))</f>
        <v/>
      </c>
      <c r="D1611" s="40" t="str">
        <f aca="false">IF(INDEX(BookTitle,1606)="","",INDEX(BookUnit,1606))</f>
        <v/>
      </c>
      <c r="E1611" s="40" t="str">
        <f aca="false">IF(INDEX(BookTitle,1606)="","",INDEX(BookTitle,1606))</f>
        <v/>
      </c>
      <c r="F1611" s="40" t="str">
        <f aca="false">IF(INDEX(BookTitle,1606)="","",INDEX(BookLevel,1606))</f>
        <v/>
      </c>
      <c r="G1611" s="40" t="str">
        <f aca="false">IF(INDEX(BookTitle,1606)="","",INDEX(BookCategory,1606))</f>
        <v/>
      </c>
      <c r="H1611" s="40" t="str">
        <f aca="false">IF(INDEX(BookTitle,1606)="","",INDEX(BookRank,1606))</f>
        <v/>
      </c>
      <c r="I1611" s="41" t="str">
        <f aca="false">IF(INDEX(BookTitle,1606)="","",INDEX(BookTotal,1606))</f>
        <v/>
      </c>
      <c r="J1611" s="0" t="str">
        <f aca="false">IF($I1611="","",IF(INDEX(BookQ1,1606)&gt;0,"Q1",IF(INDEX(BookQ2,1606)&gt;0,"Q2",IF(INDEX(BookQ3,1606)&gt;0,"Q3",IF(INDEX(BookQ4,1606)&gt;0,"Q4","")))))</f>
        <v/>
      </c>
      <c r="K1611" s="42" t="str">
        <f aca="false">IF(INDEX(BookTitle,1606)="","",INDEX(BookInYear,1606))</f>
        <v/>
      </c>
      <c r="L1611" s="19"/>
      <c r="M1611" s="39"/>
      <c r="N1611" s="19"/>
      <c r="O1611" s="19"/>
      <c r="P1611" s="43" t="str">
        <f aca="false">IF($E1611="","",IF($L1611="Decline",0,IF($L1611="Approve fewer",IF($M1611="","",$M1611),IF($L1611="","",$I1611))))</f>
        <v/>
      </c>
      <c r="Q1611" s="34" t="str">
        <f aca="false">IF($P1611="","",IF($N1611&lt;&gt;"",$N1611,$J1611))</f>
        <v/>
      </c>
      <c r="R1611" s="35" t="str">
        <f aca="false">IF(OR($P1611="",$Q1611=""),"",INDEX(BookRate,1606)*$P1611*(5-MATCH($Q1611,{"Q1";"Q2";"Q3";"Q4"},0))/4+INDEX(BookOneOff,1606)*$P1611)</f>
        <v/>
      </c>
      <c r="S1611" s="35" t="str">
        <f aca="false">IF($P1611="","",INDEX(BookRate,1606)*$P1611)</f>
        <v/>
      </c>
      <c r="T1611" s="35" t="str">
        <f aca="false">IF($R1611="","",$R1611-$K1611)</f>
        <v/>
      </c>
      <c r="U1611" s="35" t="str">
        <f aca="false">IF(N($P1611)&lt;=0,"",COUNTIF($P$6:$P1611,"&gt;0"))</f>
        <v/>
      </c>
    </row>
    <row r="1612" customFormat="false" ht="15" hidden="false" customHeight="false" outlineLevel="0" collapsed="false">
      <c r="A1612" s="40" t="str">
        <f aca="false">IF(INDEX(BookTitle,1607)="","",INDEX(BookGroup,1607))</f>
        <v/>
      </c>
      <c r="B1612" s="40" t="str">
        <f aca="false">IF(INDEX(BookTitle,1607)="","",INDEX(BookRef,1607))</f>
        <v/>
      </c>
      <c r="C1612" s="40" t="str">
        <f aca="false">IF(INDEX(BookTitle,1607)="","",INDEX(BookDivision,1607))</f>
        <v/>
      </c>
      <c r="D1612" s="40" t="str">
        <f aca="false">IF(INDEX(BookTitle,1607)="","",INDEX(BookUnit,1607))</f>
        <v/>
      </c>
      <c r="E1612" s="40" t="str">
        <f aca="false">IF(INDEX(BookTitle,1607)="","",INDEX(BookTitle,1607))</f>
        <v/>
      </c>
      <c r="F1612" s="40" t="str">
        <f aca="false">IF(INDEX(BookTitle,1607)="","",INDEX(BookLevel,1607))</f>
        <v/>
      </c>
      <c r="G1612" s="40" t="str">
        <f aca="false">IF(INDEX(BookTitle,1607)="","",INDEX(BookCategory,1607))</f>
        <v/>
      </c>
      <c r="H1612" s="40" t="str">
        <f aca="false">IF(INDEX(BookTitle,1607)="","",INDEX(BookRank,1607))</f>
        <v/>
      </c>
      <c r="I1612" s="41" t="str">
        <f aca="false">IF(INDEX(BookTitle,1607)="","",INDEX(BookTotal,1607))</f>
        <v/>
      </c>
      <c r="J1612" s="0" t="str">
        <f aca="false">IF($I1612="","",IF(INDEX(BookQ1,1607)&gt;0,"Q1",IF(INDEX(BookQ2,1607)&gt;0,"Q2",IF(INDEX(BookQ3,1607)&gt;0,"Q3",IF(INDEX(BookQ4,1607)&gt;0,"Q4","")))))</f>
        <v/>
      </c>
      <c r="K1612" s="42" t="str">
        <f aca="false">IF(INDEX(BookTitle,1607)="","",INDEX(BookInYear,1607))</f>
        <v/>
      </c>
      <c r="L1612" s="19"/>
      <c r="M1612" s="39"/>
      <c r="N1612" s="19"/>
      <c r="O1612" s="19"/>
      <c r="P1612" s="43" t="str">
        <f aca="false">IF($E1612="","",IF($L1612="Decline",0,IF($L1612="Approve fewer",IF($M1612="","",$M1612),IF($L1612="","",$I1612))))</f>
        <v/>
      </c>
      <c r="Q1612" s="34" t="str">
        <f aca="false">IF($P1612="","",IF($N1612&lt;&gt;"",$N1612,$J1612))</f>
        <v/>
      </c>
      <c r="R1612" s="35" t="str">
        <f aca="false">IF(OR($P1612="",$Q1612=""),"",INDEX(BookRate,1607)*$P1612*(5-MATCH($Q1612,{"Q1";"Q2";"Q3";"Q4"},0))/4+INDEX(BookOneOff,1607)*$P1612)</f>
        <v/>
      </c>
      <c r="S1612" s="35" t="str">
        <f aca="false">IF($P1612="","",INDEX(BookRate,1607)*$P1612)</f>
        <v/>
      </c>
      <c r="T1612" s="35" t="str">
        <f aca="false">IF($R1612="","",$R1612-$K1612)</f>
        <v/>
      </c>
      <c r="U1612" s="35" t="str">
        <f aca="false">IF(N($P1612)&lt;=0,"",COUNTIF($P$6:$P1612,"&gt;0"))</f>
        <v/>
      </c>
    </row>
    <row r="1613" customFormat="false" ht="15" hidden="false" customHeight="false" outlineLevel="0" collapsed="false">
      <c r="A1613" s="40" t="str">
        <f aca="false">IF(INDEX(BookTitle,1608)="","",INDEX(BookGroup,1608))</f>
        <v/>
      </c>
      <c r="B1613" s="40" t="str">
        <f aca="false">IF(INDEX(BookTitle,1608)="","",INDEX(BookRef,1608))</f>
        <v/>
      </c>
      <c r="C1613" s="40" t="str">
        <f aca="false">IF(INDEX(BookTitle,1608)="","",INDEX(BookDivision,1608))</f>
        <v/>
      </c>
      <c r="D1613" s="40" t="str">
        <f aca="false">IF(INDEX(BookTitle,1608)="","",INDEX(BookUnit,1608))</f>
        <v/>
      </c>
      <c r="E1613" s="40" t="str">
        <f aca="false">IF(INDEX(BookTitle,1608)="","",INDEX(BookTitle,1608))</f>
        <v/>
      </c>
      <c r="F1613" s="40" t="str">
        <f aca="false">IF(INDEX(BookTitle,1608)="","",INDEX(BookLevel,1608))</f>
        <v/>
      </c>
      <c r="G1613" s="40" t="str">
        <f aca="false">IF(INDEX(BookTitle,1608)="","",INDEX(BookCategory,1608))</f>
        <v/>
      </c>
      <c r="H1613" s="40" t="str">
        <f aca="false">IF(INDEX(BookTitle,1608)="","",INDEX(BookRank,1608))</f>
        <v/>
      </c>
      <c r="I1613" s="41" t="str">
        <f aca="false">IF(INDEX(BookTitle,1608)="","",INDEX(BookTotal,1608))</f>
        <v/>
      </c>
      <c r="J1613" s="0" t="str">
        <f aca="false">IF($I1613="","",IF(INDEX(BookQ1,1608)&gt;0,"Q1",IF(INDEX(BookQ2,1608)&gt;0,"Q2",IF(INDEX(BookQ3,1608)&gt;0,"Q3",IF(INDEX(BookQ4,1608)&gt;0,"Q4","")))))</f>
        <v/>
      </c>
      <c r="K1613" s="42" t="str">
        <f aca="false">IF(INDEX(BookTitle,1608)="","",INDEX(BookInYear,1608))</f>
        <v/>
      </c>
      <c r="L1613" s="19"/>
      <c r="M1613" s="39"/>
      <c r="N1613" s="19"/>
      <c r="O1613" s="19"/>
      <c r="P1613" s="43" t="str">
        <f aca="false">IF($E1613="","",IF($L1613="Decline",0,IF($L1613="Approve fewer",IF($M1613="","",$M1613),IF($L1613="","",$I1613))))</f>
        <v/>
      </c>
      <c r="Q1613" s="34" t="str">
        <f aca="false">IF($P1613="","",IF($N1613&lt;&gt;"",$N1613,$J1613))</f>
        <v/>
      </c>
      <c r="R1613" s="35" t="str">
        <f aca="false">IF(OR($P1613="",$Q1613=""),"",INDEX(BookRate,1608)*$P1613*(5-MATCH($Q1613,{"Q1";"Q2";"Q3";"Q4"},0))/4+INDEX(BookOneOff,1608)*$P1613)</f>
        <v/>
      </c>
      <c r="S1613" s="35" t="str">
        <f aca="false">IF($P1613="","",INDEX(BookRate,1608)*$P1613)</f>
        <v/>
      </c>
      <c r="T1613" s="35" t="str">
        <f aca="false">IF($R1613="","",$R1613-$K1613)</f>
        <v/>
      </c>
      <c r="U1613" s="35" t="str">
        <f aca="false">IF(N($P1613)&lt;=0,"",COUNTIF($P$6:$P1613,"&gt;0"))</f>
        <v/>
      </c>
    </row>
    <row r="1614" customFormat="false" ht="15" hidden="false" customHeight="false" outlineLevel="0" collapsed="false">
      <c r="A1614" s="40" t="str">
        <f aca="false">IF(INDEX(BookTitle,1609)="","",INDEX(BookGroup,1609))</f>
        <v/>
      </c>
      <c r="B1614" s="40" t="str">
        <f aca="false">IF(INDEX(BookTitle,1609)="","",INDEX(BookRef,1609))</f>
        <v/>
      </c>
      <c r="C1614" s="40" t="str">
        <f aca="false">IF(INDEX(BookTitle,1609)="","",INDEX(BookDivision,1609))</f>
        <v/>
      </c>
      <c r="D1614" s="40" t="str">
        <f aca="false">IF(INDEX(BookTitle,1609)="","",INDEX(BookUnit,1609))</f>
        <v/>
      </c>
      <c r="E1614" s="40" t="str">
        <f aca="false">IF(INDEX(BookTitle,1609)="","",INDEX(BookTitle,1609))</f>
        <v/>
      </c>
      <c r="F1614" s="40" t="str">
        <f aca="false">IF(INDEX(BookTitle,1609)="","",INDEX(BookLevel,1609))</f>
        <v/>
      </c>
      <c r="G1614" s="40" t="str">
        <f aca="false">IF(INDEX(BookTitle,1609)="","",INDEX(BookCategory,1609))</f>
        <v/>
      </c>
      <c r="H1614" s="40" t="str">
        <f aca="false">IF(INDEX(BookTitle,1609)="","",INDEX(BookRank,1609))</f>
        <v/>
      </c>
      <c r="I1614" s="41" t="str">
        <f aca="false">IF(INDEX(BookTitle,1609)="","",INDEX(BookTotal,1609))</f>
        <v/>
      </c>
      <c r="J1614" s="0" t="str">
        <f aca="false">IF($I1614="","",IF(INDEX(BookQ1,1609)&gt;0,"Q1",IF(INDEX(BookQ2,1609)&gt;0,"Q2",IF(INDEX(BookQ3,1609)&gt;0,"Q3",IF(INDEX(BookQ4,1609)&gt;0,"Q4","")))))</f>
        <v/>
      </c>
      <c r="K1614" s="42" t="str">
        <f aca="false">IF(INDEX(BookTitle,1609)="","",INDEX(BookInYear,1609))</f>
        <v/>
      </c>
      <c r="L1614" s="19"/>
      <c r="M1614" s="39"/>
      <c r="N1614" s="19"/>
      <c r="O1614" s="19"/>
      <c r="P1614" s="43" t="str">
        <f aca="false">IF($E1614="","",IF($L1614="Decline",0,IF($L1614="Approve fewer",IF($M1614="","",$M1614),IF($L1614="","",$I1614))))</f>
        <v/>
      </c>
      <c r="Q1614" s="34" t="str">
        <f aca="false">IF($P1614="","",IF($N1614&lt;&gt;"",$N1614,$J1614))</f>
        <v/>
      </c>
      <c r="R1614" s="35" t="str">
        <f aca="false">IF(OR($P1614="",$Q1614=""),"",INDEX(BookRate,1609)*$P1614*(5-MATCH($Q1614,{"Q1";"Q2";"Q3";"Q4"},0))/4+INDEX(BookOneOff,1609)*$P1614)</f>
        <v/>
      </c>
      <c r="S1614" s="35" t="str">
        <f aca="false">IF($P1614="","",INDEX(BookRate,1609)*$P1614)</f>
        <v/>
      </c>
      <c r="T1614" s="35" t="str">
        <f aca="false">IF($R1614="","",$R1614-$K1614)</f>
        <v/>
      </c>
      <c r="U1614" s="35" t="str">
        <f aca="false">IF(N($P1614)&lt;=0,"",COUNTIF($P$6:$P1614,"&gt;0"))</f>
        <v/>
      </c>
    </row>
    <row r="1615" customFormat="false" ht="15" hidden="false" customHeight="false" outlineLevel="0" collapsed="false">
      <c r="A1615" s="40" t="str">
        <f aca="false">IF(INDEX(BookTitle,1610)="","",INDEX(BookGroup,1610))</f>
        <v/>
      </c>
      <c r="B1615" s="40" t="str">
        <f aca="false">IF(INDEX(BookTitle,1610)="","",INDEX(BookRef,1610))</f>
        <v/>
      </c>
      <c r="C1615" s="40" t="str">
        <f aca="false">IF(INDEX(BookTitle,1610)="","",INDEX(BookDivision,1610))</f>
        <v/>
      </c>
      <c r="D1615" s="40" t="str">
        <f aca="false">IF(INDEX(BookTitle,1610)="","",INDEX(BookUnit,1610))</f>
        <v/>
      </c>
      <c r="E1615" s="40" t="str">
        <f aca="false">IF(INDEX(BookTitle,1610)="","",INDEX(BookTitle,1610))</f>
        <v/>
      </c>
      <c r="F1615" s="40" t="str">
        <f aca="false">IF(INDEX(BookTitle,1610)="","",INDEX(BookLevel,1610))</f>
        <v/>
      </c>
      <c r="G1615" s="40" t="str">
        <f aca="false">IF(INDEX(BookTitle,1610)="","",INDEX(BookCategory,1610))</f>
        <v/>
      </c>
      <c r="H1615" s="40" t="str">
        <f aca="false">IF(INDEX(BookTitle,1610)="","",INDEX(BookRank,1610))</f>
        <v/>
      </c>
      <c r="I1615" s="41" t="str">
        <f aca="false">IF(INDEX(BookTitle,1610)="","",INDEX(BookTotal,1610))</f>
        <v/>
      </c>
      <c r="J1615" s="0" t="str">
        <f aca="false">IF($I1615="","",IF(INDEX(BookQ1,1610)&gt;0,"Q1",IF(INDEX(BookQ2,1610)&gt;0,"Q2",IF(INDEX(BookQ3,1610)&gt;0,"Q3",IF(INDEX(BookQ4,1610)&gt;0,"Q4","")))))</f>
        <v/>
      </c>
      <c r="K1615" s="42" t="str">
        <f aca="false">IF(INDEX(BookTitle,1610)="","",INDEX(BookInYear,1610))</f>
        <v/>
      </c>
      <c r="L1615" s="19"/>
      <c r="M1615" s="39"/>
      <c r="N1615" s="19"/>
      <c r="O1615" s="19"/>
      <c r="P1615" s="43" t="str">
        <f aca="false">IF($E1615="","",IF($L1615="Decline",0,IF($L1615="Approve fewer",IF($M1615="","",$M1615),IF($L1615="","",$I1615))))</f>
        <v/>
      </c>
      <c r="Q1615" s="34" t="str">
        <f aca="false">IF($P1615="","",IF($N1615&lt;&gt;"",$N1615,$J1615))</f>
        <v/>
      </c>
      <c r="R1615" s="35" t="str">
        <f aca="false">IF(OR($P1615="",$Q1615=""),"",INDEX(BookRate,1610)*$P1615*(5-MATCH($Q1615,{"Q1";"Q2";"Q3";"Q4"},0))/4+INDEX(BookOneOff,1610)*$P1615)</f>
        <v/>
      </c>
      <c r="S1615" s="35" t="str">
        <f aca="false">IF($P1615="","",INDEX(BookRate,1610)*$P1615)</f>
        <v/>
      </c>
      <c r="T1615" s="35" t="str">
        <f aca="false">IF($R1615="","",$R1615-$K1615)</f>
        <v/>
      </c>
      <c r="U1615" s="35" t="str">
        <f aca="false">IF(N($P1615)&lt;=0,"",COUNTIF($P$6:$P1615,"&gt;0"))</f>
        <v/>
      </c>
    </row>
    <row r="1616" customFormat="false" ht="15" hidden="false" customHeight="false" outlineLevel="0" collapsed="false">
      <c r="A1616" s="40" t="str">
        <f aca="false">IF(INDEX(BookTitle,1611)="","",INDEX(BookGroup,1611))</f>
        <v/>
      </c>
      <c r="B1616" s="40" t="str">
        <f aca="false">IF(INDEX(BookTitle,1611)="","",INDEX(BookRef,1611))</f>
        <v/>
      </c>
      <c r="C1616" s="40" t="str">
        <f aca="false">IF(INDEX(BookTitle,1611)="","",INDEX(BookDivision,1611))</f>
        <v/>
      </c>
      <c r="D1616" s="40" t="str">
        <f aca="false">IF(INDEX(BookTitle,1611)="","",INDEX(BookUnit,1611))</f>
        <v/>
      </c>
      <c r="E1616" s="40" t="str">
        <f aca="false">IF(INDEX(BookTitle,1611)="","",INDEX(BookTitle,1611))</f>
        <v/>
      </c>
      <c r="F1616" s="40" t="str">
        <f aca="false">IF(INDEX(BookTitle,1611)="","",INDEX(BookLevel,1611))</f>
        <v/>
      </c>
      <c r="G1616" s="40" t="str">
        <f aca="false">IF(INDEX(BookTitle,1611)="","",INDEX(BookCategory,1611))</f>
        <v/>
      </c>
      <c r="H1616" s="40" t="str">
        <f aca="false">IF(INDEX(BookTitle,1611)="","",INDEX(BookRank,1611))</f>
        <v/>
      </c>
      <c r="I1616" s="41" t="str">
        <f aca="false">IF(INDEX(BookTitle,1611)="","",INDEX(BookTotal,1611))</f>
        <v/>
      </c>
      <c r="J1616" s="0" t="str">
        <f aca="false">IF($I1616="","",IF(INDEX(BookQ1,1611)&gt;0,"Q1",IF(INDEX(BookQ2,1611)&gt;0,"Q2",IF(INDEX(BookQ3,1611)&gt;0,"Q3",IF(INDEX(BookQ4,1611)&gt;0,"Q4","")))))</f>
        <v/>
      </c>
      <c r="K1616" s="42" t="str">
        <f aca="false">IF(INDEX(BookTitle,1611)="","",INDEX(BookInYear,1611))</f>
        <v/>
      </c>
      <c r="L1616" s="19"/>
      <c r="M1616" s="39"/>
      <c r="N1616" s="19"/>
      <c r="O1616" s="19"/>
      <c r="P1616" s="43" t="str">
        <f aca="false">IF($E1616="","",IF($L1616="Decline",0,IF($L1616="Approve fewer",IF($M1616="","",$M1616),IF($L1616="","",$I1616))))</f>
        <v/>
      </c>
      <c r="Q1616" s="34" t="str">
        <f aca="false">IF($P1616="","",IF($N1616&lt;&gt;"",$N1616,$J1616))</f>
        <v/>
      </c>
      <c r="R1616" s="35" t="str">
        <f aca="false">IF(OR($P1616="",$Q1616=""),"",INDEX(BookRate,1611)*$P1616*(5-MATCH($Q1616,{"Q1";"Q2";"Q3";"Q4"},0))/4+INDEX(BookOneOff,1611)*$P1616)</f>
        <v/>
      </c>
      <c r="S1616" s="35" t="str">
        <f aca="false">IF($P1616="","",INDEX(BookRate,1611)*$P1616)</f>
        <v/>
      </c>
      <c r="T1616" s="35" t="str">
        <f aca="false">IF($R1616="","",$R1616-$K1616)</f>
        <v/>
      </c>
      <c r="U1616" s="35" t="str">
        <f aca="false">IF(N($P1616)&lt;=0,"",COUNTIF($P$6:$P1616,"&gt;0"))</f>
        <v/>
      </c>
    </row>
    <row r="1617" customFormat="false" ht="15" hidden="false" customHeight="false" outlineLevel="0" collapsed="false">
      <c r="A1617" s="40" t="str">
        <f aca="false">IF(INDEX(BookTitle,1612)="","",INDEX(BookGroup,1612))</f>
        <v/>
      </c>
      <c r="B1617" s="40" t="str">
        <f aca="false">IF(INDEX(BookTitle,1612)="","",INDEX(BookRef,1612))</f>
        <v/>
      </c>
      <c r="C1617" s="40" t="str">
        <f aca="false">IF(INDEX(BookTitle,1612)="","",INDEX(BookDivision,1612))</f>
        <v/>
      </c>
      <c r="D1617" s="40" t="str">
        <f aca="false">IF(INDEX(BookTitle,1612)="","",INDEX(BookUnit,1612))</f>
        <v/>
      </c>
      <c r="E1617" s="40" t="str">
        <f aca="false">IF(INDEX(BookTitle,1612)="","",INDEX(BookTitle,1612))</f>
        <v/>
      </c>
      <c r="F1617" s="40" t="str">
        <f aca="false">IF(INDEX(BookTitle,1612)="","",INDEX(BookLevel,1612))</f>
        <v/>
      </c>
      <c r="G1617" s="40" t="str">
        <f aca="false">IF(INDEX(BookTitle,1612)="","",INDEX(BookCategory,1612))</f>
        <v/>
      </c>
      <c r="H1617" s="40" t="str">
        <f aca="false">IF(INDEX(BookTitle,1612)="","",INDEX(BookRank,1612))</f>
        <v/>
      </c>
      <c r="I1617" s="41" t="str">
        <f aca="false">IF(INDEX(BookTitle,1612)="","",INDEX(BookTotal,1612))</f>
        <v/>
      </c>
      <c r="J1617" s="0" t="str">
        <f aca="false">IF($I1617="","",IF(INDEX(BookQ1,1612)&gt;0,"Q1",IF(INDEX(BookQ2,1612)&gt;0,"Q2",IF(INDEX(BookQ3,1612)&gt;0,"Q3",IF(INDEX(BookQ4,1612)&gt;0,"Q4","")))))</f>
        <v/>
      </c>
      <c r="K1617" s="42" t="str">
        <f aca="false">IF(INDEX(BookTitle,1612)="","",INDEX(BookInYear,1612))</f>
        <v/>
      </c>
      <c r="L1617" s="19"/>
      <c r="M1617" s="39"/>
      <c r="N1617" s="19"/>
      <c r="O1617" s="19"/>
      <c r="P1617" s="43" t="str">
        <f aca="false">IF($E1617="","",IF($L1617="Decline",0,IF($L1617="Approve fewer",IF($M1617="","",$M1617),IF($L1617="","",$I1617))))</f>
        <v/>
      </c>
      <c r="Q1617" s="34" t="str">
        <f aca="false">IF($P1617="","",IF($N1617&lt;&gt;"",$N1617,$J1617))</f>
        <v/>
      </c>
      <c r="R1617" s="35" t="str">
        <f aca="false">IF(OR($P1617="",$Q1617=""),"",INDEX(BookRate,1612)*$P1617*(5-MATCH($Q1617,{"Q1";"Q2";"Q3";"Q4"},0))/4+INDEX(BookOneOff,1612)*$P1617)</f>
        <v/>
      </c>
      <c r="S1617" s="35" t="str">
        <f aca="false">IF($P1617="","",INDEX(BookRate,1612)*$P1617)</f>
        <v/>
      </c>
      <c r="T1617" s="35" t="str">
        <f aca="false">IF($R1617="","",$R1617-$K1617)</f>
        <v/>
      </c>
      <c r="U1617" s="35" t="str">
        <f aca="false">IF(N($P1617)&lt;=0,"",COUNTIF($P$6:$P1617,"&gt;0"))</f>
        <v/>
      </c>
    </row>
    <row r="1618" customFormat="false" ht="15" hidden="false" customHeight="false" outlineLevel="0" collapsed="false">
      <c r="A1618" s="40" t="str">
        <f aca="false">IF(INDEX(BookTitle,1613)="","",INDEX(BookGroup,1613))</f>
        <v/>
      </c>
      <c r="B1618" s="40" t="str">
        <f aca="false">IF(INDEX(BookTitle,1613)="","",INDEX(BookRef,1613))</f>
        <v/>
      </c>
      <c r="C1618" s="40" t="str">
        <f aca="false">IF(INDEX(BookTitle,1613)="","",INDEX(BookDivision,1613))</f>
        <v/>
      </c>
      <c r="D1618" s="40" t="str">
        <f aca="false">IF(INDEX(BookTitle,1613)="","",INDEX(BookUnit,1613))</f>
        <v/>
      </c>
      <c r="E1618" s="40" t="str">
        <f aca="false">IF(INDEX(BookTitle,1613)="","",INDEX(BookTitle,1613))</f>
        <v/>
      </c>
      <c r="F1618" s="40" t="str">
        <f aca="false">IF(INDEX(BookTitle,1613)="","",INDEX(BookLevel,1613))</f>
        <v/>
      </c>
      <c r="G1618" s="40" t="str">
        <f aca="false">IF(INDEX(BookTitle,1613)="","",INDEX(BookCategory,1613))</f>
        <v/>
      </c>
      <c r="H1618" s="40" t="str">
        <f aca="false">IF(INDEX(BookTitle,1613)="","",INDEX(BookRank,1613))</f>
        <v/>
      </c>
      <c r="I1618" s="41" t="str">
        <f aca="false">IF(INDEX(BookTitle,1613)="","",INDEX(BookTotal,1613))</f>
        <v/>
      </c>
      <c r="J1618" s="0" t="str">
        <f aca="false">IF($I1618="","",IF(INDEX(BookQ1,1613)&gt;0,"Q1",IF(INDEX(BookQ2,1613)&gt;0,"Q2",IF(INDEX(BookQ3,1613)&gt;0,"Q3",IF(INDEX(BookQ4,1613)&gt;0,"Q4","")))))</f>
        <v/>
      </c>
      <c r="K1618" s="42" t="str">
        <f aca="false">IF(INDEX(BookTitle,1613)="","",INDEX(BookInYear,1613))</f>
        <v/>
      </c>
      <c r="L1618" s="19"/>
      <c r="M1618" s="39"/>
      <c r="N1618" s="19"/>
      <c r="O1618" s="19"/>
      <c r="P1618" s="43" t="str">
        <f aca="false">IF($E1618="","",IF($L1618="Decline",0,IF($L1618="Approve fewer",IF($M1618="","",$M1618),IF($L1618="","",$I1618))))</f>
        <v/>
      </c>
      <c r="Q1618" s="34" t="str">
        <f aca="false">IF($P1618="","",IF($N1618&lt;&gt;"",$N1618,$J1618))</f>
        <v/>
      </c>
      <c r="R1618" s="35" t="str">
        <f aca="false">IF(OR($P1618="",$Q1618=""),"",INDEX(BookRate,1613)*$P1618*(5-MATCH($Q1618,{"Q1";"Q2";"Q3";"Q4"},0))/4+INDEX(BookOneOff,1613)*$P1618)</f>
        <v/>
      </c>
      <c r="S1618" s="35" t="str">
        <f aca="false">IF($P1618="","",INDEX(BookRate,1613)*$P1618)</f>
        <v/>
      </c>
      <c r="T1618" s="35" t="str">
        <f aca="false">IF($R1618="","",$R1618-$K1618)</f>
        <v/>
      </c>
      <c r="U1618" s="35" t="str">
        <f aca="false">IF(N($P1618)&lt;=0,"",COUNTIF($P$6:$P1618,"&gt;0"))</f>
        <v/>
      </c>
    </row>
    <row r="1619" customFormat="false" ht="15" hidden="false" customHeight="false" outlineLevel="0" collapsed="false">
      <c r="A1619" s="40" t="str">
        <f aca="false">IF(INDEX(BookTitle,1614)="","",INDEX(BookGroup,1614))</f>
        <v/>
      </c>
      <c r="B1619" s="40" t="str">
        <f aca="false">IF(INDEX(BookTitle,1614)="","",INDEX(BookRef,1614))</f>
        <v/>
      </c>
      <c r="C1619" s="40" t="str">
        <f aca="false">IF(INDEX(BookTitle,1614)="","",INDEX(BookDivision,1614))</f>
        <v/>
      </c>
      <c r="D1619" s="40" t="str">
        <f aca="false">IF(INDEX(BookTitle,1614)="","",INDEX(BookUnit,1614))</f>
        <v/>
      </c>
      <c r="E1619" s="40" t="str">
        <f aca="false">IF(INDEX(BookTitle,1614)="","",INDEX(BookTitle,1614))</f>
        <v/>
      </c>
      <c r="F1619" s="40" t="str">
        <f aca="false">IF(INDEX(BookTitle,1614)="","",INDEX(BookLevel,1614))</f>
        <v/>
      </c>
      <c r="G1619" s="40" t="str">
        <f aca="false">IF(INDEX(BookTitle,1614)="","",INDEX(BookCategory,1614))</f>
        <v/>
      </c>
      <c r="H1619" s="40" t="str">
        <f aca="false">IF(INDEX(BookTitle,1614)="","",INDEX(BookRank,1614))</f>
        <v/>
      </c>
      <c r="I1619" s="41" t="str">
        <f aca="false">IF(INDEX(BookTitle,1614)="","",INDEX(BookTotal,1614))</f>
        <v/>
      </c>
      <c r="J1619" s="0" t="str">
        <f aca="false">IF($I1619="","",IF(INDEX(BookQ1,1614)&gt;0,"Q1",IF(INDEX(BookQ2,1614)&gt;0,"Q2",IF(INDEX(BookQ3,1614)&gt;0,"Q3",IF(INDEX(BookQ4,1614)&gt;0,"Q4","")))))</f>
        <v/>
      </c>
      <c r="K1619" s="42" t="str">
        <f aca="false">IF(INDEX(BookTitle,1614)="","",INDEX(BookInYear,1614))</f>
        <v/>
      </c>
      <c r="L1619" s="19"/>
      <c r="M1619" s="39"/>
      <c r="N1619" s="19"/>
      <c r="O1619" s="19"/>
      <c r="P1619" s="43" t="str">
        <f aca="false">IF($E1619="","",IF($L1619="Decline",0,IF($L1619="Approve fewer",IF($M1619="","",$M1619),IF($L1619="","",$I1619))))</f>
        <v/>
      </c>
      <c r="Q1619" s="34" t="str">
        <f aca="false">IF($P1619="","",IF($N1619&lt;&gt;"",$N1619,$J1619))</f>
        <v/>
      </c>
      <c r="R1619" s="35" t="str">
        <f aca="false">IF(OR($P1619="",$Q1619=""),"",INDEX(BookRate,1614)*$P1619*(5-MATCH($Q1619,{"Q1";"Q2";"Q3";"Q4"},0))/4+INDEX(BookOneOff,1614)*$P1619)</f>
        <v/>
      </c>
      <c r="S1619" s="35" t="str">
        <f aca="false">IF($P1619="","",INDEX(BookRate,1614)*$P1619)</f>
        <v/>
      </c>
      <c r="T1619" s="35" t="str">
        <f aca="false">IF($R1619="","",$R1619-$K1619)</f>
        <v/>
      </c>
      <c r="U1619" s="35" t="str">
        <f aca="false">IF(N($P1619)&lt;=0,"",COUNTIF($P$6:$P1619,"&gt;0"))</f>
        <v/>
      </c>
    </row>
    <row r="1620" customFormat="false" ht="15" hidden="false" customHeight="false" outlineLevel="0" collapsed="false">
      <c r="A1620" s="40" t="str">
        <f aca="false">IF(INDEX(BookTitle,1615)="","",INDEX(BookGroup,1615))</f>
        <v/>
      </c>
      <c r="B1620" s="40" t="str">
        <f aca="false">IF(INDEX(BookTitle,1615)="","",INDEX(BookRef,1615))</f>
        <v/>
      </c>
      <c r="C1620" s="40" t="str">
        <f aca="false">IF(INDEX(BookTitle,1615)="","",INDEX(BookDivision,1615))</f>
        <v/>
      </c>
      <c r="D1620" s="40" t="str">
        <f aca="false">IF(INDEX(BookTitle,1615)="","",INDEX(BookUnit,1615))</f>
        <v/>
      </c>
      <c r="E1620" s="40" t="str">
        <f aca="false">IF(INDEX(BookTitle,1615)="","",INDEX(BookTitle,1615))</f>
        <v/>
      </c>
      <c r="F1620" s="40" t="str">
        <f aca="false">IF(INDEX(BookTitle,1615)="","",INDEX(BookLevel,1615))</f>
        <v/>
      </c>
      <c r="G1620" s="40" t="str">
        <f aca="false">IF(INDEX(BookTitle,1615)="","",INDEX(BookCategory,1615))</f>
        <v/>
      </c>
      <c r="H1620" s="40" t="str">
        <f aca="false">IF(INDEX(BookTitle,1615)="","",INDEX(BookRank,1615))</f>
        <v/>
      </c>
      <c r="I1620" s="41" t="str">
        <f aca="false">IF(INDEX(BookTitle,1615)="","",INDEX(BookTotal,1615))</f>
        <v/>
      </c>
      <c r="J1620" s="0" t="str">
        <f aca="false">IF($I1620="","",IF(INDEX(BookQ1,1615)&gt;0,"Q1",IF(INDEX(BookQ2,1615)&gt;0,"Q2",IF(INDEX(BookQ3,1615)&gt;0,"Q3",IF(INDEX(BookQ4,1615)&gt;0,"Q4","")))))</f>
        <v/>
      </c>
      <c r="K1620" s="42" t="str">
        <f aca="false">IF(INDEX(BookTitle,1615)="","",INDEX(BookInYear,1615))</f>
        <v/>
      </c>
      <c r="L1620" s="19"/>
      <c r="M1620" s="39"/>
      <c r="N1620" s="19"/>
      <c r="O1620" s="19"/>
      <c r="P1620" s="43" t="str">
        <f aca="false">IF($E1620="","",IF($L1620="Decline",0,IF($L1620="Approve fewer",IF($M1620="","",$M1620),IF($L1620="","",$I1620))))</f>
        <v/>
      </c>
      <c r="Q1620" s="34" t="str">
        <f aca="false">IF($P1620="","",IF($N1620&lt;&gt;"",$N1620,$J1620))</f>
        <v/>
      </c>
      <c r="R1620" s="35" t="str">
        <f aca="false">IF(OR($P1620="",$Q1620=""),"",INDEX(BookRate,1615)*$P1620*(5-MATCH($Q1620,{"Q1";"Q2";"Q3";"Q4"},0))/4+INDEX(BookOneOff,1615)*$P1620)</f>
        <v/>
      </c>
      <c r="S1620" s="35" t="str">
        <f aca="false">IF($P1620="","",INDEX(BookRate,1615)*$P1620)</f>
        <v/>
      </c>
      <c r="T1620" s="35" t="str">
        <f aca="false">IF($R1620="","",$R1620-$K1620)</f>
        <v/>
      </c>
      <c r="U1620" s="35" t="str">
        <f aca="false">IF(N($P1620)&lt;=0,"",COUNTIF($P$6:$P1620,"&gt;0"))</f>
        <v/>
      </c>
    </row>
    <row r="1621" customFormat="false" ht="15" hidden="false" customHeight="false" outlineLevel="0" collapsed="false">
      <c r="A1621" s="40" t="str">
        <f aca="false">IF(INDEX(BookTitle,1616)="","",INDEX(BookGroup,1616))</f>
        <v/>
      </c>
      <c r="B1621" s="40" t="str">
        <f aca="false">IF(INDEX(BookTitle,1616)="","",INDEX(BookRef,1616))</f>
        <v/>
      </c>
      <c r="C1621" s="40" t="str">
        <f aca="false">IF(INDEX(BookTitle,1616)="","",INDEX(BookDivision,1616))</f>
        <v/>
      </c>
      <c r="D1621" s="40" t="str">
        <f aca="false">IF(INDEX(BookTitle,1616)="","",INDEX(BookUnit,1616))</f>
        <v/>
      </c>
      <c r="E1621" s="40" t="str">
        <f aca="false">IF(INDEX(BookTitle,1616)="","",INDEX(BookTitle,1616))</f>
        <v/>
      </c>
      <c r="F1621" s="40" t="str">
        <f aca="false">IF(INDEX(BookTitle,1616)="","",INDEX(BookLevel,1616))</f>
        <v/>
      </c>
      <c r="G1621" s="40" t="str">
        <f aca="false">IF(INDEX(BookTitle,1616)="","",INDEX(BookCategory,1616))</f>
        <v/>
      </c>
      <c r="H1621" s="40" t="str">
        <f aca="false">IF(INDEX(BookTitle,1616)="","",INDEX(BookRank,1616))</f>
        <v/>
      </c>
      <c r="I1621" s="41" t="str">
        <f aca="false">IF(INDEX(BookTitle,1616)="","",INDEX(BookTotal,1616))</f>
        <v/>
      </c>
      <c r="J1621" s="0" t="str">
        <f aca="false">IF($I1621="","",IF(INDEX(BookQ1,1616)&gt;0,"Q1",IF(INDEX(BookQ2,1616)&gt;0,"Q2",IF(INDEX(BookQ3,1616)&gt;0,"Q3",IF(INDEX(BookQ4,1616)&gt;0,"Q4","")))))</f>
        <v/>
      </c>
      <c r="K1621" s="42" t="str">
        <f aca="false">IF(INDEX(BookTitle,1616)="","",INDEX(BookInYear,1616))</f>
        <v/>
      </c>
      <c r="L1621" s="19"/>
      <c r="M1621" s="39"/>
      <c r="N1621" s="19"/>
      <c r="O1621" s="19"/>
      <c r="P1621" s="43" t="str">
        <f aca="false">IF($E1621="","",IF($L1621="Decline",0,IF($L1621="Approve fewer",IF($M1621="","",$M1621),IF($L1621="","",$I1621))))</f>
        <v/>
      </c>
      <c r="Q1621" s="34" t="str">
        <f aca="false">IF($P1621="","",IF($N1621&lt;&gt;"",$N1621,$J1621))</f>
        <v/>
      </c>
      <c r="R1621" s="35" t="str">
        <f aca="false">IF(OR($P1621="",$Q1621=""),"",INDEX(BookRate,1616)*$P1621*(5-MATCH($Q1621,{"Q1";"Q2";"Q3";"Q4"},0))/4+INDEX(BookOneOff,1616)*$P1621)</f>
        <v/>
      </c>
      <c r="S1621" s="35" t="str">
        <f aca="false">IF($P1621="","",INDEX(BookRate,1616)*$P1621)</f>
        <v/>
      </c>
      <c r="T1621" s="35" t="str">
        <f aca="false">IF($R1621="","",$R1621-$K1621)</f>
        <v/>
      </c>
      <c r="U1621" s="35" t="str">
        <f aca="false">IF(N($P1621)&lt;=0,"",COUNTIF($P$6:$P1621,"&gt;0"))</f>
        <v/>
      </c>
    </row>
    <row r="1622" customFormat="false" ht="15" hidden="false" customHeight="false" outlineLevel="0" collapsed="false">
      <c r="A1622" s="40" t="str">
        <f aca="false">IF(INDEX(BookTitle,1617)="","",INDEX(BookGroup,1617))</f>
        <v/>
      </c>
      <c r="B1622" s="40" t="str">
        <f aca="false">IF(INDEX(BookTitle,1617)="","",INDEX(BookRef,1617))</f>
        <v/>
      </c>
      <c r="C1622" s="40" t="str">
        <f aca="false">IF(INDEX(BookTitle,1617)="","",INDEX(BookDivision,1617))</f>
        <v/>
      </c>
      <c r="D1622" s="40" t="str">
        <f aca="false">IF(INDEX(BookTitle,1617)="","",INDEX(BookUnit,1617))</f>
        <v/>
      </c>
      <c r="E1622" s="40" t="str">
        <f aca="false">IF(INDEX(BookTitle,1617)="","",INDEX(BookTitle,1617))</f>
        <v/>
      </c>
      <c r="F1622" s="40" t="str">
        <f aca="false">IF(INDEX(BookTitle,1617)="","",INDEX(BookLevel,1617))</f>
        <v/>
      </c>
      <c r="G1622" s="40" t="str">
        <f aca="false">IF(INDEX(BookTitle,1617)="","",INDEX(BookCategory,1617))</f>
        <v/>
      </c>
      <c r="H1622" s="40" t="str">
        <f aca="false">IF(INDEX(BookTitle,1617)="","",INDEX(BookRank,1617))</f>
        <v/>
      </c>
      <c r="I1622" s="41" t="str">
        <f aca="false">IF(INDEX(BookTitle,1617)="","",INDEX(BookTotal,1617))</f>
        <v/>
      </c>
      <c r="J1622" s="0" t="str">
        <f aca="false">IF($I1622="","",IF(INDEX(BookQ1,1617)&gt;0,"Q1",IF(INDEX(BookQ2,1617)&gt;0,"Q2",IF(INDEX(BookQ3,1617)&gt;0,"Q3",IF(INDEX(BookQ4,1617)&gt;0,"Q4","")))))</f>
        <v/>
      </c>
      <c r="K1622" s="42" t="str">
        <f aca="false">IF(INDEX(BookTitle,1617)="","",INDEX(BookInYear,1617))</f>
        <v/>
      </c>
      <c r="L1622" s="19"/>
      <c r="M1622" s="39"/>
      <c r="N1622" s="19"/>
      <c r="O1622" s="19"/>
      <c r="P1622" s="43" t="str">
        <f aca="false">IF($E1622="","",IF($L1622="Decline",0,IF($L1622="Approve fewer",IF($M1622="","",$M1622),IF($L1622="","",$I1622))))</f>
        <v/>
      </c>
      <c r="Q1622" s="34" t="str">
        <f aca="false">IF($P1622="","",IF($N1622&lt;&gt;"",$N1622,$J1622))</f>
        <v/>
      </c>
      <c r="R1622" s="35" t="str">
        <f aca="false">IF(OR($P1622="",$Q1622=""),"",INDEX(BookRate,1617)*$P1622*(5-MATCH($Q1622,{"Q1";"Q2";"Q3";"Q4"},0))/4+INDEX(BookOneOff,1617)*$P1622)</f>
        <v/>
      </c>
      <c r="S1622" s="35" t="str">
        <f aca="false">IF($P1622="","",INDEX(BookRate,1617)*$P1622)</f>
        <v/>
      </c>
      <c r="T1622" s="35" t="str">
        <f aca="false">IF($R1622="","",$R1622-$K1622)</f>
        <v/>
      </c>
      <c r="U1622" s="35" t="str">
        <f aca="false">IF(N($P1622)&lt;=0,"",COUNTIF($P$6:$P1622,"&gt;0"))</f>
        <v/>
      </c>
    </row>
    <row r="1623" customFormat="false" ht="15" hidden="false" customHeight="false" outlineLevel="0" collapsed="false">
      <c r="A1623" s="40" t="str">
        <f aca="false">IF(INDEX(BookTitle,1618)="","",INDEX(BookGroup,1618))</f>
        <v/>
      </c>
      <c r="B1623" s="40" t="str">
        <f aca="false">IF(INDEX(BookTitle,1618)="","",INDEX(BookRef,1618))</f>
        <v/>
      </c>
      <c r="C1623" s="40" t="str">
        <f aca="false">IF(INDEX(BookTitle,1618)="","",INDEX(BookDivision,1618))</f>
        <v/>
      </c>
      <c r="D1623" s="40" t="str">
        <f aca="false">IF(INDEX(BookTitle,1618)="","",INDEX(BookUnit,1618))</f>
        <v/>
      </c>
      <c r="E1623" s="40" t="str">
        <f aca="false">IF(INDEX(BookTitle,1618)="","",INDEX(BookTitle,1618))</f>
        <v/>
      </c>
      <c r="F1623" s="40" t="str">
        <f aca="false">IF(INDEX(BookTitle,1618)="","",INDEX(BookLevel,1618))</f>
        <v/>
      </c>
      <c r="G1623" s="40" t="str">
        <f aca="false">IF(INDEX(BookTitle,1618)="","",INDEX(BookCategory,1618))</f>
        <v/>
      </c>
      <c r="H1623" s="40" t="str">
        <f aca="false">IF(INDEX(BookTitle,1618)="","",INDEX(BookRank,1618))</f>
        <v/>
      </c>
      <c r="I1623" s="41" t="str">
        <f aca="false">IF(INDEX(BookTitle,1618)="","",INDEX(BookTotal,1618))</f>
        <v/>
      </c>
      <c r="J1623" s="0" t="str">
        <f aca="false">IF($I1623="","",IF(INDEX(BookQ1,1618)&gt;0,"Q1",IF(INDEX(BookQ2,1618)&gt;0,"Q2",IF(INDEX(BookQ3,1618)&gt;0,"Q3",IF(INDEX(BookQ4,1618)&gt;0,"Q4","")))))</f>
        <v/>
      </c>
      <c r="K1623" s="42" t="str">
        <f aca="false">IF(INDEX(BookTitle,1618)="","",INDEX(BookInYear,1618))</f>
        <v/>
      </c>
      <c r="L1623" s="19"/>
      <c r="M1623" s="39"/>
      <c r="N1623" s="19"/>
      <c r="O1623" s="19"/>
      <c r="P1623" s="43" t="str">
        <f aca="false">IF($E1623="","",IF($L1623="Decline",0,IF($L1623="Approve fewer",IF($M1623="","",$M1623),IF($L1623="","",$I1623))))</f>
        <v/>
      </c>
      <c r="Q1623" s="34" t="str">
        <f aca="false">IF($P1623="","",IF($N1623&lt;&gt;"",$N1623,$J1623))</f>
        <v/>
      </c>
      <c r="R1623" s="35" t="str">
        <f aca="false">IF(OR($P1623="",$Q1623=""),"",INDEX(BookRate,1618)*$P1623*(5-MATCH($Q1623,{"Q1";"Q2";"Q3";"Q4"},0))/4+INDEX(BookOneOff,1618)*$P1623)</f>
        <v/>
      </c>
      <c r="S1623" s="35" t="str">
        <f aca="false">IF($P1623="","",INDEX(BookRate,1618)*$P1623)</f>
        <v/>
      </c>
      <c r="T1623" s="35" t="str">
        <f aca="false">IF($R1623="","",$R1623-$K1623)</f>
        <v/>
      </c>
      <c r="U1623" s="35" t="str">
        <f aca="false">IF(N($P1623)&lt;=0,"",COUNTIF($P$6:$P1623,"&gt;0"))</f>
        <v/>
      </c>
    </row>
    <row r="1624" customFormat="false" ht="15" hidden="false" customHeight="false" outlineLevel="0" collapsed="false">
      <c r="A1624" s="40" t="str">
        <f aca="false">IF(INDEX(BookTitle,1619)="","",INDEX(BookGroup,1619))</f>
        <v/>
      </c>
      <c r="B1624" s="40" t="str">
        <f aca="false">IF(INDEX(BookTitle,1619)="","",INDEX(BookRef,1619))</f>
        <v/>
      </c>
      <c r="C1624" s="40" t="str">
        <f aca="false">IF(INDEX(BookTitle,1619)="","",INDEX(BookDivision,1619))</f>
        <v/>
      </c>
      <c r="D1624" s="40" t="str">
        <f aca="false">IF(INDEX(BookTitle,1619)="","",INDEX(BookUnit,1619))</f>
        <v/>
      </c>
      <c r="E1624" s="40" t="str">
        <f aca="false">IF(INDEX(BookTitle,1619)="","",INDEX(BookTitle,1619))</f>
        <v/>
      </c>
      <c r="F1624" s="40" t="str">
        <f aca="false">IF(INDEX(BookTitle,1619)="","",INDEX(BookLevel,1619))</f>
        <v/>
      </c>
      <c r="G1624" s="40" t="str">
        <f aca="false">IF(INDEX(BookTitle,1619)="","",INDEX(BookCategory,1619))</f>
        <v/>
      </c>
      <c r="H1624" s="40" t="str">
        <f aca="false">IF(INDEX(BookTitle,1619)="","",INDEX(BookRank,1619))</f>
        <v/>
      </c>
      <c r="I1624" s="41" t="str">
        <f aca="false">IF(INDEX(BookTitle,1619)="","",INDEX(BookTotal,1619))</f>
        <v/>
      </c>
      <c r="J1624" s="0" t="str">
        <f aca="false">IF($I1624="","",IF(INDEX(BookQ1,1619)&gt;0,"Q1",IF(INDEX(BookQ2,1619)&gt;0,"Q2",IF(INDEX(BookQ3,1619)&gt;0,"Q3",IF(INDEX(BookQ4,1619)&gt;0,"Q4","")))))</f>
        <v/>
      </c>
      <c r="K1624" s="42" t="str">
        <f aca="false">IF(INDEX(BookTitle,1619)="","",INDEX(BookInYear,1619))</f>
        <v/>
      </c>
      <c r="L1624" s="19"/>
      <c r="M1624" s="39"/>
      <c r="N1624" s="19"/>
      <c r="O1624" s="19"/>
      <c r="P1624" s="43" t="str">
        <f aca="false">IF($E1624="","",IF($L1624="Decline",0,IF($L1624="Approve fewer",IF($M1624="","",$M1624),IF($L1624="","",$I1624))))</f>
        <v/>
      </c>
      <c r="Q1624" s="34" t="str">
        <f aca="false">IF($P1624="","",IF($N1624&lt;&gt;"",$N1624,$J1624))</f>
        <v/>
      </c>
      <c r="R1624" s="35" t="str">
        <f aca="false">IF(OR($P1624="",$Q1624=""),"",INDEX(BookRate,1619)*$P1624*(5-MATCH($Q1624,{"Q1";"Q2";"Q3";"Q4"},0))/4+INDEX(BookOneOff,1619)*$P1624)</f>
        <v/>
      </c>
      <c r="S1624" s="35" t="str">
        <f aca="false">IF($P1624="","",INDEX(BookRate,1619)*$P1624)</f>
        <v/>
      </c>
      <c r="T1624" s="35" t="str">
        <f aca="false">IF($R1624="","",$R1624-$K1624)</f>
        <v/>
      </c>
      <c r="U1624" s="35" t="str">
        <f aca="false">IF(N($P1624)&lt;=0,"",COUNTIF($P$6:$P1624,"&gt;0"))</f>
        <v/>
      </c>
    </row>
    <row r="1625" customFormat="false" ht="15" hidden="false" customHeight="false" outlineLevel="0" collapsed="false">
      <c r="A1625" s="40" t="str">
        <f aca="false">IF(INDEX(BookTitle,1620)="","",INDEX(BookGroup,1620))</f>
        <v/>
      </c>
      <c r="B1625" s="40" t="str">
        <f aca="false">IF(INDEX(BookTitle,1620)="","",INDEX(BookRef,1620))</f>
        <v/>
      </c>
      <c r="C1625" s="40" t="str">
        <f aca="false">IF(INDEX(BookTitle,1620)="","",INDEX(BookDivision,1620))</f>
        <v/>
      </c>
      <c r="D1625" s="40" t="str">
        <f aca="false">IF(INDEX(BookTitle,1620)="","",INDEX(BookUnit,1620))</f>
        <v/>
      </c>
      <c r="E1625" s="40" t="str">
        <f aca="false">IF(INDEX(BookTitle,1620)="","",INDEX(BookTitle,1620))</f>
        <v/>
      </c>
      <c r="F1625" s="40" t="str">
        <f aca="false">IF(INDEX(BookTitle,1620)="","",INDEX(BookLevel,1620))</f>
        <v/>
      </c>
      <c r="G1625" s="40" t="str">
        <f aca="false">IF(INDEX(BookTitle,1620)="","",INDEX(BookCategory,1620))</f>
        <v/>
      </c>
      <c r="H1625" s="40" t="str">
        <f aca="false">IF(INDEX(BookTitle,1620)="","",INDEX(BookRank,1620))</f>
        <v/>
      </c>
      <c r="I1625" s="41" t="str">
        <f aca="false">IF(INDEX(BookTitle,1620)="","",INDEX(BookTotal,1620))</f>
        <v/>
      </c>
      <c r="J1625" s="0" t="str">
        <f aca="false">IF($I1625="","",IF(INDEX(BookQ1,1620)&gt;0,"Q1",IF(INDEX(BookQ2,1620)&gt;0,"Q2",IF(INDEX(BookQ3,1620)&gt;0,"Q3",IF(INDEX(BookQ4,1620)&gt;0,"Q4","")))))</f>
        <v/>
      </c>
      <c r="K1625" s="42" t="str">
        <f aca="false">IF(INDEX(BookTitle,1620)="","",INDEX(BookInYear,1620))</f>
        <v/>
      </c>
      <c r="L1625" s="19"/>
      <c r="M1625" s="39"/>
      <c r="N1625" s="19"/>
      <c r="O1625" s="19"/>
      <c r="P1625" s="43" t="str">
        <f aca="false">IF($E1625="","",IF($L1625="Decline",0,IF($L1625="Approve fewer",IF($M1625="","",$M1625),IF($L1625="","",$I1625))))</f>
        <v/>
      </c>
      <c r="Q1625" s="34" t="str">
        <f aca="false">IF($P1625="","",IF($N1625&lt;&gt;"",$N1625,$J1625))</f>
        <v/>
      </c>
      <c r="R1625" s="35" t="str">
        <f aca="false">IF(OR($P1625="",$Q1625=""),"",INDEX(BookRate,1620)*$P1625*(5-MATCH($Q1625,{"Q1";"Q2";"Q3";"Q4"},0))/4+INDEX(BookOneOff,1620)*$P1625)</f>
        <v/>
      </c>
      <c r="S1625" s="35" t="str">
        <f aca="false">IF($P1625="","",INDEX(BookRate,1620)*$P1625)</f>
        <v/>
      </c>
      <c r="T1625" s="35" t="str">
        <f aca="false">IF($R1625="","",$R1625-$K1625)</f>
        <v/>
      </c>
      <c r="U1625" s="35" t="str">
        <f aca="false">IF(N($P1625)&lt;=0,"",COUNTIF($P$6:$P1625,"&gt;0"))</f>
        <v/>
      </c>
    </row>
    <row r="1626" customFormat="false" ht="15" hidden="false" customHeight="false" outlineLevel="0" collapsed="false">
      <c r="A1626" s="40" t="str">
        <f aca="false">IF(INDEX(BookTitle,1621)="","",INDEX(BookGroup,1621))</f>
        <v/>
      </c>
      <c r="B1626" s="40" t="str">
        <f aca="false">IF(INDEX(BookTitle,1621)="","",INDEX(BookRef,1621))</f>
        <v/>
      </c>
      <c r="C1626" s="40" t="str">
        <f aca="false">IF(INDEX(BookTitle,1621)="","",INDEX(BookDivision,1621))</f>
        <v/>
      </c>
      <c r="D1626" s="40" t="str">
        <f aca="false">IF(INDEX(BookTitle,1621)="","",INDEX(BookUnit,1621))</f>
        <v/>
      </c>
      <c r="E1626" s="40" t="str">
        <f aca="false">IF(INDEX(BookTitle,1621)="","",INDEX(BookTitle,1621))</f>
        <v/>
      </c>
      <c r="F1626" s="40" t="str">
        <f aca="false">IF(INDEX(BookTitle,1621)="","",INDEX(BookLevel,1621))</f>
        <v/>
      </c>
      <c r="G1626" s="40" t="str">
        <f aca="false">IF(INDEX(BookTitle,1621)="","",INDEX(BookCategory,1621))</f>
        <v/>
      </c>
      <c r="H1626" s="40" t="str">
        <f aca="false">IF(INDEX(BookTitle,1621)="","",INDEX(BookRank,1621))</f>
        <v/>
      </c>
      <c r="I1626" s="41" t="str">
        <f aca="false">IF(INDEX(BookTitle,1621)="","",INDEX(BookTotal,1621))</f>
        <v/>
      </c>
      <c r="J1626" s="0" t="str">
        <f aca="false">IF($I1626="","",IF(INDEX(BookQ1,1621)&gt;0,"Q1",IF(INDEX(BookQ2,1621)&gt;0,"Q2",IF(INDEX(BookQ3,1621)&gt;0,"Q3",IF(INDEX(BookQ4,1621)&gt;0,"Q4","")))))</f>
        <v/>
      </c>
      <c r="K1626" s="42" t="str">
        <f aca="false">IF(INDEX(BookTitle,1621)="","",INDEX(BookInYear,1621))</f>
        <v/>
      </c>
      <c r="L1626" s="19"/>
      <c r="M1626" s="39"/>
      <c r="N1626" s="19"/>
      <c r="O1626" s="19"/>
      <c r="P1626" s="43" t="str">
        <f aca="false">IF($E1626="","",IF($L1626="Decline",0,IF($L1626="Approve fewer",IF($M1626="","",$M1626),IF($L1626="","",$I1626))))</f>
        <v/>
      </c>
      <c r="Q1626" s="34" t="str">
        <f aca="false">IF($P1626="","",IF($N1626&lt;&gt;"",$N1626,$J1626))</f>
        <v/>
      </c>
      <c r="R1626" s="35" t="str">
        <f aca="false">IF(OR($P1626="",$Q1626=""),"",INDEX(BookRate,1621)*$P1626*(5-MATCH($Q1626,{"Q1";"Q2";"Q3";"Q4"},0))/4+INDEX(BookOneOff,1621)*$P1626)</f>
        <v/>
      </c>
      <c r="S1626" s="35" t="str">
        <f aca="false">IF($P1626="","",INDEX(BookRate,1621)*$P1626)</f>
        <v/>
      </c>
      <c r="T1626" s="35" t="str">
        <f aca="false">IF($R1626="","",$R1626-$K1626)</f>
        <v/>
      </c>
      <c r="U1626" s="35" t="str">
        <f aca="false">IF(N($P1626)&lt;=0,"",COUNTIF($P$6:$P1626,"&gt;0"))</f>
        <v/>
      </c>
    </row>
    <row r="1627" customFormat="false" ht="15" hidden="false" customHeight="false" outlineLevel="0" collapsed="false">
      <c r="A1627" s="40" t="str">
        <f aca="false">IF(INDEX(BookTitle,1622)="","",INDEX(BookGroup,1622))</f>
        <v/>
      </c>
      <c r="B1627" s="40" t="str">
        <f aca="false">IF(INDEX(BookTitle,1622)="","",INDEX(BookRef,1622))</f>
        <v/>
      </c>
      <c r="C1627" s="40" t="str">
        <f aca="false">IF(INDEX(BookTitle,1622)="","",INDEX(BookDivision,1622))</f>
        <v/>
      </c>
      <c r="D1627" s="40" t="str">
        <f aca="false">IF(INDEX(BookTitle,1622)="","",INDEX(BookUnit,1622))</f>
        <v/>
      </c>
      <c r="E1627" s="40" t="str">
        <f aca="false">IF(INDEX(BookTitle,1622)="","",INDEX(BookTitle,1622))</f>
        <v/>
      </c>
      <c r="F1627" s="40" t="str">
        <f aca="false">IF(INDEX(BookTitle,1622)="","",INDEX(BookLevel,1622))</f>
        <v/>
      </c>
      <c r="G1627" s="40" t="str">
        <f aca="false">IF(INDEX(BookTitle,1622)="","",INDEX(BookCategory,1622))</f>
        <v/>
      </c>
      <c r="H1627" s="40" t="str">
        <f aca="false">IF(INDEX(BookTitle,1622)="","",INDEX(BookRank,1622))</f>
        <v/>
      </c>
      <c r="I1627" s="41" t="str">
        <f aca="false">IF(INDEX(BookTitle,1622)="","",INDEX(BookTotal,1622))</f>
        <v/>
      </c>
      <c r="J1627" s="0" t="str">
        <f aca="false">IF($I1627="","",IF(INDEX(BookQ1,1622)&gt;0,"Q1",IF(INDEX(BookQ2,1622)&gt;0,"Q2",IF(INDEX(BookQ3,1622)&gt;0,"Q3",IF(INDEX(BookQ4,1622)&gt;0,"Q4","")))))</f>
        <v/>
      </c>
      <c r="K1627" s="42" t="str">
        <f aca="false">IF(INDEX(BookTitle,1622)="","",INDEX(BookInYear,1622))</f>
        <v/>
      </c>
      <c r="L1627" s="19"/>
      <c r="M1627" s="39"/>
      <c r="N1627" s="19"/>
      <c r="O1627" s="19"/>
      <c r="P1627" s="43" t="str">
        <f aca="false">IF($E1627="","",IF($L1627="Decline",0,IF($L1627="Approve fewer",IF($M1627="","",$M1627),IF($L1627="","",$I1627))))</f>
        <v/>
      </c>
      <c r="Q1627" s="34" t="str">
        <f aca="false">IF($P1627="","",IF($N1627&lt;&gt;"",$N1627,$J1627))</f>
        <v/>
      </c>
      <c r="R1627" s="35" t="str">
        <f aca="false">IF(OR($P1627="",$Q1627=""),"",INDEX(BookRate,1622)*$P1627*(5-MATCH($Q1627,{"Q1";"Q2";"Q3";"Q4"},0))/4+INDEX(BookOneOff,1622)*$P1627)</f>
        <v/>
      </c>
      <c r="S1627" s="35" t="str">
        <f aca="false">IF($P1627="","",INDEX(BookRate,1622)*$P1627)</f>
        <v/>
      </c>
      <c r="T1627" s="35" t="str">
        <f aca="false">IF($R1627="","",$R1627-$K1627)</f>
        <v/>
      </c>
      <c r="U1627" s="35" t="str">
        <f aca="false">IF(N($P1627)&lt;=0,"",COUNTIF($P$6:$P1627,"&gt;0"))</f>
        <v/>
      </c>
    </row>
    <row r="1628" customFormat="false" ht="15" hidden="false" customHeight="false" outlineLevel="0" collapsed="false">
      <c r="A1628" s="40" t="str">
        <f aca="false">IF(INDEX(BookTitle,1623)="","",INDEX(BookGroup,1623))</f>
        <v/>
      </c>
      <c r="B1628" s="40" t="str">
        <f aca="false">IF(INDEX(BookTitle,1623)="","",INDEX(BookRef,1623))</f>
        <v/>
      </c>
      <c r="C1628" s="40" t="str">
        <f aca="false">IF(INDEX(BookTitle,1623)="","",INDEX(BookDivision,1623))</f>
        <v/>
      </c>
      <c r="D1628" s="40" t="str">
        <f aca="false">IF(INDEX(BookTitle,1623)="","",INDEX(BookUnit,1623))</f>
        <v/>
      </c>
      <c r="E1628" s="40" t="str">
        <f aca="false">IF(INDEX(BookTitle,1623)="","",INDEX(BookTitle,1623))</f>
        <v/>
      </c>
      <c r="F1628" s="40" t="str">
        <f aca="false">IF(INDEX(BookTitle,1623)="","",INDEX(BookLevel,1623))</f>
        <v/>
      </c>
      <c r="G1628" s="40" t="str">
        <f aca="false">IF(INDEX(BookTitle,1623)="","",INDEX(BookCategory,1623))</f>
        <v/>
      </c>
      <c r="H1628" s="40" t="str">
        <f aca="false">IF(INDEX(BookTitle,1623)="","",INDEX(BookRank,1623))</f>
        <v/>
      </c>
      <c r="I1628" s="41" t="str">
        <f aca="false">IF(INDEX(BookTitle,1623)="","",INDEX(BookTotal,1623))</f>
        <v/>
      </c>
      <c r="J1628" s="0" t="str">
        <f aca="false">IF($I1628="","",IF(INDEX(BookQ1,1623)&gt;0,"Q1",IF(INDEX(BookQ2,1623)&gt;0,"Q2",IF(INDEX(BookQ3,1623)&gt;0,"Q3",IF(INDEX(BookQ4,1623)&gt;0,"Q4","")))))</f>
        <v/>
      </c>
      <c r="K1628" s="42" t="str">
        <f aca="false">IF(INDEX(BookTitle,1623)="","",INDEX(BookInYear,1623))</f>
        <v/>
      </c>
      <c r="L1628" s="19"/>
      <c r="M1628" s="39"/>
      <c r="N1628" s="19"/>
      <c r="O1628" s="19"/>
      <c r="P1628" s="43" t="str">
        <f aca="false">IF($E1628="","",IF($L1628="Decline",0,IF($L1628="Approve fewer",IF($M1628="","",$M1628),IF($L1628="","",$I1628))))</f>
        <v/>
      </c>
      <c r="Q1628" s="34" t="str">
        <f aca="false">IF($P1628="","",IF($N1628&lt;&gt;"",$N1628,$J1628))</f>
        <v/>
      </c>
      <c r="R1628" s="35" t="str">
        <f aca="false">IF(OR($P1628="",$Q1628=""),"",INDEX(BookRate,1623)*$P1628*(5-MATCH($Q1628,{"Q1";"Q2";"Q3";"Q4"},0))/4+INDEX(BookOneOff,1623)*$P1628)</f>
        <v/>
      </c>
      <c r="S1628" s="35" t="str">
        <f aca="false">IF($P1628="","",INDEX(BookRate,1623)*$P1628)</f>
        <v/>
      </c>
      <c r="T1628" s="35" t="str">
        <f aca="false">IF($R1628="","",$R1628-$K1628)</f>
        <v/>
      </c>
      <c r="U1628" s="35" t="str">
        <f aca="false">IF(N($P1628)&lt;=0,"",COUNTIF($P$6:$P1628,"&gt;0"))</f>
        <v/>
      </c>
    </row>
    <row r="1629" customFormat="false" ht="15" hidden="false" customHeight="false" outlineLevel="0" collapsed="false">
      <c r="A1629" s="40" t="str">
        <f aca="false">IF(INDEX(BookTitle,1624)="","",INDEX(BookGroup,1624))</f>
        <v/>
      </c>
      <c r="B1629" s="40" t="str">
        <f aca="false">IF(INDEX(BookTitle,1624)="","",INDEX(BookRef,1624))</f>
        <v/>
      </c>
      <c r="C1629" s="40" t="str">
        <f aca="false">IF(INDEX(BookTitle,1624)="","",INDEX(BookDivision,1624))</f>
        <v/>
      </c>
      <c r="D1629" s="40" t="str">
        <f aca="false">IF(INDEX(BookTitle,1624)="","",INDEX(BookUnit,1624))</f>
        <v/>
      </c>
      <c r="E1629" s="40" t="str">
        <f aca="false">IF(INDEX(BookTitle,1624)="","",INDEX(BookTitle,1624))</f>
        <v/>
      </c>
      <c r="F1629" s="40" t="str">
        <f aca="false">IF(INDEX(BookTitle,1624)="","",INDEX(BookLevel,1624))</f>
        <v/>
      </c>
      <c r="G1629" s="40" t="str">
        <f aca="false">IF(INDEX(BookTitle,1624)="","",INDEX(BookCategory,1624))</f>
        <v/>
      </c>
      <c r="H1629" s="40" t="str">
        <f aca="false">IF(INDEX(BookTitle,1624)="","",INDEX(BookRank,1624))</f>
        <v/>
      </c>
      <c r="I1629" s="41" t="str">
        <f aca="false">IF(INDEX(BookTitle,1624)="","",INDEX(BookTotal,1624))</f>
        <v/>
      </c>
      <c r="J1629" s="0" t="str">
        <f aca="false">IF($I1629="","",IF(INDEX(BookQ1,1624)&gt;0,"Q1",IF(INDEX(BookQ2,1624)&gt;0,"Q2",IF(INDEX(BookQ3,1624)&gt;0,"Q3",IF(INDEX(BookQ4,1624)&gt;0,"Q4","")))))</f>
        <v/>
      </c>
      <c r="K1629" s="42" t="str">
        <f aca="false">IF(INDEX(BookTitle,1624)="","",INDEX(BookInYear,1624))</f>
        <v/>
      </c>
      <c r="L1629" s="19"/>
      <c r="M1629" s="39"/>
      <c r="N1629" s="19"/>
      <c r="O1629" s="19"/>
      <c r="P1629" s="43" t="str">
        <f aca="false">IF($E1629="","",IF($L1629="Decline",0,IF($L1629="Approve fewer",IF($M1629="","",$M1629),IF($L1629="","",$I1629))))</f>
        <v/>
      </c>
      <c r="Q1629" s="34" t="str">
        <f aca="false">IF($P1629="","",IF($N1629&lt;&gt;"",$N1629,$J1629))</f>
        <v/>
      </c>
      <c r="R1629" s="35" t="str">
        <f aca="false">IF(OR($P1629="",$Q1629=""),"",INDEX(BookRate,1624)*$P1629*(5-MATCH($Q1629,{"Q1";"Q2";"Q3";"Q4"},0))/4+INDEX(BookOneOff,1624)*$P1629)</f>
        <v/>
      </c>
      <c r="S1629" s="35" t="str">
        <f aca="false">IF($P1629="","",INDEX(BookRate,1624)*$P1629)</f>
        <v/>
      </c>
      <c r="T1629" s="35" t="str">
        <f aca="false">IF($R1629="","",$R1629-$K1629)</f>
        <v/>
      </c>
      <c r="U1629" s="35" t="str">
        <f aca="false">IF(N($P1629)&lt;=0,"",COUNTIF($P$6:$P1629,"&gt;0"))</f>
        <v/>
      </c>
    </row>
    <row r="1630" customFormat="false" ht="15" hidden="false" customHeight="false" outlineLevel="0" collapsed="false">
      <c r="A1630" s="40" t="str">
        <f aca="false">IF(INDEX(BookTitle,1625)="","",INDEX(BookGroup,1625))</f>
        <v/>
      </c>
      <c r="B1630" s="40" t="str">
        <f aca="false">IF(INDEX(BookTitle,1625)="","",INDEX(BookRef,1625))</f>
        <v/>
      </c>
      <c r="C1630" s="40" t="str">
        <f aca="false">IF(INDEX(BookTitle,1625)="","",INDEX(BookDivision,1625))</f>
        <v/>
      </c>
      <c r="D1630" s="40" t="str">
        <f aca="false">IF(INDEX(BookTitle,1625)="","",INDEX(BookUnit,1625))</f>
        <v/>
      </c>
      <c r="E1630" s="40" t="str">
        <f aca="false">IF(INDEX(BookTitle,1625)="","",INDEX(BookTitle,1625))</f>
        <v/>
      </c>
      <c r="F1630" s="40" t="str">
        <f aca="false">IF(INDEX(BookTitle,1625)="","",INDEX(BookLevel,1625))</f>
        <v/>
      </c>
      <c r="G1630" s="40" t="str">
        <f aca="false">IF(INDEX(BookTitle,1625)="","",INDEX(BookCategory,1625))</f>
        <v/>
      </c>
      <c r="H1630" s="40" t="str">
        <f aca="false">IF(INDEX(BookTitle,1625)="","",INDEX(BookRank,1625))</f>
        <v/>
      </c>
      <c r="I1630" s="41" t="str">
        <f aca="false">IF(INDEX(BookTitle,1625)="","",INDEX(BookTotal,1625))</f>
        <v/>
      </c>
      <c r="J1630" s="0" t="str">
        <f aca="false">IF($I1630="","",IF(INDEX(BookQ1,1625)&gt;0,"Q1",IF(INDEX(BookQ2,1625)&gt;0,"Q2",IF(INDEX(BookQ3,1625)&gt;0,"Q3",IF(INDEX(BookQ4,1625)&gt;0,"Q4","")))))</f>
        <v/>
      </c>
      <c r="K1630" s="42" t="str">
        <f aca="false">IF(INDEX(BookTitle,1625)="","",INDEX(BookInYear,1625))</f>
        <v/>
      </c>
      <c r="L1630" s="19"/>
      <c r="M1630" s="39"/>
      <c r="N1630" s="19"/>
      <c r="O1630" s="19"/>
      <c r="P1630" s="43" t="str">
        <f aca="false">IF($E1630="","",IF($L1630="Decline",0,IF($L1630="Approve fewer",IF($M1630="","",$M1630),IF($L1630="","",$I1630))))</f>
        <v/>
      </c>
      <c r="Q1630" s="34" t="str">
        <f aca="false">IF($P1630="","",IF($N1630&lt;&gt;"",$N1630,$J1630))</f>
        <v/>
      </c>
      <c r="R1630" s="35" t="str">
        <f aca="false">IF(OR($P1630="",$Q1630=""),"",INDEX(BookRate,1625)*$P1630*(5-MATCH($Q1630,{"Q1";"Q2";"Q3";"Q4"},0))/4+INDEX(BookOneOff,1625)*$P1630)</f>
        <v/>
      </c>
      <c r="S1630" s="35" t="str">
        <f aca="false">IF($P1630="","",INDEX(BookRate,1625)*$P1630)</f>
        <v/>
      </c>
      <c r="T1630" s="35" t="str">
        <f aca="false">IF($R1630="","",$R1630-$K1630)</f>
        <v/>
      </c>
      <c r="U1630" s="35" t="str">
        <f aca="false">IF(N($P1630)&lt;=0,"",COUNTIF($P$6:$P1630,"&gt;0"))</f>
        <v/>
      </c>
    </row>
    <row r="1631" customFormat="false" ht="15" hidden="false" customHeight="false" outlineLevel="0" collapsed="false">
      <c r="A1631" s="40" t="str">
        <f aca="false">IF(INDEX(BookTitle,1626)="","",INDEX(BookGroup,1626))</f>
        <v/>
      </c>
      <c r="B1631" s="40" t="str">
        <f aca="false">IF(INDEX(BookTitle,1626)="","",INDEX(BookRef,1626))</f>
        <v/>
      </c>
      <c r="C1631" s="40" t="str">
        <f aca="false">IF(INDEX(BookTitle,1626)="","",INDEX(BookDivision,1626))</f>
        <v/>
      </c>
      <c r="D1631" s="40" t="str">
        <f aca="false">IF(INDEX(BookTitle,1626)="","",INDEX(BookUnit,1626))</f>
        <v/>
      </c>
      <c r="E1631" s="40" t="str">
        <f aca="false">IF(INDEX(BookTitle,1626)="","",INDEX(BookTitle,1626))</f>
        <v/>
      </c>
      <c r="F1631" s="40" t="str">
        <f aca="false">IF(INDEX(BookTitle,1626)="","",INDEX(BookLevel,1626))</f>
        <v/>
      </c>
      <c r="G1631" s="40" t="str">
        <f aca="false">IF(INDEX(BookTitle,1626)="","",INDEX(BookCategory,1626))</f>
        <v/>
      </c>
      <c r="H1631" s="40" t="str">
        <f aca="false">IF(INDEX(BookTitle,1626)="","",INDEX(BookRank,1626))</f>
        <v/>
      </c>
      <c r="I1631" s="41" t="str">
        <f aca="false">IF(INDEX(BookTitle,1626)="","",INDEX(BookTotal,1626))</f>
        <v/>
      </c>
      <c r="J1631" s="0" t="str">
        <f aca="false">IF($I1631="","",IF(INDEX(BookQ1,1626)&gt;0,"Q1",IF(INDEX(BookQ2,1626)&gt;0,"Q2",IF(INDEX(BookQ3,1626)&gt;0,"Q3",IF(INDEX(BookQ4,1626)&gt;0,"Q4","")))))</f>
        <v/>
      </c>
      <c r="K1631" s="42" t="str">
        <f aca="false">IF(INDEX(BookTitle,1626)="","",INDEX(BookInYear,1626))</f>
        <v/>
      </c>
      <c r="L1631" s="19"/>
      <c r="M1631" s="39"/>
      <c r="N1631" s="19"/>
      <c r="O1631" s="19"/>
      <c r="P1631" s="43" t="str">
        <f aca="false">IF($E1631="","",IF($L1631="Decline",0,IF($L1631="Approve fewer",IF($M1631="","",$M1631),IF($L1631="","",$I1631))))</f>
        <v/>
      </c>
      <c r="Q1631" s="34" t="str">
        <f aca="false">IF($P1631="","",IF($N1631&lt;&gt;"",$N1631,$J1631))</f>
        <v/>
      </c>
      <c r="R1631" s="35" t="str">
        <f aca="false">IF(OR($P1631="",$Q1631=""),"",INDEX(BookRate,1626)*$P1631*(5-MATCH($Q1631,{"Q1";"Q2";"Q3";"Q4"},0))/4+INDEX(BookOneOff,1626)*$P1631)</f>
        <v/>
      </c>
      <c r="S1631" s="35" t="str">
        <f aca="false">IF($P1631="","",INDEX(BookRate,1626)*$P1631)</f>
        <v/>
      </c>
      <c r="T1631" s="35" t="str">
        <f aca="false">IF($R1631="","",$R1631-$K1631)</f>
        <v/>
      </c>
      <c r="U1631" s="35" t="str">
        <f aca="false">IF(N($P1631)&lt;=0,"",COUNTIF($P$6:$P1631,"&gt;0"))</f>
        <v/>
      </c>
    </row>
    <row r="1632" customFormat="false" ht="15" hidden="false" customHeight="false" outlineLevel="0" collapsed="false">
      <c r="A1632" s="40" t="str">
        <f aca="false">IF(INDEX(BookTitle,1627)="","",INDEX(BookGroup,1627))</f>
        <v/>
      </c>
      <c r="B1632" s="40" t="str">
        <f aca="false">IF(INDEX(BookTitle,1627)="","",INDEX(BookRef,1627))</f>
        <v/>
      </c>
      <c r="C1632" s="40" t="str">
        <f aca="false">IF(INDEX(BookTitle,1627)="","",INDEX(BookDivision,1627))</f>
        <v/>
      </c>
      <c r="D1632" s="40" t="str">
        <f aca="false">IF(INDEX(BookTitle,1627)="","",INDEX(BookUnit,1627))</f>
        <v/>
      </c>
      <c r="E1632" s="40" t="str">
        <f aca="false">IF(INDEX(BookTitle,1627)="","",INDEX(BookTitle,1627))</f>
        <v/>
      </c>
      <c r="F1632" s="40" t="str">
        <f aca="false">IF(INDEX(BookTitle,1627)="","",INDEX(BookLevel,1627))</f>
        <v/>
      </c>
      <c r="G1632" s="40" t="str">
        <f aca="false">IF(INDEX(BookTitle,1627)="","",INDEX(BookCategory,1627))</f>
        <v/>
      </c>
      <c r="H1632" s="40" t="str">
        <f aca="false">IF(INDEX(BookTitle,1627)="","",INDEX(BookRank,1627))</f>
        <v/>
      </c>
      <c r="I1632" s="41" t="str">
        <f aca="false">IF(INDEX(BookTitle,1627)="","",INDEX(BookTotal,1627))</f>
        <v/>
      </c>
      <c r="J1632" s="0" t="str">
        <f aca="false">IF($I1632="","",IF(INDEX(BookQ1,1627)&gt;0,"Q1",IF(INDEX(BookQ2,1627)&gt;0,"Q2",IF(INDEX(BookQ3,1627)&gt;0,"Q3",IF(INDEX(BookQ4,1627)&gt;0,"Q4","")))))</f>
        <v/>
      </c>
      <c r="K1632" s="42" t="str">
        <f aca="false">IF(INDEX(BookTitle,1627)="","",INDEX(BookInYear,1627))</f>
        <v/>
      </c>
      <c r="L1632" s="19"/>
      <c r="M1632" s="39"/>
      <c r="N1632" s="19"/>
      <c r="O1632" s="19"/>
      <c r="P1632" s="43" t="str">
        <f aca="false">IF($E1632="","",IF($L1632="Decline",0,IF($L1632="Approve fewer",IF($M1632="","",$M1632),IF($L1632="","",$I1632))))</f>
        <v/>
      </c>
      <c r="Q1632" s="34" t="str">
        <f aca="false">IF($P1632="","",IF($N1632&lt;&gt;"",$N1632,$J1632))</f>
        <v/>
      </c>
      <c r="R1632" s="35" t="str">
        <f aca="false">IF(OR($P1632="",$Q1632=""),"",INDEX(BookRate,1627)*$P1632*(5-MATCH($Q1632,{"Q1";"Q2";"Q3";"Q4"},0))/4+INDEX(BookOneOff,1627)*$P1632)</f>
        <v/>
      </c>
      <c r="S1632" s="35" t="str">
        <f aca="false">IF($P1632="","",INDEX(BookRate,1627)*$P1632)</f>
        <v/>
      </c>
      <c r="T1632" s="35" t="str">
        <f aca="false">IF($R1632="","",$R1632-$K1632)</f>
        <v/>
      </c>
      <c r="U1632" s="35" t="str">
        <f aca="false">IF(N($P1632)&lt;=0,"",COUNTIF($P$6:$P1632,"&gt;0"))</f>
        <v/>
      </c>
    </row>
    <row r="1633" customFormat="false" ht="15" hidden="false" customHeight="false" outlineLevel="0" collapsed="false">
      <c r="A1633" s="40" t="str">
        <f aca="false">IF(INDEX(BookTitle,1628)="","",INDEX(BookGroup,1628))</f>
        <v/>
      </c>
      <c r="B1633" s="40" t="str">
        <f aca="false">IF(INDEX(BookTitle,1628)="","",INDEX(BookRef,1628))</f>
        <v/>
      </c>
      <c r="C1633" s="40" t="str">
        <f aca="false">IF(INDEX(BookTitle,1628)="","",INDEX(BookDivision,1628))</f>
        <v/>
      </c>
      <c r="D1633" s="40" t="str">
        <f aca="false">IF(INDEX(BookTitle,1628)="","",INDEX(BookUnit,1628))</f>
        <v/>
      </c>
      <c r="E1633" s="40" t="str">
        <f aca="false">IF(INDEX(BookTitle,1628)="","",INDEX(BookTitle,1628))</f>
        <v/>
      </c>
      <c r="F1633" s="40" t="str">
        <f aca="false">IF(INDEX(BookTitle,1628)="","",INDEX(BookLevel,1628))</f>
        <v/>
      </c>
      <c r="G1633" s="40" t="str">
        <f aca="false">IF(INDEX(BookTitle,1628)="","",INDEX(BookCategory,1628))</f>
        <v/>
      </c>
      <c r="H1633" s="40" t="str">
        <f aca="false">IF(INDEX(BookTitle,1628)="","",INDEX(BookRank,1628))</f>
        <v/>
      </c>
      <c r="I1633" s="41" t="str">
        <f aca="false">IF(INDEX(BookTitle,1628)="","",INDEX(BookTotal,1628))</f>
        <v/>
      </c>
      <c r="J1633" s="0" t="str">
        <f aca="false">IF($I1633="","",IF(INDEX(BookQ1,1628)&gt;0,"Q1",IF(INDEX(BookQ2,1628)&gt;0,"Q2",IF(INDEX(BookQ3,1628)&gt;0,"Q3",IF(INDEX(BookQ4,1628)&gt;0,"Q4","")))))</f>
        <v/>
      </c>
      <c r="K1633" s="42" t="str">
        <f aca="false">IF(INDEX(BookTitle,1628)="","",INDEX(BookInYear,1628))</f>
        <v/>
      </c>
      <c r="L1633" s="19"/>
      <c r="M1633" s="39"/>
      <c r="N1633" s="19"/>
      <c r="O1633" s="19"/>
      <c r="P1633" s="43" t="str">
        <f aca="false">IF($E1633="","",IF($L1633="Decline",0,IF($L1633="Approve fewer",IF($M1633="","",$M1633),IF($L1633="","",$I1633))))</f>
        <v/>
      </c>
      <c r="Q1633" s="34" t="str">
        <f aca="false">IF($P1633="","",IF($N1633&lt;&gt;"",$N1633,$J1633))</f>
        <v/>
      </c>
      <c r="R1633" s="35" t="str">
        <f aca="false">IF(OR($P1633="",$Q1633=""),"",INDEX(BookRate,1628)*$P1633*(5-MATCH($Q1633,{"Q1";"Q2";"Q3";"Q4"},0))/4+INDEX(BookOneOff,1628)*$P1633)</f>
        <v/>
      </c>
      <c r="S1633" s="35" t="str">
        <f aca="false">IF($P1633="","",INDEX(BookRate,1628)*$P1633)</f>
        <v/>
      </c>
      <c r="T1633" s="35" t="str">
        <f aca="false">IF($R1633="","",$R1633-$K1633)</f>
        <v/>
      </c>
      <c r="U1633" s="35" t="str">
        <f aca="false">IF(N($P1633)&lt;=0,"",COUNTIF($P$6:$P1633,"&gt;0"))</f>
        <v/>
      </c>
    </row>
    <row r="1634" customFormat="false" ht="15" hidden="false" customHeight="false" outlineLevel="0" collapsed="false">
      <c r="A1634" s="40" t="str">
        <f aca="false">IF(INDEX(BookTitle,1629)="","",INDEX(BookGroup,1629))</f>
        <v/>
      </c>
      <c r="B1634" s="40" t="str">
        <f aca="false">IF(INDEX(BookTitle,1629)="","",INDEX(BookRef,1629))</f>
        <v/>
      </c>
      <c r="C1634" s="40" t="str">
        <f aca="false">IF(INDEX(BookTitle,1629)="","",INDEX(BookDivision,1629))</f>
        <v/>
      </c>
      <c r="D1634" s="40" t="str">
        <f aca="false">IF(INDEX(BookTitle,1629)="","",INDEX(BookUnit,1629))</f>
        <v/>
      </c>
      <c r="E1634" s="40" t="str">
        <f aca="false">IF(INDEX(BookTitle,1629)="","",INDEX(BookTitle,1629))</f>
        <v/>
      </c>
      <c r="F1634" s="40" t="str">
        <f aca="false">IF(INDEX(BookTitle,1629)="","",INDEX(BookLevel,1629))</f>
        <v/>
      </c>
      <c r="G1634" s="40" t="str">
        <f aca="false">IF(INDEX(BookTitle,1629)="","",INDEX(BookCategory,1629))</f>
        <v/>
      </c>
      <c r="H1634" s="40" t="str">
        <f aca="false">IF(INDEX(BookTitle,1629)="","",INDEX(BookRank,1629))</f>
        <v/>
      </c>
      <c r="I1634" s="41" t="str">
        <f aca="false">IF(INDEX(BookTitle,1629)="","",INDEX(BookTotal,1629))</f>
        <v/>
      </c>
      <c r="J1634" s="0" t="str">
        <f aca="false">IF($I1634="","",IF(INDEX(BookQ1,1629)&gt;0,"Q1",IF(INDEX(BookQ2,1629)&gt;0,"Q2",IF(INDEX(BookQ3,1629)&gt;0,"Q3",IF(INDEX(BookQ4,1629)&gt;0,"Q4","")))))</f>
        <v/>
      </c>
      <c r="K1634" s="42" t="str">
        <f aca="false">IF(INDEX(BookTitle,1629)="","",INDEX(BookInYear,1629))</f>
        <v/>
      </c>
      <c r="L1634" s="19"/>
      <c r="M1634" s="39"/>
      <c r="N1634" s="19"/>
      <c r="O1634" s="19"/>
      <c r="P1634" s="43" t="str">
        <f aca="false">IF($E1634="","",IF($L1634="Decline",0,IF($L1634="Approve fewer",IF($M1634="","",$M1634),IF($L1634="","",$I1634))))</f>
        <v/>
      </c>
      <c r="Q1634" s="34" t="str">
        <f aca="false">IF($P1634="","",IF($N1634&lt;&gt;"",$N1634,$J1634))</f>
        <v/>
      </c>
      <c r="R1634" s="35" t="str">
        <f aca="false">IF(OR($P1634="",$Q1634=""),"",INDEX(BookRate,1629)*$P1634*(5-MATCH($Q1634,{"Q1";"Q2";"Q3";"Q4"},0))/4+INDEX(BookOneOff,1629)*$P1634)</f>
        <v/>
      </c>
      <c r="S1634" s="35" t="str">
        <f aca="false">IF($P1634="","",INDEX(BookRate,1629)*$P1634)</f>
        <v/>
      </c>
      <c r="T1634" s="35" t="str">
        <f aca="false">IF($R1634="","",$R1634-$K1634)</f>
        <v/>
      </c>
      <c r="U1634" s="35" t="str">
        <f aca="false">IF(N($P1634)&lt;=0,"",COUNTIF($P$6:$P1634,"&gt;0"))</f>
        <v/>
      </c>
    </row>
    <row r="1635" customFormat="false" ht="15" hidden="false" customHeight="false" outlineLevel="0" collapsed="false">
      <c r="A1635" s="40" t="str">
        <f aca="false">IF(INDEX(BookTitle,1630)="","",INDEX(BookGroup,1630))</f>
        <v/>
      </c>
      <c r="B1635" s="40" t="str">
        <f aca="false">IF(INDEX(BookTitle,1630)="","",INDEX(BookRef,1630))</f>
        <v/>
      </c>
      <c r="C1635" s="40" t="str">
        <f aca="false">IF(INDEX(BookTitle,1630)="","",INDEX(BookDivision,1630))</f>
        <v/>
      </c>
      <c r="D1635" s="40" t="str">
        <f aca="false">IF(INDEX(BookTitle,1630)="","",INDEX(BookUnit,1630))</f>
        <v/>
      </c>
      <c r="E1635" s="40" t="str">
        <f aca="false">IF(INDEX(BookTitle,1630)="","",INDEX(BookTitle,1630))</f>
        <v/>
      </c>
      <c r="F1635" s="40" t="str">
        <f aca="false">IF(INDEX(BookTitle,1630)="","",INDEX(BookLevel,1630))</f>
        <v/>
      </c>
      <c r="G1635" s="40" t="str">
        <f aca="false">IF(INDEX(BookTitle,1630)="","",INDEX(BookCategory,1630))</f>
        <v/>
      </c>
      <c r="H1635" s="40" t="str">
        <f aca="false">IF(INDEX(BookTitle,1630)="","",INDEX(BookRank,1630))</f>
        <v/>
      </c>
      <c r="I1635" s="41" t="str">
        <f aca="false">IF(INDEX(BookTitle,1630)="","",INDEX(BookTotal,1630))</f>
        <v/>
      </c>
      <c r="J1635" s="0" t="str">
        <f aca="false">IF($I1635="","",IF(INDEX(BookQ1,1630)&gt;0,"Q1",IF(INDEX(BookQ2,1630)&gt;0,"Q2",IF(INDEX(BookQ3,1630)&gt;0,"Q3",IF(INDEX(BookQ4,1630)&gt;0,"Q4","")))))</f>
        <v/>
      </c>
      <c r="K1635" s="42" t="str">
        <f aca="false">IF(INDEX(BookTitle,1630)="","",INDEX(BookInYear,1630))</f>
        <v/>
      </c>
      <c r="L1635" s="19"/>
      <c r="M1635" s="39"/>
      <c r="N1635" s="19"/>
      <c r="O1635" s="19"/>
      <c r="P1635" s="43" t="str">
        <f aca="false">IF($E1635="","",IF($L1635="Decline",0,IF($L1635="Approve fewer",IF($M1635="","",$M1635),IF($L1635="","",$I1635))))</f>
        <v/>
      </c>
      <c r="Q1635" s="34" t="str">
        <f aca="false">IF($P1635="","",IF($N1635&lt;&gt;"",$N1635,$J1635))</f>
        <v/>
      </c>
      <c r="R1635" s="35" t="str">
        <f aca="false">IF(OR($P1635="",$Q1635=""),"",INDEX(BookRate,1630)*$P1635*(5-MATCH($Q1635,{"Q1";"Q2";"Q3";"Q4"},0))/4+INDEX(BookOneOff,1630)*$P1635)</f>
        <v/>
      </c>
      <c r="S1635" s="35" t="str">
        <f aca="false">IF($P1635="","",INDEX(BookRate,1630)*$P1635)</f>
        <v/>
      </c>
      <c r="T1635" s="35" t="str">
        <f aca="false">IF($R1635="","",$R1635-$K1635)</f>
        <v/>
      </c>
      <c r="U1635" s="35" t="str">
        <f aca="false">IF(N($P1635)&lt;=0,"",COUNTIF($P$6:$P1635,"&gt;0"))</f>
        <v/>
      </c>
    </row>
    <row r="1636" customFormat="false" ht="15" hidden="false" customHeight="false" outlineLevel="0" collapsed="false">
      <c r="A1636" s="40" t="str">
        <f aca="false">IF(INDEX(BookTitle,1631)="","",INDEX(BookGroup,1631))</f>
        <v/>
      </c>
      <c r="B1636" s="40" t="str">
        <f aca="false">IF(INDEX(BookTitle,1631)="","",INDEX(BookRef,1631))</f>
        <v/>
      </c>
      <c r="C1636" s="40" t="str">
        <f aca="false">IF(INDEX(BookTitle,1631)="","",INDEX(BookDivision,1631))</f>
        <v/>
      </c>
      <c r="D1636" s="40" t="str">
        <f aca="false">IF(INDEX(BookTitle,1631)="","",INDEX(BookUnit,1631))</f>
        <v/>
      </c>
      <c r="E1636" s="40" t="str">
        <f aca="false">IF(INDEX(BookTitle,1631)="","",INDEX(BookTitle,1631))</f>
        <v/>
      </c>
      <c r="F1636" s="40" t="str">
        <f aca="false">IF(INDEX(BookTitle,1631)="","",INDEX(BookLevel,1631))</f>
        <v/>
      </c>
      <c r="G1636" s="40" t="str">
        <f aca="false">IF(INDEX(BookTitle,1631)="","",INDEX(BookCategory,1631))</f>
        <v/>
      </c>
      <c r="H1636" s="40" t="str">
        <f aca="false">IF(INDEX(BookTitle,1631)="","",INDEX(BookRank,1631))</f>
        <v/>
      </c>
      <c r="I1636" s="41" t="str">
        <f aca="false">IF(INDEX(BookTitle,1631)="","",INDEX(BookTotal,1631))</f>
        <v/>
      </c>
      <c r="J1636" s="0" t="str">
        <f aca="false">IF($I1636="","",IF(INDEX(BookQ1,1631)&gt;0,"Q1",IF(INDEX(BookQ2,1631)&gt;0,"Q2",IF(INDEX(BookQ3,1631)&gt;0,"Q3",IF(INDEX(BookQ4,1631)&gt;0,"Q4","")))))</f>
        <v/>
      </c>
      <c r="K1636" s="42" t="str">
        <f aca="false">IF(INDEX(BookTitle,1631)="","",INDEX(BookInYear,1631))</f>
        <v/>
      </c>
      <c r="L1636" s="19"/>
      <c r="M1636" s="39"/>
      <c r="N1636" s="19"/>
      <c r="O1636" s="19"/>
      <c r="P1636" s="43" t="str">
        <f aca="false">IF($E1636="","",IF($L1636="Decline",0,IF($L1636="Approve fewer",IF($M1636="","",$M1636),IF($L1636="","",$I1636))))</f>
        <v/>
      </c>
      <c r="Q1636" s="34" t="str">
        <f aca="false">IF($P1636="","",IF($N1636&lt;&gt;"",$N1636,$J1636))</f>
        <v/>
      </c>
      <c r="R1636" s="35" t="str">
        <f aca="false">IF(OR($P1636="",$Q1636=""),"",INDEX(BookRate,1631)*$P1636*(5-MATCH($Q1636,{"Q1";"Q2";"Q3";"Q4"},0))/4+INDEX(BookOneOff,1631)*$P1636)</f>
        <v/>
      </c>
      <c r="S1636" s="35" t="str">
        <f aca="false">IF($P1636="","",INDEX(BookRate,1631)*$P1636)</f>
        <v/>
      </c>
      <c r="T1636" s="35" t="str">
        <f aca="false">IF($R1636="","",$R1636-$K1636)</f>
        <v/>
      </c>
      <c r="U1636" s="35" t="str">
        <f aca="false">IF(N($P1636)&lt;=0,"",COUNTIF($P$6:$P1636,"&gt;0"))</f>
        <v/>
      </c>
    </row>
    <row r="1637" customFormat="false" ht="15" hidden="false" customHeight="false" outlineLevel="0" collapsed="false">
      <c r="A1637" s="40" t="str">
        <f aca="false">IF(INDEX(BookTitle,1632)="","",INDEX(BookGroup,1632))</f>
        <v/>
      </c>
      <c r="B1637" s="40" t="str">
        <f aca="false">IF(INDEX(BookTitle,1632)="","",INDEX(BookRef,1632))</f>
        <v/>
      </c>
      <c r="C1637" s="40" t="str">
        <f aca="false">IF(INDEX(BookTitle,1632)="","",INDEX(BookDivision,1632))</f>
        <v/>
      </c>
      <c r="D1637" s="40" t="str">
        <f aca="false">IF(INDEX(BookTitle,1632)="","",INDEX(BookUnit,1632))</f>
        <v/>
      </c>
      <c r="E1637" s="40" t="str">
        <f aca="false">IF(INDEX(BookTitle,1632)="","",INDEX(BookTitle,1632))</f>
        <v/>
      </c>
      <c r="F1637" s="40" t="str">
        <f aca="false">IF(INDEX(BookTitle,1632)="","",INDEX(BookLevel,1632))</f>
        <v/>
      </c>
      <c r="G1637" s="40" t="str">
        <f aca="false">IF(INDEX(BookTitle,1632)="","",INDEX(BookCategory,1632))</f>
        <v/>
      </c>
      <c r="H1637" s="40" t="str">
        <f aca="false">IF(INDEX(BookTitle,1632)="","",INDEX(BookRank,1632))</f>
        <v/>
      </c>
      <c r="I1637" s="41" t="str">
        <f aca="false">IF(INDEX(BookTitle,1632)="","",INDEX(BookTotal,1632))</f>
        <v/>
      </c>
      <c r="J1637" s="0" t="str">
        <f aca="false">IF($I1637="","",IF(INDEX(BookQ1,1632)&gt;0,"Q1",IF(INDEX(BookQ2,1632)&gt;0,"Q2",IF(INDEX(BookQ3,1632)&gt;0,"Q3",IF(INDEX(BookQ4,1632)&gt;0,"Q4","")))))</f>
        <v/>
      </c>
      <c r="K1637" s="42" t="str">
        <f aca="false">IF(INDEX(BookTitle,1632)="","",INDEX(BookInYear,1632))</f>
        <v/>
      </c>
      <c r="L1637" s="19"/>
      <c r="M1637" s="39"/>
      <c r="N1637" s="19"/>
      <c r="O1637" s="19"/>
      <c r="P1637" s="43" t="str">
        <f aca="false">IF($E1637="","",IF($L1637="Decline",0,IF($L1637="Approve fewer",IF($M1637="","",$M1637),IF($L1637="","",$I1637))))</f>
        <v/>
      </c>
      <c r="Q1637" s="34" t="str">
        <f aca="false">IF($P1637="","",IF($N1637&lt;&gt;"",$N1637,$J1637))</f>
        <v/>
      </c>
      <c r="R1637" s="35" t="str">
        <f aca="false">IF(OR($P1637="",$Q1637=""),"",INDEX(BookRate,1632)*$P1637*(5-MATCH($Q1637,{"Q1";"Q2";"Q3";"Q4"},0))/4+INDEX(BookOneOff,1632)*$P1637)</f>
        <v/>
      </c>
      <c r="S1637" s="35" t="str">
        <f aca="false">IF($P1637="","",INDEX(BookRate,1632)*$P1637)</f>
        <v/>
      </c>
      <c r="T1637" s="35" t="str">
        <f aca="false">IF($R1637="","",$R1637-$K1637)</f>
        <v/>
      </c>
      <c r="U1637" s="35" t="str">
        <f aca="false">IF(N($P1637)&lt;=0,"",COUNTIF($P$6:$P1637,"&gt;0"))</f>
        <v/>
      </c>
    </row>
    <row r="1638" customFormat="false" ht="15" hidden="false" customHeight="false" outlineLevel="0" collapsed="false">
      <c r="A1638" s="40" t="str">
        <f aca="false">IF(INDEX(BookTitle,1633)="","",INDEX(BookGroup,1633))</f>
        <v/>
      </c>
      <c r="B1638" s="40" t="str">
        <f aca="false">IF(INDEX(BookTitle,1633)="","",INDEX(BookRef,1633))</f>
        <v/>
      </c>
      <c r="C1638" s="40" t="str">
        <f aca="false">IF(INDEX(BookTitle,1633)="","",INDEX(BookDivision,1633))</f>
        <v/>
      </c>
      <c r="D1638" s="40" t="str">
        <f aca="false">IF(INDEX(BookTitle,1633)="","",INDEX(BookUnit,1633))</f>
        <v/>
      </c>
      <c r="E1638" s="40" t="str">
        <f aca="false">IF(INDEX(BookTitle,1633)="","",INDEX(BookTitle,1633))</f>
        <v/>
      </c>
      <c r="F1638" s="40" t="str">
        <f aca="false">IF(INDEX(BookTitle,1633)="","",INDEX(BookLevel,1633))</f>
        <v/>
      </c>
      <c r="G1638" s="40" t="str">
        <f aca="false">IF(INDEX(BookTitle,1633)="","",INDEX(BookCategory,1633))</f>
        <v/>
      </c>
      <c r="H1638" s="40" t="str">
        <f aca="false">IF(INDEX(BookTitle,1633)="","",INDEX(BookRank,1633))</f>
        <v/>
      </c>
      <c r="I1638" s="41" t="str">
        <f aca="false">IF(INDEX(BookTitle,1633)="","",INDEX(BookTotal,1633))</f>
        <v/>
      </c>
      <c r="J1638" s="0" t="str">
        <f aca="false">IF($I1638="","",IF(INDEX(BookQ1,1633)&gt;0,"Q1",IF(INDEX(BookQ2,1633)&gt;0,"Q2",IF(INDEX(BookQ3,1633)&gt;0,"Q3",IF(INDEX(BookQ4,1633)&gt;0,"Q4","")))))</f>
        <v/>
      </c>
      <c r="K1638" s="42" t="str">
        <f aca="false">IF(INDEX(BookTitle,1633)="","",INDEX(BookInYear,1633))</f>
        <v/>
      </c>
      <c r="L1638" s="19"/>
      <c r="M1638" s="39"/>
      <c r="N1638" s="19"/>
      <c r="O1638" s="19"/>
      <c r="P1638" s="43" t="str">
        <f aca="false">IF($E1638="","",IF($L1638="Decline",0,IF($L1638="Approve fewer",IF($M1638="","",$M1638),IF($L1638="","",$I1638))))</f>
        <v/>
      </c>
      <c r="Q1638" s="34" t="str">
        <f aca="false">IF($P1638="","",IF($N1638&lt;&gt;"",$N1638,$J1638))</f>
        <v/>
      </c>
      <c r="R1638" s="35" t="str">
        <f aca="false">IF(OR($P1638="",$Q1638=""),"",INDEX(BookRate,1633)*$P1638*(5-MATCH($Q1638,{"Q1";"Q2";"Q3";"Q4"},0))/4+INDEX(BookOneOff,1633)*$P1638)</f>
        <v/>
      </c>
      <c r="S1638" s="35" t="str">
        <f aca="false">IF($P1638="","",INDEX(BookRate,1633)*$P1638)</f>
        <v/>
      </c>
      <c r="T1638" s="35" t="str">
        <f aca="false">IF($R1638="","",$R1638-$K1638)</f>
        <v/>
      </c>
      <c r="U1638" s="35" t="str">
        <f aca="false">IF(N($P1638)&lt;=0,"",COUNTIF($P$6:$P1638,"&gt;0"))</f>
        <v/>
      </c>
    </row>
    <row r="1639" customFormat="false" ht="15" hidden="false" customHeight="false" outlineLevel="0" collapsed="false">
      <c r="A1639" s="40" t="str">
        <f aca="false">IF(INDEX(BookTitle,1634)="","",INDEX(BookGroup,1634))</f>
        <v/>
      </c>
      <c r="B1639" s="40" t="str">
        <f aca="false">IF(INDEX(BookTitle,1634)="","",INDEX(BookRef,1634))</f>
        <v/>
      </c>
      <c r="C1639" s="40" t="str">
        <f aca="false">IF(INDEX(BookTitle,1634)="","",INDEX(BookDivision,1634))</f>
        <v/>
      </c>
      <c r="D1639" s="40" t="str">
        <f aca="false">IF(INDEX(BookTitle,1634)="","",INDEX(BookUnit,1634))</f>
        <v/>
      </c>
      <c r="E1639" s="40" t="str">
        <f aca="false">IF(INDEX(BookTitle,1634)="","",INDEX(BookTitle,1634))</f>
        <v/>
      </c>
      <c r="F1639" s="40" t="str">
        <f aca="false">IF(INDEX(BookTitle,1634)="","",INDEX(BookLevel,1634))</f>
        <v/>
      </c>
      <c r="G1639" s="40" t="str">
        <f aca="false">IF(INDEX(BookTitle,1634)="","",INDEX(BookCategory,1634))</f>
        <v/>
      </c>
      <c r="H1639" s="40" t="str">
        <f aca="false">IF(INDEX(BookTitle,1634)="","",INDEX(BookRank,1634))</f>
        <v/>
      </c>
      <c r="I1639" s="41" t="str">
        <f aca="false">IF(INDEX(BookTitle,1634)="","",INDEX(BookTotal,1634))</f>
        <v/>
      </c>
      <c r="J1639" s="0" t="str">
        <f aca="false">IF($I1639="","",IF(INDEX(BookQ1,1634)&gt;0,"Q1",IF(INDEX(BookQ2,1634)&gt;0,"Q2",IF(INDEX(BookQ3,1634)&gt;0,"Q3",IF(INDEX(BookQ4,1634)&gt;0,"Q4","")))))</f>
        <v/>
      </c>
      <c r="K1639" s="42" t="str">
        <f aca="false">IF(INDEX(BookTitle,1634)="","",INDEX(BookInYear,1634))</f>
        <v/>
      </c>
      <c r="L1639" s="19"/>
      <c r="M1639" s="39"/>
      <c r="N1639" s="19"/>
      <c r="O1639" s="19"/>
      <c r="P1639" s="43" t="str">
        <f aca="false">IF($E1639="","",IF($L1639="Decline",0,IF($L1639="Approve fewer",IF($M1639="","",$M1639),IF($L1639="","",$I1639))))</f>
        <v/>
      </c>
      <c r="Q1639" s="34" t="str">
        <f aca="false">IF($P1639="","",IF($N1639&lt;&gt;"",$N1639,$J1639))</f>
        <v/>
      </c>
      <c r="R1639" s="35" t="str">
        <f aca="false">IF(OR($P1639="",$Q1639=""),"",INDEX(BookRate,1634)*$P1639*(5-MATCH($Q1639,{"Q1";"Q2";"Q3";"Q4"},0))/4+INDEX(BookOneOff,1634)*$P1639)</f>
        <v/>
      </c>
      <c r="S1639" s="35" t="str">
        <f aca="false">IF($P1639="","",INDEX(BookRate,1634)*$P1639)</f>
        <v/>
      </c>
      <c r="T1639" s="35" t="str">
        <f aca="false">IF($R1639="","",$R1639-$K1639)</f>
        <v/>
      </c>
      <c r="U1639" s="35" t="str">
        <f aca="false">IF(N($P1639)&lt;=0,"",COUNTIF($P$6:$P1639,"&gt;0"))</f>
        <v/>
      </c>
    </row>
    <row r="1640" customFormat="false" ht="15" hidden="false" customHeight="false" outlineLevel="0" collapsed="false">
      <c r="A1640" s="40" t="str">
        <f aca="false">IF(INDEX(BookTitle,1635)="","",INDEX(BookGroup,1635))</f>
        <v/>
      </c>
      <c r="B1640" s="40" t="str">
        <f aca="false">IF(INDEX(BookTitle,1635)="","",INDEX(BookRef,1635))</f>
        <v/>
      </c>
      <c r="C1640" s="40" t="str">
        <f aca="false">IF(INDEX(BookTitle,1635)="","",INDEX(BookDivision,1635))</f>
        <v/>
      </c>
      <c r="D1640" s="40" t="str">
        <f aca="false">IF(INDEX(BookTitle,1635)="","",INDEX(BookUnit,1635))</f>
        <v/>
      </c>
      <c r="E1640" s="40" t="str">
        <f aca="false">IF(INDEX(BookTitle,1635)="","",INDEX(BookTitle,1635))</f>
        <v/>
      </c>
      <c r="F1640" s="40" t="str">
        <f aca="false">IF(INDEX(BookTitle,1635)="","",INDEX(BookLevel,1635))</f>
        <v/>
      </c>
      <c r="G1640" s="40" t="str">
        <f aca="false">IF(INDEX(BookTitle,1635)="","",INDEX(BookCategory,1635))</f>
        <v/>
      </c>
      <c r="H1640" s="40" t="str">
        <f aca="false">IF(INDEX(BookTitle,1635)="","",INDEX(BookRank,1635))</f>
        <v/>
      </c>
      <c r="I1640" s="41" t="str">
        <f aca="false">IF(INDEX(BookTitle,1635)="","",INDEX(BookTotal,1635))</f>
        <v/>
      </c>
      <c r="J1640" s="0" t="str">
        <f aca="false">IF($I1640="","",IF(INDEX(BookQ1,1635)&gt;0,"Q1",IF(INDEX(BookQ2,1635)&gt;0,"Q2",IF(INDEX(BookQ3,1635)&gt;0,"Q3",IF(INDEX(BookQ4,1635)&gt;0,"Q4","")))))</f>
        <v/>
      </c>
      <c r="K1640" s="42" t="str">
        <f aca="false">IF(INDEX(BookTitle,1635)="","",INDEX(BookInYear,1635))</f>
        <v/>
      </c>
      <c r="L1640" s="19"/>
      <c r="M1640" s="39"/>
      <c r="N1640" s="19"/>
      <c r="O1640" s="19"/>
      <c r="P1640" s="43" t="str">
        <f aca="false">IF($E1640="","",IF($L1640="Decline",0,IF($L1640="Approve fewer",IF($M1640="","",$M1640),IF($L1640="","",$I1640))))</f>
        <v/>
      </c>
      <c r="Q1640" s="34" t="str">
        <f aca="false">IF($P1640="","",IF($N1640&lt;&gt;"",$N1640,$J1640))</f>
        <v/>
      </c>
      <c r="R1640" s="35" t="str">
        <f aca="false">IF(OR($P1640="",$Q1640=""),"",INDEX(BookRate,1635)*$P1640*(5-MATCH($Q1640,{"Q1";"Q2";"Q3";"Q4"},0))/4+INDEX(BookOneOff,1635)*$P1640)</f>
        <v/>
      </c>
      <c r="S1640" s="35" t="str">
        <f aca="false">IF($P1640="","",INDEX(BookRate,1635)*$P1640)</f>
        <v/>
      </c>
      <c r="T1640" s="35" t="str">
        <f aca="false">IF($R1640="","",$R1640-$K1640)</f>
        <v/>
      </c>
      <c r="U1640" s="35" t="str">
        <f aca="false">IF(N($P1640)&lt;=0,"",COUNTIF($P$6:$P1640,"&gt;0"))</f>
        <v/>
      </c>
    </row>
    <row r="1641" customFormat="false" ht="15" hidden="false" customHeight="false" outlineLevel="0" collapsed="false">
      <c r="A1641" s="40" t="str">
        <f aca="false">IF(INDEX(BookTitle,1636)="","",INDEX(BookGroup,1636))</f>
        <v/>
      </c>
      <c r="B1641" s="40" t="str">
        <f aca="false">IF(INDEX(BookTitle,1636)="","",INDEX(BookRef,1636))</f>
        <v/>
      </c>
      <c r="C1641" s="40" t="str">
        <f aca="false">IF(INDEX(BookTitle,1636)="","",INDEX(BookDivision,1636))</f>
        <v/>
      </c>
      <c r="D1641" s="40" t="str">
        <f aca="false">IF(INDEX(BookTitle,1636)="","",INDEX(BookUnit,1636))</f>
        <v/>
      </c>
      <c r="E1641" s="40" t="str">
        <f aca="false">IF(INDEX(BookTitle,1636)="","",INDEX(BookTitle,1636))</f>
        <v/>
      </c>
      <c r="F1641" s="40" t="str">
        <f aca="false">IF(INDEX(BookTitle,1636)="","",INDEX(BookLevel,1636))</f>
        <v/>
      </c>
      <c r="G1641" s="40" t="str">
        <f aca="false">IF(INDEX(BookTitle,1636)="","",INDEX(BookCategory,1636))</f>
        <v/>
      </c>
      <c r="H1641" s="40" t="str">
        <f aca="false">IF(INDEX(BookTitle,1636)="","",INDEX(BookRank,1636))</f>
        <v/>
      </c>
      <c r="I1641" s="41" t="str">
        <f aca="false">IF(INDEX(BookTitle,1636)="","",INDEX(BookTotal,1636))</f>
        <v/>
      </c>
      <c r="J1641" s="0" t="str">
        <f aca="false">IF($I1641="","",IF(INDEX(BookQ1,1636)&gt;0,"Q1",IF(INDEX(BookQ2,1636)&gt;0,"Q2",IF(INDEX(BookQ3,1636)&gt;0,"Q3",IF(INDEX(BookQ4,1636)&gt;0,"Q4","")))))</f>
        <v/>
      </c>
      <c r="K1641" s="42" t="str">
        <f aca="false">IF(INDEX(BookTitle,1636)="","",INDEX(BookInYear,1636))</f>
        <v/>
      </c>
      <c r="L1641" s="19"/>
      <c r="M1641" s="39"/>
      <c r="N1641" s="19"/>
      <c r="O1641" s="19"/>
      <c r="P1641" s="43" t="str">
        <f aca="false">IF($E1641="","",IF($L1641="Decline",0,IF($L1641="Approve fewer",IF($M1641="","",$M1641),IF($L1641="","",$I1641))))</f>
        <v/>
      </c>
      <c r="Q1641" s="34" t="str">
        <f aca="false">IF($P1641="","",IF($N1641&lt;&gt;"",$N1641,$J1641))</f>
        <v/>
      </c>
      <c r="R1641" s="35" t="str">
        <f aca="false">IF(OR($P1641="",$Q1641=""),"",INDEX(BookRate,1636)*$P1641*(5-MATCH($Q1641,{"Q1";"Q2";"Q3";"Q4"},0))/4+INDEX(BookOneOff,1636)*$P1641)</f>
        <v/>
      </c>
      <c r="S1641" s="35" t="str">
        <f aca="false">IF($P1641="","",INDEX(BookRate,1636)*$P1641)</f>
        <v/>
      </c>
      <c r="T1641" s="35" t="str">
        <f aca="false">IF($R1641="","",$R1641-$K1641)</f>
        <v/>
      </c>
      <c r="U1641" s="35" t="str">
        <f aca="false">IF(N($P1641)&lt;=0,"",COUNTIF($P$6:$P1641,"&gt;0"))</f>
        <v/>
      </c>
    </row>
    <row r="1642" customFormat="false" ht="15" hidden="false" customHeight="false" outlineLevel="0" collapsed="false">
      <c r="A1642" s="40" t="str">
        <f aca="false">IF(INDEX(BookTitle,1637)="","",INDEX(BookGroup,1637))</f>
        <v/>
      </c>
      <c r="B1642" s="40" t="str">
        <f aca="false">IF(INDEX(BookTitle,1637)="","",INDEX(BookRef,1637))</f>
        <v/>
      </c>
      <c r="C1642" s="40" t="str">
        <f aca="false">IF(INDEX(BookTitle,1637)="","",INDEX(BookDivision,1637))</f>
        <v/>
      </c>
      <c r="D1642" s="40" t="str">
        <f aca="false">IF(INDEX(BookTitle,1637)="","",INDEX(BookUnit,1637))</f>
        <v/>
      </c>
      <c r="E1642" s="40" t="str">
        <f aca="false">IF(INDEX(BookTitle,1637)="","",INDEX(BookTitle,1637))</f>
        <v/>
      </c>
      <c r="F1642" s="40" t="str">
        <f aca="false">IF(INDEX(BookTitle,1637)="","",INDEX(BookLevel,1637))</f>
        <v/>
      </c>
      <c r="G1642" s="40" t="str">
        <f aca="false">IF(INDEX(BookTitle,1637)="","",INDEX(BookCategory,1637))</f>
        <v/>
      </c>
      <c r="H1642" s="40" t="str">
        <f aca="false">IF(INDEX(BookTitle,1637)="","",INDEX(BookRank,1637))</f>
        <v/>
      </c>
      <c r="I1642" s="41" t="str">
        <f aca="false">IF(INDEX(BookTitle,1637)="","",INDEX(BookTotal,1637))</f>
        <v/>
      </c>
      <c r="J1642" s="0" t="str">
        <f aca="false">IF($I1642="","",IF(INDEX(BookQ1,1637)&gt;0,"Q1",IF(INDEX(BookQ2,1637)&gt;0,"Q2",IF(INDEX(BookQ3,1637)&gt;0,"Q3",IF(INDEX(BookQ4,1637)&gt;0,"Q4","")))))</f>
        <v/>
      </c>
      <c r="K1642" s="42" t="str">
        <f aca="false">IF(INDEX(BookTitle,1637)="","",INDEX(BookInYear,1637))</f>
        <v/>
      </c>
      <c r="L1642" s="19"/>
      <c r="M1642" s="39"/>
      <c r="N1642" s="19"/>
      <c r="O1642" s="19"/>
      <c r="P1642" s="43" t="str">
        <f aca="false">IF($E1642="","",IF($L1642="Decline",0,IF($L1642="Approve fewer",IF($M1642="","",$M1642),IF($L1642="","",$I1642))))</f>
        <v/>
      </c>
      <c r="Q1642" s="34" t="str">
        <f aca="false">IF($P1642="","",IF($N1642&lt;&gt;"",$N1642,$J1642))</f>
        <v/>
      </c>
      <c r="R1642" s="35" t="str">
        <f aca="false">IF(OR($P1642="",$Q1642=""),"",INDEX(BookRate,1637)*$P1642*(5-MATCH($Q1642,{"Q1";"Q2";"Q3";"Q4"},0))/4+INDEX(BookOneOff,1637)*$P1642)</f>
        <v/>
      </c>
      <c r="S1642" s="35" t="str">
        <f aca="false">IF($P1642="","",INDEX(BookRate,1637)*$P1642)</f>
        <v/>
      </c>
      <c r="T1642" s="35" t="str">
        <f aca="false">IF($R1642="","",$R1642-$K1642)</f>
        <v/>
      </c>
      <c r="U1642" s="35" t="str">
        <f aca="false">IF(N($P1642)&lt;=0,"",COUNTIF($P$6:$P1642,"&gt;0"))</f>
        <v/>
      </c>
    </row>
    <row r="1643" customFormat="false" ht="15" hidden="false" customHeight="false" outlineLevel="0" collapsed="false">
      <c r="A1643" s="40" t="str">
        <f aca="false">IF(INDEX(BookTitle,1638)="","",INDEX(BookGroup,1638))</f>
        <v/>
      </c>
      <c r="B1643" s="40" t="str">
        <f aca="false">IF(INDEX(BookTitle,1638)="","",INDEX(BookRef,1638))</f>
        <v/>
      </c>
      <c r="C1643" s="40" t="str">
        <f aca="false">IF(INDEX(BookTitle,1638)="","",INDEX(BookDivision,1638))</f>
        <v/>
      </c>
      <c r="D1643" s="40" t="str">
        <f aca="false">IF(INDEX(BookTitle,1638)="","",INDEX(BookUnit,1638))</f>
        <v/>
      </c>
      <c r="E1643" s="40" t="str">
        <f aca="false">IF(INDEX(BookTitle,1638)="","",INDEX(BookTitle,1638))</f>
        <v/>
      </c>
      <c r="F1643" s="40" t="str">
        <f aca="false">IF(INDEX(BookTitle,1638)="","",INDEX(BookLevel,1638))</f>
        <v/>
      </c>
      <c r="G1643" s="40" t="str">
        <f aca="false">IF(INDEX(BookTitle,1638)="","",INDEX(BookCategory,1638))</f>
        <v/>
      </c>
      <c r="H1643" s="40" t="str">
        <f aca="false">IF(INDEX(BookTitle,1638)="","",INDEX(BookRank,1638))</f>
        <v/>
      </c>
      <c r="I1643" s="41" t="str">
        <f aca="false">IF(INDEX(BookTitle,1638)="","",INDEX(BookTotal,1638))</f>
        <v/>
      </c>
      <c r="J1643" s="0" t="str">
        <f aca="false">IF($I1643="","",IF(INDEX(BookQ1,1638)&gt;0,"Q1",IF(INDEX(BookQ2,1638)&gt;0,"Q2",IF(INDEX(BookQ3,1638)&gt;0,"Q3",IF(INDEX(BookQ4,1638)&gt;0,"Q4","")))))</f>
        <v/>
      </c>
      <c r="K1643" s="42" t="str">
        <f aca="false">IF(INDEX(BookTitle,1638)="","",INDEX(BookInYear,1638))</f>
        <v/>
      </c>
      <c r="L1643" s="19"/>
      <c r="M1643" s="39"/>
      <c r="N1643" s="19"/>
      <c r="O1643" s="19"/>
      <c r="P1643" s="43" t="str">
        <f aca="false">IF($E1643="","",IF($L1643="Decline",0,IF($L1643="Approve fewer",IF($M1643="","",$M1643),IF($L1643="","",$I1643))))</f>
        <v/>
      </c>
      <c r="Q1643" s="34" t="str">
        <f aca="false">IF($P1643="","",IF($N1643&lt;&gt;"",$N1643,$J1643))</f>
        <v/>
      </c>
      <c r="R1643" s="35" t="str">
        <f aca="false">IF(OR($P1643="",$Q1643=""),"",INDEX(BookRate,1638)*$P1643*(5-MATCH($Q1643,{"Q1";"Q2";"Q3";"Q4"},0))/4+INDEX(BookOneOff,1638)*$P1643)</f>
        <v/>
      </c>
      <c r="S1643" s="35" t="str">
        <f aca="false">IF($P1643="","",INDEX(BookRate,1638)*$P1643)</f>
        <v/>
      </c>
      <c r="T1643" s="35" t="str">
        <f aca="false">IF($R1643="","",$R1643-$K1643)</f>
        <v/>
      </c>
      <c r="U1643" s="35" t="str">
        <f aca="false">IF(N($P1643)&lt;=0,"",COUNTIF($P$6:$P1643,"&gt;0"))</f>
        <v/>
      </c>
    </row>
    <row r="1644" customFormat="false" ht="15" hidden="false" customHeight="false" outlineLevel="0" collapsed="false">
      <c r="A1644" s="40" t="str">
        <f aca="false">IF(INDEX(BookTitle,1639)="","",INDEX(BookGroup,1639))</f>
        <v/>
      </c>
      <c r="B1644" s="40" t="str">
        <f aca="false">IF(INDEX(BookTitle,1639)="","",INDEX(BookRef,1639))</f>
        <v/>
      </c>
      <c r="C1644" s="40" t="str">
        <f aca="false">IF(INDEX(BookTitle,1639)="","",INDEX(BookDivision,1639))</f>
        <v/>
      </c>
      <c r="D1644" s="40" t="str">
        <f aca="false">IF(INDEX(BookTitle,1639)="","",INDEX(BookUnit,1639))</f>
        <v/>
      </c>
      <c r="E1644" s="40" t="str">
        <f aca="false">IF(INDEX(BookTitle,1639)="","",INDEX(BookTitle,1639))</f>
        <v/>
      </c>
      <c r="F1644" s="40" t="str">
        <f aca="false">IF(INDEX(BookTitle,1639)="","",INDEX(BookLevel,1639))</f>
        <v/>
      </c>
      <c r="G1644" s="40" t="str">
        <f aca="false">IF(INDEX(BookTitle,1639)="","",INDEX(BookCategory,1639))</f>
        <v/>
      </c>
      <c r="H1644" s="40" t="str">
        <f aca="false">IF(INDEX(BookTitle,1639)="","",INDEX(BookRank,1639))</f>
        <v/>
      </c>
      <c r="I1644" s="41" t="str">
        <f aca="false">IF(INDEX(BookTitle,1639)="","",INDEX(BookTotal,1639))</f>
        <v/>
      </c>
      <c r="J1644" s="0" t="str">
        <f aca="false">IF($I1644="","",IF(INDEX(BookQ1,1639)&gt;0,"Q1",IF(INDEX(BookQ2,1639)&gt;0,"Q2",IF(INDEX(BookQ3,1639)&gt;0,"Q3",IF(INDEX(BookQ4,1639)&gt;0,"Q4","")))))</f>
        <v/>
      </c>
      <c r="K1644" s="42" t="str">
        <f aca="false">IF(INDEX(BookTitle,1639)="","",INDEX(BookInYear,1639))</f>
        <v/>
      </c>
      <c r="L1644" s="19"/>
      <c r="M1644" s="39"/>
      <c r="N1644" s="19"/>
      <c r="O1644" s="19"/>
      <c r="P1644" s="43" t="str">
        <f aca="false">IF($E1644="","",IF($L1644="Decline",0,IF($L1644="Approve fewer",IF($M1644="","",$M1644),IF($L1644="","",$I1644))))</f>
        <v/>
      </c>
      <c r="Q1644" s="34" t="str">
        <f aca="false">IF($P1644="","",IF($N1644&lt;&gt;"",$N1644,$J1644))</f>
        <v/>
      </c>
      <c r="R1644" s="35" t="str">
        <f aca="false">IF(OR($P1644="",$Q1644=""),"",INDEX(BookRate,1639)*$P1644*(5-MATCH($Q1644,{"Q1";"Q2";"Q3";"Q4"},0))/4+INDEX(BookOneOff,1639)*$P1644)</f>
        <v/>
      </c>
      <c r="S1644" s="35" t="str">
        <f aca="false">IF($P1644="","",INDEX(BookRate,1639)*$P1644)</f>
        <v/>
      </c>
      <c r="T1644" s="35" t="str">
        <f aca="false">IF($R1644="","",$R1644-$K1644)</f>
        <v/>
      </c>
      <c r="U1644" s="35" t="str">
        <f aca="false">IF(N($P1644)&lt;=0,"",COUNTIF($P$6:$P1644,"&gt;0"))</f>
        <v/>
      </c>
    </row>
    <row r="1645" customFormat="false" ht="15" hidden="false" customHeight="false" outlineLevel="0" collapsed="false">
      <c r="A1645" s="40" t="str">
        <f aca="false">IF(INDEX(BookTitle,1640)="","",INDEX(BookGroup,1640))</f>
        <v/>
      </c>
      <c r="B1645" s="40" t="str">
        <f aca="false">IF(INDEX(BookTitle,1640)="","",INDEX(BookRef,1640))</f>
        <v/>
      </c>
      <c r="C1645" s="40" t="str">
        <f aca="false">IF(INDEX(BookTitle,1640)="","",INDEX(BookDivision,1640))</f>
        <v/>
      </c>
      <c r="D1645" s="40" t="str">
        <f aca="false">IF(INDEX(BookTitle,1640)="","",INDEX(BookUnit,1640))</f>
        <v/>
      </c>
      <c r="E1645" s="40" t="str">
        <f aca="false">IF(INDEX(BookTitle,1640)="","",INDEX(BookTitle,1640))</f>
        <v/>
      </c>
      <c r="F1645" s="40" t="str">
        <f aca="false">IF(INDEX(BookTitle,1640)="","",INDEX(BookLevel,1640))</f>
        <v/>
      </c>
      <c r="G1645" s="40" t="str">
        <f aca="false">IF(INDEX(BookTitle,1640)="","",INDEX(BookCategory,1640))</f>
        <v/>
      </c>
      <c r="H1645" s="40" t="str">
        <f aca="false">IF(INDEX(BookTitle,1640)="","",INDEX(BookRank,1640))</f>
        <v/>
      </c>
      <c r="I1645" s="41" t="str">
        <f aca="false">IF(INDEX(BookTitle,1640)="","",INDEX(BookTotal,1640))</f>
        <v/>
      </c>
      <c r="J1645" s="0" t="str">
        <f aca="false">IF($I1645="","",IF(INDEX(BookQ1,1640)&gt;0,"Q1",IF(INDEX(BookQ2,1640)&gt;0,"Q2",IF(INDEX(BookQ3,1640)&gt;0,"Q3",IF(INDEX(BookQ4,1640)&gt;0,"Q4","")))))</f>
        <v/>
      </c>
      <c r="K1645" s="42" t="str">
        <f aca="false">IF(INDEX(BookTitle,1640)="","",INDEX(BookInYear,1640))</f>
        <v/>
      </c>
      <c r="L1645" s="19"/>
      <c r="M1645" s="39"/>
      <c r="N1645" s="19"/>
      <c r="O1645" s="19"/>
      <c r="P1645" s="43" t="str">
        <f aca="false">IF($E1645="","",IF($L1645="Decline",0,IF($L1645="Approve fewer",IF($M1645="","",$M1645),IF($L1645="","",$I1645))))</f>
        <v/>
      </c>
      <c r="Q1645" s="34" t="str">
        <f aca="false">IF($P1645="","",IF($N1645&lt;&gt;"",$N1645,$J1645))</f>
        <v/>
      </c>
      <c r="R1645" s="35" t="str">
        <f aca="false">IF(OR($P1645="",$Q1645=""),"",INDEX(BookRate,1640)*$P1645*(5-MATCH($Q1645,{"Q1";"Q2";"Q3";"Q4"},0))/4+INDEX(BookOneOff,1640)*$P1645)</f>
        <v/>
      </c>
      <c r="S1645" s="35" t="str">
        <f aca="false">IF($P1645="","",INDEX(BookRate,1640)*$P1645)</f>
        <v/>
      </c>
      <c r="T1645" s="35" t="str">
        <f aca="false">IF($R1645="","",$R1645-$K1645)</f>
        <v/>
      </c>
      <c r="U1645" s="35" t="str">
        <f aca="false">IF(N($P1645)&lt;=0,"",COUNTIF($P$6:$P1645,"&gt;0"))</f>
        <v/>
      </c>
    </row>
    <row r="1646" customFormat="false" ht="15" hidden="false" customHeight="false" outlineLevel="0" collapsed="false">
      <c r="A1646" s="40" t="str">
        <f aca="false">IF(INDEX(BookTitle,1641)="","",INDEX(BookGroup,1641))</f>
        <v/>
      </c>
      <c r="B1646" s="40" t="str">
        <f aca="false">IF(INDEX(BookTitle,1641)="","",INDEX(BookRef,1641))</f>
        <v/>
      </c>
      <c r="C1646" s="40" t="str">
        <f aca="false">IF(INDEX(BookTitle,1641)="","",INDEX(BookDivision,1641))</f>
        <v/>
      </c>
      <c r="D1646" s="40" t="str">
        <f aca="false">IF(INDEX(BookTitle,1641)="","",INDEX(BookUnit,1641))</f>
        <v/>
      </c>
      <c r="E1646" s="40" t="str">
        <f aca="false">IF(INDEX(BookTitle,1641)="","",INDEX(BookTitle,1641))</f>
        <v/>
      </c>
      <c r="F1646" s="40" t="str">
        <f aca="false">IF(INDEX(BookTitle,1641)="","",INDEX(BookLevel,1641))</f>
        <v/>
      </c>
      <c r="G1646" s="40" t="str">
        <f aca="false">IF(INDEX(BookTitle,1641)="","",INDEX(BookCategory,1641))</f>
        <v/>
      </c>
      <c r="H1646" s="40" t="str">
        <f aca="false">IF(INDEX(BookTitle,1641)="","",INDEX(BookRank,1641))</f>
        <v/>
      </c>
      <c r="I1646" s="41" t="str">
        <f aca="false">IF(INDEX(BookTitle,1641)="","",INDEX(BookTotal,1641))</f>
        <v/>
      </c>
      <c r="J1646" s="0" t="str">
        <f aca="false">IF($I1646="","",IF(INDEX(BookQ1,1641)&gt;0,"Q1",IF(INDEX(BookQ2,1641)&gt;0,"Q2",IF(INDEX(BookQ3,1641)&gt;0,"Q3",IF(INDEX(BookQ4,1641)&gt;0,"Q4","")))))</f>
        <v/>
      </c>
      <c r="K1646" s="42" t="str">
        <f aca="false">IF(INDEX(BookTitle,1641)="","",INDEX(BookInYear,1641))</f>
        <v/>
      </c>
      <c r="L1646" s="19"/>
      <c r="M1646" s="39"/>
      <c r="N1646" s="19"/>
      <c r="O1646" s="19"/>
      <c r="P1646" s="43" t="str">
        <f aca="false">IF($E1646="","",IF($L1646="Decline",0,IF($L1646="Approve fewer",IF($M1646="","",$M1646),IF($L1646="","",$I1646))))</f>
        <v/>
      </c>
      <c r="Q1646" s="34" t="str">
        <f aca="false">IF($P1646="","",IF($N1646&lt;&gt;"",$N1646,$J1646))</f>
        <v/>
      </c>
      <c r="R1646" s="35" t="str">
        <f aca="false">IF(OR($P1646="",$Q1646=""),"",INDEX(BookRate,1641)*$P1646*(5-MATCH($Q1646,{"Q1";"Q2";"Q3";"Q4"},0))/4+INDEX(BookOneOff,1641)*$P1646)</f>
        <v/>
      </c>
      <c r="S1646" s="35" t="str">
        <f aca="false">IF($P1646="","",INDEX(BookRate,1641)*$P1646)</f>
        <v/>
      </c>
      <c r="T1646" s="35" t="str">
        <f aca="false">IF($R1646="","",$R1646-$K1646)</f>
        <v/>
      </c>
      <c r="U1646" s="35" t="str">
        <f aca="false">IF(N($P1646)&lt;=0,"",COUNTIF($P$6:$P1646,"&gt;0"))</f>
        <v/>
      </c>
    </row>
    <row r="1647" customFormat="false" ht="15" hidden="false" customHeight="false" outlineLevel="0" collapsed="false">
      <c r="A1647" s="40" t="str">
        <f aca="false">IF(INDEX(BookTitle,1642)="","",INDEX(BookGroup,1642))</f>
        <v/>
      </c>
      <c r="B1647" s="40" t="str">
        <f aca="false">IF(INDEX(BookTitle,1642)="","",INDEX(BookRef,1642))</f>
        <v/>
      </c>
      <c r="C1647" s="40" t="str">
        <f aca="false">IF(INDEX(BookTitle,1642)="","",INDEX(BookDivision,1642))</f>
        <v/>
      </c>
      <c r="D1647" s="40" t="str">
        <f aca="false">IF(INDEX(BookTitle,1642)="","",INDEX(BookUnit,1642))</f>
        <v/>
      </c>
      <c r="E1647" s="40" t="str">
        <f aca="false">IF(INDEX(BookTitle,1642)="","",INDEX(BookTitle,1642))</f>
        <v/>
      </c>
      <c r="F1647" s="40" t="str">
        <f aca="false">IF(INDEX(BookTitle,1642)="","",INDEX(BookLevel,1642))</f>
        <v/>
      </c>
      <c r="G1647" s="40" t="str">
        <f aca="false">IF(INDEX(BookTitle,1642)="","",INDEX(BookCategory,1642))</f>
        <v/>
      </c>
      <c r="H1647" s="40" t="str">
        <f aca="false">IF(INDEX(BookTitle,1642)="","",INDEX(BookRank,1642))</f>
        <v/>
      </c>
      <c r="I1647" s="41" t="str">
        <f aca="false">IF(INDEX(BookTitle,1642)="","",INDEX(BookTotal,1642))</f>
        <v/>
      </c>
      <c r="J1647" s="0" t="str">
        <f aca="false">IF($I1647="","",IF(INDEX(BookQ1,1642)&gt;0,"Q1",IF(INDEX(BookQ2,1642)&gt;0,"Q2",IF(INDEX(BookQ3,1642)&gt;0,"Q3",IF(INDEX(BookQ4,1642)&gt;0,"Q4","")))))</f>
        <v/>
      </c>
      <c r="K1647" s="42" t="str">
        <f aca="false">IF(INDEX(BookTitle,1642)="","",INDEX(BookInYear,1642))</f>
        <v/>
      </c>
      <c r="L1647" s="19"/>
      <c r="M1647" s="39"/>
      <c r="N1647" s="19"/>
      <c r="O1647" s="19"/>
      <c r="P1647" s="43" t="str">
        <f aca="false">IF($E1647="","",IF($L1647="Decline",0,IF($L1647="Approve fewer",IF($M1647="","",$M1647),IF($L1647="","",$I1647))))</f>
        <v/>
      </c>
      <c r="Q1647" s="34" t="str">
        <f aca="false">IF($P1647="","",IF($N1647&lt;&gt;"",$N1647,$J1647))</f>
        <v/>
      </c>
      <c r="R1647" s="35" t="str">
        <f aca="false">IF(OR($P1647="",$Q1647=""),"",INDEX(BookRate,1642)*$P1647*(5-MATCH($Q1647,{"Q1";"Q2";"Q3";"Q4"},0))/4+INDEX(BookOneOff,1642)*$P1647)</f>
        <v/>
      </c>
      <c r="S1647" s="35" t="str">
        <f aca="false">IF($P1647="","",INDEX(BookRate,1642)*$P1647)</f>
        <v/>
      </c>
      <c r="T1647" s="35" t="str">
        <f aca="false">IF($R1647="","",$R1647-$K1647)</f>
        <v/>
      </c>
      <c r="U1647" s="35" t="str">
        <f aca="false">IF(N($P1647)&lt;=0,"",COUNTIF($P$6:$P1647,"&gt;0"))</f>
        <v/>
      </c>
    </row>
    <row r="1648" customFormat="false" ht="15" hidden="false" customHeight="false" outlineLevel="0" collapsed="false">
      <c r="A1648" s="40" t="str">
        <f aca="false">IF(INDEX(BookTitle,1643)="","",INDEX(BookGroup,1643))</f>
        <v/>
      </c>
      <c r="B1648" s="40" t="str">
        <f aca="false">IF(INDEX(BookTitle,1643)="","",INDEX(BookRef,1643))</f>
        <v/>
      </c>
      <c r="C1648" s="40" t="str">
        <f aca="false">IF(INDEX(BookTitle,1643)="","",INDEX(BookDivision,1643))</f>
        <v/>
      </c>
      <c r="D1648" s="40" t="str">
        <f aca="false">IF(INDEX(BookTitle,1643)="","",INDEX(BookUnit,1643))</f>
        <v/>
      </c>
      <c r="E1648" s="40" t="str">
        <f aca="false">IF(INDEX(BookTitle,1643)="","",INDEX(BookTitle,1643))</f>
        <v/>
      </c>
      <c r="F1648" s="40" t="str">
        <f aca="false">IF(INDEX(BookTitle,1643)="","",INDEX(BookLevel,1643))</f>
        <v/>
      </c>
      <c r="G1648" s="40" t="str">
        <f aca="false">IF(INDEX(BookTitle,1643)="","",INDEX(BookCategory,1643))</f>
        <v/>
      </c>
      <c r="H1648" s="40" t="str">
        <f aca="false">IF(INDEX(BookTitle,1643)="","",INDEX(BookRank,1643))</f>
        <v/>
      </c>
      <c r="I1648" s="41" t="str">
        <f aca="false">IF(INDEX(BookTitle,1643)="","",INDEX(BookTotal,1643))</f>
        <v/>
      </c>
      <c r="J1648" s="0" t="str">
        <f aca="false">IF($I1648="","",IF(INDEX(BookQ1,1643)&gt;0,"Q1",IF(INDEX(BookQ2,1643)&gt;0,"Q2",IF(INDEX(BookQ3,1643)&gt;0,"Q3",IF(INDEX(BookQ4,1643)&gt;0,"Q4","")))))</f>
        <v/>
      </c>
      <c r="K1648" s="42" t="str">
        <f aca="false">IF(INDEX(BookTitle,1643)="","",INDEX(BookInYear,1643))</f>
        <v/>
      </c>
      <c r="L1648" s="19"/>
      <c r="M1648" s="39"/>
      <c r="N1648" s="19"/>
      <c r="O1648" s="19"/>
      <c r="P1648" s="43" t="str">
        <f aca="false">IF($E1648="","",IF($L1648="Decline",0,IF($L1648="Approve fewer",IF($M1648="","",$M1648),IF($L1648="","",$I1648))))</f>
        <v/>
      </c>
      <c r="Q1648" s="34" t="str">
        <f aca="false">IF($P1648="","",IF($N1648&lt;&gt;"",$N1648,$J1648))</f>
        <v/>
      </c>
      <c r="R1648" s="35" t="str">
        <f aca="false">IF(OR($P1648="",$Q1648=""),"",INDEX(BookRate,1643)*$P1648*(5-MATCH($Q1648,{"Q1";"Q2";"Q3";"Q4"},0))/4+INDEX(BookOneOff,1643)*$P1648)</f>
        <v/>
      </c>
      <c r="S1648" s="35" t="str">
        <f aca="false">IF($P1648="","",INDEX(BookRate,1643)*$P1648)</f>
        <v/>
      </c>
      <c r="T1648" s="35" t="str">
        <f aca="false">IF($R1648="","",$R1648-$K1648)</f>
        <v/>
      </c>
      <c r="U1648" s="35" t="str">
        <f aca="false">IF(N($P1648)&lt;=0,"",COUNTIF($P$6:$P1648,"&gt;0"))</f>
        <v/>
      </c>
    </row>
    <row r="1649" customFormat="false" ht="15" hidden="false" customHeight="false" outlineLevel="0" collapsed="false">
      <c r="A1649" s="40" t="str">
        <f aca="false">IF(INDEX(BookTitle,1644)="","",INDEX(BookGroup,1644))</f>
        <v/>
      </c>
      <c r="B1649" s="40" t="str">
        <f aca="false">IF(INDEX(BookTitle,1644)="","",INDEX(BookRef,1644))</f>
        <v/>
      </c>
      <c r="C1649" s="40" t="str">
        <f aca="false">IF(INDEX(BookTitle,1644)="","",INDEX(BookDivision,1644))</f>
        <v/>
      </c>
      <c r="D1649" s="40" t="str">
        <f aca="false">IF(INDEX(BookTitle,1644)="","",INDEX(BookUnit,1644))</f>
        <v/>
      </c>
      <c r="E1649" s="40" t="str">
        <f aca="false">IF(INDEX(BookTitle,1644)="","",INDEX(BookTitle,1644))</f>
        <v/>
      </c>
      <c r="F1649" s="40" t="str">
        <f aca="false">IF(INDEX(BookTitle,1644)="","",INDEX(BookLevel,1644))</f>
        <v/>
      </c>
      <c r="G1649" s="40" t="str">
        <f aca="false">IF(INDEX(BookTitle,1644)="","",INDEX(BookCategory,1644))</f>
        <v/>
      </c>
      <c r="H1649" s="40" t="str">
        <f aca="false">IF(INDEX(BookTitle,1644)="","",INDEX(BookRank,1644))</f>
        <v/>
      </c>
      <c r="I1649" s="41" t="str">
        <f aca="false">IF(INDEX(BookTitle,1644)="","",INDEX(BookTotal,1644))</f>
        <v/>
      </c>
      <c r="J1649" s="0" t="str">
        <f aca="false">IF($I1649="","",IF(INDEX(BookQ1,1644)&gt;0,"Q1",IF(INDEX(BookQ2,1644)&gt;0,"Q2",IF(INDEX(BookQ3,1644)&gt;0,"Q3",IF(INDEX(BookQ4,1644)&gt;0,"Q4","")))))</f>
        <v/>
      </c>
      <c r="K1649" s="42" t="str">
        <f aca="false">IF(INDEX(BookTitle,1644)="","",INDEX(BookInYear,1644))</f>
        <v/>
      </c>
      <c r="L1649" s="19"/>
      <c r="M1649" s="39"/>
      <c r="N1649" s="19"/>
      <c r="O1649" s="19"/>
      <c r="P1649" s="43" t="str">
        <f aca="false">IF($E1649="","",IF($L1649="Decline",0,IF($L1649="Approve fewer",IF($M1649="","",$M1649),IF($L1649="","",$I1649))))</f>
        <v/>
      </c>
      <c r="Q1649" s="34" t="str">
        <f aca="false">IF($P1649="","",IF($N1649&lt;&gt;"",$N1649,$J1649))</f>
        <v/>
      </c>
      <c r="R1649" s="35" t="str">
        <f aca="false">IF(OR($P1649="",$Q1649=""),"",INDEX(BookRate,1644)*$P1649*(5-MATCH($Q1649,{"Q1";"Q2";"Q3";"Q4"},0))/4+INDEX(BookOneOff,1644)*$P1649)</f>
        <v/>
      </c>
      <c r="S1649" s="35" t="str">
        <f aca="false">IF($P1649="","",INDEX(BookRate,1644)*$P1649)</f>
        <v/>
      </c>
      <c r="T1649" s="35" t="str">
        <f aca="false">IF($R1649="","",$R1649-$K1649)</f>
        <v/>
      </c>
      <c r="U1649" s="35" t="str">
        <f aca="false">IF(N($P1649)&lt;=0,"",COUNTIF($P$6:$P1649,"&gt;0"))</f>
        <v/>
      </c>
    </row>
    <row r="1650" customFormat="false" ht="15" hidden="false" customHeight="false" outlineLevel="0" collapsed="false">
      <c r="A1650" s="40" t="str">
        <f aca="false">IF(INDEX(BookTitle,1645)="","",INDEX(BookGroup,1645))</f>
        <v/>
      </c>
      <c r="B1650" s="40" t="str">
        <f aca="false">IF(INDEX(BookTitle,1645)="","",INDEX(BookRef,1645))</f>
        <v/>
      </c>
      <c r="C1650" s="40" t="str">
        <f aca="false">IF(INDEX(BookTitle,1645)="","",INDEX(BookDivision,1645))</f>
        <v/>
      </c>
      <c r="D1650" s="40" t="str">
        <f aca="false">IF(INDEX(BookTitle,1645)="","",INDEX(BookUnit,1645))</f>
        <v/>
      </c>
      <c r="E1650" s="40" t="str">
        <f aca="false">IF(INDEX(BookTitle,1645)="","",INDEX(BookTitle,1645))</f>
        <v/>
      </c>
      <c r="F1650" s="40" t="str">
        <f aca="false">IF(INDEX(BookTitle,1645)="","",INDEX(BookLevel,1645))</f>
        <v/>
      </c>
      <c r="G1650" s="40" t="str">
        <f aca="false">IF(INDEX(BookTitle,1645)="","",INDEX(BookCategory,1645))</f>
        <v/>
      </c>
      <c r="H1650" s="40" t="str">
        <f aca="false">IF(INDEX(BookTitle,1645)="","",INDEX(BookRank,1645))</f>
        <v/>
      </c>
      <c r="I1650" s="41" t="str">
        <f aca="false">IF(INDEX(BookTitle,1645)="","",INDEX(BookTotal,1645))</f>
        <v/>
      </c>
      <c r="J1650" s="0" t="str">
        <f aca="false">IF($I1650="","",IF(INDEX(BookQ1,1645)&gt;0,"Q1",IF(INDEX(BookQ2,1645)&gt;0,"Q2",IF(INDEX(BookQ3,1645)&gt;0,"Q3",IF(INDEX(BookQ4,1645)&gt;0,"Q4","")))))</f>
        <v/>
      </c>
      <c r="K1650" s="42" t="str">
        <f aca="false">IF(INDEX(BookTitle,1645)="","",INDEX(BookInYear,1645))</f>
        <v/>
      </c>
      <c r="L1650" s="19"/>
      <c r="M1650" s="39"/>
      <c r="N1650" s="19"/>
      <c r="O1650" s="19"/>
      <c r="P1650" s="43" t="str">
        <f aca="false">IF($E1650="","",IF($L1650="Decline",0,IF($L1650="Approve fewer",IF($M1650="","",$M1650),IF($L1650="","",$I1650))))</f>
        <v/>
      </c>
      <c r="Q1650" s="34" t="str">
        <f aca="false">IF($P1650="","",IF($N1650&lt;&gt;"",$N1650,$J1650))</f>
        <v/>
      </c>
      <c r="R1650" s="35" t="str">
        <f aca="false">IF(OR($P1650="",$Q1650=""),"",INDEX(BookRate,1645)*$P1650*(5-MATCH($Q1650,{"Q1";"Q2";"Q3";"Q4"},0))/4+INDEX(BookOneOff,1645)*$P1650)</f>
        <v/>
      </c>
      <c r="S1650" s="35" t="str">
        <f aca="false">IF($P1650="","",INDEX(BookRate,1645)*$P1650)</f>
        <v/>
      </c>
      <c r="T1650" s="35" t="str">
        <f aca="false">IF($R1650="","",$R1650-$K1650)</f>
        <v/>
      </c>
      <c r="U1650" s="35" t="str">
        <f aca="false">IF(N($P1650)&lt;=0,"",COUNTIF($P$6:$P1650,"&gt;0"))</f>
        <v/>
      </c>
    </row>
    <row r="1651" customFormat="false" ht="15" hidden="false" customHeight="false" outlineLevel="0" collapsed="false">
      <c r="A1651" s="40" t="str">
        <f aca="false">IF(INDEX(BookTitle,1646)="","",INDEX(BookGroup,1646))</f>
        <v/>
      </c>
      <c r="B1651" s="40" t="str">
        <f aca="false">IF(INDEX(BookTitle,1646)="","",INDEX(BookRef,1646))</f>
        <v/>
      </c>
      <c r="C1651" s="40" t="str">
        <f aca="false">IF(INDEX(BookTitle,1646)="","",INDEX(BookDivision,1646))</f>
        <v/>
      </c>
      <c r="D1651" s="40" t="str">
        <f aca="false">IF(INDEX(BookTitle,1646)="","",INDEX(BookUnit,1646))</f>
        <v/>
      </c>
      <c r="E1651" s="40" t="str">
        <f aca="false">IF(INDEX(BookTitle,1646)="","",INDEX(BookTitle,1646))</f>
        <v/>
      </c>
      <c r="F1651" s="40" t="str">
        <f aca="false">IF(INDEX(BookTitle,1646)="","",INDEX(BookLevel,1646))</f>
        <v/>
      </c>
      <c r="G1651" s="40" t="str">
        <f aca="false">IF(INDEX(BookTitle,1646)="","",INDEX(BookCategory,1646))</f>
        <v/>
      </c>
      <c r="H1651" s="40" t="str">
        <f aca="false">IF(INDEX(BookTitle,1646)="","",INDEX(BookRank,1646))</f>
        <v/>
      </c>
      <c r="I1651" s="41" t="str">
        <f aca="false">IF(INDEX(BookTitle,1646)="","",INDEX(BookTotal,1646))</f>
        <v/>
      </c>
      <c r="J1651" s="0" t="str">
        <f aca="false">IF($I1651="","",IF(INDEX(BookQ1,1646)&gt;0,"Q1",IF(INDEX(BookQ2,1646)&gt;0,"Q2",IF(INDEX(BookQ3,1646)&gt;0,"Q3",IF(INDEX(BookQ4,1646)&gt;0,"Q4","")))))</f>
        <v/>
      </c>
      <c r="K1651" s="42" t="str">
        <f aca="false">IF(INDEX(BookTitle,1646)="","",INDEX(BookInYear,1646))</f>
        <v/>
      </c>
      <c r="L1651" s="19"/>
      <c r="M1651" s="39"/>
      <c r="N1651" s="19"/>
      <c r="O1651" s="19"/>
      <c r="P1651" s="43" t="str">
        <f aca="false">IF($E1651="","",IF($L1651="Decline",0,IF($L1651="Approve fewer",IF($M1651="","",$M1651),IF($L1651="","",$I1651))))</f>
        <v/>
      </c>
      <c r="Q1651" s="34" t="str">
        <f aca="false">IF($P1651="","",IF($N1651&lt;&gt;"",$N1651,$J1651))</f>
        <v/>
      </c>
      <c r="R1651" s="35" t="str">
        <f aca="false">IF(OR($P1651="",$Q1651=""),"",INDEX(BookRate,1646)*$P1651*(5-MATCH($Q1651,{"Q1";"Q2";"Q3";"Q4"},0))/4+INDEX(BookOneOff,1646)*$P1651)</f>
        <v/>
      </c>
      <c r="S1651" s="35" t="str">
        <f aca="false">IF($P1651="","",INDEX(BookRate,1646)*$P1651)</f>
        <v/>
      </c>
      <c r="T1651" s="35" t="str">
        <f aca="false">IF($R1651="","",$R1651-$K1651)</f>
        <v/>
      </c>
      <c r="U1651" s="35" t="str">
        <f aca="false">IF(N($P1651)&lt;=0,"",COUNTIF($P$6:$P1651,"&gt;0"))</f>
        <v/>
      </c>
    </row>
    <row r="1652" customFormat="false" ht="15" hidden="false" customHeight="false" outlineLevel="0" collapsed="false">
      <c r="A1652" s="40" t="str">
        <f aca="false">IF(INDEX(BookTitle,1647)="","",INDEX(BookGroup,1647))</f>
        <v/>
      </c>
      <c r="B1652" s="40" t="str">
        <f aca="false">IF(INDEX(BookTitle,1647)="","",INDEX(BookRef,1647))</f>
        <v/>
      </c>
      <c r="C1652" s="40" t="str">
        <f aca="false">IF(INDEX(BookTitle,1647)="","",INDEX(BookDivision,1647))</f>
        <v/>
      </c>
      <c r="D1652" s="40" t="str">
        <f aca="false">IF(INDEX(BookTitle,1647)="","",INDEX(BookUnit,1647))</f>
        <v/>
      </c>
      <c r="E1652" s="40" t="str">
        <f aca="false">IF(INDEX(BookTitle,1647)="","",INDEX(BookTitle,1647))</f>
        <v/>
      </c>
      <c r="F1652" s="40" t="str">
        <f aca="false">IF(INDEX(BookTitle,1647)="","",INDEX(BookLevel,1647))</f>
        <v/>
      </c>
      <c r="G1652" s="40" t="str">
        <f aca="false">IF(INDEX(BookTitle,1647)="","",INDEX(BookCategory,1647))</f>
        <v/>
      </c>
      <c r="H1652" s="40" t="str">
        <f aca="false">IF(INDEX(BookTitle,1647)="","",INDEX(BookRank,1647))</f>
        <v/>
      </c>
      <c r="I1652" s="41" t="str">
        <f aca="false">IF(INDEX(BookTitle,1647)="","",INDEX(BookTotal,1647))</f>
        <v/>
      </c>
      <c r="J1652" s="0" t="str">
        <f aca="false">IF($I1652="","",IF(INDEX(BookQ1,1647)&gt;0,"Q1",IF(INDEX(BookQ2,1647)&gt;0,"Q2",IF(INDEX(BookQ3,1647)&gt;0,"Q3",IF(INDEX(BookQ4,1647)&gt;0,"Q4","")))))</f>
        <v/>
      </c>
      <c r="K1652" s="42" t="str">
        <f aca="false">IF(INDEX(BookTitle,1647)="","",INDEX(BookInYear,1647))</f>
        <v/>
      </c>
      <c r="L1652" s="19"/>
      <c r="M1652" s="39"/>
      <c r="N1652" s="19"/>
      <c r="O1652" s="19"/>
      <c r="P1652" s="43" t="str">
        <f aca="false">IF($E1652="","",IF($L1652="Decline",0,IF($L1652="Approve fewer",IF($M1652="","",$M1652),IF($L1652="","",$I1652))))</f>
        <v/>
      </c>
      <c r="Q1652" s="34" t="str">
        <f aca="false">IF($P1652="","",IF($N1652&lt;&gt;"",$N1652,$J1652))</f>
        <v/>
      </c>
      <c r="R1652" s="35" t="str">
        <f aca="false">IF(OR($P1652="",$Q1652=""),"",INDEX(BookRate,1647)*$P1652*(5-MATCH($Q1652,{"Q1";"Q2";"Q3";"Q4"},0))/4+INDEX(BookOneOff,1647)*$P1652)</f>
        <v/>
      </c>
      <c r="S1652" s="35" t="str">
        <f aca="false">IF($P1652="","",INDEX(BookRate,1647)*$P1652)</f>
        <v/>
      </c>
      <c r="T1652" s="35" t="str">
        <f aca="false">IF($R1652="","",$R1652-$K1652)</f>
        <v/>
      </c>
      <c r="U1652" s="35" t="str">
        <f aca="false">IF(N($P1652)&lt;=0,"",COUNTIF($P$6:$P1652,"&gt;0"))</f>
        <v/>
      </c>
    </row>
    <row r="1653" customFormat="false" ht="15" hidden="false" customHeight="false" outlineLevel="0" collapsed="false">
      <c r="A1653" s="40" t="str">
        <f aca="false">IF(INDEX(BookTitle,1648)="","",INDEX(BookGroup,1648))</f>
        <v/>
      </c>
      <c r="B1653" s="40" t="str">
        <f aca="false">IF(INDEX(BookTitle,1648)="","",INDEX(BookRef,1648))</f>
        <v/>
      </c>
      <c r="C1653" s="40" t="str">
        <f aca="false">IF(INDEX(BookTitle,1648)="","",INDEX(BookDivision,1648))</f>
        <v/>
      </c>
      <c r="D1653" s="40" t="str">
        <f aca="false">IF(INDEX(BookTitle,1648)="","",INDEX(BookUnit,1648))</f>
        <v/>
      </c>
      <c r="E1653" s="40" t="str">
        <f aca="false">IF(INDEX(BookTitle,1648)="","",INDEX(BookTitle,1648))</f>
        <v/>
      </c>
      <c r="F1653" s="40" t="str">
        <f aca="false">IF(INDEX(BookTitle,1648)="","",INDEX(BookLevel,1648))</f>
        <v/>
      </c>
      <c r="G1653" s="40" t="str">
        <f aca="false">IF(INDEX(BookTitle,1648)="","",INDEX(BookCategory,1648))</f>
        <v/>
      </c>
      <c r="H1653" s="40" t="str">
        <f aca="false">IF(INDEX(BookTitle,1648)="","",INDEX(BookRank,1648))</f>
        <v/>
      </c>
      <c r="I1653" s="41" t="str">
        <f aca="false">IF(INDEX(BookTitle,1648)="","",INDEX(BookTotal,1648))</f>
        <v/>
      </c>
      <c r="J1653" s="0" t="str">
        <f aca="false">IF($I1653="","",IF(INDEX(BookQ1,1648)&gt;0,"Q1",IF(INDEX(BookQ2,1648)&gt;0,"Q2",IF(INDEX(BookQ3,1648)&gt;0,"Q3",IF(INDEX(BookQ4,1648)&gt;0,"Q4","")))))</f>
        <v/>
      </c>
      <c r="K1653" s="42" t="str">
        <f aca="false">IF(INDEX(BookTitle,1648)="","",INDEX(BookInYear,1648))</f>
        <v/>
      </c>
      <c r="L1653" s="19"/>
      <c r="M1653" s="39"/>
      <c r="N1653" s="19"/>
      <c r="O1653" s="19"/>
      <c r="P1653" s="43" t="str">
        <f aca="false">IF($E1653="","",IF($L1653="Decline",0,IF($L1653="Approve fewer",IF($M1653="","",$M1653),IF($L1653="","",$I1653))))</f>
        <v/>
      </c>
      <c r="Q1653" s="34" t="str">
        <f aca="false">IF($P1653="","",IF($N1653&lt;&gt;"",$N1653,$J1653))</f>
        <v/>
      </c>
      <c r="R1653" s="35" t="str">
        <f aca="false">IF(OR($P1653="",$Q1653=""),"",INDEX(BookRate,1648)*$P1653*(5-MATCH($Q1653,{"Q1";"Q2";"Q3";"Q4"},0))/4+INDEX(BookOneOff,1648)*$P1653)</f>
        <v/>
      </c>
      <c r="S1653" s="35" t="str">
        <f aca="false">IF($P1653="","",INDEX(BookRate,1648)*$P1653)</f>
        <v/>
      </c>
      <c r="T1653" s="35" t="str">
        <f aca="false">IF($R1653="","",$R1653-$K1653)</f>
        <v/>
      </c>
      <c r="U1653" s="35" t="str">
        <f aca="false">IF(N($P1653)&lt;=0,"",COUNTIF($P$6:$P1653,"&gt;0"))</f>
        <v/>
      </c>
    </row>
    <row r="1654" customFormat="false" ht="15" hidden="false" customHeight="false" outlineLevel="0" collapsed="false">
      <c r="A1654" s="40" t="str">
        <f aca="false">IF(INDEX(BookTitle,1649)="","",INDEX(BookGroup,1649))</f>
        <v/>
      </c>
      <c r="B1654" s="40" t="str">
        <f aca="false">IF(INDEX(BookTitle,1649)="","",INDEX(BookRef,1649))</f>
        <v/>
      </c>
      <c r="C1654" s="40" t="str">
        <f aca="false">IF(INDEX(BookTitle,1649)="","",INDEX(BookDivision,1649))</f>
        <v/>
      </c>
      <c r="D1654" s="40" t="str">
        <f aca="false">IF(INDEX(BookTitle,1649)="","",INDEX(BookUnit,1649))</f>
        <v/>
      </c>
      <c r="E1654" s="40" t="str">
        <f aca="false">IF(INDEX(BookTitle,1649)="","",INDEX(BookTitle,1649))</f>
        <v/>
      </c>
      <c r="F1654" s="40" t="str">
        <f aca="false">IF(INDEX(BookTitle,1649)="","",INDEX(BookLevel,1649))</f>
        <v/>
      </c>
      <c r="G1654" s="40" t="str">
        <f aca="false">IF(INDEX(BookTitle,1649)="","",INDEX(BookCategory,1649))</f>
        <v/>
      </c>
      <c r="H1654" s="40" t="str">
        <f aca="false">IF(INDEX(BookTitle,1649)="","",INDEX(BookRank,1649))</f>
        <v/>
      </c>
      <c r="I1654" s="41" t="str">
        <f aca="false">IF(INDEX(BookTitle,1649)="","",INDEX(BookTotal,1649))</f>
        <v/>
      </c>
      <c r="J1654" s="0" t="str">
        <f aca="false">IF($I1654="","",IF(INDEX(BookQ1,1649)&gt;0,"Q1",IF(INDEX(BookQ2,1649)&gt;0,"Q2",IF(INDEX(BookQ3,1649)&gt;0,"Q3",IF(INDEX(BookQ4,1649)&gt;0,"Q4","")))))</f>
        <v/>
      </c>
      <c r="K1654" s="42" t="str">
        <f aca="false">IF(INDEX(BookTitle,1649)="","",INDEX(BookInYear,1649))</f>
        <v/>
      </c>
      <c r="L1654" s="19"/>
      <c r="M1654" s="39"/>
      <c r="N1654" s="19"/>
      <c r="O1654" s="19"/>
      <c r="P1654" s="43" t="str">
        <f aca="false">IF($E1654="","",IF($L1654="Decline",0,IF($L1654="Approve fewer",IF($M1654="","",$M1654),IF($L1654="","",$I1654))))</f>
        <v/>
      </c>
      <c r="Q1654" s="34" t="str">
        <f aca="false">IF($P1654="","",IF($N1654&lt;&gt;"",$N1654,$J1654))</f>
        <v/>
      </c>
      <c r="R1654" s="35" t="str">
        <f aca="false">IF(OR($P1654="",$Q1654=""),"",INDEX(BookRate,1649)*$P1654*(5-MATCH($Q1654,{"Q1";"Q2";"Q3";"Q4"},0))/4+INDEX(BookOneOff,1649)*$P1654)</f>
        <v/>
      </c>
      <c r="S1654" s="35" t="str">
        <f aca="false">IF($P1654="","",INDEX(BookRate,1649)*$P1654)</f>
        <v/>
      </c>
      <c r="T1654" s="35" t="str">
        <f aca="false">IF($R1654="","",$R1654-$K1654)</f>
        <v/>
      </c>
      <c r="U1654" s="35" t="str">
        <f aca="false">IF(N($P1654)&lt;=0,"",COUNTIF($P$6:$P1654,"&gt;0"))</f>
        <v/>
      </c>
    </row>
    <row r="1655" customFormat="false" ht="15" hidden="false" customHeight="false" outlineLevel="0" collapsed="false">
      <c r="A1655" s="40" t="str">
        <f aca="false">IF(INDEX(BookTitle,1650)="","",INDEX(BookGroup,1650))</f>
        <v/>
      </c>
      <c r="B1655" s="40" t="str">
        <f aca="false">IF(INDEX(BookTitle,1650)="","",INDEX(BookRef,1650))</f>
        <v/>
      </c>
      <c r="C1655" s="40" t="str">
        <f aca="false">IF(INDEX(BookTitle,1650)="","",INDEX(BookDivision,1650))</f>
        <v/>
      </c>
      <c r="D1655" s="40" t="str">
        <f aca="false">IF(INDEX(BookTitle,1650)="","",INDEX(BookUnit,1650))</f>
        <v/>
      </c>
      <c r="E1655" s="40" t="str">
        <f aca="false">IF(INDEX(BookTitle,1650)="","",INDEX(BookTitle,1650))</f>
        <v/>
      </c>
      <c r="F1655" s="40" t="str">
        <f aca="false">IF(INDEX(BookTitle,1650)="","",INDEX(BookLevel,1650))</f>
        <v/>
      </c>
      <c r="G1655" s="40" t="str">
        <f aca="false">IF(INDEX(BookTitle,1650)="","",INDEX(BookCategory,1650))</f>
        <v/>
      </c>
      <c r="H1655" s="40" t="str">
        <f aca="false">IF(INDEX(BookTitle,1650)="","",INDEX(BookRank,1650))</f>
        <v/>
      </c>
      <c r="I1655" s="41" t="str">
        <f aca="false">IF(INDEX(BookTitle,1650)="","",INDEX(BookTotal,1650))</f>
        <v/>
      </c>
      <c r="J1655" s="0" t="str">
        <f aca="false">IF($I1655="","",IF(INDEX(BookQ1,1650)&gt;0,"Q1",IF(INDEX(BookQ2,1650)&gt;0,"Q2",IF(INDEX(BookQ3,1650)&gt;0,"Q3",IF(INDEX(BookQ4,1650)&gt;0,"Q4","")))))</f>
        <v/>
      </c>
      <c r="K1655" s="42" t="str">
        <f aca="false">IF(INDEX(BookTitle,1650)="","",INDEX(BookInYear,1650))</f>
        <v/>
      </c>
      <c r="L1655" s="19"/>
      <c r="M1655" s="39"/>
      <c r="N1655" s="19"/>
      <c r="O1655" s="19"/>
      <c r="P1655" s="43" t="str">
        <f aca="false">IF($E1655="","",IF($L1655="Decline",0,IF($L1655="Approve fewer",IF($M1655="","",$M1655),IF($L1655="","",$I1655))))</f>
        <v/>
      </c>
      <c r="Q1655" s="34" t="str">
        <f aca="false">IF($P1655="","",IF($N1655&lt;&gt;"",$N1655,$J1655))</f>
        <v/>
      </c>
      <c r="R1655" s="35" t="str">
        <f aca="false">IF(OR($P1655="",$Q1655=""),"",INDEX(BookRate,1650)*$P1655*(5-MATCH($Q1655,{"Q1";"Q2";"Q3";"Q4"},0))/4+INDEX(BookOneOff,1650)*$P1655)</f>
        <v/>
      </c>
      <c r="S1655" s="35" t="str">
        <f aca="false">IF($P1655="","",INDEX(BookRate,1650)*$P1655)</f>
        <v/>
      </c>
      <c r="T1655" s="35" t="str">
        <f aca="false">IF($R1655="","",$R1655-$K1655)</f>
        <v/>
      </c>
      <c r="U1655" s="35" t="str">
        <f aca="false">IF(N($P1655)&lt;=0,"",COUNTIF($P$6:$P1655,"&gt;0"))</f>
        <v/>
      </c>
    </row>
    <row r="1656" customFormat="false" ht="15" hidden="false" customHeight="false" outlineLevel="0" collapsed="false">
      <c r="A1656" s="40" t="str">
        <f aca="false">IF(INDEX(BookTitle,1651)="","",INDEX(BookGroup,1651))</f>
        <v/>
      </c>
      <c r="B1656" s="40" t="str">
        <f aca="false">IF(INDEX(BookTitle,1651)="","",INDEX(BookRef,1651))</f>
        <v/>
      </c>
      <c r="C1656" s="40" t="str">
        <f aca="false">IF(INDEX(BookTitle,1651)="","",INDEX(BookDivision,1651))</f>
        <v/>
      </c>
      <c r="D1656" s="40" t="str">
        <f aca="false">IF(INDEX(BookTitle,1651)="","",INDEX(BookUnit,1651))</f>
        <v/>
      </c>
      <c r="E1656" s="40" t="str">
        <f aca="false">IF(INDEX(BookTitle,1651)="","",INDEX(BookTitle,1651))</f>
        <v/>
      </c>
      <c r="F1656" s="40" t="str">
        <f aca="false">IF(INDEX(BookTitle,1651)="","",INDEX(BookLevel,1651))</f>
        <v/>
      </c>
      <c r="G1656" s="40" t="str">
        <f aca="false">IF(INDEX(BookTitle,1651)="","",INDEX(BookCategory,1651))</f>
        <v/>
      </c>
      <c r="H1656" s="40" t="str">
        <f aca="false">IF(INDEX(BookTitle,1651)="","",INDEX(BookRank,1651))</f>
        <v/>
      </c>
      <c r="I1656" s="41" t="str">
        <f aca="false">IF(INDEX(BookTitle,1651)="","",INDEX(BookTotal,1651))</f>
        <v/>
      </c>
      <c r="J1656" s="0" t="str">
        <f aca="false">IF($I1656="","",IF(INDEX(BookQ1,1651)&gt;0,"Q1",IF(INDEX(BookQ2,1651)&gt;0,"Q2",IF(INDEX(BookQ3,1651)&gt;0,"Q3",IF(INDEX(BookQ4,1651)&gt;0,"Q4","")))))</f>
        <v/>
      </c>
      <c r="K1656" s="42" t="str">
        <f aca="false">IF(INDEX(BookTitle,1651)="","",INDEX(BookInYear,1651))</f>
        <v/>
      </c>
      <c r="L1656" s="19"/>
      <c r="M1656" s="39"/>
      <c r="N1656" s="19"/>
      <c r="O1656" s="19"/>
      <c r="P1656" s="43" t="str">
        <f aca="false">IF($E1656="","",IF($L1656="Decline",0,IF($L1656="Approve fewer",IF($M1656="","",$M1656),IF($L1656="","",$I1656))))</f>
        <v/>
      </c>
      <c r="Q1656" s="34" t="str">
        <f aca="false">IF($P1656="","",IF($N1656&lt;&gt;"",$N1656,$J1656))</f>
        <v/>
      </c>
      <c r="R1656" s="35" t="str">
        <f aca="false">IF(OR($P1656="",$Q1656=""),"",INDEX(BookRate,1651)*$P1656*(5-MATCH($Q1656,{"Q1";"Q2";"Q3";"Q4"},0))/4+INDEX(BookOneOff,1651)*$P1656)</f>
        <v/>
      </c>
      <c r="S1656" s="35" t="str">
        <f aca="false">IF($P1656="","",INDEX(BookRate,1651)*$P1656)</f>
        <v/>
      </c>
      <c r="T1656" s="35" t="str">
        <f aca="false">IF($R1656="","",$R1656-$K1656)</f>
        <v/>
      </c>
      <c r="U1656" s="35" t="str">
        <f aca="false">IF(N($P1656)&lt;=0,"",COUNTIF($P$6:$P1656,"&gt;0"))</f>
        <v/>
      </c>
    </row>
    <row r="1657" customFormat="false" ht="15" hidden="false" customHeight="false" outlineLevel="0" collapsed="false">
      <c r="A1657" s="40" t="str">
        <f aca="false">IF(INDEX(BookTitle,1652)="","",INDEX(BookGroup,1652))</f>
        <v/>
      </c>
      <c r="B1657" s="40" t="str">
        <f aca="false">IF(INDEX(BookTitle,1652)="","",INDEX(BookRef,1652))</f>
        <v/>
      </c>
      <c r="C1657" s="40" t="str">
        <f aca="false">IF(INDEX(BookTitle,1652)="","",INDEX(BookDivision,1652))</f>
        <v/>
      </c>
      <c r="D1657" s="40" t="str">
        <f aca="false">IF(INDEX(BookTitle,1652)="","",INDEX(BookUnit,1652))</f>
        <v/>
      </c>
      <c r="E1657" s="40" t="str">
        <f aca="false">IF(INDEX(BookTitle,1652)="","",INDEX(BookTitle,1652))</f>
        <v/>
      </c>
      <c r="F1657" s="40" t="str">
        <f aca="false">IF(INDEX(BookTitle,1652)="","",INDEX(BookLevel,1652))</f>
        <v/>
      </c>
      <c r="G1657" s="40" t="str">
        <f aca="false">IF(INDEX(BookTitle,1652)="","",INDEX(BookCategory,1652))</f>
        <v/>
      </c>
      <c r="H1657" s="40" t="str">
        <f aca="false">IF(INDEX(BookTitle,1652)="","",INDEX(BookRank,1652))</f>
        <v/>
      </c>
      <c r="I1657" s="41" t="str">
        <f aca="false">IF(INDEX(BookTitle,1652)="","",INDEX(BookTotal,1652))</f>
        <v/>
      </c>
      <c r="J1657" s="0" t="str">
        <f aca="false">IF($I1657="","",IF(INDEX(BookQ1,1652)&gt;0,"Q1",IF(INDEX(BookQ2,1652)&gt;0,"Q2",IF(INDEX(BookQ3,1652)&gt;0,"Q3",IF(INDEX(BookQ4,1652)&gt;0,"Q4","")))))</f>
        <v/>
      </c>
      <c r="K1657" s="42" t="str">
        <f aca="false">IF(INDEX(BookTitle,1652)="","",INDEX(BookInYear,1652))</f>
        <v/>
      </c>
      <c r="L1657" s="19"/>
      <c r="M1657" s="39"/>
      <c r="N1657" s="19"/>
      <c r="O1657" s="19"/>
      <c r="P1657" s="43" t="str">
        <f aca="false">IF($E1657="","",IF($L1657="Decline",0,IF($L1657="Approve fewer",IF($M1657="","",$M1657),IF($L1657="","",$I1657))))</f>
        <v/>
      </c>
      <c r="Q1657" s="34" t="str">
        <f aca="false">IF($P1657="","",IF($N1657&lt;&gt;"",$N1657,$J1657))</f>
        <v/>
      </c>
      <c r="R1657" s="35" t="str">
        <f aca="false">IF(OR($P1657="",$Q1657=""),"",INDEX(BookRate,1652)*$P1657*(5-MATCH($Q1657,{"Q1";"Q2";"Q3";"Q4"},0))/4+INDEX(BookOneOff,1652)*$P1657)</f>
        <v/>
      </c>
      <c r="S1657" s="35" t="str">
        <f aca="false">IF($P1657="","",INDEX(BookRate,1652)*$P1657)</f>
        <v/>
      </c>
      <c r="T1657" s="35" t="str">
        <f aca="false">IF($R1657="","",$R1657-$K1657)</f>
        <v/>
      </c>
      <c r="U1657" s="35" t="str">
        <f aca="false">IF(N($P1657)&lt;=0,"",COUNTIF($P$6:$P1657,"&gt;0"))</f>
        <v/>
      </c>
    </row>
    <row r="1658" customFormat="false" ht="15" hidden="false" customHeight="false" outlineLevel="0" collapsed="false">
      <c r="A1658" s="40" t="str">
        <f aca="false">IF(INDEX(BookTitle,1653)="","",INDEX(BookGroup,1653))</f>
        <v/>
      </c>
      <c r="B1658" s="40" t="str">
        <f aca="false">IF(INDEX(BookTitle,1653)="","",INDEX(BookRef,1653))</f>
        <v/>
      </c>
      <c r="C1658" s="40" t="str">
        <f aca="false">IF(INDEX(BookTitle,1653)="","",INDEX(BookDivision,1653))</f>
        <v/>
      </c>
      <c r="D1658" s="40" t="str">
        <f aca="false">IF(INDEX(BookTitle,1653)="","",INDEX(BookUnit,1653))</f>
        <v/>
      </c>
      <c r="E1658" s="40" t="str">
        <f aca="false">IF(INDEX(BookTitle,1653)="","",INDEX(BookTitle,1653))</f>
        <v/>
      </c>
      <c r="F1658" s="40" t="str">
        <f aca="false">IF(INDEX(BookTitle,1653)="","",INDEX(BookLevel,1653))</f>
        <v/>
      </c>
      <c r="G1658" s="40" t="str">
        <f aca="false">IF(INDEX(BookTitle,1653)="","",INDEX(BookCategory,1653))</f>
        <v/>
      </c>
      <c r="H1658" s="40" t="str">
        <f aca="false">IF(INDEX(BookTitle,1653)="","",INDEX(BookRank,1653))</f>
        <v/>
      </c>
      <c r="I1658" s="41" t="str">
        <f aca="false">IF(INDEX(BookTitle,1653)="","",INDEX(BookTotal,1653))</f>
        <v/>
      </c>
      <c r="J1658" s="0" t="str">
        <f aca="false">IF($I1658="","",IF(INDEX(BookQ1,1653)&gt;0,"Q1",IF(INDEX(BookQ2,1653)&gt;0,"Q2",IF(INDEX(BookQ3,1653)&gt;0,"Q3",IF(INDEX(BookQ4,1653)&gt;0,"Q4","")))))</f>
        <v/>
      </c>
      <c r="K1658" s="42" t="str">
        <f aca="false">IF(INDEX(BookTitle,1653)="","",INDEX(BookInYear,1653))</f>
        <v/>
      </c>
      <c r="L1658" s="19"/>
      <c r="M1658" s="39"/>
      <c r="N1658" s="19"/>
      <c r="O1658" s="19"/>
      <c r="P1658" s="43" t="str">
        <f aca="false">IF($E1658="","",IF($L1658="Decline",0,IF($L1658="Approve fewer",IF($M1658="","",$M1658),IF($L1658="","",$I1658))))</f>
        <v/>
      </c>
      <c r="Q1658" s="34" t="str">
        <f aca="false">IF($P1658="","",IF($N1658&lt;&gt;"",$N1658,$J1658))</f>
        <v/>
      </c>
      <c r="R1658" s="35" t="str">
        <f aca="false">IF(OR($P1658="",$Q1658=""),"",INDEX(BookRate,1653)*$P1658*(5-MATCH($Q1658,{"Q1";"Q2";"Q3";"Q4"},0))/4+INDEX(BookOneOff,1653)*$P1658)</f>
        <v/>
      </c>
      <c r="S1658" s="35" t="str">
        <f aca="false">IF($P1658="","",INDEX(BookRate,1653)*$P1658)</f>
        <v/>
      </c>
      <c r="T1658" s="35" t="str">
        <f aca="false">IF($R1658="","",$R1658-$K1658)</f>
        <v/>
      </c>
      <c r="U1658" s="35" t="str">
        <f aca="false">IF(N($P1658)&lt;=0,"",COUNTIF($P$6:$P1658,"&gt;0"))</f>
        <v/>
      </c>
    </row>
    <row r="1659" customFormat="false" ht="15" hidden="false" customHeight="false" outlineLevel="0" collapsed="false">
      <c r="A1659" s="40" t="str">
        <f aca="false">IF(INDEX(BookTitle,1654)="","",INDEX(BookGroup,1654))</f>
        <v/>
      </c>
      <c r="B1659" s="40" t="str">
        <f aca="false">IF(INDEX(BookTitle,1654)="","",INDEX(BookRef,1654))</f>
        <v/>
      </c>
      <c r="C1659" s="40" t="str">
        <f aca="false">IF(INDEX(BookTitle,1654)="","",INDEX(BookDivision,1654))</f>
        <v/>
      </c>
      <c r="D1659" s="40" t="str">
        <f aca="false">IF(INDEX(BookTitle,1654)="","",INDEX(BookUnit,1654))</f>
        <v/>
      </c>
      <c r="E1659" s="40" t="str">
        <f aca="false">IF(INDEX(BookTitle,1654)="","",INDEX(BookTitle,1654))</f>
        <v/>
      </c>
      <c r="F1659" s="40" t="str">
        <f aca="false">IF(INDEX(BookTitle,1654)="","",INDEX(BookLevel,1654))</f>
        <v/>
      </c>
      <c r="G1659" s="40" t="str">
        <f aca="false">IF(INDEX(BookTitle,1654)="","",INDEX(BookCategory,1654))</f>
        <v/>
      </c>
      <c r="H1659" s="40" t="str">
        <f aca="false">IF(INDEX(BookTitle,1654)="","",INDEX(BookRank,1654))</f>
        <v/>
      </c>
      <c r="I1659" s="41" t="str">
        <f aca="false">IF(INDEX(BookTitle,1654)="","",INDEX(BookTotal,1654))</f>
        <v/>
      </c>
      <c r="J1659" s="0" t="str">
        <f aca="false">IF($I1659="","",IF(INDEX(BookQ1,1654)&gt;0,"Q1",IF(INDEX(BookQ2,1654)&gt;0,"Q2",IF(INDEX(BookQ3,1654)&gt;0,"Q3",IF(INDEX(BookQ4,1654)&gt;0,"Q4","")))))</f>
        <v/>
      </c>
      <c r="K1659" s="42" t="str">
        <f aca="false">IF(INDEX(BookTitle,1654)="","",INDEX(BookInYear,1654))</f>
        <v/>
      </c>
      <c r="L1659" s="19"/>
      <c r="M1659" s="39"/>
      <c r="N1659" s="19"/>
      <c r="O1659" s="19"/>
      <c r="P1659" s="43" t="str">
        <f aca="false">IF($E1659="","",IF($L1659="Decline",0,IF($L1659="Approve fewer",IF($M1659="","",$M1659),IF($L1659="","",$I1659))))</f>
        <v/>
      </c>
      <c r="Q1659" s="34" t="str">
        <f aca="false">IF($P1659="","",IF($N1659&lt;&gt;"",$N1659,$J1659))</f>
        <v/>
      </c>
      <c r="R1659" s="35" t="str">
        <f aca="false">IF(OR($P1659="",$Q1659=""),"",INDEX(BookRate,1654)*$P1659*(5-MATCH($Q1659,{"Q1";"Q2";"Q3";"Q4"},0))/4+INDEX(BookOneOff,1654)*$P1659)</f>
        <v/>
      </c>
      <c r="S1659" s="35" t="str">
        <f aca="false">IF($P1659="","",INDEX(BookRate,1654)*$P1659)</f>
        <v/>
      </c>
      <c r="T1659" s="35" t="str">
        <f aca="false">IF($R1659="","",$R1659-$K1659)</f>
        <v/>
      </c>
      <c r="U1659" s="35" t="str">
        <f aca="false">IF(N($P1659)&lt;=0,"",COUNTIF($P$6:$P1659,"&gt;0"))</f>
        <v/>
      </c>
    </row>
    <row r="1660" customFormat="false" ht="15" hidden="false" customHeight="false" outlineLevel="0" collapsed="false">
      <c r="A1660" s="40" t="str">
        <f aca="false">IF(INDEX(BookTitle,1655)="","",INDEX(BookGroup,1655))</f>
        <v/>
      </c>
      <c r="B1660" s="40" t="str">
        <f aca="false">IF(INDEX(BookTitle,1655)="","",INDEX(BookRef,1655))</f>
        <v/>
      </c>
      <c r="C1660" s="40" t="str">
        <f aca="false">IF(INDEX(BookTitle,1655)="","",INDEX(BookDivision,1655))</f>
        <v/>
      </c>
      <c r="D1660" s="40" t="str">
        <f aca="false">IF(INDEX(BookTitle,1655)="","",INDEX(BookUnit,1655))</f>
        <v/>
      </c>
      <c r="E1660" s="40" t="str">
        <f aca="false">IF(INDEX(BookTitle,1655)="","",INDEX(BookTitle,1655))</f>
        <v/>
      </c>
      <c r="F1660" s="40" t="str">
        <f aca="false">IF(INDEX(BookTitle,1655)="","",INDEX(BookLevel,1655))</f>
        <v/>
      </c>
      <c r="G1660" s="40" t="str">
        <f aca="false">IF(INDEX(BookTitle,1655)="","",INDEX(BookCategory,1655))</f>
        <v/>
      </c>
      <c r="H1660" s="40" t="str">
        <f aca="false">IF(INDEX(BookTitle,1655)="","",INDEX(BookRank,1655))</f>
        <v/>
      </c>
      <c r="I1660" s="41" t="str">
        <f aca="false">IF(INDEX(BookTitle,1655)="","",INDEX(BookTotal,1655))</f>
        <v/>
      </c>
      <c r="J1660" s="0" t="str">
        <f aca="false">IF($I1660="","",IF(INDEX(BookQ1,1655)&gt;0,"Q1",IF(INDEX(BookQ2,1655)&gt;0,"Q2",IF(INDEX(BookQ3,1655)&gt;0,"Q3",IF(INDEX(BookQ4,1655)&gt;0,"Q4","")))))</f>
        <v/>
      </c>
      <c r="K1660" s="42" t="str">
        <f aca="false">IF(INDEX(BookTitle,1655)="","",INDEX(BookInYear,1655))</f>
        <v/>
      </c>
      <c r="L1660" s="19"/>
      <c r="M1660" s="39"/>
      <c r="N1660" s="19"/>
      <c r="O1660" s="19"/>
      <c r="P1660" s="43" t="str">
        <f aca="false">IF($E1660="","",IF($L1660="Decline",0,IF($L1660="Approve fewer",IF($M1660="","",$M1660),IF($L1660="","",$I1660))))</f>
        <v/>
      </c>
      <c r="Q1660" s="34" t="str">
        <f aca="false">IF($P1660="","",IF($N1660&lt;&gt;"",$N1660,$J1660))</f>
        <v/>
      </c>
      <c r="R1660" s="35" t="str">
        <f aca="false">IF(OR($P1660="",$Q1660=""),"",INDEX(BookRate,1655)*$P1660*(5-MATCH($Q1660,{"Q1";"Q2";"Q3";"Q4"},0))/4+INDEX(BookOneOff,1655)*$P1660)</f>
        <v/>
      </c>
      <c r="S1660" s="35" t="str">
        <f aca="false">IF($P1660="","",INDEX(BookRate,1655)*$P1660)</f>
        <v/>
      </c>
      <c r="T1660" s="35" t="str">
        <f aca="false">IF($R1660="","",$R1660-$K1660)</f>
        <v/>
      </c>
      <c r="U1660" s="35" t="str">
        <f aca="false">IF(N($P1660)&lt;=0,"",COUNTIF($P$6:$P1660,"&gt;0"))</f>
        <v/>
      </c>
    </row>
    <row r="1661" customFormat="false" ht="15" hidden="false" customHeight="false" outlineLevel="0" collapsed="false">
      <c r="A1661" s="40" t="str">
        <f aca="false">IF(INDEX(BookTitle,1656)="","",INDEX(BookGroup,1656))</f>
        <v/>
      </c>
      <c r="B1661" s="40" t="str">
        <f aca="false">IF(INDEX(BookTitle,1656)="","",INDEX(BookRef,1656))</f>
        <v/>
      </c>
      <c r="C1661" s="40" t="str">
        <f aca="false">IF(INDEX(BookTitle,1656)="","",INDEX(BookDivision,1656))</f>
        <v/>
      </c>
      <c r="D1661" s="40" t="str">
        <f aca="false">IF(INDEX(BookTitle,1656)="","",INDEX(BookUnit,1656))</f>
        <v/>
      </c>
      <c r="E1661" s="40" t="str">
        <f aca="false">IF(INDEX(BookTitle,1656)="","",INDEX(BookTitle,1656))</f>
        <v/>
      </c>
      <c r="F1661" s="40" t="str">
        <f aca="false">IF(INDEX(BookTitle,1656)="","",INDEX(BookLevel,1656))</f>
        <v/>
      </c>
      <c r="G1661" s="40" t="str">
        <f aca="false">IF(INDEX(BookTitle,1656)="","",INDEX(BookCategory,1656))</f>
        <v/>
      </c>
      <c r="H1661" s="40" t="str">
        <f aca="false">IF(INDEX(BookTitle,1656)="","",INDEX(BookRank,1656))</f>
        <v/>
      </c>
      <c r="I1661" s="41" t="str">
        <f aca="false">IF(INDEX(BookTitle,1656)="","",INDEX(BookTotal,1656))</f>
        <v/>
      </c>
      <c r="J1661" s="0" t="str">
        <f aca="false">IF($I1661="","",IF(INDEX(BookQ1,1656)&gt;0,"Q1",IF(INDEX(BookQ2,1656)&gt;0,"Q2",IF(INDEX(BookQ3,1656)&gt;0,"Q3",IF(INDEX(BookQ4,1656)&gt;0,"Q4","")))))</f>
        <v/>
      </c>
      <c r="K1661" s="42" t="str">
        <f aca="false">IF(INDEX(BookTitle,1656)="","",INDEX(BookInYear,1656))</f>
        <v/>
      </c>
      <c r="L1661" s="19"/>
      <c r="M1661" s="39"/>
      <c r="N1661" s="19"/>
      <c r="O1661" s="19"/>
      <c r="P1661" s="43" t="str">
        <f aca="false">IF($E1661="","",IF($L1661="Decline",0,IF($L1661="Approve fewer",IF($M1661="","",$M1661),IF($L1661="","",$I1661))))</f>
        <v/>
      </c>
      <c r="Q1661" s="34" t="str">
        <f aca="false">IF($P1661="","",IF($N1661&lt;&gt;"",$N1661,$J1661))</f>
        <v/>
      </c>
      <c r="R1661" s="35" t="str">
        <f aca="false">IF(OR($P1661="",$Q1661=""),"",INDEX(BookRate,1656)*$P1661*(5-MATCH($Q1661,{"Q1";"Q2";"Q3";"Q4"},0))/4+INDEX(BookOneOff,1656)*$P1661)</f>
        <v/>
      </c>
      <c r="S1661" s="35" t="str">
        <f aca="false">IF($P1661="","",INDEX(BookRate,1656)*$P1661)</f>
        <v/>
      </c>
      <c r="T1661" s="35" t="str">
        <f aca="false">IF($R1661="","",$R1661-$K1661)</f>
        <v/>
      </c>
      <c r="U1661" s="35" t="str">
        <f aca="false">IF(N($P1661)&lt;=0,"",COUNTIF($P$6:$P1661,"&gt;0"))</f>
        <v/>
      </c>
    </row>
    <row r="1662" customFormat="false" ht="15" hidden="false" customHeight="false" outlineLevel="0" collapsed="false">
      <c r="A1662" s="40" t="str">
        <f aca="false">IF(INDEX(BookTitle,1657)="","",INDEX(BookGroup,1657))</f>
        <v/>
      </c>
      <c r="B1662" s="40" t="str">
        <f aca="false">IF(INDEX(BookTitle,1657)="","",INDEX(BookRef,1657))</f>
        <v/>
      </c>
      <c r="C1662" s="40" t="str">
        <f aca="false">IF(INDEX(BookTitle,1657)="","",INDEX(BookDivision,1657))</f>
        <v/>
      </c>
      <c r="D1662" s="40" t="str">
        <f aca="false">IF(INDEX(BookTitle,1657)="","",INDEX(BookUnit,1657))</f>
        <v/>
      </c>
      <c r="E1662" s="40" t="str">
        <f aca="false">IF(INDEX(BookTitle,1657)="","",INDEX(BookTitle,1657))</f>
        <v/>
      </c>
      <c r="F1662" s="40" t="str">
        <f aca="false">IF(INDEX(BookTitle,1657)="","",INDEX(BookLevel,1657))</f>
        <v/>
      </c>
      <c r="G1662" s="40" t="str">
        <f aca="false">IF(INDEX(BookTitle,1657)="","",INDEX(BookCategory,1657))</f>
        <v/>
      </c>
      <c r="H1662" s="40" t="str">
        <f aca="false">IF(INDEX(BookTitle,1657)="","",INDEX(BookRank,1657))</f>
        <v/>
      </c>
      <c r="I1662" s="41" t="str">
        <f aca="false">IF(INDEX(BookTitle,1657)="","",INDEX(BookTotal,1657))</f>
        <v/>
      </c>
      <c r="J1662" s="0" t="str">
        <f aca="false">IF($I1662="","",IF(INDEX(BookQ1,1657)&gt;0,"Q1",IF(INDEX(BookQ2,1657)&gt;0,"Q2",IF(INDEX(BookQ3,1657)&gt;0,"Q3",IF(INDEX(BookQ4,1657)&gt;0,"Q4","")))))</f>
        <v/>
      </c>
      <c r="K1662" s="42" t="str">
        <f aca="false">IF(INDEX(BookTitle,1657)="","",INDEX(BookInYear,1657))</f>
        <v/>
      </c>
      <c r="L1662" s="19"/>
      <c r="M1662" s="39"/>
      <c r="N1662" s="19"/>
      <c r="O1662" s="19"/>
      <c r="P1662" s="43" t="str">
        <f aca="false">IF($E1662="","",IF($L1662="Decline",0,IF($L1662="Approve fewer",IF($M1662="","",$M1662),IF($L1662="","",$I1662))))</f>
        <v/>
      </c>
      <c r="Q1662" s="34" t="str">
        <f aca="false">IF($P1662="","",IF($N1662&lt;&gt;"",$N1662,$J1662))</f>
        <v/>
      </c>
      <c r="R1662" s="35" t="str">
        <f aca="false">IF(OR($P1662="",$Q1662=""),"",INDEX(BookRate,1657)*$P1662*(5-MATCH($Q1662,{"Q1";"Q2";"Q3";"Q4"},0))/4+INDEX(BookOneOff,1657)*$P1662)</f>
        <v/>
      </c>
      <c r="S1662" s="35" t="str">
        <f aca="false">IF($P1662="","",INDEX(BookRate,1657)*$P1662)</f>
        <v/>
      </c>
      <c r="T1662" s="35" t="str">
        <f aca="false">IF($R1662="","",$R1662-$K1662)</f>
        <v/>
      </c>
      <c r="U1662" s="35" t="str">
        <f aca="false">IF(N($P1662)&lt;=0,"",COUNTIF($P$6:$P1662,"&gt;0"))</f>
        <v/>
      </c>
    </row>
    <row r="1663" customFormat="false" ht="15" hidden="false" customHeight="false" outlineLevel="0" collapsed="false">
      <c r="A1663" s="40" t="str">
        <f aca="false">IF(INDEX(BookTitle,1658)="","",INDEX(BookGroup,1658))</f>
        <v/>
      </c>
      <c r="B1663" s="40" t="str">
        <f aca="false">IF(INDEX(BookTitle,1658)="","",INDEX(BookRef,1658))</f>
        <v/>
      </c>
      <c r="C1663" s="40" t="str">
        <f aca="false">IF(INDEX(BookTitle,1658)="","",INDEX(BookDivision,1658))</f>
        <v/>
      </c>
      <c r="D1663" s="40" t="str">
        <f aca="false">IF(INDEX(BookTitle,1658)="","",INDEX(BookUnit,1658))</f>
        <v/>
      </c>
      <c r="E1663" s="40" t="str">
        <f aca="false">IF(INDEX(BookTitle,1658)="","",INDEX(BookTitle,1658))</f>
        <v/>
      </c>
      <c r="F1663" s="40" t="str">
        <f aca="false">IF(INDEX(BookTitle,1658)="","",INDEX(BookLevel,1658))</f>
        <v/>
      </c>
      <c r="G1663" s="40" t="str">
        <f aca="false">IF(INDEX(BookTitle,1658)="","",INDEX(BookCategory,1658))</f>
        <v/>
      </c>
      <c r="H1663" s="40" t="str">
        <f aca="false">IF(INDEX(BookTitle,1658)="","",INDEX(BookRank,1658))</f>
        <v/>
      </c>
      <c r="I1663" s="41" t="str">
        <f aca="false">IF(INDEX(BookTitle,1658)="","",INDEX(BookTotal,1658))</f>
        <v/>
      </c>
      <c r="J1663" s="0" t="str">
        <f aca="false">IF($I1663="","",IF(INDEX(BookQ1,1658)&gt;0,"Q1",IF(INDEX(BookQ2,1658)&gt;0,"Q2",IF(INDEX(BookQ3,1658)&gt;0,"Q3",IF(INDEX(BookQ4,1658)&gt;0,"Q4","")))))</f>
        <v/>
      </c>
      <c r="K1663" s="42" t="str">
        <f aca="false">IF(INDEX(BookTitle,1658)="","",INDEX(BookInYear,1658))</f>
        <v/>
      </c>
      <c r="L1663" s="19"/>
      <c r="M1663" s="39"/>
      <c r="N1663" s="19"/>
      <c r="O1663" s="19"/>
      <c r="P1663" s="43" t="str">
        <f aca="false">IF($E1663="","",IF($L1663="Decline",0,IF($L1663="Approve fewer",IF($M1663="","",$M1663),IF($L1663="","",$I1663))))</f>
        <v/>
      </c>
      <c r="Q1663" s="34" t="str">
        <f aca="false">IF($P1663="","",IF($N1663&lt;&gt;"",$N1663,$J1663))</f>
        <v/>
      </c>
      <c r="R1663" s="35" t="str">
        <f aca="false">IF(OR($P1663="",$Q1663=""),"",INDEX(BookRate,1658)*$P1663*(5-MATCH($Q1663,{"Q1";"Q2";"Q3";"Q4"},0))/4+INDEX(BookOneOff,1658)*$P1663)</f>
        <v/>
      </c>
      <c r="S1663" s="35" t="str">
        <f aca="false">IF($P1663="","",INDEX(BookRate,1658)*$P1663)</f>
        <v/>
      </c>
      <c r="T1663" s="35" t="str">
        <f aca="false">IF($R1663="","",$R1663-$K1663)</f>
        <v/>
      </c>
      <c r="U1663" s="35" t="str">
        <f aca="false">IF(N($P1663)&lt;=0,"",COUNTIF($P$6:$P1663,"&gt;0"))</f>
        <v/>
      </c>
    </row>
    <row r="1664" customFormat="false" ht="15" hidden="false" customHeight="false" outlineLevel="0" collapsed="false">
      <c r="A1664" s="40" t="str">
        <f aca="false">IF(INDEX(BookTitle,1659)="","",INDEX(BookGroup,1659))</f>
        <v/>
      </c>
      <c r="B1664" s="40" t="str">
        <f aca="false">IF(INDEX(BookTitle,1659)="","",INDEX(BookRef,1659))</f>
        <v/>
      </c>
      <c r="C1664" s="40" t="str">
        <f aca="false">IF(INDEX(BookTitle,1659)="","",INDEX(BookDivision,1659))</f>
        <v/>
      </c>
      <c r="D1664" s="40" t="str">
        <f aca="false">IF(INDEX(BookTitle,1659)="","",INDEX(BookUnit,1659))</f>
        <v/>
      </c>
      <c r="E1664" s="40" t="str">
        <f aca="false">IF(INDEX(BookTitle,1659)="","",INDEX(BookTitle,1659))</f>
        <v/>
      </c>
      <c r="F1664" s="40" t="str">
        <f aca="false">IF(INDEX(BookTitle,1659)="","",INDEX(BookLevel,1659))</f>
        <v/>
      </c>
      <c r="G1664" s="40" t="str">
        <f aca="false">IF(INDEX(BookTitle,1659)="","",INDEX(BookCategory,1659))</f>
        <v/>
      </c>
      <c r="H1664" s="40" t="str">
        <f aca="false">IF(INDEX(BookTitle,1659)="","",INDEX(BookRank,1659))</f>
        <v/>
      </c>
      <c r="I1664" s="41" t="str">
        <f aca="false">IF(INDEX(BookTitle,1659)="","",INDEX(BookTotal,1659))</f>
        <v/>
      </c>
      <c r="J1664" s="0" t="str">
        <f aca="false">IF($I1664="","",IF(INDEX(BookQ1,1659)&gt;0,"Q1",IF(INDEX(BookQ2,1659)&gt;0,"Q2",IF(INDEX(BookQ3,1659)&gt;0,"Q3",IF(INDEX(BookQ4,1659)&gt;0,"Q4","")))))</f>
        <v/>
      </c>
      <c r="K1664" s="42" t="str">
        <f aca="false">IF(INDEX(BookTitle,1659)="","",INDEX(BookInYear,1659))</f>
        <v/>
      </c>
      <c r="L1664" s="19"/>
      <c r="M1664" s="39"/>
      <c r="N1664" s="19"/>
      <c r="O1664" s="19"/>
      <c r="P1664" s="43" t="str">
        <f aca="false">IF($E1664="","",IF($L1664="Decline",0,IF($L1664="Approve fewer",IF($M1664="","",$M1664),IF($L1664="","",$I1664))))</f>
        <v/>
      </c>
      <c r="Q1664" s="34" t="str">
        <f aca="false">IF($P1664="","",IF($N1664&lt;&gt;"",$N1664,$J1664))</f>
        <v/>
      </c>
      <c r="R1664" s="35" t="str">
        <f aca="false">IF(OR($P1664="",$Q1664=""),"",INDEX(BookRate,1659)*$P1664*(5-MATCH($Q1664,{"Q1";"Q2";"Q3";"Q4"},0))/4+INDEX(BookOneOff,1659)*$P1664)</f>
        <v/>
      </c>
      <c r="S1664" s="35" t="str">
        <f aca="false">IF($P1664="","",INDEX(BookRate,1659)*$P1664)</f>
        <v/>
      </c>
      <c r="T1664" s="35" t="str">
        <f aca="false">IF($R1664="","",$R1664-$K1664)</f>
        <v/>
      </c>
      <c r="U1664" s="35" t="str">
        <f aca="false">IF(N($P1664)&lt;=0,"",COUNTIF($P$6:$P1664,"&gt;0"))</f>
        <v/>
      </c>
    </row>
    <row r="1665" customFormat="false" ht="15" hidden="false" customHeight="false" outlineLevel="0" collapsed="false">
      <c r="A1665" s="40" t="str">
        <f aca="false">IF(INDEX(BookTitle,1660)="","",INDEX(BookGroup,1660))</f>
        <v/>
      </c>
      <c r="B1665" s="40" t="str">
        <f aca="false">IF(INDEX(BookTitle,1660)="","",INDEX(BookRef,1660))</f>
        <v/>
      </c>
      <c r="C1665" s="40" t="str">
        <f aca="false">IF(INDEX(BookTitle,1660)="","",INDEX(BookDivision,1660))</f>
        <v/>
      </c>
      <c r="D1665" s="40" t="str">
        <f aca="false">IF(INDEX(BookTitle,1660)="","",INDEX(BookUnit,1660))</f>
        <v/>
      </c>
      <c r="E1665" s="40" t="str">
        <f aca="false">IF(INDEX(BookTitle,1660)="","",INDEX(BookTitle,1660))</f>
        <v/>
      </c>
      <c r="F1665" s="40" t="str">
        <f aca="false">IF(INDEX(BookTitle,1660)="","",INDEX(BookLevel,1660))</f>
        <v/>
      </c>
      <c r="G1665" s="40" t="str">
        <f aca="false">IF(INDEX(BookTitle,1660)="","",INDEX(BookCategory,1660))</f>
        <v/>
      </c>
      <c r="H1665" s="40" t="str">
        <f aca="false">IF(INDEX(BookTitle,1660)="","",INDEX(BookRank,1660))</f>
        <v/>
      </c>
      <c r="I1665" s="41" t="str">
        <f aca="false">IF(INDEX(BookTitle,1660)="","",INDEX(BookTotal,1660))</f>
        <v/>
      </c>
      <c r="J1665" s="0" t="str">
        <f aca="false">IF($I1665="","",IF(INDEX(BookQ1,1660)&gt;0,"Q1",IF(INDEX(BookQ2,1660)&gt;0,"Q2",IF(INDEX(BookQ3,1660)&gt;0,"Q3",IF(INDEX(BookQ4,1660)&gt;0,"Q4","")))))</f>
        <v/>
      </c>
      <c r="K1665" s="42" t="str">
        <f aca="false">IF(INDEX(BookTitle,1660)="","",INDEX(BookInYear,1660))</f>
        <v/>
      </c>
      <c r="L1665" s="19"/>
      <c r="M1665" s="39"/>
      <c r="N1665" s="19"/>
      <c r="O1665" s="19"/>
      <c r="P1665" s="43" t="str">
        <f aca="false">IF($E1665="","",IF($L1665="Decline",0,IF($L1665="Approve fewer",IF($M1665="","",$M1665),IF($L1665="","",$I1665))))</f>
        <v/>
      </c>
      <c r="Q1665" s="34" t="str">
        <f aca="false">IF($P1665="","",IF($N1665&lt;&gt;"",$N1665,$J1665))</f>
        <v/>
      </c>
      <c r="R1665" s="35" t="str">
        <f aca="false">IF(OR($P1665="",$Q1665=""),"",INDEX(BookRate,1660)*$P1665*(5-MATCH($Q1665,{"Q1";"Q2";"Q3";"Q4"},0))/4+INDEX(BookOneOff,1660)*$P1665)</f>
        <v/>
      </c>
      <c r="S1665" s="35" t="str">
        <f aca="false">IF($P1665="","",INDEX(BookRate,1660)*$P1665)</f>
        <v/>
      </c>
      <c r="T1665" s="35" t="str">
        <f aca="false">IF($R1665="","",$R1665-$K1665)</f>
        <v/>
      </c>
      <c r="U1665" s="35" t="str">
        <f aca="false">IF(N($P1665)&lt;=0,"",COUNTIF($P$6:$P1665,"&gt;0"))</f>
        <v/>
      </c>
    </row>
    <row r="1666" customFormat="false" ht="15" hidden="false" customHeight="false" outlineLevel="0" collapsed="false">
      <c r="A1666" s="40" t="str">
        <f aca="false">IF(INDEX(BookTitle,1661)="","",INDEX(BookGroup,1661))</f>
        <v/>
      </c>
      <c r="B1666" s="40" t="str">
        <f aca="false">IF(INDEX(BookTitle,1661)="","",INDEX(BookRef,1661))</f>
        <v/>
      </c>
      <c r="C1666" s="40" t="str">
        <f aca="false">IF(INDEX(BookTitle,1661)="","",INDEX(BookDivision,1661))</f>
        <v/>
      </c>
      <c r="D1666" s="40" t="str">
        <f aca="false">IF(INDEX(BookTitle,1661)="","",INDEX(BookUnit,1661))</f>
        <v/>
      </c>
      <c r="E1666" s="40" t="str">
        <f aca="false">IF(INDEX(BookTitle,1661)="","",INDEX(BookTitle,1661))</f>
        <v/>
      </c>
      <c r="F1666" s="40" t="str">
        <f aca="false">IF(INDEX(BookTitle,1661)="","",INDEX(BookLevel,1661))</f>
        <v/>
      </c>
      <c r="G1666" s="40" t="str">
        <f aca="false">IF(INDEX(BookTitle,1661)="","",INDEX(BookCategory,1661))</f>
        <v/>
      </c>
      <c r="H1666" s="40" t="str">
        <f aca="false">IF(INDEX(BookTitle,1661)="","",INDEX(BookRank,1661))</f>
        <v/>
      </c>
      <c r="I1666" s="41" t="str">
        <f aca="false">IF(INDEX(BookTitle,1661)="","",INDEX(BookTotal,1661))</f>
        <v/>
      </c>
      <c r="J1666" s="0" t="str">
        <f aca="false">IF($I1666="","",IF(INDEX(BookQ1,1661)&gt;0,"Q1",IF(INDEX(BookQ2,1661)&gt;0,"Q2",IF(INDEX(BookQ3,1661)&gt;0,"Q3",IF(INDEX(BookQ4,1661)&gt;0,"Q4","")))))</f>
        <v/>
      </c>
      <c r="K1666" s="42" t="str">
        <f aca="false">IF(INDEX(BookTitle,1661)="","",INDEX(BookInYear,1661))</f>
        <v/>
      </c>
      <c r="L1666" s="19"/>
      <c r="M1666" s="39"/>
      <c r="N1666" s="19"/>
      <c r="O1666" s="19"/>
      <c r="P1666" s="43" t="str">
        <f aca="false">IF($E1666="","",IF($L1666="Decline",0,IF($L1666="Approve fewer",IF($M1666="","",$M1666),IF($L1666="","",$I1666))))</f>
        <v/>
      </c>
      <c r="Q1666" s="34" t="str">
        <f aca="false">IF($P1666="","",IF($N1666&lt;&gt;"",$N1666,$J1666))</f>
        <v/>
      </c>
      <c r="R1666" s="35" t="str">
        <f aca="false">IF(OR($P1666="",$Q1666=""),"",INDEX(BookRate,1661)*$P1666*(5-MATCH($Q1666,{"Q1";"Q2";"Q3";"Q4"},0))/4+INDEX(BookOneOff,1661)*$P1666)</f>
        <v/>
      </c>
      <c r="S1666" s="35" t="str">
        <f aca="false">IF($P1666="","",INDEX(BookRate,1661)*$P1666)</f>
        <v/>
      </c>
      <c r="T1666" s="35" t="str">
        <f aca="false">IF($R1666="","",$R1666-$K1666)</f>
        <v/>
      </c>
      <c r="U1666" s="35" t="str">
        <f aca="false">IF(N($P1666)&lt;=0,"",COUNTIF($P$6:$P1666,"&gt;0"))</f>
        <v/>
      </c>
    </row>
    <row r="1667" customFormat="false" ht="15" hidden="false" customHeight="false" outlineLevel="0" collapsed="false">
      <c r="A1667" s="40" t="str">
        <f aca="false">IF(INDEX(BookTitle,1662)="","",INDEX(BookGroup,1662))</f>
        <v/>
      </c>
      <c r="B1667" s="40" t="str">
        <f aca="false">IF(INDEX(BookTitle,1662)="","",INDEX(BookRef,1662))</f>
        <v/>
      </c>
      <c r="C1667" s="40" t="str">
        <f aca="false">IF(INDEX(BookTitle,1662)="","",INDEX(BookDivision,1662))</f>
        <v/>
      </c>
      <c r="D1667" s="40" t="str">
        <f aca="false">IF(INDEX(BookTitle,1662)="","",INDEX(BookUnit,1662))</f>
        <v/>
      </c>
      <c r="E1667" s="40" t="str">
        <f aca="false">IF(INDEX(BookTitle,1662)="","",INDEX(BookTitle,1662))</f>
        <v/>
      </c>
      <c r="F1667" s="40" t="str">
        <f aca="false">IF(INDEX(BookTitle,1662)="","",INDEX(BookLevel,1662))</f>
        <v/>
      </c>
      <c r="G1667" s="40" t="str">
        <f aca="false">IF(INDEX(BookTitle,1662)="","",INDEX(BookCategory,1662))</f>
        <v/>
      </c>
      <c r="H1667" s="40" t="str">
        <f aca="false">IF(INDEX(BookTitle,1662)="","",INDEX(BookRank,1662))</f>
        <v/>
      </c>
      <c r="I1667" s="41" t="str">
        <f aca="false">IF(INDEX(BookTitle,1662)="","",INDEX(BookTotal,1662))</f>
        <v/>
      </c>
      <c r="J1667" s="0" t="str">
        <f aca="false">IF($I1667="","",IF(INDEX(BookQ1,1662)&gt;0,"Q1",IF(INDEX(BookQ2,1662)&gt;0,"Q2",IF(INDEX(BookQ3,1662)&gt;0,"Q3",IF(INDEX(BookQ4,1662)&gt;0,"Q4","")))))</f>
        <v/>
      </c>
      <c r="K1667" s="42" t="str">
        <f aca="false">IF(INDEX(BookTitle,1662)="","",INDEX(BookInYear,1662))</f>
        <v/>
      </c>
      <c r="L1667" s="19"/>
      <c r="M1667" s="39"/>
      <c r="N1667" s="19"/>
      <c r="O1667" s="19"/>
      <c r="P1667" s="43" t="str">
        <f aca="false">IF($E1667="","",IF($L1667="Decline",0,IF($L1667="Approve fewer",IF($M1667="","",$M1667),IF($L1667="","",$I1667))))</f>
        <v/>
      </c>
      <c r="Q1667" s="34" t="str">
        <f aca="false">IF($P1667="","",IF($N1667&lt;&gt;"",$N1667,$J1667))</f>
        <v/>
      </c>
      <c r="R1667" s="35" t="str">
        <f aca="false">IF(OR($P1667="",$Q1667=""),"",INDEX(BookRate,1662)*$P1667*(5-MATCH($Q1667,{"Q1";"Q2";"Q3";"Q4"},0))/4+INDEX(BookOneOff,1662)*$P1667)</f>
        <v/>
      </c>
      <c r="S1667" s="35" t="str">
        <f aca="false">IF($P1667="","",INDEX(BookRate,1662)*$P1667)</f>
        <v/>
      </c>
      <c r="T1667" s="35" t="str">
        <f aca="false">IF($R1667="","",$R1667-$K1667)</f>
        <v/>
      </c>
      <c r="U1667" s="35" t="str">
        <f aca="false">IF(N($P1667)&lt;=0,"",COUNTIF($P$6:$P1667,"&gt;0"))</f>
        <v/>
      </c>
    </row>
    <row r="1668" customFormat="false" ht="15" hidden="false" customHeight="false" outlineLevel="0" collapsed="false">
      <c r="A1668" s="40" t="str">
        <f aca="false">IF(INDEX(BookTitle,1663)="","",INDEX(BookGroup,1663))</f>
        <v/>
      </c>
      <c r="B1668" s="40" t="str">
        <f aca="false">IF(INDEX(BookTitle,1663)="","",INDEX(BookRef,1663))</f>
        <v/>
      </c>
      <c r="C1668" s="40" t="str">
        <f aca="false">IF(INDEX(BookTitle,1663)="","",INDEX(BookDivision,1663))</f>
        <v/>
      </c>
      <c r="D1668" s="40" t="str">
        <f aca="false">IF(INDEX(BookTitle,1663)="","",INDEX(BookUnit,1663))</f>
        <v/>
      </c>
      <c r="E1668" s="40" t="str">
        <f aca="false">IF(INDEX(BookTitle,1663)="","",INDEX(BookTitle,1663))</f>
        <v/>
      </c>
      <c r="F1668" s="40" t="str">
        <f aca="false">IF(INDEX(BookTitle,1663)="","",INDEX(BookLevel,1663))</f>
        <v/>
      </c>
      <c r="G1668" s="40" t="str">
        <f aca="false">IF(INDEX(BookTitle,1663)="","",INDEX(BookCategory,1663))</f>
        <v/>
      </c>
      <c r="H1668" s="40" t="str">
        <f aca="false">IF(INDEX(BookTitle,1663)="","",INDEX(BookRank,1663))</f>
        <v/>
      </c>
      <c r="I1668" s="41" t="str">
        <f aca="false">IF(INDEX(BookTitle,1663)="","",INDEX(BookTotal,1663))</f>
        <v/>
      </c>
      <c r="J1668" s="0" t="str">
        <f aca="false">IF($I1668="","",IF(INDEX(BookQ1,1663)&gt;0,"Q1",IF(INDEX(BookQ2,1663)&gt;0,"Q2",IF(INDEX(BookQ3,1663)&gt;0,"Q3",IF(INDEX(BookQ4,1663)&gt;0,"Q4","")))))</f>
        <v/>
      </c>
      <c r="K1668" s="42" t="str">
        <f aca="false">IF(INDEX(BookTitle,1663)="","",INDEX(BookInYear,1663))</f>
        <v/>
      </c>
      <c r="L1668" s="19"/>
      <c r="M1668" s="39"/>
      <c r="N1668" s="19"/>
      <c r="O1668" s="19"/>
      <c r="P1668" s="43" t="str">
        <f aca="false">IF($E1668="","",IF($L1668="Decline",0,IF($L1668="Approve fewer",IF($M1668="","",$M1668),IF($L1668="","",$I1668))))</f>
        <v/>
      </c>
      <c r="Q1668" s="34" t="str">
        <f aca="false">IF($P1668="","",IF($N1668&lt;&gt;"",$N1668,$J1668))</f>
        <v/>
      </c>
      <c r="R1668" s="35" t="str">
        <f aca="false">IF(OR($P1668="",$Q1668=""),"",INDEX(BookRate,1663)*$P1668*(5-MATCH($Q1668,{"Q1";"Q2";"Q3";"Q4"},0))/4+INDEX(BookOneOff,1663)*$P1668)</f>
        <v/>
      </c>
      <c r="S1668" s="35" t="str">
        <f aca="false">IF($P1668="","",INDEX(BookRate,1663)*$P1668)</f>
        <v/>
      </c>
      <c r="T1668" s="35" t="str">
        <f aca="false">IF($R1668="","",$R1668-$K1668)</f>
        <v/>
      </c>
      <c r="U1668" s="35" t="str">
        <f aca="false">IF(N($P1668)&lt;=0,"",COUNTIF($P$6:$P1668,"&gt;0"))</f>
        <v/>
      </c>
    </row>
    <row r="1669" customFormat="false" ht="15" hidden="false" customHeight="false" outlineLevel="0" collapsed="false">
      <c r="A1669" s="40" t="str">
        <f aca="false">IF(INDEX(BookTitle,1664)="","",INDEX(BookGroup,1664))</f>
        <v/>
      </c>
      <c r="B1669" s="40" t="str">
        <f aca="false">IF(INDEX(BookTitle,1664)="","",INDEX(BookRef,1664))</f>
        <v/>
      </c>
      <c r="C1669" s="40" t="str">
        <f aca="false">IF(INDEX(BookTitle,1664)="","",INDEX(BookDivision,1664))</f>
        <v/>
      </c>
      <c r="D1669" s="40" t="str">
        <f aca="false">IF(INDEX(BookTitle,1664)="","",INDEX(BookUnit,1664))</f>
        <v/>
      </c>
      <c r="E1669" s="40" t="str">
        <f aca="false">IF(INDEX(BookTitle,1664)="","",INDEX(BookTitle,1664))</f>
        <v/>
      </c>
      <c r="F1669" s="40" t="str">
        <f aca="false">IF(INDEX(BookTitle,1664)="","",INDEX(BookLevel,1664))</f>
        <v/>
      </c>
      <c r="G1669" s="40" t="str">
        <f aca="false">IF(INDEX(BookTitle,1664)="","",INDEX(BookCategory,1664))</f>
        <v/>
      </c>
      <c r="H1669" s="40" t="str">
        <f aca="false">IF(INDEX(BookTitle,1664)="","",INDEX(BookRank,1664))</f>
        <v/>
      </c>
      <c r="I1669" s="41" t="str">
        <f aca="false">IF(INDEX(BookTitle,1664)="","",INDEX(BookTotal,1664))</f>
        <v/>
      </c>
      <c r="J1669" s="0" t="str">
        <f aca="false">IF($I1669="","",IF(INDEX(BookQ1,1664)&gt;0,"Q1",IF(INDEX(BookQ2,1664)&gt;0,"Q2",IF(INDEX(BookQ3,1664)&gt;0,"Q3",IF(INDEX(BookQ4,1664)&gt;0,"Q4","")))))</f>
        <v/>
      </c>
      <c r="K1669" s="42" t="str">
        <f aca="false">IF(INDEX(BookTitle,1664)="","",INDEX(BookInYear,1664))</f>
        <v/>
      </c>
      <c r="L1669" s="19"/>
      <c r="M1669" s="39"/>
      <c r="N1669" s="19"/>
      <c r="O1669" s="19"/>
      <c r="P1669" s="43" t="str">
        <f aca="false">IF($E1669="","",IF($L1669="Decline",0,IF($L1669="Approve fewer",IF($M1669="","",$M1669),IF($L1669="","",$I1669))))</f>
        <v/>
      </c>
      <c r="Q1669" s="34" t="str">
        <f aca="false">IF($P1669="","",IF($N1669&lt;&gt;"",$N1669,$J1669))</f>
        <v/>
      </c>
      <c r="R1669" s="35" t="str">
        <f aca="false">IF(OR($P1669="",$Q1669=""),"",INDEX(BookRate,1664)*$P1669*(5-MATCH($Q1669,{"Q1";"Q2";"Q3";"Q4"},0))/4+INDEX(BookOneOff,1664)*$P1669)</f>
        <v/>
      </c>
      <c r="S1669" s="35" t="str">
        <f aca="false">IF($P1669="","",INDEX(BookRate,1664)*$P1669)</f>
        <v/>
      </c>
      <c r="T1669" s="35" t="str">
        <f aca="false">IF($R1669="","",$R1669-$K1669)</f>
        <v/>
      </c>
      <c r="U1669" s="35" t="str">
        <f aca="false">IF(N($P1669)&lt;=0,"",COUNTIF($P$6:$P1669,"&gt;0"))</f>
        <v/>
      </c>
    </row>
    <row r="1670" customFormat="false" ht="15" hidden="false" customHeight="false" outlineLevel="0" collapsed="false">
      <c r="A1670" s="40" t="str">
        <f aca="false">IF(INDEX(BookTitle,1665)="","",INDEX(BookGroup,1665))</f>
        <v/>
      </c>
      <c r="B1670" s="40" t="str">
        <f aca="false">IF(INDEX(BookTitle,1665)="","",INDEX(BookRef,1665))</f>
        <v/>
      </c>
      <c r="C1670" s="40" t="str">
        <f aca="false">IF(INDEX(BookTitle,1665)="","",INDEX(BookDivision,1665))</f>
        <v/>
      </c>
      <c r="D1670" s="40" t="str">
        <f aca="false">IF(INDEX(BookTitle,1665)="","",INDEX(BookUnit,1665))</f>
        <v/>
      </c>
      <c r="E1670" s="40" t="str">
        <f aca="false">IF(INDEX(BookTitle,1665)="","",INDEX(BookTitle,1665))</f>
        <v/>
      </c>
      <c r="F1670" s="40" t="str">
        <f aca="false">IF(INDEX(BookTitle,1665)="","",INDEX(BookLevel,1665))</f>
        <v/>
      </c>
      <c r="G1670" s="40" t="str">
        <f aca="false">IF(INDEX(BookTitle,1665)="","",INDEX(BookCategory,1665))</f>
        <v/>
      </c>
      <c r="H1670" s="40" t="str">
        <f aca="false">IF(INDEX(BookTitle,1665)="","",INDEX(BookRank,1665))</f>
        <v/>
      </c>
      <c r="I1670" s="41" t="str">
        <f aca="false">IF(INDEX(BookTitle,1665)="","",INDEX(BookTotal,1665))</f>
        <v/>
      </c>
      <c r="J1670" s="0" t="str">
        <f aca="false">IF($I1670="","",IF(INDEX(BookQ1,1665)&gt;0,"Q1",IF(INDEX(BookQ2,1665)&gt;0,"Q2",IF(INDEX(BookQ3,1665)&gt;0,"Q3",IF(INDEX(BookQ4,1665)&gt;0,"Q4","")))))</f>
        <v/>
      </c>
      <c r="K1670" s="42" t="str">
        <f aca="false">IF(INDEX(BookTitle,1665)="","",INDEX(BookInYear,1665))</f>
        <v/>
      </c>
      <c r="L1670" s="19"/>
      <c r="M1670" s="39"/>
      <c r="N1670" s="19"/>
      <c r="O1670" s="19"/>
      <c r="P1670" s="43" t="str">
        <f aca="false">IF($E1670="","",IF($L1670="Decline",0,IF($L1670="Approve fewer",IF($M1670="","",$M1670),IF($L1670="","",$I1670))))</f>
        <v/>
      </c>
      <c r="Q1670" s="34" t="str">
        <f aca="false">IF($P1670="","",IF($N1670&lt;&gt;"",$N1670,$J1670))</f>
        <v/>
      </c>
      <c r="R1670" s="35" t="str">
        <f aca="false">IF(OR($P1670="",$Q1670=""),"",INDEX(BookRate,1665)*$P1670*(5-MATCH($Q1670,{"Q1";"Q2";"Q3";"Q4"},0))/4+INDEX(BookOneOff,1665)*$P1670)</f>
        <v/>
      </c>
      <c r="S1670" s="35" t="str">
        <f aca="false">IF($P1670="","",INDEX(BookRate,1665)*$P1670)</f>
        <v/>
      </c>
      <c r="T1670" s="35" t="str">
        <f aca="false">IF($R1670="","",$R1670-$K1670)</f>
        <v/>
      </c>
      <c r="U1670" s="35" t="str">
        <f aca="false">IF(N($P1670)&lt;=0,"",COUNTIF($P$6:$P1670,"&gt;0"))</f>
        <v/>
      </c>
    </row>
    <row r="1671" customFormat="false" ht="15" hidden="false" customHeight="false" outlineLevel="0" collapsed="false">
      <c r="A1671" s="40" t="str">
        <f aca="false">IF(INDEX(BookTitle,1666)="","",INDEX(BookGroup,1666))</f>
        <v/>
      </c>
      <c r="B1671" s="40" t="str">
        <f aca="false">IF(INDEX(BookTitle,1666)="","",INDEX(BookRef,1666))</f>
        <v/>
      </c>
      <c r="C1671" s="40" t="str">
        <f aca="false">IF(INDEX(BookTitle,1666)="","",INDEX(BookDivision,1666))</f>
        <v/>
      </c>
      <c r="D1671" s="40" t="str">
        <f aca="false">IF(INDEX(BookTitle,1666)="","",INDEX(BookUnit,1666))</f>
        <v/>
      </c>
      <c r="E1671" s="40" t="str">
        <f aca="false">IF(INDEX(BookTitle,1666)="","",INDEX(BookTitle,1666))</f>
        <v/>
      </c>
      <c r="F1671" s="40" t="str">
        <f aca="false">IF(INDEX(BookTitle,1666)="","",INDEX(BookLevel,1666))</f>
        <v/>
      </c>
      <c r="G1671" s="40" t="str">
        <f aca="false">IF(INDEX(BookTitle,1666)="","",INDEX(BookCategory,1666))</f>
        <v/>
      </c>
      <c r="H1671" s="40" t="str">
        <f aca="false">IF(INDEX(BookTitle,1666)="","",INDEX(BookRank,1666))</f>
        <v/>
      </c>
      <c r="I1671" s="41" t="str">
        <f aca="false">IF(INDEX(BookTitle,1666)="","",INDEX(BookTotal,1666))</f>
        <v/>
      </c>
      <c r="J1671" s="0" t="str">
        <f aca="false">IF($I1671="","",IF(INDEX(BookQ1,1666)&gt;0,"Q1",IF(INDEX(BookQ2,1666)&gt;0,"Q2",IF(INDEX(BookQ3,1666)&gt;0,"Q3",IF(INDEX(BookQ4,1666)&gt;0,"Q4","")))))</f>
        <v/>
      </c>
      <c r="K1671" s="42" t="str">
        <f aca="false">IF(INDEX(BookTitle,1666)="","",INDEX(BookInYear,1666))</f>
        <v/>
      </c>
      <c r="L1671" s="19"/>
      <c r="M1671" s="39"/>
      <c r="N1671" s="19"/>
      <c r="O1671" s="19"/>
      <c r="P1671" s="43" t="str">
        <f aca="false">IF($E1671="","",IF($L1671="Decline",0,IF($L1671="Approve fewer",IF($M1671="","",$M1671),IF($L1671="","",$I1671))))</f>
        <v/>
      </c>
      <c r="Q1671" s="34" t="str">
        <f aca="false">IF($P1671="","",IF($N1671&lt;&gt;"",$N1671,$J1671))</f>
        <v/>
      </c>
      <c r="R1671" s="35" t="str">
        <f aca="false">IF(OR($P1671="",$Q1671=""),"",INDEX(BookRate,1666)*$P1671*(5-MATCH($Q1671,{"Q1";"Q2";"Q3";"Q4"},0))/4+INDEX(BookOneOff,1666)*$P1671)</f>
        <v/>
      </c>
      <c r="S1671" s="35" t="str">
        <f aca="false">IF($P1671="","",INDEX(BookRate,1666)*$P1671)</f>
        <v/>
      </c>
      <c r="T1671" s="35" t="str">
        <f aca="false">IF($R1671="","",$R1671-$K1671)</f>
        <v/>
      </c>
      <c r="U1671" s="35" t="str">
        <f aca="false">IF(N($P1671)&lt;=0,"",COUNTIF($P$6:$P1671,"&gt;0"))</f>
        <v/>
      </c>
    </row>
    <row r="1672" customFormat="false" ht="15" hidden="false" customHeight="false" outlineLevel="0" collapsed="false">
      <c r="A1672" s="40" t="str">
        <f aca="false">IF(INDEX(BookTitle,1667)="","",INDEX(BookGroup,1667))</f>
        <v/>
      </c>
      <c r="B1672" s="40" t="str">
        <f aca="false">IF(INDEX(BookTitle,1667)="","",INDEX(BookRef,1667))</f>
        <v/>
      </c>
      <c r="C1672" s="40" t="str">
        <f aca="false">IF(INDEX(BookTitle,1667)="","",INDEX(BookDivision,1667))</f>
        <v/>
      </c>
      <c r="D1672" s="40" t="str">
        <f aca="false">IF(INDEX(BookTitle,1667)="","",INDEX(BookUnit,1667))</f>
        <v/>
      </c>
      <c r="E1672" s="40" t="str">
        <f aca="false">IF(INDEX(BookTitle,1667)="","",INDEX(BookTitle,1667))</f>
        <v/>
      </c>
      <c r="F1672" s="40" t="str">
        <f aca="false">IF(INDEX(BookTitle,1667)="","",INDEX(BookLevel,1667))</f>
        <v/>
      </c>
      <c r="G1672" s="40" t="str">
        <f aca="false">IF(INDEX(BookTitle,1667)="","",INDEX(BookCategory,1667))</f>
        <v/>
      </c>
      <c r="H1672" s="40" t="str">
        <f aca="false">IF(INDEX(BookTitle,1667)="","",INDEX(BookRank,1667))</f>
        <v/>
      </c>
      <c r="I1672" s="41" t="str">
        <f aca="false">IF(INDEX(BookTitle,1667)="","",INDEX(BookTotal,1667))</f>
        <v/>
      </c>
      <c r="J1672" s="0" t="str">
        <f aca="false">IF($I1672="","",IF(INDEX(BookQ1,1667)&gt;0,"Q1",IF(INDEX(BookQ2,1667)&gt;0,"Q2",IF(INDEX(BookQ3,1667)&gt;0,"Q3",IF(INDEX(BookQ4,1667)&gt;0,"Q4","")))))</f>
        <v/>
      </c>
      <c r="K1672" s="42" t="str">
        <f aca="false">IF(INDEX(BookTitle,1667)="","",INDEX(BookInYear,1667))</f>
        <v/>
      </c>
      <c r="L1672" s="19"/>
      <c r="M1672" s="39"/>
      <c r="N1672" s="19"/>
      <c r="O1672" s="19"/>
      <c r="P1672" s="43" t="str">
        <f aca="false">IF($E1672="","",IF($L1672="Decline",0,IF($L1672="Approve fewer",IF($M1672="","",$M1672),IF($L1672="","",$I1672))))</f>
        <v/>
      </c>
      <c r="Q1672" s="34" t="str">
        <f aca="false">IF($P1672="","",IF($N1672&lt;&gt;"",$N1672,$J1672))</f>
        <v/>
      </c>
      <c r="R1672" s="35" t="str">
        <f aca="false">IF(OR($P1672="",$Q1672=""),"",INDEX(BookRate,1667)*$P1672*(5-MATCH($Q1672,{"Q1";"Q2";"Q3";"Q4"},0))/4+INDEX(BookOneOff,1667)*$P1672)</f>
        <v/>
      </c>
      <c r="S1672" s="35" t="str">
        <f aca="false">IF($P1672="","",INDEX(BookRate,1667)*$P1672)</f>
        <v/>
      </c>
      <c r="T1672" s="35" t="str">
        <f aca="false">IF($R1672="","",$R1672-$K1672)</f>
        <v/>
      </c>
      <c r="U1672" s="35" t="str">
        <f aca="false">IF(N($P1672)&lt;=0,"",COUNTIF($P$6:$P1672,"&gt;0"))</f>
        <v/>
      </c>
    </row>
    <row r="1673" customFormat="false" ht="15" hidden="false" customHeight="false" outlineLevel="0" collapsed="false">
      <c r="A1673" s="40" t="str">
        <f aca="false">IF(INDEX(BookTitle,1668)="","",INDEX(BookGroup,1668))</f>
        <v/>
      </c>
      <c r="B1673" s="40" t="str">
        <f aca="false">IF(INDEX(BookTitle,1668)="","",INDEX(BookRef,1668))</f>
        <v/>
      </c>
      <c r="C1673" s="40" t="str">
        <f aca="false">IF(INDEX(BookTitle,1668)="","",INDEX(BookDivision,1668))</f>
        <v/>
      </c>
      <c r="D1673" s="40" t="str">
        <f aca="false">IF(INDEX(BookTitle,1668)="","",INDEX(BookUnit,1668))</f>
        <v/>
      </c>
      <c r="E1673" s="40" t="str">
        <f aca="false">IF(INDEX(BookTitle,1668)="","",INDEX(BookTitle,1668))</f>
        <v/>
      </c>
      <c r="F1673" s="40" t="str">
        <f aca="false">IF(INDEX(BookTitle,1668)="","",INDEX(BookLevel,1668))</f>
        <v/>
      </c>
      <c r="G1673" s="40" t="str">
        <f aca="false">IF(INDEX(BookTitle,1668)="","",INDEX(BookCategory,1668))</f>
        <v/>
      </c>
      <c r="H1673" s="40" t="str">
        <f aca="false">IF(INDEX(BookTitle,1668)="","",INDEX(BookRank,1668))</f>
        <v/>
      </c>
      <c r="I1673" s="41" t="str">
        <f aca="false">IF(INDEX(BookTitle,1668)="","",INDEX(BookTotal,1668))</f>
        <v/>
      </c>
      <c r="J1673" s="0" t="str">
        <f aca="false">IF($I1673="","",IF(INDEX(BookQ1,1668)&gt;0,"Q1",IF(INDEX(BookQ2,1668)&gt;0,"Q2",IF(INDEX(BookQ3,1668)&gt;0,"Q3",IF(INDEX(BookQ4,1668)&gt;0,"Q4","")))))</f>
        <v/>
      </c>
      <c r="K1673" s="42" t="str">
        <f aca="false">IF(INDEX(BookTitle,1668)="","",INDEX(BookInYear,1668))</f>
        <v/>
      </c>
      <c r="L1673" s="19"/>
      <c r="M1673" s="39"/>
      <c r="N1673" s="19"/>
      <c r="O1673" s="19"/>
      <c r="P1673" s="43" t="str">
        <f aca="false">IF($E1673="","",IF($L1673="Decline",0,IF($L1673="Approve fewer",IF($M1673="","",$M1673),IF($L1673="","",$I1673))))</f>
        <v/>
      </c>
      <c r="Q1673" s="34" t="str">
        <f aca="false">IF($P1673="","",IF($N1673&lt;&gt;"",$N1673,$J1673))</f>
        <v/>
      </c>
      <c r="R1673" s="35" t="str">
        <f aca="false">IF(OR($P1673="",$Q1673=""),"",INDEX(BookRate,1668)*$P1673*(5-MATCH($Q1673,{"Q1";"Q2";"Q3";"Q4"},0))/4+INDEX(BookOneOff,1668)*$P1673)</f>
        <v/>
      </c>
      <c r="S1673" s="35" t="str">
        <f aca="false">IF($P1673="","",INDEX(BookRate,1668)*$P1673)</f>
        <v/>
      </c>
      <c r="T1673" s="35" t="str">
        <f aca="false">IF($R1673="","",$R1673-$K1673)</f>
        <v/>
      </c>
      <c r="U1673" s="35" t="str">
        <f aca="false">IF(N($P1673)&lt;=0,"",COUNTIF($P$6:$P1673,"&gt;0"))</f>
        <v/>
      </c>
    </row>
    <row r="1674" customFormat="false" ht="15" hidden="false" customHeight="false" outlineLevel="0" collapsed="false">
      <c r="A1674" s="40" t="str">
        <f aca="false">IF(INDEX(BookTitle,1669)="","",INDEX(BookGroup,1669))</f>
        <v/>
      </c>
      <c r="B1674" s="40" t="str">
        <f aca="false">IF(INDEX(BookTitle,1669)="","",INDEX(BookRef,1669))</f>
        <v/>
      </c>
      <c r="C1674" s="40" t="str">
        <f aca="false">IF(INDEX(BookTitle,1669)="","",INDEX(BookDivision,1669))</f>
        <v/>
      </c>
      <c r="D1674" s="40" t="str">
        <f aca="false">IF(INDEX(BookTitle,1669)="","",INDEX(BookUnit,1669))</f>
        <v/>
      </c>
      <c r="E1674" s="40" t="str">
        <f aca="false">IF(INDEX(BookTitle,1669)="","",INDEX(BookTitle,1669))</f>
        <v/>
      </c>
      <c r="F1674" s="40" t="str">
        <f aca="false">IF(INDEX(BookTitle,1669)="","",INDEX(BookLevel,1669))</f>
        <v/>
      </c>
      <c r="G1674" s="40" t="str">
        <f aca="false">IF(INDEX(BookTitle,1669)="","",INDEX(BookCategory,1669))</f>
        <v/>
      </c>
      <c r="H1674" s="40" t="str">
        <f aca="false">IF(INDEX(BookTitle,1669)="","",INDEX(BookRank,1669))</f>
        <v/>
      </c>
      <c r="I1674" s="41" t="str">
        <f aca="false">IF(INDEX(BookTitle,1669)="","",INDEX(BookTotal,1669))</f>
        <v/>
      </c>
      <c r="J1674" s="0" t="str">
        <f aca="false">IF($I1674="","",IF(INDEX(BookQ1,1669)&gt;0,"Q1",IF(INDEX(BookQ2,1669)&gt;0,"Q2",IF(INDEX(BookQ3,1669)&gt;0,"Q3",IF(INDEX(BookQ4,1669)&gt;0,"Q4","")))))</f>
        <v/>
      </c>
      <c r="K1674" s="42" t="str">
        <f aca="false">IF(INDEX(BookTitle,1669)="","",INDEX(BookInYear,1669))</f>
        <v/>
      </c>
      <c r="L1674" s="19"/>
      <c r="M1674" s="39"/>
      <c r="N1674" s="19"/>
      <c r="O1674" s="19"/>
      <c r="P1674" s="43" t="str">
        <f aca="false">IF($E1674="","",IF($L1674="Decline",0,IF($L1674="Approve fewer",IF($M1674="","",$M1674),IF($L1674="","",$I1674))))</f>
        <v/>
      </c>
      <c r="Q1674" s="34" t="str">
        <f aca="false">IF($P1674="","",IF($N1674&lt;&gt;"",$N1674,$J1674))</f>
        <v/>
      </c>
      <c r="R1674" s="35" t="str">
        <f aca="false">IF(OR($P1674="",$Q1674=""),"",INDEX(BookRate,1669)*$P1674*(5-MATCH($Q1674,{"Q1";"Q2";"Q3";"Q4"},0))/4+INDEX(BookOneOff,1669)*$P1674)</f>
        <v/>
      </c>
      <c r="S1674" s="35" t="str">
        <f aca="false">IF($P1674="","",INDEX(BookRate,1669)*$P1674)</f>
        <v/>
      </c>
      <c r="T1674" s="35" t="str">
        <f aca="false">IF($R1674="","",$R1674-$K1674)</f>
        <v/>
      </c>
      <c r="U1674" s="35" t="str">
        <f aca="false">IF(N($P1674)&lt;=0,"",COUNTIF($P$6:$P1674,"&gt;0"))</f>
        <v/>
      </c>
    </row>
    <row r="1675" customFormat="false" ht="15" hidden="false" customHeight="false" outlineLevel="0" collapsed="false">
      <c r="A1675" s="40" t="str">
        <f aca="false">IF(INDEX(BookTitle,1670)="","",INDEX(BookGroup,1670))</f>
        <v/>
      </c>
      <c r="B1675" s="40" t="str">
        <f aca="false">IF(INDEX(BookTitle,1670)="","",INDEX(BookRef,1670))</f>
        <v/>
      </c>
      <c r="C1675" s="40" t="str">
        <f aca="false">IF(INDEX(BookTitle,1670)="","",INDEX(BookDivision,1670))</f>
        <v/>
      </c>
      <c r="D1675" s="40" t="str">
        <f aca="false">IF(INDEX(BookTitle,1670)="","",INDEX(BookUnit,1670))</f>
        <v/>
      </c>
      <c r="E1675" s="40" t="str">
        <f aca="false">IF(INDEX(BookTitle,1670)="","",INDEX(BookTitle,1670))</f>
        <v/>
      </c>
      <c r="F1675" s="40" t="str">
        <f aca="false">IF(INDEX(BookTitle,1670)="","",INDEX(BookLevel,1670))</f>
        <v/>
      </c>
      <c r="G1675" s="40" t="str">
        <f aca="false">IF(INDEX(BookTitle,1670)="","",INDEX(BookCategory,1670))</f>
        <v/>
      </c>
      <c r="H1675" s="40" t="str">
        <f aca="false">IF(INDEX(BookTitle,1670)="","",INDEX(BookRank,1670))</f>
        <v/>
      </c>
      <c r="I1675" s="41" t="str">
        <f aca="false">IF(INDEX(BookTitle,1670)="","",INDEX(BookTotal,1670))</f>
        <v/>
      </c>
      <c r="J1675" s="0" t="str">
        <f aca="false">IF($I1675="","",IF(INDEX(BookQ1,1670)&gt;0,"Q1",IF(INDEX(BookQ2,1670)&gt;0,"Q2",IF(INDEX(BookQ3,1670)&gt;0,"Q3",IF(INDEX(BookQ4,1670)&gt;0,"Q4","")))))</f>
        <v/>
      </c>
      <c r="K1675" s="42" t="str">
        <f aca="false">IF(INDEX(BookTitle,1670)="","",INDEX(BookInYear,1670))</f>
        <v/>
      </c>
      <c r="L1675" s="19"/>
      <c r="M1675" s="39"/>
      <c r="N1675" s="19"/>
      <c r="O1675" s="19"/>
      <c r="P1675" s="43" t="str">
        <f aca="false">IF($E1675="","",IF($L1675="Decline",0,IF($L1675="Approve fewer",IF($M1675="","",$M1675),IF($L1675="","",$I1675))))</f>
        <v/>
      </c>
      <c r="Q1675" s="34" t="str">
        <f aca="false">IF($P1675="","",IF($N1675&lt;&gt;"",$N1675,$J1675))</f>
        <v/>
      </c>
      <c r="R1675" s="35" t="str">
        <f aca="false">IF(OR($P1675="",$Q1675=""),"",INDEX(BookRate,1670)*$P1675*(5-MATCH($Q1675,{"Q1";"Q2";"Q3";"Q4"},0))/4+INDEX(BookOneOff,1670)*$P1675)</f>
        <v/>
      </c>
      <c r="S1675" s="35" t="str">
        <f aca="false">IF($P1675="","",INDEX(BookRate,1670)*$P1675)</f>
        <v/>
      </c>
      <c r="T1675" s="35" t="str">
        <f aca="false">IF($R1675="","",$R1675-$K1675)</f>
        <v/>
      </c>
      <c r="U1675" s="35" t="str">
        <f aca="false">IF(N($P1675)&lt;=0,"",COUNTIF($P$6:$P1675,"&gt;0"))</f>
        <v/>
      </c>
    </row>
    <row r="1676" customFormat="false" ht="15" hidden="false" customHeight="false" outlineLevel="0" collapsed="false">
      <c r="A1676" s="40" t="str">
        <f aca="false">IF(INDEX(BookTitle,1671)="","",INDEX(BookGroup,1671))</f>
        <v/>
      </c>
      <c r="B1676" s="40" t="str">
        <f aca="false">IF(INDEX(BookTitle,1671)="","",INDEX(BookRef,1671))</f>
        <v/>
      </c>
      <c r="C1676" s="40" t="str">
        <f aca="false">IF(INDEX(BookTitle,1671)="","",INDEX(BookDivision,1671))</f>
        <v/>
      </c>
      <c r="D1676" s="40" t="str">
        <f aca="false">IF(INDEX(BookTitle,1671)="","",INDEX(BookUnit,1671))</f>
        <v/>
      </c>
      <c r="E1676" s="40" t="str">
        <f aca="false">IF(INDEX(BookTitle,1671)="","",INDEX(BookTitle,1671))</f>
        <v/>
      </c>
      <c r="F1676" s="40" t="str">
        <f aca="false">IF(INDEX(BookTitle,1671)="","",INDEX(BookLevel,1671))</f>
        <v/>
      </c>
      <c r="G1676" s="40" t="str">
        <f aca="false">IF(INDEX(BookTitle,1671)="","",INDEX(BookCategory,1671))</f>
        <v/>
      </c>
      <c r="H1676" s="40" t="str">
        <f aca="false">IF(INDEX(BookTitle,1671)="","",INDEX(BookRank,1671))</f>
        <v/>
      </c>
      <c r="I1676" s="41" t="str">
        <f aca="false">IF(INDEX(BookTitle,1671)="","",INDEX(BookTotal,1671))</f>
        <v/>
      </c>
      <c r="J1676" s="0" t="str">
        <f aca="false">IF($I1676="","",IF(INDEX(BookQ1,1671)&gt;0,"Q1",IF(INDEX(BookQ2,1671)&gt;0,"Q2",IF(INDEX(BookQ3,1671)&gt;0,"Q3",IF(INDEX(BookQ4,1671)&gt;0,"Q4","")))))</f>
        <v/>
      </c>
      <c r="K1676" s="42" t="str">
        <f aca="false">IF(INDEX(BookTitle,1671)="","",INDEX(BookInYear,1671))</f>
        <v/>
      </c>
      <c r="L1676" s="19"/>
      <c r="M1676" s="39"/>
      <c r="N1676" s="19"/>
      <c r="O1676" s="19"/>
      <c r="P1676" s="43" t="str">
        <f aca="false">IF($E1676="","",IF($L1676="Decline",0,IF($L1676="Approve fewer",IF($M1676="","",$M1676),IF($L1676="","",$I1676))))</f>
        <v/>
      </c>
      <c r="Q1676" s="34" t="str">
        <f aca="false">IF($P1676="","",IF($N1676&lt;&gt;"",$N1676,$J1676))</f>
        <v/>
      </c>
      <c r="R1676" s="35" t="str">
        <f aca="false">IF(OR($P1676="",$Q1676=""),"",INDEX(BookRate,1671)*$P1676*(5-MATCH($Q1676,{"Q1";"Q2";"Q3";"Q4"},0))/4+INDEX(BookOneOff,1671)*$P1676)</f>
        <v/>
      </c>
      <c r="S1676" s="35" t="str">
        <f aca="false">IF($P1676="","",INDEX(BookRate,1671)*$P1676)</f>
        <v/>
      </c>
      <c r="T1676" s="35" t="str">
        <f aca="false">IF($R1676="","",$R1676-$K1676)</f>
        <v/>
      </c>
      <c r="U1676" s="35" t="str">
        <f aca="false">IF(N($P1676)&lt;=0,"",COUNTIF($P$6:$P1676,"&gt;0"))</f>
        <v/>
      </c>
    </row>
    <row r="1677" customFormat="false" ht="15" hidden="false" customHeight="false" outlineLevel="0" collapsed="false">
      <c r="A1677" s="40" t="str">
        <f aca="false">IF(INDEX(BookTitle,1672)="","",INDEX(BookGroup,1672))</f>
        <v/>
      </c>
      <c r="B1677" s="40" t="str">
        <f aca="false">IF(INDEX(BookTitle,1672)="","",INDEX(BookRef,1672))</f>
        <v/>
      </c>
      <c r="C1677" s="40" t="str">
        <f aca="false">IF(INDEX(BookTitle,1672)="","",INDEX(BookDivision,1672))</f>
        <v/>
      </c>
      <c r="D1677" s="40" t="str">
        <f aca="false">IF(INDEX(BookTitle,1672)="","",INDEX(BookUnit,1672))</f>
        <v/>
      </c>
      <c r="E1677" s="40" t="str">
        <f aca="false">IF(INDEX(BookTitle,1672)="","",INDEX(BookTitle,1672))</f>
        <v/>
      </c>
      <c r="F1677" s="40" t="str">
        <f aca="false">IF(INDEX(BookTitle,1672)="","",INDEX(BookLevel,1672))</f>
        <v/>
      </c>
      <c r="G1677" s="40" t="str">
        <f aca="false">IF(INDEX(BookTitle,1672)="","",INDEX(BookCategory,1672))</f>
        <v/>
      </c>
      <c r="H1677" s="40" t="str">
        <f aca="false">IF(INDEX(BookTitle,1672)="","",INDEX(BookRank,1672))</f>
        <v/>
      </c>
      <c r="I1677" s="41" t="str">
        <f aca="false">IF(INDEX(BookTitle,1672)="","",INDEX(BookTotal,1672))</f>
        <v/>
      </c>
      <c r="J1677" s="0" t="str">
        <f aca="false">IF($I1677="","",IF(INDEX(BookQ1,1672)&gt;0,"Q1",IF(INDEX(BookQ2,1672)&gt;0,"Q2",IF(INDEX(BookQ3,1672)&gt;0,"Q3",IF(INDEX(BookQ4,1672)&gt;0,"Q4","")))))</f>
        <v/>
      </c>
      <c r="K1677" s="42" t="str">
        <f aca="false">IF(INDEX(BookTitle,1672)="","",INDEX(BookInYear,1672))</f>
        <v/>
      </c>
      <c r="L1677" s="19"/>
      <c r="M1677" s="39"/>
      <c r="N1677" s="19"/>
      <c r="O1677" s="19"/>
      <c r="P1677" s="43" t="str">
        <f aca="false">IF($E1677="","",IF($L1677="Decline",0,IF($L1677="Approve fewer",IF($M1677="","",$M1677),IF($L1677="","",$I1677))))</f>
        <v/>
      </c>
      <c r="Q1677" s="34" t="str">
        <f aca="false">IF($P1677="","",IF($N1677&lt;&gt;"",$N1677,$J1677))</f>
        <v/>
      </c>
      <c r="R1677" s="35" t="str">
        <f aca="false">IF(OR($P1677="",$Q1677=""),"",INDEX(BookRate,1672)*$P1677*(5-MATCH($Q1677,{"Q1";"Q2";"Q3";"Q4"},0))/4+INDEX(BookOneOff,1672)*$P1677)</f>
        <v/>
      </c>
      <c r="S1677" s="35" t="str">
        <f aca="false">IF($P1677="","",INDEX(BookRate,1672)*$P1677)</f>
        <v/>
      </c>
      <c r="T1677" s="35" t="str">
        <f aca="false">IF($R1677="","",$R1677-$K1677)</f>
        <v/>
      </c>
      <c r="U1677" s="35" t="str">
        <f aca="false">IF(N($P1677)&lt;=0,"",COUNTIF($P$6:$P1677,"&gt;0"))</f>
        <v/>
      </c>
    </row>
    <row r="1678" customFormat="false" ht="15" hidden="false" customHeight="false" outlineLevel="0" collapsed="false">
      <c r="A1678" s="40" t="str">
        <f aca="false">IF(INDEX(BookTitle,1673)="","",INDEX(BookGroup,1673))</f>
        <v/>
      </c>
      <c r="B1678" s="40" t="str">
        <f aca="false">IF(INDEX(BookTitle,1673)="","",INDEX(BookRef,1673))</f>
        <v/>
      </c>
      <c r="C1678" s="40" t="str">
        <f aca="false">IF(INDEX(BookTitle,1673)="","",INDEX(BookDivision,1673))</f>
        <v/>
      </c>
      <c r="D1678" s="40" t="str">
        <f aca="false">IF(INDEX(BookTitle,1673)="","",INDEX(BookUnit,1673))</f>
        <v/>
      </c>
      <c r="E1678" s="40" t="str">
        <f aca="false">IF(INDEX(BookTitle,1673)="","",INDEX(BookTitle,1673))</f>
        <v/>
      </c>
      <c r="F1678" s="40" t="str">
        <f aca="false">IF(INDEX(BookTitle,1673)="","",INDEX(BookLevel,1673))</f>
        <v/>
      </c>
      <c r="G1678" s="40" t="str">
        <f aca="false">IF(INDEX(BookTitle,1673)="","",INDEX(BookCategory,1673))</f>
        <v/>
      </c>
      <c r="H1678" s="40" t="str">
        <f aca="false">IF(INDEX(BookTitle,1673)="","",INDEX(BookRank,1673))</f>
        <v/>
      </c>
      <c r="I1678" s="41" t="str">
        <f aca="false">IF(INDEX(BookTitle,1673)="","",INDEX(BookTotal,1673))</f>
        <v/>
      </c>
      <c r="J1678" s="0" t="str">
        <f aca="false">IF($I1678="","",IF(INDEX(BookQ1,1673)&gt;0,"Q1",IF(INDEX(BookQ2,1673)&gt;0,"Q2",IF(INDEX(BookQ3,1673)&gt;0,"Q3",IF(INDEX(BookQ4,1673)&gt;0,"Q4","")))))</f>
        <v/>
      </c>
      <c r="K1678" s="42" t="str">
        <f aca="false">IF(INDEX(BookTitle,1673)="","",INDEX(BookInYear,1673))</f>
        <v/>
      </c>
      <c r="L1678" s="19"/>
      <c r="M1678" s="39"/>
      <c r="N1678" s="19"/>
      <c r="O1678" s="19"/>
      <c r="P1678" s="43" t="str">
        <f aca="false">IF($E1678="","",IF($L1678="Decline",0,IF($L1678="Approve fewer",IF($M1678="","",$M1678),IF($L1678="","",$I1678))))</f>
        <v/>
      </c>
      <c r="Q1678" s="34" t="str">
        <f aca="false">IF($P1678="","",IF($N1678&lt;&gt;"",$N1678,$J1678))</f>
        <v/>
      </c>
      <c r="R1678" s="35" t="str">
        <f aca="false">IF(OR($P1678="",$Q1678=""),"",INDEX(BookRate,1673)*$P1678*(5-MATCH($Q1678,{"Q1";"Q2";"Q3";"Q4"},0))/4+INDEX(BookOneOff,1673)*$P1678)</f>
        <v/>
      </c>
      <c r="S1678" s="35" t="str">
        <f aca="false">IF($P1678="","",INDEX(BookRate,1673)*$P1678)</f>
        <v/>
      </c>
      <c r="T1678" s="35" t="str">
        <f aca="false">IF($R1678="","",$R1678-$K1678)</f>
        <v/>
      </c>
      <c r="U1678" s="35" t="str">
        <f aca="false">IF(N($P1678)&lt;=0,"",COUNTIF($P$6:$P1678,"&gt;0"))</f>
        <v/>
      </c>
    </row>
    <row r="1679" customFormat="false" ht="15" hidden="false" customHeight="false" outlineLevel="0" collapsed="false">
      <c r="A1679" s="40" t="str">
        <f aca="false">IF(INDEX(BookTitle,1674)="","",INDEX(BookGroup,1674))</f>
        <v/>
      </c>
      <c r="B1679" s="40" t="str">
        <f aca="false">IF(INDEX(BookTitle,1674)="","",INDEX(BookRef,1674))</f>
        <v/>
      </c>
      <c r="C1679" s="40" t="str">
        <f aca="false">IF(INDEX(BookTitle,1674)="","",INDEX(BookDivision,1674))</f>
        <v/>
      </c>
      <c r="D1679" s="40" t="str">
        <f aca="false">IF(INDEX(BookTitle,1674)="","",INDEX(BookUnit,1674))</f>
        <v/>
      </c>
      <c r="E1679" s="40" t="str">
        <f aca="false">IF(INDEX(BookTitle,1674)="","",INDEX(BookTitle,1674))</f>
        <v/>
      </c>
      <c r="F1679" s="40" t="str">
        <f aca="false">IF(INDEX(BookTitle,1674)="","",INDEX(BookLevel,1674))</f>
        <v/>
      </c>
      <c r="G1679" s="40" t="str">
        <f aca="false">IF(INDEX(BookTitle,1674)="","",INDEX(BookCategory,1674))</f>
        <v/>
      </c>
      <c r="H1679" s="40" t="str">
        <f aca="false">IF(INDEX(BookTitle,1674)="","",INDEX(BookRank,1674))</f>
        <v/>
      </c>
      <c r="I1679" s="41" t="str">
        <f aca="false">IF(INDEX(BookTitle,1674)="","",INDEX(BookTotal,1674))</f>
        <v/>
      </c>
      <c r="J1679" s="0" t="str">
        <f aca="false">IF($I1679="","",IF(INDEX(BookQ1,1674)&gt;0,"Q1",IF(INDEX(BookQ2,1674)&gt;0,"Q2",IF(INDEX(BookQ3,1674)&gt;0,"Q3",IF(INDEX(BookQ4,1674)&gt;0,"Q4","")))))</f>
        <v/>
      </c>
      <c r="K1679" s="42" t="str">
        <f aca="false">IF(INDEX(BookTitle,1674)="","",INDEX(BookInYear,1674))</f>
        <v/>
      </c>
      <c r="L1679" s="19"/>
      <c r="M1679" s="39"/>
      <c r="N1679" s="19"/>
      <c r="O1679" s="19"/>
      <c r="P1679" s="43" t="str">
        <f aca="false">IF($E1679="","",IF($L1679="Decline",0,IF($L1679="Approve fewer",IF($M1679="","",$M1679),IF($L1679="","",$I1679))))</f>
        <v/>
      </c>
      <c r="Q1679" s="34" t="str">
        <f aca="false">IF($P1679="","",IF($N1679&lt;&gt;"",$N1679,$J1679))</f>
        <v/>
      </c>
      <c r="R1679" s="35" t="str">
        <f aca="false">IF(OR($P1679="",$Q1679=""),"",INDEX(BookRate,1674)*$P1679*(5-MATCH($Q1679,{"Q1";"Q2";"Q3";"Q4"},0))/4+INDEX(BookOneOff,1674)*$P1679)</f>
        <v/>
      </c>
      <c r="S1679" s="35" t="str">
        <f aca="false">IF($P1679="","",INDEX(BookRate,1674)*$P1679)</f>
        <v/>
      </c>
      <c r="T1679" s="35" t="str">
        <f aca="false">IF($R1679="","",$R1679-$K1679)</f>
        <v/>
      </c>
      <c r="U1679" s="35" t="str">
        <f aca="false">IF(N($P1679)&lt;=0,"",COUNTIF($P$6:$P1679,"&gt;0"))</f>
        <v/>
      </c>
    </row>
    <row r="1680" customFormat="false" ht="15" hidden="false" customHeight="false" outlineLevel="0" collapsed="false">
      <c r="A1680" s="40" t="str">
        <f aca="false">IF(INDEX(BookTitle,1675)="","",INDEX(BookGroup,1675))</f>
        <v/>
      </c>
      <c r="B1680" s="40" t="str">
        <f aca="false">IF(INDEX(BookTitle,1675)="","",INDEX(BookRef,1675))</f>
        <v/>
      </c>
      <c r="C1680" s="40" t="str">
        <f aca="false">IF(INDEX(BookTitle,1675)="","",INDEX(BookDivision,1675))</f>
        <v/>
      </c>
      <c r="D1680" s="40" t="str">
        <f aca="false">IF(INDEX(BookTitle,1675)="","",INDEX(BookUnit,1675))</f>
        <v/>
      </c>
      <c r="E1680" s="40" t="str">
        <f aca="false">IF(INDEX(BookTitle,1675)="","",INDEX(BookTitle,1675))</f>
        <v/>
      </c>
      <c r="F1680" s="40" t="str">
        <f aca="false">IF(INDEX(BookTitle,1675)="","",INDEX(BookLevel,1675))</f>
        <v/>
      </c>
      <c r="G1680" s="40" t="str">
        <f aca="false">IF(INDEX(BookTitle,1675)="","",INDEX(BookCategory,1675))</f>
        <v/>
      </c>
      <c r="H1680" s="40" t="str">
        <f aca="false">IF(INDEX(BookTitle,1675)="","",INDEX(BookRank,1675))</f>
        <v/>
      </c>
      <c r="I1680" s="41" t="str">
        <f aca="false">IF(INDEX(BookTitle,1675)="","",INDEX(BookTotal,1675))</f>
        <v/>
      </c>
      <c r="J1680" s="0" t="str">
        <f aca="false">IF($I1680="","",IF(INDEX(BookQ1,1675)&gt;0,"Q1",IF(INDEX(BookQ2,1675)&gt;0,"Q2",IF(INDEX(BookQ3,1675)&gt;0,"Q3",IF(INDEX(BookQ4,1675)&gt;0,"Q4","")))))</f>
        <v/>
      </c>
      <c r="K1680" s="42" t="str">
        <f aca="false">IF(INDEX(BookTitle,1675)="","",INDEX(BookInYear,1675))</f>
        <v/>
      </c>
      <c r="L1680" s="19"/>
      <c r="M1680" s="39"/>
      <c r="N1680" s="19"/>
      <c r="O1680" s="19"/>
      <c r="P1680" s="43" t="str">
        <f aca="false">IF($E1680="","",IF($L1680="Decline",0,IF($L1680="Approve fewer",IF($M1680="","",$M1680),IF($L1680="","",$I1680))))</f>
        <v/>
      </c>
      <c r="Q1680" s="34" t="str">
        <f aca="false">IF($P1680="","",IF($N1680&lt;&gt;"",$N1680,$J1680))</f>
        <v/>
      </c>
      <c r="R1680" s="35" t="str">
        <f aca="false">IF(OR($P1680="",$Q1680=""),"",INDEX(BookRate,1675)*$P1680*(5-MATCH($Q1680,{"Q1";"Q2";"Q3";"Q4"},0))/4+INDEX(BookOneOff,1675)*$P1680)</f>
        <v/>
      </c>
      <c r="S1680" s="35" t="str">
        <f aca="false">IF($P1680="","",INDEX(BookRate,1675)*$P1680)</f>
        <v/>
      </c>
      <c r="T1680" s="35" t="str">
        <f aca="false">IF($R1680="","",$R1680-$K1680)</f>
        <v/>
      </c>
      <c r="U1680" s="35" t="str">
        <f aca="false">IF(N($P1680)&lt;=0,"",COUNTIF($P$6:$P1680,"&gt;0"))</f>
        <v/>
      </c>
    </row>
    <row r="1681" customFormat="false" ht="15" hidden="false" customHeight="false" outlineLevel="0" collapsed="false">
      <c r="A1681" s="40" t="str">
        <f aca="false">IF(INDEX(BookTitle,1676)="","",INDEX(BookGroup,1676))</f>
        <v/>
      </c>
      <c r="B1681" s="40" t="str">
        <f aca="false">IF(INDEX(BookTitle,1676)="","",INDEX(BookRef,1676))</f>
        <v/>
      </c>
      <c r="C1681" s="40" t="str">
        <f aca="false">IF(INDEX(BookTitle,1676)="","",INDEX(BookDivision,1676))</f>
        <v/>
      </c>
      <c r="D1681" s="40" t="str">
        <f aca="false">IF(INDEX(BookTitle,1676)="","",INDEX(BookUnit,1676))</f>
        <v/>
      </c>
      <c r="E1681" s="40" t="str">
        <f aca="false">IF(INDEX(BookTitle,1676)="","",INDEX(BookTitle,1676))</f>
        <v/>
      </c>
      <c r="F1681" s="40" t="str">
        <f aca="false">IF(INDEX(BookTitle,1676)="","",INDEX(BookLevel,1676))</f>
        <v/>
      </c>
      <c r="G1681" s="40" t="str">
        <f aca="false">IF(INDEX(BookTitle,1676)="","",INDEX(BookCategory,1676))</f>
        <v/>
      </c>
      <c r="H1681" s="40" t="str">
        <f aca="false">IF(INDEX(BookTitle,1676)="","",INDEX(BookRank,1676))</f>
        <v/>
      </c>
      <c r="I1681" s="41" t="str">
        <f aca="false">IF(INDEX(BookTitle,1676)="","",INDEX(BookTotal,1676))</f>
        <v/>
      </c>
      <c r="J1681" s="0" t="str">
        <f aca="false">IF($I1681="","",IF(INDEX(BookQ1,1676)&gt;0,"Q1",IF(INDEX(BookQ2,1676)&gt;0,"Q2",IF(INDEX(BookQ3,1676)&gt;0,"Q3",IF(INDEX(BookQ4,1676)&gt;0,"Q4","")))))</f>
        <v/>
      </c>
      <c r="K1681" s="42" t="str">
        <f aca="false">IF(INDEX(BookTitle,1676)="","",INDEX(BookInYear,1676))</f>
        <v/>
      </c>
      <c r="L1681" s="19"/>
      <c r="M1681" s="39"/>
      <c r="N1681" s="19"/>
      <c r="O1681" s="19"/>
      <c r="P1681" s="43" t="str">
        <f aca="false">IF($E1681="","",IF($L1681="Decline",0,IF($L1681="Approve fewer",IF($M1681="","",$M1681),IF($L1681="","",$I1681))))</f>
        <v/>
      </c>
      <c r="Q1681" s="34" t="str">
        <f aca="false">IF($P1681="","",IF($N1681&lt;&gt;"",$N1681,$J1681))</f>
        <v/>
      </c>
      <c r="R1681" s="35" t="str">
        <f aca="false">IF(OR($P1681="",$Q1681=""),"",INDEX(BookRate,1676)*$P1681*(5-MATCH($Q1681,{"Q1";"Q2";"Q3";"Q4"},0))/4+INDEX(BookOneOff,1676)*$P1681)</f>
        <v/>
      </c>
      <c r="S1681" s="35" t="str">
        <f aca="false">IF($P1681="","",INDEX(BookRate,1676)*$P1681)</f>
        <v/>
      </c>
      <c r="T1681" s="35" t="str">
        <f aca="false">IF($R1681="","",$R1681-$K1681)</f>
        <v/>
      </c>
      <c r="U1681" s="35" t="str">
        <f aca="false">IF(N($P1681)&lt;=0,"",COUNTIF($P$6:$P1681,"&gt;0"))</f>
        <v/>
      </c>
    </row>
    <row r="1682" customFormat="false" ht="15" hidden="false" customHeight="false" outlineLevel="0" collapsed="false">
      <c r="A1682" s="40" t="str">
        <f aca="false">IF(INDEX(BookTitle,1677)="","",INDEX(BookGroup,1677))</f>
        <v/>
      </c>
      <c r="B1682" s="40" t="str">
        <f aca="false">IF(INDEX(BookTitle,1677)="","",INDEX(BookRef,1677))</f>
        <v/>
      </c>
      <c r="C1682" s="40" t="str">
        <f aca="false">IF(INDEX(BookTitle,1677)="","",INDEX(BookDivision,1677))</f>
        <v/>
      </c>
      <c r="D1682" s="40" t="str">
        <f aca="false">IF(INDEX(BookTitle,1677)="","",INDEX(BookUnit,1677))</f>
        <v/>
      </c>
      <c r="E1682" s="40" t="str">
        <f aca="false">IF(INDEX(BookTitle,1677)="","",INDEX(BookTitle,1677))</f>
        <v/>
      </c>
      <c r="F1682" s="40" t="str">
        <f aca="false">IF(INDEX(BookTitle,1677)="","",INDEX(BookLevel,1677))</f>
        <v/>
      </c>
      <c r="G1682" s="40" t="str">
        <f aca="false">IF(INDEX(BookTitle,1677)="","",INDEX(BookCategory,1677))</f>
        <v/>
      </c>
      <c r="H1682" s="40" t="str">
        <f aca="false">IF(INDEX(BookTitle,1677)="","",INDEX(BookRank,1677))</f>
        <v/>
      </c>
      <c r="I1682" s="41" t="str">
        <f aca="false">IF(INDEX(BookTitle,1677)="","",INDEX(BookTotal,1677))</f>
        <v/>
      </c>
      <c r="J1682" s="0" t="str">
        <f aca="false">IF($I1682="","",IF(INDEX(BookQ1,1677)&gt;0,"Q1",IF(INDEX(BookQ2,1677)&gt;0,"Q2",IF(INDEX(BookQ3,1677)&gt;0,"Q3",IF(INDEX(BookQ4,1677)&gt;0,"Q4","")))))</f>
        <v/>
      </c>
      <c r="K1682" s="42" t="str">
        <f aca="false">IF(INDEX(BookTitle,1677)="","",INDEX(BookInYear,1677))</f>
        <v/>
      </c>
      <c r="L1682" s="19"/>
      <c r="M1682" s="39"/>
      <c r="N1682" s="19"/>
      <c r="O1682" s="19"/>
      <c r="P1682" s="43" t="str">
        <f aca="false">IF($E1682="","",IF($L1682="Decline",0,IF($L1682="Approve fewer",IF($M1682="","",$M1682),IF($L1682="","",$I1682))))</f>
        <v/>
      </c>
      <c r="Q1682" s="34" t="str">
        <f aca="false">IF($P1682="","",IF($N1682&lt;&gt;"",$N1682,$J1682))</f>
        <v/>
      </c>
      <c r="R1682" s="35" t="str">
        <f aca="false">IF(OR($P1682="",$Q1682=""),"",INDEX(BookRate,1677)*$P1682*(5-MATCH($Q1682,{"Q1";"Q2";"Q3";"Q4"},0))/4+INDEX(BookOneOff,1677)*$P1682)</f>
        <v/>
      </c>
      <c r="S1682" s="35" t="str">
        <f aca="false">IF($P1682="","",INDEX(BookRate,1677)*$P1682)</f>
        <v/>
      </c>
      <c r="T1682" s="35" t="str">
        <f aca="false">IF($R1682="","",$R1682-$K1682)</f>
        <v/>
      </c>
      <c r="U1682" s="35" t="str">
        <f aca="false">IF(N($P1682)&lt;=0,"",COUNTIF($P$6:$P1682,"&gt;0"))</f>
        <v/>
      </c>
    </row>
    <row r="1683" customFormat="false" ht="15" hidden="false" customHeight="false" outlineLevel="0" collapsed="false">
      <c r="A1683" s="40" t="str">
        <f aca="false">IF(INDEX(BookTitle,1678)="","",INDEX(BookGroup,1678))</f>
        <v/>
      </c>
      <c r="B1683" s="40" t="str">
        <f aca="false">IF(INDEX(BookTitle,1678)="","",INDEX(BookRef,1678))</f>
        <v/>
      </c>
      <c r="C1683" s="40" t="str">
        <f aca="false">IF(INDEX(BookTitle,1678)="","",INDEX(BookDivision,1678))</f>
        <v/>
      </c>
      <c r="D1683" s="40" t="str">
        <f aca="false">IF(INDEX(BookTitle,1678)="","",INDEX(BookUnit,1678))</f>
        <v/>
      </c>
      <c r="E1683" s="40" t="str">
        <f aca="false">IF(INDEX(BookTitle,1678)="","",INDEX(BookTitle,1678))</f>
        <v/>
      </c>
      <c r="F1683" s="40" t="str">
        <f aca="false">IF(INDEX(BookTitle,1678)="","",INDEX(BookLevel,1678))</f>
        <v/>
      </c>
      <c r="G1683" s="40" t="str">
        <f aca="false">IF(INDEX(BookTitle,1678)="","",INDEX(BookCategory,1678))</f>
        <v/>
      </c>
      <c r="H1683" s="40" t="str">
        <f aca="false">IF(INDEX(BookTitle,1678)="","",INDEX(BookRank,1678))</f>
        <v/>
      </c>
      <c r="I1683" s="41" t="str">
        <f aca="false">IF(INDEX(BookTitle,1678)="","",INDEX(BookTotal,1678))</f>
        <v/>
      </c>
      <c r="J1683" s="0" t="str">
        <f aca="false">IF($I1683="","",IF(INDEX(BookQ1,1678)&gt;0,"Q1",IF(INDEX(BookQ2,1678)&gt;0,"Q2",IF(INDEX(BookQ3,1678)&gt;0,"Q3",IF(INDEX(BookQ4,1678)&gt;0,"Q4","")))))</f>
        <v/>
      </c>
      <c r="K1683" s="42" t="str">
        <f aca="false">IF(INDEX(BookTitle,1678)="","",INDEX(BookInYear,1678))</f>
        <v/>
      </c>
      <c r="L1683" s="19"/>
      <c r="M1683" s="39"/>
      <c r="N1683" s="19"/>
      <c r="O1683" s="19"/>
      <c r="P1683" s="43" t="str">
        <f aca="false">IF($E1683="","",IF($L1683="Decline",0,IF($L1683="Approve fewer",IF($M1683="","",$M1683),IF($L1683="","",$I1683))))</f>
        <v/>
      </c>
      <c r="Q1683" s="34" t="str">
        <f aca="false">IF($P1683="","",IF($N1683&lt;&gt;"",$N1683,$J1683))</f>
        <v/>
      </c>
      <c r="R1683" s="35" t="str">
        <f aca="false">IF(OR($P1683="",$Q1683=""),"",INDEX(BookRate,1678)*$P1683*(5-MATCH($Q1683,{"Q1";"Q2";"Q3";"Q4"},0))/4+INDEX(BookOneOff,1678)*$P1683)</f>
        <v/>
      </c>
      <c r="S1683" s="35" t="str">
        <f aca="false">IF($P1683="","",INDEX(BookRate,1678)*$P1683)</f>
        <v/>
      </c>
      <c r="T1683" s="35" t="str">
        <f aca="false">IF($R1683="","",$R1683-$K1683)</f>
        <v/>
      </c>
      <c r="U1683" s="35" t="str">
        <f aca="false">IF(N($P1683)&lt;=0,"",COUNTIF($P$6:$P1683,"&gt;0"))</f>
        <v/>
      </c>
    </row>
    <row r="1684" customFormat="false" ht="15" hidden="false" customHeight="false" outlineLevel="0" collapsed="false">
      <c r="A1684" s="40" t="str">
        <f aca="false">IF(INDEX(BookTitle,1679)="","",INDEX(BookGroup,1679))</f>
        <v/>
      </c>
      <c r="B1684" s="40" t="str">
        <f aca="false">IF(INDEX(BookTitle,1679)="","",INDEX(BookRef,1679))</f>
        <v/>
      </c>
      <c r="C1684" s="40" t="str">
        <f aca="false">IF(INDEX(BookTitle,1679)="","",INDEX(BookDivision,1679))</f>
        <v/>
      </c>
      <c r="D1684" s="40" t="str">
        <f aca="false">IF(INDEX(BookTitle,1679)="","",INDEX(BookUnit,1679))</f>
        <v/>
      </c>
      <c r="E1684" s="40" t="str">
        <f aca="false">IF(INDEX(BookTitle,1679)="","",INDEX(BookTitle,1679))</f>
        <v/>
      </c>
      <c r="F1684" s="40" t="str">
        <f aca="false">IF(INDEX(BookTitle,1679)="","",INDEX(BookLevel,1679))</f>
        <v/>
      </c>
      <c r="G1684" s="40" t="str">
        <f aca="false">IF(INDEX(BookTitle,1679)="","",INDEX(BookCategory,1679))</f>
        <v/>
      </c>
      <c r="H1684" s="40" t="str">
        <f aca="false">IF(INDEX(BookTitle,1679)="","",INDEX(BookRank,1679))</f>
        <v/>
      </c>
      <c r="I1684" s="41" t="str">
        <f aca="false">IF(INDEX(BookTitle,1679)="","",INDEX(BookTotal,1679))</f>
        <v/>
      </c>
      <c r="J1684" s="0" t="str">
        <f aca="false">IF($I1684="","",IF(INDEX(BookQ1,1679)&gt;0,"Q1",IF(INDEX(BookQ2,1679)&gt;0,"Q2",IF(INDEX(BookQ3,1679)&gt;0,"Q3",IF(INDEX(BookQ4,1679)&gt;0,"Q4","")))))</f>
        <v/>
      </c>
      <c r="K1684" s="42" t="str">
        <f aca="false">IF(INDEX(BookTitle,1679)="","",INDEX(BookInYear,1679))</f>
        <v/>
      </c>
      <c r="L1684" s="19"/>
      <c r="M1684" s="39"/>
      <c r="N1684" s="19"/>
      <c r="O1684" s="19"/>
      <c r="P1684" s="43" t="str">
        <f aca="false">IF($E1684="","",IF($L1684="Decline",0,IF($L1684="Approve fewer",IF($M1684="","",$M1684),IF($L1684="","",$I1684))))</f>
        <v/>
      </c>
      <c r="Q1684" s="34" t="str">
        <f aca="false">IF($P1684="","",IF($N1684&lt;&gt;"",$N1684,$J1684))</f>
        <v/>
      </c>
      <c r="R1684" s="35" t="str">
        <f aca="false">IF(OR($P1684="",$Q1684=""),"",INDEX(BookRate,1679)*$P1684*(5-MATCH($Q1684,{"Q1";"Q2";"Q3";"Q4"},0))/4+INDEX(BookOneOff,1679)*$P1684)</f>
        <v/>
      </c>
      <c r="S1684" s="35" t="str">
        <f aca="false">IF($P1684="","",INDEX(BookRate,1679)*$P1684)</f>
        <v/>
      </c>
      <c r="T1684" s="35" t="str">
        <f aca="false">IF($R1684="","",$R1684-$K1684)</f>
        <v/>
      </c>
      <c r="U1684" s="35" t="str">
        <f aca="false">IF(N($P1684)&lt;=0,"",COUNTIF($P$6:$P1684,"&gt;0"))</f>
        <v/>
      </c>
    </row>
    <row r="1685" customFormat="false" ht="15" hidden="false" customHeight="false" outlineLevel="0" collapsed="false">
      <c r="A1685" s="40" t="str">
        <f aca="false">IF(INDEX(BookTitle,1680)="","",INDEX(BookGroup,1680))</f>
        <v/>
      </c>
      <c r="B1685" s="40" t="str">
        <f aca="false">IF(INDEX(BookTitle,1680)="","",INDEX(BookRef,1680))</f>
        <v/>
      </c>
      <c r="C1685" s="40" t="str">
        <f aca="false">IF(INDEX(BookTitle,1680)="","",INDEX(BookDivision,1680))</f>
        <v/>
      </c>
      <c r="D1685" s="40" t="str">
        <f aca="false">IF(INDEX(BookTitle,1680)="","",INDEX(BookUnit,1680))</f>
        <v/>
      </c>
      <c r="E1685" s="40" t="str">
        <f aca="false">IF(INDEX(BookTitle,1680)="","",INDEX(BookTitle,1680))</f>
        <v/>
      </c>
      <c r="F1685" s="40" t="str">
        <f aca="false">IF(INDEX(BookTitle,1680)="","",INDEX(BookLevel,1680))</f>
        <v/>
      </c>
      <c r="G1685" s="40" t="str">
        <f aca="false">IF(INDEX(BookTitle,1680)="","",INDEX(BookCategory,1680))</f>
        <v/>
      </c>
      <c r="H1685" s="40" t="str">
        <f aca="false">IF(INDEX(BookTitle,1680)="","",INDEX(BookRank,1680))</f>
        <v/>
      </c>
      <c r="I1685" s="41" t="str">
        <f aca="false">IF(INDEX(BookTitle,1680)="","",INDEX(BookTotal,1680))</f>
        <v/>
      </c>
      <c r="J1685" s="0" t="str">
        <f aca="false">IF($I1685="","",IF(INDEX(BookQ1,1680)&gt;0,"Q1",IF(INDEX(BookQ2,1680)&gt;0,"Q2",IF(INDEX(BookQ3,1680)&gt;0,"Q3",IF(INDEX(BookQ4,1680)&gt;0,"Q4","")))))</f>
        <v/>
      </c>
      <c r="K1685" s="42" t="str">
        <f aca="false">IF(INDEX(BookTitle,1680)="","",INDEX(BookInYear,1680))</f>
        <v/>
      </c>
      <c r="L1685" s="19"/>
      <c r="M1685" s="39"/>
      <c r="N1685" s="19"/>
      <c r="O1685" s="19"/>
      <c r="P1685" s="43" t="str">
        <f aca="false">IF($E1685="","",IF($L1685="Decline",0,IF($L1685="Approve fewer",IF($M1685="","",$M1685),IF($L1685="","",$I1685))))</f>
        <v/>
      </c>
      <c r="Q1685" s="34" t="str">
        <f aca="false">IF($P1685="","",IF($N1685&lt;&gt;"",$N1685,$J1685))</f>
        <v/>
      </c>
      <c r="R1685" s="35" t="str">
        <f aca="false">IF(OR($P1685="",$Q1685=""),"",INDEX(BookRate,1680)*$P1685*(5-MATCH($Q1685,{"Q1";"Q2";"Q3";"Q4"},0))/4+INDEX(BookOneOff,1680)*$P1685)</f>
        <v/>
      </c>
      <c r="S1685" s="35" t="str">
        <f aca="false">IF($P1685="","",INDEX(BookRate,1680)*$P1685)</f>
        <v/>
      </c>
      <c r="T1685" s="35" t="str">
        <f aca="false">IF($R1685="","",$R1685-$K1685)</f>
        <v/>
      </c>
      <c r="U1685" s="35" t="str">
        <f aca="false">IF(N($P1685)&lt;=0,"",COUNTIF($P$6:$P1685,"&gt;0"))</f>
        <v/>
      </c>
    </row>
    <row r="1686" customFormat="false" ht="15" hidden="false" customHeight="false" outlineLevel="0" collapsed="false">
      <c r="A1686" s="40" t="str">
        <f aca="false">IF(INDEX(BookTitle,1681)="","",INDEX(BookGroup,1681))</f>
        <v/>
      </c>
      <c r="B1686" s="40" t="str">
        <f aca="false">IF(INDEX(BookTitle,1681)="","",INDEX(BookRef,1681))</f>
        <v/>
      </c>
      <c r="C1686" s="40" t="str">
        <f aca="false">IF(INDEX(BookTitle,1681)="","",INDEX(BookDivision,1681))</f>
        <v/>
      </c>
      <c r="D1686" s="40" t="str">
        <f aca="false">IF(INDEX(BookTitle,1681)="","",INDEX(BookUnit,1681))</f>
        <v/>
      </c>
      <c r="E1686" s="40" t="str">
        <f aca="false">IF(INDEX(BookTitle,1681)="","",INDEX(BookTitle,1681))</f>
        <v/>
      </c>
      <c r="F1686" s="40" t="str">
        <f aca="false">IF(INDEX(BookTitle,1681)="","",INDEX(BookLevel,1681))</f>
        <v/>
      </c>
      <c r="G1686" s="40" t="str">
        <f aca="false">IF(INDEX(BookTitle,1681)="","",INDEX(BookCategory,1681))</f>
        <v/>
      </c>
      <c r="H1686" s="40" t="str">
        <f aca="false">IF(INDEX(BookTitle,1681)="","",INDEX(BookRank,1681))</f>
        <v/>
      </c>
      <c r="I1686" s="41" t="str">
        <f aca="false">IF(INDEX(BookTitle,1681)="","",INDEX(BookTotal,1681))</f>
        <v/>
      </c>
      <c r="J1686" s="0" t="str">
        <f aca="false">IF($I1686="","",IF(INDEX(BookQ1,1681)&gt;0,"Q1",IF(INDEX(BookQ2,1681)&gt;0,"Q2",IF(INDEX(BookQ3,1681)&gt;0,"Q3",IF(INDEX(BookQ4,1681)&gt;0,"Q4","")))))</f>
        <v/>
      </c>
      <c r="K1686" s="42" t="str">
        <f aca="false">IF(INDEX(BookTitle,1681)="","",INDEX(BookInYear,1681))</f>
        <v/>
      </c>
      <c r="L1686" s="19"/>
      <c r="M1686" s="39"/>
      <c r="N1686" s="19"/>
      <c r="O1686" s="19"/>
      <c r="P1686" s="43" t="str">
        <f aca="false">IF($E1686="","",IF($L1686="Decline",0,IF($L1686="Approve fewer",IF($M1686="","",$M1686),IF($L1686="","",$I1686))))</f>
        <v/>
      </c>
      <c r="Q1686" s="34" t="str">
        <f aca="false">IF($P1686="","",IF($N1686&lt;&gt;"",$N1686,$J1686))</f>
        <v/>
      </c>
      <c r="R1686" s="35" t="str">
        <f aca="false">IF(OR($P1686="",$Q1686=""),"",INDEX(BookRate,1681)*$P1686*(5-MATCH($Q1686,{"Q1";"Q2";"Q3";"Q4"},0))/4+INDEX(BookOneOff,1681)*$P1686)</f>
        <v/>
      </c>
      <c r="S1686" s="35" t="str">
        <f aca="false">IF($P1686="","",INDEX(BookRate,1681)*$P1686)</f>
        <v/>
      </c>
      <c r="T1686" s="35" t="str">
        <f aca="false">IF($R1686="","",$R1686-$K1686)</f>
        <v/>
      </c>
      <c r="U1686" s="35" t="str">
        <f aca="false">IF(N($P1686)&lt;=0,"",COUNTIF($P$6:$P1686,"&gt;0"))</f>
        <v/>
      </c>
    </row>
    <row r="1687" customFormat="false" ht="15" hidden="false" customHeight="false" outlineLevel="0" collapsed="false">
      <c r="A1687" s="40" t="str">
        <f aca="false">IF(INDEX(BookTitle,1682)="","",INDEX(BookGroup,1682))</f>
        <v/>
      </c>
      <c r="B1687" s="40" t="str">
        <f aca="false">IF(INDEX(BookTitle,1682)="","",INDEX(BookRef,1682))</f>
        <v/>
      </c>
      <c r="C1687" s="40" t="str">
        <f aca="false">IF(INDEX(BookTitle,1682)="","",INDEX(BookDivision,1682))</f>
        <v/>
      </c>
      <c r="D1687" s="40" t="str">
        <f aca="false">IF(INDEX(BookTitle,1682)="","",INDEX(BookUnit,1682))</f>
        <v/>
      </c>
      <c r="E1687" s="40" t="str">
        <f aca="false">IF(INDEX(BookTitle,1682)="","",INDEX(BookTitle,1682))</f>
        <v/>
      </c>
      <c r="F1687" s="40" t="str">
        <f aca="false">IF(INDEX(BookTitle,1682)="","",INDEX(BookLevel,1682))</f>
        <v/>
      </c>
      <c r="G1687" s="40" t="str">
        <f aca="false">IF(INDEX(BookTitle,1682)="","",INDEX(BookCategory,1682))</f>
        <v/>
      </c>
      <c r="H1687" s="40" t="str">
        <f aca="false">IF(INDEX(BookTitle,1682)="","",INDEX(BookRank,1682))</f>
        <v/>
      </c>
      <c r="I1687" s="41" t="str">
        <f aca="false">IF(INDEX(BookTitle,1682)="","",INDEX(BookTotal,1682))</f>
        <v/>
      </c>
      <c r="J1687" s="0" t="str">
        <f aca="false">IF($I1687="","",IF(INDEX(BookQ1,1682)&gt;0,"Q1",IF(INDEX(BookQ2,1682)&gt;0,"Q2",IF(INDEX(BookQ3,1682)&gt;0,"Q3",IF(INDEX(BookQ4,1682)&gt;0,"Q4","")))))</f>
        <v/>
      </c>
      <c r="K1687" s="42" t="str">
        <f aca="false">IF(INDEX(BookTitle,1682)="","",INDEX(BookInYear,1682))</f>
        <v/>
      </c>
      <c r="L1687" s="19"/>
      <c r="M1687" s="39"/>
      <c r="N1687" s="19"/>
      <c r="O1687" s="19"/>
      <c r="P1687" s="43" t="str">
        <f aca="false">IF($E1687="","",IF($L1687="Decline",0,IF($L1687="Approve fewer",IF($M1687="","",$M1687),IF($L1687="","",$I1687))))</f>
        <v/>
      </c>
      <c r="Q1687" s="34" t="str">
        <f aca="false">IF($P1687="","",IF($N1687&lt;&gt;"",$N1687,$J1687))</f>
        <v/>
      </c>
      <c r="R1687" s="35" t="str">
        <f aca="false">IF(OR($P1687="",$Q1687=""),"",INDEX(BookRate,1682)*$P1687*(5-MATCH($Q1687,{"Q1";"Q2";"Q3";"Q4"},0))/4+INDEX(BookOneOff,1682)*$P1687)</f>
        <v/>
      </c>
      <c r="S1687" s="35" t="str">
        <f aca="false">IF($P1687="","",INDEX(BookRate,1682)*$P1687)</f>
        <v/>
      </c>
      <c r="T1687" s="35" t="str">
        <f aca="false">IF($R1687="","",$R1687-$K1687)</f>
        <v/>
      </c>
      <c r="U1687" s="35" t="str">
        <f aca="false">IF(N($P1687)&lt;=0,"",COUNTIF($P$6:$P1687,"&gt;0"))</f>
        <v/>
      </c>
    </row>
    <row r="1688" customFormat="false" ht="15" hidden="false" customHeight="false" outlineLevel="0" collapsed="false">
      <c r="A1688" s="40" t="str">
        <f aca="false">IF(INDEX(BookTitle,1683)="","",INDEX(BookGroup,1683))</f>
        <v/>
      </c>
      <c r="B1688" s="40" t="str">
        <f aca="false">IF(INDEX(BookTitle,1683)="","",INDEX(BookRef,1683))</f>
        <v/>
      </c>
      <c r="C1688" s="40" t="str">
        <f aca="false">IF(INDEX(BookTitle,1683)="","",INDEX(BookDivision,1683))</f>
        <v/>
      </c>
      <c r="D1688" s="40" t="str">
        <f aca="false">IF(INDEX(BookTitle,1683)="","",INDEX(BookUnit,1683))</f>
        <v/>
      </c>
      <c r="E1688" s="40" t="str">
        <f aca="false">IF(INDEX(BookTitle,1683)="","",INDEX(BookTitle,1683))</f>
        <v/>
      </c>
      <c r="F1688" s="40" t="str">
        <f aca="false">IF(INDEX(BookTitle,1683)="","",INDEX(BookLevel,1683))</f>
        <v/>
      </c>
      <c r="G1688" s="40" t="str">
        <f aca="false">IF(INDEX(BookTitle,1683)="","",INDEX(BookCategory,1683))</f>
        <v/>
      </c>
      <c r="H1688" s="40" t="str">
        <f aca="false">IF(INDEX(BookTitle,1683)="","",INDEX(BookRank,1683))</f>
        <v/>
      </c>
      <c r="I1688" s="41" t="str">
        <f aca="false">IF(INDEX(BookTitle,1683)="","",INDEX(BookTotal,1683))</f>
        <v/>
      </c>
      <c r="J1688" s="0" t="str">
        <f aca="false">IF($I1688="","",IF(INDEX(BookQ1,1683)&gt;0,"Q1",IF(INDEX(BookQ2,1683)&gt;0,"Q2",IF(INDEX(BookQ3,1683)&gt;0,"Q3",IF(INDEX(BookQ4,1683)&gt;0,"Q4","")))))</f>
        <v/>
      </c>
      <c r="K1688" s="42" t="str">
        <f aca="false">IF(INDEX(BookTitle,1683)="","",INDEX(BookInYear,1683))</f>
        <v/>
      </c>
      <c r="L1688" s="19"/>
      <c r="M1688" s="39"/>
      <c r="N1688" s="19"/>
      <c r="O1688" s="19"/>
      <c r="P1688" s="43" t="str">
        <f aca="false">IF($E1688="","",IF($L1688="Decline",0,IF($L1688="Approve fewer",IF($M1688="","",$M1688),IF($L1688="","",$I1688))))</f>
        <v/>
      </c>
      <c r="Q1688" s="34" t="str">
        <f aca="false">IF($P1688="","",IF($N1688&lt;&gt;"",$N1688,$J1688))</f>
        <v/>
      </c>
      <c r="R1688" s="35" t="str">
        <f aca="false">IF(OR($P1688="",$Q1688=""),"",INDEX(BookRate,1683)*$P1688*(5-MATCH($Q1688,{"Q1";"Q2";"Q3";"Q4"},0))/4+INDEX(BookOneOff,1683)*$P1688)</f>
        <v/>
      </c>
      <c r="S1688" s="35" t="str">
        <f aca="false">IF($P1688="","",INDEX(BookRate,1683)*$P1688)</f>
        <v/>
      </c>
      <c r="T1688" s="35" t="str">
        <f aca="false">IF($R1688="","",$R1688-$K1688)</f>
        <v/>
      </c>
      <c r="U1688" s="35" t="str">
        <f aca="false">IF(N($P1688)&lt;=0,"",COUNTIF($P$6:$P1688,"&gt;0"))</f>
        <v/>
      </c>
    </row>
    <row r="1689" customFormat="false" ht="15" hidden="false" customHeight="false" outlineLevel="0" collapsed="false">
      <c r="A1689" s="40" t="str">
        <f aca="false">IF(INDEX(BookTitle,1684)="","",INDEX(BookGroup,1684))</f>
        <v/>
      </c>
      <c r="B1689" s="40" t="str">
        <f aca="false">IF(INDEX(BookTitle,1684)="","",INDEX(BookRef,1684))</f>
        <v/>
      </c>
      <c r="C1689" s="40" t="str">
        <f aca="false">IF(INDEX(BookTitle,1684)="","",INDEX(BookDivision,1684))</f>
        <v/>
      </c>
      <c r="D1689" s="40" t="str">
        <f aca="false">IF(INDEX(BookTitle,1684)="","",INDEX(BookUnit,1684))</f>
        <v/>
      </c>
      <c r="E1689" s="40" t="str">
        <f aca="false">IF(INDEX(BookTitle,1684)="","",INDEX(BookTitle,1684))</f>
        <v/>
      </c>
      <c r="F1689" s="40" t="str">
        <f aca="false">IF(INDEX(BookTitle,1684)="","",INDEX(BookLevel,1684))</f>
        <v/>
      </c>
      <c r="G1689" s="40" t="str">
        <f aca="false">IF(INDEX(BookTitle,1684)="","",INDEX(BookCategory,1684))</f>
        <v/>
      </c>
      <c r="H1689" s="40" t="str">
        <f aca="false">IF(INDEX(BookTitle,1684)="","",INDEX(BookRank,1684))</f>
        <v/>
      </c>
      <c r="I1689" s="41" t="str">
        <f aca="false">IF(INDEX(BookTitle,1684)="","",INDEX(BookTotal,1684))</f>
        <v/>
      </c>
      <c r="J1689" s="0" t="str">
        <f aca="false">IF($I1689="","",IF(INDEX(BookQ1,1684)&gt;0,"Q1",IF(INDEX(BookQ2,1684)&gt;0,"Q2",IF(INDEX(BookQ3,1684)&gt;0,"Q3",IF(INDEX(BookQ4,1684)&gt;0,"Q4","")))))</f>
        <v/>
      </c>
      <c r="K1689" s="42" t="str">
        <f aca="false">IF(INDEX(BookTitle,1684)="","",INDEX(BookInYear,1684))</f>
        <v/>
      </c>
      <c r="L1689" s="19"/>
      <c r="M1689" s="39"/>
      <c r="N1689" s="19"/>
      <c r="O1689" s="19"/>
      <c r="P1689" s="43" t="str">
        <f aca="false">IF($E1689="","",IF($L1689="Decline",0,IF($L1689="Approve fewer",IF($M1689="","",$M1689),IF($L1689="","",$I1689))))</f>
        <v/>
      </c>
      <c r="Q1689" s="34" t="str">
        <f aca="false">IF($P1689="","",IF($N1689&lt;&gt;"",$N1689,$J1689))</f>
        <v/>
      </c>
      <c r="R1689" s="35" t="str">
        <f aca="false">IF(OR($P1689="",$Q1689=""),"",INDEX(BookRate,1684)*$P1689*(5-MATCH($Q1689,{"Q1";"Q2";"Q3";"Q4"},0))/4+INDEX(BookOneOff,1684)*$P1689)</f>
        <v/>
      </c>
      <c r="S1689" s="35" t="str">
        <f aca="false">IF($P1689="","",INDEX(BookRate,1684)*$P1689)</f>
        <v/>
      </c>
      <c r="T1689" s="35" t="str">
        <f aca="false">IF($R1689="","",$R1689-$K1689)</f>
        <v/>
      </c>
      <c r="U1689" s="35" t="str">
        <f aca="false">IF(N($P1689)&lt;=0,"",COUNTIF($P$6:$P1689,"&gt;0"))</f>
        <v/>
      </c>
    </row>
    <row r="1690" customFormat="false" ht="15" hidden="false" customHeight="false" outlineLevel="0" collapsed="false">
      <c r="A1690" s="40" t="str">
        <f aca="false">IF(INDEX(BookTitle,1685)="","",INDEX(BookGroup,1685))</f>
        <v/>
      </c>
      <c r="B1690" s="40" t="str">
        <f aca="false">IF(INDEX(BookTitle,1685)="","",INDEX(BookRef,1685))</f>
        <v/>
      </c>
      <c r="C1690" s="40" t="str">
        <f aca="false">IF(INDEX(BookTitle,1685)="","",INDEX(BookDivision,1685))</f>
        <v/>
      </c>
      <c r="D1690" s="40" t="str">
        <f aca="false">IF(INDEX(BookTitle,1685)="","",INDEX(BookUnit,1685))</f>
        <v/>
      </c>
      <c r="E1690" s="40" t="str">
        <f aca="false">IF(INDEX(BookTitle,1685)="","",INDEX(BookTitle,1685))</f>
        <v/>
      </c>
      <c r="F1690" s="40" t="str">
        <f aca="false">IF(INDEX(BookTitle,1685)="","",INDEX(BookLevel,1685))</f>
        <v/>
      </c>
      <c r="G1690" s="40" t="str">
        <f aca="false">IF(INDEX(BookTitle,1685)="","",INDEX(BookCategory,1685))</f>
        <v/>
      </c>
      <c r="H1690" s="40" t="str">
        <f aca="false">IF(INDEX(BookTitle,1685)="","",INDEX(BookRank,1685))</f>
        <v/>
      </c>
      <c r="I1690" s="41" t="str">
        <f aca="false">IF(INDEX(BookTitle,1685)="","",INDEX(BookTotal,1685))</f>
        <v/>
      </c>
      <c r="J1690" s="0" t="str">
        <f aca="false">IF($I1690="","",IF(INDEX(BookQ1,1685)&gt;0,"Q1",IF(INDEX(BookQ2,1685)&gt;0,"Q2",IF(INDEX(BookQ3,1685)&gt;0,"Q3",IF(INDEX(BookQ4,1685)&gt;0,"Q4","")))))</f>
        <v/>
      </c>
      <c r="K1690" s="42" t="str">
        <f aca="false">IF(INDEX(BookTitle,1685)="","",INDEX(BookInYear,1685))</f>
        <v/>
      </c>
      <c r="L1690" s="19"/>
      <c r="M1690" s="39"/>
      <c r="N1690" s="19"/>
      <c r="O1690" s="19"/>
      <c r="P1690" s="43" t="str">
        <f aca="false">IF($E1690="","",IF($L1690="Decline",0,IF($L1690="Approve fewer",IF($M1690="","",$M1690),IF($L1690="","",$I1690))))</f>
        <v/>
      </c>
      <c r="Q1690" s="34" t="str">
        <f aca="false">IF($P1690="","",IF($N1690&lt;&gt;"",$N1690,$J1690))</f>
        <v/>
      </c>
      <c r="R1690" s="35" t="str">
        <f aca="false">IF(OR($P1690="",$Q1690=""),"",INDEX(BookRate,1685)*$P1690*(5-MATCH($Q1690,{"Q1";"Q2";"Q3";"Q4"},0))/4+INDEX(BookOneOff,1685)*$P1690)</f>
        <v/>
      </c>
      <c r="S1690" s="35" t="str">
        <f aca="false">IF($P1690="","",INDEX(BookRate,1685)*$P1690)</f>
        <v/>
      </c>
      <c r="T1690" s="35" t="str">
        <f aca="false">IF($R1690="","",$R1690-$K1690)</f>
        <v/>
      </c>
      <c r="U1690" s="35" t="str">
        <f aca="false">IF(N($P1690)&lt;=0,"",COUNTIF($P$6:$P1690,"&gt;0"))</f>
        <v/>
      </c>
    </row>
    <row r="1691" customFormat="false" ht="15" hidden="false" customHeight="false" outlineLevel="0" collapsed="false">
      <c r="A1691" s="40" t="str">
        <f aca="false">IF(INDEX(BookTitle,1686)="","",INDEX(BookGroup,1686))</f>
        <v/>
      </c>
      <c r="B1691" s="40" t="str">
        <f aca="false">IF(INDEX(BookTitle,1686)="","",INDEX(BookRef,1686))</f>
        <v/>
      </c>
      <c r="C1691" s="40" t="str">
        <f aca="false">IF(INDEX(BookTitle,1686)="","",INDEX(BookDivision,1686))</f>
        <v/>
      </c>
      <c r="D1691" s="40" t="str">
        <f aca="false">IF(INDEX(BookTitle,1686)="","",INDEX(BookUnit,1686))</f>
        <v/>
      </c>
      <c r="E1691" s="40" t="str">
        <f aca="false">IF(INDEX(BookTitle,1686)="","",INDEX(BookTitle,1686))</f>
        <v/>
      </c>
      <c r="F1691" s="40" t="str">
        <f aca="false">IF(INDEX(BookTitle,1686)="","",INDEX(BookLevel,1686))</f>
        <v/>
      </c>
      <c r="G1691" s="40" t="str">
        <f aca="false">IF(INDEX(BookTitle,1686)="","",INDEX(BookCategory,1686))</f>
        <v/>
      </c>
      <c r="H1691" s="40" t="str">
        <f aca="false">IF(INDEX(BookTitle,1686)="","",INDEX(BookRank,1686))</f>
        <v/>
      </c>
      <c r="I1691" s="41" t="str">
        <f aca="false">IF(INDEX(BookTitle,1686)="","",INDEX(BookTotal,1686))</f>
        <v/>
      </c>
      <c r="J1691" s="0" t="str">
        <f aca="false">IF($I1691="","",IF(INDEX(BookQ1,1686)&gt;0,"Q1",IF(INDEX(BookQ2,1686)&gt;0,"Q2",IF(INDEX(BookQ3,1686)&gt;0,"Q3",IF(INDEX(BookQ4,1686)&gt;0,"Q4","")))))</f>
        <v/>
      </c>
      <c r="K1691" s="42" t="str">
        <f aca="false">IF(INDEX(BookTitle,1686)="","",INDEX(BookInYear,1686))</f>
        <v/>
      </c>
      <c r="L1691" s="19"/>
      <c r="M1691" s="39"/>
      <c r="N1691" s="19"/>
      <c r="O1691" s="19"/>
      <c r="P1691" s="43" t="str">
        <f aca="false">IF($E1691="","",IF($L1691="Decline",0,IF($L1691="Approve fewer",IF($M1691="","",$M1691),IF($L1691="","",$I1691))))</f>
        <v/>
      </c>
      <c r="Q1691" s="34" t="str">
        <f aca="false">IF($P1691="","",IF($N1691&lt;&gt;"",$N1691,$J1691))</f>
        <v/>
      </c>
      <c r="R1691" s="35" t="str">
        <f aca="false">IF(OR($P1691="",$Q1691=""),"",INDEX(BookRate,1686)*$P1691*(5-MATCH($Q1691,{"Q1";"Q2";"Q3";"Q4"},0))/4+INDEX(BookOneOff,1686)*$P1691)</f>
        <v/>
      </c>
      <c r="S1691" s="35" t="str">
        <f aca="false">IF($P1691="","",INDEX(BookRate,1686)*$P1691)</f>
        <v/>
      </c>
      <c r="T1691" s="35" t="str">
        <f aca="false">IF($R1691="","",$R1691-$K1691)</f>
        <v/>
      </c>
      <c r="U1691" s="35" t="str">
        <f aca="false">IF(N($P1691)&lt;=0,"",COUNTIF($P$6:$P1691,"&gt;0"))</f>
        <v/>
      </c>
    </row>
    <row r="1692" customFormat="false" ht="15" hidden="false" customHeight="false" outlineLevel="0" collapsed="false">
      <c r="A1692" s="40" t="str">
        <f aca="false">IF(INDEX(BookTitle,1687)="","",INDEX(BookGroup,1687))</f>
        <v/>
      </c>
      <c r="B1692" s="40" t="str">
        <f aca="false">IF(INDEX(BookTitle,1687)="","",INDEX(BookRef,1687))</f>
        <v/>
      </c>
      <c r="C1692" s="40" t="str">
        <f aca="false">IF(INDEX(BookTitle,1687)="","",INDEX(BookDivision,1687))</f>
        <v/>
      </c>
      <c r="D1692" s="40" t="str">
        <f aca="false">IF(INDEX(BookTitle,1687)="","",INDEX(BookUnit,1687))</f>
        <v/>
      </c>
      <c r="E1692" s="40" t="str">
        <f aca="false">IF(INDEX(BookTitle,1687)="","",INDEX(BookTitle,1687))</f>
        <v/>
      </c>
      <c r="F1692" s="40" t="str">
        <f aca="false">IF(INDEX(BookTitle,1687)="","",INDEX(BookLevel,1687))</f>
        <v/>
      </c>
      <c r="G1692" s="40" t="str">
        <f aca="false">IF(INDEX(BookTitle,1687)="","",INDEX(BookCategory,1687))</f>
        <v/>
      </c>
      <c r="H1692" s="40" t="str">
        <f aca="false">IF(INDEX(BookTitle,1687)="","",INDEX(BookRank,1687))</f>
        <v/>
      </c>
      <c r="I1692" s="41" t="str">
        <f aca="false">IF(INDEX(BookTitle,1687)="","",INDEX(BookTotal,1687))</f>
        <v/>
      </c>
      <c r="J1692" s="0" t="str">
        <f aca="false">IF($I1692="","",IF(INDEX(BookQ1,1687)&gt;0,"Q1",IF(INDEX(BookQ2,1687)&gt;0,"Q2",IF(INDEX(BookQ3,1687)&gt;0,"Q3",IF(INDEX(BookQ4,1687)&gt;0,"Q4","")))))</f>
        <v/>
      </c>
      <c r="K1692" s="42" t="str">
        <f aca="false">IF(INDEX(BookTitle,1687)="","",INDEX(BookInYear,1687))</f>
        <v/>
      </c>
      <c r="L1692" s="19"/>
      <c r="M1692" s="39"/>
      <c r="N1692" s="19"/>
      <c r="O1692" s="19"/>
      <c r="P1692" s="43" t="str">
        <f aca="false">IF($E1692="","",IF($L1692="Decline",0,IF($L1692="Approve fewer",IF($M1692="","",$M1692),IF($L1692="","",$I1692))))</f>
        <v/>
      </c>
      <c r="Q1692" s="34" t="str">
        <f aca="false">IF($P1692="","",IF($N1692&lt;&gt;"",$N1692,$J1692))</f>
        <v/>
      </c>
      <c r="R1692" s="35" t="str">
        <f aca="false">IF(OR($P1692="",$Q1692=""),"",INDEX(BookRate,1687)*$P1692*(5-MATCH($Q1692,{"Q1";"Q2";"Q3";"Q4"},0))/4+INDEX(BookOneOff,1687)*$P1692)</f>
        <v/>
      </c>
      <c r="S1692" s="35" t="str">
        <f aca="false">IF($P1692="","",INDEX(BookRate,1687)*$P1692)</f>
        <v/>
      </c>
      <c r="T1692" s="35" t="str">
        <f aca="false">IF($R1692="","",$R1692-$K1692)</f>
        <v/>
      </c>
      <c r="U1692" s="35" t="str">
        <f aca="false">IF(N($P1692)&lt;=0,"",COUNTIF($P$6:$P1692,"&gt;0"))</f>
        <v/>
      </c>
    </row>
    <row r="1693" customFormat="false" ht="15" hidden="false" customHeight="false" outlineLevel="0" collapsed="false">
      <c r="A1693" s="40" t="str">
        <f aca="false">IF(INDEX(BookTitle,1688)="","",INDEX(BookGroup,1688))</f>
        <v/>
      </c>
      <c r="B1693" s="40" t="str">
        <f aca="false">IF(INDEX(BookTitle,1688)="","",INDEX(BookRef,1688))</f>
        <v/>
      </c>
      <c r="C1693" s="40" t="str">
        <f aca="false">IF(INDEX(BookTitle,1688)="","",INDEX(BookDivision,1688))</f>
        <v/>
      </c>
      <c r="D1693" s="40" t="str">
        <f aca="false">IF(INDEX(BookTitle,1688)="","",INDEX(BookUnit,1688))</f>
        <v/>
      </c>
      <c r="E1693" s="40" t="str">
        <f aca="false">IF(INDEX(BookTitle,1688)="","",INDEX(BookTitle,1688))</f>
        <v/>
      </c>
      <c r="F1693" s="40" t="str">
        <f aca="false">IF(INDEX(BookTitle,1688)="","",INDEX(BookLevel,1688))</f>
        <v/>
      </c>
      <c r="G1693" s="40" t="str">
        <f aca="false">IF(INDEX(BookTitle,1688)="","",INDEX(BookCategory,1688))</f>
        <v/>
      </c>
      <c r="H1693" s="40" t="str">
        <f aca="false">IF(INDEX(BookTitle,1688)="","",INDEX(BookRank,1688))</f>
        <v/>
      </c>
      <c r="I1693" s="41" t="str">
        <f aca="false">IF(INDEX(BookTitle,1688)="","",INDEX(BookTotal,1688))</f>
        <v/>
      </c>
      <c r="J1693" s="0" t="str">
        <f aca="false">IF($I1693="","",IF(INDEX(BookQ1,1688)&gt;0,"Q1",IF(INDEX(BookQ2,1688)&gt;0,"Q2",IF(INDEX(BookQ3,1688)&gt;0,"Q3",IF(INDEX(BookQ4,1688)&gt;0,"Q4","")))))</f>
        <v/>
      </c>
      <c r="K1693" s="42" t="str">
        <f aca="false">IF(INDEX(BookTitle,1688)="","",INDEX(BookInYear,1688))</f>
        <v/>
      </c>
      <c r="L1693" s="19"/>
      <c r="M1693" s="39"/>
      <c r="N1693" s="19"/>
      <c r="O1693" s="19"/>
      <c r="P1693" s="43" t="str">
        <f aca="false">IF($E1693="","",IF($L1693="Decline",0,IF($L1693="Approve fewer",IF($M1693="","",$M1693),IF($L1693="","",$I1693))))</f>
        <v/>
      </c>
      <c r="Q1693" s="34" t="str">
        <f aca="false">IF($P1693="","",IF($N1693&lt;&gt;"",$N1693,$J1693))</f>
        <v/>
      </c>
      <c r="R1693" s="35" t="str">
        <f aca="false">IF(OR($P1693="",$Q1693=""),"",INDEX(BookRate,1688)*$P1693*(5-MATCH($Q1693,{"Q1";"Q2";"Q3";"Q4"},0))/4+INDEX(BookOneOff,1688)*$P1693)</f>
        <v/>
      </c>
      <c r="S1693" s="35" t="str">
        <f aca="false">IF($P1693="","",INDEX(BookRate,1688)*$P1693)</f>
        <v/>
      </c>
      <c r="T1693" s="35" t="str">
        <f aca="false">IF($R1693="","",$R1693-$K1693)</f>
        <v/>
      </c>
      <c r="U1693" s="35" t="str">
        <f aca="false">IF(N($P1693)&lt;=0,"",COUNTIF($P$6:$P1693,"&gt;0"))</f>
        <v/>
      </c>
    </row>
    <row r="1694" customFormat="false" ht="15" hidden="false" customHeight="false" outlineLevel="0" collapsed="false">
      <c r="A1694" s="40" t="str">
        <f aca="false">IF(INDEX(BookTitle,1689)="","",INDEX(BookGroup,1689))</f>
        <v/>
      </c>
      <c r="B1694" s="40" t="str">
        <f aca="false">IF(INDEX(BookTitle,1689)="","",INDEX(BookRef,1689))</f>
        <v/>
      </c>
      <c r="C1694" s="40" t="str">
        <f aca="false">IF(INDEX(BookTitle,1689)="","",INDEX(BookDivision,1689))</f>
        <v/>
      </c>
      <c r="D1694" s="40" t="str">
        <f aca="false">IF(INDEX(BookTitle,1689)="","",INDEX(BookUnit,1689))</f>
        <v/>
      </c>
      <c r="E1694" s="40" t="str">
        <f aca="false">IF(INDEX(BookTitle,1689)="","",INDEX(BookTitle,1689))</f>
        <v/>
      </c>
      <c r="F1694" s="40" t="str">
        <f aca="false">IF(INDEX(BookTitle,1689)="","",INDEX(BookLevel,1689))</f>
        <v/>
      </c>
      <c r="G1694" s="40" t="str">
        <f aca="false">IF(INDEX(BookTitle,1689)="","",INDEX(BookCategory,1689))</f>
        <v/>
      </c>
      <c r="H1694" s="40" t="str">
        <f aca="false">IF(INDEX(BookTitle,1689)="","",INDEX(BookRank,1689))</f>
        <v/>
      </c>
      <c r="I1694" s="41" t="str">
        <f aca="false">IF(INDEX(BookTitle,1689)="","",INDEX(BookTotal,1689))</f>
        <v/>
      </c>
      <c r="J1694" s="0" t="str">
        <f aca="false">IF($I1694="","",IF(INDEX(BookQ1,1689)&gt;0,"Q1",IF(INDEX(BookQ2,1689)&gt;0,"Q2",IF(INDEX(BookQ3,1689)&gt;0,"Q3",IF(INDEX(BookQ4,1689)&gt;0,"Q4","")))))</f>
        <v/>
      </c>
      <c r="K1694" s="42" t="str">
        <f aca="false">IF(INDEX(BookTitle,1689)="","",INDEX(BookInYear,1689))</f>
        <v/>
      </c>
      <c r="L1694" s="19"/>
      <c r="M1694" s="39"/>
      <c r="N1694" s="19"/>
      <c r="O1694" s="19"/>
      <c r="P1694" s="43" t="str">
        <f aca="false">IF($E1694="","",IF($L1694="Decline",0,IF($L1694="Approve fewer",IF($M1694="","",$M1694),IF($L1694="","",$I1694))))</f>
        <v/>
      </c>
      <c r="Q1694" s="34" t="str">
        <f aca="false">IF($P1694="","",IF($N1694&lt;&gt;"",$N1694,$J1694))</f>
        <v/>
      </c>
      <c r="R1694" s="35" t="str">
        <f aca="false">IF(OR($P1694="",$Q1694=""),"",INDEX(BookRate,1689)*$P1694*(5-MATCH($Q1694,{"Q1";"Q2";"Q3";"Q4"},0))/4+INDEX(BookOneOff,1689)*$P1694)</f>
        <v/>
      </c>
      <c r="S1694" s="35" t="str">
        <f aca="false">IF($P1694="","",INDEX(BookRate,1689)*$P1694)</f>
        <v/>
      </c>
      <c r="T1694" s="35" t="str">
        <f aca="false">IF($R1694="","",$R1694-$K1694)</f>
        <v/>
      </c>
      <c r="U1694" s="35" t="str">
        <f aca="false">IF(N($P1694)&lt;=0,"",COUNTIF($P$6:$P1694,"&gt;0"))</f>
        <v/>
      </c>
    </row>
    <row r="1695" customFormat="false" ht="15" hidden="false" customHeight="false" outlineLevel="0" collapsed="false">
      <c r="A1695" s="40" t="str">
        <f aca="false">IF(INDEX(BookTitle,1690)="","",INDEX(BookGroup,1690))</f>
        <v/>
      </c>
      <c r="B1695" s="40" t="str">
        <f aca="false">IF(INDEX(BookTitle,1690)="","",INDEX(BookRef,1690))</f>
        <v/>
      </c>
      <c r="C1695" s="40" t="str">
        <f aca="false">IF(INDEX(BookTitle,1690)="","",INDEX(BookDivision,1690))</f>
        <v/>
      </c>
      <c r="D1695" s="40" t="str">
        <f aca="false">IF(INDEX(BookTitle,1690)="","",INDEX(BookUnit,1690))</f>
        <v/>
      </c>
      <c r="E1695" s="40" t="str">
        <f aca="false">IF(INDEX(BookTitle,1690)="","",INDEX(BookTitle,1690))</f>
        <v/>
      </c>
      <c r="F1695" s="40" t="str">
        <f aca="false">IF(INDEX(BookTitle,1690)="","",INDEX(BookLevel,1690))</f>
        <v/>
      </c>
      <c r="G1695" s="40" t="str">
        <f aca="false">IF(INDEX(BookTitle,1690)="","",INDEX(BookCategory,1690))</f>
        <v/>
      </c>
      <c r="H1695" s="40" t="str">
        <f aca="false">IF(INDEX(BookTitle,1690)="","",INDEX(BookRank,1690))</f>
        <v/>
      </c>
      <c r="I1695" s="41" t="str">
        <f aca="false">IF(INDEX(BookTitle,1690)="","",INDEX(BookTotal,1690))</f>
        <v/>
      </c>
      <c r="J1695" s="0" t="str">
        <f aca="false">IF($I1695="","",IF(INDEX(BookQ1,1690)&gt;0,"Q1",IF(INDEX(BookQ2,1690)&gt;0,"Q2",IF(INDEX(BookQ3,1690)&gt;0,"Q3",IF(INDEX(BookQ4,1690)&gt;0,"Q4","")))))</f>
        <v/>
      </c>
      <c r="K1695" s="42" t="str">
        <f aca="false">IF(INDEX(BookTitle,1690)="","",INDEX(BookInYear,1690))</f>
        <v/>
      </c>
      <c r="L1695" s="19"/>
      <c r="M1695" s="39"/>
      <c r="N1695" s="19"/>
      <c r="O1695" s="19"/>
      <c r="P1695" s="43" t="str">
        <f aca="false">IF($E1695="","",IF($L1695="Decline",0,IF($L1695="Approve fewer",IF($M1695="","",$M1695),IF($L1695="","",$I1695))))</f>
        <v/>
      </c>
      <c r="Q1695" s="34" t="str">
        <f aca="false">IF($P1695="","",IF($N1695&lt;&gt;"",$N1695,$J1695))</f>
        <v/>
      </c>
      <c r="R1695" s="35" t="str">
        <f aca="false">IF(OR($P1695="",$Q1695=""),"",INDEX(BookRate,1690)*$P1695*(5-MATCH($Q1695,{"Q1";"Q2";"Q3";"Q4"},0))/4+INDEX(BookOneOff,1690)*$P1695)</f>
        <v/>
      </c>
      <c r="S1695" s="35" t="str">
        <f aca="false">IF($P1695="","",INDEX(BookRate,1690)*$P1695)</f>
        <v/>
      </c>
      <c r="T1695" s="35" t="str">
        <f aca="false">IF($R1695="","",$R1695-$K1695)</f>
        <v/>
      </c>
      <c r="U1695" s="35" t="str">
        <f aca="false">IF(N($P1695)&lt;=0,"",COUNTIF($P$6:$P1695,"&gt;0"))</f>
        <v/>
      </c>
    </row>
    <row r="1696" customFormat="false" ht="15" hidden="false" customHeight="false" outlineLevel="0" collapsed="false">
      <c r="A1696" s="40" t="str">
        <f aca="false">IF(INDEX(BookTitle,1691)="","",INDEX(BookGroup,1691))</f>
        <v/>
      </c>
      <c r="B1696" s="40" t="str">
        <f aca="false">IF(INDEX(BookTitle,1691)="","",INDEX(BookRef,1691))</f>
        <v/>
      </c>
      <c r="C1696" s="40" t="str">
        <f aca="false">IF(INDEX(BookTitle,1691)="","",INDEX(BookDivision,1691))</f>
        <v/>
      </c>
      <c r="D1696" s="40" t="str">
        <f aca="false">IF(INDEX(BookTitle,1691)="","",INDEX(BookUnit,1691))</f>
        <v/>
      </c>
      <c r="E1696" s="40" t="str">
        <f aca="false">IF(INDEX(BookTitle,1691)="","",INDEX(BookTitle,1691))</f>
        <v/>
      </c>
      <c r="F1696" s="40" t="str">
        <f aca="false">IF(INDEX(BookTitle,1691)="","",INDEX(BookLevel,1691))</f>
        <v/>
      </c>
      <c r="G1696" s="40" t="str">
        <f aca="false">IF(INDEX(BookTitle,1691)="","",INDEX(BookCategory,1691))</f>
        <v/>
      </c>
      <c r="H1696" s="40" t="str">
        <f aca="false">IF(INDEX(BookTitle,1691)="","",INDEX(BookRank,1691))</f>
        <v/>
      </c>
      <c r="I1696" s="41" t="str">
        <f aca="false">IF(INDEX(BookTitle,1691)="","",INDEX(BookTotal,1691))</f>
        <v/>
      </c>
      <c r="J1696" s="0" t="str">
        <f aca="false">IF($I1696="","",IF(INDEX(BookQ1,1691)&gt;0,"Q1",IF(INDEX(BookQ2,1691)&gt;0,"Q2",IF(INDEX(BookQ3,1691)&gt;0,"Q3",IF(INDEX(BookQ4,1691)&gt;0,"Q4","")))))</f>
        <v/>
      </c>
      <c r="K1696" s="42" t="str">
        <f aca="false">IF(INDEX(BookTitle,1691)="","",INDEX(BookInYear,1691))</f>
        <v/>
      </c>
      <c r="L1696" s="19"/>
      <c r="M1696" s="39"/>
      <c r="N1696" s="19"/>
      <c r="O1696" s="19"/>
      <c r="P1696" s="43" t="str">
        <f aca="false">IF($E1696="","",IF($L1696="Decline",0,IF($L1696="Approve fewer",IF($M1696="","",$M1696),IF($L1696="","",$I1696))))</f>
        <v/>
      </c>
      <c r="Q1696" s="34" t="str">
        <f aca="false">IF($P1696="","",IF($N1696&lt;&gt;"",$N1696,$J1696))</f>
        <v/>
      </c>
      <c r="R1696" s="35" t="str">
        <f aca="false">IF(OR($P1696="",$Q1696=""),"",INDEX(BookRate,1691)*$P1696*(5-MATCH($Q1696,{"Q1";"Q2";"Q3";"Q4"},0))/4+INDEX(BookOneOff,1691)*$P1696)</f>
        <v/>
      </c>
      <c r="S1696" s="35" t="str">
        <f aca="false">IF($P1696="","",INDEX(BookRate,1691)*$P1696)</f>
        <v/>
      </c>
      <c r="T1696" s="35" t="str">
        <f aca="false">IF($R1696="","",$R1696-$K1696)</f>
        <v/>
      </c>
      <c r="U1696" s="35" t="str">
        <f aca="false">IF(N($P1696)&lt;=0,"",COUNTIF($P$6:$P1696,"&gt;0"))</f>
        <v/>
      </c>
    </row>
    <row r="1697" customFormat="false" ht="15" hidden="false" customHeight="false" outlineLevel="0" collapsed="false">
      <c r="A1697" s="40" t="str">
        <f aca="false">IF(INDEX(BookTitle,1692)="","",INDEX(BookGroup,1692))</f>
        <v/>
      </c>
      <c r="B1697" s="40" t="str">
        <f aca="false">IF(INDEX(BookTitle,1692)="","",INDEX(BookRef,1692))</f>
        <v/>
      </c>
      <c r="C1697" s="40" t="str">
        <f aca="false">IF(INDEX(BookTitle,1692)="","",INDEX(BookDivision,1692))</f>
        <v/>
      </c>
      <c r="D1697" s="40" t="str">
        <f aca="false">IF(INDEX(BookTitle,1692)="","",INDEX(BookUnit,1692))</f>
        <v/>
      </c>
      <c r="E1697" s="40" t="str">
        <f aca="false">IF(INDEX(BookTitle,1692)="","",INDEX(BookTitle,1692))</f>
        <v/>
      </c>
      <c r="F1697" s="40" t="str">
        <f aca="false">IF(INDEX(BookTitle,1692)="","",INDEX(BookLevel,1692))</f>
        <v/>
      </c>
      <c r="G1697" s="40" t="str">
        <f aca="false">IF(INDEX(BookTitle,1692)="","",INDEX(BookCategory,1692))</f>
        <v/>
      </c>
      <c r="H1697" s="40" t="str">
        <f aca="false">IF(INDEX(BookTitle,1692)="","",INDEX(BookRank,1692))</f>
        <v/>
      </c>
      <c r="I1697" s="41" t="str">
        <f aca="false">IF(INDEX(BookTitle,1692)="","",INDEX(BookTotal,1692))</f>
        <v/>
      </c>
      <c r="J1697" s="0" t="str">
        <f aca="false">IF($I1697="","",IF(INDEX(BookQ1,1692)&gt;0,"Q1",IF(INDEX(BookQ2,1692)&gt;0,"Q2",IF(INDEX(BookQ3,1692)&gt;0,"Q3",IF(INDEX(BookQ4,1692)&gt;0,"Q4","")))))</f>
        <v/>
      </c>
      <c r="K1697" s="42" t="str">
        <f aca="false">IF(INDEX(BookTitle,1692)="","",INDEX(BookInYear,1692))</f>
        <v/>
      </c>
      <c r="L1697" s="19"/>
      <c r="M1697" s="39"/>
      <c r="N1697" s="19"/>
      <c r="O1697" s="19"/>
      <c r="P1697" s="43" t="str">
        <f aca="false">IF($E1697="","",IF($L1697="Decline",0,IF($L1697="Approve fewer",IF($M1697="","",$M1697),IF($L1697="","",$I1697))))</f>
        <v/>
      </c>
      <c r="Q1697" s="34" t="str">
        <f aca="false">IF($P1697="","",IF($N1697&lt;&gt;"",$N1697,$J1697))</f>
        <v/>
      </c>
      <c r="R1697" s="35" t="str">
        <f aca="false">IF(OR($P1697="",$Q1697=""),"",INDEX(BookRate,1692)*$P1697*(5-MATCH($Q1697,{"Q1";"Q2";"Q3";"Q4"},0))/4+INDEX(BookOneOff,1692)*$P1697)</f>
        <v/>
      </c>
      <c r="S1697" s="35" t="str">
        <f aca="false">IF($P1697="","",INDEX(BookRate,1692)*$P1697)</f>
        <v/>
      </c>
      <c r="T1697" s="35" t="str">
        <f aca="false">IF($R1697="","",$R1697-$K1697)</f>
        <v/>
      </c>
      <c r="U1697" s="35" t="str">
        <f aca="false">IF(N($P1697)&lt;=0,"",COUNTIF($P$6:$P1697,"&gt;0"))</f>
        <v/>
      </c>
    </row>
    <row r="1698" customFormat="false" ht="15" hidden="false" customHeight="false" outlineLevel="0" collapsed="false">
      <c r="A1698" s="40" t="str">
        <f aca="false">IF(INDEX(BookTitle,1693)="","",INDEX(BookGroup,1693))</f>
        <v/>
      </c>
      <c r="B1698" s="40" t="str">
        <f aca="false">IF(INDEX(BookTitle,1693)="","",INDEX(BookRef,1693))</f>
        <v/>
      </c>
      <c r="C1698" s="40" t="str">
        <f aca="false">IF(INDEX(BookTitle,1693)="","",INDEX(BookDivision,1693))</f>
        <v/>
      </c>
      <c r="D1698" s="40" t="str">
        <f aca="false">IF(INDEX(BookTitle,1693)="","",INDEX(BookUnit,1693))</f>
        <v/>
      </c>
      <c r="E1698" s="40" t="str">
        <f aca="false">IF(INDEX(BookTitle,1693)="","",INDEX(BookTitle,1693))</f>
        <v/>
      </c>
      <c r="F1698" s="40" t="str">
        <f aca="false">IF(INDEX(BookTitle,1693)="","",INDEX(BookLevel,1693))</f>
        <v/>
      </c>
      <c r="G1698" s="40" t="str">
        <f aca="false">IF(INDEX(BookTitle,1693)="","",INDEX(BookCategory,1693))</f>
        <v/>
      </c>
      <c r="H1698" s="40" t="str">
        <f aca="false">IF(INDEX(BookTitle,1693)="","",INDEX(BookRank,1693))</f>
        <v/>
      </c>
      <c r="I1698" s="41" t="str">
        <f aca="false">IF(INDEX(BookTitle,1693)="","",INDEX(BookTotal,1693))</f>
        <v/>
      </c>
      <c r="J1698" s="0" t="str">
        <f aca="false">IF($I1698="","",IF(INDEX(BookQ1,1693)&gt;0,"Q1",IF(INDEX(BookQ2,1693)&gt;0,"Q2",IF(INDEX(BookQ3,1693)&gt;0,"Q3",IF(INDEX(BookQ4,1693)&gt;0,"Q4","")))))</f>
        <v/>
      </c>
      <c r="K1698" s="42" t="str">
        <f aca="false">IF(INDEX(BookTitle,1693)="","",INDEX(BookInYear,1693))</f>
        <v/>
      </c>
      <c r="L1698" s="19"/>
      <c r="M1698" s="39"/>
      <c r="N1698" s="19"/>
      <c r="O1698" s="19"/>
      <c r="P1698" s="43" t="str">
        <f aca="false">IF($E1698="","",IF($L1698="Decline",0,IF($L1698="Approve fewer",IF($M1698="","",$M1698),IF($L1698="","",$I1698))))</f>
        <v/>
      </c>
      <c r="Q1698" s="34" t="str">
        <f aca="false">IF($P1698="","",IF($N1698&lt;&gt;"",$N1698,$J1698))</f>
        <v/>
      </c>
      <c r="R1698" s="35" t="str">
        <f aca="false">IF(OR($P1698="",$Q1698=""),"",INDEX(BookRate,1693)*$P1698*(5-MATCH($Q1698,{"Q1";"Q2";"Q3";"Q4"},0))/4+INDEX(BookOneOff,1693)*$P1698)</f>
        <v/>
      </c>
      <c r="S1698" s="35" t="str">
        <f aca="false">IF($P1698="","",INDEX(BookRate,1693)*$P1698)</f>
        <v/>
      </c>
      <c r="T1698" s="35" t="str">
        <f aca="false">IF($R1698="","",$R1698-$K1698)</f>
        <v/>
      </c>
      <c r="U1698" s="35" t="str">
        <f aca="false">IF(N($P1698)&lt;=0,"",COUNTIF($P$6:$P1698,"&gt;0"))</f>
        <v/>
      </c>
    </row>
    <row r="1699" customFormat="false" ht="15" hidden="false" customHeight="false" outlineLevel="0" collapsed="false">
      <c r="A1699" s="40" t="str">
        <f aca="false">IF(INDEX(BookTitle,1694)="","",INDEX(BookGroup,1694))</f>
        <v/>
      </c>
      <c r="B1699" s="40" t="str">
        <f aca="false">IF(INDEX(BookTitle,1694)="","",INDEX(BookRef,1694))</f>
        <v/>
      </c>
      <c r="C1699" s="40" t="str">
        <f aca="false">IF(INDEX(BookTitle,1694)="","",INDEX(BookDivision,1694))</f>
        <v/>
      </c>
      <c r="D1699" s="40" t="str">
        <f aca="false">IF(INDEX(BookTitle,1694)="","",INDEX(BookUnit,1694))</f>
        <v/>
      </c>
      <c r="E1699" s="40" t="str">
        <f aca="false">IF(INDEX(BookTitle,1694)="","",INDEX(BookTitle,1694))</f>
        <v/>
      </c>
      <c r="F1699" s="40" t="str">
        <f aca="false">IF(INDEX(BookTitle,1694)="","",INDEX(BookLevel,1694))</f>
        <v/>
      </c>
      <c r="G1699" s="40" t="str">
        <f aca="false">IF(INDEX(BookTitle,1694)="","",INDEX(BookCategory,1694))</f>
        <v/>
      </c>
      <c r="H1699" s="40" t="str">
        <f aca="false">IF(INDEX(BookTitle,1694)="","",INDEX(BookRank,1694))</f>
        <v/>
      </c>
      <c r="I1699" s="41" t="str">
        <f aca="false">IF(INDEX(BookTitle,1694)="","",INDEX(BookTotal,1694))</f>
        <v/>
      </c>
      <c r="J1699" s="0" t="str">
        <f aca="false">IF($I1699="","",IF(INDEX(BookQ1,1694)&gt;0,"Q1",IF(INDEX(BookQ2,1694)&gt;0,"Q2",IF(INDEX(BookQ3,1694)&gt;0,"Q3",IF(INDEX(BookQ4,1694)&gt;0,"Q4","")))))</f>
        <v/>
      </c>
      <c r="K1699" s="42" t="str">
        <f aca="false">IF(INDEX(BookTitle,1694)="","",INDEX(BookInYear,1694))</f>
        <v/>
      </c>
      <c r="L1699" s="19"/>
      <c r="M1699" s="39"/>
      <c r="N1699" s="19"/>
      <c r="O1699" s="19"/>
      <c r="P1699" s="43" t="str">
        <f aca="false">IF($E1699="","",IF($L1699="Decline",0,IF($L1699="Approve fewer",IF($M1699="","",$M1699),IF($L1699="","",$I1699))))</f>
        <v/>
      </c>
      <c r="Q1699" s="34" t="str">
        <f aca="false">IF($P1699="","",IF($N1699&lt;&gt;"",$N1699,$J1699))</f>
        <v/>
      </c>
      <c r="R1699" s="35" t="str">
        <f aca="false">IF(OR($P1699="",$Q1699=""),"",INDEX(BookRate,1694)*$P1699*(5-MATCH($Q1699,{"Q1";"Q2";"Q3";"Q4"},0))/4+INDEX(BookOneOff,1694)*$P1699)</f>
        <v/>
      </c>
      <c r="S1699" s="35" t="str">
        <f aca="false">IF($P1699="","",INDEX(BookRate,1694)*$P1699)</f>
        <v/>
      </c>
      <c r="T1699" s="35" t="str">
        <f aca="false">IF($R1699="","",$R1699-$K1699)</f>
        <v/>
      </c>
      <c r="U1699" s="35" t="str">
        <f aca="false">IF(N($P1699)&lt;=0,"",COUNTIF($P$6:$P1699,"&gt;0"))</f>
        <v/>
      </c>
    </row>
    <row r="1700" customFormat="false" ht="15" hidden="false" customHeight="false" outlineLevel="0" collapsed="false">
      <c r="A1700" s="40" t="str">
        <f aca="false">IF(INDEX(BookTitle,1695)="","",INDEX(BookGroup,1695))</f>
        <v/>
      </c>
      <c r="B1700" s="40" t="str">
        <f aca="false">IF(INDEX(BookTitle,1695)="","",INDEX(BookRef,1695))</f>
        <v/>
      </c>
      <c r="C1700" s="40" t="str">
        <f aca="false">IF(INDEX(BookTitle,1695)="","",INDEX(BookDivision,1695))</f>
        <v/>
      </c>
      <c r="D1700" s="40" t="str">
        <f aca="false">IF(INDEX(BookTitle,1695)="","",INDEX(BookUnit,1695))</f>
        <v/>
      </c>
      <c r="E1700" s="40" t="str">
        <f aca="false">IF(INDEX(BookTitle,1695)="","",INDEX(BookTitle,1695))</f>
        <v/>
      </c>
      <c r="F1700" s="40" t="str">
        <f aca="false">IF(INDEX(BookTitle,1695)="","",INDEX(BookLevel,1695))</f>
        <v/>
      </c>
      <c r="G1700" s="40" t="str">
        <f aca="false">IF(INDEX(BookTitle,1695)="","",INDEX(BookCategory,1695))</f>
        <v/>
      </c>
      <c r="H1700" s="40" t="str">
        <f aca="false">IF(INDEX(BookTitle,1695)="","",INDEX(BookRank,1695))</f>
        <v/>
      </c>
      <c r="I1700" s="41" t="str">
        <f aca="false">IF(INDEX(BookTitle,1695)="","",INDEX(BookTotal,1695))</f>
        <v/>
      </c>
      <c r="J1700" s="0" t="str">
        <f aca="false">IF($I1700="","",IF(INDEX(BookQ1,1695)&gt;0,"Q1",IF(INDEX(BookQ2,1695)&gt;0,"Q2",IF(INDEX(BookQ3,1695)&gt;0,"Q3",IF(INDEX(BookQ4,1695)&gt;0,"Q4","")))))</f>
        <v/>
      </c>
      <c r="K1700" s="42" t="str">
        <f aca="false">IF(INDEX(BookTitle,1695)="","",INDEX(BookInYear,1695))</f>
        <v/>
      </c>
      <c r="L1700" s="19"/>
      <c r="M1700" s="39"/>
      <c r="N1700" s="19"/>
      <c r="O1700" s="19"/>
      <c r="P1700" s="43" t="str">
        <f aca="false">IF($E1700="","",IF($L1700="Decline",0,IF($L1700="Approve fewer",IF($M1700="","",$M1700),IF($L1700="","",$I1700))))</f>
        <v/>
      </c>
      <c r="Q1700" s="34" t="str">
        <f aca="false">IF($P1700="","",IF($N1700&lt;&gt;"",$N1700,$J1700))</f>
        <v/>
      </c>
      <c r="R1700" s="35" t="str">
        <f aca="false">IF(OR($P1700="",$Q1700=""),"",INDEX(BookRate,1695)*$P1700*(5-MATCH($Q1700,{"Q1";"Q2";"Q3";"Q4"},0))/4+INDEX(BookOneOff,1695)*$P1700)</f>
        <v/>
      </c>
      <c r="S1700" s="35" t="str">
        <f aca="false">IF($P1700="","",INDEX(BookRate,1695)*$P1700)</f>
        <v/>
      </c>
      <c r="T1700" s="35" t="str">
        <f aca="false">IF($R1700="","",$R1700-$K1700)</f>
        <v/>
      </c>
      <c r="U1700" s="35" t="str">
        <f aca="false">IF(N($P1700)&lt;=0,"",COUNTIF($P$6:$P1700,"&gt;0"))</f>
        <v/>
      </c>
    </row>
    <row r="1701" customFormat="false" ht="15" hidden="false" customHeight="false" outlineLevel="0" collapsed="false">
      <c r="A1701" s="40" t="str">
        <f aca="false">IF(INDEX(BookTitle,1696)="","",INDEX(BookGroup,1696))</f>
        <v/>
      </c>
      <c r="B1701" s="40" t="str">
        <f aca="false">IF(INDEX(BookTitle,1696)="","",INDEX(BookRef,1696))</f>
        <v/>
      </c>
      <c r="C1701" s="40" t="str">
        <f aca="false">IF(INDEX(BookTitle,1696)="","",INDEX(BookDivision,1696))</f>
        <v/>
      </c>
      <c r="D1701" s="40" t="str">
        <f aca="false">IF(INDEX(BookTitle,1696)="","",INDEX(BookUnit,1696))</f>
        <v/>
      </c>
      <c r="E1701" s="40" t="str">
        <f aca="false">IF(INDEX(BookTitle,1696)="","",INDEX(BookTitle,1696))</f>
        <v/>
      </c>
      <c r="F1701" s="40" t="str">
        <f aca="false">IF(INDEX(BookTitle,1696)="","",INDEX(BookLevel,1696))</f>
        <v/>
      </c>
      <c r="G1701" s="40" t="str">
        <f aca="false">IF(INDEX(BookTitle,1696)="","",INDEX(BookCategory,1696))</f>
        <v/>
      </c>
      <c r="H1701" s="40" t="str">
        <f aca="false">IF(INDEX(BookTitle,1696)="","",INDEX(BookRank,1696))</f>
        <v/>
      </c>
      <c r="I1701" s="41" t="str">
        <f aca="false">IF(INDEX(BookTitle,1696)="","",INDEX(BookTotal,1696))</f>
        <v/>
      </c>
      <c r="J1701" s="0" t="str">
        <f aca="false">IF($I1701="","",IF(INDEX(BookQ1,1696)&gt;0,"Q1",IF(INDEX(BookQ2,1696)&gt;0,"Q2",IF(INDEX(BookQ3,1696)&gt;0,"Q3",IF(INDEX(BookQ4,1696)&gt;0,"Q4","")))))</f>
        <v/>
      </c>
      <c r="K1701" s="42" t="str">
        <f aca="false">IF(INDEX(BookTitle,1696)="","",INDEX(BookInYear,1696))</f>
        <v/>
      </c>
      <c r="L1701" s="19"/>
      <c r="M1701" s="39"/>
      <c r="N1701" s="19"/>
      <c r="O1701" s="19"/>
      <c r="P1701" s="43" t="str">
        <f aca="false">IF($E1701="","",IF($L1701="Decline",0,IF($L1701="Approve fewer",IF($M1701="","",$M1701),IF($L1701="","",$I1701))))</f>
        <v/>
      </c>
      <c r="Q1701" s="34" t="str">
        <f aca="false">IF($P1701="","",IF($N1701&lt;&gt;"",$N1701,$J1701))</f>
        <v/>
      </c>
      <c r="R1701" s="35" t="str">
        <f aca="false">IF(OR($P1701="",$Q1701=""),"",INDEX(BookRate,1696)*$P1701*(5-MATCH($Q1701,{"Q1";"Q2";"Q3";"Q4"},0))/4+INDEX(BookOneOff,1696)*$P1701)</f>
        <v/>
      </c>
      <c r="S1701" s="35" t="str">
        <f aca="false">IF($P1701="","",INDEX(BookRate,1696)*$P1701)</f>
        <v/>
      </c>
      <c r="T1701" s="35" t="str">
        <f aca="false">IF($R1701="","",$R1701-$K1701)</f>
        <v/>
      </c>
      <c r="U1701" s="35" t="str">
        <f aca="false">IF(N($P1701)&lt;=0,"",COUNTIF($P$6:$P1701,"&gt;0"))</f>
        <v/>
      </c>
    </row>
    <row r="1702" customFormat="false" ht="15" hidden="false" customHeight="false" outlineLevel="0" collapsed="false">
      <c r="A1702" s="40" t="str">
        <f aca="false">IF(INDEX(BookTitle,1697)="","",INDEX(BookGroup,1697))</f>
        <v/>
      </c>
      <c r="B1702" s="40" t="str">
        <f aca="false">IF(INDEX(BookTitle,1697)="","",INDEX(BookRef,1697))</f>
        <v/>
      </c>
      <c r="C1702" s="40" t="str">
        <f aca="false">IF(INDEX(BookTitle,1697)="","",INDEX(BookDivision,1697))</f>
        <v/>
      </c>
      <c r="D1702" s="40" t="str">
        <f aca="false">IF(INDEX(BookTitle,1697)="","",INDEX(BookUnit,1697))</f>
        <v/>
      </c>
      <c r="E1702" s="40" t="str">
        <f aca="false">IF(INDEX(BookTitle,1697)="","",INDEX(BookTitle,1697))</f>
        <v/>
      </c>
      <c r="F1702" s="40" t="str">
        <f aca="false">IF(INDEX(BookTitle,1697)="","",INDEX(BookLevel,1697))</f>
        <v/>
      </c>
      <c r="G1702" s="40" t="str">
        <f aca="false">IF(INDEX(BookTitle,1697)="","",INDEX(BookCategory,1697))</f>
        <v/>
      </c>
      <c r="H1702" s="40" t="str">
        <f aca="false">IF(INDEX(BookTitle,1697)="","",INDEX(BookRank,1697))</f>
        <v/>
      </c>
      <c r="I1702" s="41" t="str">
        <f aca="false">IF(INDEX(BookTitle,1697)="","",INDEX(BookTotal,1697))</f>
        <v/>
      </c>
      <c r="J1702" s="0" t="str">
        <f aca="false">IF($I1702="","",IF(INDEX(BookQ1,1697)&gt;0,"Q1",IF(INDEX(BookQ2,1697)&gt;0,"Q2",IF(INDEX(BookQ3,1697)&gt;0,"Q3",IF(INDEX(BookQ4,1697)&gt;0,"Q4","")))))</f>
        <v/>
      </c>
      <c r="K1702" s="42" t="str">
        <f aca="false">IF(INDEX(BookTitle,1697)="","",INDEX(BookInYear,1697))</f>
        <v/>
      </c>
      <c r="L1702" s="19"/>
      <c r="M1702" s="39"/>
      <c r="N1702" s="19"/>
      <c r="O1702" s="19"/>
      <c r="P1702" s="43" t="str">
        <f aca="false">IF($E1702="","",IF($L1702="Decline",0,IF($L1702="Approve fewer",IF($M1702="","",$M1702),IF($L1702="","",$I1702))))</f>
        <v/>
      </c>
      <c r="Q1702" s="34" t="str">
        <f aca="false">IF($P1702="","",IF($N1702&lt;&gt;"",$N1702,$J1702))</f>
        <v/>
      </c>
      <c r="R1702" s="35" t="str">
        <f aca="false">IF(OR($P1702="",$Q1702=""),"",INDEX(BookRate,1697)*$P1702*(5-MATCH($Q1702,{"Q1";"Q2";"Q3";"Q4"},0))/4+INDEX(BookOneOff,1697)*$P1702)</f>
        <v/>
      </c>
      <c r="S1702" s="35" t="str">
        <f aca="false">IF($P1702="","",INDEX(BookRate,1697)*$P1702)</f>
        <v/>
      </c>
      <c r="T1702" s="35" t="str">
        <f aca="false">IF($R1702="","",$R1702-$K1702)</f>
        <v/>
      </c>
      <c r="U1702" s="35" t="str">
        <f aca="false">IF(N($P1702)&lt;=0,"",COUNTIF($P$6:$P1702,"&gt;0"))</f>
        <v/>
      </c>
    </row>
    <row r="1703" customFormat="false" ht="15" hidden="false" customHeight="false" outlineLevel="0" collapsed="false">
      <c r="A1703" s="40" t="str">
        <f aca="false">IF(INDEX(BookTitle,1698)="","",INDEX(BookGroup,1698))</f>
        <v/>
      </c>
      <c r="B1703" s="40" t="str">
        <f aca="false">IF(INDEX(BookTitle,1698)="","",INDEX(BookRef,1698))</f>
        <v/>
      </c>
      <c r="C1703" s="40" t="str">
        <f aca="false">IF(INDEX(BookTitle,1698)="","",INDEX(BookDivision,1698))</f>
        <v/>
      </c>
      <c r="D1703" s="40" t="str">
        <f aca="false">IF(INDEX(BookTitle,1698)="","",INDEX(BookUnit,1698))</f>
        <v/>
      </c>
      <c r="E1703" s="40" t="str">
        <f aca="false">IF(INDEX(BookTitle,1698)="","",INDEX(BookTitle,1698))</f>
        <v/>
      </c>
      <c r="F1703" s="40" t="str">
        <f aca="false">IF(INDEX(BookTitle,1698)="","",INDEX(BookLevel,1698))</f>
        <v/>
      </c>
      <c r="G1703" s="40" t="str">
        <f aca="false">IF(INDEX(BookTitle,1698)="","",INDEX(BookCategory,1698))</f>
        <v/>
      </c>
      <c r="H1703" s="40" t="str">
        <f aca="false">IF(INDEX(BookTitle,1698)="","",INDEX(BookRank,1698))</f>
        <v/>
      </c>
      <c r="I1703" s="41" t="str">
        <f aca="false">IF(INDEX(BookTitle,1698)="","",INDEX(BookTotal,1698))</f>
        <v/>
      </c>
      <c r="J1703" s="0" t="str">
        <f aca="false">IF($I1703="","",IF(INDEX(BookQ1,1698)&gt;0,"Q1",IF(INDEX(BookQ2,1698)&gt;0,"Q2",IF(INDEX(BookQ3,1698)&gt;0,"Q3",IF(INDEX(BookQ4,1698)&gt;0,"Q4","")))))</f>
        <v/>
      </c>
      <c r="K1703" s="42" t="str">
        <f aca="false">IF(INDEX(BookTitle,1698)="","",INDEX(BookInYear,1698))</f>
        <v/>
      </c>
      <c r="L1703" s="19"/>
      <c r="M1703" s="39"/>
      <c r="N1703" s="19"/>
      <c r="O1703" s="19"/>
      <c r="P1703" s="43" t="str">
        <f aca="false">IF($E1703="","",IF($L1703="Decline",0,IF($L1703="Approve fewer",IF($M1703="","",$M1703),IF($L1703="","",$I1703))))</f>
        <v/>
      </c>
      <c r="Q1703" s="34" t="str">
        <f aca="false">IF($P1703="","",IF($N1703&lt;&gt;"",$N1703,$J1703))</f>
        <v/>
      </c>
      <c r="R1703" s="35" t="str">
        <f aca="false">IF(OR($P1703="",$Q1703=""),"",INDEX(BookRate,1698)*$P1703*(5-MATCH($Q1703,{"Q1";"Q2";"Q3";"Q4"},0))/4+INDEX(BookOneOff,1698)*$P1703)</f>
        <v/>
      </c>
      <c r="S1703" s="35" t="str">
        <f aca="false">IF($P1703="","",INDEX(BookRate,1698)*$P1703)</f>
        <v/>
      </c>
      <c r="T1703" s="35" t="str">
        <f aca="false">IF($R1703="","",$R1703-$K1703)</f>
        <v/>
      </c>
      <c r="U1703" s="35" t="str">
        <f aca="false">IF(N($P1703)&lt;=0,"",COUNTIF($P$6:$P1703,"&gt;0"))</f>
        <v/>
      </c>
    </row>
    <row r="1704" customFormat="false" ht="15" hidden="false" customHeight="false" outlineLevel="0" collapsed="false">
      <c r="A1704" s="40" t="str">
        <f aca="false">IF(INDEX(BookTitle,1699)="","",INDEX(BookGroup,1699))</f>
        <v/>
      </c>
      <c r="B1704" s="40" t="str">
        <f aca="false">IF(INDEX(BookTitle,1699)="","",INDEX(BookRef,1699))</f>
        <v/>
      </c>
      <c r="C1704" s="40" t="str">
        <f aca="false">IF(INDEX(BookTitle,1699)="","",INDEX(BookDivision,1699))</f>
        <v/>
      </c>
      <c r="D1704" s="40" t="str">
        <f aca="false">IF(INDEX(BookTitle,1699)="","",INDEX(BookUnit,1699))</f>
        <v/>
      </c>
      <c r="E1704" s="40" t="str">
        <f aca="false">IF(INDEX(BookTitle,1699)="","",INDEX(BookTitle,1699))</f>
        <v/>
      </c>
      <c r="F1704" s="40" t="str">
        <f aca="false">IF(INDEX(BookTitle,1699)="","",INDEX(BookLevel,1699))</f>
        <v/>
      </c>
      <c r="G1704" s="40" t="str">
        <f aca="false">IF(INDEX(BookTitle,1699)="","",INDEX(BookCategory,1699))</f>
        <v/>
      </c>
      <c r="H1704" s="40" t="str">
        <f aca="false">IF(INDEX(BookTitle,1699)="","",INDEX(BookRank,1699))</f>
        <v/>
      </c>
      <c r="I1704" s="41" t="str">
        <f aca="false">IF(INDEX(BookTitle,1699)="","",INDEX(BookTotal,1699))</f>
        <v/>
      </c>
      <c r="J1704" s="0" t="str">
        <f aca="false">IF($I1704="","",IF(INDEX(BookQ1,1699)&gt;0,"Q1",IF(INDEX(BookQ2,1699)&gt;0,"Q2",IF(INDEX(BookQ3,1699)&gt;0,"Q3",IF(INDEX(BookQ4,1699)&gt;0,"Q4","")))))</f>
        <v/>
      </c>
      <c r="K1704" s="42" t="str">
        <f aca="false">IF(INDEX(BookTitle,1699)="","",INDEX(BookInYear,1699))</f>
        <v/>
      </c>
      <c r="L1704" s="19"/>
      <c r="M1704" s="39"/>
      <c r="N1704" s="19"/>
      <c r="O1704" s="19"/>
      <c r="P1704" s="43" t="str">
        <f aca="false">IF($E1704="","",IF($L1704="Decline",0,IF($L1704="Approve fewer",IF($M1704="","",$M1704),IF($L1704="","",$I1704))))</f>
        <v/>
      </c>
      <c r="Q1704" s="34" t="str">
        <f aca="false">IF($P1704="","",IF($N1704&lt;&gt;"",$N1704,$J1704))</f>
        <v/>
      </c>
      <c r="R1704" s="35" t="str">
        <f aca="false">IF(OR($P1704="",$Q1704=""),"",INDEX(BookRate,1699)*$P1704*(5-MATCH($Q1704,{"Q1";"Q2";"Q3";"Q4"},0))/4+INDEX(BookOneOff,1699)*$P1704)</f>
        <v/>
      </c>
      <c r="S1704" s="35" t="str">
        <f aca="false">IF($P1704="","",INDEX(BookRate,1699)*$P1704)</f>
        <v/>
      </c>
      <c r="T1704" s="35" t="str">
        <f aca="false">IF($R1704="","",$R1704-$K1704)</f>
        <v/>
      </c>
      <c r="U1704" s="35" t="str">
        <f aca="false">IF(N($P1704)&lt;=0,"",COUNTIF($P$6:$P1704,"&gt;0"))</f>
        <v/>
      </c>
    </row>
    <row r="1705" customFormat="false" ht="15" hidden="false" customHeight="false" outlineLevel="0" collapsed="false">
      <c r="A1705" s="40" t="str">
        <f aca="false">IF(INDEX(BookTitle,1700)="","",INDEX(BookGroup,1700))</f>
        <v/>
      </c>
      <c r="B1705" s="40" t="str">
        <f aca="false">IF(INDEX(BookTitle,1700)="","",INDEX(BookRef,1700))</f>
        <v/>
      </c>
      <c r="C1705" s="40" t="str">
        <f aca="false">IF(INDEX(BookTitle,1700)="","",INDEX(BookDivision,1700))</f>
        <v/>
      </c>
      <c r="D1705" s="40" t="str">
        <f aca="false">IF(INDEX(BookTitle,1700)="","",INDEX(BookUnit,1700))</f>
        <v/>
      </c>
      <c r="E1705" s="40" t="str">
        <f aca="false">IF(INDEX(BookTitle,1700)="","",INDEX(BookTitle,1700))</f>
        <v/>
      </c>
      <c r="F1705" s="40" t="str">
        <f aca="false">IF(INDEX(BookTitle,1700)="","",INDEX(BookLevel,1700))</f>
        <v/>
      </c>
      <c r="G1705" s="40" t="str">
        <f aca="false">IF(INDEX(BookTitle,1700)="","",INDEX(BookCategory,1700))</f>
        <v/>
      </c>
      <c r="H1705" s="40" t="str">
        <f aca="false">IF(INDEX(BookTitle,1700)="","",INDEX(BookRank,1700))</f>
        <v/>
      </c>
      <c r="I1705" s="41" t="str">
        <f aca="false">IF(INDEX(BookTitle,1700)="","",INDEX(BookTotal,1700))</f>
        <v/>
      </c>
      <c r="J1705" s="0" t="str">
        <f aca="false">IF($I1705="","",IF(INDEX(BookQ1,1700)&gt;0,"Q1",IF(INDEX(BookQ2,1700)&gt;0,"Q2",IF(INDEX(BookQ3,1700)&gt;0,"Q3",IF(INDEX(BookQ4,1700)&gt;0,"Q4","")))))</f>
        <v/>
      </c>
      <c r="K1705" s="42" t="str">
        <f aca="false">IF(INDEX(BookTitle,1700)="","",INDEX(BookInYear,1700))</f>
        <v/>
      </c>
      <c r="L1705" s="19"/>
      <c r="M1705" s="39"/>
      <c r="N1705" s="19"/>
      <c r="O1705" s="19"/>
      <c r="P1705" s="43" t="str">
        <f aca="false">IF($E1705="","",IF($L1705="Decline",0,IF($L1705="Approve fewer",IF($M1705="","",$M1705),IF($L1705="","",$I1705))))</f>
        <v/>
      </c>
      <c r="Q1705" s="34" t="str">
        <f aca="false">IF($P1705="","",IF($N1705&lt;&gt;"",$N1705,$J1705))</f>
        <v/>
      </c>
      <c r="R1705" s="35" t="str">
        <f aca="false">IF(OR($P1705="",$Q1705=""),"",INDEX(BookRate,1700)*$P1705*(5-MATCH($Q1705,{"Q1";"Q2";"Q3";"Q4"},0))/4+INDEX(BookOneOff,1700)*$P1705)</f>
        <v/>
      </c>
      <c r="S1705" s="35" t="str">
        <f aca="false">IF($P1705="","",INDEX(BookRate,1700)*$P1705)</f>
        <v/>
      </c>
      <c r="T1705" s="35" t="str">
        <f aca="false">IF($R1705="","",$R1705-$K1705)</f>
        <v/>
      </c>
      <c r="U1705" s="35" t="str">
        <f aca="false">IF(N($P1705)&lt;=0,"",COUNTIF($P$6:$P1705,"&gt;0"))</f>
        <v/>
      </c>
    </row>
    <row r="1706" customFormat="false" ht="15" hidden="false" customHeight="false" outlineLevel="0" collapsed="false">
      <c r="A1706" s="40" t="str">
        <f aca="false">IF(INDEX(BookTitle,1701)="","",INDEX(BookGroup,1701))</f>
        <v/>
      </c>
      <c r="B1706" s="40" t="str">
        <f aca="false">IF(INDEX(BookTitle,1701)="","",INDEX(BookRef,1701))</f>
        <v/>
      </c>
      <c r="C1706" s="40" t="str">
        <f aca="false">IF(INDEX(BookTitle,1701)="","",INDEX(BookDivision,1701))</f>
        <v/>
      </c>
      <c r="D1706" s="40" t="str">
        <f aca="false">IF(INDEX(BookTitle,1701)="","",INDEX(BookUnit,1701))</f>
        <v/>
      </c>
      <c r="E1706" s="40" t="str">
        <f aca="false">IF(INDEX(BookTitle,1701)="","",INDEX(BookTitle,1701))</f>
        <v/>
      </c>
      <c r="F1706" s="40" t="str">
        <f aca="false">IF(INDEX(BookTitle,1701)="","",INDEX(BookLevel,1701))</f>
        <v/>
      </c>
      <c r="G1706" s="40" t="str">
        <f aca="false">IF(INDEX(BookTitle,1701)="","",INDEX(BookCategory,1701))</f>
        <v/>
      </c>
      <c r="H1706" s="40" t="str">
        <f aca="false">IF(INDEX(BookTitle,1701)="","",INDEX(BookRank,1701))</f>
        <v/>
      </c>
      <c r="I1706" s="41" t="str">
        <f aca="false">IF(INDEX(BookTitle,1701)="","",INDEX(BookTotal,1701))</f>
        <v/>
      </c>
      <c r="J1706" s="0" t="str">
        <f aca="false">IF($I1706="","",IF(INDEX(BookQ1,1701)&gt;0,"Q1",IF(INDEX(BookQ2,1701)&gt;0,"Q2",IF(INDEX(BookQ3,1701)&gt;0,"Q3",IF(INDEX(BookQ4,1701)&gt;0,"Q4","")))))</f>
        <v/>
      </c>
      <c r="K1706" s="42" t="str">
        <f aca="false">IF(INDEX(BookTitle,1701)="","",INDEX(BookInYear,1701))</f>
        <v/>
      </c>
      <c r="L1706" s="19"/>
      <c r="M1706" s="39"/>
      <c r="N1706" s="19"/>
      <c r="O1706" s="19"/>
      <c r="P1706" s="43" t="str">
        <f aca="false">IF($E1706="","",IF($L1706="Decline",0,IF($L1706="Approve fewer",IF($M1706="","",$M1706),IF($L1706="","",$I1706))))</f>
        <v/>
      </c>
      <c r="Q1706" s="34" t="str">
        <f aca="false">IF($P1706="","",IF($N1706&lt;&gt;"",$N1706,$J1706))</f>
        <v/>
      </c>
      <c r="R1706" s="35" t="str">
        <f aca="false">IF(OR($P1706="",$Q1706=""),"",INDEX(BookRate,1701)*$P1706*(5-MATCH($Q1706,{"Q1";"Q2";"Q3";"Q4"},0))/4+INDEX(BookOneOff,1701)*$P1706)</f>
        <v/>
      </c>
      <c r="S1706" s="35" t="str">
        <f aca="false">IF($P1706="","",INDEX(BookRate,1701)*$P1706)</f>
        <v/>
      </c>
      <c r="T1706" s="35" t="str">
        <f aca="false">IF($R1706="","",$R1706-$K1706)</f>
        <v/>
      </c>
      <c r="U1706" s="35" t="str">
        <f aca="false">IF(N($P1706)&lt;=0,"",COUNTIF($P$6:$P1706,"&gt;0"))</f>
        <v/>
      </c>
    </row>
    <row r="1707" customFormat="false" ht="15" hidden="false" customHeight="false" outlineLevel="0" collapsed="false">
      <c r="A1707" s="40" t="str">
        <f aca="false">IF(INDEX(BookTitle,1702)="","",INDEX(BookGroup,1702))</f>
        <v/>
      </c>
      <c r="B1707" s="40" t="str">
        <f aca="false">IF(INDEX(BookTitle,1702)="","",INDEX(BookRef,1702))</f>
        <v/>
      </c>
      <c r="C1707" s="40" t="str">
        <f aca="false">IF(INDEX(BookTitle,1702)="","",INDEX(BookDivision,1702))</f>
        <v/>
      </c>
      <c r="D1707" s="40" t="str">
        <f aca="false">IF(INDEX(BookTitle,1702)="","",INDEX(BookUnit,1702))</f>
        <v/>
      </c>
      <c r="E1707" s="40" t="str">
        <f aca="false">IF(INDEX(BookTitle,1702)="","",INDEX(BookTitle,1702))</f>
        <v/>
      </c>
      <c r="F1707" s="40" t="str">
        <f aca="false">IF(INDEX(BookTitle,1702)="","",INDEX(BookLevel,1702))</f>
        <v/>
      </c>
      <c r="G1707" s="40" t="str">
        <f aca="false">IF(INDEX(BookTitle,1702)="","",INDEX(BookCategory,1702))</f>
        <v/>
      </c>
      <c r="H1707" s="40" t="str">
        <f aca="false">IF(INDEX(BookTitle,1702)="","",INDEX(BookRank,1702))</f>
        <v/>
      </c>
      <c r="I1707" s="41" t="str">
        <f aca="false">IF(INDEX(BookTitle,1702)="","",INDEX(BookTotal,1702))</f>
        <v/>
      </c>
      <c r="J1707" s="0" t="str">
        <f aca="false">IF($I1707="","",IF(INDEX(BookQ1,1702)&gt;0,"Q1",IF(INDEX(BookQ2,1702)&gt;0,"Q2",IF(INDEX(BookQ3,1702)&gt;0,"Q3",IF(INDEX(BookQ4,1702)&gt;0,"Q4","")))))</f>
        <v/>
      </c>
      <c r="K1707" s="42" t="str">
        <f aca="false">IF(INDEX(BookTitle,1702)="","",INDEX(BookInYear,1702))</f>
        <v/>
      </c>
      <c r="L1707" s="19"/>
      <c r="M1707" s="39"/>
      <c r="N1707" s="19"/>
      <c r="O1707" s="19"/>
      <c r="P1707" s="43" t="str">
        <f aca="false">IF($E1707="","",IF($L1707="Decline",0,IF($L1707="Approve fewer",IF($M1707="","",$M1707),IF($L1707="","",$I1707))))</f>
        <v/>
      </c>
      <c r="Q1707" s="34" t="str">
        <f aca="false">IF($P1707="","",IF($N1707&lt;&gt;"",$N1707,$J1707))</f>
        <v/>
      </c>
      <c r="R1707" s="35" t="str">
        <f aca="false">IF(OR($P1707="",$Q1707=""),"",INDEX(BookRate,1702)*$P1707*(5-MATCH($Q1707,{"Q1";"Q2";"Q3";"Q4"},0))/4+INDEX(BookOneOff,1702)*$P1707)</f>
        <v/>
      </c>
      <c r="S1707" s="35" t="str">
        <f aca="false">IF($P1707="","",INDEX(BookRate,1702)*$P1707)</f>
        <v/>
      </c>
      <c r="T1707" s="35" t="str">
        <f aca="false">IF($R1707="","",$R1707-$K1707)</f>
        <v/>
      </c>
      <c r="U1707" s="35" t="str">
        <f aca="false">IF(N($P1707)&lt;=0,"",COUNTIF($P$6:$P1707,"&gt;0"))</f>
        <v/>
      </c>
    </row>
    <row r="1708" customFormat="false" ht="15" hidden="false" customHeight="false" outlineLevel="0" collapsed="false">
      <c r="A1708" s="40" t="str">
        <f aca="false">IF(INDEX(BookTitle,1703)="","",INDEX(BookGroup,1703))</f>
        <v/>
      </c>
      <c r="B1708" s="40" t="str">
        <f aca="false">IF(INDEX(BookTitle,1703)="","",INDEX(BookRef,1703))</f>
        <v/>
      </c>
      <c r="C1708" s="40" t="str">
        <f aca="false">IF(INDEX(BookTitle,1703)="","",INDEX(BookDivision,1703))</f>
        <v/>
      </c>
      <c r="D1708" s="40" t="str">
        <f aca="false">IF(INDEX(BookTitle,1703)="","",INDEX(BookUnit,1703))</f>
        <v/>
      </c>
      <c r="E1708" s="40" t="str">
        <f aca="false">IF(INDEX(BookTitle,1703)="","",INDEX(BookTitle,1703))</f>
        <v/>
      </c>
      <c r="F1708" s="40" t="str">
        <f aca="false">IF(INDEX(BookTitle,1703)="","",INDEX(BookLevel,1703))</f>
        <v/>
      </c>
      <c r="G1708" s="40" t="str">
        <f aca="false">IF(INDEX(BookTitle,1703)="","",INDEX(BookCategory,1703))</f>
        <v/>
      </c>
      <c r="H1708" s="40" t="str">
        <f aca="false">IF(INDEX(BookTitle,1703)="","",INDEX(BookRank,1703))</f>
        <v/>
      </c>
      <c r="I1708" s="41" t="str">
        <f aca="false">IF(INDEX(BookTitle,1703)="","",INDEX(BookTotal,1703))</f>
        <v/>
      </c>
      <c r="J1708" s="0" t="str">
        <f aca="false">IF($I1708="","",IF(INDEX(BookQ1,1703)&gt;0,"Q1",IF(INDEX(BookQ2,1703)&gt;0,"Q2",IF(INDEX(BookQ3,1703)&gt;0,"Q3",IF(INDEX(BookQ4,1703)&gt;0,"Q4","")))))</f>
        <v/>
      </c>
      <c r="K1708" s="42" t="str">
        <f aca="false">IF(INDEX(BookTitle,1703)="","",INDEX(BookInYear,1703))</f>
        <v/>
      </c>
      <c r="L1708" s="19"/>
      <c r="M1708" s="39"/>
      <c r="N1708" s="19"/>
      <c r="O1708" s="19"/>
      <c r="P1708" s="43" t="str">
        <f aca="false">IF($E1708="","",IF($L1708="Decline",0,IF($L1708="Approve fewer",IF($M1708="","",$M1708),IF($L1708="","",$I1708))))</f>
        <v/>
      </c>
      <c r="Q1708" s="34" t="str">
        <f aca="false">IF($P1708="","",IF($N1708&lt;&gt;"",$N1708,$J1708))</f>
        <v/>
      </c>
      <c r="R1708" s="35" t="str">
        <f aca="false">IF(OR($P1708="",$Q1708=""),"",INDEX(BookRate,1703)*$P1708*(5-MATCH($Q1708,{"Q1";"Q2";"Q3";"Q4"},0))/4+INDEX(BookOneOff,1703)*$P1708)</f>
        <v/>
      </c>
      <c r="S1708" s="35" t="str">
        <f aca="false">IF($P1708="","",INDEX(BookRate,1703)*$P1708)</f>
        <v/>
      </c>
      <c r="T1708" s="35" t="str">
        <f aca="false">IF($R1708="","",$R1708-$K1708)</f>
        <v/>
      </c>
      <c r="U1708" s="35" t="str">
        <f aca="false">IF(N($P1708)&lt;=0,"",COUNTIF($P$6:$P1708,"&gt;0"))</f>
        <v/>
      </c>
    </row>
    <row r="1709" customFormat="false" ht="15" hidden="false" customHeight="false" outlineLevel="0" collapsed="false">
      <c r="A1709" s="40" t="str">
        <f aca="false">IF(INDEX(BookTitle,1704)="","",INDEX(BookGroup,1704))</f>
        <v/>
      </c>
      <c r="B1709" s="40" t="str">
        <f aca="false">IF(INDEX(BookTitle,1704)="","",INDEX(BookRef,1704))</f>
        <v/>
      </c>
      <c r="C1709" s="40" t="str">
        <f aca="false">IF(INDEX(BookTitle,1704)="","",INDEX(BookDivision,1704))</f>
        <v/>
      </c>
      <c r="D1709" s="40" t="str">
        <f aca="false">IF(INDEX(BookTitle,1704)="","",INDEX(BookUnit,1704))</f>
        <v/>
      </c>
      <c r="E1709" s="40" t="str">
        <f aca="false">IF(INDEX(BookTitle,1704)="","",INDEX(BookTitle,1704))</f>
        <v/>
      </c>
      <c r="F1709" s="40" t="str">
        <f aca="false">IF(INDEX(BookTitle,1704)="","",INDEX(BookLevel,1704))</f>
        <v/>
      </c>
      <c r="G1709" s="40" t="str">
        <f aca="false">IF(INDEX(BookTitle,1704)="","",INDEX(BookCategory,1704))</f>
        <v/>
      </c>
      <c r="H1709" s="40" t="str">
        <f aca="false">IF(INDEX(BookTitle,1704)="","",INDEX(BookRank,1704))</f>
        <v/>
      </c>
      <c r="I1709" s="41" t="str">
        <f aca="false">IF(INDEX(BookTitle,1704)="","",INDEX(BookTotal,1704))</f>
        <v/>
      </c>
      <c r="J1709" s="0" t="str">
        <f aca="false">IF($I1709="","",IF(INDEX(BookQ1,1704)&gt;0,"Q1",IF(INDEX(BookQ2,1704)&gt;0,"Q2",IF(INDEX(BookQ3,1704)&gt;0,"Q3",IF(INDEX(BookQ4,1704)&gt;0,"Q4","")))))</f>
        <v/>
      </c>
      <c r="K1709" s="42" t="str">
        <f aca="false">IF(INDEX(BookTitle,1704)="","",INDEX(BookInYear,1704))</f>
        <v/>
      </c>
      <c r="L1709" s="19"/>
      <c r="M1709" s="39"/>
      <c r="N1709" s="19"/>
      <c r="O1709" s="19"/>
      <c r="P1709" s="43" t="str">
        <f aca="false">IF($E1709="","",IF($L1709="Decline",0,IF($L1709="Approve fewer",IF($M1709="","",$M1709),IF($L1709="","",$I1709))))</f>
        <v/>
      </c>
      <c r="Q1709" s="34" t="str">
        <f aca="false">IF($P1709="","",IF($N1709&lt;&gt;"",$N1709,$J1709))</f>
        <v/>
      </c>
      <c r="R1709" s="35" t="str">
        <f aca="false">IF(OR($P1709="",$Q1709=""),"",INDEX(BookRate,1704)*$P1709*(5-MATCH($Q1709,{"Q1";"Q2";"Q3";"Q4"},0))/4+INDEX(BookOneOff,1704)*$P1709)</f>
        <v/>
      </c>
      <c r="S1709" s="35" t="str">
        <f aca="false">IF($P1709="","",INDEX(BookRate,1704)*$P1709)</f>
        <v/>
      </c>
      <c r="T1709" s="35" t="str">
        <f aca="false">IF($R1709="","",$R1709-$K1709)</f>
        <v/>
      </c>
      <c r="U1709" s="35" t="str">
        <f aca="false">IF(N($P1709)&lt;=0,"",COUNTIF($P$6:$P1709,"&gt;0"))</f>
        <v/>
      </c>
    </row>
    <row r="1710" customFormat="false" ht="15" hidden="false" customHeight="false" outlineLevel="0" collapsed="false">
      <c r="A1710" s="40" t="str">
        <f aca="false">IF(INDEX(BookTitle,1705)="","",INDEX(BookGroup,1705))</f>
        <v/>
      </c>
      <c r="B1710" s="40" t="str">
        <f aca="false">IF(INDEX(BookTitle,1705)="","",INDEX(BookRef,1705))</f>
        <v/>
      </c>
      <c r="C1710" s="40" t="str">
        <f aca="false">IF(INDEX(BookTitle,1705)="","",INDEX(BookDivision,1705))</f>
        <v/>
      </c>
      <c r="D1710" s="40" t="str">
        <f aca="false">IF(INDEX(BookTitle,1705)="","",INDEX(BookUnit,1705))</f>
        <v/>
      </c>
      <c r="E1710" s="40" t="str">
        <f aca="false">IF(INDEX(BookTitle,1705)="","",INDEX(BookTitle,1705))</f>
        <v/>
      </c>
      <c r="F1710" s="40" t="str">
        <f aca="false">IF(INDEX(BookTitle,1705)="","",INDEX(BookLevel,1705))</f>
        <v/>
      </c>
      <c r="G1710" s="40" t="str">
        <f aca="false">IF(INDEX(BookTitle,1705)="","",INDEX(BookCategory,1705))</f>
        <v/>
      </c>
      <c r="H1710" s="40" t="str">
        <f aca="false">IF(INDEX(BookTitle,1705)="","",INDEX(BookRank,1705))</f>
        <v/>
      </c>
      <c r="I1710" s="41" t="str">
        <f aca="false">IF(INDEX(BookTitle,1705)="","",INDEX(BookTotal,1705))</f>
        <v/>
      </c>
      <c r="J1710" s="0" t="str">
        <f aca="false">IF($I1710="","",IF(INDEX(BookQ1,1705)&gt;0,"Q1",IF(INDEX(BookQ2,1705)&gt;0,"Q2",IF(INDEX(BookQ3,1705)&gt;0,"Q3",IF(INDEX(BookQ4,1705)&gt;0,"Q4","")))))</f>
        <v/>
      </c>
      <c r="K1710" s="42" t="str">
        <f aca="false">IF(INDEX(BookTitle,1705)="","",INDEX(BookInYear,1705))</f>
        <v/>
      </c>
      <c r="L1710" s="19"/>
      <c r="M1710" s="39"/>
      <c r="N1710" s="19"/>
      <c r="O1710" s="19"/>
      <c r="P1710" s="43" t="str">
        <f aca="false">IF($E1710="","",IF($L1710="Decline",0,IF($L1710="Approve fewer",IF($M1710="","",$M1710),IF($L1710="","",$I1710))))</f>
        <v/>
      </c>
      <c r="Q1710" s="34" t="str">
        <f aca="false">IF($P1710="","",IF($N1710&lt;&gt;"",$N1710,$J1710))</f>
        <v/>
      </c>
      <c r="R1710" s="35" t="str">
        <f aca="false">IF(OR($P1710="",$Q1710=""),"",INDEX(BookRate,1705)*$P1710*(5-MATCH($Q1710,{"Q1";"Q2";"Q3";"Q4"},0))/4+INDEX(BookOneOff,1705)*$P1710)</f>
        <v/>
      </c>
      <c r="S1710" s="35" t="str">
        <f aca="false">IF($P1710="","",INDEX(BookRate,1705)*$P1710)</f>
        <v/>
      </c>
      <c r="T1710" s="35" t="str">
        <f aca="false">IF($R1710="","",$R1710-$K1710)</f>
        <v/>
      </c>
      <c r="U1710" s="35" t="str">
        <f aca="false">IF(N($P1710)&lt;=0,"",COUNTIF($P$6:$P1710,"&gt;0"))</f>
        <v/>
      </c>
    </row>
    <row r="1711" customFormat="false" ht="15" hidden="false" customHeight="false" outlineLevel="0" collapsed="false">
      <c r="A1711" s="40" t="str">
        <f aca="false">IF(INDEX(BookTitle,1706)="","",INDEX(BookGroup,1706))</f>
        <v/>
      </c>
      <c r="B1711" s="40" t="str">
        <f aca="false">IF(INDEX(BookTitle,1706)="","",INDEX(BookRef,1706))</f>
        <v/>
      </c>
      <c r="C1711" s="40" t="str">
        <f aca="false">IF(INDEX(BookTitle,1706)="","",INDEX(BookDivision,1706))</f>
        <v/>
      </c>
      <c r="D1711" s="40" t="str">
        <f aca="false">IF(INDEX(BookTitle,1706)="","",INDEX(BookUnit,1706))</f>
        <v/>
      </c>
      <c r="E1711" s="40" t="str">
        <f aca="false">IF(INDEX(BookTitle,1706)="","",INDEX(BookTitle,1706))</f>
        <v/>
      </c>
      <c r="F1711" s="40" t="str">
        <f aca="false">IF(INDEX(BookTitle,1706)="","",INDEX(BookLevel,1706))</f>
        <v/>
      </c>
      <c r="G1711" s="40" t="str">
        <f aca="false">IF(INDEX(BookTitle,1706)="","",INDEX(BookCategory,1706))</f>
        <v/>
      </c>
      <c r="H1711" s="40" t="str">
        <f aca="false">IF(INDEX(BookTitle,1706)="","",INDEX(BookRank,1706))</f>
        <v/>
      </c>
      <c r="I1711" s="41" t="str">
        <f aca="false">IF(INDEX(BookTitle,1706)="","",INDEX(BookTotal,1706))</f>
        <v/>
      </c>
      <c r="J1711" s="0" t="str">
        <f aca="false">IF($I1711="","",IF(INDEX(BookQ1,1706)&gt;0,"Q1",IF(INDEX(BookQ2,1706)&gt;0,"Q2",IF(INDEX(BookQ3,1706)&gt;0,"Q3",IF(INDEX(BookQ4,1706)&gt;0,"Q4","")))))</f>
        <v/>
      </c>
      <c r="K1711" s="42" t="str">
        <f aca="false">IF(INDEX(BookTitle,1706)="","",INDEX(BookInYear,1706))</f>
        <v/>
      </c>
      <c r="L1711" s="19"/>
      <c r="M1711" s="39"/>
      <c r="N1711" s="19"/>
      <c r="O1711" s="19"/>
      <c r="P1711" s="43" t="str">
        <f aca="false">IF($E1711="","",IF($L1711="Decline",0,IF($L1711="Approve fewer",IF($M1711="","",$M1711),IF($L1711="","",$I1711))))</f>
        <v/>
      </c>
      <c r="Q1711" s="34" t="str">
        <f aca="false">IF($P1711="","",IF($N1711&lt;&gt;"",$N1711,$J1711))</f>
        <v/>
      </c>
      <c r="R1711" s="35" t="str">
        <f aca="false">IF(OR($P1711="",$Q1711=""),"",INDEX(BookRate,1706)*$P1711*(5-MATCH($Q1711,{"Q1";"Q2";"Q3";"Q4"},0))/4+INDEX(BookOneOff,1706)*$P1711)</f>
        <v/>
      </c>
      <c r="S1711" s="35" t="str">
        <f aca="false">IF($P1711="","",INDEX(BookRate,1706)*$P1711)</f>
        <v/>
      </c>
      <c r="T1711" s="35" t="str">
        <f aca="false">IF($R1711="","",$R1711-$K1711)</f>
        <v/>
      </c>
      <c r="U1711" s="35" t="str">
        <f aca="false">IF(N($P1711)&lt;=0,"",COUNTIF($P$6:$P1711,"&gt;0"))</f>
        <v/>
      </c>
    </row>
    <row r="1712" customFormat="false" ht="15" hidden="false" customHeight="false" outlineLevel="0" collapsed="false">
      <c r="A1712" s="40" t="str">
        <f aca="false">IF(INDEX(BookTitle,1707)="","",INDEX(BookGroup,1707))</f>
        <v/>
      </c>
      <c r="B1712" s="40" t="str">
        <f aca="false">IF(INDEX(BookTitle,1707)="","",INDEX(BookRef,1707))</f>
        <v/>
      </c>
      <c r="C1712" s="40" t="str">
        <f aca="false">IF(INDEX(BookTitle,1707)="","",INDEX(BookDivision,1707))</f>
        <v/>
      </c>
      <c r="D1712" s="40" t="str">
        <f aca="false">IF(INDEX(BookTitle,1707)="","",INDEX(BookUnit,1707))</f>
        <v/>
      </c>
      <c r="E1712" s="40" t="str">
        <f aca="false">IF(INDEX(BookTitle,1707)="","",INDEX(BookTitle,1707))</f>
        <v/>
      </c>
      <c r="F1712" s="40" t="str">
        <f aca="false">IF(INDEX(BookTitle,1707)="","",INDEX(BookLevel,1707))</f>
        <v/>
      </c>
      <c r="G1712" s="40" t="str">
        <f aca="false">IF(INDEX(BookTitle,1707)="","",INDEX(BookCategory,1707))</f>
        <v/>
      </c>
      <c r="H1712" s="40" t="str">
        <f aca="false">IF(INDEX(BookTitle,1707)="","",INDEX(BookRank,1707))</f>
        <v/>
      </c>
      <c r="I1712" s="41" t="str">
        <f aca="false">IF(INDEX(BookTitle,1707)="","",INDEX(BookTotal,1707))</f>
        <v/>
      </c>
      <c r="J1712" s="0" t="str">
        <f aca="false">IF($I1712="","",IF(INDEX(BookQ1,1707)&gt;0,"Q1",IF(INDEX(BookQ2,1707)&gt;0,"Q2",IF(INDEX(BookQ3,1707)&gt;0,"Q3",IF(INDEX(BookQ4,1707)&gt;0,"Q4","")))))</f>
        <v/>
      </c>
      <c r="K1712" s="42" t="str">
        <f aca="false">IF(INDEX(BookTitle,1707)="","",INDEX(BookInYear,1707))</f>
        <v/>
      </c>
      <c r="L1712" s="19"/>
      <c r="M1712" s="39"/>
      <c r="N1712" s="19"/>
      <c r="O1712" s="19"/>
      <c r="P1712" s="43" t="str">
        <f aca="false">IF($E1712="","",IF($L1712="Decline",0,IF($L1712="Approve fewer",IF($M1712="","",$M1712),IF($L1712="","",$I1712))))</f>
        <v/>
      </c>
      <c r="Q1712" s="34" t="str">
        <f aca="false">IF($P1712="","",IF($N1712&lt;&gt;"",$N1712,$J1712))</f>
        <v/>
      </c>
      <c r="R1712" s="35" t="str">
        <f aca="false">IF(OR($P1712="",$Q1712=""),"",INDEX(BookRate,1707)*$P1712*(5-MATCH($Q1712,{"Q1";"Q2";"Q3";"Q4"},0))/4+INDEX(BookOneOff,1707)*$P1712)</f>
        <v/>
      </c>
      <c r="S1712" s="35" t="str">
        <f aca="false">IF($P1712="","",INDEX(BookRate,1707)*$P1712)</f>
        <v/>
      </c>
      <c r="T1712" s="35" t="str">
        <f aca="false">IF($R1712="","",$R1712-$K1712)</f>
        <v/>
      </c>
      <c r="U1712" s="35" t="str">
        <f aca="false">IF(N($P1712)&lt;=0,"",COUNTIF($P$6:$P1712,"&gt;0"))</f>
        <v/>
      </c>
    </row>
    <row r="1713" customFormat="false" ht="15" hidden="false" customHeight="false" outlineLevel="0" collapsed="false">
      <c r="A1713" s="40" t="str">
        <f aca="false">IF(INDEX(BookTitle,1708)="","",INDEX(BookGroup,1708))</f>
        <v/>
      </c>
      <c r="B1713" s="40" t="str">
        <f aca="false">IF(INDEX(BookTitle,1708)="","",INDEX(BookRef,1708))</f>
        <v/>
      </c>
      <c r="C1713" s="40" t="str">
        <f aca="false">IF(INDEX(BookTitle,1708)="","",INDEX(BookDivision,1708))</f>
        <v/>
      </c>
      <c r="D1713" s="40" t="str">
        <f aca="false">IF(INDEX(BookTitle,1708)="","",INDEX(BookUnit,1708))</f>
        <v/>
      </c>
      <c r="E1713" s="40" t="str">
        <f aca="false">IF(INDEX(BookTitle,1708)="","",INDEX(BookTitle,1708))</f>
        <v/>
      </c>
      <c r="F1713" s="40" t="str">
        <f aca="false">IF(INDEX(BookTitle,1708)="","",INDEX(BookLevel,1708))</f>
        <v/>
      </c>
      <c r="G1713" s="40" t="str">
        <f aca="false">IF(INDEX(BookTitle,1708)="","",INDEX(BookCategory,1708))</f>
        <v/>
      </c>
      <c r="H1713" s="40" t="str">
        <f aca="false">IF(INDEX(BookTitle,1708)="","",INDEX(BookRank,1708))</f>
        <v/>
      </c>
      <c r="I1713" s="41" t="str">
        <f aca="false">IF(INDEX(BookTitle,1708)="","",INDEX(BookTotal,1708))</f>
        <v/>
      </c>
      <c r="J1713" s="0" t="str">
        <f aca="false">IF($I1713="","",IF(INDEX(BookQ1,1708)&gt;0,"Q1",IF(INDEX(BookQ2,1708)&gt;0,"Q2",IF(INDEX(BookQ3,1708)&gt;0,"Q3",IF(INDEX(BookQ4,1708)&gt;0,"Q4","")))))</f>
        <v/>
      </c>
      <c r="K1713" s="42" t="str">
        <f aca="false">IF(INDEX(BookTitle,1708)="","",INDEX(BookInYear,1708))</f>
        <v/>
      </c>
      <c r="L1713" s="19"/>
      <c r="M1713" s="39"/>
      <c r="N1713" s="19"/>
      <c r="O1713" s="19"/>
      <c r="P1713" s="43" t="str">
        <f aca="false">IF($E1713="","",IF($L1713="Decline",0,IF($L1713="Approve fewer",IF($M1713="","",$M1713),IF($L1713="","",$I1713))))</f>
        <v/>
      </c>
      <c r="Q1713" s="34" t="str">
        <f aca="false">IF($P1713="","",IF($N1713&lt;&gt;"",$N1713,$J1713))</f>
        <v/>
      </c>
      <c r="R1713" s="35" t="str">
        <f aca="false">IF(OR($P1713="",$Q1713=""),"",INDEX(BookRate,1708)*$P1713*(5-MATCH($Q1713,{"Q1";"Q2";"Q3";"Q4"},0))/4+INDEX(BookOneOff,1708)*$P1713)</f>
        <v/>
      </c>
      <c r="S1713" s="35" t="str">
        <f aca="false">IF($P1713="","",INDEX(BookRate,1708)*$P1713)</f>
        <v/>
      </c>
      <c r="T1713" s="35" t="str">
        <f aca="false">IF($R1713="","",$R1713-$K1713)</f>
        <v/>
      </c>
      <c r="U1713" s="35" t="str">
        <f aca="false">IF(N($P1713)&lt;=0,"",COUNTIF($P$6:$P1713,"&gt;0"))</f>
        <v/>
      </c>
    </row>
    <row r="1714" customFormat="false" ht="15" hidden="false" customHeight="false" outlineLevel="0" collapsed="false">
      <c r="A1714" s="40" t="str">
        <f aca="false">IF(INDEX(BookTitle,1709)="","",INDEX(BookGroup,1709))</f>
        <v/>
      </c>
      <c r="B1714" s="40" t="str">
        <f aca="false">IF(INDEX(BookTitle,1709)="","",INDEX(BookRef,1709))</f>
        <v/>
      </c>
      <c r="C1714" s="40" t="str">
        <f aca="false">IF(INDEX(BookTitle,1709)="","",INDEX(BookDivision,1709))</f>
        <v/>
      </c>
      <c r="D1714" s="40" t="str">
        <f aca="false">IF(INDEX(BookTitle,1709)="","",INDEX(BookUnit,1709))</f>
        <v/>
      </c>
      <c r="E1714" s="40" t="str">
        <f aca="false">IF(INDEX(BookTitle,1709)="","",INDEX(BookTitle,1709))</f>
        <v/>
      </c>
      <c r="F1714" s="40" t="str">
        <f aca="false">IF(INDEX(BookTitle,1709)="","",INDEX(BookLevel,1709))</f>
        <v/>
      </c>
      <c r="G1714" s="40" t="str">
        <f aca="false">IF(INDEX(BookTitle,1709)="","",INDEX(BookCategory,1709))</f>
        <v/>
      </c>
      <c r="H1714" s="40" t="str">
        <f aca="false">IF(INDEX(BookTitle,1709)="","",INDEX(BookRank,1709))</f>
        <v/>
      </c>
      <c r="I1714" s="41" t="str">
        <f aca="false">IF(INDEX(BookTitle,1709)="","",INDEX(BookTotal,1709))</f>
        <v/>
      </c>
      <c r="J1714" s="0" t="str">
        <f aca="false">IF($I1714="","",IF(INDEX(BookQ1,1709)&gt;0,"Q1",IF(INDEX(BookQ2,1709)&gt;0,"Q2",IF(INDEX(BookQ3,1709)&gt;0,"Q3",IF(INDEX(BookQ4,1709)&gt;0,"Q4","")))))</f>
        <v/>
      </c>
      <c r="K1714" s="42" t="str">
        <f aca="false">IF(INDEX(BookTitle,1709)="","",INDEX(BookInYear,1709))</f>
        <v/>
      </c>
      <c r="L1714" s="19"/>
      <c r="M1714" s="39"/>
      <c r="N1714" s="19"/>
      <c r="O1714" s="19"/>
      <c r="P1714" s="43" t="str">
        <f aca="false">IF($E1714="","",IF($L1714="Decline",0,IF($L1714="Approve fewer",IF($M1714="","",$M1714),IF($L1714="","",$I1714))))</f>
        <v/>
      </c>
      <c r="Q1714" s="34" t="str">
        <f aca="false">IF($P1714="","",IF($N1714&lt;&gt;"",$N1714,$J1714))</f>
        <v/>
      </c>
      <c r="R1714" s="35" t="str">
        <f aca="false">IF(OR($P1714="",$Q1714=""),"",INDEX(BookRate,1709)*$P1714*(5-MATCH($Q1714,{"Q1";"Q2";"Q3";"Q4"},0))/4+INDEX(BookOneOff,1709)*$P1714)</f>
        <v/>
      </c>
      <c r="S1714" s="35" t="str">
        <f aca="false">IF($P1714="","",INDEX(BookRate,1709)*$P1714)</f>
        <v/>
      </c>
      <c r="T1714" s="35" t="str">
        <f aca="false">IF($R1714="","",$R1714-$K1714)</f>
        <v/>
      </c>
      <c r="U1714" s="35" t="str">
        <f aca="false">IF(N($P1714)&lt;=0,"",COUNTIF($P$6:$P1714,"&gt;0"))</f>
        <v/>
      </c>
    </row>
    <row r="1715" customFormat="false" ht="15" hidden="false" customHeight="false" outlineLevel="0" collapsed="false">
      <c r="A1715" s="40" t="str">
        <f aca="false">IF(INDEX(BookTitle,1710)="","",INDEX(BookGroup,1710))</f>
        <v/>
      </c>
      <c r="B1715" s="40" t="str">
        <f aca="false">IF(INDEX(BookTitle,1710)="","",INDEX(BookRef,1710))</f>
        <v/>
      </c>
      <c r="C1715" s="40" t="str">
        <f aca="false">IF(INDEX(BookTitle,1710)="","",INDEX(BookDivision,1710))</f>
        <v/>
      </c>
      <c r="D1715" s="40" t="str">
        <f aca="false">IF(INDEX(BookTitle,1710)="","",INDEX(BookUnit,1710))</f>
        <v/>
      </c>
      <c r="E1715" s="40" t="str">
        <f aca="false">IF(INDEX(BookTitle,1710)="","",INDEX(BookTitle,1710))</f>
        <v/>
      </c>
      <c r="F1715" s="40" t="str">
        <f aca="false">IF(INDEX(BookTitle,1710)="","",INDEX(BookLevel,1710))</f>
        <v/>
      </c>
      <c r="G1715" s="40" t="str">
        <f aca="false">IF(INDEX(BookTitle,1710)="","",INDEX(BookCategory,1710))</f>
        <v/>
      </c>
      <c r="H1715" s="40" t="str">
        <f aca="false">IF(INDEX(BookTitle,1710)="","",INDEX(BookRank,1710))</f>
        <v/>
      </c>
      <c r="I1715" s="41" t="str">
        <f aca="false">IF(INDEX(BookTitle,1710)="","",INDEX(BookTotal,1710))</f>
        <v/>
      </c>
      <c r="J1715" s="0" t="str">
        <f aca="false">IF($I1715="","",IF(INDEX(BookQ1,1710)&gt;0,"Q1",IF(INDEX(BookQ2,1710)&gt;0,"Q2",IF(INDEX(BookQ3,1710)&gt;0,"Q3",IF(INDEX(BookQ4,1710)&gt;0,"Q4","")))))</f>
        <v/>
      </c>
      <c r="K1715" s="42" t="str">
        <f aca="false">IF(INDEX(BookTitle,1710)="","",INDEX(BookInYear,1710))</f>
        <v/>
      </c>
      <c r="L1715" s="19"/>
      <c r="M1715" s="39"/>
      <c r="N1715" s="19"/>
      <c r="O1715" s="19"/>
      <c r="P1715" s="43" t="str">
        <f aca="false">IF($E1715="","",IF($L1715="Decline",0,IF($L1715="Approve fewer",IF($M1715="","",$M1715),IF($L1715="","",$I1715))))</f>
        <v/>
      </c>
      <c r="Q1715" s="34" t="str">
        <f aca="false">IF($P1715="","",IF($N1715&lt;&gt;"",$N1715,$J1715))</f>
        <v/>
      </c>
      <c r="R1715" s="35" t="str">
        <f aca="false">IF(OR($P1715="",$Q1715=""),"",INDEX(BookRate,1710)*$P1715*(5-MATCH($Q1715,{"Q1";"Q2";"Q3";"Q4"},0))/4+INDEX(BookOneOff,1710)*$P1715)</f>
        <v/>
      </c>
      <c r="S1715" s="35" t="str">
        <f aca="false">IF($P1715="","",INDEX(BookRate,1710)*$P1715)</f>
        <v/>
      </c>
      <c r="T1715" s="35" t="str">
        <f aca="false">IF($R1715="","",$R1715-$K1715)</f>
        <v/>
      </c>
      <c r="U1715" s="35" t="str">
        <f aca="false">IF(N($P1715)&lt;=0,"",COUNTIF($P$6:$P1715,"&gt;0"))</f>
        <v/>
      </c>
    </row>
    <row r="1716" customFormat="false" ht="15" hidden="false" customHeight="false" outlineLevel="0" collapsed="false">
      <c r="A1716" s="40" t="str">
        <f aca="false">IF(INDEX(BookTitle,1711)="","",INDEX(BookGroup,1711))</f>
        <v/>
      </c>
      <c r="B1716" s="40" t="str">
        <f aca="false">IF(INDEX(BookTitle,1711)="","",INDEX(BookRef,1711))</f>
        <v/>
      </c>
      <c r="C1716" s="40" t="str">
        <f aca="false">IF(INDEX(BookTitle,1711)="","",INDEX(BookDivision,1711))</f>
        <v/>
      </c>
      <c r="D1716" s="40" t="str">
        <f aca="false">IF(INDEX(BookTitle,1711)="","",INDEX(BookUnit,1711))</f>
        <v/>
      </c>
      <c r="E1716" s="40" t="str">
        <f aca="false">IF(INDEX(BookTitle,1711)="","",INDEX(BookTitle,1711))</f>
        <v/>
      </c>
      <c r="F1716" s="40" t="str">
        <f aca="false">IF(INDEX(BookTitle,1711)="","",INDEX(BookLevel,1711))</f>
        <v/>
      </c>
      <c r="G1716" s="40" t="str">
        <f aca="false">IF(INDEX(BookTitle,1711)="","",INDEX(BookCategory,1711))</f>
        <v/>
      </c>
      <c r="H1716" s="40" t="str">
        <f aca="false">IF(INDEX(BookTitle,1711)="","",INDEX(BookRank,1711))</f>
        <v/>
      </c>
      <c r="I1716" s="41" t="str">
        <f aca="false">IF(INDEX(BookTitle,1711)="","",INDEX(BookTotal,1711))</f>
        <v/>
      </c>
      <c r="J1716" s="0" t="str">
        <f aca="false">IF($I1716="","",IF(INDEX(BookQ1,1711)&gt;0,"Q1",IF(INDEX(BookQ2,1711)&gt;0,"Q2",IF(INDEX(BookQ3,1711)&gt;0,"Q3",IF(INDEX(BookQ4,1711)&gt;0,"Q4","")))))</f>
        <v/>
      </c>
      <c r="K1716" s="42" t="str">
        <f aca="false">IF(INDEX(BookTitle,1711)="","",INDEX(BookInYear,1711))</f>
        <v/>
      </c>
      <c r="L1716" s="19"/>
      <c r="M1716" s="39"/>
      <c r="N1716" s="19"/>
      <c r="O1716" s="19"/>
      <c r="P1716" s="43" t="str">
        <f aca="false">IF($E1716="","",IF($L1716="Decline",0,IF($L1716="Approve fewer",IF($M1716="","",$M1716),IF($L1716="","",$I1716))))</f>
        <v/>
      </c>
      <c r="Q1716" s="34" t="str">
        <f aca="false">IF($P1716="","",IF($N1716&lt;&gt;"",$N1716,$J1716))</f>
        <v/>
      </c>
      <c r="R1716" s="35" t="str">
        <f aca="false">IF(OR($P1716="",$Q1716=""),"",INDEX(BookRate,1711)*$P1716*(5-MATCH($Q1716,{"Q1";"Q2";"Q3";"Q4"},0))/4+INDEX(BookOneOff,1711)*$P1716)</f>
        <v/>
      </c>
      <c r="S1716" s="35" t="str">
        <f aca="false">IF($P1716="","",INDEX(BookRate,1711)*$P1716)</f>
        <v/>
      </c>
      <c r="T1716" s="35" t="str">
        <f aca="false">IF($R1716="","",$R1716-$K1716)</f>
        <v/>
      </c>
      <c r="U1716" s="35" t="str">
        <f aca="false">IF(N($P1716)&lt;=0,"",COUNTIF($P$6:$P1716,"&gt;0"))</f>
        <v/>
      </c>
    </row>
    <row r="1717" customFormat="false" ht="15" hidden="false" customHeight="false" outlineLevel="0" collapsed="false">
      <c r="A1717" s="40" t="str">
        <f aca="false">IF(INDEX(BookTitle,1712)="","",INDEX(BookGroup,1712))</f>
        <v/>
      </c>
      <c r="B1717" s="40" t="str">
        <f aca="false">IF(INDEX(BookTitle,1712)="","",INDEX(BookRef,1712))</f>
        <v/>
      </c>
      <c r="C1717" s="40" t="str">
        <f aca="false">IF(INDEX(BookTitle,1712)="","",INDEX(BookDivision,1712))</f>
        <v/>
      </c>
      <c r="D1717" s="40" t="str">
        <f aca="false">IF(INDEX(BookTitle,1712)="","",INDEX(BookUnit,1712))</f>
        <v/>
      </c>
      <c r="E1717" s="40" t="str">
        <f aca="false">IF(INDEX(BookTitle,1712)="","",INDEX(BookTitle,1712))</f>
        <v/>
      </c>
      <c r="F1717" s="40" t="str">
        <f aca="false">IF(INDEX(BookTitle,1712)="","",INDEX(BookLevel,1712))</f>
        <v/>
      </c>
      <c r="G1717" s="40" t="str">
        <f aca="false">IF(INDEX(BookTitle,1712)="","",INDEX(BookCategory,1712))</f>
        <v/>
      </c>
      <c r="H1717" s="40" t="str">
        <f aca="false">IF(INDEX(BookTitle,1712)="","",INDEX(BookRank,1712))</f>
        <v/>
      </c>
      <c r="I1717" s="41" t="str">
        <f aca="false">IF(INDEX(BookTitle,1712)="","",INDEX(BookTotal,1712))</f>
        <v/>
      </c>
      <c r="J1717" s="0" t="str">
        <f aca="false">IF($I1717="","",IF(INDEX(BookQ1,1712)&gt;0,"Q1",IF(INDEX(BookQ2,1712)&gt;0,"Q2",IF(INDEX(BookQ3,1712)&gt;0,"Q3",IF(INDEX(BookQ4,1712)&gt;0,"Q4","")))))</f>
        <v/>
      </c>
      <c r="K1717" s="42" t="str">
        <f aca="false">IF(INDEX(BookTitle,1712)="","",INDEX(BookInYear,1712))</f>
        <v/>
      </c>
      <c r="L1717" s="19"/>
      <c r="M1717" s="39"/>
      <c r="N1717" s="19"/>
      <c r="O1717" s="19"/>
      <c r="P1717" s="43" t="str">
        <f aca="false">IF($E1717="","",IF($L1717="Decline",0,IF($L1717="Approve fewer",IF($M1717="","",$M1717),IF($L1717="","",$I1717))))</f>
        <v/>
      </c>
      <c r="Q1717" s="34" t="str">
        <f aca="false">IF($P1717="","",IF($N1717&lt;&gt;"",$N1717,$J1717))</f>
        <v/>
      </c>
      <c r="R1717" s="35" t="str">
        <f aca="false">IF(OR($P1717="",$Q1717=""),"",INDEX(BookRate,1712)*$P1717*(5-MATCH($Q1717,{"Q1";"Q2";"Q3";"Q4"},0))/4+INDEX(BookOneOff,1712)*$P1717)</f>
        <v/>
      </c>
      <c r="S1717" s="35" t="str">
        <f aca="false">IF($P1717="","",INDEX(BookRate,1712)*$P1717)</f>
        <v/>
      </c>
      <c r="T1717" s="35" t="str">
        <f aca="false">IF($R1717="","",$R1717-$K1717)</f>
        <v/>
      </c>
      <c r="U1717" s="35" t="str">
        <f aca="false">IF(N($P1717)&lt;=0,"",COUNTIF($P$6:$P1717,"&gt;0"))</f>
        <v/>
      </c>
    </row>
    <row r="1718" customFormat="false" ht="15" hidden="false" customHeight="false" outlineLevel="0" collapsed="false">
      <c r="A1718" s="40" t="str">
        <f aca="false">IF(INDEX(BookTitle,1713)="","",INDEX(BookGroup,1713))</f>
        <v/>
      </c>
      <c r="B1718" s="40" t="str">
        <f aca="false">IF(INDEX(BookTitle,1713)="","",INDEX(BookRef,1713))</f>
        <v/>
      </c>
      <c r="C1718" s="40" t="str">
        <f aca="false">IF(INDEX(BookTitle,1713)="","",INDEX(BookDivision,1713))</f>
        <v/>
      </c>
      <c r="D1718" s="40" t="str">
        <f aca="false">IF(INDEX(BookTitle,1713)="","",INDEX(BookUnit,1713))</f>
        <v/>
      </c>
      <c r="E1718" s="40" t="str">
        <f aca="false">IF(INDEX(BookTitle,1713)="","",INDEX(BookTitle,1713))</f>
        <v/>
      </c>
      <c r="F1718" s="40" t="str">
        <f aca="false">IF(INDEX(BookTitle,1713)="","",INDEX(BookLevel,1713))</f>
        <v/>
      </c>
      <c r="G1718" s="40" t="str">
        <f aca="false">IF(INDEX(BookTitle,1713)="","",INDEX(BookCategory,1713))</f>
        <v/>
      </c>
      <c r="H1718" s="40" t="str">
        <f aca="false">IF(INDEX(BookTitle,1713)="","",INDEX(BookRank,1713))</f>
        <v/>
      </c>
      <c r="I1718" s="41" t="str">
        <f aca="false">IF(INDEX(BookTitle,1713)="","",INDEX(BookTotal,1713))</f>
        <v/>
      </c>
      <c r="J1718" s="0" t="str">
        <f aca="false">IF($I1718="","",IF(INDEX(BookQ1,1713)&gt;0,"Q1",IF(INDEX(BookQ2,1713)&gt;0,"Q2",IF(INDEX(BookQ3,1713)&gt;0,"Q3",IF(INDEX(BookQ4,1713)&gt;0,"Q4","")))))</f>
        <v/>
      </c>
      <c r="K1718" s="42" t="str">
        <f aca="false">IF(INDEX(BookTitle,1713)="","",INDEX(BookInYear,1713))</f>
        <v/>
      </c>
      <c r="L1718" s="19"/>
      <c r="M1718" s="39"/>
      <c r="N1718" s="19"/>
      <c r="O1718" s="19"/>
      <c r="P1718" s="43" t="str">
        <f aca="false">IF($E1718="","",IF($L1718="Decline",0,IF($L1718="Approve fewer",IF($M1718="","",$M1718),IF($L1718="","",$I1718))))</f>
        <v/>
      </c>
      <c r="Q1718" s="34" t="str">
        <f aca="false">IF($P1718="","",IF($N1718&lt;&gt;"",$N1718,$J1718))</f>
        <v/>
      </c>
      <c r="R1718" s="35" t="str">
        <f aca="false">IF(OR($P1718="",$Q1718=""),"",INDEX(BookRate,1713)*$P1718*(5-MATCH($Q1718,{"Q1";"Q2";"Q3";"Q4"},0))/4+INDEX(BookOneOff,1713)*$P1718)</f>
        <v/>
      </c>
      <c r="S1718" s="35" t="str">
        <f aca="false">IF($P1718="","",INDEX(BookRate,1713)*$P1718)</f>
        <v/>
      </c>
      <c r="T1718" s="35" t="str">
        <f aca="false">IF($R1718="","",$R1718-$K1718)</f>
        <v/>
      </c>
      <c r="U1718" s="35" t="str">
        <f aca="false">IF(N($P1718)&lt;=0,"",COUNTIF($P$6:$P1718,"&gt;0"))</f>
        <v/>
      </c>
    </row>
    <row r="1719" customFormat="false" ht="15" hidden="false" customHeight="false" outlineLevel="0" collapsed="false">
      <c r="A1719" s="40" t="str">
        <f aca="false">IF(INDEX(BookTitle,1714)="","",INDEX(BookGroup,1714))</f>
        <v/>
      </c>
      <c r="B1719" s="40" t="str">
        <f aca="false">IF(INDEX(BookTitle,1714)="","",INDEX(BookRef,1714))</f>
        <v/>
      </c>
      <c r="C1719" s="40" t="str">
        <f aca="false">IF(INDEX(BookTitle,1714)="","",INDEX(BookDivision,1714))</f>
        <v/>
      </c>
      <c r="D1719" s="40" t="str">
        <f aca="false">IF(INDEX(BookTitle,1714)="","",INDEX(BookUnit,1714))</f>
        <v/>
      </c>
      <c r="E1719" s="40" t="str">
        <f aca="false">IF(INDEX(BookTitle,1714)="","",INDEX(BookTitle,1714))</f>
        <v/>
      </c>
      <c r="F1719" s="40" t="str">
        <f aca="false">IF(INDEX(BookTitle,1714)="","",INDEX(BookLevel,1714))</f>
        <v/>
      </c>
      <c r="G1719" s="40" t="str">
        <f aca="false">IF(INDEX(BookTitle,1714)="","",INDEX(BookCategory,1714))</f>
        <v/>
      </c>
      <c r="H1719" s="40" t="str">
        <f aca="false">IF(INDEX(BookTitle,1714)="","",INDEX(BookRank,1714))</f>
        <v/>
      </c>
      <c r="I1719" s="41" t="str">
        <f aca="false">IF(INDEX(BookTitle,1714)="","",INDEX(BookTotal,1714))</f>
        <v/>
      </c>
      <c r="J1719" s="0" t="str">
        <f aca="false">IF($I1719="","",IF(INDEX(BookQ1,1714)&gt;0,"Q1",IF(INDEX(BookQ2,1714)&gt;0,"Q2",IF(INDEX(BookQ3,1714)&gt;0,"Q3",IF(INDEX(BookQ4,1714)&gt;0,"Q4","")))))</f>
        <v/>
      </c>
      <c r="K1719" s="42" t="str">
        <f aca="false">IF(INDEX(BookTitle,1714)="","",INDEX(BookInYear,1714))</f>
        <v/>
      </c>
      <c r="L1719" s="19"/>
      <c r="M1719" s="39"/>
      <c r="N1719" s="19"/>
      <c r="O1719" s="19"/>
      <c r="P1719" s="43" t="str">
        <f aca="false">IF($E1719="","",IF($L1719="Decline",0,IF($L1719="Approve fewer",IF($M1719="","",$M1719),IF($L1719="","",$I1719))))</f>
        <v/>
      </c>
      <c r="Q1719" s="34" t="str">
        <f aca="false">IF($P1719="","",IF($N1719&lt;&gt;"",$N1719,$J1719))</f>
        <v/>
      </c>
      <c r="R1719" s="35" t="str">
        <f aca="false">IF(OR($P1719="",$Q1719=""),"",INDEX(BookRate,1714)*$P1719*(5-MATCH($Q1719,{"Q1";"Q2";"Q3";"Q4"},0))/4+INDEX(BookOneOff,1714)*$P1719)</f>
        <v/>
      </c>
      <c r="S1719" s="35" t="str">
        <f aca="false">IF($P1719="","",INDEX(BookRate,1714)*$P1719)</f>
        <v/>
      </c>
      <c r="T1719" s="35" t="str">
        <f aca="false">IF($R1719="","",$R1719-$K1719)</f>
        <v/>
      </c>
      <c r="U1719" s="35" t="str">
        <f aca="false">IF(N($P1719)&lt;=0,"",COUNTIF($P$6:$P1719,"&gt;0"))</f>
        <v/>
      </c>
    </row>
    <row r="1720" customFormat="false" ht="15" hidden="false" customHeight="false" outlineLevel="0" collapsed="false">
      <c r="A1720" s="40" t="str">
        <f aca="false">IF(INDEX(BookTitle,1715)="","",INDEX(BookGroup,1715))</f>
        <v/>
      </c>
      <c r="B1720" s="40" t="str">
        <f aca="false">IF(INDEX(BookTitle,1715)="","",INDEX(BookRef,1715))</f>
        <v/>
      </c>
      <c r="C1720" s="40" t="str">
        <f aca="false">IF(INDEX(BookTitle,1715)="","",INDEX(BookDivision,1715))</f>
        <v/>
      </c>
      <c r="D1720" s="40" t="str">
        <f aca="false">IF(INDEX(BookTitle,1715)="","",INDEX(BookUnit,1715))</f>
        <v/>
      </c>
      <c r="E1720" s="40" t="str">
        <f aca="false">IF(INDEX(BookTitle,1715)="","",INDEX(BookTitle,1715))</f>
        <v/>
      </c>
      <c r="F1720" s="40" t="str">
        <f aca="false">IF(INDEX(BookTitle,1715)="","",INDEX(BookLevel,1715))</f>
        <v/>
      </c>
      <c r="G1720" s="40" t="str">
        <f aca="false">IF(INDEX(BookTitle,1715)="","",INDEX(BookCategory,1715))</f>
        <v/>
      </c>
      <c r="H1720" s="40" t="str">
        <f aca="false">IF(INDEX(BookTitle,1715)="","",INDEX(BookRank,1715))</f>
        <v/>
      </c>
      <c r="I1720" s="41" t="str">
        <f aca="false">IF(INDEX(BookTitle,1715)="","",INDEX(BookTotal,1715))</f>
        <v/>
      </c>
      <c r="J1720" s="0" t="str">
        <f aca="false">IF($I1720="","",IF(INDEX(BookQ1,1715)&gt;0,"Q1",IF(INDEX(BookQ2,1715)&gt;0,"Q2",IF(INDEX(BookQ3,1715)&gt;0,"Q3",IF(INDEX(BookQ4,1715)&gt;0,"Q4","")))))</f>
        <v/>
      </c>
      <c r="K1720" s="42" t="str">
        <f aca="false">IF(INDEX(BookTitle,1715)="","",INDEX(BookInYear,1715))</f>
        <v/>
      </c>
      <c r="L1720" s="19"/>
      <c r="M1720" s="39"/>
      <c r="N1720" s="19"/>
      <c r="O1720" s="19"/>
      <c r="P1720" s="43" t="str">
        <f aca="false">IF($E1720="","",IF($L1720="Decline",0,IF($L1720="Approve fewer",IF($M1720="","",$M1720),IF($L1720="","",$I1720))))</f>
        <v/>
      </c>
      <c r="Q1720" s="34" t="str">
        <f aca="false">IF($P1720="","",IF($N1720&lt;&gt;"",$N1720,$J1720))</f>
        <v/>
      </c>
      <c r="R1720" s="35" t="str">
        <f aca="false">IF(OR($P1720="",$Q1720=""),"",INDEX(BookRate,1715)*$P1720*(5-MATCH($Q1720,{"Q1";"Q2";"Q3";"Q4"},0))/4+INDEX(BookOneOff,1715)*$P1720)</f>
        <v/>
      </c>
      <c r="S1720" s="35" t="str">
        <f aca="false">IF($P1720="","",INDEX(BookRate,1715)*$P1720)</f>
        <v/>
      </c>
      <c r="T1720" s="35" t="str">
        <f aca="false">IF($R1720="","",$R1720-$K1720)</f>
        <v/>
      </c>
      <c r="U1720" s="35" t="str">
        <f aca="false">IF(N($P1720)&lt;=0,"",COUNTIF($P$6:$P1720,"&gt;0"))</f>
        <v/>
      </c>
    </row>
    <row r="1721" customFormat="false" ht="15" hidden="false" customHeight="false" outlineLevel="0" collapsed="false">
      <c r="A1721" s="40" t="str">
        <f aca="false">IF(INDEX(BookTitle,1716)="","",INDEX(BookGroup,1716))</f>
        <v/>
      </c>
      <c r="B1721" s="40" t="str">
        <f aca="false">IF(INDEX(BookTitle,1716)="","",INDEX(BookRef,1716))</f>
        <v/>
      </c>
      <c r="C1721" s="40" t="str">
        <f aca="false">IF(INDEX(BookTitle,1716)="","",INDEX(BookDivision,1716))</f>
        <v/>
      </c>
      <c r="D1721" s="40" t="str">
        <f aca="false">IF(INDEX(BookTitle,1716)="","",INDEX(BookUnit,1716))</f>
        <v/>
      </c>
      <c r="E1721" s="40" t="str">
        <f aca="false">IF(INDEX(BookTitle,1716)="","",INDEX(BookTitle,1716))</f>
        <v/>
      </c>
      <c r="F1721" s="40" t="str">
        <f aca="false">IF(INDEX(BookTitle,1716)="","",INDEX(BookLevel,1716))</f>
        <v/>
      </c>
      <c r="G1721" s="40" t="str">
        <f aca="false">IF(INDEX(BookTitle,1716)="","",INDEX(BookCategory,1716))</f>
        <v/>
      </c>
      <c r="H1721" s="40" t="str">
        <f aca="false">IF(INDEX(BookTitle,1716)="","",INDEX(BookRank,1716))</f>
        <v/>
      </c>
      <c r="I1721" s="41" t="str">
        <f aca="false">IF(INDEX(BookTitle,1716)="","",INDEX(BookTotal,1716))</f>
        <v/>
      </c>
      <c r="J1721" s="0" t="str">
        <f aca="false">IF($I1721="","",IF(INDEX(BookQ1,1716)&gt;0,"Q1",IF(INDEX(BookQ2,1716)&gt;0,"Q2",IF(INDEX(BookQ3,1716)&gt;0,"Q3",IF(INDEX(BookQ4,1716)&gt;0,"Q4","")))))</f>
        <v/>
      </c>
      <c r="K1721" s="42" t="str">
        <f aca="false">IF(INDEX(BookTitle,1716)="","",INDEX(BookInYear,1716))</f>
        <v/>
      </c>
      <c r="L1721" s="19"/>
      <c r="M1721" s="39"/>
      <c r="N1721" s="19"/>
      <c r="O1721" s="19"/>
      <c r="P1721" s="43" t="str">
        <f aca="false">IF($E1721="","",IF($L1721="Decline",0,IF($L1721="Approve fewer",IF($M1721="","",$M1721),IF($L1721="","",$I1721))))</f>
        <v/>
      </c>
      <c r="Q1721" s="34" t="str">
        <f aca="false">IF($P1721="","",IF($N1721&lt;&gt;"",$N1721,$J1721))</f>
        <v/>
      </c>
      <c r="R1721" s="35" t="str">
        <f aca="false">IF(OR($P1721="",$Q1721=""),"",INDEX(BookRate,1716)*$P1721*(5-MATCH($Q1721,{"Q1";"Q2";"Q3";"Q4"},0))/4+INDEX(BookOneOff,1716)*$P1721)</f>
        <v/>
      </c>
      <c r="S1721" s="35" t="str">
        <f aca="false">IF($P1721="","",INDEX(BookRate,1716)*$P1721)</f>
        <v/>
      </c>
      <c r="T1721" s="35" t="str">
        <f aca="false">IF($R1721="","",$R1721-$K1721)</f>
        <v/>
      </c>
      <c r="U1721" s="35" t="str">
        <f aca="false">IF(N($P1721)&lt;=0,"",COUNTIF($P$6:$P1721,"&gt;0"))</f>
        <v/>
      </c>
    </row>
    <row r="1722" customFormat="false" ht="15" hidden="false" customHeight="false" outlineLevel="0" collapsed="false">
      <c r="A1722" s="40" t="str">
        <f aca="false">IF(INDEX(BookTitle,1717)="","",INDEX(BookGroup,1717))</f>
        <v/>
      </c>
      <c r="B1722" s="40" t="str">
        <f aca="false">IF(INDEX(BookTitle,1717)="","",INDEX(BookRef,1717))</f>
        <v/>
      </c>
      <c r="C1722" s="40" t="str">
        <f aca="false">IF(INDEX(BookTitle,1717)="","",INDEX(BookDivision,1717))</f>
        <v/>
      </c>
      <c r="D1722" s="40" t="str">
        <f aca="false">IF(INDEX(BookTitle,1717)="","",INDEX(BookUnit,1717))</f>
        <v/>
      </c>
      <c r="E1722" s="40" t="str">
        <f aca="false">IF(INDEX(BookTitle,1717)="","",INDEX(BookTitle,1717))</f>
        <v/>
      </c>
      <c r="F1722" s="40" t="str">
        <f aca="false">IF(INDEX(BookTitle,1717)="","",INDEX(BookLevel,1717))</f>
        <v/>
      </c>
      <c r="G1722" s="40" t="str">
        <f aca="false">IF(INDEX(BookTitle,1717)="","",INDEX(BookCategory,1717))</f>
        <v/>
      </c>
      <c r="H1722" s="40" t="str">
        <f aca="false">IF(INDEX(BookTitle,1717)="","",INDEX(BookRank,1717))</f>
        <v/>
      </c>
      <c r="I1722" s="41" t="str">
        <f aca="false">IF(INDEX(BookTitle,1717)="","",INDEX(BookTotal,1717))</f>
        <v/>
      </c>
      <c r="J1722" s="0" t="str">
        <f aca="false">IF($I1722="","",IF(INDEX(BookQ1,1717)&gt;0,"Q1",IF(INDEX(BookQ2,1717)&gt;0,"Q2",IF(INDEX(BookQ3,1717)&gt;0,"Q3",IF(INDEX(BookQ4,1717)&gt;0,"Q4","")))))</f>
        <v/>
      </c>
      <c r="K1722" s="42" t="str">
        <f aca="false">IF(INDEX(BookTitle,1717)="","",INDEX(BookInYear,1717))</f>
        <v/>
      </c>
      <c r="L1722" s="19"/>
      <c r="M1722" s="39"/>
      <c r="N1722" s="19"/>
      <c r="O1722" s="19"/>
      <c r="P1722" s="43" t="str">
        <f aca="false">IF($E1722="","",IF($L1722="Decline",0,IF($L1722="Approve fewer",IF($M1722="","",$M1722),IF($L1722="","",$I1722))))</f>
        <v/>
      </c>
      <c r="Q1722" s="34" t="str">
        <f aca="false">IF($P1722="","",IF($N1722&lt;&gt;"",$N1722,$J1722))</f>
        <v/>
      </c>
      <c r="R1722" s="35" t="str">
        <f aca="false">IF(OR($P1722="",$Q1722=""),"",INDEX(BookRate,1717)*$P1722*(5-MATCH($Q1722,{"Q1";"Q2";"Q3";"Q4"},0))/4+INDEX(BookOneOff,1717)*$P1722)</f>
        <v/>
      </c>
      <c r="S1722" s="35" t="str">
        <f aca="false">IF($P1722="","",INDEX(BookRate,1717)*$P1722)</f>
        <v/>
      </c>
      <c r="T1722" s="35" t="str">
        <f aca="false">IF($R1722="","",$R1722-$K1722)</f>
        <v/>
      </c>
      <c r="U1722" s="35" t="str">
        <f aca="false">IF(N($P1722)&lt;=0,"",COUNTIF($P$6:$P1722,"&gt;0"))</f>
        <v/>
      </c>
    </row>
    <row r="1723" customFormat="false" ht="15" hidden="false" customHeight="false" outlineLevel="0" collapsed="false">
      <c r="A1723" s="40" t="str">
        <f aca="false">IF(INDEX(BookTitle,1718)="","",INDEX(BookGroup,1718))</f>
        <v/>
      </c>
      <c r="B1723" s="40" t="str">
        <f aca="false">IF(INDEX(BookTitle,1718)="","",INDEX(BookRef,1718))</f>
        <v/>
      </c>
      <c r="C1723" s="40" t="str">
        <f aca="false">IF(INDEX(BookTitle,1718)="","",INDEX(BookDivision,1718))</f>
        <v/>
      </c>
      <c r="D1723" s="40" t="str">
        <f aca="false">IF(INDEX(BookTitle,1718)="","",INDEX(BookUnit,1718))</f>
        <v/>
      </c>
      <c r="E1723" s="40" t="str">
        <f aca="false">IF(INDEX(BookTitle,1718)="","",INDEX(BookTitle,1718))</f>
        <v/>
      </c>
      <c r="F1723" s="40" t="str">
        <f aca="false">IF(INDEX(BookTitle,1718)="","",INDEX(BookLevel,1718))</f>
        <v/>
      </c>
      <c r="G1723" s="40" t="str">
        <f aca="false">IF(INDEX(BookTitle,1718)="","",INDEX(BookCategory,1718))</f>
        <v/>
      </c>
      <c r="H1723" s="40" t="str">
        <f aca="false">IF(INDEX(BookTitle,1718)="","",INDEX(BookRank,1718))</f>
        <v/>
      </c>
      <c r="I1723" s="41" t="str">
        <f aca="false">IF(INDEX(BookTitle,1718)="","",INDEX(BookTotal,1718))</f>
        <v/>
      </c>
      <c r="J1723" s="0" t="str">
        <f aca="false">IF($I1723="","",IF(INDEX(BookQ1,1718)&gt;0,"Q1",IF(INDEX(BookQ2,1718)&gt;0,"Q2",IF(INDEX(BookQ3,1718)&gt;0,"Q3",IF(INDEX(BookQ4,1718)&gt;0,"Q4","")))))</f>
        <v/>
      </c>
      <c r="K1723" s="42" t="str">
        <f aca="false">IF(INDEX(BookTitle,1718)="","",INDEX(BookInYear,1718))</f>
        <v/>
      </c>
      <c r="L1723" s="19"/>
      <c r="M1723" s="39"/>
      <c r="N1723" s="19"/>
      <c r="O1723" s="19"/>
      <c r="P1723" s="43" t="str">
        <f aca="false">IF($E1723="","",IF($L1723="Decline",0,IF($L1723="Approve fewer",IF($M1723="","",$M1723),IF($L1723="","",$I1723))))</f>
        <v/>
      </c>
      <c r="Q1723" s="34" t="str">
        <f aca="false">IF($P1723="","",IF($N1723&lt;&gt;"",$N1723,$J1723))</f>
        <v/>
      </c>
      <c r="R1723" s="35" t="str">
        <f aca="false">IF(OR($P1723="",$Q1723=""),"",INDEX(BookRate,1718)*$P1723*(5-MATCH($Q1723,{"Q1";"Q2";"Q3";"Q4"},0))/4+INDEX(BookOneOff,1718)*$P1723)</f>
        <v/>
      </c>
      <c r="S1723" s="35" t="str">
        <f aca="false">IF($P1723="","",INDEX(BookRate,1718)*$P1723)</f>
        <v/>
      </c>
      <c r="T1723" s="35" t="str">
        <f aca="false">IF($R1723="","",$R1723-$K1723)</f>
        <v/>
      </c>
      <c r="U1723" s="35" t="str">
        <f aca="false">IF(N($P1723)&lt;=0,"",COUNTIF($P$6:$P1723,"&gt;0"))</f>
        <v/>
      </c>
    </row>
    <row r="1724" customFormat="false" ht="15" hidden="false" customHeight="false" outlineLevel="0" collapsed="false">
      <c r="A1724" s="40" t="str">
        <f aca="false">IF(INDEX(BookTitle,1719)="","",INDEX(BookGroup,1719))</f>
        <v/>
      </c>
      <c r="B1724" s="40" t="str">
        <f aca="false">IF(INDEX(BookTitle,1719)="","",INDEX(BookRef,1719))</f>
        <v/>
      </c>
      <c r="C1724" s="40" t="str">
        <f aca="false">IF(INDEX(BookTitle,1719)="","",INDEX(BookDivision,1719))</f>
        <v/>
      </c>
      <c r="D1724" s="40" t="str">
        <f aca="false">IF(INDEX(BookTitle,1719)="","",INDEX(BookUnit,1719))</f>
        <v/>
      </c>
      <c r="E1724" s="40" t="str">
        <f aca="false">IF(INDEX(BookTitle,1719)="","",INDEX(BookTitle,1719))</f>
        <v/>
      </c>
      <c r="F1724" s="40" t="str">
        <f aca="false">IF(INDEX(BookTitle,1719)="","",INDEX(BookLevel,1719))</f>
        <v/>
      </c>
      <c r="G1724" s="40" t="str">
        <f aca="false">IF(INDEX(BookTitle,1719)="","",INDEX(BookCategory,1719))</f>
        <v/>
      </c>
      <c r="H1724" s="40" t="str">
        <f aca="false">IF(INDEX(BookTitle,1719)="","",INDEX(BookRank,1719))</f>
        <v/>
      </c>
      <c r="I1724" s="41" t="str">
        <f aca="false">IF(INDEX(BookTitle,1719)="","",INDEX(BookTotal,1719))</f>
        <v/>
      </c>
      <c r="J1724" s="0" t="str">
        <f aca="false">IF($I1724="","",IF(INDEX(BookQ1,1719)&gt;0,"Q1",IF(INDEX(BookQ2,1719)&gt;0,"Q2",IF(INDEX(BookQ3,1719)&gt;0,"Q3",IF(INDEX(BookQ4,1719)&gt;0,"Q4","")))))</f>
        <v/>
      </c>
      <c r="K1724" s="42" t="str">
        <f aca="false">IF(INDEX(BookTitle,1719)="","",INDEX(BookInYear,1719))</f>
        <v/>
      </c>
      <c r="L1724" s="19"/>
      <c r="M1724" s="39"/>
      <c r="N1724" s="19"/>
      <c r="O1724" s="19"/>
      <c r="P1724" s="43" t="str">
        <f aca="false">IF($E1724="","",IF($L1724="Decline",0,IF($L1724="Approve fewer",IF($M1724="","",$M1724),IF($L1724="","",$I1724))))</f>
        <v/>
      </c>
      <c r="Q1724" s="34" t="str">
        <f aca="false">IF($P1724="","",IF($N1724&lt;&gt;"",$N1724,$J1724))</f>
        <v/>
      </c>
      <c r="R1724" s="35" t="str">
        <f aca="false">IF(OR($P1724="",$Q1724=""),"",INDEX(BookRate,1719)*$P1724*(5-MATCH($Q1724,{"Q1";"Q2";"Q3";"Q4"},0))/4+INDEX(BookOneOff,1719)*$P1724)</f>
        <v/>
      </c>
      <c r="S1724" s="35" t="str">
        <f aca="false">IF($P1724="","",INDEX(BookRate,1719)*$P1724)</f>
        <v/>
      </c>
      <c r="T1724" s="35" t="str">
        <f aca="false">IF($R1724="","",$R1724-$K1724)</f>
        <v/>
      </c>
      <c r="U1724" s="35" t="str">
        <f aca="false">IF(N($P1724)&lt;=0,"",COUNTIF($P$6:$P1724,"&gt;0"))</f>
        <v/>
      </c>
    </row>
    <row r="1725" customFormat="false" ht="15" hidden="false" customHeight="false" outlineLevel="0" collapsed="false">
      <c r="A1725" s="40" t="str">
        <f aca="false">IF(INDEX(BookTitle,1720)="","",INDEX(BookGroup,1720))</f>
        <v/>
      </c>
      <c r="B1725" s="40" t="str">
        <f aca="false">IF(INDEX(BookTitle,1720)="","",INDEX(BookRef,1720))</f>
        <v/>
      </c>
      <c r="C1725" s="40" t="str">
        <f aca="false">IF(INDEX(BookTitle,1720)="","",INDEX(BookDivision,1720))</f>
        <v/>
      </c>
      <c r="D1725" s="40" t="str">
        <f aca="false">IF(INDEX(BookTitle,1720)="","",INDEX(BookUnit,1720))</f>
        <v/>
      </c>
      <c r="E1725" s="40" t="str">
        <f aca="false">IF(INDEX(BookTitle,1720)="","",INDEX(BookTitle,1720))</f>
        <v/>
      </c>
      <c r="F1725" s="40" t="str">
        <f aca="false">IF(INDEX(BookTitle,1720)="","",INDEX(BookLevel,1720))</f>
        <v/>
      </c>
      <c r="G1725" s="40" t="str">
        <f aca="false">IF(INDEX(BookTitle,1720)="","",INDEX(BookCategory,1720))</f>
        <v/>
      </c>
      <c r="H1725" s="40" t="str">
        <f aca="false">IF(INDEX(BookTitle,1720)="","",INDEX(BookRank,1720))</f>
        <v/>
      </c>
      <c r="I1725" s="41" t="str">
        <f aca="false">IF(INDEX(BookTitle,1720)="","",INDEX(BookTotal,1720))</f>
        <v/>
      </c>
      <c r="J1725" s="0" t="str">
        <f aca="false">IF($I1725="","",IF(INDEX(BookQ1,1720)&gt;0,"Q1",IF(INDEX(BookQ2,1720)&gt;0,"Q2",IF(INDEX(BookQ3,1720)&gt;0,"Q3",IF(INDEX(BookQ4,1720)&gt;0,"Q4","")))))</f>
        <v/>
      </c>
      <c r="K1725" s="42" t="str">
        <f aca="false">IF(INDEX(BookTitle,1720)="","",INDEX(BookInYear,1720))</f>
        <v/>
      </c>
      <c r="L1725" s="19"/>
      <c r="M1725" s="39"/>
      <c r="N1725" s="19"/>
      <c r="O1725" s="19"/>
      <c r="P1725" s="43" t="str">
        <f aca="false">IF($E1725="","",IF($L1725="Decline",0,IF($L1725="Approve fewer",IF($M1725="","",$M1725),IF($L1725="","",$I1725))))</f>
        <v/>
      </c>
      <c r="Q1725" s="34" t="str">
        <f aca="false">IF($P1725="","",IF($N1725&lt;&gt;"",$N1725,$J1725))</f>
        <v/>
      </c>
      <c r="R1725" s="35" t="str">
        <f aca="false">IF(OR($P1725="",$Q1725=""),"",INDEX(BookRate,1720)*$P1725*(5-MATCH($Q1725,{"Q1";"Q2";"Q3";"Q4"},0))/4+INDEX(BookOneOff,1720)*$P1725)</f>
        <v/>
      </c>
      <c r="S1725" s="35" t="str">
        <f aca="false">IF($P1725="","",INDEX(BookRate,1720)*$P1725)</f>
        <v/>
      </c>
      <c r="T1725" s="35" t="str">
        <f aca="false">IF($R1725="","",$R1725-$K1725)</f>
        <v/>
      </c>
      <c r="U1725" s="35" t="str">
        <f aca="false">IF(N($P1725)&lt;=0,"",COUNTIF($P$6:$P1725,"&gt;0"))</f>
        <v/>
      </c>
    </row>
    <row r="1726" customFormat="false" ht="15" hidden="false" customHeight="false" outlineLevel="0" collapsed="false">
      <c r="A1726" s="40" t="str">
        <f aca="false">IF(INDEX(BookTitle,1721)="","",INDEX(BookGroup,1721))</f>
        <v/>
      </c>
      <c r="B1726" s="40" t="str">
        <f aca="false">IF(INDEX(BookTitle,1721)="","",INDEX(BookRef,1721))</f>
        <v/>
      </c>
      <c r="C1726" s="40" t="str">
        <f aca="false">IF(INDEX(BookTitle,1721)="","",INDEX(BookDivision,1721))</f>
        <v/>
      </c>
      <c r="D1726" s="40" t="str">
        <f aca="false">IF(INDEX(BookTitle,1721)="","",INDEX(BookUnit,1721))</f>
        <v/>
      </c>
      <c r="E1726" s="40" t="str">
        <f aca="false">IF(INDEX(BookTitle,1721)="","",INDEX(BookTitle,1721))</f>
        <v/>
      </c>
      <c r="F1726" s="40" t="str">
        <f aca="false">IF(INDEX(BookTitle,1721)="","",INDEX(BookLevel,1721))</f>
        <v/>
      </c>
      <c r="G1726" s="40" t="str">
        <f aca="false">IF(INDEX(BookTitle,1721)="","",INDEX(BookCategory,1721))</f>
        <v/>
      </c>
      <c r="H1726" s="40" t="str">
        <f aca="false">IF(INDEX(BookTitle,1721)="","",INDEX(BookRank,1721))</f>
        <v/>
      </c>
      <c r="I1726" s="41" t="str">
        <f aca="false">IF(INDEX(BookTitle,1721)="","",INDEX(BookTotal,1721))</f>
        <v/>
      </c>
      <c r="J1726" s="0" t="str">
        <f aca="false">IF($I1726="","",IF(INDEX(BookQ1,1721)&gt;0,"Q1",IF(INDEX(BookQ2,1721)&gt;0,"Q2",IF(INDEX(BookQ3,1721)&gt;0,"Q3",IF(INDEX(BookQ4,1721)&gt;0,"Q4","")))))</f>
        <v/>
      </c>
      <c r="K1726" s="42" t="str">
        <f aca="false">IF(INDEX(BookTitle,1721)="","",INDEX(BookInYear,1721))</f>
        <v/>
      </c>
      <c r="L1726" s="19"/>
      <c r="M1726" s="39"/>
      <c r="N1726" s="19"/>
      <c r="O1726" s="19"/>
      <c r="P1726" s="43" t="str">
        <f aca="false">IF($E1726="","",IF($L1726="Decline",0,IF($L1726="Approve fewer",IF($M1726="","",$M1726),IF($L1726="","",$I1726))))</f>
        <v/>
      </c>
      <c r="Q1726" s="34" t="str">
        <f aca="false">IF($P1726="","",IF($N1726&lt;&gt;"",$N1726,$J1726))</f>
        <v/>
      </c>
      <c r="R1726" s="35" t="str">
        <f aca="false">IF(OR($P1726="",$Q1726=""),"",INDEX(BookRate,1721)*$P1726*(5-MATCH($Q1726,{"Q1";"Q2";"Q3";"Q4"},0))/4+INDEX(BookOneOff,1721)*$P1726)</f>
        <v/>
      </c>
      <c r="S1726" s="35" t="str">
        <f aca="false">IF($P1726="","",INDEX(BookRate,1721)*$P1726)</f>
        <v/>
      </c>
      <c r="T1726" s="35" t="str">
        <f aca="false">IF($R1726="","",$R1726-$K1726)</f>
        <v/>
      </c>
      <c r="U1726" s="35" t="str">
        <f aca="false">IF(N($P1726)&lt;=0,"",COUNTIF($P$6:$P1726,"&gt;0"))</f>
        <v/>
      </c>
    </row>
    <row r="1727" customFormat="false" ht="15" hidden="false" customHeight="false" outlineLevel="0" collapsed="false">
      <c r="A1727" s="40" t="str">
        <f aca="false">IF(INDEX(BookTitle,1722)="","",INDEX(BookGroup,1722))</f>
        <v/>
      </c>
      <c r="B1727" s="40" t="str">
        <f aca="false">IF(INDEX(BookTitle,1722)="","",INDEX(BookRef,1722))</f>
        <v/>
      </c>
      <c r="C1727" s="40" t="str">
        <f aca="false">IF(INDEX(BookTitle,1722)="","",INDEX(BookDivision,1722))</f>
        <v/>
      </c>
      <c r="D1727" s="40" t="str">
        <f aca="false">IF(INDEX(BookTitle,1722)="","",INDEX(BookUnit,1722))</f>
        <v/>
      </c>
      <c r="E1727" s="40" t="str">
        <f aca="false">IF(INDEX(BookTitle,1722)="","",INDEX(BookTitle,1722))</f>
        <v/>
      </c>
      <c r="F1727" s="40" t="str">
        <f aca="false">IF(INDEX(BookTitle,1722)="","",INDEX(BookLevel,1722))</f>
        <v/>
      </c>
      <c r="G1727" s="40" t="str">
        <f aca="false">IF(INDEX(BookTitle,1722)="","",INDEX(BookCategory,1722))</f>
        <v/>
      </c>
      <c r="H1727" s="40" t="str">
        <f aca="false">IF(INDEX(BookTitle,1722)="","",INDEX(BookRank,1722))</f>
        <v/>
      </c>
      <c r="I1727" s="41" t="str">
        <f aca="false">IF(INDEX(BookTitle,1722)="","",INDEX(BookTotal,1722))</f>
        <v/>
      </c>
      <c r="J1727" s="0" t="str">
        <f aca="false">IF($I1727="","",IF(INDEX(BookQ1,1722)&gt;0,"Q1",IF(INDEX(BookQ2,1722)&gt;0,"Q2",IF(INDEX(BookQ3,1722)&gt;0,"Q3",IF(INDEX(BookQ4,1722)&gt;0,"Q4","")))))</f>
        <v/>
      </c>
      <c r="K1727" s="42" t="str">
        <f aca="false">IF(INDEX(BookTitle,1722)="","",INDEX(BookInYear,1722))</f>
        <v/>
      </c>
      <c r="L1727" s="19"/>
      <c r="M1727" s="39"/>
      <c r="N1727" s="19"/>
      <c r="O1727" s="19"/>
      <c r="P1727" s="43" t="str">
        <f aca="false">IF($E1727="","",IF($L1727="Decline",0,IF($L1727="Approve fewer",IF($M1727="","",$M1727),IF($L1727="","",$I1727))))</f>
        <v/>
      </c>
      <c r="Q1727" s="34" t="str">
        <f aca="false">IF($P1727="","",IF($N1727&lt;&gt;"",$N1727,$J1727))</f>
        <v/>
      </c>
      <c r="R1727" s="35" t="str">
        <f aca="false">IF(OR($P1727="",$Q1727=""),"",INDEX(BookRate,1722)*$P1727*(5-MATCH($Q1727,{"Q1";"Q2";"Q3";"Q4"},0))/4+INDEX(BookOneOff,1722)*$P1727)</f>
        <v/>
      </c>
      <c r="S1727" s="35" t="str">
        <f aca="false">IF($P1727="","",INDEX(BookRate,1722)*$P1727)</f>
        <v/>
      </c>
      <c r="T1727" s="35" t="str">
        <f aca="false">IF($R1727="","",$R1727-$K1727)</f>
        <v/>
      </c>
      <c r="U1727" s="35" t="str">
        <f aca="false">IF(N($P1727)&lt;=0,"",COUNTIF($P$6:$P1727,"&gt;0"))</f>
        <v/>
      </c>
    </row>
    <row r="1728" customFormat="false" ht="15" hidden="false" customHeight="false" outlineLevel="0" collapsed="false">
      <c r="A1728" s="40" t="str">
        <f aca="false">IF(INDEX(BookTitle,1723)="","",INDEX(BookGroup,1723))</f>
        <v/>
      </c>
      <c r="B1728" s="40" t="str">
        <f aca="false">IF(INDEX(BookTitle,1723)="","",INDEX(BookRef,1723))</f>
        <v/>
      </c>
      <c r="C1728" s="40" t="str">
        <f aca="false">IF(INDEX(BookTitle,1723)="","",INDEX(BookDivision,1723))</f>
        <v/>
      </c>
      <c r="D1728" s="40" t="str">
        <f aca="false">IF(INDEX(BookTitle,1723)="","",INDEX(BookUnit,1723))</f>
        <v/>
      </c>
      <c r="E1728" s="40" t="str">
        <f aca="false">IF(INDEX(BookTitle,1723)="","",INDEX(BookTitle,1723))</f>
        <v/>
      </c>
      <c r="F1728" s="40" t="str">
        <f aca="false">IF(INDEX(BookTitle,1723)="","",INDEX(BookLevel,1723))</f>
        <v/>
      </c>
      <c r="G1728" s="40" t="str">
        <f aca="false">IF(INDEX(BookTitle,1723)="","",INDEX(BookCategory,1723))</f>
        <v/>
      </c>
      <c r="H1728" s="40" t="str">
        <f aca="false">IF(INDEX(BookTitle,1723)="","",INDEX(BookRank,1723))</f>
        <v/>
      </c>
      <c r="I1728" s="41" t="str">
        <f aca="false">IF(INDEX(BookTitle,1723)="","",INDEX(BookTotal,1723))</f>
        <v/>
      </c>
      <c r="J1728" s="0" t="str">
        <f aca="false">IF($I1728="","",IF(INDEX(BookQ1,1723)&gt;0,"Q1",IF(INDEX(BookQ2,1723)&gt;0,"Q2",IF(INDEX(BookQ3,1723)&gt;0,"Q3",IF(INDEX(BookQ4,1723)&gt;0,"Q4","")))))</f>
        <v/>
      </c>
      <c r="K1728" s="42" t="str">
        <f aca="false">IF(INDEX(BookTitle,1723)="","",INDEX(BookInYear,1723))</f>
        <v/>
      </c>
      <c r="L1728" s="19"/>
      <c r="M1728" s="39"/>
      <c r="N1728" s="19"/>
      <c r="O1728" s="19"/>
      <c r="P1728" s="43" t="str">
        <f aca="false">IF($E1728="","",IF($L1728="Decline",0,IF($L1728="Approve fewer",IF($M1728="","",$M1728),IF($L1728="","",$I1728))))</f>
        <v/>
      </c>
      <c r="Q1728" s="34" t="str">
        <f aca="false">IF($P1728="","",IF($N1728&lt;&gt;"",$N1728,$J1728))</f>
        <v/>
      </c>
      <c r="R1728" s="35" t="str">
        <f aca="false">IF(OR($P1728="",$Q1728=""),"",INDEX(BookRate,1723)*$P1728*(5-MATCH($Q1728,{"Q1";"Q2";"Q3";"Q4"},0))/4+INDEX(BookOneOff,1723)*$P1728)</f>
        <v/>
      </c>
      <c r="S1728" s="35" t="str">
        <f aca="false">IF($P1728="","",INDEX(BookRate,1723)*$P1728)</f>
        <v/>
      </c>
      <c r="T1728" s="35" t="str">
        <f aca="false">IF($R1728="","",$R1728-$K1728)</f>
        <v/>
      </c>
      <c r="U1728" s="35" t="str">
        <f aca="false">IF(N($P1728)&lt;=0,"",COUNTIF($P$6:$P1728,"&gt;0"))</f>
        <v/>
      </c>
    </row>
    <row r="1729" customFormat="false" ht="15" hidden="false" customHeight="false" outlineLevel="0" collapsed="false">
      <c r="A1729" s="40" t="str">
        <f aca="false">IF(INDEX(BookTitle,1724)="","",INDEX(BookGroup,1724))</f>
        <v/>
      </c>
      <c r="B1729" s="40" t="str">
        <f aca="false">IF(INDEX(BookTitle,1724)="","",INDEX(BookRef,1724))</f>
        <v/>
      </c>
      <c r="C1729" s="40" t="str">
        <f aca="false">IF(INDEX(BookTitle,1724)="","",INDEX(BookDivision,1724))</f>
        <v/>
      </c>
      <c r="D1729" s="40" t="str">
        <f aca="false">IF(INDEX(BookTitle,1724)="","",INDEX(BookUnit,1724))</f>
        <v/>
      </c>
      <c r="E1729" s="40" t="str">
        <f aca="false">IF(INDEX(BookTitle,1724)="","",INDEX(BookTitle,1724))</f>
        <v/>
      </c>
      <c r="F1729" s="40" t="str">
        <f aca="false">IF(INDEX(BookTitle,1724)="","",INDEX(BookLevel,1724))</f>
        <v/>
      </c>
      <c r="G1729" s="40" t="str">
        <f aca="false">IF(INDEX(BookTitle,1724)="","",INDEX(BookCategory,1724))</f>
        <v/>
      </c>
      <c r="H1729" s="40" t="str">
        <f aca="false">IF(INDEX(BookTitle,1724)="","",INDEX(BookRank,1724))</f>
        <v/>
      </c>
      <c r="I1729" s="41" t="str">
        <f aca="false">IF(INDEX(BookTitle,1724)="","",INDEX(BookTotal,1724))</f>
        <v/>
      </c>
      <c r="J1729" s="0" t="str">
        <f aca="false">IF($I1729="","",IF(INDEX(BookQ1,1724)&gt;0,"Q1",IF(INDEX(BookQ2,1724)&gt;0,"Q2",IF(INDEX(BookQ3,1724)&gt;0,"Q3",IF(INDEX(BookQ4,1724)&gt;0,"Q4","")))))</f>
        <v/>
      </c>
      <c r="K1729" s="42" t="str">
        <f aca="false">IF(INDEX(BookTitle,1724)="","",INDEX(BookInYear,1724))</f>
        <v/>
      </c>
      <c r="L1729" s="19"/>
      <c r="M1729" s="39"/>
      <c r="N1729" s="19"/>
      <c r="O1729" s="19"/>
      <c r="P1729" s="43" t="str">
        <f aca="false">IF($E1729="","",IF($L1729="Decline",0,IF($L1729="Approve fewer",IF($M1729="","",$M1729),IF($L1729="","",$I1729))))</f>
        <v/>
      </c>
      <c r="Q1729" s="34" t="str">
        <f aca="false">IF($P1729="","",IF($N1729&lt;&gt;"",$N1729,$J1729))</f>
        <v/>
      </c>
      <c r="R1729" s="35" t="str">
        <f aca="false">IF(OR($P1729="",$Q1729=""),"",INDEX(BookRate,1724)*$P1729*(5-MATCH($Q1729,{"Q1";"Q2";"Q3";"Q4"},0))/4+INDEX(BookOneOff,1724)*$P1729)</f>
        <v/>
      </c>
      <c r="S1729" s="35" t="str">
        <f aca="false">IF($P1729="","",INDEX(BookRate,1724)*$P1729)</f>
        <v/>
      </c>
      <c r="T1729" s="35" t="str">
        <f aca="false">IF($R1729="","",$R1729-$K1729)</f>
        <v/>
      </c>
      <c r="U1729" s="35" t="str">
        <f aca="false">IF(N($P1729)&lt;=0,"",COUNTIF($P$6:$P1729,"&gt;0"))</f>
        <v/>
      </c>
    </row>
    <row r="1730" customFormat="false" ht="15" hidden="false" customHeight="false" outlineLevel="0" collapsed="false">
      <c r="A1730" s="40" t="str">
        <f aca="false">IF(INDEX(BookTitle,1725)="","",INDEX(BookGroup,1725))</f>
        <v/>
      </c>
      <c r="B1730" s="40" t="str">
        <f aca="false">IF(INDEX(BookTitle,1725)="","",INDEX(BookRef,1725))</f>
        <v/>
      </c>
      <c r="C1730" s="40" t="str">
        <f aca="false">IF(INDEX(BookTitle,1725)="","",INDEX(BookDivision,1725))</f>
        <v/>
      </c>
      <c r="D1730" s="40" t="str">
        <f aca="false">IF(INDEX(BookTitle,1725)="","",INDEX(BookUnit,1725))</f>
        <v/>
      </c>
      <c r="E1730" s="40" t="str">
        <f aca="false">IF(INDEX(BookTitle,1725)="","",INDEX(BookTitle,1725))</f>
        <v/>
      </c>
      <c r="F1730" s="40" t="str">
        <f aca="false">IF(INDEX(BookTitle,1725)="","",INDEX(BookLevel,1725))</f>
        <v/>
      </c>
      <c r="G1730" s="40" t="str">
        <f aca="false">IF(INDEX(BookTitle,1725)="","",INDEX(BookCategory,1725))</f>
        <v/>
      </c>
      <c r="H1730" s="40" t="str">
        <f aca="false">IF(INDEX(BookTitle,1725)="","",INDEX(BookRank,1725))</f>
        <v/>
      </c>
      <c r="I1730" s="41" t="str">
        <f aca="false">IF(INDEX(BookTitle,1725)="","",INDEX(BookTotal,1725))</f>
        <v/>
      </c>
      <c r="J1730" s="0" t="str">
        <f aca="false">IF($I1730="","",IF(INDEX(BookQ1,1725)&gt;0,"Q1",IF(INDEX(BookQ2,1725)&gt;0,"Q2",IF(INDEX(BookQ3,1725)&gt;0,"Q3",IF(INDEX(BookQ4,1725)&gt;0,"Q4","")))))</f>
        <v/>
      </c>
      <c r="K1730" s="42" t="str">
        <f aca="false">IF(INDEX(BookTitle,1725)="","",INDEX(BookInYear,1725))</f>
        <v/>
      </c>
      <c r="L1730" s="19"/>
      <c r="M1730" s="39"/>
      <c r="N1730" s="19"/>
      <c r="O1730" s="19"/>
      <c r="P1730" s="43" t="str">
        <f aca="false">IF($E1730="","",IF($L1730="Decline",0,IF($L1730="Approve fewer",IF($M1730="","",$M1730),IF($L1730="","",$I1730))))</f>
        <v/>
      </c>
      <c r="Q1730" s="34" t="str">
        <f aca="false">IF($P1730="","",IF($N1730&lt;&gt;"",$N1730,$J1730))</f>
        <v/>
      </c>
      <c r="R1730" s="35" t="str">
        <f aca="false">IF(OR($P1730="",$Q1730=""),"",INDEX(BookRate,1725)*$P1730*(5-MATCH($Q1730,{"Q1";"Q2";"Q3";"Q4"},0))/4+INDEX(BookOneOff,1725)*$P1730)</f>
        <v/>
      </c>
      <c r="S1730" s="35" t="str">
        <f aca="false">IF($P1730="","",INDEX(BookRate,1725)*$P1730)</f>
        <v/>
      </c>
      <c r="T1730" s="35" t="str">
        <f aca="false">IF($R1730="","",$R1730-$K1730)</f>
        <v/>
      </c>
      <c r="U1730" s="35" t="str">
        <f aca="false">IF(N($P1730)&lt;=0,"",COUNTIF($P$6:$P1730,"&gt;0"))</f>
        <v/>
      </c>
    </row>
    <row r="1731" customFormat="false" ht="15" hidden="false" customHeight="false" outlineLevel="0" collapsed="false">
      <c r="A1731" s="40" t="str">
        <f aca="false">IF(INDEX(BookTitle,1726)="","",INDEX(BookGroup,1726))</f>
        <v/>
      </c>
      <c r="B1731" s="40" t="str">
        <f aca="false">IF(INDEX(BookTitle,1726)="","",INDEX(BookRef,1726))</f>
        <v/>
      </c>
      <c r="C1731" s="40" t="str">
        <f aca="false">IF(INDEX(BookTitle,1726)="","",INDEX(BookDivision,1726))</f>
        <v/>
      </c>
      <c r="D1731" s="40" t="str">
        <f aca="false">IF(INDEX(BookTitle,1726)="","",INDEX(BookUnit,1726))</f>
        <v/>
      </c>
      <c r="E1731" s="40" t="str">
        <f aca="false">IF(INDEX(BookTitle,1726)="","",INDEX(BookTitle,1726))</f>
        <v/>
      </c>
      <c r="F1731" s="40" t="str">
        <f aca="false">IF(INDEX(BookTitle,1726)="","",INDEX(BookLevel,1726))</f>
        <v/>
      </c>
      <c r="G1731" s="40" t="str">
        <f aca="false">IF(INDEX(BookTitle,1726)="","",INDEX(BookCategory,1726))</f>
        <v/>
      </c>
      <c r="H1731" s="40" t="str">
        <f aca="false">IF(INDEX(BookTitle,1726)="","",INDEX(BookRank,1726))</f>
        <v/>
      </c>
      <c r="I1731" s="41" t="str">
        <f aca="false">IF(INDEX(BookTitle,1726)="","",INDEX(BookTotal,1726))</f>
        <v/>
      </c>
      <c r="J1731" s="0" t="str">
        <f aca="false">IF($I1731="","",IF(INDEX(BookQ1,1726)&gt;0,"Q1",IF(INDEX(BookQ2,1726)&gt;0,"Q2",IF(INDEX(BookQ3,1726)&gt;0,"Q3",IF(INDEX(BookQ4,1726)&gt;0,"Q4","")))))</f>
        <v/>
      </c>
      <c r="K1731" s="42" t="str">
        <f aca="false">IF(INDEX(BookTitle,1726)="","",INDEX(BookInYear,1726))</f>
        <v/>
      </c>
      <c r="L1731" s="19"/>
      <c r="M1731" s="39"/>
      <c r="N1731" s="19"/>
      <c r="O1731" s="19"/>
      <c r="P1731" s="43" t="str">
        <f aca="false">IF($E1731="","",IF($L1731="Decline",0,IF($L1731="Approve fewer",IF($M1731="","",$M1731),IF($L1731="","",$I1731))))</f>
        <v/>
      </c>
      <c r="Q1731" s="34" t="str">
        <f aca="false">IF($P1731="","",IF($N1731&lt;&gt;"",$N1731,$J1731))</f>
        <v/>
      </c>
      <c r="R1731" s="35" t="str">
        <f aca="false">IF(OR($P1731="",$Q1731=""),"",INDEX(BookRate,1726)*$P1731*(5-MATCH($Q1731,{"Q1";"Q2";"Q3";"Q4"},0))/4+INDEX(BookOneOff,1726)*$P1731)</f>
        <v/>
      </c>
      <c r="S1731" s="35" t="str">
        <f aca="false">IF($P1731="","",INDEX(BookRate,1726)*$P1731)</f>
        <v/>
      </c>
      <c r="T1731" s="35" t="str">
        <f aca="false">IF($R1731="","",$R1731-$K1731)</f>
        <v/>
      </c>
      <c r="U1731" s="35" t="str">
        <f aca="false">IF(N($P1731)&lt;=0,"",COUNTIF($P$6:$P1731,"&gt;0"))</f>
        <v/>
      </c>
    </row>
    <row r="1732" customFormat="false" ht="15" hidden="false" customHeight="false" outlineLevel="0" collapsed="false">
      <c r="A1732" s="40" t="str">
        <f aca="false">IF(INDEX(BookTitle,1727)="","",INDEX(BookGroup,1727))</f>
        <v/>
      </c>
      <c r="B1732" s="40" t="str">
        <f aca="false">IF(INDEX(BookTitle,1727)="","",INDEX(BookRef,1727))</f>
        <v/>
      </c>
      <c r="C1732" s="40" t="str">
        <f aca="false">IF(INDEX(BookTitle,1727)="","",INDEX(BookDivision,1727))</f>
        <v/>
      </c>
      <c r="D1732" s="40" t="str">
        <f aca="false">IF(INDEX(BookTitle,1727)="","",INDEX(BookUnit,1727))</f>
        <v/>
      </c>
      <c r="E1732" s="40" t="str">
        <f aca="false">IF(INDEX(BookTitle,1727)="","",INDEX(BookTitle,1727))</f>
        <v/>
      </c>
      <c r="F1732" s="40" t="str">
        <f aca="false">IF(INDEX(BookTitle,1727)="","",INDEX(BookLevel,1727))</f>
        <v/>
      </c>
      <c r="G1732" s="40" t="str">
        <f aca="false">IF(INDEX(BookTitle,1727)="","",INDEX(BookCategory,1727))</f>
        <v/>
      </c>
      <c r="H1732" s="40" t="str">
        <f aca="false">IF(INDEX(BookTitle,1727)="","",INDEX(BookRank,1727))</f>
        <v/>
      </c>
      <c r="I1732" s="41" t="str">
        <f aca="false">IF(INDEX(BookTitle,1727)="","",INDEX(BookTotal,1727))</f>
        <v/>
      </c>
      <c r="J1732" s="0" t="str">
        <f aca="false">IF($I1732="","",IF(INDEX(BookQ1,1727)&gt;0,"Q1",IF(INDEX(BookQ2,1727)&gt;0,"Q2",IF(INDEX(BookQ3,1727)&gt;0,"Q3",IF(INDEX(BookQ4,1727)&gt;0,"Q4","")))))</f>
        <v/>
      </c>
      <c r="K1732" s="42" t="str">
        <f aca="false">IF(INDEX(BookTitle,1727)="","",INDEX(BookInYear,1727))</f>
        <v/>
      </c>
      <c r="L1732" s="19"/>
      <c r="M1732" s="39"/>
      <c r="N1732" s="19"/>
      <c r="O1732" s="19"/>
      <c r="P1732" s="43" t="str">
        <f aca="false">IF($E1732="","",IF($L1732="Decline",0,IF($L1732="Approve fewer",IF($M1732="","",$M1732),IF($L1732="","",$I1732))))</f>
        <v/>
      </c>
      <c r="Q1732" s="34" t="str">
        <f aca="false">IF($P1732="","",IF($N1732&lt;&gt;"",$N1732,$J1732))</f>
        <v/>
      </c>
      <c r="R1732" s="35" t="str">
        <f aca="false">IF(OR($P1732="",$Q1732=""),"",INDEX(BookRate,1727)*$P1732*(5-MATCH($Q1732,{"Q1";"Q2";"Q3";"Q4"},0))/4+INDEX(BookOneOff,1727)*$P1732)</f>
        <v/>
      </c>
      <c r="S1732" s="35" t="str">
        <f aca="false">IF($P1732="","",INDEX(BookRate,1727)*$P1732)</f>
        <v/>
      </c>
      <c r="T1732" s="35" t="str">
        <f aca="false">IF($R1732="","",$R1732-$K1732)</f>
        <v/>
      </c>
      <c r="U1732" s="35" t="str">
        <f aca="false">IF(N($P1732)&lt;=0,"",COUNTIF($P$6:$P1732,"&gt;0"))</f>
        <v/>
      </c>
    </row>
    <row r="1733" customFormat="false" ht="15" hidden="false" customHeight="false" outlineLevel="0" collapsed="false">
      <c r="A1733" s="40" t="str">
        <f aca="false">IF(INDEX(BookTitle,1728)="","",INDEX(BookGroup,1728))</f>
        <v/>
      </c>
      <c r="B1733" s="40" t="str">
        <f aca="false">IF(INDEX(BookTitle,1728)="","",INDEX(BookRef,1728))</f>
        <v/>
      </c>
      <c r="C1733" s="40" t="str">
        <f aca="false">IF(INDEX(BookTitle,1728)="","",INDEX(BookDivision,1728))</f>
        <v/>
      </c>
      <c r="D1733" s="40" t="str">
        <f aca="false">IF(INDEX(BookTitle,1728)="","",INDEX(BookUnit,1728))</f>
        <v/>
      </c>
      <c r="E1733" s="40" t="str">
        <f aca="false">IF(INDEX(BookTitle,1728)="","",INDEX(BookTitle,1728))</f>
        <v/>
      </c>
      <c r="F1733" s="40" t="str">
        <f aca="false">IF(INDEX(BookTitle,1728)="","",INDEX(BookLevel,1728))</f>
        <v/>
      </c>
      <c r="G1733" s="40" t="str">
        <f aca="false">IF(INDEX(BookTitle,1728)="","",INDEX(BookCategory,1728))</f>
        <v/>
      </c>
      <c r="H1733" s="40" t="str">
        <f aca="false">IF(INDEX(BookTitle,1728)="","",INDEX(BookRank,1728))</f>
        <v/>
      </c>
      <c r="I1733" s="41" t="str">
        <f aca="false">IF(INDEX(BookTitle,1728)="","",INDEX(BookTotal,1728))</f>
        <v/>
      </c>
      <c r="J1733" s="0" t="str">
        <f aca="false">IF($I1733="","",IF(INDEX(BookQ1,1728)&gt;0,"Q1",IF(INDEX(BookQ2,1728)&gt;0,"Q2",IF(INDEX(BookQ3,1728)&gt;0,"Q3",IF(INDEX(BookQ4,1728)&gt;0,"Q4","")))))</f>
        <v/>
      </c>
      <c r="K1733" s="42" t="str">
        <f aca="false">IF(INDEX(BookTitle,1728)="","",INDEX(BookInYear,1728))</f>
        <v/>
      </c>
      <c r="L1733" s="19"/>
      <c r="M1733" s="39"/>
      <c r="N1733" s="19"/>
      <c r="O1733" s="19"/>
      <c r="P1733" s="43" t="str">
        <f aca="false">IF($E1733="","",IF($L1733="Decline",0,IF($L1733="Approve fewer",IF($M1733="","",$M1733),IF($L1733="","",$I1733))))</f>
        <v/>
      </c>
      <c r="Q1733" s="34" t="str">
        <f aca="false">IF($P1733="","",IF($N1733&lt;&gt;"",$N1733,$J1733))</f>
        <v/>
      </c>
      <c r="R1733" s="35" t="str">
        <f aca="false">IF(OR($P1733="",$Q1733=""),"",INDEX(BookRate,1728)*$P1733*(5-MATCH($Q1733,{"Q1";"Q2";"Q3";"Q4"},0))/4+INDEX(BookOneOff,1728)*$P1733)</f>
        <v/>
      </c>
      <c r="S1733" s="35" t="str">
        <f aca="false">IF($P1733="","",INDEX(BookRate,1728)*$P1733)</f>
        <v/>
      </c>
      <c r="T1733" s="35" t="str">
        <f aca="false">IF($R1733="","",$R1733-$K1733)</f>
        <v/>
      </c>
      <c r="U1733" s="35" t="str">
        <f aca="false">IF(N($P1733)&lt;=0,"",COUNTIF($P$6:$P1733,"&gt;0"))</f>
        <v/>
      </c>
    </row>
    <row r="1734" customFormat="false" ht="15" hidden="false" customHeight="false" outlineLevel="0" collapsed="false">
      <c r="A1734" s="40" t="str">
        <f aca="false">IF(INDEX(BookTitle,1729)="","",INDEX(BookGroup,1729))</f>
        <v/>
      </c>
      <c r="B1734" s="40" t="str">
        <f aca="false">IF(INDEX(BookTitle,1729)="","",INDEX(BookRef,1729))</f>
        <v/>
      </c>
      <c r="C1734" s="40" t="str">
        <f aca="false">IF(INDEX(BookTitle,1729)="","",INDEX(BookDivision,1729))</f>
        <v/>
      </c>
      <c r="D1734" s="40" t="str">
        <f aca="false">IF(INDEX(BookTitle,1729)="","",INDEX(BookUnit,1729))</f>
        <v/>
      </c>
      <c r="E1734" s="40" t="str">
        <f aca="false">IF(INDEX(BookTitle,1729)="","",INDEX(BookTitle,1729))</f>
        <v/>
      </c>
      <c r="F1734" s="40" t="str">
        <f aca="false">IF(INDEX(BookTitle,1729)="","",INDEX(BookLevel,1729))</f>
        <v/>
      </c>
      <c r="G1734" s="40" t="str">
        <f aca="false">IF(INDEX(BookTitle,1729)="","",INDEX(BookCategory,1729))</f>
        <v/>
      </c>
      <c r="H1734" s="40" t="str">
        <f aca="false">IF(INDEX(BookTitle,1729)="","",INDEX(BookRank,1729))</f>
        <v/>
      </c>
      <c r="I1734" s="41" t="str">
        <f aca="false">IF(INDEX(BookTitle,1729)="","",INDEX(BookTotal,1729))</f>
        <v/>
      </c>
      <c r="J1734" s="0" t="str">
        <f aca="false">IF($I1734="","",IF(INDEX(BookQ1,1729)&gt;0,"Q1",IF(INDEX(BookQ2,1729)&gt;0,"Q2",IF(INDEX(BookQ3,1729)&gt;0,"Q3",IF(INDEX(BookQ4,1729)&gt;0,"Q4","")))))</f>
        <v/>
      </c>
      <c r="K1734" s="42" t="str">
        <f aca="false">IF(INDEX(BookTitle,1729)="","",INDEX(BookInYear,1729))</f>
        <v/>
      </c>
      <c r="L1734" s="19"/>
      <c r="M1734" s="39"/>
      <c r="N1734" s="19"/>
      <c r="O1734" s="19"/>
      <c r="P1734" s="43" t="str">
        <f aca="false">IF($E1734="","",IF($L1734="Decline",0,IF($L1734="Approve fewer",IF($M1734="","",$M1734),IF($L1734="","",$I1734))))</f>
        <v/>
      </c>
      <c r="Q1734" s="34" t="str">
        <f aca="false">IF($P1734="","",IF($N1734&lt;&gt;"",$N1734,$J1734))</f>
        <v/>
      </c>
      <c r="R1734" s="35" t="str">
        <f aca="false">IF(OR($P1734="",$Q1734=""),"",INDEX(BookRate,1729)*$P1734*(5-MATCH($Q1734,{"Q1";"Q2";"Q3";"Q4"},0))/4+INDEX(BookOneOff,1729)*$P1734)</f>
        <v/>
      </c>
      <c r="S1734" s="35" t="str">
        <f aca="false">IF($P1734="","",INDEX(BookRate,1729)*$P1734)</f>
        <v/>
      </c>
      <c r="T1734" s="35" t="str">
        <f aca="false">IF($R1734="","",$R1734-$K1734)</f>
        <v/>
      </c>
      <c r="U1734" s="35" t="str">
        <f aca="false">IF(N($P1734)&lt;=0,"",COUNTIF($P$6:$P1734,"&gt;0"))</f>
        <v/>
      </c>
    </row>
    <row r="1735" customFormat="false" ht="15" hidden="false" customHeight="false" outlineLevel="0" collapsed="false">
      <c r="A1735" s="40" t="str">
        <f aca="false">IF(INDEX(BookTitle,1730)="","",INDEX(BookGroup,1730))</f>
        <v/>
      </c>
      <c r="B1735" s="40" t="str">
        <f aca="false">IF(INDEX(BookTitle,1730)="","",INDEX(BookRef,1730))</f>
        <v/>
      </c>
      <c r="C1735" s="40" t="str">
        <f aca="false">IF(INDEX(BookTitle,1730)="","",INDEX(BookDivision,1730))</f>
        <v/>
      </c>
      <c r="D1735" s="40" t="str">
        <f aca="false">IF(INDEX(BookTitle,1730)="","",INDEX(BookUnit,1730))</f>
        <v/>
      </c>
      <c r="E1735" s="40" t="str">
        <f aca="false">IF(INDEX(BookTitle,1730)="","",INDEX(BookTitle,1730))</f>
        <v/>
      </c>
      <c r="F1735" s="40" t="str">
        <f aca="false">IF(INDEX(BookTitle,1730)="","",INDEX(BookLevel,1730))</f>
        <v/>
      </c>
      <c r="G1735" s="40" t="str">
        <f aca="false">IF(INDEX(BookTitle,1730)="","",INDEX(BookCategory,1730))</f>
        <v/>
      </c>
      <c r="H1735" s="40" t="str">
        <f aca="false">IF(INDEX(BookTitle,1730)="","",INDEX(BookRank,1730))</f>
        <v/>
      </c>
      <c r="I1735" s="41" t="str">
        <f aca="false">IF(INDEX(BookTitle,1730)="","",INDEX(BookTotal,1730))</f>
        <v/>
      </c>
      <c r="J1735" s="0" t="str">
        <f aca="false">IF($I1735="","",IF(INDEX(BookQ1,1730)&gt;0,"Q1",IF(INDEX(BookQ2,1730)&gt;0,"Q2",IF(INDEX(BookQ3,1730)&gt;0,"Q3",IF(INDEX(BookQ4,1730)&gt;0,"Q4","")))))</f>
        <v/>
      </c>
      <c r="K1735" s="42" t="str">
        <f aca="false">IF(INDEX(BookTitle,1730)="","",INDEX(BookInYear,1730))</f>
        <v/>
      </c>
      <c r="L1735" s="19"/>
      <c r="M1735" s="39"/>
      <c r="N1735" s="19"/>
      <c r="O1735" s="19"/>
      <c r="P1735" s="43" t="str">
        <f aca="false">IF($E1735="","",IF($L1735="Decline",0,IF($L1735="Approve fewer",IF($M1735="","",$M1735),IF($L1735="","",$I1735))))</f>
        <v/>
      </c>
      <c r="Q1735" s="34" t="str">
        <f aca="false">IF($P1735="","",IF($N1735&lt;&gt;"",$N1735,$J1735))</f>
        <v/>
      </c>
      <c r="R1735" s="35" t="str">
        <f aca="false">IF(OR($P1735="",$Q1735=""),"",INDEX(BookRate,1730)*$P1735*(5-MATCH($Q1735,{"Q1";"Q2";"Q3";"Q4"},0))/4+INDEX(BookOneOff,1730)*$P1735)</f>
        <v/>
      </c>
      <c r="S1735" s="35" t="str">
        <f aca="false">IF($P1735="","",INDEX(BookRate,1730)*$P1735)</f>
        <v/>
      </c>
      <c r="T1735" s="35" t="str">
        <f aca="false">IF($R1735="","",$R1735-$K1735)</f>
        <v/>
      </c>
      <c r="U1735" s="35" t="str">
        <f aca="false">IF(N($P1735)&lt;=0,"",COUNTIF($P$6:$P1735,"&gt;0"))</f>
        <v/>
      </c>
    </row>
    <row r="1736" customFormat="false" ht="15" hidden="false" customHeight="false" outlineLevel="0" collapsed="false">
      <c r="A1736" s="40" t="str">
        <f aca="false">IF(INDEX(BookTitle,1731)="","",INDEX(BookGroup,1731))</f>
        <v/>
      </c>
      <c r="B1736" s="40" t="str">
        <f aca="false">IF(INDEX(BookTitle,1731)="","",INDEX(BookRef,1731))</f>
        <v/>
      </c>
      <c r="C1736" s="40" t="str">
        <f aca="false">IF(INDEX(BookTitle,1731)="","",INDEX(BookDivision,1731))</f>
        <v/>
      </c>
      <c r="D1736" s="40" t="str">
        <f aca="false">IF(INDEX(BookTitle,1731)="","",INDEX(BookUnit,1731))</f>
        <v/>
      </c>
      <c r="E1736" s="40" t="str">
        <f aca="false">IF(INDEX(BookTitle,1731)="","",INDEX(BookTitle,1731))</f>
        <v/>
      </c>
      <c r="F1736" s="40" t="str">
        <f aca="false">IF(INDEX(BookTitle,1731)="","",INDEX(BookLevel,1731))</f>
        <v/>
      </c>
      <c r="G1736" s="40" t="str">
        <f aca="false">IF(INDEX(BookTitle,1731)="","",INDEX(BookCategory,1731))</f>
        <v/>
      </c>
      <c r="H1736" s="40" t="str">
        <f aca="false">IF(INDEX(BookTitle,1731)="","",INDEX(BookRank,1731))</f>
        <v/>
      </c>
      <c r="I1736" s="41" t="str">
        <f aca="false">IF(INDEX(BookTitle,1731)="","",INDEX(BookTotal,1731))</f>
        <v/>
      </c>
      <c r="J1736" s="0" t="str">
        <f aca="false">IF($I1736="","",IF(INDEX(BookQ1,1731)&gt;0,"Q1",IF(INDEX(BookQ2,1731)&gt;0,"Q2",IF(INDEX(BookQ3,1731)&gt;0,"Q3",IF(INDEX(BookQ4,1731)&gt;0,"Q4","")))))</f>
        <v/>
      </c>
      <c r="K1736" s="42" t="str">
        <f aca="false">IF(INDEX(BookTitle,1731)="","",INDEX(BookInYear,1731))</f>
        <v/>
      </c>
      <c r="L1736" s="19"/>
      <c r="M1736" s="39"/>
      <c r="N1736" s="19"/>
      <c r="O1736" s="19"/>
      <c r="P1736" s="43" t="str">
        <f aca="false">IF($E1736="","",IF($L1736="Decline",0,IF($L1736="Approve fewer",IF($M1736="","",$M1736),IF($L1736="","",$I1736))))</f>
        <v/>
      </c>
      <c r="Q1736" s="34" t="str">
        <f aca="false">IF($P1736="","",IF($N1736&lt;&gt;"",$N1736,$J1736))</f>
        <v/>
      </c>
      <c r="R1736" s="35" t="str">
        <f aca="false">IF(OR($P1736="",$Q1736=""),"",INDEX(BookRate,1731)*$P1736*(5-MATCH($Q1736,{"Q1";"Q2";"Q3";"Q4"},0))/4+INDEX(BookOneOff,1731)*$P1736)</f>
        <v/>
      </c>
      <c r="S1736" s="35" t="str">
        <f aca="false">IF($P1736="","",INDEX(BookRate,1731)*$P1736)</f>
        <v/>
      </c>
      <c r="T1736" s="35" t="str">
        <f aca="false">IF($R1736="","",$R1736-$K1736)</f>
        <v/>
      </c>
      <c r="U1736" s="35" t="str">
        <f aca="false">IF(N($P1736)&lt;=0,"",COUNTIF($P$6:$P1736,"&gt;0"))</f>
        <v/>
      </c>
    </row>
    <row r="1737" customFormat="false" ht="15" hidden="false" customHeight="false" outlineLevel="0" collapsed="false">
      <c r="A1737" s="40" t="str">
        <f aca="false">IF(INDEX(BookTitle,1732)="","",INDEX(BookGroup,1732))</f>
        <v/>
      </c>
      <c r="B1737" s="40" t="str">
        <f aca="false">IF(INDEX(BookTitle,1732)="","",INDEX(BookRef,1732))</f>
        <v/>
      </c>
      <c r="C1737" s="40" t="str">
        <f aca="false">IF(INDEX(BookTitle,1732)="","",INDEX(BookDivision,1732))</f>
        <v/>
      </c>
      <c r="D1737" s="40" t="str">
        <f aca="false">IF(INDEX(BookTitle,1732)="","",INDEX(BookUnit,1732))</f>
        <v/>
      </c>
      <c r="E1737" s="40" t="str">
        <f aca="false">IF(INDEX(BookTitle,1732)="","",INDEX(BookTitle,1732))</f>
        <v/>
      </c>
      <c r="F1737" s="40" t="str">
        <f aca="false">IF(INDEX(BookTitle,1732)="","",INDEX(BookLevel,1732))</f>
        <v/>
      </c>
      <c r="G1737" s="40" t="str">
        <f aca="false">IF(INDEX(BookTitle,1732)="","",INDEX(BookCategory,1732))</f>
        <v/>
      </c>
      <c r="H1737" s="40" t="str">
        <f aca="false">IF(INDEX(BookTitle,1732)="","",INDEX(BookRank,1732))</f>
        <v/>
      </c>
      <c r="I1737" s="41" t="str">
        <f aca="false">IF(INDEX(BookTitle,1732)="","",INDEX(BookTotal,1732))</f>
        <v/>
      </c>
      <c r="J1737" s="0" t="str">
        <f aca="false">IF($I1737="","",IF(INDEX(BookQ1,1732)&gt;0,"Q1",IF(INDEX(BookQ2,1732)&gt;0,"Q2",IF(INDEX(BookQ3,1732)&gt;0,"Q3",IF(INDEX(BookQ4,1732)&gt;0,"Q4","")))))</f>
        <v/>
      </c>
      <c r="K1737" s="42" t="str">
        <f aca="false">IF(INDEX(BookTitle,1732)="","",INDEX(BookInYear,1732))</f>
        <v/>
      </c>
      <c r="L1737" s="19"/>
      <c r="M1737" s="39"/>
      <c r="N1737" s="19"/>
      <c r="O1737" s="19"/>
      <c r="P1737" s="43" t="str">
        <f aca="false">IF($E1737="","",IF($L1737="Decline",0,IF($L1737="Approve fewer",IF($M1737="","",$M1737),IF($L1737="","",$I1737))))</f>
        <v/>
      </c>
      <c r="Q1737" s="34" t="str">
        <f aca="false">IF($P1737="","",IF($N1737&lt;&gt;"",$N1737,$J1737))</f>
        <v/>
      </c>
      <c r="R1737" s="35" t="str">
        <f aca="false">IF(OR($P1737="",$Q1737=""),"",INDEX(BookRate,1732)*$P1737*(5-MATCH($Q1737,{"Q1";"Q2";"Q3";"Q4"},0))/4+INDEX(BookOneOff,1732)*$P1737)</f>
        <v/>
      </c>
      <c r="S1737" s="35" t="str">
        <f aca="false">IF($P1737="","",INDEX(BookRate,1732)*$P1737)</f>
        <v/>
      </c>
      <c r="T1737" s="35" t="str">
        <f aca="false">IF($R1737="","",$R1737-$K1737)</f>
        <v/>
      </c>
      <c r="U1737" s="35" t="str">
        <f aca="false">IF(N($P1737)&lt;=0,"",COUNTIF($P$6:$P1737,"&gt;0"))</f>
        <v/>
      </c>
    </row>
    <row r="1738" customFormat="false" ht="15" hidden="false" customHeight="false" outlineLevel="0" collapsed="false">
      <c r="A1738" s="40" t="str">
        <f aca="false">IF(INDEX(BookTitle,1733)="","",INDEX(BookGroup,1733))</f>
        <v/>
      </c>
      <c r="B1738" s="40" t="str">
        <f aca="false">IF(INDEX(BookTitle,1733)="","",INDEX(BookRef,1733))</f>
        <v/>
      </c>
      <c r="C1738" s="40" t="str">
        <f aca="false">IF(INDEX(BookTitle,1733)="","",INDEX(BookDivision,1733))</f>
        <v/>
      </c>
      <c r="D1738" s="40" t="str">
        <f aca="false">IF(INDEX(BookTitle,1733)="","",INDEX(BookUnit,1733))</f>
        <v/>
      </c>
      <c r="E1738" s="40" t="str">
        <f aca="false">IF(INDEX(BookTitle,1733)="","",INDEX(BookTitle,1733))</f>
        <v/>
      </c>
      <c r="F1738" s="40" t="str">
        <f aca="false">IF(INDEX(BookTitle,1733)="","",INDEX(BookLevel,1733))</f>
        <v/>
      </c>
      <c r="G1738" s="40" t="str">
        <f aca="false">IF(INDEX(BookTitle,1733)="","",INDEX(BookCategory,1733))</f>
        <v/>
      </c>
      <c r="H1738" s="40" t="str">
        <f aca="false">IF(INDEX(BookTitle,1733)="","",INDEX(BookRank,1733))</f>
        <v/>
      </c>
      <c r="I1738" s="41" t="str">
        <f aca="false">IF(INDEX(BookTitle,1733)="","",INDEX(BookTotal,1733))</f>
        <v/>
      </c>
      <c r="J1738" s="0" t="str">
        <f aca="false">IF($I1738="","",IF(INDEX(BookQ1,1733)&gt;0,"Q1",IF(INDEX(BookQ2,1733)&gt;0,"Q2",IF(INDEX(BookQ3,1733)&gt;0,"Q3",IF(INDEX(BookQ4,1733)&gt;0,"Q4","")))))</f>
        <v/>
      </c>
      <c r="K1738" s="42" t="str">
        <f aca="false">IF(INDEX(BookTitle,1733)="","",INDEX(BookInYear,1733))</f>
        <v/>
      </c>
      <c r="L1738" s="19"/>
      <c r="M1738" s="39"/>
      <c r="N1738" s="19"/>
      <c r="O1738" s="19"/>
      <c r="P1738" s="43" t="str">
        <f aca="false">IF($E1738="","",IF($L1738="Decline",0,IF($L1738="Approve fewer",IF($M1738="","",$M1738),IF($L1738="","",$I1738))))</f>
        <v/>
      </c>
      <c r="Q1738" s="34" t="str">
        <f aca="false">IF($P1738="","",IF($N1738&lt;&gt;"",$N1738,$J1738))</f>
        <v/>
      </c>
      <c r="R1738" s="35" t="str">
        <f aca="false">IF(OR($P1738="",$Q1738=""),"",INDEX(BookRate,1733)*$P1738*(5-MATCH($Q1738,{"Q1";"Q2";"Q3";"Q4"},0))/4+INDEX(BookOneOff,1733)*$P1738)</f>
        <v/>
      </c>
      <c r="S1738" s="35" t="str">
        <f aca="false">IF($P1738="","",INDEX(BookRate,1733)*$P1738)</f>
        <v/>
      </c>
      <c r="T1738" s="35" t="str">
        <f aca="false">IF($R1738="","",$R1738-$K1738)</f>
        <v/>
      </c>
      <c r="U1738" s="35" t="str">
        <f aca="false">IF(N($P1738)&lt;=0,"",COUNTIF($P$6:$P1738,"&gt;0"))</f>
        <v/>
      </c>
    </row>
    <row r="1739" customFormat="false" ht="15" hidden="false" customHeight="false" outlineLevel="0" collapsed="false">
      <c r="A1739" s="40" t="str">
        <f aca="false">IF(INDEX(BookTitle,1734)="","",INDEX(BookGroup,1734))</f>
        <v/>
      </c>
      <c r="B1739" s="40" t="str">
        <f aca="false">IF(INDEX(BookTitle,1734)="","",INDEX(BookRef,1734))</f>
        <v/>
      </c>
      <c r="C1739" s="40" t="str">
        <f aca="false">IF(INDEX(BookTitle,1734)="","",INDEX(BookDivision,1734))</f>
        <v/>
      </c>
      <c r="D1739" s="40" t="str">
        <f aca="false">IF(INDEX(BookTitle,1734)="","",INDEX(BookUnit,1734))</f>
        <v/>
      </c>
      <c r="E1739" s="40" t="str">
        <f aca="false">IF(INDEX(BookTitle,1734)="","",INDEX(BookTitle,1734))</f>
        <v/>
      </c>
      <c r="F1739" s="40" t="str">
        <f aca="false">IF(INDEX(BookTitle,1734)="","",INDEX(BookLevel,1734))</f>
        <v/>
      </c>
      <c r="G1739" s="40" t="str">
        <f aca="false">IF(INDEX(BookTitle,1734)="","",INDEX(BookCategory,1734))</f>
        <v/>
      </c>
      <c r="H1739" s="40" t="str">
        <f aca="false">IF(INDEX(BookTitle,1734)="","",INDEX(BookRank,1734))</f>
        <v/>
      </c>
      <c r="I1739" s="41" t="str">
        <f aca="false">IF(INDEX(BookTitle,1734)="","",INDEX(BookTotal,1734))</f>
        <v/>
      </c>
      <c r="J1739" s="0" t="str">
        <f aca="false">IF($I1739="","",IF(INDEX(BookQ1,1734)&gt;0,"Q1",IF(INDEX(BookQ2,1734)&gt;0,"Q2",IF(INDEX(BookQ3,1734)&gt;0,"Q3",IF(INDEX(BookQ4,1734)&gt;0,"Q4","")))))</f>
        <v/>
      </c>
      <c r="K1739" s="42" t="str">
        <f aca="false">IF(INDEX(BookTitle,1734)="","",INDEX(BookInYear,1734))</f>
        <v/>
      </c>
      <c r="L1739" s="19"/>
      <c r="M1739" s="39"/>
      <c r="N1739" s="19"/>
      <c r="O1739" s="19"/>
      <c r="P1739" s="43" t="str">
        <f aca="false">IF($E1739="","",IF($L1739="Decline",0,IF($L1739="Approve fewer",IF($M1739="","",$M1739),IF($L1739="","",$I1739))))</f>
        <v/>
      </c>
      <c r="Q1739" s="34" t="str">
        <f aca="false">IF($P1739="","",IF($N1739&lt;&gt;"",$N1739,$J1739))</f>
        <v/>
      </c>
      <c r="R1739" s="35" t="str">
        <f aca="false">IF(OR($P1739="",$Q1739=""),"",INDEX(BookRate,1734)*$P1739*(5-MATCH($Q1739,{"Q1";"Q2";"Q3";"Q4"},0))/4+INDEX(BookOneOff,1734)*$P1739)</f>
        <v/>
      </c>
      <c r="S1739" s="35" t="str">
        <f aca="false">IF($P1739="","",INDEX(BookRate,1734)*$P1739)</f>
        <v/>
      </c>
      <c r="T1739" s="35" t="str">
        <f aca="false">IF($R1739="","",$R1739-$K1739)</f>
        <v/>
      </c>
      <c r="U1739" s="35" t="str">
        <f aca="false">IF(N($P1739)&lt;=0,"",COUNTIF($P$6:$P1739,"&gt;0"))</f>
        <v/>
      </c>
    </row>
    <row r="1740" customFormat="false" ht="15" hidden="false" customHeight="false" outlineLevel="0" collapsed="false">
      <c r="A1740" s="40" t="str">
        <f aca="false">IF(INDEX(BookTitle,1735)="","",INDEX(BookGroup,1735))</f>
        <v/>
      </c>
      <c r="B1740" s="40" t="str">
        <f aca="false">IF(INDEX(BookTitle,1735)="","",INDEX(BookRef,1735))</f>
        <v/>
      </c>
      <c r="C1740" s="40" t="str">
        <f aca="false">IF(INDEX(BookTitle,1735)="","",INDEX(BookDivision,1735))</f>
        <v/>
      </c>
      <c r="D1740" s="40" t="str">
        <f aca="false">IF(INDEX(BookTitle,1735)="","",INDEX(BookUnit,1735))</f>
        <v/>
      </c>
      <c r="E1740" s="40" t="str">
        <f aca="false">IF(INDEX(BookTitle,1735)="","",INDEX(BookTitle,1735))</f>
        <v/>
      </c>
      <c r="F1740" s="40" t="str">
        <f aca="false">IF(INDEX(BookTitle,1735)="","",INDEX(BookLevel,1735))</f>
        <v/>
      </c>
      <c r="G1740" s="40" t="str">
        <f aca="false">IF(INDEX(BookTitle,1735)="","",INDEX(BookCategory,1735))</f>
        <v/>
      </c>
      <c r="H1740" s="40" t="str">
        <f aca="false">IF(INDEX(BookTitle,1735)="","",INDEX(BookRank,1735))</f>
        <v/>
      </c>
      <c r="I1740" s="41" t="str">
        <f aca="false">IF(INDEX(BookTitle,1735)="","",INDEX(BookTotal,1735))</f>
        <v/>
      </c>
      <c r="J1740" s="0" t="str">
        <f aca="false">IF($I1740="","",IF(INDEX(BookQ1,1735)&gt;0,"Q1",IF(INDEX(BookQ2,1735)&gt;0,"Q2",IF(INDEX(BookQ3,1735)&gt;0,"Q3",IF(INDEX(BookQ4,1735)&gt;0,"Q4","")))))</f>
        <v/>
      </c>
      <c r="K1740" s="42" t="str">
        <f aca="false">IF(INDEX(BookTitle,1735)="","",INDEX(BookInYear,1735))</f>
        <v/>
      </c>
      <c r="L1740" s="19"/>
      <c r="M1740" s="39"/>
      <c r="N1740" s="19"/>
      <c r="O1740" s="19"/>
      <c r="P1740" s="43" t="str">
        <f aca="false">IF($E1740="","",IF($L1740="Decline",0,IF($L1740="Approve fewer",IF($M1740="","",$M1740),IF($L1740="","",$I1740))))</f>
        <v/>
      </c>
      <c r="Q1740" s="34" t="str">
        <f aca="false">IF($P1740="","",IF($N1740&lt;&gt;"",$N1740,$J1740))</f>
        <v/>
      </c>
      <c r="R1740" s="35" t="str">
        <f aca="false">IF(OR($P1740="",$Q1740=""),"",INDEX(BookRate,1735)*$P1740*(5-MATCH($Q1740,{"Q1";"Q2";"Q3";"Q4"},0))/4+INDEX(BookOneOff,1735)*$P1740)</f>
        <v/>
      </c>
      <c r="S1740" s="35" t="str">
        <f aca="false">IF($P1740="","",INDEX(BookRate,1735)*$P1740)</f>
        <v/>
      </c>
      <c r="T1740" s="35" t="str">
        <f aca="false">IF($R1740="","",$R1740-$K1740)</f>
        <v/>
      </c>
      <c r="U1740" s="35" t="str">
        <f aca="false">IF(N($P1740)&lt;=0,"",COUNTIF($P$6:$P1740,"&gt;0"))</f>
        <v/>
      </c>
    </row>
    <row r="1741" customFormat="false" ht="15" hidden="false" customHeight="false" outlineLevel="0" collapsed="false">
      <c r="A1741" s="40" t="str">
        <f aca="false">IF(INDEX(BookTitle,1736)="","",INDEX(BookGroup,1736))</f>
        <v/>
      </c>
      <c r="B1741" s="40" t="str">
        <f aca="false">IF(INDEX(BookTitle,1736)="","",INDEX(BookRef,1736))</f>
        <v/>
      </c>
      <c r="C1741" s="40" t="str">
        <f aca="false">IF(INDEX(BookTitle,1736)="","",INDEX(BookDivision,1736))</f>
        <v/>
      </c>
      <c r="D1741" s="40" t="str">
        <f aca="false">IF(INDEX(BookTitle,1736)="","",INDEX(BookUnit,1736))</f>
        <v/>
      </c>
      <c r="E1741" s="40" t="str">
        <f aca="false">IF(INDEX(BookTitle,1736)="","",INDEX(BookTitle,1736))</f>
        <v/>
      </c>
      <c r="F1741" s="40" t="str">
        <f aca="false">IF(INDEX(BookTitle,1736)="","",INDEX(BookLevel,1736))</f>
        <v/>
      </c>
      <c r="G1741" s="40" t="str">
        <f aca="false">IF(INDEX(BookTitle,1736)="","",INDEX(BookCategory,1736))</f>
        <v/>
      </c>
      <c r="H1741" s="40" t="str">
        <f aca="false">IF(INDEX(BookTitle,1736)="","",INDEX(BookRank,1736))</f>
        <v/>
      </c>
      <c r="I1741" s="41" t="str">
        <f aca="false">IF(INDEX(BookTitle,1736)="","",INDEX(BookTotal,1736))</f>
        <v/>
      </c>
      <c r="J1741" s="0" t="str">
        <f aca="false">IF($I1741="","",IF(INDEX(BookQ1,1736)&gt;0,"Q1",IF(INDEX(BookQ2,1736)&gt;0,"Q2",IF(INDEX(BookQ3,1736)&gt;0,"Q3",IF(INDEX(BookQ4,1736)&gt;0,"Q4","")))))</f>
        <v/>
      </c>
      <c r="K1741" s="42" t="str">
        <f aca="false">IF(INDEX(BookTitle,1736)="","",INDEX(BookInYear,1736))</f>
        <v/>
      </c>
      <c r="L1741" s="19"/>
      <c r="M1741" s="39"/>
      <c r="N1741" s="19"/>
      <c r="O1741" s="19"/>
      <c r="P1741" s="43" t="str">
        <f aca="false">IF($E1741="","",IF($L1741="Decline",0,IF($L1741="Approve fewer",IF($M1741="","",$M1741),IF($L1741="","",$I1741))))</f>
        <v/>
      </c>
      <c r="Q1741" s="34" t="str">
        <f aca="false">IF($P1741="","",IF($N1741&lt;&gt;"",$N1741,$J1741))</f>
        <v/>
      </c>
      <c r="R1741" s="35" t="str">
        <f aca="false">IF(OR($P1741="",$Q1741=""),"",INDEX(BookRate,1736)*$P1741*(5-MATCH($Q1741,{"Q1";"Q2";"Q3";"Q4"},0))/4+INDEX(BookOneOff,1736)*$P1741)</f>
        <v/>
      </c>
      <c r="S1741" s="35" t="str">
        <f aca="false">IF($P1741="","",INDEX(BookRate,1736)*$P1741)</f>
        <v/>
      </c>
      <c r="T1741" s="35" t="str">
        <f aca="false">IF($R1741="","",$R1741-$K1741)</f>
        <v/>
      </c>
      <c r="U1741" s="35" t="str">
        <f aca="false">IF(N($P1741)&lt;=0,"",COUNTIF($P$6:$P1741,"&gt;0"))</f>
        <v/>
      </c>
    </row>
    <row r="1742" customFormat="false" ht="15" hidden="false" customHeight="false" outlineLevel="0" collapsed="false">
      <c r="A1742" s="40" t="str">
        <f aca="false">IF(INDEX(BookTitle,1737)="","",INDEX(BookGroup,1737))</f>
        <v/>
      </c>
      <c r="B1742" s="40" t="str">
        <f aca="false">IF(INDEX(BookTitle,1737)="","",INDEX(BookRef,1737))</f>
        <v/>
      </c>
      <c r="C1742" s="40" t="str">
        <f aca="false">IF(INDEX(BookTitle,1737)="","",INDEX(BookDivision,1737))</f>
        <v/>
      </c>
      <c r="D1742" s="40" t="str">
        <f aca="false">IF(INDEX(BookTitle,1737)="","",INDEX(BookUnit,1737))</f>
        <v/>
      </c>
      <c r="E1742" s="40" t="str">
        <f aca="false">IF(INDEX(BookTitle,1737)="","",INDEX(BookTitle,1737))</f>
        <v/>
      </c>
      <c r="F1742" s="40" t="str">
        <f aca="false">IF(INDEX(BookTitle,1737)="","",INDEX(BookLevel,1737))</f>
        <v/>
      </c>
      <c r="G1742" s="40" t="str">
        <f aca="false">IF(INDEX(BookTitle,1737)="","",INDEX(BookCategory,1737))</f>
        <v/>
      </c>
      <c r="H1742" s="40" t="str">
        <f aca="false">IF(INDEX(BookTitle,1737)="","",INDEX(BookRank,1737))</f>
        <v/>
      </c>
      <c r="I1742" s="41" t="str">
        <f aca="false">IF(INDEX(BookTitle,1737)="","",INDEX(BookTotal,1737))</f>
        <v/>
      </c>
      <c r="J1742" s="0" t="str">
        <f aca="false">IF($I1742="","",IF(INDEX(BookQ1,1737)&gt;0,"Q1",IF(INDEX(BookQ2,1737)&gt;0,"Q2",IF(INDEX(BookQ3,1737)&gt;0,"Q3",IF(INDEX(BookQ4,1737)&gt;0,"Q4","")))))</f>
        <v/>
      </c>
      <c r="K1742" s="42" t="str">
        <f aca="false">IF(INDEX(BookTitle,1737)="","",INDEX(BookInYear,1737))</f>
        <v/>
      </c>
      <c r="L1742" s="19"/>
      <c r="M1742" s="39"/>
      <c r="N1742" s="19"/>
      <c r="O1742" s="19"/>
      <c r="P1742" s="43" t="str">
        <f aca="false">IF($E1742="","",IF($L1742="Decline",0,IF($L1742="Approve fewer",IF($M1742="","",$M1742),IF($L1742="","",$I1742))))</f>
        <v/>
      </c>
      <c r="Q1742" s="34" t="str">
        <f aca="false">IF($P1742="","",IF($N1742&lt;&gt;"",$N1742,$J1742))</f>
        <v/>
      </c>
      <c r="R1742" s="35" t="str">
        <f aca="false">IF(OR($P1742="",$Q1742=""),"",INDEX(BookRate,1737)*$P1742*(5-MATCH($Q1742,{"Q1";"Q2";"Q3";"Q4"},0))/4+INDEX(BookOneOff,1737)*$P1742)</f>
        <v/>
      </c>
      <c r="S1742" s="35" t="str">
        <f aca="false">IF($P1742="","",INDEX(BookRate,1737)*$P1742)</f>
        <v/>
      </c>
      <c r="T1742" s="35" t="str">
        <f aca="false">IF($R1742="","",$R1742-$K1742)</f>
        <v/>
      </c>
      <c r="U1742" s="35" t="str">
        <f aca="false">IF(N($P1742)&lt;=0,"",COUNTIF($P$6:$P1742,"&gt;0"))</f>
        <v/>
      </c>
    </row>
    <row r="1743" customFormat="false" ht="15" hidden="false" customHeight="false" outlineLevel="0" collapsed="false">
      <c r="A1743" s="40" t="str">
        <f aca="false">IF(INDEX(BookTitle,1738)="","",INDEX(BookGroup,1738))</f>
        <v/>
      </c>
      <c r="B1743" s="40" t="str">
        <f aca="false">IF(INDEX(BookTitle,1738)="","",INDEX(BookRef,1738))</f>
        <v/>
      </c>
      <c r="C1743" s="40" t="str">
        <f aca="false">IF(INDEX(BookTitle,1738)="","",INDEX(BookDivision,1738))</f>
        <v/>
      </c>
      <c r="D1743" s="40" t="str">
        <f aca="false">IF(INDEX(BookTitle,1738)="","",INDEX(BookUnit,1738))</f>
        <v/>
      </c>
      <c r="E1743" s="40" t="str">
        <f aca="false">IF(INDEX(BookTitle,1738)="","",INDEX(BookTitle,1738))</f>
        <v/>
      </c>
      <c r="F1743" s="40" t="str">
        <f aca="false">IF(INDEX(BookTitle,1738)="","",INDEX(BookLevel,1738))</f>
        <v/>
      </c>
      <c r="G1743" s="40" t="str">
        <f aca="false">IF(INDEX(BookTitle,1738)="","",INDEX(BookCategory,1738))</f>
        <v/>
      </c>
      <c r="H1743" s="40" t="str">
        <f aca="false">IF(INDEX(BookTitle,1738)="","",INDEX(BookRank,1738))</f>
        <v/>
      </c>
      <c r="I1743" s="41" t="str">
        <f aca="false">IF(INDEX(BookTitle,1738)="","",INDEX(BookTotal,1738))</f>
        <v/>
      </c>
      <c r="J1743" s="0" t="str">
        <f aca="false">IF($I1743="","",IF(INDEX(BookQ1,1738)&gt;0,"Q1",IF(INDEX(BookQ2,1738)&gt;0,"Q2",IF(INDEX(BookQ3,1738)&gt;0,"Q3",IF(INDEX(BookQ4,1738)&gt;0,"Q4","")))))</f>
        <v/>
      </c>
      <c r="K1743" s="42" t="str">
        <f aca="false">IF(INDEX(BookTitle,1738)="","",INDEX(BookInYear,1738))</f>
        <v/>
      </c>
      <c r="L1743" s="19"/>
      <c r="M1743" s="39"/>
      <c r="N1743" s="19"/>
      <c r="O1743" s="19"/>
      <c r="P1743" s="43" t="str">
        <f aca="false">IF($E1743="","",IF($L1743="Decline",0,IF($L1743="Approve fewer",IF($M1743="","",$M1743),IF($L1743="","",$I1743))))</f>
        <v/>
      </c>
      <c r="Q1743" s="34" t="str">
        <f aca="false">IF($P1743="","",IF($N1743&lt;&gt;"",$N1743,$J1743))</f>
        <v/>
      </c>
      <c r="R1743" s="35" t="str">
        <f aca="false">IF(OR($P1743="",$Q1743=""),"",INDEX(BookRate,1738)*$P1743*(5-MATCH($Q1743,{"Q1";"Q2";"Q3";"Q4"},0))/4+INDEX(BookOneOff,1738)*$P1743)</f>
        <v/>
      </c>
      <c r="S1743" s="35" t="str">
        <f aca="false">IF($P1743="","",INDEX(BookRate,1738)*$P1743)</f>
        <v/>
      </c>
      <c r="T1743" s="35" t="str">
        <f aca="false">IF($R1743="","",$R1743-$K1743)</f>
        <v/>
      </c>
      <c r="U1743" s="35" t="str">
        <f aca="false">IF(N($P1743)&lt;=0,"",COUNTIF($P$6:$P1743,"&gt;0"))</f>
        <v/>
      </c>
    </row>
    <row r="1744" customFormat="false" ht="15" hidden="false" customHeight="false" outlineLevel="0" collapsed="false">
      <c r="A1744" s="40" t="str">
        <f aca="false">IF(INDEX(BookTitle,1739)="","",INDEX(BookGroup,1739))</f>
        <v/>
      </c>
      <c r="B1744" s="40" t="str">
        <f aca="false">IF(INDEX(BookTitle,1739)="","",INDEX(BookRef,1739))</f>
        <v/>
      </c>
      <c r="C1744" s="40" t="str">
        <f aca="false">IF(INDEX(BookTitle,1739)="","",INDEX(BookDivision,1739))</f>
        <v/>
      </c>
      <c r="D1744" s="40" t="str">
        <f aca="false">IF(INDEX(BookTitle,1739)="","",INDEX(BookUnit,1739))</f>
        <v/>
      </c>
      <c r="E1744" s="40" t="str">
        <f aca="false">IF(INDEX(BookTitle,1739)="","",INDEX(BookTitle,1739))</f>
        <v/>
      </c>
      <c r="F1744" s="40" t="str">
        <f aca="false">IF(INDEX(BookTitle,1739)="","",INDEX(BookLevel,1739))</f>
        <v/>
      </c>
      <c r="G1744" s="40" t="str">
        <f aca="false">IF(INDEX(BookTitle,1739)="","",INDEX(BookCategory,1739))</f>
        <v/>
      </c>
      <c r="H1744" s="40" t="str">
        <f aca="false">IF(INDEX(BookTitle,1739)="","",INDEX(BookRank,1739))</f>
        <v/>
      </c>
      <c r="I1744" s="41" t="str">
        <f aca="false">IF(INDEX(BookTitle,1739)="","",INDEX(BookTotal,1739))</f>
        <v/>
      </c>
      <c r="J1744" s="0" t="str">
        <f aca="false">IF($I1744="","",IF(INDEX(BookQ1,1739)&gt;0,"Q1",IF(INDEX(BookQ2,1739)&gt;0,"Q2",IF(INDEX(BookQ3,1739)&gt;0,"Q3",IF(INDEX(BookQ4,1739)&gt;0,"Q4","")))))</f>
        <v/>
      </c>
      <c r="K1744" s="42" t="str">
        <f aca="false">IF(INDEX(BookTitle,1739)="","",INDEX(BookInYear,1739))</f>
        <v/>
      </c>
      <c r="L1744" s="19"/>
      <c r="M1744" s="39"/>
      <c r="N1744" s="19"/>
      <c r="O1744" s="19"/>
      <c r="P1744" s="43" t="str">
        <f aca="false">IF($E1744="","",IF($L1744="Decline",0,IF($L1744="Approve fewer",IF($M1744="","",$M1744),IF($L1744="","",$I1744))))</f>
        <v/>
      </c>
      <c r="Q1744" s="34" t="str">
        <f aca="false">IF($P1744="","",IF($N1744&lt;&gt;"",$N1744,$J1744))</f>
        <v/>
      </c>
      <c r="R1744" s="35" t="str">
        <f aca="false">IF(OR($P1744="",$Q1744=""),"",INDEX(BookRate,1739)*$P1744*(5-MATCH($Q1744,{"Q1";"Q2";"Q3";"Q4"},0))/4+INDEX(BookOneOff,1739)*$P1744)</f>
        <v/>
      </c>
      <c r="S1744" s="35" t="str">
        <f aca="false">IF($P1744="","",INDEX(BookRate,1739)*$P1744)</f>
        <v/>
      </c>
      <c r="T1744" s="35" t="str">
        <f aca="false">IF($R1744="","",$R1744-$K1744)</f>
        <v/>
      </c>
      <c r="U1744" s="35" t="str">
        <f aca="false">IF(N($P1744)&lt;=0,"",COUNTIF($P$6:$P1744,"&gt;0"))</f>
        <v/>
      </c>
    </row>
    <row r="1745" customFormat="false" ht="15" hidden="false" customHeight="false" outlineLevel="0" collapsed="false">
      <c r="A1745" s="40" t="str">
        <f aca="false">IF(INDEX(BookTitle,1740)="","",INDEX(BookGroup,1740))</f>
        <v/>
      </c>
      <c r="B1745" s="40" t="str">
        <f aca="false">IF(INDEX(BookTitle,1740)="","",INDEX(BookRef,1740))</f>
        <v/>
      </c>
      <c r="C1745" s="40" t="str">
        <f aca="false">IF(INDEX(BookTitle,1740)="","",INDEX(BookDivision,1740))</f>
        <v/>
      </c>
      <c r="D1745" s="40" t="str">
        <f aca="false">IF(INDEX(BookTitle,1740)="","",INDEX(BookUnit,1740))</f>
        <v/>
      </c>
      <c r="E1745" s="40" t="str">
        <f aca="false">IF(INDEX(BookTitle,1740)="","",INDEX(BookTitle,1740))</f>
        <v/>
      </c>
      <c r="F1745" s="40" t="str">
        <f aca="false">IF(INDEX(BookTitle,1740)="","",INDEX(BookLevel,1740))</f>
        <v/>
      </c>
      <c r="G1745" s="40" t="str">
        <f aca="false">IF(INDEX(BookTitle,1740)="","",INDEX(BookCategory,1740))</f>
        <v/>
      </c>
      <c r="H1745" s="40" t="str">
        <f aca="false">IF(INDEX(BookTitle,1740)="","",INDEX(BookRank,1740))</f>
        <v/>
      </c>
      <c r="I1745" s="41" t="str">
        <f aca="false">IF(INDEX(BookTitle,1740)="","",INDEX(BookTotal,1740))</f>
        <v/>
      </c>
      <c r="J1745" s="0" t="str">
        <f aca="false">IF($I1745="","",IF(INDEX(BookQ1,1740)&gt;0,"Q1",IF(INDEX(BookQ2,1740)&gt;0,"Q2",IF(INDEX(BookQ3,1740)&gt;0,"Q3",IF(INDEX(BookQ4,1740)&gt;0,"Q4","")))))</f>
        <v/>
      </c>
      <c r="K1745" s="42" t="str">
        <f aca="false">IF(INDEX(BookTitle,1740)="","",INDEX(BookInYear,1740))</f>
        <v/>
      </c>
      <c r="L1745" s="19"/>
      <c r="M1745" s="39"/>
      <c r="N1745" s="19"/>
      <c r="O1745" s="19"/>
      <c r="P1745" s="43" t="str">
        <f aca="false">IF($E1745="","",IF($L1745="Decline",0,IF($L1745="Approve fewer",IF($M1745="","",$M1745),IF($L1745="","",$I1745))))</f>
        <v/>
      </c>
      <c r="Q1745" s="34" t="str">
        <f aca="false">IF($P1745="","",IF($N1745&lt;&gt;"",$N1745,$J1745))</f>
        <v/>
      </c>
      <c r="R1745" s="35" t="str">
        <f aca="false">IF(OR($P1745="",$Q1745=""),"",INDEX(BookRate,1740)*$P1745*(5-MATCH($Q1745,{"Q1";"Q2";"Q3";"Q4"},0))/4+INDEX(BookOneOff,1740)*$P1745)</f>
        <v/>
      </c>
      <c r="S1745" s="35" t="str">
        <f aca="false">IF($P1745="","",INDEX(BookRate,1740)*$P1745)</f>
        <v/>
      </c>
      <c r="T1745" s="35" t="str">
        <f aca="false">IF($R1745="","",$R1745-$K1745)</f>
        <v/>
      </c>
      <c r="U1745" s="35" t="str">
        <f aca="false">IF(N($P1745)&lt;=0,"",COUNTIF($P$6:$P1745,"&gt;0"))</f>
        <v/>
      </c>
    </row>
    <row r="1746" customFormat="false" ht="15" hidden="false" customHeight="false" outlineLevel="0" collapsed="false">
      <c r="A1746" s="40" t="str">
        <f aca="false">IF(INDEX(BookTitle,1741)="","",INDEX(BookGroup,1741))</f>
        <v/>
      </c>
      <c r="B1746" s="40" t="str">
        <f aca="false">IF(INDEX(BookTitle,1741)="","",INDEX(BookRef,1741))</f>
        <v/>
      </c>
      <c r="C1746" s="40" t="str">
        <f aca="false">IF(INDEX(BookTitle,1741)="","",INDEX(BookDivision,1741))</f>
        <v/>
      </c>
      <c r="D1746" s="40" t="str">
        <f aca="false">IF(INDEX(BookTitle,1741)="","",INDEX(BookUnit,1741))</f>
        <v/>
      </c>
      <c r="E1746" s="40" t="str">
        <f aca="false">IF(INDEX(BookTitle,1741)="","",INDEX(BookTitle,1741))</f>
        <v/>
      </c>
      <c r="F1746" s="40" t="str">
        <f aca="false">IF(INDEX(BookTitle,1741)="","",INDEX(BookLevel,1741))</f>
        <v/>
      </c>
      <c r="G1746" s="40" t="str">
        <f aca="false">IF(INDEX(BookTitle,1741)="","",INDEX(BookCategory,1741))</f>
        <v/>
      </c>
      <c r="H1746" s="40" t="str">
        <f aca="false">IF(INDEX(BookTitle,1741)="","",INDEX(BookRank,1741))</f>
        <v/>
      </c>
      <c r="I1746" s="41" t="str">
        <f aca="false">IF(INDEX(BookTitle,1741)="","",INDEX(BookTotal,1741))</f>
        <v/>
      </c>
      <c r="J1746" s="0" t="str">
        <f aca="false">IF($I1746="","",IF(INDEX(BookQ1,1741)&gt;0,"Q1",IF(INDEX(BookQ2,1741)&gt;0,"Q2",IF(INDEX(BookQ3,1741)&gt;0,"Q3",IF(INDEX(BookQ4,1741)&gt;0,"Q4","")))))</f>
        <v/>
      </c>
      <c r="K1746" s="42" t="str">
        <f aca="false">IF(INDEX(BookTitle,1741)="","",INDEX(BookInYear,1741))</f>
        <v/>
      </c>
      <c r="L1746" s="19"/>
      <c r="M1746" s="39"/>
      <c r="N1746" s="19"/>
      <c r="O1746" s="19"/>
      <c r="P1746" s="43" t="str">
        <f aca="false">IF($E1746="","",IF($L1746="Decline",0,IF($L1746="Approve fewer",IF($M1746="","",$M1746),IF($L1746="","",$I1746))))</f>
        <v/>
      </c>
      <c r="Q1746" s="34" t="str">
        <f aca="false">IF($P1746="","",IF($N1746&lt;&gt;"",$N1746,$J1746))</f>
        <v/>
      </c>
      <c r="R1746" s="35" t="str">
        <f aca="false">IF(OR($P1746="",$Q1746=""),"",INDEX(BookRate,1741)*$P1746*(5-MATCH($Q1746,{"Q1";"Q2";"Q3";"Q4"},0))/4+INDEX(BookOneOff,1741)*$P1746)</f>
        <v/>
      </c>
      <c r="S1746" s="35" t="str">
        <f aca="false">IF($P1746="","",INDEX(BookRate,1741)*$P1746)</f>
        <v/>
      </c>
      <c r="T1746" s="35" t="str">
        <f aca="false">IF($R1746="","",$R1746-$K1746)</f>
        <v/>
      </c>
      <c r="U1746" s="35" t="str">
        <f aca="false">IF(N($P1746)&lt;=0,"",COUNTIF($P$6:$P1746,"&gt;0"))</f>
        <v/>
      </c>
    </row>
    <row r="1747" customFormat="false" ht="15" hidden="false" customHeight="false" outlineLevel="0" collapsed="false">
      <c r="A1747" s="40" t="str">
        <f aca="false">IF(INDEX(BookTitle,1742)="","",INDEX(BookGroup,1742))</f>
        <v/>
      </c>
      <c r="B1747" s="40" t="str">
        <f aca="false">IF(INDEX(BookTitle,1742)="","",INDEX(BookRef,1742))</f>
        <v/>
      </c>
      <c r="C1747" s="40" t="str">
        <f aca="false">IF(INDEX(BookTitle,1742)="","",INDEX(BookDivision,1742))</f>
        <v/>
      </c>
      <c r="D1747" s="40" t="str">
        <f aca="false">IF(INDEX(BookTitle,1742)="","",INDEX(BookUnit,1742))</f>
        <v/>
      </c>
      <c r="E1747" s="40" t="str">
        <f aca="false">IF(INDEX(BookTitle,1742)="","",INDEX(BookTitle,1742))</f>
        <v/>
      </c>
      <c r="F1747" s="40" t="str">
        <f aca="false">IF(INDEX(BookTitle,1742)="","",INDEX(BookLevel,1742))</f>
        <v/>
      </c>
      <c r="G1747" s="40" t="str">
        <f aca="false">IF(INDEX(BookTitle,1742)="","",INDEX(BookCategory,1742))</f>
        <v/>
      </c>
      <c r="H1747" s="40" t="str">
        <f aca="false">IF(INDEX(BookTitle,1742)="","",INDEX(BookRank,1742))</f>
        <v/>
      </c>
      <c r="I1747" s="41" t="str">
        <f aca="false">IF(INDEX(BookTitle,1742)="","",INDEX(BookTotal,1742))</f>
        <v/>
      </c>
      <c r="J1747" s="0" t="str">
        <f aca="false">IF($I1747="","",IF(INDEX(BookQ1,1742)&gt;0,"Q1",IF(INDEX(BookQ2,1742)&gt;0,"Q2",IF(INDEX(BookQ3,1742)&gt;0,"Q3",IF(INDEX(BookQ4,1742)&gt;0,"Q4","")))))</f>
        <v/>
      </c>
      <c r="K1747" s="42" t="str">
        <f aca="false">IF(INDEX(BookTitle,1742)="","",INDEX(BookInYear,1742))</f>
        <v/>
      </c>
      <c r="L1747" s="19"/>
      <c r="M1747" s="39"/>
      <c r="N1747" s="19"/>
      <c r="O1747" s="19"/>
      <c r="P1747" s="43" t="str">
        <f aca="false">IF($E1747="","",IF($L1747="Decline",0,IF($L1747="Approve fewer",IF($M1747="","",$M1747),IF($L1747="","",$I1747))))</f>
        <v/>
      </c>
      <c r="Q1747" s="34" t="str">
        <f aca="false">IF($P1747="","",IF($N1747&lt;&gt;"",$N1747,$J1747))</f>
        <v/>
      </c>
      <c r="R1747" s="35" t="str">
        <f aca="false">IF(OR($P1747="",$Q1747=""),"",INDEX(BookRate,1742)*$P1747*(5-MATCH($Q1747,{"Q1";"Q2";"Q3";"Q4"},0))/4+INDEX(BookOneOff,1742)*$P1747)</f>
        <v/>
      </c>
      <c r="S1747" s="35" t="str">
        <f aca="false">IF($P1747="","",INDEX(BookRate,1742)*$P1747)</f>
        <v/>
      </c>
      <c r="T1747" s="35" t="str">
        <f aca="false">IF($R1747="","",$R1747-$K1747)</f>
        <v/>
      </c>
      <c r="U1747" s="35" t="str">
        <f aca="false">IF(N($P1747)&lt;=0,"",COUNTIF($P$6:$P1747,"&gt;0"))</f>
        <v/>
      </c>
    </row>
    <row r="1748" customFormat="false" ht="15" hidden="false" customHeight="false" outlineLevel="0" collapsed="false">
      <c r="A1748" s="40" t="str">
        <f aca="false">IF(INDEX(BookTitle,1743)="","",INDEX(BookGroup,1743))</f>
        <v/>
      </c>
      <c r="B1748" s="40" t="str">
        <f aca="false">IF(INDEX(BookTitle,1743)="","",INDEX(BookRef,1743))</f>
        <v/>
      </c>
      <c r="C1748" s="40" t="str">
        <f aca="false">IF(INDEX(BookTitle,1743)="","",INDEX(BookDivision,1743))</f>
        <v/>
      </c>
      <c r="D1748" s="40" t="str">
        <f aca="false">IF(INDEX(BookTitle,1743)="","",INDEX(BookUnit,1743))</f>
        <v/>
      </c>
      <c r="E1748" s="40" t="str">
        <f aca="false">IF(INDEX(BookTitle,1743)="","",INDEX(BookTitle,1743))</f>
        <v/>
      </c>
      <c r="F1748" s="40" t="str">
        <f aca="false">IF(INDEX(BookTitle,1743)="","",INDEX(BookLevel,1743))</f>
        <v/>
      </c>
      <c r="G1748" s="40" t="str">
        <f aca="false">IF(INDEX(BookTitle,1743)="","",INDEX(BookCategory,1743))</f>
        <v/>
      </c>
      <c r="H1748" s="40" t="str">
        <f aca="false">IF(INDEX(BookTitle,1743)="","",INDEX(BookRank,1743))</f>
        <v/>
      </c>
      <c r="I1748" s="41" t="str">
        <f aca="false">IF(INDEX(BookTitle,1743)="","",INDEX(BookTotal,1743))</f>
        <v/>
      </c>
      <c r="J1748" s="0" t="str">
        <f aca="false">IF($I1748="","",IF(INDEX(BookQ1,1743)&gt;0,"Q1",IF(INDEX(BookQ2,1743)&gt;0,"Q2",IF(INDEX(BookQ3,1743)&gt;0,"Q3",IF(INDEX(BookQ4,1743)&gt;0,"Q4","")))))</f>
        <v/>
      </c>
      <c r="K1748" s="42" t="str">
        <f aca="false">IF(INDEX(BookTitle,1743)="","",INDEX(BookInYear,1743))</f>
        <v/>
      </c>
      <c r="L1748" s="19"/>
      <c r="M1748" s="39"/>
      <c r="N1748" s="19"/>
      <c r="O1748" s="19"/>
      <c r="P1748" s="43" t="str">
        <f aca="false">IF($E1748="","",IF($L1748="Decline",0,IF($L1748="Approve fewer",IF($M1748="","",$M1748),IF($L1748="","",$I1748))))</f>
        <v/>
      </c>
      <c r="Q1748" s="34" t="str">
        <f aca="false">IF($P1748="","",IF($N1748&lt;&gt;"",$N1748,$J1748))</f>
        <v/>
      </c>
      <c r="R1748" s="35" t="str">
        <f aca="false">IF(OR($P1748="",$Q1748=""),"",INDEX(BookRate,1743)*$P1748*(5-MATCH($Q1748,{"Q1";"Q2";"Q3";"Q4"},0))/4+INDEX(BookOneOff,1743)*$P1748)</f>
        <v/>
      </c>
      <c r="S1748" s="35" t="str">
        <f aca="false">IF($P1748="","",INDEX(BookRate,1743)*$P1748)</f>
        <v/>
      </c>
      <c r="T1748" s="35" t="str">
        <f aca="false">IF($R1748="","",$R1748-$K1748)</f>
        <v/>
      </c>
      <c r="U1748" s="35" t="str">
        <f aca="false">IF(N($P1748)&lt;=0,"",COUNTIF($P$6:$P1748,"&gt;0"))</f>
        <v/>
      </c>
    </row>
    <row r="1749" customFormat="false" ht="15" hidden="false" customHeight="false" outlineLevel="0" collapsed="false">
      <c r="A1749" s="40" t="str">
        <f aca="false">IF(INDEX(BookTitle,1744)="","",INDEX(BookGroup,1744))</f>
        <v/>
      </c>
      <c r="B1749" s="40" t="str">
        <f aca="false">IF(INDEX(BookTitle,1744)="","",INDEX(BookRef,1744))</f>
        <v/>
      </c>
      <c r="C1749" s="40" t="str">
        <f aca="false">IF(INDEX(BookTitle,1744)="","",INDEX(BookDivision,1744))</f>
        <v/>
      </c>
      <c r="D1749" s="40" t="str">
        <f aca="false">IF(INDEX(BookTitle,1744)="","",INDEX(BookUnit,1744))</f>
        <v/>
      </c>
      <c r="E1749" s="40" t="str">
        <f aca="false">IF(INDEX(BookTitle,1744)="","",INDEX(BookTitle,1744))</f>
        <v/>
      </c>
      <c r="F1749" s="40" t="str">
        <f aca="false">IF(INDEX(BookTitle,1744)="","",INDEX(BookLevel,1744))</f>
        <v/>
      </c>
      <c r="G1749" s="40" t="str">
        <f aca="false">IF(INDEX(BookTitle,1744)="","",INDEX(BookCategory,1744))</f>
        <v/>
      </c>
      <c r="H1749" s="40" t="str">
        <f aca="false">IF(INDEX(BookTitle,1744)="","",INDEX(BookRank,1744))</f>
        <v/>
      </c>
      <c r="I1749" s="41" t="str">
        <f aca="false">IF(INDEX(BookTitle,1744)="","",INDEX(BookTotal,1744))</f>
        <v/>
      </c>
      <c r="J1749" s="0" t="str">
        <f aca="false">IF($I1749="","",IF(INDEX(BookQ1,1744)&gt;0,"Q1",IF(INDEX(BookQ2,1744)&gt;0,"Q2",IF(INDEX(BookQ3,1744)&gt;0,"Q3",IF(INDEX(BookQ4,1744)&gt;0,"Q4","")))))</f>
        <v/>
      </c>
      <c r="K1749" s="42" t="str">
        <f aca="false">IF(INDEX(BookTitle,1744)="","",INDEX(BookInYear,1744))</f>
        <v/>
      </c>
      <c r="L1749" s="19"/>
      <c r="M1749" s="39"/>
      <c r="N1749" s="19"/>
      <c r="O1749" s="19"/>
      <c r="P1749" s="43" t="str">
        <f aca="false">IF($E1749="","",IF($L1749="Decline",0,IF($L1749="Approve fewer",IF($M1749="","",$M1749),IF($L1749="","",$I1749))))</f>
        <v/>
      </c>
      <c r="Q1749" s="34" t="str">
        <f aca="false">IF($P1749="","",IF($N1749&lt;&gt;"",$N1749,$J1749))</f>
        <v/>
      </c>
      <c r="R1749" s="35" t="str">
        <f aca="false">IF(OR($P1749="",$Q1749=""),"",INDEX(BookRate,1744)*$P1749*(5-MATCH($Q1749,{"Q1";"Q2";"Q3";"Q4"},0))/4+INDEX(BookOneOff,1744)*$P1749)</f>
        <v/>
      </c>
      <c r="S1749" s="35" t="str">
        <f aca="false">IF($P1749="","",INDEX(BookRate,1744)*$P1749)</f>
        <v/>
      </c>
      <c r="T1749" s="35" t="str">
        <f aca="false">IF($R1749="","",$R1749-$K1749)</f>
        <v/>
      </c>
      <c r="U1749" s="35" t="str">
        <f aca="false">IF(N($P1749)&lt;=0,"",COUNTIF($P$6:$P1749,"&gt;0"))</f>
        <v/>
      </c>
    </row>
    <row r="1750" customFormat="false" ht="15" hidden="false" customHeight="false" outlineLevel="0" collapsed="false">
      <c r="A1750" s="40" t="str">
        <f aca="false">IF(INDEX(BookTitle,1745)="","",INDEX(BookGroup,1745))</f>
        <v/>
      </c>
      <c r="B1750" s="40" t="str">
        <f aca="false">IF(INDEX(BookTitle,1745)="","",INDEX(BookRef,1745))</f>
        <v/>
      </c>
      <c r="C1750" s="40" t="str">
        <f aca="false">IF(INDEX(BookTitle,1745)="","",INDEX(BookDivision,1745))</f>
        <v/>
      </c>
      <c r="D1750" s="40" t="str">
        <f aca="false">IF(INDEX(BookTitle,1745)="","",INDEX(BookUnit,1745))</f>
        <v/>
      </c>
      <c r="E1750" s="40" t="str">
        <f aca="false">IF(INDEX(BookTitle,1745)="","",INDEX(BookTitle,1745))</f>
        <v/>
      </c>
      <c r="F1750" s="40" t="str">
        <f aca="false">IF(INDEX(BookTitle,1745)="","",INDEX(BookLevel,1745))</f>
        <v/>
      </c>
      <c r="G1750" s="40" t="str">
        <f aca="false">IF(INDEX(BookTitle,1745)="","",INDEX(BookCategory,1745))</f>
        <v/>
      </c>
      <c r="H1750" s="40" t="str">
        <f aca="false">IF(INDEX(BookTitle,1745)="","",INDEX(BookRank,1745))</f>
        <v/>
      </c>
      <c r="I1750" s="41" t="str">
        <f aca="false">IF(INDEX(BookTitle,1745)="","",INDEX(BookTotal,1745))</f>
        <v/>
      </c>
      <c r="J1750" s="0" t="str">
        <f aca="false">IF($I1750="","",IF(INDEX(BookQ1,1745)&gt;0,"Q1",IF(INDEX(BookQ2,1745)&gt;0,"Q2",IF(INDEX(BookQ3,1745)&gt;0,"Q3",IF(INDEX(BookQ4,1745)&gt;0,"Q4","")))))</f>
        <v/>
      </c>
      <c r="K1750" s="42" t="str">
        <f aca="false">IF(INDEX(BookTitle,1745)="","",INDEX(BookInYear,1745))</f>
        <v/>
      </c>
      <c r="L1750" s="19"/>
      <c r="M1750" s="39"/>
      <c r="N1750" s="19"/>
      <c r="O1750" s="19"/>
      <c r="P1750" s="43" t="str">
        <f aca="false">IF($E1750="","",IF($L1750="Decline",0,IF($L1750="Approve fewer",IF($M1750="","",$M1750),IF($L1750="","",$I1750))))</f>
        <v/>
      </c>
      <c r="Q1750" s="34" t="str">
        <f aca="false">IF($P1750="","",IF($N1750&lt;&gt;"",$N1750,$J1750))</f>
        <v/>
      </c>
      <c r="R1750" s="35" t="str">
        <f aca="false">IF(OR($P1750="",$Q1750=""),"",INDEX(BookRate,1745)*$P1750*(5-MATCH($Q1750,{"Q1";"Q2";"Q3";"Q4"},0))/4+INDEX(BookOneOff,1745)*$P1750)</f>
        <v/>
      </c>
      <c r="S1750" s="35" t="str">
        <f aca="false">IF($P1750="","",INDEX(BookRate,1745)*$P1750)</f>
        <v/>
      </c>
      <c r="T1750" s="35" t="str">
        <f aca="false">IF($R1750="","",$R1750-$K1750)</f>
        <v/>
      </c>
      <c r="U1750" s="35" t="str">
        <f aca="false">IF(N($P1750)&lt;=0,"",COUNTIF($P$6:$P1750,"&gt;0"))</f>
        <v/>
      </c>
    </row>
    <row r="1751" customFormat="false" ht="15" hidden="false" customHeight="false" outlineLevel="0" collapsed="false">
      <c r="A1751" s="40" t="str">
        <f aca="false">IF(INDEX(BookTitle,1746)="","",INDEX(BookGroup,1746))</f>
        <v/>
      </c>
      <c r="B1751" s="40" t="str">
        <f aca="false">IF(INDEX(BookTitle,1746)="","",INDEX(BookRef,1746))</f>
        <v/>
      </c>
      <c r="C1751" s="40" t="str">
        <f aca="false">IF(INDEX(BookTitle,1746)="","",INDEX(BookDivision,1746))</f>
        <v/>
      </c>
      <c r="D1751" s="40" t="str">
        <f aca="false">IF(INDEX(BookTitle,1746)="","",INDEX(BookUnit,1746))</f>
        <v/>
      </c>
      <c r="E1751" s="40" t="str">
        <f aca="false">IF(INDEX(BookTitle,1746)="","",INDEX(BookTitle,1746))</f>
        <v/>
      </c>
      <c r="F1751" s="40" t="str">
        <f aca="false">IF(INDEX(BookTitle,1746)="","",INDEX(BookLevel,1746))</f>
        <v/>
      </c>
      <c r="G1751" s="40" t="str">
        <f aca="false">IF(INDEX(BookTitle,1746)="","",INDEX(BookCategory,1746))</f>
        <v/>
      </c>
      <c r="H1751" s="40" t="str">
        <f aca="false">IF(INDEX(BookTitle,1746)="","",INDEX(BookRank,1746))</f>
        <v/>
      </c>
      <c r="I1751" s="41" t="str">
        <f aca="false">IF(INDEX(BookTitle,1746)="","",INDEX(BookTotal,1746))</f>
        <v/>
      </c>
      <c r="J1751" s="0" t="str">
        <f aca="false">IF($I1751="","",IF(INDEX(BookQ1,1746)&gt;0,"Q1",IF(INDEX(BookQ2,1746)&gt;0,"Q2",IF(INDEX(BookQ3,1746)&gt;0,"Q3",IF(INDEX(BookQ4,1746)&gt;0,"Q4","")))))</f>
        <v/>
      </c>
      <c r="K1751" s="42" t="str">
        <f aca="false">IF(INDEX(BookTitle,1746)="","",INDEX(BookInYear,1746))</f>
        <v/>
      </c>
      <c r="L1751" s="19"/>
      <c r="M1751" s="39"/>
      <c r="N1751" s="19"/>
      <c r="O1751" s="19"/>
      <c r="P1751" s="43" t="str">
        <f aca="false">IF($E1751="","",IF($L1751="Decline",0,IF($L1751="Approve fewer",IF($M1751="","",$M1751),IF($L1751="","",$I1751))))</f>
        <v/>
      </c>
      <c r="Q1751" s="34" t="str">
        <f aca="false">IF($P1751="","",IF($N1751&lt;&gt;"",$N1751,$J1751))</f>
        <v/>
      </c>
      <c r="R1751" s="35" t="str">
        <f aca="false">IF(OR($P1751="",$Q1751=""),"",INDEX(BookRate,1746)*$P1751*(5-MATCH($Q1751,{"Q1";"Q2";"Q3";"Q4"},0))/4+INDEX(BookOneOff,1746)*$P1751)</f>
        <v/>
      </c>
      <c r="S1751" s="35" t="str">
        <f aca="false">IF($P1751="","",INDEX(BookRate,1746)*$P1751)</f>
        <v/>
      </c>
      <c r="T1751" s="35" t="str">
        <f aca="false">IF($R1751="","",$R1751-$K1751)</f>
        <v/>
      </c>
      <c r="U1751" s="35" t="str">
        <f aca="false">IF(N($P1751)&lt;=0,"",COUNTIF($P$6:$P1751,"&gt;0"))</f>
        <v/>
      </c>
    </row>
    <row r="1752" customFormat="false" ht="15" hidden="false" customHeight="false" outlineLevel="0" collapsed="false">
      <c r="A1752" s="40" t="str">
        <f aca="false">IF(INDEX(BookTitle,1747)="","",INDEX(BookGroup,1747))</f>
        <v/>
      </c>
      <c r="B1752" s="40" t="str">
        <f aca="false">IF(INDEX(BookTitle,1747)="","",INDEX(BookRef,1747))</f>
        <v/>
      </c>
      <c r="C1752" s="40" t="str">
        <f aca="false">IF(INDEX(BookTitle,1747)="","",INDEX(BookDivision,1747))</f>
        <v/>
      </c>
      <c r="D1752" s="40" t="str">
        <f aca="false">IF(INDEX(BookTitle,1747)="","",INDEX(BookUnit,1747))</f>
        <v/>
      </c>
      <c r="E1752" s="40" t="str">
        <f aca="false">IF(INDEX(BookTitle,1747)="","",INDEX(BookTitle,1747))</f>
        <v/>
      </c>
      <c r="F1752" s="40" t="str">
        <f aca="false">IF(INDEX(BookTitle,1747)="","",INDEX(BookLevel,1747))</f>
        <v/>
      </c>
      <c r="G1752" s="40" t="str">
        <f aca="false">IF(INDEX(BookTitle,1747)="","",INDEX(BookCategory,1747))</f>
        <v/>
      </c>
      <c r="H1752" s="40" t="str">
        <f aca="false">IF(INDEX(BookTitle,1747)="","",INDEX(BookRank,1747))</f>
        <v/>
      </c>
      <c r="I1752" s="41" t="str">
        <f aca="false">IF(INDEX(BookTitle,1747)="","",INDEX(BookTotal,1747))</f>
        <v/>
      </c>
      <c r="J1752" s="0" t="str">
        <f aca="false">IF($I1752="","",IF(INDEX(BookQ1,1747)&gt;0,"Q1",IF(INDEX(BookQ2,1747)&gt;0,"Q2",IF(INDEX(BookQ3,1747)&gt;0,"Q3",IF(INDEX(BookQ4,1747)&gt;0,"Q4","")))))</f>
        <v/>
      </c>
      <c r="K1752" s="42" t="str">
        <f aca="false">IF(INDEX(BookTitle,1747)="","",INDEX(BookInYear,1747))</f>
        <v/>
      </c>
      <c r="L1752" s="19"/>
      <c r="M1752" s="39"/>
      <c r="N1752" s="19"/>
      <c r="O1752" s="19"/>
      <c r="P1752" s="43" t="str">
        <f aca="false">IF($E1752="","",IF($L1752="Decline",0,IF($L1752="Approve fewer",IF($M1752="","",$M1752),IF($L1752="","",$I1752))))</f>
        <v/>
      </c>
      <c r="Q1752" s="34" t="str">
        <f aca="false">IF($P1752="","",IF($N1752&lt;&gt;"",$N1752,$J1752))</f>
        <v/>
      </c>
      <c r="R1752" s="35" t="str">
        <f aca="false">IF(OR($P1752="",$Q1752=""),"",INDEX(BookRate,1747)*$P1752*(5-MATCH($Q1752,{"Q1";"Q2";"Q3";"Q4"},0))/4+INDEX(BookOneOff,1747)*$P1752)</f>
        <v/>
      </c>
      <c r="S1752" s="35" t="str">
        <f aca="false">IF($P1752="","",INDEX(BookRate,1747)*$P1752)</f>
        <v/>
      </c>
      <c r="T1752" s="35" t="str">
        <f aca="false">IF($R1752="","",$R1752-$K1752)</f>
        <v/>
      </c>
      <c r="U1752" s="35" t="str">
        <f aca="false">IF(N($P1752)&lt;=0,"",COUNTIF($P$6:$P1752,"&gt;0"))</f>
        <v/>
      </c>
    </row>
    <row r="1753" customFormat="false" ht="15" hidden="false" customHeight="false" outlineLevel="0" collapsed="false">
      <c r="A1753" s="40" t="str">
        <f aca="false">IF(INDEX(BookTitle,1748)="","",INDEX(BookGroup,1748))</f>
        <v/>
      </c>
      <c r="B1753" s="40" t="str">
        <f aca="false">IF(INDEX(BookTitle,1748)="","",INDEX(BookRef,1748))</f>
        <v/>
      </c>
      <c r="C1753" s="40" t="str">
        <f aca="false">IF(INDEX(BookTitle,1748)="","",INDEX(BookDivision,1748))</f>
        <v/>
      </c>
      <c r="D1753" s="40" t="str">
        <f aca="false">IF(INDEX(BookTitle,1748)="","",INDEX(BookUnit,1748))</f>
        <v/>
      </c>
      <c r="E1753" s="40" t="str">
        <f aca="false">IF(INDEX(BookTitle,1748)="","",INDEX(BookTitle,1748))</f>
        <v/>
      </c>
      <c r="F1753" s="40" t="str">
        <f aca="false">IF(INDEX(BookTitle,1748)="","",INDEX(BookLevel,1748))</f>
        <v/>
      </c>
      <c r="G1753" s="40" t="str">
        <f aca="false">IF(INDEX(BookTitle,1748)="","",INDEX(BookCategory,1748))</f>
        <v/>
      </c>
      <c r="H1753" s="40" t="str">
        <f aca="false">IF(INDEX(BookTitle,1748)="","",INDEX(BookRank,1748))</f>
        <v/>
      </c>
      <c r="I1753" s="41" t="str">
        <f aca="false">IF(INDEX(BookTitle,1748)="","",INDEX(BookTotal,1748))</f>
        <v/>
      </c>
      <c r="J1753" s="0" t="str">
        <f aca="false">IF($I1753="","",IF(INDEX(BookQ1,1748)&gt;0,"Q1",IF(INDEX(BookQ2,1748)&gt;0,"Q2",IF(INDEX(BookQ3,1748)&gt;0,"Q3",IF(INDEX(BookQ4,1748)&gt;0,"Q4","")))))</f>
        <v/>
      </c>
      <c r="K1753" s="42" t="str">
        <f aca="false">IF(INDEX(BookTitle,1748)="","",INDEX(BookInYear,1748))</f>
        <v/>
      </c>
      <c r="L1753" s="19"/>
      <c r="M1753" s="39"/>
      <c r="N1753" s="19"/>
      <c r="O1753" s="19"/>
      <c r="P1753" s="43" t="str">
        <f aca="false">IF($E1753="","",IF($L1753="Decline",0,IF($L1753="Approve fewer",IF($M1753="","",$M1753),IF($L1753="","",$I1753))))</f>
        <v/>
      </c>
      <c r="Q1753" s="34" t="str">
        <f aca="false">IF($P1753="","",IF($N1753&lt;&gt;"",$N1753,$J1753))</f>
        <v/>
      </c>
      <c r="R1753" s="35" t="str">
        <f aca="false">IF(OR($P1753="",$Q1753=""),"",INDEX(BookRate,1748)*$P1753*(5-MATCH($Q1753,{"Q1";"Q2";"Q3";"Q4"},0))/4+INDEX(BookOneOff,1748)*$P1753)</f>
        <v/>
      </c>
      <c r="S1753" s="35" t="str">
        <f aca="false">IF($P1753="","",INDEX(BookRate,1748)*$P1753)</f>
        <v/>
      </c>
      <c r="T1753" s="35" t="str">
        <f aca="false">IF($R1753="","",$R1753-$K1753)</f>
        <v/>
      </c>
      <c r="U1753" s="35" t="str">
        <f aca="false">IF(N($P1753)&lt;=0,"",COUNTIF($P$6:$P1753,"&gt;0"))</f>
        <v/>
      </c>
    </row>
    <row r="1754" customFormat="false" ht="15" hidden="false" customHeight="false" outlineLevel="0" collapsed="false">
      <c r="A1754" s="40" t="str">
        <f aca="false">IF(INDEX(BookTitle,1749)="","",INDEX(BookGroup,1749))</f>
        <v/>
      </c>
      <c r="B1754" s="40" t="str">
        <f aca="false">IF(INDEX(BookTitle,1749)="","",INDEX(BookRef,1749))</f>
        <v/>
      </c>
      <c r="C1754" s="40" t="str">
        <f aca="false">IF(INDEX(BookTitle,1749)="","",INDEX(BookDivision,1749))</f>
        <v/>
      </c>
      <c r="D1754" s="40" t="str">
        <f aca="false">IF(INDEX(BookTitle,1749)="","",INDEX(BookUnit,1749))</f>
        <v/>
      </c>
      <c r="E1754" s="40" t="str">
        <f aca="false">IF(INDEX(BookTitle,1749)="","",INDEX(BookTitle,1749))</f>
        <v/>
      </c>
      <c r="F1754" s="40" t="str">
        <f aca="false">IF(INDEX(BookTitle,1749)="","",INDEX(BookLevel,1749))</f>
        <v/>
      </c>
      <c r="G1754" s="40" t="str">
        <f aca="false">IF(INDEX(BookTitle,1749)="","",INDEX(BookCategory,1749))</f>
        <v/>
      </c>
      <c r="H1754" s="40" t="str">
        <f aca="false">IF(INDEX(BookTitle,1749)="","",INDEX(BookRank,1749))</f>
        <v/>
      </c>
      <c r="I1754" s="41" t="str">
        <f aca="false">IF(INDEX(BookTitle,1749)="","",INDEX(BookTotal,1749))</f>
        <v/>
      </c>
      <c r="J1754" s="0" t="str">
        <f aca="false">IF($I1754="","",IF(INDEX(BookQ1,1749)&gt;0,"Q1",IF(INDEX(BookQ2,1749)&gt;0,"Q2",IF(INDEX(BookQ3,1749)&gt;0,"Q3",IF(INDEX(BookQ4,1749)&gt;0,"Q4","")))))</f>
        <v/>
      </c>
      <c r="K1754" s="42" t="str">
        <f aca="false">IF(INDEX(BookTitle,1749)="","",INDEX(BookInYear,1749))</f>
        <v/>
      </c>
      <c r="L1754" s="19"/>
      <c r="M1754" s="39"/>
      <c r="N1754" s="19"/>
      <c r="O1754" s="19"/>
      <c r="P1754" s="43" t="str">
        <f aca="false">IF($E1754="","",IF($L1754="Decline",0,IF($L1754="Approve fewer",IF($M1754="","",$M1754),IF($L1754="","",$I1754))))</f>
        <v/>
      </c>
      <c r="Q1754" s="34" t="str">
        <f aca="false">IF($P1754="","",IF($N1754&lt;&gt;"",$N1754,$J1754))</f>
        <v/>
      </c>
      <c r="R1754" s="35" t="str">
        <f aca="false">IF(OR($P1754="",$Q1754=""),"",INDEX(BookRate,1749)*$P1754*(5-MATCH($Q1754,{"Q1";"Q2";"Q3";"Q4"},0))/4+INDEX(BookOneOff,1749)*$P1754)</f>
        <v/>
      </c>
      <c r="S1754" s="35" t="str">
        <f aca="false">IF($P1754="","",INDEX(BookRate,1749)*$P1754)</f>
        <v/>
      </c>
      <c r="T1754" s="35" t="str">
        <f aca="false">IF($R1754="","",$R1754-$K1754)</f>
        <v/>
      </c>
      <c r="U1754" s="35" t="str">
        <f aca="false">IF(N($P1754)&lt;=0,"",COUNTIF($P$6:$P1754,"&gt;0"))</f>
        <v/>
      </c>
    </row>
    <row r="1755" customFormat="false" ht="15" hidden="false" customHeight="false" outlineLevel="0" collapsed="false">
      <c r="A1755" s="40" t="str">
        <f aca="false">IF(INDEX(BookTitle,1750)="","",INDEX(BookGroup,1750))</f>
        <v/>
      </c>
      <c r="B1755" s="40" t="str">
        <f aca="false">IF(INDEX(BookTitle,1750)="","",INDEX(BookRef,1750))</f>
        <v/>
      </c>
      <c r="C1755" s="40" t="str">
        <f aca="false">IF(INDEX(BookTitle,1750)="","",INDEX(BookDivision,1750))</f>
        <v/>
      </c>
      <c r="D1755" s="40" t="str">
        <f aca="false">IF(INDEX(BookTitle,1750)="","",INDEX(BookUnit,1750))</f>
        <v/>
      </c>
      <c r="E1755" s="40" t="str">
        <f aca="false">IF(INDEX(BookTitle,1750)="","",INDEX(BookTitle,1750))</f>
        <v/>
      </c>
      <c r="F1755" s="40" t="str">
        <f aca="false">IF(INDEX(BookTitle,1750)="","",INDEX(BookLevel,1750))</f>
        <v/>
      </c>
      <c r="G1755" s="40" t="str">
        <f aca="false">IF(INDEX(BookTitle,1750)="","",INDEX(BookCategory,1750))</f>
        <v/>
      </c>
      <c r="H1755" s="40" t="str">
        <f aca="false">IF(INDEX(BookTitle,1750)="","",INDEX(BookRank,1750))</f>
        <v/>
      </c>
      <c r="I1755" s="41" t="str">
        <f aca="false">IF(INDEX(BookTitle,1750)="","",INDEX(BookTotal,1750))</f>
        <v/>
      </c>
      <c r="J1755" s="0" t="str">
        <f aca="false">IF($I1755="","",IF(INDEX(BookQ1,1750)&gt;0,"Q1",IF(INDEX(BookQ2,1750)&gt;0,"Q2",IF(INDEX(BookQ3,1750)&gt;0,"Q3",IF(INDEX(BookQ4,1750)&gt;0,"Q4","")))))</f>
        <v/>
      </c>
      <c r="K1755" s="42" t="str">
        <f aca="false">IF(INDEX(BookTitle,1750)="","",INDEX(BookInYear,1750))</f>
        <v/>
      </c>
      <c r="L1755" s="19"/>
      <c r="M1755" s="39"/>
      <c r="N1755" s="19"/>
      <c r="O1755" s="19"/>
      <c r="P1755" s="43" t="str">
        <f aca="false">IF($E1755="","",IF($L1755="Decline",0,IF($L1755="Approve fewer",IF($M1755="","",$M1755),IF($L1755="","",$I1755))))</f>
        <v/>
      </c>
      <c r="Q1755" s="34" t="str">
        <f aca="false">IF($P1755="","",IF($N1755&lt;&gt;"",$N1755,$J1755))</f>
        <v/>
      </c>
      <c r="R1755" s="35" t="str">
        <f aca="false">IF(OR($P1755="",$Q1755=""),"",INDEX(BookRate,1750)*$P1755*(5-MATCH($Q1755,{"Q1";"Q2";"Q3";"Q4"},0))/4+INDEX(BookOneOff,1750)*$P1755)</f>
        <v/>
      </c>
      <c r="S1755" s="35" t="str">
        <f aca="false">IF($P1755="","",INDEX(BookRate,1750)*$P1755)</f>
        <v/>
      </c>
      <c r="T1755" s="35" t="str">
        <f aca="false">IF($R1755="","",$R1755-$K1755)</f>
        <v/>
      </c>
      <c r="U1755" s="35" t="str">
        <f aca="false">IF(N($P1755)&lt;=0,"",COUNTIF($P$6:$P1755,"&gt;0"))</f>
        <v/>
      </c>
    </row>
    <row r="1756" customFormat="false" ht="15" hidden="false" customHeight="false" outlineLevel="0" collapsed="false">
      <c r="A1756" s="40" t="str">
        <f aca="false">IF(INDEX(BookTitle,1751)="","",INDEX(BookGroup,1751))</f>
        <v/>
      </c>
      <c r="B1756" s="40" t="str">
        <f aca="false">IF(INDEX(BookTitle,1751)="","",INDEX(BookRef,1751))</f>
        <v/>
      </c>
      <c r="C1756" s="40" t="str">
        <f aca="false">IF(INDEX(BookTitle,1751)="","",INDEX(BookDivision,1751))</f>
        <v/>
      </c>
      <c r="D1756" s="40" t="str">
        <f aca="false">IF(INDEX(BookTitle,1751)="","",INDEX(BookUnit,1751))</f>
        <v/>
      </c>
      <c r="E1756" s="40" t="str">
        <f aca="false">IF(INDEX(BookTitle,1751)="","",INDEX(BookTitle,1751))</f>
        <v/>
      </c>
      <c r="F1756" s="40" t="str">
        <f aca="false">IF(INDEX(BookTitle,1751)="","",INDEX(BookLevel,1751))</f>
        <v/>
      </c>
      <c r="G1756" s="40" t="str">
        <f aca="false">IF(INDEX(BookTitle,1751)="","",INDEX(BookCategory,1751))</f>
        <v/>
      </c>
      <c r="H1756" s="40" t="str">
        <f aca="false">IF(INDEX(BookTitle,1751)="","",INDEX(BookRank,1751))</f>
        <v/>
      </c>
      <c r="I1756" s="41" t="str">
        <f aca="false">IF(INDEX(BookTitle,1751)="","",INDEX(BookTotal,1751))</f>
        <v/>
      </c>
      <c r="J1756" s="0" t="str">
        <f aca="false">IF($I1756="","",IF(INDEX(BookQ1,1751)&gt;0,"Q1",IF(INDEX(BookQ2,1751)&gt;0,"Q2",IF(INDEX(BookQ3,1751)&gt;0,"Q3",IF(INDEX(BookQ4,1751)&gt;0,"Q4","")))))</f>
        <v/>
      </c>
      <c r="K1756" s="42" t="str">
        <f aca="false">IF(INDEX(BookTitle,1751)="","",INDEX(BookInYear,1751))</f>
        <v/>
      </c>
      <c r="L1756" s="19"/>
      <c r="M1756" s="39"/>
      <c r="N1756" s="19"/>
      <c r="O1756" s="19"/>
      <c r="P1756" s="43" t="str">
        <f aca="false">IF($E1756="","",IF($L1756="Decline",0,IF($L1756="Approve fewer",IF($M1756="","",$M1756),IF($L1756="","",$I1756))))</f>
        <v/>
      </c>
      <c r="Q1756" s="34" t="str">
        <f aca="false">IF($P1756="","",IF($N1756&lt;&gt;"",$N1756,$J1756))</f>
        <v/>
      </c>
      <c r="R1756" s="35" t="str">
        <f aca="false">IF(OR($P1756="",$Q1756=""),"",INDEX(BookRate,1751)*$P1756*(5-MATCH($Q1756,{"Q1";"Q2";"Q3";"Q4"},0))/4+INDEX(BookOneOff,1751)*$P1756)</f>
        <v/>
      </c>
      <c r="S1756" s="35" t="str">
        <f aca="false">IF($P1756="","",INDEX(BookRate,1751)*$P1756)</f>
        <v/>
      </c>
      <c r="T1756" s="35" t="str">
        <f aca="false">IF($R1756="","",$R1756-$K1756)</f>
        <v/>
      </c>
      <c r="U1756" s="35" t="str">
        <f aca="false">IF(N($P1756)&lt;=0,"",COUNTIF($P$6:$P1756,"&gt;0"))</f>
        <v/>
      </c>
    </row>
    <row r="1757" customFormat="false" ht="15" hidden="false" customHeight="false" outlineLevel="0" collapsed="false">
      <c r="A1757" s="40" t="str">
        <f aca="false">IF(INDEX(BookTitle,1752)="","",INDEX(BookGroup,1752))</f>
        <v/>
      </c>
      <c r="B1757" s="40" t="str">
        <f aca="false">IF(INDEX(BookTitle,1752)="","",INDEX(BookRef,1752))</f>
        <v/>
      </c>
      <c r="C1757" s="40" t="str">
        <f aca="false">IF(INDEX(BookTitle,1752)="","",INDEX(BookDivision,1752))</f>
        <v/>
      </c>
      <c r="D1757" s="40" t="str">
        <f aca="false">IF(INDEX(BookTitle,1752)="","",INDEX(BookUnit,1752))</f>
        <v/>
      </c>
      <c r="E1757" s="40" t="str">
        <f aca="false">IF(INDEX(BookTitle,1752)="","",INDEX(BookTitle,1752))</f>
        <v/>
      </c>
      <c r="F1757" s="40" t="str">
        <f aca="false">IF(INDEX(BookTitle,1752)="","",INDEX(BookLevel,1752))</f>
        <v/>
      </c>
      <c r="G1757" s="40" t="str">
        <f aca="false">IF(INDEX(BookTitle,1752)="","",INDEX(BookCategory,1752))</f>
        <v/>
      </c>
      <c r="H1757" s="40" t="str">
        <f aca="false">IF(INDEX(BookTitle,1752)="","",INDEX(BookRank,1752))</f>
        <v/>
      </c>
      <c r="I1757" s="41" t="str">
        <f aca="false">IF(INDEX(BookTitle,1752)="","",INDEX(BookTotal,1752))</f>
        <v/>
      </c>
      <c r="J1757" s="0" t="str">
        <f aca="false">IF($I1757="","",IF(INDEX(BookQ1,1752)&gt;0,"Q1",IF(INDEX(BookQ2,1752)&gt;0,"Q2",IF(INDEX(BookQ3,1752)&gt;0,"Q3",IF(INDEX(BookQ4,1752)&gt;0,"Q4","")))))</f>
        <v/>
      </c>
      <c r="K1757" s="42" t="str">
        <f aca="false">IF(INDEX(BookTitle,1752)="","",INDEX(BookInYear,1752))</f>
        <v/>
      </c>
      <c r="L1757" s="19"/>
      <c r="M1757" s="39"/>
      <c r="N1757" s="19"/>
      <c r="O1757" s="19"/>
      <c r="P1757" s="43" t="str">
        <f aca="false">IF($E1757="","",IF($L1757="Decline",0,IF($L1757="Approve fewer",IF($M1757="","",$M1757),IF($L1757="","",$I1757))))</f>
        <v/>
      </c>
      <c r="Q1757" s="34" t="str">
        <f aca="false">IF($P1757="","",IF($N1757&lt;&gt;"",$N1757,$J1757))</f>
        <v/>
      </c>
      <c r="R1757" s="35" t="str">
        <f aca="false">IF(OR($P1757="",$Q1757=""),"",INDEX(BookRate,1752)*$P1757*(5-MATCH($Q1757,{"Q1";"Q2";"Q3";"Q4"},0))/4+INDEX(BookOneOff,1752)*$P1757)</f>
        <v/>
      </c>
      <c r="S1757" s="35" t="str">
        <f aca="false">IF($P1757="","",INDEX(BookRate,1752)*$P1757)</f>
        <v/>
      </c>
      <c r="T1757" s="35" t="str">
        <f aca="false">IF($R1757="","",$R1757-$K1757)</f>
        <v/>
      </c>
      <c r="U1757" s="35" t="str">
        <f aca="false">IF(N($P1757)&lt;=0,"",COUNTIF($P$6:$P1757,"&gt;0"))</f>
        <v/>
      </c>
    </row>
    <row r="1758" customFormat="false" ht="15" hidden="false" customHeight="false" outlineLevel="0" collapsed="false">
      <c r="A1758" s="40" t="str">
        <f aca="false">IF(INDEX(BookTitle,1753)="","",INDEX(BookGroup,1753))</f>
        <v/>
      </c>
      <c r="B1758" s="40" t="str">
        <f aca="false">IF(INDEX(BookTitle,1753)="","",INDEX(BookRef,1753))</f>
        <v/>
      </c>
      <c r="C1758" s="40" t="str">
        <f aca="false">IF(INDEX(BookTitle,1753)="","",INDEX(BookDivision,1753))</f>
        <v/>
      </c>
      <c r="D1758" s="40" t="str">
        <f aca="false">IF(INDEX(BookTitle,1753)="","",INDEX(BookUnit,1753))</f>
        <v/>
      </c>
      <c r="E1758" s="40" t="str">
        <f aca="false">IF(INDEX(BookTitle,1753)="","",INDEX(BookTitle,1753))</f>
        <v/>
      </c>
      <c r="F1758" s="40" t="str">
        <f aca="false">IF(INDEX(BookTitle,1753)="","",INDEX(BookLevel,1753))</f>
        <v/>
      </c>
      <c r="G1758" s="40" t="str">
        <f aca="false">IF(INDEX(BookTitle,1753)="","",INDEX(BookCategory,1753))</f>
        <v/>
      </c>
      <c r="H1758" s="40" t="str">
        <f aca="false">IF(INDEX(BookTitle,1753)="","",INDEX(BookRank,1753))</f>
        <v/>
      </c>
      <c r="I1758" s="41" t="str">
        <f aca="false">IF(INDEX(BookTitle,1753)="","",INDEX(BookTotal,1753))</f>
        <v/>
      </c>
      <c r="J1758" s="0" t="str">
        <f aca="false">IF($I1758="","",IF(INDEX(BookQ1,1753)&gt;0,"Q1",IF(INDEX(BookQ2,1753)&gt;0,"Q2",IF(INDEX(BookQ3,1753)&gt;0,"Q3",IF(INDEX(BookQ4,1753)&gt;0,"Q4","")))))</f>
        <v/>
      </c>
      <c r="K1758" s="42" t="str">
        <f aca="false">IF(INDEX(BookTitle,1753)="","",INDEX(BookInYear,1753))</f>
        <v/>
      </c>
      <c r="L1758" s="19"/>
      <c r="M1758" s="39"/>
      <c r="N1758" s="19"/>
      <c r="O1758" s="19"/>
      <c r="P1758" s="43" t="str">
        <f aca="false">IF($E1758="","",IF($L1758="Decline",0,IF($L1758="Approve fewer",IF($M1758="","",$M1758),IF($L1758="","",$I1758))))</f>
        <v/>
      </c>
      <c r="Q1758" s="34" t="str">
        <f aca="false">IF($P1758="","",IF($N1758&lt;&gt;"",$N1758,$J1758))</f>
        <v/>
      </c>
      <c r="R1758" s="35" t="str">
        <f aca="false">IF(OR($P1758="",$Q1758=""),"",INDEX(BookRate,1753)*$P1758*(5-MATCH($Q1758,{"Q1";"Q2";"Q3";"Q4"},0))/4+INDEX(BookOneOff,1753)*$P1758)</f>
        <v/>
      </c>
      <c r="S1758" s="35" t="str">
        <f aca="false">IF($P1758="","",INDEX(BookRate,1753)*$P1758)</f>
        <v/>
      </c>
      <c r="T1758" s="35" t="str">
        <f aca="false">IF($R1758="","",$R1758-$K1758)</f>
        <v/>
      </c>
      <c r="U1758" s="35" t="str">
        <f aca="false">IF(N($P1758)&lt;=0,"",COUNTIF($P$6:$P1758,"&gt;0"))</f>
        <v/>
      </c>
    </row>
    <row r="1759" customFormat="false" ht="15" hidden="false" customHeight="false" outlineLevel="0" collapsed="false">
      <c r="A1759" s="40" t="str">
        <f aca="false">IF(INDEX(BookTitle,1754)="","",INDEX(BookGroup,1754))</f>
        <v/>
      </c>
      <c r="B1759" s="40" t="str">
        <f aca="false">IF(INDEX(BookTitle,1754)="","",INDEX(BookRef,1754))</f>
        <v/>
      </c>
      <c r="C1759" s="40" t="str">
        <f aca="false">IF(INDEX(BookTitle,1754)="","",INDEX(BookDivision,1754))</f>
        <v/>
      </c>
      <c r="D1759" s="40" t="str">
        <f aca="false">IF(INDEX(BookTitle,1754)="","",INDEX(BookUnit,1754))</f>
        <v/>
      </c>
      <c r="E1759" s="40" t="str">
        <f aca="false">IF(INDEX(BookTitle,1754)="","",INDEX(BookTitle,1754))</f>
        <v/>
      </c>
      <c r="F1759" s="40" t="str">
        <f aca="false">IF(INDEX(BookTitle,1754)="","",INDEX(BookLevel,1754))</f>
        <v/>
      </c>
      <c r="G1759" s="40" t="str">
        <f aca="false">IF(INDEX(BookTitle,1754)="","",INDEX(BookCategory,1754))</f>
        <v/>
      </c>
      <c r="H1759" s="40" t="str">
        <f aca="false">IF(INDEX(BookTitle,1754)="","",INDEX(BookRank,1754))</f>
        <v/>
      </c>
      <c r="I1759" s="41" t="str">
        <f aca="false">IF(INDEX(BookTitle,1754)="","",INDEX(BookTotal,1754))</f>
        <v/>
      </c>
      <c r="J1759" s="0" t="str">
        <f aca="false">IF($I1759="","",IF(INDEX(BookQ1,1754)&gt;0,"Q1",IF(INDEX(BookQ2,1754)&gt;0,"Q2",IF(INDEX(BookQ3,1754)&gt;0,"Q3",IF(INDEX(BookQ4,1754)&gt;0,"Q4","")))))</f>
        <v/>
      </c>
      <c r="K1759" s="42" t="str">
        <f aca="false">IF(INDEX(BookTitle,1754)="","",INDEX(BookInYear,1754))</f>
        <v/>
      </c>
      <c r="L1759" s="19"/>
      <c r="M1759" s="39"/>
      <c r="N1759" s="19"/>
      <c r="O1759" s="19"/>
      <c r="P1759" s="43" t="str">
        <f aca="false">IF($E1759="","",IF($L1759="Decline",0,IF($L1759="Approve fewer",IF($M1759="","",$M1759),IF($L1759="","",$I1759))))</f>
        <v/>
      </c>
      <c r="Q1759" s="34" t="str">
        <f aca="false">IF($P1759="","",IF($N1759&lt;&gt;"",$N1759,$J1759))</f>
        <v/>
      </c>
      <c r="R1759" s="35" t="str">
        <f aca="false">IF(OR($P1759="",$Q1759=""),"",INDEX(BookRate,1754)*$P1759*(5-MATCH($Q1759,{"Q1";"Q2";"Q3";"Q4"},0))/4+INDEX(BookOneOff,1754)*$P1759)</f>
        <v/>
      </c>
      <c r="S1759" s="35" t="str">
        <f aca="false">IF($P1759="","",INDEX(BookRate,1754)*$P1759)</f>
        <v/>
      </c>
      <c r="T1759" s="35" t="str">
        <f aca="false">IF($R1759="","",$R1759-$K1759)</f>
        <v/>
      </c>
      <c r="U1759" s="35" t="str">
        <f aca="false">IF(N($P1759)&lt;=0,"",COUNTIF($P$6:$P1759,"&gt;0"))</f>
        <v/>
      </c>
    </row>
    <row r="1760" customFormat="false" ht="15" hidden="false" customHeight="false" outlineLevel="0" collapsed="false">
      <c r="A1760" s="40" t="str">
        <f aca="false">IF(INDEX(BookTitle,1755)="","",INDEX(BookGroup,1755))</f>
        <v/>
      </c>
      <c r="B1760" s="40" t="str">
        <f aca="false">IF(INDEX(BookTitle,1755)="","",INDEX(BookRef,1755))</f>
        <v/>
      </c>
      <c r="C1760" s="40" t="str">
        <f aca="false">IF(INDEX(BookTitle,1755)="","",INDEX(BookDivision,1755))</f>
        <v/>
      </c>
      <c r="D1760" s="40" t="str">
        <f aca="false">IF(INDEX(BookTitle,1755)="","",INDEX(BookUnit,1755))</f>
        <v/>
      </c>
      <c r="E1760" s="40" t="str">
        <f aca="false">IF(INDEX(BookTitle,1755)="","",INDEX(BookTitle,1755))</f>
        <v/>
      </c>
      <c r="F1760" s="40" t="str">
        <f aca="false">IF(INDEX(BookTitle,1755)="","",INDEX(BookLevel,1755))</f>
        <v/>
      </c>
      <c r="G1760" s="40" t="str">
        <f aca="false">IF(INDEX(BookTitle,1755)="","",INDEX(BookCategory,1755))</f>
        <v/>
      </c>
      <c r="H1760" s="40" t="str">
        <f aca="false">IF(INDEX(BookTitle,1755)="","",INDEX(BookRank,1755))</f>
        <v/>
      </c>
      <c r="I1760" s="41" t="str">
        <f aca="false">IF(INDEX(BookTitle,1755)="","",INDEX(BookTotal,1755))</f>
        <v/>
      </c>
      <c r="J1760" s="0" t="str">
        <f aca="false">IF($I1760="","",IF(INDEX(BookQ1,1755)&gt;0,"Q1",IF(INDEX(BookQ2,1755)&gt;0,"Q2",IF(INDEX(BookQ3,1755)&gt;0,"Q3",IF(INDEX(BookQ4,1755)&gt;0,"Q4","")))))</f>
        <v/>
      </c>
      <c r="K1760" s="42" t="str">
        <f aca="false">IF(INDEX(BookTitle,1755)="","",INDEX(BookInYear,1755))</f>
        <v/>
      </c>
      <c r="L1760" s="19"/>
      <c r="M1760" s="39"/>
      <c r="N1760" s="19"/>
      <c r="O1760" s="19"/>
      <c r="P1760" s="43" t="str">
        <f aca="false">IF($E1760="","",IF($L1760="Decline",0,IF($L1760="Approve fewer",IF($M1760="","",$M1760),IF($L1760="","",$I1760))))</f>
        <v/>
      </c>
      <c r="Q1760" s="34" t="str">
        <f aca="false">IF($P1760="","",IF($N1760&lt;&gt;"",$N1760,$J1760))</f>
        <v/>
      </c>
      <c r="R1760" s="35" t="str">
        <f aca="false">IF(OR($P1760="",$Q1760=""),"",INDEX(BookRate,1755)*$P1760*(5-MATCH($Q1760,{"Q1";"Q2";"Q3";"Q4"},0))/4+INDEX(BookOneOff,1755)*$P1760)</f>
        <v/>
      </c>
      <c r="S1760" s="35" t="str">
        <f aca="false">IF($P1760="","",INDEX(BookRate,1755)*$P1760)</f>
        <v/>
      </c>
      <c r="T1760" s="35" t="str">
        <f aca="false">IF($R1760="","",$R1760-$K1760)</f>
        <v/>
      </c>
      <c r="U1760" s="35" t="str">
        <f aca="false">IF(N($P1760)&lt;=0,"",COUNTIF($P$6:$P1760,"&gt;0"))</f>
        <v/>
      </c>
    </row>
    <row r="1761" customFormat="false" ht="15" hidden="false" customHeight="false" outlineLevel="0" collapsed="false">
      <c r="A1761" s="40" t="str">
        <f aca="false">IF(INDEX(BookTitle,1756)="","",INDEX(BookGroup,1756))</f>
        <v/>
      </c>
      <c r="B1761" s="40" t="str">
        <f aca="false">IF(INDEX(BookTitle,1756)="","",INDEX(BookRef,1756))</f>
        <v/>
      </c>
      <c r="C1761" s="40" t="str">
        <f aca="false">IF(INDEX(BookTitle,1756)="","",INDEX(BookDivision,1756))</f>
        <v/>
      </c>
      <c r="D1761" s="40" t="str">
        <f aca="false">IF(INDEX(BookTitle,1756)="","",INDEX(BookUnit,1756))</f>
        <v/>
      </c>
      <c r="E1761" s="40" t="str">
        <f aca="false">IF(INDEX(BookTitle,1756)="","",INDEX(BookTitle,1756))</f>
        <v/>
      </c>
      <c r="F1761" s="40" t="str">
        <f aca="false">IF(INDEX(BookTitle,1756)="","",INDEX(BookLevel,1756))</f>
        <v/>
      </c>
      <c r="G1761" s="40" t="str">
        <f aca="false">IF(INDEX(BookTitle,1756)="","",INDEX(BookCategory,1756))</f>
        <v/>
      </c>
      <c r="H1761" s="40" t="str">
        <f aca="false">IF(INDEX(BookTitle,1756)="","",INDEX(BookRank,1756))</f>
        <v/>
      </c>
      <c r="I1761" s="41" t="str">
        <f aca="false">IF(INDEX(BookTitle,1756)="","",INDEX(BookTotal,1756))</f>
        <v/>
      </c>
      <c r="J1761" s="0" t="str">
        <f aca="false">IF($I1761="","",IF(INDEX(BookQ1,1756)&gt;0,"Q1",IF(INDEX(BookQ2,1756)&gt;0,"Q2",IF(INDEX(BookQ3,1756)&gt;0,"Q3",IF(INDEX(BookQ4,1756)&gt;0,"Q4","")))))</f>
        <v/>
      </c>
      <c r="K1761" s="42" t="str">
        <f aca="false">IF(INDEX(BookTitle,1756)="","",INDEX(BookInYear,1756))</f>
        <v/>
      </c>
      <c r="L1761" s="19"/>
      <c r="M1761" s="39"/>
      <c r="N1761" s="19"/>
      <c r="O1761" s="19"/>
      <c r="P1761" s="43" t="str">
        <f aca="false">IF($E1761="","",IF($L1761="Decline",0,IF($L1761="Approve fewer",IF($M1761="","",$M1761),IF($L1761="","",$I1761))))</f>
        <v/>
      </c>
      <c r="Q1761" s="34" t="str">
        <f aca="false">IF($P1761="","",IF($N1761&lt;&gt;"",$N1761,$J1761))</f>
        <v/>
      </c>
      <c r="R1761" s="35" t="str">
        <f aca="false">IF(OR($P1761="",$Q1761=""),"",INDEX(BookRate,1756)*$P1761*(5-MATCH($Q1761,{"Q1";"Q2";"Q3";"Q4"},0))/4+INDEX(BookOneOff,1756)*$P1761)</f>
        <v/>
      </c>
      <c r="S1761" s="35" t="str">
        <f aca="false">IF($P1761="","",INDEX(BookRate,1756)*$P1761)</f>
        <v/>
      </c>
      <c r="T1761" s="35" t="str">
        <f aca="false">IF($R1761="","",$R1761-$K1761)</f>
        <v/>
      </c>
      <c r="U1761" s="35" t="str">
        <f aca="false">IF(N($P1761)&lt;=0,"",COUNTIF($P$6:$P1761,"&gt;0"))</f>
        <v/>
      </c>
    </row>
    <row r="1762" customFormat="false" ht="15" hidden="false" customHeight="false" outlineLevel="0" collapsed="false">
      <c r="A1762" s="40" t="str">
        <f aca="false">IF(INDEX(BookTitle,1757)="","",INDEX(BookGroup,1757))</f>
        <v/>
      </c>
      <c r="B1762" s="40" t="str">
        <f aca="false">IF(INDEX(BookTitle,1757)="","",INDEX(BookRef,1757))</f>
        <v/>
      </c>
      <c r="C1762" s="40" t="str">
        <f aca="false">IF(INDEX(BookTitle,1757)="","",INDEX(BookDivision,1757))</f>
        <v/>
      </c>
      <c r="D1762" s="40" t="str">
        <f aca="false">IF(INDEX(BookTitle,1757)="","",INDEX(BookUnit,1757))</f>
        <v/>
      </c>
      <c r="E1762" s="40" t="str">
        <f aca="false">IF(INDEX(BookTitle,1757)="","",INDEX(BookTitle,1757))</f>
        <v/>
      </c>
      <c r="F1762" s="40" t="str">
        <f aca="false">IF(INDEX(BookTitle,1757)="","",INDEX(BookLevel,1757))</f>
        <v/>
      </c>
      <c r="G1762" s="40" t="str">
        <f aca="false">IF(INDEX(BookTitle,1757)="","",INDEX(BookCategory,1757))</f>
        <v/>
      </c>
      <c r="H1762" s="40" t="str">
        <f aca="false">IF(INDEX(BookTitle,1757)="","",INDEX(BookRank,1757))</f>
        <v/>
      </c>
      <c r="I1762" s="41" t="str">
        <f aca="false">IF(INDEX(BookTitle,1757)="","",INDEX(BookTotal,1757))</f>
        <v/>
      </c>
      <c r="J1762" s="0" t="str">
        <f aca="false">IF($I1762="","",IF(INDEX(BookQ1,1757)&gt;0,"Q1",IF(INDEX(BookQ2,1757)&gt;0,"Q2",IF(INDEX(BookQ3,1757)&gt;0,"Q3",IF(INDEX(BookQ4,1757)&gt;0,"Q4","")))))</f>
        <v/>
      </c>
      <c r="K1762" s="42" t="str">
        <f aca="false">IF(INDEX(BookTitle,1757)="","",INDEX(BookInYear,1757))</f>
        <v/>
      </c>
      <c r="L1762" s="19"/>
      <c r="M1762" s="39"/>
      <c r="N1762" s="19"/>
      <c r="O1762" s="19"/>
      <c r="P1762" s="43" t="str">
        <f aca="false">IF($E1762="","",IF($L1762="Decline",0,IF($L1762="Approve fewer",IF($M1762="","",$M1762),IF($L1762="","",$I1762))))</f>
        <v/>
      </c>
      <c r="Q1762" s="34" t="str">
        <f aca="false">IF($P1762="","",IF($N1762&lt;&gt;"",$N1762,$J1762))</f>
        <v/>
      </c>
      <c r="R1762" s="35" t="str">
        <f aca="false">IF(OR($P1762="",$Q1762=""),"",INDEX(BookRate,1757)*$P1762*(5-MATCH($Q1762,{"Q1";"Q2";"Q3";"Q4"},0))/4+INDEX(BookOneOff,1757)*$P1762)</f>
        <v/>
      </c>
      <c r="S1762" s="35" t="str">
        <f aca="false">IF($P1762="","",INDEX(BookRate,1757)*$P1762)</f>
        <v/>
      </c>
      <c r="T1762" s="35" t="str">
        <f aca="false">IF($R1762="","",$R1762-$K1762)</f>
        <v/>
      </c>
      <c r="U1762" s="35" t="str">
        <f aca="false">IF(N($P1762)&lt;=0,"",COUNTIF($P$6:$P1762,"&gt;0"))</f>
        <v/>
      </c>
    </row>
    <row r="1763" customFormat="false" ht="15" hidden="false" customHeight="false" outlineLevel="0" collapsed="false">
      <c r="A1763" s="40" t="str">
        <f aca="false">IF(INDEX(BookTitle,1758)="","",INDEX(BookGroup,1758))</f>
        <v/>
      </c>
      <c r="B1763" s="40" t="str">
        <f aca="false">IF(INDEX(BookTitle,1758)="","",INDEX(BookRef,1758))</f>
        <v/>
      </c>
      <c r="C1763" s="40" t="str">
        <f aca="false">IF(INDEX(BookTitle,1758)="","",INDEX(BookDivision,1758))</f>
        <v/>
      </c>
      <c r="D1763" s="40" t="str">
        <f aca="false">IF(INDEX(BookTitle,1758)="","",INDEX(BookUnit,1758))</f>
        <v/>
      </c>
      <c r="E1763" s="40" t="str">
        <f aca="false">IF(INDEX(BookTitle,1758)="","",INDEX(BookTitle,1758))</f>
        <v/>
      </c>
      <c r="F1763" s="40" t="str">
        <f aca="false">IF(INDEX(BookTitle,1758)="","",INDEX(BookLevel,1758))</f>
        <v/>
      </c>
      <c r="G1763" s="40" t="str">
        <f aca="false">IF(INDEX(BookTitle,1758)="","",INDEX(BookCategory,1758))</f>
        <v/>
      </c>
      <c r="H1763" s="40" t="str">
        <f aca="false">IF(INDEX(BookTitle,1758)="","",INDEX(BookRank,1758))</f>
        <v/>
      </c>
      <c r="I1763" s="41" t="str">
        <f aca="false">IF(INDEX(BookTitle,1758)="","",INDEX(BookTotal,1758))</f>
        <v/>
      </c>
      <c r="J1763" s="0" t="str">
        <f aca="false">IF($I1763="","",IF(INDEX(BookQ1,1758)&gt;0,"Q1",IF(INDEX(BookQ2,1758)&gt;0,"Q2",IF(INDEX(BookQ3,1758)&gt;0,"Q3",IF(INDEX(BookQ4,1758)&gt;0,"Q4","")))))</f>
        <v/>
      </c>
      <c r="K1763" s="42" t="str">
        <f aca="false">IF(INDEX(BookTitle,1758)="","",INDEX(BookInYear,1758))</f>
        <v/>
      </c>
      <c r="L1763" s="19"/>
      <c r="M1763" s="39"/>
      <c r="N1763" s="19"/>
      <c r="O1763" s="19"/>
      <c r="P1763" s="43" t="str">
        <f aca="false">IF($E1763="","",IF($L1763="Decline",0,IF($L1763="Approve fewer",IF($M1763="","",$M1763),IF($L1763="","",$I1763))))</f>
        <v/>
      </c>
      <c r="Q1763" s="34" t="str">
        <f aca="false">IF($P1763="","",IF($N1763&lt;&gt;"",$N1763,$J1763))</f>
        <v/>
      </c>
      <c r="R1763" s="35" t="str">
        <f aca="false">IF(OR($P1763="",$Q1763=""),"",INDEX(BookRate,1758)*$P1763*(5-MATCH($Q1763,{"Q1";"Q2";"Q3";"Q4"},0))/4+INDEX(BookOneOff,1758)*$P1763)</f>
        <v/>
      </c>
      <c r="S1763" s="35" t="str">
        <f aca="false">IF($P1763="","",INDEX(BookRate,1758)*$P1763)</f>
        <v/>
      </c>
      <c r="T1763" s="35" t="str">
        <f aca="false">IF($R1763="","",$R1763-$K1763)</f>
        <v/>
      </c>
      <c r="U1763" s="35" t="str">
        <f aca="false">IF(N($P1763)&lt;=0,"",COUNTIF($P$6:$P1763,"&gt;0"))</f>
        <v/>
      </c>
    </row>
    <row r="1764" customFormat="false" ht="15" hidden="false" customHeight="false" outlineLevel="0" collapsed="false">
      <c r="A1764" s="40" t="str">
        <f aca="false">IF(INDEX(BookTitle,1759)="","",INDEX(BookGroup,1759))</f>
        <v/>
      </c>
      <c r="B1764" s="40" t="str">
        <f aca="false">IF(INDEX(BookTitle,1759)="","",INDEX(BookRef,1759))</f>
        <v/>
      </c>
      <c r="C1764" s="40" t="str">
        <f aca="false">IF(INDEX(BookTitle,1759)="","",INDEX(BookDivision,1759))</f>
        <v/>
      </c>
      <c r="D1764" s="40" t="str">
        <f aca="false">IF(INDEX(BookTitle,1759)="","",INDEX(BookUnit,1759))</f>
        <v/>
      </c>
      <c r="E1764" s="40" t="str">
        <f aca="false">IF(INDEX(BookTitle,1759)="","",INDEX(BookTitle,1759))</f>
        <v/>
      </c>
      <c r="F1764" s="40" t="str">
        <f aca="false">IF(INDEX(BookTitle,1759)="","",INDEX(BookLevel,1759))</f>
        <v/>
      </c>
      <c r="G1764" s="40" t="str">
        <f aca="false">IF(INDEX(BookTitle,1759)="","",INDEX(BookCategory,1759))</f>
        <v/>
      </c>
      <c r="H1764" s="40" t="str">
        <f aca="false">IF(INDEX(BookTitle,1759)="","",INDEX(BookRank,1759))</f>
        <v/>
      </c>
      <c r="I1764" s="41" t="str">
        <f aca="false">IF(INDEX(BookTitle,1759)="","",INDEX(BookTotal,1759))</f>
        <v/>
      </c>
      <c r="J1764" s="0" t="str">
        <f aca="false">IF($I1764="","",IF(INDEX(BookQ1,1759)&gt;0,"Q1",IF(INDEX(BookQ2,1759)&gt;0,"Q2",IF(INDEX(BookQ3,1759)&gt;0,"Q3",IF(INDEX(BookQ4,1759)&gt;0,"Q4","")))))</f>
        <v/>
      </c>
      <c r="K1764" s="42" t="str">
        <f aca="false">IF(INDEX(BookTitle,1759)="","",INDEX(BookInYear,1759))</f>
        <v/>
      </c>
      <c r="L1764" s="19"/>
      <c r="M1764" s="39"/>
      <c r="N1764" s="19"/>
      <c r="O1764" s="19"/>
      <c r="P1764" s="43" t="str">
        <f aca="false">IF($E1764="","",IF($L1764="Decline",0,IF($L1764="Approve fewer",IF($M1764="","",$M1764),IF($L1764="","",$I1764))))</f>
        <v/>
      </c>
      <c r="Q1764" s="34" t="str">
        <f aca="false">IF($P1764="","",IF($N1764&lt;&gt;"",$N1764,$J1764))</f>
        <v/>
      </c>
      <c r="R1764" s="35" t="str">
        <f aca="false">IF(OR($P1764="",$Q1764=""),"",INDEX(BookRate,1759)*$P1764*(5-MATCH($Q1764,{"Q1";"Q2";"Q3";"Q4"},0))/4+INDEX(BookOneOff,1759)*$P1764)</f>
        <v/>
      </c>
      <c r="S1764" s="35" t="str">
        <f aca="false">IF($P1764="","",INDEX(BookRate,1759)*$P1764)</f>
        <v/>
      </c>
      <c r="T1764" s="35" t="str">
        <f aca="false">IF($R1764="","",$R1764-$K1764)</f>
        <v/>
      </c>
      <c r="U1764" s="35" t="str">
        <f aca="false">IF(N($P1764)&lt;=0,"",COUNTIF($P$6:$P1764,"&gt;0"))</f>
        <v/>
      </c>
    </row>
    <row r="1765" customFormat="false" ht="15" hidden="false" customHeight="false" outlineLevel="0" collapsed="false">
      <c r="A1765" s="40" t="str">
        <f aca="false">IF(INDEX(BookTitle,1760)="","",INDEX(BookGroup,1760))</f>
        <v/>
      </c>
      <c r="B1765" s="40" t="str">
        <f aca="false">IF(INDEX(BookTitle,1760)="","",INDEX(BookRef,1760))</f>
        <v/>
      </c>
      <c r="C1765" s="40" t="str">
        <f aca="false">IF(INDEX(BookTitle,1760)="","",INDEX(BookDivision,1760))</f>
        <v/>
      </c>
      <c r="D1765" s="40" t="str">
        <f aca="false">IF(INDEX(BookTitle,1760)="","",INDEX(BookUnit,1760))</f>
        <v/>
      </c>
      <c r="E1765" s="40" t="str">
        <f aca="false">IF(INDEX(BookTitle,1760)="","",INDEX(BookTitle,1760))</f>
        <v/>
      </c>
      <c r="F1765" s="40" t="str">
        <f aca="false">IF(INDEX(BookTitle,1760)="","",INDEX(BookLevel,1760))</f>
        <v/>
      </c>
      <c r="G1765" s="40" t="str">
        <f aca="false">IF(INDEX(BookTitle,1760)="","",INDEX(BookCategory,1760))</f>
        <v/>
      </c>
      <c r="H1765" s="40" t="str">
        <f aca="false">IF(INDEX(BookTitle,1760)="","",INDEX(BookRank,1760))</f>
        <v/>
      </c>
      <c r="I1765" s="41" t="str">
        <f aca="false">IF(INDEX(BookTitle,1760)="","",INDEX(BookTotal,1760))</f>
        <v/>
      </c>
      <c r="J1765" s="0" t="str">
        <f aca="false">IF($I1765="","",IF(INDEX(BookQ1,1760)&gt;0,"Q1",IF(INDEX(BookQ2,1760)&gt;0,"Q2",IF(INDEX(BookQ3,1760)&gt;0,"Q3",IF(INDEX(BookQ4,1760)&gt;0,"Q4","")))))</f>
        <v/>
      </c>
      <c r="K1765" s="42" t="str">
        <f aca="false">IF(INDEX(BookTitle,1760)="","",INDEX(BookInYear,1760))</f>
        <v/>
      </c>
      <c r="L1765" s="19"/>
      <c r="M1765" s="39"/>
      <c r="N1765" s="19"/>
      <c r="O1765" s="19"/>
      <c r="P1765" s="43" t="str">
        <f aca="false">IF($E1765="","",IF($L1765="Decline",0,IF($L1765="Approve fewer",IF($M1765="","",$M1765),IF($L1765="","",$I1765))))</f>
        <v/>
      </c>
      <c r="Q1765" s="34" t="str">
        <f aca="false">IF($P1765="","",IF($N1765&lt;&gt;"",$N1765,$J1765))</f>
        <v/>
      </c>
      <c r="R1765" s="35" t="str">
        <f aca="false">IF(OR($P1765="",$Q1765=""),"",INDEX(BookRate,1760)*$P1765*(5-MATCH($Q1765,{"Q1";"Q2";"Q3";"Q4"},0))/4+INDEX(BookOneOff,1760)*$P1765)</f>
        <v/>
      </c>
      <c r="S1765" s="35" t="str">
        <f aca="false">IF($P1765="","",INDEX(BookRate,1760)*$P1765)</f>
        <v/>
      </c>
      <c r="T1765" s="35" t="str">
        <f aca="false">IF($R1765="","",$R1765-$K1765)</f>
        <v/>
      </c>
      <c r="U1765" s="35" t="str">
        <f aca="false">IF(N($P1765)&lt;=0,"",COUNTIF($P$6:$P1765,"&gt;0"))</f>
        <v/>
      </c>
    </row>
    <row r="1766" customFormat="false" ht="15" hidden="false" customHeight="false" outlineLevel="0" collapsed="false">
      <c r="A1766" s="40" t="str">
        <f aca="false">IF(INDEX(BookTitle,1761)="","",INDEX(BookGroup,1761))</f>
        <v/>
      </c>
      <c r="B1766" s="40" t="str">
        <f aca="false">IF(INDEX(BookTitle,1761)="","",INDEX(BookRef,1761))</f>
        <v/>
      </c>
      <c r="C1766" s="40" t="str">
        <f aca="false">IF(INDEX(BookTitle,1761)="","",INDEX(BookDivision,1761))</f>
        <v/>
      </c>
      <c r="D1766" s="40" t="str">
        <f aca="false">IF(INDEX(BookTitle,1761)="","",INDEX(BookUnit,1761))</f>
        <v/>
      </c>
      <c r="E1766" s="40" t="str">
        <f aca="false">IF(INDEX(BookTitle,1761)="","",INDEX(BookTitle,1761))</f>
        <v/>
      </c>
      <c r="F1766" s="40" t="str">
        <f aca="false">IF(INDEX(BookTitle,1761)="","",INDEX(BookLevel,1761))</f>
        <v/>
      </c>
      <c r="G1766" s="40" t="str">
        <f aca="false">IF(INDEX(BookTitle,1761)="","",INDEX(BookCategory,1761))</f>
        <v/>
      </c>
      <c r="H1766" s="40" t="str">
        <f aca="false">IF(INDEX(BookTitle,1761)="","",INDEX(BookRank,1761))</f>
        <v/>
      </c>
      <c r="I1766" s="41" t="str">
        <f aca="false">IF(INDEX(BookTitle,1761)="","",INDEX(BookTotal,1761))</f>
        <v/>
      </c>
      <c r="J1766" s="0" t="str">
        <f aca="false">IF($I1766="","",IF(INDEX(BookQ1,1761)&gt;0,"Q1",IF(INDEX(BookQ2,1761)&gt;0,"Q2",IF(INDEX(BookQ3,1761)&gt;0,"Q3",IF(INDEX(BookQ4,1761)&gt;0,"Q4","")))))</f>
        <v/>
      </c>
      <c r="K1766" s="42" t="str">
        <f aca="false">IF(INDEX(BookTitle,1761)="","",INDEX(BookInYear,1761))</f>
        <v/>
      </c>
      <c r="L1766" s="19"/>
      <c r="M1766" s="39"/>
      <c r="N1766" s="19"/>
      <c r="O1766" s="19"/>
      <c r="P1766" s="43" t="str">
        <f aca="false">IF($E1766="","",IF($L1766="Decline",0,IF($L1766="Approve fewer",IF($M1766="","",$M1766),IF($L1766="","",$I1766))))</f>
        <v/>
      </c>
      <c r="Q1766" s="34" t="str">
        <f aca="false">IF($P1766="","",IF($N1766&lt;&gt;"",$N1766,$J1766))</f>
        <v/>
      </c>
      <c r="R1766" s="35" t="str">
        <f aca="false">IF(OR($P1766="",$Q1766=""),"",INDEX(BookRate,1761)*$P1766*(5-MATCH($Q1766,{"Q1";"Q2";"Q3";"Q4"},0))/4+INDEX(BookOneOff,1761)*$P1766)</f>
        <v/>
      </c>
      <c r="S1766" s="35" t="str">
        <f aca="false">IF($P1766="","",INDEX(BookRate,1761)*$P1766)</f>
        <v/>
      </c>
      <c r="T1766" s="35" t="str">
        <f aca="false">IF($R1766="","",$R1766-$K1766)</f>
        <v/>
      </c>
      <c r="U1766" s="35" t="str">
        <f aca="false">IF(N($P1766)&lt;=0,"",COUNTIF($P$6:$P1766,"&gt;0"))</f>
        <v/>
      </c>
    </row>
    <row r="1767" customFormat="false" ht="15" hidden="false" customHeight="false" outlineLevel="0" collapsed="false">
      <c r="A1767" s="40" t="str">
        <f aca="false">IF(INDEX(BookTitle,1762)="","",INDEX(BookGroup,1762))</f>
        <v/>
      </c>
      <c r="B1767" s="40" t="str">
        <f aca="false">IF(INDEX(BookTitle,1762)="","",INDEX(BookRef,1762))</f>
        <v/>
      </c>
      <c r="C1767" s="40" t="str">
        <f aca="false">IF(INDEX(BookTitle,1762)="","",INDEX(BookDivision,1762))</f>
        <v/>
      </c>
      <c r="D1767" s="40" t="str">
        <f aca="false">IF(INDEX(BookTitle,1762)="","",INDEX(BookUnit,1762))</f>
        <v/>
      </c>
      <c r="E1767" s="40" t="str">
        <f aca="false">IF(INDEX(BookTitle,1762)="","",INDEX(BookTitle,1762))</f>
        <v/>
      </c>
      <c r="F1767" s="40" t="str">
        <f aca="false">IF(INDEX(BookTitle,1762)="","",INDEX(BookLevel,1762))</f>
        <v/>
      </c>
      <c r="G1767" s="40" t="str">
        <f aca="false">IF(INDEX(BookTitle,1762)="","",INDEX(BookCategory,1762))</f>
        <v/>
      </c>
      <c r="H1767" s="40" t="str">
        <f aca="false">IF(INDEX(BookTitle,1762)="","",INDEX(BookRank,1762))</f>
        <v/>
      </c>
      <c r="I1767" s="41" t="str">
        <f aca="false">IF(INDEX(BookTitle,1762)="","",INDEX(BookTotal,1762))</f>
        <v/>
      </c>
      <c r="J1767" s="0" t="str">
        <f aca="false">IF($I1767="","",IF(INDEX(BookQ1,1762)&gt;0,"Q1",IF(INDEX(BookQ2,1762)&gt;0,"Q2",IF(INDEX(BookQ3,1762)&gt;0,"Q3",IF(INDEX(BookQ4,1762)&gt;0,"Q4","")))))</f>
        <v/>
      </c>
      <c r="K1767" s="42" t="str">
        <f aca="false">IF(INDEX(BookTitle,1762)="","",INDEX(BookInYear,1762))</f>
        <v/>
      </c>
      <c r="L1767" s="19"/>
      <c r="M1767" s="39"/>
      <c r="N1767" s="19"/>
      <c r="O1767" s="19"/>
      <c r="P1767" s="43" t="str">
        <f aca="false">IF($E1767="","",IF($L1767="Decline",0,IF($L1767="Approve fewer",IF($M1767="","",$M1767),IF($L1767="","",$I1767))))</f>
        <v/>
      </c>
      <c r="Q1767" s="34" t="str">
        <f aca="false">IF($P1767="","",IF($N1767&lt;&gt;"",$N1767,$J1767))</f>
        <v/>
      </c>
      <c r="R1767" s="35" t="str">
        <f aca="false">IF(OR($P1767="",$Q1767=""),"",INDEX(BookRate,1762)*$P1767*(5-MATCH($Q1767,{"Q1";"Q2";"Q3";"Q4"},0))/4+INDEX(BookOneOff,1762)*$P1767)</f>
        <v/>
      </c>
      <c r="S1767" s="35" t="str">
        <f aca="false">IF($P1767="","",INDEX(BookRate,1762)*$P1767)</f>
        <v/>
      </c>
      <c r="T1767" s="35" t="str">
        <f aca="false">IF($R1767="","",$R1767-$K1767)</f>
        <v/>
      </c>
      <c r="U1767" s="35" t="str">
        <f aca="false">IF(N($P1767)&lt;=0,"",COUNTIF($P$6:$P1767,"&gt;0"))</f>
        <v/>
      </c>
    </row>
    <row r="1768" customFormat="false" ht="15" hidden="false" customHeight="false" outlineLevel="0" collapsed="false">
      <c r="A1768" s="40" t="str">
        <f aca="false">IF(INDEX(BookTitle,1763)="","",INDEX(BookGroup,1763))</f>
        <v/>
      </c>
      <c r="B1768" s="40" t="str">
        <f aca="false">IF(INDEX(BookTitle,1763)="","",INDEX(BookRef,1763))</f>
        <v/>
      </c>
      <c r="C1768" s="40" t="str">
        <f aca="false">IF(INDEX(BookTitle,1763)="","",INDEX(BookDivision,1763))</f>
        <v/>
      </c>
      <c r="D1768" s="40" t="str">
        <f aca="false">IF(INDEX(BookTitle,1763)="","",INDEX(BookUnit,1763))</f>
        <v/>
      </c>
      <c r="E1768" s="40" t="str">
        <f aca="false">IF(INDEX(BookTitle,1763)="","",INDEX(BookTitle,1763))</f>
        <v/>
      </c>
      <c r="F1768" s="40" t="str">
        <f aca="false">IF(INDEX(BookTitle,1763)="","",INDEX(BookLevel,1763))</f>
        <v/>
      </c>
      <c r="G1768" s="40" t="str">
        <f aca="false">IF(INDEX(BookTitle,1763)="","",INDEX(BookCategory,1763))</f>
        <v/>
      </c>
      <c r="H1768" s="40" t="str">
        <f aca="false">IF(INDEX(BookTitle,1763)="","",INDEX(BookRank,1763))</f>
        <v/>
      </c>
      <c r="I1768" s="41" t="str">
        <f aca="false">IF(INDEX(BookTitle,1763)="","",INDEX(BookTotal,1763))</f>
        <v/>
      </c>
      <c r="J1768" s="0" t="str">
        <f aca="false">IF($I1768="","",IF(INDEX(BookQ1,1763)&gt;0,"Q1",IF(INDEX(BookQ2,1763)&gt;0,"Q2",IF(INDEX(BookQ3,1763)&gt;0,"Q3",IF(INDEX(BookQ4,1763)&gt;0,"Q4","")))))</f>
        <v/>
      </c>
      <c r="K1768" s="42" t="str">
        <f aca="false">IF(INDEX(BookTitle,1763)="","",INDEX(BookInYear,1763))</f>
        <v/>
      </c>
      <c r="L1768" s="19"/>
      <c r="M1768" s="39"/>
      <c r="N1768" s="19"/>
      <c r="O1768" s="19"/>
      <c r="P1768" s="43" t="str">
        <f aca="false">IF($E1768="","",IF($L1768="Decline",0,IF($L1768="Approve fewer",IF($M1768="","",$M1768),IF($L1768="","",$I1768))))</f>
        <v/>
      </c>
      <c r="Q1768" s="34" t="str">
        <f aca="false">IF($P1768="","",IF($N1768&lt;&gt;"",$N1768,$J1768))</f>
        <v/>
      </c>
      <c r="R1768" s="35" t="str">
        <f aca="false">IF(OR($P1768="",$Q1768=""),"",INDEX(BookRate,1763)*$P1768*(5-MATCH($Q1768,{"Q1";"Q2";"Q3";"Q4"},0))/4+INDEX(BookOneOff,1763)*$P1768)</f>
        <v/>
      </c>
      <c r="S1768" s="35" t="str">
        <f aca="false">IF($P1768="","",INDEX(BookRate,1763)*$P1768)</f>
        <v/>
      </c>
      <c r="T1768" s="35" t="str">
        <f aca="false">IF($R1768="","",$R1768-$K1768)</f>
        <v/>
      </c>
      <c r="U1768" s="35" t="str">
        <f aca="false">IF(N($P1768)&lt;=0,"",COUNTIF($P$6:$P1768,"&gt;0"))</f>
        <v/>
      </c>
    </row>
    <row r="1769" customFormat="false" ht="15" hidden="false" customHeight="false" outlineLevel="0" collapsed="false">
      <c r="A1769" s="40" t="str">
        <f aca="false">IF(INDEX(BookTitle,1764)="","",INDEX(BookGroup,1764))</f>
        <v/>
      </c>
      <c r="B1769" s="40" t="str">
        <f aca="false">IF(INDEX(BookTitle,1764)="","",INDEX(BookRef,1764))</f>
        <v/>
      </c>
      <c r="C1769" s="40" t="str">
        <f aca="false">IF(INDEX(BookTitle,1764)="","",INDEX(BookDivision,1764))</f>
        <v/>
      </c>
      <c r="D1769" s="40" t="str">
        <f aca="false">IF(INDEX(BookTitle,1764)="","",INDEX(BookUnit,1764))</f>
        <v/>
      </c>
      <c r="E1769" s="40" t="str">
        <f aca="false">IF(INDEX(BookTitle,1764)="","",INDEX(BookTitle,1764))</f>
        <v/>
      </c>
      <c r="F1769" s="40" t="str">
        <f aca="false">IF(INDEX(BookTitle,1764)="","",INDEX(BookLevel,1764))</f>
        <v/>
      </c>
      <c r="G1769" s="40" t="str">
        <f aca="false">IF(INDEX(BookTitle,1764)="","",INDEX(BookCategory,1764))</f>
        <v/>
      </c>
      <c r="H1769" s="40" t="str">
        <f aca="false">IF(INDEX(BookTitle,1764)="","",INDEX(BookRank,1764))</f>
        <v/>
      </c>
      <c r="I1769" s="41" t="str">
        <f aca="false">IF(INDEX(BookTitle,1764)="","",INDEX(BookTotal,1764))</f>
        <v/>
      </c>
      <c r="J1769" s="0" t="str">
        <f aca="false">IF($I1769="","",IF(INDEX(BookQ1,1764)&gt;0,"Q1",IF(INDEX(BookQ2,1764)&gt;0,"Q2",IF(INDEX(BookQ3,1764)&gt;0,"Q3",IF(INDEX(BookQ4,1764)&gt;0,"Q4","")))))</f>
        <v/>
      </c>
      <c r="K1769" s="42" t="str">
        <f aca="false">IF(INDEX(BookTitle,1764)="","",INDEX(BookInYear,1764))</f>
        <v/>
      </c>
      <c r="L1769" s="19"/>
      <c r="M1769" s="39"/>
      <c r="N1769" s="19"/>
      <c r="O1769" s="19"/>
      <c r="P1769" s="43" t="str">
        <f aca="false">IF($E1769="","",IF($L1769="Decline",0,IF($L1769="Approve fewer",IF($M1769="","",$M1769),IF($L1769="","",$I1769))))</f>
        <v/>
      </c>
      <c r="Q1769" s="34" t="str">
        <f aca="false">IF($P1769="","",IF($N1769&lt;&gt;"",$N1769,$J1769))</f>
        <v/>
      </c>
      <c r="R1769" s="35" t="str">
        <f aca="false">IF(OR($P1769="",$Q1769=""),"",INDEX(BookRate,1764)*$P1769*(5-MATCH($Q1769,{"Q1";"Q2";"Q3";"Q4"},0))/4+INDEX(BookOneOff,1764)*$P1769)</f>
        <v/>
      </c>
      <c r="S1769" s="35" t="str">
        <f aca="false">IF($P1769="","",INDEX(BookRate,1764)*$P1769)</f>
        <v/>
      </c>
      <c r="T1769" s="35" t="str">
        <f aca="false">IF($R1769="","",$R1769-$K1769)</f>
        <v/>
      </c>
      <c r="U1769" s="35" t="str">
        <f aca="false">IF(N($P1769)&lt;=0,"",COUNTIF($P$6:$P1769,"&gt;0"))</f>
        <v/>
      </c>
    </row>
    <row r="1770" customFormat="false" ht="15" hidden="false" customHeight="false" outlineLevel="0" collapsed="false">
      <c r="A1770" s="40" t="str">
        <f aca="false">IF(INDEX(BookTitle,1765)="","",INDEX(BookGroup,1765))</f>
        <v/>
      </c>
      <c r="B1770" s="40" t="str">
        <f aca="false">IF(INDEX(BookTitle,1765)="","",INDEX(BookRef,1765))</f>
        <v/>
      </c>
      <c r="C1770" s="40" t="str">
        <f aca="false">IF(INDEX(BookTitle,1765)="","",INDEX(BookDivision,1765))</f>
        <v/>
      </c>
      <c r="D1770" s="40" t="str">
        <f aca="false">IF(INDEX(BookTitle,1765)="","",INDEX(BookUnit,1765))</f>
        <v/>
      </c>
      <c r="E1770" s="40" t="str">
        <f aca="false">IF(INDEX(BookTitle,1765)="","",INDEX(BookTitle,1765))</f>
        <v/>
      </c>
      <c r="F1770" s="40" t="str">
        <f aca="false">IF(INDEX(BookTitle,1765)="","",INDEX(BookLevel,1765))</f>
        <v/>
      </c>
      <c r="G1770" s="40" t="str">
        <f aca="false">IF(INDEX(BookTitle,1765)="","",INDEX(BookCategory,1765))</f>
        <v/>
      </c>
      <c r="H1770" s="40" t="str">
        <f aca="false">IF(INDEX(BookTitle,1765)="","",INDEX(BookRank,1765))</f>
        <v/>
      </c>
      <c r="I1770" s="41" t="str">
        <f aca="false">IF(INDEX(BookTitle,1765)="","",INDEX(BookTotal,1765))</f>
        <v/>
      </c>
      <c r="J1770" s="0" t="str">
        <f aca="false">IF($I1770="","",IF(INDEX(BookQ1,1765)&gt;0,"Q1",IF(INDEX(BookQ2,1765)&gt;0,"Q2",IF(INDEX(BookQ3,1765)&gt;0,"Q3",IF(INDEX(BookQ4,1765)&gt;0,"Q4","")))))</f>
        <v/>
      </c>
      <c r="K1770" s="42" t="str">
        <f aca="false">IF(INDEX(BookTitle,1765)="","",INDEX(BookInYear,1765))</f>
        <v/>
      </c>
      <c r="L1770" s="19"/>
      <c r="M1770" s="39"/>
      <c r="N1770" s="19"/>
      <c r="O1770" s="19"/>
      <c r="P1770" s="43" t="str">
        <f aca="false">IF($E1770="","",IF($L1770="Decline",0,IF($L1770="Approve fewer",IF($M1770="","",$M1770),IF($L1770="","",$I1770))))</f>
        <v/>
      </c>
      <c r="Q1770" s="34" t="str">
        <f aca="false">IF($P1770="","",IF($N1770&lt;&gt;"",$N1770,$J1770))</f>
        <v/>
      </c>
      <c r="R1770" s="35" t="str">
        <f aca="false">IF(OR($P1770="",$Q1770=""),"",INDEX(BookRate,1765)*$P1770*(5-MATCH($Q1770,{"Q1";"Q2";"Q3";"Q4"},0))/4+INDEX(BookOneOff,1765)*$P1770)</f>
        <v/>
      </c>
      <c r="S1770" s="35" t="str">
        <f aca="false">IF($P1770="","",INDEX(BookRate,1765)*$P1770)</f>
        <v/>
      </c>
      <c r="T1770" s="35" t="str">
        <f aca="false">IF($R1770="","",$R1770-$K1770)</f>
        <v/>
      </c>
      <c r="U1770" s="35" t="str">
        <f aca="false">IF(N($P1770)&lt;=0,"",COUNTIF($P$6:$P1770,"&gt;0"))</f>
        <v/>
      </c>
    </row>
    <row r="1771" customFormat="false" ht="15" hidden="false" customHeight="false" outlineLevel="0" collapsed="false">
      <c r="A1771" s="40" t="str">
        <f aca="false">IF(INDEX(BookTitle,1766)="","",INDEX(BookGroup,1766))</f>
        <v/>
      </c>
      <c r="B1771" s="40" t="str">
        <f aca="false">IF(INDEX(BookTitle,1766)="","",INDEX(BookRef,1766))</f>
        <v/>
      </c>
      <c r="C1771" s="40" t="str">
        <f aca="false">IF(INDEX(BookTitle,1766)="","",INDEX(BookDivision,1766))</f>
        <v/>
      </c>
      <c r="D1771" s="40" t="str">
        <f aca="false">IF(INDEX(BookTitle,1766)="","",INDEX(BookUnit,1766))</f>
        <v/>
      </c>
      <c r="E1771" s="40" t="str">
        <f aca="false">IF(INDEX(BookTitle,1766)="","",INDEX(BookTitle,1766))</f>
        <v/>
      </c>
      <c r="F1771" s="40" t="str">
        <f aca="false">IF(INDEX(BookTitle,1766)="","",INDEX(BookLevel,1766))</f>
        <v/>
      </c>
      <c r="G1771" s="40" t="str">
        <f aca="false">IF(INDEX(BookTitle,1766)="","",INDEX(BookCategory,1766))</f>
        <v/>
      </c>
      <c r="H1771" s="40" t="str">
        <f aca="false">IF(INDEX(BookTitle,1766)="","",INDEX(BookRank,1766))</f>
        <v/>
      </c>
      <c r="I1771" s="41" t="str">
        <f aca="false">IF(INDEX(BookTitle,1766)="","",INDEX(BookTotal,1766))</f>
        <v/>
      </c>
      <c r="J1771" s="0" t="str">
        <f aca="false">IF($I1771="","",IF(INDEX(BookQ1,1766)&gt;0,"Q1",IF(INDEX(BookQ2,1766)&gt;0,"Q2",IF(INDEX(BookQ3,1766)&gt;0,"Q3",IF(INDEX(BookQ4,1766)&gt;0,"Q4","")))))</f>
        <v/>
      </c>
      <c r="K1771" s="42" t="str">
        <f aca="false">IF(INDEX(BookTitle,1766)="","",INDEX(BookInYear,1766))</f>
        <v/>
      </c>
      <c r="L1771" s="19"/>
      <c r="M1771" s="39"/>
      <c r="N1771" s="19"/>
      <c r="O1771" s="19"/>
      <c r="P1771" s="43" t="str">
        <f aca="false">IF($E1771="","",IF($L1771="Decline",0,IF($L1771="Approve fewer",IF($M1771="","",$M1771),IF($L1771="","",$I1771))))</f>
        <v/>
      </c>
      <c r="Q1771" s="34" t="str">
        <f aca="false">IF($P1771="","",IF($N1771&lt;&gt;"",$N1771,$J1771))</f>
        <v/>
      </c>
      <c r="R1771" s="35" t="str">
        <f aca="false">IF(OR($P1771="",$Q1771=""),"",INDEX(BookRate,1766)*$P1771*(5-MATCH($Q1771,{"Q1";"Q2";"Q3";"Q4"},0))/4+INDEX(BookOneOff,1766)*$P1771)</f>
        <v/>
      </c>
      <c r="S1771" s="35" t="str">
        <f aca="false">IF($P1771="","",INDEX(BookRate,1766)*$P1771)</f>
        <v/>
      </c>
      <c r="T1771" s="35" t="str">
        <f aca="false">IF($R1771="","",$R1771-$K1771)</f>
        <v/>
      </c>
      <c r="U1771" s="35" t="str">
        <f aca="false">IF(N($P1771)&lt;=0,"",COUNTIF($P$6:$P1771,"&gt;0"))</f>
        <v/>
      </c>
    </row>
    <row r="1772" customFormat="false" ht="15" hidden="false" customHeight="false" outlineLevel="0" collapsed="false">
      <c r="A1772" s="40" t="str">
        <f aca="false">IF(INDEX(BookTitle,1767)="","",INDEX(BookGroup,1767))</f>
        <v/>
      </c>
      <c r="B1772" s="40" t="str">
        <f aca="false">IF(INDEX(BookTitle,1767)="","",INDEX(BookRef,1767))</f>
        <v/>
      </c>
      <c r="C1772" s="40" t="str">
        <f aca="false">IF(INDEX(BookTitle,1767)="","",INDEX(BookDivision,1767))</f>
        <v/>
      </c>
      <c r="D1772" s="40" t="str">
        <f aca="false">IF(INDEX(BookTitle,1767)="","",INDEX(BookUnit,1767))</f>
        <v/>
      </c>
      <c r="E1772" s="40" t="str">
        <f aca="false">IF(INDEX(BookTitle,1767)="","",INDEX(BookTitle,1767))</f>
        <v/>
      </c>
      <c r="F1772" s="40" t="str">
        <f aca="false">IF(INDEX(BookTitle,1767)="","",INDEX(BookLevel,1767))</f>
        <v/>
      </c>
      <c r="G1772" s="40" t="str">
        <f aca="false">IF(INDEX(BookTitle,1767)="","",INDEX(BookCategory,1767))</f>
        <v/>
      </c>
      <c r="H1772" s="40" t="str">
        <f aca="false">IF(INDEX(BookTitle,1767)="","",INDEX(BookRank,1767))</f>
        <v/>
      </c>
      <c r="I1772" s="41" t="str">
        <f aca="false">IF(INDEX(BookTitle,1767)="","",INDEX(BookTotal,1767))</f>
        <v/>
      </c>
      <c r="J1772" s="0" t="str">
        <f aca="false">IF($I1772="","",IF(INDEX(BookQ1,1767)&gt;0,"Q1",IF(INDEX(BookQ2,1767)&gt;0,"Q2",IF(INDEX(BookQ3,1767)&gt;0,"Q3",IF(INDEX(BookQ4,1767)&gt;0,"Q4","")))))</f>
        <v/>
      </c>
      <c r="K1772" s="42" t="str">
        <f aca="false">IF(INDEX(BookTitle,1767)="","",INDEX(BookInYear,1767))</f>
        <v/>
      </c>
      <c r="L1772" s="19"/>
      <c r="M1772" s="39"/>
      <c r="N1772" s="19"/>
      <c r="O1772" s="19"/>
      <c r="P1772" s="43" t="str">
        <f aca="false">IF($E1772="","",IF($L1772="Decline",0,IF($L1772="Approve fewer",IF($M1772="","",$M1772),IF($L1772="","",$I1772))))</f>
        <v/>
      </c>
      <c r="Q1772" s="34" t="str">
        <f aca="false">IF($P1772="","",IF($N1772&lt;&gt;"",$N1772,$J1772))</f>
        <v/>
      </c>
      <c r="R1772" s="35" t="str">
        <f aca="false">IF(OR($P1772="",$Q1772=""),"",INDEX(BookRate,1767)*$P1772*(5-MATCH($Q1772,{"Q1";"Q2";"Q3";"Q4"},0))/4+INDEX(BookOneOff,1767)*$P1772)</f>
        <v/>
      </c>
      <c r="S1772" s="35" t="str">
        <f aca="false">IF($P1772="","",INDEX(BookRate,1767)*$P1772)</f>
        <v/>
      </c>
      <c r="T1772" s="35" t="str">
        <f aca="false">IF($R1772="","",$R1772-$K1772)</f>
        <v/>
      </c>
      <c r="U1772" s="35" t="str">
        <f aca="false">IF(N($P1772)&lt;=0,"",COUNTIF($P$6:$P1772,"&gt;0"))</f>
        <v/>
      </c>
    </row>
    <row r="1773" customFormat="false" ht="15" hidden="false" customHeight="false" outlineLevel="0" collapsed="false">
      <c r="A1773" s="40" t="str">
        <f aca="false">IF(INDEX(BookTitle,1768)="","",INDEX(BookGroup,1768))</f>
        <v/>
      </c>
      <c r="B1773" s="40" t="str">
        <f aca="false">IF(INDEX(BookTitle,1768)="","",INDEX(BookRef,1768))</f>
        <v/>
      </c>
      <c r="C1773" s="40" t="str">
        <f aca="false">IF(INDEX(BookTitle,1768)="","",INDEX(BookDivision,1768))</f>
        <v/>
      </c>
      <c r="D1773" s="40" t="str">
        <f aca="false">IF(INDEX(BookTitle,1768)="","",INDEX(BookUnit,1768))</f>
        <v/>
      </c>
      <c r="E1773" s="40" t="str">
        <f aca="false">IF(INDEX(BookTitle,1768)="","",INDEX(BookTitle,1768))</f>
        <v/>
      </c>
      <c r="F1773" s="40" t="str">
        <f aca="false">IF(INDEX(BookTitle,1768)="","",INDEX(BookLevel,1768))</f>
        <v/>
      </c>
      <c r="G1773" s="40" t="str">
        <f aca="false">IF(INDEX(BookTitle,1768)="","",INDEX(BookCategory,1768))</f>
        <v/>
      </c>
      <c r="H1773" s="40" t="str">
        <f aca="false">IF(INDEX(BookTitle,1768)="","",INDEX(BookRank,1768))</f>
        <v/>
      </c>
      <c r="I1773" s="41" t="str">
        <f aca="false">IF(INDEX(BookTitle,1768)="","",INDEX(BookTotal,1768))</f>
        <v/>
      </c>
      <c r="J1773" s="0" t="str">
        <f aca="false">IF($I1773="","",IF(INDEX(BookQ1,1768)&gt;0,"Q1",IF(INDEX(BookQ2,1768)&gt;0,"Q2",IF(INDEX(BookQ3,1768)&gt;0,"Q3",IF(INDEX(BookQ4,1768)&gt;0,"Q4","")))))</f>
        <v/>
      </c>
      <c r="K1773" s="42" t="str">
        <f aca="false">IF(INDEX(BookTitle,1768)="","",INDEX(BookInYear,1768))</f>
        <v/>
      </c>
      <c r="L1773" s="19"/>
      <c r="M1773" s="39"/>
      <c r="N1773" s="19"/>
      <c r="O1773" s="19"/>
      <c r="P1773" s="43" t="str">
        <f aca="false">IF($E1773="","",IF($L1773="Decline",0,IF($L1773="Approve fewer",IF($M1773="","",$M1773),IF($L1773="","",$I1773))))</f>
        <v/>
      </c>
      <c r="Q1773" s="34" t="str">
        <f aca="false">IF($P1773="","",IF($N1773&lt;&gt;"",$N1773,$J1773))</f>
        <v/>
      </c>
      <c r="R1773" s="35" t="str">
        <f aca="false">IF(OR($P1773="",$Q1773=""),"",INDEX(BookRate,1768)*$P1773*(5-MATCH($Q1773,{"Q1";"Q2";"Q3";"Q4"},0))/4+INDEX(BookOneOff,1768)*$P1773)</f>
        <v/>
      </c>
      <c r="S1773" s="35" t="str">
        <f aca="false">IF($P1773="","",INDEX(BookRate,1768)*$P1773)</f>
        <v/>
      </c>
      <c r="T1773" s="35" t="str">
        <f aca="false">IF($R1773="","",$R1773-$K1773)</f>
        <v/>
      </c>
      <c r="U1773" s="35" t="str">
        <f aca="false">IF(N($P1773)&lt;=0,"",COUNTIF($P$6:$P1773,"&gt;0"))</f>
        <v/>
      </c>
    </row>
    <row r="1774" customFormat="false" ht="15" hidden="false" customHeight="false" outlineLevel="0" collapsed="false">
      <c r="A1774" s="40" t="str">
        <f aca="false">IF(INDEX(BookTitle,1769)="","",INDEX(BookGroup,1769))</f>
        <v/>
      </c>
      <c r="B1774" s="40" t="str">
        <f aca="false">IF(INDEX(BookTitle,1769)="","",INDEX(BookRef,1769))</f>
        <v/>
      </c>
      <c r="C1774" s="40" t="str">
        <f aca="false">IF(INDEX(BookTitle,1769)="","",INDEX(BookDivision,1769))</f>
        <v/>
      </c>
      <c r="D1774" s="40" t="str">
        <f aca="false">IF(INDEX(BookTitle,1769)="","",INDEX(BookUnit,1769))</f>
        <v/>
      </c>
      <c r="E1774" s="40" t="str">
        <f aca="false">IF(INDEX(BookTitle,1769)="","",INDEX(BookTitle,1769))</f>
        <v/>
      </c>
      <c r="F1774" s="40" t="str">
        <f aca="false">IF(INDEX(BookTitle,1769)="","",INDEX(BookLevel,1769))</f>
        <v/>
      </c>
      <c r="G1774" s="40" t="str">
        <f aca="false">IF(INDEX(BookTitle,1769)="","",INDEX(BookCategory,1769))</f>
        <v/>
      </c>
      <c r="H1774" s="40" t="str">
        <f aca="false">IF(INDEX(BookTitle,1769)="","",INDEX(BookRank,1769))</f>
        <v/>
      </c>
      <c r="I1774" s="41" t="str">
        <f aca="false">IF(INDEX(BookTitle,1769)="","",INDEX(BookTotal,1769))</f>
        <v/>
      </c>
      <c r="J1774" s="0" t="str">
        <f aca="false">IF($I1774="","",IF(INDEX(BookQ1,1769)&gt;0,"Q1",IF(INDEX(BookQ2,1769)&gt;0,"Q2",IF(INDEX(BookQ3,1769)&gt;0,"Q3",IF(INDEX(BookQ4,1769)&gt;0,"Q4","")))))</f>
        <v/>
      </c>
      <c r="K1774" s="42" t="str">
        <f aca="false">IF(INDEX(BookTitle,1769)="","",INDEX(BookInYear,1769))</f>
        <v/>
      </c>
      <c r="L1774" s="19"/>
      <c r="M1774" s="39"/>
      <c r="N1774" s="19"/>
      <c r="O1774" s="19"/>
      <c r="P1774" s="43" t="str">
        <f aca="false">IF($E1774="","",IF($L1774="Decline",0,IF($L1774="Approve fewer",IF($M1774="","",$M1774),IF($L1774="","",$I1774))))</f>
        <v/>
      </c>
      <c r="Q1774" s="34" t="str">
        <f aca="false">IF($P1774="","",IF($N1774&lt;&gt;"",$N1774,$J1774))</f>
        <v/>
      </c>
      <c r="R1774" s="35" t="str">
        <f aca="false">IF(OR($P1774="",$Q1774=""),"",INDEX(BookRate,1769)*$P1774*(5-MATCH($Q1774,{"Q1";"Q2";"Q3";"Q4"},0))/4+INDEX(BookOneOff,1769)*$P1774)</f>
        <v/>
      </c>
      <c r="S1774" s="35" t="str">
        <f aca="false">IF($P1774="","",INDEX(BookRate,1769)*$P1774)</f>
        <v/>
      </c>
      <c r="T1774" s="35" t="str">
        <f aca="false">IF($R1774="","",$R1774-$K1774)</f>
        <v/>
      </c>
      <c r="U1774" s="35" t="str">
        <f aca="false">IF(N($P1774)&lt;=0,"",COUNTIF($P$6:$P1774,"&gt;0"))</f>
        <v/>
      </c>
    </row>
    <row r="1775" customFormat="false" ht="15" hidden="false" customHeight="false" outlineLevel="0" collapsed="false">
      <c r="A1775" s="40" t="str">
        <f aca="false">IF(INDEX(BookTitle,1770)="","",INDEX(BookGroup,1770))</f>
        <v/>
      </c>
      <c r="B1775" s="40" t="str">
        <f aca="false">IF(INDEX(BookTitle,1770)="","",INDEX(BookRef,1770))</f>
        <v/>
      </c>
      <c r="C1775" s="40" t="str">
        <f aca="false">IF(INDEX(BookTitle,1770)="","",INDEX(BookDivision,1770))</f>
        <v/>
      </c>
      <c r="D1775" s="40" t="str">
        <f aca="false">IF(INDEX(BookTitle,1770)="","",INDEX(BookUnit,1770))</f>
        <v/>
      </c>
      <c r="E1775" s="40" t="str">
        <f aca="false">IF(INDEX(BookTitle,1770)="","",INDEX(BookTitle,1770))</f>
        <v/>
      </c>
      <c r="F1775" s="40" t="str">
        <f aca="false">IF(INDEX(BookTitle,1770)="","",INDEX(BookLevel,1770))</f>
        <v/>
      </c>
      <c r="G1775" s="40" t="str">
        <f aca="false">IF(INDEX(BookTitle,1770)="","",INDEX(BookCategory,1770))</f>
        <v/>
      </c>
      <c r="H1775" s="40" t="str">
        <f aca="false">IF(INDEX(BookTitle,1770)="","",INDEX(BookRank,1770))</f>
        <v/>
      </c>
      <c r="I1775" s="41" t="str">
        <f aca="false">IF(INDEX(BookTitle,1770)="","",INDEX(BookTotal,1770))</f>
        <v/>
      </c>
      <c r="J1775" s="0" t="str">
        <f aca="false">IF($I1775="","",IF(INDEX(BookQ1,1770)&gt;0,"Q1",IF(INDEX(BookQ2,1770)&gt;0,"Q2",IF(INDEX(BookQ3,1770)&gt;0,"Q3",IF(INDEX(BookQ4,1770)&gt;0,"Q4","")))))</f>
        <v/>
      </c>
      <c r="K1775" s="42" t="str">
        <f aca="false">IF(INDEX(BookTitle,1770)="","",INDEX(BookInYear,1770))</f>
        <v/>
      </c>
      <c r="L1775" s="19"/>
      <c r="M1775" s="39"/>
      <c r="N1775" s="19"/>
      <c r="O1775" s="19"/>
      <c r="P1775" s="43" t="str">
        <f aca="false">IF($E1775="","",IF($L1775="Decline",0,IF($L1775="Approve fewer",IF($M1775="","",$M1775),IF($L1775="","",$I1775))))</f>
        <v/>
      </c>
      <c r="Q1775" s="34" t="str">
        <f aca="false">IF($P1775="","",IF($N1775&lt;&gt;"",$N1775,$J1775))</f>
        <v/>
      </c>
      <c r="R1775" s="35" t="str">
        <f aca="false">IF(OR($P1775="",$Q1775=""),"",INDEX(BookRate,1770)*$P1775*(5-MATCH($Q1775,{"Q1";"Q2";"Q3";"Q4"},0))/4+INDEX(BookOneOff,1770)*$P1775)</f>
        <v/>
      </c>
      <c r="S1775" s="35" t="str">
        <f aca="false">IF($P1775="","",INDEX(BookRate,1770)*$P1775)</f>
        <v/>
      </c>
      <c r="T1775" s="35" t="str">
        <f aca="false">IF($R1775="","",$R1775-$K1775)</f>
        <v/>
      </c>
      <c r="U1775" s="35" t="str">
        <f aca="false">IF(N($P1775)&lt;=0,"",COUNTIF($P$6:$P1775,"&gt;0"))</f>
        <v/>
      </c>
    </row>
    <row r="1776" customFormat="false" ht="15" hidden="false" customHeight="false" outlineLevel="0" collapsed="false">
      <c r="A1776" s="40" t="str">
        <f aca="false">IF(INDEX(BookTitle,1771)="","",INDEX(BookGroup,1771))</f>
        <v/>
      </c>
      <c r="B1776" s="40" t="str">
        <f aca="false">IF(INDEX(BookTitle,1771)="","",INDEX(BookRef,1771))</f>
        <v/>
      </c>
      <c r="C1776" s="40" t="str">
        <f aca="false">IF(INDEX(BookTitle,1771)="","",INDEX(BookDivision,1771))</f>
        <v/>
      </c>
      <c r="D1776" s="40" t="str">
        <f aca="false">IF(INDEX(BookTitle,1771)="","",INDEX(BookUnit,1771))</f>
        <v/>
      </c>
      <c r="E1776" s="40" t="str">
        <f aca="false">IF(INDEX(BookTitle,1771)="","",INDEX(BookTitle,1771))</f>
        <v/>
      </c>
      <c r="F1776" s="40" t="str">
        <f aca="false">IF(INDEX(BookTitle,1771)="","",INDEX(BookLevel,1771))</f>
        <v/>
      </c>
      <c r="G1776" s="40" t="str">
        <f aca="false">IF(INDEX(BookTitle,1771)="","",INDEX(BookCategory,1771))</f>
        <v/>
      </c>
      <c r="H1776" s="40" t="str">
        <f aca="false">IF(INDEX(BookTitle,1771)="","",INDEX(BookRank,1771))</f>
        <v/>
      </c>
      <c r="I1776" s="41" t="str">
        <f aca="false">IF(INDEX(BookTitle,1771)="","",INDEX(BookTotal,1771))</f>
        <v/>
      </c>
      <c r="J1776" s="0" t="str">
        <f aca="false">IF($I1776="","",IF(INDEX(BookQ1,1771)&gt;0,"Q1",IF(INDEX(BookQ2,1771)&gt;0,"Q2",IF(INDEX(BookQ3,1771)&gt;0,"Q3",IF(INDEX(BookQ4,1771)&gt;0,"Q4","")))))</f>
        <v/>
      </c>
      <c r="K1776" s="42" t="str">
        <f aca="false">IF(INDEX(BookTitle,1771)="","",INDEX(BookInYear,1771))</f>
        <v/>
      </c>
      <c r="L1776" s="19"/>
      <c r="M1776" s="39"/>
      <c r="N1776" s="19"/>
      <c r="O1776" s="19"/>
      <c r="P1776" s="43" t="str">
        <f aca="false">IF($E1776="","",IF($L1776="Decline",0,IF($L1776="Approve fewer",IF($M1776="","",$M1776),IF($L1776="","",$I1776))))</f>
        <v/>
      </c>
      <c r="Q1776" s="34" t="str">
        <f aca="false">IF($P1776="","",IF($N1776&lt;&gt;"",$N1776,$J1776))</f>
        <v/>
      </c>
      <c r="R1776" s="35" t="str">
        <f aca="false">IF(OR($P1776="",$Q1776=""),"",INDEX(BookRate,1771)*$P1776*(5-MATCH($Q1776,{"Q1";"Q2";"Q3";"Q4"},0))/4+INDEX(BookOneOff,1771)*$P1776)</f>
        <v/>
      </c>
      <c r="S1776" s="35" t="str">
        <f aca="false">IF($P1776="","",INDEX(BookRate,1771)*$P1776)</f>
        <v/>
      </c>
      <c r="T1776" s="35" t="str">
        <f aca="false">IF($R1776="","",$R1776-$K1776)</f>
        <v/>
      </c>
      <c r="U1776" s="35" t="str">
        <f aca="false">IF(N($P1776)&lt;=0,"",COUNTIF($P$6:$P1776,"&gt;0"))</f>
        <v/>
      </c>
    </row>
    <row r="1777" customFormat="false" ht="15" hidden="false" customHeight="false" outlineLevel="0" collapsed="false">
      <c r="A1777" s="40" t="str">
        <f aca="false">IF(INDEX(BookTitle,1772)="","",INDEX(BookGroup,1772))</f>
        <v/>
      </c>
      <c r="B1777" s="40" t="str">
        <f aca="false">IF(INDEX(BookTitle,1772)="","",INDEX(BookRef,1772))</f>
        <v/>
      </c>
      <c r="C1777" s="40" t="str">
        <f aca="false">IF(INDEX(BookTitle,1772)="","",INDEX(BookDivision,1772))</f>
        <v/>
      </c>
      <c r="D1777" s="40" t="str">
        <f aca="false">IF(INDEX(BookTitle,1772)="","",INDEX(BookUnit,1772))</f>
        <v/>
      </c>
      <c r="E1777" s="40" t="str">
        <f aca="false">IF(INDEX(BookTitle,1772)="","",INDEX(BookTitle,1772))</f>
        <v/>
      </c>
      <c r="F1777" s="40" t="str">
        <f aca="false">IF(INDEX(BookTitle,1772)="","",INDEX(BookLevel,1772))</f>
        <v/>
      </c>
      <c r="G1777" s="40" t="str">
        <f aca="false">IF(INDEX(BookTitle,1772)="","",INDEX(BookCategory,1772))</f>
        <v/>
      </c>
      <c r="H1777" s="40" t="str">
        <f aca="false">IF(INDEX(BookTitle,1772)="","",INDEX(BookRank,1772))</f>
        <v/>
      </c>
      <c r="I1777" s="41" t="str">
        <f aca="false">IF(INDEX(BookTitle,1772)="","",INDEX(BookTotal,1772))</f>
        <v/>
      </c>
      <c r="J1777" s="0" t="str">
        <f aca="false">IF($I1777="","",IF(INDEX(BookQ1,1772)&gt;0,"Q1",IF(INDEX(BookQ2,1772)&gt;0,"Q2",IF(INDEX(BookQ3,1772)&gt;0,"Q3",IF(INDEX(BookQ4,1772)&gt;0,"Q4","")))))</f>
        <v/>
      </c>
      <c r="K1777" s="42" t="str">
        <f aca="false">IF(INDEX(BookTitle,1772)="","",INDEX(BookInYear,1772))</f>
        <v/>
      </c>
      <c r="L1777" s="19"/>
      <c r="M1777" s="39"/>
      <c r="N1777" s="19"/>
      <c r="O1777" s="19"/>
      <c r="P1777" s="43" t="str">
        <f aca="false">IF($E1777="","",IF($L1777="Decline",0,IF($L1777="Approve fewer",IF($M1777="","",$M1777),IF($L1777="","",$I1777))))</f>
        <v/>
      </c>
      <c r="Q1777" s="34" t="str">
        <f aca="false">IF($P1777="","",IF($N1777&lt;&gt;"",$N1777,$J1777))</f>
        <v/>
      </c>
      <c r="R1777" s="35" t="str">
        <f aca="false">IF(OR($P1777="",$Q1777=""),"",INDEX(BookRate,1772)*$P1777*(5-MATCH($Q1777,{"Q1";"Q2";"Q3";"Q4"},0))/4+INDEX(BookOneOff,1772)*$P1777)</f>
        <v/>
      </c>
      <c r="S1777" s="35" t="str">
        <f aca="false">IF($P1777="","",INDEX(BookRate,1772)*$P1777)</f>
        <v/>
      </c>
      <c r="T1777" s="35" t="str">
        <f aca="false">IF($R1777="","",$R1777-$K1777)</f>
        <v/>
      </c>
      <c r="U1777" s="35" t="str">
        <f aca="false">IF(N($P1777)&lt;=0,"",COUNTIF($P$6:$P1777,"&gt;0"))</f>
        <v/>
      </c>
    </row>
    <row r="1778" customFormat="false" ht="15" hidden="false" customHeight="false" outlineLevel="0" collapsed="false">
      <c r="A1778" s="40" t="str">
        <f aca="false">IF(INDEX(BookTitle,1773)="","",INDEX(BookGroup,1773))</f>
        <v/>
      </c>
      <c r="B1778" s="40" t="str">
        <f aca="false">IF(INDEX(BookTitle,1773)="","",INDEX(BookRef,1773))</f>
        <v/>
      </c>
      <c r="C1778" s="40" t="str">
        <f aca="false">IF(INDEX(BookTitle,1773)="","",INDEX(BookDivision,1773))</f>
        <v/>
      </c>
      <c r="D1778" s="40" t="str">
        <f aca="false">IF(INDEX(BookTitle,1773)="","",INDEX(BookUnit,1773))</f>
        <v/>
      </c>
      <c r="E1778" s="40" t="str">
        <f aca="false">IF(INDEX(BookTitle,1773)="","",INDEX(BookTitle,1773))</f>
        <v/>
      </c>
      <c r="F1778" s="40" t="str">
        <f aca="false">IF(INDEX(BookTitle,1773)="","",INDEX(BookLevel,1773))</f>
        <v/>
      </c>
      <c r="G1778" s="40" t="str">
        <f aca="false">IF(INDEX(BookTitle,1773)="","",INDEX(BookCategory,1773))</f>
        <v/>
      </c>
      <c r="H1778" s="40" t="str">
        <f aca="false">IF(INDEX(BookTitle,1773)="","",INDEX(BookRank,1773))</f>
        <v/>
      </c>
      <c r="I1778" s="41" t="str">
        <f aca="false">IF(INDEX(BookTitle,1773)="","",INDEX(BookTotal,1773))</f>
        <v/>
      </c>
      <c r="J1778" s="0" t="str">
        <f aca="false">IF($I1778="","",IF(INDEX(BookQ1,1773)&gt;0,"Q1",IF(INDEX(BookQ2,1773)&gt;0,"Q2",IF(INDEX(BookQ3,1773)&gt;0,"Q3",IF(INDEX(BookQ4,1773)&gt;0,"Q4","")))))</f>
        <v/>
      </c>
      <c r="K1778" s="42" t="str">
        <f aca="false">IF(INDEX(BookTitle,1773)="","",INDEX(BookInYear,1773))</f>
        <v/>
      </c>
      <c r="L1778" s="19"/>
      <c r="M1778" s="39"/>
      <c r="N1778" s="19"/>
      <c r="O1778" s="19"/>
      <c r="P1778" s="43" t="str">
        <f aca="false">IF($E1778="","",IF($L1778="Decline",0,IF($L1778="Approve fewer",IF($M1778="","",$M1778),IF($L1778="","",$I1778))))</f>
        <v/>
      </c>
      <c r="Q1778" s="34" t="str">
        <f aca="false">IF($P1778="","",IF($N1778&lt;&gt;"",$N1778,$J1778))</f>
        <v/>
      </c>
      <c r="R1778" s="35" t="str">
        <f aca="false">IF(OR($P1778="",$Q1778=""),"",INDEX(BookRate,1773)*$P1778*(5-MATCH($Q1778,{"Q1";"Q2";"Q3";"Q4"},0))/4+INDEX(BookOneOff,1773)*$P1778)</f>
        <v/>
      </c>
      <c r="S1778" s="35" t="str">
        <f aca="false">IF($P1778="","",INDEX(BookRate,1773)*$P1778)</f>
        <v/>
      </c>
      <c r="T1778" s="35" t="str">
        <f aca="false">IF($R1778="","",$R1778-$K1778)</f>
        <v/>
      </c>
      <c r="U1778" s="35" t="str">
        <f aca="false">IF(N($P1778)&lt;=0,"",COUNTIF($P$6:$P1778,"&gt;0"))</f>
        <v/>
      </c>
    </row>
    <row r="1779" customFormat="false" ht="15" hidden="false" customHeight="false" outlineLevel="0" collapsed="false">
      <c r="A1779" s="40" t="str">
        <f aca="false">IF(INDEX(BookTitle,1774)="","",INDEX(BookGroup,1774))</f>
        <v/>
      </c>
      <c r="B1779" s="40" t="str">
        <f aca="false">IF(INDEX(BookTitle,1774)="","",INDEX(BookRef,1774))</f>
        <v/>
      </c>
      <c r="C1779" s="40" t="str">
        <f aca="false">IF(INDEX(BookTitle,1774)="","",INDEX(BookDivision,1774))</f>
        <v/>
      </c>
      <c r="D1779" s="40" t="str">
        <f aca="false">IF(INDEX(BookTitle,1774)="","",INDEX(BookUnit,1774))</f>
        <v/>
      </c>
      <c r="E1779" s="40" t="str">
        <f aca="false">IF(INDEX(BookTitle,1774)="","",INDEX(BookTitle,1774))</f>
        <v/>
      </c>
      <c r="F1779" s="40" t="str">
        <f aca="false">IF(INDEX(BookTitle,1774)="","",INDEX(BookLevel,1774))</f>
        <v/>
      </c>
      <c r="G1779" s="40" t="str">
        <f aca="false">IF(INDEX(BookTitle,1774)="","",INDEX(BookCategory,1774))</f>
        <v/>
      </c>
      <c r="H1779" s="40" t="str">
        <f aca="false">IF(INDEX(BookTitle,1774)="","",INDEX(BookRank,1774))</f>
        <v/>
      </c>
      <c r="I1779" s="41" t="str">
        <f aca="false">IF(INDEX(BookTitle,1774)="","",INDEX(BookTotal,1774))</f>
        <v/>
      </c>
      <c r="J1779" s="0" t="str">
        <f aca="false">IF($I1779="","",IF(INDEX(BookQ1,1774)&gt;0,"Q1",IF(INDEX(BookQ2,1774)&gt;0,"Q2",IF(INDEX(BookQ3,1774)&gt;0,"Q3",IF(INDEX(BookQ4,1774)&gt;0,"Q4","")))))</f>
        <v/>
      </c>
      <c r="K1779" s="42" t="str">
        <f aca="false">IF(INDEX(BookTitle,1774)="","",INDEX(BookInYear,1774))</f>
        <v/>
      </c>
      <c r="L1779" s="19"/>
      <c r="M1779" s="39"/>
      <c r="N1779" s="19"/>
      <c r="O1779" s="19"/>
      <c r="P1779" s="43" t="str">
        <f aca="false">IF($E1779="","",IF($L1779="Decline",0,IF($L1779="Approve fewer",IF($M1779="","",$M1779),IF($L1779="","",$I1779))))</f>
        <v/>
      </c>
      <c r="Q1779" s="34" t="str">
        <f aca="false">IF($P1779="","",IF($N1779&lt;&gt;"",$N1779,$J1779))</f>
        <v/>
      </c>
      <c r="R1779" s="35" t="str">
        <f aca="false">IF(OR($P1779="",$Q1779=""),"",INDEX(BookRate,1774)*$P1779*(5-MATCH($Q1779,{"Q1";"Q2";"Q3";"Q4"},0))/4+INDEX(BookOneOff,1774)*$P1779)</f>
        <v/>
      </c>
      <c r="S1779" s="35" t="str">
        <f aca="false">IF($P1779="","",INDEX(BookRate,1774)*$P1779)</f>
        <v/>
      </c>
      <c r="T1779" s="35" t="str">
        <f aca="false">IF($R1779="","",$R1779-$K1779)</f>
        <v/>
      </c>
      <c r="U1779" s="35" t="str">
        <f aca="false">IF(N($P1779)&lt;=0,"",COUNTIF($P$6:$P1779,"&gt;0"))</f>
        <v/>
      </c>
    </row>
    <row r="1780" customFormat="false" ht="15" hidden="false" customHeight="false" outlineLevel="0" collapsed="false">
      <c r="A1780" s="40" t="str">
        <f aca="false">IF(INDEX(BookTitle,1775)="","",INDEX(BookGroup,1775))</f>
        <v/>
      </c>
      <c r="B1780" s="40" t="str">
        <f aca="false">IF(INDEX(BookTitle,1775)="","",INDEX(BookRef,1775))</f>
        <v/>
      </c>
      <c r="C1780" s="40" t="str">
        <f aca="false">IF(INDEX(BookTitle,1775)="","",INDEX(BookDivision,1775))</f>
        <v/>
      </c>
      <c r="D1780" s="40" t="str">
        <f aca="false">IF(INDEX(BookTitle,1775)="","",INDEX(BookUnit,1775))</f>
        <v/>
      </c>
      <c r="E1780" s="40" t="str">
        <f aca="false">IF(INDEX(BookTitle,1775)="","",INDEX(BookTitle,1775))</f>
        <v/>
      </c>
      <c r="F1780" s="40" t="str">
        <f aca="false">IF(INDEX(BookTitle,1775)="","",INDEX(BookLevel,1775))</f>
        <v/>
      </c>
      <c r="G1780" s="40" t="str">
        <f aca="false">IF(INDEX(BookTitle,1775)="","",INDEX(BookCategory,1775))</f>
        <v/>
      </c>
      <c r="H1780" s="40" t="str">
        <f aca="false">IF(INDEX(BookTitle,1775)="","",INDEX(BookRank,1775))</f>
        <v/>
      </c>
      <c r="I1780" s="41" t="str">
        <f aca="false">IF(INDEX(BookTitle,1775)="","",INDEX(BookTotal,1775))</f>
        <v/>
      </c>
      <c r="J1780" s="0" t="str">
        <f aca="false">IF($I1780="","",IF(INDEX(BookQ1,1775)&gt;0,"Q1",IF(INDEX(BookQ2,1775)&gt;0,"Q2",IF(INDEX(BookQ3,1775)&gt;0,"Q3",IF(INDEX(BookQ4,1775)&gt;0,"Q4","")))))</f>
        <v/>
      </c>
      <c r="K1780" s="42" t="str">
        <f aca="false">IF(INDEX(BookTitle,1775)="","",INDEX(BookInYear,1775))</f>
        <v/>
      </c>
      <c r="L1780" s="19"/>
      <c r="M1780" s="39"/>
      <c r="N1780" s="19"/>
      <c r="O1780" s="19"/>
      <c r="P1780" s="43" t="str">
        <f aca="false">IF($E1780="","",IF($L1780="Decline",0,IF($L1780="Approve fewer",IF($M1780="","",$M1780),IF($L1780="","",$I1780))))</f>
        <v/>
      </c>
      <c r="Q1780" s="34" t="str">
        <f aca="false">IF($P1780="","",IF($N1780&lt;&gt;"",$N1780,$J1780))</f>
        <v/>
      </c>
      <c r="R1780" s="35" t="str">
        <f aca="false">IF(OR($P1780="",$Q1780=""),"",INDEX(BookRate,1775)*$P1780*(5-MATCH($Q1780,{"Q1";"Q2";"Q3";"Q4"},0))/4+INDEX(BookOneOff,1775)*$P1780)</f>
        <v/>
      </c>
      <c r="S1780" s="35" t="str">
        <f aca="false">IF($P1780="","",INDEX(BookRate,1775)*$P1780)</f>
        <v/>
      </c>
      <c r="T1780" s="35" t="str">
        <f aca="false">IF($R1780="","",$R1780-$K1780)</f>
        <v/>
      </c>
      <c r="U1780" s="35" t="str">
        <f aca="false">IF(N($P1780)&lt;=0,"",COUNTIF($P$6:$P1780,"&gt;0"))</f>
        <v/>
      </c>
    </row>
    <row r="1781" customFormat="false" ht="15" hidden="false" customHeight="false" outlineLevel="0" collapsed="false">
      <c r="A1781" s="40" t="str">
        <f aca="false">IF(INDEX(BookTitle,1776)="","",INDEX(BookGroup,1776))</f>
        <v/>
      </c>
      <c r="B1781" s="40" t="str">
        <f aca="false">IF(INDEX(BookTitle,1776)="","",INDEX(BookRef,1776))</f>
        <v/>
      </c>
      <c r="C1781" s="40" t="str">
        <f aca="false">IF(INDEX(BookTitle,1776)="","",INDEX(BookDivision,1776))</f>
        <v/>
      </c>
      <c r="D1781" s="40" t="str">
        <f aca="false">IF(INDEX(BookTitle,1776)="","",INDEX(BookUnit,1776))</f>
        <v/>
      </c>
      <c r="E1781" s="40" t="str">
        <f aca="false">IF(INDEX(BookTitle,1776)="","",INDEX(BookTitle,1776))</f>
        <v/>
      </c>
      <c r="F1781" s="40" t="str">
        <f aca="false">IF(INDEX(BookTitle,1776)="","",INDEX(BookLevel,1776))</f>
        <v/>
      </c>
      <c r="G1781" s="40" t="str">
        <f aca="false">IF(INDEX(BookTitle,1776)="","",INDEX(BookCategory,1776))</f>
        <v/>
      </c>
      <c r="H1781" s="40" t="str">
        <f aca="false">IF(INDEX(BookTitle,1776)="","",INDEX(BookRank,1776))</f>
        <v/>
      </c>
      <c r="I1781" s="41" t="str">
        <f aca="false">IF(INDEX(BookTitle,1776)="","",INDEX(BookTotal,1776))</f>
        <v/>
      </c>
      <c r="J1781" s="0" t="str">
        <f aca="false">IF($I1781="","",IF(INDEX(BookQ1,1776)&gt;0,"Q1",IF(INDEX(BookQ2,1776)&gt;0,"Q2",IF(INDEX(BookQ3,1776)&gt;0,"Q3",IF(INDEX(BookQ4,1776)&gt;0,"Q4","")))))</f>
        <v/>
      </c>
      <c r="K1781" s="42" t="str">
        <f aca="false">IF(INDEX(BookTitle,1776)="","",INDEX(BookInYear,1776))</f>
        <v/>
      </c>
      <c r="L1781" s="19"/>
      <c r="M1781" s="39"/>
      <c r="N1781" s="19"/>
      <c r="O1781" s="19"/>
      <c r="P1781" s="43" t="str">
        <f aca="false">IF($E1781="","",IF($L1781="Decline",0,IF($L1781="Approve fewer",IF($M1781="","",$M1781),IF($L1781="","",$I1781))))</f>
        <v/>
      </c>
      <c r="Q1781" s="34" t="str">
        <f aca="false">IF($P1781="","",IF($N1781&lt;&gt;"",$N1781,$J1781))</f>
        <v/>
      </c>
      <c r="R1781" s="35" t="str">
        <f aca="false">IF(OR($P1781="",$Q1781=""),"",INDEX(BookRate,1776)*$P1781*(5-MATCH($Q1781,{"Q1";"Q2";"Q3";"Q4"},0))/4+INDEX(BookOneOff,1776)*$P1781)</f>
        <v/>
      </c>
      <c r="S1781" s="35" t="str">
        <f aca="false">IF($P1781="","",INDEX(BookRate,1776)*$P1781)</f>
        <v/>
      </c>
      <c r="T1781" s="35" t="str">
        <f aca="false">IF($R1781="","",$R1781-$K1781)</f>
        <v/>
      </c>
      <c r="U1781" s="35" t="str">
        <f aca="false">IF(N($P1781)&lt;=0,"",COUNTIF($P$6:$P1781,"&gt;0"))</f>
        <v/>
      </c>
    </row>
    <row r="1782" customFormat="false" ht="15" hidden="false" customHeight="false" outlineLevel="0" collapsed="false">
      <c r="A1782" s="40" t="str">
        <f aca="false">IF(INDEX(BookTitle,1777)="","",INDEX(BookGroup,1777))</f>
        <v/>
      </c>
      <c r="B1782" s="40" t="str">
        <f aca="false">IF(INDEX(BookTitle,1777)="","",INDEX(BookRef,1777))</f>
        <v/>
      </c>
      <c r="C1782" s="40" t="str">
        <f aca="false">IF(INDEX(BookTitle,1777)="","",INDEX(BookDivision,1777))</f>
        <v/>
      </c>
      <c r="D1782" s="40" t="str">
        <f aca="false">IF(INDEX(BookTitle,1777)="","",INDEX(BookUnit,1777))</f>
        <v/>
      </c>
      <c r="E1782" s="40" t="str">
        <f aca="false">IF(INDEX(BookTitle,1777)="","",INDEX(BookTitle,1777))</f>
        <v/>
      </c>
      <c r="F1782" s="40" t="str">
        <f aca="false">IF(INDEX(BookTitle,1777)="","",INDEX(BookLevel,1777))</f>
        <v/>
      </c>
      <c r="G1782" s="40" t="str">
        <f aca="false">IF(INDEX(BookTitle,1777)="","",INDEX(BookCategory,1777))</f>
        <v/>
      </c>
      <c r="H1782" s="40" t="str">
        <f aca="false">IF(INDEX(BookTitle,1777)="","",INDEX(BookRank,1777))</f>
        <v/>
      </c>
      <c r="I1782" s="41" t="str">
        <f aca="false">IF(INDEX(BookTitle,1777)="","",INDEX(BookTotal,1777))</f>
        <v/>
      </c>
      <c r="J1782" s="0" t="str">
        <f aca="false">IF($I1782="","",IF(INDEX(BookQ1,1777)&gt;0,"Q1",IF(INDEX(BookQ2,1777)&gt;0,"Q2",IF(INDEX(BookQ3,1777)&gt;0,"Q3",IF(INDEX(BookQ4,1777)&gt;0,"Q4","")))))</f>
        <v/>
      </c>
      <c r="K1782" s="42" t="str">
        <f aca="false">IF(INDEX(BookTitle,1777)="","",INDEX(BookInYear,1777))</f>
        <v/>
      </c>
      <c r="L1782" s="19"/>
      <c r="M1782" s="39"/>
      <c r="N1782" s="19"/>
      <c r="O1782" s="19"/>
      <c r="P1782" s="43" t="str">
        <f aca="false">IF($E1782="","",IF($L1782="Decline",0,IF($L1782="Approve fewer",IF($M1782="","",$M1782),IF($L1782="","",$I1782))))</f>
        <v/>
      </c>
      <c r="Q1782" s="34" t="str">
        <f aca="false">IF($P1782="","",IF($N1782&lt;&gt;"",$N1782,$J1782))</f>
        <v/>
      </c>
      <c r="R1782" s="35" t="str">
        <f aca="false">IF(OR($P1782="",$Q1782=""),"",INDEX(BookRate,1777)*$P1782*(5-MATCH($Q1782,{"Q1";"Q2";"Q3";"Q4"},0))/4+INDEX(BookOneOff,1777)*$P1782)</f>
        <v/>
      </c>
      <c r="S1782" s="35" t="str">
        <f aca="false">IF($P1782="","",INDEX(BookRate,1777)*$P1782)</f>
        <v/>
      </c>
      <c r="T1782" s="35" t="str">
        <f aca="false">IF($R1782="","",$R1782-$K1782)</f>
        <v/>
      </c>
      <c r="U1782" s="35" t="str">
        <f aca="false">IF(N($P1782)&lt;=0,"",COUNTIF($P$6:$P1782,"&gt;0"))</f>
        <v/>
      </c>
    </row>
    <row r="1783" customFormat="false" ht="15" hidden="false" customHeight="false" outlineLevel="0" collapsed="false">
      <c r="A1783" s="40" t="str">
        <f aca="false">IF(INDEX(BookTitle,1778)="","",INDEX(BookGroup,1778))</f>
        <v/>
      </c>
      <c r="B1783" s="40" t="str">
        <f aca="false">IF(INDEX(BookTitle,1778)="","",INDEX(BookRef,1778))</f>
        <v/>
      </c>
      <c r="C1783" s="40" t="str">
        <f aca="false">IF(INDEX(BookTitle,1778)="","",INDEX(BookDivision,1778))</f>
        <v/>
      </c>
      <c r="D1783" s="40" t="str">
        <f aca="false">IF(INDEX(BookTitle,1778)="","",INDEX(BookUnit,1778))</f>
        <v/>
      </c>
      <c r="E1783" s="40" t="str">
        <f aca="false">IF(INDEX(BookTitle,1778)="","",INDEX(BookTitle,1778))</f>
        <v/>
      </c>
      <c r="F1783" s="40" t="str">
        <f aca="false">IF(INDEX(BookTitle,1778)="","",INDEX(BookLevel,1778))</f>
        <v/>
      </c>
      <c r="G1783" s="40" t="str">
        <f aca="false">IF(INDEX(BookTitle,1778)="","",INDEX(BookCategory,1778))</f>
        <v/>
      </c>
      <c r="H1783" s="40" t="str">
        <f aca="false">IF(INDEX(BookTitle,1778)="","",INDEX(BookRank,1778))</f>
        <v/>
      </c>
      <c r="I1783" s="41" t="str">
        <f aca="false">IF(INDEX(BookTitle,1778)="","",INDEX(BookTotal,1778))</f>
        <v/>
      </c>
      <c r="J1783" s="0" t="str">
        <f aca="false">IF($I1783="","",IF(INDEX(BookQ1,1778)&gt;0,"Q1",IF(INDEX(BookQ2,1778)&gt;0,"Q2",IF(INDEX(BookQ3,1778)&gt;0,"Q3",IF(INDEX(BookQ4,1778)&gt;0,"Q4","")))))</f>
        <v/>
      </c>
      <c r="K1783" s="42" t="str">
        <f aca="false">IF(INDEX(BookTitle,1778)="","",INDEX(BookInYear,1778))</f>
        <v/>
      </c>
      <c r="L1783" s="19"/>
      <c r="M1783" s="39"/>
      <c r="N1783" s="19"/>
      <c r="O1783" s="19"/>
      <c r="P1783" s="43" t="str">
        <f aca="false">IF($E1783="","",IF($L1783="Decline",0,IF($L1783="Approve fewer",IF($M1783="","",$M1783),IF($L1783="","",$I1783))))</f>
        <v/>
      </c>
      <c r="Q1783" s="34" t="str">
        <f aca="false">IF($P1783="","",IF($N1783&lt;&gt;"",$N1783,$J1783))</f>
        <v/>
      </c>
      <c r="R1783" s="35" t="str">
        <f aca="false">IF(OR($P1783="",$Q1783=""),"",INDEX(BookRate,1778)*$P1783*(5-MATCH($Q1783,{"Q1";"Q2";"Q3";"Q4"},0))/4+INDEX(BookOneOff,1778)*$P1783)</f>
        <v/>
      </c>
      <c r="S1783" s="35" t="str">
        <f aca="false">IF($P1783="","",INDEX(BookRate,1778)*$P1783)</f>
        <v/>
      </c>
      <c r="T1783" s="35" t="str">
        <f aca="false">IF($R1783="","",$R1783-$K1783)</f>
        <v/>
      </c>
      <c r="U1783" s="35" t="str">
        <f aca="false">IF(N($P1783)&lt;=0,"",COUNTIF($P$6:$P1783,"&gt;0"))</f>
        <v/>
      </c>
    </row>
    <row r="1784" customFormat="false" ht="15" hidden="false" customHeight="false" outlineLevel="0" collapsed="false">
      <c r="A1784" s="40" t="str">
        <f aca="false">IF(INDEX(BookTitle,1779)="","",INDEX(BookGroup,1779))</f>
        <v/>
      </c>
      <c r="B1784" s="40" t="str">
        <f aca="false">IF(INDEX(BookTitle,1779)="","",INDEX(BookRef,1779))</f>
        <v/>
      </c>
      <c r="C1784" s="40" t="str">
        <f aca="false">IF(INDEX(BookTitle,1779)="","",INDEX(BookDivision,1779))</f>
        <v/>
      </c>
      <c r="D1784" s="40" t="str">
        <f aca="false">IF(INDEX(BookTitle,1779)="","",INDEX(BookUnit,1779))</f>
        <v/>
      </c>
      <c r="E1784" s="40" t="str">
        <f aca="false">IF(INDEX(BookTitle,1779)="","",INDEX(BookTitle,1779))</f>
        <v/>
      </c>
      <c r="F1784" s="40" t="str">
        <f aca="false">IF(INDEX(BookTitle,1779)="","",INDEX(BookLevel,1779))</f>
        <v/>
      </c>
      <c r="G1784" s="40" t="str">
        <f aca="false">IF(INDEX(BookTitle,1779)="","",INDEX(BookCategory,1779))</f>
        <v/>
      </c>
      <c r="H1784" s="40" t="str">
        <f aca="false">IF(INDEX(BookTitle,1779)="","",INDEX(BookRank,1779))</f>
        <v/>
      </c>
      <c r="I1784" s="41" t="str">
        <f aca="false">IF(INDEX(BookTitle,1779)="","",INDEX(BookTotal,1779))</f>
        <v/>
      </c>
      <c r="J1784" s="0" t="str">
        <f aca="false">IF($I1784="","",IF(INDEX(BookQ1,1779)&gt;0,"Q1",IF(INDEX(BookQ2,1779)&gt;0,"Q2",IF(INDEX(BookQ3,1779)&gt;0,"Q3",IF(INDEX(BookQ4,1779)&gt;0,"Q4","")))))</f>
        <v/>
      </c>
      <c r="K1784" s="42" t="str">
        <f aca="false">IF(INDEX(BookTitle,1779)="","",INDEX(BookInYear,1779))</f>
        <v/>
      </c>
      <c r="L1784" s="19"/>
      <c r="M1784" s="39"/>
      <c r="N1784" s="19"/>
      <c r="O1784" s="19"/>
      <c r="P1784" s="43" t="str">
        <f aca="false">IF($E1784="","",IF($L1784="Decline",0,IF($L1784="Approve fewer",IF($M1784="","",$M1784),IF($L1784="","",$I1784))))</f>
        <v/>
      </c>
      <c r="Q1784" s="34" t="str">
        <f aca="false">IF($P1784="","",IF($N1784&lt;&gt;"",$N1784,$J1784))</f>
        <v/>
      </c>
      <c r="R1784" s="35" t="str">
        <f aca="false">IF(OR($P1784="",$Q1784=""),"",INDEX(BookRate,1779)*$P1784*(5-MATCH($Q1784,{"Q1";"Q2";"Q3";"Q4"},0))/4+INDEX(BookOneOff,1779)*$P1784)</f>
        <v/>
      </c>
      <c r="S1784" s="35" t="str">
        <f aca="false">IF($P1784="","",INDEX(BookRate,1779)*$P1784)</f>
        <v/>
      </c>
      <c r="T1784" s="35" t="str">
        <f aca="false">IF($R1784="","",$R1784-$K1784)</f>
        <v/>
      </c>
      <c r="U1784" s="35" t="str">
        <f aca="false">IF(N($P1784)&lt;=0,"",COUNTIF($P$6:$P1784,"&gt;0"))</f>
        <v/>
      </c>
    </row>
    <row r="1785" customFormat="false" ht="15" hidden="false" customHeight="false" outlineLevel="0" collapsed="false">
      <c r="A1785" s="40" t="str">
        <f aca="false">IF(INDEX(BookTitle,1780)="","",INDEX(BookGroup,1780))</f>
        <v/>
      </c>
      <c r="B1785" s="40" t="str">
        <f aca="false">IF(INDEX(BookTitle,1780)="","",INDEX(BookRef,1780))</f>
        <v/>
      </c>
      <c r="C1785" s="40" t="str">
        <f aca="false">IF(INDEX(BookTitle,1780)="","",INDEX(BookDivision,1780))</f>
        <v/>
      </c>
      <c r="D1785" s="40" t="str">
        <f aca="false">IF(INDEX(BookTitle,1780)="","",INDEX(BookUnit,1780))</f>
        <v/>
      </c>
      <c r="E1785" s="40" t="str">
        <f aca="false">IF(INDEX(BookTitle,1780)="","",INDEX(BookTitle,1780))</f>
        <v/>
      </c>
      <c r="F1785" s="40" t="str">
        <f aca="false">IF(INDEX(BookTitle,1780)="","",INDEX(BookLevel,1780))</f>
        <v/>
      </c>
      <c r="G1785" s="40" t="str">
        <f aca="false">IF(INDEX(BookTitle,1780)="","",INDEX(BookCategory,1780))</f>
        <v/>
      </c>
      <c r="H1785" s="40" t="str">
        <f aca="false">IF(INDEX(BookTitle,1780)="","",INDEX(BookRank,1780))</f>
        <v/>
      </c>
      <c r="I1785" s="41" t="str">
        <f aca="false">IF(INDEX(BookTitle,1780)="","",INDEX(BookTotal,1780))</f>
        <v/>
      </c>
      <c r="J1785" s="0" t="str">
        <f aca="false">IF($I1785="","",IF(INDEX(BookQ1,1780)&gt;0,"Q1",IF(INDEX(BookQ2,1780)&gt;0,"Q2",IF(INDEX(BookQ3,1780)&gt;0,"Q3",IF(INDEX(BookQ4,1780)&gt;0,"Q4","")))))</f>
        <v/>
      </c>
      <c r="K1785" s="42" t="str">
        <f aca="false">IF(INDEX(BookTitle,1780)="","",INDEX(BookInYear,1780))</f>
        <v/>
      </c>
      <c r="L1785" s="19"/>
      <c r="M1785" s="39"/>
      <c r="N1785" s="19"/>
      <c r="O1785" s="19"/>
      <c r="P1785" s="43" t="str">
        <f aca="false">IF($E1785="","",IF($L1785="Decline",0,IF($L1785="Approve fewer",IF($M1785="","",$M1785),IF($L1785="","",$I1785))))</f>
        <v/>
      </c>
      <c r="Q1785" s="34" t="str">
        <f aca="false">IF($P1785="","",IF($N1785&lt;&gt;"",$N1785,$J1785))</f>
        <v/>
      </c>
      <c r="R1785" s="35" t="str">
        <f aca="false">IF(OR($P1785="",$Q1785=""),"",INDEX(BookRate,1780)*$P1785*(5-MATCH($Q1785,{"Q1";"Q2";"Q3";"Q4"},0))/4+INDEX(BookOneOff,1780)*$P1785)</f>
        <v/>
      </c>
      <c r="S1785" s="35" t="str">
        <f aca="false">IF($P1785="","",INDEX(BookRate,1780)*$P1785)</f>
        <v/>
      </c>
      <c r="T1785" s="35" t="str">
        <f aca="false">IF($R1785="","",$R1785-$K1785)</f>
        <v/>
      </c>
      <c r="U1785" s="35" t="str">
        <f aca="false">IF(N($P1785)&lt;=0,"",COUNTIF($P$6:$P1785,"&gt;0"))</f>
        <v/>
      </c>
    </row>
    <row r="1786" customFormat="false" ht="15" hidden="false" customHeight="false" outlineLevel="0" collapsed="false">
      <c r="A1786" s="40" t="str">
        <f aca="false">IF(INDEX(BookTitle,1781)="","",INDEX(BookGroup,1781))</f>
        <v/>
      </c>
      <c r="B1786" s="40" t="str">
        <f aca="false">IF(INDEX(BookTitle,1781)="","",INDEX(BookRef,1781))</f>
        <v/>
      </c>
      <c r="C1786" s="40" t="str">
        <f aca="false">IF(INDEX(BookTitle,1781)="","",INDEX(BookDivision,1781))</f>
        <v/>
      </c>
      <c r="D1786" s="40" t="str">
        <f aca="false">IF(INDEX(BookTitle,1781)="","",INDEX(BookUnit,1781))</f>
        <v/>
      </c>
      <c r="E1786" s="40" t="str">
        <f aca="false">IF(INDEX(BookTitle,1781)="","",INDEX(BookTitle,1781))</f>
        <v/>
      </c>
      <c r="F1786" s="40" t="str">
        <f aca="false">IF(INDEX(BookTitle,1781)="","",INDEX(BookLevel,1781))</f>
        <v/>
      </c>
      <c r="G1786" s="40" t="str">
        <f aca="false">IF(INDEX(BookTitle,1781)="","",INDEX(BookCategory,1781))</f>
        <v/>
      </c>
      <c r="H1786" s="40" t="str">
        <f aca="false">IF(INDEX(BookTitle,1781)="","",INDEX(BookRank,1781))</f>
        <v/>
      </c>
      <c r="I1786" s="41" t="str">
        <f aca="false">IF(INDEX(BookTitle,1781)="","",INDEX(BookTotal,1781))</f>
        <v/>
      </c>
      <c r="J1786" s="0" t="str">
        <f aca="false">IF($I1786="","",IF(INDEX(BookQ1,1781)&gt;0,"Q1",IF(INDEX(BookQ2,1781)&gt;0,"Q2",IF(INDEX(BookQ3,1781)&gt;0,"Q3",IF(INDEX(BookQ4,1781)&gt;0,"Q4","")))))</f>
        <v/>
      </c>
      <c r="K1786" s="42" t="str">
        <f aca="false">IF(INDEX(BookTitle,1781)="","",INDEX(BookInYear,1781))</f>
        <v/>
      </c>
      <c r="L1786" s="19"/>
      <c r="M1786" s="39"/>
      <c r="N1786" s="19"/>
      <c r="O1786" s="19"/>
      <c r="P1786" s="43" t="str">
        <f aca="false">IF($E1786="","",IF($L1786="Decline",0,IF($L1786="Approve fewer",IF($M1786="","",$M1786),IF($L1786="","",$I1786))))</f>
        <v/>
      </c>
      <c r="Q1786" s="34" t="str">
        <f aca="false">IF($P1786="","",IF($N1786&lt;&gt;"",$N1786,$J1786))</f>
        <v/>
      </c>
      <c r="R1786" s="35" t="str">
        <f aca="false">IF(OR($P1786="",$Q1786=""),"",INDEX(BookRate,1781)*$P1786*(5-MATCH($Q1786,{"Q1";"Q2";"Q3";"Q4"},0))/4+INDEX(BookOneOff,1781)*$P1786)</f>
        <v/>
      </c>
      <c r="S1786" s="35" t="str">
        <f aca="false">IF($P1786="","",INDEX(BookRate,1781)*$P1786)</f>
        <v/>
      </c>
      <c r="T1786" s="35" t="str">
        <f aca="false">IF($R1786="","",$R1786-$K1786)</f>
        <v/>
      </c>
      <c r="U1786" s="35" t="str">
        <f aca="false">IF(N($P1786)&lt;=0,"",COUNTIF($P$6:$P1786,"&gt;0"))</f>
        <v/>
      </c>
    </row>
    <row r="1787" customFormat="false" ht="15" hidden="false" customHeight="false" outlineLevel="0" collapsed="false">
      <c r="A1787" s="40" t="str">
        <f aca="false">IF(INDEX(BookTitle,1782)="","",INDEX(BookGroup,1782))</f>
        <v/>
      </c>
      <c r="B1787" s="40" t="str">
        <f aca="false">IF(INDEX(BookTitle,1782)="","",INDEX(BookRef,1782))</f>
        <v/>
      </c>
      <c r="C1787" s="40" t="str">
        <f aca="false">IF(INDEX(BookTitle,1782)="","",INDEX(BookDivision,1782))</f>
        <v/>
      </c>
      <c r="D1787" s="40" t="str">
        <f aca="false">IF(INDEX(BookTitle,1782)="","",INDEX(BookUnit,1782))</f>
        <v/>
      </c>
      <c r="E1787" s="40" t="str">
        <f aca="false">IF(INDEX(BookTitle,1782)="","",INDEX(BookTitle,1782))</f>
        <v/>
      </c>
      <c r="F1787" s="40" t="str">
        <f aca="false">IF(INDEX(BookTitle,1782)="","",INDEX(BookLevel,1782))</f>
        <v/>
      </c>
      <c r="G1787" s="40" t="str">
        <f aca="false">IF(INDEX(BookTitle,1782)="","",INDEX(BookCategory,1782))</f>
        <v/>
      </c>
      <c r="H1787" s="40" t="str">
        <f aca="false">IF(INDEX(BookTitle,1782)="","",INDEX(BookRank,1782))</f>
        <v/>
      </c>
      <c r="I1787" s="41" t="str">
        <f aca="false">IF(INDEX(BookTitle,1782)="","",INDEX(BookTotal,1782))</f>
        <v/>
      </c>
      <c r="J1787" s="0" t="str">
        <f aca="false">IF($I1787="","",IF(INDEX(BookQ1,1782)&gt;0,"Q1",IF(INDEX(BookQ2,1782)&gt;0,"Q2",IF(INDEX(BookQ3,1782)&gt;0,"Q3",IF(INDEX(BookQ4,1782)&gt;0,"Q4","")))))</f>
        <v/>
      </c>
      <c r="K1787" s="42" t="str">
        <f aca="false">IF(INDEX(BookTitle,1782)="","",INDEX(BookInYear,1782))</f>
        <v/>
      </c>
      <c r="L1787" s="19"/>
      <c r="M1787" s="39"/>
      <c r="N1787" s="19"/>
      <c r="O1787" s="19"/>
      <c r="P1787" s="43" t="str">
        <f aca="false">IF($E1787="","",IF($L1787="Decline",0,IF($L1787="Approve fewer",IF($M1787="","",$M1787),IF($L1787="","",$I1787))))</f>
        <v/>
      </c>
      <c r="Q1787" s="34" t="str">
        <f aca="false">IF($P1787="","",IF($N1787&lt;&gt;"",$N1787,$J1787))</f>
        <v/>
      </c>
      <c r="R1787" s="35" t="str">
        <f aca="false">IF(OR($P1787="",$Q1787=""),"",INDEX(BookRate,1782)*$P1787*(5-MATCH($Q1787,{"Q1";"Q2";"Q3";"Q4"},0))/4+INDEX(BookOneOff,1782)*$P1787)</f>
        <v/>
      </c>
      <c r="S1787" s="35" t="str">
        <f aca="false">IF($P1787="","",INDEX(BookRate,1782)*$P1787)</f>
        <v/>
      </c>
      <c r="T1787" s="35" t="str">
        <f aca="false">IF($R1787="","",$R1787-$K1787)</f>
        <v/>
      </c>
      <c r="U1787" s="35" t="str">
        <f aca="false">IF(N($P1787)&lt;=0,"",COUNTIF($P$6:$P1787,"&gt;0"))</f>
        <v/>
      </c>
    </row>
    <row r="1788" customFormat="false" ht="15" hidden="false" customHeight="false" outlineLevel="0" collapsed="false">
      <c r="A1788" s="40" t="str">
        <f aca="false">IF(INDEX(BookTitle,1783)="","",INDEX(BookGroup,1783))</f>
        <v/>
      </c>
      <c r="B1788" s="40" t="str">
        <f aca="false">IF(INDEX(BookTitle,1783)="","",INDEX(BookRef,1783))</f>
        <v/>
      </c>
      <c r="C1788" s="40" t="str">
        <f aca="false">IF(INDEX(BookTitle,1783)="","",INDEX(BookDivision,1783))</f>
        <v/>
      </c>
      <c r="D1788" s="40" t="str">
        <f aca="false">IF(INDEX(BookTitle,1783)="","",INDEX(BookUnit,1783))</f>
        <v/>
      </c>
      <c r="E1788" s="40" t="str">
        <f aca="false">IF(INDEX(BookTitle,1783)="","",INDEX(BookTitle,1783))</f>
        <v/>
      </c>
      <c r="F1788" s="40" t="str">
        <f aca="false">IF(INDEX(BookTitle,1783)="","",INDEX(BookLevel,1783))</f>
        <v/>
      </c>
      <c r="G1788" s="40" t="str">
        <f aca="false">IF(INDEX(BookTitle,1783)="","",INDEX(BookCategory,1783))</f>
        <v/>
      </c>
      <c r="H1788" s="40" t="str">
        <f aca="false">IF(INDEX(BookTitle,1783)="","",INDEX(BookRank,1783))</f>
        <v/>
      </c>
      <c r="I1788" s="41" t="str">
        <f aca="false">IF(INDEX(BookTitle,1783)="","",INDEX(BookTotal,1783))</f>
        <v/>
      </c>
      <c r="J1788" s="0" t="str">
        <f aca="false">IF($I1788="","",IF(INDEX(BookQ1,1783)&gt;0,"Q1",IF(INDEX(BookQ2,1783)&gt;0,"Q2",IF(INDEX(BookQ3,1783)&gt;0,"Q3",IF(INDEX(BookQ4,1783)&gt;0,"Q4","")))))</f>
        <v/>
      </c>
      <c r="K1788" s="42" t="str">
        <f aca="false">IF(INDEX(BookTitle,1783)="","",INDEX(BookInYear,1783))</f>
        <v/>
      </c>
      <c r="L1788" s="19"/>
      <c r="M1788" s="39"/>
      <c r="N1788" s="19"/>
      <c r="O1788" s="19"/>
      <c r="P1788" s="43" t="str">
        <f aca="false">IF($E1788="","",IF($L1788="Decline",0,IF($L1788="Approve fewer",IF($M1788="","",$M1788),IF($L1788="","",$I1788))))</f>
        <v/>
      </c>
      <c r="Q1788" s="34" t="str">
        <f aca="false">IF($P1788="","",IF($N1788&lt;&gt;"",$N1788,$J1788))</f>
        <v/>
      </c>
      <c r="R1788" s="35" t="str">
        <f aca="false">IF(OR($P1788="",$Q1788=""),"",INDEX(BookRate,1783)*$P1788*(5-MATCH($Q1788,{"Q1";"Q2";"Q3";"Q4"},0))/4+INDEX(BookOneOff,1783)*$P1788)</f>
        <v/>
      </c>
      <c r="S1788" s="35" t="str">
        <f aca="false">IF($P1788="","",INDEX(BookRate,1783)*$P1788)</f>
        <v/>
      </c>
      <c r="T1788" s="35" t="str">
        <f aca="false">IF($R1788="","",$R1788-$K1788)</f>
        <v/>
      </c>
      <c r="U1788" s="35" t="str">
        <f aca="false">IF(N($P1788)&lt;=0,"",COUNTIF($P$6:$P1788,"&gt;0"))</f>
        <v/>
      </c>
    </row>
    <row r="1789" customFormat="false" ht="15" hidden="false" customHeight="false" outlineLevel="0" collapsed="false">
      <c r="A1789" s="40" t="str">
        <f aca="false">IF(INDEX(BookTitle,1784)="","",INDEX(BookGroup,1784))</f>
        <v/>
      </c>
      <c r="B1789" s="40" t="str">
        <f aca="false">IF(INDEX(BookTitle,1784)="","",INDEX(BookRef,1784))</f>
        <v/>
      </c>
      <c r="C1789" s="40" t="str">
        <f aca="false">IF(INDEX(BookTitle,1784)="","",INDEX(BookDivision,1784))</f>
        <v/>
      </c>
      <c r="D1789" s="40" t="str">
        <f aca="false">IF(INDEX(BookTitle,1784)="","",INDEX(BookUnit,1784))</f>
        <v/>
      </c>
      <c r="E1789" s="40" t="str">
        <f aca="false">IF(INDEX(BookTitle,1784)="","",INDEX(BookTitle,1784))</f>
        <v/>
      </c>
      <c r="F1789" s="40" t="str">
        <f aca="false">IF(INDEX(BookTitle,1784)="","",INDEX(BookLevel,1784))</f>
        <v/>
      </c>
      <c r="G1789" s="40" t="str">
        <f aca="false">IF(INDEX(BookTitle,1784)="","",INDEX(BookCategory,1784))</f>
        <v/>
      </c>
      <c r="H1789" s="40" t="str">
        <f aca="false">IF(INDEX(BookTitle,1784)="","",INDEX(BookRank,1784))</f>
        <v/>
      </c>
      <c r="I1789" s="41" t="str">
        <f aca="false">IF(INDEX(BookTitle,1784)="","",INDEX(BookTotal,1784))</f>
        <v/>
      </c>
      <c r="J1789" s="0" t="str">
        <f aca="false">IF($I1789="","",IF(INDEX(BookQ1,1784)&gt;0,"Q1",IF(INDEX(BookQ2,1784)&gt;0,"Q2",IF(INDEX(BookQ3,1784)&gt;0,"Q3",IF(INDEX(BookQ4,1784)&gt;0,"Q4","")))))</f>
        <v/>
      </c>
      <c r="K1789" s="42" t="str">
        <f aca="false">IF(INDEX(BookTitle,1784)="","",INDEX(BookInYear,1784))</f>
        <v/>
      </c>
      <c r="L1789" s="19"/>
      <c r="M1789" s="39"/>
      <c r="N1789" s="19"/>
      <c r="O1789" s="19"/>
      <c r="P1789" s="43" t="str">
        <f aca="false">IF($E1789="","",IF($L1789="Decline",0,IF($L1789="Approve fewer",IF($M1789="","",$M1789),IF($L1789="","",$I1789))))</f>
        <v/>
      </c>
      <c r="Q1789" s="34" t="str">
        <f aca="false">IF($P1789="","",IF($N1789&lt;&gt;"",$N1789,$J1789))</f>
        <v/>
      </c>
      <c r="R1789" s="35" t="str">
        <f aca="false">IF(OR($P1789="",$Q1789=""),"",INDEX(BookRate,1784)*$P1789*(5-MATCH($Q1789,{"Q1";"Q2";"Q3";"Q4"},0))/4+INDEX(BookOneOff,1784)*$P1789)</f>
        <v/>
      </c>
      <c r="S1789" s="35" t="str">
        <f aca="false">IF($P1789="","",INDEX(BookRate,1784)*$P1789)</f>
        <v/>
      </c>
      <c r="T1789" s="35" t="str">
        <f aca="false">IF($R1789="","",$R1789-$K1789)</f>
        <v/>
      </c>
      <c r="U1789" s="35" t="str">
        <f aca="false">IF(N($P1789)&lt;=0,"",COUNTIF($P$6:$P1789,"&gt;0"))</f>
        <v/>
      </c>
    </row>
    <row r="1790" customFormat="false" ht="15" hidden="false" customHeight="false" outlineLevel="0" collapsed="false">
      <c r="A1790" s="40" t="str">
        <f aca="false">IF(INDEX(BookTitle,1785)="","",INDEX(BookGroup,1785))</f>
        <v/>
      </c>
      <c r="B1790" s="40" t="str">
        <f aca="false">IF(INDEX(BookTitle,1785)="","",INDEX(BookRef,1785))</f>
        <v/>
      </c>
      <c r="C1790" s="40" t="str">
        <f aca="false">IF(INDEX(BookTitle,1785)="","",INDEX(BookDivision,1785))</f>
        <v/>
      </c>
      <c r="D1790" s="40" t="str">
        <f aca="false">IF(INDEX(BookTitle,1785)="","",INDEX(BookUnit,1785))</f>
        <v/>
      </c>
      <c r="E1790" s="40" t="str">
        <f aca="false">IF(INDEX(BookTitle,1785)="","",INDEX(BookTitle,1785))</f>
        <v/>
      </c>
      <c r="F1790" s="40" t="str">
        <f aca="false">IF(INDEX(BookTitle,1785)="","",INDEX(BookLevel,1785))</f>
        <v/>
      </c>
      <c r="G1790" s="40" t="str">
        <f aca="false">IF(INDEX(BookTitle,1785)="","",INDEX(BookCategory,1785))</f>
        <v/>
      </c>
      <c r="H1790" s="40" t="str">
        <f aca="false">IF(INDEX(BookTitle,1785)="","",INDEX(BookRank,1785))</f>
        <v/>
      </c>
      <c r="I1790" s="41" t="str">
        <f aca="false">IF(INDEX(BookTitle,1785)="","",INDEX(BookTotal,1785))</f>
        <v/>
      </c>
      <c r="J1790" s="0" t="str">
        <f aca="false">IF($I1790="","",IF(INDEX(BookQ1,1785)&gt;0,"Q1",IF(INDEX(BookQ2,1785)&gt;0,"Q2",IF(INDEX(BookQ3,1785)&gt;0,"Q3",IF(INDEX(BookQ4,1785)&gt;0,"Q4","")))))</f>
        <v/>
      </c>
      <c r="K1790" s="42" t="str">
        <f aca="false">IF(INDEX(BookTitle,1785)="","",INDEX(BookInYear,1785))</f>
        <v/>
      </c>
      <c r="L1790" s="19"/>
      <c r="M1790" s="39"/>
      <c r="N1790" s="19"/>
      <c r="O1790" s="19"/>
      <c r="P1790" s="43" t="str">
        <f aca="false">IF($E1790="","",IF($L1790="Decline",0,IF($L1790="Approve fewer",IF($M1790="","",$M1790),IF($L1790="","",$I1790))))</f>
        <v/>
      </c>
      <c r="Q1790" s="34" t="str">
        <f aca="false">IF($P1790="","",IF($N1790&lt;&gt;"",$N1790,$J1790))</f>
        <v/>
      </c>
      <c r="R1790" s="35" t="str">
        <f aca="false">IF(OR($P1790="",$Q1790=""),"",INDEX(BookRate,1785)*$P1790*(5-MATCH($Q1790,{"Q1";"Q2";"Q3";"Q4"},0))/4+INDEX(BookOneOff,1785)*$P1790)</f>
        <v/>
      </c>
      <c r="S1790" s="35" t="str">
        <f aca="false">IF($P1790="","",INDEX(BookRate,1785)*$P1790)</f>
        <v/>
      </c>
      <c r="T1790" s="35" t="str">
        <f aca="false">IF($R1790="","",$R1790-$K1790)</f>
        <v/>
      </c>
      <c r="U1790" s="35" t="str">
        <f aca="false">IF(N($P1790)&lt;=0,"",COUNTIF($P$6:$P1790,"&gt;0"))</f>
        <v/>
      </c>
    </row>
    <row r="1791" customFormat="false" ht="15" hidden="false" customHeight="false" outlineLevel="0" collapsed="false">
      <c r="A1791" s="40" t="str">
        <f aca="false">IF(INDEX(BookTitle,1786)="","",INDEX(BookGroup,1786))</f>
        <v/>
      </c>
      <c r="B1791" s="40" t="str">
        <f aca="false">IF(INDEX(BookTitle,1786)="","",INDEX(BookRef,1786))</f>
        <v/>
      </c>
      <c r="C1791" s="40" t="str">
        <f aca="false">IF(INDEX(BookTitle,1786)="","",INDEX(BookDivision,1786))</f>
        <v/>
      </c>
      <c r="D1791" s="40" t="str">
        <f aca="false">IF(INDEX(BookTitle,1786)="","",INDEX(BookUnit,1786))</f>
        <v/>
      </c>
      <c r="E1791" s="40" t="str">
        <f aca="false">IF(INDEX(BookTitle,1786)="","",INDEX(BookTitle,1786))</f>
        <v/>
      </c>
      <c r="F1791" s="40" t="str">
        <f aca="false">IF(INDEX(BookTitle,1786)="","",INDEX(BookLevel,1786))</f>
        <v/>
      </c>
      <c r="G1791" s="40" t="str">
        <f aca="false">IF(INDEX(BookTitle,1786)="","",INDEX(BookCategory,1786))</f>
        <v/>
      </c>
      <c r="H1791" s="40" t="str">
        <f aca="false">IF(INDEX(BookTitle,1786)="","",INDEX(BookRank,1786))</f>
        <v/>
      </c>
      <c r="I1791" s="41" t="str">
        <f aca="false">IF(INDEX(BookTitle,1786)="","",INDEX(BookTotal,1786))</f>
        <v/>
      </c>
      <c r="J1791" s="0" t="str">
        <f aca="false">IF($I1791="","",IF(INDEX(BookQ1,1786)&gt;0,"Q1",IF(INDEX(BookQ2,1786)&gt;0,"Q2",IF(INDEX(BookQ3,1786)&gt;0,"Q3",IF(INDEX(BookQ4,1786)&gt;0,"Q4","")))))</f>
        <v/>
      </c>
      <c r="K1791" s="42" t="str">
        <f aca="false">IF(INDEX(BookTitle,1786)="","",INDEX(BookInYear,1786))</f>
        <v/>
      </c>
      <c r="L1791" s="19"/>
      <c r="M1791" s="39"/>
      <c r="N1791" s="19"/>
      <c r="O1791" s="19"/>
      <c r="P1791" s="43" t="str">
        <f aca="false">IF($E1791="","",IF($L1791="Decline",0,IF($L1791="Approve fewer",IF($M1791="","",$M1791),IF($L1791="","",$I1791))))</f>
        <v/>
      </c>
      <c r="Q1791" s="34" t="str">
        <f aca="false">IF($P1791="","",IF($N1791&lt;&gt;"",$N1791,$J1791))</f>
        <v/>
      </c>
      <c r="R1791" s="35" t="str">
        <f aca="false">IF(OR($P1791="",$Q1791=""),"",INDEX(BookRate,1786)*$P1791*(5-MATCH($Q1791,{"Q1";"Q2";"Q3";"Q4"},0))/4+INDEX(BookOneOff,1786)*$P1791)</f>
        <v/>
      </c>
      <c r="S1791" s="35" t="str">
        <f aca="false">IF($P1791="","",INDEX(BookRate,1786)*$P1791)</f>
        <v/>
      </c>
      <c r="T1791" s="35" t="str">
        <f aca="false">IF($R1791="","",$R1791-$K1791)</f>
        <v/>
      </c>
      <c r="U1791" s="35" t="str">
        <f aca="false">IF(N($P1791)&lt;=0,"",COUNTIF($P$6:$P1791,"&gt;0"))</f>
        <v/>
      </c>
    </row>
    <row r="1792" customFormat="false" ht="15" hidden="false" customHeight="false" outlineLevel="0" collapsed="false">
      <c r="A1792" s="40" t="str">
        <f aca="false">IF(INDEX(BookTitle,1787)="","",INDEX(BookGroup,1787))</f>
        <v/>
      </c>
      <c r="B1792" s="40" t="str">
        <f aca="false">IF(INDEX(BookTitle,1787)="","",INDEX(BookRef,1787))</f>
        <v/>
      </c>
      <c r="C1792" s="40" t="str">
        <f aca="false">IF(INDEX(BookTitle,1787)="","",INDEX(BookDivision,1787))</f>
        <v/>
      </c>
      <c r="D1792" s="40" t="str">
        <f aca="false">IF(INDEX(BookTitle,1787)="","",INDEX(BookUnit,1787))</f>
        <v/>
      </c>
      <c r="E1792" s="40" t="str">
        <f aca="false">IF(INDEX(BookTitle,1787)="","",INDEX(BookTitle,1787))</f>
        <v/>
      </c>
      <c r="F1792" s="40" t="str">
        <f aca="false">IF(INDEX(BookTitle,1787)="","",INDEX(BookLevel,1787))</f>
        <v/>
      </c>
      <c r="G1792" s="40" t="str">
        <f aca="false">IF(INDEX(BookTitle,1787)="","",INDEX(BookCategory,1787))</f>
        <v/>
      </c>
      <c r="H1792" s="40" t="str">
        <f aca="false">IF(INDEX(BookTitle,1787)="","",INDEX(BookRank,1787))</f>
        <v/>
      </c>
      <c r="I1792" s="41" t="str">
        <f aca="false">IF(INDEX(BookTitle,1787)="","",INDEX(BookTotal,1787))</f>
        <v/>
      </c>
      <c r="J1792" s="0" t="str">
        <f aca="false">IF($I1792="","",IF(INDEX(BookQ1,1787)&gt;0,"Q1",IF(INDEX(BookQ2,1787)&gt;0,"Q2",IF(INDEX(BookQ3,1787)&gt;0,"Q3",IF(INDEX(BookQ4,1787)&gt;0,"Q4","")))))</f>
        <v/>
      </c>
      <c r="K1792" s="42" t="str">
        <f aca="false">IF(INDEX(BookTitle,1787)="","",INDEX(BookInYear,1787))</f>
        <v/>
      </c>
      <c r="L1792" s="19"/>
      <c r="M1792" s="39"/>
      <c r="N1792" s="19"/>
      <c r="O1792" s="19"/>
      <c r="P1792" s="43" t="str">
        <f aca="false">IF($E1792="","",IF($L1792="Decline",0,IF($L1792="Approve fewer",IF($M1792="","",$M1792),IF($L1792="","",$I1792))))</f>
        <v/>
      </c>
      <c r="Q1792" s="34" t="str">
        <f aca="false">IF($P1792="","",IF($N1792&lt;&gt;"",$N1792,$J1792))</f>
        <v/>
      </c>
      <c r="R1792" s="35" t="str">
        <f aca="false">IF(OR($P1792="",$Q1792=""),"",INDEX(BookRate,1787)*$P1792*(5-MATCH($Q1792,{"Q1";"Q2";"Q3";"Q4"},0))/4+INDEX(BookOneOff,1787)*$P1792)</f>
        <v/>
      </c>
      <c r="S1792" s="35" t="str">
        <f aca="false">IF($P1792="","",INDEX(BookRate,1787)*$P1792)</f>
        <v/>
      </c>
      <c r="T1792" s="35" t="str">
        <f aca="false">IF($R1792="","",$R1792-$K1792)</f>
        <v/>
      </c>
      <c r="U1792" s="35" t="str">
        <f aca="false">IF(N($P1792)&lt;=0,"",COUNTIF($P$6:$P1792,"&gt;0"))</f>
        <v/>
      </c>
    </row>
    <row r="1793" customFormat="false" ht="15" hidden="false" customHeight="false" outlineLevel="0" collapsed="false">
      <c r="A1793" s="40" t="str">
        <f aca="false">IF(INDEX(BookTitle,1788)="","",INDEX(BookGroup,1788))</f>
        <v/>
      </c>
      <c r="B1793" s="40" t="str">
        <f aca="false">IF(INDEX(BookTitle,1788)="","",INDEX(BookRef,1788))</f>
        <v/>
      </c>
      <c r="C1793" s="40" t="str">
        <f aca="false">IF(INDEX(BookTitle,1788)="","",INDEX(BookDivision,1788))</f>
        <v/>
      </c>
      <c r="D1793" s="40" t="str">
        <f aca="false">IF(INDEX(BookTitle,1788)="","",INDEX(BookUnit,1788))</f>
        <v/>
      </c>
      <c r="E1793" s="40" t="str">
        <f aca="false">IF(INDEX(BookTitle,1788)="","",INDEX(BookTitle,1788))</f>
        <v/>
      </c>
      <c r="F1793" s="40" t="str">
        <f aca="false">IF(INDEX(BookTitle,1788)="","",INDEX(BookLevel,1788))</f>
        <v/>
      </c>
      <c r="G1793" s="40" t="str">
        <f aca="false">IF(INDEX(BookTitle,1788)="","",INDEX(BookCategory,1788))</f>
        <v/>
      </c>
      <c r="H1793" s="40" t="str">
        <f aca="false">IF(INDEX(BookTitle,1788)="","",INDEX(BookRank,1788))</f>
        <v/>
      </c>
      <c r="I1793" s="41" t="str">
        <f aca="false">IF(INDEX(BookTitle,1788)="","",INDEX(BookTotal,1788))</f>
        <v/>
      </c>
      <c r="J1793" s="0" t="str">
        <f aca="false">IF($I1793="","",IF(INDEX(BookQ1,1788)&gt;0,"Q1",IF(INDEX(BookQ2,1788)&gt;0,"Q2",IF(INDEX(BookQ3,1788)&gt;0,"Q3",IF(INDEX(BookQ4,1788)&gt;0,"Q4","")))))</f>
        <v/>
      </c>
      <c r="K1793" s="42" t="str">
        <f aca="false">IF(INDEX(BookTitle,1788)="","",INDEX(BookInYear,1788))</f>
        <v/>
      </c>
      <c r="L1793" s="19"/>
      <c r="M1793" s="39"/>
      <c r="N1793" s="19"/>
      <c r="O1793" s="19"/>
      <c r="P1793" s="43" t="str">
        <f aca="false">IF($E1793="","",IF($L1793="Decline",0,IF($L1793="Approve fewer",IF($M1793="","",$M1793),IF($L1793="","",$I1793))))</f>
        <v/>
      </c>
      <c r="Q1793" s="34" t="str">
        <f aca="false">IF($P1793="","",IF($N1793&lt;&gt;"",$N1793,$J1793))</f>
        <v/>
      </c>
      <c r="R1793" s="35" t="str">
        <f aca="false">IF(OR($P1793="",$Q1793=""),"",INDEX(BookRate,1788)*$P1793*(5-MATCH($Q1793,{"Q1";"Q2";"Q3";"Q4"},0))/4+INDEX(BookOneOff,1788)*$P1793)</f>
        <v/>
      </c>
      <c r="S1793" s="35" t="str">
        <f aca="false">IF($P1793="","",INDEX(BookRate,1788)*$P1793)</f>
        <v/>
      </c>
      <c r="T1793" s="35" t="str">
        <f aca="false">IF($R1793="","",$R1793-$K1793)</f>
        <v/>
      </c>
      <c r="U1793" s="35" t="str">
        <f aca="false">IF(N($P1793)&lt;=0,"",COUNTIF($P$6:$P1793,"&gt;0"))</f>
        <v/>
      </c>
    </row>
    <row r="1794" customFormat="false" ht="15" hidden="false" customHeight="false" outlineLevel="0" collapsed="false">
      <c r="A1794" s="40" t="str">
        <f aca="false">IF(INDEX(BookTitle,1789)="","",INDEX(BookGroup,1789))</f>
        <v/>
      </c>
      <c r="B1794" s="40" t="str">
        <f aca="false">IF(INDEX(BookTitle,1789)="","",INDEX(BookRef,1789))</f>
        <v/>
      </c>
      <c r="C1794" s="40" t="str">
        <f aca="false">IF(INDEX(BookTitle,1789)="","",INDEX(BookDivision,1789))</f>
        <v/>
      </c>
      <c r="D1794" s="40" t="str">
        <f aca="false">IF(INDEX(BookTitle,1789)="","",INDEX(BookUnit,1789))</f>
        <v/>
      </c>
      <c r="E1794" s="40" t="str">
        <f aca="false">IF(INDEX(BookTitle,1789)="","",INDEX(BookTitle,1789))</f>
        <v/>
      </c>
      <c r="F1794" s="40" t="str">
        <f aca="false">IF(INDEX(BookTitle,1789)="","",INDEX(BookLevel,1789))</f>
        <v/>
      </c>
      <c r="G1794" s="40" t="str">
        <f aca="false">IF(INDEX(BookTitle,1789)="","",INDEX(BookCategory,1789))</f>
        <v/>
      </c>
      <c r="H1794" s="40" t="str">
        <f aca="false">IF(INDEX(BookTitle,1789)="","",INDEX(BookRank,1789))</f>
        <v/>
      </c>
      <c r="I1794" s="41" t="str">
        <f aca="false">IF(INDEX(BookTitle,1789)="","",INDEX(BookTotal,1789))</f>
        <v/>
      </c>
      <c r="J1794" s="0" t="str">
        <f aca="false">IF($I1794="","",IF(INDEX(BookQ1,1789)&gt;0,"Q1",IF(INDEX(BookQ2,1789)&gt;0,"Q2",IF(INDEX(BookQ3,1789)&gt;0,"Q3",IF(INDEX(BookQ4,1789)&gt;0,"Q4","")))))</f>
        <v/>
      </c>
      <c r="K1794" s="42" t="str">
        <f aca="false">IF(INDEX(BookTitle,1789)="","",INDEX(BookInYear,1789))</f>
        <v/>
      </c>
      <c r="L1794" s="19"/>
      <c r="M1794" s="39"/>
      <c r="N1794" s="19"/>
      <c r="O1794" s="19"/>
      <c r="P1794" s="43" t="str">
        <f aca="false">IF($E1794="","",IF($L1794="Decline",0,IF($L1794="Approve fewer",IF($M1794="","",$M1794),IF($L1794="","",$I1794))))</f>
        <v/>
      </c>
      <c r="Q1794" s="34" t="str">
        <f aca="false">IF($P1794="","",IF($N1794&lt;&gt;"",$N1794,$J1794))</f>
        <v/>
      </c>
      <c r="R1794" s="35" t="str">
        <f aca="false">IF(OR($P1794="",$Q1794=""),"",INDEX(BookRate,1789)*$P1794*(5-MATCH($Q1794,{"Q1";"Q2";"Q3";"Q4"},0))/4+INDEX(BookOneOff,1789)*$P1794)</f>
        <v/>
      </c>
      <c r="S1794" s="35" t="str">
        <f aca="false">IF($P1794="","",INDEX(BookRate,1789)*$P1794)</f>
        <v/>
      </c>
      <c r="T1794" s="35" t="str">
        <f aca="false">IF($R1794="","",$R1794-$K1794)</f>
        <v/>
      </c>
      <c r="U1794" s="35" t="str">
        <f aca="false">IF(N($P1794)&lt;=0,"",COUNTIF($P$6:$P1794,"&gt;0"))</f>
        <v/>
      </c>
    </row>
    <row r="1795" customFormat="false" ht="15" hidden="false" customHeight="false" outlineLevel="0" collapsed="false">
      <c r="A1795" s="40" t="str">
        <f aca="false">IF(INDEX(BookTitle,1790)="","",INDEX(BookGroup,1790))</f>
        <v/>
      </c>
      <c r="B1795" s="40" t="str">
        <f aca="false">IF(INDEX(BookTitle,1790)="","",INDEX(BookRef,1790))</f>
        <v/>
      </c>
      <c r="C1795" s="40" t="str">
        <f aca="false">IF(INDEX(BookTitle,1790)="","",INDEX(BookDivision,1790))</f>
        <v/>
      </c>
      <c r="D1795" s="40" t="str">
        <f aca="false">IF(INDEX(BookTitle,1790)="","",INDEX(BookUnit,1790))</f>
        <v/>
      </c>
      <c r="E1795" s="40" t="str">
        <f aca="false">IF(INDEX(BookTitle,1790)="","",INDEX(BookTitle,1790))</f>
        <v/>
      </c>
      <c r="F1795" s="40" t="str">
        <f aca="false">IF(INDEX(BookTitle,1790)="","",INDEX(BookLevel,1790))</f>
        <v/>
      </c>
      <c r="G1795" s="40" t="str">
        <f aca="false">IF(INDEX(BookTitle,1790)="","",INDEX(BookCategory,1790))</f>
        <v/>
      </c>
      <c r="H1795" s="40" t="str">
        <f aca="false">IF(INDEX(BookTitle,1790)="","",INDEX(BookRank,1790))</f>
        <v/>
      </c>
      <c r="I1795" s="41" t="str">
        <f aca="false">IF(INDEX(BookTitle,1790)="","",INDEX(BookTotal,1790))</f>
        <v/>
      </c>
      <c r="J1795" s="0" t="str">
        <f aca="false">IF($I1795="","",IF(INDEX(BookQ1,1790)&gt;0,"Q1",IF(INDEX(BookQ2,1790)&gt;0,"Q2",IF(INDEX(BookQ3,1790)&gt;0,"Q3",IF(INDEX(BookQ4,1790)&gt;0,"Q4","")))))</f>
        <v/>
      </c>
      <c r="K1795" s="42" t="str">
        <f aca="false">IF(INDEX(BookTitle,1790)="","",INDEX(BookInYear,1790))</f>
        <v/>
      </c>
      <c r="L1795" s="19"/>
      <c r="M1795" s="39"/>
      <c r="N1795" s="19"/>
      <c r="O1795" s="19"/>
      <c r="P1795" s="43" t="str">
        <f aca="false">IF($E1795="","",IF($L1795="Decline",0,IF($L1795="Approve fewer",IF($M1795="","",$M1795),IF($L1795="","",$I1795))))</f>
        <v/>
      </c>
      <c r="Q1795" s="34" t="str">
        <f aca="false">IF($P1795="","",IF($N1795&lt;&gt;"",$N1795,$J1795))</f>
        <v/>
      </c>
      <c r="R1795" s="35" t="str">
        <f aca="false">IF(OR($P1795="",$Q1795=""),"",INDEX(BookRate,1790)*$P1795*(5-MATCH($Q1795,{"Q1";"Q2";"Q3";"Q4"},0))/4+INDEX(BookOneOff,1790)*$P1795)</f>
        <v/>
      </c>
      <c r="S1795" s="35" t="str">
        <f aca="false">IF($P1795="","",INDEX(BookRate,1790)*$P1795)</f>
        <v/>
      </c>
      <c r="T1795" s="35" t="str">
        <f aca="false">IF($R1795="","",$R1795-$K1795)</f>
        <v/>
      </c>
      <c r="U1795" s="35" t="str">
        <f aca="false">IF(N($P1795)&lt;=0,"",COUNTIF($P$6:$P1795,"&gt;0"))</f>
        <v/>
      </c>
    </row>
    <row r="1796" customFormat="false" ht="15" hidden="false" customHeight="false" outlineLevel="0" collapsed="false">
      <c r="A1796" s="40" t="str">
        <f aca="false">IF(INDEX(BookTitle,1791)="","",INDEX(BookGroup,1791))</f>
        <v/>
      </c>
      <c r="B1796" s="40" t="str">
        <f aca="false">IF(INDEX(BookTitle,1791)="","",INDEX(BookRef,1791))</f>
        <v/>
      </c>
      <c r="C1796" s="40" t="str">
        <f aca="false">IF(INDEX(BookTitle,1791)="","",INDEX(BookDivision,1791))</f>
        <v/>
      </c>
      <c r="D1796" s="40" t="str">
        <f aca="false">IF(INDEX(BookTitle,1791)="","",INDEX(BookUnit,1791))</f>
        <v/>
      </c>
      <c r="E1796" s="40" t="str">
        <f aca="false">IF(INDEX(BookTitle,1791)="","",INDEX(BookTitle,1791))</f>
        <v/>
      </c>
      <c r="F1796" s="40" t="str">
        <f aca="false">IF(INDEX(BookTitle,1791)="","",INDEX(BookLevel,1791))</f>
        <v/>
      </c>
      <c r="G1796" s="40" t="str">
        <f aca="false">IF(INDEX(BookTitle,1791)="","",INDEX(BookCategory,1791))</f>
        <v/>
      </c>
      <c r="H1796" s="40" t="str">
        <f aca="false">IF(INDEX(BookTitle,1791)="","",INDEX(BookRank,1791))</f>
        <v/>
      </c>
      <c r="I1796" s="41" t="str">
        <f aca="false">IF(INDEX(BookTitle,1791)="","",INDEX(BookTotal,1791))</f>
        <v/>
      </c>
      <c r="J1796" s="0" t="str">
        <f aca="false">IF($I1796="","",IF(INDEX(BookQ1,1791)&gt;0,"Q1",IF(INDEX(BookQ2,1791)&gt;0,"Q2",IF(INDEX(BookQ3,1791)&gt;0,"Q3",IF(INDEX(BookQ4,1791)&gt;0,"Q4","")))))</f>
        <v/>
      </c>
      <c r="K1796" s="42" t="str">
        <f aca="false">IF(INDEX(BookTitle,1791)="","",INDEX(BookInYear,1791))</f>
        <v/>
      </c>
      <c r="L1796" s="19"/>
      <c r="M1796" s="39"/>
      <c r="N1796" s="19"/>
      <c r="O1796" s="19"/>
      <c r="P1796" s="43" t="str">
        <f aca="false">IF($E1796="","",IF($L1796="Decline",0,IF($L1796="Approve fewer",IF($M1796="","",$M1796),IF($L1796="","",$I1796))))</f>
        <v/>
      </c>
      <c r="Q1796" s="34" t="str">
        <f aca="false">IF($P1796="","",IF($N1796&lt;&gt;"",$N1796,$J1796))</f>
        <v/>
      </c>
      <c r="R1796" s="35" t="str">
        <f aca="false">IF(OR($P1796="",$Q1796=""),"",INDEX(BookRate,1791)*$P1796*(5-MATCH($Q1796,{"Q1";"Q2";"Q3";"Q4"},0))/4+INDEX(BookOneOff,1791)*$P1796)</f>
        <v/>
      </c>
      <c r="S1796" s="35" t="str">
        <f aca="false">IF($P1796="","",INDEX(BookRate,1791)*$P1796)</f>
        <v/>
      </c>
      <c r="T1796" s="35" t="str">
        <f aca="false">IF($R1796="","",$R1796-$K1796)</f>
        <v/>
      </c>
      <c r="U1796" s="35" t="str">
        <f aca="false">IF(N($P1796)&lt;=0,"",COUNTIF($P$6:$P1796,"&gt;0"))</f>
        <v/>
      </c>
    </row>
    <row r="1797" customFormat="false" ht="15" hidden="false" customHeight="false" outlineLevel="0" collapsed="false">
      <c r="A1797" s="40" t="str">
        <f aca="false">IF(INDEX(BookTitle,1792)="","",INDEX(BookGroup,1792))</f>
        <v/>
      </c>
      <c r="B1797" s="40" t="str">
        <f aca="false">IF(INDEX(BookTitle,1792)="","",INDEX(BookRef,1792))</f>
        <v/>
      </c>
      <c r="C1797" s="40" t="str">
        <f aca="false">IF(INDEX(BookTitle,1792)="","",INDEX(BookDivision,1792))</f>
        <v/>
      </c>
      <c r="D1797" s="40" t="str">
        <f aca="false">IF(INDEX(BookTitle,1792)="","",INDEX(BookUnit,1792))</f>
        <v/>
      </c>
      <c r="E1797" s="40" t="str">
        <f aca="false">IF(INDEX(BookTitle,1792)="","",INDEX(BookTitle,1792))</f>
        <v/>
      </c>
      <c r="F1797" s="40" t="str">
        <f aca="false">IF(INDEX(BookTitle,1792)="","",INDEX(BookLevel,1792))</f>
        <v/>
      </c>
      <c r="G1797" s="40" t="str">
        <f aca="false">IF(INDEX(BookTitle,1792)="","",INDEX(BookCategory,1792))</f>
        <v/>
      </c>
      <c r="H1797" s="40" t="str">
        <f aca="false">IF(INDEX(BookTitle,1792)="","",INDEX(BookRank,1792))</f>
        <v/>
      </c>
      <c r="I1797" s="41" t="str">
        <f aca="false">IF(INDEX(BookTitle,1792)="","",INDEX(BookTotal,1792))</f>
        <v/>
      </c>
      <c r="J1797" s="0" t="str">
        <f aca="false">IF($I1797="","",IF(INDEX(BookQ1,1792)&gt;0,"Q1",IF(INDEX(BookQ2,1792)&gt;0,"Q2",IF(INDEX(BookQ3,1792)&gt;0,"Q3",IF(INDEX(BookQ4,1792)&gt;0,"Q4","")))))</f>
        <v/>
      </c>
      <c r="K1797" s="42" t="str">
        <f aca="false">IF(INDEX(BookTitle,1792)="","",INDEX(BookInYear,1792))</f>
        <v/>
      </c>
      <c r="L1797" s="19"/>
      <c r="M1797" s="39"/>
      <c r="N1797" s="19"/>
      <c r="O1797" s="19"/>
      <c r="P1797" s="43" t="str">
        <f aca="false">IF($E1797="","",IF($L1797="Decline",0,IF($L1797="Approve fewer",IF($M1797="","",$M1797),IF($L1797="","",$I1797))))</f>
        <v/>
      </c>
      <c r="Q1797" s="34" t="str">
        <f aca="false">IF($P1797="","",IF($N1797&lt;&gt;"",$N1797,$J1797))</f>
        <v/>
      </c>
      <c r="R1797" s="35" t="str">
        <f aca="false">IF(OR($P1797="",$Q1797=""),"",INDEX(BookRate,1792)*$P1797*(5-MATCH($Q1797,{"Q1";"Q2";"Q3";"Q4"},0))/4+INDEX(BookOneOff,1792)*$P1797)</f>
        <v/>
      </c>
      <c r="S1797" s="35" t="str">
        <f aca="false">IF($P1797="","",INDEX(BookRate,1792)*$P1797)</f>
        <v/>
      </c>
      <c r="T1797" s="35" t="str">
        <f aca="false">IF($R1797="","",$R1797-$K1797)</f>
        <v/>
      </c>
      <c r="U1797" s="35" t="str">
        <f aca="false">IF(N($P1797)&lt;=0,"",COUNTIF($P$6:$P1797,"&gt;0"))</f>
        <v/>
      </c>
    </row>
    <row r="1798" customFormat="false" ht="15" hidden="false" customHeight="false" outlineLevel="0" collapsed="false">
      <c r="A1798" s="40" t="str">
        <f aca="false">IF(INDEX(BookTitle,1793)="","",INDEX(BookGroup,1793))</f>
        <v/>
      </c>
      <c r="B1798" s="40" t="str">
        <f aca="false">IF(INDEX(BookTitle,1793)="","",INDEX(BookRef,1793))</f>
        <v/>
      </c>
      <c r="C1798" s="40" t="str">
        <f aca="false">IF(INDEX(BookTitle,1793)="","",INDEX(BookDivision,1793))</f>
        <v/>
      </c>
      <c r="D1798" s="40" t="str">
        <f aca="false">IF(INDEX(BookTitle,1793)="","",INDEX(BookUnit,1793))</f>
        <v/>
      </c>
      <c r="E1798" s="40" t="str">
        <f aca="false">IF(INDEX(BookTitle,1793)="","",INDEX(BookTitle,1793))</f>
        <v/>
      </c>
      <c r="F1798" s="40" t="str">
        <f aca="false">IF(INDEX(BookTitle,1793)="","",INDEX(BookLevel,1793))</f>
        <v/>
      </c>
      <c r="G1798" s="40" t="str">
        <f aca="false">IF(INDEX(BookTitle,1793)="","",INDEX(BookCategory,1793))</f>
        <v/>
      </c>
      <c r="H1798" s="40" t="str">
        <f aca="false">IF(INDEX(BookTitle,1793)="","",INDEX(BookRank,1793))</f>
        <v/>
      </c>
      <c r="I1798" s="41" t="str">
        <f aca="false">IF(INDEX(BookTitle,1793)="","",INDEX(BookTotal,1793))</f>
        <v/>
      </c>
      <c r="J1798" s="0" t="str">
        <f aca="false">IF($I1798="","",IF(INDEX(BookQ1,1793)&gt;0,"Q1",IF(INDEX(BookQ2,1793)&gt;0,"Q2",IF(INDEX(BookQ3,1793)&gt;0,"Q3",IF(INDEX(BookQ4,1793)&gt;0,"Q4","")))))</f>
        <v/>
      </c>
      <c r="K1798" s="42" t="str">
        <f aca="false">IF(INDEX(BookTitle,1793)="","",INDEX(BookInYear,1793))</f>
        <v/>
      </c>
      <c r="L1798" s="19"/>
      <c r="M1798" s="39"/>
      <c r="N1798" s="19"/>
      <c r="O1798" s="19"/>
      <c r="P1798" s="43" t="str">
        <f aca="false">IF($E1798="","",IF($L1798="Decline",0,IF($L1798="Approve fewer",IF($M1798="","",$M1798),IF($L1798="","",$I1798))))</f>
        <v/>
      </c>
      <c r="Q1798" s="34" t="str">
        <f aca="false">IF($P1798="","",IF($N1798&lt;&gt;"",$N1798,$J1798))</f>
        <v/>
      </c>
      <c r="R1798" s="35" t="str">
        <f aca="false">IF(OR($P1798="",$Q1798=""),"",INDEX(BookRate,1793)*$P1798*(5-MATCH($Q1798,{"Q1";"Q2";"Q3";"Q4"},0))/4+INDEX(BookOneOff,1793)*$P1798)</f>
        <v/>
      </c>
      <c r="S1798" s="35" t="str">
        <f aca="false">IF($P1798="","",INDEX(BookRate,1793)*$P1798)</f>
        <v/>
      </c>
      <c r="T1798" s="35" t="str">
        <f aca="false">IF($R1798="","",$R1798-$K1798)</f>
        <v/>
      </c>
      <c r="U1798" s="35" t="str">
        <f aca="false">IF(N($P1798)&lt;=0,"",COUNTIF($P$6:$P1798,"&gt;0"))</f>
        <v/>
      </c>
    </row>
    <row r="1799" customFormat="false" ht="15" hidden="false" customHeight="false" outlineLevel="0" collapsed="false">
      <c r="A1799" s="40" t="str">
        <f aca="false">IF(INDEX(BookTitle,1794)="","",INDEX(BookGroup,1794))</f>
        <v/>
      </c>
      <c r="B1799" s="40" t="str">
        <f aca="false">IF(INDEX(BookTitle,1794)="","",INDEX(BookRef,1794))</f>
        <v/>
      </c>
      <c r="C1799" s="40" t="str">
        <f aca="false">IF(INDEX(BookTitle,1794)="","",INDEX(BookDivision,1794))</f>
        <v/>
      </c>
      <c r="D1799" s="40" t="str">
        <f aca="false">IF(INDEX(BookTitle,1794)="","",INDEX(BookUnit,1794))</f>
        <v/>
      </c>
      <c r="E1799" s="40" t="str">
        <f aca="false">IF(INDEX(BookTitle,1794)="","",INDEX(BookTitle,1794))</f>
        <v/>
      </c>
      <c r="F1799" s="40" t="str">
        <f aca="false">IF(INDEX(BookTitle,1794)="","",INDEX(BookLevel,1794))</f>
        <v/>
      </c>
      <c r="G1799" s="40" t="str">
        <f aca="false">IF(INDEX(BookTitle,1794)="","",INDEX(BookCategory,1794))</f>
        <v/>
      </c>
      <c r="H1799" s="40" t="str">
        <f aca="false">IF(INDEX(BookTitle,1794)="","",INDEX(BookRank,1794))</f>
        <v/>
      </c>
      <c r="I1799" s="41" t="str">
        <f aca="false">IF(INDEX(BookTitle,1794)="","",INDEX(BookTotal,1794))</f>
        <v/>
      </c>
      <c r="J1799" s="0" t="str">
        <f aca="false">IF($I1799="","",IF(INDEX(BookQ1,1794)&gt;0,"Q1",IF(INDEX(BookQ2,1794)&gt;0,"Q2",IF(INDEX(BookQ3,1794)&gt;0,"Q3",IF(INDEX(BookQ4,1794)&gt;0,"Q4","")))))</f>
        <v/>
      </c>
      <c r="K1799" s="42" t="str">
        <f aca="false">IF(INDEX(BookTitle,1794)="","",INDEX(BookInYear,1794))</f>
        <v/>
      </c>
      <c r="L1799" s="19"/>
      <c r="M1799" s="39"/>
      <c r="N1799" s="19"/>
      <c r="O1799" s="19"/>
      <c r="P1799" s="43" t="str">
        <f aca="false">IF($E1799="","",IF($L1799="Decline",0,IF($L1799="Approve fewer",IF($M1799="","",$M1799),IF($L1799="","",$I1799))))</f>
        <v/>
      </c>
      <c r="Q1799" s="34" t="str">
        <f aca="false">IF($P1799="","",IF($N1799&lt;&gt;"",$N1799,$J1799))</f>
        <v/>
      </c>
      <c r="R1799" s="35" t="str">
        <f aca="false">IF(OR($P1799="",$Q1799=""),"",INDEX(BookRate,1794)*$P1799*(5-MATCH($Q1799,{"Q1";"Q2";"Q3";"Q4"},0))/4+INDEX(BookOneOff,1794)*$P1799)</f>
        <v/>
      </c>
      <c r="S1799" s="35" t="str">
        <f aca="false">IF($P1799="","",INDEX(BookRate,1794)*$P1799)</f>
        <v/>
      </c>
      <c r="T1799" s="35" t="str">
        <f aca="false">IF($R1799="","",$R1799-$K1799)</f>
        <v/>
      </c>
      <c r="U1799" s="35" t="str">
        <f aca="false">IF(N($P1799)&lt;=0,"",COUNTIF($P$6:$P1799,"&gt;0"))</f>
        <v/>
      </c>
    </row>
    <row r="1800" customFormat="false" ht="15" hidden="false" customHeight="false" outlineLevel="0" collapsed="false">
      <c r="A1800" s="40" t="str">
        <f aca="false">IF(INDEX(BookTitle,1795)="","",INDEX(BookGroup,1795))</f>
        <v/>
      </c>
      <c r="B1800" s="40" t="str">
        <f aca="false">IF(INDEX(BookTitle,1795)="","",INDEX(BookRef,1795))</f>
        <v/>
      </c>
      <c r="C1800" s="40" t="str">
        <f aca="false">IF(INDEX(BookTitle,1795)="","",INDEX(BookDivision,1795))</f>
        <v/>
      </c>
      <c r="D1800" s="40" t="str">
        <f aca="false">IF(INDEX(BookTitle,1795)="","",INDEX(BookUnit,1795))</f>
        <v/>
      </c>
      <c r="E1800" s="40" t="str">
        <f aca="false">IF(INDEX(BookTitle,1795)="","",INDEX(BookTitle,1795))</f>
        <v/>
      </c>
      <c r="F1800" s="40" t="str">
        <f aca="false">IF(INDEX(BookTitle,1795)="","",INDEX(BookLevel,1795))</f>
        <v/>
      </c>
      <c r="G1800" s="40" t="str">
        <f aca="false">IF(INDEX(BookTitle,1795)="","",INDEX(BookCategory,1795))</f>
        <v/>
      </c>
      <c r="H1800" s="40" t="str">
        <f aca="false">IF(INDEX(BookTitle,1795)="","",INDEX(BookRank,1795))</f>
        <v/>
      </c>
      <c r="I1800" s="41" t="str">
        <f aca="false">IF(INDEX(BookTitle,1795)="","",INDEX(BookTotal,1795))</f>
        <v/>
      </c>
      <c r="J1800" s="0" t="str">
        <f aca="false">IF($I1800="","",IF(INDEX(BookQ1,1795)&gt;0,"Q1",IF(INDEX(BookQ2,1795)&gt;0,"Q2",IF(INDEX(BookQ3,1795)&gt;0,"Q3",IF(INDEX(BookQ4,1795)&gt;0,"Q4","")))))</f>
        <v/>
      </c>
      <c r="K1800" s="42" t="str">
        <f aca="false">IF(INDEX(BookTitle,1795)="","",INDEX(BookInYear,1795))</f>
        <v/>
      </c>
      <c r="L1800" s="19"/>
      <c r="M1800" s="39"/>
      <c r="N1800" s="19"/>
      <c r="O1800" s="19"/>
      <c r="P1800" s="43" t="str">
        <f aca="false">IF($E1800="","",IF($L1800="Decline",0,IF($L1800="Approve fewer",IF($M1800="","",$M1800),IF($L1800="","",$I1800))))</f>
        <v/>
      </c>
      <c r="Q1800" s="34" t="str">
        <f aca="false">IF($P1800="","",IF($N1800&lt;&gt;"",$N1800,$J1800))</f>
        <v/>
      </c>
      <c r="R1800" s="35" t="str">
        <f aca="false">IF(OR($P1800="",$Q1800=""),"",INDEX(BookRate,1795)*$P1800*(5-MATCH($Q1800,{"Q1";"Q2";"Q3";"Q4"},0))/4+INDEX(BookOneOff,1795)*$P1800)</f>
        <v/>
      </c>
      <c r="S1800" s="35" t="str">
        <f aca="false">IF($P1800="","",INDEX(BookRate,1795)*$P1800)</f>
        <v/>
      </c>
      <c r="T1800" s="35" t="str">
        <f aca="false">IF($R1800="","",$R1800-$K1800)</f>
        <v/>
      </c>
      <c r="U1800" s="35" t="str">
        <f aca="false">IF(N($P1800)&lt;=0,"",COUNTIF($P$6:$P1800,"&gt;0"))</f>
        <v/>
      </c>
    </row>
    <row r="1801" customFormat="false" ht="15" hidden="false" customHeight="false" outlineLevel="0" collapsed="false">
      <c r="A1801" s="40" t="str">
        <f aca="false">IF(INDEX(BookTitle,1796)="","",INDEX(BookGroup,1796))</f>
        <v/>
      </c>
      <c r="B1801" s="40" t="str">
        <f aca="false">IF(INDEX(BookTitle,1796)="","",INDEX(BookRef,1796))</f>
        <v/>
      </c>
      <c r="C1801" s="40" t="str">
        <f aca="false">IF(INDEX(BookTitle,1796)="","",INDEX(BookDivision,1796))</f>
        <v/>
      </c>
      <c r="D1801" s="40" t="str">
        <f aca="false">IF(INDEX(BookTitle,1796)="","",INDEX(BookUnit,1796))</f>
        <v/>
      </c>
      <c r="E1801" s="40" t="str">
        <f aca="false">IF(INDEX(BookTitle,1796)="","",INDEX(BookTitle,1796))</f>
        <v/>
      </c>
      <c r="F1801" s="40" t="str">
        <f aca="false">IF(INDEX(BookTitle,1796)="","",INDEX(BookLevel,1796))</f>
        <v/>
      </c>
      <c r="G1801" s="40" t="str">
        <f aca="false">IF(INDEX(BookTitle,1796)="","",INDEX(BookCategory,1796))</f>
        <v/>
      </c>
      <c r="H1801" s="40" t="str">
        <f aca="false">IF(INDEX(BookTitle,1796)="","",INDEX(BookRank,1796))</f>
        <v/>
      </c>
      <c r="I1801" s="41" t="str">
        <f aca="false">IF(INDEX(BookTitle,1796)="","",INDEX(BookTotal,1796))</f>
        <v/>
      </c>
      <c r="J1801" s="0" t="str">
        <f aca="false">IF($I1801="","",IF(INDEX(BookQ1,1796)&gt;0,"Q1",IF(INDEX(BookQ2,1796)&gt;0,"Q2",IF(INDEX(BookQ3,1796)&gt;0,"Q3",IF(INDEX(BookQ4,1796)&gt;0,"Q4","")))))</f>
        <v/>
      </c>
      <c r="K1801" s="42" t="str">
        <f aca="false">IF(INDEX(BookTitle,1796)="","",INDEX(BookInYear,1796))</f>
        <v/>
      </c>
      <c r="L1801" s="19"/>
      <c r="M1801" s="39"/>
      <c r="N1801" s="19"/>
      <c r="O1801" s="19"/>
      <c r="P1801" s="43" t="str">
        <f aca="false">IF($E1801="","",IF($L1801="Decline",0,IF($L1801="Approve fewer",IF($M1801="","",$M1801),IF($L1801="","",$I1801))))</f>
        <v/>
      </c>
      <c r="Q1801" s="34" t="str">
        <f aca="false">IF($P1801="","",IF($N1801&lt;&gt;"",$N1801,$J1801))</f>
        <v/>
      </c>
      <c r="R1801" s="35" t="str">
        <f aca="false">IF(OR($P1801="",$Q1801=""),"",INDEX(BookRate,1796)*$P1801*(5-MATCH($Q1801,{"Q1";"Q2";"Q3";"Q4"},0))/4+INDEX(BookOneOff,1796)*$P1801)</f>
        <v/>
      </c>
      <c r="S1801" s="35" t="str">
        <f aca="false">IF($P1801="","",INDEX(BookRate,1796)*$P1801)</f>
        <v/>
      </c>
      <c r="T1801" s="35" t="str">
        <f aca="false">IF($R1801="","",$R1801-$K1801)</f>
        <v/>
      </c>
      <c r="U1801" s="35" t="str">
        <f aca="false">IF(N($P1801)&lt;=0,"",COUNTIF($P$6:$P1801,"&gt;0"))</f>
        <v/>
      </c>
    </row>
    <row r="1802" customFormat="false" ht="15" hidden="false" customHeight="false" outlineLevel="0" collapsed="false">
      <c r="A1802" s="40" t="str">
        <f aca="false">IF(INDEX(BookTitle,1797)="","",INDEX(BookGroup,1797))</f>
        <v/>
      </c>
      <c r="B1802" s="40" t="str">
        <f aca="false">IF(INDEX(BookTitle,1797)="","",INDEX(BookRef,1797))</f>
        <v/>
      </c>
      <c r="C1802" s="40" t="str">
        <f aca="false">IF(INDEX(BookTitle,1797)="","",INDEX(BookDivision,1797))</f>
        <v/>
      </c>
      <c r="D1802" s="40" t="str">
        <f aca="false">IF(INDEX(BookTitle,1797)="","",INDEX(BookUnit,1797))</f>
        <v/>
      </c>
      <c r="E1802" s="40" t="str">
        <f aca="false">IF(INDEX(BookTitle,1797)="","",INDEX(BookTitle,1797))</f>
        <v/>
      </c>
      <c r="F1802" s="40" t="str">
        <f aca="false">IF(INDEX(BookTitle,1797)="","",INDEX(BookLevel,1797))</f>
        <v/>
      </c>
      <c r="G1802" s="40" t="str">
        <f aca="false">IF(INDEX(BookTitle,1797)="","",INDEX(BookCategory,1797))</f>
        <v/>
      </c>
      <c r="H1802" s="40" t="str">
        <f aca="false">IF(INDEX(BookTitle,1797)="","",INDEX(BookRank,1797))</f>
        <v/>
      </c>
      <c r="I1802" s="41" t="str">
        <f aca="false">IF(INDEX(BookTitle,1797)="","",INDEX(BookTotal,1797))</f>
        <v/>
      </c>
      <c r="J1802" s="0" t="str">
        <f aca="false">IF($I1802="","",IF(INDEX(BookQ1,1797)&gt;0,"Q1",IF(INDEX(BookQ2,1797)&gt;0,"Q2",IF(INDEX(BookQ3,1797)&gt;0,"Q3",IF(INDEX(BookQ4,1797)&gt;0,"Q4","")))))</f>
        <v/>
      </c>
      <c r="K1802" s="42" t="str">
        <f aca="false">IF(INDEX(BookTitle,1797)="","",INDEX(BookInYear,1797))</f>
        <v/>
      </c>
      <c r="L1802" s="19"/>
      <c r="M1802" s="39"/>
      <c r="N1802" s="19"/>
      <c r="O1802" s="19"/>
      <c r="P1802" s="43" t="str">
        <f aca="false">IF($E1802="","",IF($L1802="Decline",0,IF($L1802="Approve fewer",IF($M1802="","",$M1802),IF($L1802="","",$I1802))))</f>
        <v/>
      </c>
      <c r="Q1802" s="34" t="str">
        <f aca="false">IF($P1802="","",IF($N1802&lt;&gt;"",$N1802,$J1802))</f>
        <v/>
      </c>
      <c r="R1802" s="35" t="str">
        <f aca="false">IF(OR($P1802="",$Q1802=""),"",INDEX(BookRate,1797)*$P1802*(5-MATCH($Q1802,{"Q1";"Q2";"Q3";"Q4"},0))/4+INDEX(BookOneOff,1797)*$P1802)</f>
        <v/>
      </c>
      <c r="S1802" s="35" t="str">
        <f aca="false">IF($P1802="","",INDEX(BookRate,1797)*$P1802)</f>
        <v/>
      </c>
      <c r="T1802" s="35" t="str">
        <f aca="false">IF($R1802="","",$R1802-$K1802)</f>
        <v/>
      </c>
      <c r="U1802" s="35" t="str">
        <f aca="false">IF(N($P1802)&lt;=0,"",COUNTIF($P$6:$P1802,"&gt;0"))</f>
        <v/>
      </c>
    </row>
    <row r="1803" customFormat="false" ht="15" hidden="false" customHeight="false" outlineLevel="0" collapsed="false">
      <c r="A1803" s="40" t="str">
        <f aca="false">IF(INDEX(BookTitle,1798)="","",INDEX(BookGroup,1798))</f>
        <v/>
      </c>
      <c r="B1803" s="40" t="str">
        <f aca="false">IF(INDEX(BookTitle,1798)="","",INDEX(BookRef,1798))</f>
        <v/>
      </c>
      <c r="C1803" s="40" t="str">
        <f aca="false">IF(INDEX(BookTitle,1798)="","",INDEX(BookDivision,1798))</f>
        <v/>
      </c>
      <c r="D1803" s="40" t="str">
        <f aca="false">IF(INDEX(BookTitle,1798)="","",INDEX(BookUnit,1798))</f>
        <v/>
      </c>
      <c r="E1803" s="40" t="str">
        <f aca="false">IF(INDEX(BookTitle,1798)="","",INDEX(BookTitle,1798))</f>
        <v/>
      </c>
      <c r="F1803" s="40" t="str">
        <f aca="false">IF(INDEX(BookTitle,1798)="","",INDEX(BookLevel,1798))</f>
        <v/>
      </c>
      <c r="G1803" s="40" t="str">
        <f aca="false">IF(INDEX(BookTitle,1798)="","",INDEX(BookCategory,1798))</f>
        <v/>
      </c>
      <c r="H1803" s="40" t="str">
        <f aca="false">IF(INDEX(BookTitle,1798)="","",INDEX(BookRank,1798))</f>
        <v/>
      </c>
      <c r="I1803" s="41" t="str">
        <f aca="false">IF(INDEX(BookTitle,1798)="","",INDEX(BookTotal,1798))</f>
        <v/>
      </c>
      <c r="J1803" s="0" t="str">
        <f aca="false">IF($I1803="","",IF(INDEX(BookQ1,1798)&gt;0,"Q1",IF(INDEX(BookQ2,1798)&gt;0,"Q2",IF(INDEX(BookQ3,1798)&gt;0,"Q3",IF(INDEX(BookQ4,1798)&gt;0,"Q4","")))))</f>
        <v/>
      </c>
      <c r="K1803" s="42" t="str">
        <f aca="false">IF(INDEX(BookTitle,1798)="","",INDEX(BookInYear,1798))</f>
        <v/>
      </c>
      <c r="L1803" s="19"/>
      <c r="M1803" s="39"/>
      <c r="N1803" s="19"/>
      <c r="O1803" s="19"/>
      <c r="P1803" s="43" t="str">
        <f aca="false">IF($E1803="","",IF($L1803="Decline",0,IF($L1803="Approve fewer",IF($M1803="","",$M1803),IF($L1803="","",$I1803))))</f>
        <v/>
      </c>
      <c r="Q1803" s="34" t="str">
        <f aca="false">IF($P1803="","",IF($N1803&lt;&gt;"",$N1803,$J1803))</f>
        <v/>
      </c>
      <c r="R1803" s="35" t="str">
        <f aca="false">IF(OR($P1803="",$Q1803=""),"",INDEX(BookRate,1798)*$P1803*(5-MATCH($Q1803,{"Q1";"Q2";"Q3";"Q4"},0))/4+INDEX(BookOneOff,1798)*$P1803)</f>
        <v/>
      </c>
      <c r="S1803" s="35" t="str">
        <f aca="false">IF($P1803="","",INDEX(BookRate,1798)*$P1803)</f>
        <v/>
      </c>
      <c r="T1803" s="35" t="str">
        <f aca="false">IF($R1803="","",$R1803-$K1803)</f>
        <v/>
      </c>
      <c r="U1803" s="35" t="str">
        <f aca="false">IF(N($P1803)&lt;=0,"",COUNTIF($P$6:$P1803,"&gt;0"))</f>
        <v/>
      </c>
    </row>
    <row r="1804" customFormat="false" ht="15" hidden="false" customHeight="false" outlineLevel="0" collapsed="false">
      <c r="A1804" s="40" t="str">
        <f aca="false">IF(INDEX(BookTitle,1799)="","",INDEX(BookGroup,1799))</f>
        <v/>
      </c>
      <c r="B1804" s="40" t="str">
        <f aca="false">IF(INDEX(BookTitle,1799)="","",INDEX(BookRef,1799))</f>
        <v/>
      </c>
      <c r="C1804" s="40" t="str">
        <f aca="false">IF(INDEX(BookTitle,1799)="","",INDEX(BookDivision,1799))</f>
        <v/>
      </c>
      <c r="D1804" s="40" t="str">
        <f aca="false">IF(INDEX(BookTitle,1799)="","",INDEX(BookUnit,1799))</f>
        <v/>
      </c>
      <c r="E1804" s="40" t="str">
        <f aca="false">IF(INDEX(BookTitle,1799)="","",INDEX(BookTitle,1799))</f>
        <v/>
      </c>
      <c r="F1804" s="40" t="str">
        <f aca="false">IF(INDEX(BookTitle,1799)="","",INDEX(BookLevel,1799))</f>
        <v/>
      </c>
      <c r="G1804" s="40" t="str">
        <f aca="false">IF(INDEX(BookTitle,1799)="","",INDEX(BookCategory,1799))</f>
        <v/>
      </c>
      <c r="H1804" s="40" t="str">
        <f aca="false">IF(INDEX(BookTitle,1799)="","",INDEX(BookRank,1799))</f>
        <v/>
      </c>
      <c r="I1804" s="41" t="str">
        <f aca="false">IF(INDEX(BookTitle,1799)="","",INDEX(BookTotal,1799))</f>
        <v/>
      </c>
      <c r="J1804" s="0" t="str">
        <f aca="false">IF($I1804="","",IF(INDEX(BookQ1,1799)&gt;0,"Q1",IF(INDEX(BookQ2,1799)&gt;0,"Q2",IF(INDEX(BookQ3,1799)&gt;0,"Q3",IF(INDEX(BookQ4,1799)&gt;0,"Q4","")))))</f>
        <v/>
      </c>
      <c r="K1804" s="42" t="str">
        <f aca="false">IF(INDEX(BookTitle,1799)="","",INDEX(BookInYear,1799))</f>
        <v/>
      </c>
      <c r="L1804" s="19"/>
      <c r="M1804" s="39"/>
      <c r="N1804" s="19"/>
      <c r="O1804" s="19"/>
      <c r="P1804" s="43" t="str">
        <f aca="false">IF($E1804="","",IF($L1804="Decline",0,IF($L1804="Approve fewer",IF($M1804="","",$M1804),IF($L1804="","",$I1804))))</f>
        <v/>
      </c>
      <c r="Q1804" s="34" t="str">
        <f aca="false">IF($P1804="","",IF($N1804&lt;&gt;"",$N1804,$J1804))</f>
        <v/>
      </c>
      <c r="R1804" s="35" t="str">
        <f aca="false">IF(OR($P1804="",$Q1804=""),"",INDEX(BookRate,1799)*$P1804*(5-MATCH($Q1804,{"Q1";"Q2";"Q3";"Q4"},0))/4+INDEX(BookOneOff,1799)*$P1804)</f>
        <v/>
      </c>
      <c r="S1804" s="35" t="str">
        <f aca="false">IF($P1804="","",INDEX(BookRate,1799)*$P1804)</f>
        <v/>
      </c>
      <c r="T1804" s="35" t="str">
        <f aca="false">IF($R1804="","",$R1804-$K1804)</f>
        <v/>
      </c>
      <c r="U1804" s="35" t="str">
        <f aca="false">IF(N($P1804)&lt;=0,"",COUNTIF($P$6:$P1804,"&gt;0"))</f>
        <v/>
      </c>
    </row>
    <row r="1805" customFormat="false" ht="15" hidden="false" customHeight="false" outlineLevel="0" collapsed="false">
      <c r="A1805" s="40" t="str">
        <f aca="false">IF(INDEX(BookTitle,1800)="","",INDEX(BookGroup,1800))</f>
        <v/>
      </c>
      <c r="B1805" s="40" t="str">
        <f aca="false">IF(INDEX(BookTitle,1800)="","",INDEX(BookRef,1800))</f>
        <v/>
      </c>
      <c r="C1805" s="40" t="str">
        <f aca="false">IF(INDEX(BookTitle,1800)="","",INDEX(BookDivision,1800))</f>
        <v/>
      </c>
      <c r="D1805" s="40" t="str">
        <f aca="false">IF(INDEX(BookTitle,1800)="","",INDEX(BookUnit,1800))</f>
        <v/>
      </c>
      <c r="E1805" s="40" t="str">
        <f aca="false">IF(INDEX(BookTitle,1800)="","",INDEX(BookTitle,1800))</f>
        <v/>
      </c>
      <c r="F1805" s="40" t="str">
        <f aca="false">IF(INDEX(BookTitle,1800)="","",INDEX(BookLevel,1800))</f>
        <v/>
      </c>
      <c r="G1805" s="40" t="str">
        <f aca="false">IF(INDEX(BookTitle,1800)="","",INDEX(BookCategory,1800))</f>
        <v/>
      </c>
      <c r="H1805" s="40" t="str">
        <f aca="false">IF(INDEX(BookTitle,1800)="","",INDEX(BookRank,1800))</f>
        <v/>
      </c>
      <c r="I1805" s="41" t="str">
        <f aca="false">IF(INDEX(BookTitle,1800)="","",INDEX(BookTotal,1800))</f>
        <v/>
      </c>
      <c r="J1805" s="0" t="str">
        <f aca="false">IF($I1805="","",IF(INDEX(BookQ1,1800)&gt;0,"Q1",IF(INDEX(BookQ2,1800)&gt;0,"Q2",IF(INDEX(BookQ3,1800)&gt;0,"Q3",IF(INDEX(BookQ4,1800)&gt;0,"Q4","")))))</f>
        <v/>
      </c>
      <c r="K1805" s="42" t="str">
        <f aca="false">IF(INDEX(BookTitle,1800)="","",INDEX(BookInYear,1800))</f>
        <v/>
      </c>
      <c r="L1805" s="19"/>
      <c r="M1805" s="39"/>
      <c r="N1805" s="19"/>
      <c r="O1805" s="19"/>
      <c r="P1805" s="43" t="str">
        <f aca="false">IF($E1805="","",IF($L1805="Decline",0,IF($L1805="Approve fewer",IF($M1805="","",$M1805),IF($L1805="","",$I1805))))</f>
        <v/>
      </c>
      <c r="Q1805" s="34" t="str">
        <f aca="false">IF($P1805="","",IF($N1805&lt;&gt;"",$N1805,$J1805))</f>
        <v/>
      </c>
      <c r="R1805" s="35" t="str">
        <f aca="false">IF(OR($P1805="",$Q1805=""),"",INDEX(BookRate,1800)*$P1805*(5-MATCH($Q1805,{"Q1";"Q2";"Q3";"Q4"},0))/4+INDEX(BookOneOff,1800)*$P1805)</f>
        <v/>
      </c>
      <c r="S1805" s="35" t="str">
        <f aca="false">IF($P1805="","",INDEX(BookRate,1800)*$P1805)</f>
        <v/>
      </c>
      <c r="T1805" s="35" t="str">
        <f aca="false">IF($R1805="","",$R1805-$K1805)</f>
        <v/>
      </c>
      <c r="U1805" s="35" t="str">
        <f aca="false">IF(N($P1805)&lt;=0,"",COUNTIF($P$6:$P1805,"&gt;0"))</f>
        <v/>
      </c>
    </row>
    <row r="1806" customFormat="false" ht="15" hidden="false" customHeight="false" outlineLevel="0" collapsed="false">
      <c r="A1806" s="40" t="str">
        <f aca="false">IF(INDEX(BookTitle,1801)="","",INDEX(BookGroup,1801))</f>
        <v/>
      </c>
      <c r="B1806" s="40" t="str">
        <f aca="false">IF(INDEX(BookTitle,1801)="","",INDEX(BookRef,1801))</f>
        <v/>
      </c>
      <c r="C1806" s="40" t="str">
        <f aca="false">IF(INDEX(BookTitle,1801)="","",INDEX(BookDivision,1801))</f>
        <v/>
      </c>
      <c r="D1806" s="40" t="str">
        <f aca="false">IF(INDEX(BookTitle,1801)="","",INDEX(BookUnit,1801))</f>
        <v/>
      </c>
      <c r="E1806" s="40" t="str">
        <f aca="false">IF(INDEX(BookTitle,1801)="","",INDEX(BookTitle,1801))</f>
        <v/>
      </c>
      <c r="F1806" s="40" t="str">
        <f aca="false">IF(INDEX(BookTitle,1801)="","",INDEX(BookLevel,1801))</f>
        <v/>
      </c>
      <c r="G1806" s="40" t="str">
        <f aca="false">IF(INDEX(BookTitle,1801)="","",INDEX(BookCategory,1801))</f>
        <v/>
      </c>
      <c r="H1806" s="40" t="str">
        <f aca="false">IF(INDEX(BookTitle,1801)="","",INDEX(BookRank,1801))</f>
        <v/>
      </c>
      <c r="I1806" s="41" t="str">
        <f aca="false">IF(INDEX(BookTitle,1801)="","",INDEX(BookTotal,1801))</f>
        <v/>
      </c>
      <c r="J1806" s="0" t="str">
        <f aca="false">IF($I1806="","",IF(INDEX(BookQ1,1801)&gt;0,"Q1",IF(INDEX(BookQ2,1801)&gt;0,"Q2",IF(INDEX(BookQ3,1801)&gt;0,"Q3",IF(INDEX(BookQ4,1801)&gt;0,"Q4","")))))</f>
        <v/>
      </c>
      <c r="K1806" s="42" t="str">
        <f aca="false">IF(INDEX(BookTitle,1801)="","",INDEX(BookInYear,1801))</f>
        <v/>
      </c>
      <c r="L1806" s="19"/>
      <c r="M1806" s="39"/>
      <c r="N1806" s="19"/>
      <c r="O1806" s="19"/>
      <c r="P1806" s="43" t="str">
        <f aca="false">IF($E1806="","",IF($L1806="Decline",0,IF($L1806="Approve fewer",IF($M1806="","",$M1806),IF($L1806="","",$I1806))))</f>
        <v/>
      </c>
      <c r="Q1806" s="34" t="str">
        <f aca="false">IF($P1806="","",IF($N1806&lt;&gt;"",$N1806,$J1806))</f>
        <v/>
      </c>
      <c r="R1806" s="35" t="str">
        <f aca="false">IF(OR($P1806="",$Q1806=""),"",INDEX(BookRate,1801)*$P1806*(5-MATCH($Q1806,{"Q1";"Q2";"Q3";"Q4"},0))/4+INDEX(BookOneOff,1801)*$P1806)</f>
        <v/>
      </c>
      <c r="S1806" s="35" t="str">
        <f aca="false">IF($P1806="","",INDEX(BookRate,1801)*$P1806)</f>
        <v/>
      </c>
      <c r="T1806" s="35" t="str">
        <f aca="false">IF($R1806="","",$R1806-$K1806)</f>
        <v/>
      </c>
      <c r="U1806" s="35" t="str">
        <f aca="false">IF(N($P1806)&lt;=0,"",COUNTIF($P$6:$P1806,"&gt;0"))</f>
        <v/>
      </c>
    </row>
    <row r="1807" customFormat="false" ht="15" hidden="false" customHeight="false" outlineLevel="0" collapsed="false">
      <c r="A1807" s="40" t="str">
        <f aca="false">IF(INDEX(BookTitle,1802)="","",INDEX(BookGroup,1802))</f>
        <v/>
      </c>
      <c r="B1807" s="40" t="str">
        <f aca="false">IF(INDEX(BookTitle,1802)="","",INDEX(BookRef,1802))</f>
        <v/>
      </c>
      <c r="C1807" s="40" t="str">
        <f aca="false">IF(INDEX(BookTitle,1802)="","",INDEX(BookDivision,1802))</f>
        <v/>
      </c>
      <c r="D1807" s="40" t="str">
        <f aca="false">IF(INDEX(BookTitle,1802)="","",INDEX(BookUnit,1802))</f>
        <v/>
      </c>
      <c r="E1807" s="40" t="str">
        <f aca="false">IF(INDEX(BookTitle,1802)="","",INDEX(BookTitle,1802))</f>
        <v/>
      </c>
      <c r="F1807" s="40" t="str">
        <f aca="false">IF(INDEX(BookTitle,1802)="","",INDEX(BookLevel,1802))</f>
        <v/>
      </c>
      <c r="G1807" s="40" t="str">
        <f aca="false">IF(INDEX(BookTitle,1802)="","",INDEX(BookCategory,1802))</f>
        <v/>
      </c>
      <c r="H1807" s="40" t="str">
        <f aca="false">IF(INDEX(BookTitle,1802)="","",INDEX(BookRank,1802))</f>
        <v/>
      </c>
      <c r="I1807" s="41" t="str">
        <f aca="false">IF(INDEX(BookTitle,1802)="","",INDEX(BookTotal,1802))</f>
        <v/>
      </c>
      <c r="J1807" s="0" t="str">
        <f aca="false">IF($I1807="","",IF(INDEX(BookQ1,1802)&gt;0,"Q1",IF(INDEX(BookQ2,1802)&gt;0,"Q2",IF(INDEX(BookQ3,1802)&gt;0,"Q3",IF(INDEX(BookQ4,1802)&gt;0,"Q4","")))))</f>
        <v/>
      </c>
      <c r="K1807" s="42" t="str">
        <f aca="false">IF(INDEX(BookTitle,1802)="","",INDEX(BookInYear,1802))</f>
        <v/>
      </c>
      <c r="L1807" s="19"/>
      <c r="M1807" s="39"/>
      <c r="N1807" s="19"/>
      <c r="O1807" s="19"/>
      <c r="P1807" s="43" t="str">
        <f aca="false">IF($E1807="","",IF($L1807="Decline",0,IF($L1807="Approve fewer",IF($M1807="","",$M1807),IF($L1807="","",$I1807))))</f>
        <v/>
      </c>
      <c r="Q1807" s="34" t="str">
        <f aca="false">IF($P1807="","",IF($N1807&lt;&gt;"",$N1807,$J1807))</f>
        <v/>
      </c>
      <c r="R1807" s="35" t="str">
        <f aca="false">IF(OR($P1807="",$Q1807=""),"",INDEX(BookRate,1802)*$P1807*(5-MATCH($Q1807,{"Q1";"Q2";"Q3";"Q4"},0))/4+INDEX(BookOneOff,1802)*$P1807)</f>
        <v/>
      </c>
      <c r="S1807" s="35" t="str">
        <f aca="false">IF($P1807="","",INDEX(BookRate,1802)*$P1807)</f>
        <v/>
      </c>
      <c r="T1807" s="35" t="str">
        <f aca="false">IF($R1807="","",$R1807-$K1807)</f>
        <v/>
      </c>
      <c r="U1807" s="35" t="str">
        <f aca="false">IF(N($P1807)&lt;=0,"",COUNTIF($P$6:$P1807,"&gt;0"))</f>
        <v/>
      </c>
    </row>
    <row r="1808" customFormat="false" ht="15" hidden="false" customHeight="false" outlineLevel="0" collapsed="false">
      <c r="A1808" s="40" t="str">
        <f aca="false">IF(INDEX(BookTitle,1803)="","",INDEX(BookGroup,1803))</f>
        <v/>
      </c>
      <c r="B1808" s="40" t="str">
        <f aca="false">IF(INDEX(BookTitle,1803)="","",INDEX(BookRef,1803))</f>
        <v/>
      </c>
      <c r="C1808" s="40" t="str">
        <f aca="false">IF(INDEX(BookTitle,1803)="","",INDEX(BookDivision,1803))</f>
        <v/>
      </c>
      <c r="D1808" s="40" t="str">
        <f aca="false">IF(INDEX(BookTitle,1803)="","",INDEX(BookUnit,1803))</f>
        <v/>
      </c>
      <c r="E1808" s="40" t="str">
        <f aca="false">IF(INDEX(BookTitle,1803)="","",INDEX(BookTitle,1803))</f>
        <v/>
      </c>
      <c r="F1808" s="40" t="str">
        <f aca="false">IF(INDEX(BookTitle,1803)="","",INDEX(BookLevel,1803))</f>
        <v/>
      </c>
      <c r="G1808" s="40" t="str">
        <f aca="false">IF(INDEX(BookTitle,1803)="","",INDEX(BookCategory,1803))</f>
        <v/>
      </c>
      <c r="H1808" s="40" t="str">
        <f aca="false">IF(INDEX(BookTitle,1803)="","",INDEX(BookRank,1803))</f>
        <v/>
      </c>
      <c r="I1808" s="41" t="str">
        <f aca="false">IF(INDEX(BookTitle,1803)="","",INDEX(BookTotal,1803))</f>
        <v/>
      </c>
      <c r="J1808" s="0" t="str">
        <f aca="false">IF($I1808="","",IF(INDEX(BookQ1,1803)&gt;0,"Q1",IF(INDEX(BookQ2,1803)&gt;0,"Q2",IF(INDEX(BookQ3,1803)&gt;0,"Q3",IF(INDEX(BookQ4,1803)&gt;0,"Q4","")))))</f>
        <v/>
      </c>
      <c r="K1808" s="42" t="str">
        <f aca="false">IF(INDEX(BookTitle,1803)="","",INDEX(BookInYear,1803))</f>
        <v/>
      </c>
      <c r="L1808" s="19"/>
      <c r="M1808" s="39"/>
      <c r="N1808" s="19"/>
      <c r="O1808" s="19"/>
      <c r="P1808" s="43" t="str">
        <f aca="false">IF($E1808="","",IF($L1808="Decline",0,IF($L1808="Approve fewer",IF($M1808="","",$M1808),IF($L1808="","",$I1808))))</f>
        <v/>
      </c>
      <c r="Q1808" s="34" t="str">
        <f aca="false">IF($P1808="","",IF($N1808&lt;&gt;"",$N1808,$J1808))</f>
        <v/>
      </c>
      <c r="R1808" s="35" t="str">
        <f aca="false">IF(OR($P1808="",$Q1808=""),"",INDEX(BookRate,1803)*$P1808*(5-MATCH($Q1808,{"Q1";"Q2";"Q3";"Q4"},0))/4+INDEX(BookOneOff,1803)*$P1808)</f>
        <v/>
      </c>
      <c r="S1808" s="35" t="str">
        <f aca="false">IF($P1808="","",INDEX(BookRate,1803)*$P1808)</f>
        <v/>
      </c>
      <c r="T1808" s="35" t="str">
        <f aca="false">IF($R1808="","",$R1808-$K1808)</f>
        <v/>
      </c>
      <c r="U1808" s="35" t="str">
        <f aca="false">IF(N($P1808)&lt;=0,"",COUNTIF($P$6:$P1808,"&gt;0"))</f>
        <v/>
      </c>
    </row>
    <row r="1809" customFormat="false" ht="15" hidden="false" customHeight="false" outlineLevel="0" collapsed="false">
      <c r="A1809" s="40" t="str">
        <f aca="false">IF(INDEX(BookTitle,1804)="","",INDEX(BookGroup,1804))</f>
        <v/>
      </c>
      <c r="B1809" s="40" t="str">
        <f aca="false">IF(INDEX(BookTitle,1804)="","",INDEX(BookRef,1804))</f>
        <v/>
      </c>
      <c r="C1809" s="40" t="str">
        <f aca="false">IF(INDEX(BookTitle,1804)="","",INDEX(BookDivision,1804))</f>
        <v/>
      </c>
      <c r="D1809" s="40" t="str">
        <f aca="false">IF(INDEX(BookTitle,1804)="","",INDEX(BookUnit,1804))</f>
        <v/>
      </c>
      <c r="E1809" s="40" t="str">
        <f aca="false">IF(INDEX(BookTitle,1804)="","",INDEX(BookTitle,1804))</f>
        <v/>
      </c>
      <c r="F1809" s="40" t="str">
        <f aca="false">IF(INDEX(BookTitle,1804)="","",INDEX(BookLevel,1804))</f>
        <v/>
      </c>
      <c r="G1809" s="40" t="str">
        <f aca="false">IF(INDEX(BookTitle,1804)="","",INDEX(BookCategory,1804))</f>
        <v/>
      </c>
      <c r="H1809" s="40" t="str">
        <f aca="false">IF(INDEX(BookTitle,1804)="","",INDEX(BookRank,1804))</f>
        <v/>
      </c>
      <c r="I1809" s="41" t="str">
        <f aca="false">IF(INDEX(BookTitle,1804)="","",INDEX(BookTotal,1804))</f>
        <v/>
      </c>
      <c r="J1809" s="0" t="str">
        <f aca="false">IF($I1809="","",IF(INDEX(BookQ1,1804)&gt;0,"Q1",IF(INDEX(BookQ2,1804)&gt;0,"Q2",IF(INDEX(BookQ3,1804)&gt;0,"Q3",IF(INDEX(BookQ4,1804)&gt;0,"Q4","")))))</f>
        <v/>
      </c>
      <c r="K1809" s="42" t="str">
        <f aca="false">IF(INDEX(BookTitle,1804)="","",INDEX(BookInYear,1804))</f>
        <v/>
      </c>
      <c r="L1809" s="19"/>
      <c r="M1809" s="39"/>
      <c r="N1809" s="19"/>
      <c r="O1809" s="19"/>
      <c r="P1809" s="43" t="str">
        <f aca="false">IF($E1809="","",IF($L1809="Decline",0,IF($L1809="Approve fewer",IF($M1809="","",$M1809),IF($L1809="","",$I1809))))</f>
        <v/>
      </c>
      <c r="Q1809" s="34" t="str">
        <f aca="false">IF($P1809="","",IF($N1809&lt;&gt;"",$N1809,$J1809))</f>
        <v/>
      </c>
      <c r="R1809" s="35" t="str">
        <f aca="false">IF(OR($P1809="",$Q1809=""),"",INDEX(BookRate,1804)*$P1809*(5-MATCH($Q1809,{"Q1";"Q2";"Q3";"Q4"},0))/4+INDEX(BookOneOff,1804)*$P1809)</f>
        <v/>
      </c>
      <c r="S1809" s="35" t="str">
        <f aca="false">IF($P1809="","",INDEX(BookRate,1804)*$P1809)</f>
        <v/>
      </c>
      <c r="T1809" s="35" t="str">
        <f aca="false">IF($R1809="","",$R1809-$K1809)</f>
        <v/>
      </c>
      <c r="U1809" s="35" t="str">
        <f aca="false">IF(N($P1809)&lt;=0,"",COUNTIF($P$6:$P1809,"&gt;0"))</f>
        <v/>
      </c>
    </row>
    <row r="1810" customFormat="false" ht="15" hidden="false" customHeight="false" outlineLevel="0" collapsed="false">
      <c r="A1810" s="40" t="str">
        <f aca="false">IF(INDEX(BookTitle,1805)="","",INDEX(BookGroup,1805))</f>
        <v/>
      </c>
      <c r="B1810" s="40" t="str">
        <f aca="false">IF(INDEX(BookTitle,1805)="","",INDEX(BookRef,1805))</f>
        <v/>
      </c>
      <c r="C1810" s="40" t="str">
        <f aca="false">IF(INDEX(BookTitle,1805)="","",INDEX(BookDivision,1805))</f>
        <v/>
      </c>
      <c r="D1810" s="40" t="str">
        <f aca="false">IF(INDEX(BookTitle,1805)="","",INDEX(BookUnit,1805))</f>
        <v/>
      </c>
      <c r="E1810" s="40" t="str">
        <f aca="false">IF(INDEX(BookTitle,1805)="","",INDEX(BookTitle,1805))</f>
        <v/>
      </c>
      <c r="F1810" s="40" t="str">
        <f aca="false">IF(INDEX(BookTitle,1805)="","",INDEX(BookLevel,1805))</f>
        <v/>
      </c>
      <c r="G1810" s="40" t="str">
        <f aca="false">IF(INDEX(BookTitle,1805)="","",INDEX(BookCategory,1805))</f>
        <v/>
      </c>
      <c r="H1810" s="40" t="str">
        <f aca="false">IF(INDEX(BookTitle,1805)="","",INDEX(BookRank,1805))</f>
        <v/>
      </c>
      <c r="I1810" s="41" t="str">
        <f aca="false">IF(INDEX(BookTitle,1805)="","",INDEX(BookTotal,1805))</f>
        <v/>
      </c>
      <c r="J1810" s="0" t="str">
        <f aca="false">IF($I1810="","",IF(INDEX(BookQ1,1805)&gt;0,"Q1",IF(INDEX(BookQ2,1805)&gt;0,"Q2",IF(INDEX(BookQ3,1805)&gt;0,"Q3",IF(INDEX(BookQ4,1805)&gt;0,"Q4","")))))</f>
        <v/>
      </c>
      <c r="K1810" s="42" t="str">
        <f aca="false">IF(INDEX(BookTitle,1805)="","",INDEX(BookInYear,1805))</f>
        <v/>
      </c>
      <c r="L1810" s="19"/>
      <c r="M1810" s="39"/>
      <c r="N1810" s="19"/>
      <c r="O1810" s="19"/>
      <c r="P1810" s="43" t="str">
        <f aca="false">IF($E1810="","",IF($L1810="Decline",0,IF($L1810="Approve fewer",IF($M1810="","",$M1810),IF($L1810="","",$I1810))))</f>
        <v/>
      </c>
      <c r="Q1810" s="34" t="str">
        <f aca="false">IF($P1810="","",IF($N1810&lt;&gt;"",$N1810,$J1810))</f>
        <v/>
      </c>
      <c r="R1810" s="35" t="str">
        <f aca="false">IF(OR($P1810="",$Q1810=""),"",INDEX(BookRate,1805)*$P1810*(5-MATCH($Q1810,{"Q1";"Q2";"Q3";"Q4"},0))/4+INDEX(BookOneOff,1805)*$P1810)</f>
        <v/>
      </c>
      <c r="S1810" s="35" t="str">
        <f aca="false">IF($P1810="","",INDEX(BookRate,1805)*$P1810)</f>
        <v/>
      </c>
      <c r="T1810" s="35" t="str">
        <f aca="false">IF($R1810="","",$R1810-$K1810)</f>
        <v/>
      </c>
      <c r="U1810" s="35" t="str">
        <f aca="false">IF(N($P1810)&lt;=0,"",COUNTIF($P$6:$P1810,"&gt;0"))</f>
        <v/>
      </c>
    </row>
    <row r="1811" customFormat="false" ht="15" hidden="false" customHeight="false" outlineLevel="0" collapsed="false">
      <c r="A1811" s="40" t="str">
        <f aca="false">IF(INDEX(BookTitle,1806)="","",INDEX(BookGroup,1806))</f>
        <v/>
      </c>
      <c r="B1811" s="40" t="str">
        <f aca="false">IF(INDEX(BookTitle,1806)="","",INDEX(BookRef,1806))</f>
        <v/>
      </c>
      <c r="C1811" s="40" t="str">
        <f aca="false">IF(INDEX(BookTitle,1806)="","",INDEX(BookDivision,1806))</f>
        <v/>
      </c>
      <c r="D1811" s="40" t="str">
        <f aca="false">IF(INDEX(BookTitle,1806)="","",INDEX(BookUnit,1806))</f>
        <v/>
      </c>
      <c r="E1811" s="40" t="str">
        <f aca="false">IF(INDEX(BookTitle,1806)="","",INDEX(BookTitle,1806))</f>
        <v/>
      </c>
      <c r="F1811" s="40" t="str">
        <f aca="false">IF(INDEX(BookTitle,1806)="","",INDEX(BookLevel,1806))</f>
        <v/>
      </c>
      <c r="G1811" s="40" t="str">
        <f aca="false">IF(INDEX(BookTitle,1806)="","",INDEX(BookCategory,1806))</f>
        <v/>
      </c>
      <c r="H1811" s="40" t="str">
        <f aca="false">IF(INDEX(BookTitle,1806)="","",INDEX(BookRank,1806))</f>
        <v/>
      </c>
      <c r="I1811" s="41" t="str">
        <f aca="false">IF(INDEX(BookTitle,1806)="","",INDEX(BookTotal,1806))</f>
        <v/>
      </c>
      <c r="J1811" s="0" t="str">
        <f aca="false">IF($I1811="","",IF(INDEX(BookQ1,1806)&gt;0,"Q1",IF(INDEX(BookQ2,1806)&gt;0,"Q2",IF(INDEX(BookQ3,1806)&gt;0,"Q3",IF(INDEX(BookQ4,1806)&gt;0,"Q4","")))))</f>
        <v/>
      </c>
      <c r="K1811" s="42" t="str">
        <f aca="false">IF(INDEX(BookTitle,1806)="","",INDEX(BookInYear,1806))</f>
        <v/>
      </c>
      <c r="L1811" s="19"/>
      <c r="M1811" s="39"/>
      <c r="N1811" s="19"/>
      <c r="O1811" s="19"/>
      <c r="P1811" s="43" t="str">
        <f aca="false">IF($E1811="","",IF($L1811="Decline",0,IF($L1811="Approve fewer",IF($M1811="","",$M1811),IF($L1811="","",$I1811))))</f>
        <v/>
      </c>
      <c r="Q1811" s="34" t="str">
        <f aca="false">IF($P1811="","",IF($N1811&lt;&gt;"",$N1811,$J1811))</f>
        <v/>
      </c>
      <c r="R1811" s="35" t="str">
        <f aca="false">IF(OR($P1811="",$Q1811=""),"",INDEX(BookRate,1806)*$P1811*(5-MATCH($Q1811,{"Q1";"Q2";"Q3";"Q4"},0))/4+INDEX(BookOneOff,1806)*$P1811)</f>
        <v/>
      </c>
      <c r="S1811" s="35" t="str">
        <f aca="false">IF($P1811="","",INDEX(BookRate,1806)*$P1811)</f>
        <v/>
      </c>
      <c r="T1811" s="35" t="str">
        <f aca="false">IF($R1811="","",$R1811-$K1811)</f>
        <v/>
      </c>
      <c r="U1811" s="35" t="str">
        <f aca="false">IF(N($P1811)&lt;=0,"",COUNTIF($P$6:$P1811,"&gt;0"))</f>
        <v/>
      </c>
    </row>
    <row r="1812" customFormat="false" ht="15" hidden="false" customHeight="false" outlineLevel="0" collapsed="false">
      <c r="A1812" s="40" t="str">
        <f aca="false">IF(INDEX(BookTitle,1807)="","",INDEX(BookGroup,1807))</f>
        <v/>
      </c>
      <c r="B1812" s="40" t="str">
        <f aca="false">IF(INDEX(BookTitle,1807)="","",INDEX(BookRef,1807))</f>
        <v/>
      </c>
      <c r="C1812" s="40" t="str">
        <f aca="false">IF(INDEX(BookTitle,1807)="","",INDEX(BookDivision,1807))</f>
        <v/>
      </c>
      <c r="D1812" s="40" t="str">
        <f aca="false">IF(INDEX(BookTitle,1807)="","",INDEX(BookUnit,1807))</f>
        <v/>
      </c>
      <c r="E1812" s="40" t="str">
        <f aca="false">IF(INDEX(BookTitle,1807)="","",INDEX(BookTitle,1807))</f>
        <v/>
      </c>
      <c r="F1812" s="40" t="str">
        <f aca="false">IF(INDEX(BookTitle,1807)="","",INDEX(BookLevel,1807))</f>
        <v/>
      </c>
      <c r="G1812" s="40" t="str">
        <f aca="false">IF(INDEX(BookTitle,1807)="","",INDEX(BookCategory,1807))</f>
        <v/>
      </c>
      <c r="H1812" s="40" t="str">
        <f aca="false">IF(INDEX(BookTitle,1807)="","",INDEX(BookRank,1807))</f>
        <v/>
      </c>
      <c r="I1812" s="41" t="str">
        <f aca="false">IF(INDEX(BookTitle,1807)="","",INDEX(BookTotal,1807))</f>
        <v/>
      </c>
      <c r="J1812" s="0" t="str">
        <f aca="false">IF($I1812="","",IF(INDEX(BookQ1,1807)&gt;0,"Q1",IF(INDEX(BookQ2,1807)&gt;0,"Q2",IF(INDEX(BookQ3,1807)&gt;0,"Q3",IF(INDEX(BookQ4,1807)&gt;0,"Q4","")))))</f>
        <v/>
      </c>
      <c r="K1812" s="42" t="str">
        <f aca="false">IF(INDEX(BookTitle,1807)="","",INDEX(BookInYear,1807))</f>
        <v/>
      </c>
      <c r="L1812" s="19"/>
      <c r="M1812" s="39"/>
      <c r="N1812" s="19"/>
      <c r="O1812" s="19"/>
      <c r="P1812" s="43" t="str">
        <f aca="false">IF($E1812="","",IF($L1812="Decline",0,IF($L1812="Approve fewer",IF($M1812="","",$M1812),IF($L1812="","",$I1812))))</f>
        <v/>
      </c>
      <c r="Q1812" s="34" t="str">
        <f aca="false">IF($P1812="","",IF($N1812&lt;&gt;"",$N1812,$J1812))</f>
        <v/>
      </c>
      <c r="R1812" s="35" t="str">
        <f aca="false">IF(OR($P1812="",$Q1812=""),"",INDEX(BookRate,1807)*$P1812*(5-MATCH($Q1812,{"Q1";"Q2";"Q3";"Q4"},0))/4+INDEX(BookOneOff,1807)*$P1812)</f>
        <v/>
      </c>
      <c r="S1812" s="35" t="str">
        <f aca="false">IF($P1812="","",INDEX(BookRate,1807)*$P1812)</f>
        <v/>
      </c>
      <c r="T1812" s="35" t="str">
        <f aca="false">IF($R1812="","",$R1812-$K1812)</f>
        <v/>
      </c>
      <c r="U1812" s="35" t="str">
        <f aca="false">IF(N($P1812)&lt;=0,"",COUNTIF($P$6:$P1812,"&gt;0"))</f>
        <v/>
      </c>
    </row>
    <row r="1813" customFormat="false" ht="15" hidden="false" customHeight="false" outlineLevel="0" collapsed="false">
      <c r="A1813" s="40" t="str">
        <f aca="false">IF(INDEX(BookTitle,1808)="","",INDEX(BookGroup,1808))</f>
        <v/>
      </c>
      <c r="B1813" s="40" t="str">
        <f aca="false">IF(INDEX(BookTitle,1808)="","",INDEX(BookRef,1808))</f>
        <v/>
      </c>
      <c r="C1813" s="40" t="str">
        <f aca="false">IF(INDEX(BookTitle,1808)="","",INDEX(BookDivision,1808))</f>
        <v/>
      </c>
      <c r="D1813" s="40" t="str">
        <f aca="false">IF(INDEX(BookTitle,1808)="","",INDEX(BookUnit,1808))</f>
        <v/>
      </c>
      <c r="E1813" s="40" t="str">
        <f aca="false">IF(INDEX(BookTitle,1808)="","",INDEX(BookTitle,1808))</f>
        <v/>
      </c>
      <c r="F1813" s="40" t="str">
        <f aca="false">IF(INDEX(BookTitle,1808)="","",INDEX(BookLevel,1808))</f>
        <v/>
      </c>
      <c r="G1813" s="40" t="str">
        <f aca="false">IF(INDEX(BookTitle,1808)="","",INDEX(BookCategory,1808))</f>
        <v/>
      </c>
      <c r="H1813" s="40" t="str">
        <f aca="false">IF(INDEX(BookTitle,1808)="","",INDEX(BookRank,1808))</f>
        <v/>
      </c>
      <c r="I1813" s="41" t="str">
        <f aca="false">IF(INDEX(BookTitle,1808)="","",INDEX(BookTotal,1808))</f>
        <v/>
      </c>
      <c r="J1813" s="0" t="str">
        <f aca="false">IF($I1813="","",IF(INDEX(BookQ1,1808)&gt;0,"Q1",IF(INDEX(BookQ2,1808)&gt;0,"Q2",IF(INDEX(BookQ3,1808)&gt;0,"Q3",IF(INDEX(BookQ4,1808)&gt;0,"Q4","")))))</f>
        <v/>
      </c>
      <c r="K1813" s="42" t="str">
        <f aca="false">IF(INDEX(BookTitle,1808)="","",INDEX(BookInYear,1808))</f>
        <v/>
      </c>
      <c r="L1813" s="19"/>
      <c r="M1813" s="39"/>
      <c r="N1813" s="19"/>
      <c r="O1813" s="19"/>
      <c r="P1813" s="43" t="str">
        <f aca="false">IF($E1813="","",IF($L1813="Decline",0,IF($L1813="Approve fewer",IF($M1813="","",$M1813),IF($L1813="","",$I1813))))</f>
        <v/>
      </c>
      <c r="Q1813" s="34" t="str">
        <f aca="false">IF($P1813="","",IF($N1813&lt;&gt;"",$N1813,$J1813))</f>
        <v/>
      </c>
      <c r="R1813" s="35" t="str">
        <f aca="false">IF(OR($P1813="",$Q1813=""),"",INDEX(BookRate,1808)*$P1813*(5-MATCH($Q1813,{"Q1";"Q2";"Q3";"Q4"},0))/4+INDEX(BookOneOff,1808)*$P1813)</f>
        <v/>
      </c>
      <c r="S1813" s="35" t="str">
        <f aca="false">IF($P1813="","",INDEX(BookRate,1808)*$P1813)</f>
        <v/>
      </c>
      <c r="T1813" s="35" t="str">
        <f aca="false">IF($R1813="","",$R1813-$K1813)</f>
        <v/>
      </c>
      <c r="U1813" s="35" t="str">
        <f aca="false">IF(N($P1813)&lt;=0,"",COUNTIF($P$6:$P1813,"&gt;0"))</f>
        <v/>
      </c>
    </row>
    <row r="1814" customFormat="false" ht="15" hidden="false" customHeight="false" outlineLevel="0" collapsed="false">
      <c r="A1814" s="40" t="str">
        <f aca="false">IF(INDEX(BookTitle,1809)="","",INDEX(BookGroup,1809))</f>
        <v/>
      </c>
      <c r="B1814" s="40" t="str">
        <f aca="false">IF(INDEX(BookTitle,1809)="","",INDEX(BookRef,1809))</f>
        <v/>
      </c>
      <c r="C1814" s="40" t="str">
        <f aca="false">IF(INDEX(BookTitle,1809)="","",INDEX(BookDivision,1809))</f>
        <v/>
      </c>
      <c r="D1814" s="40" t="str">
        <f aca="false">IF(INDEX(BookTitle,1809)="","",INDEX(BookUnit,1809))</f>
        <v/>
      </c>
      <c r="E1814" s="40" t="str">
        <f aca="false">IF(INDEX(BookTitle,1809)="","",INDEX(BookTitle,1809))</f>
        <v/>
      </c>
      <c r="F1814" s="40" t="str">
        <f aca="false">IF(INDEX(BookTitle,1809)="","",INDEX(BookLevel,1809))</f>
        <v/>
      </c>
      <c r="G1814" s="40" t="str">
        <f aca="false">IF(INDEX(BookTitle,1809)="","",INDEX(BookCategory,1809))</f>
        <v/>
      </c>
      <c r="H1814" s="40" t="str">
        <f aca="false">IF(INDEX(BookTitle,1809)="","",INDEX(BookRank,1809))</f>
        <v/>
      </c>
      <c r="I1814" s="41" t="str">
        <f aca="false">IF(INDEX(BookTitle,1809)="","",INDEX(BookTotal,1809))</f>
        <v/>
      </c>
      <c r="J1814" s="0" t="str">
        <f aca="false">IF($I1814="","",IF(INDEX(BookQ1,1809)&gt;0,"Q1",IF(INDEX(BookQ2,1809)&gt;0,"Q2",IF(INDEX(BookQ3,1809)&gt;0,"Q3",IF(INDEX(BookQ4,1809)&gt;0,"Q4","")))))</f>
        <v/>
      </c>
      <c r="K1814" s="42" t="str">
        <f aca="false">IF(INDEX(BookTitle,1809)="","",INDEX(BookInYear,1809))</f>
        <v/>
      </c>
      <c r="L1814" s="19"/>
      <c r="M1814" s="39"/>
      <c r="N1814" s="19"/>
      <c r="O1814" s="19"/>
      <c r="P1814" s="43" t="str">
        <f aca="false">IF($E1814="","",IF($L1814="Decline",0,IF($L1814="Approve fewer",IF($M1814="","",$M1814),IF($L1814="","",$I1814))))</f>
        <v/>
      </c>
      <c r="Q1814" s="34" t="str">
        <f aca="false">IF($P1814="","",IF($N1814&lt;&gt;"",$N1814,$J1814))</f>
        <v/>
      </c>
      <c r="R1814" s="35" t="str">
        <f aca="false">IF(OR($P1814="",$Q1814=""),"",INDEX(BookRate,1809)*$P1814*(5-MATCH($Q1814,{"Q1";"Q2";"Q3";"Q4"},0))/4+INDEX(BookOneOff,1809)*$P1814)</f>
        <v/>
      </c>
      <c r="S1814" s="35" t="str">
        <f aca="false">IF($P1814="","",INDEX(BookRate,1809)*$P1814)</f>
        <v/>
      </c>
      <c r="T1814" s="35" t="str">
        <f aca="false">IF($R1814="","",$R1814-$K1814)</f>
        <v/>
      </c>
      <c r="U1814" s="35" t="str">
        <f aca="false">IF(N($P1814)&lt;=0,"",COUNTIF($P$6:$P1814,"&gt;0"))</f>
        <v/>
      </c>
    </row>
    <row r="1815" customFormat="false" ht="15" hidden="false" customHeight="false" outlineLevel="0" collapsed="false">
      <c r="A1815" s="40" t="str">
        <f aca="false">IF(INDEX(BookTitle,1810)="","",INDEX(BookGroup,1810))</f>
        <v/>
      </c>
      <c r="B1815" s="40" t="str">
        <f aca="false">IF(INDEX(BookTitle,1810)="","",INDEX(BookRef,1810))</f>
        <v/>
      </c>
      <c r="C1815" s="40" t="str">
        <f aca="false">IF(INDEX(BookTitle,1810)="","",INDEX(BookDivision,1810))</f>
        <v/>
      </c>
      <c r="D1815" s="40" t="str">
        <f aca="false">IF(INDEX(BookTitle,1810)="","",INDEX(BookUnit,1810))</f>
        <v/>
      </c>
      <c r="E1815" s="40" t="str">
        <f aca="false">IF(INDEX(BookTitle,1810)="","",INDEX(BookTitle,1810))</f>
        <v/>
      </c>
      <c r="F1815" s="40" t="str">
        <f aca="false">IF(INDEX(BookTitle,1810)="","",INDEX(BookLevel,1810))</f>
        <v/>
      </c>
      <c r="G1815" s="40" t="str">
        <f aca="false">IF(INDEX(BookTitle,1810)="","",INDEX(BookCategory,1810))</f>
        <v/>
      </c>
      <c r="H1815" s="40" t="str">
        <f aca="false">IF(INDEX(BookTitle,1810)="","",INDEX(BookRank,1810))</f>
        <v/>
      </c>
      <c r="I1815" s="41" t="str">
        <f aca="false">IF(INDEX(BookTitle,1810)="","",INDEX(BookTotal,1810))</f>
        <v/>
      </c>
      <c r="J1815" s="0" t="str">
        <f aca="false">IF($I1815="","",IF(INDEX(BookQ1,1810)&gt;0,"Q1",IF(INDEX(BookQ2,1810)&gt;0,"Q2",IF(INDEX(BookQ3,1810)&gt;0,"Q3",IF(INDEX(BookQ4,1810)&gt;0,"Q4","")))))</f>
        <v/>
      </c>
      <c r="K1815" s="42" t="str">
        <f aca="false">IF(INDEX(BookTitle,1810)="","",INDEX(BookInYear,1810))</f>
        <v/>
      </c>
      <c r="L1815" s="19"/>
      <c r="M1815" s="39"/>
      <c r="N1815" s="19"/>
      <c r="O1815" s="19"/>
      <c r="P1815" s="43" t="str">
        <f aca="false">IF($E1815="","",IF($L1815="Decline",0,IF($L1815="Approve fewer",IF($M1815="","",$M1815),IF($L1815="","",$I1815))))</f>
        <v/>
      </c>
      <c r="Q1815" s="34" t="str">
        <f aca="false">IF($P1815="","",IF($N1815&lt;&gt;"",$N1815,$J1815))</f>
        <v/>
      </c>
      <c r="R1815" s="35" t="str">
        <f aca="false">IF(OR($P1815="",$Q1815=""),"",INDEX(BookRate,1810)*$P1815*(5-MATCH($Q1815,{"Q1";"Q2";"Q3";"Q4"},0))/4+INDEX(BookOneOff,1810)*$P1815)</f>
        <v/>
      </c>
      <c r="S1815" s="35" t="str">
        <f aca="false">IF($P1815="","",INDEX(BookRate,1810)*$P1815)</f>
        <v/>
      </c>
      <c r="T1815" s="35" t="str">
        <f aca="false">IF($R1815="","",$R1815-$K1815)</f>
        <v/>
      </c>
      <c r="U1815" s="35" t="str">
        <f aca="false">IF(N($P1815)&lt;=0,"",COUNTIF($P$6:$P1815,"&gt;0"))</f>
        <v/>
      </c>
    </row>
    <row r="1816" customFormat="false" ht="15" hidden="false" customHeight="false" outlineLevel="0" collapsed="false">
      <c r="A1816" s="40" t="str">
        <f aca="false">IF(INDEX(BookTitle,1811)="","",INDEX(BookGroup,1811))</f>
        <v/>
      </c>
      <c r="B1816" s="40" t="str">
        <f aca="false">IF(INDEX(BookTitle,1811)="","",INDEX(BookRef,1811))</f>
        <v/>
      </c>
      <c r="C1816" s="40" t="str">
        <f aca="false">IF(INDEX(BookTitle,1811)="","",INDEX(BookDivision,1811))</f>
        <v/>
      </c>
      <c r="D1816" s="40" t="str">
        <f aca="false">IF(INDEX(BookTitle,1811)="","",INDEX(BookUnit,1811))</f>
        <v/>
      </c>
      <c r="E1816" s="40" t="str">
        <f aca="false">IF(INDEX(BookTitle,1811)="","",INDEX(BookTitle,1811))</f>
        <v/>
      </c>
      <c r="F1816" s="40" t="str">
        <f aca="false">IF(INDEX(BookTitle,1811)="","",INDEX(BookLevel,1811))</f>
        <v/>
      </c>
      <c r="G1816" s="40" t="str">
        <f aca="false">IF(INDEX(BookTitle,1811)="","",INDEX(BookCategory,1811))</f>
        <v/>
      </c>
      <c r="H1816" s="40" t="str">
        <f aca="false">IF(INDEX(BookTitle,1811)="","",INDEX(BookRank,1811))</f>
        <v/>
      </c>
      <c r="I1816" s="41" t="str">
        <f aca="false">IF(INDEX(BookTitle,1811)="","",INDEX(BookTotal,1811))</f>
        <v/>
      </c>
      <c r="J1816" s="0" t="str">
        <f aca="false">IF($I1816="","",IF(INDEX(BookQ1,1811)&gt;0,"Q1",IF(INDEX(BookQ2,1811)&gt;0,"Q2",IF(INDEX(BookQ3,1811)&gt;0,"Q3",IF(INDEX(BookQ4,1811)&gt;0,"Q4","")))))</f>
        <v/>
      </c>
      <c r="K1816" s="42" t="str">
        <f aca="false">IF(INDEX(BookTitle,1811)="","",INDEX(BookInYear,1811))</f>
        <v/>
      </c>
      <c r="L1816" s="19"/>
      <c r="M1816" s="39"/>
      <c r="N1816" s="19"/>
      <c r="O1816" s="19"/>
      <c r="P1816" s="43" t="str">
        <f aca="false">IF($E1816="","",IF($L1816="Decline",0,IF($L1816="Approve fewer",IF($M1816="","",$M1816),IF($L1816="","",$I1816))))</f>
        <v/>
      </c>
      <c r="Q1816" s="34" t="str">
        <f aca="false">IF($P1816="","",IF($N1816&lt;&gt;"",$N1816,$J1816))</f>
        <v/>
      </c>
      <c r="R1816" s="35" t="str">
        <f aca="false">IF(OR($P1816="",$Q1816=""),"",INDEX(BookRate,1811)*$P1816*(5-MATCH($Q1816,{"Q1";"Q2";"Q3";"Q4"},0))/4+INDEX(BookOneOff,1811)*$P1816)</f>
        <v/>
      </c>
      <c r="S1816" s="35" t="str">
        <f aca="false">IF($P1816="","",INDEX(BookRate,1811)*$P1816)</f>
        <v/>
      </c>
      <c r="T1816" s="35" t="str">
        <f aca="false">IF($R1816="","",$R1816-$K1816)</f>
        <v/>
      </c>
      <c r="U1816" s="35" t="str">
        <f aca="false">IF(N($P1816)&lt;=0,"",COUNTIF($P$6:$P1816,"&gt;0"))</f>
        <v/>
      </c>
    </row>
    <row r="1817" customFormat="false" ht="15" hidden="false" customHeight="false" outlineLevel="0" collapsed="false">
      <c r="A1817" s="40" t="str">
        <f aca="false">IF(INDEX(BookTitle,1812)="","",INDEX(BookGroup,1812))</f>
        <v/>
      </c>
      <c r="B1817" s="40" t="str">
        <f aca="false">IF(INDEX(BookTitle,1812)="","",INDEX(BookRef,1812))</f>
        <v/>
      </c>
      <c r="C1817" s="40" t="str">
        <f aca="false">IF(INDEX(BookTitle,1812)="","",INDEX(BookDivision,1812))</f>
        <v/>
      </c>
      <c r="D1817" s="40" t="str">
        <f aca="false">IF(INDEX(BookTitle,1812)="","",INDEX(BookUnit,1812))</f>
        <v/>
      </c>
      <c r="E1817" s="40" t="str">
        <f aca="false">IF(INDEX(BookTitle,1812)="","",INDEX(BookTitle,1812))</f>
        <v/>
      </c>
      <c r="F1817" s="40" t="str">
        <f aca="false">IF(INDEX(BookTitle,1812)="","",INDEX(BookLevel,1812))</f>
        <v/>
      </c>
      <c r="G1817" s="40" t="str">
        <f aca="false">IF(INDEX(BookTitle,1812)="","",INDEX(BookCategory,1812))</f>
        <v/>
      </c>
      <c r="H1817" s="40" t="str">
        <f aca="false">IF(INDEX(BookTitle,1812)="","",INDEX(BookRank,1812))</f>
        <v/>
      </c>
      <c r="I1817" s="41" t="str">
        <f aca="false">IF(INDEX(BookTitle,1812)="","",INDEX(BookTotal,1812))</f>
        <v/>
      </c>
      <c r="J1817" s="0" t="str">
        <f aca="false">IF($I1817="","",IF(INDEX(BookQ1,1812)&gt;0,"Q1",IF(INDEX(BookQ2,1812)&gt;0,"Q2",IF(INDEX(BookQ3,1812)&gt;0,"Q3",IF(INDEX(BookQ4,1812)&gt;0,"Q4","")))))</f>
        <v/>
      </c>
      <c r="K1817" s="42" t="str">
        <f aca="false">IF(INDEX(BookTitle,1812)="","",INDEX(BookInYear,1812))</f>
        <v/>
      </c>
      <c r="L1817" s="19"/>
      <c r="M1817" s="39"/>
      <c r="N1817" s="19"/>
      <c r="O1817" s="19"/>
      <c r="P1817" s="43" t="str">
        <f aca="false">IF($E1817="","",IF($L1817="Decline",0,IF($L1817="Approve fewer",IF($M1817="","",$M1817),IF($L1817="","",$I1817))))</f>
        <v/>
      </c>
      <c r="Q1817" s="34" t="str">
        <f aca="false">IF($P1817="","",IF($N1817&lt;&gt;"",$N1817,$J1817))</f>
        <v/>
      </c>
      <c r="R1817" s="35" t="str">
        <f aca="false">IF(OR($P1817="",$Q1817=""),"",INDEX(BookRate,1812)*$P1817*(5-MATCH($Q1817,{"Q1";"Q2";"Q3";"Q4"},0))/4+INDEX(BookOneOff,1812)*$P1817)</f>
        <v/>
      </c>
      <c r="S1817" s="35" t="str">
        <f aca="false">IF($P1817="","",INDEX(BookRate,1812)*$P1817)</f>
        <v/>
      </c>
      <c r="T1817" s="35" t="str">
        <f aca="false">IF($R1817="","",$R1817-$K1817)</f>
        <v/>
      </c>
      <c r="U1817" s="35" t="str">
        <f aca="false">IF(N($P1817)&lt;=0,"",COUNTIF($P$6:$P1817,"&gt;0"))</f>
        <v/>
      </c>
    </row>
    <row r="1818" customFormat="false" ht="15" hidden="false" customHeight="false" outlineLevel="0" collapsed="false">
      <c r="A1818" s="40" t="str">
        <f aca="false">IF(INDEX(BookTitle,1813)="","",INDEX(BookGroup,1813))</f>
        <v/>
      </c>
      <c r="B1818" s="40" t="str">
        <f aca="false">IF(INDEX(BookTitle,1813)="","",INDEX(BookRef,1813))</f>
        <v/>
      </c>
      <c r="C1818" s="40" t="str">
        <f aca="false">IF(INDEX(BookTitle,1813)="","",INDEX(BookDivision,1813))</f>
        <v/>
      </c>
      <c r="D1818" s="40" t="str">
        <f aca="false">IF(INDEX(BookTitle,1813)="","",INDEX(BookUnit,1813))</f>
        <v/>
      </c>
      <c r="E1818" s="40" t="str">
        <f aca="false">IF(INDEX(BookTitle,1813)="","",INDEX(BookTitle,1813))</f>
        <v/>
      </c>
      <c r="F1818" s="40" t="str">
        <f aca="false">IF(INDEX(BookTitle,1813)="","",INDEX(BookLevel,1813))</f>
        <v/>
      </c>
      <c r="G1818" s="40" t="str">
        <f aca="false">IF(INDEX(BookTitle,1813)="","",INDEX(BookCategory,1813))</f>
        <v/>
      </c>
      <c r="H1818" s="40" t="str">
        <f aca="false">IF(INDEX(BookTitle,1813)="","",INDEX(BookRank,1813))</f>
        <v/>
      </c>
      <c r="I1818" s="41" t="str">
        <f aca="false">IF(INDEX(BookTitle,1813)="","",INDEX(BookTotal,1813))</f>
        <v/>
      </c>
      <c r="J1818" s="0" t="str">
        <f aca="false">IF($I1818="","",IF(INDEX(BookQ1,1813)&gt;0,"Q1",IF(INDEX(BookQ2,1813)&gt;0,"Q2",IF(INDEX(BookQ3,1813)&gt;0,"Q3",IF(INDEX(BookQ4,1813)&gt;0,"Q4","")))))</f>
        <v/>
      </c>
      <c r="K1818" s="42" t="str">
        <f aca="false">IF(INDEX(BookTitle,1813)="","",INDEX(BookInYear,1813))</f>
        <v/>
      </c>
      <c r="L1818" s="19"/>
      <c r="M1818" s="39"/>
      <c r="N1818" s="19"/>
      <c r="O1818" s="19"/>
      <c r="P1818" s="43" t="str">
        <f aca="false">IF($E1818="","",IF($L1818="Decline",0,IF($L1818="Approve fewer",IF($M1818="","",$M1818),IF($L1818="","",$I1818))))</f>
        <v/>
      </c>
      <c r="Q1818" s="34" t="str">
        <f aca="false">IF($P1818="","",IF($N1818&lt;&gt;"",$N1818,$J1818))</f>
        <v/>
      </c>
      <c r="R1818" s="35" t="str">
        <f aca="false">IF(OR($P1818="",$Q1818=""),"",INDEX(BookRate,1813)*$P1818*(5-MATCH($Q1818,{"Q1";"Q2";"Q3";"Q4"},0))/4+INDEX(BookOneOff,1813)*$P1818)</f>
        <v/>
      </c>
      <c r="S1818" s="35" t="str">
        <f aca="false">IF($P1818="","",INDEX(BookRate,1813)*$P1818)</f>
        <v/>
      </c>
      <c r="T1818" s="35" t="str">
        <f aca="false">IF($R1818="","",$R1818-$K1818)</f>
        <v/>
      </c>
      <c r="U1818" s="35" t="str">
        <f aca="false">IF(N($P1818)&lt;=0,"",COUNTIF($P$6:$P1818,"&gt;0"))</f>
        <v/>
      </c>
    </row>
    <row r="1819" customFormat="false" ht="15" hidden="false" customHeight="false" outlineLevel="0" collapsed="false">
      <c r="A1819" s="40" t="str">
        <f aca="false">IF(INDEX(BookTitle,1814)="","",INDEX(BookGroup,1814))</f>
        <v/>
      </c>
      <c r="B1819" s="40" t="str">
        <f aca="false">IF(INDEX(BookTitle,1814)="","",INDEX(BookRef,1814))</f>
        <v/>
      </c>
      <c r="C1819" s="40" t="str">
        <f aca="false">IF(INDEX(BookTitle,1814)="","",INDEX(BookDivision,1814))</f>
        <v/>
      </c>
      <c r="D1819" s="40" t="str">
        <f aca="false">IF(INDEX(BookTitle,1814)="","",INDEX(BookUnit,1814))</f>
        <v/>
      </c>
      <c r="E1819" s="40" t="str">
        <f aca="false">IF(INDEX(BookTitle,1814)="","",INDEX(BookTitle,1814))</f>
        <v/>
      </c>
      <c r="F1819" s="40" t="str">
        <f aca="false">IF(INDEX(BookTitle,1814)="","",INDEX(BookLevel,1814))</f>
        <v/>
      </c>
      <c r="G1819" s="40" t="str">
        <f aca="false">IF(INDEX(BookTitle,1814)="","",INDEX(BookCategory,1814))</f>
        <v/>
      </c>
      <c r="H1819" s="40" t="str">
        <f aca="false">IF(INDEX(BookTitle,1814)="","",INDEX(BookRank,1814))</f>
        <v/>
      </c>
      <c r="I1819" s="41" t="str">
        <f aca="false">IF(INDEX(BookTitle,1814)="","",INDEX(BookTotal,1814))</f>
        <v/>
      </c>
      <c r="J1819" s="0" t="str">
        <f aca="false">IF($I1819="","",IF(INDEX(BookQ1,1814)&gt;0,"Q1",IF(INDEX(BookQ2,1814)&gt;0,"Q2",IF(INDEX(BookQ3,1814)&gt;0,"Q3",IF(INDEX(BookQ4,1814)&gt;0,"Q4","")))))</f>
        <v/>
      </c>
      <c r="K1819" s="42" t="str">
        <f aca="false">IF(INDEX(BookTitle,1814)="","",INDEX(BookInYear,1814))</f>
        <v/>
      </c>
      <c r="L1819" s="19"/>
      <c r="M1819" s="39"/>
      <c r="N1819" s="19"/>
      <c r="O1819" s="19"/>
      <c r="P1819" s="43" t="str">
        <f aca="false">IF($E1819="","",IF($L1819="Decline",0,IF($L1819="Approve fewer",IF($M1819="","",$M1819),IF($L1819="","",$I1819))))</f>
        <v/>
      </c>
      <c r="Q1819" s="34" t="str">
        <f aca="false">IF($P1819="","",IF($N1819&lt;&gt;"",$N1819,$J1819))</f>
        <v/>
      </c>
      <c r="R1819" s="35" t="str">
        <f aca="false">IF(OR($P1819="",$Q1819=""),"",INDEX(BookRate,1814)*$P1819*(5-MATCH($Q1819,{"Q1";"Q2";"Q3";"Q4"},0))/4+INDEX(BookOneOff,1814)*$P1819)</f>
        <v/>
      </c>
      <c r="S1819" s="35" t="str">
        <f aca="false">IF($P1819="","",INDEX(BookRate,1814)*$P1819)</f>
        <v/>
      </c>
      <c r="T1819" s="35" t="str">
        <f aca="false">IF($R1819="","",$R1819-$K1819)</f>
        <v/>
      </c>
      <c r="U1819" s="35" t="str">
        <f aca="false">IF(N($P1819)&lt;=0,"",COUNTIF($P$6:$P1819,"&gt;0"))</f>
        <v/>
      </c>
    </row>
    <row r="1820" customFormat="false" ht="15" hidden="false" customHeight="false" outlineLevel="0" collapsed="false">
      <c r="A1820" s="40" t="str">
        <f aca="false">IF(INDEX(BookTitle,1815)="","",INDEX(BookGroup,1815))</f>
        <v/>
      </c>
      <c r="B1820" s="40" t="str">
        <f aca="false">IF(INDEX(BookTitle,1815)="","",INDEX(BookRef,1815))</f>
        <v/>
      </c>
      <c r="C1820" s="40" t="str">
        <f aca="false">IF(INDEX(BookTitle,1815)="","",INDEX(BookDivision,1815))</f>
        <v/>
      </c>
      <c r="D1820" s="40" t="str">
        <f aca="false">IF(INDEX(BookTitle,1815)="","",INDEX(BookUnit,1815))</f>
        <v/>
      </c>
      <c r="E1820" s="40" t="str">
        <f aca="false">IF(INDEX(BookTitle,1815)="","",INDEX(BookTitle,1815))</f>
        <v/>
      </c>
      <c r="F1820" s="40" t="str">
        <f aca="false">IF(INDEX(BookTitle,1815)="","",INDEX(BookLevel,1815))</f>
        <v/>
      </c>
      <c r="G1820" s="40" t="str">
        <f aca="false">IF(INDEX(BookTitle,1815)="","",INDEX(BookCategory,1815))</f>
        <v/>
      </c>
      <c r="H1820" s="40" t="str">
        <f aca="false">IF(INDEX(BookTitle,1815)="","",INDEX(BookRank,1815))</f>
        <v/>
      </c>
      <c r="I1820" s="41" t="str">
        <f aca="false">IF(INDEX(BookTitle,1815)="","",INDEX(BookTotal,1815))</f>
        <v/>
      </c>
      <c r="J1820" s="0" t="str">
        <f aca="false">IF($I1820="","",IF(INDEX(BookQ1,1815)&gt;0,"Q1",IF(INDEX(BookQ2,1815)&gt;0,"Q2",IF(INDEX(BookQ3,1815)&gt;0,"Q3",IF(INDEX(BookQ4,1815)&gt;0,"Q4","")))))</f>
        <v/>
      </c>
      <c r="K1820" s="42" t="str">
        <f aca="false">IF(INDEX(BookTitle,1815)="","",INDEX(BookInYear,1815))</f>
        <v/>
      </c>
      <c r="L1820" s="19"/>
      <c r="M1820" s="39"/>
      <c r="N1820" s="19"/>
      <c r="O1820" s="19"/>
      <c r="P1820" s="43" t="str">
        <f aca="false">IF($E1820="","",IF($L1820="Decline",0,IF($L1820="Approve fewer",IF($M1820="","",$M1820),IF($L1820="","",$I1820))))</f>
        <v/>
      </c>
      <c r="Q1820" s="34" t="str">
        <f aca="false">IF($P1820="","",IF($N1820&lt;&gt;"",$N1820,$J1820))</f>
        <v/>
      </c>
      <c r="R1820" s="35" t="str">
        <f aca="false">IF(OR($P1820="",$Q1820=""),"",INDEX(BookRate,1815)*$P1820*(5-MATCH($Q1820,{"Q1";"Q2";"Q3";"Q4"},0))/4+INDEX(BookOneOff,1815)*$P1820)</f>
        <v/>
      </c>
      <c r="S1820" s="35" t="str">
        <f aca="false">IF($P1820="","",INDEX(BookRate,1815)*$P1820)</f>
        <v/>
      </c>
      <c r="T1820" s="35" t="str">
        <f aca="false">IF($R1820="","",$R1820-$K1820)</f>
        <v/>
      </c>
      <c r="U1820" s="35" t="str">
        <f aca="false">IF(N($P1820)&lt;=0,"",COUNTIF($P$6:$P1820,"&gt;0"))</f>
        <v/>
      </c>
    </row>
    <row r="1821" customFormat="false" ht="15" hidden="false" customHeight="false" outlineLevel="0" collapsed="false">
      <c r="A1821" s="40" t="str">
        <f aca="false">IF(INDEX(BookTitle,1816)="","",INDEX(BookGroup,1816))</f>
        <v/>
      </c>
      <c r="B1821" s="40" t="str">
        <f aca="false">IF(INDEX(BookTitle,1816)="","",INDEX(BookRef,1816))</f>
        <v/>
      </c>
      <c r="C1821" s="40" t="str">
        <f aca="false">IF(INDEX(BookTitle,1816)="","",INDEX(BookDivision,1816))</f>
        <v/>
      </c>
      <c r="D1821" s="40" t="str">
        <f aca="false">IF(INDEX(BookTitle,1816)="","",INDEX(BookUnit,1816))</f>
        <v/>
      </c>
      <c r="E1821" s="40" t="str">
        <f aca="false">IF(INDEX(BookTitle,1816)="","",INDEX(BookTitle,1816))</f>
        <v/>
      </c>
      <c r="F1821" s="40" t="str">
        <f aca="false">IF(INDEX(BookTitle,1816)="","",INDEX(BookLevel,1816))</f>
        <v/>
      </c>
      <c r="G1821" s="40" t="str">
        <f aca="false">IF(INDEX(BookTitle,1816)="","",INDEX(BookCategory,1816))</f>
        <v/>
      </c>
      <c r="H1821" s="40" t="str">
        <f aca="false">IF(INDEX(BookTitle,1816)="","",INDEX(BookRank,1816))</f>
        <v/>
      </c>
      <c r="I1821" s="41" t="str">
        <f aca="false">IF(INDEX(BookTitle,1816)="","",INDEX(BookTotal,1816))</f>
        <v/>
      </c>
      <c r="J1821" s="0" t="str">
        <f aca="false">IF($I1821="","",IF(INDEX(BookQ1,1816)&gt;0,"Q1",IF(INDEX(BookQ2,1816)&gt;0,"Q2",IF(INDEX(BookQ3,1816)&gt;0,"Q3",IF(INDEX(BookQ4,1816)&gt;0,"Q4","")))))</f>
        <v/>
      </c>
      <c r="K1821" s="42" t="str">
        <f aca="false">IF(INDEX(BookTitle,1816)="","",INDEX(BookInYear,1816))</f>
        <v/>
      </c>
      <c r="L1821" s="19"/>
      <c r="M1821" s="39"/>
      <c r="N1821" s="19"/>
      <c r="O1821" s="19"/>
      <c r="P1821" s="43" t="str">
        <f aca="false">IF($E1821="","",IF($L1821="Decline",0,IF($L1821="Approve fewer",IF($M1821="","",$M1821),IF($L1821="","",$I1821))))</f>
        <v/>
      </c>
      <c r="Q1821" s="34" t="str">
        <f aca="false">IF($P1821="","",IF($N1821&lt;&gt;"",$N1821,$J1821))</f>
        <v/>
      </c>
      <c r="R1821" s="35" t="str">
        <f aca="false">IF(OR($P1821="",$Q1821=""),"",INDEX(BookRate,1816)*$P1821*(5-MATCH($Q1821,{"Q1";"Q2";"Q3";"Q4"},0))/4+INDEX(BookOneOff,1816)*$P1821)</f>
        <v/>
      </c>
      <c r="S1821" s="35" t="str">
        <f aca="false">IF($P1821="","",INDEX(BookRate,1816)*$P1821)</f>
        <v/>
      </c>
      <c r="T1821" s="35" t="str">
        <f aca="false">IF($R1821="","",$R1821-$K1821)</f>
        <v/>
      </c>
      <c r="U1821" s="35" t="str">
        <f aca="false">IF(N($P1821)&lt;=0,"",COUNTIF($P$6:$P1821,"&gt;0"))</f>
        <v/>
      </c>
    </row>
    <row r="1822" customFormat="false" ht="15" hidden="false" customHeight="false" outlineLevel="0" collapsed="false">
      <c r="A1822" s="40" t="str">
        <f aca="false">IF(INDEX(BookTitle,1817)="","",INDEX(BookGroup,1817))</f>
        <v/>
      </c>
      <c r="B1822" s="40" t="str">
        <f aca="false">IF(INDEX(BookTitle,1817)="","",INDEX(BookRef,1817))</f>
        <v/>
      </c>
      <c r="C1822" s="40" t="str">
        <f aca="false">IF(INDEX(BookTitle,1817)="","",INDEX(BookDivision,1817))</f>
        <v/>
      </c>
      <c r="D1822" s="40" t="str">
        <f aca="false">IF(INDEX(BookTitle,1817)="","",INDEX(BookUnit,1817))</f>
        <v/>
      </c>
      <c r="E1822" s="40" t="str">
        <f aca="false">IF(INDEX(BookTitle,1817)="","",INDEX(BookTitle,1817))</f>
        <v/>
      </c>
      <c r="F1822" s="40" t="str">
        <f aca="false">IF(INDEX(BookTitle,1817)="","",INDEX(BookLevel,1817))</f>
        <v/>
      </c>
      <c r="G1822" s="40" t="str">
        <f aca="false">IF(INDEX(BookTitle,1817)="","",INDEX(BookCategory,1817))</f>
        <v/>
      </c>
      <c r="H1822" s="40" t="str">
        <f aca="false">IF(INDEX(BookTitle,1817)="","",INDEX(BookRank,1817))</f>
        <v/>
      </c>
      <c r="I1822" s="41" t="str">
        <f aca="false">IF(INDEX(BookTitle,1817)="","",INDEX(BookTotal,1817))</f>
        <v/>
      </c>
      <c r="J1822" s="0" t="str">
        <f aca="false">IF($I1822="","",IF(INDEX(BookQ1,1817)&gt;0,"Q1",IF(INDEX(BookQ2,1817)&gt;0,"Q2",IF(INDEX(BookQ3,1817)&gt;0,"Q3",IF(INDEX(BookQ4,1817)&gt;0,"Q4","")))))</f>
        <v/>
      </c>
      <c r="K1822" s="42" t="str">
        <f aca="false">IF(INDEX(BookTitle,1817)="","",INDEX(BookInYear,1817))</f>
        <v/>
      </c>
      <c r="L1822" s="19"/>
      <c r="M1822" s="39"/>
      <c r="N1822" s="19"/>
      <c r="O1822" s="19"/>
      <c r="P1822" s="43" t="str">
        <f aca="false">IF($E1822="","",IF($L1822="Decline",0,IF($L1822="Approve fewer",IF($M1822="","",$M1822),IF($L1822="","",$I1822))))</f>
        <v/>
      </c>
      <c r="Q1822" s="34" t="str">
        <f aca="false">IF($P1822="","",IF($N1822&lt;&gt;"",$N1822,$J1822))</f>
        <v/>
      </c>
      <c r="R1822" s="35" t="str">
        <f aca="false">IF(OR($P1822="",$Q1822=""),"",INDEX(BookRate,1817)*$P1822*(5-MATCH($Q1822,{"Q1";"Q2";"Q3";"Q4"},0))/4+INDEX(BookOneOff,1817)*$P1822)</f>
        <v/>
      </c>
      <c r="S1822" s="35" t="str">
        <f aca="false">IF($P1822="","",INDEX(BookRate,1817)*$P1822)</f>
        <v/>
      </c>
      <c r="T1822" s="35" t="str">
        <f aca="false">IF($R1822="","",$R1822-$K1822)</f>
        <v/>
      </c>
      <c r="U1822" s="35" t="str">
        <f aca="false">IF(N($P1822)&lt;=0,"",COUNTIF($P$6:$P1822,"&gt;0"))</f>
        <v/>
      </c>
    </row>
    <row r="1823" customFormat="false" ht="15" hidden="false" customHeight="false" outlineLevel="0" collapsed="false">
      <c r="A1823" s="40" t="str">
        <f aca="false">IF(INDEX(BookTitle,1818)="","",INDEX(BookGroup,1818))</f>
        <v/>
      </c>
      <c r="B1823" s="40" t="str">
        <f aca="false">IF(INDEX(BookTitle,1818)="","",INDEX(BookRef,1818))</f>
        <v/>
      </c>
      <c r="C1823" s="40" t="str">
        <f aca="false">IF(INDEX(BookTitle,1818)="","",INDEX(BookDivision,1818))</f>
        <v/>
      </c>
      <c r="D1823" s="40" t="str">
        <f aca="false">IF(INDEX(BookTitle,1818)="","",INDEX(BookUnit,1818))</f>
        <v/>
      </c>
      <c r="E1823" s="40" t="str">
        <f aca="false">IF(INDEX(BookTitle,1818)="","",INDEX(BookTitle,1818))</f>
        <v/>
      </c>
      <c r="F1823" s="40" t="str">
        <f aca="false">IF(INDEX(BookTitle,1818)="","",INDEX(BookLevel,1818))</f>
        <v/>
      </c>
      <c r="G1823" s="40" t="str">
        <f aca="false">IF(INDEX(BookTitle,1818)="","",INDEX(BookCategory,1818))</f>
        <v/>
      </c>
      <c r="H1823" s="40" t="str">
        <f aca="false">IF(INDEX(BookTitle,1818)="","",INDEX(BookRank,1818))</f>
        <v/>
      </c>
      <c r="I1823" s="41" t="str">
        <f aca="false">IF(INDEX(BookTitle,1818)="","",INDEX(BookTotal,1818))</f>
        <v/>
      </c>
      <c r="J1823" s="0" t="str">
        <f aca="false">IF($I1823="","",IF(INDEX(BookQ1,1818)&gt;0,"Q1",IF(INDEX(BookQ2,1818)&gt;0,"Q2",IF(INDEX(BookQ3,1818)&gt;0,"Q3",IF(INDEX(BookQ4,1818)&gt;0,"Q4","")))))</f>
        <v/>
      </c>
      <c r="K1823" s="42" t="str">
        <f aca="false">IF(INDEX(BookTitle,1818)="","",INDEX(BookInYear,1818))</f>
        <v/>
      </c>
      <c r="L1823" s="19"/>
      <c r="M1823" s="39"/>
      <c r="N1823" s="19"/>
      <c r="O1823" s="19"/>
      <c r="P1823" s="43" t="str">
        <f aca="false">IF($E1823="","",IF($L1823="Decline",0,IF($L1823="Approve fewer",IF($M1823="","",$M1823),IF($L1823="","",$I1823))))</f>
        <v/>
      </c>
      <c r="Q1823" s="34" t="str">
        <f aca="false">IF($P1823="","",IF($N1823&lt;&gt;"",$N1823,$J1823))</f>
        <v/>
      </c>
      <c r="R1823" s="35" t="str">
        <f aca="false">IF(OR($P1823="",$Q1823=""),"",INDEX(BookRate,1818)*$P1823*(5-MATCH($Q1823,{"Q1";"Q2";"Q3";"Q4"},0))/4+INDEX(BookOneOff,1818)*$P1823)</f>
        <v/>
      </c>
      <c r="S1823" s="35" t="str">
        <f aca="false">IF($P1823="","",INDEX(BookRate,1818)*$P1823)</f>
        <v/>
      </c>
      <c r="T1823" s="35" t="str">
        <f aca="false">IF($R1823="","",$R1823-$K1823)</f>
        <v/>
      </c>
      <c r="U1823" s="35" t="str">
        <f aca="false">IF(N($P1823)&lt;=0,"",COUNTIF($P$6:$P1823,"&gt;0"))</f>
        <v/>
      </c>
    </row>
    <row r="1824" customFormat="false" ht="15" hidden="false" customHeight="false" outlineLevel="0" collapsed="false">
      <c r="A1824" s="40" t="str">
        <f aca="false">IF(INDEX(BookTitle,1819)="","",INDEX(BookGroup,1819))</f>
        <v/>
      </c>
      <c r="B1824" s="40" t="str">
        <f aca="false">IF(INDEX(BookTitle,1819)="","",INDEX(BookRef,1819))</f>
        <v/>
      </c>
      <c r="C1824" s="40" t="str">
        <f aca="false">IF(INDEX(BookTitle,1819)="","",INDEX(BookDivision,1819))</f>
        <v/>
      </c>
      <c r="D1824" s="40" t="str">
        <f aca="false">IF(INDEX(BookTitle,1819)="","",INDEX(BookUnit,1819))</f>
        <v/>
      </c>
      <c r="E1824" s="40" t="str">
        <f aca="false">IF(INDEX(BookTitle,1819)="","",INDEX(BookTitle,1819))</f>
        <v/>
      </c>
      <c r="F1824" s="40" t="str">
        <f aca="false">IF(INDEX(BookTitle,1819)="","",INDEX(BookLevel,1819))</f>
        <v/>
      </c>
      <c r="G1824" s="40" t="str">
        <f aca="false">IF(INDEX(BookTitle,1819)="","",INDEX(BookCategory,1819))</f>
        <v/>
      </c>
      <c r="H1824" s="40" t="str">
        <f aca="false">IF(INDEX(BookTitle,1819)="","",INDEX(BookRank,1819))</f>
        <v/>
      </c>
      <c r="I1824" s="41" t="str">
        <f aca="false">IF(INDEX(BookTitle,1819)="","",INDEX(BookTotal,1819))</f>
        <v/>
      </c>
      <c r="J1824" s="0" t="str">
        <f aca="false">IF($I1824="","",IF(INDEX(BookQ1,1819)&gt;0,"Q1",IF(INDEX(BookQ2,1819)&gt;0,"Q2",IF(INDEX(BookQ3,1819)&gt;0,"Q3",IF(INDEX(BookQ4,1819)&gt;0,"Q4","")))))</f>
        <v/>
      </c>
      <c r="K1824" s="42" t="str">
        <f aca="false">IF(INDEX(BookTitle,1819)="","",INDEX(BookInYear,1819))</f>
        <v/>
      </c>
      <c r="L1824" s="19"/>
      <c r="M1824" s="39"/>
      <c r="N1824" s="19"/>
      <c r="O1824" s="19"/>
      <c r="P1824" s="43" t="str">
        <f aca="false">IF($E1824="","",IF($L1824="Decline",0,IF($L1824="Approve fewer",IF($M1824="","",$M1824),IF($L1824="","",$I1824))))</f>
        <v/>
      </c>
      <c r="Q1824" s="34" t="str">
        <f aca="false">IF($P1824="","",IF($N1824&lt;&gt;"",$N1824,$J1824))</f>
        <v/>
      </c>
      <c r="R1824" s="35" t="str">
        <f aca="false">IF(OR($P1824="",$Q1824=""),"",INDEX(BookRate,1819)*$P1824*(5-MATCH($Q1824,{"Q1";"Q2";"Q3";"Q4"},0))/4+INDEX(BookOneOff,1819)*$P1824)</f>
        <v/>
      </c>
      <c r="S1824" s="35" t="str">
        <f aca="false">IF($P1824="","",INDEX(BookRate,1819)*$P1824)</f>
        <v/>
      </c>
      <c r="T1824" s="35" t="str">
        <f aca="false">IF($R1824="","",$R1824-$K1824)</f>
        <v/>
      </c>
      <c r="U1824" s="35" t="str">
        <f aca="false">IF(N($P1824)&lt;=0,"",COUNTIF($P$6:$P1824,"&gt;0"))</f>
        <v/>
      </c>
    </row>
    <row r="1825" customFormat="false" ht="15" hidden="false" customHeight="false" outlineLevel="0" collapsed="false">
      <c r="A1825" s="40" t="str">
        <f aca="false">IF(INDEX(BookTitle,1820)="","",INDEX(BookGroup,1820))</f>
        <v/>
      </c>
      <c r="B1825" s="40" t="str">
        <f aca="false">IF(INDEX(BookTitle,1820)="","",INDEX(BookRef,1820))</f>
        <v/>
      </c>
      <c r="C1825" s="40" t="str">
        <f aca="false">IF(INDEX(BookTitle,1820)="","",INDEX(BookDivision,1820))</f>
        <v/>
      </c>
      <c r="D1825" s="40" t="str">
        <f aca="false">IF(INDEX(BookTitle,1820)="","",INDEX(BookUnit,1820))</f>
        <v/>
      </c>
      <c r="E1825" s="40" t="str">
        <f aca="false">IF(INDEX(BookTitle,1820)="","",INDEX(BookTitle,1820))</f>
        <v/>
      </c>
      <c r="F1825" s="40" t="str">
        <f aca="false">IF(INDEX(BookTitle,1820)="","",INDEX(BookLevel,1820))</f>
        <v/>
      </c>
      <c r="G1825" s="40" t="str">
        <f aca="false">IF(INDEX(BookTitle,1820)="","",INDEX(BookCategory,1820))</f>
        <v/>
      </c>
      <c r="H1825" s="40" t="str">
        <f aca="false">IF(INDEX(BookTitle,1820)="","",INDEX(BookRank,1820))</f>
        <v/>
      </c>
      <c r="I1825" s="41" t="str">
        <f aca="false">IF(INDEX(BookTitle,1820)="","",INDEX(BookTotal,1820))</f>
        <v/>
      </c>
      <c r="J1825" s="0" t="str">
        <f aca="false">IF($I1825="","",IF(INDEX(BookQ1,1820)&gt;0,"Q1",IF(INDEX(BookQ2,1820)&gt;0,"Q2",IF(INDEX(BookQ3,1820)&gt;0,"Q3",IF(INDEX(BookQ4,1820)&gt;0,"Q4","")))))</f>
        <v/>
      </c>
      <c r="K1825" s="42" t="str">
        <f aca="false">IF(INDEX(BookTitle,1820)="","",INDEX(BookInYear,1820))</f>
        <v/>
      </c>
      <c r="L1825" s="19"/>
      <c r="M1825" s="39"/>
      <c r="N1825" s="19"/>
      <c r="O1825" s="19"/>
      <c r="P1825" s="43" t="str">
        <f aca="false">IF($E1825="","",IF($L1825="Decline",0,IF($L1825="Approve fewer",IF($M1825="","",$M1825),IF($L1825="","",$I1825))))</f>
        <v/>
      </c>
      <c r="Q1825" s="34" t="str">
        <f aca="false">IF($P1825="","",IF($N1825&lt;&gt;"",$N1825,$J1825))</f>
        <v/>
      </c>
      <c r="R1825" s="35" t="str">
        <f aca="false">IF(OR($P1825="",$Q1825=""),"",INDEX(BookRate,1820)*$P1825*(5-MATCH($Q1825,{"Q1";"Q2";"Q3";"Q4"},0))/4+INDEX(BookOneOff,1820)*$P1825)</f>
        <v/>
      </c>
      <c r="S1825" s="35" t="str">
        <f aca="false">IF($P1825="","",INDEX(BookRate,1820)*$P1825)</f>
        <v/>
      </c>
      <c r="T1825" s="35" t="str">
        <f aca="false">IF($R1825="","",$R1825-$K1825)</f>
        <v/>
      </c>
      <c r="U1825" s="35" t="str">
        <f aca="false">IF(N($P1825)&lt;=0,"",COUNTIF($P$6:$P1825,"&gt;0"))</f>
        <v/>
      </c>
    </row>
    <row r="1826" customFormat="false" ht="15" hidden="false" customHeight="false" outlineLevel="0" collapsed="false">
      <c r="A1826" s="40" t="str">
        <f aca="false">IF(INDEX(BookTitle,1821)="","",INDEX(BookGroup,1821))</f>
        <v/>
      </c>
      <c r="B1826" s="40" t="str">
        <f aca="false">IF(INDEX(BookTitle,1821)="","",INDEX(BookRef,1821))</f>
        <v/>
      </c>
      <c r="C1826" s="40" t="str">
        <f aca="false">IF(INDEX(BookTitle,1821)="","",INDEX(BookDivision,1821))</f>
        <v/>
      </c>
      <c r="D1826" s="40" t="str">
        <f aca="false">IF(INDEX(BookTitle,1821)="","",INDEX(BookUnit,1821))</f>
        <v/>
      </c>
      <c r="E1826" s="40" t="str">
        <f aca="false">IF(INDEX(BookTitle,1821)="","",INDEX(BookTitle,1821))</f>
        <v/>
      </c>
      <c r="F1826" s="40" t="str">
        <f aca="false">IF(INDEX(BookTitle,1821)="","",INDEX(BookLevel,1821))</f>
        <v/>
      </c>
      <c r="G1826" s="40" t="str">
        <f aca="false">IF(INDEX(BookTitle,1821)="","",INDEX(BookCategory,1821))</f>
        <v/>
      </c>
      <c r="H1826" s="40" t="str">
        <f aca="false">IF(INDEX(BookTitle,1821)="","",INDEX(BookRank,1821))</f>
        <v/>
      </c>
      <c r="I1826" s="41" t="str">
        <f aca="false">IF(INDEX(BookTitle,1821)="","",INDEX(BookTotal,1821))</f>
        <v/>
      </c>
      <c r="J1826" s="0" t="str">
        <f aca="false">IF($I1826="","",IF(INDEX(BookQ1,1821)&gt;0,"Q1",IF(INDEX(BookQ2,1821)&gt;0,"Q2",IF(INDEX(BookQ3,1821)&gt;0,"Q3",IF(INDEX(BookQ4,1821)&gt;0,"Q4","")))))</f>
        <v/>
      </c>
      <c r="K1826" s="42" t="str">
        <f aca="false">IF(INDEX(BookTitle,1821)="","",INDEX(BookInYear,1821))</f>
        <v/>
      </c>
      <c r="L1826" s="19"/>
      <c r="M1826" s="39"/>
      <c r="N1826" s="19"/>
      <c r="O1826" s="19"/>
      <c r="P1826" s="43" t="str">
        <f aca="false">IF($E1826="","",IF($L1826="Decline",0,IF($L1826="Approve fewer",IF($M1826="","",$M1826),IF($L1826="","",$I1826))))</f>
        <v/>
      </c>
      <c r="Q1826" s="34" t="str">
        <f aca="false">IF($P1826="","",IF($N1826&lt;&gt;"",$N1826,$J1826))</f>
        <v/>
      </c>
      <c r="R1826" s="35" t="str">
        <f aca="false">IF(OR($P1826="",$Q1826=""),"",INDEX(BookRate,1821)*$P1826*(5-MATCH($Q1826,{"Q1";"Q2";"Q3";"Q4"},0))/4+INDEX(BookOneOff,1821)*$P1826)</f>
        <v/>
      </c>
      <c r="S1826" s="35" t="str">
        <f aca="false">IF($P1826="","",INDEX(BookRate,1821)*$P1826)</f>
        <v/>
      </c>
      <c r="T1826" s="35" t="str">
        <f aca="false">IF($R1826="","",$R1826-$K1826)</f>
        <v/>
      </c>
      <c r="U1826" s="35" t="str">
        <f aca="false">IF(N($P1826)&lt;=0,"",COUNTIF($P$6:$P1826,"&gt;0"))</f>
        <v/>
      </c>
    </row>
    <row r="1827" customFormat="false" ht="15" hidden="false" customHeight="false" outlineLevel="0" collapsed="false">
      <c r="A1827" s="40" t="str">
        <f aca="false">IF(INDEX(BookTitle,1822)="","",INDEX(BookGroup,1822))</f>
        <v/>
      </c>
      <c r="B1827" s="40" t="str">
        <f aca="false">IF(INDEX(BookTitle,1822)="","",INDEX(BookRef,1822))</f>
        <v/>
      </c>
      <c r="C1827" s="40" t="str">
        <f aca="false">IF(INDEX(BookTitle,1822)="","",INDEX(BookDivision,1822))</f>
        <v/>
      </c>
      <c r="D1827" s="40" t="str">
        <f aca="false">IF(INDEX(BookTitle,1822)="","",INDEX(BookUnit,1822))</f>
        <v/>
      </c>
      <c r="E1827" s="40" t="str">
        <f aca="false">IF(INDEX(BookTitle,1822)="","",INDEX(BookTitle,1822))</f>
        <v/>
      </c>
      <c r="F1827" s="40" t="str">
        <f aca="false">IF(INDEX(BookTitle,1822)="","",INDEX(BookLevel,1822))</f>
        <v/>
      </c>
      <c r="G1827" s="40" t="str">
        <f aca="false">IF(INDEX(BookTitle,1822)="","",INDEX(BookCategory,1822))</f>
        <v/>
      </c>
      <c r="H1827" s="40" t="str">
        <f aca="false">IF(INDEX(BookTitle,1822)="","",INDEX(BookRank,1822))</f>
        <v/>
      </c>
      <c r="I1827" s="41" t="str">
        <f aca="false">IF(INDEX(BookTitle,1822)="","",INDEX(BookTotal,1822))</f>
        <v/>
      </c>
      <c r="J1827" s="0" t="str">
        <f aca="false">IF($I1827="","",IF(INDEX(BookQ1,1822)&gt;0,"Q1",IF(INDEX(BookQ2,1822)&gt;0,"Q2",IF(INDEX(BookQ3,1822)&gt;0,"Q3",IF(INDEX(BookQ4,1822)&gt;0,"Q4","")))))</f>
        <v/>
      </c>
      <c r="K1827" s="42" t="str">
        <f aca="false">IF(INDEX(BookTitle,1822)="","",INDEX(BookInYear,1822))</f>
        <v/>
      </c>
      <c r="L1827" s="19"/>
      <c r="M1827" s="39"/>
      <c r="N1827" s="19"/>
      <c r="O1827" s="19"/>
      <c r="P1827" s="43" t="str">
        <f aca="false">IF($E1827="","",IF($L1827="Decline",0,IF($L1827="Approve fewer",IF($M1827="","",$M1827),IF($L1827="","",$I1827))))</f>
        <v/>
      </c>
      <c r="Q1827" s="34" t="str">
        <f aca="false">IF($P1827="","",IF($N1827&lt;&gt;"",$N1827,$J1827))</f>
        <v/>
      </c>
      <c r="R1827" s="35" t="str">
        <f aca="false">IF(OR($P1827="",$Q1827=""),"",INDEX(BookRate,1822)*$P1827*(5-MATCH($Q1827,{"Q1";"Q2";"Q3";"Q4"},0))/4+INDEX(BookOneOff,1822)*$P1827)</f>
        <v/>
      </c>
      <c r="S1827" s="35" t="str">
        <f aca="false">IF($P1827="","",INDEX(BookRate,1822)*$P1827)</f>
        <v/>
      </c>
      <c r="T1827" s="35" t="str">
        <f aca="false">IF($R1827="","",$R1827-$K1827)</f>
        <v/>
      </c>
      <c r="U1827" s="35" t="str">
        <f aca="false">IF(N($P1827)&lt;=0,"",COUNTIF($P$6:$P1827,"&gt;0"))</f>
        <v/>
      </c>
    </row>
    <row r="1828" customFormat="false" ht="15" hidden="false" customHeight="false" outlineLevel="0" collapsed="false">
      <c r="A1828" s="40" t="str">
        <f aca="false">IF(INDEX(BookTitle,1823)="","",INDEX(BookGroup,1823))</f>
        <v/>
      </c>
      <c r="B1828" s="40" t="str">
        <f aca="false">IF(INDEX(BookTitle,1823)="","",INDEX(BookRef,1823))</f>
        <v/>
      </c>
      <c r="C1828" s="40" t="str">
        <f aca="false">IF(INDEX(BookTitle,1823)="","",INDEX(BookDivision,1823))</f>
        <v/>
      </c>
      <c r="D1828" s="40" t="str">
        <f aca="false">IF(INDEX(BookTitle,1823)="","",INDEX(BookUnit,1823))</f>
        <v/>
      </c>
      <c r="E1828" s="40" t="str">
        <f aca="false">IF(INDEX(BookTitle,1823)="","",INDEX(BookTitle,1823))</f>
        <v/>
      </c>
      <c r="F1828" s="40" t="str">
        <f aca="false">IF(INDEX(BookTitle,1823)="","",INDEX(BookLevel,1823))</f>
        <v/>
      </c>
      <c r="G1828" s="40" t="str">
        <f aca="false">IF(INDEX(BookTitle,1823)="","",INDEX(BookCategory,1823))</f>
        <v/>
      </c>
      <c r="H1828" s="40" t="str">
        <f aca="false">IF(INDEX(BookTitle,1823)="","",INDEX(BookRank,1823))</f>
        <v/>
      </c>
      <c r="I1828" s="41" t="str">
        <f aca="false">IF(INDEX(BookTitle,1823)="","",INDEX(BookTotal,1823))</f>
        <v/>
      </c>
      <c r="J1828" s="0" t="str">
        <f aca="false">IF($I1828="","",IF(INDEX(BookQ1,1823)&gt;0,"Q1",IF(INDEX(BookQ2,1823)&gt;0,"Q2",IF(INDEX(BookQ3,1823)&gt;0,"Q3",IF(INDEX(BookQ4,1823)&gt;0,"Q4","")))))</f>
        <v/>
      </c>
      <c r="K1828" s="42" t="str">
        <f aca="false">IF(INDEX(BookTitle,1823)="","",INDEX(BookInYear,1823))</f>
        <v/>
      </c>
      <c r="L1828" s="19"/>
      <c r="M1828" s="39"/>
      <c r="N1828" s="19"/>
      <c r="O1828" s="19"/>
      <c r="P1828" s="43" t="str">
        <f aca="false">IF($E1828="","",IF($L1828="Decline",0,IF($L1828="Approve fewer",IF($M1828="","",$M1828),IF($L1828="","",$I1828))))</f>
        <v/>
      </c>
      <c r="Q1828" s="34" t="str">
        <f aca="false">IF($P1828="","",IF($N1828&lt;&gt;"",$N1828,$J1828))</f>
        <v/>
      </c>
      <c r="R1828" s="35" t="str">
        <f aca="false">IF(OR($P1828="",$Q1828=""),"",INDEX(BookRate,1823)*$P1828*(5-MATCH($Q1828,{"Q1";"Q2";"Q3";"Q4"},0))/4+INDEX(BookOneOff,1823)*$P1828)</f>
        <v/>
      </c>
      <c r="S1828" s="35" t="str">
        <f aca="false">IF($P1828="","",INDEX(BookRate,1823)*$P1828)</f>
        <v/>
      </c>
      <c r="T1828" s="35" t="str">
        <f aca="false">IF($R1828="","",$R1828-$K1828)</f>
        <v/>
      </c>
      <c r="U1828" s="35" t="str">
        <f aca="false">IF(N($P1828)&lt;=0,"",COUNTIF($P$6:$P1828,"&gt;0"))</f>
        <v/>
      </c>
    </row>
    <row r="1829" customFormat="false" ht="15" hidden="false" customHeight="false" outlineLevel="0" collapsed="false">
      <c r="A1829" s="40" t="str">
        <f aca="false">IF(INDEX(BookTitle,1824)="","",INDEX(BookGroup,1824))</f>
        <v/>
      </c>
      <c r="B1829" s="40" t="str">
        <f aca="false">IF(INDEX(BookTitle,1824)="","",INDEX(BookRef,1824))</f>
        <v/>
      </c>
      <c r="C1829" s="40" t="str">
        <f aca="false">IF(INDEX(BookTitle,1824)="","",INDEX(BookDivision,1824))</f>
        <v/>
      </c>
      <c r="D1829" s="40" t="str">
        <f aca="false">IF(INDEX(BookTitle,1824)="","",INDEX(BookUnit,1824))</f>
        <v/>
      </c>
      <c r="E1829" s="40" t="str">
        <f aca="false">IF(INDEX(BookTitle,1824)="","",INDEX(BookTitle,1824))</f>
        <v/>
      </c>
      <c r="F1829" s="40" t="str">
        <f aca="false">IF(INDEX(BookTitle,1824)="","",INDEX(BookLevel,1824))</f>
        <v/>
      </c>
      <c r="G1829" s="40" t="str">
        <f aca="false">IF(INDEX(BookTitle,1824)="","",INDEX(BookCategory,1824))</f>
        <v/>
      </c>
      <c r="H1829" s="40" t="str">
        <f aca="false">IF(INDEX(BookTitle,1824)="","",INDEX(BookRank,1824))</f>
        <v/>
      </c>
      <c r="I1829" s="41" t="str">
        <f aca="false">IF(INDEX(BookTitle,1824)="","",INDEX(BookTotal,1824))</f>
        <v/>
      </c>
      <c r="J1829" s="0" t="str">
        <f aca="false">IF($I1829="","",IF(INDEX(BookQ1,1824)&gt;0,"Q1",IF(INDEX(BookQ2,1824)&gt;0,"Q2",IF(INDEX(BookQ3,1824)&gt;0,"Q3",IF(INDEX(BookQ4,1824)&gt;0,"Q4","")))))</f>
        <v/>
      </c>
      <c r="K1829" s="42" t="str">
        <f aca="false">IF(INDEX(BookTitle,1824)="","",INDEX(BookInYear,1824))</f>
        <v/>
      </c>
      <c r="L1829" s="19"/>
      <c r="M1829" s="39"/>
      <c r="N1829" s="19"/>
      <c r="O1829" s="19"/>
      <c r="P1829" s="43" t="str">
        <f aca="false">IF($E1829="","",IF($L1829="Decline",0,IF($L1829="Approve fewer",IF($M1829="","",$M1829),IF($L1829="","",$I1829))))</f>
        <v/>
      </c>
      <c r="Q1829" s="34" t="str">
        <f aca="false">IF($P1829="","",IF($N1829&lt;&gt;"",$N1829,$J1829))</f>
        <v/>
      </c>
      <c r="R1829" s="35" t="str">
        <f aca="false">IF(OR($P1829="",$Q1829=""),"",INDEX(BookRate,1824)*$P1829*(5-MATCH($Q1829,{"Q1";"Q2";"Q3";"Q4"},0))/4+INDEX(BookOneOff,1824)*$P1829)</f>
        <v/>
      </c>
      <c r="S1829" s="35" t="str">
        <f aca="false">IF($P1829="","",INDEX(BookRate,1824)*$P1829)</f>
        <v/>
      </c>
      <c r="T1829" s="35" t="str">
        <f aca="false">IF($R1829="","",$R1829-$K1829)</f>
        <v/>
      </c>
      <c r="U1829" s="35" t="str">
        <f aca="false">IF(N($P1829)&lt;=0,"",COUNTIF($P$6:$P1829,"&gt;0"))</f>
        <v/>
      </c>
    </row>
    <row r="1830" customFormat="false" ht="15" hidden="false" customHeight="false" outlineLevel="0" collapsed="false">
      <c r="A1830" s="40" t="str">
        <f aca="false">IF(INDEX(BookTitle,1825)="","",INDEX(BookGroup,1825))</f>
        <v/>
      </c>
      <c r="B1830" s="40" t="str">
        <f aca="false">IF(INDEX(BookTitle,1825)="","",INDEX(BookRef,1825))</f>
        <v/>
      </c>
      <c r="C1830" s="40" t="str">
        <f aca="false">IF(INDEX(BookTitle,1825)="","",INDEX(BookDivision,1825))</f>
        <v/>
      </c>
      <c r="D1830" s="40" t="str">
        <f aca="false">IF(INDEX(BookTitle,1825)="","",INDEX(BookUnit,1825))</f>
        <v/>
      </c>
      <c r="E1830" s="40" t="str">
        <f aca="false">IF(INDEX(BookTitle,1825)="","",INDEX(BookTitle,1825))</f>
        <v/>
      </c>
      <c r="F1830" s="40" t="str">
        <f aca="false">IF(INDEX(BookTitle,1825)="","",INDEX(BookLevel,1825))</f>
        <v/>
      </c>
      <c r="G1830" s="40" t="str">
        <f aca="false">IF(INDEX(BookTitle,1825)="","",INDEX(BookCategory,1825))</f>
        <v/>
      </c>
      <c r="H1830" s="40" t="str">
        <f aca="false">IF(INDEX(BookTitle,1825)="","",INDEX(BookRank,1825))</f>
        <v/>
      </c>
      <c r="I1830" s="41" t="str">
        <f aca="false">IF(INDEX(BookTitle,1825)="","",INDEX(BookTotal,1825))</f>
        <v/>
      </c>
      <c r="J1830" s="0" t="str">
        <f aca="false">IF($I1830="","",IF(INDEX(BookQ1,1825)&gt;0,"Q1",IF(INDEX(BookQ2,1825)&gt;0,"Q2",IF(INDEX(BookQ3,1825)&gt;0,"Q3",IF(INDEX(BookQ4,1825)&gt;0,"Q4","")))))</f>
        <v/>
      </c>
      <c r="K1830" s="42" t="str">
        <f aca="false">IF(INDEX(BookTitle,1825)="","",INDEX(BookInYear,1825))</f>
        <v/>
      </c>
      <c r="L1830" s="19"/>
      <c r="M1830" s="39"/>
      <c r="N1830" s="19"/>
      <c r="O1830" s="19"/>
      <c r="P1830" s="43" t="str">
        <f aca="false">IF($E1830="","",IF($L1830="Decline",0,IF($L1830="Approve fewer",IF($M1830="","",$M1830),IF($L1830="","",$I1830))))</f>
        <v/>
      </c>
      <c r="Q1830" s="34" t="str">
        <f aca="false">IF($P1830="","",IF($N1830&lt;&gt;"",$N1830,$J1830))</f>
        <v/>
      </c>
      <c r="R1830" s="35" t="str">
        <f aca="false">IF(OR($P1830="",$Q1830=""),"",INDEX(BookRate,1825)*$P1830*(5-MATCH($Q1830,{"Q1";"Q2";"Q3";"Q4"},0))/4+INDEX(BookOneOff,1825)*$P1830)</f>
        <v/>
      </c>
      <c r="S1830" s="35" t="str">
        <f aca="false">IF($P1830="","",INDEX(BookRate,1825)*$P1830)</f>
        <v/>
      </c>
      <c r="T1830" s="35" t="str">
        <f aca="false">IF($R1830="","",$R1830-$K1830)</f>
        <v/>
      </c>
      <c r="U1830" s="35" t="str">
        <f aca="false">IF(N($P1830)&lt;=0,"",COUNTIF($P$6:$P1830,"&gt;0"))</f>
        <v/>
      </c>
    </row>
    <row r="1831" customFormat="false" ht="15" hidden="false" customHeight="false" outlineLevel="0" collapsed="false">
      <c r="A1831" s="40" t="str">
        <f aca="false">IF(INDEX(BookTitle,1826)="","",INDEX(BookGroup,1826))</f>
        <v/>
      </c>
      <c r="B1831" s="40" t="str">
        <f aca="false">IF(INDEX(BookTitle,1826)="","",INDEX(BookRef,1826))</f>
        <v/>
      </c>
      <c r="C1831" s="40" t="str">
        <f aca="false">IF(INDEX(BookTitle,1826)="","",INDEX(BookDivision,1826))</f>
        <v/>
      </c>
      <c r="D1831" s="40" t="str">
        <f aca="false">IF(INDEX(BookTitle,1826)="","",INDEX(BookUnit,1826))</f>
        <v/>
      </c>
      <c r="E1831" s="40" t="str">
        <f aca="false">IF(INDEX(BookTitle,1826)="","",INDEX(BookTitle,1826))</f>
        <v/>
      </c>
      <c r="F1831" s="40" t="str">
        <f aca="false">IF(INDEX(BookTitle,1826)="","",INDEX(BookLevel,1826))</f>
        <v/>
      </c>
      <c r="G1831" s="40" t="str">
        <f aca="false">IF(INDEX(BookTitle,1826)="","",INDEX(BookCategory,1826))</f>
        <v/>
      </c>
      <c r="H1831" s="40" t="str">
        <f aca="false">IF(INDEX(BookTitle,1826)="","",INDEX(BookRank,1826))</f>
        <v/>
      </c>
      <c r="I1831" s="41" t="str">
        <f aca="false">IF(INDEX(BookTitle,1826)="","",INDEX(BookTotal,1826))</f>
        <v/>
      </c>
      <c r="J1831" s="0" t="str">
        <f aca="false">IF($I1831="","",IF(INDEX(BookQ1,1826)&gt;0,"Q1",IF(INDEX(BookQ2,1826)&gt;0,"Q2",IF(INDEX(BookQ3,1826)&gt;0,"Q3",IF(INDEX(BookQ4,1826)&gt;0,"Q4","")))))</f>
        <v/>
      </c>
      <c r="K1831" s="42" t="str">
        <f aca="false">IF(INDEX(BookTitle,1826)="","",INDEX(BookInYear,1826))</f>
        <v/>
      </c>
      <c r="L1831" s="19"/>
      <c r="M1831" s="39"/>
      <c r="N1831" s="19"/>
      <c r="O1831" s="19"/>
      <c r="P1831" s="43" t="str">
        <f aca="false">IF($E1831="","",IF($L1831="Decline",0,IF($L1831="Approve fewer",IF($M1831="","",$M1831),IF($L1831="","",$I1831))))</f>
        <v/>
      </c>
      <c r="Q1831" s="34" t="str">
        <f aca="false">IF($P1831="","",IF($N1831&lt;&gt;"",$N1831,$J1831))</f>
        <v/>
      </c>
      <c r="R1831" s="35" t="str">
        <f aca="false">IF(OR($P1831="",$Q1831=""),"",INDEX(BookRate,1826)*$P1831*(5-MATCH($Q1831,{"Q1";"Q2";"Q3";"Q4"},0))/4+INDEX(BookOneOff,1826)*$P1831)</f>
        <v/>
      </c>
      <c r="S1831" s="35" t="str">
        <f aca="false">IF($P1831="","",INDEX(BookRate,1826)*$P1831)</f>
        <v/>
      </c>
      <c r="T1831" s="35" t="str">
        <f aca="false">IF($R1831="","",$R1831-$K1831)</f>
        <v/>
      </c>
      <c r="U1831" s="35" t="str">
        <f aca="false">IF(N($P1831)&lt;=0,"",COUNTIF($P$6:$P1831,"&gt;0"))</f>
        <v/>
      </c>
    </row>
    <row r="1832" customFormat="false" ht="15" hidden="false" customHeight="false" outlineLevel="0" collapsed="false">
      <c r="A1832" s="40" t="str">
        <f aca="false">IF(INDEX(BookTitle,1827)="","",INDEX(BookGroup,1827))</f>
        <v/>
      </c>
      <c r="B1832" s="40" t="str">
        <f aca="false">IF(INDEX(BookTitle,1827)="","",INDEX(BookRef,1827))</f>
        <v/>
      </c>
      <c r="C1832" s="40" t="str">
        <f aca="false">IF(INDEX(BookTitle,1827)="","",INDEX(BookDivision,1827))</f>
        <v/>
      </c>
      <c r="D1832" s="40" t="str">
        <f aca="false">IF(INDEX(BookTitle,1827)="","",INDEX(BookUnit,1827))</f>
        <v/>
      </c>
      <c r="E1832" s="40" t="str">
        <f aca="false">IF(INDEX(BookTitle,1827)="","",INDEX(BookTitle,1827))</f>
        <v/>
      </c>
      <c r="F1832" s="40" t="str">
        <f aca="false">IF(INDEX(BookTitle,1827)="","",INDEX(BookLevel,1827))</f>
        <v/>
      </c>
      <c r="G1832" s="40" t="str">
        <f aca="false">IF(INDEX(BookTitle,1827)="","",INDEX(BookCategory,1827))</f>
        <v/>
      </c>
      <c r="H1832" s="40" t="str">
        <f aca="false">IF(INDEX(BookTitle,1827)="","",INDEX(BookRank,1827))</f>
        <v/>
      </c>
      <c r="I1832" s="41" t="str">
        <f aca="false">IF(INDEX(BookTitle,1827)="","",INDEX(BookTotal,1827))</f>
        <v/>
      </c>
      <c r="J1832" s="0" t="str">
        <f aca="false">IF($I1832="","",IF(INDEX(BookQ1,1827)&gt;0,"Q1",IF(INDEX(BookQ2,1827)&gt;0,"Q2",IF(INDEX(BookQ3,1827)&gt;0,"Q3",IF(INDEX(BookQ4,1827)&gt;0,"Q4","")))))</f>
        <v/>
      </c>
      <c r="K1832" s="42" t="str">
        <f aca="false">IF(INDEX(BookTitle,1827)="","",INDEX(BookInYear,1827))</f>
        <v/>
      </c>
      <c r="L1832" s="19"/>
      <c r="M1832" s="39"/>
      <c r="N1832" s="19"/>
      <c r="O1832" s="19"/>
      <c r="P1832" s="43" t="str">
        <f aca="false">IF($E1832="","",IF($L1832="Decline",0,IF($L1832="Approve fewer",IF($M1832="","",$M1832),IF($L1832="","",$I1832))))</f>
        <v/>
      </c>
      <c r="Q1832" s="34" t="str">
        <f aca="false">IF($P1832="","",IF($N1832&lt;&gt;"",$N1832,$J1832))</f>
        <v/>
      </c>
      <c r="R1832" s="35" t="str">
        <f aca="false">IF(OR($P1832="",$Q1832=""),"",INDEX(BookRate,1827)*$P1832*(5-MATCH($Q1832,{"Q1";"Q2";"Q3";"Q4"},0))/4+INDEX(BookOneOff,1827)*$P1832)</f>
        <v/>
      </c>
      <c r="S1832" s="35" t="str">
        <f aca="false">IF($P1832="","",INDEX(BookRate,1827)*$P1832)</f>
        <v/>
      </c>
      <c r="T1832" s="35" t="str">
        <f aca="false">IF($R1832="","",$R1832-$K1832)</f>
        <v/>
      </c>
      <c r="U1832" s="35" t="str">
        <f aca="false">IF(N($P1832)&lt;=0,"",COUNTIF($P$6:$P1832,"&gt;0"))</f>
        <v/>
      </c>
    </row>
    <row r="1833" customFormat="false" ht="15" hidden="false" customHeight="false" outlineLevel="0" collapsed="false">
      <c r="A1833" s="40" t="str">
        <f aca="false">IF(INDEX(BookTitle,1828)="","",INDEX(BookGroup,1828))</f>
        <v/>
      </c>
      <c r="B1833" s="40" t="str">
        <f aca="false">IF(INDEX(BookTitle,1828)="","",INDEX(BookRef,1828))</f>
        <v/>
      </c>
      <c r="C1833" s="40" t="str">
        <f aca="false">IF(INDEX(BookTitle,1828)="","",INDEX(BookDivision,1828))</f>
        <v/>
      </c>
      <c r="D1833" s="40" t="str">
        <f aca="false">IF(INDEX(BookTitle,1828)="","",INDEX(BookUnit,1828))</f>
        <v/>
      </c>
      <c r="E1833" s="40" t="str">
        <f aca="false">IF(INDEX(BookTitle,1828)="","",INDEX(BookTitle,1828))</f>
        <v/>
      </c>
      <c r="F1833" s="40" t="str">
        <f aca="false">IF(INDEX(BookTitle,1828)="","",INDEX(BookLevel,1828))</f>
        <v/>
      </c>
      <c r="G1833" s="40" t="str">
        <f aca="false">IF(INDEX(BookTitle,1828)="","",INDEX(BookCategory,1828))</f>
        <v/>
      </c>
      <c r="H1833" s="40" t="str">
        <f aca="false">IF(INDEX(BookTitle,1828)="","",INDEX(BookRank,1828))</f>
        <v/>
      </c>
      <c r="I1833" s="41" t="str">
        <f aca="false">IF(INDEX(BookTitle,1828)="","",INDEX(BookTotal,1828))</f>
        <v/>
      </c>
      <c r="J1833" s="0" t="str">
        <f aca="false">IF($I1833="","",IF(INDEX(BookQ1,1828)&gt;0,"Q1",IF(INDEX(BookQ2,1828)&gt;0,"Q2",IF(INDEX(BookQ3,1828)&gt;0,"Q3",IF(INDEX(BookQ4,1828)&gt;0,"Q4","")))))</f>
        <v/>
      </c>
      <c r="K1833" s="42" t="str">
        <f aca="false">IF(INDEX(BookTitle,1828)="","",INDEX(BookInYear,1828))</f>
        <v/>
      </c>
      <c r="L1833" s="19"/>
      <c r="M1833" s="39"/>
      <c r="N1833" s="19"/>
      <c r="O1833" s="19"/>
      <c r="P1833" s="43" t="str">
        <f aca="false">IF($E1833="","",IF($L1833="Decline",0,IF($L1833="Approve fewer",IF($M1833="","",$M1833),IF($L1833="","",$I1833))))</f>
        <v/>
      </c>
      <c r="Q1833" s="34" t="str">
        <f aca="false">IF($P1833="","",IF($N1833&lt;&gt;"",$N1833,$J1833))</f>
        <v/>
      </c>
      <c r="R1833" s="35" t="str">
        <f aca="false">IF(OR($P1833="",$Q1833=""),"",INDEX(BookRate,1828)*$P1833*(5-MATCH($Q1833,{"Q1";"Q2";"Q3";"Q4"},0))/4+INDEX(BookOneOff,1828)*$P1833)</f>
        <v/>
      </c>
      <c r="S1833" s="35" t="str">
        <f aca="false">IF($P1833="","",INDEX(BookRate,1828)*$P1833)</f>
        <v/>
      </c>
      <c r="T1833" s="35" t="str">
        <f aca="false">IF($R1833="","",$R1833-$K1833)</f>
        <v/>
      </c>
      <c r="U1833" s="35" t="str">
        <f aca="false">IF(N($P1833)&lt;=0,"",COUNTIF($P$6:$P1833,"&gt;0"))</f>
        <v/>
      </c>
    </row>
    <row r="1834" customFormat="false" ht="15" hidden="false" customHeight="false" outlineLevel="0" collapsed="false">
      <c r="A1834" s="40" t="str">
        <f aca="false">IF(INDEX(BookTitle,1829)="","",INDEX(BookGroup,1829))</f>
        <v/>
      </c>
      <c r="B1834" s="40" t="str">
        <f aca="false">IF(INDEX(BookTitle,1829)="","",INDEX(BookRef,1829))</f>
        <v/>
      </c>
      <c r="C1834" s="40" t="str">
        <f aca="false">IF(INDEX(BookTitle,1829)="","",INDEX(BookDivision,1829))</f>
        <v/>
      </c>
      <c r="D1834" s="40" t="str">
        <f aca="false">IF(INDEX(BookTitle,1829)="","",INDEX(BookUnit,1829))</f>
        <v/>
      </c>
      <c r="E1834" s="40" t="str">
        <f aca="false">IF(INDEX(BookTitle,1829)="","",INDEX(BookTitle,1829))</f>
        <v/>
      </c>
      <c r="F1834" s="40" t="str">
        <f aca="false">IF(INDEX(BookTitle,1829)="","",INDEX(BookLevel,1829))</f>
        <v/>
      </c>
      <c r="G1834" s="40" t="str">
        <f aca="false">IF(INDEX(BookTitle,1829)="","",INDEX(BookCategory,1829))</f>
        <v/>
      </c>
      <c r="H1834" s="40" t="str">
        <f aca="false">IF(INDEX(BookTitle,1829)="","",INDEX(BookRank,1829))</f>
        <v/>
      </c>
      <c r="I1834" s="41" t="str">
        <f aca="false">IF(INDEX(BookTitle,1829)="","",INDEX(BookTotal,1829))</f>
        <v/>
      </c>
      <c r="J1834" s="0" t="str">
        <f aca="false">IF($I1834="","",IF(INDEX(BookQ1,1829)&gt;0,"Q1",IF(INDEX(BookQ2,1829)&gt;0,"Q2",IF(INDEX(BookQ3,1829)&gt;0,"Q3",IF(INDEX(BookQ4,1829)&gt;0,"Q4","")))))</f>
        <v/>
      </c>
      <c r="K1834" s="42" t="str">
        <f aca="false">IF(INDEX(BookTitle,1829)="","",INDEX(BookInYear,1829))</f>
        <v/>
      </c>
      <c r="L1834" s="19"/>
      <c r="M1834" s="39"/>
      <c r="N1834" s="19"/>
      <c r="O1834" s="19"/>
      <c r="P1834" s="43" t="str">
        <f aca="false">IF($E1834="","",IF($L1834="Decline",0,IF($L1834="Approve fewer",IF($M1834="","",$M1834),IF($L1834="","",$I1834))))</f>
        <v/>
      </c>
      <c r="Q1834" s="34" t="str">
        <f aca="false">IF($P1834="","",IF($N1834&lt;&gt;"",$N1834,$J1834))</f>
        <v/>
      </c>
      <c r="R1834" s="35" t="str">
        <f aca="false">IF(OR($P1834="",$Q1834=""),"",INDEX(BookRate,1829)*$P1834*(5-MATCH($Q1834,{"Q1";"Q2";"Q3";"Q4"},0))/4+INDEX(BookOneOff,1829)*$P1834)</f>
        <v/>
      </c>
      <c r="S1834" s="35" t="str">
        <f aca="false">IF($P1834="","",INDEX(BookRate,1829)*$P1834)</f>
        <v/>
      </c>
      <c r="T1834" s="35" t="str">
        <f aca="false">IF($R1834="","",$R1834-$K1834)</f>
        <v/>
      </c>
      <c r="U1834" s="35" t="str">
        <f aca="false">IF(N($P1834)&lt;=0,"",COUNTIF($P$6:$P1834,"&gt;0"))</f>
        <v/>
      </c>
    </row>
    <row r="1835" customFormat="false" ht="15" hidden="false" customHeight="false" outlineLevel="0" collapsed="false">
      <c r="A1835" s="40" t="str">
        <f aca="false">IF(INDEX(BookTitle,1830)="","",INDEX(BookGroup,1830))</f>
        <v/>
      </c>
      <c r="B1835" s="40" t="str">
        <f aca="false">IF(INDEX(BookTitle,1830)="","",INDEX(BookRef,1830))</f>
        <v/>
      </c>
      <c r="C1835" s="40" t="str">
        <f aca="false">IF(INDEX(BookTitle,1830)="","",INDEX(BookDivision,1830))</f>
        <v/>
      </c>
      <c r="D1835" s="40" t="str">
        <f aca="false">IF(INDEX(BookTitle,1830)="","",INDEX(BookUnit,1830))</f>
        <v/>
      </c>
      <c r="E1835" s="40" t="str">
        <f aca="false">IF(INDEX(BookTitle,1830)="","",INDEX(BookTitle,1830))</f>
        <v/>
      </c>
      <c r="F1835" s="40" t="str">
        <f aca="false">IF(INDEX(BookTitle,1830)="","",INDEX(BookLevel,1830))</f>
        <v/>
      </c>
      <c r="G1835" s="40" t="str">
        <f aca="false">IF(INDEX(BookTitle,1830)="","",INDEX(BookCategory,1830))</f>
        <v/>
      </c>
      <c r="H1835" s="40" t="str">
        <f aca="false">IF(INDEX(BookTitle,1830)="","",INDEX(BookRank,1830))</f>
        <v/>
      </c>
      <c r="I1835" s="41" t="str">
        <f aca="false">IF(INDEX(BookTitle,1830)="","",INDEX(BookTotal,1830))</f>
        <v/>
      </c>
      <c r="J1835" s="0" t="str">
        <f aca="false">IF($I1835="","",IF(INDEX(BookQ1,1830)&gt;0,"Q1",IF(INDEX(BookQ2,1830)&gt;0,"Q2",IF(INDEX(BookQ3,1830)&gt;0,"Q3",IF(INDEX(BookQ4,1830)&gt;0,"Q4","")))))</f>
        <v/>
      </c>
      <c r="K1835" s="42" t="str">
        <f aca="false">IF(INDEX(BookTitle,1830)="","",INDEX(BookInYear,1830))</f>
        <v/>
      </c>
      <c r="L1835" s="19"/>
      <c r="M1835" s="39"/>
      <c r="N1835" s="19"/>
      <c r="O1835" s="19"/>
      <c r="P1835" s="43" t="str">
        <f aca="false">IF($E1835="","",IF($L1835="Decline",0,IF($L1835="Approve fewer",IF($M1835="","",$M1835),IF($L1835="","",$I1835))))</f>
        <v/>
      </c>
      <c r="Q1835" s="34" t="str">
        <f aca="false">IF($P1835="","",IF($N1835&lt;&gt;"",$N1835,$J1835))</f>
        <v/>
      </c>
      <c r="R1835" s="35" t="str">
        <f aca="false">IF(OR($P1835="",$Q1835=""),"",INDEX(BookRate,1830)*$P1835*(5-MATCH($Q1835,{"Q1";"Q2";"Q3";"Q4"},0))/4+INDEX(BookOneOff,1830)*$P1835)</f>
        <v/>
      </c>
      <c r="S1835" s="35" t="str">
        <f aca="false">IF($P1835="","",INDEX(BookRate,1830)*$P1835)</f>
        <v/>
      </c>
      <c r="T1835" s="35" t="str">
        <f aca="false">IF($R1835="","",$R1835-$K1835)</f>
        <v/>
      </c>
      <c r="U1835" s="35" t="str">
        <f aca="false">IF(N($P1835)&lt;=0,"",COUNTIF($P$6:$P1835,"&gt;0"))</f>
        <v/>
      </c>
    </row>
    <row r="1836" customFormat="false" ht="15" hidden="false" customHeight="false" outlineLevel="0" collapsed="false">
      <c r="A1836" s="40" t="str">
        <f aca="false">IF(INDEX(BookTitle,1831)="","",INDEX(BookGroup,1831))</f>
        <v/>
      </c>
      <c r="B1836" s="40" t="str">
        <f aca="false">IF(INDEX(BookTitle,1831)="","",INDEX(BookRef,1831))</f>
        <v/>
      </c>
      <c r="C1836" s="40" t="str">
        <f aca="false">IF(INDEX(BookTitle,1831)="","",INDEX(BookDivision,1831))</f>
        <v/>
      </c>
      <c r="D1836" s="40" t="str">
        <f aca="false">IF(INDEX(BookTitle,1831)="","",INDEX(BookUnit,1831))</f>
        <v/>
      </c>
      <c r="E1836" s="40" t="str">
        <f aca="false">IF(INDEX(BookTitle,1831)="","",INDEX(BookTitle,1831))</f>
        <v/>
      </c>
      <c r="F1836" s="40" t="str">
        <f aca="false">IF(INDEX(BookTitle,1831)="","",INDEX(BookLevel,1831))</f>
        <v/>
      </c>
      <c r="G1836" s="40" t="str">
        <f aca="false">IF(INDEX(BookTitle,1831)="","",INDEX(BookCategory,1831))</f>
        <v/>
      </c>
      <c r="H1836" s="40" t="str">
        <f aca="false">IF(INDEX(BookTitle,1831)="","",INDEX(BookRank,1831))</f>
        <v/>
      </c>
      <c r="I1836" s="41" t="str">
        <f aca="false">IF(INDEX(BookTitle,1831)="","",INDEX(BookTotal,1831))</f>
        <v/>
      </c>
      <c r="J1836" s="0" t="str">
        <f aca="false">IF($I1836="","",IF(INDEX(BookQ1,1831)&gt;0,"Q1",IF(INDEX(BookQ2,1831)&gt;0,"Q2",IF(INDEX(BookQ3,1831)&gt;0,"Q3",IF(INDEX(BookQ4,1831)&gt;0,"Q4","")))))</f>
        <v/>
      </c>
      <c r="K1836" s="42" t="str">
        <f aca="false">IF(INDEX(BookTitle,1831)="","",INDEX(BookInYear,1831))</f>
        <v/>
      </c>
      <c r="L1836" s="19"/>
      <c r="M1836" s="39"/>
      <c r="N1836" s="19"/>
      <c r="O1836" s="19"/>
      <c r="P1836" s="43" t="str">
        <f aca="false">IF($E1836="","",IF($L1836="Decline",0,IF($L1836="Approve fewer",IF($M1836="","",$M1836),IF($L1836="","",$I1836))))</f>
        <v/>
      </c>
      <c r="Q1836" s="34" t="str">
        <f aca="false">IF($P1836="","",IF($N1836&lt;&gt;"",$N1836,$J1836))</f>
        <v/>
      </c>
      <c r="R1836" s="35" t="str">
        <f aca="false">IF(OR($P1836="",$Q1836=""),"",INDEX(BookRate,1831)*$P1836*(5-MATCH($Q1836,{"Q1";"Q2";"Q3";"Q4"},0))/4+INDEX(BookOneOff,1831)*$P1836)</f>
        <v/>
      </c>
      <c r="S1836" s="35" t="str">
        <f aca="false">IF($P1836="","",INDEX(BookRate,1831)*$P1836)</f>
        <v/>
      </c>
      <c r="T1836" s="35" t="str">
        <f aca="false">IF($R1836="","",$R1836-$K1836)</f>
        <v/>
      </c>
      <c r="U1836" s="35" t="str">
        <f aca="false">IF(N($P1836)&lt;=0,"",COUNTIF($P$6:$P1836,"&gt;0"))</f>
        <v/>
      </c>
    </row>
    <row r="1837" customFormat="false" ht="15" hidden="false" customHeight="false" outlineLevel="0" collapsed="false">
      <c r="A1837" s="40" t="str">
        <f aca="false">IF(INDEX(BookTitle,1832)="","",INDEX(BookGroup,1832))</f>
        <v/>
      </c>
      <c r="B1837" s="40" t="str">
        <f aca="false">IF(INDEX(BookTitle,1832)="","",INDEX(BookRef,1832))</f>
        <v/>
      </c>
      <c r="C1837" s="40" t="str">
        <f aca="false">IF(INDEX(BookTitle,1832)="","",INDEX(BookDivision,1832))</f>
        <v/>
      </c>
      <c r="D1837" s="40" t="str">
        <f aca="false">IF(INDEX(BookTitle,1832)="","",INDEX(BookUnit,1832))</f>
        <v/>
      </c>
      <c r="E1837" s="40" t="str">
        <f aca="false">IF(INDEX(BookTitle,1832)="","",INDEX(BookTitle,1832))</f>
        <v/>
      </c>
      <c r="F1837" s="40" t="str">
        <f aca="false">IF(INDEX(BookTitle,1832)="","",INDEX(BookLevel,1832))</f>
        <v/>
      </c>
      <c r="G1837" s="40" t="str">
        <f aca="false">IF(INDEX(BookTitle,1832)="","",INDEX(BookCategory,1832))</f>
        <v/>
      </c>
      <c r="H1837" s="40" t="str">
        <f aca="false">IF(INDEX(BookTitle,1832)="","",INDEX(BookRank,1832))</f>
        <v/>
      </c>
      <c r="I1837" s="41" t="str">
        <f aca="false">IF(INDEX(BookTitle,1832)="","",INDEX(BookTotal,1832))</f>
        <v/>
      </c>
      <c r="J1837" s="0" t="str">
        <f aca="false">IF($I1837="","",IF(INDEX(BookQ1,1832)&gt;0,"Q1",IF(INDEX(BookQ2,1832)&gt;0,"Q2",IF(INDEX(BookQ3,1832)&gt;0,"Q3",IF(INDEX(BookQ4,1832)&gt;0,"Q4","")))))</f>
        <v/>
      </c>
      <c r="K1837" s="42" t="str">
        <f aca="false">IF(INDEX(BookTitle,1832)="","",INDEX(BookInYear,1832))</f>
        <v/>
      </c>
      <c r="L1837" s="19"/>
      <c r="M1837" s="39"/>
      <c r="N1837" s="19"/>
      <c r="O1837" s="19"/>
      <c r="P1837" s="43" t="str">
        <f aca="false">IF($E1837="","",IF($L1837="Decline",0,IF($L1837="Approve fewer",IF($M1837="","",$M1837),IF($L1837="","",$I1837))))</f>
        <v/>
      </c>
      <c r="Q1837" s="34" t="str">
        <f aca="false">IF($P1837="","",IF($N1837&lt;&gt;"",$N1837,$J1837))</f>
        <v/>
      </c>
      <c r="R1837" s="35" t="str">
        <f aca="false">IF(OR($P1837="",$Q1837=""),"",INDEX(BookRate,1832)*$P1837*(5-MATCH($Q1837,{"Q1";"Q2";"Q3";"Q4"},0))/4+INDEX(BookOneOff,1832)*$P1837)</f>
        <v/>
      </c>
      <c r="S1837" s="35" t="str">
        <f aca="false">IF($P1837="","",INDEX(BookRate,1832)*$P1837)</f>
        <v/>
      </c>
      <c r="T1837" s="35" t="str">
        <f aca="false">IF($R1837="","",$R1837-$K1837)</f>
        <v/>
      </c>
      <c r="U1837" s="35" t="str">
        <f aca="false">IF(N($P1837)&lt;=0,"",COUNTIF($P$6:$P1837,"&gt;0"))</f>
        <v/>
      </c>
    </row>
    <row r="1838" customFormat="false" ht="15" hidden="false" customHeight="false" outlineLevel="0" collapsed="false">
      <c r="A1838" s="40" t="str">
        <f aca="false">IF(INDEX(BookTitle,1833)="","",INDEX(BookGroup,1833))</f>
        <v/>
      </c>
      <c r="B1838" s="40" t="str">
        <f aca="false">IF(INDEX(BookTitle,1833)="","",INDEX(BookRef,1833))</f>
        <v/>
      </c>
      <c r="C1838" s="40" t="str">
        <f aca="false">IF(INDEX(BookTitle,1833)="","",INDEX(BookDivision,1833))</f>
        <v/>
      </c>
      <c r="D1838" s="40" t="str">
        <f aca="false">IF(INDEX(BookTitle,1833)="","",INDEX(BookUnit,1833))</f>
        <v/>
      </c>
      <c r="E1838" s="40" t="str">
        <f aca="false">IF(INDEX(BookTitle,1833)="","",INDEX(BookTitle,1833))</f>
        <v/>
      </c>
      <c r="F1838" s="40" t="str">
        <f aca="false">IF(INDEX(BookTitle,1833)="","",INDEX(BookLevel,1833))</f>
        <v/>
      </c>
      <c r="G1838" s="40" t="str">
        <f aca="false">IF(INDEX(BookTitle,1833)="","",INDEX(BookCategory,1833))</f>
        <v/>
      </c>
      <c r="H1838" s="40" t="str">
        <f aca="false">IF(INDEX(BookTitle,1833)="","",INDEX(BookRank,1833))</f>
        <v/>
      </c>
      <c r="I1838" s="41" t="str">
        <f aca="false">IF(INDEX(BookTitle,1833)="","",INDEX(BookTotal,1833))</f>
        <v/>
      </c>
      <c r="J1838" s="0" t="str">
        <f aca="false">IF($I1838="","",IF(INDEX(BookQ1,1833)&gt;0,"Q1",IF(INDEX(BookQ2,1833)&gt;0,"Q2",IF(INDEX(BookQ3,1833)&gt;0,"Q3",IF(INDEX(BookQ4,1833)&gt;0,"Q4","")))))</f>
        <v/>
      </c>
      <c r="K1838" s="42" t="str">
        <f aca="false">IF(INDEX(BookTitle,1833)="","",INDEX(BookInYear,1833))</f>
        <v/>
      </c>
      <c r="L1838" s="19"/>
      <c r="M1838" s="39"/>
      <c r="N1838" s="19"/>
      <c r="O1838" s="19"/>
      <c r="P1838" s="43" t="str">
        <f aca="false">IF($E1838="","",IF($L1838="Decline",0,IF($L1838="Approve fewer",IF($M1838="","",$M1838),IF($L1838="","",$I1838))))</f>
        <v/>
      </c>
      <c r="Q1838" s="34" t="str">
        <f aca="false">IF($P1838="","",IF($N1838&lt;&gt;"",$N1838,$J1838))</f>
        <v/>
      </c>
      <c r="R1838" s="35" t="str">
        <f aca="false">IF(OR($P1838="",$Q1838=""),"",INDEX(BookRate,1833)*$P1838*(5-MATCH($Q1838,{"Q1";"Q2";"Q3";"Q4"},0))/4+INDEX(BookOneOff,1833)*$P1838)</f>
        <v/>
      </c>
      <c r="S1838" s="35" t="str">
        <f aca="false">IF($P1838="","",INDEX(BookRate,1833)*$P1838)</f>
        <v/>
      </c>
      <c r="T1838" s="35" t="str">
        <f aca="false">IF($R1838="","",$R1838-$K1838)</f>
        <v/>
      </c>
      <c r="U1838" s="35" t="str">
        <f aca="false">IF(N($P1838)&lt;=0,"",COUNTIF($P$6:$P1838,"&gt;0"))</f>
        <v/>
      </c>
    </row>
    <row r="1839" customFormat="false" ht="15" hidden="false" customHeight="false" outlineLevel="0" collapsed="false">
      <c r="A1839" s="40" t="str">
        <f aca="false">IF(INDEX(BookTitle,1834)="","",INDEX(BookGroup,1834))</f>
        <v/>
      </c>
      <c r="B1839" s="40" t="str">
        <f aca="false">IF(INDEX(BookTitle,1834)="","",INDEX(BookRef,1834))</f>
        <v/>
      </c>
      <c r="C1839" s="40" t="str">
        <f aca="false">IF(INDEX(BookTitle,1834)="","",INDEX(BookDivision,1834))</f>
        <v/>
      </c>
      <c r="D1839" s="40" t="str">
        <f aca="false">IF(INDEX(BookTitle,1834)="","",INDEX(BookUnit,1834))</f>
        <v/>
      </c>
      <c r="E1839" s="40" t="str">
        <f aca="false">IF(INDEX(BookTitle,1834)="","",INDEX(BookTitle,1834))</f>
        <v/>
      </c>
      <c r="F1839" s="40" t="str">
        <f aca="false">IF(INDEX(BookTitle,1834)="","",INDEX(BookLevel,1834))</f>
        <v/>
      </c>
      <c r="G1839" s="40" t="str">
        <f aca="false">IF(INDEX(BookTitle,1834)="","",INDEX(BookCategory,1834))</f>
        <v/>
      </c>
      <c r="H1839" s="40" t="str">
        <f aca="false">IF(INDEX(BookTitle,1834)="","",INDEX(BookRank,1834))</f>
        <v/>
      </c>
      <c r="I1839" s="41" t="str">
        <f aca="false">IF(INDEX(BookTitle,1834)="","",INDEX(BookTotal,1834))</f>
        <v/>
      </c>
      <c r="J1839" s="0" t="str">
        <f aca="false">IF($I1839="","",IF(INDEX(BookQ1,1834)&gt;0,"Q1",IF(INDEX(BookQ2,1834)&gt;0,"Q2",IF(INDEX(BookQ3,1834)&gt;0,"Q3",IF(INDEX(BookQ4,1834)&gt;0,"Q4","")))))</f>
        <v/>
      </c>
      <c r="K1839" s="42" t="str">
        <f aca="false">IF(INDEX(BookTitle,1834)="","",INDEX(BookInYear,1834))</f>
        <v/>
      </c>
      <c r="L1839" s="19"/>
      <c r="M1839" s="39"/>
      <c r="N1839" s="19"/>
      <c r="O1839" s="19"/>
      <c r="P1839" s="43" t="str">
        <f aca="false">IF($E1839="","",IF($L1839="Decline",0,IF($L1839="Approve fewer",IF($M1839="","",$M1839),IF($L1839="","",$I1839))))</f>
        <v/>
      </c>
      <c r="Q1839" s="34" t="str">
        <f aca="false">IF($P1839="","",IF($N1839&lt;&gt;"",$N1839,$J1839))</f>
        <v/>
      </c>
      <c r="R1839" s="35" t="str">
        <f aca="false">IF(OR($P1839="",$Q1839=""),"",INDEX(BookRate,1834)*$P1839*(5-MATCH($Q1839,{"Q1";"Q2";"Q3";"Q4"},0))/4+INDEX(BookOneOff,1834)*$P1839)</f>
        <v/>
      </c>
      <c r="S1839" s="35" t="str">
        <f aca="false">IF($P1839="","",INDEX(BookRate,1834)*$P1839)</f>
        <v/>
      </c>
      <c r="T1839" s="35" t="str">
        <f aca="false">IF($R1839="","",$R1839-$K1839)</f>
        <v/>
      </c>
      <c r="U1839" s="35" t="str">
        <f aca="false">IF(N($P1839)&lt;=0,"",COUNTIF($P$6:$P1839,"&gt;0"))</f>
        <v/>
      </c>
    </row>
    <row r="1840" customFormat="false" ht="15" hidden="false" customHeight="false" outlineLevel="0" collapsed="false">
      <c r="A1840" s="40" t="str">
        <f aca="false">IF(INDEX(BookTitle,1835)="","",INDEX(BookGroup,1835))</f>
        <v/>
      </c>
      <c r="B1840" s="40" t="str">
        <f aca="false">IF(INDEX(BookTitle,1835)="","",INDEX(BookRef,1835))</f>
        <v/>
      </c>
      <c r="C1840" s="40" t="str">
        <f aca="false">IF(INDEX(BookTitle,1835)="","",INDEX(BookDivision,1835))</f>
        <v/>
      </c>
      <c r="D1840" s="40" t="str">
        <f aca="false">IF(INDEX(BookTitle,1835)="","",INDEX(BookUnit,1835))</f>
        <v/>
      </c>
      <c r="E1840" s="40" t="str">
        <f aca="false">IF(INDEX(BookTitle,1835)="","",INDEX(BookTitle,1835))</f>
        <v/>
      </c>
      <c r="F1840" s="40" t="str">
        <f aca="false">IF(INDEX(BookTitle,1835)="","",INDEX(BookLevel,1835))</f>
        <v/>
      </c>
      <c r="G1840" s="40" t="str">
        <f aca="false">IF(INDEX(BookTitle,1835)="","",INDEX(BookCategory,1835))</f>
        <v/>
      </c>
      <c r="H1840" s="40" t="str">
        <f aca="false">IF(INDEX(BookTitle,1835)="","",INDEX(BookRank,1835))</f>
        <v/>
      </c>
      <c r="I1840" s="41" t="str">
        <f aca="false">IF(INDEX(BookTitle,1835)="","",INDEX(BookTotal,1835))</f>
        <v/>
      </c>
      <c r="J1840" s="0" t="str">
        <f aca="false">IF($I1840="","",IF(INDEX(BookQ1,1835)&gt;0,"Q1",IF(INDEX(BookQ2,1835)&gt;0,"Q2",IF(INDEX(BookQ3,1835)&gt;0,"Q3",IF(INDEX(BookQ4,1835)&gt;0,"Q4","")))))</f>
        <v/>
      </c>
      <c r="K1840" s="42" t="str">
        <f aca="false">IF(INDEX(BookTitle,1835)="","",INDEX(BookInYear,1835))</f>
        <v/>
      </c>
      <c r="L1840" s="19"/>
      <c r="M1840" s="39"/>
      <c r="N1840" s="19"/>
      <c r="O1840" s="19"/>
      <c r="P1840" s="43" t="str">
        <f aca="false">IF($E1840="","",IF($L1840="Decline",0,IF($L1840="Approve fewer",IF($M1840="","",$M1840),IF($L1840="","",$I1840))))</f>
        <v/>
      </c>
      <c r="Q1840" s="34" t="str">
        <f aca="false">IF($P1840="","",IF($N1840&lt;&gt;"",$N1840,$J1840))</f>
        <v/>
      </c>
      <c r="R1840" s="35" t="str">
        <f aca="false">IF(OR($P1840="",$Q1840=""),"",INDEX(BookRate,1835)*$P1840*(5-MATCH($Q1840,{"Q1";"Q2";"Q3";"Q4"},0))/4+INDEX(BookOneOff,1835)*$P1840)</f>
        <v/>
      </c>
      <c r="S1840" s="35" t="str">
        <f aca="false">IF($P1840="","",INDEX(BookRate,1835)*$P1840)</f>
        <v/>
      </c>
      <c r="T1840" s="35" t="str">
        <f aca="false">IF($R1840="","",$R1840-$K1840)</f>
        <v/>
      </c>
      <c r="U1840" s="35" t="str">
        <f aca="false">IF(N($P1840)&lt;=0,"",COUNTIF($P$6:$P1840,"&gt;0"))</f>
        <v/>
      </c>
    </row>
    <row r="1841" customFormat="false" ht="15" hidden="false" customHeight="false" outlineLevel="0" collapsed="false">
      <c r="A1841" s="40" t="str">
        <f aca="false">IF(INDEX(BookTitle,1836)="","",INDEX(BookGroup,1836))</f>
        <v/>
      </c>
      <c r="B1841" s="40" t="str">
        <f aca="false">IF(INDEX(BookTitle,1836)="","",INDEX(BookRef,1836))</f>
        <v/>
      </c>
      <c r="C1841" s="40" t="str">
        <f aca="false">IF(INDEX(BookTitle,1836)="","",INDEX(BookDivision,1836))</f>
        <v/>
      </c>
      <c r="D1841" s="40" t="str">
        <f aca="false">IF(INDEX(BookTitle,1836)="","",INDEX(BookUnit,1836))</f>
        <v/>
      </c>
      <c r="E1841" s="40" t="str">
        <f aca="false">IF(INDEX(BookTitle,1836)="","",INDEX(BookTitle,1836))</f>
        <v/>
      </c>
      <c r="F1841" s="40" t="str">
        <f aca="false">IF(INDEX(BookTitle,1836)="","",INDEX(BookLevel,1836))</f>
        <v/>
      </c>
      <c r="G1841" s="40" t="str">
        <f aca="false">IF(INDEX(BookTitle,1836)="","",INDEX(BookCategory,1836))</f>
        <v/>
      </c>
      <c r="H1841" s="40" t="str">
        <f aca="false">IF(INDEX(BookTitle,1836)="","",INDEX(BookRank,1836))</f>
        <v/>
      </c>
      <c r="I1841" s="41" t="str">
        <f aca="false">IF(INDEX(BookTitle,1836)="","",INDEX(BookTotal,1836))</f>
        <v/>
      </c>
      <c r="J1841" s="0" t="str">
        <f aca="false">IF($I1841="","",IF(INDEX(BookQ1,1836)&gt;0,"Q1",IF(INDEX(BookQ2,1836)&gt;0,"Q2",IF(INDEX(BookQ3,1836)&gt;0,"Q3",IF(INDEX(BookQ4,1836)&gt;0,"Q4","")))))</f>
        <v/>
      </c>
      <c r="K1841" s="42" t="str">
        <f aca="false">IF(INDEX(BookTitle,1836)="","",INDEX(BookInYear,1836))</f>
        <v/>
      </c>
      <c r="L1841" s="19"/>
      <c r="M1841" s="39"/>
      <c r="N1841" s="19"/>
      <c r="O1841" s="19"/>
      <c r="P1841" s="43" t="str">
        <f aca="false">IF($E1841="","",IF($L1841="Decline",0,IF($L1841="Approve fewer",IF($M1841="","",$M1841),IF($L1841="","",$I1841))))</f>
        <v/>
      </c>
      <c r="Q1841" s="34" t="str">
        <f aca="false">IF($P1841="","",IF($N1841&lt;&gt;"",$N1841,$J1841))</f>
        <v/>
      </c>
      <c r="R1841" s="35" t="str">
        <f aca="false">IF(OR($P1841="",$Q1841=""),"",INDEX(BookRate,1836)*$P1841*(5-MATCH($Q1841,{"Q1";"Q2";"Q3";"Q4"},0))/4+INDEX(BookOneOff,1836)*$P1841)</f>
        <v/>
      </c>
      <c r="S1841" s="35" t="str">
        <f aca="false">IF($P1841="","",INDEX(BookRate,1836)*$P1841)</f>
        <v/>
      </c>
      <c r="T1841" s="35" t="str">
        <f aca="false">IF($R1841="","",$R1841-$K1841)</f>
        <v/>
      </c>
      <c r="U1841" s="35" t="str">
        <f aca="false">IF(N($P1841)&lt;=0,"",COUNTIF($P$6:$P1841,"&gt;0"))</f>
        <v/>
      </c>
    </row>
    <row r="1842" customFormat="false" ht="15" hidden="false" customHeight="false" outlineLevel="0" collapsed="false">
      <c r="A1842" s="40" t="str">
        <f aca="false">IF(INDEX(BookTitle,1837)="","",INDEX(BookGroup,1837))</f>
        <v/>
      </c>
      <c r="B1842" s="40" t="str">
        <f aca="false">IF(INDEX(BookTitle,1837)="","",INDEX(BookRef,1837))</f>
        <v/>
      </c>
      <c r="C1842" s="40" t="str">
        <f aca="false">IF(INDEX(BookTitle,1837)="","",INDEX(BookDivision,1837))</f>
        <v/>
      </c>
      <c r="D1842" s="40" t="str">
        <f aca="false">IF(INDEX(BookTitle,1837)="","",INDEX(BookUnit,1837))</f>
        <v/>
      </c>
      <c r="E1842" s="40" t="str">
        <f aca="false">IF(INDEX(BookTitle,1837)="","",INDEX(BookTitle,1837))</f>
        <v/>
      </c>
      <c r="F1842" s="40" t="str">
        <f aca="false">IF(INDEX(BookTitle,1837)="","",INDEX(BookLevel,1837))</f>
        <v/>
      </c>
      <c r="G1842" s="40" t="str">
        <f aca="false">IF(INDEX(BookTitle,1837)="","",INDEX(BookCategory,1837))</f>
        <v/>
      </c>
      <c r="H1842" s="40" t="str">
        <f aca="false">IF(INDEX(BookTitle,1837)="","",INDEX(BookRank,1837))</f>
        <v/>
      </c>
      <c r="I1842" s="41" t="str">
        <f aca="false">IF(INDEX(BookTitle,1837)="","",INDEX(BookTotal,1837))</f>
        <v/>
      </c>
      <c r="J1842" s="0" t="str">
        <f aca="false">IF($I1842="","",IF(INDEX(BookQ1,1837)&gt;0,"Q1",IF(INDEX(BookQ2,1837)&gt;0,"Q2",IF(INDEX(BookQ3,1837)&gt;0,"Q3",IF(INDEX(BookQ4,1837)&gt;0,"Q4","")))))</f>
        <v/>
      </c>
      <c r="K1842" s="42" t="str">
        <f aca="false">IF(INDEX(BookTitle,1837)="","",INDEX(BookInYear,1837))</f>
        <v/>
      </c>
      <c r="L1842" s="19"/>
      <c r="M1842" s="39"/>
      <c r="N1842" s="19"/>
      <c r="O1842" s="19"/>
      <c r="P1842" s="43" t="str">
        <f aca="false">IF($E1842="","",IF($L1842="Decline",0,IF($L1842="Approve fewer",IF($M1842="","",$M1842),IF($L1842="","",$I1842))))</f>
        <v/>
      </c>
      <c r="Q1842" s="34" t="str">
        <f aca="false">IF($P1842="","",IF($N1842&lt;&gt;"",$N1842,$J1842))</f>
        <v/>
      </c>
      <c r="R1842" s="35" t="str">
        <f aca="false">IF(OR($P1842="",$Q1842=""),"",INDEX(BookRate,1837)*$P1842*(5-MATCH($Q1842,{"Q1";"Q2";"Q3";"Q4"},0))/4+INDEX(BookOneOff,1837)*$P1842)</f>
        <v/>
      </c>
      <c r="S1842" s="35" t="str">
        <f aca="false">IF($P1842="","",INDEX(BookRate,1837)*$P1842)</f>
        <v/>
      </c>
      <c r="T1842" s="35" t="str">
        <f aca="false">IF($R1842="","",$R1842-$K1842)</f>
        <v/>
      </c>
      <c r="U1842" s="35" t="str">
        <f aca="false">IF(N($P1842)&lt;=0,"",COUNTIF($P$6:$P1842,"&gt;0"))</f>
        <v/>
      </c>
    </row>
    <row r="1843" customFormat="false" ht="15" hidden="false" customHeight="false" outlineLevel="0" collapsed="false">
      <c r="A1843" s="40" t="str">
        <f aca="false">IF(INDEX(BookTitle,1838)="","",INDEX(BookGroup,1838))</f>
        <v/>
      </c>
      <c r="B1843" s="40" t="str">
        <f aca="false">IF(INDEX(BookTitle,1838)="","",INDEX(BookRef,1838))</f>
        <v/>
      </c>
      <c r="C1843" s="40" t="str">
        <f aca="false">IF(INDEX(BookTitle,1838)="","",INDEX(BookDivision,1838))</f>
        <v/>
      </c>
      <c r="D1843" s="40" t="str">
        <f aca="false">IF(INDEX(BookTitle,1838)="","",INDEX(BookUnit,1838))</f>
        <v/>
      </c>
      <c r="E1843" s="40" t="str">
        <f aca="false">IF(INDEX(BookTitle,1838)="","",INDEX(BookTitle,1838))</f>
        <v/>
      </c>
      <c r="F1843" s="40" t="str">
        <f aca="false">IF(INDEX(BookTitle,1838)="","",INDEX(BookLevel,1838))</f>
        <v/>
      </c>
      <c r="G1843" s="40" t="str">
        <f aca="false">IF(INDEX(BookTitle,1838)="","",INDEX(BookCategory,1838))</f>
        <v/>
      </c>
      <c r="H1843" s="40" t="str">
        <f aca="false">IF(INDEX(BookTitle,1838)="","",INDEX(BookRank,1838))</f>
        <v/>
      </c>
      <c r="I1843" s="41" t="str">
        <f aca="false">IF(INDEX(BookTitle,1838)="","",INDEX(BookTotal,1838))</f>
        <v/>
      </c>
      <c r="J1843" s="0" t="str">
        <f aca="false">IF($I1843="","",IF(INDEX(BookQ1,1838)&gt;0,"Q1",IF(INDEX(BookQ2,1838)&gt;0,"Q2",IF(INDEX(BookQ3,1838)&gt;0,"Q3",IF(INDEX(BookQ4,1838)&gt;0,"Q4","")))))</f>
        <v/>
      </c>
      <c r="K1843" s="42" t="str">
        <f aca="false">IF(INDEX(BookTitle,1838)="","",INDEX(BookInYear,1838))</f>
        <v/>
      </c>
      <c r="L1843" s="19"/>
      <c r="M1843" s="39"/>
      <c r="N1843" s="19"/>
      <c r="O1843" s="19"/>
      <c r="P1843" s="43" t="str">
        <f aca="false">IF($E1843="","",IF($L1843="Decline",0,IF($L1843="Approve fewer",IF($M1843="","",$M1843),IF($L1843="","",$I1843))))</f>
        <v/>
      </c>
      <c r="Q1843" s="34" t="str">
        <f aca="false">IF($P1843="","",IF($N1843&lt;&gt;"",$N1843,$J1843))</f>
        <v/>
      </c>
      <c r="R1843" s="35" t="str">
        <f aca="false">IF(OR($P1843="",$Q1843=""),"",INDEX(BookRate,1838)*$P1843*(5-MATCH($Q1843,{"Q1";"Q2";"Q3";"Q4"},0))/4+INDEX(BookOneOff,1838)*$P1843)</f>
        <v/>
      </c>
      <c r="S1843" s="35" t="str">
        <f aca="false">IF($P1843="","",INDEX(BookRate,1838)*$P1843)</f>
        <v/>
      </c>
      <c r="T1843" s="35" t="str">
        <f aca="false">IF($R1843="","",$R1843-$K1843)</f>
        <v/>
      </c>
      <c r="U1843" s="35" t="str">
        <f aca="false">IF(N($P1843)&lt;=0,"",COUNTIF($P$6:$P1843,"&gt;0"))</f>
        <v/>
      </c>
    </row>
    <row r="1844" customFormat="false" ht="15" hidden="false" customHeight="false" outlineLevel="0" collapsed="false">
      <c r="A1844" s="40" t="str">
        <f aca="false">IF(INDEX(BookTitle,1839)="","",INDEX(BookGroup,1839))</f>
        <v/>
      </c>
      <c r="B1844" s="40" t="str">
        <f aca="false">IF(INDEX(BookTitle,1839)="","",INDEX(BookRef,1839))</f>
        <v/>
      </c>
      <c r="C1844" s="40" t="str">
        <f aca="false">IF(INDEX(BookTitle,1839)="","",INDEX(BookDivision,1839))</f>
        <v/>
      </c>
      <c r="D1844" s="40" t="str">
        <f aca="false">IF(INDEX(BookTitle,1839)="","",INDEX(BookUnit,1839))</f>
        <v/>
      </c>
      <c r="E1844" s="40" t="str">
        <f aca="false">IF(INDEX(BookTitle,1839)="","",INDEX(BookTitle,1839))</f>
        <v/>
      </c>
      <c r="F1844" s="40" t="str">
        <f aca="false">IF(INDEX(BookTitle,1839)="","",INDEX(BookLevel,1839))</f>
        <v/>
      </c>
      <c r="G1844" s="40" t="str">
        <f aca="false">IF(INDEX(BookTitle,1839)="","",INDEX(BookCategory,1839))</f>
        <v/>
      </c>
      <c r="H1844" s="40" t="str">
        <f aca="false">IF(INDEX(BookTitle,1839)="","",INDEX(BookRank,1839))</f>
        <v/>
      </c>
      <c r="I1844" s="41" t="str">
        <f aca="false">IF(INDEX(BookTitle,1839)="","",INDEX(BookTotal,1839))</f>
        <v/>
      </c>
      <c r="J1844" s="0" t="str">
        <f aca="false">IF($I1844="","",IF(INDEX(BookQ1,1839)&gt;0,"Q1",IF(INDEX(BookQ2,1839)&gt;0,"Q2",IF(INDEX(BookQ3,1839)&gt;0,"Q3",IF(INDEX(BookQ4,1839)&gt;0,"Q4","")))))</f>
        <v/>
      </c>
      <c r="K1844" s="42" t="str">
        <f aca="false">IF(INDEX(BookTitle,1839)="","",INDEX(BookInYear,1839))</f>
        <v/>
      </c>
      <c r="L1844" s="19"/>
      <c r="M1844" s="39"/>
      <c r="N1844" s="19"/>
      <c r="O1844" s="19"/>
      <c r="P1844" s="43" t="str">
        <f aca="false">IF($E1844="","",IF($L1844="Decline",0,IF($L1844="Approve fewer",IF($M1844="","",$M1844),IF($L1844="","",$I1844))))</f>
        <v/>
      </c>
      <c r="Q1844" s="34" t="str">
        <f aca="false">IF($P1844="","",IF($N1844&lt;&gt;"",$N1844,$J1844))</f>
        <v/>
      </c>
      <c r="R1844" s="35" t="str">
        <f aca="false">IF(OR($P1844="",$Q1844=""),"",INDEX(BookRate,1839)*$P1844*(5-MATCH($Q1844,{"Q1";"Q2";"Q3";"Q4"},0))/4+INDEX(BookOneOff,1839)*$P1844)</f>
        <v/>
      </c>
      <c r="S1844" s="35" t="str">
        <f aca="false">IF($P1844="","",INDEX(BookRate,1839)*$P1844)</f>
        <v/>
      </c>
      <c r="T1844" s="35" t="str">
        <f aca="false">IF($R1844="","",$R1844-$K1844)</f>
        <v/>
      </c>
      <c r="U1844" s="35" t="str">
        <f aca="false">IF(N($P1844)&lt;=0,"",COUNTIF($P$6:$P1844,"&gt;0"))</f>
        <v/>
      </c>
    </row>
    <row r="1845" customFormat="false" ht="15" hidden="false" customHeight="false" outlineLevel="0" collapsed="false">
      <c r="A1845" s="40" t="str">
        <f aca="false">IF(INDEX(BookTitle,1840)="","",INDEX(BookGroup,1840))</f>
        <v/>
      </c>
      <c r="B1845" s="40" t="str">
        <f aca="false">IF(INDEX(BookTitle,1840)="","",INDEX(BookRef,1840))</f>
        <v/>
      </c>
      <c r="C1845" s="40" t="str">
        <f aca="false">IF(INDEX(BookTitle,1840)="","",INDEX(BookDivision,1840))</f>
        <v/>
      </c>
      <c r="D1845" s="40" t="str">
        <f aca="false">IF(INDEX(BookTitle,1840)="","",INDEX(BookUnit,1840))</f>
        <v/>
      </c>
      <c r="E1845" s="40" t="str">
        <f aca="false">IF(INDEX(BookTitle,1840)="","",INDEX(BookTitle,1840))</f>
        <v/>
      </c>
      <c r="F1845" s="40" t="str">
        <f aca="false">IF(INDEX(BookTitle,1840)="","",INDEX(BookLevel,1840))</f>
        <v/>
      </c>
      <c r="G1845" s="40" t="str">
        <f aca="false">IF(INDEX(BookTitle,1840)="","",INDEX(BookCategory,1840))</f>
        <v/>
      </c>
      <c r="H1845" s="40" t="str">
        <f aca="false">IF(INDEX(BookTitle,1840)="","",INDEX(BookRank,1840))</f>
        <v/>
      </c>
      <c r="I1845" s="41" t="str">
        <f aca="false">IF(INDEX(BookTitle,1840)="","",INDEX(BookTotal,1840))</f>
        <v/>
      </c>
      <c r="J1845" s="0" t="str">
        <f aca="false">IF($I1845="","",IF(INDEX(BookQ1,1840)&gt;0,"Q1",IF(INDEX(BookQ2,1840)&gt;0,"Q2",IF(INDEX(BookQ3,1840)&gt;0,"Q3",IF(INDEX(BookQ4,1840)&gt;0,"Q4","")))))</f>
        <v/>
      </c>
      <c r="K1845" s="42" t="str">
        <f aca="false">IF(INDEX(BookTitle,1840)="","",INDEX(BookInYear,1840))</f>
        <v/>
      </c>
      <c r="L1845" s="19"/>
      <c r="M1845" s="39"/>
      <c r="N1845" s="19"/>
      <c r="O1845" s="19"/>
      <c r="P1845" s="43" t="str">
        <f aca="false">IF($E1845="","",IF($L1845="Decline",0,IF($L1845="Approve fewer",IF($M1845="","",$M1845),IF($L1845="","",$I1845))))</f>
        <v/>
      </c>
      <c r="Q1845" s="34" t="str">
        <f aca="false">IF($P1845="","",IF($N1845&lt;&gt;"",$N1845,$J1845))</f>
        <v/>
      </c>
      <c r="R1845" s="35" t="str">
        <f aca="false">IF(OR($P1845="",$Q1845=""),"",INDEX(BookRate,1840)*$P1845*(5-MATCH($Q1845,{"Q1";"Q2";"Q3";"Q4"},0))/4+INDEX(BookOneOff,1840)*$P1845)</f>
        <v/>
      </c>
      <c r="S1845" s="35" t="str">
        <f aca="false">IF($P1845="","",INDEX(BookRate,1840)*$P1845)</f>
        <v/>
      </c>
      <c r="T1845" s="35" t="str">
        <f aca="false">IF($R1845="","",$R1845-$K1845)</f>
        <v/>
      </c>
      <c r="U1845" s="35" t="str">
        <f aca="false">IF(N($P1845)&lt;=0,"",COUNTIF($P$6:$P1845,"&gt;0"))</f>
        <v/>
      </c>
    </row>
    <row r="1846" customFormat="false" ht="15" hidden="false" customHeight="false" outlineLevel="0" collapsed="false">
      <c r="A1846" s="40" t="str">
        <f aca="false">IF(INDEX(BookTitle,1841)="","",INDEX(BookGroup,1841))</f>
        <v/>
      </c>
      <c r="B1846" s="40" t="str">
        <f aca="false">IF(INDEX(BookTitle,1841)="","",INDEX(BookRef,1841))</f>
        <v/>
      </c>
      <c r="C1846" s="40" t="str">
        <f aca="false">IF(INDEX(BookTitle,1841)="","",INDEX(BookDivision,1841))</f>
        <v/>
      </c>
      <c r="D1846" s="40" t="str">
        <f aca="false">IF(INDEX(BookTitle,1841)="","",INDEX(BookUnit,1841))</f>
        <v/>
      </c>
      <c r="E1846" s="40" t="str">
        <f aca="false">IF(INDEX(BookTitle,1841)="","",INDEX(BookTitle,1841))</f>
        <v/>
      </c>
      <c r="F1846" s="40" t="str">
        <f aca="false">IF(INDEX(BookTitle,1841)="","",INDEX(BookLevel,1841))</f>
        <v/>
      </c>
      <c r="G1846" s="40" t="str">
        <f aca="false">IF(INDEX(BookTitle,1841)="","",INDEX(BookCategory,1841))</f>
        <v/>
      </c>
      <c r="H1846" s="40" t="str">
        <f aca="false">IF(INDEX(BookTitle,1841)="","",INDEX(BookRank,1841))</f>
        <v/>
      </c>
      <c r="I1846" s="41" t="str">
        <f aca="false">IF(INDEX(BookTitle,1841)="","",INDEX(BookTotal,1841))</f>
        <v/>
      </c>
      <c r="J1846" s="0" t="str">
        <f aca="false">IF($I1846="","",IF(INDEX(BookQ1,1841)&gt;0,"Q1",IF(INDEX(BookQ2,1841)&gt;0,"Q2",IF(INDEX(BookQ3,1841)&gt;0,"Q3",IF(INDEX(BookQ4,1841)&gt;0,"Q4","")))))</f>
        <v/>
      </c>
      <c r="K1846" s="42" t="str">
        <f aca="false">IF(INDEX(BookTitle,1841)="","",INDEX(BookInYear,1841))</f>
        <v/>
      </c>
      <c r="L1846" s="19"/>
      <c r="M1846" s="39"/>
      <c r="N1846" s="19"/>
      <c r="O1846" s="19"/>
      <c r="P1846" s="43" t="str">
        <f aca="false">IF($E1846="","",IF($L1846="Decline",0,IF($L1846="Approve fewer",IF($M1846="","",$M1846),IF($L1846="","",$I1846))))</f>
        <v/>
      </c>
      <c r="Q1846" s="34" t="str">
        <f aca="false">IF($P1846="","",IF($N1846&lt;&gt;"",$N1846,$J1846))</f>
        <v/>
      </c>
      <c r="R1846" s="35" t="str">
        <f aca="false">IF(OR($P1846="",$Q1846=""),"",INDEX(BookRate,1841)*$P1846*(5-MATCH($Q1846,{"Q1";"Q2";"Q3";"Q4"},0))/4+INDEX(BookOneOff,1841)*$P1846)</f>
        <v/>
      </c>
      <c r="S1846" s="35" t="str">
        <f aca="false">IF($P1846="","",INDEX(BookRate,1841)*$P1846)</f>
        <v/>
      </c>
      <c r="T1846" s="35" t="str">
        <f aca="false">IF($R1846="","",$R1846-$K1846)</f>
        <v/>
      </c>
      <c r="U1846" s="35" t="str">
        <f aca="false">IF(N($P1846)&lt;=0,"",COUNTIF($P$6:$P1846,"&gt;0"))</f>
        <v/>
      </c>
    </row>
    <row r="1847" customFormat="false" ht="15" hidden="false" customHeight="false" outlineLevel="0" collapsed="false">
      <c r="A1847" s="40" t="str">
        <f aca="false">IF(INDEX(BookTitle,1842)="","",INDEX(BookGroup,1842))</f>
        <v/>
      </c>
      <c r="B1847" s="40" t="str">
        <f aca="false">IF(INDEX(BookTitle,1842)="","",INDEX(BookRef,1842))</f>
        <v/>
      </c>
      <c r="C1847" s="40" t="str">
        <f aca="false">IF(INDEX(BookTitle,1842)="","",INDEX(BookDivision,1842))</f>
        <v/>
      </c>
      <c r="D1847" s="40" t="str">
        <f aca="false">IF(INDEX(BookTitle,1842)="","",INDEX(BookUnit,1842))</f>
        <v/>
      </c>
      <c r="E1847" s="40" t="str">
        <f aca="false">IF(INDEX(BookTitle,1842)="","",INDEX(BookTitle,1842))</f>
        <v/>
      </c>
      <c r="F1847" s="40" t="str">
        <f aca="false">IF(INDEX(BookTitle,1842)="","",INDEX(BookLevel,1842))</f>
        <v/>
      </c>
      <c r="G1847" s="40" t="str">
        <f aca="false">IF(INDEX(BookTitle,1842)="","",INDEX(BookCategory,1842))</f>
        <v/>
      </c>
      <c r="H1847" s="40" t="str">
        <f aca="false">IF(INDEX(BookTitle,1842)="","",INDEX(BookRank,1842))</f>
        <v/>
      </c>
      <c r="I1847" s="41" t="str">
        <f aca="false">IF(INDEX(BookTitle,1842)="","",INDEX(BookTotal,1842))</f>
        <v/>
      </c>
      <c r="J1847" s="0" t="str">
        <f aca="false">IF($I1847="","",IF(INDEX(BookQ1,1842)&gt;0,"Q1",IF(INDEX(BookQ2,1842)&gt;0,"Q2",IF(INDEX(BookQ3,1842)&gt;0,"Q3",IF(INDEX(BookQ4,1842)&gt;0,"Q4","")))))</f>
        <v/>
      </c>
      <c r="K1847" s="42" t="str">
        <f aca="false">IF(INDEX(BookTitle,1842)="","",INDEX(BookInYear,1842))</f>
        <v/>
      </c>
      <c r="L1847" s="19"/>
      <c r="M1847" s="39"/>
      <c r="N1847" s="19"/>
      <c r="O1847" s="19"/>
      <c r="P1847" s="43" t="str">
        <f aca="false">IF($E1847="","",IF($L1847="Decline",0,IF($L1847="Approve fewer",IF($M1847="","",$M1847),IF($L1847="","",$I1847))))</f>
        <v/>
      </c>
      <c r="Q1847" s="34" t="str">
        <f aca="false">IF($P1847="","",IF($N1847&lt;&gt;"",$N1847,$J1847))</f>
        <v/>
      </c>
      <c r="R1847" s="35" t="str">
        <f aca="false">IF(OR($P1847="",$Q1847=""),"",INDEX(BookRate,1842)*$P1847*(5-MATCH($Q1847,{"Q1";"Q2";"Q3";"Q4"},0))/4+INDEX(BookOneOff,1842)*$P1847)</f>
        <v/>
      </c>
      <c r="S1847" s="35" t="str">
        <f aca="false">IF($P1847="","",INDEX(BookRate,1842)*$P1847)</f>
        <v/>
      </c>
      <c r="T1847" s="35" t="str">
        <f aca="false">IF($R1847="","",$R1847-$K1847)</f>
        <v/>
      </c>
      <c r="U1847" s="35" t="str">
        <f aca="false">IF(N($P1847)&lt;=0,"",COUNTIF($P$6:$P1847,"&gt;0"))</f>
        <v/>
      </c>
    </row>
    <row r="1848" customFormat="false" ht="15" hidden="false" customHeight="false" outlineLevel="0" collapsed="false">
      <c r="A1848" s="40" t="str">
        <f aca="false">IF(INDEX(BookTitle,1843)="","",INDEX(BookGroup,1843))</f>
        <v/>
      </c>
      <c r="B1848" s="40" t="str">
        <f aca="false">IF(INDEX(BookTitle,1843)="","",INDEX(BookRef,1843))</f>
        <v/>
      </c>
      <c r="C1848" s="40" t="str">
        <f aca="false">IF(INDEX(BookTitle,1843)="","",INDEX(BookDivision,1843))</f>
        <v/>
      </c>
      <c r="D1848" s="40" t="str">
        <f aca="false">IF(INDEX(BookTitle,1843)="","",INDEX(BookUnit,1843))</f>
        <v/>
      </c>
      <c r="E1848" s="40" t="str">
        <f aca="false">IF(INDEX(BookTitle,1843)="","",INDEX(BookTitle,1843))</f>
        <v/>
      </c>
      <c r="F1848" s="40" t="str">
        <f aca="false">IF(INDEX(BookTitle,1843)="","",INDEX(BookLevel,1843))</f>
        <v/>
      </c>
      <c r="G1848" s="40" t="str">
        <f aca="false">IF(INDEX(BookTitle,1843)="","",INDEX(BookCategory,1843))</f>
        <v/>
      </c>
      <c r="H1848" s="40" t="str">
        <f aca="false">IF(INDEX(BookTitle,1843)="","",INDEX(BookRank,1843))</f>
        <v/>
      </c>
      <c r="I1848" s="41" t="str">
        <f aca="false">IF(INDEX(BookTitle,1843)="","",INDEX(BookTotal,1843))</f>
        <v/>
      </c>
      <c r="J1848" s="0" t="str">
        <f aca="false">IF($I1848="","",IF(INDEX(BookQ1,1843)&gt;0,"Q1",IF(INDEX(BookQ2,1843)&gt;0,"Q2",IF(INDEX(BookQ3,1843)&gt;0,"Q3",IF(INDEX(BookQ4,1843)&gt;0,"Q4","")))))</f>
        <v/>
      </c>
      <c r="K1848" s="42" t="str">
        <f aca="false">IF(INDEX(BookTitle,1843)="","",INDEX(BookInYear,1843))</f>
        <v/>
      </c>
      <c r="L1848" s="19"/>
      <c r="M1848" s="39"/>
      <c r="N1848" s="19"/>
      <c r="O1848" s="19"/>
      <c r="P1848" s="43" t="str">
        <f aca="false">IF($E1848="","",IF($L1848="Decline",0,IF($L1848="Approve fewer",IF($M1848="","",$M1848),IF($L1848="","",$I1848))))</f>
        <v/>
      </c>
      <c r="Q1848" s="34" t="str">
        <f aca="false">IF($P1848="","",IF($N1848&lt;&gt;"",$N1848,$J1848))</f>
        <v/>
      </c>
      <c r="R1848" s="35" t="str">
        <f aca="false">IF(OR($P1848="",$Q1848=""),"",INDEX(BookRate,1843)*$P1848*(5-MATCH($Q1848,{"Q1";"Q2";"Q3";"Q4"},0))/4+INDEX(BookOneOff,1843)*$P1848)</f>
        <v/>
      </c>
      <c r="S1848" s="35" t="str">
        <f aca="false">IF($P1848="","",INDEX(BookRate,1843)*$P1848)</f>
        <v/>
      </c>
      <c r="T1848" s="35" t="str">
        <f aca="false">IF($R1848="","",$R1848-$K1848)</f>
        <v/>
      </c>
      <c r="U1848" s="35" t="str">
        <f aca="false">IF(N($P1848)&lt;=0,"",COUNTIF($P$6:$P1848,"&gt;0"))</f>
        <v/>
      </c>
    </row>
    <row r="1849" customFormat="false" ht="15" hidden="false" customHeight="false" outlineLevel="0" collapsed="false">
      <c r="A1849" s="40" t="str">
        <f aca="false">IF(INDEX(BookTitle,1844)="","",INDEX(BookGroup,1844))</f>
        <v/>
      </c>
      <c r="B1849" s="40" t="str">
        <f aca="false">IF(INDEX(BookTitle,1844)="","",INDEX(BookRef,1844))</f>
        <v/>
      </c>
      <c r="C1849" s="40" t="str">
        <f aca="false">IF(INDEX(BookTitle,1844)="","",INDEX(BookDivision,1844))</f>
        <v/>
      </c>
      <c r="D1849" s="40" t="str">
        <f aca="false">IF(INDEX(BookTitle,1844)="","",INDEX(BookUnit,1844))</f>
        <v/>
      </c>
      <c r="E1849" s="40" t="str">
        <f aca="false">IF(INDEX(BookTitle,1844)="","",INDEX(BookTitle,1844))</f>
        <v/>
      </c>
      <c r="F1849" s="40" t="str">
        <f aca="false">IF(INDEX(BookTitle,1844)="","",INDEX(BookLevel,1844))</f>
        <v/>
      </c>
      <c r="G1849" s="40" t="str">
        <f aca="false">IF(INDEX(BookTitle,1844)="","",INDEX(BookCategory,1844))</f>
        <v/>
      </c>
      <c r="H1849" s="40" t="str">
        <f aca="false">IF(INDEX(BookTitle,1844)="","",INDEX(BookRank,1844))</f>
        <v/>
      </c>
      <c r="I1849" s="41" t="str">
        <f aca="false">IF(INDEX(BookTitle,1844)="","",INDEX(BookTotal,1844))</f>
        <v/>
      </c>
      <c r="J1849" s="0" t="str">
        <f aca="false">IF($I1849="","",IF(INDEX(BookQ1,1844)&gt;0,"Q1",IF(INDEX(BookQ2,1844)&gt;0,"Q2",IF(INDEX(BookQ3,1844)&gt;0,"Q3",IF(INDEX(BookQ4,1844)&gt;0,"Q4","")))))</f>
        <v/>
      </c>
      <c r="K1849" s="42" t="str">
        <f aca="false">IF(INDEX(BookTitle,1844)="","",INDEX(BookInYear,1844))</f>
        <v/>
      </c>
      <c r="L1849" s="19"/>
      <c r="M1849" s="39"/>
      <c r="N1849" s="19"/>
      <c r="O1849" s="19"/>
      <c r="P1849" s="43" t="str">
        <f aca="false">IF($E1849="","",IF($L1849="Decline",0,IF($L1849="Approve fewer",IF($M1849="","",$M1849),IF($L1849="","",$I1849))))</f>
        <v/>
      </c>
      <c r="Q1849" s="34" t="str">
        <f aca="false">IF($P1849="","",IF($N1849&lt;&gt;"",$N1849,$J1849))</f>
        <v/>
      </c>
      <c r="R1849" s="35" t="str">
        <f aca="false">IF(OR($P1849="",$Q1849=""),"",INDEX(BookRate,1844)*$P1849*(5-MATCH($Q1849,{"Q1";"Q2";"Q3";"Q4"},0))/4+INDEX(BookOneOff,1844)*$P1849)</f>
        <v/>
      </c>
      <c r="S1849" s="35" t="str">
        <f aca="false">IF($P1849="","",INDEX(BookRate,1844)*$P1849)</f>
        <v/>
      </c>
      <c r="T1849" s="35" t="str">
        <f aca="false">IF($R1849="","",$R1849-$K1849)</f>
        <v/>
      </c>
      <c r="U1849" s="35" t="str">
        <f aca="false">IF(N($P1849)&lt;=0,"",COUNTIF($P$6:$P1849,"&gt;0"))</f>
        <v/>
      </c>
    </row>
    <row r="1850" customFormat="false" ht="15" hidden="false" customHeight="false" outlineLevel="0" collapsed="false">
      <c r="A1850" s="40" t="str">
        <f aca="false">IF(INDEX(BookTitle,1845)="","",INDEX(BookGroup,1845))</f>
        <v/>
      </c>
      <c r="B1850" s="40" t="str">
        <f aca="false">IF(INDEX(BookTitle,1845)="","",INDEX(BookRef,1845))</f>
        <v/>
      </c>
      <c r="C1850" s="40" t="str">
        <f aca="false">IF(INDEX(BookTitle,1845)="","",INDEX(BookDivision,1845))</f>
        <v/>
      </c>
      <c r="D1850" s="40" t="str">
        <f aca="false">IF(INDEX(BookTitle,1845)="","",INDEX(BookUnit,1845))</f>
        <v/>
      </c>
      <c r="E1850" s="40" t="str">
        <f aca="false">IF(INDEX(BookTitle,1845)="","",INDEX(BookTitle,1845))</f>
        <v/>
      </c>
      <c r="F1850" s="40" t="str">
        <f aca="false">IF(INDEX(BookTitle,1845)="","",INDEX(BookLevel,1845))</f>
        <v/>
      </c>
      <c r="G1850" s="40" t="str">
        <f aca="false">IF(INDEX(BookTitle,1845)="","",INDEX(BookCategory,1845))</f>
        <v/>
      </c>
      <c r="H1850" s="40" t="str">
        <f aca="false">IF(INDEX(BookTitle,1845)="","",INDEX(BookRank,1845))</f>
        <v/>
      </c>
      <c r="I1850" s="41" t="str">
        <f aca="false">IF(INDEX(BookTitle,1845)="","",INDEX(BookTotal,1845))</f>
        <v/>
      </c>
      <c r="J1850" s="0" t="str">
        <f aca="false">IF($I1850="","",IF(INDEX(BookQ1,1845)&gt;0,"Q1",IF(INDEX(BookQ2,1845)&gt;0,"Q2",IF(INDEX(BookQ3,1845)&gt;0,"Q3",IF(INDEX(BookQ4,1845)&gt;0,"Q4","")))))</f>
        <v/>
      </c>
      <c r="K1850" s="42" t="str">
        <f aca="false">IF(INDEX(BookTitle,1845)="","",INDEX(BookInYear,1845))</f>
        <v/>
      </c>
      <c r="L1850" s="19"/>
      <c r="M1850" s="39"/>
      <c r="N1850" s="19"/>
      <c r="O1850" s="19"/>
      <c r="P1850" s="43" t="str">
        <f aca="false">IF($E1850="","",IF($L1850="Decline",0,IF($L1850="Approve fewer",IF($M1850="","",$M1850),IF($L1850="","",$I1850))))</f>
        <v/>
      </c>
      <c r="Q1850" s="34" t="str">
        <f aca="false">IF($P1850="","",IF($N1850&lt;&gt;"",$N1850,$J1850))</f>
        <v/>
      </c>
      <c r="R1850" s="35" t="str">
        <f aca="false">IF(OR($P1850="",$Q1850=""),"",INDEX(BookRate,1845)*$P1850*(5-MATCH($Q1850,{"Q1";"Q2";"Q3";"Q4"},0))/4+INDEX(BookOneOff,1845)*$P1850)</f>
        <v/>
      </c>
      <c r="S1850" s="35" t="str">
        <f aca="false">IF($P1850="","",INDEX(BookRate,1845)*$P1850)</f>
        <v/>
      </c>
      <c r="T1850" s="35" t="str">
        <f aca="false">IF($R1850="","",$R1850-$K1850)</f>
        <v/>
      </c>
      <c r="U1850" s="35" t="str">
        <f aca="false">IF(N($P1850)&lt;=0,"",COUNTIF($P$6:$P1850,"&gt;0"))</f>
        <v/>
      </c>
    </row>
    <row r="1851" customFormat="false" ht="15" hidden="false" customHeight="false" outlineLevel="0" collapsed="false">
      <c r="A1851" s="40" t="str">
        <f aca="false">IF(INDEX(BookTitle,1846)="","",INDEX(BookGroup,1846))</f>
        <v/>
      </c>
      <c r="B1851" s="40" t="str">
        <f aca="false">IF(INDEX(BookTitle,1846)="","",INDEX(BookRef,1846))</f>
        <v/>
      </c>
      <c r="C1851" s="40" t="str">
        <f aca="false">IF(INDEX(BookTitle,1846)="","",INDEX(BookDivision,1846))</f>
        <v/>
      </c>
      <c r="D1851" s="40" t="str">
        <f aca="false">IF(INDEX(BookTitle,1846)="","",INDEX(BookUnit,1846))</f>
        <v/>
      </c>
      <c r="E1851" s="40" t="str">
        <f aca="false">IF(INDEX(BookTitle,1846)="","",INDEX(BookTitle,1846))</f>
        <v/>
      </c>
      <c r="F1851" s="40" t="str">
        <f aca="false">IF(INDEX(BookTitle,1846)="","",INDEX(BookLevel,1846))</f>
        <v/>
      </c>
      <c r="G1851" s="40" t="str">
        <f aca="false">IF(INDEX(BookTitle,1846)="","",INDEX(BookCategory,1846))</f>
        <v/>
      </c>
      <c r="H1851" s="40" t="str">
        <f aca="false">IF(INDEX(BookTitle,1846)="","",INDEX(BookRank,1846))</f>
        <v/>
      </c>
      <c r="I1851" s="41" t="str">
        <f aca="false">IF(INDEX(BookTitle,1846)="","",INDEX(BookTotal,1846))</f>
        <v/>
      </c>
      <c r="J1851" s="0" t="str">
        <f aca="false">IF($I1851="","",IF(INDEX(BookQ1,1846)&gt;0,"Q1",IF(INDEX(BookQ2,1846)&gt;0,"Q2",IF(INDEX(BookQ3,1846)&gt;0,"Q3",IF(INDEX(BookQ4,1846)&gt;0,"Q4","")))))</f>
        <v/>
      </c>
      <c r="K1851" s="42" t="str">
        <f aca="false">IF(INDEX(BookTitle,1846)="","",INDEX(BookInYear,1846))</f>
        <v/>
      </c>
      <c r="L1851" s="19"/>
      <c r="M1851" s="39"/>
      <c r="N1851" s="19"/>
      <c r="O1851" s="19"/>
      <c r="P1851" s="43" t="str">
        <f aca="false">IF($E1851="","",IF($L1851="Decline",0,IF($L1851="Approve fewer",IF($M1851="","",$M1851),IF($L1851="","",$I1851))))</f>
        <v/>
      </c>
      <c r="Q1851" s="34" t="str">
        <f aca="false">IF($P1851="","",IF($N1851&lt;&gt;"",$N1851,$J1851))</f>
        <v/>
      </c>
      <c r="R1851" s="35" t="str">
        <f aca="false">IF(OR($P1851="",$Q1851=""),"",INDEX(BookRate,1846)*$P1851*(5-MATCH($Q1851,{"Q1";"Q2";"Q3";"Q4"},0))/4+INDEX(BookOneOff,1846)*$P1851)</f>
        <v/>
      </c>
      <c r="S1851" s="35" t="str">
        <f aca="false">IF($P1851="","",INDEX(BookRate,1846)*$P1851)</f>
        <v/>
      </c>
      <c r="T1851" s="35" t="str">
        <f aca="false">IF($R1851="","",$R1851-$K1851)</f>
        <v/>
      </c>
      <c r="U1851" s="35" t="str">
        <f aca="false">IF(N($P1851)&lt;=0,"",COUNTIF($P$6:$P1851,"&gt;0"))</f>
        <v/>
      </c>
    </row>
    <row r="1852" customFormat="false" ht="15" hidden="false" customHeight="false" outlineLevel="0" collapsed="false">
      <c r="A1852" s="40" t="str">
        <f aca="false">IF(INDEX(BookTitle,1847)="","",INDEX(BookGroup,1847))</f>
        <v/>
      </c>
      <c r="B1852" s="40" t="str">
        <f aca="false">IF(INDEX(BookTitle,1847)="","",INDEX(BookRef,1847))</f>
        <v/>
      </c>
      <c r="C1852" s="40" t="str">
        <f aca="false">IF(INDEX(BookTitle,1847)="","",INDEX(BookDivision,1847))</f>
        <v/>
      </c>
      <c r="D1852" s="40" t="str">
        <f aca="false">IF(INDEX(BookTitle,1847)="","",INDEX(BookUnit,1847))</f>
        <v/>
      </c>
      <c r="E1852" s="40" t="str">
        <f aca="false">IF(INDEX(BookTitle,1847)="","",INDEX(BookTitle,1847))</f>
        <v/>
      </c>
      <c r="F1852" s="40" t="str">
        <f aca="false">IF(INDEX(BookTitle,1847)="","",INDEX(BookLevel,1847))</f>
        <v/>
      </c>
      <c r="G1852" s="40" t="str">
        <f aca="false">IF(INDEX(BookTitle,1847)="","",INDEX(BookCategory,1847))</f>
        <v/>
      </c>
      <c r="H1852" s="40" t="str">
        <f aca="false">IF(INDEX(BookTitle,1847)="","",INDEX(BookRank,1847))</f>
        <v/>
      </c>
      <c r="I1852" s="41" t="str">
        <f aca="false">IF(INDEX(BookTitle,1847)="","",INDEX(BookTotal,1847))</f>
        <v/>
      </c>
      <c r="J1852" s="0" t="str">
        <f aca="false">IF($I1852="","",IF(INDEX(BookQ1,1847)&gt;0,"Q1",IF(INDEX(BookQ2,1847)&gt;0,"Q2",IF(INDEX(BookQ3,1847)&gt;0,"Q3",IF(INDEX(BookQ4,1847)&gt;0,"Q4","")))))</f>
        <v/>
      </c>
      <c r="K1852" s="42" t="str">
        <f aca="false">IF(INDEX(BookTitle,1847)="","",INDEX(BookInYear,1847))</f>
        <v/>
      </c>
      <c r="L1852" s="19"/>
      <c r="M1852" s="39"/>
      <c r="N1852" s="19"/>
      <c r="O1852" s="19"/>
      <c r="P1852" s="43" t="str">
        <f aca="false">IF($E1852="","",IF($L1852="Decline",0,IF($L1852="Approve fewer",IF($M1852="","",$M1852),IF($L1852="","",$I1852))))</f>
        <v/>
      </c>
      <c r="Q1852" s="34" t="str">
        <f aca="false">IF($P1852="","",IF($N1852&lt;&gt;"",$N1852,$J1852))</f>
        <v/>
      </c>
      <c r="R1852" s="35" t="str">
        <f aca="false">IF(OR($P1852="",$Q1852=""),"",INDEX(BookRate,1847)*$P1852*(5-MATCH($Q1852,{"Q1";"Q2";"Q3";"Q4"},0))/4+INDEX(BookOneOff,1847)*$P1852)</f>
        <v/>
      </c>
      <c r="S1852" s="35" t="str">
        <f aca="false">IF($P1852="","",INDEX(BookRate,1847)*$P1852)</f>
        <v/>
      </c>
      <c r="T1852" s="35" t="str">
        <f aca="false">IF($R1852="","",$R1852-$K1852)</f>
        <v/>
      </c>
      <c r="U1852" s="35" t="str">
        <f aca="false">IF(N($P1852)&lt;=0,"",COUNTIF($P$6:$P1852,"&gt;0"))</f>
        <v/>
      </c>
    </row>
    <row r="1853" customFormat="false" ht="15" hidden="false" customHeight="false" outlineLevel="0" collapsed="false">
      <c r="A1853" s="40" t="str">
        <f aca="false">IF(INDEX(BookTitle,1848)="","",INDEX(BookGroup,1848))</f>
        <v/>
      </c>
      <c r="B1853" s="40" t="str">
        <f aca="false">IF(INDEX(BookTitle,1848)="","",INDEX(BookRef,1848))</f>
        <v/>
      </c>
      <c r="C1853" s="40" t="str">
        <f aca="false">IF(INDEX(BookTitle,1848)="","",INDEX(BookDivision,1848))</f>
        <v/>
      </c>
      <c r="D1853" s="40" t="str">
        <f aca="false">IF(INDEX(BookTitle,1848)="","",INDEX(BookUnit,1848))</f>
        <v/>
      </c>
      <c r="E1853" s="40" t="str">
        <f aca="false">IF(INDEX(BookTitle,1848)="","",INDEX(BookTitle,1848))</f>
        <v/>
      </c>
      <c r="F1853" s="40" t="str">
        <f aca="false">IF(INDEX(BookTitle,1848)="","",INDEX(BookLevel,1848))</f>
        <v/>
      </c>
      <c r="G1853" s="40" t="str">
        <f aca="false">IF(INDEX(BookTitle,1848)="","",INDEX(BookCategory,1848))</f>
        <v/>
      </c>
      <c r="H1853" s="40" t="str">
        <f aca="false">IF(INDEX(BookTitle,1848)="","",INDEX(BookRank,1848))</f>
        <v/>
      </c>
      <c r="I1853" s="41" t="str">
        <f aca="false">IF(INDEX(BookTitle,1848)="","",INDEX(BookTotal,1848))</f>
        <v/>
      </c>
      <c r="J1853" s="0" t="str">
        <f aca="false">IF($I1853="","",IF(INDEX(BookQ1,1848)&gt;0,"Q1",IF(INDEX(BookQ2,1848)&gt;0,"Q2",IF(INDEX(BookQ3,1848)&gt;0,"Q3",IF(INDEX(BookQ4,1848)&gt;0,"Q4","")))))</f>
        <v/>
      </c>
      <c r="K1853" s="42" t="str">
        <f aca="false">IF(INDEX(BookTitle,1848)="","",INDEX(BookInYear,1848))</f>
        <v/>
      </c>
      <c r="L1853" s="19"/>
      <c r="M1853" s="39"/>
      <c r="N1853" s="19"/>
      <c r="O1853" s="19"/>
      <c r="P1853" s="43" t="str">
        <f aca="false">IF($E1853="","",IF($L1853="Decline",0,IF($L1853="Approve fewer",IF($M1853="","",$M1853),IF($L1853="","",$I1853))))</f>
        <v/>
      </c>
      <c r="Q1853" s="34" t="str">
        <f aca="false">IF($P1853="","",IF($N1853&lt;&gt;"",$N1853,$J1853))</f>
        <v/>
      </c>
      <c r="R1853" s="35" t="str">
        <f aca="false">IF(OR($P1853="",$Q1853=""),"",INDEX(BookRate,1848)*$P1853*(5-MATCH($Q1853,{"Q1";"Q2";"Q3";"Q4"},0))/4+INDEX(BookOneOff,1848)*$P1853)</f>
        <v/>
      </c>
      <c r="S1853" s="35" t="str">
        <f aca="false">IF($P1853="","",INDEX(BookRate,1848)*$P1853)</f>
        <v/>
      </c>
      <c r="T1853" s="35" t="str">
        <f aca="false">IF($R1853="","",$R1853-$K1853)</f>
        <v/>
      </c>
      <c r="U1853" s="35" t="str">
        <f aca="false">IF(N($P1853)&lt;=0,"",COUNTIF($P$6:$P1853,"&gt;0"))</f>
        <v/>
      </c>
    </row>
    <row r="1854" customFormat="false" ht="15" hidden="false" customHeight="false" outlineLevel="0" collapsed="false">
      <c r="A1854" s="40" t="str">
        <f aca="false">IF(INDEX(BookTitle,1849)="","",INDEX(BookGroup,1849))</f>
        <v/>
      </c>
      <c r="B1854" s="40" t="str">
        <f aca="false">IF(INDEX(BookTitle,1849)="","",INDEX(BookRef,1849))</f>
        <v/>
      </c>
      <c r="C1854" s="40" t="str">
        <f aca="false">IF(INDEX(BookTitle,1849)="","",INDEX(BookDivision,1849))</f>
        <v/>
      </c>
      <c r="D1854" s="40" t="str">
        <f aca="false">IF(INDEX(BookTitle,1849)="","",INDEX(BookUnit,1849))</f>
        <v/>
      </c>
      <c r="E1854" s="40" t="str">
        <f aca="false">IF(INDEX(BookTitle,1849)="","",INDEX(BookTitle,1849))</f>
        <v/>
      </c>
      <c r="F1854" s="40" t="str">
        <f aca="false">IF(INDEX(BookTitle,1849)="","",INDEX(BookLevel,1849))</f>
        <v/>
      </c>
      <c r="G1854" s="40" t="str">
        <f aca="false">IF(INDEX(BookTitle,1849)="","",INDEX(BookCategory,1849))</f>
        <v/>
      </c>
      <c r="H1854" s="40" t="str">
        <f aca="false">IF(INDEX(BookTitle,1849)="","",INDEX(BookRank,1849))</f>
        <v/>
      </c>
      <c r="I1854" s="41" t="str">
        <f aca="false">IF(INDEX(BookTitle,1849)="","",INDEX(BookTotal,1849))</f>
        <v/>
      </c>
      <c r="J1854" s="0" t="str">
        <f aca="false">IF($I1854="","",IF(INDEX(BookQ1,1849)&gt;0,"Q1",IF(INDEX(BookQ2,1849)&gt;0,"Q2",IF(INDEX(BookQ3,1849)&gt;0,"Q3",IF(INDEX(BookQ4,1849)&gt;0,"Q4","")))))</f>
        <v/>
      </c>
      <c r="K1854" s="42" t="str">
        <f aca="false">IF(INDEX(BookTitle,1849)="","",INDEX(BookInYear,1849))</f>
        <v/>
      </c>
      <c r="L1854" s="19"/>
      <c r="M1854" s="39"/>
      <c r="N1854" s="19"/>
      <c r="O1854" s="19"/>
      <c r="P1854" s="43" t="str">
        <f aca="false">IF($E1854="","",IF($L1854="Decline",0,IF($L1854="Approve fewer",IF($M1854="","",$M1854),IF($L1854="","",$I1854))))</f>
        <v/>
      </c>
      <c r="Q1854" s="34" t="str">
        <f aca="false">IF($P1854="","",IF($N1854&lt;&gt;"",$N1854,$J1854))</f>
        <v/>
      </c>
      <c r="R1854" s="35" t="str">
        <f aca="false">IF(OR($P1854="",$Q1854=""),"",INDEX(BookRate,1849)*$P1854*(5-MATCH($Q1854,{"Q1";"Q2";"Q3";"Q4"},0))/4+INDEX(BookOneOff,1849)*$P1854)</f>
        <v/>
      </c>
      <c r="S1854" s="35" t="str">
        <f aca="false">IF($P1854="","",INDEX(BookRate,1849)*$P1854)</f>
        <v/>
      </c>
      <c r="T1854" s="35" t="str">
        <f aca="false">IF($R1854="","",$R1854-$K1854)</f>
        <v/>
      </c>
      <c r="U1854" s="35" t="str">
        <f aca="false">IF(N($P1854)&lt;=0,"",COUNTIF($P$6:$P1854,"&gt;0"))</f>
        <v/>
      </c>
    </row>
    <row r="1855" customFormat="false" ht="15" hidden="false" customHeight="false" outlineLevel="0" collapsed="false">
      <c r="A1855" s="40" t="str">
        <f aca="false">IF(INDEX(BookTitle,1850)="","",INDEX(BookGroup,1850))</f>
        <v/>
      </c>
      <c r="B1855" s="40" t="str">
        <f aca="false">IF(INDEX(BookTitle,1850)="","",INDEX(BookRef,1850))</f>
        <v/>
      </c>
      <c r="C1855" s="40" t="str">
        <f aca="false">IF(INDEX(BookTitle,1850)="","",INDEX(BookDivision,1850))</f>
        <v/>
      </c>
      <c r="D1855" s="40" t="str">
        <f aca="false">IF(INDEX(BookTitle,1850)="","",INDEX(BookUnit,1850))</f>
        <v/>
      </c>
      <c r="E1855" s="40" t="str">
        <f aca="false">IF(INDEX(BookTitle,1850)="","",INDEX(BookTitle,1850))</f>
        <v/>
      </c>
      <c r="F1855" s="40" t="str">
        <f aca="false">IF(INDEX(BookTitle,1850)="","",INDEX(BookLevel,1850))</f>
        <v/>
      </c>
      <c r="G1855" s="40" t="str">
        <f aca="false">IF(INDEX(BookTitle,1850)="","",INDEX(BookCategory,1850))</f>
        <v/>
      </c>
      <c r="H1855" s="40" t="str">
        <f aca="false">IF(INDEX(BookTitle,1850)="","",INDEX(BookRank,1850))</f>
        <v/>
      </c>
      <c r="I1855" s="41" t="str">
        <f aca="false">IF(INDEX(BookTitle,1850)="","",INDEX(BookTotal,1850))</f>
        <v/>
      </c>
      <c r="J1855" s="0" t="str">
        <f aca="false">IF($I1855="","",IF(INDEX(BookQ1,1850)&gt;0,"Q1",IF(INDEX(BookQ2,1850)&gt;0,"Q2",IF(INDEX(BookQ3,1850)&gt;0,"Q3",IF(INDEX(BookQ4,1850)&gt;0,"Q4","")))))</f>
        <v/>
      </c>
      <c r="K1855" s="42" t="str">
        <f aca="false">IF(INDEX(BookTitle,1850)="","",INDEX(BookInYear,1850))</f>
        <v/>
      </c>
      <c r="L1855" s="19"/>
      <c r="M1855" s="39"/>
      <c r="N1855" s="19"/>
      <c r="O1855" s="19"/>
      <c r="P1855" s="43" t="str">
        <f aca="false">IF($E1855="","",IF($L1855="Decline",0,IF($L1855="Approve fewer",IF($M1855="","",$M1855),IF($L1855="","",$I1855))))</f>
        <v/>
      </c>
      <c r="Q1855" s="34" t="str">
        <f aca="false">IF($P1855="","",IF($N1855&lt;&gt;"",$N1855,$J1855))</f>
        <v/>
      </c>
      <c r="R1855" s="35" t="str">
        <f aca="false">IF(OR($P1855="",$Q1855=""),"",INDEX(BookRate,1850)*$P1855*(5-MATCH($Q1855,{"Q1";"Q2";"Q3";"Q4"},0))/4+INDEX(BookOneOff,1850)*$P1855)</f>
        <v/>
      </c>
      <c r="S1855" s="35" t="str">
        <f aca="false">IF($P1855="","",INDEX(BookRate,1850)*$P1855)</f>
        <v/>
      </c>
      <c r="T1855" s="35" t="str">
        <f aca="false">IF($R1855="","",$R1855-$K1855)</f>
        <v/>
      </c>
      <c r="U1855" s="35" t="str">
        <f aca="false">IF(N($P1855)&lt;=0,"",COUNTIF($P$6:$P1855,"&gt;0"))</f>
        <v/>
      </c>
    </row>
    <row r="1856" customFormat="false" ht="15" hidden="false" customHeight="false" outlineLevel="0" collapsed="false">
      <c r="A1856" s="40" t="str">
        <f aca="false">IF(INDEX(BookTitle,1851)="","",INDEX(BookGroup,1851))</f>
        <v/>
      </c>
      <c r="B1856" s="40" t="str">
        <f aca="false">IF(INDEX(BookTitle,1851)="","",INDEX(BookRef,1851))</f>
        <v/>
      </c>
      <c r="C1856" s="40" t="str">
        <f aca="false">IF(INDEX(BookTitle,1851)="","",INDEX(BookDivision,1851))</f>
        <v/>
      </c>
      <c r="D1856" s="40" t="str">
        <f aca="false">IF(INDEX(BookTitle,1851)="","",INDEX(BookUnit,1851))</f>
        <v/>
      </c>
      <c r="E1856" s="40" t="str">
        <f aca="false">IF(INDEX(BookTitle,1851)="","",INDEX(BookTitle,1851))</f>
        <v/>
      </c>
      <c r="F1856" s="40" t="str">
        <f aca="false">IF(INDEX(BookTitle,1851)="","",INDEX(BookLevel,1851))</f>
        <v/>
      </c>
      <c r="G1856" s="40" t="str">
        <f aca="false">IF(INDEX(BookTitle,1851)="","",INDEX(BookCategory,1851))</f>
        <v/>
      </c>
      <c r="H1856" s="40" t="str">
        <f aca="false">IF(INDEX(BookTitle,1851)="","",INDEX(BookRank,1851))</f>
        <v/>
      </c>
      <c r="I1856" s="41" t="str">
        <f aca="false">IF(INDEX(BookTitle,1851)="","",INDEX(BookTotal,1851))</f>
        <v/>
      </c>
      <c r="J1856" s="0" t="str">
        <f aca="false">IF($I1856="","",IF(INDEX(BookQ1,1851)&gt;0,"Q1",IF(INDEX(BookQ2,1851)&gt;0,"Q2",IF(INDEX(BookQ3,1851)&gt;0,"Q3",IF(INDEX(BookQ4,1851)&gt;0,"Q4","")))))</f>
        <v/>
      </c>
      <c r="K1856" s="42" t="str">
        <f aca="false">IF(INDEX(BookTitle,1851)="","",INDEX(BookInYear,1851))</f>
        <v/>
      </c>
      <c r="L1856" s="19"/>
      <c r="M1856" s="39"/>
      <c r="N1856" s="19"/>
      <c r="O1856" s="19"/>
      <c r="P1856" s="43" t="str">
        <f aca="false">IF($E1856="","",IF($L1856="Decline",0,IF($L1856="Approve fewer",IF($M1856="","",$M1856),IF($L1856="","",$I1856))))</f>
        <v/>
      </c>
      <c r="Q1856" s="34" t="str">
        <f aca="false">IF($P1856="","",IF($N1856&lt;&gt;"",$N1856,$J1856))</f>
        <v/>
      </c>
      <c r="R1856" s="35" t="str">
        <f aca="false">IF(OR($P1856="",$Q1856=""),"",INDEX(BookRate,1851)*$P1856*(5-MATCH($Q1856,{"Q1";"Q2";"Q3";"Q4"},0))/4+INDEX(BookOneOff,1851)*$P1856)</f>
        <v/>
      </c>
      <c r="S1856" s="35" t="str">
        <f aca="false">IF($P1856="","",INDEX(BookRate,1851)*$P1856)</f>
        <v/>
      </c>
      <c r="T1856" s="35" t="str">
        <f aca="false">IF($R1856="","",$R1856-$K1856)</f>
        <v/>
      </c>
      <c r="U1856" s="35" t="str">
        <f aca="false">IF(N($P1856)&lt;=0,"",COUNTIF($P$6:$P1856,"&gt;0"))</f>
        <v/>
      </c>
    </row>
    <row r="1857" customFormat="false" ht="15" hidden="false" customHeight="false" outlineLevel="0" collapsed="false">
      <c r="A1857" s="40" t="str">
        <f aca="false">IF(INDEX(BookTitle,1852)="","",INDEX(BookGroup,1852))</f>
        <v/>
      </c>
      <c r="B1857" s="40" t="str">
        <f aca="false">IF(INDEX(BookTitle,1852)="","",INDEX(BookRef,1852))</f>
        <v/>
      </c>
      <c r="C1857" s="40" t="str">
        <f aca="false">IF(INDEX(BookTitle,1852)="","",INDEX(BookDivision,1852))</f>
        <v/>
      </c>
      <c r="D1857" s="40" t="str">
        <f aca="false">IF(INDEX(BookTitle,1852)="","",INDEX(BookUnit,1852))</f>
        <v/>
      </c>
      <c r="E1857" s="40" t="str">
        <f aca="false">IF(INDEX(BookTitle,1852)="","",INDEX(BookTitle,1852))</f>
        <v/>
      </c>
      <c r="F1857" s="40" t="str">
        <f aca="false">IF(INDEX(BookTitle,1852)="","",INDEX(BookLevel,1852))</f>
        <v/>
      </c>
      <c r="G1857" s="40" t="str">
        <f aca="false">IF(INDEX(BookTitle,1852)="","",INDEX(BookCategory,1852))</f>
        <v/>
      </c>
      <c r="H1857" s="40" t="str">
        <f aca="false">IF(INDEX(BookTitle,1852)="","",INDEX(BookRank,1852))</f>
        <v/>
      </c>
      <c r="I1857" s="41" t="str">
        <f aca="false">IF(INDEX(BookTitle,1852)="","",INDEX(BookTotal,1852))</f>
        <v/>
      </c>
      <c r="J1857" s="0" t="str">
        <f aca="false">IF($I1857="","",IF(INDEX(BookQ1,1852)&gt;0,"Q1",IF(INDEX(BookQ2,1852)&gt;0,"Q2",IF(INDEX(BookQ3,1852)&gt;0,"Q3",IF(INDEX(BookQ4,1852)&gt;0,"Q4","")))))</f>
        <v/>
      </c>
      <c r="K1857" s="42" t="str">
        <f aca="false">IF(INDEX(BookTitle,1852)="","",INDEX(BookInYear,1852))</f>
        <v/>
      </c>
      <c r="L1857" s="19"/>
      <c r="M1857" s="39"/>
      <c r="N1857" s="19"/>
      <c r="O1857" s="19"/>
      <c r="P1857" s="43" t="str">
        <f aca="false">IF($E1857="","",IF($L1857="Decline",0,IF($L1857="Approve fewer",IF($M1857="","",$M1857),IF($L1857="","",$I1857))))</f>
        <v/>
      </c>
      <c r="Q1857" s="34" t="str">
        <f aca="false">IF($P1857="","",IF($N1857&lt;&gt;"",$N1857,$J1857))</f>
        <v/>
      </c>
      <c r="R1857" s="35" t="str">
        <f aca="false">IF(OR($P1857="",$Q1857=""),"",INDEX(BookRate,1852)*$P1857*(5-MATCH($Q1857,{"Q1";"Q2";"Q3";"Q4"},0))/4+INDEX(BookOneOff,1852)*$P1857)</f>
        <v/>
      </c>
      <c r="S1857" s="35" t="str">
        <f aca="false">IF($P1857="","",INDEX(BookRate,1852)*$P1857)</f>
        <v/>
      </c>
      <c r="T1857" s="35" t="str">
        <f aca="false">IF($R1857="","",$R1857-$K1857)</f>
        <v/>
      </c>
      <c r="U1857" s="35" t="str">
        <f aca="false">IF(N($P1857)&lt;=0,"",COUNTIF($P$6:$P1857,"&gt;0"))</f>
        <v/>
      </c>
    </row>
    <row r="1858" customFormat="false" ht="15" hidden="false" customHeight="false" outlineLevel="0" collapsed="false">
      <c r="A1858" s="40" t="str">
        <f aca="false">IF(INDEX(BookTitle,1853)="","",INDEX(BookGroup,1853))</f>
        <v/>
      </c>
      <c r="B1858" s="40" t="str">
        <f aca="false">IF(INDEX(BookTitle,1853)="","",INDEX(BookRef,1853))</f>
        <v/>
      </c>
      <c r="C1858" s="40" t="str">
        <f aca="false">IF(INDEX(BookTitle,1853)="","",INDEX(BookDivision,1853))</f>
        <v/>
      </c>
      <c r="D1858" s="40" t="str">
        <f aca="false">IF(INDEX(BookTitle,1853)="","",INDEX(BookUnit,1853))</f>
        <v/>
      </c>
      <c r="E1858" s="40" t="str">
        <f aca="false">IF(INDEX(BookTitle,1853)="","",INDEX(BookTitle,1853))</f>
        <v/>
      </c>
      <c r="F1858" s="40" t="str">
        <f aca="false">IF(INDEX(BookTitle,1853)="","",INDEX(BookLevel,1853))</f>
        <v/>
      </c>
      <c r="G1858" s="40" t="str">
        <f aca="false">IF(INDEX(BookTitle,1853)="","",INDEX(BookCategory,1853))</f>
        <v/>
      </c>
      <c r="H1858" s="40" t="str">
        <f aca="false">IF(INDEX(BookTitle,1853)="","",INDEX(BookRank,1853))</f>
        <v/>
      </c>
      <c r="I1858" s="41" t="str">
        <f aca="false">IF(INDEX(BookTitle,1853)="","",INDEX(BookTotal,1853))</f>
        <v/>
      </c>
      <c r="J1858" s="0" t="str">
        <f aca="false">IF($I1858="","",IF(INDEX(BookQ1,1853)&gt;0,"Q1",IF(INDEX(BookQ2,1853)&gt;0,"Q2",IF(INDEX(BookQ3,1853)&gt;0,"Q3",IF(INDEX(BookQ4,1853)&gt;0,"Q4","")))))</f>
        <v/>
      </c>
      <c r="K1858" s="42" t="str">
        <f aca="false">IF(INDEX(BookTitle,1853)="","",INDEX(BookInYear,1853))</f>
        <v/>
      </c>
      <c r="L1858" s="19"/>
      <c r="M1858" s="39"/>
      <c r="N1858" s="19"/>
      <c r="O1858" s="19"/>
      <c r="P1858" s="43" t="str">
        <f aca="false">IF($E1858="","",IF($L1858="Decline",0,IF($L1858="Approve fewer",IF($M1858="","",$M1858),IF($L1858="","",$I1858))))</f>
        <v/>
      </c>
      <c r="Q1858" s="34" t="str">
        <f aca="false">IF($P1858="","",IF($N1858&lt;&gt;"",$N1858,$J1858))</f>
        <v/>
      </c>
      <c r="R1858" s="35" t="str">
        <f aca="false">IF(OR($P1858="",$Q1858=""),"",INDEX(BookRate,1853)*$P1858*(5-MATCH($Q1858,{"Q1";"Q2";"Q3";"Q4"},0))/4+INDEX(BookOneOff,1853)*$P1858)</f>
        <v/>
      </c>
      <c r="S1858" s="35" t="str">
        <f aca="false">IF($P1858="","",INDEX(BookRate,1853)*$P1858)</f>
        <v/>
      </c>
      <c r="T1858" s="35" t="str">
        <f aca="false">IF($R1858="","",$R1858-$K1858)</f>
        <v/>
      </c>
      <c r="U1858" s="35" t="str">
        <f aca="false">IF(N($P1858)&lt;=0,"",COUNTIF($P$6:$P1858,"&gt;0"))</f>
        <v/>
      </c>
    </row>
    <row r="1859" customFormat="false" ht="15" hidden="false" customHeight="false" outlineLevel="0" collapsed="false">
      <c r="A1859" s="40" t="str">
        <f aca="false">IF(INDEX(BookTitle,1854)="","",INDEX(BookGroup,1854))</f>
        <v/>
      </c>
      <c r="B1859" s="40" t="str">
        <f aca="false">IF(INDEX(BookTitle,1854)="","",INDEX(BookRef,1854))</f>
        <v/>
      </c>
      <c r="C1859" s="40" t="str">
        <f aca="false">IF(INDEX(BookTitle,1854)="","",INDEX(BookDivision,1854))</f>
        <v/>
      </c>
      <c r="D1859" s="40" t="str">
        <f aca="false">IF(INDEX(BookTitle,1854)="","",INDEX(BookUnit,1854))</f>
        <v/>
      </c>
      <c r="E1859" s="40" t="str">
        <f aca="false">IF(INDEX(BookTitle,1854)="","",INDEX(BookTitle,1854))</f>
        <v/>
      </c>
      <c r="F1859" s="40" t="str">
        <f aca="false">IF(INDEX(BookTitle,1854)="","",INDEX(BookLevel,1854))</f>
        <v/>
      </c>
      <c r="G1859" s="40" t="str">
        <f aca="false">IF(INDEX(BookTitle,1854)="","",INDEX(BookCategory,1854))</f>
        <v/>
      </c>
      <c r="H1859" s="40" t="str">
        <f aca="false">IF(INDEX(BookTitle,1854)="","",INDEX(BookRank,1854))</f>
        <v/>
      </c>
      <c r="I1859" s="41" t="str">
        <f aca="false">IF(INDEX(BookTitle,1854)="","",INDEX(BookTotal,1854))</f>
        <v/>
      </c>
      <c r="J1859" s="0" t="str">
        <f aca="false">IF($I1859="","",IF(INDEX(BookQ1,1854)&gt;0,"Q1",IF(INDEX(BookQ2,1854)&gt;0,"Q2",IF(INDEX(BookQ3,1854)&gt;0,"Q3",IF(INDEX(BookQ4,1854)&gt;0,"Q4","")))))</f>
        <v/>
      </c>
      <c r="K1859" s="42" t="str">
        <f aca="false">IF(INDEX(BookTitle,1854)="","",INDEX(BookInYear,1854))</f>
        <v/>
      </c>
      <c r="L1859" s="19"/>
      <c r="M1859" s="39"/>
      <c r="N1859" s="19"/>
      <c r="O1859" s="19"/>
      <c r="P1859" s="43" t="str">
        <f aca="false">IF($E1859="","",IF($L1859="Decline",0,IF($L1859="Approve fewer",IF($M1859="","",$M1859),IF($L1859="","",$I1859))))</f>
        <v/>
      </c>
      <c r="Q1859" s="34" t="str">
        <f aca="false">IF($P1859="","",IF($N1859&lt;&gt;"",$N1859,$J1859))</f>
        <v/>
      </c>
      <c r="R1859" s="35" t="str">
        <f aca="false">IF(OR($P1859="",$Q1859=""),"",INDEX(BookRate,1854)*$P1859*(5-MATCH($Q1859,{"Q1";"Q2";"Q3";"Q4"},0))/4+INDEX(BookOneOff,1854)*$P1859)</f>
        <v/>
      </c>
      <c r="S1859" s="35" t="str">
        <f aca="false">IF($P1859="","",INDEX(BookRate,1854)*$P1859)</f>
        <v/>
      </c>
      <c r="T1859" s="35" t="str">
        <f aca="false">IF($R1859="","",$R1859-$K1859)</f>
        <v/>
      </c>
      <c r="U1859" s="35" t="str">
        <f aca="false">IF(N($P1859)&lt;=0,"",COUNTIF($P$6:$P1859,"&gt;0"))</f>
        <v/>
      </c>
    </row>
    <row r="1860" customFormat="false" ht="15" hidden="false" customHeight="false" outlineLevel="0" collapsed="false">
      <c r="A1860" s="40" t="str">
        <f aca="false">IF(INDEX(BookTitle,1855)="","",INDEX(BookGroup,1855))</f>
        <v/>
      </c>
      <c r="B1860" s="40" t="str">
        <f aca="false">IF(INDEX(BookTitle,1855)="","",INDEX(BookRef,1855))</f>
        <v/>
      </c>
      <c r="C1860" s="40" t="str">
        <f aca="false">IF(INDEX(BookTitle,1855)="","",INDEX(BookDivision,1855))</f>
        <v/>
      </c>
      <c r="D1860" s="40" t="str">
        <f aca="false">IF(INDEX(BookTitle,1855)="","",INDEX(BookUnit,1855))</f>
        <v/>
      </c>
      <c r="E1860" s="40" t="str">
        <f aca="false">IF(INDEX(BookTitle,1855)="","",INDEX(BookTitle,1855))</f>
        <v/>
      </c>
      <c r="F1860" s="40" t="str">
        <f aca="false">IF(INDEX(BookTitle,1855)="","",INDEX(BookLevel,1855))</f>
        <v/>
      </c>
      <c r="G1860" s="40" t="str">
        <f aca="false">IF(INDEX(BookTitle,1855)="","",INDEX(BookCategory,1855))</f>
        <v/>
      </c>
      <c r="H1860" s="40" t="str">
        <f aca="false">IF(INDEX(BookTitle,1855)="","",INDEX(BookRank,1855))</f>
        <v/>
      </c>
      <c r="I1860" s="41" t="str">
        <f aca="false">IF(INDEX(BookTitle,1855)="","",INDEX(BookTotal,1855))</f>
        <v/>
      </c>
      <c r="J1860" s="0" t="str">
        <f aca="false">IF($I1860="","",IF(INDEX(BookQ1,1855)&gt;0,"Q1",IF(INDEX(BookQ2,1855)&gt;0,"Q2",IF(INDEX(BookQ3,1855)&gt;0,"Q3",IF(INDEX(BookQ4,1855)&gt;0,"Q4","")))))</f>
        <v/>
      </c>
      <c r="K1860" s="42" t="str">
        <f aca="false">IF(INDEX(BookTitle,1855)="","",INDEX(BookInYear,1855))</f>
        <v/>
      </c>
      <c r="L1860" s="19"/>
      <c r="M1860" s="39"/>
      <c r="N1860" s="19"/>
      <c r="O1860" s="19"/>
      <c r="P1860" s="43" t="str">
        <f aca="false">IF($E1860="","",IF($L1860="Decline",0,IF($L1860="Approve fewer",IF($M1860="","",$M1860),IF($L1860="","",$I1860))))</f>
        <v/>
      </c>
      <c r="Q1860" s="34" t="str">
        <f aca="false">IF($P1860="","",IF($N1860&lt;&gt;"",$N1860,$J1860))</f>
        <v/>
      </c>
      <c r="R1860" s="35" t="str">
        <f aca="false">IF(OR($P1860="",$Q1860=""),"",INDEX(BookRate,1855)*$P1860*(5-MATCH($Q1860,{"Q1";"Q2";"Q3";"Q4"},0))/4+INDEX(BookOneOff,1855)*$P1860)</f>
        <v/>
      </c>
      <c r="S1860" s="35" t="str">
        <f aca="false">IF($P1860="","",INDEX(BookRate,1855)*$P1860)</f>
        <v/>
      </c>
      <c r="T1860" s="35" t="str">
        <f aca="false">IF($R1860="","",$R1860-$K1860)</f>
        <v/>
      </c>
      <c r="U1860" s="35" t="str">
        <f aca="false">IF(N($P1860)&lt;=0,"",COUNTIF($P$6:$P1860,"&gt;0"))</f>
        <v/>
      </c>
    </row>
    <row r="1861" customFormat="false" ht="15" hidden="false" customHeight="false" outlineLevel="0" collapsed="false">
      <c r="A1861" s="40" t="str">
        <f aca="false">IF(INDEX(BookTitle,1856)="","",INDEX(BookGroup,1856))</f>
        <v/>
      </c>
      <c r="B1861" s="40" t="str">
        <f aca="false">IF(INDEX(BookTitle,1856)="","",INDEX(BookRef,1856))</f>
        <v/>
      </c>
      <c r="C1861" s="40" t="str">
        <f aca="false">IF(INDEX(BookTitle,1856)="","",INDEX(BookDivision,1856))</f>
        <v/>
      </c>
      <c r="D1861" s="40" t="str">
        <f aca="false">IF(INDEX(BookTitle,1856)="","",INDEX(BookUnit,1856))</f>
        <v/>
      </c>
      <c r="E1861" s="40" t="str">
        <f aca="false">IF(INDEX(BookTitle,1856)="","",INDEX(BookTitle,1856))</f>
        <v/>
      </c>
      <c r="F1861" s="40" t="str">
        <f aca="false">IF(INDEX(BookTitle,1856)="","",INDEX(BookLevel,1856))</f>
        <v/>
      </c>
      <c r="G1861" s="40" t="str">
        <f aca="false">IF(INDEX(BookTitle,1856)="","",INDEX(BookCategory,1856))</f>
        <v/>
      </c>
      <c r="H1861" s="40" t="str">
        <f aca="false">IF(INDEX(BookTitle,1856)="","",INDEX(BookRank,1856))</f>
        <v/>
      </c>
      <c r="I1861" s="41" t="str">
        <f aca="false">IF(INDEX(BookTitle,1856)="","",INDEX(BookTotal,1856))</f>
        <v/>
      </c>
      <c r="J1861" s="0" t="str">
        <f aca="false">IF($I1861="","",IF(INDEX(BookQ1,1856)&gt;0,"Q1",IF(INDEX(BookQ2,1856)&gt;0,"Q2",IF(INDEX(BookQ3,1856)&gt;0,"Q3",IF(INDEX(BookQ4,1856)&gt;0,"Q4","")))))</f>
        <v/>
      </c>
      <c r="K1861" s="42" t="str">
        <f aca="false">IF(INDEX(BookTitle,1856)="","",INDEX(BookInYear,1856))</f>
        <v/>
      </c>
      <c r="L1861" s="19"/>
      <c r="M1861" s="39"/>
      <c r="N1861" s="19"/>
      <c r="O1861" s="19"/>
      <c r="P1861" s="43" t="str">
        <f aca="false">IF($E1861="","",IF($L1861="Decline",0,IF($L1861="Approve fewer",IF($M1861="","",$M1861),IF($L1861="","",$I1861))))</f>
        <v/>
      </c>
      <c r="Q1861" s="34" t="str">
        <f aca="false">IF($P1861="","",IF($N1861&lt;&gt;"",$N1861,$J1861))</f>
        <v/>
      </c>
      <c r="R1861" s="35" t="str">
        <f aca="false">IF(OR($P1861="",$Q1861=""),"",INDEX(BookRate,1856)*$P1861*(5-MATCH($Q1861,{"Q1";"Q2";"Q3";"Q4"},0))/4+INDEX(BookOneOff,1856)*$P1861)</f>
        <v/>
      </c>
      <c r="S1861" s="35" t="str">
        <f aca="false">IF($P1861="","",INDEX(BookRate,1856)*$P1861)</f>
        <v/>
      </c>
      <c r="T1861" s="35" t="str">
        <f aca="false">IF($R1861="","",$R1861-$K1861)</f>
        <v/>
      </c>
      <c r="U1861" s="35" t="str">
        <f aca="false">IF(N($P1861)&lt;=0,"",COUNTIF($P$6:$P1861,"&gt;0"))</f>
        <v/>
      </c>
    </row>
    <row r="1862" customFormat="false" ht="15" hidden="false" customHeight="false" outlineLevel="0" collapsed="false">
      <c r="A1862" s="40" t="str">
        <f aca="false">IF(INDEX(BookTitle,1857)="","",INDEX(BookGroup,1857))</f>
        <v/>
      </c>
      <c r="B1862" s="40" t="str">
        <f aca="false">IF(INDEX(BookTitle,1857)="","",INDEX(BookRef,1857))</f>
        <v/>
      </c>
      <c r="C1862" s="40" t="str">
        <f aca="false">IF(INDEX(BookTitle,1857)="","",INDEX(BookDivision,1857))</f>
        <v/>
      </c>
      <c r="D1862" s="40" t="str">
        <f aca="false">IF(INDEX(BookTitle,1857)="","",INDEX(BookUnit,1857))</f>
        <v/>
      </c>
      <c r="E1862" s="40" t="str">
        <f aca="false">IF(INDEX(BookTitle,1857)="","",INDEX(BookTitle,1857))</f>
        <v/>
      </c>
      <c r="F1862" s="40" t="str">
        <f aca="false">IF(INDEX(BookTitle,1857)="","",INDEX(BookLevel,1857))</f>
        <v/>
      </c>
      <c r="G1862" s="40" t="str">
        <f aca="false">IF(INDEX(BookTitle,1857)="","",INDEX(BookCategory,1857))</f>
        <v/>
      </c>
      <c r="H1862" s="40" t="str">
        <f aca="false">IF(INDEX(BookTitle,1857)="","",INDEX(BookRank,1857))</f>
        <v/>
      </c>
      <c r="I1862" s="41" t="str">
        <f aca="false">IF(INDEX(BookTitle,1857)="","",INDEX(BookTotal,1857))</f>
        <v/>
      </c>
      <c r="J1862" s="0" t="str">
        <f aca="false">IF($I1862="","",IF(INDEX(BookQ1,1857)&gt;0,"Q1",IF(INDEX(BookQ2,1857)&gt;0,"Q2",IF(INDEX(BookQ3,1857)&gt;0,"Q3",IF(INDEX(BookQ4,1857)&gt;0,"Q4","")))))</f>
        <v/>
      </c>
      <c r="K1862" s="42" t="str">
        <f aca="false">IF(INDEX(BookTitle,1857)="","",INDEX(BookInYear,1857))</f>
        <v/>
      </c>
      <c r="L1862" s="19"/>
      <c r="M1862" s="39"/>
      <c r="N1862" s="19"/>
      <c r="O1862" s="19"/>
      <c r="P1862" s="43" t="str">
        <f aca="false">IF($E1862="","",IF($L1862="Decline",0,IF($L1862="Approve fewer",IF($M1862="","",$M1862),IF($L1862="","",$I1862))))</f>
        <v/>
      </c>
      <c r="Q1862" s="34" t="str">
        <f aca="false">IF($P1862="","",IF($N1862&lt;&gt;"",$N1862,$J1862))</f>
        <v/>
      </c>
      <c r="R1862" s="35" t="str">
        <f aca="false">IF(OR($P1862="",$Q1862=""),"",INDEX(BookRate,1857)*$P1862*(5-MATCH($Q1862,{"Q1";"Q2";"Q3";"Q4"},0))/4+INDEX(BookOneOff,1857)*$P1862)</f>
        <v/>
      </c>
      <c r="S1862" s="35" t="str">
        <f aca="false">IF($P1862="","",INDEX(BookRate,1857)*$P1862)</f>
        <v/>
      </c>
      <c r="T1862" s="35" t="str">
        <f aca="false">IF($R1862="","",$R1862-$K1862)</f>
        <v/>
      </c>
      <c r="U1862" s="35" t="str">
        <f aca="false">IF(N($P1862)&lt;=0,"",COUNTIF($P$6:$P1862,"&gt;0"))</f>
        <v/>
      </c>
    </row>
    <row r="1863" customFormat="false" ht="15" hidden="false" customHeight="false" outlineLevel="0" collapsed="false">
      <c r="A1863" s="40" t="str">
        <f aca="false">IF(INDEX(BookTitle,1858)="","",INDEX(BookGroup,1858))</f>
        <v/>
      </c>
      <c r="B1863" s="40" t="str">
        <f aca="false">IF(INDEX(BookTitle,1858)="","",INDEX(BookRef,1858))</f>
        <v/>
      </c>
      <c r="C1863" s="40" t="str">
        <f aca="false">IF(INDEX(BookTitle,1858)="","",INDEX(BookDivision,1858))</f>
        <v/>
      </c>
      <c r="D1863" s="40" t="str">
        <f aca="false">IF(INDEX(BookTitle,1858)="","",INDEX(BookUnit,1858))</f>
        <v/>
      </c>
      <c r="E1863" s="40" t="str">
        <f aca="false">IF(INDEX(BookTitle,1858)="","",INDEX(BookTitle,1858))</f>
        <v/>
      </c>
      <c r="F1863" s="40" t="str">
        <f aca="false">IF(INDEX(BookTitle,1858)="","",INDEX(BookLevel,1858))</f>
        <v/>
      </c>
      <c r="G1863" s="40" t="str">
        <f aca="false">IF(INDEX(BookTitle,1858)="","",INDEX(BookCategory,1858))</f>
        <v/>
      </c>
      <c r="H1863" s="40" t="str">
        <f aca="false">IF(INDEX(BookTitle,1858)="","",INDEX(BookRank,1858))</f>
        <v/>
      </c>
      <c r="I1863" s="41" t="str">
        <f aca="false">IF(INDEX(BookTitle,1858)="","",INDEX(BookTotal,1858))</f>
        <v/>
      </c>
      <c r="J1863" s="0" t="str">
        <f aca="false">IF($I1863="","",IF(INDEX(BookQ1,1858)&gt;0,"Q1",IF(INDEX(BookQ2,1858)&gt;0,"Q2",IF(INDEX(BookQ3,1858)&gt;0,"Q3",IF(INDEX(BookQ4,1858)&gt;0,"Q4","")))))</f>
        <v/>
      </c>
      <c r="K1863" s="42" t="str">
        <f aca="false">IF(INDEX(BookTitle,1858)="","",INDEX(BookInYear,1858))</f>
        <v/>
      </c>
      <c r="L1863" s="19"/>
      <c r="M1863" s="39"/>
      <c r="N1863" s="19"/>
      <c r="O1863" s="19"/>
      <c r="P1863" s="43" t="str">
        <f aca="false">IF($E1863="","",IF($L1863="Decline",0,IF($L1863="Approve fewer",IF($M1863="","",$M1863),IF($L1863="","",$I1863))))</f>
        <v/>
      </c>
      <c r="Q1863" s="34" t="str">
        <f aca="false">IF($P1863="","",IF($N1863&lt;&gt;"",$N1863,$J1863))</f>
        <v/>
      </c>
      <c r="R1863" s="35" t="str">
        <f aca="false">IF(OR($P1863="",$Q1863=""),"",INDEX(BookRate,1858)*$P1863*(5-MATCH($Q1863,{"Q1";"Q2";"Q3";"Q4"},0))/4+INDEX(BookOneOff,1858)*$P1863)</f>
        <v/>
      </c>
      <c r="S1863" s="35" t="str">
        <f aca="false">IF($P1863="","",INDEX(BookRate,1858)*$P1863)</f>
        <v/>
      </c>
      <c r="T1863" s="35" t="str">
        <f aca="false">IF($R1863="","",$R1863-$K1863)</f>
        <v/>
      </c>
      <c r="U1863" s="35" t="str">
        <f aca="false">IF(N($P1863)&lt;=0,"",COUNTIF($P$6:$P1863,"&gt;0"))</f>
        <v/>
      </c>
    </row>
    <row r="1864" customFormat="false" ht="15" hidden="false" customHeight="false" outlineLevel="0" collapsed="false">
      <c r="A1864" s="40" t="str">
        <f aca="false">IF(INDEX(BookTitle,1859)="","",INDEX(BookGroup,1859))</f>
        <v/>
      </c>
      <c r="B1864" s="40" t="str">
        <f aca="false">IF(INDEX(BookTitle,1859)="","",INDEX(BookRef,1859))</f>
        <v/>
      </c>
      <c r="C1864" s="40" t="str">
        <f aca="false">IF(INDEX(BookTitle,1859)="","",INDEX(BookDivision,1859))</f>
        <v/>
      </c>
      <c r="D1864" s="40" t="str">
        <f aca="false">IF(INDEX(BookTitle,1859)="","",INDEX(BookUnit,1859))</f>
        <v/>
      </c>
      <c r="E1864" s="40" t="str">
        <f aca="false">IF(INDEX(BookTitle,1859)="","",INDEX(BookTitle,1859))</f>
        <v/>
      </c>
      <c r="F1864" s="40" t="str">
        <f aca="false">IF(INDEX(BookTitle,1859)="","",INDEX(BookLevel,1859))</f>
        <v/>
      </c>
      <c r="G1864" s="40" t="str">
        <f aca="false">IF(INDEX(BookTitle,1859)="","",INDEX(BookCategory,1859))</f>
        <v/>
      </c>
      <c r="H1864" s="40" t="str">
        <f aca="false">IF(INDEX(BookTitle,1859)="","",INDEX(BookRank,1859))</f>
        <v/>
      </c>
      <c r="I1864" s="41" t="str">
        <f aca="false">IF(INDEX(BookTitle,1859)="","",INDEX(BookTotal,1859))</f>
        <v/>
      </c>
      <c r="J1864" s="0" t="str">
        <f aca="false">IF($I1864="","",IF(INDEX(BookQ1,1859)&gt;0,"Q1",IF(INDEX(BookQ2,1859)&gt;0,"Q2",IF(INDEX(BookQ3,1859)&gt;0,"Q3",IF(INDEX(BookQ4,1859)&gt;0,"Q4","")))))</f>
        <v/>
      </c>
      <c r="K1864" s="42" t="str">
        <f aca="false">IF(INDEX(BookTitle,1859)="","",INDEX(BookInYear,1859))</f>
        <v/>
      </c>
      <c r="L1864" s="19"/>
      <c r="M1864" s="39"/>
      <c r="N1864" s="19"/>
      <c r="O1864" s="19"/>
      <c r="P1864" s="43" t="str">
        <f aca="false">IF($E1864="","",IF($L1864="Decline",0,IF($L1864="Approve fewer",IF($M1864="","",$M1864),IF($L1864="","",$I1864))))</f>
        <v/>
      </c>
      <c r="Q1864" s="34" t="str">
        <f aca="false">IF($P1864="","",IF($N1864&lt;&gt;"",$N1864,$J1864))</f>
        <v/>
      </c>
      <c r="R1864" s="35" t="str">
        <f aca="false">IF(OR($P1864="",$Q1864=""),"",INDEX(BookRate,1859)*$P1864*(5-MATCH($Q1864,{"Q1";"Q2";"Q3";"Q4"},0))/4+INDEX(BookOneOff,1859)*$P1864)</f>
        <v/>
      </c>
      <c r="S1864" s="35" t="str">
        <f aca="false">IF($P1864="","",INDEX(BookRate,1859)*$P1864)</f>
        <v/>
      </c>
      <c r="T1864" s="35" t="str">
        <f aca="false">IF($R1864="","",$R1864-$K1864)</f>
        <v/>
      </c>
      <c r="U1864" s="35" t="str">
        <f aca="false">IF(N($P1864)&lt;=0,"",COUNTIF($P$6:$P1864,"&gt;0"))</f>
        <v/>
      </c>
    </row>
    <row r="1865" customFormat="false" ht="15" hidden="false" customHeight="false" outlineLevel="0" collapsed="false">
      <c r="A1865" s="40" t="str">
        <f aca="false">IF(INDEX(BookTitle,1860)="","",INDEX(BookGroup,1860))</f>
        <v/>
      </c>
      <c r="B1865" s="40" t="str">
        <f aca="false">IF(INDEX(BookTitle,1860)="","",INDEX(BookRef,1860))</f>
        <v/>
      </c>
      <c r="C1865" s="40" t="str">
        <f aca="false">IF(INDEX(BookTitle,1860)="","",INDEX(BookDivision,1860))</f>
        <v/>
      </c>
      <c r="D1865" s="40" t="str">
        <f aca="false">IF(INDEX(BookTitle,1860)="","",INDEX(BookUnit,1860))</f>
        <v/>
      </c>
      <c r="E1865" s="40" t="str">
        <f aca="false">IF(INDEX(BookTitle,1860)="","",INDEX(BookTitle,1860))</f>
        <v/>
      </c>
      <c r="F1865" s="40" t="str">
        <f aca="false">IF(INDEX(BookTitle,1860)="","",INDEX(BookLevel,1860))</f>
        <v/>
      </c>
      <c r="G1865" s="40" t="str">
        <f aca="false">IF(INDEX(BookTitle,1860)="","",INDEX(BookCategory,1860))</f>
        <v/>
      </c>
      <c r="H1865" s="40" t="str">
        <f aca="false">IF(INDEX(BookTitle,1860)="","",INDEX(BookRank,1860))</f>
        <v/>
      </c>
      <c r="I1865" s="41" t="str">
        <f aca="false">IF(INDEX(BookTitle,1860)="","",INDEX(BookTotal,1860))</f>
        <v/>
      </c>
      <c r="J1865" s="0" t="str">
        <f aca="false">IF($I1865="","",IF(INDEX(BookQ1,1860)&gt;0,"Q1",IF(INDEX(BookQ2,1860)&gt;0,"Q2",IF(INDEX(BookQ3,1860)&gt;0,"Q3",IF(INDEX(BookQ4,1860)&gt;0,"Q4","")))))</f>
        <v/>
      </c>
      <c r="K1865" s="42" t="str">
        <f aca="false">IF(INDEX(BookTitle,1860)="","",INDEX(BookInYear,1860))</f>
        <v/>
      </c>
      <c r="L1865" s="19"/>
      <c r="M1865" s="39"/>
      <c r="N1865" s="19"/>
      <c r="O1865" s="19"/>
      <c r="P1865" s="43" t="str">
        <f aca="false">IF($E1865="","",IF($L1865="Decline",0,IF($L1865="Approve fewer",IF($M1865="","",$M1865),IF($L1865="","",$I1865))))</f>
        <v/>
      </c>
      <c r="Q1865" s="34" t="str">
        <f aca="false">IF($P1865="","",IF($N1865&lt;&gt;"",$N1865,$J1865))</f>
        <v/>
      </c>
      <c r="R1865" s="35" t="str">
        <f aca="false">IF(OR($P1865="",$Q1865=""),"",INDEX(BookRate,1860)*$P1865*(5-MATCH($Q1865,{"Q1";"Q2";"Q3";"Q4"},0))/4+INDEX(BookOneOff,1860)*$P1865)</f>
        <v/>
      </c>
      <c r="S1865" s="35" t="str">
        <f aca="false">IF($P1865="","",INDEX(BookRate,1860)*$P1865)</f>
        <v/>
      </c>
      <c r="T1865" s="35" t="str">
        <f aca="false">IF($R1865="","",$R1865-$K1865)</f>
        <v/>
      </c>
      <c r="U1865" s="35" t="str">
        <f aca="false">IF(N($P1865)&lt;=0,"",COUNTIF($P$6:$P1865,"&gt;0"))</f>
        <v/>
      </c>
    </row>
    <row r="1866" customFormat="false" ht="15" hidden="false" customHeight="false" outlineLevel="0" collapsed="false">
      <c r="A1866" s="40" t="str">
        <f aca="false">IF(INDEX(BookTitle,1861)="","",INDEX(BookGroup,1861))</f>
        <v/>
      </c>
      <c r="B1866" s="40" t="str">
        <f aca="false">IF(INDEX(BookTitle,1861)="","",INDEX(BookRef,1861))</f>
        <v/>
      </c>
      <c r="C1866" s="40" t="str">
        <f aca="false">IF(INDEX(BookTitle,1861)="","",INDEX(BookDivision,1861))</f>
        <v/>
      </c>
      <c r="D1866" s="40" t="str">
        <f aca="false">IF(INDEX(BookTitle,1861)="","",INDEX(BookUnit,1861))</f>
        <v/>
      </c>
      <c r="E1866" s="40" t="str">
        <f aca="false">IF(INDEX(BookTitle,1861)="","",INDEX(BookTitle,1861))</f>
        <v/>
      </c>
      <c r="F1866" s="40" t="str">
        <f aca="false">IF(INDEX(BookTitle,1861)="","",INDEX(BookLevel,1861))</f>
        <v/>
      </c>
      <c r="G1866" s="40" t="str">
        <f aca="false">IF(INDEX(BookTitle,1861)="","",INDEX(BookCategory,1861))</f>
        <v/>
      </c>
      <c r="H1866" s="40" t="str">
        <f aca="false">IF(INDEX(BookTitle,1861)="","",INDEX(BookRank,1861))</f>
        <v/>
      </c>
      <c r="I1866" s="41" t="str">
        <f aca="false">IF(INDEX(BookTitle,1861)="","",INDEX(BookTotal,1861))</f>
        <v/>
      </c>
      <c r="J1866" s="0" t="str">
        <f aca="false">IF($I1866="","",IF(INDEX(BookQ1,1861)&gt;0,"Q1",IF(INDEX(BookQ2,1861)&gt;0,"Q2",IF(INDEX(BookQ3,1861)&gt;0,"Q3",IF(INDEX(BookQ4,1861)&gt;0,"Q4","")))))</f>
        <v/>
      </c>
      <c r="K1866" s="42" t="str">
        <f aca="false">IF(INDEX(BookTitle,1861)="","",INDEX(BookInYear,1861))</f>
        <v/>
      </c>
      <c r="L1866" s="19"/>
      <c r="M1866" s="39"/>
      <c r="N1866" s="19"/>
      <c r="O1866" s="19"/>
      <c r="P1866" s="43" t="str">
        <f aca="false">IF($E1866="","",IF($L1866="Decline",0,IF($L1866="Approve fewer",IF($M1866="","",$M1866),IF($L1866="","",$I1866))))</f>
        <v/>
      </c>
      <c r="Q1866" s="34" t="str">
        <f aca="false">IF($P1866="","",IF($N1866&lt;&gt;"",$N1866,$J1866))</f>
        <v/>
      </c>
      <c r="R1866" s="35" t="str">
        <f aca="false">IF(OR($P1866="",$Q1866=""),"",INDEX(BookRate,1861)*$P1866*(5-MATCH($Q1866,{"Q1";"Q2";"Q3";"Q4"},0))/4+INDEX(BookOneOff,1861)*$P1866)</f>
        <v/>
      </c>
      <c r="S1866" s="35" t="str">
        <f aca="false">IF($P1866="","",INDEX(BookRate,1861)*$P1866)</f>
        <v/>
      </c>
      <c r="T1866" s="35" t="str">
        <f aca="false">IF($R1866="","",$R1866-$K1866)</f>
        <v/>
      </c>
      <c r="U1866" s="35" t="str">
        <f aca="false">IF(N($P1866)&lt;=0,"",COUNTIF($P$6:$P1866,"&gt;0"))</f>
        <v/>
      </c>
    </row>
    <row r="1867" customFormat="false" ht="15" hidden="false" customHeight="false" outlineLevel="0" collapsed="false">
      <c r="A1867" s="40" t="str">
        <f aca="false">IF(INDEX(BookTitle,1862)="","",INDEX(BookGroup,1862))</f>
        <v/>
      </c>
      <c r="B1867" s="40" t="str">
        <f aca="false">IF(INDEX(BookTitle,1862)="","",INDEX(BookRef,1862))</f>
        <v/>
      </c>
      <c r="C1867" s="40" t="str">
        <f aca="false">IF(INDEX(BookTitle,1862)="","",INDEX(BookDivision,1862))</f>
        <v/>
      </c>
      <c r="D1867" s="40" t="str">
        <f aca="false">IF(INDEX(BookTitle,1862)="","",INDEX(BookUnit,1862))</f>
        <v/>
      </c>
      <c r="E1867" s="40" t="str">
        <f aca="false">IF(INDEX(BookTitle,1862)="","",INDEX(BookTitle,1862))</f>
        <v/>
      </c>
      <c r="F1867" s="40" t="str">
        <f aca="false">IF(INDEX(BookTitle,1862)="","",INDEX(BookLevel,1862))</f>
        <v/>
      </c>
      <c r="G1867" s="40" t="str">
        <f aca="false">IF(INDEX(BookTitle,1862)="","",INDEX(BookCategory,1862))</f>
        <v/>
      </c>
      <c r="H1867" s="40" t="str">
        <f aca="false">IF(INDEX(BookTitle,1862)="","",INDEX(BookRank,1862))</f>
        <v/>
      </c>
      <c r="I1867" s="41" t="str">
        <f aca="false">IF(INDEX(BookTitle,1862)="","",INDEX(BookTotal,1862))</f>
        <v/>
      </c>
      <c r="J1867" s="0" t="str">
        <f aca="false">IF($I1867="","",IF(INDEX(BookQ1,1862)&gt;0,"Q1",IF(INDEX(BookQ2,1862)&gt;0,"Q2",IF(INDEX(BookQ3,1862)&gt;0,"Q3",IF(INDEX(BookQ4,1862)&gt;0,"Q4","")))))</f>
        <v/>
      </c>
      <c r="K1867" s="42" t="str">
        <f aca="false">IF(INDEX(BookTitle,1862)="","",INDEX(BookInYear,1862))</f>
        <v/>
      </c>
      <c r="L1867" s="19"/>
      <c r="M1867" s="39"/>
      <c r="N1867" s="19"/>
      <c r="O1867" s="19"/>
      <c r="P1867" s="43" t="str">
        <f aca="false">IF($E1867="","",IF($L1867="Decline",0,IF($L1867="Approve fewer",IF($M1867="","",$M1867),IF($L1867="","",$I1867))))</f>
        <v/>
      </c>
      <c r="Q1867" s="34" t="str">
        <f aca="false">IF($P1867="","",IF($N1867&lt;&gt;"",$N1867,$J1867))</f>
        <v/>
      </c>
      <c r="R1867" s="35" t="str">
        <f aca="false">IF(OR($P1867="",$Q1867=""),"",INDEX(BookRate,1862)*$P1867*(5-MATCH($Q1867,{"Q1";"Q2";"Q3";"Q4"},0))/4+INDEX(BookOneOff,1862)*$P1867)</f>
        <v/>
      </c>
      <c r="S1867" s="35" t="str">
        <f aca="false">IF($P1867="","",INDEX(BookRate,1862)*$P1867)</f>
        <v/>
      </c>
      <c r="T1867" s="35" t="str">
        <f aca="false">IF($R1867="","",$R1867-$K1867)</f>
        <v/>
      </c>
      <c r="U1867" s="35" t="str">
        <f aca="false">IF(N($P1867)&lt;=0,"",COUNTIF($P$6:$P1867,"&gt;0"))</f>
        <v/>
      </c>
    </row>
    <row r="1868" customFormat="false" ht="15" hidden="false" customHeight="false" outlineLevel="0" collapsed="false">
      <c r="A1868" s="40" t="str">
        <f aca="false">IF(INDEX(BookTitle,1863)="","",INDEX(BookGroup,1863))</f>
        <v/>
      </c>
      <c r="B1868" s="40" t="str">
        <f aca="false">IF(INDEX(BookTitle,1863)="","",INDEX(BookRef,1863))</f>
        <v/>
      </c>
      <c r="C1868" s="40" t="str">
        <f aca="false">IF(INDEX(BookTitle,1863)="","",INDEX(BookDivision,1863))</f>
        <v/>
      </c>
      <c r="D1868" s="40" t="str">
        <f aca="false">IF(INDEX(BookTitle,1863)="","",INDEX(BookUnit,1863))</f>
        <v/>
      </c>
      <c r="E1868" s="40" t="str">
        <f aca="false">IF(INDEX(BookTitle,1863)="","",INDEX(BookTitle,1863))</f>
        <v/>
      </c>
      <c r="F1868" s="40" t="str">
        <f aca="false">IF(INDEX(BookTitle,1863)="","",INDEX(BookLevel,1863))</f>
        <v/>
      </c>
      <c r="G1868" s="40" t="str">
        <f aca="false">IF(INDEX(BookTitle,1863)="","",INDEX(BookCategory,1863))</f>
        <v/>
      </c>
      <c r="H1868" s="40" t="str">
        <f aca="false">IF(INDEX(BookTitle,1863)="","",INDEX(BookRank,1863))</f>
        <v/>
      </c>
      <c r="I1868" s="41" t="str">
        <f aca="false">IF(INDEX(BookTitle,1863)="","",INDEX(BookTotal,1863))</f>
        <v/>
      </c>
      <c r="J1868" s="0" t="str">
        <f aca="false">IF($I1868="","",IF(INDEX(BookQ1,1863)&gt;0,"Q1",IF(INDEX(BookQ2,1863)&gt;0,"Q2",IF(INDEX(BookQ3,1863)&gt;0,"Q3",IF(INDEX(BookQ4,1863)&gt;0,"Q4","")))))</f>
        <v/>
      </c>
      <c r="K1868" s="42" t="str">
        <f aca="false">IF(INDEX(BookTitle,1863)="","",INDEX(BookInYear,1863))</f>
        <v/>
      </c>
      <c r="L1868" s="19"/>
      <c r="M1868" s="39"/>
      <c r="N1868" s="19"/>
      <c r="O1868" s="19"/>
      <c r="P1868" s="43" t="str">
        <f aca="false">IF($E1868="","",IF($L1868="Decline",0,IF($L1868="Approve fewer",IF($M1868="","",$M1868),IF($L1868="","",$I1868))))</f>
        <v/>
      </c>
      <c r="Q1868" s="34" t="str">
        <f aca="false">IF($P1868="","",IF($N1868&lt;&gt;"",$N1868,$J1868))</f>
        <v/>
      </c>
      <c r="R1868" s="35" t="str">
        <f aca="false">IF(OR($P1868="",$Q1868=""),"",INDEX(BookRate,1863)*$P1868*(5-MATCH($Q1868,{"Q1";"Q2";"Q3";"Q4"},0))/4+INDEX(BookOneOff,1863)*$P1868)</f>
        <v/>
      </c>
      <c r="S1868" s="35" t="str">
        <f aca="false">IF($P1868="","",INDEX(BookRate,1863)*$P1868)</f>
        <v/>
      </c>
      <c r="T1868" s="35" t="str">
        <f aca="false">IF($R1868="","",$R1868-$K1868)</f>
        <v/>
      </c>
      <c r="U1868" s="35" t="str">
        <f aca="false">IF(N($P1868)&lt;=0,"",COUNTIF($P$6:$P1868,"&gt;0"))</f>
        <v/>
      </c>
    </row>
    <row r="1869" customFormat="false" ht="15" hidden="false" customHeight="false" outlineLevel="0" collapsed="false">
      <c r="A1869" s="40" t="str">
        <f aca="false">IF(INDEX(BookTitle,1864)="","",INDEX(BookGroup,1864))</f>
        <v/>
      </c>
      <c r="B1869" s="40" t="str">
        <f aca="false">IF(INDEX(BookTitle,1864)="","",INDEX(BookRef,1864))</f>
        <v/>
      </c>
      <c r="C1869" s="40" t="str">
        <f aca="false">IF(INDEX(BookTitle,1864)="","",INDEX(BookDivision,1864))</f>
        <v/>
      </c>
      <c r="D1869" s="40" t="str">
        <f aca="false">IF(INDEX(BookTitle,1864)="","",INDEX(BookUnit,1864))</f>
        <v/>
      </c>
      <c r="E1869" s="40" t="str">
        <f aca="false">IF(INDEX(BookTitle,1864)="","",INDEX(BookTitle,1864))</f>
        <v/>
      </c>
      <c r="F1869" s="40" t="str">
        <f aca="false">IF(INDEX(BookTitle,1864)="","",INDEX(BookLevel,1864))</f>
        <v/>
      </c>
      <c r="G1869" s="40" t="str">
        <f aca="false">IF(INDEX(BookTitle,1864)="","",INDEX(BookCategory,1864))</f>
        <v/>
      </c>
      <c r="H1869" s="40" t="str">
        <f aca="false">IF(INDEX(BookTitle,1864)="","",INDEX(BookRank,1864))</f>
        <v/>
      </c>
      <c r="I1869" s="41" t="str">
        <f aca="false">IF(INDEX(BookTitle,1864)="","",INDEX(BookTotal,1864))</f>
        <v/>
      </c>
      <c r="J1869" s="0" t="str">
        <f aca="false">IF($I1869="","",IF(INDEX(BookQ1,1864)&gt;0,"Q1",IF(INDEX(BookQ2,1864)&gt;0,"Q2",IF(INDEX(BookQ3,1864)&gt;0,"Q3",IF(INDEX(BookQ4,1864)&gt;0,"Q4","")))))</f>
        <v/>
      </c>
      <c r="K1869" s="42" t="str">
        <f aca="false">IF(INDEX(BookTitle,1864)="","",INDEX(BookInYear,1864))</f>
        <v/>
      </c>
      <c r="L1869" s="19"/>
      <c r="M1869" s="39"/>
      <c r="N1869" s="19"/>
      <c r="O1869" s="19"/>
      <c r="P1869" s="43" t="str">
        <f aca="false">IF($E1869="","",IF($L1869="Decline",0,IF($L1869="Approve fewer",IF($M1869="","",$M1869),IF($L1869="","",$I1869))))</f>
        <v/>
      </c>
      <c r="Q1869" s="34" t="str">
        <f aca="false">IF($P1869="","",IF($N1869&lt;&gt;"",$N1869,$J1869))</f>
        <v/>
      </c>
      <c r="R1869" s="35" t="str">
        <f aca="false">IF(OR($P1869="",$Q1869=""),"",INDEX(BookRate,1864)*$P1869*(5-MATCH($Q1869,{"Q1";"Q2";"Q3";"Q4"},0))/4+INDEX(BookOneOff,1864)*$P1869)</f>
        <v/>
      </c>
      <c r="S1869" s="35" t="str">
        <f aca="false">IF($P1869="","",INDEX(BookRate,1864)*$P1869)</f>
        <v/>
      </c>
      <c r="T1869" s="35" t="str">
        <f aca="false">IF($R1869="","",$R1869-$K1869)</f>
        <v/>
      </c>
      <c r="U1869" s="35" t="str">
        <f aca="false">IF(N($P1869)&lt;=0,"",COUNTIF($P$6:$P1869,"&gt;0"))</f>
        <v/>
      </c>
    </row>
    <row r="1870" customFormat="false" ht="15" hidden="false" customHeight="false" outlineLevel="0" collapsed="false">
      <c r="A1870" s="40" t="str">
        <f aca="false">IF(INDEX(BookTitle,1865)="","",INDEX(BookGroup,1865))</f>
        <v/>
      </c>
      <c r="B1870" s="40" t="str">
        <f aca="false">IF(INDEX(BookTitle,1865)="","",INDEX(BookRef,1865))</f>
        <v/>
      </c>
      <c r="C1870" s="40" t="str">
        <f aca="false">IF(INDEX(BookTitle,1865)="","",INDEX(BookDivision,1865))</f>
        <v/>
      </c>
      <c r="D1870" s="40" t="str">
        <f aca="false">IF(INDEX(BookTitle,1865)="","",INDEX(BookUnit,1865))</f>
        <v/>
      </c>
      <c r="E1870" s="40" t="str">
        <f aca="false">IF(INDEX(BookTitle,1865)="","",INDEX(BookTitle,1865))</f>
        <v/>
      </c>
      <c r="F1870" s="40" t="str">
        <f aca="false">IF(INDEX(BookTitle,1865)="","",INDEX(BookLevel,1865))</f>
        <v/>
      </c>
      <c r="G1870" s="40" t="str">
        <f aca="false">IF(INDEX(BookTitle,1865)="","",INDEX(BookCategory,1865))</f>
        <v/>
      </c>
      <c r="H1870" s="40" t="str">
        <f aca="false">IF(INDEX(BookTitle,1865)="","",INDEX(BookRank,1865))</f>
        <v/>
      </c>
      <c r="I1870" s="41" t="str">
        <f aca="false">IF(INDEX(BookTitle,1865)="","",INDEX(BookTotal,1865))</f>
        <v/>
      </c>
      <c r="J1870" s="0" t="str">
        <f aca="false">IF($I1870="","",IF(INDEX(BookQ1,1865)&gt;0,"Q1",IF(INDEX(BookQ2,1865)&gt;0,"Q2",IF(INDEX(BookQ3,1865)&gt;0,"Q3",IF(INDEX(BookQ4,1865)&gt;0,"Q4","")))))</f>
        <v/>
      </c>
      <c r="K1870" s="42" t="str">
        <f aca="false">IF(INDEX(BookTitle,1865)="","",INDEX(BookInYear,1865))</f>
        <v/>
      </c>
      <c r="L1870" s="19"/>
      <c r="M1870" s="39"/>
      <c r="N1870" s="19"/>
      <c r="O1870" s="19"/>
      <c r="P1870" s="43" t="str">
        <f aca="false">IF($E1870="","",IF($L1870="Decline",0,IF($L1870="Approve fewer",IF($M1870="","",$M1870),IF($L1870="","",$I1870))))</f>
        <v/>
      </c>
      <c r="Q1870" s="34" t="str">
        <f aca="false">IF($P1870="","",IF($N1870&lt;&gt;"",$N1870,$J1870))</f>
        <v/>
      </c>
      <c r="R1870" s="35" t="str">
        <f aca="false">IF(OR($P1870="",$Q1870=""),"",INDEX(BookRate,1865)*$P1870*(5-MATCH($Q1870,{"Q1";"Q2";"Q3";"Q4"},0))/4+INDEX(BookOneOff,1865)*$P1870)</f>
        <v/>
      </c>
      <c r="S1870" s="35" t="str">
        <f aca="false">IF($P1870="","",INDEX(BookRate,1865)*$P1870)</f>
        <v/>
      </c>
      <c r="T1870" s="35" t="str">
        <f aca="false">IF($R1870="","",$R1870-$K1870)</f>
        <v/>
      </c>
      <c r="U1870" s="35" t="str">
        <f aca="false">IF(N($P1870)&lt;=0,"",COUNTIF($P$6:$P1870,"&gt;0"))</f>
        <v/>
      </c>
    </row>
    <row r="1871" customFormat="false" ht="15" hidden="false" customHeight="false" outlineLevel="0" collapsed="false">
      <c r="A1871" s="40" t="str">
        <f aca="false">IF(INDEX(BookTitle,1866)="","",INDEX(BookGroup,1866))</f>
        <v/>
      </c>
      <c r="B1871" s="40" t="str">
        <f aca="false">IF(INDEX(BookTitle,1866)="","",INDEX(BookRef,1866))</f>
        <v/>
      </c>
      <c r="C1871" s="40" t="str">
        <f aca="false">IF(INDEX(BookTitle,1866)="","",INDEX(BookDivision,1866))</f>
        <v/>
      </c>
      <c r="D1871" s="40" t="str">
        <f aca="false">IF(INDEX(BookTitle,1866)="","",INDEX(BookUnit,1866))</f>
        <v/>
      </c>
      <c r="E1871" s="40" t="str">
        <f aca="false">IF(INDEX(BookTitle,1866)="","",INDEX(BookTitle,1866))</f>
        <v/>
      </c>
      <c r="F1871" s="40" t="str">
        <f aca="false">IF(INDEX(BookTitle,1866)="","",INDEX(BookLevel,1866))</f>
        <v/>
      </c>
      <c r="G1871" s="40" t="str">
        <f aca="false">IF(INDEX(BookTitle,1866)="","",INDEX(BookCategory,1866))</f>
        <v/>
      </c>
      <c r="H1871" s="40" t="str">
        <f aca="false">IF(INDEX(BookTitle,1866)="","",INDEX(BookRank,1866))</f>
        <v/>
      </c>
      <c r="I1871" s="41" t="str">
        <f aca="false">IF(INDEX(BookTitle,1866)="","",INDEX(BookTotal,1866))</f>
        <v/>
      </c>
      <c r="J1871" s="0" t="str">
        <f aca="false">IF($I1871="","",IF(INDEX(BookQ1,1866)&gt;0,"Q1",IF(INDEX(BookQ2,1866)&gt;0,"Q2",IF(INDEX(BookQ3,1866)&gt;0,"Q3",IF(INDEX(BookQ4,1866)&gt;0,"Q4","")))))</f>
        <v/>
      </c>
      <c r="K1871" s="42" t="str">
        <f aca="false">IF(INDEX(BookTitle,1866)="","",INDEX(BookInYear,1866))</f>
        <v/>
      </c>
      <c r="L1871" s="19"/>
      <c r="M1871" s="39"/>
      <c r="N1871" s="19"/>
      <c r="O1871" s="19"/>
      <c r="P1871" s="43" t="str">
        <f aca="false">IF($E1871="","",IF($L1871="Decline",0,IF($L1871="Approve fewer",IF($M1871="","",$M1871),IF($L1871="","",$I1871))))</f>
        <v/>
      </c>
      <c r="Q1871" s="34" t="str">
        <f aca="false">IF($P1871="","",IF($N1871&lt;&gt;"",$N1871,$J1871))</f>
        <v/>
      </c>
      <c r="R1871" s="35" t="str">
        <f aca="false">IF(OR($P1871="",$Q1871=""),"",INDEX(BookRate,1866)*$P1871*(5-MATCH($Q1871,{"Q1";"Q2";"Q3";"Q4"},0))/4+INDEX(BookOneOff,1866)*$P1871)</f>
        <v/>
      </c>
      <c r="S1871" s="35" t="str">
        <f aca="false">IF($P1871="","",INDEX(BookRate,1866)*$P1871)</f>
        <v/>
      </c>
      <c r="T1871" s="35" t="str">
        <f aca="false">IF($R1871="","",$R1871-$K1871)</f>
        <v/>
      </c>
      <c r="U1871" s="35" t="str">
        <f aca="false">IF(N($P1871)&lt;=0,"",COUNTIF($P$6:$P1871,"&gt;0"))</f>
        <v/>
      </c>
    </row>
    <row r="1872" customFormat="false" ht="15" hidden="false" customHeight="false" outlineLevel="0" collapsed="false">
      <c r="A1872" s="40" t="str">
        <f aca="false">IF(INDEX(BookTitle,1867)="","",INDEX(BookGroup,1867))</f>
        <v/>
      </c>
      <c r="B1872" s="40" t="str">
        <f aca="false">IF(INDEX(BookTitle,1867)="","",INDEX(BookRef,1867))</f>
        <v/>
      </c>
      <c r="C1872" s="40" t="str">
        <f aca="false">IF(INDEX(BookTitle,1867)="","",INDEX(BookDivision,1867))</f>
        <v/>
      </c>
      <c r="D1872" s="40" t="str">
        <f aca="false">IF(INDEX(BookTitle,1867)="","",INDEX(BookUnit,1867))</f>
        <v/>
      </c>
      <c r="E1872" s="40" t="str">
        <f aca="false">IF(INDEX(BookTitle,1867)="","",INDEX(BookTitle,1867))</f>
        <v/>
      </c>
      <c r="F1872" s="40" t="str">
        <f aca="false">IF(INDEX(BookTitle,1867)="","",INDEX(BookLevel,1867))</f>
        <v/>
      </c>
      <c r="G1872" s="40" t="str">
        <f aca="false">IF(INDEX(BookTitle,1867)="","",INDEX(BookCategory,1867))</f>
        <v/>
      </c>
      <c r="H1872" s="40" t="str">
        <f aca="false">IF(INDEX(BookTitle,1867)="","",INDEX(BookRank,1867))</f>
        <v/>
      </c>
      <c r="I1872" s="41" t="str">
        <f aca="false">IF(INDEX(BookTitle,1867)="","",INDEX(BookTotal,1867))</f>
        <v/>
      </c>
      <c r="J1872" s="0" t="str">
        <f aca="false">IF($I1872="","",IF(INDEX(BookQ1,1867)&gt;0,"Q1",IF(INDEX(BookQ2,1867)&gt;0,"Q2",IF(INDEX(BookQ3,1867)&gt;0,"Q3",IF(INDEX(BookQ4,1867)&gt;0,"Q4","")))))</f>
        <v/>
      </c>
      <c r="K1872" s="42" t="str">
        <f aca="false">IF(INDEX(BookTitle,1867)="","",INDEX(BookInYear,1867))</f>
        <v/>
      </c>
      <c r="L1872" s="19"/>
      <c r="M1872" s="39"/>
      <c r="N1872" s="19"/>
      <c r="O1872" s="19"/>
      <c r="P1872" s="43" t="str">
        <f aca="false">IF($E1872="","",IF($L1872="Decline",0,IF($L1872="Approve fewer",IF($M1872="","",$M1872),IF($L1872="","",$I1872))))</f>
        <v/>
      </c>
      <c r="Q1872" s="34" t="str">
        <f aca="false">IF($P1872="","",IF($N1872&lt;&gt;"",$N1872,$J1872))</f>
        <v/>
      </c>
      <c r="R1872" s="35" t="str">
        <f aca="false">IF(OR($P1872="",$Q1872=""),"",INDEX(BookRate,1867)*$P1872*(5-MATCH($Q1872,{"Q1";"Q2";"Q3";"Q4"},0))/4+INDEX(BookOneOff,1867)*$P1872)</f>
        <v/>
      </c>
      <c r="S1872" s="35" t="str">
        <f aca="false">IF($P1872="","",INDEX(BookRate,1867)*$P1872)</f>
        <v/>
      </c>
      <c r="T1872" s="35" t="str">
        <f aca="false">IF($R1872="","",$R1872-$K1872)</f>
        <v/>
      </c>
      <c r="U1872" s="35" t="str">
        <f aca="false">IF(N($P1872)&lt;=0,"",COUNTIF($P$6:$P1872,"&gt;0"))</f>
        <v/>
      </c>
    </row>
    <row r="1873" customFormat="false" ht="15" hidden="false" customHeight="false" outlineLevel="0" collapsed="false">
      <c r="A1873" s="40" t="str">
        <f aca="false">IF(INDEX(BookTitle,1868)="","",INDEX(BookGroup,1868))</f>
        <v/>
      </c>
      <c r="B1873" s="40" t="str">
        <f aca="false">IF(INDEX(BookTitle,1868)="","",INDEX(BookRef,1868))</f>
        <v/>
      </c>
      <c r="C1873" s="40" t="str">
        <f aca="false">IF(INDEX(BookTitle,1868)="","",INDEX(BookDivision,1868))</f>
        <v/>
      </c>
      <c r="D1873" s="40" t="str">
        <f aca="false">IF(INDEX(BookTitle,1868)="","",INDEX(BookUnit,1868))</f>
        <v/>
      </c>
      <c r="E1873" s="40" t="str">
        <f aca="false">IF(INDEX(BookTitle,1868)="","",INDEX(BookTitle,1868))</f>
        <v/>
      </c>
      <c r="F1873" s="40" t="str">
        <f aca="false">IF(INDEX(BookTitle,1868)="","",INDEX(BookLevel,1868))</f>
        <v/>
      </c>
      <c r="G1873" s="40" t="str">
        <f aca="false">IF(INDEX(BookTitle,1868)="","",INDEX(BookCategory,1868))</f>
        <v/>
      </c>
      <c r="H1873" s="40" t="str">
        <f aca="false">IF(INDEX(BookTitle,1868)="","",INDEX(BookRank,1868))</f>
        <v/>
      </c>
      <c r="I1873" s="41" t="str">
        <f aca="false">IF(INDEX(BookTitle,1868)="","",INDEX(BookTotal,1868))</f>
        <v/>
      </c>
      <c r="J1873" s="0" t="str">
        <f aca="false">IF($I1873="","",IF(INDEX(BookQ1,1868)&gt;0,"Q1",IF(INDEX(BookQ2,1868)&gt;0,"Q2",IF(INDEX(BookQ3,1868)&gt;0,"Q3",IF(INDEX(BookQ4,1868)&gt;0,"Q4","")))))</f>
        <v/>
      </c>
      <c r="K1873" s="42" t="str">
        <f aca="false">IF(INDEX(BookTitle,1868)="","",INDEX(BookInYear,1868))</f>
        <v/>
      </c>
      <c r="L1873" s="19"/>
      <c r="M1873" s="39"/>
      <c r="N1873" s="19"/>
      <c r="O1873" s="19"/>
      <c r="P1873" s="43" t="str">
        <f aca="false">IF($E1873="","",IF($L1873="Decline",0,IF($L1873="Approve fewer",IF($M1873="","",$M1873),IF($L1873="","",$I1873))))</f>
        <v/>
      </c>
      <c r="Q1873" s="34" t="str">
        <f aca="false">IF($P1873="","",IF($N1873&lt;&gt;"",$N1873,$J1873))</f>
        <v/>
      </c>
      <c r="R1873" s="35" t="str">
        <f aca="false">IF(OR($P1873="",$Q1873=""),"",INDEX(BookRate,1868)*$P1873*(5-MATCH($Q1873,{"Q1";"Q2";"Q3";"Q4"},0))/4+INDEX(BookOneOff,1868)*$P1873)</f>
        <v/>
      </c>
      <c r="S1873" s="35" t="str">
        <f aca="false">IF($P1873="","",INDEX(BookRate,1868)*$P1873)</f>
        <v/>
      </c>
      <c r="T1873" s="35" t="str">
        <f aca="false">IF($R1873="","",$R1873-$K1873)</f>
        <v/>
      </c>
      <c r="U1873" s="35" t="str">
        <f aca="false">IF(N($P1873)&lt;=0,"",COUNTIF($P$6:$P1873,"&gt;0"))</f>
        <v/>
      </c>
    </row>
    <row r="1874" customFormat="false" ht="15" hidden="false" customHeight="false" outlineLevel="0" collapsed="false">
      <c r="A1874" s="40" t="str">
        <f aca="false">IF(INDEX(BookTitle,1869)="","",INDEX(BookGroup,1869))</f>
        <v/>
      </c>
      <c r="B1874" s="40" t="str">
        <f aca="false">IF(INDEX(BookTitle,1869)="","",INDEX(BookRef,1869))</f>
        <v/>
      </c>
      <c r="C1874" s="40" t="str">
        <f aca="false">IF(INDEX(BookTitle,1869)="","",INDEX(BookDivision,1869))</f>
        <v/>
      </c>
      <c r="D1874" s="40" t="str">
        <f aca="false">IF(INDEX(BookTitle,1869)="","",INDEX(BookUnit,1869))</f>
        <v/>
      </c>
      <c r="E1874" s="40" t="str">
        <f aca="false">IF(INDEX(BookTitle,1869)="","",INDEX(BookTitle,1869))</f>
        <v/>
      </c>
      <c r="F1874" s="40" t="str">
        <f aca="false">IF(INDEX(BookTitle,1869)="","",INDEX(BookLevel,1869))</f>
        <v/>
      </c>
      <c r="G1874" s="40" t="str">
        <f aca="false">IF(INDEX(BookTitle,1869)="","",INDEX(BookCategory,1869))</f>
        <v/>
      </c>
      <c r="H1874" s="40" t="str">
        <f aca="false">IF(INDEX(BookTitle,1869)="","",INDEX(BookRank,1869))</f>
        <v/>
      </c>
      <c r="I1874" s="41" t="str">
        <f aca="false">IF(INDEX(BookTitle,1869)="","",INDEX(BookTotal,1869))</f>
        <v/>
      </c>
      <c r="J1874" s="0" t="str">
        <f aca="false">IF($I1874="","",IF(INDEX(BookQ1,1869)&gt;0,"Q1",IF(INDEX(BookQ2,1869)&gt;0,"Q2",IF(INDEX(BookQ3,1869)&gt;0,"Q3",IF(INDEX(BookQ4,1869)&gt;0,"Q4","")))))</f>
        <v/>
      </c>
      <c r="K1874" s="42" t="str">
        <f aca="false">IF(INDEX(BookTitle,1869)="","",INDEX(BookInYear,1869))</f>
        <v/>
      </c>
      <c r="L1874" s="19"/>
      <c r="M1874" s="39"/>
      <c r="N1874" s="19"/>
      <c r="O1874" s="19"/>
      <c r="P1874" s="43" t="str">
        <f aca="false">IF($E1874="","",IF($L1874="Decline",0,IF($L1874="Approve fewer",IF($M1874="","",$M1874),IF($L1874="","",$I1874))))</f>
        <v/>
      </c>
      <c r="Q1874" s="34" t="str">
        <f aca="false">IF($P1874="","",IF($N1874&lt;&gt;"",$N1874,$J1874))</f>
        <v/>
      </c>
      <c r="R1874" s="35" t="str">
        <f aca="false">IF(OR($P1874="",$Q1874=""),"",INDEX(BookRate,1869)*$P1874*(5-MATCH($Q1874,{"Q1";"Q2";"Q3";"Q4"},0))/4+INDEX(BookOneOff,1869)*$P1874)</f>
        <v/>
      </c>
      <c r="S1874" s="35" t="str">
        <f aca="false">IF($P1874="","",INDEX(BookRate,1869)*$P1874)</f>
        <v/>
      </c>
      <c r="T1874" s="35" t="str">
        <f aca="false">IF($R1874="","",$R1874-$K1874)</f>
        <v/>
      </c>
      <c r="U1874" s="35" t="str">
        <f aca="false">IF(N($P1874)&lt;=0,"",COUNTIF($P$6:$P1874,"&gt;0"))</f>
        <v/>
      </c>
    </row>
    <row r="1875" customFormat="false" ht="15" hidden="false" customHeight="false" outlineLevel="0" collapsed="false">
      <c r="A1875" s="40" t="str">
        <f aca="false">IF(INDEX(BookTitle,1870)="","",INDEX(BookGroup,1870))</f>
        <v/>
      </c>
      <c r="B1875" s="40" t="str">
        <f aca="false">IF(INDEX(BookTitle,1870)="","",INDEX(BookRef,1870))</f>
        <v/>
      </c>
      <c r="C1875" s="40" t="str">
        <f aca="false">IF(INDEX(BookTitle,1870)="","",INDEX(BookDivision,1870))</f>
        <v/>
      </c>
      <c r="D1875" s="40" t="str">
        <f aca="false">IF(INDEX(BookTitle,1870)="","",INDEX(BookUnit,1870))</f>
        <v/>
      </c>
      <c r="E1875" s="40" t="str">
        <f aca="false">IF(INDEX(BookTitle,1870)="","",INDEX(BookTitle,1870))</f>
        <v/>
      </c>
      <c r="F1875" s="40" t="str">
        <f aca="false">IF(INDEX(BookTitle,1870)="","",INDEX(BookLevel,1870))</f>
        <v/>
      </c>
      <c r="G1875" s="40" t="str">
        <f aca="false">IF(INDEX(BookTitle,1870)="","",INDEX(BookCategory,1870))</f>
        <v/>
      </c>
      <c r="H1875" s="40" t="str">
        <f aca="false">IF(INDEX(BookTitle,1870)="","",INDEX(BookRank,1870))</f>
        <v/>
      </c>
      <c r="I1875" s="41" t="str">
        <f aca="false">IF(INDEX(BookTitle,1870)="","",INDEX(BookTotal,1870))</f>
        <v/>
      </c>
      <c r="J1875" s="0" t="str">
        <f aca="false">IF($I1875="","",IF(INDEX(BookQ1,1870)&gt;0,"Q1",IF(INDEX(BookQ2,1870)&gt;0,"Q2",IF(INDEX(BookQ3,1870)&gt;0,"Q3",IF(INDEX(BookQ4,1870)&gt;0,"Q4","")))))</f>
        <v/>
      </c>
      <c r="K1875" s="42" t="str">
        <f aca="false">IF(INDEX(BookTitle,1870)="","",INDEX(BookInYear,1870))</f>
        <v/>
      </c>
      <c r="L1875" s="19"/>
      <c r="M1875" s="39"/>
      <c r="N1875" s="19"/>
      <c r="O1875" s="19"/>
      <c r="P1875" s="43" t="str">
        <f aca="false">IF($E1875="","",IF($L1875="Decline",0,IF($L1875="Approve fewer",IF($M1875="","",$M1875),IF($L1875="","",$I1875))))</f>
        <v/>
      </c>
      <c r="Q1875" s="34" t="str">
        <f aca="false">IF($P1875="","",IF($N1875&lt;&gt;"",$N1875,$J1875))</f>
        <v/>
      </c>
      <c r="R1875" s="35" t="str">
        <f aca="false">IF(OR($P1875="",$Q1875=""),"",INDEX(BookRate,1870)*$P1875*(5-MATCH($Q1875,{"Q1";"Q2";"Q3";"Q4"},0))/4+INDEX(BookOneOff,1870)*$P1875)</f>
        <v/>
      </c>
      <c r="S1875" s="35" t="str">
        <f aca="false">IF($P1875="","",INDEX(BookRate,1870)*$P1875)</f>
        <v/>
      </c>
      <c r="T1875" s="35" t="str">
        <f aca="false">IF($R1875="","",$R1875-$K1875)</f>
        <v/>
      </c>
      <c r="U1875" s="35" t="str">
        <f aca="false">IF(N($P1875)&lt;=0,"",COUNTIF($P$6:$P1875,"&gt;0"))</f>
        <v/>
      </c>
    </row>
    <row r="1876" customFormat="false" ht="15" hidden="false" customHeight="false" outlineLevel="0" collapsed="false">
      <c r="A1876" s="40" t="str">
        <f aca="false">IF(INDEX(BookTitle,1871)="","",INDEX(BookGroup,1871))</f>
        <v/>
      </c>
      <c r="B1876" s="40" t="str">
        <f aca="false">IF(INDEX(BookTitle,1871)="","",INDEX(BookRef,1871))</f>
        <v/>
      </c>
      <c r="C1876" s="40" t="str">
        <f aca="false">IF(INDEX(BookTitle,1871)="","",INDEX(BookDivision,1871))</f>
        <v/>
      </c>
      <c r="D1876" s="40" t="str">
        <f aca="false">IF(INDEX(BookTitle,1871)="","",INDEX(BookUnit,1871))</f>
        <v/>
      </c>
      <c r="E1876" s="40" t="str">
        <f aca="false">IF(INDEX(BookTitle,1871)="","",INDEX(BookTitle,1871))</f>
        <v/>
      </c>
      <c r="F1876" s="40" t="str">
        <f aca="false">IF(INDEX(BookTitle,1871)="","",INDEX(BookLevel,1871))</f>
        <v/>
      </c>
      <c r="G1876" s="40" t="str">
        <f aca="false">IF(INDEX(BookTitle,1871)="","",INDEX(BookCategory,1871))</f>
        <v/>
      </c>
      <c r="H1876" s="40" t="str">
        <f aca="false">IF(INDEX(BookTitle,1871)="","",INDEX(BookRank,1871))</f>
        <v/>
      </c>
      <c r="I1876" s="41" t="str">
        <f aca="false">IF(INDEX(BookTitle,1871)="","",INDEX(BookTotal,1871))</f>
        <v/>
      </c>
      <c r="J1876" s="0" t="str">
        <f aca="false">IF($I1876="","",IF(INDEX(BookQ1,1871)&gt;0,"Q1",IF(INDEX(BookQ2,1871)&gt;0,"Q2",IF(INDEX(BookQ3,1871)&gt;0,"Q3",IF(INDEX(BookQ4,1871)&gt;0,"Q4","")))))</f>
        <v/>
      </c>
      <c r="K1876" s="42" t="str">
        <f aca="false">IF(INDEX(BookTitle,1871)="","",INDEX(BookInYear,1871))</f>
        <v/>
      </c>
      <c r="L1876" s="19"/>
      <c r="M1876" s="39"/>
      <c r="N1876" s="19"/>
      <c r="O1876" s="19"/>
      <c r="P1876" s="43" t="str">
        <f aca="false">IF($E1876="","",IF($L1876="Decline",0,IF($L1876="Approve fewer",IF($M1876="","",$M1876),IF($L1876="","",$I1876))))</f>
        <v/>
      </c>
      <c r="Q1876" s="34" t="str">
        <f aca="false">IF($P1876="","",IF($N1876&lt;&gt;"",$N1876,$J1876))</f>
        <v/>
      </c>
      <c r="R1876" s="35" t="str">
        <f aca="false">IF(OR($P1876="",$Q1876=""),"",INDEX(BookRate,1871)*$P1876*(5-MATCH($Q1876,{"Q1";"Q2";"Q3";"Q4"},0))/4+INDEX(BookOneOff,1871)*$P1876)</f>
        <v/>
      </c>
      <c r="S1876" s="35" t="str">
        <f aca="false">IF($P1876="","",INDEX(BookRate,1871)*$P1876)</f>
        <v/>
      </c>
      <c r="T1876" s="35" t="str">
        <f aca="false">IF($R1876="","",$R1876-$K1876)</f>
        <v/>
      </c>
      <c r="U1876" s="35" t="str">
        <f aca="false">IF(N($P1876)&lt;=0,"",COUNTIF($P$6:$P1876,"&gt;0"))</f>
        <v/>
      </c>
    </row>
    <row r="1877" customFormat="false" ht="15" hidden="false" customHeight="false" outlineLevel="0" collapsed="false">
      <c r="A1877" s="40" t="str">
        <f aca="false">IF(INDEX(BookTitle,1872)="","",INDEX(BookGroup,1872))</f>
        <v/>
      </c>
      <c r="B1877" s="40" t="str">
        <f aca="false">IF(INDEX(BookTitle,1872)="","",INDEX(BookRef,1872))</f>
        <v/>
      </c>
      <c r="C1877" s="40" t="str">
        <f aca="false">IF(INDEX(BookTitle,1872)="","",INDEX(BookDivision,1872))</f>
        <v/>
      </c>
      <c r="D1877" s="40" t="str">
        <f aca="false">IF(INDEX(BookTitle,1872)="","",INDEX(BookUnit,1872))</f>
        <v/>
      </c>
      <c r="E1877" s="40" t="str">
        <f aca="false">IF(INDEX(BookTitle,1872)="","",INDEX(BookTitle,1872))</f>
        <v/>
      </c>
      <c r="F1877" s="40" t="str">
        <f aca="false">IF(INDEX(BookTitle,1872)="","",INDEX(BookLevel,1872))</f>
        <v/>
      </c>
      <c r="G1877" s="40" t="str">
        <f aca="false">IF(INDEX(BookTitle,1872)="","",INDEX(BookCategory,1872))</f>
        <v/>
      </c>
      <c r="H1877" s="40" t="str">
        <f aca="false">IF(INDEX(BookTitle,1872)="","",INDEX(BookRank,1872))</f>
        <v/>
      </c>
      <c r="I1877" s="41" t="str">
        <f aca="false">IF(INDEX(BookTitle,1872)="","",INDEX(BookTotal,1872))</f>
        <v/>
      </c>
      <c r="J1877" s="0" t="str">
        <f aca="false">IF($I1877="","",IF(INDEX(BookQ1,1872)&gt;0,"Q1",IF(INDEX(BookQ2,1872)&gt;0,"Q2",IF(INDEX(BookQ3,1872)&gt;0,"Q3",IF(INDEX(BookQ4,1872)&gt;0,"Q4","")))))</f>
        <v/>
      </c>
      <c r="K1877" s="42" t="str">
        <f aca="false">IF(INDEX(BookTitle,1872)="","",INDEX(BookInYear,1872))</f>
        <v/>
      </c>
      <c r="L1877" s="19"/>
      <c r="M1877" s="39"/>
      <c r="N1877" s="19"/>
      <c r="O1877" s="19"/>
      <c r="P1877" s="43" t="str">
        <f aca="false">IF($E1877="","",IF($L1877="Decline",0,IF($L1877="Approve fewer",IF($M1877="","",$M1877),IF($L1877="","",$I1877))))</f>
        <v/>
      </c>
      <c r="Q1877" s="34" t="str">
        <f aca="false">IF($P1877="","",IF($N1877&lt;&gt;"",$N1877,$J1877))</f>
        <v/>
      </c>
      <c r="R1877" s="35" t="str">
        <f aca="false">IF(OR($P1877="",$Q1877=""),"",INDEX(BookRate,1872)*$P1877*(5-MATCH($Q1877,{"Q1";"Q2";"Q3";"Q4"},0))/4+INDEX(BookOneOff,1872)*$P1877)</f>
        <v/>
      </c>
      <c r="S1877" s="35" t="str">
        <f aca="false">IF($P1877="","",INDEX(BookRate,1872)*$P1877)</f>
        <v/>
      </c>
      <c r="T1877" s="35" t="str">
        <f aca="false">IF($R1877="","",$R1877-$K1877)</f>
        <v/>
      </c>
      <c r="U1877" s="35" t="str">
        <f aca="false">IF(N($P1877)&lt;=0,"",COUNTIF($P$6:$P1877,"&gt;0"))</f>
        <v/>
      </c>
    </row>
    <row r="1878" customFormat="false" ht="15" hidden="false" customHeight="false" outlineLevel="0" collapsed="false">
      <c r="A1878" s="40" t="str">
        <f aca="false">IF(INDEX(BookTitle,1873)="","",INDEX(BookGroup,1873))</f>
        <v/>
      </c>
      <c r="B1878" s="40" t="str">
        <f aca="false">IF(INDEX(BookTitle,1873)="","",INDEX(BookRef,1873))</f>
        <v/>
      </c>
      <c r="C1878" s="40" t="str">
        <f aca="false">IF(INDEX(BookTitle,1873)="","",INDEX(BookDivision,1873))</f>
        <v/>
      </c>
      <c r="D1878" s="40" t="str">
        <f aca="false">IF(INDEX(BookTitle,1873)="","",INDEX(BookUnit,1873))</f>
        <v/>
      </c>
      <c r="E1878" s="40" t="str">
        <f aca="false">IF(INDEX(BookTitle,1873)="","",INDEX(BookTitle,1873))</f>
        <v/>
      </c>
      <c r="F1878" s="40" t="str">
        <f aca="false">IF(INDEX(BookTitle,1873)="","",INDEX(BookLevel,1873))</f>
        <v/>
      </c>
      <c r="G1878" s="40" t="str">
        <f aca="false">IF(INDEX(BookTitle,1873)="","",INDEX(BookCategory,1873))</f>
        <v/>
      </c>
      <c r="H1878" s="40" t="str">
        <f aca="false">IF(INDEX(BookTitle,1873)="","",INDEX(BookRank,1873))</f>
        <v/>
      </c>
      <c r="I1878" s="41" t="str">
        <f aca="false">IF(INDEX(BookTitle,1873)="","",INDEX(BookTotal,1873))</f>
        <v/>
      </c>
      <c r="J1878" s="0" t="str">
        <f aca="false">IF($I1878="","",IF(INDEX(BookQ1,1873)&gt;0,"Q1",IF(INDEX(BookQ2,1873)&gt;0,"Q2",IF(INDEX(BookQ3,1873)&gt;0,"Q3",IF(INDEX(BookQ4,1873)&gt;0,"Q4","")))))</f>
        <v/>
      </c>
      <c r="K1878" s="42" t="str">
        <f aca="false">IF(INDEX(BookTitle,1873)="","",INDEX(BookInYear,1873))</f>
        <v/>
      </c>
      <c r="L1878" s="19"/>
      <c r="M1878" s="39"/>
      <c r="N1878" s="19"/>
      <c r="O1878" s="19"/>
      <c r="P1878" s="43" t="str">
        <f aca="false">IF($E1878="","",IF($L1878="Decline",0,IF($L1878="Approve fewer",IF($M1878="","",$M1878),IF($L1878="","",$I1878))))</f>
        <v/>
      </c>
      <c r="Q1878" s="34" t="str">
        <f aca="false">IF($P1878="","",IF($N1878&lt;&gt;"",$N1878,$J1878))</f>
        <v/>
      </c>
      <c r="R1878" s="35" t="str">
        <f aca="false">IF(OR($P1878="",$Q1878=""),"",INDEX(BookRate,1873)*$P1878*(5-MATCH($Q1878,{"Q1";"Q2";"Q3";"Q4"},0))/4+INDEX(BookOneOff,1873)*$P1878)</f>
        <v/>
      </c>
      <c r="S1878" s="35" t="str">
        <f aca="false">IF($P1878="","",INDEX(BookRate,1873)*$P1878)</f>
        <v/>
      </c>
      <c r="T1878" s="35" t="str">
        <f aca="false">IF($R1878="","",$R1878-$K1878)</f>
        <v/>
      </c>
      <c r="U1878" s="35" t="str">
        <f aca="false">IF(N($P1878)&lt;=0,"",COUNTIF($P$6:$P1878,"&gt;0"))</f>
        <v/>
      </c>
    </row>
    <row r="1879" customFormat="false" ht="15" hidden="false" customHeight="false" outlineLevel="0" collapsed="false">
      <c r="A1879" s="40" t="str">
        <f aca="false">IF(INDEX(BookTitle,1874)="","",INDEX(BookGroup,1874))</f>
        <v/>
      </c>
      <c r="B1879" s="40" t="str">
        <f aca="false">IF(INDEX(BookTitle,1874)="","",INDEX(BookRef,1874))</f>
        <v/>
      </c>
      <c r="C1879" s="40" t="str">
        <f aca="false">IF(INDEX(BookTitle,1874)="","",INDEX(BookDivision,1874))</f>
        <v/>
      </c>
      <c r="D1879" s="40" t="str">
        <f aca="false">IF(INDEX(BookTitle,1874)="","",INDEX(BookUnit,1874))</f>
        <v/>
      </c>
      <c r="E1879" s="40" t="str">
        <f aca="false">IF(INDEX(BookTitle,1874)="","",INDEX(BookTitle,1874))</f>
        <v/>
      </c>
      <c r="F1879" s="40" t="str">
        <f aca="false">IF(INDEX(BookTitle,1874)="","",INDEX(BookLevel,1874))</f>
        <v/>
      </c>
      <c r="G1879" s="40" t="str">
        <f aca="false">IF(INDEX(BookTitle,1874)="","",INDEX(BookCategory,1874))</f>
        <v/>
      </c>
      <c r="H1879" s="40" t="str">
        <f aca="false">IF(INDEX(BookTitle,1874)="","",INDEX(BookRank,1874))</f>
        <v/>
      </c>
      <c r="I1879" s="41" t="str">
        <f aca="false">IF(INDEX(BookTitle,1874)="","",INDEX(BookTotal,1874))</f>
        <v/>
      </c>
      <c r="J1879" s="0" t="str">
        <f aca="false">IF($I1879="","",IF(INDEX(BookQ1,1874)&gt;0,"Q1",IF(INDEX(BookQ2,1874)&gt;0,"Q2",IF(INDEX(BookQ3,1874)&gt;0,"Q3",IF(INDEX(BookQ4,1874)&gt;0,"Q4","")))))</f>
        <v/>
      </c>
      <c r="K1879" s="42" t="str">
        <f aca="false">IF(INDEX(BookTitle,1874)="","",INDEX(BookInYear,1874))</f>
        <v/>
      </c>
      <c r="L1879" s="19"/>
      <c r="M1879" s="39"/>
      <c r="N1879" s="19"/>
      <c r="O1879" s="19"/>
      <c r="P1879" s="43" t="str">
        <f aca="false">IF($E1879="","",IF($L1879="Decline",0,IF($L1879="Approve fewer",IF($M1879="","",$M1879),IF($L1879="","",$I1879))))</f>
        <v/>
      </c>
      <c r="Q1879" s="34" t="str">
        <f aca="false">IF($P1879="","",IF($N1879&lt;&gt;"",$N1879,$J1879))</f>
        <v/>
      </c>
      <c r="R1879" s="35" t="str">
        <f aca="false">IF(OR($P1879="",$Q1879=""),"",INDEX(BookRate,1874)*$P1879*(5-MATCH($Q1879,{"Q1";"Q2";"Q3";"Q4"},0))/4+INDEX(BookOneOff,1874)*$P1879)</f>
        <v/>
      </c>
      <c r="S1879" s="35" t="str">
        <f aca="false">IF($P1879="","",INDEX(BookRate,1874)*$P1879)</f>
        <v/>
      </c>
      <c r="T1879" s="35" t="str">
        <f aca="false">IF($R1879="","",$R1879-$K1879)</f>
        <v/>
      </c>
      <c r="U1879" s="35" t="str">
        <f aca="false">IF(N($P1879)&lt;=0,"",COUNTIF($P$6:$P1879,"&gt;0"))</f>
        <v/>
      </c>
    </row>
    <row r="1880" customFormat="false" ht="15" hidden="false" customHeight="false" outlineLevel="0" collapsed="false">
      <c r="A1880" s="40" t="str">
        <f aca="false">IF(INDEX(BookTitle,1875)="","",INDEX(BookGroup,1875))</f>
        <v/>
      </c>
      <c r="B1880" s="40" t="str">
        <f aca="false">IF(INDEX(BookTitle,1875)="","",INDEX(BookRef,1875))</f>
        <v/>
      </c>
      <c r="C1880" s="40" t="str">
        <f aca="false">IF(INDEX(BookTitle,1875)="","",INDEX(BookDivision,1875))</f>
        <v/>
      </c>
      <c r="D1880" s="40" t="str">
        <f aca="false">IF(INDEX(BookTitle,1875)="","",INDEX(BookUnit,1875))</f>
        <v/>
      </c>
      <c r="E1880" s="40" t="str">
        <f aca="false">IF(INDEX(BookTitle,1875)="","",INDEX(BookTitle,1875))</f>
        <v/>
      </c>
      <c r="F1880" s="40" t="str">
        <f aca="false">IF(INDEX(BookTitle,1875)="","",INDEX(BookLevel,1875))</f>
        <v/>
      </c>
      <c r="G1880" s="40" t="str">
        <f aca="false">IF(INDEX(BookTitle,1875)="","",INDEX(BookCategory,1875))</f>
        <v/>
      </c>
      <c r="H1880" s="40" t="str">
        <f aca="false">IF(INDEX(BookTitle,1875)="","",INDEX(BookRank,1875))</f>
        <v/>
      </c>
      <c r="I1880" s="41" t="str">
        <f aca="false">IF(INDEX(BookTitle,1875)="","",INDEX(BookTotal,1875))</f>
        <v/>
      </c>
      <c r="J1880" s="0" t="str">
        <f aca="false">IF($I1880="","",IF(INDEX(BookQ1,1875)&gt;0,"Q1",IF(INDEX(BookQ2,1875)&gt;0,"Q2",IF(INDEX(BookQ3,1875)&gt;0,"Q3",IF(INDEX(BookQ4,1875)&gt;0,"Q4","")))))</f>
        <v/>
      </c>
      <c r="K1880" s="42" t="str">
        <f aca="false">IF(INDEX(BookTitle,1875)="","",INDEX(BookInYear,1875))</f>
        <v/>
      </c>
      <c r="L1880" s="19"/>
      <c r="M1880" s="39"/>
      <c r="N1880" s="19"/>
      <c r="O1880" s="19"/>
      <c r="P1880" s="43" t="str">
        <f aca="false">IF($E1880="","",IF($L1880="Decline",0,IF($L1880="Approve fewer",IF($M1880="","",$M1880),IF($L1880="","",$I1880))))</f>
        <v/>
      </c>
      <c r="Q1880" s="34" t="str">
        <f aca="false">IF($P1880="","",IF($N1880&lt;&gt;"",$N1880,$J1880))</f>
        <v/>
      </c>
      <c r="R1880" s="35" t="str">
        <f aca="false">IF(OR($P1880="",$Q1880=""),"",INDEX(BookRate,1875)*$P1880*(5-MATCH($Q1880,{"Q1";"Q2";"Q3";"Q4"},0))/4+INDEX(BookOneOff,1875)*$P1880)</f>
        <v/>
      </c>
      <c r="S1880" s="35" t="str">
        <f aca="false">IF($P1880="","",INDEX(BookRate,1875)*$P1880)</f>
        <v/>
      </c>
      <c r="T1880" s="35" t="str">
        <f aca="false">IF($R1880="","",$R1880-$K1880)</f>
        <v/>
      </c>
      <c r="U1880" s="35" t="str">
        <f aca="false">IF(N($P1880)&lt;=0,"",COUNTIF($P$6:$P1880,"&gt;0"))</f>
        <v/>
      </c>
    </row>
    <row r="1881" customFormat="false" ht="15" hidden="false" customHeight="false" outlineLevel="0" collapsed="false">
      <c r="A1881" s="40" t="str">
        <f aca="false">IF(INDEX(BookTitle,1876)="","",INDEX(BookGroup,1876))</f>
        <v/>
      </c>
      <c r="B1881" s="40" t="str">
        <f aca="false">IF(INDEX(BookTitle,1876)="","",INDEX(BookRef,1876))</f>
        <v/>
      </c>
      <c r="C1881" s="40" t="str">
        <f aca="false">IF(INDEX(BookTitle,1876)="","",INDEX(BookDivision,1876))</f>
        <v/>
      </c>
      <c r="D1881" s="40" t="str">
        <f aca="false">IF(INDEX(BookTitle,1876)="","",INDEX(BookUnit,1876))</f>
        <v/>
      </c>
      <c r="E1881" s="40" t="str">
        <f aca="false">IF(INDEX(BookTitle,1876)="","",INDEX(BookTitle,1876))</f>
        <v/>
      </c>
      <c r="F1881" s="40" t="str">
        <f aca="false">IF(INDEX(BookTitle,1876)="","",INDEX(BookLevel,1876))</f>
        <v/>
      </c>
      <c r="G1881" s="40" t="str">
        <f aca="false">IF(INDEX(BookTitle,1876)="","",INDEX(BookCategory,1876))</f>
        <v/>
      </c>
      <c r="H1881" s="40" t="str">
        <f aca="false">IF(INDEX(BookTitle,1876)="","",INDEX(BookRank,1876))</f>
        <v/>
      </c>
      <c r="I1881" s="41" t="str">
        <f aca="false">IF(INDEX(BookTitle,1876)="","",INDEX(BookTotal,1876))</f>
        <v/>
      </c>
      <c r="J1881" s="0" t="str">
        <f aca="false">IF($I1881="","",IF(INDEX(BookQ1,1876)&gt;0,"Q1",IF(INDEX(BookQ2,1876)&gt;0,"Q2",IF(INDEX(BookQ3,1876)&gt;0,"Q3",IF(INDEX(BookQ4,1876)&gt;0,"Q4","")))))</f>
        <v/>
      </c>
      <c r="K1881" s="42" t="str">
        <f aca="false">IF(INDEX(BookTitle,1876)="","",INDEX(BookInYear,1876))</f>
        <v/>
      </c>
      <c r="L1881" s="19"/>
      <c r="M1881" s="39"/>
      <c r="N1881" s="19"/>
      <c r="O1881" s="19"/>
      <c r="P1881" s="43" t="str">
        <f aca="false">IF($E1881="","",IF($L1881="Decline",0,IF($L1881="Approve fewer",IF($M1881="","",$M1881),IF($L1881="","",$I1881))))</f>
        <v/>
      </c>
      <c r="Q1881" s="34" t="str">
        <f aca="false">IF($P1881="","",IF($N1881&lt;&gt;"",$N1881,$J1881))</f>
        <v/>
      </c>
      <c r="R1881" s="35" t="str">
        <f aca="false">IF(OR($P1881="",$Q1881=""),"",INDEX(BookRate,1876)*$P1881*(5-MATCH($Q1881,{"Q1";"Q2";"Q3";"Q4"},0))/4+INDEX(BookOneOff,1876)*$P1881)</f>
        <v/>
      </c>
      <c r="S1881" s="35" t="str">
        <f aca="false">IF($P1881="","",INDEX(BookRate,1876)*$P1881)</f>
        <v/>
      </c>
      <c r="T1881" s="35" t="str">
        <f aca="false">IF($R1881="","",$R1881-$K1881)</f>
        <v/>
      </c>
      <c r="U1881" s="35" t="str">
        <f aca="false">IF(N($P1881)&lt;=0,"",COUNTIF($P$6:$P1881,"&gt;0"))</f>
        <v/>
      </c>
    </row>
    <row r="1882" customFormat="false" ht="15" hidden="false" customHeight="false" outlineLevel="0" collapsed="false">
      <c r="A1882" s="40" t="str">
        <f aca="false">IF(INDEX(BookTitle,1877)="","",INDEX(BookGroup,1877))</f>
        <v/>
      </c>
      <c r="B1882" s="40" t="str">
        <f aca="false">IF(INDEX(BookTitle,1877)="","",INDEX(BookRef,1877))</f>
        <v/>
      </c>
      <c r="C1882" s="40" t="str">
        <f aca="false">IF(INDEX(BookTitle,1877)="","",INDEX(BookDivision,1877))</f>
        <v/>
      </c>
      <c r="D1882" s="40" t="str">
        <f aca="false">IF(INDEX(BookTitle,1877)="","",INDEX(BookUnit,1877))</f>
        <v/>
      </c>
      <c r="E1882" s="40" t="str">
        <f aca="false">IF(INDEX(BookTitle,1877)="","",INDEX(BookTitle,1877))</f>
        <v/>
      </c>
      <c r="F1882" s="40" t="str">
        <f aca="false">IF(INDEX(BookTitle,1877)="","",INDEX(BookLevel,1877))</f>
        <v/>
      </c>
      <c r="G1882" s="40" t="str">
        <f aca="false">IF(INDEX(BookTitle,1877)="","",INDEX(BookCategory,1877))</f>
        <v/>
      </c>
      <c r="H1882" s="40" t="str">
        <f aca="false">IF(INDEX(BookTitle,1877)="","",INDEX(BookRank,1877))</f>
        <v/>
      </c>
      <c r="I1882" s="41" t="str">
        <f aca="false">IF(INDEX(BookTitle,1877)="","",INDEX(BookTotal,1877))</f>
        <v/>
      </c>
      <c r="J1882" s="0" t="str">
        <f aca="false">IF($I1882="","",IF(INDEX(BookQ1,1877)&gt;0,"Q1",IF(INDEX(BookQ2,1877)&gt;0,"Q2",IF(INDEX(BookQ3,1877)&gt;0,"Q3",IF(INDEX(BookQ4,1877)&gt;0,"Q4","")))))</f>
        <v/>
      </c>
      <c r="K1882" s="42" t="str">
        <f aca="false">IF(INDEX(BookTitle,1877)="","",INDEX(BookInYear,1877))</f>
        <v/>
      </c>
      <c r="L1882" s="19"/>
      <c r="M1882" s="39"/>
      <c r="N1882" s="19"/>
      <c r="O1882" s="19"/>
      <c r="P1882" s="43" t="str">
        <f aca="false">IF($E1882="","",IF($L1882="Decline",0,IF($L1882="Approve fewer",IF($M1882="","",$M1882),IF($L1882="","",$I1882))))</f>
        <v/>
      </c>
      <c r="Q1882" s="34" t="str">
        <f aca="false">IF($P1882="","",IF($N1882&lt;&gt;"",$N1882,$J1882))</f>
        <v/>
      </c>
      <c r="R1882" s="35" t="str">
        <f aca="false">IF(OR($P1882="",$Q1882=""),"",INDEX(BookRate,1877)*$P1882*(5-MATCH($Q1882,{"Q1";"Q2";"Q3";"Q4"},0))/4+INDEX(BookOneOff,1877)*$P1882)</f>
        <v/>
      </c>
      <c r="S1882" s="35" t="str">
        <f aca="false">IF($P1882="","",INDEX(BookRate,1877)*$P1882)</f>
        <v/>
      </c>
      <c r="T1882" s="35" t="str">
        <f aca="false">IF($R1882="","",$R1882-$K1882)</f>
        <v/>
      </c>
      <c r="U1882" s="35" t="str">
        <f aca="false">IF(N($P1882)&lt;=0,"",COUNTIF($P$6:$P1882,"&gt;0"))</f>
        <v/>
      </c>
    </row>
    <row r="1883" customFormat="false" ht="15" hidden="false" customHeight="false" outlineLevel="0" collapsed="false">
      <c r="A1883" s="40" t="str">
        <f aca="false">IF(INDEX(BookTitle,1878)="","",INDEX(BookGroup,1878))</f>
        <v/>
      </c>
      <c r="B1883" s="40" t="str">
        <f aca="false">IF(INDEX(BookTitle,1878)="","",INDEX(BookRef,1878))</f>
        <v/>
      </c>
      <c r="C1883" s="40" t="str">
        <f aca="false">IF(INDEX(BookTitle,1878)="","",INDEX(BookDivision,1878))</f>
        <v/>
      </c>
      <c r="D1883" s="40" t="str">
        <f aca="false">IF(INDEX(BookTitle,1878)="","",INDEX(BookUnit,1878))</f>
        <v/>
      </c>
      <c r="E1883" s="40" t="str">
        <f aca="false">IF(INDEX(BookTitle,1878)="","",INDEX(BookTitle,1878))</f>
        <v/>
      </c>
      <c r="F1883" s="40" t="str">
        <f aca="false">IF(INDEX(BookTitle,1878)="","",INDEX(BookLevel,1878))</f>
        <v/>
      </c>
      <c r="G1883" s="40" t="str">
        <f aca="false">IF(INDEX(BookTitle,1878)="","",INDEX(BookCategory,1878))</f>
        <v/>
      </c>
      <c r="H1883" s="40" t="str">
        <f aca="false">IF(INDEX(BookTitle,1878)="","",INDEX(BookRank,1878))</f>
        <v/>
      </c>
      <c r="I1883" s="41" t="str">
        <f aca="false">IF(INDEX(BookTitle,1878)="","",INDEX(BookTotal,1878))</f>
        <v/>
      </c>
      <c r="J1883" s="0" t="str">
        <f aca="false">IF($I1883="","",IF(INDEX(BookQ1,1878)&gt;0,"Q1",IF(INDEX(BookQ2,1878)&gt;0,"Q2",IF(INDEX(BookQ3,1878)&gt;0,"Q3",IF(INDEX(BookQ4,1878)&gt;0,"Q4","")))))</f>
        <v/>
      </c>
      <c r="K1883" s="42" t="str">
        <f aca="false">IF(INDEX(BookTitle,1878)="","",INDEX(BookInYear,1878))</f>
        <v/>
      </c>
      <c r="L1883" s="19"/>
      <c r="M1883" s="39"/>
      <c r="N1883" s="19"/>
      <c r="O1883" s="19"/>
      <c r="P1883" s="43" t="str">
        <f aca="false">IF($E1883="","",IF($L1883="Decline",0,IF($L1883="Approve fewer",IF($M1883="","",$M1883),IF($L1883="","",$I1883))))</f>
        <v/>
      </c>
      <c r="Q1883" s="34" t="str">
        <f aca="false">IF($P1883="","",IF($N1883&lt;&gt;"",$N1883,$J1883))</f>
        <v/>
      </c>
      <c r="R1883" s="35" t="str">
        <f aca="false">IF(OR($P1883="",$Q1883=""),"",INDEX(BookRate,1878)*$P1883*(5-MATCH($Q1883,{"Q1";"Q2";"Q3";"Q4"},0))/4+INDEX(BookOneOff,1878)*$P1883)</f>
        <v/>
      </c>
      <c r="S1883" s="35" t="str">
        <f aca="false">IF($P1883="","",INDEX(BookRate,1878)*$P1883)</f>
        <v/>
      </c>
      <c r="T1883" s="35" t="str">
        <f aca="false">IF($R1883="","",$R1883-$K1883)</f>
        <v/>
      </c>
      <c r="U1883" s="35" t="str">
        <f aca="false">IF(N($P1883)&lt;=0,"",COUNTIF($P$6:$P1883,"&gt;0"))</f>
        <v/>
      </c>
    </row>
    <row r="1884" customFormat="false" ht="15" hidden="false" customHeight="false" outlineLevel="0" collapsed="false">
      <c r="A1884" s="40" t="str">
        <f aca="false">IF(INDEX(BookTitle,1879)="","",INDEX(BookGroup,1879))</f>
        <v/>
      </c>
      <c r="B1884" s="40" t="str">
        <f aca="false">IF(INDEX(BookTitle,1879)="","",INDEX(BookRef,1879))</f>
        <v/>
      </c>
      <c r="C1884" s="40" t="str">
        <f aca="false">IF(INDEX(BookTitle,1879)="","",INDEX(BookDivision,1879))</f>
        <v/>
      </c>
      <c r="D1884" s="40" t="str">
        <f aca="false">IF(INDEX(BookTitle,1879)="","",INDEX(BookUnit,1879))</f>
        <v/>
      </c>
      <c r="E1884" s="40" t="str">
        <f aca="false">IF(INDEX(BookTitle,1879)="","",INDEX(BookTitle,1879))</f>
        <v/>
      </c>
      <c r="F1884" s="40" t="str">
        <f aca="false">IF(INDEX(BookTitle,1879)="","",INDEX(BookLevel,1879))</f>
        <v/>
      </c>
      <c r="G1884" s="40" t="str">
        <f aca="false">IF(INDEX(BookTitle,1879)="","",INDEX(BookCategory,1879))</f>
        <v/>
      </c>
      <c r="H1884" s="40" t="str">
        <f aca="false">IF(INDEX(BookTitle,1879)="","",INDEX(BookRank,1879))</f>
        <v/>
      </c>
      <c r="I1884" s="41" t="str">
        <f aca="false">IF(INDEX(BookTitle,1879)="","",INDEX(BookTotal,1879))</f>
        <v/>
      </c>
      <c r="J1884" s="0" t="str">
        <f aca="false">IF($I1884="","",IF(INDEX(BookQ1,1879)&gt;0,"Q1",IF(INDEX(BookQ2,1879)&gt;0,"Q2",IF(INDEX(BookQ3,1879)&gt;0,"Q3",IF(INDEX(BookQ4,1879)&gt;0,"Q4","")))))</f>
        <v/>
      </c>
      <c r="K1884" s="42" t="str">
        <f aca="false">IF(INDEX(BookTitle,1879)="","",INDEX(BookInYear,1879))</f>
        <v/>
      </c>
      <c r="L1884" s="19"/>
      <c r="M1884" s="39"/>
      <c r="N1884" s="19"/>
      <c r="O1884" s="19"/>
      <c r="P1884" s="43" t="str">
        <f aca="false">IF($E1884="","",IF($L1884="Decline",0,IF($L1884="Approve fewer",IF($M1884="","",$M1884),IF($L1884="","",$I1884))))</f>
        <v/>
      </c>
      <c r="Q1884" s="34" t="str">
        <f aca="false">IF($P1884="","",IF($N1884&lt;&gt;"",$N1884,$J1884))</f>
        <v/>
      </c>
      <c r="R1884" s="35" t="str">
        <f aca="false">IF(OR($P1884="",$Q1884=""),"",INDEX(BookRate,1879)*$P1884*(5-MATCH($Q1884,{"Q1";"Q2";"Q3";"Q4"},0))/4+INDEX(BookOneOff,1879)*$P1884)</f>
        <v/>
      </c>
      <c r="S1884" s="35" t="str">
        <f aca="false">IF($P1884="","",INDEX(BookRate,1879)*$P1884)</f>
        <v/>
      </c>
      <c r="T1884" s="35" t="str">
        <f aca="false">IF($R1884="","",$R1884-$K1884)</f>
        <v/>
      </c>
      <c r="U1884" s="35" t="str">
        <f aca="false">IF(N($P1884)&lt;=0,"",COUNTIF($P$6:$P1884,"&gt;0"))</f>
        <v/>
      </c>
    </row>
    <row r="1885" customFormat="false" ht="15" hidden="false" customHeight="false" outlineLevel="0" collapsed="false">
      <c r="A1885" s="40" t="str">
        <f aca="false">IF(INDEX(BookTitle,1880)="","",INDEX(BookGroup,1880))</f>
        <v/>
      </c>
      <c r="B1885" s="40" t="str">
        <f aca="false">IF(INDEX(BookTitle,1880)="","",INDEX(BookRef,1880))</f>
        <v/>
      </c>
      <c r="C1885" s="40" t="str">
        <f aca="false">IF(INDEX(BookTitle,1880)="","",INDEX(BookDivision,1880))</f>
        <v/>
      </c>
      <c r="D1885" s="40" t="str">
        <f aca="false">IF(INDEX(BookTitle,1880)="","",INDEX(BookUnit,1880))</f>
        <v/>
      </c>
      <c r="E1885" s="40" t="str">
        <f aca="false">IF(INDEX(BookTitle,1880)="","",INDEX(BookTitle,1880))</f>
        <v/>
      </c>
      <c r="F1885" s="40" t="str">
        <f aca="false">IF(INDEX(BookTitle,1880)="","",INDEX(BookLevel,1880))</f>
        <v/>
      </c>
      <c r="G1885" s="40" t="str">
        <f aca="false">IF(INDEX(BookTitle,1880)="","",INDEX(BookCategory,1880))</f>
        <v/>
      </c>
      <c r="H1885" s="40" t="str">
        <f aca="false">IF(INDEX(BookTitle,1880)="","",INDEX(BookRank,1880))</f>
        <v/>
      </c>
      <c r="I1885" s="41" t="str">
        <f aca="false">IF(INDEX(BookTitle,1880)="","",INDEX(BookTotal,1880))</f>
        <v/>
      </c>
      <c r="J1885" s="0" t="str">
        <f aca="false">IF($I1885="","",IF(INDEX(BookQ1,1880)&gt;0,"Q1",IF(INDEX(BookQ2,1880)&gt;0,"Q2",IF(INDEX(BookQ3,1880)&gt;0,"Q3",IF(INDEX(BookQ4,1880)&gt;0,"Q4","")))))</f>
        <v/>
      </c>
      <c r="K1885" s="42" t="str">
        <f aca="false">IF(INDEX(BookTitle,1880)="","",INDEX(BookInYear,1880))</f>
        <v/>
      </c>
      <c r="L1885" s="19"/>
      <c r="M1885" s="39"/>
      <c r="N1885" s="19"/>
      <c r="O1885" s="19"/>
      <c r="P1885" s="43" t="str">
        <f aca="false">IF($E1885="","",IF($L1885="Decline",0,IF($L1885="Approve fewer",IF($M1885="","",$M1885),IF($L1885="","",$I1885))))</f>
        <v/>
      </c>
      <c r="Q1885" s="34" t="str">
        <f aca="false">IF($P1885="","",IF($N1885&lt;&gt;"",$N1885,$J1885))</f>
        <v/>
      </c>
      <c r="R1885" s="35" t="str">
        <f aca="false">IF(OR($P1885="",$Q1885=""),"",INDEX(BookRate,1880)*$P1885*(5-MATCH($Q1885,{"Q1";"Q2";"Q3";"Q4"},0))/4+INDEX(BookOneOff,1880)*$P1885)</f>
        <v/>
      </c>
      <c r="S1885" s="35" t="str">
        <f aca="false">IF($P1885="","",INDEX(BookRate,1880)*$P1885)</f>
        <v/>
      </c>
      <c r="T1885" s="35" t="str">
        <f aca="false">IF($R1885="","",$R1885-$K1885)</f>
        <v/>
      </c>
      <c r="U1885" s="35" t="str">
        <f aca="false">IF(N($P1885)&lt;=0,"",COUNTIF($P$6:$P1885,"&gt;0"))</f>
        <v/>
      </c>
    </row>
    <row r="1886" customFormat="false" ht="15" hidden="false" customHeight="false" outlineLevel="0" collapsed="false">
      <c r="A1886" s="40" t="str">
        <f aca="false">IF(INDEX(BookTitle,1881)="","",INDEX(BookGroup,1881))</f>
        <v/>
      </c>
      <c r="B1886" s="40" t="str">
        <f aca="false">IF(INDEX(BookTitle,1881)="","",INDEX(BookRef,1881))</f>
        <v/>
      </c>
      <c r="C1886" s="40" t="str">
        <f aca="false">IF(INDEX(BookTitle,1881)="","",INDEX(BookDivision,1881))</f>
        <v/>
      </c>
      <c r="D1886" s="40" t="str">
        <f aca="false">IF(INDEX(BookTitle,1881)="","",INDEX(BookUnit,1881))</f>
        <v/>
      </c>
      <c r="E1886" s="40" t="str">
        <f aca="false">IF(INDEX(BookTitle,1881)="","",INDEX(BookTitle,1881))</f>
        <v/>
      </c>
      <c r="F1886" s="40" t="str">
        <f aca="false">IF(INDEX(BookTitle,1881)="","",INDEX(BookLevel,1881))</f>
        <v/>
      </c>
      <c r="G1886" s="40" t="str">
        <f aca="false">IF(INDEX(BookTitle,1881)="","",INDEX(BookCategory,1881))</f>
        <v/>
      </c>
      <c r="H1886" s="40" t="str">
        <f aca="false">IF(INDEX(BookTitle,1881)="","",INDEX(BookRank,1881))</f>
        <v/>
      </c>
      <c r="I1886" s="41" t="str">
        <f aca="false">IF(INDEX(BookTitle,1881)="","",INDEX(BookTotal,1881))</f>
        <v/>
      </c>
      <c r="J1886" s="0" t="str">
        <f aca="false">IF($I1886="","",IF(INDEX(BookQ1,1881)&gt;0,"Q1",IF(INDEX(BookQ2,1881)&gt;0,"Q2",IF(INDEX(BookQ3,1881)&gt;0,"Q3",IF(INDEX(BookQ4,1881)&gt;0,"Q4","")))))</f>
        <v/>
      </c>
      <c r="K1886" s="42" t="str">
        <f aca="false">IF(INDEX(BookTitle,1881)="","",INDEX(BookInYear,1881))</f>
        <v/>
      </c>
      <c r="L1886" s="19"/>
      <c r="M1886" s="39"/>
      <c r="N1886" s="19"/>
      <c r="O1886" s="19"/>
      <c r="P1886" s="43" t="str">
        <f aca="false">IF($E1886="","",IF($L1886="Decline",0,IF($L1886="Approve fewer",IF($M1886="","",$M1886),IF($L1886="","",$I1886))))</f>
        <v/>
      </c>
      <c r="Q1886" s="34" t="str">
        <f aca="false">IF($P1886="","",IF($N1886&lt;&gt;"",$N1886,$J1886))</f>
        <v/>
      </c>
      <c r="R1886" s="35" t="str">
        <f aca="false">IF(OR($P1886="",$Q1886=""),"",INDEX(BookRate,1881)*$P1886*(5-MATCH($Q1886,{"Q1";"Q2";"Q3";"Q4"},0))/4+INDEX(BookOneOff,1881)*$P1886)</f>
        <v/>
      </c>
      <c r="S1886" s="35" t="str">
        <f aca="false">IF($P1886="","",INDEX(BookRate,1881)*$P1886)</f>
        <v/>
      </c>
      <c r="T1886" s="35" t="str">
        <f aca="false">IF($R1886="","",$R1886-$K1886)</f>
        <v/>
      </c>
      <c r="U1886" s="35" t="str">
        <f aca="false">IF(N($P1886)&lt;=0,"",COUNTIF($P$6:$P1886,"&gt;0"))</f>
        <v/>
      </c>
    </row>
    <row r="1887" customFormat="false" ht="15" hidden="false" customHeight="false" outlineLevel="0" collapsed="false">
      <c r="A1887" s="40" t="str">
        <f aca="false">IF(INDEX(BookTitle,1882)="","",INDEX(BookGroup,1882))</f>
        <v/>
      </c>
      <c r="B1887" s="40" t="str">
        <f aca="false">IF(INDEX(BookTitle,1882)="","",INDEX(BookRef,1882))</f>
        <v/>
      </c>
      <c r="C1887" s="40" t="str">
        <f aca="false">IF(INDEX(BookTitle,1882)="","",INDEX(BookDivision,1882))</f>
        <v/>
      </c>
      <c r="D1887" s="40" t="str">
        <f aca="false">IF(INDEX(BookTitle,1882)="","",INDEX(BookUnit,1882))</f>
        <v/>
      </c>
      <c r="E1887" s="40" t="str">
        <f aca="false">IF(INDEX(BookTitle,1882)="","",INDEX(BookTitle,1882))</f>
        <v/>
      </c>
      <c r="F1887" s="40" t="str">
        <f aca="false">IF(INDEX(BookTitle,1882)="","",INDEX(BookLevel,1882))</f>
        <v/>
      </c>
      <c r="G1887" s="40" t="str">
        <f aca="false">IF(INDEX(BookTitle,1882)="","",INDEX(BookCategory,1882))</f>
        <v/>
      </c>
      <c r="H1887" s="40" t="str">
        <f aca="false">IF(INDEX(BookTitle,1882)="","",INDEX(BookRank,1882))</f>
        <v/>
      </c>
      <c r="I1887" s="41" t="str">
        <f aca="false">IF(INDEX(BookTitle,1882)="","",INDEX(BookTotal,1882))</f>
        <v/>
      </c>
      <c r="J1887" s="0" t="str">
        <f aca="false">IF($I1887="","",IF(INDEX(BookQ1,1882)&gt;0,"Q1",IF(INDEX(BookQ2,1882)&gt;0,"Q2",IF(INDEX(BookQ3,1882)&gt;0,"Q3",IF(INDEX(BookQ4,1882)&gt;0,"Q4","")))))</f>
        <v/>
      </c>
      <c r="K1887" s="42" t="str">
        <f aca="false">IF(INDEX(BookTitle,1882)="","",INDEX(BookInYear,1882))</f>
        <v/>
      </c>
      <c r="L1887" s="19"/>
      <c r="M1887" s="39"/>
      <c r="N1887" s="19"/>
      <c r="O1887" s="19"/>
      <c r="P1887" s="43" t="str">
        <f aca="false">IF($E1887="","",IF($L1887="Decline",0,IF($L1887="Approve fewer",IF($M1887="","",$M1887),IF($L1887="","",$I1887))))</f>
        <v/>
      </c>
      <c r="Q1887" s="34" t="str">
        <f aca="false">IF($P1887="","",IF($N1887&lt;&gt;"",$N1887,$J1887))</f>
        <v/>
      </c>
      <c r="R1887" s="35" t="str">
        <f aca="false">IF(OR($P1887="",$Q1887=""),"",INDEX(BookRate,1882)*$P1887*(5-MATCH($Q1887,{"Q1";"Q2";"Q3";"Q4"},0))/4+INDEX(BookOneOff,1882)*$P1887)</f>
        <v/>
      </c>
      <c r="S1887" s="35" t="str">
        <f aca="false">IF($P1887="","",INDEX(BookRate,1882)*$P1887)</f>
        <v/>
      </c>
      <c r="T1887" s="35" t="str">
        <f aca="false">IF($R1887="","",$R1887-$K1887)</f>
        <v/>
      </c>
      <c r="U1887" s="35" t="str">
        <f aca="false">IF(N($P1887)&lt;=0,"",COUNTIF($P$6:$P1887,"&gt;0"))</f>
        <v/>
      </c>
    </row>
    <row r="1888" customFormat="false" ht="15" hidden="false" customHeight="false" outlineLevel="0" collapsed="false">
      <c r="A1888" s="40" t="str">
        <f aca="false">IF(INDEX(BookTitle,1883)="","",INDEX(BookGroup,1883))</f>
        <v/>
      </c>
      <c r="B1888" s="40" t="str">
        <f aca="false">IF(INDEX(BookTitle,1883)="","",INDEX(BookRef,1883))</f>
        <v/>
      </c>
      <c r="C1888" s="40" t="str">
        <f aca="false">IF(INDEX(BookTitle,1883)="","",INDEX(BookDivision,1883))</f>
        <v/>
      </c>
      <c r="D1888" s="40" t="str">
        <f aca="false">IF(INDEX(BookTitle,1883)="","",INDEX(BookUnit,1883))</f>
        <v/>
      </c>
      <c r="E1888" s="40" t="str">
        <f aca="false">IF(INDEX(BookTitle,1883)="","",INDEX(BookTitle,1883))</f>
        <v/>
      </c>
      <c r="F1888" s="40" t="str">
        <f aca="false">IF(INDEX(BookTitle,1883)="","",INDEX(BookLevel,1883))</f>
        <v/>
      </c>
      <c r="G1888" s="40" t="str">
        <f aca="false">IF(INDEX(BookTitle,1883)="","",INDEX(BookCategory,1883))</f>
        <v/>
      </c>
      <c r="H1888" s="40" t="str">
        <f aca="false">IF(INDEX(BookTitle,1883)="","",INDEX(BookRank,1883))</f>
        <v/>
      </c>
      <c r="I1888" s="41" t="str">
        <f aca="false">IF(INDEX(BookTitle,1883)="","",INDEX(BookTotal,1883))</f>
        <v/>
      </c>
      <c r="J1888" s="0" t="str">
        <f aca="false">IF($I1888="","",IF(INDEX(BookQ1,1883)&gt;0,"Q1",IF(INDEX(BookQ2,1883)&gt;0,"Q2",IF(INDEX(BookQ3,1883)&gt;0,"Q3",IF(INDEX(BookQ4,1883)&gt;0,"Q4","")))))</f>
        <v/>
      </c>
      <c r="K1888" s="42" t="str">
        <f aca="false">IF(INDEX(BookTitle,1883)="","",INDEX(BookInYear,1883))</f>
        <v/>
      </c>
      <c r="L1888" s="19"/>
      <c r="M1888" s="39"/>
      <c r="N1888" s="19"/>
      <c r="O1888" s="19"/>
      <c r="P1888" s="43" t="str">
        <f aca="false">IF($E1888="","",IF($L1888="Decline",0,IF($L1888="Approve fewer",IF($M1888="","",$M1888),IF($L1888="","",$I1888))))</f>
        <v/>
      </c>
      <c r="Q1888" s="34" t="str">
        <f aca="false">IF($P1888="","",IF($N1888&lt;&gt;"",$N1888,$J1888))</f>
        <v/>
      </c>
      <c r="R1888" s="35" t="str">
        <f aca="false">IF(OR($P1888="",$Q1888=""),"",INDEX(BookRate,1883)*$P1888*(5-MATCH($Q1888,{"Q1";"Q2";"Q3";"Q4"},0))/4+INDEX(BookOneOff,1883)*$P1888)</f>
        <v/>
      </c>
      <c r="S1888" s="35" t="str">
        <f aca="false">IF($P1888="","",INDEX(BookRate,1883)*$P1888)</f>
        <v/>
      </c>
      <c r="T1888" s="35" t="str">
        <f aca="false">IF($R1888="","",$R1888-$K1888)</f>
        <v/>
      </c>
      <c r="U1888" s="35" t="str">
        <f aca="false">IF(N($P1888)&lt;=0,"",COUNTIF($P$6:$P1888,"&gt;0"))</f>
        <v/>
      </c>
    </row>
    <row r="1889" customFormat="false" ht="15" hidden="false" customHeight="false" outlineLevel="0" collapsed="false">
      <c r="A1889" s="40" t="str">
        <f aca="false">IF(INDEX(BookTitle,1884)="","",INDEX(BookGroup,1884))</f>
        <v/>
      </c>
      <c r="B1889" s="40" t="str">
        <f aca="false">IF(INDEX(BookTitle,1884)="","",INDEX(BookRef,1884))</f>
        <v/>
      </c>
      <c r="C1889" s="40" t="str">
        <f aca="false">IF(INDEX(BookTitle,1884)="","",INDEX(BookDivision,1884))</f>
        <v/>
      </c>
      <c r="D1889" s="40" t="str">
        <f aca="false">IF(INDEX(BookTitle,1884)="","",INDEX(BookUnit,1884))</f>
        <v/>
      </c>
      <c r="E1889" s="40" t="str">
        <f aca="false">IF(INDEX(BookTitle,1884)="","",INDEX(BookTitle,1884))</f>
        <v/>
      </c>
      <c r="F1889" s="40" t="str">
        <f aca="false">IF(INDEX(BookTitle,1884)="","",INDEX(BookLevel,1884))</f>
        <v/>
      </c>
      <c r="G1889" s="40" t="str">
        <f aca="false">IF(INDEX(BookTitle,1884)="","",INDEX(BookCategory,1884))</f>
        <v/>
      </c>
      <c r="H1889" s="40" t="str">
        <f aca="false">IF(INDEX(BookTitle,1884)="","",INDEX(BookRank,1884))</f>
        <v/>
      </c>
      <c r="I1889" s="41" t="str">
        <f aca="false">IF(INDEX(BookTitle,1884)="","",INDEX(BookTotal,1884))</f>
        <v/>
      </c>
      <c r="J1889" s="0" t="str">
        <f aca="false">IF($I1889="","",IF(INDEX(BookQ1,1884)&gt;0,"Q1",IF(INDEX(BookQ2,1884)&gt;0,"Q2",IF(INDEX(BookQ3,1884)&gt;0,"Q3",IF(INDEX(BookQ4,1884)&gt;0,"Q4","")))))</f>
        <v/>
      </c>
      <c r="K1889" s="42" t="str">
        <f aca="false">IF(INDEX(BookTitle,1884)="","",INDEX(BookInYear,1884))</f>
        <v/>
      </c>
      <c r="L1889" s="19"/>
      <c r="M1889" s="39"/>
      <c r="N1889" s="19"/>
      <c r="O1889" s="19"/>
      <c r="P1889" s="43" t="str">
        <f aca="false">IF($E1889="","",IF($L1889="Decline",0,IF($L1889="Approve fewer",IF($M1889="","",$M1889),IF($L1889="","",$I1889))))</f>
        <v/>
      </c>
      <c r="Q1889" s="34" t="str">
        <f aca="false">IF($P1889="","",IF($N1889&lt;&gt;"",$N1889,$J1889))</f>
        <v/>
      </c>
      <c r="R1889" s="35" t="str">
        <f aca="false">IF(OR($P1889="",$Q1889=""),"",INDEX(BookRate,1884)*$P1889*(5-MATCH($Q1889,{"Q1";"Q2";"Q3";"Q4"},0))/4+INDEX(BookOneOff,1884)*$P1889)</f>
        <v/>
      </c>
      <c r="S1889" s="35" t="str">
        <f aca="false">IF($P1889="","",INDEX(BookRate,1884)*$P1889)</f>
        <v/>
      </c>
      <c r="T1889" s="35" t="str">
        <f aca="false">IF($R1889="","",$R1889-$K1889)</f>
        <v/>
      </c>
      <c r="U1889" s="35" t="str">
        <f aca="false">IF(N($P1889)&lt;=0,"",COUNTIF($P$6:$P1889,"&gt;0"))</f>
        <v/>
      </c>
    </row>
    <row r="1890" customFormat="false" ht="15" hidden="false" customHeight="false" outlineLevel="0" collapsed="false">
      <c r="A1890" s="40" t="str">
        <f aca="false">IF(INDEX(BookTitle,1885)="","",INDEX(BookGroup,1885))</f>
        <v/>
      </c>
      <c r="B1890" s="40" t="str">
        <f aca="false">IF(INDEX(BookTitle,1885)="","",INDEX(BookRef,1885))</f>
        <v/>
      </c>
      <c r="C1890" s="40" t="str">
        <f aca="false">IF(INDEX(BookTitle,1885)="","",INDEX(BookDivision,1885))</f>
        <v/>
      </c>
      <c r="D1890" s="40" t="str">
        <f aca="false">IF(INDEX(BookTitle,1885)="","",INDEX(BookUnit,1885))</f>
        <v/>
      </c>
      <c r="E1890" s="40" t="str">
        <f aca="false">IF(INDEX(BookTitle,1885)="","",INDEX(BookTitle,1885))</f>
        <v/>
      </c>
      <c r="F1890" s="40" t="str">
        <f aca="false">IF(INDEX(BookTitle,1885)="","",INDEX(BookLevel,1885))</f>
        <v/>
      </c>
      <c r="G1890" s="40" t="str">
        <f aca="false">IF(INDEX(BookTitle,1885)="","",INDEX(BookCategory,1885))</f>
        <v/>
      </c>
      <c r="H1890" s="40" t="str">
        <f aca="false">IF(INDEX(BookTitle,1885)="","",INDEX(BookRank,1885))</f>
        <v/>
      </c>
      <c r="I1890" s="41" t="str">
        <f aca="false">IF(INDEX(BookTitle,1885)="","",INDEX(BookTotal,1885))</f>
        <v/>
      </c>
      <c r="J1890" s="0" t="str">
        <f aca="false">IF($I1890="","",IF(INDEX(BookQ1,1885)&gt;0,"Q1",IF(INDEX(BookQ2,1885)&gt;0,"Q2",IF(INDEX(BookQ3,1885)&gt;0,"Q3",IF(INDEX(BookQ4,1885)&gt;0,"Q4","")))))</f>
        <v/>
      </c>
      <c r="K1890" s="42" t="str">
        <f aca="false">IF(INDEX(BookTitle,1885)="","",INDEX(BookInYear,1885))</f>
        <v/>
      </c>
      <c r="L1890" s="19"/>
      <c r="M1890" s="39"/>
      <c r="N1890" s="19"/>
      <c r="O1890" s="19"/>
      <c r="P1890" s="43" t="str">
        <f aca="false">IF($E1890="","",IF($L1890="Decline",0,IF($L1890="Approve fewer",IF($M1890="","",$M1890),IF($L1890="","",$I1890))))</f>
        <v/>
      </c>
      <c r="Q1890" s="34" t="str">
        <f aca="false">IF($P1890="","",IF($N1890&lt;&gt;"",$N1890,$J1890))</f>
        <v/>
      </c>
      <c r="R1890" s="35" t="str">
        <f aca="false">IF(OR($P1890="",$Q1890=""),"",INDEX(BookRate,1885)*$P1890*(5-MATCH($Q1890,{"Q1";"Q2";"Q3";"Q4"},0))/4+INDEX(BookOneOff,1885)*$P1890)</f>
        <v/>
      </c>
      <c r="S1890" s="35" t="str">
        <f aca="false">IF($P1890="","",INDEX(BookRate,1885)*$P1890)</f>
        <v/>
      </c>
      <c r="T1890" s="35" t="str">
        <f aca="false">IF($R1890="","",$R1890-$K1890)</f>
        <v/>
      </c>
      <c r="U1890" s="35" t="str">
        <f aca="false">IF(N($P1890)&lt;=0,"",COUNTIF($P$6:$P1890,"&gt;0"))</f>
        <v/>
      </c>
    </row>
    <row r="1891" customFormat="false" ht="15" hidden="false" customHeight="false" outlineLevel="0" collapsed="false">
      <c r="A1891" s="40" t="str">
        <f aca="false">IF(INDEX(BookTitle,1886)="","",INDEX(BookGroup,1886))</f>
        <v/>
      </c>
      <c r="B1891" s="40" t="str">
        <f aca="false">IF(INDEX(BookTitle,1886)="","",INDEX(BookRef,1886))</f>
        <v/>
      </c>
      <c r="C1891" s="40" t="str">
        <f aca="false">IF(INDEX(BookTitle,1886)="","",INDEX(BookDivision,1886))</f>
        <v/>
      </c>
      <c r="D1891" s="40" t="str">
        <f aca="false">IF(INDEX(BookTitle,1886)="","",INDEX(BookUnit,1886))</f>
        <v/>
      </c>
      <c r="E1891" s="40" t="str">
        <f aca="false">IF(INDEX(BookTitle,1886)="","",INDEX(BookTitle,1886))</f>
        <v/>
      </c>
      <c r="F1891" s="40" t="str">
        <f aca="false">IF(INDEX(BookTitle,1886)="","",INDEX(BookLevel,1886))</f>
        <v/>
      </c>
      <c r="G1891" s="40" t="str">
        <f aca="false">IF(INDEX(BookTitle,1886)="","",INDEX(BookCategory,1886))</f>
        <v/>
      </c>
      <c r="H1891" s="40" t="str">
        <f aca="false">IF(INDEX(BookTitle,1886)="","",INDEX(BookRank,1886))</f>
        <v/>
      </c>
      <c r="I1891" s="41" t="str">
        <f aca="false">IF(INDEX(BookTitle,1886)="","",INDEX(BookTotal,1886))</f>
        <v/>
      </c>
      <c r="J1891" s="0" t="str">
        <f aca="false">IF($I1891="","",IF(INDEX(BookQ1,1886)&gt;0,"Q1",IF(INDEX(BookQ2,1886)&gt;0,"Q2",IF(INDEX(BookQ3,1886)&gt;0,"Q3",IF(INDEX(BookQ4,1886)&gt;0,"Q4","")))))</f>
        <v/>
      </c>
      <c r="K1891" s="42" t="str">
        <f aca="false">IF(INDEX(BookTitle,1886)="","",INDEX(BookInYear,1886))</f>
        <v/>
      </c>
      <c r="L1891" s="19"/>
      <c r="M1891" s="39"/>
      <c r="N1891" s="19"/>
      <c r="O1891" s="19"/>
      <c r="P1891" s="43" t="str">
        <f aca="false">IF($E1891="","",IF($L1891="Decline",0,IF($L1891="Approve fewer",IF($M1891="","",$M1891),IF($L1891="","",$I1891))))</f>
        <v/>
      </c>
      <c r="Q1891" s="34" t="str">
        <f aca="false">IF($P1891="","",IF($N1891&lt;&gt;"",$N1891,$J1891))</f>
        <v/>
      </c>
      <c r="R1891" s="35" t="str">
        <f aca="false">IF(OR($P1891="",$Q1891=""),"",INDEX(BookRate,1886)*$P1891*(5-MATCH($Q1891,{"Q1";"Q2";"Q3";"Q4"},0))/4+INDEX(BookOneOff,1886)*$P1891)</f>
        <v/>
      </c>
      <c r="S1891" s="35" t="str">
        <f aca="false">IF($P1891="","",INDEX(BookRate,1886)*$P1891)</f>
        <v/>
      </c>
      <c r="T1891" s="35" t="str">
        <f aca="false">IF($R1891="","",$R1891-$K1891)</f>
        <v/>
      </c>
      <c r="U1891" s="35" t="str">
        <f aca="false">IF(N($P1891)&lt;=0,"",COUNTIF($P$6:$P1891,"&gt;0"))</f>
        <v/>
      </c>
    </row>
    <row r="1892" customFormat="false" ht="15" hidden="false" customHeight="false" outlineLevel="0" collapsed="false">
      <c r="A1892" s="40" t="str">
        <f aca="false">IF(INDEX(BookTitle,1887)="","",INDEX(BookGroup,1887))</f>
        <v/>
      </c>
      <c r="B1892" s="40" t="str">
        <f aca="false">IF(INDEX(BookTitle,1887)="","",INDEX(BookRef,1887))</f>
        <v/>
      </c>
      <c r="C1892" s="40" t="str">
        <f aca="false">IF(INDEX(BookTitle,1887)="","",INDEX(BookDivision,1887))</f>
        <v/>
      </c>
      <c r="D1892" s="40" t="str">
        <f aca="false">IF(INDEX(BookTitle,1887)="","",INDEX(BookUnit,1887))</f>
        <v/>
      </c>
      <c r="E1892" s="40" t="str">
        <f aca="false">IF(INDEX(BookTitle,1887)="","",INDEX(BookTitle,1887))</f>
        <v/>
      </c>
      <c r="F1892" s="40" t="str">
        <f aca="false">IF(INDEX(BookTitle,1887)="","",INDEX(BookLevel,1887))</f>
        <v/>
      </c>
      <c r="G1892" s="40" t="str">
        <f aca="false">IF(INDEX(BookTitle,1887)="","",INDEX(BookCategory,1887))</f>
        <v/>
      </c>
      <c r="H1892" s="40" t="str">
        <f aca="false">IF(INDEX(BookTitle,1887)="","",INDEX(BookRank,1887))</f>
        <v/>
      </c>
      <c r="I1892" s="41" t="str">
        <f aca="false">IF(INDEX(BookTitle,1887)="","",INDEX(BookTotal,1887))</f>
        <v/>
      </c>
      <c r="J1892" s="0" t="str">
        <f aca="false">IF($I1892="","",IF(INDEX(BookQ1,1887)&gt;0,"Q1",IF(INDEX(BookQ2,1887)&gt;0,"Q2",IF(INDEX(BookQ3,1887)&gt;0,"Q3",IF(INDEX(BookQ4,1887)&gt;0,"Q4","")))))</f>
        <v/>
      </c>
      <c r="K1892" s="42" t="str">
        <f aca="false">IF(INDEX(BookTitle,1887)="","",INDEX(BookInYear,1887))</f>
        <v/>
      </c>
      <c r="L1892" s="19"/>
      <c r="M1892" s="39"/>
      <c r="N1892" s="19"/>
      <c r="O1892" s="19"/>
      <c r="P1892" s="43" t="str">
        <f aca="false">IF($E1892="","",IF($L1892="Decline",0,IF($L1892="Approve fewer",IF($M1892="","",$M1892),IF($L1892="","",$I1892))))</f>
        <v/>
      </c>
      <c r="Q1892" s="34" t="str">
        <f aca="false">IF($P1892="","",IF($N1892&lt;&gt;"",$N1892,$J1892))</f>
        <v/>
      </c>
      <c r="R1892" s="35" t="str">
        <f aca="false">IF(OR($P1892="",$Q1892=""),"",INDEX(BookRate,1887)*$P1892*(5-MATCH($Q1892,{"Q1";"Q2";"Q3";"Q4"},0))/4+INDEX(BookOneOff,1887)*$P1892)</f>
        <v/>
      </c>
      <c r="S1892" s="35" t="str">
        <f aca="false">IF($P1892="","",INDEX(BookRate,1887)*$P1892)</f>
        <v/>
      </c>
      <c r="T1892" s="35" t="str">
        <f aca="false">IF($R1892="","",$R1892-$K1892)</f>
        <v/>
      </c>
      <c r="U1892" s="35" t="str">
        <f aca="false">IF(N($P1892)&lt;=0,"",COUNTIF($P$6:$P1892,"&gt;0"))</f>
        <v/>
      </c>
    </row>
    <row r="1893" customFormat="false" ht="15" hidden="false" customHeight="false" outlineLevel="0" collapsed="false">
      <c r="A1893" s="40" t="str">
        <f aca="false">IF(INDEX(BookTitle,1888)="","",INDEX(BookGroup,1888))</f>
        <v/>
      </c>
      <c r="B1893" s="40" t="str">
        <f aca="false">IF(INDEX(BookTitle,1888)="","",INDEX(BookRef,1888))</f>
        <v/>
      </c>
      <c r="C1893" s="40" t="str">
        <f aca="false">IF(INDEX(BookTitle,1888)="","",INDEX(BookDivision,1888))</f>
        <v/>
      </c>
      <c r="D1893" s="40" t="str">
        <f aca="false">IF(INDEX(BookTitle,1888)="","",INDEX(BookUnit,1888))</f>
        <v/>
      </c>
      <c r="E1893" s="40" t="str">
        <f aca="false">IF(INDEX(BookTitle,1888)="","",INDEX(BookTitle,1888))</f>
        <v/>
      </c>
      <c r="F1893" s="40" t="str">
        <f aca="false">IF(INDEX(BookTitle,1888)="","",INDEX(BookLevel,1888))</f>
        <v/>
      </c>
      <c r="G1893" s="40" t="str">
        <f aca="false">IF(INDEX(BookTitle,1888)="","",INDEX(BookCategory,1888))</f>
        <v/>
      </c>
      <c r="H1893" s="40" t="str">
        <f aca="false">IF(INDEX(BookTitle,1888)="","",INDEX(BookRank,1888))</f>
        <v/>
      </c>
      <c r="I1893" s="41" t="str">
        <f aca="false">IF(INDEX(BookTitle,1888)="","",INDEX(BookTotal,1888))</f>
        <v/>
      </c>
      <c r="J1893" s="0" t="str">
        <f aca="false">IF($I1893="","",IF(INDEX(BookQ1,1888)&gt;0,"Q1",IF(INDEX(BookQ2,1888)&gt;0,"Q2",IF(INDEX(BookQ3,1888)&gt;0,"Q3",IF(INDEX(BookQ4,1888)&gt;0,"Q4","")))))</f>
        <v/>
      </c>
      <c r="K1893" s="42" t="str">
        <f aca="false">IF(INDEX(BookTitle,1888)="","",INDEX(BookInYear,1888))</f>
        <v/>
      </c>
      <c r="L1893" s="19"/>
      <c r="M1893" s="39"/>
      <c r="N1893" s="19"/>
      <c r="O1893" s="19"/>
      <c r="P1893" s="43" t="str">
        <f aca="false">IF($E1893="","",IF($L1893="Decline",0,IF($L1893="Approve fewer",IF($M1893="","",$M1893),IF($L1893="","",$I1893))))</f>
        <v/>
      </c>
      <c r="Q1893" s="34" t="str">
        <f aca="false">IF($P1893="","",IF($N1893&lt;&gt;"",$N1893,$J1893))</f>
        <v/>
      </c>
      <c r="R1893" s="35" t="str">
        <f aca="false">IF(OR($P1893="",$Q1893=""),"",INDEX(BookRate,1888)*$P1893*(5-MATCH($Q1893,{"Q1";"Q2";"Q3";"Q4"},0))/4+INDEX(BookOneOff,1888)*$P1893)</f>
        <v/>
      </c>
      <c r="S1893" s="35" t="str">
        <f aca="false">IF($P1893="","",INDEX(BookRate,1888)*$P1893)</f>
        <v/>
      </c>
      <c r="T1893" s="35" t="str">
        <f aca="false">IF($R1893="","",$R1893-$K1893)</f>
        <v/>
      </c>
      <c r="U1893" s="35" t="str">
        <f aca="false">IF(N($P1893)&lt;=0,"",COUNTIF($P$6:$P1893,"&gt;0"))</f>
        <v/>
      </c>
    </row>
    <row r="1894" customFormat="false" ht="15" hidden="false" customHeight="false" outlineLevel="0" collapsed="false">
      <c r="A1894" s="40" t="str">
        <f aca="false">IF(INDEX(BookTitle,1889)="","",INDEX(BookGroup,1889))</f>
        <v/>
      </c>
      <c r="B1894" s="40" t="str">
        <f aca="false">IF(INDEX(BookTitle,1889)="","",INDEX(BookRef,1889))</f>
        <v/>
      </c>
      <c r="C1894" s="40" t="str">
        <f aca="false">IF(INDEX(BookTitle,1889)="","",INDEX(BookDivision,1889))</f>
        <v/>
      </c>
      <c r="D1894" s="40" t="str">
        <f aca="false">IF(INDEX(BookTitle,1889)="","",INDEX(BookUnit,1889))</f>
        <v/>
      </c>
      <c r="E1894" s="40" t="str">
        <f aca="false">IF(INDEX(BookTitle,1889)="","",INDEX(BookTitle,1889))</f>
        <v/>
      </c>
      <c r="F1894" s="40" t="str">
        <f aca="false">IF(INDEX(BookTitle,1889)="","",INDEX(BookLevel,1889))</f>
        <v/>
      </c>
      <c r="G1894" s="40" t="str">
        <f aca="false">IF(INDEX(BookTitle,1889)="","",INDEX(BookCategory,1889))</f>
        <v/>
      </c>
      <c r="H1894" s="40" t="str">
        <f aca="false">IF(INDEX(BookTitle,1889)="","",INDEX(BookRank,1889))</f>
        <v/>
      </c>
      <c r="I1894" s="41" t="str">
        <f aca="false">IF(INDEX(BookTitle,1889)="","",INDEX(BookTotal,1889))</f>
        <v/>
      </c>
      <c r="J1894" s="0" t="str">
        <f aca="false">IF($I1894="","",IF(INDEX(BookQ1,1889)&gt;0,"Q1",IF(INDEX(BookQ2,1889)&gt;0,"Q2",IF(INDEX(BookQ3,1889)&gt;0,"Q3",IF(INDEX(BookQ4,1889)&gt;0,"Q4","")))))</f>
        <v/>
      </c>
      <c r="K1894" s="42" t="str">
        <f aca="false">IF(INDEX(BookTitle,1889)="","",INDEX(BookInYear,1889))</f>
        <v/>
      </c>
      <c r="L1894" s="19"/>
      <c r="M1894" s="39"/>
      <c r="N1894" s="19"/>
      <c r="O1894" s="19"/>
      <c r="P1894" s="43" t="str">
        <f aca="false">IF($E1894="","",IF($L1894="Decline",0,IF($L1894="Approve fewer",IF($M1894="","",$M1894),IF($L1894="","",$I1894))))</f>
        <v/>
      </c>
      <c r="Q1894" s="34" t="str">
        <f aca="false">IF($P1894="","",IF($N1894&lt;&gt;"",$N1894,$J1894))</f>
        <v/>
      </c>
      <c r="R1894" s="35" t="str">
        <f aca="false">IF(OR($P1894="",$Q1894=""),"",INDEX(BookRate,1889)*$P1894*(5-MATCH($Q1894,{"Q1";"Q2";"Q3";"Q4"},0))/4+INDEX(BookOneOff,1889)*$P1894)</f>
        <v/>
      </c>
      <c r="S1894" s="35" t="str">
        <f aca="false">IF($P1894="","",INDEX(BookRate,1889)*$P1894)</f>
        <v/>
      </c>
      <c r="T1894" s="35" t="str">
        <f aca="false">IF($R1894="","",$R1894-$K1894)</f>
        <v/>
      </c>
      <c r="U1894" s="35" t="str">
        <f aca="false">IF(N($P1894)&lt;=0,"",COUNTIF($P$6:$P1894,"&gt;0"))</f>
        <v/>
      </c>
    </row>
    <row r="1895" customFormat="false" ht="15" hidden="false" customHeight="false" outlineLevel="0" collapsed="false">
      <c r="A1895" s="40" t="str">
        <f aca="false">IF(INDEX(BookTitle,1890)="","",INDEX(BookGroup,1890))</f>
        <v/>
      </c>
      <c r="B1895" s="40" t="str">
        <f aca="false">IF(INDEX(BookTitle,1890)="","",INDEX(BookRef,1890))</f>
        <v/>
      </c>
      <c r="C1895" s="40" t="str">
        <f aca="false">IF(INDEX(BookTitle,1890)="","",INDEX(BookDivision,1890))</f>
        <v/>
      </c>
      <c r="D1895" s="40" t="str">
        <f aca="false">IF(INDEX(BookTitle,1890)="","",INDEX(BookUnit,1890))</f>
        <v/>
      </c>
      <c r="E1895" s="40" t="str">
        <f aca="false">IF(INDEX(BookTitle,1890)="","",INDEX(BookTitle,1890))</f>
        <v/>
      </c>
      <c r="F1895" s="40" t="str">
        <f aca="false">IF(INDEX(BookTitle,1890)="","",INDEX(BookLevel,1890))</f>
        <v/>
      </c>
      <c r="G1895" s="40" t="str">
        <f aca="false">IF(INDEX(BookTitle,1890)="","",INDEX(BookCategory,1890))</f>
        <v/>
      </c>
      <c r="H1895" s="40" t="str">
        <f aca="false">IF(INDEX(BookTitle,1890)="","",INDEX(BookRank,1890))</f>
        <v/>
      </c>
      <c r="I1895" s="41" t="str">
        <f aca="false">IF(INDEX(BookTitle,1890)="","",INDEX(BookTotal,1890))</f>
        <v/>
      </c>
      <c r="J1895" s="0" t="str">
        <f aca="false">IF($I1895="","",IF(INDEX(BookQ1,1890)&gt;0,"Q1",IF(INDEX(BookQ2,1890)&gt;0,"Q2",IF(INDEX(BookQ3,1890)&gt;0,"Q3",IF(INDEX(BookQ4,1890)&gt;0,"Q4","")))))</f>
        <v/>
      </c>
      <c r="K1895" s="42" t="str">
        <f aca="false">IF(INDEX(BookTitle,1890)="","",INDEX(BookInYear,1890))</f>
        <v/>
      </c>
      <c r="L1895" s="19"/>
      <c r="M1895" s="39"/>
      <c r="N1895" s="19"/>
      <c r="O1895" s="19"/>
      <c r="P1895" s="43" t="str">
        <f aca="false">IF($E1895="","",IF($L1895="Decline",0,IF($L1895="Approve fewer",IF($M1895="","",$M1895),IF($L1895="","",$I1895))))</f>
        <v/>
      </c>
      <c r="Q1895" s="34" t="str">
        <f aca="false">IF($P1895="","",IF($N1895&lt;&gt;"",$N1895,$J1895))</f>
        <v/>
      </c>
      <c r="R1895" s="35" t="str">
        <f aca="false">IF(OR($P1895="",$Q1895=""),"",INDEX(BookRate,1890)*$P1895*(5-MATCH($Q1895,{"Q1";"Q2";"Q3";"Q4"},0))/4+INDEX(BookOneOff,1890)*$P1895)</f>
        <v/>
      </c>
      <c r="S1895" s="35" t="str">
        <f aca="false">IF($P1895="","",INDEX(BookRate,1890)*$P1895)</f>
        <v/>
      </c>
      <c r="T1895" s="35" t="str">
        <f aca="false">IF($R1895="","",$R1895-$K1895)</f>
        <v/>
      </c>
      <c r="U1895" s="35" t="str">
        <f aca="false">IF(N($P1895)&lt;=0,"",COUNTIF($P$6:$P1895,"&gt;0"))</f>
        <v/>
      </c>
    </row>
    <row r="1896" customFormat="false" ht="15" hidden="false" customHeight="false" outlineLevel="0" collapsed="false">
      <c r="A1896" s="40" t="str">
        <f aca="false">IF(INDEX(BookTitle,1891)="","",INDEX(BookGroup,1891))</f>
        <v/>
      </c>
      <c r="B1896" s="40" t="str">
        <f aca="false">IF(INDEX(BookTitle,1891)="","",INDEX(BookRef,1891))</f>
        <v/>
      </c>
      <c r="C1896" s="40" t="str">
        <f aca="false">IF(INDEX(BookTitle,1891)="","",INDEX(BookDivision,1891))</f>
        <v/>
      </c>
      <c r="D1896" s="40" t="str">
        <f aca="false">IF(INDEX(BookTitle,1891)="","",INDEX(BookUnit,1891))</f>
        <v/>
      </c>
      <c r="E1896" s="40" t="str">
        <f aca="false">IF(INDEX(BookTitle,1891)="","",INDEX(BookTitle,1891))</f>
        <v/>
      </c>
      <c r="F1896" s="40" t="str">
        <f aca="false">IF(INDEX(BookTitle,1891)="","",INDEX(BookLevel,1891))</f>
        <v/>
      </c>
      <c r="G1896" s="40" t="str">
        <f aca="false">IF(INDEX(BookTitle,1891)="","",INDEX(BookCategory,1891))</f>
        <v/>
      </c>
      <c r="H1896" s="40" t="str">
        <f aca="false">IF(INDEX(BookTitle,1891)="","",INDEX(BookRank,1891))</f>
        <v/>
      </c>
      <c r="I1896" s="41" t="str">
        <f aca="false">IF(INDEX(BookTitle,1891)="","",INDEX(BookTotal,1891))</f>
        <v/>
      </c>
      <c r="J1896" s="0" t="str">
        <f aca="false">IF($I1896="","",IF(INDEX(BookQ1,1891)&gt;0,"Q1",IF(INDEX(BookQ2,1891)&gt;0,"Q2",IF(INDEX(BookQ3,1891)&gt;0,"Q3",IF(INDEX(BookQ4,1891)&gt;0,"Q4","")))))</f>
        <v/>
      </c>
      <c r="K1896" s="42" t="str">
        <f aca="false">IF(INDEX(BookTitle,1891)="","",INDEX(BookInYear,1891))</f>
        <v/>
      </c>
      <c r="L1896" s="19"/>
      <c r="M1896" s="39"/>
      <c r="N1896" s="19"/>
      <c r="O1896" s="19"/>
      <c r="P1896" s="43" t="str">
        <f aca="false">IF($E1896="","",IF($L1896="Decline",0,IF($L1896="Approve fewer",IF($M1896="","",$M1896),IF($L1896="","",$I1896))))</f>
        <v/>
      </c>
      <c r="Q1896" s="34" t="str">
        <f aca="false">IF($P1896="","",IF($N1896&lt;&gt;"",$N1896,$J1896))</f>
        <v/>
      </c>
      <c r="R1896" s="35" t="str">
        <f aca="false">IF(OR($P1896="",$Q1896=""),"",INDEX(BookRate,1891)*$P1896*(5-MATCH($Q1896,{"Q1";"Q2";"Q3";"Q4"},0))/4+INDEX(BookOneOff,1891)*$P1896)</f>
        <v/>
      </c>
      <c r="S1896" s="35" t="str">
        <f aca="false">IF($P1896="","",INDEX(BookRate,1891)*$P1896)</f>
        <v/>
      </c>
      <c r="T1896" s="35" t="str">
        <f aca="false">IF($R1896="","",$R1896-$K1896)</f>
        <v/>
      </c>
      <c r="U1896" s="35" t="str">
        <f aca="false">IF(N($P1896)&lt;=0,"",COUNTIF($P$6:$P1896,"&gt;0"))</f>
        <v/>
      </c>
    </row>
    <row r="1897" customFormat="false" ht="15" hidden="false" customHeight="false" outlineLevel="0" collapsed="false">
      <c r="A1897" s="40" t="str">
        <f aca="false">IF(INDEX(BookTitle,1892)="","",INDEX(BookGroup,1892))</f>
        <v/>
      </c>
      <c r="B1897" s="40" t="str">
        <f aca="false">IF(INDEX(BookTitle,1892)="","",INDEX(BookRef,1892))</f>
        <v/>
      </c>
      <c r="C1897" s="40" t="str">
        <f aca="false">IF(INDEX(BookTitle,1892)="","",INDEX(BookDivision,1892))</f>
        <v/>
      </c>
      <c r="D1897" s="40" t="str">
        <f aca="false">IF(INDEX(BookTitle,1892)="","",INDEX(BookUnit,1892))</f>
        <v/>
      </c>
      <c r="E1897" s="40" t="str">
        <f aca="false">IF(INDEX(BookTitle,1892)="","",INDEX(BookTitle,1892))</f>
        <v/>
      </c>
      <c r="F1897" s="40" t="str">
        <f aca="false">IF(INDEX(BookTitle,1892)="","",INDEX(BookLevel,1892))</f>
        <v/>
      </c>
      <c r="G1897" s="40" t="str">
        <f aca="false">IF(INDEX(BookTitle,1892)="","",INDEX(BookCategory,1892))</f>
        <v/>
      </c>
      <c r="H1897" s="40" t="str">
        <f aca="false">IF(INDEX(BookTitle,1892)="","",INDEX(BookRank,1892))</f>
        <v/>
      </c>
      <c r="I1897" s="41" t="str">
        <f aca="false">IF(INDEX(BookTitle,1892)="","",INDEX(BookTotal,1892))</f>
        <v/>
      </c>
      <c r="J1897" s="0" t="str">
        <f aca="false">IF($I1897="","",IF(INDEX(BookQ1,1892)&gt;0,"Q1",IF(INDEX(BookQ2,1892)&gt;0,"Q2",IF(INDEX(BookQ3,1892)&gt;0,"Q3",IF(INDEX(BookQ4,1892)&gt;0,"Q4","")))))</f>
        <v/>
      </c>
      <c r="K1897" s="42" t="str">
        <f aca="false">IF(INDEX(BookTitle,1892)="","",INDEX(BookInYear,1892))</f>
        <v/>
      </c>
      <c r="L1897" s="19"/>
      <c r="M1897" s="39"/>
      <c r="N1897" s="19"/>
      <c r="O1897" s="19"/>
      <c r="P1897" s="43" t="str">
        <f aca="false">IF($E1897="","",IF($L1897="Decline",0,IF($L1897="Approve fewer",IF($M1897="","",$M1897),IF($L1897="","",$I1897))))</f>
        <v/>
      </c>
      <c r="Q1897" s="34" t="str">
        <f aca="false">IF($P1897="","",IF($N1897&lt;&gt;"",$N1897,$J1897))</f>
        <v/>
      </c>
      <c r="R1897" s="35" t="str">
        <f aca="false">IF(OR($P1897="",$Q1897=""),"",INDEX(BookRate,1892)*$P1897*(5-MATCH($Q1897,{"Q1";"Q2";"Q3";"Q4"},0))/4+INDEX(BookOneOff,1892)*$P1897)</f>
        <v/>
      </c>
      <c r="S1897" s="35" t="str">
        <f aca="false">IF($P1897="","",INDEX(BookRate,1892)*$P1897)</f>
        <v/>
      </c>
      <c r="T1897" s="35" t="str">
        <f aca="false">IF($R1897="","",$R1897-$K1897)</f>
        <v/>
      </c>
      <c r="U1897" s="35" t="str">
        <f aca="false">IF(N($P1897)&lt;=0,"",COUNTIF($P$6:$P1897,"&gt;0"))</f>
        <v/>
      </c>
    </row>
    <row r="1898" customFormat="false" ht="15" hidden="false" customHeight="false" outlineLevel="0" collapsed="false">
      <c r="A1898" s="40" t="str">
        <f aca="false">IF(INDEX(BookTitle,1893)="","",INDEX(BookGroup,1893))</f>
        <v/>
      </c>
      <c r="B1898" s="40" t="str">
        <f aca="false">IF(INDEX(BookTitle,1893)="","",INDEX(BookRef,1893))</f>
        <v/>
      </c>
      <c r="C1898" s="40" t="str">
        <f aca="false">IF(INDEX(BookTitle,1893)="","",INDEX(BookDivision,1893))</f>
        <v/>
      </c>
      <c r="D1898" s="40" t="str">
        <f aca="false">IF(INDEX(BookTitle,1893)="","",INDEX(BookUnit,1893))</f>
        <v/>
      </c>
      <c r="E1898" s="40" t="str">
        <f aca="false">IF(INDEX(BookTitle,1893)="","",INDEX(BookTitle,1893))</f>
        <v/>
      </c>
      <c r="F1898" s="40" t="str">
        <f aca="false">IF(INDEX(BookTitle,1893)="","",INDEX(BookLevel,1893))</f>
        <v/>
      </c>
      <c r="G1898" s="40" t="str">
        <f aca="false">IF(INDEX(BookTitle,1893)="","",INDEX(BookCategory,1893))</f>
        <v/>
      </c>
      <c r="H1898" s="40" t="str">
        <f aca="false">IF(INDEX(BookTitle,1893)="","",INDEX(BookRank,1893))</f>
        <v/>
      </c>
      <c r="I1898" s="41" t="str">
        <f aca="false">IF(INDEX(BookTitle,1893)="","",INDEX(BookTotal,1893))</f>
        <v/>
      </c>
      <c r="J1898" s="0" t="str">
        <f aca="false">IF($I1898="","",IF(INDEX(BookQ1,1893)&gt;0,"Q1",IF(INDEX(BookQ2,1893)&gt;0,"Q2",IF(INDEX(BookQ3,1893)&gt;0,"Q3",IF(INDEX(BookQ4,1893)&gt;0,"Q4","")))))</f>
        <v/>
      </c>
      <c r="K1898" s="42" t="str">
        <f aca="false">IF(INDEX(BookTitle,1893)="","",INDEX(BookInYear,1893))</f>
        <v/>
      </c>
      <c r="L1898" s="19"/>
      <c r="M1898" s="39"/>
      <c r="N1898" s="19"/>
      <c r="O1898" s="19"/>
      <c r="P1898" s="43" t="str">
        <f aca="false">IF($E1898="","",IF($L1898="Decline",0,IF($L1898="Approve fewer",IF($M1898="","",$M1898),IF($L1898="","",$I1898))))</f>
        <v/>
      </c>
      <c r="Q1898" s="34" t="str">
        <f aca="false">IF($P1898="","",IF($N1898&lt;&gt;"",$N1898,$J1898))</f>
        <v/>
      </c>
      <c r="R1898" s="35" t="str">
        <f aca="false">IF(OR($P1898="",$Q1898=""),"",INDEX(BookRate,1893)*$P1898*(5-MATCH($Q1898,{"Q1";"Q2";"Q3";"Q4"},0))/4+INDEX(BookOneOff,1893)*$P1898)</f>
        <v/>
      </c>
      <c r="S1898" s="35" t="str">
        <f aca="false">IF($P1898="","",INDEX(BookRate,1893)*$P1898)</f>
        <v/>
      </c>
      <c r="T1898" s="35" t="str">
        <f aca="false">IF($R1898="","",$R1898-$K1898)</f>
        <v/>
      </c>
      <c r="U1898" s="35" t="str">
        <f aca="false">IF(N($P1898)&lt;=0,"",COUNTIF($P$6:$P1898,"&gt;0"))</f>
        <v/>
      </c>
    </row>
    <row r="1899" customFormat="false" ht="15" hidden="false" customHeight="false" outlineLevel="0" collapsed="false">
      <c r="A1899" s="40" t="str">
        <f aca="false">IF(INDEX(BookTitle,1894)="","",INDEX(BookGroup,1894))</f>
        <v/>
      </c>
      <c r="B1899" s="40" t="str">
        <f aca="false">IF(INDEX(BookTitle,1894)="","",INDEX(BookRef,1894))</f>
        <v/>
      </c>
      <c r="C1899" s="40" t="str">
        <f aca="false">IF(INDEX(BookTitle,1894)="","",INDEX(BookDivision,1894))</f>
        <v/>
      </c>
      <c r="D1899" s="40" t="str">
        <f aca="false">IF(INDEX(BookTitle,1894)="","",INDEX(BookUnit,1894))</f>
        <v/>
      </c>
      <c r="E1899" s="40" t="str">
        <f aca="false">IF(INDEX(BookTitle,1894)="","",INDEX(BookTitle,1894))</f>
        <v/>
      </c>
      <c r="F1899" s="40" t="str">
        <f aca="false">IF(INDEX(BookTitle,1894)="","",INDEX(BookLevel,1894))</f>
        <v/>
      </c>
      <c r="G1899" s="40" t="str">
        <f aca="false">IF(INDEX(BookTitle,1894)="","",INDEX(BookCategory,1894))</f>
        <v/>
      </c>
      <c r="H1899" s="40" t="str">
        <f aca="false">IF(INDEX(BookTitle,1894)="","",INDEX(BookRank,1894))</f>
        <v/>
      </c>
      <c r="I1899" s="41" t="str">
        <f aca="false">IF(INDEX(BookTitle,1894)="","",INDEX(BookTotal,1894))</f>
        <v/>
      </c>
      <c r="J1899" s="0" t="str">
        <f aca="false">IF($I1899="","",IF(INDEX(BookQ1,1894)&gt;0,"Q1",IF(INDEX(BookQ2,1894)&gt;0,"Q2",IF(INDEX(BookQ3,1894)&gt;0,"Q3",IF(INDEX(BookQ4,1894)&gt;0,"Q4","")))))</f>
        <v/>
      </c>
      <c r="K1899" s="42" t="str">
        <f aca="false">IF(INDEX(BookTitle,1894)="","",INDEX(BookInYear,1894))</f>
        <v/>
      </c>
      <c r="L1899" s="19"/>
      <c r="M1899" s="39"/>
      <c r="N1899" s="19"/>
      <c r="O1899" s="19"/>
      <c r="P1899" s="43" t="str">
        <f aca="false">IF($E1899="","",IF($L1899="Decline",0,IF($L1899="Approve fewer",IF($M1899="","",$M1899),IF($L1899="","",$I1899))))</f>
        <v/>
      </c>
      <c r="Q1899" s="34" t="str">
        <f aca="false">IF($P1899="","",IF($N1899&lt;&gt;"",$N1899,$J1899))</f>
        <v/>
      </c>
      <c r="R1899" s="35" t="str">
        <f aca="false">IF(OR($P1899="",$Q1899=""),"",INDEX(BookRate,1894)*$P1899*(5-MATCH($Q1899,{"Q1";"Q2";"Q3";"Q4"},0))/4+INDEX(BookOneOff,1894)*$P1899)</f>
        <v/>
      </c>
      <c r="S1899" s="35" t="str">
        <f aca="false">IF($P1899="","",INDEX(BookRate,1894)*$P1899)</f>
        <v/>
      </c>
      <c r="T1899" s="35" t="str">
        <f aca="false">IF($R1899="","",$R1899-$K1899)</f>
        <v/>
      </c>
      <c r="U1899" s="35" t="str">
        <f aca="false">IF(N($P1899)&lt;=0,"",COUNTIF($P$6:$P1899,"&gt;0"))</f>
        <v/>
      </c>
    </row>
    <row r="1900" customFormat="false" ht="15" hidden="false" customHeight="false" outlineLevel="0" collapsed="false">
      <c r="A1900" s="40" t="str">
        <f aca="false">IF(INDEX(BookTitle,1895)="","",INDEX(BookGroup,1895))</f>
        <v/>
      </c>
      <c r="B1900" s="40" t="str">
        <f aca="false">IF(INDEX(BookTitle,1895)="","",INDEX(BookRef,1895))</f>
        <v/>
      </c>
      <c r="C1900" s="40" t="str">
        <f aca="false">IF(INDEX(BookTitle,1895)="","",INDEX(BookDivision,1895))</f>
        <v/>
      </c>
      <c r="D1900" s="40" t="str">
        <f aca="false">IF(INDEX(BookTitle,1895)="","",INDEX(BookUnit,1895))</f>
        <v/>
      </c>
      <c r="E1900" s="40" t="str">
        <f aca="false">IF(INDEX(BookTitle,1895)="","",INDEX(BookTitle,1895))</f>
        <v/>
      </c>
      <c r="F1900" s="40" t="str">
        <f aca="false">IF(INDEX(BookTitle,1895)="","",INDEX(BookLevel,1895))</f>
        <v/>
      </c>
      <c r="G1900" s="40" t="str">
        <f aca="false">IF(INDEX(BookTitle,1895)="","",INDEX(BookCategory,1895))</f>
        <v/>
      </c>
      <c r="H1900" s="40" t="str">
        <f aca="false">IF(INDEX(BookTitle,1895)="","",INDEX(BookRank,1895))</f>
        <v/>
      </c>
      <c r="I1900" s="41" t="str">
        <f aca="false">IF(INDEX(BookTitle,1895)="","",INDEX(BookTotal,1895))</f>
        <v/>
      </c>
      <c r="J1900" s="0" t="str">
        <f aca="false">IF($I1900="","",IF(INDEX(BookQ1,1895)&gt;0,"Q1",IF(INDEX(BookQ2,1895)&gt;0,"Q2",IF(INDEX(BookQ3,1895)&gt;0,"Q3",IF(INDEX(BookQ4,1895)&gt;0,"Q4","")))))</f>
        <v/>
      </c>
      <c r="K1900" s="42" t="str">
        <f aca="false">IF(INDEX(BookTitle,1895)="","",INDEX(BookInYear,1895))</f>
        <v/>
      </c>
      <c r="L1900" s="19"/>
      <c r="M1900" s="39"/>
      <c r="N1900" s="19"/>
      <c r="O1900" s="19"/>
      <c r="P1900" s="43" t="str">
        <f aca="false">IF($E1900="","",IF($L1900="Decline",0,IF($L1900="Approve fewer",IF($M1900="","",$M1900),IF($L1900="","",$I1900))))</f>
        <v/>
      </c>
      <c r="Q1900" s="34" t="str">
        <f aca="false">IF($P1900="","",IF($N1900&lt;&gt;"",$N1900,$J1900))</f>
        <v/>
      </c>
      <c r="R1900" s="35" t="str">
        <f aca="false">IF(OR($P1900="",$Q1900=""),"",INDEX(BookRate,1895)*$P1900*(5-MATCH($Q1900,{"Q1";"Q2";"Q3";"Q4"},0))/4+INDEX(BookOneOff,1895)*$P1900)</f>
        <v/>
      </c>
      <c r="S1900" s="35" t="str">
        <f aca="false">IF($P1900="","",INDEX(BookRate,1895)*$P1900)</f>
        <v/>
      </c>
      <c r="T1900" s="35" t="str">
        <f aca="false">IF($R1900="","",$R1900-$K1900)</f>
        <v/>
      </c>
      <c r="U1900" s="35" t="str">
        <f aca="false">IF(N($P1900)&lt;=0,"",COUNTIF($P$6:$P1900,"&gt;0"))</f>
        <v/>
      </c>
    </row>
    <row r="1901" customFormat="false" ht="15" hidden="false" customHeight="false" outlineLevel="0" collapsed="false">
      <c r="A1901" s="40" t="str">
        <f aca="false">IF(INDEX(BookTitle,1896)="","",INDEX(BookGroup,1896))</f>
        <v/>
      </c>
      <c r="B1901" s="40" t="str">
        <f aca="false">IF(INDEX(BookTitle,1896)="","",INDEX(BookRef,1896))</f>
        <v/>
      </c>
      <c r="C1901" s="40" t="str">
        <f aca="false">IF(INDEX(BookTitle,1896)="","",INDEX(BookDivision,1896))</f>
        <v/>
      </c>
      <c r="D1901" s="40" t="str">
        <f aca="false">IF(INDEX(BookTitle,1896)="","",INDEX(BookUnit,1896))</f>
        <v/>
      </c>
      <c r="E1901" s="40" t="str">
        <f aca="false">IF(INDEX(BookTitle,1896)="","",INDEX(BookTitle,1896))</f>
        <v/>
      </c>
      <c r="F1901" s="40" t="str">
        <f aca="false">IF(INDEX(BookTitle,1896)="","",INDEX(BookLevel,1896))</f>
        <v/>
      </c>
      <c r="G1901" s="40" t="str">
        <f aca="false">IF(INDEX(BookTitle,1896)="","",INDEX(BookCategory,1896))</f>
        <v/>
      </c>
      <c r="H1901" s="40" t="str">
        <f aca="false">IF(INDEX(BookTitle,1896)="","",INDEX(BookRank,1896))</f>
        <v/>
      </c>
      <c r="I1901" s="41" t="str">
        <f aca="false">IF(INDEX(BookTitle,1896)="","",INDEX(BookTotal,1896))</f>
        <v/>
      </c>
      <c r="J1901" s="0" t="str">
        <f aca="false">IF($I1901="","",IF(INDEX(BookQ1,1896)&gt;0,"Q1",IF(INDEX(BookQ2,1896)&gt;0,"Q2",IF(INDEX(BookQ3,1896)&gt;0,"Q3",IF(INDEX(BookQ4,1896)&gt;0,"Q4","")))))</f>
        <v/>
      </c>
      <c r="K1901" s="42" t="str">
        <f aca="false">IF(INDEX(BookTitle,1896)="","",INDEX(BookInYear,1896))</f>
        <v/>
      </c>
      <c r="L1901" s="19"/>
      <c r="M1901" s="39"/>
      <c r="N1901" s="19"/>
      <c r="O1901" s="19"/>
      <c r="P1901" s="43" t="str">
        <f aca="false">IF($E1901="","",IF($L1901="Decline",0,IF($L1901="Approve fewer",IF($M1901="","",$M1901),IF($L1901="","",$I1901))))</f>
        <v/>
      </c>
      <c r="Q1901" s="34" t="str">
        <f aca="false">IF($P1901="","",IF($N1901&lt;&gt;"",$N1901,$J1901))</f>
        <v/>
      </c>
      <c r="R1901" s="35" t="str">
        <f aca="false">IF(OR($P1901="",$Q1901=""),"",INDEX(BookRate,1896)*$P1901*(5-MATCH($Q1901,{"Q1";"Q2";"Q3";"Q4"},0))/4+INDEX(BookOneOff,1896)*$P1901)</f>
        <v/>
      </c>
      <c r="S1901" s="35" t="str">
        <f aca="false">IF($P1901="","",INDEX(BookRate,1896)*$P1901)</f>
        <v/>
      </c>
      <c r="T1901" s="35" t="str">
        <f aca="false">IF($R1901="","",$R1901-$K1901)</f>
        <v/>
      </c>
      <c r="U1901" s="35" t="str">
        <f aca="false">IF(N($P1901)&lt;=0,"",COUNTIF($P$6:$P1901,"&gt;0"))</f>
        <v/>
      </c>
    </row>
    <row r="1902" customFormat="false" ht="15" hidden="false" customHeight="false" outlineLevel="0" collapsed="false">
      <c r="A1902" s="40" t="str">
        <f aca="false">IF(INDEX(BookTitle,1897)="","",INDEX(BookGroup,1897))</f>
        <v/>
      </c>
      <c r="B1902" s="40" t="str">
        <f aca="false">IF(INDEX(BookTitle,1897)="","",INDEX(BookRef,1897))</f>
        <v/>
      </c>
      <c r="C1902" s="40" t="str">
        <f aca="false">IF(INDEX(BookTitle,1897)="","",INDEX(BookDivision,1897))</f>
        <v/>
      </c>
      <c r="D1902" s="40" t="str">
        <f aca="false">IF(INDEX(BookTitle,1897)="","",INDEX(BookUnit,1897))</f>
        <v/>
      </c>
      <c r="E1902" s="40" t="str">
        <f aca="false">IF(INDEX(BookTitle,1897)="","",INDEX(BookTitle,1897))</f>
        <v/>
      </c>
      <c r="F1902" s="40" t="str">
        <f aca="false">IF(INDEX(BookTitle,1897)="","",INDEX(BookLevel,1897))</f>
        <v/>
      </c>
      <c r="G1902" s="40" t="str">
        <f aca="false">IF(INDEX(BookTitle,1897)="","",INDEX(BookCategory,1897))</f>
        <v/>
      </c>
      <c r="H1902" s="40" t="str">
        <f aca="false">IF(INDEX(BookTitle,1897)="","",INDEX(BookRank,1897))</f>
        <v/>
      </c>
      <c r="I1902" s="41" t="str">
        <f aca="false">IF(INDEX(BookTitle,1897)="","",INDEX(BookTotal,1897))</f>
        <v/>
      </c>
      <c r="J1902" s="0" t="str">
        <f aca="false">IF($I1902="","",IF(INDEX(BookQ1,1897)&gt;0,"Q1",IF(INDEX(BookQ2,1897)&gt;0,"Q2",IF(INDEX(BookQ3,1897)&gt;0,"Q3",IF(INDEX(BookQ4,1897)&gt;0,"Q4","")))))</f>
        <v/>
      </c>
      <c r="K1902" s="42" t="str">
        <f aca="false">IF(INDEX(BookTitle,1897)="","",INDEX(BookInYear,1897))</f>
        <v/>
      </c>
      <c r="L1902" s="19"/>
      <c r="M1902" s="39"/>
      <c r="N1902" s="19"/>
      <c r="O1902" s="19"/>
      <c r="P1902" s="43" t="str">
        <f aca="false">IF($E1902="","",IF($L1902="Decline",0,IF($L1902="Approve fewer",IF($M1902="","",$M1902),IF($L1902="","",$I1902))))</f>
        <v/>
      </c>
      <c r="Q1902" s="34" t="str">
        <f aca="false">IF($P1902="","",IF($N1902&lt;&gt;"",$N1902,$J1902))</f>
        <v/>
      </c>
      <c r="R1902" s="35" t="str">
        <f aca="false">IF(OR($P1902="",$Q1902=""),"",INDEX(BookRate,1897)*$P1902*(5-MATCH($Q1902,{"Q1";"Q2";"Q3";"Q4"},0))/4+INDEX(BookOneOff,1897)*$P1902)</f>
        <v/>
      </c>
      <c r="S1902" s="35" t="str">
        <f aca="false">IF($P1902="","",INDEX(BookRate,1897)*$P1902)</f>
        <v/>
      </c>
      <c r="T1902" s="35" t="str">
        <f aca="false">IF($R1902="","",$R1902-$K1902)</f>
        <v/>
      </c>
      <c r="U1902" s="35" t="str">
        <f aca="false">IF(N($P1902)&lt;=0,"",COUNTIF($P$6:$P1902,"&gt;0"))</f>
        <v/>
      </c>
    </row>
    <row r="1903" customFormat="false" ht="15" hidden="false" customHeight="false" outlineLevel="0" collapsed="false">
      <c r="A1903" s="40" t="str">
        <f aca="false">IF(INDEX(BookTitle,1898)="","",INDEX(BookGroup,1898))</f>
        <v/>
      </c>
      <c r="B1903" s="40" t="str">
        <f aca="false">IF(INDEX(BookTitle,1898)="","",INDEX(BookRef,1898))</f>
        <v/>
      </c>
      <c r="C1903" s="40" t="str">
        <f aca="false">IF(INDEX(BookTitle,1898)="","",INDEX(BookDivision,1898))</f>
        <v/>
      </c>
      <c r="D1903" s="40" t="str">
        <f aca="false">IF(INDEX(BookTitle,1898)="","",INDEX(BookUnit,1898))</f>
        <v/>
      </c>
      <c r="E1903" s="40" t="str">
        <f aca="false">IF(INDEX(BookTitle,1898)="","",INDEX(BookTitle,1898))</f>
        <v/>
      </c>
      <c r="F1903" s="40" t="str">
        <f aca="false">IF(INDEX(BookTitle,1898)="","",INDEX(BookLevel,1898))</f>
        <v/>
      </c>
      <c r="G1903" s="40" t="str">
        <f aca="false">IF(INDEX(BookTitle,1898)="","",INDEX(BookCategory,1898))</f>
        <v/>
      </c>
      <c r="H1903" s="40" t="str">
        <f aca="false">IF(INDEX(BookTitle,1898)="","",INDEX(BookRank,1898))</f>
        <v/>
      </c>
      <c r="I1903" s="41" t="str">
        <f aca="false">IF(INDEX(BookTitle,1898)="","",INDEX(BookTotal,1898))</f>
        <v/>
      </c>
      <c r="J1903" s="0" t="str">
        <f aca="false">IF($I1903="","",IF(INDEX(BookQ1,1898)&gt;0,"Q1",IF(INDEX(BookQ2,1898)&gt;0,"Q2",IF(INDEX(BookQ3,1898)&gt;0,"Q3",IF(INDEX(BookQ4,1898)&gt;0,"Q4","")))))</f>
        <v/>
      </c>
      <c r="K1903" s="42" t="str">
        <f aca="false">IF(INDEX(BookTitle,1898)="","",INDEX(BookInYear,1898))</f>
        <v/>
      </c>
      <c r="L1903" s="19"/>
      <c r="M1903" s="39"/>
      <c r="N1903" s="19"/>
      <c r="O1903" s="19"/>
      <c r="P1903" s="43" t="str">
        <f aca="false">IF($E1903="","",IF($L1903="Decline",0,IF($L1903="Approve fewer",IF($M1903="","",$M1903),IF($L1903="","",$I1903))))</f>
        <v/>
      </c>
      <c r="Q1903" s="34" t="str">
        <f aca="false">IF($P1903="","",IF($N1903&lt;&gt;"",$N1903,$J1903))</f>
        <v/>
      </c>
      <c r="R1903" s="35" t="str">
        <f aca="false">IF(OR($P1903="",$Q1903=""),"",INDEX(BookRate,1898)*$P1903*(5-MATCH($Q1903,{"Q1";"Q2";"Q3";"Q4"},0))/4+INDEX(BookOneOff,1898)*$P1903)</f>
        <v/>
      </c>
      <c r="S1903" s="35" t="str">
        <f aca="false">IF($P1903="","",INDEX(BookRate,1898)*$P1903)</f>
        <v/>
      </c>
      <c r="T1903" s="35" t="str">
        <f aca="false">IF($R1903="","",$R1903-$K1903)</f>
        <v/>
      </c>
      <c r="U1903" s="35" t="str">
        <f aca="false">IF(N($P1903)&lt;=0,"",COUNTIF($P$6:$P1903,"&gt;0"))</f>
        <v/>
      </c>
    </row>
    <row r="1904" customFormat="false" ht="15" hidden="false" customHeight="false" outlineLevel="0" collapsed="false">
      <c r="A1904" s="40" t="str">
        <f aca="false">IF(INDEX(BookTitle,1899)="","",INDEX(BookGroup,1899))</f>
        <v/>
      </c>
      <c r="B1904" s="40" t="str">
        <f aca="false">IF(INDEX(BookTitle,1899)="","",INDEX(BookRef,1899))</f>
        <v/>
      </c>
      <c r="C1904" s="40" t="str">
        <f aca="false">IF(INDEX(BookTitle,1899)="","",INDEX(BookDivision,1899))</f>
        <v/>
      </c>
      <c r="D1904" s="40" t="str">
        <f aca="false">IF(INDEX(BookTitle,1899)="","",INDEX(BookUnit,1899))</f>
        <v/>
      </c>
      <c r="E1904" s="40" t="str">
        <f aca="false">IF(INDEX(BookTitle,1899)="","",INDEX(BookTitle,1899))</f>
        <v/>
      </c>
      <c r="F1904" s="40" t="str">
        <f aca="false">IF(INDEX(BookTitle,1899)="","",INDEX(BookLevel,1899))</f>
        <v/>
      </c>
      <c r="G1904" s="40" t="str">
        <f aca="false">IF(INDEX(BookTitle,1899)="","",INDEX(BookCategory,1899))</f>
        <v/>
      </c>
      <c r="H1904" s="40" t="str">
        <f aca="false">IF(INDEX(BookTitle,1899)="","",INDEX(BookRank,1899))</f>
        <v/>
      </c>
      <c r="I1904" s="41" t="str">
        <f aca="false">IF(INDEX(BookTitle,1899)="","",INDEX(BookTotal,1899))</f>
        <v/>
      </c>
      <c r="J1904" s="0" t="str">
        <f aca="false">IF($I1904="","",IF(INDEX(BookQ1,1899)&gt;0,"Q1",IF(INDEX(BookQ2,1899)&gt;0,"Q2",IF(INDEX(BookQ3,1899)&gt;0,"Q3",IF(INDEX(BookQ4,1899)&gt;0,"Q4","")))))</f>
        <v/>
      </c>
      <c r="K1904" s="42" t="str">
        <f aca="false">IF(INDEX(BookTitle,1899)="","",INDEX(BookInYear,1899))</f>
        <v/>
      </c>
      <c r="L1904" s="19"/>
      <c r="M1904" s="39"/>
      <c r="N1904" s="19"/>
      <c r="O1904" s="19"/>
      <c r="P1904" s="43" t="str">
        <f aca="false">IF($E1904="","",IF($L1904="Decline",0,IF($L1904="Approve fewer",IF($M1904="","",$M1904),IF($L1904="","",$I1904))))</f>
        <v/>
      </c>
      <c r="Q1904" s="34" t="str">
        <f aca="false">IF($P1904="","",IF($N1904&lt;&gt;"",$N1904,$J1904))</f>
        <v/>
      </c>
      <c r="R1904" s="35" t="str">
        <f aca="false">IF(OR($P1904="",$Q1904=""),"",INDEX(BookRate,1899)*$P1904*(5-MATCH($Q1904,{"Q1";"Q2";"Q3";"Q4"},0))/4+INDEX(BookOneOff,1899)*$P1904)</f>
        <v/>
      </c>
      <c r="S1904" s="35" t="str">
        <f aca="false">IF($P1904="","",INDEX(BookRate,1899)*$P1904)</f>
        <v/>
      </c>
      <c r="T1904" s="35" t="str">
        <f aca="false">IF($R1904="","",$R1904-$K1904)</f>
        <v/>
      </c>
      <c r="U1904" s="35" t="str">
        <f aca="false">IF(N($P1904)&lt;=0,"",COUNTIF($P$6:$P1904,"&gt;0"))</f>
        <v/>
      </c>
    </row>
    <row r="1905" customFormat="false" ht="15" hidden="false" customHeight="false" outlineLevel="0" collapsed="false">
      <c r="A1905" s="40" t="str">
        <f aca="false">IF(INDEX(BookTitle,1900)="","",INDEX(BookGroup,1900))</f>
        <v/>
      </c>
      <c r="B1905" s="40" t="str">
        <f aca="false">IF(INDEX(BookTitle,1900)="","",INDEX(BookRef,1900))</f>
        <v/>
      </c>
      <c r="C1905" s="40" t="str">
        <f aca="false">IF(INDEX(BookTitle,1900)="","",INDEX(BookDivision,1900))</f>
        <v/>
      </c>
      <c r="D1905" s="40" t="str">
        <f aca="false">IF(INDEX(BookTitle,1900)="","",INDEX(BookUnit,1900))</f>
        <v/>
      </c>
      <c r="E1905" s="40" t="str">
        <f aca="false">IF(INDEX(BookTitle,1900)="","",INDEX(BookTitle,1900))</f>
        <v/>
      </c>
      <c r="F1905" s="40" t="str">
        <f aca="false">IF(INDEX(BookTitle,1900)="","",INDEX(BookLevel,1900))</f>
        <v/>
      </c>
      <c r="G1905" s="40" t="str">
        <f aca="false">IF(INDEX(BookTitle,1900)="","",INDEX(BookCategory,1900))</f>
        <v/>
      </c>
      <c r="H1905" s="40" t="str">
        <f aca="false">IF(INDEX(BookTitle,1900)="","",INDEX(BookRank,1900))</f>
        <v/>
      </c>
      <c r="I1905" s="41" t="str">
        <f aca="false">IF(INDEX(BookTitle,1900)="","",INDEX(BookTotal,1900))</f>
        <v/>
      </c>
      <c r="J1905" s="0" t="str">
        <f aca="false">IF($I1905="","",IF(INDEX(BookQ1,1900)&gt;0,"Q1",IF(INDEX(BookQ2,1900)&gt;0,"Q2",IF(INDEX(BookQ3,1900)&gt;0,"Q3",IF(INDEX(BookQ4,1900)&gt;0,"Q4","")))))</f>
        <v/>
      </c>
      <c r="K1905" s="42" t="str">
        <f aca="false">IF(INDEX(BookTitle,1900)="","",INDEX(BookInYear,1900))</f>
        <v/>
      </c>
      <c r="L1905" s="19"/>
      <c r="M1905" s="39"/>
      <c r="N1905" s="19"/>
      <c r="O1905" s="19"/>
      <c r="P1905" s="43" t="str">
        <f aca="false">IF($E1905="","",IF($L1905="Decline",0,IF($L1905="Approve fewer",IF($M1905="","",$M1905),IF($L1905="","",$I1905))))</f>
        <v/>
      </c>
      <c r="Q1905" s="34" t="str">
        <f aca="false">IF($P1905="","",IF($N1905&lt;&gt;"",$N1905,$J1905))</f>
        <v/>
      </c>
      <c r="R1905" s="35" t="str">
        <f aca="false">IF(OR($P1905="",$Q1905=""),"",INDEX(BookRate,1900)*$P1905*(5-MATCH($Q1905,{"Q1";"Q2";"Q3";"Q4"},0))/4+INDEX(BookOneOff,1900)*$P1905)</f>
        <v/>
      </c>
      <c r="S1905" s="35" t="str">
        <f aca="false">IF($P1905="","",INDEX(BookRate,1900)*$P1905)</f>
        <v/>
      </c>
      <c r="T1905" s="35" t="str">
        <f aca="false">IF($R1905="","",$R1905-$K1905)</f>
        <v/>
      </c>
      <c r="U1905" s="35" t="str">
        <f aca="false">IF(N($P1905)&lt;=0,"",COUNTIF($P$6:$P1905,"&gt;0"))</f>
        <v/>
      </c>
    </row>
    <row r="1906" customFormat="false" ht="15" hidden="false" customHeight="false" outlineLevel="0" collapsed="false">
      <c r="A1906" s="40" t="str">
        <f aca="false">IF(INDEX(BookTitle,1901)="","",INDEX(BookGroup,1901))</f>
        <v/>
      </c>
      <c r="B1906" s="40" t="str">
        <f aca="false">IF(INDEX(BookTitle,1901)="","",INDEX(BookRef,1901))</f>
        <v/>
      </c>
      <c r="C1906" s="40" t="str">
        <f aca="false">IF(INDEX(BookTitle,1901)="","",INDEX(BookDivision,1901))</f>
        <v/>
      </c>
      <c r="D1906" s="40" t="str">
        <f aca="false">IF(INDEX(BookTitle,1901)="","",INDEX(BookUnit,1901))</f>
        <v/>
      </c>
      <c r="E1906" s="40" t="str">
        <f aca="false">IF(INDEX(BookTitle,1901)="","",INDEX(BookTitle,1901))</f>
        <v/>
      </c>
      <c r="F1906" s="40" t="str">
        <f aca="false">IF(INDEX(BookTitle,1901)="","",INDEX(BookLevel,1901))</f>
        <v/>
      </c>
      <c r="G1906" s="40" t="str">
        <f aca="false">IF(INDEX(BookTitle,1901)="","",INDEX(BookCategory,1901))</f>
        <v/>
      </c>
      <c r="H1906" s="40" t="str">
        <f aca="false">IF(INDEX(BookTitle,1901)="","",INDEX(BookRank,1901))</f>
        <v/>
      </c>
      <c r="I1906" s="41" t="str">
        <f aca="false">IF(INDEX(BookTitle,1901)="","",INDEX(BookTotal,1901))</f>
        <v/>
      </c>
      <c r="J1906" s="0" t="str">
        <f aca="false">IF($I1906="","",IF(INDEX(BookQ1,1901)&gt;0,"Q1",IF(INDEX(BookQ2,1901)&gt;0,"Q2",IF(INDEX(BookQ3,1901)&gt;0,"Q3",IF(INDEX(BookQ4,1901)&gt;0,"Q4","")))))</f>
        <v/>
      </c>
      <c r="K1906" s="42" t="str">
        <f aca="false">IF(INDEX(BookTitle,1901)="","",INDEX(BookInYear,1901))</f>
        <v/>
      </c>
      <c r="L1906" s="19"/>
      <c r="M1906" s="39"/>
      <c r="N1906" s="19"/>
      <c r="O1906" s="19"/>
      <c r="P1906" s="43" t="str">
        <f aca="false">IF($E1906="","",IF($L1906="Decline",0,IF($L1906="Approve fewer",IF($M1906="","",$M1906),IF($L1906="","",$I1906))))</f>
        <v/>
      </c>
      <c r="Q1906" s="34" t="str">
        <f aca="false">IF($P1906="","",IF($N1906&lt;&gt;"",$N1906,$J1906))</f>
        <v/>
      </c>
      <c r="R1906" s="35" t="str">
        <f aca="false">IF(OR($P1906="",$Q1906=""),"",INDEX(BookRate,1901)*$P1906*(5-MATCH($Q1906,{"Q1";"Q2";"Q3";"Q4"},0))/4+INDEX(BookOneOff,1901)*$P1906)</f>
        <v/>
      </c>
      <c r="S1906" s="35" t="str">
        <f aca="false">IF($P1906="","",INDEX(BookRate,1901)*$P1906)</f>
        <v/>
      </c>
      <c r="T1906" s="35" t="str">
        <f aca="false">IF($R1906="","",$R1906-$K1906)</f>
        <v/>
      </c>
      <c r="U1906" s="35" t="str">
        <f aca="false">IF(N($P1906)&lt;=0,"",COUNTIF($P$6:$P1906,"&gt;0"))</f>
        <v/>
      </c>
    </row>
    <row r="1907" customFormat="false" ht="15" hidden="false" customHeight="false" outlineLevel="0" collapsed="false">
      <c r="A1907" s="40" t="str">
        <f aca="false">IF(INDEX(BookTitle,1902)="","",INDEX(BookGroup,1902))</f>
        <v/>
      </c>
      <c r="B1907" s="40" t="str">
        <f aca="false">IF(INDEX(BookTitle,1902)="","",INDEX(BookRef,1902))</f>
        <v/>
      </c>
      <c r="C1907" s="40" t="str">
        <f aca="false">IF(INDEX(BookTitle,1902)="","",INDEX(BookDivision,1902))</f>
        <v/>
      </c>
      <c r="D1907" s="40" t="str">
        <f aca="false">IF(INDEX(BookTitle,1902)="","",INDEX(BookUnit,1902))</f>
        <v/>
      </c>
      <c r="E1907" s="40" t="str">
        <f aca="false">IF(INDEX(BookTitle,1902)="","",INDEX(BookTitle,1902))</f>
        <v/>
      </c>
      <c r="F1907" s="40" t="str">
        <f aca="false">IF(INDEX(BookTitle,1902)="","",INDEX(BookLevel,1902))</f>
        <v/>
      </c>
      <c r="G1907" s="40" t="str">
        <f aca="false">IF(INDEX(BookTitle,1902)="","",INDEX(BookCategory,1902))</f>
        <v/>
      </c>
      <c r="H1907" s="40" t="str">
        <f aca="false">IF(INDEX(BookTitle,1902)="","",INDEX(BookRank,1902))</f>
        <v/>
      </c>
      <c r="I1907" s="41" t="str">
        <f aca="false">IF(INDEX(BookTitle,1902)="","",INDEX(BookTotal,1902))</f>
        <v/>
      </c>
      <c r="J1907" s="0" t="str">
        <f aca="false">IF($I1907="","",IF(INDEX(BookQ1,1902)&gt;0,"Q1",IF(INDEX(BookQ2,1902)&gt;0,"Q2",IF(INDEX(BookQ3,1902)&gt;0,"Q3",IF(INDEX(BookQ4,1902)&gt;0,"Q4","")))))</f>
        <v/>
      </c>
      <c r="K1907" s="42" t="str">
        <f aca="false">IF(INDEX(BookTitle,1902)="","",INDEX(BookInYear,1902))</f>
        <v/>
      </c>
      <c r="L1907" s="19"/>
      <c r="M1907" s="39"/>
      <c r="N1907" s="19"/>
      <c r="O1907" s="19"/>
      <c r="P1907" s="43" t="str">
        <f aca="false">IF($E1907="","",IF($L1907="Decline",0,IF($L1907="Approve fewer",IF($M1907="","",$M1907),IF($L1907="","",$I1907))))</f>
        <v/>
      </c>
      <c r="Q1907" s="34" t="str">
        <f aca="false">IF($P1907="","",IF($N1907&lt;&gt;"",$N1907,$J1907))</f>
        <v/>
      </c>
      <c r="R1907" s="35" t="str">
        <f aca="false">IF(OR($P1907="",$Q1907=""),"",INDEX(BookRate,1902)*$P1907*(5-MATCH($Q1907,{"Q1";"Q2";"Q3";"Q4"},0))/4+INDEX(BookOneOff,1902)*$P1907)</f>
        <v/>
      </c>
      <c r="S1907" s="35" t="str">
        <f aca="false">IF($P1907="","",INDEX(BookRate,1902)*$P1907)</f>
        <v/>
      </c>
      <c r="T1907" s="35" t="str">
        <f aca="false">IF($R1907="","",$R1907-$K1907)</f>
        <v/>
      </c>
      <c r="U1907" s="35" t="str">
        <f aca="false">IF(N($P1907)&lt;=0,"",COUNTIF($P$6:$P1907,"&gt;0"))</f>
        <v/>
      </c>
    </row>
    <row r="1908" customFormat="false" ht="15" hidden="false" customHeight="false" outlineLevel="0" collapsed="false">
      <c r="A1908" s="40" t="str">
        <f aca="false">IF(INDEX(BookTitle,1903)="","",INDEX(BookGroup,1903))</f>
        <v/>
      </c>
      <c r="B1908" s="40" t="str">
        <f aca="false">IF(INDEX(BookTitle,1903)="","",INDEX(BookRef,1903))</f>
        <v/>
      </c>
      <c r="C1908" s="40" t="str">
        <f aca="false">IF(INDEX(BookTitle,1903)="","",INDEX(BookDivision,1903))</f>
        <v/>
      </c>
      <c r="D1908" s="40" t="str">
        <f aca="false">IF(INDEX(BookTitle,1903)="","",INDEX(BookUnit,1903))</f>
        <v/>
      </c>
      <c r="E1908" s="40" t="str">
        <f aca="false">IF(INDEX(BookTitle,1903)="","",INDEX(BookTitle,1903))</f>
        <v/>
      </c>
      <c r="F1908" s="40" t="str">
        <f aca="false">IF(INDEX(BookTitle,1903)="","",INDEX(BookLevel,1903))</f>
        <v/>
      </c>
      <c r="G1908" s="40" t="str">
        <f aca="false">IF(INDEX(BookTitle,1903)="","",INDEX(BookCategory,1903))</f>
        <v/>
      </c>
      <c r="H1908" s="40" t="str">
        <f aca="false">IF(INDEX(BookTitle,1903)="","",INDEX(BookRank,1903))</f>
        <v/>
      </c>
      <c r="I1908" s="41" t="str">
        <f aca="false">IF(INDEX(BookTitle,1903)="","",INDEX(BookTotal,1903))</f>
        <v/>
      </c>
      <c r="J1908" s="0" t="str">
        <f aca="false">IF($I1908="","",IF(INDEX(BookQ1,1903)&gt;0,"Q1",IF(INDEX(BookQ2,1903)&gt;0,"Q2",IF(INDEX(BookQ3,1903)&gt;0,"Q3",IF(INDEX(BookQ4,1903)&gt;0,"Q4","")))))</f>
        <v/>
      </c>
      <c r="K1908" s="42" t="str">
        <f aca="false">IF(INDEX(BookTitle,1903)="","",INDEX(BookInYear,1903))</f>
        <v/>
      </c>
      <c r="L1908" s="19"/>
      <c r="M1908" s="39"/>
      <c r="N1908" s="19"/>
      <c r="O1908" s="19"/>
      <c r="P1908" s="43" t="str">
        <f aca="false">IF($E1908="","",IF($L1908="Decline",0,IF($L1908="Approve fewer",IF($M1908="","",$M1908),IF($L1908="","",$I1908))))</f>
        <v/>
      </c>
      <c r="Q1908" s="34" t="str">
        <f aca="false">IF($P1908="","",IF($N1908&lt;&gt;"",$N1908,$J1908))</f>
        <v/>
      </c>
      <c r="R1908" s="35" t="str">
        <f aca="false">IF(OR($P1908="",$Q1908=""),"",INDEX(BookRate,1903)*$P1908*(5-MATCH($Q1908,{"Q1";"Q2";"Q3";"Q4"},0))/4+INDEX(BookOneOff,1903)*$P1908)</f>
        <v/>
      </c>
      <c r="S1908" s="35" t="str">
        <f aca="false">IF($P1908="","",INDEX(BookRate,1903)*$P1908)</f>
        <v/>
      </c>
      <c r="T1908" s="35" t="str">
        <f aca="false">IF($R1908="","",$R1908-$K1908)</f>
        <v/>
      </c>
      <c r="U1908" s="35" t="str">
        <f aca="false">IF(N($P1908)&lt;=0,"",COUNTIF($P$6:$P1908,"&gt;0"))</f>
        <v/>
      </c>
    </row>
    <row r="1909" customFormat="false" ht="15" hidden="false" customHeight="false" outlineLevel="0" collapsed="false">
      <c r="A1909" s="40" t="str">
        <f aca="false">IF(INDEX(BookTitle,1904)="","",INDEX(BookGroup,1904))</f>
        <v/>
      </c>
      <c r="B1909" s="40" t="str">
        <f aca="false">IF(INDEX(BookTitle,1904)="","",INDEX(BookRef,1904))</f>
        <v/>
      </c>
      <c r="C1909" s="40" t="str">
        <f aca="false">IF(INDEX(BookTitle,1904)="","",INDEX(BookDivision,1904))</f>
        <v/>
      </c>
      <c r="D1909" s="40" t="str">
        <f aca="false">IF(INDEX(BookTitle,1904)="","",INDEX(BookUnit,1904))</f>
        <v/>
      </c>
      <c r="E1909" s="40" t="str">
        <f aca="false">IF(INDEX(BookTitle,1904)="","",INDEX(BookTitle,1904))</f>
        <v/>
      </c>
      <c r="F1909" s="40" t="str">
        <f aca="false">IF(INDEX(BookTitle,1904)="","",INDEX(BookLevel,1904))</f>
        <v/>
      </c>
      <c r="G1909" s="40" t="str">
        <f aca="false">IF(INDEX(BookTitle,1904)="","",INDEX(BookCategory,1904))</f>
        <v/>
      </c>
      <c r="H1909" s="40" t="str">
        <f aca="false">IF(INDEX(BookTitle,1904)="","",INDEX(BookRank,1904))</f>
        <v/>
      </c>
      <c r="I1909" s="41" t="str">
        <f aca="false">IF(INDEX(BookTitle,1904)="","",INDEX(BookTotal,1904))</f>
        <v/>
      </c>
      <c r="J1909" s="0" t="str">
        <f aca="false">IF($I1909="","",IF(INDEX(BookQ1,1904)&gt;0,"Q1",IF(INDEX(BookQ2,1904)&gt;0,"Q2",IF(INDEX(BookQ3,1904)&gt;0,"Q3",IF(INDEX(BookQ4,1904)&gt;0,"Q4","")))))</f>
        <v/>
      </c>
      <c r="K1909" s="42" t="str">
        <f aca="false">IF(INDEX(BookTitle,1904)="","",INDEX(BookInYear,1904))</f>
        <v/>
      </c>
      <c r="L1909" s="19"/>
      <c r="M1909" s="39"/>
      <c r="N1909" s="19"/>
      <c r="O1909" s="19"/>
      <c r="P1909" s="43" t="str">
        <f aca="false">IF($E1909="","",IF($L1909="Decline",0,IF($L1909="Approve fewer",IF($M1909="","",$M1909),IF($L1909="","",$I1909))))</f>
        <v/>
      </c>
      <c r="Q1909" s="34" t="str">
        <f aca="false">IF($P1909="","",IF($N1909&lt;&gt;"",$N1909,$J1909))</f>
        <v/>
      </c>
      <c r="R1909" s="35" t="str">
        <f aca="false">IF(OR($P1909="",$Q1909=""),"",INDEX(BookRate,1904)*$P1909*(5-MATCH($Q1909,{"Q1";"Q2";"Q3";"Q4"},0))/4+INDEX(BookOneOff,1904)*$P1909)</f>
        <v/>
      </c>
      <c r="S1909" s="35" t="str">
        <f aca="false">IF($P1909="","",INDEX(BookRate,1904)*$P1909)</f>
        <v/>
      </c>
      <c r="T1909" s="35" t="str">
        <f aca="false">IF($R1909="","",$R1909-$K1909)</f>
        <v/>
      </c>
      <c r="U1909" s="35" t="str">
        <f aca="false">IF(N($P1909)&lt;=0,"",COUNTIF($P$6:$P1909,"&gt;0"))</f>
        <v/>
      </c>
    </row>
    <row r="1910" customFormat="false" ht="15" hidden="false" customHeight="false" outlineLevel="0" collapsed="false">
      <c r="A1910" s="40" t="str">
        <f aca="false">IF(INDEX(BookTitle,1905)="","",INDEX(BookGroup,1905))</f>
        <v/>
      </c>
      <c r="B1910" s="40" t="str">
        <f aca="false">IF(INDEX(BookTitle,1905)="","",INDEX(BookRef,1905))</f>
        <v/>
      </c>
      <c r="C1910" s="40" t="str">
        <f aca="false">IF(INDEX(BookTitle,1905)="","",INDEX(BookDivision,1905))</f>
        <v/>
      </c>
      <c r="D1910" s="40" t="str">
        <f aca="false">IF(INDEX(BookTitle,1905)="","",INDEX(BookUnit,1905))</f>
        <v/>
      </c>
      <c r="E1910" s="40" t="str">
        <f aca="false">IF(INDEX(BookTitle,1905)="","",INDEX(BookTitle,1905))</f>
        <v/>
      </c>
      <c r="F1910" s="40" t="str">
        <f aca="false">IF(INDEX(BookTitle,1905)="","",INDEX(BookLevel,1905))</f>
        <v/>
      </c>
      <c r="G1910" s="40" t="str">
        <f aca="false">IF(INDEX(BookTitle,1905)="","",INDEX(BookCategory,1905))</f>
        <v/>
      </c>
      <c r="H1910" s="40" t="str">
        <f aca="false">IF(INDEX(BookTitle,1905)="","",INDEX(BookRank,1905))</f>
        <v/>
      </c>
      <c r="I1910" s="41" t="str">
        <f aca="false">IF(INDEX(BookTitle,1905)="","",INDEX(BookTotal,1905))</f>
        <v/>
      </c>
      <c r="J1910" s="0" t="str">
        <f aca="false">IF($I1910="","",IF(INDEX(BookQ1,1905)&gt;0,"Q1",IF(INDEX(BookQ2,1905)&gt;0,"Q2",IF(INDEX(BookQ3,1905)&gt;0,"Q3",IF(INDEX(BookQ4,1905)&gt;0,"Q4","")))))</f>
        <v/>
      </c>
      <c r="K1910" s="42" t="str">
        <f aca="false">IF(INDEX(BookTitle,1905)="","",INDEX(BookInYear,1905))</f>
        <v/>
      </c>
      <c r="L1910" s="19"/>
      <c r="M1910" s="39"/>
      <c r="N1910" s="19"/>
      <c r="O1910" s="19"/>
      <c r="P1910" s="43" t="str">
        <f aca="false">IF($E1910="","",IF($L1910="Decline",0,IF($L1910="Approve fewer",IF($M1910="","",$M1910),IF($L1910="","",$I1910))))</f>
        <v/>
      </c>
      <c r="Q1910" s="34" t="str">
        <f aca="false">IF($P1910="","",IF($N1910&lt;&gt;"",$N1910,$J1910))</f>
        <v/>
      </c>
      <c r="R1910" s="35" t="str">
        <f aca="false">IF(OR($P1910="",$Q1910=""),"",INDEX(BookRate,1905)*$P1910*(5-MATCH($Q1910,{"Q1";"Q2";"Q3";"Q4"},0))/4+INDEX(BookOneOff,1905)*$P1910)</f>
        <v/>
      </c>
      <c r="S1910" s="35" t="str">
        <f aca="false">IF($P1910="","",INDEX(BookRate,1905)*$P1910)</f>
        <v/>
      </c>
      <c r="T1910" s="35" t="str">
        <f aca="false">IF($R1910="","",$R1910-$K1910)</f>
        <v/>
      </c>
      <c r="U1910" s="35" t="str">
        <f aca="false">IF(N($P1910)&lt;=0,"",COUNTIF($P$6:$P1910,"&gt;0"))</f>
        <v/>
      </c>
    </row>
    <row r="1911" customFormat="false" ht="15" hidden="false" customHeight="false" outlineLevel="0" collapsed="false">
      <c r="A1911" s="40" t="str">
        <f aca="false">IF(INDEX(BookTitle,1906)="","",INDEX(BookGroup,1906))</f>
        <v/>
      </c>
      <c r="B1911" s="40" t="str">
        <f aca="false">IF(INDEX(BookTitle,1906)="","",INDEX(BookRef,1906))</f>
        <v/>
      </c>
      <c r="C1911" s="40" t="str">
        <f aca="false">IF(INDEX(BookTitle,1906)="","",INDEX(BookDivision,1906))</f>
        <v/>
      </c>
      <c r="D1911" s="40" t="str">
        <f aca="false">IF(INDEX(BookTitle,1906)="","",INDEX(BookUnit,1906))</f>
        <v/>
      </c>
      <c r="E1911" s="40" t="str">
        <f aca="false">IF(INDEX(BookTitle,1906)="","",INDEX(BookTitle,1906))</f>
        <v/>
      </c>
      <c r="F1911" s="40" t="str">
        <f aca="false">IF(INDEX(BookTitle,1906)="","",INDEX(BookLevel,1906))</f>
        <v/>
      </c>
      <c r="G1911" s="40" t="str">
        <f aca="false">IF(INDEX(BookTitle,1906)="","",INDEX(BookCategory,1906))</f>
        <v/>
      </c>
      <c r="H1911" s="40" t="str">
        <f aca="false">IF(INDEX(BookTitle,1906)="","",INDEX(BookRank,1906))</f>
        <v/>
      </c>
      <c r="I1911" s="41" t="str">
        <f aca="false">IF(INDEX(BookTitle,1906)="","",INDEX(BookTotal,1906))</f>
        <v/>
      </c>
      <c r="J1911" s="0" t="str">
        <f aca="false">IF($I1911="","",IF(INDEX(BookQ1,1906)&gt;0,"Q1",IF(INDEX(BookQ2,1906)&gt;0,"Q2",IF(INDEX(BookQ3,1906)&gt;0,"Q3",IF(INDEX(BookQ4,1906)&gt;0,"Q4","")))))</f>
        <v/>
      </c>
      <c r="K1911" s="42" t="str">
        <f aca="false">IF(INDEX(BookTitle,1906)="","",INDEX(BookInYear,1906))</f>
        <v/>
      </c>
      <c r="L1911" s="19"/>
      <c r="M1911" s="39"/>
      <c r="N1911" s="19"/>
      <c r="O1911" s="19"/>
      <c r="P1911" s="43" t="str">
        <f aca="false">IF($E1911="","",IF($L1911="Decline",0,IF($L1911="Approve fewer",IF($M1911="","",$M1911),IF($L1911="","",$I1911))))</f>
        <v/>
      </c>
      <c r="Q1911" s="34" t="str">
        <f aca="false">IF($P1911="","",IF($N1911&lt;&gt;"",$N1911,$J1911))</f>
        <v/>
      </c>
      <c r="R1911" s="35" t="str">
        <f aca="false">IF(OR($P1911="",$Q1911=""),"",INDEX(BookRate,1906)*$P1911*(5-MATCH($Q1911,{"Q1";"Q2";"Q3";"Q4"},0))/4+INDEX(BookOneOff,1906)*$P1911)</f>
        <v/>
      </c>
      <c r="S1911" s="35" t="str">
        <f aca="false">IF($P1911="","",INDEX(BookRate,1906)*$P1911)</f>
        <v/>
      </c>
      <c r="T1911" s="35" t="str">
        <f aca="false">IF($R1911="","",$R1911-$K1911)</f>
        <v/>
      </c>
      <c r="U1911" s="35" t="str">
        <f aca="false">IF(N($P1911)&lt;=0,"",COUNTIF($P$6:$P1911,"&gt;0"))</f>
        <v/>
      </c>
    </row>
    <row r="1912" customFormat="false" ht="15" hidden="false" customHeight="false" outlineLevel="0" collapsed="false">
      <c r="A1912" s="40" t="str">
        <f aca="false">IF(INDEX(BookTitle,1907)="","",INDEX(BookGroup,1907))</f>
        <v/>
      </c>
      <c r="B1912" s="40" t="str">
        <f aca="false">IF(INDEX(BookTitle,1907)="","",INDEX(BookRef,1907))</f>
        <v/>
      </c>
      <c r="C1912" s="40" t="str">
        <f aca="false">IF(INDEX(BookTitle,1907)="","",INDEX(BookDivision,1907))</f>
        <v/>
      </c>
      <c r="D1912" s="40" t="str">
        <f aca="false">IF(INDEX(BookTitle,1907)="","",INDEX(BookUnit,1907))</f>
        <v/>
      </c>
      <c r="E1912" s="40" t="str">
        <f aca="false">IF(INDEX(BookTitle,1907)="","",INDEX(BookTitle,1907))</f>
        <v/>
      </c>
      <c r="F1912" s="40" t="str">
        <f aca="false">IF(INDEX(BookTitle,1907)="","",INDEX(BookLevel,1907))</f>
        <v/>
      </c>
      <c r="G1912" s="40" t="str">
        <f aca="false">IF(INDEX(BookTitle,1907)="","",INDEX(BookCategory,1907))</f>
        <v/>
      </c>
      <c r="H1912" s="40" t="str">
        <f aca="false">IF(INDEX(BookTitle,1907)="","",INDEX(BookRank,1907))</f>
        <v/>
      </c>
      <c r="I1912" s="41" t="str">
        <f aca="false">IF(INDEX(BookTitle,1907)="","",INDEX(BookTotal,1907))</f>
        <v/>
      </c>
      <c r="J1912" s="0" t="str">
        <f aca="false">IF($I1912="","",IF(INDEX(BookQ1,1907)&gt;0,"Q1",IF(INDEX(BookQ2,1907)&gt;0,"Q2",IF(INDEX(BookQ3,1907)&gt;0,"Q3",IF(INDEX(BookQ4,1907)&gt;0,"Q4","")))))</f>
        <v/>
      </c>
      <c r="K1912" s="42" t="str">
        <f aca="false">IF(INDEX(BookTitle,1907)="","",INDEX(BookInYear,1907))</f>
        <v/>
      </c>
      <c r="L1912" s="19"/>
      <c r="M1912" s="39"/>
      <c r="N1912" s="19"/>
      <c r="O1912" s="19"/>
      <c r="P1912" s="43" t="str">
        <f aca="false">IF($E1912="","",IF($L1912="Decline",0,IF($L1912="Approve fewer",IF($M1912="","",$M1912),IF($L1912="","",$I1912))))</f>
        <v/>
      </c>
      <c r="Q1912" s="34" t="str">
        <f aca="false">IF($P1912="","",IF($N1912&lt;&gt;"",$N1912,$J1912))</f>
        <v/>
      </c>
      <c r="R1912" s="35" t="str">
        <f aca="false">IF(OR($P1912="",$Q1912=""),"",INDEX(BookRate,1907)*$P1912*(5-MATCH($Q1912,{"Q1";"Q2";"Q3";"Q4"},0))/4+INDEX(BookOneOff,1907)*$P1912)</f>
        <v/>
      </c>
      <c r="S1912" s="35" t="str">
        <f aca="false">IF($P1912="","",INDEX(BookRate,1907)*$P1912)</f>
        <v/>
      </c>
      <c r="T1912" s="35" t="str">
        <f aca="false">IF($R1912="","",$R1912-$K1912)</f>
        <v/>
      </c>
      <c r="U1912" s="35" t="str">
        <f aca="false">IF(N($P1912)&lt;=0,"",COUNTIF($P$6:$P1912,"&gt;0"))</f>
        <v/>
      </c>
    </row>
    <row r="1913" customFormat="false" ht="15" hidden="false" customHeight="false" outlineLevel="0" collapsed="false">
      <c r="A1913" s="40" t="str">
        <f aca="false">IF(INDEX(BookTitle,1908)="","",INDEX(BookGroup,1908))</f>
        <v/>
      </c>
      <c r="B1913" s="40" t="str">
        <f aca="false">IF(INDEX(BookTitle,1908)="","",INDEX(BookRef,1908))</f>
        <v/>
      </c>
      <c r="C1913" s="40" t="str">
        <f aca="false">IF(INDEX(BookTitle,1908)="","",INDEX(BookDivision,1908))</f>
        <v/>
      </c>
      <c r="D1913" s="40" t="str">
        <f aca="false">IF(INDEX(BookTitle,1908)="","",INDEX(BookUnit,1908))</f>
        <v/>
      </c>
      <c r="E1913" s="40" t="str">
        <f aca="false">IF(INDEX(BookTitle,1908)="","",INDEX(BookTitle,1908))</f>
        <v/>
      </c>
      <c r="F1913" s="40" t="str">
        <f aca="false">IF(INDEX(BookTitle,1908)="","",INDEX(BookLevel,1908))</f>
        <v/>
      </c>
      <c r="G1913" s="40" t="str">
        <f aca="false">IF(INDEX(BookTitle,1908)="","",INDEX(BookCategory,1908))</f>
        <v/>
      </c>
      <c r="H1913" s="40" t="str">
        <f aca="false">IF(INDEX(BookTitle,1908)="","",INDEX(BookRank,1908))</f>
        <v/>
      </c>
      <c r="I1913" s="41" t="str">
        <f aca="false">IF(INDEX(BookTitle,1908)="","",INDEX(BookTotal,1908))</f>
        <v/>
      </c>
      <c r="J1913" s="0" t="str">
        <f aca="false">IF($I1913="","",IF(INDEX(BookQ1,1908)&gt;0,"Q1",IF(INDEX(BookQ2,1908)&gt;0,"Q2",IF(INDEX(BookQ3,1908)&gt;0,"Q3",IF(INDEX(BookQ4,1908)&gt;0,"Q4","")))))</f>
        <v/>
      </c>
      <c r="K1913" s="42" t="str">
        <f aca="false">IF(INDEX(BookTitle,1908)="","",INDEX(BookInYear,1908))</f>
        <v/>
      </c>
      <c r="L1913" s="19"/>
      <c r="M1913" s="39"/>
      <c r="N1913" s="19"/>
      <c r="O1913" s="19"/>
      <c r="P1913" s="43" t="str">
        <f aca="false">IF($E1913="","",IF($L1913="Decline",0,IF($L1913="Approve fewer",IF($M1913="","",$M1913),IF($L1913="","",$I1913))))</f>
        <v/>
      </c>
      <c r="Q1913" s="34" t="str">
        <f aca="false">IF($P1913="","",IF($N1913&lt;&gt;"",$N1913,$J1913))</f>
        <v/>
      </c>
      <c r="R1913" s="35" t="str">
        <f aca="false">IF(OR($P1913="",$Q1913=""),"",INDEX(BookRate,1908)*$P1913*(5-MATCH($Q1913,{"Q1";"Q2";"Q3";"Q4"},0))/4+INDEX(BookOneOff,1908)*$P1913)</f>
        <v/>
      </c>
      <c r="S1913" s="35" t="str">
        <f aca="false">IF($P1913="","",INDEX(BookRate,1908)*$P1913)</f>
        <v/>
      </c>
      <c r="T1913" s="35" t="str">
        <f aca="false">IF($R1913="","",$R1913-$K1913)</f>
        <v/>
      </c>
      <c r="U1913" s="35" t="str">
        <f aca="false">IF(N($P1913)&lt;=0,"",COUNTIF($P$6:$P1913,"&gt;0"))</f>
        <v/>
      </c>
    </row>
    <row r="1914" customFormat="false" ht="15" hidden="false" customHeight="false" outlineLevel="0" collapsed="false">
      <c r="A1914" s="40" t="str">
        <f aca="false">IF(INDEX(BookTitle,1909)="","",INDEX(BookGroup,1909))</f>
        <v/>
      </c>
      <c r="B1914" s="40" t="str">
        <f aca="false">IF(INDEX(BookTitle,1909)="","",INDEX(BookRef,1909))</f>
        <v/>
      </c>
      <c r="C1914" s="40" t="str">
        <f aca="false">IF(INDEX(BookTitle,1909)="","",INDEX(BookDivision,1909))</f>
        <v/>
      </c>
      <c r="D1914" s="40" t="str">
        <f aca="false">IF(INDEX(BookTitle,1909)="","",INDEX(BookUnit,1909))</f>
        <v/>
      </c>
      <c r="E1914" s="40" t="str">
        <f aca="false">IF(INDEX(BookTitle,1909)="","",INDEX(BookTitle,1909))</f>
        <v/>
      </c>
      <c r="F1914" s="40" t="str">
        <f aca="false">IF(INDEX(BookTitle,1909)="","",INDEX(BookLevel,1909))</f>
        <v/>
      </c>
      <c r="G1914" s="40" t="str">
        <f aca="false">IF(INDEX(BookTitle,1909)="","",INDEX(BookCategory,1909))</f>
        <v/>
      </c>
      <c r="H1914" s="40" t="str">
        <f aca="false">IF(INDEX(BookTitle,1909)="","",INDEX(BookRank,1909))</f>
        <v/>
      </c>
      <c r="I1914" s="41" t="str">
        <f aca="false">IF(INDEX(BookTitle,1909)="","",INDEX(BookTotal,1909))</f>
        <v/>
      </c>
      <c r="J1914" s="0" t="str">
        <f aca="false">IF($I1914="","",IF(INDEX(BookQ1,1909)&gt;0,"Q1",IF(INDEX(BookQ2,1909)&gt;0,"Q2",IF(INDEX(BookQ3,1909)&gt;0,"Q3",IF(INDEX(BookQ4,1909)&gt;0,"Q4","")))))</f>
        <v/>
      </c>
      <c r="K1914" s="42" t="str">
        <f aca="false">IF(INDEX(BookTitle,1909)="","",INDEX(BookInYear,1909))</f>
        <v/>
      </c>
      <c r="L1914" s="19"/>
      <c r="M1914" s="39"/>
      <c r="N1914" s="19"/>
      <c r="O1914" s="19"/>
      <c r="P1914" s="43" t="str">
        <f aca="false">IF($E1914="","",IF($L1914="Decline",0,IF($L1914="Approve fewer",IF($M1914="","",$M1914),IF($L1914="","",$I1914))))</f>
        <v/>
      </c>
      <c r="Q1914" s="34" t="str">
        <f aca="false">IF($P1914="","",IF($N1914&lt;&gt;"",$N1914,$J1914))</f>
        <v/>
      </c>
      <c r="R1914" s="35" t="str">
        <f aca="false">IF(OR($P1914="",$Q1914=""),"",INDEX(BookRate,1909)*$P1914*(5-MATCH($Q1914,{"Q1";"Q2";"Q3";"Q4"},0))/4+INDEX(BookOneOff,1909)*$P1914)</f>
        <v/>
      </c>
      <c r="S1914" s="35" t="str">
        <f aca="false">IF($P1914="","",INDEX(BookRate,1909)*$P1914)</f>
        <v/>
      </c>
      <c r="T1914" s="35" t="str">
        <f aca="false">IF($R1914="","",$R1914-$K1914)</f>
        <v/>
      </c>
      <c r="U1914" s="35" t="str">
        <f aca="false">IF(N($P1914)&lt;=0,"",COUNTIF($P$6:$P1914,"&gt;0"))</f>
        <v/>
      </c>
    </row>
    <row r="1915" customFormat="false" ht="15" hidden="false" customHeight="false" outlineLevel="0" collapsed="false">
      <c r="A1915" s="40" t="str">
        <f aca="false">IF(INDEX(BookTitle,1910)="","",INDEX(BookGroup,1910))</f>
        <v/>
      </c>
      <c r="B1915" s="40" t="str">
        <f aca="false">IF(INDEX(BookTitle,1910)="","",INDEX(BookRef,1910))</f>
        <v/>
      </c>
      <c r="C1915" s="40" t="str">
        <f aca="false">IF(INDEX(BookTitle,1910)="","",INDEX(BookDivision,1910))</f>
        <v/>
      </c>
      <c r="D1915" s="40" t="str">
        <f aca="false">IF(INDEX(BookTitle,1910)="","",INDEX(BookUnit,1910))</f>
        <v/>
      </c>
      <c r="E1915" s="40" t="str">
        <f aca="false">IF(INDEX(BookTitle,1910)="","",INDEX(BookTitle,1910))</f>
        <v/>
      </c>
      <c r="F1915" s="40" t="str">
        <f aca="false">IF(INDEX(BookTitle,1910)="","",INDEX(BookLevel,1910))</f>
        <v/>
      </c>
      <c r="G1915" s="40" t="str">
        <f aca="false">IF(INDEX(BookTitle,1910)="","",INDEX(BookCategory,1910))</f>
        <v/>
      </c>
      <c r="H1915" s="40" t="str">
        <f aca="false">IF(INDEX(BookTitle,1910)="","",INDEX(BookRank,1910))</f>
        <v/>
      </c>
      <c r="I1915" s="41" t="str">
        <f aca="false">IF(INDEX(BookTitle,1910)="","",INDEX(BookTotal,1910))</f>
        <v/>
      </c>
      <c r="J1915" s="0" t="str">
        <f aca="false">IF($I1915="","",IF(INDEX(BookQ1,1910)&gt;0,"Q1",IF(INDEX(BookQ2,1910)&gt;0,"Q2",IF(INDEX(BookQ3,1910)&gt;0,"Q3",IF(INDEX(BookQ4,1910)&gt;0,"Q4","")))))</f>
        <v/>
      </c>
      <c r="K1915" s="42" t="str">
        <f aca="false">IF(INDEX(BookTitle,1910)="","",INDEX(BookInYear,1910))</f>
        <v/>
      </c>
      <c r="L1915" s="19"/>
      <c r="M1915" s="39"/>
      <c r="N1915" s="19"/>
      <c r="O1915" s="19"/>
      <c r="P1915" s="43" t="str">
        <f aca="false">IF($E1915="","",IF($L1915="Decline",0,IF($L1915="Approve fewer",IF($M1915="","",$M1915),IF($L1915="","",$I1915))))</f>
        <v/>
      </c>
      <c r="Q1915" s="34" t="str">
        <f aca="false">IF($P1915="","",IF($N1915&lt;&gt;"",$N1915,$J1915))</f>
        <v/>
      </c>
      <c r="R1915" s="35" t="str">
        <f aca="false">IF(OR($P1915="",$Q1915=""),"",INDEX(BookRate,1910)*$P1915*(5-MATCH($Q1915,{"Q1";"Q2";"Q3";"Q4"},0))/4+INDEX(BookOneOff,1910)*$P1915)</f>
        <v/>
      </c>
      <c r="S1915" s="35" t="str">
        <f aca="false">IF($P1915="","",INDEX(BookRate,1910)*$P1915)</f>
        <v/>
      </c>
      <c r="T1915" s="35" t="str">
        <f aca="false">IF($R1915="","",$R1915-$K1915)</f>
        <v/>
      </c>
      <c r="U1915" s="35" t="str">
        <f aca="false">IF(N($P1915)&lt;=0,"",COUNTIF($P$6:$P1915,"&gt;0"))</f>
        <v/>
      </c>
    </row>
    <row r="1916" customFormat="false" ht="15" hidden="false" customHeight="false" outlineLevel="0" collapsed="false">
      <c r="A1916" s="40" t="str">
        <f aca="false">IF(INDEX(BookTitle,1911)="","",INDEX(BookGroup,1911))</f>
        <v/>
      </c>
      <c r="B1916" s="40" t="str">
        <f aca="false">IF(INDEX(BookTitle,1911)="","",INDEX(BookRef,1911))</f>
        <v/>
      </c>
      <c r="C1916" s="40" t="str">
        <f aca="false">IF(INDEX(BookTitle,1911)="","",INDEX(BookDivision,1911))</f>
        <v/>
      </c>
      <c r="D1916" s="40" t="str">
        <f aca="false">IF(INDEX(BookTitle,1911)="","",INDEX(BookUnit,1911))</f>
        <v/>
      </c>
      <c r="E1916" s="40" t="str">
        <f aca="false">IF(INDEX(BookTitle,1911)="","",INDEX(BookTitle,1911))</f>
        <v/>
      </c>
      <c r="F1916" s="40" t="str">
        <f aca="false">IF(INDEX(BookTitle,1911)="","",INDEX(BookLevel,1911))</f>
        <v/>
      </c>
      <c r="G1916" s="40" t="str">
        <f aca="false">IF(INDEX(BookTitle,1911)="","",INDEX(BookCategory,1911))</f>
        <v/>
      </c>
      <c r="H1916" s="40" t="str">
        <f aca="false">IF(INDEX(BookTitle,1911)="","",INDEX(BookRank,1911))</f>
        <v/>
      </c>
      <c r="I1916" s="41" t="str">
        <f aca="false">IF(INDEX(BookTitle,1911)="","",INDEX(BookTotal,1911))</f>
        <v/>
      </c>
      <c r="J1916" s="0" t="str">
        <f aca="false">IF($I1916="","",IF(INDEX(BookQ1,1911)&gt;0,"Q1",IF(INDEX(BookQ2,1911)&gt;0,"Q2",IF(INDEX(BookQ3,1911)&gt;0,"Q3",IF(INDEX(BookQ4,1911)&gt;0,"Q4","")))))</f>
        <v/>
      </c>
      <c r="K1916" s="42" t="str">
        <f aca="false">IF(INDEX(BookTitle,1911)="","",INDEX(BookInYear,1911))</f>
        <v/>
      </c>
      <c r="L1916" s="19"/>
      <c r="M1916" s="39"/>
      <c r="N1916" s="19"/>
      <c r="O1916" s="19"/>
      <c r="P1916" s="43" t="str">
        <f aca="false">IF($E1916="","",IF($L1916="Decline",0,IF($L1916="Approve fewer",IF($M1916="","",$M1916),IF($L1916="","",$I1916))))</f>
        <v/>
      </c>
      <c r="Q1916" s="34" t="str">
        <f aca="false">IF($P1916="","",IF($N1916&lt;&gt;"",$N1916,$J1916))</f>
        <v/>
      </c>
      <c r="R1916" s="35" t="str">
        <f aca="false">IF(OR($P1916="",$Q1916=""),"",INDEX(BookRate,1911)*$P1916*(5-MATCH($Q1916,{"Q1";"Q2";"Q3";"Q4"},0))/4+INDEX(BookOneOff,1911)*$P1916)</f>
        <v/>
      </c>
      <c r="S1916" s="35" t="str">
        <f aca="false">IF($P1916="","",INDEX(BookRate,1911)*$P1916)</f>
        <v/>
      </c>
      <c r="T1916" s="35" t="str">
        <f aca="false">IF($R1916="","",$R1916-$K1916)</f>
        <v/>
      </c>
      <c r="U1916" s="35" t="str">
        <f aca="false">IF(N($P1916)&lt;=0,"",COUNTIF($P$6:$P1916,"&gt;0"))</f>
        <v/>
      </c>
    </row>
    <row r="1917" customFormat="false" ht="15" hidden="false" customHeight="false" outlineLevel="0" collapsed="false">
      <c r="A1917" s="40" t="str">
        <f aca="false">IF(INDEX(BookTitle,1912)="","",INDEX(BookGroup,1912))</f>
        <v/>
      </c>
      <c r="B1917" s="40" t="str">
        <f aca="false">IF(INDEX(BookTitle,1912)="","",INDEX(BookRef,1912))</f>
        <v/>
      </c>
      <c r="C1917" s="40" t="str">
        <f aca="false">IF(INDEX(BookTitle,1912)="","",INDEX(BookDivision,1912))</f>
        <v/>
      </c>
      <c r="D1917" s="40" t="str">
        <f aca="false">IF(INDEX(BookTitle,1912)="","",INDEX(BookUnit,1912))</f>
        <v/>
      </c>
      <c r="E1917" s="40" t="str">
        <f aca="false">IF(INDEX(BookTitle,1912)="","",INDEX(BookTitle,1912))</f>
        <v/>
      </c>
      <c r="F1917" s="40" t="str">
        <f aca="false">IF(INDEX(BookTitle,1912)="","",INDEX(BookLevel,1912))</f>
        <v/>
      </c>
      <c r="G1917" s="40" t="str">
        <f aca="false">IF(INDEX(BookTitle,1912)="","",INDEX(BookCategory,1912))</f>
        <v/>
      </c>
      <c r="H1917" s="40" t="str">
        <f aca="false">IF(INDEX(BookTitle,1912)="","",INDEX(BookRank,1912))</f>
        <v/>
      </c>
      <c r="I1917" s="41" t="str">
        <f aca="false">IF(INDEX(BookTitle,1912)="","",INDEX(BookTotal,1912))</f>
        <v/>
      </c>
      <c r="J1917" s="0" t="str">
        <f aca="false">IF($I1917="","",IF(INDEX(BookQ1,1912)&gt;0,"Q1",IF(INDEX(BookQ2,1912)&gt;0,"Q2",IF(INDEX(BookQ3,1912)&gt;0,"Q3",IF(INDEX(BookQ4,1912)&gt;0,"Q4","")))))</f>
        <v/>
      </c>
      <c r="K1917" s="42" t="str">
        <f aca="false">IF(INDEX(BookTitle,1912)="","",INDEX(BookInYear,1912))</f>
        <v/>
      </c>
      <c r="L1917" s="19"/>
      <c r="M1917" s="39"/>
      <c r="N1917" s="19"/>
      <c r="O1917" s="19"/>
      <c r="P1917" s="43" t="str">
        <f aca="false">IF($E1917="","",IF($L1917="Decline",0,IF($L1917="Approve fewer",IF($M1917="","",$M1917),IF($L1917="","",$I1917))))</f>
        <v/>
      </c>
      <c r="Q1917" s="34" t="str">
        <f aca="false">IF($P1917="","",IF($N1917&lt;&gt;"",$N1917,$J1917))</f>
        <v/>
      </c>
      <c r="R1917" s="35" t="str">
        <f aca="false">IF(OR($P1917="",$Q1917=""),"",INDEX(BookRate,1912)*$P1917*(5-MATCH($Q1917,{"Q1";"Q2";"Q3";"Q4"},0))/4+INDEX(BookOneOff,1912)*$P1917)</f>
        <v/>
      </c>
      <c r="S1917" s="35" t="str">
        <f aca="false">IF($P1917="","",INDEX(BookRate,1912)*$P1917)</f>
        <v/>
      </c>
      <c r="T1917" s="35" t="str">
        <f aca="false">IF($R1917="","",$R1917-$K1917)</f>
        <v/>
      </c>
      <c r="U1917" s="35" t="str">
        <f aca="false">IF(N($P1917)&lt;=0,"",COUNTIF($P$6:$P1917,"&gt;0"))</f>
        <v/>
      </c>
    </row>
    <row r="1918" customFormat="false" ht="15" hidden="false" customHeight="false" outlineLevel="0" collapsed="false">
      <c r="A1918" s="40" t="str">
        <f aca="false">IF(INDEX(BookTitle,1913)="","",INDEX(BookGroup,1913))</f>
        <v/>
      </c>
      <c r="B1918" s="40" t="str">
        <f aca="false">IF(INDEX(BookTitle,1913)="","",INDEX(BookRef,1913))</f>
        <v/>
      </c>
      <c r="C1918" s="40" t="str">
        <f aca="false">IF(INDEX(BookTitle,1913)="","",INDEX(BookDivision,1913))</f>
        <v/>
      </c>
      <c r="D1918" s="40" t="str">
        <f aca="false">IF(INDEX(BookTitle,1913)="","",INDEX(BookUnit,1913))</f>
        <v/>
      </c>
      <c r="E1918" s="40" t="str">
        <f aca="false">IF(INDEX(BookTitle,1913)="","",INDEX(BookTitle,1913))</f>
        <v/>
      </c>
      <c r="F1918" s="40" t="str">
        <f aca="false">IF(INDEX(BookTitle,1913)="","",INDEX(BookLevel,1913))</f>
        <v/>
      </c>
      <c r="G1918" s="40" t="str">
        <f aca="false">IF(INDEX(BookTitle,1913)="","",INDEX(BookCategory,1913))</f>
        <v/>
      </c>
      <c r="H1918" s="40" t="str">
        <f aca="false">IF(INDEX(BookTitle,1913)="","",INDEX(BookRank,1913))</f>
        <v/>
      </c>
      <c r="I1918" s="41" t="str">
        <f aca="false">IF(INDEX(BookTitle,1913)="","",INDEX(BookTotal,1913))</f>
        <v/>
      </c>
      <c r="J1918" s="0" t="str">
        <f aca="false">IF($I1918="","",IF(INDEX(BookQ1,1913)&gt;0,"Q1",IF(INDEX(BookQ2,1913)&gt;0,"Q2",IF(INDEX(BookQ3,1913)&gt;0,"Q3",IF(INDEX(BookQ4,1913)&gt;0,"Q4","")))))</f>
        <v/>
      </c>
      <c r="K1918" s="42" t="str">
        <f aca="false">IF(INDEX(BookTitle,1913)="","",INDEX(BookInYear,1913))</f>
        <v/>
      </c>
      <c r="L1918" s="19"/>
      <c r="M1918" s="39"/>
      <c r="N1918" s="19"/>
      <c r="O1918" s="19"/>
      <c r="P1918" s="43" t="str">
        <f aca="false">IF($E1918="","",IF($L1918="Decline",0,IF($L1918="Approve fewer",IF($M1918="","",$M1918),IF($L1918="","",$I1918))))</f>
        <v/>
      </c>
      <c r="Q1918" s="34" t="str">
        <f aca="false">IF($P1918="","",IF($N1918&lt;&gt;"",$N1918,$J1918))</f>
        <v/>
      </c>
      <c r="R1918" s="35" t="str">
        <f aca="false">IF(OR($P1918="",$Q1918=""),"",INDEX(BookRate,1913)*$P1918*(5-MATCH($Q1918,{"Q1";"Q2";"Q3";"Q4"},0))/4+INDEX(BookOneOff,1913)*$P1918)</f>
        <v/>
      </c>
      <c r="S1918" s="35" t="str">
        <f aca="false">IF($P1918="","",INDEX(BookRate,1913)*$P1918)</f>
        <v/>
      </c>
      <c r="T1918" s="35" t="str">
        <f aca="false">IF($R1918="","",$R1918-$K1918)</f>
        <v/>
      </c>
      <c r="U1918" s="35" t="str">
        <f aca="false">IF(N($P1918)&lt;=0,"",COUNTIF($P$6:$P1918,"&gt;0"))</f>
        <v/>
      </c>
    </row>
    <row r="1919" customFormat="false" ht="15" hidden="false" customHeight="false" outlineLevel="0" collapsed="false">
      <c r="A1919" s="40" t="str">
        <f aca="false">IF(INDEX(BookTitle,1914)="","",INDEX(BookGroup,1914))</f>
        <v/>
      </c>
      <c r="B1919" s="40" t="str">
        <f aca="false">IF(INDEX(BookTitle,1914)="","",INDEX(BookRef,1914))</f>
        <v/>
      </c>
      <c r="C1919" s="40" t="str">
        <f aca="false">IF(INDEX(BookTitle,1914)="","",INDEX(BookDivision,1914))</f>
        <v/>
      </c>
      <c r="D1919" s="40" t="str">
        <f aca="false">IF(INDEX(BookTitle,1914)="","",INDEX(BookUnit,1914))</f>
        <v/>
      </c>
      <c r="E1919" s="40" t="str">
        <f aca="false">IF(INDEX(BookTitle,1914)="","",INDEX(BookTitle,1914))</f>
        <v/>
      </c>
      <c r="F1919" s="40" t="str">
        <f aca="false">IF(INDEX(BookTitle,1914)="","",INDEX(BookLevel,1914))</f>
        <v/>
      </c>
      <c r="G1919" s="40" t="str">
        <f aca="false">IF(INDEX(BookTitle,1914)="","",INDEX(BookCategory,1914))</f>
        <v/>
      </c>
      <c r="H1919" s="40" t="str">
        <f aca="false">IF(INDEX(BookTitle,1914)="","",INDEX(BookRank,1914))</f>
        <v/>
      </c>
      <c r="I1919" s="41" t="str">
        <f aca="false">IF(INDEX(BookTitle,1914)="","",INDEX(BookTotal,1914))</f>
        <v/>
      </c>
      <c r="J1919" s="0" t="str">
        <f aca="false">IF($I1919="","",IF(INDEX(BookQ1,1914)&gt;0,"Q1",IF(INDEX(BookQ2,1914)&gt;0,"Q2",IF(INDEX(BookQ3,1914)&gt;0,"Q3",IF(INDEX(BookQ4,1914)&gt;0,"Q4","")))))</f>
        <v/>
      </c>
      <c r="K1919" s="42" t="str">
        <f aca="false">IF(INDEX(BookTitle,1914)="","",INDEX(BookInYear,1914))</f>
        <v/>
      </c>
      <c r="L1919" s="19"/>
      <c r="M1919" s="39"/>
      <c r="N1919" s="19"/>
      <c r="O1919" s="19"/>
      <c r="P1919" s="43" t="str">
        <f aca="false">IF($E1919="","",IF($L1919="Decline",0,IF($L1919="Approve fewer",IF($M1919="","",$M1919),IF($L1919="","",$I1919))))</f>
        <v/>
      </c>
      <c r="Q1919" s="34" t="str">
        <f aca="false">IF($P1919="","",IF($N1919&lt;&gt;"",$N1919,$J1919))</f>
        <v/>
      </c>
      <c r="R1919" s="35" t="str">
        <f aca="false">IF(OR($P1919="",$Q1919=""),"",INDEX(BookRate,1914)*$P1919*(5-MATCH($Q1919,{"Q1";"Q2";"Q3";"Q4"},0))/4+INDEX(BookOneOff,1914)*$P1919)</f>
        <v/>
      </c>
      <c r="S1919" s="35" t="str">
        <f aca="false">IF($P1919="","",INDEX(BookRate,1914)*$P1919)</f>
        <v/>
      </c>
      <c r="T1919" s="35" t="str">
        <f aca="false">IF($R1919="","",$R1919-$K1919)</f>
        <v/>
      </c>
      <c r="U1919" s="35" t="str">
        <f aca="false">IF(N($P1919)&lt;=0,"",COUNTIF($P$6:$P1919,"&gt;0"))</f>
        <v/>
      </c>
    </row>
    <row r="1920" customFormat="false" ht="15" hidden="false" customHeight="false" outlineLevel="0" collapsed="false">
      <c r="A1920" s="40" t="str">
        <f aca="false">IF(INDEX(BookTitle,1915)="","",INDEX(BookGroup,1915))</f>
        <v/>
      </c>
      <c r="B1920" s="40" t="str">
        <f aca="false">IF(INDEX(BookTitle,1915)="","",INDEX(BookRef,1915))</f>
        <v/>
      </c>
      <c r="C1920" s="40" t="str">
        <f aca="false">IF(INDEX(BookTitle,1915)="","",INDEX(BookDivision,1915))</f>
        <v/>
      </c>
      <c r="D1920" s="40" t="str">
        <f aca="false">IF(INDEX(BookTitle,1915)="","",INDEX(BookUnit,1915))</f>
        <v/>
      </c>
      <c r="E1920" s="40" t="str">
        <f aca="false">IF(INDEX(BookTitle,1915)="","",INDEX(BookTitle,1915))</f>
        <v/>
      </c>
      <c r="F1920" s="40" t="str">
        <f aca="false">IF(INDEX(BookTitle,1915)="","",INDEX(BookLevel,1915))</f>
        <v/>
      </c>
      <c r="G1920" s="40" t="str">
        <f aca="false">IF(INDEX(BookTitle,1915)="","",INDEX(BookCategory,1915))</f>
        <v/>
      </c>
      <c r="H1920" s="40" t="str">
        <f aca="false">IF(INDEX(BookTitle,1915)="","",INDEX(BookRank,1915))</f>
        <v/>
      </c>
      <c r="I1920" s="41" t="str">
        <f aca="false">IF(INDEX(BookTitle,1915)="","",INDEX(BookTotal,1915))</f>
        <v/>
      </c>
      <c r="J1920" s="0" t="str">
        <f aca="false">IF($I1920="","",IF(INDEX(BookQ1,1915)&gt;0,"Q1",IF(INDEX(BookQ2,1915)&gt;0,"Q2",IF(INDEX(BookQ3,1915)&gt;0,"Q3",IF(INDEX(BookQ4,1915)&gt;0,"Q4","")))))</f>
        <v/>
      </c>
      <c r="K1920" s="42" t="str">
        <f aca="false">IF(INDEX(BookTitle,1915)="","",INDEX(BookInYear,1915))</f>
        <v/>
      </c>
      <c r="L1920" s="19"/>
      <c r="M1920" s="39"/>
      <c r="N1920" s="19"/>
      <c r="O1920" s="19"/>
      <c r="P1920" s="43" t="str">
        <f aca="false">IF($E1920="","",IF($L1920="Decline",0,IF($L1920="Approve fewer",IF($M1920="","",$M1920),IF($L1920="","",$I1920))))</f>
        <v/>
      </c>
      <c r="Q1920" s="34" t="str">
        <f aca="false">IF($P1920="","",IF($N1920&lt;&gt;"",$N1920,$J1920))</f>
        <v/>
      </c>
      <c r="R1920" s="35" t="str">
        <f aca="false">IF(OR($P1920="",$Q1920=""),"",INDEX(BookRate,1915)*$P1920*(5-MATCH($Q1920,{"Q1";"Q2";"Q3";"Q4"},0))/4+INDEX(BookOneOff,1915)*$P1920)</f>
        <v/>
      </c>
      <c r="S1920" s="35" t="str">
        <f aca="false">IF($P1920="","",INDEX(BookRate,1915)*$P1920)</f>
        <v/>
      </c>
      <c r="T1920" s="35" t="str">
        <f aca="false">IF($R1920="","",$R1920-$K1920)</f>
        <v/>
      </c>
      <c r="U1920" s="35" t="str">
        <f aca="false">IF(N($P1920)&lt;=0,"",COUNTIF($P$6:$P1920,"&gt;0"))</f>
        <v/>
      </c>
    </row>
    <row r="1921" customFormat="false" ht="15" hidden="false" customHeight="false" outlineLevel="0" collapsed="false">
      <c r="A1921" s="40" t="str">
        <f aca="false">IF(INDEX(BookTitle,1916)="","",INDEX(BookGroup,1916))</f>
        <v/>
      </c>
      <c r="B1921" s="40" t="str">
        <f aca="false">IF(INDEX(BookTitle,1916)="","",INDEX(BookRef,1916))</f>
        <v/>
      </c>
      <c r="C1921" s="40" t="str">
        <f aca="false">IF(INDEX(BookTitle,1916)="","",INDEX(BookDivision,1916))</f>
        <v/>
      </c>
      <c r="D1921" s="40" t="str">
        <f aca="false">IF(INDEX(BookTitle,1916)="","",INDEX(BookUnit,1916))</f>
        <v/>
      </c>
      <c r="E1921" s="40" t="str">
        <f aca="false">IF(INDEX(BookTitle,1916)="","",INDEX(BookTitle,1916))</f>
        <v/>
      </c>
      <c r="F1921" s="40" t="str">
        <f aca="false">IF(INDEX(BookTitle,1916)="","",INDEX(BookLevel,1916))</f>
        <v/>
      </c>
      <c r="G1921" s="40" t="str">
        <f aca="false">IF(INDEX(BookTitle,1916)="","",INDEX(BookCategory,1916))</f>
        <v/>
      </c>
      <c r="H1921" s="40" t="str">
        <f aca="false">IF(INDEX(BookTitle,1916)="","",INDEX(BookRank,1916))</f>
        <v/>
      </c>
      <c r="I1921" s="41" t="str">
        <f aca="false">IF(INDEX(BookTitle,1916)="","",INDEX(BookTotal,1916))</f>
        <v/>
      </c>
      <c r="J1921" s="0" t="str">
        <f aca="false">IF($I1921="","",IF(INDEX(BookQ1,1916)&gt;0,"Q1",IF(INDEX(BookQ2,1916)&gt;0,"Q2",IF(INDEX(BookQ3,1916)&gt;0,"Q3",IF(INDEX(BookQ4,1916)&gt;0,"Q4","")))))</f>
        <v/>
      </c>
      <c r="K1921" s="42" t="str">
        <f aca="false">IF(INDEX(BookTitle,1916)="","",INDEX(BookInYear,1916))</f>
        <v/>
      </c>
      <c r="L1921" s="19"/>
      <c r="M1921" s="39"/>
      <c r="N1921" s="19"/>
      <c r="O1921" s="19"/>
      <c r="P1921" s="43" t="str">
        <f aca="false">IF($E1921="","",IF($L1921="Decline",0,IF($L1921="Approve fewer",IF($M1921="","",$M1921),IF($L1921="","",$I1921))))</f>
        <v/>
      </c>
      <c r="Q1921" s="34" t="str">
        <f aca="false">IF($P1921="","",IF($N1921&lt;&gt;"",$N1921,$J1921))</f>
        <v/>
      </c>
      <c r="R1921" s="35" t="str">
        <f aca="false">IF(OR($P1921="",$Q1921=""),"",INDEX(BookRate,1916)*$P1921*(5-MATCH($Q1921,{"Q1";"Q2";"Q3";"Q4"},0))/4+INDEX(BookOneOff,1916)*$P1921)</f>
        <v/>
      </c>
      <c r="S1921" s="35" t="str">
        <f aca="false">IF($P1921="","",INDEX(BookRate,1916)*$P1921)</f>
        <v/>
      </c>
      <c r="T1921" s="35" t="str">
        <f aca="false">IF($R1921="","",$R1921-$K1921)</f>
        <v/>
      </c>
      <c r="U1921" s="35" t="str">
        <f aca="false">IF(N($P1921)&lt;=0,"",COUNTIF($P$6:$P1921,"&gt;0"))</f>
        <v/>
      </c>
    </row>
    <row r="1922" customFormat="false" ht="15" hidden="false" customHeight="false" outlineLevel="0" collapsed="false">
      <c r="A1922" s="40" t="str">
        <f aca="false">IF(INDEX(BookTitle,1917)="","",INDEX(BookGroup,1917))</f>
        <v/>
      </c>
      <c r="B1922" s="40" t="str">
        <f aca="false">IF(INDEX(BookTitle,1917)="","",INDEX(BookRef,1917))</f>
        <v/>
      </c>
      <c r="C1922" s="40" t="str">
        <f aca="false">IF(INDEX(BookTitle,1917)="","",INDEX(BookDivision,1917))</f>
        <v/>
      </c>
      <c r="D1922" s="40" t="str">
        <f aca="false">IF(INDEX(BookTitle,1917)="","",INDEX(BookUnit,1917))</f>
        <v/>
      </c>
      <c r="E1922" s="40" t="str">
        <f aca="false">IF(INDEX(BookTitle,1917)="","",INDEX(BookTitle,1917))</f>
        <v/>
      </c>
      <c r="F1922" s="40" t="str">
        <f aca="false">IF(INDEX(BookTitle,1917)="","",INDEX(BookLevel,1917))</f>
        <v/>
      </c>
      <c r="G1922" s="40" t="str">
        <f aca="false">IF(INDEX(BookTitle,1917)="","",INDEX(BookCategory,1917))</f>
        <v/>
      </c>
      <c r="H1922" s="40" t="str">
        <f aca="false">IF(INDEX(BookTitle,1917)="","",INDEX(BookRank,1917))</f>
        <v/>
      </c>
      <c r="I1922" s="41" t="str">
        <f aca="false">IF(INDEX(BookTitle,1917)="","",INDEX(BookTotal,1917))</f>
        <v/>
      </c>
      <c r="J1922" s="0" t="str">
        <f aca="false">IF($I1922="","",IF(INDEX(BookQ1,1917)&gt;0,"Q1",IF(INDEX(BookQ2,1917)&gt;0,"Q2",IF(INDEX(BookQ3,1917)&gt;0,"Q3",IF(INDEX(BookQ4,1917)&gt;0,"Q4","")))))</f>
        <v/>
      </c>
      <c r="K1922" s="42" t="str">
        <f aca="false">IF(INDEX(BookTitle,1917)="","",INDEX(BookInYear,1917))</f>
        <v/>
      </c>
      <c r="L1922" s="19"/>
      <c r="M1922" s="39"/>
      <c r="N1922" s="19"/>
      <c r="O1922" s="19"/>
      <c r="P1922" s="43" t="str">
        <f aca="false">IF($E1922="","",IF($L1922="Decline",0,IF($L1922="Approve fewer",IF($M1922="","",$M1922),IF($L1922="","",$I1922))))</f>
        <v/>
      </c>
      <c r="Q1922" s="34" t="str">
        <f aca="false">IF($P1922="","",IF($N1922&lt;&gt;"",$N1922,$J1922))</f>
        <v/>
      </c>
      <c r="R1922" s="35" t="str">
        <f aca="false">IF(OR($P1922="",$Q1922=""),"",INDEX(BookRate,1917)*$P1922*(5-MATCH($Q1922,{"Q1";"Q2";"Q3";"Q4"},0))/4+INDEX(BookOneOff,1917)*$P1922)</f>
        <v/>
      </c>
      <c r="S1922" s="35" t="str">
        <f aca="false">IF($P1922="","",INDEX(BookRate,1917)*$P1922)</f>
        <v/>
      </c>
      <c r="T1922" s="35" t="str">
        <f aca="false">IF($R1922="","",$R1922-$K1922)</f>
        <v/>
      </c>
      <c r="U1922" s="35" t="str">
        <f aca="false">IF(N($P1922)&lt;=0,"",COUNTIF($P$6:$P1922,"&gt;0"))</f>
        <v/>
      </c>
    </row>
    <row r="1923" customFormat="false" ht="15" hidden="false" customHeight="false" outlineLevel="0" collapsed="false">
      <c r="A1923" s="40" t="str">
        <f aca="false">IF(INDEX(BookTitle,1918)="","",INDEX(BookGroup,1918))</f>
        <v/>
      </c>
      <c r="B1923" s="40" t="str">
        <f aca="false">IF(INDEX(BookTitle,1918)="","",INDEX(BookRef,1918))</f>
        <v/>
      </c>
      <c r="C1923" s="40" t="str">
        <f aca="false">IF(INDEX(BookTitle,1918)="","",INDEX(BookDivision,1918))</f>
        <v/>
      </c>
      <c r="D1923" s="40" t="str">
        <f aca="false">IF(INDEX(BookTitle,1918)="","",INDEX(BookUnit,1918))</f>
        <v/>
      </c>
      <c r="E1923" s="40" t="str">
        <f aca="false">IF(INDEX(BookTitle,1918)="","",INDEX(BookTitle,1918))</f>
        <v/>
      </c>
      <c r="F1923" s="40" t="str">
        <f aca="false">IF(INDEX(BookTitle,1918)="","",INDEX(BookLevel,1918))</f>
        <v/>
      </c>
      <c r="G1923" s="40" t="str">
        <f aca="false">IF(INDEX(BookTitle,1918)="","",INDEX(BookCategory,1918))</f>
        <v/>
      </c>
      <c r="H1923" s="40" t="str">
        <f aca="false">IF(INDEX(BookTitle,1918)="","",INDEX(BookRank,1918))</f>
        <v/>
      </c>
      <c r="I1923" s="41" t="str">
        <f aca="false">IF(INDEX(BookTitle,1918)="","",INDEX(BookTotal,1918))</f>
        <v/>
      </c>
      <c r="J1923" s="0" t="str">
        <f aca="false">IF($I1923="","",IF(INDEX(BookQ1,1918)&gt;0,"Q1",IF(INDEX(BookQ2,1918)&gt;0,"Q2",IF(INDEX(BookQ3,1918)&gt;0,"Q3",IF(INDEX(BookQ4,1918)&gt;0,"Q4","")))))</f>
        <v/>
      </c>
      <c r="K1923" s="42" t="str">
        <f aca="false">IF(INDEX(BookTitle,1918)="","",INDEX(BookInYear,1918))</f>
        <v/>
      </c>
      <c r="L1923" s="19"/>
      <c r="M1923" s="39"/>
      <c r="N1923" s="19"/>
      <c r="O1923" s="19"/>
      <c r="P1923" s="43" t="str">
        <f aca="false">IF($E1923="","",IF($L1923="Decline",0,IF($L1923="Approve fewer",IF($M1923="","",$M1923),IF($L1923="","",$I1923))))</f>
        <v/>
      </c>
      <c r="Q1923" s="34" t="str">
        <f aca="false">IF($P1923="","",IF($N1923&lt;&gt;"",$N1923,$J1923))</f>
        <v/>
      </c>
      <c r="R1923" s="35" t="str">
        <f aca="false">IF(OR($P1923="",$Q1923=""),"",INDEX(BookRate,1918)*$P1923*(5-MATCH($Q1923,{"Q1";"Q2";"Q3";"Q4"},0))/4+INDEX(BookOneOff,1918)*$P1923)</f>
        <v/>
      </c>
      <c r="S1923" s="35" t="str">
        <f aca="false">IF($P1923="","",INDEX(BookRate,1918)*$P1923)</f>
        <v/>
      </c>
      <c r="T1923" s="35" t="str">
        <f aca="false">IF($R1923="","",$R1923-$K1923)</f>
        <v/>
      </c>
      <c r="U1923" s="35" t="str">
        <f aca="false">IF(N($P1923)&lt;=0,"",COUNTIF($P$6:$P1923,"&gt;0"))</f>
        <v/>
      </c>
    </row>
    <row r="1924" customFormat="false" ht="15" hidden="false" customHeight="false" outlineLevel="0" collapsed="false">
      <c r="A1924" s="40" t="str">
        <f aca="false">IF(INDEX(BookTitle,1919)="","",INDEX(BookGroup,1919))</f>
        <v/>
      </c>
      <c r="B1924" s="40" t="str">
        <f aca="false">IF(INDEX(BookTitle,1919)="","",INDEX(BookRef,1919))</f>
        <v/>
      </c>
      <c r="C1924" s="40" t="str">
        <f aca="false">IF(INDEX(BookTitle,1919)="","",INDEX(BookDivision,1919))</f>
        <v/>
      </c>
      <c r="D1924" s="40" t="str">
        <f aca="false">IF(INDEX(BookTitle,1919)="","",INDEX(BookUnit,1919))</f>
        <v/>
      </c>
      <c r="E1924" s="40" t="str">
        <f aca="false">IF(INDEX(BookTitle,1919)="","",INDEX(BookTitle,1919))</f>
        <v/>
      </c>
      <c r="F1924" s="40" t="str">
        <f aca="false">IF(INDEX(BookTitle,1919)="","",INDEX(BookLevel,1919))</f>
        <v/>
      </c>
      <c r="G1924" s="40" t="str">
        <f aca="false">IF(INDEX(BookTitle,1919)="","",INDEX(BookCategory,1919))</f>
        <v/>
      </c>
      <c r="H1924" s="40" t="str">
        <f aca="false">IF(INDEX(BookTitle,1919)="","",INDEX(BookRank,1919))</f>
        <v/>
      </c>
      <c r="I1924" s="41" t="str">
        <f aca="false">IF(INDEX(BookTitle,1919)="","",INDEX(BookTotal,1919))</f>
        <v/>
      </c>
      <c r="J1924" s="0" t="str">
        <f aca="false">IF($I1924="","",IF(INDEX(BookQ1,1919)&gt;0,"Q1",IF(INDEX(BookQ2,1919)&gt;0,"Q2",IF(INDEX(BookQ3,1919)&gt;0,"Q3",IF(INDEX(BookQ4,1919)&gt;0,"Q4","")))))</f>
        <v/>
      </c>
      <c r="K1924" s="42" t="str">
        <f aca="false">IF(INDEX(BookTitle,1919)="","",INDEX(BookInYear,1919))</f>
        <v/>
      </c>
      <c r="L1924" s="19"/>
      <c r="M1924" s="39"/>
      <c r="N1924" s="19"/>
      <c r="O1924" s="19"/>
      <c r="P1924" s="43" t="str">
        <f aca="false">IF($E1924="","",IF($L1924="Decline",0,IF($L1924="Approve fewer",IF($M1924="","",$M1924),IF($L1924="","",$I1924))))</f>
        <v/>
      </c>
      <c r="Q1924" s="34" t="str">
        <f aca="false">IF($P1924="","",IF($N1924&lt;&gt;"",$N1924,$J1924))</f>
        <v/>
      </c>
      <c r="R1924" s="35" t="str">
        <f aca="false">IF(OR($P1924="",$Q1924=""),"",INDEX(BookRate,1919)*$P1924*(5-MATCH($Q1924,{"Q1";"Q2";"Q3";"Q4"},0))/4+INDEX(BookOneOff,1919)*$P1924)</f>
        <v/>
      </c>
      <c r="S1924" s="35" t="str">
        <f aca="false">IF($P1924="","",INDEX(BookRate,1919)*$P1924)</f>
        <v/>
      </c>
      <c r="T1924" s="35" t="str">
        <f aca="false">IF($R1924="","",$R1924-$K1924)</f>
        <v/>
      </c>
      <c r="U1924" s="35" t="str">
        <f aca="false">IF(N($P1924)&lt;=0,"",COUNTIF($P$6:$P1924,"&gt;0"))</f>
        <v/>
      </c>
    </row>
    <row r="1925" customFormat="false" ht="15" hidden="false" customHeight="false" outlineLevel="0" collapsed="false">
      <c r="A1925" s="40" t="str">
        <f aca="false">IF(INDEX(BookTitle,1920)="","",INDEX(BookGroup,1920))</f>
        <v/>
      </c>
      <c r="B1925" s="40" t="str">
        <f aca="false">IF(INDEX(BookTitle,1920)="","",INDEX(BookRef,1920))</f>
        <v/>
      </c>
      <c r="C1925" s="40" t="str">
        <f aca="false">IF(INDEX(BookTitle,1920)="","",INDEX(BookDivision,1920))</f>
        <v/>
      </c>
      <c r="D1925" s="40" t="str">
        <f aca="false">IF(INDEX(BookTitle,1920)="","",INDEX(BookUnit,1920))</f>
        <v/>
      </c>
      <c r="E1925" s="40" t="str">
        <f aca="false">IF(INDEX(BookTitle,1920)="","",INDEX(BookTitle,1920))</f>
        <v/>
      </c>
      <c r="F1925" s="40" t="str">
        <f aca="false">IF(INDEX(BookTitle,1920)="","",INDEX(BookLevel,1920))</f>
        <v/>
      </c>
      <c r="G1925" s="40" t="str">
        <f aca="false">IF(INDEX(BookTitle,1920)="","",INDEX(BookCategory,1920))</f>
        <v/>
      </c>
      <c r="H1925" s="40" t="str">
        <f aca="false">IF(INDEX(BookTitle,1920)="","",INDEX(BookRank,1920))</f>
        <v/>
      </c>
      <c r="I1925" s="41" t="str">
        <f aca="false">IF(INDEX(BookTitle,1920)="","",INDEX(BookTotal,1920))</f>
        <v/>
      </c>
      <c r="J1925" s="0" t="str">
        <f aca="false">IF($I1925="","",IF(INDEX(BookQ1,1920)&gt;0,"Q1",IF(INDEX(BookQ2,1920)&gt;0,"Q2",IF(INDEX(BookQ3,1920)&gt;0,"Q3",IF(INDEX(BookQ4,1920)&gt;0,"Q4","")))))</f>
        <v/>
      </c>
      <c r="K1925" s="42" t="str">
        <f aca="false">IF(INDEX(BookTitle,1920)="","",INDEX(BookInYear,1920))</f>
        <v/>
      </c>
      <c r="L1925" s="19"/>
      <c r="M1925" s="39"/>
      <c r="N1925" s="19"/>
      <c r="O1925" s="19"/>
      <c r="P1925" s="43" t="str">
        <f aca="false">IF($E1925="","",IF($L1925="Decline",0,IF($L1925="Approve fewer",IF($M1925="","",$M1925),IF($L1925="","",$I1925))))</f>
        <v/>
      </c>
      <c r="Q1925" s="34" t="str">
        <f aca="false">IF($P1925="","",IF($N1925&lt;&gt;"",$N1925,$J1925))</f>
        <v/>
      </c>
      <c r="R1925" s="35" t="str">
        <f aca="false">IF(OR($P1925="",$Q1925=""),"",INDEX(BookRate,1920)*$P1925*(5-MATCH($Q1925,{"Q1";"Q2";"Q3";"Q4"},0))/4+INDEX(BookOneOff,1920)*$P1925)</f>
        <v/>
      </c>
      <c r="S1925" s="35" t="str">
        <f aca="false">IF($P1925="","",INDEX(BookRate,1920)*$P1925)</f>
        <v/>
      </c>
      <c r="T1925" s="35" t="str">
        <f aca="false">IF($R1925="","",$R1925-$K1925)</f>
        <v/>
      </c>
      <c r="U1925" s="35" t="str">
        <f aca="false">IF(N($P1925)&lt;=0,"",COUNTIF($P$6:$P1925,"&gt;0"))</f>
        <v/>
      </c>
    </row>
    <row r="1926" customFormat="false" ht="15" hidden="false" customHeight="false" outlineLevel="0" collapsed="false">
      <c r="A1926" s="40" t="str">
        <f aca="false">IF(INDEX(BookTitle,1921)="","",INDEX(BookGroup,1921))</f>
        <v/>
      </c>
      <c r="B1926" s="40" t="str">
        <f aca="false">IF(INDEX(BookTitle,1921)="","",INDEX(BookRef,1921))</f>
        <v/>
      </c>
      <c r="C1926" s="40" t="str">
        <f aca="false">IF(INDEX(BookTitle,1921)="","",INDEX(BookDivision,1921))</f>
        <v/>
      </c>
      <c r="D1926" s="40" t="str">
        <f aca="false">IF(INDEX(BookTitle,1921)="","",INDEX(BookUnit,1921))</f>
        <v/>
      </c>
      <c r="E1926" s="40" t="str">
        <f aca="false">IF(INDEX(BookTitle,1921)="","",INDEX(BookTitle,1921))</f>
        <v/>
      </c>
      <c r="F1926" s="40" t="str">
        <f aca="false">IF(INDEX(BookTitle,1921)="","",INDEX(BookLevel,1921))</f>
        <v/>
      </c>
      <c r="G1926" s="40" t="str">
        <f aca="false">IF(INDEX(BookTitle,1921)="","",INDEX(BookCategory,1921))</f>
        <v/>
      </c>
      <c r="H1926" s="40" t="str">
        <f aca="false">IF(INDEX(BookTitle,1921)="","",INDEX(BookRank,1921))</f>
        <v/>
      </c>
      <c r="I1926" s="41" t="str">
        <f aca="false">IF(INDEX(BookTitle,1921)="","",INDEX(BookTotal,1921))</f>
        <v/>
      </c>
      <c r="J1926" s="0" t="str">
        <f aca="false">IF($I1926="","",IF(INDEX(BookQ1,1921)&gt;0,"Q1",IF(INDEX(BookQ2,1921)&gt;0,"Q2",IF(INDEX(BookQ3,1921)&gt;0,"Q3",IF(INDEX(BookQ4,1921)&gt;0,"Q4","")))))</f>
        <v/>
      </c>
      <c r="K1926" s="42" t="str">
        <f aca="false">IF(INDEX(BookTitle,1921)="","",INDEX(BookInYear,1921))</f>
        <v/>
      </c>
      <c r="L1926" s="19"/>
      <c r="M1926" s="39"/>
      <c r="N1926" s="19"/>
      <c r="O1926" s="19"/>
      <c r="P1926" s="43" t="str">
        <f aca="false">IF($E1926="","",IF($L1926="Decline",0,IF($L1926="Approve fewer",IF($M1926="","",$M1926),IF($L1926="","",$I1926))))</f>
        <v/>
      </c>
      <c r="Q1926" s="34" t="str">
        <f aca="false">IF($P1926="","",IF($N1926&lt;&gt;"",$N1926,$J1926))</f>
        <v/>
      </c>
      <c r="R1926" s="35" t="str">
        <f aca="false">IF(OR($P1926="",$Q1926=""),"",INDEX(BookRate,1921)*$P1926*(5-MATCH($Q1926,{"Q1";"Q2";"Q3";"Q4"},0))/4+INDEX(BookOneOff,1921)*$P1926)</f>
        <v/>
      </c>
      <c r="S1926" s="35" t="str">
        <f aca="false">IF($P1926="","",INDEX(BookRate,1921)*$P1926)</f>
        <v/>
      </c>
      <c r="T1926" s="35" t="str">
        <f aca="false">IF($R1926="","",$R1926-$K1926)</f>
        <v/>
      </c>
      <c r="U1926" s="35" t="str">
        <f aca="false">IF(N($P1926)&lt;=0,"",COUNTIF($P$6:$P1926,"&gt;0"))</f>
        <v/>
      </c>
    </row>
    <row r="1927" customFormat="false" ht="15" hidden="false" customHeight="false" outlineLevel="0" collapsed="false">
      <c r="A1927" s="40" t="str">
        <f aca="false">IF(INDEX(BookTitle,1922)="","",INDEX(BookGroup,1922))</f>
        <v/>
      </c>
      <c r="B1927" s="40" t="str">
        <f aca="false">IF(INDEX(BookTitle,1922)="","",INDEX(BookRef,1922))</f>
        <v/>
      </c>
      <c r="C1927" s="40" t="str">
        <f aca="false">IF(INDEX(BookTitle,1922)="","",INDEX(BookDivision,1922))</f>
        <v/>
      </c>
      <c r="D1927" s="40" t="str">
        <f aca="false">IF(INDEX(BookTitle,1922)="","",INDEX(BookUnit,1922))</f>
        <v/>
      </c>
      <c r="E1927" s="40" t="str">
        <f aca="false">IF(INDEX(BookTitle,1922)="","",INDEX(BookTitle,1922))</f>
        <v/>
      </c>
      <c r="F1927" s="40" t="str">
        <f aca="false">IF(INDEX(BookTitle,1922)="","",INDEX(BookLevel,1922))</f>
        <v/>
      </c>
      <c r="G1927" s="40" t="str">
        <f aca="false">IF(INDEX(BookTitle,1922)="","",INDEX(BookCategory,1922))</f>
        <v/>
      </c>
      <c r="H1927" s="40" t="str">
        <f aca="false">IF(INDEX(BookTitle,1922)="","",INDEX(BookRank,1922))</f>
        <v/>
      </c>
      <c r="I1927" s="41" t="str">
        <f aca="false">IF(INDEX(BookTitle,1922)="","",INDEX(BookTotal,1922))</f>
        <v/>
      </c>
      <c r="J1927" s="0" t="str">
        <f aca="false">IF($I1927="","",IF(INDEX(BookQ1,1922)&gt;0,"Q1",IF(INDEX(BookQ2,1922)&gt;0,"Q2",IF(INDEX(BookQ3,1922)&gt;0,"Q3",IF(INDEX(BookQ4,1922)&gt;0,"Q4","")))))</f>
        <v/>
      </c>
      <c r="K1927" s="42" t="str">
        <f aca="false">IF(INDEX(BookTitle,1922)="","",INDEX(BookInYear,1922))</f>
        <v/>
      </c>
      <c r="L1927" s="19"/>
      <c r="M1927" s="39"/>
      <c r="N1927" s="19"/>
      <c r="O1927" s="19"/>
      <c r="P1927" s="43" t="str">
        <f aca="false">IF($E1927="","",IF($L1927="Decline",0,IF($L1927="Approve fewer",IF($M1927="","",$M1927),IF($L1927="","",$I1927))))</f>
        <v/>
      </c>
      <c r="Q1927" s="34" t="str">
        <f aca="false">IF($P1927="","",IF($N1927&lt;&gt;"",$N1927,$J1927))</f>
        <v/>
      </c>
      <c r="R1927" s="35" t="str">
        <f aca="false">IF(OR($P1927="",$Q1927=""),"",INDEX(BookRate,1922)*$P1927*(5-MATCH($Q1927,{"Q1";"Q2";"Q3";"Q4"},0))/4+INDEX(BookOneOff,1922)*$P1927)</f>
        <v/>
      </c>
      <c r="S1927" s="35" t="str">
        <f aca="false">IF($P1927="","",INDEX(BookRate,1922)*$P1927)</f>
        <v/>
      </c>
      <c r="T1927" s="35" t="str">
        <f aca="false">IF($R1927="","",$R1927-$K1927)</f>
        <v/>
      </c>
      <c r="U1927" s="35" t="str">
        <f aca="false">IF(N($P1927)&lt;=0,"",COUNTIF($P$6:$P1927,"&gt;0"))</f>
        <v/>
      </c>
    </row>
    <row r="1928" customFormat="false" ht="15" hidden="false" customHeight="false" outlineLevel="0" collapsed="false">
      <c r="A1928" s="40" t="str">
        <f aca="false">IF(INDEX(BookTitle,1923)="","",INDEX(BookGroup,1923))</f>
        <v/>
      </c>
      <c r="B1928" s="40" t="str">
        <f aca="false">IF(INDEX(BookTitle,1923)="","",INDEX(BookRef,1923))</f>
        <v/>
      </c>
      <c r="C1928" s="40" t="str">
        <f aca="false">IF(INDEX(BookTitle,1923)="","",INDEX(BookDivision,1923))</f>
        <v/>
      </c>
      <c r="D1928" s="40" t="str">
        <f aca="false">IF(INDEX(BookTitle,1923)="","",INDEX(BookUnit,1923))</f>
        <v/>
      </c>
      <c r="E1928" s="40" t="str">
        <f aca="false">IF(INDEX(BookTitle,1923)="","",INDEX(BookTitle,1923))</f>
        <v/>
      </c>
      <c r="F1928" s="40" t="str">
        <f aca="false">IF(INDEX(BookTitle,1923)="","",INDEX(BookLevel,1923))</f>
        <v/>
      </c>
      <c r="G1928" s="40" t="str">
        <f aca="false">IF(INDEX(BookTitle,1923)="","",INDEX(BookCategory,1923))</f>
        <v/>
      </c>
      <c r="H1928" s="40" t="str">
        <f aca="false">IF(INDEX(BookTitle,1923)="","",INDEX(BookRank,1923))</f>
        <v/>
      </c>
      <c r="I1928" s="41" t="str">
        <f aca="false">IF(INDEX(BookTitle,1923)="","",INDEX(BookTotal,1923))</f>
        <v/>
      </c>
      <c r="J1928" s="0" t="str">
        <f aca="false">IF($I1928="","",IF(INDEX(BookQ1,1923)&gt;0,"Q1",IF(INDEX(BookQ2,1923)&gt;0,"Q2",IF(INDEX(BookQ3,1923)&gt;0,"Q3",IF(INDEX(BookQ4,1923)&gt;0,"Q4","")))))</f>
        <v/>
      </c>
      <c r="K1928" s="42" t="str">
        <f aca="false">IF(INDEX(BookTitle,1923)="","",INDEX(BookInYear,1923))</f>
        <v/>
      </c>
      <c r="L1928" s="19"/>
      <c r="M1928" s="39"/>
      <c r="N1928" s="19"/>
      <c r="O1928" s="19"/>
      <c r="P1928" s="43" t="str">
        <f aca="false">IF($E1928="","",IF($L1928="Decline",0,IF($L1928="Approve fewer",IF($M1928="","",$M1928),IF($L1928="","",$I1928))))</f>
        <v/>
      </c>
      <c r="Q1928" s="34" t="str">
        <f aca="false">IF($P1928="","",IF($N1928&lt;&gt;"",$N1928,$J1928))</f>
        <v/>
      </c>
      <c r="R1928" s="35" t="str">
        <f aca="false">IF(OR($P1928="",$Q1928=""),"",INDEX(BookRate,1923)*$P1928*(5-MATCH($Q1928,{"Q1";"Q2";"Q3";"Q4"},0))/4+INDEX(BookOneOff,1923)*$P1928)</f>
        <v/>
      </c>
      <c r="S1928" s="35" t="str">
        <f aca="false">IF($P1928="","",INDEX(BookRate,1923)*$P1928)</f>
        <v/>
      </c>
      <c r="T1928" s="35" t="str">
        <f aca="false">IF($R1928="","",$R1928-$K1928)</f>
        <v/>
      </c>
      <c r="U1928" s="35" t="str">
        <f aca="false">IF(N($P1928)&lt;=0,"",COUNTIF($P$6:$P1928,"&gt;0"))</f>
        <v/>
      </c>
    </row>
    <row r="1929" customFormat="false" ht="15" hidden="false" customHeight="false" outlineLevel="0" collapsed="false">
      <c r="A1929" s="40" t="str">
        <f aca="false">IF(INDEX(BookTitle,1924)="","",INDEX(BookGroup,1924))</f>
        <v/>
      </c>
      <c r="B1929" s="40" t="str">
        <f aca="false">IF(INDEX(BookTitle,1924)="","",INDEX(BookRef,1924))</f>
        <v/>
      </c>
      <c r="C1929" s="40" t="str">
        <f aca="false">IF(INDEX(BookTitle,1924)="","",INDEX(BookDivision,1924))</f>
        <v/>
      </c>
      <c r="D1929" s="40" t="str">
        <f aca="false">IF(INDEX(BookTitle,1924)="","",INDEX(BookUnit,1924))</f>
        <v/>
      </c>
      <c r="E1929" s="40" t="str">
        <f aca="false">IF(INDEX(BookTitle,1924)="","",INDEX(BookTitle,1924))</f>
        <v/>
      </c>
      <c r="F1929" s="40" t="str">
        <f aca="false">IF(INDEX(BookTitle,1924)="","",INDEX(BookLevel,1924))</f>
        <v/>
      </c>
      <c r="G1929" s="40" t="str">
        <f aca="false">IF(INDEX(BookTitle,1924)="","",INDEX(BookCategory,1924))</f>
        <v/>
      </c>
      <c r="H1929" s="40" t="str">
        <f aca="false">IF(INDEX(BookTitle,1924)="","",INDEX(BookRank,1924))</f>
        <v/>
      </c>
      <c r="I1929" s="41" t="str">
        <f aca="false">IF(INDEX(BookTitle,1924)="","",INDEX(BookTotal,1924))</f>
        <v/>
      </c>
      <c r="J1929" s="0" t="str">
        <f aca="false">IF($I1929="","",IF(INDEX(BookQ1,1924)&gt;0,"Q1",IF(INDEX(BookQ2,1924)&gt;0,"Q2",IF(INDEX(BookQ3,1924)&gt;0,"Q3",IF(INDEX(BookQ4,1924)&gt;0,"Q4","")))))</f>
        <v/>
      </c>
      <c r="K1929" s="42" t="str">
        <f aca="false">IF(INDEX(BookTitle,1924)="","",INDEX(BookInYear,1924))</f>
        <v/>
      </c>
      <c r="L1929" s="19"/>
      <c r="M1929" s="39"/>
      <c r="N1929" s="19"/>
      <c r="O1929" s="19"/>
      <c r="P1929" s="43" t="str">
        <f aca="false">IF($E1929="","",IF($L1929="Decline",0,IF($L1929="Approve fewer",IF($M1929="","",$M1929),IF($L1929="","",$I1929))))</f>
        <v/>
      </c>
      <c r="Q1929" s="34" t="str">
        <f aca="false">IF($P1929="","",IF($N1929&lt;&gt;"",$N1929,$J1929))</f>
        <v/>
      </c>
      <c r="R1929" s="35" t="str">
        <f aca="false">IF(OR($P1929="",$Q1929=""),"",INDEX(BookRate,1924)*$P1929*(5-MATCH($Q1929,{"Q1";"Q2";"Q3";"Q4"},0))/4+INDEX(BookOneOff,1924)*$P1929)</f>
        <v/>
      </c>
      <c r="S1929" s="35" t="str">
        <f aca="false">IF($P1929="","",INDEX(BookRate,1924)*$P1929)</f>
        <v/>
      </c>
      <c r="T1929" s="35" t="str">
        <f aca="false">IF($R1929="","",$R1929-$K1929)</f>
        <v/>
      </c>
      <c r="U1929" s="35" t="str">
        <f aca="false">IF(N($P1929)&lt;=0,"",COUNTIF($P$6:$P1929,"&gt;0"))</f>
        <v/>
      </c>
    </row>
    <row r="1930" customFormat="false" ht="15" hidden="false" customHeight="false" outlineLevel="0" collapsed="false">
      <c r="A1930" s="40" t="str">
        <f aca="false">IF(INDEX(BookTitle,1925)="","",INDEX(BookGroup,1925))</f>
        <v/>
      </c>
      <c r="B1930" s="40" t="str">
        <f aca="false">IF(INDEX(BookTitle,1925)="","",INDEX(BookRef,1925))</f>
        <v/>
      </c>
      <c r="C1930" s="40" t="str">
        <f aca="false">IF(INDEX(BookTitle,1925)="","",INDEX(BookDivision,1925))</f>
        <v/>
      </c>
      <c r="D1930" s="40" t="str">
        <f aca="false">IF(INDEX(BookTitle,1925)="","",INDEX(BookUnit,1925))</f>
        <v/>
      </c>
      <c r="E1930" s="40" t="str">
        <f aca="false">IF(INDEX(BookTitle,1925)="","",INDEX(BookTitle,1925))</f>
        <v/>
      </c>
      <c r="F1930" s="40" t="str">
        <f aca="false">IF(INDEX(BookTitle,1925)="","",INDEX(BookLevel,1925))</f>
        <v/>
      </c>
      <c r="G1930" s="40" t="str">
        <f aca="false">IF(INDEX(BookTitle,1925)="","",INDEX(BookCategory,1925))</f>
        <v/>
      </c>
      <c r="H1930" s="40" t="str">
        <f aca="false">IF(INDEX(BookTitle,1925)="","",INDEX(BookRank,1925))</f>
        <v/>
      </c>
      <c r="I1930" s="41" t="str">
        <f aca="false">IF(INDEX(BookTitle,1925)="","",INDEX(BookTotal,1925))</f>
        <v/>
      </c>
      <c r="J1930" s="0" t="str">
        <f aca="false">IF($I1930="","",IF(INDEX(BookQ1,1925)&gt;0,"Q1",IF(INDEX(BookQ2,1925)&gt;0,"Q2",IF(INDEX(BookQ3,1925)&gt;0,"Q3",IF(INDEX(BookQ4,1925)&gt;0,"Q4","")))))</f>
        <v/>
      </c>
      <c r="K1930" s="42" t="str">
        <f aca="false">IF(INDEX(BookTitle,1925)="","",INDEX(BookInYear,1925))</f>
        <v/>
      </c>
      <c r="L1930" s="19"/>
      <c r="M1930" s="39"/>
      <c r="N1930" s="19"/>
      <c r="O1930" s="19"/>
      <c r="P1930" s="43" t="str">
        <f aca="false">IF($E1930="","",IF($L1930="Decline",0,IF($L1930="Approve fewer",IF($M1930="","",$M1930),IF($L1930="","",$I1930))))</f>
        <v/>
      </c>
      <c r="Q1930" s="34" t="str">
        <f aca="false">IF($P1930="","",IF($N1930&lt;&gt;"",$N1930,$J1930))</f>
        <v/>
      </c>
      <c r="R1930" s="35" t="str">
        <f aca="false">IF(OR($P1930="",$Q1930=""),"",INDEX(BookRate,1925)*$P1930*(5-MATCH($Q1930,{"Q1";"Q2";"Q3";"Q4"},0))/4+INDEX(BookOneOff,1925)*$P1930)</f>
        <v/>
      </c>
      <c r="S1930" s="35" t="str">
        <f aca="false">IF($P1930="","",INDEX(BookRate,1925)*$P1930)</f>
        <v/>
      </c>
      <c r="T1930" s="35" t="str">
        <f aca="false">IF($R1930="","",$R1930-$K1930)</f>
        <v/>
      </c>
      <c r="U1930" s="35" t="str">
        <f aca="false">IF(N($P1930)&lt;=0,"",COUNTIF($P$6:$P1930,"&gt;0"))</f>
        <v/>
      </c>
    </row>
    <row r="1931" customFormat="false" ht="15" hidden="false" customHeight="false" outlineLevel="0" collapsed="false">
      <c r="A1931" s="40" t="str">
        <f aca="false">IF(INDEX(BookTitle,1926)="","",INDEX(BookGroup,1926))</f>
        <v/>
      </c>
      <c r="B1931" s="40" t="str">
        <f aca="false">IF(INDEX(BookTitle,1926)="","",INDEX(BookRef,1926))</f>
        <v/>
      </c>
      <c r="C1931" s="40" t="str">
        <f aca="false">IF(INDEX(BookTitle,1926)="","",INDEX(BookDivision,1926))</f>
        <v/>
      </c>
      <c r="D1931" s="40" t="str">
        <f aca="false">IF(INDEX(BookTitle,1926)="","",INDEX(BookUnit,1926))</f>
        <v/>
      </c>
      <c r="E1931" s="40" t="str">
        <f aca="false">IF(INDEX(BookTitle,1926)="","",INDEX(BookTitle,1926))</f>
        <v/>
      </c>
      <c r="F1931" s="40" t="str">
        <f aca="false">IF(INDEX(BookTitle,1926)="","",INDEX(BookLevel,1926))</f>
        <v/>
      </c>
      <c r="G1931" s="40" t="str">
        <f aca="false">IF(INDEX(BookTitle,1926)="","",INDEX(BookCategory,1926))</f>
        <v/>
      </c>
      <c r="H1931" s="40" t="str">
        <f aca="false">IF(INDEX(BookTitle,1926)="","",INDEX(BookRank,1926))</f>
        <v/>
      </c>
      <c r="I1931" s="41" t="str">
        <f aca="false">IF(INDEX(BookTitle,1926)="","",INDEX(BookTotal,1926))</f>
        <v/>
      </c>
      <c r="J1931" s="0" t="str">
        <f aca="false">IF($I1931="","",IF(INDEX(BookQ1,1926)&gt;0,"Q1",IF(INDEX(BookQ2,1926)&gt;0,"Q2",IF(INDEX(BookQ3,1926)&gt;0,"Q3",IF(INDEX(BookQ4,1926)&gt;0,"Q4","")))))</f>
        <v/>
      </c>
      <c r="K1931" s="42" t="str">
        <f aca="false">IF(INDEX(BookTitle,1926)="","",INDEX(BookInYear,1926))</f>
        <v/>
      </c>
      <c r="L1931" s="19"/>
      <c r="M1931" s="39"/>
      <c r="N1931" s="19"/>
      <c r="O1931" s="19"/>
      <c r="P1931" s="43" t="str">
        <f aca="false">IF($E1931="","",IF($L1931="Decline",0,IF($L1931="Approve fewer",IF($M1931="","",$M1931),IF($L1931="","",$I1931))))</f>
        <v/>
      </c>
      <c r="Q1931" s="34" t="str">
        <f aca="false">IF($P1931="","",IF($N1931&lt;&gt;"",$N1931,$J1931))</f>
        <v/>
      </c>
      <c r="R1931" s="35" t="str">
        <f aca="false">IF(OR($P1931="",$Q1931=""),"",INDEX(BookRate,1926)*$P1931*(5-MATCH($Q1931,{"Q1";"Q2";"Q3";"Q4"},0))/4+INDEX(BookOneOff,1926)*$P1931)</f>
        <v/>
      </c>
      <c r="S1931" s="35" t="str">
        <f aca="false">IF($P1931="","",INDEX(BookRate,1926)*$P1931)</f>
        <v/>
      </c>
      <c r="T1931" s="35" t="str">
        <f aca="false">IF($R1931="","",$R1931-$K1931)</f>
        <v/>
      </c>
      <c r="U1931" s="35" t="str">
        <f aca="false">IF(N($P1931)&lt;=0,"",COUNTIF($P$6:$P1931,"&gt;0"))</f>
        <v/>
      </c>
    </row>
    <row r="1932" customFormat="false" ht="15" hidden="false" customHeight="false" outlineLevel="0" collapsed="false">
      <c r="A1932" s="40" t="str">
        <f aca="false">IF(INDEX(BookTitle,1927)="","",INDEX(BookGroup,1927))</f>
        <v/>
      </c>
      <c r="B1932" s="40" t="str">
        <f aca="false">IF(INDEX(BookTitle,1927)="","",INDEX(BookRef,1927))</f>
        <v/>
      </c>
      <c r="C1932" s="40" t="str">
        <f aca="false">IF(INDEX(BookTitle,1927)="","",INDEX(BookDivision,1927))</f>
        <v/>
      </c>
      <c r="D1932" s="40" t="str">
        <f aca="false">IF(INDEX(BookTitle,1927)="","",INDEX(BookUnit,1927))</f>
        <v/>
      </c>
      <c r="E1932" s="40" t="str">
        <f aca="false">IF(INDEX(BookTitle,1927)="","",INDEX(BookTitle,1927))</f>
        <v/>
      </c>
      <c r="F1932" s="40" t="str">
        <f aca="false">IF(INDEX(BookTitle,1927)="","",INDEX(BookLevel,1927))</f>
        <v/>
      </c>
      <c r="G1932" s="40" t="str">
        <f aca="false">IF(INDEX(BookTitle,1927)="","",INDEX(BookCategory,1927))</f>
        <v/>
      </c>
      <c r="H1932" s="40" t="str">
        <f aca="false">IF(INDEX(BookTitle,1927)="","",INDEX(BookRank,1927))</f>
        <v/>
      </c>
      <c r="I1932" s="41" t="str">
        <f aca="false">IF(INDEX(BookTitle,1927)="","",INDEX(BookTotal,1927))</f>
        <v/>
      </c>
      <c r="J1932" s="0" t="str">
        <f aca="false">IF($I1932="","",IF(INDEX(BookQ1,1927)&gt;0,"Q1",IF(INDEX(BookQ2,1927)&gt;0,"Q2",IF(INDEX(BookQ3,1927)&gt;0,"Q3",IF(INDEX(BookQ4,1927)&gt;0,"Q4","")))))</f>
        <v/>
      </c>
      <c r="K1932" s="42" t="str">
        <f aca="false">IF(INDEX(BookTitle,1927)="","",INDEX(BookInYear,1927))</f>
        <v/>
      </c>
      <c r="L1932" s="19"/>
      <c r="M1932" s="39"/>
      <c r="N1932" s="19"/>
      <c r="O1932" s="19"/>
      <c r="P1932" s="43" t="str">
        <f aca="false">IF($E1932="","",IF($L1932="Decline",0,IF($L1932="Approve fewer",IF($M1932="","",$M1932),IF($L1932="","",$I1932))))</f>
        <v/>
      </c>
      <c r="Q1932" s="34" t="str">
        <f aca="false">IF($P1932="","",IF($N1932&lt;&gt;"",$N1932,$J1932))</f>
        <v/>
      </c>
      <c r="R1932" s="35" t="str">
        <f aca="false">IF(OR($P1932="",$Q1932=""),"",INDEX(BookRate,1927)*$P1932*(5-MATCH($Q1932,{"Q1";"Q2";"Q3";"Q4"},0))/4+INDEX(BookOneOff,1927)*$P1932)</f>
        <v/>
      </c>
      <c r="S1932" s="35" t="str">
        <f aca="false">IF($P1932="","",INDEX(BookRate,1927)*$P1932)</f>
        <v/>
      </c>
      <c r="T1932" s="35" t="str">
        <f aca="false">IF($R1932="","",$R1932-$K1932)</f>
        <v/>
      </c>
      <c r="U1932" s="35" t="str">
        <f aca="false">IF(N($P1932)&lt;=0,"",COUNTIF($P$6:$P1932,"&gt;0"))</f>
        <v/>
      </c>
    </row>
    <row r="1933" customFormat="false" ht="15" hidden="false" customHeight="false" outlineLevel="0" collapsed="false">
      <c r="A1933" s="40" t="str">
        <f aca="false">IF(INDEX(BookTitle,1928)="","",INDEX(BookGroup,1928))</f>
        <v/>
      </c>
      <c r="B1933" s="40" t="str">
        <f aca="false">IF(INDEX(BookTitle,1928)="","",INDEX(BookRef,1928))</f>
        <v/>
      </c>
      <c r="C1933" s="40" t="str">
        <f aca="false">IF(INDEX(BookTitle,1928)="","",INDEX(BookDivision,1928))</f>
        <v/>
      </c>
      <c r="D1933" s="40" t="str">
        <f aca="false">IF(INDEX(BookTitle,1928)="","",INDEX(BookUnit,1928))</f>
        <v/>
      </c>
      <c r="E1933" s="40" t="str">
        <f aca="false">IF(INDEX(BookTitle,1928)="","",INDEX(BookTitle,1928))</f>
        <v/>
      </c>
      <c r="F1933" s="40" t="str">
        <f aca="false">IF(INDEX(BookTitle,1928)="","",INDEX(BookLevel,1928))</f>
        <v/>
      </c>
      <c r="G1933" s="40" t="str">
        <f aca="false">IF(INDEX(BookTitle,1928)="","",INDEX(BookCategory,1928))</f>
        <v/>
      </c>
      <c r="H1933" s="40" t="str">
        <f aca="false">IF(INDEX(BookTitle,1928)="","",INDEX(BookRank,1928))</f>
        <v/>
      </c>
      <c r="I1933" s="41" t="str">
        <f aca="false">IF(INDEX(BookTitle,1928)="","",INDEX(BookTotal,1928))</f>
        <v/>
      </c>
      <c r="J1933" s="0" t="str">
        <f aca="false">IF($I1933="","",IF(INDEX(BookQ1,1928)&gt;0,"Q1",IF(INDEX(BookQ2,1928)&gt;0,"Q2",IF(INDEX(BookQ3,1928)&gt;0,"Q3",IF(INDEX(BookQ4,1928)&gt;0,"Q4","")))))</f>
        <v/>
      </c>
      <c r="K1933" s="42" t="str">
        <f aca="false">IF(INDEX(BookTitle,1928)="","",INDEX(BookInYear,1928))</f>
        <v/>
      </c>
      <c r="L1933" s="19"/>
      <c r="M1933" s="39"/>
      <c r="N1933" s="19"/>
      <c r="O1933" s="19"/>
      <c r="P1933" s="43" t="str">
        <f aca="false">IF($E1933="","",IF($L1933="Decline",0,IF($L1933="Approve fewer",IF($M1933="","",$M1933),IF($L1933="","",$I1933))))</f>
        <v/>
      </c>
      <c r="Q1933" s="34" t="str">
        <f aca="false">IF($P1933="","",IF($N1933&lt;&gt;"",$N1933,$J1933))</f>
        <v/>
      </c>
      <c r="R1933" s="35" t="str">
        <f aca="false">IF(OR($P1933="",$Q1933=""),"",INDEX(BookRate,1928)*$P1933*(5-MATCH($Q1933,{"Q1";"Q2";"Q3";"Q4"},0))/4+INDEX(BookOneOff,1928)*$P1933)</f>
        <v/>
      </c>
      <c r="S1933" s="35" t="str">
        <f aca="false">IF($P1933="","",INDEX(BookRate,1928)*$P1933)</f>
        <v/>
      </c>
      <c r="T1933" s="35" t="str">
        <f aca="false">IF($R1933="","",$R1933-$K1933)</f>
        <v/>
      </c>
      <c r="U1933" s="35" t="str">
        <f aca="false">IF(N($P1933)&lt;=0,"",COUNTIF($P$6:$P1933,"&gt;0"))</f>
        <v/>
      </c>
    </row>
    <row r="1934" customFormat="false" ht="15" hidden="false" customHeight="false" outlineLevel="0" collapsed="false">
      <c r="A1934" s="40" t="str">
        <f aca="false">IF(INDEX(BookTitle,1929)="","",INDEX(BookGroup,1929))</f>
        <v/>
      </c>
      <c r="B1934" s="40" t="str">
        <f aca="false">IF(INDEX(BookTitle,1929)="","",INDEX(BookRef,1929))</f>
        <v/>
      </c>
      <c r="C1934" s="40" t="str">
        <f aca="false">IF(INDEX(BookTitle,1929)="","",INDEX(BookDivision,1929))</f>
        <v/>
      </c>
      <c r="D1934" s="40" t="str">
        <f aca="false">IF(INDEX(BookTitle,1929)="","",INDEX(BookUnit,1929))</f>
        <v/>
      </c>
      <c r="E1934" s="40" t="str">
        <f aca="false">IF(INDEX(BookTitle,1929)="","",INDEX(BookTitle,1929))</f>
        <v/>
      </c>
      <c r="F1934" s="40" t="str">
        <f aca="false">IF(INDEX(BookTitle,1929)="","",INDEX(BookLevel,1929))</f>
        <v/>
      </c>
      <c r="G1934" s="40" t="str">
        <f aca="false">IF(INDEX(BookTitle,1929)="","",INDEX(BookCategory,1929))</f>
        <v/>
      </c>
      <c r="H1934" s="40" t="str">
        <f aca="false">IF(INDEX(BookTitle,1929)="","",INDEX(BookRank,1929))</f>
        <v/>
      </c>
      <c r="I1934" s="41" t="str">
        <f aca="false">IF(INDEX(BookTitle,1929)="","",INDEX(BookTotal,1929))</f>
        <v/>
      </c>
      <c r="J1934" s="0" t="str">
        <f aca="false">IF($I1934="","",IF(INDEX(BookQ1,1929)&gt;0,"Q1",IF(INDEX(BookQ2,1929)&gt;0,"Q2",IF(INDEX(BookQ3,1929)&gt;0,"Q3",IF(INDEX(BookQ4,1929)&gt;0,"Q4","")))))</f>
        <v/>
      </c>
      <c r="K1934" s="42" t="str">
        <f aca="false">IF(INDEX(BookTitle,1929)="","",INDEX(BookInYear,1929))</f>
        <v/>
      </c>
      <c r="L1934" s="19"/>
      <c r="M1934" s="39"/>
      <c r="N1934" s="19"/>
      <c r="O1934" s="19"/>
      <c r="P1934" s="43" t="str">
        <f aca="false">IF($E1934="","",IF($L1934="Decline",0,IF($L1934="Approve fewer",IF($M1934="","",$M1934),IF($L1934="","",$I1934))))</f>
        <v/>
      </c>
      <c r="Q1934" s="34" t="str">
        <f aca="false">IF($P1934="","",IF($N1934&lt;&gt;"",$N1934,$J1934))</f>
        <v/>
      </c>
      <c r="R1934" s="35" t="str">
        <f aca="false">IF(OR($P1934="",$Q1934=""),"",INDEX(BookRate,1929)*$P1934*(5-MATCH($Q1934,{"Q1";"Q2";"Q3";"Q4"},0))/4+INDEX(BookOneOff,1929)*$P1934)</f>
        <v/>
      </c>
      <c r="S1934" s="35" t="str">
        <f aca="false">IF($P1934="","",INDEX(BookRate,1929)*$P1934)</f>
        <v/>
      </c>
      <c r="T1934" s="35" t="str">
        <f aca="false">IF($R1934="","",$R1934-$K1934)</f>
        <v/>
      </c>
      <c r="U1934" s="35" t="str">
        <f aca="false">IF(N($P1934)&lt;=0,"",COUNTIF($P$6:$P1934,"&gt;0"))</f>
        <v/>
      </c>
    </row>
    <row r="1935" customFormat="false" ht="15" hidden="false" customHeight="false" outlineLevel="0" collapsed="false">
      <c r="A1935" s="40" t="str">
        <f aca="false">IF(INDEX(BookTitle,1930)="","",INDEX(BookGroup,1930))</f>
        <v/>
      </c>
      <c r="B1935" s="40" t="str">
        <f aca="false">IF(INDEX(BookTitle,1930)="","",INDEX(BookRef,1930))</f>
        <v/>
      </c>
      <c r="C1935" s="40" t="str">
        <f aca="false">IF(INDEX(BookTitle,1930)="","",INDEX(BookDivision,1930))</f>
        <v/>
      </c>
      <c r="D1935" s="40" t="str">
        <f aca="false">IF(INDEX(BookTitle,1930)="","",INDEX(BookUnit,1930))</f>
        <v/>
      </c>
      <c r="E1935" s="40" t="str">
        <f aca="false">IF(INDEX(BookTitle,1930)="","",INDEX(BookTitle,1930))</f>
        <v/>
      </c>
      <c r="F1935" s="40" t="str">
        <f aca="false">IF(INDEX(BookTitle,1930)="","",INDEX(BookLevel,1930))</f>
        <v/>
      </c>
      <c r="G1935" s="40" t="str">
        <f aca="false">IF(INDEX(BookTitle,1930)="","",INDEX(BookCategory,1930))</f>
        <v/>
      </c>
      <c r="H1935" s="40" t="str">
        <f aca="false">IF(INDEX(BookTitle,1930)="","",INDEX(BookRank,1930))</f>
        <v/>
      </c>
      <c r="I1935" s="41" t="str">
        <f aca="false">IF(INDEX(BookTitle,1930)="","",INDEX(BookTotal,1930))</f>
        <v/>
      </c>
      <c r="J1935" s="0" t="str">
        <f aca="false">IF($I1935="","",IF(INDEX(BookQ1,1930)&gt;0,"Q1",IF(INDEX(BookQ2,1930)&gt;0,"Q2",IF(INDEX(BookQ3,1930)&gt;0,"Q3",IF(INDEX(BookQ4,1930)&gt;0,"Q4","")))))</f>
        <v/>
      </c>
      <c r="K1935" s="42" t="str">
        <f aca="false">IF(INDEX(BookTitle,1930)="","",INDEX(BookInYear,1930))</f>
        <v/>
      </c>
      <c r="L1935" s="19"/>
      <c r="M1935" s="39"/>
      <c r="N1935" s="19"/>
      <c r="O1935" s="19"/>
      <c r="P1935" s="43" t="str">
        <f aca="false">IF($E1935="","",IF($L1935="Decline",0,IF($L1935="Approve fewer",IF($M1935="","",$M1935),IF($L1935="","",$I1935))))</f>
        <v/>
      </c>
      <c r="Q1935" s="34" t="str">
        <f aca="false">IF($P1935="","",IF($N1935&lt;&gt;"",$N1935,$J1935))</f>
        <v/>
      </c>
      <c r="R1935" s="35" t="str">
        <f aca="false">IF(OR($P1935="",$Q1935=""),"",INDEX(BookRate,1930)*$P1935*(5-MATCH($Q1935,{"Q1";"Q2";"Q3";"Q4"},0))/4+INDEX(BookOneOff,1930)*$P1935)</f>
        <v/>
      </c>
      <c r="S1935" s="35" t="str">
        <f aca="false">IF($P1935="","",INDEX(BookRate,1930)*$P1935)</f>
        <v/>
      </c>
      <c r="T1935" s="35" t="str">
        <f aca="false">IF($R1935="","",$R1935-$K1935)</f>
        <v/>
      </c>
      <c r="U1935" s="35" t="str">
        <f aca="false">IF(N($P1935)&lt;=0,"",COUNTIF($P$6:$P1935,"&gt;0"))</f>
        <v/>
      </c>
    </row>
    <row r="1936" customFormat="false" ht="15" hidden="false" customHeight="false" outlineLevel="0" collapsed="false">
      <c r="A1936" s="40" t="str">
        <f aca="false">IF(INDEX(BookTitle,1931)="","",INDEX(BookGroup,1931))</f>
        <v/>
      </c>
      <c r="B1936" s="40" t="str">
        <f aca="false">IF(INDEX(BookTitle,1931)="","",INDEX(BookRef,1931))</f>
        <v/>
      </c>
      <c r="C1936" s="40" t="str">
        <f aca="false">IF(INDEX(BookTitle,1931)="","",INDEX(BookDivision,1931))</f>
        <v/>
      </c>
      <c r="D1936" s="40" t="str">
        <f aca="false">IF(INDEX(BookTitle,1931)="","",INDEX(BookUnit,1931))</f>
        <v/>
      </c>
      <c r="E1936" s="40" t="str">
        <f aca="false">IF(INDEX(BookTitle,1931)="","",INDEX(BookTitle,1931))</f>
        <v/>
      </c>
      <c r="F1936" s="40" t="str">
        <f aca="false">IF(INDEX(BookTitle,1931)="","",INDEX(BookLevel,1931))</f>
        <v/>
      </c>
      <c r="G1936" s="40" t="str">
        <f aca="false">IF(INDEX(BookTitle,1931)="","",INDEX(BookCategory,1931))</f>
        <v/>
      </c>
      <c r="H1936" s="40" t="str">
        <f aca="false">IF(INDEX(BookTitle,1931)="","",INDEX(BookRank,1931))</f>
        <v/>
      </c>
      <c r="I1936" s="41" t="str">
        <f aca="false">IF(INDEX(BookTitle,1931)="","",INDEX(BookTotal,1931))</f>
        <v/>
      </c>
      <c r="J1936" s="0" t="str">
        <f aca="false">IF($I1936="","",IF(INDEX(BookQ1,1931)&gt;0,"Q1",IF(INDEX(BookQ2,1931)&gt;0,"Q2",IF(INDEX(BookQ3,1931)&gt;0,"Q3",IF(INDEX(BookQ4,1931)&gt;0,"Q4","")))))</f>
        <v/>
      </c>
      <c r="K1936" s="42" t="str">
        <f aca="false">IF(INDEX(BookTitle,1931)="","",INDEX(BookInYear,1931))</f>
        <v/>
      </c>
      <c r="L1936" s="19"/>
      <c r="M1936" s="39"/>
      <c r="N1936" s="19"/>
      <c r="O1936" s="19"/>
      <c r="P1936" s="43" t="str">
        <f aca="false">IF($E1936="","",IF($L1936="Decline",0,IF($L1936="Approve fewer",IF($M1936="","",$M1936),IF($L1936="","",$I1936))))</f>
        <v/>
      </c>
      <c r="Q1936" s="34" t="str">
        <f aca="false">IF($P1936="","",IF($N1936&lt;&gt;"",$N1936,$J1936))</f>
        <v/>
      </c>
      <c r="R1936" s="35" t="str">
        <f aca="false">IF(OR($P1936="",$Q1936=""),"",INDEX(BookRate,1931)*$P1936*(5-MATCH($Q1936,{"Q1";"Q2";"Q3";"Q4"},0))/4+INDEX(BookOneOff,1931)*$P1936)</f>
        <v/>
      </c>
      <c r="S1936" s="35" t="str">
        <f aca="false">IF($P1936="","",INDEX(BookRate,1931)*$P1936)</f>
        <v/>
      </c>
      <c r="T1936" s="35" t="str">
        <f aca="false">IF($R1936="","",$R1936-$K1936)</f>
        <v/>
      </c>
      <c r="U1936" s="35" t="str">
        <f aca="false">IF(N($P1936)&lt;=0,"",COUNTIF($P$6:$P1936,"&gt;0"))</f>
        <v/>
      </c>
    </row>
    <row r="1937" customFormat="false" ht="15" hidden="false" customHeight="false" outlineLevel="0" collapsed="false">
      <c r="A1937" s="40" t="str">
        <f aca="false">IF(INDEX(BookTitle,1932)="","",INDEX(BookGroup,1932))</f>
        <v/>
      </c>
      <c r="B1937" s="40" t="str">
        <f aca="false">IF(INDEX(BookTitle,1932)="","",INDEX(BookRef,1932))</f>
        <v/>
      </c>
      <c r="C1937" s="40" t="str">
        <f aca="false">IF(INDEX(BookTitle,1932)="","",INDEX(BookDivision,1932))</f>
        <v/>
      </c>
      <c r="D1937" s="40" t="str">
        <f aca="false">IF(INDEX(BookTitle,1932)="","",INDEX(BookUnit,1932))</f>
        <v/>
      </c>
      <c r="E1937" s="40" t="str">
        <f aca="false">IF(INDEX(BookTitle,1932)="","",INDEX(BookTitle,1932))</f>
        <v/>
      </c>
      <c r="F1937" s="40" t="str">
        <f aca="false">IF(INDEX(BookTitle,1932)="","",INDEX(BookLevel,1932))</f>
        <v/>
      </c>
      <c r="G1937" s="40" t="str">
        <f aca="false">IF(INDEX(BookTitle,1932)="","",INDEX(BookCategory,1932))</f>
        <v/>
      </c>
      <c r="H1937" s="40" t="str">
        <f aca="false">IF(INDEX(BookTitle,1932)="","",INDEX(BookRank,1932))</f>
        <v/>
      </c>
      <c r="I1937" s="41" t="str">
        <f aca="false">IF(INDEX(BookTitle,1932)="","",INDEX(BookTotal,1932))</f>
        <v/>
      </c>
      <c r="J1937" s="0" t="str">
        <f aca="false">IF($I1937="","",IF(INDEX(BookQ1,1932)&gt;0,"Q1",IF(INDEX(BookQ2,1932)&gt;0,"Q2",IF(INDEX(BookQ3,1932)&gt;0,"Q3",IF(INDEX(BookQ4,1932)&gt;0,"Q4","")))))</f>
        <v/>
      </c>
      <c r="K1937" s="42" t="str">
        <f aca="false">IF(INDEX(BookTitle,1932)="","",INDEX(BookInYear,1932))</f>
        <v/>
      </c>
      <c r="L1937" s="19"/>
      <c r="M1937" s="39"/>
      <c r="N1937" s="19"/>
      <c r="O1937" s="19"/>
      <c r="P1937" s="43" t="str">
        <f aca="false">IF($E1937="","",IF($L1937="Decline",0,IF($L1937="Approve fewer",IF($M1937="","",$M1937),IF($L1937="","",$I1937))))</f>
        <v/>
      </c>
      <c r="Q1937" s="34" t="str">
        <f aca="false">IF($P1937="","",IF($N1937&lt;&gt;"",$N1937,$J1937))</f>
        <v/>
      </c>
      <c r="R1937" s="35" t="str">
        <f aca="false">IF(OR($P1937="",$Q1937=""),"",INDEX(BookRate,1932)*$P1937*(5-MATCH($Q1937,{"Q1";"Q2";"Q3";"Q4"},0))/4+INDEX(BookOneOff,1932)*$P1937)</f>
        <v/>
      </c>
      <c r="S1937" s="35" t="str">
        <f aca="false">IF($P1937="","",INDEX(BookRate,1932)*$P1937)</f>
        <v/>
      </c>
      <c r="T1937" s="35" t="str">
        <f aca="false">IF($R1937="","",$R1937-$K1937)</f>
        <v/>
      </c>
      <c r="U1937" s="35" t="str">
        <f aca="false">IF(N($P1937)&lt;=0,"",COUNTIF($P$6:$P1937,"&gt;0"))</f>
        <v/>
      </c>
    </row>
    <row r="1938" customFormat="false" ht="15" hidden="false" customHeight="false" outlineLevel="0" collapsed="false">
      <c r="A1938" s="40" t="str">
        <f aca="false">IF(INDEX(BookTitle,1933)="","",INDEX(BookGroup,1933))</f>
        <v/>
      </c>
      <c r="B1938" s="40" t="str">
        <f aca="false">IF(INDEX(BookTitle,1933)="","",INDEX(BookRef,1933))</f>
        <v/>
      </c>
      <c r="C1938" s="40" t="str">
        <f aca="false">IF(INDEX(BookTitle,1933)="","",INDEX(BookDivision,1933))</f>
        <v/>
      </c>
      <c r="D1938" s="40" t="str">
        <f aca="false">IF(INDEX(BookTitle,1933)="","",INDEX(BookUnit,1933))</f>
        <v/>
      </c>
      <c r="E1938" s="40" t="str">
        <f aca="false">IF(INDEX(BookTitle,1933)="","",INDEX(BookTitle,1933))</f>
        <v/>
      </c>
      <c r="F1938" s="40" t="str">
        <f aca="false">IF(INDEX(BookTitle,1933)="","",INDEX(BookLevel,1933))</f>
        <v/>
      </c>
      <c r="G1938" s="40" t="str">
        <f aca="false">IF(INDEX(BookTitle,1933)="","",INDEX(BookCategory,1933))</f>
        <v/>
      </c>
      <c r="H1938" s="40" t="str">
        <f aca="false">IF(INDEX(BookTitle,1933)="","",INDEX(BookRank,1933))</f>
        <v/>
      </c>
      <c r="I1938" s="41" t="str">
        <f aca="false">IF(INDEX(BookTitle,1933)="","",INDEX(BookTotal,1933))</f>
        <v/>
      </c>
      <c r="J1938" s="0" t="str">
        <f aca="false">IF($I1938="","",IF(INDEX(BookQ1,1933)&gt;0,"Q1",IF(INDEX(BookQ2,1933)&gt;0,"Q2",IF(INDEX(BookQ3,1933)&gt;0,"Q3",IF(INDEX(BookQ4,1933)&gt;0,"Q4","")))))</f>
        <v/>
      </c>
      <c r="K1938" s="42" t="str">
        <f aca="false">IF(INDEX(BookTitle,1933)="","",INDEX(BookInYear,1933))</f>
        <v/>
      </c>
      <c r="L1938" s="19"/>
      <c r="M1938" s="39"/>
      <c r="N1938" s="19"/>
      <c r="O1938" s="19"/>
      <c r="P1938" s="43" t="str">
        <f aca="false">IF($E1938="","",IF($L1938="Decline",0,IF($L1938="Approve fewer",IF($M1938="","",$M1938),IF($L1938="","",$I1938))))</f>
        <v/>
      </c>
      <c r="Q1938" s="34" t="str">
        <f aca="false">IF($P1938="","",IF($N1938&lt;&gt;"",$N1938,$J1938))</f>
        <v/>
      </c>
      <c r="R1938" s="35" t="str">
        <f aca="false">IF(OR($P1938="",$Q1938=""),"",INDEX(BookRate,1933)*$P1938*(5-MATCH($Q1938,{"Q1";"Q2";"Q3";"Q4"},0))/4+INDEX(BookOneOff,1933)*$P1938)</f>
        <v/>
      </c>
      <c r="S1938" s="35" t="str">
        <f aca="false">IF($P1938="","",INDEX(BookRate,1933)*$P1938)</f>
        <v/>
      </c>
      <c r="T1938" s="35" t="str">
        <f aca="false">IF($R1938="","",$R1938-$K1938)</f>
        <v/>
      </c>
      <c r="U1938" s="35" t="str">
        <f aca="false">IF(N($P1938)&lt;=0,"",COUNTIF($P$6:$P1938,"&gt;0"))</f>
        <v/>
      </c>
    </row>
    <row r="1939" customFormat="false" ht="15" hidden="false" customHeight="false" outlineLevel="0" collapsed="false">
      <c r="A1939" s="40" t="str">
        <f aca="false">IF(INDEX(BookTitle,1934)="","",INDEX(BookGroup,1934))</f>
        <v/>
      </c>
      <c r="B1939" s="40" t="str">
        <f aca="false">IF(INDEX(BookTitle,1934)="","",INDEX(BookRef,1934))</f>
        <v/>
      </c>
      <c r="C1939" s="40" t="str">
        <f aca="false">IF(INDEX(BookTitle,1934)="","",INDEX(BookDivision,1934))</f>
        <v/>
      </c>
      <c r="D1939" s="40" t="str">
        <f aca="false">IF(INDEX(BookTitle,1934)="","",INDEX(BookUnit,1934))</f>
        <v/>
      </c>
      <c r="E1939" s="40" t="str">
        <f aca="false">IF(INDEX(BookTitle,1934)="","",INDEX(BookTitle,1934))</f>
        <v/>
      </c>
      <c r="F1939" s="40" t="str">
        <f aca="false">IF(INDEX(BookTitle,1934)="","",INDEX(BookLevel,1934))</f>
        <v/>
      </c>
      <c r="G1939" s="40" t="str">
        <f aca="false">IF(INDEX(BookTitle,1934)="","",INDEX(BookCategory,1934))</f>
        <v/>
      </c>
      <c r="H1939" s="40" t="str">
        <f aca="false">IF(INDEX(BookTitle,1934)="","",INDEX(BookRank,1934))</f>
        <v/>
      </c>
      <c r="I1939" s="41" t="str">
        <f aca="false">IF(INDEX(BookTitle,1934)="","",INDEX(BookTotal,1934))</f>
        <v/>
      </c>
      <c r="J1939" s="0" t="str">
        <f aca="false">IF($I1939="","",IF(INDEX(BookQ1,1934)&gt;0,"Q1",IF(INDEX(BookQ2,1934)&gt;0,"Q2",IF(INDEX(BookQ3,1934)&gt;0,"Q3",IF(INDEX(BookQ4,1934)&gt;0,"Q4","")))))</f>
        <v/>
      </c>
      <c r="K1939" s="42" t="str">
        <f aca="false">IF(INDEX(BookTitle,1934)="","",INDEX(BookInYear,1934))</f>
        <v/>
      </c>
      <c r="L1939" s="19"/>
      <c r="M1939" s="39"/>
      <c r="N1939" s="19"/>
      <c r="O1939" s="19"/>
      <c r="P1939" s="43" t="str">
        <f aca="false">IF($E1939="","",IF($L1939="Decline",0,IF($L1939="Approve fewer",IF($M1939="","",$M1939),IF($L1939="","",$I1939))))</f>
        <v/>
      </c>
      <c r="Q1939" s="34" t="str">
        <f aca="false">IF($P1939="","",IF($N1939&lt;&gt;"",$N1939,$J1939))</f>
        <v/>
      </c>
      <c r="R1939" s="35" t="str">
        <f aca="false">IF(OR($P1939="",$Q1939=""),"",INDEX(BookRate,1934)*$P1939*(5-MATCH($Q1939,{"Q1";"Q2";"Q3";"Q4"},0))/4+INDEX(BookOneOff,1934)*$P1939)</f>
        <v/>
      </c>
      <c r="S1939" s="35" t="str">
        <f aca="false">IF($P1939="","",INDEX(BookRate,1934)*$P1939)</f>
        <v/>
      </c>
      <c r="T1939" s="35" t="str">
        <f aca="false">IF($R1939="","",$R1939-$K1939)</f>
        <v/>
      </c>
      <c r="U1939" s="35" t="str">
        <f aca="false">IF(N($P1939)&lt;=0,"",COUNTIF($P$6:$P1939,"&gt;0"))</f>
        <v/>
      </c>
    </row>
    <row r="1940" customFormat="false" ht="15" hidden="false" customHeight="false" outlineLevel="0" collapsed="false">
      <c r="A1940" s="40" t="str">
        <f aca="false">IF(INDEX(BookTitle,1935)="","",INDEX(BookGroup,1935))</f>
        <v/>
      </c>
      <c r="B1940" s="40" t="str">
        <f aca="false">IF(INDEX(BookTitle,1935)="","",INDEX(BookRef,1935))</f>
        <v/>
      </c>
      <c r="C1940" s="40" t="str">
        <f aca="false">IF(INDEX(BookTitle,1935)="","",INDEX(BookDivision,1935))</f>
        <v/>
      </c>
      <c r="D1940" s="40" t="str">
        <f aca="false">IF(INDEX(BookTitle,1935)="","",INDEX(BookUnit,1935))</f>
        <v/>
      </c>
      <c r="E1940" s="40" t="str">
        <f aca="false">IF(INDEX(BookTitle,1935)="","",INDEX(BookTitle,1935))</f>
        <v/>
      </c>
      <c r="F1940" s="40" t="str">
        <f aca="false">IF(INDEX(BookTitle,1935)="","",INDEX(BookLevel,1935))</f>
        <v/>
      </c>
      <c r="G1940" s="40" t="str">
        <f aca="false">IF(INDEX(BookTitle,1935)="","",INDEX(BookCategory,1935))</f>
        <v/>
      </c>
      <c r="H1940" s="40" t="str">
        <f aca="false">IF(INDEX(BookTitle,1935)="","",INDEX(BookRank,1935))</f>
        <v/>
      </c>
      <c r="I1940" s="41" t="str">
        <f aca="false">IF(INDEX(BookTitle,1935)="","",INDEX(BookTotal,1935))</f>
        <v/>
      </c>
      <c r="J1940" s="0" t="str">
        <f aca="false">IF($I1940="","",IF(INDEX(BookQ1,1935)&gt;0,"Q1",IF(INDEX(BookQ2,1935)&gt;0,"Q2",IF(INDEX(BookQ3,1935)&gt;0,"Q3",IF(INDEX(BookQ4,1935)&gt;0,"Q4","")))))</f>
        <v/>
      </c>
      <c r="K1940" s="42" t="str">
        <f aca="false">IF(INDEX(BookTitle,1935)="","",INDEX(BookInYear,1935))</f>
        <v/>
      </c>
      <c r="L1940" s="19"/>
      <c r="M1940" s="39"/>
      <c r="N1940" s="19"/>
      <c r="O1940" s="19"/>
      <c r="P1940" s="43" t="str">
        <f aca="false">IF($E1940="","",IF($L1940="Decline",0,IF($L1940="Approve fewer",IF($M1940="","",$M1940),IF($L1940="","",$I1940))))</f>
        <v/>
      </c>
      <c r="Q1940" s="34" t="str">
        <f aca="false">IF($P1940="","",IF($N1940&lt;&gt;"",$N1940,$J1940))</f>
        <v/>
      </c>
      <c r="R1940" s="35" t="str">
        <f aca="false">IF(OR($P1940="",$Q1940=""),"",INDEX(BookRate,1935)*$P1940*(5-MATCH($Q1940,{"Q1";"Q2";"Q3";"Q4"},0))/4+INDEX(BookOneOff,1935)*$P1940)</f>
        <v/>
      </c>
      <c r="S1940" s="35" t="str">
        <f aca="false">IF($P1940="","",INDEX(BookRate,1935)*$P1940)</f>
        <v/>
      </c>
      <c r="T1940" s="35" t="str">
        <f aca="false">IF($R1940="","",$R1940-$K1940)</f>
        <v/>
      </c>
      <c r="U1940" s="35" t="str">
        <f aca="false">IF(N($P1940)&lt;=0,"",COUNTIF($P$6:$P1940,"&gt;0"))</f>
        <v/>
      </c>
    </row>
    <row r="1941" customFormat="false" ht="15" hidden="false" customHeight="false" outlineLevel="0" collapsed="false">
      <c r="A1941" s="40" t="str">
        <f aca="false">IF(INDEX(BookTitle,1936)="","",INDEX(BookGroup,1936))</f>
        <v/>
      </c>
      <c r="B1941" s="40" t="str">
        <f aca="false">IF(INDEX(BookTitle,1936)="","",INDEX(BookRef,1936))</f>
        <v/>
      </c>
      <c r="C1941" s="40" t="str">
        <f aca="false">IF(INDEX(BookTitle,1936)="","",INDEX(BookDivision,1936))</f>
        <v/>
      </c>
      <c r="D1941" s="40" t="str">
        <f aca="false">IF(INDEX(BookTitle,1936)="","",INDEX(BookUnit,1936))</f>
        <v/>
      </c>
      <c r="E1941" s="40" t="str">
        <f aca="false">IF(INDEX(BookTitle,1936)="","",INDEX(BookTitle,1936))</f>
        <v/>
      </c>
      <c r="F1941" s="40" t="str">
        <f aca="false">IF(INDEX(BookTitle,1936)="","",INDEX(BookLevel,1936))</f>
        <v/>
      </c>
      <c r="G1941" s="40" t="str">
        <f aca="false">IF(INDEX(BookTitle,1936)="","",INDEX(BookCategory,1936))</f>
        <v/>
      </c>
      <c r="H1941" s="40" t="str">
        <f aca="false">IF(INDEX(BookTitle,1936)="","",INDEX(BookRank,1936))</f>
        <v/>
      </c>
      <c r="I1941" s="41" t="str">
        <f aca="false">IF(INDEX(BookTitle,1936)="","",INDEX(BookTotal,1936))</f>
        <v/>
      </c>
      <c r="J1941" s="0" t="str">
        <f aca="false">IF($I1941="","",IF(INDEX(BookQ1,1936)&gt;0,"Q1",IF(INDEX(BookQ2,1936)&gt;0,"Q2",IF(INDEX(BookQ3,1936)&gt;0,"Q3",IF(INDEX(BookQ4,1936)&gt;0,"Q4","")))))</f>
        <v/>
      </c>
      <c r="K1941" s="42" t="str">
        <f aca="false">IF(INDEX(BookTitle,1936)="","",INDEX(BookInYear,1936))</f>
        <v/>
      </c>
      <c r="L1941" s="19"/>
      <c r="M1941" s="39"/>
      <c r="N1941" s="19"/>
      <c r="O1941" s="19"/>
      <c r="P1941" s="43" t="str">
        <f aca="false">IF($E1941="","",IF($L1941="Decline",0,IF($L1941="Approve fewer",IF($M1941="","",$M1941),IF($L1941="","",$I1941))))</f>
        <v/>
      </c>
      <c r="Q1941" s="34" t="str">
        <f aca="false">IF($P1941="","",IF($N1941&lt;&gt;"",$N1941,$J1941))</f>
        <v/>
      </c>
      <c r="R1941" s="35" t="str">
        <f aca="false">IF(OR($P1941="",$Q1941=""),"",INDEX(BookRate,1936)*$P1941*(5-MATCH($Q1941,{"Q1";"Q2";"Q3";"Q4"},0))/4+INDEX(BookOneOff,1936)*$P1941)</f>
        <v/>
      </c>
      <c r="S1941" s="35" t="str">
        <f aca="false">IF($P1941="","",INDEX(BookRate,1936)*$P1941)</f>
        <v/>
      </c>
      <c r="T1941" s="35" t="str">
        <f aca="false">IF($R1941="","",$R1941-$K1941)</f>
        <v/>
      </c>
      <c r="U1941" s="35" t="str">
        <f aca="false">IF(N($P1941)&lt;=0,"",COUNTIF($P$6:$P1941,"&gt;0"))</f>
        <v/>
      </c>
    </row>
    <row r="1942" customFormat="false" ht="15" hidden="false" customHeight="false" outlineLevel="0" collapsed="false">
      <c r="A1942" s="40" t="str">
        <f aca="false">IF(INDEX(BookTitle,1937)="","",INDEX(BookGroup,1937))</f>
        <v/>
      </c>
      <c r="B1942" s="40" t="str">
        <f aca="false">IF(INDEX(BookTitle,1937)="","",INDEX(BookRef,1937))</f>
        <v/>
      </c>
      <c r="C1942" s="40" t="str">
        <f aca="false">IF(INDEX(BookTitle,1937)="","",INDEX(BookDivision,1937))</f>
        <v/>
      </c>
      <c r="D1942" s="40" t="str">
        <f aca="false">IF(INDEX(BookTitle,1937)="","",INDEX(BookUnit,1937))</f>
        <v/>
      </c>
      <c r="E1942" s="40" t="str">
        <f aca="false">IF(INDEX(BookTitle,1937)="","",INDEX(BookTitle,1937))</f>
        <v/>
      </c>
      <c r="F1942" s="40" t="str">
        <f aca="false">IF(INDEX(BookTitle,1937)="","",INDEX(BookLevel,1937))</f>
        <v/>
      </c>
      <c r="G1942" s="40" t="str">
        <f aca="false">IF(INDEX(BookTitle,1937)="","",INDEX(BookCategory,1937))</f>
        <v/>
      </c>
      <c r="H1942" s="40" t="str">
        <f aca="false">IF(INDEX(BookTitle,1937)="","",INDEX(BookRank,1937))</f>
        <v/>
      </c>
      <c r="I1942" s="41" t="str">
        <f aca="false">IF(INDEX(BookTitle,1937)="","",INDEX(BookTotal,1937))</f>
        <v/>
      </c>
      <c r="J1942" s="0" t="str">
        <f aca="false">IF($I1942="","",IF(INDEX(BookQ1,1937)&gt;0,"Q1",IF(INDEX(BookQ2,1937)&gt;0,"Q2",IF(INDEX(BookQ3,1937)&gt;0,"Q3",IF(INDEX(BookQ4,1937)&gt;0,"Q4","")))))</f>
        <v/>
      </c>
      <c r="K1942" s="42" t="str">
        <f aca="false">IF(INDEX(BookTitle,1937)="","",INDEX(BookInYear,1937))</f>
        <v/>
      </c>
      <c r="L1942" s="19"/>
      <c r="M1942" s="39"/>
      <c r="N1942" s="19"/>
      <c r="O1942" s="19"/>
      <c r="P1942" s="43" t="str">
        <f aca="false">IF($E1942="","",IF($L1942="Decline",0,IF($L1942="Approve fewer",IF($M1942="","",$M1942),IF($L1942="","",$I1942))))</f>
        <v/>
      </c>
      <c r="Q1942" s="34" t="str">
        <f aca="false">IF($P1942="","",IF($N1942&lt;&gt;"",$N1942,$J1942))</f>
        <v/>
      </c>
      <c r="R1942" s="35" t="str">
        <f aca="false">IF(OR($P1942="",$Q1942=""),"",INDEX(BookRate,1937)*$P1942*(5-MATCH($Q1942,{"Q1";"Q2";"Q3";"Q4"},0))/4+INDEX(BookOneOff,1937)*$P1942)</f>
        <v/>
      </c>
      <c r="S1942" s="35" t="str">
        <f aca="false">IF($P1942="","",INDEX(BookRate,1937)*$P1942)</f>
        <v/>
      </c>
      <c r="T1942" s="35" t="str">
        <f aca="false">IF($R1942="","",$R1942-$K1942)</f>
        <v/>
      </c>
      <c r="U1942" s="35" t="str">
        <f aca="false">IF(N($P1942)&lt;=0,"",COUNTIF($P$6:$P1942,"&gt;0"))</f>
        <v/>
      </c>
    </row>
    <row r="1943" customFormat="false" ht="15" hidden="false" customHeight="false" outlineLevel="0" collapsed="false">
      <c r="A1943" s="40" t="str">
        <f aca="false">IF(INDEX(BookTitle,1938)="","",INDEX(BookGroup,1938))</f>
        <v/>
      </c>
      <c r="B1943" s="40" t="str">
        <f aca="false">IF(INDEX(BookTitle,1938)="","",INDEX(BookRef,1938))</f>
        <v/>
      </c>
      <c r="C1943" s="40" t="str">
        <f aca="false">IF(INDEX(BookTitle,1938)="","",INDEX(BookDivision,1938))</f>
        <v/>
      </c>
      <c r="D1943" s="40" t="str">
        <f aca="false">IF(INDEX(BookTitle,1938)="","",INDEX(BookUnit,1938))</f>
        <v/>
      </c>
      <c r="E1943" s="40" t="str">
        <f aca="false">IF(INDEX(BookTitle,1938)="","",INDEX(BookTitle,1938))</f>
        <v/>
      </c>
      <c r="F1943" s="40" t="str">
        <f aca="false">IF(INDEX(BookTitle,1938)="","",INDEX(BookLevel,1938))</f>
        <v/>
      </c>
      <c r="G1943" s="40" t="str">
        <f aca="false">IF(INDEX(BookTitle,1938)="","",INDEX(BookCategory,1938))</f>
        <v/>
      </c>
      <c r="H1943" s="40" t="str">
        <f aca="false">IF(INDEX(BookTitle,1938)="","",INDEX(BookRank,1938))</f>
        <v/>
      </c>
      <c r="I1943" s="41" t="str">
        <f aca="false">IF(INDEX(BookTitle,1938)="","",INDEX(BookTotal,1938))</f>
        <v/>
      </c>
      <c r="J1943" s="0" t="str">
        <f aca="false">IF($I1943="","",IF(INDEX(BookQ1,1938)&gt;0,"Q1",IF(INDEX(BookQ2,1938)&gt;0,"Q2",IF(INDEX(BookQ3,1938)&gt;0,"Q3",IF(INDEX(BookQ4,1938)&gt;0,"Q4","")))))</f>
        <v/>
      </c>
      <c r="K1943" s="42" t="str">
        <f aca="false">IF(INDEX(BookTitle,1938)="","",INDEX(BookInYear,1938))</f>
        <v/>
      </c>
      <c r="L1943" s="19"/>
      <c r="M1943" s="39"/>
      <c r="N1943" s="19"/>
      <c r="O1943" s="19"/>
      <c r="P1943" s="43" t="str">
        <f aca="false">IF($E1943="","",IF($L1943="Decline",0,IF($L1943="Approve fewer",IF($M1943="","",$M1943),IF($L1943="","",$I1943))))</f>
        <v/>
      </c>
      <c r="Q1943" s="34" t="str">
        <f aca="false">IF($P1943="","",IF($N1943&lt;&gt;"",$N1943,$J1943))</f>
        <v/>
      </c>
      <c r="R1943" s="35" t="str">
        <f aca="false">IF(OR($P1943="",$Q1943=""),"",INDEX(BookRate,1938)*$P1943*(5-MATCH($Q1943,{"Q1";"Q2";"Q3";"Q4"},0))/4+INDEX(BookOneOff,1938)*$P1943)</f>
        <v/>
      </c>
      <c r="S1943" s="35" t="str">
        <f aca="false">IF($P1943="","",INDEX(BookRate,1938)*$P1943)</f>
        <v/>
      </c>
      <c r="T1943" s="35" t="str">
        <f aca="false">IF($R1943="","",$R1943-$K1943)</f>
        <v/>
      </c>
      <c r="U1943" s="35" t="str">
        <f aca="false">IF(N($P1943)&lt;=0,"",COUNTIF($P$6:$P1943,"&gt;0"))</f>
        <v/>
      </c>
    </row>
    <row r="1944" customFormat="false" ht="15" hidden="false" customHeight="false" outlineLevel="0" collapsed="false">
      <c r="A1944" s="40" t="str">
        <f aca="false">IF(INDEX(BookTitle,1939)="","",INDEX(BookGroup,1939))</f>
        <v/>
      </c>
      <c r="B1944" s="40" t="str">
        <f aca="false">IF(INDEX(BookTitle,1939)="","",INDEX(BookRef,1939))</f>
        <v/>
      </c>
      <c r="C1944" s="40" t="str">
        <f aca="false">IF(INDEX(BookTitle,1939)="","",INDEX(BookDivision,1939))</f>
        <v/>
      </c>
      <c r="D1944" s="40" t="str">
        <f aca="false">IF(INDEX(BookTitle,1939)="","",INDEX(BookUnit,1939))</f>
        <v/>
      </c>
      <c r="E1944" s="40" t="str">
        <f aca="false">IF(INDEX(BookTitle,1939)="","",INDEX(BookTitle,1939))</f>
        <v/>
      </c>
      <c r="F1944" s="40" t="str">
        <f aca="false">IF(INDEX(BookTitle,1939)="","",INDEX(BookLevel,1939))</f>
        <v/>
      </c>
      <c r="G1944" s="40" t="str">
        <f aca="false">IF(INDEX(BookTitle,1939)="","",INDEX(BookCategory,1939))</f>
        <v/>
      </c>
      <c r="H1944" s="40" t="str">
        <f aca="false">IF(INDEX(BookTitle,1939)="","",INDEX(BookRank,1939))</f>
        <v/>
      </c>
      <c r="I1944" s="41" t="str">
        <f aca="false">IF(INDEX(BookTitle,1939)="","",INDEX(BookTotal,1939))</f>
        <v/>
      </c>
      <c r="J1944" s="0" t="str">
        <f aca="false">IF($I1944="","",IF(INDEX(BookQ1,1939)&gt;0,"Q1",IF(INDEX(BookQ2,1939)&gt;0,"Q2",IF(INDEX(BookQ3,1939)&gt;0,"Q3",IF(INDEX(BookQ4,1939)&gt;0,"Q4","")))))</f>
        <v/>
      </c>
      <c r="K1944" s="42" t="str">
        <f aca="false">IF(INDEX(BookTitle,1939)="","",INDEX(BookInYear,1939))</f>
        <v/>
      </c>
      <c r="L1944" s="19"/>
      <c r="M1944" s="39"/>
      <c r="N1944" s="19"/>
      <c r="O1944" s="19"/>
      <c r="P1944" s="43" t="str">
        <f aca="false">IF($E1944="","",IF($L1944="Decline",0,IF($L1944="Approve fewer",IF($M1944="","",$M1944),IF($L1944="","",$I1944))))</f>
        <v/>
      </c>
      <c r="Q1944" s="34" t="str">
        <f aca="false">IF($P1944="","",IF($N1944&lt;&gt;"",$N1944,$J1944))</f>
        <v/>
      </c>
      <c r="R1944" s="35" t="str">
        <f aca="false">IF(OR($P1944="",$Q1944=""),"",INDEX(BookRate,1939)*$P1944*(5-MATCH($Q1944,{"Q1";"Q2";"Q3";"Q4"},0))/4+INDEX(BookOneOff,1939)*$P1944)</f>
        <v/>
      </c>
      <c r="S1944" s="35" t="str">
        <f aca="false">IF($P1944="","",INDEX(BookRate,1939)*$P1944)</f>
        <v/>
      </c>
      <c r="T1944" s="35" t="str">
        <f aca="false">IF($R1944="","",$R1944-$K1944)</f>
        <v/>
      </c>
      <c r="U1944" s="35" t="str">
        <f aca="false">IF(N($P1944)&lt;=0,"",COUNTIF($P$6:$P1944,"&gt;0"))</f>
        <v/>
      </c>
    </row>
    <row r="1945" customFormat="false" ht="15" hidden="false" customHeight="false" outlineLevel="0" collapsed="false">
      <c r="A1945" s="40" t="str">
        <f aca="false">IF(INDEX(BookTitle,1940)="","",INDEX(BookGroup,1940))</f>
        <v/>
      </c>
      <c r="B1945" s="40" t="str">
        <f aca="false">IF(INDEX(BookTitle,1940)="","",INDEX(BookRef,1940))</f>
        <v/>
      </c>
      <c r="C1945" s="40" t="str">
        <f aca="false">IF(INDEX(BookTitle,1940)="","",INDEX(BookDivision,1940))</f>
        <v/>
      </c>
      <c r="D1945" s="40" t="str">
        <f aca="false">IF(INDEX(BookTitle,1940)="","",INDEX(BookUnit,1940))</f>
        <v/>
      </c>
      <c r="E1945" s="40" t="str">
        <f aca="false">IF(INDEX(BookTitle,1940)="","",INDEX(BookTitle,1940))</f>
        <v/>
      </c>
      <c r="F1945" s="40" t="str">
        <f aca="false">IF(INDEX(BookTitle,1940)="","",INDEX(BookLevel,1940))</f>
        <v/>
      </c>
      <c r="G1945" s="40" t="str">
        <f aca="false">IF(INDEX(BookTitle,1940)="","",INDEX(BookCategory,1940))</f>
        <v/>
      </c>
      <c r="H1945" s="40" t="str">
        <f aca="false">IF(INDEX(BookTitle,1940)="","",INDEX(BookRank,1940))</f>
        <v/>
      </c>
      <c r="I1945" s="41" t="str">
        <f aca="false">IF(INDEX(BookTitle,1940)="","",INDEX(BookTotal,1940))</f>
        <v/>
      </c>
      <c r="J1945" s="0" t="str">
        <f aca="false">IF($I1945="","",IF(INDEX(BookQ1,1940)&gt;0,"Q1",IF(INDEX(BookQ2,1940)&gt;0,"Q2",IF(INDEX(BookQ3,1940)&gt;0,"Q3",IF(INDEX(BookQ4,1940)&gt;0,"Q4","")))))</f>
        <v/>
      </c>
      <c r="K1945" s="42" t="str">
        <f aca="false">IF(INDEX(BookTitle,1940)="","",INDEX(BookInYear,1940))</f>
        <v/>
      </c>
      <c r="L1945" s="19"/>
      <c r="M1945" s="39"/>
      <c r="N1945" s="19"/>
      <c r="O1945" s="19"/>
      <c r="P1945" s="43" t="str">
        <f aca="false">IF($E1945="","",IF($L1945="Decline",0,IF($L1945="Approve fewer",IF($M1945="","",$M1945),IF($L1945="","",$I1945))))</f>
        <v/>
      </c>
      <c r="Q1945" s="34" t="str">
        <f aca="false">IF($P1945="","",IF($N1945&lt;&gt;"",$N1945,$J1945))</f>
        <v/>
      </c>
      <c r="R1945" s="35" t="str">
        <f aca="false">IF(OR($P1945="",$Q1945=""),"",INDEX(BookRate,1940)*$P1945*(5-MATCH($Q1945,{"Q1";"Q2";"Q3";"Q4"},0))/4+INDEX(BookOneOff,1940)*$P1945)</f>
        <v/>
      </c>
      <c r="S1945" s="35" t="str">
        <f aca="false">IF($P1945="","",INDEX(BookRate,1940)*$P1945)</f>
        <v/>
      </c>
      <c r="T1945" s="35" t="str">
        <f aca="false">IF($R1945="","",$R1945-$K1945)</f>
        <v/>
      </c>
      <c r="U1945" s="35" t="str">
        <f aca="false">IF(N($P1945)&lt;=0,"",COUNTIF($P$6:$P1945,"&gt;0"))</f>
        <v/>
      </c>
    </row>
    <row r="1946" customFormat="false" ht="15" hidden="false" customHeight="false" outlineLevel="0" collapsed="false">
      <c r="A1946" s="40" t="str">
        <f aca="false">IF(INDEX(BookTitle,1941)="","",INDEX(BookGroup,1941))</f>
        <v/>
      </c>
      <c r="B1946" s="40" t="str">
        <f aca="false">IF(INDEX(BookTitle,1941)="","",INDEX(BookRef,1941))</f>
        <v/>
      </c>
      <c r="C1946" s="40" t="str">
        <f aca="false">IF(INDEX(BookTitle,1941)="","",INDEX(BookDivision,1941))</f>
        <v/>
      </c>
      <c r="D1946" s="40" t="str">
        <f aca="false">IF(INDEX(BookTitle,1941)="","",INDEX(BookUnit,1941))</f>
        <v/>
      </c>
      <c r="E1946" s="40" t="str">
        <f aca="false">IF(INDEX(BookTitle,1941)="","",INDEX(BookTitle,1941))</f>
        <v/>
      </c>
      <c r="F1946" s="40" t="str">
        <f aca="false">IF(INDEX(BookTitle,1941)="","",INDEX(BookLevel,1941))</f>
        <v/>
      </c>
      <c r="G1946" s="40" t="str">
        <f aca="false">IF(INDEX(BookTitle,1941)="","",INDEX(BookCategory,1941))</f>
        <v/>
      </c>
      <c r="H1946" s="40" t="str">
        <f aca="false">IF(INDEX(BookTitle,1941)="","",INDEX(BookRank,1941))</f>
        <v/>
      </c>
      <c r="I1946" s="41" t="str">
        <f aca="false">IF(INDEX(BookTitle,1941)="","",INDEX(BookTotal,1941))</f>
        <v/>
      </c>
      <c r="J1946" s="0" t="str">
        <f aca="false">IF($I1946="","",IF(INDEX(BookQ1,1941)&gt;0,"Q1",IF(INDEX(BookQ2,1941)&gt;0,"Q2",IF(INDEX(BookQ3,1941)&gt;0,"Q3",IF(INDEX(BookQ4,1941)&gt;0,"Q4","")))))</f>
        <v/>
      </c>
      <c r="K1946" s="42" t="str">
        <f aca="false">IF(INDEX(BookTitle,1941)="","",INDEX(BookInYear,1941))</f>
        <v/>
      </c>
      <c r="L1946" s="19"/>
      <c r="M1946" s="39"/>
      <c r="N1946" s="19"/>
      <c r="O1946" s="19"/>
      <c r="P1946" s="43" t="str">
        <f aca="false">IF($E1946="","",IF($L1946="Decline",0,IF($L1946="Approve fewer",IF($M1946="","",$M1946),IF($L1946="","",$I1946))))</f>
        <v/>
      </c>
      <c r="Q1946" s="34" t="str">
        <f aca="false">IF($P1946="","",IF($N1946&lt;&gt;"",$N1946,$J1946))</f>
        <v/>
      </c>
      <c r="R1946" s="35" t="str">
        <f aca="false">IF(OR($P1946="",$Q1946=""),"",INDEX(BookRate,1941)*$P1946*(5-MATCH($Q1946,{"Q1";"Q2";"Q3";"Q4"},0))/4+INDEX(BookOneOff,1941)*$P1946)</f>
        <v/>
      </c>
      <c r="S1946" s="35" t="str">
        <f aca="false">IF($P1946="","",INDEX(BookRate,1941)*$P1946)</f>
        <v/>
      </c>
      <c r="T1946" s="35" t="str">
        <f aca="false">IF($R1946="","",$R1946-$K1946)</f>
        <v/>
      </c>
      <c r="U1946" s="35" t="str">
        <f aca="false">IF(N($P1946)&lt;=0,"",COUNTIF($P$6:$P1946,"&gt;0"))</f>
        <v/>
      </c>
    </row>
    <row r="1947" customFormat="false" ht="15" hidden="false" customHeight="false" outlineLevel="0" collapsed="false">
      <c r="A1947" s="40" t="str">
        <f aca="false">IF(INDEX(BookTitle,1942)="","",INDEX(BookGroup,1942))</f>
        <v/>
      </c>
      <c r="B1947" s="40" t="str">
        <f aca="false">IF(INDEX(BookTitle,1942)="","",INDEX(BookRef,1942))</f>
        <v/>
      </c>
      <c r="C1947" s="40" t="str">
        <f aca="false">IF(INDEX(BookTitle,1942)="","",INDEX(BookDivision,1942))</f>
        <v/>
      </c>
      <c r="D1947" s="40" t="str">
        <f aca="false">IF(INDEX(BookTitle,1942)="","",INDEX(BookUnit,1942))</f>
        <v/>
      </c>
      <c r="E1947" s="40" t="str">
        <f aca="false">IF(INDEX(BookTitle,1942)="","",INDEX(BookTitle,1942))</f>
        <v/>
      </c>
      <c r="F1947" s="40" t="str">
        <f aca="false">IF(INDEX(BookTitle,1942)="","",INDEX(BookLevel,1942))</f>
        <v/>
      </c>
      <c r="G1947" s="40" t="str">
        <f aca="false">IF(INDEX(BookTitle,1942)="","",INDEX(BookCategory,1942))</f>
        <v/>
      </c>
      <c r="H1947" s="40" t="str">
        <f aca="false">IF(INDEX(BookTitle,1942)="","",INDEX(BookRank,1942))</f>
        <v/>
      </c>
      <c r="I1947" s="41" t="str">
        <f aca="false">IF(INDEX(BookTitle,1942)="","",INDEX(BookTotal,1942))</f>
        <v/>
      </c>
      <c r="J1947" s="0" t="str">
        <f aca="false">IF($I1947="","",IF(INDEX(BookQ1,1942)&gt;0,"Q1",IF(INDEX(BookQ2,1942)&gt;0,"Q2",IF(INDEX(BookQ3,1942)&gt;0,"Q3",IF(INDEX(BookQ4,1942)&gt;0,"Q4","")))))</f>
        <v/>
      </c>
      <c r="K1947" s="42" t="str">
        <f aca="false">IF(INDEX(BookTitle,1942)="","",INDEX(BookInYear,1942))</f>
        <v/>
      </c>
      <c r="L1947" s="19"/>
      <c r="M1947" s="39"/>
      <c r="N1947" s="19"/>
      <c r="O1947" s="19"/>
      <c r="P1947" s="43" t="str">
        <f aca="false">IF($E1947="","",IF($L1947="Decline",0,IF($L1947="Approve fewer",IF($M1947="","",$M1947),IF($L1947="","",$I1947))))</f>
        <v/>
      </c>
      <c r="Q1947" s="34" t="str">
        <f aca="false">IF($P1947="","",IF($N1947&lt;&gt;"",$N1947,$J1947))</f>
        <v/>
      </c>
      <c r="R1947" s="35" t="str">
        <f aca="false">IF(OR($P1947="",$Q1947=""),"",INDEX(BookRate,1942)*$P1947*(5-MATCH($Q1947,{"Q1";"Q2";"Q3";"Q4"},0))/4+INDEX(BookOneOff,1942)*$P1947)</f>
        <v/>
      </c>
      <c r="S1947" s="35" t="str">
        <f aca="false">IF($P1947="","",INDEX(BookRate,1942)*$P1947)</f>
        <v/>
      </c>
      <c r="T1947" s="35" t="str">
        <f aca="false">IF($R1947="","",$R1947-$K1947)</f>
        <v/>
      </c>
      <c r="U1947" s="35" t="str">
        <f aca="false">IF(N($P1947)&lt;=0,"",COUNTIF($P$6:$P1947,"&gt;0"))</f>
        <v/>
      </c>
    </row>
    <row r="1948" customFormat="false" ht="15" hidden="false" customHeight="false" outlineLevel="0" collapsed="false">
      <c r="A1948" s="40" t="str">
        <f aca="false">IF(INDEX(BookTitle,1943)="","",INDEX(BookGroup,1943))</f>
        <v/>
      </c>
      <c r="B1948" s="40" t="str">
        <f aca="false">IF(INDEX(BookTitle,1943)="","",INDEX(BookRef,1943))</f>
        <v/>
      </c>
      <c r="C1948" s="40" t="str">
        <f aca="false">IF(INDEX(BookTitle,1943)="","",INDEX(BookDivision,1943))</f>
        <v/>
      </c>
      <c r="D1948" s="40" t="str">
        <f aca="false">IF(INDEX(BookTitle,1943)="","",INDEX(BookUnit,1943))</f>
        <v/>
      </c>
      <c r="E1948" s="40" t="str">
        <f aca="false">IF(INDEX(BookTitle,1943)="","",INDEX(BookTitle,1943))</f>
        <v/>
      </c>
      <c r="F1948" s="40" t="str">
        <f aca="false">IF(INDEX(BookTitle,1943)="","",INDEX(BookLevel,1943))</f>
        <v/>
      </c>
      <c r="G1948" s="40" t="str">
        <f aca="false">IF(INDEX(BookTitle,1943)="","",INDEX(BookCategory,1943))</f>
        <v/>
      </c>
      <c r="H1948" s="40" t="str">
        <f aca="false">IF(INDEX(BookTitle,1943)="","",INDEX(BookRank,1943))</f>
        <v/>
      </c>
      <c r="I1948" s="41" t="str">
        <f aca="false">IF(INDEX(BookTitle,1943)="","",INDEX(BookTotal,1943))</f>
        <v/>
      </c>
      <c r="J1948" s="0" t="str">
        <f aca="false">IF($I1948="","",IF(INDEX(BookQ1,1943)&gt;0,"Q1",IF(INDEX(BookQ2,1943)&gt;0,"Q2",IF(INDEX(BookQ3,1943)&gt;0,"Q3",IF(INDEX(BookQ4,1943)&gt;0,"Q4","")))))</f>
        <v/>
      </c>
      <c r="K1948" s="42" t="str">
        <f aca="false">IF(INDEX(BookTitle,1943)="","",INDEX(BookInYear,1943))</f>
        <v/>
      </c>
      <c r="L1948" s="19"/>
      <c r="M1948" s="39"/>
      <c r="N1948" s="19"/>
      <c r="O1948" s="19"/>
      <c r="P1948" s="43" t="str">
        <f aca="false">IF($E1948="","",IF($L1948="Decline",0,IF($L1948="Approve fewer",IF($M1948="","",$M1948),IF($L1948="","",$I1948))))</f>
        <v/>
      </c>
      <c r="Q1948" s="34" t="str">
        <f aca="false">IF($P1948="","",IF($N1948&lt;&gt;"",$N1948,$J1948))</f>
        <v/>
      </c>
      <c r="R1948" s="35" t="str">
        <f aca="false">IF(OR($P1948="",$Q1948=""),"",INDEX(BookRate,1943)*$P1948*(5-MATCH($Q1948,{"Q1";"Q2";"Q3";"Q4"},0))/4+INDEX(BookOneOff,1943)*$P1948)</f>
        <v/>
      </c>
      <c r="S1948" s="35" t="str">
        <f aca="false">IF($P1948="","",INDEX(BookRate,1943)*$P1948)</f>
        <v/>
      </c>
      <c r="T1948" s="35" t="str">
        <f aca="false">IF($R1948="","",$R1948-$K1948)</f>
        <v/>
      </c>
      <c r="U1948" s="35" t="str">
        <f aca="false">IF(N($P1948)&lt;=0,"",COUNTIF($P$6:$P1948,"&gt;0"))</f>
        <v/>
      </c>
    </row>
    <row r="1949" customFormat="false" ht="15" hidden="false" customHeight="false" outlineLevel="0" collapsed="false">
      <c r="A1949" s="40" t="str">
        <f aca="false">IF(INDEX(BookTitle,1944)="","",INDEX(BookGroup,1944))</f>
        <v/>
      </c>
      <c r="B1949" s="40" t="str">
        <f aca="false">IF(INDEX(BookTitle,1944)="","",INDEX(BookRef,1944))</f>
        <v/>
      </c>
      <c r="C1949" s="40" t="str">
        <f aca="false">IF(INDEX(BookTitle,1944)="","",INDEX(BookDivision,1944))</f>
        <v/>
      </c>
      <c r="D1949" s="40" t="str">
        <f aca="false">IF(INDEX(BookTitle,1944)="","",INDEX(BookUnit,1944))</f>
        <v/>
      </c>
      <c r="E1949" s="40" t="str">
        <f aca="false">IF(INDEX(BookTitle,1944)="","",INDEX(BookTitle,1944))</f>
        <v/>
      </c>
      <c r="F1949" s="40" t="str">
        <f aca="false">IF(INDEX(BookTitle,1944)="","",INDEX(BookLevel,1944))</f>
        <v/>
      </c>
      <c r="G1949" s="40" t="str">
        <f aca="false">IF(INDEX(BookTitle,1944)="","",INDEX(BookCategory,1944))</f>
        <v/>
      </c>
      <c r="H1949" s="40" t="str">
        <f aca="false">IF(INDEX(BookTitle,1944)="","",INDEX(BookRank,1944))</f>
        <v/>
      </c>
      <c r="I1949" s="41" t="str">
        <f aca="false">IF(INDEX(BookTitle,1944)="","",INDEX(BookTotal,1944))</f>
        <v/>
      </c>
      <c r="J1949" s="0" t="str">
        <f aca="false">IF($I1949="","",IF(INDEX(BookQ1,1944)&gt;0,"Q1",IF(INDEX(BookQ2,1944)&gt;0,"Q2",IF(INDEX(BookQ3,1944)&gt;0,"Q3",IF(INDEX(BookQ4,1944)&gt;0,"Q4","")))))</f>
        <v/>
      </c>
      <c r="K1949" s="42" t="str">
        <f aca="false">IF(INDEX(BookTitle,1944)="","",INDEX(BookInYear,1944))</f>
        <v/>
      </c>
      <c r="L1949" s="19"/>
      <c r="M1949" s="39"/>
      <c r="N1949" s="19"/>
      <c r="O1949" s="19"/>
      <c r="P1949" s="43" t="str">
        <f aca="false">IF($E1949="","",IF($L1949="Decline",0,IF($L1949="Approve fewer",IF($M1949="","",$M1949),IF($L1949="","",$I1949))))</f>
        <v/>
      </c>
      <c r="Q1949" s="34" t="str">
        <f aca="false">IF($P1949="","",IF($N1949&lt;&gt;"",$N1949,$J1949))</f>
        <v/>
      </c>
      <c r="R1949" s="35" t="str">
        <f aca="false">IF(OR($P1949="",$Q1949=""),"",INDEX(BookRate,1944)*$P1949*(5-MATCH($Q1949,{"Q1";"Q2";"Q3";"Q4"},0))/4+INDEX(BookOneOff,1944)*$P1949)</f>
        <v/>
      </c>
      <c r="S1949" s="35" t="str">
        <f aca="false">IF($P1949="","",INDEX(BookRate,1944)*$P1949)</f>
        <v/>
      </c>
      <c r="T1949" s="35" t="str">
        <f aca="false">IF($R1949="","",$R1949-$K1949)</f>
        <v/>
      </c>
      <c r="U1949" s="35" t="str">
        <f aca="false">IF(N($P1949)&lt;=0,"",COUNTIF($P$6:$P1949,"&gt;0"))</f>
        <v/>
      </c>
    </row>
    <row r="1950" customFormat="false" ht="15" hidden="false" customHeight="false" outlineLevel="0" collapsed="false">
      <c r="A1950" s="40" t="str">
        <f aca="false">IF(INDEX(BookTitle,1945)="","",INDEX(BookGroup,1945))</f>
        <v/>
      </c>
      <c r="B1950" s="40" t="str">
        <f aca="false">IF(INDEX(BookTitle,1945)="","",INDEX(BookRef,1945))</f>
        <v/>
      </c>
      <c r="C1950" s="40" t="str">
        <f aca="false">IF(INDEX(BookTitle,1945)="","",INDEX(BookDivision,1945))</f>
        <v/>
      </c>
      <c r="D1950" s="40" t="str">
        <f aca="false">IF(INDEX(BookTitle,1945)="","",INDEX(BookUnit,1945))</f>
        <v/>
      </c>
      <c r="E1950" s="40" t="str">
        <f aca="false">IF(INDEX(BookTitle,1945)="","",INDEX(BookTitle,1945))</f>
        <v/>
      </c>
      <c r="F1950" s="40" t="str">
        <f aca="false">IF(INDEX(BookTitle,1945)="","",INDEX(BookLevel,1945))</f>
        <v/>
      </c>
      <c r="G1950" s="40" t="str">
        <f aca="false">IF(INDEX(BookTitle,1945)="","",INDEX(BookCategory,1945))</f>
        <v/>
      </c>
      <c r="H1950" s="40" t="str">
        <f aca="false">IF(INDEX(BookTitle,1945)="","",INDEX(BookRank,1945))</f>
        <v/>
      </c>
      <c r="I1950" s="41" t="str">
        <f aca="false">IF(INDEX(BookTitle,1945)="","",INDEX(BookTotal,1945))</f>
        <v/>
      </c>
      <c r="J1950" s="0" t="str">
        <f aca="false">IF($I1950="","",IF(INDEX(BookQ1,1945)&gt;0,"Q1",IF(INDEX(BookQ2,1945)&gt;0,"Q2",IF(INDEX(BookQ3,1945)&gt;0,"Q3",IF(INDEX(BookQ4,1945)&gt;0,"Q4","")))))</f>
        <v/>
      </c>
      <c r="K1950" s="42" t="str">
        <f aca="false">IF(INDEX(BookTitle,1945)="","",INDEX(BookInYear,1945))</f>
        <v/>
      </c>
      <c r="L1950" s="19"/>
      <c r="M1950" s="39"/>
      <c r="N1950" s="19"/>
      <c r="O1950" s="19"/>
      <c r="P1950" s="43" t="str">
        <f aca="false">IF($E1950="","",IF($L1950="Decline",0,IF($L1950="Approve fewer",IF($M1950="","",$M1950),IF($L1950="","",$I1950))))</f>
        <v/>
      </c>
      <c r="Q1950" s="34" t="str">
        <f aca="false">IF($P1950="","",IF($N1950&lt;&gt;"",$N1950,$J1950))</f>
        <v/>
      </c>
      <c r="R1950" s="35" t="str">
        <f aca="false">IF(OR($P1950="",$Q1950=""),"",INDEX(BookRate,1945)*$P1950*(5-MATCH($Q1950,{"Q1";"Q2";"Q3";"Q4"},0))/4+INDEX(BookOneOff,1945)*$P1950)</f>
        <v/>
      </c>
      <c r="S1950" s="35" t="str">
        <f aca="false">IF($P1950="","",INDEX(BookRate,1945)*$P1950)</f>
        <v/>
      </c>
      <c r="T1950" s="35" t="str">
        <f aca="false">IF($R1950="","",$R1950-$K1950)</f>
        <v/>
      </c>
      <c r="U1950" s="35" t="str">
        <f aca="false">IF(N($P1950)&lt;=0,"",COUNTIF($P$6:$P1950,"&gt;0"))</f>
        <v/>
      </c>
    </row>
    <row r="1951" customFormat="false" ht="15" hidden="false" customHeight="false" outlineLevel="0" collapsed="false">
      <c r="A1951" s="40" t="str">
        <f aca="false">IF(INDEX(BookTitle,1946)="","",INDEX(BookGroup,1946))</f>
        <v/>
      </c>
      <c r="B1951" s="40" t="str">
        <f aca="false">IF(INDEX(BookTitle,1946)="","",INDEX(BookRef,1946))</f>
        <v/>
      </c>
      <c r="C1951" s="40" t="str">
        <f aca="false">IF(INDEX(BookTitle,1946)="","",INDEX(BookDivision,1946))</f>
        <v/>
      </c>
      <c r="D1951" s="40" t="str">
        <f aca="false">IF(INDEX(BookTitle,1946)="","",INDEX(BookUnit,1946))</f>
        <v/>
      </c>
      <c r="E1951" s="40" t="str">
        <f aca="false">IF(INDEX(BookTitle,1946)="","",INDEX(BookTitle,1946))</f>
        <v/>
      </c>
      <c r="F1951" s="40" t="str">
        <f aca="false">IF(INDEX(BookTitle,1946)="","",INDEX(BookLevel,1946))</f>
        <v/>
      </c>
      <c r="G1951" s="40" t="str">
        <f aca="false">IF(INDEX(BookTitle,1946)="","",INDEX(BookCategory,1946))</f>
        <v/>
      </c>
      <c r="H1951" s="40" t="str">
        <f aca="false">IF(INDEX(BookTitle,1946)="","",INDEX(BookRank,1946))</f>
        <v/>
      </c>
      <c r="I1951" s="41" t="str">
        <f aca="false">IF(INDEX(BookTitle,1946)="","",INDEX(BookTotal,1946))</f>
        <v/>
      </c>
      <c r="J1951" s="0" t="str">
        <f aca="false">IF($I1951="","",IF(INDEX(BookQ1,1946)&gt;0,"Q1",IF(INDEX(BookQ2,1946)&gt;0,"Q2",IF(INDEX(BookQ3,1946)&gt;0,"Q3",IF(INDEX(BookQ4,1946)&gt;0,"Q4","")))))</f>
        <v/>
      </c>
      <c r="K1951" s="42" t="str">
        <f aca="false">IF(INDEX(BookTitle,1946)="","",INDEX(BookInYear,1946))</f>
        <v/>
      </c>
      <c r="L1951" s="19"/>
      <c r="M1951" s="39"/>
      <c r="N1951" s="19"/>
      <c r="O1951" s="19"/>
      <c r="P1951" s="43" t="str">
        <f aca="false">IF($E1951="","",IF($L1951="Decline",0,IF($L1951="Approve fewer",IF($M1951="","",$M1951),IF($L1951="","",$I1951))))</f>
        <v/>
      </c>
      <c r="Q1951" s="34" t="str">
        <f aca="false">IF($P1951="","",IF($N1951&lt;&gt;"",$N1951,$J1951))</f>
        <v/>
      </c>
      <c r="R1951" s="35" t="str">
        <f aca="false">IF(OR($P1951="",$Q1951=""),"",INDEX(BookRate,1946)*$P1951*(5-MATCH($Q1951,{"Q1";"Q2";"Q3";"Q4"},0))/4+INDEX(BookOneOff,1946)*$P1951)</f>
        <v/>
      </c>
      <c r="S1951" s="35" t="str">
        <f aca="false">IF($P1951="","",INDEX(BookRate,1946)*$P1951)</f>
        <v/>
      </c>
      <c r="T1951" s="35" t="str">
        <f aca="false">IF($R1951="","",$R1951-$K1951)</f>
        <v/>
      </c>
      <c r="U1951" s="35" t="str">
        <f aca="false">IF(N($P1951)&lt;=0,"",COUNTIF($P$6:$P1951,"&gt;0"))</f>
        <v/>
      </c>
    </row>
    <row r="1952" customFormat="false" ht="15" hidden="false" customHeight="false" outlineLevel="0" collapsed="false">
      <c r="A1952" s="40" t="str">
        <f aca="false">IF(INDEX(BookTitle,1947)="","",INDEX(BookGroup,1947))</f>
        <v/>
      </c>
      <c r="B1952" s="40" t="str">
        <f aca="false">IF(INDEX(BookTitle,1947)="","",INDEX(BookRef,1947))</f>
        <v/>
      </c>
      <c r="C1952" s="40" t="str">
        <f aca="false">IF(INDEX(BookTitle,1947)="","",INDEX(BookDivision,1947))</f>
        <v/>
      </c>
      <c r="D1952" s="40" t="str">
        <f aca="false">IF(INDEX(BookTitle,1947)="","",INDEX(BookUnit,1947))</f>
        <v/>
      </c>
      <c r="E1952" s="40" t="str">
        <f aca="false">IF(INDEX(BookTitle,1947)="","",INDEX(BookTitle,1947))</f>
        <v/>
      </c>
      <c r="F1952" s="40" t="str">
        <f aca="false">IF(INDEX(BookTitle,1947)="","",INDEX(BookLevel,1947))</f>
        <v/>
      </c>
      <c r="G1952" s="40" t="str">
        <f aca="false">IF(INDEX(BookTitle,1947)="","",INDEX(BookCategory,1947))</f>
        <v/>
      </c>
      <c r="H1952" s="40" t="str">
        <f aca="false">IF(INDEX(BookTitle,1947)="","",INDEX(BookRank,1947))</f>
        <v/>
      </c>
      <c r="I1952" s="41" t="str">
        <f aca="false">IF(INDEX(BookTitle,1947)="","",INDEX(BookTotal,1947))</f>
        <v/>
      </c>
      <c r="J1952" s="0" t="str">
        <f aca="false">IF($I1952="","",IF(INDEX(BookQ1,1947)&gt;0,"Q1",IF(INDEX(BookQ2,1947)&gt;0,"Q2",IF(INDEX(BookQ3,1947)&gt;0,"Q3",IF(INDEX(BookQ4,1947)&gt;0,"Q4","")))))</f>
        <v/>
      </c>
      <c r="K1952" s="42" t="str">
        <f aca="false">IF(INDEX(BookTitle,1947)="","",INDEX(BookInYear,1947))</f>
        <v/>
      </c>
      <c r="L1952" s="19"/>
      <c r="M1952" s="39"/>
      <c r="N1952" s="19"/>
      <c r="O1952" s="19"/>
      <c r="P1952" s="43" t="str">
        <f aca="false">IF($E1952="","",IF($L1952="Decline",0,IF($L1952="Approve fewer",IF($M1952="","",$M1952),IF($L1952="","",$I1952))))</f>
        <v/>
      </c>
      <c r="Q1952" s="34" t="str">
        <f aca="false">IF($P1952="","",IF($N1952&lt;&gt;"",$N1952,$J1952))</f>
        <v/>
      </c>
      <c r="R1952" s="35" t="str">
        <f aca="false">IF(OR($P1952="",$Q1952=""),"",INDEX(BookRate,1947)*$P1952*(5-MATCH($Q1952,{"Q1";"Q2";"Q3";"Q4"},0))/4+INDEX(BookOneOff,1947)*$P1952)</f>
        <v/>
      </c>
      <c r="S1952" s="35" t="str">
        <f aca="false">IF($P1952="","",INDEX(BookRate,1947)*$P1952)</f>
        <v/>
      </c>
      <c r="T1952" s="35" t="str">
        <f aca="false">IF($R1952="","",$R1952-$K1952)</f>
        <v/>
      </c>
      <c r="U1952" s="35" t="str">
        <f aca="false">IF(N($P1952)&lt;=0,"",COUNTIF($P$6:$P1952,"&gt;0"))</f>
        <v/>
      </c>
    </row>
    <row r="1953" customFormat="false" ht="15" hidden="false" customHeight="false" outlineLevel="0" collapsed="false">
      <c r="A1953" s="40" t="str">
        <f aca="false">IF(INDEX(BookTitle,1948)="","",INDEX(BookGroup,1948))</f>
        <v/>
      </c>
      <c r="B1953" s="40" t="str">
        <f aca="false">IF(INDEX(BookTitle,1948)="","",INDEX(BookRef,1948))</f>
        <v/>
      </c>
      <c r="C1953" s="40" t="str">
        <f aca="false">IF(INDEX(BookTitle,1948)="","",INDEX(BookDivision,1948))</f>
        <v/>
      </c>
      <c r="D1953" s="40" t="str">
        <f aca="false">IF(INDEX(BookTitle,1948)="","",INDEX(BookUnit,1948))</f>
        <v/>
      </c>
      <c r="E1953" s="40" t="str">
        <f aca="false">IF(INDEX(BookTitle,1948)="","",INDEX(BookTitle,1948))</f>
        <v/>
      </c>
      <c r="F1953" s="40" t="str">
        <f aca="false">IF(INDEX(BookTitle,1948)="","",INDEX(BookLevel,1948))</f>
        <v/>
      </c>
      <c r="G1953" s="40" t="str">
        <f aca="false">IF(INDEX(BookTitle,1948)="","",INDEX(BookCategory,1948))</f>
        <v/>
      </c>
      <c r="H1953" s="40" t="str">
        <f aca="false">IF(INDEX(BookTitle,1948)="","",INDEX(BookRank,1948))</f>
        <v/>
      </c>
      <c r="I1953" s="41" t="str">
        <f aca="false">IF(INDEX(BookTitle,1948)="","",INDEX(BookTotal,1948))</f>
        <v/>
      </c>
      <c r="J1953" s="0" t="str">
        <f aca="false">IF($I1953="","",IF(INDEX(BookQ1,1948)&gt;0,"Q1",IF(INDEX(BookQ2,1948)&gt;0,"Q2",IF(INDEX(BookQ3,1948)&gt;0,"Q3",IF(INDEX(BookQ4,1948)&gt;0,"Q4","")))))</f>
        <v/>
      </c>
      <c r="K1953" s="42" t="str">
        <f aca="false">IF(INDEX(BookTitle,1948)="","",INDEX(BookInYear,1948))</f>
        <v/>
      </c>
      <c r="L1953" s="19"/>
      <c r="M1953" s="39"/>
      <c r="N1953" s="19"/>
      <c r="O1953" s="19"/>
      <c r="P1953" s="43" t="str">
        <f aca="false">IF($E1953="","",IF($L1953="Decline",0,IF($L1953="Approve fewer",IF($M1953="","",$M1953),IF($L1953="","",$I1953))))</f>
        <v/>
      </c>
      <c r="Q1953" s="34" t="str">
        <f aca="false">IF($P1953="","",IF($N1953&lt;&gt;"",$N1953,$J1953))</f>
        <v/>
      </c>
      <c r="R1953" s="35" t="str">
        <f aca="false">IF(OR($P1953="",$Q1953=""),"",INDEX(BookRate,1948)*$P1953*(5-MATCH($Q1953,{"Q1";"Q2";"Q3";"Q4"},0))/4+INDEX(BookOneOff,1948)*$P1953)</f>
        <v/>
      </c>
      <c r="S1953" s="35" t="str">
        <f aca="false">IF($P1953="","",INDEX(BookRate,1948)*$P1953)</f>
        <v/>
      </c>
      <c r="T1953" s="35" t="str">
        <f aca="false">IF($R1953="","",$R1953-$K1953)</f>
        <v/>
      </c>
      <c r="U1953" s="35" t="str">
        <f aca="false">IF(N($P1953)&lt;=0,"",COUNTIF($P$6:$P1953,"&gt;0"))</f>
        <v/>
      </c>
    </row>
    <row r="1954" customFormat="false" ht="15" hidden="false" customHeight="false" outlineLevel="0" collapsed="false">
      <c r="A1954" s="40" t="str">
        <f aca="false">IF(INDEX(BookTitle,1949)="","",INDEX(BookGroup,1949))</f>
        <v/>
      </c>
      <c r="B1954" s="40" t="str">
        <f aca="false">IF(INDEX(BookTitle,1949)="","",INDEX(BookRef,1949))</f>
        <v/>
      </c>
      <c r="C1954" s="40" t="str">
        <f aca="false">IF(INDEX(BookTitle,1949)="","",INDEX(BookDivision,1949))</f>
        <v/>
      </c>
      <c r="D1954" s="40" t="str">
        <f aca="false">IF(INDEX(BookTitle,1949)="","",INDEX(BookUnit,1949))</f>
        <v/>
      </c>
      <c r="E1954" s="40" t="str">
        <f aca="false">IF(INDEX(BookTitle,1949)="","",INDEX(BookTitle,1949))</f>
        <v/>
      </c>
      <c r="F1954" s="40" t="str">
        <f aca="false">IF(INDEX(BookTitle,1949)="","",INDEX(BookLevel,1949))</f>
        <v/>
      </c>
      <c r="G1954" s="40" t="str">
        <f aca="false">IF(INDEX(BookTitle,1949)="","",INDEX(BookCategory,1949))</f>
        <v/>
      </c>
      <c r="H1954" s="40" t="str">
        <f aca="false">IF(INDEX(BookTitle,1949)="","",INDEX(BookRank,1949))</f>
        <v/>
      </c>
      <c r="I1954" s="41" t="str">
        <f aca="false">IF(INDEX(BookTitle,1949)="","",INDEX(BookTotal,1949))</f>
        <v/>
      </c>
      <c r="J1954" s="0" t="str">
        <f aca="false">IF($I1954="","",IF(INDEX(BookQ1,1949)&gt;0,"Q1",IF(INDEX(BookQ2,1949)&gt;0,"Q2",IF(INDEX(BookQ3,1949)&gt;0,"Q3",IF(INDEX(BookQ4,1949)&gt;0,"Q4","")))))</f>
        <v/>
      </c>
      <c r="K1954" s="42" t="str">
        <f aca="false">IF(INDEX(BookTitle,1949)="","",INDEX(BookInYear,1949))</f>
        <v/>
      </c>
      <c r="L1954" s="19"/>
      <c r="M1954" s="39"/>
      <c r="N1954" s="19"/>
      <c r="O1954" s="19"/>
      <c r="P1954" s="43" t="str">
        <f aca="false">IF($E1954="","",IF($L1954="Decline",0,IF($L1954="Approve fewer",IF($M1954="","",$M1954),IF($L1954="","",$I1954))))</f>
        <v/>
      </c>
      <c r="Q1954" s="34" t="str">
        <f aca="false">IF($P1954="","",IF($N1954&lt;&gt;"",$N1954,$J1954))</f>
        <v/>
      </c>
      <c r="R1954" s="35" t="str">
        <f aca="false">IF(OR($P1954="",$Q1954=""),"",INDEX(BookRate,1949)*$P1954*(5-MATCH($Q1954,{"Q1";"Q2";"Q3";"Q4"},0))/4+INDEX(BookOneOff,1949)*$P1954)</f>
        <v/>
      </c>
      <c r="S1954" s="35" t="str">
        <f aca="false">IF($P1954="","",INDEX(BookRate,1949)*$P1954)</f>
        <v/>
      </c>
      <c r="T1954" s="35" t="str">
        <f aca="false">IF($R1954="","",$R1954-$K1954)</f>
        <v/>
      </c>
      <c r="U1954" s="35" t="str">
        <f aca="false">IF(N($P1954)&lt;=0,"",COUNTIF($P$6:$P1954,"&gt;0"))</f>
        <v/>
      </c>
    </row>
    <row r="1955" customFormat="false" ht="15" hidden="false" customHeight="false" outlineLevel="0" collapsed="false">
      <c r="A1955" s="40" t="str">
        <f aca="false">IF(INDEX(BookTitle,1950)="","",INDEX(BookGroup,1950))</f>
        <v/>
      </c>
      <c r="B1955" s="40" t="str">
        <f aca="false">IF(INDEX(BookTitle,1950)="","",INDEX(BookRef,1950))</f>
        <v/>
      </c>
      <c r="C1955" s="40" t="str">
        <f aca="false">IF(INDEX(BookTitle,1950)="","",INDEX(BookDivision,1950))</f>
        <v/>
      </c>
      <c r="D1955" s="40" t="str">
        <f aca="false">IF(INDEX(BookTitle,1950)="","",INDEX(BookUnit,1950))</f>
        <v/>
      </c>
      <c r="E1955" s="40" t="str">
        <f aca="false">IF(INDEX(BookTitle,1950)="","",INDEX(BookTitle,1950))</f>
        <v/>
      </c>
      <c r="F1955" s="40" t="str">
        <f aca="false">IF(INDEX(BookTitle,1950)="","",INDEX(BookLevel,1950))</f>
        <v/>
      </c>
      <c r="G1955" s="40" t="str">
        <f aca="false">IF(INDEX(BookTitle,1950)="","",INDEX(BookCategory,1950))</f>
        <v/>
      </c>
      <c r="H1955" s="40" t="str">
        <f aca="false">IF(INDEX(BookTitle,1950)="","",INDEX(BookRank,1950))</f>
        <v/>
      </c>
      <c r="I1955" s="41" t="str">
        <f aca="false">IF(INDEX(BookTitle,1950)="","",INDEX(BookTotal,1950))</f>
        <v/>
      </c>
      <c r="J1955" s="0" t="str">
        <f aca="false">IF($I1955="","",IF(INDEX(BookQ1,1950)&gt;0,"Q1",IF(INDEX(BookQ2,1950)&gt;0,"Q2",IF(INDEX(BookQ3,1950)&gt;0,"Q3",IF(INDEX(BookQ4,1950)&gt;0,"Q4","")))))</f>
        <v/>
      </c>
      <c r="K1955" s="42" t="str">
        <f aca="false">IF(INDEX(BookTitle,1950)="","",INDEX(BookInYear,1950))</f>
        <v/>
      </c>
      <c r="L1955" s="19"/>
      <c r="M1955" s="39"/>
      <c r="N1955" s="19"/>
      <c r="O1955" s="19"/>
      <c r="P1955" s="43" t="str">
        <f aca="false">IF($E1955="","",IF($L1955="Decline",0,IF($L1955="Approve fewer",IF($M1955="","",$M1955),IF($L1955="","",$I1955))))</f>
        <v/>
      </c>
      <c r="Q1955" s="34" t="str">
        <f aca="false">IF($P1955="","",IF($N1955&lt;&gt;"",$N1955,$J1955))</f>
        <v/>
      </c>
      <c r="R1955" s="35" t="str">
        <f aca="false">IF(OR($P1955="",$Q1955=""),"",INDEX(BookRate,1950)*$P1955*(5-MATCH($Q1955,{"Q1";"Q2";"Q3";"Q4"},0))/4+INDEX(BookOneOff,1950)*$P1955)</f>
        <v/>
      </c>
      <c r="S1955" s="35" t="str">
        <f aca="false">IF($P1955="","",INDEX(BookRate,1950)*$P1955)</f>
        <v/>
      </c>
      <c r="T1955" s="35" t="str">
        <f aca="false">IF($R1955="","",$R1955-$K1955)</f>
        <v/>
      </c>
      <c r="U1955" s="35" t="str">
        <f aca="false">IF(N($P1955)&lt;=0,"",COUNTIF($P$6:$P1955,"&gt;0"))</f>
        <v/>
      </c>
    </row>
    <row r="1956" customFormat="false" ht="15" hidden="false" customHeight="false" outlineLevel="0" collapsed="false">
      <c r="A1956" s="40" t="str">
        <f aca="false">IF(INDEX(BookTitle,1951)="","",INDEX(BookGroup,1951))</f>
        <v/>
      </c>
      <c r="B1956" s="40" t="str">
        <f aca="false">IF(INDEX(BookTitle,1951)="","",INDEX(BookRef,1951))</f>
        <v/>
      </c>
      <c r="C1956" s="40" t="str">
        <f aca="false">IF(INDEX(BookTitle,1951)="","",INDEX(BookDivision,1951))</f>
        <v/>
      </c>
      <c r="D1956" s="40" t="str">
        <f aca="false">IF(INDEX(BookTitle,1951)="","",INDEX(BookUnit,1951))</f>
        <v/>
      </c>
      <c r="E1956" s="40" t="str">
        <f aca="false">IF(INDEX(BookTitle,1951)="","",INDEX(BookTitle,1951))</f>
        <v/>
      </c>
      <c r="F1956" s="40" t="str">
        <f aca="false">IF(INDEX(BookTitle,1951)="","",INDEX(BookLevel,1951))</f>
        <v/>
      </c>
      <c r="G1956" s="40" t="str">
        <f aca="false">IF(INDEX(BookTitle,1951)="","",INDEX(BookCategory,1951))</f>
        <v/>
      </c>
      <c r="H1956" s="40" t="str">
        <f aca="false">IF(INDEX(BookTitle,1951)="","",INDEX(BookRank,1951))</f>
        <v/>
      </c>
      <c r="I1956" s="41" t="str">
        <f aca="false">IF(INDEX(BookTitle,1951)="","",INDEX(BookTotal,1951))</f>
        <v/>
      </c>
      <c r="J1956" s="0" t="str">
        <f aca="false">IF($I1956="","",IF(INDEX(BookQ1,1951)&gt;0,"Q1",IF(INDEX(BookQ2,1951)&gt;0,"Q2",IF(INDEX(BookQ3,1951)&gt;0,"Q3",IF(INDEX(BookQ4,1951)&gt;0,"Q4","")))))</f>
        <v/>
      </c>
      <c r="K1956" s="42" t="str">
        <f aca="false">IF(INDEX(BookTitle,1951)="","",INDEX(BookInYear,1951))</f>
        <v/>
      </c>
      <c r="L1956" s="19"/>
      <c r="M1956" s="39"/>
      <c r="N1956" s="19"/>
      <c r="O1956" s="19"/>
      <c r="P1956" s="43" t="str">
        <f aca="false">IF($E1956="","",IF($L1956="Decline",0,IF($L1956="Approve fewer",IF($M1956="","",$M1956),IF($L1956="","",$I1956))))</f>
        <v/>
      </c>
      <c r="Q1956" s="34" t="str">
        <f aca="false">IF($P1956="","",IF($N1956&lt;&gt;"",$N1956,$J1956))</f>
        <v/>
      </c>
      <c r="R1956" s="35" t="str">
        <f aca="false">IF(OR($P1956="",$Q1956=""),"",INDEX(BookRate,1951)*$P1956*(5-MATCH($Q1956,{"Q1";"Q2";"Q3";"Q4"},0))/4+INDEX(BookOneOff,1951)*$P1956)</f>
        <v/>
      </c>
      <c r="S1956" s="35" t="str">
        <f aca="false">IF($P1956="","",INDEX(BookRate,1951)*$P1956)</f>
        <v/>
      </c>
      <c r="T1956" s="35" t="str">
        <f aca="false">IF($R1956="","",$R1956-$K1956)</f>
        <v/>
      </c>
      <c r="U1956" s="35" t="str">
        <f aca="false">IF(N($P1956)&lt;=0,"",COUNTIF($P$6:$P1956,"&gt;0"))</f>
        <v/>
      </c>
    </row>
    <row r="1957" customFormat="false" ht="15" hidden="false" customHeight="false" outlineLevel="0" collapsed="false">
      <c r="A1957" s="40" t="str">
        <f aca="false">IF(INDEX(BookTitle,1952)="","",INDEX(BookGroup,1952))</f>
        <v/>
      </c>
      <c r="B1957" s="40" t="str">
        <f aca="false">IF(INDEX(BookTitle,1952)="","",INDEX(BookRef,1952))</f>
        <v/>
      </c>
      <c r="C1957" s="40" t="str">
        <f aca="false">IF(INDEX(BookTitle,1952)="","",INDEX(BookDivision,1952))</f>
        <v/>
      </c>
      <c r="D1957" s="40" t="str">
        <f aca="false">IF(INDEX(BookTitle,1952)="","",INDEX(BookUnit,1952))</f>
        <v/>
      </c>
      <c r="E1957" s="40" t="str">
        <f aca="false">IF(INDEX(BookTitle,1952)="","",INDEX(BookTitle,1952))</f>
        <v/>
      </c>
      <c r="F1957" s="40" t="str">
        <f aca="false">IF(INDEX(BookTitle,1952)="","",INDEX(BookLevel,1952))</f>
        <v/>
      </c>
      <c r="G1957" s="40" t="str">
        <f aca="false">IF(INDEX(BookTitle,1952)="","",INDEX(BookCategory,1952))</f>
        <v/>
      </c>
      <c r="H1957" s="40" t="str">
        <f aca="false">IF(INDEX(BookTitle,1952)="","",INDEX(BookRank,1952))</f>
        <v/>
      </c>
      <c r="I1957" s="41" t="str">
        <f aca="false">IF(INDEX(BookTitle,1952)="","",INDEX(BookTotal,1952))</f>
        <v/>
      </c>
      <c r="J1957" s="0" t="str">
        <f aca="false">IF($I1957="","",IF(INDEX(BookQ1,1952)&gt;0,"Q1",IF(INDEX(BookQ2,1952)&gt;0,"Q2",IF(INDEX(BookQ3,1952)&gt;0,"Q3",IF(INDEX(BookQ4,1952)&gt;0,"Q4","")))))</f>
        <v/>
      </c>
      <c r="K1957" s="42" t="str">
        <f aca="false">IF(INDEX(BookTitle,1952)="","",INDEX(BookInYear,1952))</f>
        <v/>
      </c>
      <c r="L1957" s="19"/>
      <c r="M1957" s="39"/>
      <c r="N1957" s="19"/>
      <c r="O1957" s="19"/>
      <c r="P1957" s="43" t="str">
        <f aca="false">IF($E1957="","",IF($L1957="Decline",0,IF($L1957="Approve fewer",IF($M1957="","",$M1957),IF($L1957="","",$I1957))))</f>
        <v/>
      </c>
      <c r="Q1957" s="34" t="str">
        <f aca="false">IF($P1957="","",IF($N1957&lt;&gt;"",$N1957,$J1957))</f>
        <v/>
      </c>
      <c r="R1957" s="35" t="str">
        <f aca="false">IF(OR($P1957="",$Q1957=""),"",INDEX(BookRate,1952)*$P1957*(5-MATCH($Q1957,{"Q1";"Q2";"Q3";"Q4"},0))/4+INDEX(BookOneOff,1952)*$P1957)</f>
        <v/>
      </c>
      <c r="S1957" s="35" t="str">
        <f aca="false">IF($P1957="","",INDEX(BookRate,1952)*$P1957)</f>
        <v/>
      </c>
      <c r="T1957" s="35" t="str">
        <f aca="false">IF($R1957="","",$R1957-$K1957)</f>
        <v/>
      </c>
      <c r="U1957" s="35" t="str">
        <f aca="false">IF(N($P1957)&lt;=0,"",COUNTIF($P$6:$P1957,"&gt;0"))</f>
        <v/>
      </c>
    </row>
    <row r="1958" customFormat="false" ht="15" hidden="false" customHeight="false" outlineLevel="0" collapsed="false">
      <c r="A1958" s="40" t="str">
        <f aca="false">IF(INDEX(BookTitle,1953)="","",INDEX(BookGroup,1953))</f>
        <v/>
      </c>
      <c r="B1958" s="40" t="str">
        <f aca="false">IF(INDEX(BookTitle,1953)="","",INDEX(BookRef,1953))</f>
        <v/>
      </c>
      <c r="C1958" s="40" t="str">
        <f aca="false">IF(INDEX(BookTitle,1953)="","",INDEX(BookDivision,1953))</f>
        <v/>
      </c>
      <c r="D1958" s="40" t="str">
        <f aca="false">IF(INDEX(BookTitle,1953)="","",INDEX(BookUnit,1953))</f>
        <v/>
      </c>
      <c r="E1958" s="40" t="str">
        <f aca="false">IF(INDEX(BookTitle,1953)="","",INDEX(BookTitle,1953))</f>
        <v/>
      </c>
      <c r="F1958" s="40" t="str">
        <f aca="false">IF(INDEX(BookTitle,1953)="","",INDEX(BookLevel,1953))</f>
        <v/>
      </c>
      <c r="G1958" s="40" t="str">
        <f aca="false">IF(INDEX(BookTitle,1953)="","",INDEX(BookCategory,1953))</f>
        <v/>
      </c>
      <c r="H1958" s="40" t="str">
        <f aca="false">IF(INDEX(BookTitle,1953)="","",INDEX(BookRank,1953))</f>
        <v/>
      </c>
      <c r="I1958" s="41" t="str">
        <f aca="false">IF(INDEX(BookTitle,1953)="","",INDEX(BookTotal,1953))</f>
        <v/>
      </c>
      <c r="J1958" s="0" t="str">
        <f aca="false">IF($I1958="","",IF(INDEX(BookQ1,1953)&gt;0,"Q1",IF(INDEX(BookQ2,1953)&gt;0,"Q2",IF(INDEX(BookQ3,1953)&gt;0,"Q3",IF(INDEX(BookQ4,1953)&gt;0,"Q4","")))))</f>
        <v/>
      </c>
      <c r="K1958" s="42" t="str">
        <f aca="false">IF(INDEX(BookTitle,1953)="","",INDEX(BookInYear,1953))</f>
        <v/>
      </c>
      <c r="L1958" s="19"/>
      <c r="M1958" s="39"/>
      <c r="N1958" s="19"/>
      <c r="O1958" s="19"/>
      <c r="P1958" s="43" t="str">
        <f aca="false">IF($E1958="","",IF($L1958="Decline",0,IF($L1958="Approve fewer",IF($M1958="","",$M1958),IF($L1958="","",$I1958))))</f>
        <v/>
      </c>
      <c r="Q1958" s="34" t="str">
        <f aca="false">IF($P1958="","",IF($N1958&lt;&gt;"",$N1958,$J1958))</f>
        <v/>
      </c>
      <c r="R1958" s="35" t="str">
        <f aca="false">IF(OR($P1958="",$Q1958=""),"",INDEX(BookRate,1953)*$P1958*(5-MATCH($Q1958,{"Q1";"Q2";"Q3";"Q4"},0))/4+INDEX(BookOneOff,1953)*$P1958)</f>
        <v/>
      </c>
      <c r="S1958" s="35" t="str">
        <f aca="false">IF($P1958="","",INDEX(BookRate,1953)*$P1958)</f>
        <v/>
      </c>
      <c r="T1958" s="35" t="str">
        <f aca="false">IF($R1958="","",$R1958-$K1958)</f>
        <v/>
      </c>
      <c r="U1958" s="35" t="str">
        <f aca="false">IF(N($P1958)&lt;=0,"",COUNTIF($P$6:$P1958,"&gt;0"))</f>
        <v/>
      </c>
    </row>
    <row r="1959" customFormat="false" ht="15" hidden="false" customHeight="false" outlineLevel="0" collapsed="false">
      <c r="A1959" s="40" t="str">
        <f aca="false">IF(INDEX(BookTitle,1954)="","",INDEX(BookGroup,1954))</f>
        <v/>
      </c>
      <c r="B1959" s="40" t="str">
        <f aca="false">IF(INDEX(BookTitle,1954)="","",INDEX(BookRef,1954))</f>
        <v/>
      </c>
      <c r="C1959" s="40" t="str">
        <f aca="false">IF(INDEX(BookTitle,1954)="","",INDEX(BookDivision,1954))</f>
        <v/>
      </c>
      <c r="D1959" s="40" t="str">
        <f aca="false">IF(INDEX(BookTitle,1954)="","",INDEX(BookUnit,1954))</f>
        <v/>
      </c>
      <c r="E1959" s="40" t="str">
        <f aca="false">IF(INDEX(BookTitle,1954)="","",INDEX(BookTitle,1954))</f>
        <v/>
      </c>
      <c r="F1959" s="40" t="str">
        <f aca="false">IF(INDEX(BookTitle,1954)="","",INDEX(BookLevel,1954))</f>
        <v/>
      </c>
      <c r="G1959" s="40" t="str">
        <f aca="false">IF(INDEX(BookTitle,1954)="","",INDEX(BookCategory,1954))</f>
        <v/>
      </c>
      <c r="H1959" s="40" t="str">
        <f aca="false">IF(INDEX(BookTitle,1954)="","",INDEX(BookRank,1954))</f>
        <v/>
      </c>
      <c r="I1959" s="41" t="str">
        <f aca="false">IF(INDEX(BookTitle,1954)="","",INDEX(BookTotal,1954))</f>
        <v/>
      </c>
      <c r="J1959" s="0" t="str">
        <f aca="false">IF($I1959="","",IF(INDEX(BookQ1,1954)&gt;0,"Q1",IF(INDEX(BookQ2,1954)&gt;0,"Q2",IF(INDEX(BookQ3,1954)&gt;0,"Q3",IF(INDEX(BookQ4,1954)&gt;0,"Q4","")))))</f>
        <v/>
      </c>
      <c r="K1959" s="42" t="str">
        <f aca="false">IF(INDEX(BookTitle,1954)="","",INDEX(BookInYear,1954))</f>
        <v/>
      </c>
      <c r="L1959" s="19"/>
      <c r="M1959" s="39"/>
      <c r="N1959" s="19"/>
      <c r="O1959" s="19"/>
      <c r="P1959" s="43" t="str">
        <f aca="false">IF($E1959="","",IF($L1959="Decline",0,IF($L1959="Approve fewer",IF($M1959="","",$M1959),IF($L1959="","",$I1959))))</f>
        <v/>
      </c>
      <c r="Q1959" s="34" t="str">
        <f aca="false">IF($P1959="","",IF($N1959&lt;&gt;"",$N1959,$J1959))</f>
        <v/>
      </c>
      <c r="R1959" s="35" t="str">
        <f aca="false">IF(OR($P1959="",$Q1959=""),"",INDEX(BookRate,1954)*$P1959*(5-MATCH($Q1959,{"Q1";"Q2";"Q3";"Q4"},0))/4+INDEX(BookOneOff,1954)*$P1959)</f>
        <v/>
      </c>
      <c r="S1959" s="35" t="str">
        <f aca="false">IF($P1959="","",INDEX(BookRate,1954)*$P1959)</f>
        <v/>
      </c>
      <c r="T1959" s="35" t="str">
        <f aca="false">IF($R1959="","",$R1959-$K1959)</f>
        <v/>
      </c>
      <c r="U1959" s="35" t="str">
        <f aca="false">IF(N($P1959)&lt;=0,"",COUNTIF($P$6:$P1959,"&gt;0"))</f>
        <v/>
      </c>
    </row>
    <row r="1960" customFormat="false" ht="15" hidden="false" customHeight="false" outlineLevel="0" collapsed="false">
      <c r="A1960" s="40" t="str">
        <f aca="false">IF(INDEX(BookTitle,1955)="","",INDEX(BookGroup,1955))</f>
        <v/>
      </c>
      <c r="B1960" s="40" t="str">
        <f aca="false">IF(INDEX(BookTitle,1955)="","",INDEX(BookRef,1955))</f>
        <v/>
      </c>
      <c r="C1960" s="40" t="str">
        <f aca="false">IF(INDEX(BookTitle,1955)="","",INDEX(BookDivision,1955))</f>
        <v/>
      </c>
      <c r="D1960" s="40" t="str">
        <f aca="false">IF(INDEX(BookTitle,1955)="","",INDEX(BookUnit,1955))</f>
        <v/>
      </c>
      <c r="E1960" s="40" t="str">
        <f aca="false">IF(INDEX(BookTitle,1955)="","",INDEX(BookTitle,1955))</f>
        <v/>
      </c>
      <c r="F1960" s="40" t="str">
        <f aca="false">IF(INDEX(BookTitle,1955)="","",INDEX(BookLevel,1955))</f>
        <v/>
      </c>
      <c r="G1960" s="40" t="str">
        <f aca="false">IF(INDEX(BookTitle,1955)="","",INDEX(BookCategory,1955))</f>
        <v/>
      </c>
      <c r="H1960" s="40" t="str">
        <f aca="false">IF(INDEX(BookTitle,1955)="","",INDEX(BookRank,1955))</f>
        <v/>
      </c>
      <c r="I1960" s="41" t="str">
        <f aca="false">IF(INDEX(BookTitle,1955)="","",INDEX(BookTotal,1955))</f>
        <v/>
      </c>
      <c r="J1960" s="0" t="str">
        <f aca="false">IF($I1960="","",IF(INDEX(BookQ1,1955)&gt;0,"Q1",IF(INDEX(BookQ2,1955)&gt;0,"Q2",IF(INDEX(BookQ3,1955)&gt;0,"Q3",IF(INDEX(BookQ4,1955)&gt;0,"Q4","")))))</f>
        <v/>
      </c>
      <c r="K1960" s="42" t="str">
        <f aca="false">IF(INDEX(BookTitle,1955)="","",INDEX(BookInYear,1955))</f>
        <v/>
      </c>
      <c r="L1960" s="19"/>
      <c r="M1960" s="39"/>
      <c r="N1960" s="19"/>
      <c r="O1960" s="19"/>
      <c r="P1960" s="43" t="str">
        <f aca="false">IF($E1960="","",IF($L1960="Decline",0,IF($L1960="Approve fewer",IF($M1960="","",$M1960),IF($L1960="","",$I1960))))</f>
        <v/>
      </c>
      <c r="Q1960" s="34" t="str">
        <f aca="false">IF($P1960="","",IF($N1960&lt;&gt;"",$N1960,$J1960))</f>
        <v/>
      </c>
      <c r="R1960" s="35" t="str">
        <f aca="false">IF(OR($P1960="",$Q1960=""),"",INDEX(BookRate,1955)*$P1960*(5-MATCH($Q1960,{"Q1";"Q2";"Q3";"Q4"},0))/4+INDEX(BookOneOff,1955)*$P1960)</f>
        <v/>
      </c>
      <c r="S1960" s="35" t="str">
        <f aca="false">IF($P1960="","",INDEX(BookRate,1955)*$P1960)</f>
        <v/>
      </c>
      <c r="T1960" s="35" t="str">
        <f aca="false">IF($R1960="","",$R1960-$K1960)</f>
        <v/>
      </c>
      <c r="U1960" s="35" t="str">
        <f aca="false">IF(N($P1960)&lt;=0,"",COUNTIF($P$6:$P1960,"&gt;0"))</f>
        <v/>
      </c>
    </row>
    <row r="1961" customFormat="false" ht="15" hidden="false" customHeight="false" outlineLevel="0" collapsed="false">
      <c r="A1961" s="40" t="str">
        <f aca="false">IF(INDEX(BookTitle,1956)="","",INDEX(BookGroup,1956))</f>
        <v/>
      </c>
      <c r="B1961" s="40" t="str">
        <f aca="false">IF(INDEX(BookTitle,1956)="","",INDEX(BookRef,1956))</f>
        <v/>
      </c>
      <c r="C1961" s="40" t="str">
        <f aca="false">IF(INDEX(BookTitle,1956)="","",INDEX(BookDivision,1956))</f>
        <v/>
      </c>
      <c r="D1961" s="40" t="str">
        <f aca="false">IF(INDEX(BookTitle,1956)="","",INDEX(BookUnit,1956))</f>
        <v/>
      </c>
      <c r="E1961" s="40" t="str">
        <f aca="false">IF(INDEX(BookTitle,1956)="","",INDEX(BookTitle,1956))</f>
        <v/>
      </c>
      <c r="F1961" s="40" t="str">
        <f aca="false">IF(INDEX(BookTitle,1956)="","",INDEX(BookLevel,1956))</f>
        <v/>
      </c>
      <c r="G1961" s="40" t="str">
        <f aca="false">IF(INDEX(BookTitle,1956)="","",INDEX(BookCategory,1956))</f>
        <v/>
      </c>
      <c r="H1961" s="40" t="str">
        <f aca="false">IF(INDEX(BookTitle,1956)="","",INDEX(BookRank,1956))</f>
        <v/>
      </c>
      <c r="I1961" s="41" t="str">
        <f aca="false">IF(INDEX(BookTitle,1956)="","",INDEX(BookTotal,1956))</f>
        <v/>
      </c>
      <c r="J1961" s="0" t="str">
        <f aca="false">IF($I1961="","",IF(INDEX(BookQ1,1956)&gt;0,"Q1",IF(INDEX(BookQ2,1956)&gt;0,"Q2",IF(INDEX(BookQ3,1956)&gt;0,"Q3",IF(INDEX(BookQ4,1956)&gt;0,"Q4","")))))</f>
        <v/>
      </c>
      <c r="K1961" s="42" t="str">
        <f aca="false">IF(INDEX(BookTitle,1956)="","",INDEX(BookInYear,1956))</f>
        <v/>
      </c>
      <c r="L1961" s="19"/>
      <c r="M1961" s="39"/>
      <c r="N1961" s="19"/>
      <c r="O1961" s="19"/>
      <c r="P1961" s="43" t="str">
        <f aca="false">IF($E1961="","",IF($L1961="Decline",0,IF($L1961="Approve fewer",IF($M1961="","",$M1961),IF($L1961="","",$I1961))))</f>
        <v/>
      </c>
      <c r="Q1961" s="34" t="str">
        <f aca="false">IF($P1961="","",IF($N1961&lt;&gt;"",$N1961,$J1961))</f>
        <v/>
      </c>
      <c r="R1961" s="35" t="str">
        <f aca="false">IF(OR($P1961="",$Q1961=""),"",INDEX(BookRate,1956)*$P1961*(5-MATCH($Q1961,{"Q1";"Q2";"Q3";"Q4"},0))/4+INDEX(BookOneOff,1956)*$P1961)</f>
        <v/>
      </c>
      <c r="S1961" s="35" t="str">
        <f aca="false">IF($P1961="","",INDEX(BookRate,1956)*$P1961)</f>
        <v/>
      </c>
      <c r="T1961" s="35" t="str">
        <f aca="false">IF($R1961="","",$R1961-$K1961)</f>
        <v/>
      </c>
      <c r="U1961" s="35" t="str">
        <f aca="false">IF(N($P1961)&lt;=0,"",COUNTIF($P$6:$P1961,"&gt;0"))</f>
        <v/>
      </c>
    </row>
    <row r="1962" customFormat="false" ht="15" hidden="false" customHeight="false" outlineLevel="0" collapsed="false">
      <c r="A1962" s="40" t="str">
        <f aca="false">IF(INDEX(BookTitle,1957)="","",INDEX(BookGroup,1957))</f>
        <v/>
      </c>
      <c r="B1962" s="40" t="str">
        <f aca="false">IF(INDEX(BookTitle,1957)="","",INDEX(BookRef,1957))</f>
        <v/>
      </c>
      <c r="C1962" s="40" t="str">
        <f aca="false">IF(INDEX(BookTitle,1957)="","",INDEX(BookDivision,1957))</f>
        <v/>
      </c>
      <c r="D1962" s="40" t="str">
        <f aca="false">IF(INDEX(BookTitle,1957)="","",INDEX(BookUnit,1957))</f>
        <v/>
      </c>
      <c r="E1962" s="40" t="str">
        <f aca="false">IF(INDEX(BookTitle,1957)="","",INDEX(BookTitle,1957))</f>
        <v/>
      </c>
      <c r="F1962" s="40" t="str">
        <f aca="false">IF(INDEX(BookTitle,1957)="","",INDEX(BookLevel,1957))</f>
        <v/>
      </c>
      <c r="G1962" s="40" t="str">
        <f aca="false">IF(INDEX(BookTitle,1957)="","",INDEX(BookCategory,1957))</f>
        <v/>
      </c>
      <c r="H1962" s="40" t="str">
        <f aca="false">IF(INDEX(BookTitle,1957)="","",INDEX(BookRank,1957))</f>
        <v/>
      </c>
      <c r="I1962" s="41" t="str">
        <f aca="false">IF(INDEX(BookTitle,1957)="","",INDEX(BookTotal,1957))</f>
        <v/>
      </c>
      <c r="J1962" s="0" t="str">
        <f aca="false">IF($I1962="","",IF(INDEX(BookQ1,1957)&gt;0,"Q1",IF(INDEX(BookQ2,1957)&gt;0,"Q2",IF(INDEX(BookQ3,1957)&gt;0,"Q3",IF(INDEX(BookQ4,1957)&gt;0,"Q4","")))))</f>
        <v/>
      </c>
      <c r="K1962" s="42" t="str">
        <f aca="false">IF(INDEX(BookTitle,1957)="","",INDEX(BookInYear,1957))</f>
        <v/>
      </c>
      <c r="L1962" s="19"/>
      <c r="M1962" s="39"/>
      <c r="N1962" s="19"/>
      <c r="O1962" s="19"/>
      <c r="P1962" s="43" t="str">
        <f aca="false">IF($E1962="","",IF($L1962="Decline",0,IF($L1962="Approve fewer",IF($M1962="","",$M1962),IF($L1962="","",$I1962))))</f>
        <v/>
      </c>
      <c r="Q1962" s="34" t="str">
        <f aca="false">IF($P1962="","",IF($N1962&lt;&gt;"",$N1962,$J1962))</f>
        <v/>
      </c>
      <c r="R1962" s="35" t="str">
        <f aca="false">IF(OR($P1962="",$Q1962=""),"",INDEX(BookRate,1957)*$P1962*(5-MATCH($Q1962,{"Q1";"Q2";"Q3";"Q4"},0))/4+INDEX(BookOneOff,1957)*$P1962)</f>
        <v/>
      </c>
      <c r="S1962" s="35" t="str">
        <f aca="false">IF($P1962="","",INDEX(BookRate,1957)*$P1962)</f>
        <v/>
      </c>
      <c r="T1962" s="35" t="str">
        <f aca="false">IF($R1962="","",$R1962-$K1962)</f>
        <v/>
      </c>
      <c r="U1962" s="35" t="str">
        <f aca="false">IF(N($P1962)&lt;=0,"",COUNTIF($P$6:$P1962,"&gt;0"))</f>
        <v/>
      </c>
    </row>
    <row r="1963" customFormat="false" ht="15" hidden="false" customHeight="false" outlineLevel="0" collapsed="false">
      <c r="A1963" s="40" t="str">
        <f aca="false">IF(INDEX(BookTitle,1958)="","",INDEX(BookGroup,1958))</f>
        <v/>
      </c>
      <c r="B1963" s="40" t="str">
        <f aca="false">IF(INDEX(BookTitle,1958)="","",INDEX(BookRef,1958))</f>
        <v/>
      </c>
      <c r="C1963" s="40" t="str">
        <f aca="false">IF(INDEX(BookTitle,1958)="","",INDEX(BookDivision,1958))</f>
        <v/>
      </c>
      <c r="D1963" s="40" t="str">
        <f aca="false">IF(INDEX(BookTitle,1958)="","",INDEX(BookUnit,1958))</f>
        <v/>
      </c>
      <c r="E1963" s="40" t="str">
        <f aca="false">IF(INDEX(BookTitle,1958)="","",INDEX(BookTitle,1958))</f>
        <v/>
      </c>
      <c r="F1963" s="40" t="str">
        <f aca="false">IF(INDEX(BookTitle,1958)="","",INDEX(BookLevel,1958))</f>
        <v/>
      </c>
      <c r="G1963" s="40" t="str">
        <f aca="false">IF(INDEX(BookTitle,1958)="","",INDEX(BookCategory,1958))</f>
        <v/>
      </c>
      <c r="H1963" s="40" t="str">
        <f aca="false">IF(INDEX(BookTitle,1958)="","",INDEX(BookRank,1958))</f>
        <v/>
      </c>
      <c r="I1963" s="41" t="str">
        <f aca="false">IF(INDEX(BookTitle,1958)="","",INDEX(BookTotal,1958))</f>
        <v/>
      </c>
      <c r="J1963" s="0" t="str">
        <f aca="false">IF($I1963="","",IF(INDEX(BookQ1,1958)&gt;0,"Q1",IF(INDEX(BookQ2,1958)&gt;0,"Q2",IF(INDEX(BookQ3,1958)&gt;0,"Q3",IF(INDEX(BookQ4,1958)&gt;0,"Q4","")))))</f>
        <v/>
      </c>
      <c r="K1963" s="42" t="str">
        <f aca="false">IF(INDEX(BookTitle,1958)="","",INDEX(BookInYear,1958))</f>
        <v/>
      </c>
      <c r="L1963" s="19"/>
      <c r="M1963" s="39"/>
      <c r="N1963" s="19"/>
      <c r="O1963" s="19"/>
      <c r="P1963" s="43" t="str">
        <f aca="false">IF($E1963="","",IF($L1963="Decline",0,IF($L1963="Approve fewer",IF($M1963="","",$M1963),IF($L1963="","",$I1963))))</f>
        <v/>
      </c>
      <c r="Q1963" s="34" t="str">
        <f aca="false">IF($P1963="","",IF($N1963&lt;&gt;"",$N1963,$J1963))</f>
        <v/>
      </c>
      <c r="R1963" s="35" t="str">
        <f aca="false">IF(OR($P1963="",$Q1963=""),"",INDEX(BookRate,1958)*$P1963*(5-MATCH($Q1963,{"Q1";"Q2";"Q3";"Q4"},0))/4+INDEX(BookOneOff,1958)*$P1963)</f>
        <v/>
      </c>
      <c r="S1963" s="35" t="str">
        <f aca="false">IF($P1963="","",INDEX(BookRate,1958)*$P1963)</f>
        <v/>
      </c>
      <c r="T1963" s="35" t="str">
        <f aca="false">IF($R1963="","",$R1963-$K1963)</f>
        <v/>
      </c>
      <c r="U1963" s="35" t="str">
        <f aca="false">IF(N($P1963)&lt;=0,"",COUNTIF($P$6:$P1963,"&gt;0"))</f>
        <v/>
      </c>
    </row>
    <row r="1964" customFormat="false" ht="15" hidden="false" customHeight="false" outlineLevel="0" collapsed="false">
      <c r="A1964" s="40" t="str">
        <f aca="false">IF(INDEX(BookTitle,1959)="","",INDEX(BookGroup,1959))</f>
        <v/>
      </c>
      <c r="B1964" s="40" t="str">
        <f aca="false">IF(INDEX(BookTitle,1959)="","",INDEX(BookRef,1959))</f>
        <v/>
      </c>
      <c r="C1964" s="40" t="str">
        <f aca="false">IF(INDEX(BookTitle,1959)="","",INDEX(BookDivision,1959))</f>
        <v/>
      </c>
      <c r="D1964" s="40" t="str">
        <f aca="false">IF(INDEX(BookTitle,1959)="","",INDEX(BookUnit,1959))</f>
        <v/>
      </c>
      <c r="E1964" s="40" t="str">
        <f aca="false">IF(INDEX(BookTitle,1959)="","",INDEX(BookTitle,1959))</f>
        <v/>
      </c>
      <c r="F1964" s="40" t="str">
        <f aca="false">IF(INDEX(BookTitle,1959)="","",INDEX(BookLevel,1959))</f>
        <v/>
      </c>
      <c r="G1964" s="40" t="str">
        <f aca="false">IF(INDEX(BookTitle,1959)="","",INDEX(BookCategory,1959))</f>
        <v/>
      </c>
      <c r="H1964" s="40" t="str">
        <f aca="false">IF(INDEX(BookTitle,1959)="","",INDEX(BookRank,1959))</f>
        <v/>
      </c>
      <c r="I1964" s="41" t="str">
        <f aca="false">IF(INDEX(BookTitle,1959)="","",INDEX(BookTotal,1959))</f>
        <v/>
      </c>
      <c r="J1964" s="0" t="str">
        <f aca="false">IF($I1964="","",IF(INDEX(BookQ1,1959)&gt;0,"Q1",IF(INDEX(BookQ2,1959)&gt;0,"Q2",IF(INDEX(BookQ3,1959)&gt;0,"Q3",IF(INDEX(BookQ4,1959)&gt;0,"Q4","")))))</f>
        <v/>
      </c>
      <c r="K1964" s="42" t="str">
        <f aca="false">IF(INDEX(BookTitle,1959)="","",INDEX(BookInYear,1959))</f>
        <v/>
      </c>
      <c r="L1964" s="19"/>
      <c r="M1964" s="39"/>
      <c r="N1964" s="19"/>
      <c r="O1964" s="19"/>
      <c r="P1964" s="43" t="str">
        <f aca="false">IF($E1964="","",IF($L1964="Decline",0,IF($L1964="Approve fewer",IF($M1964="","",$M1964),IF($L1964="","",$I1964))))</f>
        <v/>
      </c>
      <c r="Q1964" s="34" t="str">
        <f aca="false">IF($P1964="","",IF($N1964&lt;&gt;"",$N1964,$J1964))</f>
        <v/>
      </c>
      <c r="R1964" s="35" t="str">
        <f aca="false">IF(OR($P1964="",$Q1964=""),"",INDEX(BookRate,1959)*$P1964*(5-MATCH($Q1964,{"Q1";"Q2";"Q3";"Q4"},0))/4+INDEX(BookOneOff,1959)*$P1964)</f>
        <v/>
      </c>
      <c r="S1964" s="35" t="str">
        <f aca="false">IF($P1964="","",INDEX(BookRate,1959)*$P1964)</f>
        <v/>
      </c>
      <c r="T1964" s="35" t="str">
        <f aca="false">IF($R1964="","",$R1964-$K1964)</f>
        <v/>
      </c>
      <c r="U1964" s="35" t="str">
        <f aca="false">IF(N($P1964)&lt;=0,"",COUNTIF($P$6:$P1964,"&gt;0"))</f>
        <v/>
      </c>
    </row>
    <row r="1965" customFormat="false" ht="15" hidden="false" customHeight="false" outlineLevel="0" collapsed="false">
      <c r="A1965" s="40" t="str">
        <f aca="false">IF(INDEX(BookTitle,1960)="","",INDEX(BookGroup,1960))</f>
        <v/>
      </c>
      <c r="B1965" s="40" t="str">
        <f aca="false">IF(INDEX(BookTitle,1960)="","",INDEX(BookRef,1960))</f>
        <v/>
      </c>
      <c r="C1965" s="40" t="str">
        <f aca="false">IF(INDEX(BookTitle,1960)="","",INDEX(BookDivision,1960))</f>
        <v/>
      </c>
      <c r="D1965" s="40" t="str">
        <f aca="false">IF(INDEX(BookTitle,1960)="","",INDEX(BookUnit,1960))</f>
        <v/>
      </c>
      <c r="E1965" s="40" t="str">
        <f aca="false">IF(INDEX(BookTitle,1960)="","",INDEX(BookTitle,1960))</f>
        <v/>
      </c>
      <c r="F1965" s="40" t="str">
        <f aca="false">IF(INDEX(BookTitle,1960)="","",INDEX(BookLevel,1960))</f>
        <v/>
      </c>
      <c r="G1965" s="40" t="str">
        <f aca="false">IF(INDEX(BookTitle,1960)="","",INDEX(BookCategory,1960))</f>
        <v/>
      </c>
      <c r="H1965" s="40" t="str">
        <f aca="false">IF(INDEX(BookTitle,1960)="","",INDEX(BookRank,1960))</f>
        <v/>
      </c>
      <c r="I1965" s="41" t="str">
        <f aca="false">IF(INDEX(BookTitle,1960)="","",INDEX(BookTotal,1960))</f>
        <v/>
      </c>
      <c r="J1965" s="0" t="str">
        <f aca="false">IF($I1965="","",IF(INDEX(BookQ1,1960)&gt;0,"Q1",IF(INDEX(BookQ2,1960)&gt;0,"Q2",IF(INDEX(BookQ3,1960)&gt;0,"Q3",IF(INDEX(BookQ4,1960)&gt;0,"Q4","")))))</f>
        <v/>
      </c>
      <c r="K1965" s="42" t="str">
        <f aca="false">IF(INDEX(BookTitle,1960)="","",INDEX(BookInYear,1960))</f>
        <v/>
      </c>
      <c r="L1965" s="19"/>
      <c r="M1965" s="39"/>
      <c r="N1965" s="19"/>
      <c r="O1965" s="19"/>
      <c r="P1965" s="43" t="str">
        <f aca="false">IF($E1965="","",IF($L1965="Decline",0,IF($L1965="Approve fewer",IF($M1965="","",$M1965),IF($L1965="","",$I1965))))</f>
        <v/>
      </c>
      <c r="Q1965" s="34" t="str">
        <f aca="false">IF($P1965="","",IF($N1965&lt;&gt;"",$N1965,$J1965))</f>
        <v/>
      </c>
      <c r="R1965" s="35" t="str">
        <f aca="false">IF(OR($P1965="",$Q1965=""),"",INDEX(BookRate,1960)*$P1965*(5-MATCH($Q1965,{"Q1";"Q2";"Q3";"Q4"},0))/4+INDEX(BookOneOff,1960)*$P1965)</f>
        <v/>
      </c>
      <c r="S1965" s="35" t="str">
        <f aca="false">IF($P1965="","",INDEX(BookRate,1960)*$P1965)</f>
        <v/>
      </c>
      <c r="T1965" s="35" t="str">
        <f aca="false">IF($R1965="","",$R1965-$K1965)</f>
        <v/>
      </c>
      <c r="U1965" s="35" t="str">
        <f aca="false">IF(N($P1965)&lt;=0,"",COUNTIF($P$6:$P1965,"&gt;0"))</f>
        <v/>
      </c>
    </row>
    <row r="1966" customFormat="false" ht="15" hidden="false" customHeight="false" outlineLevel="0" collapsed="false">
      <c r="A1966" s="40" t="str">
        <f aca="false">IF(INDEX(BookTitle,1961)="","",INDEX(BookGroup,1961))</f>
        <v/>
      </c>
      <c r="B1966" s="40" t="str">
        <f aca="false">IF(INDEX(BookTitle,1961)="","",INDEX(BookRef,1961))</f>
        <v/>
      </c>
      <c r="C1966" s="40" t="str">
        <f aca="false">IF(INDEX(BookTitle,1961)="","",INDEX(BookDivision,1961))</f>
        <v/>
      </c>
      <c r="D1966" s="40" t="str">
        <f aca="false">IF(INDEX(BookTitle,1961)="","",INDEX(BookUnit,1961))</f>
        <v/>
      </c>
      <c r="E1966" s="40" t="str">
        <f aca="false">IF(INDEX(BookTitle,1961)="","",INDEX(BookTitle,1961))</f>
        <v/>
      </c>
      <c r="F1966" s="40" t="str">
        <f aca="false">IF(INDEX(BookTitle,1961)="","",INDEX(BookLevel,1961))</f>
        <v/>
      </c>
      <c r="G1966" s="40" t="str">
        <f aca="false">IF(INDEX(BookTitle,1961)="","",INDEX(BookCategory,1961))</f>
        <v/>
      </c>
      <c r="H1966" s="40" t="str">
        <f aca="false">IF(INDEX(BookTitle,1961)="","",INDEX(BookRank,1961))</f>
        <v/>
      </c>
      <c r="I1966" s="41" t="str">
        <f aca="false">IF(INDEX(BookTitle,1961)="","",INDEX(BookTotal,1961))</f>
        <v/>
      </c>
      <c r="J1966" s="0" t="str">
        <f aca="false">IF($I1966="","",IF(INDEX(BookQ1,1961)&gt;0,"Q1",IF(INDEX(BookQ2,1961)&gt;0,"Q2",IF(INDEX(BookQ3,1961)&gt;0,"Q3",IF(INDEX(BookQ4,1961)&gt;0,"Q4","")))))</f>
        <v/>
      </c>
      <c r="K1966" s="42" t="str">
        <f aca="false">IF(INDEX(BookTitle,1961)="","",INDEX(BookInYear,1961))</f>
        <v/>
      </c>
      <c r="L1966" s="19"/>
      <c r="M1966" s="39"/>
      <c r="N1966" s="19"/>
      <c r="O1966" s="19"/>
      <c r="P1966" s="43" t="str">
        <f aca="false">IF($E1966="","",IF($L1966="Decline",0,IF($L1966="Approve fewer",IF($M1966="","",$M1966),IF($L1966="","",$I1966))))</f>
        <v/>
      </c>
      <c r="Q1966" s="34" t="str">
        <f aca="false">IF($P1966="","",IF($N1966&lt;&gt;"",$N1966,$J1966))</f>
        <v/>
      </c>
      <c r="R1966" s="35" t="str">
        <f aca="false">IF(OR($P1966="",$Q1966=""),"",INDEX(BookRate,1961)*$P1966*(5-MATCH($Q1966,{"Q1";"Q2";"Q3";"Q4"},0))/4+INDEX(BookOneOff,1961)*$P1966)</f>
        <v/>
      </c>
      <c r="S1966" s="35" t="str">
        <f aca="false">IF($P1966="","",INDEX(BookRate,1961)*$P1966)</f>
        <v/>
      </c>
      <c r="T1966" s="35" t="str">
        <f aca="false">IF($R1966="","",$R1966-$K1966)</f>
        <v/>
      </c>
      <c r="U1966" s="35" t="str">
        <f aca="false">IF(N($P1966)&lt;=0,"",COUNTIF($P$6:$P1966,"&gt;0"))</f>
        <v/>
      </c>
    </row>
    <row r="1967" customFormat="false" ht="15" hidden="false" customHeight="false" outlineLevel="0" collapsed="false">
      <c r="A1967" s="40" t="str">
        <f aca="false">IF(INDEX(BookTitle,1962)="","",INDEX(BookGroup,1962))</f>
        <v/>
      </c>
      <c r="B1967" s="40" t="str">
        <f aca="false">IF(INDEX(BookTitle,1962)="","",INDEX(BookRef,1962))</f>
        <v/>
      </c>
      <c r="C1967" s="40" t="str">
        <f aca="false">IF(INDEX(BookTitle,1962)="","",INDEX(BookDivision,1962))</f>
        <v/>
      </c>
      <c r="D1967" s="40" t="str">
        <f aca="false">IF(INDEX(BookTitle,1962)="","",INDEX(BookUnit,1962))</f>
        <v/>
      </c>
      <c r="E1967" s="40" t="str">
        <f aca="false">IF(INDEX(BookTitle,1962)="","",INDEX(BookTitle,1962))</f>
        <v/>
      </c>
      <c r="F1967" s="40" t="str">
        <f aca="false">IF(INDEX(BookTitle,1962)="","",INDEX(BookLevel,1962))</f>
        <v/>
      </c>
      <c r="G1967" s="40" t="str">
        <f aca="false">IF(INDEX(BookTitle,1962)="","",INDEX(BookCategory,1962))</f>
        <v/>
      </c>
      <c r="H1967" s="40" t="str">
        <f aca="false">IF(INDEX(BookTitle,1962)="","",INDEX(BookRank,1962))</f>
        <v/>
      </c>
      <c r="I1967" s="41" t="str">
        <f aca="false">IF(INDEX(BookTitle,1962)="","",INDEX(BookTotal,1962))</f>
        <v/>
      </c>
      <c r="J1967" s="0" t="str">
        <f aca="false">IF($I1967="","",IF(INDEX(BookQ1,1962)&gt;0,"Q1",IF(INDEX(BookQ2,1962)&gt;0,"Q2",IF(INDEX(BookQ3,1962)&gt;0,"Q3",IF(INDEX(BookQ4,1962)&gt;0,"Q4","")))))</f>
        <v/>
      </c>
      <c r="K1967" s="42" t="str">
        <f aca="false">IF(INDEX(BookTitle,1962)="","",INDEX(BookInYear,1962))</f>
        <v/>
      </c>
      <c r="L1967" s="19"/>
      <c r="M1967" s="39"/>
      <c r="N1967" s="19"/>
      <c r="O1967" s="19"/>
      <c r="P1967" s="43" t="str">
        <f aca="false">IF($E1967="","",IF($L1967="Decline",0,IF($L1967="Approve fewer",IF($M1967="","",$M1967),IF($L1967="","",$I1967))))</f>
        <v/>
      </c>
      <c r="Q1967" s="34" t="str">
        <f aca="false">IF($P1967="","",IF($N1967&lt;&gt;"",$N1967,$J1967))</f>
        <v/>
      </c>
      <c r="R1967" s="35" t="str">
        <f aca="false">IF(OR($P1967="",$Q1967=""),"",INDEX(BookRate,1962)*$P1967*(5-MATCH($Q1967,{"Q1";"Q2";"Q3";"Q4"},0))/4+INDEX(BookOneOff,1962)*$P1967)</f>
        <v/>
      </c>
      <c r="S1967" s="35" t="str">
        <f aca="false">IF($P1967="","",INDEX(BookRate,1962)*$P1967)</f>
        <v/>
      </c>
      <c r="T1967" s="35" t="str">
        <f aca="false">IF($R1967="","",$R1967-$K1967)</f>
        <v/>
      </c>
      <c r="U1967" s="35" t="str">
        <f aca="false">IF(N($P1967)&lt;=0,"",COUNTIF($P$6:$P1967,"&gt;0"))</f>
        <v/>
      </c>
    </row>
    <row r="1968" customFormat="false" ht="15" hidden="false" customHeight="false" outlineLevel="0" collapsed="false">
      <c r="A1968" s="40" t="str">
        <f aca="false">IF(INDEX(BookTitle,1963)="","",INDEX(BookGroup,1963))</f>
        <v/>
      </c>
      <c r="B1968" s="40" t="str">
        <f aca="false">IF(INDEX(BookTitle,1963)="","",INDEX(BookRef,1963))</f>
        <v/>
      </c>
      <c r="C1968" s="40" t="str">
        <f aca="false">IF(INDEX(BookTitle,1963)="","",INDEX(BookDivision,1963))</f>
        <v/>
      </c>
      <c r="D1968" s="40" t="str">
        <f aca="false">IF(INDEX(BookTitle,1963)="","",INDEX(BookUnit,1963))</f>
        <v/>
      </c>
      <c r="E1968" s="40" t="str">
        <f aca="false">IF(INDEX(BookTitle,1963)="","",INDEX(BookTitle,1963))</f>
        <v/>
      </c>
      <c r="F1968" s="40" t="str">
        <f aca="false">IF(INDEX(BookTitle,1963)="","",INDEX(BookLevel,1963))</f>
        <v/>
      </c>
      <c r="G1968" s="40" t="str">
        <f aca="false">IF(INDEX(BookTitle,1963)="","",INDEX(BookCategory,1963))</f>
        <v/>
      </c>
      <c r="H1968" s="40" t="str">
        <f aca="false">IF(INDEX(BookTitle,1963)="","",INDEX(BookRank,1963))</f>
        <v/>
      </c>
      <c r="I1968" s="41" t="str">
        <f aca="false">IF(INDEX(BookTitle,1963)="","",INDEX(BookTotal,1963))</f>
        <v/>
      </c>
      <c r="J1968" s="0" t="str">
        <f aca="false">IF($I1968="","",IF(INDEX(BookQ1,1963)&gt;0,"Q1",IF(INDEX(BookQ2,1963)&gt;0,"Q2",IF(INDEX(BookQ3,1963)&gt;0,"Q3",IF(INDEX(BookQ4,1963)&gt;0,"Q4","")))))</f>
        <v/>
      </c>
      <c r="K1968" s="42" t="str">
        <f aca="false">IF(INDEX(BookTitle,1963)="","",INDEX(BookInYear,1963))</f>
        <v/>
      </c>
      <c r="L1968" s="19"/>
      <c r="M1968" s="39"/>
      <c r="N1968" s="19"/>
      <c r="O1968" s="19"/>
      <c r="P1968" s="43" t="str">
        <f aca="false">IF($E1968="","",IF($L1968="Decline",0,IF($L1968="Approve fewer",IF($M1968="","",$M1968),IF($L1968="","",$I1968))))</f>
        <v/>
      </c>
      <c r="Q1968" s="34" t="str">
        <f aca="false">IF($P1968="","",IF($N1968&lt;&gt;"",$N1968,$J1968))</f>
        <v/>
      </c>
      <c r="R1968" s="35" t="str">
        <f aca="false">IF(OR($P1968="",$Q1968=""),"",INDEX(BookRate,1963)*$P1968*(5-MATCH($Q1968,{"Q1";"Q2";"Q3";"Q4"},0))/4+INDEX(BookOneOff,1963)*$P1968)</f>
        <v/>
      </c>
      <c r="S1968" s="35" t="str">
        <f aca="false">IF($P1968="","",INDEX(BookRate,1963)*$P1968)</f>
        <v/>
      </c>
      <c r="T1968" s="35" t="str">
        <f aca="false">IF($R1968="","",$R1968-$K1968)</f>
        <v/>
      </c>
      <c r="U1968" s="35" t="str">
        <f aca="false">IF(N($P1968)&lt;=0,"",COUNTIF($P$6:$P1968,"&gt;0"))</f>
        <v/>
      </c>
    </row>
    <row r="1969" customFormat="false" ht="15" hidden="false" customHeight="false" outlineLevel="0" collapsed="false">
      <c r="A1969" s="40" t="str">
        <f aca="false">IF(INDEX(BookTitle,1964)="","",INDEX(BookGroup,1964))</f>
        <v/>
      </c>
      <c r="B1969" s="40" t="str">
        <f aca="false">IF(INDEX(BookTitle,1964)="","",INDEX(BookRef,1964))</f>
        <v/>
      </c>
      <c r="C1969" s="40" t="str">
        <f aca="false">IF(INDEX(BookTitle,1964)="","",INDEX(BookDivision,1964))</f>
        <v/>
      </c>
      <c r="D1969" s="40" t="str">
        <f aca="false">IF(INDEX(BookTitle,1964)="","",INDEX(BookUnit,1964))</f>
        <v/>
      </c>
      <c r="E1969" s="40" t="str">
        <f aca="false">IF(INDEX(BookTitle,1964)="","",INDEX(BookTitle,1964))</f>
        <v/>
      </c>
      <c r="F1969" s="40" t="str">
        <f aca="false">IF(INDEX(BookTitle,1964)="","",INDEX(BookLevel,1964))</f>
        <v/>
      </c>
      <c r="G1969" s="40" t="str">
        <f aca="false">IF(INDEX(BookTitle,1964)="","",INDEX(BookCategory,1964))</f>
        <v/>
      </c>
      <c r="H1969" s="40" t="str">
        <f aca="false">IF(INDEX(BookTitle,1964)="","",INDEX(BookRank,1964))</f>
        <v/>
      </c>
      <c r="I1969" s="41" t="str">
        <f aca="false">IF(INDEX(BookTitle,1964)="","",INDEX(BookTotal,1964))</f>
        <v/>
      </c>
      <c r="J1969" s="0" t="str">
        <f aca="false">IF($I1969="","",IF(INDEX(BookQ1,1964)&gt;0,"Q1",IF(INDEX(BookQ2,1964)&gt;0,"Q2",IF(INDEX(BookQ3,1964)&gt;0,"Q3",IF(INDEX(BookQ4,1964)&gt;0,"Q4","")))))</f>
        <v/>
      </c>
      <c r="K1969" s="42" t="str">
        <f aca="false">IF(INDEX(BookTitle,1964)="","",INDEX(BookInYear,1964))</f>
        <v/>
      </c>
      <c r="L1969" s="19"/>
      <c r="M1969" s="39"/>
      <c r="N1969" s="19"/>
      <c r="O1969" s="19"/>
      <c r="P1969" s="43" t="str">
        <f aca="false">IF($E1969="","",IF($L1969="Decline",0,IF($L1969="Approve fewer",IF($M1969="","",$M1969),IF($L1969="","",$I1969))))</f>
        <v/>
      </c>
      <c r="Q1969" s="34" t="str">
        <f aca="false">IF($P1969="","",IF($N1969&lt;&gt;"",$N1969,$J1969))</f>
        <v/>
      </c>
      <c r="R1969" s="35" t="str">
        <f aca="false">IF(OR($P1969="",$Q1969=""),"",INDEX(BookRate,1964)*$P1969*(5-MATCH($Q1969,{"Q1";"Q2";"Q3";"Q4"},0))/4+INDEX(BookOneOff,1964)*$P1969)</f>
        <v/>
      </c>
      <c r="S1969" s="35" t="str">
        <f aca="false">IF($P1969="","",INDEX(BookRate,1964)*$P1969)</f>
        <v/>
      </c>
      <c r="T1969" s="35" t="str">
        <f aca="false">IF($R1969="","",$R1969-$K1969)</f>
        <v/>
      </c>
      <c r="U1969" s="35" t="str">
        <f aca="false">IF(N($P1969)&lt;=0,"",COUNTIF($P$6:$P1969,"&gt;0"))</f>
        <v/>
      </c>
    </row>
    <row r="1970" customFormat="false" ht="15" hidden="false" customHeight="false" outlineLevel="0" collapsed="false">
      <c r="A1970" s="40" t="str">
        <f aca="false">IF(INDEX(BookTitle,1965)="","",INDEX(BookGroup,1965))</f>
        <v/>
      </c>
      <c r="B1970" s="40" t="str">
        <f aca="false">IF(INDEX(BookTitle,1965)="","",INDEX(BookRef,1965))</f>
        <v/>
      </c>
      <c r="C1970" s="40" t="str">
        <f aca="false">IF(INDEX(BookTitle,1965)="","",INDEX(BookDivision,1965))</f>
        <v/>
      </c>
      <c r="D1970" s="40" t="str">
        <f aca="false">IF(INDEX(BookTitle,1965)="","",INDEX(BookUnit,1965))</f>
        <v/>
      </c>
      <c r="E1970" s="40" t="str">
        <f aca="false">IF(INDEX(BookTitle,1965)="","",INDEX(BookTitle,1965))</f>
        <v/>
      </c>
      <c r="F1970" s="40" t="str">
        <f aca="false">IF(INDEX(BookTitle,1965)="","",INDEX(BookLevel,1965))</f>
        <v/>
      </c>
      <c r="G1970" s="40" t="str">
        <f aca="false">IF(INDEX(BookTitle,1965)="","",INDEX(BookCategory,1965))</f>
        <v/>
      </c>
      <c r="H1970" s="40" t="str">
        <f aca="false">IF(INDEX(BookTitle,1965)="","",INDEX(BookRank,1965))</f>
        <v/>
      </c>
      <c r="I1970" s="41" t="str">
        <f aca="false">IF(INDEX(BookTitle,1965)="","",INDEX(BookTotal,1965))</f>
        <v/>
      </c>
      <c r="J1970" s="0" t="str">
        <f aca="false">IF($I1970="","",IF(INDEX(BookQ1,1965)&gt;0,"Q1",IF(INDEX(BookQ2,1965)&gt;0,"Q2",IF(INDEX(BookQ3,1965)&gt;0,"Q3",IF(INDEX(BookQ4,1965)&gt;0,"Q4","")))))</f>
        <v/>
      </c>
      <c r="K1970" s="42" t="str">
        <f aca="false">IF(INDEX(BookTitle,1965)="","",INDEX(BookInYear,1965))</f>
        <v/>
      </c>
      <c r="L1970" s="19"/>
      <c r="M1970" s="39"/>
      <c r="N1970" s="19"/>
      <c r="O1970" s="19"/>
      <c r="P1970" s="43" t="str">
        <f aca="false">IF($E1970="","",IF($L1970="Decline",0,IF($L1970="Approve fewer",IF($M1970="","",$M1970),IF($L1970="","",$I1970))))</f>
        <v/>
      </c>
      <c r="Q1970" s="34" t="str">
        <f aca="false">IF($P1970="","",IF($N1970&lt;&gt;"",$N1970,$J1970))</f>
        <v/>
      </c>
      <c r="R1970" s="35" t="str">
        <f aca="false">IF(OR($P1970="",$Q1970=""),"",INDEX(BookRate,1965)*$P1970*(5-MATCH($Q1970,{"Q1";"Q2";"Q3";"Q4"},0))/4+INDEX(BookOneOff,1965)*$P1970)</f>
        <v/>
      </c>
      <c r="S1970" s="35" t="str">
        <f aca="false">IF($P1970="","",INDEX(BookRate,1965)*$P1970)</f>
        <v/>
      </c>
      <c r="T1970" s="35" t="str">
        <f aca="false">IF($R1970="","",$R1970-$K1970)</f>
        <v/>
      </c>
      <c r="U1970" s="35" t="str">
        <f aca="false">IF(N($P1970)&lt;=0,"",COUNTIF($P$6:$P1970,"&gt;0"))</f>
        <v/>
      </c>
    </row>
    <row r="1971" customFormat="false" ht="15" hidden="false" customHeight="false" outlineLevel="0" collapsed="false">
      <c r="A1971" s="40" t="str">
        <f aca="false">IF(INDEX(BookTitle,1966)="","",INDEX(BookGroup,1966))</f>
        <v/>
      </c>
      <c r="B1971" s="40" t="str">
        <f aca="false">IF(INDEX(BookTitle,1966)="","",INDEX(BookRef,1966))</f>
        <v/>
      </c>
      <c r="C1971" s="40" t="str">
        <f aca="false">IF(INDEX(BookTitle,1966)="","",INDEX(BookDivision,1966))</f>
        <v/>
      </c>
      <c r="D1971" s="40" t="str">
        <f aca="false">IF(INDEX(BookTitle,1966)="","",INDEX(BookUnit,1966))</f>
        <v/>
      </c>
      <c r="E1971" s="40" t="str">
        <f aca="false">IF(INDEX(BookTitle,1966)="","",INDEX(BookTitle,1966))</f>
        <v/>
      </c>
      <c r="F1971" s="40" t="str">
        <f aca="false">IF(INDEX(BookTitle,1966)="","",INDEX(BookLevel,1966))</f>
        <v/>
      </c>
      <c r="G1971" s="40" t="str">
        <f aca="false">IF(INDEX(BookTitle,1966)="","",INDEX(BookCategory,1966))</f>
        <v/>
      </c>
      <c r="H1971" s="40" t="str">
        <f aca="false">IF(INDEX(BookTitle,1966)="","",INDEX(BookRank,1966))</f>
        <v/>
      </c>
      <c r="I1971" s="41" t="str">
        <f aca="false">IF(INDEX(BookTitle,1966)="","",INDEX(BookTotal,1966))</f>
        <v/>
      </c>
      <c r="J1971" s="0" t="str">
        <f aca="false">IF($I1971="","",IF(INDEX(BookQ1,1966)&gt;0,"Q1",IF(INDEX(BookQ2,1966)&gt;0,"Q2",IF(INDEX(BookQ3,1966)&gt;0,"Q3",IF(INDEX(BookQ4,1966)&gt;0,"Q4","")))))</f>
        <v/>
      </c>
      <c r="K1971" s="42" t="str">
        <f aca="false">IF(INDEX(BookTitle,1966)="","",INDEX(BookInYear,1966))</f>
        <v/>
      </c>
      <c r="L1971" s="19"/>
      <c r="M1971" s="39"/>
      <c r="N1971" s="19"/>
      <c r="O1971" s="19"/>
      <c r="P1971" s="43" t="str">
        <f aca="false">IF($E1971="","",IF($L1971="Decline",0,IF($L1971="Approve fewer",IF($M1971="","",$M1971),IF($L1971="","",$I1971))))</f>
        <v/>
      </c>
      <c r="Q1971" s="34" t="str">
        <f aca="false">IF($P1971="","",IF($N1971&lt;&gt;"",$N1971,$J1971))</f>
        <v/>
      </c>
      <c r="R1971" s="35" t="str">
        <f aca="false">IF(OR($P1971="",$Q1971=""),"",INDEX(BookRate,1966)*$P1971*(5-MATCH($Q1971,{"Q1";"Q2";"Q3";"Q4"},0))/4+INDEX(BookOneOff,1966)*$P1971)</f>
        <v/>
      </c>
      <c r="S1971" s="35" t="str">
        <f aca="false">IF($P1971="","",INDEX(BookRate,1966)*$P1971)</f>
        <v/>
      </c>
      <c r="T1971" s="35" t="str">
        <f aca="false">IF($R1971="","",$R1971-$K1971)</f>
        <v/>
      </c>
      <c r="U1971" s="35" t="str">
        <f aca="false">IF(N($P1971)&lt;=0,"",COUNTIF($P$6:$P1971,"&gt;0"))</f>
        <v/>
      </c>
    </row>
    <row r="1972" customFormat="false" ht="15" hidden="false" customHeight="false" outlineLevel="0" collapsed="false">
      <c r="A1972" s="40" t="str">
        <f aca="false">IF(INDEX(BookTitle,1967)="","",INDEX(BookGroup,1967))</f>
        <v/>
      </c>
      <c r="B1972" s="40" t="str">
        <f aca="false">IF(INDEX(BookTitle,1967)="","",INDEX(BookRef,1967))</f>
        <v/>
      </c>
      <c r="C1972" s="40" t="str">
        <f aca="false">IF(INDEX(BookTitle,1967)="","",INDEX(BookDivision,1967))</f>
        <v/>
      </c>
      <c r="D1972" s="40" t="str">
        <f aca="false">IF(INDEX(BookTitle,1967)="","",INDEX(BookUnit,1967))</f>
        <v/>
      </c>
      <c r="E1972" s="40" t="str">
        <f aca="false">IF(INDEX(BookTitle,1967)="","",INDEX(BookTitle,1967))</f>
        <v/>
      </c>
      <c r="F1972" s="40" t="str">
        <f aca="false">IF(INDEX(BookTitle,1967)="","",INDEX(BookLevel,1967))</f>
        <v/>
      </c>
      <c r="G1972" s="40" t="str">
        <f aca="false">IF(INDEX(BookTitle,1967)="","",INDEX(BookCategory,1967))</f>
        <v/>
      </c>
      <c r="H1972" s="40" t="str">
        <f aca="false">IF(INDEX(BookTitle,1967)="","",INDEX(BookRank,1967))</f>
        <v/>
      </c>
      <c r="I1972" s="41" t="str">
        <f aca="false">IF(INDEX(BookTitle,1967)="","",INDEX(BookTotal,1967))</f>
        <v/>
      </c>
      <c r="J1972" s="0" t="str">
        <f aca="false">IF($I1972="","",IF(INDEX(BookQ1,1967)&gt;0,"Q1",IF(INDEX(BookQ2,1967)&gt;0,"Q2",IF(INDEX(BookQ3,1967)&gt;0,"Q3",IF(INDEX(BookQ4,1967)&gt;0,"Q4","")))))</f>
        <v/>
      </c>
      <c r="K1972" s="42" t="str">
        <f aca="false">IF(INDEX(BookTitle,1967)="","",INDEX(BookInYear,1967))</f>
        <v/>
      </c>
      <c r="L1972" s="19"/>
      <c r="M1972" s="39"/>
      <c r="N1972" s="19"/>
      <c r="O1972" s="19"/>
      <c r="P1972" s="43" t="str">
        <f aca="false">IF($E1972="","",IF($L1972="Decline",0,IF($L1972="Approve fewer",IF($M1972="","",$M1972),IF($L1972="","",$I1972))))</f>
        <v/>
      </c>
      <c r="Q1972" s="34" t="str">
        <f aca="false">IF($P1972="","",IF($N1972&lt;&gt;"",$N1972,$J1972))</f>
        <v/>
      </c>
      <c r="R1972" s="35" t="str">
        <f aca="false">IF(OR($P1972="",$Q1972=""),"",INDEX(BookRate,1967)*$P1972*(5-MATCH($Q1972,{"Q1";"Q2";"Q3";"Q4"},0))/4+INDEX(BookOneOff,1967)*$P1972)</f>
        <v/>
      </c>
      <c r="S1972" s="35" t="str">
        <f aca="false">IF($P1972="","",INDEX(BookRate,1967)*$P1972)</f>
        <v/>
      </c>
      <c r="T1972" s="35" t="str">
        <f aca="false">IF($R1972="","",$R1972-$K1972)</f>
        <v/>
      </c>
      <c r="U1972" s="35" t="str">
        <f aca="false">IF(N($P1972)&lt;=0,"",COUNTIF($P$6:$P1972,"&gt;0"))</f>
        <v/>
      </c>
    </row>
    <row r="1973" customFormat="false" ht="15" hidden="false" customHeight="false" outlineLevel="0" collapsed="false">
      <c r="A1973" s="40" t="str">
        <f aca="false">IF(INDEX(BookTitle,1968)="","",INDEX(BookGroup,1968))</f>
        <v/>
      </c>
      <c r="B1973" s="40" t="str">
        <f aca="false">IF(INDEX(BookTitle,1968)="","",INDEX(BookRef,1968))</f>
        <v/>
      </c>
      <c r="C1973" s="40" t="str">
        <f aca="false">IF(INDEX(BookTitle,1968)="","",INDEX(BookDivision,1968))</f>
        <v/>
      </c>
      <c r="D1973" s="40" t="str">
        <f aca="false">IF(INDEX(BookTitle,1968)="","",INDEX(BookUnit,1968))</f>
        <v/>
      </c>
      <c r="E1973" s="40" t="str">
        <f aca="false">IF(INDEX(BookTitle,1968)="","",INDEX(BookTitle,1968))</f>
        <v/>
      </c>
      <c r="F1973" s="40" t="str">
        <f aca="false">IF(INDEX(BookTitle,1968)="","",INDEX(BookLevel,1968))</f>
        <v/>
      </c>
      <c r="G1973" s="40" t="str">
        <f aca="false">IF(INDEX(BookTitle,1968)="","",INDEX(BookCategory,1968))</f>
        <v/>
      </c>
      <c r="H1973" s="40" t="str">
        <f aca="false">IF(INDEX(BookTitle,1968)="","",INDEX(BookRank,1968))</f>
        <v/>
      </c>
      <c r="I1973" s="41" t="str">
        <f aca="false">IF(INDEX(BookTitle,1968)="","",INDEX(BookTotal,1968))</f>
        <v/>
      </c>
      <c r="J1973" s="0" t="str">
        <f aca="false">IF($I1973="","",IF(INDEX(BookQ1,1968)&gt;0,"Q1",IF(INDEX(BookQ2,1968)&gt;0,"Q2",IF(INDEX(BookQ3,1968)&gt;0,"Q3",IF(INDEX(BookQ4,1968)&gt;0,"Q4","")))))</f>
        <v/>
      </c>
      <c r="K1973" s="42" t="str">
        <f aca="false">IF(INDEX(BookTitle,1968)="","",INDEX(BookInYear,1968))</f>
        <v/>
      </c>
      <c r="L1973" s="19"/>
      <c r="M1973" s="39"/>
      <c r="N1973" s="19"/>
      <c r="O1973" s="19"/>
      <c r="P1973" s="43" t="str">
        <f aca="false">IF($E1973="","",IF($L1973="Decline",0,IF($L1973="Approve fewer",IF($M1973="","",$M1973),IF($L1973="","",$I1973))))</f>
        <v/>
      </c>
      <c r="Q1973" s="34" t="str">
        <f aca="false">IF($P1973="","",IF($N1973&lt;&gt;"",$N1973,$J1973))</f>
        <v/>
      </c>
      <c r="R1973" s="35" t="str">
        <f aca="false">IF(OR($P1973="",$Q1973=""),"",INDEX(BookRate,1968)*$P1973*(5-MATCH($Q1973,{"Q1";"Q2";"Q3";"Q4"},0))/4+INDEX(BookOneOff,1968)*$P1973)</f>
        <v/>
      </c>
      <c r="S1973" s="35" t="str">
        <f aca="false">IF($P1973="","",INDEX(BookRate,1968)*$P1973)</f>
        <v/>
      </c>
      <c r="T1973" s="35" t="str">
        <f aca="false">IF($R1973="","",$R1973-$K1973)</f>
        <v/>
      </c>
      <c r="U1973" s="35" t="str">
        <f aca="false">IF(N($P1973)&lt;=0,"",COUNTIF($P$6:$P1973,"&gt;0"))</f>
        <v/>
      </c>
    </row>
    <row r="1974" customFormat="false" ht="15" hidden="false" customHeight="false" outlineLevel="0" collapsed="false">
      <c r="A1974" s="40" t="str">
        <f aca="false">IF(INDEX(BookTitle,1969)="","",INDEX(BookGroup,1969))</f>
        <v/>
      </c>
      <c r="B1974" s="40" t="str">
        <f aca="false">IF(INDEX(BookTitle,1969)="","",INDEX(BookRef,1969))</f>
        <v/>
      </c>
      <c r="C1974" s="40" t="str">
        <f aca="false">IF(INDEX(BookTitle,1969)="","",INDEX(BookDivision,1969))</f>
        <v/>
      </c>
      <c r="D1974" s="40" t="str">
        <f aca="false">IF(INDEX(BookTitle,1969)="","",INDEX(BookUnit,1969))</f>
        <v/>
      </c>
      <c r="E1974" s="40" t="str">
        <f aca="false">IF(INDEX(BookTitle,1969)="","",INDEX(BookTitle,1969))</f>
        <v/>
      </c>
      <c r="F1974" s="40" t="str">
        <f aca="false">IF(INDEX(BookTitle,1969)="","",INDEX(BookLevel,1969))</f>
        <v/>
      </c>
      <c r="G1974" s="40" t="str">
        <f aca="false">IF(INDEX(BookTitle,1969)="","",INDEX(BookCategory,1969))</f>
        <v/>
      </c>
      <c r="H1974" s="40" t="str">
        <f aca="false">IF(INDEX(BookTitle,1969)="","",INDEX(BookRank,1969))</f>
        <v/>
      </c>
      <c r="I1974" s="41" t="str">
        <f aca="false">IF(INDEX(BookTitle,1969)="","",INDEX(BookTotal,1969))</f>
        <v/>
      </c>
      <c r="J1974" s="0" t="str">
        <f aca="false">IF($I1974="","",IF(INDEX(BookQ1,1969)&gt;0,"Q1",IF(INDEX(BookQ2,1969)&gt;0,"Q2",IF(INDEX(BookQ3,1969)&gt;0,"Q3",IF(INDEX(BookQ4,1969)&gt;0,"Q4","")))))</f>
        <v/>
      </c>
      <c r="K1974" s="42" t="str">
        <f aca="false">IF(INDEX(BookTitle,1969)="","",INDEX(BookInYear,1969))</f>
        <v/>
      </c>
      <c r="L1974" s="19"/>
      <c r="M1974" s="39"/>
      <c r="N1974" s="19"/>
      <c r="O1974" s="19"/>
      <c r="P1974" s="43" t="str">
        <f aca="false">IF($E1974="","",IF($L1974="Decline",0,IF($L1974="Approve fewer",IF($M1974="","",$M1974),IF($L1974="","",$I1974))))</f>
        <v/>
      </c>
      <c r="Q1974" s="34" t="str">
        <f aca="false">IF($P1974="","",IF($N1974&lt;&gt;"",$N1974,$J1974))</f>
        <v/>
      </c>
      <c r="R1974" s="35" t="str">
        <f aca="false">IF(OR($P1974="",$Q1974=""),"",INDEX(BookRate,1969)*$P1974*(5-MATCH($Q1974,{"Q1";"Q2";"Q3";"Q4"},0))/4+INDEX(BookOneOff,1969)*$P1974)</f>
        <v/>
      </c>
      <c r="S1974" s="35" t="str">
        <f aca="false">IF($P1974="","",INDEX(BookRate,1969)*$P1974)</f>
        <v/>
      </c>
      <c r="T1974" s="35" t="str">
        <f aca="false">IF($R1974="","",$R1974-$K1974)</f>
        <v/>
      </c>
      <c r="U1974" s="35" t="str">
        <f aca="false">IF(N($P1974)&lt;=0,"",COUNTIF($P$6:$P1974,"&gt;0"))</f>
        <v/>
      </c>
    </row>
    <row r="1975" customFormat="false" ht="15" hidden="false" customHeight="false" outlineLevel="0" collapsed="false">
      <c r="A1975" s="40" t="str">
        <f aca="false">IF(INDEX(BookTitle,1970)="","",INDEX(BookGroup,1970))</f>
        <v/>
      </c>
      <c r="B1975" s="40" t="str">
        <f aca="false">IF(INDEX(BookTitle,1970)="","",INDEX(BookRef,1970))</f>
        <v/>
      </c>
      <c r="C1975" s="40" t="str">
        <f aca="false">IF(INDEX(BookTitle,1970)="","",INDEX(BookDivision,1970))</f>
        <v/>
      </c>
      <c r="D1975" s="40" t="str">
        <f aca="false">IF(INDEX(BookTitle,1970)="","",INDEX(BookUnit,1970))</f>
        <v/>
      </c>
      <c r="E1975" s="40" t="str">
        <f aca="false">IF(INDEX(BookTitle,1970)="","",INDEX(BookTitle,1970))</f>
        <v/>
      </c>
      <c r="F1975" s="40" t="str">
        <f aca="false">IF(INDEX(BookTitle,1970)="","",INDEX(BookLevel,1970))</f>
        <v/>
      </c>
      <c r="G1975" s="40" t="str">
        <f aca="false">IF(INDEX(BookTitle,1970)="","",INDEX(BookCategory,1970))</f>
        <v/>
      </c>
      <c r="H1975" s="40" t="str">
        <f aca="false">IF(INDEX(BookTitle,1970)="","",INDEX(BookRank,1970))</f>
        <v/>
      </c>
      <c r="I1975" s="41" t="str">
        <f aca="false">IF(INDEX(BookTitle,1970)="","",INDEX(BookTotal,1970))</f>
        <v/>
      </c>
      <c r="J1975" s="0" t="str">
        <f aca="false">IF($I1975="","",IF(INDEX(BookQ1,1970)&gt;0,"Q1",IF(INDEX(BookQ2,1970)&gt;0,"Q2",IF(INDEX(BookQ3,1970)&gt;0,"Q3",IF(INDEX(BookQ4,1970)&gt;0,"Q4","")))))</f>
        <v/>
      </c>
      <c r="K1975" s="42" t="str">
        <f aca="false">IF(INDEX(BookTitle,1970)="","",INDEX(BookInYear,1970))</f>
        <v/>
      </c>
      <c r="L1975" s="19"/>
      <c r="M1975" s="39"/>
      <c r="N1975" s="19"/>
      <c r="O1975" s="19"/>
      <c r="P1975" s="43" t="str">
        <f aca="false">IF($E1975="","",IF($L1975="Decline",0,IF($L1975="Approve fewer",IF($M1975="","",$M1975),IF($L1975="","",$I1975))))</f>
        <v/>
      </c>
      <c r="Q1975" s="34" t="str">
        <f aca="false">IF($P1975="","",IF($N1975&lt;&gt;"",$N1975,$J1975))</f>
        <v/>
      </c>
      <c r="R1975" s="35" t="str">
        <f aca="false">IF(OR($P1975="",$Q1975=""),"",INDEX(BookRate,1970)*$P1975*(5-MATCH($Q1975,{"Q1";"Q2";"Q3";"Q4"},0))/4+INDEX(BookOneOff,1970)*$P1975)</f>
        <v/>
      </c>
      <c r="S1975" s="35" t="str">
        <f aca="false">IF($P1975="","",INDEX(BookRate,1970)*$P1975)</f>
        <v/>
      </c>
      <c r="T1975" s="35" t="str">
        <f aca="false">IF($R1975="","",$R1975-$K1975)</f>
        <v/>
      </c>
      <c r="U1975" s="35" t="str">
        <f aca="false">IF(N($P1975)&lt;=0,"",COUNTIF($P$6:$P1975,"&gt;0"))</f>
        <v/>
      </c>
    </row>
    <row r="1976" customFormat="false" ht="15" hidden="false" customHeight="false" outlineLevel="0" collapsed="false">
      <c r="A1976" s="40" t="str">
        <f aca="false">IF(INDEX(BookTitle,1971)="","",INDEX(BookGroup,1971))</f>
        <v/>
      </c>
      <c r="B1976" s="40" t="str">
        <f aca="false">IF(INDEX(BookTitle,1971)="","",INDEX(BookRef,1971))</f>
        <v/>
      </c>
      <c r="C1976" s="40" t="str">
        <f aca="false">IF(INDEX(BookTitle,1971)="","",INDEX(BookDivision,1971))</f>
        <v/>
      </c>
      <c r="D1976" s="40" t="str">
        <f aca="false">IF(INDEX(BookTitle,1971)="","",INDEX(BookUnit,1971))</f>
        <v/>
      </c>
      <c r="E1976" s="40" t="str">
        <f aca="false">IF(INDEX(BookTitle,1971)="","",INDEX(BookTitle,1971))</f>
        <v/>
      </c>
      <c r="F1976" s="40" t="str">
        <f aca="false">IF(INDEX(BookTitle,1971)="","",INDEX(BookLevel,1971))</f>
        <v/>
      </c>
      <c r="G1976" s="40" t="str">
        <f aca="false">IF(INDEX(BookTitle,1971)="","",INDEX(BookCategory,1971))</f>
        <v/>
      </c>
      <c r="H1976" s="40" t="str">
        <f aca="false">IF(INDEX(BookTitle,1971)="","",INDEX(BookRank,1971))</f>
        <v/>
      </c>
      <c r="I1976" s="41" t="str">
        <f aca="false">IF(INDEX(BookTitle,1971)="","",INDEX(BookTotal,1971))</f>
        <v/>
      </c>
      <c r="J1976" s="0" t="str">
        <f aca="false">IF($I1976="","",IF(INDEX(BookQ1,1971)&gt;0,"Q1",IF(INDEX(BookQ2,1971)&gt;0,"Q2",IF(INDEX(BookQ3,1971)&gt;0,"Q3",IF(INDEX(BookQ4,1971)&gt;0,"Q4","")))))</f>
        <v/>
      </c>
      <c r="K1976" s="42" t="str">
        <f aca="false">IF(INDEX(BookTitle,1971)="","",INDEX(BookInYear,1971))</f>
        <v/>
      </c>
      <c r="L1976" s="19"/>
      <c r="M1976" s="39"/>
      <c r="N1976" s="19"/>
      <c r="O1976" s="19"/>
      <c r="P1976" s="43" t="str">
        <f aca="false">IF($E1976="","",IF($L1976="Decline",0,IF($L1976="Approve fewer",IF($M1976="","",$M1976),IF($L1976="","",$I1976))))</f>
        <v/>
      </c>
      <c r="Q1976" s="34" t="str">
        <f aca="false">IF($P1976="","",IF($N1976&lt;&gt;"",$N1976,$J1976))</f>
        <v/>
      </c>
      <c r="R1976" s="35" t="str">
        <f aca="false">IF(OR($P1976="",$Q1976=""),"",INDEX(BookRate,1971)*$P1976*(5-MATCH($Q1976,{"Q1";"Q2";"Q3";"Q4"},0))/4+INDEX(BookOneOff,1971)*$P1976)</f>
        <v/>
      </c>
      <c r="S1976" s="35" t="str">
        <f aca="false">IF($P1976="","",INDEX(BookRate,1971)*$P1976)</f>
        <v/>
      </c>
      <c r="T1976" s="35" t="str">
        <f aca="false">IF($R1976="","",$R1976-$K1976)</f>
        <v/>
      </c>
      <c r="U1976" s="35" t="str">
        <f aca="false">IF(N($P1976)&lt;=0,"",COUNTIF($P$6:$P1976,"&gt;0"))</f>
        <v/>
      </c>
    </row>
    <row r="1977" customFormat="false" ht="15" hidden="false" customHeight="false" outlineLevel="0" collapsed="false">
      <c r="A1977" s="40" t="str">
        <f aca="false">IF(INDEX(BookTitle,1972)="","",INDEX(BookGroup,1972))</f>
        <v/>
      </c>
      <c r="B1977" s="40" t="str">
        <f aca="false">IF(INDEX(BookTitle,1972)="","",INDEX(BookRef,1972))</f>
        <v/>
      </c>
      <c r="C1977" s="40" t="str">
        <f aca="false">IF(INDEX(BookTitle,1972)="","",INDEX(BookDivision,1972))</f>
        <v/>
      </c>
      <c r="D1977" s="40" t="str">
        <f aca="false">IF(INDEX(BookTitle,1972)="","",INDEX(BookUnit,1972))</f>
        <v/>
      </c>
      <c r="E1977" s="40" t="str">
        <f aca="false">IF(INDEX(BookTitle,1972)="","",INDEX(BookTitle,1972))</f>
        <v/>
      </c>
      <c r="F1977" s="40" t="str">
        <f aca="false">IF(INDEX(BookTitle,1972)="","",INDEX(BookLevel,1972))</f>
        <v/>
      </c>
      <c r="G1977" s="40" t="str">
        <f aca="false">IF(INDEX(BookTitle,1972)="","",INDEX(BookCategory,1972))</f>
        <v/>
      </c>
      <c r="H1977" s="40" t="str">
        <f aca="false">IF(INDEX(BookTitle,1972)="","",INDEX(BookRank,1972))</f>
        <v/>
      </c>
      <c r="I1977" s="41" t="str">
        <f aca="false">IF(INDEX(BookTitle,1972)="","",INDEX(BookTotal,1972))</f>
        <v/>
      </c>
      <c r="J1977" s="0" t="str">
        <f aca="false">IF($I1977="","",IF(INDEX(BookQ1,1972)&gt;0,"Q1",IF(INDEX(BookQ2,1972)&gt;0,"Q2",IF(INDEX(BookQ3,1972)&gt;0,"Q3",IF(INDEX(BookQ4,1972)&gt;0,"Q4","")))))</f>
        <v/>
      </c>
      <c r="K1977" s="42" t="str">
        <f aca="false">IF(INDEX(BookTitle,1972)="","",INDEX(BookInYear,1972))</f>
        <v/>
      </c>
      <c r="L1977" s="19"/>
      <c r="M1977" s="39"/>
      <c r="N1977" s="19"/>
      <c r="O1977" s="19"/>
      <c r="P1977" s="43" t="str">
        <f aca="false">IF($E1977="","",IF($L1977="Decline",0,IF($L1977="Approve fewer",IF($M1977="","",$M1977),IF($L1977="","",$I1977))))</f>
        <v/>
      </c>
      <c r="Q1977" s="34" t="str">
        <f aca="false">IF($P1977="","",IF($N1977&lt;&gt;"",$N1977,$J1977))</f>
        <v/>
      </c>
      <c r="R1977" s="35" t="str">
        <f aca="false">IF(OR($P1977="",$Q1977=""),"",INDEX(BookRate,1972)*$P1977*(5-MATCH($Q1977,{"Q1";"Q2";"Q3";"Q4"},0))/4+INDEX(BookOneOff,1972)*$P1977)</f>
        <v/>
      </c>
      <c r="S1977" s="35" t="str">
        <f aca="false">IF($P1977="","",INDEX(BookRate,1972)*$P1977)</f>
        <v/>
      </c>
      <c r="T1977" s="35" t="str">
        <f aca="false">IF($R1977="","",$R1977-$K1977)</f>
        <v/>
      </c>
      <c r="U1977" s="35" t="str">
        <f aca="false">IF(N($P1977)&lt;=0,"",COUNTIF($P$6:$P1977,"&gt;0"))</f>
        <v/>
      </c>
    </row>
    <row r="1978" customFormat="false" ht="15" hidden="false" customHeight="false" outlineLevel="0" collapsed="false">
      <c r="A1978" s="40" t="str">
        <f aca="false">IF(INDEX(BookTitle,1973)="","",INDEX(BookGroup,1973))</f>
        <v/>
      </c>
      <c r="B1978" s="40" t="str">
        <f aca="false">IF(INDEX(BookTitle,1973)="","",INDEX(BookRef,1973))</f>
        <v/>
      </c>
      <c r="C1978" s="40" t="str">
        <f aca="false">IF(INDEX(BookTitle,1973)="","",INDEX(BookDivision,1973))</f>
        <v/>
      </c>
      <c r="D1978" s="40" t="str">
        <f aca="false">IF(INDEX(BookTitle,1973)="","",INDEX(BookUnit,1973))</f>
        <v/>
      </c>
      <c r="E1978" s="40" t="str">
        <f aca="false">IF(INDEX(BookTitle,1973)="","",INDEX(BookTitle,1973))</f>
        <v/>
      </c>
      <c r="F1978" s="40" t="str">
        <f aca="false">IF(INDEX(BookTitle,1973)="","",INDEX(BookLevel,1973))</f>
        <v/>
      </c>
      <c r="G1978" s="40" t="str">
        <f aca="false">IF(INDEX(BookTitle,1973)="","",INDEX(BookCategory,1973))</f>
        <v/>
      </c>
      <c r="H1978" s="40" t="str">
        <f aca="false">IF(INDEX(BookTitle,1973)="","",INDEX(BookRank,1973))</f>
        <v/>
      </c>
      <c r="I1978" s="41" t="str">
        <f aca="false">IF(INDEX(BookTitle,1973)="","",INDEX(BookTotal,1973))</f>
        <v/>
      </c>
      <c r="J1978" s="0" t="str">
        <f aca="false">IF($I1978="","",IF(INDEX(BookQ1,1973)&gt;0,"Q1",IF(INDEX(BookQ2,1973)&gt;0,"Q2",IF(INDEX(BookQ3,1973)&gt;0,"Q3",IF(INDEX(BookQ4,1973)&gt;0,"Q4","")))))</f>
        <v/>
      </c>
      <c r="K1978" s="42" t="str">
        <f aca="false">IF(INDEX(BookTitle,1973)="","",INDEX(BookInYear,1973))</f>
        <v/>
      </c>
      <c r="L1978" s="19"/>
      <c r="M1978" s="39"/>
      <c r="N1978" s="19"/>
      <c r="O1978" s="19"/>
      <c r="P1978" s="43" t="str">
        <f aca="false">IF($E1978="","",IF($L1978="Decline",0,IF($L1978="Approve fewer",IF($M1978="","",$M1978),IF($L1978="","",$I1978))))</f>
        <v/>
      </c>
      <c r="Q1978" s="34" t="str">
        <f aca="false">IF($P1978="","",IF($N1978&lt;&gt;"",$N1978,$J1978))</f>
        <v/>
      </c>
      <c r="R1978" s="35" t="str">
        <f aca="false">IF(OR($P1978="",$Q1978=""),"",INDEX(BookRate,1973)*$P1978*(5-MATCH($Q1978,{"Q1";"Q2";"Q3";"Q4"},0))/4+INDEX(BookOneOff,1973)*$P1978)</f>
        <v/>
      </c>
      <c r="S1978" s="35" t="str">
        <f aca="false">IF($P1978="","",INDEX(BookRate,1973)*$P1978)</f>
        <v/>
      </c>
      <c r="T1978" s="35" t="str">
        <f aca="false">IF($R1978="","",$R1978-$K1978)</f>
        <v/>
      </c>
      <c r="U1978" s="35" t="str">
        <f aca="false">IF(N($P1978)&lt;=0,"",COUNTIF($P$6:$P1978,"&gt;0"))</f>
        <v/>
      </c>
    </row>
    <row r="1979" customFormat="false" ht="15" hidden="false" customHeight="false" outlineLevel="0" collapsed="false">
      <c r="A1979" s="40" t="str">
        <f aca="false">IF(INDEX(BookTitle,1974)="","",INDEX(BookGroup,1974))</f>
        <v/>
      </c>
      <c r="B1979" s="40" t="str">
        <f aca="false">IF(INDEX(BookTitle,1974)="","",INDEX(BookRef,1974))</f>
        <v/>
      </c>
      <c r="C1979" s="40" t="str">
        <f aca="false">IF(INDEX(BookTitle,1974)="","",INDEX(BookDivision,1974))</f>
        <v/>
      </c>
      <c r="D1979" s="40" t="str">
        <f aca="false">IF(INDEX(BookTitle,1974)="","",INDEX(BookUnit,1974))</f>
        <v/>
      </c>
      <c r="E1979" s="40" t="str">
        <f aca="false">IF(INDEX(BookTitle,1974)="","",INDEX(BookTitle,1974))</f>
        <v/>
      </c>
      <c r="F1979" s="40" t="str">
        <f aca="false">IF(INDEX(BookTitle,1974)="","",INDEX(BookLevel,1974))</f>
        <v/>
      </c>
      <c r="G1979" s="40" t="str">
        <f aca="false">IF(INDEX(BookTitle,1974)="","",INDEX(BookCategory,1974))</f>
        <v/>
      </c>
      <c r="H1979" s="40" t="str">
        <f aca="false">IF(INDEX(BookTitle,1974)="","",INDEX(BookRank,1974))</f>
        <v/>
      </c>
      <c r="I1979" s="41" t="str">
        <f aca="false">IF(INDEX(BookTitle,1974)="","",INDEX(BookTotal,1974))</f>
        <v/>
      </c>
      <c r="J1979" s="0" t="str">
        <f aca="false">IF($I1979="","",IF(INDEX(BookQ1,1974)&gt;0,"Q1",IF(INDEX(BookQ2,1974)&gt;0,"Q2",IF(INDEX(BookQ3,1974)&gt;0,"Q3",IF(INDEX(BookQ4,1974)&gt;0,"Q4","")))))</f>
        <v/>
      </c>
      <c r="K1979" s="42" t="str">
        <f aca="false">IF(INDEX(BookTitle,1974)="","",INDEX(BookInYear,1974))</f>
        <v/>
      </c>
      <c r="L1979" s="19"/>
      <c r="M1979" s="39"/>
      <c r="N1979" s="19"/>
      <c r="O1979" s="19"/>
      <c r="P1979" s="43" t="str">
        <f aca="false">IF($E1979="","",IF($L1979="Decline",0,IF($L1979="Approve fewer",IF($M1979="","",$M1979),IF($L1979="","",$I1979))))</f>
        <v/>
      </c>
      <c r="Q1979" s="34" t="str">
        <f aca="false">IF($P1979="","",IF($N1979&lt;&gt;"",$N1979,$J1979))</f>
        <v/>
      </c>
      <c r="R1979" s="35" t="str">
        <f aca="false">IF(OR($P1979="",$Q1979=""),"",INDEX(BookRate,1974)*$P1979*(5-MATCH($Q1979,{"Q1";"Q2";"Q3";"Q4"},0))/4+INDEX(BookOneOff,1974)*$P1979)</f>
        <v/>
      </c>
      <c r="S1979" s="35" t="str">
        <f aca="false">IF($P1979="","",INDEX(BookRate,1974)*$P1979)</f>
        <v/>
      </c>
      <c r="T1979" s="35" t="str">
        <f aca="false">IF($R1979="","",$R1979-$K1979)</f>
        <v/>
      </c>
      <c r="U1979" s="35" t="str">
        <f aca="false">IF(N($P1979)&lt;=0,"",COUNTIF($P$6:$P1979,"&gt;0"))</f>
        <v/>
      </c>
    </row>
    <row r="1980" customFormat="false" ht="15" hidden="false" customHeight="false" outlineLevel="0" collapsed="false">
      <c r="A1980" s="40" t="str">
        <f aca="false">IF(INDEX(BookTitle,1975)="","",INDEX(BookGroup,1975))</f>
        <v/>
      </c>
      <c r="B1980" s="40" t="str">
        <f aca="false">IF(INDEX(BookTitle,1975)="","",INDEX(BookRef,1975))</f>
        <v/>
      </c>
      <c r="C1980" s="40" t="str">
        <f aca="false">IF(INDEX(BookTitle,1975)="","",INDEX(BookDivision,1975))</f>
        <v/>
      </c>
      <c r="D1980" s="40" t="str">
        <f aca="false">IF(INDEX(BookTitle,1975)="","",INDEX(BookUnit,1975))</f>
        <v/>
      </c>
      <c r="E1980" s="40" t="str">
        <f aca="false">IF(INDEX(BookTitle,1975)="","",INDEX(BookTitle,1975))</f>
        <v/>
      </c>
      <c r="F1980" s="40" t="str">
        <f aca="false">IF(INDEX(BookTitle,1975)="","",INDEX(BookLevel,1975))</f>
        <v/>
      </c>
      <c r="G1980" s="40" t="str">
        <f aca="false">IF(INDEX(BookTitle,1975)="","",INDEX(BookCategory,1975))</f>
        <v/>
      </c>
      <c r="H1980" s="40" t="str">
        <f aca="false">IF(INDEX(BookTitle,1975)="","",INDEX(BookRank,1975))</f>
        <v/>
      </c>
      <c r="I1980" s="41" t="str">
        <f aca="false">IF(INDEX(BookTitle,1975)="","",INDEX(BookTotal,1975))</f>
        <v/>
      </c>
      <c r="J1980" s="0" t="str">
        <f aca="false">IF($I1980="","",IF(INDEX(BookQ1,1975)&gt;0,"Q1",IF(INDEX(BookQ2,1975)&gt;0,"Q2",IF(INDEX(BookQ3,1975)&gt;0,"Q3",IF(INDEX(BookQ4,1975)&gt;0,"Q4","")))))</f>
        <v/>
      </c>
      <c r="K1980" s="42" t="str">
        <f aca="false">IF(INDEX(BookTitle,1975)="","",INDEX(BookInYear,1975))</f>
        <v/>
      </c>
      <c r="L1980" s="19"/>
      <c r="M1980" s="39"/>
      <c r="N1980" s="19"/>
      <c r="O1980" s="19"/>
      <c r="P1980" s="43" t="str">
        <f aca="false">IF($E1980="","",IF($L1980="Decline",0,IF($L1980="Approve fewer",IF($M1980="","",$M1980),IF($L1980="","",$I1980))))</f>
        <v/>
      </c>
      <c r="Q1980" s="34" t="str">
        <f aca="false">IF($P1980="","",IF($N1980&lt;&gt;"",$N1980,$J1980))</f>
        <v/>
      </c>
      <c r="R1980" s="35" t="str">
        <f aca="false">IF(OR($P1980="",$Q1980=""),"",INDEX(BookRate,1975)*$P1980*(5-MATCH($Q1980,{"Q1";"Q2";"Q3";"Q4"},0))/4+INDEX(BookOneOff,1975)*$P1980)</f>
        <v/>
      </c>
      <c r="S1980" s="35" t="str">
        <f aca="false">IF($P1980="","",INDEX(BookRate,1975)*$P1980)</f>
        <v/>
      </c>
      <c r="T1980" s="35" t="str">
        <f aca="false">IF($R1980="","",$R1980-$K1980)</f>
        <v/>
      </c>
      <c r="U1980" s="35" t="str">
        <f aca="false">IF(N($P1980)&lt;=0,"",COUNTIF($P$6:$P1980,"&gt;0"))</f>
        <v/>
      </c>
    </row>
    <row r="1981" customFormat="false" ht="15" hidden="false" customHeight="false" outlineLevel="0" collapsed="false">
      <c r="A1981" s="40" t="str">
        <f aca="false">IF(INDEX(BookTitle,1976)="","",INDEX(BookGroup,1976))</f>
        <v/>
      </c>
      <c r="B1981" s="40" t="str">
        <f aca="false">IF(INDEX(BookTitle,1976)="","",INDEX(BookRef,1976))</f>
        <v/>
      </c>
      <c r="C1981" s="40" t="str">
        <f aca="false">IF(INDEX(BookTitle,1976)="","",INDEX(BookDivision,1976))</f>
        <v/>
      </c>
      <c r="D1981" s="40" t="str">
        <f aca="false">IF(INDEX(BookTitle,1976)="","",INDEX(BookUnit,1976))</f>
        <v/>
      </c>
      <c r="E1981" s="40" t="str">
        <f aca="false">IF(INDEX(BookTitle,1976)="","",INDEX(BookTitle,1976))</f>
        <v/>
      </c>
      <c r="F1981" s="40" t="str">
        <f aca="false">IF(INDEX(BookTitle,1976)="","",INDEX(BookLevel,1976))</f>
        <v/>
      </c>
      <c r="G1981" s="40" t="str">
        <f aca="false">IF(INDEX(BookTitle,1976)="","",INDEX(BookCategory,1976))</f>
        <v/>
      </c>
      <c r="H1981" s="40" t="str">
        <f aca="false">IF(INDEX(BookTitle,1976)="","",INDEX(BookRank,1976))</f>
        <v/>
      </c>
      <c r="I1981" s="41" t="str">
        <f aca="false">IF(INDEX(BookTitle,1976)="","",INDEX(BookTotal,1976))</f>
        <v/>
      </c>
      <c r="J1981" s="0" t="str">
        <f aca="false">IF($I1981="","",IF(INDEX(BookQ1,1976)&gt;0,"Q1",IF(INDEX(BookQ2,1976)&gt;0,"Q2",IF(INDEX(BookQ3,1976)&gt;0,"Q3",IF(INDEX(BookQ4,1976)&gt;0,"Q4","")))))</f>
        <v/>
      </c>
      <c r="K1981" s="42" t="str">
        <f aca="false">IF(INDEX(BookTitle,1976)="","",INDEX(BookInYear,1976))</f>
        <v/>
      </c>
      <c r="L1981" s="19"/>
      <c r="M1981" s="39"/>
      <c r="N1981" s="19"/>
      <c r="O1981" s="19"/>
      <c r="P1981" s="43" t="str">
        <f aca="false">IF($E1981="","",IF($L1981="Decline",0,IF($L1981="Approve fewer",IF($M1981="","",$M1981),IF($L1981="","",$I1981))))</f>
        <v/>
      </c>
      <c r="Q1981" s="34" t="str">
        <f aca="false">IF($P1981="","",IF($N1981&lt;&gt;"",$N1981,$J1981))</f>
        <v/>
      </c>
      <c r="R1981" s="35" t="str">
        <f aca="false">IF(OR($P1981="",$Q1981=""),"",INDEX(BookRate,1976)*$P1981*(5-MATCH($Q1981,{"Q1";"Q2";"Q3";"Q4"},0))/4+INDEX(BookOneOff,1976)*$P1981)</f>
        <v/>
      </c>
      <c r="S1981" s="35" t="str">
        <f aca="false">IF($P1981="","",INDEX(BookRate,1976)*$P1981)</f>
        <v/>
      </c>
      <c r="T1981" s="35" t="str">
        <f aca="false">IF($R1981="","",$R1981-$K1981)</f>
        <v/>
      </c>
      <c r="U1981" s="35" t="str">
        <f aca="false">IF(N($P1981)&lt;=0,"",COUNTIF($P$6:$P1981,"&gt;0"))</f>
        <v/>
      </c>
    </row>
    <row r="1982" customFormat="false" ht="15" hidden="false" customHeight="false" outlineLevel="0" collapsed="false">
      <c r="A1982" s="40" t="str">
        <f aca="false">IF(INDEX(BookTitle,1977)="","",INDEX(BookGroup,1977))</f>
        <v/>
      </c>
      <c r="B1982" s="40" t="str">
        <f aca="false">IF(INDEX(BookTitle,1977)="","",INDEX(BookRef,1977))</f>
        <v/>
      </c>
      <c r="C1982" s="40" t="str">
        <f aca="false">IF(INDEX(BookTitle,1977)="","",INDEX(BookDivision,1977))</f>
        <v/>
      </c>
      <c r="D1982" s="40" t="str">
        <f aca="false">IF(INDEX(BookTitle,1977)="","",INDEX(BookUnit,1977))</f>
        <v/>
      </c>
      <c r="E1982" s="40" t="str">
        <f aca="false">IF(INDEX(BookTitle,1977)="","",INDEX(BookTitle,1977))</f>
        <v/>
      </c>
      <c r="F1982" s="40" t="str">
        <f aca="false">IF(INDEX(BookTitle,1977)="","",INDEX(BookLevel,1977))</f>
        <v/>
      </c>
      <c r="G1982" s="40" t="str">
        <f aca="false">IF(INDEX(BookTitle,1977)="","",INDEX(BookCategory,1977))</f>
        <v/>
      </c>
      <c r="H1982" s="40" t="str">
        <f aca="false">IF(INDEX(BookTitle,1977)="","",INDEX(BookRank,1977))</f>
        <v/>
      </c>
      <c r="I1982" s="41" t="str">
        <f aca="false">IF(INDEX(BookTitle,1977)="","",INDEX(BookTotal,1977))</f>
        <v/>
      </c>
      <c r="J1982" s="0" t="str">
        <f aca="false">IF($I1982="","",IF(INDEX(BookQ1,1977)&gt;0,"Q1",IF(INDEX(BookQ2,1977)&gt;0,"Q2",IF(INDEX(BookQ3,1977)&gt;0,"Q3",IF(INDEX(BookQ4,1977)&gt;0,"Q4","")))))</f>
        <v/>
      </c>
      <c r="K1982" s="42" t="str">
        <f aca="false">IF(INDEX(BookTitle,1977)="","",INDEX(BookInYear,1977))</f>
        <v/>
      </c>
      <c r="L1982" s="19"/>
      <c r="M1982" s="39"/>
      <c r="N1982" s="19"/>
      <c r="O1982" s="19"/>
      <c r="P1982" s="43" t="str">
        <f aca="false">IF($E1982="","",IF($L1982="Decline",0,IF($L1982="Approve fewer",IF($M1982="","",$M1982),IF($L1982="","",$I1982))))</f>
        <v/>
      </c>
      <c r="Q1982" s="34" t="str">
        <f aca="false">IF($P1982="","",IF($N1982&lt;&gt;"",$N1982,$J1982))</f>
        <v/>
      </c>
      <c r="R1982" s="35" t="str">
        <f aca="false">IF(OR($P1982="",$Q1982=""),"",INDEX(BookRate,1977)*$P1982*(5-MATCH($Q1982,{"Q1";"Q2";"Q3";"Q4"},0))/4+INDEX(BookOneOff,1977)*$P1982)</f>
        <v/>
      </c>
      <c r="S1982" s="35" t="str">
        <f aca="false">IF($P1982="","",INDEX(BookRate,1977)*$P1982)</f>
        <v/>
      </c>
      <c r="T1982" s="35" t="str">
        <f aca="false">IF($R1982="","",$R1982-$K1982)</f>
        <v/>
      </c>
      <c r="U1982" s="35" t="str">
        <f aca="false">IF(N($P1982)&lt;=0,"",COUNTIF($P$6:$P1982,"&gt;0"))</f>
        <v/>
      </c>
    </row>
    <row r="1983" customFormat="false" ht="15" hidden="false" customHeight="false" outlineLevel="0" collapsed="false">
      <c r="A1983" s="40" t="str">
        <f aca="false">IF(INDEX(BookTitle,1978)="","",INDEX(BookGroup,1978))</f>
        <v/>
      </c>
      <c r="B1983" s="40" t="str">
        <f aca="false">IF(INDEX(BookTitle,1978)="","",INDEX(BookRef,1978))</f>
        <v/>
      </c>
      <c r="C1983" s="40" t="str">
        <f aca="false">IF(INDEX(BookTitle,1978)="","",INDEX(BookDivision,1978))</f>
        <v/>
      </c>
      <c r="D1983" s="40" t="str">
        <f aca="false">IF(INDEX(BookTitle,1978)="","",INDEX(BookUnit,1978))</f>
        <v/>
      </c>
      <c r="E1983" s="40" t="str">
        <f aca="false">IF(INDEX(BookTitle,1978)="","",INDEX(BookTitle,1978))</f>
        <v/>
      </c>
      <c r="F1983" s="40" t="str">
        <f aca="false">IF(INDEX(BookTitle,1978)="","",INDEX(BookLevel,1978))</f>
        <v/>
      </c>
      <c r="G1983" s="40" t="str">
        <f aca="false">IF(INDEX(BookTitle,1978)="","",INDEX(BookCategory,1978))</f>
        <v/>
      </c>
      <c r="H1983" s="40" t="str">
        <f aca="false">IF(INDEX(BookTitle,1978)="","",INDEX(BookRank,1978))</f>
        <v/>
      </c>
      <c r="I1983" s="41" t="str">
        <f aca="false">IF(INDEX(BookTitle,1978)="","",INDEX(BookTotal,1978))</f>
        <v/>
      </c>
      <c r="J1983" s="0" t="str">
        <f aca="false">IF($I1983="","",IF(INDEX(BookQ1,1978)&gt;0,"Q1",IF(INDEX(BookQ2,1978)&gt;0,"Q2",IF(INDEX(BookQ3,1978)&gt;0,"Q3",IF(INDEX(BookQ4,1978)&gt;0,"Q4","")))))</f>
        <v/>
      </c>
      <c r="K1983" s="42" t="str">
        <f aca="false">IF(INDEX(BookTitle,1978)="","",INDEX(BookInYear,1978))</f>
        <v/>
      </c>
      <c r="L1983" s="19"/>
      <c r="M1983" s="39"/>
      <c r="N1983" s="19"/>
      <c r="O1983" s="19"/>
      <c r="P1983" s="43" t="str">
        <f aca="false">IF($E1983="","",IF($L1983="Decline",0,IF($L1983="Approve fewer",IF($M1983="","",$M1983),IF($L1983="","",$I1983))))</f>
        <v/>
      </c>
      <c r="Q1983" s="34" t="str">
        <f aca="false">IF($P1983="","",IF($N1983&lt;&gt;"",$N1983,$J1983))</f>
        <v/>
      </c>
      <c r="R1983" s="35" t="str">
        <f aca="false">IF(OR($P1983="",$Q1983=""),"",INDEX(BookRate,1978)*$P1983*(5-MATCH($Q1983,{"Q1";"Q2";"Q3";"Q4"},0))/4+INDEX(BookOneOff,1978)*$P1983)</f>
        <v/>
      </c>
      <c r="S1983" s="35" t="str">
        <f aca="false">IF($P1983="","",INDEX(BookRate,1978)*$P1983)</f>
        <v/>
      </c>
      <c r="T1983" s="35" t="str">
        <f aca="false">IF($R1983="","",$R1983-$K1983)</f>
        <v/>
      </c>
      <c r="U1983" s="35" t="str">
        <f aca="false">IF(N($P1983)&lt;=0,"",COUNTIF($P$6:$P1983,"&gt;0"))</f>
        <v/>
      </c>
    </row>
    <row r="1984" customFormat="false" ht="15" hidden="false" customHeight="false" outlineLevel="0" collapsed="false">
      <c r="A1984" s="40" t="str">
        <f aca="false">IF(INDEX(BookTitle,1979)="","",INDEX(BookGroup,1979))</f>
        <v/>
      </c>
      <c r="B1984" s="40" t="str">
        <f aca="false">IF(INDEX(BookTitle,1979)="","",INDEX(BookRef,1979))</f>
        <v/>
      </c>
      <c r="C1984" s="40" t="str">
        <f aca="false">IF(INDEX(BookTitle,1979)="","",INDEX(BookDivision,1979))</f>
        <v/>
      </c>
      <c r="D1984" s="40" t="str">
        <f aca="false">IF(INDEX(BookTitle,1979)="","",INDEX(BookUnit,1979))</f>
        <v/>
      </c>
      <c r="E1984" s="40" t="str">
        <f aca="false">IF(INDEX(BookTitle,1979)="","",INDEX(BookTitle,1979))</f>
        <v/>
      </c>
      <c r="F1984" s="40" t="str">
        <f aca="false">IF(INDEX(BookTitle,1979)="","",INDEX(BookLevel,1979))</f>
        <v/>
      </c>
      <c r="G1984" s="40" t="str">
        <f aca="false">IF(INDEX(BookTitle,1979)="","",INDEX(BookCategory,1979))</f>
        <v/>
      </c>
      <c r="H1984" s="40" t="str">
        <f aca="false">IF(INDEX(BookTitle,1979)="","",INDEX(BookRank,1979))</f>
        <v/>
      </c>
      <c r="I1984" s="41" t="str">
        <f aca="false">IF(INDEX(BookTitle,1979)="","",INDEX(BookTotal,1979))</f>
        <v/>
      </c>
      <c r="J1984" s="0" t="str">
        <f aca="false">IF($I1984="","",IF(INDEX(BookQ1,1979)&gt;0,"Q1",IF(INDEX(BookQ2,1979)&gt;0,"Q2",IF(INDEX(BookQ3,1979)&gt;0,"Q3",IF(INDEX(BookQ4,1979)&gt;0,"Q4","")))))</f>
        <v/>
      </c>
      <c r="K1984" s="42" t="str">
        <f aca="false">IF(INDEX(BookTitle,1979)="","",INDEX(BookInYear,1979))</f>
        <v/>
      </c>
      <c r="L1984" s="19"/>
      <c r="M1984" s="39"/>
      <c r="N1984" s="19"/>
      <c r="O1984" s="19"/>
      <c r="P1984" s="43" t="str">
        <f aca="false">IF($E1984="","",IF($L1984="Decline",0,IF($L1984="Approve fewer",IF($M1984="","",$M1984),IF($L1984="","",$I1984))))</f>
        <v/>
      </c>
      <c r="Q1984" s="34" t="str">
        <f aca="false">IF($P1984="","",IF($N1984&lt;&gt;"",$N1984,$J1984))</f>
        <v/>
      </c>
      <c r="R1984" s="35" t="str">
        <f aca="false">IF(OR($P1984="",$Q1984=""),"",INDEX(BookRate,1979)*$P1984*(5-MATCH($Q1984,{"Q1";"Q2";"Q3";"Q4"},0))/4+INDEX(BookOneOff,1979)*$P1984)</f>
        <v/>
      </c>
      <c r="S1984" s="35" t="str">
        <f aca="false">IF($P1984="","",INDEX(BookRate,1979)*$P1984)</f>
        <v/>
      </c>
      <c r="T1984" s="35" t="str">
        <f aca="false">IF($R1984="","",$R1984-$K1984)</f>
        <v/>
      </c>
      <c r="U1984" s="35" t="str">
        <f aca="false">IF(N($P1984)&lt;=0,"",COUNTIF($P$6:$P1984,"&gt;0"))</f>
        <v/>
      </c>
    </row>
    <row r="1985" customFormat="false" ht="15" hidden="false" customHeight="false" outlineLevel="0" collapsed="false">
      <c r="A1985" s="40" t="str">
        <f aca="false">IF(INDEX(BookTitle,1980)="","",INDEX(BookGroup,1980))</f>
        <v/>
      </c>
      <c r="B1985" s="40" t="str">
        <f aca="false">IF(INDEX(BookTitle,1980)="","",INDEX(BookRef,1980))</f>
        <v/>
      </c>
      <c r="C1985" s="40" t="str">
        <f aca="false">IF(INDEX(BookTitle,1980)="","",INDEX(BookDivision,1980))</f>
        <v/>
      </c>
      <c r="D1985" s="40" t="str">
        <f aca="false">IF(INDEX(BookTitle,1980)="","",INDEX(BookUnit,1980))</f>
        <v/>
      </c>
      <c r="E1985" s="40" t="str">
        <f aca="false">IF(INDEX(BookTitle,1980)="","",INDEX(BookTitle,1980))</f>
        <v/>
      </c>
      <c r="F1985" s="40" t="str">
        <f aca="false">IF(INDEX(BookTitle,1980)="","",INDEX(BookLevel,1980))</f>
        <v/>
      </c>
      <c r="G1985" s="40" t="str">
        <f aca="false">IF(INDEX(BookTitle,1980)="","",INDEX(BookCategory,1980))</f>
        <v/>
      </c>
      <c r="H1985" s="40" t="str">
        <f aca="false">IF(INDEX(BookTitle,1980)="","",INDEX(BookRank,1980))</f>
        <v/>
      </c>
      <c r="I1985" s="41" t="str">
        <f aca="false">IF(INDEX(BookTitle,1980)="","",INDEX(BookTotal,1980))</f>
        <v/>
      </c>
      <c r="J1985" s="0" t="str">
        <f aca="false">IF($I1985="","",IF(INDEX(BookQ1,1980)&gt;0,"Q1",IF(INDEX(BookQ2,1980)&gt;0,"Q2",IF(INDEX(BookQ3,1980)&gt;0,"Q3",IF(INDEX(BookQ4,1980)&gt;0,"Q4","")))))</f>
        <v/>
      </c>
      <c r="K1985" s="42" t="str">
        <f aca="false">IF(INDEX(BookTitle,1980)="","",INDEX(BookInYear,1980))</f>
        <v/>
      </c>
      <c r="L1985" s="19"/>
      <c r="M1985" s="39"/>
      <c r="N1985" s="19"/>
      <c r="O1985" s="19"/>
      <c r="P1985" s="43" t="str">
        <f aca="false">IF($E1985="","",IF($L1985="Decline",0,IF($L1985="Approve fewer",IF($M1985="","",$M1985),IF($L1985="","",$I1985))))</f>
        <v/>
      </c>
      <c r="Q1985" s="34" t="str">
        <f aca="false">IF($P1985="","",IF($N1985&lt;&gt;"",$N1985,$J1985))</f>
        <v/>
      </c>
      <c r="R1985" s="35" t="str">
        <f aca="false">IF(OR($P1985="",$Q1985=""),"",INDEX(BookRate,1980)*$P1985*(5-MATCH($Q1985,{"Q1";"Q2";"Q3";"Q4"},0))/4+INDEX(BookOneOff,1980)*$P1985)</f>
        <v/>
      </c>
      <c r="S1985" s="35" t="str">
        <f aca="false">IF($P1985="","",INDEX(BookRate,1980)*$P1985)</f>
        <v/>
      </c>
      <c r="T1985" s="35" t="str">
        <f aca="false">IF($R1985="","",$R1985-$K1985)</f>
        <v/>
      </c>
      <c r="U1985" s="35" t="str">
        <f aca="false">IF(N($P1985)&lt;=0,"",COUNTIF($P$6:$P1985,"&gt;0"))</f>
        <v/>
      </c>
    </row>
    <row r="1986" customFormat="false" ht="15" hidden="false" customHeight="false" outlineLevel="0" collapsed="false">
      <c r="A1986" s="40" t="str">
        <f aca="false">IF(INDEX(BookTitle,1981)="","",INDEX(BookGroup,1981))</f>
        <v/>
      </c>
      <c r="B1986" s="40" t="str">
        <f aca="false">IF(INDEX(BookTitle,1981)="","",INDEX(BookRef,1981))</f>
        <v/>
      </c>
      <c r="C1986" s="40" t="str">
        <f aca="false">IF(INDEX(BookTitle,1981)="","",INDEX(BookDivision,1981))</f>
        <v/>
      </c>
      <c r="D1986" s="40" t="str">
        <f aca="false">IF(INDEX(BookTitle,1981)="","",INDEX(BookUnit,1981))</f>
        <v/>
      </c>
      <c r="E1986" s="40" t="str">
        <f aca="false">IF(INDEX(BookTitle,1981)="","",INDEX(BookTitle,1981))</f>
        <v/>
      </c>
      <c r="F1986" s="40" t="str">
        <f aca="false">IF(INDEX(BookTitle,1981)="","",INDEX(BookLevel,1981))</f>
        <v/>
      </c>
      <c r="G1986" s="40" t="str">
        <f aca="false">IF(INDEX(BookTitle,1981)="","",INDEX(BookCategory,1981))</f>
        <v/>
      </c>
      <c r="H1986" s="40" t="str">
        <f aca="false">IF(INDEX(BookTitle,1981)="","",INDEX(BookRank,1981))</f>
        <v/>
      </c>
      <c r="I1986" s="41" t="str">
        <f aca="false">IF(INDEX(BookTitle,1981)="","",INDEX(BookTotal,1981))</f>
        <v/>
      </c>
      <c r="J1986" s="0" t="str">
        <f aca="false">IF($I1986="","",IF(INDEX(BookQ1,1981)&gt;0,"Q1",IF(INDEX(BookQ2,1981)&gt;0,"Q2",IF(INDEX(BookQ3,1981)&gt;0,"Q3",IF(INDEX(BookQ4,1981)&gt;0,"Q4","")))))</f>
        <v/>
      </c>
      <c r="K1986" s="42" t="str">
        <f aca="false">IF(INDEX(BookTitle,1981)="","",INDEX(BookInYear,1981))</f>
        <v/>
      </c>
      <c r="L1986" s="19"/>
      <c r="M1986" s="39"/>
      <c r="N1986" s="19"/>
      <c r="O1986" s="19"/>
      <c r="P1986" s="43" t="str">
        <f aca="false">IF($E1986="","",IF($L1986="Decline",0,IF($L1986="Approve fewer",IF($M1986="","",$M1986),IF($L1986="","",$I1986))))</f>
        <v/>
      </c>
      <c r="Q1986" s="34" t="str">
        <f aca="false">IF($P1986="","",IF($N1986&lt;&gt;"",$N1986,$J1986))</f>
        <v/>
      </c>
      <c r="R1986" s="35" t="str">
        <f aca="false">IF(OR($P1986="",$Q1986=""),"",INDEX(BookRate,1981)*$P1986*(5-MATCH($Q1986,{"Q1";"Q2";"Q3";"Q4"},0))/4+INDEX(BookOneOff,1981)*$P1986)</f>
        <v/>
      </c>
      <c r="S1986" s="35" t="str">
        <f aca="false">IF($P1986="","",INDEX(BookRate,1981)*$P1986)</f>
        <v/>
      </c>
      <c r="T1986" s="35" t="str">
        <f aca="false">IF($R1986="","",$R1986-$K1986)</f>
        <v/>
      </c>
      <c r="U1986" s="35" t="str">
        <f aca="false">IF(N($P1986)&lt;=0,"",COUNTIF($P$6:$P1986,"&gt;0"))</f>
        <v/>
      </c>
    </row>
    <row r="1987" customFormat="false" ht="15" hidden="false" customHeight="false" outlineLevel="0" collapsed="false">
      <c r="A1987" s="40" t="str">
        <f aca="false">IF(INDEX(BookTitle,1982)="","",INDEX(BookGroup,1982))</f>
        <v/>
      </c>
      <c r="B1987" s="40" t="str">
        <f aca="false">IF(INDEX(BookTitle,1982)="","",INDEX(BookRef,1982))</f>
        <v/>
      </c>
      <c r="C1987" s="40" t="str">
        <f aca="false">IF(INDEX(BookTitle,1982)="","",INDEX(BookDivision,1982))</f>
        <v/>
      </c>
      <c r="D1987" s="40" t="str">
        <f aca="false">IF(INDEX(BookTitle,1982)="","",INDEX(BookUnit,1982))</f>
        <v/>
      </c>
      <c r="E1987" s="40" t="str">
        <f aca="false">IF(INDEX(BookTitle,1982)="","",INDEX(BookTitle,1982))</f>
        <v/>
      </c>
      <c r="F1987" s="40" t="str">
        <f aca="false">IF(INDEX(BookTitle,1982)="","",INDEX(BookLevel,1982))</f>
        <v/>
      </c>
      <c r="G1987" s="40" t="str">
        <f aca="false">IF(INDEX(BookTitle,1982)="","",INDEX(BookCategory,1982))</f>
        <v/>
      </c>
      <c r="H1987" s="40" t="str">
        <f aca="false">IF(INDEX(BookTitle,1982)="","",INDEX(BookRank,1982))</f>
        <v/>
      </c>
      <c r="I1987" s="41" t="str">
        <f aca="false">IF(INDEX(BookTitle,1982)="","",INDEX(BookTotal,1982))</f>
        <v/>
      </c>
      <c r="J1987" s="0" t="str">
        <f aca="false">IF($I1987="","",IF(INDEX(BookQ1,1982)&gt;0,"Q1",IF(INDEX(BookQ2,1982)&gt;0,"Q2",IF(INDEX(BookQ3,1982)&gt;0,"Q3",IF(INDEX(BookQ4,1982)&gt;0,"Q4","")))))</f>
        <v/>
      </c>
      <c r="K1987" s="42" t="str">
        <f aca="false">IF(INDEX(BookTitle,1982)="","",INDEX(BookInYear,1982))</f>
        <v/>
      </c>
      <c r="L1987" s="19"/>
      <c r="M1987" s="39"/>
      <c r="N1987" s="19"/>
      <c r="O1987" s="19"/>
      <c r="P1987" s="43" t="str">
        <f aca="false">IF($E1987="","",IF($L1987="Decline",0,IF($L1987="Approve fewer",IF($M1987="","",$M1987),IF($L1987="","",$I1987))))</f>
        <v/>
      </c>
      <c r="Q1987" s="34" t="str">
        <f aca="false">IF($P1987="","",IF($N1987&lt;&gt;"",$N1987,$J1987))</f>
        <v/>
      </c>
      <c r="R1987" s="35" t="str">
        <f aca="false">IF(OR($P1987="",$Q1987=""),"",INDEX(BookRate,1982)*$P1987*(5-MATCH($Q1987,{"Q1";"Q2";"Q3";"Q4"},0))/4+INDEX(BookOneOff,1982)*$P1987)</f>
        <v/>
      </c>
      <c r="S1987" s="35" t="str">
        <f aca="false">IF($P1987="","",INDEX(BookRate,1982)*$P1987)</f>
        <v/>
      </c>
      <c r="T1987" s="35" t="str">
        <f aca="false">IF($R1987="","",$R1987-$K1987)</f>
        <v/>
      </c>
      <c r="U1987" s="35" t="str">
        <f aca="false">IF(N($P1987)&lt;=0,"",COUNTIF($P$6:$P1987,"&gt;0"))</f>
        <v/>
      </c>
    </row>
    <row r="1988" customFormat="false" ht="15" hidden="false" customHeight="false" outlineLevel="0" collapsed="false">
      <c r="A1988" s="40" t="str">
        <f aca="false">IF(INDEX(BookTitle,1983)="","",INDEX(BookGroup,1983))</f>
        <v/>
      </c>
      <c r="B1988" s="40" t="str">
        <f aca="false">IF(INDEX(BookTitle,1983)="","",INDEX(BookRef,1983))</f>
        <v/>
      </c>
      <c r="C1988" s="40" t="str">
        <f aca="false">IF(INDEX(BookTitle,1983)="","",INDEX(BookDivision,1983))</f>
        <v/>
      </c>
      <c r="D1988" s="40" t="str">
        <f aca="false">IF(INDEX(BookTitle,1983)="","",INDEX(BookUnit,1983))</f>
        <v/>
      </c>
      <c r="E1988" s="40" t="str">
        <f aca="false">IF(INDEX(BookTitle,1983)="","",INDEX(BookTitle,1983))</f>
        <v/>
      </c>
      <c r="F1988" s="40" t="str">
        <f aca="false">IF(INDEX(BookTitle,1983)="","",INDEX(BookLevel,1983))</f>
        <v/>
      </c>
      <c r="G1988" s="40" t="str">
        <f aca="false">IF(INDEX(BookTitle,1983)="","",INDEX(BookCategory,1983))</f>
        <v/>
      </c>
      <c r="H1988" s="40" t="str">
        <f aca="false">IF(INDEX(BookTitle,1983)="","",INDEX(BookRank,1983))</f>
        <v/>
      </c>
      <c r="I1988" s="41" t="str">
        <f aca="false">IF(INDEX(BookTitle,1983)="","",INDEX(BookTotal,1983))</f>
        <v/>
      </c>
      <c r="J1988" s="0" t="str">
        <f aca="false">IF($I1988="","",IF(INDEX(BookQ1,1983)&gt;0,"Q1",IF(INDEX(BookQ2,1983)&gt;0,"Q2",IF(INDEX(BookQ3,1983)&gt;0,"Q3",IF(INDEX(BookQ4,1983)&gt;0,"Q4","")))))</f>
        <v/>
      </c>
      <c r="K1988" s="42" t="str">
        <f aca="false">IF(INDEX(BookTitle,1983)="","",INDEX(BookInYear,1983))</f>
        <v/>
      </c>
      <c r="L1988" s="19"/>
      <c r="M1988" s="39"/>
      <c r="N1988" s="19"/>
      <c r="O1988" s="19"/>
      <c r="P1988" s="43" t="str">
        <f aca="false">IF($E1988="","",IF($L1988="Decline",0,IF($L1988="Approve fewer",IF($M1988="","",$M1988),IF($L1988="","",$I1988))))</f>
        <v/>
      </c>
      <c r="Q1988" s="34" t="str">
        <f aca="false">IF($P1988="","",IF($N1988&lt;&gt;"",$N1988,$J1988))</f>
        <v/>
      </c>
      <c r="R1988" s="35" t="str">
        <f aca="false">IF(OR($P1988="",$Q1988=""),"",INDEX(BookRate,1983)*$P1988*(5-MATCH($Q1988,{"Q1";"Q2";"Q3";"Q4"},0))/4+INDEX(BookOneOff,1983)*$P1988)</f>
        <v/>
      </c>
      <c r="S1988" s="35" t="str">
        <f aca="false">IF($P1988="","",INDEX(BookRate,1983)*$P1988)</f>
        <v/>
      </c>
      <c r="T1988" s="35" t="str">
        <f aca="false">IF($R1988="","",$R1988-$K1988)</f>
        <v/>
      </c>
      <c r="U1988" s="35" t="str">
        <f aca="false">IF(N($P1988)&lt;=0,"",COUNTIF($P$6:$P1988,"&gt;0"))</f>
        <v/>
      </c>
    </row>
    <row r="1989" customFormat="false" ht="15" hidden="false" customHeight="false" outlineLevel="0" collapsed="false">
      <c r="A1989" s="40" t="str">
        <f aca="false">IF(INDEX(BookTitle,1984)="","",INDEX(BookGroup,1984))</f>
        <v/>
      </c>
      <c r="B1989" s="40" t="str">
        <f aca="false">IF(INDEX(BookTitle,1984)="","",INDEX(BookRef,1984))</f>
        <v/>
      </c>
      <c r="C1989" s="40" t="str">
        <f aca="false">IF(INDEX(BookTitle,1984)="","",INDEX(BookDivision,1984))</f>
        <v/>
      </c>
      <c r="D1989" s="40" t="str">
        <f aca="false">IF(INDEX(BookTitle,1984)="","",INDEX(BookUnit,1984))</f>
        <v/>
      </c>
      <c r="E1989" s="40" t="str">
        <f aca="false">IF(INDEX(BookTitle,1984)="","",INDEX(BookTitle,1984))</f>
        <v/>
      </c>
      <c r="F1989" s="40" t="str">
        <f aca="false">IF(INDEX(BookTitle,1984)="","",INDEX(BookLevel,1984))</f>
        <v/>
      </c>
      <c r="G1989" s="40" t="str">
        <f aca="false">IF(INDEX(BookTitle,1984)="","",INDEX(BookCategory,1984))</f>
        <v/>
      </c>
      <c r="H1989" s="40" t="str">
        <f aca="false">IF(INDEX(BookTitle,1984)="","",INDEX(BookRank,1984))</f>
        <v/>
      </c>
      <c r="I1989" s="41" t="str">
        <f aca="false">IF(INDEX(BookTitle,1984)="","",INDEX(BookTotal,1984))</f>
        <v/>
      </c>
      <c r="J1989" s="0" t="str">
        <f aca="false">IF($I1989="","",IF(INDEX(BookQ1,1984)&gt;0,"Q1",IF(INDEX(BookQ2,1984)&gt;0,"Q2",IF(INDEX(BookQ3,1984)&gt;0,"Q3",IF(INDEX(BookQ4,1984)&gt;0,"Q4","")))))</f>
        <v/>
      </c>
      <c r="K1989" s="42" t="str">
        <f aca="false">IF(INDEX(BookTitle,1984)="","",INDEX(BookInYear,1984))</f>
        <v/>
      </c>
      <c r="L1989" s="19"/>
      <c r="M1989" s="39"/>
      <c r="N1989" s="19"/>
      <c r="O1989" s="19"/>
      <c r="P1989" s="43" t="str">
        <f aca="false">IF($E1989="","",IF($L1989="Decline",0,IF($L1989="Approve fewer",IF($M1989="","",$M1989),IF($L1989="","",$I1989))))</f>
        <v/>
      </c>
      <c r="Q1989" s="34" t="str">
        <f aca="false">IF($P1989="","",IF($N1989&lt;&gt;"",$N1989,$J1989))</f>
        <v/>
      </c>
      <c r="R1989" s="35" t="str">
        <f aca="false">IF(OR($P1989="",$Q1989=""),"",INDEX(BookRate,1984)*$P1989*(5-MATCH($Q1989,{"Q1";"Q2";"Q3";"Q4"},0))/4+INDEX(BookOneOff,1984)*$P1989)</f>
        <v/>
      </c>
      <c r="S1989" s="35" t="str">
        <f aca="false">IF($P1989="","",INDEX(BookRate,1984)*$P1989)</f>
        <v/>
      </c>
      <c r="T1989" s="35" t="str">
        <f aca="false">IF($R1989="","",$R1989-$K1989)</f>
        <v/>
      </c>
      <c r="U1989" s="35" t="str">
        <f aca="false">IF(N($P1989)&lt;=0,"",COUNTIF($P$6:$P1989,"&gt;0"))</f>
        <v/>
      </c>
    </row>
    <row r="1990" customFormat="false" ht="15" hidden="false" customHeight="false" outlineLevel="0" collapsed="false">
      <c r="A1990" s="40" t="str">
        <f aca="false">IF(INDEX(BookTitle,1985)="","",INDEX(BookGroup,1985))</f>
        <v/>
      </c>
      <c r="B1990" s="40" t="str">
        <f aca="false">IF(INDEX(BookTitle,1985)="","",INDEX(BookRef,1985))</f>
        <v/>
      </c>
      <c r="C1990" s="40" t="str">
        <f aca="false">IF(INDEX(BookTitle,1985)="","",INDEX(BookDivision,1985))</f>
        <v/>
      </c>
      <c r="D1990" s="40" t="str">
        <f aca="false">IF(INDEX(BookTitle,1985)="","",INDEX(BookUnit,1985))</f>
        <v/>
      </c>
      <c r="E1990" s="40" t="str">
        <f aca="false">IF(INDEX(BookTitle,1985)="","",INDEX(BookTitle,1985))</f>
        <v/>
      </c>
      <c r="F1990" s="40" t="str">
        <f aca="false">IF(INDEX(BookTitle,1985)="","",INDEX(BookLevel,1985))</f>
        <v/>
      </c>
      <c r="G1990" s="40" t="str">
        <f aca="false">IF(INDEX(BookTitle,1985)="","",INDEX(BookCategory,1985))</f>
        <v/>
      </c>
      <c r="H1990" s="40" t="str">
        <f aca="false">IF(INDEX(BookTitle,1985)="","",INDEX(BookRank,1985))</f>
        <v/>
      </c>
      <c r="I1990" s="41" t="str">
        <f aca="false">IF(INDEX(BookTitle,1985)="","",INDEX(BookTotal,1985))</f>
        <v/>
      </c>
      <c r="J1990" s="0" t="str">
        <f aca="false">IF($I1990="","",IF(INDEX(BookQ1,1985)&gt;0,"Q1",IF(INDEX(BookQ2,1985)&gt;0,"Q2",IF(INDEX(BookQ3,1985)&gt;0,"Q3",IF(INDEX(BookQ4,1985)&gt;0,"Q4","")))))</f>
        <v/>
      </c>
      <c r="K1990" s="42" t="str">
        <f aca="false">IF(INDEX(BookTitle,1985)="","",INDEX(BookInYear,1985))</f>
        <v/>
      </c>
      <c r="L1990" s="19"/>
      <c r="M1990" s="39"/>
      <c r="N1990" s="19"/>
      <c r="O1990" s="19"/>
      <c r="P1990" s="43" t="str">
        <f aca="false">IF($E1990="","",IF($L1990="Decline",0,IF($L1990="Approve fewer",IF($M1990="","",$M1990),IF($L1990="","",$I1990))))</f>
        <v/>
      </c>
      <c r="Q1990" s="34" t="str">
        <f aca="false">IF($P1990="","",IF($N1990&lt;&gt;"",$N1990,$J1990))</f>
        <v/>
      </c>
      <c r="R1990" s="35" t="str">
        <f aca="false">IF(OR($P1990="",$Q1990=""),"",INDEX(BookRate,1985)*$P1990*(5-MATCH($Q1990,{"Q1";"Q2";"Q3";"Q4"},0))/4+INDEX(BookOneOff,1985)*$P1990)</f>
        <v/>
      </c>
      <c r="S1990" s="35" t="str">
        <f aca="false">IF($P1990="","",INDEX(BookRate,1985)*$P1990)</f>
        <v/>
      </c>
      <c r="T1990" s="35" t="str">
        <f aca="false">IF($R1990="","",$R1990-$K1990)</f>
        <v/>
      </c>
      <c r="U1990" s="35" t="str">
        <f aca="false">IF(N($P1990)&lt;=0,"",COUNTIF($P$6:$P1990,"&gt;0"))</f>
        <v/>
      </c>
    </row>
    <row r="1991" customFormat="false" ht="15" hidden="false" customHeight="false" outlineLevel="0" collapsed="false">
      <c r="A1991" s="40" t="str">
        <f aca="false">IF(INDEX(BookTitle,1986)="","",INDEX(BookGroup,1986))</f>
        <v/>
      </c>
      <c r="B1991" s="40" t="str">
        <f aca="false">IF(INDEX(BookTitle,1986)="","",INDEX(BookRef,1986))</f>
        <v/>
      </c>
      <c r="C1991" s="40" t="str">
        <f aca="false">IF(INDEX(BookTitle,1986)="","",INDEX(BookDivision,1986))</f>
        <v/>
      </c>
      <c r="D1991" s="40" t="str">
        <f aca="false">IF(INDEX(BookTitle,1986)="","",INDEX(BookUnit,1986))</f>
        <v/>
      </c>
      <c r="E1991" s="40" t="str">
        <f aca="false">IF(INDEX(BookTitle,1986)="","",INDEX(BookTitle,1986))</f>
        <v/>
      </c>
      <c r="F1991" s="40" t="str">
        <f aca="false">IF(INDEX(BookTitle,1986)="","",INDEX(BookLevel,1986))</f>
        <v/>
      </c>
      <c r="G1991" s="40" t="str">
        <f aca="false">IF(INDEX(BookTitle,1986)="","",INDEX(BookCategory,1986))</f>
        <v/>
      </c>
      <c r="H1991" s="40" t="str">
        <f aca="false">IF(INDEX(BookTitle,1986)="","",INDEX(BookRank,1986))</f>
        <v/>
      </c>
      <c r="I1991" s="41" t="str">
        <f aca="false">IF(INDEX(BookTitle,1986)="","",INDEX(BookTotal,1986))</f>
        <v/>
      </c>
      <c r="J1991" s="0" t="str">
        <f aca="false">IF($I1991="","",IF(INDEX(BookQ1,1986)&gt;0,"Q1",IF(INDEX(BookQ2,1986)&gt;0,"Q2",IF(INDEX(BookQ3,1986)&gt;0,"Q3",IF(INDEX(BookQ4,1986)&gt;0,"Q4","")))))</f>
        <v/>
      </c>
      <c r="K1991" s="42" t="str">
        <f aca="false">IF(INDEX(BookTitle,1986)="","",INDEX(BookInYear,1986))</f>
        <v/>
      </c>
      <c r="L1991" s="19"/>
      <c r="M1991" s="39"/>
      <c r="N1991" s="19"/>
      <c r="O1991" s="19"/>
      <c r="P1991" s="43" t="str">
        <f aca="false">IF($E1991="","",IF($L1991="Decline",0,IF($L1991="Approve fewer",IF($M1991="","",$M1991),IF($L1991="","",$I1991))))</f>
        <v/>
      </c>
      <c r="Q1991" s="34" t="str">
        <f aca="false">IF($P1991="","",IF($N1991&lt;&gt;"",$N1991,$J1991))</f>
        <v/>
      </c>
      <c r="R1991" s="35" t="str">
        <f aca="false">IF(OR($P1991="",$Q1991=""),"",INDEX(BookRate,1986)*$P1991*(5-MATCH($Q1991,{"Q1";"Q2";"Q3";"Q4"},0))/4+INDEX(BookOneOff,1986)*$P1991)</f>
        <v/>
      </c>
      <c r="S1991" s="35" t="str">
        <f aca="false">IF($P1991="","",INDEX(BookRate,1986)*$P1991)</f>
        <v/>
      </c>
      <c r="T1991" s="35" t="str">
        <f aca="false">IF($R1991="","",$R1991-$K1991)</f>
        <v/>
      </c>
      <c r="U1991" s="35" t="str">
        <f aca="false">IF(N($P1991)&lt;=0,"",COUNTIF($P$6:$P1991,"&gt;0"))</f>
        <v/>
      </c>
    </row>
    <row r="1992" customFormat="false" ht="15" hidden="false" customHeight="false" outlineLevel="0" collapsed="false">
      <c r="A1992" s="40" t="str">
        <f aca="false">IF(INDEX(BookTitle,1987)="","",INDEX(BookGroup,1987))</f>
        <v/>
      </c>
      <c r="B1992" s="40" t="str">
        <f aca="false">IF(INDEX(BookTitle,1987)="","",INDEX(BookRef,1987))</f>
        <v/>
      </c>
      <c r="C1992" s="40" t="str">
        <f aca="false">IF(INDEX(BookTitle,1987)="","",INDEX(BookDivision,1987))</f>
        <v/>
      </c>
      <c r="D1992" s="40" t="str">
        <f aca="false">IF(INDEX(BookTitle,1987)="","",INDEX(BookUnit,1987))</f>
        <v/>
      </c>
      <c r="E1992" s="40" t="str">
        <f aca="false">IF(INDEX(BookTitle,1987)="","",INDEX(BookTitle,1987))</f>
        <v/>
      </c>
      <c r="F1992" s="40" t="str">
        <f aca="false">IF(INDEX(BookTitle,1987)="","",INDEX(BookLevel,1987))</f>
        <v/>
      </c>
      <c r="G1992" s="40" t="str">
        <f aca="false">IF(INDEX(BookTitle,1987)="","",INDEX(BookCategory,1987))</f>
        <v/>
      </c>
      <c r="H1992" s="40" t="str">
        <f aca="false">IF(INDEX(BookTitle,1987)="","",INDEX(BookRank,1987))</f>
        <v/>
      </c>
      <c r="I1992" s="41" t="str">
        <f aca="false">IF(INDEX(BookTitle,1987)="","",INDEX(BookTotal,1987))</f>
        <v/>
      </c>
      <c r="J1992" s="0" t="str">
        <f aca="false">IF($I1992="","",IF(INDEX(BookQ1,1987)&gt;0,"Q1",IF(INDEX(BookQ2,1987)&gt;0,"Q2",IF(INDEX(BookQ3,1987)&gt;0,"Q3",IF(INDEX(BookQ4,1987)&gt;0,"Q4","")))))</f>
        <v/>
      </c>
      <c r="K1992" s="42" t="str">
        <f aca="false">IF(INDEX(BookTitle,1987)="","",INDEX(BookInYear,1987))</f>
        <v/>
      </c>
      <c r="L1992" s="19"/>
      <c r="M1992" s="39"/>
      <c r="N1992" s="19"/>
      <c r="O1992" s="19"/>
      <c r="P1992" s="43" t="str">
        <f aca="false">IF($E1992="","",IF($L1992="Decline",0,IF($L1992="Approve fewer",IF($M1992="","",$M1992),IF($L1992="","",$I1992))))</f>
        <v/>
      </c>
      <c r="Q1992" s="34" t="str">
        <f aca="false">IF($P1992="","",IF($N1992&lt;&gt;"",$N1992,$J1992))</f>
        <v/>
      </c>
      <c r="R1992" s="35" t="str">
        <f aca="false">IF(OR($P1992="",$Q1992=""),"",INDEX(BookRate,1987)*$P1992*(5-MATCH($Q1992,{"Q1";"Q2";"Q3";"Q4"},0))/4+INDEX(BookOneOff,1987)*$P1992)</f>
        <v/>
      </c>
      <c r="S1992" s="35" t="str">
        <f aca="false">IF($P1992="","",INDEX(BookRate,1987)*$P1992)</f>
        <v/>
      </c>
      <c r="T1992" s="35" t="str">
        <f aca="false">IF($R1992="","",$R1992-$K1992)</f>
        <v/>
      </c>
      <c r="U1992" s="35" t="str">
        <f aca="false">IF(N($P1992)&lt;=0,"",COUNTIF($P$6:$P1992,"&gt;0"))</f>
        <v/>
      </c>
    </row>
    <row r="1993" customFormat="false" ht="15" hidden="false" customHeight="false" outlineLevel="0" collapsed="false">
      <c r="A1993" s="40" t="str">
        <f aca="false">IF(INDEX(BookTitle,1988)="","",INDEX(BookGroup,1988))</f>
        <v/>
      </c>
      <c r="B1993" s="40" t="str">
        <f aca="false">IF(INDEX(BookTitle,1988)="","",INDEX(BookRef,1988))</f>
        <v/>
      </c>
      <c r="C1993" s="40" t="str">
        <f aca="false">IF(INDEX(BookTitle,1988)="","",INDEX(BookDivision,1988))</f>
        <v/>
      </c>
      <c r="D1993" s="40" t="str">
        <f aca="false">IF(INDEX(BookTitle,1988)="","",INDEX(BookUnit,1988))</f>
        <v/>
      </c>
      <c r="E1993" s="40" t="str">
        <f aca="false">IF(INDEX(BookTitle,1988)="","",INDEX(BookTitle,1988))</f>
        <v/>
      </c>
      <c r="F1993" s="40" t="str">
        <f aca="false">IF(INDEX(BookTitle,1988)="","",INDEX(BookLevel,1988))</f>
        <v/>
      </c>
      <c r="G1993" s="40" t="str">
        <f aca="false">IF(INDEX(BookTitle,1988)="","",INDEX(BookCategory,1988))</f>
        <v/>
      </c>
      <c r="H1993" s="40" t="str">
        <f aca="false">IF(INDEX(BookTitle,1988)="","",INDEX(BookRank,1988))</f>
        <v/>
      </c>
      <c r="I1993" s="41" t="str">
        <f aca="false">IF(INDEX(BookTitle,1988)="","",INDEX(BookTotal,1988))</f>
        <v/>
      </c>
      <c r="J1993" s="0" t="str">
        <f aca="false">IF($I1993="","",IF(INDEX(BookQ1,1988)&gt;0,"Q1",IF(INDEX(BookQ2,1988)&gt;0,"Q2",IF(INDEX(BookQ3,1988)&gt;0,"Q3",IF(INDEX(BookQ4,1988)&gt;0,"Q4","")))))</f>
        <v/>
      </c>
      <c r="K1993" s="42" t="str">
        <f aca="false">IF(INDEX(BookTitle,1988)="","",INDEX(BookInYear,1988))</f>
        <v/>
      </c>
      <c r="L1993" s="19"/>
      <c r="M1993" s="39"/>
      <c r="N1993" s="19"/>
      <c r="O1993" s="19"/>
      <c r="P1993" s="43" t="str">
        <f aca="false">IF($E1993="","",IF($L1993="Decline",0,IF($L1993="Approve fewer",IF($M1993="","",$M1993),IF($L1993="","",$I1993))))</f>
        <v/>
      </c>
      <c r="Q1993" s="34" t="str">
        <f aca="false">IF($P1993="","",IF($N1993&lt;&gt;"",$N1993,$J1993))</f>
        <v/>
      </c>
      <c r="R1993" s="35" t="str">
        <f aca="false">IF(OR($P1993="",$Q1993=""),"",INDEX(BookRate,1988)*$P1993*(5-MATCH($Q1993,{"Q1";"Q2";"Q3";"Q4"},0))/4+INDEX(BookOneOff,1988)*$P1993)</f>
        <v/>
      </c>
      <c r="S1993" s="35" t="str">
        <f aca="false">IF($P1993="","",INDEX(BookRate,1988)*$P1993)</f>
        <v/>
      </c>
      <c r="T1993" s="35" t="str">
        <f aca="false">IF($R1993="","",$R1993-$K1993)</f>
        <v/>
      </c>
      <c r="U1993" s="35" t="str">
        <f aca="false">IF(N($P1993)&lt;=0,"",COUNTIF($P$6:$P1993,"&gt;0"))</f>
        <v/>
      </c>
    </row>
    <row r="1994" customFormat="false" ht="15" hidden="false" customHeight="false" outlineLevel="0" collapsed="false">
      <c r="A1994" s="40" t="str">
        <f aca="false">IF(INDEX(BookTitle,1989)="","",INDEX(BookGroup,1989))</f>
        <v/>
      </c>
      <c r="B1994" s="40" t="str">
        <f aca="false">IF(INDEX(BookTitle,1989)="","",INDEX(BookRef,1989))</f>
        <v/>
      </c>
      <c r="C1994" s="40" t="str">
        <f aca="false">IF(INDEX(BookTitle,1989)="","",INDEX(BookDivision,1989))</f>
        <v/>
      </c>
      <c r="D1994" s="40" t="str">
        <f aca="false">IF(INDEX(BookTitle,1989)="","",INDEX(BookUnit,1989))</f>
        <v/>
      </c>
      <c r="E1994" s="40" t="str">
        <f aca="false">IF(INDEX(BookTitle,1989)="","",INDEX(BookTitle,1989))</f>
        <v/>
      </c>
      <c r="F1994" s="40" t="str">
        <f aca="false">IF(INDEX(BookTitle,1989)="","",INDEX(BookLevel,1989))</f>
        <v/>
      </c>
      <c r="G1994" s="40" t="str">
        <f aca="false">IF(INDEX(BookTitle,1989)="","",INDEX(BookCategory,1989))</f>
        <v/>
      </c>
      <c r="H1994" s="40" t="str">
        <f aca="false">IF(INDEX(BookTitle,1989)="","",INDEX(BookRank,1989))</f>
        <v/>
      </c>
      <c r="I1994" s="41" t="str">
        <f aca="false">IF(INDEX(BookTitle,1989)="","",INDEX(BookTotal,1989))</f>
        <v/>
      </c>
      <c r="J1994" s="0" t="str">
        <f aca="false">IF($I1994="","",IF(INDEX(BookQ1,1989)&gt;0,"Q1",IF(INDEX(BookQ2,1989)&gt;0,"Q2",IF(INDEX(BookQ3,1989)&gt;0,"Q3",IF(INDEX(BookQ4,1989)&gt;0,"Q4","")))))</f>
        <v/>
      </c>
      <c r="K1994" s="42" t="str">
        <f aca="false">IF(INDEX(BookTitle,1989)="","",INDEX(BookInYear,1989))</f>
        <v/>
      </c>
      <c r="L1994" s="19"/>
      <c r="M1994" s="39"/>
      <c r="N1994" s="19"/>
      <c r="O1994" s="19"/>
      <c r="P1994" s="43" t="str">
        <f aca="false">IF($E1994="","",IF($L1994="Decline",0,IF($L1994="Approve fewer",IF($M1994="","",$M1994),IF($L1994="","",$I1994))))</f>
        <v/>
      </c>
      <c r="Q1994" s="34" t="str">
        <f aca="false">IF($P1994="","",IF($N1994&lt;&gt;"",$N1994,$J1994))</f>
        <v/>
      </c>
      <c r="R1994" s="35" t="str">
        <f aca="false">IF(OR($P1994="",$Q1994=""),"",INDEX(BookRate,1989)*$P1994*(5-MATCH($Q1994,{"Q1";"Q2";"Q3";"Q4"},0))/4+INDEX(BookOneOff,1989)*$P1994)</f>
        <v/>
      </c>
      <c r="S1994" s="35" t="str">
        <f aca="false">IF($P1994="","",INDEX(BookRate,1989)*$P1994)</f>
        <v/>
      </c>
      <c r="T1994" s="35" t="str">
        <f aca="false">IF($R1994="","",$R1994-$K1994)</f>
        <v/>
      </c>
      <c r="U1994" s="35" t="str">
        <f aca="false">IF(N($P1994)&lt;=0,"",COUNTIF($P$6:$P1994,"&gt;0"))</f>
        <v/>
      </c>
    </row>
    <row r="1995" customFormat="false" ht="15" hidden="false" customHeight="false" outlineLevel="0" collapsed="false">
      <c r="A1995" s="40" t="str">
        <f aca="false">IF(INDEX(BookTitle,1990)="","",INDEX(BookGroup,1990))</f>
        <v/>
      </c>
      <c r="B1995" s="40" t="str">
        <f aca="false">IF(INDEX(BookTitle,1990)="","",INDEX(BookRef,1990))</f>
        <v/>
      </c>
      <c r="C1995" s="40" t="str">
        <f aca="false">IF(INDEX(BookTitle,1990)="","",INDEX(BookDivision,1990))</f>
        <v/>
      </c>
      <c r="D1995" s="40" t="str">
        <f aca="false">IF(INDEX(BookTitle,1990)="","",INDEX(BookUnit,1990))</f>
        <v/>
      </c>
      <c r="E1995" s="40" t="str">
        <f aca="false">IF(INDEX(BookTitle,1990)="","",INDEX(BookTitle,1990))</f>
        <v/>
      </c>
      <c r="F1995" s="40" t="str">
        <f aca="false">IF(INDEX(BookTitle,1990)="","",INDEX(BookLevel,1990))</f>
        <v/>
      </c>
      <c r="G1995" s="40" t="str">
        <f aca="false">IF(INDEX(BookTitle,1990)="","",INDEX(BookCategory,1990))</f>
        <v/>
      </c>
      <c r="H1995" s="40" t="str">
        <f aca="false">IF(INDEX(BookTitle,1990)="","",INDEX(BookRank,1990))</f>
        <v/>
      </c>
      <c r="I1995" s="41" t="str">
        <f aca="false">IF(INDEX(BookTitle,1990)="","",INDEX(BookTotal,1990))</f>
        <v/>
      </c>
      <c r="J1995" s="0" t="str">
        <f aca="false">IF($I1995="","",IF(INDEX(BookQ1,1990)&gt;0,"Q1",IF(INDEX(BookQ2,1990)&gt;0,"Q2",IF(INDEX(BookQ3,1990)&gt;0,"Q3",IF(INDEX(BookQ4,1990)&gt;0,"Q4","")))))</f>
        <v/>
      </c>
      <c r="K1995" s="42" t="str">
        <f aca="false">IF(INDEX(BookTitle,1990)="","",INDEX(BookInYear,1990))</f>
        <v/>
      </c>
      <c r="L1995" s="19"/>
      <c r="M1995" s="39"/>
      <c r="N1995" s="19"/>
      <c r="O1995" s="19"/>
      <c r="P1995" s="43" t="str">
        <f aca="false">IF($E1995="","",IF($L1995="Decline",0,IF($L1995="Approve fewer",IF($M1995="","",$M1995),IF($L1995="","",$I1995))))</f>
        <v/>
      </c>
      <c r="Q1995" s="34" t="str">
        <f aca="false">IF($P1995="","",IF($N1995&lt;&gt;"",$N1995,$J1995))</f>
        <v/>
      </c>
      <c r="R1995" s="35" t="str">
        <f aca="false">IF(OR($P1995="",$Q1995=""),"",INDEX(BookRate,1990)*$P1995*(5-MATCH($Q1995,{"Q1";"Q2";"Q3";"Q4"},0))/4+INDEX(BookOneOff,1990)*$P1995)</f>
        <v/>
      </c>
      <c r="S1995" s="35" t="str">
        <f aca="false">IF($P1995="","",INDEX(BookRate,1990)*$P1995)</f>
        <v/>
      </c>
      <c r="T1995" s="35" t="str">
        <f aca="false">IF($R1995="","",$R1995-$K1995)</f>
        <v/>
      </c>
      <c r="U1995" s="35" t="str">
        <f aca="false">IF(N($P1995)&lt;=0,"",COUNTIF($P$6:$P1995,"&gt;0"))</f>
        <v/>
      </c>
    </row>
    <row r="1996" customFormat="false" ht="15" hidden="false" customHeight="false" outlineLevel="0" collapsed="false">
      <c r="A1996" s="40" t="str">
        <f aca="false">IF(INDEX(BookTitle,1991)="","",INDEX(BookGroup,1991))</f>
        <v/>
      </c>
      <c r="B1996" s="40" t="str">
        <f aca="false">IF(INDEX(BookTitle,1991)="","",INDEX(BookRef,1991))</f>
        <v/>
      </c>
      <c r="C1996" s="40" t="str">
        <f aca="false">IF(INDEX(BookTitle,1991)="","",INDEX(BookDivision,1991))</f>
        <v/>
      </c>
      <c r="D1996" s="40" t="str">
        <f aca="false">IF(INDEX(BookTitle,1991)="","",INDEX(BookUnit,1991))</f>
        <v/>
      </c>
      <c r="E1996" s="40" t="str">
        <f aca="false">IF(INDEX(BookTitle,1991)="","",INDEX(BookTitle,1991))</f>
        <v/>
      </c>
      <c r="F1996" s="40" t="str">
        <f aca="false">IF(INDEX(BookTitle,1991)="","",INDEX(BookLevel,1991))</f>
        <v/>
      </c>
      <c r="G1996" s="40" t="str">
        <f aca="false">IF(INDEX(BookTitle,1991)="","",INDEX(BookCategory,1991))</f>
        <v/>
      </c>
      <c r="H1996" s="40" t="str">
        <f aca="false">IF(INDEX(BookTitle,1991)="","",INDEX(BookRank,1991))</f>
        <v/>
      </c>
      <c r="I1996" s="41" t="str">
        <f aca="false">IF(INDEX(BookTitle,1991)="","",INDEX(BookTotal,1991))</f>
        <v/>
      </c>
      <c r="J1996" s="0" t="str">
        <f aca="false">IF($I1996="","",IF(INDEX(BookQ1,1991)&gt;0,"Q1",IF(INDEX(BookQ2,1991)&gt;0,"Q2",IF(INDEX(BookQ3,1991)&gt;0,"Q3",IF(INDEX(BookQ4,1991)&gt;0,"Q4","")))))</f>
        <v/>
      </c>
      <c r="K1996" s="42" t="str">
        <f aca="false">IF(INDEX(BookTitle,1991)="","",INDEX(BookInYear,1991))</f>
        <v/>
      </c>
      <c r="L1996" s="19"/>
      <c r="M1996" s="39"/>
      <c r="N1996" s="19"/>
      <c r="O1996" s="19"/>
      <c r="P1996" s="43" t="str">
        <f aca="false">IF($E1996="","",IF($L1996="Decline",0,IF($L1996="Approve fewer",IF($M1996="","",$M1996),IF($L1996="","",$I1996))))</f>
        <v/>
      </c>
      <c r="Q1996" s="34" t="str">
        <f aca="false">IF($P1996="","",IF($N1996&lt;&gt;"",$N1996,$J1996))</f>
        <v/>
      </c>
      <c r="R1996" s="35" t="str">
        <f aca="false">IF(OR($P1996="",$Q1996=""),"",INDEX(BookRate,1991)*$P1996*(5-MATCH($Q1996,{"Q1";"Q2";"Q3";"Q4"},0))/4+INDEX(BookOneOff,1991)*$P1996)</f>
        <v/>
      </c>
      <c r="S1996" s="35" t="str">
        <f aca="false">IF($P1996="","",INDEX(BookRate,1991)*$P1996)</f>
        <v/>
      </c>
      <c r="T1996" s="35" t="str">
        <f aca="false">IF($R1996="","",$R1996-$K1996)</f>
        <v/>
      </c>
      <c r="U1996" s="35" t="str">
        <f aca="false">IF(N($P1996)&lt;=0,"",COUNTIF($P$6:$P1996,"&gt;0"))</f>
        <v/>
      </c>
    </row>
    <row r="1997" customFormat="false" ht="15" hidden="false" customHeight="false" outlineLevel="0" collapsed="false">
      <c r="A1997" s="40" t="str">
        <f aca="false">IF(INDEX(BookTitle,1992)="","",INDEX(BookGroup,1992))</f>
        <v/>
      </c>
      <c r="B1997" s="40" t="str">
        <f aca="false">IF(INDEX(BookTitle,1992)="","",INDEX(BookRef,1992))</f>
        <v/>
      </c>
      <c r="C1997" s="40" t="str">
        <f aca="false">IF(INDEX(BookTitle,1992)="","",INDEX(BookDivision,1992))</f>
        <v/>
      </c>
      <c r="D1997" s="40" t="str">
        <f aca="false">IF(INDEX(BookTitle,1992)="","",INDEX(BookUnit,1992))</f>
        <v/>
      </c>
      <c r="E1997" s="40" t="str">
        <f aca="false">IF(INDEX(BookTitle,1992)="","",INDEX(BookTitle,1992))</f>
        <v/>
      </c>
      <c r="F1997" s="40" t="str">
        <f aca="false">IF(INDEX(BookTitle,1992)="","",INDEX(BookLevel,1992))</f>
        <v/>
      </c>
      <c r="G1997" s="40" t="str">
        <f aca="false">IF(INDEX(BookTitle,1992)="","",INDEX(BookCategory,1992))</f>
        <v/>
      </c>
      <c r="H1997" s="40" t="str">
        <f aca="false">IF(INDEX(BookTitle,1992)="","",INDEX(BookRank,1992))</f>
        <v/>
      </c>
      <c r="I1997" s="41" t="str">
        <f aca="false">IF(INDEX(BookTitle,1992)="","",INDEX(BookTotal,1992))</f>
        <v/>
      </c>
      <c r="J1997" s="0" t="str">
        <f aca="false">IF($I1997="","",IF(INDEX(BookQ1,1992)&gt;0,"Q1",IF(INDEX(BookQ2,1992)&gt;0,"Q2",IF(INDEX(BookQ3,1992)&gt;0,"Q3",IF(INDEX(BookQ4,1992)&gt;0,"Q4","")))))</f>
        <v/>
      </c>
      <c r="K1997" s="42" t="str">
        <f aca="false">IF(INDEX(BookTitle,1992)="","",INDEX(BookInYear,1992))</f>
        <v/>
      </c>
      <c r="L1997" s="19"/>
      <c r="M1997" s="39"/>
      <c r="N1997" s="19"/>
      <c r="O1997" s="19"/>
      <c r="P1997" s="43" t="str">
        <f aca="false">IF($E1997="","",IF($L1997="Decline",0,IF($L1997="Approve fewer",IF($M1997="","",$M1997),IF($L1997="","",$I1997))))</f>
        <v/>
      </c>
      <c r="Q1997" s="34" t="str">
        <f aca="false">IF($P1997="","",IF($N1997&lt;&gt;"",$N1997,$J1997))</f>
        <v/>
      </c>
      <c r="R1997" s="35" t="str">
        <f aca="false">IF(OR($P1997="",$Q1997=""),"",INDEX(BookRate,1992)*$P1997*(5-MATCH($Q1997,{"Q1";"Q2";"Q3";"Q4"},0))/4+INDEX(BookOneOff,1992)*$P1997)</f>
        <v/>
      </c>
      <c r="S1997" s="35" t="str">
        <f aca="false">IF($P1997="","",INDEX(BookRate,1992)*$P1997)</f>
        <v/>
      </c>
      <c r="T1997" s="35" t="str">
        <f aca="false">IF($R1997="","",$R1997-$K1997)</f>
        <v/>
      </c>
      <c r="U1997" s="35" t="str">
        <f aca="false">IF(N($P1997)&lt;=0,"",COUNTIF($P$6:$P1997,"&gt;0"))</f>
        <v/>
      </c>
    </row>
    <row r="1998" customFormat="false" ht="15" hidden="false" customHeight="false" outlineLevel="0" collapsed="false">
      <c r="A1998" s="40" t="str">
        <f aca="false">IF(INDEX(BookTitle,1993)="","",INDEX(BookGroup,1993))</f>
        <v/>
      </c>
      <c r="B1998" s="40" t="str">
        <f aca="false">IF(INDEX(BookTitle,1993)="","",INDEX(BookRef,1993))</f>
        <v/>
      </c>
      <c r="C1998" s="40" t="str">
        <f aca="false">IF(INDEX(BookTitle,1993)="","",INDEX(BookDivision,1993))</f>
        <v/>
      </c>
      <c r="D1998" s="40" t="str">
        <f aca="false">IF(INDEX(BookTitle,1993)="","",INDEX(BookUnit,1993))</f>
        <v/>
      </c>
      <c r="E1998" s="40" t="str">
        <f aca="false">IF(INDEX(BookTitle,1993)="","",INDEX(BookTitle,1993))</f>
        <v/>
      </c>
      <c r="F1998" s="40" t="str">
        <f aca="false">IF(INDEX(BookTitle,1993)="","",INDEX(BookLevel,1993))</f>
        <v/>
      </c>
      <c r="G1998" s="40" t="str">
        <f aca="false">IF(INDEX(BookTitle,1993)="","",INDEX(BookCategory,1993))</f>
        <v/>
      </c>
      <c r="H1998" s="40" t="str">
        <f aca="false">IF(INDEX(BookTitle,1993)="","",INDEX(BookRank,1993))</f>
        <v/>
      </c>
      <c r="I1998" s="41" t="str">
        <f aca="false">IF(INDEX(BookTitle,1993)="","",INDEX(BookTotal,1993))</f>
        <v/>
      </c>
      <c r="J1998" s="0" t="str">
        <f aca="false">IF($I1998="","",IF(INDEX(BookQ1,1993)&gt;0,"Q1",IF(INDEX(BookQ2,1993)&gt;0,"Q2",IF(INDEX(BookQ3,1993)&gt;0,"Q3",IF(INDEX(BookQ4,1993)&gt;0,"Q4","")))))</f>
        <v/>
      </c>
      <c r="K1998" s="42" t="str">
        <f aca="false">IF(INDEX(BookTitle,1993)="","",INDEX(BookInYear,1993))</f>
        <v/>
      </c>
      <c r="L1998" s="19"/>
      <c r="M1998" s="39"/>
      <c r="N1998" s="19"/>
      <c r="O1998" s="19"/>
      <c r="P1998" s="43" t="str">
        <f aca="false">IF($E1998="","",IF($L1998="Decline",0,IF($L1998="Approve fewer",IF($M1998="","",$M1998),IF($L1998="","",$I1998))))</f>
        <v/>
      </c>
      <c r="Q1998" s="34" t="str">
        <f aca="false">IF($P1998="","",IF($N1998&lt;&gt;"",$N1998,$J1998))</f>
        <v/>
      </c>
      <c r="R1998" s="35" t="str">
        <f aca="false">IF(OR($P1998="",$Q1998=""),"",INDEX(BookRate,1993)*$P1998*(5-MATCH($Q1998,{"Q1";"Q2";"Q3";"Q4"},0))/4+INDEX(BookOneOff,1993)*$P1998)</f>
        <v/>
      </c>
      <c r="S1998" s="35" t="str">
        <f aca="false">IF($P1998="","",INDEX(BookRate,1993)*$P1998)</f>
        <v/>
      </c>
      <c r="T1998" s="35" t="str">
        <f aca="false">IF($R1998="","",$R1998-$K1998)</f>
        <v/>
      </c>
      <c r="U1998" s="35" t="str">
        <f aca="false">IF(N($P1998)&lt;=0,"",COUNTIF($P$6:$P1998,"&gt;0"))</f>
        <v/>
      </c>
    </row>
    <row r="1999" customFormat="false" ht="15" hidden="false" customHeight="false" outlineLevel="0" collapsed="false">
      <c r="A1999" s="40" t="str">
        <f aca="false">IF(INDEX(BookTitle,1994)="","",INDEX(BookGroup,1994))</f>
        <v/>
      </c>
      <c r="B1999" s="40" t="str">
        <f aca="false">IF(INDEX(BookTitle,1994)="","",INDEX(BookRef,1994))</f>
        <v/>
      </c>
      <c r="C1999" s="40" t="str">
        <f aca="false">IF(INDEX(BookTitle,1994)="","",INDEX(BookDivision,1994))</f>
        <v/>
      </c>
      <c r="D1999" s="40" t="str">
        <f aca="false">IF(INDEX(BookTitle,1994)="","",INDEX(BookUnit,1994))</f>
        <v/>
      </c>
      <c r="E1999" s="40" t="str">
        <f aca="false">IF(INDEX(BookTitle,1994)="","",INDEX(BookTitle,1994))</f>
        <v/>
      </c>
      <c r="F1999" s="40" t="str">
        <f aca="false">IF(INDEX(BookTitle,1994)="","",INDEX(BookLevel,1994))</f>
        <v/>
      </c>
      <c r="G1999" s="40" t="str">
        <f aca="false">IF(INDEX(BookTitle,1994)="","",INDEX(BookCategory,1994))</f>
        <v/>
      </c>
      <c r="H1999" s="40" t="str">
        <f aca="false">IF(INDEX(BookTitle,1994)="","",INDEX(BookRank,1994))</f>
        <v/>
      </c>
      <c r="I1999" s="41" t="str">
        <f aca="false">IF(INDEX(BookTitle,1994)="","",INDEX(BookTotal,1994))</f>
        <v/>
      </c>
      <c r="J1999" s="0" t="str">
        <f aca="false">IF($I1999="","",IF(INDEX(BookQ1,1994)&gt;0,"Q1",IF(INDEX(BookQ2,1994)&gt;0,"Q2",IF(INDEX(BookQ3,1994)&gt;0,"Q3",IF(INDEX(BookQ4,1994)&gt;0,"Q4","")))))</f>
        <v/>
      </c>
      <c r="K1999" s="42" t="str">
        <f aca="false">IF(INDEX(BookTitle,1994)="","",INDEX(BookInYear,1994))</f>
        <v/>
      </c>
      <c r="L1999" s="19"/>
      <c r="M1999" s="39"/>
      <c r="N1999" s="19"/>
      <c r="O1999" s="19"/>
      <c r="P1999" s="43" t="str">
        <f aca="false">IF($E1999="","",IF($L1999="Decline",0,IF($L1999="Approve fewer",IF($M1999="","",$M1999),IF($L1999="","",$I1999))))</f>
        <v/>
      </c>
      <c r="Q1999" s="34" t="str">
        <f aca="false">IF($P1999="","",IF($N1999&lt;&gt;"",$N1999,$J1999))</f>
        <v/>
      </c>
      <c r="R1999" s="35" t="str">
        <f aca="false">IF(OR($P1999="",$Q1999=""),"",INDEX(BookRate,1994)*$P1999*(5-MATCH($Q1999,{"Q1";"Q2";"Q3";"Q4"},0))/4+INDEX(BookOneOff,1994)*$P1999)</f>
        <v/>
      </c>
      <c r="S1999" s="35" t="str">
        <f aca="false">IF($P1999="","",INDEX(BookRate,1994)*$P1999)</f>
        <v/>
      </c>
      <c r="T1999" s="35" t="str">
        <f aca="false">IF($R1999="","",$R1999-$K1999)</f>
        <v/>
      </c>
      <c r="U1999" s="35" t="str">
        <f aca="false">IF(N($P1999)&lt;=0,"",COUNTIF($P$6:$P1999,"&gt;0"))</f>
        <v/>
      </c>
    </row>
    <row r="2000" customFormat="false" ht="15" hidden="false" customHeight="false" outlineLevel="0" collapsed="false">
      <c r="A2000" s="40" t="str">
        <f aca="false">IF(INDEX(BookTitle,1995)="","",INDEX(BookGroup,1995))</f>
        <v/>
      </c>
      <c r="B2000" s="40" t="str">
        <f aca="false">IF(INDEX(BookTitle,1995)="","",INDEX(BookRef,1995))</f>
        <v/>
      </c>
      <c r="C2000" s="40" t="str">
        <f aca="false">IF(INDEX(BookTitle,1995)="","",INDEX(BookDivision,1995))</f>
        <v/>
      </c>
      <c r="D2000" s="40" t="str">
        <f aca="false">IF(INDEX(BookTitle,1995)="","",INDEX(BookUnit,1995))</f>
        <v/>
      </c>
      <c r="E2000" s="40" t="str">
        <f aca="false">IF(INDEX(BookTitle,1995)="","",INDEX(BookTitle,1995))</f>
        <v/>
      </c>
      <c r="F2000" s="40" t="str">
        <f aca="false">IF(INDEX(BookTitle,1995)="","",INDEX(BookLevel,1995))</f>
        <v/>
      </c>
      <c r="G2000" s="40" t="str">
        <f aca="false">IF(INDEX(BookTitle,1995)="","",INDEX(BookCategory,1995))</f>
        <v/>
      </c>
      <c r="H2000" s="40" t="str">
        <f aca="false">IF(INDEX(BookTitle,1995)="","",INDEX(BookRank,1995))</f>
        <v/>
      </c>
      <c r="I2000" s="41" t="str">
        <f aca="false">IF(INDEX(BookTitle,1995)="","",INDEX(BookTotal,1995))</f>
        <v/>
      </c>
      <c r="J2000" s="0" t="str">
        <f aca="false">IF($I2000="","",IF(INDEX(BookQ1,1995)&gt;0,"Q1",IF(INDEX(BookQ2,1995)&gt;0,"Q2",IF(INDEX(BookQ3,1995)&gt;0,"Q3",IF(INDEX(BookQ4,1995)&gt;0,"Q4","")))))</f>
        <v/>
      </c>
      <c r="K2000" s="42" t="str">
        <f aca="false">IF(INDEX(BookTitle,1995)="","",INDEX(BookInYear,1995))</f>
        <v/>
      </c>
      <c r="L2000" s="19"/>
      <c r="M2000" s="39"/>
      <c r="N2000" s="19"/>
      <c r="O2000" s="19"/>
      <c r="P2000" s="43" t="str">
        <f aca="false">IF($E2000="","",IF($L2000="Decline",0,IF($L2000="Approve fewer",IF($M2000="","",$M2000),IF($L2000="","",$I2000))))</f>
        <v/>
      </c>
      <c r="Q2000" s="34" t="str">
        <f aca="false">IF($P2000="","",IF($N2000&lt;&gt;"",$N2000,$J2000))</f>
        <v/>
      </c>
      <c r="R2000" s="35" t="str">
        <f aca="false">IF(OR($P2000="",$Q2000=""),"",INDEX(BookRate,1995)*$P2000*(5-MATCH($Q2000,{"Q1";"Q2";"Q3";"Q4"},0))/4+INDEX(BookOneOff,1995)*$P2000)</f>
        <v/>
      </c>
      <c r="S2000" s="35" t="str">
        <f aca="false">IF($P2000="","",INDEX(BookRate,1995)*$P2000)</f>
        <v/>
      </c>
      <c r="T2000" s="35" t="str">
        <f aca="false">IF($R2000="","",$R2000-$K2000)</f>
        <v/>
      </c>
      <c r="U2000" s="35" t="str">
        <f aca="false">IF(N($P2000)&lt;=0,"",COUNTIF($P$6:$P2000,"&gt;0"))</f>
        <v/>
      </c>
    </row>
    <row r="2001" customFormat="false" ht="15" hidden="false" customHeight="false" outlineLevel="0" collapsed="false">
      <c r="A2001" s="40" t="str">
        <f aca="false">IF(INDEX(BookTitle,1996)="","",INDEX(BookGroup,1996))</f>
        <v/>
      </c>
      <c r="B2001" s="40" t="str">
        <f aca="false">IF(INDEX(BookTitle,1996)="","",INDEX(BookRef,1996))</f>
        <v/>
      </c>
      <c r="C2001" s="40" t="str">
        <f aca="false">IF(INDEX(BookTitle,1996)="","",INDEX(BookDivision,1996))</f>
        <v/>
      </c>
      <c r="D2001" s="40" t="str">
        <f aca="false">IF(INDEX(BookTitle,1996)="","",INDEX(BookUnit,1996))</f>
        <v/>
      </c>
      <c r="E2001" s="40" t="str">
        <f aca="false">IF(INDEX(BookTitle,1996)="","",INDEX(BookTitle,1996))</f>
        <v/>
      </c>
      <c r="F2001" s="40" t="str">
        <f aca="false">IF(INDEX(BookTitle,1996)="","",INDEX(BookLevel,1996))</f>
        <v/>
      </c>
      <c r="G2001" s="40" t="str">
        <f aca="false">IF(INDEX(BookTitle,1996)="","",INDEX(BookCategory,1996))</f>
        <v/>
      </c>
      <c r="H2001" s="40" t="str">
        <f aca="false">IF(INDEX(BookTitle,1996)="","",INDEX(BookRank,1996))</f>
        <v/>
      </c>
      <c r="I2001" s="41" t="str">
        <f aca="false">IF(INDEX(BookTitle,1996)="","",INDEX(BookTotal,1996))</f>
        <v/>
      </c>
      <c r="J2001" s="0" t="str">
        <f aca="false">IF($I2001="","",IF(INDEX(BookQ1,1996)&gt;0,"Q1",IF(INDEX(BookQ2,1996)&gt;0,"Q2",IF(INDEX(BookQ3,1996)&gt;0,"Q3",IF(INDEX(BookQ4,1996)&gt;0,"Q4","")))))</f>
        <v/>
      </c>
      <c r="K2001" s="42" t="str">
        <f aca="false">IF(INDEX(BookTitle,1996)="","",INDEX(BookInYear,1996))</f>
        <v/>
      </c>
      <c r="L2001" s="19"/>
      <c r="M2001" s="39"/>
      <c r="N2001" s="19"/>
      <c r="O2001" s="19"/>
      <c r="P2001" s="43" t="str">
        <f aca="false">IF($E2001="","",IF($L2001="Decline",0,IF($L2001="Approve fewer",IF($M2001="","",$M2001),IF($L2001="","",$I2001))))</f>
        <v/>
      </c>
      <c r="Q2001" s="34" t="str">
        <f aca="false">IF($P2001="","",IF($N2001&lt;&gt;"",$N2001,$J2001))</f>
        <v/>
      </c>
      <c r="R2001" s="35" t="str">
        <f aca="false">IF(OR($P2001="",$Q2001=""),"",INDEX(BookRate,1996)*$P2001*(5-MATCH($Q2001,{"Q1";"Q2";"Q3";"Q4"},0))/4+INDEX(BookOneOff,1996)*$P2001)</f>
        <v/>
      </c>
      <c r="S2001" s="35" t="str">
        <f aca="false">IF($P2001="","",INDEX(BookRate,1996)*$P2001)</f>
        <v/>
      </c>
      <c r="T2001" s="35" t="str">
        <f aca="false">IF($R2001="","",$R2001-$K2001)</f>
        <v/>
      </c>
      <c r="U2001" s="35" t="str">
        <f aca="false">IF(N($P2001)&lt;=0,"",COUNTIF($P$6:$P2001,"&gt;0"))</f>
        <v/>
      </c>
    </row>
    <row r="2002" customFormat="false" ht="15" hidden="false" customHeight="false" outlineLevel="0" collapsed="false">
      <c r="A2002" s="40" t="str">
        <f aca="false">IF(INDEX(BookTitle,1997)="","",INDEX(BookGroup,1997))</f>
        <v/>
      </c>
      <c r="B2002" s="40" t="str">
        <f aca="false">IF(INDEX(BookTitle,1997)="","",INDEX(BookRef,1997))</f>
        <v/>
      </c>
      <c r="C2002" s="40" t="str">
        <f aca="false">IF(INDEX(BookTitle,1997)="","",INDEX(BookDivision,1997))</f>
        <v/>
      </c>
      <c r="D2002" s="40" t="str">
        <f aca="false">IF(INDEX(BookTitle,1997)="","",INDEX(BookUnit,1997))</f>
        <v/>
      </c>
      <c r="E2002" s="40" t="str">
        <f aca="false">IF(INDEX(BookTitle,1997)="","",INDEX(BookTitle,1997))</f>
        <v/>
      </c>
      <c r="F2002" s="40" t="str">
        <f aca="false">IF(INDEX(BookTitle,1997)="","",INDEX(BookLevel,1997))</f>
        <v/>
      </c>
      <c r="G2002" s="40" t="str">
        <f aca="false">IF(INDEX(BookTitle,1997)="","",INDEX(BookCategory,1997))</f>
        <v/>
      </c>
      <c r="H2002" s="40" t="str">
        <f aca="false">IF(INDEX(BookTitle,1997)="","",INDEX(BookRank,1997))</f>
        <v/>
      </c>
      <c r="I2002" s="41" t="str">
        <f aca="false">IF(INDEX(BookTitle,1997)="","",INDEX(BookTotal,1997))</f>
        <v/>
      </c>
      <c r="J2002" s="0" t="str">
        <f aca="false">IF($I2002="","",IF(INDEX(BookQ1,1997)&gt;0,"Q1",IF(INDEX(BookQ2,1997)&gt;0,"Q2",IF(INDEX(BookQ3,1997)&gt;0,"Q3",IF(INDEX(BookQ4,1997)&gt;0,"Q4","")))))</f>
        <v/>
      </c>
      <c r="K2002" s="42" t="str">
        <f aca="false">IF(INDEX(BookTitle,1997)="","",INDEX(BookInYear,1997))</f>
        <v/>
      </c>
      <c r="L2002" s="19"/>
      <c r="M2002" s="39"/>
      <c r="N2002" s="19"/>
      <c r="O2002" s="19"/>
      <c r="P2002" s="43" t="str">
        <f aca="false">IF($E2002="","",IF($L2002="Decline",0,IF($L2002="Approve fewer",IF($M2002="","",$M2002),IF($L2002="","",$I2002))))</f>
        <v/>
      </c>
      <c r="Q2002" s="34" t="str">
        <f aca="false">IF($P2002="","",IF($N2002&lt;&gt;"",$N2002,$J2002))</f>
        <v/>
      </c>
      <c r="R2002" s="35" t="str">
        <f aca="false">IF(OR($P2002="",$Q2002=""),"",INDEX(BookRate,1997)*$P2002*(5-MATCH($Q2002,{"Q1";"Q2";"Q3";"Q4"},0))/4+INDEX(BookOneOff,1997)*$P2002)</f>
        <v/>
      </c>
      <c r="S2002" s="35" t="str">
        <f aca="false">IF($P2002="","",INDEX(BookRate,1997)*$P2002)</f>
        <v/>
      </c>
      <c r="T2002" s="35" t="str">
        <f aca="false">IF($R2002="","",$R2002-$K2002)</f>
        <v/>
      </c>
      <c r="U2002" s="35" t="str">
        <f aca="false">IF(N($P2002)&lt;=0,"",COUNTIF($P$6:$P2002,"&gt;0"))</f>
        <v/>
      </c>
    </row>
    <row r="2003" customFormat="false" ht="15" hidden="false" customHeight="false" outlineLevel="0" collapsed="false">
      <c r="A2003" s="40" t="str">
        <f aca="false">IF(INDEX(BookTitle,1998)="","",INDEX(BookGroup,1998))</f>
        <v/>
      </c>
      <c r="B2003" s="40" t="str">
        <f aca="false">IF(INDEX(BookTitle,1998)="","",INDEX(BookRef,1998))</f>
        <v/>
      </c>
      <c r="C2003" s="40" t="str">
        <f aca="false">IF(INDEX(BookTitle,1998)="","",INDEX(BookDivision,1998))</f>
        <v/>
      </c>
      <c r="D2003" s="40" t="str">
        <f aca="false">IF(INDEX(BookTitle,1998)="","",INDEX(BookUnit,1998))</f>
        <v/>
      </c>
      <c r="E2003" s="40" t="str">
        <f aca="false">IF(INDEX(BookTitle,1998)="","",INDEX(BookTitle,1998))</f>
        <v/>
      </c>
      <c r="F2003" s="40" t="str">
        <f aca="false">IF(INDEX(BookTitle,1998)="","",INDEX(BookLevel,1998))</f>
        <v/>
      </c>
      <c r="G2003" s="40" t="str">
        <f aca="false">IF(INDEX(BookTitle,1998)="","",INDEX(BookCategory,1998))</f>
        <v/>
      </c>
      <c r="H2003" s="40" t="str">
        <f aca="false">IF(INDEX(BookTitle,1998)="","",INDEX(BookRank,1998))</f>
        <v/>
      </c>
      <c r="I2003" s="41" t="str">
        <f aca="false">IF(INDEX(BookTitle,1998)="","",INDEX(BookTotal,1998))</f>
        <v/>
      </c>
      <c r="J2003" s="0" t="str">
        <f aca="false">IF($I2003="","",IF(INDEX(BookQ1,1998)&gt;0,"Q1",IF(INDEX(BookQ2,1998)&gt;0,"Q2",IF(INDEX(BookQ3,1998)&gt;0,"Q3",IF(INDEX(BookQ4,1998)&gt;0,"Q4","")))))</f>
        <v/>
      </c>
      <c r="K2003" s="42" t="str">
        <f aca="false">IF(INDEX(BookTitle,1998)="","",INDEX(BookInYear,1998))</f>
        <v/>
      </c>
      <c r="L2003" s="19"/>
      <c r="M2003" s="39"/>
      <c r="N2003" s="19"/>
      <c r="O2003" s="19"/>
      <c r="P2003" s="43" t="str">
        <f aca="false">IF($E2003="","",IF($L2003="Decline",0,IF($L2003="Approve fewer",IF($M2003="","",$M2003),IF($L2003="","",$I2003))))</f>
        <v/>
      </c>
      <c r="Q2003" s="34" t="str">
        <f aca="false">IF($P2003="","",IF($N2003&lt;&gt;"",$N2003,$J2003))</f>
        <v/>
      </c>
      <c r="R2003" s="35" t="str">
        <f aca="false">IF(OR($P2003="",$Q2003=""),"",INDEX(BookRate,1998)*$P2003*(5-MATCH($Q2003,{"Q1";"Q2";"Q3";"Q4"},0))/4+INDEX(BookOneOff,1998)*$P2003)</f>
        <v/>
      </c>
      <c r="S2003" s="35" t="str">
        <f aca="false">IF($P2003="","",INDEX(BookRate,1998)*$P2003)</f>
        <v/>
      </c>
      <c r="T2003" s="35" t="str">
        <f aca="false">IF($R2003="","",$R2003-$K2003)</f>
        <v/>
      </c>
      <c r="U2003" s="35" t="str">
        <f aca="false">IF(N($P2003)&lt;=0,"",COUNTIF($P$6:$P2003,"&gt;0"))</f>
        <v/>
      </c>
    </row>
    <row r="2004" customFormat="false" ht="15" hidden="false" customHeight="false" outlineLevel="0" collapsed="false">
      <c r="A2004" s="40" t="str">
        <f aca="false">IF(INDEX(BookTitle,1999)="","",INDEX(BookGroup,1999))</f>
        <v/>
      </c>
      <c r="B2004" s="40" t="str">
        <f aca="false">IF(INDEX(BookTitle,1999)="","",INDEX(BookRef,1999))</f>
        <v/>
      </c>
      <c r="C2004" s="40" t="str">
        <f aca="false">IF(INDEX(BookTitle,1999)="","",INDEX(BookDivision,1999))</f>
        <v/>
      </c>
      <c r="D2004" s="40" t="str">
        <f aca="false">IF(INDEX(BookTitle,1999)="","",INDEX(BookUnit,1999))</f>
        <v/>
      </c>
      <c r="E2004" s="40" t="str">
        <f aca="false">IF(INDEX(BookTitle,1999)="","",INDEX(BookTitle,1999))</f>
        <v/>
      </c>
      <c r="F2004" s="40" t="str">
        <f aca="false">IF(INDEX(BookTitle,1999)="","",INDEX(BookLevel,1999))</f>
        <v/>
      </c>
      <c r="G2004" s="40" t="str">
        <f aca="false">IF(INDEX(BookTitle,1999)="","",INDEX(BookCategory,1999))</f>
        <v/>
      </c>
      <c r="H2004" s="40" t="str">
        <f aca="false">IF(INDEX(BookTitle,1999)="","",INDEX(BookRank,1999))</f>
        <v/>
      </c>
      <c r="I2004" s="41" t="str">
        <f aca="false">IF(INDEX(BookTitle,1999)="","",INDEX(BookTotal,1999))</f>
        <v/>
      </c>
      <c r="J2004" s="0" t="str">
        <f aca="false">IF($I2004="","",IF(INDEX(BookQ1,1999)&gt;0,"Q1",IF(INDEX(BookQ2,1999)&gt;0,"Q2",IF(INDEX(BookQ3,1999)&gt;0,"Q3",IF(INDEX(BookQ4,1999)&gt;0,"Q4","")))))</f>
        <v/>
      </c>
      <c r="K2004" s="42" t="str">
        <f aca="false">IF(INDEX(BookTitle,1999)="","",INDEX(BookInYear,1999))</f>
        <v/>
      </c>
      <c r="L2004" s="19"/>
      <c r="M2004" s="39"/>
      <c r="N2004" s="19"/>
      <c r="O2004" s="19"/>
      <c r="P2004" s="43" t="str">
        <f aca="false">IF($E2004="","",IF($L2004="Decline",0,IF($L2004="Approve fewer",IF($M2004="","",$M2004),IF($L2004="","",$I2004))))</f>
        <v/>
      </c>
      <c r="Q2004" s="34" t="str">
        <f aca="false">IF($P2004="","",IF($N2004&lt;&gt;"",$N2004,$J2004))</f>
        <v/>
      </c>
      <c r="R2004" s="35" t="str">
        <f aca="false">IF(OR($P2004="",$Q2004=""),"",INDEX(BookRate,1999)*$P2004*(5-MATCH($Q2004,{"Q1";"Q2";"Q3";"Q4"},0))/4+INDEX(BookOneOff,1999)*$P2004)</f>
        <v/>
      </c>
      <c r="S2004" s="35" t="str">
        <f aca="false">IF($P2004="","",INDEX(BookRate,1999)*$P2004)</f>
        <v/>
      </c>
      <c r="T2004" s="35" t="str">
        <f aca="false">IF($R2004="","",$R2004-$K2004)</f>
        <v/>
      </c>
      <c r="U2004" s="35" t="str">
        <f aca="false">IF(N($P2004)&lt;=0,"",COUNTIF($P$6:$P2004,"&gt;0"))</f>
        <v/>
      </c>
    </row>
    <row r="2005" customFormat="false" ht="15" hidden="false" customHeight="false" outlineLevel="0" collapsed="false">
      <c r="A2005" s="40" t="str">
        <f aca="false">IF(INDEX(BookTitle,2000)="","",INDEX(BookGroup,2000))</f>
        <v/>
      </c>
      <c r="B2005" s="40" t="str">
        <f aca="false">IF(INDEX(BookTitle,2000)="","",INDEX(BookRef,2000))</f>
        <v/>
      </c>
      <c r="C2005" s="40" t="str">
        <f aca="false">IF(INDEX(BookTitle,2000)="","",INDEX(BookDivision,2000))</f>
        <v/>
      </c>
      <c r="D2005" s="40" t="str">
        <f aca="false">IF(INDEX(BookTitle,2000)="","",INDEX(BookUnit,2000))</f>
        <v/>
      </c>
      <c r="E2005" s="40" t="str">
        <f aca="false">IF(INDEX(BookTitle,2000)="","",INDEX(BookTitle,2000))</f>
        <v/>
      </c>
      <c r="F2005" s="40" t="str">
        <f aca="false">IF(INDEX(BookTitle,2000)="","",INDEX(BookLevel,2000))</f>
        <v/>
      </c>
      <c r="G2005" s="40" t="str">
        <f aca="false">IF(INDEX(BookTitle,2000)="","",INDEX(BookCategory,2000))</f>
        <v/>
      </c>
      <c r="H2005" s="40" t="str">
        <f aca="false">IF(INDEX(BookTitle,2000)="","",INDEX(BookRank,2000))</f>
        <v/>
      </c>
      <c r="I2005" s="41" t="str">
        <f aca="false">IF(INDEX(BookTitle,2000)="","",INDEX(BookTotal,2000))</f>
        <v/>
      </c>
      <c r="J2005" s="0" t="str">
        <f aca="false">IF($I2005="","",IF(INDEX(BookQ1,2000)&gt;0,"Q1",IF(INDEX(BookQ2,2000)&gt;0,"Q2",IF(INDEX(BookQ3,2000)&gt;0,"Q3",IF(INDEX(BookQ4,2000)&gt;0,"Q4","")))))</f>
        <v/>
      </c>
      <c r="K2005" s="42" t="str">
        <f aca="false">IF(INDEX(BookTitle,2000)="","",INDEX(BookInYear,2000))</f>
        <v/>
      </c>
      <c r="L2005" s="19"/>
      <c r="M2005" s="39"/>
      <c r="N2005" s="19"/>
      <c r="O2005" s="19"/>
      <c r="P2005" s="43" t="str">
        <f aca="false">IF($E2005="","",IF($L2005="Decline",0,IF($L2005="Approve fewer",IF($M2005="","",$M2005),IF($L2005="","",$I2005))))</f>
        <v/>
      </c>
      <c r="Q2005" s="34" t="str">
        <f aca="false">IF($P2005="","",IF($N2005&lt;&gt;"",$N2005,$J2005))</f>
        <v/>
      </c>
      <c r="R2005" s="35" t="str">
        <f aca="false">IF(OR($P2005="",$Q2005=""),"",INDEX(BookRate,2000)*$P2005*(5-MATCH($Q2005,{"Q1";"Q2";"Q3";"Q4"},0))/4+INDEX(BookOneOff,2000)*$P2005)</f>
        <v/>
      </c>
      <c r="S2005" s="35" t="str">
        <f aca="false">IF($P2005="","",INDEX(BookRate,2000)*$P2005)</f>
        <v/>
      </c>
      <c r="T2005" s="35" t="str">
        <f aca="false">IF($R2005="","",$R2005-$K2005)</f>
        <v/>
      </c>
      <c r="U2005" s="35" t="str">
        <f aca="false">IF(N($P2005)&lt;=0,"",COUNTIF($P$6:$P2005,"&gt;0"))</f>
        <v/>
      </c>
    </row>
    <row r="2006" customFormat="false" ht="15" hidden="false" customHeight="false" outlineLevel="0" collapsed="false">
      <c r="A2006" s="40" t="str">
        <f aca="false">IF(INDEX(BookTitle,2001)="","",INDEX(BookGroup,2001))</f>
        <v/>
      </c>
      <c r="B2006" s="40" t="str">
        <f aca="false">IF(INDEX(BookTitle,2001)="","",INDEX(BookRef,2001))</f>
        <v/>
      </c>
      <c r="C2006" s="40" t="str">
        <f aca="false">IF(INDEX(BookTitle,2001)="","",INDEX(BookDivision,2001))</f>
        <v/>
      </c>
      <c r="D2006" s="40" t="str">
        <f aca="false">IF(INDEX(BookTitle,2001)="","",INDEX(BookUnit,2001))</f>
        <v/>
      </c>
      <c r="E2006" s="40" t="str">
        <f aca="false">IF(INDEX(BookTitle,2001)="","",INDEX(BookTitle,2001))</f>
        <v/>
      </c>
      <c r="F2006" s="40" t="str">
        <f aca="false">IF(INDEX(BookTitle,2001)="","",INDEX(BookLevel,2001))</f>
        <v/>
      </c>
      <c r="G2006" s="40" t="str">
        <f aca="false">IF(INDEX(BookTitle,2001)="","",INDEX(BookCategory,2001))</f>
        <v/>
      </c>
      <c r="H2006" s="40" t="str">
        <f aca="false">IF(INDEX(BookTitle,2001)="","",INDEX(BookRank,2001))</f>
        <v/>
      </c>
      <c r="I2006" s="41" t="str">
        <f aca="false">IF(INDEX(BookTitle,2001)="","",INDEX(BookTotal,2001))</f>
        <v/>
      </c>
      <c r="J2006" s="0" t="str">
        <f aca="false">IF($I2006="","",IF(INDEX(BookQ1,2001)&gt;0,"Q1",IF(INDEX(BookQ2,2001)&gt;0,"Q2",IF(INDEX(BookQ3,2001)&gt;0,"Q3",IF(INDEX(BookQ4,2001)&gt;0,"Q4","")))))</f>
        <v/>
      </c>
      <c r="K2006" s="42" t="str">
        <f aca="false">IF(INDEX(BookTitle,2001)="","",INDEX(BookInYear,2001))</f>
        <v/>
      </c>
      <c r="L2006" s="19"/>
      <c r="M2006" s="39"/>
      <c r="N2006" s="19"/>
      <c r="O2006" s="19"/>
      <c r="P2006" s="43" t="str">
        <f aca="false">IF($E2006="","",IF($L2006="Decline",0,IF($L2006="Approve fewer",IF($M2006="","",$M2006),IF($L2006="","",$I2006))))</f>
        <v/>
      </c>
      <c r="Q2006" s="34" t="str">
        <f aca="false">IF($P2006="","",IF($N2006&lt;&gt;"",$N2006,$J2006))</f>
        <v/>
      </c>
      <c r="R2006" s="35" t="str">
        <f aca="false">IF(OR($P2006="",$Q2006=""),"",INDEX(BookRate,2001)*$P2006*(5-MATCH($Q2006,{"Q1";"Q2";"Q3";"Q4"},0))/4+INDEX(BookOneOff,2001)*$P2006)</f>
        <v/>
      </c>
      <c r="S2006" s="35" t="str">
        <f aca="false">IF($P2006="","",INDEX(BookRate,2001)*$P2006)</f>
        <v/>
      </c>
      <c r="T2006" s="35" t="str">
        <f aca="false">IF($R2006="","",$R2006-$K2006)</f>
        <v/>
      </c>
      <c r="U2006" s="35" t="str">
        <f aca="false">IF(N($P2006)&lt;=0,"",COUNTIF($P$6:$P2006,"&gt;0"))</f>
        <v/>
      </c>
    </row>
    <row r="2007" customFormat="false" ht="15" hidden="false" customHeight="false" outlineLevel="0" collapsed="false">
      <c r="A2007" s="40" t="str">
        <f aca="false">IF(INDEX(BookTitle,2002)="","",INDEX(BookGroup,2002))</f>
        <v/>
      </c>
      <c r="B2007" s="40" t="str">
        <f aca="false">IF(INDEX(BookTitle,2002)="","",INDEX(BookRef,2002))</f>
        <v/>
      </c>
      <c r="C2007" s="40" t="str">
        <f aca="false">IF(INDEX(BookTitle,2002)="","",INDEX(BookDivision,2002))</f>
        <v/>
      </c>
      <c r="D2007" s="40" t="str">
        <f aca="false">IF(INDEX(BookTitle,2002)="","",INDEX(BookUnit,2002))</f>
        <v/>
      </c>
      <c r="E2007" s="40" t="str">
        <f aca="false">IF(INDEX(BookTitle,2002)="","",INDEX(BookTitle,2002))</f>
        <v/>
      </c>
      <c r="F2007" s="40" t="str">
        <f aca="false">IF(INDEX(BookTitle,2002)="","",INDEX(BookLevel,2002))</f>
        <v/>
      </c>
      <c r="G2007" s="40" t="str">
        <f aca="false">IF(INDEX(BookTitle,2002)="","",INDEX(BookCategory,2002))</f>
        <v/>
      </c>
      <c r="H2007" s="40" t="str">
        <f aca="false">IF(INDEX(BookTitle,2002)="","",INDEX(BookRank,2002))</f>
        <v/>
      </c>
      <c r="I2007" s="41" t="str">
        <f aca="false">IF(INDEX(BookTitle,2002)="","",INDEX(BookTotal,2002))</f>
        <v/>
      </c>
      <c r="J2007" s="0" t="str">
        <f aca="false">IF($I2007="","",IF(INDEX(BookQ1,2002)&gt;0,"Q1",IF(INDEX(BookQ2,2002)&gt;0,"Q2",IF(INDEX(BookQ3,2002)&gt;0,"Q3",IF(INDEX(BookQ4,2002)&gt;0,"Q4","")))))</f>
        <v/>
      </c>
      <c r="K2007" s="42" t="str">
        <f aca="false">IF(INDEX(BookTitle,2002)="","",INDEX(BookInYear,2002))</f>
        <v/>
      </c>
      <c r="L2007" s="19"/>
      <c r="M2007" s="39"/>
      <c r="N2007" s="19"/>
      <c r="O2007" s="19"/>
      <c r="P2007" s="43" t="str">
        <f aca="false">IF($E2007="","",IF($L2007="Decline",0,IF($L2007="Approve fewer",IF($M2007="","",$M2007),IF($L2007="","",$I2007))))</f>
        <v/>
      </c>
      <c r="Q2007" s="34" t="str">
        <f aca="false">IF($P2007="","",IF($N2007&lt;&gt;"",$N2007,$J2007))</f>
        <v/>
      </c>
      <c r="R2007" s="35" t="str">
        <f aca="false">IF(OR($P2007="",$Q2007=""),"",INDEX(BookRate,2002)*$P2007*(5-MATCH($Q2007,{"Q1";"Q2";"Q3";"Q4"},0))/4+INDEX(BookOneOff,2002)*$P2007)</f>
        <v/>
      </c>
      <c r="S2007" s="35" t="str">
        <f aca="false">IF($P2007="","",INDEX(BookRate,2002)*$P2007)</f>
        <v/>
      </c>
      <c r="T2007" s="35" t="str">
        <f aca="false">IF($R2007="","",$R2007-$K2007)</f>
        <v/>
      </c>
      <c r="U2007" s="35" t="str">
        <f aca="false">IF(N($P2007)&lt;=0,"",COUNTIF($P$6:$P2007,"&gt;0"))</f>
        <v/>
      </c>
    </row>
    <row r="2008" customFormat="false" ht="15" hidden="false" customHeight="false" outlineLevel="0" collapsed="false">
      <c r="A2008" s="40" t="str">
        <f aca="false">IF(INDEX(BookTitle,2003)="","",INDEX(BookGroup,2003))</f>
        <v/>
      </c>
      <c r="B2008" s="40" t="str">
        <f aca="false">IF(INDEX(BookTitle,2003)="","",INDEX(BookRef,2003))</f>
        <v/>
      </c>
      <c r="C2008" s="40" t="str">
        <f aca="false">IF(INDEX(BookTitle,2003)="","",INDEX(BookDivision,2003))</f>
        <v/>
      </c>
      <c r="D2008" s="40" t="str">
        <f aca="false">IF(INDEX(BookTitle,2003)="","",INDEX(BookUnit,2003))</f>
        <v/>
      </c>
      <c r="E2008" s="40" t="str">
        <f aca="false">IF(INDEX(BookTitle,2003)="","",INDEX(BookTitle,2003))</f>
        <v/>
      </c>
      <c r="F2008" s="40" t="str">
        <f aca="false">IF(INDEX(BookTitle,2003)="","",INDEX(BookLevel,2003))</f>
        <v/>
      </c>
      <c r="G2008" s="40" t="str">
        <f aca="false">IF(INDEX(BookTitle,2003)="","",INDEX(BookCategory,2003))</f>
        <v/>
      </c>
      <c r="H2008" s="40" t="str">
        <f aca="false">IF(INDEX(BookTitle,2003)="","",INDEX(BookRank,2003))</f>
        <v/>
      </c>
      <c r="I2008" s="41" t="str">
        <f aca="false">IF(INDEX(BookTitle,2003)="","",INDEX(BookTotal,2003))</f>
        <v/>
      </c>
      <c r="J2008" s="0" t="str">
        <f aca="false">IF($I2008="","",IF(INDEX(BookQ1,2003)&gt;0,"Q1",IF(INDEX(BookQ2,2003)&gt;0,"Q2",IF(INDEX(BookQ3,2003)&gt;0,"Q3",IF(INDEX(BookQ4,2003)&gt;0,"Q4","")))))</f>
        <v/>
      </c>
      <c r="K2008" s="42" t="str">
        <f aca="false">IF(INDEX(BookTitle,2003)="","",INDEX(BookInYear,2003))</f>
        <v/>
      </c>
      <c r="L2008" s="19"/>
      <c r="M2008" s="39"/>
      <c r="N2008" s="19"/>
      <c r="O2008" s="19"/>
      <c r="P2008" s="43" t="str">
        <f aca="false">IF($E2008="","",IF($L2008="Decline",0,IF($L2008="Approve fewer",IF($M2008="","",$M2008),IF($L2008="","",$I2008))))</f>
        <v/>
      </c>
      <c r="Q2008" s="34" t="str">
        <f aca="false">IF($P2008="","",IF($N2008&lt;&gt;"",$N2008,$J2008))</f>
        <v/>
      </c>
      <c r="R2008" s="35" t="str">
        <f aca="false">IF(OR($P2008="",$Q2008=""),"",INDEX(BookRate,2003)*$P2008*(5-MATCH($Q2008,{"Q1";"Q2";"Q3";"Q4"},0))/4+INDEX(BookOneOff,2003)*$P2008)</f>
        <v/>
      </c>
      <c r="S2008" s="35" t="str">
        <f aca="false">IF($P2008="","",INDEX(BookRate,2003)*$P2008)</f>
        <v/>
      </c>
      <c r="T2008" s="35" t="str">
        <f aca="false">IF($R2008="","",$R2008-$K2008)</f>
        <v/>
      </c>
      <c r="U2008" s="35" t="str">
        <f aca="false">IF(N($P2008)&lt;=0,"",COUNTIF($P$6:$P2008,"&gt;0"))</f>
        <v/>
      </c>
    </row>
    <row r="2009" customFormat="false" ht="15" hidden="false" customHeight="false" outlineLevel="0" collapsed="false">
      <c r="A2009" s="40" t="str">
        <f aca="false">IF(INDEX(BookTitle,2004)="","",INDEX(BookGroup,2004))</f>
        <v/>
      </c>
      <c r="B2009" s="40" t="str">
        <f aca="false">IF(INDEX(BookTitle,2004)="","",INDEX(BookRef,2004))</f>
        <v/>
      </c>
      <c r="C2009" s="40" t="str">
        <f aca="false">IF(INDEX(BookTitle,2004)="","",INDEX(BookDivision,2004))</f>
        <v/>
      </c>
      <c r="D2009" s="40" t="str">
        <f aca="false">IF(INDEX(BookTitle,2004)="","",INDEX(BookUnit,2004))</f>
        <v/>
      </c>
      <c r="E2009" s="40" t="str">
        <f aca="false">IF(INDEX(BookTitle,2004)="","",INDEX(BookTitle,2004))</f>
        <v/>
      </c>
      <c r="F2009" s="40" t="str">
        <f aca="false">IF(INDEX(BookTitle,2004)="","",INDEX(BookLevel,2004))</f>
        <v/>
      </c>
      <c r="G2009" s="40" t="str">
        <f aca="false">IF(INDEX(BookTitle,2004)="","",INDEX(BookCategory,2004))</f>
        <v/>
      </c>
      <c r="H2009" s="40" t="str">
        <f aca="false">IF(INDEX(BookTitle,2004)="","",INDEX(BookRank,2004))</f>
        <v/>
      </c>
      <c r="I2009" s="41" t="str">
        <f aca="false">IF(INDEX(BookTitle,2004)="","",INDEX(BookTotal,2004))</f>
        <v/>
      </c>
      <c r="J2009" s="0" t="str">
        <f aca="false">IF($I2009="","",IF(INDEX(BookQ1,2004)&gt;0,"Q1",IF(INDEX(BookQ2,2004)&gt;0,"Q2",IF(INDEX(BookQ3,2004)&gt;0,"Q3",IF(INDEX(BookQ4,2004)&gt;0,"Q4","")))))</f>
        <v/>
      </c>
      <c r="K2009" s="42" t="str">
        <f aca="false">IF(INDEX(BookTitle,2004)="","",INDEX(BookInYear,2004))</f>
        <v/>
      </c>
      <c r="L2009" s="19"/>
      <c r="M2009" s="39"/>
      <c r="N2009" s="19"/>
      <c r="O2009" s="19"/>
      <c r="P2009" s="43" t="str">
        <f aca="false">IF($E2009="","",IF($L2009="Decline",0,IF($L2009="Approve fewer",IF($M2009="","",$M2009),IF($L2009="","",$I2009))))</f>
        <v/>
      </c>
      <c r="Q2009" s="34" t="str">
        <f aca="false">IF($P2009="","",IF($N2009&lt;&gt;"",$N2009,$J2009))</f>
        <v/>
      </c>
      <c r="R2009" s="35" t="str">
        <f aca="false">IF(OR($P2009="",$Q2009=""),"",INDEX(BookRate,2004)*$P2009*(5-MATCH($Q2009,{"Q1";"Q2";"Q3";"Q4"},0))/4+INDEX(BookOneOff,2004)*$P2009)</f>
        <v/>
      </c>
      <c r="S2009" s="35" t="str">
        <f aca="false">IF($P2009="","",INDEX(BookRate,2004)*$P2009)</f>
        <v/>
      </c>
      <c r="T2009" s="35" t="str">
        <f aca="false">IF($R2009="","",$R2009-$K2009)</f>
        <v/>
      </c>
      <c r="U2009" s="35" t="str">
        <f aca="false">IF(N($P2009)&lt;=0,"",COUNTIF($P$6:$P2009,"&gt;0"))</f>
        <v/>
      </c>
    </row>
    <row r="2010" customFormat="false" ht="15" hidden="false" customHeight="false" outlineLevel="0" collapsed="false">
      <c r="A2010" s="40" t="str">
        <f aca="false">IF(INDEX(BookTitle,2005)="","",INDEX(BookGroup,2005))</f>
        <v/>
      </c>
      <c r="B2010" s="40" t="str">
        <f aca="false">IF(INDEX(BookTitle,2005)="","",INDEX(BookRef,2005))</f>
        <v/>
      </c>
      <c r="C2010" s="40" t="str">
        <f aca="false">IF(INDEX(BookTitle,2005)="","",INDEX(BookDivision,2005))</f>
        <v/>
      </c>
      <c r="D2010" s="40" t="str">
        <f aca="false">IF(INDEX(BookTitle,2005)="","",INDEX(BookUnit,2005))</f>
        <v/>
      </c>
      <c r="E2010" s="40" t="str">
        <f aca="false">IF(INDEX(BookTitle,2005)="","",INDEX(BookTitle,2005))</f>
        <v/>
      </c>
      <c r="F2010" s="40" t="str">
        <f aca="false">IF(INDEX(BookTitle,2005)="","",INDEX(BookLevel,2005))</f>
        <v/>
      </c>
      <c r="G2010" s="40" t="str">
        <f aca="false">IF(INDEX(BookTitle,2005)="","",INDEX(BookCategory,2005))</f>
        <v/>
      </c>
      <c r="H2010" s="40" t="str">
        <f aca="false">IF(INDEX(BookTitle,2005)="","",INDEX(BookRank,2005))</f>
        <v/>
      </c>
      <c r="I2010" s="41" t="str">
        <f aca="false">IF(INDEX(BookTitle,2005)="","",INDEX(BookTotal,2005))</f>
        <v/>
      </c>
      <c r="J2010" s="0" t="str">
        <f aca="false">IF($I2010="","",IF(INDEX(BookQ1,2005)&gt;0,"Q1",IF(INDEX(BookQ2,2005)&gt;0,"Q2",IF(INDEX(BookQ3,2005)&gt;0,"Q3",IF(INDEX(BookQ4,2005)&gt;0,"Q4","")))))</f>
        <v/>
      </c>
      <c r="K2010" s="42" t="str">
        <f aca="false">IF(INDEX(BookTitle,2005)="","",INDEX(BookInYear,2005))</f>
        <v/>
      </c>
      <c r="L2010" s="19"/>
      <c r="M2010" s="39"/>
      <c r="N2010" s="19"/>
      <c r="O2010" s="19"/>
      <c r="P2010" s="43" t="str">
        <f aca="false">IF($E2010="","",IF($L2010="Decline",0,IF($L2010="Approve fewer",IF($M2010="","",$M2010),IF($L2010="","",$I2010))))</f>
        <v/>
      </c>
      <c r="Q2010" s="34" t="str">
        <f aca="false">IF($P2010="","",IF($N2010&lt;&gt;"",$N2010,$J2010))</f>
        <v/>
      </c>
      <c r="R2010" s="35" t="str">
        <f aca="false">IF(OR($P2010="",$Q2010=""),"",INDEX(BookRate,2005)*$P2010*(5-MATCH($Q2010,{"Q1";"Q2";"Q3";"Q4"},0))/4+INDEX(BookOneOff,2005)*$P2010)</f>
        <v/>
      </c>
      <c r="S2010" s="35" t="str">
        <f aca="false">IF($P2010="","",INDEX(BookRate,2005)*$P2010)</f>
        <v/>
      </c>
      <c r="T2010" s="35" t="str">
        <f aca="false">IF($R2010="","",$R2010-$K2010)</f>
        <v/>
      </c>
      <c r="U2010" s="35" t="str">
        <f aca="false">IF(N($P2010)&lt;=0,"",COUNTIF($P$6:$P2010,"&gt;0"))</f>
        <v/>
      </c>
    </row>
    <row r="2011" customFormat="false" ht="15" hidden="false" customHeight="false" outlineLevel="0" collapsed="false">
      <c r="A2011" s="40" t="str">
        <f aca="false">IF(INDEX(BookTitle,2006)="","",INDEX(BookGroup,2006))</f>
        <v/>
      </c>
      <c r="B2011" s="40" t="str">
        <f aca="false">IF(INDEX(BookTitle,2006)="","",INDEX(BookRef,2006))</f>
        <v/>
      </c>
      <c r="C2011" s="40" t="str">
        <f aca="false">IF(INDEX(BookTitle,2006)="","",INDEX(BookDivision,2006))</f>
        <v/>
      </c>
      <c r="D2011" s="40" t="str">
        <f aca="false">IF(INDEX(BookTitle,2006)="","",INDEX(BookUnit,2006))</f>
        <v/>
      </c>
      <c r="E2011" s="40" t="str">
        <f aca="false">IF(INDEX(BookTitle,2006)="","",INDEX(BookTitle,2006))</f>
        <v/>
      </c>
      <c r="F2011" s="40" t="str">
        <f aca="false">IF(INDEX(BookTitle,2006)="","",INDEX(BookLevel,2006))</f>
        <v/>
      </c>
      <c r="G2011" s="40" t="str">
        <f aca="false">IF(INDEX(BookTitle,2006)="","",INDEX(BookCategory,2006))</f>
        <v/>
      </c>
      <c r="H2011" s="40" t="str">
        <f aca="false">IF(INDEX(BookTitle,2006)="","",INDEX(BookRank,2006))</f>
        <v/>
      </c>
      <c r="I2011" s="41" t="str">
        <f aca="false">IF(INDEX(BookTitle,2006)="","",INDEX(BookTotal,2006))</f>
        <v/>
      </c>
      <c r="J2011" s="0" t="str">
        <f aca="false">IF($I2011="","",IF(INDEX(BookQ1,2006)&gt;0,"Q1",IF(INDEX(BookQ2,2006)&gt;0,"Q2",IF(INDEX(BookQ3,2006)&gt;0,"Q3",IF(INDEX(BookQ4,2006)&gt;0,"Q4","")))))</f>
        <v/>
      </c>
      <c r="K2011" s="42" t="str">
        <f aca="false">IF(INDEX(BookTitle,2006)="","",INDEX(BookInYear,2006))</f>
        <v/>
      </c>
      <c r="L2011" s="19"/>
      <c r="M2011" s="39"/>
      <c r="N2011" s="19"/>
      <c r="O2011" s="19"/>
      <c r="P2011" s="43" t="str">
        <f aca="false">IF($E2011="","",IF($L2011="Decline",0,IF($L2011="Approve fewer",IF($M2011="","",$M2011),IF($L2011="","",$I2011))))</f>
        <v/>
      </c>
      <c r="Q2011" s="34" t="str">
        <f aca="false">IF($P2011="","",IF($N2011&lt;&gt;"",$N2011,$J2011))</f>
        <v/>
      </c>
      <c r="R2011" s="35" t="str">
        <f aca="false">IF(OR($P2011="",$Q2011=""),"",INDEX(BookRate,2006)*$P2011*(5-MATCH($Q2011,{"Q1";"Q2";"Q3";"Q4"},0))/4+INDEX(BookOneOff,2006)*$P2011)</f>
        <v/>
      </c>
      <c r="S2011" s="35" t="str">
        <f aca="false">IF($P2011="","",INDEX(BookRate,2006)*$P2011)</f>
        <v/>
      </c>
      <c r="T2011" s="35" t="str">
        <f aca="false">IF($R2011="","",$R2011-$K2011)</f>
        <v/>
      </c>
      <c r="U2011" s="35" t="str">
        <f aca="false">IF(N($P2011)&lt;=0,"",COUNTIF($P$6:$P2011,"&gt;0"))</f>
        <v/>
      </c>
    </row>
    <row r="2012" customFormat="false" ht="15" hidden="false" customHeight="false" outlineLevel="0" collapsed="false">
      <c r="A2012" s="40" t="str">
        <f aca="false">IF(INDEX(BookTitle,2007)="","",INDEX(BookGroup,2007))</f>
        <v/>
      </c>
      <c r="B2012" s="40" t="str">
        <f aca="false">IF(INDEX(BookTitle,2007)="","",INDEX(BookRef,2007))</f>
        <v/>
      </c>
      <c r="C2012" s="40" t="str">
        <f aca="false">IF(INDEX(BookTitle,2007)="","",INDEX(BookDivision,2007))</f>
        <v/>
      </c>
      <c r="D2012" s="40" t="str">
        <f aca="false">IF(INDEX(BookTitle,2007)="","",INDEX(BookUnit,2007))</f>
        <v/>
      </c>
      <c r="E2012" s="40" t="str">
        <f aca="false">IF(INDEX(BookTitle,2007)="","",INDEX(BookTitle,2007))</f>
        <v/>
      </c>
      <c r="F2012" s="40" t="str">
        <f aca="false">IF(INDEX(BookTitle,2007)="","",INDEX(BookLevel,2007))</f>
        <v/>
      </c>
      <c r="G2012" s="40" t="str">
        <f aca="false">IF(INDEX(BookTitle,2007)="","",INDEX(BookCategory,2007))</f>
        <v/>
      </c>
      <c r="H2012" s="40" t="str">
        <f aca="false">IF(INDEX(BookTitle,2007)="","",INDEX(BookRank,2007))</f>
        <v/>
      </c>
      <c r="I2012" s="41" t="str">
        <f aca="false">IF(INDEX(BookTitle,2007)="","",INDEX(BookTotal,2007))</f>
        <v/>
      </c>
      <c r="J2012" s="0" t="str">
        <f aca="false">IF($I2012="","",IF(INDEX(BookQ1,2007)&gt;0,"Q1",IF(INDEX(BookQ2,2007)&gt;0,"Q2",IF(INDEX(BookQ3,2007)&gt;0,"Q3",IF(INDEX(BookQ4,2007)&gt;0,"Q4","")))))</f>
        <v/>
      </c>
      <c r="K2012" s="42" t="str">
        <f aca="false">IF(INDEX(BookTitle,2007)="","",INDEX(BookInYear,2007))</f>
        <v/>
      </c>
      <c r="L2012" s="19"/>
      <c r="M2012" s="39"/>
      <c r="N2012" s="19"/>
      <c r="O2012" s="19"/>
      <c r="P2012" s="43" t="str">
        <f aca="false">IF($E2012="","",IF($L2012="Decline",0,IF($L2012="Approve fewer",IF($M2012="","",$M2012),IF($L2012="","",$I2012))))</f>
        <v/>
      </c>
      <c r="Q2012" s="34" t="str">
        <f aca="false">IF($P2012="","",IF($N2012&lt;&gt;"",$N2012,$J2012))</f>
        <v/>
      </c>
      <c r="R2012" s="35" t="str">
        <f aca="false">IF(OR($P2012="",$Q2012=""),"",INDEX(BookRate,2007)*$P2012*(5-MATCH($Q2012,{"Q1";"Q2";"Q3";"Q4"},0))/4+INDEX(BookOneOff,2007)*$P2012)</f>
        <v/>
      </c>
      <c r="S2012" s="35" t="str">
        <f aca="false">IF($P2012="","",INDEX(BookRate,2007)*$P2012)</f>
        <v/>
      </c>
      <c r="T2012" s="35" t="str">
        <f aca="false">IF($R2012="","",$R2012-$K2012)</f>
        <v/>
      </c>
      <c r="U2012" s="35" t="str">
        <f aca="false">IF(N($P2012)&lt;=0,"",COUNTIF($P$6:$P2012,"&gt;0"))</f>
        <v/>
      </c>
    </row>
    <row r="2013" customFormat="false" ht="15" hidden="false" customHeight="false" outlineLevel="0" collapsed="false">
      <c r="A2013" s="40" t="str">
        <f aca="false">IF(INDEX(BookTitle,2008)="","",INDEX(BookGroup,2008))</f>
        <v/>
      </c>
      <c r="B2013" s="40" t="str">
        <f aca="false">IF(INDEX(BookTitle,2008)="","",INDEX(BookRef,2008))</f>
        <v/>
      </c>
      <c r="C2013" s="40" t="str">
        <f aca="false">IF(INDEX(BookTitle,2008)="","",INDEX(BookDivision,2008))</f>
        <v/>
      </c>
      <c r="D2013" s="40" t="str">
        <f aca="false">IF(INDEX(BookTitle,2008)="","",INDEX(BookUnit,2008))</f>
        <v/>
      </c>
      <c r="E2013" s="40" t="str">
        <f aca="false">IF(INDEX(BookTitle,2008)="","",INDEX(BookTitle,2008))</f>
        <v/>
      </c>
      <c r="F2013" s="40" t="str">
        <f aca="false">IF(INDEX(BookTitle,2008)="","",INDEX(BookLevel,2008))</f>
        <v/>
      </c>
      <c r="G2013" s="40" t="str">
        <f aca="false">IF(INDEX(BookTitle,2008)="","",INDEX(BookCategory,2008))</f>
        <v/>
      </c>
      <c r="H2013" s="40" t="str">
        <f aca="false">IF(INDEX(BookTitle,2008)="","",INDEX(BookRank,2008))</f>
        <v/>
      </c>
      <c r="I2013" s="41" t="str">
        <f aca="false">IF(INDEX(BookTitle,2008)="","",INDEX(BookTotal,2008))</f>
        <v/>
      </c>
      <c r="J2013" s="0" t="str">
        <f aca="false">IF($I2013="","",IF(INDEX(BookQ1,2008)&gt;0,"Q1",IF(INDEX(BookQ2,2008)&gt;0,"Q2",IF(INDEX(BookQ3,2008)&gt;0,"Q3",IF(INDEX(BookQ4,2008)&gt;0,"Q4","")))))</f>
        <v/>
      </c>
      <c r="K2013" s="42" t="str">
        <f aca="false">IF(INDEX(BookTitle,2008)="","",INDEX(BookInYear,2008))</f>
        <v/>
      </c>
      <c r="L2013" s="19"/>
      <c r="M2013" s="39"/>
      <c r="N2013" s="19"/>
      <c r="O2013" s="19"/>
      <c r="P2013" s="43" t="str">
        <f aca="false">IF($E2013="","",IF($L2013="Decline",0,IF($L2013="Approve fewer",IF($M2013="","",$M2013),IF($L2013="","",$I2013))))</f>
        <v/>
      </c>
      <c r="Q2013" s="34" t="str">
        <f aca="false">IF($P2013="","",IF($N2013&lt;&gt;"",$N2013,$J2013))</f>
        <v/>
      </c>
      <c r="R2013" s="35" t="str">
        <f aca="false">IF(OR($P2013="",$Q2013=""),"",INDEX(BookRate,2008)*$P2013*(5-MATCH($Q2013,{"Q1";"Q2";"Q3";"Q4"},0))/4+INDEX(BookOneOff,2008)*$P2013)</f>
        <v/>
      </c>
      <c r="S2013" s="35" t="str">
        <f aca="false">IF($P2013="","",INDEX(BookRate,2008)*$P2013)</f>
        <v/>
      </c>
      <c r="T2013" s="35" t="str">
        <f aca="false">IF($R2013="","",$R2013-$K2013)</f>
        <v/>
      </c>
      <c r="U2013" s="35" t="str">
        <f aca="false">IF(N($P2013)&lt;=0,"",COUNTIF($P$6:$P2013,"&gt;0"))</f>
        <v/>
      </c>
    </row>
    <row r="2014" customFormat="false" ht="15" hidden="false" customHeight="false" outlineLevel="0" collapsed="false">
      <c r="A2014" s="40" t="str">
        <f aca="false">IF(INDEX(BookTitle,2009)="","",INDEX(BookGroup,2009))</f>
        <v/>
      </c>
      <c r="B2014" s="40" t="str">
        <f aca="false">IF(INDEX(BookTitle,2009)="","",INDEX(BookRef,2009))</f>
        <v/>
      </c>
      <c r="C2014" s="40" t="str">
        <f aca="false">IF(INDEX(BookTitle,2009)="","",INDEX(BookDivision,2009))</f>
        <v/>
      </c>
      <c r="D2014" s="40" t="str">
        <f aca="false">IF(INDEX(BookTitle,2009)="","",INDEX(BookUnit,2009))</f>
        <v/>
      </c>
      <c r="E2014" s="40" t="str">
        <f aca="false">IF(INDEX(BookTitle,2009)="","",INDEX(BookTitle,2009))</f>
        <v/>
      </c>
      <c r="F2014" s="40" t="str">
        <f aca="false">IF(INDEX(BookTitle,2009)="","",INDEX(BookLevel,2009))</f>
        <v/>
      </c>
      <c r="G2014" s="40" t="str">
        <f aca="false">IF(INDEX(BookTitle,2009)="","",INDEX(BookCategory,2009))</f>
        <v/>
      </c>
      <c r="H2014" s="40" t="str">
        <f aca="false">IF(INDEX(BookTitle,2009)="","",INDEX(BookRank,2009))</f>
        <v/>
      </c>
      <c r="I2014" s="41" t="str">
        <f aca="false">IF(INDEX(BookTitle,2009)="","",INDEX(BookTotal,2009))</f>
        <v/>
      </c>
      <c r="J2014" s="0" t="str">
        <f aca="false">IF($I2014="","",IF(INDEX(BookQ1,2009)&gt;0,"Q1",IF(INDEX(BookQ2,2009)&gt;0,"Q2",IF(INDEX(BookQ3,2009)&gt;0,"Q3",IF(INDEX(BookQ4,2009)&gt;0,"Q4","")))))</f>
        <v/>
      </c>
      <c r="K2014" s="42" t="str">
        <f aca="false">IF(INDEX(BookTitle,2009)="","",INDEX(BookInYear,2009))</f>
        <v/>
      </c>
      <c r="L2014" s="19"/>
      <c r="M2014" s="39"/>
      <c r="N2014" s="19"/>
      <c r="O2014" s="19"/>
      <c r="P2014" s="43" t="str">
        <f aca="false">IF($E2014="","",IF($L2014="Decline",0,IF($L2014="Approve fewer",IF($M2014="","",$M2014),IF($L2014="","",$I2014))))</f>
        <v/>
      </c>
      <c r="Q2014" s="34" t="str">
        <f aca="false">IF($P2014="","",IF($N2014&lt;&gt;"",$N2014,$J2014))</f>
        <v/>
      </c>
      <c r="R2014" s="35" t="str">
        <f aca="false">IF(OR($P2014="",$Q2014=""),"",INDEX(BookRate,2009)*$P2014*(5-MATCH($Q2014,{"Q1";"Q2";"Q3";"Q4"},0))/4+INDEX(BookOneOff,2009)*$P2014)</f>
        <v/>
      </c>
      <c r="S2014" s="35" t="str">
        <f aca="false">IF($P2014="","",INDEX(BookRate,2009)*$P2014)</f>
        <v/>
      </c>
      <c r="T2014" s="35" t="str">
        <f aca="false">IF($R2014="","",$R2014-$K2014)</f>
        <v/>
      </c>
      <c r="U2014" s="35" t="str">
        <f aca="false">IF(N($P2014)&lt;=0,"",COUNTIF($P$6:$P2014,"&gt;0"))</f>
        <v/>
      </c>
    </row>
    <row r="2015" customFormat="false" ht="15" hidden="false" customHeight="false" outlineLevel="0" collapsed="false">
      <c r="A2015" s="40" t="str">
        <f aca="false">IF(INDEX(BookTitle,2010)="","",INDEX(BookGroup,2010))</f>
        <v/>
      </c>
      <c r="B2015" s="40" t="str">
        <f aca="false">IF(INDEX(BookTitle,2010)="","",INDEX(BookRef,2010))</f>
        <v/>
      </c>
      <c r="C2015" s="40" t="str">
        <f aca="false">IF(INDEX(BookTitle,2010)="","",INDEX(BookDivision,2010))</f>
        <v/>
      </c>
      <c r="D2015" s="40" t="str">
        <f aca="false">IF(INDEX(BookTitle,2010)="","",INDEX(BookUnit,2010))</f>
        <v/>
      </c>
      <c r="E2015" s="40" t="str">
        <f aca="false">IF(INDEX(BookTitle,2010)="","",INDEX(BookTitle,2010))</f>
        <v/>
      </c>
      <c r="F2015" s="40" t="str">
        <f aca="false">IF(INDEX(BookTitle,2010)="","",INDEX(BookLevel,2010))</f>
        <v/>
      </c>
      <c r="G2015" s="40" t="str">
        <f aca="false">IF(INDEX(BookTitle,2010)="","",INDEX(BookCategory,2010))</f>
        <v/>
      </c>
      <c r="H2015" s="40" t="str">
        <f aca="false">IF(INDEX(BookTitle,2010)="","",INDEX(BookRank,2010))</f>
        <v/>
      </c>
      <c r="I2015" s="41" t="str">
        <f aca="false">IF(INDEX(BookTitle,2010)="","",INDEX(BookTotal,2010))</f>
        <v/>
      </c>
      <c r="J2015" s="0" t="str">
        <f aca="false">IF($I2015="","",IF(INDEX(BookQ1,2010)&gt;0,"Q1",IF(INDEX(BookQ2,2010)&gt;0,"Q2",IF(INDEX(BookQ3,2010)&gt;0,"Q3",IF(INDEX(BookQ4,2010)&gt;0,"Q4","")))))</f>
        <v/>
      </c>
      <c r="K2015" s="42" t="str">
        <f aca="false">IF(INDEX(BookTitle,2010)="","",INDEX(BookInYear,2010))</f>
        <v/>
      </c>
      <c r="L2015" s="19"/>
      <c r="M2015" s="39"/>
      <c r="N2015" s="19"/>
      <c r="O2015" s="19"/>
      <c r="P2015" s="43" t="str">
        <f aca="false">IF($E2015="","",IF($L2015="Decline",0,IF($L2015="Approve fewer",IF($M2015="","",$M2015),IF($L2015="","",$I2015))))</f>
        <v/>
      </c>
      <c r="Q2015" s="34" t="str">
        <f aca="false">IF($P2015="","",IF($N2015&lt;&gt;"",$N2015,$J2015))</f>
        <v/>
      </c>
      <c r="R2015" s="35" t="str">
        <f aca="false">IF(OR($P2015="",$Q2015=""),"",INDEX(BookRate,2010)*$P2015*(5-MATCH($Q2015,{"Q1";"Q2";"Q3";"Q4"},0))/4+INDEX(BookOneOff,2010)*$P2015)</f>
        <v/>
      </c>
      <c r="S2015" s="35" t="str">
        <f aca="false">IF($P2015="","",INDEX(BookRate,2010)*$P2015)</f>
        <v/>
      </c>
      <c r="T2015" s="35" t="str">
        <f aca="false">IF($R2015="","",$R2015-$K2015)</f>
        <v/>
      </c>
      <c r="U2015" s="35" t="str">
        <f aca="false">IF(N($P2015)&lt;=0,"",COUNTIF($P$6:$P2015,"&gt;0"))</f>
        <v/>
      </c>
    </row>
    <row r="2016" customFormat="false" ht="15" hidden="false" customHeight="false" outlineLevel="0" collapsed="false">
      <c r="A2016" s="40" t="str">
        <f aca="false">IF(INDEX(BookTitle,2011)="","",INDEX(BookGroup,2011))</f>
        <v/>
      </c>
      <c r="B2016" s="40" t="str">
        <f aca="false">IF(INDEX(BookTitle,2011)="","",INDEX(BookRef,2011))</f>
        <v/>
      </c>
      <c r="C2016" s="40" t="str">
        <f aca="false">IF(INDEX(BookTitle,2011)="","",INDEX(BookDivision,2011))</f>
        <v/>
      </c>
      <c r="D2016" s="40" t="str">
        <f aca="false">IF(INDEX(BookTitle,2011)="","",INDEX(BookUnit,2011))</f>
        <v/>
      </c>
      <c r="E2016" s="40" t="str">
        <f aca="false">IF(INDEX(BookTitle,2011)="","",INDEX(BookTitle,2011))</f>
        <v/>
      </c>
      <c r="F2016" s="40" t="str">
        <f aca="false">IF(INDEX(BookTitle,2011)="","",INDEX(BookLevel,2011))</f>
        <v/>
      </c>
      <c r="G2016" s="40" t="str">
        <f aca="false">IF(INDEX(BookTitle,2011)="","",INDEX(BookCategory,2011))</f>
        <v/>
      </c>
      <c r="H2016" s="40" t="str">
        <f aca="false">IF(INDEX(BookTitle,2011)="","",INDEX(BookRank,2011))</f>
        <v/>
      </c>
      <c r="I2016" s="41" t="str">
        <f aca="false">IF(INDEX(BookTitle,2011)="","",INDEX(BookTotal,2011))</f>
        <v/>
      </c>
      <c r="J2016" s="0" t="str">
        <f aca="false">IF($I2016="","",IF(INDEX(BookQ1,2011)&gt;0,"Q1",IF(INDEX(BookQ2,2011)&gt;0,"Q2",IF(INDEX(BookQ3,2011)&gt;0,"Q3",IF(INDEX(BookQ4,2011)&gt;0,"Q4","")))))</f>
        <v/>
      </c>
      <c r="K2016" s="42" t="str">
        <f aca="false">IF(INDEX(BookTitle,2011)="","",INDEX(BookInYear,2011))</f>
        <v/>
      </c>
      <c r="L2016" s="19"/>
      <c r="M2016" s="39"/>
      <c r="N2016" s="19"/>
      <c r="O2016" s="19"/>
      <c r="P2016" s="43" t="str">
        <f aca="false">IF($E2016="","",IF($L2016="Decline",0,IF($L2016="Approve fewer",IF($M2016="","",$M2016),IF($L2016="","",$I2016))))</f>
        <v/>
      </c>
      <c r="Q2016" s="34" t="str">
        <f aca="false">IF($P2016="","",IF($N2016&lt;&gt;"",$N2016,$J2016))</f>
        <v/>
      </c>
      <c r="R2016" s="35" t="str">
        <f aca="false">IF(OR($P2016="",$Q2016=""),"",INDEX(BookRate,2011)*$P2016*(5-MATCH($Q2016,{"Q1";"Q2";"Q3";"Q4"},0))/4+INDEX(BookOneOff,2011)*$P2016)</f>
        <v/>
      </c>
      <c r="S2016" s="35" t="str">
        <f aca="false">IF($P2016="","",INDEX(BookRate,2011)*$P2016)</f>
        <v/>
      </c>
      <c r="T2016" s="35" t="str">
        <f aca="false">IF($R2016="","",$R2016-$K2016)</f>
        <v/>
      </c>
      <c r="U2016" s="35" t="str">
        <f aca="false">IF(N($P2016)&lt;=0,"",COUNTIF($P$6:$P2016,"&gt;0"))</f>
        <v/>
      </c>
    </row>
    <row r="2017" customFormat="false" ht="15" hidden="false" customHeight="false" outlineLevel="0" collapsed="false">
      <c r="A2017" s="40" t="str">
        <f aca="false">IF(INDEX(BookTitle,2012)="","",INDEX(BookGroup,2012))</f>
        <v/>
      </c>
      <c r="B2017" s="40" t="str">
        <f aca="false">IF(INDEX(BookTitle,2012)="","",INDEX(BookRef,2012))</f>
        <v/>
      </c>
      <c r="C2017" s="40" t="str">
        <f aca="false">IF(INDEX(BookTitle,2012)="","",INDEX(BookDivision,2012))</f>
        <v/>
      </c>
      <c r="D2017" s="40" t="str">
        <f aca="false">IF(INDEX(BookTitle,2012)="","",INDEX(BookUnit,2012))</f>
        <v/>
      </c>
      <c r="E2017" s="40" t="str">
        <f aca="false">IF(INDEX(BookTitle,2012)="","",INDEX(BookTitle,2012))</f>
        <v/>
      </c>
      <c r="F2017" s="40" t="str">
        <f aca="false">IF(INDEX(BookTitle,2012)="","",INDEX(BookLevel,2012))</f>
        <v/>
      </c>
      <c r="G2017" s="40" t="str">
        <f aca="false">IF(INDEX(BookTitle,2012)="","",INDEX(BookCategory,2012))</f>
        <v/>
      </c>
      <c r="H2017" s="40" t="str">
        <f aca="false">IF(INDEX(BookTitle,2012)="","",INDEX(BookRank,2012))</f>
        <v/>
      </c>
      <c r="I2017" s="41" t="str">
        <f aca="false">IF(INDEX(BookTitle,2012)="","",INDEX(BookTotal,2012))</f>
        <v/>
      </c>
      <c r="J2017" s="0" t="str">
        <f aca="false">IF($I2017="","",IF(INDEX(BookQ1,2012)&gt;0,"Q1",IF(INDEX(BookQ2,2012)&gt;0,"Q2",IF(INDEX(BookQ3,2012)&gt;0,"Q3",IF(INDEX(BookQ4,2012)&gt;0,"Q4","")))))</f>
        <v/>
      </c>
      <c r="K2017" s="42" t="str">
        <f aca="false">IF(INDEX(BookTitle,2012)="","",INDEX(BookInYear,2012))</f>
        <v/>
      </c>
      <c r="L2017" s="19"/>
      <c r="M2017" s="39"/>
      <c r="N2017" s="19"/>
      <c r="O2017" s="19"/>
      <c r="P2017" s="43" t="str">
        <f aca="false">IF($E2017="","",IF($L2017="Decline",0,IF($L2017="Approve fewer",IF($M2017="","",$M2017),IF($L2017="","",$I2017))))</f>
        <v/>
      </c>
      <c r="Q2017" s="34" t="str">
        <f aca="false">IF($P2017="","",IF($N2017&lt;&gt;"",$N2017,$J2017))</f>
        <v/>
      </c>
      <c r="R2017" s="35" t="str">
        <f aca="false">IF(OR($P2017="",$Q2017=""),"",INDEX(BookRate,2012)*$P2017*(5-MATCH($Q2017,{"Q1";"Q2";"Q3";"Q4"},0))/4+INDEX(BookOneOff,2012)*$P2017)</f>
        <v/>
      </c>
      <c r="S2017" s="35" t="str">
        <f aca="false">IF($P2017="","",INDEX(BookRate,2012)*$P2017)</f>
        <v/>
      </c>
      <c r="T2017" s="35" t="str">
        <f aca="false">IF($R2017="","",$R2017-$K2017)</f>
        <v/>
      </c>
      <c r="U2017" s="35" t="str">
        <f aca="false">IF(N($P2017)&lt;=0,"",COUNTIF($P$6:$P2017,"&gt;0"))</f>
        <v/>
      </c>
    </row>
    <row r="2018" customFormat="false" ht="15" hidden="false" customHeight="false" outlineLevel="0" collapsed="false">
      <c r="A2018" s="40" t="str">
        <f aca="false">IF(INDEX(BookTitle,2013)="","",INDEX(BookGroup,2013))</f>
        <v/>
      </c>
      <c r="B2018" s="40" t="str">
        <f aca="false">IF(INDEX(BookTitle,2013)="","",INDEX(BookRef,2013))</f>
        <v/>
      </c>
      <c r="C2018" s="40" t="str">
        <f aca="false">IF(INDEX(BookTitle,2013)="","",INDEX(BookDivision,2013))</f>
        <v/>
      </c>
      <c r="D2018" s="40" t="str">
        <f aca="false">IF(INDEX(BookTitle,2013)="","",INDEX(BookUnit,2013))</f>
        <v/>
      </c>
      <c r="E2018" s="40" t="str">
        <f aca="false">IF(INDEX(BookTitle,2013)="","",INDEX(BookTitle,2013))</f>
        <v/>
      </c>
      <c r="F2018" s="40" t="str">
        <f aca="false">IF(INDEX(BookTitle,2013)="","",INDEX(BookLevel,2013))</f>
        <v/>
      </c>
      <c r="G2018" s="40" t="str">
        <f aca="false">IF(INDEX(BookTitle,2013)="","",INDEX(BookCategory,2013))</f>
        <v/>
      </c>
      <c r="H2018" s="40" t="str">
        <f aca="false">IF(INDEX(BookTitle,2013)="","",INDEX(BookRank,2013))</f>
        <v/>
      </c>
      <c r="I2018" s="41" t="str">
        <f aca="false">IF(INDEX(BookTitle,2013)="","",INDEX(BookTotal,2013))</f>
        <v/>
      </c>
      <c r="J2018" s="0" t="str">
        <f aca="false">IF($I2018="","",IF(INDEX(BookQ1,2013)&gt;0,"Q1",IF(INDEX(BookQ2,2013)&gt;0,"Q2",IF(INDEX(BookQ3,2013)&gt;0,"Q3",IF(INDEX(BookQ4,2013)&gt;0,"Q4","")))))</f>
        <v/>
      </c>
      <c r="K2018" s="42" t="str">
        <f aca="false">IF(INDEX(BookTitle,2013)="","",INDEX(BookInYear,2013))</f>
        <v/>
      </c>
      <c r="L2018" s="19"/>
      <c r="M2018" s="39"/>
      <c r="N2018" s="19"/>
      <c r="O2018" s="19"/>
      <c r="P2018" s="43" t="str">
        <f aca="false">IF($E2018="","",IF($L2018="Decline",0,IF($L2018="Approve fewer",IF($M2018="","",$M2018),IF($L2018="","",$I2018))))</f>
        <v/>
      </c>
      <c r="Q2018" s="34" t="str">
        <f aca="false">IF($P2018="","",IF($N2018&lt;&gt;"",$N2018,$J2018))</f>
        <v/>
      </c>
      <c r="R2018" s="35" t="str">
        <f aca="false">IF(OR($P2018="",$Q2018=""),"",INDEX(BookRate,2013)*$P2018*(5-MATCH($Q2018,{"Q1";"Q2";"Q3";"Q4"},0))/4+INDEX(BookOneOff,2013)*$P2018)</f>
        <v/>
      </c>
      <c r="S2018" s="35" t="str">
        <f aca="false">IF($P2018="","",INDEX(BookRate,2013)*$P2018)</f>
        <v/>
      </c>
      <c r="T2018" s="35" t="str">
        <f aca="false">IF($R2018="","",$R2018-$K2018)</f>
        <v/>
      </c>
      <c r="U2018" s="35" t="str">
        <f aca="false">IF(N($P2018)&lt;=0,"",COUNTIF($P$6:$P2018,"&gt;0"))</f>
        <v/>
      </c>
    </row>
    <row r="2019" customFormat="false" ht="15" hidden="false" customHeight="false" outlineLevel="0" collapsed="false">
      <c r="A2019" s="40" t="str">
        <f aca="false">IF(INDEX(BookTitle,2014)="","",INDEX(BookGroup,2014))</f>
        <v/>
      </c>
      <c r="B2019" s="40" t="str">
        <f aca="false">IF(INDEX(BookTitle,2014)="","",INDEX(BookRef,2014))</f>
        <v/>
      </c>
      <c r="C2019" s="40" t="str">
        <f aca="false">IF(INDEX(BookTitle,2014)="","",INDEX(BookDivision,2014))</f>
        <v/>
      </c>
      <c r="D2019" s="40" t="str">
        <f aca="false">IF(INDEX(BookTitle,2014)="","",INDEX(BookUnit,2014))</f>
        <v/>
      </c>
      <c r="E2019" s="40" t="str">
        <f aca="false">IF(INDEX(BookTitle,2014)="","",INDEX(BookTitle,2014))</f>
        <v/>
      </c>
      <c r="F2019" s="40" t="str">
        <f aca="false">IF(INDEX(BookTitle,2014)="","",INDEX(BookLevel,2014))</f>
        <v/>
      </c>
      <c r="G2019" s="40" t="str">
        <f aca="false">IF(INDEX(BookTitle,2014)="","",INDEX(BookCategory,2014))</f>
        <v/>
      </c>
      <c r="H2019" s="40" t="str">
        <f aca="false">IF(INDEX(BookTitle,2014)="","",INDEX(BookRank,2014))</f>
        <v/>
      </c>
      <c r="I2019" s="41" t="str">
        <f aca="false">IF(INDEX(BookTitle,2014)="","",INDEX(BookTotal,2014))</f>
        <v/>
      </c>
      <c r="J2019" s="0" t="str">
        <f aca="false">IF($I2019="","",IF(INDEX(BookQ1,2014)&gt;0,"Q1",IF(INDEX(BookQ2,2014)&gt;0,"Q2",IF(INDEX(BookQ3,2014)&gt;0,"Q3",IF(INDEX(BookQ4,2014)&gt;0,"Q4","")))))</f>
        <v/>
      </c>
      <c r="K2019" s="42" t="str">
        <f aca="false">IF(INDEX(BookTitle,2014)="","",INDEX(BookInYear,2014))</f>
        <v/>
      </c>
      <c r="L2019" s="19"/>
      <c r="M2019" s="39"/>
      <c r="N2019" s="19"/>
      <c r="O2019" s="19"/>
      <c r="P2019" s="43" t="str">
        <f aca="false">IF($E2019="","",IF($L2019="Decline",0,IF($L2019="Approve fewer",IF($M2019="","",$M2019),IF($L2019="","",$I2019))))</f>
        <v/>
      </c>
      <c r="Q2019" s="34" t="str">
        <f aca="false">IF($P2019="","",IF($N2019&lt;&gt;"",$N2019,$J2019))</f>
        <v/>
      </c>
      <c r="R2019" s="35" t="str">
        <f aca="false">IF(OR($P2019="",$Q2019=""),"",INDEX(BookRate,2014)*$P2019*(5-MATCH($Q2019,{"Q1";"Q2";"Q3";"Q4"},0))/4+INDEX(BookOneOff,2014)*$P2019)</f>
        <v/>
      </c>
      <c r="S2019" s="35" t="str">
        <f aca="false">IF($P2019="","",INDEX(BookRate,2014)*$P2019)</f>
        <v/>
      </c>
      <c r="T2019" s="35" t="str">
        <f aca="false">IF($R2019="","",$R2019-$K2019)</f>
        <v/>
      </c>
      <c r="U2019" s="35" t="str">
        <f aca="false">IF(N($P2019)&lt;=0,"",COUNTIF($P$6:$P2019,"&gt;0"))</f>
        <v/>
      </c>
    </row>
    <row r="2020" customFormat="false" ht="15" hidden="false" customHeight="false" outlineLevel="0" collapsed="false">
      <c r="A2020" s="40" t="str">
        <f aca="false">IF(INDEX(BookTitle,2015)="","",INDEX(BookGroup,2015))</f>
        <v/>
      </c>
      <c r="B2020" s="40" t="str">
        <f aca="false">IF(INDEX(BookTitle,2015)="","",INDEX(BookRef,2015))</f>
        <v/>
      </c>
      <c r="C2020" s="40" t="str">
        <f aca="false">IF(INDEX(BookTitle,2015)="","",INDEX(BookDivision,2015))</f>
        <v/>
      </c>
      <c r="D2020" s="40" t="str">
        <f aca="false">IF(INDEX(BookTitle,2015)="","",INDEX(BookUnit,2015))</f>
        <v/>
      </c>
      <c r="E2020" s="40" t="str">
        <f aca="false">IF(INDEX(BookTitle,2015)="","",INDEX(BookTitle,2015))</f>
        <v/>
      </c>
      <c r="F2020" s="40" t="str">
        <f aca="false">IF(INDEX(BookTitle,2015)="","",INDEX(BookLevel,2015))</f>
        <v/>
      </c>
      <c r="G2020" s="40" t="str">
        <f aca="false">IF(INDEX(BookTitle,2015)="","",INDEX(BookCategory,2015))</f>
        <v/>
      </c>
      <c r="H2020" s="40" t="str">
        <f aca="false">IF(INDEX(BookTitle,2015)="","",INDEX(BookRank,2015))</f>
        <v/>
      </c>
      <c r="I2020" s="41" t="str">
        <f aca="false">IF(INDEX(BookTitle,2015)="","",INDEX(BookTotal,2015))</f>
        <v/>
      </c>
      <c r="J2020" s="0" t="str">
        <f aca="false">IF($I2020="","",IF(INDEX(BookQ1,2015)&gt;0,"Q1",IF(INDEX(BookQ2,2015)&gt;0,"Q2",IF(INDEX(BookQ3,2015)&gt;0,"Q3",IF(INDEX(BookQ4,2015)&gt;0,"Q4","")))))</f>
        <v/>
      </c>
      <c r="K2020" s="42" t="str">
        <f aca="false">IF(INDEX(BookTitle,2015)="","",INDEX(BookInYear,2015))</f>
        <v/>
      </c>
      <c r="L2020" s="19"/>
      <c r="M2020" s="39"/>
      <c r="N2020" s="19"/>
      <c r="O2020" s="19"/>
      <c r="P2020" s="43" t="str">
        <f aca="false">IF($E2020="","",IF($L2020="Decline",0,IF($L2020="Approve fewer",IF($M2020="","",$M2020),IF($L2020="","",$I2020))))</f>
        <v/>
      </c>
      <c r="Q2020" s="34" t="str">
        <f aca="false">IF($P2020="","",IF($N2020&lt;&gt;"",$N2020,$J2020))</f>
        <v/>
      </c>
      <c r="R2020" s="35" t="str">
        <f aca="false">IF(OR($P2020="",$Q2020=""),"",INDEX(BookRate,2015)*$P2020*(5-MATCH($Q2020,{"Q1";"Q2";"Q3";"Q4"},0))/4+INDEX(BookOneOff,2015)*$P2020)</f>
        <v/>
      </c>
      <c r="S2020" s="35" t="str">
        <f aca="false">IF($P2020="","",INDEX(BookRate,2015)*$P2020)</f>
        <v/>
      </c>
      <c r="T2020" s="35" t="str">
        <f aca="false">IF($R2020="","",$R2020-$K2020)</f>
        <v/>
      </c>
      <c r="U2020" s="35" t="str">
        <f aca="false">IF(N($P2020)&lt;=0,"",COUNTIF($P$6:$P2020,"&gt;0"))</f>
        <v/>
      </c>
    </row>
    <row r="2021" customFormat="false" ht="15" hidden="false" customHeight="false" outlineLevel="0" collapsed="false">
      <c r="A2021" s="40" t="str">
        <f aca="false">IF(INDEX(BookTitle,2016)="","",INDEX(BookGroup,2016))</f>
        <v/>
      </c>
      <c r="B2021" s="40" t="str">
        <f aca="false">IF(INDEX(BookTitle,2016)="","",INDEX(BookRef,2016))</f>
        <v/>
      </c>
      <c r="C2021" s="40" t="str">
        <f aca="false">IF(INDEX(BookTitle,2016)="","",INDEX(BookDivision,2016))</f>
        <v/>
      </c>
      <c r="D2021" s="40" t="str">
        <f aca="false">IF(INDEX(BookTitle,2016)="","",INDEX(BookUnit,2016))</f>
        <v/>
      </c>
      <c r="E2021" s="40" t="str">
        <f aca="false">IF(INDEX(BookTitle,2016)="","",INDEX(BookTitle,2016))</f>
        <v/>
      </c>
      <c r="F2021" s="40" t="str">
        <f aca="false">IF(INDEX(BookTitle,2016)="","",INDEX(BookLevel,2016))</f>
        <v/>
      </c>
      <c r="G2021" s="40" t="str">
        <f aca="false">IF(INDEX(BookTitle,2016)="","",INDEX(BookCategory,2016))</f>
        <v/>
      </c>
      <c r="H2021" s="40" t="str">
        <f aca="false">IF(INDEX(BookTitle,2016)="","",INDEX(BookRank,2016))</f>
        <v/>
      </c>
      <c r="I2021" s="41" t="str">
        <f aca="false">IF(INDEX(BookTitle,2016)="","",INDEX(BookTotal,2016))</f>
        <v/>
      </c>
      <c r="J2021" s="0" t="str">
        <f aca="false">IF($I2021="","",IF(INDEX(BookQ1,2016)&gt;0,"Q1",IF(INDEX(BookQ2,2016)&gt;0,"Q2",IF(INDEX(BookQ3,2016)&gt;0,"Q3",IF(INDEX(BookQ4,2016)&gt;0,"Q4","")))))</f>
        <v/>
      </c>
      <c r="K2021" s="42" t="str">
        <f aca="false">IF(INDEX(BookTitle,2016)="","",INDEX(BookInYear,2016))</f>
        <v/>
      </c>
      <c r="L2021" s="19"/>
      <c r="M2021" s="39"/>
      <c r="N2021" s="19"/>
      <c r="O2021" s="19"/>
      <c r="P2021" s="43" t="str">
        <f aca="false">IF($E2021="","",IF($L2021="Decline",0,IF($L2021="Approve fewer",IF($M2021="","",$M2021),IF($L2021="","",$I2021))))</f>
        <v/>
      </c>
      <c r="Q2021" s="34" t="str">
        <f aca="false">IF($P2021="","",IF($N2021&lt;&gt;"",$N2021,$J2021))</f>
        <v/>
      </c>
      <c r="R2021" s="35" t="str">
        <f aca="false">IF(OR($P2021="",$Q2021=""),"",INDEX(BookRate,2016)*$P2021*(5-MATCH($Q2021,{"Q1";"Q2";"Q3";"Q4"},0))/4+INDEX(BookOneOff,2016)*$P2021)</f>
        <v/>
      </c>
      <c r="S2021" s="35" t="str">
        <f aca="false">IF($P2021="","",INDEX(BookRate,2016)*$P2021)</f>
        <v/>
      </c>
      <c r="T2021" s="35" t="str">
        <f aca="false">IF($R2021="","",$R2021-$K2021)</f>
        <v/>
      </c>
      <c r="U2021" s="35" t="str">
        <f aca="false">IF(N($P2021)&lt;=0,"",COUNTIF($P$6:$P2021,"&gt;0"))</f>
        <v/>
      </c>
    </row>
    <row r="2022" customFormat="false" ht="15" hidden="false" customHeight="false" outlineLevel="0" collapsed="false">
      <c r="A2022" s="40" t="str">
        <f aca="false">IF(INDEX(BookTitle,2017)="","",INDEX(BookGroup,2017))</f>
        <v/>
      </c>
      <c r="B2022" s="40" t="str">
        <f aca="false">IF(INDEX(BookTitle,2017)="","",INDEX(BookRef,2017))</f>
        <v/>
      </c>
      <c r="C2022" s="40" t="str">
        <f aca="false">IF(INDEX(BookTitle,2017)="","",INDEX(BookDivision,2017))</f>
        <v/>
      </c>
      <c r="D2022" s="40" t="str">
        <f aca="false">IF(INDEX(BookTitle,2017)="","",INDEX(BookUnit,2017))</f>
        <v/>
      </c>
      <c r="E2022" s="40" t="str">
        <f aca="false">IF(INDEX(BookTitle,2017)="","",INDEX(BookTitle,2017))</f>
        <v/>
      </c>
      <c r="F2022" s="40" t="str">
        <f aca="false">IF(INDEX(BookTitle,2017)="","",INDEX(BookLevel,2017))</f>
        <v/>
      </c>
      <c r="G2022" s="40" t="str">
        <f aca="false">IF(INDEX(BookTitle,2017)="","",INDEX(BookCategory,2017))</f>
        <v/>
      </c>
      <c r="H2022" s="40" t="str">
        <f aca="false">IF(INDEX(BookTitle,2017)="","",INDEX(BookRank,2017))</f>
        <v/>
      </c>
      <c r="I2022" s="41" t="str">
        <f aca="false">IF(INDEX(BookTitle,2017)="","",INDEX(BookTotal,2017))</f>
        <v/>
      </c>
      <c r="J2022" s="0" t="str">
        <f aca="false">IF($I2022="","",IF(INDEX(BookQ1,2017)&gt;0,"Q1",IF(INDEX(BookQ2,2017)&gt;0,"Q2",IF(INDEX(BookQ3,2017)&gt;0,"Q3",IF(INDEX(BookQ4,2017)&gt;0,"Q4","")))))</f>
        <v/>
      </c>
      <c r="K2022" s="42" t="str">
        <f aca="false">IF(INDEX(BookTitle,2017)="","",INDEX(BookInYear,2017))</f>
        <v/>
      </c>
      <c r="L2022" s="19"/>
      <c r="M2022" s="39"/>
      <c r="N2022" s="19"/>
      <c r="O2022" s="19"/>
      <c r="P2022" s="43" t="str">
        <f aca="false">IF($E2022="","",IF($L2022="Decline",0,IF($L2022="Approve fewer",IF($M2022="","",$M2022),IF($L2022="","",$I2022))))</f>
        <v/>
      </c>
      <c r="Q2022" s="34" t="str">
        <f aca="false">IF($P2022="","",IF($N2022&lt;&gt;"",$N2022,$J2022))</f>
        <v/>
      </c>
      <c r="R2022" s="35" t="str">
        <f aca="false">IF(OR($P2022="",$Q2022=""),"",INDEX(BookRate,2017)*$P2022*(5-MATCH($Q2022,{"Q1";"Q2";"Q3";"Q4"},0))/4+INDEX(BookOneOff,2017)*$P2022)</f>
        <v/>
      </c>
      <c r="S2022" s="35" t="str">
        <f aca="false">IF($P2022="","",INDEX(BookRate,2017)*$P2022)</f>
        <v/>
      </c>
      <c r="T2022" s="35" t="str">
        <f aca="false">IF($R2022="","",$R2022-$K2022)</f>
        <v/>
      </c>
      <c r="U2022" s="35" t="str">
        <f aca="false">IF(N($P2022)&lt;=0,"",COUNTIF($P$6:$P2022,"&gt;0"))</f>
        <v/>
      </c>
    </row>
    <row r="2023" customFormat="false" ht="15" hidden="false" customHeight="false" outlineLevel="0" collapsed="false">
      <c r="A2023" s="40" t="str">
        <f aca="false">IF(INDEX(BookTitle,2018)="","",INDEX(BookGroup,2018))</f>
        <v/>
      </c>
      <c r="B2023" s="40" t="str">
        <f aca="false">IF(INDEX(BookTitle,2018)="","",INDEX(BookRef,2018))</f>
        <v/>
      </c>
      <c r="C2023" s="40" t="str">
        <f aca="false">IF(INDEX(BookTitle,2018)="","",INDEX(BookDivision,2018))</f>
        <v/>
      </c>
      <c r="D2023" s="40" t="str">
        <f aca="false">IF(INDEX(BookTitle,2018)="","",INDEX(BookUnit,2018))</f>
        <v/>
      </c>
      <c r="E2023" s="40" t="str">
        <f aca="false">IF(INDEX(BookTitle,2018)="","",INDEX(BookTitle,2018))</f>
        <v/>
      </c>
      <c r="F2023" s="40" t="str">
        <f aca="false">IF(INDEX(BookTitle,2018)="","",INDEX(BookLevel,2018))</f>
        <v/>
      </c>
      <c r="G2023" s="40" t="str">
        <f aca="false">IF(INDEX(BookTitle,2018)="","",INDEX(BookCategory,2018))</f>
        <v/>
      </c>
      <c r="H2023" s="40" t="str">
        <f aca="false">IF(INDEX(BookTitle,2018)="","",INDEX(BookRank,2018))</f>
        <v/>
      </c>
      <c r="I2023" s="41" t="str">
        <f aca="false">IF(INDEX(BookTitle,2018)="","",INDEX(BookTotal,2018))</f>
        <v/>
      </c>
      <c r="J2023" s="0" t="str">
        <f aca="false">IF($I2023="","",IF(INDEX(BookQ1,2018)&gt;0,"Q1",IF(INDEX(BookQ2,2018)&gt;0,"Q2",IF(INDEX(BookQ3,2018)&gt;0,"Q3",IF(INDEX(BookQ4,2018)&gt;0,"Q4","")))))</f>
        <v/>
      </c>
      <c r="K2023" s="42" t="str">
        <f aca="false">IF(INDEX(BookTitle,2018)="","",INDEX(BookInYear,2018))</f>
        <v/>
      </c>
      <c r="L2023" s="19"/>
      <c r="M2023" s="39"/>
      <c r="N2023" s="19"/>
      <c r="O2023" s="19"/>
      <c r="P2023" s="43" t="str">
        <f aca="false">IF($E2023="","",IF($L2023="Decline",0,IF($L2023="Approve fewer",IF($M2023="","",$M2023),IF($L2023="","",$I2023))))</f>
        <v/>
      </c>
      <c r="Q2023" s="34" t="str">
        <f aca="false">IF($P2023="","",IF($N2023&lt;&gt;"",$N2023,$J2023))</f>
        <v/>
      </c>
      <c r="R2023" s="35" t="str">
        <f aca="false">IF(OR($P2023="",$Q2023=""),"",INDEX(BookRate,2018)*$P2023*(5-MATCH($Q2023,{"Q1";"Q2";"Q3";"Q4"},0))/4+INDEX(BookOneOff,2018)*$P2023)</f>
        <v/>
      </c>
      <c r="S2023" s="35" t="str">
        <f aca="false">IF($P2023="","",INDEX(BookRate,2018)*$P2023)</f>
        <v/>
      </c>
      <c r="T2023" s="35" t="str">
        <f aca="false">IF($R2023="","",$R2023-$K2023)</f>
        <v/>
      </c>
      <c r="U2023" s="35" t="str">
        <f aca="false">IF(N($P2023)&lt;=0,"",COUNTIF($P$6:$P2023,"&gt;0"))</f>
        <v/>
      </c>
    </row>
    <row r="2024" customFormat="false" ht="15" hidden="false" customHeight="false" outlineLevel="0" collapsed="false">
      <c r="A2024" s="40" t="str">
        <f aca="false">IF(INDEX(BookTitle,2019)="","",INDEX(BookGroup,2019))</f>
        <v/>
      </c>
      <c r="B2024" s="40" t="str">
        <f aca="false">IF(INDEX(BookTitle,2019)="","",INDEX(BookRef,2019))</f>
        <v/>
      </c>
      <c r="C2024" s="40" t="str">
        <f aca="false">IF(INDEX(BookTitle,2019)="","",INDEX(BookDivision,2019))</f>
        <v/>
      </c>
      <c r="D2024" s="40" t="str">
        <f aca="false">IF(INDEX(BookTitle,2019)="","",INDEX(BookUnit,2019))</f>
        <v/>
      </c>
      <c r="E2024" s="40" t="str">
        <f aca="false">IF(INDEX(BookTitle,2019)="","",INDEX(BookTitle,2019))</f>
        <v/>
      </c>
      <c r="F2024" s="40" t="str">
        <f aca="false">IF(INDEX(BookTitle,2019)="","",INDEX(BookLevel,2019))</f>
        <v/>
      </c>
      <c r="G2024" s="40" t="str">
        <f aca="false">IF(INDEX(BookTitle,2019)="","",INDEX(BookCategory,2019))</f>
        <v/>
      </c>
      <c r="H2024" s="40" t="str">
        <f aca="false">IF(INDEX(BookTitle,2019)="","",INDEX(BookRank,2019))</f>
        <v/>
      </c>
      <c r="I2024" s="41" t="str">
        <f aca="false">IF(INDEX(BookTitle,2019)="","",INDEX(BookTotal,2019))</f>
        <v/>
      </c>
      <c r="J2024" s="0" t="str">
        <f aca="false">IF($I2024="","",IF(INDEX(BookQ1,2019)&gt;0,"Q1",IF(INDEX(BookQ2,2019)&gt;0,"Q2",IF(INDEX(BookQ3,2019)&gt;0,"Q3",IF(INDEX(BookQ4,2019)&gt;0,"Q4","")))))</f>
        <v/>
      </c>
      <c r="K2024" s="42" t="str">
        <f aca="false">IF(INDEX(BookTitle,2019)="","",INDEX(BookInYear,2019))</f>
        <v/>
      </c>
      <c r="L2024" s="19"/>
      <c r="M2024" s="39"/>
      <c r="N2024" s="19"/>
      <c r="O2024" s="19"/>
      <c r="P2024" s="43" t="str">
        <f aca="false">IF($E2024="","",IF($L2024="Decline",0,IF($L2024="Approve fewer",IF($M2024="","",$M2024),IF($L2024="","",$I2024))))</f>
        <v/>
      </c>
      <c r="Q2024" s="34" t="str">
        <f aca="false">IF($P2024="","",IF($N2024&lt;&gt;"",$N2024,$J2024))</f>
        <v/>
      </c>
      <c r="R2024" s="35" t="str">
        <f aca="false">IF(OR($P2024="",$Q2024=""),"",INDEX(BookRate,2019)*$P2024*(5-MATCH($Q2024,{"Q1";"Q2";"Q3";"Q4"},0))/4+INDEX(BookOneOff,2019)*$P2024)</f>
        <v/>
      </c>
      <c r="S2024" s="35" t="str">
        <f aca="false">IF($P2024="","",INDEX(BookRate,2019)*$P2024)</f>
        <v/>
      </c>
      <c r="T2024" s="35" t="str">
        <f aca="false">IF($R2024="","",$R2024-$K2024)</f>
        <v/>
      </c>
      <c r="U2024" s="35" t="str">
        <f aca="false">IF(N($P2024)&lt;=0,"",COUNTIF($P$6:$P2024,"&gt;0"))</f>
        <v/>
      </c>
    </row>
    <row r="2025" customFormat="false" ht="15" hidden="false" customHeight="false" outlineLevel="0" collapsed="false">
      <c r="A2025" s="40" t="str">
        <f aca="false">IF(INDEX(BookTitle,2020)="","",INDEX(BookGroup,2020))</f>
        <v/>
      </c>
      <c r="B2025" s="40" t="str">
        <f aca="false">IF(INDEX(BookTitle,2020)="","",INDEX(BookRef,2020))</f>
        <v/>
      </c>
      <c r="C2025" s="40" t="str">
        <f aca="false">IF(INDEX(BookTitle,2020)="","",INDEX(BookDivision,2020))</f>
        <v/>
      </c>
      <c r="D2025" s="40" t="str">
        <f aca="false">IF(INDEX(BookTitle,2020)="","",INDEX(BookUnit,2020))</f>
        <v/>
      </c>
      <c r="E2025" s="40" t="str">
        <f aca="false">IF(INDEX(BookTitle,2020)="","",INDEX(BookTitle,2020))</f>
        <v/>
      </c>
      <c r="F2025" s="40" t="str">
        <f aca="false">IF(INDEX(BookTitle,2020)="","",INDEX(BookLevel,2020))</f>
        <v/>
      </c>
      <c r="G2025" s="40" t="str">
        <f aca="false">IF(INDEX(BookTitle,2020)="","",INDEX(BookCategory,2020))</f>
        <v/>
      </c>
      <c r="H2025" s="40" t="str">
        <f aca="false">IF(INDEX(BookTitle,2020)="","",INDEX(BookRank,2020))</f>
        <v/>
      </c>
      <c r="I2025" s="41" t="str">
        <f aca="false">IF(INDEX(BookTitle,2020)="","",INDEX(BookTotal,2020))</f>
        <v/>
      </c>
      <c r="J2025" s="0" t="str">
        <f aca="false">IF($I2025="","",IF(INDEX(BookQ1,2020)&gt;0,"Q1",IF(INDEX(BookQ2,2020)&gt;0,"Q2",IF(INDEX(BookQ3,2020)&gt;0,"Q3",IF(INDEX(BookQ4,2020)&gt;0,"Q4","")))))</f>
        <v/>
      </c>
      <c r="K2025" s="42" t="str">
        <f aca="false">IF(INDEX(BookTitle,2020)="","",INDEX(BookInYear,2020))</f>
        <v/>
      </c>
      <c r="L2025" s="19"/>
      <c r="M2025" s="39"/>
      <c r="N2025" s="19"/>
      <c r="O2025" s="19"/>
      <c r="P2025" s="43" t="str">
        <f aca="false">IF($E2025="","",IF($L2025="Decline",0,IF($L2025="Approve fewer",IF($M2025="","",$M2025),IF($L2025="","",$I2025))))</f>
        <v/>
      </c>
      <c r="Q2025" s="34" t="str">
        <f aca="false">IF($P2025="","",IF($N2025&lt;&gt;"",$N2025,$J2025))</f>
        <v/>
      </c>
      <c r="R2025" s="35" t="str">
        <f aca="false">IF(OR($P2025="",$Q2025=""),"",INDEX(BookRate,2020)*$P2025*(5-MATCH($Q2025,{"Q1";"Q2";"Q3";"Q4"},0))/4+INDEX(BookOneOff,2020)*$P2025)</f>
        <v/>
      </c>
      <c r="S2025" s="35" t="str">
        <f aca="false">IF($P2025="","",INDEX(BookRate,2020)*$P2025)</f>
        <v/>
      </c>
      <c r="T2025" s="35" t="str">
        <f aca="false">IF($R2025="","",$R2025-$K2025)</f>
        <v/>
      </c>
      <c r="U2025" s="35" t="str">
        <f aca="false">IF(N($P2025)&lt;=0,"",COUNTIF($P$6:$P2025,"&gt;0"))</f>
        <v/>
      </c>
    </row>
    <row r="2026" customFormat="false" ht="15" hidden="false" customHeight="false" outlineLevel="0" collapsed="false">
      <c r="A2026" s="40" t="str">
        <f aca="false">IF(INDEX(BookTitle,2021)="","",INDEX(BookGroup,2021))</f>
        <v/>
      </c>
      <c r="B2026" s="40" t="str">
        <f aca="false">IF(INDEX(BookTitle,2021)="","",INDEX(BookRef,2021))</f>
        <v/>
      </c>
      <c r="C2026" s="40" t="str">
        <f aca="false">IF(INDEX(BookTitle,2021)="","",INDEX(BookDivision,2021))</f>
        <v/>
      </c>
      <c r="D2026" s="40" t="str">
        <f aca="false">IF(INDEX(BookTitle,2021)="","",INDEX(BookUnit,2021))</f>
        <v/>
      </c>
      <c r="E2026" s="40" t="str">
        <f aca="false">IF(INDEX(BookTitle,2021)="","",INDEX(BookTitle,2021))</f>
        <v/>
      </c>
      <c r="F2026" s="40" t="str">
        <f aca="false">IF(INDEX(BookTitle,2021)="","",INDEX(BookLevel,2021))</f>
        <v/>
      </c>
      <c r="G2026" s="40" t="str">
        <f aca="false">IF(INDEX(BookTitle,2021)="","",INDEX(BookCategory,2021))</f>
        <v/>
      </c>
      <c r="H2026" s="40" t="str">
        <f aca="false">IF(INDEX(BookTitle,2021)="","",INDEX(BookRank,2021))</f>
        <v/>
      </c>
      <c r="I2026" s="41" t="str">
        <f aca="false">IF(INDEX(BookTitle,2021)="","",INDEX(BookTotal,2021))</f>
        <v/>
      </c>
      <c r="J2026" s="0" t="str">
        <f aca="false">IF($I2026="","",IF(INDEX(BookQ1,2021)&gt;0,"Q1",IF(INDEX(BookQ2,2021)&gt;0,"Q2",IF(INDEX(BookQ3,2021)&gt;0,"Q3",IF(INDEX(BookQ4,2021)&gt;0,"Q4","")))))</f>
        <v/>
      </c>
      <c r="K2026" s="42" t="str">
        <f aca="false">IF(INDEX(BookTitle,2021)="","",INDEX(BookInYear,2021))</f>
        <v/>
      </c>
      <c r="L2026" s="19"/>
      <c r="M2026" s="39"/>
      <c r="N2026" s="19"/>
      <c r="O2026" s="19"/>
      <c r="P2026" s="43" t="str">
        <f aca="false">IF($E2026="","",IF($L2026="Decline",0,IF($L2026="Approve fewer",IF($M2026="","",$M2026),IF($L2026="","",$I2026))))</f>
        <v/>
      </c>
      <c r="Q2026" s="34" t="str">
        <f aca="false">IF($P2026="","",IF($N2026&lt;&gt;"",$N2026,$J2026))</f>
        <v/>
      </c>
      <c r="R2026" s="35" t="str">
        <f aca="false">IF(OR($P2026="",$Q2026=""),"",INDEX(BookRate,2021)*$P2026*(5-MATCH($Q2026,{"Q1";"Q2";"Q3";"Q4"},0))/4+INDEX(BookOneOff,2021)*$P2026)</f>
        <v/>
      </c>
      <c r="S2026" s="35" t="str">
        <f aca="false">IF($P2026="","",INDEX(BookRate,2021)*$P2026)</f>
        <v/>
      </c>
      <c r="T2026" s="35" t="str">
        <f aca="false">IF($R2026="","",$R2026-$K2026)</f>
        <v/>
      </c>
      <c r="U2026" s="35" t="str">
        <f aca="false">IF(N($P2026)&lt;=0,"",COUNTIF($P$6:$P2026,"&gt;0"))</f>
        <v/>
      </c>
    </row>
    <row r="2027" customFormat="false" ht="15" hidden="false" customHeight="false" outlineLevel="0" collapsed="false">
      <c r="A2027" s="40" t="str">
        <f aca="false">IF(INDEX(BookTitle,2022)="","",INDEX(BookGroup,2022))</f>
        <v/>
      </c>
      <c r="B2027" s="40" t="str">
        <f aca="false">IF(INDEX(BookTitle,2022)="","",INDEX(BookRef,2022))</f>
        <v/>
      </c>
      <c r="C2027" s="40" t="str">
        <f aca="false">IF(INDEX(BookTitle,2022)="","",INDEX(BookDivision,2022))</f>
        <v/>
      </c>
      <c r="D2027" s="40" t="str">
        <f aca="false">IF(INDEX(BookTitle,2022)="","",INDEX(BookUnit,2022))</f>
        <v/>
      </c>
      <c r="E2027" s="40" t="str">
        <f aca="false">IF(INDEX(BookTitle,2022)="","",INDEX(BookTitle,2022))</f>
        <v/>
      </c>
      <c r="F2027" s="40" t="str">
        <f aca="false">IF(INDEX(BookTitle,2022)="","",INDEX(BookLevel,2022))</f>
        <v/>
      </c>
      <c r="G2027" s="40" t="str">
        <f aca="false">IF(INDEX(BookTitle,2022)="","",INDEX(BookCategory,2022))</f>
        <v/>
      </c>
      <c r="H2027" s="40" t="str">
        <f aca="false">IF(INDEX(BookTitle,2022)="","",INDEX(BookRank,2022))</f>
        <v/>
      </c>
      <c r="I2027" s="41" t="str">
        <f aca="false">IF(INDEX(BookTitle,2022)="","",INDEX(BookTotal,2022))</f>
        <v/>
      </c>
      <c r="J2027" s="0" t="str">
        <f aca="false">IF($I2027="","",IF(INDEX(BookQ1,2022)&gt;0,"Q1",IF(INDEX(BookQ2,2022)&gt;0,"Q2",IF(INDEX(BookQ3,2022)&gt;0,"Q3",IF(INDEX(BookQ4,2022)&gt;0,"Q4","")))))</f>
        <v/>
      </c>
      <c r="K2027" s="42" t="str">
        <f aca="false">IF(INDEX(BookTitle,2022)="","",INDEX(BookInYear,2022))</f>
        <v/>
      </c>
      <c r="L2027" s="19"/>
      <c r="M2027" s="39"/>
      <c r="N2027" s="19"/>
      <c r="O2027" s="19"/>
      <c r="P2027" s="43" t="str">
        <f aca="false">IF($E2027="","",IF($L2027="Decline",0,IF($L2027="Approve fewer",IF($M2027="","",$M2027),IF($L2027="","",$I2027))))</f>
        <v/>
      </c>
      <c r="Q2027" s="34" t="str">
        <f aca="false">IF($P2027="","",IF($N2027&lt;&gt;"",$N2027,$J2027))</f>
        <v/>
      </c>
      <c r="R2027" s="35" t="str">
        <f aca="false">IF(OR($P2027="",$Q2027=""),"",INDEX(BookRate,2022)*$P2027*(5-MATCH($Q2027,{"Q1";"Q2";"Q3";"Q4"},0))/4+INDEX(BookOneOff,2022)*$P2027)</f>
        <v/>
      </c>
      <c r="S2027" s="35" t="str">
        <f aca="false">IF($P2027="","",INDEX(BookRate,2022)*$P2027)</f>
        <v/>
      </c>
      <c r="T2027" s="35" t="str">
        <f aca="false">IF($R2027="","",$R2027-$K2027)</f>
        <v/>
      </c>
      <c r="U2027" s="35" t="str">
        <f aca="false">IF(N($P2027)&lt;=0,"",COUNTIF($P$6:$P2027,"&gt;0"))</f>
        <v/>
      </c>
    </row>
    <row r="2028" customFormat="false" ht="15" hidden="false" customHeight="false" outlineLevel="0" collapsed="false">
      <c r="A2028" s="40" t="str">
        <f aca="false">IF(INDEX(BookTitle,2023)="","",INDEX(BookGroup,2023))</f>
        <v/>
      </c>
      <c r="B2028" s="40" t="str">
        <f aca="false">IF(INDEX(BookTitle,2023)="","",INDEX(BookRef,2023))</f>
        <v/>
      </c>
      <c r="C2028" s="40" t="str">
        <f aca="false">IF(INDEX(BookTitle,2023)="","",INDEX(BookDivision,2023))</f>
        <v/>
      </c>
      <c r="D2028" s="40" t="str">
        <f aca="false">IF(INDEX(BookTitle,2023)="","",INDEX(BookUnit,2023))</f>
        <v/>
      </c>
      <c r="E2028" s="40" t="str">
        <f aca="false">IF(INDEX(BookTitle,2023)="","",INDEX(BookTitle,2023))</f>
        <v/>
      </c>
      <c r="F2028" s="40" t="str">
        <f aca="false">IF(INDEX(BookTitle,2023)="","",INDEX(BookLevel,2023))</f>
        <v/>
      </c>
      <c r="G2028" s="40" t="str">
        <f aca="false">IF(INDEX(BookTitle,2023)="","",INDEX(BookCategory,2023))</f>
        <v/>
      </c>
      <c r="H2028" s="40" t="str">
        <f aca="false">IF(INDEX(BookTitle,2023)="","",INDEX(BookRank,2023))</f>
        <v/>
      </c>
      <c r="I2028" s="41" t="str">
        <f aca="false">IF(INDEX(BookTitle,2023)="","",INDEX(BookTotal,2023))</f>
        <v/>
      </c>
      <c r="J2028" s="0" t="str">
        <f aca="false">IF($I2028="","",IF(INDEX(BookQ1,2023)&gt;0,"Q1",IF(INDEX(BookQ2,2023)&gt;0,"Q2",IF(INDEX(BookQ3,2023)&gt;0,"Q3",IF(INDEX(BookQ4,2023)&gt;0,"Q4","")))))</f>
        <v/>
      </c>
      <c r="K2028" s="42" t="str">
        <f aca="false">IF(INDEX(BookTitle,2023)="","",INDEX(BookInYear,2023))</f>
        <v/>
      </c>
      <c r="L2028" s="19"/>
      <c r="M2028" s="39"/>
      <c r="N2028" s="19"/>
      <c r="O2028" s="19"/>
      <c r="P2028" s="43" t="str">
        <f aca="false">IF($E2028="","",IF($L2028="Decline",0,IF($L2028="Approve fewer",IF($M2028="","",$M2028),IF($L2028="","",$I2028))))</f>
        <v/>
      </c>
      <c r="Q2028" s="34" t="str">
        <f aca="false">IF($P2028="","",IF($N2028&lt;&gt;"",$N2028,$J2028))</f>
        <v/>
      </c>
      <c r="R2028" s="35" t="str">
        <f aca="false">IF(OR($P2028="",$Q2028=""),"",INDEX(BookRate,2023)*$P2028*(5-MATCH($Q2028,{"Q1";"Q2";"Q3";"Q4"},0))/4+INDEX(BookOneOff,2023)*$P2028)</f>
        <v/>
      </c>
      <c r="S2028" s="35" t="str">
        <f aca="false">IF($P2028="","",INDEX(BookRate,2023)*$P2028)</f>
        <v/>
      </c>
      <c r="T2028" s="35" t="str">
        <f aca="false">IF($R2028="","",$R2028-$K2028)</f>
        <v/>
      </c>
      <c r="U2028" s="35" t="str">
        <f aca="false">IF(N($P2028)&lt;=0,"",COUNTIF($P$6:$P2028,"&gt;0"))</f>
        <v/>
      </c>
    </row>
    <row r="2029" customFormat="false" ht="15" hidden="false" customHeight="false" outlineLevel="0" collapsed="false">
      <c r="A2029" s="40" t="str">
        <f aca="false">IF(INDEX(BookTitle,2024)="","",INDEX(BookGroup,2024))</f>
        <v/>
      </c>
      <c r="B2029" s="40" t="str">
        <f aca="false">IF(INDEX(BookTitle,2024)="","",INDEX(BookRef,2024))</f>
        <v/>
      </c>
      <c r="C2029" s="40" t="str">
        <f aca="false">IF(INDEX(BookTitle,2024)="","",INDEX(BookDivision,2024))</f>
        <v/>
      </c>
      <c r="D2029" s="40" t="str">
        <f aca="false">IF(INDEX(BookTitle,2024)="","",INDEX(BookUnit,2024))</f>
        <v/>
      </c>
      <c r="E2029" s="40" t="str">
        <f aca="false">IF(INDEX(BookTitle,2024)="","",INDEX(BookTitle,2024))</f>
        <v/>
      </c>
      <c r="F2029" s="40" t="str">
        <f aca="false">IF(INDEX(BookTitle,2024)="","",INDEX(BookLevel,2024))</f>
        <v/>
      </c>
      <c r="G2029" s="40" t="str">
        <f aca="false">IF(INDEX(BookTitle,2024)="","",INDEX(BookCategory,2024))</f>
        <v/>
      </c>
      <c r="H2029" s="40" t="str">
        <f aca="false">IF(INDEX(BookTitle,2024)="","",INDEX(BookRank,2024))</f>
        <v/>
      </c>
      <c r="I2029" s="41" t="str">
        <f aca="false">IF(INDEX(BookTitle,2024)="","",INDEX(BookTotal,2024))</f>
        <v/>
      </c>
      <c r="J2029" s="0" t="str">
        <f aca="false">IF($I2029="","",IF(INDEX(BookQ1,2024)&gt;0,"Q1",IF(INDEX(BookQ2,2024)&gt;0,"Q2",IF(INDEX(BookQ3,2024)&gt;0,"Q3",IF(INDEX(BookQ4,2024)&gt;0,"Q4","")))))</f>
        <v/>
      </c>
      <c r="K2029" s="42" t="str">
        <f aca="false">IF(INDEX(BookTitle,2024)="","",INDEX(BookInYear,2024))</f>
        <v/>
      </c>
      <c r="L2029" s="19"/>
      <c r="M2029" s="39"/>
      <c r="N2029" s="19"/>
      <c r="O2029" s="19"/>
      <c r="P2029" s="43" t="str">
        <f aca="false">IF($E2029="","",IF($L2029="Decline",0,IF($L2029="Approve fewer",IF($M2029="","",$M2029),IF($L2029="","",$I2029))))</f>
        <v/>
      </c>
      <c r="Q2029" s="34" t="str">
        <f aca="false">IF($P2029="","",IF($N2029&lt;&gt;"",$N2029,$J2029))</f>
        <v/>
      </c>
      <c r="R2029" s="35" t="str">
        <f aca="false">IF(OR($P2029="",$Q2029=""),"",INDEX(BookRate,2024)*$P2029*(5-MATCH($Q2029,{"Q1";"Q2";"Q3";"Q4"},0))/4+INDEX(BookOneOff,2024)*$P2029)</f>
        <v/>
      </c>
      <c r="S2029" s="35" t="str">
        <f aca="false">IF($P2029="","",INDEX(BookRate,2024)*$P2029)</f>
        <v/>
      </c>
      <c r="T2029" s="35" t="str">
        <f aca="false">IF($R2029="","",$R2029-$K2029)</f>
        <v/>
      </c>
      <c r="U2029" s="35" t="str">
        <f aca="false">IF(N($P2029)&lt;=0,"",COUNTIF($P$6:$P2029,"&gt;0"))</f>
        <v/>
      </c>
    </row>
    <row r="2030" customFormat="false" ht="15" hidden="false" customHeight="false" outlineLevel="0" collapsed="false">
      <c r="A2030" s="40" t="str">
        <f aca="false">IF(INDEX(BookTitle,2025)="","",INDEX(BookGroup,2025))</f>
        <v/>
      </c>
      <c r="B2030" s="40" t="str">
        <f aca="false">IF(INDEX(BookTitle,2025)="","",INDEX(BookRef,2025))</f>
        <v/>
      </c>
      <c r="C2030" s="40" t="str">
        <f aca="false">IF(INDEX(BookTitle,2025)="","",INDEX(BookDivision,2025))</f>
        <v/>
      </c>
      <c r="D2030" s="40" t="str">
        <f aca="false">IF(INDEX(BookTitle,2025)="","",INDEX(BookUnit,2025))</f>
        <v/>
      </c>
      <c r="E2030" s="40" t="str">
        <f aca="false">IF(INDEX(BookTitle,2025)="","",INDEX(BookTitle,2025))</f>
        <v/>
      </c>
      <c r="F2030" s="40" t="str">
        <f aca="false">IF(INDEX(BookTitle,2025)="","",INDEX(BookLevel,2025))</f>
        <v/>
      </c>
      <c r="G2030" s="40" t="str">
        <f aca="false">IF(INDEX(BookTitle,2025)="","",INDEX(BookCategory,2025))</f>
        <v/>
      </c>
      <c r="H2030" s="40" t="str">
        <f aca="false">IF(INDEX(BookTitle,2025)="","",INDEX(BookRank,2025))</f>
        <v/>
      </c>
      <c r="I2030" s="41" t="str">
        <f aca="false">IF(INDEX(BookTitle,2025)="","",INDEX(BookTotal,2025))</f>
        <v/>
      </c>
      <c r="J2030" s="0" t="str">
        <f aca="false">IF($I2030="","",IF(INDEX(BookQ1,2025)&gt;0,"Q1",IF(INDEX(BookQ2,2025)&gt;0,"Q2",IF(INDEX(BookQ3,2025)&gt;0,"Q3",IF(INDEX(BookQ4,2025)&gt;0,"Q4","")))))</f>
        <v/>
      </c>
      <c r="K2030" s="42" t="str">
        <f aca="false">IF(INDEX(BookTitle,2025)="","",INDEX(BookInYear,2025))</f>
        <v/>
      </c>
      <c r="L2030" s="19"/>
      <c r="M2030" s="39"/>
      <c r="N2030" s="19"/>
      <c r="O2030" s="19"/>
      <c r="P2030" s="43" t="str">
        <f aca="false">IF($E2030="","",IF($L2030="Decline",0,IF($L2030="Approve fewer",IF($M2030="","",$M2030),IF($L2030="","",$I2030))))</f>
        <v/>
      </c>
      <c r="Q2030" s="34" t="str">
        <f aca="false">IF($P2030="","",IF($N2030&lt;&gt;"",$N2030,$J2030))</f>
        <v/>
      </c>
      <c r="R2030" s="35" t="str">
        <f aca="false">IF(OR($P2030="",$Q2030=""),"",INDEX(BookRate,2025)*$P2030*(5-MATCH($Q2030,{"Q1";"Q2";"Q3";"Q4"},0))/4+INDEX(BookOneOff,2025)*$P2030)</f>
        <v/>
      </c>
      <c r="S2030" s="35" t="str">
        <f aca="false">IF($P2030="","",INDEX(BookRate,2025)*$P2030)</f>
        <v/>
      </c>
      <c r="T2030" s="35" t="str">
        <f aca="false">IF($R2030="","",$R2030-$K2030)</f>
        <v/>
      </c>
      <c r="U2030" s="35" t="str">
        <f aca="false">IF(N($P2030)&lt;=0,"",COUNTIF($P$6:$P2030,"&gt;0"))</f>
        <v/>
      </c>
    </row>
    <row r="2031" customFormat="false" ht="15" hidden="false" customHeight="false" outlineLevel="0" collapsed="false">
      <c r="A2031" s="40" t="str">
        <f aca="false">IF(INDEX(BookTitle,2026)="","",INDEX(BookGroup,2026))</f>
        <v/>
      </c>
      <c r="B2031" s="40" t="str">
        <f aca="false">IF(INDEX(BookTitle,2026)="","",INDEX(BookRef,2026))</f>
        <v/>
      </c>
      <c r="C2031" s="40" t="str">
        <f aca="false">IF(INDEX(BookTitle,2026)="","",INDEX(BookDivision,2026))</f>
        <v/>
      </c>
      <c r="D2031" s="40" t="str">
        <f aca="false">IF(INDEX(BookTitle,2026)="","",INDEX(BookUnit,2026))</f>
        <v/>
      </c>
      <c r="E2031" s="40" t="str">
        <f aca="false">IF(INDEX(BookTitle,2026)="","",INDEX(BookTitle,2026))</f>
        <v/>
      </c>
      <c r="F2031" s="40" t="str">
        <f aca="false">IF(INDEX(BookTitle,2026)="","",INDEX(BookLevel,2026))</f>
        <v/>
      </c>
      <c r="G2031" s="40" t="str">
        <f aca="false">IF(INDEX(BookTitle,2026)="","",INDEX(BookCategory,2026))</f>
        <v/>
      </c>
      <c r="H2031" s="40" t="str">
        <f aca="false">IF(INDEX(BookTitle,2026)="","",INDEX(BookRank,2026))</f>
        <v/>
      </c>
      <c r="I2031" s="41" t="str">
        <f aca="false">IF(INDEX(BookTitle,2026)="","",INDEX(BookTotal,2026))</f>
        <v/>
      </c>
      <c r="J2031" s="0" t="str">
        <f aca="false">IF($I2031="","",IF(INDEX(BookQ1,2026)&gt;0,"Q1",IF(INDEX(BookQ2,2026)&gt;0,"Q2",IF(INDEX(BookQ3,2026)&gt;0,"Q3",IF(INDEX(BookQ4,2026)&gt;0,"Q4","")))))</f>
        <v/>
      </c>
      <c r="K2031" s="42" t="str">
        <f aca="false">IF(INDEX(BookTitle,2026)="","",INDEX(BookInYear,2026))</f>
        <v/>
      </c>
      <c r="L2031" s="19"/>
      <c r="M2031" s="39"/>
      <c r="N2031" s="19"/>
      <c r="O2031" s="19"/>
      <c r="P2031" s="43" t="str">
        <f aca="false">IF($E2031="","",IF($L2031="Decline",0,IF($L2031="Approve fewer",IF($M2031="","",$M2031),IF($L2031="","",$I2031))))</f>
        <v/>
      </c>
      <c r="Q2031" s="34" t="str">
        <f aca="false">IF($P2031="","",IF($N2031&lt;&gt;"",$N2031,$J2031))</f>
        <v/>
      </c>
      <c r="R2031" s="35" t="str">
        <f aca="false">IF(OR($P2031="",$Q2031=""),"",INDEX(BookRate,2026)*$P2031*(5-MATCH($Q2031,{"Q1";"Q2";"Q3";"Q4"},0))/4+INDEX(BookOneOff,2026)*$P2031)</f>
        <v/>
      </c>
      <c r="S2031" s="35" t="str">
        <f aca="false">IF($P2031="","",INDEX(BookRate,2026)*$P2031)</f>
        <v/>
      </c>
      <c r="T2031" s="35" t="str">
        <f aca="false">IF($R2031="","",$R2031-$K2031)</f>
        <v/>
      </c>
      <c r="U2031" s="35" t="str">
        <f aca="false">IF(N($P2031)&lt;=0,"",COUNTIF($P$6:$P2031,"&gt;0"))</f>
        <v/>
      </c>
    </row>
    <row r="2032" customFormat="false" ht="15" hidden="false" customHeight="false" outlineLevel="0" collapsed="false">
      <c r="A2032" s="40" t="str">
        <f aca="false">IF(INDEX(BookTitle,2027)="","",INDEX(BookGroup,2027))</f>
        <v/>
      </c>
      <c r="B2032" s="40" t="str">
        <f aca="false">IF(INDEX(BookTitle,2027)="","",INDEX(BookRef,2027))</f>
        <v/>
      </c>
      <c r="C2032" s="40" t="str">
        <f aca="false">IF(INDEX(BookTitle,2027)="","",INDEX(BookDivision,2027))</f>
        <v/>
      </c>
      <c r="D2032" s="40" t="str">
        <f aca="false">IF(INDEX(BookTitle,2027)="","",INDEX(BookUnit,2027))</f>
        <v/>
      </c>
      <c r="E2032" s="40" t="str">
        <f aca="false">IF(INDEX(BookTitle,2027)="","",INDEX(BookTitle,2027))</f>
        <v/>
      </c>
      <c r="F2032" s="40" t="str">
        <f aca="false">IF(INDEX(BookTitle,2027)="","",INDEX(BookLevel,2027))</f>
        <v/>
      </c>
      <c r="G2032" s="40" t="str">
        <f aca="false">IF(INDEX(BookTitle,2027)="","",INDEX(BookCategory,2027))</f>
        <v/>
      </c>
      <c r="H2032" s="40" t="str">
        <f aca="false">IF(INDEX(BookTitle,2027)="","",INDEX(BookRank,2027))</f>
        <v/>
      </c>
      <c r="I2032" s="41" t="str">
        <f aca="false">IF(INDEX(BookTitle,2027)="","",INDEX(BookTotal,2027))</f>
        <v/>
      </c>
      <c r="J2032" s="0" t="str">
        <f aca="false">IF($I2032="","",IF(INDEX(BookQ1,2027)&gt;0,"Q1",IF(INDEX(BookQ2,2027)&gt;0,"Q2",IF(INDEX(BookQ3,2027)&gt;0,"Q3",IF(INDEX(BookQ4,2027)&gt;0,"Q4","")))))</f>
        <v/>
      </c>
      <c r="K2032" s="42" t="str">
        <f aca="false">IF(INDEX(BookTitle,2027)="","",INDEX(BookInYear,2027))</f>
        <v/>
      </c>
      <c r="L2032" s="19"/>
      <c r="M2032" s="39"/>
      <c r="N2032" s="19"/>
      <c r="O2032" s="19"/>
      <c r="P2032" s="43" t="str">
        <f aca="false">IF($E2032="","",IF($L2032="Decline",0,IF($L2032="Approve fewer",IF($M2032="","",$M2032),IF($L2032="","",$I2032))))</f>
        <v/>
      </c>
      <c r="Q2032" s="34" t="str">
        <f aca="false">IF($P2032="","",IF($N2032&lt;&gt;"",$N2032,$J2032))</f>
        <v/>
      </c>
      <c r="R2032" s="35" t="str">
        <f aca="false">IF(OR($P2032="",$Q2032=""),"",INDEX(BookRate,2027)*$P2032*(5-MATCH($Q2032,{"Q1";"Q2";"Q3";"Q4"},0))/4+INDEX(BookOneOff,2027)*$P2032)</f>
        <v/>
      </c>
      <c r="S2032" s="35" t="str">
        <f aca="false">IF($P2032="","",INDEX(BookRate,2027)*$P2032)</f>
        <v/>
      </c>
      <c r="T2032" s="35" t="str">
        <f aca="false">IF($R2032="","",$R2032-$K2032)</f>
        <v/>
      </c>
      <c r="U2032" s="35" t="str">
        <f aca="false">IF(N($P2032)&lt;=0,"",COUNTIF($P$6:$P2032,"&gt;0"))</f>
        <v/>
      </c>
    </row>
    <row r="2033" customFormat="false" ht="15" hidden="false" customHeight="false" outlineLevel="0" collapsed="false">
      <c r="A2033" s="40" t="str">
        <f aca="false">IF(INDEX(BookTitle,2028)="","",INDEX(BookGroup,2028))</f>
        <v/>
      </c>
      <c r="B2033" s="40" t="str">
        <f aca="false">IF(INDEX(BookTitle,2028)="","",INDEX(BookRef,2028))</f>
        <v/>
      </c>
      <c r="C2033" s="40" t="str">
        <f aca="false">IF(INDEX(BookTitle,2028)="","",INDEX(BookDivision,2028))</f>
        <v/>
      </c>
      <c r="D2033" s="40" t="str">
        <f aca="false">IF(INDEX(BookTitle,2028)="","",INDEX(BookUnit,2028))</f>
        <v/>
      </c>
      <c r="E2033" s="40" t="str">
        <f aca="false">IF(INDEX(BookTitle,2028)="","",INDEX(BookTitle,2028))</f>
        <v/>
      </c>
      <c r="F2033" s="40" t="str">
        <f aca="false">IF(INDEX(BookTitle,2028)="","",INDEX(BookLevel,2028))</f>
        <v/>
      </c>
      <c r="G2033" s="40" t="str">
        <f aca="false">IF(INDEX(BookTitle,2028)="","",INDEX(BookCategory,2028))</f>
        <v/>
      </c>
      <c r="H2033" s="40" t="str">
        <f aca="false">IF(INDEX(BookTitle,2028)="","",INDEX(BookRank,2028))</f>
        <v/>
      </c>
      <c r="I2033" s="41" t="str">
        <f aca="false">IF(INDEX(BookTitle,2028)="","",INDEX(BookTotal,2028))</f>
        <v/>
      </c>
      <c r="J2033" s="0" t="str">
        <f aca="false">IF($I2033="","",IF(INDEX(BookQ1,2028)&gt;0,"Q1",IF(INDEX(BookQ2,2028)&gt;0,"Q2",IF(INDEX(BookQ3,2028)&gt;0,"Q3",IF(INDEX(BookQ4,2028)&gt;0,"Q4","")))))</f>
        <v/>
      </c>
      <c r="K2033" s="42" t="str">
        <f aca="false">IF(INDEX(BookTitle,2028)="","",INDEX(BookInYear,2028))</f>
        <v/>
      </c>
      <c r="L2033" s="19"/>
      <c r="M2033" s="39"/>
      <c r="N2033" s="19"/>
      <c r="O2033" s="19"/>
      <c r="P2033" s="43" t="str">
        <f aca="false">IF($E2033="","",IF($L2033="Decline",0,IF($L2033="Approve fewer",IF($M2033="","",$M2033),IF($L2033="","",$I2033))))</f>
        <v/>
      </c>
      <c r="Q2033" s="34" t="str">
        <f aca="false">IF($P2033="","",IF($N2033&lt;&gt;"",$N2033,$J2033))</f>
        <v/>
      </c>
      <c r="R2033" s="35" t="str">
        <f aca="false">IF(OR($P2033="",$Q2033=""),"",INDEX(BookRate,2028)*$P2033*(5-MATCH($Q2033,{"Q1";"Q2";"Q3";"Q4"},0))/4+INDEX(BookOneOff,2028)*$P2033)</f>
        <v/>
      </c>
      <c r="S2033" s="35" t="str">
        <f aca="false">IF($P2033="","",INDEX(BookRate,2028)*$P2033)</f>
        <v/>
      </c>
      <c r="T2033" s="35" t="str">
        <f aca="false">IF($R2033="","",$R2033-$K2033)</f>
        <v/>
      </c>
      <c r="U2033" s="35" t="str">
        <f aca="false">IF(N($P2033)&lt;=0,"",COUNTIF($P$6:$P2033,"&gt;0"))</f>
        <v/>
      </c>
    </row>
    <row r="2034" customFormat="false" ht="15" hidden="false" customHeight="false" outlineLevel="0" collapsed="false">
      <c r="A2034" s="40" t="str">
        <f aca="false">IF(INDEX(BookTitle,2029)="","",INDEX(BookGroup,2029))</f>
        <v/>
      </c>
      <c r="B2034" s="40" t="str">
        <f aca="false">IF(INDEX(BookTitle,2029)="","",INDEX(BookRef,2029))</f>
        <v/>
      </c>
      <c r="C2034" s="40" t="str">
        <f aca="false">IF(INDEX(BookTitle,2029)="","",INDEX(BookDivision,2029))</f>
        <v/>
      </c>
      <c r="D2034" s="40" t="str">
        <f aca="false">IF(INDEX(BookTitle,2029)="","",INDEX(BookUnit,2029))</f>
        <v/>
      </c>
      <c r="E2034" s="40" t="str">
        <f aca="false">IF(INDEX(BookTitle,2029)="","",INDEX(BookTitle,2029))</f>
        <v/>
      </c>
      <c r="F2034" s="40" t="str">
        <f aca="false">IF(INDEX(BookTitle,2029)="","",INDEX(BookLevel,2029))</f>
        <v/>
      </c>
      <c r="G2034" s="40" t="str">
        <f aca="false">IF(INDEX(BookTitle,2029)="","",INDEX(BookCategory,2029))</f>
        <v/>
      </c>
      <c r="H2034" s="40" t="str">
        <f aca="false">IF(INDEX(BookTitle,2029)="","",INDEX(BookRank,2029))</f>
        <v/>
      </c>
      <c r="I2034" s="41" t="str">
        <f aca="false">IF(INDEX(BookTitle,2029)="","",INDEX(BookTotal,2029))</f>
        <v/>
      </c>
      <c r="J2034" s="0" t="str">
        <f aca="false">IF($I2034="","",IF(INDEX(BookQ1,2029)&gt;0,"Q1",IF(INDEX(BookQ2,2029)&gt;0,"Q2",IF(INDEX(BookQ3,2029)&gt;0,"Q3",IF(INDEX(BookQ4,2029)&gt;0,"Q4","")))))</f>
        <v/>
      </c>
      <c r="K2034" s="42" t="str">
        <f aca="false">IF(INDEX(BookTitle,2029)="","",INDEX(BookInYear,2029))</f>
        <v/>
      </c>
      <c r="L2034" s="19"/>
      <c r="M2034" s="39"/>
      <c r="N2034" s="19"/>
      <c r="O2034" s="19"/>
      <c r="P2034" s="43" t="str">
        <f aca="false">IF($E2034="","",IF($L2034="Decline",0,IF($L2034="Approve fewer",IF($M2034="","",$M2034),IF($L2034="","",$I2034))))</f>
        <v/>
      </c>
      <c r="Q2034" s="34" t="str">
        <f aca="false">IF($P2034="","",IF($N2034&lt;&gt;"",$N2034,$J2034))</f>
        <v/>
      </c>
      <c r="R2034" s="35" t="str">
        <f aca="false">IF(OR($P2034="",$Q2034=""),"",INDEX(BookRate,2029)*$P2034*(5-MATCH($Q2034,{"Q1";"Q2";"Q3";"Q4"},0))/4+INDEX(BookOneOff,2029)*$P2034)</f>
        <v/>
      </c>
      <c r="S2034" s="35" t="str">
        <f aca="false">IF($P2034="","",INDEX(BookRate,2029)*$P2034)</f>
        <v/>
      </c>
      <c r="T2034" s="35" t="str">
        <f aca="false">IF($R2034="","",$R2034-$K2034)</f>
        <v/>
      </c>
      <c r="U2034" s="35" t="str">
        <f aca="false">IF(N($P2034)&lt;=0,"",COUNTIF($P$6:$P2034,"&gt;0"))</f>
        <v/>
      </c>
    </row>
    <row r="2035" customFormat="false" ht="15" hidden="false" customHeight="false" outlineLevel="0" collapsed="false">
      <c r="A2035" s="40" t="str">
        <f aca="false">IF(INDEX(BookTitle,2030)="","",INDEX(BookGroup,2030))</f>
        <v/>
      </c>
      <c r="B2035" s="40" t="str">
        <f aca="false">IF(INDEX(BookTitle,2030)="","",INDEX(BookRef,2030))</f>
        <v/>
      </c>
      <c r="C2035" s="40" t="str">
        <f aca="false">IF(INDEX(BookTitle,2030)="","",INDEX(BookDivision,2030))</f>
        <v/>
      </c>
      <c r="D2035" s="40" t="str">
        <f aca="false">IF(INDEX(BookTitle,2030)="","",INDEX(BookUnit,2030))</f>
        <v/>
      </c>
      <c r="E2035" s="40" t="str">
        <f aca="false">IF(INDEX(BookTitle,2030)="","",INDEX(BookTitle,2030))</f>
        <v/>
      </c>
      <c r="F2035" s="40" t="str">
        <f aca="false">IF(INDEX(BookTitle,2030)="","",INDEX(BookLevel,2030))</f>
        <v/>
      </c>
      <c r="G2035" s="40" t="str">
        <f aca="false">IF(INDEX(BookTitle,2030)="","",INDEX(BookCategory,2030))</f>
        <v/>
      </c>
      <c r="H2035" s="40" t="str">
        <f aca="false">IF(INDEX(BookTitle,2030)="","",INDEX(BookRank,2030))</f>
        <v/>
      </c>
      <c r="I2035" s="41" t="str">
        <f aca="false">IF(INDEX(BookTitle,2030)="","",INDEX(BookTotal,2030))</f>
        <v/>
      </c>
      <c r="J2035" s="0" t="str">
        <f aca="false">IF($I2035="","",IF(INDEX(BookQ1,2030)&gt;0,"Q1",IF(INDEX(BookQ2,2030)&gt;0,"Q2",IF(INDEX(BookQ3,2030)&gt;0,"Q3",IF(INDEX(BookQ4,2030)&gt;0,"Q4","")))))</f>
        <v/>
      </c>
      <c r="K2035" s="42" t="str">
        <f aca="false">IF(INDEX(BookTitle,2030)="","",INDEX(BookInYear,2030))</f>
        <v/>
      </c>
      <c r="L2035" s="19"/>
      <c r="M2035" s="39"/>
      <c r="N2035" s="19"/>
      <c r="O2035" s="19"/>
      <c r="P2035" s="43" t="str">
        <f aca="false">IF($E2035="","",IF($L2035="Decline",0,IF($L2035="Approve fewer",IF($M2035="","",$M2035),IF($L2035="","",$I2035))))</f>
        <v/>
      </c>
      <c r="Q2035" s="34" t="str">
        <f aca="false">IF($P2035="","",IF($N2035&lt;&gt;"",$N2035,$J2035))</f>
        <v/>
      </c>
      <c r="R2035" s="35" t="str">
        <f aca="false">IF(OR($P2035="",$Q2035=""),"",INDEX(BookRate,2030)*$P2035*(5-MATCH($Q2035,{"Q1";"Q2";"Q3";"Q4"},0))/4+INDEX(BookOneOff,2030)*$P2035)</f>
        <v/>
      </c>
      <c r="S2035" s="35" t="str">
        <f aca="false">IF($P2035="","",INDEX(BookRate,2030)*$P2035)</f>
        <v/>
      </c>
      <c r="T2035" s="35" t="str">
        <f aca="false">IF($R2035="","",$R2035-$K2035)</f>
        <v/>
      </c>
      <c r="U2035" s="35" t="str">
        <f aca="false">IF(N($P2035)&lt;=0,"",COUNTIF($P$6:$P2035,"&gt;0"))</f>
        <v/>
      </c>
    </row>
    <row r="2036" customFormat="false" ht="15" hidden="false" customHeight="false" outlineLevel="0" collapsed="false">
      <c r="A2036" s="40" t="str">
        <f aca="false">IF(INDEX(BookTitle,2031)="","",INDEX(BookGroup,2031))</f>
        <v/>
      </c>
      <c r="B2036" s="40" t="str">
        <f aca="false">IF(INDEX(BookTitle,2031)="","",INDEX(BookRef,2031))</f>
        <v/>
      </c>
      <c r="C2036" s="40" t="str">
        <f aca="false">IF(INDEX(BookTitle,2031)="","",INDEX(BookDivision,2031))</f>
        <v/>
      </c>
      <c r="D2036" s="40" t="str">
        <f aca="false">IF(INDEX(BookTitle,2031)="","",INDEX(BookUnit,2031))</f>
        <v/>
      </c>
      <c r="E2036" s="40" t="str">
        <f aca="false">IF(INDEX(BookTitle,2031)="","",INDEX(BookTitle,2031))</f>
        <v/>
      </c>
      <c r="F2036" s="40" t="str">
        <f aca="false">IF(INDEX(BookTitle,2031)="","",INDEX(BookLevel,2031))</f>
        <v/>
      </c>
      <c r="G2036" s="40" t="str">
        <f aca="false">IF(INDEX(BookTitle,2031)="","",INDEX(BookCategory,2031))</f>
        <v/>
      </c>
      <c r="H2036" s="40" t="str">
        <f aca="false">IF(INDEX(BookTitle,2031)="","",INDEX(BookRank,2031))</f>
        <v/>
      </c>
      <c r="I2036" s="41" t="str">
        <f aca="false">IF(INDEX(BookTitle,2031)="","",INDEX(BookTotal,2031))</f>
        <v/>
      </c>
      <c r="J2036" s="0" t="str">
        <f aca="false">IF($I2036="","",IF(INDEX(BookQ1,2031)&gt;0,"Q1",IF(INDEX(BookQ2,2031)&gt;0,"Q2",IF(INDEX(BookQ3,2031)&gt;0,"Q3",IF(INDEX(BookQ4,2031)&gt;0,"Q4","")))))</f>
        <v/>
      </c>
      <c r="K2036" s="42" t="str">
        <f aca="false">IF(INDEX(BookTitle,2031)="","",INDEX(BookInYear,2031))</f>
        <v/>
      </c>
      <c r="L2036" s="19"/>
      <c r="M2036" s="39"/>
      <c r="N2036" s="19"/>
      <c r="O2036" s="19"/>
      <c r="P2036" s="43" t="str">
        <f aca="false">IF($E2036="","",IF($L2036="Decline",0,IF($L2036="Approve fewer",IF($M2036="","",$M2036),IF($L2036="","",$I2036))))</f>
        <v/>
      </c>
      <c r="Q2036" s="34" t="str">
        <f aca="false">IF($P2036="","",IF($N2036&lt;&gt;"",$N2036,$J2036))</f>
        <v/>
      </c>
      <c r="R2036" s="35" t="str">
        <f aca="false">IF(OR($P2036="",$Q2036=""),"",INDEX(BookRate,2031)*$P2036*(5-MATCH($Q2036,{"Q1";"Q2";"Q3";"Q4"},0))/4+INDEX(BookOneOff,2031)*$P2036)</f>
        <v/>
      </c>
      <c r="S2036" s="35" t="str">
        <f aca="false">IF($P2036="","",INDEX(BookRate,2031)*$P2036)</f>
        <v/>
      </c>
      <c r="T2036" s="35" t="str">
        <f aca="false">IF($R2036="","",$R2036-$K2036)</f>
        <v/>
      </c>
      <c r="U2036" s="35" t="str">
        <f aca="false">IF(N($P2036)&lt;=0,"",COUNTIF($P$6:$P2036,"&gt;0"))</f>
        <v/>
      </c>
    </row>
    <row r="2037" customFormat="false" ht="15" hidden="false" customHeight="false" outlineLevel="0" collapsed="false">
      <c r="A2037" s="40" t="str">
        <f aca="false">IF(INDEX(BookTitle,2032)="","",INDEX(BookGroup,2032))</f>
        <v/>
      </c>
      <c r="B2037" s="40" t="str">
        <f aca="false">IF(INDEX(BookTitle,2032)="","",INDEX(BookRef,2032))</f>
        <v/>
      </c>
      <c r="C2037" s="40" t="str">
        <f aca="false">IF(INDEX(BookTitle,2032)="","",INDEX(BookDivision,2032))</f>
        <v/>
      </c>
      <c r="D2037" s="40" t="str">
        <f aca="false">IF(INDEX(BookTitle,2032)="","",INDEX(BookUnit,2032))</f>
        <v/>
      </c>
      <c r="E2037" s="40" t="str">
        <f aca="false">IF(INDEX(BookTitle,2032)="","",INDEX(BookTitle,2032))</f>
        <v/>
      </c>
      <c r="F2037" s="40" t="str">
        <f aca="false">IF(INDEX(BookTitle,2032)="","",INDEX(BookLevel,2032))</f>
        <v/>
      </c>
      <c r="G2037" s="40" t="str">
        <f aca="false">IF(INDEX(BookTitle,2032)="","",INDEX(BookCategory,2032))</f>
        <v/>
      </c>
      <c r="H2037" s="40" t="str">
        <f aca="false">IF(INDEX(BookTitle,2032)="","",INDEX(BookRank,2032))</f>
        <v/>
      </c>
      <c r="I2037" s="41" t="str">
        <f aca="false">IF(INDEX(BookTitle,2032)="","",INDEX(BookTotal,2032))</f>
        <v/>
      </c>
      <c r="J2037" s="0" t="str">
        <f aca="false">IF($I2037="","",IF(INDEX(BookQ1,2032)&gt;0,"Q1",IF(INDEX(BookQ2,2032)&gt;0,"Q2",IF(INDEX(BookQ3,2032)&gt;0,"Q3",IF(INDEX(BookQ4,2032)&gt;0,"Q4","")))))</f>
        <v/>
      </c>
      <c r="K2037" s="42" t="str">
        <f aca="false">IF(INDEX(BookTitle,2032)="","",INDEX(BookInYear,2032))</f>
        <v/>
      </c>
      <c r="L2037" s="19"/>
      <c r="M2037" s="39"/>
      <c r="N2037" s="19"/>
      <c r="O2037" s="19"/>
      <c r="P2037" s="43" t="str">
        <f aca="false">IF($E2037="","",IF($L2037="Decline",0,IF($L2037="Approve fewer",IF($M2037="","",$M2037),IF($L2037="","",$I2037))))</f>
        <v/>
      </c>
      <c r="Q2037" s="34" t="str">
        <f aca="false">IF($P2037="","",IF($N2037&lt;&gt;"",$N2037,$J2037))</f>
        <v/>
      </c>
      <c r="R2037" s="35" t="str">
        <f aca="false">IF(OR($P2037="",$Q2037=""),"",INDEX(BookRate,2032)*$P2037*(5-MATCH($Q2037,{"Q1";"Q2";"Q3";"Q4"},0))/4+INDEX(BookOneOff,2032)*$P2037)</f>
        <v/>
      </c>
      <c r="S2037" s="35" t="str">
        <f aca="false">IF($P2037="","",INDEX(BookRate,2032)*$P2037)</f>
        <v/>
      </c>
      <c r="T2037" s="35" t="str">
        <f aca="false">IF($R2037="","",$R2037-$K2037)</f>
        <v/>
      </c>
      <c r="U2037" s="35" t="str">
        <f aca="false">IF(N($P2037)&lt;=0,"",COUNTIF($P$6:$P2037,"&gt;0"))</f>
        <v/>
      </c>
    </row>
    <row r="2038" customFormat="false" ht="15" hidden="false" customHeight="false" outlineLevel="0" collapsed="false">
      <c r="A2038" s="40" t="str">
        <f aca="false">IF(INDEX(BookTitle,2033)="","",INDEX(BookGroup,2033))</f>
        <v/>
      </c>
      <c r="B2038" s="40" t="str">
        <f aca="false">IF(INDEX(BookTitle,2033)="","",INDEX(BookRef,2033))</f>
        <v/>
      </c>
      <c r="C2038" s="40" t="str">
        <f aca="false">IF(INDEX(BookTitle,2033)="","",INDEX(BookDivision,2033))</f>
        <v/>
      </c>
      <c r="D2038" s="40" t="str">
        <f aca="false">IF(INDEX(BookTitle,2033)="","",INDEX(BookUnit,2033))</f>
        <v/>
      </c>
      <c r="E2038" s="40" t="str">
        <f aca="false">IF(INDEX(BookTitle,2033)="","",INDEX(BookTitle,2033))</f>
        <v/>
      </c>
      <c r="F2038" s="40" t="str">
        <f aca="false">IF(INDEX(BookTitle,2033)="","",INDEX(BookLevel,2033))</f>
        <v/>
      </c>
      <c r="G2038" s="40" t="str">
        <f aca="false">IF(INDEX(BookTitle,2033)="","",INDEX(BookCategory,2033))</f>
        <v/>
      </c>
      <c r="H2038" s="40" t="str">
        <f aca="false">IF(INDEX(BookTitle,2033)="","",INDEX(BookRank,2033))</f>
        <v/>
      </c>
      <c r="I2038" s="41" t="str">
        <f aca="false">IF(INDEX(BookTitle,2033)="","",INDEX(BookTotal,2033))</f>
        <v/>
      </c>
      <c r="J2038" s="0" t="str">
        <f aca="false">IF($I2038="","",IF(INDEX(BookQ1,2033)&gt;0,"Q1",IF(INDEX(BookQ2,2033)&gt;0,"Q2",IF(INDEX(BookQ3,2033)&gt;0,"Q3",IF(INDEX(BookQ4,2033)&gt;0,"Q4","")))))</f>
        <v/>
      </c>
      <c r="K2038" s="42" t="str">
        <f aca="false">IF(INDEX(BookTitle,2033)="","",INDEX(BookInYear,2033))</f>
        <v/>
      </c>
      <c r="L2038" s="19"/>
      <c r="M2038" s="39"/>
      <c r="N2038" s="19"/>
      <c r="O2038" s="19"/>
      <c r="P2038" s="43" t="str">
        <f aca="false">IF($E2038="","",IF($L2038="Decline",0,IF($L2038="Approve fewer",IF($M2038="","",$M2038),IF($L2038="","",$I2038))))</f>
        <v/>
      </c>
      <c r="Q2038" s="34" t="str">
        <f aca="false">IF($P2038="","",IF($N2038&lt;&gt;"",$N2038,$J2038))</f>
        <v/>
      </c>
      <c r="R2038" s="35" t="str">
        <f aca="false">IF(OR($P2038="",$Q2038=""),"",INDEX(BookRate,2033)*$P2038*(5-MATCH($Q2038,{"Q1";"Q2";"Q3";"Q4"},0))/4+INDEX(BookOneOff,2033)*$P2038)</f>
        <v/>
      </c>
      <c r="S2038" s="35" t="str">
        <f aca="false">IF($P2038="","",INDEX(BookRate,2033)*$P2038)</f>
        <v/>
      </c>
      <c r="T2038" s="35" t="str">
        <f aca="false">IF($R2038="","",$R2038-$K2038)</f>
        <v/>
      </c>
      <c r="U2038" s="35" t="str">
        <f aca="false">IF(N($P2038)&lt;=0,"",COUNTIF($P$6:$P2038,"&gt;0"))</f>
        <v/>
      </c>
    </row>
    <row r="2039" customFormat="false" ht="15" hidden="false" customHeight="false" outlineLevel="0" collapsed="false">
      <c r="A2039" s="40" t="str">
        <f aca="false">IF(INDEX(BookTitle,2034)="","",INDEX(BookGroup,2034))</f>
        <v/>
      </c>
      <c r="B2039" s="40" t="str">
        <f aca="false">IF(INDEX(BookTitle,2034)="","",INDEX(BookRef,2034))</f>
        <v/>
      </c>
      <c r="C2039" s="40" t="str">
        <f aca="false">IF(INDEX(BookTitle,2034)="","",INDEX(BookDivision,2034))</f>
        <v/>
      </c>
      <c r="D2039" s="40" t="str">
        <f aca="false">IF(INDEX(BookTitle,2034)="","",INDEX(BookUnit,2034))</f>
        <v/>
      </c>
      <c r="E2039" s="40" t="str">
        <f aca="false">IF(INDEX(BookTitle,2034)="","",INDEX(BookTitle,2034))</f>
        <v/>
      </c>
      <c r="F2039" s="40" t="str">
        <f aca="false">IF(INDEX(BookTitle,2034)="","",INDEX(BookLevel,2034))</f>
        <v/>
      </c>
      <c r="G2039" s="40" t="str">
        <f aca="false">IF(INDEX(BookTitle,2034)="","",INDEX(BookCategory,2034))</f>
        <v/>
      </c>
      <c r="H2039" s="40" t="str">
        <f aca="false">IF(INDEX(BookTitle,2034)="","",INDEX(BookRank,2034))</f>
        <v/>
      </c>
      <c r="I2039" s="41" t="str">
        <f aca="false">IF(INDEX(BookTitle,2034)="","",INDEX(BookTotal,2034))</f>
        <v/>
      </c>
      <c r="J2039" s="0" t="str">
        <f aca="false">IF($I2039="","",IF(INDEX(BookQ1,2034)&gt;0,"Q1",IF(INDEX(BookQ2,2034)&gt;0,"Q2",IF(INDEX(BookQ3,2034)&gt;0,"Q3",IF(INDEX(BookQ4,2034)&gt;0,"Q4","")))))</f>
        <v/>
      </c>
      <c r="K2039" s="42" t="str">
        <f aca="false">IF(INDEX(BookTitle,2034)="","",INDEX(BookInYear,2034))</f>
        <v/>
      </c>
      <c r="L2039" s="19"/>
      <c r="M2039" s="39"/>
      <c r="N2039" s="19"/>
      <c r="O2039" s="19"/>
      <c r="P2039" s="43" t="str">
        <f aca="false">IF($E2039="","",IF($L2039="Decline",0,IF($L2039="Approve fewer",IF($M2039="","",$M2039),IF($L2039="","",$I2039))))</f>
        <v/>
      </c>
      <c r="Q2039" s="34" t="str">
        <f aca="false">IF($P2039="","",IF($N2039&lt;&gt;"",$N2039,$J2039))</f>
        <v/>
      </c>
      <c r="R2039" s="35" t="str">
        <f aca="false">IF(OR($P2039="",$Q2039=""),"",INDEX(BookRate,2034)*$P2039*(5-MATCH($Q2039,{"Q1";"Q2";"Q3";"Q4"},0))/4+INDEX(BookOneOff,2034)*$P2039)</f>
        <v/>
      </c>
      <c r="S2039" s="35" t="str">
        <f aca="false">IF($P2039="","",INDEX(BookRate,2034)*$P2039)</f>
        <v/>
      </c>
      <c r="T2039" s="35" t="str">
        <f aca="false">IF($R2039="","",$R2039-$K2039)</f>
        <v/>
      </c>
      <c r="U2039" s="35" t="str">
        <f aca="false">IF(N($P2039)&lt;=0,"",COUNTIF($P$6:$P2039,"&gt;0"))</f>
        <v/>
      </c>
    </row>
    <row r="2040" customFormat="false" ht="15" hidden="false" customHeight="false" outlineLevel="0" collapsed="false">
      <c r="A2040" s="40" t="str">
        <f aca="false">IF(INDEX(BookTitle,2035)="","",INDEX(BookGroup,2035))</f>
        <v/>
      </c>
      <c r="B2040" s="40" t="str">
        <f aca="false">IF(INDEX(BookTitle,2035)="","",INDEX(BookRef,2035))</f>
        <v/>
      </c>
      <c r="C2040" s="40" t="str">
        <f aca="false">IF(INDEX(BookTitle,2035)="","",INDEX(BookDivision,2035))</f>
        <v/>
      </c>
      <c r="D2040" s="40" t="str">
        <f aca="false">IF(INDEX(BookTitle,2035)="","",INDEX(BookUnit,2035))</f>
        <v/>
      </c>
      <c r="E2040" s="40" t="str">
        <f aca="false">IF(INDEX(BookTitle,2035)="","",INDEX(BookTitle,2035))</f>
        <v/>
      </c>
      <c r="F2040" s="40" t="str">
        <f aca="false">IF(INDEX(BookTitle,2035)="","",INDEX(BookLevel,2035))</f>
        <v/>
      </c>
      <c r="G2040" s="40" t="str">
        <f aca="false">IF(INDEX(BookTitle,2035)="","",INDEX(BookCategory,2035))</f>
        <v/>
      </c>
      <c r="H2040" s="40" t="str">
        <f aca="false">IF(INDEX(BookTitle,2035)="","",INDEX(BookRank,2035))</f>
        <v/>
      </c>
      <c r="I2040" s="41" t="str">
        <f aca="false">IF(INDEX(BookTitle,2035)="","",INDEX(BookTotal,2035))</f>
        <v/>
      </c>
      <c r="J2040" s="0" t="str">
        <f aca="false">IF($I2040="","",IF(INDEX(BookQ1,2035)&gt;0,"Q1",IF(INDEX(BookQ2,2035)&gt;0,"Q2",IF(INDEX(BookQ3,2035)&gt;0,"Q3",IF(INDEX(BookQ4,2035)&gt;0,"Q4","")))))</f>
        <v/>
      </c>
      <c r="K2040" s="42" t="str">
        <f aca="false">IF(INDEX(BookTitle,2035)="","",INDEX(BookInYear,2035))</f>
        <v/>
      </c>
      <c r="L2040" s="19"/>
      <c r="M2040" s="39"/>
      <c r="N2040" s="19"/>
      <c r="O2040" s="19"/>
      <c r="P2040" s="43" t="str">
        <f aca="false">IF($E2040="","",IF($L2040="Decline",0,IF($L2040="Approve fewer",IF($M2040="","",$M2040),IF($L2040="","",$I2040))))</f>
        <v/>
      </c>
      <c r="Q2040" s="34" t="str">
        <f aca="false">IF($P2040="","",IF($N2040&lt;&gt;"",$N2040,$J2040))</f>
        <v/>
      </c>
      <c r="R2040" s="35" t="str">
        <f aca="false">IF(OR($P2040="",$Q2040=""),"",INDEX(BookRate,2035)*$P2040*(5-MATCH($Q2040,{"Q1";"Q2";"Q3";"Q4"},0))/4+INDEX(BookOneOff,2035)*$P2040)</f>
        <v/>
      </c>
      <c r="S2040" s="35" t="str">
        <f aca="false">IF($P2040="","",INDEX(BookRate,2035)*$P2040)</f>
        <v/>
      </c>
      <c r="T2040" s="35" t="str">
        <f aca="false">IF($R2040="","",$R2040-$K2040)</f>
        <v/>
      </c>
      <c r="U2040" s="35" t="str">
        <f aca="false">IF(N($P2040)&lt;=0,"",COUNTIF($P$6:$P2040,"&gt;0"))</f>
        <v/>
      </c>
    </row>
    <row r="2041" customFormat="false" ht="15" hidden="false" customHeight="false" outlineLevel="0" collapsed="false">
      <c r="A2041" s="40" t="str">
        <f aca="false">IF(INDEX(BookTitle,2036)="","",INDEX(BookGroup,2036))</f>
        <v/>
      </c>
      <c r="B2041" s="40" t="str">
        <f aca="false">IF(INDEX(BookTitle,2036)="","",INDEX(BookRef,2036))</f>
        <v/>
      </c>
      <c r="C2041" s="40" t="str">
        <f aca="false">IF(INDEX(BookTitle,2036)="","",INDEX(BookDivision,2036))</f>
        <v/>
      </c>
      <c r="D2041" s="40" t="str">
        <f aca="false">IF(INDEX(BookTitle,2036)="","",INDEX(BookUnit,2036))</f>
        <v/>
      </c>
      <c r="E2041" s="40" t="str">
        <f aca="false">IF(INDEX(BookTitle,2036)="","",INDEX(BookTitle,2036))</f>
        <v/>
      </c>
      <c r="F2041" s="40" t="str">
        <f aca="false">IF(INDEX(BookTitle,2036)="","",INDEX(BookLevel,2036))</f>
        <v/>
      </c>
      <c r="G2041" s="40" t="str">
        <f aca="false">IF(INDEX(BookTitle,2036)="","",INDEX(BookCategory,2036))</f>
        <v/>
      </c>
      <c r="H2041" s="40" t="str">
        <f aca="false">IF(INDEX(BookTitle,2036)="","",INDEX(BookRank,2036))</f>
        <v/>
      </c>
      <c r="I2041" s="41" t="str">
        <f aca="false">IF(INDEX(BookTitle,2036)="","",INDEX(BookTotal,2036))</f>
        <v/>
      </c>
      <c r="J2041" s="0" t="str">
        <f aca="false">IF($I2041="","",IF(INDEX(BookQ1,2036)&gt;0,"Q1",IF(INDEX(BookQ2,2036)&gt;0,"Q2",IF(INDEX(BookQ3,2036)&gt;0,"Q3",IF(INDEX(BookQ4,2036)&gt;0,"Q4","")))))</f>
        <v/>
      </c>
      <c r="K2041" s="42" t="str">
        <f aca="false">IF(INDEX(BookTitle,2036)="","",INDEX(BookInYear,2036))</f>
        <v/>
      </c>
      <c r="L2041" s="19"/>
      <c r="M2041" s="39"/>
      <c r="N2041" s="19"/>
      <c r="O2041" s="19"/>
      <c r="P2041" s="43" t="str">
        <f aca="false">IF($E2041="","",IF($L2041="Decline",0,IF($L2041="Approve fewer",IF($M2041="","",$M2041),IF($L2041="","",$I2041))))</f>
        <v/>
      </c>
      <c r="Q2041" s="34" t="str">
        <f aca="false">IF($P2041="","",IF($N2041&lt;&gt;"",$N2041,$J2041))</f>
        <v/>
      </c>
      <c r="R2041" s="35" t="str">
        <f aca="false">IF(OR($P2041="",$Q2041=""),"",INDEX(BookRate,2036)*$P2041*(5-MATCH($Q2041,{"Q1";"Q2";"Q3";"Q4"},0))/4+INDEX(BookOneOff,2036)*$P2041)</f>
        <v/>
      </c>
      <c r="S2041" s="35" t="str">
        <f aca="false">IF($P2041="","",INDEX(BookRate,2036)*$P2041)</f>
        <v/>
      </c>
      <c r="T2041" s="35" t="str">
        <f aca="false">IF($R2041="","",$R2041-$K2041)</f>
        <v/>
      </c>
      <c r="U2041" s="35" t="str">
        <f aca="false">IF(N($P2041)&lt;=0,"",COUNTIF($P$6:$P2041,"&gt;0"))</f>
        <v/>
      </c>
    </row>
    <row r="2042" customFormat="false" ht="15" hidden="false" customHeight="false" outlineLevel="0" collapsed="false">
      <c r="A2042" s="40" t="str">
        <f aca="false">IF(INDEX(BookTitle,2037)="","",INDEX(BookGroup,2037))</f>
        <v/>
      </c>
      <c r="B2042" s="40" t="str">
        <f aca="false">IF(INDEX(BookTitle,2037)="","",INDEX(BookRef,2037))</f>
        <v/>
      </c>
      <c r="C2042" s="40" t="str">
        <f aca="false">IF(INDEX(BookTitle,2037)="","",INDEX(BookDivision,2037))</f>
        <v/>
      </c>
      <c r="D2042" s="40" t="str">
        <f aca="false">IF(INDEX(BookTitle,2037)="","",INDEX(BookUnit,2037))</f>
        <v/>
      </c>
      <c r="E2042" s="40" t="str">
        <f aca="false">IF(INDEX(BookTitle,2037)="","",INDEX(BookTitle,2037))</f>
        <v/>
      </c>
      <c r="F2042" s="40" t="str">
        <f aca="false">IF(INDEX(BookTitle,2037)="","",INDEX(BookLevel,2037))</f>
        <v/>
      </c>
      <c r="G2042" s="40" t="str">
        <f aca="false">IF(INDEX(BookTitle,2037)="","",INDEX(BookCategory,2037))</f>
        <v/>
      </c>
      <c r="H2042" s="40" t="str">
        <f aca="false">IF(INDEX(BookTitle,2037)="","",INDEX(BookRank,2037))</f>
        <v/>
      </c>
      <c r="I2042" s="41" t="str">
        <f aca="false">IF(INDEX(BookTitle,2037)="","",INDEX(BookTotal,2037))</f>
        <v/>
      </c>
      <c r="J2042" s="0" t="str">
        <f aca="false">IF($I2042="","",IF(INDEX(BookQ1,2037)&gt;0,"Q1",IF(INDEX(BookQ2,2037)&gt;0,"Q2",IF(INDEX(BookQ3,2037)&gt;0,"Q3",IF(INDEX(BookQ4,2037)&gt;0,"Q4","")))))</f>
        <v/>
      </c>
      <c r="K2042" s="42" t="str">
        <f aca="false">IF(INDEX(BookTitle,2037)="","",INDEX(BookInYear,2037))</f>
        <v/>
      </c>
      <c r="L2042" s="19"/>
      <c r="M2042" s="39"/>
      <c r="N2042" s="19"/>
      <c r="O2042" s="19"/>
      <c r="P2042" s="43" t="str">
        <f aca="false">IF($E2042="","",IF($L2042="Decline",0,IF($L2042="Approve fewer",IF($M2042="","",$M2042),IF($L2042="","",$I2042))))</f>
        <v/>
      </c>
      <c r="Q2042" s="34" t="str">
        <f aca="false">IF($P2042="","",IF($N2042&lt;&gt;"",$N2042,$J2042))</f>
        <v/>
      </c>
      <c r="R2042" s="35" t="str">
        <f aca="false">IF(OR($P2042="",$Q2042=""),"",INDEX(BookRate,2037)*$P2042*(5-MATCH($Q2042,{"Q1";"Q2";"Q3";"Q4"},0))/4+INDEX(BookOneOff,2037)*$P2042)</f>
        <v/>
      </c>
      <c r="S2042" s="35" t="str">
        <f aca="false">IF($P2042="","",INDEX(BookRate,2037)*$P2042)</f>
        <v/>
      </c>
      <c r="T2042" s="35" t="str">
        <f aca="false">IF($R2042="","",$R2042-$K2042)</f>
        <v/>
      </c>
      <c r="U2042" s="35" t="str">
        <f aca="false">IF(N($P2042)&lt;=0,"",COUNTIF($P$6:$P2042,"&gt;0"))</f>
        <v/>
      </c>
    </row>
    <row r="2043" customFormat="false" ht="15" hidden="false" customHeight="false" outlineLevel="0" collapsed="false">
      <c r="A2043" s="40" t="str">
        <f aca="false">IF(INDEX(BookTitle,2038)="","",INDEX(BookGroup,2038))</f>
        <v/>
      </c>
      <c r="B2043" s="40" t="str">
        <f aca="false">IF(INDEX(BookTitle,2038)="","",INDEX(BookRef,2038))</f>
        <v/>
      </c>
      <c r="C2043" s="40" t="str">
        <f aca="false">IF(INDEX(BookTitle,2038)="","",INDEX(BookDivision,2038))</f>
        <v/>
      </c>
      <c r="D2043" s="40" t="str">
        <f aca="false">IF(INDEX(BookTitle,2038)="","",INDEX(BookUnit,2038))</f>
        <v/>
      </c>
      <c r="E2043" s="40" t="str">
        <f aca="false">IF(INDEX(BookTitle,2038)="","",INDEX(BookTitle,2038))</f>
        <v/>
      </c>
      <c r="F2043" s="40" t="str">
        <f aca="false">IF(INDEX(BookTitle,2038)="","",INDEX(BookLevel,2038))</f>
        <v/>
      </c>
      <c r="G2043" s="40" t="str">
        <f aca="false">IF(INDEX(BookTitle,2038)="","",INDEX(BookCategory,2038))</f>
        <v/>
      </c>
      <c r="H2043" s="40" t="str">
        <f aca="false">IF(INDEX(BookTitle,2038)="","",INDEX(BookRank,2038))</f>
        <v/>
      </c>
      <c r="I2043" s="41" t="str">
        <f aca="false">IF(INDEX(BookTitle,2038)="","",INDEX(BookTotal,2038))</f>
        <v/>
      </c>
      <c r="J2043" s="0" t="str">
        <f aca="false">IF($I2043="","",IF(INDEX(BookQ1,2038)&gt;0,"Q1",IF(INDEX(BookQ2,2038)&gt;0,"Q2",IF(INDEX(BookQ3,2038)&gt;0,"Q3",IF(INDEX(BookQ4,2038)&gt;0,"Q4","")))))</f>
        <v/>
      </c>
      <c r="K2043" s="42" t="str">
        <f aca="false">IF(INDEX(BookTitle,2038)="","",INDEX(BookInYear,2038))</f>
        <v/>
      </c>
      <c r="L2043" s="19"/>
      <c r="M2043" s="39"/>
      <c r="N2043" s="19"/>
      <c r="O2043" s="19"/>
      <c r="P2043" s="43" t="str">
        <f aca="false">IF($E2043="","",IF($L2043="Decline",0,IF($L2043="Approve fewer",IF($M2043="","",$M2043),IF($L2043="","",$I2043))))</f>
        <v/>
      </c>
      <c r="Q2043" s="34" t="str">
        <f aca="false">IF($P2043="","",IF($N2043&lt;&gt;"",$N2043,$J2043))</f>
        <v/>
      </c>
      <c r="R2043" s="35" t="str">
        <f aca="false">IF(OR($P2043="",$Q2043=""),"",INDEX(BookRate,2038)*$P2043*(5-MATCH($Q2043,{"Q1";"Q2";"Q3";"Q4"},0))/4+INDEX(BookOneOff,2038)*$P2043)</f>
        <v/>
      </c>
      <c r="S2043" s="35" t="str">
        <f aca="false">IF($P2043="","",INDEX(BookRate,2038)*$P2043)</f>
        <v/>
      </c>
      <c r="T2043" s="35" t="str">
        <f aca="false">IF($R2043="","",$R2043-$K2043)</f>
        <v/>
      </c>
      <c r="U2043" s="35" t="str">
        <f aca="false">IF(N($P2043)&lt;=0,"",COUNTIF($P$6:$P2043,"&gt;0"))</f>
        <v/>
      </c>
    </row>
    <row r="2044" customFormat="false" ht="15" hidden="false" customHeight="false" outlineLevel="0" collapsed="false">
      <c r="A2044" s="40" t="str">
        <f aca="false">IF(INDEX(BookTitle,2039)="","",INDEX(BookGroup,2039))</f>
        <v/>
      </c>
      <c r="B2044" s="40" t="str">
        <f aca="false">IF(INDEX(BookTitle,2039)="","",INDEX(BookRef,2039))</f>
        <v/>
      </c>
      <c r="C2044" s="40" t="str">
        <f aca="false">IF(INDEX(BookTitle,2039)="","",INDEX(BookDivision,2039))</f>
        <v/>
      </c>
      <c r="D2044" s="40" t="str">
        <f aca="false">IF(INDEX(BookTitle,2039)="","",INDEX(BookUnit,2039))</f>
        <v/>
      </c>
      <c r="E2044" s="40" t="str">
        <f aca="false">IF(INDEX(BookTitle,2039)="","",INDEX(BookTitle,2039))</f>
        <v/>
      </c>
      <c r="F2044" s="40" t="str">
        <f aca="false">IF(INDEX(BookTitle,2039)="","",INDEX(BookLevel,2039))</f>
        <v/>
      </c>
      <c r="G2044" s="40" t="str">
        <f aca="false">IF(INDEX(BookTitle,2039)="","",INDEX(BookCategory,2039))</f>
        <v/>
      </c>
      <c r="H2044" s="40" t="str">
        <f aca="false">IF(INDEX(BookTitle,2039)="","",INDEX(BookRank,2039))</f>
        <v/>
      </c>
      <c r="I2044" s="41" t="str">
        <f aca="false">IF(INDEX(BookTitle,2039)="","",INDEX(BookTotal,2039))</f>
        <v/>
      </c>
      <c r="J2044" s="0" t="str">
        <f aca="false">IF($I2044="","",IF(INDEX(BookQ1,2039)&gt;0,"Q1",IF(INDEX(BookQ2,2039)&gt;0,"Q2",IF(INDEX(BookQ3,2039)&gt;0,"Q3",IF(INDEX(BookQ4,2039)&gt;0,"Q4","")))))</f>
        <v/>
      </c>
      <c r="K2044" s="42" t="str">
        <f aca="false">IF(INDEX(BookTitle,2039)="","",INDEX(BookInYear,2039))</f>
        <v/>
      </c>
      <c r="L2044" s="19"/>
      <c r="M2044" s="39"/>
      <c r="N2044" s="19"/>
      <c r="O2044" s="19"/>
      <c r="P2044" s="43" t="str">
        <f aca="false">IF($E2044="","",IF($L2044="Decline",0,IF($L2044="Approve fewer",IF($M2044="","",$M2044),IF($L2044="","",$I2044))))</f>
        <v/>
      </c>
      <c r="Q2044" s="34" t="str">
        <f aca="false">IF($P2044="","",IF($N2044&lt;&gt;"",$N2044,$J2044))</f>
        <v/>
      </c>
      <c r="R2044" s="35" t="str">
        <f aca="false">IF(OR($P2044="",$Q2044=""),"",INDEX(BookRate,2039)*$P2044*(5-MATCH($Q2044,{"Q1";"Q2";"Q3";"Q4"},0))/4+INDEX(BookOneOff,2039)*$P2044)</f>
        <v/>
      </c>
      <c r="S2044" s="35" t="str">
        <f aca="false">IF($P2044="","",INDEX(BookRate,2039)*$P2044)</f>
        <v/>
      </c>
      <c r="T2044" s="35" t="str">
        <f aca="false">IF($R2044="","",$R2044-$K2044)</f>
        <v/>
      </c>
      <c r="U2044" s="35" t="str">
        <f aca="false">IF(N($P2044)&lt;=0,"",COUNTIF($P$6:$P2044,"&gt;0"))</f>
        <v/>
      </c>
    </row>
    <row r="2045" customFormat="false" ht="15" hidden="false" customHeight="false" outlineLevel="0" collapsed="false">
      <c r="A2045" s="40" t="str">
        <f aca="false">IF(INDEX(BookTitle,2040)="","",INDEX(BookGroup,2040))</f>
        <v/>
      </c>
      <c r="B2045" s="40" t="str">
        <f aca="false">IF(INDEX(BookTitle,2040)="","",INDEX(BookRef,2040))</f>
        <v/>
      </c>
      <c r="C2045" s="40" t="str">
        <f aca="false">IF(INDEX(BookTitle,2040)="","",INDEX(BookDivision,2040))</f>
        <v/>
      </c>
      <c r="D2045" s="40" t="str">
        <f aca="false">IF(INDEX(BookTitle,2040)="","",INDEX(BookUnit,2040))</f>
        <v/>
      </c>
      <c r="E2045" s="40" t="str">
        <f aca="false">IF(INDEX(BookTitle,2040)="","",INDEX(BookTitle,2040))</f>
        <v/>
      </c>
      <c r="F2045" s="40" t="str">
        <f aca="false">IF(INDEX(BookTitle,2040)="","",INDEX(BookLevel,2040))</f>
        <v/>
      </c>
      <c r="G2045" s="40" t="str">
        <f aca="false">IF(INDEX(BookTitle,2040)="","",INDEX(BookCategory,2040))</f>
        <v/>
      </c>
      <c r="H2045" s="40" t="str">
        <f aca="false">IF(INDEX(BookTitle,2040)="","",INDEX(BookRank,2040))</f>
        <v/>
      </c>
      <c r="I2045" s="41" t="str">
        <f aca="false">IF(INDEX(BookTitle,2040)="","",INDEX(BookTotal,2040))</f>
        <v/>
      </c>
      <c r="J2045" s="0" t="str">
        <f aca="false">IF($I2045="","",IF(INDEX(BookQ1,2040)&gt;0,"Q1",IF(INDEX(BookQ2,2040)&gt;0,"Q2",IF(INDEX(BookQ3,2040)&gt;0,"Q3",IF(INDEX(BookQ4,2040)&gt;0,"Q4","")))))</f>
        <v/>
      </c>
      <c r="K2045" s="42" t="str">
        <f aca="false">IF(INDEX(BookTitle,2040)="","",INDEX(BookInYear,2040))</f>
        <v/>
      </c>
      <c r="L2045" s="19"/>
      <c r="M2045" s="39"/>
      <c r="N2045" s="19"/>
      <c r="O2045" s="19"/>
      <c r="P2045" s="43" t="str">
        <f aca="false">IF($E2045="","",IF($L2045="Decline",0,IF($L2045="Approve fewer",IF($M2045="","",$M2045),IF($L2045="","",$I2045))))</f>
        <v/>
      </c>
      <c r="Q2045" s="34" t="str">
        <f aca="false">IF($P2045="","",IF($N2045&lt;&gt;"",$N2045,$J2045))</f>
        <v/>
      </c>
      <c r="R2045" s="35" t="str">
        <f aca="false">IF(OR($P2045="",$Q2045=""),"",INDEX(BookRate,2040)*$P2045*(5-MATCH($Q2045,{"Q1";"Q2";"Q3";"Q4"},0))/4+INDEX(BookOneOff,2040)*$P2045)</f>
        <v/>
      </c>
      <c r="S2045" s="35" t="str">
        <f aca="false">IF($P2045="","",INDEX(BookRate,2040)*$P2045)</f>
        <v/>
      </c>
      <c r="T2045" s="35" t="str">
        <f aca="false">IF($R2045="","",$R2045-$K2045)</f>
        <v/>
      </c>
      <c r="U2045" s="35" t="str">
        <f aca="false">IF(N($P2045)&lt;=0,"",COUNTIF($P$6:$P2045,"&gt;0"))</f>
        <v/>
      </c>
    </row>
    <row r="2046" customFormat="false" ht="15" hidden="false" customHeight="false" outlineLevel="0" collapsed="false">
      <c r="A2046" s="40" t="str">
        <f aca="false">IF(INDEX(BookTitle,2041)="","",INDEX(BookGroup,2041))</f>
        <v/>
      </c>
      <c r="B2046" s="40" t="str">
        <f aca="false">IF(INDEX(BookTitle,2041)="","",INDEX(BookRef,2041))</f>
        <v/>
      </c>
      <c r="C2046" s="40" t="str">
        <f aca="false">IF(INDEX(BookTitle,2041)="","",INDEX(BookDivision,2041))</f>
        <v/>
      </c>
      <c r="D2046" s="40" t="str">
        <f aca="false">IF(INDEX(BookTitle,2041)="","",INDEX(BookUnit,2041))</f>
        <v/>
      </c>
      <c r="E2046" s="40" t="str">
        <f aca="false">IF(INDEX(BookTitle,2041)="","",INDEX(BookTitle,2041))</f>
        <v/>
      </c>
      <c r="F2046" s="40" t="str">
        <f aca="false">IF(INDEX(BookTitle,2041)="","",INDEX(BookLevel,2041))</f>
        <v/>
      </c>
      <c r="G2046" s="40" t="str">
        <f aca="false">IF(INDEX(BookTitle,2041)="","",INDEX(BookCategory,2041))</f>
        <v/>
      </c>
      <c r="H2046" s="40" t="str">
        <f aca="false">IF(INDEX(BookTitle,2041)="","",INDEX(BookRank,2041))</f>
        <v/>
      </c>
      <c r="I2046" s="41" t="str">
        <f aca="false">IF(INDEX(BookTitle,2041)="","",INDEX(BookTotal,2041))</f>
        <v/>
      </c>
      <c r="J2046" s="0" t="str">
        <f aca="false">IF($I2046="","",IF(INDEX(BookQ1,2041)&gt;0,"Q1",IF(INDEX(BookQ2,2041)&gt;0,"Q2",IF(INDEX(BookQ3,2041)&gt;0,"Q3",IF(INDEX(BookQ4,2041)&gt;0,"Q4","")))))</f>
        <v/>
      </c>
      <c r="K2046" s="42" t="str">
        <f aca="false">IF(INDEX(BookTitle,2041)="","",INDEX(BookInYear,2041))</f>
        <v/>
      </c>
      <c r="L2046" s="19"/>
      <c r="M2046" s="39"/>
      <c r="N2046" s="19"/>
      <c r="O2046" s="19"/>
      <c r="P2046" s="43" t="str">
        <f aca="false">IF($E2046="","",IF($L2046="Decline",0,IF($L2046="Approve fewer",IF($M2046="","",$M2046),IF($L2046="","",$I2046))))</f>
        <v/>
      </c>
      <c r="Q2046" s="34" t="str">
        <f aca="false">IF($P2046="","",IF($N2046&lt;&gt;"",$N2046,$J2046))</f>
        <v/>
      </c>
      <c r="R2046" s="35" t="str">
        <f aca="false">IF(OR($P2046="",$Q2046=""),"",INDEX(BookRate,2041)*$P2046*(5-MATCH($Q2046,{"Q1";"Q2";"Q3";"Q4"},0))/4+INDEX(BookOneOff,2041)*$P2046)</f>
        <v/>
      </c>
      <c r="S2046" s="35" t="str">
        <f aca="false">IF($P2046="","",INDEX(BookRate,2041)*$P2046)</f>
        <v/>
      </c>
      <c r="T2046" s="35" t="str">
        <f aca="false">IF($R2046="","",$R2046-$K2046)</f>
        <v/>
      </c>
      <c r="U2046" s="35" t="str">
        <f aca="false">IF(N($P2046)&lt;=0,"",COUNTIF($P$6:$P2046,"&gt;0"))</f>
        <v/>
      </c>
    </row>
    <row r="2047" customFormat="false" ht="15" hidden="false" customHeight="false" outlineLevel="0" collapsed="false">
      <c r="A2047" s="40" t="str">
        <f aca="false">IF(INDEX(BookTitle,2042)="","",INDEX(BookGroup,2042))</f>
        <v/>
      </c>
      <c r="B2047" s="40" t="str">
        <f aca="false">IF(INDEX(BookTitle,2042)="","",INDEX(BookRef,2042))</f>
        <v/>
      </c>
      <c r="C2047" s="40" t="str">
        <f aca="false">IF(INDEX(BookTitle,2042)="","",INDEX(BookDivision,2042))</f>
        <v/>
      </c>
      <c r="D2047" s="40" t="str">
        <f aca="false">IF(INDEX(BookTitle,2042)="","",INDEX(BookUnit,2042))</f>
        <v/>
      </c>
      <c r="E2047" s="40" t="str">
        <f aca="false">IF(INDEX(BookTitle,2042)="","",INDEX(BookTitle,2042))</f>
        <v/>
      </c>
      <c r="F2047" s="40" t="str">
        <f aca="false">IF(INDEX(BookTitle,2042)="","",INDEX(BookLevel,2042))</f>
        <v/>
      </c>
      <c r="G2047" s="40" t="str">
        <f aca="false">IF(INDEX(BookTitle,2042)="","",INDEX(BookCategory,2042))</f>
        <v/>
      </c>
      <c r="H2047" s="40" t="str">
        <f aca="false">IF(INDEX(BookTitle,2042)="","",INDEX(BookRank,2042))</f>
        <v/>
      </c>
      <c r="I2047" s="41" t="str">
        <f aca="false">IF(INDEX(BookTitle,2042)="","",INDEX(BookTotal,2042))</f>
        <v/>
      </c>
      <c r="J2047" s="0" t="str">
        <f aca="false">IF($I2047="","",IF(INDEX(BookQ1,2042)&gt;0,"Q1",IF(INDEX(BookQ2,2042)&gt;0,"Q2",IF(INDEX(BookQ3,2042)&gt;0,"Q3",IF(INDEX(BookQ4,2042)&gt;0,"Q4","")))))</f>
        <v/>
      </c>
      <c r="K2047" s="42" t="str">
        <f aca="false">IF(INDEX(BookTitle,2042)="","",INDEX(BookInYear,2042))</f>
        <v/>
      </c>
      <c r="L2047" s="19"/>
      <c r="M2047" s="39"/>
      <c r="N2047" s="19"/>
      <c r="O2047" s="19"/>
      <c r="P2047" s="43" t="str">
        <f aca="false">IF($E2047="","",IF($L2047="Decline",0,IF($L2047="Approve fewer",IF($M2047="","",$M2047),IF($L2047="","",$I2047))))</f>
        <v/>
      </c>
      <c r="Q2047" s="34" t="str">
        <f aca="false">IF($P2047="","",IF($N2047&lt;&gt;"",$N2047,$J2047))</f>
        <v/>
      </c>
      <c r="R2047" s="35" t="str">
        <f aca="false">IF(OR($P2047="",$Q2047=""),"",INDEX(BookRate,2042)*$P2047*(5-MATCH($Q2047,{"Q1";"Q2";"Q3";"Q4"},0))/4+INDEX(BookOneOff,2042)*$P2047)</f>
        <v/>
      </c>
      <c r="S2047" s="35" t="str">
        <f aca="false">IF($P2047="","",INDEX(BookRate,2042)*$P2047)</f>
        <v/>
      </c>
      <c r="T2047" s="35" t="str">
        <f aca="false">IF($R2047="","",$R2047-$K2047)</f>
        <v/>
      </c>
      <c r="U2047" s="35" t="str">
        <f aca="false">IF(N($P2047)&lt;=0,"",COUNTIF($P$6:$P2047,"&gt;0"))</f>
        <v/>
      </c>
    </row>
    <row r="2048" customFormat="false" ht="15" hidden="false" customHeight="false" outlineLevel="0" collapsed="false">
      <c r="A2048" s="40" t="str">
        <f aca="false">IF(INDEX(BookTitle,2043)="","",INDEX(BookGroup,2043))</f>
        <v/>
      </c>
      <c r="B2048" s="40" t="str">
        <f aca="false">IF(INDEX(BookTitle,2043)="","",INDEX(BookRef,2043))</f>
        <v/>
      </c>
      <c r="C2048" s="40" t="str">
        <f aca="false">IF(INDEX(BookTitle,2043)="","",INDEX(BookDivision,2043))</f>
        <v/>
      </c>
      <c r="D2048" s="40" t="str">
        <f aca="false">IF(INDEX(BookTitle,2043)="","",INDEX(BookUnit,2043))</f>
        <v/>
      </c>
      <c r="E2048" s="40" t="str">
        <f aca="false">IF(INDEX(BookTitle,2043)="","",INDEX(BookTitle,2043))</f>
        <v/>
      </c>
      <c r="F2048" s="40" t="str">
        <f aca="false">IF(INDEX(BookTitle,2043)="","",INDEX(BookLevel,2043))</f>
        <v/>
      </c>
      <c r="G2048" s="40" t="str">
        <f aca="false">IF(INDEX(BookTitle,2043)="","",INDEX(BookCategory,2043))</f>
        <v/>
      </c>
      <c r="H2048" s="40" t="str">
        <f aca="false">IF(INDEX(BookTitle,2043)="","",INDEX(BookRank,2043))</f>
        <v/>
      </c>
      <c r="I2048" s="41" t="str">
        <f aca="false">IF(INDEX(BookTitle,2043)="","",INDEX(BookTotal,2043))</f>
        <v/>
      </c>
      <c r="J2048" s="0" t="str">
        <f aca="false">IF($I2048="","",IF(INDEX(BookQ1,2043)&gt;0,"Q1",IF(INDEX(BookQ2,2043)&gt;0,"Q2",IF(INDEX(BookQ3,2043)&gt;0,"Q3",IF(INDEX(BookQ4,2043)&gt;0,"Q4","")))))</f>
        <v/>
      </c>
      <c r="K2048" s="42" t="str">
        <f aca="false">IF(INDEX(BookTitle,2043)="","",INDEX(BookInYear,2043))</f>
        <v/>
      </c>
      <c r="L2048" s="19"/>
      <c r="M2048" s="39"/>
      <c r="N2048" s="19"/>
      <c r="O2048" s="19"/>
      <c r="P2048" s="43" t="str">
        <f aca="false">IF($E2048="","",IF($L2048="Decline",0,IF($L2048="Approve fewer",IF($M2048="","",$M2048),IF($L2048="","",$I2048))))</f>
        <v/>
      </c>
      <c r="Q2048" s="34" t="str">
        <f aca="false">IF($P2048="","",IF($N2048&lt;&gt;"",$N2048,$J2048))</f>
        <v/>
      </c>
      <c r="R2048" s="35" t="str">
        <f aca="false">IF(OR($P2048="",$Q2048=""),"",INDEX(BookRate,2043)*$P2048*(5-MATCH($Q2048,{"Q1";"Q2";"Q3";"Q4"},0))/4+INDEX(BookOneOff,2043)*$P2048)</f>
        <v/>
      </c>
      <c r="S2048" s="35" t="str">
        <f aca="false">IF($P2048="","",INDEX(BookRate,2043)*$P2048)</f>
        <v/>
      </c>
      <c r="T2048" s="35" t="str">
        <f aca="false">IF($R2048="","",$R2048-$K2048)</f>
        <v/>
      </c>
      <c r="U2048" s="35" t="str">
        <f aca="false">IF(N($P2048)&lt;=0,"",COUNTIF($P$6:$P2048,"&gt;0"))</f>
        <v/>
      </c>
    </row>
    <row r="2049" customFormat="false" ht="15" hidden="false" customHeight="false" outlineLevel="0" collapsed="false">
      <c r="A2049" s="40" t="str">
        <f aca="false">IF(INDEX(BookTitle,2044)="","",INDEX(BookGroup,2044))</f>
        <v/>
      </c>
      <c r="B2049" s="40" t="str">
        <f aca="false">IF(INDEX(BookTitle,2044)="","",INDEX(BookRef,2044))</f>
        <v/>
      </c>
      <c r="C2049" s="40" t="str">
        <f aca="false">IF(INDEX(BookTitle,2044)="","",INDEX(BookDivision,2044))</f>
        <v/>
      </c>
      <c r="D2049" s="40" t="str">
        <f aca="false">IF(INDEX(BookTitle,2044)="","",INDEX(BookUnit,2044))</f>
        <v/>
      </c>
      <c r="E2049" s="40" t="str">
        <f aca="false">IF(INDEX(BookTitle,2044)="","",INDEX(BookTitle,2044))</f>
        <v/>
      </c>
      <c r="F2049" s="40" t="str">
        <f aca="false">IF(INDEX(BookTitle,2044)="","",INDEX(BookLevel,2044))</f>
        <v/>
      </c>
      <c r="G2049" s="40" t="str">
        <f aca="false">IF(INDEX(BookTitle,2044)="","",INDEX(BookCategory,2044))</f>
        <v/>
      </c>
      <c r="H2049" s="40" t="str">
        <f aca="false">IF(INDEX(BookTitle,2044)="","",INDEX(BookRank,2044))</f>
        <v/>
      </c>
      <c r="I2049" s="41" t="str">
        <f aca="false">IF(INDEX(BookTitle,2044)="","",INDEX(BookTotal,2044))</f>
        <v/>
      </c>
      <c r="J2049" s="0" t="str">
        <f aca="false">IF($I2049="","",IF(INDEX(BookQ1,2044)&gt;0,"Q1",IF(INDEX(BookQ2,2044)&gt;0,"Q2",IF(INDEX(BookQ3,2044)&gt;0,"Q3",IF(INDEX(BookQ4,2044)&gt;0,"Q4","")))))</f>
        <v/>
      </c>
      <c r="K2049" s="42" t="str">
        <f aca="false">IF(INDEX(BookTitle,2044)="","",INDEX(BookInYear,2044))</f>
        <v/>
      </c>
      <c r="L2049" s="19"/>
      <c r="M2049" s="39"/>
      <c r="N2049" s="19"/>
      <c r="O2049" s="19"/>
      <c r="P2049" s="43" t="str">
        <f aca="false">IF($E2049="","",IF($L2049="Decline",0,IF($L2049="Approve fewer",IF($M2049="","",$M2049),IF($L2049="","",$I2049))))</f>
        <v/>
      </c>
      <c r="Q2049" s="34" t="str">
        <f aca="false">IF($P2049="","",IF($N2049&lt;&gt;"",$N2049,$J2049))</f>
        <v/>
      </c>
      <c r="R2049" s="35" t="str">
        <f aca="false">IF(OR($P2049="",$Q2049=""),"",INDEX(BookRate,2044)*$P2049*(5-MATCH($Q2049,{"Q1";"Q2";"Q3";"Q4"},0))/4+INDEX(BookOneOff,2044)*$P2049)</f>
        <v/>
      </c>
      <c r="S2049" s="35" t="str">
        <f aca="false">IF($P2049="","",INDEX(BookRate,2044)*$P2049)</f>
        <v/>
      </c>
      <c r="T2049" s="35" t="str">
        <f aca="false">IF($R2049="","",$R2049-$K2049)</f>
        <v/>
      </c>
      <c r="U2049" s="35" t="str">
        <f aca="false">IF(N($P2049)&lt;=0,"",COUNTIF($P$6:$P2049,"&gt;0"))</f>
        <v/>
      </c>
    </row>
    <row r="2050" customFormat="false" ht="15" hidden="false" customHeight="false" outlineLevel="0" collapsed="false">
      <c r="A2050" s="40" t="str">
        <f aca="false">IF(INDEX(BookTitle,2045)="","",INDEX(BookGroup,2045))</f>
        <v/>
      </c>
      <c r="B2050" s="40" t="str">
        <f aca="false">IF(INDEX(BookTitle,2045)="","",INDEX(BookRef,2045))</f>
        <v/>
      </c>
      <c r="C2050" s="40" t="str">
        <f aca="false">IF(INDEX(BookTitle,2045)="","",INDEX(BookDivision,2045))</f>
        <v/>
      </c>
      <c r="D2050" s="40" t="str">
        <f aca="false">IF(INDEX(BookTitle,2045)="","",INDEX(BookUnit,2045))</f>
        <v/>
      </c>
      <c r="E2050" s="40" t="str">
        <f aca="false">IF(INDEX(BookTitle,2045)="","",INDEX(BookTitle,2045))</f>
        <v/>
      </c>
      <c r="F2050" s="40" t="str">
        <f aca="false">IF(INDEX(BookTitle,2045)="","",INDEX(BookLevel,2045))</f>
        <v/>
      </c>
      <c r="G2050" s="40" t="str">
        <f aca="false">IF(INDEX(BookTitle,2045)="","",INDEX(BookCategory,2045))</f>
        <v/>
      </c>
      <c r="H2050" s="40" t="str">
        <f aca="false">IF(INDEX(BookTitle,2045)="","",INDEX(BookRank,2045))</f>
        <v/>
      </c>
      <c r="I2050" s="41" t="str">
        <f aca="false">IF(INDEX(BookTitle,2045)="","",INDEX(BookTotal,2045))</f>
        <v/>
      </c>
      <c r="J2050" s="0" t="str">
        <f aca="false">IF($I2050="","",IF(INDEX(BookQ1,2045)&gt;0,"Q1",IF(INDEX(BookQ2,2045)&gt;0,"Q2",IF(INDEX(BookQ3,2045)&gt;0,"Q3",IF(INDEX(BookQ4,2045)&gt;0,"Q4","")))))</f>
        <v/>
      </c>
      <c r="K2050" s="42" t="str">
        <f aca="false">IF(INDEX(BookTitle,2045)="","",INDEX(BookInYear,2045))</f>
        <v/>
      </c>
      <c r="L2050" s="19"/>
      <c r="M2050" s="39"/>
      <c r="N2050" s="19"/>
      <c r="O2050" s="19"/>
      <c r="P2050" s="43" t="str">
        <f aca="false">IF($E2050="","",IF($L2050="Decline",0,IF($L2050="Approve fewer",IF($M2050="","",$M2050),IF($L2050="","",$I2050))))</f>
        <v/>
      </c>
      <c r="Q2050" s="34" t="str">
        <f aca="false">IF($P2050="","",IF($N2050&lt;&gt;"",$N2050,$J2050))</f>
        <v/>
      </c>
      <c r="R2050" s="35" t="str">
        <f aca="false">IF(OR($P2050="",$Q2050=""),"",INDEX(BookRate,2045)*$P2050*(5-MATCH($Q2050,{"Q1";"Q2";"Q3";"Q4"},0))/4+INDEX(BookOneOff,2045)*$P2050)</f>
        <v/>
      </c>
      <c r="S2050" s="35" t="str">
        <f aca="false">IF($P2050="","",INDEX(BookRate,2045)*$P2050)</f>
        <v/>
      </c>
      <c r="T2050" s="35" t="str">
        <f aca="false">IF($R2050="","",$R2050-$K2050)</f>
        <v/>
      </c>
      <c r="U2050" s="35" t="str">
        <f aca="false">IF(N($P2050)&lt;=0,"",COUNTIF($P$6:$P2050,"&gt;0"))</f>
        <v/>
      </c>
    </row>
    <row r="2051" customFormat="false" ht="15" hidden="false" customHeight="false" outlineLevel="0" collapsed="false">
      <c r="A2051" s="40" t="str">
        <f aca="false">IF(INDEX(BookTitle,2046)="","",INDEX(BookGroup,2046))</f>
        <v/>
      </c>
      <c r="B2051" s="40" t="str">
        <f aca="false">IF(INDEX(BookTitle,2046)="","",INDEX(BookRef,2046))</f>
        <v/>
      </c>
      <c r="C2051" s="40" t="str">
        <f aca="false">IF(INDEX(BookTitle,2046)="","",INDEX(BookDivision,2046))</f>
        <v/>
      </c>
      <c r="D2051" s="40" t="str">
        <f aca="false">IF(INDEX(BookTitle,2046)="","",INDEX(BookUnit,2046))</f>
        <v/>
      </c>
      <c r="E2051" s="40" t="str">
        <f aca="false">IF(INDEX(BookTitle,2046)="","",INDEX(BookTitle,2046))</f>
        <v/>
      </c>
      <c r="F2051" s="40" t="str">
        <f aca="false">IF(INDEX(BookTitle,2046)="","",INDEX(BookLevel,2046))</f>
        <v/>
      </c>
      <c r="G2051" s="40" t="str">
        <f aca="false">IF(INDEX(BookTitle,2046)="","",INDEX(BookCategory,2046))</f>
        <v/>
      </c>
      <c r="H2051" s="40" t="str">
        <f aca="false">IF(INDEX(BookTitle,2046)="","",INDEX(BookRank,2046))</f>
        <v/>
      </c>
      <c r="I2051" s="41" t="str">
        <f aca="false">IF(INDEX(BookTitle,2046)="","",INDEX(BookTotal,2046))</f>
        <v/>
      </c>
      <c r="J2051" s="0" t="str">
        <f aca="false">IF($I2051="","",IF(INDEX(BookQ1,2046)&gt;0,"Q1",IF(INDEX(BookQ2,2046)&gt;0,"Q2",IF(INDEX(BookQ3,2046)&gt;0,"Q3",IF(INDEX(BookQ4,2046)&gt;0,"Q4","")))))</f>
        <v/>
      </c>
      <c r="K2051" s="42" t="str">
        <f aca="false">IF(INDEX(BookTitle,2046)="","",INDEX(BookInYear,2046))</f>
        <v/>
      </c>
      <c r="L2051" s="19"/>
      <c r="M2051" s="39"/>
      <c r="N2051" s="19"/>
      <c r="O2051" s="19"/>
      <c r="P2051" s="43" t="str">
        <f aca="false">IF($E2051="","",IF($L2051="Decline",0,IF($L2051="Approve fewer",IF($M2051="","",$M2051),IF($L2051="","",$I2051))))</f>
        <v/>
      </c>
      <c r="Q2051" s="34" t="str">
        <f aca="false">IF($P2051="","",IF($N2051&lt;&gt;"",$N2051,$J2051))</f>
        <v/>
      </c>
      <c r="R2051" s="35" t="str">
        <f aca="false">IF(OR($P2051="",$Q2051=""),"",INDEX(BookRate,2046)*$P2051*(5-MATCH($Q2051,{"Q1";"Q2";"Q3";"Q4"},0))/4+INDEX(BookOneOff,2046)*$P2051)</f>
        <v/>
      </c>
      <c r="S2051" s="35" t="str">
        <f aca="false">IF($P2051="","",INDEX(BookRate,2046)*$P2051)</f>
        <v/>
      </c>
      <c r="T2051" s="35" t="str">
        <f aca="false">IF($R2051="","",$R2051-$K2051)</f>
        <v/>
      </c>
      <c r="U2051" s="35" t="str">
        <f aca="false">IF(N($P2051)&lt;=0,"",COUNTIF($P$6:$P2051,"&gt;0"))</f>
        <v/>
      </c>
    </row>
    <row r="2052" customFormat="false" ht="15" hidden="false" customHeight="false" outlineLevel="0" collapsed="false">
      <c r="A2052" s="40" t="str">
        <f aca="false">IF(INDEX(BookTitle,2047)="","",INDEX(BookGroup,2047))</f>
        <v/>
      </c>
      <c r="B2052" s="40" t="str">
        <f aca="false">IF(INDEX(BookTitle,2047)="","",INDEX(BookRef,2047))</f>
        <v/>
      </c>
      <c r="C2052" s="40" t="str">
        <f aca="false">IF(INDEX(BookTitle,2047)="","",INDEX(BookDivision,2047))</f>
        <v/>
      </c>
      <c r="D2052" s="40" t="str">
        <f aca="false">IF(INDEX(BookTitle,2047)="","",INDEX(BookUnit,2047))</f>
        <v/>
      </c>
      <c r="E2052" s="40" t="str">
        <f aca="false">IF(INDEX(BookTitle,2047)="","",INDEX(BookTitle,2047))</f>
        <v/>
      </c>
      <c r="F2052" s="40" t="str">
        <f aca="false">IF(INDEX(BookTitle,2047)="","",INDEX(BookLevel,2047))</f>
        <v/>
      </c>
      <c r="G2052" s="40" t="str">
        <f aca="false">IF(INDEX(BookTitle,2047)="","",INDEX(BookCategory,2047))</f>
        <v/>
      </c>
      <c r="H2052" s="40" t="str">
        <f aca="false">IF(INDEX(BookTitle,2047)="","",INDEX(BookRank,2047))</f>
        <v/>
      </c>
      <c r="I2052" s="41" t="str">
        <f aca="false">IF(INDEX(BookTitle,2047)="","",INDEX(BookTotal,2047))</f>
        <v/>
      </c>
      <c r="J2052" s="0" t="str">
        <f aca="false">IF($I2052="","",IF(INDEX(BookQ1,2047)&gt;0,"Q1",IF(INDEX(BookQ2,2047)&gt;0,"Q2",IF(INDEX(BookQ3,2047)&gt;0,"Q3",IF(INDEX(BookQ4,2047)&gt;0,"Q4","")))))</f>
        <v/>
      </c>
      <c r="K2052" s="42" t="str">
        <f aca="false">IF(INDEX(BookTitle,2047)="","",INDEX(BookInYear,2047))</f>
        <v/>
      </c>
      <c r="L2052" s="19"/>
      <c r="M2052" s="39"/>
      <c r="N2052" s="19"/>
      <c r="O2052" s="19"/>
      <c r="P2052" s="43" t="str">
        <f aca="false">IF($E2052="","",IF($L2052="Decline",0,IF($L2052="Approve fewer",IF($M2052="","",$M2052),IF($L2052="","",$I2052))))</f>
        <v/>
      </c>
      <c r="Q2052" s="34" t="str">
        <f aca="false">IF($P2052="","",IF($N2052&lt;&gt;"",$N2052,$J2052))</f>
        <v/>
      </c>
      <c r="R2052" s="35" t="str">
        <f aca="false">IF(OR($P2052="",$Q2052=""),"",INDEX(BookRate,2047)*$P2052*(5-MATCH($Q2052,{"Q1";"Q2";"Q3";"Q4"},0))/4+INDEX(BookOneOff,2047)*$P2052)</f>
        <v/>
      </c>
      <c r="S2052" s="35" t="str">
        <f aca="false">IF($P2052="","",INDEX(BookRate,2047)*$P2052)</f>
        <v/>
      </c>
      <c r="T2052" s="35" t="str">
        <f aca="false">IF($R2052="","",$R2052-$K2052)</f>
        <v/>
      </c>
      <c r="U2052" s="35" t="str">
        <f aca="false">IF(N($P2052)&lt;=0,"",COUNTIF($P$6:$P2052,"&gt;0"))</f>
        <v/>
      </c>
    </row>
    <row r="2053" customFormat="false" ht="15" hidden="false" customHeight="false" outlineLevel="0" collapsed="false">
      <c r="A2053" s="40" t="str">
        <f aca="false">IF(INDEX(BookTitle,2048)="","",INDEX(BookGroup,2048))</f>
        <v/>
      </c>
      <c r="B2053" s="40" t="str">
        <f aca="false">IF(INDEX(BookTitle,2048)="","",INDEX(BookRef,2048))</f>
        <v/>
      </c>
      <c r="C2053" s="40" t="str">
        <f aca="false">IF(INDEX(BookTitle,2048)="","",INDEX(BookDivision,2048))</f>
        <v/>
      </c>
      <c r="D2053" s="40" t="str">
        <f aca="false">IF(INDEX(BookTitle,2048)="","",INDEX(BookUnit,2048))</f>
        <v/>
      </c>
      <c r="E2053" s="40" t="str">
        <f aca="false">IF(INDEX(BookTitle,2048)="","",INDEX(BookTitle,2048))</f>
        <v/>
      </c>
      <c r="F2053" s="40" t="str">
        <f aca="false">IF(INDEX(BookTitle,2048)="","",INDEX(BookLevel,2048))</f>
        <v/>
      </c>
      <c r="G2053" s="40" t="str">
        <f aca="false">IF(INDEX(BookTitle,2048)="","",INDEX(BookCategory,2048))</f>
        <v/>
      </c>
      <c r="H2053" s="40" t="str">
        <f aca="false">IF(INDEX(BookTitle,2048)="","",INDEX(BookRank,2048))</f>
        <v/>
      </c>
      <c r="I2053" s="41" t="str">
        <f aca="false">IF(INDEX(BookTitle,2048)="","",INDEX(BookTotal,2048))</f>
        <v/>
      </c>
      <c r="J2053" s="0" t="str">
        <f aca="false">IF($I2053="","",IF(INDEX(BookQ1,2048)&gt;0,"Q1",IF(INDEX(BookQ2,2048)&gt;0,"Q2",IF(INDEX(BookQ3,2048)&gt;0,"Q3",IF(INDEX(BookQ4,2048)&gt;0,"Q4","")))))</f>
        <v/>
      </c>
      <c r="K2053" s="42" t="str">
        <f aca="false">IF(INDEX(BookTitle,2048)="","",INDEX(BookInYear,2048))</f>
        <v/>
      </c>
      <c r="L2053" s="19"/>
      <c r="M2053" s="39"/>
      <c r="N2053" s="19"/>
      <c r="O2053" s="19"/>
      <c r="P2053" s="43" t="str">
        <f aca="false">IF($E2053="","",IF($L2053="Decline",0,IF($L2053="Approve fewer",IF($M2053="","",$M2053),IF($L2053="","",$I2053))))</f>
        <v/>
      </c>
      <c r="Q2053" s="34" t="str">
        <f aca="false">IF($P2053="","",IF($N2053&lt;&gt;"",$N2053,$J2053))</f>
        <v/>
      </c>
      <c r="R2053" s="35" t="str">
        <f aca="false">IF(OR($P2053="",$Q2053=""),"",INDEX(BookRate,2048)*$P2053*(5-MATCH($Q2053,{"Q1";"Q2";"Q3";"Q4"},0))/4+INDEX(BookOneOff,2048)*$P2053)</f>
        <v/>
      </c>
      <c r="S2053" s="35" t="str">
        <f aca="false">IF($P2053="","",INDEX(BookRate,2048)*$P2053)</f>
        <v/>
      </c>
      <c r="T2053" s="35" t="str">
        <f aca="false">IF($R2053="","",$R2053-$K2053)</f>
        <v/>
      </c>
      <c r="U2053" s="35" t="str">
        <f aca="false">IF(N($P2053)&lt;=0,"",COUNTIF($P$6:$P2053,"&gt;0"))</f>
        <v/>
      </c>
    </row>
    <row r="2054" customFormat="false" ht="15" hidden="false" customHeight="false" outlineLevel="0" collapsed="false">
      <c r="A2054" s="40" t="str">
        <f aca="false">IF(INDEX(BookTitle,2049)="","",INDEX(BookGroup,2049))</f>
        <v/>
      </c>
      <c r="B2054" s="40" t="str">
        <f aca="false">IF(INDEX(BookTitle,2049)="","",INDEX(BookRef,2049))</f>
        <v/>
      </c>
      <c r="C2054" s="40" t="str">
        <f aca="false">IF(INDEX(BookTitle,2049)="","",INDEX(BookDivision,2049))</f>
        <v/>
      </c>
      <c r="D2054" s="40" t="str">
        <f aca="false">IF(INDEX(BookTitle,2049)="","",INDEX(BookUnit,2049))</f>
        <v/>
      </c>
      <c r="E2054" s="40" t="str">
        <f aca="false">IF(INDEX(BookTitle,2049)="","",INDEX(BookTitle,2049))</f>
        <v/>
      </c>
      <c r="F2054" s="40" t="str">
        <f aca="false">IF(INDEX(BookTitle,2049)="","",INDEX(BookLevel,2049))</f>
        <v/>
      </c>
      <c r="G2054" s="40" t="str">
        <f aca="false">IF(INDEX(BookTitle,2049)="","",INDEX(BookCategory,2049))</f>
        <v/>
      </c>
      <c r="H2054" s="40" t="str">
        <f aca="false">IF(INDEX(BookTitle,2049)="","",INDEX(BookRank,2049))</f>
        <v/>
      </c>
      <c r="I2054" s="41" t="str">
        <f aca="false">IF(INDEX(BookTitle,2049)="","",INDEX(BookTotal,2049))</f>
        <v/>
      </c>
      <c r="J2054" s="0" t="str">
        <f aca="false">IF($I2054="","",IF(INDEX(BookQ1,2049)&gt;0,"Q1",IF(INDEX(BookQ2,2049)&gt;0,"Q2",IF(INDEX(BookQ3,2049)&gt;0,"Q3",IF(INDEX(BookQ4,2049)&gt;0,"Q4","")))))</f>
        <v/>
      </c>
      <c r="K2054" s="42" t="str">
        <f aca="false">IF(INDEX(BookTitle,2049)="","",INDEX(BookInYear,2049))</f>
        <v/>
      </c>
      <c r="L2054" s="19"/>
      <c r="M2054" s="39"/>
      <c r="N2054" s="19"/>
      <c r="O2054" s="19"/>
      <c r="P2054" s="43" t="str">
        <f aca="false">IF($E2054="","",IF($L2054="Decline",0,IF($L2054="Approve fewer",IF($M2054="","",$M2054),IF($L2054="","",$I2054))))</f>
        <v/>
      </c>
      <c r="Q2054" s="34" t="str">
        <f aca="false">IF($P2054="","",IF($N2054&lt;&gt;"",$N2054,$J2054))</f>
        <v/>
      </c>
      <c r="R2054" s="35" t="str">
        <f aca="false">IF(OR($P2054="",$Q2054=""),"",INDEX(BookRate,2049)*$P2054*(5-MATCH($Q2054,{"Q1";"Q2";"Q3";"Q4"},0))/4+INDEX(BookOneOff,2049)*$P2054)</f>
        <v/>
      </c>
      <c r="S2054" s="35" t="str">
        <f aca="false">IF($P2054="","",INDEX(BookRate,2049)*$P2054)</f>
        <v/>
      </c>
      <c r="T2054" s="35" t="str">
        <f aca="false">IF($R2054="","",$R2054-$K2054)</f>
        <v/>
      </c>
      <c r="U2054" s="35" t="str">
        <f aca="false">IF(N($P2054)&lt;=0,"",COUNTIF($P$6:$P2054,"&gt;0"))</f>
        <v/>
      </c>
    </row>
    <row r="2055" customFormat="false" ht="15" hidden="false" customHeight="false" outlineLevel="0" collapsed="false">
      <c r="A2055" s="40" t="str">
        <f aca="false">IF(INDEX(BookTitle,2050)="","",INDEX(BookGroup,2050))</f>
        <v/>
      </c>
      <c r="B2055" s="40" t="str">
        <f aca="false">IF(INDEX(BookTitle,2050)="","",INDEX(BookRef,2050))</f>
        <v/>
      </c>
      <c r="C2055" s="40" t="str">
        <f aca="false">IF(INDEX(BookTitle,2050)="","",INDEX(BookDivision,2050))</f>
        <v/>
      </c>
      <c r="D2055" s="40" t="str">
        <f aca="false">IF(INDEX(BookTitle,2050)="","",INDEX(BookUnit,2050))</f>
        <v/>
      </c>
      <c r="E2055" s="40" t="str">
        <f aca="false">IF(INDEX(BookTitle,2050)="","",INDEX(BookTitle,2050))</f>
        <v/>
      </c>
      <c r="F2055" s="40" t="str">
        <f aca="false">IF(INDEX(BookTitle,2050)="","",INDEX(BookLevel,2050))</f>
        <v/>
      </c>
      <c r="G2055" s="40" t="str">
        <f aca="false">IF(INDEX(BookTitle,2050)="","",INDEX(BookCategory,2050))</f>
        <v/>
      </c>
      <c r="H2055" s="40" t="str">
        <f aca="false">IF(INDEX(BookTitle,2050)="","",INDEX(BookRank,2050))</f>
        <v/>
      </c>
      <c r="I2055" s="41" t="str">
        <f aca="false">IF(INDEX(BookTitle,2050)="","",INDEX(BookTotal,2050))</f>
        <v/>
      </c>
      <c r="J2055" s="0" t="str">
        <f aca="false">IF($I2055="","",IF(INDEX(BookQ1,2050)&gt;0,"Q1",IF(INDEX(BookQ2,2050)&gt;0,"Q2",IF(INDEX(BookQ3,2050)&gt;0,"Q3",IF(INDEX(BookQ4,2050)&gt;0,"Q4","")))))</f>
        <v/>
      </c>
      <c r="K2055" s="42" t="str">
        <f aca="false">IF(INDEX(BookTitle,2050)="","",INDEX(BookInYear,2050))</f>
        <v/>
      </c>
      <c r="L2055" s="19"/>
      <c r="M2055" s="39"/>
      <c r="N2055" s="19"/>
      <c r="O2055" s="19"/>
      <c r="P2055" s="43" t="str">
        <f aca="false">IF($E2055="","",IF($L2055="Decline",0,IF($L2055="Approve fewer",IF($M2055="","",$M2055),IF($L2055="","",$I2055))))</f>
        <v/>
      </c>
      <c r="Q2055" s="34" t="str">
        <f aca="false">IF($P2055="","",IF($N2055&lt;&gt;"",$N2055,$J2055))</f>
        <v/>
      </c>
      <c r="R2055" s="35" t="str">
        <f aca="false">IF(OR($P2055="",$Q2055=""),"",INDEX(BookRate,2050)*$P2055*(5-MATCH($Q2055,{"Q1";"Q2";"Q3";"Q4"},0))/4+INDEX(BookOneOff,2050)*$P2055)</f>
        <v/>
      </c>
      <c r="S2055" s="35" t="str">
        <f aca="false">IF($P2055="","",INDEX(BookRate,2050)*$P2055)</f>
        <v/>
      </c>
      <c r="T2055" s="35" t="str">
        <f aca="false">IF($R2055="","",$R2055-$K2055)</f>
        <v/>
      </c>
      <c r="U2055" s="35" t="str">
        <f aca="false">IF(N($P2055)&lt;=0,"",COUNTIF($P$6:$P2055,"&gt;0"))</f>
        <v/>
      </c>
    </row>
    <row r="2056" customFormat="false" ht="15" hidden="false" customHeight="false" outlineLevel="0" collapsed="false">
      <c r="A2056" s="40" t="str">
        <f aca="false">IF(INDEX(BookTitle,2051)="","",INDEX(BookGroup,2051))</f>
        <v/>
      </c>
      <c r="B2056" s="40" t="str">
        <f aca="false">IF(INDEX(BookTitle,2051)="","",INDEX(BookRef,2051))</f>
        <v/>
      </c>
      <c r="C2056" s="40" t="str">
        <f aca="false">IF(INDEX(BookTitle,2051)="","",INDEX(BookDivision,2051))</f>
        <v/>
      </c>
      <c r="D2056" s="40" t="str">
        <f aca="false">IF(INDEX(BookTitle,2051)="","",INDEX(BookUnit,2051))</f>
        <v/>
      </c>
      <c r="E2056" s="40" t="str">
        <f aca="false">IF(INDEX(BookTitle,2051)="","",INDEX(BookTitle,2051))</f>
        <v/>
      </c>
      <c r="F2056" s="40" t="str">
        <f aca="false">IF(INDEX(BookTitle,2051)="","",INDEX(BookLevel,2051))</f>
        <v/>
      </c>
      <c r="G2056" s="40" t="str">
        <f aca="false">IF(INDEX(BookTitle,2051)="","",INDEX(BookCategory,2051))</f>
        <v/>
      </c>
      <c r="H2056" s="40" t="str">
        <f aca="false">IF(INDEX(BookTitle,2051)="","",INDEX(BookRank,2051))</f>
        <v/>
      </c>
      <c r="I2056" s="41" t="str">
        <f aca="false">IF(INDEX(BookTitle,2051)="","",INDEX(BookTotal,2051))</f>
        <v/>
      </c>
      <c r="J2056" s="0" t="str">
        <f aca="false">IF($I2056="","",IF(INDEX(BookQ1,2051)&gt;0,"Q1",IF(INDEX(BookQ2,2051)&gt;0,"Q2",IF(INDEX(BookQ3,2051)&gt;0,"Q3",IF(INDEX(BookQ4,2051)&gt;0,"Q4","")))))</f>
        <v/>
      </c>
      <c r="K2056" s="42" t="str">
        <f aca="false">IF(INDEX(BookTitle,2051)="","",INDEX(BookInYear,2051))</f>
        <v/>
      </c>
      <c r="L2056" s="19"/>
      <c r="M2056" s="39"/>
      <c r="N2056" s="19"/>
      <c r="O2056" s="19"/>
      <c r="P2056" s="43" t="str">
        <f aca="false">IF($E2056="","",IF($L2056="Decline",0,IF($L2056="Approve fewer",IF($M2056="","",$M2056),IF($L2056="","",$I2056))))</f>
        <v/>
      </c>
      <c r="Q2056" s="34" t="str">
        <f aca="false">IF($P2056="","",IF($N2056&lt;&gt;"",$N2056,$J2056))</f>
        <v/>
      </c>
      <c r="R2056" s="35" t="str">
        <f aca="false">IF(OR($P2056="",$Q2056=""),"",INDEX(BookRate,2051)*$P2056*(5-MATCH($Q2056,{"Q1";"Q2";"Q3";"Q4"},0))/4+INDEX(BookOneOff,2051)*$P2056)</f>
        <v/>
      </c>
      <c r="S2056" s="35" t="str">
        <f aca="false">IF($P2056="","",INDEX(BookRate,2051)*$P2056)</f>
        <v/>
      </c>
      <c r="T2056" s="35" t="str">
        <f aca="false">IF($R2056="","",$R2056-$K2056)</f>
        <v/>
      </c>
      <c r="U2056" s="35" t="str">
        <f aca="false">IF(N($P2056)&lt;=0,"",COUNTIF($P$6:$P2056,"&gt;0"))</f>
        <v/>
      </c>
    </row>
    <row r="2057" customFormat="false" ht="15" hidden="false" customHeight="false" outlineLevel="0" collapsed="false">
      <c r="A2057" s="40" t="str">
        <f aca="false">IF(INDEX(BookTitle,2052)="","",INDEX(BookGroup,2052))</f>
        <v/>
      </c>
      <c r="B2057" s="40" t="str">
        <f aca="false">IF(INDEX(BookTitle,2052)="","",INDEX(BookRef,2052))</f>
        <v/>
      </c>
      <c r="C2057" s="40" t="str">
        <f aca="false">IF(INDEX(BookTitle,2052)="","",INDEX(BookDivision,2052))</f>
        <v/>
      </c>
      <c r="D2057" s="40" t="str">
        <f aca="false">IF(INDEX(BookTitle,2052)="","",INDEX(BookUnit,2052))</f>
        <v/>
      </c>
      <c r="E2057" s="40" t="str">
        <f aca="false">IF(INDEX(BookTitle,2052)="","",INDEX(BookTitle,2052))</f>
        <v/>
      </c>
      <c r="F2057" s="40" t="str">
        <f aca="false">IF(INDEX(BookTitle,2052)="","",INDEX(BookLevel,2052))</f>
        <v/>
      </c>
      <c r="G2057" s="40" t="str">
        <f aca="false">IF(INDEX(BookTitle,2052)="","",INDEX(BookCategory,2052))</f>
        <v/>
      </c>
      <c r="H2057" s="40" t="str">
        <f aca="false">IF(INDEX(BookTitle,2052)="","",INDEX(BookRank,2052))</f>
        <v/>
      </c>
      <c r="I2057" s="41" t="str">
        <f aca="false">IF(INDEX(BookTitle,2052)="","",INDEX(BookTotal,2052))</f>
        <v/>
      </c>
      <c r="J2057" s="0" t="str">
        <f aca="false">IF($I2057="","",IF(INDEX(BookQ1,2052)&gt;0,"Q1",IF(INDEX(BookQ2,2052)&gt;0,"Q2",IF(INDEX(BookQ3,2052)&gt;0,"Q3",IF(INDEX(BookQ4,2052)&gt;0,"Q4","")))))</f>
        <v/>
      </c>
      <c r="K2057" s="42" t="str">
        <f aca="false">IF(INDEX(BookTitle,2052)="","",INDEX(BookInYear,2052))</f>
        <v/>
      </c>
      <c r="L2057" s="19"/>
      <c r="M2057" s="39"/>
      <c r="N2057" s="19"/>
      <c r="O2057" s="19"/>
      <c r="P2057" s="43" t="str">
        <f aca="false">IF($E2057="","",IF($L2057="Decline",0,IF($L2057="Approve fewer",IF($M2057="","",$M2057),IF($L2057="","",$I2057))))</f>
        <v/>
      </c>
      <c r="Q2057" s="34" t="str">
        <f aca="false">IF($P2057="","",IF($N2057&lt;&gt;"",$N2057,$J2057))</f>
        <v/>
      </c>
      <c r="R2057" s="35" t="str">
        <f aca="false">IF(OR($P2057="",$Q2057=""),"",INDEX(BookRate,2052)*$P2057*(5-MATCH($Q2057,{"Q1";"Q2";"Q3";"Q4"},0))/4+INDEX(BookOneOff,2052)*$P2057)</f>
        <v/>
      </c>
      <c r="S2057" s="35" t="str">
        <f aca="false">IF($P2057="","",INDEX(BookRate,2052)*$P2057)</f>
        <v/>
      </c>
      <c r="T2057" s="35" t="str">
        <f aca="false">IF($R2057="","",$R2057-$K2057)</f>
        <v/>
      </c>
      <c r="U2057" s="35" t="str">
        <f aca="false">IF(N($P2057)&lt;=0,"",COUNTIF($P$6:$P2057,"&gt;0"))</f>
        <v/>
      </c>
    </row>
    <row r="2058" customFormat="false" ht="15" hidden="false" customHeight="false" outlineLevel="0" collapsed="false">
      <c r="A2058" s="40" t="str">
        <f aca="false">IF(INDEX(BookTitle,2053)="","",INDEX(BookGroup,2053))</f>
        <v/>
      </c>
      <c r="B2058" s="40" t="str">
        <f aca="false">IF(INDEX(BookTitle,2053)="","",INDEX(BookRef,2053))</f>
        <v/>
      </c>
      <c r="C2058" s="40" t="str">
        <f aca="false">IF(INDEX(BookTitle,2053)="","",INDEX(BookDivision,2053))</f>
        <v/>
      </c>
      <c r="D2058" s="40" t="str">
        <f aca="false">IF(INDEX(BookTitle,2053)="","",INDEX(BookUnit,2053))</f>
        <v/>
      </c>
      <c r="E2058" s="40" t="str">
        <f aca="false">IF(INDEX(BookTitle,2053)="","",INDEX(BookTitle,2053))</f>
        <v/>
      </c>
      <c r="F2058" s="40" t="str">
        <f aca="false">IF(INDEX(BookTitle,2053)="","",INDEX(BookLevel,2053))</f>
        <v/>
      </c>
      <c r="G2058" s="40" t="str">
        <f aca="false">IF(INDEX(BookTitle,2053)="","",INDEX(BookCategory,2053))</f>
        <v/>
      </c>
      <c r="H2058" s="40" t="str">
        <f aca="false">IF(INDEX(BookTitle,2053)="","",INDEX(BookRank,2053))</f>
        <v/>
      </c>
      <c r="I2058" s="41" t="str">
        <f aca="false">IF(INDEX(BookTitle,2053)="","",INDEX(BookTotal,2053))</f>
        <v/>
      </c>
      <c r="J2058" s="0" t="str">
        <f aca="false">IF($I2058="","",IF(INDEX(BookQ1,2053)&gt;0,"Q1",IF(INDEX(BookQ2,2053)&gt;0,"Q2",IF(INDEX(BookQ3,2053)&gt;0,"Q3",IF(INDEX(BookQ4,2053)&gt;0,"Q4","")))))</f>
        <v/>
      </c>
      <c r="K2058" s="42" t="str">
        <f aca="false">IF(INDEX(BookTitle,2053)="","",INDEX(BookInYear,2053))</f>
        <v/>
      </c>
      <c r="L2058" s="19"/>
      <c r="M2058" s="39"/>
      <c r="N2058" s="19"/>
      <c r="O2058" s="19"/>
      <c r="P2058" s="43" t="str">
        <f aca="false">IF($E2058="","",IF($L2058="Decline",0,IF($L2058="Approve fewer",IF($M2058="","",$M2058),IF($L2058="","",$I2058))))</f>
        <v/>
      </c>
      <c r="Q2058" s="34" t="str">
        <f aca="false">IF($P2058="","",IF($N2058&lt;&gt;"",$N2058,$J2058))</f>
        <v/>
      </c>
      <c r="R2058" s="35" t="str">
        <f aca="false">IF(OR($P2058="",$Q2058=""),"",INDEX(BookRate,2053)*$P2058*(5-MATCH($Q2058,{"Q1";"Q2";"Q3";"Q4"},0))/4+INDEX(BookOneOff,2053)*$P2058)</f>
        <v/>
      </c>
      <c r="S2058" s="35" t="str">
        <f aca="false">IF($P2058="","",INDEX(BookRate,2053)*$P2058)</f>
        <v/>
      </c>
      <c r="T2058" s="35" t="str">
        <f aca="false">IF($R2058="","",$R2058-$K2058)</f>
        <v/>
      </c>
      <c r="U2058" s="35" t="str">
        <f aca="false">IF(N($P2058)&lt;=0,"",COUNTIF($P$6:$P2058,"&gt;0"))</f>
        <v/>
      </c>
    </row>
    <row r="2059" customFormat="false" ht="15" hidden="false" customHeight="false" outlineLevel="0" collapsed="false">
      <c r="A2059" s="40" t="str">
        <f aca="false">IF(INDEX(BookTitle,2054)="","",INDEX(BookGroup,2054))</f>
        <v/>
      </c>
      <c r="B2059" s="40" t="str">
        <f aca="false">IF(INDEX(BookTitle,2054)="","",INDEX(BookRef,2054))</f>
        <v/>
      </c>
      <c r="C2059" s="40" t="str">
        <f aca="false">IF(INDEX(BookTitle,2054)="","",INDEX(BookDivision,2054))</f>
        <v/>
      </c>
      <c r="D2059" s="40" t="str">
        <f aca="false">IF(INDEX(BookTitle,2054)="","",INDEX(BookUnit,2054))</f>
        <v/>
      </c>
      <c r="E2059" s="40" t="str">
        <f aca="false">IF(INDEX(BookTitle,2054)="","",INDEX(BookTitle,2054))</f>
        <v/>
      </c>
      <c r="F2059" s="40" t="str">
        <f aca="false">IF(INDEX(BookTitle,2054)="","",INDEX(BookLevel,2054))</f>
        <v/>
      </c>
      <c r="G2059" s="40" t="str">
        <f aca="false">IF(INDEX(BookTitle,2054)="","",INDEX(BookCategory,2054))</f>
        <v/>
      </c>
      <c r="H2059" s="40" t="str">
        <f aca="false">IF(INDEX(BookTitle,2054)="","",INDEX(BookRank,2054))</f>
        <v/>
      </c>
      <c r="I2059" s="41" t="str">
        <f aca="false">IF(INDEX(BookTitle,2054)="","",INDEX(BookTotal,2054))</f>
        <v/>
      </c>
      <c r="J2059" s="0" t="str">
        <f aca="false">IF($I2059="","",IF(INDEX(BookQ1,2054)&gt;0,"Q1",IF(INDEX(BookQ2,2054)&gt;0,"Q2",IF(INDEX(BookQ3,2054)&gt;0,"Q3",IF(INDEX(BookQ4,2054)&gt;0,"Q4","")))))</f>
        <v/>
      </c>
      <c r="K2059" s="42" t="str">
        <f aca="false">IF(INDEX(BookTitle,2054)="","",INDEX(BookInYear,2054))</f>
        <v/>
      </c>
      <c r="L2059" s="19"/>
      <c r="M2059" s="39"/>
      <c r="N2059" s="19"/>
      <c r="O2059" s="19"/>
      <c r="P2059" s="43" t="str">
        <f aca="false">IF($E2059="","",IF($L2059="Decline",0,IF($L2059="Approve fewer",IF($M2059="","",$M2059),IF($L2059="","",$I2059))))</f>
        <v/>
      </c>
      <c r="Q2059" s="34" t="str">
        <f aca="false">IF($P2059="","",IF($N2059&lt;&gt;"",$N2059,$J2059))</f>
        <v/>
      </c>
      <c r="R2059" s="35" t="str">
        <f aca="false">IF(OR($P2059="",$Q2059=""),"",INDEX(BookRate,2054)*$P2059*(5-MATCH($Q2059,{"Q1";"Q2";"Q3";"Q4"},0))/4+INDEX(BookOneOff,2054)*$P2059)</f>
        <v/>
      </c>
      <c r="S2059" s="35" t="str">
        <f aca="false">IF($P2059="","",INDEX(BookRate,2054)*$P2059)</f>
        <v/>
      </c>
      <c r="T2059" s="35" t="str">
        <f aca="false">IF($R2059="","",$R2059-$K2059)</f>
        <v/>
      </c>
      <c r="U2059" s="35" t="str">
        <f aca="false">IF(N($P2059)&lt;=0,"",COUNTIF($P$6:$P2059,"&gt;0"))</f>
        <v/>
      </c>
    </row>
    <row r="2060" customFormat="false" ht="15" hidden="false" customHeight="false" outlineLevel="0" collapsed="false">
      <c r="A2060" s="40" t="str">
        <f aca="false">IF(INDEX(BookTitle,2055)="","",INDEX(BookGroup,2055))</f>
        <v/>
      </c>
      <c r="B2060" s="40" t="str">
        <f aca="false">IF(INDEX(BookTitle,2055)="","",INDEX(BookRef,2055))</f>
        <v/>
      </c>
      <c r="C2060" s="40" t="str">
        <f aca="false">IF(INDEX(BookTitle,2055)="","",INDEX(BookDivision,2055))</f>
        <v/>
      </c>
      <c r="D2060" s="40" t="str">
        <f aca="false">IF(INDEX(BookTitle,2055)="","",INDEX(BookUnit,2055))</f>
        <v/>
      </c>
      <c r="E2060" s="40" t="str">
        <f aca="false">IF(INDEX(BookTitle,2055)="","",INDEX(BookTitle,2055))</f>
        <v/>
      </c>
      <c r="F2060" s="40" t="str">
        <f aca="false">IF(INDEX(BookTitle,2055)="","",INDEX(BookLevel,2055))</f>
        <v/>
      </c>
      <c r="G2060" s="40" t="str">
        <f aca="false">IF(INDEX(BookTitle,2055)="","",INDEX(BookCategory,2055))</f>
        <v/>
      </c>
      <c r="H2060" s="40" t="str">
        <f aca="false">IF(INDEX(BookTitle,2055)="","",INDEX(BookRank,2055))</f>
        <v/>
      </c>
      <c r="I2060" s="41" t="str">
        <f aca="false">IF(INDEX(BookTitle,2055)="","",INDEX(BookTotal,2055))</f>
        <v/>
      </c>
      <c r="J2060" s="0" t="str">
        <f aca="false">IF($I2060="","",IF(INDEX(BookQ1,2055)&gt;0,"Q1",IF(INDEX(BookQ2,2055)&gt;0,"Q2",IF(INDEX(BookQ3,2055)&gt;0,"Q3",IF(INDEX(BookQ4,2055)&gt;0,"Q4","")))))</f>
        <v/>
      </c>
      <c r="K2060" s="42" t="str">
        <f aca="false">IF(INDEX(BookTitle,2055)="","",INDEX(BookInYear,2055))</f>
        <v/>
      </c>
      <c r="L2060" s="19"/>
      <c r="M2060" s="39"/>
      <c r="N2060" s="19"/>
      <c r="O2060" s="19"/>
      <c r="P2060" s="43" t="str">
        <f aca="false">IF($E2060="","",IF($L2060="Decline",0,IF($L2060="Approve fewer",IF($M2060="","",$M2060),IF($L2060="","",$I2060))))</f>
        <v/>
      </c>
      <c r="Q2060" s="34" t="str">
        <f aca="false">IF($P2060="","",IF($N2060&lt;&gt;"",$N2060,$J2060))</f>
        <v/>
      </c>
      <c r="R2060" s="35" t="str">
        <f aca="false">IF(OR($P2060="",$Q2060=""),"",INDEX(BookRate,2055)*$P2060*(5-MATCH($Q2060,{"Q1";"Q2";"Q3";"Q4"},0))/4+INDEX(BookOneOff,2055)*$P2060)</f>
        <v/>
      </c>
      <c r="S2060" s="35" t="str">
        <f aca="false">IF($P2060="","",INDEX(BookRate,2055)*$P2060)</f>
        <v/>
      </c>
      <c r="T2060" s="35" t="str">
        <f aca="false">IF($R2060="","",$R2060-$K2060)</f>
        <v/>
      </c>
      <c r="U2060" s="35" t="str">
        <f aca="false">IF(N($P2060)&lt;=0,"",COUNTIF($P$6:$P2060,"&gt;0"))</f>
        <v/>
      </c>
    </row>
    <row r="2061" customFormat="false" ht="15" hidden="false" customHeight="false" outlineLevel="0" collapsed="false">
      <c r="A2061" s="40" t="str">
        <f aca="false">IF(INDEX(BookTitle,2056)="","",INDEX(BookGroup,2056))</f>
        <v/>
      </c>
      <c r="B2061" s="40" t="str">
        <f aca="false">IF(INDEX(BookTitle,2056)="","",INDEX(BookRef,2056))</f>
        <v/>
      </c>
      <c r="C2061" s="40" t="str">
        <f aca="false">IF(INDEX(BookTitle,2056)="","",INDEX(BookDivision,2056))</f>
        <v/>
      </c>
      <c r="D2061" s="40" t="str">
        <f aca="false">IF(INDEX(BookTitle,2056)="","",INDEX(BookUnit,2056))</f>
        <v/>
      </c>
      <c r="E2061" s="40" t="str">
        <f aca="false">IF(INDEX(BookTitle,2056)="","",INDEX(BookTitle,2056))</f>
        <v/>
      </c>
      <c r="F2061" s="40" t="str">
        <f aca="false">IF(INDEX(BookTitle,2056)="","",INDEX(BookLevel,2056))</f>
        <v/>
      </c>
      <c r="G2061" s="40" t="str">
        <f aca="false">IF(INDEX(BookTitle,2056)="","",INDEX(BookCategory,2056))</f>
        <v/>
      </c>
      <c r="H2061" s="40" t="str">
        <f aca="false">IF(INDEX(BookTitle,2056)="","",INDEX(BookRank,2056))</f>
        <v/>
      </c>
      <c r="I2061" s="41" t="str">
        <f aca="false">IF(INDEX(BookTitle,2056)="","",INDEX(BookTotal,2056))</f>
        <v/>
      </c>
      <c r="J2061" s="0" t="str">
        <f aca="false">IF($I2061="","",IF(INDEX(BookQ1,2056)&gt;0,"Q1",IF(INDEX(BookQ2,2056)&gt;0,"Q2",IF(INDEX(BookQ3,2056)&gt;0,"Q3",IF(INDEX(BookQ4,2056)&gt;0,"Q4","")))))</f>
        <v/>
      </c>
      <c r="K2061" s="42" t="str">
        <f aca="false">IF(INDEX(BookTitle,2056)="","",INDEX(BookInYear,2056))</f>
        <v/>
      </c>
      <c r="L2061" s="19"/>
      <c r="M2061" s="39"/>
      <c r="N2061" s="19"/>
      <c r="O2061" s="19"/>
      <c r="P2061" s="43" t="str">
        <f aca="false">IF($E2061="","",IF($L2061="Decline",0,IF($L2061="Approve fewer",IF($M2061="","",$M2061),IF($L2061="","",$I2061))))</f>
        <v/>
      </c>
      <c r="Q2061" s="34" t="str">
        <f aca="false">IF($P2061="","",IF($N2061&lt;&gt;"",$N2061,$J2061))</f>
        <v/>
      </c>
      <c r="R2061" s="35" t="str">
        <f aca="false">IF(OR($P2061="",$Q2061=""),"",INDEX(BookRate,2056)*$P2061*(5-MATCH($Q2061,{"Q1";"Q2";"Q3";"Q4"},0))/4+INDEX(BookOneOff,2056)*$P2061)</f>
        <v/>
      </c>
      <c r="S2061" s="35" t="str">
        <f aca="false">IF($P2061="","",INDEX(BookRate,2056)*$P2061)</f>
        <v/>
      </c>
      <c r="T2061" s="35" t="str">
        <f aca="false">IF($R2061="","",$R2061-$K2061)</f>
        <v/>
      </c>
      <c r="U2061" s="35" t="str">
        <f aca="false">IF(N($P2061)&lt;=0,"",COUNTIF($P$6:$P2061,"&gt;0"))</f>
        <v/>
      </c>
    </row>
    <row r="2062" customFormat="false" ht="15" hidden="false" customHeight="false" outlineLevel="0" collapsed="false">
      <c r="A2062" s="40" t="str">
        <f aca="false">IF(INDEX(BookTitle,2057)="","",INDEX(BookGroup,2057))</f>
        <v/>
      </c>
      <c r="B2062" s="40" t="str">
        <f aca="false">IF(INDEX(BookTitle,2057)="","",INDEX(BookRef,2057))</f>
        <v/>
      </c>
      <c r="C2062" s="40" t="str">
        <f aca="false">IF(INDEX(BookTitle,2057)="","",INDEX(BookDivision,2057))</f>
        <v/>
      </c>
      <c r="D2062" s="40" t="str">
        <f aca="false">IF(INDEX(BookTitle,2057)="","",INDEX(BookUnit,2057))</f>
        <v/>
      </c>
      <c r="E2062" s="40" t="str">
        <f aca="false">IF(INDEX(BookTitle,2057)="","",INDEX(BookTitle,2057))</f>
        <v/>
      </c>
      <c r="F2062" s="40" t="str">
        <f aca="false">IF(INDEX(BookTitle,2057)="","",INDEX(BookLevel,2057))</f>
        <v/>
      </c>
      <c r="G2062" s="40" t="str">
        <f aca="false">IF(INDEX(BookTitle,2057)="","",INDEX(BookCategory,2057))</f>
        <v/>
      </c>
      <c r="H2062" s="40" t="str">
        <f aca="false">IF(INDEX(BookTitle,2057)="","",INDEX(BookRank,2057))</f>
        <v/>
      </c>
      <c r="I2062" s="41" t="str">
        <f aca="false">IF(INDEX(BookTitle,2057)="","",INDEX(BookTotal,2057))</f>
        <v/>
      </c>
      <c r="J2062" s="0" t="str">
        <f aca="false">IF($I2062="","",IF(INDEX(BookQ1,2057)&gt;0,"Q1",IF(INDEX(BookQ2,2057)&gt;0,"Q2",IF(INDEX(BookQ3,2057)&gt;0,"Q3",IF(INDEX(BookQ4,2057)&gt;0,"Q4","")))))</f>
        <v/>
      </c>
      <c r="K2062" s="42" t="str">
        <f aca="false">IF(INDEX(BookTitle,2057)="","",INDEX(BookInYear,2057))</f>
        <v/>
      </c>
      <c r="L2062" s="19"/>
      <c r="M2062" s="39"/>
      <c r="N2062" s="19"/>
      <c r="O2062" s="19"/>
      <c r="P2062" s="43" t="str">
        <f aca="false">IF($E2062="","",IF($L2062="Decline",0,IF($L2062="Approve fewer",IF($M2062="","",$M2062),IF($L2062="","",$I2062))))</f>
        <v/>
      </c>
      <c r="Q2062" s="34" t="str">
        <f aca="false">IF($P2062="","",IF($N2062&lt;&gt;"",$N2062,$J2062))</f>
        <v/>
      </c>
      <c r="R2062" s="35" t="str">
        <f aca="false">IF(OR($P2062="",$Q2062=""),"",INDEX(BookRate,2057)*$P2062*(5-MATCH($Q2062,{"Q1";"Q2";"Q3";"Q4"},0))/4+INDEX(BookOneOff,2057)*$P2062)</f>
        <v/>
      </c>
      <c r="S2062" s="35" t="str">
        <f aca="false">IF($P2062="","",INDEX(BookRate,2057)*$P2062)</f>
        <v/>
      </c>
      <c r="T2062" s="35" t="str">
        <f aca="false">IF($R2062="","",$R2062-$K2062)</f>
        <v/>
      </c>
      <c r="U2062" s="35" t="str">
        <f aca="false">IF(N($P2062)&lt;=0,"",COUNTIF($P$6:$P2062,"&gt;0"))</f>
        <v/>
      </c>
    </row>
    <row r="2063" customFormat="false" ht="15" hidden="false" customHeight="false" outlineLevel="0" collapsed="false">
      <c r="A2063" s="40" t="str">
        <f aca="false">IF(INDEX(BookTitle,2058)="","",INDEX(BookGroup,2058))</f>
        <v/>
      </c>
      <c r="B2063" s="40" t="str">
        <f aca="false">IF(INDEX(BookTitle,2058)="","",INDEX(BookRef,2058))</f>
        <v/>
      </c>
      <c r="C2063" s="40" t="str">
        <f aca="false">IF(INDEX(BookTitle,2058)="","",INDEX(BookDivision,2058))</f>
        <v/>
      </c>
      <c r="D2063" s="40" t="str">
        <f aca="false">IF(INDEX(BookTitle,2058)="","",INDEX(BookUnit,2058))</f>
        <v/>
      </c>
      <c r="E2063" s="40" t="str">
        <f aca="false">IF(INDEX(BookTitle,2058)="","",INDEX(BookTitle,2058))</f>
        <v/>
      </c>
      <c r="F2063" s="40" t="str">
        <f aca="false">IF(INDEX(BookTitle,2058)="","",INDEX(BookLevel,2058))</f>
        <v/>
      </c>
      <c r="G2063" s="40" t="str">
        <f aca="false">IF(INDEX(BookTitle,2058)="","",INDEX(BookCategory,2058))</f>
        <v/>
      </c>
      <c r="H2063" s="40" t="str">
        <f aca="false">IF(INDEX(BookTitle,2058)="","",INDEX(BookRank,2058))</f>
        <v/>
      </c>
      <c r="I2063" s="41" t="str">
        <f aca="false">IF(INDEX(BookTitle,2058)="","",INDEX(BookTotal,2058))</f>
        <v/>
      </c>
      <c r="J2063" s="0" t="str">
        <f aca="false">IF($I2063="","",IF(INDEX(BookQ1,2058)&gt;0,"Q1",IF(INDEX(BookQ2,2058)&gt;0,"Q2",IF(INDEX(BookQ3,2058)&gt;0,"Q3",IF(INDEX(BookQ4,2058)&gt;0,"Q4","")))))</f>
        <v/>
      </c>
      <c r="K2063" s="42" t="str">
        <f aca="false">IF(INDEX(BookTitle,2058)="","",INDEX(BookInYear,2058))</f>
        <v/>
      </c>
      <c r="L2063" s="19"/>
      <c r="M2063" s="39"/>
      <c r="N2063" s="19"/>
      <c r="O2063" s="19"/>
      <c r="P2063" s="43" t="str">
        <f aca="false">IF($E2063="","",IF($L2063="Decline",0,IF($L2063="Approve fewer",IF($M2063="","",$M2063),IF($L2063="","",$I2063))))</f>
        <v/>
      </c>
      <c r="Q2063" s="34" t="str">
        <f aca="false">IF($P2063="","",IF($N2063&lt;&gt;"",$N2063,$J2063))</f>
        <v/>
      </c>
      <c r="R2063" s="35" t="str">
        <f aca="false">IF(OR($P2063="",$Q2063=""),"",INDEX(BookRate,2058)*$P2063*(5-MATCH($Q2063,{"Q1";"Q2";"Q3";"Q4"},0))/4+INDEX(BookOneOff,2058)*$P2063)</f>
        <v/>
      </c>
      <c r="S2063" s="35" t="str">
        <f aca="false">IF($P2063="","",INDEX(BookRate,2058)*$P2063)</f>
        <v/>
      </c>
      <c r="T2063" s="35" t="str">
        <f aca="false">IF($R2063="","",$R2063-$K2063)</f>
        <v/>
      </c>
      <c r="U2063" s="35" t="str">
        <f aca="false">IF(N($P2063)&lt;=0,"",COUNTIF($P$6:$P2063,"&gt;0"))</f>
        <v/>
      </c>
    </row>
    <row r="2064" customFormat="false" ht="15" hidden="false" customHeight="false" outlineLevel="0" collapsed="false">
      <c r="A2064" s="40" t="str">
        <f aca="false">IF(INDEX(BookTitle,2059)="","",INDEX(BookGroup,2059))</f>
        <v/>
      </c>
      <c r="B2064" s="40" t="str">
        <f aca="false">IF(INDEX(BookTitle,2059)="","",INDEX(BookRef,2059))</f>
        <v/>
      </c>
      <c r="C2064" s="40" t="str">
        <f aca="false">IF(INDEX(BookTitle,2059)="","",INDEX(BookDivision,2059))</f>
        <v/>
      </c>
      <c r="D2064" s="40" t="str">
        <f aca="false">IF(INDEX(BookTitle,2059)="","",INDEX(BookUnit,2059))</f>
        <v/>
      </c>
      <c r="E2064" s="40" t="str">
        <f aca="false">IF(INDEX(BookTitle,2059)="","",INDEX(BookTitle,2059))</f>
        <v/>
      </c>
      <c r="F2064" s="40" t="str">
        <f aca="false">IF(INDEX(BookTitle,2059)="","",INDEX(BookLevel,2059))</f>
        <v/>
      </c>
      <c r="G2064" s="40" t="str">
        <f aca="false">IF(INDEX(BookTitle,2059)="","",INDEX(BookCategory,2059))</f>
        <v/>
      </c>
      <c r="H2064" s="40" t="str">
        <f aca="false">IF(INDEX(BookTitle,2059)="","",INDEX(BookRank,2059))</f>
        <v/>
      </c>
      <c r="I2064" s="41" t="str">
        <f aca="false">IF(INDEX(BookTitle,2059)="","",INDEX(BookTotal,2059))</f>
        <v/>
      </c>
      <c r="J2064" s="0" t="str">
        <f aca="false">IF($I2064="","",IF(INDEX(BookQ1,2059)&gt;0,"Q1",IF(INDEX(BookQ2,2059)&gt;0,"Q2",IF(INDEX(BookQ3,2059)&gt;0,"Q3",IF(INDEX(BookQ4,2059)&gt;0,"Q4","")))))</f>
        <v/>
      </c>
      <c r="K2064" s="42" t="str">
        <f aca="false">IF(INDEX(BookTitle,2059)="","",INDEX(BookInYear,2059))</f>
        <v/>
      </c>
      <c r="L2064" s="19"/>
      <c r="M2064" s="39"/>
      <c r="N2064" s="19"/>
      <c r="O2064" s="19"/>
      <c r="P2064" s="43" t="str">
        <f aca="false">IF($E2064="","",IF($L2064="Decline",0,IF($L2064="Approve fewer",IF($M2064="","",$M2064),IF($L2064="","",$I2064))))</f>
        <v/>
      </c>
      <c r="Q2064" s="34" t="str">
        <f aca="false">IF($P2064="","",IF($N2064&lt;&gt;"",$N2064,$J2064))</f>
        <v/>
      </c>
      <c r="R2064" s="35" t="str">
        <f aca="false">IF(OR($P2064="",$Q2064=""),"",INDEX(BookRate,2059)*$P2064*(5-MATCH($Q2064,{"Q1";"Q2";"Q3";"Q4"},0))/4+INDEX(BookOneOff,2059)*$P2064)</f>
        <v/>
      </c>
      <c r="S2064" s="35" t="str">
        <f aca="false">IF($P2064="","",INDEX(BookRate,2059)*$P2064)</f>
        <v/>
      </c>
      <c r="T2064" s="35" t="str">
        <f aca="false">IF($R2064="","",$R2064-$K2064)</f>
        <v/>
      </c>
      <c r="U2064" s="35" t="str">
        <f aca="false">IF(N($P2064)&lt;=0,"",COUNTIF($P$6:$P2064,"&gt;0"))</f>
        <v/>
      </c>
    </row>
    <row r="2065" customFormat="false" ht="15" hidden="false" customHeight="false" outlineLevel="0" collapsed="false">
      <c r="A2065" s="40" t="str">
        <f aca="false">IF(INDEX(BookTitle,2060)="","",INDEX(BookGroup,2060))</f>
        <v/>
      </c>
      <c r="B2065" s="40" t="str">
        <f aca="false">IF(INDEX(BookTitle,2060)="","",INDEX(BookRef,2060))</f>
        <v/>
      </c>
      <c r="C2065" s="40" t="str">
        <f aca="false">IF(INDEX(BookTitle,2060)="","",INDEX(BookDivision,2060))</f>
        <v/>
      </c>
      <c r="D2065" s="40" t="str">
        <f aca="false">IF(INDEX(BookTitle,2060)="","",INDEX(BookUnit,2060))</f>
        <v/>
      </c>
      <c r="E2065" s="40" t="str">
        <f aca="false">IF(INDEX(BookTitle,2060)="","",INDEX(BookTitle,2060))</f>
        <v/>
      </c>
      <c r="F2065" s="40" t="str">
        <f aca="false">IF(INDEX(BookTitle,2060)="","",INDEX(BookLevel,2060))</f>
        <v/>
      </c>
      <c r="G2065" s="40" t="str">
        <f aca="false">IF(INDEX(BookTitle,2060)="","",INDEX(BookCategory,2060))</f>
        <v/>
      </c>
      <c r="H2065" s="40" t="str">
        <f aca="false">IF(INDEX(BookTitle,2060)="","",INDEX(BookRank,2060))</f>
        <v/>
      </c>
      <c r="I2065" s="41" t="str">
        <f aca="false">IF(INDEX(BookTitle,2060)="","",INDEX(BookTotal,2060))</f>
        <v/>
      </c>
      <c r="J2065" s="0" t="str">
        <f aca="false">IF($I2065="","",IF(INDEX(BookQ1,2060)&gt;0,"Q1",IF(INDEX(BookQ2,2060)&gt;0,"Q2",IF(INDEX(BookQ3,2060)&gt;0,"Q3",IF(INDEX(BookQ4,2060)&gt;0,"Q4","")))))</f>
        <v/>
      </c>
      <c r="K2065" s="42" t="str">
        <f aca="false">IF(INDEX(BookTitle,2060)="","",INDEX(BookInYear,2060))</f>
        <v/>
      </c>
      <c r="L2065" s="19"/>
      <c r="M2065" s="39"/>
      <c r="N2065" s="19"/>
      <c r="O2065" s="19"/>
      <c r="P2065" s="43" t="str">
        <f aca="false">IF($E2065="","",IF($L2065="Decline",0,IF($L2065="Approve fewer",IF($M2065="","",$M2065),IF($L2065="","",$I2065))))</f>
        <v/>
      </c>
      <c r="Q2065" s="34" t="str">
        <f aca="false">IF($P2065="","",IF($N2065&lt;&gt;"",$N2065,$J2065))</f>
        <v/>
      </c>
      <c r="R2065" s="35" t="str">
        <f aca="false">IF(OR($P2065="",$Q2065=""),"",INDEX(BookRate,2060)*$P2065*(5-MATCH($Q2065,{"Q1";"Q2";"Q3";"Q4"},0))/4+INDEX(BookOneOff,2060)*$P2065)</f>
        <v/>
      </c>
      <c r="S2065" s="35" t="str">
        <f aca="false">IF($P2065="","",INDEX(BookRate,2060)*$P2065)</f>
        <v/>
      </c>
      <c r="T2065" s="35" t="str">
        <f aca="false">IF($R2065="","",$R2065-$K2065)</f>
        <v/>
      </c>
      <c r="U2065" s="35" t="str">
        <f aca="false">IF(N($P2065)&lt;=0,"",COUNTIF($P$6:$P2065,"&gt;0"))</f>
        <v/>
      </c>
    </row>
    <row r="2066" customFormat="false" ht="15" hidden="false" customHeight="false" outlineLevel="0" collapsed="false">
      <c r="A2066" s="40" t="str">
        <f aca="false">IF(INDEX(BookTitle,2061)="","",INDEX(BookGroup,2061))</f>
        <v/>
      </c>
      <c r="B2066" s="40" t="str">
        <f aca="false">IF(INDEX(BookTitle,2061)="","",INDEX(BookRef,2061))</f>
        <v/>
      </c>
      <c r="C2066" s="40" t="str">
        <f aca="false">IF(INDEX(BookTitle,2061)="","",INDEX(BookDivision,2061))</f>
        <v/>
      </c>
      <c r="D2066" s="40" t="str">
        <f aca="false">IF(INDEX(BookTitle,2061)="","",INDEX(BookUnit,2061))</f>
        <v/>
      </c>
      <c r="E2066" s="40" t="str">
        <f aca="false">IF(INDEX(BookTitle,2061)="","",INDEX(BookTitle,2061))</f>
        <v/>
      </c>
      <c r="F2066" s="40" t="str">
        <f aca="false">IF(INDEX(BookTitle,2061)="","",INDEX(BookLevel,2061))</f>
        <v/>
      </c>
      <c r="G2066" s="40" t="str">
        <f aca="false">IF(INDEX(BookTitle,2061)="","",INDEX(BookCategory,2061))</f>
        <v/>
      </c>
      <c r="H2066" s="40" t="str">
        <f aca="false">IF(INDEX(BookTitle,2061)="","",INDEX(BookRank,2061))</f>
        <v/>
      </c>
      <c r="I2066" s="41" t="str">
        <f aca="false">IF(INDEX(BookTitle,2061)="","",INDEX(BookTotal,2061))</f>
        <v/>
      </c>
      <c r="J2066" s="0" t="str">
        <f aca="false">IF($I2066="","",IF(INDEX(BookQ1,2061)&gt;0,"Q1",IF(INDEX(BookQ2,2061)&gt;0,"Q2",IF(INDEX(BookQ3,2061)&gt;0,"Q3",IF(INDEX(BookQ4,2061)&gt;0,"Q4","")))))</f>
        <v/>
      </c>
      <c r="K2066" s="42" t="str">
        <f aca="false">IF(INDEX(BookTitle,2061)="","",INDEX(BookInYear,2061))</f>
        <v/>
      </c>
      <c r="L2066" s="19"/>
      <c r="M2066" s="39"/>
      <c r="N2066" s="19"/>
      <c r="O2066" s="19"/>
      <c r="P2066" s="43" t="str">
        <f aca="false">IF($E2066="","",IF($L2066="Decline",0,IF($L2066="Approve fewer",IF($M2066="","",$M2066),IF($L2066="","",$I2066))))</f>
        <v/>
      </c>
      <c r="Q2066" s="34" t="str">
        <f aca="false">IF($P2066="","",IF($N2066&lt;&gt;"",$N2066,$J2066))</f>
        <v/>
      </c>
      <c r="R2066" s="35" t="str">
        <f aca="false">IF(OR($P2066="",$Q2066=""),"",INDEX(BookRate,2061)*$P2066*(5-MATCH($Q2066,{"Q1";"Q2";"Q3";"Q4"},0))/4+INDEX(BookOneOff,2061)*$P2066)</f>
        <v/>
      </c>
      <c r="S2066" s="35" t="str">
        <f aca="false">IF($P2066="","",INDEX(BookRate,2061)*$P2066)</f>
        <v/>
      </c>
      <c r="T2066" s="35" t="str">
        <f aca="false">IF($R2066="","",$R2066-$K2066)</f>
        <v/>
      </c>
      <c r="U2066" s="35" t="str">
        <f aca="false">IF(N($P2066)&lt;=0,"",COUNTIF($P$6:$P2066,"&gt;0"))</f>
        <v/>
      </c>
    </row>
    <row r="2067" customFormat="false" ht="15" hidden="false" customHeight="false" outlineLevel="0" collapsed="false">
      <c r="A2067" s="40" t="str">
        <f aca="false">IF(INDEX(BookTitle,2062)="","",INDEX(BookGroup,2062))</f>
        <v/>
      </c>
      <c r="B2067" s="40" t="str">
        <f aca="false">IF(INDEX(BookTitle,2062)="","",INDEX(BookRef,2062))</f>
        <v/>
      </c>
      <c r="C2067" s="40" t="str">
        <f aca="false">IF(INDEX(BookTitle,2062)="","",INDEX(BookDivision,2062))</f>
        <v/>
      </c>
      <c r="D2067" s="40" t="str">
        <f aca="false">IF(INDEX(BookTitle,2062)="","",INDEX(BookUnit,2062))</f>
        <v/>
      </c>
      <c r="E2067" s="40" t="str">
        <f aca="false">IF(INDEX(BookTitle,2062)="","",INDEX(BookTitle,2062))</f>
        <v/>
      </c>
      <c r="F2067" s="40" t="str">
        <f aca="false">IF(INDEX(BookTitle,2062)="","",INDEX(BookLevel,2062))</f>
        <v/>
      </c>
      <c r="G2067" s="40" t="str">
        <f aca="false">IF(INDEX(BookTitle,2062)="","",INDEX(BookCategory,2062))</f>
        <v/>
      </c>
      <c r="H2067" s="40" t="str">
        <f aca="false">IF(INDEX(BookTitle,2062)="","",INDEX(BookRank,2062))</f>
        <v/>
      </c>
      <c r="I2067" s="41" t="str">
        <f aca="false">IF(INDEX(BookTitle,2062)="","",INDEX(BookTotal,2062))</f>
        <v/>
      </c>
      <c r="J2067" s="0" t="str">
        <f aca="false">IF($I2067="","",IF(INDEX(BookQ1,2062)&gt;0,"Q1",IF(INDEX(BookQ2,2062)&gt;0,"Q2",IF(INDEX(BookQ3,2062)&gt;0,"Q3",IF(INDEX(BookQ4,2062)&gt;0,"Q4","")))))</f>
        <v/>
      </c>
      <c r="K2067" s="42" t="str">
        <f aca="false">IF(INDEX(BookTitle,2062)="","",INDEX(BookInYear,2062))</f>
        <v/>
      </c>
      <c r="L2067" s="19"/>
      <c r="M2067" s="39"/>
      <c r="N2067" s="19"/>
      <c r="O2067" s="19"/>
      <c r="P2067" s="43" t="str">
        <f aca="false">IF($E2067="","",IF($L2067="Decline",0,IF($L2067="Approve fewer",IF($M2067="","",$M2067),IF($L2067="","",$I2067))))</f>
        <v/>
      </c>
      <c r="Q2067" s="34" t="str">
        <f aca="false">IF($P2067="","",IF($N2067&lt;&gt;"",$N2067,$J2067))</f>
        <v/>
      </c>
      <c r="R2067" s="35" t="str">
        <f aca="false">IF(OR($P2067="",$Q2067=""),"",INDEX(BookRate,2062)*$P2067*(5-MATCH($Q2067,{"Q1";"Q2";"Q3";"Q4"},0))/4+INDEX(BookOneOff,2062)*$P2067)</f>
        <v/>
      </c>
      <c r="S2067" s="35" t="str">
        <f aca="false">IF($P2067="","",INDEX(BookRate,2062)*$P2067)</f>
        <v/>
      </c>
      <c r="T2067" s="35" t="str">
        <f aca="false">IF($R2067="","",$R2067-$K2067)</f>
        <v/>
      </c>
      <c r="U2067" s="35" t="str">
        <f aca="false">IF(N($P2067)&lt;=0,"",COUNTIF($P$6:$P2067,"&gt;0"))</f>
        <v/>
      </c>
    </row>
    <row r="2068" customFormat="false" ht="15" hidden="false" customHeight="false" outlineLevel="0" collapsed="false">
      <c r="A2068" s="40" t="str">
        <f aca="false">IF(INDEX(BookTitle,2063)="","",INDEX(BookGroup,2063))</f>
        <v/>
      </c>
      <c r="B2068" s="40" t="str">
        <f aca="false">IF(INDEX(BookTitle,2063)="","",INDEX(BookRef,2063))</f>
        <v/>
      </c>
      <c r="C2068" s="40" t="str">
        <f aca="false">IF(INDEX(BookTitle,2063)="","",INDEX(BookDivision,2063))</f>
        <v/>
      </c>
      <c r="D2068" s="40" t="str">
        <f aca="false">IF(INDEX(BookTitle,2063)="","",INDEX(BookUnit,2063))</f>
        <v/>
      </c>
      <c r="E2068" s="40" t="str">
        <f aca="false">IF(INDEX(BookTitle,2063)="","",INDEX(BookTitle,2063))</f>
        <v/>
      </c>
      <c r="F2068" s="40" t="str">
        <f aca="false">IF(INDEX(BookTitle,2063)="","",INDEX(BookLevel,2063))</f>
        <v/>
      </c>
      <c r="G2068" s="40" t="str">
        <f aca="false">IF(INDEX(BookTitle,2063)="","",INDEX(BookCategory,2063))</f>
        <v/>
      </c>
      <c r="H2068" s="40" t="str">
        <f aca="false">IF(INDEX(BookTitle,2063)="","",INDEX(BookRank,2063))</f>
        <v/>
      </c>
      <c r="I2068" s="41" t="str">
        <f aca="false">IF(INDEX(BookTitle,2063)="","",INDEX(BookTotal,2063))</f>
        <v/>
      </c>
      <c r="J2068" s="0" t="str">
        <f aca="false">IF($I2068="","",IF(INDEX(BookQ1,2063)&gt;0,"Q1",IF(INDEX(BookQ2,2063)&gt;0,"Q2",IF(INDEX(BookQ3,2063)&gt;0,"Q3",IF(INDEX(BookQ4,2063)&gt;0,"Q4","")))))</f>
        <v/>
      </c>
      <c r="K2068" s="42" t="str">
        <f aca="false">IF(INDEX(BookTitle,2063)="","",INDEX(BookInYear,2063))</f>
        <v/>
      </c>
      <c r="L2068" s="19"/>
      <c r="M2068" s="39"/>
      <c r="N2068" s="19"/>
      <c r="O2068" s="19"/>
      <c r="P2068" s="43" t="str">
        <f aca="false">IF($E2068="","",IF($L2068="Decline",0,IF($L2068="Approve fewer",IF($M2068="","",$M2068),IF($L2068="","",$I2068))))</f>
        <v/>
      </c>
      <c r="Q2068" s="34" t="str">
        <f aca="false">IF($P2068="","",IF($N2068&lt;&gt;"",$N2068,$J2068))</f>
        <v/>
      </c>
      <c r="R2068" s="35" t="str">
        <f aca="false">IF(OR($P2068="",$Q2068=""),"",INDEX(BookRate,2063)*$P2068*(5-MATCH($Q2068,{"Q1";"Q2";"Q3";"Q4"},0))/4+INDEX(BookOneOff,2063)*$P2068)</f>
        <v/>
      </c>
      <c r="S2068" s="35" t="str">
        <f aca="false">IF($P2068="","",INDEX(BookRate,2063)*$P2068)</f>
        <v/>
      </c>
      <c r="T2068" s="35" t="str">
        <f aca="false">IF($R2068="","",$R2068-$K2068)</f>
        <v/>
      </c>
      <c r="U2068" s="35" t="str">
        <f aca="false">IF(N($P2068)&lt;=0,"",COUNTIF($P$6:$P2068,"&gt;0"))</f>
        <v/>
      </c>
    </row>
    <row r="2069" customFormat="false" ht="15" hidden="false" customHeight="false" outlineLevel="0" collapsed="false">
      <c r="A2069" s="40" t="str">
        <f aca="false">IF(INDEX(BookTitle,2064)="","",INDEX(BookGroup,2064))</f>
        <v/>
      </c>
      <c r="B2069" s="40" t="str">
        <f aca="false">IF(INDEX(BookTitle,2064)="","",INDEX(BookRef,2064))</f>
        <v/>
      </c>
      <c r="C2069" s="40" t="str">
        <f aca="false">IF(INDEX(BookTitle,2064)="","",INDEX(BookDivision,2064))</f>
        <v/>
      </c>
      <c r="D2069" s="40" t="str">
        <f aca="false">IF(INDEX(BookTitle,2064)="","",INDEX(BookUnit,2064))</f>
        <v/>
      </c>
      <c r="E2069" s="40" t="str">
        <f aca="false">IF(INDEX(BookTitle,2064)="","",INDEX(BookTitle,2064))</f>
        <v/>
      </c>
      <c r="F2069" s="40" t="str">
        <f aca="false">IF(INDEX(BookTitle,2064)="","",INDEX(BookLevel,2064))</f>
        <v/>
      </c>
      <c r="G2069" s="40" t="str">
        <f aca="false">IF(INDEX(BookTitle,2064)="","",INDEX(BookCategory,2064))</f>
        <v/>
      </c>
      <c r="H2069" s="40" t="str">
        <f aca="false">IF(INDEX(BookTitle,2064)="","",INDEX(BookRank,2064))</f>
        <v/>
      </c>
      <c r="I2069" s="41" t="str">
        <f aca="false">IF(INDEX(BookTitle,2064)="","",INDEX(BookTotal,2064))</f>
        <v/>
      </c>
      <c r="J2069" s="0" t="str">
        <f aca="false">IF($I2069="","",IF(INDEX(BookQ1,2064)&gt;0,"Q1",IF(INDEX(BookQ2,2064)&gt;0,"Q2",IF(INDEX(BookQ3,2064)&gt;0,"Q3",IF(INDEX(BookQ4,2064)&gt;0,"Q4","")))))</f>
        <v/>
      </c>
      <c r="K2069" s="42" t="str">
        <f aca="false">IF(INDEX(BookTitle,2064)="","",INDEX(BookInYear,2064))</f>
        <v/>
      </c>
      <c r="L2069" s="19"/>
      <c r="M2069" s="39"/>
      <c r="N2069" s="19"/>
      <c r="O2069" s="19"/>
      <c r="P2069" s="43" t="str">
        <f aca="false">IF($E2069="","",IF($L2069="Decline",0,IF($L2069="Approve fewer",IF($M2069="","",$M2069),IF($L2069="","",$I2069))))</f>
        <v/>
      </c>
      <c r="Q2069" s="34" t="str">
        <f aca="false">IF($P2069="","",IF($N2069&lt;&gt;"",$N2069,$J2069))</f>
        <v/>
      </c>
      <c r="R2069" s="35" t="str">
        <f aca="false">IF(OR($P2069="",$Q2069=""),"",INDEX(BookRate,2064)*$P2069*(5-MATCH($Q2069,{"Q1";"Q2";"Q3";"Q4"},0))/4+INDEX(BookOneOff,2064)*$P2069)</f>
        <v/>
      </c>
      <c r="S2069" s="35" t="str">
        <f aca="false">IF($P2069="","",INDEX(BookRate,2064)*$P2069)</f>
        <v/>
      </c>
      <c r="T2069" s="35" t="str">
        <f aca="false">IF($R2069="","",$R2069-$K2069)</f>
        <v/>
      </c>
      <c r="U2069" s="35" t="str">
        <f aca="false">IF(N($P2069)&lt;=0,"",COUNTIF($P$6:$P2069,"&gt;0"))</f>
        <v/>
      </c>
    </row>
    <row r="2070" customFormat="false" ht="15" hidden="false" customHeight="false" outlineLevel="0" collapsed="false">
      <c r="A2070" s="40" t="str">
        <f aca="false">IF(INDEX(BookTitle,2065)="","",INDEX(BookGroup,2065))</f>
        <v/>
      </c>
      <c r="B2070" s="40" t="str">
        <f aca="false">IF(INDEX(BookTitle,2065)="","",INDEX(BookRef,2065))</f>
        <v/>
      </c>
      <c r="C2070" s="40" t="str">
        <f aca="false">IF(INDEX(BookTitle,2065)="","",INDEX(BookDivision,2065))</f>
        <v/>
      </c>
      <c r="D2070" s="40" t="str">
        <f aca="false">IF(INDEX(BookTitle,2065)="","",INDEX(BookUnit,2065))</f>
        <v/>
      </c>
      <c r="E2070" s="40" t="str">
        <f aca="false">IF(INDEX(BookTitle,2065)="","",INDEX(BookTitle,2065))</f>
        <v/>
      </c>
      <c r="F2070" s="40" t="str">
        <f aca="false">IF(INDEX(BookTitle,2065)="","",INDEX(BookLevel,2065))</f>
        <v/>
      </c>
      <c r="G2070" s="40" t="str">
        <f aca="false">IF(INDEX(BookTitle,2065)="","",INDEX(BookCategory,2065))</f>
        <v/>
      </c>
      <c r="H2070" s="40" t="str">
        <f aca="false">IF(INDEX(BookTitle,2065)="","",INDEX(BookRank,2065))</f>
        <v/>
      </c>
      <c r="I2070" s="41" t="str">
        <f aca="false">IF(INDEX(BookTitle,2065)="","",INDEX(BookTotal,2065))</f>
        <v/>
      </c>
      <c r="J2070" s="0" t="str">
        <f aca="false">IF($I2070="","",IF(INDEX(BookQ1,2065)&gt;0,"Q1",IF(INDEX(BookQ2,2065)&gt;0,"Q2",IF(INDEX(BookQ3,2065)&gt;0,"Q3",IF(INDEX(BookQ4,2065)&gt;0,"Q4","")))))</f>
        <v/>
      </c>
      <c r="K2070" s="42" t="str">
        <f aca="false">IF(INDEX(BookTitle,2065)="","",INDEX(BookInYear,2065))</f>
        <v/>
      </c>
      <c r="L2070" s="19"/>
      <c r="M2070" s="39"/>
      <c r="N2070" s="19"/>
      <c r="O2070" s="19"/>
      <c r="P2070" s="43" t="str">
        <f aca="false">IF($E2070="","",IF($L2070="Decline",0,IF($L2070="Approve fewer",IF($M2070="","",$M2070),IF($L2070="","",$I2070))))</f>
        <v/>
      </c>
      <c r="Q2070" s="34" t="str">
        <f aca="false">IF($P2070="","",IF($N2070&lt;&gt;"",$N2070,$J2070))</f>
        <v/>
      </c>
      <c r="R2070" s="35" t="str">
        <f aca="false">IF(OR($P2070="",$Q2070=""),"",INDEX(BookRate,2065)*$P2070*(5-MATCH($Q2070,{"Q1";"Q2";"Q3";"Q4"},0))/4+INDEX(BookOneOff,2065)*$P2070)</f>
        <v/>
      </c>
      <c r="S2070" s="35" t="str">
        <f aca="false">IF($P2070="","",INDEX(BookRate,2065)*$P2070)</f>
        <v/>
      </c>
      <c r="T2070" s="35" t="str">
        <f aca="false">IF($R2070="","",$R2070-$K2070)</f>
        <v/>
      </c>
      <c r="U2070" s="35" t="str">
        <f aca="false">IF(N($P2070)&lt;=0,"",COUNTIF($P$6:$P2070,"&gt;0"))</f>
        <v/>
      </c>
    </row>
    <row r="2071" customFormat="false" ht="15" hidden="false" customHeight="false" outlineLevel="0" collapsed="false">
      <c r="A2071" s="40" t="str">
        <f aca="false">IF(INDEX(BookTitle,2066)="","",INDEX(BookGroup,2066))</f>
        <v/>
      </c>
      <c r="B2071" s="40" t="str">
        <f aca="false">IF(INDEX(BookTitle,2066)="","",INDEX(BookRef,2066))</f>
        <v/>
      </c>
      <c r="C2071" s="40" t="str">
        <f aca="false">IF(INDEX(BookTitle,2066)="","",INDEX(BookDivision,2066))</f>
        <v/>
      </c>
      <c r="D2071" s="40" t="str">
        <f aca="false">IF(INDEX(BookTitle,2066)="","",INDEX(BookUnit,2066))</f>
        <v/>
      </c>
      <c r="E2071" s="40" t="str">
        <f aca="false">IF(INDEX(BookTitle,2066)="","",INDEX(BookTitle,2066))</f>
        <v/>
      </c>
      <c r="F2071" s="40" t="str">
        <f aca="false">IF(INDEX(BookTitle,2066)="","",INDEX(BookLevel,2066))</f>
        <v/>
      </c>
      <c r="G2071" s="40" t="str">
        <f aca="false">IF(INDEX(BookTitle,2066)="","",INDEX(BookCategory,2066))</f>
        <v/>
      </c>
      <c r="H2071" s="40" t="str">
        <f aca="false">IF(INDEX(BookTitle,2066)="","",INDEX(BookRank,2066))</f>
        <v/>
      </c>
      <c r="I2071" s="41" t="str">
        <f aca="false">IF(INDEX(BookTitle,2066)="","",INDEX(BookTotal,2066))</f>
        <v/>
      </c>
      <c r="J2071" s="0" t="str">
        <f aca="false">IF($I2071="","",IF(INDEX(BookQ1,2066)&gt;0,"Q1",IF(INDEX(BookQ2,2066)&gt;0,"Q2",IF(INDEX(BookQ3,2066)&gt;0,"Q3",IF(INDEX(BookQ4,2066)&gt;0,"Q4","")))))</f>
        <v/>
      </c>
      <c r="K2071" s="42" t="str">
        <f aca="false">IF(INDEX(BookTitle,2066)="","",INDEX(BookInYear,2066))</f>
        <v/>
      </c>
      <c r="L2071" s="19"/>
      <c r="M2071" s="39"/>
      <c r="N2071" s="19"/>
      <c r="O2071" s="19"/>
      <c r="P2071" s="43" t="str">
        <f aca="false">IF($E2071="","",IF($L2071="Decline",0,IF($L2071="Approve fewer",IF($M2071="","",$M2071),IF($L2071="","",$I2071))))</f>
        <v/>
      </c>
      <c r="Q2071" s="34" t="str">
        <f aca="false">IF($P2071="","",IF($N2071&lt;&gt;"",$N2071,$J2071))</f>
        <v/>
      </c>
      <c r="R2071" s="35" t="str">
        <f aca="false">IF(OR($P2071="",$Q2071=""),"",INDEX(BookRate,2066)*$P2071*(5-MATCH($Q2071,{"Q1";"Q2";"Q3";"Q4"},0))/4+INDEX(BookOneOff,2066)*$P2071)</f>
        <v/>
      </c>
      <c r="S2071" s="35" t="str">
        <f aca="false">IF($P2071="","",INDEX(BookRate,2066)*$P2071)</f>
        <v/>
      </c>
      <c r="T2071" s="35" t="str">
        <f aca="false">IF($R2071="","",$R2071-$K2071)</f>
        <v/>
      </c>
      <c r="U2071" s="35" t="str">
        <f aca="false">IF(N($P2071)&lt;=0,"",COUNTIF($P$6:$P2071,"&gt;0"))</f>
        <v/>
      </c>
    </row>
    <row r="2072" customFormat="false" ht="15" hidden="false" customHeight="false" outlineLevel="0" collapsed="false">
      <c r="A2072" s="40" t="str">
        <f aca="false">IF(INDEX(BookTitle,2067)="","",INDEX(BookGroup,2067))</f>
        <v/>
      </c>
      <c r="B2072" s="40" t="str">
        <f aca="false">IF(INDEX(BookTitle,2067)="","",INDEX(BookRef,2067))</f>
        <v/>
      </c>
      <c r="C2072" s="40" t="str">
        <f aca="false">IF(INDEX(BookTitle,2067)="","",INDEX(BookDivision,2067))</f>
        <v/>
      </c>
      <c r="D2072" s="40" t="str">
        <f aca="false">IF(INDEX(BookTitle,2067)="","",INDEX(BookUnit,2067))</f>
        <v/>
      </c>
      <c r="E2072" s="40" t="str">
        <f aca="false">IF(INDEX(BookTitle,2067)="","",INDEX(BookTitle,2067))</f>
        <v/>
      </c>
      <c r="F2072" s="40" t="str">
        <f aca="false">IF(INDEX(BookTitle,2067)="","",INDEX(BookLevel,2067))</f>
        <v/>
      </c>
      <c r="G2072" s="40" t="str">
        <f aca="false">IF(INDEX(BookTitle,2067)="","",INDEX(BookCategory,2067))</f>
        <v/>
      </c>
      <c r="H2072" s="40" t="str">
        <f aca="false">IF(INDEX(BookTitle,2067)="","",INDEX(BookRank,2067))</f>
        <v/>
      </c>
      <c r="I2072" s="41" t="str">
        <f aca="false">IF(INDEX(BookTitle,2067)="","",INDEX(BookTotal,2067))</f>
        <v/>
      </c>
      <c r="J2072" s="0" t="str">
        <f aca="false">IF($I2072="","",IF(INDEX(BookQ1,2067)&gt;0,"Q1",IF(INDEX(BookQ2,2067)&gt;0,"Q2",IF(INDEX(BookQ3,2067)&gt;0,"Q3",IF(INDEX(BookQ4,2067)&gt;0,"Q4","")))))</f>
        <v/>
      </c>
      <c r="K2072" s="42" t="str">
        <f aca="false">IF(INDEX(BookTitle,2067)="","",INDEX(BookInYear,2067))</f>
        <v/>
      </c>
      <c r="L2072" s="19"/>
      <c r="M2072" s="39"/>
      <c r="N2072" s="19"/>
      <c r="O2072" s="19"/>
      <c r="P2072" s="43" t="str">
        <f aca="false">IF($E2072="","",IF($L2072="Decline",0,IF($L2072="Approve fewer",IF($M2072="","",$M2072),IF($L2072="","",$I2072))))</f>
        <v/>
      </c>
      <c r="Q2072" s="34" t="str">
        <f aca="false">IF($P2072="","",IF($N2072&lt;&gt;"",$N2072,$J2072))</f>
        <v/>
      </c>
      <c r="R2072" s="35" t="str">
        <f aca="false">IF(OR($P2072="",$Q2072=""),"",INDEX(BookRate,2067)*$P2072*(5-MATCH($Q2072,{"Q1";"Q2";"Q3";"Q4"},0))/4+INDEX(BookOneOff,2067)*$P2072)</f>
        <v/>
      </c>
      <c r="S2072" s="35" t="str">
        <f aca="false">IF($P2072="","",INDEX(BookRate,2067)*$P2072)</f>
        <v/>
      </c>
      <c r="T2072" s="35" t="str">
        <f aca="false">IF($R2072="","",$R2072-$K2072)</f>
        <v/>
      </c>
      <c r="U2072" s="35" t="str">
        <f aca="false">IF(N($P2072)&lt;=0,"",COUNTIF($P$6:$P2072,"&gt;0"))</f>
        <v/>
      </c>
    </row>
    <row r="2073" customFormat="false" ht="15" hidden="false" customHeight="false" outlineLevel="0" collapsed="false">
      <c r="A2073" s="40" t="str">
        <f aca="false">IF(INDEX(BookTitle,2068)="","",INDEX(BookGroup,2068))</f>
        <v/>
      </c>
      <c r="B2073" s="40" t="str">
        <f aca="false">IF(INDEX(BookTitle,2068)="","",INDEX(BookRef,2068))</f>
        <v/>
      </c>
      <c r="C2073" s="40" t="str">
        <f aca="false">IF(INDEX(BookTitle,2068)="","",INDEX(BookDivision,2068))</f>
        <v/>
      </c>
      <c r="D2073" s="40" t="str">
        <f aca="false">IF(INDEX(BookTitle,2068)="","",INDEX(BookUnit,2068))</f>
        <v/>
      </c>
      <c r="E2073" s="40" t="str">
        <f aca="false">IF(INDEX(BookTitle,2068)="","",INDEX(BookTitle,2068))</f>
        <v/>
      </c>
      <c r="F2073" s="40" t="str">
        <f aca="false">IF(INDEX(BookTitle,2068)="","",INDEX(BookLevel,2068))</f>
        <v/>
      </c>
      <c r="G2073" s="40" t="str">
        <f aca="false">IF(INDEX(BookTitle,2068)="","",INDEX(BookCategory,2068))</f>
        <v/>
      </c>
      <c r="H2073" s="40" t="str">
        <f aca="false">IF(INDEX(BookTitle,2068)="","",INDEX(BookRank,2068))</f>
        <v/>
      </c>
      <c r="I2073" s="41" t="str">
        <f aca="false">IF(INDEX(BookTitle,2068)="","",INDEX(BookTotal,2068))</f>
        <v/>
      </c>
      <c r="J2073" s="0" t="str">
        <f aca="false">IF($I2073="","",IF(INDEX(BookQ1,2068)&gt;0,"Q1",IF(INDEX(BookQ2,2068)&gt;0,"Q2",IF(INDEX(BookQ3,2068)&gt;0,"Q3",IF(INDEX(BookQ4,2068)&gt;0,"Q4","")))))</f>
        <v/>
      </c>
      <c r="K2073" s="42" t="str">
        <f aca="false">IF(INDEX(BookTitle,2068)="","",INDEX(BookInYear,2068))</f>
        <v/>
      </c>
      <c r="L2073" s="19"/>
      <c r="M2073" s="39"/>
      <c r="N2073" s="19"/>
      <c r="O2073" s="19"/>
      <c r="P2073" s="43" t="str">
        <f aca="false">IF($E2073="","",IF($L2073="Decline",0,IF($L2073="Approve fewer",IF($M2073="","",$M2073),IF($L2073="","",$I2073))))</f>
        <v/>
      </c>
      <c r="Q2073" s="34" t="str">
        <f aca="false">IF($P2073="","",IF($N2073&lt;&gt;"",$N2073,$J2073))</f>
        <v/>
      </c>
      <c r="R2073" s="35" t="str">
        <f aca="false">IF(OR($P2073="",$Q2073=""),"",INDEX(BookRate,2068)*$P2073*(5-MATCH($Q2073,{"Q1";"Q2";"Q3";"Q4"},0))/4+INDEX(BookOneOff,2068)*$P2073)</f>
        <v/>
      </c>
      <c r="S2073" s="35" t="str">
        <f aca="false">IF($P2073="","",INDEX(BookRate,2068)*$P2073)</f>
        <v/>
      </c>
      <c r="T2073" s="35" t="str">
        <f aca="false">IF($R2073="","",$R2073-$K2073)</f>
        <v/>
      </c>
      <c r="U2073" s="35" t="str">
        <f aca="false">IF(N($P2073)&lt;=0,"",COUNTIF($P$6:$P2073,"&gt;0"))</f>
        <v/>
      </c>
    </row>
    <row r="2074" customFormat="false" ht="15" hidden="false" customHeight="false" outlineLevel="0" collapsed="false">
      <c r="A2074" s="40" t="str">
        <f aca="false">IF(INDEX(BookTitle,2069)="","",INDEX(BookGroup,2069))</f>
        <v/>
      </c>
      <c r="B2074" s="40" t="str">
        <f aca="false">IF(INDEX(BookTitle,2069)="","",INDEX(BookRef,2069))</f>
        <v/>
      </c>
      <c r="C2074" s="40" t="str">
        <f aca="false">IF(INDEX(BookTitle,2069)="","",INDEX(BookDivision,2069))</f>
        <v/>
      </c>
      <c r="D2074" s="40" t="str">
        <f aca="false">IF(INDEX(BookTitle,2069)="","",INDEX(BookUnit,2069))</f>
        <v/>
      </c>
      <c r="E2074" s="40" t="str">
        <f aca="false">IF(INDEX(BookTitle,2069)="","",INDEX(BookTitle,2069))</f>
        <v/>
      </c>
      <c r="F2074" s="40" t="str">
        <f aca="false">IF(INDEX(BookTitle,2069)="","",INDEX(BookLevel,2069))</f>
        <v/>
      </c>
      <c r="G2074" s="40" t="str">
        <f aca="false">IF(INDEX(BookTitle,2069)="","",INDEX(BookCategory,2069))</f>
        <v/>
      </c>
      <c r="H2074" s="40" t="str">
        <f aca="false">IF(INDEX(BookTitle,2069)="","",INDEX(BookRank,2069))</f>
        <v/>
      </c>
      <c r="I2074" s="41" t="str">
        <f aca="false">IF(INDEX(BookTitle,2069)="","",INDEX(BookTotal,2069))</f>
        <v/>
      </c>
      <c r="J2074" s="0" t="str">
        <f aca="false">IF($I2074="","",IF(INDEX(BookQ1,2069)&gt;0,"Q1",IF(INDEX(BookQ2,2069)&gt;0,"Q2",IF(INDEX(BookQ3,2069)&gt;0,"Q3",IF(INDEX(BookQ4,2069)&gt;0,"Q4","")))))</f>
        <v/>
      </c>
      <c r="K2074" s="42" t="str">
        <f aca="false">IF(INDEX(BookTitle,2069)="","",INDEX(BookInYear,2069))</f>
        <v/>
      </c>
      <c r="L2074" s="19"/>
      <c r="M2074" s="39"/>
      <c r="N2074" s="19"/>
      <c r="O2074" s="19"/>
      <c r="P2074" s="43" t="str">
        <f aca="false">IF($E2074="","",IF($L2074="Decline",0,IF($L2074="Approve fewer",IF($M2074="","",$M2074),IF($L2074="","",$I2074))))</f>
        <v/>
      </c>
      <c r="Q2074" s="34" t="str">
        <f aca="false">IF($P2074="","",IF($N2074&lt;&gt;"",$N2074,$J2074))</f>
        <v/>
      </c>
      <c r="R2074" s="35" t="str">
        <f aca="false">IF(OR($P2074="",$Q2074=""),"",INDEX(BookRate,2069)*$P2074*(5-MATCH($Q2074,{"Q1";"Q2";"Q3";"Q4"},0))/4+INDEX(BookOneOff,2069)*$P2074)</f>
        <v/>
      </c>
      <c r="S2074" s="35" t="str">
        <f aca="false">IF($P2074="","",INDEX(BookRate,2069)*$P2074)</f>
        <v/>
      </c>
      <c r="T2074" s="35" t="str">
        <f aca="false">IF($R2074="","",$R2074-$K2074)</f>
        <v/>
      </c>
      <c r="U2074" s="35" t="str">
        <f aca="false">IF(N($P2074)&lt;=0,"",COUNTIF($P$6:$P2074,"&gt;0"))</f>
        <v/>
      </c>
    </row>
    <row r="2075" customFormat="false" ht="15" hidden="false" customHeight="false" outlineLevel="0" collapsed="false">
      <c r="A2075" s="40" t="str">
        <f aca="false">IF(INDEX(BookTitle,2070)="","",INDEX(BookGroup,2070))</f>
        <v/>
      </c>
      <c r="B2075" s="40" t="str">
        <f aca="false">IF(INDEX(BookTitle,2070)="","",INDEX(BookRef,2070))</f>
        <v/>
      </c>
      <c r="C2075" s="40" t="str">
        <f aca="false">IF(INDEX(BookTitle,2070)="","",INDEX(BookDivision,2070))</f>
        <v/>
      </c>
      <c r="D2075" s="40" t="str">
        <f aca="false">IF(INDEX(BookTitle,2070)="","",INDEX(BookUnit,2070))</f>
        <v/>
      </c>
      <c r="E2075" s="40" t="str">
        <f aca="false">IF(INDEX(BookTitle,2070)="","",INDEX(BookTitle,2070))</f>
        <v/>
      </c>
      <c r="F2075" s="40" t="str">
        <f aca="false">IF(INDEX(BookTitle,2070)="","",INDEX(BookLevel,2070))</f>
        <v/>
      </c>
      <c r="G2075" s="40" t="str">
        <f aca="false">IF(INDEX(BookTitle,2070)="","",INDEX(BookCategory,2070))</f>
        <v/>
      </c>
      <c r="H2075" s="40" t="str">
        <f aca="false">IF(INDEX(BookTitle,2070)="","",INDEX(BookRank,2070))</f>
        <v/>
      </c>
      <c r="I2075" s="41" t="str">
        <f aca="false">IF(INDEX(BookTitle,2070)="","",INDEX(BookTotal,2070))</f>
        <v/>
      </c>
      <c r="J2075" s="0" t="str">
        <f aca="false">IF($I2075="","",IF(INDEX(BookQ1,2070)&gt;0,"Q1",IF(INDEX(BookQ2,2070)&gt;0,"Q2",IF(INDEX(BookQ3,2070)&gt;0,"Q3",IF(INDEX(BookQ4,2070)&gt;0,"Q4","")))))</f>
        <v/>
      </c>
      <c r="K2075" s="42" t="str">
        <f aca="false">IF(INDEX(BookTitle,2070)="","",INDEX(BookInYear,2070))</f>
        <v/>
      </c>
      <c r="L2075" s="19"/>
      <c r="M2075" s="39"/>
      <c r="N2075" s="19"/>
      <c r="O2075" s="19"/>
      <c r="P2075" s="43" t="str">
        <f aca="false">IF($E2075="","",IF($L2075="Decline",0,IF($L2075="Approve fewer",IF($M2075="","",$M2075),IF($L2075="","",$I2075))))</f>
        <v/>
      </c>
      <c r="Q2075" s="34" t="str">
        <f aca="false">IF($P2075="","",IF($N2075&lt;&gt;"",$N2075,$J2075))</f>
        <v/>
      </c>
      <c r="R2075" s="35" t="str">
        <f aca="false">IF(OR($P2075="",$Q2075=""),"",INDEX(BookRate,2070)*$P2075*(5-MATCH($Q2075,{"Q1";"Q2";"Q3";"Q4"},0))/4+INDEX(BookOneOff,2070)*$P2075)</f>
        <v/>
      </c>
      <c r="S2075" s="35" t="str">
        <f aca="false">IF($P2075="","",INDEX(BookRate,2070)*$P2075)</f>
        <v/>
      </c>
      <c r="T2075" s="35" t="str">
        <f aca="false">IF($R2075="","",$R2075-$K2075)</f>
        <v/>
      </c>
      <c r="U2075" s="35" t="str">
        <f aca="false">IF(N($P2075)&lt;=0,"",COUNTIF($P$6:$P2075,"&gt;0"))</f>
        <v/>
      </c>
    </row>
    <row r="2076" customFormat="false" ht="15" hidden="false" customHeight="false" outlineLevel="0" collapsed="false">
      <c r="A2076" s="40" t="str">
        <f aca="false">IF(INDEX(BookTitle,2071)="","",INDEX(BookGroup,2071))</f>
        <v/>
      </c>
      <c r="B2076" s="40" t="str">
        <f aca="false">IF(INDEX(BookTitle,2071)="","",INDEX(BookRef,2071))</f>
        <v/>
      </c>
      <c r="C2076" s="40" t="str">
        <f aca="false">IF(INDEX(BookTitle,2071)="","",INDEX(BookDivision,2071))</f>
        <v/>
      </c>
      <c r="D2076" s="40" t="str">
        <f aca="false">IF(INDEX(BookTitle,2071)="","",INDEX(BookUnit,2071))</f>
        <v/>
      </c>
      <c r="E2076" s="40" t="str">
        <f aca="false">IF(INDEX(BookTitle,2071)="","",INDEX(BookTitle,2071))</f>
        <v/>
      </c>
      <c r="F2076" s="40" t="str">
        <f aca="false">IF(INDEX(BookTitle,2071)="","",INDEX(BookLevel,2071))</f>
        <v/>
      </c>
      <c r="G2076" s="40" t="str">
        <f aca="false">IF(INDEX(BookTitle,2071)="","",INDEX(BookCategory,2071))</f>
        <v/>
      </c>
      <c r="H2076" s="40" t="str">
        <f aca="false">IF(INDEX(BookTitle,2071)="","",INDEX(BookRank,2071))</f>
        <v/>
      </c>
      <c r="I2076" s="41" t="str">
        <f aca="false">IF(INDEX(BookTitle,2071)="","",INDEX(BookTotal,2071))</f>
        <v/>
      </c>
      <c r="J2076" s="0" t="str">
        <f aca="false">IF($I2076="","",IF(INDEX(BookQ1,2071)&gt;0,"Q1",IF(INDEX(BookQ2,2071)&gt;0,"Q2",IF(INDEX(BookQ3,2071)&gt;0,"Q3",IF(INDEX(BookQ4,2071)&gt;0,"Q4","")))))</f>
        <v/>
      </c>
      <c r="K2076" s="42" t="str">
        <f aca="false">IF(INDEX(BookTitle,2071)="","",INDEX(BookInYear,2071))</f>
        <v/>
      </c>
      <c r="L2076" s="19"/>
      <c r="M2076" s="39"/>
      <c r="N2076" s="19"/>
      <c r="O2076" s="19"/>
      <c r="P2076" s="43" t="str">
        <f aca="false">IF($E2076="","",IF($L2076="Decline",0,IF($L2076="Approve fewer",IF($M2076="","",$M2076),IF($L2076="","",$I2076))))</f>
        <v/>
      </c>
      <c r="Q2076" s="34" t="str">
        <f aca="false">IF($P2076="","",IF($N2076&lt;&gt;"",$N2076,$J2076))</f>
        <v/>
      </c>
      <c r="R2076" s="35" t="str">
        <f aca="false">IF(OR($P2076="",$Q2076=""),"",INDEX(BookRate,2071)*$P2076*(5-MATCH($Q2076,{"Q1";"Q2";"Q3";"Q4"},0))/4+INDEX(BookOneOff,2071)*$P2076)</f>
        <v/>
      </c>
      <c r="S2076" s="35" t="str">
        <f aca="false">IF($P2076="","",INDEX(BookRate,2071)*$P2076)</f>
        <v/>
      </c>
      <c r="T2076" s="35" t="str">
        <f aca="false">IF($R2076="","",$R2076-$K2076)</f>
        <v/>
      </c>
      <c r="U2076" s="35" t="str">
        <f aca="false">IF(N($P2076)&lt;=0,"",COUNTIF($P$6:$P2076,"&gt;0"))</f>
        <v/>
      </c>
    </row>
    <row r="2077" customFormat="false" ht="15" hidden="false" customHeight="false" outlineLevel="0" collapsed="false">
      <c r="A2077" s="40" t="str">
        <f aca="false">IF(INDEX(BookTitle,2072)="","",INDEX(BookGroup,2072))</f>
        <v/>
      </c>
      <c r="B2077" s="40" t="str">
        <f aca="false">IF(INDEX(BookTitle,2072)="","",INDEX(BookRef,2072))</f>
        <v/>
      </c>
      <c r="C2077" s="40" t="str">
        <f aca="false">IF(INDEX(BookTitle,2072)="","",INDEX(BookDivision,2072))</f>
        <v/>
      </c>
      <c r="D2077" s="40" t="str">
        <f aca="false">IF(INDEX(BookTitle,2072)="","",INDEX(BookUnit,2072))</f>
        <v/>
      </c>
      <c r="E2077" s="40" t="str">
        <f aca="false">IF(INDEX(BookTitle,2072)="","",INDEX(BookTitle,2072))</f>
        <v/>
      </c>
      <c r="F2077" s="40" t="str">
        <f aca="false">IF(INDEX(BookTitle,2072)="","",INDEX(BookLevel,2072))</f>
        <v/>
      </c>
      <c r="G2077" s="40" t="str">
        <f aca="false">IF(INDEX(BookTitle,2072)="","",INDEX(BookCategory,2072))</f>
        <v/>
      </c>
      <c r="H2077" s="40" t="str">
        <f aca="false">IF(INDEX(BookTitle,2072)="","",INDEX(BookRank,2072))</f>
        <v/>
      </c>
      <c r="I2077" s="41" t="str">
        <f aca="false">IF(INDEX(BookTitle,2072)="","",INDEX(BookTotal,2072))</f>
        <v/>
      </c>
      <c r="J2077" s="0" t="str">
        <f aca="false">IF($I2077="","",IF(INDEX(BookQ1,2072)&gt;0,"Q1",IF(INDEX(BookQ2,2072)&gt;0,"Q2",IF(INDEX(BookQ3,2072)&gt;0,"Q3",IF(INDEX(BookQ4,2072)&gt;0,"Q4","")))))</f>
        <v/>
      </c>
      <c r="K2077" s="42" t="str">
        <f aca="false">IF(INDEX(BookTitle,2072)="","",INDEX(BookInYear,2072))</f>
        <v/>
      </c>
      <c r="L2077" s="19"/>
      <c r="M2077" s="39"/>
      <c r="N2077" s="19"/>
      <c r="O2077" s="19"/>
      <c r="P2077" s="43" t="str">
        <f aca="false">IF($E2077="","",IF($L2077="Decline",0,IF($L2077="Approve fewer",IF($M2077="","",$M2077),IF($L2077="","",$I2077))))</f>
        <v/>
      </c>
      <c r="Q2077" s="34" t="str">
        <f aca="false">IF($P2077="","",IF($N2077&lt;&gt;"",$N2077,$J2077))</f>
        <v/>
      </c>
      <c r="R2077" s="35" t="str">
        <f aca="false">IF(OR($P2077="",$Q2077=""),"",INDEX(BookRate,2072)*$P2077*(5-MATCH($Q2077,{"Q1";"Q2";"Q3";"Q4"},0))/4+INDEX(BookOneOff,2072)*$P2077)</f>
        <v/>
      </c>
      <c r="S2077" s="35" t="str">
        <f aca="false">IF($P2077="","",INDEX(BookRate,2072)*$P2077)</f>
        <v/>
      </c>
      <c r="T2077" s="35" t="str">
        <f aca="false">IF($R2077="","",$R2077-$K2077)</f>
        <v/>
      </c>
      <c r="U2077" s="35" t="str">
        <f aca="false">IF(N($P2077)&lt;=0,"",COUNTIF($P$6:$P2077,"&gt;0"))</f>
        <v/>
      </c>
    </row>
    <row r="2078" customFormat="false" ht="15" hidden="false" customHeight="false" outlineLevel="0" collapsed="false">
      <c r="A2078" s="40" t="str">
        <f aca="false">IF(INDEX(BookTitle,2073)="","",INDEX(BookGroup,2073))</f>
        <v/>
      </c>
      <c r="B2078" s="40" t="str">
        <f aca="false">IF(INDEX(BookTitle,2073)="","",INDEX(BookRef,2073))</f>
        <v/>
      </c>
      <c r="C2078" s="40" t="str">
        <f aca="false">IF(INDEX(BookTitle,2073)="","",INDEX(BookDivision,2073))</f>
        <v/>
      </c>
      <c r="D2078" s="40" t="str">
        <f aca="false">IF(INDEX(BookTitle,2073)="","",INDEX(BookUnit,2073))</f>
        <v/>
      </c>
      <c r="E2078" s="40" t="str">
        <f aca="false">IF(INDEX(BookTitle,2073)="","",INDEX(BookTitle,2073))</f>
        <v/>
      </c>
      <c r="F2078" s="40" t="str">
        <f aca="false">IF(INDEX(BookTitle,2073)="","",INDEX(BookLevel,2073))</f>
        <v/>
      </c>
      <c r="G2078" s="40" t="str">
        <f aca="false">IF(INDEX(BookTitle,2073)="","",INDEX(BookCategory,2073))</f>
        <v/>
      </c>
      <c r="H2078" s="40" t="str">
        <f aca="false">IF(INDEX(BookTitle,2073)="","",INDEX(BookRank,2073))</f>
        <v/>
      </c>
      <c r="I2078" s="41" t="str">
        <f aca="false">IF(INDEX(BookTitle,2073)="","",INDEX(BookTotal,2073))</f>
        <v/>
      </c>
      <c r="J2078" s="0" t="str">
        <f aca="false">IF($I2078="","",IF(INDEX(BookQ1,2073)&gt;0,"Q1",IF(INDEX(BookQ2,2073)&gt;0,"Q2",IF(INDEX(BookQ3,2073)&gt;0,"Q3",IF(INDEX(BookQ4,2073)&gt;0,"Q4","")))))</f>
        <v/>
      </c>
      <c r="K2078" s="42" t="str">
        <f aca="false">IF(INDEX(BookTitle,2073)="","",INDEX(BookInYear,2073))</f>
        <v/>
      </c>
      <c r="L2078" s="19"/>
      <c r="M2078" s="39"/>
      <c r="N2078" s="19"/>
      <c r="O2078" s="19"/>
      <c r="P2078" s="43" t="str">
        <f aca="false">IF($E2078="","",IF($L2078="Decline",0,IF($L2078="Approve fewer",IF($M2078="","",$M2078),IF($L2078="","",$I2078))))</f>
        <v/>
      </c>
      <c r="Q2078" s="34" t="str">
        <f aca="false">IF($P2078="","",IF($N2078&lt;&gt;"",$N2078,$J2078))</f>
        <v/>
      </c>
      <c r="R2078" s="35" t="str">
        <f aca="false">IF(OR($P2078="",$Q2078=""),"",INDEX(BookRate,2073)*$P2078*(5-MATCH($Q2078,{"Q1";"Q2";"Q3";"Q4"},0))/4+INDEX(BookOneOff,2073)*$P2078)</f>
        <v/>
      </c>
      <c r="S2078" s="35" t="str">
        <f aca="false">IF($P2078="","",INDEX(BookRate,2073)*$P2078)</f>
        <v/>
      </c>
      <c r="T2078" s="35" t="str">
        <f aca="false">IF($R2078="","",$R2078-$K2078)</f>
        <v/>
      </c>
      <c r="U2078" s="35" t="str">
        <f aca="false">IF(N($P2078)&lt;=0,"",COUNTIF($P$6:$P2078,"&gt;0"))</f>
        <v/>
      </c>
    </row>
    <row r="2079" customFormat="false" ht="15" hidden="false" customHeight="false" outlineLevel="0" collapsed="false">
      <c r="A2079" s="40" t="str">
        <f aca="false">IF(INDEX(BookTitle,2074)="","",INDEX(BookGroup,2074))</f>
        <v/>
      </c>
      <c r="B2079" s="40" t="str">
        <f aca="false">IF(INDEX(BookTitle,2074)="","",INDEX(BookRef,2074))</f>
        <v/>
      </c>
      <c r="C2079" s="40" t="str">
        <f aca="false">IF(INDEX(BookTitle,2074)="","",INDEX(BookDivision,2074))</f>
        <v/>
      </c>
      <c r="D2079" s="40" t="str">
        <f aca="false">IF(INDEX(BookTitle,2074)="","",INDEX(BookUnit,2074))</f>
        <v/>
      </c>
      <c r="E2079" s="40" t="str">
        <f aca="false">IF(INDEX(BookTitle,2074)="","",INDEX(BookTitle,2074))</f>
        <v/>
      </c>
      <c r="F2079" s="40" t="str">
        <f aca="false">IF(INDEX(BookTitle,2074)="","",INDEX(BookLevel,2074))</f>
        <v/>
      </c>
      <c r="G2079" s="40" t="str">
        <f aca="false">IF(INDEX(BookTitle,2074)="","",INDEX(BookCategory,2074))</f>
        <v/>
      </c>
      <c r="H2079" s="40" t="str">
        <f aca="false">IF(INDEX(BookTitle,2074)="","",INDEX(BookRank,2074))</f>
        <v/>
      </c>
      <c r="I2079" s="41" t="str">
        <f aca="false">IF(INDEX(BookTitle,2074)="","",INDEX(BookTotal,2074))</f>
        <v/>
      </c>
      <c r="J2079" s="0" t="str">
        <f aca="false">IF($I2079="","",IF(INDEX(BookQ1,2074)&gt;0,"Q1",IF(INDEX(BookQ2,2074)&gt;0,"Q2",IF(INDEX(BookQ3,2074)&gt;0,"Q3",IF(INDEX(BookQ4,2074)&gt;0,"Q4","")))))</f>
        <v/>
      </c>
      <c r="K2079" s="42" t="str">
        <f aca="false">IF(INDEX(BookTitle,2074)="","",INDEX(BookInYear,2074))</f>
        <v/>
      </c>
      <c r="L2079" s="19"/>
      <c r="M2079" s="39"/>
      <c r="N2079" s="19"/>
      <c r="O2079" s="19"/>
      <c r="P2079" s="43" t="str">
        <f aca="false">IF($E2079="","",IF($L2079="Decline",0,IF($L2079="Approve fewer",IF($M2079="","",$M2079),IF($L2079="","",$I2079))))</f>
        <v/>
      </c>
      <c r="Q2079" s="34" t="str">
        <f aca="false">IF($P2079="","",IF($N2079&lt;&gt;"",$N2079,$J2079))</f>
        <v/>
      </c>
      <c r="R2079" s="35" t="str">
        <f aca="false">IF(OR($P2079="",$Q2079=""),"",INDEX(BookRate,2074)*$P2079*(5-MATCH($Q2079,{"Q1";"Q2";"Q3";"Q4"},0))/4+INDEX(BookOneOff,2074)*$P2079)</f>
        <v/>
      </c>
      <c r="S2079" s="35" t="str">
        <f aca="false">IF($P2079="","",INDEX(BookRate,2074)*$P2079)</f>
        <v/>
      </c>
      <c r="T2079" s="35" t="str">
        <f aca="false">IF($R2079="","",$R2079-$K2079)</f>
        <v/>
      </c>
      <c r="U2079" s="35" t="str">
        <f aca="false">IF(N($P2079)&lt;=0,"",COUNTIF($P$6:$P2079,"&gt;0"))</f>
        <v/>
      </c>
    </row>
    <row r="2080" customFormat="false" ht="15" hidden="false" customHeight="false" outlineLevel="0" collapsed="false">
      <c r="A2080" s="40" t="str">
        <f aca="false">IF(INDEX(BookTitle,2075)="","",INDEX(BookGroup,2075))</f>
        <v/>
      </c>
      <c r="B2080" s="40" t="str">
        <f aca="false">IF(INDEX(BookTitle,2075)="","",INDEX(BookRef,2075))</f>
        <v/>
      </c>
      <c r="C2080" s="40" t="str">
        <f aca="false">IF(INDEX(BookTitle,2075)="","",INDEX(BookDivision,2075))</f>
        <v/>
      </c>
      <c r="D2080" s="40" t="str">
        <f aca="false">IF(INDEX(BookTitle,2075)="","",INDEX(BookUnit,2075))</f>
        <v/>
      </c>
      <c r="E2080" s="40" t="str">
        <f aca="false">IF(INDEX(BookTitle,2075)="","",INDEX(BookTitle,2075))</f>
        <v/>
      </c>
      <c r="F2080" s="40" t="str">
        <f aca="false">IF(INDEX(BookTitle,2075)="","",INDEX(BookLevel,2075))</f>
        <v/>
      </c>
      <c r="G2080" s="40" t="str">
        <f aca="false">IF(INDEX(BookTitle,2075)="","",INDEX(BookCategory,2075))</f>
        <v/>
      </c>
      <c r="H2080" s="40" t="str">
        <f aca="false">IF(INDEX(BookTitle,2075)="","",INDEX(BookRank,2075))</f>
        <v/>
      </c>
      <c r="I2080" s="41" t="str">
        <f aca="false">IF(INDEX(BookTitle,2075)="","",INDEX(BookTotal,2075))</f>
        <v/>
      </c>
      <c r="J2080" s="0" t="str">
        <f aca="false">IF($I2080="","",IF(INDEX(BookQ1,2075)&gt;0,"Q1",IF(INDEX(BookQ2,2075)&gt;0,"Q2",IF(INDEX(BookQ3,2075)&gt;0,"Q3",IF(INDEX(BookQ4,2075)&gt;0,"Q4","")))))</f>
        <v/>
      </c>
      <c r="K2080" s="42" t="str">
        <f aca="false">IF(INDEX(BookTitle,2075)="","",INDEX(BookInYear,2075))</f>
        <v/>
      </c>
      <c r="L2080" s="19"/>
      <c r="M2080" s="39"/>
      <c r="N2080" s="19"/>
      <c r="O2080" s="19"/>
      <c r="P2080" s="43" t="str">
        <f aca="false">IF($E2080="","",IF($L2080="Decline",0,IF($L2080="Approve fewer",IF($M2080="","",$M2080),IF($L2080="","",$I2080))))</f>
        <v/>
      </c>
      <c r="Q2080" s="34" t="str">
        <f aca="false">IF($P2080="","",IF($N2080&lt;&gt;"",$N2080,$J2080))</f>
        <v/>
      </c>
      <c r="R2080" s="35" t="str">
        <f aca="false">IF(OR($P2080="",$Q2080=""),"",INDEX(BookRate,2075)*$P2080*(5-MATCH($Q2080,{"Q1";"Q2";"Q3";"Q4"},0))/4+INDEX(BookOneOff,2075)*$P2080)</f>
        <v/>
      </c>
      <c r="S2080" s="35" t="str">
        <f aca="false">IF($P2080="","",INDEX(BookRate,2075)*$P2080)</f>
        <v/>
      </c>
      <c r="T2080" s="35" t="str">
        <f aca="false">IF($R2080="","",$R2080-$K2080)</f>
        <v/>
      </c>
      <c r="U2080" s="35" t="str">
        <f aca="false">IF(N($P2080)&lt;=0,"",COUNTIF($P$6:$P2080,"&gt;0"))</f>
        <v/>
      </c>
    </row>
    <row r="2081" customFormat="false" ht="15" hidden="false" customHeight="false" outlineLevel="0" collapsed="false">
      <c r="A2081" s="40" t="str">
        <f aca="false">IF(INDEX(BookTitle,2076)="","",INDEX(BookGroup,2076))</f>
        <v/>
      </c>
      <c r="B2081" s="40" t="str">
        <f aca="false">IF(INDEX(BookTitle,2076)="","",INDEX(BookRef,2076))</f>
        <v/>
      </c>
      <c r="C2081" s="40" t="str">
        <f aca="false">IF(INDEX(BookTitle,2076)="","",INDEX(BookDivision,2076))</f>
        <v/>
      </c>
      <c r="D2081" s="40" t="str">
        <f aca="false">IF(INDEX(BookTitle,2076)="","",INDEX(BookUnit,2076))</f>
        <v/>
      </c>
      <c r="E2081" s="40" t="str">
        <f aca="false">IF(INDEX(BookTitle,2076)="","",INDEX(BookTitle,2076))</f>
        <v/>
      </c>
      <c r="F2081" s="40" t="str">
        <f aca="false">IF(INDEX(BookTitle,2076)="","",INDEX(BookLevel,2076))</f>
        <v/>
      </c>
      <c r="G2081" s="40" t="str">
        <f aca="false">IF(INDEX(BookTitle,2076)="","",INDEX(BookCategory,2076))</f>
        <v/>
      </c>
      <c r="H2081" s="40" t="str">
        <f aca="false">IF(INDEX(BookTitle,2076)="","",INDEX(BookRank,2076))</f>
        <v/>
      </c>
      <c r="I2081" s="41" t="str">
        <f aca="false">IF(INDEX(BookTitle,2076)="","",INDEX(BookTotal,2076))</f>
        <v/>
      </c>
      <c r="J2081" s="0" t="str">
        <f aca="false">IF($I2081="","",IF(INDEX(BookQ1,2076)&gt;0,"Q1",IF(INDEX(BookQ2,2076)&gt;0,"Q2",IF(INDEX(BookQ3,2076)&gt;0,"Q3",IF(INDEX(BookQ4,2076)&gt;0,"Q4","")))))</f>
        <v/>
      </c>
      <c r="K2081" s="42" t="str">
        <f aca="false">IF(INDEX(BookTitle,2076)="","",INDEX(BookInYear,2076))</f>
        <v/>
      </c>
      <c r="L2081" s="19"/>
      <c r="M2081" s="39"/>
      <c r="N2081" s="19"/>
      <c r="O2081" s="19"/>
      <c r="P2081" s="43" t="str">
        <f aca="false">IF($E2081="","",IF($L2081="Decline",0,IF($L2081="Approve fewer",IF($M2081="","",$M2081),IF($L2081="","",$I2081))))</f>
        <v/>
      </c>
      <c r="Q2081" s="34" t="str">
        <f aca="false">IF($P2081="","",IF($N2081&lt;&gt;"",$N2081,$J2081))</f>
        <v/>
      </c>
      <c r="R2081" s="35" t="str">
        <f aca="false">IF(OR($P2081="",$Q2081=""),"",INDEX(BookRate,2076)*$P2081*(5-MATCH($Q2081,{"Q1";"Q2";"Q3";"Q4"},0))/4+INDEX(BookOneOff,2076)*$P2081)</f>
        <v/>
      </c>
      <c r="S2081" s="35" t="str">
        <f aca="false">IF($P2081="","",INDEX(BookRate,2076)*$P2081)</f>
        <v/>
      </c>
      <c r="T2081" s="35" t="str">
        <f aca="false">IF($R2081="","",$R2081-$K2081)</f>
        <v/>
      </c>
      <c r="U2081" s="35" t="str">
        <f aca="false">IF(N($P2081)&lt;=0,"",COUNTIF($P$6:$P2081,"&gt;0"))</f>
        <v/>
      </c>
    </row>
    <row r="2082" customFormat="false" ht="15" hidden="false" customHeight="false" outlineLevel="0" collapsed="false">
      <c r="A2082" s="40" t="str">
        <f aca="false">IF(INDEX(BookTitle,2077)="","",INDEX(BookGroup,2077))</f>
        <v/>
      </c>
      <c r="B2082" s="40" t="str">
        <f aca="false">IF(INDEX(BookTitle,2077)="","",INDEX(BookRef,2077))</f>
        <v/>
      </c>
      <c r="C2082" s="40" t="str">
        <f aca="false">IF(INDEX(BookTitle,2077)="","",INDEX(BookDivision,2077))</f>
        <v/>
      </c>
      <c r="D2082" s="40" t="str">
        <f aca="false">IF(INDEX(BookTitle,2077)="","",INDEX(BookUnit,2077))</f>
        <v/>
      </c>
      <c r="E2082" s="40" t="str">
        <f aca="false">IF(INDEX(BookTitle,2077)="","",INDEX(BookTitle,2077))</f>
        <v/>
      </c>
      <c r="F2082" s="40" t="str">
        <f aca="false">IF(INDEX(BookTitle,2077)="","",INDEX(BookLevel,2077))</f>
        <v/>
      </c>
      <c r="G2082" s="40" t="str">
        <f aca="false">IF(INDEX(BookTitle,2077)="","",INDEX(BookCategory,2077))</f>
        <v/>
      </c>
      <c r="H2082" s="40" t="str">
        <f aca="false">IF(INDEX(BookTitle,2077)="","",INDEX(BookRank,2077))</f>
        <v/>
      </c>
      <c r="I2082" s="41" t="str">
        <f aca="false">IF(INDEX(BookTitle,2077)="","",INDEX(BookTotal,2077))</f>
        <v/>
      </c>
      <c r="J2082" s="0" t="str">
        <f aca="false">IF($I2082="","",IF(INDEX(BookQ1,2077)&gt;0,"Q1",IF(INDEX(BookQ2,2077)&gt;0,"Q2",IF(INDEX(BookQ3,2077)&gt;0,"Q3",IF(INDEX(BookQ4,2077)&gt;0,"Q4","")))))</f>
        <v/>
      </c>
      <c r="K2082" s="42" t="str">
        <f aca="false">IF(INDEX(BookTitle,2077)="","",INDEX(BookInYear,2077))</f>
        <v/>
      </c>
      <c r="L2082" s="19"/>
      <c r="M2082" s="39"/>
      <c r="N2082" s="19"/>
      <c r="O2082" s="19"/>
      <c r="P2082" s="43" t="str">
        <f aca="false">IF($E2082="","",IF($L2082="Decline",0,IF($L2082="Approve fewer",IF($M2082="","",$M2082),IF($L2082="","",$I2082))))</f>
        <v/>
      </c>
      <c r="Q2082" s="34" t="str">
        <f aca="false">IF($P2082="","",IF($N2082&lt;&gt;"",$N2082,$J2082))</f>
        <v/>
      </c>
      <c r="R2082" s="35" t="str">
        <f aca="false">IF(OR($P2082="",$Q2082=""),"",INDEX(BookRate,2077)*$P2082*(5-MATCH($Q2082,{"Q1";"Q2";"Q3";"Q4"},0))/4+INDEX(BookOneOff,2077)*$P2082)</f>
        <v/>
      </c>
      <c r="S2082" s="35" t="str">
        <f aca="false">IF($P2082="","",INDEX(BookRate,2077)*$P2082)</f>
        <v/>
      </c>
      <c r="T2082" s="35" t="str">
        <f aca="false">IF($R2082="","",$R2082-$K2082)</f>
        <v/>
      </c>
      <c r="U2082" s="35" t="str">
        <f aca="false">IF(N($P2082)&lt;=0,"",COUNTIF($P$6:$P2082,"&gt;0"))</f>
        <v/>
      </c>
    </row>
    <row r="2083" customFormat="false" ht="15" hidden="false" customHeight="false" outlineLevel="0" collapsed="false">
      <c r="A2083" s="40" t="str">
        <f aca="false">IF(INDEX(BookTitle,2078)="","",INDEX(BookGroup,2078))</f>
        <v/>
      </c>
      <c r="B2083" s="40" t="str">
        <f aca="false">IF(INDEX(BookTitle,2078)="","",INDEX(BookRef,2078))</f>
        <v/>
      </c>
      <c r="C2083" s="40" t="str">
        <f aca="false">IF(INDEX(BookTitle,2078)="","",INDEX(BookDivision,2078))</f>
        <v/>
      </c>
      <c r="D2083" s="40" t="str">
        <f aca="false">IF(INDEX(BookTitle,2078)="","",INDEX(BookUnit,2078))</f>
        <v/>
      </c>
      <c r="E2083" s="40" t="str">
        <f aca="false">IF(INDEX(BookTitle,2078)="","",INDEX(BookTitle,2078))</f>
        <v/>
      </c>
      <c r="F2083" s="40" t="str">
        <f aca="false">IF(INDEX(BookTitle,2078)="","",INDEX(BookLevel,2078))</f>
        <v/>
      </c>
      <c r="G2083" s="40" t="str">
        <f aca="false">IF(INDEX(BookTitle,2078)="","",INDEX(BookCategory,2078))</f>
        <v/>
      </c>
      <c r="H2083" s="40" t="str">
        <f aca="false">IF(INDEX(BookTitle,2078)="","",INDEX(BookRank,2078))</f>
        <v/>
      </c>
      <c r="I2083" s="41" t="str">
        <f aca="false">IF(INDEX(BookTitle,2078)="","",INDEX(BookTotal,2078))</f>
        <v/>
      </c>
      <c r="J2083" s="0" t="str">
        <f aca="false">IF($I2083="","",IF(INDEX(BookQ1,2078)&gt;0,"Q1",IF(INDEX(BookQ2,2078)&gt;0,"Q2",IF(INDEX(BookQ3,2078)&gt;0,"Q3",IF(INDEX(BookQ4,2078)&gt;0,"Q4","")))))</f>
        <v/>
      </c>
      <c r="K2083" s="42" t="str">
        <f aca="false">IF(INDEX(BookTitle,2078)="","",INDEX(BookInYear,2078))</f>
        <v/>
      </c>
      <c r="L2083" s="19"/>
      <c r="M2083" s="39"/>
      <c r="N2083" s="19"/>
      <c r="O2083" s="19"/>
      <c r="P2083" s="43" t="str">
        <f aca="false">IF($E2083="","",IF($L2083="Decline",0,IF($L2083="Approve fewer",IF($M2083="","",$M2083),IF($L2083="","",$I2083))))</f>
        <v/>
      </c>
      <c r="Q2083" s="34" t="str">
        <f aca="false">IF($P2083="","",IF($N2083&lt;&gt;"",$N2083,$J2083))</f>
        <v/>
      </c>
      <c r="R2083" s="35" t="str">
        <f aca="false">IF(OR($P2083="",$Q2083=""),"",INDEX(BookRate,2078)*$P2083*(5-MATCH($Q2083,{"Q1";"Q2";"Q3";"Q4"},0))/4+INDEX(BookOneOff,2078)*$P2083)</f>
        <v/>
      </c>
      <c r="S2083" s="35" t="str">
        <f aca="false">IF($P2083="","",INDEX(BookRate,2078)*$P2083)</f>
        <v/>
      </c>
      <c r="T2083" s="35" t="str">
        <f aca="false">IF($R2083="","",$R2083-$K2083)</f>
        <v/>
      </c>
      <c r="U2083" s="35" t="str">
        <f aca="false">IF(N($P2083)&lt;=0,"",COUNTIF($P$6:$P2083,"&gt;0"))</f>
        <v/>
      </c>
    </row>
    <row r="2084" customFormat="false" ht="15" hidden="false" customHeight="false" outlineLevel="0" collapsed="false">
      <c r="A2084" s="40" t="str">
        <f aca="false">IF(INDEX(BookTitle,2079)="","",INDEX(BookGroup,2079))</f>
        <v/>
      </c>
      <c r="B2084" s="40" t="str">
        <f aca="false">IF(INDEX(BookTitle,2079)="","",INDEX(BookRef,2079))</f>
        <v/>
      </c>
      <c r="C2084" s="40" t="str">
        <f aca="false">IF(INDEX(BookTitle,2079)="","",INDEX(BookDivision,2079))</f>
        <v/>
      </c>
      <c r="D2084" s="40" t="str">
        <f aca="false">IF(INDEX(BookTitle,2079)="","",INDEX(BookUnit,2079))</f>
        <v/>
      </c>
      <c r="E2084" s="40" t="str">
        <f aca="false">IF(INDEX(BookTitle,2079)="","",INDEX(BookTitle,2079))</f>
        <v/>
      </c>
      <c r="F2084" s="40" t="str">
        <f aca="false">IF(INDEX(BookTitle,2079)="","",INDEX(BookLevel,2079))</f>
        <v/>
      </c>
      <c r="G2084" s="40" t="str">
        <f aca="false">IF(INDEX(BookTitle,2079)="","",INDEX(BookCategory,2079))</f>
        <v/>
      </c>
      <c r="H2084" s="40" t="str">
        <f aca="false">IF(INDEX(BookTitle,2079)="","",INDEX(BookRank,2079))</f>
        <v/>
      </c>
      <c r="I2084" s="41" t="str">
        <f aca="false">IF(INDEX(BookTitle,2079)="","",INDEX(BookTotal,2079))</f>
        <v/>
      </c>
      <c r="J2084" s="0" t="str">
        <f aca="false">IF($I2084="","",IF(INDEX(BookQ1,2079)&gt;0,"Q1",IF(INDEX(BookQ2,2079)&gt;0,"Q2",IF(INDEX(BookQ3,2079)&gt;0,"Q3",IF(INDEX(BookQ4,2079)&gt;0,"Q4","")))))</f>
        <v/>
      </c>
      <c r="K2084" s="42" t="str">
        <f aca="false">IF(INDEX(BookTitle,2079)="","",INDEX(BookInYear,2079))</f>
        <v/>
      </c>
      <c r="L2084" s="19"/>
      <c r="M2084" s="39"/>
      <c r="N2084" s="19"/>
      <c r="O2084" s="19"/>
      <c r="P2084" s="43" t="str">
        <f aca="false">IF($E2084="","",IF($L2084="Decline",0,IF($L2084="Approve fewer",IF($M2084="","",$M2084),IF($L2084="","",$I2084))))</f>
        <v/>
      </c>
      <c r="Q2084" s="34" t="str">
        <f aca="false">IF($P2084="","",IF($N2084&lt;&gt;"",$N2084,$J2084))</f>
        <v/>
      </c>
      <c r="R2084" s="35" t="str">
        <f aca="false">IF(OR($P2084="",$Q2084=""),"",INDEX(BookRate,2079)*$P2084*(5-MATCH($Q2084,{"Q1";"Q2";"Q3";"Q4"},0))/4+INDEX(BookOneOff,2079)*$P2084)</f>
        <v/>
      </c>
      <c r="S2084" s="35" t="str">
        <f aca="false">IF($P2084="","",INDEX(BookRate,2079)*$P2084)</f>
        <v/>
      </c>
      <c r="T2084" s="35" t="str">
        <f aca="false">IF($R2084="","",$R2084-$K2084)</f>
        <v/>
      </c>
      <c r="U2084" s="35" t="str">
        <f aca="false">IF(N($P2084)&lt;=0,"",COUNTIF($P$6:$P2084,"&gt;0"))</f>
        <v/>
      </c>
    </row>
    <row r="2085" customFormat="false" ht="15" hidden="false" customHeight="false" outlineLevel="0" collapsed="false">
      <c r="A2085" s="40" t="str">
        <f aca="false">IF(INDEX(BookTitle,2080)="","",INDEX(BookGroup,2080))</f>
        <v/>
      </c>
      <c r="B2085" s="40" t="str">
        <f aca="false">IF(INDEX(BookTitle,2080)="","",INDEX(BookRef,2080))</f>
        <v/>
      </c>
      <c r="C2085" s="40" t="str">
        <f aca="false">IF(INDEX(BookTitle,2080)="","",INDEX(BookDivision,2080))</f>
        <v/>
      </c>
      <c r="D2085" s="40" t="str">
        <f aca="false">IF(INDEX(BookTitle,2080)="","",INDEX(BookUnit,2080))</f>
        <v/>
      </c>
      <c r="E2085" s="40" t="str">
        <f aca="false">IF(INDEX(BookTitle,2080)="","",INDEX(BookTitle,2080))</f>
        <v/>
      </c>
      <c r="F2085" s="40" t="str">
        <f aca="false">IF(INDEX(BookTitle,2080)="","",INDEX(BookLevel,2080))</f>
        <v/>
      </c>
      <c r="G2085" s="40" t="str">
        <f aca="false">IF(INDEX(BookTitle,2080)="","",INDEX(BookCategory,2080))</f>
        <v/>
      </c>
      <c r="H2085" s="40" t="str">
        <f aca="false">IF(INDEX(BookTitle,2080)="","",INDEX(BookRank,2080))</f>
        <v/>
      </c>
      <c r="I2085" s="41" t="str">
        <f aca="false">IF(INDEX(BookTitle,2080)="","",INDEX(BookTotal,2080))</f>
        <v/>
      </c>
      <c r="J2085" s="0" t="str">
        <f aca="false">IF($I2085="","",IF(INDEX(BookQ1,2080)&gt;0,"Q1",IF(INDEX(BookQ2,2080)&gt;0,"Q2",IF(INDEX(BookQ3,2080)&gt;0,"Q3",IF(INDEX(BookQ4,2080)&gt;0,"Q4","")))))</f>
        <v/>
      </c>
      <c r="K2085" s="42" t="str">
        <f aca="false">IF(INDEX(BookTitle,2080)="","",INDEX(BookInYear,2080))</f>
        <v/>
      </c>
      <c r="L2085" s="19"/>
      <c r="M2085" s="39"/>
      <c r="N2085" s="19"/>
      <c r="O2085" s="19"/>
      <c r="P2085" s="43" t="str">
        <f aca="false">IF($E2085="","",IF($L2085="Decline",0,IF($L2085="Approve fewer",IF($M2085="","",$M2085),IF($L2085="","",$I2085))))</f>
        <v/>
      </c>
      <c r="Q2085" s="34" t="str">
        <f aca="false">IF($P2085="","",IF($N2085&lt;&gt;"",$N2085,$J2085))</f>
        <v/>
      </c>
      <c r="R2085" s="35" t="str">
        <f aca="false">IF(OR($P2085="",$Q2085=""),"",INDEX(BookRate,2080)*$P2085*(5-MATCH($Q2085,{"Q1";"Q2";"Q3";"Q4"},0))/4+INDEX(BookOneOff,2080)*$P2085)</f>
        <v/>
      </c>
      <c r="S2085" s="35" t="str">
        <f aca="false">IF($P2085="","",INDEX(BookRate,2080)*$P2085)</f>
        <v/>
      </c>
      <c r="T2085" s="35" t="str">
        <f aca="false">IF($R2085="","",$R2085-$K2085)</f>
        <v/>
      </c>
      <c r="U2085" s="35" t="str">
        <f aca="false">IF(N($P2085)&lt;=0,"",COUNTIF($P$6:$P2085,"&gt;0"))</f>
        <v/>
      </c>
    </row>
    <row r="2086" customFormat="false" ht="15" hidden="false" customHeight="false" outlineLevel="0" collapsed="false">
      <c r="A2086" s="40" t="str">
        <f aca="false">IF(INDEX(BookTitle,2081)="","",INDEX(BookGroup,2081))</f>
        <v/>
      </c>
      <c r="B2086" s="40" t="str">
        <f aca="false">IF(INDEX(BookTitle,2081)="","",INDEX(BookRef,2081))</f>
        <v/>
      </c>
      <c r="C2086" s="40" t="str">
        <f aca="false">IF(INDEX(BookTitle,2081)="","",INDEX(BookDivision,2081))</f>
        <v/>
      </c>
      <c r="D2086" s="40" t="str">
        <f aca="false">IF(INDEX(BookTitle,2081)="","",INDEX(BookUnit,2081))</f>
        <v/>
      </c>
      <c r="E2086" s="40" t="str">
        <f aca="false">IF(INDEX(BookTitle,2081)="","",INDEX(BookTitle,2081))</f>
        <v/>
      </c>
      <c r="F2086" s="40" t="str">
        <f aca="false">IF(INDEX(BookTitle,2081)="","",INDEX(BookLevel,2081))</f>
        <v/>
      </c>
      <c r="G2086" s="40" t="str">
        <f aca="false">IF(INDEX(BookTitle,2081)="","",INDEX(BookCategory,2081))</f>
        <v/>
      </c>
      <c r="H2086" s="40" t="str">
        <f aca="false">IF(INDEX(BookTitle,2081)="","",INDEX(BookRank,2081))</f>
        <v/>
      </c>
      <c r="I2086" s="41" t="str">
        <f aca="false">IF(INDEX(BookTitle,2081)="","",INDEX(BookTotal,2081))</f>
        <v/>
      </c>
      <c r="J2086" s="0" t="str">
        <f aca="false">IF($I2086="","",IF(INDEX(BookQ1,2081)&gt;0,"Q1",IF(INDEX(BookQ2,2081)&gt;0,"Q2",IF(INDEX(BookQ3,2081)&gt;0,"Q3",IF(INDEX(BookQ4,2081)&gt;0,"Q4","")))))</f>
        <v/>
      </c>
      <c r="K2086" s="42" t="str">
        <f aca="false">IF(INDEX(BookTitle,2081)="","",INDEX(BookInYear,2081))</f>
        <v/>
      </c>
      <c r="L2086" s="19"/>
      <c r="M2086" s="39"/>
      <c r="N2086" s="19"/>
      <c r="O2086" s="19"/>
      <c r="P2086" s="43" t="str">
        <f aca="false">IF($E2086="","",IF($L2086="Decline",0,IF($L2086="Approve fewer",IF($M2086="","",$M2086),IF($L2086="","",$I2086))))</f>
        <v/>
      </c>
      <c r="Q2086" s="34" t="str">
        <f aca="false">IF($P2086="","",IF($N2086&lt;&gt;"",$N2086,$J2086))</f>
        <v/>
      </c>
      <c r="R2086" s="35" t="str">
        <f aca="false">IF(OR($P2086="",$Q2086=""),"",INDEX(BookRate,2081)*$P2086*(5-MATCH($Q2086,{"Q1";"Q2";"Q3";"Q4"},0))/4+INDEX(BookOneOff,2081)*$P2086)</f>
        <v/>
      </c>
      <c r="S2086" s="35" t="str">
        <f aca="false">IF($P2086="","",INDEX(BookRate,2081)*$P2086)</f>
        <v/>
      </c>
      <c r="T2086" s="35" t="str">
        <f aca="false">IF($R2086="","",$R2086-$K2086)</f>
        <v/>
      </c>
      <c r="U2086" s="35" t="str">
        <f aca="false">IF(N($P2086)&lt;=0,"",COUNTIF($P$6:$P2086,"&gt;0"))</f>
        <v/>
      </c>
    </row>
    <row r="2087" customFormat="false" ht="15" hidden="false" customHeight="false" outlineLevel="0" collapsed="false">
      <c r="A2087" s="40" t="str">
        <f aca="false">IF(INDEX(BookTitle,2082)="","",INDEX(BookGroup,2082))</f>
        <v/>
      </c>
      <c r="B2087" s="40" t="str">
        <f aca="false">IF(INDEX(BookTitle,2082)="","",INDEX(BookRef,2082))</f>
        <v/>
      </c>
      <c r="C2087" s="40" t="str">
        <f aca="false">IF(INDEX(BookTitle,2082)="","",INDEX(BookDivision,2082))</f>
        <v/>
      </c>
      <c r="D2087" s="40" t="str">
        <f aca="false">IF(INDEX(BookTitle,2082)="","",INDEX(BookUnit,2082))</f>
        <v/>
      </c>
      <c r="E2087" s="40" t="str">
        <f aca="false">IF(INDEX(BookTitle,2082)="","",INDEX(BookTitle,2082))</f>
        <v/>
      </c>
      <c r="F2087" s="40" t="str">
        <f aca="false">IF(INDEX(BookTitle,2082)="","",INDEX(BookLevel,2082))</f>
        <v/>
      </c>
      <c r="G2087" s="40" t="str">
        <f aca="false">IF(INDEX(BookTitle,2082)="","",INDEX(BookCategory,2082))</f>
        <v/>
      </c>
      <c r="H2087" s="40" t="str">
        <f aca="false">IF(INDEX(BookTitle,2082)="","",INDEX(BookRank,2082))</f>
        <v/>
      </c>
      <c r="I2087" s="41" t="str">
        <f aca="false">IF(INDEX(BookTitle,2082)="","",INDEX(BookTotal,2082))</f>
        <v/>
      </c>
      <c r="J2087" s="0" t="str">
        <f aca="false">IF($I2087="","",IF(INDEX(BookQ1,2082)&gt;0,"Q1",IF(INDEX(BookQ2,2082)&gt;0,"Q2",IF(INDEX(BookQ3,2082)&gt;0,"Q3",IF(INDEX(BookQ4,2082)&gt;0,"Q4","")))))</f>
        <v/>
      </c>
      <c r="K2087" s="42" t="str">
        <f aca="false">IF(INDEX(BookTitle,2082)="","",INDEX(BookInYear,2082))</f>
        <v/>
      </c>
      <c r="L2087" s="19"/>
      <c r="M2087" s="39"/>
      <c r="N2087" s="19"/>
      <c r="O2087" s="19"/>
      <c r="P2087" s="43" t="str">
        <f aca="false">IF($E2087="","",IF($L2087="Decline",0,IF($L2087="Approve fewer",IF($M2087="","",$M2087),IF($L2087="","",$I2087))))</f>
        <v/>
      </c>
      <c r="Q2087" s="34" t="str">
        <f aca="false">IF($P2087="","",IF($N2087&lt;&gt;"",$N2087,$J2087))</f>
        <v/>
      </c>
      <c r="R2087" s="35" t="str">
        <f aca="false">IF(OR($P2087="",$Q2087=""),"",INDEX(BookRate,2082)*$P2087*(5-MATCH($Q2087,{"Q1";"Q2";"Q3";"Q4"},0))/4+INDEX(BookOneOff,2082)*$P2087)</f>
        <v/>
      </c>
      <c r="S2087" s="35" t="str">
        <f aca="false">IF($P2087="","",INDEX(BookRate,2082)*$P2087)</f>
        <v/>
      </c>
      <c r="T2087" s="35" t="str">
        <f aca="false">IF($R2087="","",$R2087-$K2087)</f>
        <v/>
      </c>
      <c r="U2087" s="35" t="str">
        <f aca="false">IF(N($P2087)&lt;=0,"",COUNTIF($P$6:$P2087,"&gt;0"))</f>
        <v/>
      </c>
    </row>
    <row r="2088" customFormat="false" ht="15" hidden="false" customHeight="false" outlineLevel="0" collapsed="false">
      <c r="A2088" s="40" t="str">
        <f aca="false">IF(INDEX(BookTitle,2083)="","",INDEX(BookGroup,2083))</f>
        <v/>
      </c>
      <c r="B2088" s="40" t="str">
        <f aca="false">IF(INDEX(BookTitle,2083)="","",INDEX(BookRef,2083))</f>
        <v/>
      </c>
      <c r="C2088" s="40" t="str">
        <f aca="false">IF(INDEX(BookTitle,2083)="","",INDEX(BookDivision,2083))</f>
        <v/>
      </c>
      <c r="D2088" s="40" t="str">
        <f aca="false">IF(INDEX(BookTitle,2083)="","",INDEX(BookUnit,2083))</f>
        <v/>
      </c>
      <c r="E2088" s="40" t="str">
        <f aca="false">IF(INDEX(BookTitle,2083)="","",INDEX(BookTitle,2083))</f>
        <v/>
      </c>
      <c r="F2088" s="40" t="str">
        <f aca="false">IF(INDEX(BookTitle,2083)="","",INDEX(BookLevel,2083))</f>
        <v/>
      </c>
      <c r="G2088" s="40" t="str">
        <f aca="false">IF(INDEX(BookTitle,2083)="","",INDEX(BookCategory,2083))</f>
        <v/>
      </c>
      <c r="H2088" s="40" t="str">
        <f aca="false">IF(INDEX(BookTitle,2083)="","",INDEX(BookRank,2083))</f>
        <v/>
      </c>
      <c r="I2088" s="41" t="str">
        <f aca="false">IF(INDEX(BookTitle,2083)="","",INDEX(BookTotal,2083))</f>
        <v/>
      </c>
      <c r="J2088" s="0" t="str">
        <f aca="false">IF($I2088="","",IF(INDEX(BookQ1,2083)&gt;0,"Q1",IF(INDEX(BookQ2,2083)&gt;0,"Q2",IF(INDEX(BookQ3,2083)&gt;0,"Q3",IF(INDEX(BookQ4,2083)&gt;0,"Q4","")))))</f>
        <v/>
      </c>
      <c r="K2088" s="42" t="str">
        <f aca="false">IF(INDEX(BookTitle,2083)="","",INDEX(BookInYear,2083))</f>
        <v/>
      </c>
      <c r="L2088" s="19"/>
      <c r="M2088" s="39"/>
      <c r="N2088" s="19"/>
      <c r="O2088" s="19"/>
      <c r="P2088" s="43" t="str">
        <f aca="false">IF($E2088="","",IF($L2088="Decline",0,IF($L2088="Approve fewer",IF($M2088="","",$M2088),IF($L2088="","",$I2088))))</f>
        <v/>
      </c>
      <c r="Q2088" s="34" t="str">
        <f aca="false">IF($P2088="","",IF($N2088&lt;&gt;"",$N2088,$J2088))</f>
        <v/>
      </c>
      <c r="R2088" s="35" t="str">
        <f aca="false">IF(OR($P2088="",$Q2088=""),"",INDEX(BookRate,2083)*$P2088*(5-MATCH($Q2088,{"Q1";"Q2";"Q3";"Q4"},0))/4+INDEX(BookOneOff,2083)*$P2088)</f>
        <v/>
      </c>
      <c r="S2088" s="35" t="str">
        <f aca="false">IF($P2088="","",INDEX(BookRate,2083)*$P2088)</f>
        <v/>
      </c>
      <c r="T2088" s="35" t="str">
        <f aca="false">IF($R2088="","",$R2088-$K2088)</f>
        <v/>
      </c>
      <c r="U2088" s="35" t="str">
        <f aca="false">IF(N($P2088)&lt;=0,"",COUNTIF($P$6:$P2088,"&gt;0"))</f>
        <v/>
      </c>
    </row>
    <row r="2089" customFormat="false" ht="15" hidden="false" customHeight="false" outlineLevel="0" collapsed="false">
      <c r="A2089" s="40" t="str">
        <f aca="false">IF(INDEX(BookTitle,2084)="","",INDEX(BookGroup,2084))</f>
        <v/>
      </c>
      <c r="B2089" s="40" t="str">
        <f aca="false">IF(INDEX(BookTitle,2084)="","",INDEX(BookRef,2084))</f>
        <v/>
      </c>
      <c r="C2089" s="40" t="str">
        <f aca="false">IF(INDEX(BookTitle,2084)="","",INDEX(BookDivision,2084))</f>
        <v/>
      </c>
      <c r="D2089" s="40" t="str">
        <f aca="false">IF(INDEX(BookTitle,2084)="","",INDEX(BookUnit,2084))</f>
        <v/>
      </c>
      <c r="E2089" s="40" t="str">
        <f aca="false">IF(INDEX(BookTitle,2084)="","",INDEX(BookTitle,2084))</f>
        <v/>
      </c>
      <c r="F2089" s="40" t="str">
        <f aca="false">IF(INDEX(BookTitle,2084)="","",INDEX(BookLevel,2084))</f>
        <v/>
      </c>
      <c r="G2089" s="40" t="str">
        <f aca="false">IF(INDEX(BookTitle,2084)="","",INDEX(BookCategory,2084))</f>
        <v/>
      </c>
      <c r="H2089" s="40" t="str">
        <f aca="false">IF(INDEX(BookTitle,2084)="","",INDEX(BookRank,2084))</f>
        <v/>
      </c>
      <c r="I2089" s="41" t="str">
        <f aca="false">IF(INDEX(BookTitle,2084)="","",INDEX(BookTotal,2084))</f>
        <v/>
      </c>
      <c r="J2089" s="0" t="str">
        <f aca="false">IF($I2089="","",IF(INDEX(BookQ1,2084)&gt;0,"Q1",IF(INDEX(BookQ2,2084)&gt;0,"Q2",IF(INDEX(BookQ3,2084)&gt;0,"Q3",IF(INDEX(BookQ4,2084)&gt;0,"Q4","")))))</f>
        <v/>
      </c>
      <c r="K2089" s="42" t="str">
        <f aca="false">IF(INDEX(BookTitle,2084)="","",INDEX(BookInYear,2084))</f>
        <v/>
      </c>
      <c r="L2089" s="19"/>
      <c r="M2089" s="39"/>
      <c r="N2089" s="19"/>
      <c r="O2089" s="19"/>
      <c r="P2089" s="43" t="str">
        <f aca="false">IF($E2089="","",IF($L2089="Decline",0,IF($L2089="Approve fewer",IF($M2089="","",$M2089),IF($L2089="","",$I2089))))</f>
        <v/>
      </c>
      <c r="Q2089" s="34" t="str">
        <f aca="false">IF($P2089="","",IF($N2089&lt;&gt;"",$N2089,$J2089))</f>
        <v/>
      </c>
      <c r="R2089" s="35" t="str">
        <f aca="false">IF(OR($P2089="",$Q2089=""),"",INDEX(BookRate,2084)*$P2089*(5-MATCH($Q2089,{"Q1";"Q2";"Q3";"Q4"},0))/4+INDEX(BookOneOff,2084)*$P2089)</f>
        <v/>
      </c>
      <c r="S2089" s="35" t="str">
        <f aca="false">IF($P2089="","",INDEX(BookRate,2084)*$P2089)</f>
        <v/>
      </c>
      <c r="T2089" s="35" t="str">
        <f aca="false">IF($R2089="","",$R2089-$K2089)</f>
        <v/>
      </c>
      <c r="U2089" s="35" t="str">
        <f aca="false">IF(N($P2089)&lt;=0,"",COUNTIF($P$6:$P2089,"&gt;0"))</f>
        <v/>
      </c>
    </row>
    <row r="2090" customFormat="false" ht="15" hidden="false" customHeight="false" outlineLevel="0" collapsed="false">
      <c r="A2090" s="40" t="str">
        <f aca="false">IF(INDEX(BookTitle,2085)="","",INDEX(BookGroup,2085))</f>
        <v/>
      </c>
      <c r="B2090" s="40" t="str">
        <f aca="false">IF(INDEX(BookTitle,2085)="","",INDEX(BookRef,2085))</f>
        <v/>
      </c>
      <c r="C2090" s="40" t="str">
        <f aca="false">IF(INDEX(BookTitle,2085)="","",INDEX(BookDivision,2085))</f>
        <v/>
      </c>
      <c r="D2090" s="40" t="str">
        <f aca="false">IF(INDEX(BookTitle,2085)="","",INDEX(BookUnit,2085))</f>
        <v/>
      </c>
      <c r="E2090" s="40" t="str">
        <f aca="false">IF(INDEX(BookTitle,2085)="","",INDEX(BookTitle,2085))</f>
        <v/>
      </c>
      <c r="F2090" s="40" t="str">
        <f aca="false">IF(INDEX(BookTitle,2085)="","",INDEX(BookLevel,2085))</f>
        <v/>
      </c>
      <c r="G2090" s="40" t="str">
        <f aca="false">IF(INDEX(BookTitle,2085)="","",INDEX(BookCategory,2085))</f>
        <v/>
      </c>
      <c r="H2090" s="40" t="str">
        <f aca="false">IF(INDEX(BookTitle,2085)="","",INDEX(BookRank,2085))</f>
        <v/>
      </c>
      <c r="I2090" s="41" t="str">
        <f aca="false">IF(INDEX(BookTitle,2085)="","",INDEX(BookTotal,2085))</f>
        <v/>
      </c>
      <c r="J2090" s="0" t="str">
        <f aca="false">IF($I2090="","",IF(INDEX(BookQ1,2085)&gt;0,"Q1",IF(INDEX(BookQ2,2085)&gt;0,"Q2",IF(INDEX(BookQ3,2085)&gt;0,"Q3",IF(INDEX(BookQ4,2085)&gt;0,"Q4","")))))</f>
        <v/>
      </c>
      <c r="K2090" s="42" t="str">
        <f aca="false">IF(INDEX(BookTitle,2085)="","",INDEX(BookInYear,2085))</f>
        <v/>
      </c>
      <c r="L2090" s="19"/>
      <c r="M2090" s="39"/>
      <c r="N2090" s="19"/>
      <c r="O2090" s="19"/>
      <c r="P2090" s="43" t="str">
        <f aca="false">IF($E2090="","",IF($L2090="Decline",0,IF($L2090="Approve fewer",IF($M2090="","",$M2090),IF($L2090="","",$I2090))))</f>
        <v/>
      </c>
      <c r="Q2090" s="34" t="str">
        <f aca="false">IF($P2090="","",IF($N2090&lt;&gt;"",$N2090,$J2090))</f>
        <v/>
      </c>
      <c r="R2090" s="35" t="str">
        <f aca="false">IF(OR($P2090="",$Q2090=""),"",INDEX(BookRate,2085)*$P2090*(5-MATCH($Q2090,{"Q1";"Q2";"Q3";"Q4"},0))/4+INDEX(BookOneOff,2085)*$P2090)</f>
        <v/>
      </c>
      <c r="S2090" s="35" t="str">
        <f aca="false">IF($P2090="","",INDEX(BookRate,2085)*$P2090)</f>
        <v/>
      </c>
      <c r="T2090" s="35" t="str">
        <f aca="false">IF($R2090="","",$R2090-$K2090)</f>
        <v/>
      </c>
      <c r="U2090" s="35" t="str">
        <f aca="false">IF(N($P2090)&lt;=0,"",COUNTIF($P$6:$P2090,"&gt;0"))</f>
        <v/>
      </c>
    </row>
    <row r="2091" customFormat="false" ht="15" hidden="false" customHeight="false" outlineLevel="0" collapsed="false">
      <c r="A2091" s="40" t="str">
        <f aca="false">IF(INDEX(BookTitle,2086)="","",INDEX(BookGroup,2086))</f>
        <v/>
      </c>
      <c r="B2091" s="40" t="str">
        <f aca="false">IF(INDEX(BookTitle,2086)="","",INDEX(BookRef,2086))</f>
        <v/>
      </c>
      <c r="C2091" s="40" t="str">
        <f aca="false">IF(INDEX(BookTitle,2086)="","",INDEX(BookDivision,2086))</f>
        <v/>
      </c>
      <c r="D2091" s="40" t="str">
        <f aca="false">IF(INDEX(BookTitle,2086)="","",INDEX(BookUnit,2086))</f>
        <v/>
      </c>
      <c r="E2091" s="40" t="str">
        <f aca="false">IF(INDEX(BookTitle,2086)="","",INDEX(BookTitle,2086))</f>
        <v/>
      </c>
      <c r="F2091" s="40" t="str">
        <f aca="false">IF(INDEX(BookTitle,2086)="","",INDEX(BookLevel,2086))</f>
        <v/>
      </c>
      <c r="G2091" s="40" t="str">
        <f aca="false">IF(INDEX(BookTitle,2086)="","",INDEX(BookCategory,2086))</f>
        <v/>
      </c>
      <c r="H2091" s="40" t="str">
        <f aca="false">IF(INDEX(BookTitle,2086)="","",INDEX(BookRank,2086))</f>
        <v/>
      </c>
      <c r="I2091" s="41" t="str">
        <f aca="false">IF(INDEX(BookTitle,2086)="","",INDEX(BookTotal,2086))</f>
        <v/>
      </c>
      <c r="J2091" s="0" t="str">
        <f aca="false">IF($I2091="","",IF(INDEX(BookQ1,2086)&gt;0,"Q1",IF(INDEX(BookQ2,2086)&gt;0,"Q2",IF(INDEX(BookQ3,2086)&gt;0,"Q3",IF(INDEX(BookQ4,2086)&gt;0,"Q4","")))))</f>
        <v/>
      </c>
      <c r="K2091" s="42" t="str">
        <f aca="false">IF(INDEX(BookTitle,2086)="","",INDEX(BookInYear,2086))</f>
        <v/>
      </c>
      <c r="L2091" s="19"/>
      <c r="M2091" s="39"/>
      <c r="N2091" s="19"/>
      <c r="O2091" s="19"/>
      <c r="P2091" s="43" t="str">
        <f aca="false">IF($E2091="","",IF($L2091="Decline",0,IF($L2091="Approve fewer",IF($M2091="","",$M2091),IF($L2091="","",$I2091))))</f>
        <v/>
      </c>
      <c r="Q2091" s="34" t="str">
        <f aca="false">IF($P2091="","",IF($N2091&lt;&gt;"",$N2091,$J2091))</f>
        <v/>
      </c>
      <c r="R2091" s="35" t="str">
        <f aca="false">IF(OR($P2091="",$Q2091=""),"",INDEX(BookRate,2086)*$P2091*(5-MATCH($Q2091,{"Q1";"Q2";"Q3";"Q4"},0))/4+INDEX(BookOneOff,2086)*$P2091)</f>
        <v/>
      </c>
      <c r="S2091" s="35" t="str">
        <f aca="false">IF($P2091="","",INDEX(BookRate,2086)*$P2091)</f>
        <v/>
      </c>
      <c r="T2091" s="35" t="str">
        <f aca="false">IF($R2091="","",$R2091-$K2091)</f>
        <v/>
      </c>
      <c r="U2091" s="35" t="str">
        <f aca="false">IF(N($P2091)&lt;=0,"",COUNTIF($P$6:$P2091,"&gt;0"))</f>
        <v/>
      </c>
    </row>
    <row r="2092" customFormat="false" ht="15" hidden="false" customHeight="false" outlineLevel="0" collapsed="false">
      <c r="A2092" s="40" t="str">
        <f aca="false">IF(INDEX(BookTitle,2087)="","",INDEX(BookGroup,2087))</f>
        <v/>
      </c>
      <c r="B2092" s="40" t="str">
        <f aca="false">IF(INDEX(BookTitle,2087)="","",INDEX(BookRef,2087))</f>
        <v/>
      </c>
      <c r="C2092" s="40" t="str">
        <f aca="false">IF(INDEX(BookTitle,2087)="","",INDEX(BookDivision,2087))</f>
        <v/>
      </c>
      <c r="D2092" s="40" t="str">
        <f aca="false">IF(INDEX(BookTitle,2087)="","",INDEX(BookUnit,2087))</f>
        <v/>
      </c>
      <c r="E2092" s="40" t="str">
        <f aca="false">IF(INDEX(BookTitle,2087)="","",INDEX(BookTitle,2087))</f>
        <v/>
      </c>
      <c r="F2092" s="40" t="str">
        <f aca="false">IF(INDEX(BookTitle,2087)="","",INDEX(BookLevel,2087))</f>
        <v/>
      </c>
      <c r="G2092" s="40" t="str">
        <f aca="false">IF(INDEX(BookTitle,2087)="","",INDEX(BookCategory,2087))</f>
        <v/>
      </c>
      <c r="H2092" s="40" t="str">
        <f aca="false">IF(INDEX(BookTitle,2087)="","",INDEX(BookRank,2087))</f>
        <v/>
      </c>
      <c r="I2092" s="41" t="str">
        <f aca="false">IF(INDEX(BookTitle,2087)="","",INDEX(BookTotal,2087))</f>
        <v/>
      </c>
      <c r="J2092" s="0" t="str">
        <f aca="false">IF($I2092="","",IF(INDEX(BookQ1,2087)&gt;0,"Q1",IF(INDEX(BookQ2,2087)&gt;0,"Q2",IF(INDEX(BookQ3,2087)&gt;0,"Q3",IF(INDEX(BookQ4,2087)&gt;0,"Q4","")))))</f>
        <v/>
      </c>
      <c r="K2092" s="42" t="str">
        <f aca="false">IF(INDEX(BookTitle,2087)="","",INDEX(BookInYear,2087))</f>
        <v/>
      </c>
      <c r="L2092" s="19"/>
      <c r="M2092" s="39"/>
      <c r="N2092" s="19"/>
      <c r="O2092" s="19"/>
      <c r="P2092" s="43" t="str">
        <f aca="false">IF($E2092="","",IF($L2092="Decline",0,IF($L2092="Approve fewer",IF($M2092="","",$M2092),IF($L2092="","",$I2092))))</f>
        <v/>
      </c>
      <c r="Q2092" s="34" t="str">
        <f aca="false">IF($P2092="","",IF($N2092&lt;&gt;"",$N2092,$J2092))</f>
        <v/>
      </c>
      <c r="R2092" s="35" t="str">
        <f aca="false">IF(OR($P2092="",$Q2092=""),"",INDEX(BookRate,2087)*$P2092*(5-MATCH($Q2092,{"Q1";"Q2";"Q3";"Q4"},0))/4+INDEX(BookOneOff,2087)*$P2092)</f>
        <v/>
      </c>
      <c r="S2092" s="35" t="str">
        <f aca="false">IF($P2092="","",INDEX(BookRate,2087)*$P2092)</f>
        <v/>
      </c>
      <c r="T2092" s="35" t="str">
        <f aca="false">IF($R2092="","",$R2092-$K2092)</f>
        <v/>
      </c>
      <c r="U2092" s="35" t="str">
        <f aca="false">IF(N($P2092)&lt;=0,"",COUNTIF($P$6:$P2092,"&gt;0"))</f>
        <v/>
      </c>
    </row>
    <row r="2093" customFormat="false" ht="15" hidden="false" customHeight="false" outlineLevel="0" collapsed="false">
      <c r="A2093" s="40" t="str">
        <f aca="false">IF(INDEX(BookTitle,2088)="","",INDEX(BookGroup,2088))</f>
        <v/>
      </c>
      <c r="B2093" s="40" t="str">
        <f aca="false">IF(INDEX(BookTitle,2088)="","",INDEX(BookRef,2088))</f>
        <v/>
      </c>
      <c r="C2093" s="40" t="str">
        <f aca="false">IF(INDEX(BookTitle,2088)="","",INDEX(BookDivision,2088))</f>
        <v/>
      </c>
      <c r="D2093" s="40" t="str">
        <f aca="false">IF(INDEX(BookTitle,2088)="","",INDEX(BookUnit,2088))</f>
        <v/>
      </c>
      <c r="E2093" s="40" t="str">
        <f aca="false">IF(INDEX(BookTitle,2088)="","",INDEX(BookTitle,2088))</f>
        <v/>
      </c>
      <c r="F2093" s="40" t="str">
        <f aca="false">IF(INDEX(BookTitle,2088)="","",INDEX(BookLevel,2088))</f>
        <v/>
      </c>
      <c r="G2093" s="40" t="str">
        <f aca="false">IF(INDEX(BookTitle,2088)="","",INDEX(BookCategory,2088))</f>
        <v/>
      </c>
      <c r="H2093" s="40" t="str">
        <f aca="false">IF(INDEX(BookTitle,2088)="","",INDEX(BookRank,2088))</f>
        <v/>
      </c>
      <c r="I2093" s="41" t="str">
        <f aca="false">IF(INDEX(BookTitle,2088)="","",INDEX(BookTotal,2088))</f>
        <v/>
      </c>
      <c r="J2093" s="0" t="str">
        <f aca="false">IF($I2093="","",IF(INDEX(BookQ1,2088)&gt;0,"Q1",IF(INDEX(BookQ2,2088)&gt;0,"Q2",IF(INDEX(BookQ3,2088)&gt;0,"Q3",IF(INDEX(BookQ4,2088)&gt;0,"Q4","")))))</f>
        <v/>
      </c>
      <c r="K2093" s="42" t="str">
        <f aca="false">IF(INDEX(BookTitle,2088)="","",INDEX(BookInYear,2088))</f>
        <v/>
      </c>
      <c r="L2093" s="19"/>
      <c r="M2093" s="39"/>
      <c r="N2093" s="19"/>
      <c r="O2093" s="19"/>
      <c r="P2093" s="43" t="str">
        <f aca="false">IF($E2093="","",IF($L2093="Decline",0,IF($L2093="Approve fewer",IF($M2093="","",$M2093),IF($L2093="","",$I2093))))</f>
        <v/>
      </c>
      <c r="Q2093" s="34" t="str">
        <f aca="false">IF($P2093="","",IF($N2093&lt;&gt;"",$N2093,$J2093))</f>
        <v/>
      </c>
      <c r="R2093" s="35" t="str">
        <f aca="false">IF(OR($P2093="",$Q2093=""),"",INDEX(BookRate,2088)*$P2093*(5-MATCH($Q2093,{"Q1";"Q2";"Q3";"Q4"},0))/4+INDEX(BookOneOff,2088)*$P2093)</f>
        <v/>
      </c>
      <c r="S2093" s="35" t="str">
        <f aca="false">IF($P2093="","",INDEX(BookRate,2088)*$P2093)</f>
        <v/>
      </c>
      <c r="T2093" s="35" t="str">
        <f aca="false">IF($R2093="","",$R2093-$K2093)</f>
        <v/>
      </c>
      <c r="U2093" s="35" t="str">
        <f aca="false">IF(N($P2093)&lt;=0,"",COUNTIF($P$6:$P2093,"&gt;0"))</f>
        <v/>
      </c>
    </row>
    <row r="2094" customFormat="false" ht="15" hidden="false" customHeight="false" outlineLevel="0" collapsed="false">
      <c r="A2094" s="40" t="str">
        <f aca="false">IF(INDEX(BookTitle,2089)="","",INDEX(BookGroup,2089))</f>
        <v/>
      </c>
      <c r="B2094" s="40" t="str">
        <f aca="false">IF(INDEX(BookTitle,2089)="","",INDEX(BookRef,2089))</f>
        <v/>
      </c>
      <c r="C2094" s="40" t="str">
        <f aca="false">IF(INDEX(BookTitle,2089)="","",INDEX(BookDivision,2089))</f>
        <v/>
      </c>
      <c r="D2094" s="40" t="str">
        <f aca="false">IF(INDEX(BookTitle,2089)="","",INDEX(BookUnit,2089))</f>
        <v/>
      </c>
      <c r="E2094" s="40" t="str">
        <f aca="false">IF(INDEX(BookTitle,2089)="","",INDEX(BookTitle,2089))</f>
        <v/>
      </c>
      <c r="F2094" s="40" t="str">
        <f aca="false">IF(INDEX(BookTitle,2089)="","",INDEX(BookLevel,2089))</f>
        <v/>
      </c>
      <c r="G2094" s="40" t="str">
        <f aca="false">IF(INDEX(BookTitle,2089)="","",INDEX(BookCategory,2089))</f>
        <v/>
      </c>
      <c r="H2094" s="40" t="str">
        <f aca="false">IF(INDEX(BookTitle,2089)="","",INDEX(BookRank,2089))</f>
        <v/>
      </c>
      <c r="I2094" s="41" t="str">
        <f aca="false">IF(INDEX(BookTitle,2089)="","",INDEX(BookTotal,2089))</f>
        <v/>
      </c>
      <c r="J2094" s="0" t="str">
        <f aca="false">IF($I2094="","",IF(INDEX(BookQ1,2089)&gt;0,"Q1",IF(INDEX(BookQ2,2089)&gt;0,"Q2",IF(INDEX(BookQ3,2089)&gt;0,"Q3",IF(INDEX(BookQ4,2089)&gt;0,"Q4","")))))</f>
        <v/>
      </c>
      <c r="K2094" s="42" t="str">
        <f aca="false">IF(INDEX(BookTitle,2089)="","",INDEX(BookInYear,2089))</f>
        <v/>
      </c>
      <c r="L2094" s="19"/>
      <c r="M2094" s="39"/>
      <c r="N2094" s="19"/>
      <c r="O2094" s="19"/>
      <c r="P2094" s="43" t="str">
        <f aca="false">IF($E2094="","",IF($L2094="Decline",0,IF($L2094="Approve fewer",IF($M2094="","",$M2094),IF($L2094="","",$I2094))))</f>
        <v/>
      </c>
      <c r="Q2094" s="34" t="str">
        <f aca="false">IF($P2094="","",IF($N2094&lt;&gt;"",$N2094,$J2094))</f>
        <v/>
      </c>
      <c r="R2094" s="35" t="str">
        <f aca="false">IF(OR($P2094="",$Q2094=""),"",INDEX(BookRate,2089)*$P2094*(5-MATCH($Q2094,{"Q1";"Q2";"Q3";"Q4"},0))/4+INDEX(BookOneOff,2089)*$P2094)</f>
        <v/>
      </c>
      <c r="S2094" s="35" t="str">
        <f aca="false">IF($P2094="","",INDEX(BookRate,2089)*$P2094)</f>
        <v/>
      </c>
      <c r="T2094" s="35" t="str">
        <f aca="false">IF($R2094="","",$R2094-$K2094)</f>
        <v/>
      </c>
      <c r="U2094" s="35" t="str">
        <f aca="false">IF(N($P2094)&lt;=0,"",COUNTIF($P$6:$P2094,"&gt;0"))</f>
        <v/>
      </c>
    </row>
    <row r="2095" customFormat="false" ht="15" hidden="false" customHeight="false" outlineLevel="0" collapsed="false">
      <c r="A2095" s="40" t="str">
        <f aca="false">IF(INDEX(BookTitle,2090)="","",INDEX(BookGroup,2090))</f>
        <v/>
      </c>
      <c r="B2095" s="40" t="str">
        <f aca="false">IF(INDEX(BookTitle,2090)="","",INDEX(BookRef,2090))</f>
        <v/>
      </c>
      <c r="C2095" s="40" t="str">
        <f aca="false">IF(INDEX(BookTitle,2090)="","",INDEX(BookDivision,2090))</f>
        <v/>
      </c>
      <c r="D2095" s="40" t="str">
        <f aca="false">IF(INDEX(BookTitle,2090)="","",INDEX(BookUnit,2090))</f>
        <v/>
      </c>
      <c r="E2095" s="40" t="str">
        <f aca="false">IF(INDEX(BookTitle,2090)="","",INDEX(BookTitle,2090))</f>
        <v/>
      </c>
      <c r="F2095" s="40" t="str">
        <f aca="false">IF(INDEX(BookTitle,2090)="","",INDEX(BookLevel,2090))</f>
        <v/>
      </c>
      <c r="G2095" s="40" t="str">
        <f aca="false">IF(INDEX(BookTitle,2090)="","",INDEX(BookCategory,2090))</f>
        <v/>
      </c>
      <c r="H2095" s="40" t="str">
        <f aca="false">IF(INDEX(BookTitle,2090)="","",INDEX(BookRank,2090))</f>
        <v/>
      </c>
      <c r="I2095" s="41" t="str">
        <f aca="false">IF(INDEX(BookTitle,2090)="","",INDEX(BookTotal,2090))</f>
        <v/>
      </c>
      <c r="J2095" s="0" t="str">
        <f aca="false">IF($I2095="","",IF(INDEX(BookQ1,2090)&gt;0,"Q1",IF(INDEX(BookQ2,2090)&gt;0,"Q2",IF(INDEX(BookQ3,2090)&gt;0,"Q3",IF(INDEX(BookQ4,2090)&gt;0,"Q4","")))))</f>
        <v/>
      </c>
      <c r="K2095" s="42" t="str">
        <f aca="false">IF(INDEX(BookTitle,2090)="","",INDEX(BookInYear,2090))</f>
        <v/>
      </c>
      <c r="L2095" s="19"/>
      <c r="M2095" s="39"/>
      <c r="N2095" s="19"/>
      <c r="O2095" s="19"/>
      <c r="P2095" s="43" t="str">
        <f aca="false">IF($E2095="","",IF($L2095="Decline",0,IF($L2095="Approve fewer",IF($M2095="","",$M2095),IF($L2095="","",$I2095))))</f>
        <v/>
      </c>
      <c r="Q2095" s="34" t="str">
        <f aca="false">IF($P2095="","",IF($N2095&lt;&gt;"",$N2095,$J2095))</f>
        <v/>
      </c>
      <c r="R2095" s="35" t="str">
        <f aca="false">IF(OR($P2095="",$Q2095=""),"",INDEX(BookRate,2090)*$P2095*(5-MATCH($Q2095,{"Q1";"Q2";"Q3";"Q4"},0))/4+INDEX(BookOneOff,2090)*$P2095)</f>
        <v/>
      </c>
      <c r="S2095" s="35" t="str">
        <f aca="false">IF($P2095="","",INDEX(BookRate,2090)*$P2095)</f>
        <v/>
      </c>
      <c r="T2095" s="35" t="str">
        <f aca="false">IF($R2095="","",$R2095-$K2095)</f>
        <v/>
      </c>
      <c r="U2095" s="35" t="str">
        <f aca="false">IF(N($P2095)&lt;=0,"",COUNTIF($P$6:$P2095,"&gt;0"))</f>
        <v/>
      </c>
    </row>
    <row r="2096" customFormat="false" ht="15" hidden="false" customHeight="false" outlineLevel="0" collapsed="false">
      <c r="A2096" s="40" t="str">
        <f aca="false">IF(INDEX(BookTitle,2091)="","",INDEX(BookGroup,2091))</f>
        <v/>
      </c>
      <c r="B2096" s="40" t="str">
        <f aca="false">IF(INDEX(BookTitle,2091)="","",INDEX(BookRef,2091))</f>
        <v/>
      </c>
      <c r="C2096" s="40" t="str">
        <f aca="false">IF(INDEX(BookTitle,2091)="","",INDEX(BookDivision,2091))</f>
        <v/>
      </c>
      <c r="D2096" s="40" t="str">
        <f aca="false">IF(INDEX(BookTitle,2091)="","",INDEX(BookUnit,2091))</f>
        <v/>
      </c>
      <c r="E2096" s="40" t="str">
        <f aca="false">IF(INDEX(BookTitle,2091)="","",INDEX(BookTitle,2091))</f>
        <v/>
      </c>
      <c r="F2096" s="40" t="str">
        <f aca="false">IF(INDEX(BookTitle,2091)="","",INDEX(BookLevel,2091))</f>
        <v/>
      </c>
      <c r="G2096" s="40" t="str">
        <f aca="false">IF(INDEX(BookTitle,2091)="","",INDEX(BookCategory,2091))</f>
        <v/>
      </c>
      <c r="H2096" s="40" t="str">
        <f aca="false">IF(INDEX(BookTitle,2091)="","",INDEX(BookRank,2091))</f>
        <v/>
      </c>
      <c r="I2096" s="41" t="str">
        <f aca="false">IF(INDEX(BookTitle,2091)="","",INDEX(BookTotal,2091))</f>
        <v/>
      </c>
      <c r="J2096" s="0" t="str">
        <f aca="false">IF($I2096="","",IF(INDEX(BookQ1,2091)&gt;0,"Q1",IF(INDEX(BookQ2,2091)&gt;0,"Q2",IF(INDEX(BookQ3,2091)&gt;0,"Q3",IF(INDEX(BookQ4,2091)&gt;0,"Q4","")))))</f>
        <v/>
      </c>
      <c r="K2096" s="42" t="str">
        <f aca="false">IF(INDEX(BookTitle,2091)="","",INDEX(BookInYear,2091))</f>
        <v/>
      </c>
      <c r="L2096" s="19"/>
      <c r="M2096" s="39"/>
      <c r="N2096" s="19"/>
      <c r="O2096" s="19"/>
      <c r="P2096" s="43" t="str">
        <f aca="false">IF($E2096="","",IF($L2096="Decline",0,IF($L2096="Approve fewer",IF($M2096="","",$M2096),IF($L2096="","",$I2096))))</f>
        <v/>
      </c>
      <c r="Q2096" s="34" t="str">
        <f aca="false">IF($P2096="","",IF($N2096&lt;&gt;"",$N2096,$J2096))</f>
        <v/>
      </c>
      <c r="R2096" s="35" t="str">
        <f aca="false">IF(OR($P2096="",$Q2096=""),"",INDEX(BookRate,2091)*$P2096*(5-MATCH($Q2096,{"Q1";"Q2";"Q3";"Q4"},0))/4+INDEX(BookOneOff,2091)*$P2096)</f>
        <v/>
      </c>
      <c r="S2096" s="35" t="str">
        <f aca="false">IF($P2096="","",INDEX(BookRate,2091)*$P2096)</f>
        <v/>
      </c>
      <c r="T2096" s="35" t="str">
        <f aca="false">IF($R2096="","",$R2096-$K2096)</f>
        <v/>
      </c>
      <c r="U2096" s="35" t="str">
        <f aca="false">IF(N($P2096)&lt;=0,"",COUNTIF($P$6:$P2096,"&gt;0"))</f>
        <v/>
      </c>
    </row>
    <row r="2097" customFormat="false" ht="15" hidden="false" customHeight="false" outlineLevel="0" collapsed="false">
      <c r="A2097" s="40" t="str">
        <f aca="false">IF(INDEX(BookTitle,2092)="","",INDEX(BookGroup,2092))</f>
        <v/>
      </c>
      <c r="B2097" s="40" t="str">
        <f aca="false">IF(INDEX(BookTitle,2092)="","",INDEX(BookRef,2092))</f>
        <v/>
      </c>
      <c r="C2097" s="40" t="str">
        <f aca="false">IF(INDEX(BookTitle,2092)="","",INDEX(BookDivision,2092))</f>
        <v/>
      </c>
      <c r="D2097" s="40" t="str">
        <f aca="false">IF(INDEX(BookTitle,2092)="","",INDEX(BookUnit,2092))</f>
        <v/>
      </c>
      <c r="E2097" s="40" t="str">
        <f aca="false">IF(INDEX(BookTitle,2092)="","",INDEX(BookTitle,2092))</f>
        <v/>
      </c>
      <c r="F2097" s="40" t="str">
        <f aca="false">IF(INDEX(BookTitle,2092)="","",INDEX(BookLevel,2092))</f>
        <v/>
      </c>
      <c r="G2097" s="40" t="str">
        <f aca="false">IF(INDEX(BookTitle,2092)="","",INDEX(BookCategory,2092))</f>
        <v/>
      </c>
      <c r="H2097" s="40" t="str">
        <f aca="false">IF(INDEX(BookTitle,2092)="","",INDEX(BookRank,2092))</f>
        <v/>
      </c>
      <c r="I2097" s="41" t="str">
        <f aca="false">IF(INDEX(BookTitle,2092)="","",INDEX(BookTotal,2092))</f>
        <v/>
      </c>
      <c r="J2097" s="0" t="str">
        <f aca="false">IF($I2097="","",IF(INDEX(BookQ1,2092)&gt;0,"Q1",IF(INDEX(BookQ2,2092)&gt;0,"Q2",IF(INDEX(BookQ3,2092)&gt;0,"Q3",IF(INDEX(BookQ4,2092)&gt;0,"Q4","")))))</f>
        <v/>
      </c>
      <c r="K2097" s="42" t="str">
        <f aca="false">IF(INDEX(BookTitle,2092)="","",INDEX(BookInYear,2092))</f>
        <v/>
      </c>
      <c r="L2097" s="19"/>
      <c r="M2097" s="39"/>
      <c r="N2097" s="19"/>
      <c r="O2097" s="19"/>
      <c r="P2097" s="43" t="str">
        <f aca="false">IF($E2097="","",IF($L2097="Decline",0,IF($L2097="Approve fewer",IF($M2097="","",$M2097),IF($L2097="","",$I2097))))</f>
        <v/>
      </c>
      <c r="Q2097" s="34" t="str">
        <f aca="false">IF($P2097="","",IF($N2097&lt;&gt;"",$N2097,$J2097))</f>
        <v/>
      </c>
      <c r="R2097" s="35" t="str">
        <f aca="false">IF(OR($P2097="",$Q2097=""),"",INDEX(BookRate,2092)*$P2097*(5-MATCH($Q2097,{"Q1";"Q2";"Q3";"Q4"},0))/4+INDEX(BookOneOff,2092)*$P2097)</f>
        <v/>
      </c>
      <c r="S2097" s="35" t="str">
        <f aca="false">IF($P2097="","",INDEX(BookRate,2092)*$P2097)</f>
        <v/>
      </c>
      <c r="T2097" s="35" t="str">
        <f aca="false">IF($R2097="","",$R2097-$K2097)</f>
        <v/>
      </c>
      <c r="U2097" s="35" t="str">
        <f aca="false">IF(N($P2097)&lt;=0,"",COUNTIF($P$6:$P2097,"&gt;0"))</f>
        <v/>
      </c>
    </row>
    <row r="2098" customFormat="false" ht="15" hidden="false" customHeight="false" outlineLevel="0" collapsed="false">
      <c r="A2098" s="40" t="str">
        <f aca="false">IF(INDEX(BookTitle,2093)="","",INDEX(BookGroup,2093))</f>
        <v/>
      </c>
      <c r="B2098" s="40" t="str">
        <f aca="false">IF(INDEX(BookTitle,2093)="","",INDEX(BookRef,2093))</f>
        <v/>
      </c>
      <c r="C2098" s="40" t="str">
        <f aca="false">IF(INDEX(BookTitle,2093)="","",INDEX(BookDivision,2093))</f>
        <v/>
      </c>
      <c r="D2098" s="40" t="str">
        <f aca="false">IF(INDEX(BookTitle,2093)="","",INDEX(BookUnit,2093))</f>
        <v/>
      </c>
      <c r="E2098" s="40" t="str">
        <f aca="false">IF(INDEX(BookTitle,2093)="","",INDEX(BookTitle,2093))</f>
        <v/>
      </c>
      <c r="F2098" s="40" t="str">
        <f aca="false">IF(INDEX(BookTitle,2093)="","",INDEX(BookLevel,2093))</f>
        <v/>
      </c>
      <c r="G2098" s="40" t="str">
        <f aca="false">IF(INDEX(BookTitle,2093)="","",INDEX(BookCategory,2093))</f>
        <v/>
      </c>
      <c r="H2098" s="40" t="str">
        <f aca="false">IF(INDEX(BookTitle,2093)="","",INDEX(BookRank,2093))</f>
        <v/>
      </c>
      <c r="I2098" s="41" t="str">
        <f aca="false">IF(INDEX(BookTitle,2093)="","",INDEX(BookTotal,2093))</f>
        <v/>
      </c>
      <c r="J2098" s="0" t="str">
        <f aca="false">IF($I2098="","",IF(INDEX(BookQ1,2093)&gt;0,"Q1",IF(INDEX(BookQ2,2093)&gt;0,"Q2",IF(INDEX(BookQ3,2093)&gt;0,"Q3",IF(INDEX(BookQ4,2093)&gt;0,"Q4","")))))</f>
        <v/>
      </c>
      <c r="K2098" s="42" t="str">
        <f aca="false">IF(INDEX(BookTitle,2093)="","",INDEX(BookInYear,2093))</f>
        <v/>
      </c>
      <c r="L2098" s="19"/>
      <c r="M2098" s="39"/>
      <c r="N2098" s="19"/>
      <c r="O2098" s="19"/>
      <c r="P2098" s="43" t="str">
        <f aca="false">IF($E2098="","",IF($L2098="Decline",0,IF($L2098="Approve fewer",IF($M2098="","",$M2098),IF($L2098="","",$I2098))))</f>
        <v/>
      </c>
      <c r="Q2098" s="34" t="str">
        <f aca="false">IF($P2098="","",IF($N2098&lt;&gt;"",$N2098,$J2098))</f>
        <v/>
      </c>
      <c r="R2098" s="35" t="str">
        <f aca="false">IF(OR($P2098="",$Q2098=""),"",INDEX(BookRate,2093)*$P2098*(5-MATCH($Q2098,{"Q1";"Q2";"Q3";"Q4"},0))/4+INDEX(BookOneOff,2093)*$P2098)</f>
        <v/>
      </c>
      <c r="S2098" s="35" t="str">
        <f aca="false">IF($P2098="","",INDEX(BookRate,2093)*$P2098)</f>
        <v/>
      </c>
      <c r="T2098" s="35" t="str">
        <f aca="false">IF($R2098="","",$R2098-$K2098)</f>
        <v/>
      </c>
      <c r="U2098" s="35" t="str">
        <f aca="false">IF(N($P2098)&lt;=0,"",COUNTIF($P$6:$P2098,"&gt;0"))</f>
        <v/>
      </c>
    </row>
    <row r="2099" customFormat="false" ht="15" hidden="false" customHeight="false" outlineLevel="0" collapsed="false">
      <c r="A2099" s="40" t="str">
        <f aca="false">IF(INDEX(BookTitle,2094)="","",INDEX(BookGroup,2094))</f>
        <v/>
      </c>
      <c r="B2099" s="40" t="str">
        <f aca="false">IF(INDEX(BookTitle,2094)="","",INDEX(BookRef,2094))</f>
        <v/>
      </c>
      <c r="C2099" s="40" t="str">
        <f aca="false">IF(INDEX(BookTitle,2094)="","",INDEX(BookDivision,2094))</f>
        <v/>
      </c>
      <c r="D2099" s="40" t="str">
        <f aca="false">IF(INDEX(BookTitle,2094)="","",INDEX(BookUnit,2094))</f>
        <v/>
      </c>
      <c r="E2099" s="40" t="str">
        <f aca="false">IF(INDEX(BookTitle,2094)="","",INDEX(BookTitle,2094))</f>
        <v/>
      </c>
      <c r="F2099" s="40" t="str">
        <f aca="false">IF(INDEX(BookTitle,2094)="","",INDEX(BookLevel,2094))</f>
        <v/>
      </c>
      <c r="G2099" s="40" t="str">
        <f aca="false">IF(INDEX(BookTitle,2094)="","",INDEX(BookCategory,2094))</f>
        <v/>
      </c>
      <c r="H2099" s="40" t="str">
        <f aca="false">IF(INDEX(BookTitle,2094)="","",INDEX(BookRank,2094))</f>
        <v/>
      </c>
      <c r="I2099" s="41" t="str">
        <f aca="false">IF(INDEX(BookTitle,2094)="","",INDEX(BookTotal,2094))</f>
        <v/>
      </c>
      <c r="J2099" s="0" t="str">
        <f aca="false">IF($I2099="","",IF(INDEX(BookQ1,2094)&gt;0,"Q1",IF(INDEX(BookQ2,2094)&gt;0,"Q2",IF(INDEX(BookQ3,2094)&gt;0,"Q3",IF(INDEX(BookQ4,2094)&gt;0,"Q4","")))))</f>
        <v/>
      </c>
      <c r="K2099" s="42" t="str">
        <f aca="false">IF(INDEX(BookTitle,2094)="","",INDEX(BookInYear,2094))</f>
        <v/>
      </c>
      <c r="L2099" s="19"/>
      <c r="M2099" s="39"/>
      <c r="N2099" s="19"/>
      <c r="O2099" s="19"/>
      <c r="P2099" s="43" t="str">
        <f aca="false">IF($E2099="","",IF($L2099="Decline",0,IF($L2099="Approve fewer",IF($M2099="","",$M2099),IF($L2099="","",$I2099))))</f>
        <v/>
      </c>
      <c r="Q2099" s="34" t="str">
        <f aca="false">IF($P2099="","",IF($N2099&lt;&gt;"",$N2099,$J2099))</f>
        <v/>
      </c>
      <c r="R2099" s="35" t="str">
        <f aca="false">IF(OR($P2099="",$Q2099=""),"",INDEX(BookRate,2094)*$P2099*(5-MATCH($Q2099,{"Q1";"Q2";"Q3";"Q4"},0))/4+INDEX(BookOneOff,2094)*$P2099)</f>
        <v/>
      </c>
      <c r="S2099" s="35" t="str">
        <f aca="false">IF($P2099="","",INDEX(BookRate,2094)*$P2099)</f>
        <v/>
      </c>
      <c r="T2099" s="35" t="str">
        <f aca="false">IF($R2099="","",$R2099-$K2099)</f>
        <v/>
      </c>
      <c r="U2099" s="35" t="str">
        <f aca="false">IF(N($P2099)&lt;=0,"",COUNTIF($P$6:$P2099,"&gt;0"))</f>
        <v/>
      </c>
    </row>
    <row r="2100" customFormat="false" ht="15" hidden="false" customHeight="false" outlineLevel="0" collapsed="false">
      <c r="A2100" s="40" t="str">
        <f aca="false">IF(INDEX(BookTitle,2095)="","",INDEX(BookGroup,2095))</f>
        <v/>
      </c>
      <c r="B2100" s="40" t="str">
        <f aca="false">IF(INDEX(BookTitle,2095)="","",INDEX(BookRef,2095))</f>
        <v/>
      </c>
      <c r="C2100" s="40" t="str">
        <f aca="false">IF(INDEX(BookTitle,2095)="","",INDEX(BookDivision,2095))</f>
        <v/>
      </c>
      <c r="D2100" s="40" t="str">
        <f aca="false">IF(INDEX(BookTitle,2095)="","",INDEX(BookUnit,2095))</f>
        <v/>
      </c>
      <c r="E2100" s="40" t="str">
        <f aca="false">IF(INDEX(BookTitle,2095)="","",INDEX(BookTitle,2095))</f>
        <v/>
      </c>
      <c r="F2100" s="40" t="str">
        <f aca="false">IF(INDEX(BookTitle,2095)="","",INDEX(BookLevel,2095))</f>
        <v/>
      </c>
      <c r="G2100" s="40" t="str">
        <f aca="false">IF(INDEX(BookTitle,2095)="","",INDEX(BookCategory,2095))</f>
        <v/>
      </c>
      <c r="H2100" s="40" t="str">
        <f aca="false">IF(INDEX(BookTitle,2095)="","",INDEX(BookRank,2095))</f>
        <v/>
      </c>
      <c r="I2100" s="41" t="str">
        <f aca="false">IF(INDEX(BookTitle,2095)="","",INDEX(BookTotal,2095))</f>
        <v/>
      </c>
      <c r="J2100" s="0" t="str">
        <f aca="false">IF($I2100="","",IF(INDEX(BookQ1,2095)&gt;0,"Q1",IF(INDEX(BookQ2,2095)&gt;0,"Q2",IF(INDEX(BookQ3,2095)&gt;0,"Q3",IF(INDEX(BookQ4,2095)&gt;0,"Q4","")))))</f>
        <v/>
      </c>
      <c r="K2100" s="42" t="str">
        <f aca="false">IF(INDEX(BookTitle,2095)="","",INDEX(BookInYear,2095))</f>
        <v/>
      </c>
      <c r="L2100" s="19"/>
      <c r="M2100" s="39"/>
      <c r="N2100" s="19"/>
      <c r="O2100" s="19"/>
      <c r="P2100" s="43" t="str">
        <f aca="false">IF($E2100="","",IF($L2100="Decline",0,IF($L2100="Approve fewer",IF($M2100="","",$M2100),IF($L2100="","",$I2100))))</f>
        <v/>
      </c>
      <c r="Q2100" s="34" t="str">
        <f aca="false">IF($P2100="","",IF($N2100&lt;&gt;"",$N2100,$J2100))</f>
        <v/>
      </c>
      <c r="R2100" s="35" t="str">
        <f aca="false">IF(OR($P2100="",$Q2100=""),"",INDEX(BookRate,2095)*$P2100*(5-MATCH($Q2100,{"Q1";"Q2";"Q3";"Q4"},0))/4+INDEX(BookOneOff,2095)*$P2100)</f>
        <v/>
      </c>
      <c r="S2100" s="35" t="str">
        <f aca="false">IF($P2100="","",INDEX(BookRate,2095)*$P2100)</f>
        <v/>
      </c>
      <c r="T2100" s="35" t="str">
        <f aca="false">IF($R2100="","",$R2100-$K2100)</f>
        <v/>
      </c>
      <c r="U2100" s="35" t="str">
        <f aca="false">IF(N($P2100)&lt;=0,"",COUNTIF($P$6:$P2100,"&gt;0"))</f>
        <v/>
      </c>
    </row>
    <row r="2101" customFormat="false" ht="15" hidden="false" customHeight="false" outlineLevel="0" collapsed="false">
      <c r="A2101" s="40" t="str">
        <f aca="false">IF(INDEX(BookTitle,2096)="","",INDEX(BookGroup,2096))</f>
        <v/>
      </c>
      <c r="B2101" s="40" t="str">
        <f aca="false">IF(INDEX(BookTitle,2096)="","",INDEX(BookRef,2096))</f>
        <v/>
      </c>
      <c r="C2101" s="40" t="str">
        <f aca="false">IF(INDEX(BookTitle,2096)="","",INDEX(BookDivision,2096))</f>
        <v/>
      </c>
      <c r="D2101" s="40" t="str">
        <f aca="false">IF(INDEX(BookTitle,2096)="","",INDEX(BookUnit,2096))</f>
        <v/>
      </c>
      <c r="E2101" s="40" t="str">
        <f aca="false">IF(INDEX(BookTitle,2096)="","",INDEX(BookTitle,2096))</f>
        <v/>
      </c>
      <c r="F2101" s="40" t="str">
        <f aca="false">IF(INDEX(BookTitle,2096)="","",INDEX(BookLevel,2096))</f>
        <v/>
      </c>
      <c r="G2101" s="40" t="str">
        <f aca="false">IF(INDEX(BookTitle,2096)="","",INDEX(BookCategory,2096))</f>
        <v/>
      </c>
      <c r="H2101" s="40" t="str">
        <f aca="false">IF(INDEX(BookTitle,2096)="","",INDEX(BookRank,2096))</f>
        <v/>
      </c>
      <c r="I2101" s="41" t="str">
        <f aca="false">IF(INDEX(BookTitle,2096)="","",INDEX(BookTotal,2096))</f>
        <v/>
      </c>
      <c r="J2101" s="0" t="str">
        <f aca="false">IF($I2101="","",IF(INDEX(BookQ1,2096)&gt;0,"Q1",IF(INDEX(BookQ2,2096)&gt;0,"Q2",IF(INDEX(BookQ3,2096)&gt;0,"Q3",IF(INDEX(BookQ4,2096)&gt;0,"Q4","")))))</f>
        <v/>
      </c>
      <c r="K2101" s="42" t="str">
        <f aca="false">IF(INDEX(BookTitle,2096)="","",INDEX(BookInYear,2096))</f>
        <v/>
      </c>
      <c r="L2101" s="19"/>
      <c r="M2101" s="39"/>
      <c r="N2101" s="19"/>
      <c r="O2101" s="19"/>
      <c r="P2101" s="43" t="str">
        <f aca="false">IF($E2101="","",IF($L2101="Decline",0,IF($L2101="Approve fewer",IF($M2101="","",$M2101),IF($L2101="","",$I2101))))</f>
        <v/>
      </c>
      <c r="Q2101" s="34" t="str">
        <f aca="false">IF($P2101="","",IF($N2101&lt;&gt;"",$N2101,$J2101))</f>
        <v/>
      </c>
      <c r="R2101" s="35" t="str">
        <f aca="false">IF(OR($P2101="",$Q2101=""),"",INDEX(BookRate,2096)*$P2101*(5-MATCH($Q2101,{"Q1";"Q2";"Q3";"Q4"},0))/4+INDEX(BookOneOff,2096)*$P2101)</f>
        <v/>
      </c>
      <c r="S2101" s="35" t="str">
        <f aca="false">IF($P2101="","",INDEX(BookRate,2096)*$P2101)</f>
        <v/>
      </c>
      <c r="T2101" s="35" t="str">
        <f aca="false">IF($R2101="","",$R2101-$K2101)</f>
        <v/>
      </c>
      <c r="U2101" s="35" t="str">
        <f aca="false">IF(N($P2101)&lt;=0,"",COUNTIF($P$6:$P2101,"&gt;0"))</f>
        <v/>
      </c>
    </row>
    <row r="2102" customFormat="false" ht="15" hidden="false" customHeight="false" outlineLevel="0" collapsed="false">
      <c r="A2102" s="40" t="str">
        <f aca="false">IF(INDEX(BookTitle,2097)="","",INDEX(BookGroup,2097))</f>
        <v/>
      </c>
      <c r="B2102" s="40" t="str">
        <f aca="false">IF(INDEX(BookTitle,2097)="","",INDEX(BookRef,2097))</f>
        <v/>
      </c>
      <c r="C2102" s="40" t="str">
        <f aca="false">IF(INDEX(BookTitle,2097)="","",INDEX(BookDivision,2097))</f>
        <v/>
      </c>
      <c r="D2102" s="40" t="str">
        <f aca="false">IF(INDEX(BookTitle,2097)="","",INDEX(BookUnit,2097))</f>
        <v/>
      </c>
      <c r="E2102" s="40" t="str">
        <f aca="false">IF(INDEX(BookTitle,2097)="","",INDEX(BookTitle,2097))</f>
        <v/>
      </c>
      <c r="F2102" s="40" t="str">
        <f aca="false">IF(INDEX(BookTitle,2097)="","",INDEX(BookLevel,2097))</f>
        <v/>
      </c>
      <c r="G2102" s="40" t="str">
        <f aca="false">IF(INDEX(BookTitle,2097)="","",INDEX(BookCategory,2097))</f>
        <v/>
      </c>
      <c r="H2102" s="40" t="str">
        <f aca="false">IF(INDEX(BookTitle,2097)="","",INDEX(BookRank,2097))</f>
        <v/>
      </c>
      <c r="I2102" s="41" t="str">
        <f aca="false">IF(INDEX(BookTitle,2097)="","",INDEX(BookTotal,2097))</f>
        <v/>
      </c>
      <c r="J2102" s="0" t="str">
        <f aca="false">IF($I2102="","",IF(INDEX(BookQ1,2097)&gt;0,"Q1",IF(INDEX(BookQ2,2097)&gt;0,"Q2",IF(INDEX(BookQ3,2097)&gt;0,"Q3",IF(INDEX(BookQ4,2097)&gt;0,"Q4","")))))</f>
        <v/>
      </c>
      <c r="K2102" s="42" t="str">
        <f aca="false">IF(INDEX(BookTitle,2097)="","",INDEX(BookInYear,2097))</f>
        <v/>
      </c>
      <c r="L2102" s="19"/>
      <c r="M2102" s="39"/>
      <c r="N2102" s="19"/>
      <c r="O2102" s="19"/>
      <c r="P2102" s="43" t="str">
        <f aca="false">IF($E2102="","",IF($L2102="Decline",0,IF($L2102="Approve fewer",IF($M2102="","",$M2102),IF($L2102="","",$I2102))))</f>
        <v/>
      </c>
      <c r="Q2102" s="34" t="str">
        <f aca="false">IF($P2102="","",IF($N2102&lt;&gt;"",$N2102,$J2102))</f>
        <v/>
      </c>
      <c r="R2102" s="35" t="str">
        <f aca="false">IF(OR($P2102="",$Q2102=""),"",INDEX(BookRate,2097)*$P2102*(5-MATCH($Q2102,{"Q1";"Q2";"Q3";"Q4"},0))/4+INDEX(BookOneOff,2097)*$P2102)</f>
        <v/>
      </c>
      <c r="S2102" s="35" t="str">
        <f aca="false">IF($P2102="","",INDEX(BookRate,2097)*$P2102)</f>
        <v/>
      </c>
      <c r="T2102" s="35" t="str">
        <f aca="false">IF($R2102="","",$R2102-$K2102)</f>
        <v/>
      </c>
      <c r="U2102" s="35" t="str">
        <f aca="false">IF(N($P2102)&lt;=0,"",COUNTIF($P$6:$P2102,"&gt;0"))</f>
        <v/>
      </c>
    </row>
    <row r="2103" customFormat="false" ht="15" hidden="false" customHeight="false" outlineLevel="0" collapsed="false">
      <c r="A2103" s="40" t="str">
        <f aca="false">IF(INDEX(BookTitle,2098)="","",INDEX(BookGroup,2098))</f>
        <v/>
      </c>
      <c r="B2103" s="40" t="str">
        <f aca="false">IF(INDEX(BookTitle,2098)="","",INDEX(BookRef,2098))</f>
        <v/>
      </c>
      <c r="C2103" s="40" t="str">
        <f aca="false">IF(INDEX(BookTitle,2098)="","",INDEX(BookDivision,2098))</f>
        <v/>
      </c>
      <c r="D2103" s="40" t="str">
        <f aca="false">IF(INDEX(BookTitle,2098)="","",INDEX(BookUnit,2098))</f>
        <v/>
      </c>
      <c r="E2103" s="40" t="str">
        <f aca="false">IF(INDEX(BookTitle,2098)="","",INDEX(BookTitle,2098))</f>
        <v/>
      </c>
      <c r="F2103" s="40" t="str">
        <f aca="false">IF(INDEX(BookTitle,2098)="","",INDEX(BookLevel,2098))</f>
        <v/>
      </c>
      <c r="G2103" s="40" t="str">
        <f aca="false">IF(INDEX(BookTitle,2098)="","",INDEX(BookCategory,2098))</f>
        <v/>
      </c>
      <c r="H2103" s="40" t="str">
        <f aca="false">IF(INDEX(BookTitle,2098)="","",INDEX(BookRank,2098))</f>
        <v/>
      </c>
      <c r="I2103" s="41" t="str">
        <f aca="false">IF(INDEX(BookTitle,2098)="","",INDEX(BookTotal,2098))</f>
        <v/>
      </c>
      <c r="J2103" s="0" t="str">
        <f aca="false">IF($I2103="","",IF(INDEX(BookQ1,2098)&gt;0,"Q1",IF(INDEX(BookQ2,2098)&gt;0,"Q2",IF(INDEX(BookQ3,2098)&gt;0,"Q3",IF(INDEX(BookQ4,2098)&gt;0,"Q4","")))))</f>
        <v/>
      </c>
      <c r="K2103" s="42" t="str">
        <f aca="false">IF(INDEX(BookTitle,2098)="","",INDEX(BookInYear,2098))</f>
        <v/>
      </c>
      <c r="L2103" s="19"/>
      <c r="M2103" s="39"/>
      <c r="N2103" s="19"/>
      <c r="O2103" s="19"/>
      <c r="P2103" s="43" t="str">
        <f aca="false">IF($E2103="","",IF($L2103="Decline",0,IF($L2103="Approve fewer",IF($M2103="","",$M2103),IF($L2103="","",$I2103))))</f>
        <v/>
      </c>
      <c r="Q2103" s="34" t="str">
        <f aca="false">IF($P2103="","",IF($N2103&lt;&gt;"",$N2103,$J2103))</f>
        <v/>
      </c>
      <c r="R2103" s="35" t="str">
        <f aca="false">IF(OR($P2103="",$Q2103=""),"",INDEX(BookRate,2098)*$P2103*(5-MATCH($Q2103,{"Q1";"Q2";"Q3";"Q4"},0))/4+INDEX(BookOneOff,2098)*$P2103)</f>
        <v/>
      </c>
      <c r="S2103" s="35" t="str">
        <f aca="false">IF($P2103="","",INDEX(BookRate,2098)*$P2103)</f>
        <v/>
      </c>
      <c r="T2103" s="35" t="str">
        <f aca="false">IF($R2103="","",$R2103-$K2103)</f>
        <v/>
      </c>
      <c r="U2103" s="35" t="str">
        <f aca="false">IF(N($P2103)&lt;=0,"",COUNTIF($P$6:$P2103,"&gt;0"))</f>
        <v/>
      </c>
    </row>
    <row r="2104" customFormat="false" ht="15" hidden="false" customHeight="false" outlineLevel="0" collapsed="false">
      <c r="A2104" s="40" t="str">
        <f aca="false">IF(INDEX(BookTitle,2099)="","",INDEX(BookGroup,2099))</f>
        <v/>
      </c>
      <c r="B2104" s="40" t="str">
        <f aca="false">IF(INDEX(BookTitle,2099)="","",INDEX(BookRef,2099))</f>
        <v/>
      </c>
      <c r="C2104" s="40" t="str">
        <f aca="false">IF(INDEX(BookTitle,2099)="","",INDEX(BookDivision,2099))</f>
        <v/>
      </c>
      <c r="D2104" s="40" t="str">
        <f aca="false">IF(INDEX(BookTitle,2099)="","",INDEX(BookUnit,2099))</f>
        <v/>
      </c>
      <c r="E2104" s="40" t="str">
        <f aca="false">IF(INDEX(BookTitle,2099)="","",INDEX(BookTitle,2099))</f>
        <v/>
      </c>
      <c r="F2104" s="40" t="str">
        <f aca="false">IF(INDEX(BookTitle,2099)="","",INDEX(BookLevel,2099))</f>
        <v/>
      </c>
      <c r="G2104" s="40" t="str">
        <f aca="false">IF(INDEX(BookTitle,2099)="","",INDEX(BookCategory,2099))</f>
        <v/>
      </c>
      <c r="H2104" s="40" t="str">
        <f aca="false">IF(INDEX(BookTitle,2099)="","",INDEX(BookRank,2099))</f>
        <v/>
      </c>
      <c r="I2104" s="41" t="str">
        <f aca="false">IF(INDEX(BookTitle,2099)="","",INDEX(BookTotal,2099))</f>
        <v/>
      </c>
      <c r="J2104" s="0" t="str">
        <f aca="false">IF($I2104="","",IF(INDEX(BookQ1,2099)&gt;0,"Q1",IF(INDEX(BookQ2,2099)&gt;0,"Q2",IF(INDEX(BookQ3,2099)&gt;0,"Q3",IF(INDEX(BookQ4,2099)&gt;0,"Q4","")))))</f>
        <v/>
      </c>
      <c r="K2104" s="42" t="str">
        <f aca="false">IF(INDEX(BookTitle,2099)="","",INDEX(BookInYear,2099))</f>
        <v/>
      </c>
      <c r="L2104" s="19"/>
      <c r="M2104" s="39"/>
      <c r="N2104" s="19"/>
      <c r="O2104" s="19"/>
      <c r="P2104" s="43" t="str">
        <f aca="false">IF($E2104="","",IF($L2104="Decline",0,IF($L2104="Approve fewer",IF($M2104="","",$M2104),IF($L2104="","",$I2104))))</f>
        <v/>
      </c>
      <c r="Q2104" s="34" t="str">
        <f aca="false">IF($P2104="","",IF($N2104&lt;&gt;"",$N2104,$J2104))</f>
        <v/>
      </c>
      <c r="R2104" s="35" t="str">
        <f aca="false">IF(OR($P2104="",$Q2104=""),"",INDEX(BookRate,2099)*$P2104*(5-MATCH($Q2104,{"Q1";"Q2";"Q3";"Q4"},0))/4+INDEX(BookOneOff,2099)*$P2104)</f>
        <v/>
      </c>
      <c r="S2104" s="35" t="str">
        <f aca="false">IF($P2104="","",INDEX(BookRate,2099)*$P2104)</f>
        <v/>
      </c>
      <c r="T2104" s="35" t="str">
        <f aca="false">IF($R2104="","",$R2104-$K2104)</f>
        <v/>
      </c>
      <c r="U2104" s="35" t="str">
        <f aca="false">IF(N($P2104)&lt;=0,"",COUNTIF($P$6:$P2104,"&gt;0"))</f>
        <v/>
      </c>
    </row>
    <row r="2105" customFormat="false" ht="15" hidden="false" customHeight="false" outlineLevel="0" collapsed="false">
      <c r="A2105" s="40" t="str">
        <f aca="false">IF(INDEX(BookTitle,2100)="","",INDEX(BookGroup,2100))</f>
        <v/>
      </c>
      <c r="B2105" s="40" t="str">
        <f aca="false">IF(INDEX(BookTitle,2100)="","",INDEX(BookRef,2100))</f>
        <v/>
      </c>
      <c r="C2105" s="40" t="str">
        <f aca="false">IF(INDEX(BookTitle,2100)="","",INDEX(BookDivision,2100))</f>
        <v/>
      </c>
      <c r="D2105" s="40" t="str">
        <f aca="false">IF(INDEX(BookTitle,2100)="","",INDEX(BookUnit,2100))</f>
        <v/>
      </c>
      <c r="E2105" s="40" t="str">
        <f aca="false">IF(INDEX(BookTitle,2100)="","",INDEX(BookTitle,2100))</f>
        <v/>
      </c>
      <c r="F2105" s="40" t="str">
        <f aca="false">IF(INDEX(BookTitle,2100)="","",INDEX(BookLevel,2100))</f>
        <v/>
      </c>
      <c r="G2105" s="40" t="str">
        <f aca="false">IF(INDEX(BookTitle,2100)="","",INDEX(BookCategory,2100))</f>
        <v/>
      </c>
      <c r="H2105" s="40" t="str">
        <f aca="false">IF(INDEX(BookTitle,2100)="","",INDEX(BookRank,2100))</f>
        <v/>
      </c>
      <c r="I2105" s="41" t="str">
        <f aca="false">IF(INDEX(BookTitle,2100)="","",INDEX(BookTotal,2100))</f>
        <v/>
      </c>
      <c r="J2105" s="0" t="str">
        <f aca="false">IF($I2105="","",IF(INDEX(BookQ1,2100)&gt;0,"Q1",IF(INDEX(BookQ2,2100)&gt;0,"Q2",IF(INDEX(BookQ3,2100)&gt;0,"Q3",IF(INDEX(BookQ4,2100)&gt;0,"Q4","")))))</f>
        <v/>
      </c>
      <c r="K2105" s="42" t="str">
        <f aca="false">IF(INDEX(BookTitle,2100)="","",INDEX(BookInYear,2100))</f>
        <v/>
      </c>
      <c r="L2105" s="19"/>
      <c r="M2105" s="39"/>
      <c r="N2105" s="19"/>
      <c r="O2105" s="19"/>
      <c r="P2105" s="43" t="str">
        <f aca="false">IF($E2105="","",IF($L2105="Decline",0,IF($L2105="Approve fewer",IF($M2105="","",$M2105),IF($L2105="","",$I2105))))</f>
        <v/>
      </c>
      <c r="Q2105" s="34" t="str">
        <f aca="false">IF($P2105="","",IF($N2105&lt;&gt;"",$N2105,$J2105))</f>
        <v/>
      </c>
      <c r="R2105" s="35" t="str">
        <f aca="false">IF(OR($P2105="",$Q2105=""),"",INDEX(BookRate,2100)*$P2105*(5-MATCH($Q2105,{"Q1";"Q2";"Q3";"Q4"},0))/4+INDEX(BookOneOff,2100)*$P2105)</f>
        <v/>
      </c>
      <c r="S2105" s="35" t="str">
        <f aca="false">IF($P2105="","",INDEX(BookRate,2100)*$P2105)</f>
        <v/>
      </c>
      <c r="T2105" s="35" t="str">
        <f aca="false">IF($R2105="","",$R2105-$K2105)</f>
        <v/>
      </c>
      <c r="U2105" s="35" t="str">
        <f aca="false">IF(N($P2105)&lt;=0,"",COUNTIF($P$6:$P2105,"&gt;0"))</f>
        <v/>
      </c>
    </row>
    <row r="2106" customFormat="false" ht="15" hidden="false" customHeight="false" outlineLevel="0" collapsed="false">
      <c r="A2106" s="40" t="str">
        <f aca="false">IF(INDEX(BookTitle,2101)="","",INDEX(BookGroup,2101))</f>
        <v/>
      </c>
      <c r="B2106" s="40" t="str">
        <f aca="false">IF(INDEX(BookTitle,2101)="","",INDEX(BookRef,2101))</f>
        <v/>
      </c>
      <c r="C2106" s="40" t="str">
        <f aca="false">IF(INDEX(BookTitle,2101)="","",INDEX(BookDivision,2101))</f>
        <v/>
      </c>
      <c r="D2106" s="40" t="str">
        <f aca="false">IF(INDEX(BookTitle,2101)="","",INDEX(BookUnit,2101))</f>
        <v/>
      </c>
      <c r="E2106" s="40" t="str">
        <f aca="false">IF(INDEX(BookTitle,2101)="","",INDEX(BookTitle,2101))</f>
        <v/>
      </c>
      <c r="F2106" s="40" t="str">
        <f aca="false">IF(INDEX(BookTitle,2101)="","",INDEX(BookLevel,2101))</f>
        <v/>
      </c>
      <c r="G2106" s="40" t="str">
        <f aca="false">IF(INDEX(BookTitle,2101)="","",INDEX(BookCategory,2101))</f>
        <v/>
      </c>
      <c r="H2106" s="40" t="str">
        <f aca="false">IF(INDEX(BookTitle,2101)="","",INDEX(BookRank,2101))</f>
        <v/>
      </c>
      <c r="I2106" s="41" t="str">
        <f aca="false">IF(INDEX(BookTitle,2101)="","",INDEX(BookTotal,2101))</f>
        <v/>
      </c>
      <c r="J2106" s="0" t="str">
        <f aca="false">IF($I2106="","",IF(INDEX(BookQ1,2101)&gt;0,"Q1",IF(INDEX(BookQ2,2101)&gt;0,"Q2",IF(INDEX(BookQ3,2101)&gt;0,"Q3",IF(INDEX(BookQ4,2101)&gt;0,"Q4","")))))</f>
        <v/>
      </c>
      <c r="K2106" s="42" t="str">
        <f aca="false">IF(INDEX(BookTitle,2101)="","",INDEX(BookInYear,2101))</f>
        <v/>
      </c>
      <c r="L2106" s="19"/>
      <c r="M2106" s="39"/>
      <c r="N2106" s="19"/>
      <c r="O2106" s="19"/>
      <c r="P2106" s="43" t="str">
        <f aca="false">IF($E2106="","",IF($L2106="Decline",0,IF($L2106="Approve fewer",IF($M2106="","",$M2106),IF($L2106="","",$I2106))))</f>
        <v/>
      </c>
      <c r="Q2106" s="34" t="str">
        <f aca="false">IF($P2106="","",IF($N2106&lt;&gt;"",$N2106,$J2106))</f>
        <v/>
      </c>
      <c r="R2106" s="35" t="str">
        <f aca="false">IF(OR($P2106="",$Q2106=""),"",INDEX(BookRate,2101)*$P2106*(5-MATCH($Q2106,{"Q1";"Q2";"Q3";"Q4"},0))/4+INDEX(BookOneOff,2101)*$P2106)</f>
        <v/>
      </c>
      <c r="S2106" s="35" t="str">
        <f aca="false">IF($P2106="","",INDEX(BookRate,2101)*$P2106)</f>
        <v/>
      </c>
      <c r="T2106" s="35" t="str">
        <f aca="false">IF($R2106="","",$R2106-$K2106)</f>
        <v/>
      </c>
      <c r="U2106" s="35" t="str">
        <f aca="false">IF(N($P2106)&lt;=0,"",COUNTIF($P$6:$P2106,"&gt;0"))</f>
        <v/>
      </c>
    </row>
    <row r="2107" customFormat="false" ht="15" hidden="false" customHeight="false" outlineLevel="0" collapsed="false">
      <c r="A2107" s="40" t="str">
        <f aca="false">IF(INDEX(BookTitle,2102)="","",INDEX(BookGroup,2102))</f>
        <v/>
      </c>
      <c r="B2107" s="40" t="str">
        <f aca="false">IF(INDEX(BookTitle,2102)="","",INDEX(BookRef,2102))</f>
        <v/>
      </c>
      <c r="C2107" s="40" t="str">
        <f aca="false">IF(INDEX(BookTitle,2102)="","",INDEX(BookDivision,2102))</f>
        <v/>
      </c>
      <c r="D2107" s="40" t="str">
        <f aca="false">IF(INDEX(BookTitle,2102)="","",INDEX(BookUnit,2102))</f>
        <v/>
      </c>
      <c r="E2107" s="40" t="str">
        <f aca="false">IF(INDEX(BookTitle,2102)="","",INDEX(BookTitle,2102))</f>
        <v/>
      </c>
      <c r="F2107" s="40" t="str">
        <f aca="false">IF(INDEX(BookTitle,2102)="","",INDEX(BookLevel,2102))</f>
        <v/>
      </c>
      <c r="G2107" s="40" t="str">
        <f aca="false">IF(INDEX(BookTitle,2102)="","",INDEX(BookCategory,2102))</f>
        <v/>
      </c>
      <c r="H2107" s="40" t="str">
        <f aca="false">IF(INDEX(BookTitle,2102)="","",INDEX(BookRank,2102))</f>
        <v/>
      </c>
      <c r="I2107" s="41" t="str">
        <f aca="false">IF(INDEX(BookTitle,2102)="","",INDEX(BookTotal,2102))</f>
        <v/>
      </c>
      <c r="J2107" s="0" t="str">
        <f aca="false">IF($I2107="","",IF(INDEX(BookQ1,2102)&gt;0,"Q1",IF(INDEX(BookQ2,2102)&gt;0,"Q2",IF(INDEX(BookQ3,2102)&gt;0,"Q3",IF(INDEX(BookQ4,2102)&gt;0,"Q4","")))))</f>
        <v/>
      </c>
      <c r="K2107" s="42" t="str">
        <f aca="false">IF(INDEX(BookTitle,2102)="","",INDEX(BookInYear,2102))</f>
        <v/>
      </c>
      <c r="L2107" s="19"/>
      <c r="M2107" s="39"/>
      <c r="N2107" s="19"/>
      <c r="O2107" s="19"/>
      <c r="P2107" s="43" t="str">
        <f aca="false">IF($E2107="","",IF($L2107="Decline",0,IF($L2107="Approve fewer",IF($M2107="","",$M2107),IF($L2107="","",$I2107))))</f>
        <v/>
      </c>
      <c r="Q2107" s="34" t="str">
        <f aca="false">IF($P2107="","",IF($N2107&lt;&gt;"",$N2107,$J2107))</f>
        <v/>
      </c>
      <c r="R2107" s="35" t="str">
        <f aca="false">IF(OR($P2107="",$Q2107=""),"",INDEX(BookRate,2102)*$P2107*(5-MATCH($Q2107,{"Q1";"Q2";"Q3";"Q4"},0))/4+INDEX(BookOneOff,2102)*$P2107)</f>
        <v/>
      </c>
      <c r="S2107" s="35" t="str">
        <f aca="false">IF($P2107="","",INDEX(BookRate,2102)*$P2107)</f>
        <v/>
      </c>
      <c r="T2107" s="35" t="str">
        <f aca="false">IF($R2107="","",$R2107-$K2107)</f>
        <v/>
      </c>
      <c r="U2107" s="35" t="str">
        <f aca="false">IF(N($P2107)&lt;=0,"",COUNTIF($P$6:$P2107,"&gt;0"))</f>
        <v/>
      </c>
    </row>
    <row r="2108" customFormat="false" ht="15" hidden="false" customHeight="false" outlineLevel="0" collapsed="false">
      <c r="A2108" s="40" t="str">
        <f aca="false">IF(INDEX(BookTitle,2103)="","",INDEX(BookGroup,2103))</f>
        <v/>
      </c>
      <c r="B2108" s="40" t="str">
        <f aca="false">IF(INDEX(BookTitle,2103)="","",INDEX(BookRef,2103))</f>
        <v/>
      </c>
      <c r="C2108" s="40" t="str">
        <f aca="false">IF(INDEX(BookTitle,2103)="","",INDEX(BookDivision,2103))</f>
        <v/>
      </c>
      <c r="D2108" s="40" t="str">
        <f aca="false">IF(INDEX(BookTitle,2103)="","",INDEX(BookUnit,2103))</f>
        <v/>
      </c>
      <c r="E2108" s="40" t="str">
        <f aca="false">IF(INDEX(BookTitle,2103)="","",INDEX(BookTitle,2103))</f>
        <v/>
      </c>
      <c r="F2108" s="40" t="str">
        <f aca="false">IF(INDEX(BookTitle,2103)="","",INDEX(BookLevel,2103))</f>
        <v/>
      </c>
      <c r="G2108" s="40" t="str">
        <f aca="false">IF(INDEX(BookTitle,2103)="","",INDEX(BookCategory,2103))</f>
        <v/>
      </c>
      <c r="H2108" s="40" t="str">
        <f aca="false">IF(INDEX(BookTitle,2103)="","",INDEX(BookRank,2103))</f>
        <v/>
      </c>
      <c r="I2108" s="41" t="str">
        <f aca="false">IF(INDEX(BookTitle,2103)="","",INDEX(BookTotal,2103))</f>
        <v/>
      </c>
      <c r="J2108" s="0" t="str">
        <f aca="false">IF($I2108="","",IF(INDEX(BookQ1,2103)&gt;0,"Q1",IF(INDEX(BookQ2,2103)&gt;0,"Q2",IF(INDEX(BookQ3,2103)&gt;0,"Q3",IF(INDEX(BookQ4,2103)&gt;0,"Q4","")))))</f>
        <v/>
      </c>
      <c r="K2108" s="42" t="str">
        <f aca="false">IF(INDEX(BookTitle,2103)="","",INDEX(BookInYear,2103))</f>
        <v/>
      </c>
      <c r="L2108" s="19"/>
      <c r="M2108" s="39"/>
      <c r="N2108" s="19"/>
      <c r="O2108" s="19"/>
      <c r="P2108" s="43" t="str">
        <f aca="false">IF($E2108="","",IF($L2108="Decline",0,IF($L2108="Approve fewer",IF($M2108="","",$M2108),IF($L2108="","",$I2108))))</f>
        <v/>
      </c>
      <c r="Q2108" s="34" t="str">
        <f aca="false">IF($P2108="","",IF($N2108&lt;&gt;"",$N2108,$J2108))</f>
        <v/>
      </c>
      <c r="R2108" s="35" t="str">
        <f aca="false">IF(OR($P2108="",$Q2108=""),"",INDEX(BookRate,2103)*$P2108*(5-MATCH($Q2108,{"Q1";"Q2";"Q3";"Q4"},0))/4+INDEX(BookOneOff,2103)*$P2108)</f>
        <v/>
      </c>
      <c r="S2108" s="35" t="str">
        <f aca="false">IF($P2108="","",INDEX(BookRate,2103)*$P2108)</f>
        <v/>
      </c>
      <c r="T2108" s="35" t="str">
        <f aca="false">IF($R2108="","",$R2108-$K2108)</f>
        <v/>
      </c>
      <c r="U2108" s="35" t="str">
        <f aca="false">IF(N($P2108)&lt;=0,"",COUNTIF($P$6:$P2108,"&gt;0"))</f>
        <v/>
      </c>
    </row>
    <row r="2109" customFormat="false" ht="15" hidden="false" customHeight="false" outlineLevel="0" collapsed="false">
      <c r="A2109" s="40" t="str">
        <f aca="false">IF(INDEX(BookTitle,2104)="","",INDEX(BookGroup,2104))</f>
        <v/>
      </c>
      <c r="B2109" s="40" t="str">
        <f aca="false">IF(INDEX(BookTitle,2104)="","",INDEX(BookRef,2104))</f>
        <v/>
      </c>
      <c r="C2109" s="40" t="str">
        <f aca="false">IF(INDEX(BookTitle,2104)="","",INDEX(BookDivision,2104))</f>
        <v/>
      </c>
      <c r="D2109" s="40" t="str">
        <f aca="false">IF(INDEX(BookTitle,2104)="","",INDEX(BookUnit,2104))</f>
        <v/>
      </c>
      <c r="E2109" s="40" t="str">
        <f aca="false">IF(INDEX(BookTitle,2104)="","",INDEX(BookTitle,2104))</f>
        <v/>
      </c>
      <c r="F2109" s="40" t="str">
        <f aca="false">IF(INDEX(BookTitle,2104)="","",INDEX(BookLevel,2104))</f>
        <v/>
      </c>
      <c r="G2109" s="40" t="str">
        <f aca="false">IF(INDEX(BookTitle,2104)="","",INDEX(BookCategory,2104))</f>
        <v/>
      </c>
      <c r="H2109" s="40" t="str">
        <f aca="false">IF(INDEX(BookTitle,2104)="","",INDEX(BookRank,2104))</f>
        <v/>
      </c>
      <c r="I2109" s="41" t="str">
        <f aca="false">IF(INDEX(BookTitle,2104)="","",INDEX(BookTotal,2104))</f>
        <v/>
      </c>
      <c r="J2109" s="0" t="str">
        <f aca="false">IF($I2109="","",IF(INDEX(BookQ1,2104)&gt;0,"Q1",IF(INDEX(BookQ2,2104)&gt;0,"Q2",IF(INDEX(BookQ3,2104)&gt;0,"Q3",IF(INDEX(BookQ4,2104)&gt;0,"Q4","")))))</f>
        <v/>
      </c>
      <c r="K2109" s="42" t="str">
        <f aca="false">IF(INDEX(BookTitle,2104)="","",INDEX(BookInYear,2104))</f>
        <v/>
      </c>
      <c r="L2109" s="19"/>
      <c r="M2109" s="39"/>
      <c r="N2109" s="19"/>
      <c r="O2109" s="19"/>
      <c r="P2109" s="43" t="str">
        <f aca="false">IF($E2109="","",IF($L2109="Decline",0,IF($L2109="Approve fewer",IF($M2109="","",$M2109),IF($L2109="","",$I2109))))</f>
        <v/>
      </c>
      <c r="Q2109" s="34" t="str">
        <f aca="false">IF($P2109="","",IF($N2109&lt;&gt;"",$N2109,$J2109))</f>
        <v/>
      </c>
      <c r="R2109" s="35" t="str">
        <f aca="false">IF(OR($P2109="",$Q2109=""),"",INDEX(BookRate,2104)*$P2109*(5-MATCH($Q2109,{"Q1";"Q2";"Q3";"Q4"},0))/4+INDEX(BookOneOff,2104)*$P2109)</f>
        <v/>
      </c>
      <c r="S2109" s="35" t="str">
        <f aca="false">IF($P2109="","",INDEX(BookRate,2104)*$P2109)</f>
        <v/>
      </c>
      <c r="T2109" s="35" t="str">
        <f aca="false">IF($R2109="","",$R2109-$K2109)</f>
        <v/>
      </c>
      <c r="U2109" s="35" t="str">
        <f aca="false">IF(N($P2109)&lt;=0,"",COUNTIF($P$6:$P2109,"&gt;0"))</f>
        <v/>
      </c>
    </row>
    <row r="2110" customFormat="false" ht="15" hidden="false" customHeight="false" outlineLevel="0" collapsed="false">
      <c r="A2110" s="40" t="str">
        <f aca="false">IF(INDEX(BookTitle,2105)="","",INDEX(BookGroup,2105))</f>
        <v/>
      </c>
      <c r="B2110" s="40" t="str">
        <f aca="false">IF(INDEX(BookTitle,2105)="","",INDEX(BookRef,2105))</f>
        <v/>
      </c>
      <c r="C2110" s="40" t="str">
        <f aca="false">IF(INDEX(BookTitle,2105)="","",INDEX(BookDivision,2105))</f>
        <v/>
      </c>
      <c r="D2110" s="40" t="str">
        <f aca="false">IF(INDEX(BookTitle,2105)="","",INDEX(BookUnit,2105))</f>
        <v/>
      </c>
      <c r="E2110" s="40" t="str">
        <f aca="false">IF(INDEX(BookTitle,2105)="","",INDEX(BookTitle,2105))</f>
        <v/>
      </c>
      <c r="F2110" s="40" t="str">
        <f aca="false">IF(INDEX(BookTitle,2105)="","",INDEX(BookLevel,2105))</f>
        <v/>
      </c>
      <c r="G2110" s="40" t="str">
        <f aca="false">IF(INDEX(BookTitle,2105)="","",INDEX(BookCategory,2105))</f>
        <v/>
      </c>
      <c r="H2110" s="40" t="str">
        <f aca="false">IF(INDEX(BookTitle,2105)="","",INDEX(BookRank,2105))</f>
        <v/>
      </c>
      <c r="I2110" s="41" t="str">
        <f aca="false">IF(INDEX(BookTitle,2105)="","",INDEX(BookTotal,2105))</f>
        <v/>
      </c>
      <c r="J2110" s="0" t="str">
        <f aca="false">IF($I2110="","",IF(INDEX(BookQ1,2105)&gt;0,"Q1",IF(INDEX(BookQ2,2105)&gt;0,"Q2",IF(INDEX(BookQ3,2105)&gt;0,"Q3",IF(INDEX(BookQ4,2105)&gt;0,"Q4","")))))</f>
        <v/>
      </c>
      <c r="K2110" s="42" t="str">
        <f aca="false">IF(INDEX(BookTitle,2105)="","",INDEX(BookInYear,2105))</f>
        <v/>
      </c>
      <c r="L2110" s="19"/>
      <c r="M2110" s="39"/>
      <c r="N2110" s="19"/>
      <c r="O2110" s="19"/>
      <c r="P2110" s="43" t="str">
        <f aca="false">IF($E2110="","",IF($L2110="Decline",0,IF($L2110="Approve fewer",IF($M2110="","",$M2110),IF($L2110="","",$I2110))))</f>
        <v/>
      </c>
      <c r="Q2110" s="34" t="str">
        <f aca="false">IF($P2110="","",IF($N2110&lt;&gt;"",$N2110,$J2110))</f>
        <v/>
      </c>
      <c r="R2110" s="35" t="str">
        <f aca="false">IF(OR($P2110="",$Q2110=""),"",INDEX(BookRate,2105)*$P2110*(5-MATCH($Q2110,{"Q1";"Q2";"Q3";"Q4"},0))/4+INDEX(BookOneOff,2105)*$P2110)</f>
        <v/>
      </c>
      <c r="S2110" s="35" t="str">
        <f aca="false">IF($P2110="","",INDEX(BookRate,2105)*$P2110)</f>
        <v/>
      </c>
      <c r="T2110" s="35" t="str">
        <f aca="false">IF($R2110="","",$R2110-$K2110)</f>
        <v/>
      </c>
      <c r="U2110" s="35" t="str">
        <f aca="false">IF(N($P2110)&lt;=0,"",COUNTIF($P$6:$P2110,"&gt;0"))</f>
        <v/>
      </c>
    </row>
    <row r="2111" customFormat="false" ht="15" hidden="false" customHeight="false" outlineLevel="0" collapsed="false">
      <c r="A2111" s="40" t="str">
        <f aca="false">IF(INDEX(BookTitle,2106)="","",INDEX(BookGroup,2106))</f>
        <v/>
      </c>
      <c r="B2111" s="40" t="str">
        <f aca="false">IF(INDEX(BookTitle,2106)="","",INDEX(BookRef,2106))</f>
        <v/>
      </c>
      <c r="C2111" s="40" t="str">
        <f aca="false">IF(INDEX(BookTitle,2106)="","",INDEX(BookDivision,2106))</f>
        <v/>
      </c>
      <c r="D2111" s="40" t="str">
        <f aca="false">IF(INDEX(BookTitle,2106)="","",INDEX(BookUnit,2106))</f>
        <v/>
      </c>
      <c r="E2111" s="40" t="str">
        <f aca="false">IF(INDEX(BookTitle,2106)="","",INDEX(BookTitle,2106))</f>
        <v/>
      </c>
      <c r="F2111" s="40" t="str">
        <f aca="false">IF(INDEX(BookTitle,2106)="","",INDEX(BookLevel,2106))</f>
        <v/>
      </c>
      <c r="G2111" s="40" t="str">
        <f aca="false">IF(INDEX(BookTitle,2106)="","",INDEX(BookCategory,2106))</f>
        <v/>
      </c>
      <c r="H2111" s="40" t="str">
        <f aca="false">IF(INDEX(BookTitle,2106)="","",INDEX(BookRank,2106))</f>
        <v/>
      </c>
      <c r="I2111" s="41" t="str">
        <f aca="false">IF(INDEX(BookTitle,2106)="","",INDEX(BookTotal,2106))</f>
        <v/>
      </c>
      <c r="J2111" s="0" t="str">
        <f aca="false">IF($I2111="","",IF(INDEX(BookQ1,2106)&gt;0,"Q1",IF(INDEX(BookQ2,2106)&gt;0,"Q2",IF(INDEX(BookQ3,2106)&gt;0,"Q3",IF(INDEX(BookQ4,2106)&gt;0,"Q4","")))))</f>
        <v/>
      </c>
      <c r="K2111" s="42" t="str">
        <f aca="false">IF(INDEX(BookTitle,2106)="","",INDEX(BookInYear,2106))</f>
        <v/>
      </c>
      <c r="L2111" s="19"/>
      <c r="M2111" s="39"/>
      <c r="N2111" s="19"/>
      <c r="O2111" s="19"/>
      <c r="P2111" s="43" t="str">
        <f aca="false">IF($E2111="","",IF($L2111="Decline",0,IF($L2111="Approve fewer",IF($M2111="","",$M2111),IF($L2111="","",$I2111))))</f>
        <v/>
      </c>
      <c r="Q2111" s="34" t="str">
        <f aca="false">IF($P2111="","",IF($N2111&lt;&gt;"",$N2111,$J2111))</f>
        <v/>
      </c>
      <c r="R2111" s="35" t="str">
        <f aca="false">IF(OR($P2111="",$Q2111=""),"",INDEX(BookRate,2106)*$P2111*(5-MATCH($Q2111,{"Q1";"Q2";"Q3";"Q4"},0))/4+INDEX(BookOneOff,2106)*$P2111)</f>
        <v/>
      </c>
      <c r="S2111" s="35" t="str">
        <f aca="false">IF($P2111="","",INDEX(BookRate,2106)*$P2111)</f>
        <v/>
      </c>
      <c r="T2111" s="35" t="str">
        <f aca="false">IF($R2111="","",$R2111-$K2111)</f>
        <v/>
      </c>
      <c r="U2111" s="35" t="str">
        <f aca="false">IF(N($P2111)&lt;=0,"",COUNTIF($P$6:$P2111,"&gt;0"))</f>
        <v/>
      </c>
    </row>
    <row r="2112" customFormat="false" ht="15" hidden="false" customHeight="false" outlineLevel="0" collapsed="false">
      <c r="A2112" s="40" t="str">
        <f aca="false">IF(INDEX(BookTitle,2107)="","",INDEX(BookGroup,2107))</f>
        <v/>
      </c>
      <c r="B2112" s="40" t="str">
        <f aca="false">IF(INDEX(BookTitle,2107)="","",INDEX(BookRef,2107))</f>
        <v/>
      </c>
      <c r="C2112" s="40" t="str">
        <f aca="false">IF(INDEX(BookTitle,2107)="","",INDEX(BookDivision,2107))</f>
        <v/>
      </c>
      <c r="D2112" s="40" t="str">
        <f aca="false">IF(INDEX(BookTitle,2107)="","",INDEX(BookUnit,2107))</f>
        <v/>
      </c>
      <c r="E2112" s="40" t="str">
        <f aca="false">IF(INDEX(BookTitle,2107)="","",INDEX(BookTitle,2107))</f>
        <v/>
      </c>
      <c r="F2112" s="40" t="str">
        <f aca="false">IF(INDEX(BookTitle,2107)="","",INDEX(BookLevel,2107))</f>
        <v/>
      </c>
      <c r="G2112" s="40" t="str">
        <f aca="false">IF(INDEX(BookTitle,2107)="","",INDEX(BookCategory,2107))</f>
        <v/>
      </c>
      <c r="H2112" s="40" t="str">
        <f aca="false">IF(INDEX(BookTitle,2107)="","",INDEX(BookRank,2107))</f>
        <v/>
      </c>
      <c r="I2112" s="41" t="str">
        <f aca="false">IF(INDEX(BookTitle,2107)="","",INDEX(BookTotal,2107))</f>
        <v/>
      </c>
      <c r="J2112" s="0" t="str">
        <f aca="false">IF($I2112="","",IF(INDEX(BookQ1,2107)&gt;0,"Q1",IF(INDEX(BookQ2,2107)&gt;0,"Q2",IF(INDEX(BookQ3,2107)&gt;0,"Q3",IF(INDEX(BookQ4,2107)&gt;0,"Q4","")))))</f>
        <v/>
      </c>
      <c r="K2112" s="42" t="str">
        <f aca="false">IF(INDEX(BookTitle,2107)="","",INDEX(BookInYear,2107))</f>
        <v/>
      </c>
      <c r="L2112" s="19"/>
      <c r="M2112" s="39"/>
      <c r="N2112" s="19"/>
      <c r="O2112" s="19"/>
      <c r="P2112" s="43" t="str">
        <f aca="false">IF($E2112="","",IF($L2112="Decline",0,IF($L2112="Approve fewer",IF($M2112="","",$M2112),IF($L2112="","",$I2112))))</f>
        <v/>
      </c>
      <c r="Q2112" s="34" t="str">
        <f aca="false">IF($P2112="","",IF($N2112&lt;&gt;"",$N2112,$J2112))</f>
        <v/>
      </c>
      <c r="R2112" s="35" t="str">
        <f aca="false">IF(OR($P2112="",$Q2112=""),"",INDEX(BookRate,2107)*$P2112*(5-MATCH($Q2112,{"Q1";"Q2";"Q3";"Q4"},0))/4+INDEX(BookOneOff,2107)*$P2112)</f>
        <v/>
      </c>
      <c r="S2112" s="35" t="str">
        <f aca="false">IF($P2112="","",INDEX(BookRate,2107)*$P2112)</f>
        <v/>
      </c>
      <c r="T2112" s="35" t="str">
        <f aca="false">IF($R2112="","",$R2112-$K2112)</f>
        <v/>
      </c>
      <c r="U2112" s="35" t="str">
        <f aca="false">IF(N($P2112)&lt;=0,"",COUNTIF($P$6:$P2112,"&gt;0"))</f>
        <v/>
      </c>
    </row>
    <row r="2113" customFormat="false" ht="15" hidden="false" customHeight="false" outlineLevel="0" collapsed="false">
      <c r="A2113" s="40" t="str">
        <f aca="false">IF(INDEX(BookTitle,2108)="","",INDEX(BookGroup,2108))</f>
        <v/>
      </c>
      <c r="B2113" s="40" t="str">
        <f aca="false">IF(INDEX(BookTitle,2108)="","",INDEX(BookRef,2108))</f>
        <v/>
      </c>
      <c r="C2113" s="40" t="str">
        <f aca="false">IF(INDEX(BookTitle,2108)="","",INDEX(BookDivision,2108))</f>
        <v/>
      </c>
      <c r="D2113" s="40" t="str">
        <f aca="false">IF(INDEX(BookTitle,2108)="","",INDEX(BookUnit,2108))</f>
        <v/>
      </c>
      <c r="E2113" s="40" t="str">
        <f aca="false">IF(INDEX(BookTitle,2108)="","",INDEX(BookTitle,2108))</f>
        <v/>
      </c>
      <c r="F2113" s="40" t="str">
        <f aca="false">IF(INDEX(BookTitle,2108)="","",INDEX(BookLevel,2108))</f>
        <v/>
      </c>
      <c r="G2113" s="40" t="str">
        <f aca="false">IF(INDEX(BookTitle,2108)="","",INDEX(BookCategory,2108))</f>
        <v/>
      </c>
      <c r="H2113" s="40" t="str">
        <f aca="false">IF(INDEX(BookTitle,2108)="","",INDEX(BookRank,2108))</f>
        <v/>
      </c>
      <c r="I2113" s="41" t="str">
        <f aca="false">IF(INDEX(BookTitle,2108)="","",INDEX(BookTotal,2108))</f>
        <v/>
      </c>
      <c r="J2113" s="0" t="str">
        <f aca="false">IF($I2113="","",IF(INDEX(BookQ1,2108)&gt;0,"Q1",IF(INDEX(BookQ2,2108)&gt;0,"Q2",IF(INDEX(BookQ3,2108)&gt;0,"Q3",IF(INDEX(BookQ4,2108)&gt;0,"Q4","")))))</f>
        <v/>
      </c>
      <c r="K2113" s="42" t="str">
        <f aca="false">IF(INDEX(BookTitle,2108)="","",INDEX(BookInYear,2108))</f>
        <v/>
      </c>
      <c r="L2113" s="19"/>
      <c r="M2113" s="39"/>
      <c r="N2113" s="19"/>
      <c r="O2113" s="19"/>
      <c r="P2113" s="43" t="str">
        <f aca="false">IF($E2113="","",IF($L2113="Decline",0,IF($L2113="Approve fewer",IF($M2113="","",$M2113),IF($L2113="","",$I2113))))</f>
        <v/>
      </c>
      <c r="Q2113" s="34" t="str">
        <f aca="false">IF($P2113="","",IF($N2113&lt;&gt;"",$N2113,$J2113))</f>
        <v/>
      </c>
      <c r="R2113" s="35" t="str">
        <f aca="false">IF(OR($P2113="",$Q2113=""),"",INDEX(BookRate,2108)*$P2113*(5-MATCH($Q2113,{"Q1";"Q2";"Q3";"Q4"},0))/4+INDEX(BookOneOff,2108)*$P2113)</f>
        <v/>
      </c>
      <c r="S2113" s="35" t="str">
        <f aca="false">IF($P2113="","",INDEX(BookRate,2108)*$P2113)</f>
        <v/>
      </c>
      <c r="T2113" s="35" t="str">
        <f aca="false">IF($R2113="","",$R2113-$K2113)</f>
        <v/>
      </c>
      <c r="U2113" s="35" t="str">
        <f aca="false">IF(N($P2113)&lt;=0,"",COUNTIF($P$6:$P2113,"&gt;0"))</f>
        <v/>
      </c>
    </row>
    <row r="2114" customFormat="false" ht="15" hidden="false" customHeight="false" outlineLevel="0" collapsed="false">
      <c r="A2114" s="40" t="str">
        <f aca="false">IF(INDEX(BookTitle,2109)="","",INDEX(BookGroup,2109))</f>
        <v/>
      </c>
      <c r="B2114" s="40" t="str">
        <f aca="false">IF(INDEX(BookTitle,2109)="","",INDEX(BookRef,2109))</f>
        <v/>
      </c>
      <c r="C2114" s="40" t="str">
        <f aca="false">IF(INDEX(BookTitle,2109)="","",INDEX(BookDivision,2109))</f>
        <v/>
      </c>
      <c r="D2114" s="40" t="str">
        <f aca="false">IF(INDEX(BookTitle,2109)="","",INDEX(BookUnit,2109))</f>
        <v/>
      </c>
      <c r="E2114" s="40" t="str">
        <f aca="false">IF(INDEX(BookTitle,2109)="","",INDEX(BookTitle,2109))</f>
        <v/>
      </c>
      <c r="F2114" s="40" t="str">
        <f aca="false">IF(INDEX(BookTitle,2109)="","",INDEX(BookLevel,2109))</f>
        <v/>
      </c>
      <c r="G2114" s="40" t="str">
        <f aca="false">IF(INDEX(BookTitle,2109)="","",INDEX(BookCategory,2109))</f>
        <v/>
      </c>
      <c r="H2114" s="40" t="str">
        <f aca="false">IF(INDEX(BookTitle,2109)="","",INDEX(BookRank,2109))</f>
        <v/>
      </c>
      <c r="I2114" s="41" t="str">
        <f aca="false">IF(INDEX(BookTitle,2109)="","",INDEX(BookTotal,2109))</f>
        <v/>
      </c>
      <c r="J2114" s="0" t="str">
        <f aca="false">IF($I2114="","",IF(INDEX(BookQ1,2109)&gt;0,"Q1",IF(INDEX(BookQ2,2109)&gt;0,"Q2",IF(INDEX(BookQ3,2109)&gt;0,"Q3",IF(INDEX(BookQ4,2109)&gt;0,"Q4","")))))</f>
        <v/>
      </c>
      <c r="K2114" s="42" t="str">
        <f aca="false">IF(INDEX(BookTitle,2109)="","",INDEX(BookInYear,2109))</f>
        <v/>
      </c>
      <c r="L2114" s="19"/>
      <c r="M2114" s="39"/>
      <c r="N2114" s="19"/>
      <c r="O2114" s="19"/>
      <c r="P2114" s="43" t="str">
        <f aca="false">IF($E2114="","",IF($L2114="Decline",0,IF($L2114="Approve fewer",IF($M2114="","",$M2114),IF($L2114="","",$I2114))))</f>
        <v/>
      </c>
      <c r="Q2114" s="34" t="str">
        <f aca="false">IF($P2114="","",IF($N2114&lt;&gt;"",$N2114,$J2114))</f>
        <v/>
      </c>
      <c r="R2114" s="35" t="str">
        <f aca="false">IF(OR($P2114="",$Q2114=""),"",INDEX(BookRate,2109)*$P2114*(5-MATCH($Q2114,{"Q1";"Q2";"Q3";"Q4"},0))/4+INDEX(BookOneOff,2109)*$P2114)</f>
        <v/>
      </c>
      <c r="S2114" s="35" t="str">
        <f aca="false">IF($P2114="","",INDEX(BookRate,2109)*$P2114)</f>
        <v/>
      </c>
      <c r="T2114" s="35" t="str">
        <f aca="false">IF($R2114="","",$R2114-$K2114)</f>
        <v/>
      </c>
      <c r="U2114" s="35" t="str">
        <f aca="false">IF(N($P2114)&lt;=0,"",COUNTIF($P$6:$P2114,"&gt;0"))</f>
        <v/>
      </c>
    </row>
    <row r="2115" customFormat="false" ht="15" hidden="false" customHeight="false" outlineLevel="0" collapsed="false">
      <c r="A2115" s="40" t="str">
        <f aca="false">IF(INDEX(BookTitle,2110)="","",INDEX(BookGroup,2110))</f>
        <v/>
      </c>
      <c r="B2115" s="40" t="str">
        <f aca="false">IF(INDEX(BookTitle,2110)="","",INDEX(BookRef,2110))</f>
        <v/>
      </c>
      <c r="C2115" s="40" t="str">
        <f aca="false">IF(INDEX(BookTitle,2110)="","",INDEX(BookDivision,2110))</f>
        <v/>
      </c>
      <c r="D2115" s="40" t="str">
        <f aca="false">IF(INDEX(BookTitle,2110)="","",INDEX(BookUnit,2110))</f>
        <v/>
      </c>
      <c r="E2115" s="40" t="str">
        <f aca="false">IF(INDEX(BookTitle,2110)="","",INDEX(BookTitle,2110))</f>
        <v/>
      </c>
      <c r="F2115" s="40" t="str">
        <f aca="false">IF(INDEX(BookTitle,2110)="","",INDEX(BookLevel,2110))</f>
        <v/>
      </c>
      <c r="G2115" s="40" t="str">
        <f aca="false">IF(INDEX(BookTitle,2110)="","",INDEX(BookCategory,2110))</f>
        <v/>
      </c>
      <c r="H2115" s="40" t="str">
        <f aca="false">IF(INDEX(BookTitle,2110)="","",INDEX(BookRank,2110))</f>
        <v/>
      </c>
      <c r="I2115" s="41" t="str">
        <f aca="false">IF(INDEX(BookTitle,2110)="","",INDEX(BookTotal,2110))</f>
        <v/>
      </c>
      <c r="J2115" s="0" t="str">
        <f aca="false">IF($I2115="","",IF(INDEX(BookQ1,2110)&gt;0,"Q1",IF(INDEX(BookQ2,2110)&gt;0,"Q2",IF(INDEX(BookQ3,2110)&gt;0,"Q3",IF(INDEX(BookQ4,2110)&gt;0,"Q4","")))))</f>
        <v/>
      </c>
      <c r="K2115" s="42" t="str">
        <f aca="false">IF(INDEX(BookTitle,2110)="","",INDEX(BookInYear,2110))</f>
        <v/>
      </c>
      <c r="L2115" s="19"/>
      <c r="M2115" s="39"/>
      <c r="N2115" s="19"/>
      <c r="O2115" s="19"/>
      <c r="P2115" s="43" t="str">
        <f aca="false">IF($E2115="","",IF($L2115="Decline",0,IF($L2115="Approve fewer",IF($M2115="","",$M2115),IF($L2115="","",$I2115))))</f>
        <v/>
      </c>
      <c r="Q2115" s="34" t="str">
        <f aca="false">IF($P2115="","",IF($N2115&lt;&gt;"",$N2115,$J2115))</f>
        <v/>
      </c>
      <c r="R2115" s="35" t="str">
        <f aca="false">IF(OR($P2115="",$Q2115=""),"",INDEX(BookRate,2110)*$P2115*(5-MATCH($Q2115,{"Q1";"Q2";"Q3";"Q4"},0))/4+INDEX(BookOneOff,2110)*$P2115)</f>
        <v/>
      </c>
      <c r="S2115" s="35" t="str">
        <f aca="false">IF($P2115="","",INDEX(BookRate,2110)*$P2115)</f>
        <v/>
      </c>
      <c r="T2115" s="35" t="str">
        <f aca="false">IF($R2115="","",$R2115-$K2115)</f>
        <v/>
      </c>
      <c r="U2115" s="35" t="str">
        <f aca="false">IF(N($P2115)&lt;=0,"",COUNTIF($P$6:$P2115,"&gt;0"))</f>
        <v/>
      </c>
    </row>
    <row r="2116" customFormat="false" ht="15" hidden="false" customHeight="false" outlineLevel="0" collapsed="false">
      <c r="A2116" s="40" t="str">
        <f aca="false">IF(INDEX(BookTitle,2111)="","",INDEX(BookGroup,2111))</f>
        <v/>
      </c>
      <c r="B2116" s="40" t="str">
        <f aca="false">IF(INDEX(BookTitle,2111)="","",INDEX(BookRef,2111))</f>
        <v/>
      </c>
      <c r="C2116" s="40" t="str">
        <f aca="false">IF(INDEX(BookTitle,2111)="","",INDEX(BookDivision,2111))</f>
        <v/>
      </c>
      <c r="D2116" s="40" t="str">
        <f aca="false">IF(INDEX(BookTitle,2111)="","",INDEX(BookUnit,2111))</f>
        <v/>
      </c>
      <c r="E2116" s="40" t="str">
        <f aca="false">IF(INDEX(BookTitle,2111)="","",INDEX(BookTitle,2111))</f>
        <v/>
      </c>
      <c r="F2116" s="40" t="str">
        <f aca="false">IF(INDEX(BookTitle,2111)="","",INDEX(BookLevel,2111))</f>
        <v/>
      </c>
      <c r="G2116" s="40" t="str">
        <f aca="false">IF(INDEX(BookTitle,2111)="","",INDEX(BookCategory,2111))</f>
        <v/>
      </c>
      <c r="H2116" s="40" t="str">
        <f aca="false">IF(INDEX(BookTitle,2111)="","",INDEX(BookRank,2111))</f>
        <v/>
      </c>
      <c r="I2116" s="41" t="str">
        <f aca="false">IF(INDEX(BookTitle,2111)="","",INDEX(BookTotal,2111))</f>
        <v/>
      </c>
      <c r="J2116" s="0" t="str">
        <f aca="false">IF($I2116="","",IF(INDEX(BookQ1,2111)&gt;0,"Q1",IF(INDEX(BookQ2,2111)&gt;0,"Q2",IF(INDEX(BookQ3,2111)&gt;0,"Q3",IF(INDEX(BookQ4,2111)&gt;0,"Q4","")))))</f>
        <v/>
      </c>
      <c r="K2116" s="42" t="str">
        <f aca="false">IF(INDEX(BookTitle,2111)="","",INDEX(BookInYear,2111))</f>
        <v/>
      </c>
      <c r="L2116" s="19"/>
      <c r="M2116" s="39"/>
      <c r="N2116" s="19"/>
      <c r="O2116" s="19"/>
      <c r="P2116" s="43" t="str">
        <f aca="false">IF($E2116="","",IF($L2116="Decline",0,IF($L2116="Approve fewer",IF($M2116="","",$M2116),IF($L2116="","",$I2116))))</f>
        <v/>
      </c>
      <c r="Q2116" s="34" t="str">
        <f aca="false">IF($P2116="","",IF($N2116&lt;&gt;"",$N2116,$J2116))</f>
        <v/>
      </c>
      <c r="R2116" s="35" t="str">
        <f aca="false">IF(OR($P2116="",$Q2116=""),"",INDEX(BookRate,2111)*$P2116*(5-MATCH($Q2116,{"Q1";"Q2";"Q3";"Q4"},0))/4+INDEX(BookOneOff,2111)*$P2116)</f>
        <v/>
      </c>
      <c r="S2116" s="35" t="str">
        <f aca="false">IF($P2116="","",INDEX(BookRate,2111)*$P2116)</f>
        <v/>
      </c>
      <c r="T2116" s="35" t="str">
        <f aca="false">IF($R2116="","",$R2116-$K2116)</f>
        <v/>
      </c>
      <c r="U2116" s="35" t="str">
        <f aca="false">IF(N($P2116)&lt;=0,"",COUNTIF($P$6:$P2116,"&gt;0"))</f>
        <v/>
      </c>
    </row>
    <row r="2117" customFormat="false" ht="15" hidden="false" customHeight="false" outlineLevel="0" collapsed="false">
      <c r="A2117" s="40" t="str">
        <f aca="false">IF(INDEX(BookTitle,2112)="","",INDEX(BookGroup,2112))</f>
        <v/>
      </c>
      <c r="B2117" s="40" t="str">
        <f aca="false">IF(INDEX(BookTitle,2112)="","",INDEX(BookRef,2112))</f>
        <v/>
      </c>
      <c r="C2117" s="40" t="str">
        <f aca="false">IF(INDEX(BookTitle,2112)="","",INDEX(BookDivision,2112))</f>
        <v/>
      </c>
      <c r="D2117" s="40" t="str">
        <f aca="false">IF(INDEX(BookTitle,2112)="","",INDEX(BookUnit,2112))</f>
        <v/>
      </c>
      <c r="E2117" s="40" t="str">
        <f aca="false">IF(INDEX(BookTitle,2112)="","",INDEX(BookTitle,2112))</f>
        <v/>
      </c>
      <c r="F2117" s="40" t="str">
        <f aca="false">IF(INDEX(BookTitle,2112)="","",INDEX(BookLevel,2112))</f>
        <v/>
      </c>
      <c r="G2117" s="40" t="str">
        <f aca="false">IF(INDEX(BookTitle,2112)="","",INDEX(BookCategory,2112))</f>
        <v/>
      </c>
      <c r="H2117" s="40" t="str">
        <f aca="false">IF(INDEX(BookTitle,2112)="","",INDEX(BookRank,2112))</f>
        <v/>
      </c>
      <c r="I2117" s="41" t="str">
        <f aca="false">IF(INDEX(BookTitle,2112)="","",INDEX(BookTotal,2112))</f>
        <v/>
      </c>
      <c r="J2117" s="0" t="str">
        <f aca="false">IF($I2117="","",IF(INDEX(BookQ1,2112)&gt;0,"Q1",IF(INDEX(BookQ2,2112)&gt;0,"Q2",IF(INDEX(BookQ3,2112)&gt;0,"Q3",IF(INDEX(BookQ4,2112)&gt;0,"Q4","")))))</f>
        <v/>
      </c>
      <c r="K2117" s="42" t="str">
        <f aca="false">IF(INDEX(BookTitle,2112)="","",INDEX(BookInYear,2112))</f>
        <v/>
      </c>
      <c r="L2117" s="19"/>
      <c r="M2117" s="39"/>
      <c r="N2117" s="19"/>
      <c r="O2117" s="19"/>
      <c r="P2117" s="43" t="str">
        <f aca="false">IF($E2117="","",IF($L2117="Decline",0,IF($L2117="Approve fewer",IF($M2117="","",$M2117),IF($L2117="","",$I2117))))</f>
        <v/>
      </c>
      <c r="Q2117" s="34" t="str">
        <f aca="false">IF($P2117="","",IF($N2117&lt;&gt;"",$N2117,$J2117))</f>
        <v/>
      </c>
      <c r="R2117" s="35" t="str">
        <f aca="false">IF(OR($P2117="",$Q2117=""),"",INDEX(BookRate,2112)*$P2117*(5-MATCH($Q2117,{"Q1";"Q2";"Q3";"Q4"},0))/4+INDEX(BookOneOff,2112)*$P2117)</f>
        <v/>
      </c>
      <c r="S2117" s="35" t="str">
        <f aca="false">IF($P2117="","",INDEX(BookRate,2112)*$P2117)</f>
        <v/>
      </c>
      <c r="T2117" s="35" t="str">
        <f aca="false">IF($R2117="","",$R2117-$K2117)</f>
        <v/>
      </c>
      <c r="U2117" s="35" t="str">
        <f aca="false">IF(N($P2117)&lt;=0,"",COUNTIF($P$6:$P2117,"&gt;0"))</f>
        <v/>
      </c>
    </row>
    <row r="2118" customFormat="false" ht="15" hidden="false" customHeight="false" outlineLevel="0" collapsed="false">
      <c r="A2118" s="40" t="str">
        <f aca="false">IF(INDEX(BookTitle,2113)="","",INDEX(BookGroup,2113))</f>
        <v/>
      </c>
      <c r="B2118" s="40" t="str">
        <f aca="false">IF(INDEX(BookTitle,2113)="","",INDEX(BookRef,2113))</f>
        <v/>
      </c>
      <c r="C2118" s="40" t="str">
        <f aca="false">IF(INDEX(BookTitle,2113)="","",INDEX(BookDivision,2113))</f>
        <v/>
      </c>
      <c r="D2118" s="40" t="str">
        <f aca="false">IF(INDEX(BookTitle,2113)="","",INDEX(BookUnit,2113))</f>
        <v/>
      </c>
      <c r="E2118" s="40" t="str">
        <f aca="false">IF(INDEX(BookTitle,2113)="","",INDEX(BookTitle,2113))</f>
        <v/>
      </c>
      <c r="F2118" s="40" t="str">
        <f aca="false">IF(INDEX(BookTitle,2113)="","",INDEX(BookLevel,2113))</f>
        <v/>
      </c>
      <c r="G2118" s="40" t="str">
        <f aca="false">IF(INDEX(BookTitle,2113)="","",INDEX(BookCategory,2113))</f>
        <v/>
      </c>
      <c r="H2118" s="40" t="str">
        <f aca="false">IF(INDEX(BookTitle,2113)="","",INDEX(BookRank,2113))</f>
        <v/>
      </c>
      <c r="I2118" s="41" t="str">
        <f aca="false">IF(INDEX(BookTitle,2113)="","",INDEX(BookTotal,2113))</f>
        <v/>
      </c>
      <c r="J2118" s="0" t="str">
        <f aca="false">IF($I2118="","",IF(INDEX(BookQ1,2113)&gt;0,"Q1",IF(INDEX(BookQ2,2113)&gt;0,"Q2",IF(INDEX(BookQ3,2113)&gt;0,"Q3",IF(INDEX(BookQ4,2113)&gt;0,"Q4","")))))</f>
        <v/>
      </c>
      <c r="K2118" s="42" t="str">
        <f aca="false">IF(INDEX(BookTitle,2113)="","",INDEX(BookInYear,2113))</f>
        <v/>
      </c>
      <c r="L2118" s="19"/>
      <c r="M2118" s="39"/>
      <c r="N2118" s="19"/>
      <c r="O2118" s="19"/>
      <c r="P2118" s="43" t="str">
        <f aca="false">IF($E2118="","",IF($L2118="Decline",0,IF($L2118="Approve fewer",IF($M2118="","",$M2118),IF($L2118="","",$I2118))))</f>
        <v/>
      </c>
      <c r="Q2118" s="34" t="str">
        <f aca="false">IF($P2118="","",IF($N2118&lt;&gt;"",$N2118,$J2118))</f>
        <v/>
      </c>
      <c r="R2118" s="35" t="str">
        <f aca="false">IF(OR($P2118="",$Q2118=""),"",INDEX(BookRate,2113)*$P2118*(5-MATCH($Q2118,{"Q1";"Q2";"Q3";"Q4"},0))/4+INDEX(BookOneOff,2113)*$P2118)</f>
        <v/>
      </c>
      <c r="S2118" s="35" t="str">
        <f aca="false">IF($P2118="","",INDEX(BookRate,2113)*$P2118)</f>
        <v/>
      </c>
      <c r="T2118" s="35" t="str">
        <f aca="false">IF($R2118="","",$R2118-$K2118)</f>
        <v/>
      </c>
      <c r="U2118" s="35" t="str">
        <f aca="false">IF(N($P2118)&lt;=0,"",COUNTIF($P$6:$P2118,"&gt;0"))</f>
        <v/>
      </c>
    </row>
    <row r="2119" customFormat="false" ht="15" hidden="false" customHeight="false" outlineLevel="0" collapsed="false">
      <c r="A2119" s="40" t="str">
        <f aca="false">IF(INDEX(BookTitle,2114)="","",INDEX(BookGroup,2114))</f>
        <v/>
      </c>
      <c r="B2119" s="40" t="str">
        <f aca="false">IF(INDEX(BookTitle,2114)="","",INDEX(BookRef,2114))</f>
        <v/>
      </c>
      <c r="C2119" s="40" t="str">
        <f aca="false">IF(INDEX(BookTitle,2114)="","",INDEX(BookDivision,2114))</f>
        <v/>
      </c>
      <c r="D2119" s="40" t="str">
        <f aca="false">IF(INDEX(BookTitle,2114)="","",INDEX(BookUnit,2114))</f>
        <v/>
      </c>
      <c r="E2119" s="40" t="str">
        <f aca="false">IF(INDEX(BookTitle,2114)="","",INDEX(BookTitle,2114))</f>
        <v/>
      </c>
      <c r="F2119" s="40" t="str">
        <f aca="false">IF(INDEX(BookTitle,2114)="","",INDEX(BookLevel,2114))</f>
        <v/>
      </c>
      <c r="G2119" s="40" t="str">
        <f aca="false">IF(INDEX(BookTitle,2114)="","",INDEX(BookCategory,2114))</f>
        <v/>
      </c>
      <c r="H2119" s="40" t="str">
        <f aca="false">IF(INDEX(BookTitle,2114)="","",INDEX(BookRank,2114))</f>
        <v/>
      </c>
      <c r="I2119" s="41" t="str">
        <f aca="false">IF(INDEX(BookTitle,2114)="","",INDEX(BookTotal,2114))</f>
        <v/>
      </c>
      <c r="J2119" s="0" t="str">
        <f aca="false">IF($I2119="","",IF(INDEX(BookQ1,2114)&gt;0,"Q1",IF(INDEX(BookQ2,2114)&gt;0,"Q2",IF(INDEX(BookQ3,2114)&gt;0,"Q3",IF(INDEX(BookQ4,2114)&gt;0,"Q4","")))))</f>
        <v/>
      </c>
      <c r="K2119" s="42" t="str">
        <f aca="false">IF(INDEX(BookTitle,2114)="","",INDEX(BookInYear,2114))</f>
        <v/>
      </c>
      <c r="L2119" s="19"/>
      <c r="M2119" s="39"/>
      <c r="N2119" s="19"/>
      <c r="O2119" s="19"/>
      <c r="P2119" s="43" t="str">
        <f aca="false">IF($E2119="","",IF($L2119="Decline",0,IF($L2119="Approve fewer",IF($M2119="","",$M2119),IF($L2119="","",$I2119))))</f>
        <v/>
      </c>
      <c r="Q2119" s="34" t="str">
        <f aca="false">IF($P2119="","",IF($N2119&lt;&gt;"",$N2119,$J2119))</f>
        <v/>
      </c>
      <c r="R2119" s="35" t="str">
        <f aca="false">IF(OR($P2119="",$Q2119=""),"",INDEX(BookRate,2114)*$P2119*(5-MATCH($Q2119,{"Q1";"Q2";"Q3";"Q4"},0))/4+INDEX(BookOneOff,2114)*$P2119)</f>
        <v/>
      </c>
      <c r="S2119" s="35" t="str">
        <f aca="false">IF($P2119="","",INDEX(BookRate,2114)*$P2119)</f>
        <v/>
      </c>
      <c r="T2119" s="35" t="str">
        <f aca="false">IF($R2119="","",$R2119-$K2119)</f>
        <v/>
      </c>
      <c r="U2119" s="35" t="str">
        <f aca="false">IF(N($P2119)&lt;=0,"",COUNTIF($P$6:$P2119,"&gt;0"))</f>
        <v/>
      </c>
    </row>
    <row r="2120" customFormat="false" ht="15" hidden="false" customHeight="false" outlineLevel="0" collapsed="false">
      <c r="A2120" s="40" t="str">
        <f aca="false">IF(INDEX(BookTitle,2115)="","",INDEX(BookGroup,2115))</f>
        <v/>
      </c>
      <c r="B2120" s="40" t="str">
        <f aca="false">IF(INDEX(BookTitle,2115)="","",INDEX(BookRef,2115))</f>
        <v/>
      </c>
      <c r="C2120" s="40" t="str">
        <f aca="false">IF(INDEX(BookTitle,2115)="","",INDEX(BookDivision,2115))</f>
        <v/>
      </c>
      <c r="D2120" s="40" t="str">
        <f aca="false">IF(INDEX(BookTitle,2115)="","",INDEX(BookUnit,2115))</f>
        <v/>
      </c>
      <c r="E2120" s="40" t="str">
        <f aca="false">IF(INDEX(BookTitle,2115)="","",INDEX(BookTitle,2115))</f>
        <v/>
      </c>
      <c r="F2120" s="40" t="str">
        <f aca="false">IF(INDEX(BookTitle,2115)="","",INDEX(BookLevel,2115))</f>
        <v/>
      </c>
      <c r="G2120" s="40" t="str">
        <f aca="false">IF(INDEX(BookTitle,2115)="","",INDEX(BookCategory,2115))</f>
        <v/>
      </c>
      <c r="H2120" s="40" t="str">
        <f aca="false">IF(INDEX(BookTitle,2115)="","",INDEX(BookRank,2115))</f>
        <v/>
      </c>
      <c r="I2120" s="41" t="str">
        <f aca="false">IF(INDEX(BookTitle,2115)="","",INDEX(BookTotal,2115))</f>
        <v/>
      </c>
      <c r="J2120" s="0" t="str">
        <f aca="false">IF($I2120="","",IF(INDEX(BookQ1,2115)&gt;0,"Q1",IF(INDEX(BookQ2,2115)&gt;0,"Q2",IF(INDEX(BookQ3,2115)&gt;0,"Q3",IF(INDEX(BookQ4,2115)&gt;0,"Q4","")))))</f>
        <v/>
      </c>
      <c r="K2120" s="42" t="str">
        <f aca="false">IF(INDEX(BookTitle,2115)="","",INDEX(BookInYear,2115))</f>
        <v/>
      </c>
      <c r="L2120" s="19"/>
      <c r="M2120" s="39"/>
      <c r="N2120" s="19"/>
      <c r="O2120" s="19"/>
      <c r="P2120" s="43" t="str">
        <f aca="false">IF($E2120="","",IF($L2120="Decline",0,IF($L2120="Approve fewer",IF($M2120="","",$M2120),IF($L2120="","",$I2120))))</f>
        <v/>
      </c>
      <c r="Q2120" s="34" t="str">
        <f aca="false">IF($P2120="","",IF($N2120&lt;&gt;"",$N2120,$J2120))</f>
        <v/>
      </c>
      <c r="R2120" s="35" t="str">
        <f aca="false">IF(OR($P2120="",$Q2120=""),"",INDEX(BookRate,2115)*$P2120*(5-MATCH($Q2120,{"Q1";"Q2";"Q3";"Q4"},0))/4+INDEX(BookOneOff,2115)*$P2120)</f>
        <v/>
      </c>
      <c r="S2120" s="35" t="str">
        <f aca="false">IF($P2120="","",INDEX(BookRate,2115)*$P2120)</f>
        <v/>
      </c>
      <c r="T2120" s="35" t="str">
        <f aca="false">IF($R2120="","",$R2120-$K2120)</f>
        <v/>
      </c>
      <c r="U2120" s="35" t="str">
        <f aca="false">IF(N($P2120)&lt;=0,"",COUNTIF($P$6:$P2120,"&gt;0"))</f>
        <v/>
      </c>
    </row>
    <row r="2121" customFormat="false" ht="15" hidden="false" customHeight="false" outlineLevel="0" collapsed="false">
      <c r="A2121" s="40" t="str">
        <f aca="false">IF(INDEX(BookTitle,2116)="","",INDEX(BookGroup,2116))</f>
        <v/>
      </c>
      <c r="B2121" s="40" t="str">
        <f aca="false">IF(INDEX(BookTitle,2116)="","",INDEX(BookRef,2116))</f>
        <v/>
      </c>
      <c r="C2121" s="40" t="str">
        <f aca="false">IF(INDEX(BookTitle,2116)="","",INDEX(BookDivision,2116))</f>
        <v/>
      </c>
      <c r="D2121" s="40" t="str">
        <f aca="false">IF(INDEX(BookTitle,2116)="","",INDEX(BookUnit,2116))</f>
        <v/>
      </c>
      <c r="E2121" s="40" t="str">
        <f aca="false">IF(INDEX(BookTitle,2116)="","",INDEX(BookTitle,2116))</f>
        <v/>
      </c>
      <c r="F2121" s="40" t="str">
        <f aca="false">IF(INDEX(BookTitle,2116)="","",INDEX(BookLevel,2116))</f>
        <v/>
      </c>
      <c r="G2121" s="40" t="str">
        <f aca="false">IF(INDEX(BookTitle,2116)="","",INDEX(BookCategory,2116))</f>
        <v/>
      </c>
      <c r="H2121" s="40" t="str">
        <f aca="false">IF(INDEX(BookTitle,2116)="","",INDEX(BookRank,2116))</f>
        <v/>
      </c>
      <c r="I2121" s="41" t="str">
        <f aca="false">IF(INDEX(BookTitle,2116)="","",INDEX(BookTotal,2116))</f>
        <v/>
      </c>
      <c r="J2121" s="0" t="str">
        <f aca="false">IF($I2121="","",IF(INDEX(BookQ1,2116)&gt;0,"Q1",IF(INDEX(BookQ2,2116)&gt;0,"Q2",IF(INDEX(BookQ3,2116)&gt;0,"Q3",IF(INDEX(BookQ4,2116)&gt;0,"Q4","")))))</f>
        <v/>
      </c>
      <c r="K2121" s="42" t="str">
        <f aca="false">IF(INDEX(BookTitle,2116)="","",INDEX(BookInYear,2116))</f>
        <v/>
      </c>
      <c r="L2121" s="19"/>
      <c r="M2121" s="39"/>
      <c r="N2121" s="19"/>
      <c r="O2121" s="19"/>
      <c r="P2121" s="43" t="str">
        <f aca="false">IF($E2121="","",IF($L2121="Decline",0,IF($L2121="Approve fewer",IF($M2121="","",$M2121),IF($L2121="","",$I2121))))</f>
        <v/>
      </c>
      <c r="Q2121" s="34" t="str">
        <f aca="false">IF($P2121="","",IF($N2121&lt;&gt;"",$N2121,$J2121))</f>
        <v/>
      </c>
      <c r="R2121" s="35" t="str">
        <f aca="false">IF(OR($P2121="",$Q2121=""),"",INDEX(BookRate,2116)*$P2121*(5-MATCH($Q2121,{"Q1";"Q2";"Q3";"Q4"},0))/4+INDEX(BookOneOff,2116)*$P2121)</f>
        <v/>
      </c>
      <c r="S2121" s="35" t="str">
        <f aca="false">IF($P2121="","",INDEX(BookRate,2116)*$P2121)</f>
        <v/>
      </c>
      <c r="T2121" s="35" t="str">
        <f aca="false">IF($R2121="","",$R2121-$K2121)</f>
        <v/>
      </c>
      <c r="U2121" s="35" t="str">
        <f aca="false">IF(N($P2121)&lt;=0,"",COUNTIF($P$6:$P2121,"&gt;0"))</f>
        <v/>
      </c>
    </row>
    <row r="2122" customFormat="false" ht="15" hidden="false" customHeight="false" outlineLevel="0" collapsed="false">
      <c r="A2122" s="40" t="str">
        <f aca="false">IF(INDEX(BookTitle,2117)="","",INDEX(BookGroup,2117))</f>
        <v/>
      </c>
      <c r="B2122" s="40" t="str">
        <f aca="false">IF(INDEX(BookTitle,2117)="","",INDEX(BookRef,2117))</f>
        <v/>
      </c>
      <c r="C2122" s="40" t="str">
        <f aca="false">IF(INDEX(BookTitle,2117)="","",INDEX(BookDivision,2117))</f>
        <v/>
      </c>
      <c r="D2122" s="40" t="str">
        <f aca="false">IF(INDEX(BookTitle,2117)="","",INDEX(BookUnit,2117))</f>
        <v/>
      </c>
      <c r="E2122" s="40" t="str">
        <f aca="false">IF(INDEX(BookTitle,2117)="","",INDEX(BookTitle,2117))</f>
        <v/>
      </c>
      <c r="F2122" s="40" t="str">
        <f aca="false">IF(INDEX(BookTitle,2117)="","",INDEX(BookLevel,2117))</f>
        <v/>
      </c>
      <c r="G2122" s="40" t="str">
        <f aca="false">IF(INDEX(BookTitle,2117)="","",INDEX(BookCategory,2117))</f>
        <v/>
      </c>
      <c r="H2122" s="40" t="str">
        <f aca="false">IF(INDEX(BookTitle,2117)="","",INDEX(BookRank,2117))</f>
        <v/>
      </c>
      <c r="I2122" s="41" t="str">
        <f aca="false">IF(INDEX(BookTitle,2117)="","",INDEX(BookTotal,2117))</f>
        <v/>
      </c>
      <c r="J2122" s="0" t="str">
        <f aca="false">IF($I2122="","",IF(INDEX(BookQ1,2117)&gt;0,"Q1",IF(INDEX(BookQ2,2117)&gt;0,"Q2",IF(INDEX(BookQ3,2117)&gt;0,"Q3",IF(INDEX(BookQ4,2117)&gt;0,"Q4","")))))</f>
        <v/>
      </c>
      <c r="K2122" s="42" t="str">
        <f aca="false">IF(INDEX(BookTitle,2117)="","",INDEX(BookInYear,2117))</f>
        <v/>
      </c>
      <c r="L2122" s="19"/>
      <c r="M2122" s="39"/>
      <c r="N2122" s="19"/>
      <c r="O2122" s="19"/>
      <c r="P2122" s="43" t="str">
        <f aca="false">IF($E2122="","",IF($L2122="Decline",0,IF($L2122="Approve fewer",IF($M2122="","",$M2122),IF($L2122="","",$I2122))))</f>
        <v/>
      </c>
      <c r="Q2122" s="34" t="str">
        <f aca="false">IF($P2122="","",IF($N2122&lt;&gt;"",$N2122,$J2122))</f>
        <v/>
      </c>
      <c r="R2122" s="35" t="str">
        <f aca="false">IF(OR($P2122="",$Q2122=""),"",INDEX(BookRate,2117)*$P2122*(5-MATCH($Q2122,{"Q1";"Q2";"Q3";"Q4"},0))/4+INDEX(BookOneOff,2117)*$P2122)</f>
        <v/>
      </c>
      <c r="S2122" s="35" t="str">
        <f aca="false">IF($P2122="","",INDEX(BookRate,2117)*$P2122)</f>
        <v/>
      </c>
      <c r="T2122" s="35" t="str">
        <f aca="false">IF($R2122="","",$R2122-$K2122)</f>
        <v/>
      </c>
      <c r="U2122" s="35" t="str">
        <f aca="false">IF(N($P2122)&lt;=0,"",COUNTIF($P$6:$P2122,"&gt;0"))</f>
        <v/>
      </c>
    </row>
    <row r="2123" customFormat="false" ht="15" hidden="false" customHeight="false" outlineLevel="0" collapsed="false">
      <c r="A2123" s="40" t="str">
        <f aca="false">IF(INDEX(BookTitle,2118)="","",INDEX(BookGroup,2118))</f>
        <v/>
      </c>
      <c r="B2123" s="40" t="str">
        <f aca="false">IF(INDEX(BookTitle,2118)="","",INDEX(BookRef,2118))</f>
        <v/>
      </c>
      <c r="C2123" s="40" t="str">
        <f aca="false">IF(INDEX(BookTitle,2118)="","",INDEX(BookDivision,2118))</f>
        <v/>
      </c>
      <c r="D2123" s="40" t="str">
        <f aca="false">IF(INDEX(BookTitle,2118)="","",INDEX(BookUnit,2118))</f>
        <v/>
      </c>
      <c r="E2123" s="40" t="str">
        <f aca="false">IF(INDEX(BookTitle,2118)="","",INDEX(BookTitle,2118))</f>
        <v/>
      </c>
      <c r="F2123" s="40" t="str">
        <f aca="false">IF(INDEX(BookTitle,2118)="","",INDEX(BookLevel,2118))</f>
        <v/>
      </c>
      <c r="G2123" s="40" t="str">
        <f aca="false">IF(INDEX(BookTitle,2118)="","",INDEX(BookCategory,2118))</f>
        <v/>
      </c>
      <c r="H2123" s="40" t="str">
        <f aca="false">IF(INDEX(BookTitle,2118)="","",INDEX(BookRank,2118))</f>
        <v/>
      </c>
      <c r="I2123" s="41" t="str">
        <f aca="false">IF(INDEX(BookTitle,2118)="","",INDEX(BookTotal,2118))</f>
        <v/>
      </c>
      <c r="J2123" s="0" t="str">
        <f aca="false">IF($I2123="","",IF(INDEX(BookQ1,2118)&gt;0,"Q1",IF(INDEX(BookQ2,2118)&gt;0,"Q2",IF(INDEX(BookQ3,2118)&gt;0,"Q3",IF(INDEX(BookQ4,2118)&gt;0,"Q4","")))))</f>
        <v/>
      </c>
      <c r="K2123" s="42" t="str">
        <f aca="false">IF(INDEX(BookTitle,2118)="","",INDEX(BookInYear,2118))</f>
        <v/>
      </c>
      <c r="L2123" s="19"/>
      <c r="M2123" s="39"/>
      <c r="N2123" s="19"/>
      <c r="O2123" s="19"/>
      <c r="P2123" s="43" t="str">
        <f aca="false">IF($E2123="","",IF($L2123="Decline",0,IF($L2123="Approve fewer",IF($M2123="","",$M2123),IF($L2123="","",$I2123))))</f>
        <v/>
      </c>
      <c r="Q2123" s="34" t="str">
        <f aca="false">IF($P2123="","",IF($N2123&lt;&gt;"",$N2123,$J2123))</f>
        <v/>
      </c>
      <c r="R2123" s="35" t="str">
        <f aca="false">IF(OR($P2123="",$Q2123=""),"",INDEX(BookRate,2118)*$P2123*(5-MATCH($Q2123,{"Q1";"Q2";"Q3";"Q4"},0))/4+INDEX(BookOneOff,2118)*$P2123)</f>
        <v/>
      </c>
      <c r="S2123" s="35" t="str">
        <f aca="false">IF($P2123="","",INDEX(BookRate,2118)*$P2123)</f>
        <v/>
      </c>
      <c r="T2123" s="35" t="str">
        <f aca="false">IF($R2123="","",$R2123-$K2123)</f>
        <v/>
      </c>
      <c r="U2123" s="35" t="str">
        <f aca="false">IF(N($P2123)&lt;=0,"",COUNTIF($P$6:$P2123,"&gt;0"))</f>
        <v/>
      </c>
    </row>
    <row r="2124" customFormat="false" ht="15" hidden="false" customHeight="false" outlineLevel="0" collapsed="false">
      <c r="A2124" s="40" t="str">
        <f aca="false">IF(INDEX(BookTitle,2119)="","",INDEX(BookGroup,2119))</f>
        <v/>
      </c>
      <c r="B2124" s="40" t="str">
        <f aca="false">IF(INDEX(BookTitle,2119)="","",INDEX(BookRef,2119))</f>
        <v/>
      </c>
      <c r="C2124" s="40" t="str">
        <f aca="false">IF(INDEX(BookTitle,2119)="","",INDEX(BookDivision,2119))</f>
        <v/>
      </c>
      <c r="D2124" s="40" t="str">
        <f aca="false">IF(INDEX(BookTitle,2119)="","",INDEX(BookUnit,2119))</f>
        <v/>
      </c>
      <c r="E2124" s="40" t="str">
        <f aca="false">IF(INDEX(BookTitle,2119)="","",INDEX(BookTitle,2119))</f>
        <v/>
      </c>
      <c r="F2124" s="40" t="str">
        <f aca="false">IF(INDEX(BookTitle,2119)="","",INDEX(BookLevel,2119))</f>
        <v/>
      </c>
      <c r="G2124" s="40" t="str">
        <f aca="false">IF(INDEX(BookTitle,2119)="","",INDEX(BookCategory,2119))</f>
        <v/>
      </c>
      <c r="H2124" s="40" t="str">
        <f aca="false">IF(INDEX(BookTitle,2119)="","",INDEX(BookRank,2119))</f>
        <v/>
      </c>
      <c r="I2124" s="41" t="str">
        <f aca="false">IF(INDEX(BookTitle,2119)="","",INDEX(BookTotal,2119))</f>
        <v/>
      </c>
      <c r="J2124" s="0" t="str">
        <f aca="false">IF($I2124="","",IF(INDEX(BookQ1,2119)&gt;0,"Q1",IF(INDEX(BookQ2,2119)&gt;0,"Q2",IF(INDEX(BookQ3,2119)&gt;0,"Q3",IF(INDEX(BookQ4,2119)&gt;0,"Q4","")))))</f>
        <v/>
      </c>
      <c r="K2124" s="42" t="str">
        <f aca="false">IF(INDEX(BookTitle,2119)="","",INDEX(BookInYear,2119))</f>
        <v/>
      </c>
      <c r="L2124" s="19"/>
      <c r="M2124" s="39"/>
      <c r="N2124" s="19"/>
      <c r="O2124" s="19"/>
      <c r="P2124" s="43" t="str">
        <f aca="false">IF($E2124="","",IF($L2124="Decline",0,IF($L2124="Approve fewer",IF($M2124="","",$M2124),IF($L2124="","",$I2124))))</f>
        <v/>
      </c>
      <c r="Q2124" s="34" t="str">
        <f aca="false">IF($P2124="","",IF($N2124&lt;&gt;"",$N2124,$J2124))</f>
        <v/>
      </c>
      <c r="R2124" s="35" t="str">
        <f aca="false">IF(OR($P2124="",$Q2124=""),"",INDEX(BookRate,2119)*$P2124*(5-MATCH($Q2124,{"Q1";"Q2";"Q3";"Q4"},0))/4+INDEX(BookOneOff,2119)*$P2124)</f>
        <v/>
      </c>
      <c r="S2124" s="35" t="str">
        <f aca="false">IF($P2124="","",INDEX(BookRate,2119)*$P2124)</f>
        <v/>
      </c>
      <c r="T2124" s="35" t="str">
        <f aca="false">IF($R2124="","",$R2124-$K2124)</f>
        <v/>
      </c>
      <c r="U2124" s="35" t="str">
        <f aca="false">IF(N($P2124)&lt;=0,"",COUNTIF($P$6:$P2124,"&gt;0"))</f>
        <v/>
      </c>
    </row>
    <row r="2125" customFormat="false" ht="15" hidden="false" customHeight="false" outlineLevel="0" collapsed="false">
      <c r="A2125" s="40" t="str">
        <f aca="false">IF(INDEX(BookTitle,2120)="","",INDEX(BookGroup,2120))</f>
        <v/>
      </c>
      <c r="B2125" s="40" t="str">
        <f aca="false">IF(INDEX(BookTitle,2120)="","",INDEX(BookRef,2120))</f>
        <v/>
      </c>
      <c r="C2125" s="40" t="str">
        <f aca="false">IF(INDEX(BookTitle,2120)="","",INDEX(BookDivision,2120))</f>
        <v/>
      </c>
      <c r="D2125" s="40" t="str">
        <f aca="false">IF(INDEX(BookTitle,2120)="","",INDEX(BookUnit,2120))</f>
        <v/>
      </c>
      <c r="E2125" s="40" t="str">
        <f aca="false">IF(INDEX(BookTitle,2120)="","",INDEX(BookTitle,2120))</f>
        <v/>
      </c>
      <c r="F2125" s="40" t="str">
        <f aca="false">IF(INDEX(BookTitle,2120)="","",INDEX(BookLevel,2120))</f>
        <v/>
      </c>
      <c r="G2125" s="40" t="str">
        <f aca="false">IF(INDEX(BookTitle,2120)="","",INDEX(BookCategory,2120))</f>
        <v/>
      </c>
      <c r="H2125" s="40" t="str">
        <f aca="false">IF(INDEX(BookTitle,2120)="","",INDEX(BookRank,2120))</f>
        <v/>
      </c>
      <c r="I2125" s="41" t="str">
        <f aca="false">IF(INDEX(BookTitle,2120)="","",INDEX(BookTotal,2120))</f>
        <v/>
      </c>
      <c r="J2125" s="0" t="str">
        <f aca="false">IF($I2125="","",IF(INDEX(BookQ1,2120)&gt;0,"Q1",IF(INDEX(BookQ2,2120)&gt;0,"Q2",IF(INDEX(BookQ3,2120)&gt;0,"Q3",IF(INDEX(BookQ4,2120)&gt;0,"Q4","")))))</f>
        <v/>
      </c>
      <c r="K2125" s="42" t="str">
        <f aca="false">IF(INDEX(BookTitle,2120)="","",INDEX(BookInYear,2120))</f>
        <v/>
      </c>
      <c r="L2125" s="19"/>
      <c r="M2125" s="39"/>
      <c r="N2125" s="19"/>
      <c r="O2125" s="19"/>
      <c r="P2125" s="43" t="str">
        <f aca="false">IF($E2125="","",IF($L2125="Decline",0,IF($L2125="Approve fewer",IF($M2125="","",$M2125),IF($L2125="","",$I2125))))</f>
        <v/>
      </c>
      <c r="Q2125" s="34" t="str">
        <f aca="false">IF($P2125="","",IF($N2125&lt;&gt;"",$N2125,$J2125))</f>
        <v/>
      </c>
      <c r="R2125" s="35" t="str">
        <f aca="false">IF(OR($P2125="",$Q2125=""),"",INDEX(BookRate,2120)*$P2125*(5-MATCH($Q2125,{"Q1";"Q2";"Q3";"Q4"},0))/4+INDEX(BookOneOff,2120)*$P2125)</f>
        <v/>
      </c>
      <c r="S2125" s="35" t="str">
        <f aca="false">IF($P2125="","",INDEX(BookRate,2120)*$P2125)</f>
        <v/>
      </c>
      <c r="T2125" s="35" t="str">
        <f aca="false">IF($R2125="","",$R2125-$K2125)</f>
        <v/>
      </c>
      <c r="U2125" s="35" t="str">
        <f aca="false">IF(N($P2125)&lt;=0,"",COUNTIF($P$6:$P2125,"&gt;0"))</f>
        <v/>
      </c>
    </row>
    <row r="2126" customFormat="false" ht="15" hidden="false" customHeight="false" outlineLevel="0" collapsed="false">
      <c r="A2126" s="40" t="str">
        <f aca="false">IF(INDEX(BookTitle,2121)="","",INDEX(BookGroup,2121))</f>
        <v/>
      </c>
      <c r="B2126" s="40" t="str">
        <f aca="false">IF(INDEX(BookTitle,2121)="","",INDEX(BookRef,2121))</f>
        <v/>
      </c>
      <c r="C2126" s="40" t="str">
        <f aca="false">IF(INDEX(BookTitle,2121)="","",INDEX(BookDivision,2121))</f>
        <v/>
      </c>
      <c r="D2126" s="40" t="str">
        <f aca="false">IF(INDEX(BookTitle,2121)="","",INDEX(BookUnit,2121))</f>
        <v/>
      </c>
      <c r="E2126" s="40" t="str">
        <f aca="false">IF(INDEX(BookTitle,2121)="","",INDEX(BookTitle,2121))</f>
        <v/>
      </c>
      <c r="F2126" s="40" t="str">
        <f aca="false">IF(INDEX(BookTitle,2121)="","",INDEX(BookLevel,2121))</f>
        <v/>
      </c>
      <c r="G2126" s="40" t="str">
        <f aca="false">IF(INDEX(BookTitle,2121)="","",INDEX(BookCategory,2121))</f>
        <v/>
      </c>
      <c r="H2126" s="40" t="str">
        <f aca="false">IF(INDEX(BookTitle,2121)="","",INDEX(BookRank,2121))</f>
        <v/>
      </c>
      <c r="I2126" s="41" t="str">
        <f aca="false">IF(INDEX(BookTitle,2121)="","",INDEX(BookTotal,2121))</f>
        <v/>
      </c>
      <c r="J2126" s="0" t="str">
        <f aca="false">IF($I2126="","",IF(INDEX(BookQ1,2121)&gt;0,"Q1",IF(INDEX(BookQ2,2121)&gt;0,"Q2",IF(INDEX(BookQ3,2121)&gt;0,"Q3",IF(INDEX(BookQ4,2121)&gt;0,"Q4","")))))</f>
        <v/>
      </c>
      <c r="K2126" s="42" t="str">
        <f aca="false">IF(INDEX(BookTitle,2121)="","",INDEX(BookInYear,2121))</f>
        <v/>
      </c>
      <c r="L2126" s="19"/>
      <c r="M2126" s="39"/>
      <c r="N2126" s="19"/>
      <c r="O2126" s="19"/>
      <c r="P2126" s="43" t="str">
        <f aca="false">IF($E2126="","",IF($L2126="Decline",0,IF($L2126="Approve fewer",IF($M2126="","",$M2126),IF($L2126="","",$I2126))))</f>
        <v/>
      </c>
      <c r="Q2126" s="34" t="str">
        <f aca="false">IF($P2126="","",IF($N2126&lt;&gt;"",$N2126,$J2126))</f>
        <v/>
      </c>
      <c r="R2126" s="35" t="str">
        <f aca="false">IF(OR($P2126="",$Q2126=""),"",INDEX(BookRate,2121)*$P2126*(5-MATCH($Q2126,{"Q1";"Q2";"Q3";"Q4"},0))/4+INDEX(BookOneOff,2121)*$P2126)</f>
        <v/>
      </c>
      <c r="S2126" s="35" t="str">
        <f aca="false">IF($P2126="","",INDEX(BookRate,2121)*$P2126)</f>
        <v/>
      </c>
      <c r="T2126" s="35" t="str">
        <f aca="false">IF($R2126="","",$R2126-$K2126)</f>
        <v/>
      </c>
      <c r="U2126" s="35" t="str">
        <f aca="false">IF(N($P2126)&lt;=0,"",COUNTIF($P$6:$P2126,"&gt;0"))</f>
        <v/>
      </c>
    </row>
    <row r="2127" customFormat="false" ht="15" hidden="false" customHeight="false" outlineLevel="0" collapsed="false">
      <c r="A2127" s="40" t="str">
        <f aca="false">IF(INDEX(BookTitle,2122)="","",INDEX(BookGroup,2122))</f>
        <v/>
      </c>
      <c r="B2127" s="40" t="str">
        <f aca="false">IF(INDEX(BookTitle,2122)="","",INDEX(BookRef,2122))</f>
        <v/>
      </c>
      <c r="C2127" s="40" t="str">
        <f aca="false">IF(INDEX(BookTitle,2122)="","",INDEX(BookDivision,2122))</f>
        <v/>
      </c>
      <c r="D2127" s="40" t="str">
        <f aca="false">IF(INDEX(BookTitle,2122)="","",INDEX(BookUnit,2122))</f>
        <v/>
      </c>
      <c r="E2127" s="40" t="str">
        <f aca="false">IF(INDEX(BookTitle,2122)="","",INDEX(BookTitle,2122))</f>
        <v/>
      </c>
      <c r="F2127" s="40" t="str">
        <f aca="false">IF(INDEX(BookTitle,2122)="","",INDEX(BookLevel,2122))</f>
        <v/>
      </c>
      <c r="G2127" s="40" t="str">
        <f aca="false">IF(INDEX(BookTitle,2122)="","",INDEX(BookCategory,2122))</f>
        <v/>
      </c>
      <c r="H2127" s="40" t="str">
        <f aca="false">IF(INDEX(BookTitle,2122)="","",INDEX(BookRank,2122))</f>
        <v/>
      </c>
      <c r="I2127" s="41" t="str">
        <f aca="false">IF(INDEX(BookTitle,2122)="","",INDEX(BookTotal,2122))</f>
        <v/>
      </c>
      <c r="J2127" s="0" t="str">
        <f aca="false">IF($I2127="","",IF(INDEX(BookQ1,2122)&gt;0,"Q1",IF(INDEX(BookQ2,2122)&gt;0,"Q2",IF(INDEX(BookQ3,2122)&gt;0,"Q3",IF(INDEX(BookQ4,2122)&gt;0,"Q4","")))))</f>
        <v/>
      </c>
      <c r="K2127" s="42" t="str">
        <f aca="false">IF(INDEX(BookTitle,2122)="","",INDEX(BookInYear,2122))</f>
        <v/>
      </c>
      <c r="L2127" s="19"/>
      <c r="M2127" s="39"/>
      <c r="N2127" s="19"/>
      <c r="O2127" s="19"/>
      <c r="P2127" s="43" t="str">
        <f aca="false">IF($E2127="","",IF($L2127="Decline",0,IF($L2127="Approve fewer",IF($M2127="","",$M2127),IF($L2127="","",$I2127))))</f>
        <v/>
      </c>
      <c r="Q2127" s="34" t="str">
        <f aca="false">IF($P2127="","",IF($N2127&lt;&gt;"",$N2127,$J2127))</f>
        <v/>
      </c>
      <c r="R2127" s="35" t="str">
        <f aca="false">IF(OR($P2127="",$Q2127=""),"",INDEX(BookRate,2122)*$P2127*(5-MATCH($Q2127,{"Q1";"Q2";"Q3";"Q4"},0))/4+INDEX(BookOneOff,2122)*$P2127)</f>
        <v/>
      </c>
      <c r="S2127" s="35" t="str">
        <f aca="false">IF($P2127="","",INDEX(BookRate,2122)*$P2127)</f>
        <v/>
      </c>
      <c r="T2127" s="35" t="str">
        <f aca="false">IF($R2127="","",$R2127-$K2127)</f>
        <v/>
      </c>
      <c r="U2127" s="35" t="str">
        <f aca="false">IF(N($P2127)&lt;=0,"",COUNTIF($P$6:$P2127,"&gt;0"))</f>
        <v/>
      </c>
    </row>
    <row r="2128" customFormat="false" ht="15" hidden="false" customHeight="false" outlineLevel="0" collapsed="false">
      <c r="A2128" s="40" t="str">
        <f aca="false">IF(INDEX(BookTitle,2123)="","",INDEX(BookGroup,2123))</f>
        <v/>
      </c>
      <c r="B2128" s="40" t="str">
        <f aca="false">IF(INDEX(BookTitle,2123)="","",INDEX(BookRef,2123))</f>
        <v/>
      </c>
      <c r="C2128" s="40" t="str">
        <f aca="false">IF(INDEX(BookTitle,2123)="","",INDEX(BookDivision,2123))</f>
        <v/>
      </c>
      <c r="D2128" s="40" t="str">
        <f aca="false">IF(INDEX(BookTitle,2123)="","",INDEX(BookUnit,2123))</f>
        <v/>
      </c>
      <c r="E2128" s="40" t="str">
        <f aca="false">IF(INDEX(BookTitle,2123)="","",INDEX(BookTitle,2123))</f>
        <v/>
      </c>
      <c r="F2128" s="40" t="str">
        <f aca="false">IF(INDEX(BookTitle,2123)="","",INDEX(BookLevel,2123))</f>
        <v/>
      </c>
      <c r="G2128" s="40" t="str">
        <f aca="false">IF(INDEX(BookTitle,2123)="","",INDEX(BookCategory,2123))</f>
        <v/>
      </c>
      <c r="H2128" s="40" t="str">
        <f aca="false">IF(INDEX(BookTitle,2123)="","",INDEX(BookRank,2123))</f>
        <v/>
      </c>
      <c r="I2128" s="41" t="str">
        <f aca="false">IF(INDEX(BookTitle,2123)="","",INDEX(BookTotal,2123))</f>
        <v/>
      </c>
      <c r="J2128" s="0" t="str">
        <f aca="false">IF($I2128="","",IF(INDEX(BookQ1,2123)&gt;0,"Q1",IF(INDEX(BookQ2,2123)&gt;0,"Q2",IF(INDEX(BookQ3,2123)&gt;0,"Q3",IF(INDEX(BookQ4,2123)&gt;0,"Q4","")))))</f>
        <v/>
      </c>
      <c r="K2128" s="42" t="str">
        <f aca="false">IF(INDEX(BookTitle,2123)="","",INDEX(BookInYear,2123))</f>
        <v/>
      </c>
      <c r="L2128" s="19"/>
      <c r="M2128" s="39"/>
      <c r="N2128" s="19"/>
      <c r="O2128" s="19"/>
      <c r="P2128" s="43" t="str">
        <f aca="false">IF($E2128="","",IF($L2128="Decline",0,IF($L2128="Approve fewer",IF($M2128="","",$M2128),IF($L2128="","",$I2128))))</f>
        <v/>
      </c>
      <c r="Q2128" s="34" t="str">
        <f aca="false">IF($P2128="","",IF($N2128&lt;&gt;"",$N2128,$J2128))</f>
        <v/>
      </c>
      <c r="R2128" s="35" t="str">
        <f aca="false">IF(OR($P2128="",$Q2128=""),"",INDEX(BookRate,2123)*$P2128*(5-MATCH($Q2128,{"Q1";"Q2";"Q3";"Q4"},0))/4+INDEX(BookOneOff,2123)*$P2128)</f>
        <v/>
      </c>
      <c r="S2128" s="35" t="str">
        <f aca="false">IF($P2128="","",INDEX(BookRate,2123)*$P2128)</f>
        <v/>
      </c>
      <c r="T2128" s="35" t="str">
        <f aca="false">IF($R2128="","",$R2128-$K2128)</f>
        <v/>
      </c>
      <c r="U2128" s="35" t="str">
        <f aca="false">IF(N($P2128)&lt;=0,"",COUNTIF($P$6:$P2128,"&gt;0"))</f>
        <v/>
      </c>
    </row>
    <row r="2129" customFormat="false" ht="15" hidden="false" customHeight="false" outlineLevel="0" collapsed="false">
      <c r="A2129" s="40" t="str">
        <f aca="false">IF(INDEX(BookTitle,2124)="","",INDEX(BookGroup,2124))</f>
        <v/>
      </c>
      <c r="B2129" s="40" t="str">
        <f aca="false">IF(INDEX(BookTitle,2124)="","",INDEX(BookRef,2124))</f>
        <v/>
      </c>
      <c r="C2129" s="40" t="str">
        <f aca="false">IF(INDEX(BookTitle,2124)="","",INDEX(BookDivision,2124))</f>
        <v/>
      </c>
      <c r="D2129" s="40" t="str">
        <f aca="false">IF(INDEX(BookTitle,2124)="","",INDEX(BookUnit,2124))</f>
        <v/>
      </c>
      <c r="E2129" s="40" t="str">
        <f aca="false">IF(INDEX(BookTitle,2124)="","",INDEX(BookTitle,2124))</f>
        <v/>
      </c>
      <c r="F2129" s="40" t="str">
        <f aca="false">IF(INDEX(BookTitle,2124)="","",INDEX(BookLevel,2124))</f>
        <v/>
      </c>
      <c r="G2129" s="40" t="str">
        <f aca="false">IF(INDEX(BookTitle,2124)="","",INDEX(BookCategory,2124))</f>
        <v/>
      </c>
      <c r="H2129" s="40" t="str">
        <f aca="false">IF(INDEX(BookTitle,2124)="","",INDEX(BookRank,2124))</f>
        <v/>
      </c>
      <c r="I2129" s="41" t="str">
        <f aca="false">IF(INDEX(BookTitle,2124)="","",INDEX(BookTotal,2124))</f>
        <v/>
      </c>
      <c r="J2129" s="0" t="str">
        <f aca="false">IF($I2129="","",IF(INDEX(BookQ1,2124)&gt;0,"Q1",IF(INDEX(BookQ2,2124)&gt;0,"Q2",IF(INDEX(BookQ3,2124)&gt;0,"Q3",IF(INDEX(BookQ4,2124)&gt;0,"Q4","")))))</f>
        <v/>
      </c>
      <c r="K2129" s="42" t="str">
        <f aca="false">IF(INDEX(BookTitle,2124)="","",INDEX(BookInYear,2124))</f>
        <v/>
      </c>
      <c r="L2129" s="19"/>
      <c r="M2129" s="39"/>
      <c r="N2129" s="19"/>
      <c r="O2129" s="19"/>
      <c r="P2129" s="43" t="str">
        <f aca="false">IF($E2129="","",IF($L2129="Decline",0,IF($L2129="Approve fewer",IF($M2129="","",$M2129),IF($L2129="","",$I2129))))</f>
        <v/>
      </c>
      <c r="Q2129" s="34" t="str">
        <f aca="false">IF($P2129="","",IF($N2129&lt;&gt;"",$N2129,$J2129))</f>
        <v/>
      </c>
      <c r="R2129" s="35" t="str">
        <f aca="false">IF(OR($P2129="",$Q2129=""),"",INDEX(BookRate,2124)*$P2129*(5-MATCH($Q2129,{"Q1";"Q2";"Q3";"Q4"},0))/4+INDEX(BookOneOff,2124)*$P2129)</f>
        <v/>
      </c>
      <c r="S2129" s="35" t="str">
        <f aca="false">IF($P2129="","",INDEX(BookRate,2124)*$P2129)</f>
        <v/>
      </c>
      <c r="T2129" s="35" t="str">
        <f aca="false">IF($R2129="","",$R2129-$K2129)</f>
        <v/>
      </c>
      <c r="U2129" s="35" t="str">
        <f aca="false">IF(N($P2129)&lt;=0,"",COUNTIF($P$6:$P2129,"&gt;0"))</f>
        <v/>
      </c>
    </row>
    <row r="2130" customFormat="false" ht="15" hidden="false" customHeight="false" outlineLevel="0" collapsed="false">
      <c r="A2130" s="40" t="str">
        <f aca="false">IF(INDEX(BookTitle,2125)="","",INDEX(BookGroup,2125))</f>
        <v/>
      </c>
      <c r="B2130" s="40" t="str">
        <f aca="false">IF(INDEX(BookTitle,2125)="","",INDEX(BookRef,2125))</f>
        <v/>
      </c>
      <c r="C2130" s="40" t="str">
        <f aca="false">IF(INDEX(BookTitle,2125)="","",INDEX(BookDivision,2125))</f>
        <v/>
      </c>
      <c r="D2130" s="40" t="str">
        <f aca="false">IF(INDEX(BookTitle,2125)="","",INDEX(BookUnit,2125))</f>
        <v/>
      </c>
      <c r="E2130" s="40" t="str">
        <f aca="false">IF(INDEX(BookTitle,2125)="","",INDEX(BookTitle,2125))</f>
        <v/>
      </c>
      <c r="F2130" s="40" t="str">
        <f aca="false">IF(INDEX(BookTitle,2125)="","",INDEX(BookLevel,2125))</f>
        <v/>
      </c>
      <c r="G2130" s="40" t="str">
        <f aca="false">IF(INDEX(BookTitle,2125)="","",INDEX(BookCategory,2125))</f>
        <v/>
      </c>
      <c r="H2130" s="40" t="str">
        <f aca="false">IF(INDEX(BookTitle,2125)="","",INDEX(BookRank,2125))</f>
        <v/>
      </c>
      <c r="I2130" s="41" t="str">
        <f aca="false">IF(INDEX(BookTitle,2125)="","",INDEX(BookTotal,2125))</f>
        <v/>
      </c>
      <c r="J2130" s="0" t="str">
        <f aca="false">IF($I2130="","",IF(INDEX(BookQ1,2125)&gt;0,"Q1",IF(INDEX(BookQ2,2125)&gt;0,"Q2",IF(INDEX(BookQ3,2125)&gt;0,"Q3",IF(INDEX(BookQ4,2125)&gt;0,"Q4","")))))</f>
        <v/>
      </c>
      <c r="K2130" s="42" t="str">
        <f aca="false">IF(INDEX(BookTitle,2125)="","",INDEX(BookInYear,2125))</f>
        <v/>
      </c>
      <c r="L2130" s="19"/>
      <c r="M2130" s="39"/>
      <c r="N2130" s="19"/>
      <c r="O2130" s="19"/>
      <c r="P2130" s="43" t="str">
        <f aca="false">IF($E2130="","",IF($L2130="Decline",0,IF($L2130="Approve fewer",IF($M2130="","",$M2130),IF($L2130="","",$I2130))))</f>
        <v/>
      </c>
      <c r="Q2130" s="34" t="str">
        <f aca="false">IF($P2130="","",IF($N2130&lt;&gt;"",$N2130,$J2130))</f>
        <v/>
      </c>
      <c r="R2130" s="35" t="str">
        <f aca="false">IF(OR($P2130="",$Q2130=""),"",INDEX(BookRate,2125)*$P2130*(5-MATCH($Q2130,{"Q1";"Q2";"Q3";"Q4"},0))/4+INDEX(BookOneOff,2125)*$P2130)</f>
        <v/>
      </c>
      <c r="S2130" s="35" t="str">
        <f aca="false">IF($P2130="","",INDEX(BookRate,2125)*$P2130)</f>
        <v/>
      </c>
      <c r="T2130" s="35" t="str">
        <f aca="false">IF($R2130="","",$R2130-$K2130)</f>
        <v/>
      </c>
      <c r="U2130" s="35" t="str">
        <f aca="false">IF(N($P2130)&lt;=0,"",COUNTIF($P$6:$P2130,"&gt;0"))</f>
        <v/>
      </c>
    </row>
    <row r="2131" customFormat="false" ht="15" hidden="false" customHeight="false" outlineLevel="0" collapsed="false">
      <c r="A2131" s="40" t="str">
        <f aca="false">IF(INDEX(BookTitle,2126)="","",INDEX(BookGroup,2126))</f>
        <v/>
      </c>
      <c r="B2131" s="40" t="str">
        <f aca="false">IF(INDEX(BookTitle,2126)="","",INDEX(BookRef,2126))</f>
        <v/>
      </c>
      <c r="C2131" s="40" t="str">
        <f aca="false">IF(INDEX(BookTitle,2126)="","",INDEX(BookDivision,2126))</f>
        <v/>
      </c>
      <c r="D2131" s="40" t="str">
        <f aca="false">IF(INDEX(BookTitle,2126)="","",INDEX(BookUnit,2126))</f>
        <v/>
      </c>
      <c r="E2131" s="40" t="str">
        <f aca="false">IF(INDEX(BookTitle,2126)="","",INDEX(BookTitle,2126))</f>
        <v/>
      </c>
      <c r="F2131" s="40" t="str">
        <f aca="false">IF(INDEX(BookTitle,2126)="","",INDEX(BookLevel,2126))</f>
        <v/>
      </c>
      <c r="G2131" s="40" t="str">
        <f aca="false">IF(INDEX(BookTitle,2126)="","",INDEX(BookCategory,2126))</f>
        <v/>
      </c>
      <c r="H2131" s="40" t="str">
        <f aca="false">IF(INDEX(BookTitle,2126)="","",INDEX(BookRank,2126))</f>
        <v/>
      </c>
      <c r="I2131" s="41" t="str">
        <f aca="false">IF(INDEX(BookTitle,2126)="","",INDEX(BookTotal,2126))</f>
        <v/>
      </c>
      <c r="J2131" s="0" t="str">
        <f aca="false">IF($I2131="","",IF(INDEX(BookQ1,2126)&gt;0,"Q1",IF(INDEX(BookQ2,2126)&gt;0,"Q2",IF(INDEX(BookQ3,2126)&gt;0,"Q3",IF(INDEX(BookQ4,2126)&gt;0,"Q4","")))))</f>
        <v/>
      </c>
      <c r="K2131" s="42" t="str">
        <f aca="false">IF(INDEX(BookTitle,2126)="","",INDEX(BookInYear,2126))</f>
        <v/>
      </c>
      <c r="L2131" s="19"/>
      <c r="M2131" s="39"/>
      <c r="N2131" s="19"/>
      <c r="O2131" s="19"/>
      <c r="P2131" s="43" t="str">
        <f aca="false">IF($E2131="","",IF($L2131="Decline",0,IF($L2131="Approve fewer",IF($M2131="","",$M2131),IF($L2131="","",$I2131))))</f>
        <v/>
      </c>
      <c r="Q2131" s="34" t="str">
        <f aca="false">IF($P2131="","",IF($N2131&lt;&gt;"",$N2131,$J2131))</f>
        <v/>
      </c>
      <c r="R2131" s="35" t="str">
        <f aca="false">IF(OR($P2131="",$Q2131=""),"",INDEX(BookRate,2126)*$P2131*(5-MATCH($Q2131,{"Q1";"Q2";"Q3";"Q4"},0))/4+INDEX(BookOneOff,2126)*$P2131)</f>
        <v/>
      </c>
      <c r="S2131" s="35" t="str">
        <f aca="false">IF($P2131="","",INDEX(BookRate,2126)*$P2131)</f>
        <v/>
      </c>
      <c r="T2131" s="35" t="str">
        <f aca="false">IF($R2131="","",$R2131-$K2131)</f>
        <v/>
      </c>
      <c r="U2131" s="35" t="str">
        <f aca="false">IF(N($P2131)&lt;=0,"",COUNTIF($P$6:$P2131,"&gt;0"))</f>
        <v/>
      </c>
    </row>
    <row r="2132" customFormat="false" ht="15" hidden="false" customHeight="false" outlineLevel="0" collapsed="false">
      <c r="A2132" s="40" t="str">
        <f aca="false">IF(INDEX(BookTitle,2127)="","",INDEX(BookGroup,2127))</f>
        <v/>
      </c>
      <c r="B2132" s="40" t="str">
        <f aca="false">IF(INDEX(BookTitle,2127)="","",INDEX(BookRef,2127))</f>
        <v/>
      </c>
      <c r="C2132" s="40" t="str">
        <f aca="false">IF(INDEX(BookTitle,2127)="","",INDEX(BookDivision,2127))</f>
        <v/>
      </c>
      <c r="D2132" s="40" t="str">
        <f aca="false">IF(INDEX(BookTitle,2127)="","",INDEX(BookUnit,2127))</f>
        <v/>
      </c>
      <c r="E2132" s="40" t="str">
        <f aca="false">IF(INDEX(BookTitle,2127)="","",INDEX(BookTitle,2127))</f>
        <v/>
      </c>
      <c r="F2132" s="40" t="str">
        <f aca="false">IF(INDEX(BookTitle,2127)="","",INDEX(BookLevel,2127))</f>
        <v/>
      </c>
      <c r="G2132" s="40" t="str">
        <f aca="false">IF(INDEX(BookTitle,2127)="","",INDEX(BookCategory,2127))</f>
        <v/>
      </c>
      <c r="H2132" s="40" t="str">
        <f aca="false">IF(INDEX(BookTitle,2127)="","",INDEX(BookRank,2127))</f>
        <v/>
      </c>
      <c r="I2132" s="41" t="str">
        <f aca="false">IF(INDEX(BookTitle,2127)="","",INDEX(BookTotal,2127))</f>
        <v/>
      </c>
      <c r="J2132" s="0" t="str">
        <f aca="false">IF($I2132="","",IF(INDEX(BookQ1,2127)&gt;0,"Q1",IF(INDEX(BookQ2,2127)&gt;0,"Q2",IF(INDEX(BookQ3,2127)&gt;0,"Q3",IF(INDEX(BookQ4,2127)&gt;0,"Q4","")))))</f>
        <v/>
      </c>
      <c r="K2132" s="42" t="str">
        <f aca="false">IF(INDEX(BookTitle,2127)="","",INDEX(BookInYear,2127))</f>
        <v/>
      </c>
      <c r="L2132" s="19"/>
      <c r="M2132" s="39"/>
      <c r="N2132" s="19"/>
      <c r="O2132" s="19"/>
      <c r="P2132" s="43" t="str">
        <f aca="false">IF($E2132="","",IF($L2132="Decline",0,IF($L2132="Approve fewer",IF($M2132="","",$M2132),IF($L2132="","",$I2132))))</f>
        <v/>
      </c>
      <c r="Q2132" s="34" t="str">
        <f aca="false">IF($P2132="","",IF($N2132&lt;&gt;"",$N2132,$J2132))</f>
        <v/>
      </c>
      <c r="R2132" s="35" t="str">
        <f aca="false">IF(OR($P2132="",$Q2132=""),"",INDEX(BookRate,2127)*$P2132*(5-MATCH($Q2132,{"Q1";"Q2";"Q3";"Q4"},0))/4+INDEX(BookOneOff,2127)*$P2132)</f>
        <v/>
      </c>
      <c r="S2132" s="35" t="str">
        <f aca="false">IF($P2132="","",INDEX(BookRate,2127)*$P2132)</f>
        <v/>
      </c>
      <c r="T2132" s="35" t="str">
        <f aca="false">IF($R2132="","",$R2132-$K2132)</f>
        <v/>
      </c>
      <c r="U2132" s="35" t="str">
        <f aca="false">IF(N($P2132)&lt;=0,"",COUNTIF($P$6:$P2132,"&gt;0"))</f>
        <v/>
      </c>
    </row>
    <row r="2133" customFormat="false" ht="15" hidden="false" customHeight="false" outlineLevel="0" collapsed="false">
      <c r="A2133" s="40" t="str">
        <f aca="false">IF(INDEX(BookTitle,2128)="","",INDEX(BookGroup,2128))</f>
        <v/>
      </c>
      <c r="B2133" s="40" t="str">
        <f aca="false">IF(INDEX(BookTitle,2128)="","",INDEX(BookRef,2128))</f>
        <v/>
      </c>
      <c r="C2133" s="40" t="str">
        <f aca="false">IF(INDEX(BookTitle,2128)="","",INDEX(BookDivision,2128))</f>
        <v/>
      </c>
      <c r="D2133" s="40" t="str">
        <f aca="false">IF(INDEX(BookTitle,2128)="","",INDEX(BookUnit,2128))</f>
        <v/>
      </c>
      <c r="E2133" s="40" t="str">
        <f aca="false">IF(INDEX(BookTitle,2128)="","",INDEX(BookTitle,2128))</f>
        <v/>
      </c>
      <c r="F2133" s="40" t="str">
        <f aca="false">IF(INDEX(BookTitle,2128)="","",INDEX(BookLevel,2128))</f>
        <v/>
      </c>
      <c r="G2133" s="40" t="str">
        <f aca="false">IF(INDEX(BookTitle,2128)="","",INDEX(BookCategory,2128))</f>
        <v/>
      </c>
      <c r="H2133" s="40" t="str">
        <f aca="false">IF(INDEX(BookTitle,2128)="","",INDEX(BookRank,2128))</f>
        <v/>
      </c>
      <c r="I2133" s="41" t="str">
        <f aca="false">IF(INDEX(BookTitle,2128)="","",INDEX(BookTotal,2128))</f>
        <v/>
      </c>
      <c r="J2133" s="0" t="str">
        <f aca="false">IF($I2133="","",IF(INDEX(BookQ1,2128)&gt;0,"Q1",IF(INDEX(BookQ2,2128)&gt;0,"Q2",IF(INDEX(BookQ3,2128)&gt;0,"Q3",IF(INDEX(BookQ4,2128)&gt;0,"Q4","")))))</f>
        <v/>
      </c>
      <c r="K2133" s="42" t="str">
        <f aca="false">IF(INDEX(BookTitle,2128)="","",INDEX(BookInYear,2128))</f>
        <v/>
      </c>
      <c r="L2133" s="19"/>
      <c r="M2133" s="39"/>
      <c r="N2133" s="19"/>
      <c r="O2133" s="19"/>
      <c r="P2133" s="43" t="str">
        <f aca="false">IF($E2133="","",IF($L2133="Decline",0,IF($L2133="Approve fewer",IF($M2133="","",$M2133),IF($L2133="","",$I2133))))</f>
        <v/>
      </c>
      <c r="Q2133" s="34" t="str">
        <f aca="false">IF($P2133="","",IF($N2133&lt;&gt;"",$N2133,$J2133))</f>
        <v/>
      </c>
      <c r="R2133" s="35" t="str">
        <f aca="false">IF(OR($P2133="",$Q2133=""),"",INDEX(BookRate,2128)*$P2133*(5-MATCH($Q2133,{"Q1";"Q2";"Q3";"Q4"},0))/4+INDEX(BookOneOff,2128)*$P2133)</f>
        <v/>
      </c>
      <c r="S2133" s="35" t="str">
        <f aca="false">IF($P2133="","",INDEX(BookRate,2128)*$P2133)</f>
        <v/>
      </c>
      <c r="T2133" s="35" t="str">
        <f aca="false">IF($R2133="","",$R2133-$K2133)</f>
        <v/>
      </c>
      <c r="U2133" s="35" t="str">
        <f aca="false">IF(N($P2133)&lt;=0,"",COUNTIF($P$6:$P2133,"&gt;0"))</f>
        <v/>
      </c>
    </row>
    <row r="2134" customFormat="false" ht="15" hidden="false" customHeight="false" outlineLevel="0" collapsed="false">
      <c r="A2134" s="40" t="str">
        <f aca="false">IF(INDEX(BookTitle,2129)="","",INDEX(BookGroup,2129))</f>
        <v/>
      </c>
      <c r="B2134" s="40" t="str">
        <f aca="false">IF(INDEX(BookTitle,2129)="","",INDEX(BookRef,2129))</f>
        <v/>
      </c>
      <c r="C2134" s="40" t="str">
        <f aca="false">IF(INDEX(BookTitle,2129)="","",INDEX(BookDivision,2129))</f>
        <v/>
      </c>
      <c r="D2134" s="40" t="str">
        <f aca="false">IF(INDEX(BookTitle,2129)="","",INDEX(BookUnit,2129))</f>
        <v/>
      </c>
      <c r="E2134" s="40" t="str">
        <f aca="false">IF(INDEX(BookTitle,2129)="","",INDEX(BookTitle,2129))</f>
        <v/>
      </c>
      <c r="F2134" s="40" t="str">
        <f aca="false">IF(INDEX(BookTitle,2129)="","",INDEX(BookLevel,2129))</f>
        <v/>
      </c>
      <c r="G2134" s="40" t="str">
        <f aca="false">IF(INDEX(BookTitle,2129)="","",INDEX(BookCategory,2129))</f>
        <v/>
      </c>
      <c r="H2134" s="40" t="str">
        <f aca="false">IF(INDEX(BookTitle,2129)="","",INDEX(BookRank,2129))</f>
        <v/>
      </c>
      <c r="I2134" s="41" t="str">
        <f aca="false">IF(INDEX(BookTitle,2129)="","",INDEX(BookTotal,2129))</f>
        <v/>
      </c>
      <c r="J2134" s="0" t="str">
        <f aca="false">IF($I2134="","",IF(INDEX(BookQ1,2129)&gt;0,"Q1",IF(INDEX(BookQ2,2129)&gt;0,"Q2",IF(INDEX(BookQ3,2129)&gt;0,"Q3",IF(INDEX(BookQ4,2129)&gt;0,"Q4","")))))</f>
        <v/>
      </c>
      <c r="K2134" s="42" t="str">
        <f aca="false">IF(INDEX(BookTitle,2129)="","",INDEX(BookInYear,2129))</f>
        <v/>
      </c>
      <c r="L2134" s="19"/>
      <c r="M2134" s="39"/>
      <c r="N2134" s="19"/>
      <c r="O2134" s="19"/>
      <c r="P2134" s="43" t="str">
        <f aca="false">IF($E2134="","",IF($L2134="Decline",0,IF($L2134="Approve fewer",IF($M2134="","",$M2134),IF($L2134="","",$I2134))))</f>
        <v/>
      </c>
      <c r="Q2134" s="34" t="str">
        <f aca="false">IF($P2134="","",IF($N2134&lt;&gt;"",$N2134,$J2134))</f>
        <v/>
      </c>
      <c r="R2134" s="35" t="str">
        <f aca="false">IF(OR($P2134="",$Q2134=""),"",INDEX(BookRate,2129)*$P2134*(5-MATCH($Q2134,{"Q1";"Q2";"Q3";"Q4"},0))/4+INDEX(BookOneOff,2129)*$P2134)</f>
        <v/>
      </c>
      <c r="S2134" s="35" t="str">
        <f aca="false">IF($P2134="","",INDEX(BookRate,2129)*$P2134)</f>
        <v/>
      </c>
      <c r="T2134" s="35" t="str">
        <f aca="false">IF($R2134="","",$R2134-$K2134)</f>
        <v/>
      </c>
      <c r="U2134" s="35" t="str">
        <f aca="false">IF(N($P2134)&lt;=0,"",COUNTIF($P$6:$P2134,"&gt;0"))</f>
        <v/>
      </c>
    </row>
    <row r="2135" customFormat="false" ht="15" hidden="false" customHeight="false" outlineLevel="0" collapsed="false">
      <c r="A2135" s="40" t="str">
        <f aca="false">IF(INDEX(BookTitle,2130)="","",INDEX(BookGroup,2130))</f>
        <v/>
      </c>
      <c r="B2135" s="40" t="str">
        <f aca="false">IF(INDEX(BookTitle,2130)="","",INDEX(BookRef,2130))</f>
        <v/>
      </c>
      <c r="C2135" s="40" t="str">
        <f aca="false">IF(INDEX(BookTitle,2130)="","",INDEX(BookDivision,2130))</f>
        <v/>
      </c>
      <c r="D2135" s="40" t="str">
        <f aca="false">IF(INDEX(BookTitle,2130)="","",INDEX(BookUnit,2130))</f>
        <v/>
      </c>
      <c r="E2135" s="40" t="str">
        <f aca="false">IF(INDEX(BookTitle,2130)="","",INDEX(BookTitle,2130))</f>
        <v/>
      </c>
      <c r="F2135" s="40" t="str">
        <f aca="false">IF(INDEX(BookTitle,2130)="","",INDEX(BookLevel,2130))</f>
        <v/>
      </c>
      <c r="G2135" s="40" t="str">
        <f aca="false">IF(INDEX(BookTitle,2130)="","",INDEX(BookCategory,2130))</f>
        <v/>
      </c>
      <c r="H2135" s="40" t="str">
        <f aca="false">IF(INDEX(BookTitle,2130)="","",INDEX(BookRank,2130))</f>
        <v/>
      </c>
      <c r="I2135" s="41" t="str">
        <f aca="false">IF(INDEX(BookTitle,2130)="","",INDEX(BookTotal,2130))</f>
        <v/>
      </c>
      <c r="J2135" s="0" t="str">
        <f aca="false">IF($I2135="","",IF(INDEX(BookQ1,2130)&gt;0,"Q1",IF(INDEX(BookQ2,2130)&gt;0,"Q2",IF(INDEX(BookQ3,2130)&gt;0,"Q3",IF(INDEX(BookQ4,2130)&gt;0,"Q4","")))))</f>
        <v/>
      </c>
      <c r="K2135" s="42" t="str">
        <f aca="false">IF(INDEX(BookTitle,2130)="","",INDEX(BookInYear,2130))</f>
        <v/>
      </c>
      <c r="L2135" s="19"/>
      <c r="M2135" s="39"/>
      <c r="N2135" s="19"/>
      <c r="O2135" s="19"/>
      <c r="P2135" s="43" t="str">
        <f aca="false">IF($E2135="","",IF($L2135="Decline",0,IF($L2135="Approve fewer",IF($M2135="","",$M2135),IF($L2135="","",$I2135))))</f>
        <v/>
      </c>
      <c r="Q2135" s="34" t="str">
        <f aca="false">IF($P2135="","",IF($N2135&lt;&gt;"",$N2135,$J2135))</f>
        <v/>
      </c>
      <c r="R2135" s="35" t="str">
        <f aca="false">IF(OR($P2135="",$Q2135=""),"",INDEX(BookRate,2130)*$P2135*(5-MATCH($Q2135,{"Q1";"Q2";"Q3";"Q4"},0))/4+INDEX(BookOneOff,2130)*$P2135)</f>
        <v/>
      </c>
      <c r="S2135" s="35" t="str">
        <f aca="false">IF($P2135="","",INDEX(BookRate,2130)*$P2135)</f>
        <v/>
      </c>
      <c r="T2135" s="35" t="str">
        <f aca="false">IF($R2135="","",$R2135-$K2135)</f>
        <v/>
      </c>
      <c r="U2135" s="35" t="str">
        <f aca="false">IF(N($P2135)&lt;=0,"",COUNTIF($P$6:$P2135,"&gt;0"))</f>
        <v/>
      </c>
    </row>
    <row r="2136" customFormat="false" ht="15" hidden="false" customHeight="false" outlineLevel="0" collapsed="false">
      <c r="A2136" s="40" t="str">
        <f aca="false">IF(INDEX(BookTitle,2131)="","",INDEX(BookGroup,2131))</f>
        <v/>
      </c>
      <c r="B2136" s="40" t="str">
        <f aca="false">IF(INDEX(BookTitle,2131)="","",INDEX(BookRef,2131))</f>
        <v/>
      </c>
      <c r="C2136" s="40" t="str">
        <f aca="false">IF(INDEX(BookTitle,2131)="","",INDEX(BookDivision,2131))</f>
        <v/>
      </c>
      <c r="D2136" s="40" t="str">
        <f aca="false">IF(INDEX(BookTitle,2131)="","",INDEX(BookUnit,2131))</f>
        <v/>
      </c>
      <c r="E2136" s="40" t="str">
        <f aca="false">IF(INDEX(BookTitle,2131)="","",INDEX(BookTitle,2131))</f>
        <v/>
      </c>
      <c r="F2136" s="40" t="str">
        <f aca="false">IF(INDEX(BookTitle,2131)="","",INDEX(BookLevel,2131))</f>
        <v/>
      </c>
      <c r="G2136" s="40" t="str">
        <f aca="false">IF(INDEX(BookTitle,2131)="","",INDEX(BookCategory,2131))</f>
        <v/>
      </c>
      <c r="H2136" s="40" t="str">
        <f aca="false">IF(INDEX(BookTitle,2131)="","",INDEX(BookRank,2131))</f>
        <v/>
      </c>
      <c r="I2136" s="41" t="str">
        <f aca="false">IF(INDEX(BookTitle,2131)="","",INDEX(BookTotal,2131))</f>
        <v/>
      </c>
      <c r="J2136" s="0" t="str">
        <f aca="false">IF($I2136="","",IF(INDEX(BookQ1,2131)&gt;0,"Q1",IF(INDEX(BookQ2,2131)&gt;0,"Q2",IF(INDEX(BookQ3,2131)&gt;0,"Q3",IF(INDEX(BookQ4,2131)&gt;0,"Q4","")))))</f>
        <v/>
      </c>
      <c r="K2136" s="42" t="str">
        <f aca="false">IF(INDEX(BookTitle,2131)="","",INDEX(BookInYear,2131))</f>
        <v/>
      </c>
      <c r="L2136" s="19"/>
      <c r="M2136" s="39"/>
      <c r="N2136" s="19"/>
      <c r="O2136" s="19"/>
      <c r="P2136" s="43" t="str">
        <f aca="false">IF($E2136="","",IF($L2136="Decline",0,IF($L2136="Approve fewer",IF($M2136="","",$M2136),IF($L2136="","",$I2136))))</f>
        <v/>
      </c>
      <c r="Q2136" s="34" t="str">
        <f aca="false">IF($P2136="","",IF($N2136&lt;&gt;"",$N2136,$J2136))</f>
        <v/>
      </c>
      <c r="R2136" s="35" t="str">
        <f aca="false">IF(OR($P2136="",$Q2136=""),"",INDEX(BookRate,2131)*$P2136*(5-MATCH($Q2136,{"Q1";"Q2";"Q3";"Q4"},0))/4+INDEX(BookOneOff,2131)*$P2136)</f>
        <v/>
      </c>
      <c r="S2136" s="35" t="str">
        <f aca="false">IF($P2136="","",INDEX(BookRate,2131)*$P2136)</f>
        <v/>
      </c>
      <c r="T2136" s="35" t="str">
        <f aca="false">IF($R2136="","",$R2136-$K2136)</f>
        <v/>
      </c>
      <c r="U2136" s="35" t="str">
        <f aca="false">IF(N($P2136)&lt;=0,"",COUNTIF($P$6:$P2136,"&gt;0"))</f>
        <v/>
      </c>
    </row>
    <row r="2137" customFormat="false" ht="15" hidden="false" customHeight="false" outlineLevel="0" collapsed="false">
      <c r="A2137" s="40" t="str">
        <f aca="false">IF(INDEX(BookTitle,2132)="","",INDEX(BookGroup,2132))</f>
        <v/>
      </c>
      <c r="B2137" s="40" t="str">
        <f aca="false">IF(INDEX(BookTitle,2132)="","",INDEX(BookRef,2132))</f>
        <v/>
      </c>
      <c r="C2137" s="40" t="str">
        <f aca="false">IF(INDEX(BookTitle,2132)="","",INDEX(BookDivision,2132))</f>
        <v/>
      </c>
      <c r="D2137" s="40" t="str">
        <f aca="false">IF(INDEX(BookTitle,2132)="","",INDEX(BookUnit,2132))</f>
        <v/>
      </c>
      <c r="E2137" s="40" t="str">
        <f aca="false">IF(INDEX(BookTitle,2132)="","",INDEX(BookTitle,2132))</f>
        <v/>
      </c>
      <c r="F2137" s="40" t="str">
        <f aca="false">IF(INDEX(BookTitle,2132)="","",INDEX(BookLevel,2132))</f>
        <v/>
      </c>
      <c r="G2137" s="40" t="str">
        <f aca="false">IF(INDEX(BookTitle,2132)="","",INDEX(BookCategory,2132))</f>
        <v/>
      </c>
      <c r="H2137" s="40" t="str">
        <f aca="false">IF(INDEX(BookTitle,2132)="","",INDEX(BookRank,2132))</f>
        <v/>
      </c>
      <c r="I2137" s="41" t="str">
        <f aca="false">IF(INDEX(BookTitle,2132)="","",INDEX(BookTotal,2132))</f>
        <v/>
      </c>
      <c r="J2137" s="0" t="str">
        <f aca="false">IF($I2137="","",IF(INDEX(BookQ1,2132)&gt;0,"Q1",IF(INDEX(BookQ2,2132)&gt;0,"Q2",IF(INDEX(BookQ3,2132)&gt;0,"Q3",IF(INDEX(BookQ4,2132)&gt;0,"Q4","")))))</f>
        <v/>
      </c>
      <c r="K2137" s="42" t="str">
        <f aca="false">IF(INDEX(BookTitle,2132)="","",INDEX(BookInYear,2132))</f>
        <v/>
      </c>
      <c r="L2137" s="19"/>
      <c r="M2137" s="39"/>
      <c r="N2137" s="19"/>
      <c r="O2137" s="19"/>
      <c r="P2137" s="43" t="str">
        <f aca="false">IF($E2137="","",IF($L2137="Decline",0,IF($L2137="Approve fewer",IF($M2137="","",$M2137),IF($L2137="","",$I2137))))</f>
        <v/>
      </c>
      <c r="Q2137" s="34" t="str">
        <f aca="false">IF($P2137="","",IF($N2137&lt;&gt;"",$N2137,$J2137))</f>
        <v/>
      </c>
      <c r="R2137" s="35" t="str">
        <f aca="false">IF(OR($P2137="",$Q2137=""),"",INDEX(BookRate,2132)*$P2137*(5-MATCH($Q2137,{"Q1";"Q2";"Q3";"Q4"},0))/4+INDEX(BookOneOff,2132)*$P2137)</f>
        <v/>
      </c>
      <c r="S2137" s="35" t="str">
        <f aca="false">IF($P2137="","",INDEX(BookRate,2132)*$P2137)</f>
        <v/>
      </c>
      <c r="T2137" s="35" t="str">
        <f aca="false">IF($R2137="","",$R2137-$K2137)</f>
        <v/>
      </c>
      <c r="U2137" s="35" t="str">
        <f aca="false">IF(N($P2137)&lt;=0,"",COUNTIF($P$6:$P2137,"&gt;0"))</f>
        <v/>
      </c>
    </row>
    <row r="2138" customFormat="false" ht="15" hidden="false" customHeight="false" outlineLevel="0" collapsed="false">
      <c r="A2138" s="40" t="str">
        <f aca="false">IF(INDEX(BookTitle,2133)="","",INDEX(BookGroup,2133))</f>
        <v/>
      </c>
      <c r="B2138" s="40" t="str">
        <f aca="false">IF(INDEX(BookTitle,2133)="","",INDEX(BookRef,2133))</f>
        <v/>
      </c>
      <c r="C2138" s="40" t="str">
        <f aca="false">IF(INDEX(BookTitle,2133)="","",INDEX(BookDivision,2133))</f>
        <v/>
      </c>
      <c r="D2138" s="40" t="str">
        <f aca="false">IF(INDEX(BookTitle,2133)="","",INDEX(BookUnit,2133))</f>
        <v/>
      </c>
      <c r="E2138" s="40" t="str">
        <f aca="false">IF(INDEX(BookTitle,2133)="","",INDEX(BookTitle,2133))</f>
        <v/>
      </c>
      <c r="F2138" s="40" t="str">
        <f aca="false">IF(INDEX(BookTitle,2133)="","",INDEX(BookLevel,2133))</f>
        <v/>
      </c>
      <c r="G2138" s="40" t="str">
        <f aca="false">IF(INDEX(BookTitle,2133)="","",INDEX(BookCategory,2133))</f>
        <v/>
      </c>
      <c r="H2138" s="40" t="str">
        <f aca="false">IF(INDEX(BookTitle,2133)="","",INDEX(BookRank,2133))</f>
        <v/>
      </c>
      <c r="I2138" s="41" t="str">
        <f aca="false">IF(INDEX(BookTitle,2133)="","",INDEX(BookTotal,2133))</f>
        <v/>
      </c>
      <c r="J2138" s="0" t="str">
        <f aca="false">IF($I2138="","",IF(INDEX(BookQ1,2133)&gt;0,"Q1",IF(INDEX(BookQ2,2133)&gt;0,"Q2",IF(INDEX(BookQ3,2133)&gt;0,"Q3",IF(INDEX(BookQ4,2133)&gt;0,"Q4","")))))</f>
        <v/>
      </c>
      <c r="K2138" s="42" t="str">
        <f aca="false">IF(INDEX(BookTitle,2133)="","",INDEX(BookInYear,2133))</f>
        <v/>
      </c>
      <c r="L2138" s="19"/>
      <c r="M2138" s="39"/>
      <c r="N2138" s="19"/>
      <c r="O2138" s="19"/>
      <c r="P2138" s="43" t="str">
        <f aca="false">IF($E2138="","",IF($L2138="Decline",0,IF($L2138="Approve fewer",IF($M2138="","",$M2138),IF($L2138="","",$I2138))))</f>
        <v/>
      </c>
      <c r="Q2138" s="34" t="str">
        <f aca="false">IF($P2138="","",IF($N2138&lt;&gt;"",$N2138,$J2138))</f>
        <v/>
      </c>
      <c r="R2138" s="35" t="str">
        <f aca="false">IF(OR($P2138="",$Q2138=""),"",INDEX(BookRate,2133)*$P2138*(5-MATCH($Q2138,{"Q1";"Q2";"Q3";"Q4"},0))/4+INDEX(BookOneOff,2133)*$P2138)</f>
        <v/>
      </c>
      <c r="S2138" s="35" t="str">
        <f aca="false">IF($P2138="","",INDEX(BookRate,2133)*$P2138)</f>
        <v/>
      </c>
      <c r="T2138" s="35" t="str">
        <f aca="false">IF($R2138="","",$R2138-$K2138)</f>
        <v/>
      </c>
      <c r="U2138" s="35" t="str">
        <f aca="false">IF(N($P2138)&lt;=0,"",COUNTIF($P$6:$P2138,"&gt;0"))</f>
        <v/>
      </c>
    </row>
    <row r="2139" customFormat="false" ht="15" hidden="false" customHeight="false" outlineLevel="0" collapsed="false">
      <c r="A2139" s="40" t="str">
        <f aca="false">IF(INDEX(BookTitle,2134)="","",INDEX(BookGroup,2134))</f>
        <v/>
      </c>
      <c r="B2139" s="40" t="str">
        <f aca="false">IF(INDEX(BookTitle,2134)="","",INDEX(BookRef,2134))</f>
        <v/>
      </c>
      <c r="C2139" s="40" t="str">
        <f aca="false">IF(INDEX(BookTitle,2134)="","",INDEX(BookDivision,2134))</f>
        <v/>
      </c>
      <c r="D2139" s="40" t="str">
        <f aca="false">IF(INDEX(BookTitle,2134)="","",INDEX(BookUnit,2134))</f>
        <v/>
      </c>
      <c r="E2139" s="40" t="str">
        <f aca="false">IF(INDEX(BookTitle,2134)="","",INDEX(BookTitle,2134))</f>
        <v/>
      </c>
      <c r="F2139" s="40" t="str">
        <f aca="false">IF(INDEX(BookTitle,2134)="","",INDEX(BookLevel,2134))</f>
        <v/>
      </c>
      <c r="G2139" s="40" t="str">
        <f aca="false">IF(INDEX(BookTitle,2134)="","",INDEX(BookCategory,2134))</f>
        <v/>
      </c>
      <c r="H2139" s="40" t="str">
        <f aca="false">IF(INDEX(BookTitle,2134)="","",INDEX(BookRank,2134))</f>
        <v/>
      </c>
      <c r="I2139" s="41" t="str">
        <f aca="false">IF(INDEX(BookTitle,2134)="","",INDEX(BookTotal,2134))</f>
        <v/>
      </c>
      <c r="J2139" s="0" t="str">
        <f aca="false">IF($I2139="","",IF(INDEX(BookQ1,2134)&gt;0,"Q1",IF(INDEX(BookQ2,2134)&gt;0,"Q2",IF(INDEX(BookQ3,2134)&gt;0,"Q3",IF(INDEX(BookQ4,2134)&gt;0,"Q4","")))))</f>
        <v/>
      </c>
      <c r="K2139" s="42" t="str">
        <f aca="false">IF(INDEX(BookTitle,2134)="","",INDEX(BookInYear,2134))</f>
        <v/>
      </c>
      <c r="L2139" s="19"/>
      <c r="M2139" s="39"/>
      <c r="N2139" s="19"/>
      <c r="O2139" s="19"/>
      <c r="P2139" s="43" t="str">
        <f aca="false">IF($E2139="","",IF($L2139="Decline",0,IF($L2139="Approve fewer",IF($M2139="","",$M2139),IF($L2139="","",$I2139))))</f>
        <v/>
      </c>
      <c r="Q2139" s="34" t="str">
        <f aca="false">IF($P2139="","",IF($N2139&lt;&gt;"",$N2139,$J2139))</f>
        <v/>
      </c>
      <c r="R2139" s="35" t="str">
        <f aca="false">IF(OR($P2139="",$Q2139=""),"",INDEX(BookRate,2134)*$P2139*(5-MATCH($Q2139,{"Q1";"Q2";"Q3";"Q4"},0))/4+INDEX(BookOneOff,2134)*$P2139)</f>
        <v/>
      </c>
      <c r="S2139" s="35" t="str">
        <f aca="false">IF($P2139="","",INDEX(BookRate,2134)*$P2139)</f>
        <v/>
      </c>
      <c r="T2139" s="35" t="str">
        <f aca="false">IF($R2139="","",$R2139-$K2139)</f>
        <v/>
      </c>
      <c r="U2139" s="35" t="str">
        <f aca="false">IF(N($P2139)&lt;=0,"",COUNTIF($P$6:$P2139,"&gt;0"))</f>
        <v/>
      </c>
    </row>
    <row r="2140" customFormat="false" ht="15" hidden="false" customHeight="false" outlineLevel="0" collapsed="false">
      <c r="A2140" s="40" t="str">
        <f aca="false">IF(INDEX(BookTitle,2135)="","",INDEX(BookGroup,2135))</f>
        <v/>
      </c>
      <c r="B2140" s="40" t="str">
        <f aca="false">IF(INDEX(BookTitle,2135)="","",INDEX(BookRef,2135))</f>
        <v/>
      </c>
      <c r="C2140" s="40" t="str">
        <f aca="false">IF(INDEX(BookTitle,2135)="","",INDEX(BookDivision,2135))</f>
        <v/>
      </c>
      <c r="D2140" s="40" t="str">
        <f aca="false">IF(INDEX(BookTitle,2135)="","",INDEX(BookUnit,2135))</f>
        <v/>
      </c>
      <c r="E2140" s="40" t="str">
        <f aca="false">IF(INDEX(BookTitle,2135)="","",INDEX(BookTitle,2135))</f>
        <v/>
      </c>
      <c r="F2140" s="40" t="str">
        <f aca="false">IF(INDEX(BookTitle,2135)="","",INDEX(BookLevel,2135))</f>
        <v/>
      </c>
      <c r="G2140" s="40" t="str">
        <f aca="false">IF(INDEX(BookTitle,2135)="","",INDEX(BookCategory,2135))</f>
        <v/>
      </c>
      <c r="H2140" s="40" t="str">
        <f aca="false">IF(INDEX(BookTitle,2135)="","",INDEX(BookRank,2135))</f>
        <v/>
      </c>
      <c r="I2140" s="41" t="str">
        <f aca="false">IF(INDEX(BookTitle,2135)="","",INDEX(BookTotal,2135))</f>
        <v/>
      </c>
      <c r="J2140" s="0" t="str">
        <f aca="false">IF($I2140="","",IF(INDEX(BookQ1,2135)&gt;0,"Q1",IF(INDEX(BookQ2,2135)&gt;0,"Q2",IF(INDEX(BookQ3,2135)&gt;0,"Q3",IF(INDEX(BookQ4,2135)&gt;0,"Q4","")))))</f>
        <v/>
      </c>
      <c r="K2140" s="42" t="str">
        <f aca="false">IF(INDEX(BookTitle,2135)="","",INDEX(BookInYear,2135))</f>
        <v/>
      </c>
      <c r="L2140" s="19"/>
      <c r="M2140" s="39"/>
      <c r="N2140" s="19"/>
      <c r="O2140" s="19"/>
      <c r="P2140" s="43" t="str">
        <f aca="false">IF($E2140="","",IF($L2140="Decline",0,IF($L2140="Approve fewer",IF($M2140="","",$M2140),IF($L2140="","",$I2140))))</f>
        <v/>
      </c>
      <c r="Q2140" s="34" t="str">
        <f aca="false">IF($P2140="","",IF($N2140&lt;&gt;"",$N2140,$J2140))</f>
        <v/>
      </c>
      <c r="R2140" s="35" t="str">
        <f aca="false">IF(OR($P2140="",$Q2140=""),"",INDEX(BookRate,2135)*$P2140*(5-MATCH($Q2140,{"Q1";"Q2";"Q3";"Q4"},0))/4+INDEX(BookOneOff,2135)*$P2140)</f>
        <v/>
      </c>
      <c r="S2140" s="35" t="str">
        <f aca="false">IF($P2140="","",INDEX(BookRate,2135)*$P2140)</f>
        <v/>
      </c>
      <c r="T2140" s="35" t="str">
        <f aca="false">IF($R2140="","",$R2140-$K2140)</f>
        <v/>
      </c>
      <c r="U2140" s="35" t="str">
        <f aca="false">IF(N($P2140)&lt;=0,"",COUNTIF($P$6:$P2140,"&gt;0"))</f>
        <v/>
      </c>
    </row>
    <row r="2141" customFormat="false" ht="15" hidden="false" customHeight="false" outlineLevel="0" collapsed="false">
      <c r="A2141" s="40" t="str">
        <f aca="false">IF(INDEX(BookTitle,2136)="","",INDEX(BookGroup,2136))</f>
        <v/>
      </c>
      <c r="B2141" s="40" t="str">
        <f aca="false">IF(INDEX(BookTitle,2136)="","",INDEX(BookRef,2136))</f>
        <v/>
      </c>
      <c r="C2141" s="40" t="str">
        <f aca="false">IF(INDEX(BookTitle,2136)="","",INDEX(BookDivision,2136))</f>
        <v/>
      </c>
      <c r="D2141" s="40" t="str">
        <f aca="false">IF(INDEX(BookTitle,2136)="","",INDEX(BookUnit,2136))</f>
        <v/>
      </c>
      <c r="E2141" s="40" t="str">
        <f aca="false">IF(INDEX(BookTitle,2136)="","",INDEX(BookTitle,2136))</f>
        <v/>
      </c>
      <c r="F2141" s="40" t="str">
        <f aca="false">IF(INDEX(BookTitle,2136)="","",INDEX(BookLevel,2136))</f>
        <v/>
      </c>
      <c r="G2141" s="40" t="str">
        <f aca="false">IF(INDEX(BookTitle,2136)="","",INDEX(BookCategory,2136))</f>
        <v/>
      </c>
      <c r="H2141" s="40" t="str">
        <f aca="false">IF(INDEX(BookTitle,2136)="","",INDEX(BookRank,2136))</f>
        <v/>
      </c>
      <c r="I2141" s="41" t="str">
        <f aca="false">IF(INDEX(BookTitle,2136)="","",INDEX(BookTotal,2136))</f>
        <v/>
      </c>
      <c r="J2141" s="0" t="str">
        <f aca="false">IF($I2141="","",IF(INDEX(BookQ1,2136)&gt;0,"Q1",IF(INDEX(BookQ2,2136)&gt;0,"Q2",IF(INDEX(BookQ3,2136)&gt;0,"Q3",IF(INDEX(BookQ4,2136)&gt;0,"Q4","")))))</f>
        <v/>
      </c>
      <c r="K2141" s="42" t="str">
        <f aca="false">IF(INDEX(BookTitle,2136)="","",INDEX(BookInYear,2136))</f>
        <v/>
      </c>
      <c r="L2141" s="19"/>
      <c r="M2141" s="39"/>
      <c r="N2141" s="19"/>
      <c r="O2141" s="19"/>
      <c r="P2141" s="43" t="str">
        <f aca="false">IF($E2141="","",IF($L2141="Decline",0,IF($L2141="Approve fewer",IF($M2141="","",$M2141),IF($L2141="","",$I2141))))</f>
        <v/>
      </c>
      <c r="Q2141" s="34" t="str">
        <f aca="false">IF($P2141="","",IF($N2141&lt;&gt;"",$N2141,$J2141))</f>
        <v/>
      </c>
      <c r="R2141" s="35" t="str">
        <f aca="false">IF(OR($P2141="",$Q2141=""),"",INDEX(BookRate,2136)*$P2141*(5-MATCH($Q2141,{"Q1";"Q2";"Q3";"Q4"},0))/4+INDEX(BookOneOff,2136)*$P2141)</f>
        <v/>
      </c>
      <c r="S2141" s="35" t="str">
        <f aca="false">IF($P2141="","",INDEX(BookRate,2136)*$P2141)</f>
        <v/>
      </c>
      <c r="T2141" s="35" t="str">
        <f aca="false">IF($R2141="","",$R2141-$K2141)</f>
        <v/>
      </c>
      <c r="U2141" s="35" t="str">
        <f aca="false">IF(N($P2141)&lt;=0,"",COUNTIF($P$6:$P2141,"&gt;0"))</f>
        <v/>
      </c>
    </row>
    <row r="2142" customFormat="false" ht="15" hidden="false" customHeight="false" outlineLevel="0" collapsed="false">
      <c r="A2142" s="40" t="str">
        <f aca="false">IF(INDEX(BookTitle,2137)="","",INDEX(BookGroup,2137))</f>
        <v/>
      </c>
      <c r="B2142" s="40" t="str">
        <f aca="false">IF(INDEX(BookTitle,2137)="","",INDEX(BookRef,2137))</f>
        <v/>
      </c>
      <c r="C2142" s="40" t="str">
        <f aca="false">IF(INDEX(BookTitle,2137)="","",INDEX(BookDivision,2137))</f>
        <v/>
      </c>
      <c r="D2142" s="40" t="str">
        <f aca="false">IF(INDEX(BookTitle,2137)="","",INDEX(BookUnit,2137))</f>
        <v/>
      </c>
      <c r="E2142" s="40" t="str">
        <f aca="false">IF(INDEX(BookTitle,2137)="","",INDEX(BookTitle,2137))</f>
        <v/>
      </c>
      <c r="F2142" s="40" t="str">
        <f aca="false">IF(INDEX(BookTitle,2137)="","",INDEX(BookLevel,2137))</f>
        <v/>
      </c>
      <c r="G2142" s="40" t="str">
        <f aca="false">IF(INDEX(BookTitle,2137)="","",INDEX(BookCategory,2137))</f>
        <v/>
      </c>
      <c r="H2142" s="40" t="str">
        <f aca="false">IF(INDEX(BookTitle,2137)="","",INDEX(BookRank,2137))</f>
        <v/>
      </c>
      <c r="I2142" s="41" t="str">
        <f aca="false">IF(INDEX(BookTitle,2137)="","",INDEX(BookTotal,2137))</f>
        <v/>
      </c>
      <c r="J2142" s="0" t="str">
        <f aca="false">IF($I2142="","",IF(INDEX(BookQ1,2137)&gt;0,"Q1",IF(INDEX(BookQ2,2137)&gt;0,"Q2",IF(INDEX(BookQ3,2137)&gt;0,"Q3",IF(INDEX(BookQ4,2137)&gt;0,"Q4","")))))</f>
        <v/>
      </c>
      <c r="K2142" s="42" t="str">
        <f aca="false">IF(INDEX(BookTitle,2137)="","",INDEX(BookInYear,2137))</f>
        <v/>
      </c>
      <c r="L2142" s="19"/>
      <c r="M2142" s="39"/>
      <c r="N2142" s="19"/>
      <c r="O2142" s="19"/>
      <c r="P2142" s="43" t="str">
        <f aca="false">IF($E2142="","",IF($L2142="Decline",0,IF($L2142="Approve fewer",IF($M2142="","",$M2142),IF($L2142="","",$I2142))))</f>
        <v/>
      </c>
      <c r="Q2142" s="34" t="str">
        <f aca="false">IF($P2142="","",IF($N2142&lt;&gt;"",$N2142,$J2142))</f>
        <v/>
      </c>
      <c r="R2142" s="35" t="str">
        <f aca="false">IF(OR($P2142="",$Q2142=""),"",INDEX(BookRate,2137)*$P2142*(5-MATCH($Q2142,{"Q1";"Q2";"Q3";"Q4"},0))/4+INDEX(BookOneOff,2137)*$P2142)</f>
        <v/>
      </c>
      <c r="S2142" s="35" t="str">
        <f aca="false">IF($P2142="","",INDEX(BookRate,2137)*$P2142)</f>
        <v/>
      </c>
      <c r="T2142" s="35" t="str">
        <f aca="false">IF($R2142="","",$R2142-$K2142)</f>
        <v/>
      </c>
      <c r="U2142" s="35" t="str">
        <f aca="false">IF(N($P2142)&lt;=0,"",COUNTIF($P$6:$P2142,"&gt;0"))</f>
        <v/>
      </c>
    </row>
    <row r="2143" customFormat="false" ht="15" hidden="false" customHeight="false" outlineLevel="0" collapsed="false">
      <c r="A2143" s="40" t="str">
        <f aca="false">IF(INDEX(BookTitle,2138)="","",INDEX(BookGroup,2138))</f>
        <v/>
      </c>
      <c r="B2143" s="40" t="str">
        <f aca="false">IF(INDEX(BookTitle,2138)="","",INDEX(BookRef,2138))</f>
        <v/>
      </c>
      <c r="C2143" s="40" t="str">
        <f aca="false">IF(INDEX(BookTitle,2138)="","",INDEX(BookDivision,2138))</f>
        <v/>
      </c>
      <c r="D2143" s="40" t="str">
        <f aca="false">IF(INDEX(BookTitle,2138)="","",INDEX(BookUnit,2138))</f>
        <v/>
      </c>
      <c r="E2143" s="40" t="str">
        <f aca="false">IF(INDEX(BookTitle,2138)="","",INDEX(BookTitle,2138))</f>
        <v/>
      </c>
      <c r="F2143" s="40" t="str">
        <f aca="false">IF(INDEX(BookTitle,2138)="","",INDEX(BookLevel,2138))</f>
        <v/>
      </c>
      <c r="G2143" s="40" t="str">
        <f aca="false">IF(INDEX(BookTitle,2138)="","",INDEX(BookCategory,2138))</f>
        <v/>
      </c>
      <c r="H2143" s="40" t="str">
        <f aca="false">IF(INDEX(BookTitle,2138)="","",INDEX(BookRank,2138))</f>
        <v/>
      </c>
      <c r="I2143" s="41" t="str">
        <f aca="false">IF(INDEX(BookTitle,2138)="","",INDEX(BookTotal,2138))</f>
        <v/>
      </c>
      <c r="J2143" s="0" t="str">
        <f aca="false">IF($I2143="","",IF(INDEX(BookQ1,2138)&gt;0,"Q1",IF(INDEX(BookQ2,2138)&gt;0,"Q2",IF(INDEX(BookQ3,2138)&gt;0,"Q3",IF(INDEX(BookQ4,2138)&gt;0,"Q4","")))))</f>
        <v/>
      </c>
      <c r="K2143" s="42" t="str">
        <f aca="false">IF(INDEX(BookTitle,2138)="","",INDEX(BookInYear,2138))</f>
        <v/>
      </c>
      <c r="L2143" s="19"/>
      <c r="M2143" s="39"/>
      <c r="N2143" s="19"/>
      <c r="O2143" s="19"/>
      <c r="P2143" s="43" t="str">
        <f aca="false">IF($E2143="","",IF($L2143="Decline",0,IF($L2143="Approve fewer",IF($M2143="","",$M2143),IF($L2143="","",$I2143))))</f>
        <v/>
      </c>
      <c r="Q2143" s="34" t="str">
        <f aca="false">IF($P2143="","",IF($N2143&lt;&gt;"",$N2143,$J2143))</f>
        <v/>
      </c>
      <c r="R2143" s="35" t="str">
        <f aca="false">IF(OR($P2143="",$Q2143=""),"",INDEX(BookRate,2138)*$P2143*(5-MATCH($Q2143,{"Q1";"Q2";"Q3";"Q4"},0))/4+INDEX(BookOneOff,2138)*$P2143)</f>
        <v/>
      </c>
      <c r="S2143" s="35" t="str">
        <f aca="false">IF($P2143="","",INDEX(BookRate,2138)*$P2143)</f>
        <v/>
      </c>
      <c r="T2143" s="35" t="str">
        <f aca="false">IF($R2143="","",$R2143-$K2143)</f>
        <v/>
      </c>
      <c r="U2143" s="35" t="str">
        <f aca="false">IF(N($P2143)&lt;=0,"",COUNTIF($P$6:$P2143,"&gt;0"))</f>
        <v/>
      </c>
    </row>
    <row r="2144" customFormat="false" ht="15" hidden="false" customHeight="false" outlineLevel="0" collapsed="false">
      <c r="A2144" s="40" t="str">
        <f aca="false">IF(INDEX(BookTitle,2139)="","",INDEX(BookGroup,2139))</f>
        <v/>
      </c>
      <c r="B2144" s="40" t="str">
        <f aca="false">IF(INDEX(BookTitle,2139)="","",INDEX(BookRef,2139))</f>
        <v/>
      </c>
      <c r="C2144" s="40" t="str">
        <f aca="false">IF(INDEX(BookTitle,2139)="","",INDEX(BookDivision,2139))</f>
        <v/>
      </c>
      <c r="D2144" s="40" t="str">
        <f aca="false">IF(INDEX(BookTitle,2139)="","",INDEX(BookUnit,2139))</f>
        <v/>
      </c>
      <c r="E2144" s="40" t="str">
        <f aca="false">IF(INDEX(BookTitle,2139)="","",INDEX(BookTitle,2139))</f>
        <v/>
      </c>
      <c r="F2144" s="40" t="str">
        <f aca="false">IF(INDEX(BookTitle,2139)="","",INDEX(BookLevel,2139))</f>
        <v/>
      </c>
      <c r="G2144" s="40" t="str">
        <f aca="false">IF(INDEX(BookTitle,2139)="","",INDEX(BookCategory,2139))</f>
        <v/>
      </c>
      <c r="H2144" s="40" t="str">
        <f aca="false">IF(INDEX(BookTitle,2139)="","",INDEX(BookRank,2139))</f>
        <v/>
      </c>
      <c r="I2144" s="41" t="str">
        <f aca="false">IF(INDEX(BookTitle,2139)="","",INDEX(BookTotal,2139))</f>
        <v/>
      </c>
      <c r="J2144" s="0" t="str">
        <f aca="false">IF($I2144="","",IF(INDEX(BookQ1,2139)&gt;0,"Q1",IF(INDEX(BookQ2,2139)&gt;0,"Q2",IF(INDEX(BookQ3,2139)&gt;0,"Q3",IF(INDEX(BookQ4,2139)&gt;0,"Q4","")))))</f>
        <v/>
      </c>
      <c r="K2144" s="42" t="str">
        <f aca="false">IF(INDEX(BookTitle,2139)="","",INDEX(BookInYear,2139))</f>
        <v/>
      </c>
      <c r="L2144" s="19"/>
      <c r="M2144" s="39"/>
      <c r="N2144" s="19"/>
      <c r="O2144" s="19"/>
      <c r="P2144" s="43" t="str">
        <f aca="false">IF($E2144="","",IF($L2144="Decline",0,IF($L2144="Approve fewer",IF($M2144="","",$M2144),IF($L2144="","",$I2144))))</f>
        <v/>
      </c>
      <c r="Q2144" s="34" t="str">
        <f aca="false">IF($P2144="","",IF($N2144&lt;&gt;"",$N2144,$J2144))</f>
        <v/>
      </c>
      <c r="R2144" s="35" t="str">
        <f aca="false">IF(OR($P2144="",$Q2144=""),"",INDEX(BookRate,2139)*$P2144*(5-MATCH($Q2144,{"Q1";"Q2";"Q3";"Q4"},0))/4+INDEX(BookOneOff,2139)*$P2144)</f>
        <v/>
      </c>
      <c r="S2144" s="35" t="str">
        <f aca="false">IF($P2144="","",INDEX(BookRate,2139)*$P2144)</f>
        <v/>
      </c>
      <c r="T2144" s="35" t="str">
        <f aca="false">IF($R2144="","",$R2144-$K2144)</f>
        <v/>
      </c>
      <c r="U2144" s="35" t="str">
        <f aca="false">IF(N($P2144)&lt;=0,"",COUNTIF($P$6:$P2144,"&gt;0"))</f>
        <v/>
      </c>
    </row>
    <row r="2145" customFormat="false" ht="15" hidden="false" customHeight="false" outlineLevel="0" collapsed="false">
      <c r="A2145" s="40" t="str">
        <f aca="false">IF(INDEX(BookTitle,2140)="","",INDEX(BookGroup,2140))</f>
        <v/>
      </c>
      <c r="B2145" s="40" t="str">
        <f aca="false">IF(INDEX(BookTitle,2140)="","",INDEX(BookRef,2140))</f>
        <v/>
      </c>
      <c r="C2145" s="40" t="str">
        <f aca="false">IF(INDEX(BookTitle,2140)="","",INDEX(BookDivision,2140))</f>
        <v/>
      </c>
      <c r="D2145" s="40" t="str">
        <f aca="false">IF(INDEX(BookTitle,2140)="","",INDEX(BookUnit,2140))</f>
        <v/>
      </c>
      <c r="E2145" s="40" t="str">
        <f aca="false">IF(INDEX(BookTitle,2140)="","",INDEX(BookTitle,2140))</f>
        <v/>
      </c>
      <c r="F2145" s="40" t="str">
        <f aca="false">IF(INDEX(BookTitle,2140)="","",INDEX(BookLevel,2140))</f>
        <v/>
      </c>
      <c r="G2145" s="40" t="str">
        <f aca="false">IF(INDEX(BookTitle,2140)="","",INDEX(BookCategory,2140))</f>
        <v/>
      </c>
      <c r="H2145" s="40" t="str">
        <f aca="false">IF(INDEX(BookTitle,2140)="","",INDEX(BookRank,2140))</f>
        <v/>
      </c>
      <c r="I2145" s="41" t="str">
        <f aca="false">IF(INDEX(BookTitle,2140)="","",INDEX(BookTotal,2140))</f>
        <v/>
      </c>
      <c r="J2145" s="0" t="str">
        <f aca="false">IF($I2145="","",IF(INDEX(BookQ1,2140)&gt;0,"Q1",IF(INDEX(BookQ2,2140)&gt;0,"Q2",IF(INDEX(BookQ3,2140)&gt;0,"Q3",IF(INDEX(BookQ4,2140)&gt;0,"Q4","")))))</f>
        <v/>
      </c>
      <c r="K2145" s="42" t="str">
        <f aca="false">IF(INDEX(BookTitle,2140)="","",INDEX(BookInYear,2140))</f>
        <v/>
      </c>
      <c r="L2145" s="19"/>
      <c r="M2145" s="39"/>
      <c r="N2145" s="19"/>
      <c r="O2145" s="19"/>
      <c r="P2145" s="43" t="str">
        <f aca="false">IF($E2145="","",IF($L2145="Decline",0,IF($L2145="Approve fewer",IF($M2145="","",$M2145),IF($L2145="","",$I2145))))</f>
        <v/>
      </c>
      <c r="Q2145" s="34" t="str">
        <f aca="false">IF($P2145="","",IF($N2145&lt;&gt;"",$N2145,$J2145))</f>
        <v/>
      </c>
      <c r="R2145" s="35" t="str">
        <f aca="false">IF(OR($P2145="",$Q2145=""),"",INDEX(BookRate,2140)*$P2145*(5-MATCH($Q2145,{"Q1";"Q2";"Q3";"Q4"},0))/4+INDEX(BookOneOff,2140)*$P2145)</f>
        <v/>
      </c>
      <c r="S2145" s="35" t="str">
        <f aca="false">IF($P2145="","",INDEX(BookRate,2140)*$P2145)</f>
        <v/>
      </c>
      <c r="T2145" s="35" t="str">
        <f aca="false">IF($R2145="","",$R2145-$K2145)</f>
        <v/>
      </c>
      <c r="U2145" s="35" t="str">
        <f aca="false">IF(N($P2145)&lt;=0,"",COUNTIF($P$6:$P2145,"&gt;0"))</f>
        <v/>
      </c>
    </row>
    <row r="2146" customFormat="false" ht="15" hidden="false" customHeight="false" outlineLevel="0" collapsed="false">
      <c r="A2146" s="40" t="str">
        <f aca="false">IF(INDEX(BookTitle,2141)="","",INDEX(BookGroup,2141))</f>
        <v/>
      </c>
      <c r="B2146" s="40" t="str">
        <f aca="false">IF(INDEX(BookTitle,2141)="","",INDEX(BookRef,2141))</f>
        <v/>
      </c>
      <c r="C2146" s="40" t="str">
        <f aca="false">IF(INDEX(BookTitle,2141)="","",INDEX(BookDivision,2141))</f>
        <v/>
      </c>
      <c r="D2146" s="40" t="str">
        <f aca="false">IF(INDEX(BookTitle,2141)="","",INDEX(BookUnit,2141))</f>
        <v/>
      </c>
      <c r="E2146" s="40" t="str">
        <f aca="false">IF(INDEX(BookTitle,2141)="","",INDEX(BookTitle,2141))</f>
        <v/>
      </c>
      <c r="F2146" s="40" t="str">
        <f aca="false">IF(INDEX(BookTitle,2141)="","",INDEX(BookLevel,2141))</f>
        <v/>
      </c>
      <c r="G2146" s="40" t="str">
        <f aca="false">IF(INDEX(BookTitle,2141)="","",INDEX(BookCategory,2141))</f>
        <v/>
      </c>
      <c r="H2146" s="40" t="str">
        <f aca="false">IF(INDEX(BookTitle,2141)="","",INDEX(BookRank,2141))</f>
        <v/>
      </c>
      <c r="I2146" s="41" t="str">
        <f aca="false">IF(INDEX(BookTitle,2141)="","",INDEX(BookTotal,2141))</f>
        <v/>
      </c>
      <c r="J2146" s="0" t="str">
        <f aca="false">IF($I2146="","",IF(INDEX(BookQ1,2141)&gt;0,"Q1",IF(INDEX(BookQ2,2141)&gt;0,"Q2",IF(INDEX(BookQ3,2141)&gt;0,"Q3",IF(INDEX(BookQ4,2141)&gt;0,"Q4","")))))</f>
        <v/>
      </c>
      <c r="K2146" s="42" t="str">
        <f aca="false">IF(INDEX(BookTitle,2141)="","",INDEX(BookInYear,2141))</f>
        <v/>
      </c>
      <c r="L2146" s="19"/>
      <c r="M2146" s="39"/>
      <c r="N2146" s="19"/>
      <c r="O2146" s="19"/>
      <c r="P2146" s="43" t="str">
        <f aca="false">IF($E2146="","",IF($L2146="Decline",0,IF($L2146="Approve fewer",IF($M2146="","",$M2146),IF($L2146="","",$I2146))))</f>
        <v/>
      </c>
      <c r="Q2146" s="34" t="str">
        <f aca="false">IF($P2146="","",IF($N2146&lt;&gt;"",$N2146,$J2146))</f>
        <v/>
      </c>
      <c r="R2146" s="35" t="str">
        <f aca="false">IF(OR($P2146="",$Q2146=""),"",INDEX(BookRate,2141)*$P2146*(5-MATCH($Q2146,{"Q1";"Q2";"Q3";"Q4"},0))/4+INDEX(BookOneOff,2141)*$P2146)</f>
        <v/>
      </c>
      <c r="S2146" s="35" t="str">
        <f aca="false">IF($P2146="","",INDEX(BookRate,2141)*$P2146)</f>
        <v/>
      </c>
      <c r="T2146" s="35" t="str">
        <f aca="false">IF($R2146="","",$R2146-$K2146)</f>
        <v/>
      </c>
      <c r="U2146" s="35" t="str">
        <f aca="false">IF(N($P2146)&lt;=0,"",COUNTIF($P$6:$P2146,"&gt;0"))</f>
        <v/>
      </c>
    </row>
    <row r="2147" customFormat="false" ht="15" hidden="false" customHeight="false" outlineLevel="0" collapsed="false">
      <c r="A2147" s="40" t="str">
        <f aca="false">IF(INDEX(BookTitle,2142)="","",INDEX(BookGroup,2142))</f>
        <v/>
      </c>
      <c r="B2147" s="40" t="str">
        <f aca="false">IF(INDEX(BookTitle,2142)="","",INDEX(BookRef,2142))</f>
        <v/>
      </c>
      <c r="C2147" s="40" t="str">
        <f aca="false">IF(INDEX(BookTitle,2142)="","",INDEX(BookDivision,2142))</f>
        <v/>
      </c>
      <c r="D2147" s="40" t="str">
        <f aca="false">IF(INDEX(BookTitle,2142)="","",INDEX(BookUnit,2142))</f>
        <v/>
      </c>
      <c r="E2147" s="40" t="str">
        <f aca="false">IF(INDEX(BookTitle,2142)="","",INDEX(BookTitle,2142))</f>
        <v/>
      </c>
      <c r="F2147" s="40" t="str">
        <f aca="false">IF(INDEX(BookTitle,2142)="","",INDEX(BookLevel,2142))</f>
        <v/>
      </c>
      <c r="G2147" s="40" t="str">
        <f aca="false">IF(INDEX(BookTitle,2142)="","",INDEX(BookCategory,2142))</f>
        <v/>
      </c>
      <c r="H2147" s="40" t="str">
        <f aca="false">IF(INDEX(BookTitle,2142)="","",INDEX(BookRank,2142))</f>
        <v/>
      </c>
      <c r="I2147" s="41" t="str">
        <f aca="false">IF(INDEX(BookTitle,2142)="","",INDEX(BookTotal,2142))</f>
        <v/>
      </c>
      <c r="J2147" s="0" t="str">
        <f aca="false">IF($I2147="","",IF(INDEX(BookQ1,2142)&gt;0,"Q1",IF(INDEX(BookQ2,2142)&gt;0,"Q2",IF(INDEX(BookQ3,2142)&gt;0,"Q3",IF(INDEX(BookQ4,2142)&gt;0,"Q4","")))))</f>
        <v/>
      </c>
      <c r="K2147" s="42" t="str">
        <f aca="false">IF(INDEX(BookTitle,2142)="","",INDEX(BookInYear,2142))</f>
        <v/>
      </c>
      <c r="L2147" s="19"/>
      <c r="M2147" s="39"/>
      <c r="N2147" s="19"/>
      <c r="O2147" s="19"/>
      <c r="P2147" s="43" t="str">
        <f aca="false">IF($E2147="","",IF($L2147="Decline",0,IF($L2147="Approve fewer",IF($M2147="","",$M2147),IF($L2147="","",$I2147))))</f>
        <v/>
      </c>
      <c r="Q2147" s="34" t="str">
        <f aca="false">IF($P2147="","",IF($N2147&lt;&gt;"",$N2147,$J2147))</f>
        <v/>
      </c>
      <c r="R2147" s="35" t="str">
        <f aca="false">IF(OR($P2147="",$Q2147=""),"",INDEX(BookRate,2142)*$P2147*(5-MATCH($Q2147,{"Q1";"Q2";"Q3";"Q4"},0))/4+INDEX(BookOneOff,2142)*$P2147)</f>
        <v/>
      </c>
      <c r="S2147" s="35" t="str">
        <f aca="false">IF($P2147="","",INDEX(BookRate,2142)*$P2147)</f>
        <v/>
      </c>
      <c r="T2147" s="35" t="str">
        <f aca="false">IF($R2147="","",$R2147-$K2147)</f>
        <v/>
      </c>
      <c r="U2147" s="35" t="str">
        <f aca="false">IF(N($P2147)&lt;=0,"",COUNTIF($P$6:$P2147,"&gt;0"))</f>
        <v/>
      </c>
    </row>
    <row r="2148" customFormat="false" ht="15" hidden="false" customHeight="false" outlineLevel="0" collapsed="false">
      <c r="A2148" s="40" t="str">
        <f aca="false">IF(INDEX(BookTitle,2143)="","",INDEX(BookGroup,2143))</f>
        <v/>
      </c>
      <c r="B2148" s="40" t="str">
        <f aca="false">IF(INDEX(BookTitle,2143)="","",INDEX(BookRef,2143))</f>
        <v/>
      </c>
      <c r="C2148" s="40" t="str">
        <f aca="false">IF(INDEX(BookTitle,2143)="","",INDEX(BookDivision,2143))</f>
        <v/>
      </c>
      <c r="D2148" s="40" t="str">
        <f aca="false">IF(INDEX(BookTitle,2143)="","",INDEX(BookUnit,2143))</f>
        <v/>
      </c>
      <c r="E2148" s="40" t="str">
        <f aca="false">IF(INDEX(BookTitle,2143)="","",INDEX(BookTitle,2143))</f>
        <v/>
      </c>
      <c r="F2148" s="40" t="str">
        <f aca="false">IF(INDEX(BookTitle,2143)="","",INDEX(BookLevel,2143))</f>
        <v/>
      </c>
      <c r="G2148" s="40" t="str">
        <f aca="false">IF(INDEX(BookTitle,2143)="","",INDEX(BookCategory,2143))</f>
        <v/>
      </c>
      <c r="H2148" s="40" t="str">
        <f aca="false">IF(INDEX(BookTitle,2143)="","",INDEX(BookRank,2143))</f>
        <v/>
      </c>
      <c r="I2148" s="41" t="str">
        <f aca="false">IF(INDEX(BookTitle,2143)="","",INDEX(BookTotal,2143))</f>
        <v/>
      </c>
      <c r="J2148" s="0" t="str">
        <f aca="false">IF($I2148="","",IF(INDEX(BookQ1,2143)&gt;0,"Q1",IF(INDEX(BookQ2,2143)&gt;0,"Q2",IF(INDEX(BookQ3,2143)&gt;0,"Q3",IF(INDEX(BookQ4,2143)&gt;0,"Q4","")))))</f>
        <v/>
      </c>
      <c r="K2148" s="42" t="str">
        <f aca="false">IF(INDEX(BookTitle,2143)="","",INDEX(BookInYear,2143))</f>
        <v/>
      </c>
      <c r="L2148" s="19"/>
      <c r="M2148" s="39"/>
      <c r="N2148" s="19"/>
      <c r="O2148" s="19"/>
      <c r="P2148" s="43" t="str">
        <f aca="false">IF($E2148="","",IF($L2148="Decline",0,IF($L2148="Approve fewer",IF($M2148="","",$M2148),IF($L2148="","",$I2148))))</f>
        <v/>
      </c>
      <c r="Q2148" s="34" t="str">
        <f aca="false">IF($P2148="","",IF($N2148&lt;&gt;"",$N2148,$J2148))</f>
        <v/>
      </c>
      <c r="R2148" s="35" t="str">
        <f aca="false">IF(OR($P2148="",$Q2148=""),"",INDEX(BookRate,2143)*$P2148*(5-MATCH($Q2148,{"Q1";"Q2";"Q3";"Q4"},0))/4+INDEX(BookOneOff,2143)*$P2148)</f>
        <v/>
      </c>
      <c r="S2148" s="35" t="str">
        <f aca="false">IF($P2148="","",INDEX(BookRate,2143)*$P2148)</f>
        <v/>
      </c>
      <c r="T2148" s="35" t="str">
        <f aca="false">IF($R2148="","",$R2148-$K2148)</f>
        <v/>
      </c>
      <c r="U2148" s="35" t="str">
        <f aca="false">IF(N($P2148)&lt;=0,"",COUNTIF($P$6:$P2148,"&gt;0"))</f>
        <v/>
      </c>
    </row>
    <row r="2149" customFormat="false" ht="15" hidden="false" customHeight="false" outlineLevel="0" collapsed="false">
      <c r="A2149" s="40" t="str">
        <f aca="false">IF(INDEX(BookTitle,2144)="","",INDEX(BookGroup,2144))</f>
        <v/>
      </c>
      <c r="B2149" s="40" t="str">
        <f aca="false">IF(INDEX(BookTitle,2144)="","",INDEX(BookRef,2144))</f>
        <v/>
      </c>
      <c r="C2149" s="40" t="str">
        <f aca="false">IF(INDEX(BookTitle,2144)="","",INDEX(BookDivision,2144))</f>
        <v/>
      </c>
      <c r="D2149" s="40" t="str">
        <f aca="false">IF(INDEX(BookTitle,2144)="","",INDEX(BookUnit,2144))</f>
        <v/>
      </c>
      <c r="E2149" s="40" t="str">
        <f aca="false">IF(INDEX(BookTitle,2144)="","",INDEX(BookTitle,2144))</f>
        <v/>
      </c>
      <c r="F2149" s="40" t="str">
        <f aca="false">IF(INDEX(BookTitle,2144)="","",INDEX(BookLevel,2144))</f>
        <v/>
      </c>
      <c r="G2149" s="40" t="str">
        <f aca="false">IF(INDEX(BookTitle,2144)="","",INDEX(BookCategory,2144))</f>
        <v/>
      </c>
      <c r="H2149" s="40" t="str">
        <f aca="false">IF(INDEX(BookTitle,2144)="","",INDEX(BookRank,2144))</f>
        <v/>
      </c>
      <c r="I2149" s="41" t="str">
        <f aca="false">IF(INDEX(BookTitle,2144)="","",INDEX(BookTotal,2144))</f>
        <v/>
      </c>
      <c r="J2149" s="0" t="str">
        <f aca="false">IF($I2149="","",IF(INDEX(BookQ1,2144)&gt;0,"Q1",IF(INDEX(BookQ2,2144)&gt;0,"Q2",IF(INDEX(BookQ3,2144)&gt;0,"Q3",IF(INDEX(BookQ4,2144)&gt;0,"Q4","")))))</f>
        <v/>
      </c>
      <c r="K2149" s="42" t="str">
        <f aca="false">IF(INDEX(BookTitle,2144)="","",INDEX(BookInYear,2144))</f>
        <v/>
      </c>
      <c r="L2149" s="19"/>
      <c r="M2149" s="39"/>
      <c r="N2149" s="19"/>
      <c r="O2149" s="19"/>
      <c r="P2149" s="43" t="str">
        <f aca="false">IF($E2149="","",IF($L2149="Decline",0,IF($L2149="Approve fewer",IF($M2149="","",$M2149),IF($L2149="","",$I2149))))</f>
        <v/>
      </c>
      <c r="Q2149" s="34" t="str">
        <f aca="false">IF($P2149="","",IF($N2149&lt;&gt;"",$N2149,$J2149))</f>
        <v/>
      </c>
      <c r="R2149" s="35" t="str">
        <f aca="false">IF(OR($P2149="",$Q2149=""),"",INDEX(BookRate,2144)*$P2149*(5-MATCH($Q2149,{"Q1";"Q2";"Q3";"Q4"},0))/4+INDEX(BookOneOff,2144)*$P2149)</f>
        <v/>
      </c>
      <c r="S2149" s="35" t="str">
        <f aca="false">IF($P2149="","",INDEX(BookRate,2144)*$P2149)</f>
        <v/>
      </c>
      <c r="T2149" s="35" t="str">
        <f aca="false">IF($R2149="","",$R2149-$K2149)</f>
        <v/>
      </c>
      <c r="U2149" s="35" t="str">
        <f aca="false">IF(N($P2149)&lt;=0,"",COUNTIF($P$6:$P2149,"&gt;0"))</f>
        <v/>
      </c>
    </row>
    <row r="2150" customFormat="false" ht="15" hidden="false" customHeight="false" outlineLevel="0" collapsed="false">
      <c r="A2150" s="40" t="str">
        <f aca="false">IF(INDEX(BookTitle,2145)="","",INDEX(BookGroup,2145))</f>
        <v/>
      </c>
      <c r="B2150" s="40" t="str">
        <f aca="false">IF(INDEX(BookTitle,2145)="","",INDEX(BookRef,2145))</f>
        <v/>
      </c>
      <c r="C2150" s="40" t="str">
        <f aca="false">IF(INDEX(BookTitle,2145)="","",INDEX(BookDivision,2145))</f>
        <v/>
      </c>
      <c r="D2150" s="40" t="str">
        <f aca="false">IF(INDEX(BookTitle,2145)="","",INDEX(BookUnit,2145))</f>
        <v/>
      </c>
      <c r="E2150" s="40" t="str">
        <f aca="false">IF(INDEX(BookTitle,2145)="","",INDEX(BookTitle,2145))</f>
        <v/>
      </c>
      <c r="F2150" s="40" t="str">
        <f aca="false">IF(INDEX(BookTitle,2145)="","",INDEX(BookLevel,2145))</f>
        <v/>
      </c>
      <c r="G2150" s="40" t="str">
        <f aca="false">IF(INDEX(BookTitle,2145)="","",INDEX(BookCategory,2145))</f>
        <v/>
      </c>
      <c r="H2150" s="40" t="str">
        <f aca="false">IF(INDEX(BookTitle,2145)="","",INDEX(BookRank,2145))</f>
        <v/>
      </c>
      <c r="I2150" s="41" t="str">
        <f aca="false">IF(INDEX(BookTitle,2145)="","",INDEX(BookTotal,2145))</f>
        <v/>
      </c>
      <c r="J2150" s="0" t="str">
        <f aca="false">IF($I2150="","",IF(INDEX(BookQ1,2145)&gt;0,"Q1",IF(INDEX(BookQ2,2145)&gt;0,"Q2",IF(INDEX(BookQ3,2145)&gt;0,"Q3",IF(INDEX(BookQ4,2145)&gt;0,"Q4","")))))</f>
        <v/>
      </c>
      <c r="K2150" s="42" t="str">
        <f aca="false">IF(INDEX(BookTitle,2145)="","",INDEX(BookInYear,2145))</f>
        <v/>
      </c>
      <c r="L2150" s="19"/>
      <c r="M2150" s="39"/>
      <c r="N2150" s="19"/>
      <c r="O2150" s="19"/>
      <c r="P2150" s="43" t="str">
        <f aca="false">IF($E2150="","",IF($L2150="Decline",0,IF($L2150="Approve fewer",IF($M2150="","",$M2150),IF($L2150="","",$I2150))))</f>
        <v/>
      </c>
      <c r="Q2150" s="34" t="str">
        <f aca="false">IF($P2150="","",IF($N2150&lt;&gt;"",$N2150,$J2150))</f>
        <v/>
      </c>
      <c r="R2150" s="35" t="str">
        <f aca="false">IF(OR($P2150="",$Q2150=""),"",INDEX(BookRate,2145)*$P2150*(5-MATCH($Q2150,{"Q1";"Q2";"Q3";"Q4"},0))/4+INDEX(BookOneOff,2145)*$P2150)</f>
        <v/>
      </c>
      <c r="S2150" s="35" t="str">
        <f aca="false">IF($P2150="","",INDEX(BookRate,2145)*$P2150)</f>
        <v/>
      </c>
      <c r="T2150" s="35" t="str">
        <f aca="false">IF($R2150="","",$R2150-$K2150)</f>
        <v/>
      </c>
      <c r="U2150" s="35" t="str">
        <f aca="false">IF(N($P2150)&lt;=0,"",COUNTIF($P$6:$P2150,"&gt;0"))</f>
        <v/>
      </c>
    </row>
    <row r="2151" customFormat="false" ht="15" hidden="false" customHeight="false" outlineLevel="0" collapsed="false">
      <c r="A2151" s="40" t="str">
        <f aca="false">IF(INDEX(BookTitle,2146)="","",INDEX(BookGroup,2146))</f>
        <v/>
      </c>
      <c r="B2151" s="40" t="str">
        <f aca="false">IF(INDEX(BookTitle,2146)="","",INDEX(BookRef,2146))</f>
        <v/>
      </c>
      <c r="C2151" s="40" t="str">
        <f aca="false">IF(INDEX(BookTitle,2146)="","",INDEX(BookDivision,2146))</f>
        <v/>
      </c>
      <c r="D2151" s="40" t="str">
        <f aca="false">IF(INDEX(BookTitle,2146)="","",INDEX(BookUnit,2146))</f>
        <v/>
      </c>
      <c r="E2151" s="40" t="str">
        <f aca="false">IF(INDEX(BookTitle,2146)="","",INDEX(BookTitle,2146))</f>
        <v/>
      </c>
      <c r="F2151" s="40" t="str">
        <f aca="false">IF(INDEX(BookTitle,2146)="","",INDEX(BookLevel,2146))</f>
        <v/>
      </c>
      <c r="G2151" s="40" t="str">
        <f aca="false">IF(INDEX(BookTitle,2146)="","",INDEX(BookCategory,2146))</f>
        <v/>
      </c>
      <c r="H2151" s="40" t="str">
        <f aca="false">IF(INDEX(BookTitle,2146)="","",INDEX(BookRank,2146))</f>
        <v/>
      </c>
      <c r="I2151" s="41" t="str">
        <f aca="false">IF(INDEX(BookTitle,2146)="","",INDEX(BookTotal,2146))</f>
        <v/>
      </c>
      <c r="J2151" s="0" t="str">
        <f aca="false">IF($I2151="","",IF(INDEX(BookQ1,2146)&gt;0,"Q1",IF(INDEX(BookQ2,2146)&gt;0,"Q2",IF(INDEX(BookQ3,2146)&gt;0,"Q3",IF(INDEX(BookQ4,2146)&gt;0,"Q4","")))))</f>
        <v/>
      </c>
      <c r="K2151" s="42" t="str">
        <f aca="false">IF(INDEX(BookTitle,2146)="","",INDEX(BookInYear,2146))</f>
        <v/>
      </c>
      <c r="L2151" s="19"/>
      <c r="M2151" s="39"/>
      <c r="N2151" s="19"/>
      <c r="O2151" s="19"/>
      <c r="P2151" s="43" t="str">
        <f aca="false">IF($E2151="","",IF($L2151="Decline",0,IF($L2151="Approve fewer",IF($M2151="","",$M2151),IF($L2151="","",$I2151))))</f>
        <v/>
      </c>
      <c r="Q2151" s="34" t="str">
        <f aca="false">IF($P2151="","",IF($N2151&lt;&gt;"",$N2151,$J2151))</f>
        <v/>
      </c>
      <c r="R2151" s="35" t="str">
        <f aca="false">IF(OR($P2151="",$Q2151=""),"",INDEX(BookRate,2146)*$P2151*(5-MATCH($Q2151,{"Q1";"Q2";"Q3";"Q4"},0))/4+INDEX(BookOneOff,2146)*$P2151)</f>
        <v/>
      </c>
      <c r="S2151" s="35" t="str">
        <f aca="false">IF($P2151="","",INDEX(BookRate,2146)*$P2151)</f>
        <v/>
      </c>
      <c r="T2151" s="35" t="str">
        <f aca="false">IF($R2151="","",$R2151-$K2151)</f>
        <v/>
      </c>
      <c r="U2151" s="35" t="str">
        <f aca="false">IF(N($P2151)&lt;=0,"",COUNTIF($P$6:$P2151,"&gt;0"))</f>
        <v/>
      </c>
    </row>
    <row r="2152" customFormat="false" ht="15" hidden="false" customHeight="false" outlineLevel="0" collapsed="false">
      <c r="A2152" s="40" t="str">
        <f aca="false">IF(INDEX(BookTitle,2147)="","",INDEX(BookGroup,2147))</f>
        <v/>
      </c>
      <c r="B2152" s="40" t="str">
        <f aca="false">IF(INDEX(BookTitle,2147)="","",INDEX(BookRef,2147))</f>
        <v/>
      </c>
      <c r="C2152" s="40" t="str">
        <f aca="false">IF(INDEX(BookTitle,2147)="","",INDEX(BookDivision,2147))</f>
        <v/>
      </c>
      <c r="D2152" s="40" t="str">
        <f aca="false">IF(INDEX(BookTitle,2147)="","",INDEX(BookUnit,2147))</f>
        <v/>
      </c>
      <c r="E2152" s="40" t="str">
        <f aca="false">IF(INDEX(BookTitle,2147)="","",INDEX(BookTitle,2147))</f>
        <v/>
      </c>
      <c r="F2152" s="40" t="str">
        <f aca="false">IF(INDEX(BookTitle,2147)="","",INDEX(BookLevel,2147))</f>
        <v/>
      </c>
      <c r="G2152" s="40" t="str">
        <f aca="false">IF(INDEX(BookTitle,2147)="","",INDEX(BookCategory,2147))</f>
        <v/>
      </c>
      <c r="H2152" s="40" t="str">
        <f aca="false">IF(INDEX(BookTitle,2147)="","",INDEX(BookRank,2147))</f>
        <v/>
      </c>
      <c r="I2152" s="41" t="str">
        <f aca="false">IF(INDEX(BookTitle,2147)="","",INDEX(BookTotal,2147))</f>
        <v/>
      </c>
      <c r="J2152" s="0" t="str">
        <f aca="false">IF($I2152="","",IF(INDEX(BookQ1,2147)&gt;0,"Q1",IF(INDEX(BookQ2,2147)&gt;0,"Q2",IF(INDEX(BookQ3,2147)&gt;0,"Q3",IF(INDEX(BookQ4,2147)&gt;0,"Q4","")))))</f>
        <v/>
      </c>
      <c r="K2152" s="42" t="str">
        <f aca="false">IF(INDEX(BookTitle,2147)="","",INDEX(BookInYear,2147))</f>
        <v/>
      </c>
      <c r="L2152" s="19"/>
      <c r="M2152" s="39"/>
      <c r="N2152" s="19"/>
      <c r="O2152" s="19"/>
      <c r="P2152" s="43" t="str">
        <f aca="false">IF($E2152="","",IF($L2152="Decline",0,IF($L2152="Approve fewer",IF($M2152="","",$M2152),IF($L2152="","",$I2152))))</f>
        <v/>
      </c>
      <c r="Q2152" s="34" t="str">
        <f aca="false">IF($P2152="","",IF($N2152&lt;&gt;"",$N2152,$J2152))</f>
        <v/>
      </c>
      <c r="R2152" s="35" t="str">
        <f aca="false">IF(OR($P2152="",$Q2152=""),"",INDEX(BookRate,2147)*$P2152*(5-MATCH($Q2152,{"Q1";"Q2";"Q3";"Q4"},0))/4+INDEX(BookOneOff,2147)*$P2152)</f>
        <v/>
      </c>
      <c r="S2152" s="35" t="str">
        <f aca="false">IF($P2152="","",INDEX(BookRate,2147)*$P2152)</f>
        <v/>
      </c>
      <c r="T2152" s="35" t="str">
        <f aca="false">IF($R2152="","",$R2152-$K2152)</f>
        <v/>
      </c>
      <c r="U2152" s="35" t="str">
        <f aca="false">IF(N($P2152)&lt;=0,"",COUNTIF($P$6:$P2152,"&gt;0"))</f>
        <v/>
      </c>
    </row>
    <row r="2153" customFormat="false" ht="15" hidden="false" customHeight="false" outlineLevel="0" collapsed="false">
      <c r="A2153" s="40" t="str">
        <f aca="false">IF(INDEX(BookTitle,2148)="","",INDEX(BookGroup,2148))</f>
        <v/>
      </c>
      <c r="B2153" s="40" t="str">
        <f aca="false">IF(INDEX(BookTitle,2148)="","",INDEX(BookRef,2148))</f>
        <v/>
      </c>
      <c r="C2153" s="40" t="str">
        <f aca="false">IF(INDEX(BookTitle,2148)="","",INDEX(BookDivision,2148))</f>
        <v/>
      </c>
      <c r="D2153" s="40" t="str">
        <f aca="false">IF(INDEX(BookTitle,2148)="","",INDEX(BookUnit,2148))</f>
        <v/>
      </c>
      <c r="E2153" s="40" t="str">
        <f aca="false">IF(INDEX(BookTitle,2148)="","",INDEX(BookTitle,2148))</f>
        <v/>
      </c>
      <c r="F2153" s="40" t="str">
        <f aca="false">IF(INDEX(BookTitle,2148)="","",INDEX(BookLevel,2148))</f>
        <v/>
      </c>
      <c r="G2153" s="40" t="str">
        <f aca="false">IF(INDEX(BookTitle,2148)="","",INDEX(BookCategory,2148))</f>
        <v/>
      </c>
      <c r="H2153" s="40" t="str">
        <f aca="false">IF(INDEX(BookTitle,2148)="","",INDEX(BookRank,2148))</f>
        <v/>
      </c>
      <c r="I2153" s="41" t="str">
        <f aca="false">IF(INDEX(BookTitle,2148)="","",INDEX(BookTotal,2148))</f>
        <v/>
      </c>
      <c r="J2153" s="0" t="str">
        <f aca="false">IF($I2153="","",IF(INDEX(BookQ1,2148)&gt;0,"Q1",IF(INDEX(BookQ2,2148)&gt;0,"Q2",IF(INDEX(BookQ3,2148)&gt;0,"Q3",IF(INDEX(BookQ4,2148)&gt;0,"Q4","")))))</f>
        <v/>
      </c>
      <c r="K2153" s="42" t="str">
        <f aca="false">IF(INDEX(BookTitle,2148)="","",INDEX(BookInYear,2148))</f>
        <v/>
      </c>
      <c r="L2153" s="19"/>
      <c r="M2153" s="39"/>
      <c r="N2153" s="19"/>
      <c r="O2153" s="19"/>
      <c r="P2153" s="43" t="str">
        <f aca="false">IF($E2153="","",IF($L2153="Decline",0,IF($L2153="Approve fewer",IF($M2153="","",$M2153),IF($L2153="","",$I2153))))</f>
        <v/>
      </c>
      <c r="Q2153" s="34" t="str">
        <f aca="false">IF($P2153="","",IF($N2153&lt;&gt;"",$N2153,$J2153))</f>
        <v/>
      </c>
      <c r="R2153" s="35" t="str">
        <f aca="false">IF(OR($P2153="",$Q2153=""),"",INDEX(BookRate,2148)*$P2153*(5-MATCH($Q2153,{"Q1";"Q2";"Q3";"Q4"},0))/4+INDEX(BookOneOff,2148)*$P2153)</f>
        <v/>
      </c>
      <c r="S2153" s="35" t="str">
        <f aca="false">IF($P2153="","",INDEX(BookRate,2148)*$P2153)</f>
        <v/>
      </c>
      <c r="T2153" s="35" t="str">
        <f aca="false">IF($R2153="","",$R2153-$K2153)</f>
        <v/>
      </c>
      <c r="U2153" s="35" t="str">
        <f aca="false">IF(N($P2153)&lt;=0,"",COUNTIF($P$6:$P2153,"&gt;0"))</f>
        <v/>
      </c>
    </row>
    <row r="2154" customFormat="false" ht="15" hidden="false" customHeight="false" outlineLevel="0" collapsed="false">
      <c r="A2154" s="40" t="str">
        <f aca="false">IF(INDEX(BookTitle,2149)="","",INDEX(BookGroup,2149))</f>
        <v/>
      </c>
      <c r="B2154" s="40" t="str">
        <f aca="false">IF(INDEX(BookTitle,2149)="","",INDEX(BookRef,2149))</f>
        <v/>
      </c>
      <c r="C2154" s="40" t="str">
        <f aca="false">IF(INDEX(BookTitle,2149)="","",INDEX(BookDivision,2149))</f>
        <v/>
      </c>
      <c r="D2154" s="40" t="str">
        <f aca="false">IF(INDEX(BookTitle,2149)="","",INDEX(BookUnit,2149))</f>
        <v/>
      </c>
      <c r="E2154" s="40" t="str">
        <f aca="false">IF(INDEX(BookTitle,2149)="","",INDEX(BookTitle,2149))</f>
        <v/>
      </c>
      <c r="F2154" s="40" t="str">
        <f aca="false">IF(INDEX(BookTitle,2149)="","",INDEX(BookLevel,2149))</f>
        <v/>
      </c>
      <c r="G2154" s="40" t="str">
        <f aca="false">IF(INDEX(BookTitle,2149)="","",INDEX(BookCategory,2149))</f>
        <v/>
      </c>
      <c r="H2154" s="40" t="str">
        <f aca="false">IF(INDEX(BookTitle,2149)="","",INDEX(BookRank,2149))</f>
        <v/>
      </c>
      <c r="I2154" s="41" t="str">
        <f aca="false">IF(INDEX(BookTitle,2149)="","",INDEX(BookTotal,2149))</f>
        <v/>
      </c>
      <c r="J2154" s="0" t="str">
        <f aca="false">IF($I2154="","",IF(INDEX(BookQ1,2149)&gt;0,"Q1",IF(INDEX(BookQ2,2149)&gt;0,"Q2",IF(INDEX(BookQ3,2149)&gt;0,"Q3",IF(INDEX(BookQ4,2149)&gt;0,"Q4","")))))</f>
        <v/>
      </c>
      <c r="K2154" s="42" t="str">
        <f aca="false">IF(INDEX(BookTitle,2149)="","",INDEX(BookInYear,2149))</f>
        <v/>
      </c>
      <c r="L2154" s="19"/>
      <c r="M2154" s="39"/>
      <c r="N2154" s="19"/>
      <c r="O2154" s="19"/>
      <c r="P2154" s="43" t="str">
        <f aca="false">IF($E2154="","",IF($L2154="Decline",0,IF($L2154="Approve fewer",IF($M2154="","",$M2154),IF($L2154="","",$I2154))))</f>
        <v/>
      </c>
      <c r="Q2154" s="34" t="str">
        <f aca="false">IF($P2154="","",IF($N2154&lt;&gt;"",$N2154,$J2154))</f>
        <v/>
      </c>
      <c r="R2154" s="35" t="str">
        <f aca="false">IF(OR($P2154="",$Q2154=""),"",INDEX(BookRate,2149)*$P2154*(5-MATCH($Q2154,{"Q1";"Q2";"Q3";"Q4"},0))/4+INDEX(BookOneOff,2149)*$P2154)</f>
        <v/>
      </c>
      <c r="S2154" s="35" t="str">
        <f aca="false">IF($P2154="","",INDEX(BookRate,2149)*$P2154)</f>
        <v/>
      </c>
      <c r="T2154" s="35" t="str">
        <f aca="false">IF($R2154="","",$R2154-$K2154)</f>
        <v/>
      </c>
      <c r="U2154" s="35" t="str">
        <f aca="false">IF(N($P2154)&lt;=0,"",COUNTIF($P$6:$P2154,"&gt;0"))</f>
        <v/>
      </c>
    </row>
    <row r="2155" customFormat="false" ht="15" hidden="false" customHeight="false" outlineLevel="0" collapsed="false">
      <c r="A2155" s="40" t="str">
        <f aca="false">IF(INDEX(BookTitle,2150)="","",INDEX(BookGroup,2150))</f>
        <v/>
      </c>
      <c r="B2155" s="40" t="str">
        <f aca="false">IF(INDEX(BookTitle,2150)="","",INDEX(BookRef,2150))</f>
        <v/>
      </c>
      <c r="C2155" s="40" t="str">
        <f aca="false">IF(INDEX(BookTitle,2150)="","",INDEX(BookDivision,2150))</f>
        <v/>
      </c>
      <c r="D2155" s="40" t="str">
        <f aca="false">IF(INDEX(BookTitle,2150)="","",INDEX(BookUnit,2150))</f>
        <v/>
      </c>
      <c r="E2155" s="40" t="str">
        <f aca="false">IF(INDEX(BookTitle,2150)="","",INDEX(BookTitle,2150))</f>
        <v/>
      </c>
      <c r="F2155" s="40" t="str">
        <f aca="false">IF(INDEX(BookTitle,2150)="","",INDEX(BookLevel,2150))</f>
        <v/>
      </c>
      <c r="G2155" s="40" t="str">
        <f aca="false">IF(INDEX(BookTitle,2150)="","",INDEX(BookCategory,2150))</f>
        <v/>
      </c>
      <c r="H2155" s="40" t="str">
        <f aca="false">IF(INDEX(BookTitle,2150)="","",INDEX(BookRank,2150))</f>
        <v/>
      </c>
      <c r="I2155" s="41" t="str">
        <f aca="false">IF(INDEX(BookTitle,2150)="","",INDEX(BookTotal,2150))</f>
        <v/>
      </c>
      <c r="J2155" s="0" t="str">
        <f aca="false">IF($I2155="","",IF(INDEX(BookQ1,2150)&gt;0,"Q1",IF(INDEX(BookQ2,2150)&gt;0,"Q2",IF(INDEX(BookQ3,2150)&gt;0,"Q3",IF(INDEX(BookQ4,2150)&gt;0,"Q4","")))))</f>
        <v/>
      </c>
      <c r="K2155" s="42" t="str">
        <f aca="false">IF(INDEX(BookTitle,2150)="","",INDEX(BookInYear,2150))</f>
        <v/>
      </c>
      <c r="L2155" s="19"/>
      <c r="M2155" s="39"/>
      <c r="N2155" s="19"/>
      <c r="O2155" s="19"/>
      <c r="P2155" s="43" t="str">
        <f aca="false">IF($E2155="","",IF($L2155="Decline",0,IF($L2155="Approve fewer",IF($M2155="","",$M2155),IF($L2155="","",$I2155))))</f>
        <v/>
      </c>
      <c r="Q2155" s="34" t="str">
        <f aca="false">IF($P2155="","",IF($N2155&lt;&gt;"",$N2155,$J2155))</f>
        <v/>
      </c>
      <c r="R2155" s="35" t="str">
        <f aca="false">IF(OR($P2155="",$Q2155=""),"",INDEX(BookRate,2150)*$P2155*(5-MATCH($Q2155,{"Q1";"Q2";"Q3";"Q4"},0))/4+INDEX(BookOneOff,2150)*$P2155)</f>
        <v/>
      </c>
      <c r="S2155" s="35" t="str">
        <f aca="false">IF($P2155="","",INDEX(BookRate,2150)*$P2155)</f>
        <v/>
      </c>
      <c r="T2155" s="35" t="str">
        <f aca="false">IF($R2155="","",$R2155-$K2155)</f>
        <v/>
      </c>
      <c r="U2155" s="35" t="str">
        <f aca="false">IF(N($P2155)&lt;=0,"",COUNTIF($P$6:$P2155,"&gt;0"))</f>
        <v/>
      </c>
    </row>
    <row r="2156" customFormat="false" ht="15" hidden="false" customHeight="false" outlineLevel="0" collapsed="false">
      <c r="A2156" s="40" t="str">
        <f aca="false">IF(INDEX(BookTitle,2151)="","",INDEX(BookGroup,2151))</f>
        <v/>
      </c>
      <c r="B2156" s="40" t="str">
        <f aca="false">IF(INDEX(BookTitle,2151)="","",INDEX(BookRef,2151))</f>
        <v/>
      </c>
      <c r="C2156" s="40" t="str">
        <f aca="false">IF(INDEX(BookTitle,2151)="","",INDEX(BookDivision,2151))</f>
        <v/>
      </c>
      <c r="D2156" s="40" t="str">
        <f aca="false">IF(INDEX(BookTitle,2151)="","",INDEX(BookUnit,2151))</f>
        <v/>
      </c>
      <c r="E2156" s="40" t="str">
        <f aca="false">IF(INDEX(BookTitle,2151)="","",INDEX(BookTitle,2151))</f>
        <v/>
      </c>
      <c r="F2156" s="40" t="str">
        <f aca="false">IF(INDEX(BookTitle,2151)="","",INDEX(BookLevel,2151))</f>
        <v/>
      </c>
      <c r="G2156" s="40" t="str">
        <f aca="false">IF(INDEX(BookTitle,2151)="","",INDEX(BookCategory,2151))</f>
        <v/>
      </c>
      <c r="H2156" s="40" t="str">
        <f aca="false">IF(INDEX(BookTitle,2151)="","",INDEX(BookRank,2151))</f>
        <v/>
      </c>
      <c r="I2156" s="41" t="str">
        <f aca="false">IF(INDEX(BookTitle,2151)="","",INDEX(BookTotal,2151))</f>
        <v/>
      </c>
      <c r="J2156" s="0" t="str">
        <f aca="false">IF($I2156="","",IF(INDEX(BookQ1,2151)&gt;0,"Q1",IF(INDEX(BookQ2,2151)&gt;0,"Q2",IF(INDEX(BookQ3,2151)&gt;0,"Q3",IF(INDEX(BookQ4,2151)&gt;0,"Q4","")))))</f>
        <v/>
      </c>
      <c r="K2156" s="42" t="str">
        <f aca="false">IF(INDEX(BookTitle,2151)="","",INDEX(BookInYear,2151))</f>
        <v/>
      </c>
      <c r="L2156" s="19"/>
      <c r="M2156" s="39"/>
      <c r="N2156" s="19"/>
      <c r="O2156" s="19"/>
      <c r="P2156" s="43" t="str">
        <f aca="false">IF($E2156="","",IF($L2156="Decline",0,IF($L2156="Approve fewer",IF($M2156="","",$M2156),IF($L2156="","",$I2156))))</f>
        <v/>
      </c>
      <c r="Q2156" s="34" t="str">
        <f aca="false">IF($P2156="","",IF($N2156&lt;&gt;"",$N2156,$J2156))</f>
        <v/>
      </c>
      <c r="R2156" s="35" t="str">
        <f aca="false">IF(OR($P2156="",$Q2156=""),"",INDEX(BookRate,2151)*$P2156*(5-MATCH($Q2156,{"Q1";"Q2";"Q3";"Q4"},0))/4+INDEX(BookOneOff,2151)*$P2156)</f>
        <v/>
      </c>
      <c r="S2156" s="35" t="str">
        <f aca="false">IF($P2156="","",INDEX(BookRate,2151)*$P2156)</f>
        <v/>
      </c>
      <c r="T2156" s="35" t="str">
        <f aca="false">IF($R2156="","",$R2156-$K2156)</f>
        <v/>
      </c>
      <c r="U2156" s="35" t="str">
        <f aca="false">IF(N($P2156)&lt;=0,"",COUNTIF($P$6:$P2156,"&gt;0"))</f>
        <v/>
      </c>
    </row>
    <row r="2157" customFormat="false" ht="15" hidden="false" customHeight="false" outlineLevel="0" collapsed="false">
      <c r="A2157" s="40" t="str">
        <f aca="false">IF(INDEX(BookTitle,2152)="","",INDEX(BookGroup,2152))</f>
        <v/>
      </c>
      <c r="B2157" s="40" t="str">
        <f aca="false">IF(INDEX(BookTitle,2152)="","",INDEX(BookRef,2152))</f>
        <v/>
      </c>
      <c r="C2157" s="40" t="str">
        <f aca="false">IF(INDEX(BookTitle,2152)="","",INDEX(BookDivision,2152))</f>
        <v/>
      </c>
      <c r="D2157" s="40" t="str">
        <f aca="false">IF(INDEX(BookTitle,2152)="","",INDEX(BookUnit,2152))</f>
        <v/>
      </c>
      <c r="E2157" s="40" t="str">
        <f aca="false">IF(INDEX(BookTitle,2152)="","",INDEX(BookTitle,2152))</f>
        <v/>
      </c>
      <c r="F2157" s="40" t="str">
        <f aca="false">IF(INDEX(BookTitle,2152)="","",INDEX(BookLevel,2152))</f>
        <v/>
      </c>
      <c r="G2157" s="40" t="str">
        <f aca="false">IF(INDEX(BookTitle,2152)="","",INDEX(BookCategory,2152))</f>
        <v/>
      </c>
      <c r="H2157" s="40" t="str">
        <f aca="false">IF(INDEX(BookTitle,2152)="","",INDEX(BookRank,2152))</f>
        <v/>
      </c>
      <c r="I2157" s="41" t="str">
        <f aca="false">IF(INDEX(BookTitle,2152)="","",INDEX(BookTotal,2152))</f>
        <v/>
      </c>
      <c r="J2157" s="0" t="str">
        <f aca="false">IF($I2157="","",IF(INDEX(BookQ1,2152)&gt;0,"Q1",IF(INDEX(BookQ2,2152)&gt;0,"Q2",IF(INDEX(BookQ3,2152)&gt;0,"Q3",IF(INDEX(BookQ4,2152)&gt;0,"Q4","")))))</f>
        <v/>
      </c>
      <c r="K2157" s="42" t="str">
        <f aca="false">IF(INDEX(BookTitle,2152)="","",INDEX(BookInYear,2152))</f>
        <v/>
      </c>
      <c r="L2157" s="19"/>
      <c r="M2157" s="39"/>
      <c r="N2157" s="19"/>
      <c r="O2157" s="19"/>
      <c r="P2157" s="43" t="str">
        <f aca="false">IF($E2157="","",IF($L2157="Decline",0,IF($L2157="Approve fewer",IF($M2157="","",$M2157),IF($L2157="","",$I2157))))</f>
        <v/>
      </c>
      <c r="Q2157" s="34" t="str">
        <f aca="false">IF($P2157="","",IF($N2157&lt;&gt;"",$N2157,$J2157))</f>
        <v/>
      </c>
      <c r="R2157" s="35" t="str">
        <f aca="false">IF(OR($P2157="",$Q2157=""),"",INDEX(BookRate,2152)*$P2157*(5-MATCH($Q2157,{"Q1";"Q2";"Q3";"Q4"},0))/4+INDEX(BookOneOff,2152)*$P2157)</f>
        <v/>
      </c>
      <c r="S2157" s="35" t="str">
        <f aca="false">IF($P2157="","",INDEX(BookRate,2152)*$P2157)</f>
        <v/>
      </c>
      <c r="T2157" s="35" t="str">
        <f aca="false">IF($R2157="","",$R2157-$K2157)</f>
        <v/>
      </c>
      <c r="U2157" s="35" t="str">
        <f aca="false">IF(N($P2157)&lt;=0,"",COUNTIF($P$6:$P2157,"&gt;0"))</f>
        <v/>
      </c>
    </row>
    <row r="2158" customFormat="false" ht="15" hidden="false" customHeight="false" outlineLevel="0" collapsed="false">
      <c r="A2158" s="40" t="str">
        <f aca="false">IF(INDEX(BookTitle,2153)="","",INDEX(BookGroup,2153))</f>
        <v/>
      </c>
      <c r="B2158" s="40" t="str">
        <f aca="false">IF(INDEX(BookTitle,2153)="","",INDEX(BookRef,2153))</f>
        <v/>
      </c>
      <c r="C2158" s="40" t="str">
        <f aca="false">IF(INDEX(BookTitle,2153)="","",INDEX(BookDivision,2153))</f>
        <v/>
      </c>
      <c r="D2158" s="40" t="str">
        <f aca="false">IF(INDEX(BookTitle,2153)="","",INDEX(BookUnit,2153))</f>
        <v/>
      </c>
      <c r="E2158" s="40" t="str">
        <f aca="false">IF(INDEX(BookTitle,2153)="","",INDEX(BookTitle,2153))</f>
        <v/>
      </c>
      <c r="F2158" s="40" t="str">
        <f aca="false">IF(INDEX(BookTitle,2153)="","",INDEX(BookLevel,2153))</f>
        <v/>
      </c>
      <c r="G2158" s="40" t="str">
        <f aca="false">IF(INDEX(BookTitle,2153)="","",INDEX(BookCategory,2153))</f>
        <v/>
      </c>
      <c r="H2158" s="40" t="str">
        <f aca="false">IF(INDEX(BookTitle,2153)="","",INDEX(BookRank,2153))</f>
        <v/>
      </c>
      <c r="I2158" s="41" t="str">
        <f aca="false">IF(INDEX(BookTitle,2153)="","",INDEX(BookTotal,2153))</f>
        <v/>
      </c>
      <c r="J2158" s="0" t="str">
        <f aca="false">IF($I2158="","",IF(INDEX(BookQ1,2153)&gt;0,"Q1",IF(INDEX(BookQ2,2153)&gt;0,"Q2",IF(INDEX(BookQ3,2153)&gt;0,"Q3",IF(INDEX(BookQ4,2153)&gt;0,"Q4","")))))</f>
        <v/>
      </c>
      <c r="K2158" s="42" t="str">
        <f aca="false">IF(INDEX(BookTitle,2153)="","",INDEX(BookInYear,2153))</f>
        <v/>
      </c>
      <c r="L2158" s="19"/>
      <c r="M2158" s="39"/>
      <c r="N2158" s="19"/>
      <c r="O2158" s="19"/>
      <c r="P2158" s="43" t="str">
        <f aca="false">IF($E2158="","",IF($L2158="Decline",0,IF($L2158="Approve fewer",IF($M2158="","",$M2158),IF($L2158="","",$I2158))))</f>
        <v/>
      </c>
      <c r="Q2158" s="34" t="str">
        <f aca="false">IF($P2158="","",IF($N2158&lt;&gt;"",$N2158,$J2158))</f>
        <v/>
      </c>
      <c r="R2158" s="35" t="str">
        <f aca="false">IF(OR($P2158="",$Q2158=""),"",INDEX(BookRate,2153)*$P2158*(5-MATCH($Q2158,{"Q1";"Q2";"Q3";"Q4"},0))/4+INDEX(BookOneOff,2153)*$P2158)</f>
        <v/>
      </c>
      <c r="S2158" s="35" t="str">
        <f aca="false">IF($P2158="","",INDEX(BookRate,2153)*$P2158)</f>
        <v/>
      </c>
      <c r="T2158" s="35" t="str">
        <f aca="false">IF($R2158="","",$R2158-$K2158)</f>
        <v/>
      </c>
      <c r="U2158" s="35" t="str">
        <f aca="false">IF(N($P2158)&lt;=0,"",COUNTIF($P$6:$P2158,"&gt;0"))</f>
        <v/>
      </c>
    </row>
    <row r="2159" customFormat="false" ht="15" hidden="false" customHeight="false" outlineLevel="0" collapsed="false">
      <c r="A2159" s="40" t="str">
        <f aca="false">IF(INDEX(BookTitle,2154)="","",INDEX(BookGroup,2154))</f>
        <v/>
      </c>
      <c r="B2159" s="40" t="str">
        <f aca="false">IF(INDEX(BookTitle,2154)="","",INDEX(BookRef,2154))</f>
        <v/>
      </c>
      <c r="C2159" s="40" t="str">
        <f aca="false">IF(INDEX(BookTitle,2154)="","",INDEX(BookDivision,2154))</f>
        <v/>
      </c>
      <c r="D2159" s="40" t="str">
        <f aca="false">IF(INDEX(BookTitle,2154)="","",INDEX(BookUnit,2154))</f>
        <v/>
      </c>
      <c r="E2159" s="40" t="str">
        <f aca="false">IF(INDEX(BookTitle,2154)="","",INDEX(BookTitle,2154))</f>
        <v/>
      </c>
      <c r="F2159" s="40" t="str">
        <f aca="false">IF(INDEX(BookTitle,2154)="","",INDEX(BookLevel,2154))</f>
        <v/>
      </c>
      <c r="G2159" s="40" t="str">
        <f aca="false">IF(INDEX(BookTitle,2154)="","",INDEX(BookCategory,2154))</f>
        <v/>
      </c>
      <c r="H2159" s="40" t="str">
        <f aca="false">IF(INDEX(BookTitle,2154)="","",INDEX(BookRank,2154))</f>
        <v/>
      </c>
      <c r="I2159" s="41" t="str">
        <f aca="false">IF(INDEX(BookTitle,2154)="","",INDEX(BookTotal,2154))</f>
        <v/>
      </c>
      <c r="J2159" s="0" t="str">
        <f aca="false">IF($I2159="","",IF(INDEX(BookQ1,2154)&gt;0,"Q1",IF(INDEX(BookQ2,2154)&gt;0,"Q2",IF(INDEX(BookQ3,2154)&gt;0,"Q3",IF(INDEX(BookQ4,2154)&gt;0,"Q4","")))))</f>
        <v/>
      </c>
      <c r="K2159" s="42" t="str">
        <f aca="false">IF(INDEX(BookTitle,2154)="","",INDEX(BookInYear,2154))</f>
        <v/>
      </c>
      <c r="L2159" s="19"/>
      <c r="M2159" s="39"/>
      <c r="N2159" s="19"/>
      <c r="O2159" s="19"/>
      <c r="P2159" s="43" t="str">
        <f aca="false">IF($E2159="","",IF($L2159="Decline",0,IF($L2159="Approve fewer",IF($M2159="","",$M2159),IF($L2159="","",$I2159))))</f>
        <v/>
      </c>
      <c r="Q2159" s="34" t="str">
        <f aca="false">IF($P2159="","",IF($N2159&lt;&gt;"",$N2159,$J2159))</f>
        <v/>
      </c>
      <c r="R2159" s="35" t="str">
        <f aca="false">IF(OR($P2159="",$Q2159=""),"",INDEX(BookRate,2154)*$P2159*(5-MATCH($Q2159,{"Q1";"Q2";"Q3";"Q4"},0))/4+INDEX(BookOneOff,2154)*$P2159)</f>
        <v/>
      </c>
      <c r="S2159" s="35" t="str">
        <f aca="false">IF($P2159="","",INDEX(BookRate,2154)*$P2159)</f>
        <v/>
      </c>
      <c r="T2159" s="35" t="str">
        <f aca="false">IF($R2159="","",$R2159-$K2159)</f>
        <v/>
      </c>
      <c r="U2159" s="35" t="str">
        <f aca="false">IF(N($P2159)&lt;=0,"",COUNTIF($P$6:$P2159,"&gt;0"))</f>
        <v/>
      </c>
    </row>
    <row r="2160" customFormat="false" ht="15" hidden="false" customHeight="false" outlineLevel="0" collapsed="false">
      <c r="A2160" s="40" t="str">
        <f aca="false">IF(INDEX(BookTitle,2155)="","",INDEX(BookGroup,2155))</f>
        <v/>
      </c>
      <c r="B2160" s="40" t="str">
        <f aca="false">IF(INDEX(BookTitle,2155)="","",INDEX(BookRef,2155))</f>
        <v/>
      </c>
      <c r="C2160" s="40" t="str">
        <f aca="false">IF(INDEX(BookTitle,2155)="","",INDEX(BookDivision,2155))</f>
        <v/>
      </c>
      <c r="D2160" s="40" t="str">
        <f aca="false">IF(INDEX(BookTitle,2155)="","",INDEX(BookUnit,2155))</f>
        <v/>
      </c>
      <c r="E2160" s="40" t="str">
        <f aca="false">IF(INDEX(BookTitle,2155)="","",INDEX(BookTitle,2155))</f>
        <v/>
      </c>
      <c r="F2160" s="40" t="str">
        <f aca="false">IF(INDEX(BookTitle,2155)="","",INDEX(BookLevel,2155))</f>
        <v/>
      </c>
      <c r="G2160" s="40" t="str">
        <f aca="false">IF(INDEX(BookTitle,2155)="","",INDEX(BookCategory,2155))</f>
        <v/>
      </c>
      <c r="H2160" s="40" t="str">
        <f aca="false">IF(INDEX(BookTitle,2155)="","",INDEX(BookRank,2155))</f>
        <v/>
      </c>
      <c r="I2160" s="41" t="str">
        <f aca="false">IF(INDEX(BookTitle,2155)="","",INDEX(BookTotal,2155))</f>
        <v/>
      </c>
      <c r="J2160" s="0" t="str">
        <f aca="false">IF($I2160="","",IF(INDEX(BookQ1,2155)&gt;0,"Q1",IF(INDEX(BookQ2,2155)&gt;0,"Q2",IF(INDEX(BookQ3,2155)&gt;0,"Q3",IF(INDEX(BookQ4,2155)&gt;0,"Q4","")))))</f>
        <v/>
      </c>
      <c r="K2160" s="42" t="str">
        <f aca="false">IF(INDEX(BookTitle,2155)="","",INDEX(BookInYear,2155))</f>
        <v/>
      </c>
      <c r="L2160" s="19"/>
      <c r="M2160" s="39"/>
      <c r="N2160" s="19"/>
      <c r="O2160" s="19"/>
      <c r="P2160" s="43" t="str">
        <f aca="false">IF($E2160="","",IF($L2160="Decline",0,IF($L2160="Approve fewer",IF($M2160="","",$M2160),IF($L2160="","",$I2160))))</f>
        <v/>
      </c>
      <c r="Q2160" s="34" t="str">
        <f aca="false">IF($P2160="","",IF($N2160&lt;&gt;"",$N2160,$J2160))</f>
        <v/>
      </c>
      <c r="R2160" s="35" t="str">
        <f aca="false">IF(OR($P2160="",$Q2160=""),"",INDEX(BookRate,2155)*$P2160*(5-MATCH($Q2160,{"Q1";"Q2";"Q3";"Q4"},0))/4+INDEX(BookOneOff,2155)*$P2160)</f>
        <v/>
      </c>
      <c r="S2160" s="35" t="str">
        <f aca="false">IF($P2160="","",INDEX(BookRate,2155)*$P2160)</f>
        <v/>
      </c>
      <c r="T2160" s="35" t="str">
        <f aca="false">IF($R2160="","",$R2160-$K2160)</f>
        <v/>
      </c>
      <c r="U2160" s="35" t="str">
        <f aca="false">IF(N($P2160)&lt;=0,"",COUNTIF($P$6:$P2160,"&gt;0"))</f>
        <v/>
      </c>
    </row>
    <row r="2161" customFormat="false" ht="15" hidden="false" customHeight="false" outlineLevel="0" collapsed="false">
      <c r="A2161" s="40" t="str">
        <f aca="false">IF(INDEX(BookTitle,2156)="","",INDEX(BookGroup,2156))</f>
        <v/>
      </c>
      <c r="B2161" s="40" t="str">
        <f aca="false">IF(INDEX(BookTitle,2156)="","",INDEX(BookRef,2156))</f>
        <v/>
      </c>
      <c r="C2161" s="40" t="str">
        <f aca="false">IF(INDEX(BookTitle,2156)="","",INDEX(BookDivision,2156))</f>
        <v/>
      </c>
      <c r="D2161" s="40" t="str">
        <f aca="false">IF(INDEX(BookTitle,2156)="","",INDEX(BookUnit,2156))</f>
        <v/>
      </c>
      <c r="E2161" s="40" t="str">
        <f aca="false">IF(INDEX(BookTitle,2156)="","",INDEX(BookTitle,2156))</f>
        <v/>
      </c>
      <c r="F2161" s="40" t="str">
        <f aca="false">IF(INDEX(BookTitle,2156)="","",INDEX(BookLevel,2156))</f>
        <v/>
      </c>
      <c r="G2161" s="40" t="str">
        <f aca="false">IF(INDEX(BookTitle,2156)="","",INDEX(BookCategory,2156))</f>
        <v/>
      </c>
      <c r="H2161" s="40" t="str">
        <f aca="false">IF(INDEX(BookTitle,2156)="","",INDEX(BookRank,2156))</f>
        <v/>
      </c>
      <c r="I2161" s="41" t="str">
        <f aca="false">IF(INDEX(BookTitle,2156)="","",INDEX(BookTotal,2156))</f>
        <v/>
      </c>
      <c r="J2161" s="0" t="str">
        <f aca="false">IF($I2161="","",IF(INDEX(BookQ1,2156)&gt;0,"Q1",IF(INDEX(BookQ2,2156)&gt;0,"Q2",IF(INDEX(BookQ3,2156)&gt;0,"Q3",IF(INDEX(BookQ4,2156)&gt;0,"Q4","")))))</f>
        <v/>
      </c>
      <c r="K2161" s="42" t="str">
        <f aca="false">IF(INDEX(BookTitle,2156)="","",INDEX(BookInYear,2156))</f>
        <v/>
      </c>
      <c r="L2161" s="19"/>
      <c r="M2161" s="39"/>
      <c r="N2161" s="19"/>
      <c r="O2161" s="19"/>
      <c r="P2161" s="43" t="str">
        <f aca="false">IF($E2161="","",IF($L2161="Decline",0,IF($L2161="Approve fewer",IF($M2161="","",$M2161),IF($L2161="","",$I2161))))</f>
        <v/>
      </c>
      <c r="Q2161" s="34" t="str">
        <f aca="false">IF($P2161="","",IF($N2161&lt;&gt;"",$N2161,$J2161))</f>
        <v/>
      </c>
      <c r="R2161" s="35" t="str">
        <f aca="false">IF(OR($P2161="",$Q2161=""),"",INDEX(BookRate,2156)*$P2161*(5-MATCH($Q2161,{"Q1";"Q2";"Q3";"Q4"},0))/4+INDEX(BookOneOff,2156)*$P2161)</f>
        <v/>
      </c>
      <c r="S2161" s="35" t="str">
        <f aca="false">IF($P2161="","",INDEX(BookRate,2156)*$P2161)</f>
        <v/>
      </c>
      <c r="T2161" s="35" t="str">
        <f aca="false">IF($R2161="","",$R2161-$K2161)</f>
        <v/>
      </c>
      <c r="U2161" s="35" t="str">
        <f aca="false">IF(N($P2161)&lt;=0,"",COUNTIF($P$6:$P2161,"&gt;0"))</f>
        <v/>
      </c>
    </row>
    <row r="2162" customFormat="false" ht="15" hidden="false" customHeight="false" outlineLevel="0" collapsed="false">
      <c r="A2162" s="40" t="str">
        <f aca="false">IF(INDEX(BookTitle,2157)="","",INDEX(BookGroup,2157))</f>
        <v/>
      </c>
      <c r="B2162" s="40" t="str">
        <f aca="false">IF(INDEX(BookTitle,2157)="","",INDEX(BookRef,2157))</f>
        <v/>
      </c>
      <c r="C2162" s="40" t="str">
        <f aca="false">IF(INDEX(BookTitle,2157)="","",INDEX(BookDivision,2157))</f>
        <v/>
      </c>
      <c r="D2162" s="40" t="str">
        <f aca="false">IF(INDEX(BookTitle,2157)="","",INDEX(BookUnit,2157))</f>
        <v/>
      </c>
      <c r="E2162" s="40" t="str">
        <f aca="false">IF(INDEX(BookTitle,2157)="","",INDEX(BookTitle,2157))</f>
        <v/>
      </c>
      <c r="F2162" s="40" t="str">
        <f aca="false">IF(INDEX(BookTitle,2157)="","",INDEX(BookLevel,2157))</f>
        <v/>
      </c>
      <c r="G2162" s="40" t="str">
        <f aca="false">IF(INDEX(BookTitle,2157)="","",INDEX(BookCategory,2157))</f>
        <v/>
      </c>
      <c r="H2162" s="40" t="str">
        <f aca="false">IF(INDEX(BookTitle,2157)="","",INDEX(BookRank,2157))</f>
        <v/>
      </c>
      <c r="I2162" s="41" t="str">
        <f aca="false">IF(INDEX(BookTitle,2157)="","",INDEX(BookTotal,2157))</f>
        <v/>
      </c>
      <c r="J2162" s="0" t="str">
        <f aca="false">IF($I2162="","",IF(INDEX(BookQ1,2157)&gt;0,"Q1",IF(INDEX(BookQ2,2157)&gt;0,"Q2",IF(INDEX(BookQ3,2157)&gt;0,"Q3",IF(INDEX(BookQ4,2157)&gt;0,"Q4","")))))</f>
        <v/>
      </c>
      <c r="K2162" s="42" t="str">
        <f aca="false">IF(INDEX(BookTitle,2157)="","",INDEX(BookInYear,2157))</f>
        <v/>
      </c>
      <c r="L2162" s="19"/>
      <c r="M2162" s="39"/>
      <c r="N2162" s="19"/>
      <c r="O2162" s="19"/>
      <c r="P2162" s="43" t="str">
        <f aca="false">IF($E2162="","",IF($L2162="Decline",0,IF($L2162="Approve fewer",IF($M2162="","",$M2162),IF($L2162="","",$I2162))))</f>
        <v/>
      </c>
      <c r="Q2162" s="34" t="str">
        <f aca="false">IF($P2162="","",IF($N2162&lt;&gt;"",$N2162,$J2162))</f>
        <v/>
      </c>
      <c r="R2162" s="35" t="str">
        <f aca="false">IF(OR($P2162="",$Q2162=""),"",INDEX(BookRate,2157)*$P2162*(5-MATCH($Q2162,{"Q1";"Q2";"Q3";"Q4"},0))/4+INDEX(BookOneOff,2157)*$P2162)</f>
        <v/>
      </c>
      <c r="S2162" s="35" t="str">
        <f aca="false">IF($P2162="","",INDEX(BookRate,2157)*$P2162)</f>
        <v/>
      </c>
      <c r="T2162" s="35" t="str">
        <f aca="false">IF($R2162="","",$R2162-$K2162)</f>
        <v/>
      </c>
      <c r="U2162" s="35" t="str">
        <f aca="false">IF(N($P2162)&lt;=0,"",COUNTIF($P$6:$P2162,"&gt;0"))</f>
        <v/>
      </c>
    </row>
    <row r="2163" customFormat="false" ht="15" hidden="false" customHeight="false" outlineLevel="0" collapsed="false">
      <c r="A2163" s="40" t="str">
        <f aca="false">IF(INDEX(BookTitle,2158)="","",INDEX(BookGroup,2158))</f>
        <v/>
      </c>
      <c r="B2163" s="40" t="str">
        <f aca="false">IF(INDEX(BookTitle,2158)="","",INDEX(BookRef,2158))</f>
        <v/>
      </c>
      <c r="C2163" s="40" t="str">
        <f aca="false">IF(INDEX(BookTitle,2158)="","",INDEX(BookDivision,2158))</f>
        <v/>
      </c>
      <c r="D2163" s="40" t="str">
        <f aca="false">IF(INDEX(BookTitle,2158)="","",INDEX(BookUnit,2158))</f>
        <v/>
      </c>
      <c r="E2163" s="40" t="str">
        <f aca="false">IF(INDEX(BookTitle,2158)="","",INDEX(BookTitle,2158))</f>
        <v/>
      </c>
      <c r="F2163" s="40" t="str">
        <f aca="false">IF(INDEX(BookTitle,2158)="","",INDEX(BookLevel,2158))</f>
        <v/>
      </c>
      <c r="G2163" s="40" t="str">
        <f aca="false">IF(INDEX(BookTitle,2158)="","",INDEX(BookCategory,2158))</f>
        <v/>
      </c>
      <c r="H2163" s="40" t="str">
        <f aca="false">IF(INDEX(BookTitle,2158)="","",INDEX(BookRank,2158))</f>
        <v/>
      </c>
      <c r="I2163" s="41" t="str">
        <f aca="false">IF(INDEX(BookTitle,2158)="","",INDEX(BookTotal,2158))</f>
        <v/>
      </c>
      <c r="J2163" s="0" t="str">
        <f aca="false">IF($I2163="","",IF(INDEX(BookQ1,2158)&gt;0,"Q1",IF(INDEX(BookQ2,2158)&gt;0,"Q2",IF(INDEX(BookQ3,2158)&gt;0,"Q3",IF(INDEX(BookQ4,2158)&gt;0,"Q4","")))))</f>
        <v/>
      </c>
      <c r="K2163" s="42" t="str">
        <f aca="false">IF(INDEX(BookTitle,2158)="","",INDEX(BookInYear,2158))</f>
        <v/>
      </c>
      <c r="L2163" s="19"/>
      <c r="M2163" s="39"/>
      <c r="N2163" s="19"/>
      <c r="O2163" s="19"/>
      <c r="P2163" s="43" t="str">
        <f aca="false">IF($E2163="","",IF($L2163="Decline",0,IF($L2163="Approve fewer",IF($M2163="","",$M2163),IF($L2163="","",$I2163))))</f>
        <v/>
      </c>
      <c r="Q2163" s="34" t="str">
        <f aca="false">IF($P2163="","",IF($N2163&lt;&gt;"",$N2163,$J2163))</f>
        <v/>
      </c>
      <c r="R2163" s="35" t="str">
        <f aca="false">IF(OR($P2163="",$Q2163=""),"",INDEX(BookRate,2158)*$P2163*(5-MATCH($Q2163,{"Q1";"Q2";"Q3";"Q4"},0))/4+INDEX(BookOneOff,2158)*$P2163)</f>
        <v/>
      </c>
      <c r="S2163" s="35" t="str">
        <f aca="false">IF($P2163="","",INDEX(BookRate,2158)*$P2163)</f>
        <v/>
      </c>
      <c r="T2163" s="35" t="str">
        <f aca="false">IF($R2163="","",$R2163-$K2163)</f>
        <v/>
      </c>
      <c r="U2163" s="35" t="str">
        <f aca="false">IF(N($P2163)&lt;=0,"",COUNTIF($P$6:$P2163,"&gt;0"))</f>
        <v/>
      </c>
    </row>
    <row r="2164" customFormat="false" ht="15" hidden="false" customHeight="false" outlineLevel="0" collapsed="false">
      <c r="A2164" s="40" t="str">
        <f aca="false">IF(INDEX(BookTitle,2159)="","",INDEX(BookGroup,2159))</f>
        <v/>
      </c>
      <c r="B2164" s="40" t="str">
        <f aca="false">IF(INDEX(BookTitle,2159)="","",INDEX(BookRef,2159))</f>
        <v/>
      </c>
      <c r="C2164" s="40" t="str">
        <f aca="false">IF(INDEX(BookTitle,2159)="","",INDEX(BookDivision,2159))</f>
        <v/>
      </c>
      <c r="D2164" s="40" t="str">
        <f aca="false">IF(INDEX(BookTitle,2159)="","",INDEX(BookUnit,2159))</f>
        <v/>
      </c>
      <c r="E2164" s="40" t="str">
        <f aca="false">IF(INDEX(BookTitle,2159)="","",INDEX(BookTitle,2159))</f>
        <v/>
      </c>
      <c r="F2164" s="40" t="str">
        <f aca="false">IF(INDEX(BookTitle,2159)="","",INDEX(BookLevel,2159))</f>
        <v/>
      </c>
      <c r="G2164" s="40" t="str">
        <f aca="false">IF(INDEX(BookTitle,2159)="","",INDEX(BookCategory,2159))</f>
        <v/>
      </c>
      <c r="H2164" s="40" t="str">
        <f aca="false">IF(INDEX(BookTitle,2159)="","",INDEX(BookRank,2159))</f>
        <v/>
      </c>
      <c r="I2164" s="41" t="str">
        <f aca="false">IF(INDEX(BookTitle,2159)="","",INDEX(BookTotal,2159))</f>
        <v/>
      </c>
      <c r="J2164" s="0" t="str">
        <f aca="false">IF($I2164="","",IF(INDEX(BookQ1,2159)&gt;0,"Q1",IF(INDEX(BookQ2,2159)&gt;0,"Q2",IF(INDEX(BookQ3,2159)&gt;0,"Q3",IF(INDEX(BookQ4,2159)&gt;0,"Q4","")))))</f>
        <v/>
      </c>
      <c r="K2164" s="42" t="str">
        <f aca="false">IF(INDEX(BookTitle,2159)="","",INDEX(BookInYear,2159))</f>
        <v/>
      </c>
      <c r="L2164" s="19"/>
      <c r="M2164" s="39"/>
      <c r="N2164" s="19"/>
      <c r="O2164" s="19"/>
      <c r="P2164" s="43" t="str">
        <f aca="false">IF($E2164="","",IF($L2164="Decline",0,IF($L2164="Approve fewer",IF($M2164="","",$M2164),IF($L2164="","",$I2164))))</f>
        <v/>
      </c>
      <c r="Q2164" s="34" t="str">
        <f aca="false">IF($P2164="","",IF($N2164&lt;&gt;"",$N2164,$J2164))</f>
        <v/>
      </c>
      <c r="R2164" s="35" t="str">
        <f aca="false">IF(OR($P2164="",$Q2164=""),"",INDEX(BookRate,2159)*$P2164*(5-MATCH($Q2164,{"Q1";"Q2";"Q3";"Q4"},0))/4+INDEX(BookOneOff,2159)*$P2164)</f>
        <v/>
      </c>
      <c r="S2164" s="35" t="str">
        <f aca="false">IF($P2164="","",INDEX(BookRate,2159)*$P2164)</f>
        <v/>
      </c>
      <c r="T2164" s="35" t="str">
        <f aca="false">IF($R2164="","",$R2164-$K2164)</f>
        <v/>
      </c>
      <c r="U2164" s="35" t="str">
        <f aca="false">IF(N($P2164)&lt;=0,"",COUNTIF($P$6:$P2164,"&gt;0"))</f>
        <v/>
      </c>
    </row>
    <row r="2165" customFormat="false" ht="15" hidden="false" customHeight="false" outlineLevel="0" collapsed="false">
      <c r="A2165" s="40" t="str">
        <f aca="false">IF(INDEX(BookTitle,2160)="","",INDEX(BookGroup,2160))</f>
        <v/>
      </c>
      <c r="B2165" s="40" t="str">
        <f aca="false">IF(INDEX(BookTitle,2160)="","",INDEX(BookRef,2160))</f>
        <v/>
      </c>
      <c r="C2165" s="40" t="str">
        <f aca="false">IF(INDEX(BookTitle,2160)="","",INDEX(BookDivision,2160))</f>
        <v/>
      </c>
      <c r="D2165" s="40" t="str">
        <f aca="false">IF(INDEX(BookTitle,2160)="","",INDEX(BookUnit,2160))</f>
        <v/>
      </c>
      <c r="E2165" s="40" t="str">
        <f aca="false">IF(INDEX(BookTitle,2160)="","",INDEX(BookTitle,2160))</f>
        <v/>
      </c>
      <c r="F2165" s="40" t="str">
        <f aca="false">IF(INDEX(BookTitle,2160)="","",INDEX(BookLevel,2160))</f>
        <v/>
      </c>
      <c r="G2165" s="40" t="str">
        <f aca="false">IF(INDEX(BookTitle,2160)="","",INDEX(BookCategory,2160))</f>
        <v/>
      </c>
      <c r="H2165" s="40" t="str">
        <f aca="false">IF(INDEX(BookTitle,2160)="","",INDEX(BookRank,2160))</f>
        <v/>
      </c>
      <c r="I2165" s="41" t="str">
        <f aca="false">IF(INDEX(BookTitle,2160)="","",INDEX(BookTotal,2160))</f>
        <v/>
      </c>
      <c r="J2165" s="0" t="str">
        <f aca="false">IF($I2165="","",IF(INDEX(BookQ1,2160)&gt;0,"Q1",IF(INDEX(BookQ2,2160)&gt;0,"Q2",IF(INDEX(BookQ3,2160)&gt;0,"Q3",IF(INDEX(BookQ4,2160)&gt;0,"Q4","")))))</f>
        <v/>
      </c>
      <c r="K2165" s="42" t="str">
        <f aca="false">IF(INDEX(BookTitle,2160)="","",INDEX(BookInYear,2160))</f>
        <v/>
      </c>
      <c r="L2165" s="19"/>
      <c r="M2165" s="39"/>
      <c r="N2165" s="19"/>
      <c r="O2165" s="19"/>
      <c r="P2165" s="43" t="str">
        <f aca="false">IF($E2165="","",IF($L2165="Decline",0,IF($L2165="Approve fewer",IF($M2165="","",$M2165),IF($L2165="","",$I2165))))</f>
        <v/>
      </c>
      <c r="Q2165" s="34" t="str">
        <f aca="false">IF($P2165="","",IF($N2165&lt;&gt;"",$N2165,$J2165))</f>
        <v/>
      </c>
      <c r="R2165" s="35" t="str">
        <f aca="false">IF(OR($P2165="",$Q2165=""),"",INDEX(BookRate,2160)*$P2165*(5-MATCH($Q2165,{"Q1";"Q2";"Q3";"Q4"},0))/4+INDEX(BookOneOff,2160)*$P2165)</f>
        <v/>
      </c>
      <c r="S2165" s="35" t="str">
        <f aca="false">IF($P2165="","",INDEX(BookRate,2160)*$P2165)</f>
        <v/>
      </c>
      <c r="T2165" s="35" t="str">
        <f aca="false">IF($R2165="","",$R2165-$K2165)</f>
        <v/>
      </c>
      <c r="U2165" s="35" t="str">
        <f aca="false">IF(N($P2165)&lt;=0,"",COUNTIF($P$6:$P2165,"&gt;0"))</f>
        <v/>
      </c>
    </row>
    <row r="2166" customFormat="false" ht="15" hidden="false" customHeight="false" outlineLevel="0" collapsed="false">
      <c r="A2166" s="40" t="str">
        <f aca="false">IF(INDEX(BookTitle,2161)="","",INDEX(BookGroup,2161))</f>
        <v/>
      </c>
      <c r="B2166" s="40" t="str">
        <f aca="false">IF(INDEX(BookTitle,2161)="","",INDEX(BookRef,2161))</f>
        <v/>
      </c>
      <c r="C2166" s="40" t="str">
        <f aca="false">IF(INDEX(BookTitle,2161)="","",INDEX(BookDivision,2161))</f>
        <v/>
      </c>
      <c r="D2166" s="40" t="str">
        <f aca="false">IF(INDEX(BookTitle,2161)="","",INDEX(BookUnit,2161))</f>
        <v/>
      </c>
      <c r="E2166" s="40" t="str">
        <f aca="false">IF(INDEX(BookTitle,2161)="","",INDEX(BookTitle,2161))</f>
        <v/>
      </c>
      <c r="F2166" s="40" t="str">
        <f aca="false">IF(INDEX(BookTitle,2161)="","",INDEX(BookLevel,2161))</f>
        <v/>
      </c>
      <c r="G2166" s="40" t="str">
        <f aca="false">IF(INDEX(BookTitle,2161)="","",INDEX(BookCategory,2161))</f>
        <v/>
      </c>
      <c r="H2166" s="40" t="str">
        <f aca="false">IF(INDEX(BookTitle,2161)="","",INDEX(BookRank,2161))</f>
        <v/>
      </c>
      <c r="I2166" s="41" t="str">
        <f aca="false">IF(INDEX(BookTitle,2161)="","",INDEX(BookTotal,2161))</f>
        <v/>
      </c>
      <c r="J2166" s="0" t="str">
        <f aca="false">IF($I2166="","",IF(INDEX(BookQ1,2161)&gt;0,"Q1",IF(INDEX(BookQ2,2161)&gt;0,"Q2",IF(INDEX(BookQ3,2161)&gt;0,"Q3",IF(INDEX(BookQ4,2161)&gt;0,"Q4","")))))</f>
        <v/>
      </c>
      <c r="K2166" s="42" t="str">
        <f aca="false">IF(INDEX(BookTitle,2161)="","",INDEX(BookInYear,2161))</f>
        <v/>
      </c>
      <c r="L2166" s="19"/>
      <c r="M2166" s="39"/>
      <c r="N2166" s="19"/>
      <c r="O2166" s="19"/>
      <c r="P2166" s="43" t="str">
        <f aca="false">IF($E2166="","",IF($L2166="Decline",0,IF($L2166="Approve fewer",IF($M2166="","",$M2166),IF($L2166="","",$I2166))))</f>
        <v/>
      </c>
      <c r="Q2166" s="34" t="str">
        <f aca="false">IF($P2166="","",IF($N2166&lt;&gt;"",$N2166,$J2166))</f>
        <v/>
      </c>
      <c r="R2166" s="35" t="str">
        <f aca="false">IF(OR($P2166="",$Q2166=""),"",INDEX(BookRate,2161)*$P2166*(5-MATCH($Q2166,{"Q1";"Q2";"Q3";"Q4"},0))/4+INDEX(BookOneOff,2161)*$P2166)</f>
        <v/>
      </c>
      <c r="S2166" s="35" t="str">
        <f aca="false">IF($P2166="","",INDEX(BookRate,2161)*$P2166)</f>
        <v/>
      </c>
      <c r="T2166" s="35" t="str">
        <f aca="false">IF($R2166="","",$R2166-$K2166)</f>
        <v/>
      </c>
      <c r="U2166" s="35" t="str">
        <f aca="false">IF(N($P2166)&lt;=0,"",COUNTIF($P$6:$P2166,"&gt;0"))</f>
        <v/>
      </c>
    </row>
    <row r="2167" customFormat="false" ht="15" hidden="false" customHeight="false" outlineLevel="0" collapsed="false">
      <c r="A2167" s="40" t="str">
        <f aca="false">IF(INDEX(BookTitle,2162)="","",INDEX(BookGroup,2162))</f>
        <v/>
      </c>
      <c r="B2167" s="40" t="str">
        <f aca="false">IF(INDEX(BookTitle,2162)="","",INDEX(BookRef,2162))</f>
        <v/>
      </c>
      <c r="C2167" s="40" t="str">
        <f aca="false">IF(INDEX(BookTitle,2162)="","",INDEX(BookDivision,2162))</f>
        <v/>
      </c>
      <c r="D2167" s="40" t="str">
        <f aca="false">IF(INDEX(BookTitle,2162)="","",INDEX(BookUnit,2162))</f>
        <v/>
      </c>
      <c r="E2167" s="40" t="str">
        <f aca="false">IF(INDEX(BookTitle,2162)="","",INDEX(BookTitle,2162))</f>
        <v/>
      </c>
      <c r="F2167" s="40" t="str">
        <f aca="false">IF(INDEX(BookTitle,2162)="","",INDEX(BookLevel,2162))</f>
        <v/>
      </c>
      <c r="G2167" s="40" t="str">
        <f aca="false">IF(INDEX(BookTitle,2162)="","",INDEX(BookCategory,2162))</f>
        <v/>
      </c>
      <c r="H2167" s="40" t="str">
        <f aca="false">IF(INDEX(BookTitle,2162)="","",INDEX(BookRank,2162))</f>
        <v/>
      </c>
      <c r="I2167" s="41" t="str">
        <f aca="false">IF(INDEX(BookTitle,2162)="","",INDEX(BookTotal,2162))</f>
        <v/>
      </c>
      <c r="J2167" s="0" t="str">
        <f aca="false">IF($I2167="","",IF(INDEX(BookQ1,2162)&gt;0,"Q1",IF(INDEX(BookQ2,2162)&gt;0,"Q2",IF(INDEX(BookQ3,2162)&gt;0,"Q3",IF(INDEX(BookQ4,2162)&gt;0,"Q4","")))))</f>
        <v/>
      </c>
      <c r="K2167" s="42" t="str">
        <f aca="false">IF(INDEX(BookTitle,2162)="","",INDEX(BookInYear,2162))</f>
        <v/>
      </c>
      <c r="L2167" s="19"/>
      <c r="M2167" s="39"/>
      <c r="N2167" s="19"/>
      <c r="O2167" s="19"/>
      <c r="P2167" s="43" t="str">
        <f aca="false">IF($E2167="","",IF($L2167="Decline",0,IF($L2167="Approve fewer",IF($M2167="","",$M2167),IF($L2167="","",$I2167))))</f>
        <v/>
      </c>
      <c r="Q2167" s="34" t="str">
        <f aca="false">IF($P2167="","",IF($N2167&lt;&gt;"",$N2167,$J2167))</f>
        <v/>
      </c>
      <c r="R2167" s="35" t="str">
        <f aca="false">IF(OR($P2167="",$Q2167=""),"",INDEX(BookRate,2162)*$P2167*(5-MATCH($Q2167,{"Q1";"Q2";"Q3";"Q4"},0))/4+INDEX(BookOneOff,2162)*$P2167)</f>
        <v/>
      </c>
      <c r="S2167" s="35" t="str">
        <f aca="false">IF($P2167="","",INDEX(BookRate,2162)*$P2167)</f>
        <v/>
      </c>
      <c r="T2167" s="35" t="str">
        <f aca="false">IF($R2167="","",$R2167-$K2167)</f>
        <v/>
      </c>
      <c r="U2167" s="35" t="str">
        <f aca="false">IF(N($P2167)&lt;=0,"",COUNTIF($P$6:$P2167,"&gt;0"))</f>
        <v/>
      </c>
    </row>
    <row r="2168" customFormat="false" ht="15" hidden="false" customHeight="false" outlineLevel="0" collapsed="false">
      <c r="A2168" s="40" t="str">
        <f aca="false">IF(INDEX(BookTitle,2163)="","",INDEX(BookGroup,2163))</f>
        <v/>
      </c>
      <c r="B2168" s="40" t="str">
        <f aca="false">IF(INDEX(BookTitle,2163)="","",INDEX(BookRef,2163))</f>
        <v/>
      </c>
      <c r="C2168" s="40" t="str">
        <f aca="false">IF(INDEX(BookTitle,2163)="","",INDEX(BookDivision,2163))</f>
        <v/>
      </c>
      <c r="D2168" s="40" t="str">
        <f aca="false">IF(INDEX(BookTitle,2163)="","",INDEX(BookUnit,2163))</f>
        <v/>
      </c>
      <c r="E2168" s="40" t="str">
        <f aca="false">IF(INDEX(BookTitle,2163)="","",INDEX(BookTitle,2163))</f>
        <v/>
      </c>
      <c r="F2168" s="40" t="str">
        <f aca="false">IF(INDEX(BookTitle,2163)="","",INDEX(BookLevel,2163))</f>
        <v/>
      </c>
      <c r="G2168" s="40" t="str">
        <f aca="false">IF(INDEX(BookTitle,2163)="","",INDEX(BookCategory,2163))</f>
        <v/>
      </c>
      <c r="H2168" s="40" t="str">
        <f aca="false">IF(INDEX(BookTitle,2163)="","",INDEX(BookRank,2163))</f>
        <v/>
      </c>
      <c r="I2168" s="41" t="str">
        <f aca="false">IF(INDEX(BookTitle,2163)="","",INDEX(BookTotal,2163))</f>
        <v/>
      </c>
      <c r="J2168" s="0" t="str">
        <f aca="false">IF($I2168="","",IF(INDEX(BookQ1,2163)&gt;0,"Q1",IF(INDEX(BookQ2,2163)&gt;0,"Q2",IF(INDEX(BookQ3,2163)&gt;0,"Q3",IF(INDEX(BookQ4,2163)&gt;0,"Q4","")))))</f>
        <v/>
      </c>
      <c r="K2168" s="42" t="str">
        <f aca="false">IF(INDEX(BookTitle,2163)="","",INDEX(BookInYear,2163))</f>
        <v/>
      </c>
      <c r="L2168" s="19"/>
      <c r="M2168" s="39"/>
      <c r="N2168" s="19"/>
      <c r="O2168" s="19"/>
      <c r="P2168" s="43" t="str">
        <f aca="false">IF($E2168="","",IF($L2168="Decline",0,IF($L2168="Approve fewer",IF($M2168="","",$M2168),IF($L2168="","",$I2168))))</f>
        <v/>
      </c>
      <c r="Q2168" s="34" t="str">
        <f aca="false">IF($P2168="","",IF($N2168&lt;&gt;"",$N2168,$J2168))</f>
        <v/>
      </c>
      <c r="R2168" s="35" t="str">
        <f aca="false">IF(OR($P2168="",$Q2168=""),"",INDEX(BookRate,2163)*$P2168*(5-MATCH($Q2168,{"Q1";"Q2";"Q3";"Q4"},0))/4+INDEX(BookOneOff,2163)*$P2168)</f>
        <v/>
      </c>
      <c r="S2168" s="35" t="str">
        <f aca="false">IF($P2168="","",INDEX(BookRate,2163)*$P2168)</f>
        <v/>
      </c>
      <c r="T2168" s="35" t="str">
        <f aca="false">IF($R2168="","",$R2168-$K2168)</f>
        <v/>
      </c>
      <c r="U2168" s="35" t="str">
        <f aca="false">IF(N($P2168)&lt;=0,"",COUNTIF($P$6:$P2168,"&gt;0"))</f>
        <v/>
      </c>
    </row>
    <row r="2169" customFormat="false" ht="15" hidden="false" customHeight="false" outlineLevel="0" collapsed="false">
      <c r="A2169" s="40" t="str">
        <f aca="false">IF(INDEX(BookTitle,2164)="","",INDEX(BookGroup,2164))</f>
        <v/>
      </c>
      <c r="B2169" s="40" t="str">
        <f aca="false">IF(INDEX(BookTitle,2164)="","",INDEX(BookRef,2164))</f>
        <v/>
      </c>
      <c r="C2169" s="40" t="str">
        <f aca="false">IF(INDEX(BookTitle,2164)="","",INDEX(BookDivision,2164))</f>
        <v/>
      </c>
      <c r="D2169" s="40" t="str">
        <f aca="false">IF(INDEX(BookTitle,2164)="","",INDEX(BookUnit,2164))</f>
        <v/>
      </c>
      <c r="E2169" s="40" t="str">
        <f aca="false">IF(INDEX(BookTitle,2164)="","",INDEX(BookTitle,2164))</f>
        <v/>
      </c>
      <c r="F2169" s="40" t="str">
        <f aca="false">IF(INDEX(BookTitle,2164)="","",INDEX(BookLevel,2164))</f>
        <v/>
      </c>
      <c r="G2169" s="40" t="str">
        <f aca="false">IF(INDEX(BookTitle,2164)="","",INDEX(BookCategory,2164))</f>
        <v/>
      </c>
      <c r="H2169" s="40" t="str">
        <f aca="false">IF(INDEX(BookTitle,2164)="","",INDEX(BookRank,2164))</f>
        <v/>
      </c>
      <c r="I2169" s="41" t="str">
        <f aca="false">IF(INDEX(BookTitle,2164)="","",INDEX(BookTotal,2164))</f>
        <v/>
      </c>
      <c r="J2169" s="0" t="str">
        <f aca="false">IF($I2169="","",IF(INDEX(BookQ1,2164)&gt;0,"Q1",IF(INDEX(BookQ2,2164)&gt;0,"Q2",IF(INDEX(BookQ3,2164)&gt;0,"Q3",IF(INDEX(BookQ4,2164)&gt;0,"Q4","")))))</f>
        <v/>
      </c>
      <c r="K2169" s="42" t="str">
        <f aca="false">IF(INDEX(BookTitle,2164)="","",INDEX(BookInYear,2164))</f>
        <v/>
      </c>
      <c r="L2169" s="19"/>
      <c r="M2169" s="39"/>
      <c r="N2169" s="19"/>
      <c r="O2169" s="19"/>
      <c r="P2169" s="43" t="str">
        <f aca="false">IF($E2169="","",IF($L2169="Decline",0,IF($L2169="Approve fewer",IF($M2169="","",$M2169),IF($L2169="","",$I2169))))</f>
        <v/>
      </c>
      <c r="Q2169" s="34" t="str">
        <f aca="false">IF($P2169="","",IF($N2169&lt;&gt;"",$N2169,$J2169))</f>
        <v/>
      </c>
      <c r="R2169" s="35" t="str">
        <f aca="false">IF(OR($P2169="",$Q2169=""),"",INDEX(BookRate,2164)*$P2169*(5-MATCH($Q2169,{"Q1";"Q2";"Q3";"Q4"},0))/4+INDEX(BookOneOff,2164)*$P2169)</f>
        <v/>
      </c>
      <c r="S2169" s="35" t="str">
        <f aca="false">IF($P2169="","",INDEX(BookRate,2164)*$P2169)</f>
        <v/>
      </c>
      <c r="T2169" s="35" t="str">
        <f aca="false">IF($R2169="","",$R2169-$K2169)</f>
        <v/>
      </c>
      <c r="U2169" s="35" t="str">
        <f aca="false">IF(N($P2169)&lt;=0,"",COUNTIF($P$6:$P2169,"&gt;0"))</f>
        <v/>
      </c>
    </row>
    <row r="2170" customFormat="false" ht="15" hidden="false" customHeight="false" outlineLevel="0" collapsed="false">
      <c r="A2170" s="40" t="str">
        <f aca="false">IF(INDEX(BookTitle,2165)="","",INDEX(BookGroup,2165))</f>
        <v/>
      </c>
      <c r="B2170" s="40" t="str">
        <f aca="false">IF(INDEX(BookTitle,2165)="","",INDEX(BookRef,2165))</f>
        <v/>
      </c>
      <c r="C2170" s="40" t="str">
        <f aca="false">IF(INDEX(BookTitle,2165)="","",INDEX(BookDivision,2165))</f>
        <v/>
      </c>
      <c r="D2170" s="40" t="str">
        <f aca="false">IF(INDEX(BookTitle,2165)="","",INDEX(BookUnit,2165))</f>
        <v/>
      </c>
      <c r="E2170" s="40" t="str">
        <f aca="false">IF(INDEX(BookTitle,2165)="","",INDEX(BookTitle,2165))</f>
        <v/>
      </c>
      <c r="F2170" s="40" t="str">
        <f aca="false">IF(INDEX(BookTitle,2165)="","",INDEX(BookLevel,2165))</f>
        <v/>
      </c>
      <c r="G2170" s="40" t="str">
        <f aca="false">IF(INDEX(BookTitle,2165)="","",INDEX(BookCategory,2165))</f>
        <v/>
      </c>
      <c r="H2170" s="40" t="str">
        <f aca="false">IF(INDEX(BookTitle,2165)="","",INDEX(BookRank,2165))</f>
        <v/>
      </c>
      <c r="I2170" s="41" t="str">
        <f aca="false">IF(INDEX(BookTitle,2165)="","",INDEX(BookTotal,2165))</f>
        <v/>
      </c>
      <c r="J2170" s="0" t="str">
        <f aca="false">IF($I2170="","",IF(INDEX(BookQ1,2165)&gt;0,"Q1",IF(INDEX(BookQ2,2165)&gt;0,"Q2",IF(INDEX(BookQ3,2165)&gt;0,"Q3",IF(INDEX(BookQ4,2165)&gt;0,"Q4","")))))</f>
        <v/>
      </c>
      <c r="K2170" s="42" t="str">
        <f aca="false">IF(INDEX(BookTitle,2165)="","",INDEX(BookInYear,2165))</f>
        <v/>
      </c>
      <c r="L2170" s="19"/>
      <c r="M2170" s="39"/>
      <c r="N2170" s="19"/>
      <c r="O2170" s="19"/>
      <c r="P2170" s="43" t="str">
        <f aca="false">IF($E2170="","",IF($L2170="Decline",0,IF($L2170="Approve fewer",IF($M2170="","",$M2170),IF($L2170="","",$I2170))))</f>
        <v/>
      </c>
      <c r="Q2170" s="34" t="str">
        <f aca="false">IF($P2170="","",IF($N2170&lt;&gt;"",$N2170,$J2170))</f>
        <v/>
      </c>
      <c r="R2170" s="35" t="str">
        <f aca="false">IF(OR($P2170="",$Q2170=""),"",INDEX(BookRate,2165)*$P2170*(5-MATCH($Q2170,{"Q1";"Q2";"Q3";"Q4"},0))/4+INDEX(BookOneOff,2165)*$P2170)</f>
        <v/>
      </c>
      <c r="S2170" s="35" t="str">
        <f aca="false">IF($P2170="","",INDEX(BookRate,2165)*$P2170)</f>
        <v/>
      </c>
      <c r="T2170" s="35" t="str">
        <f aca="false">IF($R2170="","",$R2170-$K2170)</f>
        <v/>
      </c>
      <c r="U2170" s="35" t="str">
        <f aca="false">IF(N($P2170)&lt;=0,"",COUNTIF($P$6:$P2170,"&gt;0"))</f>
        <v/>
      </c>
    </row>
    <row r="2171" customFormat="false" ht="15" hidden="false" customHeight="false" outlineLevel="0" collapsed="false">
      <c r="A2171" s="40" t="str">
        <f aca="false">IF(INDEX(BookTitle,2166)="","",INDEX(BookGroup,2166))</f>
        <v/>
      </c>
      <c r="B2171" s="40" t="str">
        <f aca="false">IF(INDEX(BookTitle,2166)="","",INDEX(BookRef,2166))</f>
        <v/>
      </c>
      <c r="C2171" s="40" t="str">
        <f aca="false">IF(INDEX(BookTitle,2166)="","",INDEX(BookDivision,2166))</f>
        <v/>
      </c>
      <c r="D2171" s="40" t="str">
        <f aca="false">IF(INDEX(BookTitle,2166)="","",INDEX(BookUnit,2166))</f>
        <v/>
      </c>
      <c r="E2171" s="40" t="str">
        <f aca="false">IF(INDEX(BookTitle,2166)="","",INDEX(BookTitle,2166))</f>
        <v/>
      </c>
      <c r="F2171" s="40" t="str">
        <f aca="false">IF(INDEX(BookTitle,2166)="","",INDEX(BookLevel,2166))</f>
        <v/>
      </c>
      <c r="G2171" s="40" t="str">
        <f aca="false">IF(INDEX(BookTitle,2166)="","",INDEX(BookCategory,2166))</f>
        <v/>
      </c>
      <c r="H2171" s="40" t="str">
        <f aca="false">IF(INDEX(BookTitle,2166)="","",INDEX(BookRank,2166))</f>
        <v/>
      </c>
      <c r="I2171" s="41" t="str">
        <f aca="false">IF(INDEX(BookTitle,2166)="","",INDEX(BookTotal,2166))</f>
        <v/>
      </c>
      <c r="J2171" s="0" t="str">
        <f aca="false">IF($I2171="","",IF(INDEX(BookQ1,2166)&gt;0,"Q1",IF(INDEX(BookQ2,2166)&gt;0,"Q2",IF(INDEX(BookQ3,2166)&gt;0,"Q3",IF(INDEX(BookQ4,2166)&gt;0,"Q4","")))))</f>
        <v/>
      </c>
      <c r="K2171" s="42" t="str">
        <f aca="false">IF(INDEX(BookTitle,2166)="","",INDEX(BookInYear,2166))</f>
        <v/>
      </c>
      <c r="L2171" s="19"/>
      <c r="M2171" s="39"/>
      <c r="N2171" s="19"/>
      <c r="O2171" s="19"/>
      <c r="P2171" s="43" t="str">
        <f aca="false">IF($E2171="","",IF($L2171="Decline",0,IF($L2171="Approve fewer",IF($M2171="","",$M2171),IF($L2171="","",$I2171))))</f>
        <v/>
      </c>
      <c r="Q2171" s="34" t="str">
        <f aca="false">IF($P2171="","",IF($N2171&lt;&gt;"",$N2171,$J2171))</f>
        <v/>
      </c>
      <c r="R2171" s="35" t="str">
        <f aca="false">IF(OR($P2171="",$Q2171=""),"",INDEX(BookRate,2166)*$P2171*(5-MATCH($Q2171,{"Q1";"Q2";"Q3";"Q4"},0))/4+INDEX(BookOneOff,2166)*$P2171)</f>
        <v/>
      </c>
      <c r="S2171" s="35" t="str">
        <f aca="false">IF($P2171="","",INDEX(BookRate,2166)*$P2171)</f>
        <v/>
      </c>
      <c r="T2171" s="35" t="str">
        <f aca="false">IF($R2171="","",$R2171-$K2171)</f>
        <v/>
      </c>
      <c r="U2171" s="35" t="str">
        <f aca="false">IF(N($P2171)&lt;=0,"",COUNTIF($P$6:$P2171,"&gt;0"))</f>
        <v/>
      </c>
    </row>
    <row r="2172" customFormat="false" ht="15" hidden="false" customHeight="false" outlineLevel="0" collapsed="false">
      <c r="A2172" s="40" t="str">
        <f aca="false">IF(INDEX(BookTitle,2167)="","",INDEX(BookGroup,2167))</f>
        <v/>
      </c>
      <c r="B2172" s="40" t="str">
        <f aca="false">IF(INDEX(BookTitle,2167)="","",INDEX(BookRef,2167))</f>
        <v/>
      </c>
      <c r="C2172" s="40" t="str">
        <f aca="false">IF(INDEX(BookTitle,2167)="","",INDEX(BookDivision,2167))</f>
        <v/>
      </c>
      <c r="D2172" s="40" t="str">
        <f aca="false">IF(INDEX(BookTitle,2167)="","",INDEX(BookUnit,2167))</f>
        <v/>
      </c>
      <c r="E2172" s="40" t="str">
        <f aca="false">IF(INDEX(BookTitle,2167)="","",INDEX(BookTitle,2167))</f>
        <v/>
      </c>
      <c r="F2172" s="40" t="str">
        <f aca="false">IF(INDEX(BookTitle,2167)="","",INDEX(BookLevel,2167))</f>
        <v/>
      </c>
      <c r="G2172" s="40" t="str">
        <f aca="false">IF(INDEX(BookTitle,2167)="","",INDEX(BookCategory,2167))</f>
        <v/>
      </c>
      <c r="H2172" s="40" t="str">
        <f aca="false">IF(INDEX(BookTitle,2167)="","",INDEX(BookRank,2167))</f>
        <v/>
      </c>
      <c r="I2172" s="41" t="str">
        <f aca="false">IF(INDEX(BookTitle,2167)="","",INDEX(BookTotal,2167))</f>
        <v/>
      </c>
      <c r="J2172" s="0" t="str">
        <f aca="false">IF($I2172="","",IF(INDEX(BookQ1,2167)&gt;0,"Q1",IF(INDEX(BookQ2,2167)&gt;0,"Q2",IF(INDEX(BookQ3,2167)&gt;0,"Q3",IF(INDEX(BookQ4,2167)&gt;0,"Q4","")))))</f>
        <v/>
      </c>
      <c r="K2172" s="42" t="str">
        <f aca="false">IF(INDEX(BookTitle,2167)="","",INDEX(BookInYear,2167))</f>
        <v/>
      </c>
      <c r="L2172" s="19"/>
      <c r="M2172" s="39"/>
      <c r="N2172" s="19"/>
      <c r="O2172" s="19"/>
      <c r="P2172" s="43" t="str">
        <f aca="false">IF($E2172="","",IF($L2172="Decline",0,IF($L2172="Approve fewer",IF($M2172="","",$M2172),IF($L2172="","",$I2172))))</f>
        <v/>
      </c>
      <c r="Q2172" s="34" t="str">
        <f aca="false">IF($P2172="","",IF($N2172&lt;&gt;"",$N2172,$J2172))</f>
        <v/>
      </c>
      <c r="R2172" s="35" t="str">
        <f aca="false">IF(OR($P2172="",$Q2172=""),"",INDEX(BookRate,2167)*$P2172*(5-MATCH($Q2172,{"Q1";"Q2";"Q3";"Q4"},0))/4+INDEX(BookOneOff,2167)*$P2172)</f>
        <v/>
      </c>
      <c r="S2172" s="35" t="str">
        <f aca="false">IF($P2172="","",INDEX(BookRate,2167)*$P2172)</f>
        <v/>
      </c>
      <c r="T2172" s="35" t="str">
        <f aca="false">IF($R2172="","",$R2172-$K2172)</f>
        <v/>
      </c>
      <c r="U2172" s="35" t="str">
        <f aca="false">IF(N($P2172)&lt;=0,"",COUNTIF($P$6:$P2172,"&gt;0"))</f>
        <v/>
      </c>
    </row>
    <row r="2173" customFormat="false" ht="15" hidden="false" customHeight="false" outlineLevel="0" collapsed="false">
      <c r="A2173" s="40" t="str">
        <f aca="false">IF(INDEX(BookTitle,2168)="","",INDEX(BookGroup,2168))</f>
        <v/>
      </c>
      <c r="B2173" s="40" t="str">
        <f aca="false">IF(INDEX(BookTitle,2168)="","",INDEX(BookRef,2168))</f>
        <v/>
      </c>
      <c r="C2173" s="40" t="str">
        <f aca="false">IF(INDEX(BookTitle,2168)="","",INDEX(BookDivision,2168))</f>
        <v/>
      </c>
      <c r="D2173" s="40" t="str">
        <f aca="false">IF(INDEX(BookTitle,2168)="","",INDEX(BookUnit,2168))</f>
        <v/>
      </c>
      <c r="E2173" s="40" t="str">
        <f aca="false">IF(INDEX(BookTitle,2168)="","",INDEX(BookTitle,2168))</f>
        <v/>
      </c>
      <c r="F2173" s="40" t="str">
        <f aca="false">IF(INDEX(BookTitle,2168)="","",INDEX(BookLevel,2168))</f>
        <v/>
      </c>
      <c r="G2173" s="40" t="str">
        <f aca="false">IF(INDEX(BookTitle,2168)="","",INDEX(BookCategory,2168))</f>
        <v/>
      </c>
      <c r="H2173" s="40" t="str">
        <f aca="false">IF(INDEX(BookTitle,2168)="","",INDEX(BookRank,2168))</f>
        <v/>
      </c>
      <c r="I2173" s="41" t="str">
        <f aca="false">IF(INDEX(BookTitle,2168)="","",INDEX(BookTotal,2168))</f>
        <v/>
      </c>
      <c r="J2173" s="0" t="str">
        <f aca="false">IF($I2173="","",IF(INDEX(BookQ1,2168)&gt;0,"Q1",IF(INDEX(BookQ2,2168)&gt;0,"Q2",IF(INDEX(BookQ3,2168)&gt;0,"Q3",IF(INDEX(BookQ4,2168)&gt;0,"Q4","")))))</f>
        <v/>
      </c>
      <c r="K2173" s="42" t="str">
        <f aca="false">IF(INDEX(BookTitle,2168)="","",INDEX(BookInYear,2168))</f>
        <v/>
      </c>
      <c r="L2173" s="19"/>
      <c r="M2173" s="39"/>
      <c r="N2173" s="19"/>
      <c r="O2173" s="19"/>
      <c r="P2173" s="43" t="str">
        <f aca="false">IF($E2173="","",IF($L2173="Decline",0,IF($L2173="Approve fewer",IF($M2173="","",$M2173),IF($L2173="","",$I2173))))</f>
        <v/>
      </c>
      <c r="Q2173" s="34" t="str">
        <f aca="false">IF($P2173="","",IF($N2173&lt;&gt;"",$N2173,$J2173))</f>
        <v/>
      </c>
      <c r="R2173" s="35" t="str">
        <f aca="false">IF(OR($P2173="",$Q2173=""),"",INDEX(BookRate,2168)*$P2173*(5-MATCH($Q2173,{"Q1";"Q2";"Q3";"Q4"},0))/4+INDEX(BookOneOff,2168)*$P2173)</f>
        <v/>
      </c>
      <c r="S2173" s="35" t="str">
        <f aca="false">IF($P2173="","",INDEX(BookRate,2168)*$P2173)</f>
        <v/>
      </c>
      <c r="T2173" s="35" t="str">
        <f aca="false">IF($R2173="","",$R2173-$K2173)</f>
        <v/>
      </c>
      <c r="U2173" s="35" t="str">
        <f aca="false">IF(N($P2173)&lt;=0,"",COUNTIF($P$6:$P2173,"&gt;0"))</f>
        <v/>
      </c>
    </row>
    <row r="2174" customFormat="false" ht="15" hidden="false" customHeight="false" outlineLevel="0" collapsed="false">
      <c r="A2174" s="40" t="str">
        <f aca="false">IF(INDEX(BookTitle,2169)="","",INDEX(BookGroup,2169))</f>
        <v/>
      </c>
      <c r="B2174" s="40" t="str">
        <f aca="false">IF(INDEX(BookTitle,2169)="","",INDEX(BookRef,2169))</f>
        <v/>
      </c>
      <c r="C2174" s="40" t="str">
        <f aca="false">IF(INDEX(BookTitle,2169)="","",INDEX(BookDivision,2169))</f>
        <v/>
      </c>
      <c r="D2174" s="40" t="str">
        <f aca="false">IF(INDEX(BookTitle,2169)="","",INDEX(BookUnit,2169))</f>
        <v/>
      </c>
      <c r="E2174" s="40" t="str">
        <f aca="false">IF(INDEX(BookTitle,2169)="","",INDEX(BookTitle,2169))</f>
        <v/>
      </c>
      <c r="F2174" s="40" t="str">
        <f aca="false">IF(INDEX(BookTitle,2169)="","",INDEX(BookLevel,2169))</f>
        <v/>
      </c>
      <c r="G2174" s="40" t="str">
        <f aca="false">IF(INDEX(BookTitle,2169)="","",INDEX(BookCategory,2169))</f>
        <v/>
      </c>
      <c r="H2174" s="40" t="str">
        <f aca="false">IF(INDEX(BookTitle,2169)="","",INDEX(BookRank,2169))</f>
        <v/>
      </c>
      <c r="I2174" s="41" t="str">
        <f aca="false">IF(INDEX(BookTitle,2169)="","",INDEX(BookTotal,2169))</f>
        <v/>
      </c>
      <c r="J2174" s="0" t="str">
        <f aca="false">IF($I2174="","",IF(INDEX(BookQ1,2169)&gt;0,"Q1",IF(INDEX(BookQ2,2169)&gt;0,"Q2",IF(INDEX(BookQ3,2169)&gt;0,"Q3",IF(INDEX(BookQ4,2169)&gt;0,"Q4","")))))</f>
        <v/>
      </c>
      <c r="K2174" s="42" t="str">
        <f aca="false">IF(INDEX(BookTitle,2169)="","",INDEX(BookInYear,2169))</f>
        <v/>
      </c>
      <c r="L2174" s="19"/>
      <c r="M2174" s="39"/>
      <c r="N2174" s="19"/>
      <c r="O2174" s="19"/>
      <c r="P2174" s="43" t="str">
        <f aca="false">IF($E2174="","",IF($L2174="Decline",0,IF($L2174="Approve fewer",IF($M2174="","",$M2174),IF($L2174="","",$I2174))))</f>
        <v/>
      </c>
      <c r="Q2174" s="34" t="str">
        <f aca="false">IF($P2174="","",IF($N2174&lt;&gt;"",$N2174,$J2174))</f>
        <v/>
      </c>
      <c r="R2174" s="35" t="str">
        <f aca="false">IF(OR($P2174="",$Q2174=""),"",INDEX(BookRate,2169)*$P2174*(5-MATCH($Q2174,{"Q1";"Q2";"Q3";"Q4"},0))/4+INDEX(BookOneOff,2169)*$P2174)</f>
        <v/>
      </c>
      <c r="S2174" s="35" t="str">
        <f aca="false">IF($P2174="","",INDEX(BookRate,2169)*$P2174)</f>
        <v/>
      </c>
      <c r="T2174" s="35" t="str">
        <f aca="false">IF($R2174="","",$R2174-$K2174)</f>
        <v/>
      </c>
      <c r="U2174" s="35" t="str">
        <f aca="false">IF(N($P2174)&lt;=0,"",COUNTIF($P$6:$P2174,"&gt;0"))</f>
        <v/>
      </c>
    </row>
    <row r="2175" customFormat="false" ht="15" hidden="false" customHeight="false" outlineLevel="0" collapsed="false">
      <c r="A2175" s="40" t="str">
        <f aca="false">IF(INDEX(BookTitle,2170)="","",INDEX(BookGroup,2170))</f>
        <v/>
      </c>
      <c r="B2175" s="40" t="str">
        <f aca="false">IF(INDEX(BookTitle,2170)="","",INDEX(BookRef,2170))</f>
        <v/>
      </c>
      <c r="C2175" s="40" t="str">
        <f aca="false">IF(INDEX(BookTitle,2170)="","",INDEX(BookDivision,2170))</f>
        <v/>
      </c>
      <c r="D2175" s="40" t="str">
        <f aca="false">IF(INDEX(BookTitle,2170)="","",INDEX(BookUnit,2170))</f>
        <v/>
      </c>
      <c r="E2175" s="40" t="str">
        <f aca="false">IF(INDEX(BookTitle,2170)="","",INDEX(BookTitle,2170))</f>
        <v/>
      </c>
      <c r="F2175" s="40" t="str">
        <f aca="false">IF(INDEX(BookTitle,2170)="","",INDEX(BookLevel,2170))</f>
        <v/>
      </c>
      <c r="G2175" s="40" t="str">
        <f aca="false">IF(INDEX(BookTitle,2170)="","",INDEX(BookCategory,2170))</f>
        <v/>
      </c>
      <c r="H2175" s="40" t="str">
        <f aca="false">IF(INDEX(BookTitle,2170)="","",INDEX(BookRank,2170))</f>
        <v/>
      </c>
      <c r="I2175" s="41" t="str">
        <f aca="false">IF(INDEX(BookTitle,2170)="","",INDEX(BookTotal,2170))</f>
        <v/>
      </c>
      <c r="J2175" s="0" t="str">
        <f aca="false">IF($I2175="","",IF(INDEX(BookQ1,2170)&gt;0,"Q1",IF(INDEX(BookQ2,2170)&gt;0,"Q2",IF(INDEX(BookQ3,2170)&gt;0,"Q3",IF(INDEX(BookQ4,2170)&gt;0,"Q4","")))))</f>
        <v/>
      </c>
      <c r="K2175" s="42" t="str">
        <f aca="false">IF(INDEX(BookTitle,2170)="","",INDEX(BookInYear,2170))</f>
        <v/>
      </c>
      <c r="L2175" s="19"/>
      <c r="M2175" s="39"/>
      <c r="N2175" s="19"/>
      <c r="O2175" s="19"/>
      <c r="P2175" s="43" t="str">
        <f aca="false">IF($E2175="","",IF($L2175="Decline",0,IF($L2175="Approve fewer",IF($M2175="","",$M2175),IF($L2175="","",$I2175))))</f>
        <v/>
      </c>
      <c r="Q2175" s="34" t="str">
        <f aca="false">IF($P2175="","",IF($N2175&lt;&gt;"",$N2175,$J2175))</f>
        <v/>
      </c>
      <c r="R2175" s="35" t="str">
        <f aca="false">IF(OR($P2175="",$Q2175=""),"",INDEX(BookRate,2170)*$P2175*(5-MATCH($Q2175,{"Q1";"Q2";"Q3";"Q4"},0))/4+INDEX(BookOneOff,2170)*$P2175)</f>
        <v/>
      </c>
      <c r="S2175" s="35" t="str">
        <f aca="false">IF($P2175="","",INDEX(BookRate,2170)*$P2175)</f>
        <v/>
      </c>
      <c r="T2175" s="35" t="str">
        <f aca="false">IF($R2175="","",$R2175-$K2175)</f>
        <v/>
      </c>
      <c r="U2175" s="35" t="str">
        <f aca="false">IF(N($P2175)&lt;=0,"",COUNTIF($P$6:$P2175,"&gt;0"))</f>
        <v/>
      </c>
    </row>
    <row r="2176" customFormat="false" ht="15" hidden="false" customHeight="false" outlineLevel="0" collapsed="false">
      <c r="A2176" s="40" t="str">
        <f aca="false">IF(INDEX(BookTitle,2171)="","",INDEX(BookGroup,2171))</f>
        <v/>
      </c>
      <c r="B2176" s="40" t="str">
        <f aca="false">IF(INDEX(BookTitle,2171)="","",INDEX(BookRef,2171))</f>
        <v/>
      </c>
      <c r="C2176" s="40" t="str">
        <f aca="false">IF(INDEX(BookTitle,2171)="","",INDEX(BookDivision,2171))</f>
        <v/>
      </c>
      <c r="D2176" s="40" t="str">
        <f aca="false">IF(INDEX(BookTitle,2171)="","",INDEX(BookUnit,2171))</f>
        <v/>
      </c>
      <c r="E2176" s="40" t="str">
        <f aca="false">IF(INDEX(BookTitle,2171)="","",INDEX(BookTitle,2171))</f>
        <v/>
      </c>
      <c r="F2176" s="40" t="str">
        <f aca="false">IF(INDEX(BookTitle,2171)="","",INDEX(BookLevel,2171))</f>
        <v/>
      </c>
      <c r="G2176" s="40" t="str">
        <f aca="false">IF(INDEX(BookTitle,2171)="","",INDEX(BookCategory,2171))</f>
        <v/>
      </c>
      <c r="H2176" s="40" t="str">
        <f aca="false">IF(INDEX(BookTitle,2171)="","",INDEX(BookRank,2171))</f>
        <v/>
      </c>
      <c r="I2176" s="41" t="str">
        <f aca="false">IF(INDEX(BookTitle,2171)="","",INDEX(BookTotal,2171))</f>
        <v/>
      </c>
      <c r="J2176" s="0" t="str">
        <f aca="false">IF($I2176="","",IF(INDEX(BookQ1,2171)&gt;0,"Q1",IF(INDEX(BookQ2,2171)&gt;0,"Q2",IF(INDEX(BookQ3,2171)&gt;0,"Q3",IF(INDEX(BookQ4,2171)&gt;0,"Q4","")))))</f>
        <v/>
      </c>
      <c r="K2176" s="42" t="str">
        <f aca="false">IF(INDEX(BookTitle,2171)="","",INDEX(BookInYear,2171))</f>
        <v/>
      </c>
      <c r="L2176" s="19"/>
      <c r="M2176" s="39"/>
      <c r="N2176" s="19"/>
      <c r="O2176" s="19"/>
      <c r="P2176" s="43" t="str">
        <f aca="false">IF($E2176="","",IF($L2176="Decline",0,IF($L2176="Approve fewer",IF($M2176="","",$M2176),IF($L2176="","",$I2176))))</f>
        <v/>
      </c>
      <c r="Q2176" s="34" t="str">
        <f aca="false">IF($P2176="","",IF($N2176&lt;&gt;"",$N2176,$J2176))</f>
        <v/>
      </c>
      <c r="R2176" s="35" t="str">
        <f aca="false">IF(OR($P2176="",$Q2176=""),"",INDEX(BookRate,2171)*$P2176*(5-MATCH($Q2176,{"Q1";"Q2";"Q3";"Q4"},0))/4+INDEX(BookOneOff,2171)*$P2176)</f>
        <v/>
      </c>
      <c r="S2176" s="35" t="str">
        <f aca="false">IF($P2176="","",INDEX(BookRate,2171)*$P2176)</f>
        <v/>
      </c>
      <c r="T2176" s="35" t="str">
        <f aca="false">IF($R2176="","",$R2176-$K2176)</f>
        <v/>
      </c>
      <c r="U2176" s="35" t="str">
        <f aca="false">IF(N($P2176)&lt;=0,"",COUNTIF($P$6:$P2176,"&gt;0"))</f>
        <v/>
      </c>
    </row>
    <row r="2177" customFormat="false" ht="15" hidden="false" customHeight="false" outlineLevel="0" collapsed="false">
      <c r="A2177" s="40" t="str">
        <f aca="false">IF(INDEX(BookTitle,2172)="","",INDEX(BookGroup,2172))</f>
        <v/>
      </c>
      <c r="B2177" s="40" t="str">
        <f aca="false">IF(INDEX(BookTitle,2172)="","",INDEX(BookRef,2172))</f>
        <v/>
      </c>
      <c r="C2177" s="40" t="str">
        <f aca="false">IF(INDEX(BookTitle,2172)="","",INDEX(BookDivision,2172))</f>
        <v/>
      </c>
      <c r="D2177" s="40" t="str">
        <f aca="false">IF(INDEX(BookTitle,2172)="","",INDEX(BookUnit,2172))</f>
        <v/>
      </c>
      <c r="E2177" s="40" t="str">
        <f aca="false">IF(INDEX(BookTitle,2172)="","",INDEX(BookTitle,2172))</f>
        <v/>
      </c>
      <c r="F2177" s="40" t="str">
        <f aca="false">IF(INDEX(BookTitle,2172)="","",INDEX(BookLevel,2172))</f>
        <v/>
      </c>
      <c r="G2177" s="40" t="str">
        <f aca="false">IF(INDEX(BookTitle,2172)="","",INDEX(BookCategory,2172))</f>
        <v/>
      </c>
      <c r="H2177" s="40" t="str">
        <f aca="false">IF(INDEX(BookTitle,2172)="","",INDEX(BookRank,2172))</f>
        <v/>
      </c>
      <c r="I2177" s="41" t="str">
        <f aca="false">IF(INDEX(BookTitle,2172)="","",INDEX(BookTotal,2172))</f>
        <v/>
      </c>
      <c r="J2177" s="0" t="str">
        <f aca="false">IF($I2177="","",IF(INDEX(BookQ1,2172)&gt;0,"Q1",IF(INDEX(BookQ2,2172)&gt;0,"Q2",IF(INDEX(BookQ3,2172)&gt;0,"Q3",IF(INDEX(BookQ4,2172)&gt;0,"Q4","")))))</f>
        <v/>
      </c>
      <c r="K2177" s="42" t="str">
        <f aca="false">IF(INDEX(BookTitle,2172)="","",INDEX(BookInYear,2172))</f>
        <v/>
      </c>
      <c r="L2177" s="19"/>
      <c r="M2177" s="39"/>
      <c r="N2177" s="19"/>
      <c r="O2177" s="19"/>
      <c r="P2177" s="43" t="str">
        <f aca="false">IF($E2177="","",IF($L2177="Decline",0,IF($L2177="Approve fewer",IF($M2177="","",$M2177),IF($L2177="","",$I2177))))</f>
        <v/>
      </c>
      <c r="Q2177" s="34" t="str">
        <f aca="false">IF($P2177="","",IF($N2177&lt;&gt;"",$N2177,$J2177))</f>
        <v/>
      </c>
      <c r="R2177" s="35" t="str">
        <f aca="false">IF(OR($P2177="",$Q2177=""),"",INDEX(BookRate,2172)*$P2177*(5-MATCH($Q2177,{"Q1";"Q2";"Q3";"Q4"},0))/4+INDEX(BookOneOff,2172)*$P2177)</f>
        <v/>
      </c>
      <c r="S2177" s="35" t="str">
        <f aca="false">IF($P2177="","",INDEX(BookRate,2172)*$P2177)</f>
        <v/>
      </c>
      <c r="T2177" s="35" t="str">
        <f aca="false">IF($R2177="","",$R2177-$K2177)</f>
        <v/>
      </c>
      <c r="U2177" s="35" t="str">
        <f aca="false">IF(N($P2177)&lt;=0,"",COUNTIF($P$6:$P2177,"&gt;0"))</f>
        <v/>
      </c>
    </row>
    <row r="2178" customFormat="false" ht="15" hidden="false" customHeight="false" outlineLevel="0" collapsed="false">
      <c r="A2178" s="40" t="str">
        <f aca="false">IF(INDEX(BookTitle,2173)="","",INDEX(BookGroup,2173))</f>
        <v/>
      </c>
      <c r="B2178" s="40" t="str">
        <f aca="false">IF(INDEX(BookTitle,2173)="","",INDEX(BookRef,2173))</f>
        <v/>
      </c>
      <c r="C2178" s="40" t="str">
        <f aca="false">IF(INDEX(BookTitle,2173)="","",INDEX(BookDivision,2173))</f>
        <v/>
      </c>
      <c r="D2178" s="40" t="str">
        <f aca="false">IF(INDEX(BookTitle,2173)="","",INDEX(BookUnit,2173))</f>
        <v/>
      </c>
      <c r="E2178" s="40" t="str">
        <f aca="false">IF(INDEX(BookTitle,2173)="","",INDEX(BookTitle,2173))</f>
        <v/>
      </c>
      <c r="F2178" s="40" t="str">
        <f aca="false">IF(INDEX(BookTitle,2173)="","",INDEX(BookLevel,2173))</f>
        <v/>
      </c>
      <c r="G2178" s="40" t="str">
        <f aca="false">IF(INDEX(BookTitle,2173)="","",INDEX(BookCategory,2173))</f>
        <v/>
      </c>
      <c r="H2178" s="40" t="str">
        <f aca="false">IF(INDEX(BookTitle,2173)="","",INDEX(BookRank,2173))</f>
        <v/>
      </c>
      <c r="I2178" s="41" t="str">
        <f aca="false">IF(INDEX(BookTitle,2173)="","",INDEX(BookTotal,2173))</f>
        <v/>
      </c>
      <c r="J2178" s="0" t="str">
        <f aca="false">IF($I2178="","",IF(INDEX(BookQ1,2173)&gt;0,"Q1",IF(INDEX(BookQ2,2173)&gt;0,"Q2",IF(INDEX(BookQ3,2173)&gt;0,"Q3",IF(INDEX(BookQ4,2173)&gt;0,"Q4","")))))</f>
        <v/>
      </c>
      <c r="K2178" s="42" t="str">
        <f aca="false">IF(INDEX(BookTitle,2173)="","",INDEX(BookInYear,2173))</f>
        <v/>
      </c>
      <c r="L2178" s="19"/>
      <c r="M2178" s="39"/>
      <c r="N2178" s="19"/>
      <c r="O2178" s="19"/>
      <c r="P2178" s="43" t="str">
        <f aca="false">IF($E2178="","",IF($L2178="Decline",0,IF($L2178="Approve fewer",IF($M2178="","",$M2178),IF($L2178="","",$I2178))))</f>
        <v/>
      </c>
      <c r="Q2178" s="34" t="str">
        <f aca="false">IF($P2178="","",IF($N2178&lt;&gt;"",$N2178,$J2178))</f>
        <v/>
      </c>
      <c r="R2178" s="35" t="str">
        <f aca="false">IF(OR($P2178="",$Q2178=""),"",INDEX(BookRate,2173)*$P2178*(5-MATCH($Q2178,{"Q1";"Q2";"Q3";"Q4"},0))/4+INDEX(BookOneOff,2173)*$P2178)</f>
        <v/>
      </c>
      <c r="S2178" s="35" t="str">
        <f aca="false">IF($P2178="","",INDEX(BookRate,2173)*$P2178)</f>
        <v/>
      </c>
      <c r="T2178" s="35" t="str">
        <f aca="false">IF($R2178="","",$R2178-$K2178)</f>
        <v/>
      </c>
      <c r="U2178" s="35" t="str">
        <f aca="false">IF(N($P2178)&lt;=0,"",COUNTIF($P$6:$P2178,"&gt;0"))</f>
        <v/>
      </c>
    </row>
    <row r="2179" customFormat="false" ht="15" hidden="false" customHeight="false" outlineLevel="0" collapsed="false">
      <c r="A2179" s="40" t="str">
        <f aca="false">IF(INDEX(BookTitle,2174)="","",INDEX(BookGroup,2174))</f>
        <v/>
      </c>
      <c r="B2179" s="40" t="str">
        <f aca="false">IF(INDEX(BookTitle,2174)="","",INDEX(BookRef,2174))</f>
        <v/>
      </c>
      <c r="C2179" s="40" t="str">
        <f aca="false">IF(INDEX(BookTitle,2174)="","",INDEX(BookDivision,2174))</f>
        <v/>
      </c>
      <c r="D2179" s="40" t="str">
        <f aca="false">IF(INDEX(BookTitle,2174)="","",INDEX(BookUnit,2174))</f>
        <v/>
      </c>
      <c r="E2179" s="40" t="str">
        <f aca="false">IF(INDEX(BookTitle,2174)="","",INDEX(BookTitle,2174))</f>
        <v/>
      </c>
      <c r="F2179" s="40" t="str">
        <f aca="false">IF(INDEX(BookTitle,2174)="","",INDEX(BookLevel,2174))</f>
        <v/>
      </c>
      <c r="G2179" s="40" t="str">
        <f aca="false">IF(INDEX(BookTitle,2174)="","",INDEX(BookCategory,2174))</f>
        <v/>
      </c>
      <c r="H2179" s="40" t="str">
        <f aca="false">IF(INDEX(BookTitle,2174)="","",INDEX(BookRank,2174))</f>
        <v/>
      </c>
      <c r="I2179" s="41" t="str">
        <f aca="false">IF(INDEX(BookTitle,2174)="","",INDEX(BookTotal,2174))</f>
        <v/>
      </c>
      <c r="J2179" s="0" t="str">
        <f aca="false">IF($I2179="","",IF(INDEX(BookQ1,2174)&gt;0,"Q1",IF(INDEX(BookQ2,2174)&gt;0,"Q2",IF(INDEX(BookQ3,2174)&gt;0,"Q3",IF(INDEX(BookQ4,2174)&gt;0,"Q4","")))))</f>
        <v/>
      </c>
      <c r="K2179" s="42" t="str">
        <f aca="false">IF(INDEX(BookTitle,2174)="","",INDEX(BookInYear,2174))</f>
        <v/>
      </c>
      <c r="L2179" s="19"/>
      <c r="M2179" s="39"/>
      <c r="N2179" s="19"/>
      <c r="O2179" s="19"/>
      <c r="P2179" s="43" t="str">
        <f aca="false">IF($E2179="","",IF($L2179="Decline",0,IF($L2179="Approve fewer",IF($M2179="","",$M2179),IF($L2179="","",$I2179))))</f>
        <v/>
      </c>
      <c r="Q2179" s="34" t="str">
        <f aca="false">IF($P2179="","",IF($N2179&lt;&gt;"",$N2179,$J2179))</f>
        <v/>
      </c>
      <c r="R2179" s="35" t="str">
        <f aca="false">IF(OR($P2179="",$Q2179=""),"",INDEX(BookRate,2174)*$P2179*(5-MATCH($Q2179,{"Q1";"Q2";"Q3";"Q4"},0))/4+INDEX(BookOneOff,2174)*$P2179)</f>
        <v/>
      </c>
      <c r="S2179" s="35" t="str">
        <f aca="false">IF($P2179="","",INDEX(BookRate,2174)*$P2179)</f>
        <v/>
      </c>
      <c r="T2179" s="35" t="str">
        <f aca="false">IF($R2179="","",$R2179-$K2179)</f>
        <v/>
      </c>
      <c r="U2179" s="35" t="str">
        <f aca="false">IF(N($P2179)&lt;=0,"",COUNTIF($P$6:$P2179,"&gt;0"))</f>
        <v/>
      </c>
    </row>
    <row r="2180" customFormat="false" ht="15" hidden="false" customHeight="false" outlineLevel="0" collapsed="false">
      <c r="A2180" s="40" t="str">
        <f aca="false">IF(INDEX(BookTitle,2175)="","",INDEX(BookGroup,2175))</f>
        <v/>
      </c>
      <c r="B2180" s="40" t="str">
        <f aca="false">IF(INDEX(BookTitle,2175)="","",INDEX(BookRef,2175))</f>
        <v/>
      </c>
      <c r="C2180" s="40" t="str">
        <f aca="false">IF(INDEX(BookTitle,2175)="","",INDEX(BookDivision,2175))</f>
        <v/>
      </c>
      <c r="D2180" s="40" t="str">
        <f aca="false">IF(INDEX(BookTitle,2175)="","",INDEX(BookUnit,2175))</f>
        <v/>
      </c>
      <c r="E2180" s="40" t="str">
        <f aca="false">IF(INDEX(BookTitle,2175)="","",INDEX(BookTitle,2175))</f>
        <v/>
      </c>
      <c r="F2180" s="40" t="str">
        <f aca="false">IF(INDEX(BookTitle,2175)="","",INDEX(BookLevel,2175))</f>
        <v/>
      </c>
      <c r="G2180" s="40" t="str">
        <f aca="false">IF(INDEX(BookTitle,2175)="","",INDEX(BookCategory,2175))</f>
        <v/>
      </c>
      <c r="H2180" s="40" t="str">
        <f aca="false">IF(INDEX(BookTitle,2175)="","",INDEX(BookRank,2175))</f>
        <v/>
      </c>
      <c r="I2180" s="41" t="str">
        <f aca="false">IF(INDEX(BookTitle,2175)="","",INDEX(BookTotal,2175))</f>
        <v/>
      </c>
      <c r="J2180" s="0" t="str">
        <f aca="false">IF($I2180="","",IF(INDEX(BookQ1,2175)&gt;0,"Q1",IF(INDEX(BookQ2,2175)&gt;0,"Q2",IF(INDEX(BookQ3,2175)&gt;0,"Q3",IF(INDEX(BookQ4,2175)&gt;0,"Q4","")))))</f>
        <v/>
      </c>
      <c r="K2180" s="42" t="str">
        <f aca="false">IF(INDEX(BookTitle,2175)="","",INDEX(BookInYear,2175))</f>
        <v/>
      </c>
      <c r="L2180" s="19"/>
      <c r="M2180" s="39"/>
      <c r="N2180" s="19"/>
      <c r="O2180" s="19"/>
      <c r="P2180" s="43" t="str">
        <f aca="false">IF($E2180="","",IF($L2180="Decline",0,IF($L2180="Approve fewer",IF($M2180="","",$M2180),IF($L2180="","",$I2180))))</f>
        <v/>
      </c>
      <c r="Q2180" s="34" t="str">
        <f aca="false">IF($P2180="","",IF($N2180&lt;&gt;"",$N2180,$J2180))</f>
        <v/>
      </c>
      <c r="R2180" s="35" t="str">
        <f aca="false">IF(OR($P2180="",$Q2180=""),"",INDEX(BookRate,2175)*$P2180*(5-MATCH($Q2180,{"Q1";"Q2";"Q3";"Q4"},0))/4+INDEX(BookOneOff,2175)*$P2180)</f>
        <v/>
      </c>
      <c r="S2180" s="35" t="str">
        <f aca="false">IF($P2180="","",INDEX(BookRate,2175)*$P2180)</f>
        <v/>
      </c>
      <c r="T2180" s="35" t="str">
        <f aca="false">IF($R2180="","",$R2180-$K2180)</f>
        <v/>
      </c>
      <c r="U2180" s="35" t="str">
        <f aca="false">IF(N($P2180)&lt;=0,"",COUNTIF($P$6:$P2180,"&gt;0"))</f>
        <v/>
      </c>
    </row>
    <row r="2181" customFormat="false" ht="15" hidden="false" customHeight="false" outlineLevel="0" collapsed="false">
      <c r="A2181" s="40" t="str">
        <f aca="false">IF(INDEX(BookTitle,2176)="","",INDEX(BookGroup,2176))</f>
        <v/>
      </c>
      <c r="B2181" s="40" t="str">
        <f aca="false">IF(INDEX(BookTitle,2176)="","",INDEX(BookRef,2176))</f>
        <v/>
      </c>
      <c r="C2181" s="40" t="str">
        <f aca="false">IF(INDEX(BookTitle,2176)="","",INDEX(BookDivision,2176))</f>
        <v/>
      </c>
      <c r="D2181" s="40" t="str">
        <f aca="false">IF(INDEX(BookTitle,2176)="","",INDEX(BookUnit,2176))</f>
        <v/>
      </c>
      <c r="E2181" s="40" t="str">
        <f aca="false">IF(INDEX(BookTitle,2176)="","",INDEX(BookTitle,2176))</f>
        <v/>
      </c>
      <c r="F2181" s="40" t="str">
        <f aca="false">IF(INDEX(BookTitle,2176)="","",INDEX(BookLevel,2176))</f>
        <v/>
      </c>
      <c r="G2181" s="40" t="str">
        <f aca="false">IF(INDEX(BookTitle,2176)="","",INDEX(BookCategory,2176))</f>
        <v/>
      </c>
      <c r="H2181" s="40" t="str">
        <f aca="false">IF(INDEX(BookTitle,2176)="","",INDEX(BookRank,2176))</f>
        <v/>
      </c>
      <c r="I2181" s="41" t="str">
        <f aca="false">IF(INDEX(BookTitle,2176)="","",INDEX(BookTotal,2176))</f>
        <v/>
      </c>
      <c r="J2181" s="0" t="str">
        <f aca="false">IF($I2181="","",IF(INDEX(BookQ1,2176)&gt;0,"Q1",IF(INDEX(BookQ2,2176)&gt;0,"Q2",IF(INDEX(BookQ3,2176)&gt;0,"Q3",IF(INDEX(BookQ4,2176)&gt;0,"Q4","")))))</f>
        <v/>
      </c>
      <c r="K2181" s="42" t="str">
        <f aca="false">IF(INDEX(BookTitle,2176)="","",INDEX(BookInYear,2176))</f>
        <v/>
      </c>
      <c r="L2181" s="19"/>
      <c r="M2181" s="39"/>
      <c r="N2181" s="19"/>
      <c r="O2181" s="19"/>
      <c r="P2181" s="43" t="str">
        <f aca="false">IF($E2181="","",IF($L2181="Decline",0,IF($L2181="Approve fewer",IF($M2181="","",$M2181),IF($L2181="","",$I2181))))</f>
        <v/>
      </c>
      <c r="Q2181" s="34" t="str">
        <f aca="false">IF($P2181="","",IF($N2181&lt;&gt;"",$N2181,$J2181))</f>
        <v/>
      </c>
      <c r="R2181" s="35" t="str">
        <f aca="false">IF(OR($P2181="",$Q2181=""),"",INDEX(BookRate,2176)*$P2181*(5-MATCH($Q2181,{"Q1";"Q2";"Q3";"Q4"},0))/4+INDEX(BookOneOff,2176)*$P2181)</f>
        <v/>
      </c>
      <c r="S2181" s="35" t="str">
        <f aca="false">IF($P2181="","",INDEX(BookRate,2176)*$P2181)</f>
        <v/>
      </c>
      <c r="T2181" s="35" t="str">
        <f aca="false">IF($R2181="","",$R2181-$K2181)</f>
        <v/>
      </c>
      <c r="U2181" s="35" t="str">
        <f aca="false">IF(N($P2181)&lt;=0,"",COUNTIF($P$6:$P2181,"&gt;0"))</f>
        <v/>
      </c>
    </row>
    <row r="2182" customFormat="false" ht="15" hidden="false" customHeight="false" outlineLevel="0" collapsed="false">
      <c r="A2182" s="40" t="str">
        <f aca="false">IF(INDEX(BookTitle,2177)="","",INDEX(BookGroup,2177))</f>
        <v/>
      </c>
      <c r="B2182" s="40" t="str">
        <f aca="false">IF(INDEX(BookTitle,2177)="","",INDEX(BookRef,2177))</f>
        <v/>
      </c>
      <c r="C2182" s="40" t="str">
        <f aca="false">IF(INDEX(BookTitle,2177)="","",INDEX(BookDivision,2177))</f>
        <v/>
      </c>
      <c r="D2182" s="40" t="str">
        <f aca="false">IF(INDEX(BookTitle,2177)="","",INDEX(BookUnit,2177))</f>
        <v/>
      </c>
      <c r="E2182" s="40" t="str">
        <f aca="false">IF(INDEX(BookTitle,2177)="","",INDEX(BookTitle,2177))</f>
        <v/>
      </c>
      <c r="F2182" s="40" t="str">
        <f aca="false">IF(INDEX(BookTitle,2177)="","",INDEX(BookLevel,2177))</f>
        <v/>
      </c>
      <c r="G2182" s="40" t="str">
        <f aca="false">IF(INDEX(BookTitle,2177)="","",INDEX(BookCategory,2177))</f>
        <v/>
      </c>
      <c r="H2182" s="40" t="str">
        <f aca="false">IF(INDEX(BookTitle,2177)="","",INDEX(BookRank,2177))</f>
        <v/>
      </c>
      <c r="I2182" s="41" t="str">
        <f aca="false">IF(INDEX(BookTitle,2177)="","",INDEX(BookTotal,2177))</f>
        <v/>
      </c>
      <c r="J2182" s="0" t="str">
        <f aca="false">IF($I2182="","",IF(INDEX(BookQ1,2177)&gt;0,"Q1",IF(INDEX(BookQ2,2177)&gt;0,"Q2",IF(INDEX(BookQ3,2177)&gt;0,"Q3",IF(INDEX(BookQ4,2177)&gt;0,"Q4","")))))</f>
        <v/>
      </c>
      <c r="K2182" s="42" t="str">
        <f aca="false">IF(INDEX(BookTitle,2177)="","",INDEX(BookInYear,2177))</f>
        <v/>
      </c>
      <c r="L2182" s="19"/>
      <c r="M2182" s="39"/>
      <c r="N2182" s="19"/>
      <c r="O2182" s="19"/>
      <c r="P2182" s="43" t="str">
        <f aca="false">IF($E2182="","",IF($L2182="Decline",0,IF($L2182="Approve fewer",IF($M2182="","",$M2182),IF($L2182="","",$I2182))))</f>
        <v/>
      </c>
      <c r="Q2182" s="34" t="str">
        <f aca="false">IF($P2182="","",IF($N2182&lt;&gt;"",$N2182,$J2182))</f>
        <v/>
      </c>
      <c r="R2182" s="35" t="str">
        <f aca="false">IF(OR($P2182="",$Q2182=""),"",INDEX(BookRate,2177)*$P2182*(5-MATCH($Q2182,{"Q1";"Q2";"Q3";"Q4"},0))/4+INDEX(BookOneOff,2177)*$P2182)</f>
        <v/>
      </c>
      <c r="S2182" s="35" t="str">
        <f aca="false">IF($P2182="","",INDEX(BookRate,2177)*$P2182)</f>
        <v/>
      </c>
      <c r="T2182" s="35" t="str">
        <f aca="false">IF($R2182="","",$R2182-$K2182)</f>
        <v/>
      </c>
      <c r="U2182" s="35" t="str">
        <f aca="false">IF(N($P2182)&lt;=0,"",COUNTIF($P$6:$P2182,"&gt;0"))</f>
        <v/>
      </c>
    </row>
    <row r="2183" customFormat="false" ht="15" hidden="false" customHeight="false" outlineLevel="0" collapsed="false">
      <c r="A2183" s="40" t="str">
        <f aca="false">IF(INDEX(BookTitle,2178)="","",INDEX(BookGroup,2178))</f>
        <v/>
      </c>
      <c r="B2183" s="40" t="str">
        <f aca="false">IF(INDEX(BookTitle,2178)="","",INDEX(BookRef,2178))</f>
        <v/>
      </c>
      <c r="C2183" s="40" t="str">
        <f aca="false">IF(INDEX(BookTitle,2178)="","",INDEX(BookDivision,2178))</f>
        <v/>
      </c>
      <c r="D2183" s="40" t="str">
        <f aca="false">IF(INDEX(BookTitle,2178)="","",INDEX(BookUnit,2178))</f>
        <v/>
      </c>
      <c r="E2183" s="40" t="str">
        <f aca="false">IF(INDEX(BookTitle,2178)="","",INDEX(BookTitle,2178))</f>
        <v/>
      </c>
      <c r="F2183" s="40" t="str">
        <f aca="false">IF(INDEX(BookTitle,2178)="","",INDEX(BookLevel,2178))</f>
        <v/>
      </c>
      <c r="G2183" s="40" t="str">
        <f aca="false">IF(INDEX(BookTitle,2178)="","",INDEX(BookCategory,2178))</f>
        <v/>
      </c>
      <c r="H2183" s="40" t="str">
        <f aca="false">IF(INDEX(BookTitle,2178)="","",INDEX(BookRank,2178))</f>
        <v/>
      </c>
      <c r="I2183" s="41" t="str">
        <f aca="false">IF(INDEX(BookTitle,2178)="","",INDEX(BookTotal,2178))</f>
        <v/>
      </c>
      <c r="J2183" s="0" t="str">
        <f aca="false">IF($I2183="","",IF(INDEX(BookQ1,2178)&gt;0,"Q1",IF(INDEX(BookQ2,2178)&gt;0,"Q2",IF(INDEX(BookQ3,2178)&gt;0,"Q3",IF(INDEX(BookQ4,2178)&gt;0,"Q4","")))))</f>
        <v/>
      </c>
      <c r="K2183" s="42" t="str">
        <f aca="false">IF(INDEX(BookTitle,2178)="","",INDEX(BookInYear,2178))</f>
        <v/>
      </c>
      <c r="L2183" s="19"/>
      <c r="M2183" s="39"/>
      <c r="N2183" s="19"/>
      <c r="O2183" s="19"/>
      <c r="P2183" s="43" t="str">
        <f aca="false">IF($E2183="","",IF($L2183="Decline",0,IF($L2183="Approve fewer",IF($M2183="","",$M2183),IF($L2183="","",$I2183))))</f>
        <v/>
      </c>
      <c r="Q2183" s="34" t="str">
        <f aca="false">IF($P2183="","",IF($N2183&lt;&gt;"",$N2183,$J2183))</f>
        <v/>
      </c>
      <c r="R2183" s="35" t="str">
        <f aca="false">IF(OR($P2183="",$Q2183=""),"",INDEX(BookRate,2178)*$P2183*(5-MATCH($Q2183,{"Q1";"Q2";"Q3";"Q4"},0))/4+INDEX(BookOneOff,2178)*$P2183)</f>
        <v/>
      </c>
      <c r="S2183" s="35" t="str">
        <f aca="false">IF($P2183="","",INDEX(BookRate,2178)*$P2183)</f>
        <v/>
      </c>
      <c r="T2183" s="35" t="str">
        <f aca="false">IF($R2183="","",$R2183-$K2183)</f>
        <v/>
      </c>
      <c r="U2183" s="35" t="str">
        <f aca="false">IF(N($P2183)&lt;=0,"",COUNTIF($P$6:$P2183,"&gt;0"))</f>
        <v/>
      </c>
    </row>
    <row r="2184" customFormat="false" ht="15" hidden="false" customHeight="false" outlineLevel="0" collapsed="false">
      <c r="A2184" s="40" t="str">
        <f aca="false">IF(INDEX(BookTitle,2179)="","",INDEX(BookGroup,2179))</f>
        <v/>
      </c>
      <c r="B2184" s="40" t="str">
        <f aca="false">IF(INDEX(BookTitle,2179)="","",INDEX(BookRef,2179))</f>
        <v/>
      </c>
      <c r="C2184" s="40" t="str">
        <f aca="false">IF(INDEX(BookTitle,2179)="","",INDEX(BookDivision,2179))</f>
        <v/>
      </c>
      <c r="D2184" s="40" t="str">
        <f aca="false">IF(INDEX(BookTitle,2179)="","",INDEX(BookUnit,2179))</f>
        <v/>
      </c>
      <c r="E2184" s="40" t="str">
        <f aca="false">IF(INDEX(BookTitle,2179)="","",INDEX(BookTitle,2179))</f>
        <v/>
      </c>
      <c r="F2184" s="40" t="str">
        <f aca="false">IF(INDEX(BookTitle,2179)="","",INDEX(BookLevel,2179))</f>
        <v/>
      </c>
      <c r="G2184" s="40" t="str">
        <f aca="false">IF(INDEX(BookTitle,2179)="","",INDEX(BookCategory,2179))</f>
        <v/>
      </c>
      <c r="H2184" s="40" t="str">
        <f aca="false">IF(INDEX(BookTitle,2179)="","",INDEX(BookRank,2179))</f>
        <v/>
      </c>
      <c r="I2184" s="41" t="str">
        <f aca="false">IF(INDEX(BookTitle,2179)="","",INDEX(BookTotal,2179))</f>
        <v/>
      </c>
      <c r="J2184" s="0" t="str">
        <f aca="false">IF($I2184="","",IF(INDEX(BookQ1,2179)&gt;0,"Q1",IF(INDEX(BookQ2,2179)&gt;0,"Q2",IF(INDEX(BookQ3,2179)&gt;0,"Q3",IF(INDEX(BookQ4,2179)&gt;0,"Q4","")))))</f>
        <v/>
      </c>
      <c r="K2184" s="42" t="str">
        <f aca="false">IF(INDEX(BookTitle,2179)="","",INDEX(BookInYear,2179))</f>
        <v/>
      </c>
      <c r="L2184" s="19"/>
      <c r="M2184" s="39"/>
      <c r="N2184" s="19"/>
      <c r="O2184" s="19"/>
      <c r="P2184" s="43" t="str">
        <f aca="false">IF($E2184="","",IF($L2184="Decline",0,IF($L2184="Approve fewer",IF($M2184="","",$M2184),IF($L2184="","",$I2184))))</f>
        <v/>
      </c>
      <c r="Q2184" s="34" t="str">
        <f aca="false">IF($P2184="","",IF($N2184&lt;&gt;"",$N2184,$J2184))</f>
        <v/>
      </c>
      <c r="R2184" s="35" t="str">
        <f aca="false">IF(OR($P2184="",$Q2184=""),"",INDEX(BookRate,2179)*$P2184*(5-MATCH($Q2184,{"Q1";"Q2";"Q3";"Q4"},0))/4+INDEX(BookOneOff,2179)*$P2184)</f>
        <v/>
      </c>
      <c r="S2184" s="35" t="str">
        <f aca="false">IF($P2184="","",INDEX(BookRate,2179)*$P2184)</f>
        <v/>
      </c>
      <c r="T2184" s="35" t="str">
        <f aca="false">IF($R2184="","",$R2184-$K2184)</f>
        <v/>
      </c>
      <c r="U2184" s="35" t="str">
        <f aca="false">IF(N($P2184)&lt;=0,"",COUNTIF($P$6:$P2184,"&gt;0"))</f>
        <v/>
      </c>
    </row>
    <row r="2185" customFormat="false" ht="15" hidden="false" customHeight="false" outlineLevel="0" collapsed="false">
      <c r="A2185" s="40" t="str">
        <f aca="false">IF(INDEX(BookTitle,2180)="","",INDEX(BookGroup,2180))</f>
        <v/>
      </c>
      <c r="B2185" s="40" t="str">
        <f aca="false">IF(INDEX(BookTitle,2180)="","",INDEX(BookRef,2180))</f>
        <v/>
      </c>
      <c r="C2185" s="40" t="str">
        <f aca="false">IF(INDEX(BookTitle,2180)="","",INDEX(BookDivision,2180))</f>
        <v/>
      </c>
      <c r="D2185" s="40" t="str">
        <f aca="false">IF(INDEX(BookTitle,2180)="","",INDEX(BookUnit,2180))</f>
        <v/>
      </c>
      <c r="E2185" s="40" t="str">
        <f aca="false">IF(INDEX(BookTitle,2180)="","",INDEX(BookTitle,2180))</f>
        <v/>
      </c>
      <c r="F2185" s="40" t="str">
        <f aca="false">IF(INDEX(BookTitle,2180)="","",INDEX(BookLevel,2180))</f>
        <v/>
      </c>
      <c r="G2185" s="40" t="str">
        <f aca="false">IF(INDEX(BookTitle,2180)="","",INDEX(BookCategory,2180))</f>
        <v/>
      </c>
      <c r="H2185" s="40" t="str">
        <f aca="false">IF(INDEX(BookTitle,2180)="","",INDEX(BookRank,2180))</f>
        <v/>
      </c>
      <c r="I2185" s="41" t="str">
        <f aca="false">IF(INDEX(BookTitle,2180)="","",INDEX(BookTotal,2180))</f>
        <v/>
      </c>
      <c r="J2185" s="0" t="str">
        <f aca="false">IF($I2185="","",IF(INDEX(BookQ1,2180)&gt;0,"Q1",IF(INDEX(BookQ2,2180)&gt;0,"Q2",IF(INDEX(BookQ3,2180)&gt;0,"Q3",IF(INDEX(BookQ4,2180)&gt;0,"Q4","")))))</f>
        <v/>
      </c>
      <c r="K2185" s="42" t="str">
        <f aca="false">IF(INDEX(BookTitle,2180)="","",INDEX(BookInYear,2180))</f>
        <v/>
      </c>
      <c r="L2185" s="19"/>
      <c r="M2185" s="39"/>
      <c r="N2185" s="19"/>
      <c r="O2185" s="19"/>
      <c r="P2185" s="43" t="str">
        <f aca="false">IF($E2185="","",IF($L2185="Decline",0,IF($L2185="Approve fewer",IF($M2185="","",$M2185),IF($L2185="","",$I2185))))</f>
        <v/>
      </c>
      <c r="Q2185" s="34" t="str">
        <f aca="false">IF($P2185="","",IF($N2185&lt;&gt;"",$N2185,$J2185))</f>
        <v/>
      </c>
      <c r="R2185" s="35" t="str">
        <f aca="false">IF(OR($P2185="",$Q2185=""),"",INDEX(BookRate,2180)*$P2185*(5-MATCH($Q2185,{"Q1";"Q2";"Q3";"Q4"},0))/4+INDEX(BookOneOff,2180)*$P2185)</f>
        <v/>
      </c>
      <c r="S2185" s="35" t="str">
        <f aca="false">IF($P2185="","",INDEX(BookRate,2180)*$P2185)</f>
        <v/>
      </c>
      <c r="T2185" s="35" t="str">
        <f aca="false">IF($R2185="","",$R2185-$K2185)</f>
        <v/>
      </c>
      <c r="U2185" s="35" t="str">
        <f aca="false">IF(N($P2185)&lt;=0,"",COUNTIF($P$6:$P2185,"&gt;0"))</f>
        <v/>
      </c>
    </row>
    <row r="2186" customFormat="false" ht="15" hidden="false" customHeight="false" outlineLevel="0" collapsed="false">
      <c r="A2186" s="40" t="str">
        <f aca="false">IF(INDEX(BookTitle,2181)="","",INDEX(BookGroup,2181))</f>
        <v/>
      </c>
      <c r="B2186" s="40" t="str">
        <f aca="false">IF(INDEX(BookTitle,2181)="","",INDEX(BookRef,2181))</f>
        <v/>
      </c>
      <c r="C2186" s="40" t="str">
        <f aca="false">IF(INDEX(BookTitle,2181)="","",INDEX(BookDivision,2181))</f>
        <v/>
      </c>
      <c r="D2186" s="40" t="str">
        <f aca="false">IF(INDEX(BookTitle,2181)="","",INDEX(BookUnit,2181))</f>
        <v/>
      </c>
      <c r="E2186" s="40" t="str">
        <f aca="false">IF(INDEX(BookTitle,2181)="","",INDEX(BookTitle,2181))</f>
        <v/>
      </c>
      <c r="F2186" s="40" t="str">
        <f aca="false">IF(INDEX(BookTitle,2181)="","",INDEX(BookLevel,2181))</f>
        <v/>
      </c>
      <c r="G2186" s="40" t="str">
        <f aca="false">IF(INDEX(BookTitle,2181)="","",INDEX(BookCategory,2181))</f>
        <v/>
      </c>
      <c r="H2186" s="40" t="str">
        <f aca="false">IF(INDEX(BookTitle,2181)="","",INDEX(BookRank,2181))</f>
        <v/>
      </c>
      <c r="I2186" s="41" t="str">
        <f aca="false">IF(INDEX(BookTitle,2181)="","",INDEX(BookTotal,2181))</f>
        <v/>
      </c>
      <c r="J2186" s="0" t="str">
        <f aca="false">IF($I2186="","",IF(INDEX(BookQ1,2181)&gt;0,"Q1",IF(INDEX(BookQ2,2181)&gt;0,"Q2",IF(INDEX(BookQ3,2181)&gt;0,"Q3",IF(INDEX(BookQ4,2181)&gt;0,"Q4","")))))</f>
        <v/>
      </c>
      <c r="K2186" s="42" t="str">
        <f aca="false">IF(INDEX(BookTitle,2181)="","",INDEX(BookInYear,2181))</f>
        <v/>
      </c>
      <c r="L2186" s="19"/>
      <c r="M2186" s="39"/>
      <c r="N2186" s="19"/>
      <c r="O2186" s="19"/>
      <c r="P2186" s="43" t="str">
        <f aca="false">IF($E2186="","",IF($L2186="Decline",0,IF($L2186="Approve fewer",IF($M2186="","",$M2186),IF($L2186="","",$I2186))))</f>
        <v/>
      </c>
      <c r="Q2186" s="34" t="str">
        <f aca="false">IF($P2186="","",IF($N2186&lt;&gt;"",$N2186,$J2186))</f>
        <v/>
      </c>
      <c r="R2186" s="35" t="str">
        <f aca="false">IF(OR($P2186="",$Q2186=""),"",INDEX(BookRate,2181)*$P2186*(5-MATCH($Q2186,{"Q1";"Q2";"Q3";"Q4"},0))/4+INDEX(BookOneOff,2181)*$P2186)</f>
        <v/>
      </c>
      <c r="S2186" s="35" t="str">
        <f aca="false">IF($P2186="","",INDEX(BookRate,2181)*$P2186)</f>
        <v/>
      </c>
      <c r="T2186" s="35" t="str">
        <f aca="false">IF($R2186="","",$R2186-$K2186)</f>
        <v/>
      </c>
      <c r="U2186" s="35" t="str">
        <f aca="false">IF(N($P2186)&lt;=0,"",COUNTIF($P$6:$P2186,"&gt;0"))</f>
        <v/>
      </c>
    </row>
    <row r="2187" customFormat="false" ht="15" hidden="false" customHeight="false" outlineLevel="0" collapsed="false">
      <c r="A2187" s="40" t="str">
        <f aca="false">IF(INDEX(BookTitle,2182)="","",INDEX(BookGroup,2182))</f>
        <v/>
      </c>
      <c r="B2187" s="40" t="str">
        <f aca="false">IF(INDEX(BookTitle,2182)="","",INDEX(BookRef,2182))</f>
        <v/>
      </c>
      <c r="C2187" s="40" t="str">
        <f aca="false">IF(INDEX(BookTitle,2182)="","",INDEX(BookDivision,2182))</f>
        <v/>
      </c>
      <c r="D2187" s="40" t="str">
        <f aca="false">IF(INDEX(BookTitle,2182)="","",INDEX(BookUnit,2182))</f>
        <v/>
      </c>
      <c r="E2187" s="40" t="str">
        <f aca="false">IF(INDEX(BookTitle,2182)="","",INDEX(BookTitle,2182))</f>
        <v/>
      </c>
      <c r="F2187" s="40" t="str">
        <f aca="false">IF(INDEX(BookTitle,2182)="","",INDEX(BookLevel,2182))</f>
        <v/>
      </c>
      <c r="G2187" s="40" t="str">
        <f aca="false">IF(INDEX(BookTitle,2182)="","",INDEX(BookCategory,2182))</f>
        <v/>
      </c>
      <c r="H2187" s="40" t="str">
        <f aca="false">IF(INDEX(BookTitle,2182)="","",INDEX(BookRank,2182))</f>
        <v/>
      </c>
      <c r="I2187" s="41" t="str">
        <f aca="false">IF(INDEX(BookTitle,2182)="","",INDEX(BookTotal,2182))</f>
        <v/>
      </c>
      <c r="J2187" s="0" t="str">
        <f aca="false">IF($I2187="","",IF(INDEX(BookQ1,2182)&gt;0,"Q1",IF(INDEX(BookQ2,2182)&gt;0,"Q2",IF(INDEX(BookQ3,2182)&gt;0,"Q3",IF(INDEX(BookQ4,2182)&gt;0,"Q4","")))))</f>
        <v/>
      </c>
      <c r="K2187" s="42" t="str">
        <f aca="false">IF(INDEX(BookTitle,2182)="","",INDEX(BookInYear,2182))</f>
        <v/>
      </c>
      <c r="L2187" s="19"/>
      <c r="M2187" s="39"/>
      <c r="N2187" s="19"/>
      <c r="O2187" s="19"/>
      <c r="P2187" s="43" t="str">
        <f aca="false">IF($E2187="","",IF($L2187="Decline",0,IF($L2187="Approve fewer",IF($M2187="","",$M2187),IF($L2187="","",$I2187))))</f>
        <v/>
      </c>
      <c r="Q2187" s="34" t="str">
        <f aca="false">IF($P2187="","",IF($N2187&lt;&gt;"",$N2187,$J2187))</f>
        <v/>
      </c>
      <c r="R2187" s="35" t="str">
        <f aca="false">IF(OR($P2187="",$Q2187=""),"",INDEX(BookRate,2182)*$P2187*(5-MATCH($Q2187,{"Q1";"Q2";"Q3";"Q4"},0))/4+INDEX(BookOneOff,2182)*$P2187)</f>
        <v/>
      </c>
      <c r="S2187" s="35" t="str">
        <f aca="false">IF($P2187="","",INDEX(BookRate,2182)*$P2187)</f>
        <v/>
      </c>
      <c r="T2187" s="35" t="str">
        <f aca="false">IF($R2187="","",$R2187-$K2187)</f>
        <v/>
      </c>
      <c r="U2187" s="35" t="str">
        <f aca="false">IF(N($P2187)&lt;=0,"",COUNTIF($P$6:$P2187,"&gt;0"))</f>
        <v/>
      </c>
    </row>
    <row r="2188" customFormat="false" ht="15" hidden="false" customHeight="false" outlineLevel="0" collapsed="false">
      <c r="A2188" s="40" t="str">
        <f aca="false">IF(INDEX(BookTitle,2183)="","",INDEX(BookGroup,2183))</f>
        <v/>
      </c>
      <c r="B2188" s="40" t="str">
        <f aca="false">IF(INDEX(BookTitle,2183)="","",INDEX(BookRef,2183))</f>
        <v/>
      </c>
      <c r="C2188" s="40" t="str">
        <f aca="false">IF(INDEX(BookTitle,2183)="","",INDEX(BookDivision,2183))</f>
        <v/>
      </c>
      <c r="D2188" s="40" t="str">
        <f aca="false">IF(INDEX(BookTitle,2183)="","",INDEX(BookUnit,2183))</f>
        <v/>
      </c>
      <c r="E2188" s="40" t="str">
        <f aca="false">IF(INDEX(BookTitle,2183)="","",INDEX(BookTitle,2183))</f>
        <v/>
      </c>
      <c r="F2188" s="40" t="str">
        <f aca="false">IF(INDEX(BookTitle,2183)="","",INDEX(BookLevel,2183))</f>
        <v/>
      </c>
      <c r="G2188" s="40" t="str">
        <f aca="false">IF(INDEX(BookTitle,2183)="","",INDEX(BookCategory,2183))</f>
        <v/>
      </c>
      <c r="H2188" s="40" t="str">
        <f aca="false">IF(INDEX(BookTitle,2183)="","",INDEX(BookRank,2183))</f>
        <v/>
      </c>
      <c r="I2188" s="41" t="str">
        <f aca="false">IF(INDEX(BookTitle,2183)="","",INDEX(BookTotal,2183))</f>
        <v/>
      </c>
      <c r="J2188" s="0" t="str">
        <f aca="false">IF($I2188="","",IF(INDEX(BookQ1,2183)&gt;0,"Q1",IF(INDEX(BookQ2,2183)&gt;0,"Q2",IF(INDEX(BookQ3,2183)&gt;0,"Q3",IF(INDEX(BookQ4,2183)&gt;0,"Q4","")))))</f>
        <v/>
      </c>
      <c r="K2188" s="42" t="str">
        <f aca="false">IF(INDEX(BookTitle,2183)="","",INDEX(BookInYear,2183))</f>
        <v/>
      </c>
      <c r="L2188" s="19"/>
      <c r="M2188" s="39"/>
      <c r="N2188" s="19"/>
      <c r="O2188" s="19"/>
      <c r="P2188" s="43" t="str">
        <f aca="false">IF($E2188="","",IF($L2188="Decline",0,IF($L2188="Approve fewer",IF($M2188="","",$M2188),IF($L2188="","",$I2188))))</f>
        <v/>
      </c>
      <c r="Q2188" s="34" t="str">
        <f aca="false">IF($P2188="","",IF($N2188&lt;&gt;"",$N2188,$J2188))</f>
        <v/>
      </c>
      <c r="R2188" s="35" t="str">
        <f aca="false">IF(OR($P2188="",$Q2188=""),"",INDEX(BookRate,2183)*$P2188*(5-MATCH($Q2188,{"Q1";"Q2";"Q3";"Q4"},0))/4+INDEX(BookOneOff,2183)*$P2188)</f>
        <v/>
      </c>
      <c r="S2188" s="35" t="str">
        <f aca="false">IF($P2188="","",INDEX(BookRate,2183)*$P2188)</f>
        <v/>
      </c>
      <c r="T2188" s="35" t="str">
        <f aca="false">IF($R2188="","",$R2188-$K2188)</f>
        <v/>
      </c>
      <c r="U2188" s="35" t="str">
        <f aca="false">IF(N($P2188)&lt;=0,"",COUNTIF($P$6:$P2188,"&gt;0"))</f>
        <v/>
      </c>
    </row>
    <row r="2189" customFormat="false" ht="15" hidden="false" customHeight="false" outlineLevel="0" collapsed="false">
      <c r="A2189" s="40" t="str">
        <f aca="false">IF(INDEX(BookTitle,2184)="","",INDEX(BookGroup,2184))</f>
        <v/>
      </c>
      <c r="B2189" s="40" t="str">
        <f aca="false">IF(INDEX(BookTitle,2184)="","",INDEX(BookRef,2184))</f>
        <v/>
      </c>
      <c r="C2189" s="40" t="str">
        <f aca="false">IF(INDEX(BookTitle,2184)="","",INDEX(BookDivision,2184))</f>
        <v/>
      </c>
      <c r="D2189" s="40" t="str">
        <f aca="false">IF(INDEX(BookTitle,2184)="","",INDEX(BookUnit,2184))</f>
        <v/>
      </c>
      <c r="E2189" s="40" t="str">
        <f aca="false">IF(INDEX(BookTitle,2184)="","",INDEX(BookTitle,2184))</f>
        <v/>
      </c>
      <c r="F2189" s="40" t="str">
        <f aca="false">IF(INDEX(BookTitle,2184)="","",INDEX(BookLevel,2184))</f>
        <v/>
      </c>
      <c r="G2189" s="40" t="str">
        <f aca="false">IF(INDEX(BookTitle,2184)="","",INDEX(BookCategory,2184))</f>
        <v/>
      </c>
      <c r="H2189" s="40" t="str">
        <f aca="false">IF(INDEX(BookTitle,2184)="","",INDEX(BookRank,2184))</f>
        <v/>
      </c>
      <c r="I2189" s="41" t="str">
        <f aca="false">IF(INDEX(BookTitle,2184)="","",INDEX(BookTotal,2184))</f>
        <v/>
      </c>
      <c r="J2189" s="0" t="str">
        <f aca="false">IF($I2189="","",IF(INDEX(BookQ1,2184)&gt;0,"Q1",IF(INDEX(BookQ2,2184)&gt;0,"Q2",IF(INDEX(BookQ3,2184)&gt;0,"Q3",IF(INDEX(BookQ4,2184)&gt;0,"Q4","")))))</f>
        <v/>
      </c>
      <c r="K2189" s="42" t="str">
        <f aca="false">IF(INDEX(BookTitle,2184)="","",INDEX(BookInYear,2184))</f>
        <v/>
      </c>
      <c r="L2189" s="19"/>
      <c r="M2189" s="39"/>
      <c r="N2189" s="19"/>
      <c r="O2189" s="19"/>
      <c r="P2189" s="43" t="str">
        <f aca="false">IF($E2189="","",IF($L2189="Decline",0,IF($L2189="Approve fewer",IF($M2189="","",$M2189),IF($L2189="","",$I2189))))</f>
        <v/>
      </c>
      <c r="Q2189" s="34" t="str">
        <f aca="false">IF($P2189="","",IF($N2189&lt;&gt;"",$N2189,$J2189))</f>
        <v/>
      </c>
      <c r="R2189" s="35" t="str">
        <f aca="false">IF(OR($P2189="",$Q2189=""),"",INDEX(BookRate,2184)*$P2189*(5-MATCH($Q2189,{"Q1";"Q2";"Q3";"Q4"},0))/4+INDEX(BookOneOff,2184)*$P2189)</f>
        <v/>
      </c>
      <c r="S2189" s="35" t="str">
        <f aca="false">IF($P2189="","",INDEX(BookRate,2184)*$P2189)</f>
        <v/>
      </c>
      <c r="T2189" s="35" t="str">
        <f aca="false">IF($R2189="","",$R2189-$K2189)</f>
        <v/>
      </c>
      <c r="U2189" s="35" t="str">
        <f aca="false">IF(N($P2189)&lt;=0,"",COUNTIF($P$6:$P2189,"&gt;0"))</f>
        <v/>
      </c>
    </row>
    <row r="2190" customFormat="false" ht="15" hidden="false" customHeight="false" outlineLevel="0" collapsed="false">
      <c r="A2190" s="40" t="str">
        <f aca="false">IF(INDEX(BookTitle,2185)="","",INDEX(BookGroup,2185))</f>
        <v/>
      </c>
      <c r="B2190" s="40" t="str">
        <f aca="false">IF(INDEX(BookTitle,2185)="","",INDEX(BookRef,2185))</f>
        <v/>
      </c>
      <c r="C2190" s="40" t="str">
        <f aca="false">IF(INDEX(BookTitle,2185)="","",INDEX(BookDivision,2185))</f>
        <v/>
      </c>
      <c r="D2190" s="40" t="str">
        <f aca="false">IF(INDEX(BookTitle,2185)="","",INDEX(BookUnit,2185))</f>
        <v/>
      </c>
      <c r="E2190" s="40" t="str">
        <f aca="false">IF(INDEX(BookTitle,2185)="","",INDEX(BookTitle,2185))</f>
        <v/>
      </c>
      <c r="F2190" s="40" t="str">
        <f aca="false">IF(INDEX(BookTitle,2185)="","",INDEX(BookLevel,2185))</f>
        <v/>
      </c>
      <c r="G2190" s="40" t="str">
        <f aca="false">IF(INDEX(BookTitle,2185)="","",INDEX(BookCategory,2185))</f>
        <v/>
      </c>
      <c r="H2190" s="40" t="str">
        <f aca="false">IF(INDEX(BookTitle,2185)="","",INDEX(BookRank,2185))</f>
        <v/>
      </c>
      <c r="I2190" s="41" t="str">
        <f aca="false">IF(INDEX(BookTitle,2185)="","",INDEX(BookTotal,2185))</f>
        <v/>
      </c>
      <c r="J2190" s="0" t="str">
        <f aca="false">IF($I2190="","",IF(INDEX(BookQ1,2185)&gt;0,"Q1",IF(INDEX(BookQ2,2185)&gt;0,"Q2",IF(INDEX(BookQ3,2185)&gt;0,"Q3",IF(INDEX(BookQ4,2185)&gt;0,"Q4","")))))</f>
        <v/>
      </c>
      <c r="K2190" s="42" t="str">
        <f aca="false">IF(INDEX(BookTitle,2185)="","",INDEX(BookInYear,2185))</f>
        <v/>
      </c>
      <c r="L2190" s="19"/>
      <c r="M2190" s="39"/>
      <c r="N2190" s="19"/>
      <c r="O2190" s="19"/>
      <c r="P2190" s="43" t="str">
        <f aca="false">IF($E2190="","",IF($L2190="Decline",0,IF($L2190="Approve fewer",IF($M2190="","",$M2190),IF($L2190="","",$I2190))))</f>
        <v/>
      </c>
      <c r="Q2190" s="34" t="str">
        <f aca="false">IF($P2190="","",IF($N2190&lt;&gt;"",$N2190,$J2190))</f>
        <v/>
      </c>
      <c r="R2190" s="35" t="str">
        <f aca="false">IF(OR($P2190="",$Q2190=""),"",INDEX(BookRate,2185)*$P2190*(5-MATCH($Q2190,{"Q1";"Q2";"Q3";"Q4"},0))/4+INDEX(BookOneOff,2185)*$P2190)</f>
        <v/>
      </c>
      <c r="S2190" s="35" t="str">
        <f aca="false">IF($P2190="","",INDEX(BookRate,2185)*$P2190)</f>
        <v/>
      </c>
      <c r="T2190" s="35" t="str">
        <f aca="false">IF($R2190="","",$R2190-$K2190)</f>
        <v/>
      </c>
      <c r="U2190" s="35" t="str">
        <f aca="false">IF(N($P2190)&lt;=0,"",COUNTIF($P$6:$P2190,"&gt;0"))</f>
        <v/>
      </c>
    </row>
    <row r="2191" customFormat="false" ht="15" hidden="false" customHeight="false" outlineLevel="0" collapsed="false">
      <c r="A2191" s="40" t="str">
        <f aca="false">IF(INDEX(BookTitle,2186)="","",INDEX(BookGroup,2186))</f>
        <v/>
      </c>
      <c r="B2191" s="40" t="str">
        <f aca="false">IF(INDEX(BookTitle,2186)="","",INDEX(BookRef,2186))</f>
        <v/>
      </c>
      <c r="C2191" s="40" t="str">
        <f aca="false">IF(INDEX(BookTitle,2186)="","",INDEX(BookDivision,2186))</f>
        <v/>
      </c>
      <c r="D2191" s="40" t="str">
        <f aca="false">IF(INDEX(BookTitle,2186)="","",INDEX(BookUnit,2186))</f>
        <v/>
      </c>
      <c r="E2191" s="40" t="str">
        <f aca="false">IF(INDEX(BookTitle,2186)="","",INDEX(BookTitle,2186))</f>
        <v/>
      </c>
      <c r="F2191" s="40" t="str">
        <f aca="false">IF(INDEX(BookTitle,2186)="","",INDEX(BookLevel,2186))</f>
        <v/>
      </c>
      <c r="G2191" s="40" t="str">
        <f aca="false">IF(INDEX(BookTitle,2186)="","",INDEX(BookCategory,2186))</f>
        <v/>
      </c>
      <c r="H2191" s="40" t="str">
        <f aca="false">IF(INDEX(BookTitle,2186)="","",INDEX(BookRank,2186))</f>
        <v/>
      </c>
      <c r="I2191" s="41" t="str">
        <f aca="false">IF(INDEX(BookTitle,2186)="","",INDEX(BookTotal,2186))</f>
        <v/>
      </c>
      <c r="J2191" s="0" t="str">
        <f aca="false">IF($I2191="","",IF(INDEX(BookQ1,2186)&gt;0,"Q1",IF(INDEX(BookQ2,2186)&gt;0,"Q2",IF(INDEX(BookQ3,2186)&gt;0,"Q3",IF(INDEX(BookQ4,2186)&gt;0,"Q4","")))))</f>
        <v/>
      </c>
      <c r="K2191" s="42" t="str">
        <f aca="false">IF(INDEX(BookTitle,2186)="","",INDEX(BookInYear,2186))</f>
        <v/>
      </c>
      <c r="L2191" s="19"/>
      <c r="M2191" s="39"/>
      <c r="N2191" s="19"/>
      <c r="O2191" s="19"/>
      <c r="P2191" s="43" t="str">
        <f aca="false">IF($E2191="","",IF($L2191="Decline",0,IF($L2191="Approve fewer",IF($M2191="","",$M2191),IF($L2191="","",$I2191))))</f>
        <v/>
      </c>
      <c r="Q2191" s="34" t="str">
        <f aca="false">IF($P2191="","",IF($N2191&lt;&gt;"",$N2191,$J2191))</f>
        <v/>
      </c>
      <c r="R2191" s="35" t="str">
        <f aca="false">IF(OR($P2191="",$Q2191=""),"",INDEX(BookRate,2186)*$P2191*(5-MATCH($Q2191,{"Q1";"Q2";"Q3";"Q4"},0))/4+INDEX(BookOneOff,2186)*$P2191)</f>
        <v/>
      </c>
      <c r="S2191" s="35" t="str">
        <f aca="false">IF($P2191="","",INDEX(BookRate,2186)*$P2191)</f>
        <v/>
      </c>
      <c r="T2191" s="35" t="str">
        <f aca="false">IF($R2191="","",$R2191-$K2191)</f>
        <v/>
      </c>
      <c r="U2191" s="35" t="str">
        <f aca="false">IF(N($P2191)&lt;=0,"",COUNTIF($P$6:$P2191,"&gt;0"))</f>
        <v/>
      </c>
    </row>
    <row r="2192" customFormat="false" ht="15" hidden="false" customHeight="false" outlineLevel="0" collapsed="false">
      <c r="A2192" s="40" t="str">
        <f aca="false">IF(INDEX(BookTitle,2187)="","",INDEX(BookGroup,2187))</f>
        <v/>
      </c>
      <c r="B2192" s="40" t="str">
        <f aca="false">IF(INDEX(BookTitle,2187)="","",INDEX(BookRef,2187))</f>
        <v/>
      </c>
      <c r="C2192" s="40" t="str">
        <f aca="false">IF(INDEX(BookTitle,2187)="","",INDEX(BookDivision,2187))</f>
        <v/>
      </c>
      <c r="D2192" s="40" t="str">
        <f aca="false">IF(INDEX(BookTitle,2187)="","",INDEX(BookUnit,2187))</f>
        <v/>
      </c>
      <c r="E2192" s="40" t="str">
        <f aca="false">IF(INDEX(BookTitle,2187)="","",INDEX(BookTitle,2187))</f>
        <v/>
      </c>
      <c r="F2192" s="40" t="str">
        <f aca="false">IF(INDEX(BookTitle,2187)="","",INDEX(BookLevel,2187))</f>
        <v/>
      </c>
      <c r="G2192" s="40" t="str">
        <f aca="false">IF(INDEX(BookTitle,2187)="","",INDEX(BookCategory,2187))</f>
        <v/>
      </c>
      <c r="H2192" s="40" t="str">
        <f aca="false">IF(INDEX(BookTitle,2187)="","",INDEX(BookRank,2187))</f>
        <v/>
      </c>
      <c r="I2192" s="41" t="str">
        <f aca="false">IF(INDEX(BookTitle,2187)="","",INDEX(BookTotal,2187))</f>
        <v/>
      </c>
      <c r="J2192" s="0" t="str">
        <f aca="false">IF($I2192="","",IF(INDEX(BookQ1,2187)&gt;0,"Q1",IF(INDEX(BookQ2,2187)&gt;0,"Q2",IF(INDEX(BookQ3,2187)&gt;0,"Q3",IF(INDEX(BookQ4,2187)&gt;0,"Q4","")))))</f>
        <v/>
      </c>
      <c r="K2192" s="42" t="str">
        <f aca="false">IF(INDEX(BookTitle,2187)="","",INDEX(BookInYear,2187))</f>
        <v/>
      </c>
      <c r="L2192" s="19"/>
      <c r="M2192" s="39"/>
      <c r="N2192" s="19"/>
      <c r="O2192" s="19"/>
      <c r="P2192" s="43" t="str">
        <f aca="false">IF($E2192="","",IF($L2192="Decline",0,IF($L2192="Approve fewer",IF($M2192="","",$M2192),IF($L2192="","",$I2192))))</f>
        <v/>
      </c>
      <c r="Q2192" s="34" t="str">
        <f aca="false">IF($P2192="","",IF($N2192&lt;&gt;"",$N2192,$J2192))</f>
        <v/>
      </c>
      <c r="R2192" s="35" t="str">
        <f aca="false">IF(OR($P2192="",$Q2192=""),"",INDEX(BookRate,2187)*$P2192*(5-MATCH($Q2192,{"Q1";"Q2";"Q3";"Q4"},0))/4+INDEX(BookOneOff,2187)*$P2192)</f>
        <v/>
      </c>
      <c r="S2192" s="35" t="str">
        <f aca="false">IF($P2192="","",INDEX(BookRate,2187)*$P2192)</f>
        <v/>
      </c>
      <c r="T2192" s="35" t="str">
        <f aca="false">IF($R2192="","",$R2192-$K2192)</f>
        <v/>
      </c>
      <c r="U2192" s="35" t="str">
        <f aca="false">IF(N($P2192)&lt;=0,"",COUNTIF($P$6:$P2192,"&gt;0"))</f>
        <v/>
      </c>
    </row>
    <row r="2193" customFormat="false" ht="15" hidden="false" customHeight="false" outlineLevel="0" collapsed="false">
      <c r="A2193" s="40" t="str">
        <f aca="false">IF(INDEX(BookTitle,2188)="","",INDEX(BookGroup,2188))</f>
        <v/>
      </c>
      <c r="B2193" s="40" t="str">
        <f aca="false">IF(INDEX(BookTitle,2188)="","",INDEX(BookRef,2188))</f>
        <v/>
      </c>
      <c r="C2193" s="40" t="str">
        <f aca="false">IF(INDEX(BookTitle,2188)="","",INDEX(BookDivision,2188))</f>
        <v/>
      </c>
      <c r="D2193" s="40" t="str">
        <f aca="false">IF(INDEX(BookTitle,2188)="","",INDEX(BookUnit,2188))</f>
        <v/>
      </c>
      <c r="E2193" s="40" t="str">
        <f aca="false">IF(INDEX(BookTitle,2188)="","",INDEX(BookTitle,2188))</f>
        <v/>
      </c>
      <c r="F2193" s="40" t="str">
        <f aca="false">IF(INDEX(BookTitle,2188)="","",INDEX(BookLevel,2188))</f>
        <v/>
      </c>
      <c r="G2193" s="40" t="str">
        <f aca="false">IF(INDEX(BookTitle,2188)="","",INDEX(BookCategory,2188))</f>
        <v/>
      </c>
      <c r="H2193" s="40" t="str">
        <f aca="false">IF(INDEX(BookTitle,2188)="","",INDEX(BookRank,2188))</f>
        <v/>
      </c>
      <c r="I2193" s="41" t="str">
        <f aca="false">IF(INDEX(BookTitle,2188)="","",INDEX(BookTotal,2188))</f>
        <v/>
      </c>
      <c r="J2193" s="0" t="str">
        <f aca="false">IF($I2193="","",IF(INDEX(BookQ1,2188)&gt;0,"Q1",IF(INDEX(BookQ2,2188)&gt;0,"Q2",IF(INDEX(BookQ3,2188)&gt;0,"Q3",IF(INDEX(BookQ4,2188)&gt;0,"Q4","")))))</f>
        <v/>
      </c>
      <c r="K2193" s="42" t="str">
        <f aca="false">IF(INDEX(BookTitle,2188)="","",INDEX(BookInYear,2188))</f>
        <v/>
      </c>
      <c r="L2193" s="19"/>
      <c r="M2193" s="39"/>
      <c r="N2193" s="19"/>
      <c r="O2193" s="19"/>
      <c r="P2193" s="43" t="str">
        <f aca="false">IF($E2193="","",IF($L2193="Decline",0,IF($L2193="Approve fewer",IF($M2193="","",$M2193),IF($L2193="","",$I2193))))</f>
        <v/>
      </c>
      <c r="Q2193" s="34" t="str">
        <f aca="false">IF($P2193="","",IF($N2193&lt;&gt;"",$N2193,$J2193))</f>
        <v/>
      </c>
      <c r="R2193" s="35" t="str">
        <f aca="false">IF(OR($P2193="",$Q2193=""),"",INDEX(BookRate,2188)*$P2193*(5-MATCH($Q2193,{"Q1";"Q2";"Q3";"Q4"},0))/4+INDEX(BookOneOff,2188)*$P2193)</f>
        <v/>
      </c>
      <c r="S2193" s="35" t="str">
        <f aca="false">IF($P2193="","",INDEX(BookRate,2188)*$P2193)</f>
        <v/>
      </c>
      <c r="T2193" s="35" t="str">
        <f aca="false">IF($R2193="","",$R2193-$K2193)</f>
        <v/>
      </c>
      <c r="U2193" s="35" t="str">
        <f aca="false">IF(N($P2193)&lt;=0,"",COUNTIF($P$6:$P2193,"&gt;0"))</f>
        <v/>
      </c>
    </row>
    <row r="2194" customFormat="false" ht="15" hidden="false" customHeight="false" outlineLevel="0" collapsed="false">
      <c r="A2194" s="40" t="str">
        <f aca="false">IF(INDEX(BookTitle,2189)="","",INDEX(BookGroup,2189))</f>
        <v/>
      </c>
      <c r="B2194" s="40" t="str">
        <f aca="false">IF(INDEX(BookTitle,2189)="","",INDEX(BookRef,2189))</f>
        <v/>
      </c>
      <c r="C2194" s="40" t="str">
        <f aca="false">IF(INDEX(BookTitle,2189)="","",INDEX(BookDivision,2189))</f>
        <v/>
      </c>
      <c r="D2194" s="40" t="str">
        <f aca="false">IF(INDEX(BookTitle,2189)="","",INDEX(BookUnit,2189))</f>
        <v/>
      </c>
      <c r="E2194" s="40" t="str">
        <f aca="false">IF(INDEX(BookTitle,2189)="","",INDEX(BookTitle,2189))</f>
        <v/>
      </c>
      <c r="F2194" s="40" t="str">
        <f aca="false">IF(INDEX(BookTitle,2189)="","",INDEX(BookLevel,2189))</f>
        <v/>
      </c>
      <c r="G2194" s="40" t="str">
        <f aca="false">IF(INDEX(BookTitle,2189)="","",INDEX(BookCategory,2189))</f>
        <v/>
      </c>
      <c r="H2194" s="40" t="str">
        <f aca="false">IF(INDEX(BookTitle,2189)="","",INDEX(BookRank,2189))</f>
        <v/>
      </c>
      <c r="I2194" s="41" t="str">
        <f aca="false">IF(INDEX(BookTitle,2189)="","",INDEX(BookTotal,2189))</f>
        <v/>
      </c>
      <c r="J2194" s="0" t="str">
        <f aca="false">IF($I2194="","",IF(INDEX(BookQ1,2189)&gt;0,"Q1",IF(INDEX(BookQ2,2189)&gt;0,"Q2",IF(INDEX(BookQ3,2189)&gt;0,"Q3",IF(INDEX(BookQ4,2189)&gt;0,"Q4","")))))</f>
        <v/>
      </c>
      <c r="K2194" s="42" t="str">
        <f aca="false">IF(INDEX(BookTitle,2189)="","",INDEX(BookInYear,2189))</f>
        <v/>
      </c>
      <c r="L2194" s="19"/>
      <c r="M2194" s="39"/>
      <c r="N2194" s="19"/>
      <c r="O2194" s="19"/>
      <c r="P2194" s="43" t="str">
        <f aca="false">IF($E2194="","",IF($L2194="Decline",0,IF($L2194="Approve fewer",IF($M2194="","",$M2194),IF($L2194="","",$I2194))))</f>
        <v/>
      </c>
      <c r="Q2194" s="34" t="str">
        <f aca="false">IF($P2194="","",IF($N2194&lt;&gt;"",$N2194,$J2194))</f>
        <v/>
      </c>
      <c r="R2194" s="35" t="str">
        <f aca="false">IF(OR($P2194="",$Q2194=""),"",INDEX(BookRate,2189)*$P2194*(5-MATCH($Q2194,{"Q1";"Q2";"Q3";"Q4"},0))/4+INDEX(BookOneOff,2189)*$P2194)</f>
        <v/>
      </c>
      <c r="S2194" s="35" t="str">
        <f aca="false">IF($P2194="","",INDEX(BookRate,2189)*$P2194)</f>
        <v/>
      </c>
      <c r="T2194" s="35" t="str">
        <f aca="false">IF($R2194="","",$R2194-$K2194)</f>
        <v/>
      </c>
      <c r="U2194" s="35" t="str">
        <f aca="false">IF(N($P2194)&lt;=0,"",COUNTIF($P$6:$P2194,"&gt;0"))</f>
        <v/>
      </c>
    </row>
    <row r="2195" customFormat="false" ht="15" hidden="false" customHeight="false" outlineLevel="0" collapsed="false">
      <c r="A2195" s="40" t="str">
        <f aca="false">IF(INDEX(BookTitle,2190)="","",INDEX(BookGroup,2190))</f>
        <v/>
      </c>
      <c r="B2195" s="40" t="str">
        <f aca="false">IF(INDEX(BookTitle,2190)="","",INDEX(BookRef,2190))</f>
        <v/>
      </c>
      <c r="C2195" s="40" t="str">
        <f aca="false">IF(INDEX(BookTitle,2190)="","",INDEX(BookDivision,2190))</f>
        <v/>
      </c>
      <c r="D2195" s="40" t="str">
        <f aca="false">IF(INDEX(BookTitle,2190)="","",INDEX(BookUnit,2190))</f>
        <v/>
      </c>
      <c r="E2195" s="40" t="str">
        <f aca="false">IF(INDEX(BookTitle,2190)="","",INDEX(BookTitle,2190))</f>
        <v/>
      </c>
      <c r="F2195" s="40" t="str">
        <f aca="false">IF(INDEX(BookTitle,2190)="","",INDEX(BookLevel,2190))</f>
        <v/>
      </c>
      <c r="G2195" s="40" t="str">
        <f aca="false">IF(INDEX(BookTitle,2190)="","",INDEX(BookCategory,2190))</f>
        <v/>
      </c>
      <c r="H2195" s="40" t="str">
        <f aca="false">IF(INDEX(BookTitle,2190)="","",INDEX(BookRank,2190))</f>
        <v/>
      </c>
      <c r="I2195" s="41" t="str">
        <f aca="false">IF(INDEX(BookTitle,2190)="","",INDEX(BookTotal,2190))</f>
        <v/>
      </c>
      <c r="J2195" s="0" t="str">
        <f aca="false">IF($I2195="","",IF(INDEX(BookQ1,2190)&gt;0,"Q1",IF(INDEX(BookQ2,2190)&gt;0,"Q2",IF(INDEX(BookQ3,2190)&gt;0,"Q3",IF(INDEX(BookQ4,2190)&gt;0,"Q4","")))))</f>
        <v/>
      </c>
      <c r="K2195" s="42" t="str">
        <f aca="false">IF(INDEX(BookTitle,2190)="","",INDEX(BookInYear,2190))</f>
        <v/>
      </c>
      <c r="L2195" s="19"/>
      <c r="M2195" s="39"/>
      <c r="N2195" s="19"/>
      <c r="O2195" s="19"/>
      <c r="P2195" s="43" t="str">
        <f aca="false">IF($E2195="","",IF($L2195="Decline",0,IF($L2195="Approve fewer",IF($M2195="","",$M2195),IF($L2195="","",$I2195))))</f>
        <v/>
      </c>
      <c r="Q2195" s="34" t="str">
        <f aca="false">IF($P2195="","",IF($N2195&lt;&gt;"",$N2195,$J2195))</f>
        <v/>
      </c>
      <c r="R2195" s="35" t="str">
        <f aca="false">IF(OR($P2195="",$Q2195=""),"",INDEX(BookRate,2190)*$P2195*(5-MATCH($Q2195,{"Q1";"Q2";"Q3";"Q4"},0))/4+INDEX(BookOneOff,2190)*$P2195)</f>
        <v/>
      </c>
      <c r="S2195" s="35" t="str">
        <f aca="false">IF($P2195="","",INDEX(BookRate,2190)*$P2195)</f>
        <v/>
      </c>
      <c r="T2195" s="35" t="str">
        <f aca="false">IF($R2195="","",$R2195-$K2195)</f>
        <v/>
      </c>
      <c r="U2195" s="35" t="str">
        <f aca="false">IF(N($P2195)&lt;=0,"",COUNTIF($P$6:$P2195,"&gt;0"))</f>
        <v/>
      </c>
    </row>
    <row r="2196" customFormat="false" ht="15" hidden="false" customHeight="false" outlineLevel="0" collapsed="false">
      <c r="A2196" s="40" t="str">
        <f aca="false">IF(INDEX(BookTitle,2191)="","",INDEX(BookGroup,2191))</f>
        <v/>
      </c>
      <c r="B2196" s="40" t="str">
        <f aca="false">IF(INDEX(BookTitle,2191)="","",INDEX(BookRef,2191))</f>
        <v/>
      </c>
      <c r="C2196" s="40" t="str">
        <f aca="false">IF(INDEX(BookTitle,2191)="","",INDEX(BookDivision,2191))</f>
        <v/>
      </c>
      <c r="D2196" s="40" t="str">
        <f aca="false">IF(INDEX(BookTitle,2191)="","",INDEX(BookUnit,2191))</f>
        <v/>
      </c>
      <c r="E2196" s="40" t="str">
        <f aca="false">IF(INDEX(BookTitle,2191)="","",INDEX(BookTitle,2191))</f>
        <v/>
      </c>
      <c r="F2196" s="40" t="str">
        <f aca="false">IF(INDEX(BookTitle,2191)="","",INDEX(BookLevel,2191))</f>
        <v/>
      </c>
      <c r="G2196" s="40" t="str">
        <f aca="false">IF(INDEX(BookTitle,2191)="","",INDEX(BookCategory,2191))</f>
        <v/>
      </c>
      <c r="H2196" s="40" t="str">
        <f aca="false">IF(INDEX(BookTitle,2191)="","",INDEX(BookRank,2191))</f>
        <v/>
      </c>
      <c r="I2196" s="41" t="str">
        <f aca="false">IF(INDEX(BookTitle,2191)="","",INDEX(BookTotal,2191))</f>
        <v/>
      </c>
      <c r="J2196" s="0" t="str">
        <f aca="false">IF($I2196="","",IF(INDEX(BookQ1,2191)&gt;0,"Q1",IF(INDEX(BookQ2,2191)&gt;0,"Q2",IF(INDEX(BookQ3,2191)&gt;0,"Q3",IF(INDEX(BookQ4,2191)&gt;0,"Q4","")))))</f>
        <v/>
      </c>
      <c r="K2196" s="42" t="str">
        <f aca="false">IF(INDEX(BookTitle,2191)="","",INDEX(BookInYear,2191))</f>
        <v/>
      </c>
      <c r="L2196" s="19"/>
      <c r="M2196" s="39"/>
      <c r="N2196" s="19"/>
      <c r="O2196" s="19"/>
      <c r="P2196" s="43" t="str">
        <f aca="false">IF($E2196="","",IF($L2196="Decline",0,IF($L2196="Approve fewer",IF($M2196="","",$M2196),IF($L2196="","",$I2196))))</f>
        <v/>
      </c>
      <c r="Q2196" s="34" t="str">
        <f aca="false">IF($P2196="","",IF($N2196&lt;&gt;"",$N2196,$J2196))</f>
        <v/>
      </c>
      <c r="R2196" s="35" t="str">
        <f aca="false">IF(OR($P2196="",$Q2196=""),"",INDEX(BookRate,2191)*$P2196*(5-MATCH($Q2196,{"Q1";"Q2";"Q3";"Q4"},0))/4+INDEX(BookOneOff,2191)*$P2196)</f>
        <v/>
      </c>
      <c r="S2196" s="35" t="str">
        <f aca="false">IF($P2196="","",INDEX(BookRate,2191)*$P2196)</f>
        <v/>
      </c>
      <c r="T2196" s="35" t="str">
        <f aca="false">IF($R2196="","",$R2196-$K2196)</f>
        <v/>
      </c>
      <c r="U2196" s="35" t="str">
        <f aca="false">IF(N($P2196)&lt;=0,"",COUNTIF($P$6:$P2196,"&gt;0"))</f>
        <v/>
      </c>
    </row>
    <row r="2197" customFormat="false" ht="15" hidden="false" customHeight="false" outlineLevel="0" collapsed="false">
      <c r="A2197" s="40" t="str">
        <f aca="false">IF(INDEX(BookTitle,2192)="","",INDEX(BookGroup,2192))</f>
        <v/>
      </c>
      <c r="B2197" s="40" t="str">
        <f aca="false">IF(INDEX(BookTitle,2192)="","",INDEX(BookRef,2192))</f>
        <v/>
      </c>
      <c r="C2197" s="40" t="str">
        <f aca="false">IF(INDEX(BookTitle,2192)="","",INDEX(BookDivision,2192))</f>
        <v/>
      </c>
      <c r="D2197" s="40" t="str">
        <f aca="false">IF(INDEX(BookTitle,2192)="","",INDEX(BookUnit,2192))</f>
        <v/>
      </c>
      <c r="E2197" s="40" t="str">
        <f aca="false">IF(INDEX(BookTitle,2192)="","",INDEX(BookTitle,2192))</f>
        <v/>
      </c>
      <c r="F2197" s="40" t="str">
        <f aca="false">IF(INDEX(BookTitle,2192)="","",INDEX(BookLevel,2192))</f>
        <v/>
      </c>
      <c r="G2197" s="40" t="str">
        <f aca="false">IF(INDEX(BookTitle,2192)="","",INDEX(BookCategory,2192))</f>
        <v/>
      </c>
      <c r="H2197" s="40" t="str">
        <f aca="false">IF(INDEX(BookTitle,2192)="","",INDEX(BookRank,2192))</f>
        <v/>
      </c>
      <c r="I2197" s="41" t="str">
        <f aca="false">IF(INDEX(BookTitle,2192)="","",INDEX(BookTotal,2192))</f>
        <v/>
      </c>
      <c r="J2197" s="0" t="str">
        <f aca="false">IF($I2197="","",IF(INDEX(BookQ1,2192)&gt;0,"Q1",IF(INDEX(BookQ2,2192)&gt;0,"Q2",IF(INDEX(BookQ3,2192)&gt;0,"Q3",IF(INDEX(BookQ4,2192)&gt;0,"Q4","")))))</f>
        <v/>
      </c>
      <c r="K2197" s="42" t="str">
        <f aca="false">IF(INDEX(BookTitle,2192)="","",INDEX(BookInYear,2192))</f>
        <v/>
      </c>
      <c r="L2197" s="19"/>
      <c r="M2197" s="39"/>
      <c r="N2197" s="19"/>
      <c r="O2197" s="19"/>
      <c r="P2197" s="43" t="str">
        <f aca="false">IF($E2197="","",IF($L2197="Decline",0,IF($L2197="Approve fewer",IF($M2197="","",$M2197),IF($L2197="","",$I2197))))</f>
        <v/>
      </c>
      <c r="Q2197" s="34" t="str">
        <f aca="false">IF($P2197="","",IF($N2197&lt;&gt;"",$N2197,$J2197))</f>
        <v/>
      </c>
      <c r="R2197" s="35" t="str">
        <f aca="false">IF(OR($P2197="",$Q2197=""),"",INDEX(BookRate,2192)*$P2197*(5-MATCH($Q2197,{"Q1";"Q2";"Q3";"Q4"},0))/4+INDEX(BookOneOff,2192)*$P2197)</f>
        <v/>
      </c>
      <c r="S2197" s="35" t="str">
        <f aca="false">IF($P2197="","",INDEX(BookRate,2192)*$P2197)</f>
        <v/>
      </c>
      <c r="T2197" s="35" t="str">
        <f aca="false">IF($R2197="","",$R2197-$K2197)</f>
        <v/>
      </c>
      <c r="U2197" s="35" t="str">
        <f aca="false">IF(N($P2197)&lt;=0,"",COUNTIF($P$6:$P2197,"&gt;0"))</f>
        <v/>
      </c>
    </row>
    <row r="2198" customFormat="false" ht="15" hidden="false" customHeight="false" outlineLevel="0" collapsed="false">
      <c r="A2198" s="40" t="str">
        <f aca="false">IF(INDEX(BookTitle,2193)="","",INDEX(BookGroup,2193))</f>
        <v/>
      </c>
      <c r="B2198" s="40" t="str">
        <f aca="false">IF(INDEX(BookTitle,2193)="","",INDEX(BookRef,2193))</f>
        <v/>
      </c>
      <c r="C2198" s="40" t="str">
        <f aca="false">IF(INDEX(BookTitle,2193)="","",INDEX(BookDivision,2193))</f>
        <v/>
      </c>
      <c r="D2198" s="40" t="str">
        <f aca="false">IF(INDEX(BookTitle,2193)="","",INDEX(BookUnit,2193))</f>
        <v/>
      </c>
      <c r="E2198" s="40" t="str">
        <f aca="false">IF(INDEX(BookTitle,2193)="","",INDEX(BookTitle,2193))</f>
        <v/>
      </c>
      <c r="F2198" s="40" t="str">
        <f aca="false">IF(INDEX(BookTitle,2193)="","",INDEX(BookLevel,2193))</f>
        <v/>
      </c>
      <c r="G2198" s="40" t="str">
        <f aca="false">IF(INDEX(BookTitle,2193)="","",INDEX(BookCategory,2193))</f>
        <v/>
      </c>
      <c r="H2198" s="40" t="str">
        <f aca="false">IF(INDEX(BookTitle,2193)="","",INDEX(BookRank,2193))</f>
        <v/>
      </c>
      <c r="I2198" s="41" t="str">
        <f aca="false">IF(INDEX(BookTitle,2193)="","",INDEX(BookTotal,2193))</f>
        <v/>
      </c>
      <c r="J2198" s="0" t="str">
        <f aca="false">IF($I2198="","",IF(INDEX(BookQ1,2193)&gt;0,"Q1",IF(INDEX(BookQ2,2193)&gt;0,"Q2",IF(INDEX(BookQ3,2193)&gt;0,"Q3",IF(INDEX(BookQ4,2193)&gt;0,"Q4","")))))</f>
        <v/>
      </c>
      <c r="K2198" s="42" t="str">
        <f aca="false">IF(INDEX(BookTitle,2193)="","",INDEX(BookInYear,2193))</f>
        <v/>
      </c>
      <c r="L2198" s="19"/>
      <c r="M2198" s="39"/>
      <c r="N2198" s="19"/>
      <c r="O2198" s="19"/>
      <c r="P2198" s="43" t="str">
        <f aca="false">IF($E2198="","",IF($L2198="Decline",0,IF($L2198="Approve fewer",IF($M2198="","",$M2198),IF($L2198="","",$I2198))))</f>
        <v/>
      </c>
      <c r="Q2198" s="34" t="str">
        <f aca="false">IF($P2198="","",IF($N2198&lt;&gt;"",$N2198,$J2198))</f>
        <v/>
      </c>
      <c r="R2198" s="35" t="str">
        <f aca="false">IF(OR($P2198="",$Q2198=""),"",INDEX(BookRate,2193)*$P2198*(5-MATCH($Q2198,{"Q1";"Q2";"Q3";"Q4"},0))/4+INDEX(BookOneOff,2193)*$P2198)</f>
        <v/>
      </c>
      <c r="S2198" s="35" t="str">
        <f aca="false">IF($P2198="","",INDEX(BookRate,2193)*$P2198)</f>
        <v/>
      </c>
      <c r="T2198" s="35" t="str">
        <f aca="false">IF($R2198="","",$R2198-$K2198)</f>
        <v/>
      </c>
      <c r="U2198" s="35" t="str">
        <f aca="false">IF(N($P2198)&lt;=0,"",COUNTIF($P$6:$P2198,"&gt;0"))</f>
        <v/>
      </c>
    </row>
    <row r="2199" customFormat="false" ht="15" hidden="false" customHeight="false" outlineLevel="0" collapsed="false">
      <c r="A2199" s="40" t="str">
        <f aca="false">IF(INDEX(BookTitle,2194)="","",INDEX(BookGroup,2194))</f>
        <v/>
      </c>
      <c r="B2199" s="40" t="str">
        <f aca="false">IF(INDEX(BookTitle,2194)="","",INDEX(BookRef,2194))</f>
        <v/>
      </c>
      <c r="C2199" s="40" t="str">
        <f aca="false">IF(INDEX(BookTitle,2194)="","",INDEX(BookDivision,2194))</f>
        <v/>
      </c>
      <c r="D2199" s="40" t="str">
        <f aca="false">IF(INDEX(BookTitle,2194)="","",INDEX(BookUnit,2194))</f>
        <v/>
      </c>
      <c r="E2199" s="40" t="str">
        <f aca="false">IF(INDEX(BookTitle,2194)="","",INDEX(BookTitle,2194))</f>
        <v/>
      </c>
      <c r="F2199" s="40" t="str">
        <f aca="false">IF(INDEX(BookTitle,2194)="","",INDEX(BookLevel,2194))</f>
        <v/>
      </c>
      <c r="G2199" s="40" t="str">
        <f aca="false">IF(INDEX(BookTitle,2194)="","",INDEX(BookCategory,2194))</f>
        <v/>
      </c>
      <c r="H2199" s="40" t="str">
        <f aca="false">IF(INDEX(BookTitle,2194)="","",INDEX(BookRank,2194))</f>
        <v/>
      </c>
      <c r="I2199" s="41" t="str">
        <f aca="false">IF(INDEX(BookTitle,2194)="","",INDEX(BookTotal,2194))</f>
        <v/>
      </c>
      <c r="J2199" s="0" t="str">
        <f aca="false">IF($I2199="","",IF(INDEX(BookQ1,2194)&gt;0,"Q1",IF(INDEX(BookQ2,2194)&gt;0,"Q2",IF(INDEX(BookQ3,2194)&gt;0,"Q3",IF(INDEX(BookQ4,2194)&gt;0,"Q4","")))))</f>
        <v/>
      </c>
      <c r="K2199" s="42" t="str">
        <f aca="false">IF(INDEX(BookTitle,2194)="","",INDEX(BookInYear,2194))</f>
        <v/>
      </c>
      <c r="L2199" s="19"/>
      <c r="M2199" s="39"/>
      <c r="N2199" s="19"/>
      <c r="O2199" s="19"/>
      <c r="P2199" s="43" t="str">
        <f aca="false">IF($E2199="","",IF($L2199="Decline",0,IF($L2199="Approve fewer",IF($M2199="","",$M2199),IF($L2199="","",$I2199))))</f>
        <v/>
      </c>
      <c r="Q2199" s="34" t="str">
        <f aca="false">IF($P2199="","",IF($N2199&lt;&gt;"",$N2199,$J2199))</f>
        <v/>
      </c>
      <c r="R2199" s="35" t="str">
        <f aca="false">IF(OR($P2199="",$Q2199=""),"",INDEX(BookRate,2194)*$P2199*(5-MATCH($Q2199,{"Q1";"Q2";"Q3";"Q4"},0))/4+INDEX(BookOneOff,2194)*$P2199)</f>
        <v/>
      </c>
      <c r="S2199" s="35" t="str">
        <f aca="false">IF($P2199="","",INDEX(BookRate,2194)*$P2199)</f>
        <v/>
      </c>
      <c r="T2199" s="35" t="str">
        <f aca="false">IF($R2199="","",$R2199-$K2199)</f>
        <v/>
      </c>
      <c r="U2199" s="35" t="str">
        <f aca="false">IF(N($P2199)&lt;=0,"",COUNTIF($P$6:$P2199,"&gt;0"))</f>
        <v/>
      </c>
    </row>
    <row r="2200" customFormat="false" ht="15" hidden="false" customHeight="false" outlineLevel="0" collapsed="false">
      <c r="A2200" s="40" t="str">
        <f aca="false">IF(INDEX(BookTitle,2195)="","",INDEX(BookGroup,2195))</f>
        <v/>
      </c>
      <c r="B2200" s="40" t="str">
        <f aca="false">IF(INDEX(BookTitle,2195)="","",INDEX(BookRef,2195))</f>
        <v/>
      </c>
      <c r="C2200" s="40" t="str">
        <f aca="false">IF(INDEX(BookTitle,2195)="","",INDEX(BookDivision,2195))</f>
        <v/>
      </c>
      <c r="D2200" s="40" t="str">
        <f aca="false">IF(INDEX(BookTitle,2195)="","",INDEX(BookUnit,2195))</f>
        <v/>
      </c>
      <c r="E2200" s="40" t="str">
        <f aca="false">IF(INDEX(BookTitle,2195)="","",INDEX(BookTitle,2195))</f>
        <v/>
      </c>
      <c r="F2200" s="40" t="str">
        <f aca="false">IF(INDEX(BookTitle,2195)="","",INDEX(BookLevel,2195))</f>
        <v/>
      </c>
      <c r="G2200" s="40" t="str">
        <f aca="false">IF(INDEX(BookTitle,2195)="","",INDEX(BookCategory,2195))</f>
        <v/>
      </c>
      <c r="H2200" s="40" t="str">
        <f aca="false">IF(INDEX(BookTitle,2195)="","",INDEX(BookRank,2195))</f>
        <v/>
      </c>
      <c r="I2200" s="41" t="str">
        <f aca="false">IF(INDEX(BookTitle,2195)="","",INDEX(BookTotal,2195))</f>
        <v/>
      </c>
      <c r="J2200" s="0" t="str">
        <f aca="false">IF($I2200="","",IF(INDEX(BookQ1,2195)&gt;0,"Q1",IF(INDEX(BookQ2,2195)&gt;0,"Q2",IF(INDEX(BookQ3,2195)&gt;0,"Q3",IF(INDEX(BookQ4,2195)&gt;0,"Q4","")))))</f>
        <v/>
      </c>
      <c r="K2200" s="42" t="str">
        <f aca="false">IF(INDEX(BookTitle,2195)="","",INDEX(BookInYear,2195))</f>
        <v/>
      </c>
      <c r="L2200" s="19"/>
      <c r="M2200" s="39"/>
      <c r="N2200" s="19"/>
      <c r="O2200" s="19"/>
      <c r="P2200" s="43" t="str">
        <f aca="false">IF($E2200="","",IF($L2200="Decline",0,IF($L2200="Approve fewer",IF($M2200="","",$M2200),IF($L2200="","",$I2200))))</f>
        <v/>
      </c>
      <c r="Q2200" s="34" t="str">
        <f aca="false">IF($P2200="","",IF($N2200&lt;&gt;"",$N2200,$J2200))</f>
        <v/>
      </c>
      <c r="R2200" s="35" t="str">
        <f aca="false">IF(OR($P2200="",$Q2200=""),"",INDEX(BookRate,2195)*$P2200*(5-MATCH($Q2200,{"Q1";"Q2";"Q3";"Q4"},0))/4+INDEX(BookOneOff,2195)*$P2200)</f>
        <v/>
      </c>
      <c r="S2200" s="35" t="str">
        <f aca="false">IF($P2200="","",INDEX(BookRate,2195)*$P2200)</f>
        <v/>
      </c>
      <c r="T2200" s="35" t="str">
        <f aca="false">IF($R2200="","",$R2200-$K2200)</f>
        <v/>
      </c>
      <c r="U2200" s="35" t="str">
        <f aca="false">IF(N($P2200)&lt;=0,"",COUNTIF($P$6:$P2200,"&gt;0"))</f>
        <v/>
      </c>
    </row>
    <row r="2201" customFormat="false" ht="15" hidden="false" customHeight="false" outlineLevel="0" collapsed="false">
      <c r="A2201" s="40" t="str">
        <f aca="false">IF(INDEX(BookTitle,2196)="","",INDEX(BookGroup,2196))</f>
        <v/>
      </c>
      <c r="B2201" s="40" t="str">
        <f aca="false">IF(INDEX(BookTitle,2196)="","",INDEX(BookRef,2196))</f>
        <v/>
      </c>
      <c r="C2201" s="40" t="str">
        <f aca="false">IF(INDEX(BookTitle,2196)="","",INDEX(BookDivision,2196))</f>
        <v/>
      </c>
      <c r="D2201" s="40" t="str">
        <f aca="false">IF(INDEX(BookTitle,2196)="","",INDEX(BookUnit,2196))</f>
        <v/>
      </c>
      <c r="E2201" s="40" t="str">
        <f aca="false">IF(INDEX(BookTitle,2196)="","",INDEX(BookTitle,2196))</f>
        <v/>
      </c>
      <c r="F2201" s="40" t="str">
        <f aca="false">IF(INDEX(BookTitle,2196)="","",INDEX(BookLevel,2196))</f>
        <v/>
      </c>
      <c r="G2201" s="40" t="str">
        <f aca="false">IF(INDEX(BookTitle,2196)="","",INDEX(BookCategory,2196))</f>
        <v/>
      </c>
      <c r="H2201" s="40" t="str">
        <f aca="false">IF(INDEX(BookTitle,2196)="","",INDEX(BookRank,2196))</f>
        <v/>
      </c>
      <c r="I2201" s="41" t="str">
        <f aca="false">IF(INDEX(BookTitle,2196)="","",INDEX(BookTotal,2196))</f>
        <v/>
      </c>
      <c r="J2201" s="0" t="str">
        <f aca="false">IF($I2201="","",IF(INDEX(BookQ1,2196)&gt;0,"Q1",IF(INDEX(BookQ2,2196)&gt;0,"Q2",IF(INDEX(BookQ3,2196)&gt;0,"Q3",IF(INDEX(BookQ4,2196)&gt;0,"Q4","")))))</f>
        <v/>
      </c>
      <c r="K2201" s="42" t="str">
        <f aca="false">IF(INDEX(BookTitle,2196)="","",INDEX(BookInYear,2196))</f>
        <v/>
      </c>
      <c r="L2201" s="19"/>
      <c r="M2201" s="39"/>
      <c r="N2201" s="19"/>
      <c r="O2201" s="19"/>
      <c r="P2201" s="43" t="str">
        <f aca="false">IF($E2201="","",IF($L2201="Decline",0,IF($L2201="Approve fewer",IF($M2201="","",$M2201),IF($L2201="","",$I2201))))</f>
        <v/>
      </c>
      <c r="Q2201" s="34" t="str">
        <f aca="false">IF($P2201="","",IF($N2201&lt;&gt;"",$N2201,$J2201))</f>
        <v/>
      </c>
      <c r="R2201" s="35" t="str">
        <f aca="false">IF(OR($P2201="",$Q2201=""),"",INDEX(BookRate,2196)*$P2201*(5-MATCH($Q2201,{"Q1";"Q2";"Q3";"Q4"},0))/4+INDEX(BookOneOff,2196)*$P2201)</f>
        <v/>
      </c>
      <c r="S2201" s="35" t="str">
        <f aca="false">IF($P2201="","",INDEX(BookRate,2196)*$P2201)</f>
        <v/>
      </c>
      <c r="T2201" s="35" t="str">
        <f aca="false">IF($R2201="","",$R2201-$K2201)</f>
        <v/>
      </c>
      <c r="U2201" s="35" t="str">
        <f aca="false">IF(N($P2201)&lt;=0,"",COUNTIF($P$6:$P2201,"&gt;0"))</f>
        <v/>
      </c>
    </row>
    <row r="2202" customFormat="false" ht="15" hidden="false" customHeight="false" outlineLevel="0" collapsed="false">
      <c r="A2202" s="40" t="str">
        <f aca="false">IF(INDEX(BookTitle,2197)="","",INDEX(BookGroup,2197))</f>
        <v/>
      </c>
      <c r="B2202" s="40" t="str">
        <f aca="false">IF(INDEX(BookTitle,2197)="","",INDEX(BookRef,2197))</f>
        <v/>
      </c>
      <c r="C2202" s="40" t="str">
        <f aca="false">IF(INDEX(BookTitle,2197)="","",INDEX(BookDivision,2197))</f>
        <v/>
      </c>
      <c r="D2202" s="40" t="str">
        <f aca="false">IF(INDEX(BookTitle,2197)="","",INDEX(BookUnit,2197))</f>
        <v/>
      </c>
      <c r="E2202" s="40" t="str">
        <f aca="false">IF(INDEX(BookTitle,2197)="","",INDEX(BookTitle,2197))</f>
        <v/>
      </c>
      <c r="F2202" s="40" t="str">
        <f aca="false">IF(INDEX(BookTitle,2197)="","",INDEX(BookLevel,2197))</f>
        <v/>
      </c>
      <c r="G2202" s="40" t="str">
        <f aca="false">IF(INDEX(BookTitle,2197)="","",INDEX(BookCategory,2197))</f>
        <v/>
      </c>
      <c r="H2202" s="40" t="str">
        <f aca="false">IF(INDEX(BookTitle,2197)="","",INDEX(BookRank,2197))</f>
        <v/>
      </c>
      <c r="I2202" s="41" t="str">
        <f aca="false">IF(INDEX(BookTitle,2197)="","",INDEX(BookTotal,2197))</f>
        <v/>
      </c>
      <c r="J2202" s="0" t="str">
        <f aca="false">IF($I2202="","",IF(INDEX(BookQ1,2197)&gt;0,"Q1",IF(INDEX(BookQ2,2197)&gt;0,"Q2",IF(INDEX(BookQ3,2197)&gt;0,"Q3",IF(INDEX(BookQ4,2197)&gt;0,"Q4","")))))</f>
        <v/>
      </c>
      <c r="K2202" s="42" t="str">
        <f aca="false">IF(INDEX(BookTitle,2197)="","",INDEX(BookInYear,2197))</f>
        <v/>
      </c>
      <c r="L2202" s="19"/>
      <c r="M2202" s="39"/>
      <c r="N2202" s="19"/>
      <c r="O2202" s="19"/>
      <c r="P2202" s="43" t="str">
        <f aca="false">IF($E2202="","",IF($L2202="Decline",0,IF($L2202="Approve fewer",IF($M2202="","",$M2202),IF($L2202="","",$I2202))))</f>
        <v/>
      </c>
      <c r="Q2202" s="34" t="str">
        <f aca="false">IF($P2202="","",IF($N2202&lt;&gt;"",$N2202,$J2202))</f>
        <v/>
      </c>
      <c r="R2202" s="35" t="str">
        <f aca="false">IF(OR($P2202="",$Q2202=""),"",INDEX(BookRate,2197)*$P2202*(5-MATCH($Q2202,{"Q1";"Q2";"Q3";"Q4"},0))/4+INDEX(BookOneOff,2197)*$P2202)</f>
        <v/>
      </c>
      <c r="S2202" s="35" t="str">
        <f aca="false">IF($P2202="","",INDEX(BookRate,2197)*$P2202)</f>
        <v/>
      </c>
      <c r="T2202" s="35" t="str">
        <f aca="false">IF($R2202="","",$R2202-$K2202)</f>
        <v/>
      </c>
      <c r="U2202" s="35" t="str">
        <f aca="false">IF(N($P2202)&lt;=0,"",COUNTIF($P$6:$P2202,"&gt;0"))</f>
        <v/>
      </c>
    </row>
    <row r="2203" customFormat="false" ht="15" hidden="false" customHeight="false" outlineLevel="0" collapsed="false">
      <c r="A2203" s="40" t="str">
        <f aca="false">IF(INDEX(BookTitle,2198)="","",INDEX(BookGroup,2198))</f>
        <v/>
      </c>
      <c r="B2203" s="40" t="str">
        <f aca="false">IF(INDEX(BookTitle,2198)="","",INDEX(BookRef,2198))</f>
        <v/>
      </c>
      <c r="C2203" s="40" t="str">
        <f aca="false">IF(INDEX(BookTitle,2198)="","",INDEX(BookDivision,2198))</f>
        <v/>
      </c>
      <c r="D2203" s="40" t="str">
        <f aca="false">IF(INDEX(BookTitle,2198)="","",INDEX(BookUnit,2198))</f>
        <v/>
      </c>
      <c r="E2203" s="40" t="str">
        <f aca="false">IF(INDEX(BookTitle,2198)="","",INDEX(BookTitle,2198))</f>
        <v/>
      </c>
      <c r="F2203" s="40" t="str">
        <f aca="false">IF(INDEX(BookTitle,2198)="","",INDEX(BookLevel,2198))</f>
        <v/>
      </c>
      <c r="G2203" s="40" t="str">
        <f aca="false">IF(INDEX(BookTitle,2198)="","",INDEX(BookCategory,2198))</f>
        <v/>
      </c>
      <c r="H2203" s="40" t="str">
        <f aca="false">IF(INDEX(BookTitle,2198)="","",INDEX(BookRank,2198))</f>
        <v/>
      </c>
      <c r="I2203" s="41" t="str">
        <f aca="false">IF(INDEX(BookTitle,2198)="","",INDEX(BookTotal,2198))</f>
        <v/>
      </c>
      <c r="J2203" s="0" t="str">
        <f aca="false">IF($I2203="","",IF(INDEX(BookQ1,2198)&gt;0,"Q1",IF(INDEX(BookQ2,2198)&gt;0,"Q2",IF(INDEX(BookQ3,2198)&gt;0,"Q3",IF(INDEX(BookQ4,2198)&gt;0,"Q4","")))))</f>
        <v/>
      </c>
      <c r="K2203" s="42" t="str">
        <f aca="false">IF(INDEX(BookTitle,2198)="","",INDEX(BookInYear,2198))</f>
        <v/>
      </c>
      <c r="L2203" s="19"/>
      <c r="M2203" s="39"/>
      <c r="N2203" s="19"/>
      <c r="O2203" s="19"/>
      <c r="P2203" s="43" t="str">
        <f aca="false">IF($E2203="","",IF($L2203="Decline",0,IF($L2203="Approve fewer",IF($M2203="","",$M2203),IF($L2203="","",$I2203))))</f>
        <v/>
      </c>
      <c r="Q2203" s="34" t="str">
        <f aca="false">IF($P2203="","",IF($N2203&lt;&gt;"",$N2203,$J2203))</f>
        <v/>
      </c>
      <c r="R2203" s="35" t="str">
        <f aca="false">IF(OR($P2203="",$Q2203=""),"",INDEX(BookRate,2198)*$P2203*(5-MATCH($Q2203,{"Q1";"Q2";"Q3";"Q4"},0))/4+INDEX(BookOneOff,2198)*$P2203)</f>
        <v/>
      </c>
      <c r="S2203" s="35" t="str">
        <f aca="false">IF($P2203="","",INDEX(BookRate,2198)*$P2203)</f>
        <v/>
      </c>
      <c r="T2203" s="35" t="str">
        <f aca="false">IF($R2203="","",$R2203-$K2203)</f>
        <v/>
      </c>
      <c r="U2203" s="35" t="str">
        <f aca="false">IF(N($P2203)&lt;=0,"",COUNTIF($P$6:$P2203,"&gt;0"))</f>
        <v/>
      </c>
    </row>
    <row r="2204" customFormat="false" ht="15" hidden="false" customHeight="false" outlineLevel="0" collapsed="false">
      <c r="A2204" s="40" t="str">
        <f aca="false">IF(INDEX(BookTitle,2199)="","",INDEX(BookGroup,2199))</f>
        <v/>
      </c>
      <c r="B2204" s="40" t="str">
        <f aca="false">IF(INDEX(BookTitle,2199)="","",INDEX(BookRef,2199))</f>
        <v/>
      </c>
      <c r="C2204" s="40" t="str">
        <f aca="false">IF(INDEX(BookTitle,2199)="","",INDEX(BookDivision,2199))</f>
        <v/>
      </c>
      <c r="D2204" s="40" t="str">
        <f aca="false">IF(INDEX(BookTitle,2199)="","",INDEX(BookUnit,2199))</f>
        <v/>
      </c>
      <c r="E2204" s="40" t="str">
        <f aca="false">IF(INDEX(BookTitle,2199)="","",INDEX(BookTitle,2199))</f>
        <v/>
      </c>
      <c r="F2204" s="40" t="str">
        <f aca="false">IF(INDEX(BookTitle,2199)="","",INDEX(BookLevel,2199))</f>
        <v/>
      </c>
      <c r="G2204" s="40" t="str">
        <f aca="false">IF(INDEX(BookTitle,2199)="","",INDEX(BookCategory,2199))</f>
        <v/>
      </c>
      <c r="H2204" s="40" t="str">
        <f aca="false">IF(INDEX(BookTitle,2199)="","",INDEX(BookRank,2199))</f>
        <v/>
      </c>
      <c r="I2204" s="41" t="str">
        <f aca="false">IF(INDEX(BookTitle,2199)="","",INDEX(BookTotal,2199))</f>
        <v/>
      </c>
      <c r="J2204" s="0" t="str">
        <f aca="false">IF($I2204="","",IF(INDEX(BookQ1,2199)&gt;0,"Q1",IF(INDEX(BookQ2,2199)&gt;0,"Q2",IF(INDEX(BookQ3,2199)&gt;0,"Q3",IF(INDEX(BookQ4,2199)&gt;0,"Q4","")))))</f>
        <v/>
      </c>
      <c r="K2204" s="42" t="str">
        <f aca="false">IF(INDEX(BookTitle,2199)="","",INDEX(BookInYear,2199))</f>
        <v/>
      </c>
      <c r="L2204" s="19"/>
      <c r="M2204" s="39"/>
      <c r="N2204" s="19"/>
      <c r="O2204" s="19"/>
      <c r="P2204" s="43" t="str">
        <f aca="false">IF($E2204="","",IF($L2204="Decline",0,IF($L2204="Approve fewer",IF($M2204="","",$M2204),IF($L2204="","",$I2204))))</f>
        <v/>
      </c>
      <c r="Q2204" s="34" t="str">
        <f aca="false">IF($P2204="","",IF($N2204&lt;&gt;"",$N2204,$J2204))</f>
        <v/>
      </c>
      <c r="R2204" s="35" t="str">
        <f aca="false">IF(OR($P2204="",$Q2204=""),"",INDEX(BookRate,2199)*$P2204*(5-MATCH($Q2204,{"Q1";"Q2";"Q3";"Q4"},0))/4+INDEX(BookOneOff,2199)*$P2204)</f>
        <v/>
      </c>
      <c r="S2204" s="35" t="str">
        <f aca="false">IF($P2204="","",INDEX(BookRate,2199)*$P2204)</f>
        <v/>
      </c>
      <c r="T2204" s="35" t="str">
        <f aca="false">IF($R2204="","",$R2204-$K2204)</f>
        <v/>
      </c>
      <c r="U2204" s="35" t="str">
        <f aca="false">IF(N($P2204)&lt;=0,"",COUNTIF($P$6:$P2204,"&gt;0"))</f>
        <v/>
      </c>
    </row>
    <row r="2205" customFormat="false" ht="15" hidden="false" customHeight="false" outlineLevel="0" collapsed="false">
      <c r="A2205" s="40" t="str">
        <f aca="false">IF(INDEX(BookTitle,2200)="","",INDEX(BookGroup,2200))</f>
        <v/>
      </c>
      <c r="B2205" s="40" t="str">
        <f aca="false">IF(INDEX(BookTitle,2200)="","",INDEX(BookRef,2200))</f>
        <v/>
      </c>
      <c r="C2205" s="40" t="str">
        <f aca="false">IF(INDEX(BookTitle,2200)="","",INDEX(BookDivision,2200))</f>
        <v/>
      </c>
      <c r="D2205" s="40" t="str">
        <f aca="false">IF(INDEX(BookTitle,2200)="","",INDEX(BookUnit,2200))</f>
        <v/>
      </c>
      <c r="E2205" s="40" t="str">
        <f aca="false">IF(INDEX(BookTitle,2200)="","",INDEX(BookTitle,2200))</f>
        <v/>
      </c>
      <c r="F2205" s="40" t="str">
        <f aca="false">IF(INDEX(BookTitle,2200)="","",INDEX(BookLevel,2200))</f>
        <v/>
      </c>
      <c r="G2205" s="40" t="str">
        <f aca="false">IF(INDEX(BookTitle,2200)="","",INDEX(BookCategory,2200))</f>
        <v/>
      </c>
      <c r="H2205" s="40" t="str">
        <f aca="false">IF(INDEX(BookTitle,2200)="","",INDEX(BookRank,2200))</f>
        <v/>
      </c>
      <c r="I2205" s="41" t="str">
        <f aca="false">IF(INDEX(BookTitle,2200)="","",INDEX(BookTotal,2200))</f>
        <v/>
      </c>
      <c r="J2205" s="0" t="str">
        <f aca="false">IF($I2205="","",IF(INDEX(BookQ1,2200)&gt;0,"Q1",IF(INDEX(BookQ2,2200)&gt;0,"Q2",IF(INDEX(BookQ3,2200)&gt;0,"Q3",IF(INDEX(BookQ4,2200)&gt;0,"Q4","")))))</f>
        <v/>
      </c>
      <c r="K2205" s="42" t="str">
        <f aca="false">IF(INDEX(BookTitle,2200)="","",INDEX(BookInYear,2200))</f>
        <v/>
      </c>
      <c r="L2205" s="19"/>
      <c r="M2205" s="39"/>
      <c r="N2205" s="19"/>
      <c r="O2205" s="19"/>
      <c r="P2205" s="43" t="str">
        <f aca="false">IF($E2205="","",IF($L2205="Decline",0,IF($L2205="Approve fewer",IF($M2205="","",$M2205),IF($L2205="","",$I2205))))</f>
        <v/>
      </c>
      <c r="Q2205" s="34" t="str">
        <f aca="false">IF($P2205="","",IF($N2205&lt;&gt;"",$N2205,$J2205))</f>
        <v/>
      </c>
      <c r="R2205" s="35" t="str">
        <f aca="false">IF(OR($P2205="",$Q2205=""),"",INDEX(BookRate,2200)*$P2205*(5-MATCH($Q2205,{"Q1";"Q2";"Q3";"Q4"},0))/4+INDEX(BookOneOff,2200)*$P2205)</f>
        <v/>
      </c>
      <c r="S2205" s="35" t="str">
        <f aca="false">IF($P2205="","",INDEX(BookRate,2200)*$P2205)</f>
        <v/>
      </c>
      <c r="T2205" s="35" t="str">
        <f aca="false">IF($R2205="","",$R2205-$K2205)</f>
        <v/>
      </c>
      <c r="U2205" s="35" t="str">
        <f aca="false">IF(N($P2205)&lt;=0,"",COUNTIF($P$6:$P2205,"&gt;0"))</f>
        <v/>
      </c>
    </row>
    <row r="2206" customFormat="false" ht="15" hidden="false" customHeight="false" outlineLevel="0" collapsed="false">
      <c r="A2206" s="40" t="str">
        <f aca="false">IF(INDEX(BookTitle,2201)="","",INDEX(BookGroup,2201))</f>
        <v/>
      </c>
      <c r="B2206" s="40" t="str">
        <f aca="false">IF(INDEX(BookTitle,2201)="","",INDEX(BookRef,2201))</f>
        <v/>
      </c>
      <c r="C2206" s="40" t="str">
        <f aca="false">IF(INDEX(BookTitle,2201)="","",INDEX(BookDivision,2201))</f>
        <v/>
      </c>
      <c r="D2206" s="40" t="str">
        <f aca="false">IF(INDEX(BookTitle,2201)="","",INDEX(BookUnit,2201))</f>
        <v/>
      </c>
      <c r="E2206" s="40" t="str">
        <f aca="false">IF(INDEX(BookTitle,2201)="","",INDEX(BookTitle,2201))</f>
        <v/>
      </c>
      <c r="F2206" s="40" t="str">
        <f aca="false">IF(INDEX(BookTitle,2201)="","",INDEX(BookLevel,2201))</f>
        <v/>
      </c>
      <c r="G2206" s="40" t="str">
        <f aca="false">IF(INDEX(BookTitle,2201)="","",INDEX(BookCategory,2201))</f>
        <v/>
      </c>
      <c r="H2206" s="40" t="str">
        <f aca="false">IF(INDEX(BookTitle,2201)="","",INDEX(BookRank,2201))</f>
        <v/>
      </c>
      <c r="I2206" s="41" t="str">
        <f aca="false">IF(INDEX(BookTitle,2201)="","",INDEX(BookTotal,2201))</f>
        <v/>
      </c>
      <c r="J2206" s="0" t="str">
        <f aca="false">IF($I2206="","",IF(INDEX(BookQ1,2201)&gt;0,"Q1",IF(INDEX(BookQ2,2201)&gt;0,"Q2",IF(INDEX(BookQ3,2201)&gt;0,"Q3",IF(INDEX(BookQ4,2201)&gt;0,"Q4","")))))</f>
        <v/>
      </c>
      <c r="K2206" s="42" t="str">
        <f aca="false">IF(INDEX(BookTitle,2201)="","",INDEX(BookInYear,2201))</f>
        <v/>
      </c>
      <c r="L2206" s="19"/>
      <c r="M2206" s="39"/>
      <c r="N2206" s="19"/>
      <c r="O2206" s="19"/>
      <c r="P2206" s="43" t="str">
        <f aca="false">IF($E2206="","",IF($L2206="Decline",0,IF($L2206="Approve fewer",IF($M2206="","",$M2206),IF($L2206="","",$I2206))))</f>
        <v/>
      </c>
      <c r="Q2206" s="34" t="str">
        <f aca="false">IF($P2206="","",IF($N2206&lt;&gt;"",$N2206,$J2206))</f>
        <v/>
      </c>
      <c r="R2206" s="35" t="str">
        <f aca="false">IF(OR($P2206="",$Q2206=""),"",INDEX(BookRate,2201)*$P2206*(5-MATCH($Q2206,{"Q1";"Q2";"Q3";"Q4"},0))/4+INDEX(BookOneOff,2201)*$P2206)</f>
        <v/>
      </c>
      <c r="S2206" s="35" t="str">
        <f aca="false">IF($P2206="","",INDEX(BookRate,2201)*$P2206)</f>
        <v/>
      </c>
      <c r="T2206" s="35" t="str">
        <f aca="false">IF($R2206="","",$R2206-$K2206)</f>
        <v/>
      </c>
      <c r="U2206" s="35" t="str">
        <f aca="false">IF(N($P2206)&lt;=0,"",COUNTIF($P$6:$P2206,"&gt;0"))</f>
        <v/>
      </c>
    </row>
    <row r="2207" customFormat="false" ht="15" hidden="false" customHeight="false" outlineLevel="0" collapsed="false">
      <c r="A2207" s="40" t="str">
        <f aca="false">IF(INDEX(BookTitle,2202)="","",INDEX(BookGroup,2202))</f>
        <v/>
      </c>
      <c r="B2207" s="40" t="str">
        <f aca="false">IF(INDEX(BookTitle,2202)="","",INDEX(BookRef,2202))</f>
        <v/>
      </c>
      <c r="C2207" s="40" t="str">
        <f aca="false">IF(INDEX(BookTitle,2202)="","",INDEX(BookDivision,2202))</f>
        <v/>
      </c>
      <c r="D2207" s="40" t="str">
        <f aca="false">IF(INDEX(BookTitle,2202)="","",INDEX(BookUnit,2202))</f>
        <v/>
      </c>
      <c r="E2207" s="40" t="str">
        <f aca="false">IF(INDEX(BookTitle,2202)="","",INDEX(BookTitle,2202))</f>
        <v/>
      </c>
      <c r="F2207" s="40" t="str">
        <f aca="false">IF(INDEX(BookTitle,2202)="","",INDEX(BookLevel,2202))</f>
        <v/>
      </c>
      <c r="G2207" s="40" t="str">
        <f aca="false">IF(INDEX(BookTitle,2202)="","",INDEX(BookCategory,2202))</f>
        <v/>
      </c>
      <c r="H2207" s="40" t="str">
        <f aca="false">IF(INDEX(BookTitle,2202)="","",INDEX(BookRank,2202))</f>
        <v/>
      </c>
      <c r="I2207" s="41" t="str">
        <f aca="false">IF(INDEX(BookTitle,2202)="","",INDEX(BookTotal,2202))</f>
        <v/>
      </c>
      <c r="J2207" s="0" t="str">
        <f aca="false">IF($I2207="","",IF(INDEX(BookQ1,2202)&gt;0,"Q1",IF(INDEX(BookQ2,2202)&gt;0,"Q2",IF(INDEX(BookQ3,2202)&gt;0,"Q3",IF(INDEX(BookQ4,2202)&gt;0,"Q4","")))))</f>
        <v/>
      </c>
      <c r="K2207" s="42" t="str">
        <f aca="false">IF(INDEX(BookTitle,2202)="","",INDEX(BookInYear,2202))</f>
        <v/>
      </c>
      <c r="L2207" s="19"/>
      <c r="M2207" s="39"/>
      <c r="N2207" s="19"/>
      <c r="O2207" s="19"/>
      <c r="P2207" s="43" t="str">
        <f aca="false">IF($E2207="","",IF($L2207="Decline",0,IF($L2207="Approve fewer",IF($M2207="","",$M2207),IF($L2207="","",$I2207))))</f>
        <v/>
      </c>
      <c r="Q2207" s="34" t="str">
        <f aca="false">IF($P2207="","",IF($N2207&lt;&gt;"",$N2207,$J2207))</f>
        <v/>
      </c>
      <c r="R2207" s="35" t="str">
        <f aca="false">IF(OR($P2207="",$Q2207=""),"",INDEX(BookRate,2202)*$P2207*(5-MATCH($Q2207,{"Q1";"Q2";"Q3";"Q4"},0))/4+INDEX(BookOneOff,2202)*$P2207)</f>
        <v/>
      </c>
      <c r="S2207" s="35" t="str">
        <f aca="false">IF($P2207="","",INDEX(BookRate,2202)*$P2207)</f>
        <v/>
      </c>
      <c r="T2207" s="35" t="str">
        <f aca="false">IF($R2207="","",$R2207-$K2207)</f>
        <v/>
      </c>
      <c r="U2207" s="35" t="str">
        <f aca="false">IF(N($P2207)&lt;=0,"",COUNTIF($P$6:$P2207,"&gt;0"))</f>
        <v/>
      </c>
    </row>
    <row r="2208" customFormat="false" ht="15" hidden="false" customHeight="false" outlineLevel="0" collapsed="false">
      <c r="A2208" s="40" t="str">
        <f aca="false">IF(INDEX(BookTitle,2203)="","",INDEX(BookGroup,2203))</f>
        <v/>
      </c>
      <c r="B2208" s="40" t="str">
        <f aca="false">IF(INDEX(BookTitle,2203)="","",INDEX(BookRef,2203))</f>
        <v/>
      </c>
      <c r="C2208" s="40" t="str">
        <f aca="false">IF(INDEX(BookTitle,2203)="","",INDEX(BookDivision,2203))</f>
        <v/>
      </c>
      <c r="D2208" s="40" t="str">
        <f aca="false">IF(INDEX(BookTitle,2203)="","",INDEX(BookUnit,2203))</f>
        <v/>
      </c>
      <c r="E2208" s="40" t="str">
        <f aca="false">IF(INDEX(BookTitle,2203)="","",INDEX(BookTitle,2203))</f>
        <v/>
      </c>
      <c r="F2208" s="40" t="str">
        <f aca="false">IF(INDEX(BookTitle,2203)="","",INDEX(BookLevel,2203))</f>
        <v/>
      </c>
      <c r="G2208" s="40" t="str">
        <f aca="false">IF(INDEX(BookTitle,2203)="","",INDEX(BookCategory,2203))</f>
        <v/>
      </c>
      <c r="H2208" s="40" t="str">
        <f aca="false">IF(INDEX(BookTitle,2203)="","",INDEX(BookRank,2203))</f>
        <v/>
      </c>
      <c r="I2208" s="41" t="str">
        <f aca="false">IF(INDEX(BookTitle,2203)="","",INDEX(BookTotal,2203))</f>
        <v/>
      </c>
      <c r="J2208" s="0" t="str">
        <f aca="false">IF($I2208="","",IF(INDEX(BookQ1,2203)&gt;0,"Q1",IF(INDEX(BookQ2,2203)&gt;0,"Q2",IF(INDEX(BookQ3,2203)&gt;0,"Q3",IF(INDEX(BookQ4,2203)&gt;0,"Q4","")))))</f>
        <v/>
      </c>
      <c r="K2208" s="42" t="str">
        <f aca="false">IF(INDEX(BookTitle,2203)="","",INDEX(BookInYear,2203))</f>
        <v/>
      </c>
      <c r="L2208" s="19"/>
      <c r="M2208" s="39"/>
      <c r="N2208" s="19"/>
      <c r="O2208" s="19"/>
      <c r="P2208" s="43" t="str">
        <f aca="false">IF($E2208="","",IF($L2208="Decline",0,IF($L2208="Approve fewer",IF($M2208="","",$M2208),IF($L2208="","",$I2208))))</f>
        <v/>
      </c>
      <c r="Q2208" s="34" t="str">
        <f aca="false">IF($P2208="","",IF($N2208&lt;&gt;"",$N2208,$J2208))</f>
        <v/>
      </c>
      <c r="R2208" s="35" t="str">
        <f aca="false">IF(OR($P2208="",$Q2208=""),"",INDEX(BookRate,2203)*$P2208*(5-MATCH($Q2208,{"Q1";"Q2";"Q3";"Q4"},0))/4+INDEX(BookOneOff,2203)*$P2208)</f>
        <v/>
      </c>
      <c r="S2208" s="35" t="str">
        <f aca="false">IF($P2208="","",INDEX(BookRate,2203)*$P2208)</f>
        <v/>
      </c>
      <c r="T2208" s="35" t="str">
        <f aca="false">IF($R2208="","",$R2208-$K2208)</f>
        <v/>
      </c>
      <c r="U2208" s="35" t="str">
        <f aca="false">IF(N($P2208)&lt;=0,"",COUNTIF($P$6:$P2208,"&gt;0"))</f>
        <v/>
      </c>
    </row>
    <row r="2209" customFormat="false" ht="15" hidden="false" customHeight="false" outlineLevel="0" collapsed="false">
      <c r="A2209" s="40" t="str">
        <f aca="false">IF(INDEX(BookTitle,2204)="","",INDEX(BookGroup,2204))</f>
        <v/>
      </c>
      <c r="B2209" s="40" t="str">
        <f aca="false">IF(INDEX(BookTitle,2204)="","",INDEX(BookRef,2204))</f>
        <v/>
      </c>
      <c r="C2209" s="40" t="str">
        <f aca="false">IF(INDEX(BookTitle,2204)="","",INDEX(BookDivision,2204))</f>
        <v/>
      </c>
      <c r="D2209" s="40" t="str">
        <f aca="false">IF(INDEX(BookTitle,2204)="","",INDEX(BookUnit,2204))</f>
        <v/>
      </c>
      <c r="E2209" s="40" t="str">
        <f aca="false">IF(INDEX(BookTitle,2204)="","",INDEX(BookTitle,2204))</f>
        <v/>
      </c>
      <c r="F2209" s="40" t="str">
        <f aca="false">IF(INDEX(BookTitle,2204)="","",INDEX(BookLevel,2204))</f>
        <v/>
      </c>
      <c r="G2209" s="40" t="str">
        <f aca="false">IF(INDEX(BookTitle,2204)="","",INDEX(BookCategory,2204))</f>
        <v/>
      </c>
      <c r="H2209" s="40" t="str">
        <f aca="false">IF(INDEX(BookTitle,2204)="","",INDEX(BookRank,2204))</f>
        <v/>
      </c>
      <c r="I2209" s="41" t="str">
        <f aca="false">IF(INDEX(BookTitle,2204)="","",INDEX(BookTotal,2204))</f>
        <v/>
      </c>
      <c r="J2209" s="0" t="str">
        <f aca="false">IF($I2209="","",IF(INDEX(BookQ1,2204)&gt;0,"Q1",IF(INDEX(BookQ2,2204)&gt;0,"Q2",IF(INDEX(BookQ3,2204)&gt;0,"Q3",IF(INDEX(BookQ4,2204)&gt;0,"Q4","")))))</f>
        <v/>
      </c>
      <c r="K2209" s="42" t="str">
        <f aca="false">IF(INDEX(BookTitle,2204)="","",INDEX(BookInYear,2204))</f>
        <v/>
      </c>
      <c r="L2209" s="19"/>
      <c r="M2209" s="39"/>
      <c r="N2209" s="19"/>
      <c r="O2209" s="19"/>
      <c r="P2209" s="43" t="str">
        <f aca="false">IF($E2209="","",IF($L2209="Decline",0,IF($L2209="Approve fewer",IF($M2209="","",$M2209),IF($L2209="","",$I2209))))</f>
        <v/>
      </c>
      <c r="Q2209" s="34" t="str">
        <f aca="false">IF($P2209="","",IF($N2209&lt;&gt;"",$N2209,$J2209))</f>
        <v/>
      </c>
      <c r="R2209" s="35" t="str">
        <f aca="false">IF(OR($P2209="",$Q2209=""),"",INDEX(BookRate,2204)*$P2209*(5-MATCH($Q2209,{"Q1";"Q2";"Q3";"Q4"},0))/4+INDEX(BookOneOff,2204)*$P2209)</f>
        <v/>
      </c>
      <c r="S2209" s="35" t="str">
        <f aca="false">IF($P2209="","",INDEX(BookRate,2204)*$P2209)</f>
        <v/>
      </c>
      <c r="T2209" s="35" t="str">
        <f aca="false">IF($R2209="","",$R2209-$K2209)</f>
        <v/>
      </c>
      <c r="U2209" s="35" t="str">
        <f aca="false">IF(N($P2209)&lt;=0,"",COUNTIF($P$6:$P2209,"&gt;0"))</f>
        <v/>
      </c>
    </row>
    <row r="2210" customFormat="false" ht="15" hidden="false" customHeight="false" outlineLevel="0" collapsed="false">
      <c r="A2210" s="40" t="str">
        <f aca="false">IF(INDEX(BookTitle,2205)="","",INDEX(BookGroup,2205))</f>
        <v/>
      </c>
      <c r="B2210" s="40" t="str">
        <f aca="false">IF(INDEX(BookTitle,2205)="","",INDEX(BookRef,2205))</f>
        <v/>
      </c>
      <c r="C2210" s="40" t="str">
        <f aca="false">IF(INDEX(BookTitle,2205)="","",INDEX(BookDivision,2205))</f>
        <v/>
      </c>
      <c r="D2210" s="40" t="str">
        <f aca="false">IF(INDEX(BookTitle,2205)="","",INDEX(BookUnit,2205))</f>
        <v/>
      </c>
      <c r="E2210" s="40" t="str">
        <f aca="false">IF(INDEX(BookTitle,2205)="","",INDEX(BookTitle,2205))</f>
        <v/>
      </c>
      <c r="F2210" s="40" t="str">
        <f aca="false">IF(INDEX(BookTitle,2205)="","",INDEX(BookLevel,2205))</f>
        <v/>
      </c>
      <c r="G2210" s="40" t="str">
        <f aca="false">IF(INDEX(BookTitle,2205)="","",INDEX(BookCategory,2205))</f>
        <v/>
      </c>
      <c r="H2210" s="40" t="str">
        <f aca="false">IF(INDEX(BookTitle,2205)="","",INDEX(BookRank,2205))</f>
        <v/>
      </c>
      <c r="I2210" s="41" t="str">
        <f aca="false">IF(INDEX(BookTitle,2205)="","",INDEX(BookTotal,2205))</f>
        <v/>
      </c>
      <c r="J2210" s="0" t="str">
        <f aca="false">IF($I2210="","",IF(INDEX(BookQ1,2205)&gt;0,"Q1",IF(INDEX(BookQ2,2205)&gt;0,"Q2",IF(INDEX(BookQ3,2205)&gt;0,"Q3",IF(INDEX(BookQ4,2205)&gt;0,"Q4","")))))</f>
        <v/>
      </c>
      <c r="K2210" s="42" t="str">
        <f aca="false">IF(INDEX(BookTitle,2205)="","",INDEX(BookInYear,2205))</f>
        <v/>
      </c>
      <c r="L2210" s="19"/>
      <c r="M2210" s="39"/>
      <c r="N2210" s="19"/>
      <c r="O2210" s="19"/>
      <c r="P2210" s="43" t="str">
        <f aca="false">IF($E2210="","",IF($L2210="Decline",0,IF($L2210="Approve fewer",IF($M2210="","",$M2210),IF($L2210="","",$I2210))))</f>
        <v/>
      </c>
      <c r="Q2210" s="34" t="str">
        <f aca="false">IF($P2210="","",IF($N2210&lt;&gt;"",$N2210,$J2210))</f>
        <v/>
      </c>
      <c r="R2210" s="35" t="str">
        <f aca="false">IF(OR($P2210="",$Q2210=""),"",INDEX(BookRate,2205)*$P2210*(5-MATCH($Q2210,{"Q1";"Q2";"Q3";"Q4"},0))/4+INDEX(BookOneOff,2205)*$P2210)</f>
        <v/>
      </c>
      <c r="S2210" s="35" t="str">
        <f aca="false">IF($P2210="","",INDEX(BookRate,2205)*$P2210)</f>
        <v/>
      </c>
      <c r="T2210" s="35" t="str">
        <f aca="false">IF($R2210="","",$R2210-$K2210)</f>
        <v/>
      </c>
      <c r="U2210" s="35" t="str">
        <f aca="false">IF(N($P2210)&lt;=0,"",COUNTIF($P$6:$P2210,"&gt;0"))</f>
        <v/>
      </c>
    </row>
    <row r="2211" customFormat="false" ht="15" hidden="false" customHeight="false" outlineLevel="0" collapsed="false">
      <c r="A2211" s="40" t="str">
        <f aca="false">IF(INDEX(BookTitle,2206)="","",INDEX(BookGroup,2206))</f>
        <v/>
      </c>
      <c r="B2211" s="40" t="str">
        <f aca="false">IF(INDEX(BookTitle,2206)="","",INDEX(BookRef,2206))</f>
        <v/>
      </c>
      <c r="C2211" s="40" t="str">
        <f aca="false">IF(INDEX(BookTitle,2206)="","",INDEX(BookDivision,2206))</f>
        <v/>
      </c>
      <c r="D2211" s="40" t="str">
        <f aca="false">IF(INDEX(BookTitle,2206)="","",INDEX(BookUnit,2206))</f>
        <v/>
      </c>
      <c r="E2211" s="40" t="str">
        <f aca="false">IF(INDEX(BookTitle,2206)="","",INDEX(BookTitle,2206))</f>
        <v/>
      </c>
      <c r="F2211" s="40" t="str">
        <f aca="false">IF(INDEX(BookTitle,2206)="","",INDEX(BookLevel,2206))</f>
        <v/>
      </c>
      <c r="G2211" s="40" t="str">
        <f aca="false">IF(INDEX(BookTitle,2206)="","",INDEX(BookCategory,2206))</f>
        <v/>
      </c>
      <c r="H2211" s="40" t="str">
        <f aca="false">IF(INDEX(BookTitle,2206)="","",INDEX(BookRank,2206))</f>
        <v/>
      </c>
      <c r="I2211" s="41" t="str">
        <f aca="false">IF(INDEX(BookTitle,2206)="","",INDEX(BookTotal,2206))</f>
        <v/>
      </c>
      <c r="J2211" s="0" t="str">
        <f aca="false">IF($I2211="","",IF(INDEX(BookQ1,2206)&gt;0,"Q1",IF(INDEX(BookQ2,2206)&gt;0,"Q2",IF(INDEX(BookQ3,2206)&gt;0,"Q3",IF(INDEX(BookQ4,2206)&gt;0,"Q4","")))))</f>
        <v/>
      </c>
      <c r="K2211" s="42" t="str">
        <f aca="false">IF(INDEX(BookTitle,2206)="","",INDEX(BookInYear,2206))</f>
        <v/>
      </c>
      <c r="L2211" s="19"/>
      <c r="M2211" s="39"/>
      <c r="N2211" s="19"/>
      <c r="O2211" s="19"/>
      <c r="P2211" s="43" t="str">
        <f aca="false">IF($E2211="","",IF($L2211="Decline",0,IF($L2211="Approve fewer",IF($M2211="","",$M2211),IF($L2211="","",$I2211))))</f>
        <v/>
      </c>
      <c r="Q2211" s="34" t="str">
        <f aca="false">IF($P2211="","",IF($N2211&lt;&gt;"",$N2211,$J2211))</f>
        <v/>
      </c>
      <c r="R2211" s="35" t="str">
        <f aca="false">IF(OR($P2211="",$Q2211=""),"",INDEX(BookRate,2206)*$P2211*(5-MATCH($Q2211,{"Q1";"Q2";"Q3";"Q4"},0))/4+INDEX(BookOneOff,2206)*$P2211)</f>
        <v/>
      </c>
      <c r="S2211" s="35" t="str">
        <f aca="false">IF($P2211="","",INDEX(BookRate,2206)*$P2211)</f>
        <v/>
      </c>
      <c r="T2211" s="35" t="str">
        <f aca="false">IF($R2211="","",$R2211-$K2211)</f>
        <v/>
      </c>
      <c r="U2211" s="35" t="str">
        <f aca="false">IF(N($P2211)&lt;=0,"",COUNTIF($P$6:$P2211,"&gt;0"))</f>
        <v/>
      </c>
    </row>
    <row r="2212" customFormat="false" ht="15" hidden="false" customHeight="false" outlineLevel="0" collapsed="false">
      <c r="A2212" s="40" t="str">
        <f aca="false">IF(INDEX(BookTitle,2207)="","",INDEX(BookGroup,2207))</f>
        <v/>
      </c>
      <c r="B2212" s="40" t="str">
        <f aca="false">IF(INDEX(BookTitle,2207)="","",INDEX(BookRef,2207))</f>
        <v/>
      </c>
      <c r="C2212" s="40" t="str">
        <f aca="false">IF(INDEX(BookTitle,2207)="","",INDEX(BookDivision,2207))</f>
        <v/>
      </c>
      <c r="D2212" s="40" t="str">
        <f aca="false">IF(INDEX(BookTitle,2207)="","",INDEX(BookUnit,2207))</f>
        <v/>
      </c>
      <c r="E2212" s="40" t="str">
        <f aca="false">IF(INDEX(BookTitle,2207)="","",INDEX(BookTitle,2207))</f>
        <v/>
      </c>
      <c r="F2212" s="40" t="str">
        <f aca="false">IF(INDEX(BookTitle,2207)="","",INDEX(BookLevel,2207))</f>
        <v/>
      </c>
      <c r="G2212" s="40" t="str">
        <f aca="false">IF(INDEX(BookTitle,2207)="","",INDEX(BookCategory,2207))</f>
        <v/>
      </c>
      <c r="H2212" s="40" t="str">
        <f aca="false">IF(INDEX(BookTitle,2207)="","",INDEX(BookRank,2207))</f>
        <v/>
      </c>
      <c r="I2212" s="41" t="str">
        <f aca="false">IF(INDEX(BookTitle,2207)="","",INDEX(BookTotal,2207))</f>
        <v/>
      </c>
      <c r="J2212" s="0" t="str">
        <f aca="false">IF($I2212="","",IF(INDEX(BookQ1,2207)&gt;0,"Q1",IF(INDEX(BookQ2,2207)&gt;0,"Q2",IF(INDEX(BookQ3,2207)&gt;0,"Q3",IF(INDEX(BookQ4,2207)&gt;0,"Q4","")))))</f>
        <v/>
      </c>
      <c r="K2212" s="42" t="str">
        <f aca="false">IF(INDEX(BookTitle,2207)="","",INDEX(BookInYear,2207))</f>
        <v/>
      </c>
      <c r="L2212" s="19"/>
      <c r="M2212" s="39"/>
      <c r="N2212" s="19"/>
      <c r="O2212" s="19"/>
      <c r="P2212" s="43" t="str">
        <f aca="false">IF($E2212="","",IF($L2212="Decline",0,IF($L2212="Approve fewer",IF($M2212="","",$M2212),IF($L2212="","",$I2212))))</f>
        <v/>
      </c>
      <c r="Q2212" s="34" t="str">
        <f aca="false">IF($P2212="","",IF($N2212&lt;&gt;"",$N2212,$J2212))</f>
        <v/>
      </c>
      <c r="R2212" s="35" t="str">
        <f aca="false">IF(OR($P2212="",$Q2212=""),"",INDEX(BookRate,2207)*$P2212*(5-MATCH($Q2212,{"Q1";"Q2";"Q3";"Q4"},0))/4+INDEX(BookOneOff,2207)*$P2212)</f>
        <v/>
      </c>
      <c r="S2212" s="35" t="str">
        <f aca="false">IF($P2212="","",INDEX(BookRate,2207)*$P2212)</f>
        <v/>
      </c>
      <c r="T2212" s="35" t="str">
        <f aca="false">IF($R2212="","",$R2212-$K2212)</f>
        <v/>
      </c>
      <c r="U2212" s="35" t="str">
        <f aca="false">IF(N($P2212)&lt;=0,"",COUNTIF($P$6:$P2212,"&gt;0"))</f>
        <v/>
      </c>
    </row>
    <row r="2213" customFormat="false" ht="15" hidden="false" customHeight="false" outlineLevel="0" collapsed="false">
      <c r="A2213" s="40" t="str">
        <f aca="false">IF(INDEX(BookTitle,2208)="","",INDEX(BookGroup,2208))</f>
        <v/>
      </c>
      <c r="B2213" s="40" t="str">
        <f aca="false">IF(INDEX(BookTitle,2208)="","",INDEX(BookRef,2208))</f>
        <v/>
      </c>
      <c r="C2213" s="40" t="str">
        <f aca="false">IF(INDEX(BookTitle,2208)="","",INDEX(BookDivision,2208))</f>
        <v/>
      </c>
      <c r="D2213" s="40" t="str">
        <f aca="false">IF(INDEX(BookTitle,2208)="","",INDEX(BookUnit,2208))</f>
        <v/>
      </c>
      <c r="E2213" s="40" t="str">
        <f aca="false">IF(INDEX(BookTitle,2208)="","",INDEX(BookTitle,2208))</f>
        <v/>
      </c>
      <c r="F2213" s="40" t="str">
        <f aca="false">IF(INDEX(BookTitle,2208)="","",INDEX(BookLevel,2208))</f>
        <v/>
      </c>
      <c r="G2213" s="40" t="str">
        <f aca="false">IF(INDEX(BookTitle,2208)="","",INDEX(BookCategory,2208))</f>
        <v/>
      </c>
      <c r="H2213" s="40" t="str">
        <f aca="false">IF(INDEX(BookTitle,2208)="","",INDEX(BookRank,2208))</f>
        <v/>
      </c>
      <c r="I2213" s="41" t="str">
        <f aca="false">IF(INDEX(BookTitle,2208)="","",INDEX(BookTotal,2208))</f>
        <v/>
      </c>
      <c r="J2213" s="0" t="str">
        <f aca="false">IF($I2213="","",IF(INDEX(BookQ1,2208)&gt;0,"Q1",IF(INDEX(BookQ2,2208)&gt;0,"Q2",IF(INDEX(BookQ3,2208)&gt;0,"Q3",IF(INDEX(BookQ4,2208)&gt;0,"Q4","")))))</f>
        <v/>
      </c>
      <c r="K2213" s="42" t="str">
        <f aca="false">IF(INDEX(BookTitle,2208)="","",INDEX(BookInYear,2208))</f>
        <v/>
      </c>
      <c r="L2213" s="19"/>
      <c r="M2213" s="39"/>
      <c r="N2213" s="19"/>
      <c r="O2213" s="19"/>
      <c r="P2213" s="43" t="str">
        <f aca="false">IF($E2213="","",IF($L2213="Decline",0,IF($L2213="Approve fewer",IF($M2213="","",$M2213),IF($L2213="","",$I2213))))</f>
        <v/>
      </c>
      <c r="Q2213" s="34" t="str">
        <f aca="false">IF($P2213="","",IF($N2213&lt;&gt;"",$N2213,$J2213))</f>
        <v/>
      </c>
      <c r="R2213" s="35" t="str">
        <f aca="false">IF(OR($P2213="",$Q2213=""),"",INDEX(BookRate,2208)*$P2213*(5-MATCH($Q2213,{"Q1";"Q2";"Q3";"Q4"},0))/4+INDEX(BookOneOff,2208)*$P2213)</f>
        <v/>
      </c>
      <c r="S2213" s="35" t="str">
        <f aca="false">IF($P2213="","",INDEX(BookRate,2208)*$P2213)</f>
        <v/>
      </c>
      <c r="T2213" s="35" t="str">
        <f aca="false">IF($R2213="","",$R2213-$K2213)</f>
        <v/>
      </c>
      <c r="U2213" s="35" t="str">
        <f aca="false">IF(N($P2213)&lt;=0,"",COUNTIF($P$6:$P2213,"&gt;0"))</f>
        <v/>
      </c>
    </row>
    <row r="2214" customFormat="false" ht="15" hidden="false" customHeight="false" outlineLevel="0" collapsed="false">
      <c r="A2214" s="40" t="str">
        <f aca="false">IF(INDEX(BookTitle,2209)="","",INDEX(BookGroup,2209))</f>
        <v/>
      </c>
      <c r="B2214" s="40" t="str">
        <f aca="false">IF(INDEX(BookTitle,2209)="","",INDEX(BookRef,2209))</f>
        <v/>
      </c>
      <c r="C2214" s="40" t="str">
        <f aca="false">IF(INDEX(BookTitle,2209)="","",INDEX(BookDivision,2209))</f>
        <v/>
      </c>
      <c r="D2214" s="40" t="str">
        <f aca="false">IF(INDEX(BookTitle,2209)="","",INDEX(BookUnit,2209))</f>
        <v/>
      </c>
      <c r="E2214" s="40" t="str">
        <f aca="false">IF(INDEX(BookTitle,2209)="","",INDEX(BookTitle,2209))</f>
        <v/>
      </c>
      <c r="F2214" s="40" t="str">
        <f aca="false">IF(INDEX(BookTitle,2209)="","",INDEX(BookLevel,2209))</f>
        <v/>
      </c>
      <c r="G2214" s="40" t="str">
        <f aca="false">IF(INDEX(BookTitle,2209)="","",INDEX(BookCategory,2209))</f>
        <v/>
      </c>
      <c r="H2214" s="40" t="str">
        <f aca="false">IF(INDEX(BookTitle,2209)="","",INDEX(BookRank,2209))</f>
        <v/>
      </c>
      <c r="I2214" s="41" t="str">
        <f aca="false">IF(INDEX(BookTitle,2209)="","",INDEX(BookTotal,2209))</f>
        <v/>
      </c>
      <c r="J2214" s="0" t="str">
        <f aca="false">IF($I2214="","",IF(INDEX(BookQ1,2209)&gt;0,"Q1",IF(INDEX(BookQ2,2209)&gt;0,"Q2",IF(INDEX(BookQ3,2209)&gt;0,"Q3",IF(INDEX(BookQ4,2209)&gt;0,"Q4","")))))</f>
        <v/>
      </c>
      <c r="K2214" s="42" t="str">
        <f aca="false">IF(INDEX(BookTitle,2209)="","",INDEX(BookInYear,2209))</f>
        <v/>
      </c>
      <c r="L2214" s="19"/>
      <c r="M2214" s="39"/>
      <c r="N2214" s="19"/>
      <c r="O2214" s="19"/>
      <c r="P2214" s="43" t="str">
        <f aca="false">IF($E2214="","",IF($L2214="Decline",0,IF($L2214="Approve fewer",IF($M2214="","",$M2214),IF($L2214="","",$I2214))))</f>
        <v/>
      </c>
      <c r="Q2214" s="34" t="str">
        <f aca="false">IF($P2214="","",IF($N2214&lt;&gt;"",$N2214,$J2214))</f>
        <v/>
      </c>
      <c r="R2214" s="35" t="str">
        <f aca="false">IF(OR($P2214="",$Q2214=""),"",INDEX(BookRate,2209)*$P2214*(5-MATCH($Q2214,{"Q1";"Q2";"Q3";"Q4"},0))/4+INDEX(BookOneOff,2209)*$P2214)</f>
        <v/>
      </c>
      <c r="S2214" s="35" t="str">
        <f aca="false">IF($P2214="","",INDEX(BookRate,2209)*$P2214)</f>
        <v/>
      </c>
      <c r="T2214" s="35" t="str">
        <f aca="false">IF($R2214="","",$R2214-$K2214)</f>
        <v/>
      </c>
      <c r="U2214" s="35" t="str">
        <f aca="false">IF(N($P2214)&lt;=0,"",COUNTIF($P$6:$P2214,"&gt;0"))</f>
        <v/>
      </c>
    </row>
    <row r="2215" customFormat="false" ht="15" hidden="false" customHeight="false" outlineLevel="0" collapsed="false">
      <c r="A2215" s="40" t="str">
        <f aca="false">IF(INDEX(BookTitle,2210)="","",INDEX(BookGroup,2210))</f>
        <v/>
      </c>
      <c r="B2215" s="40" t="str">
        <f aca="false">IF(INDEX(BookTitle,2210)="","",INDEX(BookRef,2210))</f>
        <v/>
      </c>
      <c r="C2215" s="40" t="str">
        <f aca="false">IF(INDEX(BookTitle,2210)="","",INDEX(BookDivision,2210))</f>
        <v/>
      </c>
      <c r="D2215" s="40" t="str">
        <f aca="false">IF(INDEX(BookTitle,2210)="","",INDEX(BookUnit,2210))</f>
        <v/>
      </c>
      <c r="E2215" s="40" t="str">
        <f aca="false">IF(INDEX(BookTitle,2210)="","",INDEX(BookTitle,2210))</f>
        <v/>
      </c>
      <c r="F2215" s="40" t="str">
        <f aca="false">IF(INDEX(BookTitle,2210)="","",INDEX(BookLevel,2210))</f>
        <v/>
      </c>
      <c r="G2215" s="40" t="str">
        <f aca="false">IF(INDEX(BookTitle,2210)="","",INDEX(BookCategory,2210))</f>
        <v/>
      </c>
      <c r="H2215" s="40" t="str">
        <f aca="false">IF(INDEX(BookTitle,2210)="","",INDEX(BookRank,2210))</f>
        <v/>
      </c>
      <c r="I2215" s="41" t="str">
        <f aca="false">IF(INDEX(BookTitle,2210)="","",INDEX(BookTotal,2210))</f>
        <v/>
      </c>
      <c r="J2215" s="0" t="str">
        <f aca="false">IF($I2215="","",IF(INDEX(BookQ1,2210)&gt;0,"Q1",IF(INDEX(BookQ2,2210)&gt;0,"Q2",IF(INDEX(BookQ3,2210)&gt;0,"Q3",IF(INDEX(BookQ4,2210)&gt;0,"Q4","")))))</f>
        <v/>
      </c>
      <c r="K2215" s="42" t="str">
        <f aca="false">IF(INDEX(BookTitle,2210)="","",INDEX(BookInYear,2210))</f>
        <v/>
      </c>
      <c r="L2215" s="19"/>
      <c r="M2215" s="39"/>
      <c r="N2215" s="19"/>
      <c r="O2215" s="19"/>
      <c r="P2215" s="43" t="str">
        <f aca="false">IF($E2215="","",IF($L2215="Decline",0,IF($L2215="Approve fewer",IF($M2215="","",$M2215),IF($L2215="","",$I2215))))</f>
        <v/>
      </c>
      <c r="Q2215" s="34" t="str">
        <f aca="false">IF($P2215="","",IF($N2215&lt;&gt;"",$N2215,$J2215))</f>
        <v/>
      </c>
      <c r="R2215" s="35" t="str">
        <f aca="false">IF(OR($P2215="",$Q2215=""),"",INDEX(BookRate,2210)*$P2215*(5-MATCH($Q2215,{"Q1";"Q2";"Q3";"Q4"},0))/4+INDEX(BookOneOff,2210)*$P2215)</f>
        <v/>
      </c>
      <c r="S2215" s="35" t="str">
        <f aca="false">IF($P2215="","",INDEX(BookRate,2210)*$P2215)</f>
        <v/>
      </c>
      <c r="T2215" s="35" t="str">
        <f aca="false">IF($R2215="","",$R2215-$K2215)</f>
        <v/>
      </c>
      <c r="U2215" s="35" t="str">
        <f aca="false">IF(N($P2215)&lt;=0,"",COUNTIF($P$6:$P2215,"&gt;0"))</f>
        <v/>
      </c>
    </row>
    <row r="2216" customFormat="false" ht="15" hidden="false" customHeight="false" outlineLevel="0" collapsed="false">
      <c r="A2216" s="40" t="str">
        <f aca="false">IF(INDEX(BookTitle,2211)="","",INDEX(BookGroup,2211))</f>
        <v/>
      </c>
      <c r="B2216" s="40" t="str">
        <f aca="false">IF(INDEX(BookTitle,2211)="","",INDEX(BookRef,2211))</f>
        <v/>
      </c>
      <c r="C2216" s="40" t="str">
        <f aca="false">IF(INDEX(BookTitle,2211)="","",INDEX(BookDivision,2211))</f>
        <v/>
      </c>
      <c r="D2216" s="40" t="str">
        <f aca="false">IF(INDEX(BookTitle,2211)="","",INDEX(BookUnit,2211))</f>
        <v/>
      </c>
      <c r="E2216" s="40" t="str">
        <f aca="false">IF(INDEX(BookTitle,2211)="","",INDEX(BookTitle,2211))</f>
        <v/>
      </c>
      <c r="F2216" s="40" t="str">
        <f aca="false">IF(INDEX(BookTitle,2211)="","",INDEX(BookLevel,2211))</f>
        <v/>
      </c>
      <c r="G2216" s="40" t="str">
        <f aca="false">IF(INDEX(BookTitle,2211)="","",INDEX(BookCategory,2211))</f>
        <v/>
      </c>
      <c r="H2216" s="40" t="str">
        <f aca="false">IF(INDEX(BookTitle,2211)="","",INDEX(BookRank,2211))</f>
        <v/>
      </c>
      <c r="I2216" s="41" t="str">
        <f aca="false">IF(INDEX(BookTitle,2211)="","",INDEX(BookTotal,2211))</f>
        <v/>
      </c>
      <c r="J2216" s="0" t="str">
        <f aca="false">IF($I2216="","",IF(INDEX(BookQ1,2211)&gt;0,"Q1",IF(INDEX(BookQ2,2211)&gt;0,"Q2",IF(INDEX(BookQ3,2211)&gt;0,"Q3",IF(INDEX(BookQ4,2211)&gt;0,"Q4","")))))</f>
        <v/>
      </c>
      <c r="K2216" s="42" t="str">
        <f aca="false">IF(INDEX(BookTitle,2211)="","",INDEX(BookInYear,2211))</f>
        <v/>
      </c>
      <c r="L2216" s="19"/>
      <c r="M2216" s="39"/>
      <c r="N2216" s="19"/>
      <c r="O2216" s="19"/>
      <c r="P2216" s="43" t="str">
        <f aca="false">IF($E2216="","",IF($L2216="Decline",0,IF($L2216="Approve fewer",IF($M2216="","",$M2216),IF($L2216="","",$I2216))))</f>
        <v/>
      </c>
      <c r="Q2216" s="34" t="str">
        <f aca="false">IF($P2216="","",IF($N2216&lt;&gt;"",$N2216,$J2216))</f>
        <v/>
      </c>
      <c r="R2216" s="35" t="str">
        <f aca="false">IF(OR($P2216="",$Q2216=""),"",INDEX(BookRate,2211)*$P2216*(5-MATCH($Q2216,{"Q1";"Q2";"Q3";"Q4"},0))/4+INDEX(BookOneOff,2211)*$P2216)</f>
        <v/>
      </c>
      <c r="S2216" s="35" t="str">
        <f aca="false">IF($P2216="","",INDEX(BookRate,2211)*$P2216)</f>
        <v/>
      </c>
      <c r="T2216" s="35" t="str">
        <f aca="false">IF($R2216="","",$R2216-$K2216)</f>
        <v/>
      </c>
      <c r="U2216" s="35" t="str">
        <f aca="false">IF(N($P2216)&lt;=0,"",COUNTIF($P$6:$P2216,"&gt;0"))</f>
        <v/>
      </c>
    </row>
    <row r="2217" customFormat="false" ht="15" hidden="false" customHeight="false" outlineLevel="0" collapsed="false">
      <c r="A2217" s="40" t="str">
        <f aca="false">IF(INDEX(BookTitle,2212)="","",INDEX(BookGroup,2212))</f>
        <v/>
      </c>
      <c r="B2217" s="40" t="str">
        <f aca="false">IF(INDEX(BookTitle,2212)="","",INDEX(BookRef,2212))</f>
        <v/>
      </c>
      <c r="C2217" s="40" t="str">
        <f aca="false">IF(INDEX(BookTitle,2212)="","",INDEX(BookDivision,2212))</f>
        <v/>
      </c>
      <c r="D2217" s="40" t="str">
        <f aca="false">IF(INDEX(BookTitle,2212)="","",INDEX(BookUnit,2212))</f>
        <v/>
      </c>
      <c r="E2217" s="40" t="str">
        <f aca="false">IF(INDEX(BookTitle,2212)="","",INDEX(BookTitle,2212))</f>
        <v/>
      </c>
      <c r="F2217" s="40" t="str">
        <f aca="false">IF(INDEX(BookTitle,2212)="","",INDEX(BookLevel,2212))</f>
        <v/>
      </c>
      <c r="G2217" s="40" t="str">
        <f aca="false">IF(INDEX(BookTitle,2212)="","",INDEX(BookCategory,2212))</f>
        <v/>
      </c>
      <c r="H2217" s="40" t="str">
        <f aca="false">IF(INDEX(BookTitle,2212)="","",INDEX(BookRank,2212))</f>
        <v/>
      </c>
      <c r="I2217" s="41" t="str">
        <f aca="false">IF(INDEX(BookTitle,2212)="","",INDEX(BookTotal,2212))</f>
        <v/>
      </c>
      <c r="J2217" s="0" t="str">
        <f aca="false">IF($I2217="","",IF(INDEX(BookQ1,2212)&gt;0,"Q1",IF(INDEX(BookQ2,2212)&gt;0,"Q2",IF(INDEX(BookQ3,2212)&gt;0,"Q3",IF(INDEX(BookQ4,2212)&gt;0,"Q4","")))))</f>
        <v/>
      </c>
      <c r="K2217" s="42" t="str">
        <f aca="false">IF(INDEX(BookTitle,2212)="","",INDEX(BookInYear,2212))</f>
        <v/>
      </c>
      <c r="L2217" s="19"/>
      <c r="M2217" s="39"/>
      <c r="N2217" s="19"/>
      <c r="O2217" s="19"/>
      <c r="P2217" s="43" t="str">
        <f aca="false">IF($E2217="","",IF($L2217="Decline",0,IF($L2217="Approve fewer",IF($M2217="","",$M2217),IF($L2217="","",$I2217))))</f>
        <v/>
      </c>
      <c r="Q2217" s="34" t="str">
        <f aca="false">IF($P2217="","",IF($N2217&lt;&gt;"",$N2217,$J2217))</f>
        <v/>
      </c>
      <c r="R2217" s="35" t="str">
        <f aca="false">IF(OR($P2217="",$Q2217=""),"",INDEX(BookRate,2212)*$P2217*(5-MATCH($Q2217,{"Q1";"Q2";"Q3";"Q4"},0))/4+INDEX(BookOneOff,2212)*$P2217)</f>
        <v/>
      </c>
      <c r="S2217" s="35" t="str">
        <f aca="false">IF($P2217="","",INDEX(BookRate,2212)*$P2217)</f>
        <v/>
      </c>
      <c r="T2217" s="35" t="str">
        <f aca="false">IF($R2217="","",$R2217-$K2217)</f>
        <v/>
      </c>
      <c r="U2217" s="35" t="str">
        <f aca="false">IF(N($P2217)&lt;=0,"",COUNTIF($P$6:$P2217,"&gt;0"))</f>
        <v/>
      </c>
    </row>
    <row r="2218" customFormat="false" ht="15" hidden="false" customHeight="false" outlineLevel="0" collapsed="false">
      <c r="A2218" s="40" t="str">
        <f aca="false">IF(INDEX(BookTitle,2213)="","",INDEX(BookGroup,2213))</f>
        <v/>
      </c>
      <c r="B2218" s="40" t="str">
        <f aca="false">IF(INDEX(BookTitle,2213)="","",INDEX(BookRef,2213))</f>
        <v/>
      </c>
      <c r="C2218" s="40" t="str">
        <f aca="false">IF(INDEX(BookTitle,2213)="","",INDEX(BookDivision,2213))</f>
        <v/>
      </c>
      <c r="D2218" s="40" t="str">
        <f aca="false">IF(INDEX(BookTitle,2213)="","",INDEX(BookUnit,2213))</f>
        <v/>
      </c>
      <c r="E2218" s="40" t="str">
        <f aca="false">IF(INDEX(BookTitle,2213)="","",INDEX(BookTitle,2213))</f>
        <v/>
      </c>
      <c r="F2218" s="40" t="str">
        <f aca="false">IF(INDEX(BookTitle,2213)="","",INDEX(BookLevel,2213))</f>
        <v/>
      </c>
      <c r="G2218" s="40" t="str">
        <f aca="false">IF(INDEX(BookTitle,2213)="","",INDEX(BookCategory,2213))</f>
        <v/>
      </c>
      <c r="H2218" s="40" t="str">
        <f aca="false">IF(INDEX(BookTitle,2213)="","",INDEX(BookRank,2213))</f>
        <v/>
      </c>
      <c r="I2218" s="41" t="str">
        <f aca="false">IF(INDEX(BookTitle,2213)="","",INDEX(BookTotal,2213))</f>
        <v/>
      </c>
      <c r="J2218" s="0" t="str">
        <f aca="false">IF($I2218="","",IF(INDEX(BookQ1,2213)&gt;0,"Q1",IF(INDEX(BookQ2,2213)&gt;0,"Q2",IF(INDEX(BookQ3,2213)&gt;0,"Q3",IF(INDEX(BookQ4,2213)&gt;0,"Q4","")))))</f>
        <v/>
      </c>
      <c r="K2218" s="42" t="str">
        <f aca="false">IF(INDEX(BookTitle,2213)="","",INDEX(BookInYear,2213))</f>
        <v/>
      </c>
      <c r="L2218" s="19"/>
      <c r="M2218" s="39"/>
      <c r="N2218" s="19"/>
      <c r="O2218" s="19"/>
      <c r="P2218" s="43" t="str">
        <f aca="false">IF($E2218="","",IF($L2218="Decline",0,IF($L2218="Approve fewer",IF($M2218="","",$M2218),IF($L2218="","",$I2218))))</f>
        <v/>
      </c>
      <c r="Q2218" s="34" t="str">
        <f aca="false">IF($P2218="","",IF($N2218&lt;&gt;"",$N2218,$J2218))</f>
        <v/>
      </c>
      <c r="R2218" s="35" t="str">
        <f aca="false">IF(OR($P2218="",$Q2218=""),"",INDEX(BookRate,2213)*$P2218*(5-MATCH($Q2218,{"Q1";"Q2";"Q3";"Q4"},0))/4+INDEX(BookOneOff,2213)*$P2218)</f>
        <v/>
      </c>
      <c r="S2218" s="35" t="str">
        <f aca="false">IF($P2218="","",INDEX(BookRate,2213)*$P2218)</f>
        <v/>
      </c>
      <c r="T2218" s="35" t="str">
        <f aca="false">IF($R2218="","",$R2218-$K2218)</f>
        <v/>
      </c>
      <c r="U2218" s="35" t="str">
        <f aca="false">IF(N($P2218)&lt;=0,"",COUNTIF($P$6:$P2218,"&gt;0"))</f>
        <v/>
      </c>
    </row>
    <row r="2219" customFormat="false" ht="15" hidden="false" customHeight="false" outlineLevel="0" collapsed="false">
      <c r="A2219" s="40" t="str">
        <f aca="false">IF(INDEX(BookTitle,2214)="","",INDEX(BookGroup,2214))</f>
        <v/>
      </c>
      <c r="B2219" s="40" t="str">
        <f aca="false">IF(INDEX(BookTitle,2214)="","",INDEX(BookRef,2214))</f>
        <v/>
      </c>
      <c r="C2219" s="40" t="str">
        <f aca="false">IF(INDEX(BookTitle,2214)="","",INDEX(BookDivision,2214))</f>
        <v/>
      </c>
      <c r="D2219" s="40" t="str">
        <f aca="false">IF(INDEX(BookTitle,2214)="","",INDEX(BookUnit,2214))</f>
        <v/>
      </c>
      <c r="E2219" s="40" t="str">
        <f aca="false">IF(INDEX(BookTitle,2214)="","",INDEX(BookTitle,2214))</f>
        <v/>
      </c>
      <c r="F2219" s="40" t="str">
        <f aca="false">IF(INDEX(BookTitle,2214)="","",INDEX(BookLevel,2214))</f>
        <v/>
      </c>
      <c r="G2219" s="40" t="str">
        <f aca="false">IF(INDEX(BookTitle,2214)="","",INDEX(BookCategory,2214))</f>
        <v/>
      </c>
      <c r="H2219" s="40" t="str">
        <f aca="false">IF(INDEX(BookTitle,2214)="","",INDEX(BookRank,2214))</f>
        <v/>
      </c>
      <c r="I2219" s="41" t="str">
        <f aca="false">IF(INDEX(BookTitle,2214)="","",INDEX(BookTotal,2214))</f>
        <v/>
      </c>
      <c r="J2219" s="0" t="str">
        <f aca="false">IF($I2219="","",IF(INDEX(BookQ1,2214)&gt;0,"Q1",IF(INDEX(BookQ2,2214)&gt;0,"Q2",IF(INDEX(BookQ3,2214)&gt;0,"Q3",IF(INDEX(BookQ4,2214)&gt;0,"Q4","")))))</f>
        <v/>
      </c>
      <c r="K2219" s="42" t="str">
        <f aca="false">IF(INDEX(BookTitle,2214)="","",INDEX(BookInYear,2214))</f>
        <v/>
      </c>
      <c r="L2219" s="19"/>
      <c r="M2219" s="39"/>
      <c r="N2219" s="19"/>
      <c r="O2219" s="19"/>
      <c r="P2219" s="43" t="str">
        <f aca="false">IF($E2219="","",IF($L2219="Decline",0,IF($L2219="Approve fewer",IF($M2219="","",$M2219),IF($L2219="","",$I2219))))</f>
        <v/>
      </c>
      <c r="Q2219" s="34" t="str">
        <f aca="false">IF($P2219="","",IF($N2219&lt;&gt;"",$N2219,$J2219))</f>
        <v/>
      </c>
      <c r="R2219" s="35" t="str">
        <f aca="false">IF(OR($P2219="",$Q2219=""),"",INDEX(BookRate,2214)*$P2219*(5-MATCH($Q2219,{"Q1";"Q2";"Q3";"Q4"},0))/4+INDEX(BookOneOff,2214)*$P2219)</f>
        <v/>
      </c>
      <c r="S2219" s="35" t="str">
        <f aca="false">IF($P2219="","",INDEX(BookRate,2214)*$P2219)</f>
        <v/>
      </c>
      <c r="T2219" s="35" t="str">
        <f aca="false">IF($R2219="","",$R2219-$K2219)</f>
        <v/>
      </c>
      <c r="U2219" s="35" t="str">
        <f aca="false">IF(N($P2219)&lt;=0,"",COUNTIF($P$6:$P2219,"&gt;0"))</f>
        <v/>
      </c>
    </row>
    <row r="2220" customFormat="false" ht="15" hidden="false" customHeight="false" outlineLevel="0" collapsed="false">
      <c r="A2220" s="40" t="str">
        <f aca="false">IF(INDEX(BookTitle,2215)="","",INDEX(BookGroup,2215))</f>
        <v/>
      </c>
      <c r="B2220" s="40" t="str">
        <f aca="false">IF(INDEX(BookTitle,2215)="","",INDEX(BookRef,2215))</f>
        <v/>
      </c>
      <c r="C2220" s="40" t="str">
        <f aca="false">IF(INDEX(BookTitle,2215)="","",INDEX(BookDivision,2215))</f>
        <v/>
      </c>
      <c r="D2220" s="40" t="str">
        <f aca="false">IF(INDEX(BookTitle,2215)="","",INDEX(BookUnit,2215))</f>
        <v/>
      </c>
      <c r="E2220" s="40" t="str">
        <f aca="false">IF(INDEX(BookTitle,2215)="","",INDEX(BookTitle,2215))</f>
        <v/>
      </c>
      <c r="F2220" s="40" t="str">
        <f aca="false">IF(INDEX(BookTitle,2215)="","",INDEX(BookLevel,2215))</f>
        <v/>
      </c>
      <c r="G2220" s="40" t="str">
        <f aca="false">IF(INDEX(BookTitle,2215)="","",INDEX(BookCategory,2215))</f>
        <v/>
      </c>
      <c r="H2220" s="40" t="str">
        <f aca="false">IF(INDEX(BookTitle,2215)="","",INDEX(BookRank,2215))</f>
        <v/>
      </c>
      <c r="I2220" s="41" t="str">
        <f aca="false">IF(INDEX(BookTitle,2215)="","",INDEX(BookTotal,2215))</f>
        <v/>
      </c>
      <c r="J2220" s="0" t="str">
        <f aca="false">IF($I2220="","",IF(INDEX(BookQ1,2215)&gt;0,"Q1",IF(INDEX(BookQ2,2215)&gt;0,"Q2",IF(INDEX(BookQ3,2215)&gt;0,"Q3",IF(INDEX(BookQ4,2215)&gt;0,"Q4","")))))</f>
        <v/>
      </c>
      <c r="K2220" s="42" t="str">
        <f aca="false">IF(INDEX(BookTitle,2215)="","",INDEX(BookInYear,2215))</f>
        <v/>
      </c>
      <c r="L2220" s="19"/>
      <c r="M2220" s="39"/>
      <c r="N2220" s="19"/>
      <c r="O2220" s="19"/>
      <c r="P2220" s="43" t="str">
        <f aca="false">IF($E2220="","",IF($L2220="Decline",0,IF($L2220="Approve fewer",IF($M2220="","",$M2220),IF($L2220="","",$I2220))))</f>
        <v/>
      </c>
      <c r="Q2220" s="34" t="str">
        <f aca="false">IF($P2220="","",IF($N2220&lt;&gt;"",$N2220,$J2220))</f>
        <v/>
      </c>
      <c r="R2220" s="35" t="str">
        <f aca="false">IF(OR($P2220="",$Q2220=""),"",INDEX(BookRate,2215)*$P2220*(5-MATCH($Q2220,{"Q1";"Q2";"Q3";"Q4"},0))/4+INDEX(BookOneOff,2215)*$P2220)</f>
        <v/>
      </c>
      <c r="S2220" s="35" t="str">
        <f aca="false">IF($P2220="","",INDEX(BookRate,2215)*$P2220)</f>
        <v/>
      </c>
      <c r="T2220" s="35" t="str">
        <f aca="false">IF($R2220="","",$R2220-$K2220)</f>
        <v/>
      </c>
      <c r="U2220" s="35" t="str">
        <f aca="false">IF(N($P2220)&lt;=0,"",COUNTIF($P$6:$P2220,"&gt;0"))</f>
        <v/>
      </c>
    </row>
    <row r="2221" customFormat="false" ht="15" hidden="false" customHeight="false" outlineLevel="0" collapsed="false">
      <c r="A2221" s="40" t="str">
        <f aca="false">IF(INDEX(BookTitle,2216)="","",INDEX(BookGroup,2216))</f>
        <v/>
      </c>
      <c r="B2221" s="40" t="str">
        <f aca="false">IF(INDEX(BookTitle,2216)="","",INDEX(BookRef,2216))</f>
        <v/>
      </c>
      <c r="C2221" s="40" t="str">
        <f aca="false">IF(INDEX(BookTitle,2216)="","",INDEX(BookDivision,2216))</f>
        <v/>
      </c>
      <c r="D2221" s="40" t="str">
        <f aca="false">IF(INDEX(BookTitle,2216)="","",INDEX(BookUnit,2216))</f>
        <v/>
      </c>
      <c r="E2221" s="40" t="str">
        <f aca="false">IF(INDEX(BookTitle,2216)="","",INDEX(BookTitle,2216))</f>
        <v/>
      </c>
      <c r="F2221" s="40" t="str">
        <f aca="false">IF(INDEX(BookTitle,2216)="","",INDEX(BookLevel,2216))</f>
        <v/>
      </c>
      <c r="G2221" s="40" t="str">
        <f aca="false">IF(INDEX(BookTitle,2216)="","",INDEX(BookCategory,2216))</f>
        <v/>
      </c>
      <c r="H2221" s="40" t="str">
        <f aca="false">IF(INDEX(BookTitle,2216)="","",INDEX(BookRank,2216))</f>
        <v/>
      </c>
      <c r="I2221" s="41" t="str">
        <f aca="false">IF(INDEX(BookTitle,2216)="","",INDEX(BookTotal,2216))</f>
        <v/>
      </c>
      <c r="J2221" s="0" t="str">
        <f aca="false">IF($I2221="","",IF(INDEX(BookQ1,2216)&gt;0,"Q1",IF(INDEX(BookQ2,2216)&gt;0,"Q2",IF(INDEX(BookQ3,2216)&gt;0,"Q3",IF(INDEX(BookQ4,2216)&gt;0,"Q4","")))))</f>
        <v/>
      </c>
      <c r="K2221" s="42" t="str">
        <f aca="false">IF(INDEX(BookTitle,2216)="","",INDEX(BookInYear,2216))</f>
        <v/>
      </c>
      <c r="L2221" s="19"/>
      <c r="M2221" s="39"/>
      <c r="N2221" s="19"/>
      <c r="O2221" s="19"/>
      <c r="P2221" s="43" t="str">
        <f aca="false">IF($E2221="","",IF($L2221="Decline",0,IF($L2221="Approve fewer",IF($M2221="","",$M2221),IF($L2221="","",$I2221))))</f>
        <v/>
      </c>
      <c r="Q2221" s="34" t="str">
        <f aca="false">IF($P2221="","",IF($N2221&lt;&gt;"",$N2221,$J2221))</f>
        <v/>
      </c>
      <c r="R2221" s="35" t="str">
        <f aca="false">IF(OR($P2221="",$Q2221=""),"",INDEX(BookRate,2216)*$P2221*(5-MATCH($Q2221,{"Q1";"Q2";"Q3";"Q4"},0))/4+INDEX(BookOneOff,2216)*$P2221)</f>
        <v/>
      </c>
      <c r="S2221" s="35" t="str">
        <f aca="false">IF($P2221="","",INDEX(BookRate,2216)*$P2221)</f>
        <v/>
      </c>
      <c r="T2221" s="35" t="str">
        <f aca="false">IF($R2221="","",$R2221-$K2221)</f>
        <v/>
      </c>
      <c r="U2221" s="35" t="str">
        <f aca="false">IF(N($P2221)&lt;=0,"",COUNTIF($P$6:$P2221,"&gt;0"))</f>
        <v/>
      </c>
    </row>
    <row r="2222" customFormat="false" ht="15" hidden="false" customHeight="false" outlineLevel="0" collapsed="false">
      <c r="A2222" s="40" t="str">
        <f aca="false">IF(INDEX(BookTitle,2217)="","",INDEX(BookGroup,2217))</f>
        <v/>
      </c>
      <c r="B2222" s="40" t="str">
        <f aca="false">IF(INDEX(BookTitle,2217)="","",INDEX(BookRef,2217))</f>
        <v/>
      </c>
      <c r="C2222" s="40" t="str">
        <f aca="false">IF(INDEX(BookTitle,2217)="","",INDEX(BookDivision,2217))</f>
        <v/>
      </c>
      <c r="D2222" s="40" t="str">
        <f aca="false">IF(INDEX(BookTitle,2217)="","",INDEX(BookUnit,2217))</f>
        <v/>
      </c>
      <c r="E2222" s="40" t="str">
        <f aca="false">IF(INDEX(BookTitle,2217)="","",INDEX(BookTitle,2217))</f>
        <v/>
      </c>
      <c r="F2222" s="40" t="str">
        <f aca="false">IF(INDEX(BookTitle,2217)="","",INDEX(BookLevel,2217))</f>
        <v/>
      </c>
      <c r="G2222" s="40" t="str">
        <f aca="false">IF(INDEX(BookTitle,2217)="","",INDEX(BookCategory,2217))</f>
        <v/>
      </c>
      <c r="H2222" s="40" t="str">
        <f aca="false">IF(INDEX(BookTitle,2217)="","",INDEX(BookRank,2217))</f>
        <v/>
      </c>
      <c r="I2222" s="41" t="str">
        <f aca="false">IF(INDEX(BookTitle,2217)="","",INDEX(BookTotal,2217))</f>
        <v/>
      </c>
      <c r="J2222" s="0" t="str">
        <f aca="false">IF($I2222="","",IF(INDEX(BookQ1,2217)&gt;0,"Q1",IF(INDEX(BookQ2,2217)&gt;0,"Q2",IF(INDEX(BookQ3,2217)&gt;0,"Q3",IF(INDEX(BookQ4,2217)&gt;0,"Q4","")))))</f>
        <v/>
      </c>
      <c r="K2222" s="42" t="str">
        <f aca="false">IF(INDEX(BookTitle,2217)="","",INDEX(BookInYear,2217))</f>
        <v/>
      </c>
      <c r="L2222" s="19"/>
      <c r="M2222" s="39"/>
      <c r="N2222" s="19"/>
      <c r="O2222" s="19"/>
      <c r="P2222" s="43" t="str">
        <f aca="false">IF($E2222="","",IF($L2222="Decline",0,IF($L2222="Approve fewer",IF($M2222="","",$M2222),IF($L2222="","",$I2222))))</f>
        <v/>
      </c>
      <c r="Q2222" s="34" t="str">
        <f aca="false">IF($P2222="","",IF($N2222&lt;&gt;"",$N2222,$J2222))</f>
        <v/>
      </c>
      <c r="R2222" s="35" t="str">
        <f aca="false">IF(OR($P2222="",$Q2222=""),"",INDEX(BookRate,2217)*$P2222*(5-MATCH($Q2222,{"Q1";"Q2";"Q3";"Q4"},0))/4+INDEX(BookOneOff,2217)*$P2222)</f>
        <v/>
      </c>
      <c r="S2222" s="35" t="str">
        <f aca="false">IF($P2222="","",INDEX(BookRate,2217)*$P2222)</f>
        <v/>
      </c>
      <c r="T2222" s="35" t="str">
        <f aca="false">IF($R2222="","",$R2222-$K2222)</f>
        <v/>
      </c>
      <c r="U2222" s="35" t="str">
        <f aca="false">IF(N($P2222)&lt;=0,"",COUNTIF($P$6:$P2222,"&gt;0"))</f>
        <v/>
      </c>
    </row>
    <row r="2223" customFormat="false" ht="15" hidden="false" customHeight="false" outlineLevel="0" collapsed="false">
      <c r="A2223" s="40" t="str">
        <f aca="false">IF(INDEX(BookTitle,2218)="","",INDEX(BookGroup,2218))</f>
        <v/>
      </c>
      <c r="B2223" s="40" t="str">
        <f aca="false">IF(INDEX(BookTitle,2218)="","",INDEX(BookRef,2218))</f>
        <v/>
      </c>
      <c r="C2223" s="40" t="str">
        <f aca="false">IF(INDEX(BookTitle,2218)="","",INDEX(BookDivision,2218))</f>
        <v/>
      </c>
      <c r="D2223" s="40" t="str">
        <f aca="false">IF(INDEX(BookTitle,2218)="","",INDEX(BookUnit,2218))</f>
        <v/>
      </c>
      <c r="E2223" s="40" t="str">
        <f aca="false">IF(INDEX(BookTitle,2218)="","",INDEX(BookTitle,2218))</f>
        <v/>
      </c>
      <c r="F2223" s="40" t="str">
        <f aca="false">IF(INDEX(BookTitle,2218)="","",INDEX(BookLevel,2218))</f>
        <v/>
      </c>
      <c r="G2223" s="40" t="str">
        <f aca="false">IF(INDEX(BookTitle,2218)="","",INDEX(BookCategory,2218))</f>
        <v/>
      </c>
      <c r="H2223" s="40" t="str">
        <f aca="false">IF(INDEX(BookTitle,2218)="","",INDEX(BookRank,2218))</f>
        <v/>
      </c>
      <c r="I2223" s="41" t="str">
        <f aca="false">IF(INDEX(BookTitle,2218)="","",INDEX(BookTotal,2218))</f>
        <v/>
      </c>
      <c r="J2223" s="0" t="str">
        <f aca="false">IF($I2223="","",IF(INDEX(BookQ1,2218)&gt;0,"Q1",IF(INDEX(BookQ2,2218)&gt;0,"Q2",IF(INDEX(BookQ3,2218)&gt;0,"Q3",IF(INDEX(BookQ4,2218)&gt;0,"Q4","")))))</f>
        <v/>
      </c>
      <c r="K2223" s="42" t="str">
        <f aca="false">IF(INDEX(BookTitle,2218)="","",INDEX(BookInYear,2218))</f>
        <v/>
      </c>
      <c r="L2223" s="19"/>
      <c r="M2223" s="39"/>
      <c r="N2223" s="19"/>
      <c r="O2223" s="19"/>
      <c r="P2223" s="43" t="str">
        <f aca="false">IF($E2223="","",IF($L2223="Decline",0,IF($L2223="Approve fewer",IF($M2223="","",$M2223),IF($L2223="","",$I2223))))</f>
        <v/>
      </c>
      <c r="Q2223" s="34" t="str">
        <f aca="false">IF($P2223="","",IF($N2223&lt;&gt;"",$N2223,$J2223))</f>
        <v/>
      </c>
      <c r="R2223" s="35" t="str">
        <f aca="false">IF(OR($P2223="",$Q2223=""),"",INDEX(BookRate,2218)*$P2223*(5-MATCH($Q2223,{"Q1";"Q2";"Q3";"Q4"},0))/4+INDEX(BookOneOff,2218)*$P2223)</f>
        <v/>
      </c>
      <c r="S2223" s="35" t="str">
        <f aca="false">IF($P2223="","",INDEX(BookRate,2218)*$P2223)</f>
        <v/>
      </c>
      <c r="T2223" s="35" t="str">
        <f aca="false">IF($R2223="","",$R2223-$K2223)</f>
        <v/>
      </c>
      <c r="U2223" s="35" t="str">
        <f aca="false">IF(N($P2223)&lt;=0,"",COUNTIF($P$6:$P2223,"&gt;0"))</f>
        <v/>
      </c>
    </row>
    <row r="2224" customFormat="false" ht="15" hidden="false" customHeight="false" outlineLevel="0" collapsed="false">
      <c r="A2224" s="40" t="str">
        <f aca="false">IF(INDEX(BookTitle,2219)="","",INDEX(BookGroup,2219))</f>
        <v/>
      </c>
      <c r="B2224" s="40" t="str">
        <f aca="false">IF(INDEX(BookTitle,2219)="","",INDEX(BookRef,2219))</f>
        <v/>
      </c>
      <c r="C2224" s="40" t="str">
        <f aca="false">IF(INDEX(BookTitle,2219)="","",INDEX(BookDivision,2219))</f>
        <v/>
      </c>
      <c r="D2224" s="40" t="str">
        <f aca="false">IF(INDEX(BookTitle,2219)="","",INDEX(BookUnit,2219))</f>
        <v/>
      </c>
      <c r="E2224" s="40" t="str">
        <f aca="false">IF(INDEX(BookTitle,2219)="","",INDEX(BookTitle,2219))</f>
        <v/>
      </c>
      <c r="F2224" s="40" t="str">
        <f aca="false">IF(INDEX(BookTitle,2219)="","",INDEX(BookLevel,2219))</f>
        <v/>
      </c>
      <c r="G2224" s="40" t="str">
        <f aca="false">IF(INDEX(BookTitle,2219)="","",INDEX(BookCategory,2219))</f>
        <v/>
      </c>
      <c r="H2224" s="40" t="str">
        <f aca="false">IF(INDEX(BookTitle,2219)="","",INDEX(BookRank,2219))</f>
        <v/>
      </c>
      <c r="I2224" s="41" t="str">
        <f aca="false">IF(INDEX(BookTitle,2219)="","",INDEX(BookTotal,2219))</f>
        <v/>
      </c>
      <c r="J2224" s="0" t="str">
        <f aca="false">IF($I2224="","",IF(INDEX(BookQ1,2219)&gt;0,"Q1",IF(INDEX(BookQ2,2219)&gt;0,"Q2",IF(INDEX(BookQ3,2219)&gt;0,"Q3",IF(INDEX(BookQ4,2219)&gt;0,"Q4","")))))</f>
        <v/>
      </c>
      <c r="K2224" s="42" t="str">
        <f aca="false">IF(INDEX(BookTitle,2219)="","",INDEX(BookInYear,2219))</f>
        <v/>
      </c>
      <c r="L2224" s="19"/>
      <c r="M2224" s="39"/>
      <c r="N2224" s="19"/>
      <c r="O2224" s="19"/>
      <c r="P2224" s="43" t="str">
        <f aca="false">IF($E2224="","",IF($L2224="Decline",0,IF($L2224="Approve fewer",IF($M2224="","",$M2224),IF($L2224="","",$I2224))))</f>
        <v/>
      </c>
      <c r="Q2224" s="34" t="str">
        <f aca="false">IF($P2224="","",IF($N2224&lt;&gt;"",$N2224,$J2224))</f>
        <v/>
      </c>
      <c r="R2224" s="35" t="str">
        <f aca="false">IF(OR($P2224="",$Q2224=""),"",INDEX(BookRate,2219)*$P2224*(5-MATCH($Q2224,{"Q1";"Q2";"Q3";"Q4"},0))/4+INDEX(BookOneOff,2219)*$P2224)</f>
        <v/>
      </c>
      <c r="S2224" s="35" t="str">
        <f aca="false">IF($P2224="","",INDEX(BookRate,2219)*$P2224)</f>
        <v/>
      </c>
      <c r="T2224" s="35" t="str">
        <f aca="false">IF($R2224="","",$R2224-$K2224)</f>
        <v/>
      </c>
      <c r="U2224" s="35" t="str">
        <f aca="false">IF(N($P2224)&lt;=0,"",COUNTIF($P$6:$P2224,"&gt;0"))</f>
        <v/>
      </c>
    </row>
    <row r="2225" customFormat="false" ht="15" hidden="false" customHeight="false" outlineLevel="0" collapsed="false">
      <c r="A2225" s="40" t="str">
        <f aca="false">IF(INDEX(BookTitle,2220)="","",INDEX(BookGroup,2220))</f>
        <v/>
      </c>
      <c r="B2225" s="40" t="str">
        <f aca="false">IF(INDEX(BookTitle,2220)="","",INDEX(BookRef,2220))</f>
        <v/>
      </c>
      <c r="C2225" s="40" t="str">
        <f aca="false">IF(INDEX(BookTitle,2220)="","",INDEX(BookDivision,2220))</f>
        <v/>
      </c>
      <c r="D2225" s="40" t="str">
        <f aca="false">IF(INDEX(BookTitle,2220)="","",INDEX(BookUnit,2220))</f>
        <v/>
      </c>
      <c r="E2225" s="40" t="str">
        <f aca="false">IF(INDEX(BookTitle,2220)="","",INDEX(BookTitle,2220))</f>
        <v/>
      </c>
      <c r="F2225" s="40" t="str">
        <f aca="false">IF(INDEX(BookTitle,2220)="","",INDEX(BookLevel,2220))</f>
        <v/>
      </c>
      <c r="G2225" s="40" t="str">
        <f aca="false">IF(INDEX(BookTitle,2220)="","",INDEX(BookCategory,2220))</f>
        <v/>
      </c>
      <c r="H2225" s="40" t="str">
        <f aca="false">IF(INDEX(BookTitle,2220)="","",INDEX(BookRank,2220))</f>
        <v/>
      </c>
      <c r="I2225" s="41" t="str">
        <f aca="false">IF(INDEX(BookTitle,2220)="","",INDEX(BookTotal,2220))</f>
        <v/>
      </c>
      <c r="J2225" s="0" t="str">
        <f aca="false">IF($I2225="","",IF(INDEX(BookQ1,2220)&gt;0,"Q1",IF(INDEX(BookQ2,2220)&gt;0,"Q2",IF(INDEX(BookQ3,2220)&gt;0,"Q3",IF(INDEX(BookQ4,2220)&gt;0,"Q4","")))))</f>
        <v/>
      </c>
      <c r="K2225" s="42" t="str">
        <f aca="false">IF(INDEX(BookTitle,2220)="","",INDEX(BookInYear,2220))</f>
        <v/>
      </c>
      <c r="L2225" s="19"/>
      <c r="M2225" s="39"/>
      <c r="N2225" s="19"/>
      <c r="O2225" s="19"/>
      <c r="P2225" s="43" t="str">
        <f aca="false">IF($E2225="","",IF($L2225="Decline",0,IF($L2225="Approve fewer",IF($M2225="","",$M2225),IF($L2225="","",$I2225))))</f>
        <v/>
      </c>
      <c r="Q2225" s="34" t="str">
        <f aca="false">IF($P2225="","",IF($N2225&lt;&gt;"",$N2225,$J2225))</f>
        <v/>
      </c>
      <c r="R2225" s="35" t="str">
        <f aca="false">IF(OR($P2225="",$Q2225=""),"",INDEX(BookRate,2220)*$P2225*(5-MATCH($Q2225,{"Q1";"Q2";"Q3";"Q4"},0))/4+INDEX(BookOneOff,2220)*$P2225)</f>
        <v/>
      </c>
      <c r="S2225" s="35" t="str">
        <f aca="false">IF($P2225="","",INDEX(BookRate,2220)*$P2225)</f>
        <v/>
      </c>
      <c r="T2225" s="35" t="str">
        <f aca="false">IF($R2225="","",$R2225-$K2225)</f>
        <v/>
      </c>
      <c r="U2225" s="35" t="str">
        <f aca="false">IF(N($P2225)&lt;=0,"",COUNTIF($P$6:$P2225,"&gt;0"))</f>
        <v/>
      </c>
    </row>
    <row r="2226" customFormat="false" ht="15" hidden="false" customHeight="false" outlineLevel="0" collapsed="false">
      <c r="A2226" s="40" t="str">
        <f aca="false">IF(INDEX(BookTitle,2221)="","",INDEX(BookGroup,2221))</f>
        <v/>
      </c>
      <c r="B2226" s="40" t="str">
        <f aca="false">IF(INDEX(BookTitle,2221)="","",INDEX(BookRef,2221))</f>
        <v/>
      </c>
      <c r="C2226" s="40" t="str">
        <f aca="false">IF(INDEX(BookTitle,2221)="","",INDEX(BookDivision,2221))</f>
        <v/>
      </c>
      <c r="D2226" s="40" t="str">
        <f aca="false">IF(INDEX(BookTitle,2221)="","",INDEX(BookUnit,2221))</f>
        <v/>
      </c>
      <c r="E2226" s="40" t="str">
        <f aca="false">IF(INDEX(BookTitle,2221)="","",INDEX(BookTitle,2221))</f>
        <v/>
      </c>
      <c r="F2226" s="40" t="str">
        <f aca="false">IF(INDEX(BookTitle,2221)="","",INDEX(BookLevel,2221))</f>
        <v/>
      </c>
      <c r="G2226" s="40" t="str">
        <f aca="false">IF(INDEX(BookTitle,2221)="","",INDEX(BookCategory,2221))</f>
        <v/>
      </c>
      <c r="H2226" s="40" t="str">
        <f aca="false">IF(INDEX(BookTitle,2221)="","",INDEX(BookRank,2221))</f>
        <v/>
      </c>
      <c r="I2226" s="41" t="str">
        <f aca="false">IF(INDEX(BookTitle,2221)="","",INDEX(BookTotal,2221))</f>
        <v/>
      </c>
      <c r="J2226" s="0" t="str">
        <f aca="false">IF($I2226="","",IF(INDEX(BookQ1,2221)&gt;0,"Q1",IF(INDEX(BookQ2,2221)&gt;0,"Q2",IF(INDEX(BookQ3,2221)&gt;0,"Q3",IF(INDEX(BookQ4,2221)&gt;0,"Q4","")))))</f>
        <v/>
      </c>
      <c r="K2226" s="42" t="str">
        <f aca="false">IF(INDEX(BookTitle,2221)="","",INDEX(BookInYear,2221))</f>
        <v/>
      </c>
      <c r="L2226" s="19"/>
      <c r="M2226" s="39"/>
      <c r="N2226" s="19"/>
      <c r="O2226" s="19"/>
      <c r="P2226" s="43" t="str">
        <f aca="false">IF($E2226="","",IF($L2226="Decline",0,IF($L2226="Approve fewer",IF($M2226="","",$M2226),IF($L2226="","",$I2226))))</f>
        <v/>
      </c>
      <c r="Q2226" s="34" t="str">
        <f aca="false">IF($P2226="","",IF($N2226&lt;&gt;"",$N2226,$J2226))</f>
        <v/>
      </c>
      <c r="R2226" s="35" t="str">
        <f aca="false">IF(OR($P2226="",$Q2226=""),"",INDEX(BookRate,2221)*$P2226*(5-MATCH($Q2226,{"Q1";"Q2";"Q3";"Q4"},0))/4+INDEX(BookOneOff,2221)*$P2226)</f>
        <v/>
      </c>
      <c r="S2226" s="35" t="str">
        <f aca="false">IF($P2226="","",INDEX(BookRate,2221)*$P2226)</f>
        <v/>
      </c>
      <c r="T2226" s="35" t="str">
        <f aca="false">IF($R2226="","",$R2226-$K2226)</f>
        <v/>
      </c>
      <c r="U2226" s="35" t="str">
        <f aca="false">IF(N($P2226)&lt;=0,"",COUNTIF($P$6:$P2226,"&gt;0"))</f>
        <v/>
      </c>
    </row>
    <row r="2227" customFormat="false" ht="15" hidden="false" customHeight="false" outlineLevel="0" collapsed="false">
      <c r="A2227" s="40" t="str">
        <f aca="false">IF(INDEX(BookTitle,2222)="","",INDEX(BookGroup,2222))</f>
        <v/>
      </c>
      <c r="B2227" s="40" t="str">
        <f aca="false">IF(INDEX(BookTitle,2222)="","",INDEX(BookRef,2222))</f>
        <v/>
      </c>
      <c r="C2227" s="40" t="str">
        <f aca="false">IF(INDEX(BookTitle,2222)="","",INDEX(BookDivision,2222))</f>
        <v/>
      </c>
      <c r="D2227" s="40" t="str">
        <f aca="false">IF(INDEX(BookTitle,2222)="","",INDEX(BookUnit,2222))</f>
        <v/>
      </c>
      <c r="E2227" s="40" t="str">
        <f aca="false">IF(INDEX(BookTitle,2222)="","",INDEX(BookTitle,2222))</f>
        <v/>
      </c>
      <c r="F2227" s="40" t="str">
        <f aca="false">IF(INDEX(BookTitle,2222)="","",INDEX(BookLevel,2222))</f>
        <v/>
      </c>
      <c r="G2227" s="40" t="str">
        <f aca="false">IF(INDEX(BookTitle,2222)="","",INDEX(BookCategory,2222))</f>
        <v/>
      </c>
      <c r="H2227" s="40" t="str">
        <f aca="false">IF(INDEX(BookTitle,2222)="","",INDEX(BookRank,2222))</f>
        <v/>
      </c>
      <c r="I2227" s="41" t="str">
        <f aca="false">IF(INDEX(BookTitle,2222)="","",INDEX(BookTotal,2222))</f>
        <v/>
      </c>
      <c r="J2227" s="0" t="str">
        <f aca="false">IF($I2227="","",IF(INDEX(BookQ1,2222)&gt;0,"Q1",IF(INDEX(BookQ2,2222)&gt;0,"Q2",IF(INDEX(BookQ3,2222)&gt;0,"Q3",IF(INDEX(BookQ4,2222)&gt;0,"Q4","")))))</f>
        <v/>
      </c>
      <c r="K2227" s="42" t="str">
        <f aca="false">IF(INDEX(BookTitle,2222)="","",INDEX(BookInYear,2222))</f>
        <v/>
      </c>
      <c r="L2227" s="19"/>
      <c r="M2227" s="39"/>
      <c r="N2227" s="19"/>
      <c r="O2227" s="19"/>
      <c r="P2227" s="43" t="str">
        <f aca="false">IF($E2227="","",IF($L2227="Decline",0,IF($L2227="Approve fewer",IF($M2227="","",$M2227),IF($L2227="","",$I2227))))</f>
        <v/>
      </c>
      <c r="Q2227" s="34" t="str">
        <f aca="false">IF($P2227="","",IF($N2227&lt;&gt;"",$N2227,$J2227))</f>
        <v/>
      </c>
      <c r="R2227" s="35" t="str">
        <f aca="false">IF(OR($P2227="",$Q2227=""),"",INDEX(BookRate,2222)*$P2227*(5-MATCH($Q2227,{"Q1";"Q2";"Q3";"Q4"},0))/4+INDEX(BookOneOff,2222)*$P2227)</f>
        <v/>
      </c>
      <c r="S2227" s="35" t="str">
        <f aca="false">IF($P2227="","",INDEX(BookRate,2222)*$P2227)</f>
        <v/>
      </c>
      <c r="T2227" s="35" t="str">
        <f aca="false">IF($R2227="","",$R2227-$K2227)</f>
        <v/>
      </c>
      <c r="U2227" s="35" t="str">
        <f aca="false">IF(N($P2227)&lt;=0,"",COUNTIF($P$6:$P2227,"&gt;0"))</f>
        <v/>
      </c>
    </row>
    <row r="2228" customFormat="false" ht="15" hidden="false" customHeight="false" outlineLevel="0" collapsed="false">
      <c r="A2228" s="40" t="str">
        <f aca="false">IF(INDEX(BookTitle,2223)="","",INDEX(BookGroup,2223))</f>
        <v/>
      </c>
      <c r="B2228" s="40" t="str">
        <f aca="false">IF(INDEX(BookTitle,2223)="","",INDEX(BookRef,2223))</f>
        <v/>
      </c>
      <c r="C2228" s="40" t="str">
        <f aca="false">IF(INDEX(BookTitle,2223)="","",INDEX(BookDivision,2223))</f>
        <v/>
      </c>
      <c r="D2228" s="40" t="str">
        <f aca="false">IF(INDEX(BookTitle,2223)="","",INDEX(BookUnit,2223))</f>
        <v/>
      </c>
      <c r="E2228" s="40" t="str">
        <f aca="false">IF(INDEX(BookTitle,2223)="","",INDEX(BookTitle,2223))</f>
        <v/>
      </c>
      <c r="F2228" s="40" t="str">
        <f aca="false">IF(INDEX(BookTitle,2223)="","",INDEX(BookLevel,2223))</f>
        <v/>
      </c>
      <c r="G2228" s="40" t="str">
        <f aca="false">IF(INDEX(BookTitle,2223)="","",INDEX(BookCategory,2223))</f>
        <v/>
      </c>
      <c r="H2228" s="40" t="str">
        <f aca="false">IF(INDEX(BookTitle,2223)="","",INDEX(BookRank,2223))</f>
        <v/>
      </c>
      <c r="I2228" s="41" t="str">
        <f aca="false">IF(INDEX(BookTitle,2223)="","",INDEX(BookTotal,2223))</f>
        <v/>
      </c>
      <c r="J2228" s="0" t="str">
        <f aca="false">IF($I2228="","",IF(INDEX(BookQ1,2223)&gt;0,"Q1",IF(INDEX(BookQ2,2223)&gt;0,"Q2",IF(INDEX(BookQ3,2223)&gt;0,"Q3",IF(INDEX(BookQ4,2223)&gt;0,"Q4","")))))</f>
        <v/>
      </c>
      <c r="K2228" s="42" t="str">
        <f aca="false">IF(INDEX(BookTitle,2223)="","",INDEX(BookInYear,2223))</f>
        <v/>
      </c>
      <c r="L2228" s="19"/>
      <c r="M2228" s="39"/>
      <c r="N2228" s="19"/>
      <c r="O2228" s="19"/>
      <c r="P2228" s="43" t="str">
        <f aca="false">IF($E2228="","",IF($L2228="Decline",0,IF($L2228="Approve fewer",IF($M2228="","",$M2228),IF($L2228="","",$I2228))))</f>
        <v/>
      </c>
      <c r="Q2228" s="34" t="str">
        <f aca="false">IF($P2228="","",IF($N2228&lt;&gt;"",$N2228,$J2228))</f>
        <v/>
      </c>
      <c r="R2228" s="35" t="str">
        <f aca="false">IF(OR($P2228="",$Q2228=""),"",INDEX(BookRate,2223)*$P2228*(5-MATCH($Q2228,{"Q1";"Q2";"Q3";"Q4"},0))/4+INDEX(BookOneOff,2223)*$P2228)</f>
        <v/>
      </c>
      <c r="S2228" s="35" t="str">
        <f aca="false">IF($P2228="","",INDEX(BookRate,2223)*$P2228)</f>
        <v/>
      </c>
      <c r="T2228" s="35" t="str">
        <f aca="false">IF($R2228="","",$R2228-$K2228)</f>
        <v/>
      </c>
      <c r="U2228" s="35" t="str">
        <f aca="false">IF(N($P2228)&lt;=0,"",COUNTIF($P$6:$P2228,"&gt;0"))</f>
        <v/>
      </c>
    </row>
    <row r="2229" customFormat="false" ht="15" hidden="false" customHeight="false" outlineLevel="0" collapsed="false">
      <c r="A2229" s="40" t="str">
        <f aca="false">IF(INDEX(BookTitle,2224)="","",INDEX(BookGroup,2224))</f>
        <v/>
      </c>
      <c r="B2229" s="40" t="str">
        <f aca="false">IF(INDEX(BookTitle,2224)="","",INDEX(BookRef,2224))</f>
        <v/>
      </c>
      <c r="C2229" s="40" t="str">
        <f aca="false">IF(INDEX(BookTitle,2224)="","",INDEX(BookDivision,2224))</f>
        <v/>
      </c>
      <c r="D2229" s="40" t="str">
        <f aca="false">IF(INDEX(BookTitle,2224)="","",INDEX(BookUnit,2224))</f>
        <v/>
      </c>
      <c r="E2229" s="40" t="str">
        <f aca="false">IF(INDEX(BookTitle,2224)="","",INDEX(BookTitle,2224))</f>
        <v/>
      </c>
      <c r="F2229" s="40" t="str">
        <f aca="false">IF(INDEX(BookTitle,2224)="","",INDEX(BookLevel,2224))</f>
        <v/>
      </c>
      <c r="G2229" s="40" t="str">
        <f aca="false">IF(INDEX(BookTitle,2224)="","",INDEX(BookCategory,2224))</f>
        <v/>
      </c>
      <c r="H2229" s="40" t="str">
        <f aca="false">IF(INDEX(BookTitle,2224)="","",INDEX(BookRank,2224))</f>
        <v/>
      </c>
      <c r="I2229" s="41" t="str">
        <f aca="false">IF(INDEX(BookTitle,2224)="","",INDEX(BookTotal,2224))</f>
        <v/>
      </c>
      <c r="J2229" s="0" t="str">
        <f aca="false">IF($I2229="","",IF(INDEX(BookQ1,2224)&gt;0,"Q1",IF(INDEX(BookQ2,2224)&gt;0,"Q2",IF(INDEX(BookQ3,2224)&gt;0,"Q3",IF(INDEX(BookQ4,2224)&gt;0,"Q4","")))))</f>
        <v/>
      </c>
      <c r="K2229" s="42" t="str">
        <f aca="false">IF(INDEX(BookTitle,2224)="","",INDEX(BookInYear,2224))</f>
        <v/>
      </c>
      <c r="L2229" s="19"/>
      <c r="M2229" s="39"/>
      <c r="N2229" s="19"/>
      <c r="O2229" s="19"/>
      <c r="P2229" s="43" t="str">
        <f aca="false">IF($E2229="","",IF($L2229="Decline",0,IF($L2229="Approve fewer",IF($M2229="","",$M2229),IF($L2229="","",$I2229))))</f>
        <v/>
      </c>
      <c r="Q2229" s="34" t="str">
        <f aca="false">IF($P2229="","",IF($N2229&lt;&gt;"",$N2229,$J2229))</f>
        <v/>
      </c>
      <c r="R2229" s="35" t="str">
        <f aca="false">IF(OR($P2229="",$Q2229=""),"",INDEX(BookRate,2224)*$P2229*(5-MATCH($Q2229,{"Q1";"Q2";"Q3";"Q4"},0))/4+INDEX(BookOneOff,2224)*$P2229)</f>
        <v/>
      </c>
      <c r="S2229" s="35" t="str">
        <f aca="false">IF($P2229="","",INDEX(BookRate,2224)*$P2229)</f>
        <v/>
      </c>
      <c r="T2229" s="35" t="str">
        <f aca="false">IF($R2229="","",$R2229-$K2229)</f>
        <v/>
      </c>
      <c r="U2229" s="35" t="str">
        <f aca="false">IF(N($P2229)&lt;=0,"",COUNTIF($P$6:$P2229,"&gt;0"))</f>
        <v/>
      </c>
    </row>
    <row r="2230" customFormat="false" ht="15" hidden="false" customHeight="false" outlineLevel="0" collapsed="false">
      <c r="A2230" s="40" t="str">
        <f aca="false">IF(INDEX(BookTitle,2225)="","",INDEX(BookGroup,2225))</f>
        <v/>
      </c>
      <c r="B2230" s="40" t="str">
        <f aca="false">IF(INDEX(BookTitle,2225)="","",INDEX(BookRef,2225))</f>
        <v/>
      </c>
      <c r="C2230" s="40" t="str">
        <f aca="false">IF(INDEX(BookTitle,2225)="","",INDEX(BookDivision,2225))</f>
        <v/>
      </c>
      <c r="D2230" s="40" t="str">
        <f aca="false">IF(INDEX(BookTitle,2225)="","",INDEX(BookUnit,2225))</f>
        <v/>
      </c>
      <c r="E2230" s="40" t="str">
        <f aca="false">IF(INDEX(BookTitle,2225)="","",INDEX(BookTitle,2225))</f>
        <v/>
      </c>
      <c r="F2230" s="40" t="str">
        <f aca="false">IF(INDEX(BookTitle,2225)="","",INDEX(BookLevel,2225))</f>
        <v/>
      </c>
      <c r="G2230" s="40" t="str">
        <f aca="false">IF(INDEX(BookTitle,2225)="","",INDEX(BookCategory,2225))</f>
        <v/>
      </c>
      <c r="H2230" s="40" t="str">
        <f aca="false">IF(INDEX(BookTitle,2225)="","",INDEX(BookRank,2225))</f>
        <v/>
      </c>
      <c r="I2230" s="41" t="str">
        <f aca="false">IF(INDEX(BookTitle,2225)="","",INDEX(BookTotal,2225))</f>
        <v/>
      </c>
      <c r="J2230" s="0" t="str">
        <f aca="false">IF($I2230="","",IF(INDEX(BookQ1,2225)&gt;0,"Q1",IF(INDEX(BookQ2,2225)&gt;0,"Q2",IF(INDEX(BookQ3,2225)&gt;0,"Q3",IF(INDEX(BookQ4,2225)&gt;0,"Q4","")))))</f>
        <v/>
      </c>
      <c r="K2230" s="42" t="str">
        <f aca="false">IF(INDEX(BookTitle,2225)="","",INDEX(BookInYear,2225))</f>
        <v/>
      </c>
      <c r="L2230" s="19"/>
      <c r="M2230" s="39"/>
      <c r="N2230" s="19"/>
      <c r="O2230" s="19"/>
      <c r="P2230" s="43" t="str">
        <f aca="false">IF($E2230="","",IF($L2230="Decline",0,IF($L2230="Approve fewer",IF($M2230="","",$M2230),IF($L2230="","",$I2230))))</f>
        <v/>
      </c>
      <c r="Q2230" s="34" t="str">
        <f aca="false">IF($P2230="","",IF($N2230&lt;&gt;"",$N2230,$J2230))</f>
        <v/>
      </c>
      <c r="R2230" s="35" t="str">
        <f aca="false">IF(OR($P2230="",$Q2230=""),"",INDEX(BookRate,2225)*$P2230*(5-MATCH($Q2230,{"Q1";"Q2";"Q3";"Q4"},0))/4+INDEX(BookOneOff,2225)*$P2230)</f>
        <v/>
      </c>
      <c r="S2230" s="35" t="str">
        <f aca="false">IF($P2230="","",INDEX(BookRate,2225)*$P2230)</f>
        <v/>
      </c>
      <c r="T2230" s="35" t="str">
        <f aca="false">IF($R2230="","",$R2230-$K2230)</f>
        <v/>
      </c>
      <c r="U2230" s="35" t="str">
        <f aca="false">IF(N($P2230)&lt;=0,"",COUNTIF($P$6:$P2230,"&gt;0"))</f>
        <v/>
      </c>
    </row>
    <row r="2231" customFormat="false" ht="15" hidden="false" customHeight="false" outlineLevel="0" collapsed="false">
      <c r="A2231" s="40" t="str">
        <f aca="false">IF(INDEX(BookTitle,2226)="","",INDEX(BookGroup,2226))</f>
        <v/>
      </c>
      <c r="B2231" s="40" t="str">
        <f aca="false">IF(INDEX(BookTitle,2226)="","",INDEX(BookRef,2226))</f>
        <v/>
      </c>
      <c r="C2231" s="40" t="str">
        <f aca="false">IF(INDEX(BookTitle,2226)="","",INDEX(BookDivision,2226))</f>
        <v/>
      </c>
      <c r="D2231" s="40" t="str">
        <f aca="false">IF(INDEX(BookTitle,2226)="","",INDEX(BookUnit,2226))</f>
        <v/>
      </c>
      <c r="E2231" s="40" t="str">
        <f aca="false">IF(INDEX(BookTitle,2226)="","",INDEX(BookTitle,2226))</f>
        <v/>
      </c>
      <c r="F2231" s="40" t="str">
        <f aca="false">IF(INDEX(BookTitle,2226)="","",INDEX(BookLevel,2226))</f>
        <v/>
      </c>
      <c r="G2231" s="40" t="str">
        <f aca="false">IF(INDEX(BookTitle,2226)="","",INDEX(BookCategory,2226))</f>
        <v/>
      </c>
      <c r="H2231" s="40" t="str">
        <f aca="false">IF(INDEX(BookTitle,2226)="","",INDEX(BookRank,2226))</f>
        <v/>
      </c>
      <c r="I2231" s="41" t="str">
        <f aca="false">IF(INDEX(BookTitle,2226)="","",INDEX(BookTotal,2226))</f>
        <v/>
      </c>
      <c r="J2231" s="0" t="str">
        <f aca="false">IF($I2231="","",IF(INDEX(BookQ1,2226)&gt;0,"Q1",IF(INDEX(BookQ2,2226)&gt;0,"Q2",IF(INDEX(BookQ3,2226)&gt;0,"Q3",IF(INDEX(BookQ4,2226)&gt;0,"Q4","")))))</f>
        <v/>
      </c>
      <c r="K2231" s="42" t="str">
        <f aca="false">IF(INDEX(BookTitle,2226)="","",INDEX(BookInYear,2226))</f>
        <v/>
      </c>
      <c r="L2231" s="19"/>
      <c r="M2231" s="39"/>
      <c r="N2231" s="19"/>
      <c r="O2231" s="19"/>
      <c r="P2231" s="43" t="str">
        <f aca="false">IF($E2231="","",IF($L2231="Decline",0,IF($L2231="Approve fewer",IF($M2231="","",$M2231),IF($L2231="","",$I2231))))</f>
        <v/>
      </c>
      <c r="Q2231" s="34" t="str">
        <f aca="false">IF($P2231="","",IF($N2231&lt;&gt;"",$N2231,$J2231))</f>
        <v/>
      </c>
      <c r="R2231" s="35" t="str">
        <f aca="false">IF(OR($P2231="",$Q2231=""),"",INDEX(BookRate,2226)*$P2231*(5-MATCH($Q2231,{"Q1";"Q2";"Q3";"Q4"},0))/4+INDEX(BookOneOff,2226)*$P2231)</f>
        <v/>
      </c>
      <c r="S2231" s="35" t="str">
        <f aca="false">IF($P2231="","",INDEX(BookRate,2226)*$P2231)</f>
        <v/>
      </c>
      <c r="T2231" s="35" t="str">
        <f aca="false">IF($R2231="","",$R2231-$K2231)</f>
        <v/>
      </c>
      <c r="U2231" s="35" t="str">
        <f aca="false">IF(N($P2231)&lt;=0,"",COUNTIF($P$6:$P2231,"&gt;0"))</f>
        <v/>
      </c>
    </row>
    <row r="2232" customFormat="false" ht="15" hidden="false" customHeight="false" outlineLevel="0" collapsed="false">
      <c r="A2232" s="40" t="str">
        <f aca="false">IF(INDEX(BookTitle,2227)="","",INDEX(BookGroup,2227))</f>
        <v/>
      </c>
      <c r="B2232" s="40" t="str">
        <f aca="false">IF(INDEX(BookTitle,2227)="","",INDEX(BookRef,2227))</f>
        <v/>
      </c>
      <c r="C2232" s="40" t="str">
        <f aca="false">IF(INDEX(BookTitle,2227)="","",INDEX(BookDivision,2227))</f>
        <v/>
      </c>
      <c r="D2232" s="40" t="str">
        <f aca="false">IF(INDEX(BookTitle,2227)="","",INDEX(BookUnit,2227))</f>
        <v/>
      </c>
      <c r="E2232" s="40" t="str">
        <f aca="false">IF(INDEX(BookTitle,2227)="","",INDEX(BookTitle,2227))</f>
        <v/>
      </c>
      <c r="F2232" s="40" t="str">
        <f aca="false">IF(INDEX(BookTitle,2227)="","",INDEX(BookLevel,2227))</f>
        <v/>
      </c>
      <c r="G2232" s="40" t="str">
        <f aca="false">IF(INDEX(BookTitle,2227)="","",INDEX(BookCategory,2227))</f>
        <v/>
      </c>
      <c r="H2232" s="40" t="str">
        <f aca="false">IF(INDEX(BookTitle,2227)="","",INDEX(BookRank,2227))</f>
        <v/>
      </c>
      <c r="I2232" s="41" t="str">
        <f aca="false">IF(INDEX(BookTitle,2227)="","",INDEX(BookTotal,2227))</f>
        <v/>
      </c>
      <c r="J2232" s="0" t="str">
        <f aca="false">IF($I2232="","",IF(INDEX(BookQ1,2227)&gt;0,"Q1",IF(INDEX(BookQ2,2227)&gt;0,"Q2",IF(INDEX(BookQ3,2227)&gt;0,"Q3",IF(INDEX(BookQ4,2227)&gt;0,"Q4","")))))</f>
        <v/>
      </c>
      <c r="K2232" s="42" t="str">
        <f aca="false">IF(INDEX(BookTitle,2227)="","",INDEX(BookInYear,2227))</f>
        <v/>
      </c>
      <c r="L2232" s="19"/>
      <c r="M2232" s="39"/>
      <c r="N2232" s="19"/>
      <c r="O2232" s="19"/>
      <c r="P2232" s="43" t="str">
        <f aca="false">IF($E2232="","",IF($L2232="Decline",0,IF($L2232="Approve fewer",IF($M2232="","",$M2232),IF($L2232="","",$I2232))))</f>
        <v/>
      </c>
      <c r="Q2232" s="34" t="str">
        <f aca="false">IF($P2232="","",IF($N2232&lt;&gt;"",$N2232,$J2232))</f>
        <v/>
      </c>
      <c r="R2232" s="35" t="str">
        <f aca="false">IF(OR($P2232="",$Q2232=""),"",INDEX(BookRate,2227)*$P2232*(5-MATCH($Q2232,{"Q1";"Q2";"Q3";"Q4"},0))/4+INDEX(BookOneOff,2227)*$P2232)</f>
        <v/>
      </c>
      <c r="S2232" s="35" t="str">
        <f aca="false">IF($P2232="","",INDEX(BookRate,2227)*$P2232)</f>
        <v/>
      </c>
      <c r="T2232" s="35" t="str">
        <f aca="false">IF($R2232="","",$R2232-$K2232)</f>
        <v/>
      </c>
      <c r="U2232" s="35" t="str">
        <f aca="false">IF(N($P2232)&lt;=0,"",COUNTIF($P$6:$P2232,"&gt;0"))</f>
        <v/>
      </c>
    </row>
    <row r="2233" customFormat="false" ht="15" hidden="false" customHeight="false" outlineLevel="0" collapsed="false">
      <c r="A2233" s="40" t="str">
        <f aca="false">IF(INDEX(BookTitle,2228)="","",INDEX(BookGroup,2228))</f>
        <v/>
      </c>
      <c r="B2233" s="40" t="str">
        <f aca="false">IF(INDEX(BookTitle,2228)="","",INDEX(BookRef,2228))</f>
        <v/>
      </c>
      <c r="C2233" s="40" t="str">
        <f aca="false">IF(INDEX(BookTitle,2228)="","",INDEX(BookDivision,2228))</f>
        <v/>
      </c>
      <c r="D2233" s="40" t="str">
        <f aca="false">IF(INDEX(BookTitle,2228)="","",INDEX(BookUnit,2228))</f>
        <v/>
      </c>
      <c r="E2233" s="40" t="str">
        <f aca="false">IF(INDEX(BookTitle,2228)="","",INDEX(BookTitle,2228))</f>
        <v/>
      </c>
      <c r="F2233" s="40" t="str">
        <f aca="false">IF(INDEX(BookTitle,2228)="","",INDEX(BookLevel,2228))</f>
        <v/>
      </c>
      <c r="G2233" s="40" t="str">
        <f aca="false">IF(INDEX(BookTitle,2228)="","",INDEX(BookCategory,2228))</f>
        <v/>
      </c>
      <c r="H2233" s="40" t="str">
        <f aca="false">IF(INDEX(BookTitle,2228)="","",INDEX(BookRank,2228))</f>
        <v/>
      </c>
      <c r="I2233" s="41" t="str">
        <f aca="false">IF(INDEX(BookTitle,2228)="","",INDEX(BookTotal,2228))</f>
        <v/>
      </c>
      <c r="J2233" s="0" t="str">
        <f aca="false">IF($I2233="","",IF(INDEX(BookQ1,2228)&gt;0,"Q1",IF(INDEX(BookQ2,2228)&gt;0,"Q2",IF(INDEX(BookQ3,2228)&gt;0,"Q3",IF(INDEX(BookQ4,2228)&gt;0,"Q4","")))))</f>
        <v/>
      </c>
      <c r="K2233" s="42" t="str">
        <f aca="false">IF(INDEX(BookTitle,2228)="","",INDEX(BookInYear,2228))</f>
        <v/>
      </c>
      <c r="L2233" s="19"/>
      <c r="M2233" s="39"/>
      <c r="N2233" s="19"/>
      <c r="O2233" s="19"/>
      <c r="P2233" s="43" t="str">
        <f aca="false">IF($E2233="","",IF($L2233="Decline",0,IF($L2233="Approve fewer",IF($M2233="","",$M2233),IF($L2233="","",$I2233))))</f>
        <v/>
      </c>
      <c r="Q2233" s="34" t="str">
        <f aca="false">IF($P2233="","",IF($N2233&lt;&gt;"",$N2233,$J2233))</f>
        <v/>
      </c>
      <c r="R2233" s="35" t="str">
        <f aca="false">IF(OR($P2233="",$Q2233=""),"",INDEX(BookRate,2228)*$P2233*(5-MATCH($Q2233,{"Q1";"Q2";"Q3";"Q4"},0))/4+INDEX(BookOneOff,2228)*$P2233)</f>
        <v/>
      </c>
      <c r="S2233" s="35" t="str">
        <f aca="false">IF($P2233="","",INDEX(BookRate,2228)*$P2233)</f>
        <v/>
      </c>
      <c r="T2233" s="35" t="str">
        <f aca="false">IF($R2233="","",$R2233-$K2233)</f>
        <v/>
      </c>
      <c r="U2233" s="35" t="str">
        <f aca="false">IF(N($P2233)&lt;=0,"",COUNTIF($P$6:$P2233,"&gt;0"))</f>
        <v/>
      </c>
    </row>
    <row r="2234" customFormat="false" ht="15" hidden="false" customHeight="false" outlineLevel="0" collapsed="false">
      <c r="A2234" s="40" t="str">
        <f aca="false">IF(INDEX(BookTitle,2229)="","",INDEX(BookGroup,2229))</f>
        <v/>
      </c>
      <c r="B2234" s="40" t="str">
        <f aca="false">IF(INDEX(BookTitle,2229)="","",INDEX(BookRef,2229))</f>
        <v/>
      </c>
      <c r="C2234" s="40" t="str">
        <f aca="false">IF(INDEX(BookTitle,2229)="","",INDEX(BookDivision,2229))</f>
        <v/>
      </c>
      <c r="D2234" s="40" t="str">
        <f aca="false">IF(INDEX(BookTitle,2229)="","",INDEX(BookUnit,2229))</f>
        <v/>
      </c>
      <c r="E2234" s="40" t="str">
        <f aca="false">IF(INDEX(BookTitle,2229)="","",INDEX(BookTitle,2229))</f>
        <v/>
      </c>
      <c r="F2234" s="40" t="str">
        <f aca="false">IF(INDEX(BookTitle,2229)="","",INDEX(BookLevel,2229))</f>
        <v/>
      </c>
      <c r="G2234" s="40" t="str">
        <f aca="false">IF(INDEX(BookTitle,2229)="","",INDEX(BookCategory,2229))</f>
        <v/>
      </c>
      <c r="H2234" s="40" t="str">
        <f aca="false">IF(INDEX(BookTitle,2229)="","",INDEX(BookRank,2229))</f>
        <v/>
      </c>
      <c r="I2234" s="41" t="str">
        <f aca="false">IF(INDEX(BookTitle,2229)="","",INDEX(BookTotal,2229))</f>
        <v/>
      </c>
      <c r="J2234" s="0" t="str">
        <f aca="false">IF($I2234="","",IF(INDEX(BookQ1,2229)&gt;0,"Q1",IF(INDEX(BookQ2,2229)&gt;0,"Q2",IF(INDEX(BookQ3,2229)&gt;0,"Q3",IF(INDEX(BookQ4,2229)&gt;0,"Q4","")))))</f>
        <v/>
      </c>
      <c r="K2234" s="42" t="str">
        <f aca="false">IF(INDEX(BookTitle,2229)="","",INDEX(BookInYear,2229))</f>
        <v/>
      </c>
      <c r="L2234" s="19"/>
      <c r="M2234" s="39"/>
      <c r="N2234" s="19"/>
      <c r="O2234" s="19"/>
      <c r="P2234" s="43" t="str">
        <f aca="false">IF($E2234="","",IF($L2234="Decline",0,IF($L2234="Approve fewer",IF($M2234="","",$M2234),IF($L2234="","",$I2234))))</f>
        <v/>
      </c>
      <c r="Q2234" s="34" t="str">
        <f aca="false">IF($P2234="","",IF($N2234&lt;&gt;"",$N2234,$J2234))</f>
        <v/>
      </c>
      <c r="R2234" s="35" t="str">
        <f aca="false">IF(OR($P2234="",$Q2234=""),"",INDEX(BookRate,2229)*$P2234*(5-MATCH($Q2234,{"Q1";"Q2";"Q3";"Q4"},0))/4+INDEX(BookOneOff,2229)*$P2234)</f>
        <v/>
      </c>
      <c r="S2234" s="35" t="str">
        <f aca="false">IF($P2234="","",INDEX(BookRate,2229)*$P2234)</f>
        <v/>
      </c>
      <c r="T2234" s="35" t="str">
        <f aca="false">IF($R2234="","",$R2234-$K2234)</f>
        <v/>
      </c>
      <c r="U2234" s="35" t="str">
        <f aca="false">IF(N($P2234)&lt;=0,"",COUNTIF($P$6:$P2234,"&gt;0"))</f>
        <v/>
      </c>
    </row>
    <row r="2235" customFormat="false" ht="15" hidden="false" customHeight="false" outlineLevel="0" collapsed="false">
      <c r="A2235" s="40" t="str">
        <f aca="false">IF(INDEX(BookTitle,2230)="","",INDEX(BookGroup,2230))</f>
        <v/>
      </c>
      <c r="B2235" s="40" t="str">
        <f aca="false">IF(INDEX(BookTitle,2230)="","",INDEX(BookRef,2230))</f>
        <v/>
      </c>
      <c r="C2235" s="40" t="str">
        <f aca="false">IF(INDEX(BookTitle,2230)="","",INDEX(BookDivision,2230))</f>
        <v/>
      </c>
      <c r="D2235" s="40" t="str">
        <f aca="false">IF(INDEX(BookTitle,2230)="","",INDEX(BookUnit,2230))</f>
        <v/>
      </c>
      <c r="E2235" s="40" t="str">
        <f aca="false">IF(INDEX(BookTitle,2230)="","",INDEX(BookTitle,2230))</f>
        <v/>
      </c>
      <c r="F2235" s="40" t="str">
        <f aca="false">IF(INDEX(BookTitle,2230)="","",INDEX(BookLevel,2230))</f>
        <v/>
      </c>
      <c r="G2235" s="40" t="str">
        <f aca="false">IF(INDEX(BookTitle,2230)="","",INDEX(BookCategory,2230))</f>
        <v/>
      </c>
      <c r="H2235" s="40" t="str">
        <f aca="false">IF(INDEX(BookTitle,2230)="","",INDEX(BookRank,2230))</f>
        <v/>
      </c>
      <c r="I2235" s="41" t="str">
        <f aca="false">IF(INDEX(BookTitle,2230)="","",INDEX(BookTotal,2230))</f>
        <v/>
      </c>
      <c r="J2235" s="0" t="str">
        <f aca="false">IF($I2235="","",IF(INDEX(BookQ1,2230)&gt;0,"Q1",IF(INDEX(BookQ2,2230)&gt;0,"Q2",IF(INDEX(BookQ3,2230)&gt;0,"Q3",IF(INDEX(BookQ4,2230)&gt;0,"Q4","")))))</f>
        <v/>
      </c>
      <c r="K2235" s="42" t="str">
        <f aca="false">IF(INDEX(BookTitle,2230)="","",INDEX(BookInYear,2230))</f>
        <v/>
      </c>
      <c r="L2235" s="19"/>
      <c r="M2235" s="39"/>
      <c r="N2235" s="19"/>
      <c r="O2235" s="19"/>
      <c r="P2235" s="43" t="str">
        <f aca="false">IF($E2235="","",IF($L2235="Decline",0,IF($L2235="Approve fewer",IF($M2235="","",$M2235),IF($L2235="","",$I2235))))</f>
        <v/>
      </c>
      <c r="Q2235" s="34" t="str">
        <f aca="false">IF($P2235="","",IF($N2235&lt;&gt;"",$N2235,$J2235))</f>
        <v/>
      </c>
      <c r="R2235" s="35" t="str">
        <f aca="false">IF(OR($P2235="",$Q2235=""),"",INDEX(BookRate,2230)*$P2235*(5-MATCH($Q2235,{"Q1";"Q2";"Q3";"Q4"},0))/4+INDEX(BookOneOff,2230)*$P2235)</f>
        <v/>
      </c>
      <c r="S2235" s="35" t="str">
        <f aca="false">IF($P2235="","",INDEX(BookRate,2230)*$P2235)</f>
        <v/>
      </c>
      <c r="T2235" s="35" t="str">
        <f aca="false">IF($R2235="","",$R2235-$K2235)</f>
        <v/>
      </c>
      <c r="U2235" s="35" t="str">
        <f aca="false">IF(N($P2235)&lt;=0,"",COUNTIF($P$6:$P2235,"&gt;0"))</f>
        <v/>
      </c>
    </row>
    <row r="2236" customFormat="false" ht="15" hidden="false" customHeight="false" outlineLevel="0" collapsed="false">
      <c r="A2236" s="40" t="str">
        <f aca="false">IF(INDEX(BookTitle,2231)="","",INDEX(BookGroup,2231))</f>
        <v/>
      </c>
      <c r="B2236" s="40" t="str">
        <f aca="false">IF(INDEX(BookTitle,2231)="","",INDEX(BookRef,2231))</f>
        <v/>
      </c>
      <c r="C2236" s="40" t="str">
        <f aca="false">IF(INDEX(BookTitle,2231)="","",INDEX(BookDivision,2231))</f>
        <v/>
      </c>
      <c r="D2236" s="40" t="str">
        <f aca="false">IF(INDEX(BookTitle,2231)="","",INDEX(BookUnit,2231))</f>
        <v/>
      </c>
      <c r="E2236" s="40" t="str">
        <f aca="false">IF(INDEX(BookTitle,2231)="","",INDEX(BookTitle,2231))</f>
        <v/>
      </c>
      <c r="F2236" s="40" t="str">
        <f aca="false">IF(INDEX(BookTitle,2231)="","",INDEX(BookLevel,2231))</f>
        <v/>
      </c>
      <c r="G2236" s="40" t="str">
        <f aca="false">IF(INDEX(BookTitle,2231)="","",INDEX(BookCategory,2231))</f>
        <v/>
      </c>
      <c r="H2236" s="40" t="str">
        <f aca="false">IF(INDEX(BookTitle,2231)="","",INDEX(BookRank,2231))</f>
        <v/>
      </c>
      <c r="I2236" s="41" t="str">
        <f aca="false">IF(INDEX(BookTitle,2231)="","",INDEX(BookTotal,2231))</f>
        <v/>
      </c>
      <c r="J2236" s="0" t="str">
        <f aca="false">IF($I2236="","",IF(INDEX(BookQ1,2231)&gt;0,"Q1",IF(INDEX(BookQ2,2231)&gt;0,"Q2",IF(INDEX(BookQ3,2231)&gt;0,"Q3",IF(INDEX(BookQ4,2231)&gt;0,"Q4","")))))</f>
        <v/>
      </c>
      <c r="K2236" s="42" t="str">
        <f aca="false">IF(INDEX(BookTitle,2231)="","",INDEX(BookInYear,2231))</f>
        <v/>
      </c>
      <c r="L2236" s="19"/>
      <c r="M2236" s="39"/>
      <c r="N2236" s="19"/>
      <c r="O2236" s="19"/>
      <c r="P2236" s="43" t="str">
        <f aca="false">IF($E2236="","",IF($L2236="Decline",0,IF($L2236="Approve fewer",IF($M2236="","",$M2236),IF($L2236="","",$I2236))))</f>
        <v/>
      </c>
      <c r="Q2236" s="34" t="str">
        <f aca="false">IF($P2236="","",IF($N2236&lt;&gt;"",$N2236,$J2236))</f>
        <v/>
      </c>
      <c r="R2236" s="35" t="str">
        <f aca="false">IF(OR($P2236="",$Q2236=""),"",INDEX(BookRate,2231)*$P2236*(5-MATCH($Q2236,{"Q1";"Q2";"Q3";"Q4"},0))/4+INDEX(BookOneOff,2231)*$P2236)</f>
        <v/>
      </c>
      <c r="S2236" s="35" t="str">
        <f aca="false">IF($P2236="","",INDEX(BookRate,2231)*$P2236)</f>
        <v/>
      </c>
      <c r="T2236" s="35" t="str">
        <f aca="false">IF($R2236="","",$R2236-$K2236)</f>
        <v/>
      </c>
      <c r="U2236" s="35" t="str">
        <f aca="false">IF(N($P2236)&lt;=0,"",COUNTIF($P$6:$P2236,"&gt;0"))</f>
        <v/>
      </c>
    </row>
    <row r="2237" customFormat="false" ht="15" hidden="false" customHeight="false" outlineLevel="0" collapsed="false">
      <c r="A2237" s="40" t="str">
        <f aca="false">IF(INDEX(BookTitle,2232)="","",INDEX(BookGroup,2232))</f>
        <v/>
      </c>
      <c r="B2237" s="40" t="str">
        <f aca="false">IF(INDEX(BookTitle,2232)="","",INDEX(BookRef,2232))</f>
        <v/>
      </c>
      <c r="C2237" s="40" t="str">
        <f aca="false">IF(INDEX(BookTitle,2232)="","",INDEX(BookDivision,2232))</f>
        <v/>
      </c>
      <c r="D2237" s="40" t="str">
        <f aca="false">IF(INDEX(BookTitle,2232)="","",INDEX(BookUnit,2232))</f>
        <v/>
      </c>
      <c r="E2237" s="40" t="str">
        <f aca="false">IF(INDEX(BookTitle,2232)="","",INDEX(BookTitle,2232))</f>
        <v/>
      </c>
      <c r="F2237" s="40" t="str">
        <f aca="false">IF(INDEX(BookTitle,2232)="","",INDEX(BookLevel,2232))</f>
        <v/>
      </c>
      <c r="G2237" s="40" t="str">
        <f aca="false">IF(INDEX(BookTitle,2232)="","",INDEX(BookCategory,2232))</f>
        <v/>
      </c>
      <c r="H2237" s="40" t="str">
        <f aca="false">IF(INDEX(BookTitle,2232)="","",INDEX(BookRank,2232))</f>
        <v/>
      </c>
      <c r="I2237" s="41" t="str">
        <f aca="false">IF(INDEX(BookTitle,2232)="","",INDEX(BookTotal,2232))</f>
        <v/>
      </c>
      <c r="J2237" s="0" t="str">
        <f aca="false">IF($I2237="","",IF(INDEX(BookQ1,2232)&gt;0,"Q1",IF(INDEX(BookQ2,2232)&gt;0,"Q2",IF(INDEX(BookQ3,2232)&gt;0,"Q3",IF(INDEX(BookQ4,2232)&gt;0,"Q4","")))))</f>
        <v/>
      </c>
      <c r="K2237" s="42" t="str">
        <f aca="false">IF(INDEX(BookTitle,2232)="","",INDEX(BookInYear,2232))</f>
        <v/>
      </c>
      <c r="L2237" s="19"/>
      <c r="M2237" s="39"/>
      <c r="N2237" s="19"/>
      <c r="O2237" s="19"/>
      <c r="P2237" s="43" t="str">
        <f aca="false">IF($E2237="","",IF($L2237="Decline",0,IF($L2237="Approve fewer",IF($M2237="","",$M2237),IF($L2237="","",$I2237))))</f>
        <v/>
      </c>
      <c r="Q2237" s="34" t="str">
        <f aca="false">IF($P2237="","",IF($N2237&lt;&gt;"",$N2237,$J2237))</f>
        <v/>
      </c>
      <c r="R2237" s="35" t="str">
        <f aca="false">IF(OR($P2237="",$Q2237=""),"",INDEX(BookRate,2232)*$P2237*(5-MATCH($Q2237,{"Q1";"Q2";"Q3";"Q4"},0))/4+INDEX(BookOneOff,2232)*$P2237)</f>
        <v/>
      </c>
      <c r="S2237" s="35" t="str">
        <f aca="false">IF($P2237="","",INDEX(BookRate,2232)*$P2237)</f>
        <v/>
      </c>
      <c r="T2237" s="35" t="str">
        <f aca="false">IF($R2237="","",$R2237-$K2237)</f>
        <v/>
      </c>
      <c r="U2237" s="35" t="str">
        <f aca="false">IF(N($P2237)&lt;=0,"",COUNTIF($P$6:$P2237,"&gt;0"))</f>
        <v/>
      </c>
    </row>
    <row r="2238" customFormat="false" ht="15" hidden="false" customHeight="false" outlineLevel="0" collapsed="false">
      <c r="A2238" s="40" t="str">
        <f aca="false">IF(INDEX(BookTitle,2233)="","",INDEX(BookGroup,2233))</f>
        <v/>
      </c>
      <c r="B2238" s="40" t="str">
        <f aca="false">IF(INDEX(BookTitle,2233)="","",INDEX(BookRef,2233))</f>
        <v/>
      </c>
      <c r="C2238" s="40" t="str">
        <f aca="false">IF(INDEX(BookTitle,2233)="","",INDEX(BookDivision,2233))</f>
        <v/>
      </c>
      <c r="D2238" s="40" t="str">
        <f aca="false">IF(INDEX(BookTitle,2233)="","",INDEX(BookUnit,2233))</f>
        <v/>
      </c>
      <c r="E2238" s="40" t="str">
        <f aca="false">IF(INDEX(BookTitle,2233)="","",INDEX(BookTitle,2233))</f>
        <v/>
      </c>
      <c r="F2238" s="40" t="str">
        <f aca="false">IF(INDEX(BookTitle,2233)="","",INDEX(BookLevel,2233))</f>
        <v/>
      </c>
      <c r="G2238" s="40" t="str">
        <f aca="false">IF(INDEX(BookTitle,2233)="","",INDEX(BookCategory,2233))</f>
        <v/>
      </c>
      <c r="H2238" s="40" t="str">
        <f aca="false">IF(INDEX(BookTitle,2233)="","",INDEX(BookRank,2233))</f>
        <v/>
      </c>
      <c r="I2238" s="41" t="str">
        <f aca="false">IF(INDEX(BookTitle,2233)="","",INDEX(BookTotal,2233))</f>
        <v/>
      </c>
      <c r="J2238" s="0" t="str">
        <f aca="false">IF($I2238="","",IF(INDEX(BookQ1,2233)&gt;0,"Q1",IF(INDEX(BookQ2,2233)&gt;0,"Q2",IF(INDEX(BookQ3,2233)&gt;0,"Q3",IF(INDEX(BookQ4,2233)&gt;0,"Q4","")))))</f>
        <v/>
      </c>
      <c r="K2238" s="42" t="str">
        <f aca="false">IF(INDEX(BookTitle,2233)="","",INDEX(BookInYear,2233))</f>
        <v/>
      </c>
      <c r="L2238" s="19"/>
      <c r="M2238" s="39"/>
      <c r="N2238" s="19"/>
      <c r="O2238" s="19"/>
      <c r="P2238" s="43" t="str">
        <f aca="false">IF($E2238="","",IF($L2238="Decline",0,IF($L2238="Approve fewer",IF($M2238="","",$M2238),IF($L2238="","",$I2238))))</f>
        <v/>
      </c>
      <c r="Q2238" s="34" t="str">
        <f aca="false">IF($P2238="","",IF($N2238&lt;&gt;"",$N2238,$J2238))</f>
        <v/>
      </c>
      <c r="R2238" s="35" t="str">
        <f aca="false">IF(OR($P2238="",$Q2238=""),"",INDEX(BookRate,2233)*$P2238*(5-MATCH($Q2238,{"Q1";"Q2";"Q3";"Q4"},0))/4+INDEX(BookOneOff,2233)*$P2238)</f>
        <v/>
      </c>
      <c r="S2238" s="35" t="str">
        <f aca="false">IF($P2238="","",INDEX(BookRate,2233)*$P2238)</f>
        <v/>
      </c>
      <c r="T2238" s="35" t="str">
        <f aca="false">IF($R2238="","",$R2238-$K2238)</f>
        <v/>
      </c>
      <c r="U2238" s="35" t="str">
        <f aca="false">IF(N($P2238)&lt;=0,"",COUNTIF($P$6:$P2238,"&gt;0"))</f>
        <v/>
      </c>
    </row>
    <row r="2239" customFormat="false" ht="15" hidden="false" customHeight="false" outlineLevel="0" collapsed="false">
      <c r="A2239" s="40" t="str">
        <f aca="false">IF(INDEX(BookTitle,2234)="","",INDEX(BookGroup,2234))</f>
        <v/>
      </c>
      <c r="B2239" s="40" t="str">
        <f aca="false">IF(INDEX(BookTitle,2234)="","",INDEX(BookRef,2234))</f>
        <v/>
      </c>
      <c r="C2239" s="40" t="str">
        <f aca="false">IF(INDEX(BookTitle,2234)="","",INDEX(BookDivision,2234))</f>
        <v/>
      </c>
      <c r="D2239" s="40" t="str">
        <f aca="false">IF(INDEX(BookTitle,2234)="","",INDEX(BookUnit,2234))</f>
        <v/>
      </c>
      <c r="E2239" s="40" t="str">
        <f aca="false">IF(INDEX(BookTitle,2234)="","",INDEX(BookTitle,2234))</f>
        <v/>
      </c>
      <c r="F2239" s="40" t="str">
        <f aca="false">IF(INDEX(BookTitle,2234)="","",INDEX(BookLevel,2234))</f>
        <v/>
      </c>
      <c r="G2239" s="40" t="str">
        <f aca="false">IF(INDEX(BookTitle,2234)="","",INDEX(BookCategory,2234))</f>
        <v/>
      </c>
      <c r="H2239" s="40" t="str">
        <f aca="false">IF(INDEX(BookTitle,2234)="","",INDEX(BookRank,2234))</f>
        <v/>
      </c>
      <c r="I2239" s="41" t="str">
        <f aca="false">IF(INDEX(BookTitle,2234)="","",INDEX(BookTotal,2234))</f>
        <v/>
      </c>
      <c r="J2239" s="0" t="str">
        <f aca="false">IF($I2239="","",IF(INDEX(BookQ1,2234)&gt;0,"Q1",IF(INDEX(BookQ2,2234)&gt;0,"Q2",IF(INDEX(BookQ3,2234)&gt;0,"Q3",IF(INDEX(BookQ4,2234)&gt;0,"Q4","")))))</f>
        <v/>
      </c>
      <c r="K2239" s="42" t="str">
        <f aca="false">IF(INDEX(BookTitle,2234)="","",INDEX(BookInYear,2234))</f>
        <v/>
      </c>
      <c r="L2239" s="19"/>
      <c r="M2239" s="39"/>
      <c r="N2239" s="19"/>
      <c r="O2239" s="19"/>
      <c r="P2239" s="43" t="str">
        <f aca="false">IF($E2239="","",IF($L2239="Decline",0,IF($L2239="Approve fewer",IF($M2239="","",$M2239),IF($L2239="","",$I2239))))</f>
        <v/>
      </c>
      <c r="Q2239" s="34" t="str">
        <f aca="false">IF($P2239="","",IF($N2239&lt;&gt;"",$N2239,$J2239))</f>
        <v/>
      </c>
      <c r="R2239" s="35" t="str">
        <f aca="false">IF(OR($P2239="",$Q2239=""),"",INDEX(BookRate,2234)*$P2239*(5-MATCH($Q2239,{"Q1";"Q2";"Q3";"Q4"},0))/4+INDEX(BookOneOff,2234)*$P2239)</f>
        <v/>
      </c>
      <c r="S2239" s="35" t="str">
        <f aca="false">IF($P2239="","",INDEX(BookRate,2234)*$P2239)</f>
        <v/>
      </c>
      <c r="T2239" s="35" t="str">
        <f aca="false">IF($R2239="","",$R2239-$K2239)</f>
        <v/>
      </c>
      <c r="U2239" s="35" t="str">
        <f aca="false">IF(N($P2239)&lt;=0,"",COUNTIF($P$6:$P2239,"&gt;0"))</f>
        <v/>
      </c>
    </row>
    <row r="2240" customFormat="false" ht="15" hidden="false" customHeight="false" outlineLevel="0" collapsed="false">
      <c r="A2240" s="40" t="str">
        <f aca="false">IF(INDEX(BookTitle,2235)="","",INDEX(BookGroup,2235))</f>
        <v/>
      </c>
      <c r="B2240" s="40" t="str">
        <f aca="false">IF(INDEX(BookTitle,2235)="","",INDEX(BookRef,2235))</f>
        <v/>
      </c>
      <c r="C2240" s="40" t="str">
        <f aca="false">IF(INDEX(BookTitle,2235)="","",INDEX(BookDivision,2235))</f>
        <v/>
      </c>
      <c r="D2240" s="40" t="str">
        <f aca="false">IF(INDEX(BookTitle,2235)="","",INDEX(BookUnit,2235))</f>
        <v/>
      </c>
      <c r="E2240" s="40" t="str">
        <f aca="false">IF(INDEX(BookTitle,2235)="","",INDEX(BookTitle,2235))</f>
        <v/>
      </c>
      <c r="F2240" s="40" t="str">
        <f aca="false">IF(INDEX(BookTitle,2235)="","",INDEX(BookLevel,2235))</f>
        <v/>
      </c>
      <c r="G2240" s="40" t="str">
        <f aca="false">IF(INDEX(BookTitle,2235)="","",INDEX(BookCategory,2235))</f>
        <v/>
      </c>
      <c r="H2240" s="40" t="str">
        <f aca="false">IF(INDEX(BookTitle,2235)="","",INDEX(BookRank,2235))</f>
        <v/>
      </c>
      <c r="I2240" s="41" t="str">
        <f aca="false">IF(INDEX(BookTitle,2235)="","",INDEX(BookTotal,2235))</f>
        <v/>
      </c>
      <c r="J2240" s="0" t="str">
        <f aca="false">IF($I2240="","",IF(INDEX(BookQ1,2235)&gt;0,"Q1",IF(INDEX(BookQ2,2235)&gt;0,"Q2",IF(INDEX(BookQ3,2235)&gt;0,"Q3",IF(INDEX(BookQ4,2235)&gt;0,"Q4","")))))</f>
        <v/>
      </c>
      <c r="K2240" s="42" t="str">
        <f aca="false">IF(INDEX(BookTitle,2235)="","",INDEX(BookInYear,2235))</f>
        <v/>
      </c>
      <c r="L2240" s="19"/>
      <c r="M2240" s="39"/>
      <c r="N2240" s="19"/>
      <c r="O2240" s="19"/>
      <c r="P2240" s="43" t="str">
        <f aca="false">IF($E2240="","",IF($L2240="Decline",0,IF($L2240="Approve fewer",IF($M2240="","",$M2240),IF($L2240="","",$I2240))))</f>
        <v/>
      </c>
      <c r="Q2240" s="34" t="str">
        <f aca="false">IF($P2240="","",IF($N2240&lt;&gt;"",$N2240,$J2240))</f>
        <v/>
      </c>
      <c r="R2240" s="35" t="str">
        <f aca="false">IF(OR($P2240="",$Q2240=""),"",INDEX(BookRate,2235)*$P2240*(5-MATCH($Q2240,{"Q1";"Q2";"Q3";"Q4"},0))/4+INDEX(BookOneOff,2235)*$P2240)</f>
        <v/>
      </c>
      <c r="S2240" s="35" t="str">
        <f aca="false">IF($P2240="","",INDEX(BookRate,2235)*$P2240)</f>
        <v/>
      </c>
      <c r="T2240" s="35" t="str">
        <f aca="false">IF($R2240="","",$R2240-$K2240)</f>
        <v/>
      </c>
      <c r="U2240" s="35" t="str">
        <f aca="false">IF(N($P2240)&lt;=0,"",COUNTIF($P$6:$P2240,"&gt;0"))</f>
        <v/>
      </c>
    </row>
    <row r="2241" customFormat="false" ht="15" hidden="false" customHeight="false" outlineLevel="0" collapsed="false">
      <c r="A2241" s="40" t="str">
        <f aca="false">IF(INDEX(BookTitle,2236)="","",INDEX(BookGroup,2236))</f>
        <v/>
      </c>
      <c r="B2241" s="40" t="str">
        <f aca="false">IF(INDEX(BookTitle,2236)="","",INDEX(BookRef,2236))</f>
        <v/>
      </c>
      <c r="C2241" s="40" t="str">
        <f aca="false">IF(INDEX(BookTitle,2236)="","",INDEX(BookDivision,2236))</f>
        <v/>
      </c>
      <c r="D2241" s="40" t="str">
        <f aca="false">IF(INDEX(BookTitle,2236)="","",INDEX(BookUnit,2236))</f>
        <v/>
      </c>
      <c r="E2241" s="40" t="str">
        <f aca="false">IF(INDEX(BookTitle,2236)="","",INDEX(BookTitle,2236))</f>
        <v/>
      </c>
      <c r="F2241" s="40" t="str">
        <f aca="false">IF(INDEX(BookTitle,2236)="","",INDEX(BookLevel,2236))</f>
        <v/>
      </c>
      <c r="G2241" s="40" t="str">
        <f aca="false">IF(INDEX(BookTitle,2236)="","",INDEX(BookCategory,2236))</f>
        <v/>
      </c>
      <c r="H2241" s="40" t="str">
        <f aca="false">IF(INDEX(BookTitle,2236)="","",INDEX(BookRank,2236))</f>
        <v/>
      </c>
      <c r="I2241" s="41" t="str">
        <f aca="false">IF(INDEX(BookTitle,2236)="","",INDEX(BookTotal,2236))</f>
        <v/>
      </c>
      <c r="J2241" s="0" t="str">
        <f aca="false">IF($I2241="","",IF(INDEX(BookQ1,2236)&gt;0,"Q1",IF(INDEX(BookQ2,2236)&gt;0,"Q2",IF(INDEX(BookQ3,2236)&gt;0,"Q3",IF(INDEX(BookQ4,2236)&gt;0,"Q4","")))))</f>
        <v/>
      </c>
      <c r="K2241" s="42" t="str">
        <f aca="false">IF(INDEX(BookTitle,2236)="","",INDEX(BookInYear,2236))</f>
        <v/>
      </c>
      <c r="L2241" s="19"/>
      <c r="M2241" s="39"/>
      <c r="N2241" s="19"/>
      <c r="O2241" s="19"/>
      <c r="P2241" s="43" t="str">
        <f aca="false">IF($E2241="","",IF($L2241="Decline",0,IF($L2241="Approve fewer",IF($M2241="","",$M2241),IF($L2241="","",$I2241))))</f>
        <v/>
      </c>
      <c r="Q2241" s="34" t="str">
        <f aca="false">IF($P2241="","",IF($N2241&lt;&gt;"",$N2241,$J2241))</f>
        <v/>
      </c>
      <c r="R2241" s="35" t="str">
        <f aca="false">IF(OR($P2241="",$Q2241=""),"",INDEX(BookRate,2236)*$P2241*(5-MATCH($Q2241,{"Q1";"Q2";"Q3";"Q4"},0))/4+INDEX(BookOneOff,2236)*$P2241)</f>
        <v/>
      </c>
      <c r="S2241" s="35" t="str">
        <f aca="false">IF($P2241="","",INDEX(BookRate,2236)*$P2241)</f>
        <v/>
      </c>
      <c r="T2241" s="35" t="str">
        <f aca="false">IF($R2241="","",$R2241-$K2241)</f>
        <v/>
      </c>
      <c r="U2241" s="35" t="str">
        <f aca="false">IF(N($P2241)&lt;=0,"",COUNTIF($P$6:$P2241,"&gt;0"))</f>
        <v/>
      </c>
    </row>
    <row r="2242" customFormat="false" ht="15" hidden="false" customHeight="false" outlineLevel="0" collapsed="false">
      <c r="A2242" s="40" t="str">
        <f aca="false">IF(INDEX(BookTitle,2237)="","",INDEX(BookGroup,2237))</f>
        <v/>
      </c>
      <c r="B2242" s="40" t="str">
        <f aca="false">IF(INDEX(BookTitle,2237)="","",INDEX(BookRef,2237))</f>
        <v/>
      </c>
      <c r="C2242" s="40" t="str">
        <f aca="false">IF(INDEX(BookTitle,2237)="","",INDEX(BookDivision,2237))</f>
        <v/>
      </c>
      <c r="D2242" s="40" t="str">
        <f aca="false">IF(INDEX(BookTitle,2237)="","",INDEX(BookUnit,2237))</f>
        <v/>
      </c>
      <c r="E2242" s="40" t="str">
        <f aca="false">IF(INDEX(BookTitle,2237)="","",INDEX(BookTitle,2237))</f>
        <v/>
      </c>
      <c r="F2242" s="40" t="str">
        <f aca="false">IF(INDEX(BookTitle,2237)="","",INDEX(BookLevel,2237))</f>
        <v/>
      </c>
      <c r="G2242" s="40" t="str">
        <f aca="false">IF(INDEX(BookTitle,2237)="","",INDEX(BookCategory,2237))</f>
        <v/>
      </c>
      <c r="H2242" s="40" t="str">
        <f aca="false">IF(INDEX(BookTitle,2237)="","",INDEX(BookRank,2237))</f>
        <v/>
      </c>
      <c r="I2242" s="41" t="str">
        <f aca="false">IF(INDEX(BookTitle,2237)="","",INDEX(BookTotal,2237))</f>
        <v/>
      </c>
      <c r="J2242" s="0" t="str">
        <f aca="false">IF($I2242="","",IF(INDEX(BookQ1,2237)&gt;0,"Q1",IF(INDEX(BookQ2,2237)&gt;0,"Q2",IF(INDEX(BookQ3,2237)&gt;0,"Q3",IF(INDEX(BookQ4,2237)&gt;0,"Q4","")))))</f>
        <v/>
      </c>
      <c r="K2242" s="42" t="str">
        <f aca="false">IF(INDEX(BookTitle,2237)="","",INDEX(BookInYear,2237))</f>
        <v/>
      </c>
      <c r="L2242" s="19"/>
      <c r="M2242" s="39"/>
      <c r="N2242" s="19"/>
      <c r="O2242" s="19"/>
      <c r="P2242" s="43" t="str">
        <f aca="false">IF($E2242="","",IF($L2242="Decline",0,IF($L2242="Approve fewer",IF($M2242="","",$M2242),IF($L2242="","",$I2242))))</f>
        <v/>
      </c>
      <c r="Q2242" s="34" t="str">
        <f aca="false">IF($P2242="","",IF($N2242&lt;&gt;"",$N2242,$J2242))</f>
        <v/>
      </c>
      <c r="R2242" s="35" t="str">
        <f aca="false">IF(OR($P2242="",$Q2242=""),"",INDEX(BookRate,2237)*$P2242*(5-MATCH($Q2242,{"Q1";"Q2";"Q3";"Q4"},0))/4+INDEX(BookOneOff,2237)*$P2242)</f>
        <v/>
      </c>
      <c r="S2242" s="35" t="str">
        <f aca="false">IF($P2242="","",INDEX(BookRate,2237)*$P2242)</f>
        <v/>
      </c>
      <c r="T2242" s="35" t="str">
        <f aca="false">IF($R2242="","",$R2242-$K2242)</f>
        <v/>
      </c>
      <c r="U2242" s="35" t="str">
        <f aca="false">IF(N($P2242)&lt;=0,"",COUNTIF($P$6:$P2242,"&gt;0"))</f>
        <v/>
      </c>
    </row>
    <row r="2243" customFormat="false" ht="15" hidden="false" customHeight="false" outlineLevel="0" collapsed="false">
      <c r="A2243" s="40" t="str">
        <f aca="false">IF(INDEX(BookTitle,2238)="","",INDEX(BookGroup,2238))</f>
        <v/>
      </c>
      <c r="B2243" s="40" t="str">
        <f aca="false">IF(INDEX(BookTitle,2238)="","",INDEX(BookRef,2238))</f>
        <v/>
      </c>
      <c r="C2243" s="40" t="str">
        <f aca="false">IF(INDEX(BookTitle,2238)="","",INDEX(BookDivision,2238))</f>
        <v/>
      </c>
      <c r="D2243" s="40" t="str">
        <f aca="false">IF(INDEX(BookTitle,2238)="","",INDEX(BookUnit,2238))</f>
        <v/>
      </c>
      <c r="E2243" s="40" t="str">
        <f aca="false">IF(INDEX(BookTitle,2238)="","",INDEX(BookTitle,2238))</f>
        <v/>
      </c>
      <c r="F2243" s="40" t="str">
        <f aca="false">IF(INDEX(BookTitle,2238)="","",INDEX(BookLevel,2238))</f>
        <v/>
      </c>
      <c r="G2243" s="40" t="str">
        <f aca="false">IF(INDEX(BookTitle,2238)="","",INDEX(BookCategory,2238))</f>
        <v/>
      </c>
      <c r="H2243" s="40" t="str">
        <f aca="false">IF(INDEX(BookTitle,2238)="","",INDEX(BookRank,2238))</f>
        <v/>
      </c>
      <c r="I2243" s="41" t="str">
        <f aca="false">IF(INDEX(BookTitle,2238)="","",INDEX(BookTotal,2238))</f>
        <v/>
      </c>
      <c r="J2243" s="0" t="str">
        <f aca="false">IF($I2243="","",IF(INDEX(BookQ1,2238)&gt;0,"Q1",IF(INDEX(BookQ2,2238)&gt;0,"Q2",IF(INDEX(BookQ3,2238)&gt;0,"Q3",IF(INDEX(BookQ4,2238)&gt;0,"Q4","")))))</f>
        <v/>
      </c>
      <c r="K2243" s="42" t="str">
        <f aca="false">IF(INDEX(BookTitle,2238)="","",INDEX(BookInYear,2238))</f>
        <v/>
      </c>
      <c r="L2243" s="19"/>
      <c r="M2243" s="39"/>
      <c r="N2243" s="19"/>
      <c r="O2243" s="19"/>
      <c r="P2243" s="43" t="str">
        <f aca="false">IF($E2243="","",IF($L2243="Decline",0,IF($L2243="Approve fewer",IF($M2243="","",$M2243),IF($L2243="","",$I2243))))</f>
        <v/>
      </c>
      <c r="Q2243" s="34" t="str">
        <f aca="false">IF($P2243="","",IF($N2243&lt;&gt;"",$N2243,$J2243))</f>
        <v/>
      </c>
      <c r="R2243" s="35" t="str">
        <f aca="false">IF(OR($P2243="",$Q2243=""),"",INDEX(BookRate,2238)*$P2243*(5-MATCH($Q2243,{"Q1";"Q2";"Q3";"Q4"},0))/4+INDEX(BookOneOff,2238)*$P2243)</f>
        <v/>
      </c>
      <c r="S2243" s="35" t="str">
        <f aca="false">IF($P2243="","",INDEX(BookRate,2238)*$P2243)</f>
        <v/>
      </c>
      <c r="T2243" s="35" t="str">
        <f aca="false">IF($R2243="","",$R2243-$K2243)</f>
        <v/>
      </c>
      <c r="U2243" s="35" t="str">
        <f aca="false">IF(N($P2243)&lt;=0,"",COUNTIF($P$6:$P2243,"&gt;0"))</f>
        <v/>
      </c>
    </row>
    <row r="2244" customFormat="false" ht="15" hidden="false" customHeight="false" outlineLevel="0" collapsed="false">
      <c r="A2244" s="40" t="str">
        <f aca="false">IF(INDEX(BookTitle,2239)="","",INDEX(BookGroup,2239))</f>
        <v/>
      </c>
      <c r="B2244" s="40" t="str">
        <f aca="false">IF(INDEX(BookTitle,2239)="","",INDEX(BookRef,2239))</f>
        <v/>
      </c>
      <c r="C2244" s="40" t="str">
        <f aca="false">IF(INDEX(BookTitle,2239)="","",INDEX(BookDivision,2239))</f>
        <v/>
      </c>
      <c r="D2244" s="40" t="str">
        <f aca="false">IF(INDEX(BookTitle,2239)="","",INDEX(BookUnit,2239))</f>
        <v/>
      </c>
      <c r="E2244" s="40" t="str">
        <f aca="false">IF(INDEX(BookTitle,2239)="","",INDEX(BookTitle,2239))</f>
        <v/>
      </c>
      <c r="F2244" s="40" t="str">
        <f aca="false">IF(INDEX(BookTitle,2239)="","",INDEX(BookLevel,2239))</f>
        <v/>
      </c>
      <c r="G2244" s="40" t="str">
        <f aca="false">IF(INDEX(BookTitle,2239)="","",INDEX(BookCategory,2239))</f>
        <v/>
      </c>
      <c r="H2244" s="40" t="str">
        <f aca="false">IF(INDEX(BookTitle,2239)="","",INDEX(BookRank,2239))</f>
        <v/>
      </c>
      <c r="I2244" s="41" t="str">
        <f aca="false">IF(INDEX(BookTitle,2239)="","",INDEX(BookTotal,2239))</f>
        <v/>
      </c>
      <c r="J2244" s="0" t="str">
        <f aca="false">IF($I2244="","",IF(INDEX(BookQ1,2239)&gt;0,"Q1",IF(INDEX(BookQ2,2239)&gt;0,"Q2",IF(INDEX(BookQ3,2239)&gt;0,"Q3",IF(INDEX(BookQ4,2239)&gt;0,"Q4","")))))</f>
        <v/>
      </c>
      <c r="K2244" s="42" t="str">
        <f aca="false">IF(INDEX(BookTitle,2239)="","",INDEX(BookInYear,2239))</f>
        <v/>
      </c>
      <c r="L2244" s="19"/>
      <c r="M2244" s="39"/>
      <c r="N2244" s="19"/>
      <c r="O2244" s="19"/>
      <c r="P2244" s="43" t="str">
        <f aca="false">IF($E2244="","",IF($L2244="Decline",0,IF($L2244="Approve fewer",IF($M2244="","",$M2244),IF($L2244="","",$I2244))))</f>
        <v/>
      </c>
      <c r="Q2244" s="34" t="str">
        <f aca="false">IF($P2244="","",IF($N2244&lt;&gt;"",$N2244,$J2244))</f>
        <v/>
      </c>
      <c r="R2244" s="35" t="str">
        <f aca="false">IF(OR($P2244="",$Q2244=""),"",INDEX(BookRate,2239)*$P2244*(5-MATCH($Q2244,{"Q1";"Q2";"Q3";"Q4"},0))/4+INDEX(BookOneOff,2239)*$P2244)</f>
        <v/>
      </c>
      <c r="S2244" s="35" t="str">
        <f aca="false">IF($P2244="","",INDEX(BookRate,2239)*$P2244)</f>
        <v/>
      </c>
      <c r="T2244" s="35" t="str">
        <f aca="false">IF($R2244="","",$R2244-$K2244)</f>
        <v/>
      </c>
      <c r="U2244" s="35" t="str">
        <f aca="false">IF(N($P2244)&lt;=0,"",COUNTIF($P$6:$P2244,"&gt;0"))</f>
        <v/>
      </c>
    </row>
    <row r="2245" customFormat="false" ht="15" hidden="false" customHeight="false" outlineLevel="0" collapsed="false">
      <c r="A2245" s="40" t="str">
        <f aca="false">IF(INDEX(BookTitle,2240)="","",INDEX(BookGroup,2240))</f>
        <v/>
      </c>
      <c r="B2245" s="40" t="str">
        <f aca="false">IF(INDEX(BookTitle,2240)="","",INDEX(BookRef,2240))</f>
        <v/>
      </c>
      <c r="C2245" s="40" t="str">
        <f aca="false">IF(INDEX(BookTitle,2240)="","",INDEX(BookDivision,2240))</f>
        <v/>
      </c>
      <c r="D2245" s="40" t="str">
        <f aca="false">IF(INDEX(BookTitle,2240)="","",INDEX(BookUnit,2240))</f>
        <v/>
      </c>
      <c r="E2245" s="40" t="str">
        <f aca="false">IF(INDEX(BookTitle,2240)="","",INDEX(BookTitle,2240))</f>
        <v/>
      </c>
      <c r="F2245" s="40" t="str">
        <f aca="false">IF(INDEX(BookTitle,2240)="","",INDEX(BookLevel,2240))</f>
        <v/>
      </c>
      <c r="G2245" s="40" t="str">
        <f aca="false">IF(INDEX(BookTitle,2240)="","",INDEX(BookCategory,2240))</f>
        <v/>
      </c>
      <c r="H2245" s="40" t="str">
        <f aca="false">IF(INDEX(BookTitle,2240)="","",INDEX(BookRank,2240))</f>
        <v/>
      </c>
      <c r="I2245" s="41" t="str">
        <f aca="false">IF(INDEX(BookTitle,2240)="","",INDEX(BookTotal,2240))</f>
        <v/>
      </c>
      <c r="J2245" s="0" t="str">
        <f aca="false">IF($I2245="","",IF(INDEX(BookQ1,2240)&gt;0,"Q1",IF(INDEX(BookQ2,2240)&gt;0,"Q2",IF(INDEX(BookQ3,2240)&gt;0,"Q3",IF(INDEX(BookQ4,2240)&gt;0,"Q4","")))))</f>
        <v/>
      </c>
      <c r="K2245" s="42" t="str">
        <f aca="false">IF(INDEX(BookTitle,2240)="","",INDEX(BookInYear,2240))</f>
        <v/>
      </c>
      <c r="L2245" s="19"/>
      <c r="M2245" s="39"/>
      <c r="N2245" s="19"/>
      <c r="O2245" s="19"/>
      <c r="P2245" s="43" t="str">
        <f aca="false">IF($E2245="","",IF($L2245="Decline",0,IF($L2245="Approve fewer",IF($M2245="","",$M2245),IF($L2245="","",$I2245))))</f>
        <v/>
      </c>
      <c r="Q2245" s="34" t="str">
        <f aca="false">IF($P2245="","",IF($N2245&lt;&gt;"",$N2245,$J2245))</f>
        <v/>
      </c>
      <c r="R2245" s="35" t="str">
        <f aca="false">IF(OR($P2245="",$Q2245=""),"",INDEX(BookRate,2240)*$P2245*(5-MATCH($Q2245,{"Q1";"Q2";"Q3";"Q4"},0))/4+INDEX(BookOneOff,2240)*$P2245)</f>
        <v/>
      </c>
      <c r="S2245" s="35" t="str">
        <f aca="false">IF($P2245="","",INDEX(BookRate,2240)*$P2245)</f>
        <v/>
      </c>
      <c r="T2245" s="35" t="str">
        <f aca="false">IF($R2245="","",$R2245-$K2245)</f>
        <v/>
      </c>
      <c r="U2245" s="35" t="str">
        <f aca="false">IF(N($P2245)&lt;=0,"",COUNTIF($P$6:$P2245,"&gt;0"))</f>
        <v/>
      </c>
    </row>
    <row r="2246" customFormat="false" ht="15" hidden="false" customHeight="false" outlineLevel="0" collapsed="false">
      <c r="A2246" s="40" t="str">
        <f aca="false">IF(INDEX(BookTitle,2241)="","",INDEX(BookGroup,2241))</f>
        <v/>
      </c>
      <c r="B2246" s="40" t="str">
        <f aca="false">IF(INDEX(BookTitle,2241)="","",INDEX(BookRef,2241))</f>
        <v/>
      </c>
      <c r="C2246" s="40" t="str">
        <f aca="false">IF(INDEX(BookTitle,2241)="","",INDEX(BookDivision,2241))</f>
        <v/>
      </c>
      <c r="D2246" s="40" t="str">
        <f aca="false">IF(INDEX(BookTitle,2241)="","",INDEX(BookUnit,2241))</f>
        <v/>
      </c>
      <c r="E2246" s="40" t="str">
        <f aca="false">IF(INDEX(BookTitle,2241)="","",INDEX(BookTitle,2241))</f>
        <v/>
      </c>
      <c r="F2246" s="40" t="str">
        <f aca="false">IF(INDEX(BookTitle,2241)="","",INDEX(BookLevel,2241))</f>
        <v/>
      </c>
      <c r="G2246" s="40" t="str">
        <f aca="false">IF(INDEX(BookTitle,2241)="","",INDEX(BookCategory,2241))</f>
        <v/>
      </c>
      <c r="H2246" s="40" t="str">
        <f aca="false">IF(INDEX(BookTitle,2241)="","",INDEX(BookRank,2241))</f>
        <v/>
      </c>
      <c r="I2246" s="41" t="str">
        <f aca="false">IF(INDEX(BookTitle,2241)="","",INDEX(BookTotal,2241))</f>
        <v/>
      </c>
      <c r="J2246" s="0" t="str">
        <f aca="false">IF($I2246="","",IF(INDEX(BookQ1,2241)&gt;0,"Q1",IF(INDEX(BookQ2,2241)&gt;0,"Q2",IF(INDEX(BookQ3,2241)&gt;0,"Q3",IF(INDEX(BookQ4,2241)&gt;0,"Q4","")))))</f>
        <v/>
      </c>
      <c r="K2246" s="42" t="str">
        <f aca="false">IF(INDEX(BookTitle,2241)="","",INDEX(BookInYear,2241))</f>
        <v/>
      </c>
      <c r="L2246" s="19"/>
      <c r="M2246" s="39"/>
      <c r="N2246" s="19"/>
      <c r="O2246" s="19"/>
      <c r="P2246" s="43" t="str">
        <f aca="false">IF($E2246="","",IF($L2246="Decline",0,IF($L2246="Approve fewer",IF($M2246="","",$M2246),IF($L2246="","",$I2246))))</f>
        <v/>
      </c>
      <c r="Q2246" s="34" t="str">
        <f aca="false">IF($P2246="","",IF($N2246&lt;&gt;"",$N2246,$J2246))</f>
        <v/>
      </c>
      <c r="R2246" s="35" t="str">
        <f aca="false">IF(OR($P2246="",$Q2246=""),"",INDEX(BookRate,2241)*$P2246*(5-MATCH($Q2246,{"Q1";"Q2";"Q3";"Q4"},0))/4+INDEX(BookOneOff,2241)*$P2246)</f>
        <v/>
      </c>
      <c r="S2246" s="35" t="str">
        <f aca="false">IF($P2246="","",INDEX(BookRate,2241)*$P2246)</f>
        <v/>
      </c>
      <c r="T2246" s="35" t="str">
        <f aca="false">IF($R2246="","",$R2246-$K2246)</f>
        <v/>
      </c>
      <c r="U2246" s="35" t="str">
        <f aca="false">IF(N($P2246)&lt;=0,"",COUNTIF($P$6:$P2246,"&gt;0"))</f>
        <v/>
      </c>
    </row>
    <row r="2247" customFormat="false" ht="15" hidden="false" customHeight="false" outlineLevel="0" collapsed="false">
      <c r="A2247" s="40" t="str">
        <f aca="false">IF(INDEX(BookTitle,2242)="","",INDEX(BookGroup,2242))</f>
        <v/>
      </c>
      <c r="B2247" s="40" t="str">
        <f aca="false">IF(INDEX(BookTitle,2242)="","",INDEX(BookRef,2242))</f>
        <v/>
      </c>
      <c r="C2247" s="40" t="str">
        <f aca="false">IF(INDEX(BookTitle,2242)="","",INDEX(BookDivision,2242))</f>
        <v/>
      </c>
      <c r="D2247" s="40" t="str">
        <f aca="false">IF(INDEX(BookTitle,2242)="","",INDEX(BookUnit,2242))</f>
        <v/>
      </c>
      <c r="E2247" s="40" t="str">
        <f aca="false">IF(INDEX(BookTitle,2242)="","",INDEX(BookTitle,2242))</f>
        <v/>
      </c>
      <c r="F2247" s="40" t="str">
        <f aca="false">IF(INDEX(BookTitle,2242)="","",INDEX(BookLevel,2242))</f>
        <v/>
      </c>
      <c r="G2247" s="40" t="str">
        <f aca="false">IF(INDEX(BookTitle,2242)="","",INDEX(BookCategory,2242))</f>
        <v/>
      </c>
      <c r="H2247" s="40" t="str">
        <f aca="false">IF(INDEX(BookTitle,2242)="","",INDEX(BookRank,2242))</f>
        <v/>
      </c>
      <c r="I2247" s="41" t="str">
        <f aca="false">IF(INDEX(BookTitle,2242)="","",INDEX(BookTotal,2242))</f>
        <v/>
      </c>
      <c r="J2247" s="0" t="str">
        <f aca="false">IF($I2247="","",IF(INDEX(BookQ1,2242)&gt;0,"Q1",IF(INDEX(BookQ2,2242)&gt;0,"Q2",IF(INDEX(BookQ3,2242)&gt;0,"Q3",IF(INDEX(BookQ4,2242)&gt;0,"Q4","")))))</f>
        <v/>
      </c>
      <c r="K2247" s="42" t="str">
        <f aca="false">IF(INDEX(BookTitle,2242)="","",INDEX(BookInYear,2242))</f>
        <v/>
      </c>
      <c r="L2247" s="19"/>
      <c r="M2247" s="39"/>
      <c r="N2247" s="19"/>
      <c r="O2247" s="19"/>
      <c r="P2247" s="43" t="str">
        <f aca="false">IF($E2247="","",IF($L2247="Decline",0,IF($L2247="Approve fewer",IF($M2247="","",$M2247),IF($L2247="","",$I2247))))</f>
        <v/>
      </c>
      <c r="Q2247" s="34" t="str">
        <f aca="false">IF($P2247="","",IF($N2247&lt;&gt;"",$N2247,$J2247))</f>
        <v/>
      </c>
      <c r="R2247" s="35" t="str">
        <f aca="false">IF(OR($P2247="",$Q2247=""),"",INDEX(BookRate,2242)*$P2247*(5-MATCH($Q2247,{"Q1";"Q2";"Q3";"Q4"},0))/4+INDEX(BookOneOff,2242)*$P2247)</f>
        <v/>
      </c>
      <c r="S2247" s="35" t="str">
        <f aca="false">IF($P2247="","",INDEX(BookRate,2242)*$P2247)</f>
        <v/>
      </c>
      <c r="T2247" s="35" t="str">
        <f aca="false">IF($R2247="","",$R2247-$K2247)</f>
        <v/>
      </c>
      <c r="U2247" s="35" t="str">
        <f aca="false">IF(N($P2247)&lt;=0,"",COUNTIF($P$6:$P2247,"&gt;0"))</f>
        <v/>
      </c>
    </row>
    <row r="2248" customFormat="false" ht="15" hidden="false" customHeight="false" outlineLevel="0" collapsed="false">
      <c r="A2248" s="40" t="str">
        <f aca="false">IF(INDEX(BookTitle,2243)="","",INDEX(BookGroup,2243))</f>
        <v/>
      </c>
      <c r="B2248" s="40" t="str">
        <f aca="false">IF(INDEX(BookTitle,2243)="","",INDEX(BookRef,2243))</f>
        <v/>
      </c>
      <c r="C2248" s="40" t="str">
        <f aca="false">IF(INDEX(BookTitle,2243)="","",INDEX(BookDivision,2243))</f>
        <v/>
      </c>
      <c r="D2248" s="40" t="str">
        <f aca="false">IF(INDEX(BookTitle,2243)="","",INDEX(BookUnit,2243))</f>
        <v/>
      </c>
      <c r="E2248" s="40" t="str">
        <f aca="false">IF(INDEX(BookTitle,2243)="","",INDEX(BookTitle,2243))</f>
        <v/>
      </c>
      <c r="F2248" s="40" t="str">
        <f aca="false">IF(INDEX(BookTitle,2243)="","",INDEX(BookLevel,2243))</f>
        <v/>
      </c>
      <c r="G2248" s="40" t="str">
        <f aca="false">IF(INDEX(BookTitle,2243)="","",INDEX(BookCategory,2243))</f>
        <v/>
      </c>
      <c r="H2248" s="40" t="str">
        <f aca="false">IF(INDEX(BookTitle,2243)="","",INDEX(BookRank,2243))</f>
        <v/>
      </c>
      <c r="I2248" s="41" t="str">
        <f aca="false">IF(INDEX(BookTitle,2243)="","",INDEX(BookTotal,2243))</f>
        <v/>
      </c>
      <c r="J2248" s="0" t="str">
        <f aca="false">IF($I2248="","",IF(INDEX(BookQ1,2243)&gt;0,"Q1",IF(INDEX(BookQ2,2243)&gt;0,"Q2",IF(INDEX(BookQ3,2243)&gt;0,"Q3",IF(INDEX(BookQ4,2243)&gt;0,"Q4","")))))</f>
        <v/>
      </c>
      <c r="K2248" s="42" t="str">
        <f aca="false">IF(INDEX(BookTitle,2243)="","",INDEX(BookInYear,2243))</f>
        <v/>
      </c>
      <c r="L2248" s="19"/>
      <c r="M2248" s="39"/>
      <c r="N2248" s="19"/>
      <c r="O2248" s="19"/>
      <c r="P2248" s="43" t="str">
        <f aca="false">IF($E2248="","",IF($L2248="Decline",0,IF($L2248="Approve fewer",IF($M2248="","",$M2248),IF($L2248="","",$I2248))))</f>
        <v/>
      </c>
      <c r="Q2248" s="34" t="str">
        <f aca="false">IF($P2248="","",IF($N2248&lt;&gt;"",$N2248,$J2248))</f>
        <v/>
      </c>
      <c r="R2248" s="35" t="str">
        <f aca="false">IF(OR($P2248="",$Q2248=""),"",INDEX(BookRate,2243)*$P2248*(5-MATCH($Q2248,{"Q1";"Q2";"Q3";"Q4"},0))/4+INDEX(BookOneOff,2243)*$P2248)</f>
        <v/>
      </c>
      <c r="S2248" s="35" t="str">
        <f aca="false">IF($P2248="","",INDEX(BookRate,2243)*$P2248)</f>
        <v/>
      </c>
      <c r="T2248" s="35" t="str">
        <f aca="false">IF($R2248="","",$R2248-$K2248)</f>
        <v/>
      </c>
      <c r="U2248" s="35" t="str">
        <f aca="false">IF(N($P2248)&lt;=0,"",COUNTIF($P$6:$P2248,"&gt;0"))</f>
        <v/>
      </c>
    </row>
    <row r="2249" customFormat="false" ht="15" hidden="false" customHeight="false" outlineLevel="0" collapsed="false">
      <c r="A2249" s="40" t="str">
        <f aca="false">IF(INDEX(BookTitle,2244)="","",INDEX(BookGroup,2244))</f>
        <v/>
      </c>
      <c r="B2249" s="40" t="str">
        <f aca="false">IF(INDEX(BookTitle,2244)="","",INDEX(BookRef,2244))</f>
        <v/>
      </c>
      <c r="C2249" s="40" t="str">
        <f aca="false">IF(INDEX(BookTitle,2244)="","",INDEX(BookDivision,2244))</f>
        <v/>
      </c>
      <c r="D2249" s="40" t="str">
        <f aca="false">IF(INDEX(BookTitle,2244)="","",INDEX(BookUnit,2244))</f>
        <v/>
      </c>
      <c r="E2249" s="40" t="str">
        <f aca="false">IF(INDEX(BookTitle,2244)="","",INDEX(BookTitle,2244))</f>
        <v/>
      </c>
      <c r="F2249" s="40" t="str">
        <f aca="false">IF(INDEX(BookTitle,2244)="","",INDEX(BookLevel,2244))</f>
        <v/>
      </c>
      <c r="G2249" s="40" t="str">
        <f aca="false">IF(INDEX(BookTitle,2244)="","",INDEX(BookCategory,2244))</f>
        <v/>
      </c>
      <c r="H2249" s="40" t="str">
        <f aca="false">IF(INDEX(BookTitle,2244)="","",INDEX(BookRank,2244))</f>
        <v/>
      </c>
      <c r="I2249" s="41" t="str">
        <f aca="false">IF(INDEX(BookTitle,2244)="","",INDEX(BookTotal,2244))</f>
        <v/>
      </c>
      <c r="J2249" s="0" t="str">
        <f aca="false">IF($I2249="","",IF(INDEX(BookQ1,2244)&gt;0,"Q1",IF(INDEX(BookQ2,2244)&gt;0,"Q2",IF(INDEX(BookQ3,2244)&gt;0,"Q3",IF(INDEX(BookQ4,2244)&gt;0,"Q4","")))))</f>
        <v/>
      </c>
      <c r="K2249" s="42" t="str">
        <f aca="false">IF(INDEX(BookTitle,2244)="","",INDEX(BookInYear,2244))</f>
        <v/>
      </c>
      <c r="L2249" s="19"/>
      <c r="M2249" s="39"/>
      <c r="N2249" s="19"/>
      <c r="O2249" s="19"/>
      <c r="P2249" s="43" t="str">
        <f aca="false">IF($E2249="","",IF($L2249="Decline",0,IF($L2249="Approve fewer",IF($M2249="","",$M2249),IF($L2249="","",$I2249))))</f>
        <v/>
      </c>
      <c r="Q2249" s="34" t="str">
        <f aca="false">IF($P2249="","",IF($N2249&lt;&gt;"",$N2249,$J2249))</f>
        <v/>
      </c>
      <c r="R2249" s="35" t="str">
        <f aca="false">IF(OR($P2249="",$Q2249=""),"",INDEX(BookRate,2244)*$P2249*(5-MATCH($Q2249,{"Q1";"Q2";"Q3";"Q4"},0))/4+INDEX(BookOneOff,2244)*$P2249)</f>
        <v/>
      </c>
      <c r="S2249" s="35" t="str">
        <f aca="false">IF($P2249="","",INDEX(BookRate,2244)*$P2249)</f>
        <v/>
      </c>
      <c r="T2249" s="35" t="str">
        <f aca="false">IF($R2249="","",$R2249-$K2249)</f>
        <v/>
      </c>
      <c r="U2249" s="35" t="str">
        <f aca="false">IF(N($P2249)&lt;=0,"",COUNTIF($P$6:$P2249,"&gt;0"))</f>
        <v/>
      </c>
    </row>
    <row r="2250" customFormat="false" ht="15" hidden="false" customHeight="false" outlineLevel="0" collapsed="false">
      <c r="A2250" s="40" t="str">
        <f aca="false">IF(INDEX(BookTitle,2245)="","",INDEX(BookGroup,2245))</f>
        <v/>
      </c>
      <c r="B2250" s="40" t="str">
        <f aca="false">IF(INDEX(BookTitle,2245)="","",INDEX(BookRef,2245))</f>
        <v/>
      </c>
      <c r="C2250" s="40" t="str">
        <f aca="false">IF(INDEX(BookTitle,2245)="","",INDEX(BookDivision,2245))</f>
        <v/>
      </c>
      <c r="D2250" s="40" t="str">
        <f aca="false">IF(INDEX(BookTitle,2245)="","",INDEX(BookUnit,2245))</f>
        <v/>
      </c>
      <c r="E2250" s="40" t="str">
        <f aca="false">IF(INDEX(BookTitle,2245)="","",INDEX(BookTitle,2245))</f>
        <v/>
      </c>
      <c r="F2250" s="40" t="str">
        <f aca="false">IF(INDEX(BookTitle,2245)="","",INDEX(BookLevel,2245))</f>
        <v/>
      </c>
      <c r="G2250" s="40" t="str">
        <f aca="false">IF(INDEX(BookTitle,2245)="","",INDEX(BookCategory,2245))</f>
        <v/>
      </c>
      <c r="H2250" s="40" t="str">
        <f aca="false">IF(INDEX(BookTitle,2245)="","",INDEX(BookRank,2245))</f>
        <v/>
      </c>
      <c r="I2250" s="41" t="str">
        <f aca="false">IF(INDEX(BookTitle,2245)="","",INDEX(BookTotal,2245))</f>
        <v/>
      </c>
      <c r="J2250" s="0" t="str">
        <f aca="false">IF($I2250="","",IF(INDEX(BookQ1,2245)&gt;0,"Q1",IF(INDEX(BookQ2,2245)&gt;0,"Q2",IF(INDEX(BookQ3,2245)&gt;0,"Q3",IF(INDEX(BookQ4,2245)&gt;0,"Q4","")))))</f>
        <v/>
      </c>
      <c r="K2250" s="42" t="str">
        <f aca="false">IF(INDEX(BookTitle,2245)="","",INDEX(BookInYear,2245))</f>
        <v/>
      </c>
      <c r="L2250" s="19"/>
      <c r="M2250" s="39"/>
      <c r="N2250" s="19"/>
      <c r="O2250" s="19"/>
      <c r="P2250" s="43" t="str">
        <f aca="false">IF($E2250="","",IF($L2250="Decline",0,IF($L2250="Approve fewer",IF($M2250="","",$M2250),IF($L2250="","",$I2250))))</f>
        <v/>
      </c>
      <c r="Q2250" s="34" t="str">
        <f aca="false">IF($P2250="","",IF($N2250&lt;&gt;"",$N2250,$J2250))</f>
        <v/>
      </c>
      <c r="R2250" s="35" t="str">
        <f aca="false">IF(OR($P2250="",$Q2250=""),"",INDEX(BookRate,2245)*$P2250*(5-MATCH($Q2250,{"Q1";"Q2";"Q3";"Q4"},0))/4+INDEX(BookOneOff,2245)*$P2250)</f>
        <v/>
      </c>
      <c r="S2250" s="35" t="str">
        <f aca="false">IF($P2250="","",INDEX(BookRate,2245)*$P2250)</f>
        <v/>
      </c>
      <c r="T2250" s="35" t="str">
        <f aca="false">IF($R2250="","",$R2250-$K2250)</f>
        <v/>
      </c>
      <c r="U2250" s="35" t="str">
        <f aca="false">IF(N($P2250)&lt;=0,"",COUNTIF($P$6:$P2250,"&gt;0"))</f>
        <v/>
      </c>
    </row>
    <row r="2251" customFormat="false" ht="15" hidden="false" customHeight="false" outlineLevel="0" collapsed="false">
      <c r="A2251" s="40" t="str">
        <f aca="false">IF(INDEX(BookTitle,2246)="","",INDEX(BookGroup,2246))</f>
        <v/>
      </c>
      <c r="B2251" s="40" t="str">
        <f aca="false">IF(INDEX(BookTitle,2246)="","",INDEX(BookRef,2246))</f>
        <v/>
      </c>
      <c r="C2251" s="40" t="str">
        <f aca="false">IF(INDEX(BookTitle,2246)="","",INDEX(BookDivision,2246))</f>
        <v/>
      </c>
      <c r="D2251" s="40" t="str">
        <f aca="false">IF(INDEX(BookTitle,2246)="","",INDEX(BookUnit,2246))</f>
        <v/>
      </c>
      <c r="E2251" s="40" t="str">
        <f aca="false">IF(INDEX(BookTitle,2246)="","",INDEX(BookTitle,2246))</f>
        <v/>
      </c>
      <c r="F2251" s="40" t="str">
        <f aca="false">IF(INDEX(BookTitle,2246)="","",INDEX(BookLevel,2246))</f>
        <v/>
      </c>
      <c r="G2251" s="40" t="str">
        <f aca="false">IF(INDEX(BookTitle,2246)="","",INDEX(BookCategory,2246))</f>
        <v/>
      </c>
      <c r="H2251" s="40" t="str">
        <f aca="false">IF(INDEX(BookTitle,2246)="","",INDEX(BookRank,2246))</f>
        <v/>
      </c>
      <c r="I2251" s="41" t="str">
        <f aca="false">IF(INDEX(BookTitle,2246)="","",INDEX(BookTotal,2246))</f>
        <v/>
      </c>
      <c r="J2251" s="0" t="str">
        <f aca="false">IF($I2251="","",IF(INDEX(BookQ1,2246)&gt;0,"Q1",IF(INDEX(BookQ2,2246)&gt;0,"Q2",IF(INDEX(BookQ3,2246)&gt;0,"Q3",IF(INDEX(BookQ4,2246)&gt;0,"Q4","")))))</f>
        <v/>
      </c>
      <c r="K2251" s="42" t="str">
        <f aca="false">IF(INDEX(BookTitle,2246)="","",INDEX(BookInYear,2246))</f>
        <v/>
      </c>
      <c r="L2251" s="19"/>
      <c r="M2251" s="39"/>
      <c r="N2251" s="19"/>
      <c r="O2251" s="19"/>
      <c r="P2251" s="43" t="str">
        <f aca="false">IF($E2251="","",IF($L2251="Decline",0,IF($L2251="Approve fewer",IF($M2251="","",$M2251),IF($L2251="","",$I2251))))</f>
        <v/>
      </c>
      <c r="Q2251" s="34" t="str">
        <f aca="false">IF($P2251="","",IF($N2251&lt;&gt;"",$N2251,$J2251))</f>
        <v/>
      </c>
      <c r="R2251" s="35" t="str">
        <f aca="false">IF(OR($P2251="",$Q2251=""),"",INDEX(BookRate,2246)*$P2251*(5-MATCH($Q2251,{"Q1";"Q2";"Q3";"Q4"},0))/4+INDEX(BookOneOff,2246)*$P2251)</f>
        <v/>
      </c>
      <c r="S2251" s="35" t="str">
        <f aca="false">IF($P2251="","",INDEX(BookRate,2246)*$P2251)</f>
        <v/>
      </c>
      <c r="T2251" s="35" t="str">
        <f aca="false">IF($R2251="","",$R2251-$K2251)</f>
        <v/>
      </c>
      <c r="U2251" s="35" t="str">
        <f aca="false">IF(N($P2251)&lt;=0,"",COUNTIF($P$6:$P2251,"&gt;0"))</f>
        <v/>
      </c>
    </row>
    <row r="2252" customFormat="false" ht="15" hidden="false" customHeight="false" outlineLevel="0" collapsed="false">
      <c r="A2252" s="40" t="str">
        <f aca="false">IF(INDEX(BookTitle,2247)="","",INDEX(BookGroup,2247))</f>
        <v/>
      </c>
      <c r="B2252" s="40" t="str">
        <f aca="false">IF(INDEX(BookTitle,2247)="","",INDEX(BookRef,2247))</f>
        <v/>
      </c>
      <c r="C2252" s="40" t="str">
        <f aca="false">IF(INDEX(BookTitle,2247)="","",INDEX(BookDivision,2247))</f>
        <v/>
      </c>
      <c r="D2252" s="40" t="str">
        <f aca="false">IF(INDEX(BookTitle,2247)="","",INDEX(BookUnit,2247))</f>
        <v/>
      </c>
      <c r="E2252" s="40" t="str">
        <f aca="false">IF(INDEX(BookTitle,2247)="","",INDEX(BookTitle,2247))</f>
        <v/>
      </c>
      <c r="F2252" s="40" t="str">
        <f aca="false">IF(INDEX(BookTitle,2247)="","",INDEX(BookLevel,2247))</f>
        <v/>
      </c>
      <c r="G2252" s="40" t="str">
        <f aca="false">IF(INDEX(BookTitle,2247)="","",INDEX(BookCategory,2247))</f>
        <v/>
      </c>
      <c r="H2252" s="40" t="str">
        <f aca="false">IF(INDEX(BookTitle,2247)="","",INDEX(BookRank,2247))</f>
        <v/>
      </c>
      <c r="I2252" s="41" t="str">
        <f aca="false">IF(INDEX(BookTitle,2247)="","",INDEX(BookTotal,2247))</f>
        <v/>
      </c>
      <c r="J2252" s="0" t="str">
        <f aca="false">IF($I2252="","",IF(INDEX(BookQ1,2247)&gt;0,"Q1",IF(INDEX(BookQ2,2247)&gt;0,"Q2",IF(INDEX(BookQ3,2247)&gt;0,"Q3",IF(INDEX(BookQ4,2247)&gt;0,"Q4","")))))</f>
        <v/>
      </c>
      <c r="K2252" s="42" t="str">
        <f aca="false">IF(INDEX(BookTitle,2247)="","",INDEX(BookInYear,2247))</f>
        <v/>
      </c>
      <c r="L2252" s="19"/>
      <c r="M2252" s="39"/>
      <c r="N2252" s="19"/>
      <c r="O2252" s="19"/>
      <c r="P2252" s="43" t="str">
        <f aca="false">IF($E2252="","",IF($L2252="Decline",0,IF($L2252="Approve fewer",IF($M2252="","",$M2252),IF($L2252="","",$I2252))))</f>
        <v/>
      </c>
      <c r="Q2252" s="34" t="str">
        <f aca="false">IF($P2252="","",IF($N2252&lt;&gt;"",$N2252,$J2252))</f>
        <v/>
      </c>
      <c r="R2252" s="35" t="str">
        <f aca="false">IF(OR($P2252="",$Q2252=""),"",INDEX(BookRate,2247)*$P2252*(5-MATCH($Q2252,{"Q1";"Q2";"Q3";"Q4"},0))/4+INDEX(BookOneOff,2247)*$P2252)</f>
        <v/>
      </c>
      <c r="S2252" s="35" t="str">
        <f aca="false">IF($P2252="","",INDEX(BookRate,2247)*$P2252)</f>
        <v/>
      </c>
      <c r="T2252" s="35" t="str">
        <f aca="false">IF($R2252="","",$R2252-$K2252)</f>
        <v/>
      </c>
      <c r="U2252" s="35" t="str">
        <f aca="false">IF(N($P2252)&lt;=0,"",COUNTIF($P$6:$P2252,"&gt;0"))</f>
        <v/>
      </c>
    </row>
    <row r="2253" customFormat="false" ht="15" hidden="false" customHeight="false" outlineLevel="0" collapsed="false">
      <c r="A2253" s="40" t="str">
        <f aca="false">IF(INDEX(BookTitle,2248)="","",INDEX(BookGroup,2248))</f>
        <v/>
      </c>
      <c r="B2253" s="40" t="str">
        <f aca="false">IF(INDEX(BookTitle,2248)="","",INDEX(BookRef,2248))</f>
        <v/>
      </c>
      <c r="C2253" s="40" t="str">
        <f aca="false">IF(INDEX(BookTitle,2248)="","",INDEX(BookDivision,2248))</f>
        <v/>
      </c>
      <c r="D2253" s="40" t="str">
        <f aca="false">IF(INDEX(BookTitle,2248)="","",INDEX(BookUnit,2248))</f>
        <v/>
      </c>
      <c r="E2253" s="40" t="str">
        <f aca="false">IF(INDEX(BookTitle,2248)="","",INDEX(BookTitle,2248))</f>
        <v/>
      </c>
      <c r="F2253" s="40" t="str">
        <f aca="false">IF(INDEX(BookTitle,2248)="","",INDEX(BookLevel,2248))</f>
        <v/>
      </c>
      <c r="G2253" s="40" t="str">
        <f aca="false">IF(INDEX(BookTitle,2248)="","",INDEX(BookCategory,2248))</f>
        <v/>
      </c>
      <c r="H2253" s="40" t="str">
        <f aca="false">IF(INDEX(BookTitle,2248)="","",INDEX(BookRank,2248))</f>
        <v/>
      </c>
      <c r="I2253" s="41" t="str">
        <f aca="false">IF(INDEX(BookTitle,2248)="","",INDEX(BookTotal,2248))</f>
        <v/>
      </c>
      <c r="J2253" s="0" t="str">
        <f aca="false">IF($I2253="","",IF(INDEX(BookQ1,2248)&gt;0,"Q1",IF(INDEX(BookQ2,2248)&gt;0,"Q2",IF(INDEX(BookQ3,2248)&gt;0,"Q3",IF(INDEX(BookQ4,2248)&gt;0,"Q4","")))))</f>
        <v/>
      </c>
      <c r="K2253" s="42" t="str">
        <f aca="false">IF(INDEX(BookTitle,2248)="","",INDEX(BookInYear,2248))</f>
        <v/>
      </c>
      <c r="L2253" s="19"/>
      <c r="M2253" s="39"/>
      <c r="N2253" s="19"/>
      <c r="O2253" s="19"/>
      <c r="P2253" s="43" t="str">
        <f aca="false">IF($E2253="","",IF($L2253="Decline",0,IF($L2253="Approve fewer",IF($M2253="","",$M2253),IF($L2253="","",$I2253))))</f>
        <v/>
      </c>
      <c r="Q2253" s="34" t="str">
        <f aca="false">IF($P2253="","",IF($N2253&lt;&gt;"",$N2253,$J2253))</f>
        <v/>
      </c>
      <c r="R2253" s="35" t="str">
        <f aca="false">IF(OR($P2253="",$Q2253=""),"",INDEX(BookRate,2248)*$P2253*(5-MATCH($Q2253,{"Q1";"Q2";"Q3";"Q4"},0))/4+INDEX(BookOneOff,2248)*$P2253)</f>
        <v/>
      </c>
      <c r="S2253" s="35" t="str">
        <f aca="false">IF($P2253="","",INDEX(BookRate,2248)*$P2253)</f>
        <v/>
      </c>
      <c r="T2253" s="35" t="str">
        <f aca="false">IF($R2253="","",$R2253-$K2253)</f>
        <v/>
      </c>
      <c r="U2253" s="35" t="str">
        <f aca="false">IF(N($P2253)&lt;=0,"",COUNTIF($P$6:$P2253,"&gt;0"))</f>
        <v/>
      </c>
    </row>
    <row r="2254" customFormat="false" ht="15" hidden="false" customHeight="false" outlineLevel="0" collapsed="false">
      <c r="A2254" s="40" t="str">
        <f aca="false">IF(INDEX(BookTitle,2249)="","",INDEX(BookGroup,2249))</f>
        <v/>
      </c>
      <c r="B2254" s="40" t="str">
        <f aca="false">IF(INDEX(BookTitle,2249)="","",INDEX(BookRef,2249))</f>
        <v/>
      </c>
      <c r="C2254" s="40" t="str">
        <f aca="false">IF(INDEX(BookTitle,2249)="","",INDEX(BookDivision,2249))</f>
        <v/>
      </c>
      <c r="D2254" s="40" t="str">
        <f aca="false">IF(INDEX(BookTitle,2249)="","",INDEX(BookUnit,2249))</f>
        <v/>
      </c>
      <c r="E2254" s="40" t="str">
        <f aca="false">IF(INDEX(BookTitle,2249)="","",INDEX(BookTitle,2249))</f>
        <v/>
      </c>
      <c r="F2254" s="40" t="str">
        <f aca="false">IF(INDEX(BookTitle,2249)="","",INDEX(BookLevel,2249))</f>
        <v/>
      </c>
      <c r="G2254" s="40" t="str">
        <f aca="false">IF(INDEX(BookTitle,2249)="","",INDEX(BookCategory,2249))</f>
        <v/>
      </c>
      <c r="H2254" s="40" t="str">
        <f aca="false">IF(INDEX(BookTitle,2249)="","",INDEX(BookRank,2249))</f>
        <v/>
      </c>
      <c r="I2254" s="41" t="str">
        <f aca="false">IF(INDEX(BookTitle,2249)="","",INDEX(BookTotal,2249))</f>
        <v/>
      </c>
      <c r="J2254" s="0" t="str">
        <f aca="false">IF($I2254="","",IF(INDEX(BookQ1,2249)&gt;0,"Q1",IF(INDEX(BookQ2,2249)&gt;0,"Q2",IF(INDEX(BookQ3,2249)&gt;0,"Q3",IF(INDEX(BookQ4,2249)&gt;0,"Q4","")))))</f>
        <v/>
      </c>
      <c r="K2254" s="42" t="str">
        <f aca="false">IF(INDEX(BookTitle,2249)="","",INDEX(BookInYear,2249))</f>
        <v/>
      </c>
      <c r="L2254" s="19"/>
      <c r="M2254" s="39"/>
      <c r="N2254" s="19"/>
      <c r="O2254" s="19"/>
      <c r="P2254" s="43" t="str">
        <f aca="false">IF($E2254="","",IF($L2254="Decline",0,IF($L2254="Approve fewer",IF($M2254="","",$M2254),IF($L2254="","",$I2254))))</f>
        <v/>
      </c>
      <c r="Q2254" s="34" t="str">
        <f aca="false">IF($P2254="","",IF($N2254&lt;&gt;"",$N2254,$J2254))</f>
        <v/>
      </c>
      <c r="R2254" s="35" t="str">
        <f aca="false">IF(OR($P2254="",$Q2254=""),"",INDEX(BookRate,2249)*$P2254*(5-MATCH($Q2254,{"Q1";"Q2";"Q3";"Q4"},0))/4+INDEX(BookOneOff,2249)*$P2254)</f>
        <v/>
      </c>
      <c r="S2254" s="35" t="str">
        <f aca="false">IF($P2254="","",INDEX(BookRate,2249)*$P2254)</f>
        <v/>
      </c>
      <c r="T2254" s="35" t="str">
        <f aca="false">IF($R2254="","",$R2254-$K2254)</f>
        <v/>
      </c>
      <c r="U2254" s="35" t="str">
        <f aca="false">IF(N($P2254)&lt;=0,"",COUNTIF($P$6:$P2254,"&gt;0"))</f>
        <v/>
      </c>
    </row>
    <row r="2255" customFormat="false" ht="15" hidden="false" customHeight="false" outlineLevel="0" collapsed="false">
      <c r="A2255" s="40" t="str">
        <f aca="false">IF(INDEX(BookTitle,2250)="","",INDEX(BookGroup,2250))</f>
        <v/>
      </c>
      <c r="B2255" s="40" t="str">
        <f aca="false">IF(INDEX(BookTitle,2250)="","",INDEX(BookRef,2250))</f>
        <v/>
      </c>
      <c r="C2255" s="40" t="str">
        <f aca="false">IF(INDEX(BookTitle,2250)="","",INDEX(BookDivision,2250))</f>
        <v/>
      </c>
      <c r="D2255" s="40" t="str">
        <f aca="false">IF(INDEX(BookTitle,2250)="","",INDEX(BookUnit,2250))</f>
        <v/>
      </c>
      <c r="E2255" s="40" t="str">
        <f aca="false">IF(INDEX(BookTitle,2250)="","",INDEX(BookTitle,2250))</f>
        <v/>
      </c>
      <c r="F2255" s="40" t="str">
        <f aca="false">IF(INDEX(BookTitle,2250)="","",INDEX(BookLevel,2250))</f>
        <v/>
      </c>
      <c r="G2255" s="40" t="str">
        <f aca="false">IF(INDEX(BookTitle,2250)="","",INDEX(BookCategory,2250))</f>
        <v/>
      </c>
      <c r="H2255" s="40" t="str">
        <f aca="false">IF(INDEX(BookTitle,2250)="","",INDEX(BookRank,2250))</f>
        <v/>
      </c>
      <c r="I2255" s="41" t="str">
        <f aca="false">IF(INDEX(BookTitle,2250)="","",INDEX(BookTotal,2250))</f>
        <v/>
      </c>
      <c r="J2255" s="0" t="str">
        <f aca="false">IF($I2255="","",IF(INDEX(BookQ1,2250)&gt;0,"Q1",IF(INDEX(BookQ2,2250)&gt;0,"Q2",IF(INDEX(BookQ3,2250)&gt;0,"Q3",IF(INDEX(BookQ4,2250)&gt;0,"Q4","")))))</f>
        <v/>
      </c>
      <c r="K2255" s="42" t="str">
        <f aca="false">IF(INDEX(BookTitle,2250)="","",INDEX(BookInYear,2250))</f>
        <v/>
      </c>
      <c r="L2255" s="19"/>
      <c r="M2255" s="39"/>
      <c r="N2255" s="19"/>
      <c r="O2255" s="19"/>
      <c r="P2255" s="43" t="str">
        <f aca="false">IF($E2255="","",IF($L2255="Decline",0,IF($L2255="Approve fewer",IF($M2255="","",$M2255),IF($L2255="","",$I2255))))</f>
        <v/>
      </c>
      <c r="Q2255" s="34" t="str">
        <f aca="false">IF($P2255="","",IF($N2255&lt;&gt;"",$N2255,$J2255))</f>
        <v/>
      </c>
      <c r="R2255" s="35" t="str">
        <f aca="false">IF(OR($P2255="",$Q2255=""),"",INDEX(BookRate,2250)*$P2255*(5-MATCH($Q2255,{"Q1";"Q2";"Q3";"Q4"},0))/4+INDEX(BookOneOff,2250)*$P2255)</f>
        <v/>
      </c>
      <c r="S2255" s="35" t="str">
        <f aca="false">IF($P2255="","",INDEX(BookRate,2250)*$P2255)</f>
        <v/>
      </c>
      <c r="T2255" s="35" t="str">
        <f aca="false">IF($R2255="","",$R2255-$K2255)</f>
        <v/>
      </c>
      <c r="U2255" s="35" t="str">
        <f aca="false">IF(N($P2255)&lt;=0,"",COUNTIF($P$6:$P2255,"&gt;0"))</f>
        <v/>
      </c>
    </row>
    <row r="2256" customFormat="false" ht="15" hidden="false" customHeight="false" outlineLevel="0" collapsed="false">
      <c r="A2256" s="40" t="str">
        <f aca="false">IF(INDEX(BookTitle,2251)="","",INDEX(BookGroup,2251))</f>
        <v/>
      </c>
      <c r="B2256" s="40" t="str">
        <f aca="false">IF(INDEX(BookTitle,2251)="","",INDEX(BookRef,2251))</f>
        <v/>
      </c>
      <c r="C2256" s="40" t="str">
        <f aca="false">IF(INDEX(BookTitle,2251)="","",INDEX(BookDivision,2251))</f>
        <v/>
      </c>
      <c r="D2256" s="40" t="str">
        <f aca="false">IF(INDEX(BookTitle,2251)="","",INDEX(BookUnit,2251))</f>
        <v/>
      </c>
      <c r="E2256" s="40" t="str">
        <f aca="false">IF(INDEX(BookTitle,2251)="","",INDEX(BookTitle,2251))</f>
        <v/>
      </c>
      <c r="F2256" s="40" t="str">
        <f aca="false">IF(INDEX(BookTitle,2251)="","",INDEX(BookLevel,2251))</f>
        <v/>
      </c>
      <c r="G2256" s="40" t="str">
        <f aca="false">IF(INDEX(BookTitle,2251)="","",INDEX(BookCategory,2251))</f>
        <v/>
      </c>
      <c r="H2256" s="40" t="str">
        <f aca="false">IF(INDEX(BookTitle,2251)="","",INDEX(BookRank,2251))</f>
        <v/>
      </c>
      <c r="I2256" s="41" t="str">
        <f aca="false">IF(INDEX(BookTitle,2251)="","",INDEX(BookTotal,2251))</f>
        <v/>
      </c>
      <c r="J2256" s="0" t="str">
        <f aca="false">IF($I2256="","",IF(INDEX(BookQ1,2251)&gt;0,"Q1",IF(INDEX(BookQ2,2251)&gt;0,"Q2",IF(INDEX(BookQ3,2251)&gt;0,"Q3",IF(INDEX(BookQ4,2251)&gt;0,"Q4","")))))</f>
        <v/>
      </c>
      <c r="K2256" s="42" t="str">
        <f aca="false">IF(INDEX(BookTitle,2251)="","",INDEX(BookInYear,2251))</f>
        <v/>
      </c>
      <c r="L2256" s="19"/>
      <c r="M2256" s="39"/>
      <c r="N2256" s="19"/>
      <c r="O2256" s="19"/>
      <c r="P2256" s="43" t="str">
        <f aca="false">IF($E2256="","",IF($L2256="Decline",0,IF($L2256="Approve fewer",IF($M2256="","",$M2256),IF($L2256="","",$I2256))))</f>
        <v/>
      </c>
      <c r="Q2256" s="34" t="str">
        <f aca="false">IF($P2256="","",IF($N2256&lt;&gt;"",$N2256,$J2256))</f>
        <v/>
      </c>
      <c r="R2256" s="35" t="str">
        <f aca="false">IF(OR($P2256="",$Q2256=""),"",INDEX(BookRate,2251)*$P2256*(5-MATCH($Q2256,{"Q1";"Q2";"Q3";"Q4"},0))/4+INDEX(BookOneOff,2251)*$P2256)</f>
        <v/>
      </c>
      <c r="S2256" s="35" t="str">
        <f aca="false">IF($P2256="","",INDEX(BookRate,2251)*$P2256)</f>
        <v/>
      </c>
      <c r="T2256" s="35" t="str">
        <f aca="false">IF($R2256="","",$R2256-$K2256)</f>
        <v/>
      </c>
      <c r="U2256" s="35" t="str">
        <f aca="false">IF(N($P2256)&lt;=0,"",COUNTIF($P$6:$P2256,"&gt;0"))</f>
        <v/>
      </c>
    </row>
    <row r="2257" customFormat="false" ht="15" hidden="false" customHeight="false" outlineLevel="0" collapsed="false">
      <c r="A2257" s="40" t="str">
        <f aca="false">IF(INDEX(BookTitle,2252)="","",INDEX(BookGroup,2252))</f>
        <v/>
      </c>
      <c r="B2257" s="40" t="str">
        <f aca="false">IF(INDEX(BookTitle,2252)="","",INDEX(BookRef,2252))</f>
        <v/>
      </c>
      <c r="C2257" s="40" t="str">
        <f aca="false">IF(INDEX(BookTitle,2252)="","",INDEX(BookDivision,2252))</f>
        <v/>
      </c>
      <c r="D2257" s="40" t="str">
        <f aca="false">IF(INDEX(BookTitle,2252)="","",INDEX(BookUnit,2252))</f>
        <v/>
      </c>
      <c r="E2257" s="40" t="str">
        <f aca="false">IF(INDEX(BookTitle,2252)="","",INDEX(BookTitle,2252))</f>
        <v/>
      </c>
      <c r="F2257" s="40" t="str">
        <f aca="false">IF(INDEX(BookTitle,2252)="","",INDEX(BookLevel,2252))</f>
        <v/>
      </c>
      <c r="G2257" s="40" t="str">
        <f aca="false">IF(INDEX(BookTitle,2252)="","",INDEX(BookCategory,2252))</f>
        <v/>
      </c>
      <c r="H2257" s="40" t="str">
        <f aca="false">IF(INDEX(BookTitle,2252)="","",INDEX(BookRank,2252))</f>
        <v/>
      </c>
      <c r="I2257" s="41" t="str">
        <f aca="false">IF(INDEX(BookTitle,2252)="","",INDEX(BookTotal,2252))</f>
        <v/>
      </c>
      <c r="J2257" s="0" t="str">
        <f aca="false">IF($I2257="","",IF(INDEX(BookQ1,2252)&gt;0,"Q1",IF(INDEX(BookQ2,2252)&gt;0,"Q2",IF(INDEX(BookQ3,2252)&gt;0,"Q3",IF(INDEX(BookQ4,2252)&gt;0,"Q4","")))))</f>
        <v/>
      </c>
      <c r="K2257" s="42" t="str">
        <f aca="false">IF(INDEX(BookTitle,2252)="","",INDEX(BookInYear,2252))</f>
        <v/>
      </c>
      <c r="L2257" s="19"/>
      <c r="M2257" s="39"/>
      <c r="N2257" s="19"/>
      <c r="O2257" s="19"/>
      <c r="P2257" s="43" t="str">
        <f aca="false">IF($E2257="","",IF($L2257="Decline",0,IF($L2257="Approve fewer",IF($M2257="","",$M2257),IF($L2257="","",$I2257))))</f>
        <v/>
      </c>
      <c r="Q2257" s="34" t="str">
        <f aca="false">IF($P2257="","",IF($N2257&lt;&gt;"",$N2257,$J2257))</f>
        <v/>
      </c>
      <c r="R2257" s="35" t="str">
        <f aca="false">IF(OR($P2257="",$Q2257=""),"",INDEX(BookRate,2252)*$P2257*(5-MATCH($Q2257,{"Q1";"Q2";"Q3";"Q4"},0))/4+INDEX(BookOneOff,2252)*$P2257)</f>
        <v/>
      </c>
      <c r="S2257" s="35" t="str">
        <f aca="false">IF($P2257="","",INDEX(BookRate,2252)*$P2257)</f>
        <v/>
      </c>
      <c r="T2257" s="35" t="str">
        <f aca="false">IF($R2257="","",$R2257-$K2257)</f>
        <v/>
      </c>
      <c r="U2257" s="35" t="str">
        <f aca="false">IF(N($P2257)&lt;=0,"",COUNTIF($P$6:$P2257,"&gt;0"))</f>
        <v/>
      </c>
    </row>
    <row r="2258" customFormat="false" ht="15" hidden="false" customHeight="false" outlineLevel="0" collapsed="false">
      <c r="A2258" s="40" t="str">
        <f aca="false">IF(INDEX(BookTitle,2253)="","",INDEX(BookGroup,2253))</f>
        <v/>
      </c>
      <c r="B2258" s="40" t="str">
        <f aca="false">IF(INDEX(BookTitle,2253)="","",INDEX(BookRef,2253))</f>
        <v/>
      </c>
      <c r="C2258" s="40" t="str">
        <f aca="false">IF(INDEX(BookTitle,2253)="","",INDEX(BookDivision,2253))</f>
        <v/>
      </c>
      <c r="D2258" s="40" t="str">
        <f aca="false">IF(INDEX(BookTitle,2253)="","",INDEX(BookUnit,2253))</f>
        <v/>
      </c>
      <c r="E2258" s="40" t="str">
        <f aca="false">IF(INDEX(BookTitle,2253)="","",INDEX(BookTitle,2253))</f>
        <v/>
      </c>
      <c r="F2258" s="40" t="str">
        <f aca="false">IF(INDEX(BookTitle,2253)="","",INDEX(BookLevel,2253))</f>
        <v/>
      </c>
      <c r="G2258" s="40" t="str">
        <f aca="false">IF(INDEX(BookTitle,2253)="","",INDEX(BookCategory,2253))</f>
        <v/>
      </c>
      <c r="H2258" s="40" t="str">
        <f aca="false">IF(INDEX(BookTitle,2253)="","",INDEX(BookRank,2253))</f>
        <v/>
      </c>
      <c r="I2258" s="41" t="str">
        <f aca="false">IF(INDEX(BookTitle,2253)="","",INDEX(BookTotal,2253))</f>
        <v/>
      </c>
      <c r="J2258" s="0" t="str">
        <f aca="false">IF($I2258="","",IF(INDEX(BookQ1,2253)&gt;0,"Q1",IF(INDEX(BookQ2,2253)&gt;0,"Q2",IF(INDEX(BookQ3,2253)&gt;0,"Q3",IF(INDEX(BookQ4,2253)&gt;0,"Q4","")))))</f>
        <v/>
      </c>
      <c r="K2258" s="42" t="str">
        <f aca="false">IF(INDEX(BookTitle,2253)="","",INDEX(BookInYear,2253))</f>
        <v/>
      </c>
      <c r="L2258" s="19"/>
      <c r="M2258" s="39"/>
      <c r="N2258" s="19"/>
      <c r="O2258" s="19"/>
      <c r="P2258" s="43" t="str">
        <f aca="false">IF($E2258="","",IF($L2258="Decline",0,IF($L2258="Approve fewer",IF($M2258="","",$M2258),IF($L2258="","",$I2258))))</f>
        <v/>
      </c>
      <c r="Q2258" s="34" t="str">
        <f aca="false">IF($P2258="","",IF($N2258&lt;&gt;"",$N2258,$J2258))</f>
        <v/>
      </c>
      <c r="R2258" s="35" t="str">
        <f aca="false">IF(OR($P2258="",$Q2258=""),"",INDEX(BookRate,2253)*$P2258*(5-MATCH($Q2258,{"Q1";"Q2";"Q3";"Q4"},0))/4+INDEX(BookOneOff,2253)*$P2258)</f>
        <v/>
      </c>
      <c r="S2258" s="35" t="str">
        <f aca="false">IF($P2258="","",INDEX(BookRate,2253)*$P2258)</f>
        <v/>
      </c>
      <c r="T2258" s="35" t="str">
        <f aca="false">IF($R2258="","",$R2258-$K2258)</f>
        <v/>
      </c>
      <c r="U2258" s="35" t="str">
        <f aca="false">IF(N($P2258)&lt;=0,"",COUNTIF($P$6:$P2258,"&gt;0"))</f>
        <v/>
      </c>
    </row>
    <row r="2259" customFormat="false" ht="15" hidden="false" customHeight="false" outlineLevel="0" collapsed="false">
      <c r="A2259" s="40" t="str">
        <f aca="false">IF(INDEX(BookTitle,2254)="","",INDEX(BookGroup,2254))</f>
        <v/>
      </c>
      <c r="B2259" s="40" t="str">
        <f aca="false">IF(INDEX(BookTitle,2254)="","",INDEX(BookRef,2254))</f>
        <v/>
      </c>
      <c r="C2259" s="40" t="str">
        <f aca="false">IF(INDEX(BookTitle,2254)="","",INDEX(BookDivision,2254))</f>
        <v/>
      </c>
      <c r="D2259" s="40" t="str">
        <f aca="false">IF(INDEX(BookTitle,2254)="","",INDEX(BookUnit,2254))</f>
        <v/>
      </c>
      <c r="E2259" s="40" t="str">
        <f aca="false">IF(INDEX(BookTitle,2254)="","",INDEX(BookTitle,2254))</f>
        <v/>
      </c>
      <c r="F2259" s="40" t="str">
        <f aca="false">IF(INDEX(BookTitle,2254)="","",INDEX(BookLevel,2254))</f>
        <v/>
      </c>
      <c r="G2259" s="40" t="str">
        <f aca="false">IF(INDEX(BookTitle,2254)="","",INDEX(BookCategory,2254))</f>
        <v/>
      </c>
      <c r="H2259" s="40" t="str">
        <f aca="false">IF(INDEX(BookTitle,2254)="","",INDEX(BookRank,2254))</f>
        <v/>
      </c>
      <c r="I2259" s="41" t="str">
        <f aca="false">IF(INDEX(BookTitle,2254)="","",INDEX(BookTotal,2254))</f>
        <v/>
      </c>
      <c r="J2259" s="0" t="str">
        <f aca="false">IF($I2259="","",IF(INDEX(BookQ1,2254)&gt;0,"Q1",IF(INDEX(BookQ2,2254)&gt;0,"Q2",IF(INDEX(BookQ3,2254)&gt;0,"Q3",IF(INDEX(BookQ4,2254)&gt;0,"Q4","")))))</f>
        <v/>
      </c>
      <c r="K2259" s="42" t="str">
        <f aca="false">IF(INDEX(BookTitle,2254)="","",INDEX(BookInYear,2254))</f>
        <v/>
      </c>
      <c r="L2259" s="19"/>
      <c r="M2259" s="39"/>
      <c r="N2259" s="19"/>
      <c r="O2259" s="19"/>
      <c r="P2259" s="43" t="str">
        <f aca="false">IF($E2259="","",IF($L2259="Decline",0,IF($L2259="Approve fewer",IF($M2259="","",$M2259),IF($L2259="","",$I2259))))</f>
        <v/>
      </c>
      <c r="Q2259" s="34" t="str">
        <f aca="false">IF($P2259="","",IF($N2259&lt;&gt;"",$N2259,$J2259))</f>
        <v/>
      </c>
      <c r="R2259" s="35" t="str">
        <f aca="false">IF(OR($P2259="",$Q2259=""),"",INDEX(BookRate,2254)*$P2259*(5-MATCH($Q2259,{"Q1";"Q2";"Q3";"Q4"},0))/4+INDEX(BookOneOff,2254)*$P2259)</f>
        <v/>
      </c>
      <c r="S2259" s="35" t="str">
        <f aca="false">IF($P2259="","",INDEX(BookRate,2254)*$P2259)</f>
        <v/>
      </c>
      <c r="T2259" s="35" t="str">
        <f aca="false">IF($R2259="","",$R2259-$K2259)</f>
        <v/>
      </c>
      <c r="U2259" s="35" t="str">
        <f aca="false">IF(N($P2259)&lt;=0,"",COUNTIF($P$6:$P2259,"&gt;0"))</f>
        <v/>
      </c>
    </row>
    <row r="2260" customFormat="false" ht="15" hidden="false" customHeight="false" outlineLevel="0" collapsed="false">
      <c r="A2260" s="40" t="str">
        <f aca="false">IF(INDEX(BookTitle,2255)="","",INDEX(BookGroup,2255))</f>
        <v/>
      </c>
      <c r="B2260" s="40" t="str">
        <f aca="false">IF(INDEX(BookTitle,2255)="","",INDEX(BookRef,2255))</f>
        <v/>
      </c>
      <c r="C2260" s="40" t="str">
        <f aca="false">IF(INDEX(BookTitle,2255)="","",INDEX(BookDivision,2255))</f>
        <v/>
      </c>
      <c r="D2260" s="40" t="str">
        <f aca="false">IF(INDEX(BookTitle,2255)="","",INDEX(BookUnit,2255))</f>
        <v/>
      </c>
      <c r="E2260" s="40" t="str">
        <f aca="false">IF(INDEX(BookTitle,2255)="","",INDEX(BookTitle,2255))</f>
        <v/>
      </c>
      <c r="F2260" s="40" t="str">
        <f aca="false">IF(INDEX(BookTitle,2255)="","",INDEX(BookLevel,2255))</f>
        <v/>
      </c>
      <c r="G2260" s="40" t="str">
        <f aca="false">IF(INDEX(BookTitle,2255)="","",INDEX(BookCategory,2255))</f>
        <v/>
      </c>
      <c r="H2260" s="40" t="str">
        <f aca="false">IF(INDEX(BookTitle,2255)="","",INDEX(BookRank,2255))</f>
        <v/>
      </c>
      <c r="I2260" s="41" t="str">
        <f aca="false">IF(INDEX(BookTitle,2255)="","",INDEX(BookTotal,2255))</f>
        <v/>
      </c>
      <c r="J2260" s="0" t="str">
        <f aca="false">IF($I2260="","",IF(INDEX(BookQ1,2255)&gt;0,"Q1",IF(INDEX(BookQ2,2255)&gt;0,"Q2",IF(INDEX(BookQ3,2255)&gt;0,"Q3",IF(INDEX(BookQ4,2255)&gt;0,"Q4","")))))</f>
        <v/>
      </c>
      <c r="K2260" s="42" t="str">
        <f aca="false">IF(INDEX(BookTitle,2255)="","",INDEX(BookInYear,2255))</f>
        <v/>
      </c>
      <c r="L2260" s="19"/>
      <c r="M2260" s="39"/>
      <c r="N2260" s="19"/>
      <c r="O2260" s="19"/>
      <c r="P2260" s="43" t="str">
        <f aca="false">IF($E2260="","",IF($L2260="Decline",0,IF($L2260="Approve fewer",IF($M2260="","",$M2260),IF($L2260="","",$I2260))))</f>
        <v/>
      </c>
      <c r="Q2260" s="34" t="str">
        <f aca="false">IF($P2260="","",IF($N2260&lt;&gt;"",$N2260,$J2260))</f>
        <v/>
      </c>
      <c r="R2260" s="35" t="str">
        <f aca="false">IF(OR($P2260="",$Q2260=""),"",INDEX(BookRate,2255)*$P2260*(5-MATCH($Q2260,{"Q1";"Q2";"Q3";"Q4"},0))/4+INDEX(BookOneOff,2255)*$P2260)</f>
        <v/>
      </c>
      <c r="S2260" s="35" t="str">
        <f aca="false">IF($P2260="","",INDEX(BookRate,2255)*$P2260)</f>
        <v/>
      </c>
      <c r="T2260" s="35" t="str">
        <f aca="false">IF($R2260="","",$R2260-$K2260)</f>
        <v/>
      </c>
      <c r="U2260" s="35" t="str">
        <f aca="false">IF(N($P2260)&lt;=0,"",COUNTIF($P$6:$P2260,"&gt;0"))</f>
        <v/>
      </c>
    </row>
    <row r="2261" customFormat="false" ht="15" hidden="false" customHeight="false" outlineLevel="0" collapsed="false">
      <c r="A2261" s="40" t="str">
        <f aca="false">IF(INDEX(BookTitle,2256)="","",INDEX(BookGroup,2256))</f>
        <v/>
      </c>
      <c r="B2261" s="40" t="str">
        <f aca="false">IF(INDEX(BookTitle,2256)="","",INDEX(BookRef,2256))</f>
        <v/>
      </c>
      <c r="C2261" s="40" t="str">
        <f aca="false">IF(INDEX(BookTitle,2256)="","",INDEX(BookDivision,2256))</f>
        <v/>
      </c>
      <c r="D2261" s="40" t="str">
        <f aca="false">IF(INDEX(BookTitle,2256)="","",INDEX(BookUnit,2256))</f>
        <v/>
      </c>
      <c r="E2261" s="40" t="str">
        <f aca="false">IF(INDEX(BookTitle,2256)="","",INDEX(BookTitle,2256))</f>
        <v/>
      </c>
      <c r="F2261" s="40" t="str">
        <f aca="false">IF(INDEX(BookTitle,2256)="","",INDEX(BookLevel,2256))</f>
        <v/>
      </c>
      <c r="G2261" s="40" t="str">
        <f aca="false">IF(INDEX(BookTitle,2256)="","",INDEX(BookCategory,2256))</f>
        <v/>
      </c>
      <c r="H2261" s="40" t="str">
        <f aca="false">IF(INDEX(BookTitle,2256)="","",INDEX(BookRank,2256))</f>
        <v/>
      </c>
      <c r="I2261" s="41" t="str">
        <f aca="false">IF(INDEX(BookTitle,2256)="","",INDEX(BookTotal,2256))</f>
        <v/>
      </c>
      <c r="J2261" s="0" t="str">
        <f aca="false">IF($I2261="","",IF(INDEX(BookQ1,2256)&gt;0,"Q1",IF(INDEX(BookQ2,2256)&gt;0,"Q2",IF(INDEX(BookQ3,2256)&gt;0,"Q3",IF(INDEX(BookQ4,2256)&gt;0,"Q4","")))))</f>
        <v/>
      </c>
      <c r="K2261" s="42" t="str">
        <f aca="false">IF(INDEX(BookTitle,2256)="","",INDEX(BookInYear,2256))</f>
        <v/>
      </c>
      <c r="L2261" s="19"/>
      <c r="M2261" s="39"/>
      <c r="N2261" s="19"/>
      <c r="O2261" s="19"/>
      <c r="P2261" s="43" t="str">
        <f aca="false">IF($E2261="","",IF($L2261="Decline",0,IF($L2261="Approve fewer",IF($M2261="","",$M2261),IF($L2261="","",$I2261))))</f>
        <v/>
      </c>
      <c r="Q2261" s="34" t="str">
        <f aca="false">IF($P2261="","",IF($N2261&lt;&gt;"",$N2261,$J2261))</f>
        <v/>
      </c>
      <c r="R2261" s="35" t="str">
        <f aca="false">IF(OR($P2261="",$Q2261=""),"",INDEX(BookRate,2256)*$P2261*(5-MATCH($Q2261,{"Q1";"Q2";"Q3";"Q4"},0))/4+INDEX(BookOneOff,2256)*$P2261)</f>
        <v/>
      </c>
      <c r="S2261" s="35" t="str">
        <f aca="false">IF($P2261="","",INDEX(BookRate,2256)*$P2261)</f>
        <v/>
      </c>
      <c r="T2261" s="35" t="str">
        <f aca="false">IF($R2261="","",$R2261-$K2261)</f>
        <v/>
      </c>
      <c r="U2261" s="35" t="str">
        <f aca="false">IF(N($P2261)&lt;=0,"",COUNTIF($P$6:$P2261,"&gt;0"))</f>
        <v/>
      </c>
    </row>
    <row r="2262" customFormat="false" ht="15" hidden="false" customHeight="false" outlineLevel="0" collapsed="false">
      <c r="A2262" s="40" t="str">
        <f aca="false">IF(INDEX(BookTitle,2257)="","",INDEX(BookGroup,2257))</f>
        <v/>
      </c>
      <c r="B2262" s="40" t="str">
        <f aca="false">IF(INDEX(BookTitle,2257)="","",INDEX(BookRef,2257))</f>
        <v/>
      </c>
      <c r="C2262" s="40" t="str">
        <f aca="false">IF(INDEX(BookTitle,2257)="","",INDEX(BookDivision,2257))</f>
        <v/>
      </c>
      <c r="D2262" s="40" t="str">
        <f aca="false">IF(INDEX(BookTitle,2257)="","",INDEX(BookUnit,2257))</f>
        <v/>
      </c>
      <c r="E2262" s="40" t="str">
        <f aca="false">IF(INDEX(BookTitle,2257)="","",INDEX(BookTitle,2257))</f>
        <v/>
      </c>
      <c r="F2262" s="40" t="str">
        <f aca="false">IF(INDEX(BookTitle,2257)="","",INDEX(BookLevel,2257))</f>
        <v/>
      </c>
      <c r="G2262" s="40" t="str">
        <f aca="false">IF(INDEX(BookTitle,2257)="","",INDEX(BookCategory,2257))</f>
        <v/>
      </c>
      <c r="H2262" s="40" t="str">
        <f aca="false">IF(INDEX(BookTitle,2257)="","",INDEX(BookRank,2257))</f>
        <v/>
      </c>
      <c r="I2262" s="41" t="str">
        <f aca="false">IF(INDEX(BookTitle,2257)="","",INDEX(BookTotal,2257))</f>
        <v/>
      </c>
      <c r="J2262" s="0" t="str">
        <f aca="false">IF($I2262="","",IF(INDEX(BookQ1,2257)&gt;0,"Q1",IF(INDEX(BookQ2,2257)&gt;0,"Q2",IF(INDEX(BookQ3,2257)&gt;0,"Q3",IF(INDEX(BookQ4,2257)&gt;0,"Q4","")))))</f>
        <v/>
      </c>
      <c r="K2262" s="42" t="str">
        <f aca="false">IF(INDEX(BookTitle,2257)="","",INDEX(BookInYear,2257))</f>
        <v/>
      </c>
      <c r="L2262" s="19"/>
      <c r="M2262" s="39"/>
      <c r="N2262" s="19"/>
      <c r="O2262" s="19"/>
      <c r="P2262" s="43" t="str">
        <f aca="false">IF($E2262="","",IF($L2262="Decline",0,IF($L2262="Approve fewer",IF($M2262="","",$M2262),IF($L2262="","",$I2262))))</f>
        <v/>
      </c>
      <c r="Q2262" s="34" t="str">
        <f aca="false">IF($P2262="","",IF($N2262&lt;&gt;"",$N2262,$J2262))</f>
        <v/>
      </c>
      <c r="R2262" s="35" t="str">
        <f aca="false">IF(OR($P2262="",$Q2262=""),"",INDEX(BookRate,2257)*$P2262*(5-MATCH($Q2262,{"Q1";"Q2";"Q3";"Q4"},0))/4+INDEX(BookOneOff,2257)*$P2262)</f>
        <v/>
      </c>
      <c r="S2262" s="35" t="str">
        <f aca="false">IF($P2262="","",INDEX(BookRate,2257)*$P2262)</f>
        <v/>
      </c>
      <c r="T2262" s="35" t="str">
        <f aca="false">IF($R2262="","",$R2262-$K2262)</f>
        <v/>
      </c>
      <c r="U2262" s="35" t="str">
        <f aca="false">IF(N($P2262)&lt;=0,"",COUNTIF($P$6:$P2262,"&gt;0"))</f>
        <v/>
      </c>
    </row>
    <row r="2263" customFormat="false" ht="15" hidden="false" customHeight="false" outlineLevel="0" collapsed="false">
      <c r="A2263" s="40" t="str">
        <f aca="false">IF(INDEX(BookTitle,2258)="","",INDEX(BookGroup,2258))</f>
        <v/>
      </c>
      <c r="B2263" s="40" t="str">
        <f aca="false">IF(INDEX(BookTitle,2258)="","",INDEX(BookRef,2258))</f>
        <v/>
      </c>
      <c r="C2263" s="40" t="str">
        <f aca="false">IF(INDEX(BookTitle,2258)="","",INDEX(BookDivision,2258))</f>
        <v/>
      </c>
      <c r="D2263" s="40" t="str">
        <f aca="false">IF(INDEX(BookTitle,2258)="","",INDEX(BookUnit,2258))</f>
        <v/>
      </c>
      <c r="E2263" s="40" t="str">
        <f aca="false">IF(INDEX(BookTitle,2258)="","",INDEX(BookTitle,2258))</f>
        <v/>
      </c>
      <c r="F2263" s="40" t="str">
        <f aca="false">IF(INDEX(BookTitle,2258)="","",INDEX(BookLevel,2258))</f>
        <v/>
      </c>
      <c r="G2263" s="40" t="str">
        <f aca="false">IF(INDEX(BookTitle,2258)="","",INDEX(BookCategory,2258))</f>
        <v/>
      </c>
      <c r="H2263" s="40" t="str">
        <f aca="false">IF(INDEX(BookTitle,2258)="","",INDEX(BookRank,2258))</f>
        <v/>
      </c>
      <c r="I2263" s="41" t="str">
        <f aca="false">IF(INDEX(BookTitle,2258)="","",INDEX(BookTotal,2258))</f>
        <v/>
      </c>
      <c r="J2263" s="0" t="str">
        <f aca="false">IF($I2263="","",IF(INDEX(BookQ1,2258)&gt;0,"Q1",IF(INDEX(BookQ2,2258)&gt;0,"Q2",IF(INDEX(BookQ3,2258)&gt;0,"Q3",IF(INDEX(BookQ4,2258)&gt;0,"Q4","")))))</f>
        <v/>
      </c>
      <c r="K2263" s="42" t="str">
        <f aca="false">IF(INDEX(BookTitle,2258)="","",INDEX(BookInYear,2258))</f>
        <v/>
      </c>
      <c r="L2263" s="19"/>
      <c r="M2263" s="39"/>
      <c r="N2263" s="19"/>
      <c r="O2263" s="19"/>
      <c r="P2263" s="43" t="str">
        <f aca="false">IF($E2263="","",IF($L2263="Decline",0,IF($L2263="Approve fewer",IF($M2263="","",$M2263),IF($L2263="","",$I2263))))</f>
        <v/>
      </c>
      <c r="Q2263" s="34" t="str">
        <f aca="false">IF($P2263="","",IF($N2263&lt;&gt;"",$N2263,$J2263))</f>
        <v/>
      </c>
      <c r="R2263" s="35" t="str">
        <f aca="false">IF(OR($P2263="",$Q2263=""),"",INDEX(BookRate,2258)*$P2263*(5-MATCH($Q2263,{"Q1";"Q2";"Q3";"Q4"},0))/4+INDEX(BookOneOff,2258)*$P2263)</f>
        <v/>
      </c>
      <c r="S2263" s="35" t="str">
        <f aca="false">IF($P2263="","",INDEX(BookRate,2258)*$P2263)</f>
        <v/>
      </c>
      <c r="T2263" s="35" t="str">
        <f aca="false">IF($R2263="","",$R2263-$K2263)</f>
        <v/>
      </c>
      <c r="U2263" s="35" t="str">
        <f aca="false">IF(N($P2263)&lt;=0,"",COUNTIF($P$6:$P2263,"&gt;0"))</f>
        <v/>
      </c>
    </row>
    <row r="2264" customFormat="false" ht="15" hidden="false" customHeight="false" outlineLevel="0" collapsed="false">
      <c r="A2264" s="40" t="str">
        <f aca="false">IF(INDEX(BookTitle,2259)="","",INDEX(BookGroup,2259))</f>
        <v/>
      </c>
      <c r="B2264" s="40" t="str">
        <f aca="false">IF(INDEX(BookTitle,2259)="","",INDEX(BookRef,2259))</f>
        <v/>
      </c>
      <c r="C2264" s="40" t="str">
        <f aca="false">IF(INDEX(BookTitle,2259)="","",INDEX(BookDivision,2259))</f>
        <v/>
      </c>
      <c r="D2264" s="40" t="str">
        <f aca="false">IF(INDEX(BookTitle,2259)="","",INDEX(BookUnit,2259))</f>
        <v/>
      </c>
      <c r="E2264" s="40" t="str">
        <f aca="false">IF(INDEX(BookTitle,2259)="","",INDEX(BookTitle,2259))</f>
        <v/>
      </c>
      <c r="F2264" s="40" t="str">
        <f aca="false">IF(INDEX(BookTitle,2259)="","",INDEX(BookLevel,2259))</f>
        <v/>
      </c>
      <c r="G2264" s="40" t="str">
        <f aca="false">IF(INDEX(BookTitle,2259)="","",INDEX(BookCategory,2259))</f>
        <v/>
      </c>
      <c r="H2264" s="40" t="str">
        <f aca="false">IF(INDEX(BookTitle,2259)="","",INDEX(BookRank,2259))</f>
        <v/>
      </c>
      <c r="I2264" s="41" t="str">
        <f aca="false">IF(INDEX(BookTitle,2259)="","",INDEX(BookTotal,2259))</f>
        <v/>
      </c>
      <c r="J2264" s="0" t="str">
        <f aca="false">IF($I2264="","",IF(INDEX(BookQ1,2259)&gt;0,"Q1",IF(INDEX(BookQ2,2259)&gt;0,"Q2",IF(INDEX(BookQ3,2259)&gt;0,"Q3",IF(INDEX(BookQ4,2259)&gt;0,"Q4","")))))</f>
        <v/>
      </c>
      <c r="K2264" s="42" t="str">
        <f aca="false">IF(INDEX(BookTitle,2259)="","",INDEX(BookInYear,2259))</f>
        <v/>
      </c>
      <c r="L2264" s="19"/>
      <c r="M2264" s="39"/>
      <c r="N2264" s="19"/>
      <c r="O2264" s="19"/>
      <c r="P2264" s="43" t="str">
        <f aca="false">IF($E2264="","",IF($L2264="Decline",0,IF($L2264="Approve fewer",IF($M2264="","",$M2264),IF($L2264="","",$I2264))))</f>
        <v/>
      </c>
      <c r="Q2264" s="34" t="str">
        <f aca="false">IF($P2264="","",IF($N2264&lt;&gt;"",$N2264,$J2264))</f>
        <v/>
      </c>
      <c r="R2264" s="35" t="str">
        <f aca="false">IF(OR($P2264="",$Q2264=""),"",INDEX(BookRate,2259)*$P2264*(5-MATCH($Q2264,{"Q1";"Q2";"Q3";"Q4"},0))/4+INDEX(BookOneOff,2259)*$P2264)</f>
        <v/>
      </c>
      <c r="S2264" s="35" t="str">
        <f aca="false">IF($P2264="","",INDEX(BookRate,2259)*$P2264)</f>
        <v/>
      </c>
      <c r="T2264" s="35" t="str">
        <f aca="false">IF($R2264="","",$R2264-$K2264)</f>
        <v/>
      </c>
      <c r="U2264" s="35" t="str">
        <f aca="false">IF(N($P2264)&lt;=0,"",COUNTIF($P$6:$P2264,"&gt;0"))</f>
        <v/>
      </c>
    </row>
    <row r="2265" customFormat="false" ht="15" hidden="false" customHeight="false" outlineLevel="0" collapsed="false">
      <c r="A2265" s="40" t="str">
        <f aca="false">IF(INDEX(BookTitle,2260)="","",INDEX(BookGroup,2260))</f>
        <v/>
      </c>
      <c r="B2265" s="40" t="str">
        <f aca="false">IF(INDEX(BookTitle,2260)="","",INDEX(BookRef,2260))</f>
        <v/>
      </c>
      <c r="C2265" s="40" t="str">
        <f aca="false">IF(INDEX(BookTitle,2260)="","",INDEX(BookDivision,2260))</f>
        <v/>
      </c>
      <c r="D2265" s="40" t="str">
        <f aca="false">IF(INDEX(BookTitle,2260)="","",INDEX(BookUnit,2260))</f>
        <v/>
      </c>
      <c r="E2265" s="40" t="str">
        <f aca="false">IF(INDEX(BookTitle,2260)="","",INDEX(BookTitle,2260))</f>
        <v/>
      </c>
      <c r="F2265" s="40" t="str">
        <f aca="false">IF(INDEX(BookTitle,2260)="","",INDEX(BookLevel,2260))</f>
        <v/>
      </c>
      <c r="G2265" s="40" t="str">
        <f aca="false">IF(INDEX(BookTitle,2260)="","",INDEX(BookCategory,2260))</f>
        <v/>
      </c>
      <c r="H2265" s="40" t="str">
        <f aca="false">IF(INDEX(BookTitle,2260)="","",INDEX(BookRank,2260))</f>
        <v/>
      </c>
      <c r="I2265" s="41" t="str">
        <f aca="false">IF(INDEX(BookTitle,2260)="","",INDEX(BookTotal,2260))</f>
        <v/>
      </c>
      <c r="J2265" s="0" t="str">
        <f aca="false">IF($I2265="","",IF(INDEX(BookQ1,2260)&gt;0,"Q1",IF(INDEX(BookQ2,2260)&gt;0,"Q2",IF(INDEX(BookQ3,2260)&gt;0,"Q3",IF(INDEX(BookQ4,2260)&gt;0,"Q4","")))))</f>
        <v/>
      </c>
      <c r="K2265" s="42" t="str">
        <f aca="false">IF(INDEX(BookTitle,2260)="","",INDEX(BookInYear,2260))</f>
        <v/>
      </c>
      <c r="L2265" s="19"/>
      <c r="M2265" s="39"/>
      <c r="N2265" s="19"/>
      <c r="O2265" s="19"/>
      <c r="P2265" s="43" t="str">
        <f aca="false">IF($E2265="","",IF($L2265="Decline",0,IF($L2265="Approve fewer",IF($M2265="","",$M2265),IF($L2265="","",$I2265))))</f>
        <v/>
      </c>
      <c r="Q2265" s="34" t="str">
        <f aca="false">IF($P2265="","",IF($N2265&lt;&gt;"",$N2265,$J2265))</f>
        <v/>
      </c>
      <c r="R2265" s="35" t="str">
        <f aca="false">IF(OR($P2265="",$Q2265=""),"",INDEX(BookRate,2260)*$P2265*(5-MATCH($Q2265,{"Q1";"Q2";"Q3";"Q4"},0))/4+INDEX(BookOneOff,2260)*$P2265)</f>
        <v/>
      </c>
      <c r="S2265" s="35" t="str">
        <f aca="false">IF($P2265="","",INDEX(BookRate,2260)*$P2265)</f>
        <v/>
      </c>
      <c r="T2265" s="35" t="str">
        <f aca="false">IF($R2265="","",$R2265-$K2265)</f>
        <v/>
      </c>
      <c r="U2265" s="35" t="str">
        <f aca="false">IF(N($P2265)&lt;=0,"",COUNTIF($P$6:$P2265,"&gt;0"))</f>
        <v/>
      </c>
    </row>
    <row r="2266" customFormat="false" ht="15" hidden="false" customHeight="false" outlineLevel="0" collapsed="false">
      <c r="A2266" s="40" t="str">
        <f aca="false">IF(INDEX(BookTitle,2261)="","",INDEX(BookGroup,2261))</f>
        <v/>
      </c>
      <c r="B2266" s="40" t="str">
        <f aca="false">IF(INDEX(BookTitle,2261)="","",INDEX(BookRef,2261))</f>
        <v/>
      </c>
      <c r="C2266" s="40" t="str">
        <f aca="false">IF(INDEX(BookTitle,2261)="","",INDEX(BookDivision,2261))</f>
        <v/>
      </c>
      <c r="D2266" s="40" t="str">
        <f aca="false">IF(INDEX(BookTitle,2261)="","",INDEX(BookUnit,2261))</f>
        <v/>
      </c>
      <c r="E2266" s="40" t="str">
        <f aca="false">IF(INDEX(BookTitle,2261)="","",INDEX(BookTitle,2261))</f>
        <v/>
      </c>
      <c r="F2266" s="40" t="str">
        <f aca="false">IF(INDEX(BookTitle,2261)="","",INDEX(BookLevel,2261))</f>
        <v/>
      </c>
      <c r="G2266" s="40" t="str">
        <f aca="false">IF(INDEX(BookTitle,2261)="","",INDEX(BookCategory,2261))</f>
        <v/>
      </c>
      <c r="H2266" s="40" t="str">
        <f aca="false">IF(INDEX(BookTitle,2261)="","",INDEX(BookRank,2261))</f>
        <v/>
      </c>
      <c r="I2266" s="41" t="str">
        <f aca="false">IF(INDEX(BookTitle,2261)="","",INDEX(BookTotal,2261))</f>
        <v/>
      </c>
      <c r="J2266" s="0" t="str">
        <f aca="false">IF($I2266="","",IF(INDEX(BookQ1,2261)&gt;0,"Q1",IF(INDEX(BookQ2,2261)&gt;0,"Q2",IF(INDEX(BookQ3,2261)&gt;0,"Q3",IF(INDEX(BookQ4,2261)&gt;0,"Q4","")))))</f>
        <v/>
      </c>
      <c r="K2266" s="42" t="str">
        <f aca="false">IF(INDEX(BookTitle,2261)="","",INDEX(BookInYear,2261))</f>
        <v/>
      </c>
      <c r="L2266" s="19"/>
      <c r="M2266" s="39"/>
      <c r="N2266" s="19"/>
      <c r="O2266" s="19"/>
      <c r="P2266" s="43" t="str">
        <f aca="false">IF($E2266="","",IF($L2266="Decline",0,IF($L2266="Approve fewer",IF($M2266="","",$M2266),IF($L2266="","",$I2266))))</f>
        <v/>
      </c>
      <c r="Q2266" s="34" t="str">
        <f aca="false">IF($P2266="","",IF($N2266&lt;&gt;"",$N2266,$J2266))</f>
        <v/>
      </c>
      <c r="R2266" s="35" t="str">
        <f aca="false">IF(OR($P2266="",$Q2266=""),"",INDEX(BookRate,2261)*$P2266*(5-MATCH($Q2266,{"Q1";"Q2";"Q3";"Q4"},0))/4+INDEX(BookOneOff,2261)*$P2266)</f>
        <v/>
      </c>
      <c r="S2266" s="35" t="str">
        <f aca="false">IF($P2266="","",INDEX(BookRate,2261)*$P2266)</f>
        <v/>
      </c>
      <c r="T2266" s="35" t="str">
        <f aca="false">IF($R2266="","",$R2266-$K2266)</f>
        <v/>
      </c>
      <c r="U2266" s="35" t="str">
        <f aca="false">IF(N($P2266)&lt;=0,"",COUNTIF($P$6:$P2266,"&gt;0"))</f>
        <v/>
      </c>
    </row>
    <row r="2267" customFormat="false" ht="15" hidden="false" customHeight="false" outlineLevel="0" collapsed="false">
      <c r="A2267" s="40" t="str">
        <f aca="false">IF(INDEX(BookTitle,2262)="","",INDEX(BookGroup,2262))</f>
        <v/>
      </c>
      <c r="B2267" s="40" t="str">
        <f aca="false">IF(INDEX(BookTitle,2262)="","",INDEX(BookRef,2262))</f>
        <v/>
      </c>
      <c r="C2267" s="40" t="str">
        <f aca="false">IF(INDEX(BookTitle,2262)="","",INDEX(BookDivision,2262))</f>
        <v/>
      </c>
      <c r="D2267" s="40" t="str">
        <f aca="false">IF(INDEX(BookTitle,2262)="","",INDEX(BookUnit,2262))</f>
        <v/>
      </c>
      <c r="E2267" s="40" t="str">
        <f aca="false">IF(INDEX(BookTitle,2262)="","",INDEX(BookTitle,2262))</f>
        <v/>
      </c>
      <c r="F2267" s="40" t="str">
        <f aca="false">IF(INDEX(BookTitle,2262)="","",INDEX(BookLevel,2262))</f>
        <v/>
      </c>
      <c r="G2267" s="40" t="str">
        <f aca="false">IF(INDEX(BookTitle,2262)="","",INDEX(BookCategory,2262))</f>
        <v/>
      </c>
      <c r="H2267" s="40" t="str">
        <f aca="false">IF(INDEX(BookTitle,2262)="","",INDEX(BookRank,2262))</f>
        <v/>
      </c>
      <c r="I2267" s="41" t="str">
        <f aca="false">IF(INDEX(BookTitle,2262)="","",INDEX(BookTotal,2262))</f>
        <v/>
      </c>
      <c r="J2267" s="0" t="str">
        <f aca="false">IF($I2267="","",IF(INDEX(BookQ1,2262)&gt;0,"Q1",IF(INDEX(BookQ2,2262)&gt;0,"Q2",IF(INDEX(BookQ3,2262)&gt;0,"Q3",IF(INDEX(BookQ4,2262)&gt;0,"Q4","")))))</f>
        <v/>
      </c>
      <c r="K2267" s="42" t="str">
        <f aca="false">IF(INDEX(BookTitle,2262)="","",INDEX(BookInYear,2262))</f>
        <v/>
      </c>
      <c r="L2267" s="19"/>
      <c r="M2267" s="39"/>
      <c r="N2267" s="19"/>
      <c r="O2267" s="19"/>
      <c r="P2267" s="43" t="str">
        <f aca="false">IF($E2267="","",IF($L2267="Decline",0,IF($L2267="Approve fewer",IF($M2267="","",$M2267),IF($L2267="","",$I2267))))</f>
        <v/>
      </c>
      <c r="Q2267" s="34" t="str">
        <f aca="false">IF($P2267="","",IF($N2267&lt;&gt;"",$N2267,$J2267))</f>
        <v/>
      </c>
      <c r="R2267" s="35" t="str">
        <f aca="false">IF(OR($P2267="",$Q2267=""),"",INDEX(BookRate,2262)*$P2267*(5-MATCH($Q2267,{"Q1";"Q2";"Q3";"Q4"},0))/4+INDEX(BookOneOff,2262)*$P2267)</f>
        <v/>
      </c>
      <c r="S2267" s="35" t="str">
        <f aca="false">IF($P2267="","",INDEX(BookRate,2262)*$P2267)</f>
        <v/>
      </c>
      <c r="T2267" s="35" t="str">
        <f aca="false">IF($R2267="","",$R2267-$K2267)</f>
        <v/>
      </c>
      <c r="U2267" s="35" t="str">
        <f aca="false">IF(N($P2267)&lt;=0,"",COUNTIF($P$6:$P2267,"&gt;0"))</f>
        <v/>
      </c>
    </row>
    <row r="2268" customFormat="false" ht="15" hidden="false" customHeight="false" outlineLevel="0" collapsed="false">
      <c r="A2268" s="40" t="str">
        <f aca="false">IF(INDEX(BookTitle,2263)="","",INDEX(BookGroup,2263))</f>
        <v/>
      </c>
      <c r="B2268" s="40" t="str">
        <f aca="false">IF(INDEX(BookTitle,2263)="","",INDEX(BookRef,2263))</f>
        <v/>
      </c>
      <c r="C2268" s="40" t="str">
        <f aca="false">IF(INDEX(BookTitle,2263)="","",INDEX(BookDivision,2263))</f>
        <v/>
      </c>
      <c r="D2268" s="40" t="str">
        <f aca="false">IF(INDEX(BookTitle,2263)="","",INDEX(BookUnit,2263))</f>
        <v/>
      </c>
      <c r="E2268" s="40" t="str">
        <f aca="false">IF(INDEX(BookTitle,2263)="","",INDEX(BookTitle,2263))</f>
        <v/>
      </c>
      <c r="F2268" s="40" t="str">
        <f aca="false">IF(INDEX(BookTitle,2263)="","",INDEX(BookLevel,2263))</f>
        <v/>
      </c>
      <c r="G2268" s="40" t="str">
        <f aca="false">IF(INDEX(BookTitle,2263)="","",INDEX(BookCategory,2263))</f>
        <v/>
      </c>
      <c r="H2268" s="40" t="str">
        <f aca="false">IF(INDEX(BookTitle,2263)="","",INDEX(BookRank,2263))</f>
        <v/>
      </c>
      <c r="I2268" s="41" t="str">
        <f aca="false">IF(INDEX(BookTitle,2263)="","",INDEX(BookTotal,2263))</f>
        <v/>
      </c>
      <c r="J2268" s="0" t="str">
        <f aca="false">IF($I2268="","",IF(INDEX(BookQ1,2263)&gt;0,"Q1",IF(INDEX(BookQ2,2263)&gt;0,"Q2",IF(INDEX(BookQ3,2263)&gt;0,"Q3",IF(INDEX(BookQ4,2263)&gt;0,"Q4","")))))</f>
        <v/>
      </c>
      <c r="K2268" s="42" t="str">
        <f aca="false">IF(INDEX(BookTitle,2263)="","",INDEX(BookInYear,2263))</f>
        <v/>
      </c>
      <c r="L2268" s="19"/>
      <c r="M2268" s="39"/>
      <c r="N2268" s="19"/>
      <c r="O2268" s="19"/>
      <c r="P2268" s="43" t="str">
        <f aca="false">IF($E2268="","",IF($L2268="Decline",0,IF($L2268="Approve fewer",IF($M2268="","",$M2268),IF($L2268="","",$I2268))))</f>
        <v/>
      </c>
      <c r="Q2268" s="34" t="str">
        <f aca="false">IF($P2268="","",IF($N2268&lt;&gt;"",$N2268,$J2268))</f>
        <v/>
      </c>
      <c r="R2268" s="35" t="str">
        <f aca="false">IF(OR($P2268="",$Q2268=""),"",INDEX(BookRate,2263)*$P2268*(5-MATCH($Q2268,{"Q1";"Q2";"Q3";"Q4"},0))/4+INDEX(BookOneOff,2263)*$P2268)</f>
        <v/>
      </c>
      <c r="S2268" s="35" t="str">
        <f aca="false">IF($P2268="","",INDEX(BookRate,2263)*$P2268)</f>
        <v/>
      </c>
      <c r="T2268" s="35" t="str">
        <f aca="false">IF($R2268="","",$R2268-$K2268)</f>
        <v/>
      </c>
      <c r="U2268" s="35" t="str">
        <f aca="false">IF(N($P2268)&lt;=0,"",COUNTIF($P$6:$P2268,"&gt;0"))</f>
        <v/>
      </c>
    </row>
    <row r="2269" customFormat="false" ht="15" hidden="false" customHeight="false" outlineLevel="0" collapsed="false">
      <c r="A2269" s="40" t="str">
        <f aca="false">IF(INDEX(BookTitle,2264)="","",INDEX(BookGroup,2264))</f>
        <v/>
      </c>
      <c r="B2269" s="40" t="str">
        <f aca="false">IF(INDEX(BookTitle,2264)="","",INDEX(BookRef,2264))</f>
        <v/>
      </c>
      <c r="C2269" s="40" t="str">
        <f aca="false">IF(INDEX(BookTitle,2264)="","",INDEX(BookDivision,2264))</f>
        <v/>
      </c>
      <c r="D2269" s="40" t="str">
        <f aca="false">IF(INDEX(BookTitle,2264)="","",INDEX(BookUnit,2264))</f>
        <v/>
      </c>
      <c r="E2269" s="40" t="str">
        <f aca="false">IF(INDEX(BookTitle,2264)="","",INDEX(BookTitle,2264))</f>
        <v/>
      </c>
      <c r="F2269" s="40" t="str">
        <f aca="false">IF(INDEX(BookTitle,2264)="","",INDEX(BookLevel,2264))</f>
        <v/>
      </c>
      <c r="G2269" s="40" t="str">
        <f aca="false">IF(INDEX(BookTitle,2264)="","",INDEX(BookCategory,2264))</f>
        <v/>
      </c>
      <c r="H2269" s="40" t="str">
        <f aca="false">IF(INDEX(BookTitle,2264)="","",INDEX(BookRank,2264))</f>
        <v/>
      </c>
      <c r="I2269" s="41" t="str">
        <f aca="false">IF(INDEX(BookTitle,2264)="","",INDEX(BookTotal,2264))</f>
        <v/>
      </c>
      <c r="J2269" s="0" t="str">
        <f aca="false">IF($I2269="","",IF(INDEX(BookQ1,2264)&gt;0,"Q1",IF(INDEX(BookQ2,2264)&gt;0,"Q2",IF(INDEX(BookQ3,2264)&gt;0,"Q3",IF(INDEX(BookQ4,2264)&gt;0,"Q4","")))))</f>
        <v/>
      </c>
      <c r="K2269" s="42" t="str">
        <f aca="false">IF(INDEX(BookTitle,2264)="","",INDEX(BookInYear,2264))</f>
        <v/>
      </c>
      <c r="L2269" s="19"/>
      <c r="M2269" s="39"/>
      <c r="N2269" s="19"/>
      <c r="O2269" s="19"/>
      <c r="P2269" s="43" t="str">
        <f aca="false">IF($E2269="","",IF($L2269="Decline",0,IF($L2269="Approve fewer",IF($M2269="","",$M2269),IF($L2269="","",$I2269))))</f>
        <v/>
      </c>
      <c r="Q2269" s="34" t="str">
        <f aca="false">IF($P2269="","",IF($N2269&lt;&gt;"",$N2269,$J2269))</f>
        <v/>
      </c>
      <c r="R2269" s="35" t="str">
        <f aca="false">IF(OR($P2269="",$Q2269=""),"",INDEX(BookRate,2264)*$P2269*(5-MATCH($Q2269,{"Q1";"Q2";"Q3";"Q4"},0))/4+INDEX(BookOneOff,2264)*$P2269)</f>
        <v/>
      </c>
      <c r="S2269" s="35" t="str">
        <f aca="false">IF($P2269="","",INDEX(BookRate,2264)*$P2269)</f>
        <v/>
      </c>
      <c r="T2269" s="35" t="str">
        <f aca="false">IF($R2269="","",$R2269-$K2269)</f>
        <v/>
      </c>
      <c r="U2269" s="35" t="str">
        <f aca="false">IF(N($P2269)&lt;=0,"",COUNTIF($P$6:$P2269,"&gt;0"))</f>
        <v/>
      </c>
    </row>
    <row r="2270" customFormat="false" ht="15" hidden="false" customHeight="false" outlineLevel="0" collapsed="false">
      <c r="A2270" s="40" t="str">
        <f aca="false">IF(INDEX(BookTitle,2265)="","",INDEX(BookGroup,2265))</f>
        <v/>
      </c>
      <c r="B2270" s="40" t="str">
        <f aca="false">IF(INDEX(BookTitle,2265)="","",INDEX(BookRef,2265))</f>
        <v/>
      </c>
      <c r="C2270" s="40" t="str">
        <f aca="false">IF(INDEX(BookTitle,2265)="","",INDEX(BookDivision,2265))</f>
        <v/>
      </c>
      <c r="D2270" s="40" t="str">
        <f aca="false">IF(INDEX(BookTitle,2265)="","",INDEX(BookUnit,2265))</f>
        <v/>
      </c>
      <c r="E2270" s="40" t="str">
        <f aca="false">IF(INDEX(BookTitle,2265)="","",INDEX(BookTitle,2265))</f>
        <v/>
      </c>
      <c r="F2270" s="40" t="str">
        <f aca="false">IF(INDEX(BookTitle,2265)="","",INDEX(BookLevel,2265))</f>
        <v/>
      </c>
      <c r="G2270" s="40" t="str">
        <f aca="false">IF(INDEX(BookTitle,2265)="","",INDEX(BookCategory,2265))</f>
        <v/>
      </c>
      <c r="H2270" s="40" t="str">
        <f aca="false">IF(INDEX(BookTitle,2265)="","",INDEX(BookRank,2265))</f>
        <v/>
      </c>
      <c r="I2270" s="41" t="str">
        <f aca="false">IF(INDEX(BookTitle,2265)="","",INDEX(BookTotal,2265))</f>
        <v/>
      </c>
      <c r="J2270" s="0" t="str">
        <f aca="false">IF($I2270="","",IF(INDEX(BookQ1,2265)&gt;0,"Q1",IF(INDEX(BookQ2,2265)&gt;0,"Q2",IF(INDEX(BookQ3,2265)&gt;0,"Q3",IF(INDEX(BookQ4,2265)&gt;0,"Q4","")))))</f>
        <v/>
      </c>
      <c r="K2270" s="42" t="str">
        <f aca="false">IF(INDEX(BookTitle,2265)="","",INDEX(BookInYear,2265))</f>
        <v/>
      </c>
      <c r="L2270" s="19"/>
      <c r="M2270" s="39"/>
      <c r="N2270" s="19"/>
      <c r="O2270" s="19"/>
      <c r="P2270" s="43" t="str">
        <f aca="false">IF($E2270="","",IF($L2270="Decline",0,IF($L2270="Approve fewer",IF($M2270="","",$M2270),IF($L2270="","",$I2270))))</f>
        <v/>
      </c>
      <c r="Q2270" s="34" t="str">
        <f aca="false">IF($P2270="","",IF($N2270&lt;&gt;"",$N2270,$J2270))</f>
        <v/>
      </c>
      <c r="R2270" s="35" t="str">
        <f aca="false">IF(OR($P2270="",$Q2270=""),"",INDEX(BookRate,2265)*$P2270*(5-MATCH($Q2270,{"Q1";"Q2";"Q3";"Q4"},0))/4+INDEX(BookOneOff,2265)*$P2270)</f>
        <v/>
      </c>
      <c r="S2270" s="35" t="str">
        <f aca="false">IF($P2270="","",INDEX(BookRate,2265)*$P2270)</f>
        <v/>
      </c>
      <c r="T2270" s="35" t="str">
        <f aca="false">IF($R2270="","",$R2270-$K2270)</f>
        <v/>
      </c>
      <c r="U2270" s="35" t="str">
        <f aca="false">IF(N($P2270)&lt;=0,"",COUNTIF($P$6:$P2270,"&gt;0"))</f>
        <v/>
      </c>
    </row>
    <row r="2271" customFormat="false" ht="15" hidden="false" customHeight="false" outlineLevel="0" collapsed="false">
      <c r="A2271" s="40" t="str">
        <f aca="false">IF(INDEX(BookTitle,2266)="","",INDEX(BookGroup,2266))</f>
        <v/>
      </c>
      <c r="B2271" s="40" t="str">
        <f aca="false">IF(INDEX(BookTitle,2266)="","",INDEX(BookRef,2266))</f>
        <v/>
      </c>
      <c r="C2271" s="40" t="str">
        <f aca="false">IF(INDEX(BookTitle,2266)="","",INDEX(BookDivision,2266))</f>
        <v/>
      </c>
      <c r="D2271" s="40" t="str">
        <f aca="false">IF(INDEX(BookTitle,2266)="","",INDEX(BookUnit,2266))</f>
        <v/>
      </c>
      <c r="E2271" s="40" t="str">
        <f aca="false">IF(INDEX(BookTitle,2266)="","",INDEX(BookTitle,2266))</f>
        <v/>
      </c>
      <c r="F2271" s="40" t="str">
        <f aca="false">IF(INDEX(BookTitle,2266)="","",INDEX(BookLevel,2266))</f>
        <v/>
      </c>
      <c r="G2271" s="40" t="str">
        <f aca="false">IF(INDEX(BookTitle,2266)="","",INDEX(BookCategory,2266))</f>
        <v/>
      </c>
      <c r="H2271" s="40" t="str">
        <f aca="false">IF(INDEX(BookTitle,2266)="","",INDEX(BookRank,2266))</f>
        <v/>
      </c>
      <c r="I2271" s="41" t="str">
        <f aca="false">IF(INDEX(BookTitle,2266)="","",INDEX(BookTotal,2266))</f>
        <v/>
      </c>
      <c r="J2271" s="0" t="str">
        <f aca="false">IF($I2271="","",IF(INDEX(BookQ1,2266)&gt;0,"Q1",IF(INDEX(BookQ2,2266)&gt;0,"Q2",IF(INDEX(BookQ3,2266)&gt;0,"Q3",IF(INDEX(BookQ4,2266)&gt;0,"Q4","")))))</f>
        <v/>
      </c>
      <c r="K2271" s="42" t="str">
        <f aca="false">IF(INDEX(BookTitle,2266)="","",INDEX(BookInYear,2266))</f>
        <v/>
      </c>
      <c r="L2271" s="19"/>
      <c r="M2271" s="39"/>
      <c r="N2271" s="19"/>
      <c r="O2271" s="19"/>
      <c r="P2271" s="43" t="str">
        <f aca="false">IF($E2271="","",IF($L2271="Decline",0,IF($L2271="Approve fewer",IF($M2271="","",$M2271),IF($L2271="","",$I2271))))</f>
        <v/>
      </c>
      <c r="Q2271" s="34" t="str">
        <f aca="false">IF($P2271="","",IF($N2271&lt;&gt;"",$N2271,$J2271))</f>
        <v/>
      </c>
      <c r="R2271" s="35" t="str">
        <f aca="false">IF(OR($P2271="",$Q2271=""),"",INDEX(BookRate,2266)*$P2271*(5-MATCH($Q2271,{"Q1";"Q2";"Q3";"Q4"},0))/4+INDEX(BookOneOff,2266)*$P2271)</f>
        <v/>
      </c>
      <c r="S2271" s="35" t="str">
        <f aca="false">IF($P2271="","",INDEX(BookRate,2266)*$P2271)</f>
        <v/>
      </c>
      <c r="T2271" s="35" t="str">
        <f aca="false">IF($R2271="","",$R2271-$K2271)</f>
        <v/>
      </c>
      <c r="U2271" s="35" t="str">
        <f aca="false">IF(N($P2271)&lt;=0,"",COUNTIF($P$6:$P2271,"&gt;0"))</f>
        <v/>
      </c>
    </row>
    <row r="2272" customFormat="false" ht="15" hidden="false" customHeight="false" outlineLevel="0" collapsed="false">
      <c r="A2272" s="40" t="str">
        <f aca="false">IF(INDEX(BookTitle,2267)="","",INDEX(BookGroup,2267))</f>
        <v/>
      </c>
      <c r="B2272" s="40" t="str">
        <f aca="false">IF(INDEX(BookTitle,2267)="","",INDEX(BookRef,2267))</f>
        <v/>
      </c>
      <c r="C2272" s="40" t="str">
        <f aca="false">IF(INDEX(BookTitle,2267)="","",INDEX(BookDivision,2267))</f>
        <v/>
      </c>
      <c r="D2272" s="40" t="str">
        <f aca="false">IF(INDEX(BookTitle,2267)="","",INDEX(BookUnit,2267))</f>
        <v/>
      </c>
      <c r="E2272" s="40" t="str">
        <f aca="false">IF(INDEX(BookTitle,2267)="","",INDEX(BookTitle,2267))</f>
        <v/>
      </c>
      <c r="F2272" s="40" t="str">
        <f aca="false">IF(INDEX(BookTitle,2267)="","",INDEX(BookLevel,2267))</f>
        <v/>
      </c>
      <c r="G2272" s="40" t="str">
        <f aca="false">IF(INDEX(BookTitle,2267)="","",INDEX(BookCategory,2267))</f>
        <v/>
      </c>
      <c r="H2272" s="40" t="str">
        <f aca="false">IF(INDEX(BookTitle,2267)="","",INDEX(BookRank,2267))</f>
        <v/>
      </c>
      <c r="I2272" s="41" t="str">
        <f aca="false">IF(INDEX(BookTitle,2267)="","",INDEX(BookTotal,2267))</f>
        <v/>
      </c>
      <c r="J2272" s="0" t="str">
        <f aca="false">IF($I2272="","",IF(INDEX(BookQ1,2267)&gt;0,"Q1",IF(INDEX(BookQ2,2267)&gt;0,"Q2",IF(INDEX(BookQ3,2267)&gt;0,"Q3",IF(INDEX(BookQ4,2267)&gt;0,"Q4","")))))</f>
        <v/>
      </c>
      <c r="K2272" s="42" t="str">
        <f aca="false">IF(INDEX(BookTitle,2267)="","",INDEX(BookInYear,2267))</f>
        <v/>
      </c>
      <c r="L2272" s="19"/>
      <c r="M2272" s="39"/>
      <c r="N2272" s="19"/>
      <c r="O2272" s="19"/>
      <c r="P2272" s="43" t="str">
        <f aca="false">IF($E2272="","",IF($L2272="Decline",0,IF($L2272="Approve fewer",IF($M2272="","",$M2272),IF($L2272="","",$I2272))))</f>
        <v/>
      </c>
      <c r="Q2272" s="34" t="str">
        <f aca="false">IF($P2272="","",IF($N2272&lt;&gt;"",$N2272,$J2272))</f>
        <v/>
      </c>
      <c r="R2272" s="35" t="str">
        <f aca="false">IF(OR($P2272="",$Q2272=""),"",INDEX(BookRate,2267)*$P2272*(5-MATCH($Q2272,{"Q1";"Q2";"Q3";"Q4"},0))/4+INDEX(BookOneOff,2267)*$P2272)</f>
        <v/>
      </c>
      <c r="S2272" s="35" t="str">
        <f aca="false">IF($P2272="","",INDEX(BookRate,2267)*$P2272)</f>
        <v/>
      </c>
      <c r="T2272" s="35" t="str">
        <f aca="false">IF($R2272="","",$R2272-$K2272)</f>
        <v/>
      </c>
      <c r="U2272" s="35" t="str">
        <f aca="false">IF(N($P2272)&lt;=0,"",COUNTIF($P$6:$P2272,"&gt;0"))</f>
        <v/>
      </c>
    </row>
    <row r="2273" customFormat="false" ht="15" hidden="false" customHeight="false" outlineLevel="0" collapsed="false">
      <c r="A2273" s="40" t="str">
        <f aca="false">IF(INDEX(BookTitle,2268)="","",INDEX(BookGroup,2268))</f>
        <v/>
      </c>
      <c r="B2273" s="40" t="str">
        <f aca="false">IF(INDEX(BookTitle,2268)="","",INDEX(BookRef,2268))</f>
        <v/>
      </c>
      <c r="C2273" s="40" t="str">
        <f aca="false">IF(INDEX(BookTitle,2268)="","",INDEX(BookDivision,2268))</f>
        <v/>
      </c>
      <c r="D2273" s="40" t="str">
        <f aca="false">IF(INDEX(BookTitle,2268)="","",INDEX(BookUnit,2268))</f>
        <v/>
      </c>
      <c r="E2273" s="40" t="str">
        <f aca="false">IF(INDEX(BookTitle,2268)="","",INDEX(BookTitle,2268))</f>
        <v/>
      </c>
      <c r="F2273" s="40" t="str">
        <f aca="false">IF(INDEX(BookTitle,2268)="","",INDEX(BookLevel,2268))</f>
        <v/>
      </c>
      <c r="G2273" s="40" t="str">
        <f aca="false">IF(INDEX(BookTitle,2268)="","",INDEX(BookCategory,2268))</f>
        <v/>
      </c>
      <c r="H2273" s="40" t="str">
        <f aca="false">IF(INDEX(BookTitle,2268)="","",INDEX(BookRank,2268))</f>
        <v/>
      </c>
      <c r="I2273" s="41" t="str">
        <f aca="false">IF(INDEX(BookTitle,2268)="","",INDEX(BookTotal,2268))</f>
        <v/>
      </c>
      <c r="J2273" s="0" t="str">
        <f aca="false">IF($I2273="","",IF(INDEX(BookQ1,2268)&gt;0,"Q1",IF(INDEX(BookQ2,2268)&gt;0,"Q2",IF(INDEX(BookQ3,2268)&gt;0,"Q3",IF(INDEX(BookQ4,2268)&gt;0,"Q4","")))))</f>
        <v/>
      </c>
      <c r="K2273" s="42" t="str">
        <f aca="false">IF(INDEX(BookTitle,2268)="","",INDEX(BookInYear,2268))</f>
        <v/>
      </c>
      <c r="L2273" s="19"/>
      <c r="M2273" s="39"/>
      <c r="N2273" s="19"/>
      <c r="O2273" s="19"/>
      <c r="P2273" s="43" t="str">
        <f aca="false">IF($E2273="","",IF($L2273="Decline",0,IF($L2273="Approve fewer",IF($M2273="","",$M2273),IF($L2273="","",$I2273))))</f>
        <v/>
      </c>
      <c r="Q2273" s="34" t="str">
        <f aca="false">IF($P2273="","",IF($N2273&lt;&gt;"",$N2273,$J2273))</f>
        <v/>
      </c>
      <c r="R2273" s="35" t="str">
        <f aca="false">IF(OR($P2273="",$Q2273=""),"",INDEX(BookRate,2268)*$P2273*(5-MATCH($Q2273,{"Q1";"Q2";"Q3";"Q4"},0))/4+INDEX(BookOneOff,2268)*$P2273)</f>
        <v/>
      </c>
      <c r="S2273" s="35" t="str">
        <f aca="false">IF($P2273="","",INDEX(BookRate,2268)*$P2273)</f>
        <v/>
      </c>
      <c r="T2273" s="35" t="str">
        <f aca="false">IF($R2273="","",$R2273-$K2273)</f>
        <v/>
      </c>
      <c r="U2273" s="35" t="str">
        <f aca="false">IF(N($P2273)&lt;=0,"",COUNTIF($P$6:$P2273,"&gt;0"))</f>
        <v/>
      </c>
    </row>
    <row r="2274" customFormat="false" ht="15" hidden="false" customHeight="false" outlineLevel="0" collapsed="false">
      <c r="A2274" s="40" t="str">
        <f aca="false">IF(INDEX(BookTitle,2269)="","",INDEX(BookGroup,2269))</f>
        <v/>
      </c>
      <c r="B2274" s="40" t="str">
        <f aca="false">IF(INDEX(BookTitle,2269)="","",INDEX(BookRef,2269))</f>
        <v/>
      </c>
      <c r="C2274" s="40" t="str">
        <f aca="false">IF(INDEX(BookTitle,2269)="","",INDEX(BookDivision,2269))</f>
        <v/>
      </c>
      <c r="D2274" s="40" t="str">
        <f aca="false">IF(INDEX(BookTitle,2269)="","",INDEX(BookUnit,2269))</f>
        <v/>
      </c>
      <c r="E2274" s="40" t="str">
        <f aca="false">IF(INDEX(BookTitle,2269)="","",INDEX(BookTitle,2269))</f>
        <v/>
      </c>
      <c r="F2274" s="40" t="str">
        <f aca="false">IF(INDEX(BookTitle,2269)="","",INDEX(BookLevel,2269))</f>
        <v/>
      </c>
      <c r="G2274" s="40" t="str">
        <f aca="false">IF(INDEX(BookTitle,2269)="","",INDEX(BookCategory,2269))</f>
        <v/>
      </c>
      <c r="H2274" s="40" t="str">
        <f aca="false">IF(INDEX(BookTitle,2269)="","",INDEX(BookRank,2269))</f>
        <v/>
      </c>
      <c r="I2274" s="41" t="str">
        <f aca="false">IF(INDEX(BookTitle,2269)="","",INDEX(BookTotal,2269))</f>
        <v/>
      </c>
      <c r="J2274" s="0" t="str">
        <f aca="false">IF($I2274="","",IF(INDEX(BookQ1,2269)&gt;0,"Q1",IF(INDEX(BookQ2,2269)&gt;0,"Q2",IF(INDEX(BookQ3,2269)&gt;0,"Q3",IF(INDEX(BookQ4,2269)&gt;0,"Q4","")))))</f>
        <v/>
      </c>
      <c r="K2274" s="42" t="str">
        <f aca="false">IF(INDEX(BookTitle,2269)="","",INDEX(BookInYear,2269))</f>
        <v/>
      </c>
      <c r="L2274" s="19"/>
      <c r="M2274" s="39"/>
      <c r="N2274" s="19"/>
      <c r="O2274" s="19"/>
      <c r="P2274" s="43" t="str">
        <f aca="false">IF($E2274="","",IF($L2274="Decline",0,IF($L2274="Approve fewer",IF($M2274="","",$M2274),IF($L2274="","",$I2274))))</f>
        <v/>
      </c>
      <c r="Q2274" s="34" t="str">
        <f aca="false">IF($P2274="","",IF($N2274&lt;&gt;"",$N2274,$J2274))</f>
        <v/>
      </c>
      <c r="R2274" s="35" t="str">
        <f aca="false">IF(OR($P2274="",$Q2274=""),"",INDEX(BookRate,2269)*$P2274*(5-MATCH($Q2274,{"Q1";"Q2";"Q3";"Q4"},0))/4+INDEX(BookOneOff,2269)*$P2274)</f>
        <v/>
      </c>
      <c r="S2274" s="35" t="str">
        <f aca="false">IF($P2274="","",INDEX(BookRate,2269)*$P2274)</f>
        <v/>
      </c>
      <c r="T2274" s="35" t="str">
        <f aca="false">IF($R2274="","",$R2274-$K2274)</f>
        <v/>
      </c>
      <c r="U2274" s="35" t="str">
        <f aca="false">IF(N($P2274)&lt;=0,"",COUNTIF($P$6:$P2274,"&gt;0"))</f>
        <v/>
      </c>
    </row>
    <row r="2275" customFormat="false" ht="15" hidden="false" customHeight="false" outlineLevel="0" collapsed="false">
      <c r="A2275" s="40" t="str">
        <f aca="false">IF(INDEX(BookTitle,2270)="","",INDEX(BookGroup,2270))</f>
        <v/>
      </c>
      <c r="B2275" s="40" t="str">
        <f aca="false">IF(INDEX(BookTitle,2270)="","",INDEX(BookRef,2270))</f>
        <v/>
      </c>
      <c r="C2275" s="40" t="str">
        <f aca="false">IF(INDEX(BookTitle,2270)="","",INDEX(BookDivision,2270))</f>
        <v/>
      </c>
      <c r="D2275" s="40" t="str">
        <f aca="false">IF(INDEX(BookTitle,2270)="","",INDEX(BookUnit,2270))</f>
        <v/>
      </c>
      <c r="E2275" s="40" t="str">
        <f aca="false">IF(INDEX(BookTitle,2270)="","",INDEX(BookTitle,2270))</f>
        <v/>
      </c>
      <c r="F2275" s="40" t="str">
        <f aca="false">IF(INDEX(BookTitle,2270)="","",INDEX(BookLevel,2270))</f>
        <v/>
      </c>
      <c r="G2275" s="40" t="str">
        <f aca="false">IF(INDEX(BookTitle,2270)="","",INDEX(BookCategory,2270))</f>
        <v/>
      </c>
      <c r="H2275" s="40" t="str">
        <f aca="false">IF(INDEX(BookTitle,2270)="","",INDEX(BookRank,2270))</f>
        <v/>
      </c>
      <c r="I2275" s="41" t="str">
        <f aca="false">IF(INDEX(BookTitle,2270)="","",INDEX(BookTotal,2270))</f>
        <v/>
      </c>
      <c r="J2275" s="0" t="str">
        <f aca="false">IF($I2275="","",IF(INDEX(BookQ1,2270)&gt;0,"Q1",IF(INDEX(BookQ2,2270)&gt;0,"Q2",IF(INDEX(BookQ3,2270)&gt;0,"Q3",IF(INDEX(BookQ4,2270)&gt;0,"Q4","")))))</f>
        <v/>
      </c>
      <c r="K2275" s="42" t="str">
        <f aca="false">IF(INDEX(BookTitle,2270)="","",INDEX(BookInYear,2270))</f>
        <v/>
      </c>
      <c r="L2275" s="19"/>
      <c r="M2275" s="39"/>
      <c r="N2275" s="19"/>
      <c r="O2275" s="19"/>
      <c r="P2275" s="43" t="str">
        <f aca="false">IF($E2275="","",IF($L2275="Decline",0,IF($L2275="Approve fewer",IF($M2275="","",$M2275),IF($L2275="","",$I2275))))</f>
        <v/>
      </c>
      <c r="Q2275" s="34" t="str">
        <f aca="false">IF($P2275="","",IF($N2275&lt;&gt;"",$N2275,$J2275))</f>
        <v/>
      </c>
      <c r="R2275" s="35" t="str">
        <f aca="false">IF(OR($P2275="",$Q2275=""),"",INDEX(BookRate,2270)*$P2275*(5-MATCH($Q2275,{"Q1";"Q2";"Q3";"Q4"},0))/4+INDEX(BookOneOff,2270)*$P2275)</f>
        <v/>
      </c>
      <c r="S2275" s="35" t="str">
        <f aca="false">IF($P2275="","",INDEX(BookRate,2270)*$P2275)</f>
        <v/>
      </c>
      <c r="T2275" s="35" t="str">
        <f aca="false">IF($R2275="","",$R2275-$K2275)</f>
        <v/>
      </c>
      <c r="U2275" s="35" t="str">
        <f aca="false">IF(N($P2275)&lt;=0,"",COUNTIF($P$6:$P2275,"&gt;0"))</f>
        <v/>
      </c>
    </row>
    <row r="2276" customFormat="false" ht="15" hidden="false" customHeight="false" outlineLevel="0" collapsed="false">
      <c r="A2276" s="40" t="str">
        <f aca="false">IF(INDEX(BookTitle,2271)="","",INDEX(BookGroup,2271))</f>
        <v/>
      </c>
      <c r="B2276" s="40" t="str">
        <f aca="false">IF(INDEX(BookTitle,2271)="","",INDEX(BookRef,2271))</f>
        <v/>
      </c>
      <c r="C2276" s="40" t="str">
        <f aca="false">IF(INDEX(BookTitle,2271)="","",INDEX(BookDivision,2271))</f>
        <v/>
      </c>
      <c r="D2276" s="40" t="str">
        <f aca="false">IF(INDEX(BookTitle,2271)="","",INDEX(BookUnit,2271))</f>
        <v/>
      </c>
      <c r="E2276" s="40" t="str">
        <f aca="false">IF(INDEX(BookTitle,2271)="","",INDEX(BookTitle,2271))</f>
        <v/>
      </c>
      <c r="F2276" s="40" t="str">
        <f aca="false">IF(INDEX(BookTitle,2271)="","",INDEX(BookLevel,2271))</f>
        <v/>
      </c>
      <c r="G2276" s="40" t="str">
        <f aca="false">IF(INDEX(BookTitle,2271)="","",INDEX(BookCategory,2271))</f>
        <v/>
      </c>
      <c r="H2276" s="40" t="str">
        <f aca="false">IF(INDEX(BookTitle,2271)="","",INDEX(BookRank,2271))</f>
        <v/>
      </c>
      <c r="I2276" s="41" t="str">
        <f aca="false">IF(INDEX(BookTitle,2271)="","",INDEX(BookTotal,2271))</f>
        <v/>
      </c>
      <c r="J2276" s="0" t="str">
        <f aca="false">IF($I2276="","",IF(INDEX(BookQ1,2271)&gt;0,"Q1",IF(INDEX(BookQ2,2271)&gt;0,"Q2",IF(INDEX(BookQ3,2271)&gt;0,"Q3",IF(INDEX(BookQ4,2271)&gt;0,"Q4","")))))</f>
        <v/>
      </c>
      <c r="K2276" s="42" t="str">
        <f aca="false">IF(INDEX(BookTitle,2271)="","",INDEX(BookInYear,2271))</f>
        <v/>
      </c>
      <c r="L2276" s="19"/>
      <c r="M2276" s="39"/>
      <c r="N2276" s="19"/>
      <c r="O2276" s="19"/>
      <c r="P2276" s="43" t="str">
        <f aca="false">IF($E2276="","",IF($L2276="Decline",0,IF($L2276="Approve fewer",IF($M2276="","",$M2276),IF($L2276="","",$I2276))))</f>
        <v/>
      </c>
      <c r="Q2276" s="34" t="str">
        <f aca="false">IF($P2276="","",IF($N2276&lt;&gt;"",$N2276,$J2276))</f>
        <v/>
      </c>
      <c r="R2276" s="35" t="str">
        <f aca="false">IF(OR($P2276="",$Q2276=""),"",INDEX(BookRate,2271)*$P2276*(5-MATCH($Q2276,{"Q1";"Q2";"Q3";"Q4"},0))/4+INDEX(BookOneOff,2271)*$P2276)</f>
        <v/>
      </c>
      <c r="S2276" s="35" t="str">
        <f aca="false">IF($P2276="","",INDEX(BookRate,2271)*$P2276)</f>
        <v/>
      </c>
      <c r="T2276" s="35" t="str">
        <f aca="false">IF($R2276="","",$R2276-$K2276)</f>
        <v/>
      </c>
      <c r="U2276" s="35" t="str">
        <f aca="false">IF(N($P2276)&lt;=0,"",COUNTIF($P$6:$P2276,"&gt;0"))</f>
        <v/>
      </c>
    </row>
    <row r="2277" customFormat="false" ht="15" hidden="false" customHeight="false" outlineLevel="0" collapsed="false">
      <c r="A2277" s="40" t="str">
        <f aca="false">IF(INDEX(BookTitle,2272)="","",INDEX(BookGroup,2272))</f>
        <v/>
      </c>
      <c r="B2277" s="40" t="str">
        <f aca="false">IF(INDEX(BookTitle,2272)="","",INDEX(BookRef,2272))</f>
        <v/>
      </c>
      <c r="C2277" s="40" t="str">
        <f aca="false">IF(INDEX(BookTitle,2272)="","",INDEX(BookDivision,2272))</f>
        <v/>
      </c>
      <c r="D2277" s="40" t="str">
        <f aca="false">IF(INDEX(BookTitle,2272)="","",INDEX(BookUnit,2272))</f>
        <v/>
      </c>
      <c r="E2277" s="40" t="str">
        <f aca="false">IF(INDEX(BookTitle,2272)="","",INDEX(BookTitle,2272))</f>
        <v/>
      </c>
      <c r="F2277" s="40" t="str">
        <f aca="false">IF(INDEX(BookTitle,2272)="","",INDEX(BookLevel,2272))</f>
        <v/>
      </c>
      <c r="G2277" s="40" t="str">
        <f aca="false">IF(INDEX(BookTitle,2272)="","",INDEX(BookCategory,2272))</f>
        <v/>
      </c>
      <c r="H2277" s="40" t="str">
        <f aca="false">IF(INDEX(BookTitle,2272)="","",INDEX(BookRank,2272))</f>
        <v/>
      </c>
      <c r="I2277" s="41" t="str">
        <f aca="false">IF(INDEX(BookTitle,2272)="","",INDEX(BookTotal,2272))</f>
        <v/>
      </c>
      <c r="J2277" s="0" t="str">
        <f aca="false">IF($I2277="","",IF(INDEX(BookQ1,2272)&gt;0,"Q1",IF(INDEX(BookQ2,2272)&gt;0,"Q2",IF(INDEX(BookQ3,2272)&gt;0,"Q3",IF(INDEX(BookQ4,2272)&gt;0,"Q4","")))))</f>
        <v/>
      </c>
      <c r="K2277" s="42" t="str">
        <f aca="false">IF(INDEX(BookTitle,2272)="","",INDEX(BookInYear,2272))</f>
        <v/>
      </c>
      <c r="L2277" s="19"/>
      <c r="M2277" s="39"/>
      <c r="N2277" s="19"/>
      <c r="O2277" s="19"/>
      <c r="P2277" s="43" t="str">
        <f aca="false">IF($E2277="","",IF($L2277="Decline",0,IF($L2277="Approve fewer",IF($M2277="","",$M2277),IF($L2277="","",$I2277))))</f>
        <v/>
      </c>
      <c r="Q2277" s="34" t="str">
        <f aca="false">IF($P2277="","",IF($N2277&lt;&gt;"",$N2277,$J2277))</f>
        <v/>
      </c>
      <c r="R2277" s="35" t="str">
        <f aca="false">IF(OR($P2277="",$Q2277=""),"",INDEX(BookRate,2272)*$P2277*(5-MATCH($Q2277,{"Q1";"Q2";"Q3";"Q4"},0))/4+INDEX(BookOneOff,2272)*$P2277)</f>
        <v/>
      </c>
      <c r="S2277" s="35" t="str">
        <f aca="false">IF($P2277="","",INDEX(BookRate,2272)*$P2277)</f>
        <v/>
      </c>
      <c r="T2277" s="35" t="str">
        <f aca="false">IF($R2277="","",$R2277-$K2277)</f>
        <v/>
      </c>
      <c r="U2277" s="35" t="str">
        <f aca="false">IF(N($P2277)&lt;=0,"",COUNTIF($P$6:$P2277,"&gt;0"))</f>
        <v/>
      </c>
    </row>
    <row r="2278" customFormat="false" ht="15" hidden="false" customHeight="false" outlineLevel="0" collapsed="false">
      <c r="A2278" s="40" t="str">
        <f aca="false">IF(INDEX(BookTitle,2273)="","",INDEX(BookGroup,2273))</f>
        <v/>
      </c>
      <c r="B2278" s="40" t="str">
        <f aca="false">IF(INDEX(BookTitle,2273)="","",INDEX(BookRef,2273))</f>
        <v/>
      </c>
      <c r="C2278" s="40" t="str">
        <f aca="false">IF(INDEX(BookTitle,2273)="","",INDEX(BookDivision,2273))</f>
        <v/>
      </c>
      <c r="D2278" s="40" t="str">
        <f aca="false">IF(INDEX(BookTitle,2273)="","",INDEX(BookUnit,2273))</f>
        <v/>
      </c>
      <c r="E2278" s="40" t="str">
        <f aca="false">IF(INDEX(BookTitle,2273)="","",INDEX(BookTitle,2273))</f>
        <v/>
      </c>
      <c r="F2278" s="40" t="str">
        <f aca="false">IF(INDEX(BookTitle,2273)="","",INDEX(BookLevel,2273))</f>
        <v/>
      </c>
      <c r="G2278" s="40" t="str">
        <f aca="false">IF(INDEX(BookTitle,2273)="","",INDEX(BookCategory,2273))</f>
        <v/>
      </c>
      <c r="H2278" s="40" t="str">
        <f aca="false">IF(INDEX(BookTitle,2273)="","",INDEX(BookRank,2273))</f>
        <v/>
      </c>
      <c r="I2278" s="41" t="str">
        <f aca="false">IF(INDEX(BookTitle,2273)="","",INDEX(BookTotal,2273))</f>
        <v/>
      </c>
      <c r="J2278" s="0" t="str">
        <f aca="false">IF($I2278="","",IF(INDEX(BookQ1,2273)&gt;0,"Q1",IF(INDEX(BookQ2,2273)&gt;0,"Q2",IF(INDEX(BookQ3,2273)&gt;0,"Q3",IF(INDEX(BookQ4,2273)&gt;0,"Q4","")))))</f>
        <v/>
      </c>
      <c r="K2278" s="42" t="str">
        <f aca="false">IF(INDEX(BookTitle,2273)="","",INDEX(BookInYear,2273))</f>
        <v/>
      </c>
      <c r="L2278" s="19"/>
      <c r="M2278" s="39"/>
      <c r="N2278" s="19"/>
      <c r="O2278" s="19"/>
      <c r="P2278" s="43" t="str">
        <f aca="false">IF($E2278="","",IF($L2278="Decline",0,IF($L2278="Approve fewer",IF($M2278="","",$M2278),IF($L2278="","",$I2278))))</f>
        <v/>
      </c>
      <c r="Q2278" s="34" t="str">
        <f aca="false">IF($P2278="","",IF($N2278&lt;&gt;"",$N2278,$J2278))</f>
        <v/>
      </c>
      <c r="R2278" s="35" t="str">
        <f aca="false">IF(OR($P2278="",$Q2278=""),"",INDEX(BookRate,2273)*$P2278*(5-MATCH($Q2278,{"Q1";"Q2";"Q3";"Q4"},0))/4+INDEX(BookOneOff,2273)*$P2278)</f>
        <v/>
      </c>
      <c r="S2278" s="35" t="str">
        <f aca="false">IF($P2278="","",INDEX(BookRate,2273)*$P2278)</f>
        <v/>
      </c>
      <c r="T2278" s="35" t="str">
        <f aca="false">IF($R2278="","",$R2278-$K2278)</f>
        <v/>
      </c>
      <c r="U2278" s="35" t="str">
        <f aca="false">IF(N($P2278)&lt;=0,"",COUNTIF($P$6:$P2278,"&gt;0"))</f>
        <v/>
      </c>
    </row>
    <row r="2279" customFormat="false" ht="15" hidden="false" customHeight="false" outlineLevel="0" collapsed="false">
      <c r="A2279" s="40" t="str">
        <f aca="false">IF(INDEX(BookTitle,2274)="","",INDEX(BookGroup,2274))</f>
        <v/>
      </c>
      <c r="B2279" s="40" t="str">
        <f aca="false">IF(INDEX(BookTitle,2274)="","",INDEX(BookRef,2274))</f>
        <v/>
      </c>
      <c r="C2279" s="40" t="str">
        <f aca="false">IF(INDEX(BookTitle,2274)="","",INDEX(BookDivision,2274))</f>
        <v/>
      </c>
      <c r="D2279" s="40" t="str">
        <f aca="false">IF(INDEX(BookTitle,2274)="","",INDEX(BookUnit,2274))</f>
        <v/>
      </c>
      <c r="E2279" s="40" t="str">
        <f aca="false">IF(INDEX(BookTitle,2274)="","",INDEX(BookTitle,2274))</f>
        <v/>
      </c>
      <c r="F2279" s="40" t="str">
        <f aca="false">IF(INDEX(BookTitle,2274)="","",INDEX(BookLevel,2274))</f>
        <v/>
      </c>
      <c r="G2279" s="40" t="str">
        <f aca="false">IF(INDEX(BookTitle,2274)="","",INDEX(BookCategory,2274))</f>
        <v/>
      </c>
      <c r="H2279" s="40" t="str">
        <f aca="false">IF(INDEX(BookTitle,2274)="","",INDEX(BookRank,2274))</f>
        <v/>
      </c>
      <c r="I2279" s="41" t="str">
        <f aca="false">IF(INDEX(BookTitle,2274)="","",INDEX(BookTotal,2274))</f>
        <v/>
      </c>
      <c r="J2279" s="0" t="str">
        <f aca="false">IF($I2279="","",IF(INDEX(BookQ1,2274)&gt;0,"Q1",IF(INDEX(BookQ2,2274)&gt;0,"Q2",IF(INDEX(BookQ3,2274)&gt;0,"Q3",IF(INDEX(BookQ4,2274)&gt;0,"Q4","")))))</f>
        <v/>
      </c>
      <c r="K2279" s="42" t="str">
        <f aca="false">IF(INDEX(BookTitle,2274)="","",INDEX(BookInYear,2274))</f>
        <v/>
      </c>
      <c r="L2279" s="19"/>
      <c r="M2279" s="39"/>
      <c r="N2279" s="19"/>
      <c r="O2279" s="19"/>
      <c r="P2279" s="43" t="str">
        <f aca="false">IF($E2279="","",IF($L2279="Decline",0,IF($L2279="Approve fewer",IF($M2279="","",$M2279),IF($L2279="","",$I2279))))</f>
        <v/>
      </c>
      <c r="Q2279" s="34" t="str">
        <f aca="false">IF($P2279="","",IF($N2279&lt;&gt;"",$N2279,$J2279))</f>
        <v/>
      </c>
      <c r="R2279" s="35" t="str">
        <f aca="false">IF(OR($P2279="",$Q2279=""),"",INDEX(BookRate,2274)*$P2279*(5-MATCH($Q2279,{"Q1";"Q2";"Q3";"Q4"},0))/4+INDEX(BookOneOff,2274)*$P2279)</f>
        <v/>
      </c>
      <c r="S2279" s="35" t="str">
        <f aca="false">IF($P2279="","",INDEX(BookRate,2274)*$P2279)</f>
        <v/>
      </c>
      <c r="T2279" s="35" t="str">
        <f aca="false">IF($R2279="","",$R2279-$K2279)</f>
        <v/>
      </c>
      <c r="U2279" s="35" t="str">
        <f aca="false">IF(N($P2279)&lt;=0,"",COUNTIF($P$6:$P2279,"&gt;0"))</f>
        <v/>
      </c>
    </row>
    <row r="2280" customFormat="false" ht="15" hidden="false" customHeight="false" outlineLevel="0" collapsed="false">
      <c r="A2280" s="40" t="str">
        <f aca="false">IF(INDEX(BookTitle,2275)="","",INDEX(BookGroup,2275))</f>
        <v/>
      </c>
      <c r="B2280" s="40" t="str">
        <f aca="false">IF(INDEX(BookTitle,2275)="","",INDEX(BookRef,2275))</f>
        <v/>
      </c>
      <c r="C2280" s="40" t="str">
        <f aca="false">IF(INDEX(BookTitle,2275)="","",INDEX(BookDivision,2275))</f>
        <v/>
      </c>
      <c r="D2280" s="40" t="str">
        <f aca="false">IF(INDEX(BookTitle,2275)="","",INDEX(BookUnit,2275))</f>
        <v/>
      </c>
      <c r="E2280" s="40" t="str">
        <f aca="false">IF(INDEX(BookTitle,2275)="","",INDEX(BookTitle,2275))</f>
        <v/>
      </c>
      <c r="F2280" s="40" t="str">
        <f aca="false">IF(INDEX(BookTitle,2275)="","",INDEX(BookLevel,2275))</f>
        <v/>
      </c>
      <c r="G2280" s="40" t="str">
        <f aca="false">IF(INDEX(BookTitle,2275)="","",INDEX(BookCategory,2275))</f>
        <v/>
      </c>
      <c r="H2280" s="40" t="str">
        <f aca="false">IF(INDEX(BookTitle,2275)="","",INDEX(BookRank,2275))</f>
        <v/>
      </c>
      <c r="I2280" s="41" t="str">
        <f aca="false">IF(INDEX(BookTitle,2275)="","",INDEX(BookTotal,2275))</f>
        <v/>
      </c>
      <c r="J2280" s="0" t="str">
        <f aca="false">IF($I2280="","",IF(INDEX(BookQ1,2275)&gt;0,"Q1",IF(INDEX(BookQ2,2275)&gt;0,"Q2",IF(INDEX(BookQ3,2275)&gt;0,"Q3",IF(INDEX(BookQ4,2275)&gt;0,"Q4","")))))</f>
        <v/>
      </c>
      <c r="K2280" s="42" t="str">
        <f aca="false">IF(INDEX(BookTitle,2275)="","",INDEX(BookInYear,2275))</f>
        <v/>
      </c>
      <c r="L2280" s="19"/>
      <c r="M2280" s="39"/>
      <c r="N2280" s="19"/>
      <c r="O2280" s="19"/>
      <c r="P2280" s="43" t="str">
        <f aca="false">IF($E2280="","",IF($L2280="Decline",0,IF($L2280="Approve fewer",IF($M2280="","",$M2280),IF($L2280="","",$I2280))))</f>
        <v/>
      </c>
      <c r="Q2280" s="34" t="str">
        <f aca="false">IF($P2280="","",IF($N2280&lt;&gt;"",$N2280,$J2280))</f>
        <v/>
      </c>
      <c r="R2280" s="35" t="str">
        <f aca="false">IF(OR($P2280="",$Q2280=""),"",INDEX(BookRate,2275)*$P2280*(5-MATCH($Q2280,{"Q1";"Q2";"Q3";"Q4"},0))/4+INDEX(BookOneOff,2275)*$P2280)</f>
        <v/>
      </c>
      <c r="S2280" s="35" t="str">
        <f aca="false">IF($P2280="","",INDEX(BookRate,2275)*$P2280)</f>
        <v/>
      </c>
      <c r="T2280" s="35" t="str">
        <f aca="false">IF($R2280="","",$R2280-$K2280)</f>
        <v/>
      </c>
      <c r="U2280" s="35" t="str">
        <f aca="false">IF(N($P2280)&lt;=0,"",COUNTIF($P$6:$P2280,"&gt;0"))</f>
        <v/>
      </c>
    </row>
    <row r="2281" customFormat="false" ht="15" hidden="false" customHeight="false" outlineLevel="0" collapsed="false">
      <c r="A2281" s="40" t="str">
        <f aca="false">IF(INDEX(BookTitle,2276)="","",INDEX(BookGroup,2276))</f>
        <v/>
      </c>
      <c r="B2281" s="40" t="str">
        <f aca="false">IF(INDEX(BookTitle,2276)="","",INDEX(BookRef,2276))</f>
        <v/>
      </c>
      <c r="C2281" s="40" t="str">
        <f aca="false">IF(INDEX(BookTitle,2276)="","",INDEX(BookDivision,2276))</f>
        <v/>
      </c>
      <c r="D2281" s="40" t="str">
        <f aca="false">IF(INDEX(BookTitle,2276)="","",INDEX(BookUnit,2276))</f>
        <v/>
      </c>
      <c r="E2281" s="40" t="str">
        <f aca="false">IF(INDEX(BookTitle,2276)="","",INDEX(BookTitle,2276))</f>
        <v/>
      </c>
      <c r="F2281" s="40" t="str">
        <f aca="false">IF(INDEX(BookTitle,2276)="","",INDEX(BookLevel,2276))</f>
        <v/>
      </c>
      <c r="G2281" s="40" t="str">
        <f aca="false">IF(INDEX(BookTitle,2276)="","",INDEX(BookCategory,2276))</f>
        <v/>
      </c>
      <c r="H2281" s="40" t="str">
        <f aca="false">IF(INDEX(BookTitle,2276)="","",INDEX(BookRank,2276))</f>
        <v/>
      </c>
      <c r="I2281" s="41" t="str">
        <f aca="false">IF(INDEX(BookTitle,2276)="","",INDEX(BookTotal,2276))</f>
        <v/>
      </c>
      <c r="J2281" s="0" t="str">
        <f aca="false">IF($I2281="","",IF(INDEX(BookQ1,2276)&gt;0,"Q1",IF(INDEX(BookQ2,2276)&gt;0,"Q2",IF(INDEX(BookQ3,2276)&gt;0,"Q3",IF(INDEX(BookQ4,2276)&gt;0,"Q4","")))))</f>
        <v/>
      </c>
      <c r="K2281" s="42" t="str">
        <f aca="false">IF(INDEX(BookTitle,2276)="","",INDEX(BookInYear,2276))</f>
        <v/>
      </c>
      <c r="L2281" s="19"/>
      <c r="M2281" s="39"/>
      <c r="N2281" s="19"/>
      <c r="O2281" s="19"/>
      <c r="P2281" s="43" t="str">
        <f aca="false">IF($E2281="","",IF($L2281="Decline",0,IF($L2281="Approve fewer",IF($M2281="","",$M2281),IF($L2281="","",$I2281))))</f>
        <v/>
      </c>
      <c r="Q2281" s="34" t="str">
        <f aca="false">IF($P2281="","",IF($N2281&lt;&gt;"",$N2281,$J2281))</f>
        <v/>
      </c>
      <c r="R2281" s="35" t="str">
        <f aca="false">IF(OR($P2281="",$Q2281=""),"",INDEX(BookRate,2276)*$P2281*(5-MATCH($Q2281,{"Q1";"Q2";"Q3";"Q4"},0))/4+INDEX(BookOneOff,2276)*$P2281)</f>
        <v/>
      </c>
      <c r="S2281" s="35" t="str">
        <f aca="false">IF($P2281="","",INDEX(BookRate,2276)*$P2281)</f>
        <v/>
      </c>
      <c r="T2281" s="35" t="str">
        <f aca="false">IF($R2281="","",$R2281-$K2281)</f>
        <v/>
      </c>
      <c r="U2281" s="35" t="str">
        <f aca="false">IF(N($P2281)&lt;=0,"",COUNTIF($P$6:$P2281,"&gt;0"))</f>
        <v/>
      </c>
    </row>
    <row r="2282" customFormat="false" ht="15" hidden="false" customHeight="false" outlineLevel="0" collapsed="false">
      <c r="A2282" s="40" t="str">
        <f aca="false">IF(INDEX(BookTitle,2277)="","",INDEX(BookGroup,2277))</f>
        <v/>
      </c>
      <c r="B2282" s="40" t="str">
        <f aca="false">IF(INDEX(BookTitle,2277)="","",INDEX(BookRef,2277))</f>
        <v/>
      </c>
      <c r="C2282" s="40" t="str">
        <f aca="false">IF(INDEX(BookTitle,2277)="","",INDEX(BookDivision,2277))</f>
        <v/>
      </c>
      <c r="D2282" s="40" t="str">
        <f aca="false">IF(INDEX(BookTitle,2277)="","",INDEX(BookUnit,2277))</f>
        <v/>
      </c>
      <c r="E2282" s="40" t="str">
        <f aca="false">IF(INDEX(BookTitle,2277)="","",INDEX(BookTitle,2277))</f>
        <v/>
      </c>
      <c r="F2282" s="40" t="str">
        <f aca="false">IF(INDEX(BookTitle,2277)="","",INDEX(BookLevel,2277))</f>
        <v/>
      </c>
      <c r="G2282" s="40" t="str">
        <f aca="false">IF(INDEX(BookTitle,2277)="","",INDEX(BookCategory,2277))</f>
        <v/>
      </c>
      <c r="H2282" s="40" t="str">
        <f aca="false">IF(INDEX(BookTitle,2277)="","",INDEX(BookRank,2277))</f>
        <v/>
      </c>
      <c r="I2282" s="41" t="str">
        <f aca="false">IF(INDEX(BookTitle,2277)="","",INDEX(BookTotal,2277))</f>
        <v/>
      </c>
      <c r="J2282" s="0" t="str">
        <f aca="false">IF($I2282="","",IF(INDEX(BookQ1,2277)&gt;0,"Q1",IF(INDEX(BookQ2,2277)&gt;0,"Q2",IF(INDEX(BookQ3,2277)&gt;0,"Q3",IF(INDEX(BookQ4,2277)&gt;0,"Q4","")))))</f>
        <v/>
      </c>
      <c r="K2282" s="42" t="str">
        <f aca="false">IF(INDEX(BookTitle,2277)="","",INDEX(BookInYear,2277))</f>
        <v/>
      </c>
      <c r="L2282" s="19"/>
      <c r="M2282" s="39"/>
      <c r="N2282" s="19"/>
      <c r="O2282" s="19"/>
      <c r="P2282" s="43" t="str">
        <f aca="false">IF($E2282="","",IF($L2282="Decline",0,IF($L2282="Approve fewer",IF($M2282="","",$M2282),IF($L2282="","",$I2282))))</f>
        <v/>
      </c>
      <c r="Q2282" s="34" t="str">
        <f aca="false">IF($P2282="","",IF($N2282&lt;&gt;"",$N2282,$J2282))</f>
        <v/>
      </c>
      <c r="R2282" s="35" t="str">
        <f aca="false">IF(OR($P2282="",$Q2282=""),"",INDEX(BookRate,2277)*$P2282*(5-MATCH($Q2282,{"Q1";"Q2";"Q3";"Q4"},0))/4+INDEX(BookOneOff,2277)*$P2282)</f>
        <v/>
      </c>
      <c r="S2282" s="35" t="str">
        <f aca="false">IF($P2282="","",INDEX(BookRate,2277)*$P2282)</f>
        <v/>
      </c>
      <c r="T2282" s="35" t="str">
        <f aca="false">IF($R2282="","",$R2282-$K2282)</f>
        <v/>
      </c>
      <c r="U2282" s="35" t="str">
        <f aca="false">IF(N($P2282)&lt;=0,"",COUNTIF($P$6:$P2282,"&gt;0"))</f>
        <v/>
      </c>
    </row>
    <row r="2283" customFormat="false" ht="15" hidden="false" customHeight="false" outlineLevel="0" collapsed="false">
      <c r="A2283" s="40" t="str">
        <f aca="false">IF(INDEX(BookTitle,2278)="","",INDEX(BookGroup,2278))</f>
        <v/>
      </c>
      <c r="B2283" s="40" t="str">
        <f aca="false">IF(INDEX(BookTitle,2278)="","",INDEX(BookRef,2278))</f>
        <v/>
      </c>
      <c r="C2283" s="40" t="str">
        <f aca="false">IF(INDEX(BookTitle,2278)="","",INDEX(BookDivision,2278))</f>
        <v/>
      </c>
      <c r="D2283" s="40" t="str">
        <f aca="false">IF(INDEX(BookTitle,2278)="","",INDEX(BookUnit,2278))</f>
        <v/>
      </c>
      <c r="E2283" s="40" t="str">
        <f aca="false">IF(INDEX(BookTitle,2278)="","",INDEX(BookTitle,2278))</f>
        <v/>
      </c>
      <c r="F2283" s="40" t="str">
        <f aca="false">IF(INDEX(BookTitle,2278)="","",INDEX(BookLevel,2278))</f>
        <v/>
      </c>
      <c r="G2283" s="40" t="str">
        <f aca="false">IF(INDEX(BookTitle,2278)="","",INDEX(BookCategory,2278))</f>
        <v/>
      </c>
      <c r="H2283" s="40" t="str">
        <f aca="false">IF(INDEX(BookTitle,2278)="","",INDEX(BookRank,2278))</f>
        <v/>
      </c>
      <c r="I2283" s="41" t="str">
        <f aca="false">IF(INDEX(BookTitle,2278)="","",INDEX(BookTotal,2278))</f>
        <v/>
      </c>
      <c r="J2283" s="0" t="str">
        <f aca="false">IF($I2283="","",IF(INDEX(BookQ1,2278)&gt;0,"Q1",IF(INDEX(BookQ2,2278)&gt;0,"Q2",IF(INDEX(BookQ3,2278)&gt;0,"Q3",IF(INDEX(BookQ4,2278)&gt;0,"Q4","")))))</f>
        <v/>
      </c>
      <c r="K2283" s="42" t="str">
        <f aca="false">IF(INDEX(BookTitle,2278)="","",INDEX(BookInYear,2278))</f>
        <v/>
      </c>
      <c r="L2283" s="19"/>
      <c r="M2283" s="39"/>
      <c r="N2283" s="19"/>
      <c r="O2283" s="19"/>
      <c r="P2283" s="43" t="str">
        <f aca="false">IF($E2283="","",IF($L2283="Decline",0,IF($L2283="Approve fewer",IF($M2283="","",$M2283),IF($L2283="","",$I2283))))</f>
        <v/>
      </c>
      <c r="Q2283" s="34" t="str">
        <f aca="false">IF($P2283="","",IF($N2283&lt;&gt;"",$N2283,$J2283))</f>
        <v/>
      </c>
      <c r="R2283" s="35" t="str">
        <f aca="false">IF(OR($P2283="",$Q2283=""),"",INDEX(BookRate,2278)*$P2283*(5-MATCH($Q2283,{"Q1";"Q2";"Q3";"Q4"},0))/4+INDEX(BookOneOff,2278)*$P2283)</f>
        <v/>
      </c>
      <c r="S2283" s="35" t="str">
        <f aca="false">IF($P2283="","",INDEX(BookRate,2278)*$P2283)</f>
        <v/>
      </c>
      <c r="T2283" s="35" t="str">
        <f aca="false">IF($R2283="","",$R2283-$K2283)</f>
        <v/>
      </c>
      <c r="U2283" s="35" t="str">
        <f aca="false">IF(N($P2283)&lt;=0,"",COUNTIF($P$6:$P2283,"&gt;0"))</f>
        <v/>
      </c>
    </row>
    <row r="2284" customFormat="false" ht="15" hidden="false" customHeight="false" outlineLevel="0" collapsed="false">
      <c r="A2284" s="40" t="str">
        <f aca="false">IF(INDEX(BookTitle,2279)="","",INDEX(BookGroup,2279))</f>
        <v/>
      </c>
      <c r="B2284" s="40" t="str">
        <f aca="false">IF(INDEX(BookTitle,2279)="","",INDEX(BookRef,2279))</f>
        <v/>
      </c>
      <c r="C2284" s="40" t="str">
        <f aca="false">IF(INDEX(BookTitle,2279)="","",INDEX(BookDivision,2279))</f>
        <v/>
      </c>
      <c r="D2284" s="40" t="str">
        <f aca="false">IF(INDEX(BookTitle,2279)="","",INDEX(BookUnit,2279))</f>
        <v/>
      </c>
      <c r="E2284" s="40" t="str">
        <f aca="false">IF(INDEX(BookTitle,2279)="","",INDEX(BookTitle,2279))</f>
        <v/>
      </c>
      <c r="F2284" s="40" t="str">
        <f aca="false">IF(INDEX(BookTitle,2279)="","",INDEX(BookLevel,2279))</f>
        <v/>
      </c>
      <c r="G2284" s="40" t="str">
        <f aca="false">IF(INDEX(BookTitle,2279)="","",INDEX(BookCategory,2279))</f>
        <v/>
      </c>
      <c r="H2284" s="40" t="str">
        <f aca="false">IF(INDEX(BookTitle,2279)="","",INDEX(BookRank,2279))</f>
        <v/>
      </c>
      <c r="I2284" s="41" t="str">
        <f aca="false">IF(INDEX(BookTitle,2279)="","",INDEX(BookTotal,2279))</f>
        <v/>
      </c>
      <c r="J2284" s="0" t="str">
        <f aca="false">IF($I2284="","",IF(INDEX(BookQ1,2279)&gt;0,"Q1",IF(INDEX(BookQ2,2279)&gt;0,"Q2",IF(INDEX(BookQ3,2279)&gt;0,"Q3",IF(INDEX(BookQ4,2279)&gt;0,"Q4","")))))</f>
        <v/>
      </c>
      <c r="K2284" s="42" t="str">
        <f aca="false">IF(INDEX(BookTitle,2279)="","",INDEX(BookInYear,2279))</f>
        <v/>
      </c>
      <c r="L2284" s="19"/>
      <c r="M2284" s="39"/>
      <c r="N2284" s="19"/>
      <c r="O2284" s="19"/>
      <c r="P2284" s="43" t="str">
        <f aca="false">IF($E2284="","",IF($L2284="Decline",0,IF($L2284="Approve fewer",IF($M2284="","",$M2284),IF($L2284="","",$I2284))))</f>
        <v/>
      </c>
      <c r="Q2284" s="34" t="str">
        <f aca="false">IF($P2284="","",IF($N2284&lt;&gt;"",$N2284,$J2284))</f>
        <v/>
      </c>
      <c r="R2284" s="35" t="str">
        <f aca="false">IF(OR($P2284="",$Q2284=""),"",INDEX(BookRate,2279)*$P2284*(5-MATCH($Q2284,{"Q1";"Q2";"Q3";"Q4"},0))/4+INDEX(BookOneOff,2279)*$P2284)</f>
        <v/>
      </c>
      <c r="S2284" s="35" t="str">
        <f aca="false">IF($P2284="","",INDEX(BookRate,2279)*$P2284)</f>
        <v/>
      </c>
      <c r="T2284" s="35" t="str">
        <f aca="false">IF($R2284="","",$R2284-$K2284)</f>
        <v/>
      </c>
      <c r="U2284" s="35" t="str">
        <f aca="false">IF(N($P2284)&lt;=0,"",COUNTIF($P$6:$P2284,"&gt;0"))</f>
        <v/>
      </c>
    </row>
    <row r="2285" customFormat="false" ht="15" hidden="false" customHeight="false" outlineLevel="0" collapsed="false">
      <c r="A2285" s="40" t="str">
        <f aca="false">IF(INDEX(BookTitle,2280)="","",INDEX(BookGroup,2280))</f>
        <v/>
      </c>
      <c r="B2285" s="40" t="str">
        <f aca="false">IF(INDEX(BookTitle,2280)="","",INDEX(BookRef,2280))</f>
        <v/>
      </c>
      <c r="C2285" s="40" t="str">
        <f aca="false">IF(INDEX(BookTitle,2280)="","",INDEX(BookDivision,2280))</f>
        <v/>
      </c>
      <c r="D2285" s="40" t="str">
        <f aca="false">IF(INDEX(BookTitle,2280)="","",INDEX(BookUnit,2280))</f>
        <v/>
      </c>
      <c r="E2285" s="40" t="str">
        <f aca="false">IF(INDEX(BookTitle,2280)="","",INDEX(BookTitle,2280))</f>
        <v/>
      </c>
      <c r="F2285" s="40" t="str">
        <f aca="false">IF(INDEX(BookTitle,2280)="","",INDEX(BookLevel,2280))</f>
        <v/>
      </c>
      <c r="G2285" s="40" t="str">
        <f aca="false">IF(INDEX(BookTitle,2280)="","",INDEX(BookCategory,2280))</f>
        <v/>
      </c>
      <c r="H2285" s="40" t="str">
        <f aca="false">IF(INDEX(BookTitle,2280)="","",INDEX(BookRank,2280))</f>
        <v/>
      </c>
      <c r="I2285" s="41" t="str">
        <f aca="false">IF(INDEX(BookTitle,2280)="","",INDEX(BookTotal,2280))</f>
        <v/>
      </c>
      <c r="J2285" s="0" t="str">
        <f aca="false">IF($I2285="","",IF(INDEX(BookQ1,2280)&gt;0,"Q1",IF(INDEX(BookQ2,2280)&gt;0,"Q2",IF(INDEX(BookQ3,2280)&gt;0,"Q3",IF(INDEX(BookQ4,2280)&gt;0,"Q4","")))))</f>
        <v/>
      </c>
      <c r="K2285" s="42" t="str">
        <f aca="false">IF(INDEX(BookTitle,2280)="","",INDEX(BookInYear,2280))</f>
        <v/>
      </c>
      <c r="L2285" s="19"/>
      <c r="M2285" s="39"/>
      <c r="N2285" s="19"/>
      <c r="O2285" s="19"/>
      <c r="P2285" s="43" t="str">
        <f aca="false">IF($E2285="","",IF($L2285="Decline",0,IF($L2285="Approve fewer",IF($M2285="","",$M2285),IF($L2285="","",$I2285))))</f>
        <v/>
      </c>
      <c r="Q2285" s="34" t="str">
        <f aca="false">IF($P2285="","",IF($N2285&lt;&gt;"",$N2285,$J2285))</f>
        <v/>
      </c>
      <c r="R2285" s="35" t="str">
        <f aca="false">IF(OR($P2285="",$Q2285=""),"",INDEX(BookRate,2280)*$P2285*(5-MATCH($Q2285,{"Q1";"Q2";"Q3";"Q4"},0))/4+INDEX(BookOneOff,2280)*$P2285)</f>
        <v/>
      </c>
      <c r="S2285" s="35" t="str">
        <f aca="false">IF($P2285="","",INDEX(BookRate,2280)*$P2285)</f>
        <v/>
      </c>
      <c r="T2285" s="35" t="str">
        <f aca="false">IF($R2285="","",$R2285-$K2285)</f>
        <v/>
      </c>
      <c r="U2285" s="35" t="str">
        <f aca="false">IF(N($P2285)&lt;=0,"",COUNTIF($P$6:$P2285,"&gt;0"))</f>
        <v/>
      </c>
    </row>
    <row r="2286" customFormat="false" ht="15" hidden="false" customHeight="false" outlineLevel="0" collapsed="false">
      <c r="A2286" s="40" t="str">
        <f aca="false">IF(INDEX(BookTitle,2281)="","",INDEX(BookGroup,2281))</f>
        <v/>
      </c>
      <c r="B2286" s="40" t="str">
        <f aca="false">IF(INDEX(BookTitle,2281)="","",INDEX(BookRef,2281))</f>
        <v/>
      </c>
      <c r="C2286" s="40" t="str">
        <f aca="false">IF(INDEX(BookTitle,2281)="","",INDEX(BookDivision,2281))</f>
        <v/>
      </c>
      <c r="D2286" s="40" t="str">
        <f aca="false">IF(INDEX(BookTitle,2281)="","",INDEX(BookUnit,2281))</f>
        <v/>
      </c>
      <c r="E2286" s="40" t="str">
        <f aca="false">IF(INDEX(BookTitle,2281)="","",INDEX(BookTitle,2281))</f>
        <v/>
      </c>
      <c r="F2286" s="40" t="str">
        <f aca="false">IF(INDEX(BookTitle,2281)="","",INDEX(BookLevel,2281))</f>
        <v/>
      </c>
      <c r="G2286" s="40" t="str">
        <f aca="false">IF(INDEX(BookTitle,2281)="","",INDEX(BookCategory,2281))</f>
        <v/>
      </c>
      <c r="H2286" s="40" t="str">
        <f aca="false">IF(INDEX(BookTitle,2281)="","",INDEX(BookRank,2281))</f>
        <v/>
      </c>
      <c r="I2286" s="41" t="str">
        <f aca="false">IF(INDEX(BookTitle,2281)="","",INDEX(BookTotal,2281))</f>
        <v/>
      </c>
      <c r="J2286" s="0" t="str">
        <f aca="false">IF($I2286="","",IF(INDEX(BookQ1,2281)&gt;0,"Q1",IF(INDEX(BookQ2,2281)&gt;0,"Q2",IF(INDEX(BookQ3,2281)&gt;0,"Q3",IF(INDEX(BookQ4,2281)&gt;0,"Q4","")))))</f>
        <v/>
      </c>
      <c r="K2286" s="42" t="str">
        <f aca="false">IF(INDEX(BookTitle,2281)="","",INDEX(BookInYear,2281))</f>
        <v/>
      </c>
      <c r="L2286" s="19"/>
      <c r="M2286" s="39"/>
      <c r="N2286" s="19"/>
      <c r="O2286" s="19"/>
      <c r="P2286" s="43" t="str">
        <f aca="false">IF($E2286="","",IF($L2286="Decline",0,IF($L2286="Approve fewer",IF($M2286="","",$M2286),IF($L2286="","",$I2286))))</f>
        <v/>
      </c>
      <c r="Q2286" s="34" t="str">
        <f aca="false">IF($P2286="","",IF($N2286&lt;&gt;"",$N2286,$J2286))</f>
        <v/>
      </c>
      <c r="R2286" s="35" t="str">
        <f aca="false">IF(OR($P2286="",$Q2286=""),"",INDEX(BookRate,2281)*$P2286*(5-MATCH($Q2286,{"Q1";"Q2";"Q3";"Q4"},0))/4+INDEX(BookOneOff,2281)*$P2286)</f>
        <v/>
      </c>
      <c r="S2286" s="35" t="str">
        <f aca="false">IF($P2286="","",INDEX(BookRate,2281)*$P2286)</f>
        <v/>
      </c>
      <c r="T2286" s="35" t="str">
        <f aca="false">IF($R2286="","",$R2286-$K2286)</f>
        <v/>
      </c>
      <c r="U2286" s="35" t="str">
        <f aca="false">IF(N($P2286)&lt;=0,"",COUNTIF($P$6:$P2286,"&gt;0"))</f>
        <v/>
      </c>
    </row>
    <row r="2287" customFormat="false" ht="15" hidden="false" customHeight="false" outlineLevel="0" collapsed="false">
      <c r="A2287" s="40" t="str">
        <f aca="false">IF(INDEX(BookTitle,2282)="","",INDEX(BookGroup,2282))</f>
        <v/>
      </c>
      <c r="B2287" s="40" t="str">
        <f aca="false">IF(INDEX(BookTitle,2282)="","",INDEX(BookRef,2282))</f>
        <v/>
      </c>
      <c r="C2287" s="40" t="str">
        <f aca="false">IF(INDEX(BookTitle,2282)="","",INDEX(BookDivision,2282))</f>
        <v/>
      </c>
      <c r="D2287" s="40" t="str">
        <f aca="false">IF(INDEX(BookTitle,2282)="","",INDEX(BookUnit,2282))</f>
        <v/>
      </c>
      <c r="E2287" s="40" t="str">
        <f aca="false">IF(INDEX(BookTitle,2282)="","",INDEX(BookTitle,2282))</f>
        <v/>
      </c>
      <c r="F2287" s="40" t="str">
        <f aca="false">IF(INDEX(BookTitle,2282)="","",INDEX(BookLevel,2282))</f>
        <v/>
      </c>
      <c r="G2287" s="40" t="str">
        <f aca="false">IF(INDEX(BookTitle,2282)="","",INDEX(BookCategory,2282))</f>
        <v/>
      </c>
      <c r="H2287" s="40" t="str">
        <f aca="false">IF(INDEX(BookTitle,2282)="","",INDEX(BookRank,2282))</f>
        <v/>
      </c>
      <c r="I2287" s="41" t="str">
        <f aca="false">IF(INDEX(BookTitle,2282)="","",INDEX(BookTotal,2282))</f>
        <v/>
      </c>
      <c r="J2287" s="0" t="str">
        <f aca="false">IF($I2287="","",IF(INDEX(BookQ1,2282)&gt;0,"Q1",IF(INDEX(BookQ2,2282)&gt;0,"Q2",IF(INDEX(BookQ3,2282)&gt;0,"Q3",IF(INDEX(BookQ4,2282)&gt;0,"Q4","")))))</f>
        <v/>
      </c>
      <c r="K2287" s="42" t="str">
        <f aca="false">IF(INDEX(BookTitle,2282)="","",INDEX(BookInYear,2282))</f>
        <v/>
      </c>
      <c r="L2287" s="19"/>
      <c r="M2287" s="39"/>
      <c r="N2287" s="19"/>
      <c r="O2287" s="19"/>
      <c r="P2287" s="43" t="str">
        <f aca="false">IF($E2287="","",IF($L2287="Decline",0,IF($L2287="Approve fewer",IF($M2287="","",$M2287),IF($L2287="","",$I2287))))</f>
        <v/>
      </c>
      <c r="Q2287" s="34" t="str">
        <f aca="false">IF($P2287="","",IF($N2287&lt;&gt;"",$N2287,$J2287))</f>
        <v/>
      </c>
      <c r="R2287" s="35" t="str">
        <f aca="false">IF(OR($P2287="",$Q2287=""),"",INDEX(BookRate,2282)*$P2287*(5-MATCH($Q2287,{"Q1";"Q2";"Q3";"Q4"},0))/4+INDEX(BookOneOff,2282)*$P2287)</f>
        <v/>
      </c>
      <c r="S2287" s="35" t="str">
        <f aca="false">IF($P2287="","",INDEX(BookRate,2282)*$P2287)</f>
        <v/>
      </c>
      <c r="T2287" s="35" t="str">
        <f aca="false">IF($R2287="","",$R2287-$K2287)</f>
        <v/>
      </c>
      <c r="U2287" s="35" t="str">
        <f aca="false">IF(N($P2287)&lt;=0,"",COUNTIF($P$6:$P2287,"&gt;0"))</f>
        <v/>
      </c>
    </row>
    <row r="2288" customFormat="false" ht="15" hidden="false" customHeight="false" outlineLevel="0" collapsed="false">
      <c r="A2288" s="40" t="str">
        <f aca="false">IF(INDEX(BookTitle,2283)="","",INDEX(BookGroup,2283))</f>
        <v/>
      </c>
      <c r="B2288" s="40" t="str">
        <f aca="false">IF(INDEX(BookTitle,2283)="","",INDEX(BookRef,2283))</f>
        <v/>
      </c>
      <c r="C2288" s="40" t="str">
        <f aca="false">IF(INDEX(BookTitle,2283)="","",INDEX(BookDivision,2283))</f>
        <v/>
      </c>
      <c r="D2288" s="40" t="str">
        <f aca="false">IF(INDEX(BookTitle,2283)="","",INDEX(BookUnit,2283))</f>
        <v/>
      </c>
      <c r="E2288" s="40" t="str">
        <f aca="false">IF(INDEX(BookTitle,2283)="","",INDEX(BookTitle,2283))</f>
        <v/>
      </c>
      <c r="F2288" s="40" t="str">
        <f aca="false">IF(INDEX(BookTitle,2283)="","",INDEX(BookLevel,2283))</f>
        <v/>
      </c>
      <c r="G2288" s="40" t="str">
        <f aca="false">IF(INDEX(BookTitle,2283)="","",INDEX(BookCategory,2283))</f>
        <v/>
      </c>
      <c r="H2288" s="40" t="str">
        <f aca="false">IF(INDEX(BookTitle,2283)="","",INDEX(BookRank,2283))</f>
        <v/>
      </c>
      <c r="I2288" s="41" t="str">
        <f aca="false">IF(INDEX(BookTitle,2283)="","",INDEX(BookTotal,2283))</f>
        <v/>
      </c>
      <c r="J2288" s="0" t="str">
        <f aca="false">IF($I2288="","",IF(INDEX(BookQ1,2283)&gt;0,"Q1",IF(INDEX(BookQ2,2283)&gt;0,"Q2",IF(INDEX(BookQ3,2283)&gt;0,"Q3",IF(INDEX(BookQ4,2283)&gt;0,"Q4","")))))</f>
        <v/>
      </c>
      <c r="K2288" s="42" t="str">
        <f aca="false">IF(INDEX(BookTitle,2283)="","",INDEX(BookInYear,2283))</f>
        <v/>
      </c>
      <c r="L2288" s="19"/>
      <c r="M2288" s="39"/>
      <c r="N2288" s="19"/>
      <c r="O2288" s="19"/>
      <c r="P2288" s="43" t="str">
        <f aca="false">IF($E2288="","",IF($L2288="Decline",0,IF($L2288="Approve fewer",IF($M2288="","",$M2288),IF($L2288="","",$I2288))))</f>
        <v/>
      </c>
      <c r="Q2288" s="34" t="str">
        <f aca="false">IF($P2288="","",IF($N2288&lt;&gt;"",$N2288,$J2288))</f>
        <v/>
      </c>
      <c r="R2288" s="35" t="str">
        <f aca="false">IF(OR($P2288="",$Q2288=""),"",INDEX(BookRate,2283)*$P2288*(5-MATCH($Q2288,{"Q1";"Q2";"Q3";"Q4"},0))/4+INDEX(BookOneOff,2283)*$P2288)</f>
        <v/>
      </c>
      <c r="S2288" s="35" t="str">
        <f aca="false">IF($P2288="","",INDEX(BookRate,2283)*$P2288)</f>
        <v/>
      </c>
      <c r="T2288" s="35" t="str">
        <f aca="false">IF($R2288="","",$R2288-$K2288)</f>
        <v/>
      </c>
      <c r="U2288" s="35" t="str">
        <f aca="false">IF(N($P2288)&lt;=0,"",COUNTIF($P$6:$P2288,"&gt;0"))</f>
        <v/>
      </c>
    </row>
    <row r="2289" customFormat="false" ht="15" hidden="false" customHeight="false" outlineLevel="0" collapsed="false">
      <c r="A2289" s="40" t="str">
        <f aca="false">IF(INDEX(BookTitle,2284)="","",INDEX(BookGroup,2284))</f>
        <v/>
      </c>
      <c r="B2289" s="40" t="str">
        <f aca="false">IF(INDEX(BookTitle,2284)="","",INDEX(BookRef,2284))</f>
        <v/>
      </c>
      <c r="C2289" s="40" t="str">
        <f aca="false">IF(INDEX(BookTitle,2284)="","",INDEX(BookDivision,2284))</f>
        <v/>
      </c>
      <c r="D2289" s="40" t="str">
        <f aca="false">IF(INDEX(BookTitle,2284)="","",INDEX(BookUnit,2284))</f>
        <v/>
      </c>
      <c r="E2289" s="40" t="str">
        <f aca="false">IF(INDEX(BookTitle,2284)="","",INDEX(BookTitle,2284))</f>
        <v/>
      </c>
      <c r="F2289" s="40" t="str">
        <f aca="false">IF(INDEX(BookTitle,2284)="","",INDEX(BookLevel,2284))</f>
        <v/>
      </c>
      <c r="G2289" s="40" t="str">
        <f aca="false">IF(INDEX(BookTitle,2284)="","",INDEX(BookCategory,2284))</f>
        <v/>
      </c>
      <c r="H2289" s="40" t="str">
        <f aca="false">IF(INDEX(BookTitle,2284)="","",INDEX(BookRank,2284))</f>
        <v/>
      </c>
      <c r="I2289" s="41" t="str">
        <f aca="false">IF(INDEX(BookTitle,2284)="","",INDEX(BookTotal,2284))</f>
        <v/>
      </c>
      <c r="J2289" s="0" t="str">
        <f aca="false">IF($I2289="","",IF(INDEX(BookQ1,2284)&gt;0,"Q1",IF(INDEX(BookQ2,2284)&gt;0,"Q2",IF(INDEX(BookQ3,2284)&gt;0,"Q3",IF(INDEX(BookQ4,2284)&gt;0,"Q4","")))))</f>
        <v/>
      </c>
      <c r="K2289" s="42" t="str">
        <f aca="false">IF(INDEX(BookTitle,2284)="","",INDEX(BookInYear,2284))</f>
        <v/>
      </c>
      <c r="L2289" s="19"/>
      <c r="M2289" s="39"/>
      <c r="N2289" s="19"/>
      <c r="O2289" s="19"/>
      <c r="P2289" s="43" t="str">
        <f aca="false">IF($E2289="","",IF($L2289="Decline",0,IF($L2289="Approve fewer",IF($M2289="","",$M2289),IF($L2289="","",$I2289))))</f>
        <v/>
      </c>
      <c r="Q2289" s="34" t="str">
        <f aca="false">IF($P2289="","",IF($N2289&lt;&gt;"",$N2289,$J2289))</f>
        <v/>
      </c>
      <c r="R2289" s="35" t="str">
        <f aca="false">IF(OR($P2289="",$Q2289=""),"",INDEX(BookRate,2284)*$P2289*(5-MATCH($Q2289,{"Q1";"Q2";"Q3";"Q4"},0))/4+INDEX(BookOneOff,2284)*$P2289)</f>
        <v/>
      </c>
      <c r="S2289" s="35" t="str">
        <f aca="false">IF($P2289="","",INDEX(BookRate,2284)*$P2289)</f>
        <v/>
      </c>
      <c r="T2289" s="35" t="str">
        <f aca="false">IF($R2289="","",$R2289-$K2289)</f>
        <v/>
      </c>
      <c r="U2289" s="35" t="str">
        <f aca="false">IF(N($P2289)&lt;=0,"",COUNTIF($P$6:$P2289,"&gt;0"))</f>
        <v/>
      </c>
    </row>
    <row r="2290" customFormat="false" ht="15" hidden="false" customHeight="false" outlineLevel="0" collapsed="false">
      <c r="A2290" s="40" t="str">
        <f aca="false">IF(INDEX(BookTitle,2285)="","",INDEX(BookGroup,2285))</f>
        <v/>
      </c>
      <c r="B2290" s="40" t="str">
        <f aca="false">IF(INDEX(BookTitle,2285)="","",INDEX(BookRef,2285))</f>
        <v/>
      </c>
      <c r="C2290" s="40" t="str">
        <f aca="false">IF(INDEX(BookTitle,2285)="","",INDEX(BookDivision,2285))</f>
        <v/>
      </c>
      <c r="D2290" s="40" t="str">
        <f aca="false">IF(INDEX(BookTitle,2285)="","",INDEX(BookUnit,2285))</f>
        <v/>
      </c>
      <c r="E2290" s="40" t="str">
        <f aca="false">IF(INDEX(BookTitle,2285)="","",INDEX(BookTitle,2285))</f>
        <v/>
      </c>
      <c r="F2290" s="40" t="str">
        <f aca="false">IF(INDEX(BookTitle,2285)="","",INDEX(BookLevel,2285))</f>
        <v/>
      </c>
      <c r="G2290" s="40" t="str">
        <f aca="false">IF(INDEX(BookTitle,2285)="","",INDEX(BookCategory,2285))</f>
        <v/>
      </c>
      <c r="H2290" s="40" t="str">
        <f aca="false">IF(INDEX(BookTitle,2285)="","",INDEX(BookRank,2285))</f>
        <v/>
      </c>
      <c r="I2290" s="41" t="str">
        <f aca="false">IF(INDEX(BookTitle,2285)="","",INDEX(BookTotal,2285))</f>
        <v/>
      </c>
      <c r="J2290" s="0" t="str">
        <f aca="false">IF($I2290="","",IF(INDEX(BookQ1,2285)&gt;0,"Q1",IF(INDEX(BookQ2,2285)&gt;0,"Q2",IF(INDEX(BookQ3,2285)&gt;0,"Q3",IF(INDEX(BookQ4,2285)&gt;0,"Q4","")))))</f>
        <v/>
      </c>
      <c r="K2290" s="42" t="str">
        <f aca="false">IF(INDEX(BookTitle,2285)="","",INDEX(BookInYear,2285))</f>
        <v/>
      </c>
      <c r="L2290" s="19"/>
      <c r="M2290" s="39"/>
      <c r="N2290" s="19"/>
      <c r="O2290" s="19"/>
      <c r="P2290" s="43" t="str">
        <f aca="false">IF($E2290="","",IF($L2290="Decline",0,IF($L2290="Approve fewer",IF($M2290="","",$M2290),IF($L2290="","",$I2290))))</f>
        <v/>
      </c>
      <c r="Q2290" s="34" t="str">
        <f aca="false">IF($P2290="","",IF($N2290&lt;&gt;"",$N2290,$J2290))</f>
        <v/>
      </c>
      <c r="R2290" s="35" t="str">
        <f aca="false">IF(OR($P2290="",$Q2290=""),"",INDEX(BookRate,2285)*$P2290*(5-MATCH($Q2290,{"Q1";"Q2";"Q3";"Q4"},0))/4+INDEX(BookOneOff,2285)*$P2290)</f>
        <v/>
      </c>
      <c r="S2290" s="35" t="str">
        <f aca="false">IF($P2290="","",INDEX(BookRate,2285)*$P2290)</f>
        <v/>
      </c>
      <c r="T2290" s="35" t="str">
        <f aca="false">IF($R2290="","",$R2290-$K2290)</f>
        <v/>
      </c>
      <c r="U2290" s="35" t="str">
        <f aca="false">IF(N($P2290)&lt;=0,"",COUNTIF($P$6:$P2290,"&gt;0"))</f>
        <v/>
      </c>
    </row>
    <row r="2291" customFormat="false" ht="15" hidden="false" customHeight="false" outlineLevel="0" collapsed="false">
      <c r="A2291" s="40" t="str">
        <f aca="false">IF(INDEX(BookTitle,2286)="","",INDEX(BookGroup,2286))</f>
        <v/>
      </c>
      <c r="B2291" s="40" t="str">
        <f aca="false">IF(INDEX(BookTitle,2286)="","",INDEX(BookRef,2286))</f>
        <v/>
      </c>
      <c r="C2291" s="40" t="str">
        <f aca="false">IF(INDEX(BookTitle,2286)="","",INDEX(BookDivision,2286))</f>
        <v/>
      </c>
      <c r="D2291" s="40" t="str">
        <f aca="false">IF(INDEX(BookTitle,2286)="","",INDEX(BookUnit,2286))</f>
        <v/>
      </c>
      <c r="E2291" s="40" t="str">
        <f aca="false">IF(INDEX(BookTitle,2286)="","",INDEX(BookTitle,2286))</f>
        <v/>
      </c>
      <c r="F2291" s="40" t="str">
        <f aca="false">IF(INDEX(BookTitle,2286)="","",INDEX(BookLevel,2286))</f>
        <v/>
      </c>
      <c r="G2291" s="40" t="str">
        <f aca="false">IF(INDEX(BookTitle,2286)="","",INDEX(BookCategory,2286))</f>
        <v/>
      </c>
      <c r="H2291" s="40" t="str">
        <f aca="false">IF(INDEX(BookTitle,2286)="","",INDEX(BookRank,2286))</f>
        <v/>
      </c>
      <c r="I2291" s="41" t="str">
        <f aca="false">IF(INDEX(BookTitle,2286)="","",INDEX(BookTotal,2286))</f>
        <v/>
      </c>
      <c r="J2291" s="0" t="str">
        <f aca="false">IF($I2291="","",IF(INDEX(BookQ1,2286)&gt;0,"Q1",IF(INDEX(BookQ2,2286)&gt;0,"Q2",IF(INDEX(BookQ3,2286)&gt;0,"Q3",IF(INDEX(BookQ4,2286)&gt;0,"Q4","")))))</f>
        <v/>
      </c>
      <c r="K2291" s="42" t="str">
        <f aca="false">IF(INDEX(BookTitle,2286)="","",INDEX(BookInYear,2286))</f>
        <v/>
      </c>
      <c r="L2291" s="19"/>
      <c r="M2291" s="39"/>
      <c r="N2291" s="19"/>
      <c r="O2291" s="19"/>
      <c r="P2291" s="43" t="str">
        <f aca="false">IF($E2291="","",IF($L2291="Decline",0,IF($L2291="Approve fewer",IF($M2291="","",$M2291),IF($L2291="","",$I2291))))</f>
        <v/>
      </c>
      <c r="Q2291" s="34" t="str">
        <f aca="false">IF($P2291="","",IF($N2291&lt;&gt;"",$N2291,$J2291))</f>
        <v/>
      </c>
      <c r="R2291" s="35" t="str">
        <f aca="false">IF(OR($P2291="",$Q2291=""),"",INDEX(BookRate,2286)*$P2291*(5-MATCH($Q2291,{"Q1";"Q2";"Q3";"Q4"},0))/4+INDEX(BookOneOff,2286)*$P2291)</f>
        <v/>
      </c>
      <c r="S2291" s="35" t="str">
        <f aca="false">IF($P2291="","",INDEX(BookRate,2286)*$P2291)</f>
        <v/>
      </c>
      <c r="T2291" s="35" t="str">
        <f aca="false">IF($R2291="","",$R2291-$K2291)</f>
        <v/>
      </c>
      <c r="U2291" s="35" t="str">
        <f aca="false">IF(N($P2291)&lt;=0,"",COUNTIF($P$6:$P2291,"&gt;0"))</f>
        <v/>
      </c>
    </row>
    <row r="2292" customFormat="false" ht="15" hidden="false" customHeight="false" outlineLevel="0" collapsed="false">
      <c r="A2292" s="40" t="str">
        <f aca="false">IF(INDEX(BookTitle,2287)="","",INDEX(BookGroup,2287))</f>
        <v/>
      </c>
      <c r="B2292" s="40" t="str">
        <f aca="false">IF(INDEX(BookTitle,2287)="","",INDEX(BookRef,2287))</f>
        <v/>
      </c>
      <c r="C2292" s="40" t="str">
        <f aca="false">IF(INDEX(BookTitle,2287)="","",INDEX(BookDivision,2287))</f>
        <v/>
      </c>
      <c r="D2292" s="40" t="str">
        <f aca="false">IF(INDEX(BookTitle,2287)="","",INDEX(BookUnit,2287))</f>
        <v/>
      </c>
      <c r="E2292" s="40" t="str">
        <f aca="false">IF(INDEX(BookTitle,2287)="","",INDEX(BookTitle,2287))</f>
        <v/>
      </c>
      <c r="F2292" s="40" t="str">
        <f aca="false">IF(INDEX(BookTitle,2287)="","",INDEX(BookLevel,2287))</f>
        <v/>
      </c>
      <c r="G2292" s="40" t="str">
        <f aca="false">IF(INDEX(BookTitle,2287)="","",INDEX(BookCategory,2287))</f>
        <v/>
      </c>
      <c r="H2292" s="40" t="str">
        <f aca="false">IF(INDEX(BookTitle,2287)="","",INDEX(BookRank,2287))</f>
        <v/>
      </c>
      <c r="I2292" s="41" t="str">
        <f aca="false">IF(INDEX(BookTitle,2287)="","",INDEX(BookTotal,2287))</f>
        <v/>
      </c>
      <c r="J2292" s="0" t="str">
        <f aca="false">IF($I2292="","",IF(INDEX(BookQ1,2287)&gt;0,"Q1",IF(INDEX(BookQ2,2287)&gt;0,"Q2",IF(INDEX(BookQ3,2287)&gt;0,"Q3",IF(INDEX(BookQ4,2287)&gt;0,"Q4","")))))</f>
        <v/>
      </c>
      <c r="K2292" s="42" t="str">
        <f aca="false">IF(INDEX(BookTitle,2287)="","",INDEX(BookInYear,2287))</f>
        <v/>
      </c>
      <c r="L2292" s="19"/>
      <c r="M2292" s="39"/>
      <c r="N2292" s="19"/>
      <c r="O2292" s="19"/>
      <c r="P2292" s="43" t="str">
        <f aca="false">IF($E2292="","",IF($L2292="Decline",0,IF($L2292="Approve fewer",IF($M2292="","",$M2292),IF($L2292="","",$I2292))))</f>
        <v/>
      </c>
      <c r="Q2292" s="34" t="str">
        <f aca="false">IF($P2292="","",IF($N2292&lt;&gt;"",$N2292,$J2292))</f>
        <v/>
      </c>
      <c r="R2292" s="35" t="str">
        <f aca="false">IF(OR($P2292="",$Q2292=""),"",INDEX(BookRate,2287)*$P2292*(5-MATCH($Q2292,{"Q1";"Q2";"Q3";"Q4"},0))/4+INDEX(BookOneOff,2287)*$P2292)</f>
        <v/>
      </c>
      <c r="S2292" s="35" t="str">
        <f aca="false">IF($P2292="","",INDEX(BookRate,2287)*$P2292)</f>
        <v/>
      </c>
      <c r="T2292" s="35" t="str">
        <f aca="false">IF($R2292="","",$R2292-$K2292)</f>
        <v/>
      </c>
      <c r="U2292" s="35" t="str">
        <f aca="false">IF(N($P2292)&lt;=0,"",COUNTIF($P$6:$P2292,"&gt;0"))</f>
        <v/>
      </c>
    </row>
    <row r="2293" customFormat="false" ht="15" hidden="false" customHeight="false" outlineLevel="0" collapsed="false">
      <c r="A2293" s="40" t="str">
        <f aca="false">IF(INDEX(BookTitle,2288)="","",INDEX(BookGroup,2288))</f>
        <v/>
      </c>
      <c r="B2293" s="40" t="str">
        <f aca="false">IF(INDEX(BookTitle,2288)="","",INDEX(BookRef,2288))</f>
        <v/>
      </c>
      <c r="C2293" s="40" t="str">
        <f aca="false">IF(INDEX(BookTitle,2288)="","",INDEX(BookDivision,2288))</f>
        <v/>
      </c>
      <c r="D2293" s="40" t="str">
        <f aca="false">IF(INDEX(BookTitle,2288)="","",INDEX(BookUnit,2288))</f>
        <v/>
      </c>
      <c r="E2293" s="40" t="str">
        <f aca="false">IF(INDEX(BookTitle,2288)="","",INDEX(BookTitle,2288))</f>
        <v/>
      </c>
      <c r="F2293" s="40" t="str">
        <f aca="false">IF(INDEX(BookTitle,2288)="","",INDEX(BookLevel,2288))</f>
        <v/>
      </c>
      <c r="G2293" s="40" t="str">
        <f aca="false">IF(INDEX(BookTitle,2288)="","",INDEX(BookCategory,2288))</f>
        <v/>
      </c>
      <c r="H2293" s="40" t="str">
        <f aca="false">IF(INDEX(BookTitle,2288)="","",INDEX(BookRank,2288))</f>
        <v/>
      </c>
      <c r="I2293" s="41" t="str">
        <f aca="false">IF(INDEX(BookTitle,2288)="","",INDEX(BookTotal,2288))</f>
        <v/>
      </c>
      <c r="J2293" s="0" t="str">
        <f aca="false">IF($I2293="","",IF(INDEX(BookQ1,2288)&gt;0,"Q1",IF(INDEX(BookQ2,2288)&gt;0,"Q2",IF(INDEX(BookQ3,2288)&gt;0,"Q3",IF(INDEX(BookQ4,2288)&gt;0,"Q4","")))))</f>
        <v/>
      </c>
      <c r="K2293" s="42" t="str">
        <f aca="false">IF(INDEX(BookTitle,2288)="","",INDEX(BookInYear,2288))</f>
        <v/>
      </c>
      <c r="L2293" s="19"/>
      <c r="M2293" s="39"/>
      <c r="N2293" s="19"/>
      <c r="O2293" s="19"/>
      <c r="P2293" s="43" t="str">
        <f aca="false">IF($E2293="","",IF($L2293="Decline",0,IF($L2293="Approve fewer",IF($M2293="","",$M2293),IF($L2293="","",$I2293))))</f>
        <v/>
      </c>
      <c r="Q2293" s="34" t="str">
        <f aca="false">IF($P2293="","",IF($N2293&lt;&gt;"",$N2293,$J2293))</f>
        <v/>
      </c>
      <c r="R2293" s="35" t="str">
        <f aca="false">IF(OR($P2293="",$Q2293=""),"",INDEX(BookRate,2288)*$P2293*(5-MATCH($Q2293,{"Q1";"Q2";"Q3";"Q4"},0))/4+INDEX(BookOneOff,2288)*$P2293)</f>
        <v/>
      </c>
      <c r="S2293" s="35" t="str">
        <f aca="false">IF($P2293="","",INDEX(BookRate,2288)*$P2293)</f>
        <v/>
      </c>
      <c r="T2293" s="35" t="str">
        <f aca="false">IF($R2293="","",$R2293-$K2293)</f>
        <v/>
      </c>
      <c r="U2293" s="35" t="str">
        <f aca="false">IF(N($P2293)&lt;=0,"",COUNTIF($P$6:$P2293,"&gt;0"))</f>
        <v/>
      </c>
    </row>
    <row r="2294" customFormat="false" ht="15" hidden="false" customHeight="false" outlineLevel="0" collapsed="false">
      <c r="A2294" s="40" t="str">
        <f aca="false">IF(INDEX(BookTitle,2289)="","",INDEX(BookGroup,2289))</f>
        <v/>
      </c>
      <c r="B2294" s="40" t="str">
        <f aca="false">IF(INDEX(BookTitle,2289)="","",INDEX(BookRef,2289))</f>
        <v/>
      </c>
      <c r="C2294" s="40" t="str">
        <f aca="false">IF(INDEX(BookTitle,2289)="","",INDEX(BookDivision,2289))</f>
        <v/>
      </c>
      <c r="D2294" s="40" t="str">
        <f aca="false">IF(INDEX(BookTitle,2289)="","",INDEX(BookUnit,2289))</f>
        <v/>
      </c>
      <c r="E2294" s="40" t="str">
        <f aca="false">IF(INDEX(BookTitle,2289)="","",INDEX(BookTitle,2289))</f>
        <v/>
      </c>
      <c r="F2294" s="40" t="str">
        <f aca="false">IF(INDEX(BookTitle,2289)="","",INDEX(BookLevel,2289))</f>
        <v/>
      </c>
      <c r="G2294" s="40" t="str">
        <f aca="false">IF(INDEX(BookTitle,2289)="","",INDEX(BookCategory,2289))</f>
        <v/>
      </c>
      <c r="H2294" s="40" t="str">
        <f aca="false">IF(INDEX(BookTitle,2289)="","",INDEX(BookRank,2289))</f>
        <v/>
      </c>
      <c r="I2294" s="41" t="str">
        <f aca="false">IF(INDEX(BookTitle,2289)="","",INDEX(BookTotal,2289))</f>
        <v/>
      </c>
      <c r="J2294" s="0" t="str">
        <f aca="false">IF($I2294="","",IF(INDEX(BookQ1,2289)&gt;0,"Q1",IF(INDEX(BookQ2,2289)&gt;0,"Q2",IF(INDEX(BookQ3,2289)&gt;0,"Q3",IF(INDEX(BookQ4,2289)&gt;0,"Q4","")))))</f>
        <v/>
      </c>
      <c r="K2294" s="42" t="str">
        <f aca="false">IF(INDEX(BookTitle,2289)="","",INDEX(BookInYear,2289))</f>
        <v/>
      </c>
      <c r="L2294" s="19"/>
      <c r="M2294" s="39"/>
      <c r="N2294" s="19"/>
      <c r="O2294" s="19"/>
      <c r="P2294" s="43" t="str">
        <f aca="false">IF($E2294="","",IF($L2294="Decline",0,IF($L2294="Approve fewer",IF($M2294="","",$M2294),IF($L2294="","",$I2294))))</f>
        <v/>
      </c>
      <c r="Q2294" s="34" t="str">
        <f aca="false">IF($P2294="","",IF($N2294&lt;&gt;"",$N2294,$J2294))</f>
        <v/>
      </c>
      <c r="R2294" s="35" t="str">
        <f aca="false">IF(OR($P2294="",$Q2294=""),"",INDEX(BookRate,2289)*$P2294*(5-MATCH($Q2294,{"Q1";"Q2";"Q3";"Q4"},0))/4+INDEX(BookOneOff,2289)*$P2294)</f>
        <v/>
      </c>
      <c r="S2294" s="35" t="str">
        <f aca="false">IF($P2294="","",INDEX(BookRate,2289)*$P2294)</f>
        <v/>
      </c>
      <c r="T2294" s="35" t="str">
        <f aca="false">IF($R2294="","",$R2294-$K2294)</f>
        <v/>
      </c>
      <c r="U2294" s="35" t="str">
        <f aca="false">IF(N($P2294)&lt;=0,"",COUNTIF($P$6:$P2294,"&gt;0"))</f>
        <v/>
      </c>
    </row>
    <row r="2295" customFormat="false" ht="15" hidden="false" customHeight="false" outlineLevel="0" collapsed="false">
      <c r="A2295" s="40" t="str">
        <f aca="false">IF(INDEX(BookTitle,2290)="","",INDEX(BookGroup,2290))</f>
        <v/>
      </c>
      <c r="B2295" s="40" t="str">
        <f aca="false">IF(INDEX(BookTitle,2290)="","",INDEX(BookRef,2290))</f>
        <v/>
      </c>
      <c r="C2295" s="40" t="str">
        <f aca="false">IF(INDEX(BookTitle,2290)="","",INDEX(BookDivision,2290))</f>
        <v/>
      </c>
      <c r="D2295" s="40" t="str">
        <f aca="false">IF(INDEX(BookTitle,2290)="","",INDEX(BookUnit,2290))</f>
        <v/>
      </c>
      <c r="E2295" s="40" t="str">
        <f aca="false">IF(INDEX(BookTitle,2290)="","",INDEX(BookTitle,2290))</f>
        <v/>
      </c>
      <c r="F2295" s="40" t="str">
        <f aca="false">IF(INDEX(BookTitle,2290)="","",INDEX(BookLevel,2290))</f>
        <v/>
      </c>
      <c r="G2295" s="40" t="str">
        <f aca="false">IF(INDEX(BookTitle,2290)="","",INDEX(BookCategory,2290))</f>
        <v/>
      </c>
      <c r="H2295" s="40" t="str">
        <f aca="false">IF(INDEX(BookTitle,2290)="","",INDEX(BookRank,2290))</f>
        <v/>
      </c>
      <c r="I2295" s="41" t="str">
        <f aca="false">IF(INDEX(BookTitle,2290)="","",INDEX(BookTotal,2290))</f>
        <v/>
      </c>
      <c r="J2295" s="0" t="str">
        <f aca="false">IF($I2295="","",IF(INDEX(BookQ1,2290)&gt;0,"Q1",IF(INDEX(BookQ2,2290)&gt;0,"Q2",IF(INDEX(BookQ3,2290)&gt;0,"Q3",IF(INDEX(BookQ4,2290)&gt;0,"Q4","")))))</f>
        <v/>
      </c>
      <c r="K2295" s="42" t="str">
        <f aca="false">IF(INDEX(BookTitle,2290)="","",INDEX(BookInYear,2290))</f>
        <v/>
      </c>
      <c r="L2295" s="19"/>
      <c r="M2295" s="39"/>
      <c r="N2295" s="19"/>
      <c r="O2295" s="19"/>
      <c r="P2295" s="43" t="str">
        <f aca="false">IF($E2295="","",IF($L2295="Decline",0,IF($L2295="Approve fewer",IF($M2295="","",$M2295),IF($L2295="","",$I2295))))</f>
        <v/>
      </c>
      <c r="Q2295" s="34" t="str">
        <f aca="false">IF($P2295="","",IF($N2295&lt;&gt;"",$N2295,$J2295))</f>
        <v/>
      </c>
      <c r="R2295" s="35" t="str">
        <f aca="false">IF(OR($P2295="",$Q2295=""),"",INDEX(BookRate,2290)*$P2295*(5-MATCH($Q2295,{"Q1";"Q2";"Q3";"Q4"},0))/4+INDEX(BookOneOff,2290)*$P2295)</f>
        <v/>
      </c>
      <c r="S2295" s="35" t="str">
        <f aca="false">IF($P2295="","",INDEX(BookRate,2290)*$P2295)</f>
        <v/>
      </c>
      <c r="T2295" s="35" t="str">
        <f aca="false">IF($R2295="","",$R2295-$K2295)</f>
        <v/>
      </c>
      <c r="U2295" s="35" t="str">
        <f aca="false">IF(N($P2295)&lt;=0,"",COUNTIF($P$6:$P2295,"&gt;0"))</f>
        <v/>
      </c>
    </row>
    <row r="2296" customFormat="false" ht="15" hidden="false" customHeight="false" outlineLevel="0" collapsed="false">
      <c r="A2296" s="40" t="str">
        <f aca="false">IF(INDEX(BookTitle,2291)="","",INDEX(BookGroup,2291))</f>
        <v/>
      </c>
      <c r="B2296" s="40" t="str">
        <f aca="false">IF(INDEX(BookTitle,2291)="","",INDEX(BookRef,2291))</f>
        <v/>
      </c>
      <c r="C2296" s="40" t="str">
        <f aca="false">IF(INDEX(BookTitle,2291)="","",INDEX(BookDivision,2291))</f>
        <v/>
      </c>
      <c r="D2296" s="40" t="str">
        <f aca="false">IF(INDEX(BookTitle,2291)="","",INDEX(BookUnit,2291))</f>
        <v/>
      </c>
      <c r="E2296" s="40" t="str">
        <f aca="false">IF(INDEX(BookTitle,2291)="","",INDEX(BookTitle,2291))</f>
        <v/>
      </c>
      <c r="F2296" s="40" t="str">
        <f aca="false">IF(INDEX(BookTitle,2291)="","",INDEX(BookLevel,2291))</f>
        <v/>
      </c>
      <c r="G2296" s="40" t="str">
        <f aca="false">IF(INDEX(BookTitle,2291)="","",INDEX(BookCategory,2291))</f>
        <v/>
      </c>
      <c r="H2296" s="40" t="str">
        <f aca="false">IF(INDEX(BookTitle,2291)="","",INDEX(BookRank,2291))</f>
        <v/>
      </c>
      <c r="I2296" s="41" t="str">
        <f aca="false">IF(INDEX(BookTitle,2291)="","",INDEX(BookTotal,2291))</f>
        <v/>
      </c>
      <c r="J2296" s="0" t="str">
        <f aca="false">IF($I2296="","",IF(INDEX(BookQ1,2291)&gt;0,"Q1",IF(INDEX(BookQ2,2291)&gt;0,"Q2",IF(INDEX(BookQ3,2291)&gt;0,"Q3",IF(INDEX(BookQ4,2291)&gt;0,"Q4","")))))</f>
        <v/>
      </c>
      <c r="K2296" s="42" t="str">
        <f aca="false">IF(INDEX(BookTitle,2291)="","",INDEX(BookInYear,2291))</f>
        <v/>
      </c>
      <c r="L2296" s="19"/>
      <c r="M2296" s="39"/>
      <c r="N2296" s="19"/>
      <c r="O2296" s="19"/>
      <c r="P2296" s="43" t="str">
        <f aca="false">IF($E2296="","",IF($L2296="Decline",0,IF($L2296="Approve fewer",IF($M2296="","",$M2296),IF($L2296="","",$I2296))))</f>
        <v/>
      </c>
      <c r="Q2296" s="34" t="str">
        <f aca="false">IF($P2296="","",IF($N2296&lt;&gt;"",$N2296,$J2296))</f>
        <v/>
      </c>
      <c r="R2296" s="35" t="str">
        <f aca="false">IF(OR($P2296="",$Q2296=""),"",INDEX(BookRate,2291)*$P2296*(5-MATCH($Q2296,{"Q1";"Q2";"Q3";"Q4"},0))/4+INDEX(BookOneOff,2291)*$P2296)</f>
        <v/>
      </c>
      <c r="S2296" s="35" t="str">
        <f aca="false">IF($P2296="","",INDEX(BookRate,2291)*$P2296)</f>
        <v/>
      </c>
      <c r="T2296" s="35" t="str">
        <f aca="false">IF($R2296="","",$R2296-$K2296)</f>
        <v/>
      </c>
      <c r="U2296" s="35" t="str">
        <f aca="false">IF(N($P2296)&lt;=0,"",COUNTIF($P$6:$P2296,"&gt;0"))</f>
        <v/>
      </c>
    </row>
    <row r="2297" customFormat="false" ht="15" hidden="false" customHeight="false" outlineLevel="0" collapsed="false">
      <c r="A2297" s="40" t="str">
        <f aca="false">IF(INDEX(BookTitle,2292)="","",INDEX(BookGroup,2292))</f>
        <v/>
      </c>
      <c r="B2297" s="40" t="str">
        <f aca="false">IF(INDEX(BookTitle,2292)="","",INDEX(BookRef,2292))</f>
        <v/>
      </c>
      <c r="C2297" s="40" t="str">
        <f aca="false">IF(INDEX(BookTitle,2292)="","",INDEX(BookDivision,2292))</f>
        <v/>
      </c>
      <c r="D2297" s="40" t="str">
        <f aca="false">IF(INDEX(BookTitle,2292)="","",INDEX(BookUnit,2292))</f>
        <v/>
      </c>
      <c r="E2297" s="40" t="str">
        <f aca="false">IF(INDEX(BookTitle,2292)="","",INDEX(BookTitle,2292))</f>
        <v/>
      </c>
      <c r="F2297" s="40" t="str">
        <f aca="false">IF(INDEX(BookTitle,2292)="","",INDEX(BookLevel,2292))</f>
        <v/>
      </c>
      <c r="G2297" s="40" t="str">
        <f aca="false">IF(INDEX(BookTitle,2292)="","",INDEX(BookCategory,2292))</f>
        <v/>
      </c>
      <c r="H2297" s="40" t="str">
        <f aca="false">IF(INDEX(BookTitle,2292)="","",INDEX(BookRank,2292))</f>
        <v/>
      </c>
      <c r="I2297" s="41" t="str">
        <f aca="false">IF(INDEX(BookTitle,2292)="","",INDEX(BookTotal,2292))</f>
        <v/>
      </c>
      <c r="J2297" s="0" t="str">
        <f aca="false">IF($I2297="","",IF(INDEX(BookQ1,2292)&gt;0,"Q1",IF(INDEX(BookQ2,2292)&gt;0,"Q2",IF(INDEX(BookQ3,2292)&gt;0,"Q3",IF(INDEX(BookQ4,2292)&gt;0,"Q4","")))))</f>
        <v/>
      </c>
      <c r="K2297" s="42" t="str">
        <f aca="false">IF(INDEX(BookTitle,2292)="","",INDEX(BookInYear,2292))</f>
        <v/>
      </c>
      <c r="L2297" s="19"/>
      <c r="M2297" s="39"/>
      <c r="N2297" s="19"/>
      <c r="O2297" s="19"/>
      <c r="P2297" s="43" t="str">
        <f aca="false">IF($E2297="","",IF($L2297="Decline",0,IF($L2297="Approve fewer",IF($M2297="","",$M2297),IF($L2297="","",$I2297))))</f>
        <v/>
      </c>
      <c r="Q2297" s="34" t="str">
        <f aca="false">IF($P2297="","",IF($N2297&lt;&gt;"",$N2297,$J2297))</f>
        <v/>
      </c>
      <c r="R2297" s="35" t="str">
        <f aca="false">IF(OR($P2297="",$Q2297=""),"",INDEX(BookRate,2292)*$P2297*(5-MATCH($Q2297,{"Q1";"Q2";"Q3";"Q4"},0))/4+INDEX(BookOneOff,2292)*$P2297)</f>
        <v/>
      </c>
      <c r="S2297" s="35" t="str">
        <f aca="false">IF($P2297="","",INDEX(BookRate,2292)*$P2297)</f>
        <v/>
      </c>
      <c r="T2297" s="35" t="str">
        <f aca="false">IF($R2297="","",$R2297-$K2297)</f>
        <v/>
      </c>
      <c r="U2297" s="35" t="str">
        <f aca="false">IF(N($P2297)&lt;=0,"",COUNTIF($P$6:$P2297,"&gt;0"))</f>
        <v/>
      </c>
    </row>
    <row r="2298" customFormat="false" ht="15" hidden="false" customHeight="false" outlineLevel="0" collapsed="false">
      <c r="A2298" s="40" t="str">
        <f aca="false">IF(INDEX(BookTitle,2293)="","",INDEX(BookGroup,2293))</f>
        <v/>
      </c>
      <c r="B2298" s="40" t="str">
        <f aca="false">IF(INDEX(BookTitle,2293)="","",INDEX(BookRef,2293))</f>
        <v/>
      </c>
      <c r="C2298" s="40" t="str">
        <f aca="false">IF(INDEX(BookTitle,2293)="","",INDEX(BookDivision,2293))</f>
        <v/>
      </c>
      <c r="D2298" s="40" t="str">
        <f aca="false">IF(INDEX(BookTitle,2293)="","",INDEX(BookUnit,2293))</f>
        <v/>
      </c>
      <c r="E2298" s="40" t="str">
        <f aca="false">IF(INDEX(BookTitle,2293)="","",INDEX(BookTitle,2293))</f>
        <v/>
      </c>
      <c r="F2298" s="40" t="str">
        <f aca="false">IF(INDEX(BookTitle,2293)="","",INDEX(BookLevel,2293))</f>
        <v/>
      </c>
      <c r="G2298" s="40" t="str">
        <f aca="false">IF(INDEX(BookTitle,2293)="","",INDEX(BookCategory,2293))</f>
        <v/>
      </c>
      <c r="H2298" s="40" t="str">
        <f aca="false">IF(INDEX(BookTitle,2293)="","",INDEX(BookRank,2293))</f>
        <v/>
      </c>
      <c r="I2298" s="41" t="str">
        <f aca="false">IF(INDEX(BookTitle,2293)="","",INDEX(BookTotal,2293))</f>
        <v/>
      </c>
      <c r="J2298" s="0" t="str">
        <f aca="false">IF($I2298="","",IF(INDEX(BookQ1,2293)&gt;0,"Q1",IF(INDEX(BookQ2,2293)&gt;0,"Q2",IF(INDEX(BookQ3,2293)&gt;0,"Q3",IF(INDEX(BookQ4,2293)&gt;0,"Q4","")))))</f>
        <v/>
      </c>
      <c r="K2298" s="42" t="str">
        <f aca="false">IF(INDEX(BookTitle,2293)="","",INDEX(BookInYear,2293))</f>
        <v/>
      </c>
      <c r="L2298" s="19"/>
      <c r="M2298" s="39"/>
      <c r="N2298" s="19"/>
      <c r="O2298" s="19"/>
      <c r="P2298" s="43" t="str">
        <f aca="false">IF($E2298="","",IF($L2298="Decline",0,IF($L2298="Approve fewer",IF($M2298="","",$M2298),IF($L2298="","",$I2298))))</f>
        <v/>
      </c>
      <c r="Q2298" s="34" t="str">
        <f aca="false">IF($P2298="","",IF($N2298&lt;&gt;"",$N2298,$J2298))</f>
        <v/>
      </c>
      <c r="R2298" s="35" t="str">
        <f aca="false">IF(OR($P2298="",$Q2298=""),"",INDEX(BookRate,2293)*$P2298*(5-MATCH($Q2298,{"Q1";"Q2";"Q3";"Q4"},0))/4+INDEX(BookOneOff,2293)*$P2298)</f>
        <v/>
      </c>
      <c r="S2298" s="35" t="str">
        <f aca="false">IF($P2298="","",INDEX(BookRate,2293)*$P2298)</f>
        <v/>
      </c>
      <c r="T2298" s="35" t="str">
        <f aca="false">IF($R2298="","",$R2298-$K2298)</f>
        <v/>
      </c>
      <c r="U2298" s="35" t="str">
        <f aca="false">IF(N($P2298)&lt;=0,"",COUNTIF($P$6:$P2298,"&gt;0"))</f>
        <v/>
      </c>
    </row>
    <row r="2299" customFormat="false" ht="15" hidden="false" customHeight="false" outlineLevel="0" collapsed="false">
      <c r="A2299" s="40" t="str">
        <f aca="false">IF(INDEX(BookTitle,2294)="","",INDEX(BookGroup,2294))</f>
        <v/>
      </c>
      <c r="B2299" s="40" t="str">
        <f aca="false">IF(INDEX(BookTitle,2294)="","",INDEX(BookRef,2294))</f>
        <v/>
      </c>
      <c r="C2299" s="40" t="str">
        <f aca="false">IF(INDEX(BookTitle,2294)="","",INDEX(BookDivision,2294))</f>
        <v/>
      </c>
      <c r="D2299" s="40" t="str">
        <f aca="false">IF(INDEX(BookTitle,2294)="","",INDEX(BookUnit,2294))</f>
        <v/>
      </c>
      <c r="E2299" s="40" t="str">
        <f aca="false">IF(INDEX(BookTitle,2294)="","",INDEX(BookTitle,2294))</f>
        <v/>
      </c>
      <c r="F2299" s="40" t="str">
        <f aca="false">IF(INDEX(BookTitle,2294)="","",INDEX(BookLevel,2294))</f>
        <v/>
      </c>
      <c r="G2299" s="40" t="str">
        <f aca="false">IF(INDEX(BookTitle,2294)="","",INDEX(BookCategory,2294))</f>
        <v/>
      </c>
      <c r="H2299" s="40" t="str">
        <f aca="false">IF(INDEX(BookTitle,2294)="","",INDEX(BookRank,2294))</f>
        <v/>
      </c>
      <c r="I2299" s="41" t="str">
        <f aca="false">IF(INDEX(BookTitle,2294)="","",INDEX(BookTotal,2294))</f>
        <v/>
      </c>
      <c r="J2299" s="0" t="str">
        <f aca="false">IF($I2299="","",IF(INDEX(BookQ1,2294)&gt;0,"Q1",IF(INDEX(BookQ2,2294)&gt;0,"Q2",IF(INDEX(BookQ3,2294)&gt;0,"Q3",IF(INDEX(BookQ4,2294)&gt;0,"Q4","")))))</f>
        <v/>
      </c>
      <c r="K2299" s="42" t="str">
        <f aca="false">IF(INDEX(BookTitle,2294)="","",INDEX(BookInYear,2294))</f>
        <v/>
      </c>
      <c r="L2299" s="19"/>
      <c r="M2299" s="39"/>
      <c r="N2299" s="19"/>
      <c r="O2299" s="19"/>
      <c r="P2299" s="43" t="str">
        <f aca="false">IF($E2299="","",IF($L2299="Decline",0,IF($L2299="Approve fewer",IF($M2299="","",$M2299),IF($L2299="","",$I2299))))</f>
        <v/>
      </c>
      <c r="Q2299" s="34" t="str">
        <f aca="false">IF($P2299="","",IF($N2299&lt;&gt;"",$N2299,$J2299))</f>
        <v/>
      </c>
      <c r="R2299" s="35" t="str">
        <f aca="false">IF(OR($P2299="",$Q2299=""),"",INDEX(BookRate,2294)*$P2299*(5-MATCH($Q2299,{"Q1";"Q2";"Q3";"Q4"},0))/4+INDEX(BookOneOff,2294)*$P2299)</f>
        <v/>
      </c>
      <c r="S2299" s="35" t="str">
        <f aca="false">IF($P2299="","",INDEX(BookRate,2294)*$P2299)</f>
        <v/>
      </c>
      <c r="T2299" s="35" t="str">
        <f aca="false">IF($R2299="","",$R2299-$K2299)</f>
        <v/>
      </c>
      <c r="U2299" s="35" t="str">
        <f aca="false">IF(N($P2299)&lt;=0,"",COUNTIF($P$6:$P2299,"&gt;0"))</f>
        <v/>
      </c>
    </row>
    <row r="2300" customFormat="false" ht="15" hidden="false" customHeight="false" outlineLevel="0" collapsed="false">
      <c r="A2300" s="40" t="str">
        <f aca="false">IF(INDEX(BookTitle,2295)="","",INDEX(BookGroup,2295))</f>
        <v/>
      </c>
      <c r="B2300" s="40" t="str">
        <f aca="false">IF(INDEX(BookTitle,2295)="","",INDEX(BookRef,2295))</f>
        <v/>
      </c>
      <c r="C2300" s="40" t="str">
        <f aca="false">IF(INDEX(BookTitle,2295)="","",INDEX(BookDivision,2295))</f>
        <v/>
      </c>
      <c r="D2300" s="40" t="str">
        <f aca="false">IF(INDEX(BookTitle,2295)="","",INDEX(BookUnit,2295))</f>
        <v/>
      </c>
      <c r="E2300" s="40" t="str">
        <f aca="false">IF(INDEX(BookTitle,2295)="","",INDEX(BookTitle,2295))</f>
        <v/>
      </c>
      <c r="F2300" s="40" t="str">
        <f aca="false">IF(INDEX(BookTitle,2295)="","",INDEX(BookLevel,2295))</f>
        <v/>
      </c>
      <c r="G2300" s="40" t="str">
        <f aca="false">IF(INDEX(BookTitle,2295)="","",INDEX(BookCategory,2295))</f>
        <v/>
      </c>
      <c r="H2300" s="40" t="str">
        <f aca="false">IF(INDEX(BookTitle,2295)="","",INDEX(BookRank,2295))</f>
        <v/>
      </c>
      <c r="I2300" s="41" t="str">
        <f aca="false">IF(INDEX(BookTitle,2295)="","",INDEX(BookTotal,2295))</f>
        <v/>
      </c>
      <c r="J2300" s="0" t="str">
        <f aca="false">IF($I2300="","",IF(INDEX(BookQ1,2295)&gt;0,"Q1",IF(INDEX(BookQ2,2295)&gt;0,"Q2",IF(INDEX(BookQ3,2295)&gt;0,"Q3",IF(INDEX(BookQ4,2295)&gt;0,"Q4","")))))</f>
        <v/>
      </c>
      <c r="K2300" s="42" t="str">
        <f aca="false">IF(INDEX(BookTitle,2295)="","",INDEX(BookInYear,2295))</f>
        <v/>
      </c>
      <c r="L2300" s="19"/>
      <c r="M2300" s="39"/>
      <c r="N2300" s="19"/>
      <c r="O2300" s="19"/>
      <c r="P2300" s="43" t="str">
        <f aca="false">IF($E2300="","",IF($L2300="Decline",0,IF($L2300="Approve fewer",IF($M2300="","",$M2300),IF($L2300="","",$I2300))))</f>
        <v/>
      </c>
      <c r="Q2300" s="34" t="str">
        <f aca="false">IF($P2300="","",IF($N2300&lt;&gt;"",$N2300,$J2300))</f>
        <v/>
      </c>
      <c r="R2300" s="35" t="str">
        <f aca="false">IF(OR($P2300="",$Q2300=""),"",INDEX(BookRate,2295)*$P2300*(5-MATCH($Q2300,{"Q1";"Q2";"Q3";"Q4"},0))/4+INDEX(BookOneOff,2295)*$P2300)</f>
        <v/>
      </c>
      <c r="S2300" s="35" t="str">
        <f aca="false">IF($P2300="","",INDEX(BookRate,2295)*$P2300)</f>
        <v/>
      </c>
      <c r="T2300" s="35" t="str">
        <f aca="false">IF($R2300="","",$R2300-$K2300)</f>
        <v/>
      </c>
      <c r="U2300" s="35" t="str">
        <f aca="false">IF(N($P2300)&lt;=0,"",COUNTIF($P$6:$P2300,"&gt;0"))</f>
        <v/>
      </c>
    </row>
    <row r="2301" customFormat="false" ht="15" hidden="false" customHeight="false" outlineLevel="0" collapsed="false">
      <c r="A2301" s="40" t="str">
        <f aca="false">IF(INDEX(BookTitle,2296)="","",INDEX(BookGroup,2296))</f>
        <v/>
      </c>
      <c r="B2301" s="40" t="str">
        <f aca="false">IF(INDEX(BookTitle,2296)="","",INDEX(BookRef,2296))</f>
        <v/>
      </c>
      <c r="C2301" s="40" t="str">
        <f aca="false">IF(INDEX(BookTitle,2296)="","",INDEX(BookDivision,2296))</f>
        <v/>
      </c>
      <c r="D2301" s="40" t="str">
        <f aca="false">IF(INDEX(BookTitle,2296)="","",INDEX(BookUnit,2296))</f>
        <v/>
      </c>
      <c r="E2301" s="40" t="str">
        <f aca="false">IF(INDEX(BookTitle,2296)="","",INDEX(BookTitle,2296))</f>
        <v/>
      </c>
      <c r="F2301" s="40" t="str">
        <f aca="false">IF(INDEX(BookTitle,2296)="","",INDEX(BookLevel,2296))</f>
        <v/>
      </c>
      <c r="G2301" s="40" t="str">
        <f aca="false">IF(INDEX(BookTitle,2296)="","",INDEX(BookCategory,2296))</f>
        <v/>
      </c>
      <c r="H2301" s="40" t="str">
        <f aca="false">IF(INDEX(BookTitle,2296)="","",INDEX(BookRank,2296))</f>
        <v/>
      </c>
      <c r="I2301" s="41" t="str">
        <f aca="false">IF(INDEX(BookTitle,2296)="","",INDEX(BookTotal,2296))</f>
        <v/>
      </c>
      <c r="J2301" s="0" t="str">
        <f aca="false">IF($I2301="","",IF(INDEX(BookQ1,2296)&gt;0,"Q1",IF(INDEX(BookQ2,2296)&gt;0,"Q2",IF(INDEX(BookQ3,2296)&gt;0,"Q3",IF(INDEX(BookQ4,2296)&gt;0,"Q4","")))))</f>
        <v/>
      </c>
      <c r="K2301" s="42" t="str">
        <f aca="false">IF(INDEX(BookTitle,2296)="","",INDEX(BookInYear,2296))</f>
        <v/>
      </c>
      <c r="L2301" s="19"/>
      <c r="M2301" s="39"/>
      <c r="N2301" s="19"/>
      <c r="O2301" s="19"/>
      <c r="P2301" s="43" t="str">
        <f aca="false">IF($E2301="","",IF($L2301="Decline",0,IF($L2301="Approve fewer",IF($M2301="","",$M2301),IF($L2301="","",$I2301))))</f>
        <v/>
      </c>
      <c r="Q2301" s="34" t="str">
        <f aca="false">IF($P2301="","",IF($N2301&lt;&gt;"",$N2301,$J2301))</f>
        <v/>
      </c>
      <c r="R2301" s="35" t="str">
        <f aca="false">IF(OR($P2301="",$Q2301=""),"",INDEX(BookRate,2296)*$P2301*(5-MATCH($Q2301,{"Q1";"Q2";"Q3";"Q4"},0))/4+INDEX(BookOneOff,2296)*$P2301)</f>
        <v/>
      </c>
      <c r="S2301" s="35" t="str">
        <f aca="false">IF($P2301="","",INDEX(BookRate,2296)*$P2301)</f>
        <v/>
      </c>
      <c r="T2301" s="35" t="str">
        <f aca="false">IF($R2301="","",$R2301-$K2301)</f>
        <v/>
      </c>
      <c r="U2301" s="35" t="str">
        <f aca="false">IF(N($P2301)&lt;=0,"",COUNTIF($P$6:$P2301,"&gt;0"))</f>
        <v/>
      </c>
    </row>
    <row r="2302" customFormat="false" ht="15" hidden="false" customHeight="false" outlineLevel="0" collapsed="false">
      <c r="A2302" s="40" t="str">
        <f aca="false">IF(INDEX(BookTitle,2297)="","",INDEX(BookGroup,2297))</f>
        <v/>
      </c>
      <c r="B2302" s="40" t="str">
        <f aca="false">IF(INDEX(BookTitle,2297)="","",INDEX(BookRef,2297))</f>
        <v/>
      </c>
      <c r="C2302" s="40" t="str">
        <f aca="false">IF(INDEX(BookTitle,2297)="","",INDEX(BookDivision,2297))</f>
        <v/>
      </c>
      <c r="D2302" s="40" t="str">
        <f aca="false">IF(INDEX(BookTitle,2297)="","",INDEX(BookUnit,2297))</f>
        <v/>
      </c>
      <c r="E2302" s="40" t="str">
        <f aca="false">IF(INDEX(BookTitle,2297)="","",INDEX(BookTitle,2297))</f>
        <v/>
      </c>
      <c r="F2302" s="40" t="str">
        <f aca="false">IF(INDEX(BookTitle,2297)="","",INDEX(BookLevel,2297))</f>
        <v/>
      </c>
      <c r="G2302" s="40" t="str">
        <f aca="false">IF(INDEX(BookTitle,2297)="","",INDEX(BookCategory,2297))</f>
        <v/>
      </c>
      <c r="H2302" s="40" t="str">
        <f aca="false">IF(INDEX(BookTitle,2297)="","",INDEX(BookRank,2297))</f>
        <v/>
      </c>
      <c r="I2302" s="41" t="str">
        <f aca="false">IF(INDEX(BookTitle,2297)="","",INDEX(BookTotal,2297))</f>
        <v/>
      </c>
      <c r="J2302" s="0" t="str">
        <f aca="false">IF($I2302="","",IF(INDEX(BookQ1,2297)&gt;0,"Q1",IF(INDEX(BookQ2,2297)&gt;0,"Q2",IF(INDEX(BookQ3,2297)&gt;0,"Q3",IF(INDEX(BookQ4,2297)&gt;0,"Q4","")))))</f>
        <v/>
      </c>
      <c r="K2302" s="42" t="str">
        <f aca="false">IF(INDEX(BookTitle,2297)="","",INDEX(BookInYear,2297))</f>
        <v/>
      </c>
      <c r="L2302" s="19"/>
      <c r="M2302" s="39"/>
      <c r="N2302" s="19"/>
      <c r="O2302" s="19"/>
      <c r="P2302" s="43" t="str">
        <f aca="false">IF($E2302="","",IF($L2302="Decline",0,IF($L2302="Approve fewer",IF($M2302="","",$M2302),IF($L2302="","",$I2302))))</f>
        <v/>
      </c>
      <c r="Q2302" s="34" t="str">
        <f aca="false">IF($P2302="","",IF($N2302&lt;&gt;"",$N2302,$J2302))</f>
        <v/>
      </c>
      <c r="R2302" s="35" t="str">
        <f aca="false">IF(OR($P2302="",$Q2302=""),"",INDEX(BookRate,2297)*$P2302*(5-MATCH($Q2302,{"Q1";"Q2";"Q3";"Q4"},0))/4+INDEX(BookOneOff,2297)*$P2302)</f>
        <v/>
      </c>
      <c r="S2302" s="35" t="str">
        <f aca="false">IF($P2302="","",INDEX(BookRate,2297)*$P2302)</f>
        <v/>
      </c>
      <c r="T2302" s="35" t="str">
        <f aca="false">IF($R2302="","",$R2302-$K2302)</f>
        <v/>
      </c>
      <c r="U2302" s="35" t="str">
        <f aca="false">IF(N($P2302)&lt;=0,"",COUNTIF($P$6:$P2302,"&gt;0"))</f>
        <v/>
      </c>
    </row>
    <row r="2303" customFormat="false" ht="15" hidden="false" customHeight="false" outlineLevel="0" collapsed="false">
      <c r="A2303" s="40" t="str">
        <f aca="false">IF(INDEX(BookTitle,2298)="","",INDEX(BookGroup,2298))</f>
        <v/>
      </c>
      <c r="B2303" s="40" t="str">
        <f aca="false">IF(INDEX(BookTitle,2298)="","",INDEX(BookRef,2298))</f>
        <v/>
      </c>
      <c r="C2303" s="40" t="str">
        <f aca="false">IF(INDEX(BookTitle,2298)="","",INDEX(BookDivision,2298))</f>
        <v/>
      </c>
      <c r="D2303" s="40" t="str">
        <f aca="false">IF(INDEX(BookTitle,2298)="","",INDEX(BookUnit,2298))</f>
        <v/>
      </c>
      <c r="E2303" s="40" t="str">
        <f aca="false">IF(INDEX(BookTitle,2298)="","",INDEX(BookTitle,2298))</f>
        <v/>
      </c>
      <c r="F2303" s="40" t="str">
        <f aca="false">IF(INDEX(BookTitle,2298)="","",INDEX(BookLevel,2298))</f>
        <v/>
      </c>
      <c r="G2303" s="40" t="str">
        <f aca="false">IF(INDEX(BookTitle,2298)="","",INDEX(BookCategory,2298))</f>
        <v/>
      </c>
      <c r="H2303" s="40" t="str">
        <f aca="false">IF(INDEX(BookTitle,2298)="","",INDEX(BookRank,2298))</f>
        <v/>
      </c>
      <c r="I2303" s="41" t="str">
        <f aca="false">IF(INDEX(BookTitle,2298)="","",INDEX(BookTotal,2298))</f>
        <v/>
      </c>
      <c r="J2303" s="0" t="str">
        <f aca="false">IF($I2303="","",IF(INDEX(BookQ1,2298)&gt;0,"Q1",IF(INDEX(BookQ2,2298)&gt;0,"Q2",IF(INDEX(BookQ3,2298)&gt;0,"Q3",IF(INDEX(BookQ4,2298)&gt;0,"Q4","")))))</f>
        <v/>
      </c>
      <c r="K2303" s="42" t="str">
        <f aca="false">IF(INDEX(BookTitle,2298)="","",INDEX(BookInYear,2298))</f>
        <v/>
      </c>
      <c r="L2303" s="19"/>
      <c r="M2303" s="39"/>
      <c r="N2303" s="19"/>
      <c r="O2303" s="19"/>
      <c r="P2303" s="43" t="str">
        <f aca="false">IF($E2303="","",IF($L2303="Decline",0,IF($L2303="Approve fewer",IF($M2303="","",$M2303),IF($L2303="","",$I2303))))</f>
        <v/>
      </c>
      <c r="Q2303" s="34" t="str">
        <f aca="false">IF($P2303="","",IF($N2303&lt;&gt;"",$N2303,$J2303))</f>
        <v/>
      </c>
      <c r="R2303" s="35" t="str">
        <f aca="false">IF(OR($P2303="",$Q2303=""),"",INDEX(BookRate,2298)*$P2303*(5-MATCH($Q2303,{"Q1";"Q2";"Q3";"Q4"},0))/4+INDEX(BookOneOff,2298)*$P2303)</f>
        <v/>
      </c>
      <c r="S2303" s="35" t="str">
        <f aca="false">IF($P2303="","",INDEX(BookRate,2298)*$P2303)</f>
        <v/>
      </c>
      <c r="T2303" s="35" t="str">
        <f aca="false">IF($R2303="","",$R2303-$K2303)</f>
        <v/>
      </c>
      <c r="U2303" s="35" t="str">
        <f aca="false">IF(N($P2303)&lt;=0,"",COUNTIF($P$6:$P2303,"&gt;0"))</f>
        <v/>
      </c>
    </row>
    <row r="2304" customFormat="false" ht="15" hidden="false" customHeight="false" outlineLevel="0" collapsed="false">
      <c r="A2304" s="40" t="str">
        <f aca="false">IF(INDEX(BookTitle,2299)="","",INDEX(BookGroup,2299))</f>
        <v/>
      </c>
      <c r="B2304" s="40" t="str">
        <f aca="false">IF(INDEX(BookTitle,2299)="","",INDEX(BookRef,2299))</f>
        <v/>
      </c>
      <c r="C2304" s="40" t="str">
        <f aca="false">IF(INDEX(BookTitle,2299)="","",INDEX(BookDivision,2299))</f>
        <v/>
      </c>
      <c r="D2304" s="40" t="str">
        <f aca="false">IF(INDEX(BookTitle,2299)="","",INDEX(BookUnit,2299))</f>
        <v/>
      </c>
      <c r="E2304" s="40" t="str">
        <f aca="false">IF(INDEX(BookTitle,2299)="","",INDEX(BookTitle,2299))</f>
        <v/>
      </c>
      <c r="F2304" s="40" t="str">
        <f aca="false">IF(INDEX(BookTitle,2299)="","",INDEX(BookLevel,2299))</f>
        <v/>
      </c>
      <c r="G2304" s="40" t="str">
        <f aca="false">IF(INDEX(BookTitle,2299)="","",INDEX(BookCategory,2299))</f>
        <v/>
      </c>
      <c r="H2304" s="40" t="str">
        <f aca="false">IF(INDEX(BookTitle,2299)="","",INDEX(BookRank,2299))</f>
        <v/>
      </c>
      <c r="I2304" s="41" t="str">
        <f aca="false">IF(INDEX(BookTitle,2299)="","",INDEX(BookTotal,2299))</f>
        <v/>
      </c>
      <c r="J2304" s="0" t="str">
        <f aca="false">IF($I2304="","",IF(INDEX(BookQ1,2299)&gt;0,"Q1",IF(INDEX(BookQ2,2299)&gt;0,"Q2",IF(INDEX(BookQ3,2299)&gt;0,"Q3",IF(INDEX(BookQ4,2299)&gt;0,"Q4","")))))</f>
        <v/>
      </c>
      <c r="K2304" s="42" t="str">
        <f aca="false">IF(INDEX(BookTitle,2299)="","",INDEX(BookInYear,2299))</f>
        <v/>
      </c>
      <c r="L2304" s="19"/>
      <c r="M2304" s="39"/>
      <c r="N2304" s="19"/>
      <c r="O2304" s="19"/>
      <c r="P2304" s="43" t="str">
        <f aca="false">IF($E2304="","",IF($L2304="Decline",0,IF($L2304="Approve fewer",IF($M2304="","",$M2304),IF($L2304="","",$I2304))))</f>
        <v/>
      </c>
      <c r="Q2304" s="34" t="str">
        <f aca="false">IF($P2304="","",IF($N2304&lt;&gt;"",$N2304,$J2304))</f>
        <v/>
      </c>
      <c r="R2304" s="35" t="str">
        <f aca="false">IF(OR($P2304="",$Q2304=""),"",INDEX(BookRate,2299)*$P2304*(5-MATCH($Q2304,{"Q1";"Q2";"Q3";"Q4"},0))/4+INDEX(BookOneOff,2299)*$P2304)</f>
        <v/>
      </c>
      <c r="S2304" s="35" t="str">
        <f aca="false">IF($P2304="","",INDEX(BookRate,2299)*$P2304)</f>
        <v/>
      </c>
      <c r="T2304" s="35" t="str">
        <f aca="false">IF($R2304="","",$R2304-$K2304)</f>
        <v/>
      </c>
      <c r="U2304" s="35" t="str">
        <f aca="false">IF(N($P2304)&lt;=0,"",COUNTIF($P$6:$P2304,"&gt;0"))</f>
        <v/>
      </c>
    </row>
    <row r="2305" customFormat="false" ht="15" hidden="false" customHeight="false" outlineLevel="0" collapsed="false">
      <c r="A2305" s="40" t="str">
        <f aca="false">IF(INDEX(BookTitle,2300)="","",INDEX(BookGroup,2300))</f>
        <v/>
      </c>
      <c r="B2305" s="40" t="str">
        <f aca="false">IF(INDEX(BookTitle,2300)="","",INDEX(BookRef,2300))</f>
        <v/>
      </c>
      <c r="C2305" s="40" t="str">
        <f aca="false">IF(INDEX(BookTitle,2300)="","",INDEX(BookDivision,2300))</f>
        <v/>
      </c>
      <c r="D2305" s="40" t="str">
        <f aca="false">IF(INDEX(BookTitle,2300)="","",INDEX(BookUnit,2300))</f>
        <v/>
      </c>
      <c r="E2305" s="40" t="str">
        <f aca="false">IF(INDEX(BookTitle,2300)="","",INDEX(BookTitle,2300))</f>
        <v/>
      </c>
      <c r="F2305" s="40" t="str">
        <f aca="false">IF(INDEX(BookTitle,2300)="","",INDEX(BookLevel,2300))</f>
        <v/>
      </c>
      <c r="G2305" s="40" t="str">
        <f aca="false">IF(INDEX(BookTitle,2300)="","",INDEX(BookCategory,2300))</f>
        <v/>
      </c>
      <c r="H2305" s="40" t="str">
        <f aca="false">IF(INDEX(BookTitle,2300)="","",INDEX(BookRank,2300))</f>
        <v/>
      </c>
      <c r="I2305" s="41" t="str">
        <f aca="false">IF(INDEX(BookTitle,2300)="","",INDEX(BookTotal,2300))</f>
        <v/>
      </c>
      <c r="J2305" s="0" t="str">
        <f aca="false">IF($I2305="","",IF(INDEX(BookQ1,2300)&gt;0,"Q1",IF(INDEX(BookQ2,2300)&gt;0,"Q2",IF(INDEX(BookQ3,2300)&gt;0,"Q3",IF(INDEX(BookQ4,2300)&gt;0,"Q4","")))))</f>
        <v/>
      </c>
      <c r="K2305" s="42" t="str">
        <f aca="false">IF(INDEX(BookTitle,2300)="","",INDEX(BookInYear,2300))</f>
        <v/>
      </c>
      <c r="L2305" s="19"/>
      <c r="M2305" s="39"/>
      <c r="N2305" s="19"/>
      <c r="O2305" s="19"/>
      <c r="P2305" s="43" t="str">
        <f aca="false">IF($E2305="","",IF($L2305="Decline",0,IF($L2305="Approve fewer",IF($M2305="","",$M2305),IF($L2305="","",$I2305))))</f>
        <v/>
      </c>
      <c r="Q2305" s="34" t="str">
        <f aca="false">IF($P2305="","",IF($N2305&lt;&gt;"",$N2305,$J2305))</f>
        <v/>
      </c>
      <c r="R2305" s="35" t="str">
        <f aca="false">IF(OR($P2305="",$Q2305=""),"",INDEX(BookRate,2300)*$P2305*(5-MATCH($Q2305,{"Q1";"Q2";"Q3";"Q4"},0))/4+INDEX(BookOneOff,2300)*$P2305)</f>
        <v/>
      </c>
      <c r="S2305" s="35" t="str">
        <f aca="false">IF($P2305="","",INDEX(BookRate,2300)*$P2305)</f>
        <v/>
      </c>
      <c r="T2305" s="35" t="str">
        <f aca="false">IF($R2305="","",$R2305-$K2305)</f>
        <v/>
      </c>
      <c r="U2305" s="35" t="str">
        <f aca="false">IF(N($P2305)&lt;=0,"",COUNTIF($P$6:$P2305,"&gt;0"))</f>
        <v/>
      </c>
    </row>
    <row r="2306" customFormat="false" ht="15" hidden="false" customHeight="false" outlineLevel="0" collapsed="false">
      <c r="A2306" s="40" t="str">
        <f aca="false">IF(INDEX(BookTitle,2301)="","",INDEX(BookGroup,2301))</f>
        <v/>
      </c>
      <c r="B2306" s="40" t="str">
        <f aca="false">IF(INDEX(BookTitle,2301)="","",INDEX(BookRef,2301))</f>
        <v/>
      </c>
      <c r="C2306" s="40" t="str">
        <f aca="false">IF(INDEX(BookTitle,2301)="","",INDEX(BookDivision,2301))</f>
        <v/>
      </c>
      <c r="D2306" s="40" t="str">
        <f aca="false">IF(INDEX(BookTitle,2301)="","",INDEX(BookUnit,2301))</f>
        <v/>
      </c>
      <c r="E2306" s="40" t="str">
        <f aca="false">IF(INDEX(BookTitle,2301)="","",INDEX(BookTitle,2301))</f>
        <v/>
      </c>
      <c r="F2306" s="40" t="str">
        <f aca="false">IF(INDEX(BookTitle,2301)="","",INDEX(BookLevel,2301))</f>
        <v/>
      </c>
      <c r="G2306" s="40" t="str">
        <f aca="false">IF(INDEX(BookTitle,2301)="","",INDEX(BookCategory,2301))</f>
        <v/>
      </c>
      <c r="H2306" s="40" t="str">
        <f aca="false">IF(INDEX(BookTitle,2301)="","",INDEX(BookRank,2301))</f>
        <v/>
      </c>
      <c r="I2306" s="41" t="str">
        <f aca="false">IF(INDEX(BookTitle,2301)="","",INDEX(BookTotal,2301))</f>
        <v/>
      </c>
      <c r="J2306" s="0" t="str">
        <f aca="false">IF($I2306="","",IF(INDEX(BookQ1,2301)&gt;0,"Q1",IF(INDEX(BookQ2,2301)&gt;0,"Q2",IF(INDEX(BookQ3,2301)&gt;0,"Q3",IF(INDEX(BookQ4,2301)&gt;0,"Q4","")))))</f>
        <v/>
      </c>
      <c r="K2306" s="42" t="str">
        <f aca="false">IF(INDEX(BookTitle,2301)="","",INDEX(BookInYear,2301))</f>
        <v/>
      </c>
      <c r="L2306" s="19"/>
      <c r="M2306" s="39"/>
      <c r="N2306" s="19"/>
      <c r="O2306" s="19"/>
      <c r="P2306" s="43" t="str">
        <f aca="false">IF($E2306="","",IF($L2306="Decline",0,IF($L2306="Approve fewer",IF($M2306="","",$M2306),IF($L2306="","",$I2306))))</f>
        <v/>
      </c>
      <c r="Q2306" s="34" t="str">
        <f aca="false">IF($P2306="","",IF($N2306&lt;&gt;"",$N2306,$J2306))</f>
        <v/>
      </c>
      <c r="R2306" s="35" t="str">
        <f aca="false">IF(OR($P2306="",$Q2306=""),"",INDEX(BookRate,2301)*$P2306*(5-MATCH($Q2306,{"Q1";"Q2";"Q3";"Q4"},0))/4+INDEX(BookOneOff,2301)*$P2306)</f>
        <v/>
      </c>
      <c r="S2306" s="35" t="str">
        <f aca="false">IF($P2306="","",INDEX(BookRate,2301)*$P2306)</f>
        <v/>
      </c>
      <c r="T2306" s="35" t="str">
        <f aca="false">IF($R2306="","",$R2306-$K2306)</f>
        <v/>
      </c>
      <c r="U2306" s="35" t="str">
        <f aca="false">IF(N($P2306)&lt;=0,"",COUNTIF($P$6:$P2306,"&gt;0"))</f>
        <v/>
      </c>
    </row>
    <row r="2307" customFormat="false" ht="15" hidden="false" customHeight="false" outlineLevel="0" collapsed="false">
      <c r="A2307" s="40" t="str">
        <f aca="false">IF(INDEX(BookTitle,2302)="","",INDEX(BookGroup,2302))</f>
        <v/>
      </c>
      <c r="B2307" s="40" t="str">
        <f aca="false">IF(INDEX(BookTitle,2302)="","",INDEX(BookRef,2302))</f>
        <v/>
      </c>
      <c r="C2307" s="40" t="str">
        <f aca="false">IF(INDEX(BookTitle,2302)="","",INDEX(BookDivision,2302))</f>
        <v/>
      </c>
      <c r="D2307" s="40" t="str">
        <f aca="false">IF(INDEX(BookTitle,2302)="","",INDEX(BookUnit,2302))</f>
        <v/>
      </c>
      <c r="E2307" s="40" t="str">
        <f aca="false">IF(INDEX(BookTitle,2302)="","",INDEX(BookTitle,2302))</f>
        <v/>
      </c>
      <c r="F2307" s="40" t="str">
        <f aca="false">IF(INDEX(BookTitle,2302)="","",INDEX(BookLevel,2302))</f>
        <v/>
      </c>
      <c r="G2307" s="40" t="str">
        <f aca="false">IF(INDEX(BookTitle,2302)="","",INDEX(BookCategory,2302))</f>
        <v/>
      </c>
      <c r="H2307" s="40" t="str">
        <f aca="false">IF(INDEX(BookTitle,2302)="","",INDEX(BookRank,2302))</f>
        <v/>
      </c>
      <c r="I2307" s="41" t="str">
        <f aca="false">IF(INDEX(BookTitle,2302)="","",INDEX(BookTotal,2302))</f>
        <v/>
      </c>
      <c r="J2307" s="0" t="str">
        <f aca="false">IF($I2307="","",IF(INDEX(BookQ1,2302)&gt;0,"Q1",IF(INDEX(BookQ2,2302)&gt;0,"Q2",IF(INDEX(BookQ3,2302)&gt;0,"Q3",IF(INDEX(BookQ4,2302)&gt;0,"Q4","")))))</f>
        <v/>
      </c>
      <c r="K2307" s="42" t="str">
        <f aca="false">IF(INDEX(BookTitle,2302)="","",INDEX(BookInYear,2302))</f>
        <v/>
      </c>
      <c r="L2307" s="19"/>
      <c r="M2307" s="39"/>
      <c r="N2307" s="19"/>
      <c r="O2307" s="19"/>
      <c r="P2307" s="43" t="str">
        <f aca="false">IF($E2307="","",IF($L2307="Decline",0,IF($L2307="Approve fewer",IF($M2307="","",$M2307),IF($L2307="","",$I2307))))</f>
        <v/>
      </c>
      <c r="Q2307" s="34" t="str">
        <f aca="false">IF($P2307="","",IF($N2307&lt;&gt;"",$N2307,$J2307))</f>
        <v/>
      </c>
      <c r="R2307" s="35" t="str">
        <f aca="false">IF(OR($P2307="",$Q2307=""),"",INDEX(BookRate,2302)*$P2307*(5-MATCH($Q2307,{"Q1";"Q2";"Q3";"Q4"},0))/4+INDEX(BookOneOff,2302)*$P2307)</f>
        <v/>
      </c>
      <c r="S2307" s="35" t="str">
        <f aca="false">IF($P2307="","",INDEX(BookRate,2302)*$P2307)</f>
        <v/>
      </c>
      <c r="T2307" s="35" t="str">
        <f aca="false">IF($R2307="","",$R2307-$K2307)</f>
        <v/>
      </c>
      <c r="U2307" s="35" t="str">
        <f aca="false">IF(N($P2307)&lt;=0,"",COUNTIF($P$6:$P2307,"&gt;0"))</f>
        <v/>
      </c>
    </row>
    <row r="2308" customFormat="false" ht="15" hidden="false" customHeight="false" outlineLevel="0" collapsed="false">
      <c r="A2308" s="40" t="str">
        <f aca="false">IF(INDEX(BookTitle,2303)="","",INDEX(BookGroup,2303))</f>
        <v/>
      </c>
      <c r="B2308" s="40" t="str">
        <f aca="false">IF(INDEX(BookTitle,2303)="","",INDEX(BookRef,2303))</f>
        <v/>
      </c>
      <c r="C2308" s="40" t="str">
        <f aca="false">IF(INDEX(BookTitle,2303)="","",INDEX(BookDivision,2303))</f>
        <v/>
      </c>
      <c r="D2308" s="40" t="str">
        <f aca="false">IF(INDEX(BookTitle,2303)="","",INDEX(BookUnit,2303))</f>
        <v/>
      </c>
      <c r="E2308" s="40" t="str">
        <f aca="false">IF(INDEX(BookTitle,2303)="","",INDEX(BookTitle,2303))</f>
        <v/>
      </c>
      <c r="F2308" s="40" t="str">
        <f aca="false">IF(INDEX(BookTitle,2303)="","",INDEX(BookLevel,2303))</f>
        <v/>
      </c>
      <c r="G2308" s="40" t="str">
        <f aca="false">IF(INDEX(BookTitle,2303)="","",INDEX(BookCategory,2303))</f>
        <v/>
      </c>
      <c r="H2308" s="40" t="str">
        <f aca="false">IF(INDEX(BookTitle,2303)="","",INDEX(BookRank,2303))</f>
        <v/>
      </c>
      <c r="I2308" s="41" t="str">
        <f aca="false">IF(INDEX(BookTitle,2303)="","",INDEX(BookTotal,2303))</f>
        <v/>
      </c>
      <c r="J2308" s="0" t="str">
        <f aca="false">IF($I2308="","",IF(INDEX(BookQ1,2303)&gt;0,"Q1",IF(INDEX(BookQ2,2303)&gt;0,"Q2",IF(INDEX(BookQ3,2303)&gt;0,"Q3",IF(INDEX(BookQ4,2303)&gt;0,"Q4","")))))</f>
        <v/>
      </c>
      <c r="K2308" s="42" t="str">
        <f aca="false">IF(INDEX(BookTitle,2303)="","",INDEX(BookInYear,2303))</f>
        <v/>
      </c>
      <c r="L2308" s="19"/>
      <c r="M2308" s="39"/>
      <c r="N2308" s="19"/>
      <c r="O2308" s="19"/>
      <c r="P2308" s="43" t="str">
        <f aca="false">IF($E2308="","",IF($L2308="Decline",0,IF($L2308="Approve fewer",IF($M2308="","",$M2308),IF($L2308="","",$I2308))))</f>
        <v/>
      </c>
      <c r="Q2308" s="34" t="str">
        <f aca="false">IF($P2308="","",IF($N2308&lt;&gt;"",$N2308,$J2308))</f>
        <v/>
      </c>
      <c r="R2308" s="35" t="str">
        <f aca="false">IF(OR($P2308="",$Q2308=""),"",INDEX(BookRate,2303)*$P2308*(5-MATCH($Q2308,{"Q1";"Q2";"Q3";"Q4"},0))/4+INDEX(BookOneOff,2303)*$P2308)</f>
        <v/>
      </c>
      <c r="S2308" s="35" t="str">
        <f aca="false">IF($P2308="","",INDEX(BookRate,2303)*$P2308)</f>
        <v/>
      </c>
      <c r="T2308" s="35" t="str">
        <f aca="false">IF($R2308="","",$R2308-$K2308)</f>
        <v/>
      </c>
      <c r="U2308" s="35" t="str">
        <f aca="false">IF(N($P2308)&lt;=0,"",COUNTIF($P$6:$P2308,"&gt;0"))</f>
        <v/>
      </c>
    </row>
    <row r="2309" customFormat="false" ht="15" hidden="false" customHeight="false" outlineLevel="0" collapsed="false">
      <c r="A2309" s="40" t="str">
        <f aca="false">IF(INDEX(BookTitle,2304)="","",INDEX(BookGroup,2304))</f>
        <v/>
      </c>
      <c r="B2309" s="40" t="str">
        <f aca="false">IF(INDEX(BookTitle,2304)="","",INDEX(BookRef,2304))</f>
        <v/>
      </c>
      <c r="C2309" s="40" t="str">
        <f aca="false">IF(INDEX(BookTitle,2304)="","",INDEX(BookDivision,2304))</f>
        <v/>
      </c>
      <c r="D2309" s="40" t="str">
        <f aca="false">IF(INDEX(BookTitle,2304)="","",INDEX(BookUnit,2304))</f>
        <v/>
      </c>
      <c r="E2309" s="40" t="str">
        <f aca="false">IF(INDEX(BookTitle,2304)="","",INDEX(BookTitle,2304))</f>
        <v/>
      </c>
      <c r="F2309" s="40" t="str">
        <f aca="false">IF(INDEX(BookTitle,2304)="","",INDEX(BookLevel,2304))</f>
        <v/>
      </c>
      <c r="G2309" s="40" t="str">
        <f aca="false">IF(INDEX(BookTitle,2304)="","",INDEX(BookCategory,2304))</f>
        <v/>
      </c>
      <c r="H2309" s="40" t="str">
        <f aca="false">IF(INDEX(BookTitle,2304)="","",INDEX(BookRank,2304))</f>
        <v/>
      </c>
      <c r="I2309" s="41" t="str">
        <f aca="false">IF(INDEX(BookTitle,2304)="","",INDEX(BookTotal,2304))</f>
        <v/>
      </c>
      <c r="J2309" s="0" t="str">
        <f aca="false">IF($I2309="","",IF(INDEX(BookQ1,2304)&gt;0,"Q1",IF(INDEX(BookQ2,2304)&gt;0,"Q2",IF(INDEX(BookQ3,2304)&gt;0,"Q3",IF(INDEX(BookQ4,2304)&gt;0,"Q4","")))))</f>
        <v/>
      </c>
      <c r="K2309" s="42" t="str">
        <f aca="false">IF(INDEX(BookTitle,2304)="","",INDEX(BookInYear,2304))</f>
        <v/>
      </c>
      <c r="L2309" s="19"/>
      <c r="M2309" s="39"/>
      <c r="N2309" s="19"/>
      <c r="O2309" s="19"/>
      <c r="P2309" s="43" t="str">
        <f aca="false">IF($E2309="","",IF($L2309="Decline",0,IF($L2309="Approve fewer",IF($M2309="","",$M2309),IF($L2309="","",$I2309))))</f>
        <v/>
      </c>
      <c r="Q2309" s="34" t="str">
        <f aca="false">IF($P2309="","",IF($N2309&lt;&gt;"",$N2309,$J2309))</f>
        <v/>
      </c>
      <c r="R2309" s="35" t="str">
        <f aca="false">IF(OR($P2309="",$Q2309=""),"",INDEX(BookRate,2304)*$P2309*(5-MATCH($Q2309,{"Q1";"Q2";"Q3";"Q4"},0))/4+INDEX(BookOneOff,2304)*$P2309)</f>
        <v/>
      </c>
      <c r="S2309" s="35" t="str">
        <f aca="false">IF($P2309="","",INDEX(BookRate,2304)*$P2309)</f>
        <v/>
      </c>
      <c r="T2309" s="35" t="str">
        <f aca="false">IF($R2309="","",$R2309-$K2309)</f>
        <v/>
      </c>
      <c r="U2309" s="35" t="str">
        <f aca="false">IF(N($P2309)&lt;=0,"",COUNTIF($P$6:$P2309,"&gt;0"))</f>
        <v/>
      </c>
    </row>
    <row r="2310" customFormat="false" ht="15" hidden="false" customHeight="false" outlineLevel="0" collapsed="false">
      <c r="A2310" s="40" t="str">
        <f aca="false">IF(INDEX(BookTitle,2305)="","",INDEX(BookGroup,2305))</f>
        <v/>
      </c>
      <c r="B2310" s="40" t="str">
        <f aca="false">IF(INDEX(BookTitle,2305)="","",INDEX(BookRef,2305))</f>
        <v/>
      </c>
      <c r="C2310" s="40" t="str">
        <f aca="false">IF(INDEX(BookTitle,2305)="","",INDEX(BookDivision,2305))</f>
        <v/>
      </c>
      <c r="D2310" s="40" t="str">
        <f aca="false">IF(INDEX(BookTitle,2305)="","",INDEX(BookUnit,2305))</f>
        <v/>
      </c>
      <c r="E2310" s="40" t="str">
        <f aca="false">IF(INDEX(BookTitle,2305)="","",INDEX(BookTitle,2305))</f>
        <v/>
      </c>
      <c r="F2310" s="40" t="str">
        <f aca="false">IF(INDEX(BookTitle,2305)="","",INDEX(BookLevel,2305))</f>
        <v/>
      </c>
      <c r="G2310" s="40" t="str">
        <f aca="false">IF(INDEX(BookTitle,2305)="","",INDEX(BookCategory,2305))</f>
        <v/>
      </c>
      <c r="H2310" s="40" t="str">
        <f aca="false">IF(INDEX(BookTitle,2305)="","",INDEX(BookRank,2305))</f>
        <v/>
      </c>
      <c r="I2310" s="41" t="str">
        <f aca="false">IF(INDEX(BookTitle,2305)="","",INDEX(BookTotal,2305))</f>
        <v/>
      </c>
      <c r="J2310" s="0" t="str">
        <f aca="false">IF($I2310="","",IF(INDEX(BookQ1,2305)&gt;0,"Q1",IF(INDEX(BookQ2,2305)&gt;0,"Q2",IF(INDEX(BookQ3,2305)&gt;0,"Q3",IF(INDEX(BookQ4,2305)&gt;0,"Q4","")))))</f>
        <v/>
      </c>
      <c r="K2310" s="42" t="str">
        <f aca="false">IF(INDEX(BookTitle,2305)="","",INDEX(BookInYear,2305))</f>
        <v/>
      </c>
      <c r="L2310" s="19"/>
      <c r="M2310" s="39"/>
      <c r="N2310" s="19"/>
      <c r="O2310" s="19"/>
      <c r="P2310" s="43" t="str">
        <f aca="false">IF($E2310="","",IF($L2310="Decline",0,IF($L2310="Approve fewer",IF($M2310="","",$M2310),IF($L2310="","",$I2310))))</f>
        <v/>
      </c>
      <c r="Q2310" s="34" t="str">
        <f aca="false">IF($P2310="","",IF($N2310&lt;&gt;"",$N2310,$J2310))</f>
        <v/>
      </c>
      <c r="R2310" s="35" t="str">
        <f aca="false">IF(OR($P2310="",$Q2310=""),"",INDEX(BookRate,2305)*$P2310*(5-MATCH($Q2310,{"Q1";"Q2";"Q3";"Q4"},0))/4+INDEX(BookOneOff,2305)*$P2310)</f>
        <v/>
      </c>
      <c r="S2310" s="35" t="str">
        <f aca="false">IF($P2310="","",INDEX(BookRate,2305)*$P2310)</f>
        <v/>
      </c>
      <c r="T2310" s="35" t="str">
        <f aca="false">IF($R2310="","",$R2310-$K2310)</f>
        <v/>
      </c>
      <c r="U2310" s="35" t="str">
        <f aca="false">IF(N($P2310)&lt;=0,"",COUNTIF($P$6:$P2310,"&gt;0"))</f>
        <v/>
      </c>
    </row>
    <row r="2311" customFormat="false" ht="15" hidden="false" customHeight="false" outlineLevel="0" collapsed="false">
      <c r="A2311" s="40" t="str">
        <f aca="false">IF(INDEX(BookTitle,2306)="","",INDEX(BookGroup,2306))</f>
        <v/>
      </c>
      <c r="B2311" s="40" t="str">
        <f aca="false">IF(INDEX(BookTitle,2306)="","",INDEX(BookRef,2306))</f>
        <v/>
      </c>
      <c r="C2311" s="40" t="str">
        <f aca="false">IF(INDEX(BookTitle,2306)="","",INDEX(BookDivision,2306))</f>
        <v/>
      </c>
      <c r="D2311" s="40" t="str">
        <f aca="false">IF(INDEX(BookTitle,2306)="","",INDEX(BookUnit,2306))</f>
        <v/>
      </c>
      <c r="E2311" s="40" t="str">
        <f aca="false">IF(INDEX(BookTitle,2306)="","",INDEX(BookTitle,2306))</f>
        <v/>
      </c>
      <c r="F2311" s="40" t="str">
        <f aca="false">IF(INDEX(BookTitle,2306)="","",INDEX(BookLevel,2306))</f>
        <v/>
      </c>
      <c r="G2311" s="40" t="str">
        <f aca="false">IF(INDEX(BookTitle,2306)="","",INDEX(BookCategory,2306))</f>
        <v/>
      </c>
      <c r="H2311" s="40" t="str">
        <f aca="false">IF(INDEX(BookTitle,2306)="","",INDEX(BookRank,2306))</f>
        <v/>
      </c>
      <c r="I2311" s="41" t="str">
        <f aca="false">IF(INDEX(BookTitle,2306)="","",INDEX(BookTotal,2306))</f>
        <v/>
      </c>
      <c r="J2311" s="0" t="str">
        <f aca="false">IF($I2311="","",IF(INDEX(BookQ1,2306)&gt;0,"Q1",IF(INDEX(BookQ2,2306)&gt;0,"Q2",IF(INDEX(BookQ3,2306)&gt;0,"Q3",IF(INDEX(BookQ4,2306)&gt;0,"Q4","")))))</f>
        <v/>
      </c>
      <c r="K2311" s="42" t="str">
        <f aca="false">IF(INDEX(BookTitle,2306)="","",INDEX(BookInYear,2306))</f>
        <v/>
      </c>
      <c r="L2311" s="19"/>
      <c r="M2311" s="39"/>
      <c r="N2311" s="19"/>
      <c r="O2311" s="19"/>
      <c r="P2311" s="43" t="str">
        <f aca="false">IF($E2311="","",IF($L2311="Decline",0,IF($L2311="Approve fewer",IF($M2311="","",$M2311),IF($L2311="","",$I2311))))</f>
        <v/>
      </c>
      <c r="Q2311" s="34" t="str">
        <f aca="false">IF($P2311="","",IF($N2311&lt;&gt;"",$N2311,$J2311))</f>
        <v/>
      </c>
      <c r="R2311" s="35" t="str">
        <f aca="false">IF(OR($P2311="",$Q2311=""),"",INDEX(BookRate,2306)*$P2311*(5-MATCH($Q2311,{"Q1";"Q2";"Q3";"Q4"},0))/4+INDEX(BookOneOff,2306)*$P2311)</f>
        <v/>
      </c>
      <c r="S2311" s="35" t="str">
        <f aca="false">IF($P2311="","",INDEX(BookRate,2306)*$P2311)</f>
        <v/>
      </c>
      <c r="T2311" s="35" t="str">
        <f aca="false">IF($R2311="","",$R2311-$K2311)</f>
        <v/>
      </c>
      <c r="U2311" s="35" t="str">
        <f aca="false">IF(N($P2311)&lt;=0,"",COUNTIF($P$6:$P2311,"&gt;0"))</f>
        <v/>
      </c>
    </row>
    <row r="2312" customFormat="false" ht="15" hidden="false" customHeight="false" outlineLevel="0" collapsed="false">
      <c r="A2312" s="40" t="str">
        <f aca="false">IF(INDEX(BookTitle,2307)="","",INDEX(BookGroup,2307))</f>
        <v/>
      </c>
      <c r="B2312" s="40" t="str">
        <f aca="false">IF(INDEX(BookTitle,2307)="","",INDEX(BookRef,2307))</f>
        <v/>
      </c>
      <c r="C2312" s="40" t="str">
        <f aca="false">IF(INDEX(BookTitle,2307)="","",INDEX(BookDivision,2307))</f>
        <v/>
      </c>
      <c r="D2312" s="40" t="str">
        <f aca="false">IF(INDEX(BookTitle,2307)="","",INDEX(BookUnit,2307))</f>
        <v/>
      </c>
      <c r="E2312" s="40" t="str">
        <f aca="false">IF(INDEX(BookTitle,2307)="","",INDEX(BookTitle,2307))</f>
        <v/>
      </c>
      <c r="F2312" s="40" t="str">
        <f aca="false">IF(INDEX(BookTitle,2307)="","",INDEX(BookLevel,2307))</f>
        <v/>
      </c>
      <c r="G2312" s="40" t="str">
        <f aca="false">IF(INDEX(BookTitle,2307)="","",INDEX(BookCategory,2307))</f>
        <v/>
      </c>
      <c r="H2312" s="40" t="str">
        <f aca="false">IF(INDEX(BookTitle,2307)="","",INDEX(BookRank,2307))</f>
        <v/>
      </c>
      <c r="I2312" s="41" t="str">
        <f aca="false">IF(INDEX(BookTitle,2307)="","",INDEX(BookTotal,2307))</f>
        <v/>
      </c>
      <c r="J2312" s="0" t="str">
        <f aca="false">IF($I2312="","",IF(INDEX(BookQ1,2307)&gt;0,"Q1",IF(INDEX(BookQ2,2307)&gt;0,"Q2",IF(INDEX(BookQ3,2307)&gt;0,"Q3",IF(INDEX(BookQ4,2307)&gt;0,"Q4","")))))</f>
        <v/>
      </c>
      <c r="K2312" s="42" t="str">
        <f aca="false">IF(INDEX(BookTitle,2307)="","",INDEX(BookInYear,2307))</f>
        <v/>
      </c>
      <c r="L2312" s="19"/>
      <c r="M2312" s="39"/>
      <c r="N2312" s="19"/>
      <c r="O2312" s="19"/>
      <c r="P2312" s="43" t="str">
        <f aca="false">IF($E2312="","",IF($L2312="Decline",0,IF($L2312="Approve fewer",IF($M2312="","",$M2312),IF($L2312="","",$I2312))))</f>
        <v/>
      </c>
      <c r="Q2312" s="34" t="str">
        <f aca="false">IF($P2312="","",IF($N2312&lt;&gt;"",$N2312,$J2312))</f>
        <v/>
      </c>
      <c r="R2312" s="35" t="str">
        <f aca="false">IF(OR($P2312="",$Q2312=""),"",INDEX(BookRate,2307)*$P2312*(5-MATCH($Q2312,{"Q1";"Q2";"Q3";"Q4"},0))/4+INDEX(BookOneOff,2307)*$P2312)</f>
        <v/>
      </c>
      <c r="S2312" s="35" t="str">
        <f aca="false">IF($P2312="","",INDEX(BookRate,2307)*$P2312)</f>
        <v/>
      </c>
      <c r="T2312" s="35" t="str">
        <f aca="false">IF($R2312="","",$R2312-$K2312)</f>
        <v/>
      </c>
      <c r="U2312" s="35" t="str">
        <f aca="false">IF(N($P2312)&lt;=0,"",COUNTIF($P$6:$P2312,"&gt;0"))</f>
        <v/>
      </c>
    </row>
    <row r="2313" customFormat="false" ht="15" hidden="false" customHeight="false" outlineLevel="0" collapsed="false">
      <c r="A2313" s="40" t="str">
        <f aca="false">IF(INDEX(BookTitle,2308)="","",INDEX(BookGroup,2308))</f>
        <v/>
      </c>
      <c r="B2313" s="40" t="str">
        <f aca="false">IF(INDEX(BookTitle,2308)="","",INDEX(BookRef,2308))</f>
        <v/>
      </c>
      <c r="C2313" s="40" t="str">
        <f aca="false">IF(INDEX(BookTitle,2308)="","",INDEX(BookDivision,2308))</f>
        <v/>
      </c>
      <c r="D2313" s="40" t="str">
        <f aca="false">IF(INDEX(BookTitle,2308)="","",INDEX(BookUnit,2308))</f>
        <v/>
      </c>
      <c r="E2313" s="40" t="str">
        <f aca="false">IF(INDEX(BookTitle,2308)="","",INDEX(BookTitle,2308))</f>
        <v/>
      </c>
      <c r="F2313" s="40" t="str">
        <f aca="false">IF(INDEX(BookTitle,2308)="","",INDEX(BookLevel,2308))</f>
        <v/>
      </c>
      <c r="G2313" s="40" t="str">
        <f aca="false">IF(INDEX(BookTitle,2308)="","",INDEX(BookCategory,2308))</f>
        <v/>
      </c>
      <c r="H2313" s="40" t="str">
        <f aca="false">IF(INDEX(BookTitle,2308)="","",INDEX(BookRank,2308))</f>
        <v/>
      </c>
      <c r="I2313" s="41" t="str">
        <f aca="false">IF(INDEX(BookTitle,2308)="","",INDEX(BookTotal,2308))</f>
        <v/>
      </c>
      <c r="J2313" s="0" t="str">
        <f aca="false">IF($I2313="","",IF(INDEX(BookQ1,2308)&gt;0,"Q1",IF(INDEX(BookQ2,2308)&gt;0,"Q2",IF(INDEX(BookQ3,2308)&gt;0,"Q3",IF(INDEX(BookQ4,2308)&gt;0,"Q4","")))))</f>
        <v/>
      </c>
      <c r="K2313" s="42" t="str">
        <f aca="false">IF(INDEX(BookTitle,2308)="","",INDEX(BookInYear,2308))</f>
        <v/>
      </c>
      <c r="L2313" s="19"/>
      <c r="M2313" s="39"/>
      <c r="N2313" s="19"/>
      <c r="O2313" s="19"/>
      <c r="P2313" s="43" t="str">
        <f aca="false">IF($E2313="","",IF($L2313="Decline",0,IF($L2313="Approve fewer",IF($M2313="","",$M2313),IF($L2313="","",$I2313))))</f>
        <v/>
      </c>
      <c r="Q2313" s="34" t="str">
        <f aca="false">IF($P2313="","",IF($N2313&lt;&gt;"",$N2313,$J2313))</f>
        <v/>
      </c>
      <c r="R2313" s="35" t="str">
        <f aca="false">IF(OR($P2313="",$Q2313=""),"",INDEX(BookRate,2308)*$P2313*(5-MATCH($Q2313,{"Q1";"Q2";"Q3";"Q4"},0))/4+INDEX(BookOneOff,2308)*$P2313)</f>
        <v/>
      </c>
      <c r="S2313" s="35" t="str">
        <f aca="false">IF($P2313="","",INDEX(BookRate,2308)*$P2313)</f>
        <v/>
      </c>
      <c r="T2313" s="35" t="str">
        <f aca="false">IF($R2313="","",$R2313-$K2313)</f>
        <v/>
      </c>
      <c r="U2313" s="35" t="str">
        <f aca="false">IF(N($P2313)&lt;=0,"",COUNTIF($P$6:$P2313,"&gt;0"))</f>
        <v/>
      </c>
    </row>
    <row r="2314" customFormat="false" ht="15" hidden="false" customHeight="false" outlineLevel="0" collapsed="false">
      <c r="A2314" s="40" t="str">
        <f aca="false">IF(INDEX(BookTitle,2309)="","",INDEX(BookGroup,2309))</f>
        <v/>
      </c>
      <c r="B2314" s="40" t="str">
        <f aca="false">IF(INDEX(BookTitle,2309)="","",INDEX(BookRef,2309))</f>
        <v/>
      </c>
      <c r="C2314" s="40" t="str">
        <f aca="false">IF(INDEX(BookTitle,2309)="","",INDEX(BookDivision,2309))</f>
        <v/>
      </c>
      <c r="D2314" s="40" t="str">
        <f aca="false">IF(INDEX(BookTitle,2309)="","",INDEX(BookUnit,2309))</f>
        <v/>
      </c>
      <c r="E2314" s="40" t="str">
        <f aca="false">IF(INDEX(BookTitle,2309)="","",INDEX(BookTitle,2309))</f>
        <v/>
      </c>
      <c r="F2314" s="40" t="str">
        <f aca="false">IF(INDEX(BookTitle,2309)="","",INDEX(BookLevel,2309))</f>
        <v/>
      </c>
      <c r="G2314" s="40" t="str">
        <f aca="false">IF(INDEX(BookTitle,2309)="","",INDEX(BookCategory,2309))</f>
        <v/>
      </c>
      <c r="H2314" s="40" t="str">
        <f aca="false">IF(INDEX(BookTitle,2309)="","",INDEX(BookRank,2309))</f>
        <v/>
      </c>
      <c r="I2314" s="41" t="str">
        <f aca="false">IF(INDEX(BookTitle,2309)="","",INDEX(BookTotal,2309))</f>
        <v/>
      </c>
      <c r="J2314" s="0" t="str">
        <f aca="false">IF($I2314="","",IF(INDEX(BookQ1,2309)&gt;0,"Q1",IF(INDEX(BookQ2,2309)&gt;0,"Q2",IF(INDEX(BookQ3,2309)&gt;0,"Q3",IF(INDEX(BookQ4,2309)&gt;0,"Q4","")))))</f>
        <v/>
      </c>
      <c r="K2314" s="42" t="str">
        <f aca="false">IF(INDEX(BookTitle,2309)="","",INDEX(BookInYear,2309))</f>
        <v/>
      </c>
      <c r="L2314" s="19"/>
      <c r="M2314" s="39"/>
      <c r="N2314" s="19"/>
      <c r="O2314" s="19"/>
      <c r="P2314" s="43" t="str">
        <f aca="false">IF($E2314="","",IF($L2314="Decline",0,IF($L2314="Approve fewer",IF($M2314="","",$M2314),IF($L2314="","",$I2314))))</f>
        <v/>
      </c>
      <c r="Q2314" s="34" t="str">
        <f aca="false">IF($P2314="","",IF($N2314&lt;&gt;"",$N2314,$J2314))</f>
        <v/>
      </c>
      <c r="R2314" s="35" t="str">
        <f aca="false">IF(OR($P2314="",$Q2314=""),"",INDEX(BookRate,2309)*$P2314*(5-MATCH($Q2314,{"Q1";"Q2";"Q3";"Q4"},0))/4+INDEX(BookOneOff,2309)*$P2314)</f>
        <v/>
      </c>
      <c r="S2314" s="35" t="str">
        <f aca="false">IF($P2314="","",INDEX(BookRate,2309)*$P2314)</f>
        <v/>
      </c>
      <c r="T2314" s="35" t="str">
        <f aca="false">IF($R2314="","",$R2314-$K2314)</f>
        <v/>
      </c>
      <c r="U2314" s="35" t="str">
        <f aca="false">IF(N($P2314)&lt;=0,"",COUNTIF($P$6:$P2314,"&gt;0"))</f>
        <v/>
      </c>
    </row>
    <row r="2315" customFormat="false" ht="15" hidden="false" customHeight="false" outlineLevel="0" collapsed="false">
      <c r="A2315" s="40" t="str">
        <f aca="false">IF(INDEX(BookTitle,2310)="","",INDEX(BookGroup,2310))</f>
        <v/>
      </c>
      <c r="B2315" s="40" t="str">
        <f aca="false">IF(INDEX(BookTitle,2310)="","",INDEX(BookRef,2310))</f>
        <v/>
      </c>
      <c r="C2315" s="40" t="str">
        <f aca="false">IF(INDEX(BookTitle,2310)="","",INDEX(BookDivision,2310))</f>
        <v/>
      </c>
      <c r="D2315" s="40" t="str">
        <f aca="false">IF(INDEX(BookTitle,2310)="","",INDEX(BookUnit,2310))</f>
        <v/>
      </c>
      <c r="E2315" s="40" t="str">
        <f aca="false">IF(INDEX(BookTitle,2310)="","",INDEX(BookTitle,2310))</f>
        <v/>
      </c>
      <c r="F2315" s="40" t="str">
        <f aca="false">IF(INDEX(BookTitle,2310)="","",INDEX(BookLevel,2310))</f>
        <v/>
      </c>
      <c r="G2315" s="40" t="str">
        <f aca="false">IF(INDEX(BookTitle,2310)="","",INDEX(BookCategory,2310))</f>
        <v/>
      </c>
      <c r="H2315" s="40" t="str">
        <f aca="false">IF(INDEX(BookTitle,2310)="","",INDEX(BookRank,2310))</f>
        <v/>
      </c>
      <c r="I2315" s="41" t="str">
        <f aca="false">IF(INDEX(BookTitle,2310)="","",INDEX(BookTotal,2310))</f>
        <v/>
      </c>
      <c r="J2315" s="0" t="str">
        <f aca="false">IF($I2315="","",IF(INDEX(BookQ1,2310)&gt;0,"Q1",IF(INDEX(BookQ2,2310)&gt;0,"Q2",IF(INDEX(BookQ3,2310)&gt;0,"Q3",IF(INDEX(BookQ4,2310)&gt;0,"Q4","")))))</f>
        <v/>
      </c>
      <c r="K2315" s="42" t="str">
        <f aca="false">IF(INDEX(BookTitle,2310)="","",INDEX(BookInYear,2310))</f>
        <v/>
      </c>
      <c r="L2315" s="19"/>
      <c r="M2315" s="39"/>
      <c r="N2315" s="19"/>
      <c r="O2315" s="19"/>
      <c r="P2315" s="43" t="str">
        <f aca="false">IF($E2315="","",IF($L2315="Decline",0,IF($L2315="Approve fewer",IF($M2315="","",$M2315),IF($L2315="","",$I2315))))</f>
        <v/>
      </c>
      <c r="Q2315" s="34" t="str">
        <f aca="false">IF($P2315="","",IF($N2315&lt;&gt;"",$N2315,$J2315))</f>
        <v/>
      </c>
      <c r="R2315" s="35" t="str">
        <f aca="false">IF(OR($P2315="",$Q2315=""),"",INDEX(BookRate,2310)*$P2315*(5-MATCH($Q2315,{"Q1";"Q2";"Q3";"Q4"},0))/4+INDEX(BookOneOff,2310)*$P2315)</f>
        <v/>
      </c>
      <c r="S2315" s="35" t="str">
        <f aca="false">IF($P2315="","",INDEX(BookRate,2310)*$P2315)</f>
        <v/>
      </c>
      <c r="T2315" s="35" t="str">
        <f aca="false">IF($R2315="","",$R2315-$K2315)</f>
        <v/>
      </c>
      <c r="U2315" s="35" t="str">
        <f aca="false">IF(N($P2315)&lt;=0,"",COUNTIF($P$6:$P2315,"&gt;0"))</f>
        <v/>
      </c>
    </row>
    <row r="2316" customFormat="false" ht="15" hidden="false" customHeight="false" outlineLevel="0" collapsed="false">
      <c r="A2316" s="40" t="str">
        <f aca="false">IF(INDEX(BookTitle,2311)="","",INDEX(BookGroup,2311))</f>
        <v/>
      </c>
      <c r="B2316" s="40" t="str">
        <f aca="false">IF(INDEX(BookTitle,2311)="","",INDEX(BookRef,2311))</f>
        <v/>
      </c>
      <c r="C2316" s="40" t="str">
        <f aca="false">IF(INDEX(BookTitle,2311)="","",INDEX(BookDivision,2311))</f>
        <v/>
      </c>
      <c r="D2316" s="40" t="str">
        <f aca="false">IF(INDEX(BookTitle,2311)="","",INDEX(BookUnit,2311))</f>
        <v/>
      </c>
      <c r="E2316" s="40" t="str">
        <f aca="false">IF(INDEX(BookTitle,2311)="","",INDEX(BookTitle,2311))</f>
        <v/>
      </c>
      <c r="F2316" s="40" t="str">
        <f aca="false">IF(INDEX(BookTitle,2311)="","",INDEX(BookLevel,2311))</f>
        <v/>
      </c>
      <c r="G2316" s="40" t="str">
        <f aca="false">IF(INDEX(BookTitle,2311)="","",INDEX(BookCategory,2311))</f>
        <v/>
      </c>
      <c r="H2316" s="40" t="str">
        <f aca="false">IF(INDEX(BookTitle,2311)="","",INDEX(BookRank,2311))</f>
        <v/>
      </c>
      <c r="I2316" s="41" t="str">
        <f aca="false">IF(INDEX(BookTitle,2311)="","",INDEX(BookTotal,2311))</f>
        <v/>
      </c>
      <c r="J2316" s="0" t="str">
        <f aca="false">IF($I2316="","",IF(INDEX(BookQ1,2311)&gt;0,"Q1",IF(INDEX(BookQ2,2311)&gt;0,"Q2",IF(INDEX(BookQ3,2311)&gt;0,"Q3",IF(INDEX(BookQ4,2311)&gt;0,"Q4","")))))</f>
        <v/>
      </c>
      <c r="K2316" s="42" t="str">
        <f aca="false">IF(INDEX(BookTitle,2311)="","",INDEX(BookInYear,2311))</f>
        <v/>
      </c>
      <c r="L2316" s="19"/>
      <c r="M2316" s="39"/>
      <c r="N2316" s="19"/>
      <c r="O2316" s="19"/>
      <c r="P2316" s="43" t="str">
        <f aca="false">IF($E2316="","",IF($L2316="Decline",0,IF($L2316="Approve fewer",IF($M2316="","",$M2316),IF($L2316="","",$I2316))))</f>
        <v/>
      </c>
      <c r="Q2316" s="34" t="str">
        <f aca="false">IF($P2316="","",IF($N2316&lt;&gt;"",$N2316,$J2316))</f>
        <v/>
      </c>
      <c r="R2316" s="35" t="str">
        <f aca="false">IF(OR($P2316="",$Q2316=""),"",INDEX(BookRate,2311)*$P2316*(5-MATCH($Q2316,{"Q1";"Q2";"Q3";"Q4"},0))/4+INDEX(BookOneOff,2311)*$P2316)</f>
        <v/>
      </c>
      <c r="S2316" s="35" t="str">
        <f aca="false">IF($P2316="","",INDEX(BookRate,2311)*$P2316)</f>
        <v/>
      </c>
      <c r="T2316" s="35" t="str">
        <f aca="false">IF($R2316="","",$R2316-$K2316)</f>
        <v/>
      </c>
      <c r="U2316" s="35" t="str">
        <f aca="false">IF(N($P2316)&lt;=0,"",COUNTIF($P$6:$P2316,"&gt;0"))</f>
        <v/>
      </c>
    </row>
    <row r="2317" customFormat="false" ht="15" hidden="false" customHeight="false" outlineLevel="0" collapsed="false">
      <c r="A2317" s="40" t="str">
        <f aca="false">IF(INDEX(BookTitle,2312)="","",INDEX(BookGroup,2312))</f>
        <v/>
      </c>
      <c r="B2317" s="40" t="str">
        <f aca="false">IF(INDEX(BookTitle,2312)="","",INDEX(BookRef,2312))</f>
        <v/>
      </c>
      <c r="C2317" s="40" t="str">
        <f aca="false">IF(INDEX(BookTitle,2312)="","",INDEX(BookDivision,2312))</f>
        <v/>
      </c>
      <c r="D2317" s="40" t="str">
        <f aca="false">IF(INDEX(BookTitle,2312)="","",INDEX(BookUnit,2312))</f>
        <v/>
      </c>
      <c r="E2317" s="40" t="str">
        <f aca="false">IF(INDEX(BookTitle,2312)="","",INDEX(BookTitle,2312))</f>
        <v/>
      </c>
      <c r="F2317" s="40" t="str">
        <f aca="false">IF(INDEX(BookTitle,2312)="","",INDEX(BookLevel,2312))</f>
        <v/>
      </c>
      <c r="G2317" s="40" t="str">
        <f aca="false">IF(INDEX(BookTitle,2312)="","",INDEX(BookCategory,2312))</f>
        <v/>
      </c>
      <c r="H2317" s="40" t="str">
        <f aca="false">IF(INDEX(BookTitle,2312)="","",INDEX(BookRank,2312))</f>
        <v/>
      </c>
      <c r="I2317" s="41" t="str">
        <f aca="false">IF(INDEX(BookTitle,2312)="","",INDEX(BookTotal,2312))</f>
        <v/>
      </c>
      <c r="J2317" s="0" t="str">
        <f aca="false">IF($I2317="","",IF(INDEX(BookQ1,2312)&gt;0,"Q1",IF(INDEX(BookQ2,2312)&gt;0,"Q2",IF(INDEX(BookQ3,2312)&gt;0,"Q3",IF(INDEX(BookQ4,2312)&gt;0,"Q4","")))))</f>
        <v/>
      </c>
      <c r="K2317" s="42" t="str">
        <f aca="false">IF(INDEX(BookTitle,2312)="","",INDEX(BookInYear,2312))</f>
        <v/>
      </c>
      <c r="L2317" s="19"/>
      <c r="M2317" s="39"/>
      <c r="N2317" s="19"/>
      <c r="O2317" s="19"/>
      <c r="P2317" s="43" t="str">
        <f aca="false">IF($E2317="","",IF($L2317="Decline",0,IF($L2317="Approve fewer",IF($M2317="","",$M2317),IF($L2317="","",$I2317))))</f>
        <v/>
      </c>
      <c r="Q2317" s="34" t="str">
        <f aca="false">IF($P2317="","",IF($N2317&lt;&gt;"",$N2317,$J2317))</f>
        <v/>
      </c>
      <c r="R2317" s="35" t="str">
        <f aca="false">IF(OR($P2317="",$Q2317=""),"",INDEX(BookRate,2312)*$P2317*(5-MATCH($Q2317,{"Q1";"Q2";"Q3";"Q4"},0))/4+INDEX(BookOneOff,2312)*$P2317)</f>
        <v/>
      </c>
      <c r="S2317" s="35" t="str">
        <f aca="false">IF($P2317="","",INDEX(BookRate,2312)*$P2317)</f>
        <v/>
      </c>
      <c r="T2317" s="35" t="str">
        <f aca="false">IF($R2317="","",$R2317-$K2317)</f>
        <v/>
      </c>
      <c r="U2317" s="35" t="str">
        <f aca="false">IF(N($P2317)&lt;=0,"",COUNTIF($P$6:$P2317,"&gt;0"))</f>
        <v/>
      </c>
    </row>
    <row r="2318" customFormat="false" ht="15" hidden="false" customHeight="false" outlineLevel="0" collapsed="false">
      <c r="A2318" s="40" t="str">
        <f aca="false">IF(INDEX(BookTitle,2313)="","",INDEX(BookGroup,2313))</f>
        <v/>
      </c>
      <c r="B2318" s="40" t="str">
        <f aca="false">IF(INDEX(BookTitle,2313)="","",INDEX(BookRef,2313))</f>
        <v/>
      </c>
      <c r="C2318" s="40" t="str">
        <f aca="false">IF(INDEX(BookTitle,2313)="","",INDEX(BookDivision,2313))</f>
        <v/>
      </c>
      <c r="D2318" s="40" t="str">
        <f aca="false">IF(INDEX(BookTitle,2313)="","",INDEX(BookUnit,2313))</f>
        <v/>
      </c>
      <c r="E2318" s="40" t="str">
        <f aca="false">IF(INDEX(BookTitle,2313)="","",INDEX(BookTitle,2313))</f>
        <v/>
      </c>
      <c r="F2318" s="40" t="str">
        <f aca="false">IF(INDEX(BookTitle,2313)="","",INDEX(BookLevel,2313))</f>
        <v/>
      </c>
      <c r="G2318" s="40" t="str">
        <f aca="false">IF(INDEX(BookTitle,2313)="","",INDEX(BookCategory,2313))</f>
        <v/>
      </c>
      <c r="H2318" s="40" t="str">
        <f aca="false">IF(INDEX(BookTitle,2313)="","",INDEX(BookRank,2313))</f>
        <v/>
      </c>
      <c r="I2318" s="41" t="str">
        <f aca="false">IF(INDEX(BookTitle,2313)="","",INDEX(BookTotal,2313))</f>
        <v/>
      </c>
      <c r="J2318" s="0" t="str">
        <f aca="false">IF($I2318="","",IF(INDEX(BookQ1,2313)&gt;0,"Q1",IF(INDEX(BookQ2,2313)&gt;0,"Q2",IF(INDEX(BookQ3,2313)&gt;0,"Q3",IF(INDEX(BookQ4,2313)&gt;0,"Q4","")))))</f>
        <v/>
      </c>
      <c r="K2318" s="42" t="str">
        <f aca="false">IF(INDEX(BookTitle,2313)="","",INDEX(BookInYear,2313))</f>
        <v/>
      </c>
      <c r="L2318" s="19"/>
      <c r="M2318" s="39"/>
      <c r="N2318" s="19"/>
      <c r="O2318" s="19"/>
      <c r="P2318" s="43" t="str">
        <f aca="false">IF($E2318="","",IF($L2318="Decline",0,IF($L2318="Approve fewer",IF($M2318="","",$M2318),IF($L2318="","",$I2318))))</f>
        <v/>
      </c>
      <c r="Q2318" s="34" t="str">
        <f aca="false">IF($P2318="","",IF($N2318&lt;&gt;"",$N2318,$J2318))</f>
        <v/>
      </c>
      <c r="R2318" s="35" t="str">
        <f aca="false">IF(OR($P2318="",$Q2318=""),"",INDEX(BookRate,2313)*$P2318*(5-MATCH($Q2318,{"Q1";"Q2";"Q3";"Q4"},0))/4+INDEX(BookOneOff,2313)*$P2318)</f>
        <v/>
      </c>
      <c r="S2318" s="35" t="str">
        <f aca="false">IF($P2318="","",INDEX(BookRate,2313)*$P2318)</f>
        <v/>
      </c>
      <c r="T2318" s="35" t="str">
        <f aca="false">IF($R2318="","",$R2318-$K2318)</f>
        <v/>
      </c>
      <c r="U2318" s="35" t="str">
        <f aca="false">IF(N($P2318)&lt;=0,"",COUNTIF($P$6:$P2318,"&gt;0"))</f>
        <v/>
      </c>
    </row>
    <row r="2319" customFormat="false" ht="15" hidden="false" customHeight="false" outlineLevel="0" collapsed="false">
      <c r="A2319" s="40" t="str">
        <f aca="false">IF(INDEX(BookTitle,2314)="","",INDEX(BookGroup,2314))</f>
        <v/>
      </c>
      <c r="B2319" s="40" t="str">
        <f aca="false">IF(INDEX(BookTitle,2314)="","",INDEX(BookRef,2314))</f>
        <v/>
      </c>
      <c r="C2319" s="40" t="str">
        <f aca="false">IF(INDEX(BookTitle,2314)="","",INDEX(BookDivision,2314))</f>
        <v/>
      </c>
      <c r="D2319" s="40" t="str">
        <f aca="false">IF(INDEX(BookTitle,2314)="","",INDEX(BookUnit,2314))</f>
        <v/>
      </c>
      <c r="E2319" s="40" t="str">
        <f aca="false">IF(INDEX(BookTitle,2314)="","",INDEX(BookTitle,2314))</f>
        <v/>
      </c>
      <c r="F2319" s="40" t="str">
        <f aca="false">IF(INDEX(BookTitle,2314)="","",INDEX(BookLevel,2314))</f>
        <v/>
      </c>
      <c r="G2319" s="40" t="str">
        <f aca="false">IF(INDEX(BookTitle,2314)="","",INDEX(BookCategory,2314))</f>
        <v/>
      </c>
      <c r="H2319" s="40" t="str">
        <f aca="false">IF(INDEX(BookTitle,2314)="","",INDEX(BookRank,2314))</f>
        <v/>
      </c>
      <c r="I2319" s="41" t="str">
        <f aca="false">IF(INDEX(BookTitle,2314)="","",INDEX(BookTotal,2314))</f>
        <v/>
      </c>
      <c r="J2319" s="0" t="str">
        <f aca="false">IF($I2319="","",IF(INDEX(BookQ1,2314)&gt;0,"Q1",IF(INDEX(BookQ2,2314)&gt;0,"Q2",IF(INDEX(BookQ3,2314)&gt;0,"Q3",IF(INDEX(BookQ4,2314)&gt;0,"Q4","")))))</f>
        <v/>
      </c>
      <c r="K2319" s="42" t="str">
        <f aca="false">IF(INDEX(BookTitle,2314)="","",INDEX(BookInYear,2314))</f>
        <v/>
      </c>
      <c r="L2319" s="19"/>
      <c r="M2319" s="39"/>
      <c r="N2319" s="19"/>
      <c r="O2319" s="19"/>
      <c r="P2319" s="43" t="str">
        <f aca="false">IF($E2319="","",IF($L2319="Decline",0,IF($L2319="Approve fewer",IF($M2319="","",$M2319),IF($L2319="","",$I2319))))</f>
        <v/>
      </c>
      <c r="Q2319" s="34" t="str">
        <f aca="false">IF($P2319="","",IF($N2319&lt;&gt;"",$N2319,$J2319))</f>
        <v/>
      </c>
      <c r="R2319" s="35" t="str">
        <f aca="false">IF(OR($P2319="",$Q2319=""),"",INDEX(BookRate,2314)*$P2319*(5-MATCH($Q2319,{"Q1";"Q2";"Q3";"Q4"},0))/4+INDEX(BookOneOff,2314)*$P2319)</f>
        <v/>
      </c>
      <c r="S2319" s="35" t="str">
        <f aca="false">IF($P2319="","",INDEX(BookRate,2314)*$P2319)</f>
        <v/>
      </c>
      <c r="T2319" s="35" t="str">
        <f aca="false">IF($R2319="","",$R2319-$K2319)</f>
        <v/>
      </c>
      <c r="U2319" s="35" t="str">
        <f aca="false">IF(N($P2319)&lt;=0,"",COUNTIF($P$6:$P2319,"&gt;0"))</f>
        <v/>
      </c>
    </row>
    <row r="2320" customFormat="false" ht="15" hidden="false" customHeight="false" outlineLevel="0" collapsed="false">
      <c r="A2320" s="40" t="str">
        <f aca="false">IF(INDEX(BookTitle,2315)="","",INDEX(BookGroup,2315))</f>
        <v/>
      </c>
      <c r="B2320" s="40" t="str">
        <f aca="false">IF(INDEX(BookTitle,2315)="","",INDEX(BookRef,2315))</f>
        <v/>
      </c>
      <c r="C2320" s="40" t="str">
        <f aca="false">IF(INDEX(BookTitle,2315)="","",INDEX(BookDivision,2315))</f>
        <v/>
      </c>
      <c r="D2320" s="40" t="str">
        <f aca="false">IF(INDEX(BookTitle,2315)="","",INDEX(BookUnit,2315))</f>
        <v/>
      </c>
      <c r="E2320" s="40" t="str">
        <f aca="false">IF(INDEX(BookTitle,2315)="","",INDEX(BookTitle,2315))</f>
        <v/>
      </c>
      <c r="F2320" s="40" t="str">
        <f aca="false">IF(INDEX(BookTitle,2315)="","",INDEX(BookLevel,2315))</f>
        <v/>
      </c>
      <c r="G2320" s="40" t="str">
        <f aca="false">IF(INDEX(BookTitle,2315)="","",INDEX(BookCategory,2315))</f>
        <v/>
      </c>
      <c r="H2320" s="40" t="str">
        <f aca="false">IF(INDEX(BookTitle,2315)="","",INDEX(BookRank,2315))</f>
        <v/>
      </c>
      <c r="I2320" s="41" t="str">
        <f aca="false">IF(INDEX(BookTitle,2315)="","",INDEX(BookTotal,2315))</f>
        <v/>
      </c>
      <c r="J2320" s="0" t="str">
        <f aca="false">IF($I2320="","",IF(INDEX(BookQ1,2315)&gt;0,"Q1",IF(INDEX(BookQ2,2315)&gt;0,"Q2",IF(INDEX(BookQ3,2315)&gt;0,"Q3",IF(INDEX(BookQ4,2315)&gt;0,"Q4","")))))</f>
        <v/>
      </c>
      <c r="K2320" s="42" t="str">
        <f aca="false">IF(INDEX(BookTitle,2315)="","",INDEX(BookInYear,2315))</f>
        <v/>
      </c>
      <c r="L2320" s="19"/>
      <c r="M2320" s="39"/>
      <c r="N2320" s="19"/>
      <c r="O2320" s="19"/>
      <c r="P2320" s="43" t="str">
        <f aca="false">IF($E2320="","",IF($L2320="Decline",0,IF($L2320="Approve fewer",IF($M2320="","",$M2320),IF($L2320="","",$I2320))))</f>
        <v/>
      </c>
      <c r="Q2320" s="34" t="str">
        <f aca="false">IF($P2320="","",IF($N2320&lt;&gt;"",$N2320,$J2320))</f>
        <v/>
      </c>
      <c r="R2320" s="35" t="str">
        <f aca="false">IF(OR($P2320="",$Q2320=""),"",INDEX(BookRate,2315)*$P2320*(5-MATCH($Q2320,{"Q1";"Q2";"Q3";"Q4"},0))/4+INDEX(BookOneOff,2315)*$P2320)</f>
        <v/>
      </c>
      <c r="S2320" s="35" t="str">
        <f aca="false">IF($P2320="","",INDEX(BookRate,2315)*$P2320)</f>
        <v/>
      </c>
      <c r="T2320" s="35" t="str">
        <f aca="false">IF($R2320="","",$R2320-$K2320)</f>
        <v/>
      </c>
      <c r="U2320" s="35" t="str">
        <f aca="false">IF(N($P2320)&lt;=0,"",COUNTIF($P$6:$P2320,"&gt;0"))</f>
        <v/>
      </c>
    </row>
    <row r="2321" customFormat="false" ht="15" hidden="false" customHeight="false" outlineLevel="0" collapsed="false">
      <c r="A2321" s="40" t="str">
        <f aca="false">IF(INDEX(BookTitle,2316)="","",INDEX(BookGroup,2316))</f>
        <v/>
      </c>
      <c r="B2321" s="40" t="str">
        <f aca="false">IF(INDEX(BookTitle,2316)="","",INDEX(BookRef,2316))</f>
        <v/>
      </c>
      <c r="C2321" s="40" t="str">
        <f aca="false">IF(INDEX(BookTitle,2316)="","",INDEX(BookDivision,2316))</f>
        <v/>
      </c>
      <c r="D2321" s="40" t="str">
        <f aca="false">IF(INDEX(BookTitle,2316)="","",INDEX(BookUnit,2316))</f>
        <v/>
      </c>
      <c r="E2321" s="40" t="str">
        <f aca="false">IF(INDEX(BookTitle,2316)="","",INDEX(BookTitle,2316))</f>
        <v/>
      </c>
      <c r="F2321" s="40" t="str">
        <f aca="false">IF(INDEX(BookTitle,2316)="","",INDEX(BookLevel,2316))</f>
        <v/>
      </c>
      <c r="G2321" s="40" t="str">
        <f aca="false">IF(INDEX(BookTitle,2316)="","",INDEX(BookCategory,2316))</f>
        <v/>
      </c>
      <c r="H2321" s="40" t="str">
        <f aca="false">IF(INDEX(BookTitle,2316)="","",INDEX(BookRank,2316))</f>
        <v/>
      </c>
      <c r="I2321" s="41" t="str">
        <f aca="false">IF(INDEX(BookTitle,2316)="","",INDEX(BookTotal,2316))</f>
        <v/>
      </c>
      <c r="J2321" s="0" t="str">
        <f aca="false">IF($I2321="","",IF(INDEX(BookQ1,2316)&gt;0,"Q1",IF(INDEX(BookQ2,2316)&gt;0,"Q2",IF(INDEX(BookQ3,2316)&gt;0,"Q3",IF(INDEX(BookQ4,2316)&gt;0,"Q4","")))))</f>
        <v/>
      </c>
      <c r="K2321" s="42" t="str">
        <f aca="false">IF(INDEX(BookTitle,2316)="","",INDEX(BookInYear,2316))</f>
        <v/>
      </c>
      <c r="L2321" s="19"/>
      <c r="M2321" s="39"/>
      <c r="N2321" s="19"/>
      <c r="O2321" s="19"/>
      <c r="P2321" s="43" t="str">
        <f aca="false">IF($E2321="","",IF($L2321="Decline",0,IF($L2321="Approve fewer",IF($M2321="","",$M2321),IF($L2321="","",$I2321))))</f>
        <v/>
      </c>
      <c r="Q2321" s="34" t="str">
        <f aca="false">IF($P2321="","",IF($N2321&lt;&gt;"",$N2321,$J2321))</f>
        <v/>
      </c>
      <c r="R2321" s="35" t="str">
        <f aca="false">IF(OR($P2321="",$Q2321=""),"",INDEX(BookRate,2316)*$P2321*(5-MATCH($Q2321,{"Q1";"Q2";"Q3";"Q4"},0))/4+INDEX(BookOneOff,2316)*$P2321)</f>
        <v/>
      </c>
      <c r="S2321" s="35" t="str">
        <f aca="false">IF($P2321="","",INDEX(BookRate,2316)*$P2321)</f>
        <v/>
      </c>
      <c r="T2321" s="35" t="str">
        <f aca="false">IF($R2321="","",$R2321-$K2321)</f>
        <v/>
      </c>
      <c r="U2321" s="35" t="str">
        <f aca="false">IF(N($P2321)&lt;=0,"",COUNTIF($P$6:$P2321,"&gt;0"))</f>
        <v/>
      </c>
    </row>
    <row r="2322" customFormat="false" ht="15" hidden="false" customHeight="false" outlineLevel="0" collapsed="false">
      <c r="A2322" s="40" t="str">
        <f aca="false">IF(INDEX(BookTitle,2317)="","",INDEX(BookGroup,2317))</f>
        <v/>
      </c>
      <c r="B2322" s="40" t="str">
        <f aca="false">IF(INDEX(BookTitle,2317)="","",INDEX(BookRef,2317))</f>
        <v/>
      </c>
      <c r="C2322" s="40" t="str">
        <f aca="false">IF(INDEX(BookTitle,2317)="","",INDEX(BookDivision,2317))</f>
        <v/>
      </c>
      <c r="D2322" s="40" t="str">
        <f aca="false">IF(INDEX(BookTitle,2317)="","",INDEX(BookUnit,2317))</f>
        <v/>
      </c>
      <c r="E2322" s="40" t="str">
        <f aca="false">IF(INDEX(BookTitle,2317)="","",INDEX(BookTitle,2317))</f>
        <v/>
      </c>
      <c r="F2322" s="40" t="str">
        <f aca="false">IF(INDEX(BookTitle,2317)="","",INDEX(BookLevel,2317))</f>
        <v/>
      </c>
      <c r="G2322" s="40" t="str">
        <f aca="false">IF(INDEX(BookTitle,2317)="","",INDEX(BookCategory,2317))</f>
        <v/>
      </c>
      <c r="H2322" s="40" t="str">
        <f aca="false">IF(INDEX(BookTitle,2317)="","",INDEX(BookRank,2317))</f>
        <v/>
      </c>
      <c r="I2322" s="41" t="str">
        <f aca="false">IF(INDEX(BookTitle,2317)="","",INDEX(BookTotal,2317))</f>
        <v/>
      </c>
      <c r="J2322" s="0" t="str">
        <f aca="false">IF($I2322="","",IF(INDEX(BookQ1,2317)&gt;0,"Q1",IF(INDEX(BookQ2,2317)&gt;0,"Q2",IF(INDEX(BookQ3,2317)&gt;0,"Q3",IF(INDEX(BookQ4,2317)&gt;0,"Q4","")))))</f>
        <v/>
      </c>
      <c r="K2322" s="42" t="str">
        <f aca="false">IF(INDEX(BookTitle,2317)="","",INDEX(BookInYear,2317))</f>
        <v/>
      </c>
      <c r="L2322" s="19"/>
      <c r="M2322" s="39"/>
      <c r="N2322" s="19"/>
      <c r="O2322" s="19"/>
      <c r="P2322" s="43" t="str">
        <f aca="false">IF($E2322="","",IF($L2322="Decline",0,IF($L2322="Approve fewer",IF($M2322="","",$M2322),IF($L2322="","",$I2322))))</f>
        <v/>
      </c>
      <c r="Q2322" s="34" t="str">
        <f aca="false">IF($P2322="","",IF($N2322&lt;&gt;"",$N2322,$J2322))</f>
        <v/>
      </c>
      <c r="R2322" s="35" t="str">
        <f aca="false">IF(OR($P2322="",$Q2322=""),"",INDEX(BookRate,2317)*$P2322*(5-MATCH($Q2322,{"Q1";"Q2";"Q3";"Q4"},0))/4+INDEX(BookOneOff,2317)*$P2322)</f>
        <v/>
      </c>
      <c r="S2322" s="35" t="str">
        <f aca="false">IF($P2322="","",INDEX(BookRate,2317)*$P2322)</f>
        <v/>
      </c>
      <c r="T2322" s="35" t="str">
        <f aca="false">IF($R2322="","",$R2322-$K2322)</f>
        <v/>
      </c>
      <c r="U2322" s="35" t="str">
        <f aca="false">IF(N($P2322)&lt;=0,"",COUNTIF($P$6:$P2322,"&gt;0"))</f>
        <v/>
      </c>
    </row>
    <row r="2323" customFormat="false" ht="15" hidden="false" customHeight="false" outlineLevel="0" collapsed="false">
      <c r="A2323" s="40" t="str">
        <f aca="false">IF(INDEX(BookTitle,2318)="","",INDEX(BookGroup,2318))</f>
        <v/>
      </c>
      <c r="B2323" s="40" t="str">
        <f aca="false">IF(INDEX(BookTitle,2318)="","",INDEX(BookRef,2318))</f>
        <v/>
      </c>
      <c r="C2323" s="40" t="str">
        <f aca="false">IF(INDEX(BookTitle,2318)="","",INDEX(BookDivision,2318))</f>
        <v/>
      </c>
      <c r="D2323" s="40" t="str">
        <f aca="false">IF(INDEX(BookTitle,2318)="","",INDEX(BookUnit,2318))</f>
        <v/>
      </c>
      <c r="E2323" s="40" t="str">
        <f aca="false">IF(INDEX(BookTitle,2318)="","",INDEX(BookTitle,2318))</f>
        <v/>
      </c>
      <c r="F2323" s="40" t="str">
        <f aca="false">IF(INDEX(BookTitle,2318)="","",INDEX(BookLevel,2318))</f>
        <v/>
      </c>
      <c r="G2323" s="40" t="str">
        <f aca="false">IF(INDEX(BookTitle,2318)="","",INDEX(BookCategory,2318))</f>
        <v/>
      </c>
      <c r="H2323" s="40" t="str">
        <f aca="false">IF(INDEX(BookTitle,2318)="","",INDEX(BookRank,2318))</f>
        <v/>
      </c>
      <c r="I2323" s="41" t="str">
        <f aca="false">IF(INDEX(BookTitle,2318)="","",INDEX(BookTotal,2318))</f>
        <v/>
      </c>
      <c r="J2323" s="0" t="str">
        <f aca="false">IF($I2323="","",IF(INDEX(BookQ1,2318)&gt;0,"Q1",IF(INDEX(BookQ2,2318)&gt;0,"Q2",IF(INDEX(BookQ3,2318)&gt;0,"Q3",IF(INDEX(BookQ4,2318)&gt;0,"Q4","")))))</f>
        <v/>
      </c>
      <c r="K2323" s="42" t="str">
        <f aca="false">IF(INDEX(BookTitle,2318)="","",INDEX(BookInYear,2318))</f>
        <v/>
      </c>
      <c r="L2323" s="19"/>
      <c r="M2323" s="39"/>
      <c r="N2323" s="19"/>
      <c r="O2323" s="19"/>
      <c r="P2323" s="43" t="str">
        <f aca="false">IF($E2323="","",IF($L2323="Decline",0,IF($L2323="Approve fewer",IF($M2323="","",$M2323),IF($L2323="","",$I2323))))</f>
        <v/>
      </c>
      <c r="Q2323" s="34" t="str">
        <f aca="false">IF($P2323="","",IF($N2323&lt;&gt;"",$N2323,$J2323))</f>
        <v/>
      </c>
      <c r="R2323" s="35" t="str">
        <f aca="false">IF(OR($P2323="",$Q2323=""),"",INDEX(BookRate,2318)*$P2323*(5-MATCH($Q2323,{"Q1";"Q2";"Q3";"Q4"},0))/4+INDEX(BookOneOff,2318)*$P2323)</f>
        <v/>
      </c>
      <c r="S2323" s="35" t="str">
        <f aca="false">IF($P2323="","",INDEX(BookRate,2318)*$P2323)</f>
        <v/>
      </c>
      <c r="T2323" s="35" t="str">
        <f aca="false">IF($R2323="","",$R2323-$K2323)</f>
        <v/>
      </c>
      <c r="U2323" s="35" t="str">
        <f aca="false">IF(N($P2323)&lt;=0,"",COUNTIF($P$6:$P2323,"&gt;0"))</f>
        <v/>
      </c>
    </row>
    <row r="2324" customFormat="false" ht="15" hidden="false" customHeight="false" outlineLevel="0" collapsed="false">
      <c r="A2324" s="40" t="str">
        <f aca="false">IF(INDEX(BookTitle,2319)="","",INDEX(BookGroup,2319))</f>
        <v/>
      </c>
      <c r="B2324" s="40" t="str">
        <f aca="false">IF(INDEX(BookTitle,2319)="","",INDEX(BookRef,2319))</f>
        <v/>
      </c>
      <c r="C2324" s="40" t="str">
        <f aca="false">IF(INDEX(BookTitle,2319)="","",INDEX(BookDivision,2319))</f>
        <v/>
      </c>
      <c r="D2324" s="40" t="str">
        <f aca="false">IF(INDEX(BookTitle,2319)="","",INDEX(BookUnit,2319))</f>
        <v/>
      </c>
      <c r="E2324" s="40" t="str">
        <f aca="false">IF(INDEX(BookTitle,2319)="","",INDEX(BookTitle,2319))</f>
        <v/>
      </c>
      <c r="F2324" s="40" t="str">
        <f aca="false">IF(INDEX(BookTitle,2319)="","",INDEX(BookLevel,2319))</f>
        <v/>
      </c>
      <c r="G2324" s="40" t="str">
        <f aca="false">IF(INDEX(BookTitle,2319)="","",INDEX(BookCategory,2319))</f>
        <v/>
      </c>
      <c r="H2324" s="40" t="str">
        <f aca="false">IF(INDEX(BookTitle,2319)="","",INDEX(BookRank,2319))</f>
        <v/>
      </c>
      <c r="I2324" s="41" t="str">
        <f aca="false">IF(INDEX(BookTitle,2319)="","",INDEX(BookTotal,2319))</f>
        <v/>
      </c>
      <c r="J2324" s="0" t="str">
        <f aca="false">IF($I2324="","",IF(INDEX(BookQ1,2319)&gt;0,"Q1",IF(INDEX(BookQ2,2319)&gt;0,"Q2",IF(INDEX(BookQ3,2319)&gt;0,"Q3",IF(INDEX(BookQ4,2319)&gt;0,"Q4","")))))</f>
        <v/>
      </c>
      <c r="K2324" s="42" t="str">
        <f aca="false">IF(INDEX(BookTitle,2319)="","",INDEX(BookInYear,2319))</f>
        <v/>
      </c>
      <c r="L2324" s="19"/>
      <c r="M2324" s="39"/>
      <c r="N2324" s="19"/>
      <c r="O2324" s="19"/>
      <c r="P2324" s="43" t="str">
        <f aca="false">IF($E2324="","",IF($L2324="Decline",0,IF($L2324="Approve fewer",IF($M2324="","",$M2324),IF($L2324="","",$I2324))))</f>
        <v/>
      </c>
      <c r="Q2324" s="34" t="str">
        <f aca="false">IF($P2324="","",IF($N2324&lt;&gt;"",$N2324,$J2324))</f>
        <v/>
      </c>
      <c r="R2324" s="35" t="str">
        <f aca="false">IF(OR($P2324="",$Q2324=""),"",INDEX(BookRate,2319)*$P2324*(5-MATCH($Q2324,{"Q1";"Q2";"Q3";"Q4"},0))/4+INDEX(BookOneOff,2319)*$P2324)</f>
        <v/>
      </c>
      <c r="S2324" s="35" t="str">
        <f aca="false">IF($P2324="","",INDEX(BookRate,2319)*$P2324)</f>
        <v/>
      </c>
      <c r="T2324" s="35" t="str">
        <f aca="false">IF($R2324="","",$R2324-$K2324)</f>
        <v/>
      </c>
      <c r="U2324" s="35" t="str">
        <f aca="false">IF(N($P2324)&lt;=0,"",COUNTIF($P$6:$P2324,"&gt;0"))</f>
        <v/>
      </c>
    </row>
    <row r="2325" customFormat="false" ht="15" hidden="false" customHeight="false" outlineLevel="0" collapsed="false">
      <c r="A2325" s="40" t="str">
        <f aca="false">IF(INDEX(BookTitle,2320)="","",INDEX(BookGroup,2320))</f>
        <v/>
      </c>
      <c r="B2325" s="40" t="str">
        <f aca="false">IF(INDEX(BookTitle,2320)="","",INDEX(BookRef,2320))</f>
        <v/>
      </c>
      <c r="C2325" s="40" t="str">
        <f aca="false">IF(INDEX(BookTitle,2320)="","",INDEX(BookDivision,2320))</f>
        <v/>
      </c>
      <c r="D2325" s="40" t="str">
        <f aca="false">IF(INDEX(BookTitle,2320)="","",INDEX(BookUnit,2320))</f>
        <v/>
      </c>
      <c r="E2325" s="40" t="str">
        <f aca="false">IF(INDEX(BookTitle,2320)="","",INDEX(BookTitle,2320))</f>
        <v/>
      </c>
      <c r="F2325" s="40" t="str">
        <f aca="false">IF(INDEX(BookTitle,2320)="","",INDEX(BookLevel,2320))</f>
        <v/>
      </c>
      <c r="G2325" s="40" t="str">
        <f aca="false">IF(INDEX(BookTitle,2320)="","",INDEX(BookCategory,2320))</f>
        <v/>
      </c>
      <c r="H2325" s="40" t="str">
        <f aca="false">IF(INDEX(BookTitle,2320)="","",INDEX(BookRank,2320))</f>
        <v/>
      </c>
      <c r="I2325" s="41" t="str">
        <f aca="false">IF(INDEX(BookTitle,2320)="","",INDEX(BookTotal,2320))</f>
        <v/>
      </c>
      <c r="J2325" s="0" t="str">
        <f aca="false">IF($I2325="","",IF(INDEX(BookQ1,2320)&gt;0,"Q1",IF(INDEX(BookQ2,2320)&gt;0,"Q2",IF(INDEX(BookQ3,2320)&gt;0,"Q3",IF(INDEX(BookQ4,2320)&gt;0,"Q4","")))))</f>
        <v/>
      </c>
      <c r="K2325" s="42" t="str">
        <f aca="false">IF(INDEX(BookTitle,2320)="","",INDEX(BookInYear,2320))</f>
        <v/>
      </c>
      <c r="L2325" s="19"/>
      <c r="M2325" s="39"/>
      <c r="N2325" s="19"/>
      <c r="O2325" s="19"/>
      <c r="P2325" s="43" t="str">
        <f aca="false">IF($E2325="","",IF($L2325="Decline",0,IF($L2325="Approve fewer",IF($M2325="","",$M2325),IF($L2325="","",$I2325))))</f>
        <v/>
      </c>
      <c r="Q2325" s="34" t="str">
        <f aca="false">IF($P2325="","",IF($N2325&lt;&gt;"",$N2325,$J2325))</f>
        <v/>
      </c>
      <c r="R2325" s="35" t="str">
        <f aca="false">IF(OR($P2325="",$Q2325=""),"",INDEX(BookRate,2320)*$P2325*(5-MATCH($Q2325,{"Q1";"Q2";"Q3";"Q4"},0))/4+INDEX(BookOneOff,2320)*$P2325)</f>
        <v/>
      </c>
      <c r="S2325" s="35" t="str">
        <f aca="false">IF($P2325="","",INDEX(BookRate,2320)*$P2325)</f>
        <v/>
      </c>
      <c r="T2325" s="35" t="str">
        <f aca="false">IF($R2325="","",$R2325-$K2325)</f>
        <v/>
      </c>
      <c r="U2325" s="35" t="str">
        <f aca="false">IF(N($P2325)&lt;=0,"",COUNTIF($P$6:$P2325,"&gt;0"))</f>
        <v/>
      </c>
    </row>
    <row r="2326" customFormat="false" ht="15" hidden="false" customHeight="false" outlineLevel="0" collapsed="false">
      <c r="A2326" s="40" t="str">
        <f aca="false">IF(INDEX(BookTitle,2321)="","",INDEX(BookGroup,2321))</f>
        <v/>
      </c>
      <c r="B2326" s="40" t="str">
        <f aca="false">IF(INDEX(BookTitle,2321)="","",INDEX(BookRef,2321))</f>
        <v/>
      </c>
      <c r="C2326" s="40" t="str">
        <f aca="false">IF(INDEX(BookTitle,2321)="","",INDEX(BookDivision,2321))</f>
        <v/>
      </c>
      <c r="D2326" s="40" t="str">
        <f aca="false">IF(INDEX(BookTitle,2321)="","",INDEX(BookUnit,2321))</f>
        <v/>
      </c>
      <c r="E2326" s="40" t="str">
        <f aca="false">IF(INDEX(BookTitle,2321)="","",INDEX(BookTitle,2321))</f>
        <v/>
      </c>
      <c r="F2326" s="40" t="str">
        <f aca="false">IF(INDEX(BookTitle,2321)="","",INDEX(BookLevel,2321))</f>
        <v/>
      </c>
      <c r="G2326" s="40" t="str">
        <f aca="false">IF(INDEX(BookTitle,2321)="","",INDEX(BookCategory,2321))</f>
        <v/>
      </c>
      <c r="H2326" s="40" t="str">
        <f aca="false">IF(INDEX(BookTitle,2321)="","",INDEX(BookRank,2321))</f>
        <v/>
      </c>
      <c r="I2326" s="41" t="str">
        <f aca="false">IF(INDEX(BookTitle,2321)="","",INDEX(BookTotal,2321))</f>
        <v/>
      </c>
      <c r="J2326" s="0" t="str">
        <f aca="false">IF($I2326="","",IF(INDEX(BookQ1,2321)&gt;0,"Q1",IF(INDEX(BookQ2,2321)&gt;0,"Q2",IF(INDEX(BookQ3,2321)&gt;0,"Q3",IF(INDEX(BookQ4,2321)&gt;0,"Q4","")))))</f>
        <v/>
      </c>
      <c r="K2326" s="42" t="str">
        <f aca="false">IF(INDEX(BookTitle,2321)="","",INDEX(BookInYear,2321))</f>
        <v/>
      </c>
      <c r="L2326" s="19"/>
      <c r="M2326" s="39"/>
      <c r="N2326" s="19"/>
      <c r="O2326" s="19"/>
      <c r="P2326" s="43" t="str">
        <f aca="false">IF($E2326="","",IF($L2326="Decline",0,IF($L2326="Approve fewer",IF($M2326="","",$M2326),IF($L2326="","",$I2326))))</f>
        <v/>
      </c>
      <c r="Q2326" s="34" t="str">
        <f aca="false">IF($P2326="","",IF($N2326&lt;&gt;"",$N2326,$J2326))</f>
        <v/>
      </c>
      <c r="R2326" s="35" t="str">
        <f aca="false">IF(OR($P2326="",$Q2326=""),"",INDEX(BookRate,2321)*$P2326*(5-MATCH($Q2326,{"Q1";"Q2";"Q3";"Q4"},0))/4+INDEX(BookOneOff,2321)*$P2326)</f>
        <v/>
      </c>
      <c r="S2326" s="35" t="str">
        <f aca="false">IF($P2326="","",INDEX(BookRate,2321)*$P2326)</f>
        <v/>
      </c>
      <c r="T2326" s="35" t="str">
        <f aca="false">IF($R2326="","",$R2326-$K2326)</f>
        <v/>
      </c>
      <c r="U2326" s="35" t="str">
        <f aca="false">IF(N($P2326)&lt;=0,"",COUNTIF($P$6:$P2326,"&gt;0"))</f>
        <v/>
      </c>
    </row>
    <row r="2327" customFormat="false" ht="15" hidden="false" customHeight="false" outlineLevel="0" collapsed="false">
      <c r="A2327" s="40" t="str">
        <f aca="false">IF(INDEX(BookTitle,2322)="","",INDEX(BookGroup,2322))</f>
        <v/>
      </c>
      <c r="B2327" s="40" t="str">
        <f aca="false">IF(INDEX(BookTitle,2322)="","",INDEX(BookRef,2322))</f>
        <v/>
      </c>
      <c r="C2327" s="40" t="str">
        <f aca="false">IF(INDEX(BookTitle,2322)="","",INDEX(BookDivision,2322))</f>
        <v/>
      </c>
      <c r="D2327" s="40" t="str">
        <f aca="false">IF(INDEX(BookTitle,2322)="","",INDEX(BookUnit,2322))</f>
        <v/>
      </c>
      <c r="E2327" s="40" t="str">
        <f aca="false">IF(INDEX(BookTitle,2322)="","",INDEX(BookTitle,2322))</f>
        <v/>
      </c>
      <c r="F2327" s="40" t="str">
        <f aca="false">IF(INDEX(BookTitle,2322)="","",INDEX(BookLevel,2322))</f>
        <v/>
      </c>
      <c r="G2327" s="40" t="str">
        <f aca="false">IF(INDEX(BookTitle,2322)="","",INDEX(BookCategory,2322))</f>
        <v/>
      </c>
      <c r="H2327" s="40" t="str">
        <f aca="false">IF(INDEX(BookTitle,2322)="","",INDEX(BookRank,2322))</f>
        <v/>
      </c>
      <c r="I2327" s="41" t="str">
        <f aca="false">IF(INDEX(BookTitle,2322)="","",INDEX(BookTotal,2322))</f>
        <v/>
      </c>
      <c r="J2327" s="0" t="str">
        <f aca="false">IF($I2327="","",IF(INDEX(BookQ1,2322)&gt;0,"Q1",IF(INDEX(BookQ2,2322)&gt;0,"Q2",IF(INDEX(BookQ3,2322)&gt;0,"Q3",IF(INDEX(BookQ4,2322)&gt;0,"Q4","")))))</f>
        <v/>
      </c>
      <c r="K2327" s="42" t="str">
        <f aca="false">IF(INDEX(BookTitle,2322)="","",INDEX(BookInYear,2322))</f>
        <v/>
      </c>
      <c r="L2327" s="19"/>
      <c r="M2327" s="39"/>
      <c r="N2327" s="19"/>
      <c r="O2327" s="19"/>
      <c r="P2327" s="43" t="str">
        <f aca="false">IF($E2327="","",IF($L2327="Decline",0,IF($L2327="Approve fewer",IF($M2327="","",$M2327),IF($L2327="","",$I2327))))</f>
        <v/>
      </c>
      <c r="Q2327" s="34" t="str">
        <f aca="false">IF($P2327="","",IF($N2327&lt;&gt;"",$N2327,$J2327))</f>
        <v/>
      </c>
      <c r="R2327" s="35" t="str">
        <f aca="false">IF(OR($P2327="",$Q2327=""),"",INDEX(BookRate,2322)*$P2327*(5-MATCH($Q2327,{"Q1";"Q2";"Q3";"Q4"},0))/4+INDEX(BookOneOff,2322)*$P2327)</f>
        <v/>
      </c>
      <c r="S2327" s="35" t="str">
        <f aca="false">IF($P2327="","",INDEX(BookRate,2322)*$P2327)</f>
        <v/>
      </c>
      <c r="T2327" s="35" t="str">
        <f aca="false">IF($R2327="","",$R2327-$K2327)</f>
        <v/>
      </c>
      <c r="U2327" s="35" t="str">
        <f aca="false">IF(N($P2327)&lt;=0,"",COUNTIF($P$6:$P2327,"&gt;0"))</f>
        <v/>
      </c>
    </row>
    <row r="2328" customFormat="false" ht="15" hidden="false" customHeight="false" outlineLevel="0" collapsed="false">
      <c r="A2328" s="40" t="str">
        <f aca="false">IF(INDEX(BookTitle,2323)="","",INDEX(BookGroup,2323))</f>
        <v/>
      </c>
      <c r="B2328" s="40" t="str">
        <f aca="false">IF(INDEX(BookTitle,2323)="","",INDEX(BookRef,2323))</f>
        <v/>
      </c>
      <c r="C2328" s="40" t="str">
        <f aca="false">IF(INDEX(BookTitle,2323)="","",INDEX(BookDivision,2323))</f>
        <v/>
      </c>
      <c r="D2328" s="40" t="str">
        <f aca="false">IF(INDEX(BookTitle,2323)="","",INDEX(BookUnit,2323))</f>
        <v/>
      </c>
      <c r="E2328" s="40" t="str">
        <f aca="false">IF(INDEX(BookTitle,2323)="","",INDEX(BookTitle,2323))</f>
        <v/>
      </c>
      <c r="F2328" s="40" t="str">
        <f aca="false">IF(INDEX(BookTitle,2323)="","",INDEX(BookLevel,2323))</f>
        <v/>
      </c>
      <c r="G2328" s="40" t="str">
        <f aca="false">IF(INDEX(BookTitle,2323)="","",INDEX(BookCategory,2323))</f>
        <v/>
      </c>
      <c r="H2328" s="40" t="str">
        <f aca="false">IF(INDEX(BookTitle,2323)="","",INDEX(BookRank,2323))</f>
        <v/>
      </c>
      <c r="I2328" s="41" t="str">
        <f aca="false">IF(INDEX(BookTitle,2323)="","",INDEX(BookTotal,2323))</f>
        <v/>
      </c>
      <c r="J2328" s="0" t="str">
        <f aca="false">IF($I2328="","",IF(INDEX(BookQ1,2323)&gt;0,"Q1",IF(INDEX(BookQ2,2323)&gt;0,"Q2",IF(INDEX(BookQ3,2323)&gt;0,"Q3",IF(INDEX(BookQ4,2323)&gt;0,"Q4","")))))</f>
        <v/>
      </c>
      <c r="K2328" s="42" t="str">
        <f aca="false">IF(INDEX(BookTitle,2323)="","",INDEX(BookInYear,2323))</f>
        <v/>
      </c>
      <c r="L2328" s="19"/>
      <c r="M2328" s="39"/>
      <c r="N2328" s="19"/>
      <c r="O2328" s="19"/>
      <c r="P2328" s="43" t="str">
        <f aca="false">IF($E2328="","",IF($L2328="Decline",0,IF($L2328="Approve fewer",IF($M2328="","",$M2328),IF($L2328="","",$I2328))))</f>
        <v/>
      </c>
      <c r="Q2328" s="34" t="str">
        <f aca="false">IF($P2328="","",IF($N2328&lt;&gt;"",$N2328,$J2328))</f>
        <v/>
      </c>
      <c r="R2328" s="35" t="str">
        <f aca="false">IF(OR($P2328="",$Q2328=""),"",INDEX(BookRate,2323)*$P2328*(5-MATCH($Q2328,{"Q1";"Q2";"Q3";"Q4"},0))/4+INDEX(BookOneOff,2323)*$P2328)</f>
        <v/>
      </c>
      <c r="S2328" s="35" t="str">
        <f aca="false">IF($P2328="","",INDEX(BookRate,2323)*$P2328)</f>
        <v/>
      </c>
      <c r="T2328" s="35" t="str">
        <f aca="false">IF($R2328="","",$R2328-$K2328)</f>
        <v/>
      </c>
      <c r="U2328" s="35" t="str">
        <f aca="false">IF(N($P2328)&lt;=0,"",COUNTIF($P$6:$P2328,"&gt;0"))</f>
        <v/>
      </c>
    </row>
    <row r="2329" customFormat="false" ht="15" hidden="false" customHeight="false" outlineLevel="0" collapsed="false">
      <c r="A2329" s="40" t="str">
        <f aca="false">IF(INDEX(BookTitle,2324)="","",INDEX(BookGroup,2324))</f>
        <v/>
      </c>
      <c r="B2329" s="40" t="str">
        <f aca="false">IF(INDEX(BookTitle,2324)="","",INDEX(BookRef,2324))</f>
        <v/>
      </c>
      <c r="C2329" s="40" t="str">
        <f aca="false">IF(INDEX(BookTitle,2324)="","",INDEX(BookDivision,2324))</f>
        <v/>
      </c>
      <c r="D2329" s="40" t="str">
        <f aca="false">IF(INDEX(BookTitle,2324)="","",INDEX(BookUnit,2324))</f>
        <v/>
      </c>
      <c r="E2329" s="40" t="str">
        <f aca="false">IF(INDEX(BookTitle,2324)="","",INDEX(BookTitle,2324))</f>
        <v/>
      </c>
      <c r="F2329" s="40" t="str">
        <f aca="false">IF(INDEX(BookTitle,2324)="","",INDEX(BookLevel,2324))</f>
        <v/>
      </c>
      <c r="G2329" s="40" t="str">
        <f aca="false">IF(INDEX(BookTitle,2324)="","",INDEX(BookCategory,2324))</f>
        <v/>
      </c>
      <c r="H2329" s="40" t="str">
        <f aca="false">IF(INDEX(BookTitle,2324)="","",INDEX(BookRank,2324))</f>
        <v/>
      </c>
      <c r="I2329" s="41" t="str">
        <f aca="false">IF(INDEX(BookTitle,2324)="","",INDEX(BookTotal,2324))</f>
        <v/>
      </c>
      <c r="J2329" s="0" t="str">
        <f aca="false">IF($I2329="","",IF(INDEX(BookQ1,2324)&gt;0,"Q1",IF(INDEX(BookQ2,2324)&gt;0,"Q2",IF(INDEX(BookQ3,2324)&gt;0,"Q3",IF(INDEX(BookQ4,2324)&gt;0,"Q4","")))))</f>
        <v/>
      </c>
      <c r="K2329" s="42" t="str">
        <f aca="false">IF(INDEX(BookTitle,2324)="","",INDEX(BookInYear,2324))</f>
        <v/>
      </c>
      <c r="L2329" s="19"/>
      <c r="M2329" s="39"/>
      <c r="N2329" s="19"/>
      <c r="O2329" s="19"/>
      <c r="P2329" s="43" t="str">
        <f aca="false">IF($E2329="","",IF($L2329="Decline",0,IF($L2329="Approve fewer",IF($M2329="","",$M2329),IF($L2329="","",$I2329))))</f>
        <v/>
      </c>
      <c r="Q2329" s="34" t="str">
        <f aca="false">IF($P2329="","",IF($N2329&lt;&gt;"",$N2329,$J2329))</f>
        <v/>
      </c>
      <c r="R2329" s="35" t="str">
        <f aca="false">IF(OR($P2329="",$Q2329=""),"",INDEX(BookRate,2324)*$P2329*(5-MATCH($Q2329,{"Q1";"Q2";"Q3";"Q4"},0))/4+INDEX(BookOneOff,2324)*$P2329)</f>
        <v/>
      </c>
      <c r="S2329" s="35" t="str">
        <f aca="false">IF($P2329="","",INDEX(BookRate,2324)*$P2329)</f>
        <v/>
      </c>
      <c r="T2329" s="35" t="str">
        <f aca="false">IF($R2329="","",$R2329-$K2329)</f>
        <v/>
      </c>
      <c r="U2329" s="35" t="str">
        <f aca="false">IF(N($P2329)&lt;=0,"",COUNTIF($P$6:$P2329,"&gt;0"))</f>
        <v/>
      </c>
    </row>
    <row r="2330" customFormat="false" ht="15" hidden="false" customHeight="false" outlineLevel="0" collapsed="false">
      <c r="A2330" s="40" t="str">
        <f aca="false">IF(INDEX(BookTitle,2325)="","",INDEX(BookGroup,2325))</f>
        <v/>
      </c>
      <c r="B2330" s="40" t="str">
        <f aca="false">IF(INDEX(BookTitle,2325)="","",INDEX(BookRef,2325))</f>
        <v/>
      </c>
      <c r="C2330" s="40" t="str">
        <f aca="false">IF(INDEX(BookTitle,2325)="","",INDEX(BookDivision,2325))</f>
        <v/>
      </c>
      <c r="D2330" s="40" t="str">
        <f aca="false">IF(INDEX(BookTitle,2325)="","",INDEX(BookUnit,2325))</f>
        <v/>
      </c>
      <c r="E2330" s="40" t="str">
        <f aca="false">IF(INDEX(BookTitle,2325)="","",INDEX(BookTitle,2325))</f>
        <v/>
      </c>
      <c r="F2330" s="40" t="str">
        <f aca="false">IF(INDEX(BookTitle,2325)="","",INDEX(BookLevel,2325))</f>
        <v/>
      </c>
      <c r="G2330" s="40" t="str">
        <f aca="false">IF(INDEX(BookTitle,2325)="","",INDEX(BookCategory,2325))</f>
        <v/>
      </c>
      <c r="H2330" s="40" t="str">
        <f aca="false">IF(INDEX(BookTitle,2325)="","",INDEX(BookRank,2325))</f>
        <v/>
      </c>
      <c r="I2330" s="41" t="str">
        <f aca="false">IF(INDEX(BookTitle,2325)="","",INDEX(BookTotal,2325))</f>
        <v/>
      </c>
      <c r="J2330" s="0" t="str">
        <f aca="false">IF($I2330="","",IF(INDEX(BookQ1,2325)&gt;0,"Q1",IF(INDEX(BookQ2,2325)&gt;0,"Q2",IF(INDEX(BookQ3,2325)&gt;0,"Q3",IF(INDEX(BookQ4,2325)&gt;0,"Q4","")))))</f>
        <v/>
      </c>
      <c r="K2330" s="42" t="str">
        <f aca="false">IF(INDEX(BookTitle,2325)="","",INDEX(BookInYear,2325))</f>
        <v/>
      </c>
      <c r="L2330" s="19"/>
      <c r="M2330" s="39"/>
      <c r="N2330" s="19"/>
      <c r="O2330" s="19"/>
      <c r="P2330" s="43" t="str">
        <f aca="false">IF($E2330="","",IF($L2330="Decline",0,IF($L2330="Approve fewer",IF($M2330="","",$M2330),IF($L2330="","",$I2330))))</f>
        <v/>
      </c>
      <c r="Q2330" s="34" t="str">
        <f aca="false">IF($P2330="","",IF($N2330&lt;&gt;"",$N2330,$J2330))</f>
        <v/>
      </c>
      <c r="R2330" s="35" t="str">
        <f aca="false">IF(OR($P2330="",$Q2330=""),"",INDEX(BookRate,2325)*$P2330*(5-MATCH($Q2330,{"Q1";"Q2";"Q3";"Q4"},0))/4+INDEX(BookOneOff,2325)*$P2330)</f>
        <v/>
      </c>
      <c r="S2330" s="35" t="str">
        <f aca="false">IF($P2330="","",INDEX(BookRate,2325)*$P2330)</f>
        <v/>
      </c>
      <c r="T2330" s="35" t="str">
        <f aca="false">IF($R2330="","",$R2330-$K2330)</f>
        <v/>
      </c>
      <c r="U2330" s="35" t="str">
        <f aca="false">IF(N($P2330)&lt;=0,"",COUNTIF($P$6:$P2330,"&gt;0"))</f>
        <v/>
      </c>
    </row>
    <row r="2331" customFormat="false" ht="15" hidden="false" customHeight="false" outlineLevel="0" collapsed="false">
      <c r="A2331" s="40" t="str">
        <f aca="false">IF(INDEX(BookTitle,2326)="","",INDEX(BookGroup,2326))</f>
        <v/>
      </c>
      <c r="B2331" s="40" t="str">
        <f aca="false">IF(INDEX(BookTitle,2326)="","",INDEX(BookRef,2326))</f>
        <v/>
      </c>
      <c r="C2331" s="40" t="str">
        <f aca="false">IF(INDEX(BookTitle,2326)="","",INDEX(BookDivision,2326))</f>
        <v/>
      </c>
      <c r="D2331" s="40" t="str">
        <f aca="false">IF(INDEX(BookTitle,2326)="","",INDEX(BookUnit,2326))</f>
        <v/>
      </c>
      <c r="E2331" s="40" t="str">
        <f aca="false">IF(INDEX(BookTitle,2326)="","",INDEX(BookTitle,2326))</f>
        <v/>
      </c>
      <c r="F2331" s="40" t="str">
        <f aca="false">IF(INDEX(BookTitle,2326)="","",INDEX(BookLevel,2326))</f>
        <v/>
      </c>
      <c r="G2331" s="40" t="str">
        <f aca="false">IF(INDEX(BookTitle,2326)="","",INDEX(BookCategory,2326))</f>
        <v/>
      </c>
      <c r="H2331" s="40" t="str">
        <f aca="false">IF(INDEX(BookTitle,2326)="","",INDEX(BookRank,2326))</f>
        <v/>
      </c>
      <c r="I2331" s="41" t="str">
        <f aca="false">IF(INDEX(BookTitle,2326)="","",INDEX(BookTotal,2326))</f>
        <v/>
      </c>
      <c r="J2331" s="0" t="str">
        <f aca="false">IF($I2331="","",IF(INDEX(BookQ1,2326)&gt;0,"Q1",IF(INDEX(BookQ2,2326)&gt;0,"Q2",IF(INDEX(BookQ3,2326)&gt;0,"Q3",IF(INDEX(BookQ4,2326)&gt;0,"Q4","")))))</f>
        <v/>
      </c>
      <c r="K2331" s="42" t="str">
        <f aca="false">IF(INDEX(BookTitle,2326)="","",INDEX(BookInYear,2326))</f>
        <v/>
      </c>
      <c r="L2331" s="19"/>
      <c r="M2331" s="39"/>
      <c r="N2331" s="19"/>
      <c r="O2331" s="19"/>
      <c r="P2331" s="43" t="str">
        <f aca="false">IF($E2331="","",IF($L2331="Decline",0,IF($L2331="Approve fewer",IF($M2331="","",$M2331),IF($L2331="","",$I2331))))</f>
        <v/>
      </c>
      <c r="Q2331" s="34" t="str">
        <f aca="false">IF($P2331="","",IF($N2331&lt;&gt;"",$N2331,$J2331))</f>
        <v/>
      </c>
      <c r="R2331" s="35" t="str">
        <f aca="false">IF(OR($P2331="",$Q2331=""),"",INDEX(BookRate,2326)*$P2331*(5-MATCH($Q2331,{"Q1";"Q2";"Q3";"Q4"},0))/4+INDEX(BookOneOff,2326)*$P2331)</f>
        <v/>
      </c>
      <c r="S2331" s="35" t="str">
        <f aca="false">IF($P2331="","",INDEX(BookRate,2326)*$P2331)</f>
        <v/>
      </c>
      <c r="T2331" s="35" t="str">
        <f aca="false">IF($R2331="","",$R2331-$K2331)</f>
        <v/>
      </c>
      <c r="U2331" s="35" t="str">
        <f aca="false">IF(N($P2331)&lt;=0,"",COUNTIF($P$6:$P2331,"&gt;0"))</f>
        <v/>
      </c>
    </row>
    <row r="2332" customFormat="false" ht="15" hidden="false" customHeight="false" outlineLevel="0" collapsed="false">
      <c r="A2332" s="40" t="str">
        <f aca="false">IF(INDEX(BookTitle,2327)="","",INDEX(BookGroup,2327))</f>
        <v/>
      </c>
      <c r="B2332" s="40" t="str">
        <f aca="false">IF(INDEX(BookTitle,2327)="","",INDEX(BookRef,2327))</f>
        <v/>
      </c>
      <c r="C2332" s="40" t="str">
        <f aca="false">IF(INDEX(BookTitle,2327)="","",INDEX(BookDivision,2327))</f>
        <v/>
      </c>
      <c r="D2332" s="40" t="str">
        <f aca="false">IF(INDEX(BookTitle,2327)="","",INDEX(BookUnit,2327))</f>
        <v/>
      </c>
      <c r="E2332" s="40" t="str">
        <f aca="false">IF(INDEX(BookTitle,2327)="","",INDEX(BookTitle,2327))</f>
        <v/>
      </c>
      <c r="F2332" s="40" t="str">
        <f aca="false">IF(INDEX(BookTitle,2327)="","",INDEX(BookLevel,2327))</f>
        <v/>
      </c>
      <c r="G2332" s="40" t="str">
        <f aca="false">IF(INDEX(BookTitle,2327)="","",INDEX(BookCategory,2327))</f>
        <v/>
      </c>
      <c r="H2332" s="40" t="str">
        <f aca="false">IF(INDEX(BookTitle,2327)="","",INDEX(BookRank,2327))</f>
        <v/>
      </c>
      <c r="I2332" s="41" t="str">
        <f aca="false">IF(INDEX(BookTitle,2327)="","",INDEX(BookTotal,2327))</f>
        <v/>
      </c>
      <c r="J2332" s="0" t="str">
        <f aca="false">IF($I2332="","",IF(INDEX(BookQ1,2327)&gt;0,"Q1",IF(INDEX(BookQ2,2327)&gt;0,"Q2",IF(INDEX(BookQ3,2327)&gt;0,"Q3",IF(INDEX(BookQ4,2327)&gt;0,"Q4","")))))</f>
        <v/>
      </c>
      <c r="K2332" s="42" t="str">
        <f aca="false">IF(INDEX(BookTitle,2327)="","",INDEX(BookInYear,2327))</f>
        <v/>
      </c>
      <c r="L2332" s="19"/>
      <c r="M2332" s="39"/>
      <c r="N2332" s="19"/>
      <c r="O2332" s="19"/>
      <c r="P2332" s="43" t="str">
        <f aca="false">IF($E2332="","",IF($L2332="Decline",0,IF($L2332="Approve fewer",IF($M2332="","",$M2332),IF($L2332="","",$I2332))))</f>
        <v/>
      </c>
      <c r="Q2332" s="34" t="str">
        <f aca="false">IF($P2332="","",IF($N2332&lt;&gt;"",$N2332,$J2332))</f>
        <v/>
      </c>
      <c r="R2332" s="35" t="str">
        <f aca="false">IF(OR($P2332="",$Q2332=""),"",INDEX(BookRate,2327)*$P2332*(5-MATCH($Q2332,{"Q1";"Q2";"Q3";"Q4"},0))/4+INDEX(BookOneOff,2327)*$P2332)</f>
        <v/>
      </c>
      <c r="S2332" s="35" t="str">
        <f aca="false">IF($P2332="","",INDEX(BookRate,2327)*$P2332)</f>
        <v/>
      </c>
      <c r="T2332" s="35" t="str">
        <f aca="false">IF($R2332="","",$R2332-$K2332)</f>
        <v/>
      </c>
      <c r="U2332" s="35" t="str">
        <f aca="false">IF(N($P2332)&lt;=0,"",COUNTIF($P$6:$P2332,"&gt;0"))</f>
        <v/>
      </c>
    </row>
    <row r="2333" customFormat="false" ht="15" hidden="false" customHeight="false" outlineLevel="0" collapsed="false">
      <c r="A2333" s="40" t="str">
        <f aca="false">IF(INDEX(BookTitle,2328)="","",INDEX(BookGroup,2328))</f>
        <v/>
      </c>
      <c r="B2333" s="40" t="str">
        <f aca="false">IF(INDEX(BookTitle,2328)="","",INDEX(BookRef,2328))</f>
        <v/>
      </c>
      <c r="C2333" s="40" t="str">
        <f aca="false">IF(INDEX(BookTitle,2328)="","",INDEX(BookDivision,2328))</f>
        <v/>
      </c>
      <c r="D2333" s="40" t="str">
        <f aca="false">IF(INDEX(BookTitle,2328)="","",INDEX(BookUnit,2328))</f>
        <v/>
      </c>
      <c r="E2333" s="40" t="str">
        <f aca="false">IF(INDEX(BookTitle,2328)="","",INDEX(BookTitle,2328))</f>
        <v/>
      </c>
      <c r="F2333" s="40" t="str">
        <f aca="false">IF(INDEX(BookTitle,2328)="","",INDEX(BookLevel,2328))</f>
        <v/>
      </c>
      <c r="G2333" s="40" t="str">
        <f aca="false">IF(INDEX(BookTitle,2328)="","",INDEX(BookCategory,2328))</f>
        <v/>
      </c>
      <c r="H2333" s="40" t="str">
        <f aca="false">IF(INDEX(BookTitle,2328)="","",INDEX(BookRank,2328))</f>
        <v/>
      </c>
      <c r="I2333" s="41" t="str">
        <f aca="false">IF(INDEX(BookTitle,2328)="","",INDEX(BookTotal,2328))</f>
        <v/>
      </c>
      <c r="J2333" s="0" t="str">
        <f aca="false">IF($I2333="","",IF(INDEX(BookQ1,2328)&gt;0,"Q1",IF(INDEX(BookQ2,2328)&gt;0,"Q2",IF(INDEX(BookQ3,2328)&gt;0,"Q3",IF(INDEX(BookQ4,2328)&gt;0,"Q4","")))))</f>
        <v/>
      </c>
      <c r="K2333" s="42" t="str">
        <f aca="false">IF(INDEX(BookTitle,2328)="","",INDEX(BookInYear,2328))</f>
        <v/>
      </c>
      <c r="L2333" s="19"/>
      <c r="M2333" s="39"/>
      <c r="N2333" s="19"/>
      <c r="O2333" s="19"/>
      <c r="P2333" s="43" t="str">
        <f aca="false">IF($E2333="","",IF($L2333="Decline",0,IF($L2333="Approve fewer",IF($M2333="","",$M2333),IF($L2333="","",$I2333))))</f>
        <v/>
      </c>
      <c r="Q2333" s="34" t="str">
        <f aca="false">IF($P2333="","",IF($N2333&lt;&gt;"",$N2333,$J2333))</f>
        <v/>
      </c>
      <c r="R2333" s="35" t="str">
        <f aca="false">IF(OR($P2333="",$Q2333=""),"",INDEX(BookRate,2328)*$P2333*(5-MATCH($Q2333,{"Q1";"Q2";"Q3";"Q4"},0))/4+INDEX(BookOneOff,2328)*$P2333)</f>
        <v/>
      </c>
      <c r="S2333" s="35" t="str">
        <f aca="false">IF($P2333="","",INDEX(BookRate,2328)*$P2333)</f>
        <v/>
      </c>
      <c r="T2333" s="35" t="str">
        <f aca="false">IF($R2333="","",$R2333-$K2333)</f>
        <v/>
      </c>
      <c r="U2333" s="35" t="str">
        <f aca="false">IF(N($P2333)&lt;=0,"",COUNTIF($P$6:$P2333,"&gt;0"))</f>
        <v/>
      </c>
    </row>
    <row r="2334" customFormat="false" ht="15" hidden="false" customHeight="false" outlineLevel="0" collapsed="false">
      <c r="A2334" s="40" t="str">
        <f aca="false">IF(INDEX(BookTitle,2329)="","",INDEX(BookGroup,2329))</f>
        <v/>
      </c>
      <c r="B2334" s="40" t="str">
        <f aca="false">IF(INDEX(BookTitle,2329)="","",INDEX(BookRef,2329))</f>
        <v/>
      </c>
      <c r="C2334" s="40" t="str">
        <f aca="false">IF(INDEX(BookTitle,2329)="","",INDEX(BookDivision,2329))</f>
        <v/>
      </c>
      <c r="D2334" s="40" t="str">
        <f aca="false">IF(INDEX(BookTitle,2329)="","",INDEX(BookUnit,2329))</f>
        <v/>
      </c>
      <c r="E2334" s="40" t="str">
        <f aca="false">IF(INDEX(BookTitle,2329)="","",INDEX(BookTitle,2329))</f>
        <v/>
      </c>
      <c r="F2334" s="40" t="str">
        <f aca="false">IF(INDEX(BookTitle,2329)="","",INDEX(BookLevel,2329))</f>
        <v/>
      </c>
      <c r="G2334" s="40" t="str">
        <f aca="false">IF(INDEX(BookTitle,2329)="","",INDEX(BookCategory,2329))</f>
        <v/>
      </c>
      <c r="H2334" s="40" t="str">
        <f aca="false">IF(INDEX(BookTitle,2329)="","",INDEX(BookRank,2329))</f>
        <v/>
      </c>
      <c r="I2334" s="41" t="str">
        <f aca="false">IF(INDEX(BookTitle,2329)="","",INDEX(BookTotal,2329))</f>
        <v/>
      </c>
      <c r="J2334" s="0" t="str">
        <f aca="false">IF($I2334="","",IF(INDEX(BookQ1,2329)&gt;0,"Q1",IF(INDEX(BookQ2,2329)&gt;0,"Q2",IF(INDEX(BookQ3,2329)&gt;0,"Q3",IF(INDEX(BookQ4,2329)&gt;0,"Q4","")))))</f>
        <v/>
      </c>
      <c r="K2334" s="42" t="str">
        <f aca="false">IF(INDEX(BookTitle,2329)="","",INDEX(BookInYear,2329))</f>
        <v/>
      </c>
      <c r="L2334" s="19"/>
      <c r="M2334" s="39"/>
      <c r="N2334" s="19"/>
      <c r="O2334" s="19"/>
      <c r="P2334" s="43" t="str">
        <f aca="false">IF($E2334="","",IF($L2334="Decline",0,IF($L2334="Approve fewer",IF($M2334="","",$M2334),IF($L2334="","",$I2334))))</f>
        <v/>
      </c>
      <c r="Q2334" s="34" t="str">
        <f aca="false">IF($P2334="","",IF($N2334&lt;&gt;"",$N2334,$J2334))</f>
        <v/>
      </c>
      <c r="R2334" s="35" t="str">
        <f aca="false">IF(OR($P2334="",$Q2334=""),"",INDEX(BookRate,2329)*$P2334*(5-MATCH($Q2334,{"Q1";"Q2";"Q3";"Q4"},0))/4+INDEX(BookOneOff,2329)*$P2334)</f>
        <v/>
      </c>
      <c r="S2334" s="35" t="str">
        <f aca="false">IF($P2334="","",INDEX(BookRate,2329)*$P2334)</f>
        <v/>
      </c>
      <c r="T2334" s="35" t="str">
        <f aca="false">IF($R2334="","",$R2334-$K2334)</f>
        <v/>
      </c>
      <c r="U2334" s="35" t="str">
        <f aca="false">IF(N($P2334)&lt;=0,"",COUNTIF($P$6:$P2334,"&gt;0"))</f>
        <v/>
      </c>
    </row>
    <row r="2335" customFormat="false" ht="15" hidden="false" customHeight="false" outlineLevel="0" collapsed="false">
      <c r="A2335" s="40" t="str">
        <f aca="false">IF(INDEX(BookTitle,2330)="","",INDEX(BookGroup,2330))</f>
        <v/>
      </c>
      <c r="B2335" s="40" t="str">
        <f aca="false">IF(INDEX(BookTitle,2330)="","",INDEX(BookRef,2330))</f>
        <v/>
      </c>
      <c r="C2335" s="40" t="str">
        <f aca="false">IF(INDEX(BookTitle,2330)="","",INDEX(BookDivision,2330))</f>
        <v/>
      </c>
      <c r="D2335" s="40" t="str">
        <f aca="false">IF(INDEX(BookTitle,2330)="","",INDEX(BookUnit,2330))</f>
        <v/>
      </c>
      <c r="E2335" s="40" t="str">
        <f aca="false">IF(INDEX(BookTitle,2330)="","",INDEX(BookTitle,2330))</f>
        <v/>
      </c>
      <c r="F2335" s="40" t="str">
        <f aca="false">IF(INDEX(BookTitle,2330)="","",INDEX(BookLevel,2330))</f>
        <v/>
      </c>
      <c r="G2335" s="40" t="str">
        <f aca="false">IF(INDEX(BookTitle,2330)="","",INDEX(BookCategory,2330))</f>
        <v/>
      </c>
      <c r="H2335" s="40" t="str">
        <f aca="false">IF(INDEX(BookTitle,2330)="","",INDEX(BookRank,2330))</f>
        <v/>
      </c>
      <c r="I2335" s="41" t="str">
        <f aca="false">IF(INDEX(BookTitle,2330)="","",INDEX(BookTotal,2330))</f>
        <v/>
      </c>
      <c r="J2335" s="0" t="str">
        <f aca="false">IF($I2335="","",IF(INDEX(BookQ1,2330)&gt;0,"Q1",IF(INDEX(BookQ2,2330)&gt;0,"Q2",IF(INDEX(BookQ3,2330)&gt;0,"Q3",IF(INDEX(BookQ4,2330)&gt;0,"Q4","")))))</f>
        <v/>
      </c>
      <c r="K2335" s="42" t="str">
        <f aca="false">IF(INDEX(BookTitle,2330)="","",INDEX(BookInYear,2330))</f>
        <v/>
      </c>
      <c r="L2335" s="19"/>
      <c r="M2335" s="39"/>
      <c r="N2335" s="19"/>
      <c r="O2335" s="19"/>
      <c r="P2335" s="43" t="str">
        <f aca="false">IF($E2335="","",IF($L2335="Decline",0,IF($L2335="Approve fewer",IF($M2335="","",$M2335),IF($L2335="","",$I2335))))</f>
        <v/>
      </c>
      <c r="Q2335" s="34" t="str">
        <f aca="false">IF($P2335="","",IF($N2335&lt;&gt;"",$N2335,$J2335))</f>
        <v/>
      </c>
      <c r="R2335" s="35" t="str">
        <f aca="false">IF(OR($P2335="",$Q2335=""),"",INDEX(BookRate,2330)*$P2335*(5-MATCH($Q2335,{"Q1";"Q2";"Q3";"Q4"},0))/4+INDEX(BookOneOff,2330)*$P2335)</f>
        <v/>
      </c>
      <c r="S2335" s="35" t="str">
        <f aca="false">IF($P2335="","",INDEX(BookRate,2330)*$P2335)</f>
        <v/>
      </c>
      <c r="T2335" s="35" t="str">
        <f aca="false">IF($R2335="","",$R2335-$K2335)</f>
        <v/>
      </c>
      <c r="U2335" s="35" t="str">
        <f aca="false">IF(N($P2335)&lt;=0,"",COUNTIF($P$6:$P2335,"&gt;0"))</f>
        <v/>
      </c>
    </row>
    <row r="2336" customFormat="false" ht="15" hidden="false" customHeight="false" outlineLevel="0" collapsed="false">
      <c r="A2336" s="40" t="str">
        <f aca="false">IF(INDEX(BookTitle,2331)="","",INDEX(BookGroup,2331))</f>
        <v/>
      </c>
      <c r="B2336" s="40" t="str">
        <f aca="false">IF(INDEX(BookTitle,2331)="","",INDEX(BookRef,2331))</f>
        <v/>
      </c>
      <c r="C2336" s="40" t="str">
        <f aca="false">IF(INDEX(BookTitle,2331)="","",INDEX(BookDivision,2331))</f>
        <v/>
      </c>
      <c r="D2336" s="40" t="str">
        <f aca="false">IF(INDEX(BookTitle,2331)="","",INDEX(BookUnit,2331))</f>
        <v/>
      </c>
      <c r="E2336" s="40" t="str">
        <f aca="false">IF(INDEX(BookTitle,2331)="","",INDEX(BookTitle,2331))</f>
        <v/>
      </c>
      <c r="F2336" s="40" t="str">
        <f aca="false">IF(INDEX(BookTitle,2331)="","",INDEX(BookLevel,2331))</f>
        <v/>
      </c>
      <c r="G2336" s="40" t="str">
        <f aca="false">IF(INDEX(BookTitle,2331)="","",INDEX(BookCategory,2331))</f>
        <v/>
      </c>
      <c r="H2336" s="40" t="str">
        <f aca="false">IF(INDEX(BookTitle,2331)="","",INDEX(BookRank,2331))</f>
        <v/>
      </c>
      <c r="I2336" s="41" t="str">
        <f aca="false">IF(INDEX(BookTitle,2331)="","",INDEX(BookTotal,2331))</f>
        <v/>
      </c>
      <c r="J2336" s="0" t="str">
        <f aca="false">IF($I2336="","",IF(INDEX(BookQ1,2331)&gt;0,"Q1",IF(INDEX(BookQ2,2331)&gt;0,"Q2",IF(INDEX(BookQ3,2331)&gt;0,"Q3",IF(INDEX(BookQ4,2331)&gt;0,"Q4","")))))</f>
        <v/>
      </c>
      <c r="K2336" s="42" t="str">
        <f aca="false">IF(INDEX(BookTitle,2331)="","",INDEX(BookInYear,2331))</f>
        <v/>
      </c>
      <c r="L2336" s="19"/>
      <c r="M2336" s="39"/>
      <c r="N2336" s="19"/>
      <c r="O2336" s="19"/>
      <c r="P2336" s="43" t="str">
        <f aca="false">IF($E2336="","",IF($L2336="Decline",0,IF($L2336="Approve fewer",IF($M2336="","",$M2336),IF($L2336="","",$I2336))))</f>
        <v/>
      </c>
      <c r="Q2336" s="34" t="str">
        <f aca="false">IF($P2336="","",IF($N2336&lt;&gt;"",$N2336,$J2336))</f>
        <v/>
      </c>
      <c r="R2336" s="35" t="str">
        <f aca="false">IF(OR($P2336="",$Q2336=""),"",INDEX(BookRate,2331)*$P2336*(5-MATCH($Q2336,{"Q1";"Q2";"Q3";"Q4"},0))/4+INDEX(BookOneOff,2331)*$P2336)</f>
        <v/>
      </c>
      <c r="S2336" s="35" t="str">
        <f aca="false">IF($P2336="","",INDEX(BookRate,2331)*$P2336)</f>
        <v/>
      </c>
      <c r="T2336" s="35" t="str">
        <f aca="false">IF($R2336="","",$R2336-$K2336)</f>
        <v/>
      </c>
      <c r="U2336" s="35" t="str">
        <f aca="false">IF(N($P2336)&lt;=0,"",COUNTIF($P$6:$P2336,"&gt;0"))</f>
        <v/>
      </c>
    </row>
    <row r="2337" customFormat="false" ht="15" hidden="false" customHeight="false" outlineLevel="0" collapsed="false">
      <c r="A2337" s="40" t="str">
        <f aca="false">IF(INDEX(BookTitle,2332)="","",INDEX(BookGroup,2332))</f>
        <v/>
      </c>
      <c r="B2337" s="40" t="str">
        <f aca="false">IF(INDEX(BookTitle,2332)="","",INDEX(BookRef,2332))</f>
        <v/>
      </c>
      <c r="C2337" s="40" t="str">
        <f aca="false">IF(INDEX(BookTitle,2332)="","",INDEX(BookDivision,2332))</f>
        <v/>
      </c>
      <c r="D2337" s="40" t="str">
        <f aca="false">IF(INDEX(BookTitle,2332)="","",INDEX(BookUnit,2332))</f>
        <v/>
      </c>
      <c r="E2337" s="40" t="str">
        <f aca="false">IF(INDEX(BookTitle,2332)="","",INDEX(BookTitle,2332))</f>
        <v/>
      </c>
      <c r="F2337" s="40" t="str">
        <f aca="false">IF(INDEX(BookTitle,2332)="","",INDEX(BookLevel,2332))</f>
        <v/>
      </c>
      <c r="G2337" s="40" t="str">
        <f aca="false">IF(INDEX(BookTitle,2332)="","",INDEX(BookCategory,2332))</f>
        <v/>
      </c>
      <c r="H2337" s="40" t="str">
        <f aca="false">IF(INDEX(BookTitle,2332)="","",INDEX(BookRank,2332))</f>
        <v/>
      </c>
      <c r="I2337" s="41" t="str">
        <f aca="false">IF(INDEX(BookTitle,2332)="","",INDEX(BookTotal,2332))</f>
        <v/>
      </c>
      <c r="J2337" s="0" t="str">
        <f aca="false">IF($I2337="","",IF(INDEX(BookQ1,2332)&gt;0,"Q1",IF(INDEX(BookQ2,2332)&gt;0,"Q2",IF(INDEX(BookQ3,2332)&gt;0,"Q3",IF(INDEX(BookQ4,2332)&gt;0,"Q4","")))))</f>
        <v/>
      </c>
      <c r="K2337" s="42" t="str">
        <f aca="false">IF(INDEX(BookTitle,2332)="","",INDEX(BookInYear,2332))</f>
        <v/>
      </c>
      <c r="L2337" s="19"/>
      <c r="M2337" s="39"/>
      <c r="N2337" s="19"/>
      <c r="O2337" s="19"/>
      <c r="P2337" s="43" t="str">
        <f aca="false">IF($E2337="","",IF($L2337="Decline",0,IF($L2337="Approve fewer",IF($M2337="","",$M2337),IF($L2337="","",$I2337))))</f>
        <v/>
      </c>
      <c r="Q2337" s="34" t="str">
        <f aca="false">IF($P2337="","",IF($N2337&lt;&gt;"",$N2337,$J2337))</f>
        <v/>
      </c>
      <c r="R2337" s="35" t="str">
        <f aca="false">IF(OR($P2337="",$Q2337=""),"",INDEX(BookRate,2332)*$P2337*(5-MATCH($Q2337,{"Q1";"Q2";"Q3";"Q4"},0))/4+INDEX(BookOneOff,2332)*$P2337)</f>
        <v/>
      </c>
      <c r="S2337" s="35" t="str">
        <f aca="false">IF($P2337="","",INDEX(BookRate,2332)*$P2337)</f>
        <v/>
      </c>
      <c r="T2337" s="35" t="str">
        <f aca="false">IF($R2337="","",$R2337-$K2337)</f>
        <v/>
      </c>
      <c r="U2337" s="35" t="str">
        <f aca="false">IF(N($P2337)&lt;=0,"",COUNTIF($P$6:$P2337,"&gt;0"))</f>
        <v/>
      </c>
    </row>
    <row r="2338" customFormat="false" ht="15" hidden="false" customHeight="false" outlineLevel="0" collapsed="false">
      <c r="A2338" s="40" t="str">
        <f aca="false">IF(INDEX(BookTitle,2333)="","",INDEX(BookGroup,2333))</f>
        <v/>
      </c>
      <c r="B2338" s="40" t="str">
        <f aca="false">IF(INDEX(BookTitle,2333)="","",INDEX(BookRef,2333))</f>
        <v/>
      </c>
      <c r="C2338" s="40" t="str">
        <f aca="false">IF(INDEX(BookTitle,2333)="","",INDEX(BookDivision,2333))</f>
        <v/>
      </c>
      <c r="D2338" s="40" t="str">
        <f aca="false">IF(INDEX(BookTitle,2333)="","",INDEX(BookUnit,2333))</f>
        <v/>
      </c>
      <c r="E2338" s="40" t="str">
        <f aca="false">IF(INDEX(BookTitle,2333)="","",INDEX(BookTitle,2333))</f>
        <v/>
      </c>
      <c r="F2338" s="40" t="str">
        <f aca="false">IF(INDEX(BookTitle,2333)="","",INDEX(BookLevel,2333))</f>
        <v/>
      </c>
      <c r="G2338" s="40" t="str">
        <f aca="false">IF(INDEX(BookTitle,2333)="","",INDEX(BookCategory,2333))</f>
        <v/>
      </c>
      <c r="H2338" s="40" t="str">
        <f aca="false">IF(INDEX(BookTitle,2333)="","",INDEX(BookRank,2333))</f>
        <v/>
      </c>
      <c r="I2338" s="41" t="str">
        <f aca="false">IF(INDEX(BookTitle,2333)="","",INDEX(BookTotal,2333))</f>
        <v/>
      </c>
      <c r="J2338" s="0" t="str">
        <f aca="false">IF($I2338="","",IF(INDEX(BookQ1,2333)&gt;0,"Q1",IF(INDEX(BookQ2,2333)&gt;0,"Q2",IF(INDEX(BookQ3,2333)&gt;0,"Q3",IF(INDEX(BookQ4,2333)&gt;0,"Q4","")))))</f>
        <v/>
      </c>
      <c r="K2338" s="42" t="str">
        <f aca="false">IF(INDEX(BookTitle,2333)="","",INDEX(BookInYear,2333))</f>
        <v/>
      </c>
      <c r="L2338" s="19"/>
      <c r="M2338" s="39"/>
      <c r="N2338" s="19"/>
      <c r="O2338" s="19"/>
      <c r="P2338" s="43" t="str">
        <f aca="false">IF($E2338="","",IF($L2338="Decline",0,IF($L2338="Approve fewer",IF($M2338="","",$M2338),IF($L2338="","",$I2338))))</f>
        <v/>
      </c>
      <c r="Q2338" s="34" t="str">
        <f aca="false">IF($P2338="","",IF($N2338&lt;&gt;"",$N2338,$J2338))</f>
        <v/>
      </c>
      <c r="R2338" s="35" t="str">
        <f aca="false">IF(OR($P2338="",$Q2338=""),"",INDEX(BookRate,2333)*$P2338*(5-MATCH($Q2338,{"Q1";"Q2";"Q3";"Q4"},0))/4+INDEX(BookOneOff,2333)*$P2338)</f>
        <v/>
      </c>
      <c r="S2338" s="35" t="str">
        <f aca="false">IF($P2338="","",INDEX(BookRate,2333)*$P2338)</f>
        <v/>
      </c>
      <c r="T2338" s="35" t="str">
        <f aca="false">IF($R2338="","",$R2338-$K2338)</f>
        <v/>
      </c>
      <c r="U2338" s="35" t="str">
        <f aca="false">IF(N($P2338)&lt;=0,"",COUNTIF($P$6:$P2338,"&gt;0"))</f>
        <v/>
      </c>
    </row>
    <row r="2339" customFormat="false" ht="15" hidden="false" customHeight="false" outlineLevel="0" collapsed="false">
      <c r="A2339" s="40" t="str">
        <f aca="false">IF(INDEX(BookTitle,2334)="","",INDEX(BookGroup,2334))</f>
        <v/>
      </c>
      <c r="B2339" s="40" t="str">
        <f aca="false">IF(INDEX(BookTitle,2334)="","",INDEX(BookRef,2334))</f>
        <v/>
      </c>
      <c r="C2339" s="40" t="str">
        <f aca="false">IF(INDEX(BookTitle,2334)="","",INDEX(BookDivision,2334))</f>
        <v/>
      </c>
      <c r="D2339" s="40" t="str">
        <f aca="false">IF(INDEX(BookTitle,2334)="","",INDEX(BookUnit,2334))</f>
        <v/>
      </c>
      <c r="E2339" s="40" t="str">
        <f aca="false">IF(INDEX(BookTitle,2334)="","",INDEX(BookTitle,2334))</f>
        <v/>
      </c>
      <c r="F2339" s="40" t="str">
        <f aca="false">IF(INDEX(BookTitle,2334)="","",INDEX(BookLevel,2334))</f>
        <v/>
      </c>
      <c r="G2339" s="40" t="str">
        <f aca="false">IF(INDEX(BookTitle,2334)="","",INDEX(BookCategory,2334))</f>
        <v/>
      </c>
      <c r="H2339" s="40" t="str">
        <f aca="false">IF(INDEX(BookTitle,2334)="","",INDEX(BookRank,2334))</f>
        <v/>
      </c>
      <c r="I2339" s="41" t="str">
        <f aca="false">IF(INDEX(BookTitle,2334)="","",INDEX(BookTotal,2334))</f>
        <v/>
      </c>
      <c r="J2339" s="0" t="str">
        <f aca="false">IF($I2339="","",IF(INDEX(BookQ1,2334)&gt;0,"Q1",IF(INDEX(BookQ2,2334)&gt;0,"Q2",IF(INDEX(BookQ3,2334)&gt;0,"Q3",IF(INDEX(BookQ4,2334)&gt;0,"Q4","")))))</f>
        <v/>
      </c>
      <c r="K2339" s="42" t="str">
        <f aca="false">IF(INDEX(BookTitle,2334)="","",INDEX(BookInYear,2334))</f>
        <v/>
      </c>
      <c r="L2339" s="19"/>
      <c r="M2339" s="39"/>
      <c r="N2339" s="19"/>
      <c r="O2339" s="19"/>
      <c r="P2339" s="43" t="str">
        <f aca="false">IF($E2339="","",IF($L2339="Decline",0,IF($L2339="Approve fewer",IF($M2339="","",$M2339),IF($L2339="","",$I2339))))</f>
        <v/>
      </c>
      <c r="Q2339" s="34" t="str">
        <f aca="false">IF($P2339="","",IF($N2339&lt;&gt;"",$N2339,$J2339))</f>
        <v/>
      </c>
      <c r="R2339" s="35" t="str">
        <f aca="false">IF(OR($P2339="",$Q2339=""),"",INDEX(BookRate,2334)*$P2339*(5-MATCH($Q2339,{"Q1";"Q2";"Q3";"Q4"},0))/4+INDEX(BookOneOff,2334)*$P2339)</f>
        <v/>
      </c>
      <c r="S2339" s="35" t="str">
        <f aca="false">IF($P2339="","",INDEX(BookRate,2334)*$P2339)</f>
        <v/>
      </c>
      <c r="T2339" s="35" t="str">
        <f aca="false">IF($R2339="","",$R2339-$K2339)</f>
        <v/>
      </c>
      <c r="U2339" s="35" t="str">
        <f aca="false">IF(N($P2339)&lt;=0,"",COUNTIF($P$6:$P2339,"&gt;0"))</f>
        <v/>
      </c>
    </row>
    <row r="2340" customFormat="false" ht="15" hidden="false" customHeight="false" outlineLevel="0" collapsed="false">
      <c r="A2340" s="40" t="str">
        <f aca="false">IF(INDEX(BookTitle,2335)="","",INDEX(BookGroup,2335))</f>
        <v/>
      </c>
      <c r="B2340" s="40" t="str">
        <f aca="false">IF(INDEX(BookTitle,2335)="","",INDEX(BookRef,2335))</f>
        <v/>
      </c>
      <c r="C2340" s="40" t="str">
        <f aca="false">IF(INDEX(BookTitle,2335)="","",INDEX(BookDivision,2335))</f>
        <v/>
      </c>
      <c r="D2340" s="40" t="str">
        <f aca="false">IF(INDEX(BookTitle,2335)="","",INDEX(BookUnit,2335))</f>
        <v/>
      </c>
      <c r="E2340" s="40" t="str">
        <f aca="false">IF(INDEX(BookTitle,2335)="","",INDEX(BookTitle,2335))</f>
        <v/>
      </c>
      <c r="F2340" s="40" t="str">
        <f aca="false">IF(INDEX(BookTitle,2335)="","",INDEX(BookLevel,2335))</f>
        <v/>
      </c>
      <c r="G2340" s="40" t="str">
        <f aca="false">IF(INDEX(BookTitle,2335)="","",INDEX(BookCategory,2335))</f>
        <v/>
      </c>
      <c r="H2340" s="40" t="str">
        <f aca="false">IF(INDEX(BookTitle,2335)="","",INDEX(BookRank,2335))</f>
        <v/>
      </c>
      <c r="I2340" s="41" t="str">
        <f aca="false">IF(INDEX(BookTitle,2335)="","",INDEX(BookTotal,2335))</f>
        <v/>
      </c>
      <c r="J2340" s="0" t="str">
        <f aca="false">IF($I2340="","",IF(INDEX(BookQ1,2335)&gt;0,"Q1",IF(INDEX(BookQ2,2335)&gt;0,"Q2",IF(INDEX(BookQ3,2335)&gt;0,"Q3",IF(INDEX(BookQ4,2335)&gt;0,"Q4","")))))</f>
        <v/>
      </c>
      <c r="K2340" s="42" t="str">
        <f aca="false">IF(INDEX(BookTitle,2335)="","",INDEX(BookInYear,2335))</f>
        <v/>
      </c>
      <c r="L2340" s="19"/>
      <c r="M2340" s="39"/>
      <c r="N2340" s="19"/>
      <c r="O2340" s="19"/>
      <c r="P2340" s="43" t="str">
        <f aca="false">IF($E2340="","",IF($L2340="Decline",0,IF($L2340="Approve fewer",IF($M2340="","",$M2340),IF($L2340="","",$I2340))))</f>
        <v/>
      </c>
      <c r="Q2340" s="34" t="str">
        <f aca="false">IF($P2340="","",IF($N2340&lt;&gt;"",$N2340,$J2340))</f>
        <v/>
      </c>
      <c r="R2340" s="35" t="str">
        <f aca="false">IF(OR($P2340="",$Q2340=""),"",INDEX(BookRate,2335)*$P2340*(5-MATCH($Q2340,{"Q1";"Q2";"Q3";"Q4"},0))/4+INDEX(BookOneOff,2335)*$P2340)</f>
        <v/>
      </c>
      <c r="S2340" s="35" t="str">
        <f aca="false">IF($P2340="","",INDEX(BookRate,2335)*$P2340)</f>
        <v/>
      </c>
      <c r="T2340" s="35" t="str">
        <f aca="false">IF($R2340="","",$R2340-$K2340)</f>
        <v/>
      </c>
      <c r="U2340" s="35" t="str">
        <f aca="false">IF(N($P2340)&lt;=0,"",COUNTIF($P$6:$P2340,"&gt;0"))</f>
        <v/>
      </c>
    </row>
    <row r="2341" customFormat="false" ht="15" hidden="false" customHeight="false" outlineLevel="0" collapsed="false">
      <c r="A2341" s="40" t="str">
        <f aca="false">IF(INDEX(BookTitle,2336)="","",INDEX(BookGroup,2336))</f>
        <v/>
      </c>
      <c r="B2341" s="40" t="str">
        <f aca="false">IF(INDEX(BookTitle,2336)="","",INDEX(BookRef,2336))</f>
        <v/>
      </c>
      <c r="C2341" s="40" t="str">
        <f aca="false">IF(INDEX(BookTitle,2336)="","",INDEX(BookDivision,2336))</f>
        <v/>
      </c>
      <c r="D2341" s="40" t="str">
        <f aca="false">IF(INDEX(BookTitle,2336)="","",INDEX(BookUnit,2336))</f>
        <v/>
      </c>
      <c r="E2341" s="40" t="str">
        <f aca="false">IF(INDEX(BookTitle,2336)="","",INDEX(BookTitle,2336))</f>
        <v/>
      </c>
      <c r="F2341" s="40" t="str">
        <f aca="false">IF(INDEX(BookTitle,2336)="","",INDEX(BookLevel,2336))</f>
        <v/>
      </c>
      <c r="G2341" s="40" t="str">
        <f aca="false">IF(INDEX(BookTitle,2336)="","",INDEX(BookCategory,2336))</f>
        <v/>
      </c>
      <c r="H2341" s="40" t="str">
        <f aca="false">IF(INDEX(BookTitle,2336)="","",INDEX(BookRank,2336))</f>
        <v/>
      </c>
      <c r="I2341" s="41" t="str">
        <f aca="false">IF(INDEX(BookTitle,2336)="","",INDEX(BookTotal,2336))</f>
        <v/>
      </c>
      <c r="J2341" s="0" t="str">
        <f aca="false">IF($I2341="","",IF(INDEX(BookQ1,2336)&gt;0,"Q1",IF(INDEX(BookQ2,2336)&gt;0,"Q2",IF(INDEX(BookQ3,2336)&gt;0,"Q3",IF(INDEX(BookQ4,2336)&gt;0,"Q4","")))))</f>
        <v/>
      </c>
      <c r="K2341" s="42" t="str">
        <f aca="false">IF(INDEX(BookTitle,2336)="","",INDEX(BookInYear,2336))</f>
        <v/>
      </c>
      <c r="L2341" s="19"/>
      <c r="M2341" s="39"/>
      <c r="N2341" s="19"/>
      <c r="O2341" s="19"/>
      <c r="P2341" s="43" t="str">
        <f aca="false">IF($E2341="","",IF($L2341="Decline",0,IF($L2341="Approve fewer",IF($M2341="","",$M2341),IF($L2341="","",$I2341))))</f>
        <v/>
      </c>
      <c r="Q2341" s="34" t="str">
        <f aca="false">IF($P2341="","",IF($N2341&lt;&gt;"",$N2341,$J2341))</f>
        <v/>
      </c>
      <c r="R2341" s="35" t="str">
        <f aca="false">IF(OR($P2341="",$Q2341=""),"",INDEX(BookRate,2336)*$P2341*(5-MATCH($Q2341,{"Q1";"Q2";"Q3";"Q4"},0))/4+INDEX(BookOneOff,2336)*$P2341)</f>
        <v/>
      </c>
      <c r="S2341" s="35" t="str">
        <f aca="false">IF($P2341="","",INDEX(BookRate,2336)*$P2341)</f>
        <v/>
      </c>
      <c r="T2341" s="35" t="str">
        <f aca="false">IF($R2341="","",$R2341-$K2341)</f>
        <v/>
      </c>
      <c r="U2341" s="35" t="str">
        <f aca="false">IF(N($P2341)&lt;=0,"",COUNTIF($P$6:$P2341,"&gt;0"))</f>
        <v/>
      </c>
    </row>
    <row r="2342" customFormat="false" ht="15" hidden="false" customHeight="false" outlineLevel="0" collapsed="false">
      <c r="A2342" s="40" t="str">
        <f aca="false">IF(INDEX(BookTitle,2337)="","",INDEX(BookGroup,2337))</f>
        <v/>
      </c>
      <c r="B2342" s="40" t="str">
        <f aca="false">IF(INDEX(BookTitle,2337)="","",INDEX(BookRef,2337))</f>
        <v/>
      </c>
      <c r="C2342" s="40" t="str">
        <f aca="false">IF(INDEX(BookTitle,2337)="","",INDEX(BookDivision,2337))</f>
        <v/>
      </c>
      <c r="D2342" s="40" t="str">
        <f aca="false">IF(INDEX(BookTitle,2337)="","",INDEX(BookUnit,2337))</f>
        <v/>
      </c>
      <c r="E2342" s="40" t="str">
        <f aca="false">IF(INDEX(BookTitle,2337)="","",INDEX(BookTitle,2337))</f>
        <v/>
      </c>
      <c r="F2342" s="40" t="str">
        <f aca="false">IF(INDEX(BookTitle,2337)="","",INDEX(BookLevel,2337))</f>
        <v/>
      </c>
      <c r="G2342" s="40" t="str">
        <f aca="false">IF(INDEX(BookTitle,2337)="","",INDEX(BookCategory,2337))</f>
        <v/>
      </c>
      <c r="H2342" s="40" t="str">
        <f aca="false">IF(INDEX(BookTitle,2337)="","",INDEX(BookRank,2337))</f>
        <v/>
      </c>
      <c r="I2342" s="41" t="str">
        <f aca="false">IF(INDEX(BookTitle,2337)="","",INDEX(BookTotal,2337))</f>
        <v/>
      </c>
      <c r="J2342" s="0" t="str">
        <f aca="false">IF($I2342="","",IF(INDEX(BookQ1,2337)&gt;0,"Q1",IF(INDEX(BookQ2,2337)&gt;0,"Q2",IF(INDEX(BookQ3,2337)&gt;0,"Q3",IF(INDEX(BookQ4,2337)&gt;0,"Q4","")))))</f>
        <v/>
      </c>
      <c r="K2342" s="42" t="str">
        <f aca="false">IF(INDEX(BookTitle,2337)="","",INDEX(BookInYear,2337))</f>
        <v/>
      </c>
      <c r="L2342" s="19"/>
      <c r="M2342" s="39"/>
      <c r="N2342" s="19"/>
      <c r="O2342" s="19"/>
      <c r="P2342" s="43" t="str">
        <f aca="false">IF($E2342="","",IF($L2342="Decline",0,IF($L2342="Approve fewer",IF($M2342="","",$M2342),IF($L2342="","",$I2342))))</f>
        <v/>
      </c>
      <c r="Q2342" s="34" t="str">
        <f aca="false">IF($P2342="","",IF($N2342&lt;&gt;"",$N2342,$J2342))</f>
        <v/>
      </c>
      <c r="R2342" s="35" t="str">
        <f aca="false">IF(OR($P2342="",$Q2342=""),"",INDEX(BookRate,2337)*$P2342*(5-MATCH($Q2342,{"Q1";"Q2";"Q3";"Q4"},0))/4+INDEX(BookOneOff,2337)*$P2342)</f>
        <v/>
      </c>
      <c r="S2342" s="35" t="str">
        <f aca="false">IF($P2342="","",INDEX(BookRate,2337)*$P2342)</f>
        <v/>
      </c>
      <c r="T2342" s="35" t="str">
        <f aca="false">IF($R2342="","",$R2342-$K2342)</f>
        <v/>
      </c>
      <c r="U2342" s="35" t="str">
        <f aca="false">IF(N($P2342)&lt;=0,"",COUNTIF($P$6:$P2342,"&gt;0"))</f>
        <v/>
      </c>
    </row>
    <row r="2343" customFormat="false" ht="15" hidden="false" customHeight="false" outlineLevel="0" collapsed="false">
      <c r="A2343" s="40" t="str">
        <f aca="false">IF(INDEX(BookTitle,2338)="","",INDEX(BookGroup,2338))</f>
        <v/>
      </c>
      <c r="B2343" s="40" t="str">
        <f aca="false">IF(INDEX(BookTitle,2338)="","",INDEX(BookRef,2338))</f>
        <v/>
      </c>
      <c r="C2343" s="40" t="str">
        <f aca="false">IF(INDEX(BookTitle,2338)="","",INDEX(BookDivision,2338))</f>
        <v/>
      </c>
      <c r="D2343" s="40" t="str">
        <f aca="false">IF(INDEX(BookTitle,2338)="","",INDEX(BookUnit,2338))</f>
        <v/>
      </c>
      <c r="E2343" s="40" t="str">
        <f aca="false">IF(INDEX(BookTitle,2338)="","",INDEX(BookTitle,2338))</f>
        <v/>
      </c>
      <c r="F2343" s="40" t="str">
        <f aca="false">IF(INDEX(BookTitle,2338)="","",INDEX(BookLevel,2338))</f>
        <v/>
      </c>
      <c r="G2343" s="40" t="str">
        <f aca="false">IF(INDEX(BookTitle,2338)="","",INDEX(BookCategory,2338))</f>
        <v/>
      </c>
      <c r="H2343" s="40" t="str">
        <f aca="false">IF(INDEX(BookTitle,2338)="","",INDEX(BookRank,2338))</f>
        <v/>
      </c>
      <c r="I2343" s="41" t="str">
        <f aca="false">IF(INDEX(BookTitle,2338)="","",INDEX(BookTotal,2338))</f>
        <v/>
      </c>
      <c r="J2343" s="0" t="str">
        <f aca="false">IF($I2343="","",IF(INDEX(BookQ1,2338)&gt;0,"Q1",IF(INDEX(BookQ2,2338)&gt;0,"Q2",IF(INDEX(BookQ3,2338)&gt;0,"Q3",IF(INDEX(BookQ4,2338)&gt;0,"Q4","")))))</f>
        <v/>
      </c>
      <c r="K2343" s="42" t="str">
        <f aca="false">IF(INDEX(BookTitle,2338)="","",INDEX(BookInYear,2338))</f>
        <v/>
      </c>
      <c r="L2343" s="19"/>
      <c r="M2343" s="39"/>
      <c r="N2343" s="19"/>
      <c r="O2343" s="19"/>
      <c r="P2343" s="43" t="str">
        <f aca="false">IF($E2343="","",IF($L2343="Decline",0,IF($L2343="Approve fewer",IF($M2343="","",$M2343),IF($L2343="","",$I2343))))</f>
        <v/>
      </c>
      <c r="Q2343" s="34" t="str">
        <f aca="false">IF($P2343="","",IF($N2343&lt;&gt;"",$N2343,$J2343))</f>
        <v/>
      </c>
      <c r="R2343" s="35" t="str">
        <f aca="false">IF(OR($P2343="",$Q2343=""),"",INDEX(BookRate,2338)*$P2343*(5-MATCH($Q2343,{"Q1";"Q2";"Q3";"Q4"},0))/4+INDEX(BookOneOff,2338)*$P2343)</f>
        <v/>
      </c>
      <c r="S2343" s="35" t="str">
        <f aca="false">IF($P2343="","",INDEX(BookRate,2338)*$P2343)</f>
        <v/>
      </c>
      <c r="T2343" s="35" t="str">
        <f aca="false">IF($R2343="","",$R2343-$K2343)</f>
        <v/>
      </c>
      <c r="U2343" s="35" t="str">
        <f aca="false">IF(N($P2343)&lt;=0,"",COUNTIF($P$6:$P2343,"&gt;0"))</f>
        <v/>
      </c>
    </row>
    <row r="2344" customFormat="false" ht="15" hidden="false" customHeight="false" outlineLevel="0" collapsed="false">
      <c r="A2344" s="40" t="str">
        <f aca="false">IF(INDEX(BookTitle,2339)="","",INDEX(BookGroup,2339))</f>
        <v/>
      </c>
      <c r="B2344" s="40" t="str">
        <f aca="false">IF(INDEX(BookTitle,2339)="","",INDEX(BookRef,2339))</f>
        <v/>
      </c>
      <c r="C2344" s="40" t="str">
        <f aca="false">IF(INDEX(BookTitle,2339)="","",INDEX(BookDivision,2339))</f>
        <v/>
      </c>
      <c r="D2344" s="40" t="str">
        <f aca="false">IF(INDEX(BookTitle,2339)="","",INDEX(BookUnit,2339))</f>
        <v/>
      </c>
      <c r="E2344" s="40" t="str">
        <f aca="false">IF(INDEX(BookTitle,2339)="","",INDEX(BookTitle,2339))</f>
        <v/>
      </c>
      <c r="F2344" s="40" t="str">
        <f aca="false">IF(INDEX(BookTitle,2339)="","",INDEX(BookLevel,2339))</f>
        <v/>
      </c>
      <c r="G2344" s="40" t="str">
        <f aca="false">IF(INDEX(BookTitle,2339)="","",INDEX(BookCategory,2339))</f>
        <v/>
      </c>
      <c r="H2344" s="40" t="str">
        <f aca="false">IF(INDEX(BookTitle,2339)="","",INDEX(BookRank,2339))</f>
        <v/>
      </c>
      <c r="I2344" s="41" t="str">
        <f aca="false">IF(INDEX(BookTitle,2339)="","",INDEX(BookTotal,2339))</f>
        <v/>
      </c>
      <c r="J2344" s="0" t="str">
        <f aca="false">IF($I2344="","",IF(INDEX(BookQ1,2339)&gt;0,"Q1",IF(INDEX(BookQ2,2339)&gt;0,"Q2",IF(INDEX(BookQ3,2339)&gt;0,"Q3",IF(INDEX(BookQ4,2339)&gt;0,"Q4","")))))</f>
        <v/>
      </c>
      <c r="K2344" s="42" t="str">
        <f aca="false">IF(INDEX(BookTitle,2339)="","",INDEX(BookInYear,2339))</f>
        <v/>
      </c>
      <c r="L2344" s="19"/>
      <c r="M2344" s="39"/>
      <c r="N2344" s="19"/>
      <c r="O2344" s="19"/>
      <c r="P2344" s="43" t="str">
        <f aca="false">IF($E2344="","",IF($L2344="Decline",0,IF($L2344="Approve fewer",IF($M2344="","",$M2344),IF($L2344="","",$I2344))))</f>
        <v/>
      </c>
      <c r="Q2344" s="34" t="str">
        <f aca="false">IF($P2344="","",IF($N2344&lt;&gt;"",$N2344,$J2344))</f>
        <v/>
      </c>
      <c r="R2344" s="35" t="str">
        <f aca="false">IF(OR($P2344="",$Q2344=""),"",INDEX(BookRate,2339)*$P2344*(5-MATCH($Q2344,{"Q1";"Q2";"Q3";"Q4"},0))/4+INDEX(BookOneOff,2339)*$P2344)</f>
        <v/>
      </c>
      <c r="S2344" s="35" t="str">
        <f aca="false">IF($P2344="","",INDEX(BookRate,2339)*$P2344)</f>
        <v/>
      </c>
      <c r="T2344" s="35" t="str">
        <f aca="false">IF($R2344="","",$R2344-$K2344)</f>
        <v/>
      </c>
      <c r="U2344" s="35" t="str">
        <f aca="false">IF(N($P2344)&lt;=0,"",COUNTIF($P$6:$P2344,"&gt;0"))</f>
        <v/>
      </c>
    </row>
    <row r="2345" customFormat="false" ht="15" hidden="false" customHeight="false" outlineLevel="0" collapsed="false">
      <c r="A2345" s="40" t="str">
        <f aca="false">IF(INDEX(BookTitle,2340)="","",INDEX(BookGroup,2340))</f>
        <v/>
      </c>
      <c r="B2345" s="40" t="str">
        <f aca="false">IF(INDEX(BookTitle,2340)="","",INDEX(BookRef,2340))</f>
        <v/>
      </c>
      <c r="C2345" s="40" t="str">
        <f aca="false">IF(INDEX(BookTitle,2340)="","",INDEX(BookDivision,2340))</f>
        <v/>
      </c>
      <c r="D2345" s="40" t="str">
        <f aca="false">IF(INDEX(BookTitle,2340)="","",INDEX(BookUnit,2340))</f>
        <v/>
      </c>
      <c r="E2345" s="40" t="str">
        <f aca="false">IF(INDEX(BookTitle,2340)="","",INDEX(BookTitle,2340))</f>
        <v/>
      </c>
      <c r="F2345" s="40" t="str">
        <f aca="false">IF(INDEX(BookTitle,2340)="","",INDEX(BookLevel,2340))</f>
        <v/>
      </c>
      <c r="G2345" s="40" t="str">
        <f aca="false">IF(INDEX(BookTitle,2340)="","",INDEX(BookCategory,2340))</f>
        <v/>
      </c>
      <c r="H2345" s="40" t="str">
        <f aca="false">IF(INDEX(BookTitle,2340)="","",INDEX(BookRank,2340))</f>
        <v/>
      </c>
      <c r="I2345" s="41" t="str">
        <f aca="false">IF(INDEX(BookTitle,2340)="","",INDEX(BookTotal,2340))</f>
        <v/>
      </c>
      <c r="J2345" s="0" t="str">
        <f aca="false">IF($I2345="","",IF(INDEX(BookQ1,2340)&gt;0,"Q1",IF(INDEX(BookQ2,2340)&gt;0,"Q2",IF(INDEX(BookQ3,2340)&gt;0,"Q3",IF(INDEX(BookQ4,2340)&gt;0,"Q4","")))))</f>
        <v/>
      </c>
      <c r="K2345" s="42" t="str">
        <f aca="false">IF(INDEX(BookTitle,2340)="","",INDEX(BookInYear,2340))</f>
        <v/>
      </c>
      <c r="L2345" s="19"/>
      <c r="M2345" s="39"/>
      <c r="N2345" s="19"/>
      <c r="O2345" s="19"/>
      <c r="P2345" s="43" t="str">
        <f aca="false">IF($E2345="","",IF($L2345="Decline",0,IF($L2345="Approve fewer",IF($M2345="","",$M2345),IF($L2345="","",$I2345))))</f>
        <v/>
      </c>
      <c r="Q2345" s="34" t="str">
        <f aca="false">IF($P2345="","",IF($N2345&lt;&gt;"",$N2345,$J2345))</f>
        <v/>
      </c>
      <c r="R2345" s="35" t="str">
        <f aca="false">IF(OR($P2345="",$Q2345=""),"",INDEX(BookRate,2340)*$P2345*(5-MATCH($Q2345,{"Q1";"Q2";"Q3";"Q4"},0))/4+INDEX(BookOneOff,2340)*$P2345)</f>
        <v/>
      </c>
      <c r="S2345" s="35" t="str">
        <f aca="false">IF($P2345="","",INDEX(BookRate,2340)*$P2345)</f>
        <v/>
      </c>
      <c r="T2345" s="35" t="str">
        <f aca="false">IF($R2345="","",$R2345-$K2345)</f>
        <v/>
      </c>
      <c r="U2345" s="35" t="str">
        <f aca="false">IF(N($P2345)&lt;=0,"",COUNTIF($P$6:$P2345,"&gt;0"))</f>
        <v/>
      </c>
    </row>
    <row r="2346" customFormat="false" ht="15" hidden="false" customHeight="false" outlineLevel="0" collapsed="false">
      <c r="A2346" s="40" t="str">
        <f aca="false">IF(INDEX(BookTitle,2341)="","",INDEX(BookGroup,2341))</f>
        <v/>
      </c>
      <c r="B2346" s="40" t="str">
        <f aca="false">IF(INDEX(BookTitle,2341)="","",INDEX(BookRef,2341))</f>
        <v/>
      </c>
      <c r="C2346" s="40" t="str">
        <f aca="false">IF(INDEX(BookTitle,2341)="","",INDEX(BookDivision,2341))</f>
        <v/>
      </c>
      <c r="D2346" s="40" t="str">
        <f aca="false">IF(INDEX(BookTitle,2341)="","",INDEX(BookUnit,2341))</f>
        <v/>
      </c>
      <c r="E2346" s="40" t="str">
        <f aca="false">IF(INDEX(BookTitle,2341)="","",INDEX(BookTitle,2341))</f>
        <v/>
      </c>
      <c r="F2346" s="40" t="str">
        <f aca="false">IF(INDEX(BookTitle,2341)="","",INDEX(BookLevel,2341))</f>
        <v/>
      </c>
      <c r="G2346" s="40" t="str">
        <f aca="false">IF(INDEX(BookTitle,2341)="","",INDEX(BookCategory,2341))</f>
        <v/>
      </c>
      <c r="H2346" s="40" t="str">
        <f aca="false">IF(INDEX(BookTitle,2341)="","",INDEX(BookRank,2341))</f>
        <v/>
      </c>
      <c r="I2346" s="41" t="str">
        <f aca="false">IF(INDEX(BookTitle,2341)="","",INDEX(BookTotal,2341))</f>
        <v/>
      </c>
      <c r="J2346" s="0" t="str">
        <f aca="false">IF($I2346="","",IF(INDEX(BookQ1,2341)&gt;0,"Q1",IF(INDEX(BookQ2,2341)&gt;0,"Q2",IF(INDEX(BookQ3,2341)&gt;0,"Q3",IF(INDEX(BookQ4,2341)&gt;0,"Q4","")))))</f>
        <v/>
      </c>
      <c r="K2346" s="42" t="str">
        <f aca="false">IF(INDEX(BookTitle,2341)="","",INDEX(BookInYear,2341))</f>
        <v/>
      </c>
      <c r="L2346" s="19"/>
      <c r="M2346" s="39"/>
      <c r="N2346" s="19"/>
      <c r="O2346" s="19"/>
      <c r="P2346" s="43" t="str">
        <f aca="false">IF($E2346="","",IF($L2346="Decline",0,IF($L2346="Approve fewer",IF($M2346="","",$M2346),IF($L2346="","",$I2346))))</f>
        <v/>
      </c>
      <c r="Q2346" s="34" t="str">
        <f aca="false">IF($P2346="","",IF($N2346&lt;&gt;"",$N2346,$J2346))</f>
        <v/>
      </c>
      <c r="R2346" s="35" t="str">
        <f aca="false">IF(OR($P2346="",$Q2346=""),"",INDEX(BookRate,2341)*$P2346*(5-MATCH($Q2346,{"Q1";"Q2";"Q3";"Q4"},0))/4+INDEX(BookOneOff,2341)*$P2346)</f>
        <v/>
      </c>
      <c r="S2346" s="35" t="str">
        <f aca="false">IF($P2346="","",INDEX(BookRate,2341)*$P2346)</f>
        <v/>
      </c>
      <c r="T2346" s="35" t="str">
        <f aca="false">IF($R2346="","",$R2346-$K2346)</f>
        <v/>
      </c>
      <c r="U2346" s="35" t="str">
        <f aca="false">IF(N($P2346)&lt;=0,"",COUNTIF($P$6:$P2346,"&gt;0"))</f>
        <v/>
      </c>
    </row>
    <row r="2347" customFormat="false" ht="15" hidden="false" customHeight="false" outlineLevel="0" collapsed="false">
      <c r="A2347" s="40" t="str">
        <f aca="false">IF(INDEX(BookTitle,2342)="","",INDEX(BookGroup,2342))</f>
        <v/>
      </c>
      <c r="B2347" s="40" t="str">
        <f aca="false">IF(INDEX(BookTitle,2342)="","",INDEX(BookRef,2342))</f>
        <v/>
      </c>
      <c r="C2347" s="40" t="str">
        <f aca="false">IF(INDEX(BookTitle,2342)="","",INDEX(BookDivision,2342))</f>
        <v/>
      </c>
      <c r="D2347" s="40" t="str">
        <f aca="false">IF(INDEX(BookTitle,2342)="","",INDEX(BookUnit,2342))</f>
        <v/>
      </c>
      <c r="E2347" s="40" t="str">
        <f aca="false">IF(INDEX(BookTitle,2342)="","",INDEX(BookTitle,2342))</f>
        <v/>
      </c>
      <c r="F2347" s="40" t="str">
        <f aca="false">IF(INDEX(BookTitle,2342)="","",INDEX(BookLevel,2342))</f>
        <v/>
      </c>
      <c r="G2347" s="40" t="str">
        <f aca="false">IF(INDEX(BookTitle,2342)="","",INDEX(BookCategory,2342))</f>
        <v/>
      </c>
      <c r="H2347" s="40" t="str">
        <f aca="false">IF(INDEX(BookTitle,2342)="","",INDEX(BookRank,2342))</f>
        <v/>
      </c>
      <c r="I2347" s="41" t="str">
        <f aca="false">IF(INDEX(BookTitle,2342)="","",INDEX(BookTotal,2342))</f>
        <v/>
      </c>
      <c r="J2347" s="0" t="str">
        <f aca="false">IF($I2347="","",IF(INDEX(BookQ1,2342)&gt;0,"Q1",IF(INDEX(BookQ2,2342)&gt;0,"Q2",IF(INDEX(BookQ3,2342)&gt;0,"Q3",IF(INDEX(BookQ4,2342)&gt;0,"Q4","")))))</f>
        <v/>
      </c>
      <c r="K2347" s="42" t="str">
        <f aca="false">IF(INDEX(BookTitle,2342)="","",INDEX(BookInYear,2342))</f>
        <v/>
      </c>
      <c r="L2347" s="19"/>
      <c r="M2347" s="39"/>
      <c r="N2347" s="19"/>
      <c r="O2347" s="19"/>
      <c r="P2347" s="43" t="str">
        <f aca="false">IF($E2347="","",IF($L2347="Decline",0,IF($L2347="Approve fewer",IF($M2347="","",$M2347),IF($L2347="","",$I2347))))</f>
        <v/>
      </c>
      <c r="Q2347" s="34" t="str">
        <f aca="false">IF($P2347="","",IF($N2347&lt;&gt;"",$N2347,$J2347))</f>
        <v/>
      </c>
      <c r="R2347" s="35" t="str">
        <f aca="false">IF(OR($P2347="",$Q2347=""),"",INDEX(BookRate,2342)*$P2347*(5-MATCH($Q2347,{"Q1";"Q2";"Q3";"Q4"},0))/4+INDEX(BookOneOff,2342)*$P2347)</f>
        <v/>
      </c>
      <c r="S2347" s="35" t="str">
        <f aca="false">IF($P2347="","",INDEX(BookRate,2342)*$P2347)</f>
        <v/>
      </c>
      <c r="T2347" s="35" t="str">
        <f aca="false">IF($R2347="","",$R2347-$K2347)</f>
        <v/>
      </c>
      <c r="U2347" s="35" t="str">
        <f aca="false">IF(N($P2347)&lt;=0,"",COUNTIF($P$6:$P2347,"&gt;0"))</f>
        <v/>
      </c>
    </row>
    <row r="2348" customFormat="false" ht="15" hidden="false" customHeight="false" outlineLevel="0" collapsed="false">
      <c r="A2348" s="40" t="str">
        <f aca="false">IF(INDEX(BookTitle,2343)="","",INDEX(BookGroup,2343))</f>
        <v/>
      </c>
      <c r="B2348" s="40" t="str">
        <f aca="false">IF(INDEX(BookTitle,2343)="","",INDEX(BookRef,2343))</f>
        <v/>
      </c>
      <c r="C2348" s="40" t="str">
        <f aca="false">IF(INDEX(BookTitle,2343)="","",INDEX(BookDivision,2343))</f>
        <v/>
      </c>
      <c r="D2348" s="40" t="str">
        <f aca="false">IF(INDEX(BookTitle,2343)="","",INDEX(BookUnit,2343))</f>
        <v/>
      </c>
      <c r="E2348" s="40" t="str">
        <f aca="false">IF(INDEX(BookTitle,2343)="","",INDEX(BookTitle,2343))</f>
        <v/>
      </c>
      <c r="F2348" s="40" t="str">
        <f aca="false">IF(INDEX(BookTitle,2343)="","",INDEX(BookLevel,2343))</f>
        <v/>
      </c>
      <c r="G2348" s="40" t="str">
        <f aca="false">IF(INDEX(BookTitle,2343)="","",INDEX(BookCategory,2343))</f>
        <v/>
      </c>
      <c r="H2348" s="40" t="str">
        <f aca="false">IF(INDEX(BookTitle,2343)="","",INDEX(BookRank,2343))</f>
        <v/>
      </c>
      <c r="I2348" s="41" t="str">
        <f aca="false">IF(INDEX(BookTitle,2343)="","",INDEX(BookTotal,2343))</f>
        <v/>
      </c>
      <c r="J2348" s="0" t="str">
        <f aca="false">IF($I2348="","",IF(INDEX(BookQ1,2343)&gt;0,"Q1",IF(INDEX(BookQ2,2343)&gt;0,"Q2",IF(INDEX(BookQ3,2343)&gt;0,"Q3",IF(INDEX(BookQ4,2343)&gt;0,"Q4","")))))</f>
        <v/>
      </c>
      <c r="K2348" s="42" t="str">
        <f aca="false">IF(INDEX(BookTitle,2343)="","",INDEX(BookInYear,2343))</f>
        <v/>
      </c>
      <c r="L2348" s="19"/>
      <c r="M2348" s="39"/>
      <c r="N2348" s="19"/>
      <c r="O2348" s="19"/>
      <c r="P2348" s="43" t="str">
        <f aca="false">IF($E2348="","",IF($L2348="Decline",0,IF($L2348="Approve fewer",IF($M2348="","",$M2348),IF($L2348="","",$I2348))))</f>
        <v/>
      </c>
      <c r="Q2348" s="34" t="str">
        <f aca="false">IF($P2348="","",IF($N2348&lt;&gt;"",$N2348,$J2348))</f>
        <v/>
      </c>
      <c r="R2348" s="35" t="str">
        <f aca="false">IF(OR($P2348="",$Q2348=""),"",INDEX(BookRate,2343)*$P2348*(5-MATCH($Q2348,{"Q1";"Q2";"Q3";"Q4"},0))/4+INDEX(BookOneOff,2343)*$P2348)</f>
        <v/>
      </c>
      <c r="S2348" s="35" t="str">
        <f aca="false">IF($P2348="","",INDEX(BookRate,2343)*$P2348)</f>
        <v/>
      </c>
      <c r="T2348" s="35" t="str">
        <f aca="false">IF($R2348="","",$R2348-$K2348)</f>
        <v/>
      </c>
      <c r="U2348" s="35" t="str">
        <f aca="false">IF(N($P2348)&lt;=0,"",COUNTIF($P$6:$P2348,"&gt;0"))</f>
        <v/>
      </c>
    </row>
    <row r="2349" customFormat="false" ht="15" hidden="false" customHeight="false" outlineLevel="0" collapsed="false">
      <c r="A2349" s="40" t="str">
        <f aca="false">IF(INDEX(BookTitle,2344)="","",INDEX(BookGroup,2344))</f>
        <v/>
      </c>
      <c r="B2349" s="40" t="str">
        <f aca="false">IF(INDEX(BookTitle,2344)="","",INDEX(BookRef,2344))</f>
        <v/>
      </c>
      <c r="C2349" s="40" t="str">
        <f aca="false">IF(INDEX(BookTitle,2344)="","",INDEX(BookDivision,2344))</f>
        <v/>
      </c>
      <c r="D2349" s="40" t="str">
        <f aca="false">IF(INDEX(BookTitle,2344)="","",INDEX(BookUnit,2344))</f>
        <v/>
      </c>
      <c r="E2349" s="40" t="str">
        <f aca="false">IF(INDEX(BookTitle,2344)="","",INDEX(BookTitle,2344))</f>
        <v/>
      </c>
      <c r="F2349" s="40" t="str">
        <f aca="false">IF(INDEX(BookTitle,2344)="","",INDEX(BookLevel,2344))</f>
        <v/>
      </c>
      <c r="G2349" s="40" t="str">
        <f aca="false">IF(INDEX(BookTitle,2344)="","",INDEX(BookCategory,2344))</f>
        <v/>
      </c>
      <c r="H2349" s="40" t="str">
        <f aca="false">IF(INDEX(BookTitle,2344)="","",INDEX(BookRank,2344))</f>
        <v/>
      </c>
      <c r="I2349" s="41" t="str">
        <f aca="false">IF(INDEX(BookTitle,2344)="","",INDEX(BookTotal,2344))</f>
        <v/>
      </c>
      <c r="J2349" s="0" t="str">
        <f aca="false">IF($I2349="","",IF(INDEX(BookQ1,2344)&gt;0,"Q1",IF(INDEX(BookQ2,2344)&gt;0,"Q2",IF(INDEX(BookQ3,2344)&gt;0,"Q3",IF(INDEX(BookQ4,2344)&gt;0,"Q4","")))))</f>
        <v/>
      </c>
      <c r="K2349" s="42" t="str">
        <f aca="false">IF(INDEX(BookTitle,2344)="","",INDEX(BookInYear,2344))</f>
        <v/>
      </c>
      <c r="L2349" s="19"/>
      <c r="M2349" s="39"/>
      <c r="N2349" s="19"/>
      <c r="O2349" s="19"/>
      <c r="P2349" s="43" t="str">
        <f aca="false">IF($E2349="","",IF($L2349="Decline",0,IF($L2349="Approve fewer",IF($M2349="","",$M2349),IF($L2349="","",$I2349))))</f>
        <v/>
      </c>
      <c r="Q2349" s="34" t="str">
        <f aca="false">IF($P2349="","",IF($N2349&lt;&gt;"",$N2349,$J2349))</f>
        <v/>
      </c>
      <c r="R2349" s="35" t="str">
        <f aca="false">IF(OR($P2349="",$Q2349=""),"",INDEX(BookRate,2344)*$P2349*(5-MATCH($Q2349,{"Q1";"Q2";"Q3";"Q4"},0))/4+INDEX(BookOneOff,2344)*$P2349)</f>
        <v/>
      </c>
      <c r="S2349" s="35" t="str">
        <f aca="false">IF($P2349="","",INDEX(BookRate,2344)*$P2349)</f>
        <v/>
      </c>
      <c r="T2349" s="35" t="str">
        <f aca="false">IF($R2349="","",$R2349-$K2349)</f>
        <v/>
      </c>
      <c r="U2349" s="35" t="str">
        <f aca="false">IF(N($P2349)&lt;=0,"",COUNTIF($P$6:$P2349,"&gt;0"))</f>
        <v/>
      </c>
    </row>
    <row r="2350" customFormat="false" ht="15" hidden="false" customHeight="false" outlineLevel="0" collapsed="false">
      <c r="A2350" s="40" t="str">
        <f aca="false">IF(INDEX(BookTitle,2345)="","",INDEX(BookGroup,2345))</f>
        <v/>
      </c>
      <c r="B2350" s="40" t="str">
        <f aca="false">IF(INDEX(BookTitle,2345)="","",INDEX(BookRef,2345))</f>
        <v/>
      </c>
      <c r="C2350" s="40" t="str">
        <f aca="false">IF(INDEX(BookTitle,2345)="","",INDEX(BookDivision,2345))</f>
        <v/>
      </c>
      <c r="D2350" s="40" t="str">
        <f aca="false">IF(INDEX(BookTitle,2345)="","",INDEX(BookUnit,2345))</f>
        <v/>
      </c>
      <c r="E2350" s="40" t="str">
        <f aca="false">IF(INDEX(BookTitle,2345)="","",INDEX(BookTitle,2345))</f>
        <v/>
      </c>
      <c r="F2350" s="40" t="str">
        <f aca="false">IF(INDEX(BookTitle,2345)="","",INDEX(BookLevel,2345))</f>
        <v/>
      </c>
      <c r="G2350" s="40" t="str">
        <f aca="false">IF(INDEX(BookTitle,2345)="","",INDEX(BookCategory,2345))</f>
        <v/>
      </c>
      <c r="H2350" s="40" t="str">
        <f aca="false">IF(INDEX(BookTitle,2345)="","",INDEX(BookRank,2345))</f>
        <v/>
      </c>
      <c r="I2350" s="41" t="str">
        <f aca="false">IF(INDEX(BookTitle,2345)="","",INDEX(BookTotal,2345))</f>
        <v/>
      </c>
      <c r="J2350" s="0" t="str">
        <f aca="false">IF($I2350="","",IF(INDEX(BookQ1,2345)&gt;0,"Q1",IF(INDEX(BookQ2,2345)&gt;0,"Q2",IF(INDEX(BookQ3,2345)&gt;0,"Q3",IF(INDEX(BookQ4,2345)&gt;0,"Q4","")))))</f>
        <v/>
      </c>
      <c r="K2350" s="42" t="str">
        <f aca="false">IF(INDEX(BookTitle,2345)="","",INDEX(BookInYear,2345))</f>
        <v/>
      </c>
      <c r="L2350" s="19"/>
      <c r="M2350" s="39"/>
      <c r="N2350" s="19"/>
      <c r="O2350" s="19"/>
      <c r="P2350" s="43" t="str">
        <f aca="false">IF($E2350="","",IF($L2350="Decline",0,IF($L2350="Approve fewer",IF($M2350="","",$M2350),IF($L2350="","",$I2350))))</f>
        <v/>
      </c>
      <c r="Q2350" s="34" t="str">
        <f aca="false">IF($P2350="","",IF($N2350&lt;&gt;"",$N2350,$J2350))</f>
        <v/>
      </c>
      <c r="R2350" s="35" t="str">
        <f aca="false">IF(OR($P2350="",$Q2350=""),"",INDEX(BookRate,2345)*$P2350*(5-MATCH($Q2350,{"Q1";"Q2";"Q3";"Q4"},0))/4+INDEX(BookOneOff,2345)*$P2350)</f>
        <v/>
      </c>
      <c r="S2350" s="35" t="str">
        <f aca="false">IF($P2350="","",INDEX(BookRate,2345)*$P2350)</f>
        <v/>
      </c>
      <c r="T2350" s="35" t="str">
        <f aca="false">IF($R2350="","",$R2350-$K2350)</f>
        <v/>
      </c>
      <c r="U2350" s="35" t="str">
        <f aca="false">IF(N($P2350)&lt;=0,"",COUNTIF($P$6:$P2350,"&gt;0"))</f>
        <v/>
      </c>
    </row>
    <row r="2351" customFormat="false" ht="15" hidden="false" customHeight="false" outlineLevel="0" collapsed="false">
      <c r="A2351" s="40" t="str">
        <f aca="false">IF(INDEX(BookTitle,2346)="","",INDEX(BookGroup,2346))</f>
        <v/>
      </c>
      <c r="B2351" s="40" t="str">
        <f aca="false">IF(INDEX(BookTitle,2346)="","",INDEX(BookRef,2346))</f>
        <v/>
      </c>
      <c r="C2351" s="40" t="str">
        <f aca="false">IF(INDEX(BookTitle,2346)="","",INDEX(BookDivision,2346))</f>
        <v/>
      </c>
      <c r="D2351" s="40" t="str">
        <f aca="false">IF(INDEX(BookTitle,2346)="","",INDEX(BookUnit,2346))</f>
        <v/>
      </c>
      <c r="E2351" s="40" t="str">
        <f aca="false">IF(INDEX(BookTitle,2346)="","",INDEX(BookTitle,2346))</f>
        <v/>
      </c>
      <c r="F2351" s="40" t="str">
        <f aca="false">IF(INDEX(BookTitle,2346)="","",INDEX(BookLevel,2346))</f>
        <v/>
      </c>
      <c r="G2351" s="40" t="str">
        <f aca="false">IF(INDEX(BookTitle,2346)="","",INDEX(BookCategory,2346))</f>
        <v/>
      </c>
      <c r="H2351" s="40" t="str">
        <f aca="false">IF(INDEX(BookTitle,2346)="","",INDEX(BookRank,2346))</f>
        <v/>
      </c>
      <c r="I2351" s="41" t="str">
        <f aca="false">IF(INDEX(BookTitle,2346)="","",INDEX(BookTotal,2346))</f>
        <v/>
      </c>
      <c r="J2351" s="0" t="str">
        <f aca="false">IF($I2351="","",IF(INDEX(BookQ1,2346)&gt;0,"Q1",IF(INDEX(BookQ2,2346)&gt;0,"Q2",IF(INDEX(BookQ3,2346)&gt;0,"Q3",IF(INDEX(BookQ4,2346)&gt;0,"Q4","")))))</f>
        <v/>
      </c>
      <c r="K2351" s="42" t="str">
        <f aca="false">IF(INDEX(BookTitle,2346)="","",INDEX(BookInYear,2346))</f>
        <v/>
      </c>
      <c r="L2351" s="19"/>
      <c r="M2351" s="39"/>
      <c r="N2351" s="19"/>
      <c r="O2351" s="19"/>
      <c r="P2351" s="43" t="str">
        <f aca="false">IF($E2351="","",IF($L2351="Decline",0,IF($L2351="Approve fewer",IF($M2351="","",$M2351),IF($L2351="","",$I2351))))</f>
        <v/>
      </c>
      <c r="Q2351" s="34" t="str">
        <f aca="false">IF($P2351="","",IF($N2351&lt;&gt;"",$N2351,$J2351))</f>
        <v/>
      </c>
      <c r="R2351" s="35" t="str">
        <f aca="false">IF(OR($P2351="",$Q2351=""),"",INDEX(BookRate,2346)*$P2351*(5-MATCH($Q2351,{"Q1";"Q2";"Q3";"Q4"},0))/4+INDEX(BookOneOff,2346)*$P2351)</f>
        <v/>
      </c>
      <c r="S2351" s="35" t="str">
        <f aca="false">IF($P2351="","",INDEX(BookRate,2346)*$P2351)</f>
        <v/>
      </c>
      <c r="T2351" s="35" t="str">
        <f aca="false">IF($R2351="","",$R2351-$K2351)</f>
        <v/>
      </c>
      <c r="U2351" s="35" t="str">
        <f aca="false">IF(N($P2351)&lt;=0,"",COUNTIF($P$6:$P2351,"&gt;0"))</f>
        <v/>
      </c>
    </row>
    <row r="2352" customFormat="false" ht="15" hidden="false" customHeight="false" outlineLevel="0" collapsed="false">
      <c r="A2352" s="40" t="str">
        <f aca="false">IF(INDEX(BookTitle,2347)="","",INDEX(BookGroup,2347))</f>
        <v/>
      </c>
      <c r="B2352" s="40" t="str">
        <f aca="false">IF(INDEX(BookTitle,2347)="","",INDEX(BookRef,2347))</f>
        <v/>
      </c>
      <c r="C2352" s="40" t="str">
        <f aca="false">IF(INDEX(BookTitle,2347)="","",INDEX(BookDivision,2347))</f>
        <v/>
      </c>
      <c r="D2352" s="40" t="str">
        <f aca="false">IF(INDEX(BookTitle,2347)="","",INDEX(BookUnit,2347))</f>
        <v/>
      </c>
      <c r="E2352" s="40" t="str">
        <f aca="false">IF(INDEX(BookTitle,2347)="","",INDEX(BookTitle,2347))</f>
        <v/>
      </c>
      <c r="F2352" s="40" t="str">
        <f aca="false">IF(INDEX(BookTitle,2347)="","",INDEX(BookLevel,2347))</f>
        <v/>
      </c>
      <c r="G2352" s="40" t="str">
        <f aca="false">IF(INDEX(BookTitle,2347)="","",INDEX(BookCategory,2347))</f>
        <v/>
      </c>
      <c r="H2352" s="40" t="str">
        <f aca="false">IF(INDEX(BookTitle,2347)="","",INDEX(BookRank,2347))</f>
        <v/>
      </c>
      <c r="I2352" s="41" t="str">
        <f aca="false">IF(INDEX(BookTitle,2347)="","",INDEX(BookTotal,2347))</f>
        <v/>
      </c>
      <c r="J2352" s="0" t="str">
        <f aca="false">IF($I2352="","",IF(INDEX(BookQ1,2347)&gt;0,"Q1",IF(INDEX(BookQ2,2347)&gt;0,"Q2",IF(INDEX(BookQ3,2347)&gt;0,"Q3",IF(INDEX(BookQ4,2347)&gt;0,"Q4","")))))</f>
        <v/>
      </c>
      <c r="K2352" s="42" t="str">
        <f aca="false">IF(INDEX(BookTitle,2347)="","",INDEX(BookInYear,2347))</f>
        <v/>
      </c>
      <c r="L2352" s="19"/>
      <c r="M2352" s="39"/>
      <c r="N2352" s="19"/>
      <c r="O2352" s="19"/>
      <c r="P2352" s="43" t="str">
        <f aca="false">IF($E2352="","",IF($L2352="Decline",0,IF($L2352="Approve fewer",IF($M2352="","",$M2352),IF($L2352="","",$I2352))))</f>
        <v/>
      </c>
      <c r="Q2352" s="34" t="str">
        <f aca="false">IF($P2352="","",IF($N2352&lt;&gt;"",$N2352,$J2352))</f>
        <v/>
      </c>
      <c r="R2352" s="35" t="str">
        <f aca="false">IF(OR($P2352="",$Q2352=""),"",INDEX(BookRate,2347)*$P2352*(5-MATCH($Q2352,{"Q1";"Q2";"Q3";"Q4"},0))/4+INDEX(BookOneOff,2347)*$P2352)</f>
        <v/>
      </c>
      <c r="S2352" s="35" t="str">
        <f aca="false">IF($P2352="","",INDEX(BookRate,2347)*$P2352)</f>
        <v/>
      </c>
      <c r="T2352" s="35" t="str">
        <f aca="false">IF($R2352="","",$R2352-$K2352)</f>
        <v/>
      </c>
      <c r="U2352" s="35" t="str">
        <f aca="false">IF(N($P2352)&lt;=0,"",COUNTIF($P$6:$P2352,"&gt;0"))</f>
        <v/>
      </c>
    </row>
    <row r="2353" customFormat="false" ht="15" hidden="false" customHeight="false" outlineLevel="0" collapsed="false">
      <c r="A2353" s="40" t="str">
        <f aca="false">IF(INDEX(BookTitle,2348)="","",INDEX(BookGroup,2348))</f>
        <v/>
      </c>
      <c r="B2353" s="40" t="str">
        <f aca="false">IF(INDEX(BookTitle,2348)="","",INDEX(BookRef,2348))</f>
        <v/>
      </c>
      <c r="C2353" s="40" t="str">
        <f aca="false">IF(INDEX(BookTitle,2348)="","",INDEX(BookDivision,2348))</f>
        <v/>
      </c>
      <c r="D2353" s="40" t="str">
        <f aca="false">IF(INDEX(BookTitle,2348)="","",INDEX(BookUnit,2348))</f>
        <v/>
      </c>
      <c r="E2353" s="40" t="str">
        <f aca="false">IF(INDEX(BookTitle,2348)="","",INDEX(BookTitle,2348))</f>
        <v/>
      </c>
      <c r="F2353" s="40" t="str">
        <f aca="false">IF(INDEX(BookTitle,2348)="","",INDEX(BookLevel,2348))</f>
        <v/>
      </c>
      <c r="G2353" s="40" t="str">
        <f aca="false">IF(INDEX(BookTitle,2348)="","",INDEX(BookCategory,2348))</f>
        <v/>
      </c>
      <c r="H2353" s="40" t="str">
        <f aca="false">IF(INDEX(BookTitle,2348)="","",INDEX(BookRank,2348))</f>
        <v/>
      </c>
      <c r="I2353" s="41" t="str">
        <f aca="false">IF(INDEX(BookTitle,2348)="","",INDEX(BookTotal,2348))</f>
        <v/>
      </c>
      <c r="J2353" s="0" t="str">
        <f aca="false">IF($I2353="","",IF(INDEX(BookQ1,2348)&gt;0,"Q1",IF(INDEX(BookQ2,2348)&gt;0,"Q2",IF(INDEX(BookQ3,2348)&gt;0,"Q3",IF(INDEX(BookQ4,2348)&gt;0,"Q4","")))))</f>
        <v/>
      </c>
      <c r="K2353" s="42" t="str">
        <f aca="false">IF(INDEX(BookTitle,2348)="","",INDEX(BookInYear,2348))</f>
        <v/>
      </c>
      <c r="L2353" s="19"/>
      <c r="M2353" s="39"/>
      <c r="N2353" s="19"/>
      <c r="O2353" s="19"/>
      <c r="P2353" s="43" t="str">
        <f aca="false">IF($E2353="","",IF($L2353="Decline",0,IF($L2353="Approve fewer",IF($M2353="","",$M2353),IF($L2353="","",$I2353))))</f>
        <v/>
      </c>
      <c r="Q2353" s="34" t="str">
        <f aca="false">IF($P2353="","",IF($N2353&lt;&gt;"",$N2353,$J2353))</f>
        <v/>
      </c>
      <c r="R2353" s="35" t="str">
        <f aca="false">IF(OR($P2353="",$Q2353=""),"",INDEX(BookRate,2348)*$P2353*(5-MATCH($Q2353,{"Q1";"Q2";"Q3";"Q4"},0))/4+INDEX(BookOneOff,2348)*$P2353)</f>
        <v/>
      </c>
      <c r="S2353" s="35" t="str">
        <f aca="false">IF($P2353="","",INDEX(BookRate,2348)*$P2353)</f>
        <v/>
      </c>
      <c r="T2353" s="35" t="str">
        <f aca="false">IF($R2353="","",$R2353-$K2353)</f>
        <v/>
      </c>
      <c r="U2353" s="35" t="str">
        <f aca="false">IF(N($P2353)&lt;=0,"",COUNTIF($P$6:$P2353,"&gt;0"))</f>
        <v/>
      </c>
    </row>
    <row r="2354" customFormat="false" ht="15" hidden="false" customHeight="false" outlineLevel="0" collapsed="false">
      <c r="A2354" s="40" t="str">
        <f aca="false">IF(INDEX(BookTitle,2349)="","",INDEX(BookGroup,2349))</f>
        <v/>
      </c>
      <c r="B2354" s="40" t="str">
        <f aca="false">IF(INDEX(BookTitle,2349)="","",INDEX(BookRef,2349))</f>
        <v/>
      </c>
      <c r="C2354" s="40" t="str">
        <f aca="false">IF(INDEX(BookTitle,2349)="","",INDEX(BookDivision,2349))</f>
        <v/>
      </c>
      <c r="D2354" s="40" t="str">
        <f aca="false">IF(INDEX(BookTitle,2349)="","",INDEX(BookUnit,2349))</f>
        <v/>
      </c>
      <c r="E2354" s="40" t="str">
        <f aca="false">IF(INDEX(BookTitle,2349)="","",INDEX(BookTitle,2349))</f>
        <v/>
      </c>
      <c r="F2354" s="40" t="str">
        <f aca="false">IF(INDEX(BookTitle,2349)="","",INDEX(BookLevel,2349))</f>
        <v/>
      </c>
      <c r="G2354" s="40" t="str">
        <f aca="false">IF(INDEX(BookTitle,2349)="","",INDEX(BookCategory,2349))</f>
        <v/>
      </c>
      <c r="H2354" s="40" t="str">
        <f aca="false">IF(INDEX(BookTitle,2349)="","",INDEX(BookRank,2349))</f>
        <v/>
      </c>
      <c r="I2354" s="41" t="str">
        <f aca="false">IF(INDEX(BookTitle,2349)="","",INDEX(BookTotal,2349))</f>
        <v/>
      </c>
      <c r="J2354" s="0" t="str">
        <f aca="false">IF($I2354="","",IF(INDEX(BookQ1,2349)&gt;0,"Q1",IF(INDEX(BookQ2,2349)&gt;0,"Q2",IF(INDEX(BookQ3,2349)&gt;0,"Q3",IF(INDEX(BookQ4,2349)&gt;0,"Q4","")))))</f>
        <v/>
      </c>
      <c r="K2354" s="42" t="str">
        <f aca="false">IF(INDEX(BookTitle,2349)="","",INDEX(BookInYear,2349))</f>
        <v/>
      </c>
      <c r="L2354" s="19"/>
      <c r="M2354" s="39"/>
      <c r="N2354" s="19"/>
      <c r="O2354" s="19"/>
      <c r="P2354" s="43" t="str">
        <f aca="false">IF($E2354="","",IF($L2354="Decline",0,IF($L2354="Approve fewer",IF($M2354="","",$M2354),IF($L2354="","",$I2354))))</f>
        <v/>
      </c>
      <c r="Q2354" s="34" t="str">
        <f aca="false">IF($P2354="","",IF($N2354&lt;&gt;"",$N2354,$J2354))</f>
        <v/>
      </c>
      <c r="R2354" s="35" t="str">
        <f aca="false">IF(OR($P2354="",$Q2354=""),"",INDEX(BookRate,2349)*$P2354*(5-MATCH($Q2354,{"Q1";"Q2";"Q3";"Q4"},0))/4+INDEX(BookOneOff,2349)*$P2354)</f>
        <v/>
      </c>
      <c r="S2354" s="35" t="str">
        <f aca="false">IF($P2354="","",INDEX(BookRate,2349)*$P2354)</f>
        <v/>
      </c>
      <c r="T2354" s="35" t="str">
        <f aca="false">IF($R2354="","",$R2354-$K2354)</f>
        <v/>
      </c>
      <c r="U2354" s="35" t="str">
        <f aca="false">IF(N($P2354)&lt;=0,"",COUNTIF($P$6:$P2354,"&gt;0"))</f>
        <v/>
      </c>
    </row>
    <row r="2355" customFormat="false" ht="15" hidden="false" customHeight="false" outlineLevel="0" collapsed="false">
      <c r="A2355" s="40" t="str">
        <f aca="false">IF(INDEX(BookTitle,2350)="","",INDEX(BookGroup,2350))</f>
        <v/>
      </c>
      <c r="B2355" s="40" t="str">
        <f aca="false">IF(INDEX(BookTitle,2350)="","",INDEX(BookRef,2350))</f>
        <v/>
      </c>
      <c r="C2355" s="40" t="str">
        <f aca="false">IF(INDEX(BookTitle,2350)="","",INDEX(BookDivision,2350))</f>
        <v/>
      </c>
      <c r="D2355" s="40" t="str">
        <f aca="false">IF(INDEX(BookTitle,2350)="","",INDEX(BookUnit,2350))</f>
        <v/>
      </c>
      <c r="E2355" s="40" t="str">
        <f aca="false">IF(INDEX(BookTitle,2350)="","",INDEX(BookTitle,2350))</f>
        <v/>
      </c>
      <c r="F2355" s="40" t="str">
        <f aca="false">IF(INDEX(BookTitle,2350)="","",INDEX(BookLevel,2350))</f>
        <v/>
      </c>
      <c r="G2355" s="40" t="str">
        <f aca="false">IF(INDEX(BookTitle,2350)="","",INDEX(BookCategory,2350))</f>
        <v/>
      </c>
      <c r="H2355" s="40" t="str">
        <f aca="false">IF(INDEX(BookTitle,2350)="","",INDEX(BookRank,2350))</f>
        <v/>
      </c>
      <c r="I2355" s="41" t="str">
        <f aca="false">IF(INDEX(BookTitle,2350)="","",INDEX(BookTotal,2350))</f>
        <v/>
      </c>
      <c r="J2355" s="0" t="str">
        <f aca="false">IF($I2355="","",IF(INDEX(BookQ1,2350)&gt;0,"Q1",IF(INDEX(BookQ2,2350)&gt;0,"Q2",IF(INDEX(BookQ3,2350)&gt;0,"Q3",IF(INDEX(BookQ4,2350)&gt;0,"Q4","")))))</f>
        <v/>
      </c>
      <c r="K2355" s="42" t="str">
        <f aca="false">IF(INDEX(BookTitle,2350)="","",INDEX(BookInYear,2350))</f>
        <v/>
      </c>
      <c r="L2355" s="19"/>
      <c r="M2355" s="39"/>
      <c r="N2355" s="19"/>
      <c r="O2355" s="19"/>
      <c r="P2355" s="43" t="str">
        <f aca="false">IF($E2355="","",IF($L2355="Decline",0,IF($L2355="Approve fewer",IF($M2355="","",$M2355),IF($L2355="","",$I2355))))</f>
        <v/>
      </c>
      <c r="Q2355" s="34" t="str">
        <f aca="false">IF($P2355="","",IF($N2355&lt;&gt;"",$N2355,$J2355))</f>
        <v/>
      </c>
      <c r="R2355" s="35" t="str">
        <f aca="false">IF(OR($P2355="",$Q2355=""),"",INDEX(BookRate,2350)*$P2355*(5-MATCH($Q2355,{"Q1";"Q2";"Q3";"Q4"},0))/4+INDEX(BookOneOff,2350)*$P2355)</f>
        <v/>
      </c>
      <c r="S2355" s="35" t="str">
        <f aca="false">IF($P2355="","",INDEX(BookRate,2350)*$P2355)</f>
        <v/>
      </c>
      <c r="T2355" s="35" t="str">
        <f aca="false">IF($R2355="","",$R2355-$K2355)</f>
        <v/>
      </c>
      <c r="U2355" s="35" t="str">
        <f aca="false">IF(N($P2355)&lt;=0,"",COUNTIF($P$6:$P2355,"&gt;0"))</f>
        <v/>
      </c>
    </row>
    <row r="2356" customFormat="false" ht="15" hidden="false" customHeight="false" outlineLevel="0" collapsed="false">
      <c r="A2356" s="40" t="str">
        <f aca="false">IF(INDEX(BookTitle,2351)="","",INDEX(BookGroup,2351))</f>
        <v/>
      </c>
      <c r="B2356" s="40" t="str">
        <f aca="false">IF(INDEX(BookTitle,2351)="","",INDEX(BookRef,2351))</f>
        <v/>
      </c>
      <c r="C2356" s="40" t="str">
        <f aca="false">IF(INDEX(BookTitle,2351)="","",INDEX(BookDivision,2351))</f>
        <v/>
      </c>
      <c r="D2356" s="40" t="str">
        <f aca="false">IF(INDEX(BookTitle,2351)="","",INDEX(BookUnit,2351))</f>
        <v/>
      </c>
      <c r="E2356" s="40" t="str">
        <f aca="false">IF(INDEX(BookTitle,2351)="","",INDEX(BookTitle,2351))</f>
        <v/>
      </c>
      <c r="F2356" s="40" t="str">
        <f aca="false">IF(INDEX(BookTitle,2351)="","",INDEX(BookLevel,2351))</f>
        <v/>
      </c>
      <c r="G2356" s="40" t="str">
        <f aca="false">IF(INDEX(BookTitle,2351)="","",INDEX(BookCategory,2351))</f>
        <v/>
      </c>
      <c r="H2356" s="40" t="str">
        <f aca="false">IF(INDEX(BookTitle,2351)="","",INDEX(BookRank,2351))</f>
        <v/>
      </c>
      <c r="I2356" s="41" t="str">
        <f aca="false">IF(INDEX(BookTitle,2351)="","",INDEX(BookTotal,2351))</f>
        <v/>
      </c>
      <c r="J2356" s="0" t="str">
        <f aca="false">IF($I2356="","",IF(INDEX(BookQ1,2351)&gt;0,"Q1",IF(INDEX(BookQ2,2351)&gt;0,"Q2",IF(INDEX(BookQ3,2351)&gt;0,"Q3",IF(INDEX(BookQ4,2351)&gt;0,"Q4","")))))</f>
        <v/>
      </c>
      <c r="K2356" s="42" t="str">
        <f aca="false">IF(INDEX(BookTitle,2351)="","",INDEX(BookInYear,2351))</f>
        <v/>
      </c>
      <c r="L2356" s="19"/>
      <c r="M2356" s="39"/>
      <c r="N2356" s="19"/>
      <c r="O2356" s="19"/>
      <c r="P2356" s="43" t="str">
        <f aca="false">IF($E2356="","",IF($L2356="Decline",0,IF($L2356="Approve fewer",IF($M2356="","",$M2356),IF($L2356="","",$I2356))))</f>
        <v/>
      </c>
      <c r="Q2356" s="34" t="str">
        <f aca="false">IF($P2356="","",IF($N2356&lt;&gt;"",$N2356,$J2356))</f>
        <v/>
      </c>
      <c r="R2356" s="35" t="str">
        <f aca="false">IF(OR($P2356="",$Q2356=""),"",INDEX(BookRate,2351)*$P2356*(5-MATCH($Q2356,{"Q1";"Q2";"Q3";"Q4"},0))/4+INDEX(BookOneOff,2351)*$P2356)</f>
        <v/>
      </c>
      <c r="S2356" s="35" t="str">
        <f aca="false">IF($P2356="","",INDEX(BookRate,2351)*$P2356)</f>
        <v/>
      </c>
      <c r="T2356" s="35" t="str">
        <f aca="false">IF($R2356="","",$R2356-$K2356)</f>
        <v/>
      </c>
      <c r="U2356" s="35" t="str">
        <f aca="false">IF(N($P2356)&lt;=0,"",COUNTIF($P$6:$P2356,"&gt;0"))</f>
        <v/>
      </c>
    </row>
    <row r="2357" customFormat="false" ht="15" hidden="false" customHeight="false" outlineLevel="0" collapsed="false">
      <c r="A2357" s="40" t="str">
        <f aca="false">IF(INDEX(BookTitle,2352)="","",INDEX(BookGroup,2352))</f>
        <v/>
      </c>
      <c r="B2357" s="40" t="str">
        <f aca="false">IF(INDEX(BookTitle,2352)="","",INDEX(BookRef,2352))</f>
        <v/>
      </c>
      <c r="C2357" s="40" t="str">
        <f aca="false">IF(INDEX(BookTitle,2352)="","",INDEX(BookDivision,2352))</f>
        <v/>
      </c>
      <c r="D2357" s="40" t="str">
        <f aca="false">IF(INDEX(BookTitle,2352)="","",INDEX(BookUnit,2352))</f>
        <v/>
      </c>
      <c r="E2357" s="40" t="str">
        <f aca="false">IF(INDEX(BookTitle,2352)="","",INDEX(BookTitle,2352))</f>
        <v/>
      </c>
      <c r="F2357" s="40" t="str">
        <f aca="false">IF(INDEX(BookTitle,2352)="","",INDEX(BookLevel,2352))</f>
        <v/>
      </c>
      <c r="G2357" s="40" t="str">
        <f aca="false">IF(INDEX(BookTitle,2352)="","",INDEX(BookCategory,2352))</f>
        <v/>
      </c>
      <c r="H2357" s="40" t="str">
        <f aca="false">IF(INDEX(BookTitle,2352)="","",INDEX(BookRank,2352))</f>
        <v/>
      </c>
      <c r="I2357" s="41" t="str">
        <f aca="false">IF(INDEX(BookTitle,2352)="","",INDEX(BookTotal,2352))</f>
        <v/>
      </c>
      <c r="J2357" s="0" t="str">
        <f aca="false">IF($I2357="","",IF(INDEX(BookQ1,2352)&gt;0,"Q1",IF(INDEX(BookQ2,2352)&gt;0,"Q2",IF(INDEX(BookQ3,2352)&gt;0,"Q3",IF(INDEX(BookQ4,2352)&gt;0,"Q4","")))))</f>
        <v/>
      </c>
      <c r="K2357" s="42" t="str">
        <f aca="false">IF(INDEX(BookTitle,2352)="","",INDEX(BookInYear,2352))</f>
        <v/>
      </c>
      <c r="L2357" s="19"/>
      <c r="M2357" s="39"/>
      <c r="N2357" s="19"/>
      <c r="O2357" s="19"/>
      <c r="P2357" s="43" t="str">
        <f aca="false">IF($E2357="","",IF($L2357="Decline",0,IF($L2357="Approve fewer",IF($M2357="","",$M2357),IF($L2357="","",$I2357))))</f>
        <v/>
      </c>
      <c r="Q2357" s="34" t="str">
        <f aca="false">IF($P2357="","",IF($N2357&lt;&gt;"",$N2357,$J2357))</f>
        <v/>
      </c>
      <c r="R2357" s="35" t="str">
        <f aca="false">IF(OR($P2357="",$Q2357=""),"",INDEX(BookRate,2352)*$P2357*(5-MATCH($Q2357,{"Q1";"Q2";"Q3";"Q4"},0))/4+INDEX(BookOneOff,2352)*$P2357)</f>
        <v/>
      </c>
      <c r="S2357" s="35" t="str">
        <f aca="false">IF($P2357="","",INDEX(BookRate,2352)*$P2357)</f>
        <v/>
      </c>
      <c r="T2357" s="35" t="str">
        <f aca="false">IF($R2357="","",$R2357-$K2357)</f>
        <v/>
      </c>
      <c r="U2357" s="35" t="str">
        <f aca="false">IF(N($P2357)&lt;=0,"",COUNTIF($P$6:$P2357,"&gt;0"))</f>
        <v/>
      </c>
    </row>
    <row r="2358" customFormat="false" ht="15" hidden="false" customHeight="false" outlineLevel="0" collapsed="false">
      <c r="A2358" s="40" t="str">
        <f aca="false">IF(INDEX(BookTitle,2353)="","",INDEX(BookGroup,2353))</f>
        <v/>
      </c>
      <c r="B2358" s="40" t="str">
        <f aca="false">IF(INDEX(BookTitle,2353)="","",INDEX(BookRef,2353))</f>
        <v/>
      </c>
      <c r="C2358" s="40" t="str">
        <f aca="false">IF(INDEX(BookTitle,2353)="","",INDEX(BookDivision,2353))</f>
        <v/>
      </c>
      <c r="D2358" s="40" t="str">
        <f aca="false">IF(INDEX(BookTitle,2353)="","",INDEX(BookUnit,2353))</f>
        <v/>
      </c>
      <c r="E2358" s="40" t="str">
        <f aca="false">IF(INDEX(BookTitle,2353)="","",INDEX(BookTitle,2353))</f>
        <v/>
      </c>
      <c r="F2358" s="40" t="str">
        <f aca="false">IF(INDEX(BookTitle,2353)="","",INDEX(BookLevel,2353))</f>
        <v/>
      </c>
      <c r="G2358" s="40" t="str">
        <f aca="false">IF(INDEX(BookTitle,2353)="","",INDEX(BookCategory,2353))</f>
        <v/>
      </c>
      <c r="H2358" s="40" t="str">
        <f aca="false">IF(INDEX(BookTitle,2353)="","",INDEX(BookRank,2353))</f>
        <v/>
      </c>
      <c r="I2358" s="41" t="str">
        <f aca="false">IF(INDEX(BookTitle,2353)="","",INDEX(BookTotal,2353))</f>
        <v/>
      </c>
      <c r="J2358" s="0" t="str">
        <f aca="false">IF($I2358="","",IF(INDEX(BookQ1,2353)&gt;0,"Q1",IF(INDEX(BookQ2,2353)&gt;0,"Q2",IF(INDEX(BookQ3,2353)&gt;0,"Q3",IF(INDEX(BookQ4,2353)&gt;0,"Q4","")))))</f>
        <v/>
      </c>
      <c r="K2358" s="42" t="str">
        <f aca="false">IF(INDEX(BookTitle,2353)="","",INDEX(BookInYear,2353))</f>
        <v/>
      </c>
      <c r="L2358" s="19"/>
      <c r="M2358" s="39"/>
      <c r="N2358" s="19"/>
      <c r="O2358" s="19"/>
      <c r="P2358" s="43" t="str">
        <f aca="false">IF($E2358="","",IF($L2358="Decline",0,IF($L2358="Approve fewer",IF($M2358="","",$M2358),IF($L2358="","",$I2358))))</f>
        <v/>
      </c>
      <c r="Q2358" s="34" t="str">
        <f aca="false">IF($P2358="","",IF($N2358&lt;&gt;"",$N2358,$J2358))</f>
        <v/>
      </c>
      <c r="R2358" s="35" t="str">
        <f aca="false">IF(OR($P2358="",$Q2358=""),"",INDEX(BookRate,2353)*$P2358*(5-MATCH($Q2358,{"Q1";"Q2";"Q3";"Q4"},0))/4+INDEX(BookOneOff,2353)*$P2358)</f>
        <v/>
      </c>
      <c r="S2358" s="35" t="str">
        <f aca="false">IF($P2358="","",INDEX(BookRate,2353)*$P2358)</f>
        <v/>
      </c>
      <c r="T2358" s="35" t="str">
        <f aca="false">IF($R2358="","",$R2358-$K2358)</f>
        <v/>
      </c>
      <c r="U2358" s="35" t="str">
        <f aca="false">IF(N($P2358)&lt;=0,"",COUNTIF($P$6:$P2358,"&gt;0"))</f>
        <v/>
      </c>
    </row>
    <row r="2359" customFormat="false" ht="15" hidden="false" customHeight="false" outlineLevel="0" collapsed="false">
      <c r="A2359" s="40" t="str">
        <f aca="false">IF(INDEX(BookTitle,2354)="","",INDEX(BookGroup,2354))</f>
        <v/>
      </c>
      <c r="B2359" s="40" t="str">
        <f aca="false">IF(INDEX(BookTitle,2354)="","",INDEX(BookRef,2354))</f>
        <v/>
      </c>
      <c r="C2359" s="40" t="str">
        <f aca="false">IF(INDEX(BookTitle,2354)="","",INDEX(BookDivision,2354))</f>
        <v/>
      </c>
      <c r="D2359" s="40" t="str">
        <f aca="false">IF(INDEX(BookTitle,2354)="","",INDEX(BookUnit,2354))</f>
        <v/>
      </c>
      <c r="E2359" s="40" t="str">
        <f aca="false">IF(INDEX(BookTitle,2354)="","",INDEX(BookTitle,2354))</f>
        <v/>
      </c>
      <c r="F2359" s="40" t="str">
        <f aca="false">IF(INDEX(BookTitle,2354)="","",INDEX(BookLevel,2354))</f>
        <v/>
      </c>
      <c r="G2359" s="40" t="str">
        <f aca="false">IF(INDEX(BookTitle,2354)="","",INDEX(BookCategory,2354))</f>
        <v/>
      </c>
      <c r="H2359" s="40" t="str">
        <f aca="false">IF(INDEX(BookTitle,2354)="","",INDEX(BookRank,2354))</f>
        <v/>
      </c>
      <c r="I2359" s="41" t="str">
        <f aca="false">IF(INDEX(BookTitle,2354)="","",INDEX(BookTotal,2354))</f>
        <v/>
      </c>
      <c r="J2359" s="0" t="str">
        <f aca="false">IF($I2359="","",IF(INDEX(BookQ1,2354)&gt;0,"Q1",IF(INDEX(BookQ2,2354)&gt;0,"Q2",IF(INDEX(BookQ3,2354)&gt;0,"Q3",IF(INDEX(BookQ4,2354)&gt;0,"Q4","")))))</f>
        <v/>
      </c>
      <c r="K2359" s="42" t="str">
        <f aca="false">IF(INDEX(BookTitle,2354)="","",INDEX(BookInYear,2354))</f>
        <v/>
      </c>
      <c r="L2359" s="19"/>
      <c r="M2359" s="39"/>
      <c r="N2359" s="19"/>
      <c r="O2359" s="19"/>
      <c r="P2359" s="43" t="str">
        <f aca="false">IF($E2359="","",IF($L2359="Decline",0,IF($L2359="Approve fewer",IF($M2359="","",$M2359),IF($L2359="","",$I2359))))</f>
        <v/>
      </c>
      <c r="Q2359" s="34" t="str">
        <f aca="false">IF($P2359="","",IF($N2359&lt;&gt;"",$N2359,$J2359))</f>
        <v/>
      </c>
      <c r="R2359" s="35" t="str">
        <f aca="false">IF(OR($P2359="",$Q2359=""),"",INDEX(BookRate,2354)*$P2359*(5-MATCH($Q2359,{"Q1";"Q2";"Q3";"Q4"},0))/4+INDEX(BookOneOff,2354)*$P2359)</f>
        <v/>
      </c>
      <c r="S2359" s="35" t="str">
        <f aca="false">IF($P2359="","",INDEX(BookRate,2354)*$P2359)</f>
        <v/>
      </c>
      <c r="T2359" s="35" t="str">
        <f aca="false">IF($R2359="","",$R2359-$K2359)</f>
        <v/>
      </c>
      <c r="U2359" s="35" t="str">
        <f aca="false">IF(N($P2359)&lt;=0,"",COUNTIF($P$6:$P2359,"&gt;0"))</f>
        <v/>
      </c>
    </row>
    <row r="2360" customFormat="false" ht="15" hidden="false" customHeight="false" outlineLevel="0" collapsed="false">
      <c r="A2360" s="40" t="str">
        <f aca="false">IF(INDEX(BookTitle,2355)="","",INDEX(BookGroup,2355))</f>
        <v/>
      </c>
      <c r="B2360" s="40" t="str">
        <f aca="false">IF(INDEX(BookTitle,2355)="","",INDEX(BookRef,2355))</f>
        <v/>
      </c>
      <c r="C2360" s="40" t="str">
        <f aca="false">IF(INDEX(BookTitle,2355)="","",INDEX(BookDivision,2355))</f>
        <v/>
      </c>
      <c r="D2360" s="40" t="str">
        <f aca="false">IF(INDEX(BookTitle,2355)="","",INDEX(BookUnit,2355))</f>
        <v/>
      </c>
      <c r="E2360" s="40" t="str">
        <f aca="false">IF(INDEX(BookTitle,2355)="","",INDEX(BookTitle,2355))</f>
        <v/>
      </c>
      <c r="F2360" s="40" t="str">
        <f aca="false">IF(INDEX(BookTitle,2355)="","",INDEX(BookLevel,2355))</f>
        <v/>
      </c>
      <c r="G2360" s="40" t="str">
        <f aca="false">IF(INDEX(BookTitle,2355)="","",INDEX(BookCategory,2355))</f>
        <v/>
      </c>
      <c r="H2360" s="40" t="str">
        <f aca="false">IF(INDEX(BookTitle,2355)="","",INDEX(BookRank,2355))</f>
        <v/>
      </c>
      <c r="I2360" s="41" t="str">
        <f aca="false">IF(INDEX(BookTitle,2355)="","",INDEX(BookTotal,2355))</f>
        <v/>
      </c>
      <c r="J2360" s="0" t="str">
        <f aca="false">IF($I2360="","",IF(INDEX(BookQ1,2355)&gt;0,"Q1",IF(INDEX(BookQ2,2355)&gt;0,"Q2",IF(INDEX(BookQ3,2355)&gt;0,"Q3",IF(INDEX(BookQ4,2355)&gt;0,"Q4","")))))</f>
        <v/>
      </c>
      <c r="K2360" s="42" t="str">
        <f aca="false">IF(INDEX(BookTitle,2355)="","",INDEX(BookInYear,2355))</f>
        <v/>
      </c>
      <c r="L2360" s="19"/>
      <c r="M2360" s="39"/>
      <c r="N2360" s="19"/>
      <c r="O2360" s="19"/>
      <c r="P2360" s="43" t="str">
        <f aca="false">IF($E2360="","",IF($L2360="Decline",0,IF($L2360="Approve fewer",IF($M2360="","",$M2360),IF($L2360="","",$I2360))))</f>
        <v/>
      </c>
      <c r="Q2360" s="34" t="str">
        <f aca="false">IF($P2360="","",IF($N2360&lt;&gt;"",$N2360,$J2360))</f>
        <v/>
      </c>
      <c r="R2360" s="35" t="str">
        <f aca="false">IF(OR($P2360="",$Q2360=""),"",INDEX(BookRate,2355)*$P2360*(5-MATCH($Q2360,{"Q1";"Q2";"Q3";"Q4"},0))/4+INDEX(BookOneOff,2355)*$P2360)</f>
        <v/>
      </c>
      <c r="S2360" s="35" t="str">
        <f aca="false">IF($P2360="","",INDEX(BookRate,2355)*$P2360)</f>
        <v/>
      </c>
      <c r="T2360" s="35" t="str">
        <f aca="false">IF($R2360="","",$R2360-$K2360)</f>
        <v/>
      </c>
      <c r="U2360" s="35" t="str">
        <f aca="false">IF(N($P2360)&lt;=0,"",COUNTIF($P$6:$P2360,"&gt;0"))</f>
        <v/>
      </c>
    </row>
    <row r="2361" customFormat="false" ht="15" hidden="false" customHeight="false" outlineLevel="0" collapsed="false">
      <c r="A2361" s="40" t="str">
        <f aca="false">IF(INDEX(BookTitle,2356)="","",INDEX(BookGroup,2356))</f>
        <v/>
      </c>
      <c r="B2361" s="40" t="str">
        <f aca="false">IF(INDEX(BookTitle,2356)="","",INDEX(BookRef,2356))</f>
        <v/>
      </c>
      <c r="C2361" s="40" t="str">
        <f aca="false">IF(INDEX(BookTitle,2356)="","",INDEX(BookDivision,2356))</f>
        <v/>
      </c>
      <c r="D2361" s="40" t="str">
        <f aca="false">IF(INDEX(BookTitle,2356)="","",INDEX(BookUnit,2356))</f>
        <v/>
      </c>
      <c r="E2361" s="40" t="str">
        <f aca="false">IF(INDEX(BookTitle,2356)="","",INDEX(BookTitle,2356))</f>
        <v/>
      </c>
      <c r="F2361" s="40" t="str">
        <f aca="false">IF(INDEX(BookTitle,2356)="","",INDEX(BookLevel,2356))</f>
        <v/>
      </c>
      <c r="G2361" s="40" t="str">
        <f aca="false">IF(INDEX(BookTitle,2356)="","",INDEX(BookCategory,2356))</f>
        <v/>
      </c>
      <c r="H2361" s="40" t="str">
        <f aca="false">IF(INDEX(BookTitle,2356)="","",INDEX(BookRank,2356))</f>
        <v/>
      </c>
      <c r="I2361" s="41" t="str">
        <f aca="false">IF(INDEX(BookTitle,2356)="","",INDEX(BookTotal,2356))</f>
        <v/>
      </c>
      <c r="J2361" s="0" t="str">
        <f aca="false">IF($I2361="","",IF(INDEX(BookQ1,2356)&gt;0,"Q1",IF(INDEX(BookQ2,2356)&gt;0,"Q2",IF(INDEX(BookQ3,2356)&gt;0,"Q3",IF(INDEX(BookQ4,2356)&gt;0,"Q4","")))))</f>
        <v/>
      </c>
      <c r="K2361" s="42" t="str">
        <f aca="false">IF(INDEX(BookTitle,2356)="","",INDEX(BookInYear,2356))</f>
        <v/>
      </c>
      <c r="L2361" s="19"/>
      <c r="M2361" s="39"/>
      <c r="N2361" s="19"/>
      <c r="O2361" s="19"/>
      <c r="P2361" s="43" t="str">
        <f aca="false">IF($E2361="","",IF($L2361="Decline",0,IF($L2361="Approve fewer",IF($M2361="","",$M2361),IF($L2361="","",$I2361))))</f>
        <v/>
      </c>
      <c r="Q2361" s="34" t="str">
        <f aca="false">IF($P2361="","",IF($N2361&lt;&gt;"",$N2361,$J2361))</f>
        <v/>
      </c>
      <c r="R2361" s="35" t="str">
        <f aca="false">IF(OR($P2361="",$Q2361=""),"",INDEX(BookRate,2356)*$P2361*(5-MATCH($Q2361,{"Q1";"Q2";"Q3";"Q4"},0))/4+INDEX(BookOneOff,2356)*$P2361)</f>
        <v/>
      </c>
      <c r="S2361" s="35" t="str">
        <f aca="false">IF($P2361="","",INDEX(BookRate,2356)*$P2361)</f>
        <v/>
      </c>
      <c r="T2361" s="35" t="str">
        <f aca="false">IF($R2361="","",$R2361-$K2361)</f>
        <v/>
      </c>
      <c r="U2361" s="35" t="str">
        <f aca="false">IF(N($P2361)&lt;=0,"",COUNTIF($P$6:$P2361,"&gt;0"))</f>
        <v/>
      </c>
    </row>
    <row r="2362" customFormat="false" ht="15" hidden="false" customHeight="false" outlineLevel="0" collapsed="false">
      <c r="A2362" s="40" t="str">
        <f aca="false">IF(INDEX(BookTitle,2357)="","",INDEX(BookGroup,2357))</f>
        <v/>
      </c>
      <c r="B2362" s="40" t="str">
        <f aca="false">IF(INDEX(BookTitle,2357)="","",INDEX(BookRef,2357))</f>
        <v/>
      </c>
      <c r="C2362" s="40" t="str">
        <f aca="false">IF(INDEX(BookTitle,2357)="","",INDEX(BookDivision,2357))</f>
        <v/>
      </c>
      <c r="D2362" s="40" t="str">
        <f aca="false">IF(INDEX(BookTitle,2357)="","",INDEX(BookUnit,2357))</f>
        <v/>
      </c>
      <c r="E2362" s="40" t="str">
        <f aca="false">IF(INDEX(BookTitle,2357)="","",INDEX(BookTitle,2357))</f>
        <v/>
      </c>
      <c r="F2362" s="40" t="str">
        <f aca="false">IF(INDEX(BookTitle,2357)="","",INDEX(BookLevel,2357))</f>
        <v/>
      </c>
      <c r="G2362" s="40" t="str">
        <f aca="false">IF(INDEX(BookTitle,2357)="","",INDEX(BookCategory,2357))</f>
        <v/>
      </c>
      <c r="H2362" s="40" t="str">
        <f aca="false">IF(INDEX(BookTitle,2357)="","",INDEX(BookRank,2357))</f>
        <v/>
      </c>
      <c r="I2362" s="41" t="str">
        <f aca="false">IF(INDEX(BookTitle,2357)="","",INDEX(BookTotal,2357))</f>
        <v/>
      </c>
      <c r="J2362" s="0" t="str">
        <f aca="false">IF($I2362="","",IF(INDEX(BookQ1,2357)&gt;0,"Q1",IF(INDEX(BookQ2,2357)&gt;0,"Q2",IF(INDEX(BookQ3,2357)&gt;0,"Q3",IF(INDEX(BookQ4,2357)&gt;0,"Q4","")))))</f>
        <v/>
      </c>
      <c r="K2362" s="42" t="str">
        <f aca="false">IF(INDEX(BookTitle,2357)="","",INDEX(BookInYear,2357))</f>
        <v/>
      </c>
      <c r="L2362" s="19"/>
      <c r="M2362" s="39"/>
      <c r="N2362" s="19"/>
      <c r="O2362" s="19"/>
      <c r="P2362" s="43" t="str">
        <f aca="false">IF($E2362="","",IF($L2362="Decline",0,IF($L2362="Approve fewer",IF($M2362="","",$M2362),IF($L2362="","",$I2362))))</f>
        <v/>
      </c>
      <c r="Q2362" s="34" t="str">
        <f aca="false">IF($P2362="","",IF($N2362&lt;&gt;"",$N2362,$J2362))</f>
        <v/>
      </c>
      <c r="R2362" s="35" t="str">
        <f aca="false">IF(OR($P2362="",$Q2362=""),"",INDEX(BookRate,2357)*$P2362*(5-MATCH($Q2362,{"Q1";"Q2";"Q3";"Q4"},0))/4+INDEX(BookOneOff,2357)*$P2362)</f>
        <v/>
      </c>
      <c r="S2362" s="35" t="str">
        <f aca="false">IF($P2362="","",INDEX(BookRate,2357)*$P2362)</f>
        <v/>
      </c>
      <c r="T2362" s="35" t="str">
        <f aca="false">IF($R2362="","",$R2362-$K2362)</f>
        <v/>
      </c>
      <c r="U2362" s="35" t="str">
        <f aca="false">IF(N($P2362)&lt;=0,"",COUNTIF($P$6:$P2362,"&gt;0"))</f>
        <v/>
      </c>
    </row>
    <row r="2363" customFormat="false" ht="15" hidden="false" customHeight="false" outlineLevel="0" collapsed="false">
      <c r="A2363" s="40" t="str">
        <f aca="false">IF(INDEX(BookTitle,2358)="","",INDEX(BookGroup,2358))</f>
        <v/>
      </c>
      <c r="B2363" s="40" t="str">
        <f aca="false">IF(INDEX(BookTitle,2358)="","",INDEX(BookRef,2358))</f>
        <v/>
      </c>
      <c r="C2363" s="40" t="str">
        <f aca="false">IF(INDEX(BookTitle,2358)="","",INDEX(BookDivision,2358))</f>
        <v/>
      </c>
      <c r="D2363" s="40" t="str">
        <f aca="false">IF(INDEX(BookTitle,2358)="","",INDEX(BookUnit,2358))</f>
        <v/>
      </c>
      <c r="E2363" s="40" t="str">
        <f aca="false">IF(INDEX(BookTitle,2358)="","",INDEX(BookTitle,2358))</f>
        <v/>
      </c>
      <c r="F2363" s="40" t="str">
        <f aca="false">IF(INDEX(BookTitle,2358)="","",INDEX(BookLevel,2358))</f>
        <v/>
      </c>
      <c r="G2363" s="40" t="str">
        <f aca="false">IF(INDEX(BookTitle,2358)="","",INDEX(BookCategory,2358))</f>
        <v/>
      </c>
      <c r="H2363" s="40" t="str">
        <f aca="false">IF(INDEX(BookTitle,2358)="","",INDEX(BookRank,2358))</f>
        <v/>
      </c>
      <c r="I2363" s="41" t="str">
        <f aca="false">IF(INDEX(BookTitle,2358)="","",INDEX(BookTotal,2358))</f>
        <v/>
      </c>
      <c r="J2363" s="0" t="str">
        <f aca="false">IF($I2363="","",IF(INDEX(BookQ1,2358)&gt;0,"Q1",IF(INDEX(BookQ2,2358)&gt;0,"Q2",IF(INDEX(BookQ3,2358)&gt;0,"Q3",IF(INDEX(BookQ4,2358)&gt;0,"Q4","")))))</f>
        <v/>
      </c>
      <c r="K2363" s="42" t="str">
        <f aca="false">IF(INDEX(BookTitle,2358)="","",INDEX(BookInYear,2358))</f>
        <v/>
      </c>
      <c r="L2363" s="19"/>
      <c r="M2363" s="39"/>
      <c r="N2363" s="19"/>
      <c r="O2363" s="19"/>
      <c r="P2363" s="43" t="str">
        <f aca="false">IF($E2363="","",IF($L2363="Decline",0,IF($L2363="Approve fewer",IF($M2363="","",$M2363),IF($L2363="","",$I2363))))</f>
        <v/>
      </c>
      <c r="Q2363" s="34" t="str">
        <f aca="false">IF($P2363="","",IF($N2363&lt;&gt;"",$N2363,$J2363))</f>
        <v/>
      </c>
      <c r="R2363" s="35" t="str">
        <f aca="false">IF(OR($P2363="",$Q2363=""),"",INDEX(BookRate,2358)*$P2363*(5-MATCH($Q2363,{"Q1";"Q2";"Q3";"Q4"},0))/4+INDEX(BookOneOff,2358)*$P2363)</f>
        <v/>
      </c>
      <c r="S2363" s="35" t="str">
        <f aca="false">IF($P2363="","",INDEX(BookRate,2358)*$P2363)</f>
        <v/>
      </c>
      <c r="T2363" s="35" t="str">
        <f aca="false">IF($R2363="","",$R2363-$K2363)</f>
        <v/>
      </c>
      <c r="U2363" s="35" t="str">
        <f aca="false">IF(N($P2363)&lt;=0,"",COUNTIF($P$6:$P2363,"&gt;0"))</f>
        <v/>
      </c>
    </row>
    <row r="2364" customFormat="false" ht="15" hidden="false" customHeight="false" outlineLevel="0" collapsed="false">
      <c r="A2364" s="40" t="str">
        <f aca="false">IF(INDEX(BookTitle,2359)="","",INDEX(BookGroup,2359))</f>
        <v/>
      </c>
      <c r="B2364" s="40" t="str">
        <f aca="false">IF(INDEX(BookTitle,2359)="","",INDEX(BookRef,2359))</f>
        <v/>
      </c>
      <c r="C2364" s="40" t="str">
        <f aca="false">IF(INDEX(BookTitle,2359)="","",INDEX(BookDivision,2359))</f>
        <v/>
      </c>
      <c r="D2364" s="40" t="str">
        <f aca="false">IF(INDEX(BookTitle,2359)="","",INDEX(BookUnit,2359))</f>
        <v/>
      </c>
      <c r="E2364" s="40" t="str">
        <f aca="false">IF(INDEX(BookTitle,2359)="","",INDEX(BookTitle,2359))</f>
        <v/>
      </c>
      <c r="F2364" s="40" t="str">
        <f aca="false">IF(INDEX(BookTitle,2359)="","",INDEX(BookLevel,2359))</f>
        <v/>
      </c>
      <c r="G2364" s="40" t="str">
        <f aca="false">IF(INDEX(BookTitle,2359)="","",INDEX(BookCategory,2359))</f>
        <v/>
      </c>
      <c r="H2364" s="40" t="str">
        <f aca="false">IF(INDEX(BookTitle,2359)="","",INDEX(BookRank,2359))</f>
        <v/>
      </c>
      <c r="I2364" s="41" t="str">
        <f aca="false">IF(INDEX(BookTitle,2359)="","",INDEX(BookTotal,2359))</f>
        <v/>
      </c>
      <c r="J2364" s="0" t="str">
        <f aca="false">IF($I2364="","",IF(INDEX(BookQ1,2359)&gt;0,"Q1",IF(INDEX(BookQ2,2359)&gt;0,"Q2",IF(INDEX(BookQ3,2359)&gt;0,"Q3",IF(INDEX(BookQ4,2359)&gt;0,"Q4","")))))</f>
        <v/>
      </c>
      <c r="K2364" s="42" t="str">
        <f aca="false">IF(INDEX(BookTitle,2359)="","",INDEX(BookInYear,2359))</f>
        <v/>
      </c>
      <c r="L2364" s="19"/>
      <c r="M2364" s="39"/>
      <c r="N2364" s="19"/>
      <c r="O2364" s="19"/>
      <c r="P2364" s="43" t="str">
        <f aca="false">IF($E2364="","",IF($L2364="Decline",0,IF($L2364="Approve fewer",IF($M2364="","",$M2364),IF($L2364="","",$I2364))))</f>
        <v/>
      </c>
      <c r="Q2364" s="34" t="str">
        <f aca="false">IF($P2364="","",IF($N2364&lt;&gt;"",$N2364,$J2364))</f>
        <v/>
      </c>
      <c r="R2364" s="35" t="str">
        <f aca="false">IF(OR($P2364="",$Q2364=""),"",INDEX(BookRate,2359)*$P2364*(5-MATCH($Q2364,{"Q1";"Q2";"Q3";"Q4"},0))/4+INDEX(BookOneOff,2359)*$P2364)</f>
        <v/>
      </c>
      <c r="S2364" s="35" t="str">
        <f aca="false">IF($P2364="","",INDEX(BookRate,2359)*$P2364)</f>
        <v/>
      </c>
      <c r="T2364" s="35" t="str">
        <f aca="false">IF($R2364="","",$R2364-$K2364)</f>
        <v/>
      </c>
      <c r="U2364" s="35" t="str">
        <f aca="false">IF(N($P2364)&lt;=0,"",COUNTIF($P$6:$P2364,"&gt;0"))</f>
        <v/>
      </c>
    </row>
    <row r="2365" customFormat="false" ht="15" hidden="false" customHeight="false" outlineLevel="0" collapsed="false">
      <c r="A2365" s="40" t="str">
        <f aca="false">IF(INDEX(BookTitle,2360)="","",INDEX(BookGroup,2360))</f>
        <v/>
      </c>
      <c r="B2365" s="40" t="str">
        <f aca="false">IF(INDEX(BookTitle,2360)="","",INDEX(BookRef,2360))</f>
        <v/>
      </c>
      <c r="C2365" s="40" t="str">
        <f aca="false">IF(INDEX(BookTitle,2360)="","",INDEX(BookDivision,2360))</f>
        <v/>
      </c>
      <c r="D2365" s="40" t="str">
        <f aca="false">IF(INDEX(BookTitle,2360)="","",INDEX(BookUnit,2360))</f>
        <v/>
      </c>
      <c r="E2365" s="40" t="str">
        <f aca="false">IF(INDEX(BookTitle,2360)="","",INDEX(BookTitle,2360))</f>
        <v/>
      </c>
      <c r="F2365" s="40" t="str">
        <f aca="false">IF(INDEX(BookTitle,2360)="","",INDEX(BookLevel,2360))</f>
        <v/>
      </c>
      <c r="G2365" s="40" t="str">
        <f aca="false">IF(INDEX(BookTitle,2360)="","",INDEX(BookCategory,2360))</f>
        <v/>
      </c>
      <c r="H2365" s="40" t="str">
        <f aca="false">IF(INDEX(BookTitle,2360)="","",INDEX(BookRank,2360))</f>
        <v/>
      </c>
      <c r="I2365" s="41" t="str">
        <f aca="false">IF(INDEX(BookTitle,2360)="","",INDEX(BookTotal,2360))</f>
        <v/>
      </c>
      <c r="J2365" s="0" t="str">
        <f aca="false">IF($I2365="","",IF(INDEX(BookQ1,2360)&gt;0,"Q1",IF(INDEX(BookQ2,2360)&gt;0,"Q2",IF(INDEX(BookQ3,2360)&gt;0,"Q3",IF(INDEX(BookQ4,2360)&gt;0,"Q4","")))))</f>
        <v/>
      </c>
      <c r="K2365" s="42" t="str">
        <f aca="false">IF(INDEX(BookTitle,2360)="","",INDEX(BookInYear,2360))</f>
        <v/>
      </c>
      <c r="L2365" s="19"/>
      <c r="M2365" s="39"/>
      <c r="N2365" s="19"/>
      <c r="O2365" s="19"/>
      <c r="P2365" s="43" t="str">
        <f aca="false">IF($E2365="","",IF($L2365="Decline",0,IF($L2365="Approve fewer",IF($M2365="","",$M2365),IF($L2365="","",$I2365))))</f>
        <v/>
      </c>
      <c r="Q2365" s="34" t="str">
        <f aca="false">IF($P2365="","",IF($N2365&lt;&gt;"",$N2365,$J2365))</f>
        <v/>
      </c>
      <c r="R2365" s="35" t="str">
        <f aca="false">IF(OR($P2365="",$Q2365=""),"",INDEX(BookRate,2360)*$P2365*(5-MATCH($Q2365,{"Q1";"Q2";"Q3";"Q4"},0))/4+INDEX(BookOneOff,2360)*$P2365)</f>
        <v/>
      </c>
      <c r="S2365" s="35" t="str">
        <f aca="false">IF($P2365="","",INDEX(BookRate,2360)*$P2365)</f>
        <v/>
      </c>
      <c r="T2365" s="35" t="str">
        <f aca="false">IF($R2365="","",$R2365-$K2365)</f>
        <v/>
      </c>
      <c r="U2365" s="35" t="str">
        <f aca="false">IF(N($P2365)&lt;=0,"",COUNTIF($P$6:$P2365,"&gt;0"))</f>
        <v/>
      </c>
    </row>
    <row r="2366" customFormat="false" ht="15" hidden="false" customHeight="false" outlineLevel="0" collapsed="false">
      <c r="A2366" s="40" t="str">
        <f aca="false">IF(INDEX(BookTitle,2361)="","",INDEX(BookGroup,2361))</f>
        <v/>
      </c>
      <c r="B2366" s="40" t="str">
        <f aca="false">IF(INDEX(BookTitle,2361)="","",INDEX(BookRef,2361))</f>
        <v/>
      </c>
      <c r="C2366" s="40" t="str">
        <f aca="false">IF(INDEX(BookTitle,2361)="","",INDEX(BookDivision,2361))</f>
        <v/>
      </c>
      <c r="D2366" s="40" t="str">
        <f aca="false">IF(INDEX(BookTitle,2361)="","",INDEX(BookUnit,2361))</f>
        <v/>
      </c>
      <c r="E2366" s="40" t="str">
        <f aca="false">IF(INDEX(BookTitle,2361)="","",INDEX(BookTitle,2361))</f>
        <v/>
      </c>
      <c r="F2366" s="40" t="str">
        <f aca="false">IF(INDEX(BookTitle,2361)="","",INDEX(BookLevel,2361))</f>
        <v/>
      </c>
      <c r="G2366" s="40" t="str">
        <f aca="false">IF(INDEX(BookTitle,2361)="","",INDEX(BookCategory,2361))</f>
        <v/>
      </c>
      <c r="H2366" s="40" t="str">
        <f aca="false">IF(INDEX(BookTitle,2361)="","",INDEX(BookRank,2361))</f>
        <v/>
      </c>
      <c r="I2366" s="41" t="str">
        <f aca="false">IF(INDEX(BookTitle,2361)="","",INDEX(BookTotal,2361))</f>
        <v/>
      </c>
      <c r="J2366" s="0" t="str">
        <f aca="false">IF($I2366="","",IF(INDEX(BookQ1,2361)&gt;0,"Q1",IF(INDEX(BookQ2,2361)&gt;0,"Q2",IF(INDEX(BookQ3,2361)&gt;0,"Q3",IF(INDEX(BookQ4,2361)&gt;0,"Q4","")))))</f>
        <v/>
      </c>
      <c r="K2366" s="42" t="str">
        <f aca="false">IF(INDEX(BookTitle,2361)="","",INDEX(BookInYear,2361))</f>
        <v/>
      </c>
      <c r="L2366" s="19"/>
      <c r="M2366" s="39"/>
      <c r="N2366" s="19"/>
      <c r="O2366" s="19"/>
      <c r="P2366" s="43" t="str">
        <f aca="false">IF($E2366="","",IF($L2366="Decline",0,IF($L2366="Approve fewer",IF($M2366="","",$M2366),IF($L2366="","",$I2366))))</f>
        <v/>
      </c>
      <c r="Q2366" s="34" t="str">
        <f aca="false">IF($P2366="","",IF($N2366&lt;&gt;"",$N2366,$J2366))</f>
        <v/>
      </c>
      <c r="R2366" s="35" t="str">
        <f aca="false">IF(OR($P2366="",$Q2366=""),"",INDEX(BookRate,2361)*$P2366*(5-MATCH($Q2366,{"Q1";"Q2";"Q3";"Q4"},0))/4+INDEX(BookOneOff,2361)*$P2366)</f>
        <v/>
      </c>
      <c r="S2366" s="35" t="str">
        <f aca="false">IF($P2366="","",INDEX(BookRate,2361)*$P2366)</f>
        <v/>
      </c>
      <c r="T2366" s="35" t="str">
        <f aca="false">IF($R2366="","",$R2366-$K2366)</f>
        <v/>
      </c>
      <c r="U2366" s="35" t="str">
        <f aca="false">IF(N($P2366)&lt;=0,"",COUNTIF($P$6:$P2366,"&gt;0"))</f>
        <v/>
      </c>
    </row>
    <row r="2367" customFormat="false" ht="15" hidden="false" customHeight="false" outlineLevel="0" collapsed="false">
      <c r="A2367" s="40" t="str">
        <f aca="false">IF(INDEX(BookTitle,2362)="","",INDEX(BookGroup,2362))</f>
        <v/>
      </c>
      <c r="B2367" s="40" t="str">
        <f aca="false">IF(INDEX(BookTitle,2362)="","",INDEX(BookRef,2362))</f>
        <v/>
      </c>
      <c r="C2367" s="40" t="str">
        <f aca="false">IF(INDEX(BookTitle,2362)="","",INDEX(BookDivision,2362))</f>
        <v/>
      </c>
      <c r="D2367" s="40" t="str">
        <f aca="false">IF(INDEX(BookTitle,2362)="","",INDEX(BookUnit,2362))</f>
        <v/>
      </c>
      <c r="E2367" s="40" t="str">
        <f aca="false">IF(INDEX(BookTitle,2362)="","",INDEX(BookTitle,2362))</f>
        <v/>
      </c>
      <c r="F2367" s="40" t="str">
        <f aca="false">IF(INDEX(BookTitle,2362)="","",INDEX(BookLevel,2362))</f>
        <v/>
      </c>
      <c r="G2367" s="40" t="str">
        <f aca="false">IF(INDEX(BookTitle,2362)="","",INDEX(BookCategory,2362))</f>
        <v/>
      </c>
      <c r="H2367" s="40" t="str">
        <f aca="false">IF(INDEX(BookTitle,2362)="","",INDEX(BookRank,2362))</f>
        <v/>
      </c>
      <c r="I2367" s="41" t="str">
        <f aca="false">IF(INDEX(BookTitle,2362)="","",INDEX(BookTotal,2362))</f>
        <v/>
      </c>
      <c r="J2367" s="0" t="str">
        <f aca="false">IF($I2367="","",IF(INDEX(BookQ1,2362)&gt;0,"Q1",IF(INDEX(BookQ2,2362)&gt;0,"Q2",IF(INDEX(BookQ3,2362)&gt;0,"Q3",IF(INDEX(BookQ4,2362)&gt;0,"Q4","")))))</f>
        <v/>
      </c>
      <c r="K2367" s="42" t="str">
        <f aca="false">IF(INDEX(BookTitle,2362)="","",INDEX(BookInYear,2362))</f>
        <v/>
      </c>
      <c r="L2367" s="19"/>
      <c r="M2367" s="39"/>
      <c r="N2367" s="19"/>
      <c r="O2367" s="19"/>
      <c r="P2367" s="43" t="str">
        <f aca="false">IF($E2367="","",IF($L2367="Decline",0,IF($L2367="Approve fewer",IF($M2367="","",$M2367),IF($L2367="","",$I2367))))</f>
        <v/>
      </c>
      <c r="Q2367" s="34" t="str">
        <f aca="false">IF($P2367="","",IF($N2367&lt;&gt;"",$N2367,$J2367))</f>
        <v/>
      </c>
      <c r="R2367" s="35" t="str">
        <f aca="false">IF(OR($P2367="",$Q2367=""),"",INDEX(BookRate,2362)*$P2367*(5-MATCH($Q2367,{"Q1";"Q2";"Q3";"Q4"},0))/4+INDEX(BookOneOff,2362)*$P2367)</f>
        <v/>
      </c>
      <c r="S2367" s="35" t="str">
        <f aca="false">IF($P2367="","",INDEX(BookRate,2362)*$P2367)</f>
        <v/>
      </c>
      <c r="T2367" s="35" t="str">
        <f aca="false">IF($R2367="","",$R2367-$K2367)</f>
        <v/>
      </c>
      <c r="U2367" s="35" t="str">
        <f aca="false">IF(N($P2367)&lt;=0,"",COUNTIF($P$6:$P2367,"&gt;0"))</f>
        <v/>
      </c>
    </row>
    <row r="2368" customFormat="false" ht="15" hidden="false" customHeight="false" outlineLevel="0" collapsed="false">
      <c r="A2368" s="40" t="str">
        <f aca="false">IF(INDEX(BookTitle,2363)="","",INDEX(BookGroup,2363))</f>
        <v/>
      </c>
      <c r="B2368" s="40" t="str">
        <f aca="false">IF(INDEX(BookTitle,2363)="","",INDEX(BookRef,2363))</f>
        <v/>
      </c>
      <c r="C2368" s="40" t="str">
        <f aca="false">IF(INDEX(BookTitle,2363)="","",INDEX(BookDivision,2363))</f>
        <v/>
      </c>
      <c r="D2368" s="40" t="str">
        <f aca="false">IF(INDEX(BookTitle,2363)="","",INDEX(BookUnit,2363))</f>
        <v/>
      </c>
      <c r="E2368" s="40" t="str">
        <f aca="false">IF(INDEX(BookTitle,2363)="","",INDEX(BookTitle,2363))</f>
        <v/>
      </c>
      <c r="F2368" s="40" t="str">
        <f aca="false">IF(INDEX(BookTitle,2363)="","",INDEX(BookLevel,2363))</f>
        <v/>
      </c>
      <c r="G2368" s="40" t="str">
        <f aca="false">IF(INDEX(BookTitle,2363)="","",INDEX(BookCategory,2363))</f>
        <v/>
      </c>
      <c r="H2368" s="40" t="str">
        <f aca="false">IF(INDEX(BookTitle,2363)="","",INDEX(BookRank,2363))</f>
        <v/>
      </c>
      <c r="I2368" s="41" t="str">
        <f aca="false">IF(INDEX(BookTitle,2363)="","",INDEX(BookTotal,2363))</f>
        <v/>
      </c>
      <c r="J2368" s="0" t="str">
        <f aca="false">IF($I2368="","",IF(INDEX(BookQ1,2363)&gt;0,"Q1",IF(INDEX(BookQ2,2363)&gt;0,"Q2",IF(INDEX(BookQ3,2363)&gt;0,"Q3",IF(INDEX(BookQ4,2363)&gt;0,"Q4","")))))</f>
        <v/>
      </c>
      <c r="K2368" s="42" t="str">
        <f aca="false">IF(INDEX(BookTitle,2363)="","",INDEX(BookInYear,2363))</f>
        <v/>
      </c>
      <c r="L2368" s="19"/>
      <c r="M2368" s="39"/>
      <c r="N2368" s="19"/>
      <c r="O2368" s="19"/>
      <c r="P2368" s="43" t="str">
        <f aca="false">IF($E2368="","",IF($L2368="Decline",0,IF($L2368="Approve fewer",IF($M2368="","",$M2368),IF($L2368="","",$I2368))))</f>
        <v/>
      </c>
      <c r="Q2368" s="34" t="str">
        <f aca="false">IF($P2368="","",IF($N2368&lt;&gt;"",$N2368,$J2368))</f>
        <v/>
      </c>
      <c r="R2368" s="35" t="str">
        <f aca="false">IF(OR($P2368="",$Q2368=""),"",INDEX(BookRate,2363)*$P2368*(5-MATCH($Q2368,{"Q1";"Q2";"Q3";"Q4"},0))/4+INDEX(BookOneOff,2363)*$P2368)</f>
        <v/>
      </c>
      <c r="S2368" s="35" t="str">
        <f aca="false">IF($P2368="","",INDEX(BookRate,2363)*$P2368)</f>
        <v/>
      </c>
      <c r="T2368" s="35" t="str">
        <f aca="false">IF($R2368="","",$R2368-$K2368)</f>
        <v/>
      </c>
      <c r="U2368" s="35" t="str">
        <f aca="false">IF(N($P2368)&lt;=0,"",COUNTIF($P$6:$P2368,"&gt;0"))</f>
        <v/>
      </c>
    </row>
    <row r="2369" customFormat="false" ht="15" hidden="false" customHeight="false" outlineLevel="0" collapsed="false">
      <c r="A2369" s="40" t="str">
        <f aca="false">IF(INDEX(BookTitle,2364)="","",INDEX(BookGroup,2364))</f>
        <v/>
      </c>
      <c r="B2369" s="40" t="str">
        <f aca="false">IF(INDEX(BookTitle,2364)="","",INDEX(BookRef,2364))</f>
        <v/>
      </c>
      <c r="C2369" s="40" t="str">
        <f aca="false">IF(INDEX(BookTitle,2364)="","",INDEX(BookDivision,2364))</f>
        <v/>
      </c>
      <c r="D2369" s="40" t="str">
        <f aca="false">IF(INDEX(BookTitle,2364)="","",INDEX(BookUnit,2364))</f>
        <v/>
      </c>
      <c r="E2369" s="40" t="str">
        <f aca="false">IF(INDEX(BookTitle,2364)="","",INDEX(BookTitle,2364))</f>
        <v/>
      </c>
      <c r="F2369" s="40" t="str">
        <f aca="false">IF(INDEX(BookTitle,2364)="","",INDEX(BookLevel,2364))</f>
        <v/>
      </c>
      <c r="G2369" s="40" t="str">
        <f aca="false">IF(INDEX(BookTitle,2364)="","",INDEX(BookCategory,2364))</f>
        <v/>
      </c>
      <c r="H2369" s="40" t="str">
        <f aca="false">IF(INDEX(BookTitle,2364)="","",INDEX(BookRank,2364))</f>
        <v/>
      </c>
      <c r="I2369" s="41" t="str">
        <f aca="false">IF(INDEX(BookTitle,2364)="","",INDEX(BookTotal,2364))</f>
        <v/>
      </c>
      <c r="J2369" s="0" t="str">
        <f aca="false">IF($I2369="","",IF(INDEX(BookQ1,2364)&gt;0,"Q1",IF(INDEX(BookQ2,2364)&gt;0,"Q2",IF(INDEX(BookQ3,2364)&gt;0,"Q3",IF(INDEX(BookQ4,2364)&gt;0,"Q4","")))))</f>
        <v/>
      </c>
      <c r="K2369" s="42" t="str">
        <f aca="false">IF(INDEX(BookTitle,2364)="","",INDEX(BookInYear,2364))</f>
        <v/>
      </c>
      <c r="L2369" s="19"/>
      <c r="M2369" s="39"/>
      <c r="N2369" s="19"/>
      <c r="O2369" s="19"/>
      <c r="P2369" s="43" t="str">
        <f aca="false">IF($E2369="","",IF($L2369="Decline",0,IF($L2369="Approve fewer",IF($M2369="","",$M2369),IF($L2369="","",$I2369))))</f>
        <v/>
      </c>
      <c r="Q2369" s="34" t="str">
        <f aca="false">IF($P2369="","",IF($N2369&lt;&gt;"",$N2369,$J2369))</f>
        <v/>
      </c>
      <c r="R2369" s="35" t="str">
        <f aca="false">IF(OR($P2369="",$Q2369=""),"",INDEX(BookRate,2364)*$P2369*(5-MATCH($Q2369,{"Q1";"Q2";"Q3";"Q4"},0))/4+INDEX(BookOneOff,2364)*$P2369)</f>
        <v/>
      </c>
      <c r="S2369" s="35" t="str">
        <f aca="false">IF($P2369="","",INDEX(BookRate,2364)*$P2369)</f>
        <v/>
      </c>
      <c r="T2369" s="35" t="str">
        <f aca="false">IF($R2369="","",$R2369-$K2369)</f>
        <v/>
      </c>
      <c r="U2369" s="35" t="str">
        <f aca="false">IF(N($P2369)&lt;=0,"",COUNTIF($P$6:$P2369,"&gt;0"))</f>
        <v/>
      </c>
    </row>
    <row r="2370" customFormat="false" ht="15" hidden="false" customHeight="false" outlineLevel="0" collapsed="false">
      <c r="A2370" s="40" t="str">
        <f aca="false">IF(INDEX(BookTitle,2365)="","",INDEX(BookGroup,2365))</f>
        <v/>
      </c>
      <c r="B2370" s="40" t="str">
        <f aca="false">IF(INDEX(BookTitle,2365)="","",INDEX(BookRef,2365))</f>
        <v/>
      </c>
      <c r="C2370" s="40" t="str">
        <f aca="false">IF(INDEX(BookTitle,2365)="","",INDEX(BookDivision,2365))</f>
        <v/>
      </c>
      <c r="D2370" s="40" t="str">
        <f aca="false">IF(INDEX(BookTitle,2365)="","",INDEX(BookUnit,2365))</f>
        <v/>
      </c>
      <c r="E2370" s="40" t="str">
        <f aca="false">IF(INDEX(BookTitle,2365)="","",INDEX(BookTitle,2365))</f>
        <v/>
      </c>
      <c r="F2370" s="40" t="str">
        <f aca="false">IF(INDEX(BookTitle,2365)="","",INDEX(BookLevel,2365))</f>
        <v/>
      </c>
      <c r="G2370" s="40" t="str">
        <f aca="false">IF(INDEX(BookTitle,2365)="","",INDEX(BookCategory,2365))</f>
        <v/>
      </c>
      <c r="H2370" s="40" t="str">
        <f aca="false">IF(INDEX(BookTitle,2365)="","",INDEX(BookRank,2365))</f>
        <v/>
      </c>
      <c r="I2370" s="41" t="str">
        <f aca="false">IF(INDEX(BookTitle,2365)="","",INDEX(BookTotal,2365))</f>
        <v/>
      </c>
      <c r="J2370" s="0" t="str">
        <f aca="false">IF($I2370="","",IF(INDEX(BookQ1,2365)&gt;0,"Q1",IF(INDEX(BookQ2,2365)&gt;0,"Q2",IF(INDEX(BookQ3,2365)&gt;0,"Q3",IF(INDEX(BookQ4,2365)&gt;0,"Q4","")))))</f>
        <v/>
      </c>
      <c r="K2370" s="42" t="str">
        <f aca="false">IF(INDEX(BookTitle,2365)="","",INDEX(BookInYear,2365))</f>
        <v/>
      </c>
      <c r="L2370" s="19"/>
      <c r="M2370" s="39"/>
      <c r="N2370" s="19"/>
      <c r="O2370" s="19"/>
      <c r="P2370" s="43" t="str">
        <f aca="false">IF($E2370="","",IF($L2370="Decline",0,IF($L2370="Approve fewer",IF($M2370="","",$M2370),IF($L2370="","",$I2370))))</f>
        <v/>
      </c>
      <c r="Q2370" s="34" t="str">
        <f aca="false">IF($P2370="","",IF($N2370&lt;&gt;"",$N2370,$J2370))</f>
        <v/>
      </c>
      <c r="R2370" s="35" t="str">
        <f aca="false">IF(OR($P2370="",$Q2370=""),"",INDEX(BookRate,2365)*$P2370*(5-MATCH($Q2370,{"Q1";"Q2";"Q3";"Q4"},0))/4+INDEX(BookOneOff,2365)*$P2370)</f>
        <v/>
      </c>
      <c r="S2370" s="35" t="str">
        <f aca="false">IF($P2370="","",INDEX(BookRate,2365)*$P2370)</f>
        <v/>
      </c>
      <c r="T2370" s="35" t="str">
        <f aca="false">IF($R2370="","",$R2370-$K2370)</f>
        <v/>
      </c>
      <c r="U2370" s="35" t="str">
        <f aca="false">IF(N($P2370)&lt;=0,"",COUNTIF($P$6:$P2370,"&gt;0"))</f>
        <v/>
      </c>
    </row>
    <row r="2371" customFormat="false" ht="15" hidden="false" customHeight="false" outlineLevel="0" collapsed="false">
      <c r="A2371" s="40" t="str">
        <f aca="false">IF(INDEX(BookTitle,2366)="","",INDEX(BookGroup,2366))</f>
        <v/>
      </c>
      <c r="B2371" s="40" t="str">
        <f aca="false">IF(INDEX(BookTitle,2366)="","",INDEX(BookRef,2366))</f>
        <v/>
      </c>
      <c r="C2371" s="40" t="str">
        <f aca="false">IF(INDEX(BookTitle,2366)="","",INDEX(BookDivision,2366))</f>
        <v/>
      </c>
      <c r="D2371" s="40" t="str">
        <f aca="false">IF(INDEX(BookTitle,2366)="","",INDEX(BookUnit,2366))</f>
        <v/>
      </c>
      <c r="E2371" s="40" t="str">
        <f aca="false">IF(INDEX(BookTitle,2366)="","",INDEX(BookTitle,2366))</f>
        <v/>
      </c>
      <c r="F2371" s="40" t="str">
        <f aca="false">IF(INDEX(BookTitle,2366)="","",INDEX(BookLevel,2366))</f>
        <v/>
      </c>
      <c r="G2371" s="40" t="str">
        <f aca="false">IF(INDEX(BookTitle,2366)="","",INDEX(BookCategory,2366))</f>
        <v/>
      </c>
      <c r="H2371" s="40" t="str">
        <f aca="false">IF(INDEX(BookTitle,2366)="","",INDEX(BookRank,2366))</f>
        <v/>
      </c>
      <c r="I2371" s="41" t="str">
        <f aca="false">IF(INDEX(BookTitle,2366)="","",INDEX(BookTotal,2366))</f>
        <v/>
      </c>
      <c r="J2371" s="0" t="str">
        <f aca="false">IF($I2371="","",IF(INDEX(BookQ1,2366)&gt;0,"Q1",IF(INDEX(BookQ2,2366)&gt;0,"Q2",IF(INDEX(BookQ3,2366)&gt;0,"Q3",IF(INDEX(BookQ4,2366)&gt;0,"Q4","")))))</f>
        <v/>
      </c>
      <c r="K2371" s="42" t="str">
        <f aca="false">IF(INDEX(BookTitle,2366)="","",INDEX(BookInYear,2366))</f>
        <v/>
      </c>
      <c r="L2371" s="19"/>
      <c r="M2371" s="39"/>
      <c r="N2371" s="19"/>
      <c r="O2371" s="19"/>
      <c r="P2371" s="43" t="str">
        <f aca="false">IF($E2371="","",IF($L2371="Decline",0,IF($L2371="Approve fewer",IF($M2371="","",$M2371),IF($L2371="","",$I2371))))</f>
        <v/>
      </c>
      <c r="Q2371" s="34" t="str">
        <f aca="false">IF($P2371="","",IF($N2371&lt;&gt;"",$N2371,$J2371))</f>
        <v/>
      </c>
      <c r="R2371" s="35" t="str">
        <f aca="false">IF(OR($P2371="",$Q2371=""),"",INDEX(BookRate,2366)*$P2371*(5-MATCH($Q2371,{"Q1";"Q2";"Q3";"Q4"},0))/4+INDEX(BookOneOff,2366)*$P2371)</f>
        <v/>
      </c>
      <c r="S2371" s="35" t="str">
        <f aca="false">IF($P2371="","",INDEX(BookRate,2366)*$P2371)</f>
        <v/>
      </c>
      <c r="T2371" s="35" t="str">
        <f aca="false">IF($R2371="","",$R2371-$K2371)</f>
        <v/>
      </c>
      <c r="U2371" s="35" t="str">
        <f aca="false">IF(N($P2371)&lt;=0,"",COUNTIF($P$6:$P2371,"&gt;0"))</f>
        <v/>
      </c>
    </row>
    <row r="2372" customFormat="false" ht="15" hidden="false" customHeight="false" outlineLevel="0" collapsed="false">
      <c r="A2372" s="40" t="str">
        <f aca="false">IF(INDEX(BookTitle,2367)="","",INDEX(BookGroup,2367))</f>
        <v/>
      </c>
      <c r="B2372" s="40" t="str">
        <f aca="false">IF(INDEX(BookTitle,2367)="","",INDEX(BookRef,2367))</f>
        <v/>
      </c>
      <c r="C2372" s="40" t="str">
        <f aca="false">IF(INDEX(BookTitle,2367)="","",INDEX(BookDivision,2367))</f>
        <v/>
      </c>
      <c r="D2372" s="40" t="str">
        <f aca="false">IF(INDEX(BookTitle,2367)="","",INDEX(BookUnit,2367))</f>
        <v/>
      </c>
      <c r="E2372" s="40" t="str">
        <f aca="false">IF(INDEX(BookTitle,2367)="","",INDEX(BookTitle,2367))</f>
        <v/>
      </c>
      <c r="F2372" s="40" t="str">
        <f aca="false">IF(INDEX(BookTitle,2367)="","",INDEX(BookLevel,2367))</f>
        <v/>
      </c>
      <c r="G2372" s="40" t="str">
        <f aca="false">IF(INDEX(BookTitle,2367)="","",INDEX(BookCategory,2367))</f>
        <v/>
      </c>
      <c r="H2372" s="40" t="str">
        <f aca="false">IF(INDEX(BookTitle,2367)="","",INDEX(BookRank,2367))</f>
        <v/>
      </c>
      <c r="I2372" s="41" t="str">
        <f aca="false">IF(INDEX(BookTitle,2367)="","",INDEX(BookTotal,2367))</f>
        <v/>
      </c>
      <c r="J2372" s="0" t="str">
        <f aca="false">IF($I2372="","",IF(INDEX(BookQ1,2367)&gt;0,"Q1",IF(INDEX(BookQ2,2367)&gt;0,"Q2",IF(INDEX(BookQ3,2367)&gt;0,"Q3",IF(INDEX(BookQ4,2367)&gt;0,"Q4","")))))</f>
        <v/>
      </c>
      <c r="K2372" s="42" t="str">
        <f aca="false">IF(INDEX(BookTitle,2367)="","",INDEX(BookInYear,2367))</f>
        <v/>
      </c>
      <c r="L2372" s="19"/>
      <c r="M2372" s="39"/>
      <c r="N2372" s="19"/>
      <c r="O2372" s="19"/>
      <c r="P2372" s="43" t="str">
        <f aca="false">IF($E2372="","",IF($L2372="Decline",0,IF($L2372="Approve fewer",IF($M2372="","",$M2372),IF($L2372="","",$I2372))))</f>
        <v/>
      </c>
      <c r="Q2372" s="34" t="str">
        <f aca="false">IF($P2372="","",IF($N2372&lt;&gt;"",$N2372,$J2372))</f>
        <v/>
      </c>
      <c r="R2372" s="35" t="str">
        <f aca="false">IF(OR($P2372="",$Q2372=""),"",INDEX(BookRate,2367)*$P2372*(5-MATCH($Q2372,{"Q1";"Q2";"Q3";"Q4"},0))/4+INDEX(BookOneOff,2367)*$P2372)</f>
        <v/>
      </c>
      <c r="S2372" s="35" t="str">
        <f aca="false">IF($P2372="","",INDEX(BookRate,2367)*$P2372)</f>
        <v/>
      </c>
      <c r="T2372" s="35" t="str">
        <f aca="false">IF($R2372="","",$R2372-$K2372)</f>
        <v/>
      </c>
      <c r="U2372" s="35" t="str">
        <f aca="false">IF(N($P2372)&lt;=0,"",COUNTIF($P$6:$P2372,"&gt;0"))</f>
        <v/>
      </c>
    </row>
    <row r="2373" customFormat="false" ht="15" hidden="false" customHeight="false" outlineLevel="0" collapsed="false">
      <c r="A2373" s="40" t="str">
        <f aca="false">IF(INDEX(BookTitle,2368)="","",INDEX(BookGroup,2368))</f>
        <v/>
      </c>
      <c r="B2373" s="40" t="str">
        <f aca="false">IF(INDEX(BookTitle,2368)="","",INDEX(BookRef,2368))</f>
        <v/>
      </c>
      <c r="C2373" s="40" t="str">
        <f aca="false">IF(INDEX(BookTitle,2368)="","",INDEX(BookDivision,2368))</f>
        <v/>
      </c>
      <c r="D2373" s="40" t="str">
        <f aca="false">IF(INDEX(BookTitle,2368)="","",INDEX(BookUnit,2368))</f>
        <v/>
      </c>
      <c r="E2373" s="40" t="str">
        <f aca="false">IF(INDEX(BookTitle,2368)="","",INDEX(BookTitle,2368))</f>
        <v/>
      </c>
      <c r="F2373" s="40" t="str">
        <f aca="false">IF(INDEX(BookTitle,2368)="","",INDEX(BookLevel,2368))</f>
        <v/>
      </c>
      <c r="G2373" s="40" t="str">
        <f aca="false">IF(INDEX(BookTitle,2368)="","",INDEX(BookCategory,2368))</f>
        <v/>
      </c>
      <c r="H2373" s="40" t="str">
        <f aca="false">IF(INDEX(BookTitle,2368)="","",INDEX(BookRank,2368))</f>
        <v/>
      </c>
      <c r="I2373" s="41" t="str">
        <f aca="false">IF(INDEX(BookTitle,2368)="","",INDEX(BookTotal,2368))</f>
        <v/>
      </c>
      <c r="J2373" s="0" t="str">
        <f aca="false">IF($I2373="","",IF(INDEX(BookQ1,2368)&gt;0,"Q1",IF(INDEX(BookQ2,2368)&gt;0,"Q2",IF(INDEX(BookQ3,2368)&gt;0,"Q3",IF(INDEX(BookQ4,2368)&gt;0,"Q4","")))))</f>
        <v/>
      </c>
      <c r="K2373" s="42" t="str">
        <f aca="false">IF(INDEX(BookTitle,2368)="","",INDEX(BookInYear,2368))</f>
        <v/>
      </c>
      <c r="L2373" s="19"/>
      <c r="M2373" s="39"/>
      <c r="N2373" s="19"/>
      <c r="O2373" s="19"/>
      <c r="P2373" s="43" t="str">
        <f aca="false">IF($E2373="","",IF($L2373="Decline",0,IF($L2373="Approve fewer",IF($M2373="","",$M2373),IF($L2373="","",$I2373))))</f>
        <v/>
      </c>
      <c r="Q2373" s="34" t="str">
        <f aca="false">IF($P2373="","",IF($N2373&lt;&gt;"",$N2373,$J2373))</f>
        <v/>
      </c>
      <c r="R2373" s="35" t="str">
        <f aca="false">IF(OR($P2373="",$Q2373=""),"",INDEX(BookRate,2368)*$P2373*(5-MATCH($Q2373,{"Q1";"Q2";"Q3";"Q4"},0))/4+INDEX(BookOneOff,2368)*$P2373)</f>
        <v/>
      </c>
      <c r="S2373" s="35" t="str">
        <f aca="false">IF($P2373="","",INDEX(BookRate,2368)*$P2373)</f>
        <v/>
      </c>
      <c r="T2373" s="35" t="str">
        <f aca="false">IF($R2373="","",$R2373-$K2373)</f>
        <v/>
      </c>
      <c r="U2373" s="35" t="str">
        <f aca="false">IF(N($P2373)&lt;=0,"",COUNTIF($P$6:$P2373,"&gt;0"))</f>
        <v/>
      </c>
    </row>
    <row r="2374" customFormat="false" ht="15" hidden="false" customHeight="false" outlineLevel="0" collapsed="false">
      <c r="A2374" s="40" t="str">
        <f aca="false">IF(INDEX(BookTitle,2369)="","",INDEX(BookGroup,2369))</f>
        <v/>
      </c>
      <c r="B2374" s="40" t="str">
        <f aca="false">IF(INDEX(BookTitle,2369)="","",INDEX(BookRef,2369))</f>
        <v/>
      </c>
      <c r="C2374" s="40" t="str">
        <f aca="false">IF(INDEX(BookTitle,2369)="","",INDEX(BookDivision,2369))</f>
        <v/>
      </c>
      <c r="D2374" s="40" t="str">
        <f aca="false">IF(INDEX(BookTitle,2369)="","",INDEX(BookUnit,2369))</f>
        <v/>
      </c>
      <c r="E2374" s="40" t="str">
        <f aca="false">IF(INDEX(BookTitle,2369)="","",INDEX(BookTitle,2369))</f>
        <v/>
      </c>
      <c r="F2374" s="40" t="str">
        <f aca="false">IF(INDEX(BookTitle,2369)="","",INDEX(BookLevel,2369))</f>
        <v/>
      </c>
      <c r="G2374" s="40" t="str">
        <f aca="false">IF(INDEX(BookTitle,2369)="","",INDEX(BookCategory,2369))</f>
        <v/>
      </c>
      <c r="H2374" s="40" t="str">
        <f aca="false">IF(INDEX(BookTitle,2369)="","",INDEX(BookRank,2369))</f>
        <v/>
      </c>
      <c r="I2374" s="41" t="str">
        <f aca="false">IF(INDEX(BookTitle,2369)="","",INDEX(BookTotal,2369))</f>
        <v/>
      </c>
      <c r="J2374" s="0" t="str">
        <f aca="false">IF($I2374="","",IF(INDEX(BookQ1,2369)&gt;0,"Q1",IF(INDEX(BookQ2,2369)&gt;0,"Q2",IF(INDEX(BookQ3,2369)&gt;0,"Q3",IF(INDEX(BookQ4,2369)&gt;0,"Q4","")))))</f>
        <v/>
      </c>
      <c r="K2374" s="42" t="str">
        <f aca="false">IF(INDEX(BookTitle,2369)="","",INDEX(BookInYear,2369))</f>
        <v/>
      </c>
      <c r="L2374" s="19"/>
      <c r="M2374" s="39"/>
      <c r="N2374" s="19"/>
      <c r="O2374" s="19"/>
      <c r="P2374" s="43" t="str">
        <f aca="false">IF($E2374="","",IF($L2374="Decline",0,IF($L2374="Approve fewer",IF($M2374="","",$M2374),IF($L2374="","",$I2374))))</f>
        <v/>
      </c>
      <c r="Q2374" s="34" t="str">
        <f aca="false">IF($P2374="","",IF($N2374&lt;&gt;"",$N2374,$J2374))</f>
        <v/>
      </c>
      <c r="R2374" s="35" t="str">
        <f aca="false">IF(OR($P2374="",$Q2374=""),"",INDEX(BookRate,2369)*$P2374*(5-MATCH($Q2374,{"Q1";"Q2";"Q3";"Q4"},0))/4+INDEX(BookOneOff,2369)*$P2374)</f>
        <v/>
      </c>
      <c r="S2374" s="35" t="str">
        <f aca="false">IF($P2374="","",INDEX(BookRate,2369)*$P2374)</f>
        <v/>
      </c>
      <c r="T2374" s="35" t="str">
        <f aca="false">IF($R2374="","",$R2374-$K2374)</f>
        <v/>
      </c>
      <c r="U2374" s="35" t="str">
        <f aca="false">IF(N($P2374)&lt;=0,"",COUNTIF($P$6:$P2374,"&gt;0"))</f>
        <v/>
      </c>
    </row>
    <row r="2375" customFormat="false" ht="15" hidden="false" customHeight="false" outlineLevel="0" collapsed="false">
      <c r="A2375" s="40" t="str">
        <f aca="false">IF(INDEX(BookTitle,2370)="","",INDEX(BookGroup,2370))</f>
        <v/>
      </c>
      <c r="B2375" s="40" t="str">
        <f aca="false">IF(INDEX(BookTitle,2370)="","",INDEX(BookRef,2370))</f>
        <v/>
      </c>
      <c r="C2375" s="40" t="str">
        <f aca="false">IF(INDEX(BookTitle,2370)="","",INDEX(BookDivision,2370))</f>
        <v/>
      </c>
      <c r="D2375" s="40" t="str">
        <f aca="false">IF(INDEX(BookTitle,2370)="","",INDEX(BookUnit,2370))</f>
        <v/>
      </c>
      <c r="E2375" s="40" t="str">
        <f aca="false">IF(INDEX(BookTitle,2370)="","",INDEX(BookTitle,2370))</f>
        <v/>
      </c>
      <c r="F2375" s="40" t="str">
        <f aca="false">IF(INDEX(BookTitle,2370)="","",INDEX(BookLevel,2370))</f>
        <v/>
      </c>
      <c r="G2375" s="40" t="str">
        <f aca="false">IF(INDEX(BookTitle,2370)="","",INDEX(BookCategory,2370))</f>
        <v/>
      </c>
      <c r="H2375" s="40" t="str">
        <f aca="false">IF(INDEX(BookTitle,2370)="","",INDEX(BookRank,2370))</f>
        <v/>
      </c>
      <c r="I2375" s="41" t="str">
        <f aca="false">IF(INDEX(BookTitle,2370)="","",INDEX(BookTotal,2370))</f>
        <v/>
      </c>
      <c r="J2375" s="0" t="str">
        <f aca="false">IF($I2375="","",IF(INDEX(BookQ1,2370)&gt;0,"Q1",IF(INDEX(BookQ2,2370)&gt;0,"Q2",IF(INDEX(BookQ3,2370)&gt;0,"Q3",IF(INDEX(BookQ4,2370)&gt;0,"Q4","")))))</f>
        <v/>
      </c>
      <c r="K2375" s="42" t="str">
        <f aca="false">IF(INDEX(BookTitle,2370)="","",INDEX(BookInYear,2370))</f>
        <v/>
      </c>
      <c r="L2375" s="19"/>
      <c r="M2375" s="39"/>
      <c r="N2375" s="19"/>
      <c r="O2375" s="19"/>
      <c r="P2375" s="43" t="str">
        <f aca="false">IF($E2375="","",IF($L2375="Decline",0,IF($L2375="Approve fewer",IF($M2375="","",$M2375),IF($L2375="","",$I2375))))</f>
        <v/>
      </c>
      <c r="Q2375" s="34" t="str">
        <f aca="false">IF($P2375="","",IF($N2375&lt;&gt;"",$N2375,$J2375))</f>
        <v/>
      </c>
      <c r="R2375" s="35" t="str">
        <f aca="false">IF(OR($P2375="",$Q2375=""),"",INDEX(BookRate,2370)*$P2375*(5-MATCH($Q2375,{"Q1";"Q2";"Q3";"Q4"},0))/4+INDEX(BookOneOff,2370)*$P2375)</f>
        <v/>
      </c>
      <c r="S2375" s="35" t="str">
        <f aca="false">IF($P2375="","",INDEX(BookRate,2370)*$P2375)</f>
        <v/>
      </c>
      <c r="T2375" s="35" t="str">
        <f aca="false">IF($R2375="","",$R2375-$K2375)</f>
        <v/>
      </c>
      <c r="U2375" s="35" t="str">
        <f aca="false">IF(N($P2375)&lt;=0,"",COUNTIF($P$6:$P2375,"&gt;0"))</f>
        <v/>
      </c>
    </row>
    <row r="2376" customFormat="false" ht="15" hidden="false" customHeight="false" outlineLevel="0" collapsed="false">
      <c r="A2376" s="40" t="str">
        <f aca="false">IF(INDEX(BookTitle,2371)="","",INDEX(BookGroup,2371))</f>
        <v/>
      </c>
      <c r="B2376" s="40" t="str">
        <f aca="false">IF(INDEX(BookTitle,2371)="","",INDEX(BookRef,2371))</f>
        <v/>
      </c>
      <c r="C2376" s="40" t="str">
        <f aca="false">IF(INDEX(BookTitle,2371)="","",INDEX(BookDivision,2371))</f>
        <v/>
      </c>
      <c r="D2376" s="40" t="str">
        <f aca="false">IF(INDEX(BookTitle,2371)="","",INDEX(BookUnit,2371))</f>
        <v/>
      </c>
      <c r="E2376" s="40" t="str">
        <f aca="false">IF(INDEX(BookTitle,2371)="","",INDEX(BookTitle,2371))</f>
        <v/>
      </c>
      <c r="F2376" s="40" t="str">
        <f aca="false">IF(INDEX(BookTitle,2371)="","",INDEX(BookLevel,2371))</f>
        <v/>
      </c>
      <c r="G2376" s="40" t="str">
        <f aca="false">IF(INDEX(BookTitle,2371)="","",INDEX(BookCategory,2371))</f>
        <v/>
      </c>
      <c r="H2376" s="40" t="str">
        <f aca="false">IF(INDEX(BookTitle,2371)="","",INDEX(BookRank,2371))</f>
        <v/>
      </c>
      <c r="I2376" s="41" t="str">
        <f aca="false">IF(INDEX(BookTitle,2371)="","",INDEX(BookTotal,2371))</f>
        <v/>
      </c>
      <c r="J2376" s="0" t="str">
        <f aca="false">IF($I2376="","",IF(INDEX(BookQ1,2371)&gt;0,"Q1",IF(INDEX(BookQ2,2371)&gt;0,"Q2",IF(INDEX(BookQ3,2371)&gt;0,"Q3",IF(INDEX(BookQ4,2371)&gt;0,"Q4","")))))</f>
        <v/>
      </c>
      <c r="K2376" s="42" t="str">
        <f aca="false">IF(INDEX(BookTitle,2371)="","",INDEX(BookInYear,2371))</f>
        <v/>
      </c>
      <c r="L2376" s="19"/>
      <c r="M2376" s="39"/>
      <c r="N2376" s="19"/>
      <c r="O2376" s="19"/>
      <c r="P2376" s="43" t="str">
        <f aca="false">IF($E2376="","",IF($L2376="Decline",0,IF($L2376="Approve fewer",IF($M2376="","",$M2376),IF($L2376="","",$I2376))))</f>
        <v/>
      </c>
      <c r="Q2376" s="34" t="str">
        <f aca="false">IF($P2376="","",IF($N2376&lt;&gt;"",$N2376,$J2376))</f>
        <v/>
      </c>
      <c r="R2376" s="35" t="str">
        <f aca="false">IF(OR($P2376="",$Q2376=""),"",INDEX(BookRate,2371)*$P2376*(5-MATCH($Q2376,{"Q1";"Q2";"Q3";"Q4"},0))/4+INDEX(BookOneOff,2371)*$P2376)</f>
        <v/>
      </c>
      <c r="S2376" s="35" t="str">
        <f aca="false">IF($P2376="","",INDEX(BookRate,2371)*$P2376)</f>
        <v/>
      </c>
      <c r="T2376" s="35" t="str">
        <f aca="false">IF($R2376="","",$R2376-$K2376)</f>
        <v/>
      </c>
      <c r="U2376" s="35" t="str">
        <f aca="false">IF(N($P2376)&lt;=0,"",COUNTIF($P$6:$P2376,"&gt;0"))</f>
        <v/>
      </c>
    </row>
    <row r="2377" customFormat="false" ht="15" hidden="false" customHeight="false" outlineLevel="0" collapsed="false">
      <c r="A2377" s="40" t="str">
        <f aca="false">IF(INDEX(BookTitle,2372)="","",INDEX(BookGroup,2372))</f>
        <v/>
      </c>
      <c r="B2377" s="40" t="str">
        <f aca="false">IF(INDEX(BookTitle,2372)="","",INDEX(BookRef,2372))</f>
        <v/>
      </c>
      <c r="C2377" s="40" t="str">
        <f aca="false">IF(INDEX(BookTitle,2372)="","",INDEX(BookDivision,2372))</f>
        <v/>
      </c>
      <c r="D2377" s="40" t="str">
        <f aca="false">IF(INDEX(BookTitle,2372)="","",INDEX(BookUnit,2372))</f>
        <v/>
      </c>
      <c r="E2377" s="40" t="str">
        <f aca="false">IF(INDEX(BookTitle,2372)="","",INDEX(BookTitle,2372))</f>
        <v/>
      </c>
      <c r="F2377" s="40" t="str">
        <f aca="false">IF(INDEX(BookTitle,2372)="","",INDEX(BookLevel,2372))</f>
        <v/>
      </c>
      <c r="G2377" s="40" t="str">
        <f aca="false">IF(INDEX(BookTitle,2372)="","",INDEX(BookCategory,2372))</f>
        <v/>
      </c>
      <c r="H2377" s="40" t="str">
        <f aca="false">IF(INDEX(BookTitle,2372)="","",INDEX(BookRank,2372))</f>
        <v/>
      </c>
      <c r="I2377" s="41" t="str">
        <f aca="false">IF(INDEX(BookTitle,2372)="","",INDEX(BookTotal,2372))</f>
        <v/>
      </c>
      <c r="J2377" s="0" t="str">
        <f aca="false">IF($I2377="","",IF(INDEX(BookQ1,2372)&gt;0,"Q1",IF(INDEX(BookQ2,2372)&gt;0,"Q2",IF(INDEX(BookQ3,2372)&gt;0,"Q3",IF(INDEX(BookQ4,2372)&gt;0,"Q4","")))))</f>
        <v/>
      </c>
      <c r="K2377" s="42" t="str">
        <f aca="false">IF(INDEX(BookTitle,2372)="","",INDEX(BookInYear,2372))</f>
        <v/>
      </c>
      <c r="L2377" s="19"/>
      <c r="M2377" s="39"/>
      <c r="N2377" s="19"/>
      <c r="O2377" s="19"/>
      <c r="P2377" s="43" t="str">
        <f aca="false">IF($E2377="","",IF($L2377="Decline",0,IF($L2377="Approve fewer",IF($M2377="","",$M2377),IF($L2377="","",$I2377))))</f>
        <v/>
      </c>
      <c r="Q2377" s="34" t="str">
        <f aca="false">IF($P2377="","",IF($N2377&lt;&gt;"",$N2377,$J2377))</f>
        <v/>
      </c>
      <c r="R2377" s="35" t="str">
        <f aca="false">IF(OR($P2377="",$Q2377=""),"",INDEX(BookRate,2372)*$P2377*(5-MATCH($Q2377,{"Q1";"Q2";"Q3";"Q4"},0))/4+INDEX(BookOneOff,2372)*$P2377)</f>
        <v/>
      </c>
      <c r="S2377" s="35" t="str">
        <f aca="false">IF($P2377="","",INDEX(BookRate,2372)*$P2377)</f>
        <v/>
      </c>
      <c r="T2377" s="35" t="str">
        <f aca="false">IF($R2377="","",$R2377-$K2377)</f>
        <v/>
      </c>
      <c r="U2377" s="35" t="str">
        <f aca="false">IF(N($P2377)&lt;=0,"",COUNTIF($P$6:$P2377,"&gt;0"))</f>
        <v/>
      </c>
    </row>
    <row r="2378" customFormat="false" ht="15" hidden="false" customHeight="false" outlineLevel="0" collapsed="false">
      <c r="A2378" s="40" t="str">
        <f aca="false">IF(INDEX(BookTitle,2373)="","",INDEX(BookGroup,2373))</f>
        <v/>
      </c>
      <c r="B2378" s="40" t="str">
        <f aca="false">IF(INDEX(BookTitle,2373)="","",INDEX(BookRef,2373))</f>
        <v/>
      </c>
      <c r="C2378" s="40" t="str">
        <f aca="false">IF(INDEX(BookTitle,2373)="","",INDEX(BookDivision,2373))</f>
        <v/>
      </c>
      <c r="D2378" s="40" t="str">
        <f aca="false">IF(INDEX(BookTitle,2373)="","",INDEX(BookUnit,2373))</f>
        <v/>
      </c>
      <c r="E2378" s="40" t="str">
        <f aca="false">IF(INDEX(BookTitle,2373)="","",INDEX(BookTitle,2373))</f>
        <v/>
      </c>
      <c r="F2378" s="40" t="str">
        <f aca="false">IF(INDEX(BookTitle,2373)="","",INDEX(BookLevel,2373))</f>
        <v/>
      </c>
      <c r="G2378" s="40" t="str">
        <f aca="false">IF(INDEX(BookTitle,2373)="","",INDEX(BookCategory,2373))</f>
        <v/>
      </c>
      <c r="H2378" s="40" t="str">
        <f aca="false">IF(INDEX(BookTitle,2373)="","",INDEX(BookRank,2373))</f>
        <v/>
      </c>
      <c r="I2378" s="41" t="str">
        <f aca="false">IF(INDEX(BookTitle,2373)="","",INDEX(BookTotal,2373))</f>
        <v/>
      </c>
      <c r="J2378" s="0" t="str">
        <f aca="false">IF($I2378="","",IF(INDEX(BookQ1,2373)&gt;0,"Q1",IF(INDEX(BookQ2,2373)&gt;0,"Q2",IF(INDEX(BookQ3,2373)&gt;0,"Q3",IF(INDEX(BookQ4,2373)&gt;0,"Q4","")))))</f>
        <v/>
      </c>
      <c r="K2378" s="42" t="str">
        <f aca="false">IF(INDEX(BookTitle,2373)="","",INDEX(BookInYear,2373))</f>
        <v/>
      </c>
      <c r="L2378" s="19"/>
      <c r="M2378" s="39"/>
      <c r="N2378" s="19"/>
      <c r="O2378" s="19"/>
      <c r="P2378" s="43" t="str">
        <f aca="false">IF($E2378="","",IF($L2378="Decline",0,IF($L2378="Approve fewer",IF($M2378="","",$M2378),IF($L2378="","",$I2378))))</f>
        <v/>
      </c>
      <c r="Q2378" s="34" t="str">
        <f aca="false">IF($P2378="","",IF($N2378&lt;&gt;"",$N2378,$J2378))</f>
        <v/>
      </c>
      <c r="R2378" s="35" t="str">
        <f aca="false">IF(OR($P2378="",$Q2378=""),"",INDEX(BookRate,2373)*$P2378*(5-MATCH($Q2378,{"Q1";"Q2";"Q3";"Q4"},0))/4+INDEX(BookOneOff,2373)*$P2378)</f>
        <v/>
      </c>
      <c r="S2378" s="35" t="str">
        <f aca="false">IF($P2378="","",INDEX(BookRate,2373)*$P2378)</f>
        <v/>
      </c>
      <c r="T2378" s="35" t="str">
        <f aca="false">IF($R2378="","",$R2378-$K2378)</f>
        <v/>
      </c>
      <c r="U2378" s="35" t="str">
        <f aca="false">IF(N($P2378)&lt;=0,"",COUNTIF($P$6:$P2378,"&gt;0"))</f>
        <v/>
      </c>
    </row>
    <row r="2379" customFormat="false" ht="15" hidden="false" customHeight="false" outlineLevel="0" collapsed="false">
      <c r="A2379" s="40" t="str">
        <f aca="false">IF(INDEX(BookTitle,2374)="","",INDEX(BookGroup,2374))</f>
        <v/>
      </c>
      <c r="B2379" s="40" t="str">
        <f aca="false">IF(INDEX(BookTitle,2374)="","",INDEX(BookRef,2374))</f>
        <v/>
      </c>
      <c r="C2379" s="40" t="str">
        <f aca="false">IF(INDEX(BookTitle,2374)="","",INDEX(BookDivision,2374))</f>
        <v/>
      </c>
      <c r="D2379" s="40" t="str">
        <f aca="false">IF(INDEX(BookTitle,2374)="","",INDEX(BookUnit,2374))</f>
        <v/>
      </c>
      <c r="E2379" s="40" t="str">
        <f aca="false">IF(INDEX(BookTitle,2374)="","",INDEX(BookTitle,2374))</f>
        <v/>
      </c>
      <c r="F2379" s="40" t="str">
        <f aca="false">IF(INDEX(BookTitle,2374)="","",INDEX(BookLevel,2374))</f>
        <v/>
      </c>
      <c r="G2379" s="40" t="str">
        <f aca="false">IF(INDEX(BookTitle,2374)="","",INDEX(BookCategory,2374))</f>
        <v/>
      </c>
      <c r="H2379" s="40" t="str">
        <f aca="false">IF(INDEX(BookTitle,2374)="","",INDEX(BookRank,2374))</f>
        <v/>
      </c>
      <c r="I2379" s="41" t="str">
        <f aca="false">IF(INDEX(BookTitle,2374)="","",INDEX(BookTotal,2374))</f>
        <v/>
      </c>
      <c r="J2379" s="0" t="str">
        <f aca="false">IF($I2379="","",IF(INDEX(BookQ1,2374)&gt;0,"Q1",IF(INDEX(BookQ2,2374)&gt;0,"Q2",IF(INDEX(BookQ3,2374)&gt;0,"Q3",IF(INDEX(BookQ4,2374)&gt;0,"Q4","")))))</f>
        <v/>
      </c>
      <c r="K2379" s="42" t="str">
        <f aca="false">IF(INDEX(BookTitle,2374)="","",INDEX(BookInYear,2374))</f>
        <v/>
      </c>
      <c r="L2379" s="19"/>
      <c r="M2379" s="39"/>
      <c r="N2379" s="19"/>
      <c r="O2379" s="19"/>
      <c r="P2379" s="43" t="str">
        <f aca="false">IF($E2379="","",IF($L2379="Decline",0,IF($L2379="Approve fewer",IF($M2379="","",$M2379),IF($L2379="","",$I2379))))</f>
        <v/>
      </c>
      <c r="Q2379" s="34" t="str">
        <f aca="false">IF($P2379="","",IF($N2379&lt;&gt;"",$N2379,$J2379))</f>
        <v/>
      </c>
      <c r="R2379" s="35" t="str">
        <f aca="false">IF(OR($P2379="",$Q2379=""),"",INDEX(BookRate,2374)*$P2379*(5-MATCH($Q2379,{"Q1";"Q2";"Q3";"Q4"},0))/4+INDEX(BookOneOff,2374)*$P2379)</f>
        <v/>
      </c>
      <c r="S2379" s="35" t="str">
        <f aca="false">IF($P2379="","",INDEX(BookRate,2374)*$P2379)</f>
        <v/>
      </c>
      <c r="T2379" s="35" t="str">
        <f aca="false">IF($R2379="","",$R2379-$K2379)</f>
        <v/>
      </c>
      <c r="U2379" s="35" t="str">
        <f aca="false">IF(N($P2379)&lt;=0,"",COUNTIF($P$6:$P2379,"&gt;0"))</f>
        <v/>
      </c>
    </row>
    <row r="2380" customFormat="false" ht="15" hidden="false" customHeight="false" outlineLevel="0" collapsed="false">
      <c r="A2380" s="40" t="str">
        <f aca="false">IF(INDEX(BookTitle,2375)="","",INDEX(BookGroup,2375))</f>
        <v/>
      </c>
      <c r="B2380" s="40" t="str">
        <f aca="false">IF(INDEX(BookTitle,2375)="","",INDEX(BookRef,2375))</f>
        <v/>
      </c>
      <c r="C2380" s="40" t="str">
        <f aca="false">IF(INDEX(BookTitle,2375)="","",INDEX(BookDivision,2375))</f>
        <v/>
      </c>
      <c r="D2380" s="40" t="str">
        <f aca="false">IF(INDEX(BookTitle,2375)="","",INDEX(BookUnit,2375))</f>
        <v/>
      </c>
      <c r="E2380" s="40" t="str">
        <f aca="false">IF(INDEX(BookTitle,2375)="","",INDEX(BookTitle,2375))</f>
        <v/>
      </c>
      <c r="F2380" s="40" t="str">
        <f aca="false">IF(INDEX(BookTitle,2375)="","",INDEX(BookLevel,2375))</f>
        <v/>
      </c>
      <c r="G2380" s="40" t="str">
        <f aca="false">IF(INDEX(BookTitle,2375)="","",INDEX(BookCategory,2375))</f>
        <v/>
      </c>
      <c r="H2380" s="40" t="str">
        <f aca="false">IF(INDEX(BookTitle,2375)="","",INDEX(BookRank,2375))</f>
        <v/>
      </c>
      <c r="I2380" s="41" t="str">
        <f aca="false">IF(INDEX(BookTitle,2375)="","",INDEX(BookTotal,2375))</f>
        <v/>
      </c>
      <c r="J2380" s="0" t="str">
        <f aca="false">IF($I2380="","",IF(INDEX(BookQ1,2375)&gt;0,"Q1",IF(INDEX(BookQ2,2375)&gt;0,"Q2",IF(INDEX(BookQ3,2375)&gt;0,"Q3",IF(INDEX(BookQ4,2375)&gt;0,"Q4","")))))</f>
        <v/>
      </c>
      <c r="K2380" s="42" t="str">
        <f aca="false">IF(INDEX(BookTitle,2375)="","",INDEX(BookInYear,2375))</f>
        <v/>
      </c>
      <c r="L2380" s="19"/>
      <c r="M2380" s="39"/>
      <c r="N2380" s="19"/>
      <c r="O2380" s="19"/>
      <c r="P2380" s="43" t="str">
        <f aca="false">IF($E2380="","",IF($L2380="Decline",0,IF($L2380="Approve fewer",IF($M2380="","",$M2380),IF($L2380="","",$I2380))))</f>
        <v/>
      </c>
      <c r="Q2380" s="34" t="str">
        <f aca="false">IF($P2380="","",IF($N2380&lt;&gt;"",$N2380,$J2380))</f>
        <v/>
      </c>
      <c r="R2380" s="35" t="str">
        <f aca="false">IF(OR($P2380="",$Q2380=""),"",INDEX(BookRate,2375)*$P2380*(5-MATCH($Q2380,{"Q1";"Q2";"Q3";"Q4"},0))/4+INDEX(BookOneOff,2375)*$P2380)</f>
        <v/>
      </c>
      <c r="S2380" s="35" t="str">
        <f aca="false">IF($P2380="","",INDEX(BookRate,2375)*$P2380)</f>
        <v/>
      </c>
      <c r="T2380" s="35" t="str">
        <f aca="false">IF($R2380="","",$R2380-$K2380)</f>
        <v/>
      </c>
      <c r="U2380" s="35" t="str">
        <f aca="false">IF(N($P2380)&lt;=0,"",COUNTIF($P$6:$P2380,"&gt;0"))</f>
        <v/>
      </c>
    </row>
    <row r="2381" customFormat="false" ht="15" hidden="false" customHeight="false" outlineLevel="0" collapsed="false">
      <c r="A2381" s="40" t="str">
        <f aca="false">IF(INDEX(BookTitle,2376)="","",INDEX(BookGroup,2376))</f>
        <v/>
      </c>
      <c r="B2381" s="40" t="str">
        <f aca="false">IF(INDEX(BookTitle,2376)="","",INDEX(BookRef,2376))</f>
        <v/>
      </c>
      <c r="C2381" s="40" t="str">
        <f aca="false">IF(INDEX(BookTitle,2376)="","",INDEX(BookDivision,2376))</f>
        <v/>
      </c>
      <c r="D2381" s="40" t="str">
        <f aca="false">IF(INDEX(BookTitle,2376)="","",INDEX(BookUnit,2376))</f>
        <v/>
      </c>
      <c r="E2381" s="40" t="str">
        <f aca="false">IF(INDEX(BookTitle,2376)="","",INDEX(BookTitle,2376))</f>
        <v/>
      </c>
      <c r="F2381" s="40" t="str">
        <f aca="false">IF(INDEX(BookTitle,2376)="","",INDEX(BookLevel,2376))</f>
        <v/>
      </c>
      <c r="G2381" s="40" t="str">
        <f aca="false">IF(INDEX(BookTitle,2376)="","",INDEX(BookCategory,2376))</f>
        <v/>
      </c>
      <c r="H2381" s="40" t="str">
        <f aca="false">IF(INDEX(BookTitle,2376)="","",INDEX(BookRank,2376))</f>
        <v/>
      </c>
      <c r="I2381" s="41" t="str">
        <f aca="false">IF(INDEX(BookTitle,2376)="","",INDEX(BookTotal,2376))</f>
        <v/>
      </c>
      <c r="J2381" s="0" t="str">
        <f aca="false">IF($I2381="","",IF(INDEX(BookQ1,2376)&gt;0,"Q1",IF(INDEX(BookQ2,2376)&gt;0,"Q2",IF(INDEX(BookQ3,2376)&gt;0,"Q3",IF(INDEX(BookQ4,2376)&gt;0,"Q4","")))))</f>
        <v/>
      </c>
      <c r="K2381" s="42" t="str">
        <f aca="false">IF(INDEX(BookTitle,2376)="","",INDEX(BookInYear,2376))</f>
        <v/>
      </c>
      <c r="L2381" s="19"/>
      <c r="M2381" s="39"/>
      <c r="N2381" s="19"/>
      <c r="O2381" s="19"/>
      <c r="P2381" s="43" t="str">
        <f aca="false">IF($E2381="","",IF($L2381="Decline",0,IF($L2381="Approve fewer",IF($M2381="","",$M2381),IF($L2381="","",$I2381))))</f>
        <v/>
      </c>
      <c r="Q2381" s="34" t="str">
        <f aca="false">IF($P2381="","",IF($N2381&lt;&gt;"",$N2381,$J2381))</f>
        <v/>
      </c>
      <c r="R2381" s="35" t="str">
        <f aca="false">IF(OR($P2381="",$Q2381=""),"",INDEX(BookRate,2376)*$P2381*(5-MATCH($Q2381,{"Q1";"Q2";"Q3";"Q4"},0))/4+INDEX(BookOneOff,2376)*$P2381)</f>
        <v/>
      </c>
      <c r="S2381" s="35" t="str">
        <f aca="false">IF($P2381="","",INDEX(BookRate,2376)*$P2381)</f>
        <v/>
      </c>
      <c r="T2381" s="35" t="str">
        <f aca="false">IF($R2381="","",$R2381-$K2381)</f>
        <v/>
      </c>
      <c r="U2381" s="35" t="str">
        <f aca="false">IF(N($P2381)&lt;=0,"",COUNTIF($P$6:$P2381,"&gt;0"))</f>
        <v/>
      </c>
    </row>
    <row r="2382" customFormat="false" ht="15" hidden="false" customHeight="false" outlineLevel="0" collapsed="false">
      <c r="A2382" s="40" t="str">
        <f aca="false">IF(INDEX(BookTitle,2377)="","",INDEX(BookGroup,2377))</f>
        <v/>
      </c>
      <c r="B2382" s="40" t="str">
        <f aca="false">IF(INDEX(BookTitle,2377)="","",INDEX(BookRef,2377))</f>
        <v/>
      </c>
      <c r="C2382" s="40" t="str">
        <f aca="false">IF(INDEX(BookTitle,2377)="","",INDEX(BookDivision,2377))</f>
        <v/>
      </c>
      <c r="D2382" s="40" t="str">
        <f aca="false">IF(INDEX(BookTitle,2377)="","",INDEX(BookUnit,2377))</f>
        <v/>
      </c>
      <c r="E2382" s="40" t="str">
        <f aca="false">IF(INDEX(BookTitle,2377)="","",INDEX(BookTitle,2377))</f>
        <v/>
      </c>
      <c r="F2382" s="40" t="str">
        <f aca="false">IF(INDEX(BookTitle,2377)="","",INDEX(BookLevel,2377))</f>
        <v/>
      </c>
      <c r="G2382" s="40" t="str">
        <f aca="false">IF(INDEX(BookTitle,2377)="","",INDEX(BookCategory,2377))</f>
        <v/>
      </c>
      <c r="H2382" s="40" t="str">
        <f aca="false">IF(INDEX(BookTitle,2377)="","",INDEX(BookRank,2377))</f>
        <v/>
      </c>
      <c r="I2382" s="41" t="str">
        <f aca="false">IF(INDEX(BookTitle,2377)="","",INDEX(BookTotal,2377))</f>
        <v/>
      </c>
      <c r="J2382" s="0" t="str">
        <f aca="false">IF($I2382="","",IF(INDEX(BookQ1,2377)&gt;0,"Q1",IF(INDEX(BookQ2,2377)&gt;0,"Q2",IF(INDEX(BookQ3,2377)&gt;0,"Q3",IF(INDEX(BookQ4,2377)&gt;0,"Q4","")))))</f>
        <v/>
      </c>
      <c r="K2382" s="42" t="str">
        <f aca="false">IF(INDEX(BookTitle,2377)="","",INDEX(BookInYear,2377))</f>
        <v/>
      </c>
      <c r="L2382" s="19"/>
      <c r="M2382" s="39"/>
      <c r="N2382" s="19"/>
      <c r="O2382" s="19"/>
      <c r="P2382" s="43" t="str">
        <f aca="false">IF($E2382="","",IF($L2382="Decline",0,IF($L2382="Approve fewer",IF($M2382="","",$M2382),IF($L2382="","",$I2382))))</f>
        <v/>
      </c>
      <c r="Q2382" s="34" t="str">
        <f aca="false">IF($P2382="","",IF($N2382&lt;&gt;"",$N2382,$J2382))</f>
        <v/>
      </c>
      <c r="R2382" s="35" t="str">
        <f aca="false">IF(OR($P2382="",$Q2382=""),"",INDEX(BookRate,2377)*$P2382*(5-MATCH($Q2382,{"Q1";"Q2";"Q3";"Q4"},0))/4+INDEX(BookOneOff,2377)*$P2382)</f>
        <v/>
      </c>
      <c r="S2382" s="35" t="str">
        <f aca="false">IF($P2382="","",INDEX(BookRate,2377)*$P2382)</f>
        <v/>
      </c>
      <c r="T2382" s="35" t="str">
        <f aca="false">IF($R2382="","",$R2382-$K2382)</f>
        <v/>
      </c>
      <c r="U2382" s="35" t="str">
        <f aca="false">IF(N($P2382)&lt;=0,"",COUNTIF($P$6:$P2382,"&gt;0"))</f>
        <v/>
      </c>
    </row>
    <row r="2383" customFormat="false" ht="15" hidden="false" customHeight="false" outlineLevel="0" collapsed="false">
      <c r="A2383" s="40" t="str">
        <f aca="false">IF(INDEX(BookTitle,2378)="","",INDEX(BookGroup,2378))</f>
        <v/>
      </c>
      <c r="B2383" s="40" t="str">
        <f aca="false">IF(INDEX(BookTitle,2378)="","",INDEX(BookRef,2378))</f>
        <v/>
      </c>
      <c r="C2383" s="40" t="str">
        <f aca="false">IF(INDEX(BookTitle,2378)="","",INDEX(BookDivision,2378))</f>
        <v/>
      </c>
      <c r="D2383" s="40" t="str">
        <f aca="false">IF(INDEX(BookTitle,2378)="","",INDEX(BookUnit,2378))</f>
        <v/>
      </c>
      <c r="E2383" s="40" t="str">
        <f aca="false">IF(INDEX(BookTitle,2378)="","",INDEX(BookTitle,2378))</f>
        <v/>
      </c>
      <c r="F2383" s="40" t="str">
        <f aca="false">IF(INDEX(BookTitle,2378)="","",INDEX(BookLevel,2378))</f>
        <v/>
      </c>
      <c r="G2383" s="40" t="str">
        <f aca="false">IF(INDEX(BookTitle,2378)="","",INDEX(BookCategory,2378))</f>
        <v/>
      </c>
      <c r="H2383" s="40" t="str">
        <f aca="false">IF(INDEX(BookTitle,2378)="","",INDEX(BookRank,2378))</f>
        <v/>
      </c>
      <c r="I2383" s="41" t="str">
        <f aca="false">IF(INDEX(BookTitle,2378)="","",INDEX(BookTotal,2378))</f>
        <v/>
      </c>
      <c r="J2383" s="0" t="str">
        <f aca="false">IF($I2383="","",IF(INDEX(BookQ1,2378)&gt;0,"Q1",IF(INDEX(BookQ2,2378)&gt;0,"Q2",IF(INDEX(BookQ3,2378)&gt;0,"Q3",IF(INDEX(BookQ4,2378)&gt;0,"Q4","")))))</f>
        <v/>
      </c>
      <c r="K2383" s="42" t="str">
        <f aca="false">IF(INDEX(BookTitle,2378)="","",INDEX(BookInYear,2378))</f>
        <v/>
      </c>
      <c r="L2383" s="19"/>
      <c r="M2383" s="39"/>
      <c r="N2383" s="19"/>
      <c r="O2383" s="19"/>
      <c r="P2383" s="43" t="str">
        <f aca="false">IF($E2383="","",IF($L2383="Decline",0,IF($L2383="Approve fewer",IF($M2383="","",$M2383),IF($L2383="","",$I2383))))</f>
        <v/>
      </c>
      <c r="Q2383" s="34" t="str">
        <f aca="false">IF($P2383="","",IF($N2383&lt;&gt;"",$N2383,$J2383))</f>
        <v/>
      </c>
      <c r="R2383" s="35" t="str">
        <f aca="false">IF(OR($P2383="",$Q2383=""),"",INDEX(BookRate,2378)*$P2383*(5-MATCH($Q2383,{"Q1";"Q2";"Q3";"Q4"},0))/4+INDEX(BookOneOff,2378)*$P2383)</f>
        <v/>
      </c>
      <c r="S2383" s="35" t="str">
        <f aca="false">IF($P2383="","",INDEX(BookRate,2378)*$P2383)</f>
        <v/>
      </c>
      <c r="T2383" s="35" t="str">
        <f aca="false">IF($R2383="","",$R2383-$K2383)</f>
        <v/>
      </c>
      <c r="U2383" s="35" t="str">
        <f aca="false">IF(N($P2383)&lt;=0,"",COUNTIF($P$6:$P2383,"&gt;0"))</f>
        <v/>
      </c>
    </row>
    <row r="2384" customFormat="false" ht="15" hidden="false" customHeight="false" outlineLevel="0" collapsed="false">
      <c r="A2384" s="40" t="str">
        <f aca="false">IF(INDEX(BookTitle,2379)="","",INDEX(BookGroup,2379))</f>
        <v/>
      </c>
      <c r="B2384" s="40" t="str">
        <f aca="false">IF(INDEX(BookTitle,2379)="","",INDEX(BookRef,2379))</f>
        <v/>
      </c>
      <c r="C2384" s="40" t="str">
        <f aca="false">IF(INDEX(BookTitle,2379)="","",INDEX(BookDivision,2379))</f>
        <v/>
      </c>
      <c r="D2384" s="40" t="str">
        <f aca="false">IF(INDEX(BookTitle,2379)="","",INDEX(BookUnit,2379))</f>
        <v/>
      </c>
      <c r="E2384" s="40" t="str">
        <f aca="false">IF(INDEX(BookTitle,2379)="","",INDEX(BookTitle,2379))</f>
        <v/>
      </c>
      <c r="F2384" s="40" t="str">
        <f aca="false">IF(INDEX(BookTitle,2379)="","",INDEX(BookLevel,2379))</f>
        <v/>
      </c>
      <c r="G2384" s="40" t="str">
        <f aca="false">IF(INDEX(BookTitle,2379)="","",INDEX(BookCategory,2379))</f>
        <v/>
      </c>
      <c r="H2384" s="40" t="str">
        <f aca="false">IF(INDEX(BookTitle,2379)="","",INDEX(BookRank,2379))</f>
        <v/>
      </c>
      <c r="I2384" s="41" t="str">
        <f aca="false">IF(INDEX(BookTitle,2379)="","",INDEX(BookTotal,2379))</f>
        <v/>
      </c>
      <c r="J2384" s="0" t="str">
        <f aca="false">IF($I2384="","",IF(INDEX(BookQ1,2379)&gt;0,"Q1",IF(INDEX(BookQ2,2379)&gt;0,"Q2",IF(INDEX(BookQ3,2379)&gt;0,"Q3",IF(INDEX(BookQ4,2379)&gt;0,"Q4","")))))</f>
        <v/>
      </c>
      <c r="K2384" s="42" t="str">
        <f aca="false">IF(INDEX(BookTitle,2379)="","",INDEX(BookInYear,2379))</f>
        <v/>
      </c>
      <c r="L2384" s="19"/>
      <c r="M2384" s="39"/>
      <c r="N2384" s="19"/>
      <c r="O2384" s="19"/>
      <c r="P2384" s="43" t="str">
        <f aca="false">IF($E2384="","",IF($L2384="Decline",0,IF($L2384="Approve fewer",IF($M2384="","",$M2384),IF($L2384="","",$I2384))))</f>
        <v/>
      </c>
      <c r="Q2384" s="34" t="str">
        <f aca="false">IF($P2384="","",IF($N2384&lt;&gt;"",$N2384,$J2384))</f>
        <v/>
      </c>
      <c r="R2384" s="35" t="str">
        <f aca="false">IF(OR($P2384="",$Q2384=""),"",INDEX(BookRate,2379)*$P2384*(5-MATCH($Q2384,{"Q1";"Q2";"Q3";"Q4"},0))/4+INDEX(BookOneOff,2379)*$P2384)</f>
        <v/>
      </c>
      <c r="S2384" s="35" t="str">
        <f aca="false">IF($P2384="","",INDEX(BookRate,2379)*$P2384)</f>
        <v/>
      </c>
      <c r="T2384" s="35" t="str">
        <f aca="false">IF($R2384="","",$R2384-$K2384)</f>
        <v/>
      </c>
      <c r="U2384" s="35" t="str">
        <f aca="false">IF(N($P2384)&lt;=0,"",COUNTIF($P$6:$P2384,"&gt;0"))</f>
        <v/>
      </c>
    </row>
    <row r="2385" customFormat="false" ht="15" hidden="false" customHeight="false" outlineLevel="0" collapsed="false">
      <c r="A2385" s="40" t="str">
        <f aca="false">IF(INDEX(BookTitle,2380)="","",INDEX(BookGroup,2380))</f>
        <v/>
      </c>
      <c r="B2385" s="40" t="str">
        <f aca="false">IF(INDEX(BookTitle,2380)="","",INDEX(BookRef,2380))</f>
        <v/>
      </c>
      <c r="C2385" s="40" t="str">
        <f aca="false">IF(INDEX(BookTitle,2380)="","",INDEX(BookDivision,2380))</f>
        <v/>
      </c>
      <c r="D2385" s="40" t="str">
        <f aca="false">IF(INDEX(BookTitle,2380)="","",INDEX(BookUnit,2380))</f>
        <v/>
      </c>
      <c r="E2385" s="40" t="str">
        <f aca="false">IF(INDEX(BookTitle,2380)="","",INDEX(BookTitle,2380))</f>
        <v/>
      </c>
      <c r="F2385" s="40" t="str">
        <f aca="false">IF(INDEX(BookTitle,2380)="","",INDEX(BookLevel,2380))</f>
        <v/>
      </c>
      <c r="G2385" s="40" t="str">
        <f aca="false">IF(INDEX(BookTitle,2380)="","",INDEX(BookCategory,2380))</f>
        <v/>
      </c>
      <c r="H2385" s="40" t="str">
        <f aca="false">IF(INDEX(BookTitle,2380)="","",INDEX(BookRank,2380))</f>
        <v/>
      </c>
      <c r="I2385" s="41" t="str">
        <f aca="false">IF(INDEX(BookTitle,2380)="","",INDEX(BookTotal,2380))</f>
        <v/>
      </c>
      <c r="J2385" s="0" t="str">
        <f aca="false">IF($I2385="","",IF(INDEX(BookQ1,2380)&gt;0,"Q1",IF(INDEX(BookQ2,2380)&gt;0,"Q2",IF(INDEX(BookQ3,2380)&gt;0,"Q3",IF(INDEX(BookQ4,2380)&gt;0,"Q4","")))))</f>
        <v/>
      </c>
      <c r="K2385" s="42" t="str">
        <f aca="false">IF(INDEX(BookTitle,2380)="","",INDEX(BookInYear,2380))</f>
        <v/>
      </c>
      <c r="L2385" s="19"/>
      <c r="M2385" s="39"/>
      <c r="N2385" s="19"/>
      <c r="O2385" s="19"/>
      <c r="P2385" s="43" t="str">
        <f aca="false">IF($E2385="","",IF($L2385="Decline",0,IF($L2385="Approve fewer",IF($M2385="","",$M2385),IF($L2385="","",$I2385))))</f>
        <v/>
      </c>
      <c r="Q2385" s="34" t="str">
        <f aca="false">IF($P2385="","",IF($N2385&lt;&gt;"",$N2385,$J2385))</f>
        <v/>
      </c>
      <c r="R2385" s="35" t="str">
        <f aca="false">IF(OR($P2385="",$Q2385=""),"",INDEX(BookRate,2380)*$P2385*(5-MATCH($Q2385,{"Q1";"Q2";"Q3";"Q4"},0))/4+INDEX(BookOneOff,2380)*$P2385)</f>
        <v/>
      </c>
      <c r="S2385" s="35" t="str">
        <f aca="false">IF($P2385="","",INDEX(BookRate,2380)*$P2385)</f>
        <v/>
      </c>
      <c r="T2385" s="35" t="str">
        <f aca="false">IF($R2385="","",$R2385-$K2385)</f>
        <v/>
      </c>
      <c r="U2385" s="35" t="str">
        <f aca="false">IF(N($P2385)&lt;=0,"",COUNTIF($P$6:$P2385,"&gt;0"))</f>
        <v/>
      </c>
    </row>
    <row r="2386" customFormat="false" ht="15" hidden="false" customHeight="false" outlineLevel="0" collapsed="false">
      <c r="A2386" s="40" t="str">
        <f aca="false">IF(INDEX(BookTitle,2381)="","",INDEX(BookGroup,2381))</f>
        <v/>
      </c>
      <c r="B2386" s="40" t="str">
        <f aca="false">IF(INDEX(BookTitle,2381)="","",INDEX(BookRef,2381))</f>
        <v/>
      </c>
      <c r="C2386" s="40" t="str">
        <f aca="false">IF(INDEX(BookTitle,2381)="","",INDEX(BookDivision,2381))</f>
        <v/>
      </c>
      <c r="D2386" s="40" t="str">
        <f aca="false">IF(INDEX(BookTitle,2381)="","",INDEX(BookUnit,2381))</f>
        <v/>
      </c>
      <c r="E2386" s="40" t="str">
        <f aca="false">IF(INDEX(BookTitle,2381)="","",INDEX(BookTitle,2381))</f>
        <v/>
      </c>
      <c r="F2386" s="40" t="str">
        <f aca="false">IF(INDEX(BookTitle,2381)="","",INDEX(BookLevel,2381))</f>
        <v/>
      </c>
      <c r="G2386" s="40" t="str">
        <f aca="false">IF(INDEX(BookTitle,2381)="","",INDEX(BookCategory,2381))</f>
        <v/>
      </c>
      <c r="H2386" s="40" t="str">
        <f aca="false">IF(INDEX(BookTitle,2381)="","",INDEX(BookRank,2381))</f>
        <v/>
      </c>
      <c r="I2386" s="41" t="str">
        <f aca="false">IF(INDEX(BookTitle,2381)="","",INDEX(BookTotal,2381))</f>
        <v/>
      </c>
      <c r="J2386" s="0" t="str">
        <f aca="false">IF($I2386="","",IF(INDEX(BookQ1,2381)&gt;0,"Q1",IF(INDEX(BookQ2,2381)&gt;0,"Q2",IF(INDEX(BookQ3,2381)&gt;0,"Q3",IF(INDEX(BookQ4,2381)&gt;0,"Q4","")))))</f>
        <v/>
      </c>
      <c r="K2386" s="42" t="str">
        <f aca="false">IF(INDEX(BookTitle,2381)="","",INDEX(BookInYear,2381))</f>
        <v/>
      </c>
      <c r="L2386" s="19"/>
      <c r="M2386" s="39"/>
      <c r="N2386" s="19"/>
      <c r="O2386" s="19"/>
      <c r="P2386" s="43" t="str">
        <f aca="false">IF($E2386="","",IF($L2386="Decline",0,IF($L2386="Approve fewer",IF($M2386="","",$M2386),IF($L2386="","",$I2386))))</f>
        <v/>
      </c>
      <c r="Q2386" s="34" t="str">
        <f aca="false">IF($P2386="","",IF($N2386&lt;&gt;"",$N2386,$J2386))</f>
        <v/>
      </c>
      <c r="R2386" s="35" t="str">
        <f aca="false">IF(OR($P2386="",$Q2386=""),"",INDEX(BookRate,2381)*$P2386*(5-MATCH($Q2386,{"Q1";"Q2";"Q3";"Q4"},0))/4+INDEX(BookOneOff,2381)*$P2386)</f>
        <v/>
      </c>
      <c r="S2386" s="35" t="str">
        <f aca="false">IF($P2386="","",INDEX(BookRate,2381)*$P2386)</f>
        <v/>
      </c>
      <c r="T2386" s="35" t="str">
        <f aca="false">IF($R2386="","",$R2386-$K2386)</f>
        <v/>
      </c>
      <c r="U2386" s="35" t="str">
        <f aca="false">IF(N($P2386)&lt;=0,"",COUNTIF($P$6:$P2386,"&gt;0"))</f>
        <v/>
      </c>
    </row>
    <row r="2387" customFormat="false" ht="15" hidden="false" customHeight="false" outlineLevel="0" collapsed="false">
      <c r="A2387" s="40" t="str">
        <f aca="false">IF(INDEX(BookTitle,2382)="","",INDEX(BookGroup,2382))</f>
        <v/>
      </c>
      <c r="B2387" s="40" t="str">
        <f aca="false">IF(INDEX(BookTitle,2382)="","",INDEX(BookRef,2382))</f>
        <v/>
      </c>
      <c r="C2387" s="40" t="str">
        <f aca="false">IF(INDEX(BookTitle,2382)="","",INDEX(BookDivision,2382))</f>
        <v/>
      </c>
      <c r="D2387" s="40" t="str">
        <f aca="false">IF(INDEX(BookTitle,2382)="","",INDEX(BookUnit,2382))</f>
        <v/>
      </c>
      <c r="E2387" s="40" t="str">
        <f aca="false">IF(INDEX(BookTitle,2382)="","",INDEX(BookTitle,2382))</f>
        <v/>
      </c>
      <c r="F2387" s="40" t="str">
        <f aca="false">IF(INDEX(BookTitle,2382)="","",INDEX(BookLevel,2382))</f>
        <v/>
      </c>
      <c r="G2387" s="40" t="str">
        <f aca="false">IF(INDEX(BookTitle,2382)="","",INDEX(BookCategory,2382))</f>
        <v/>
      </c>
      <c r="H2387" s="40" t="str">
        <f aca="false">IF(INDEX(BookTitle,2382)="","",INDEX(BookRank,2382))</f>
        <v/>
      </c>
      <c r="I2387" s="41" t="str">
        <f aca="false">IF(INDEX(BookTitle,2382)="","",INDEX(BookTotal,2382))</f>
        <v/>
      </c>
      <c r="J2387" s="0" t="str">
        <f aca="false">IF($I2387="","",IF(INDEX(BookQ1,2382)&gt;0,"Q1",IF(INDEX(BookQ2,2382)&gt;0,"Q2",IF(INDEX(BookQ3,2382)&gt;0,"Q3",IF(INDEX(BookQ4,2382)&gt;0,"Q4","")))))</f>
        <v/>
      </c>
      <c r="K2387" s="42" t="str">
        <f aca="false">IF(INDEX(BookTitle,2382)="","",INDEX(BookInYear,2382))</f>
        <v/>
      </c>
      <c r="L2387" s="19"/>
      <c r="M2387" s="39"/>
      <c r="N2387" s="19"/>
      <c r="O2387" s="19"/>
      <c r="P2387" s="43" t="str">
        <f aca="false">IF($E2387="","",IF($L2387="Decline",0,IF($L2387="Approve fewer",IF($M2387="","",$M2387),IF($L2387="","",$I2387))))</f>
        <v/>
      </c>
      <c r="Q2387" s="34" t="str">
        <f aca="false">IF($P2387="","",IF($N2387&lt;&gt;"",$N2387,$J2387))</f>
        <v/>
      </c>
      <c r="R2387" s="35" t="str">
        <f aca="false">IF(OR($P2387="",$Q2387=""),"",INDEX(BookRate,2382)*$P2387*(5-MATCH($Q2387,{"Q1";"Q2";"Q3";"Q4"},0))/4+INDEX(BookOneOff,2382)*$P2387)</f>
        <v/>
      </c>
      <c r="S2387" s="35" t="str">
        <f aca="false">IF($P2387="","",INDEX(BookRate,2382)*$P2387)</f>
        <v/>
      </c>
      <c r="T2387" s="35" t="str">
        <f aca="false">IF($R2387="","",$R2387-$K2387)</f>
        <v/>
      </c>
      <c r="U2387" s="35" t="str">
        <f aca="false">IF(N($P2387)&lt;=0,"",COUNTIF($P$6:$P2387,"&gt;0"))</f>
        <v/>
      </c>
    </row>
    <row r="2388" customFormat="false" ht="15" hidden="false" customHeight="false" outlineLevel="0" collapsed="false">
      <c r="A2388" s="40" t="str">
        <f aca="false">IF(INDEX(BookTitle,2383)="","",INDEX(BookGroup,2383))</f>
        <v/>
      </c>
      <c r="B2388" s="40" t="str">
        <f aca="false">IF(INDEX(BookTitle,2383)="","",INDEX(BookRef,2383))</f>
        <v/>
      </c>
      <c r="C2388" s="40" t="str">
        <f aca="false">IF(INDEX(BookTitle,2383)="","",INDEX(BookDivision,2383))</f>
        <v/>
      </c>
      <c r="D2388" s="40" t="str">
        <f aca="false">IF(INDEX(BookTitle,2383)="","",INDEX(BookUnit,2383))</f>
        <v/>
      </c>
      <c r="E2388" s="40" t="str">
        <f aca="false">IF(INDEX(BookTitle,2383)="","",INDEX(BookTitle,2383))</f>
        <v/>
      </c>
      <c r="F2388" s="40" t="str">
        <f aca="false">IF(INDEX(BookTitle,2383)="","",INDEX(BookLevel,2383))</f>
        <v/>
      </c>
      <c r="G2388" s="40" t="str">
        <f aca="false">IF(INDEX(BookTitle,2383)="","",INDEX(BookCategory,2383))</f>
        <v/>
      </c>
      <c r="H2388" s="40" t="str">
        <f aca="false">IF(INDEX(BookTitle,2383)="","",INDEX(BookRank,2383))</f>
        <v/>
      </c>
      <c r="I2388" s="41" t="str">
        <f aca="false">IF(INDEX(BookTitle,2383)="","",INDEX(BookTotal,2383))</f>
        <v/>
      </c>
      <c r="J2388" s="0" t="str">
        <f aca="false">IF($I2388="","",IF(INDEX(BookQ1,2383)&gt;0,"Q1",IF(INDEX(BookQ2,2383)&gt;0,"Q2",IF(INDEX(BookQ3,2383)&gt;0,"Q3",IF(INDEX(BookQ4,2383)&gt;0,"Q4","")))))</f>
        <v/>
      </c>
      <c r="K2388" s="42" t="str">
        <f aca="false">IF(INDEX(BookTitle,2383)="","",INDEX(BookInYear,2383))</f>
        <v/>
      </c>
      <c r="L2388" s="19"/>
      <c r="M2388" s="39"/>
      <c r="N2388" s="19"/>
      <c r="O2388" s="19"/>
      <c r="P2388" s="43" t="str">
        <f aca="false">IF($E2388="","",IF($L2388="Decline",0,IF($L2388="Approve fewer",IF($M2388="","",$M2388),IF($L2388="","",$I2388))))</f>
        <v/>
      </c>
      <c r="Q2388" s="34" t="str">
        <f aca="false">IF($P2388="","",IF($N2388&lt;&gt;"",$N2388,$J2388))</f>
        <v/>
      </c>
      <c r="R2388" s="35" t="str">
        <f aca="false">IF(OR($P2388="",$Q2388=""),"",INDEX(BookRate,2383)*$P2388*(5-MATCH($Q2388,{"Q1";"Q2";"Q3";"Q4"},0))/4+INDEX(BookOneOff,2383)*$P2388)</f>
        <v/>
      </c>
      <c r="S2388" s="35" t="str">
        <f aca="false">IF($P2388="","",INDEX(BookRate,2383)*$P2388)</f>
        <v/>
      </c>
      <c r="T2388" s="35" t="str">
        <f aca="false">IF($R2388="","",$R2388-$K2388)</f>
        <v/>
      </c>
      <c r="U2388" s="35" t="str">
        <f aca="false">IF(N($P2388)&lt;=0,"",COUNTIF($P$6:$P2388,"&gt;0"))</f>
        <v/>
      </c>
    </row>
    <row r="2389" customFormat="false" ht="15" hidden="false" customHeight="false" outlineLevel="0" collapsed="false">
      <c r="A2389" s="40" t="str">
        <f aca="false">IF(INDEX(BookTitle,2384)="","",INDEX(BookGroup,2384))</f>
        <v/>
      </c>
      <c r="B2389" s="40" t="str">
        <f aca="false">IF(INDEX(BookTitle,2384)="","",INDEX(BookRef,2384))</f>
        <v/>
      </c>
      <c r="C2389" s="40" t="str">
        <f aca="false">IF(INDEX(BookTitle,2384)="","",INDEX(BookDivision,2384))</f>
        <v/>
      </c>
      <c r="D2389" s="40" t="str">
        <f aca="false">IF(INDEX(BookTitle,2384)="","",INDEX(BookUnit,2384))</f>
        <v/>
      </c>
      <c r="E2389" s="40" t="str">
        <f aca="false">IF(INDEX(BookTitle,2384)="","",INDEX(BookTitle,2384))</f>
        <v/>
      </c>
      <c r="F2389" s="40" t="str">
        <f aca="false">IF(INDEX(BookTitle,2384)="","",INDEX(BookLevel,2384))</f>
        <v/>
      </c>
      <c r="G2389" s="40" t="str">
        <f aca="false">IF(INDEX(BookTitle,2384)="","",INDEX(BookCategory,2384))</f>
        <v/>
      </c>
      <c r="H2389" s="40" t="str">
        <f aca="false">IF(INDEX(BookTitle,2384)="","",INDEX(BookRank,2384))</f>
        <v/>
      </c>
      <c r="I2389" s="41" t="str">
        <f aca="false">IF(INDEX(BookTitle,2384)="","",INDEX(BookTotal,2384))</f>
        <v/>
      </c>
      <c r="J2389" s="0" t="str">
        <f aca="false">IF($I2389="","",IF(INDEX(BookQ1,2384)&gt;0,"Q1",IF(INDEX(BookQ2,2384)&gt;0,"Q2",IF(INDEX(BookQ3,2384)&gt;0,"Q3",IF(INDEX(BookQ4,2384)&gt;0,"Q4","")))))</f>
        <v/>
      </c>
      <c r="K2389" s="42" t="str">
        <f aca="false">IF(INDEX(BookTitle,2384)="","",INDEX(BookInYear,2384))</f>
        <v/>
      </c>
      <c r="L2389" s="19"/>
      <c r="M2389" s="39"/>
      <c r="N2389" s="19"/>
      <c r="O2389" s="19"/>
      <c r="P2389" s="43" t="str">
        <f aca="false">IF($E2389="","",IF($L2389="Decline",0,IF($L2389="Approve fewer",IF($M2389="","",$M2389),IF($L2389="","",$I2389))))</f>
        <v/>
      </c>
      <c r="Q2389" s="34" t="str">
        <f aca="false">IF($P2389="","",IF($N2389&lt;&gt;"",$N2389,$J2389))</f>
        <v/>
      </c>
      <c r="R2389" s="35" t="str">
        <f aca="false">IF(OR($P2389="",$Q2389=""),"",INDEX(BookRate,2384)*$P2389*(5-MATCH($Q2389,{"Q1";"Q2";"Q3";"Q4"},0))/4+INDEX(BookOneOff,2384)*$P2389)</f>
        <v/>
      </c>
      <c r="S2389" s="35" t="str">
        <f aca="false">IF($P2389="","",INDEX(BookRate,2384)*$P2389)</f>
        <v/>
      </c>
      <c r="T2389" s="35" t="str">
        <f aca="false">IF($R2389="","",$R2389-$K2389)</f>
        <v/>
      </c>
      <c r="U2389" s="35" t="str">
        <f aca="false">IF(N($P2389)&lt;=0,"",COUNTIF($P$6:$P2389,"&gt;0"))</f>
        <v/>
      </c>
    </row>
    <row r="2390" customFormat="false" ht="15" hidden="false" customHeight="false" outlineLevel="0" collapsed="false">
      <c r="A2390" s="40" t="str">
        <f aca="false">IF(INDEX(BookTitle,2385)="","",INDEX(BookGroup,2385))</f>
        <v/>
      </c>
      <c r="B2390" s="40" t="str">
        <f aca="false">IF(INDEX(BookTitle,2385)="","",INDEX(BookRef,2385))</f>
        <v/>
      </c>
      <c r="C2390" s="40" t="str">
        <f aca="false">IF(INDEX(BookTitle,2385)="","",INDEX(BookDivision,2385))</f>
        <v/>
      </c>
      <c r="D2390" s="40" t="str">
        <f aca="false">IF(INDEX(BookTitle,2385)="","",INDEX(BookUnit,2385))</f>
        <v/>
      </c>
      <c r="E2390" s="40" t="str">
        <f aca="false">IF(INDEX(BookTitle,2385)="","",INDEX(BookTitle,2385))</f>
        <v/>
      </c>
      <c r="F2390" s="40" t="str">
        <f aca="false">IF(INDEX(BookTitle,2385)="","",INDEX(BookLevel,2385))</f>
        <v/>
      </c>
      <c r="G2390" s="40" t="str">
        <f aca="false">IF(INDEX(BookTitle,2385)="","",INDEX(BookCategory,2385))</f>
        <v/>
      </c>
      <c r="H2390" s="40" t="str">
        <f aca="false">IF(INDEX(BookTitle,2385)="","",INDEX(BookRank,2385))</f>
        <v/>
      </c>
      <c r="I2390" s="41" t="str">
        <f aca="false">IF(INDEX(BookTitle,2385)="","",INDEX(BookTotal,2385))</f>
        <v/>
      </c>
      <c r="J2390" s="0" t="str">
        <f aca="false">IF($I2390="","",IF(INDEX(BookQ1,2385)&gt;0,"Q1",IF(INDEX(BookQ2,2385)&gt;0,"Q2",IF(INDEX(BookQ3,2385)&gt;0,"Q3",IF(INDEX(BookQ4,2385)&gt;0,"Q4","")))))</f>
        <v/>
      </c>
      <c r="K2390" s="42" t="str">
        <f aca="false">IF(INDEX(BookTitle,2385)="","",INDEX(BookInYear,2385))</f>
        <v/>
      </c>
      <c r="L2390" s="19"/>
      <c r="M2390" s="39"/>
      <c r="N2390" s="19"/>
      <c r="O2390" s="19"/>
      <c r="P2390" s="43" t="str">
        <f aca="false">IF($E2390="","",IF($L2390="Decline",0,IF($L2390="Approve fewer",IF($M2390="","",$M2390),IF($L2390="","",$I2390))))</f>
        <v/>
      </c>
      <c r="Q2390" s="34" t="str">
        <f aca="false">IF($P2390="","",IF($N2390&lt;&gt;"",$N2390,$J2390))</f>
        <v/>
      </c>
      <c r="R2390" s="35" t="str">
        <f aca="false">IF(OR($P2390="",$Q2390=""),"",INDEX(BookRate,2385)*$P2390*(5-MATCH($Q2390,{"Q1";"Q2";"Q3";"Q4"},0))/4+INDEX(BookOneOff,2385)*$P2390)</f>
        <v/>
      </c>
      <c r="S2390" s="35" t="str">
        <f aca="false">IF($P2390="","",INDEX(BookRate,2385)*$P2390)</f>
        <v/>
      </c>
      <c r="T2390" s="35" t="str">
        <f aca="false">IF($R2390="","",$R2390-$K2390)</f>
        <v/>
      </c>
      <c r="U2390" s="35" t="str">
        <f aca="false">IF(N($P2390)&lt;=0,"",COUNTIF($P$6:$P2390,"&gt;0"))</f>
        <v/>
      </c>
    </row>
    <row r="2391" customFormat="false" ht="15" hidden="false" customHeight="false" outlineLevel="0" collapsed="false">
      <c r="A2391" s="40" t="str">
        <f aca="false">IF(INDEX(BookTitle,2386)="","",INDEX(BookGroup,2386))</f>
        <v/>
      </c>
      <c r="B2391" s="40" t="str">
        <f aca="false">IF(INDEX(BookTitle,2386)="","",INDEX(BookRef,2386))</f>
        <v/>
      </c>
      <c r="C2391" s="40" t="str">
        <f aca="false">IF(INDEX(BookTitle,2386)="","",INDEX(BookDivision,2386))</f>
        <v/>
      </c>
      <c r="D2391" s="40" t="str">
        <f aca="false">IF(INDEX(BookTitle,2386)="","",INDEX(BookUnit,2386))</f>
        <v/>
      </c>
      <c r="E2391" s="40" t="str">
        <f aca="false">IF(INDEX(BookTitle,2386)="","",INDEX(BookTitle,2386))</f>
        <v/>
      </c>
      <c r="F2391" s="40" t="str">
        <f aca="false">IF(INDEX(BookTitle,2386)="","",INDEX(BookLevel,2386))</f>
        <v/>
      </c>
      <c r="G2391" s="40" t="str">
        <f aca="false">IF(INDEX(BookTitle,2386)="","",INDEX(BookCategory,2386))</f>
        <v/>
      </c>
      <c r="H2391" s="40" t="str">
        <f aca="false">IF(INDEX(BookTitle,2386)="","",INDEX(BookRank,2386))</f>
        <v/>
      </c>
      <c r="I2391" s="41" t="str">
        <f aca="false">IF(INDEX(BookTitle,2386)="","",INDEX(BookTotal,2386))</f>
        <v/>
      </c>
      <c r="J2391" s="0" t="str">
        <f aca="false">IF($I2391="","",IF(INDEX(BookQ1,2386)&gt;0,"Q1",IF(INDEX(BookQ2,2386)&gt;0,"Q2",IF(INDEX(BookQ3,2386)&gt;0,"Q3",IF(INDEX(BookQ4,2386)&gt;0,"Q4","")))))</f>
        <v/>
      </c>
      <c r="K2391" s="42" t="str">
        <f aca="false">IF(INDEX(BookTitle,2386)="","",INDEX(BookInYear,2386))</f>
        <v/>
      </c>
      <c r="L2391" s="19"/>
      <c r="M2391" s="39"/>
      <c r="N2391" s="19"/>
      <c r="O2391" s="19"/>
      <c r="P2391" s="43" t="str">
        <f aca="false">IF($E2391="","",IF($L2391="Decline",0,IF($L2391="Approve fewer",IF($M2391="","",$M2391),IF($L2391="","",$I2391))))</f>
        <v/>
      </c>
      <c r="Q2391" s="34" t="str">
        <f aca="false">IF($P2391="","",IF($N2391&lt;&gt;"",$N2391,$J2391))</f>
        <v/>
      </c>
      <c r="R2391" s="35" t="str">
        <f aca="false">IF(OR($P2391="",$Q2391=""),"",INDEX(BookRate,2386)*$P2391*(5-MATCH($Q2391,{"Q1";"Q2";"Q3";"Q4"},0))/4+INDEX(BookOneOff,2386)*$P2391)</f>
        <v/>
      </c>
      <c r="S2391" s="35" t="str">
        <f aca="false">IF($P2391="","",INDEX(BookRate,2386)*$P2391)</f>
        <v/>
      </c>
      <c r="T2391" s="35" t="str">
        <f aca="false">IF($R2391="","",$R2391-$K2391)</f>
        <v/>
      </c>
      <c r="U2391" s="35" t="str">
        <f aca="false">IF(N($P2391)&lt;=0,"",COUNTIF($P$6:$P2391,"&gt;0"))</f>
        <v/>
      </c>
    </row>
    <row r="2392" customFormat="false" ht="15" hidden="false" customHeight="false" outlineLevel="0" collapsed="false">
      <c r="A2392" s="40" t="str">
        <f aca="false">IF(INDEX(BookTitle,2387)="","",INDEX(BookGroup,2387))</f>
        <v/>
      </c>
      <c r="B2392" s="40" t="str">
        <f aca="false">IF(INDEX(BookTitle,2387)="","",INDEX(BookRef,2387))</f>
        <v/>
      </c>
      <c r="C2392" s="40" t="str">
        <f aca="false">IF(INDEX(BookTitle,2387)="","",INDEX(BookDivision,2387))</f>
        <v/>
      </c>
      <c r="D2392" s="40" t="str">
        <f aca="false">IF(INDEX(BookTitle,2387)="","",INDEX(BookUnit,2387))</f>
        <v/>
      </c>
      <c r="E2392" s="40" t="str">
        <f aca="false">IF(INDEX(BookTitle,2387)="","",INDEX(BookTitle,2387))</f>
        <v/>
      </c>
      <c r="F2392" s="40" t="str">
        <f aca="false">IF(INDEX(BookTitle,2387)="","",INDEX(BookLevel,2387))</f>
        <v/>
      </c>
      <c r="G2392" s="40" t="str">
        <f aca="false">IF(INDEX(BookTitle,2387)="","",INDEX(BookCategory,2387))</f>
        <v/>
      </c>
      <c r="H2392" s="40" t="str">
        <f aca="false">IF(INDEX(BookTitle,2387)="","",INDEX(BookRank,2387))</f>
        <v/>
      </c>
      <c r="I2392" s="41" t="str">
        <f aca="false">IF(INDEX(BookTitle,2387)="","",INDEX(BookTotal,2387))</f>
        <v/>
      </c>
      <c r="J2392" s="0" t="str">
        <f aca="false">IF($I2392="","",IF(INDEX(BookQ1,2387)&gt;0,"Q1",IF(INDEX(BookQ2,2387)&gt;0,"Q2",IF(INDEX(BookQ3,2387)&gt;0,"Q3",IF(INDEX(BookQ4,2387)&gt;0,"Q4","")))))</f>
        <v/>
      </c>
      <c r="K2392" s="42" t="str">
        <f aca="false">IF(INDEX(BookTitle,2387)="","",INDEX(BookInYear,2387))</f>
        <v/>
      </c>
      <c r="L2392" s="19"/>
      <c r="M2392" s="39"/>
      <c r="N2392" s="19"/>
      <c r="O2392" s="19"/>
      <c r="P2392" s="43" t="str">
        <f aca="false">IF($E2392="","",IF($L2392="Decline",0,IF($L2392="Approve fewer",IF($M2392="","",$M2392),IF($L2392="","",$I2392))))</f>
        <v/>
      </c>
      <c r="Q2392" s="34" t="str">
        <f aca="false">IF($P2392="","",IF($N2392&lt;&gt;"",$N2392,$J2392))</f>
        <v/>
      </c>
      <c r="R2392" s="35" t="str">
        <f aca="false">IF(OR($P2392="",$Q2392=""),"",INDEX(BookRate,2387)*$P2392*(5-MATCH($Q2392,{"Q1";"Q2";"Q3";"Q4"},0))/4+INDEX(BookOneOff,2387)*$P2392)</f>
        <v/>
      </c>
      <c r="S2392" s="35" t="str">
        <f aca="false">IF($P2392="","",INDEX(BookRate,2387)*$P2392)</f>
        <v/>
      </c>
      <c r="T2392" s="35" t="str">
        <f aca="false">IF($R2392="","",$R2392-$K2392)</f>
        <v/>
      </c>
      <c r="U2392" s="35" t="str">
        <f aca="false">IF(N($P2392)&lt;=0,"",COUNTIF($P$6:$P2392,"&gt;0"))</f>
        <v/>
      </c>
    </row>
    <row r="2393" customFormat="false" ht="15" hidden="false" customHeight="false" outlineLevel="0" collapsed="false">
      <c r="A2393" s="40" t="str">
        <f aca="false">IF(INDEX(BookTitle,2388)="","",INDEX(BookGroup,2388))</f>
        <v/>
      </c>
      <c r="B2393" s="40" t="str">
        <f aca="false">IF(INDEX(BookTitle,2388)="","",INDEX(BookRef,2388))</f>
        <v/>
      </c>
      <c r="C2393" s="40" t="str">
        <f aca="false">IF(INDEX(BookTitle,2388)="","",INDEX(BookDivision,2388))</f>
        <v/>
      </c>
      <c r="D2393" s="40" t="str">
        <f aca="false">IF(INDEX(BookTitle,2388)="","",INDEX(BookUnit,2388))</f>
        <v/>
      </c>
      <c r="E2393" s="40" t="str">
        <f aca="false">IF(INDEX(BookTitle,2388)="","",INDEX(BookTitle,2388))</f>
        <v/>
      </c>
      <c r="F2393" s="40" t="str">
        <f aca="false">IF(INDEX(BookTitle,2388)="","",INDEX(BookLevel,2388))</f>
        <v/>
      </c>
      <c r="G2393" s="40" t="str">
        <f aca="false">IF(INDEX(BookTitle,2388)="","",INDEX(BookCategory,2388))</f>
        <v/>
      </c>
      <c r="H2393" s="40" t="str">
        <f aca="false">IF(INDEX(BookTitle,2388)="","",INDEX(BookRank,2388))</f>
        <v/>
      </c>
      <c r="I2393" s="41" t="str">
        <f aca="false">IF(INDEX(BookTitle,2388)="","",INDEX(BookTotal,2388))</f>
        <v/>
      </c>
      <c r="J2393" s="0" t="str">
        <f aca="false">IF($I2393="","",IF(INDEX(BookQ1,2388)&gt;0,"Q1",IF(INDEX(BookQ2,2388)&gt;0,"Q2",IF(INDEX(BookQ3,2388)&gt;0,"Q3",IF(INDEX(BookQ4,2388)&gt;0,"Q4","")))))</f>
        <v/>
      </c>
      <c r="K2393" s="42" t="str">
        <f aca="false">IF(INDEX(BookTitle,2388)="","",INDEX(BookInYear,2388))</f>
        <v/>
      </c>
      <c r="L2393" s="19"/>
      <c r="M2393" s="39"/>
      <c r="N2393" s="19"/>
      <c r="O2393" s="19"/>
      <c r="P2393" s="43" t="str">
        <f aca="false">IF($E2393="","",IF($L2393="Decline",0,IF($L2393="Approve fewer",IF($M2393="","",$M2393),IF($L2393="","",$I2393))))</f>
        <v/>
      </c>
      <c r="Q2393" s="34" t="str">
        <f aca="false">IF($P2393="","",IF($N2393&lt;&gt;"",$N2393,$J2393))</f>
        <v/>
      </c>
      <c r="R2393" s="35" t="str">
        <f aca="false">IF(OR($P2393="",$Q2393=""),"",INDEX(BookRate,2388)*$P2393*(5-MATCH($Q2393,{"Q1";"Q2";"Q3";"Q4"},0))/4+INDEX(BookOneOff,2388)*$P2393)</f>
        <v/>
      </c>
      <c r="S2393" s="35" t="str">
        <f aca="false">IF($P2393="","",INDEX(BookRate,2388)*$P2393)</f>
        <v/>
      </c>
      <c r="T2393" s="35" t="str">
        <f aca="false">IF($R2393="","",$R2393-$K2393)</f>
        <v/>
      </c>
      <c r="U2393" s="35" t="str">
        <f aca="false">IF(N($P2393)&lt;=0,"",COUNTIF($P$6:$P2393,"&gt;0"))</f>
        <v/>
      </c>
    </row>
    <row r="2394" customFormat="false" ht="15" hidden="false" customHeight="false" outlineLevel="0" collapsed="false">
      <c r="A2394" s="40" t="str">
        <f aca="false">IF(INDEX(BookTitle,2389)="","",INDEX(BookGroup,2389))</f>
        <v/>
      </c>
      <c r="B2394" s="40" t="str">
        <f aca="false">IF(INDEX(BookTitle,2389)="","",INDEX(BookRef,2389))</f>
        <v/>
      </c>
      <c r="C2394" s="40" t="str">
        <f aca="false">IF(INDEX(BookTitle,2389)="","",INDEX(BookDivision,2389))</f>
        <v/>
      </c>
      <c r="D2394" s="40" t="str">
        <f aca="false">IF(INDEX(BookTitle,2389)="","",INDEX(BookUnit,2389))</f>
        <v/>
      </c>
      <c r="E2394" s="40" t="str">
        <f aca="false">IF(INDEX(BookTitle,2389)="","",INDEX(BookTitle,2389))</f>
        <v/>
      </c>
      <c r="F2394" s="40" t="str">
        <f aca="false">IF(INDEX(BookTitle,2389)="","",INDEX(BookLevel,2389))</f>
        <v/>
      </c>
      <c r="G2394" s="40" t="str">
        <f aca="false">IF(INDEX(BookTitle,2389)="","",INDEX(BookCategory,2389))</f>
        <v/>
      </c>
      <c r="H2394" s="40" t="str">
        <f aca="false">IF(INDEX(BookTitle,2389)="","",INDEX(BookRank,2389))</f>
        <v/>
      </c>
      <c r="I2394" s="41" t="str">
        <f aca="false">IF(INDEX(BookTitle,2389)="","",INDEX(BookTotal,2389))</f>
        <v/>
      </c>
      <c r="J2394" s="0" t="str">
        <f aca="false">IF($I2394="","",IF(INDEX(BookQ1,2389)&gt;0,"Q1",IF(INDEX(BookQ2,2389)&gt;0,"Q2",IF(INDEX(BookQ3,2389)&gt;0,"Q3",IF(INDEX(BookQ4,2389)&gt;0,"Q4","")))))</f>
        <v/>
      </c>
      <c r="K2394" s="42" t="str">
        <f aca="false">IF(INDEX(BookTitle,2389)="","",INDEX(BookInYear,2389))</f>
        <v/>
      </c>
      <c r="L2394" s="19"/>
      <c r="M2394" s="39"/>
      <c r="N2394" s="19"/>
      <c r="O2394" s="19"/>
      <c r="P2394" s="43" t="str">
        <f aca="false">IF($E2394="","",IF($L2394="Decline",0,IF($L2394="Approve fewer",IF($M2394="","",$M2394),IF($L2394="","",$I2394))))</f>
        <v/>
      </c>
      <c r="Q2394" s="34" t="str">
        <f aca="false">IF($P2394="","",IF($N2394&lt;&gt;"",$N2394,$J2394))</f>
        <v/>
      </c>
      <c r="R2394" s="35" t="str">
        <f aca="false">IF(OR($P2394="",$Q2394=""),"",INDEX(BookRate,2389)*$P2394*(5-MATCH($Q2394,{"Q1";"Q2";"Q3";"Q4"},0))/4+INDEX(BookOneOff,2389)*$P2394)</f>
        <v/>
      </c>
      <c r="S2394" s="35" t="str">
        <f aca="false">IF($P2394="","",INDEX(BookRate,2389)*$P2394)</f>
        <v/>
      </c>
      <c r="T2394" s="35" t="str">
        <f aca="false">IF($R2394="","",$R2394-$K2394)</f>
        <v/>
      </c>
      <c r="U2394" s="35" t="str">
        <f aca="false">IF(N($P2394)&lt;=0,"",COUNTIF($P$6:$P2394,"&gt;0"))</f>
        <v/>
      </c>
    </row>
    <row r="2395" customFormat="false" ht="15" hidden="false" customHeight="false" outlineLevel="0" collapsed="false">
      <c r="A2395" s="40" t="str">
        <f aca="false">IF(INDEX(BookTitle,2390)="","",INDEX(BookGroup,2390))</f>
        <v/>
      </c>
      <c r="B2395" s="40" t="str">
        <f aca="false">IF(INDEX(BookTitle,2390)="","",INDEX(BookRef,2390))</f>
        <v/>
      </c>
      <c r="C2395" s="40" t="str">
        <f aca="false">IF(INDEX(BookTitle,2390)="","",INDEX(BookDivision,2390))</f>
        <v/>
      </c>
      <c r="D2395" s="40" t="str">
        <f aca="false">IF(INDEX(BookTitle,2390)="","",INDEX(BookUnit,2390))</f>
        <v/>
      </c>
      <c r="E2395" s="40" t="str">
        <f aca="false">IF(INDEX(BookTitle,2390)="","",INDEX(BookTitle,2390))</f>
        <v/>
      </c>
      <c r="F2395" s="40" t="str">
        <f aca="false">IF(INDEX(BookTitle,2390)="","",INDEX(BookLevel,2390))</f>
        <v/>
      </c>
      <c r="G2395" s="40" t="str">
        <f aca="false">IF(INDEX(BookTitle,2390)="","",INDEX(BookCategory,2390))</f>
        <v/>
      </c>
      <c r="H2395" s="40" t="str">
        <f aca="false">IF(INDEX(BookTitle,2390)="","",INDEX(BookRank,2390))</f>
        <v/>
      </c>
      <c r="I2395" s="41" t="str">
        <f aca="false">IF(INDEX(BookTitle,2390)="","",INDEX(BookTotal,2390))</f>
        <v/>
      </c>
      <c r="J2395" s="0" t="str">
        <f aca="false">IF($I2395="","",IF(INDEX(BookQ1,2390)&gt;0,"Q1",IF(INDEX(BookQ2,2390)&gt;0,"Q2",IF(INDEX(BookQ3,2390)&gt;0,"Q3",IF(INDEX(BookQ4,2390)&gt;0,"Q4","")))))</f>
        <v/>
      </c>
      <c r="K2395" s="42" t="str">
        <f aca="false">IF(INDEX(BookTitle,2390)="","",INDEX(BookInYear,2390))</f>
        <v/>
      </c>
      <c r="L2395" s="19"/>
      <c r="M2395" s="39"/>
      <c r="N2395" s="19"/>
      <c r="O2395" s="19"/>
      <c r="P2395" s="43" t="str">
        <f aca="false">IF($E2395="","",IF($L2395="Decline",0,IF($L2395="Approve fewer",IF($M2395="","",$M2395),IF($L2395="","",$I2395))))</f>
        <v/>
      </c>
      <c r="Q2395" s="34" t="str">
        <f aca="false">IF($P2395="","",IF($N2395&lt;&gt;"",$N2395,$J2395))</f>
        <v/>
      </c>
      <c r="R2395" s="35" t="str">
        <f aca="false">IF(OR($P2395="",$Q2395=""),"",INDEX(BookRate,2390)*$P2395*(5-MATCH($Q2395,{"Q1";"Q2";"Q3";"Q4"},0))/4+INDEX(BookOneOff,2390)*$P2395)</f>
        <v/>
      </c>
      <c r="S2395" s="35" t="str">
        <f aca="false">IF($P2395="","",INDEX(BookRate,2390)*$P2395)</f>
        <v/>
      </c>
      <c r="T2395" s="35" t="str">
        <f aca="false">IF($R2395="","",$R2395-$K2395)</f>
        <v/>
      </c>
      <c r="U2395" s="35" t="str">
        <f aca="false">IF(N($P2395)&lt;=0,"",COUNTIF($P$6:$P2395,"&gt;0"))</f>
        <v/>
      </c>
    </row>
    <row r="2396" customFormat="false" ht="15" hidden="false" customHeight="false" outlineLevel="0" collapsed="false">
      <c r="A2396" s="40" t="str">
        <f aca="false">IF(INDEX(BookTitle,2391)="","",INDEX(BookGroup,2391))</f>
        <v/>
      </c>
      <c r="B2396" s="40" t="str">
        <f aca="false">IF(INDEX(BookTitle,2391)="","",INDEX(BookRef,2391))</f>
        <v/>
      </c>
      <c r="C2396" s="40" t="str">
        <f aca="false">IF(INDEX(BookTitle,2391)="","",INDEX(BookDivision,2391))</f>
        <v/>
      </c>
      <c r="D2396" s="40" t="str">
        <f aca="false">IF(INDEX(BookTitle,2391)="","",INDEX(BookUnit,2391))</f>
        <v/>
      </c>
      <c r="E2396" s="40" t="str">
        <f aca="false">IF(INDEX(BookTitle,2391)="","",INDEX(BookTitle,2391))</f>
        <v/>
      </c>
      <c r="F2396" s="40" t="str">
        <f aca="false">IF(INDEX(BookTitle,2391)="","",INDEX(BookLevel,2391))</f>
        <v/>
      </c>
      <c r="G2396" s="40" t="str">
        <f aca="false">IF(INDEX(BookTitle,2391)="","",INDEX(BookCategory,2391))</f>
        <v/>
      </c>
      <c r="H2396" s="40" t="str">
        <f aca="false">IF(INDEX(BookTitle,2391)="","",INDEX(BookRank,2391))</f>
        <v/>
      </c>
      <c r="I2396" s="41" t="str">
        <f aca="false">IF(INDEX(BookTitle,2391)="","",INDEX(BookTotal,2391))</f>
        <v/>
      </c>
      <c r="J2396" s="0" t="str">
        <f aca="false">IF($I2396="","",IF(INDEX(BookQ1,2391)&gt;0,"Q1",IF(INDEX(BookQ2,2391)&gt;0,"Q2",IF(INDEX(BookQ3,2391)&gt;0,"Q3",IF(INDEX(BookQ4,2391)&gt;0,"Q4","")))))</f>
        <v/>
      </c>
      <c r="K2396" s="42" t="str">
        <f aca="false">IF(INDEX(BookTitle,2391)="","",INDEX(BookInYear,2391))</f>
        <v/>
      </c>
      <c r="L2396" s="19"/>
      <c r="M2396" s="39"/>
      <c r="N2396" s="19"/>
      <c r="O2396" s="19"/>
      <c r="P2396" s="43" t="str">
        <f aca="false">IF($E2396="","",IF($L2396="Decline",0,IF($L2396="Approve fewer",IF($M2396="","",$M2396),IF($L2396="","",$I2396))))</f>
        <v/>
      </c>
      <c r="Q2396" s="34" t="str">
        <f aca="false">IF($P2396="","",IF($N2396&lt;&gt;"",$N2396,$J2396))</f>
        <v/>
      </c>
      <c r="R2396" s="35" t="str">
        <f aca="false">IF(OR($P2396="",$Q2396=""),"",INDEX(BookRate,2391)*$P2396*(5-MATCH($Q2396,{"Q1";"Q2";"Q3";"Q4"},0))/4+INDEX(BookOneOff,2391)*$P2396)</f>
        <v/>
      </c>
      <c r="S2396" s="35" t="str">
        <f aca="false">IF($P2396="","",INDEX(BookRate,2391)*$P2396)</f>
        <v/>
      </c>
      <c r="T2396" s="35" t="str">
        <f aca="false">IF($R2396="","",$R2396-$K2396)</f>
        <v/>
      </c>
      <c r="U2396" s="35" t="str">
        <f aca="false">IF(N($P2396)&lt;=0,"",COUNTIF($P$6:$P2396,"&gt;0"))</f>
        <v/>
      </c>
    </row>
    <row r="2397" customFormat="false" ht="15" hidden="false" customHeight="false" outlineLevel="0" collapsed="false">
      <c r="A2397" s="40" t="str">
        <f aca="false">IF(INDEX(BookTitle,2392)="","",INDEX(BookGroup,2392))</f>
        <v/>
      </c>
      <c r="B2397" s="40" t="str">
        <f aca="false">IF(INDEX(BookTitle,2392)="","",INDEX(BookRef,2392))</f>
        <v/>
      </c>
      <c r="C2397" s="40" t="str">
        <f aca="false">IF(INDEX(BookTitle,2392)="","",INDEX(BookDivision,2392))</f>
        <v/>
      </c>
      <c r="D2397" s="40" t="str">
        <f aca="false">IF(INDEX(BookTitle,2392)="","",INDEX(BookUnit,2392))</f>
        <v/>
      </c>
      <c r="E2397" s="40" t="str">
        <f aca="false">IF(INDEX(BookTitle,2392)="","",INDEX(BookTitle,2392))</f>
        <v/>
      </c>
      <c r="F2397" s="40" t="str">
        <f aca="false">IF(INDEX(BookTitle,2392)="","",INDEX(BookLevel,2392))</f>
        <v/>
      </c>
      <c r="G2397" s="40" t="str">
        <f aca="false">IF(INDEX(BookTitle,2392)="","",INDEX(BookCategory,2392))</f>
        <v/>
      </c>
      <c r="H2397" s="40" t="str">
        <f aca="false">IF(INDEX(BookTitle,2392)="","",INDEX(BookRank,2392))</f>
        <v/>
      </c>
      <c r="I2397" s="41" t="str">
        <f aca="false">IF(INDEX(BookTitle,2392)="","",INDEX(BookTotal,2392))</f>
        <v/>
      </c>
      <c r="J2397" s="0" t="str">
        <f aca="false">IF($I2397="","",IF(INDEX(BookQ1,2392)&gt;0,"Q1",IF(INDEX(BookQ2,2392)&gt;0,"Q2",IF(INDEX(BookQ3,2392)&gt;0,"Q3",IF(INDEX(BookQ4,2392)&gt;0,"Q4","")))))</f>
        <v/>
      </c>
      <c r="K2397" s="42" t="str">
        <f aca="false">IF(INDEX(BookTitle,2392)="","",INDEX(BookInYear,2392))</f>
        <v/>
      </c>
      <c r="L2397" s="19"/>
      <c r="M2397" s="39"/>
      <c r="N2397" s="19"/>
      <c r="O2397" s="19"/>
      <c r="P2397" s="43" t="str">
        <f aca="false">IF($E2397="","",IF($L2397="Decline",0,IF($L2397="Approve fewer",IF($M2397="","",$M2397),IF($L2397="","",$I2397))))</f>
        <v/>
      </c>
      <c r="Q2397" s="34" t="str">
        <f aca="false">IF($P2397="","",IF($N2397&lt;&gt;"",$N2397,$J2397))</f>
        <v/>
      </c>
      <c r="R2397" s="35" t="str">
        <f aca="false">IF(OR($P2397="",$Q2397=""),"",INDEX(BookRate,2392)*$P2397*(5-MATCH($Q2397,{"Q1";"Q2";"Q3";"Q4"},0))/4+INDEX(BookOneOff,2392)*$P2397)</f>
        <v/>
      </c>
      <c r="S2397" s="35" t="str">
        <f aca="false">IF($P2397="","",INDEX(BookRate,2392)*$P2397)</f>
        <v/>
      </c>
      <c r="T2397" s="35" t="str">
        <f aca="false">IF($R2397="","",$R2397-$K2397)</f>
        <v/>
      </c>
      <c r="U2397" s="35" t="str">
        <f aca="false">IF(N($P2397)&lt;=0,"",COUNTIF($P$6:$P2397,"&gt;0"))</f>
        <v/>
      </c>
    </row>
    <row r="2398" customFormat="false" ht="15" hidden="false" customHeight="false" outlineLevel="0" collapsed="false">
      <c r="A2398" s="40" t="str">
        <f aca="false">IF(INDEX(BookTitle,2393)="","",INDEX(BookGroup,2393))</f>
        <v/>
      </c>
      <c r="B2398" s="40" t="str">
        <f aca="false">IF(INDEX(BookTitle,2393)="","",INDEX(BookRef,2393))</f>
        <v/>
      </c>
      <c r="C2398" s="40" t="str">
        <f aca="false">IF(INDEX(BookTitle,2393)="","",INDEX(BookDivision,2393))</f>
        <v/>
      </c>
      <c r="D2398" s="40" t="str">
        <f aca="false">IF(INDEX(BookTitle,2393)="","",INDEX(BookUnit,2393))</f>
        <v/>
      </c>
      <c r="E2398" s="40" t="str">
        <f aca="false">IF(INDEX(BookTitle,2393)="","",INDEX(BookTitle,2393))</f>
        <v/>
      </c>
      <c r="F2398" s="40" t="str">
        <f aca="false">IF(INDEX(BookTitle,2393)="","",INDEX(BookLevel,2393))</f>
        <v/>
      </c>
      <c r="G2398" s="40" t="str">
        <f aca="false">IF(INDEX(BookTitle,2393)="","",INDEX(BookCategory,2393))</f>
        <v/>
      </c>
      <c r="H2398" s="40" t="str">
        <f aca="false">IF(INDEX(BookTitle,2393)="","",INDEX(BookRank,2393))</f>
        <v/>
      </c>
      <c r="I2398" s="41" t="str">
        <f aca="false">IF(INDEX(BookTitle,2393)="","",INDEX(BookTotal,2393))</f>
        <v/>
      </c>
      <c r="J2398" s="0" t="str">
        <f aca="false">IF($I2398="","",IF(INDEX(BookQ1,2393)&gt;0,"Q1",IF(INDEX(BookQ2,2393)&gt;0,"Q2",IF(INDEX(BookQ3,2393)&gt;0,"Q3",IF(INDEX(BookQ4,2393)&gt;0,"Q4","")))))</f>
        <v/>
      </c>
      <c r="K2398" s="42" t="str">
        <f aca="false">IF(INDEX(BookTitle,2393)="","",INDEX(BookInYear,2393))</f>
        <v/>
      </c>
      <c r="L2398" s="19"/>
      <c r="M2398" s="39"/>
      <c r="N2398" s="19"/>
      <c r="O2398" s="19"/>
      <c r="P2398" s="43" t="str">
        <f aca="false">IF($E2398="","",IF($L2398="Decline",0,IF($L2398="Approve fewer",IF($M2398="","",$M2398),IF($L2398="","",$I2398))))</f>
        <v/>
      </c>
      <c r="Q2398" s="34" t="str">
        <f aca="false">IF($P2398="","",IF($N2398&lt;&gt;"",$N2398,$J2398))</f>
        <v/>
      </c>
      <c r="R2398" s="35" t="str">
        <f aca="false">IF(OR($P2398="",$Q2398=""),"",INDEX(BookRate,2393)*$P2398*(5-MATCH($Q2398,{"Q1";"Q2";"Q3";"Q4"},0))/4+INDEX(BookOneOff,2393)*$P2398)</f>
        <v/>
      </c>
      <c r="S2398" s="35" t="str">
        <f aca="false">IF($P2398="","",INDEX(BookRate,2393)*$P2398)</f>
        <v/>
      </c>
      <c r="T2398" s="35" t="str">
        <f aca="false">IF($R2398="","",$R2398-$K2398)</f>
        <v/>
      </c>
      <c r="U2398" s="35" t="str">
        <f aca="false">IF(N($P2398)&lt;=0,"",COUNTIF($P$6:$P2398,"&gt;0"))</f>
        <v/>
      </c>
    </row>
    <row r="2399" customFormat="false" ht="15" hidden="false" customHeight="false" outlineLevel="0" collapsed="false">
      <c r="A2399" s="40" t="str">
        <f aca="false">IF(INDEX(BookTitle,2394)="","",INDEX(BookGroup,2394))</f>
        <v/>
      </c>
      <c r="B2399" s="40" t="str">
        <f aca="false">IF(INDEX(BookTitle,2394)="","",INDEX(BookRef,2394))</f>
        <v/>
      </c>
      <c r="C2399" s="40" t="str">
        <f aca="false">IF(INDEX(BookTitle,2394)="","",INDEX(BookDivision,2394))</f>
        <v/>
      </c>
      <c r="D2399" s="40" t="str">
        <f aca="false">IF(INDEX(BookTitle,2394)="","",INDEX(BookUnit,2394))</f>
        <v/>
      </c>
      <c r="E2399" s="40" t="str">
        <f aca="false">IF(INDEX(BookTitle,2394)="","",INDEX(BookTitle,2394))</f>
        <v/>
      </c>
      <c r="F2399" s="40" t="str">
        <f aca="false">IF(INDEX(BookTitle,2394)="","",INDEX(BookLevel,2394))</f>
        <v/>
      </c>
      <c r="G2399" s="40" t="str">
        <f aca="false">IF(INDEX(BookTitle,2394)="","",INDEX(BookCategory,2394))</f>
        <v/>
      </c>
      <c r="H2399" s="40" t="str">
        <f aca="false">IF(INDEX(BookTitle,2394)="","",INDEX(BookRank,2394))</f>
        <v/>
      </c>
      <c r="I2399" s="41" t="str">
        <f aca="false">IF(INDEX(BookTitle,2394)="","",INDEX(BookTotal,2394))</f>
        <v/>
      </c>
      <c r="J2399" s="0" t="str">
        <f aca="false">IF($I2399="","",IF(INDEX(BookQ1,2394)&gt;0,"Q1",IF(INDEX(BookQ2,2394)&gt;0,"Q2",IF(INDEX(BookQ3,2394)&gt;0,"Q3",IF(INDEX(BookQ4,2394)&gt;0,"Q4","")))))</f>
        <v/>
      </c>
      <c r="K2399" s="42" t="str">
        <f aca="false">IF(INDEX(BookTitle,2394)="","",INDEX(BookInYear,2394))</f>
        <v/>
      </c>
      <c r="L2399" s="19"/>
      <c r="M2399" s="39"/>
      <c r="N2399" s="19"/>
      <c r="O2399" s="19"/>
      <c r="P2399" s="43" t="str">
        <f aca="false">IF($E2399="","",IF($L2399="Decline",0,IF($L2399="Approve fewer",IF($M2399="","",$M2399),IF($L2399="","",$I2399))))</f>
        <v/>
      </c>
      <c r="Q2399" s="34" t="str">
        <f aca="false">IF($P2399="","",IF($N2399&lt;&gt;"",$N2399,$J2399))</f>
        <v/>
      </c>
      <c r="R2399" s="35" t="str">
        <f aca="false">IF(OR($P2399="",$Q2399=""),"",INDEX(BookRate,2394)*$P2399*(5-MATCH($Q2399,{"Q1";"Q2";"Q3";"Q4"},0))/4+INDEX(BookOneOff,2394)*$P2399)</f>
        <v/>
      </c>
      <c r="S2399" s="35" t="str">
        <f aca="false">IF($P2399="","",INDEX(BookRate,2394)*$P2399)</f>
        <v/>
      </c>
      <c r="T2399" s="35" t="str">
        <f aca="false">IF($R2399="","",$R2399-$K2399)</f>
        <v/>
      </c>
      <c r="U2399" s="35" t="str">
        <f aca="false">IF(N($P2399)&lt;=0,"",COUNTIF($P$6:$P2399,"&gt;0"))</f>
        <v/>
      </c>
    </row>
    <row r="2400" customFormat="false" ht="15" hidden="false" customHeight="false" outlineLevel="0" collapsed="false">
      <c r="A2400" s="40" t="str">
        <f aca="false">IF(INDEX(BookTitle,2395)="","",INDEX(BookGroup,2395))</f>
        <v/>
      </c>
      <c r="B2400" s="40" t="str">
        <f aca="false">IF(INDEX(BookTitle,2395)="","",INDEX(BookRef,2395))</f>
        <v/>
      </c>
      <c r="C2400" s="40" t="str">
        <f aca="false">IF(INDEX(BookTitle,2395)="","",INDEX(BookDivision,2395))</f>
        <v/>
      </c>
      <c r="D2400" s="40" t="str">
        <f aca="false">IF(INDEX(BookTitle,2395)="","",INDEX(BookUnit,2395))</f>
        <v/>
      </c>
      <c r="E2400" s="40" t="str">
        <f aca="false">IF(INDEX(BookTitle,2395)="","",INDEX(BookTitle,2395))</f>
        <v/>
      </c>
      <c r="F2400" s="40" t="str">
        <f aca="false">IF(INDEX(BookTitle,2395)="","",INDEX(BookLevel,2395))</f>
        <v/>
      </c>
      <c r="G2400" s="40" t="str">
        <f aca="false">IF(INDEX(BookTitle,2395)="","",INDEX(BookCategory,2395))</f>
        <v/>
      </c>
      <c r="H2400" s="40" t="str">
        <f aca="false">IF(INDEX(BookTitle,2395)="","",INDEX(BookRank,2395))</f>
        <v/>
      </c>
      <c r="I2400" s="41" t="str">
        <f aca="false">IF(INDEX(BookTitle,2395)="","",INDEX(BookTotal,2395))</f>
        <v/>
      </c>
      <c r="J2400" s="0" t="str">
        <f aca="false">IF($I2400="","",IF(INDEX(BookQ1,2395)&gt;0,"Q1",IF(INDEX(BookQ2,2395)&gt;0,"Q2",IF(INDEX(BookQ3,2395)&gt;0,"Q3",IF(INDEX(BookQ4,2395)&gt;0,"Q4","")))))</f>
        <v/>
      </c>
      <c r="K2400" s="42" t="str">
        <f aca="false">IF(INDEX(BookTitle,2395)="","",INDEX(BookInYear,2395))</f>
        <v/>
      </c>
      <c r="L2400" s="19"/>
      <c r="M2400" s="39"/>
      <c r="N2400" s="19"/>
      <c r="O2400" s="19"/>
      <c r="P2400" s="43" t="str">
        <f aca="false">IF($E2400="","",IF($L2400="Decline",0,IF($L2400="Approve fewer",IF($M2400="","",$M2400),IF($L2400="","",$I2400))))</f>
        <v/>
      </c>
      <c r="Q2400" s="34" t="str">
        <f aca="false">IF($P2400="","",IF($N2400&lt;&gt;"",$N2400,$J2400))</f>
        <v/>
      </c>
      <c r="R2400" s="35" t="str">
        <f aca="false">IF(OR($P2400="",$Q2400=""),"",INDEX(BookRate,2395)*$P2400*(5-MATCH($Q2400,{"Q1";"Q2";"Q3";"Q4"},0))/4+INDEX(BookOneOff,2395)*$P2400)</f>
        <v/>
      </c>
      <c r="S2400" s="35" t="str">
        <f aca="false">IF($P2400="","",INDEX(BookRate,2395)*$P2400)</f>
        <v/>
      </c>
      <c r="T2400" s="35" t="str">
        <f aca="false">IF($R2400="","",$R2400-$K2400)</f>
        <v/>
      </c>
      <c r="U2400" s="35" t="str">
        <f aca="false">IF(N($P2400)&lt;=0,"",COUNTIF($P$6:$P2400,"&gt;0"))</f>
        <v/>
      </c>
    </row>
    <row r="2401" customFormat="false" ht="15" hidden="false" customHeight="false" outlineLevel="0" collapsed="false">
      <c r="A2401" s="40" t="str">
        <f aca="false">IF(INDEX(BookTitle,2396)="","",INDEX(BookGroup,2396))</f>
        <v/>
      </c>
      <c r="B2401" s="40" t="str">
        <f aca="false">IF(INDEX(BookTitle,2396)="","",INDEX(BookRef,2396))</f>
        <v/>
      </c>
      <c r="C2401" s="40" t="str">
        <f aca="false">IF(INDEX(BookTitle,2396)="","",INDEX(BookDivision,2396))</f>
        <v/>
      </c>
      <c r="D2401" s="40" t="str">
        <f aca="false">IF(INDEX(BookTitle,2396)="","",INDEX(BookUnit,2396))</f>
        <v/>
      </c>
      <c r="E2401" s="40" t="str">
        <f aca="false">IF(INDEX(BookTitle,2396)="","",INDEX(BookTitle,2396))</f>
        <v/>
      </c>
      <c r="F2401" s="40" t="str">
        <f aca="false">IF(INDEX(BookTitle,2396)="","",INDEX(BookLevel,2396))</f>
        <v/>
      </c>
      <c r="G2401" s="40" t="str">
        <f aca="false">IF(INDEX(BookTitle,2396)="","",INDEX(BookCategory,2396))</f>
        <v/>
      </c>
      <c r="H2401" s="40" t="str">
        <f aca="false">IF(INDEX(BookTitle,2396)="","",INDEX(BookRank,2396))</f>
        <v/>
      </c>
      <c r="I2401" s="41" t="str">
        <f aca="false">IF(INDEX(BookTitle,2396)="","",INDEX(BookTotal,2396))</f>
        <v/>
      </c>
      <c r="J2401" s="0" t="str">
        <f aca="false">IF($I2401="","",IF(INDEX(BookQ1,2396)&gt;0,"Q1",IF(INDEX(BookQ2,2396)&gt;0,"Q2",IF(INDEX(BookQ3,2396)&gt;0,"Q3",IF(INDEX(BookQ4,2396)&gt;0,"Q4","")))))</f>
        <v/>
      </c>
      <c r="K2401" s="42" t="str">
        <f aca="false">IF(INDEX(BookTitle,2396)="","",INDEX(BookInYear,2396))</f>
        <v/>
      </c>
      <c r="L2401" s="19"/>
      <c r="M2401" s="39"/>
      <c r="N2401" s="19"/>
      <c r="O2401" s="19"/>
      <c r="P2401" s="43" t="str">
        <f aca="false">IF($E2401="","",IF($L2401="Decline",0,IF($L2401="Approve fewer",IF($M2401="","",$M2401),IF($L2401="","",$I2401))))</f>
        <v/>
      </c>
      <c r="Q2401" s="34" t="str">
        <f aca="false">IF($P2401="","",IF($N2401&lt;&gt;"",$N2401,$J2401))</f>
        <v/>
      </c>
      <c r="R2401" s="35" t="str">
        <f aca="false">IF(OR($P2401="",$Q2401=""),"",INDEX(BookRate,2396)*$P2401*(5-MATCH($Q2401,{"Q1";"Q2";"Q3";"Q4"},0))/4+INDEX(BookOneOff,2396)*$P2401)</f>
        <v/>
      </c>
      <c r="S2401" s="35" t="str">
        <f aca="false">IF($P2401="","",INDEX(BookRate,2396)*$P2401)</f>
        <v/>
      </c>
      <c r="T2401" s="35" t="str">
        <f aca="false">IF($R2401="","",$R2401-$K2401)</f>
        <v/>
      </c>
      <c r="U2401" s="35" t="str">
        <f aca="false">IF(N($P2401)&lt;=0,"",COUNTIF($P$6:$P2401,"&gt;0"))</f>
        <v/>
      </c>
    </row>
    <row r="2402" customFormat="false" ht="15" hidden="false" customHeight="false" outlineLevel="0" collapsed="false">
      <c r="A2402" s="40" t="str">
        <f aca="false">IF(INDEX(BookTitle,2397)="","",INDEX(BookGroup,2397))</f>
        <v/>
      </c>
      <c r="B2402" s="40" t="str">
        <f aca="false">IF(INDEX(BookTitle,2397)="","",INDEX(BookRef,2397))</f>
        <v/>
      </c>
      <c r="C2402" s="40" t="str">
        <f aca="false">IF(INDEX(BookTitle,2397)="","",INDEX(BookDivision,2397))</f>
        <v/>
      </c>
      <c r="D2402" s="40" t="str">
        <f aca="false">IF(INDEX(BookTitle,2397)="","",INDEX(BookUnit,2397))</f>
        <v/>
      </c>
      <c r="E2402" s="40" t="str">
        <f aca="false">IF(INDEX(BookTitle,2397)="","",INDEX(BookTitle,2397))</f>
        <v/>
      </c>
      <c r="F2402" s="40" t="str">
        <f aca="false">IF(INDEX(BookTitle,2397)="","",INDEX(BookLevel,2397))</f>
        <v/>
      </c>
      <c r="G2402" s="40" t="str">
        <f aca="false">IF(INDEX(BookTitle,2397)="","",INDEX(BookCategory,2397))</f>
        <v/>
      </c>
      <c r="H2402" s="40" t="str">
        <f aca="false">IF(INDEX(BookTitle,2397)="","",INDEX(BookRank,2397))</f>
        <v/>
      </c>
      <c r="I2402" s="41" t="str">
        <f aca="false">IF(INDEX(BookTitle,2397)="","",INDEX(BookTotal,2397))</f>
        <v/>
      </c>
      <c r="J2402" s="0" t="str">
        <f aca="false">IF($I2402="","",IF(INDEX(BookQ1,2397)&gt;0,"Q1",IF(INDEX(BookQ2,2397)&gt;0,"Q2",IF(INDEX(BookQ3,2397)&gt;0,"Q3",IF(INDEX(BookQ4,2397)&gt;0,"Q4","")))))</f>
        <v/>
      </c>
      <c r="K2402" s="42" t="str">
        <f aca="false">IF(INDEX(BookTitle,2397)="","",INDEX(BookInYear,2397))</f>
        <v/>
      </c>
      <c r="L2402" s="19"/>
      <c r="M2402" s="39"/>
      <c r="N2402" s="19"/>
      <c r="O2402" s="19"/>
      <c r="P2402" s="43" t="str">
        <f aca="false">IF($E2402="","",IF($L2402="Decline",0,IF($L2402="Approve fewer",IF($M2402="","",$M2402),IF($L2402="","",$I2402))))</f>
        <v/>
      </c>
      <c r="Q2402" s="34" t="str">
        <f aca="false">IF($P2402="","",IF($N2402&lt;&gt;"",$N2402,$J2402))</f>
        <v/>
      </c>
      <c r="R2402" s="35" t="str">
        <f aca="false">IF(OR($P2402="",$Q2402=""),"",INDEX(BookRate,2397)*$P2402*(5-MATCH($Q2402,{"Q1";"Q2";"Q3";"Q4"},0))/4+INDEX(BookOneOff,2397)*$P2402)</f>
        <v/>
      </c>
      <c r="S2402" s="35" t="str">
        <f aca="false">IF($P2402="","",INDEX(BookRate,2397)*$P2402)</f>
        <v/>
      </c>
      <c r="T2402" s="35" t="str">
        <f aca="false">IF($R2402="","",$R2402-$K2402)</f>
        <v/>
      </c>
      <c r="U2402" s="35" t="str">
        <f aca="false">IF(N($P2402)&lt;=0,"",COUNTIF($P$6:$P2402,"&gt;0"))</f>
        <v/>
      </c>
    </row>
    <row r="2403" customFormat="false" ht="15" hidden="false" customHeight="false" outlineLevel="0" collapsed="false">
      <c r="A2403" s="40" t="str">
        <f aca="false">IF(INDEX(BookTitle,2398)="","",INDEX(BookGroup,2398))</f>
        <v/>
      </c>
      <c r="B2403" s="40" t="str">
        <f aca="false">IF(INDEX(BookTitle,2398)="","",INDEX(BookRef,2398))</f>
        <v/>
      </c>
      <c r="C2403" s="40" t="str">
        <f aca="false">IF(INDEX(BookTitle,2398)="","",INDEX(BookDivision,2398))</f>
        <v/>
      </c>
      <c r="D2403" s="40" t="str">
        <f aca="false">IF(INDEX(BookTitle,2398)="","",INDEX(BookUnit,2398))</f>
        <v/>
      </c>
      <c r="E2403" s="40" t="str">
        <f aca="false">IF(INDEX(BookTitle,2398)="","",INDEX(BookTitle,2398))</f>
        <v/>
      </c>
      <c r="F2403" s="40" t="str">
        <f aca="false">IF(INDEX(BookTitle,2398)="","",INDEX(BookLevel,2398))</f>
        <v/>
      </c>
      <c r="G2403" s="40" t="str">
        <f aca="false">IF(INDEX(BookTitle,2398)="","",INDEX(BookCategory,2398))</f>
        <v/>
      </c>
      <c r="H2403" s="40" t="str">
        <f aca="false">IF(INDEX(BookTitle,2398)="","",INDEX(BookRank,2398))</f>
        <v/>
      </c>
      <c r="I2403" s="41" t="str">
        <f aca="false">IF(INDEX(BookTitle,2398)="","",INDEX(BookTotal,2398))</f>
        <v/>
      </c>
      <c r="J2403" s="0" t="str">
        <f aca="false">IF($I2403="","",IF(INDEX(BookQ1,2398)&gt;0,"Q1",IF(INDEX(BookQ2,2398)&gt;0,"Q2",IF(INDEX(BookQ3,2398)&gt;0,"Q3",IF(INDEX(BookQ4,2398)&gt;0,"Q4","")))))</f>
        <v/>
      </c>
      <c r="K2403" s="42" t="str">
        <f aca="false">IF(INDEX(BookTitle,2398)="","",INDEX(BookInYear,2398))</f>
        <v/>
      </c>
      <c r="L2403" s="19"/>
      <c r="M2403" s="39"/>
      <c r="N2403" s="19"/>
      <c r="O2403" s="19"/>
      <c r="P2403" s="43" t="str">
        <f aca="false">IF($E2403="","",IF($L2403="Decline",0,IF($L2403="Approve fewer",IF($M2403="","",$M2403),IF($L2403="","",$I2403))))</f>
        <v/>
      </c>
      <c r="Q2403" s="34" t="str">
        <f aca="false">IF($P2403="","",IF($N2403&lt;&gt;"",$N2403,$J2403))</f>
        <v/>
      </c>
      <c r="R2403" s="35" t="str">
        <f aca="false">IF(OR($P2403="",$Q2403=""),"",INDEX(BookRate,2398)*$P2403*(5-MATCH($Q2403,{"Q1";"Q2";"Q3";"Q4"},0))/4+INDEX(BookOneOff,2398)*$P2403)</f>
        <v/>
      </c>
      <c r="S2403" s="35" t="str">
        <f aca="false">IF($P2403="","",INDEX(BookRate,2398)*$P2403)</f>
        <v/>
      </c>
      <c r="T2403" s="35" t="str">
        <f aca="false">IF($R2403="","",$R2403-$K2403)</f>
        <v/>
      </c>
      <c r="U2403" s="35" t="str">
        <f aca="false">IF(N($P2403)&lt;=0,"",COUNTIF($P$6:$P2403,"&gt;0"))</f>
        <v/>
      </c>
    </row>
    <row r="2404" customFormat="false" ht="15" hidden="false" customHeight="false" outlineLevel="0" collapsed="false">
      <c r="A2404" s="40" t="str">
        <f aca="false">IF(INDEX(BookTitle,2399)="","",INDEX(BookGroup,2399))</f>
        <v/>
      </c>
      <c r="B2404" s="40" t="str">
        <f aca="false">IF(INDEX(BookTitle,2399)="","",INDEX(BookRef,2399))</f>
        <v/>
      </c>
      <c r="C2404" s="40" t="str">
        <f aca="false">IF(INDEX(BookTitle,2399)="","",INDEX(BookDivision,2399))</f>
        <v/>
      </c>
      <c r="D2404" s="40" t="str">
        <f aca="false">IF(INDEX(BookTitle,2399)="","",INDEX(BookUnit,2399))</f>
        <v/>
      </c>
      <c r="E2404" s="40" t="str">
        <f aca="false">IF(INDEX(BookTitle,2399)="","",INDEX(BookTitle,2399))</f>
        <v/>
      </c>
      <c r="F2404" s="40" t="str">
        <f aca="false">IF(INDEX(BookTitle,2399)="","",INDEX(BookLevel,2399))</f>
        <v/>
      </c>
      <c r="G2404" s="40" t="str">
        <f aca="false">IF(INDEX(BookTitle,2399)="","",INDEX(BookCategory,2399))</f>
        <v/>
      </c>
      <c r="H2404" s="40" t="str">
        <f aca="false">IF(INDEX(BookTitle,2399)="","",INDEX(BookRank,2399))</f>
        <v/>
      </c>
      <c r="I2404" s="41" t="str">
        <f aca="false">IF(INDEX(BookTitle,2399)="","",INDEX(BookTotal,2399))</f>
        <v/>
      </c>
      <c r="J2404" s="0" t="str">
        <f aca="false">IF($I2404="","",IF(INDEX(BookQ1,2399)&gt;0,"Q1",IF(INDEX(BookQ2,2399)&gt;0,"Q2",IF(INDEX(BookQ3,2399)&gt;0,"Q3",IF(INDEX(BookQ4,2399)&gt;0,"Q4","")))))</f>
        <v/>
      </c>
      <c r="K2404" s="42" t="str">
        <f aca="false">IF(INDEX(BookTitle,2399)="","",INDEX(BookInYear,2399))</f>
        <v/>
      </c>
      <c r="L2404" s="19"/>
      <c r="M2404" s="39"/>
      <c r="N2404" s="19"/>
      <c r="O2404" s="19"/>
      <c r="P2404" s="43" t="str">
        <f aca="false">IF($E2404="","",IF($L2404="Decline",0,IF($L2404="Approve fewer",IF($M2404="","",$M2404),IF($L2404="","",$I2404))))</f>
        <v/>
      </c>
      <c r="Q2404" s="34" t="str">
        <f aca="false">IF($P2404="","",IF($N2404&lt;&gt;"",$N2404,$J2404))</f>
        <v/>
      </c>
      <c r="R2404" s="35" t="str">
        <f aca="false">IF(OR($P2404="",$Q2404=""),"",INDEX(BookRate,2399)*$P2404*(5-MATCH($Q2404,{"Q1";"Q2";"Q3";"Q4"},0))/4+INDEX(BookOneOff,2399)*$P2404)</f>
        <v/>
      </c>
      <c r="S2404" s="35" t="str">
        <f aca="false">IF($P2404="","",INDEX(BookRate,2399)*$P2404)</f>
        <v/>
      </c>
      <c r="T2404" s="35" t="str">
        <f aca="false">IF($R2404="","",$R2404-$K2404)</f>
        <v/>
      </c>
      <c r="U2404" s="35" t="str">
        <f aca="false">IF(N($P2404)&lt;=0,"",COUNTIF($P$6:$P2404,"&gt;0"))</f>
        <v/>
      </c>
    </row>
    <row r="2405" customFormat="false" ht="15" hidden="false" customHeight="false" outlineLevel="0" collapsed="false">
      <c r="A2405" s="40" t="str">
        <f aca="false">IF(INDEX(BookTitle,2400)="","",INDEX(BookGroup,2400))</f>
        <v/>
      </c>
      <c r="B2405" s="40" t="str">
        <f aca="false">IF(INDEX(BookTitle,2400)="","",INDEX(BookRef,2400))</f>
        <v/>
      </c>
      <c r="C2405" s="40" t="str">
        <f aca="false">IF(INDEX(BookTitle,2400)="","",INDEX(BookDivision,2400))</f>
        <v/>
      </c>
      <c r="D2405" s="40" t="str">
        <f aca="false">IF(INDEX(BookTitle,2400)="","",INDEX(BookUnit,2400))</f>
        <v/>
      </c>
      <c r="E2405" s="40" t="str">
        <f aca="false">IF(INDEX(BookTitle,2400)="","",INDEX(BookTitle,2400))</f>
        <v/>
      </c>
      <c r="F2405" s="40" t="str">
        <f aca="false">IF(INDEX(BookTitle,2400)="","",INDEX(BookLevel,2400))</f>
        <v/>
      </c>
      <c r="G2405" s="40" t="str">
        <f aca="false">IF(INDEX(BookTitle,2400)="","",INDEX(BookCategory,2400))</f>
        <v/>
      </c>
      <c r="H2405" s="40" t="str">
        <f aca="false">IF(INDEX(BookTitle,2400)="","",INDEX(BookRank,2400))</f>
        <v/>
      </c>
      <c r="I2405" s="41" t="str">
        <f aca="false">IF(INDEX(BookTitle,2400)="","",INDEX(BookTotal,2400))</f>
        <v/>
      </c>
      <c r="J2405" s="0" t="str">
        <f aca="false">IF($I2405="","",IF(INDEX(BookQ1,2400)&gt;0,"Q1",IF(INDEX(BookQ2,2400)&gt;0,"Q2",IF(INDEX(BookQ3,2400)&gt;0,"Q3",IF(INDEX(BookQ4,2400)&gt;0,"Q4","")))))</f>
        <v/>
      </c>
      <c r="K2405" s="42" t="str">
        <f aca="false">IF(INDEX(BookTitle,2400)="","",INDEX(BookInYear,2400))</f>
        <v/>
      </c>
      <c r="L2405" s="19"/>
      <c r="M2405" s="39"/>
      <c r="N2405" s="19"/>
      <c r="O2405" s="19"/>
      <c r="P2405" s="43" t="str">
        <f aca="false">IF($E2405="","",IF($L2405="Decline",0,IF($L2405="Approve fewer",IF($M2405="","",$M2405),IF($L2405="","",$I2405))))</f>
        <v/>
      </c>
      <c r="Q2405" s="34" t="str">
        <f aca="false">IF($P2405="","",IF($N2405&lt;&gt;"",$N2405,$J2405))</f>
        <v/>
      </c>
      <c r="R2405" s="35" t="str">
        <f aca="false">IF(OR($P2405="",$Q2405=""),"",INDEX(BookRate,2400)*$P2405*(5-MATCH($Q2405,{"Q1";"Q2";"Q3";"Q4"},0))/4+INDEX(BookOneOff,2400)*$P2405)</f>
        <v/>
      </c>
      <c r="S2405" s="35" t="str">
        <f aca="false">IF($P2405="","",INDEX(BookRate,2400)*$P2405)</f>
        <v/>
      </c>
      <c r="T2405" s="35" t="str">
        <f aca="false">IF($R2405="","",$R2405-$K2405)</f>
        <v/>
      </c>
      <c r="U2405" s="35" t="str">
        <f aca="false">IF(N($P2405)&lt;=0,"",COUNTIF($P$6:$P2405,"&gt;0"))</f>
        <v/>
      </c>
    </row>
  </sheetData>
  <sheetProtection sheet="true" sort="false" autoFilter="false"/>
  <autoFilter ref="A5:U2405"/>
  <mergeCells count="1">
    <mergeCell ref="A2:J2"/>
  </mergeCells>
  <conditionalFormatting sqref="L6:L2405">
    <cfRule type="cellIs" priority="2" operator="equal" aboveAverage="0" equalAverage="0" bottom="0" percent="0" rank="0" text="" dxfId="0">
      <formula>"Decline"</formula>
    </cfRule>
  </conditionalFormatting>
  <conditionalFormatting sqref="T6:T2405">
    <cfRule type="cellIs" priority="3" operator="lessThan" aboveAverage="0" equalAverage="0" bottom="0" percent="0" rank="0" text="" dxfId="14">
      <formula>0</formula>
    </cfRule>
  </conditionalFormatting>
  <dataValidations count="2">
    <dataValidation allowBlank="true" error="Pick a decision from the list." errorStyle="stop" operator="between" showDropDown="false" showErrorMessage="true" showInputMessage="false" sqref="L6:L2405" type="list">
      <formula1>DecisionList</formula1>
      <formula2>0</formula2>
    </dataValidation>
    <dataValidation allowBlank="true" errorStyle="stop" operator="between" showDropDown="false" showErrorMessage="true" showInputMessage="false" sqref="N6:N2405"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58"/>
  </cols>
  <sheetData>
    <row r="1" customFormat="false" ht="24" hidden="false" customHeight="true" outlineLevel="0" collapsed="false">
      <c r="A1" s="1" t="s">
        <v>149</v>
      </c>
    </row>
    <row r="2" customFormat="false" ht="15" hidden="false" customHeight="false" outlineLevel="0" collapsed="false">
      <c r="A2" s="2" t="s">
        <v>150</v>
      </c>
      <c r="B2" s="2"/>
      <c r="C2" s="2"/>
      <c r="D2" s="2"/>
      <c r="E2" s="2"/>
      <c r="F2" s="2"/>
      <c r="G2" s="2"/>
      <c r="H2" s="2"/>
      <c r="I2" s="2"/>
      <c r="J2" s="2"/>
    </row>
    <row r="4" customFormat="false" ht="15" hidden="false" customHeight="false" outlineLevel="0" collapsed="false">
      <c r="A4" s="3" t="s">
        <v>151</v>
      </c>
    </row>
    <row r="5" customFormat="false" ht="30" hidden="false" customHeight="true" outlineLevel="0" collapsed="false">
      <c r="A5" s="16" t="s">
        <v>152</v>
      </c>
      <c r="B5" s="16" t="s">
        <v>153</v>
      </c>
      <c r="C5" s="16" t="s">
        <v>154</v>
      </c>
      <c r="D5" s="16" t="s">
        <v>155</v>
      </c>
      <c r="E5" s="16" t="s">
        <v>156</v>
      </c>
      <c r="F5" s="16" t="s">
        <v>157</v>
      </c>
    </row>
    <row r="6" customFormat="false" ht="25.5" hidden="false" customHeight="true" outlineLevel="0" collapsed="false">
      <c r="A6" s="6" t="s">
        <v>158</v>
      </c>
      <c r="B6" s="14" t="n">
        <v>1</v>
      </c>
      <c r="C6" s="14" t="n">
        <v>0.9</v>
      </c>
      <c r="D6" s="14" t="n">
        <v>1.15</v>
      </c>
      <c r="E6" s="14" t="n">
        <v>1</v>
      </c>
      <c r="F6" s="44" t="s">
        <v>159</v>
      </c>
    </row>
    <row r="7" customFormat="false" ht="25.5" hidden="false" customHeight="true" outlineLevel="0" collapsed="false">
      <c r="A7" s="6" t="s">
        <v>160</v>
      </c>
      <c r="B7" s="14" t="n">
        <v>1</v>
      </c>
      <c r="C7" s="14" t="n">
        <v>0.7</v>
      </c>
      <c r="D7" s="14" t="n">
        <v>1</v>
      </c>
      <c r="E7" s="14" t="n">
        <v>0.85</v>
      </c>
      <c r="F7" s="44" t="s">
        <v>161</v>
      </c>
    </row>
    <row r="8" customFormat="false" ht="25.5" hidden="false" customHeight="true" outlineLevel="0" collapsed="false">
      <c r="A8" s="6" t="s">
        <v>162</v>
      </c>
      <c r="B8" s="19" t="n">
        <v>0</v>
      </c>
      <c r="C8" s="19" t="n">
        <v>1</v>
      </c>
      <c r="D8" s="19" t="n">
        <v>0</v>
      </c>
      <c r="E8" s="19" t="n">
        <v>0</v>
      </c>
      <c r="F8" s="44" t="s">
        <v>163</v>
      </c>
    </row>
    <row r="9" customFormat="false" ht="25.5" hidden="false" customHeight="true" outlineLevel="0" collapsed="false">
      <c r="A9" s="6" t="s">
        <v>51</v>
      </c>
      <c r="B9" s="14" t="n">
        <v>0.09</v>
      </c>
      <c r="C9" s="14" t="n">
        <v>0.11</v>
      </c>
      <c r="D9" s="14" t="n">
        <v>0.09</v>
      </c>
      <c r="E9" s="14" t="n">
        <v>0.09</v>
      </c>
      <c r="F9" s="44" t="s">
        <v>164</v>
      </c>
    </row>
    <row r="10" customFormat="false" ht="25.5" hidden="false" customHeight="true" outlineLevel="0" collapsed="false">
      <c r="A10" s="6" t="s">
        <v>165</v>
      </c>
      <c r="B10" s="14" t="n">
        <v>0.04</v>
      </c>
      <c r="C10" s="14" t="n">
        <v>0.04</v>
      </c>
      <c r="D10" s="14" t="n">
        <v>0.05</v>
      </c>
      <c r="E10" s="14" t="n">
        <v>0.04</v>
      </c>
      <c r="F10" s="44" t="s">
        <v>166</v>
      </c>
    </row>
    <row r="11" customFormat="false" ht="25.5" hidden="false" customHeight="true" outlineLevel="0" collapsed="false">
      <c r="A11" s="6" t="s">
        <v>167</v>
      </c>
      <c r="B11" s="19" t="n">
        <v>1</v>
      </c>
      <c r="C11" s="19" t="n">
        <v>1.5</v>
      </c>
      <c r="D11" s="19" t="n">
        <v>0.5</v>
      </c>
      <c r="E11" s="19" t="n">
        <v>1</v>
      </c>
      <c r="F11" s="44" t="s">
        <v>168</v>
      </c>
    </row>
    <row r="13" customFormat="false" ht="15" hidden="false" customHeight="false" outlineLevel="0" collapsed="false">
      <c r="A13" s="3" t="s">
        <v>169</v>
      </c>
    </row>
    <row r="14" customFormat="false" ht="30" hidden="false" customHeight="true" outlineLevel="0" collapsed="false">
      <c r="A14" s="16" t="s">
        <v>170</v>
      </c>
      <c r="B14" s="16" t="s">
        <v>153</v>
      </c>
      <c r="C14" s="16" t="s">
        <v>154</v>
      </c>
      <c r="D14" s="16" t="s">
        <v>155</v>
      </c>
      <c r="E14" s="16" t="s">
        <v>156</v>
      </c>
      <c r="F14" s="16" t="s">
        <v>171</v>
      </c>
    </row>
    <row r="15" customFormat="false" ht="15" hidden="false" customHeight="false" outlineLevel="0" collapsed="false">
      <c r="A15" s="17" t="s">
        <v>172</v>
      </c>
      <c r="B15" s="45" t="n">
        <f aca="false">SUM(Engine!$D$6:$D$2405)</f>
        <v>0</v>
      </c>
      <c r="C15" s="45" t="n">
        <f aca="false">SUM(Engine!$I$6:$I$2405)</f>
        <v>0</v>
      </c>
      <c r="D15" s="45" t="n">
        <f aca="false">SUM(Engine!$N$6:$N$2405)</f>
        <v>0</v>
      </c>
      <c r="E15" s="45" t="n">
        <f aca="false">SUM(Engine!$S$6:$S$2405)</f>
        <v>0</v>
      </c>
      <c r="F15" s="46" t="s">
        <v>173</v>
      </c>
    </row>
    <row r="16" customFormat="false" ht="15" hidden="false" customHeight="false" outlineLevel="0" collapsed="false">
      <c r="A16" s="17" t="s">
        <v>174</v>
      </c>
      <c r="B16" s="47" t="n">
        <f aca="false">COUNTIFS(Engine!$G$6:$G$2405,1)</f>
        <v>0</v>
      </c>
      <c r="C16" s="47" t="n">
        <f aca="false">COUNTIFS(Engine!$L$6:$L$2405,1)</f>
        <v>0</v>
      </c>
      <c r="D16" s="47" t="n">
        <f aca="false">COUNTIFS(Engine!$Q$6:$Q$2405,1)</f>
        <v>0</v>
      </c>
      <c r="E16" s="47" t="n">
        <f aca="false">COUNTIFS(Engine!$V$6:$V$2405,1)</f>
        <v>0</v>
      </c>
      <c r="F16" s="46" t="s">
        <v>175</v>
      </c>
    </row>
    <row r="17" customFormat="false" ht="15" hidden="false" customHeight="false" outlineLevel="0" collapsed="false">
      <c r="A17" s="17" t="s">
        <v>176</v>
      </c>
      <c r="B17" s="45" t="n">
        <f aca="false">SUMIFS(Engine!$D$6:$D$2405,Engine!$G$6:$G$2405,1)</f>
        <v>0</v>
      </c>
      <c r="C17" s="45" t="n">
        <f aca="false">SUMIFS(Engine!$I$6:$I$2405,Engine!$L$6:$L$2405,1)</f>
        <v>0</v>
      </c>
      <c r="D17" s="45" t="n">
        <f aca="false">SUMIFS(Engine!$N$6:$N$2405,Engine!$Q$6:$Q$2405,1)</f>
        <v>0</v>
      </c>
      <c r="E17" s="45" t="n">
        <f aca="false">SUMIFS(Engine!$S$6:$S$2405,Engine!$V$6:$V$2405,1)</f>
        <v>0</v>
      </c>
      <c r="F17" s="46" t="s">
        <v>177</v>
      </c>
    </row>
    <row r="18" customFormat="false" ht="15" hidden="false" customHeight="false" outlineLevel="0" collapsed="false">
      <c r="A18" s="17" t="s">
        <v>178</v>
      </c>
      <c r="B18" s="47" t="n">
        <f aca="false">SUMIFS(Engine!$E$6:$E$2405,Engine!$G$6:$G$2405,1)</f>
        <v>0</v>
      </c>
      <c r="C18" s="47" t="n">
        <f aca="false">SUMIFS(Engine!$J$6:$J$2405,Engine!$L$6:$L$2405,1)</f>
        <v>0</v>
      </c>
      <c r="D18" s="47" t="n">
        <f aca="false">SUMIFS(Engine!$O$6:$O$2405,Engine!$Q$6:$Q$2405,1)</f>
        <v>0</v>
      </c>
      <c r="E18" s="47" t="n">
        <f aca="false">SUMIFS(Engine!$T$6:$T$2405,Engine!$V$6:$V$2405,1)</f>
        <v>0</v>
      </c>
      <c r="F18" s="46" t="s">
        <v>179</v>
      </c>
    </row>
    <row r="19" customFormat="false" ht="15" hidden="false" customHeight="false" outlineLevel="0" collapsed="false">
      <c r="A19" s="17" t="s">
        <v>180</v>
      </c>
      <c r="B19" s="47" t="n">
        <f aca="false">SUMIFS(Engine!$H$6:$H$2405,Engine!$G$6:$G$2405,1)</f>
        <v>0</v>
      </c>
      <c r="C19" s="47" t="n">
        <f aca="false">SUMIFS(Engine!$M$6:$M$2405,Engine!$L$6:$L$2405,1)</f>
        <v>0</v>
      </c>
      <c r="D19" s="47" t="n">
        <f aca="false">SUMIFS(Engine!$R$6:$R$2405,Engine!$Q$6:$Q$2405,1)</f>
        <v>0</v>
      </c>
      <c r="E19" s="47" t="n">
        <f aca="false">SUMIFS(Engine!$W$6:$W$2405,Engine!$V$6:$V$2405,1)</f>
        <v>0</v>
      </c>
      <c r="F19" s="46" t="s">
        <v>181</v>
      </c>
    </row>
    <row r="20" customFormat="false" ht="15" hidden="false" customHeight="false" outlineLevel="0" collapsed="false">
      <c r="A20" s="17" t="s">
        <v>182</v>
      </c>
      <c r="B20" s="47" t="n">
        <f aca="false">BankCostEnvelope*$B$7</f>
        <v>35431</v>
      </c>
      <c r="C20" s="47" t="n">
        <f aca="false">BankCostEnvelope*$C$7</f>
        <v>24801.7</v>
      </c>
      <c r="D20" s="47" t="n">
        <f aca="false">BankCostEnvelope*$D$7</f>
        <v>35431</v>
      </c>
      <c r="E20" s="47" t="n">
        <f aca="false">BankCostEnvelope*$E$7</f>
        <v>30116.35</v>
      </c>
      <c r="F20" s="46" t="s">
        <v>183</v>
      </c>
    </row>
    <row r="21" customFormat="false" ht="15" hidden="false" customHeight="false" outlineLevel="0" collapsed="false">
      <c r="A21" s="17" t="s">
        <v>184</v>
      </c>
      <c r="B21" s="45" t="n">
        <f aca="false">SUM(Engine!$D$6:$D$2405)-SUMIFS(Engine!$D$6:$D$2405,Engine!$G$6:$G$2405,1)</f>
        <v>0</v>
      </c>
      <c r="C21" s="45" t="n">
        <f aca="false">SUM(Engine!$I$6:$I$2405)-SUMIFS(Engine!$I$6:$I$2405,Engine!$L$6:$L$2405,1)</f>
        <v>0</v>
      </c>
      <c r="D21" s="45" t="n">
        <f aca="false">SUM(Engine!$N$6:$N$2405)-SUMIFS(Engine!$N$6:$N$2405,Engine!$Q$6:$Q$2405,1)</f>
        <v>0</v>
      </c>
      <c r="E21" s="45" t="n">
        <f aca="false">SUM(Engine!$S$6:$S$2405)-SUMIFS(Engine!$S$6:$S$2405,Engine!$V$6:$V$2405,1)</f>
        <v>0</v>
      </c>
      <c r="F21" s="46" t="s">
        <v>185</v>
      </c>
    </row>
    <row r="22" customFormat="false" ht="15" hidden="false" customHeight="false" outlineLevel="0" collapsed="false">
      <c r="A22" s="17" t="s">
        <v>186</v>
      </c>
      <c r="B22" s="45" t="n">
        <f aca="false">SUMIFS(Engine!$D$6:$D$2405,Engine!$G$6:$G$2405,1,Engine!$C$6:$C$2405,"Regulatory")</f>
        <v>0</v>
      </c>
      <c r="C22" s="45" t="n">
        <f aca="false">SUMIFS(Engine!$I$6:$I$2405,Engine!$L$6:$L$2405,1,Engine!$C$6:$C$2405,"Regulatory")</f>
        <v>0</v>
      </c>
      <c r="D22" s="45" t="n">
        <f aca="false">SUMIFS(Engine!$N$6:$N$2405,Engine!$Q$6:$Q$2405,1,Engine!$C$6:$C$2405,"Regulatory")</f>
        <v>0</v>
      </c>
      <c r="E22" s="45" t="n">
        <f aca="false">SUMIFS(Engine!$S$6:$S$2405,Engine!$V$6:$V$2405,1,Engine!$C$6:$C$2405,"Regulatory")</f>
        <v>0</v>
      </c>
      <c r="F22" s="46" t="s">
        <v>187</v>
      </c>
    </row>
    <row r="23" customFormat="false" ht="15" hidden="false" customHeight="false" outlineLevel="0" collapsed="false">
      <c r="A23" s="17" t="s">
        <v>188</v>
      </c>
      <c r="B23" s="45" t="n">
        <f aca="false">'1. Envelopes'!$B$23-SUM(RetExits)+SUMIFS(Engine!$D$6:$D$2405,Engine!$G$6:$G$2405,1)</f>
        <v>2568</v>
      </c>
      <c r="C23" s="45" t="n">
        <f aca="false">'1. Envelopes'!$B$23-SUM(RetExits)+SUMIFS(Engine!$I$6:$I$2405,Engine!$L$6:$L$2405,1)</f>
        <v>2568</v>
      </c>
      <c r="D23" s="45" t="n">
        <f aca="false">'1. Envelopes'!$B$23-SUM(RetExits)+SUMIFS(Engine!$N$6:$N$2405,Engine!$Q$6:$Q$2405,1)</f>
        <v>2568</v>
      </c>
      <c r="E23" s="45" t="n">
        <f aca="false">'1. Envelopes'!$B$23-SUM(RetExits)+SUMIFS(Engine!$S$6:$S$2405,Engine!$V$6:$V$2405,1)</f>
        <v>2568</v>
      </c>
      <c r="F23" s="46" t="s">
        <v>189</v>
      </c>
    </row>
    <row r="24" customFormat="false" ht="32.8" hidden="false" customHeight="false" outlineLevel="0" collapsed="false">
      <c r="A24" s="17" t="s">
        <v>190</v>
      </c>
      <c r="B24" s="48" t="n">
        <f aca="false">IFERROR(SUM(RetMandated)/('1. Envelopes'!$B$23-SUM(RetExits)+SUMIFS(Engine!$D$6:$D$2405,Engine!$G$6:$G$2405,1)),0)</f>
        <v>0</v>
      </c>
      <c r="C24" s="48" t="n">
        <f aca="false">IFERROR(SUM(RetMandated)/('1. Envelopes'!$B$23-SUM(RetExits)+SUMIFS(Engine!$I$6:$I$2405,Engine!$L$6:$L$2405,1)),0)</f>
        <v>0</v>
      </c>
      <c r="D24" s="48" t="n">
        <f aca="false">IFERROR(SUM(RetMandated)/('1. Envelopes'!$B$23-SUM(RetExits)+SUMIFS(Engine!$N$6:$N$2405,Engine!$Q$6:$Q$2405,1)),0)</f>
        <v>0</v>
      </c>
      <c r="E24" s="48" t="n">
        <f aca="false">IFERROR(SUM(RetMandated)/('1. Envelopes'!$B$23-SUM(RetExits)+SUMIFS(Engine!$S$6:$S$2405,Engine!$V$6:$V$2405,1)),0)</f>
        <v>0</v>
      </c>
      <c r="F24" s="46" t="s">
        <v>191</v>
      </c>
    </row>
    <row r="25" customFormat="false" ht="15" hidden="false" customHeight="false" outlineLevel="0" collapsed="false">
      <c r="A25" s="17" t="s">
        <v>192</v>
      </c>
      <c r="B25" s="9" t="str">
        <f aca="false">IF(SUMIFS(Engine!$D$6:$D$2405,Engine!$G$6:$G$2405,1)-SUM(RetExits)&lt;=BankHeadEnvelope,"Within","Over by "&amp;TEXT(SUMIFS(Engine!$D$6:$D$2405,Engine!$G$6:$G$2405,1)-SUM(RetExits)-BankHeadEnvelope,"#,##0.0"))</f>
        <v>Within</v>
      </c>
      <c r="C25" s="9" t="str">
        <f aca="false">IF(SUMIFS(Engine!$I$6:$I$2405,Engine!$L$6:$L$2405,1)-SUM(RetExits)&lt;=BankHeadEnvelope,"Within","Over by "&amp;TEXT(SUMIFS(Engine!$I$6:$I$2405,Engine!$L$6:$L$2405,1)-SUM(RetExits)-BankHeadEnvelope,"#,##0.0"))</f>
        <v>Within</v>
      </c>
      <c r="D25" s="9" t="str">
        <f aca="false">IF(SUMIFS(Engine!$N$6:$N$2405,Engine!$Q$6:$Q$2405,1)-SUM(RetExits)&lt;=BankHeadEnvelope,"Within","Over by "&amp;TEXT(SUMIFS(Engine!$N$6:$N$2405,Engine!$Q$6:$Q$2405,1)-SUM(RetExits)-BankHeadEnvelope,"#,##0.0"))</f>
        <v>Within</v>
      </c>
      <c r="E25" s="9" t="str">
        <f aca="false">IF(SUMIFS(Engine!$S$6:$S$2405,Engine!$V$6:$V$2405,1)-SUM(RetExits)&lt;=BankHeadEnvelope,"Within","Over by "&amp;TEXT(SUMIFS(Engine!$S$6:$S$2405,Engine!$V$6:$V$2405,1)-SUM(RetExits)-BankHeadEnvelope,"#,##0.0"))</f>
        <v>Within</v>
      </c>
      <c r="F25" s="46" t="s">
        <v>193</v>
      </c>
    </row>
    <row r="26" customFormat="false" ht="15" hidden="false" customHeight="false" outlineLevel="0" collapsed="false">
      <c r="A26" s="17" t="s">
        <v>194</v>
      </c>
      <c r="B26" s="47" t="n">
        <f aca="false">ROUND('1. Envelopes'!$C$23*$B$9,0)</f>
        <v>208</v>
      </c>
      <c r="C26" s="47" t="n">
        <f aca="false">ROUND('1. Envelopes'!$C$23*$C$9,0)</f>
        <v>254</v>
      </c>
      <c r="D26" s="47" t="n">
        <f aca="false">ROUND('1. Envelopes'!$C$23*$D$9,0)</f>
        <v>208</v>
      </c>
      <c r="E26" s="47" t="n">
        <f aca="false">ROUND('1. Envelopes'!$C$23*$E$9,0)</f>
        <v>208</v>
      </c>
      <c r="F26" s="46" t="s">
        <v>195</v>
      </c>
    </row>
    <row r="28" customFormat="false" ht="25.5" hidden="false" customHeight="true" outlineLevel="0" collapsed="false">
      <c r="A28" s="11" t="s">
        <v>196</v>
      </c>
      <c r="B28" s="11"/>
      <c r="C28" s="11"/>
      <c r="D28" s="11"/>
      <c r="E28" s="11"/>
      <c r="F28" s="11"/>
    </row>
    <row r="30" customFormat="false" ht="15" hidden="false" customHeight="false" outlineLevel="0" collapsed="false">
      <c r="A30" s="3" t="s">
        <v>197</v>
      </c>
    </row>
    <row r="31" customFormat="false" ht="30" hidden="false" customHeight="true" outlineLevel="0" collapsed="false">
      <c r="A31" s="16" t="s">
        <v>198</v>
      </c>
      <c r="B31" s="16" t="s">
        <v>153</v>
      </c>
      <c r="C31" s="16" t="s">
        <v>154</v>
      </c>
      <c r="D31" s="16" t="s">
        <v>155</v>
      </c>
      <c r="E31" s="16" t="s">
        <v>156</v>
      </c>
      <c r="F31" s="16"/>
    </row>
    <row r="32" customFormat="false" ht="15" hidden="false" customHeight="false" outlineLevel="0" collapsed="false">
      <c r="A32" s="9" t="s">
        <v>199</v>
      </c>
      <c r="B32" s="21" t="n">
        <f aca="false">SUMIFS(Engine!$D$6:$D$2405,Engine!$G$6:$G$2405,1,Engine!$C$6:$C$2405,"Regulatory")</f>
        <v>0</v>
      </c>
      <c r="C32" s="21" t="n">
        <f aca="false">SUMIFS(Engine!$I$6:$I$2405,Engine!$L$6:$L$2405,1,Engine!$C$6:$C$2405,"Regulatory")</f>
        <v>0</v>
      </c>
      <c r="D32" s="21" t="n">
        <f aca="false">SUMIFS(Engine!$N$6:$N$2405,Engine!$Q$6:$Q$2405,1,Engine!$C$6:$C$2405,"Regulatory")</f>
        <v>0</v>
      </c>
      <c r="E32" s="21" t="n">
        <f aca="false">SUMIFS(Engine!$S$6:$S$2405,Engine!$V$6:$V$2405,1,Engine!$C$6:$C$2405,"Regulatory")</f>
        <v>0</v>
      </c>
      <c r="F32" s="46" t="s">
        <v>200</v>
      </c>
    </row>
    <row r="33" customFormat="false" ht="15" hidden="false" customHeight="false" outlineLevel="0" collapsed="false">
      <c r="A33" s="9" t="s">
        <v>201</v>
      </c>
      <c r="B33" s="21" t="n">
        <f aca="false">SUMIFS(Engine!$D$6:$D$2405,Engine!$G$6:$G$2405,1,Engine!$C$6:$C$2405,"Strategic")</f>
        <v>0</v>
      </c>
      <c r="C33" s="21" t="n">
        <f aca="false">SUMIFS(Engine!$I$6:$I$2405,Engine!$L$6:$L$2405,1,Engine!$C$6:$C$2405,"Strategic")</f>
        <v>0</v>
      </c>
      <c r="D33" s="21" t="n">
        <f aca="false">SUMIFS(Engine!$N$6:$N$2405,Engine!$Q$6:$Q$2405,1,Engine!$C$6:$C$2405,"Strategic")</f>
        <v>0</v>
      </c>
      <c r="E33" s="21" t="n">
        <f aca="false">SUMIFS(Engine!$S$6:$S$2405,Engine!$V$6:$V$2405,1,Engine!$C$6:$C$2405,"Strategic")</f>
        <v>0</v>
      </c>
      <c r="F33" s="46" t="s">
        <v>202</v>
      </c>
    </row>
    <row r="34" customFormat="false" ht="15" hidden="false" customHeight="false" outlineLevel="0" collapsed="false">
      <c r="A34" s="9" t="s">
        <v>203</v>
      </c>
      <c r="B34" s="21" t="n">
        <f aca="false">SUMIFS(Engine!$D$6:$D$2405,Engine!$G$6:$G$2405,1,Engine!$C$6:$C$2405,"Control")</f>
        <v>0</v>
      </c>
      <c r="C34" s="21" t="n">
        <f aca="false">SUMIFS(Engine!$I$6:$I$2405,Engine!$L$6:$L$2405,1,Engine!$C$6:$C$2405,"Control")</f>
        <v>0</v>
      </c>
      <c r="D34" s="21" t="n">
        <f aca="false">SUMIFS(Engine!$N$6:$N$2405,Engine!$Q$6:$Q$2405,1,Engine!$C$6:$C$2405,"Control")</f>
        <v>0</v>
      </c>
      <c r="E34" s="21" t="n">
        <f aca="false">SUMIFS(Engine!$S$6:$S$2405,Engine!$V$6:$V$2405,1,Engine!$C$6:$C$2405,"Control")</f>
        <v>0</v>
      </c>
      <c r="F34" s="46" t="s">
        <v>204</v>
      </c>
    </row>
    <row r="35" customFormat="false" ht="15" hidden="false" customHeight="false" outlineLevel="0" collapsed="false">
      <c r="A35" s="9" t="s">
        <v>205</v>
      </c>
      <c r="B35" s="21" t="n">
        <f aca="false">SUMIFS(Engine!$D$6:$D$2405,Engine!$G$6:$G$2405,1,Engine!$C$6:$C$2405,"BAU")</f>
        <v>0</v>
      </c>
      <c r="C35" s="21" t="n">
        <f aca="false">SUMIFS(Engine!$I$6:$I$2405,Engine!$L$6:$L$2405,1,Engine!$C$6:$C$2405,"BAU")</f>
        <v>0</v>
      </c>
      <c r="D35" s="21" t="n">
        <f aca="false">SUMIFS(Engine!$N$6:$N$2405,Engine!$Q$6:$Q$2405,1,Engine!$C$6:$C$2405,"BAU")</f>
        <v>0</v>
      </c>
      <c r="E35" s="21" t="n">
        <f aca="false">SUMIFS(Engine!$S$6:$S$2405,Engine!$V$6:$V$2405,1,Engine!$C$6:$C$2405,"BAU")</f>
        <v>0</v>
      </c>
      <c r="F35" s="46" t="s">
        <v>206</v>
      </c>
    </row>
    <row r="37" customFormat="false" ht="15" hidden="false" customHeight="false" outlineLevel="0" collapsed="false">
      <c r="A37" s="3" t="s">
        <v>207</v>
      </c>
    </row>
    <row r="38" customFormat="false" ht="30" hidden="false" customHeight="true" outlineLevel="0" collapsed="false">
      <c r="A38" s="16" t="s">
        <v>43</v>
      </c>
      <c r="B38" s="16" t="s">
        <v>153</v>
      </c>
      <c r="C38" s="16" t="s">
        <v>154</v>
      </c>
      <c r="D38" s="16" t="s">
        <v>155</v>
      </c>
      <c r="E38" s="16" t="s">
        <v>156</v>
      </c>
      <c r="F38" s="16"/>
    </row>
    <row r="39" customFormat="false" ht="15" hidden="false" customHeight="false" outlineLevel="0" collapsed="false">
      <c r="A39" s="9" t="s">
        <v>63</v>
      </c>
      <c r="B39" s="18" t="n">
        <f aca="false">SUMIFS(Engine!$E$6:$E$2405,Engine!$G$6:$G$2405,1,Engine!$B$6:$B$2405,"CEO Office")</f>
        <v>0</v>
      </c>
      <c r="C39" s="18" t="n">
        <f aca="false">SUMIFS(Engine!$J$6:$J$2405,Engine!$L$6:$L$2405,1,Engine!$B$6:$B$2405,"CEO Office")</f>
        <v>0</v>
      </c>
      <c r="D39" s="18" t="n">
        <f aca="false">SUMIFS(Engine!$O$6:$O$2405,Engine!$Q$6:$Q$2405,1,Engine!$B$6:$B$2405,"CEO Office")</f>
        <v>0</v>
      </c>
      <c r="E39" s="18" t="n">
        <f aca="false">SUMIFS(Engine!$T$6:$T$2405,Engine!$V$6:$V$2405,1,Engine!$B$6:$B$2405,"CEO Office")</f>
        <v>0</v>
      </c>
    </row>
    <row r="40" customFormat="false" ht="15" hidden="false" customHeight="false" outlineLevel="0" collapsed="false">
      <c r="A40" s="9" t="s">
        <v>67</v>
      </c>
      <c r="B40" s="18" t="n">
        <f aca="false">SUMIFS(Engine!$E$6:$E$2405,Engine!$G$6:$G$2405,1,Engine!$B$6:$B$2405,"Compliance Group")</f>
        <v>0</v>
      </c>
      <c r="C40" s="18" t="n">
        <f aca="false">SUMIFS(Engine!$J$6:$J$2405,Engine!$L$6:$L$2405,1,Engine!$B$6:$B$2405,"Compliance Group")</f>
        <v>0</v>
      </c>
      <c r="D40" s="18" t="n">
        <f aca="false">SUMIFS(Engine!$O$6:$O$2405,Engine!$Q$6:$Q$2405,1,Engine!$B$6:$B$2405,"Compliance Group")</f>
        <v>0</v>
      </c>
      <c r="E40" s="18" t="n">
        <f aca="false">SUMIFS(Engine!$T$6:$T$2405,Engine!$V$6:$V$2405,1,Engine!$B$6:$B$2405,"Compliance Group")</f>
        <v>0</v>
      </c>
    </row>
    <row r="41" customFormat="false" ht="15" hidden="false" customHeight="false" outlineLevel="0" collapsed="false">
      <c r="A41" s="9" t="s">
        <v>70</v>
      </c>
      <c r="B41" s="18" t="n">
        <f aca="false">SUMIFS(Engine!$E$6:$E$2405,Engine!$G$6:$G$2405,1,Engine!$B$6:$B$2405,"Corporate Banking Group")</f>
        <v>0</v>
      </c>
      <c r="C41" s="18" t="n">
        <f aca="false">SUMIFS(Engine!$J$6:$J$2405,Engine!$L$6:$L$2405,1,Engine!$B$6:$B$2405,"Corporate Banking Group")</f>
        <v>0</v>
      </c>
      <c r="D41" s="18" t="n">
        <f aca="false">SUMIFS(Engine!$O$6:$O$2405,Engine!$Q$6:$Q$2405,1,Engine!$B$6:$B$2405,"Corporate Banking Group")</f>
        <v>0</v>
      </c>
      <c r="E41" s="18" t="n">
        <f aca="false">SUMIFS(Engine!$T$6:$T$2405,Engine!$V$6:$V$2405,1,Engine!$B$6:$B$2405,"Corporate Banking Group")</f>
        <v>0</v>
      </c>
    </row>
    <row r="42" customFormat="false" ht="15" hidden="false" customHeight="false" outlineLevel="0" collapsed="false">
      <c r="A42" s="9" t="s">
        <v>73</v>
      </c>
      <c r="B42" s="18" t="n">
        <f aca="false">SUMIFS(Engine!$E$6:$E$2405,Engine!$G$6:$G$2405,1,Engine!$B$6:$B$2405,"Finance Group")</f>
        <v>0</v>
      </c>
      <c r="C42" s="18" t="n">
        <f aca="false">SUMIFS(Engine!$J$6:$J$2405,Engine!$L$6:$L$2405,1,Engine!$B$6:$B$2405,"Finance Group")</f>
        <v>0</v>
      </c>
      <c r="D42" s="18" t="n">
        <f aca="false">SUMIFS(Engine!$O$6:$O$2405,Engine!$Q$6:$Q$2405,1,Engine!$B$6:$B$2405,"Finance Group")</f>
        <v>0</v>
      </c>
      <c r="E42" s="18" t="n">
        <f aca="false">SUMIFS(Engine!$T$6:$T$2405,Engine!$V$6:$V$2405,1,Engine!$B$6:$B$2405,"Finance Group")</f>
        <v>0</v>
      </c>
    </row>
    <row r="43" customFormat="false" ht="15" hidden="false" customHeight="false" outlineLevel="0" collapsed="false">
      <c r="A43" s="9" t="s">
        <v>76</v>
      </c>
      <c r="B43" s="18" t="n">
        <f aca="false">SUMIFS(Engine!$E$6:$E$2405,Engine!$G$6:$G$2405,1,Engine!$B$6:$B$2405,"Human Resources Group")</f>
        <v>0</v>
      </c>
      <c r="C43" s="18" t="n">
        <f aca="false">SUMIFS(Engine!$J$6:$J$2405,Engine!$L$6:$L$2405,1,Engine!$B$6:$B$2405,"Human Resources Group")</f>
        <v>0</v>
      </c>
      <c r="D43" s="18" t="n">
        <f aca="false">SUMIFS(Engine!$O$6:$O$2405,Engine!$Q$6:$Q$2405,1,Engine!$B$6:$B$2405,"Human Resources Group")</f>
        <v>0</v>
      </c>
      <c r="E43" s="18" t="n">
        <f aca="false">SUMIFS(Engine!$T$6:$T$2405,Engine!$V$6:$V$2405,1,Engine!$B$6:$B$2405,"Human Resources Group")</f>
        <v>0</v>
      </c>
    </row>
    <row r="44" customFormat="false" ht="15" hidden="false" customHeight="false" outlineLevel="0" collapsed="false">
      <c r="A44" s="9" t="s">
        <v>79</v>
      </c>
      <c r="B44" s="18" t="n">
        <f aca="false">SUMIFS(Engine!$E$6:$E$2405,Engine!$G$6:$G$2405,1,Engine!$B$6:$B$2405,"Internal Audit Group")</f>
        <v>0</v>
      </c>
      <c r="C44" s="18" t="n">
        <f aca="false">SUMIFS(Engine!$J$6:$J$2405,Engine!$L$6:$L$2405,1,Engine!$B$6:$B$2405,"Internal Audit Group")</f>
        <v>0</v>
      </c>
      <c r="D44" s="18" t="n">
        <f aca="false">SUMIFS(Engine!$O$6:$O$2405,Engine!$Q$6:$Q$2405,1,Engine!$B$6:$B$2405,"Internal Audit Group")</f>
        <v>0</v>
      </c>
      <c r="E44" s="18" t="n">
        <f aca="false">SUMIFS(Engine!$T$6:$T$2405,Engine!$V$6:$V$2405,1,Engine!$B$6:$B$2405,"Internal Audit Group")</f>
        <v>0</v>
      </c>
    </row>
    <row r="45" customFormat="false" ht="15" hidden="false" customHeight="false" outlineLevel="0" collapsed="false">
      <c r="A45" s="9" t="s">
        <v>82</v>
      </c>
      <c r="B45" s="18" t="n">
        <f aca="false">SUMIFS(Engine!$E$6:$E$2405,Engine!$G$6:$G$2405,1,Engine!$B$6:$B$2405,"Legal Group")</f>
        <v>0</v>
      </c>
      <c r="C45" s="18" t="n">
        <f aca="false">SUMIFS(Engine!$J$6:$J$2405,Engine!$L$6:$L$2405,1,Engine!$B$6:$B$2405,"Legal Group")</f>
        <v>0</v>
      </c>
      <c r="D45" s="18" t="n">
        <f aca="false">SUMIFS(Engine!$O$6:$O$2405,Engine!$Q$6:$Q$2405,1,Engine!$B$6:$B$2405,"Legal Group")</f>
        <v>0</v>
      </c>
      <c r="E45" s="18" t="n">
        <f aca="false">SUMIFS(Engine!$T$6:$T$2405,Engine!$V$6:$V$2405,1,Engine!$B$6:$B$2405,"Legal Group")</f>
        <v>0</v>
      </c>
    </row>
    <row r="46" customFormat="false" ht="15" hidden="false" customHeight="false" outlineLevel="0" collapsed="false">
      <c r="A46" s="9" t="s">
        <v>85</v>
      </c>
      <c r="B46" s="18" t="n">
        <f aca="false">SUMIFS(Engine!$E$6:$E$2405,Engine!$G$6:$G$2405,1,Engine!$B$6:$B$2405,"Operations Group")</f>
        <v>0</v>
      </c>
      <c r="C46" s="18" t="n">
        <f aca="false">SUMIFS(Engine!$J$6:$J$2405,Engine!$L$6:$L$2405,1,Engine!$B$6:$B$2405,"Operations Group")</f>
        <v>0</v>
      </c>
      <c r="D46" s="18" t="n">
        <f aca="false">SUMIFS(Engine!$O$6:$O$2405,Engine!$Q$6:$Q$2405,1,Engine!$B$6:$B$2405,"Operations Group")</f>
        <v>0</v>
      </c>
      <c r="E46" s="18" t="n">
        <f aca="false">SUMIFS(Engine!$T$6:$T$2405,Engine!$V$6:$V$2405,1,Engine!$B$6:$B$2405,"Operations Group")</f>
        <v>0</v>
      </c>
    </row>
    <row r="47" customFormat="false" ht="15" hidden="false" customHeight="false" outlineLevel="0" collapsed="false">
      <c r="A47" s="9" t="s">
        <v>88</v>
      </c>
      <c r="B47" s="18" t="n">
        <f aca="false">SUMIFS(Engine!$E$6:$E$2405,Engine!$G$6:$G$2405,1,Engine!$B$6:$B$2405,"Retail Banking Group")</f>
        <v>0</v>
      </c>
      <c r="C47" s="18" t="n">
        <f aca="false">SUMIFS(Engine!$J$6:$J$2405,Engine!$L$6:$L$2405,1,Engine!$B$6:$B$2405,"Retail Banking Group")</f>
        <v>0</v>
      </c>
      <c r="D47" s="18" t="n">
        <f aca="false">SUMIFS(Engine!$O$6:$O$2405,Engine!$Q$6:$Q$2405,1,Engine!$B$6:$B$2405,"Retail Banking Group")</f>
        <v>0</v>
      </c>
      <c r="E47" s="18" t="n">
        <f aca="false">SUMIFS(Engine!$T$6:$T$2405,Engine!$V$6:$V$2405,1,Engine!$B$6:$B$2405,"Retail Banking Group")</f>
        <v>0</v>
      </c>
    </row>
    <row r="48" customFormat="false" ht="15" hidden="false" customHeight="false" outlineLevel="0" collapsed="false">
      <c r="A48" s="9" t="s">
        <v>91</v>
      </c>
      <c r="B48" s="18" t="n">
        <f aca="false">SUMIFS(Engine!$E$6:$E$2405,Engine!$G$6:$G$2405,1,Engine!$B$6:$B$2405,"Risk Group")</f>
        <v>0</v>
      </c>
      <c r="C48" s="18" t="n">
        <f aca="false">SUMIFS(Engine!$J$6:$J$2405,Engine!$L$6:$L$2405,1,Engine!$B$6:$B$2405,"Risk Group")</f>
        <v>0</v>
      </c>
      <c r="D48" s="18" t="n">
        <f aca="false">SUMIFS(Engine!$O$6:$O$2405,Engine!$Q$6:$Q$2405,1,Engine!$B$6:$B$2405,"Risk Group")</f>
        <v>0</v>
      </c>
      <c r="E48" s="18" t="n">
        <f aca="false">SUMIFS(Engine!$T$6:$T$2405,Engine!$V$6:$V$2405,1,Engine!$B$6:$B$2405,"Risk Group")</f>
        <v>0</v>
      </c>
    </row>
    <row r="49" customFormat="false" ht="15" hidden="false" customHeight="false" outlineLevel="0" collapsed="false">
      <c r="A49" s="9" t="s">
        <v>94</v>
      </c>
      <c r="B49" s="18" t="n">
        <f aca="false">SUMIFS(Engine!$E$6:$E$2405,Engine!$G$6:$G$2405,1,Engine!$B$6:$B$2405,"Technology Group")</f>
        <v>0</v>
      </c>
      <c r="C49" s="18" t="n">
        <f aca="false">SUMIFS(Engine!$J$6:$J$2405,Engine!$L$6:$L$2405,1,Engine!$B$6:$B$2405,"Technology Group")</f>
        <v>0</v>
      </c>
      <c r="D49" s="18" t="n">
        <f aca="false">SUMIFS(Engine!$O$6:$O$2405,Engine!$Q$6:$Q$2405,1,Engine!$B$6:$B$2405,"Technology Group")</f>
        <v>0</v>
      </c>
      <c r="E49" s="18" t="n">
        <f aca="false">SUMIFS(Engine!$T$6:$T$2405,Engine!$V$6:$V$2405,1,Engine!$B$6:$B$2405,"Technology Group")</f>
        <v>0</v>
      </c>
    </row>
    <row r="50" customFormat="false" ht="15" hidden="false" customHeight="false" outlineLevel="0" collapsed="false">
      <c r="A50" s="9" t="s">
        <v>97</v>
      </c>
      <c r="B50" s="18" t="n">
        <f aca="false">SUMIFS(Engine!$E$6:$E$2405,Engine!$G$6:$G$2405,1,Engine!$B$6:$B$2405,"Treasury &amp; Investments Group")</f>
        <v>0</v>
      </c>
      <c r="C50" s="18" t="n">
        <f aca="false">SUMIFS(Engine!$J$6:$J$2405,Engine!$L$6:$L$2405,1,Engine!$B$6:$B$2405,"Treasury &amp; Investments Group")</f>
        <v>0</v>
      </c>
      <c r="D50" s="18" t="n">
        <f aca="false">SUMIFS(Engine!$O$6:$O$2405,Engine!$Q$6:$Q$2405,1,Engine!$B$6:$B$2405,"Treasury &amp; Investments Group")</f>
        <v>0</v>
      </c>
      <c r="E50" s="18" t="n">
        <f aca="false">SUMIFS(Engine!$T$6:$T$2405,Engine!$V$6:$V$2405,1,Engine!$B$6:$B$2405,"Treasury &amp; Investments Group")</f>
        <v>0</v>
      </c>
    </row>
  </sheetData>
  <sheetProtection sheet="true" sort="false" autoFilter="false"/>
  <mergeCells count="2">
    <mergeCell ref="A2:J2"/>
    <mergeCell ref="A28:F28"/>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6" min="2" style="0" width="15"/>
    <col collapsed="false" customWidth="true" hidden="false" outlineLevel="0" max="7" min="7" style="0" width="22"/>
    <col collapsed="false" customWidth="true" hidden="false" outlineLevel="0" max="8" min="8" style="0" width="15"/>
  </cols>
  <sheetData>
    <row r="1" customFormat="false" ht="24" hidden="false" customHeight="true" outlineLevel="0" collapsed="false">
      <c r="A1" s="1" t="s">
        <v>208</v>
      </c>
    </row>
    <row r="2" customFormat="false" ht="15" hidden="false" customHeight="false" outlineLevel="0" collapsed="false">
      <c r="A2" s="2" t="s">
        <v>209</v>
      </c>
      <c r="B2" s="2"/>
      <c r="C2" s="2"/>
      <c r="D2" s="2"/>
      <c r="E2" s="2"/>
      <c r="F2" s="2"/>
      <c r="G2" s="2"/>
      <c r="H2" s="2"/>
      <c r="I2" s="2"/>
      <c r="J2" s="2"/>
    </row>
    <row r="4" customFormat="false" ht="15" hidden="false" customHeight="false" outlineLevel="0" collapsed="false">
      <c r="A4" s="3" t="s">
        <v>210</v>
      </c>
      <c r="F4" s="15" t="s">
        <v>211</v>
      </c>
    </row>
    <row r="5" customFormat="false" ht="30" hidden="false" customHeight="true" outlineLevel="0" collapsed="false">
      <c r="A5" s="16" t="s">
        <v>212</v>
      </c>
      <c r="B5" s="16" t="s">
        <v>213</v>
      </c>
      <c r="C5" s="16" t="s">
        <v>214</v>
      </c>
      <c r="D5" s="16" t="s">
        <v>153</v>
      </c>
      <c r="E5" s="16" t="s">
        <v>215</v>
      </c>
    </row>
    <row r="6" customFormat="false" ht="15" hidden="false" customHeight="false" outlineLevel="0" collapsed="false">
      <c r="A6" s="49" t="s">
        <v>216</v>
      </c>
      <c r="B6" s="50" t="n">
        <f aca="false">'1. Envelopes'!$B$23</f>
        <v>2568</v>
      </c>
      <c r="C6" s="50" t="n">
        <f aca="false">$B6</f>
        <v>2568</v>
      </c>
      <c r="D6" s="50" t="n">
        <v>0</v>
      </c>
      <c r="E6" s="50" t="n">
        <f aca="false">$B6</f>
        <v>2568</v>
      </c>
    </row>
    <row r="7" customFormat="false" ht="15" hidden="false" customHeight="false" outlineLevel="0" collapsed="false">
      <c r="A7" s="9" t="s">
        <v>217</v>
      </c>
      <c r="B7" s="21" t="n">
        <f aca="false">-SUM(RetExits)</f>
        <v>-0</v>
      </c>
      <c r="C7" s="21" t="n">
        <f aca="false">$C6+$B7</f>
        <v>2568</v>
      </c>
      <c r="D7" s="21" t="n">
        <f aca="false">MIN($C6,$C7)</f>
        <v>2568</v>
      </c>
      <c r="E7" s="21" t="n">
        <f aca="false">ABS($B7)</f>
        <v>0</v>
      </c>
    </row>
    <row r="8" customFormat="false" ht="15" hidden="false" customHeight="false" outlineLevel="0" collapsed="false">
      <c r="A8" s="9" t="s">
        <v>218</v>
      </c>
      <c r="B8" s="21" t="n">
        <f aca="false">SUM(ChalEffective)</f>
        <v>0</v>
      </c>
      <c r="C8" s="21" t="n">
        <f aca="false">$C7+$B8</f>
        <v>2568</v>
      </c>
      <c r="D8" s="21" t="n">
        <f aca="false">MIN($C7,$C8)</f>
        <v>2568</v>
      </c>
      <c r="E8" s="21" t="n">
        <f aca="false">ABS($B8)</f>
        <v>0</v>
      </c>
    </row>
    <row r="9" customFormat="false" ht="15" hidden="false" customHeight="false" outlineLevel="0" collapsed="false">
      <c r="A9" s="49" t="s">
        <v>219</v>
      </c>
      <c r="B9" s="50" t="n">
        <f aca="false">$C8</f>
        <v>2568</v>
      </c>
      <c r="C9" s="50" t="n">
        <f aca="false">$C8</f>
        <v>2568</v>
      </c>
      <c r="D9" s="50" t="n">
        <v>0</v>
      </c>
      <c r="E9" s="50" t="n">
        <f aca="false">$C8</f>
        <v>2568</v>
      </c>
    </row>
    <row r="10" customFormat="false" ht="15" hidden="false" customHeight="false" outlineLevel="0" collapsed="false">
      <c r="A10" s="51" t="s">
        <v>220</v>
      </c>
      <c r="B10" s="34" t="str">
        <f aca="false">IF($C$9-$B$6&lt;=BankHeadEnvelope,"Within the envelope","Over the envelope by "&amp;TEXT($C$9-$B$6-BankHeadEnvelope,"#,##0.0"))</f>
        <v>Within the envelope</v>
      </c>
    </row>
    <row r="11" customFormat="false" ht="15" hidden="false" customHeight="false" outlineLevel="0" collapsed="false">
      <c r="A11" s="51" t="s">
        <v>221</v>
      </c>
      <c r="B11" s="52" t="n">
        <f aca="false">IFERROR(SUM(RetMandated)/$C$9,0)</f>
        <v>0</v>
      </c>
    </row>
    <row r="13" customFormat="false" ht="15" hidden="false" customHeight="false" outlineLevel="0" collapsed="false">
      <c r="A13" s="3" t="s">
        <v>222</v>
      </c>
    </row>
    <row r="14" customFormat="false" ht="30" hidden="false" customHeight="true" outlineLevel="0" collapsed="false">
      <c r="A14" s="16" t="s">
        <v>43</v>
      </c>
      <c r="B14" s="16" t="s">
        <v>138</v>
      </c>
      <c r="C14" s="16" t="s">
        <v>141</v>
      </c>
      <c r="D14" s="16" t="s">
        <v>61</v>
      </c>
      <c r="E14" s="16" t="s">
        <v>48</v>
      </c>
      <c r="F14" s="16" t="s">
        <v>223</v>
      </c>
      <c r="G14" s="16" t="s">
        <v>224</v>
      </c>
    </row>
    <row r="15" customFormat="false" ht="15" hidden="false" customHeight="false" outlineLevel="0" collapsed="false">
      <c r="A15" s="9" t="str">
        <f aca="false">'1. Envelopes'!$A$11</f>
        <v>CEO Office</v>
      </c>
      <c r="B15" s="21" t="n">
        <f aca="false">'1. Envelopes'!$O$11</f>
        <v>0</v>
      </c>
      <c r="C15" s="21" t="n">
        <f aca="false">'1. Envelopes'!$R$11</f>
        <v>0</v>
      </c>
      <c r="D15" s="18" t="n">
        <f aca="false">'1. Envelopes'!$S$11</f>
        <v>0</v>
      </c>
      <c r="E15" s="18" t="n">
        <f aca="false">'1. Envelopes'!$F$11</f>
        <v>1048</v>
      </c>
      <c r="F15" s="53" t="n">
        <f aca="false">IFERROR($D15/$E15,0)</f>
        <v>0</v>
      </c>
      <c r="G15" s="22" t="str">
        <f aca="false">'1. Envelopes'!$T$11</f>
        <v>Within</v>
      </c>
    </row>
    <row r="16" customFormat="false" ht="15" hidden="false" customHeight="false" outlineLevel="0" collapsed="false">
      <c r="A16" s="9" t="str">
        <f aca="false">'1. Envelopes'!$A$12</f>
        <v>Compliance Group</v>
      </c>
      <c r="B16" s="21" t="n">
        <f aca="false">'1. Envelopes'!$O$12</f>
        <v>0</v>
      </c>
      <c r="C16" s="21" t="n">
        <f aca="false">'1. Envelopes'!$R$12</f>
        <v>0</v>
      </c>
      <c r="D16" s="18" t="n">
        <f aca="false">'1. Envelopes'!$S$12</f>
        <v>0</v>
      </c>
      <c r="E16" s="18" t="n">
        <f aca="false">'1. Envelopes'!$F$12</f>
        <v>1904</v>
      </c>
      <c r="F16" s="53" t="n">
        <f aca="false">IFERROR($D16/$E16,0)</f>
        <v>0</v>
      </c>
      <c r="G16" s="22" t="str">
        <f aca="false">'1. Envelopes'!$T$12</f>
        <v>Within</v>
      </c>
    </row>
    <row r="17" customFormat="false" ht="15" hidden="false" customHeight="false" outlineLevel="0" collapsed="false">
      <c r="A17" s="9" t="str">
        <f aca="false">'1. Envelopes'!$A$13</f>
        <v>Corporate Banking Group</v>
      </c>
      <c r="B17" s="21" t="n">
        <f aca="false">'1. Envelopes'!$O$13</f>
        <v>0</v>
      </c>
      <c r="C17" s="21" t="n">
        <f aca="false">'1. Envelopes'!$R$13</f>
        <v>0</v>
      </c>
      <c r="D17" s="18" t="n">
        <f aca="false">'1. Envelopes'!$S$13</f>
        <v>0</v>
      </c>
      <c r="E17" s="18" t="n">
        <f aca="false">'1. Envelopes'!$F$13</f>
        <v>2786</v>
      </c>
      <c r="F17" s="53" t="n">
        <f aca="false">IFERROR($D17/$E17,0)</f>
        <v>0</v>
      </c>
      <c r="G17" s="22" t="str">
        <f aca="false">'1. Envelopes'!$T$13</f>
        <v>Within</v>
      </c>
    </row>
    <row r="18" customFormat="false" ht="15" hidden="false" customHeight="false" outlineLevel="0" collapsed="false">
      <c r="A18" s="9" t="str">
        <f aca="false">'1. Envelopes'!$A$14</f>
        <v>Finance Group</v>
      </c>
      <c r="B18" s="21" t="n">
        <f aca="false">'1. Envelopes'!$O$14</f>
        <v>0</v>
      </c>
      <c r="C18" s="21" t="n">
        <f aca="false">'1. Envelopes'!$R$14</f>
        <v>0</v>
      </c>
      <c r="D18" s="18" t="n">
        <f aca="false">'1. Envelopes'!$S$14</f>
        <v>0</v>
      </c>
      <c r="E18" s="18" t="n">
        <f aca="false">'1. Envelopes'!$F$14</f>
        <v>2418</v>
      </c>
      <c r="F18" s="53" t="n">
        <f aca="false">IFERROR($D18/$E18,0)</f>
        <v>0</v>
      </c>
      <c r="G18" s="22" t="str">
        <f aca="false">'1. Envelopes'!$T$14</f>
        <v>Within</v>
      </c>
    </row>
    <row r="19" customFormat="false" ht="15" hidden="false" customHeight="false" outlineLevel="0" collapsed="false">
      <c r="A19" s="9" t="str">
        <f aca="false">'1. Envelopes'!$A$15</f>
        <v>Human Resources Group</v>
      </c>
      <c r="B19" s="21" t="n">
        <f aca="false">'1. Envelopes'!$O$15</f>
        <v>0</v>
      </c>
      <c r="C19" s="21" t="n">
        <f aca="false">'1. Envelopes'!$R$15</f>
        <v>0</v>
      </c>
      <c r="D19" s="18" t="n">
        <f aca="false">'1. Envelopes'!$S$15</f>
        <v>0</v>
      </c>
      <c r="E19" s="18" t="n">
        <f aca="false">'1. Envelopes'!$F$15</f>
        <v>4175</v>
      </c>
      <c r="F19" s="53" t="n">
        <f aca="false">IFERROR($D19/$E19,0)</f>
        <v>0</v>
      </c>
      <c r="G19" s="22" t="str">
        <f aca="false">'1. Envelopes'!$T$15</f>
        <v>Within</v>
      </c>
    </row>
    <row r="20" customFormat="false" ht="15" hidden="false" customHeight="false" outlineLevel="0" collapsed="false">
      <c r="A20" s="9" t="str">
        <f aca="false">'1. Envelopes'!$A$16</f>
        <v>Internal Audit Group</v>
      </c>
      <c r="B20" s="21" t="n">
        <f aca="false">'1. Envelopes'!$O$16</f>
        <v>0</v>
      </c>
      <c r="C20" s="21" t="n">
        <f aca="false">'1. Envelopes'!$R$16</f>
        <v>0</v>
      </c>
      <c r="D20" s="18" t="n">
        <f aca="false">'1. Envelopes'!$S$16</f>
        <v>0</v>
      </c>
      <c r="E20" s="18" t="n">
        <f aca="false">'1. Envelopes'!$F$16</f>
        <v>1938</v>
      </c>
      <c r="F20" s="53" t="n">
        <f aca="false">IFERROR($D20/$E20,0)</f>
        <v>0</v>
      </c>
      <c r="G20" s="22" t="str">
        <f aca="false">'1. Envelopes'!$T$16</f>
        <v>Within</v>
      </c>
    </row>
    <row r="21" customFormat="false" ht="15" hidden="false" customHeight="false" outlineLevel="0" collapsed="false">
      <c r="A21" s="9" t="str">
        <f aca="false">'1. Envelopes'!$A$17</f>
        <v>Legal Group</v>
      </c>
      <c r="B21" s="21" t="n">
        <f aca="false">'1. Envelopes'!$O$17</f>
        <v>0</v>
      </c>
      <c r="C21" s="21" t="n">
        <f aca="false">'1. Envelopes'!$R$17</f>
        <v>0</v>
      </c>
      <c r="D21" s="18" t="n">
        <f aca="false">'1. Envelopes'!$S$17</f>
        <v>0</v>
      </c>
      <c r="E21" s="18" t="n">
        <f aca="false">'1. Envelopes'!$F$17</f>
        <v>1905</v>
      </c>
      <c r="F21" s="53" t="n">
        <f aca="false">IFERROR($D21/$E21,0)</f>
        <v>0</v>
      </c>
      <c r="G21" s="22" t="str">
        <f aca="false">'1. Envelopes'!$T$17</f>
        <v>Within</v>
      </c>
    </row>
    <row r="22" customFormat="false" ht="15" hidden="false" customHeight="false" outlineLevel="0" collapsed="false">
      <c r="A22" s="9" t="str">
        <f aca="false">'1. Envelopes'!$A$18</f>
        <v>Operations Group</v>
      </c>
      <c r="B22" s="21" t="n">
        <f aca="false">'1. Envelopes'!$O$18</f>
        <v>0</v>
      </c>
      <c r="C22" s="21" t="n">
        <f aca="false">'1. Envelopes'!$R$18</f>
        <v>0</v>
      </c>
      <c r="D22" s="18" t="n">
        <f aca="false">'1. Envelopes'!$S$18</f>
        <v>0</v>
      </c>
      <c r="E22" s="18" t="n">
        <f aca="false">'1. Envelopes'!$F$18</f>
        <v>3130</v>
      </c>
      <c r="F22" s="53" t="n">
        <f aca="false">IFERROR($D22/$E22,0)</f>
        <v>0</v>
      </c>
      <c r="G22" s="22" t="str">
        <f aca="false">'1. Envelopes'!$T$18</f>
        <v>Within</v>
      </c>
    </row>
    <row r="23" customFormat="false" ht="15" hidden="false" customHeight="false" outlineLevel="0" collapsed="false">
      <c r="A23" s="9" t="str">
        <f aca="false">'1. Envelopes'!$A$19</f>
        <v>Retail Banking Group</v>
      </c>
      <c r="B23" s="21" t="n">
        <f aca="false">'1. Envelopes'!$O$19</f>
        <v>0</v>
      </c>
      <c r="C23" s="21" t="n">
        <f aca="false">'1. Envelopes'!$R$19</f>
        <v>0</v>
      </c>
      <c r="D23" s="18" t="n">
        <f aca="false">'1. Envelopes'!$S$19</f>
        <v>0</v>
      </c>
      <c r="E23" s="18" t="n">
        <f aca="false">'1. Envelopes'!$F$19</f>
        <v>4832</v>
      </c>
      <c r="F23" s="53" t="n">
        <f aca="false">IFERROR($D23/$E23,0)</f>
        <v>0</v>
      </c>
      <c r="G23" s="22" t="str">
        <f aca="false">'1. Envelopes'!$T$19</f>
        <v>Within</v>
      </c>
    </row>
    <row r="24" customFormat="false" ht="15" hidden="false" customHeight="false" outlineLevel="0" collapsed="false">
      <c r="A24" s="9" t="str">
        <f aca="false">'1. Envelopes'!$A$20</f>
        <v>Risk Group</v>
      </c>
      <c r="B24" s="21" t="n">
        <f aca="false">'1. Envelopes'!$O$20</f>
        <v>0</v>
      </c>
      <c r="C24" s="21" t="n">
        <f aca="false">'1. Envelopes'!$R$20</f>
        <v>0</v>
      </c>
      <c r="D24" s="18" t="n">
        <f aca="false">'1. Envelopes'!$S$20</f>
        <v>0</v>
      </c>
      <c r="E24" s="18" t="n">
        <f aca="false">'1. Envelopes'!$F$20</f>
        <v>4447</v>
      </c>
      <c r="F24" s="53" t="n">
        <f aca="false">IFERROR($D24/$E24,0)</f>
        <v>0</v>
      </c>
      <c r="G24" s="22" t="str">
        <f aca="false">'1. Envelopes'!$T$20</f>
        <v>Within</v>
      </c>
    </row>
    <row r="25" customFormat="false" ht="15" hidden="false" customHeight="false" outlineLevel="0" collapsed="false">
      <c r="A25" s="9" t="str">
        <f aca="false">'1. Envelopes'!$A$21</f>
        <v>Technology Group</v>
      </c>
      <c r="B25" s="21" t="n">
        <f aca="false">'1. Envelopes'!$O$21</f>
        <v>0</v>
      </c>
      <c r="C25" s="21" t="n">
        <f aca="false">'1. Envelopes'!$R$21</f>
        <v>0</v>
      </c>
      <c r="D25" s="18" t="n">
        <f aca="false">'1. Envelopes'!$S$21</f>
        <v>0</v>
      </c>
      <c r="E25" s="18" t="n">
        <f aca="false">'1. Envelopes'!$F$21</f>
        <v>4928</v>
      </c>
      <c r="F25" s="53" t="n">
        <f aca="false">IFERROR($D25/$E25,0)</f>
        <v>0</v>
      </c>
      <c r="G25" s="22" t="str">
        <f aca="false">'1. Envelopes'!$T$21</f>
        <v>Within</v>
      </c>
    </row>
    <row r="26" customFormat="false" ht="15" hidden="false" customHeight="false" outlineLevel="0" collapsed="false">
      <c r="A26" s="9" t="str">
        <f aca="false">'1. Envelopes'!$A$22</f>
        <v>Treasury &amp; Investments Group</v>
      </c>
      <c r="B26" s="21" t="n">
        <f aca="false">'1. Envelopes'!$O$22</f>
        <v>0</v>
      </c>
      <c r="C26" s="21" t="n">
        <f aca="false">'1. Envelopes'!$R$22</f>
        <v>0</v>
      </c>
      <c r="D26" s="18" t="n">
        <f aca="false">'1. Envelopes'!$S$22</f>
        <v>0</v>
      </c>
      <c r="E26" s="18" t="n">
        <f aca="false">'1. Envelopes'!$F$22</f>
        <v>1920</v>
      </c>
      <c r="F26" s="53" t="n">
        <f aca="false">IFERROR($D26/$E26,0)</f>
        <v>0</v>
      </c>
      <c r="G26" s="22" t="str">
        <f aca="false">'1. Envelopes'!$T$22</f>
        <v>Within</v>
      </c>
    </row>
    <row r="28" customFormat="false" ht="15" hidden="false" customHeight="false" outlineLevel="0" collapsed="false">
      <c r="A28" s="3" t="s">
        <v>225</v>
      </c>
    </row>
    <row r="29" customFormat="false" ht="30" hidden="false" customHeight="true" outlineLevel="0" collapsed="false">
      <c r="A29" s="16" t="s">
        <v>120</v>
      </c>
      <c r="B29" s="16" t="s">
        <v>198</v>
      </c>
      <c r="C29" s="16" t="s">
        <v>138</v>
      </c>
      <c r="D29" s="16" t="s">
        <v>141</v>
      </c>
      <c r="E29" s="16" t="s">
        <v>226</v>
      </c>
    </row>
    <row r="30" customFormat="false" ht="15" hidden="false" customHeight="false" outlineLevel="0" collapsed="false">
      <c r="A30" s="9" t="s">
        <v>227</v>
      </c>
      <c r="B30" s="20" t="s">
        <v>228</v>
      </c>
      <c r="C30" s="21" t="n">
        <f aca="false">SUMIFS(BookTotal,BookDriver,"SAMA regulatory requirement")</f>
        <v>0</v>
      </c>
      <c r="D30" s="21" t="n">
        <f aca="false">SUMIFS('4. Challenge'!$P$6:$P$2405,BookDriver,"SAMA regulatory requirement")</f>
        <v>0</v>
      </c>
      <c r="E30" s="21" t="n">
        <f aca="false">$C30-$D30</f>
        <v>0</v>
      </c>
    </row>
    <row r="31" customFormat="false" ht="15" hidden="false" customHeight="false" outlineLevel="0" collapsed="false">
      <c r="A31" s="9" t="s">
        <v>229</v>
      </c>
      <c r="B31" s="20" t="s">
        <v>228</v>
      </c>
      <c r="C31" s="21" t="n">
        <f aca="false">SUMIFS(BookTotal,BookDriver,"New regulation implementation")</f>
        <v>0</v>
      </c>
      <c r="D31" s="21" t="n">
        <f aca="false">SUMIFS('4. Challenge'!$P$6:$P$2405,BookDriver,"New regulation implementation")</f>
        <v>0</v>
      </c>
      <c r="E31" s="21" t="n">
        <f aca="false">$C31-$D31</f>
        <v>0</v>
      </c>
    </row>
    <row r="32" customFormat="false" ht="15" hidden="false" customHeight="false" outlineLevel="0" collapsed="false">
      <c r="A32" s="9" t="s">
        <v>230</v>
      </c>
      <c r="B32" s="20" t="s">
        <v>228</v>
      </c>
      <c r="C32" s="21" t="n">
        <f aca="false">SUMIFS(BookTotal,BookDriver,"Regulatory audit finding")</f>
        <v>0</v>
      </c>
      <c r="D32" s="21" t="n">
        <f aca="false">SUMIFS('4. Challenge'!$P$6:$P$2405,BookDriver,"Regulatory audit finding")</f>
        <v>0</v>
      </c>
      <c r="E32" s="21" t="n">
        <f aca="false">$C32-$D32</f>
        <v>0</v>
      </c>
    </row>
    <row r="33" customFormat="false" ht="15" hidden="false" customHeight="false" outlineLevel="0" collapsed="false">
      <c r="A33" s="9" t="s">
        <v>231</v>
      </c>
      <c r="B33" s="20" t="s">
        <v>228</v>
      </c>
      <c r="C33" s="21" t="n">
        <f aca="false">SUMIFS(BookTotal,BookDriver,"Risk framework uplift")</f>
        <v>0</v>
      </c>
      <c r="D33" s="21" t="n">
        <f aca="false">SUMIFS('4. Challenge'!$P$6:$P$2405,BookDriver,"Risk framework uplift")</f>
        <v>0</v>
      </c>
      <c r="E33" s="21" t="n">
        <f aca="false">$C33-$D33</f>
        <v>0</v>
      </c>
    </row>
    <row r="34" customFormat="false" ht="15" hidden="false" customHeight="false" outlineLevel="0" collapsed="false">
      <c r="A34" s="9" t="s">
        <v>232</v>
      </c>
      <c r="B34" s="20" t="s">
        <v>233</v>
      </c>
      <c r="C34" s="21" t="n">
        <f aca="false">SUMIFS(BookTotal,BookDriver,"Volume growth - existing product")</f>
        <v>0</v>
      </c>
      <c r="D34" s="21" t="n">
        <f aca="false">SUMIFS('4. Challenge'!$P$6:$P$2405,BookDriver,"Volume growth - existing product")</f>
        <v>0</v>
      </c>
      <c r="E34" s="21" t="n">
        <f aca="false">$C34-$D34</f>
        <v>0</v>
      </c>
    </row>
    <row r="35" customFormat="false" ht="15" hidden="false" customHeight="false" outlineLevel="0" collapsed="false">
      <c r="A35" s="9" t="s">
        <v>234</v>
      </c>
      <c r="B35" s="20" t="s">
        <v>233</v>
      </c>
      <c r="C35" s="21" t="n">
        <f aca="false">SUMIFS(BookTotal,BookDriver,"New product launch")</f>
        <v>0</v>
      </c>
      <c r="D35" s="21" t="n">
        <f aca="false">SUMIFS('4. Challenge'!$P$6:$P$2405,BookDriver,"New product launch")</f>
        <v>0</v>
      </c>
      <c r="E35" s="21" t="n">
        <f aca="false">$C35-$D35</f>
        <v>0</v>
      </c>
    </row>
    <row r="36" customFormat="false" ht="15" hidden="false" customHeight="false" outlineLevel="0" collapsed="false">
      <c r="A36" s="9" t="s">
        <v>235</v>
      </c>
      <c r="B36" s="20" t="s">
        <v>233</v>
      </c>
      <c r="C36" s="21" t="n">
        <f aca="false">SUMIFS(BookTotal,BookDriver,"Branch or channel expansion")</f>
        <v>0</v>
      </c>
      <c r="D36" s="21" t="n">
        <f aca="false">SUMIFS('4. Challenge'!$P$6:$P$2405,BookDriver,"Branch or channel expansion")</f>
        <v>0</v>
      </c>
      <c r="E36" s="21" t="n">
        <f aca="false">$C36-$D36</f>
        <v>0</v>
      </c>
    </row>
    <row r="37" customFormat="false" ht="15" hidden="false" customHeight="false" outlineLevel="0" collapsed="false">
      <c r="A37" s="9" t="s">
        <v>236</v>
      </c>
      <c r="B37" s="20" t="s">
        <v>233</v>
      </c>
      <c r="C37" s="21" t="n">
        <f aca="false">SUMIFS(BookTotal,BookDriver,"Client coverage expansion")</f>
        <v>0</v>
      </c>
      <c r="D37" s="21" t="n">
        <f aca="false">SUMIFS('4. Challenge'!$P$6:$P$2405,BookDriver,"Client coverage expansion")</f>
        <v>0</v>
      </c>
      <c r="E37" s="21" t="n">
        <f aca="false">$C37-$D37</f>
        <v>0</v>
      </c>
    </row>
    <row r="38" customFormat="false" ht="15" hidden="false" customHeight="false" outlineLevel="0" collapsed="false">
      <c r="A38" s="9" t="s">
        <v>237</v>
      </c>
      <c r="B38" s="20" t="s">
        <v>233</v>
      </c>
      <c r="C38" s="21" t="n">
        <f aca="false">SUMIFS(BookTotal,BookDriver,"Automation enablement")</f>
        <v>0</v>
      </c>
      <c r="D38" s="21" t="n">
        <f aca="false">SUMIFS('4. Challenge'!$P$6:$P$2405,BookDriver,"Automation enablement")</f>
        <v>0</v>
      </c>
      <c r="E38" s="21" t="n">
        <f aca="false">$C38-$D38</f>
        <v>0</v>
      </c>
    </row>
    <row r="39" customFormat="false" ht="15" hidden="false" customHeight="false" outlineLevel="0" collapsed="false">
      <c r="A39" s="9" t="s">
        <v>238</v>
      </c>
      <c r="B39" s="20" t="s">
        <v>239</v>
      </c>
      <c r="C39" s="21" t="n">
        <f aca="false">SUMIFS(BookTotal,BookDriver,"Control gap closure")</f>
        <v>0</v>
      </c>
      <c r="D39" s="21" t="n">
        <f aca="false">SUMIFS('4. Challenge'!$P$6:$P$2405,BookDriver,"Control gap closure")</f>
        <v>0</v>
      </c>
      <c r="E39" s="21" t="n">
        <f aca="false">$C39-$D39</f>
        <v>0</v>
      </c>
    </row>
    <row r="40" customFormat="false" ht="15" hidden="false" customHeight="false" outlineLevel="0" collapsed="false">
      <c r="A40" s="9" t="s">
        <v>240</v>
      </c>
      <c r="B40" s="20" t="s">
        <v>239</v>
      </c>
      <c r="C40" s="21" t="n">
        <f aca="false">SUMIFS(BookTotal,BookDriver,"Internal audit finding")</f>
        <v>0</v>
      </c>
      <c r="D40" s="21" t="n">
        <f aca="false">SUMIFS('4. Challenge'!$P$6:$P$2405,BookDriver,"Internal audit finding")</f>
        <v>0</v>
      </c>
      <c r="E40" s="21" t="n">
        <f aca="false">$C40-$D40</f>
        <v>0</v>
      </c>
    </row>
    <row r="41" customFormat="false" ht="15" hidden="false" customHeight="false" outlineLevel="0" collapsed="false">
      <c r="A41" s="9" t="s">
        <v>241</v>
      </c>
      <c r="B41" s="20" t="s">
        <v>239</v>
      </c>
      <c r="C41" s="21" t="n">
        <f aca="false">SUMIFS(BookTotal,BookDriver,"Business continuity / resilience")</f>
        <v>0</v>
      </c>
      <c r="D41" s="21" t="n">
        <f aca="false">SUMIFS('4. Challenge'!$P$6:$P$2405,BookDriver,"Business continuity / resilience")</f>
        <v>0</v>
      </c>
      <c r="E41" s="21" t="n">
        <f aca="false">$C41-$D41</f>
        <v>0</v>
      </c>
    </row>
    <row r="42" customFormat="false" ht="15" hidden="false" customHeight="false" outlineLevel="0" collapsed="false">
      <c r="A42" s="9" t="s">
        <v>242</v>
      </c>
      <c r="B42" s="20" t="s">
        <v>243</v>
      </c>
      <c r="C42" s="21" t="n">
        <f aca="false">SUMIFS(BookTotal,BookDriver,"Backfill - resignation")</f>
        <v>0</v>
      </c>
      <c r="D42" s="21" t="n">
        <f aca="false">SUMIFS('4. Challenge'!$P$6:$P$2405,BookDriver,"Backfill - resignation")</f>
        <v>0</v>
      </c>
      <c r="E42" s="21" t="n">
        <f aca="false">$C42-$D42</f>
        <v>0</v>
      </c>
    </row>
    <row r="43" customFormat="false" ht="15" hidden="false" customHeight="false" outlineLevel="0" collapsed="false">
      <c r="A43" s="9" t="s">
        <v>244</v>
      </c>
      <c r="B43" s="20" t="s">
        <v>243</v>
      </c>
      <c r="C43" s="21" t="n">
        <f aca="false">SUMIFS(BookTotal,BookDriver,"Backfill - retirement")</f>
        <v>0</v>
      </c>
      <c r="D43" s="21" t="n">
        <f aca="false">SUMIFS('4. Challenge'!$P$6:$P$2405,BookDriver,"Backfill - retirement")</f>
        <v>0</v>
      </c>
      <c r="E43" s="21" t="n">
        <f aca="false">$C43-$D43</f>
        <v>0</v>
      </c>
    </row>
    <row r="44" customFormat="false" ht="15" hidden="false" customHeight="false" outlineLevel="0" collapsed="false">
      <c r="A44" s="9" t="s">
        <v>245</v>
      </c>
      <c r="B44" s="20" t="s">
        <v>243</v>
      </c>
      <c r="C44" s="21" t="n">
        <f aca="false">SUMIFS(BookTotal,BookDriver,"Backfill - internal move")</f>
        <v>0</v>
      </c>
      <c r="D44" s="21" t="n">
        <f aca="false">SUMIFS('4. Challenge'!$P$6:$P$2405,BookDriver,"Backfill - internal move")</f>
        <v>0</v>
      </c>
      <c r="E44" s="21" t="n">
        <f aca="false">$C44-$D44</f>
        <v>0</v>
      </c>
    </row>
    <row r="45" customFormat="false" ht="15" hidden="false" customHeight="false" outlineLevel="0" collapsed="false">
      <c r="A45" s="9" t="s">
        <v>246</v>
      </c>
      <c r="B45" s="20" t="s">
        <v>243</v>
      </c>
      <c r="C45" s="21" t="n">
        <f aca="false">SUMIFS(BookTotal,BookDriver,"Process centralisation")</f>
        <v>0</v>
      </c>
      <c r="D45" s="21" t="n">
        <f aca="false">SUMIFS('4. Challenge'!$P$6:$P$2405,BookDriver,"Process centralisation")</f>
        <v>0</v>
      </c>
      <c r="E45" s="21" t="n">
        <f aca="false">$C45-$D45</f>
        <v>0</v>
      </c>
    </row>
    <row r="46" customFormat="false" ht="15" hidden="false" customHeight="false" outlineLevel="0" collapsed="false">
      <c r="A46" s="9" t="s">
        <v>247</v>
      </c>
      <c r="B46" s="20" t="s">
        <v>243</v>
      </c>
      <c r="C46" s="21" t="n">
        <f aca="false">SUMIFS(BookTotal,BookDriver,"Insourcing from vendor")</f>
        <v>0</v>
      </c>
      <c r="D46" s="21" t="n">
        <f aca="false">SUMIFS('4. Challenge'!$P$6:$P$2405,BookDriver,"Insourcing from vendor")</f>
        <v>0</v>
      </c>
      <c r="E46" s="21" t="n">
        <f aca="false">$C46-$D46</f>
        <v>0</v>
      </c>
    </row>
    <row r="47" customFormat="false" ht="15" hidden="false" customHeight="false" outlineLevel="0" collapsed="false">
      <c r="A47" s="9" t="s">
        <v>248</v>
      </c>
      <c r="B47" s="20" t="s">
        <v>243</v>
      </c>
      <c r="C47" s="21" t="n">
        <f aca="false">SUMIFS(BookTotal,BookDriver,"Service level improvement")</f>
        <v>0</v>
      </c>
      <c r="D47" s="21" t="n">
        <f aca="false">SUMIFS('4. Challenge'!$P$6:$P$2405,BookDriver,"Service level improvement")</f>
        <v>0</v>
      </c>
      <c r="E47" s="21" t="n">
        <f aca="false">$C47-$D47</f>
        <v>0</v>
      </c>
    </row>
    <row r="48" customFormat="false" ht="15" hidden="false" customHeight="false" outlineLevel="0" collapsed="false">
      <c r="A48" s="9" t="s">
        <v>249</v>
      </c>
      <c r="B48" s="20" t="s">
        <v>243</v>
      </c>
      <c r="C48" s="21" t="n">
        <f aca="false">SUMIFS(BookTotal,BookDriver,"Other - see note")</f>
        <v>0</v>
      </c>
      <c r="D48" s="21" t="n">
        <f aca="false">SUMIFS('4. Challenge'!$P$6:$P$2405,BookDriver,"Other - see note")</f>
        <v>0</v>
      </c>
      <c r="E48" s="21" t="n">
        <f aca="false">$C48-$D48</f>
        <v>0</v>
      </c>
    </row>
    <row r="50" customFormat="false" ht="15" hidden="false" customHeight="false" outlineLevel="0" collapsed="false">
      <c r="A50" s="3" t="s">
        <v>250</v>
      </c>
    </row>
    <row r="51" customFormat="false" ht="30" hidden="false" customHeight="true" outlineLevel="0" collapsed="false">
      <c r="A51" s="16" t="s">
        <v>251</v>
      </c>
      <c r="B51" s="16" t="s">
        <v>228</v>
      </c>
      <c r="C51" s="16" t="s">
        <v>233</v>
      </c>
      <c r="D51" s="16" t="s">
        <v>239</v>
      </c>
      <c r="E51" s="16" t="s">
        <v>243</v>
      </c>
      <c r="F51" s="16" t="s">
        <v>252</v>
      </c>
    </row>
    <row r="52" customFormat="false" ht="15" hidden="false" customHeight="false" outlineLevel="0" collapsed="false">
      <c r="A52" s="9" t="s">
        <v>115</v>
      </c>
      <c r="B52" s="18" t="n">
        <f aca="false">SUMIFS('4. Challenge'!$R$6:$R$2405,'4. Challenge'!$Q$6:$Q$2405,"Q1",BookCategory,"Regulatory")</f>
        <v>0</v>
      </c>
      <c r="C52" s="18" t="n">
        <f aca="false">SUMIFS('4. Challenge'!$R$6:$R$2405,'4. Challenge'!$Q$6:$Q$2405,"Q1",BookCategory,"Strategic")</f>
        <v>0</v>
      </c>
      <c r="D52" s="18" t="n">
        <f aca="false">SUMIFS('4. Challenge'!$R$6:$R$2405,'4. Challenge'!$Q$6:$Q$2405,"Q1",BookCategory,"Control")</f>
        <v>0</v>
      </c>
      <c r="E52" s="18" t="n">
        <f aca="false">SUMIFS('4. Challenge'!$R$6:$R$2405,'4. Challenge'!$Q$6:$Q$2405,"Q1",BookCategory,"BAU")</f>
        <v>0</v>
      </c>
      <c r="F52" s="18" t="n">
        <f aca="false">SUM($B52:$E52)</f>
        <v>0</v>
      </c>
    </row>
    <row r="53" customFormat="false" ht="15" hidden="false" customHeight="false" outlineLevel="0" collapsed="false">
      <c r="A53" s="9" t="s">
        <v>116</v>
      </c>
      <c r="B53" s="18" t="n">
        <f aca="false">SUMIFS('4. Challenge'!$R$6:$R$2405,'4. Challenge'!$Q$6:$Q$2405,"Q2",BookCategory,"Regulatory")</f>
        <v>0</v>
      </c>
      <c r="C53" s="18" t="n">
        <f aca="false">SUMIFS('4. Challenge'!$R$6:$R$2405,'4. Challenge'!$Q$6:$Q$2405,"Q2",BookCategory,"Strategic")</f>
        <v>0</v>
      </c>
      <c r="D53" s="18" t="n">
        <f aca="false">SUMIFS('4. Challenge'!$R$6:$R$2405,'4. Challenge'!$Q$6:$Q$2405,"Q2",BookCategory,"Control")</f>
        <v>0</v>
      </c>
      <c r="E53" s="18" t="n">
        <f aca="false">SUMIFS('4. Challenge'!$R$6:$R$2405,'4. Challenge'!$Q$6:$Q$2405,"Q2",BookCategory,"BAU")</f>
        <v>0</v>
      </c>
      <c r="F53" s="18" t="n">
        <f aca="false">SUM($B53:$E53)</f>
        <v>0</v>
      </c>
    </row>
    <row r="54" customFormat="false" ht="15" hidden="false" customHeight="false" outlineLevel="0" collapsed="false">
      <c r="A54" s="9" t="s">
        <v>117</v>
      </c>
      <c r="B54" s="18" t="n">
        <f aca="false">SUMIFS('4. Challenge'!$R$6:$R$2405,'4. Challenge'!$Q$6:$Q$2405,"Q3",BookCategory,"Regulatory")</f>
        <v>0</v>
      </c>
      <c r="C54" s="18" t="n">
        <f aca="false">SUMIFS('4. Challenge'!$R$6:$R$2405,'4. Challenge'!$Q$6:$Q$2405,"Q3",BookCategory,"Strategic")</f>
        <v>0</v>
      </c>
      <c r="D54" s="18" t="n">
        <f aca="false">SUMIFS('4. Challenge'!$R$6:$R$2405,'4. Challenge'!$Q$6:$Q$2405,"Q3",BookCategory,"Control")</f>
        <v>0</v>
      </c>
      <c r="E54" s="18" t="n">
        <f aca="false">SUMIFS('4. Challenge'!$R$6:$R$2405,'4. Challenge'!$Q$6:$Q$2405,"Q3",BookCategory,"BAU")</f>
        <v>0</v>
      </c>
      <c r="F54" s="18" t="n">
        <f aca="false">SUM($B54:$E54)</f>
        <v>0</v>
      </c>
    </row>
    <row r="55" customFormat="false" ht="15" hidden="false" customHeight="false" outlineLevel="0" collapsed="false">
      <c r="A55" s="9" t="s">
        <v>118</v>
      </c>
      <c r="B55" s="18" t="n">
        <f aca="false">SUMIFS('4. Challenge'!$R$6:$R$2405,'4. Challenge'!$Q$6:$Q$2405,"Q4",BookCategory,"Regulatory")</f>
        <v>0</v>
      </c>
      <c r="C55" s="18" t="n">
        <f aca="false">SUMIFS('4. Challenge'!$R$6:$R$2405,'4. Challenge'!$Q$6:$Q$2405,"Q4",BookCategory,"Strategic")</f>
        <v>0</v>
      </c>
      <c r="D55" s="18" t="n">
        <f aca="false">SUMIFS('4. Challenge'!$R$6:$R$2405,'4. Challenge'!$Q$6:$Q$2405,"Q4",BookCategory,"Control")</f>
        <v>0</v>
      </c>
      <c r="E55" s="18" t="n">
        <f aca="false">SUMIFS('4. Challenge'!$R$6:$R$2405,'4. Challenge'!$Q$6:$Q$2405,"Q4",BookCategory,"BAU")</f>
        <v>0</v>
      </c>
      <c r="F55" s="18" t="n">
        <f aca="false">SUM($B55:$E55)</f>
        <v>0</v>
      </c>
    </row>
  </sheetData>
  <sheetProtection sheet="true" sort="false" autoFilter="false"/>
  <mergeCells count="1">
    <mergeCell ref="A2:J2"/>
  </mergeCells>
  <conditionalFormatting sqref="F15:F26">
    <cfRule type="cellIs" priority="2" operator="greaterThan" aboveAverage="0" equalAverage="0" bottom="0" percent="0" rank="0" text="" dxfId="0">
      <formula>1</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5" min="2" style="0" width="17"/>
    <col collapsed="false" customWidth="true" hidden="false" outlineLevel="0" max="6" min="6" style="0" width="46"/>
  </cols>
  <sheetData>
    <row r="1" customFormat="false" ht="24" hidden="false" customHeight="true" outlineLevel="0" collapsed="false">
      <c r="A1" s="1" t="s">
        <v>253</v>
      </c>
    </row>
    <row r="2" customFormat="false" ht="15" hidden="false" customHeight="false" outlineLevel="0" collapsed="false">
      <c r="A2" s="2" t="s">
        <v>254</v>
      </c>
      <c r="B2" s="2"/>
      <c r="C2" s="2"/>
      <c r="D2" s="2"/>
      <c r="E2" s="2"/>
      <c r="F2" s="2"/>
      <c r="G2" s="2"/>
      <c r="H2" s="2"/>
      <c r="I2" s="2"/>
      <c r="J2" s="2"/>
    </row>
    <row r="4" customFormat="false" ht="15" hidden="false" customHeight="false" outlineLevel="0" collapsed="false">
      <c r="A4" s="3" t="s">
        <v>255</v>
      </c>
    </row>
    <row r="5" customFormat="false" ht="24" hidden="false" customHeight="true" outlineLevel="0" collapsed="false">
      <c r="A5" s="6" t="s">
        <v>256</v>
      </c>
      <c r="B5" s="54" t="n">
        <f aca="false">'1. Envelopes'!$O$23</f>
        <v>0</v>
      </c>
      <c r="C5" s="11" t="s">
        <v>257</v>
      </c>
      <c r="D5" s="11"/>
      <c r="E5" s="11"/>
      <c r="F5" s="11"/>
    </row>
    <row r="6" customFormat="false" ht="24" hidden="false" customHeight="true" outlineLevel="0" collapsed="false">
      <c r="A6" s="6" t="s">
        <v>258</v>
      </c>
      <c r="B6" s="54" t="n">
        <f aca="false">'1. Envelopes'!$R$23</f>
        <v>0</v>
      </c>
      <c r="C6" s="11" t="s">
        <v>259</v>
      </c>
      <c r="D6" s="11"/>
      <c r="E6" s="11"/>
      <c r="F6" s="11"/>
    </row>
    <row r="7" customFormat="false" ht="24" hidden="false" customHeight="true" outlineLevel="0" collapsed="false">
      <c r="A7" s="6" t="s">
        <v>260</v>
      </c>
      <c r="B7" s="54" t="n">
        <f aca="false">SUM(RetExits)</f>
        <v>0</v>
      </c>
      <c r="C7" s="11" t="s">
        <v>261</v>
      </c>
      <c r="D7" s="11"/>
      <c r="E7" s="11"/>
      <c r="F7" s="11"/>
    </row>
    <row r="8" customFormat="false" ht="24" hidden="false" customHeight="true" outlineLevel="0" collapsed="false">
      <c r="A8" s="6" t="s">
        <v>262</v>
      </c>
      <c r="B8" s="55" t="n">
        <f aca="false">'1. Envelopes'!$S$23</f>
        <v>0</v>
      </c>
      <c r="C8" s="11" t="s">
        <v>263</v>
      </c>
      <c r="D8" s="11"/>
      <c r="E8" s="11"/>
      <c r="F8" s="11"/>
    </row>
    <row r="9" customFormat="false" ht="24" hidden="false" customHeight="true" outlineLevel="0" collapsed="false">
      <c r="A9" s="6" t="s">
        <v>264</v>
      </c>
      <c r="B9" s="55" t="n">
        <f aca="false">BankCostEnvelope-'1. Envelopes'!$S$23</f>
        <v>35431</v>
      </c>
      <c r="C9" s="11" t="s">
        <v>265</v>
      </c>
      <c r="D9" s="11"/>
      <c r="E9" s="11"/>
      <c r="F9" s="11"/>
    </row>
    <row r="10" customFormat="false" ht="24" hidden="false" customHeight="true" outlineLevel="0" collapsed="false">
      <c r="A10" s="6" t="s">
        <v>266</v>
      </c>
      <c r="B10" s="54" t="n">
        <f aca="false">'6. Dashboard'!$C$9</f>
        <v>2568</v>
      </c>
      <c r="C10" s="11" t="s">
        <v>267</v>
      </c>
      <c r="D10" s="11"/>
      <c r="E10" s="11"/>
      <c r="F10" s="11"/>
    </row>
    <row r="12" customFormat="false" ht="15" hidden="false" customHeight="false" outlineLevel="0" collapsed="false">
      <c r="A12" s="3" t="s">
        <v>268</v>
      </c>
    </row>
    <row r="13" customFormat="false" ht="30" hidden="false" customHeight="true" outlineLevel="0" collapsed="false">
      <c r="A13" s="16" t="s">
        <v>269</v>
      </c>
      <c r="B13" s="16" t="s">
        <v>153</v>
      </c>
      <c r="C13" s="16" t="s">
        <v>154</v>
      </c>
      <c r="D13" s="16" t="s">
        <v>155</v>
      </c>
      <c r="E13" s="16" t="s">
        <v>156</v>
      </c>
    </row>
    <row r="14" customFormat="false" ht="15" hidden="false" customHeight="false" outlineLevel="0" collapsed="false">
      <c r="A14" s="17" t="s">
        <v>176</v>
      </c>
      <c r="B14" s="21" t="n">
        <f aca="false">'5. Scenarios'!$B$17</f>
        <v>0</v>
      </c>
      <c r="C14" s="21" t="n">
        <f aca="false">'5. Scenarios'!$C$17</f>
        <v>0</v>
      </c>
      <c r="D14" s="21" t="n">
        <f aca="false">'5. Scenarios'!$D$17</f>
        <v>0</v>
      </c>
      <c r="E14" s="21" t="n">
        <f aca="false">'5. Scenarios'!$E$17</f>
        <v>0</v>
      </c>
    </row>
    <row r="15" customFormat="false" ht="15" hidden="false" customHeight="false" outlineLevel="0" collapsed="false">
      <c r="A15" s="17" t="s">
        <v>178</v>
      </c>
      <c r="B15" s="18" t="n">
        <f aca="false">'5. Scenarios'!$B$18</f>
        <v>0</v>
      </c>
      <c r="C15" s="18" t="n">
        <f aca="false">'5. Scenarios'!$C$18</f>
        <v>0</v>
      </c>
      <c r="D15" s="18" t="n">
        <f aca="false">'5. Scenarios'!$D$18</f>
        <v>0</v>
      </c>
      <c r="E15" s="18" t="n">
        <f aca="false">'5. Scenarios'!$E$18</f>
        <v>0</v>
      </c>
    </row>
    <row r="16" customFormat="false" ht="15" hidden="false" customHeight="false" outlineLevel="0" collapsed="false">
      <c r="A16" s="17" t="s">
        <v>270</v>
      </c>
      <c r="B16" s="18" t="n">
        <f aca="false">'5. Scenarios'!$B$19</f>
        <v>0</v>
      </c>
      <c r="C16" s="18" t="n">
        <f aca="false">'5. Scenarios'!$C$19</f>
        <v>0</v>
      </c>
      <c r="D16" s="18" t="n">
        <f aca="false">'5. Scenarios'!$D$19</f>
        <v>0</v>
      </c>
      <c r="E16" s="18" t="n">
        <f aca="false">'5. Scenarios'!$E$19</f>
        <v>0</v>
      </c>
    </row>
    <row r="18" customFormat="false" ht="15" hidden="false" customHeight="false" outlineLevel="0" collapsed="false">
      <c r="A18" s="3" t="s">
        <v>271</v>
      </c>
    </row>
    <row r="19" customFormat="false" ht="30" hidden="false" customHeight="true" outlineLevel="0" collapsed="false">
      <c r="A19" s="16" t="s">
        <v>198</v>
      </c>
      <c r="B19" s="16" t="s">
        <v>138</v>
      </c>
      <c r="C19" s="16" t="s">
        <v>141</v>
      </c>
      <c r="D19" s="16" t="s">
        <v>61</v>
      </c>
      <c r="E19" s="16" t="s">
        <v>272</v>
      </c>
    </row>
    <row r="20" customFormat="false" ht="15" hidden="false" customHeight="false" outlineLevel="0" collapsed="false">
      <c r="A20" s="9" t="s">
        <v>199</v>
      </c>
      <c r="B20" s="21" t="n">
        <f aca="false">SUMIFS(BookTotal,BookCategory,"Regulatory")</f>
        <v>0</v>
      </c>
      <c r="C20" s="21" t="n">
        <f aca="false">SUMIFS('4. Challenge'!$P$6:$P$2405,BookCategory,"Regulatory")</f>
        <v>0</v>
      </c>
      <c r="D20" s="18" t="n">
        <f aca="false">SUMIFS('4. Challenge'!$S$6:$S$2405,BookCategory,"Regulatory")</f>
        <v>0</v>
      </c>
      <c r="E20" s="53" t="n">
        <f aca="false">IFERROR($D20/SUM($D$20:$D$23),0)</f>
        <v>0</v>
      </c>
    </row>
    <row r="21" customFormat="false" ht="15" hidden="false" customHeight="false" outlineLevel="0" collapsed="false">
      <c r="A21" s="9" t="s">
        <v>201</v>
      </c>
      <c r="B21" s="21" t="n">
        <f aca="false">SUMIFS(BookTotal,BookCategory,"Strategic")</f>
        <v>0</v>
      </c>
      <c r="C21" s="21" t="n">
        <f aca="false">SUMIFS('4. Challenge'!$P$6:$P$2405,BookCategory,"Strategic")</f>
        <v>0</v>
      </c>
      <c r="D21" s="18" t="n">
        <f aca="false">SUMIFS('4. Challenge'!$S$6:$S$2405,BookCategory,"Strategic")</f>
        <v>0</v>
      </c>
      <c r="E21" s="53" t="n">
        <f aca="false">IFERROR($D21/SUM($D$20:$D$23),0)</f>
        <v>0</v>
      </c>
    </row>
    <row r="22" customFormat="false" ht="15" hidden="false" customHeight="false" outlineLevel="0" collapsed="false">
      <c r="A22" s="9" t="s">
        <v>203</v>
      </c>
      <c r="B22" s="21" t="n">
        <f aca="false">SUMIFS(BookTotal,BookCategory,"Control")</f>
        <v>0</v>
      </c>
      <c r="C22" s="21" t="n">
        <f aca="false">SUMIFS('4. Challenge'!$P$6:$P$2405,BookCategory,"Control")</f>
        <v>0</v>
      </c>
      <c r="D22" s="18" t="n">
        <f aca="false">SUMIFS('4. Challenge'!$S$6:$S$2405,BookCategory,"Control")</f>
        <v>0</v>
      </c>
      <c r="E22" s="53" t="n">
        <f aca="false">IFERROR($D22/SUM($D$20:$D$23),0)</f>
        <v>0</v>
      </c>
    </row>
    <row r="23" customFormat="false" ht="15" hidden="false" customHeight="false" outlineLevel="0" collapsed="false">
      <c r="A23" s="9" t="s">
        <v>205</v>
      </c>
      <c r="B23" s="21" t="n">
        <f aca="false">SUMIFS(BookTotal,BookCategory,"BAU")</f>
        <v>0</v>
      </c>
      <c r="C23" s="21" t="n">
        <f aca="false">SUMIFS('4. Challenge'!$P$6:$P$2405,BookCategory,"BAU")</f>
        <v>0</v>
      </c>
      <c r="D23" s="18" t="n">
        <f aca="false">SUMIFS('4. Challenge'!$S$6:$S$2405,BookCategory,"BAU")</f>
        <v>0</v>
      </c>
      <c r="E23" s="53" t="n">
        <f aca="false">IFERROR($D23/SUM($D$20:$D$23),0)</f>
        <v>0</v>
      </c>
    </row>
    <row r="25" customFormat="false" ht="25.5" hidden="false" customHeight="true" outlineLevel="0" collapsed="false">
      <c r="A25" s="11" t="s">
        <v>273</v>
      </c>
      <c r="B25" s="11"/>
      <c r="C25" s="11"/>
      <c r="D25" s="11"/>
      <c r="E25" s="11"/>
      <c r="F25" s="11"/>
    </row>
    <row r="26" customFormat="false" ht="25.5" hidden="false" customHeight="true" outlineLevel="0" collapsed="false">
      <c r="A26" s="11" t="s">
        <v>274</v>
      </c>
      <c r="B26" s="11"/>
      <c r="C26" s="11"/>
      <c r="D26" s="11"/>
      <c r="E26" s="11"/>
      <c r="F26" s="11"/>
    </row>
  </sheetData>
  <sheetProtection sheet="true" sort="false" autoFilter="false"/>
  <mergeCells count="9">
    <mergeCell ref="A2:J2"/>
    <mergeCell ref="C5:F5"/>
    <mergeCell ref="C6:F6"/>
    <mergeCell ref="C7:F7"/>
    <mergeCell ref="C8:F8"/>
    <mergeCell ref="C9:F9"/>
    <mergeCell ref="C10:F10"/>
    <mergeCell ref="A25:F25"/>
    <mergeCell ref="A26:F26"/>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6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true" outlineLevel="0" max="2" min="2" style="0" width="8"/>
    <col collapsed="false" customWidth="true" hidden="false" outlineLevel="0" max="3" min="3" style="0" width="26"/>
    <col collapsed="false" customWidth="true" hidden="false" outlineLevel="0" max="4" min="4" style="0" width="24"/>
    <col collapsed="false" customWidth="true" hidden="false" outlineLevel="0" max="5" min="5" style="0" width="26"/>
    <col collapsed="false" customWidth="true" hidden="false" outlineLevel="0" max="6" min="6" style="0" width="30"/>
    <col collapsed="false" customWidth="true" hidden="false" outlineLevel="0" max="8" min="7" style="0" width="16"/>
    <col collapsed="false" customWidth="true" hidden="false" outlineLevel="0" max="9" min="9" style="0" width="14"/>
    <col collapsed="false" customWidth="true" hidden="false" outlineLevel="0" max="10" min="10" style="0" width="11"/>
    <col collapsed="false" customWidth="true" hidden="false" outlineLevel="0" max="11" min="11" style="0" width="13"/>
    <col collapsed="false" customWidth="true" hidden="false" outlineLevel="0" max="12" min="12" style="0" width="15"/>
    <col collapsed="false" customWidth="true" hidden="false" outlineLevel="0" max="13" min="13" style="0" width="14"/>
    <col collapsed="false" customWidth="true" hidden="false" outlineLevel="0" max="14" min="14" style="0" width="30"/>
  </cols>
  <sheetData>
    <row r="1" customFormat="false" ht="24" hidden="false" customHeight="true" outlineLevel="0" collapsed="false">
      <c r="A1" s="1" t="s">
        <v>275</v>
      </c>
    </row>
    <row r="2" customFormat="false" ht="15" hidden="false" customHeight="false" outlineLevel="0" collapsed="false">
      <c r="A2" s="2" t="s">
        <v>276</v>
      </c>
      <c r="B2" s="2"/>
      <c r="C2" s="2"/>
      <c r="D2" s="2"/>
      <c r="E2" s="2"/>
      <c r="F2" s="2"/>
      <c r="G2" s="2"/>
      <c r="H2" s="2"/>
      <c r="I2" s="2"/>
      <c r="J2" s="2"/>
    </row>
    <row r="5" customFormat="false" ht="30" hidden="false" customHeight="true" outlineLevel="0" collapsed="false">
      <c r="A5" s="16" t="s">
        <v>277</v>
      </c>
      <c r="B5" s="16" t="s">
        <v>278</v>
      </c>
      <c r="C5" s="16" t="s">
        <v>43</v>
      </c>
      <c r="D5" s="16" t="s">
        <v>105</v>
      </c>
      <c r="E5" s="16" t="s">
        <v>107</v>
      </c>
      <c r="F5" s="16" t="s">
        <v>109</v>
      </c>
      <c r="G5" s="16" t="s">
        <v>110</v>
      </c>
      <c r="H5" s="16" t="s">
        <v>111</v>
      </c>
      <c r="I5" s="16" t="s">
        <v>112</v>
      </c>
      <c r="J5" s="16" t="s">
        <v>141</v>
      </c>
      <c r="K5" s="16" t="s">
        <v>251</v>
      </c>
      <c r="L5" s="16" t="s">
        <v>279</v>
      </c>
      <c r="M5" s="16" t="s">
        <v>280</v>
      </c>
      <c r="N5" s="16" t="s">
        <v>120</v>
      </c>
    </row>
    <row r="6" customFormat="false" ht="15" hidden="false" customHeight="false" outlineLevel="0" collapsed="false">
      <c r="A6" s="33" t="n">
        <v>1</v>
      </c>
      <c r="B6" s="0" t="str">
        <f aca="false">IFERROR(MATCH($A6,ChalSeq,0),"")</f>
        <v/>
      </c>
      <c r="C6" s="0" t="str">
        <f aca="false">IF($B6="","",INDEX(ChalGroup,$B6))</f>
        <v/>
      </c>
      <c r="D6" s="0" t="str">
        <f aca="false">IF($B6="","",INDEX(ChalDivision,$B6))</f>
        <v/>
      </c>
      <c r="E6" s="0" t="str">
        <f aca="false">IF($B6="","",INDEX(ChalUnit,$B6))</f>
        <v/>
      </c>
      <c r="F6" s="0" t="str">
        <f aca="false">IF($B6="","",INDEX(ChalTitle,$B6))</f>
        <v/>
      </c>
      <c r="G6" s="0" t="str">
        <f aca="false">IF($B6="","",INDEX(ChalLevel,$B6))</f>
        <v/>
      </c>
      <c r="H6" s="0" t="str">
        <f aca="false">IF($B6="","",INDEX(BookFamily,$B6))</f>
        <v/>
      </c>
      <c r="I6" s="0" t="str">
        <f aca="false">IF($B6="","",INDEX(BookWorkerType,$B6))</f>
        <v/>
      </c>
      <c r="J6" s="56" t="str">
        <f aca="false">IF($B6="","",INDEX(ChalEffective,$B6))</f>
        <v/>
      </c>
      <c r="K6" s="0" t="str">
        <f aca="false">IF($B6="","",INDEX(ChalStart,$B6))</f>
        <v/>
      </c>
      <c r="L6" s="57" t="str">
        <f aca="false">IF($B6="","",INDEX(ChalInYear,$B6))</f>
        <v/>
      </c>
      <c r="M6" s="57" t="str">
        <f aca="false">IF($B6="","",INDEX(ChalRunRate,$B6))</f>
        <v/>
      </c>
      <c r="N6" s="0" t="str">
        <f aca="false">IF($B6="","",INDEX(BookDriver,$B6))</f>
        <v/>
      </c>
    </row>
    <row r="7" customFormat="false" ht="15" hidden="false" customHeight="false" outlineLevel="0" collapsed="false">
      <c r="A7" s="33" t="n">
        <v>2</v>
      </c>
      <c r="B7" s="0" t="str">
        <f aca="false">IFERROR(MATCH($A7,ChalSeq,0),"")</f>
        <v/>
      </c>
      <c r="C7" s="0" t="str">
        <f aca="false">IF($B7="","",INDEX(ChalGroup,$B7))</f>
        <v/>
      </c>
      <c r="D7" s="0" t="str">
        <f aca="false">IF($B7="","",INDEX(ChalDivision,$B7))</f>
        <v/>
      </c>
      <c r="E7" s="0" t="str">
        <f aca="false">IF($B7="","",INDEX(ChalUnit,$B7))</f>
        <v/>
      </c>
      <c r="F7" s="0" t="str">
        <f aca="false">IF($B7="","",INDEX(ChalTitle,$B7))</f>
        <v/>
      </c>
      <c r="G7" s="0" t="str">
        <f aca="false">IF($B7="","",INDEX(ChalLevel,$B7))</f>
        <v/>
      </c>
      <c r="H7" s="0" t="str">
        <f aca="false">IF($B7="","",INDEX(BookFamily,$B7))</f>
        <v/>
      </c>
      <c r="I7" s="0" t="str">
        <f aca="false">IF($B7="","",INDEX(BookWorkerType,$B7))</f>
        <v/>
      </c>
      <c r="J7" s="56" t="str">
        <f aca="false">IF($B7="","",INDEX(ChalEffective,$B7))</f>
        <v/>
      </c>
      <c r="K7" s="0" t="str">
        <f aca="false">IF($B7="","",INDEX(ChalStart,$B7))</f>
        <v/>
      </c>
      <c r="L7" s="57" t="str">
        <f aca="false">IF($B7="","",INDEX(ChalInYear,$B7))</f>
        <v/>
      </c>
      <c r="M7" s="57" t="str">
        <f aca="false">IF($B7="","",INDEX(ChalRunRate,$B7))</f>
        <v/>
      </c>
      <c r="N7" s="0" t="str">
        <f aca="false">IF($B7="","",INDEX(BookDriver,$B7))</f>
        <v/>
      </c>
    </row>
    <row r="8" customFormat="false" ht="15" hidden="false" customHeight="false" outlineLevel="0" collapsed="false">
      <c r="A8" s="33" t="n">
        <v>3</v>
      </c>
      <c r="B8" s="0" t="str">
        <f aca="false">IFERROR(MATCH($A8,ChalSeq,0),"")</f>
        <v/>
      </c>
      <c r="C8" s="0" t="str">
        <f aca="false">IF($B8="","",INDEX(ChalGroup,$B8))</f>
        <v/>
      </c>
      <c r="D8" s="0" t="str">
        <f aca="false">IF($B8="","",INDEX(ChalDivision,$B8))</f>
        <v/>
      </c>
      <c r="E8" s="0" t="str">
        <f aca="false">IF($B8="","",INDEX(ChalUnit,$B8))</f>
        <v/>
      </c>
      <c r="F8" s="0" t="str">
        <f aca="false">IF($B8="","",INDEX(ChalTitle,$B8))</f>
        <v/>
      </c>
      <c r="G8" s="0" t="str">
        <f aca="false">IF($B8="","",INDEX(ChalLevel,$B8))</f>
        <v/>
      </c>
      <c r="H8" s="0" t="str">
        <f aca="false">IF($B8="","",INDEX(BookFamily,$B8))</f>
        <v/>
      </c>
      <c r="I8" s="0" t="str">
        <f aca="false">IF($B8="","",INDEX(BookWorkerType,$B8))</f>
        <v/>
      </c>
      <c r="J8" s="56" t="str">
        <f aca="false">IF($B8="","",INDEX(ChalEffective,$B8))</f>
        <v/>
      </c>
      <c r="K8" s="0" t="str">
        <f aca="false">IF($B8="","",INDEX(ChalStart,$B8))</f>
        <v/>
      </c>
      <c r="L8" s="57" t="str">
        <f aca="false">IF($B8="","",INDEX(ChalInYear,$B8))</f>
        <v/>
      </c>
      <c r="M8" s="57" t="str">
        <f aca="false">IF($B8="","",INDEX(ChalRunRate,$B8))</f>
        <v/>
      </c>
      <c r="N8" s="0" t="str">
        <f aca="false">IF($B8="","",INDEX(BookDriver,$B8))</f>
        <v/>
      </c>
    </row>
    <row r="9" customFormat="false" ht="15" hidden="false" customHeight="false" outlineLevel="0" collapsed="false">
      <c r="A9" s="33" t="n">
        <v>4</v>
      </c>
      <c r="B9" s="0" t="str">
        <f aca="false">IFERROR(MATCH($A9,ChalSeq,0),"")</f>
        <v/>
      </c>
      <c r="C9" s="0" t="str">
        <f aca="false">IF($B9="","",INDEX(ChalGroup,$B9))</f>
        <v/>
      </c>
      <c r="D9" s="0" t="str">
        <f aca="false">IF($B9="","",INDEX(ChalDivision,$B9))</f>
        <v/>
      </c>
      <c r="E9" s="0" t="str">
        <f aca="false">IF($B9="","",INDEX(ChalUnit,$B9))</f>
        <v/>
      </c>
      <c r="F9" s="0" t="str">
        <f aca="false">IF($B9="","",INDEX(ChalTitle,$B9))</f>
        <v/>
      </c>
      <c r="G9" s="0" t="str">
        <f aca="false">IF($B9="","",INDEX(ChalLevel,$B9))</f>
        <v/>
      </c>
      <c r="H9" s="0" t="str">
        <f aca="false">IF($B9="","",INDEX(BookFamily,$B9))</f>
        <v/>
      </c>
      <c r="I9" s="0" t="str">
        <f aca="false">IF($B9="","",INDEX(BookWorkerType,$B9))</f>
        <v/>
      </c>
      <c r="J9" s="56" t="str">
        <f aca="false">IF($B9="","",INDEX(ChalEffective,$B9))</f>
        <v/>
      </c>
      <c r="K9" s="0" t="str">
        <f aca="false">IF($B9="","",INDEX(ChalStart,$B9))</f>
        <v/>
      </c>
      <c r="L9" s="57" t="str">
        <f aca="false">IF($B9="","",INDEX(ChalInYear,$B9))</f>
        <v/>
      </c>
      <c r="M9" s="57" t="str">
        <f aca="false">IF($B9="","",INDEX(ChalRunRate,$B9))</f>
        <v/>
      </c>
      <c r="N9" s="0" t="str">
        <f aca="false">IF($B9="","",INDEX(BookDriver,$B9))</f>
        <v/>
      </c>
    </row>
    <row r="10" customFormat="false" ht="15" hidden="false" customHeight="false" outlineLevel="0" collapsed="false">
      <c r="A10" s="33" t="n">
        <v>5</v>
      </c>
      <c r="B10" s="0" t="str">
        <f aca="false">IFERROR(MATCH($A10,ChalSeq,0),"")</f>
        <v/>
      </c>
      <c r="C10" s="0" t="str">
        <f aca="false">IF($B10="","",INDEX(ChalGroup,$B10))</f>
        <v/>
      </c>
      <c r="D10" s="0" t="str">
        <f aca="false">IF($B10="","",INDEX(ChalDivision,$B10))</f>
        <v/>
      </c>
      <c r="E10" s="0" t="str">
        <f aca="false">IF($B10="","",INDEX(ChalUnit,$B10))</f>
        <v/>
      </c>
      <c r="F10" s="0" t="str">
        <f aca="false">IF($B10="","",INDEX(ChalTitle,$B10))</f>
        <v/>
      </c>
      <c r="G10" s="0" t="str">
        <f aca="false">IF($B10="","",INDEX(ChalLevel,$B10))</f>
        <v/>
      </c>
      <c r="H10" s="0" t="str">
        <f aca="false">IF($B10="","",INDEX(BookFamily,$B10))</f>
        <v/>
      </c>
      <c r="I10" s="0" t="str">
        <f aca="false">IF($B10="","",INDEX(BookWorkerType,$B10))</f>
        <v/>
      </c>
      <c r="J10" s="56" t="str">
        <f aca="false">IF($B10="","",INDEX(ChalEffective,$B10))</f>
        <v/>
      </c>
      <c r="K10" s="0" t="str">
        <f aca="false">IF($B10="","",INDEX(ChalStart,$B10))</f>
        <v/>
      </c>
      <c r="L10" s="57" t="str">
        <f aca="false">IF($B10="","",INDEX(ChalInYear,$B10))</f>
        <v/>
      </c>
      <c r="M10" s="57" t="str">
        <f aca="false">IF($B10="","",INDEX(ChalRunRate,$B10))</f>
        <v/>
      </c>
      <c r="N10" s="0" t="str">
        <f aca="false">IF($B10="","",INDEX(BookDriver,$B10))</f>
        <v/>
      </c>
    </row>
    <row r="11" customFormat="false" ht="15" hidden="false" customHeight="false" outlineLevel="0" collapsed="false">
      <c r="A11" s="33" t="n">
        <v>6</v>
      </c>
      <c r="B11" s="0" t="str">
        <f aca="false">IFERROR(MATCH($A11,ChalSeq,0),"")</f>
        <v/>
      </c>
      <c r="C11" s="0" t="str">
        <f aca="false">IF($B11="","",INDEX(ChalGroup,$B11))</f>
        <v/>
      </c>
      <c r="D11" s="0" t="str">
        <f aca="false">IF($B11="","",INDEX(ChalDivision,$B11))</f>
        <v/>
      </c>
      <c r="E11" s="0" t="str">
        <f aca="false">IF($B11="","",INDEX(ChalUnit,$B11))</f>
        <v/>
      </c>
      <c r="F11" s="0" t="str">
        <f aca="false">IF($B11="","",INDEX(ChalTitle,$B11))</f>
        <v/>
      </c>
      <c r="G11" s="0" t="str">
        <f aca="false">IF($B11="","",INDEX(ChalLevel,$B11))</f>
        <v/>
      </c>
      <c r="H11" s="0" t="str">
        <f aca="false">IF($B11="","",INDEX(BookFamily,$B11))</f>
        <v/>
      </c>
      <c r="I11" s="0" t="str">
        <f aca="false">IF($B11="","",INDEX(BookWorkerType,$B11))</f>
        <v/>
      </c>
      <c r="J11" s="56" t="str">
        <f aca="false">IF($B11="","",INDEX(ChalEffective,$B11))</f>
        <v/>
      </c>
      <c r="K11" s="0" t="str">
        <f aca="false">IF($B11="","",INDEX(ChalStart,$B11))</f>
        <v/>
      </c>
      <c r="L11" s="57" t="str">
        <f aca="false">IF($B11="","",INDEX(ChalInYear,$B11))</f>
        <v/>
      </c>
      <c r="M11" s="57" t="str">
        <f aca="false">IF($B11="","",INDEX(ChalRunRate,$B11))</f>
        <v/>
      </c>
      <c r="N11" s="0" t="str">
        <f aca="false">IF($B11="","",INDEX(BookDriver,$B11))</f>
        <v/>
      </c>
    </row>
    <row r="12" customFormat="false" ht="15" hidden="false" customHeight="false" outlineLevel="0" collapsed="false">
      <c r="A12" s="33" t="n">
        <v>7</v>
      </c>
      <c r="B12" s="0" t="str">
        <f aca="false">IFERROR(MATCH($A12,ChalSeq,0),"")</f>
        <v/>
      </c>
      <c r="C12" s="0" t="str">
        <f aca="false">IF($B12="","",INDEX(ChalGroup,$B12))</f>
        <v/>
      </c>
      <c r="D12" s="0" t="str">
        <f aca="false">IF($B12="","",INDEX(ChalDivision,$B12))</f>
        <v/>
      </c>
      <c r="E12" s="0" t="str">
        <f aca="false">IF($B12="","",INDEX(ChalUnit,$B12))</f>
        <v/>
      </c>
      <c r="F12" s="0" t="str">
        <f aca="false">IF($B12="","",INDEX(ChalTitle,$B12))</f>
        <v/>
      </c>
      <c r="G12" s="0" t="str">
        <f aca="false">IF($B12="","",INDEX(ChalLevel,$B12))</f>
        <v/>
      </c>
      <c r="H12" s="0" t="str">
        <f aca="false">IF($B12="","",INDEX(BookFamily,$B12))</f>
        <v/>
      </c>
      <c r="I12" s="0" t="str">
        <f aca="false">IF($B12="","",INDEX(BookWorkerType,$B12))</f>
        <v/>
      </c>
      <c r="J12" s="56" t="str">
        <f aca="false">IF($B12="","",INDEX(ChalEffective,$B12))</f>
        <v/>
      </c>
      <c r="K12" s="0" t="str">
        <f aca="false">IF($B12="","",INDEX(ChalStart,$B12))</f>
        <v/>
      </c>
      <c r="L12" s="57" t="str">
        <f aca="false">IF($B12="","",INDEX(ChalInYear,$B12))</f>
        <v/>
      </c>
      <c r="M12" s="57" t="str">
        <f aca="false">IF($B12="","",INDEX(ChalRunRate,$B12))</f>
        <v/>
      </c>
      <c r="N12" s="0" t="str">
        <f aca="false">IF($B12="","",INDEX(BookDriver,$B12))</f>
        <v/>
      </c>
    </row>
    <row r="13" customFormat="false" ht="15" hidden="false" customHeight="false" outlineLevel="0" collapsed="false">
      <c r="A13" s="33" t="n">
        <v>8</v>
      </c>
      <c r="B13" s="0" t="str">
        <f aca="false">IFERROR(MATCH($A13,ChalSeq,0),"")</f>
        <v/>
      </c>
      <c r="C13" s="0" t="str">
        <f aca="false">IF($B13="","",INDEX(ChalGroup,$B13))</f>
        <v/>
      </c>
      <c r="D13" s="0" t="str">
        <f aca="false">IF($B13="","",INDEX(ChalDivision,$B13))</f>
        <v/>
      </c>
      <c r="E13" s="0" t="str">
        <f aca="false">IF($B13="","",INDEX(ChalUnit,$B13))</f>
        <v/>
      </c>
      <c r="F13" s="0" t="str">
        <f aca="false">IF($B13="","",INDEX(ChalTitle,$B13))</f>
        <v/>
      </c>
      <c r="G13" s="0" t="str">
        <f aca="false">IF($B13="","",INDEX(ChalLevel,$B13))</f>
        <v/>
      </c>
      <c r="H13" s="0" t="str">
        <f aca="false">IF($B13="","",INDEX(BookFamily,$B13))</f>
        <v/>
      </c>
      <c r="I13" s="0" t="str">
        <f aca="false">IF($B13="","",INDEX(BookWorkerType,$B13))</f>
        <v/>
      </c>
      <c r="J13" s="56" t="str">
        <f aca="false">IF($B13="","",INDEX(ChalEffective,$B13))</f>
        <v/>
      </c>
      <c r="K13" s="0" t="str">
        <f aca="false">IF($B13="","",INDEX(ChalStart,$B13))</f>
        <v/>
      </c>
      <c r="L13" s="57" t="str">
        <f aca="false">IF($B13="","",INDEX(ChalInYear,$B13))</f>
        <v/>
      </c>
      <c r="M13" s="57" t="str">
        <f aca="false">IF($B13="","",INDEX(ChalRunRate,$B13))</f>
        <v/>
      </c>
      <c r="N13" s="0" t="str">
        <f aca="false">IF($B13="","",INDEX(BookDriver,$B13))</f>
        <v/>
      </c>
    </row>
    <row r="14" customFormat="false" ht="15" hidden="false" customHeight="false" outlineLevel="0" collapsed="false">
      <c r="A14" s="33" t="n">
        <v>9</v>
      </c>
      <c r="B14" s="0" t="str">
        <f aca="false">IFERROR(MATCH($A14,ChalSeq,0),"")</f>
        <v/>
      </c>
      <c r="C14" s="0" t="str">
        <f aca="false">IF($B14="","",INDEX(ChalGroup,$B14))</f>
        <v/>
      </c>
      <c r="D14" s="0" t="str">
        <f aca="false">IF($B14="","",INDEX(ChalDivision,$B14))</f>
        <v/>
      </c>
      <c r="E14" s="0" t="str">
        <f aca="false">IF($B14="","",INDEX(ChalUnit,$B14))</f>
        <v/>
      </c>
      <c r="F14" s="0" t="str">
        <f aca="false">IF($B14="","",INDEX(ChalTitle,$B14))</f>
        <v/>
      </c>
      <c r="G14" s="0" t="str">
        <f aca="false">IF($B14="","",INDEX(ChalLevel,$B14))</f>
        <v/>
      </c>
      <c r="H14" s="0" t="str">
        <f aca="false">IF($B14="","",INDEX(BookFamily,$B14))</f>
        <v/>
      </c>
      <c r="I14" s="0" t="str">
        <f aca="false">IF($B14="","",INDEX(BookWorkerType,$B14))</f>
        <v/>
      </c>
      <c r="J14" s="56" t="str">
        <f aca="false">IF($B14="","",INDEX(ChalEffective,$B14))</f>
        <v/>
      </c>
      <c r="K14" s="0" t="str">
        <f aca="false">IF($B14="","",INDEX(ChalStart,$B14))</f>
        <v/>
      </c>
      <c r="L14" s="57" t="str">
        <f aca="false">IF($B14="","",INDEX(ChalInYear,$B14))</f>
        <v/>
      </c>
      <c r="M14" s="57" t="str">
        <f aca="false">IF($B14="","",INDEX(ChalRunRate,$B14))</f>
        <v/>
      </c>
      <c r="N14" s="0" t="str">
        <f aca="false">IF($B14="","",INDEX(BookDriver,$B14))</f>
        <v/>
      </c>
    </row>
    <row r="15" customFormat="false" ht="15" hidden="false" customHeight="false" outlineLevel="0" collapsed="false">
      <c r="A15" s="33" t="n">
        <v>10</v>
      </c>
      <c r="B15" s="0" t="str">
        <f aca="false">IFERROR(MATCH($A15,ChalSeq,0),"")</f>
        <v/>
      </c>
      <c r="C15" s="0" t="str">
        <f aca="false">IF($B15="","",INDEX(ChalGroup,$B15))</f>
        <v/>
      </c>
      <c r="D15" s="0" t="str">
        <f aca="false">IF($B15="","",INDEX(ChalDivision,$B15))</f>
        <v/>
      </c>
      <c r="E15" s="0" t="str">
        <f aca="false">IF($B15="","",INDEX(ChalUnit,$B15))</f>
        <v/>
      </c>
      <c r="F15" s="0" t="str">
        <f aca="false">IF($B15="","",INDEX(ChalTitle,$B15))</f>
        <v/>
      </c>
      <c r="G15" s="0" t="str">
        <f aca="false">IF($B15="","",INDEX(ChalLevel,$B15))</f>
        <v/>
      </c>
      <c r="H15" s="0" t="str">
        <f aca="false">IF($B15="","",INDEX(BookFamily,$B15))</f>
        <v/>
      </c>
      <c r="I15" s="0" t="str">
        <f aca="false">IF($B15="","",INDEX(BookWorkerType,$B15))</f>
        <v/>
      </c>
      <c r="J15" s="56" t="str">
        <f aca="false">IF($B15="","",INDEX(ChalEffective,$B15))</f>
        <v/>
      </c>
      <c r="K15" s="0" t="str">
        <f aca="false">IF($B15="","",INDEX(ChalStart,$B15))</f>
        <v/>
      </c>
      <c r="L15" s="57" t="str">
        <f aca="false">IF($B15="","",INDEX(ChalInYear,$B15))</f>
        <v/>
      </c>
      <c r="M15" s="57" t="str">
        <f aca="false">IF($B15="","",INDEX(ChalRunRate,$B15))</f>
        <v/>
      </c>
      <c r="N15" s="0" t="str">
        <f aca="false">IF($B15="","",INDEX(BookDriver,$B15))</f>
        <v/>
      </c>
    </row>
    <row r="16" customFormat="false" ht="15" hidden="false" customHeight="false" outlineLevel="0" collapsed="false">
      <c r="A16" s="33" t="n">
        <v>11</v>
      </c>
      <c r="B16" s="0" t="str">
        <f aca="false">IFERROR(MATCH($A16,ChalSeq,0),"")</f>
        <v/>
      </c>
      <c r="C16" s="0" t="str">
        <f aca="false">IF($B16="","",INDEX(ChalGroup,$B16))</f>
        <v/>
      </c>
      <c r="D16" s="0" t="str">
        <f aca="false">IF($B16="","",INDEX(ChalDivision,$B16))</f>
        <v/>
      </c>
      <c r="E16" s="0" t="str">
        <f aca="false">IF($B16="","",INDEX(ChalUnit,$B16))</f>
        <v/>
      </c>
      <c r="F16" s="0" t="str">
        <f aca="false">IF($B16="","",INDEX(ChalTitle,$B16))</f>
        <v/>
      </c>
      <c r="G16" s="0" t="str">
        <f aca="false">IF($B16="","",INDEX(ChalLevel,$B16))</f>
        <v/>
      </c>
      <c r="H16" s="0" t="str">
        <f aca="false">IF($B16="","",INDEX(BookFamily,$B16))</f>
        <v/>
      </c>
      <c r="I16" s="0" t="str">
        <f aca="false">IF($B16="","",INDEX(BookWorkerType,$B16))</f>
        <v/>
      </c>
      <c r="J16" s="56" t="str">
        <f aca="false">IF($B16="","",INDEX(ChalEffective,$B16))</f>
        <v/>
      </c>
      <c r="K16" s="0" t="str">
        <f aca="false">IF($B16="","",INDEX(ChalStart,$B16))</f>
        <v/>
      </c>
      <c r="L16" s="57" t="str">
        <f aca="false">IF($B16="","",INDEX(ChalInYear,$B16))</f>
        <v/>
      </c>
      <c r="M16" s="57" t="str">
        <f aca="false">IF($B16="","",INDEX(ChalRunRate,$B16))</f>
        <v/>
      </c>
      <c r="N16" s="0" t="str">
        <f aca="false">IF($B16="","",INDEX(BookDriver,$B16))</f>
        <v/>
      </c>
    </row>
    <row r="17" customFormat="false" ht="15" hidden="false" customHeight="false" outlineLevel="0" collapsed="false">
      <c r="A17" s="33" t="n">
        <v>12</v>
      </c>
      <c r="B17" s="0" t="str">
        <f aca="false">IFERROR(MATCH($A17,ChalSeq,0),"")</f>
        <v/>
      </c>
      <c r="C17" s="0" t="str">
        <f aca="false">IF($B17="","",INDEX(ChalGroup,$B17))</f>
        <v/>
      </c>
      <c r="D17" s="0" t="str">
        <f aca="false">IF($B17="","",INDEX(ChalDivision,$B17))</f>
        <v/>
      </c>
      <c r="E17" s="0" t="str">
        <f aca="false">IF($B17="","",INDEX(ChalUnit,$B17))</f>
        <v/>
      </c>
      <c r="F17" s="0" t="str">
        <f aca="false">IF($B17="","",INDEX(ChalTitle,$B17))</f>
        <v/>
      </c>
      <c r="G17" s="0" t="str">
        <f aca="false">IF($B17="","",INDEX(ChalLevel,$B17))</f>
        <v/>
      </c>
      <c r="H17" s="0" t="str">
        <f aca="false">IF($B17="","",INDEX(BookFamily,$B17))</f>
        <v/>
      </c>
      <c r="I17" s="0" t="str">
        <f aca="false">IF($B17="","",INDEX(BookWorkerType,$B17))</f>
        <v/>
      </c>
      <c r="J17" s="56" t="str">
        <f aca="false">IF($B17="","",INDEX(ChalEffective,$B17))</f>
        <v/>
      </c>
      <c r="K17" s="0" t="str">
        <f aca="false">IF($B17="","",INDEX(ChalStart,$B17))</f>
        <v/>
      </c>
      <c r="L17" s="57" t="str">
        <f aca="false">IF($B17="","",INDEX(ChalInYear,$B17))</f>
        <v/>
      </c>
      <c r="M17" s="57" t="str">
        <f aca="false">IF($B17="","",INDEX(ChalRunRate,$B17))</f>
        <v/>
      </c>
      <c r="N17" s="0" t="str">
        <f aca="false">IF($B17="","",INDEX(BookDriver,$B17))</f>
        <v/>
      </c>
    </row>
    <row r="18" customFormat="false" ht="15" hidden="false" customHeight="false" outlineLevel="0" collapsed="false">
      <c r="A18" s="33" t="n">
        <v>13</v>
      </c>
      <c r="B18" s="0" t="str">
        <f aca="false">IFERROR(MATCH($A18,ChalSeq,0),"")</f>
        <v/>
      </c>
      <c r="C18" s="0" t="str">
        <f aca="false">IF($B18="","",INDEX(ChalGroup,$B18))</f>
        <v/>
      </c>
      <c r="D18" s="0" t="str">
        <f aca="false">IF($B18="","",INDEX(ChalDivision,$B18))</f>
        <v/>
      </c>
      <c r="E18" s="0" t="str">
        <f aca="false">IF($B18="","",INDEX(ChalUnit,$B18))</f>
        <v/>
      </c>
      <c r="F18" s="0" t="str">
        <f aca="false">IF($B18="","",INDEX(ChalTitle,$B18))</f>
        <v/>
      </c>
      <c r="G18" s="0" t="str">
        <f aca="false">IF($B18="","",INDEX(ChalLevel,$B18))</f>
        <v/>
      </c>
      <c r="H18" s="0" t="str">
        <f aca="false">IF($B18="","",INDEX(BookFamily,$B18))</f>
        <v/>
      </c>
      <c r="I18" s="0" t="str">
        <f aca="false">IF($B18="","",INDEX(BookWorkerType,$B18))</f>
        <v/>
      </c>
      <c r="J18" s="56" t="str">
        <f aca="false">IF($B18="","",INDEX(ChalEffective,$B18))</f>
        <v/>
      </c>
      <c r="K18" s="0" t="str">
        <f aca="false">IF($B18="","",INDEX(ChalStart,$B18))</f>
        <v/>
      </c>
      <c r="L18" s="57" t="str">
        <f aca="false">IF($B18="","",INDEX(ChalInYear,$B18))</f>
        <v/>
      </c>
      <c r="M18" s="57" t="str">
        <f aca="false">IF($B18="","",INDEX(ChalRunRate,$B18))</f>
        <v/>
      </c>
      <c r="N18" s="0" t="str">
        <f aca="false">IF($B18="","",INDEX(BookDriver,$B18))</f>
        <v/>
      </c>
    </row>
    <row r="19" customFormat="false" ht="15" hidden="false" customHeight="false" outlineLevel="0" collapsed="false">
      <c r="A19" s="33" t="n">
        <v>14</v>
      </c>
      <c r="B19" s="0" t="str">
        <f aca="false">IFERROR(MATCH($A19,ChalSeq,0),"")</f>
        <v/>
      </c>
      <c r="C19" s="0" t="str">
        <f aca="false">IF($B19="","",INDEX(ChalGroup,$B19))</f>
        <v/>
      </c>
      <c r="D19" s="0" t="str">
        <f aca="false">IF($B19="","",INDEX(ChalDivision,$B19))</f>
        <v/>
      </c>
      <c r="E19" s="0" t="str">
        <f aca="false">IF($B19="","",INDEX(ChalUnit,$B19))</f>
        <v/>
      </c>
      <c r="F19" s="0" t="str">
        <f aca="false">IF($B19="","",INDEX(ChalTitle,$B19))</f>
        <v/>
      </c>
      <c r="G19" s="0" t="str">
        <f aca="false">IF($B19="","",INDEX(ChalLevel,$B19))</f>
        <v/>
      </c>
      <c r="H19" s="0" t="str">
        <f aca="false">IF($B19="","",INDEX(BookFamily,$B19))</f>
        <v/>
      </c>
      <c r="I19" s="0" t="str">
        <f aca="false">IF($B19="","",INDEX(BookWorkerType,$B19))</f>
        <v/>
      </c>
      <c r="J19" s="56" t="str">
        <f aca="false">IF($B19="","",INDEX(ChalEffective,$B19))</f>
        <v/>
      </c>
      <c r="K19" s="0" t="str">
        <f aca="false">IF($B19="","",INDEX(ChalStart,$B19))</f>
        <v/>
      </c>
      <c r="L19" s="57" t="str">
        <f aca="false">IF($B19="","",INDEX(ChalInYear,$B19))</f>
        <v/>
      </c>
      <c r="M19" s="57" t="str">
        <f aca="false">IF($B19="","",INDEX(ChalRunRate,$B19))</f>
        <v/>
      </c>
      <c r="N19" s="0" t="str">
        <f aca="false">IF($B19="","",INDEX(BookDriver,$B19))</f>
        <v/>
      </c>
    </row>
    <row r="20" customFormat="false" ht="15" hidden="false" customHeight="false" outlineLevel="0" collapsed="false">
      <c r="A20" s="33" t="n">
        <v>15</v>
      </c>
      <c r="B20" s="0" t="str">
        <f aca="false">IFERROR(MATCH($A20,ChalSeq,0),"")</f>
        <v/>
      </c>
      <c r="C20" s="0" t="str">
        <f aca="false">IF($B20="","",INDEX(ChalGroup,$B20))</f>
        <v/>
      </c>
      <c r="D20" s="0" t="str">
        <f aca="false">IF($B20="","",INDEX(ChalDivision,$B20))</f>
        <v/>
      </c>
      <c r="E20" s="0" t="str">
        <f aca="false">IF($B20="","",INDEX(ChalUnit,$B20))</f>
        <v/>
      </c>
      <c r="F20" s="0" t="str">
        <f aca="false">IF($B20="","",INDEX(ChalTitle,$B20))</f>
        <v/>
      </c>
      <c r="G20" s="0" t="str">
        <f aca="false">IF($B20="","",INDEX(ChalLevel,$B20))</f>
        <v/>
      </c>
      <c r="H20" s="0" t="str">
        <f aca="false">IF($B20="","",INDEX(BookFamily,$B20))</f>
        <v/>
      </c>
      <c r="I20" s="0" t="str">
        <f aca="false">IF($B20="","",INDEX(BookWorkerType,$B20))</f>
        <v/>
      </c>
      <c r="J20" s="56" t="str">
        <f aca="false">IF($B20="","",INDEX(ChalEffective,$B20))</f>
        <v/>
      </c>
      <c r="K20" s="0" t="str">
        <f aca="false">IF($B20="","",INDEX(ChalStart,$B20))</f>
        <v/>
      </c>
      <c r="L20" s="57" t="str">
        <f aca="false">IF($B20="","",INDEX(ChalInYear,$B20))</f>
        <v/>
      </c>
      <c r="M20" s="57" t="str">
        <f aca="false">IF($B20="","",INDEX(ChalRunRate,$B20))</f>
        <v/>
      </c>
      <c r="N20" s="0" t="str">
        <f aca="false">IF($B20="","",INDEX(BookDriver,$B20))</f>
        <v/>
      </c>
    </row>
    <row r="21" customFormat="false" ht="15" hidden="false" customHeight="false" outlineLevel="0" collapsed="false">
      <c r="A21" s="33" t="n">
        <v>16</v>
      </c>
      <c r="B21" s="0" t="str">
        <f aca="false">IFERROR(MATCH($A21,ChalSeq,0),"")</f>
        <v/>
      </c>
      <c r="C21" s="0" t="str">
        <f aca="false">IF($B21="","",INDEX(ChalGroup,$B21))</f>
        <v/>
      </c>
      <c r="D21" s="0" t="str">
        <f aca="false">IF($B21="","",INDEX(ChalDivision,$B21))</f>
        <v/>
      </c>
      <c r="E21" s="0" t="str">
        <f aca="false">IF($B21="","",INDEX(ChalUnit,$B21))</f>
        <v/>
      </c>
      <c r="F21" s="0" t="str">
        <f aca="false">IF($B21="","",INDEX(ChalTitle,$B21))</f>
        <v/>
      </c>
      <c r="G21" s="0" t="str">
        <f aca="false">IF($B21="","",INDEX(ChalLevel,$B21))</f>
        <v/>
      </c>
      <c r="H21" s="0" t="str">
        <f aca="false">IF($B21="","",INDEX(BookFamily,$B21))</f>
        <v/>
      </c>
      <c r="I21" s="0" t="str">
        <f aca="false">IF($B21="","",INDEX(BookWorkerType,$B21))</f>
        <v/>
      </c>
      <c r="J21" s="56" t="str">
        <f aca="false">IF($B21="","",INDEX(ChalEffective,$B21))</f>
        <v/>
      </c>
      <c r="K21" s="0" t="str">
        <f aca="false">IF($B21="","",INDEX(ChalStart,$B21))</f>
        <v/>
      </c>
      <c r="L21" s="57" t="str">
        <f aca="false">IF($B21="","",INDEX(ChalInYear,$B21))</f>
        <v/>
      </c>
      <c r="M21" s="57" t="str">
        <f aca="false">IF($B21="","",INDEX(ChalRunRate,$B21))</f>
        <v/>
      </c>
      <c r="N21" s="0" t="str">
        <f aca="false">IF($B21="","",INDEX(BookDriver,$B21))</f>
        <v/>
      </c>
    </row>
    <row r="22" customFormat="false" ht="15" hidden="false" customHeight="false" outlineLevel="0" collapsed="false">
      <c r="A22" s="33" t="n">
        <v>17</v>
      </c>
      <c r="B22" s="0" t="str">
        <f aca="false">IFERROR(MATCH($A22,ChalSeq,0),"")</f>
        <v/>
      </c>
      <c r="C22" s="0" t="str">
        <f aca="false">IF($B22="","",INDEX(ChalGroup,$B22))</f>
        <v/>
      </c>
      <c r="D22" s="0" t="str">
        <f aca="false">IF($B22="","",INDEX(ChalDivision,$B22))</f>
        <v/>
      </c>
      <c r="E22" s="0" t="str">
        <f aca="false">IF($B22="","",INDEX(ChalUnit,$B22))</f>
        <v/>
      </c>
      <c r="F22" s="0" t="str">
        <f aca="false">IF($B22="","",INDEX(ChalTitle,$B22))</f>
        <v/>
      </c>
      <c r="G22" s="0" t="str">
        <f aca="false">IF($B22="","",INDEX(ChalLevel,$B22))</f>
        <v/>
      </c>
      <c r="H22" s="0" t="str">
        <f aca="false">IF($B22="","",INDEX(BookFamily,$B22))</f>
        <v/>
      </c>
      <c r="I22" s="0" t="str">
        <f aca="false">IF($B22="","",INDEX(BookWorkerType,$B22))</f>
        <v/>
      </c>
      <c r="J22" s="56" t="str">
        <f aca="false">IF($B22="","",INDEX(ChalEffective,$B22))</f>
        <v/>
      </c>
      <c r="K22" s="0" t="str">
        <f aca="false">IF($B22="","",INDEX(ChalStart,$B22))</f>
        <v/>
      </c>
      <c r="L22" s="57" t="str">
        <f aca="false">IF($B22="","",INDEX(ChalInYear,$B22))</f>
        <v/>
      </c>
      <c r="M22" s="57" t="str">
        <f aca="false">IF($B22="","",INDEX(ChalRunRate,$B22))</f>
        <v/>
      </c>
      <c r="N22" s="0" t="str">
        <f aca="false">IF($B22="","",INDEX(BookDriver,$B22))</f>
        <v/>
      </c>
    </row>
    <row r="23" customFormat="false" ht="15" hidden="false" customHeight="false" outlineLevel="0" collapsed="false">
      <c r="A23" s="33" t="n">
        <v>18</v>
      </c>
      <c r="B23" s="0" t="str">
        <f aca="false">IFERROR(MATCH($A23,ChalSeq,0),"")</f>
        <v/>
      </c>
      <c r="C23" s="0" t="str">
        <f aca="false">IF($B23="","",INDEX(ChalGroup,$B23))</f>
        <v/>
      </c>
      <c r="D23" s="0" t="str">
        <f aca="false">IF($B23="","",INDEX(ChalDivision,$B23))</f>
        <v/>
      </c>
      <c r="E23" s="0" t="str">
        <f aca="false">IF($B23="","",INDEX(ChalUnit,$B23))</f>
        <v/>
      </c>
      <c r="F23" s="0" t="str">
        <f aca="false">IF($B23="","",INDEX(ChalTitle,$B23))</f>
        <v/>
      </c>
      <c r="G23" s="0" t="str">
        <f aca="false">IF($B23="","",INDEX(ChalLevel,$B23))</f>
        <v/>
      </c>
      <c r="H23" s="0" t="str">
        <f aca="false">IF($B23="","",INDEX(BookFamily,$B23))</f>
        <v/>
      </c>
      <c r="I23" s="0" t="str">
        <f aca="false">IF($B23="","",INDEX(BookWorkerType,$B23))</f>
        <v/>
      </c>
      <c r="J23" s="56" t="str">
        <f aca="false">IF($B23="","",INDEX(ChalEffective,$B23))</f>
        <v/>
      </c>
      <c r="K23" s="0" t="str">
        <f aca="false">IF($B23="","",INDEX(ChalStart,$B23))</f>
        <v/>
      </c>
      <c r="L23" s="57" t="str">
        <f aca="false">IF($B23="","",INDEX(ChalInYear,$B23))</f>
        <v/>
      </c>
      <c r="M23" s="57" t="str">
        <f aca="false">IF($B23="","",INDEX(ChalRunRate,$B23))</f>
        <v/>
      </c>
      <c r="N23" s="0" t="str">
        <f aca="false">IF($B23="","",INDEX(BookDriver,$B23))</f>
        <v/>
      </c>
    </row>
    <row r="24" customFormat="false" ht="15" hidden="false" customHeight="false" outlineLevel="0" collapsed="false">
      <c r="A24" s="33" t="n">
        <v>19</v>
      </c>
      <c r="B24" s="0" t="str">
        <f aca="false">IFERROR(MATCH($A24,ChalSeq,0),"")</f>
        <v/>
      </c>
      <c r="C24" s="0" t="str">
        <f aca="false">IF($B24="","",INDEX(ChalGroup,$B24))</f>
        <v/>
      </c>
      <c r="D24" s="0" t="str">
        <f aca="false">IF($B24="","",INDEX(ChalDivision,$B24))</f>
        <v/>
      </c>
      <c r="E24" s="0" t="str">
        <f aca="false">IF($B24="","",INDEX(ChalUnit,$B24))</f>
        <v/>
      </c>
      <c r="F24" s="0" t="str">
        <f aca="false">IF($B24="","",INDEX(ChalTitle,$B24))</f>
        <v/>
      </c>
      <c r="G24" s="0" t="str">
        <f aca="false">IF($B24="","",INDEX(ChalLevel,$B24))</f>
        <v/>
      </c>
      <c r="H24" s="0" t="str">
        <f aca="false">IF($B24="","",INDEX(BookFamily,$B24))</f>
        <v/>
      </c>
      <c r="I24" s="0" t="str">
        <f aca="false">IF($B24="","",INDEX(BookWorkerType,$B24))</f>
        <v/>
      </c>
      <c r="J24" s="56" t="str">
        <f aca="false">IF($B24="","",INDEX(ChalEffective,$B24))</f>
        <v/>
      </c>
      <c r="K24" s="0" t="str">
        <f aca="false">IF($B24="","",INDEX(ChalStart,$B24))</f>
        <v/>
      </c>
      <c r="L24" s="57" t="str">
        <f aca="false">IF($B24="","",INDEX(ChalInYear,$B24))</f>
        <v/>
      </c>
      <c r="M24" s="57" t="str">
        <f aca="false">IF($B24="","",INDEX(ChalRunRate,$B24))</f>
        <v/>
      </c>
      <c r="N24" s="0" t="str">
        <f aca="false">IF($B24="","",INDEX(BookDriver,$B24))</f>
        <v/>
      </c>
    </row>
    <row r="25" customFormat="false" ht="15" hidden="false" customHeight="false" outlineLevel="0" collapsed="false">
      <c r="A25" s="33" t="n">
        <v>20</v>
      </c>
      <c r="B25" s="0" t="str">
        <f aca="false">IFERROR(MATCH($A25,ChalSeq,0),"")</f>
        <v/>
      </c>
      <c r="C25" s="0" t="str">
        <f aca="false">IF($B25="","",INDEX(ChalGroup,$B25))</f>
        <v/>
      </c>
      <c r="D25" s="0" t="str">
        <f aca="false">IF($B25="","",INDEX(ChalDivision,$B25))</f>
        <v/>
      </c>
      <c r="E25" s="0" t="str">
        <f aca="false">IF($B25="","",INDEX(ChalUnit,$B25))</f>
        <v/>
      </c>
      <c r="F25" s="0" t="str">
        <f aca="false">IF($B25="","",INDEX(ChalTitle,$B25))</f>
        <v/>
      </c>
      <c r="G25" s="0" t="str">
        <f aca="false">IF($B25="","",INDEX(ChalLevel,$B25))</f>
        <v/>
      </c>
      <c r="H25" s="0" t="str">
        <f aca="false">IF($B25="","",INDEX(BookFamily,$B25))</f>
        <v/>
      </c>
      <c r="I25" s="0" t="str">
        <f aca="false">IF($B25="","",INDEX(BookWorkerType,$B25))</f>
        <v/>
      </c>
      <c r="J25" s="56" t="str">
        <f aca="false">IF($B25="","",INDEX(ChalEffective,$B25))</f>
        <v/>
      </c>
      <c r="K25" s="0" t="str">
        <f aca="false">IF($B25="","",INDEX(ChalStart,$B25))</f>
        <v/>
      </c>
      <c r="L25" s="57" t="str">
        <f aca="false">IF($B25="","",INDEX(ChalInYear,$B25))</f>
        <v/>
      </c>
      <c r="M25" s="57" t="str">
        <f aca="false">IF($B25="","",INDEX(ChalRunRate,$B25))</f>
        <v/>
      </c>
      <c r="N25" s="0" t="str">
        <f aca="false">IF($B25="","",INDEX(BookDriver,$B25))</f>
        <v/>
      </c>
    </row>
    <row r="26" customFormat="false" ht="15" hidden="false" customHeight="false" outlineLevel="0" collapsed="false">
      <c r="A26" s="33" t="n">
        <v>21</v>
      </c>
      <c r="B26" s="0" t="str">
        <f aca="false">IFERROR(MATCH($A26,ChalSeq,0),"")</f>
        <v/>
      </c>
      <c r="C26" s="0" t="str">
        <f aca="false">IF($B26="","",INDEX(ChalGroup,$B26))</f>
        <v/>
      </c>
      <c r="D26" s="0" t="str">
        <f aca="false">IF($B26="","",INDEX(ChalDivision,$B26))</f>
        <v/>
      </c>
      <c r="E26" s="0" t="str">
        <f aca="false">IF($B26="","",INDEX(ChalUnit,$B26))</f>
        <v/>
      </c>
      <c r="F26" s="0" t="str">
        <f aca="false">IF($B26="","",INDEX(ChalTitle,$B26))</f>
        <v/>
      </c>
      <c r="G26" s="0" t="str">
        <f aca="false">IF($B26="","",INDEX(ChalLevel,$B26))</f>
        <v/>
      </c>
      <c r="H26" s="0" t="str">
        <f aca="false">IF($B26="","",INDEX(BookFamily,$B26))</f>
        <v/>
      </c>
      <c r="I26" s="0" t="str">
        <f aca="false">IF($B26="","",INDEX(BookWorkerType,$B26))</f>
        <v/>
      </c>
      <c r="J26" s="56" t="str">
        <f aca="false">IF($B26="","",INDEX(ChalEffective,$B26))</f>
        <v/>
      </c>
      <c r="K26" s="0" t="str">
        <f aca="false">IF($B26="","",INDEX(ChalStart,$B26))</f>
        <v/>
      </c>
      <c r="L26" s="57" t="str">
        <f aca="false">IF($B26="","",INDEX(ChalInYear,$B26))</f>
        <v/>
      </c>
      <c r="M26" s="57" t="str">
        <f aca="false">IF($B26="","",INDEX(ChalRunRate,$B26))</f>
        <v/>
      </c>
      <c r="N26" s="0" t="str">
        <f aca="false">IF($B26="","",INDEX(BookDriver,$B26))</f>
        <v/>
      </c>
    </row>
    <row r="27" customFormat="false" ht="15" hidden="false" customHeight="false" outlineLevel="0" collapsed="false">
      <c r="A27" s="33" t="n">
        <v>22</v>
      </c>
      <c r="B27" s="0" t="str">
        <f aca="false">IFERROR(MATCH($A27,ChalSeq,0),"")</f>
        <v/>
      </c>
      <c r="C27" s="0" t="str">
        <f aca="false">IF($B27="","",INDEX(ChalGroup,$B27))</f>
        <v/>
      </c>
      <c r="D27" s="0" t="str">
        <f aca="false">IF($B27="","",INDEX(ChalDivision,$B27))</f>
        <v/>
      </c>
      <c r="E27" s="0" t="str">
        <f aca="false">IF($B27="","",INDEX(ChalUnit,$B27))</f>
        <v/>
      </c>
      <c r="F27" s="0" t="str">
        <f aca="false">IF($B27="","",INDEX(ChalTitle,$B27))</f>
        <v/>
      </c>
      <c r="G27" s="0" t="str">
        <f aca="false">IF($B27="","",INDEX(ChalLevel,$B27))</f>
        <v/>
      </c>
      <c r="H27" s="0" t="str">
        <f aca="false">IF($B27="","",INDEX(BookFamily,$B27))</f>
        <v/>
      </c>
      <c r="I27" s="0" t="str">
        <f aca="false">IF($B27="","",INDEX(BookWorkerType,$B27))</f>
        <v/>
      </c>
      <c r="J27" s="56" t="str">
        <f aca="false">IF($B27="","",INDEX(ChalEffective,$B27))</f>
        <v/>
      </c>
      <c r="K27" s="0" t="str">
        <f aca="false">IF($B27="","",INDEX(ChalStart,$B27))</f>
        <v/>
      </c>
      <c r="L27" s="57" t="str">
        <f aca="false">IF($B27="","",INDEX(ChalInYear,$B27))</f>
        <v/>
      </c>
      <c r="M27" s="57" t="str">
        <f aca="false">IF($B27="","",INDEX(ChalRunRate,$B27))</f>
        <v/>
      </c>
      <c r="N27" s="0" t="str">
        <f aca="false">IF($B27="","",INDEX(BookDriver,$B27))</f>
        <v/>
      </c>
    </row>
    <row r="28" customFormat="false" ht="15" hidden="false" customHeight="false" outlineLevel="0" collapsed="false">
      <c r="A28" s="33" t="n">
        <v>23</v>
      </c>
      <c r="B28" s="0" t="str">
        <f aca="false">IFERROR(MATCH($A28,ChalSeq,0),"")</f>
        <v/>
      </c>
      <c r="C28" s="0" t="str">
        <f aca="false">IF($B28="","",INDEX(ChalGroup,$B28))</f>
        <v/>
      </c>
      <c r="D28" s="0" t="str">
        <f aca="false">IF($B28="","",INDEX(ChalDivision,$B28))</f>
        <v/>
      </c>
      <c r="E28" s="0" t="str">
        <f aca="false">IF($B28="","",INDEX(ChalUnit,$B28))</f>
        <v/>
      </c>
      <c r="F28" s="0" t="str">
        <f aca="false">IF($B28="","",INDEX(ChalTitle,$B28))</f>
        <v/>
      </c>
      <c r="G28" s="0" t="str">
        <f aca="false">IF($B28="","",INDEX(ChalLevel,$B28))</f>
        <v/>
      </c>
      <c r="H28" s="0" t="str">
        <f aca="false">IF($B28="","",INDEX(BookFamily,$B28))</f>
        <v/>
      </c>
      <c r="I28" s="0" t="str">
        <f aca="false">IF($B28="","",INDEX(BookWorkerType,$B28))</f>
        <v/>
      </c>
      <c r="J28" s="56" t="str">
        <f aca="false">IF($B28="","",INDEX(ChalEffective,$B28))</f>
        <v/>
      </c>
      <c r="K28" s="0" t="str">
        <f aca="false">IF($B28="","",INDEX(ChalStart,$B28))</f>
        <v/>
      </c>
      <c r="L28" s="57" t="str">
        <f aca="false">IF($B28="","",INDEX(ChalInYear,$B28))</f>
        <v/>
      </c>
      <c r="M28" s="57" t="str">
        <f aca="false">IF($B28="","",INDEX(ChalRunRate,$B28))</f>
        <v/>
      </c>
      <c r="N28" s="0" t="str">
        <f aca="false">IF($B28="","",INDEX(BookDriver,$B28))</f>
        <v/>
      </c>
    </row>
    <row r="29" customFormat="false" ht="15" hidden="false" customHeight="false" outlineLevel="0" collapsed="false">
      <c r="A29" s="33" t="n">
        <v>24</v>
      </c>
      <c r="B29" s="0" t="str">
        <f aca="false">IFERROR(MATCH($A29,ChalSeq,0),"")</f>
        <v/>
      </c>
      <c r="C29" s="0" t="str">
        <f aca="false">IF($B29="","",INDEX(ChalGroup,$B29))</f>
        <v/>
      </c>
      <c r="D29" s="0" t="str">
        <f aca="false">IF($B29="","",INDEX(ChalDivision,$B29))</f>
        <v/>
      </c>
      <c r="E29" s="0" t="str">
        <f aca="false">IF($B29="","",INDEX(ChalUnit,$B29))</f>
        <v/>
      </c>
      <c r="F29" s="0" t="str">
        <f aca="false">IF($B29="","",INDEX(ChalTitle,$B29))</f>
        <v/>
      </c>
      <c r="G29" s="0" t="str">
        <f aca="false">IF($B29="","",INDEX(ChalLevel,$B29))</f>
        <v/>
      </c>
      <c r="H29" s="0" t="str">
        <f aca="false">IF($B29="","",INDEX(BookFamily,$B29))</f>
        <v/>
      </c>
      <c r="I29" s="0" t="str">
        <f aca="false">IF($B29="","",INDEX(BookWorkerType,$B29))</f>
        <v/>
      </c>
      <c r="J29" s="56" t="str">
        <f aca="false">IF($B29="","",INDEX(ChalEffective,$B29))</f>
        <v/>
      </c>
      <c r="K29" s="0" t="str">
        <f aca="false">IF($B29="","",INDEX(ChalStart,$B29))</f>
        <v/>
      </c>
      <c r="L29" s="57" t="str">
        <f aca="false">IF($B29="","",INDEX(ChalInYear,$B29))</f>
        <v/>
      </c>
      <c r="M29" s="57" t="str">
        <f aca="false">IF($B29="","",INDEX(ChalRunRate,$B29))</f>
        <v/>
      </c>
      <c r="N29" s="0" t="str">
        <f aca="false">IF($B29="","",INDEX(BookDriver,$B29))</f>
        <v/>
      </c>
    </row>
    <row r="30" customFormat="false" ht="15" hidden="false" customHeight="false" outlineLevel="0" collapsed="false">
      <c r="A30" s="33" t="n">
        <v>25</v>
      </c>
      <c r="B30" s="0" t="str">
        <f aca="false">IFERROR(MATCH($A30,ChalSeq,0),"")</f>
        <v/>
      </c>
      <c r="C30" s="0" t="str">
        <f aca="false">IF($B30="","",INDEX(ChalGroup,$B30))</f>
        <v/>
      </c>
      <c r="D30" s="0" t="str">
        <f aca="false">IF($B30="","",INDEX(ChalDivision,$B30))</f>
        <v/>
      </c>
      <c r="E30" s="0" t="str">
        <f aca="false">IF($B30="","",INDEX(ChalUnit,$B30))</f>
        <v/>
      </c>
      <c r="F30" s="0" t="str">
        <f aca="false">IF($B30="","",INDEX(ChalTitle,$B30))</f>
        <v/>
      </c>
      <c r="G30" s="0" t="str">
        <f aca="false">IF($B30="","",INDEX(ChalLevel,$B30))</f>
        <v/>
      </c>
      <c r="H30" s="0" t="str">
        <f aca="false">IF($B30="","",INDEX(BookFamily,$B30))</f>
        <v/>
      </c>
      <c r="I30" s="0" t="str">
        <f aca="false">IF($B30="","",INDEX(BookWorkerType,$B30))</f>
        <v/>
      </c>
      <c r="J30" s="56" t="str">
        <f aca="false">IF($B30="","",INDEX(ChalEffective,$B30))</f>
        <v/>
      </c>
      <c r="K30" s="0" t="str">
        <f aca="false">IF($B30="","",INDEX(ChalStart,$B30))</f>
        <v/>
      </c>
      <c r="L30" s="57" t="str">
        <f aca="false">IF($B30="","",INDEX(ChalInYear,$B30))</f>
        <v/>
      </c>
      <c r="M30" s="57" t="str">
        <f aca="false">IF($B30="","",INDEX(ChalRunRate,$B30))</f>
        <v/>
      </c>
      <c r="N30" s="0" t="str">
        <f aca="false">IF($B30="","",INDEX(BookDriver,$B30))</f>
        <v/>
      </c>
    </row>
    <row r="31" customFormat="false" ht="15" hidden="false" customHeight="false" outlineLevel="0" collapsed="false">
      <c r="A31" s="33" t="n">
        <v>26</v>
      </c>
      <c r="B31" s="0" t="str">
        <f aca="false">IFERROR(MATCH($A31,ChalSeq,0),"")</f>
        <v/>
      </c>
      <c r="C31" s="0" t="str">
        <f aca="false">IF($B31="","",INDEX(ChalGroup,$B31))</f>
        <v/>
      </c>
      <c r="D31" s="0" t="str">
        <f aca="false">IF($B31="","",INDEX(ChalDivision,$B31))</f>
        <v/>
      </c>
      <c r="E31" s="0" t="str">
        <f aca="false">IF($B31="","",INDEX(ChalUnit,$B31))</f>
        <v/>
      </c>
      <c r="F31" s="0" t="str">
        <f aca="false">IF($B31="","",INDEX(ChalTitle,$B31))</f>
        <v/>
      </c>
      <c r="G31" s="0" t="str">
        <f aca="false">IF($B31="","",INDEX(ChalLevel,$B31))</f>
        <v/>
      </c>
      <c r="H31" s="0" t="str">
        <f aca="false">IF($B31="","",INDEX(BookFamily,$B31))</f>
        <v/>
      </c>
      <c r="I31" s="0" t="str">
        <f aca="false">IF($B31="","",INDEX(BookWorkerType,$B31))</f>
        <v/>
      </c>
      <c r="J31" s="56" t="str">
        <f aca="false">IF($B31="","",INDEX(ChalEffective,$B31))</f>
        <v/>
      </c>
      <c r="K31" s="0" t="str">
        <f aca="false">IF($B31="","",INDEX(ChalStart,$B31))</f>
        <v/>
      </c>
      <c r="L31" s="57" t="str">
        <f aca="false">IF($B31="","",INDEX(ChalInYear,$B31))</f>
        <v/>
      </c>
      <c r="M31" s="57" t="str">
        <f aca="false">IF($B31="","",INDEX(ChalRunRate,$B31))</f>
        <v/>
      </c>
      <c r="N31" s="0" t="str">
        <f aca="false">IF($B31="","",INDEX(BookDriver,$B31))</f>
        <v/>
      </c>
    </row>
    <row r="32" customFormat="false" ht="15" hidden="false" customHeight="false" outlineLevel="0" collapsed="false">
      <c r="A32" s="33" t="n">
        <v>27</v>
      </c>
      <c r="B32" s="0" t="str">
        <f aca="false">IFERROR(MATCH($A32,ChalSeq,0),"")</f>
        <v/>
      </c>
      <c r="C32" s="0" t="str">
        <f aca="false">IF($B32="","",INDEX(ChalGroup,$B32))</f>
        <v/>
      </c>
      <c r="D32" s="0" t="str">
        <f aca="false">IF($B32="","",INDEX(ChalDivision,$B32))</f>
        <v/>
      </c>
      <c r="E32" s="0" t="str">
        <f aca="false">IF($B32="","",INDEX(ChalUnit,$B32))</f>
        <v/>
      </c>
      <c r="F32" s="0" t="str">
        <f aca="false">IF($B32="","",INDEX(ChalTitle,$B32))</f>
        <v/>
      </c>
      <c r="G32" s="0" t="str">
        <f aca="false">IF($B32="","",INDEX(ChalLevel,$B32))</f>
        <v/>
      </c>
      <c r="H32" s="0" t="str">
        <f aca="false">IF($B32="","",INDEX(BookFamily,$B32))</f>
        <v/>
      </c>
      <c r="I32" s="0" t="str">
        <f aca="false">IF($B32="","",INDEX(BookWorkerType,$B32))</f>
        <v/>
      </c>
      <c r="J32" s="56" t="str">
        <f aca="false">IF($B32="","",INDEX(ChalEffective,$B32))</f>
        <v/>
      </c>
      <c r="K32" s="0" t="str">
        <f aca="false">IF($B32="","",INDEX(ChalStart,$B32))</f>
        <v/>
      </c>
      <c r="L32" s="57" t="str">
        <f aca="false">IF($B32="","",INDEX(ChalInYear,$B32))</f>
        <v/>
      </c>
      <c r="M32" s="57" t="str">
        <f aca="false">IF($B32="","",INDEX(ChalRunRate,$B32))</f>
        <v/>
      </c>
      <c r="N32" s="0" t="str">
        <f aca="false">IF($B32="","",INDEX(BookDriver,$B32))</f>
        <v/>
      </c>
    </row>
    <row r="33" customFormat="false" ht="15" hidden="false" customHeight="false" outlineLevel="0" collapsed="false">
      <c r="A33" s="33" t="n">
        <v>28</v>
      </c>
      <c r="B33" s="0" t="str">
        <f aca="false">IFERROR(MATCH($A33,ChalSeq,0),"")</f>
        <v/>
      </c>
      <c r="C33" s="0" t="str">
        <f aca="false">IF($B33="","",INDEX(ChalGroup,$B33))</f>
        <v/>
      </c>
      <c r="D33" s="0" t="str">
        <f aca="false">IF($B33="","",INDEX(ChalDivision,$B33))</f>
        <v/>
      </c>
      <c r="E33" s="0" t="str">
        <f aca="false">IF($B33="","",INDEX(ChalUnit,$B33))</f>
        <v/>
      </c>
      <c r="F33" s="0" t="str">
        <f aca="false">IF($B33="","",INDEX(ChalTitle,$B33))</f>
        <v/>
      </c>
      <c r="G33" s="0" t="str">
        <f aca="false">IF($B33="","",INDEX(ChalLevel,$B33))</f>
        <v/>
      </c>
      <c r="H33" s="0" t="str">
        <f aca="false">IF($B33="","",INDEX(BookFamily,$B33))</f>
        <v/>
      </c>
      <c r="I33" s="0" t="str">
        <f aca="false">IF($B33="","",INDEX(BookWorkerType,$B33))</f>
        <v/>
      </c>
      <c r="J33" s="56" t="str">
        <f aca="false">IF($B33="","",INDEX(ChalEffective,$B33))</f>
        <v/>
      </c>
      <c r="K33" s="0" t="str">
        <f aca="false">IF($B33="","",INDEX(ChalStart,$B33))</f>
        <v/>
      </c>
      <c r="L33" s="57" t="str">
        <f aca="false">IF($B33="","",INDEX(ChalInYear,$B33))</f>
        <v/>
      </c>
      <c r="M33" s="57" t="str">
        <f aca="false">IF($B33="","",INDEX(ChalRunRate,$B33))</f>
        <v/>
      </c>
      <c r="N33" s="0" t="str">
        <f aca="false">IF($B33="","",INDEX(BookDriver,$B33))</f>
        <v/>
      </c>
    </row>
    <row r="34" customFormat="false" ht="15" hidden="false" customHeight="false" outlineLevel="0" collapsed="false">
      <c r="A34" s="33" t="n">
        <v>29</v>
      </c>
      <c r="B34" s="0" t="str">
        <f aca="false">IFERROR(MATCH($A34,ChalSeq,0),"")</f>
        <v/>
      </c>
      <c r="C34" s="0" t="str">
        <f aca="false">IF($B34="","",INDEX(ChalGroup,$B34))</f>
        <v/>
      </c>
      <c r="D34" s="0" t="str">
        <f aca="false">IF($B34="","",INDEX(ChalDivision,$B34))</f>
        <v/>
      </c>
      <c r="E34" s="0" t="str">
        <f aca="false">IF($B34="","",INDEX(ChalUnit,$B34))</f>
        <v/>
      </c>
      <c r="F34" s="0" t="str">
        <f aca="false">IF($B34="","",INDEX(ChalTitle,$B34))</f>
        <v/>
      </c>
      <c r="G34" s="0" t="str">
        <f aca="false">IF($B34="","",INDEX(ChalLevel,$B34))</f>
        <v/>
      </c>
      <c r="H34" s="0" t="str">
        <f aca="false">IF($B34="","",INDEX(BookFamily,$B34))</f>
        <v/>
      </c>
      <c r="I34" s="0" t="str">
        <f aca="false">IF($B34="","",INDEX(BookWorkerType,$B34))</f>
        <v/>
      </c>
      <c r="J34" s="56" t="str">
        <f aca="false">IF($B34="","",INDEX(ChalEffective,$B34))</f>
        <v/>
      </c>
      <c r="K34" s="0" t="str">
        <f aca="false">IF($B34="","",INDEX(ChalStart,$B34))</f>
        <v/>
      </c>
      <c r="L34" s="57" t="str">
        <f aca="false">IF($B34="","",INDEX(ChalInYear,$B34))</f>
        <v/>
      </c>
      <c r="M34" s="57" t="str">
        <f aca="false">IF($B34="","",INDEX(ChalRunRate,$B34))</f>
        <v/>
      </c>
      <c r="N34" s="0" t="str">
        <f aca="false">IF($B34="","",INDEX(BookDriver,$B34))</f>
        <v/>
      </c>
    </row>
    <row r="35" customFormat="false" ht="15" hidden="false" customHeight="false" outlineLevel="0" collapsed="false">
      <c r="A35" s="33" t="n">
        <v>30</v>
      </c>
      <c r="B35" s="0" t="str">
        <f aca="false">IFERROR(MATCH($A35,ChalSeq,0),"")</f>
        <v/>
      </c>
      <c r="C35" s="0" t="str">
        <f aca="false">IF($B35="","",INDEX(ChalGroup,$B35))</f>
        <v/>
      </c>
      <c r="D35" s="0" t="str">
        <f aca="false">IF($B35="","",INDEX(ChalDivision,$B35))</f>
        <v/>
      </c>
      <c r="E35" s="0" t="str">
        <f aca="false">IF($B35="","",INDEX(ChalUnit,$B35))</f>
        <v/>
      </c>
      <c r="F35" s="0" t="str">
        <f aca="false">IF($B35="","",INDEX(ChalTitle,$B35))</f>
        <v/>
      </c>
      <c r="G35" s="0" t="str">
        <f aca="false">IF($B35="","",INDEX(ChalLevel,$B35))</f>
        <v/>
      </c>
      <c r="H35" s="0" t="str">
        <f aca="false">IF($B35="","",INDEX(BookFamily,$B35))</f>
        <v/>
      </c>
      <c r="I35" s="0" t="str">
        <f aca="false">IF($B35="","",INDEX(BookWorkerType,$B35))</f>
        <v/>
      </c>
      <c r="J35" s="56" t="str">
        <f aca="false">IF($B35="","",INDEX(ChalEffective,$B35))</f>
        <v/>
      </c>
      <c r="K35" s="0" t="str">
        <f aca="false">IF($B35="","",INDEX(ChalStart,$B35))</f>
        <v/>
      </c>
      <c r="L35" s="57" t="str">
        <f aca="false">IF($B35="","",INDEX(ChalInYear,$B35))</f>
        <v/>
      </c>
      <c r="M35" s="57" t="str">
        <f aca="false">IF($B35="","",INDEX(ChalRunRate,$B35))</f>
        <v/>
      </c>
      <c r="N35" s="0" t="str">
        <f aca="false">IF($B35="","",INDEX(BookDriver,$B35))</f>
        <v/>
      </c>
    </row>
    <row r="36" customFormat="false" ht="15" hidden="false" customHeight="false" outlineLevel="0" collapsed="false">
      <c r="A36" s="33" t="n">
        <v>31</v>
      </c>
      <c r="B36" s="0" t="str">
        <f aca="false">IFERROR(MATCH($A36,ChalSeq,0),"")</f>
        <v/>
      </c>
      <c r="C36" s="0" t="str">
        <f aca="false">IF($B36="","",INDEX(ChalGroup,$B36))</f>
        <v/>
      </c>
      <c r="D36" s="0" t="str">
        <f aca="false">IF($B36="","",INDEX(ChalDivision,$B36))</f>
        <v/>
      </c>
      <c r="E36" s="0" t="str">
        <f aca="false">IF($B36="","",INDEX(ChalUnit,$B36))</f>
        <v/>
      </c>
      <c r="F36" s="0" t="str">
        <f aca="false">IF($B36="","",INDEX(ChalTitle,$B36))</f>
        <v/>
      </c>
      <c r="G36" s="0" t="str">
        <f aca="false">IF($B36="","",INDEX(ChalLevel,$B36))</f>
        <v/>
      </c>
      <c r="H36" s="0" t="str">
        <f aca="false">IF($B36="","",INDEX(BookFamily,$B36))</f>
        <v/>
      </c>
      <c r="I36" s="0" t="str">
        <f aca="false">IF($B36="","",INDEX(BookWorkerType,$B36))</f>
        <v/>
      </c>
      <c r="J36" s="56" t="str">
        <f aca="false">IF($B36="","",INDEX(ChalEffective,$B36))</f>
        <v/>
      </c>
      <c r="K36" s="0" t="str">
        <f aca="false">IF($B36="","",INDEX(ChalStart,$B36))</f>
        <v/>
      </c>
      <c r="L36" s="57" t="str">
        <f aca="false">IF($B36="","",INDEX(ChalInYear,$B36))</f>
        <v/>
      </c>
      <c r="M36" s="57" t="str">
        <f aca="false">IF($B36="","",INDEX(ChalRunRate,$B36))</f>
        <v/>
      </c>
      <c r="N36" s="0" t="str">
        <f aca="false">IF($B36="","",INDEX(BookDriver,$B36))</f>
        <v/>
      </c>
    </row>
    <row r="37" customFormat="false" ht="15" hidden="false" customHeight="false" outlineLevel="0" collapsed="false">
      <c r="A37" s="33" t="n">
        <v>32</v>
      </c>
      <c r="B37" s="0" t="str">
        <f aca="false">IFERROR(MATCH($A37,ChalSeq,0),"")</f>
        <v/>
      </c>
      <c r="C37" s="0" t="str">
        <f aca="false">IF($B37="","",INDEX(ChalGroup,$B37))</f>
        <v/>
      </c>
      <c r="D37" s="0" t="str">
        <f aca="false">IF($B37="","",INDEX(ChalDivision,$B37))</f>
        <v/>
      </c>
      <c r="E37" s="0" t="str">
        <f aca="false">IF($B37="","",INDEX(ChalUnit,$B37))</f>
        <v/>
      </c>
      <c r="F37" s="0" t="str">
        <f aca="false">IF($B37="","",INDEX(ChalTitle,$B37))</f>
        <v/>
      </c>
      <c r="G37" s="0" t="str">
        <f aca="false">IF($B37="","",INDEX(ChalLevel,$B37))</f>
        <v/>
      </c>
      <c r="H37" s="0" t="str">
        <f aca="false">IF($B37="","",INDEX(BookFamily,$B37))</f>
        <v/>
      </c>
      <c r="I37" s="0" t="str">
        <f aca="false">IF($B37="","",INDEX(BookWorkerType,$B37))</f>
        <v/>
      </c>
      <c r="J37" s="56" t="str">
        <f aca="false">IF($B37="","",INDEX(ChalEffective,$B37))</f>
        <v/>
      </c>
      <c r="K37" s="0" t="str">
        <f aca="false">IF($B37="","",INDEX(ChalStart,$B37))</f>
        <v/>
      </c>
      <c r="L37" s="57" t="str">
        <f aca="false">IF($B37="","",INDEX(ChalInYear,$B37))</f>
        <v/>
      </c>
      <c r="M37" s="57" t="str">
        <f aca="false">IF($B37="","",INDEX(ChalRunRate,$B37))</f>
        <v/>
      </c>
      <c r="N37" s="0" t="str">
        <f aca="false">IF($B37="","",INDEX(BookDriver,$B37))</f>
        <v/>
      </c>
    </row>
    <row r="38" customFormat="false" ht="15" hidden="false" customHeight="false" outlineLevel="0" collapsed="false">
      <c r="A38" s="33" t="n">
        <v>33</v>
      </c>
      <c r="B38" s="0" t="str">
        <f aca="false">IFERROR(MATCH($A38,ChalSeq,0),"")</f>
        <v/>
      </c>
      <c r="C38" s="0" t="str">
        <f aca="false">IF($B38="","",INDEX(ChalGroup,$B38))</f>
        <v/>
      </c>
      <c r="D38" s="0" t="str">
        <f aca="false">IF($B38="","",INDEX(ChalDivision,$B38))</f>
        <v/>
      </c>
      <c r="E38" s="0" t="str">
        <f aca="false">IF($B38="","",INDEX(ChalUnit,$B38))</f>
        <v/>
      </c>
      <c r="F38" s="0" t="str">
        <f aca="false">IF($B38="","",INDEX(ChalTitle,$B38))</f>
        <v/>
      </c>
      <c r="G38" s="0" t="str">
        <f aca="false">IF($B38="","",INDEX(ChalLevel,$B38))</f>
        <v/>
      </c>
      <c r="H38" s="0" t="str">
        <f aca="false">IF($B38="","",INDEX(BookFamily,$B38))</f>
        <v/>
      </c>
      <c r="I38" s="0" t="str">
        <f aca="false">IF($B38="","",INDEX(BookWorkerType,$B38))</f>
        <v/>
      </c>
      <c r="J38" s="56" t="str">
        <f aca="false">IF($B38="","",INDEX(ChalEffective,$B38))</f>
        <v/>
      </c>
      <c r="K38" s="0" t="str">
        <f aca="false">IF($B38="","",INDEX(ChalStart,$B38))</f>
        <v/>
      </c>
      <c r="L38" s="57" t="str">
        <f aca="false">IF($B38="","",INDEX(ChalInYear,$B38))</f>
        <v/>
      </c>
      <c r="M38" s="57" t="str">
        <f aca="false">IF($B38="","",INDEX(ChalRunRate,$B38))</f>
        <v/>
      </c>
      <c r="N38" s="0" t="str">
        <f aca="false">IF($B38="","",INDEX(BookDriver,$B38))</f>
        <v/>
      </c>
    </row>
    <row r="39" customFormat="false" ht="15" hidden="false" customHeight="false" outlineLevel="0" collapsed="false">
      <c r="A39" s="33" t="n">
        <v>34</v>
      </c>
      <c r="B39" s="0" t="str">
        <f aca="false">IFERROR(MATCH($A39,ChalSeq,0),"")</f>
        <v/>
      </c>
      <c r="C39" s="0" t="str">
        <f aca="false">IF($B39="","",INDEX(ChalGroup,$B39))</f>
        <v/>
      </c>
      <c r="D39" s="0" t="str">
        <f aca="false">IF($B39="","",INDEX(ChalDivision,$B39))</f>
        <v/>
      </c>
      <c r="E39" s="0" t="str">
        <f aca="false">IF($B39="","",INDEX(ChalUnit,$B39))</f>
        <v/>
      </c>
      <c r="F39" s="0" t="str">
        <f aca="false">IF($B39="","",INDEX(ChalTitle,$B39))</f>
        <v/>
      </c>
      <c r="G39" s="0" t="str">
        <f aca="false">IF($B39="","",INDEX(ChalLevel,$B39))</f>
        <v/>
      </c>
      <c r="H39" s="0" t="str">
        <f aca="false">IF($B39="","",INDEX(BookFamily,$B39))</f>
        <v/>
      </c>
      <c r="I39" s="0" t="str">
        <f aca="false">IF($B39="","",INDEX(BookWorkerType,$B39))</f>
        <v/>
      </c>
      <c r="J39" s="56" t="str">
        <f aca="false">IF($B39="","",INDEX(ChalEffective,$B39))</f>
        <v/>
      </c>
      <c r="K39" s="0" t="str">
        <f aca="false">IF($B39="","",INDEX(ChalStart,$B39))</f>
        <v/>
      </c>
      <c r="L39" s="57" t="str">
        <f aca="false">IF($B39="","",INDEX(ChalInYear,$B39))</f>
        <v/>
      </c>
      <c r="M39" s="57" t="str">
        <f aca="false">IF($B39="","",INDEX(ChalRunRate,$B39))</f>
        <v/>
      </c>
      <c r="N39" s="0" t="str">
        <f aca="false">IF($B39="","",INDEX(BookDriver,$B39))</f>
        <v/>
      </c>
    </row>
    <row r="40" customFormat="false" ht="15" hidden="false" customHeight="false" outlineLevel="0" collapsed="false">
      <c r="A40" s="33" t="n">
        <v>35</v>
      </c>
      <c r="B40" s="0" t="str">
        <f aca="false">IFERROR(MATCH($A40,ChalSeq,0),"")</f>
        <v/>
      </c>
      <c r="C40" s="0" t="str">
        <f aca="false">IF($B40="","",INDEX(ChalGroup,$B40))</f>
        <v/>
      </c>
      <c r="D40" s="0" t="str">
        <f aca="false">IF($B40="","",INDEX(ChalDivision,$B40))</f>
        <v/>
      </c>
      <c r="E40" s="0" t="str">
        <f aca="false">IF($B40="","",INDEX(ChalUnit,$B40))</f>
        <v/>
      </c>
      <c r="F40" s="0" t="str">
        <f aca="false">IF($B40="","",INDEX(ChalTitle,$B40))</f>
        <v/>
      </c>
      <c r="G40" s="0" t="str">
        <f aca="false">IF($B40="","",INDEX(ChalLevel,$B40))</f>
        <v/>
      </c>
      <c r="H40" s="0" t="str">
        <f aca="false">IF($B40="","",INDEX(BookFamily,$B40))</f>
        <v/>
      </c>
      <c r="I40" s="0" t="str">
        <f aca="false">IF($B40="","",INDEX(BookWorkerType,$B40))</f>
        <v/>
      </c>
      <c r="J40" s="56" t="str">
        <f aca="false">IF($B40="","",INDEX(ChalEffective,$B40))</f>
        <v/>
      </c>
      <c r="K40" s="0" t="str">
        <f aca="false">IF($B40="","",INDEX(ChalStart,$B40))</f>
        <v/>
      </c>
      <c r="L40" s="57" t="str">
        <f aca="false">IF($B40="","",INDEX(ChalInYear,$B40))</f>
        <v/>
      </c>
      <c r="M40" s="57" t="str">
        <f aca="false">IF($B40="","",INDEX(ChalRunRate,$B40))</f>
        <v/>
      </c>
      <c r="N40" s="0" t="str">
        <f aca="false">IF($B40="","",INDEX(BookDriver,$B40))</f>
        <v/>
      </c>
    </row>
    <row r="41" customFormat="false" ht="15" hidden="false" customHeight="false" outlineLevel="0" collapsed="false">
      <c r="A41" s="33" t="n">
        <v>36</v>
      </c>
      <c r="B41" s="0" t="str">
        <f aca="false">IFERROR(MATCH($A41,ChalSeq,0),"")</f>
        <v/>
      </c>
      <c r="C41" s="0" t="str">
        <f aca="false">IF($B41="","",INDEX(ChalGroup,$B41))</f>
        <v/>
      </c>
      <c r="D41" s="0" t="str">
        <f aca="false">IF($B41="","",INDEX(ChalDivision,$B41))</f>
        <v/>
      </c>
      <c r="E41" s="0" t="str">
        <f aca="false">IF($B41="","",INDEX(ChalUnit,$B41))</f>
        <v/>
      </c>
      <c r="F41" s="0" t="str">
        <f aca="false">IF($B41="","",INDEX(ChalTitle,$B41))</f>
        <v/>
      </c>
      <c r="G41" s="0" t="str">
        <f aca="false">IF($B41="","",INDEX(ChalLevel,$B41))</f>
        <v/>
      </c>
      <c r="H41" s="0" t="str">
        <f aca="false">IF($B41="","",INDEX(BookFamily,$B41))</f>
        <v/>
      </c>
      <c r="I41" s="0" t="str">
        <f aca="false">IF($B41="","",INDEX(BookWorkerType,$B41))</f>
        <v/>
      </c>
      <c r="J41" s="56" t="str">
        <f aca="false">IF($B41="","",INDEX(ChalEffective,$B41))</f>
        <v/>
      </c>
      <c r="K41" s="0" t="str">
        <f aca="false">IF($B41="","",INDEX(ChalStart,$B41))</f>
        <v/>
      </c>
      <c r="L41" s="57" t="str">
        <f aca="false">IF($B41="","",INDEX(ChalInYear,$B41))</f>
        <v/>
      </c>
      <c r="M41" s="57" t="str">
        <f aca="false">IF($B41="","",INDEX(ChalRunRate,$B41))</f>
        <v/>
      </c>
      <c r="N41" s="0" t="str">
        <f aca="false">IF($B41="","",INDEX(BookDriver,$B41))</f>
        <v/>
      </c>
    </row>
    <row r="42" customFormat="false" ht="15" hidden="false" customHeight="false" outlineLevel="0" collapsed="false">
      <c r="A42" s="33" t="n">
        <v>37</v>
      </c>
      <c r="B42" s="0" t="str">
        <f aca="false">IFERROR(MATCH($A42,ChalSeq,0),"")</f>
        <v/>
      </c>
      <c r="C42" s="0" t="str">
        <f aca="false">IF($B42="","",INDEX(ChalGroup,$B42))</f>
        <v/>
      </c>
      <c r="D42" s="0" t="str">
        <f aca="false">IF($B42="","",INDEX(ChalDivision,$B42))</f>
        <v/>
      </c>
      <c r="E42" s="0" t="str">
        <f aca="false">IF($B42="","",INDEX(ChalUnit,$B42))</f>
        <v/>
      </c>
      <c r="F42" s="0" t="str">
        <f aca="false">IF($B42="","",INDEX(ChalTitle,$B42))</f>
        <v/>
      </c>
      <c r="G42" s="0" t="str">
        <f aca="false">IF($B42="","",INDEX(ChalLevel,$B42))</f>
        <v/>
      </c>
      <c r="H42" s="0" t="str">
        <f aca="false">IF($B42="","",INDEX(BookFamily,$B42))</f>
        <v/>
      </c>
      <c r="I42" s="0" t="str">
        <f aca="false">IF($B42="","",INDEX(BookWorkerType,$B42))</f>
        <v/>
      </c>
      <c r="J42" s="56" t="str">
        <f aca="false">IF($B42="","",INDEX(ChalEffective,$B42))</f>
        <v/>
      </c>
      <c r="K42" s="0" t="str">
        <f aca="false">IF($B42="","",INDEX(ChalStart,$B42))</f>
        <v/>
      </c>
      <c r="L42" s="57" t="str">
        <f aca="false">IF($B42="","",INDEX(ChalInYear,$B42))</f>
        <v/>
      </c>
      <c r="M42" s="57" t="str">
        <f aca="false">IF($B42="","",INDEX(ChalRunRate,$B42))</f>
        <v/>
      </c>
      <c r="N42" s="0" t="str">
        <f aca="false">IF($B42="","",INDEX(BookDriver,$B42))</f>
        <v/>
      </c>
    </row>
    <row r="43" customFormat="false" ht="15" hidden="false" customHeight="false" outlineLevel="0" collapsed="false">
      <c r="A43" s="33" t="n">
        <v>38</v>
      </c>
      <c r="B43" s="0" t="str">
        <f aca="false">IFERROR(MATCH($A43,ChalSeq,0),"")</f>
        <v/>
      </c>
      <c r="C43" s="0" t="str">
        <f aca="false">IF($B43="","",INDEX(ChalGroup,$B43))</f>
        <v/>
      </c>
      <c r="D43" s="0" t="str">
        <f aca="false">IF($B43="","",INDEX(ChalDivision,$B43))</f>
        <v/>
      </c>
      <c r="E43" s="0" t="str">
        <f aca="false">IF($B43="","",INDEX(ChalUnit,$B43))</f>
        <v/>
      </c>
      <c r="F43" s="0" t="str">
        <f aca="false">IF($B43="","",INDEX(ChalTitle,$B43))</f>
        <v/>
      </c>
      <c r="G43" s="0" t="str">
        <f aca="false">IF($B43="","",INDEX(ChalLevel,$B43))</f>
        <v/>
      </c>
      <c r="H43" s="0" t="str">
        <f aca="false">IF($B43="","",INDEX(BookFamily,$B43))</f>
        <v/>
      </c>
      <c r="I43" s="0" t="str">
        <f aca="false">IF($B43="","",INDEX(BookWorkerType,$B43))</f>
        <v/>
      </c>
      <c r="J43" s="56" t="str">
        <f aca="false">IF($B43="","",INDEX(ChalEffective,$B43))</f>
        <v/>
      </c>
      <c r="K43" s="0" t="str">
        <f aca="false">IF($B43="","",INDEX(ChalStart,$B43))</f>
        <v/>
      </c>
      <c r="L43" s="57" t="str">
        <f aca="false">IF($B43="","",INDEX(ChalInYear,$B43))</f>
        <v/>
      </c>
      <c r="M43" s="57" t="str">
        <f aca="false">IF($B43="","",INDEX(ChalRunRate,$B43))</f>
        <v/>
      </c>
      <c r="N43" s="0" t="str">
        <f aca="false">IF($B43="","",INDEX(BookDriver,$B43))</f>
        <v/>
      </c>
    </row>
    <row r="44" customFormat="false" ht="15" hidden="false" customHeight="false" outlineLevel="0" collapsed="false">
      <c r="A44" s="33" t="n">
        <v>39</v>
      </c>
      <c r="B44" s="0" t="str">
        <f aca="false">IFERROR(MATCH($A44,ChalSeq,0),"")</f>
        <v/>
      </c>
      <c r="C44" s="0" t="str">
        <f aca="false">IF($B44="","",INDEX(ChalGroup,$B44))</f>
        <v/>
      </c>
      <c r="D44" s="0" t="str">
        <f aca="false">IF($B44="","",INDEX(ChalDivision,$B44))</f>
        <v/>
      </c>
      <c r="E44" s="0" t="str">
        <f aca="false">IF($B44="","",INDEX(ChalUnit,$B44))</f>
        <v/>
      </c>
      <c r="F44" s="0" t="str">
        <f aca="false">IF($B44="","",INDEX(ChalTitle,$B44))</f>
        <v/>
      </c>
      <c r="G44" s="0" t="str">
        <f aca="false">IF($B44="","",INDEX(ChalLevel,$B44))</f>
        <v/>
      </c>
      <c r="H44" s="0" t="str">
        <f aca="false">IF($B44="","",INDEX(BookFamily,$B44))</f>
        <v/>
      </c>
      <c r="I44" s="0" t="str">
        <f aca="false">IF($B44="","",INDEX(BookWorkerType,$B44))</f>
        <v/>
      </c>
      <c r="J44" s="56" t="str">
        <f aca="false">IF($B44="","",INDEX(ChalEffective,$B44))</f>
        <v/>
      </c>
      <c r="K44" s="0" t="str">
        <f aca="false">IF($B44="","",INDEX(ChalStart,$B44))</f>
        <v/>
      </c>
      <c r="L44" s="57" t="str">
        <f aca="false">IF($B44="","",INDEX(ChalInYear,$B44))</f>
        <v/>
      </c>
      <c r="M44" s="57" t="str">
        <f aca="false">IF($B44="","",INDEX(ChalRunRate,$B44))</f>
        <v/>
      </c>
      <c r="N44" s="0" t="str">
        <f aca="false">IF($B44="","",INDEX(BookDriver,$B44))</f>
        <v/>
      </c>
    </row>
    <row r="45" customFormat="false" ht="15" hidden="false" customHeight="false" outlineLevel="0" collapsed="false">
      <c r="A45" s="33" t="n">
        <v>40</v>
      </c>
      <c r="B45" s="0" t="str">
        <f aca="false">IFERROR(MATCH($A45,ChalSeq,0),"")</f>
        <v/>
      </c>
      <c r="C45" s="0" t="str">
        <f aca="false">IF($B45="","",INDEX(ChalGroup,$B45))</f>
        <v/>
      </c>
      <c r="D45" s="0" t="str">
        <f aca="false">IF($B45="","",INDEX(ChalDivision,$B45))</f>
        <v/>
      </c>
      <c r="E45" s="0" t="str">
        <f aca="false">IF($B45="","",INDEX(ChalUnit,$B45))</f>
        <v/>
      </c>
      <c r="F45" s="0" t="str">
        <f aca="false">IF($B45="","",INDEX(ChalTitle,$B45))</f>
        <v/>
      </c>
      <c r="G45" s="0" t="str">
        <f aca="false">IF($B45="","",INDEX(ChalLevel,$B45))</f>
        <v/>
      </c>
      <c r="H45" s="0" t="str">
        <f aca="false">IF($B45="","",INDEX(BookFamily,$B45))</f>
        <v/>
      </c>
      <c r="I45" s="0" t="str">
        <f aca="false">IF($B45="","",INDEX(BookWorkerType,$B45))</f>
        <v/>
      </c>
      <c r="J45" s="56" t="str">
        <f aca="false">IF($B45="","",INDEX(ChalEffective,$B45))</f>
        <v/>
      </c>
      <c r="K45" s="0" t="str">
        <f aca="false">IF($B45="","",INDEX(ChalStart,$B45))</f>
        <v/>
      </c>
      <c r="L45" s="57" t="str">
        <f aca="false">IF($B45="","",INDEX(ChalInYear,$B45))</f>
        <v/>
      </c>
      <c r="M45" s="57" t="str">
        <f aca="false">IF($B45="","",INDEX(ChalRunRate,$B45))</f>
        <v/>
      </c>
      <c r="N45" s="0" t="str">
        <f aca="false">IF($B45="","",INDEX(BookDriver,$B45))</f>
        <v/>
      </c>
    </row>
    <row r="46" customFormat="false" ht="15" hidden="false" customHeight="false" outlineLevel="0" collapsed="false">
      <c r="A46" s="33" t="n">
        <v>41</v>
      </c>
      <c r="B46" s="0" t="str">
        <f aca="false">IFERROR(MATCH($A46,ChalSeq,0),"")</f>
        <v/>
      </c>
      <c r="C46" s="0" t="str">
        <f aca="false">IF($B46="","",INDEX(ChalGroup,$B46))</f>
        <v/>
      </c>
      <c r="D46" s="0" t="str">
        <f aca="false">IF($B46="","",INDEX(ChalDivision,$B46))</f>
        <v/>
      </c>
      <c r="E46" s="0" t="str">
        <f aca="false">IF($B46="","",INDEX(ChalUnit,$B46))</f>
        <v/>
      </c>
      <c r="F46" s="0" t="str">
        <f aca="false">IF($B46="","",INDEX(ChalTitle,$B46))</f>
        <v/>
      </c>
      <c r="G46" s="0" t="str">
        <f aca="false">IF($B46="","",INDEX(ChalLevel,$B46))</f>
        <v/>
      </c>
      <c r="H46" s="0" t="str">
        <f aca="false">IF($B46="","",INDEX(BookFamily,$B46))</f>
        <v/>
      </c>
      <c r="I46" s="0" t="str">
        <f aca="false">IF($B46="","",INDEX(BookWorkerType,$B46))</f>
        <v/>
      </c>
      <c r="J46" s="56" t="str">
        <f aca="false">IF($B46="","",INDEX(ChalEffective,$B46))</f>
        <v/>
      </c>
      <c r="K46" s="0" t="str">
        <f aca="false">IF($B46="","",INDEX(ChalStart,$B46))</f>
        <v/>
      </c>
      <c r="L46" s="57" t="str">
        <f aca="false">IF($B46="","",INDEX(ChalInYear,$B46))</f>
        <v/>
      </c>
      <c r="M46" s="57" t="str">
        <f aca="false">IF($B46="","",INDEX(ChalRunRate,$B46))</f>
        <v/>
      </c>
      <c r="N46" s="0" t="str">
        <f aca="false">IF($B46="","",INDEX(BookDriver,$B46))</f>
        <v/>
      </c>
    </row>
    <row r="47" customFormat="false" ht="15" hidden="false" customHeight="false" outlineLevel="0" collapsed="false">
      <c r="A47" s="33" t="n">
        <v>42</v>
      </c>
      <c r="B47" s="0" t="str">
        <f aca="false">IFERROR(MATCH($A47,ChalSeq,0),"")</f>
        <v/>
      </c>
      <c r="C47" s="0" t="str">
        <f aca="false">IF($B47="","",INDEX(ChalGroup,$B47))</f>
        <v/>
      </c>
      <c r="D47" s="0" t="str">
        <f aca="false">IF($B47="","",INDEX(ChalDivision,$B47))</f>
        <v/>
      </c>
      <c r="E47" s="0" t="str">
        <f aca="false">IF($B47="","",INDEX(ChalUnit,$B47))</f>
        <v/>
      </c>
      <c r="F47" s="0" t="str">
        <f aca="false">IF($B47="","",INDEX(ChalTitle,$B47))</f>
        <v/>
      </c>
      <c r="G47" s="0" t="str">
        <f aca="false">IF($B47="","",INDEX(ChalLevel,$B47))</f>
        <v/>
      </c>
      <c r="H47" s="0" t="str">
        <f aca="false">IF($B47="","",INDEX(BookFamily,$B47))</f>
        <v/>
      </c>
      <c r="I47" s="0" t="str">
        <f aca="false">IF($B47="","",INDEX(BookWorkerType,$B47))</f>
        <v/>
      </c>
      <c r="J47" s="56" t="str">
        <f aca="false">IF($B47="","",INDEX(ChalEffective,$B47))</f>
        <v/>
      </c>
      <c r="K47" s="0" t="str">
        <f aca="false">IF($B47="","",INDEX(ChalStart,$B47))</f>
        <v/>
      </c>
      <c r="L47" s="57" t="str">
        <f aca="false">IF($B47="","",INDEX(ChalInYear,$B47))</f>
        <v/>
      </c>
      <c r="M47" s="57" t="str">
        <f aca="false">IF($B47="","",INDEX(ChalRunRate,$B47))</f>
        <v/>
      </c>
      <c r="N47" s="0" t="str">
        <f aca="false">IF($B47="","",INDEX(BookDriver,$B47))</f>
        <v/>
      </c>
    </row>
    <row r="48" customFormat="false" ht="15" hidden="false" customHeight="false" outlineLevel="0" collapsed="false">
      <c r="A48" s="33" t="n">
        <v>43</v>
      </c>
      <c r="B48" s="0" t="str">
        <f aca="false">IFERROR(MATCH($A48,ChalSeq,0),"")</f>
        <v/>
      </c>
      <c r="C48" s="0" t="str">
        <f aca="false">IF($B48="","",INDEX(ChalGroup,$B48))</f>
        <v/>
      </c>
      <c r="D48" s="0" t="str">
        <f aca="false">IF($B48="","",INDEX(ChalDivision,$B48))</f>
        <v/>
      </c>
      <c r="E48" s="0" t="str">
        <f aca="false">IF($B48="","",INDEX(ChalUnit,$B48))</f>
        <v/>
      </c>
      <c r="F48" s="0" t="str">
        <f aca="false">IF($B48="","",INDEX(ChalTitle,$B48))</f>
        <v/>
      </c>
      <c r="G48" s="0" t="str">
        <f aca="false">IF($B48="","",INDEX(ChalLevel,$B48))</f>
        <v/>
      </c>
      <c r="H48" s="0" t="str">
        <f aca="false">IF($B48="","",INDEX(BookFamily,$B48))</f>
        <v/>
      </c>
      <c r="I48" s="0" t="str">
        <f aca="false">IF($B48="","",INDEX(BookWorkerType,$B48))</f>
        <v/>
      </c>
      <c r="J48" s="56" t="str">
        <f aca="false">IF($B48="","",INDEX(ChalEffective,$B48))</f>
        <v/>
      </c>
      <c r="K48" s="0" t="str">
        <f aca="false">IF($B48="","",INDEX(ChalStart,$B48))</f>
        <v/>
      </c>
      <c r="L48" s="57" t="str">
        <f aca="false">IF($B48="","",INDEX(ChalInYear,$B48))</f>
        <v/>
      </c>
      <c r="M48" s="57" t="str">
        <f aca="false">IF($B48="","",INDEX(ChalRunRate,$B48))</f>
        <v/>
      </c>
      <c r="N48" s="0" t="str">
        <f aca="false">IF($B48="","",INDEX(BookDriver,$B48))</f>
        <v/>
      </c>
    </row>
    <row r="49" customFormat="false" ht="15" hidden="false" customHeight="false" outlineLevel="0" collapsed="false">
      <c r="A49" s="33" t="n">
        <v>44</v>
      </c>
      <c r="B49" s="0" t="str">
        <f aca="false">IFERROR(MATCH($A49,ChalSeq,0),"")</f>
        <v/>
      </c>
      <c r="C49" s="0" t="str">
        <f aca="false">IF($B49="","",INDEX(ChalGroup,$B49))</f>
        <v/>
      </c>
      <c r="D49" s="0" t="str">
        <f aca="false">IF($B49="","",INDEX(ChalDivision,$B49))</f>
        <v/>
      </c>
      <c r="E49" s="0" t="str">
        <f aca="false">IF($B49="","",INDEX(ChalUnit,$B49))</f>
        <v/>
      </c>
      <c r="F49" s="0" t="str">
        <f aca="false">IF($B49="","",INDEX(ChalTitle,$B49))</f>
        <v/>
      </c>
      <c r="G49" s="0" t="str">
        <f aca="false">IF($B49="","",INDEX(ChalLevel,$B49))</f>
        <v/>
      </c>
      <c r="H49" s="0" t="str">
        <f aca="false">IF($B49="","",INDEX(BookFamily,$B49))</f>
        <v/>
      </c>
      <c r="I49" s="0" t="str">
        <f aca="false">IF($B49="","",INDEX(BookWorkerType,$B49))</f>
        <v/>
      </c>
      <c r="J49" s="56" t="str">
        <f aca="false">IF($B49="","",INDEX(ChalEffective,$B49))</f>
        <v/>
      </c>
      <c r="K49" s="0" t="str">
        <f aca="false">IF($B49="","",INDEX(ChalStart,$B49))</f>
        <v/>
      </c>
      <c r="L49" s="57" t="str">
        <f aca="false">IF($B49="","",INDEX(ChalInYear,$B49))</f>
        <v/>
      </c>
      <c r="M49" s="57" t="str">
        <f aca="false">IF($B49="","",INDEX(ChalRunRate,$B49))</f>
        <v/>
      </c>
      <c r="N49" s="0" t="str">
        <f aca="false">IF($B49="","",INDEX(BookDriver,$B49))</f>
        <v/>
      </c>
    </row>
    <row r="50" customFormat="false" ht="15" hidden="false" customHeight="false" outlineLevel="0" collapsed="false">
      <c r="A50" s="33" t="n">
        <v>45</v>
      </c>
      <c r="B50" s="0" t="str">
        <f aca="false">IFERROR(MATCH($A50,ChalSeq,0),"")</f>
        <v/>
      </c>
      <c r="C50" s="0" t="str">
        <f aca="false">IF($B50="","",INDEX(ChalGroup,$B50))</f>
        <v/>
      </c>
      <c r="D50" s="0" t="str">
        <f aca="false">IF($B50="","",INDEX(ChalDivision,$B50))</f>
        <v/>
      </c>
      <c r="E50" s="0" t="str">
        <f aca="false">IF($B50="","",INDEX(ChalUnit,$B50))</f>
        <v/>
      </c>
      <c r="F50" s="0" t="str">
        <f aca="false">IF($B50="","",INDEX(ChalTitle,$B50))</f>
        <v/>
      </c>
      <c r="G50" s="0" t="str">
        <f aca="false">IF($B50="","",INDEX(ChalLevel,$B50))</f>
        <v/>
      </c>
      <c r="H50" s="0" t="str">
        <f aca="false">IF($B50="","",INDEX(BookFamily,$B50))</f>
        <v/>
      </c>
      <c r="I50" s="0" t="str">
        <f aca="false">IF($B50="","",INDEX(BookWorkerType,$B50))</f>
        <v/>
      </c>
      <c r="J50" s="56" t="str">
        <f aca="false">IF($B50="","",INDEX(ChalEffective,$B50))</f>
        <v/>
      </c>
      <c r="K50" s="0" t="str">
        <f aca="false">IF($B50="","",INDEX(ChalStart,$B50))</f>
        <v/>
      </c>
      <c r="L50" s="57" t="str">
        <f aca="false">IF($B50="","",INDEX(ChalInYear,$B50))</f>
        <v/>
      </c>
      <c r="M50" s="57" t="str">
        <f aca="false">IF($B50="","",INDEX(ChalRunRate,$B50))</f>
        <v/>
      </c>
      <c r="N50" s="0" t="str">
        <f aca="false">IF($B50="","",INDEX(BookDriver,$B50))</f>
        <v/>
      </c>
    </row>
    <row r="51" customFormat="false" ht="15" hidden="false" customHeight="false" outlineLevel="0" collapsed="false">
      <c r="A51" s="33" t="n">
        <v>46</v>
      </c>
      <c r="B51" s="0" t="str">
        <f aca="false">IFERROR(MATCH($A51,ChalSeq,0),"")</f>
        <v/>
      </c>
      <c r="C51" s="0" t="str">
        <f aca="false">IF($B51="","",INDEX(ChalGroup,$B51))</f>
        <v/>
      </c>
      <c r="D51" s="0" t="str">
        <f aca="false">IF($B51="","",INDEX(ChalDivision,$B51))</f>
        <v/>
      </c>
      <c r="E51" s="0" t="str">
        <f aca="false">IF($B51="","",INDEX(ChalUnit,$B51))</f>
        <v/>
      </c>
      <c r="F51" s="0" t="str">
        <f aca="false">IF($B51="","",INDEX(ChalTitle,$B51))</f>
        <v/>
      </c>
      <c r="G51" s="0" t="str">
        <f aca="false">IF($B51="","",INDEX(ChalLevel,$B51))</f>
        <v/>
      </c>
      <c r="H51" s="0" t="str">
        <f aca="false">IF($B51="","",INDEX(BookFamily,$B51))</f>
        <v/>
      </c>
      <c r="I51" s="0" t="str">
        <f aca="false">IF($B51="","",INDEX(BookWorkerType,$B51))</f>
        <v/>
      </c>
      <c r="J51" s="56" t="str">
        <f aca="false">IF($B51="","",INDEX(ChalEffective,$B51))</f>
        <v/>
      </c>
      <c r="K51" s="0" t="str">
        <f aca="false">IF($B51="","",INDEX(ChalStart,$B51))</f>
        <v/>
      </c>
      <c r="L51" s="57" t="str">
        <f aca="false">IF($B51="","",INDEX(ChalInYear,$B51))</f>
        <v/>
      </c>
      <c r="M51" s="57" t="str">
        <f aca="false">IF($B51="","",INDEX(ChalRunRate,$B51))</f>
        <v/>
      </c>
      <c r="N51" s="0" t="str">
        <f aca="false">IF($B51="","",INDEX(BookDriver,$B51))</f>
        <v/>
      </c>
    </row>
    <row r="52" customFormat="false" ht="15" hidden="false" customHeight="false" outlineLevel="0" collapsed="false">
      <c r="A52" s="33" t="n">
        <v>47</v>
      </c>
      <c r="B52" s="0" t="str">
        <f aca="false">IFERROR(MATCH($A52,ChalSeq,0),"")</f>
        <v/>
      </c>
      <c r="C52" s="0" t="str">
        <f aca="false">IF($B52="","",INDEX(ChalGroup,$B52))</f>
        <v/>
      </c>
      <c r="D52" s="0" t="str">
        <f aca="false">IF($B52="","",INDEX(ChalDivision,$B52))</f>
        <v/>
      </c>
      <c r="E52" s="0" t="str">
        <f aca="false">IF($B52="","",INDEX(ChalUnit,$B52))</f>
        <v/>
      </c>
      <c r="F52" s="0" t="str">
        <f aca="false">IF($B52="","",INDEX(ChalTitle,$B52))</f>
        <v/>
      </c>
      <c r="G52" s="0" t="str">
        <f aca="false">IF($B52="","",INDEX(ChalLevel,$B52))</f>
        <v/>
      </c>
      <c r="H52" s="0" t="str">
        <f aca="false">IF($B52="","",INDEX(BookFamily,$B52))</f>
        <v/>
      </c>
      <c r="I52" s="0" t="str">
        <f aca="false">IF($B52="","",INDEX(BookWorkerType,$B52))</f>
        <v/>
      </c>
      <c r="J52" s="56" t="str">
        <f aca="false">IF($B52="","",INDEX(ChalEffective,$B52))</f>
        <v/>
      </c>
      <c r="K52" s="0" t="str">
        <f aca="false">IF($B52="","",INDEX(ChalStart,$B52))</f>
        <v/>
      </c>
      <c r="L52" s="57" t="str">
        <f aca="false">IF($B52="","",INDEX(ChalInYear,$B52))</f>
        <v/>
      </c>
      <c r="M52" s="57" t="str">
        <f aca="false">IF($B52="","",INDEX(ChalRunRate,$B52))</f>
        <v/>
      </c>
      <c r="N52" s="0" t="str">
        <f aca="false">IF($B52="","",INDEX(BookDriver,$B52))</f>
        <v/>
      </c>
    </row>
    <row r="53" customFormat="false" ht="15" hidden="false" customHeight="false" outlineLevel="0" collapsed="false">
      <c r="A53" s="33" t="n">
        <v>48</v>
      </c>
      <c r="B53" s="0" t="str">
        <f aca="false">IFERROR(MATCH($A53,ChalSeq,0),"")</f>
        <v/>
      </c>
      <c r="C53" s="0" t="str">
        <f aca="false">IF($B53="","",INDEX(ChalGroup,$B53))</f>
        <v/>
      </c>
      <c r="D53" s="0" t="str">
        <f aca="false">IF($B53="","",INDEX(ChalDivision,$B53))</f>
        <v/>
      </c>
      <c r="E53" s="0" t="str">
        <f aca="false">IF($B53="","",INDEX(ChalUnit,$B53))</f>
        <v/>
      </c>
      <c r="F53" s="0" t="str">
        <f aca="false">IF($B53="","",INDEX(ChalTitle,$B53))</f>
        <v/>
      </c>
      <c r="G53" s="0" t="str">
        <f aca="false">IF($B53="","",INDEX(ChalLevel,$B53))</f>
        <v/>
      </c>
      <c r="H53" s="0" t="str">
        <f aca="false">IF($B53="","",INDEX(BookFamily,$B53))</f>
        <v/>
      </c>
      <c r="I53" s="0" t="str">
        <f aca="false">IF($B53="","",INDEX(BookWorkerType,$B53))</f>
        <v/>
      </c>
      <c r="J53" s="56" t="str">
        <f aca="false">IF($B53="","",INDEX(ChalEffective,$B53))</f>
        <v/>
      </c>
      <c r="K53" s="0" t="str">
        <f aca="false">IF($B53="","",INDEX(ChalStart,$B53))</f>
        <v/>
      </c>
      <c r="L53" s="57" t="str">
        <f aca="false">IF($B53="","",INDEX(ChalInYear,$B53))</f>
        <v/>
      </c>
      <c r="M53" s="57" t="str">
        <f aca="false">IF($B53="","",INDEX(ChalRunRate,$B53))</f>
        <v/>
      </c>
      <c r="N53" s="0" t="str">
        <f aca="false">IF($B53="","",INDEX(BookDriver,$B53))</f>
        <v/>
      </c>
    </row>
    <row r="54" customFormat="false" ht="15" hidden="false" customHeight="false" outlineLevel="0" collapsed="false">
      <c r="A54" s="33" t="n">
        <v>49</v>
      </c>
      <c r="B54" s="0" t="str">
        <f aca="false">IFERROR(MATCH($A54,ChalSeq,0),"")</f>
        <v/>
      </c>
      <c r="C54" s="0" t="str">
        <f aca="false">IF($B54="","",INDEX(ChalGroup,$B54))</f>
        <v/>
      </c>
      <c r="D54" s="0" t="str">
        <f aca="false">IF($B54="","",INDEX(ChalDivision,$B54))</f>
        <v/>
      </c>
      <c r="E54" s="0" t="str">
        <f aca="false">IF($B54="","",INDEX(ChalUnit,$B54))</f>
        <v/>
      </c>
      <c r="F54" s="0" t="str">
        <f aca="false">IF($B54="","",INDEX(ChalTitle,$B54))</f>
        <v/>
      </c>
      <c r="G54" s="0" t="str">
        <f aca="false">IF($B54="","",INDEX(ChalLevel,$B54))</f>
        <v/>
      </c>
      <c r="H54" s="0" t="str">
        <f aca="false">IF($B54="","",INDEX(BookFamily,$B54))</f>
        <v/>
      </c>
      <c r="I54" s="0" t="str">
        <f aca="false">IF($B54="","",INDEX(BookWorkerType,$B54))</f>
        <v/>
      </c>
      <c r="J54" s="56" t="str">
        <f aca="false">IF($B54="","",INDEX(ChalEffective,$B54))</f>
        <v/>
      </c>
      <c r="K54" s="0" t="str">
        <f aca="false">IF($B54="","",INDEX(ChalStart,$B54))</f>
        <v/>
      </c>
      <c r="L54" s="57" t="str">
        <f aca="false">IF($B54="","",INDEX(ChalInYear,$B54))</f>
        <v/>
      </c>
      <c r="M54" s="57" t="str">
        <f aca="false">IF($B54="","",INDEX(ChalRunRate,$B54))</f>
        <v/>
      </c>
      <c r="N54" s="0" t="str">
        <f aca="false">IF($B54="","",INDEX(BookDriver,$B54))</f>
        <v/>
      </c>
    </row>
    <row r="55" customFormat="false" ht="15" hidden="false" customHeight="false" outlineLevel="0" collapsed="false">
      <c r="A55" s="33" t="n">
        <v>50</v>
      </c>
      <c r="B55" s="0" t="str">
        <f aca="false">IFERROR(MATCH($A55,ChalSeq,0),"")</f>
        <v/>
      </c>
      <c r="C55" s="0" t="str">
        <f aca="false">IF($B55="","",INDEX(ChalGroup,$B55))</f>
        <v/>
      </c>
      <c r="D55" s="0" t="str">
        <f aca="false">IF($B55="","",INDEX(ChalDivision,$B55))</f>
        <v/>
      </c>
      <c r="E55" s="0" t="str">
        <f aca="false">IF($B55="","",INDEX(ChalUnit,$B55))</f>
        <v/>
      </c>
      <c r="F55" s="0" t="str">
        <f aca="false">IF($B55="","",INDEX(ChalTitle,$B55))</f>
        <v/>
      </c>
      <c r="G55" s="0" t="str">
        <f aca="false">IF($B55="","",INDEX(ChalLevel,$B55))</f>
        <v/>
      </c>
      <c r="H55" s="0" t="str">
        <f aca="false">IF($B55="","",INDEX(BookFamily,$B55))</f>
        <v/>
      </c>
      <c r="I55" s="0" t="str">
        <f aca="false">IF($B55="","",INDEX(BookWorkerType,$B55))</f>
        <v/>
      </c>
      <c r="J55" s="56" t="str">
        <f aca="false">IF($B55="","",INDEX(ChalEffective,$B55))</f>
        <v/>
      </c>
      <c r="K55" s="0" t="str">
        <f aca="false">IF($B55="","",INDEX(ChalStart,$B55))</f>
        <v/>
      </c>
      <c r="L55" s="57" t="str">
        <f aca="false">IF($B55="","",INDEX(ChalInYear,$B55))</f>
        <v/>
      </c>
      <c r="M55" s="57" t="str">
        <f aca="false">IF($B55="","",INDEX(ChalRunRate,$B55))</f>
        <v/>
      </c>
      <c r="N55" s="0" t="str">
        <f aca="false">IF($B55="","",INDEX(BookDriver,$B55))</f>
        <v/>
      </c>
    </row>
    <row r="56" customFormat="false" ht="15" hidden="false" customHeight="false" outlineLevel="0" collapsed="false">
      <c r="A56" s="33" t="n">
        <v>51</v>
      </c>
      <c r="B56" s="0" t="str">
        <f aca="false">IFERROR(MATCH($A56,ChalSeq,0),"")</f>
        <v/>
      </c>
      <c r="C56" s="0" t="str">
        <f aca="false">IF($B56="","",INDEX(ChalGroup,$B56))</f>
        <v/>
      </c>
      <c r="D56" s="0" t="str">
        <f aca="false">IF($B56="","",INDEX(ChalDivision,$B56))</f>
        <v/>
      </c>
      <c r="E56" s="0" t="str">
        <f aca="false">IF($B56="","",INDEX(ChalUnit,$B56))</f>
        <v/>
      </c>
      <c r="F56" s="0" t="str">
        <f aca="false">IF($B56="","",INDEX(ChalTitle,$B56))</f>
        <v/>
      </c>
      <c r="G56" s="0" t="str">
        <f aca="false">IF($B56="","",INDEX(ChalLevel,$B56))</f>
        <v/>
      </c>
      <c r="H56" s="0" t="str">
        <f aca="false">IF($B56="","",INDEX(BookFamily,$B56))</f>
        <v/>
      </c>
      <c r="I56" s="0" t="str">
        <f aca="false">IF($B56="","",INDEX(BookWorkerType,$B56))</f>
        <v/>
      </c>
      <c r="J56" s="56" t="str">
        <f aca="false">IF($B56="","",INDEX(ChalEffective,$B56))</f>
        <v/>
      </c>
      <c r="K56" s="0" t="str">
        <f aca="false">IF($B56="","",INDEX(ChalStart,$B56))</f>
        <v/>
      </c>
      <c r="L56" s="57" t="str">
        <f aca="false">IF($B56="","",INDEX(ChalInYear,$B56))</f>
        <v/>
      </c>
      <c r="M56" s="57" t="str">
        <f aca="false">IF($B56="","",INDEX(ChalRunRate,$B56))</f>
        <v/>
      </c>
      <c r="N56" s="0" t="str">
        <f aca="false">IF($B56="","",INDEX(BookDriver,$B56))</f>
        <v/>
      </c>
    </row>
    <row r="57" customFormat="false" ht="15" hidden="false" customHeight="false" outlineLevel="0" collapsed="false">
      <c r="A57" s="33" t="n">
        <v>52</v>
      </c>
      <c r="B57" s="0" t="str">
        <f aca="false">IFERROR(MATCH($A57,ChalSeq,0),"")</f>
        <v/>
      </c>
      <c r="C57" s="0" t="str">
        <f aca="false">IF($B57="","",INDEX(ChalGroup,$B57))</f>
        <v/>
      </c>
      <c r="D57" s="0" t="str">
        <f aca="false">IF($B57="","",INDEX(ChalDivision,$B57))</f>
        <v/>
      </c>
      <c r="E57" s="0" t="str">
        <f aca="false">IF($B57="","",INDEX(ChalUnit,$B57))</f>
        <v/>
      </c>
      <c r="F57" s="0" t="str">
        <f aca="false">IF($B57="","",INDEX(ChalTitle,$B57))</f>
        <v/>
      </c>
      <c r="G57" s="0" t="str">
        <f aca="false">IF($B57="","",INDEX(ChalLevel,$B57))</f>
        <v/>
      </c>
      <c r="H57" s="0" t="str">
        <f aca="false">IF($B57="","",INDEX(BookFamily,$B57))</f>
        <v/>
      </c>
      <c r="I57" s="0" t="str">
        <f aca="false">IF($B57="","",INDEX(BookWorkerType,$B57))</f>
        <v/>
      </c>
      <c r="J57" s="56" t="str">
        <f aca="false">IF($B57="","",INDEX(ChalEffective,$B57))</f>
        <v/>
      </c>
      <c r="K57" s="0" t="str">
        <f aca="false">IF($B57="","",INDEX(ChalStart,$B57))</f>
        <v/>
      </c>
      <c r="L57" s="57" t="str">
        <f aca="false">IF($B57="","",INDEX(ChalInYear,$B57))</f>
        <v/>
      </c>
      <c r="M57" s="57" t="str">
        <f aca="false">IF($B57="","",INDEX(ChalRunRate,$B57))</f>
        <v/>
      </c>
      <c r="N57" s="0" t="str">
        <f aca="false">IF($B57="","",INDEX(BookDriver,$B57))</f>
        <v/>
      </c>
    </row>
    <row r="58" customFormat="false" ht="15" hidden="false" customHeight="false" outlineLevel="0" collapsed="false">
      <c r="A58" s="33" t="n">
        <v>53</v>
      </c>
      <c r="B58" s="0" t="str">
        <f aca="false">IFERROR(MATCH($A58,ChalSeq,0),"")</f>
        <v/>
      </c>
      <c r="C58" s="0" t="str">
        <f aca="false">IF($B58="","",INDEX(ChalGroup,$B58))</f>
        <v/>
      </c>
      <c r="D58" s="0" t="str">
        <f aca="false">IF($B58="","",INDEX(ChalDivision,$B58))</f>
        <v/>
      </c>
      <c r="E58" s="0" t="str">
        <f aca="false">IF($B58="","",INDEX(ChalUnit,$B58))</f>
        <v/>
      </c>
      <c r="F58" s="0" t="str">
        <f aca="false">IF($B58="","",INDEX(ChalTitle,$B58))</f>
        <v/>
      </c>
      <c r="G58" s="0" t="str">
        <f aca="false">IF($B58="","",INDEX(ChalLevel,$B58))</f>
        <v/>
      </c>
      <c r="H58" s="0" t="str">
        <f aca="false">IF($B58="","",INDEX(BookFamily,$B58))</f>
        <v/>
      </c>
      <c r="I58" s="0" t="str">
        <f aca="false">IF($B58="","",INDEX(BookWorkerType,$B58))</f>
        <v/>
      </c>
      <c r="J58" s="56" t="str">
        <f aca="false">IF($B58="","",INDEX(ChalEffective,$B58))</f>
        <v/>
      </c>
      <c r="K58" s="0" t="str">
        <f aca="false">IF($B58="","",INDEX(ChalStart,$B58))</f>
        <v/>
      </c>
      <c r="L58" s="57" t="str">
        <f aca="false">IF($B58="","",INDEX(ChalInYear,$B58))</f>
        <v/>
      </c>
      <c r="M58" s="57" t="str">
        <f aca="false">IF($B58="","",INDEX(ChalRunRate,$B58))</f>
        <v/>
      </c>
      <c r="N58" s="0" t="str">
        <f aca="false">IF($B58="","",INDEX(BookDriver,$B58))</f>
        <v/>
      </c>
    </row>
    <row r="59" customFormat="false" ht="15" hidden="false" customHeight="false" outlineLevel="0" collapsed="false">
      <c r="A59" s="33" t="n">
        <v>54</v>
      </c>
      <c r="B59" s="0" t="str">
        <f aca="false">IFERROR(MATCH($A59,ChalSeq,0),"")</f>
        <v/>
      </c>
      <c r="C59" s="0" t="str">
        <f aca="false">IF($B59="","",INDEX(ChalGroup,$B59))</f>
        <v/>
      </c>
      <c r="D59" s="0" t="str">
        <f aca="false">IF($B59="","",INDEX(ChalDivision,$B59))</f>
        <v/>
      </c>
      <c r="E59" s="0" t="str">
        <f aca="false">IF($B59="","",INDEX(ChalUnit,$B59))</f>
        <v/>
      </c>
      <c r="F59" s="0" t="str">
        <f aca="false">IF($B59="","",INDEX(ChalTitle,$B59))</f>
        <v/>
      </c>
      <c r="G59" s="0" t="str">
        <f aca="false">IF($B59="","",INDEX(ChalLevel,$B59))</f>
        <v/>
      </c>
      <c r="H59" s="0" t="str">
        <f aca="false">IF($B59="","",INDEX(BookFamily,$B59))</f>
        <v/>
      </c>
      <c r="I59" s="0" t="str">
        <f aca="false">IF($B59="","",INDEX(BookWorkerType,$B59))</f>
        <v/>
      </c>
      <c r="J59" s="56" t="str">
        <f aca="false">IF($B59="","",INDEX(ChalEffective,$B59))</f>
        <v/>
      </c>
      <c r="K59" s="0" t="str">
        <f aca="false">IF($B59="","",INDEX(ChalStart,$B59))</f>
        <v/>
      </c>
      <c r="L59" s="57" t="str">
        <f aca="false">IF($B59="","",INDEX(ChalInYear,$B59))</f>
        <v/>
      </c>
      <c r="M59" s="57" t="str">
        <f aca="false">IF($B59="","",INDEX(ChalRunRate,$B59))</f>
        <v/>
      </c>
      <c r="N59" s="0" t="str">
        <f aca="false">IF($B59="","",INDEX(BookDriver,$B59))</f>
        <v/>
      </c>
    </row>
    <row r="60" customFormat="false" ht="15" hidden="false" customHeight="false" outlineLevel="0" collapsed="false">
      <c r="A60" s="33" t="n">
        <v>55</v>
      </c>
      <c r="B60" s="0" t="str">
        <f aca="false">IFERROR(MATCH($A60,ChalSeq,0),"")</f>
        <v/>
      </c>
      <c r="C60" s="0" t="str">
        <f aca="false">IF($B60="","",INDEX(ChalGroup,$B60))</f>
        <v/>
      </c>
      <c r="D60" s="0" t="str">
        <f aca="false">IF($B60="","",INDEX(ChalDivision,$B60))</f>
        <v/>
      </c>
      <c r="E60" s="0" t="str">
        <f aca="false">IF($B60="","",INDEX(ChalUnit,$B60))</f>
        <v/>
      </c>
      <c r="F60" s="0" t="str">
        <f aca="false">IF($B60="","",INDEX(ChalTitle,$B60))</f>
        <v/>
      </c>
      <c r="G60" s="0" t="str">
        <f aca="false">IF($B60="","",INDEX(ChalLevel,$B60))</f>
        <v/>
      </c>
      <c r="H60" s="0" t="str">
        <f aca="false">IF($B60="","",INDEX(BookFamily,$B60))</f>
        <v/>
      </c>
      <c r="I60" s="0" t="str">
        <f aca="false">IF($B60="","",INDEX(BookWorkerType,$B60))</f>
        <v/>
      </c>
      <c r="J60" s="56" t="str">
        <f aca="false">IF($B60="","",INDEX(ChalEffective,$B60))</f>
        <v/>
      </c>
      <c r="K60" s="0" t="str">
        <f aca="false">IF($B60="","",INDEX(ChalStart,$B60))</f>
        <v/>
      </c>
      <c r="L60" s="57" t="str">
        <f aca="false">IF($B60="","",INDEX(ChalInYear,$B60))</f>
        <v/>
      </c>
      <c r="M60" s="57" t="str">
        <f aca="false">IF($B60="","",INDEX(ChalRunRate,$B60))</f>
        <v/>
      </c>
      <c r="N60" s="0" t="str">
        <f aca="false">IF($B60="","",INDEX(BookDriver,$B60))</f>
        <v/>
      </c>
    </row>
    <row r="61" customFormat="false" ht="15" hidden="false" customHeight="false" outlineLevel="0" collapsed="false">
      <c r="A61" s="33" t="n">
        <v>56</v>
      </c>
      <c r="B61" s="0" t="str">
        <f aca="false">IFERROR(MATCH($A61,ChalSeq,0),"")</f>
        <v/>
      </c>
      <c r="C61" s="0" t="str">
        <f aca="false">IF($B61="","",INDEX(ChalGroup,$B61))</f>
        <v/>
      </c>
      <c r="D61" s="0" t="str">
        <f aca="false">IF($B61="","",INDEX(ChalDivision,$B61))</f>
        <v/>
      </c>
      <c r="E61" s="0" t="str">
        <f aca="false">IF($B61="","",INDEX(ChalUnit,$B61))</f>
        <v/>
      </c>
      <c r="F61" s="0" t="str">
        <f aca="false">IF($B61="","",INDEX(ChalTitle,$B61))</f>
        <v/>
      </c>
      <c r="G61" s="0" t="str">
        <f aca="false">IF($B61="","",INDEX(ChalLevel,$B61))</f>
        <v/>
      </c>
      <c r="H61" s="0" t="str">
        <f aca="false">IF($B61="","",INDEX(BookFamily,$B61))</f>
        <v/>
      </c>
      <c r="I61" s="0" t="str">
        <f aca="false">IF($B61="","",INDEX(BookWorkerType,$B61))</f>
        <v/>
      </c>
      <c r="J61" s="56" t="str">
        <f aca="false">IF($B61="","",INDEX(ChalEffective,$B61))</f>
        <v/>
      </c>
      <c r="K61" s="0" t="str">
        <f aca="false">IF($B61="","",INDEX(ChalStart,$B61))</f>
        <v/>
      </c>
      <c r="L61" s="57" t="str">
        <f aca="false">IF($B61="","",INDEX(ChalInYear,$B61))</f>
        <v/>
      </c>
      <c r="M61" s="57" t="str">
        <f aca="false">IF($B61="","",INDEX(ChalRunRate,$B61))</f>
        <v/>
      </c>
      <c r="N61" s="0" t="str">
        <f aca="false">IF($B61="","",INDEX(BookDriver,$B61))</f>
        <v/>
      </c>
    </row>
    <row r="62" customFormat="false" ht="15" hidden="false" customHeight="false" outlineLevel="0" collapsed="false">
      <c r="A62" s="33" t="n">
        <v>57</v>
      </c>
      <c r="B62" s="0" t="str">
        <f aca="false">IFERROR(MATCH($A62,ChalSeq,0),"")</f>
        <v/>
      </c>
      <c r="C62" s="0" t="str">
        <f aca="false">IF($B62="","",INDEX(ChalGroup,$B62))</f>
        <v/>
      </c>
      <c r="D62" s="0" t="str">
        <f aca="false">IF($B62="","",INDEX(ChalDivision,$B62))</f>
        <v/>
      </c>
      <c r="E62" s="0" t="str">
        <f aca="false">IF($B62="","",INDEX(ChalUnit,$B62))</f>
        <v/>
      </c>
      <c r="F62" s="0" t="str">
        <f aca="false">IF($B62="","",INDEX(ChalTitle,$B62))</f>
        <v/>
      </c>
      <c r="G62" s="0" t="str">
        <f aca="false">IF($B62="","",INDEX(ChalLevel,$B62))</f>
        <v/>
      </c>
      <c r="H62" s="0" t="str">
        <f aca="false">IF($B62="","",INDEX(BookFamily,$B62))</f>
        <v/>
      </c>
      <c r="I62" s="0" t="str">
        <f aca="false">IF($B62="","",INDEX(BookWorkerType,$B62))</f>
        <v/>
      </c>
      <c r="J62" s="56" t="str">
        <f aca="false">IF($B62="","",INDEX(ChalEffective,$B62))</f>
        <v/>
      </c>
      <c r="K62" s="0" t="str">
        <f aca="false">IF($B62="","",INDEX(ChalStart,$B62))</f>
        <v/>
      </c>
      <c r="L62" s="57" t="str">
        <f aca="false">IF($B62="","",INDEX(ChalInYear,$B62))</f>
        <v/>
      </c>
      <c r="M62" s="57" t="str">
        <f aca="false">IF($B62="","",INDEX(ChalRunRate,$B62))</f>
        <v/>
      </c>
      <c r="N62" s="0" t="str">
        <f aca="false">IF($B62="","",INDEX(BookDriver,$B62))</f>
        <v/>
      </c>
    </row>
    <row r="63" customFormat="false" ht="15" hidden="false" customHeight="false" outlineLevel="0" collapsed="false">
      <c r="A63" s="33" t="n">
        <v>58</v>
      </c>
      <c r="B63" s="0" t="str">
        <f aca="false">IFERROR(MATCH($A63,ChalSeq,0),"")</f>
        <v/>
      </c>
      <c r="C63" s="0" t="str">
        <f aca="false">IF($B63="","",INDEX(ChalGroup,$B63))</f>
        <v/>
      </c>
      <c r="D63" s="0" t="str">
        <f aca="false">IF($B63="","",INDEX(ChalDivision,$B63))</f>
        <v/>
      </c>
      <c r="E63" s="0" t="str">
        <f aca="false">IF($B63="","",INDEX(ChalUnit,$B63))</f>
        <v/>
      </c>
      <c r="F63" s="0" t="str">
        <f aca="false">IF($B63="","",INDEX(ChalTitle,$B63))</f>
        <v/>
      </c>
      <c r="G63" s="0" t="str">
        <f aca="false">IF($B63="","",INDEX(ChalLevel,$B63))</f>
        <v/>
      </c>
      <c r="H63" s="0" t="str">
        <f aca="false">IF($B63="","",INDEX(BookFamily,$B63))</f>
        <v/>
      </c>
      <c r="I63" s="0" t="str">
        <f aca="false">IF($B63="","",INDEX(BookWorkerType,$B63))</f>
        <v/>
      </c>
      <c r="J63" s="56" t="str">
        <f aca="false">IF($B63="","",INDEX(ChalEffective,$B63))</f>
        <v/>
      </c>
      <c r="K63" s="0" t="str">
        <f aca="false">IF($B63="","",INDEX(ChalStart,$B63))</f>
        <v/>
      </c>
      <c r="L63" s="57" t="str">
        <f aca="false">IF($B63="","",INDEX(ChalInYear,$B63))</f>
        <v/>
      </c>
      <c r="M63" s="57" t="str">
        <f aca="false">IF($B63="","",INDEX(ChalRunRate,$B63))</f>
        <v/>
      </c>
      <c r="N63" s="0" t="str">
        <f aca="false">IF($B63="","",INDEX(BookDriver,$B63))</f>
        <v/>
      </c>
    </row>
    <row r="64" customFormat="false" ht="15" hidden="false" customHeight="false" outlineLevel="0" collapsed="false">
      <c r="A64" s="33" t="n">
        <v>59</v>
      </c>
      <c r="B64" s="0" t="str">
        <f aca="false">IFERROR(MATCH($A64,ChalSeq,0),"")</f>
        <v/>
      </c>
      <c r="C64" s="0" t="str">
        <f aca="false">IF($B64="","",INDEX(ChalGroup,$B64))</f>
        <v/>
      </c>
      <c r="D64" s="0" t="str">
        <f aca="false">IF($B64="","",INDEX(ChalDivision,$B64))</f>
        <v/>
      </c>
      <c r="E64" s="0" t="str">
        <f aca="false">IF($B64="","",INDEX(ChalUnit,$B64))</f>
        <v/>
      </c>
      <c r="F64" s="0" t="str">
        <f aca="false">IF($B64="","",INDEX(ChalTitle,$B64))</f>
        <v/>
      </c>
      <c r="G64" s="0" t="str">
        <f aca="false">IF($B64="","",INDEX(ChalLevel,$B64))</f>
        <v/>
      </c>
      <c r="H64" s="0" t="str">
        <f aca="false">IF($B64="","",INDEX(BookFamily,$B64))</f>
        <v/>
      </c>
      <c r="I64" s="0" t="str">
        <f aca="false">IF($B64="","",INDEX(BookWorkerType,$B64))</f>
        <v/>
      </c>
      <c r="J64" s="56" t="str">
        <f aca="false">IF($B64="","",INDEX(ChalEffective,$B64))</f>
        <v/>
      </c>
      <c r="K64" s="0" t="str">
        <f aca="false">IF($B64="","",INDEX(ChalStart,$B64))</f>
        <v/>
      </c>
      <c r="L64" s="57" t="str">
        <f aca="false">IF($B64="","",INDEX(ChalInYear,$B64))</f>
        <v/>
      </c>
      <c r="M64" s="57" t="str">
        <f aca="false">IF($B64="","",INDEX(ChalRunRate,$B64))</f>
        <v/>
      </c>
      <c r="N64" s="0" t="str">
        <f aca="false">IF($B64="","",INDEX(BookDriver,$B64))</f>
        <v/>
      </c>
    </row>
    <row r="65" customFormat="false" ht="15" hidden="false" customHeight="false" outlineLevel="0" collapsed="false">
      <c r="A65" s="33" t="n">
        <v>60</v>
      </c>
      <c r="B65" s="0" t="str">
        <f aca="false">IFERROR(MATCH($A65,ChalSeq,0),"")</f>
        <v/>
      </c>
      <c r="C65" s="0" t="str">
        <f aca="false">IF($B65="","",INDEX(ChalGroup,$B65))</f>
        <v/>
      </c>
      <c r="D65" s="0" t="str">
        <f aca="false">IF($B65="","",INDEX(ChalDivision,$B65))</f>
        <v/>
      </c>
      <c r="E65" s="0" t="str">
        <f aca="false">IF($B65="","",INDEX(ChalUnit,$B65))</f>
        <v/>
      </c>
      <c r="F65" s="0" t="str">
        <f aca="false">IF($B65="","",INDEX(ChalTitle,$B65))</f>
        <v/>
      </c>
      <c r="G65" s="0" t="str">
        <f aca="false">IF($B65="","",INDEX(ChalLevel,$B65))</f>
        <v/>
      </c>
      <c r="H65" s="0" t="str">
        <f aca="false">IF($B65="","",INDEX(BookFamily,$B65))</f>
        <v/>
      </c>
      <c r="I65" s="0" t="str">
        <f aca="false">IF($B65="","",INDEX(BookWorkerType,$B65))</f>
        <v/>
      </c>
      <c r="J65" s="56" t="str">
        <f aca="false">IF($B65="","",INDEX(ChalEffective,$B65))</f>
        <v/>
      </c>
      <c r="K65" s="0" t="str">
        <f aca="false">IF($B65="","",INDEX(ChalStart,$B65))</f>
        <v/>
      </c>
      <c r="L65" s="57" t="str">
        <f aca="false">IF($B65="","",INDEX(ChalInYear,$B65))</f>
        <v/>
      </c>
      <c r="M65" s="57" t="str">
        <f aca="false">IF($B65="","",INDEX(ChalRunRate,$B65))</f>
        <v/>
      </c>
      <c r="N65" s="0" t="str">
        <f aca="false">IF($B65="","",INDEX(BookDriver,$B65))</f>
        <v/>
      </c>
    </row>
    <row r="66" customFormat="false" ht="15" hidden="false" customHeight="false" outlineLevel="0" collapsed="false">
      <c r="A66" s="33" t="n">
        <v>61</v>
      </c>
      <c r="B66" s="0" t="str">
        <f aca="false">IFERROR(MATCH($A66,ChalSeq,0),"")</f>
        <v/>
      </c>
      <c r="C66" s="0" t="str">
        <f aca="false">IF($B66="","",INDEX(ChalGroup,$B66))</f>
        <v/>
      </c>
      <c r="D66" s="0" t="str">
        <f aca="false">IF($B66="","",INDEX(ChalDivision,$B66))</f>
        <v/>
      </c>
      <c r="E66" s="0" t="str">
        <f aca="false">IF($B66="","",INDEX(ChalUnit,$B66))</f>
        <v/>
      </c>
      <c r="F66" s="0" t="str">
        <f aca="false">IF($B66="","",INDEX(ChalTitle,$B66))</f>
        <v/>
      </c>
      <c r="G66" s="0" t="str">
        <f aca="false">IF($B66="","",INDEX(ChalLevel,$B66))</f>
        <v/>
      </c>
      <c r="H66" s="0" t="str">
        <f aca="false">IF($B66="","",INDEX(BookFamily,$B66))</f>
        <v/>
      </c>
      <c r="I66" s="0" t="str">
        <f aca="false">IF($B66="","",INDEX(BookWorkerType,$B66))</f>
        <v/>
      </c>
      <c r="J66" s="56" t="str">
        <f aca="false">IF($B66="","",INDEX(ChalEffective,$B66))</f>
        <v/>
      </c>
      <c r="K66" s="0" t="str">
        <f aca="false">IF($B66="","",INDEX(ChalStart,$B66))</f>
        <v/>
      </c>
      <c r="L66" s="57" t="str">
        <f aca="false">IF($B66="","",INDEX(ChalInYear,$B66))</f>
        <v/>
      </c>
      <c r="M66" s="57" t="str">
        <f aca="false">IF($B66="","",INDEX(ChalRunRate,$B66))</f>
        <v/>
      </c>
      <c r="N66" s="0" t="str">
        <f aca="false">IF($B66="","",INDEX(BookDriver,$B66))</f>
        <v/>
      </c>
    </row>
    <row r="67" customFormat="false" ht="15" hidden="false" customHeight="false" outlineLevel="0" collapsed="false">
      <c r="A67" s="33" t="n">
        <v>62</v>
      </c>
      <c r="B67" s="0" t="str">
        <f aca="false">IFERROR(MATCH($A67,ChalSeq,0),"")</f>
        <v/>
      </c>
      <c r="C67" s="0" t="str">
        <f aca="false">IF($B67="","",INDEX(ChalGroup,$B67))</f>
        <v/>
      </c>
      <c r="D67" s="0" t="str">
        <f aca="false">IF($B67="","",INDEX(ChalDivision,$B67))</f>
        <v/>
      </c>
      <c r="E67" s="0" t="str">
        <f aca="false">IF($B67="","",INDEX(ChalUnit,$B67))</f>
        <v/>
      </c>
      <c r="F67" s="0" t="str">
        <f aca="false">IF($B67="","",INDEX(ChalTitle,$B67))</f>
        <v/>
      </c>
      <c r="G67" s="0" t="str">
        <f aca="false">IF($B67="","",INDEX(ChalLevel,$B67))</f>
        <v/>
      </c>
      <c r="H67" s="0" t="str">
        <f aca="false">IF($B67="","",INDEX(BookFamily,$B67))</f>
        <v/>
      </c>
      <c r="I67" s="0" t="str">
        <f aca="false">IF($B67="","",INDEX(BookWorkerType,$B67))</f>
        <v/>
      </c>
      <c r="J67" s="56" t="str">
        <f aca="false">IF($B67="","",INDEX(ChalEffective,$B67))</f>
        <v/>
      </c>
      <c r="K67" s="0" t="str">
        <f aca="false">IF($B67="","",INDEX(ChalStart,$B67))</f>
        <v/>
      </c>
      <c r="L67" s="57" t="str">
        <f aca="false">IF($B67="","",INDEX(ChalInYear,$B67))</f>
        <v/>
      </c>
      <c r="M67" s="57" t="str">
        <f aca="false">IF($B67="","",INDEX(ChalRunRate,$B67))</f>
        <v/>
      </c>
      <c r="N67" s="0" t="str">
        <f aca="false">IF($B67="","",INDEX(BookDriver,$B67))</f>
        <v/>
      </c>
    </row>
    <row r="68" customFormat="false" ht="15" hidden="false" customHeight="false" outlineLevel="0" collapsed="false">
      <c r="A68" s="33" t="n">
        <v>63</v>
      </c>
      <c r="B68" s="0" t="str">
        <f aca="false">IFERROR(MATCH($A68,ChalSeq,0),"")</f>
        <v/>
      </c>
      <c r="C68" s="0" t="str">
        <f aca="false">IF($B68="","",INDEX(ChalGroup,$B68))</f>
        <v/>
      </c>
      <c r="D68" s="0" t="str">
        <f aca="false">IF($B68="","",INDEX(ChalDivision,$B68))</f>
        <v/>
      </c>
      <c r="E68" s="0" t="str">
        <f aca="false">IF($B68="","",INDEX(ChalUnit,$B68))</f>
        <v/>
      </c>
      <c r="F68" s="0" t="str">
        <f aca="false">IF($B68="","",INDEX(ChalTitle,$B68))</f>
        <v/>
      </c>
      <c r="G68" s="0" t="str">
        <f aca="false">IF($B68="","",INDEX(ChalLevel,$B68))</f>
        <v/>
      </c>
      <c r="H68" s="0" t="str">
        <f aca="false">IF($B68="","",INDEX(BookFamily,$B68))</f>
        <v/>
      </c>
      <c r="I68" s="0" t="str">
        <f aca="false">IF($B68="","",INDEX(BookWorkerType,$B68))</f>
        <v/>
      </c>
      <c r="J68" s="56" t="str">
        <f aca="false">IF($B68="","",INDEX(ChalEffective,$B68))</f>
        <v/>
      </c>
      <c r="K68" s="0" t="str">
        <f aca="false">IF($B68="","",INDEX(ChalStart,$B68))</f>
        <v/>
      </c>
      <c r="L68" s="57" t="str">
        <f aca="false">IF($B68="","",INDEX(ChalInYear,$B68))</f>
        <v/>
      </c>
      <c r="M68" s="57" t="str">
        <f aca="false">IF($B68="","",INDEX(ChalRunRate,$B68))</f>
        <v/>
      </c>
      <c r="N68" s="0" t="str">
        <f aca="false">IF($B68="","",INDEX(BookDriver,$B68))</f>
        <v/>
      </c>
    </row>
    <row r="69" customFormat="false" ht="15" hidden="false" customHeight="false" outlineLevel="0" collapsed="false">
      <c r="A69" s="33" t="n">
        <v>64</v>
      </c>
      <c r="B69" s="0" t="str">
        <f aca="false">IFERROR(MATCH($A69,ChalSeq,0),"")</f>
        <v/>
      </c>
      <c r="C69" s="0" t="str">
        <f aca="false">IF($B69="","",INDEX(ChalGroup,$B69))</f>
        <v/>
      </c>
      <c r="D69" s="0" t="str">
        <f aca="false">IF($B69="","",INDEX(ChalDivision,$B69))</f>
        <v/>
      </c>
      <c r="E69" s="0" t="str">
        <f aca="false">IF($B69="","",INDEX(ChalUnit,$B69))</f>
        <v/>
      </c>
      <c r="F69" s="0" t="str">
        <f aca="false">IF($B69="","",INDEX(ChalTitle,$B69))</f>
        <v/>
      </c>
      <c r="G69" s="0" t="str">
        <f aca="false">IF($B69="","",INDEX(ChalLevel,$B69))</f>
        <v/>
      </c>
      <c r="H69" s="0" t="str">
        <f aca="false">IF($B69="","",INDEX(BookFamily,$B69))</f>
        <v/>
      </c>
      <c r="I69" s="0" t="str">
        <f aca="false">IF($B69="","",INDEX(BookWorkerType,$B69))</f>
        <v/>
      </c>
      <c r="J69" s="56" t="str">
        <f aca="false">IF($B69="","",INDEX(ChalEffective,$B69))</f>
        <v/>
      </c>
      <c r="K69" s="0" t="str">
        <f aca="false">IF($B69="","",INDEX(ChalStart,$B69))</f>
        <v/>
      </c>
      <c r="L69" s="57" t="str">
        <f aca="false">IF($B69="","",INDEX(ChalInYear,$B69))</f>
        <v/>
      </c>
      <c r="M69" s="57" t="str">
        <f aca="false">IF($B69="","",INDEX(ChalRunRate,$B69))</f>
        <v/>
      </c>
      <c r="N69" s="0" t="str">
        <f aca="false">IF($B69="","",INDEX(BookDriver,$B69))</f>
        <v/>
      </c>
    </row>
    <row r="70" customFormat="false" ht="15" hidden="false" customHeight="false" outlineLevel="0" collapsed="false">
      <c r="A70" s="33" t="n">
        <v>65</v>
      </c>
      <c r="B70" s="0" t="str">
        <f aca="false">IFERROR(MATCH($A70,ChalSeq,0),"")</f>
        <v/>
      </c>
      <c r="C70" s="0" t="str">
        <f aca="false">IF($B70="","",INDEX(ChalGroup,$B70))</f>
        <v/>
      </c>
      <c r="D70" s="0" t="str">
        <f aca="false">IF($B70="","",INDEX(ChalDivision,$B70))</f>
        <v/>
      </c>
      <c r="E70" s="0" t="str">
        <f aca="false">IF($B70="","",INDEX(ChalUnit,$B70))</f>
        <v/>
      </c>
      <c r="F70" s="0" t="str">
        <f aca="false">IF($B70="","",INDEX(ChalTitle,$B70))</f>
        <v/>
      </c>
      <c r="G70" s="0" t="str">
        <f aca="false">IF($B70="","",INDEX(ChalLevel,$B70))</f>
        <v/>
      </c>
      <c r="H70" s="0" t="str">
        <f aca="false">IF($B70="","",INDEX(BookFamily,$B70))</f>
        <v/>
      </c>
      <c r="I70" s="0" t="str">
        <f aca="false">IF($B70="","",INDEX(BookWorkerType,$B70))</f>
        <v/>
      </c>
      <c r="J70" s="56" t="str">
        <f aca="false">IF($B70="","",INDEX(ChalEffective,$B70))</f>
        <v/>
      </c>
      <c r="K70" s="0" t="str">
        <f aca="false">IF($B70="","",INDEX(ChalStart,$B70))</f>
        <v/>
      </c>
      <c r="L70" s="57" t="str">
        <f aca="false">IF($B70="","",INDEX(ChalInYear,$B70))</f>
        <v/>
      </c>
      <c r="M70" s="57" t="str">
        <f aca="false">IF($B70="","",INDEX(ChalRunRate,$B70))</f>
        <v/>
      </c>
      <c r="N70" s="0" t="str">
        <f aca="false">IF($B70="","",INDEX(BookDriver,$B70))</f>
        <v/>
      </c>
    </row>
    <row r="71" customFormat="false" ht="15" hidden="false" customHeight="false" outlineLevel="0" collapsed="false">
      <c r="A71" s="33" t="n">
        <v>66</v>
      </c>
      <c r="B71" s="0" t="str">
        <f aca="false">IFERROR(MATCH($A71,ChalSeq,0),"")</f>
        <v/>
      </c>
      <c r="C71" s="0" t="str">
        <f aca="false">IF($B71="","",INDEX(ChalGroup,$B71))</f>
        <v/>
      </c>
      <c r="D71" s="0" t="str">
        <f aca="false">IF($B71="","",INDEX(ChalDivision,$B71))</f>
        <v/>
      </c>
      <c r="E71" s="0" t="str">
        <f aca="false">IF($B71="","",INDEX(ChalUnit,$B71))</f>
        <v/>
      </c>
      <c r="F71" s="0" t="str">
        <f aca="false">IF($B71="","",INDEX(ChalTitle,$B71))</f>
        <v/>
      </c>
      <c r="G71" s="0" t="str">
        <f aca="false">IF($B71="","",INDEX(ChalLevel,$B71))</f>
        <v/>
      </c>
      <c r="H71" s="0" t="str">
        <f aca="false">IF($B71="","",INDEX(BookFamily,$B71))</f>
        <v/>
      </c>
      <c r="I71" s="0" t="str">
        <f aca="false">IF($B71="","",INDEX(BookWorkerType,$B71))</f>
        <v/>
      </c>
      <c r="J71" s="56" t="str">
        <f aca="false">IF($B71="","",INDEX(ChalEffective,$B71))</f>
        <v/>
      </c>
      <c r="K71" s="0" t="str">
        <f aca="false">IF($B71="","",INDEX(ChalStart,$B71))</f>
        <v/>
      </c>
      <c r="L71" s="57" t="str">
        <f aca="false">IF($B71="","",INDEX(ChalInYear,$B71))</f>
        <v/>
      </c>
      <c r="M71" s="57" t="str">
        <f aca="false">IF($B71="","",INDEX(ChalRunRate,$B71))</f>
        <v/>
      </c>
      <c r="N71" s="0" t="str">
        <f aca="false">IF($B71="","",INDEX(BookDriver,$B71))</f>
        <v/>
      </c>
    </row>
    <row r="72" customFormat="false" ht="15" hidden="false" customHeight="false" outlineLevel="0" collapsed="false">
      <c r="A72" s="33" t="n">
        <v>67</v>
      </c>
      <c r="B72" s="0" t="str">
        <f aca="false">IFERROR(MATCH($A72,ChalSeq,0),"")</f>
        <v/>
      </c>
      <c r="C72" s="0" t="str">
        <f aca="false">IF($B72="","",INDEX(ChalGroup,$B72))</f>
        <v/>
      </c>
      <c r="D72" s="0" t="str">
        <f aca="false">IF($B72="","",INDEX(ChalDivision,$B72))</f>
        <v/>
      </c>
      <c r="E72" s="0" t="str">
        <f aca="false">IF($B72="","",INDEX(ChalUnit,$B72))</f>
        <v/>
      </c>
      <c r="F72" s="0" t="str">
        <f aca="false">IF($B72="","",INDEX(ChalTitle,$B72))</f>
        <v/>
      </c>
      <c r="G72" s="0" t="str">
        <f aca="false">IF($B72="","",INDEX(ChalLevel,$B72))</f>
        <v/>
      </c>
      <c r="H72" s="0" t="str">
        <f aca="false">IF($B72="","",INDEX(BookFamily,$B72))</f>
        <v/>
      </c>
      <c r="I72" s="0" t="str">
        <f aca="false">IF($B72="","",INDEX(BookWorkerType,$B72))</f>
        <v/>
      </c>
      <c r="J72" s="56" t="str">
        <f aca="false">IF($B72="","",INDEX(ChalEffective,$B72))</f>
        <v/>
      </c>
      <c r="K72" s="0" t="str">
        <f aca="false">IF($B72="","",INDEX(ChalStart,$B72))</f>
        <v/>
      </c>
      <c r="L72" s="57" t="str">
        <f aca="false">IF($B72="","",INDEX(ChalInYear,$B72))</f>
        <v/>
      </c>
      <c r="M72" s="57" t="str">
        <f aca="false">IF($B72="","",INDEX(ChalRunRate,$B72))</f>
        <v/>
      </c>
      <c r="N72" s="0" t="str">
        <f aca="false">IF($B72="","",INDEX(BookDriver,$B72))</f>
        <v/>
      </c>
    </row>
    <row r="73" customFormat="false" ht="15" hidden="false" customHeight="false" outlineLevel="0" collapsed="false">
      <c r="A73" s="33" t="n">
        <v>68</v>
      </c>
      <c r="B73" s="0" t="str">
        <f aca="false">IFERROR(MATCH($A73,ChalSeq,0),"")</f>
        <v/>
      </c>
      <c r="C73" s="0" t="str">
        <f aca="false">IF($B73="","",INDEX(ChalGroup,$B73))</f>
        <v/>
      </c>
      <c r="D73" s="0" t="str">
        <f aca="false">IF($B73="","",INDEX(ChalDivision,$B73))</f>
        <v/>
      </c>
      <c r="E73" s="0" t="str">
        <f aca="false">IF($B73="","",INDEX(ChalUnit,$B73))</f>
        <v/>
      </c>
      <c r="F73" s="0" t="str">
        <f aca="false">IF($B73="","",INDEX(ChalTitle,$B73))</f>
        <v/>
      </c>
      <c r="G73" s="0" t="str">
        <f aca="false">IF($B73="","",INDEX(ChalLevel,$B73))</f>
        <v/>
      </c>
      <c r="H73" s="0" t="str">
        <f aca="false">IF($B73="","",INDEX(BookFamily,$B73))</f>
        <v/>
      </c>
      <c r="I73" s="0" t="str">
        <f aca="false">IF($B73="","",INDEX(BookWorkerType,$B73))</f>
        <v/>
      </c>
      <c r="J73" s="56" t="str">
        <f aca="false">IF($B73="","",INDEX(ChalEffective,$B73))</f>
        <v/>
      </c>
      <c r="K73" s="0" t="str">
        <f aca="false">IF($B73="","",INDEX(ChalStart,$B73))</f>
        <v/>
      </c>
      <c r="L73" s="57" t="str">
        <f aca="false">IF($B73="","",INDEX(ChalInYear,$B73))</f>
        <v/>
      </c>
      <c r="M73" s="57" t="str">
        <f aca="false">IF($B73="","",INDEX(ChalRunRate,$B73))</f>
        <v/>
      </c>
      <c r="N73" s="0" t="str">
        <f aca="false">IF($B73="","",INDEX(BookDriver,$B73))</f>
        <v/>
      </c>
    </row>
    <row r="74" customFormat="false" ht="15" hidden="false" customHeight="false" outlineLevel="0" collapsed="false">
      <c r="A74" s="33" t="n">
        <v>69</v>
      </c>
      <c r="B74" s="0" t="str">
        <f aca="false">IFERROR(MATCH($A74,ChalSeq,0),"")</f>
        <v/>
      </c>
      <c r="C74" s="0" t="str">
        <f aca="false">IF($B74="","",INDEX(ChalGroup,$B74))</f>
        <v/>
      </c>
      <c r="D74" s="0" t="str">
        <f aca="false">IF($B74="","",INDEX(ChalDivision,$B74))</f>
        <v/>
      </c>
      <c r="E74" s="0" t="str">
        <f aca="false">IF($B74="","",INDEX(ChalUnit,$B74))</f>
        <v/>
      </c>
      <c r="F74" s="0" t="str">
        <f aca="false">IF($B74="","",INDEX(ChalTitle,$B74))</f>
        <v/>
      </c>
      <c r="G74" s="0" t="str">
        <f aca="false">IF($B74="","",INDEX(ChalLevel,$B74))</f>
        <v/>
      </c>
      <c r="H74" s="0" t="str">
        <f aca="false">IF($B74="","",INDEX(BookFamily,$B74))</f>
        <v/>
      </c>
      <c r="I74" s="0" t="str">
        <f aca="false">IF($B74="","",INDEX(BookWorkerType,$B74))</f>
        <v/>
      </c>
      <c r="J74" s="56" t="str">
        <f aca="false">IF($B74="","",INDEX(ChalEffective,$B74))</f>
        <v/>
      </c>
      <c r="K74" s="0" t="str">
        <f aca="false">IF($B74="","",INDEX(ChalStart,$B74))</f>
        <v/>
      </c>
      <c r="L74" s="57" t="str">
        <f aca="false">IF($B74="","",INDEX(ChalInYear,$B74))</f>
        <v/>
      </c>
      <c r="M74" s="57" t="str">
        <f aca="false">IF($B74="","",INDEX(ChalRunRate,$B74))</f>
        <v/>
      </c>
      <c r="N74" s="0" t="str">
        <f aca="false">IF($B74="","",INDEX(BookDriver,$B74))</f>
        <v/>
      </c>
    </row>
    <row r="75" customFormat="false" ht="15" hidden="false" customHeight="false" outlineLevel="0" collapsed="false">
      <c r="A75" s="33" t="n">
        <v>70</v>
      </c>
      <c r="B75" s="0" t="str">
        <f aca="false">IFERROR(MATCH($A75,ChalSeq,0),"")</f>
        <v/>
      </c>
      <c r="C75" s="0" t="str">
        <f aca="false">IF($B75="","",INDEX(ChalGroup,$B75))</f>
        <v/>
      </c>
      <c r="D75" s="0" t="str">
        <f aca="false">IF($B75="","",INDEX(ChalDivision,$B75))</f>
        <v/>
      </c>
      <c r="E75" s="0" t="str">
        <f aca="false">IF($B75="","",INDEX(ChalUnit,$B75))</f>
        <v/>
      </c>
      <c r="F75" s="0" t="str">
        <f aca="false">IF($B75="","",INDEX(ChalTitle,$B75))</f>
        <v/>
      </c>
      <c r="G75" s="0" t="str">
        <f aca="false">IF($B75="","",INDEX(ChalLevel,$B75))</f>
        <v/>
      </c>
      <c r="H75" s="0" t="str">
        <f aca="false">IF($B75="","",INDEX(BookFamily,$B75))</f>
        <v/>
      </c>
      <c r="I75" s="0" t="str">
        <f aca="false">IF($B75="","",INDEX(BookWorkerType,$B75))</f>
        <v/>
      </c>
      <c r="J75" s="56" t="str">
        <f aca="false">IF($B75="","",INDEX(ChalEffective,$B75))</f>
        <v/>
      </c>
      <c r="K75" s="0" t="str">
        <f aca="false">IF($B75="","",INDEX(ChalStart,$B75))</f>
        <v/>
      </c>
      <c r="L75" s="57" t="str">
        <f aca="false">IF($B75="","",INDEX(ChalInYear,$B75))</f>
        <v/>
      </c>
      <c r="M75" s="57" t="str">
        <f aca="false">IF($B75="","",INDEX(ChalRunRate,$B75))</f>
        <v/>
      </c>
      <c r="N75" s="0" t="str">
        <f aca="false">IF($B75="","",INDEX(BookDriver,$B75))</f>
        <v/>
      </c>
    </row>
    <row r="76" customFormat="false" ht="15" hidden="false" customHeight="false" outlineLevel="0" collapsed="false">
      <c r="A76" s="33" t="n">
        <v>71</v>
      </c>
      <c r="B76" s="0" t="str">
        <f aca="false">IFERROR(MATCH($A76,ChalSeq,0),"")</f>
        <v/>
      </c>
      <c r="C76" s="0" t="str">
        <f aca="false">IF($B76="","",INDEX(ChalGroup,$B76))</f>
        <v/>
      </c>
      <c r="D76" s="0" t="str">
        <f aca="false">IF($B76="","",INDEX(ChalDivision,$B76))</f>
        <v/>
      </c>
      <c r="E76" s="0" t="str">
        <f aca="false">IF($B76="","",INDEX(ChalUnit,$B76))</f>
        <v/>
      </c>
      <c r="F76" s="0" t="str">
        <f aca="false">IF($B76="","",INDEX(ChalTitle,$B76))</f>
        <v/>
      </c>
      <c r="G76" s="0" t="str">
        <f aca="false">IF($B76="","",INDEX(ChalLevel,$B76))</f>
        <v/>
      </c>
      <c r="H76" s="0" t="str">
        <f aca="false">IF($B76="","",INDEX(BookFamily,$B76))</f>
        <v/>
      </c>
      <c r="I76" s="0" t="str">
        <f aca="false">IF($B76="","",INDEX(BookWorkerType,$B76))</f>
        <v/>
      </c>
      <c r="J76" s="56" t="str">
        <f aca="false">IF($B76="","",INDEX(ChalEffective,$B76))</f>
        <v/>
      </c>
      <c r="K76" s="0" t="str">
        <f aca="false">IF($B76="","",INDEX(ChalStart,$B76))</f>
        <v/>
      </c>
      <c r="L76" s="57" t="str">
        <f aca="false">IF($B76="","",INDEX(ChalInYear,$B76))</f>
        <v/>
      </c>
      <c r="M76" s="57" t="str">
        <f aca="false">IF($B76="","",INDEX(ChalRunRate,$B76))</f>
        <v/>
      </c>
      <c r="N76" s="0" t="str">
        <f aca="false">IF($B76="","",INDEX(BookDriver,$B76))</f>
        <v/>
      </c>
    </row>
    <row r="77" customFormat="false" ht="15" hidden="false" customHeight="false" outlineLevel="0" collapsed="false">
      <c r="A77" s="33" t="n">
        <v>72</v>
      </c>
      <c r="B77" s="0" t="str">
        <f aca="false">IFERROR(MATCH($A77,ChalSeq,0),"")</f>
        <v/>
      </c>
      <c r="C77" s="0" t="str">
        <f aca="false">IF($B77="","",INDEX(ChalGroup,$B77))</f>
        <v/>
      </c>
      <c r="D77" s="0" t="str">
        <f aca="false">IF($B77="","",INDEX(ChalDivision,$B77))</f>
        <v/>
      </c>
      <c r="E77" s="0" t="str">
        <f aca="false">IF($B77="","",INDEX(ChalUnit,$B77))</f>
        <v/>
      </c>
      <c r="F77" s="0" t="str">
        <f aca="false">IF($B77="","",INDEX(ChalTitle,$B77))</f>
        <v/>
      </c>
      <c r="G77" s="0" t="str">
        <f aca="false">IF($B77="","",INDEX(ChalLevel,$B77))</f>
        <v/>
      </c>
      <c r="H77" s="0" t="str">
        <f aca="false">IF($B77="","",INDEX(BookFamily,$B77))</f>
        <v/>
      </c>
      <c r="I77" s="0" t="str">
        <f aca="false">IF($B77="","",INDEX(BookWorkerType,$B77))</f>
        <v/>
      </c>
      <c r="J77" s="56" t="str">
        <f aca="false">IF($B77="","",INDEX(ChalEffective,$B77))</f>
        <v/>
      </c>
      <c r="K77" s="0" t="str">
        <f aca="false">IF($B77="","",INDEX(ChalStart,$B77))</f>
        <v/>
      </c>
      <c r="L77" s="57" t="str">
        <f aca="false">IF($B77="","",INDEX(ChalInYear,$B77))</f>
        <v/>
      </c>
      <c r="M77" s="57" t="str">
        <f aca="false">IF($B77="","",INDEX(ChalRunRate,$B77))</f>
        <v/>
      </c>
      <c r="N77" s="0" t="str">
        <f aca="false">IF($B77="","",INDEX(BookDriver,$B77))</f>
        <v/>
      </c>
    </row>
    <row r="78" customFormat="false" ht="15" hidden="false" customHeight="false" outlineLevel="0" collapsed="false">
      <c r="A78" s="33" t="n">
        <v>73</v>
      </c>
      <c r="B78" s="0" t="str">
        <f aca="false">IFERROR(MATCH($A78,ChalSeq,0),"")</f>
        <v/>
      </c>
      <c r="C78" s="0" t="str">
        <f aca="false">IF($B78="","",INDEX(ChalGroup,$B78))</f>
        <v/>
      </c>
      <c r="D78" s="0" t="str">
        <f aca="false">IF($B78="","",INDEX(ChalDivision,$B78))</f>
        <v/>
      </c>
      <c r="E78" s="0" t="str">
        <f aca="false">IF($B78="","",INDEX(ChalUnit,$B78))</f>
        <v/>
      </c>
      <c r="F78" s="0" t="str">
        <f aca="false">IF($B78="","",INDEX(ChalTitle,$B78))</f>
        <v/>
      </c>
      <c r="G78" s="0" t="str">
        <f aca="false">IF($B78="","",INDEX(ChalLevel,$B78))</f>
        <v/>
      </c>
      <c r="H78" s="0" t="str">
        <f aca="false">IF($B78="","",INDEX(BookFamily,$B78))</f>
        <v/>
      </c>
      <c r="I78" s="0" t="str">
        <f aca="false">IF($B78="","",INDEX(BookWorkerType,$B78))</f>
        <v/>
      </c>
      <c r="J78" s="56" t="str">
        <f aca="false">IF($B78="","",INDEX(ChalEffective,$B78))</f>
        <v/>
      </c>
      <c r="K78" s="0" t="str">
        <f aca="false">IF($B78="","",INDEX(ChalStart,$B78))</f>
        <v/>
      </c>
      <c r="L78" s="57" t="str">
        <f aca="false">IF($B78="","",INDEX(ChalInYear,$B78))</f>
        <v/>
      </c>
      <c r="M78" s="57" t="str">
        <f aca="false">IF($B78="","",INDEX(ChalRunRate,$B78))</f>
        <v/>
      </c>
      <c r="N78" s="0" t="str">
        <f aca="false">IF($B78="","",INDEX(BookDriver,$B78))</f>
        <v/>
      </c>
    </row>
    <row r="79" customFormat="false" ht="15" hidden="false" customHeight="false" outlineLevel="0" collapsed="false">
      <c r="A79" s="33" t="n">
        <v>74</v>
      </c>
      <c r="B79" s="0" t="str">
        <f aca="false">IFERROR(MATCH($A79,ChalSeq,0),"")</f>
        <v/>
      </c>
      <c r="C79" s="0" t="str">
        <f aca="false">IF($B79="","",INDEX(ChalGroup,$B79))</f>
        <v/>
      </c>
      <c r="D79" s="0" t="str">
        <f aca="false">IF($B79="","",INDEX(ChalDivision,$B79))</f>
        <v/>
      </c>
      <c r="E79" s="0" t="str">
        <f aca="false">IF($B79="","",INDEX(ChalUnit,$B79))</f>
        <v/>
      </c>
      <c r="F79" s="0" t="str">
        <f aca="false">IF($B79="","",INDEX(ChalTitle,$B79))</f>
        <v/>
      </c>
      <c r="G79" s="0" t="str">
        <f aca="false">IF($B79="","",INDEX(ChalLevel,$B79))</f>
        <v/>
      </c>
      <c r="H79" s="0" t="str">
        <f aca="false">IF($B79="","",INDEX(BookFamily,$B79))</f>
        <v/>
      </c>
      <c r="I79" s="0" t="str">
        <f aca="false">IF($B79="","",INDEX(BookWorkerType,$B79))</f>
        <v/>
      </c>
      <c r="J79" s="56" t="str">
        <f aca="false">IF($B79="","",INDEX(ChalEffective,$B79))</f>
        <v/>
      </c>
      <c r="K79" s="0" t="str">
        <f aca="false">IF($B79="","",INDEX(ChalStart,$B79))</f>
        <v/>
      </c>
      <c r="L79" s="57" t="str">
        <f aca="false">IF($B79="","",INDEX(ChalInYear,$B79))</f>
        <v/>
      </c>
      <c r="M79" s="57" t="str">
        <f aca="false">IF($B79="","",INDEX(ChalRunRate,$B79))</f>
        <v/>
      </c>
      <c r="N79" s="0" t="str">
        <f aca="false">IF($B79="","",INDEX(BookDriver,$B79))</f>
        <v/>
      </c>
    </row>
    <row r="80" customFormat="false" ht="15" hidden="false" customHeight="false" outlineLevel="0" collapsed="false">
      <c r="A80" s="33" t="n">
        <v>75</v>
      </c>
      <c r="B80" s="0" t="str">
        <f aca="false">IFERROR(MATCH($A80,ChalSeq,0),"")</f>
        <v/>
      </c>
      <c r="C80" s="0" t="str">
        <f aca="false">IF($B80="","",INDEX(ChalGroup,$B80))</f>
        <v/>
      </c>
      <c r="D80" s="0" t="str">
        <f aca="false">IF($B80="","",INDEX(ChalDivision,$B80))</f>
        <v/>
      </c>
      <c r="E80" s="0" t="str">
        <f aca="false">IF($B80="","",INDEX(ChalUnit,$B80))</f>
        <v/>
      </c>
      <c r="F80" s="0" t="str">
        <f aca="false">IF($B80="","",INDEX(ChalTitle,$B80))</f>
        <v/>
      </c>
      <c r="G80" s="0" t="str">
        <f aca="false">IF($B80="","",INDEX(ChalLevel,$B80))</f>
        <v/>
      </c>
      <c r="H80" s="0" t="str">
        <f aca="false">IF($B80="","",INDEX(BookFamily,$B80))</f>
        <v/>
      </c>
      <c r="I80" s="0" t="str">
        <f aca="false">IF($B80="","",INDEX(BookWorkerType,$B80))</f>
        <v/>
      </c>
      <c r="J80" s="56" t="str">
        <f aca="false">IF($B80="","",INDEX(ChalEffective,$B80))</f>
        <v/>
      </c>
      <c r="K80" s="0" t="str">
        <f aca="false">IF($B80="","",INDEX(ChalStart,$B80))</f>
        <v/>
      </c>
      <c r="L80" s="57" t="str">
        <f aca="false">IF($B80="","",INDEX(ChalInYear,$B80))</f>
        <v/>
      </c>
      <c r="M80" s="57" t="str">
        <f aca="false">IF($B80="","",INDEX(ChalRunRate,$B80))</f>
        <v/>
      </c>
      <c r="N80" s="0" t="str">
        <f aca="false">IF($B80="","",INDEX(BookDriver,$B80))</f>
        <v/>
      </c>
    </row>
    <row r="81" customFormat="false" ht="15" hidden="false" customHeight="false" outlineLevel="0" collapsed="false">
      <c r="A81" s="33" t="n">
        <v>76</v>
      </c>
      <c r="B81" s="0" t="str">
        <f aca="false">IFERROR(MATCH($A81,ChalSeq,0),"")</f>
        <v/>
      </c>
      <c r="C81" s="0" t="str">
        <f aca="false">IF($B81="","",INDEX(ChalGroup,$B81))</f>
        <v/>
      </c>
      <c r="D81" s="0" t="str">
        <f aca="false">IF($B81="","",INDEX(ChalDivision,$B81))</f>
        <v/>
      </c>
      <c r="E81" s="0" t="str">
        <f aca="false">IF($B81="","",INDEX(ChalUnit,$B81))</f>
        <v/>
      </c>
      <c r="F81" s="0" t="str">
        <f aca="false">IF($B81="","",INDEX(ChalTitle,$B81))</f>
        <v/>
      </c>
      <c r="G81" s="0" t="str">
        <f aca="false">IF($B81="","",INDEX(ChalLevel,$B81))</f>
        <v/>
      </c>
      <c r="H81" s="0" t="str">
        <f aca="false">IF($B81="","",INDEX(BookFamily,$B81))</f>
        <v/>
      </c>
      <c r="I81" s="0" t="str">
        <f aca="false">IF($B81="","",INDEX(BookWorkerType,$B81))</f>
        <v/>
      </c>
      <c r="J81" s="56" t="str">
        <f aca="false">IF($B81="","",INDEX(ChalEffective,$B81))</f>
        <v/>
      </c>
      <c r="K81" s="0" t="str">
        <f aca="false">IF($B81="","",INDEX(ChalStart,$B81))</f>
        <v/>
      </c>
      <c r="L81" s="57" t="str">
        <f aca="false">IF($B81="","",INDEX(ChalInYear,$B81))</f>
        <v/>
      </c>
      <c r="M81" s="57" t="str">
        <f aca="false">IF($B81="","",INDEX(ChalRunRate,$B81))</f>
        <v/>
      </c>
      <c r="N81" s="0" t="str">
        <f aca="false">IF($B81="","",INDEX(BookDriver,$B81))</f>
        <v/>
      </c>
    </row>
    <row r="82" customFormat="false" ht="15" hidden="false" customHeight="false" outlineLevel="0" collapsed="false">
      <c r="A82" s="33" t="n">
        <v>77</v>
      </c>
      <c r="B82" s="0" t="str">
        <f aca="false">IFERROR(MATCH($A82,ChalSeq,0),"")</f>
        <v/>
      </c>
      <c r="C82" s="0" t="str">
        <f aca="false">IF($B82="","",INDEX(ChalGroup,$B82))</f>
        <v/>
      </c>
      <c r="D82" s="0" t="str">
        <f aca="false">IF($B82="","",INDEX(ChalDivision,$B82))</f>
        <v/>
      </c>
      <c r="E82" s="0" t="str">
        <f aca="false">IF($B82="","",INDEX(ChalUnit,$B82))</f>
        <v/>
      </c>
      <c r="F82" s="0" t="str">
        <f aca="false">IF($B82="","",INDEX(ChalTitle,$B82))</f>
        <v/>
      </c>
      <c r="G82" s="0" t="str">
        <f aca="false">IF($B82="","",INDEX(ChalLevel,$B82))</f>
        <v/>
      </c>
      <c r="H82" s="0" t="str">
        <f aca="false">IF($B82="","",INDEX(BookFamily,$B82))</f>
        <v/>
      </c>
      <c r="I82" s="0" t="str">
        <f aca="false">IF($B82="","",INDEX(BookWorkerType,$B82))</f>
        <v/>
      </c>
      <c r="J82" s="56" t="str">
        <f aca="false">IF($B82="","",INDEX(ChalEffective,$B82))</f>
        <v/>
      </c>
      <c r="K82" s="0" t="str">
        <f aca="false">IF($B82="","",INDEX(ChalStart,$B82))</f>
        <v/>
      </c>
      <c r="L82" s="57" t="str">
        <f aca="false">IF($B82="","",INDEX(ChalInYear,$B82))</f>
        <v/>
      </c>
      <c r="M82" s="57" t="str">
        <f aca="false">IF($B82="","",INDEX(ChalRunRate,$B82))</f>
        <v/>
      </c>
      <c r="N82" s="0" t="str">
        <f aca="false">IF($B82="","",INDEX(BookDriver,$B82))</f>
        <v/>
      </c>
    </row>
    <row r="83" customFormat="false" ht="15" hidden="false" customHeight="false" outlineLevel="0" collapsed="false">
      <c r="A83" s="33" t="n">
        <v>78</v>
      </c>
      <c r="B83" s="0" t="str">
        <f aca="false">IFERROR(MATCH($A83,ChalSeq,0),"")</f>
        <v/>
      </c>
      <c r="C83" s="0" t="str">
        <f aca="false">IF($B83="","",INDEX(ChalGroup,$B83))</f>
        <v/>
      </c>
      <c r="D83" s="0" t="str">
        <f aca="false">IF($B83="","",INDEX(ChalDivision,$B83))</f>
        <v/>
      </c>
      <c r="E83" s="0" t="str">
        <f aca="false">IF($B83="","",INDEX(ChalUnit,$B83))</f>
        <v/>
      </c>
      <c r="F83" s="0" t="str">
        <f aca="false">IF($B83="","",INDEX(ChalTitle,$B83))</f>
        <v/>
      </c>
      <c r="G83" s="0" t="str">
        <f aca="false">IF($B83="","",INDEX(ChalLevel,$B83))</f>
        <v/>
      </c>
      <c r="H83" s="0" t="str">
        <f aca="false">IF($B83="","",INDEX(BookFamily,$B83))</f>
        <v/>
      </c>
      <c r="I83" s="0" t="str">
        <f aca="false">IF($B83="","",INDEX(BookWorkerType,$B83))</f>
        <v/>
      </c>
      <c r="J83" s="56" t="str">
        <f aca="false">IF($B83="","",INDEX(ChalEffective,$B83))</f>
        <v/>
      </c>
      <c r="K83" s="0" t="str">
        <f aca="false">IF($B83="","",INDEX(ChalStart,$B83))</f>
        <v/>
      </c>
      <c r="L83" s="57" t="str">
        <f aca="false">IF($B83="","",INDEX(ChalInYear,$B83))</f>
        <v/>
      </c>
      <c r="M83" s="57" t="str">
        <f aca="false">IF($B83="","",INDEX(ChalRunRate,$B83))</f>
        <v/>
      </c>
      <c r="N83" s="0" t="str">
        <f aca="false">IF($B83="","",INDEX(BookDriver,$B83))</f>
        <v/>
      </c>
    </row>
    <row r="84" customFormat="false" ht="15" hidden="false" customHeight="false" outlineLevel="0" collapsed="false">
      <c r="A84" s="33" t="n">
        <v>79</v>
      </c>
      <c r="B84" s="0" t="str">
        <f aca="false">IFERROR(MATCH($A84,ChalSeq,0),"")</f>
        <v/>
      </c>
      <c r="C84" s="0" t="str">
        <f aca="false">IF($B84="","",INDEX(ChalGroup,$B84))</f>
        <v/>
      </c>
      <c r="D84" s="0" t="str">
        <f aca="false">IF($B84="","",INDEX(ChalDivision,$B84))</f>
        <v/>
      </c>
      <c r="E84" s="0" t="str">
        <f aca="false">IF($B84="","",INDEX(ChalUnit,$B84))</f>
        <v/>
      </c>
      <c r="F84" s="0" t="str">
        <f aca="false">IF($B84="","",INDEX(ChalTitle,$B84))</f>
        <v/>
      </c>
      <c r="G84" s="0" t="str">
        <f aca="false">IF($B84="","",INDEX(ChalLevel,$B84))</f>
        <v/>
      </c>
      <c r="H84" s="0" t="str">
        <f aca="false">IF($B84="","",INDEX(BookFamily,$B84))</f>
        <v/>
      </c>
      <c r="I84" s="0" t="str">
        <f aca="false">IF($B84="","",INDEX(BookWorkerType,$B84))</f>
        <v/>
      </c>
      <c r="J84" s="56" t="str">
        <f aca="false">IF($B84="","",INDEX(ChalEffective,$B84))</f>
        <v/>
      </c>
      <c r="K84" s="0" t="str">
        <f aca="false">IF($B84="","",INDEX(ChalStart,$B84))</f>
        <v/>
      </c>
      <c r="L84" s="57" t="str">
        <f aca="false">IF($B84="","",INDEX(ChalInYear,$B84))</f>
        <v/>
      </c>
      <c r="M84" s="57" t="str">
        <f aca="false">IF($B84="","",INDEX(ChalRunRate,$B84))</f>
        <v/>
      </c>
      <c r="N84" s="0" t="str">
        <f aca="false">IF($B84="","",INDEX(BookDriver,$B84))</f>
        <v/>
      </c>
    </row>
    <row r="85" customFormat="false" ht="15" hidden="false" customHeight="false" outlineLevel="0" collapsed="false">
      <c r="A85" s="33" t="n">
        <v>80</v>
      </c>
      <c r="B85" s="0" t="str">
        <f aca="false">IFERROR(MATCH($A85,ChalSeq,0),"")</f>
        <v/>
      </c>
      <c r="C85" s="0" t="str">
        <f aca="false">IF($B85="","",INDEX(ChalGroup,$B85))</f>
        <v/>
      </c>
      <c r="D85" s="0" t="str">
        <f aca="false">IF($B85="","",INDEX(ChalDivision,$B85))</f>
        <v/>
      </c>
      <c r="E85" s="0" t="str">
        <f aca="false">IF($B85="","",INDEX(ChalUnit,$B85))</f>
        <v/>
      </c>
      <c r="F85" s="0" t="str">
        <f aca="false">IF($B85="","",INDEX(ChalTitle,$B85))</f>
        <v/>
      </c>
      <c r="G85" s="0" t="str">
        <f aca="false">IF($B85="","",INDEX(ChalLevel,$B85))</f>
        <v/>
      </c>
      <c r="H85" s="0" t="str">
        <f aca="false">IF($B85="","",INDEX(BookFamily,$B85))</f>
        <v/>
      </c>
      <c r="I85" s="0" t="str">
        <f aca="false">IF($B85="","",INDEX(BookWorkerType,$B85))</f>
        <v/>
      </c>
      <c r="J85" s="56" t="str">
        <f aca="false">IF($B85="","",INDEX(ChalEffective,$B85))</f>
        <v/>
      </c>
      <c r="K85" s="0" t="str">
        <f aca="false">IF($B85="","",INDEX(ChalStart,$B85))</f>
        <v/>
      </c>
      <c r="L85" s="57" t="str">
        <f aca="false">IF($B85="","",INDEX(ChalInYear,$B85))</f>
        <v/>
      </c>
      <c r="M85" s="57" t="str">
        <f aca="false">IF($B85="","",INDEX(ChalRunRate,$B85))</f>
        <v/>
      </c>
      <c r="N85" s="0" t="str">
        <f aca="false">IF($B85="","",INDEX(BookDriver,$B85))</f>
        <v/>
      </c>
    </row>
    <row r="86" customFormat="false" ht="15" hidden="false" customHeight="false" outlineLevel="0" collapsed="false">
      <c r="A86" s="33" t="n">
        <v>81</v>
      </c>
      <c r="B86" s="0" t="str">
        <f aca="false">IFERROR(MATCH($A86,ChalSeq,0),"")</f>
        <v/>
      </c>
      <c r="C86" s="0" t="str">
        <f aca="false">IF($B86="","",INDEX(ChalGroup,$B86))</f>
        <v/>
      </c>
      <c r="D86" s="0" t="str">
        <f aca="false">IF($B86="","",INDEX(ChalDivision,$B86))</f>
        <v/>
      </c>
      <c r="E86" s="0" t="str">
        <f aca="false">IF($B86="","",INDEX(ChalUnit,$B86))</f>
        <v/>
      </c>
      <c r="F86" s="0" t="str">
        <f aca="false">IF($B86="","",INDEX(ChalTitle,$B86))</f>
        <v/>
      </c>
      <c r="G86" s="0" t="str">
        <f aca="false">IF($B86="","",INDEX(ChalLevel,$B86))</f>
        <v/>
      </c>
      <c r="H86" s="0" t="str">
        <f aca="false">IF($B86="","",INDEX(BookFamily,$B86))</f>
        <v/>
      </c>
      <c r="I86" s="0" t="str">
        <f aca="false">IF($B86="","",INDEX(BookWorkerType,$B86))</f>
        <v/>
      </c>
      <c r="J86" s="56" t="str">
        <f aca="false">IF($B86="","",INDEX(ChalEffective,$B86))</f>
        <v/>
      </c>
      <c r="K86" s="0" t="str">
        <f aca="false">IF($B86="","",INDEX(ChalStart,$B86))</f>
        <v/>
      </c>
      <c r="L86" s="57" t="str">
        <f aca="false">IF($B86="","",INDEX(ChalInYear,$B86))</f>
        <v/>
      </c>
      <c r="M86" s="57" t="str">
        <f aca="false">IF($B86="","",INDEX(ChalRunRate,$B86))</f>
        <v/>
      </c>
      <c r="N86" s="0" t="str">
        <f aca="false">IF($B86="","",INDEX(BookDriver,$B86))</f>
        <v/>
      </c>
    </row>
    <row r="87" customFormat="false" ht="15" hidden="false" customHeight="false" outlineLevel="0" collapsed="false">
      <c r="A87" s="33" t="n">
        <v>82</v>
      </c>
      <c r="B87" s="0" t="str">
        <f aca="false">IFERROR(MATCH($A87,ChalSeq,0),"")</f>
        <v/>
      </c>
      <c r="C87" s="0" t="str">
        <f aca="false">IF($B87="","",INDEX(ChalGroup,$B87))</f>
        <v/>
      </c>
      <c r="D87" s="0" t="str">
        <f aca="false">IF($B87="","",INDEX(ChalDivision,$B87))</f>
        <v/>
      </c>
      <c r="E87" s="0" t="str">
        <f aca="false">IF($B87="","",INDEX(ChalUnit,$B87))</f>
        <v/>
      </c>
      <c r="F87" s="0" t="str">
        <f aca="false">IF($B87="","",INDEX(ChalTitle,$B87))</f>
        <v/>
      </c>
      <c r="G87" s="0" t="str">
        <f aca="false">IF($B87="","",INDEX(ChalLevel,$B87))</f>
        <v/>
      </c>
      <c r="H87" s="0" t="str">
        <f aca="false">IF($B87="","",INDEX(BookFamily,$B87))</f>
        <v/>
      </c>
      <c r="I87" s="0" t="str">
        <f aca="false">IF($B87="","",INDEX(BookWorkerType,$B87))</f>
        <v/>
      </c>
      <c r="J87" s="56" t="str">
        <f aca="false">IF($B87="","",INDEX(ChalEffective,$B87))</f>
        <v/>
      </c>
      <c r="K87" s="0" t="str">
        <f aca="false">IF($B87="","",INDEX(ChalStart,$B87))</f>
        <v/>
      </c>
      <c r="L87" s="57" t="str">
        <f aca="false">IF($B87="","",INDEX(ChalInYear,$B87))</f>
        <v/>
      </c>
      <c r="M87" s="57" t="str">
        <f aca="false">IF($B87="","",INDEX(ChalRunRate,$B87))</f>
        <v/>
      </c>
      <c r="N87" s="0" t="str">
        <f aca="false">IF($B87="","",INDEX(BookDriver,$B87))</f>
        <v/>
      </c>
    </row>
    <row r="88" customFormat="false" ht="15" hidden="false" customHeight="false" outlineLevel="0" collapsed="false">
      <c r="A88" s="33" t="n">
        <v>83</v>
      </c>
      <c r="B88" s="0" t="str">
        <f aca="false">IFERROR(MATCH($A88,ChalSeq,0),"")</f>
        <v/>
      </c>
      <c r="C88" s="0" t="str">
        <f aca="false">IF($B88="","",INDEX(ChalGroup,$B88))</f>
        <v/>
      </c>
      <c r="D88" s="0" t="str">
        <f aca="false">IF($B88="","",INDEX(ChalDivision,$B88))</f>
        <v/>
      </c>
      <c r="E88" s="0" t="str">
        <f aca="false">IF($B88="","",INDEX(ChalUnit,$B88))</f>
        <v/>
      </c>
      <c r="F88" s="0" t="str">
        <f aca="false">IF($B88="","",INDEX(ChalTitle,$B88))</f>
        <v/>
      </c>
      <c r="G88" s="0" t="str">
        <f aca="false">IF($B88="","",INDEX(ChalLevel,$B88))</f>
        <v/>
      </c>
      <c r="H88" s="0" t="str">
        <f aca="false">IF($B88="","",INDEX(BookFamily,$B88))</f>
        <v/>
      </c>
      <c r="I88" s="0" t="str">
        <f aca="false">IF($B88="","",INDEX(BookWorkerType,$B88))</f>
        <v/>
      </c>
      <c r="J88" s="56" t="str">
        <f aca="false">IF($B88="","",INDEX(ChalEffective,$B88))</f>
        <v/>
      </c>
      <c r="K88" s="0" t="str">
        <f aca="false">IF($B88="","",INDEX(ChalStart,$B88))</f>
        <v/>
      </c>
      <c r="L88" s="57" t="str">
        <f aca="false">IF($B88="","",INDEX(ChalInYear,$B88))</f>
        <v/>
      </c>
      <c r="M88" s="57" t="str">
        <f aca="false">IF($B88="","",INDEX(ChalRunRate,$B88))</f>
        <v/>
      </c>
      <c r="N88" s="0" t="str">
        <f aca="false">IF($B88="","",INDEX(BookDriver,$B88))</f>
        <v/>
      </c>
    </row>
    <row r="89" customFormat="false" ht="15" hidden="false" customHeight="false" outlineLevel="0" collapsed="false">
      <c r="A89" s="33" t="n">
        <v>84</v>
      </c>
      <c r="B89" s="0" t="str">
        <f aca="false">IFERROR(MATCH($A89,ChalSeq,0),"")</f>
        <v/>
      </c>
      <c r="C89" s="0" t="str">
        <f aca="false">IF($B89="","",INDEX(ChalGroup,$B89))</f>
        <v/>
      </c>
      <c r="D89" s="0" t="str">
        <f aca="false">IF($B89="","",INDEX(ChalDivision,$B89))</f>
        <v/>
      </c>
      <c r="E89" s="0" t="str">
        <f aca="false">IF($B89="","",INDEX(ChalUnit,$B89))</f>
        <v/>
      </c>
      <c r="F89" s="0" t="str">
        <f aca="false">IF($B89="","",INDEX(ChalTitle,$B89))</f>
        <v/>
      </c>
      <c r="G89" s="0" t="str">
        <f aca="false">IF($B89="","",INDEX(ChalLevel,$B89))</f>
        <v/>
      </c>
      <c r="H89" s="0" t="str">
        <f aca="false">IF($B89="","",INDEX(BookFamily,$B89))</f>
        <v/>
      </c>
      <c r="I89" s="0" t="str">
        <f aca="false">IF($B89="","",INDEX(BookWorkerType,$B89))</f>
        <v/>
      </c>
      <c r="J89" s="56" t="str">
        <f aca="false">IF($B89="","",INDEX(ChalEffective,$B89))</f>
        <v/>
      </c>
      <c r="K89" s="0" t="str">
        <f aca="false">IF($B89="","",INDEX(ChalStart,$B89))</f>
        <v/>
      </c>
      <c r="L89" s="57" t="str">
        <f aca="false">IF($B89="","",INDEX(ChalInYear,$B89))</f>
        <v/>
      </c>
      <c r="M89" s="57" t="str">
        <f aca="false">IF($B89="","",INDEX(ChalRunRate,$B89))</f>
        <v/>
      </c>
      <c r="N89" s="0" t="str">
        <f aca="false">IF($B89="","",INDEX(BookDriver,$B89))</f>
        <v/>
      </c>
    </row>
    <row r="90" customFormat="false" ht="15" hidden="false" customHeight="false" outlineLevel="0" collapsed="false">
      <c r="A90" s="33" t="n">
        <v>85</v>
      </c>
      <c r="B90" s="0" t="str">
        <f aca="false">IFERROR(MATCH($A90,ChalSeq,0),"")</f>
        <v/>
      </c>
      <c r="C90" s="0" t="str">
        <f aca="false">IF($B90="","",INDEX(ChalGroup,$B90))</f>
        <v/>
      </c>
      <c r="D90" s="0" t="str">
        <f aca="false">IF($B90="","",INDEX(ChalDivision,$B90))</f>
        <v/>
      </c>
      <c r="E90" s="0" t="str">
        <f aca="false">IF($B90="","",INDEX(ChalUnit,$B90))</f>
        <v/>
      </c>
      <c r="F90" s="0" t="str">
        <f aca="false">IF($B90="","",INDEX(ChalTitle,$B90))</f>
        <v/>
      </c>
      <c r="G90" s="0" t="str">
        <f aca="false">IF($B90="","",INDEX(ChalLevel,$B90))</f>
        <v/>
      </c>
      <c r="H90" s="0" t="str">
        <f aca="false">IF($B90="","",INDEX(BookFamily,$B90))</f>
        <v/>
      </c>
      <c r="I90" s="0" t="str">
        <f aca="false">IF($B90="","",INDEX(BookWorkerType,$B90))</f>
        <v/>
      </c>
      <c r="J90" s="56" t="str">
        <f aca="false">IF($B90="","",INDEX(ChalEffective,$B90))</f>
        <v/>
      </c>
      <c r="K90" s="0" t="str">
        <f aca="false">IF($B90="","",INDEX(ChalStart,$B90))</f>
        <v/>
      </c>
      <c r="L90" s="57" t="str">
        <f aca="false">IF($B90="","",INDEX(ChalInYear,$B90))</f>
        <v/>
      </c>
      <c r="M90" s="57" t="str">
        <f aca="false">IF($B90="","",INDEX(ChalRunRate,$B90))</f>
        <v/>
      </c>
      <c r="N90" s="0" t="str">
        <f aca="false">IF($B90="","",INDEX(BookDriver,$B90))</f>
        <v/>
      </c>
    </row>
    <row r="91" customFormat="false" ht="15" hidden="false" customHeight="false" outlineLevel="0" collapsed="false">
      <c r="A91" s="33" t="n">
        <v>86</v>
      </c>
      <c r="B91" s="0" t="str">
        <f aca="false">IFERROR(MATCH($A91,ChalSeq,0),"")</f>
        <v/>
      </c>
      <c r="C91" s="0" t="str">
        <f aca="false">IF($B91="","",INDEX(ChalGroup,$B91))</f>
        <v/>
      </c>
      <c r="D91" s="0" t="str">
        <f aca="false">IF($B91="","",INDEX(ChalDivision,$B91))</f>
        <v/>
      </c>
      <c r="E91" s="0" t="str">
        <f aca="false">IF($B91="","",INDEX(ChalUnit,$B91))</f>
        <v/>
      </c>
      <c r="F91" s="0" t="str">
        <f aca="false">IF($B91="","",INDEX(ChalTitle,$B91))</f>
        <v/>
      </c>
      <c r="G91" s="0" t="str">
        <f aca="false">IF($B91="","",INDEX(ChalLevel,$B91))</f>
        <v/>
      </c>
      <c r="H91" s="0" t="str">
        <f aca="false">IF($B91="","",INDEX(BookFamily,$B91))</f>
        <v/>
      </c>
      <c r="I91" s="0" t="str">
        <f aca="false">IF($B91="","",INDEX(BookWorkerType,$B91))</f>
        <v/>
      </c>
      <c r="J91" s="56" t="str">
        <f aca="false">IF($B91="","",INDEX(ChalEffective,$B91))</f>
        <v/>
      </c>
      <c r="K91" s="0" t="str">
        <f aca="false">IF($B91="","",INDEX(ChalStart,$B91))</f>
        <v/>
      </c>
      <c r="L91" s="57" t="str">
        <f aca="false">IF($B91="","",INDEX(ChalInYear,$B91))</f>
        <v/>
      </c>
      <c r="M91" s="57" t="str">
        <f aca="false">IF($B91="","",INDEX(ChalRunRate,$B91))</f>
        <v/>
      </c>
      <c r="N91" s="0" t="str">
        <f aca="false">IF($B91="","",INDEX(BookDriver,$B91))</f>
        <v/>
      </c>
    </row>
    <row r="92" customFormat="false" ht="15" hidden="false" customHeight="false" outlineLevel="0" collapsed="false">
      <c r="A92" s="33" t="n">
        <v>87</v>
      </c>
      <c r="B92" s="0" t="str">
        <f aca="false">IFERROR(MATCH($A92,ChalSeq,0),"")</f>
        <v/>
      </c>
      <c r="C92" s="0" t="str">
        <f aca="false">IF($B92="","",INDEX(ChalGroup,$B92))</f>
        <v/>
      </c>
      <c r="D92" s="0" t="str">
        <f aca="false">IF($B92="","",INDEX(ChalDivision,$B92))</f>
        <v/>
      </c>
      <c r="E92" s="0" t="str">
        <f aca="false">IF($B92="","",INDEX(ChalUnit,$B92))</f>
        <v/>
      </c>
      <c r="F92" s="0" t="str">
        <f aca="false">IF($B92="","",INDEX(ChalTitle,$B92))</f>
        <v/>
      </c>
      <c r="G92" s="0" t="str">
        <f aca="false">IF($B92="","",INDEX(ChalLevel,$B92))</f>
        <v/>
      </c>
      <c r="H92" s="0" t="str">
        <f aca="false">IF($B92="","",INDEX(BookFamily,$B92))</f>
        <v/>
      </c>
      <c r="I92" s="0" t="str">
        <f aca="false">IF($B92="","",INDEX(BookWorkerType,$B92))</f>
        <v/>
      </c>
      <c r="J92" s="56" t="str">
        <f aca="false">IF($B92="","",INDEX(ChalEffective,$B92))</f>
        <v/>
      </c>
      <c r="K92" s="0" t="str">
        <f aca="false">IF($B92="","",INDEX(ChalStart,$B92))</f>
        <v/>
      </c>
      <c r="L92" s="57" t="str">
        <f aca="false">IF($B92="","",INDEX(ChalInYear,$B92))</f>
        <v/>
      </c>
      <c r="M92" s="57" t="str">
        <f aca="false">IF($B92="","",INDEX(ChalRunRate,$B92))</f>
        <v/>
      </c>
      <c r="N92" s="0" t="str">
        <f aca="false">IF($B92="","",INDEX(BookDriver,$B92))</f>
        <v/>
      </c>
    </row>
    <row r="93" customFormat="false" ht="15" hidden="false" customHeight="false" outlineLevel="0" collapsed="false">
      <c r="A93" s="33" t="n">
        <v>88</v>
      </c>
      <c r="B93" s="0" t="str">
        <f aca="false">IFERROR(MATCH($A93,ChalSeq,0),"")</f>
        <v/>
      </c>
      <c r="C93" s="0" t="str">
        <f aca="false">IF($B93="","",INDEX(ChalGroup,$B93))</f>
        <v/>
      </c>
      <c r="D93" s="0" t="str">
        <f aca="false">IF($B93="","",INDEX(ChalDivision,$B93))</f>
        <v/>
      </c>
      <c r="E93" s="0" t="str">
        <f aca="false">IF($B93="","",INDEX(ChalUnit,$B93))</f>
        <v/>
      </c>
      <c r="F93" s="0" t="str">
        <f aca="false">IF($B93="","",INDEX(ChalTitle,$B93))</f>
        <v/>
      </c>
      <c r="G93" s="0" t="str">
        <f aca="false">IF($B93="","",INDEX(ChalLevel,$B93))</f>
        <v/>
      </c>
      <c r="H93" s="0" t="str">
        <f aca="false">IF($B93="","",INDEX(BookFamily,$B93))</f>
        <v/>
      </c>
      <c r="I93" s="0" t="str">
        <f aca="false">IF($B93="","",INDEX(BookWorkerType,$B93))</f>
        <v/>
      </c>
      <c r="J93" s="56" t="str">
        <f aca="false">IF($B93="","",INDEX(ChalEffective,$B93))</f>
        <v/>
      </c>
      <c r="K93" s="0" t="str">
        <f aca="false">IF($B93="","",INDEX(ChalStart,$B93))</f>
        <v/>
      </c>
      <c r="L93" s="57" t="str">
        <f aca="false">IF($B93="","",INDEX(ChalInYear,$B93))</f>
        <v/>
      </c>
      <c r="M93" s="57" t="str">
        <f aca="false">IF($B93="","",INDEX(ChalRunRate,$B93))</f>
        <v/>
      </c>
      <c r="N93" s="0" t="str">
        <f aca="false">IF($B93="","",INDEX(BookDriver,$B93))</f>
        <v/>
      </c>
    </row>
    <row r="94" customFormat="false" ht="15" hidden="false" customHeight="false" outlineLevel="0" collapsed="false">
      <c r="A94" s="33" t="n">
        <v>89</v>
      </c>
      <c r="B94" s="0" t="str">
        <f aca="false">IFERROR(MATCH($A94,ChalSeq,0),"")</f>
        <v/>
      </c>
      <c r="C94" s="0" t="str">
        <f aca="false">IF($B94="","",INDEX(ChalGroup,$B94))</f>
        <v/>
      </c>
      <c r="D94" s="0" t="str">
        <f aca="false">IF($B94="","",INDEX(ChalDivision,$B94))</f>
        <v/>
      </c>
      <c r="E94" s="0" t="str">
        <f aca="false">IF($B94="","",INDEX(ChalUnit,$B94))</f>
        <v/>
      </c>
      <c r="F94" s="0" t="str">
        <f aca="false">IF($B94="","",INDEX(ChalTitle,$B94))</f>
        <v/>
      </c>
      <c r="G94" s="0" t="str">
        <f aca="false">IF($B94="","",INDEX(ChalLevel,$B94))</f>
        <v/>
      </c>
      <c r="H94" s="0" t="str">
        <f aca="false">IF($B94="","",INDEX(BookFamily,$B94))</f>
        <v/>
      </c>
      <c r="I94" s="0" t="str">
        <f aca="false">IF($B94="","",INDEX(BookWorkerType,$B94))</f>
        <v/>
      </c>
      <c r="J94" s="56" t="str">
        <f aca="false">IF($B94="","",INDEX(ChalEffective,$B94))</f>
        <v/>
      </c>
      <c r="K94" s="0" t="str">
        <f aca="false">IF($B94="","",INDEX(ChalStart,$B94))</f>
        <v/>
      </c>
      <c r="L94" s="57" t="str">
        <f aca="false">IF($B94="","",INDEX(ChalInYear,$B94))</f>
        <v/>
      </c>
      <c r="M94" s="57" t="str">
        <f aca="false">IF($B94="","",INDEX(ChalRunRate,$B94))</f>
        <v/>
      </c>
      <c r="N94" s="0" t="str">
        <f aca="false">IF($B94="","",INDEX(BookDriver,$B94))</f>
        <v/>
      </c>
    </row>
    <row r="95" customFormat="false" ht="15" hidden="false" customHeight="false" outlineLevel="0" collapsed="false">
      <c r="A95" s="33" t="n">
        <v>90</v>
      </c>
      <c r="B95" s="0" t="str">
        <f aca="false">IFERROR(MATCH($A95,ChalSeq,0),"")</f>
        <v/>
      </c>
      <c r="C95" s="0" t="str">
        <f aca="false">IF($B95="","",INDEX(ChalGroup,$B95))</f>
        <v/>
      </c>
      <c r="D95" s="0" t="str">
        <f aca="false">IF($B95="","",INDEX(ChalDivision,$B95))</f>
        <v/>
      </c>
      <c r="E95" s="0" t="str">
        <f aca="false">IF($B95="","",INDEX(ChalUnit,$B95))</f>
        <v/>
      </c>
      <c r="F95" s="0" t="str">
        <f aca="false">IF($B95="","",INDEX(ChalTitle,$B95))</f>
        <v/>
      </c>
      <c r="G95" s="0" t="str">
        <f aca="false">IF($B95="","",INDEX(ChalLevel,$B95))</f>
        <v/>
      </c>
      <c r="H95" s="0" t="str">
        <f aca="false">IF($B95="","",INDEX(BookFamily,$B95))</f>
        <v/>
      </c>
      <c r="I95" s="0" t="str">
        <f aca="false">IF($B95="","",INDEX(BookWorkerType,$B95))</f>
        <v/>
      </c>
      <c r="J95" s="56" t="str">
        <f aca="false">IF($B95="","",INDEX(ChalEffective,$B95))</f>
        <v/>
      </c>
      <c r="K95" s="0" t="str">
        <f aca="false">IF($B95="","",INDEX(ChalStart,$B95))</f>
        <v/>
      </c>
      <c r="L95" s="57" t="str">
        <f aca="false">IF($B95="","",INDEX(ChalInYear,$B95))</f>
        <v/>
      </c>
      <c r="M95" s="57" t="str">
        <f aca="false">IF($B95="","",INDEX(ChalRunRate,$B95))</f>
        <v/>
      </c>
      <c r="N95" s="0" t="str">
        <f aca="false">IF($B95="","",INDEX(BookDriver,$B95))</f>
        <v/>
      </c>
    </row>
    <row r="96" customFormat="false" ht="15" hidden="false" customHeight="false" outlineLevel="0" collapsed="false">
      <c r="A96" s="33" t="n">
        <v>91</v>
      </c>
      <c r="B96" s="0" t="str">
        <f aca="false">IFERROR(MATCH($A96,ChalSeq,0),"")</f>
        <v/>
      </c>
      <c r="C96" s="0" t="str">
        <f aca="false">IF($B96="","",INDEX(ChalGroup,$B96))</f>
        <v/>
      </c>
      <c r="D96" s="0" t="str">
        <f aca="false">IF($B96="","",INDEX(ChalDivision,$B96))</f>
        <v/>
      </c>
      <c r="E96" s="0" t="str">
        <f aca="false">IF($B96="","",INDEX(ChalUnit,$B96))</f>
        <v/>
      </c>
      <c r="F96" s="0" t="str">
        <f aca="false">IF($B96="","",INDEX(ChalTitle,$B96))</f>
        <v/>
      </c>
      <c r="G96" s="0" t="str">
        <f aca="false">IF($B96="","",INDEX(ChalLevel,$B96))</f>
        <v/>
      </c>
      <c r="H96" s="0" t="str">
        <f aca="false">IF($B96="","",INDEX(BookFamily,$B96))</f>
        <v/>
      </c>
      <c r="I96" s="0" t="str">
        <f aca="false">IF($B96="","",INDEX(BookWorkerType,$B96))</f>
        <v/>
      </c>
      <c r="J96" s="56" t="str">
        <f aca="false">IF($B96="","",INDEX(ChalEffective,$B96))</f>
        <v/>
      </c>
      <c r="K96" s="0" t="str">
        <f aca="false">IF($B96="","",INDEX(ChalStart,$B96))</f>
        <v/>
      </c>
      <c r="L96" s="57" t="str">
        <f aca="false">IF($B96="","",INDEX(ChalInYear,$B96))</f>
        <v/>
      </c>
      <c r="M96" s="57" t="str">
        <f aca="false">IF($B96="","",INDEX(ChalRunRate,$B96))</f>
        <v/>
      </c>
      <c r="N96" s="0" t="str">
        <f aca="false">IF($B96="","",INDEX(BookDriver,$B96))</f>
        <v/>
      </c>
    </row>
    <row r="97" customFormat="false" ht="15" hidden="false" customHeight="false" outlineLevel="0" collapsed="false">
      <c r="A97" s="33" t="n">
        <v>92</v>
      </c>
      <c r="B97" s="0" t="str">
        <f aca="false">IFERROR(MATCH($A97,ChalSeq,0),"")</f>
        <v/>
      </c>
      <c r="C97" s="0" t="str">
        <f aca="false">IF($B97="","",INDEX(ChalGroup,$B97))</f>
        <v/>
      </c>
      <c r="D97" s="0" t="str">
        <f aca="false">IF($B97="","",INDEX(ChalDivision,$B97))</f>
        <v/>
      </c>
      <c r="E97" s="0" t="str">
        <f aca="false">IF($B97="","",INDEX(ChalUnit,$B97))</f>
        <v/>
      </c>
      <c r="F97" s="0" t="str">
        <f aca="false">IF($B97="","",INDEX(ChalTitle,$B97))</f>
        <v/>
      </c>
      <c r="G97" s="0" t="str">
        <f aca="false">IF($B97="","",INDEX(ChalLevel,$B97))</f>
        <v/>
      </c>
      <c r="H97" s="0" t="str">
        <f aca="false">IF($B97="","",INDEX(BookFamily,$B97))</f>
        <v/>
      </c>
      <c r="I97" s="0" t="str">
        <f aca="false">IF($B97="","",INDEX(BookWorkerType,$B97))</f>
        <v/>
      </c>
      <c r="J97" s="56" t="str">
        <f aca="false">IF($B97="","",INDEX(ChalEffective,$B97))</f>
        <v/>
      </c>
      <c r="K97" s="0" t="str">
        <f aca="false">IF($B97="","",INDEX(ChalStart,$B97))</f>
        <v/>
      </c>
      <c r="L97" s="57" t="str">
        <f aca="false">IF($B97="","",INDEX(ChalInYear,$B97))</f>
        <v/>
      </c>
      <c r="M97" s="57" t="str">
        <f aca="false">IF($B97="","",INDEX(ChalRunRate,$B97))</f>
        <v/>
      </c>
      <c r="N97" s="0" t="str">
        <f aca="false">IF($B97="","",INDEX(BookDriver,$B97))</f>
        <v/>
      </c>
    </row>
    <row r="98" customFormat="false" ht="15" hidden="false" customHeight="false" outlineLevel="0" collapsed="false">
      <c r="A98" s="33" t="n">
        <v>93</v>
      </c>
      <c r="B98" s="0" t="str">
        <f aca="false">IFERROR(MATCH($A98,ChalSeq,0),"")</f>
        <v/>
      </c>
      <c r="C98" s="0" t="str">
        <f aca="false">IF($B98="","",INDEX(ChalGroup,$B98))</f>
        <v/>
      </c>
      <c r="D98" s="0" t="str">
        <f aca="false">IF($B98="","",INDEX(ChalDivision,$B98))</f>
        <v/>
      </c>
      <c r="E98" s="0" t="str">
        <f aca="false">IF($B98="","",INDEX(ChalUnit,$B98))</f>
        <v/>
      </c>
      <c r="F98" s="0" t="str">
        <f aca="false">IF($B98="","",INDEX(ChalTitle,$B98))</f>
        <v/>
      </c>
      <c r="G98" s="0" t="str">
        <f aca="false">IF($B98="","",INDEX(ChalLevel,$B98))</f>
        <v/>
      </c>
      <c r="H98" s="0" t="str">
        <f aca="false">IF($B98="","",INDEX(BookFamily,$B98))</f>
        <v/>
      </c>
      <c r="I98" s="0" t="str">
        <f aca="false">IF($B98="","",INDEX(BookWorkerType,$B98))</f>
        <v/>
      </c>
      <c r="J98" s="56" t="str">
        <f aca="false">IF($B98="","",INDEX(ChalEffective,$B98))</f>
        <v/>
      </c>
      <c r="K98" s="0" t="str">
        <f aca="false">IF($B98="","",INDEX(ChalStart,$B98))</f>
        <v/>
      </c>
      <c r="L98" s="57" t="str">
        <f aca="false">IF($B98="","",INDEX(ChalInYear,$B98))</f>
        <v/>
      </c>
      <c r="M98" s="57" t="str">
        <f aca="false">IF($B98="","",INDEX(ChalRunRate,$B98))</f>
        <v/>
      </c>
      <c r="N98" s="0" t="str">
        <f aca="false">IF($B98="","",INDEX(BookDriver,$B98))</f>
        <v/>
      </c>
    </row>
    <row r="99" customFormat="false" ht="15" hidden="false" customHeight="false" outlineLevel="0" collapsed="false">
      <c r="A99" s="33" t="n">
        <v>94</v>
      </c>
      <c r="B99" s="0" t="str">
        <f aca="false">IFERROR(MATCH($A99,ChalSeq,0),"")</f>
        <v/>
      </c>
      <c r="C99" s="0" t="str">
        <f aca="false">IF($B99="","",INDEX(ChalGroup,$B99))</f>
        <v/>
      </c>
      <c r="D99" s="0" t="str">
        <f aca="false">IF($B99="","",INDEX(ChalDivision,$B99))</f>
        <v/>
      </c>
      <c r="E99" s="0" t="str">
        <f aca="false">IF($B99="","",INDEX(ChalUnit,$B99))</f>
        <v/>
      </c>
      <c r="F99" s="0" t="str">
        <f aca="false">IF($B99="","",INDEX(ChalTitle,$B99))</f>
        <v/>
      </c>
      <c r="G99" s="0" t="str">
        <f aca="false">IF($B99="","",INDEX(ChalLevel,$B99))</f>
        <v/>
      </c>
      <c r="H99" s="0" t="str">
        <f aca="false">IF($B99="","",INDEX(BookFamily,$B99))</f>
        <v/>
      </c>
      <c r="I99" s="0" t="str">
        <f aca="false">IF($B99="","",INDEX(BookWorkerType,$B99))</f>
        <v/>
      </c>
      <c r="J99" s="56" t="str">
        <f aca="false">IF($B99="","",INDEX(ChalEffective,$B99))</f>
        <v/>
      </c>
      <c r="K99" s="0" t="str">
        <f aca="false">IF($B99="","",INDEX(ChalStart,$B99))</f>
        <v/>
      </c>
      <c r="L99" s="57" t="str">
        <f aca="false">IF($B99="","",INDEX(ChalInYear,$B99))</f>
        <v/>
      </c>
      <c r="M99" s="57" t="str">
        <f aca="false">IF($B99="","",INDEX(ChalRunRate,$B99))</f>
        <v/>
      </c>
      <c r="N99" s="0" t="str">
        <f aca="false">IF($B99="","",INDEX(BookDriver,$B99))</f>
        <v/>
      </c>
    </row>
    <row r="100" customFormat="false" ht="15" hidden="false" customHeight="false" outlineLevel="0" collapsed="false">
      <c r="A100" s="33" t="n">
        <v>95</v>
      </c>
      <c r="B100" s="0" t="str">
        <f aca="false">IFERROR(MATCH($A100,ChalSeq,0),"")</f>
        <v/>
      </c>
      <c r="C100" s="0" t="str">
        <f aca="false">IF($B100="","",INDEX(ChalGroup,$B100))</f>
        <v/>
      </c>
      <c r="D100" s="0" t="str">
        <f aca="false">IF($B100="","",INDEX(ChalDivision,$B100))</f>
        <v/>
      </c>
      <c r="E100" s="0" t="str">
        <f aca="false">IF($B100="","",INDEX(ChalUnit,$B100))</f>
        <v/>
      </c>
      <c r="F100" s="0" t="str">
        <f aca="false">IF($B100="","",INDEX(ChalTitle,$B100))</f>
        <v/>
      </c>
      <c r="G100" s="0" t="str">
        <f aca="false">IF($B100="","",INDEX(ChalLevel,$B100))</f>
        <v/>
      </c>
      <c r="H100" s="0" t="str">
        <f aca="false">IF($B100="","",INDEX(BookFamily,$B100))</f>
        <v/>
      </c>
      <c r="I100" s="0" t="str">
        <f aca="false">IF($B100="","",INDEX(BookWorkerType,$B100))</f>
        <v/>
      </c>
      <c r="J100" s="56" t="str">
        <f aca="false">IF($B100="","",INDEX(ChalEffective,$B100))</f>
        <v/>
      </c>
      <c r="K100" s="0" t="str">
        <f aca="false">IF($B100="","",INDEX(ChalStart,$B100))</f>
        <v/>
      </c>
      <c r="L100" s="57" t="str">
        <f aca="false">IF($B100="","",INDEX(ChalInYear,$B100))</f>
        <v/>
      </c>
      <c r="M100" s="57" t="str">
        <f aca="false">IF($B100="","",INDEX(ChalRunRate,$B100))</f>
        <v/>
      </c>
      <c r="N100" s="0" t="str">
        <f aca="false">IF($B100="","",INDEX(BookDriver,$B100))</f>
        <v/>
      </c>
    </row>
    <row r="101" customFormat="false" ht="15" hidden="false" customHeight="false" outlineLevel="0" collapsed="false">
      <c r="A101" s="33" t="n">
        <v>96</v>
      </c>
      <c r="B101" s="0" t="str">
        <f aca="false">IFERROR(MATCH($A101,ChalSeq,0),"")</f>
        <v/>
      </c>
      <c r="C101" s="0" t="str">
        <f aca="false">IF($B101="","",INDEX(ChalGroup,$B101))</f>
        <v/>
      </c>
      <c r="D101" s="0" t="str">
        <f aca="false">IF($B101="","",INDEX(ChalDivision,$B101))</f>
        <v/>
      </c>
      <c r="E101" s="0" t="str">
        <f aca="false">IF($B101="","",INDEX(ChalUnit,$B101))</f>
        <v/>
      </c>
      <c r="F101" s="0" t="str">
        <f aca="false">IF($B101="","",INDEX(ChalTitle,$B101))</f>
        <v/>
      </c>
      <c r="G101" s="0" t="str">
        <f aca="false">IF($B101="","",INDEX(ChalLevel,$B101))</f>
        <v/>
      </c>
      <c r="H101" s="0" t="str">
        <f aca="false">IF($B101="","",INDEX(BookFamily,$B101))</f>
        <v/>
      </c>
      <c r="I101" s="0" t="str">
        <f aca="false">IF($B101="","",INDEX(BookWorkerType,$B101))</f>
        <v/>
      </c>
      <c r="J101" s="56" t="str">
        <f aca="false">IF($B101="","",INDEX(ChalEffective,$B101))</f>
        <v/>
      </c>
      <c r="K101" s="0" t="str">
        <f aca="false">IF($B101="","",INDEX(ChalStart,$B101))</f>
        <v/>
      </c>
      <c r="L101" s="57" t="str">
        <f aca="false">IF($B101="","",INDEX(ChalInYear,$B101))</f>
        <v/>
      </c>
      <c r="M101" s="57" t="str">
        <f aca="false">IF($B101="","",INDEX(ChalRunRate,$B101))</f>
        <v/>
      </c>
      <c r="N101" s="0" t="str">
        <f aca="false">IF($B101="","",INDEX(BookDriver,$B101))</f>
        <v/>
      </c>
    </row>
    <row r="102" customFormat="false" ht="15" hidden="false" customHeight="false" outlineLevel="0" collapsed="false">
      <c r="A102" s="33" t="n">
        <v>97</v>
      </c>
      <c r="B102" s="0" t="str">
        <f aca="false">IFERROR(MATCH($A102,ChalSeq,0),"")</f>
        <v/>
      </c>
      <c r="C102" s="0" t="str">
        <f aca="false">IF($B102="","",INDEX(ChalGroup,$B102))</f>
        <v/>
      </c>
      <c r="D102" s="0" t="str">
        <f aca="false">IF($B102="","",INDEX(ChalDivision,$B102))</f>
        <v/>
      </c>
      <c r="E102" s="0" t="str">
        <f aca="false">IF($B102="","",INDEX(ChalUnit,$B102))</f>
        <v/>
      </c>
      <c r="F102" s="0" t="str">
        <f aca="false">IF($B102="","",INDEX(ChalTitle,$B102))</f>
        <v/>
      </c>
      <c r="G102" s="0" t="str">
        <f aca="false">IF($B102="","",INDEX(ChalLevel,$B102))</f>
        <v/>
      </c>
      <c r="H102" s="0" t="str">
        <f aca="false">IF($B102="","",INDEX(BookFamily,$B102))</f>
        <v/>
      </c>
      <c r="I102" s="0" t="str">
        <f aca="false">IF($B102="","",INDEX(BookWorkerType,$B102))</f>
        <v/>
      </c>
      <c r="J102" s="56" t="str">
        <f aca="false">IF($B102="","",INDEX(ChalEffective,$B102))</f>
        <v/>
      </c>
      <c r="K102" s="0" t="str">
        <f aca="false">IF($B102="","",INDEX(ChalStart,$B102))</f>
        <v/>
      </c>
      <c r="L102" s="57" t="str">
        <f aca="false">IF($B102="","",INDEX(ChalInYear,$B102))</f>
        <v/>
      </c>
      <c r="M102" s="57" t="str">
        <f aca="false">IF($B102="","",INDEX(ChalRunRate,$B102))</f>
        <v/>
      </c>
      <c r="N102" s="0" t="str">
        <f aca="false">IF($B102="","",INDEX(BookDriver,$B102))</f>
        <v/>
      </c>
    </row>
    <row r="103" customFormat="false" ht="15" hidden="false" customHeight="false" outlineLevel="0" collapsed="false">
      <c r="A103" s="33" t="n">
        <v>98</v>
      </c>
      <c r="B103" s="0" t="str">
        <f aca="false">IFERROR(MATCH($A103,ChalSeq,0),"")</f>
        <v/>
      </c>
      <c r="C103" s="0" t="str">
        <f aca="false">IF($B103="","",INDEX(ChalGroup,$B103))</f>
        <v/>
      </c>
      <c r="D103" s="0" t="str">
        <f aca="false">IF($B103="","",INDEX(ChalDivision,$B103))</f>
        <v/>
      </c>
      <c r="E103" s="0" t="str">
        <f aca="false">IF($B103="","",INDEX(ChalUnit,$B103))</f>
        <v/>
      </c>
      <c r="F103" s="0" t="str">
        <f aca="false">IF($B103="","",INDEX(ChalTitle,$B103))</f>
        <v/>
      </c>
      <c r="G103" s="0" t="str">
        <f aca="false">IF($B103="","",INDEX(ChalLevel,$B103))</f>
        <v/>
      </c>
      <c r="H103" s="0" t="str">
        <f aca="false">IF($B103="","",INDEX(BookFamily,$B103))</f>
        <v/>
      </c>
      <c r="I103" s="0" t="str">
        <f aca="false">IF($B103="","",INDEX(BookWorkerType,$B103))</f>
        <v/>
      </c>
      <c r="J103" s="56" t="str">
        <f aca="false">IF($B103="","",INDEX(ChalEffective,$B103))</f>
        <v/>
      </c>
      <c r="K103" s="0" t="str">
        <f aca="false">IF($B103="","",INDEX(ChalStart,$B103))</f>
        <v/>
      </c>
      <c r="L103" s="57" t="str">
        <f aca="false">IF($B103="","",INDEX(ChalInYear,$B103))</f>
        <v/>
      </c>
      <c r="M103" s="57" t="str">
        <f aca="false">IF($B103="","",INDEX(ChalRunRate,$B103))</f>
        <v/>
      </c>
      <c r="N103" s="0" t="str">
        <f aca="false">IF($B103="","",INDEX(BookDriver,$B103))</f>
        <v/>
      </c>
    </row>
    <row r="104" customFormat="false" ht="15" hidden="false" customHeight="false" outlineLevel="0" collapsed="false">
      <c r="A104" s="33" t="n">
        <v>99</v>
      </c>
      <c r="B104" s="0" t="str">
        <f aca="false">IFERROR(MATCH($A104,ChalSeq,0),"")</f>
        <v/>
      </c>
      <c r="C104" s="0" t="str">
        <f aca="false">IF($B104="","",INDEX(ChalGroup,$B104))</f>
        <v/>
      </c>
      <c r="D104" s="0" t="str">
        <f aca="false">IF($B104="","",INDEX(ChalDivision,$B104))</f>
        <v/>
      </c>
      <c r="E104" s="0" t="str">
        <f aca="false">IF($B104="","",INDEX(ChalUnit,$B104))</f>
        <v/>
      </c>
      <c r="F104" s="0" t="str">
        <f aca="false">IF($B104="","",INDEX(ChalTitle,$B104))</f>
        <v/>
      </c>
      <c r="G104" s="0" t="str">
        <f aca="false">IF($B104="","",INDEX(ChalLevel,$B104))</f>
        <v/>
      </c>
      <c r="H104" s="0" t="str">
        <f aca="false">IF($B104="","",INDEX(BookFamily,$B104))</f>
        <v/>
      </c>
      <c r="I104" s="0" t="str">
        <f aca="false">IF($B104="","",INDEX(BookWorkerType,$B104))</f>
        <v/>
      </c>
      <c r="J104" s="56" t="str">
        <f aca="false">IF($B104="","",INDEX(ChalEffective,$B104))</f>
        <v/>
      </c>
      <c r="K104" s="0" t="str">
        <f aca="false">IF($B104="","",INDEX(ChalStart,$B104))</f>
        <v/>
      </c>
      <c r="L104" s="57" t="str">
        <f aca="false">IF($B104="","",INDEX(ChalInYear,$B104))</f>
        <v/>
      </c>
      <c r="M104" s="57" t="str">
        <f aca="false">IF($B104="","",INDEX(ChalRunRate,$B104))</f>
        <v/>
      </c>
      <c r="N104" s="0" t="str">
        <f aca="false">IF($B104="","",INDEX(BookDriver,$B104))</f>
        <v/>
      </c>
    </row>
    <row r="105" customFormat="false" ht="15" hidden="false" customHeight="false" outlineLevel="0" collapsed="false">
      <c r="A105" s="33" t="n">
        <v>100</v>
      </c>
      <c r="B105" s="0" t="str">
        <f aca="false">IFERROR(MATCH($A105,ChalSeq,0),"")</f>
        <v/>
      </c>
      <c r="C105" s="0" t="str">
        <f aca="false">IF($B105="","",INDEX(ChalGroup,$B105))</f>
        <v/>
      </c>
      <c r="D105" s="0" t="str">
        <f aca="false">IF($B105="","",INDEX(ChalDivision,$B105))</f>
        <v/>
      </c>
      <c r="E105" s="0" t="str">
        <f aca="false">IF($B105="","",INDEX(ChalUnit,$B105))</f>
        <v/>
      </c>
      <c r="F105" s="0" t="str">
        <f aca="false">IF($B105="","",INDEX(ChalTitle,$B105))</f>
        <v/>
      </c>
      <c r="G105" s="0" t="str">
        <f aca="false">IF($B105="","",INDEX(ChalLevel,$B105))</f>
        <v/>
      </c>
      <c r="H105" s="0" t="str">
        <f aca="false">IF($B105="","",INDEX(BookFamily,$B105))</f>
        <v/>
      </c>
      <c r="I105" s="0" t="str">
        <f aca="false">IF($B105="","",INDEX(BookWorkerType,$B105))</f>
        <v/>
      </c>
      <c r="J105" s="56" t="str">
        <f aca="false">IF($B105="","",INDEX(ChalEffective,$B105))</f>
        <v/>
      </c>
      <c r="K105" s="0" t="str">
        <f aca="false">IF($B105="","",INDEX(ChalStart,$B105))</f>
        <v/>
      </c>
      <c r="L105" s="57" t="str">
        <f aca="false">IF($B105="","",INDEX(ChalInYear,$B105))</f>
        <v/>
      </c>
      <c r="M105" s="57" t="str">
        <f aca="false">IF($B105="","",INDEX(ChalRunRate,$B105))</f>
        <v/>
      </c>
      <c r="N105" s="0" t="str">
        <f aca="false">IF($B105="","",INDEX(BookDriver,$B105))</f>
        <v/>
      </c>
    </row>
    <row r="106" customFormat="false" ht="15" hidden="false" customHeight="false" outlineLevel="0" collapsed="false">
      <c r="A106" s="33" t="n">
        <v>101</v>
      </c>
      <c r="B106" s="0" t="str">
        <f aca="false">IFERROR(MATCH($A106,ChalSeq,0),"")</f>
        <v/>
      </c>
      <c r="C106" s="0" t="str">
        <f aca="false">IF($B106="","",INDEX(ChalGroup,$B106))</f>
        <v/>
      </c>
      <c r="D106" s="0" t="str">
        <f aca="false">IF($B106="","",INDEX(ChalDivision,$B106))</f>
        <v/>
      </c>
      <c r="E106" s="0" t="str">
        <f aca="false">IF($B106="","",INDEX(ChalUnit,$B106))</f>
        <v/>
      </c>
      <c r="F106" s="0" t="str">
        <f aca="false">IF($B106="","",INDEX(ChalTitle,$B106))</f>
        <v/>
      </c>
      <c r="G106" s="0" t="str">
        <f aca="false">IF($B106="","",INDEX(ChalLevel,$B106))</f>
        <v/>
      </c>
      <c r="H106" s="0" t="str">
        <f aca="false">IF($B106="","",INDEX(BookFamily,$B106))</f>
        <v/>
      </c>
      <c r="I106" s="0" t="str">
        <f aca="false">IF($B106="","",INDEX(BookWorkerType,$B106))</f>
        <v/>
      </c>
      <c r="J106" s="56" t="str">
        <f aca="false">IF($B106="","",INDEX(ChalEffective,$B106))</f>
        <v/>
      </c>
      <c r="K106" s="0" t="str">
        <f aca="false">IF($B106="","",INDEX(ChalStart,$B106))</f>
        <v/>
      </c>
      <c r="L106" s="57" t="str">
        <f aca="false">IF($B106="","",INDEX(ChalInYear,$B106))</f>
        <v/>
      </c>
      <c r="M106" s="57" t="str">
        <f aca="false">IF($B106="","",INDEX(ChalRunRate,$B106))</f>
        <v/>
      </c>
      <c r="N106" s="0" t="str">
        <f aca="false">IF($B106="","",INDEX(BookDriver,$B106))</f>
        <v/>
      </c>
    </row>
    <row r="107" customFormat="false" ht="15" hidden="false" customHeight="false" outlineLevel="0" collapsed="false">
      <c r="A107" s="33" t="n">
        <v>102</v>
      </c>
      <c r="B107" s="0" t="str">
        <f aca="false">IFERROR(MATCH($A107,ChalSeq,0),"")</f>
        <v/>
      </c>
      <c r="C107" s="0" t="str">
        <f aca="false">IF($B107="","",INDEX(ChalGroup,$B107))</f>
        <v/>
      </c>
      <c r="D107" s="0" t="str">
        <f aca="false">IF($B107="","",INDEX(ChalDivision,$B107))</f>
        <v/>
      </c>
      <c r="E107" s="0" t="str">
        <f aca="false">IF($B107="","",INDEX(ChalUnit,$B107))</f>
        <v/>
      </c>
      <c r="F107" s="0" t="str">
        <f aca="false">IF($B107="","",INDEX(ChalTitle,$B107))</f>
        <v/>
      </c>
      <c r="G107" s="0" t="str">
        <f aca="false">IF($B107="","",INDEX(ChalLevel,$B107))</f>
        <v/>
      </c>
      <c r="H107" s="0" t="str">
        <f aca="false">IF($B107="","",INDEX(BookFamily,$B107))</f>
        <v/>
      </c>
      <c r="I107" s="0" t="str">
        <f aca="false">IF($B107="","",INDEX(BookWorkerType,$B107))</f>
        <v/>
      </c>
      <c r="J107" s="56" t="str">
        <f aca="false">IF($B107="","",INDEX(ChalEffective,$B107))</f>
        <v/>
      </c>
      <c r="K107" s="0" t="str">
        <f aca="false">IF($B107="","",INDEX(ChalStart,$B107))</f>
        <v/>
      </c>
      <c r="L107" s="57" t="str">
        <f aca="false">IF($B107="","",INDEX(ChalInYear,$B107))</f>
        <v/>
      </c>
      <c r="M107" s="57" t="str">
        <f aca="false">IF($B107="","",INDEX(ChalRunRate,$B107))</f>
        <v/>
      </c>
      <c r="N107" s="0" t="str">
        <f aca="false">IF($B107="","",INDEX(BookDriver,$B107))</f>
        <v/>
      </c>
    </row>
    <row r="108" customFormat="false" ht="15" hidden="false" customHeight="false" outlineLevel="0" collapsed="false">
      <c r="A108" s="33" t="n">
        <v>103</v>
      </c>
      <c r="B108" s="0" t="str">
        <f aca="false">IFERROR(MATCH($A108,ChalSeq,0),"")</f>
        <v/>
      </c>
      <c r="C108" s="0" t="str">
        <f aca="false">IF($B108="","",INDEX(ChalGroup,$B108))</f>
        <v/>
      </c>
      <c r="D108" s="0" t="str">
        <f aca="false">IF($B108="","",INDEX(ChalDivision,$B108))</f>
        <v/>
      </c>
      <c r="E108" s="0" t="str">
        <f aca="false">IF($B108="","",INDEX(ChalUnit,$B108))</f>
        <v/>
      </c>
      <c r="F108" s="0" t="str">
        <f aca="false">IF($B108="","",INDEX(ChalTitle,$B108))</f>
        <v/>
      </c>
      <c r="G108" s="0" t="str">
        <f aca="false">IF($B108="","",INDEX(ChalLevel,$B108))</f>
        <v/>
      </c>
      <c r="H108" s="0" t="str">
        <f aca="false">IF($B108="","",INDEX(BookFamily,$B108))</f>
        <v/>
      </c>
      <c r="I108" s="0" t="str">
        <f aca="false">IF($B108="","",INDEX(BookWorkerType,$B108))</f>
        <v/>
      </c>
      <c r="J108" s="56" t="str">
        <f aca="false">IF($B108="","",INDEX(ChalEffective,$B108))</f>
        <v/>
      </c>
      <c r="K108" s="0" t="str">
        <f aca="false">IF($B108="","",INDEX(ChalStart,$B108))</f>
        <v/>
      </c>
      <c r="L108" s="57" t="str">
        <f aca="false">IF($B108="","",INDEX(ChalInYear,$B108))</f>
        <v/>
      </c>
      <c r="M108" s="57" t="str">
        <f aca="false">IF($B108="","",INDEX(ChalRunRate,$B108))</f>
        <v/>
      </c>
      <c r="N108" s="0" t="str">
        <f aca="false">IF($B108="","",INDEX(BookDriver,$B108))</f>
        <v/>
      </c>
    </row>
    <row r="109" customFormat="false" ht="15" hidden="false" customHeight="false" outlineLevel="0" collapsed="false">
      <c r="A109" s="33" t="n">
        <v>104</v>
      </c>
      <c r="B109" s="0" t="str">
        <f aca="false">IFERROR(MATCH($A109,ChalSeq,0),"")</f>
        <v/>
      </c>
      <c r="C109" s="0" t="str">
        <f aca="false">IF($B109="","",INDEX(ChalGroup,$B109))</f>
        <v/>
      </c>
      <c r="D109" s="0" t="str">
        <f aca="false">IF($B109="","",INDEX(ChalDivision,$B109))</f>
        <v/>
      </c>
      <c r="E109" s="0" t="str">
        <f aca="false">IF($B109="","",INDEX(ChalUnit,$B109))</f>
        <v/>
      </c>
      <c r="F109" s="0" t="str">
        <f aca="false">IF($B109="","",INDEX(ChalTitle,$B109))</f>
        <v/>
      </c>
      <c r="G109" s="0" t="str">
        <f aca="false">IF($B109="","",INDEX(ChalLevel,$B109))</f>
        <v/>
      </c>
      <c r="H109" s="0" t="str">
        <f aca="false">IF($B109="","",INDEX(BookFamily,$B109))</f>
        <v/>
      </c>
      <c r="I109" s="0" t="str">
        <f aca="false">IF($B109="","",INDEX(BookWorkerType,$B109))</f>
        <v/>
      </c>
      <c r="J109" s="56" t="str">
        <f aca="false">IF($B109="","",INDEX(ChalEffective,$B109))</f>
        <v/>
      </c>
      <c r="K109" s="0" t="str">
        <f aca="false">IF($B109="","",INDEX(ChalStart,$B109))</f>
        <v/>
      </c>
      <c r="L109" s="57" t="str">
        <f aca="false">IF($B109="","",INDEX(ChalInYear,$B109))</f>
        <v/>
      </c>
      <c r="M109" s="57" t="str">
        <f aca="false">IF($B109="","",INDEX(ChalRunRate,$B109))</f>
        <v/>
      </c>
      <c r="N109" s="0" t="str">
        <f aca="false">IF($B109="","",INDEX(BookDriver,$B109))</f>
        <v/>
      </c>
    </row>
    <row r="110" customFormat="false" ht="15" hidden="false" customHeight="false" outlineLevel="0" collapsed="false">
      <c r="A110" s="33" t="n">
        <v>105</v>
      </c>
      <c r="B110" s="0" t="str">
        <f aca="false">IFERROR(MATCH($A110,ChalSeq,0),"")</f>
        <v/>
      </c>
      <c r="C110" s="0" t="str">
        <f aca="false">IF($B110="","",INDEX(ChalGroup,$B110))</f>
        <v/>
      </c>
      <c r="D110" s="0" t="str">
        <f aca="false">IF($B110="","",INDEX(ChalDivision,$B110))</f>
        <v/>
      </c>
      <c r="E110" s="0" t="str">
        <f aca="false">IF($B110="","",INDEX(ChalUnit,$B110))</f>
        <v/>
      </c>
      <c r="F110" s="0" t="str">
        <f aca="false">IF($B110="","",INDEX(ChalTitle,$B110))</f>
        <v/>
      </c>
      <c r="G110" s="0" t="str">
        <f aca="false">IF($B110="","",INDEX(ChalLevel,$B110))</f>
        <v/>
      </c>
      <c r="H110" s="0" t="str">
        <f aca="false">IF($B110="","",INDEX(BookFamily,$B110))</f>
        <v/>
      </c>
      <c r="I110" s="0" t="str">
        <f aca="false">IF($B110="","",INDEX(BookWorkerType,$B110))</f>
        <v/>
      </c>
      <c r="J110" s="56" t="str">
        <f aca="false">IF($B110="","",INDEX(ChalEffective,$B110))</f>
        <v/>
      </c>
      <c r="K110" s="0" t="str">
        <f aca="false">IF($B110="","",INDEX(ChalStart,$B110))</f>
        <v/>
      </c>
      <c r="L110" s="57" t="str">
        <f aca="false">IF($B110="","",INDEX(ChalInYear,$B110))</f>
        <v/>
      </c>
      <c r="M110" s="57" t="str">
        <f aca="false">IF($B110="","",INDEX(ChalRunRate,$B110))</f>
        <v/>
      </c>
      <c r="N110" s="0" t="str">
        <f aca="false">IF($B110="","",INDEX(BookDriver,$B110))</f>
        <v/>
      </c>
    </row>
    <row r="111" customFormat="false" ht="15" hidden="false" customHeight="false" outlineLevel="0" collapsed="false">
      <c r="A111" s="33" t="n">
        <v>106</v>
      </c>
      <c r="B111" s="0" t="str">
        <f aca="false">IFERROR(MATCH($A111,ChalSeq,0),"")</f>
        <v/>
      </c>
      <c r="C111" s="0" t="str">
        <f aca="false">IF($B111="","",INDEX(ChalGroup,$B111))</f>
        <v/>
      </c>
      <c r="D111" s="0" t="str">
        <f aca="false">IF($B111="","",INDEX(ChalDivision,$B111))</f>
        <v/>
      </c>
      <c r="E111" s="0" t="str">
        <f aca="false">IF($B111="","",INDEX(ChalUnit,$B111))</f>
        <v/>
      </c>
      <c r="F111" s="0" t="str">
        <f aca="false">IF($B111="","",INDEX(ChalTitle,$B111))</f>
        <v/>
      </c>
      <c r="G111" s="0" t="str">
        <f aca="false">IF($B111="","",INDEX(ChalLevel,$B111))</f>
        <v/>
      </c>
      <c r="H111" s="0" t="str">
        <f aca="false">IF($B111="","",INDEX(BookFamily,$B111))</f>
        <v/>
      </c>
      <c r="I111" s="0" t="str">
        <f aca="false">IF($B111="","",INDEX(BookWorkerType,$B111))</f>
        <v/>
      </c>
      <c r="J111" s="56" t="str">
        <f aca="false">IF($B111="","",INDEX(ChalEffective,$B111))</f>
        <v/>
      </c>
      <c r="K111" s="0" t="str">
        <f aca="false">IF($B111="","",INDEX(ChalStart,$B111))</f>
        <v/>
      </c>
      <c r="L111" s="57" t="str">
        <f aca="false">IF($B111="","",INDEX(ChalInYear,$B111))</f>
        <v/>
      </c>
      <c r="M111" s="57" t="str">
        <f aca="false">IF($B111="","",INDEX(ChalRunRate,$B111))</f>
        <v/>
      </c>
      <c r="N111" s="0" t="str">
        <f aca="false">IF($B111="","",INDEX(BookDriver,$B111))</f>
        <v/>
      </c>
    </row>
    <row r="112" customFormat="false" ht="15" hidden="false" customHeight="false" outlineLevel="0" collapsed="false">
      <c r="A112" s="33" t="n">
        <v>107</v>
      </c>
      <c r="B112" s="0" t="str">
        <f aca="false">IFERROR(MATCH($A112,ChalSeq,0),"")</f>
        <v/>
      </c>
      <c r="C112" s="0" t="str">
        <f aca="false">IF($B112="","",INDEX(ChalGroup,$B112))</f>
        <v/>
      </c>
      <c r="D112" s="0" t="str">
        <f aca="false">IF($B112="","",INDEX(ChalDivision,$B112))</f>
        <v/>
      </c>
      <c r="E112" s="0" t="str">
        <f aca="false">IF($B112="","",INDEX(ChalUnit,$B112))</f>
        <v/>
      </c>
      <c r="F112" s="0" t="str">
        <f aca="false">IF($B112="","",INDEX(ChalTitle,$B112))</f>
        <v/>
      </c>
      <c r="G112" s="0" t="str">
        <f aca="false">IF($B112="","",INDEX(ChalLevel,$B112))</f>
        <v/>
      </c>
      <c r="H112" s="0" t="str">
        <f aca="false">IF($B112="","",INDEX(BookFamily,$B112))</f>
        <v/>
      </c>
      <c r="I112" s="0" t="str">
        <f aca="false">IF($B112="","",INDEX(BookWorkerType,$B112))</f>
        <v/>
      </c>
      <c r="J112" s="56" t="str">
        <f aca="false">IF($B112="","",INDEX(ChalEffective,$B112))</f>
        <v/>
      </c>
      <c r="K112" s="0" t="str">
        <f aca="false">IF($B112="","",INDEX(ChalStart,$B112))</f>
        <v/>
      </c>
      <c r="L112" s="57" t="str">
        <f aca="false">IF($B112="","",INDEX(ChalInYear,$B112))</f>
        <v/>
      </c>
      <c r="M112" s="57" t="str">
        <f aca="false">IF($B112="","",INDEX(ChalRunRate,$B112))</f>
        <v/>
      </c>
      <c r="N112" s="0" t="str">
        <f aca="false">IF($B112="","",INDEX(BookDriver,$B112))</f>
        <v/>
      </c>
    </row>
    <row r="113" customFormat="false" ht="15" hidden="false" customHeight="false" outlineLevel="0" collapsed="false">
      <c r="A113" s="33" t="n">
        <v>108</v>
      </c>
      <c r="B113" s="0" t="str">
        <f aca="false">IFERROR(MATCH($A113,ChalSeq,0),"")</f>
        <v/>
      </c>
      <c r="C113" s="0" t="str">
        <f aca="false">IF($B113="","",INDEX(ChalGroup,$B113))</f>
        <v/>
      </c>
      <c r="D113" s="0" t="str">
        <f aca="false">IF($B113="","",INDEX(ChalDivision,$B113))</f>
        <v/>
      </c>
      <c r="E113" s="0" t="str">
        <f aca="false">IF($B113="","",INDEX(ChalUnit,$B113))</f>
        <v/>
      </c>
      <c r="F113" s="0" t="str">
        <f aca="false">IF($B113="","",INDEX(ChalTitle,$B113))</f>
        <v/>
      </c>
      <c r="G113" s="0" t="str">
        <f aca="false">IF($B113="","",INDEX(ChalLevel,$B113))</f>
        <v/>
      </c>
      <c r="H113" s="0" t="str">
        <f aca="false">IF($B113="","",INDEX(BookFamily,$B113))</f>
        <v/>
      </c>
      <c r="I113" s="0" t="str">
        <f aca="false">IF($B113="","",INDEX(BookWorkerType,$B113))</f>
        <v/>
      </c>
      <c r="J113" s="56" t="str">
        <f aca="false">IF($B113="","",INDEX(ChalEffective,$B113))</f>
        <v/>
      </c>
      <c r="K113" s="0" t="str">
        <f aca="false">IF($B113="","",INDEX(ChalStart,$B113))</f>
        <v/>
      </c>
      <c r="L113" s="57" t="str">
        <f aca="false">IF($B113="","",INDEX(ChalInYear,$B113))</f>
        <v/>
      </c>
      <c r="M113" s="57" t="str">
        <f aca="false">IF($B113="","",INDEX(ChalRunRate,$B113))</f>
        <v/>
      </c>
      <c r="N113" s="0" t="str">
        <f aca="false">IF($B113="","",INDEX(BookDriver,$B113))</f>
        <v/>
      </c>
    </row>
    <row r="114" customFormat="false" ht="15" hidden="false" customHeight="false" outlineLevel="0" collapsed="false">
      <c r="A114" s="33" t="n">
        <v>109</v>
      </c>
      <c r="B114" s="0" t="str">
        <f aca="false">IFERROR(MATCH($A114,ChalSeq,0),"")</f>
        <v/>
      </c>
      <c r="C114" s="0" t="str">
        <f aca="false">IF($B114="","",INDEX(ChalGroup,$B114))</f>
        <v/>
      </c>
      <c r="D114" s="0" t="str">
        <f aca="false">IF($B114="","",INDEX(ChalDivision,$B114))</f>
        <v/>
      </c>
      <c r="E114" s="0" t="str">
        <f aca="false">IF($B114="","",INDEX(ChalUnit,$B114))</f>
        <v/>
      </c>
      <c r="F114" s="0" t="str">
        <f aca="false">IF($B114="","",INDEX(ChalTitle,$B114))</f>
        <v/>
      </c>
      <c r="G114" s="0" t="str">
        <f aca="false">IF($B114="","",INDEX(ChalLevel,$B114))</f>
        <v/>
      </c>
      <c r="H114" s="0" t="str">
        <f aca="false">IF($B114="","",INDEX(BookFamily,$B114))</f>
        <v/>
      </c>
      <c r="I114" s="0" t="str">
        <f aca="false">IF($B114="","",INDEX(BookWorkerType,$B114))</f>
        <v/>
      </c>
      <c r="J114" s="56" t="str">
        <f aca="false">IF($B114="","",INDEX(ChalEffective,$B114))</f>
        <v/>
      </c>
      <c r="K114" s="0" t="str">
        <f aca="false">IF($B114="","",INDEX(ChalStart,$B114))</f>
        <v/>
      </c>
      <c r="L114" s="57" t="str">
        <f aca="false">IF($B114="","",INDEX(ChalInYear,$B114))</f>
        <v/>
      </c>
      <c r="M114" s="57" t="str">
        <f aca="false">IF($B114="","",INDEX(ChalRunRate,$B114))</f>
        <v/>
      </c>
      <c r="N114" s="0" t="str">
        <f aca="false">IF($B114="","",INDEX(BookDriver,$B114))</f>
        <v/>
      </c>
    </row>
    <row r="115" customFormat="false" ht="15" hidden="false" customHeight="false" outlineLevel="0" collapsed="false">
      <c r="A115" s="33" t="n">
        <v>110</v>
      </c>
      <c r="B115" s="0" t="str">
        <f aca="false">IFERROR(MATCH($A115,ChalSeq,0),"")</f>
        <v/>
      </c>
      <c r="C115" s="0" t="str">
        <f aca="false">IF($B115="","",INDEX(ChalGroup,$B115))</f>
        <v/>
      </c>
      <c r="D115" s="0" t="str">
        <f aca="false">IF($B115="","",INDEX(ChalDivision,$B115))</f>
        <v/>
      </c>
      <c r="E115" s="0" t="str">
        <f aca="false">IF($B115="","",INDEX(ChalUnit,$B115))</f>
        <v/>
      </c>
      <c r="F115" s="0" t="str">
        <f aca="false">IF($B115="","",INDEX(ChalTitle,$B115))</f>
        <v/>
      </c>
      <c r="G115" s="0" t="str">
        <f aca="false">IF($B115="","",INDEX(ChalLevel,$B115))</f>
        <v/>
      </c>
      <c r="H115" s="0" t="str">
        <f aca="false">IF($B115="","",INDEX(BookFamily,$B115))</f>
        <v/>
      </c>
      <c r="I115" s="0" t="str">
        <f aca="false">IF($B115="","",INDEX(BookWorkerType,$B115))</f>
        <v/>
      </c>
      <c r="J115" s="56" t="str">
        <f aca="false">IF($B115="","",INDEX(ChalEffective,$B115))</f>
        <v/>
      </c>
      <c r="K115" s="0" t="str">
        <f aca="false">IF($B115="","",INDEX(ChalStart,$B115))</f>
        <v/>
      </c>
      <c r="L115" s="57" t="str">
        <f aca="false">IF($B115="","",INDEX(ChalInYear,$B115))</f>
        <v/>
      </c>
      <c r="M115" s="57" t="str">
        <f aca="false">IF($B115="","",INDEX(ChalRunRate,$B115))</f>
        <v/>
      </c>
      <c r="N115" s="0" t="str">
        <f aca="false">IF($B115="","",INDEX(BookDriver,$B115))</f>
        <v/>
      </c>
    </row>
    <row r="116" customFormat="false" ht="15" hidden="false" customHeight="false" outlineLevel="0" collapsed="false">
      <c r="A116" s="33" t="n">
        <v>111</v>
      </c>
      <c r="B116" s="0" t="str">
        <f aca="false">IFERROR(MATCH($A116,ChalSeq,0),"")</f>
        <v/>
      </c>
      <c r="C116" s="0" t="str">
        <f aca="false">IF($B116="","",INDEX(ChalGroup,$B116))</f>
        <v/>
      </c>
      <c r="D116" s="0" t="str">
        <f aca="false">IF($B116="","",INDEX(ChalDivision,$B116))</f>
        <v/>
      </c>
      <c r="E116" s="0" t="str">
        <f aca="false">IF($B116="","",INDEX(ChalUnit,$B116))</f>
        <v/>
      </c>
      <c r="F116" s="0" t="str">
        <f aca="false">IF($B116="","",INDEX(ChalTitle,$B116))</f>
        <v/>
      </c>
      <c r="G116" s="0" t="str">
        <f aca="false">IF($B116="","",INDEX(ChalLevel,$B116))</f>
        <v/>
      </c>
      <c r="H116" s="0" t="str">
        <f aca="false">IF($B116="","",INDEX(BookFamily,$B116))</f>
        <v/>
      </c>
      <c r="I116" s="0" t="str">
        <f aca="false">IF($B116="","",INDEX(BookWorkerType,$B116))</f>
        <v/>
      </c>
      <c r="J116" s="56" t="str">
        <f aca="false">IF($B116="","",INDEX(ChalEffective,$B116))</f>
        <v/>
      </c>
      <c r="K116" s="0" t="str">
        <f aca="false">IF($B116="","",INDEX(ChalStart,$B116))</f>
        <v/>
      </c>
      <c r="L116" s="57" t="str">
        <f aca="false">IF($B116="","",INDEX(ChalInYear,$B116))</f>
        <v/>
      </c>
      <c r="M116" s="57" t="str">
        <f aca="false">IF($B116="","",INDEX(ChalRunRate,$B116))</f>
        <v/>
      </c>
      <c r="N116" s="0" t="str">
        <f aca="false">IF($B116="","",INDEX(BookDriver,$B116))</f>
        <v/>
      </c>
    </row>
    <row r="117" customFormat="false" ht="15" hidden="false" customHeight="false" outlineLevel="0" collapsed="false">
      <c r="A117" s="33" t="n">
        <v>112</v>
      </c>
      <c r="B117" s="0" t="str">
        <f aca="false">IFERROR(MATCH($A117,ChalSeq,0),"")</f>
        <v/>
      </c>
      <c r="C117" s="0" t="str">
        <f aca="false">IF($B117="","",INDEX(ChalGroup,$B117))</f>
        <v/>
      </c>
      <c r="D117" s="0" t="str">
        <f aca="false">IF($B117="","",INDEX(ChalDivision,$B117))</f>
        <v/>
      </c>
      <c r="E117" s="0" t="str">
        <f aca="false">IF($B117="","",INDEX(ChalUnit,$B117))</f>
        <v/>
      </c>
      <c r="F117" s="0" t="str">
        <f aca="false">IF($B117="","",INDEX(ChalTitle,$B117))</f>
        <v/>
      </c>
      <c r="G117" s="0" t="str">
        <f aca="false">IF($B117="","",INDEX(ChalLevel,$B117))</f>
        <v/>
      </c>
      <c r="H117" s="0" t="str">
        <f aca="false">IF($B117="","",INDEX(BookFamily,$B117))</f>
        <v/>
      </c>
      <c r="I117" s="0" t="str">
        <f aca="false">IF($B117="","",INDEX(BookWorkerType,$B117))</f>
        <v/>
      </c>
      <c r="J117" s="56" t="str">
        <f aca="false">IF($B117="","",INDEX(ChalEffective,$B117))</f>
        <v/>
      </c>
      <c r="K117" s="0" t="str">
        <f aca="false">IF($B117="","",INDEX(ChalStart,$B117))</f>
        <v/>
      </c>
      <c r="L117" s="57" t="str">
        <f aca="false">IF($B117="","",INDEX(ChalInYear,$B117))</f>
        <v/>
      </c>
      <c r="M117" s="57" t="str">
        <f aca="false">IF($B117="","",INDEX(ChalRunRate,$B117))</f>
        <v/>
      </c>
      <c r="N117" s="0" t="str">
        <f aca="false">IF($B117="","",INDEX(BookDriver,$B117))</f>
        <v/>
      </c>
    </row>
    <row r="118" customFormat="false" ht="15" hidden="false" customHeight="false" outlineLevel="0" collapsed="false">
      <c r="A118" s="33" t="n">
        <v>113</v>
      </c>
      <c r="B118" s="0" t="str">
        <f aca="false">IFERROR(MATCH($A118,ChalSeq,0),"")</f>
        <v/>
      </c>
      <c r="C118" s="0" t="str">
        <f aca="false">IF($B118="","",INDEX(ChalGroup,$B118))</f>
        <v/>
      </c>
      <c r="D118" s="0" t="str">
        <f aca="false">IF($B118="","",INDEX(ChalDivision,$B118))</f>
        <v/>
      </c>
      <c r="E118" s="0" t="str">
        <f aca="false">IF($B118="","",INDEX(ChalUnit,$B118))</f>
        <v/>
      </c>
      <c r="F118" s="0" t="str">
        <f aca="false">IF($B118="","",INDEX(ChalTitle,$B118))</f>
        <v/>
      </c>
      <c r="G118" s="0" t="str">
        <f aca="false">IF($B118="","",INDEX(ChalLevel,$B118))</f>
        <v/>
      </c>
      <c r="H118" s="0" t="str">
        <f aca="false">IF($B118="","",INDEX(BookFamily,$B118))</f>
        <v/>
      </c>
      <c r="I118" s="0" t="str">
        <f aca="false">IF($B118="","",INDEX(BookWorkerType,$B118))</f>
        <v/>
      </c>
      <c r="J118" s="56" t="str">
        <f aca="false">IF($B118="","",INDEX(ChalEffective,$B118))</f>
        <v/>
      </c>
      <c r="K118" s="0" t="str">
        <f aca="false">IF($B118="","",INDEX(ChalStart,$B118))</f>
        <v/>
      </c>
      <c r="L118" s="57" t="str">
        <f aca="false">IF($B118="","",INDEX(ChalInYear,$B118))</f>
        <v/>
      </c>
      <c r="M118" s="57" t="str">
        <f aca="false">IF($B118="","",INDEX(ChalRunRate,$B118))</f>
        <v/>
      </c>
      <c r="N118" s="0" t="str">
        <f aca="false">IF($B118="","",INDEX(BookDriver,$B118))</f>
        <v/>
      </c>
    </row>
    <row r="119" customFormat="false" ht="15" hidden="false" customHeight="false" outlineLevel="0" collapsed="false">
      <c r="A119" s="33" t="n">
        <v>114</v>
      </c>
      <c r="B119" s="0" t="str">
        <f aca="false">IFERROR(MATCH($A119,ChalSeq,0),"")</f>
        <v/>
      </c>
      <c r="C119" s="0" t="str">
        <f aca="false">IF($B119="","",INDEX(ChalGroup,$B119))</f>
        <v/>
      </c>
      <c r="D119" s="0" t="str">
        <f aca="false">IF($B119="","",INDEX(ChalDivision,$B119))</f>
        <v/>
      </c>
      <c r="E119" s="0" t="str">
        <f aca="false">IF($B119="","",INDEX(ChalUnit,$B119))</f>
        <v/>
      </c>
      <c r="F119" s="0" t="str">
        <f aca="false">IF($B119="","",INDEX(ChalTitle,$B119))</f>
        <v/>
      </c>
      <c r="G119" s="0" t="str">
        <f aca="false">IF($B119="","",INDEX(ChalLevel,$B119))</f>
        <v/>
      </c>
      <c r="H119" s="0" t="str">
        <f aca="false">IF($B119="","",INDEX(BookFamily,$B119))</f>
        <v/>
      </c>
      <c r="I119" s="0" t="str">
        <f aca="false">IF($B119="","",INDEX(BookWorkerType,$B119))</f>
        <v/>
      </c>
      <c r="J119" s="56" t="str">
        <f aca="false">IF($B119="","",INDEX(ChalEffective,$B119))</f>
        <v/>
      </c>
      <c r="K119" s="0" t="str">
        <f aca="false">IF($B119="","",INDEX(ChalStart,$B119))</f>
        <v/>
      </c>
      <c r="L119" s="57" t="str">
        <f aca="false">IF($B119="","",INDEX(ChalInYear,$B119))</f>
        <v/>
      </c>
      <c r="M119" s="57" t="str">
        <f aca="false">IF($B119="","",INDEX(ChalRunRate,$B119))</f>
        <v/>
      </c>
      <c r="N119" s="0" t="str">
        <f aca="false">IF($B119="","",INDEX(BookDriver,$B119))</f>
        <v/>
      </c>
    </row>
    <row r="120" customFormat="false" ht="15" hidden="false" customHeight="false" outlineLevel="0" collapsed="false">
      <c r="A120" s="33" t="n">
        <v>115</v>
      </c>
      <c r="B120" s="0" t="str">
        <f aca="false">IFERROR(MATCH($A120,ChalSeq,0),"")</f>
        <v/>
      </c>
      <c r="C120" s="0" t="str">
        <f aca="false">IF($B120="","",INDEX(ChalGroup,$B120))</f>
        <v/>
      </c>
      <c r="D120" s="0" t="str">
        <f aca="false">IF($B120="","",INDEX(ChalDivision,$B120))</f>
        <v/>
      </c>
      <c r="E120" s="0" t="str">
        <f aca="false">IF($B120="","",INDEX(ChalUnit,$B120))</f>
        <v/>
      </c>
      <c r="F120" s="0" t="str">
        <f aca="false">IF($B120="","",INDEX(ChalTitle,$B120))</f>
        <v/>
      </c>
      <c r="G120" s="0" t="str">
        <f aca="false">IF($B120="","",INDEX(ChalLevel,$B120))</f>
        <v/>
      </c>
      <c r="H120" s="0" t="str">
        <f aca="false">IF($B120="","",INDEX(BookFamily,$B120))</f>
        <v/>
      </c>
      <c r="I120" s="0" t="str">
        <f aca="false">IF($B120="","",INDEX(BookWorkerType,$B120))</f>
        <v/>
      </c>
      <c r="J120" s="56" t="str">
        <f aca="false">IF($B120="","",INDEX(ChalEffective,$B120))</f>
        <v/>
      </c>
      <c r="K120" s="0" t="str">
        <f aca="false">IF($B120="","",INDEX(ChalStart,$B120))</f>
        <v/>
      </c>
      <c r="L120" s="57" t="str">
        <f aca="false">IF($B120="","",INDEX(ChalInYear,$B120))</f>
        <v/>
      </c>
      <c r="M120" s="57" t="str">
        <f aca="false">IF($B120="","",INDEX(ChalRunRate,$B120))</f>
        <v/>
      </c>
      <c r="N120" s="0" t="str">
        <f aca="false">IF($B120="","",INDEX(BookDriver,$B120))</f>
        <v/>
      </c>
    </row>
    <row r="121" customFormat="false" ht="15" hidden="false" customHeight="false" outlineLevel="0" collapsed="false">
      <c r="A121" s="33" t="n">
        <v>116</v>
      </c>
      <c r="B121" s="0" t="str">
        <f aca="false">IFERROR(MATCH($A121,ChalSeq,0),"")</f>
        <v/>
      </c>
      <c r="C121" s="0" t="str">
        <f aca="false">IF($B121="","",INDEX(ChalGroup,$B121))</f>
        <v/>
      </c>
      <c r="D121" s="0" t="str">
        <f aca="false">IF($B121="","",INDEX(ChalDivision,$B121))</f>
        <v/>
      </c>
      <c r="E121" s="0" t="str">
        <f aca="false">IF($B121="","",INDEX(ChalUnit,$B121))</f>
        <v/>
      </c>
      <c r="F121" s="0" t="str">
        <f aca="false">IF($B121="","",INDEX(ChalTitle,$B121))</f>
        <v/>
      </c>
      <c r="G121" s="0" t="str">
        <f aca="false">IF($B121="","",INDEX(ChalLevel,$B121))</f>
        <v/>
      </c>
      <c r="H121" s="0" t="str">
        <f aca="false">IF($B121="","",INDEX(BookFamily,$B121))</f>
        <v/>
      </c>
      <c r="I121" s="0" t="str">
        <f aca="false">IF($B121="","",INDEX(BookWorkerType,$B121))</f>
        <v/>
      </c>
      <c r="J121" s="56" t="str">
        <f aca="false">IF($B121="","",INDEX(ChalEffective,$B121))</f>
        <v/>
      </c>
      <c r="K121" s="0" t="str">
        <f aca="false">IF($B121="","",INDEX(ChalStart,$B121))</f>
        <v/>
      </c>
      <c r="L121" s="57" t="str">
        <f aca="false">IF($B121="","",INDEX(ChalInYear,$B121))</f>
        <v/>
      </c>
      <c r="M121" s="57" t="str">
        <f aca="false">IF($B121="","",INDEX(ChalRunRate,$B121))</f>
        <v/>
      </c>
      <c r="N121" s="0" t="str">
        <f aca="false">IF($B121="","",INDEX(BookDriver,$B121))</f>
        <v/>
      </c>
    </row>
    <row r="122" customFormat="false" ht="15" hidden="false" customHeight="false" outlineLevel="0" collapsed="false">
      <c r="A122" s="33" t="n">
        <v>117</v>
      </c>
      <c r="B122" s="0" t="str">
        <f aca="false">IFERROR(MATCH($A122,ChalSeq,0),"")</f>
        <v/>
      </c>
      <c r="C122" s="0" t="str">
        <f aca="false">IF($B122="","",INDEX(ChalGroup,$B122))</f>
        <v/>
      </c>
      <c r="D122" s="0" t="str">
        <f aca="false">IF($B122="","",INDEX(ChalDivision,$B122))</f>
        <v/>
      </c>
      <c r="E122" s="0" t="str">
        <f aca="false">IF($B122="","",INDEX(ChalUnit,$B122))</f>
        <v/>
      </c>
      <c r="F122" s="0" t="str">
        <f aca="false">IF($B122="","",INDEX(ChalTitle,$B122))</f>
        <v/>
      </c>
      <c r="G122" s="0" t="str">
        <f aca="false">IF($B122="","",INDEX(ChalLevel,$B122))</f>
        <v/>
      </c>
      <c r="H122" s="0" t="str">
        <f aca="false">IF($B122="","",INDEX(BookFamily,$B122))</f>
        <v/>
      </c>
      <c r="I122" s="0" t="str">
        <f aca="false">IF($B122="","",INDEX(BookWorkerType,$B122))</f>
        <v/>
      </c>
      <c r="J122" s="56" t="str">
        <f aca="false">IF($B122="","",INDEX(ChalEffective,$B122))</f>
        <v/>
      </c>
      <c r="K122" s="0" t="str">
        <f aca="false">IF($B122="","",INDEX(ChalStart,$B122))</f>
        <v/>
      </c>
      <c r="L122" s="57" t="str">
        <f aca="false">IF($B122="","",INDEX(ChalInYear,$B122))</f>
        <v/>
      </c>
      <c r="M122" s="57" t="str">
        <f aca="false">IF($B122="","",INDEX(ChalRunRate,$B122))</f>
        <v/>
      </c>
      <c r="N122" s="0" t="str">
        <f aca="false">IF($B122="","",INDEX(BookDriver,$B122))</f>
        <v/>
      </c>
    </row>
    <row r="123" customFormat="false" ht="15" hidden="false" customHeight="false" outlineLevel="0" collapsed="false">
      <c r="A123" s="33" t="n">
        <v>118</v>
      </c>
      <c r="B123" s="0" t="str">
        <f aca="false">IFERROR(MATCH($A123,ChalSeq,0),"")</f>
        <v/>
      </c>
      <c r="C123" s="0" t="str">
        <f aca="false">IF($B123="","",INDEX(ChalGroup,$B123))</f>
        <v/>
      </c>
      <c r="D123" s="0" t="str">
        <f aca="false">IF($B123="","",INDEX(ChalDivision,$B123))</f>
        <v/>
      </c>
      <c r="E123" s="0" t="str">
        <f aca="false">IF($B123="","",INDEX(ChalUnit,$B123))</f>
        <v/>
      </c>
      <c r="F123" s="0" t="str">
        <f aca="false">IF($B123="","",INDEX(ChalTitle,$B123))</f>
        <v/>
      </c>
      <c r="G123" s="0" t="str">
        <f aca="false">IF($B123="","",INDEX(ChalLevel,$B123))</f>
        <v/>
      </c>
      <c r="H123" s="0" t="str">
        <f aca="false">IF($B123="","",INDEX(BookFamily,$B123))</f>
        <v/>
      </c>
      <c r="I123" s="0" t="str">
        <f aca="false">IF($B123="","",INDEX(BookWorkerType,$B123))</f>
        <v/>
      </c>
      <c r="J123" s="56" t="str">
        <f aca="false">IF($B123="","",INDEX(ChalEffective,$B123))</f>
        <v/>
      </c>
      <c r="K123" s="0" t="str">
        <f aca="false">IF($B123="","",INDEX(ChalStart,$B123))</f>
        <v/>
      </c>
      <c r="L123" s="57" t="str">
        <f aca="false">IF($B123="","",INDEX(ChalInYear,$B123))</f>
        <v/>
      </c>
      <c r="M123" s="57" t="str">
        <f aca="false">IF($B123="","",INDEX(ChalRunRate,$B123))</f>
        <v/>
      </c>
      <c r="N123" s="0" t="str">
        <f aca="false">IF($B123="","",INDEX(BookDriver,$B123))</f>
        <v/>
      </c>
    </row>
    <row r="124" customFormat="false" ht="15" hidden="false" customHeight="false" outlineLevel="0" collapsed="false">
      <c r="A124" s="33" t="n">
        <v>119</v>
      </c>
      <c r="B124" s="0" t="str">
        <f aca="false">IFERROR(MATCH($A124,ChalSeq,0),"")</f>
        <v/>
      </c>
      <c r="C124" s="0" t="str">
        <f aca="false">IF($B124="","",INDEX(ChalGroup,$B124))</f>
        <v/>
      </c>
      <c r="D124" s="0" t="str">
        <f aca="false">IF($B124="","",INDEX(ChalDivision,$B124))</f>
        <v/>
      </c>
      <c r="E124" s="0" t="str">
        <f aca="false">IF($B124="","",INDEX(ChalUnit,$B124))</f>
        <v/>
      </c>
      <c r="F124" s="0" t="str">
        <f aca="false">IF($B124="","",INDEX(ChalTitle,$B124))</f>
        <v/>
      </c>
      <c r="G124" s="0" t="str">
        <f aca="false">IF($B124="","",INDEX(ChalLevel,$B124))</f>
        <v/>
      </c>
      <c r="H124" s="0" t="str">
        <f aca="false">IF($B124="","",INDEX(BookFamily,$B124))</f>
        <v/>
      </c>
      <c r="I124" s="0" t="str">
        <f aca="false">IF($B124="","",INDEX(BookWorkerType,$B124))</f>
        <v/>
      </c>
      <c r="J124" s="56" t="str">
        <f aca="false">IF($B124="","",INDEX(ChalEffective,$B124))</f>
        <v/>
      </c>
      <c r="K124" s="0" t="str">
        <f aca="false">IF($B124="","",INDEX(ChalStart,$B124))</f>
        <v/>
      </c>
      <c r="L124" s="57" t="str">
        <f aca="false">IF($B124="","",INDEX(ChalInYear,$B124))</f>
        <v/>
      </c>
      <c r="M124" s="57" t="str">
        <f aca="false">IF($B124="","",INDEX(ChalRunRate,$B124))</f>
        <v/>
      </c>
      <c r="N124" s="0" t="str">
        <f aca="false">IF($B124="","",INDEX(BookDriver,$B124))</f>
        <v/>
      </c>
    </row>
    <row r="125" customFormat="false" ht="15" hidden="false" customHeight="false" outlineLevel="0" collapsed="false">
      <c r="A125" s="33" t="n">
        <v>120</v>
      </c>
      <c r="B125" s="0" t="str">
        <f aca="false">IFERROR(MATCH($A125,ChalSeq,0),"")</f>
        <v/>
      </c>
      <c r="C125" s="0" t="str">
        <f aca="false">IF($B125="","",INDEX(ChalGroup,$B125))</f>
        <v/>
      </c>
      <c r="D125" s="0" t="str">
        <f aca="false">IF($B125="","",INDEX(ChalDivision,$B125))</f>
        <v/>
      </c>
      <c r="E125" s="0" t="str">
        <f aca="false">IF($B125="","",INDEX(ChalUnit,$B125))</f>
        <v/>
      </c>
      <c r="F125" s="0" t="str">
        <f aca="false">IF($B125="","",INDEX(ChalTitle,$B125))</f>
        <v/>
      </c>
      <c r="G125" s="0" t="str">
        <f aca="false">IF($B125="","",INDEX(ChalLevel,$B125))</f>
        <v/>
      </c>
      <c r="H125" s="0" t="str">
        <f aca="false">IF($B125="","",INDEX(BookFamily,$B125))</f>
        <v/>
      </c>
      <c r="I125" s="0" t="str">
        <f aca="false">IF($B125="","",INDEX(BookWorkerType,$B125))</f>
        <v/>
      </c>
      <c r="J125" s="56" t="str">
        <f aca="false">IF($B125="","",INDEX(ChalEffective,$B125))</f>
        <v/>
      </c>
      <c r="K125" s="0" t="str">
        <f aca="false">IF($B125="","",INDEX(ChalStart,$B125))</f>
        <v/>
      </c>
      <c r="L125" s="57" t="str">
        <f aca="false">IF($B125="","",INDEX(ChalInYear,$B125))</f>
        <v/>
      </c>
      <c r="M125" s="57" t="str">
        <f aca="false">IF($B125="","",INDEX(ChalRunRate,$B125))</f>
        <v/>
      </c>
      <c r="N125" s="0" t="str">
        <f aca="false">IF($B125="","",INDEX(BookDriver,$B125))</f>
        <v/>
      </c>
    </row>
    <row r="126" customFormat="false" ht="15" hidden="false" customHeight="false" outlineLevel="0" collapsed="false">
      <c r="A126" s="33" t="n">
        <v>121</v>
      </c>
      <c r="B126" s="0" t="str">
        <f aca="false">IFERROR(MATCH($A126,ChalSeq,0),"")</f>
        <v/>
      </c>
      <c r="C126" s="0" t="str">
        <f aca="false">IF($B126="","",INDEX(ChalGroup,$B126))</f>
        <v/>
      </c>
      <c r="D126" s="0" t="str">
        <f aca="false">IF($B126="","",INDEX(ChalDivision,$B126))</f>
        <v/>
      </c>
      <c r="E126" s="0" t="str">
        <f aca="false">IF($B126="","",INDEX(ChalUnit,$B126))</f>
        <v/>
      </c>
      <c r="F126" s="0" t="str">
        <f aca="false">IF($B126="","",INDEX(ChalTitle,$B126))</f>
        <v/>
      </c>
      <c r="G126" s="0" t="str">
        <f aca="false">IF($B126="","",INDEX(ChalLevel,$B126))</f>
        <v/>
      </c>
      <c r="H126" s="0" t="str">
        <f aca="false">IF($B126="","",INDEX(BookFamily,$B126))</f>
        <v/>
      </c>
      <c r="I126" s="0" t="str">
        <f aca="false">IF($B126="","",INDEX(BookWorkerType,$B126))</f>
        <v/>
      </c>
      <c r="J126" s="56" t="str">
        <f aca="false">IF($B126="","",INDEX(ChalEffective,$B126))</f>
        <v/>
      </c>
      <c r="K126" s="0" t="str">
        <f aca="false">IF($B126="","",INDEX(ChalStart,$B126))</f>
        <v/>
      </c>
      <c r="L126" s="57" t="str">
        <f aca="false">IF($B126="","",INDEX(ChalInYear,$B126))</f>
        <v/>
      </c>
      <c r="M126" s="57" t="str">
        <f aca="false">IF($B126="","",INDEX(ChalRunRate,$B126))</f>
        <v/>
      </c>
      <c r="N126" s="0" t="str">
        <f aca="false">IF($B126="","",INDEX(BookDriver,$B126))</f>
        <v/>
      </c>
    </row>
    <row r="127" customFormat="false" ht="15" hidden="false" customHeight="false" outlineLevel="0" collapsed="false">
      <c r="A127" s="33" t="n">
        <v>122</v>
      </c>
      <c r="B127" s="0" t="str">
        <f aca="false">IFERROR(MATCH($A127,ChalSeq,0),"")</f>
        <v/>
      </c>
      <c r="C127" s="0" t="str">
        <f aca="false">IF($B127="","",INDEX(ChalGroup,$B127))</f>
        <v/>
      </c>
      <c r="D127" s="0" t="str">
        <f aca="false">IF($B127="","",INDEX(ChalDivision,$B127))</f>
        <v/>
      </c>
      <c r="E127" s="0" t="str">
        <f aca="false">IF($B127="","",INDEX(ChalUnit,$B127))</f>
        <v/>
      </c>
      <c r="F127" s="0" t="str">
        <f aca="false">IF($B127="","",INDEX(ChalTitle,$B127))</f>
        <v/>
      </c>
      <c r="G127" s="0" t="str">
        <f aca="false">IF($B127="","",INDEX(ChalLevel,$B127))</f>
        <v/>
      </c>
      <c r="H127" s="0" t="str">
        <f aca="false">IF($B127="","",INDEX(BookFamily,$B127))</f>
        <v/>
      </c>
      <c r="I127" s="0" t="str">
        <f aca="false">IF($B127="","",INDEX(BookWorkerType,$B127))</f>
        <v/>
      </c>
      <c r="J127" s="56" t="str">
        <f aca="false">IF($B127="","",INDEX(ChalEffective,$B127))</f>
        <v/>
      </c>
      <c r="K127" s="0" t="str">
        <f aca="false">IF($B127="","",INDEX(ChalStart,$B127))</f>
        <v/>
      </c>
      <c r="L127" s="57" t="str">
        <f aca="false">IF($B127="","",INDEX(ChalInYear,$B127))</f>
        <v/>
      </c>
      <c r="M127" s="57" t="str">
        <f aca="false">IF($B127="","",INDEX(ChalRunRate,$B127))</f>
        <v/>
      </c>
      <c r="N127" s="0" t="str">
        <f aca="false">IF($B127="","",INDEX(BookDriver,$B127))</f>
        <v/>
      </c>
    </row>
    <row r="128" customFormat="false" ht="15" hidden="false" customHeight="false" outlineLevel="0" collapsed="false">
      <c r="A128" s="33" t="n">
        <v>123</v>
      </c>
      <c r="B128" s="0" t="str">
        <f aca="false">IFERROR(MATCH($A128,ChalSeq,0),"")</f>
        <v/>
      </c>
      <c r="C128" s="0" t="str">
        <f aca="false">IF($B128="","",INDEX(ChalGroup,$B128))</f>
        <v/>
      </c>
      <c r="D128" s="0" t="str">
        <f aca="false">IF($B128="","",INDEX(ChalDivision,$B128))</f>
        <v/>
      </c>
      <c r="E128" s="0" t="str">
        <f aca="false">IF($B128="","",INDEX(ChalUnit,$B128))</f>
        <v/>
      </c>
      <c r="F128" s="0" t="str">
        <f aca="false">IF($B128="","",INDEX(ChalTitle,$B128))</f>
        <v/>
      </c>
      <c r="G128" s="0" t="str">
        <f aca="false">IF($B128="","",INDEX(ChalLevel,$B128))</f>
        <v/>
      </c>
      <c r="H128" s="0" t="str">
        <f aca="false">IF($B128="","",INDEX(BookFamily,$B128))</f>
        <v/>
      </c>
      <c r="I128" s="0" t="str">
        <f aca="false">IF($B128="","",INDEX(BookWorkerType,$B128))</f>
        <v/>
      </c>
      <c r="J128" s="56" t="str">
        <f aca="false">IF($B128="","",INDEX(ChalEffective,$B128))</f>
        <v/>
      </c>
      <c r="K128" s="0" t="str">
        <f aca="false">IF($B128="","",INDEX(ChalStart,$B128))</f>
        <v/>
      </c>
      <c r="L128" s="57" t="str">
        <f aca="false">IF($B128="","",INDEX(ChalInYear,$B128))</f>
        <v/>
      </c>
      <c r="M128" s="57" t="str">
        <f aca="false">IF($B128="","",INDEX(ChalRunRate,$B128))</f>
        <v/>
      </c>
      <c r="N128" s="0" t="str">
        <f aca="false">IF($B128="","",INDEX(BookDriver,$B128))</f>
        <v/>
      </c>
    </row>
    <row r="129" customFormat="false" ht="15" hidden="false" customHeight="false" outlineLevel="0" collapsed="false">
      <c r="A129" s="33" t="n">
        <v>124</v>
      </c>
      <c r="B129" s="0" t="str">
        <f aca="false">IFERROR(MATCH($A129,ChalSeq,0),"")</f>
        <v/>
      </c>
      <c r="C129" s="0" t="str">
        <f aca="false">IF($B129="","",INDEX(ChalGroup,$B129))</f>
        <v/>
      </c>
      <c r="D129" s="0" t="str">
        <f aca="false">IF($B129="","",INDEX(ChalDivision,$B129))</f>
        <v/>
      </c>
      <c r="E129" s="0" t="str">
        <f aca="false">IF($B129="","",INDEX(ChalUnit,$B129))</f>
        <v/>
      </c>
      <c r="F129" s="0" t="str">
        <f aca="false">IF($B129="","",INDEX(ChalTitle,$B129))</f>
        <v/>
      </c>
      <c r="G129" s="0" t="str">
        <f aca="false">IF($B129="","",INDEX(ChalLevel,$B129))</f>
        <v/>
      </c>
      <c r="H129" s="0" t="str">
        <f aca="false">IF($B129="","",INDEX(BookFamily,$B129))</f>
        <v/>
      </c>
      <c r="I129" s="0" t="str">
        <f aca="false">IF($B129="","",INDEX(BookWorkerType,$B129))</f>
        <v/>
      </c>
      <c r="J129" s="56" t="str">
        <f aca="false">IF($B129="","",INDEX(ChalEffective,$B129))</f>
        <v/>
      </c>
      <c r="K129" s="0" t="str">
        <f aca="false">IF($B129="","",INDEX(ChalStart,$B129))</f>
        <v/>
      </c>
      <c r="L129" s="57" t="str">
        <f aca="false">IF($B129="","",INDEX(ChalInYear,$B129))</f>
        <v/>
      </c>
      <c r="M129" s="57" t="str">
        <f aca="false">IF($B129="","",INDEX(ChalRunRate,$B129))</f>
        <v/>
      </c>
      <c r="N129" s="0" t="str">
        <f aca="false">IF($B129="","",INDEX(BookDriver,$B129))</f>
        <v/>
      </c>
    </row>
    <row r="130" customFormat="false" ht="15" hidden="false" customHeight="false" outlineLevel="0" collapsed="false">
      <c r="A130" s="33" t="n">
        <v>125</v>
      </c>
      <c r="B130" s="0" t="str">
        <f aca="false">IFERROR(MATCH($A130,ChalSeq,0),"")</f>
        <v/>
      </c>
      <c r="C130" s="0" t="str">
        <f aca="false">IF($B130="","",INDEX(ChalGroup,$B130))</f>
        <v/>
      </c>
      <c r="D130" s="0" t="str">
        <f aca="false">IF($B130="","",INDEX(ChalDivision,$B130))</f>
        <v/>
      </c>
      <c r="E130" s="0" t="str">
        <f aca="false">IF($B130="","",INDEX(ChalUnit,$B130))</f>
        <v/>
      </c>
      <c r="F130" s="0" t="str">
        <f aca="false">IF($B130="","",INDEX(ChalTitle,$B130))</f>
        <v/>
      </c>
      <c r="G130" s="0" t="str">
        <f aca="false">IF($B130="","",INDEX(ChalLevel,$B130))</f>
        <v/>
      </c>
      <c r="H130" s="0" t="str">
        <f aca="false">IF($B130="","",INDEX(BookFamily,$B130))</f>
        <v/>
      </c>
      <c r="I130" s="0" t="str">
        <f aca="false">IF($B130="","",INDEX(BookWorkerType,$B130))</f>
        <v/>
      </c>
      <c r="J130" s="56" t="str">
        <f aca="false">IF($B130="","",INDEX(ChalEffective,$B130))</f>
        <v/>
      </c>
      <c r="K130" s="0" t="str">
        <f aca="false">IF($B130="","",INDEX(ChalStart,$B130))</f>
        <v/>
      </c>
      <c r="L130" s="57" t="str">
        <f aca="false">IF($B130="","",INDEX(ChalInYear,$B130))</f>
        <v/>
      </c>
      <c r="M130" s="57" t="str">
        <f aca="false">IF($B130="","",INDEX(ChalRunRate,$B130))</f>
        <v/>
      </c>
      <c r="N130" s="0" t="str">
        <f aca="false">IF($B130="","",INDEX(BookDriver,$B130))</f>
        <v/>
      </c>
    </row>
    <row r="131" customFormat="false" ht="15" hidden="false" customHeight="false" outlineLevel="0" collapsed="false">
      <c r="A131" s="33" t="n">
        <v>126</v>
      </c>
      <c r="B131" s="0" t="str">
        <f aca="false">IFERROR(MATCH($A131,ChalSeq,0),"")</f>
        <v/>
      </c>
      <c r="C131" s="0" t="str">
        <f aca="false">IF($B131="","",INDEX(ChalGroup,$B131))</f>
        <v/>
      </c>
      <c r="D131" s="0" t="str">
        <f aca="false">IF($B131="","",INDEX(ChalDivision,$B131))</f>
        <v/>
      </c>
      <c r="E131" s="0" t="str">
        <f aca="false">IF($B131="","",INDEX(ChalUnit,$B131))</f>
        <v/>
      </c>
      <c r="F131" s="0" t="str">
        <f aca="false">IF($B131="","",INDEX(ChalTitle,$B131))</f>
        <v/>
      </c>
      <c r="G131" s="0" t="str">
        <f aca="false">IF($B131="","",INDEX(ChalLevel,$B131))</f>
        <v/>
      </c>
      <c r="H131" s="0" t="str">
        <f aca="false">IF($B131="","",INDEX(BookFamily,$B131))</f>
        <v/>
      </c>
      <c r="I131" s="0" t="str">
        <f aca="false">IF($B131="","",INDEX(BookWorkerType,$B131))</f>
        <v/>
      </c>
      <c r="J131" s="56" t="str">
        <f aca="false">IF($B131="","",INDEX(ChalEffective,$B131))</f>
        <v/>
      </c>
      <c r="K131" s="0" t="str">
        <f aca="false">IF($B131="","",INDEX(ChalStart,$B131))</f>
        <v/>
      </c>
      <c r="L131" s="57" t="str">
        <f aca="false">IF($B131="","",INDEX(ChalInYear,$B131))</f>
        <v/>
      </c>
      <c r="M131" s="57" t="str">
        <f aca="false">IF($B131="","",INDEX(ChalRunRate,$B131))</f>
        <v/>
      </c>
      <c r="N131" s="0" t="str">
        <f aca="false">IF($B131="","",INDEX(BookDriver,$B131))</f>
        <v/>
      </c>
    </row>
    <row r="132" customFormat="false" ht="15" hidden="false" customHeight="false" outlineLevel="0" collapsed="false">
      <c r="A132" s="33" t="n">
        <v>127</v>
      </c>
      <c r="B132" s="0" t="str">
        <f aca="false">IFERROR(MATCH($A132,ChalSeq,0),"")</f>
        <v/>
      </c>
      <c r="C132" s="0" t="str">
        <f aca="false">IF($B132="","",INDEX(ChalGroup,$B132))</f>
        <v/>
      </c>
      <c r="D132" s="0" t="str">
        <f aca="false">IF($B132="","",INDEX(ChalDivision,$B132))</f>
        <v/>
      </c>
      <c r="E132" s="0" t="str">
        <f aca="false">IF($B132="","",INDEX(ChalUnit,$B132))</f>
        <v/>
      </c>
      <c r="F132" s="0" t="str">
        <f aca="false">IF($B132="","",INDEX(ChalTitle,$B132))</f>
        <v/>
      </c>
      <c r="G132" s="0" t="str">
        <f aca="false">IF($B132="","",INDEX(ChalLevel,$B132))</f>
        <v/>
      </c>
      <c r="H132" s="0" t="str">
        <f aca="false">IF($B132="","",INDEX(BookFamily,$B132))</f>
        <v/>
      </c>
      <c r="I132" s="0" t="str">
        <f aca="false">IF($B132="","",INDEX(BookWorkerType,$B132))</f>
        <v/>
      </c>
      <c r="J132" s="56" t="str">
        <f aca="false">IF($B132="","",INDEX(ChalEffective,$B132))</f>
        <v/>
      </c>
      <c r="K132" s="0" t="str">
        <f aca="false">IF($B132="","",INDEX(ChalStart,$B132))</f>
        <v/>
      </c>
      <c r="L132" s="57" t="str">
        <f aca="false">IF($B132="","",INDEX(ChalInYear,$B132))</f>
        <v/>
      </c>
      <c r="M132" s="57" t="str">
        <f aca="false">IF($B132="","",INDEX(ChalRunRate,$B132))</f>
        <v/>
      </c>
      <c r="N132" s="0" t="str">
        <f aca="false">IF($B132="","",INDEX(BookDriver,$B132))</f>
        <v/>
      </c>
    </row>
    <row r="133" customFormat="false" ht="15" hidden="false" customHeight="false" outlineLevel="0" collapsed="false">
      <c r="A133" s="33" t="n">
        <v>128</v>
      </c>
      <c r="B133" s="0" t="str">
        <f aca="false">IFERROR(MATCH($A133,ChalSeq,0),"")</f>
        <v/>
      </c>
      <c r="C133" s="0" t="str">
        <f aca="false">IF($B133="","",INDEX(ChalGroup,$B133))</f>
        <v/>
      </c>
      <c r="D133" s="0" t="str">
        <f aca="false">IF($B133="","",INDEX(ChalDivision,$B133))</f>
        <v/>
      </c>
      <c r="E133" s="0" t="str">
        <f aca="false">IF($B133="","",INDEX(ChalUnit,$B133))</f>
        <v/>
      </c>
      <c r="F133" s="0" t="str">
        <f aca="false">IF($B133="","",INDEX(ChalTitle,$B133))</f>
        <v/>
      </c>
      <c r="G133" s="0" t="str">
        <f aca="false">IF($B133="","",INDEX(ChalLevel,$B133))</f>
        <v/>
      </c>
      <c r="H133" s="0" t="str">
        <f aca="false">IF($B133="","",INDEX(BookFamily,$B133))</f>
        <v/>
      </c>
      <c r="I133" s="0" t="str">
        <f aca="false">IF($B133="","",INDEX(BookWorkerType,$B133))</f>
        <v/>
      </c>
      <c r="J133" s="56" t="str">
        <f aca="false">IF($B133="","",INDEX(ChalEffective,$B133))</f>
        <v/>
      </c>
      <c r="K133" s="0" t="str">
        <f aca="false">IF($B133="","",INDEX(ChalStart,$B133))</f>
        <v/>
      </c>
      <c r="L133" s="57" t="str">
        <f aca="false">IF($B133="","",INDEX(ChalInYear,$B133))</f>
        <v/>
      </c>
      <c r="M133" s="57" t="str">
        <f aca="false">IF($B133="","",INDEX(ChalRunRate,$B133))</f>
        <v/>
      </c>
      <c r="N133" s="0" t="str">
        <f aca="false">IF($B133="","",INDEX(BookDriver,$B133))</f>
        <v/>
      </c>
    </row>
    <row r="134" customFormat="false" ht="15" hidden="false" customHeight="false" outlineLevel="0" collapsed="false">
      <c r="A134" s="33" t="n">
        <v>129</v>
      </c>
      <c r="B134" s="0" t="str">
        <f aca="false">IFERROR(MATCH($A134,ChalSeq,0),"")</f>
        <v/>
      </c>
      <c r="C134" s="0" t="str">
        <f aca="false">IF($B134="","",INDEX(ChalGroup,$B134))</f>
        <v/>
      </c>
      <c r="D134" s="0" t="str">
        <f aca="false">IF($B134="","",INDEX(ChalDivision,$B134))</f>
        <v/>
      </c>
      <c r="E134" s="0" t="str">
        <f aca="false">IF($B134="","",INDEX(ChalUnit,$B134))</f>
        <v/>
      </c>
      <c r="F134" s="0" t="str">
        <f aca="false">IF($B134="","",INDEX(ChalTitle,$B134))</f>
        <v/>
      </c>
      <c r="G134" s="0" t="str">
        <f aca="false">IF($B134="","",INDEX(ChalLevel,$B134))</f>
        <v/>
      </c>
      <c r="H134" s="0" t="str">
        <f aca="false">IF($B134="","",INDEX(BookFamily,$B134))</f>
        <v/>
      </c>
      <c r="I134" s="0" t="str">
        <f aca="false">IF($B134="","",INDEX(BookWorkerType,$B134))</f>
        <v/>
      </c>
      <c r="J134" s="56" t="str">
        <f aca="false">IF($B134="","",INDEX(ChalEffective,$B134))</f>
        <v/>
      </c>
      <c r="K134" s="0" t="str">
        <f aca="false">IF($B134="","",INDEX(ChalStart,$B134))</f>
        <v/>
      </c>
      <c r="L134" s="57" t="str">
        <f aca="false">IF($B134="","",INDEX(ChalInYear,$B134))</f>
        <v/>
      </c>
      <c r="M134" s="57" t="str">
        <f aca="false">IF($B134="","",INDEX(ChalRunRate,$B134))</f>
        <v/>
      </c>
      <c r="N134" s="0" t="str">
        <f aca="false">IF($B134="","",INDEX(BookDriver,$B134))</f>
        <v/>
      </c>
    </row>
    <row r="135" customFormat="false" ht="15" hidden="false" customHeight="false" outlineLevel="0" collapsed="false">
      <c r="A135" s="33" t="n">
        <v>130</v>
      </c>
      <c r="B135" s="0" t="str">
        <f aca="false">IFERROR(MATCH($A135,ChalSeq,0),"")</f>
        <v/>
      </c>
      <c r="C135" s="0" t="str">
        <f aca="false">IF($B135="","",INDEX(ChalGroup,$B135))</f>
        <v/>
      </c>
      <c r="D135" s="0" t="str">
        <f aca="false">IF($B135="","",INDEX(ChalDivision,$B135))</f>
        <v/>
      </c>
      <c r="E135" s="0" t="str">
        <f aca="false">IF($B135="","",INDEX(ChalUnit,$B135))</f>
        <v/>
      </c>
      <c r="F135" s="0" t="str">
        <f aca="false">IF($B135="","",INDEX(ChalTitle,$B135))</f>
        <v/>
      </c>
      <c r="G135" s="0" t="str">
        <f aca="false">IF($B135="","",INDEX(ChalLevel,$B135))</f>
        <v/>
      </c>
      <c r="H135" s="0" t="str">
        <f aca="false">IF($B135="","",INDEX(BookFamily,$B135))</f>
        <v/>
      </c>
      <c r="I135" s="0" t="str">
        <f aca="false">IF($B135="","",INDEX(BookWorkerType,$B135))</f>
        <v/>
      </c>
      <c r="J135" s="56" t="str">
        <f aca="false">IF($B135="","",INDEX(ChalEffective,$B135))</f>
        <v/>
      </c>
      <c r="K135" s="0" t="str">
        <f aca="false">IF($B135="","",INDEX(ChalStart,$B135))</f>
        <v/>
      </c>
      <c r="L135" s="57" t="str">
        <f aca="false">IF($B135="","",INDEX(ChalInYear,$B135))</f>
        <v/>
      </c>
      <c r="M135" s="57" t="str">
        <f aca="false">IF($B135="","",INDEX(ChalRunRate,$B135))</f>
        <v/>
      </c>
      <c r="N135" s="0" t="str">
        <f aca="false">IF($B135="","",INDEX(BookDriver,$B135))</f>
        <v/>
      </c>
    </row>
    <row r="136" customFormat="false" ht="15" hidden="false" customHeight="false" outlineLevel="0" collapsed="false">
      <c r="A136" s="33" t="n">
        <v>131</v>
      </c>
      <c r="B136" s="0" t="str">
        <f aca="false">IFERROR(MATCH($A136,ChalSeq,0),"")</f>
        <v/>
      </c>
      <c r="C136" s="0" t="str">
        <f aca="false">IF($B136="","",INDEX(ChalGroup,$B136))</f>
        <v/>
      </c>
      <c r="D136" s="0" t="str">
        <f aca="false">IF($B136="","",INDEX(ChalDivision,$B136))</f>
        <v/>
      </c>
      <c r="E136" s="0" t="str">
        <f aca="false">IF($B136="","",INDEX(ChalUnit,$B136))</f>
        <v/>
      </c>
      <c r="F136" s="0" t="str">
        <f aca="false">IF($B136="","",INDEX(ChalTitle,$B136))</f>
        <v/>
      </c>
      <c r="G136" s="0" t="str">
        <f aca="false">IF($B136="","",INDEX(ChalLevel,$B136))</f>
        <v/>
      </c>
      <c r="H136" s="0" t="str">
        <f aca="false">IF($B136="","",INDEX(BookFamily,$B136))</f>
        <v/>
      </c>
      <c r="I136" s="0" t="str">
        <f aca="false">IF($B136="","",INDEX(BookWorkerType,$B136))</f>
        <v/>
      </c>
      <c r="J136" s="56" t="str">
        <f aca="false">IF($B136="","",INDEX(ChalEffective,$B136))</f>
        <v/>
      </c>
      <c r="K136" s="0" t="str">
        <f aca="false">IF($B136="","",INDEX(ChalStart,$B136))</f>
        <v/>
      </c>
      <c r="L136" s="57" t="str">
        <f aca="false">IF($B136="","",INDEX(ChalInYear,$B136))</f>
        <v/>
      </c>
      <c r="M136" s="57" t="str">
        <f aca="false">IF($B136="","",INDEX(ChalRunRate,$B136))</f>
        <v/>
      </c>
      <c r="N136" s="0" t="str">
        <f aca="false">IF($B136="","",INDEX(BookDriver,$B136))</f>
        <v/>
      </c>
    </row>
    <row r="137" customFormat="false" ht="15" hidden="false" customHeight="false" outlineLevel="0" collapsed="false">
      <c r="A137" s="33" t="n">
        <v>132</v>
      </c>
      <c r="B137" s="0" t="str">
        <f aca="false">IFERROR(MATCH($A137,ChalSeq,0),"")</f>
        <v/>
      </c>
      <c r="C137" s="0" t="str">
        <f aca="false">IF($B137="","",INDEX(ChalGroup,$B137))</f>
        <v/>
      </c>
      <c r="D137" s="0" t="str">
        <f aca="false">IF($B137="","",INDEX(ChalDivision,$B137))</f>
        <v/>
      </c>
      <c r="E137" s="0" t="str">
        <f aca="false">IF($B137="","",INDEX(ChalUnit,$B137))</f>
        <v/>
      </c>
      <c r="F137" s="0" t="str">
        <f aca="false">IF($B137="","",INDEX(ChalTitle,$B137))</f>
        <v/>
      </c>
      <c r="G137" s="0" t="str">
        <f aca="false">IF($B137="","",INDEX(ChalLevel,$B137))</f>
        <v/>
      </c>
      <c r="H137" s="0" t="str">
        <f aca="false">IF($B137="","",INDEX(BookFamily,$B137))</f>
        <v/>
      </c>
      <c r="I137" s="0" t="str">
        <f aca="false">IF($B137="","",INDEX(BookWorkerType,$B137))</f>
        <v/>
      </c>
      <c r="J137" s="56" t="str">
        <f aca="false">IF($B137="","",INDEX(ChalEffective,$B137))</f>
        <v/>
      </c>
      <c r="K137" s="0" t="str">
        <f aca="false">IF($B137="","",INDEX(ChalStart,$B137))</f>
        <v/>
      </c>
      <c r="L137" s="57" t="str">
        <f aca="false">IF($B137="","",INDEX(ChalInYear,$B137))</f>
        <v/>
      </c>
      <c r="M137" s="57" t="str">
        <f aca="false">IF($B137="","",INDEX(ChalRunRate,$B137))</f>
        <v/>
      </c>
      <c r="N137" s="0" t="str">
        <f aca="false">IF($B137="","",INDEX(BookDriver,$B137))</f>
        <v/>
      </c>
    </row>
    <row r="138" customFormat="false" ht="15" hidden="false" customHeight="false" outlineLevel="0" collapsed="false">
      <c r="A138" s="33" t="n">
        <v>133</v>
      </c>
      <c r="B138" s="0" t="str">
        <f aca="false">IFERROR(MATCH($A138,ChalSeq,0),"")</f>
        <v/>
      </c>
      <c r="C138" s="0" t="str">
        <f aca="false">IF($B138="","",INDEX(ChalGroup,$B138))</f>
        <v/>
      </c>
      <c r="D138" s="0" t="str">
        <f aca="false">IF($B138="","",INDEX(ChalDivision,$B138))</f>
        <v/>
      </c>
      <c r="E138" s="0" t="str">
        <f aca="false">IF($B138="","",INDEX(ChalUnit,$B138))</f>
        <v/>
      </c>
      <c r="F138" s="0" t="str">
        <f aca="false">IF($B138="","",INDEX(ChalTitle,$B138))</f>
        <v/>
      </c>
      <c r="G138" s="0" t="str">
        <f aca="false">IF($B138="","",INDEX(ChalLevel,$B138))</f>
        <v/>
      </c>
      <c r="H138" s="0" t="str">
        <f aca="false">IF($B138="","",INDEX(BookFamily,$B138))</f>
        <v/>
      </c>
      <c r="I138" s="0" t="str">
        <f aca="false">IF($B138="","",INDEX(BookWorkerType,$B138))</f>
        <v/>
      </c>
      <c r="J138" s="56" t="str">
        <f aca="false">IF($B138="","",INDEX(ChalEffective,$B138))</f>
        <v/>
      </c>
      <c r="K138" s="0" t="str">
        <f aca="false">IF($B138="","",INDEX(ChalStart,$B138))</f>
        <v/>
      </c>
      <c r="L138" s="57" t="str">
        <f aca="false">IF($B138="","",INDEX(ChalInYear,$B138))</f>
        <v/>
      </c>
      <c r="M138" s="57" t="str">
        <f aca="false">IF($B138="","",INDEX(ChalRunRate,$B138))</f>
        <v/>
      </c>
      <c r="N138" s="0" t="str">
        <f aca="false">IF($B138="","",INDEX(BookDriver,$B138))</f>
        <v/>
      </c>
    </row>
    <row r="139" customFormat="false" ht="15" hidden="false" customHeight="false" outlineLevel="0" collapsed="false">
      <c r="A139" s="33" t="n">
        <v>134</v>
      </c>
      <c r="B139" s="0" t="str">
        <f aca="false">IFERROR(MATCH($A139,ChalSeq,0),"")</f>
        <v/>
      </c>
      <c r="C139" s="0" t="str">
        <f aca="false">IF($B139="","",INDEX(ChalGroup,$B139))</f>
        <v/>
      </c>
      <c r="D139" s="0" t="str">
        <f aca="false">IF($B139="","",INDEX(ChalDivision,$B139))</f>
        <v/>
      </c>
      <c r="E139" s="0" t="str">
        <f aca="false">IF($B139="","",INDEX(ChalUnit,$B139))</f>
        <v/>
      </c>
      <c r="F139" s="0" t="str">
        <f aca="false">IF($B139="","",INDEX(ChalTitle,$B139))</f>
        <v/>
      </c>
      <c r="G139" s="0" t="str">
        <f aca="false">IF($B139="","",INDEX(ChalLevel,$B139))</f>
        <v/>
      </c>
      <c r="H139" s="0" t="str">
        <f aca="false">IF($B139="","",INDEX(BookFamily,$B139))</f>
        <v/>
      </c>
      <c r="I139" s="0" t="str">
        <f aca="false">IF($B139="","",INDEX(BookWorkerType,$B139))</f>
        <v/>
      </c>
      <c r="J139" s="56" t="str">
        <f aca="false">IF($B139="","",INDEX(ChalEffective,$B139))</f>
        <v/>
      </c>
      <c r="K139" s="0" t="str">
        <f aca="false">IF($B139="","",INDEX(ChalStart,$B139))</f>
        <v/>
      </c>
      <c r="L139" s="57" t="str">
        <f aca="false">IF($B139="","",INDEX(ChalInYear,$B139))</f>
        <v/>
      </c>
      <c r="M139" s="57" t="str">
        <f aca="false">IF($B139="","",INDEX(ChalRunRate,$B139))</f>
        <v/>
      </c>
      <c r="N139" s="0" t="str">
        <f aca="false">IF($B139="","",INDEX(BookDriver,$B139))</f>
        <v/>
      </c>
    </row>
    <row r="140" customFormat="false" ht="15" hidden="false" customHeight="false" outlineLevel="0" collapsed="false">
      <c r="A140" s="33" t="n">
        <v>135</v>
      </c>
      <c r="B140" s="0" t="str">
        <f aca="false">IFERROR(MATCH($A140,ChalSeq,0),"")</f>
        <v/>
      </c>
      <c r="C140" s="0" t="str">
        <f aca="false">IF($B140="","",INDEX(ChalGroup,$B140))</f>
        <v/>
      </c>
      <c r="D140" s="0" t="str">
        <f aca="false">IF($B140="","",INDEX(ChalDivision,$B140))</f>
        <v/>
      </c>
      <c r="E140" s="0" t="str">
        <f aca="false">IF($B140="","",INDEX(ChalUnit,$B140))</f>
        <v/>
      </c>
      <c r="F140" s="0" t="str">
        <f aca="false">IF($B140="","",INDEX(ChalTitle,$B140))</f>
        <v/>
      </c>
      <c r="G140" s="0" t="str">
        <f aca="false">IF($B140="","",INDEX(ChalLevel,$B140))</f>
        <v/>
      </c>
      <c r="H140" s="0" t="str">
        <f aca="false">IF($B140="","",INDEX(BookFamily,$B140))</f>
        <v/>
      </c>
      <c r="I140" s="0" t="str">
        <f aca="false">IF($B140="","",INDEX(BookWorkerType,$B140))</f>
        <v/>
      </c>
      <c r="J140" s="56" t="str">
        <f aca="false">IF($B140="","",INDEX(ChalEffective,$B140))</f>
        <v/>
      </c>
      <c r="K140" s="0" t="str">
        <f aca="false">IF($B140="","",INDEX(ChalStart,$B140))</f>
        <v/>
      </c>
      <c r="L140" s="57" t="str">
        <f aca="false">IF($B140="","",INDEX(ChalInYear,$B140))</f>
        <v/>
      </c>
      <c r="M140" s="57" t="str">
        <f aca="false">IF($B140="","",INDEX(ChalRunRate,$B140))</f>
        <v/>
      </c>
      <c r="N140" s="0" t="str">
        <f aca="false">IF($B140="","",INDEX(BookDriver,$B140))</f>
        <v/>
      </c>
    </row>
    <row r="141" customFormat="false" ht="15" hidden="false" customHeight="false" outlineLevel="0" collapsed="false">
      <c r="A141" s="33" t="n">
        <v>136</v>
      </c>
      <c r="B141" s="0" t="str">
        <f aca="false">IFERROR(MATCH($A141,ChalSeq,0),"")</f>
        <v/>
      </c>
      <c r="C141" s="0" t="str">
        <f aca="false">IF($B141="","",INDEX(ChalGroup,$B141))</f>
        <v/>
      </c>
      <c r="D141" s="0" t="str">
        <f aca="false">IF($B141="","",INDEX(ChalDivision,$B141))</f>
        <v/>
      </c>
      <c r="E141" s="0" t="str">
        <f aca="false">IF($B141="","",INDEX(ChalUnit,$B141))</f>
        <v/>
      </c>
      <c r="F141" s="0" t="str">
        <f aca="false">IF($B141="","",INDEX(ChalTitle,$B141))</f>
        <v/>
      </c>
      <c r="G141" s="0" t="str">
        <f aca="false">IF($B141="","",INDEX(ChalLevel,$B141))</f>
        <v/>
      </c>
      <c r="H141" s="0" t="str">
        <f aca="false">IF($B141="","",INDEX(BookFamily,$B141))</f>
        <v/>
      </c>
      <c r="I141" s="0" t="str">
        <f aca="false">IF($B141="","",INDEX(BookWorkerType,$B141))</f>
        <v/>
      </c>
      <c r="J141" s="56" t="str">
        <f aca="false">IF($B141="","",INDEX(ChalEffective,$B141))</f>
        <v/>
      </c>
      <c r="K141" s="0" t="str">
        <f aca="false">IF($B141="","",INDEX(ChalStart,$B141))</f>
        <v/>
      </c>
      <c r="L141" s="57" t="str">
        <f aca="false">IF($B141="","",INDEX(ChalInYear,$B141))</f>
        <v/>
      </c>
      <c r="M141" s="57" t="str">
        <f aca="false">IF($B141="","",INDEX(ChalRunRate,$B141))</f>
        <v/>
      </c>
      <c r="N141" s="0" t="str">
        <f aca="false">IF($B141="","",INDEX(BookDriver,$B141))</f>
        <v/>
      </c>
    </row>
    <row r="142" customFormat="false" ht="15" hidden="false" customHeight="false" outlineLevel="0" collapsed="false">
      <c r="A142" s="33" t="n">
        <v>137</v>
      </c>
      <c r="B142" s="0" t="str">
        <f aca="false">IFERROR(MATCH($A142,ChalSeq,0),"")</f>
        <v/>
      </c>
      <c r="C142" s="0" t="str">
        <f aca="false">IF($B142="","",INDEX(ChalGroup,$B142))</f>
        <v/>
      </c>
      <c r="D142" s="0" t="str">
        <f aca="false">IF($B142="","",INDEX(ChalDivision,$B142))</f>
        <v/>
      </c>
      <c r="E142" s="0" t="str">
        <f aca="false">IF($B142="","",INDEX(ChalUnit,$B142))</f>
        <v/>
      </c>
      <c r="F142" s="0" t="str">
        <f aca="false">IF($B142="","",INDEX(ChalTitle,$B142))</f>
        <v/>
      </c>
      <c r="G142" s="0" t="str">
        <f aca="false">IF($B142="","",INDEX(ChalLevel,$B142))</f>
        <v/>
      </c>
      <c r="H142" s="0" t="str">
        <f aca="false">IF($B142="","",INDEX(BookFamily,$B142))</f>
        <v/>
      </c>
      <c r="I142" s="0" t="str">
        <f aca="false">IF($B142="","",INDEX(BookWorkerType,$B142))</f>
        <v/>
      </c>
      <c r="J142" s="56" t="str">
        <f aca="false">IF($B142="","",INDEX(ChalEffective,$B142))</f>
        <v/>
      </c>
      <c r="K142" s="0" t="str">
        <f aca="false">IF($B142="","",INDEX(ChalStart,$B142))</f>
        <v/>
      </c>
      <c r="L142" s="57" t="str">
        <f aca="false">IF($B142="","",INDEX(ChalInYear,$B142))</f>
        <v/>
      </c>
      <c r="M142" s="57" t="str">
        <f aca="false">IF($B142="","",INDEX(ChalRunRate,$B142))</f>
        <v/>
      </c>
      <c r="N142" s="0" t="str">
        <f aca="false">IF($B142="","",INDEX(BookDriver,$B142))</f>
        <v/>
      </c>
    </row>
    <row r="143" customFormat="false" ht="15" hidden="false" customHeight="false" outlineLevel="0" collapsed="false">
      <c r="A143" s="33" t="n">
        <v>138</v>
      </c>
      <c r="B143" s="0" t="str">
        <f aca="false">IFERROR(MATCH($A143,ChalSeq,0),"")</f>
        <v/>
      </c>
      <c r="C143" s="0" t="str">
        <f aca="false">IF($B143="","",INDEX(ChalGroup,$B143))</f>
        <v/>
      </c>
      <c r="D143" s="0" t="str">
        <f aca="false">IF($B143="","",INDEX(ChalDivision,$B143))</f>
        <v/>
      </c>
      <c r="E143" s="0" t="str">
        <f aca="false">IF($B143="","",INDEX(ChalUnit,$B143))</f>
        <v/>
      </c>
      <c r="F143" s="0" t="str">
        <f aca="false">IF($B143="","",INDEX(ChalTitle,$B143))</f>
        <v/>
      </c>
      <c r="G143" s="0" t="str">
        <f aca="false">IF($B143="","",INDEX(ChalLevel,$B143))</f>
        <v/>
      </c>
      <c r="H143" s="0" t="str">
        <f aca="false">IF($B143="","",INDEX(BookFamily,$B143))</f>
        <v/>
      </c>
      <c r="I143" s="0" t="str">
        <f aca="false">IF($B143="","",INDEX(BookWorkerType,$B143))</f>
        <v/>
      </c>
      <c r="J143" s="56" t="str">
        <f aca="false">IF($B143="","",INDEX(ChalEffective,$B143))</f>
        <v/>
      </c>
      <c r="K143" s="0" t="str">
        <f aca="false">IF($B143="","",INDEX(ChalStart,$B143))</f>
        <v/>
      </c>
      <c r="L143" s="57" t="str">
        <f aca="false">IF($B143="","",INDEX(ChalInYear,$B143))</f>
        <v/>
      </c>
      <c r="M143" s="57" t="str">
        <f aca="false">IF($B143="","",INDEX(ChalRunRate,$B143))</f>
        <v/>
      </c>
      <c r="N143" s="0" t="str">
        <f aca="false">IF($B143="","",INDEX(BookDriver,$B143))</f>
        <v/>
      </c>
    </row>
    <row r="144" customFormat="false" ht="15" hidden="false" customHeight="false" outlineLevel="0" collapsed="false">
      <c r="A144" s="33" t="n">
        <v>139</v>
      </c>
      <c r="B144" s="0" t="str">
        <f aca="false">IFERROR(MATCH($A144,ChalSeq,0),"")</f>
        <v/>
      </c>
      <c r="C144" s="0" t="str">
        <f aca="false">IF($B144="","",INDEX(ChalGroup,$B144))</f>
        <v/>
      </c>
      <c r="D144" s="0" t="str">
        <f aca="false">IF($B144="","",INDEX(ChalDivision,$B144))</f>
        <v/>
      </c>
      <c r="E144" s="0" t="str">
        <f aca="false">IF($B144="","",INDEX(ChalUnit,$B144))</f>
        <v/>
      </c>
      <c r="F144" s="0" t="str">
        <f aca="false">IF($B144="","",INDEX(ChalTitle,$B144))</f>
        <v/>
      </c>
      <c r="G144" s="0" t="str">
        <f aca="false">IF($B144="","",INDEX(ChalLevel,$B144))</f>
        <v/>
      </c>
      <c r="H144" s="0" t="str">
        <f aca="false">IF($B144="","",INDEX(BookFamily,$B144))</f>
        <v/>
      </c>
      <c r="I144" s="0" t="str">
        <f aca="false">IF($B144="","",INDEX(BookWorkerType,$B144))</f>
        <v/>
      </c>
      <c r="J144" s="56" t="str">
        <f aca="false">IF($B144="","",INDEX(ChalEffective,$B144))</f>
        <v/>
      </c>
      <c r="K144" s="0" t="str">
        <f aca="false">IF($B144="","",INDEX(ChalStart,$B144))</f>
        <v/>
      </c>
      <c r="L144" s="57" t="str">
        <f aca="false">IF($B144="","",INDEX(ChalInYear,$B144))</f>
        <v/>
      </c>
      <c r="M144" s="57" t="str">
        <f aca="false">IF($B144="","",INDEX(ChalRunRate,$B144))</f>
        <v/>
      </c>
      <c r="N144" s="0" t="str">
        <f aca="false">IF($B144="","",INDEX(BookDriver,$B144))</f>
        <v/>
      </c>
    </row>
    <row r="145" customFormat="false" ht="15" hidden="false" customHeight="false" outlineLevel="0" collapsed="false">
      <c r="A145" s="33" t="n">
        <v>140</v>
      </c>
      <c r="B145" s="0" t="str">
        <f aca="false">IFERROR(MATCH($A145,ChalSeq,0),"")</f>
        <v/>
      </c>
      <c r="C145" s="0" t="str">
        <f aca="false">IF($B145="","",INDEX(ChalGroup,$B145))</f>
        <v/>
      </c>
      <c r="D145" s="0" t="str">
        <f aca="false">IF($B145="","",INDEX(ChalDivision,$B145))</f>
        <v/>
      </c>
      <c r="E145" s="0" t="str">
        <f aca="false">IF($B145="","",INDEX(ChalUnit,$B145))</f>
        <v/>
      </c>
      <c r="F145" s="0" t="str">
        <f aca="false">IF($B145="","",INDEX(ChalTitle,$B145))</f>
        <v/>
      </c>
      <c r="G145" s="0" t="str">
        <f aca="false">IF($B145="","",INDEX(ChalLevel,$B145))</f>
        <v/>
      </c>
      <c r="H145" s="0" t="str">
        <f aca="false">IF($B145="","",INDEX(BookFamily,$B145))</f>
        <v/>
      </c>
      <c r="I145" s="0" t="str">
        <f aca="false">IF($B145="","",INDEX(BookWorkerType,$B145))</f>
        <v/>
      </c>
      <c r="J145" s="56" t="str">
        <f aca="false">IF($B145="","",INDEX(ChalEffective,$B145))</f>
        <v/>
      </c>
      <c r="K145" s="0" t="str">
        <f aca="false">IF($B145="","",INDEX(ChalStart,$B145))</f>
        <v/>
      </c>
      <c r="L145" s="57" t="str">
        <f aca="false">IF($B145="","",INDEX(ChalInYear,$B145))</f>
        <v/>
      </c>
      <c r="M145" s="57" t="str">
        <f aca="false">IF($B145="","",INDEX(ChalRunRate,$B145))</f>
        <v/>
      </c>
      <c r="N145" s="0" t="str">
        <f aca="false">IF($B145="","",INDEX(BookDriver,$B145))</f>
        <v/>
      </c>
    </row>
    <row r="146" customFormat="false" ht="15" hidden="false" customHeight="false" outlineLevel="0" collapsed="false">
      <c r="A146" s="33" t="n">
        <v>141</v>
      </c>
      <c r="B146" s="0" t="str">
        <f aca="false">IFERROR(MATCH($A146,ChalSeq,0),"")</f>
        <v/>
      </c>
      <c r="C146" s="0" t="str">
        <f aca="false">IF($B146="","",INDEX(ChalGroup,$B146))</f>
        <v/>
      </c>
      <c r="D146" s="0" t="str">
        <f aca="false">IF($B146="","",INDEX(ChalDivision,$B146))</f>
        <v/>
      </c>
      <c r="E146" s="0" t="str">
        <f aca="false">IF($B146="","",INDEX(ChalUnit,$B146))</f>
        <v/>
      </c>
      <c r="F146" s="0" t="str">
        <f aca="false">IF($B146="","",INDEX(ChalTitle,$B146))</f>
        <v/>
      </c>
      <c r="G146" s="0" t="str">
        <f aca="false">IF($B146="","",INDEX(ChalLevel,$B146))</f>
        <v/>
      </c>
      <c r="H146" s="0" t="str">
        <f aca="false">IF($B146="","",INDEX(BookFamily,$B146))</f>
        <v/>
      </c>
      <c r="I146" s="0" t="str">
        <f aca="false">IF($B146="","",INDEX(BookWorkerType,$B146))</f>
        <v/>
      </c>
      <c r="J146" s="56" t="str">
        <f aca="false">IF($B146="","",INDEX(ChalEffective,$B146))</f>
        <v/>
      </c>
      <c r="K146" s="0" t="str">
        <f aca="false">IF($B146="","",INDEX(ChalStart,$B146))</f>
        <v/>
      </c>
      <c r="L146" s="57" t="str">
        <f aca="false">IF($B146="","",INDEX(ChalInYear,$B146))</f>
        <v/>
      </c>
      <c r="M146" s="57" t="str">
        <f aca="false">IF($B146="","",INDEX(ChalRunRate,$B146))</f>
        <v/>
      </c>
      <c r="N146" s="0" t="str">
        <f aca="false">IF($B146="","",INDEX(BookDriver,$B146))</f>
        <v/>
      </c>
    </row>
    <row r="147" customFormat="false" ht="15" hidden="false" customHeight="false" outlineLevel="0" collapsed="false">
      <c r="A147" s="33" t="n">
        <v>142</v>
      </c>
      <c r="B147" s="0" t="str">
        <f aca="false">IFERROR(MATCH($A147,ChalSeq,0),"")</f>
        <v/>
      </c>
      <c r="C147" s="0" t="str">
        <f aca="false">IF($B147="","",INDEX(ChalGroup,$B147))</f>
        <v/>
      </c>
      <c r="D147" s="0" t="str">
        <f aca="false">IF($B147="","",INDEX(ChalDivision,$B147))</f>
        <v/>
      </c>
      <c r="E147" s="0" t="str">
        <f aca="false">IF($B147="","",INDEX(ChalUnit,$B147))</f>
        <v/>
      </c>
      <c r="F147" s="0" t="str">
        <f aca="false">IF($B147="","",INDEX(ChalTitle,$B147))</f>
        <v/>
      </c>
      <c r="G147" s="0" t="str">
        <f aca="false">IF($B147="","",INDEX(ChalLevel,$B147))</f>
        <v/>
      </c>
      <c r="H147" s="0" t="str">
        <f aca="false">IF($B147="","",INDEX(BookFamily,$B147))</f>
        <v/>
      </c>
      <c r="I147" s="0" t="str">
        <f aca="false">IF($B147="","",INDEX(BookWorkerType,$B147))</f>
        <v/>
      </c>
      <c r="J147" s="56" t="str">
        <f aca="false">IF($B147="","",INDEX(ChalEffective,$B147))</f>
        <v/>
      </c>
      <c r="K147" s="0" t="str">
        <f aca="false">IF($B147="","",INDEX(ChalStart,$B147))</f>
        <v/>
      </c>
      <c r="L147" s="57" t="str">
        <f aca="false">IF($B147="","",INDEX(ChalInYear,$B147))</f>
        <v/>
      </c>
      <c r="M147" s="57" t="str">
        <f aca="false">IF($B147="","",INDEX(ChalRunRate,$B147))</f>
        <v/>
      </c>
      <c r="N147" s="0" t="str">
        <f aca="false">IF($B147="","",INDEX(BookDriver,$B147))</f>
        <v/>
      </c>
    </row>
    <row r="148" customFormat="false" ht="15" hidden="false" customHeight="false" outlineLevel="0" collapsed="false">
      <c r="A148" s="33" t="n">
        <v>143</v>
      </c>
      <c r="B148" s="0" t="str">
        <f aca="false">IFERROR(MATCH($A148,ChalSeq,0),"")</f>
        <v/>
      </c>
      <c r="C148" s="0" t="str">
        <f aca="false">IF($B148="","",INDEX(ChalGroup,$B148))</f>
        <v/>
      </c>
      <c r="D148" s="0" t="str">
        <f aca="false">IF($B148="","",INDEX(ChalDivision,$B148))</f>
        <v/>
      </c>
      <c r="E148" s="0" t="str">
        <f aca="false">IF($B148="","",INDEX(ChalUnit,$B148))</f>
        <v/>
      </c>
      <c r="F148" s="0" t="str">
        <f aca="false">IF($B148="","",INDEX(ChalTitle,$B148))</f>
        <v/>
      </c>
      <c r="G148" s="0" t="str">
        <f aca="false">IF($B148="","",INDEX(ChalLevel,$B148))</f>
        <v/>
      </c>
      <c r="H148" s="0" t="str">
        <f aca="false">IF($B148="","",INDEX(BookFamily,$B148))</f>
        <v/>
      </c>
      <c r="I148" s="0" t="str">
        <f aca="false">IF($B148="","",INDEX(BookWorkerType,$B148))</f>
        <v/>
      </c>
      <c r="J148" s="56" t="str">
        <f aca="false">IF($B148="","",INDEX(ChalEffective,$B148))</f>
        <v/>
      </c>
      <c r="K148" s="0" t="str">
        <f aca="false">IF($B148="","",INDEX(ChalStart,$B148))</f>
        <v/>
      </c>
      <c r="L148" s="57" t="str">
        <f aca="false">IF($B148="","",INDEX(ChalInYear,$B148))</f>
        <v/>
      </c>
      <c r="M148" s="57" t="str">
        <f aca="false">IF($B148="","",INDEX(ChalRunRate,$B148))</f>
        <v/>
      </c>
      <c r="N148" s="0" t="str">
        <f aca="false">IF($B148="","",INDEX(BookDriver,$B148))</f>
        <v/>
      </c>
    </row>
    <row r="149" customFormat="false" ht="15" hidden="false" customHeight="false" outlineLevel="0" collapsed="false">
      <c r="A149" s="33" t="n">
        <v>144</v>
      </c>
      <c r="B149" s="0" t="str">
        <f aca="false">IFERROR(MATCH($A149,ChalSeq,0),"")</f>
        <v/>
      </c>
      <c r="C149" s="0" t="str">
        <f aca="false">IF($B149="","",INDEX(ChalGroup,$B149))</f>
        <v/>
      </c>
      <c r="D149" s="0" t="str">
        <f aca="false">IF($B149="","",INDEX(ChalDivision,$B149))</f>
        <v/>
      </c>
      <c r="E149" s="0" t="str">
        <f aca="false">IF($B149="","",INDEX(ChalUnit,$B149))</f>
        <v/>
      </c>
      <c r="F149" s="0" t="str">
        <f aca="false">IF($B149="","",INDEX(ChalTitle,$B149))</f>
        <v/>
      </c>
      <c r="G149" s="0" t="str">
        <f aca="false">IF($B149="","",INDEX(ChalLevel,$B149))</f>
        <v/>
      </c>
      <c r="H149" s="0" t="str">
        <f aca="false">IF($B149="","",INDEX(BookFamily,$B149))</f>
        <v/>
      </c>
      <c r="I149" s="0" t="str">
        <f aca="false">IF($B149="","",INDEX(BookWorkerType,$B149))</f>
        <v/>
      </c>
      <c r="J149" s="56" t="str">
        <f aca="false">IF($B149="","",INDEX(ChalEffective,$B149))</f>
        <v/>
      </c>
      <c r="K149" s="0" t="str">
        <f aca="false">IF($B149="","",INDEX(ChalStart,$B149))</f>
        <v/>
      </c>
      <c r="L149" s="57" t="str">
        <f aca="false">IF($B149="","",INDEX(ChalInYear,$B149))</f>
        <v/>
      </c>
      <c r="M149" s="57" t="str">
        <f aca="false">IF($B149="","",INDEX(ChalRunRate,$B149))</f>
        <v/>
      </c>
      <c r="N149" s="0" t="str">
        <f aca="false">IF($B149="","",INDEX(BookDriver,$B149))</f>
        <v/>
      </c>
    </row>
    <row r="150" customFormat="false" ht="15" hidden="false" customHeight="false" outlineLevel="0" collapsed="false">
      <c r="A150" s="33" t="n">
        <v>145</v>
      </c>
      <c r="B150" s="0" t="str">
        <f aca="false">IFERROR(MATCH($A150,ChalSeq,0),"")</f>
        <v/>
      </c>
      <c r="C150" s="0" t="str">
        <f aca="false">IF($B150="","",INDEX(ChalGroup,$B150))</f>
        <v/>
      </c>
      <c r="D150" s="0" t="str">
        <f aca="false">IF($B150="","",INDEX(ChalDivision,$B150))</f>
        <v/>
      </c>
      <c r="E150" s="0" t="str">
        <f aca="false">IF($B150="","",INDEX(ChalUnit,$B150))</f>
        <v/>
      </c>
      <c r="F150" s="0" t="str">
        <f aca="false">IF($B150="","",INDEX(ChalTitle,$B150))</f>
        <v/>
      </c>
      <c r="G150" s="0" t="str">
        <f aca="false">IF($B150="","",INDEX(ChalLevel,$B150))</f>
        <v/>
      </c>
      <c r="H150" s="0" t="str">
        <f aca="false">IF($B150="","",INDEX(BookFamily,$B150))</f>
        <v/>
      </c>
      <c r="I150" s="0" t="str">
        <f aca="false">IF($B150="","",INDEX(BookWorkerType,$B150))</f>
        <v/>
      </c>
      <c r="J150" s="56" t="str">
        <f aca="false">IF($B150="","",INDEX(ChalEffective,$B150))</f>
        <v/>
      </c>
      <c r="K150" s="0" t="str">
        <f aca="false">IF($B150="","",INDEX(ChalStart,$B150))</f>
        <v/>
      </c>
      <c r="L150" s="57" t="str">
        <f aca="false">IF($B150="","",INDEX(ChalInYear,$B150))</f>
        <v/>
      </c>
      <c r="M150" s="57" t="str">
        <f aca="false">IF($B150="","",INDEX(ChalRunRate,$B150))</f>
        <v/>
      </c>
      <c r="N150" s="0" t="str">
        <f aca="false">IF($B150="","",INDEX(BookDriver,$B150))</f>
        <v/>
      </c>
    </row>
    <row r="151" customFormat="false" ht="15" hidden="false" customHeight="false" outlineLevel="0" collapsed="false">
      <c r="A151" s="33" t="n">
        <v>146</v>
      </c>
      <c r="B151" s="0" t="str">
        <f aca="false">IFERROR(MATCH($A151,ChalSeq,0),"")</f>
        <v/>
      </c>
      <c r="C151" s="0" t="str">
        <f aca="false">IF($B151="","",INDEX(ChalGroup,$B151))</f>
        <v/>
      </c>
      <c r="D151" s="0" t="str">
        <f aca="false">IF($B151="","",INDEX(ChalDivision,$B151))</f>
        <v/>
      </c>
      <c r="E151" s="0" t="str">
        <f aca="false">IF($B151="","",INDEX(ChalUnit,$B151))</f>
        <v/>
      </c>
      <c r="F151" s="0" t="str">
        <f aca="false">IF($B151="","",INDEX(ChalTitle,$B151))</f>
        <v/>
      </c>
      <c r="G151" s="0" t="str">
        <f aca="false">IF($B151="","",INDEX(ChalLevel,$B151))</f>
        <v/>
      </c>
      <c r="H151" s="0" t="str">
        <f aca="false">IF($B151="","",INDEX(BookFamily,$B151))</f>
        <v/>
      </c>
      <c r="I151" s="0" t="str">
        <f aca="false">IF($B151="","",INDEX(BookWorkerType,$B151))</f>
        <v/>
      </c>
      <c r="J151" s="56" t="str">
        <f aca="false">IF($B151="","",INDEX(ChalEffective,$B151))</f>
        <v/>
      </c>
      <c r="K151" s="0" t="str">
        <f aca="false">IF($B151="","",INDEX(ChalStart,$B151))</f>
        <v/>
      </c>
      <c r="L151" s="57" t="str">
        <f aca="false">IF($B151="","",INDEX(ChalInYear,$B151))</f>
        <v/>
      </c>
      <c r="M151" s="57" t="str">
        <f aca="false">IF($B151="","",INDEX(ChalRunRate,$B151))</f>
        <v/>
      </c>
      <c r="N151" s="0" t="str">
        <f aca="false">IF($B151="","",INDEX(BookDriver,$B151))</f>
        <v/>
      </c>
    </row>
    <row r="152" customFormat="false" ht="15" hidden="false" customHeight="false" outlineLevel="0" collapsed="false">
      <c r="A152" s="33" t="n">
        <v>147</v>
      </c>
      <c r="B152" s="0" t="str">
        <f aca="false">IFERROR(MATCH($A152,ChalSeq,0),"")</f>
        <v/>
      </c>
      <c r="C152" s="0" t="str">
        <f aca="false">IF($B152="","",INDEX(ChalGroup,$B152))</f>
        <v/>
      </c>
      <c r="D152" s="0" t="str">
        <f aca="false">IF($B152="","",INDEX(ChalDivision,$B152))</f>
        <v/>
      </c>
      <c r="E152" s="0" t="str">
        <f aca="false">IF($B152="","",INDEX(ChalUnit,$B152))</f>
        <v/>
      </c>
      <c r="F152" s="0" t="str">
        <f aca="false">IF($B152="","",INDEX(ChalTitle,$B152))</f>
        <v/>
      </c>
      <c r="G152" s="0" t="str">
        <f aca="false">IF($B152="","",INDEX(ChalLevel,$B152))</f>
        <v/>
      </c>
      <c r="H152" s="0" t="str">
        <f aca="false">IF($B152="","",INDEX(BookFamily,$B152))</f>
        <v/>
      </c>
      <c r="I152" s="0" t="str">
        <f aca="false">IF($B152="","",INDEX(BookWorkerType,$B152))</f>
        <v/>
      </c>
      <c r="J152" s="56" t="str">
        <f aca="false">IF($B152="","",INDEX(ChalEffective,$B152))</f>
        <v/>
      </c>
      <c r="K152" s="0" t="str">
        <f aca="false">IF($B152="","",INDEX(ChalStart,$B152))</f>
        <v/>
      </c>
      <c r="L152" s="57" t="str">
        <f aca="false">IF($B152="","",INDEX(ChalInYear,$B152))</f>
        <v/>
      </c>
      <c r="M152" s="57" t="str">
        <f aca="false">IF($B152="","",INDEX(ChalRunRate,$B152))</f>
        <v/>
      </c>
      <c r="N152" s="0" t="str">
        <f aca="false">IF($B152="","",INDEX(BookDriver,$B152))</f>
        <v/>
      </c>
    </row>
    <row r="153" customFormat="false" ht="15" hidden="false" customHeight="false" outlineLevel="0" collapsed="false">
      <c r="A153" s="33" t="n">
        <v>148</v>
      </c>
      <c r="B153" s="0" t="str">
        <f aca="false">IFERROR(MATCH($A153,ChalSeq,0),"")</f>
        <v/>
      </c>
      <c r="C153" s="0" t="str">
        <f aca="false">IF($B153="","",INDEX(ChalGroup,$B153))</f>
        <v/>
      </c>
      <c r="D153" s="0" t="str">
        <f aca="false">IF($B153="","",INDEX(ChalDivision,$B153))</f>
        <v/>
      </c>
      <c r="E153" s="0" t="str">
        <f aca="false">IF($B153="","",INDEX(ChalUnit,$B153))</f>
        <v/>
      </c>
      <c r="F153" s="0" t="str">
        <f aca="false">IF($B153="","",INDEX(ChalTitle,$B153))</f>
        <v/>
      </c>
      <c r="G153" s="0" t="str">
        <f aca="false">IF($B153="","",INDEX(ChalLevel,$B153))</f>
        <v/>
      </c>
      <c r="H153" s="0" t="str">
        <f aca="false">IF($B153="","",INDEX(BookFamily,$B153))</f>
        <v/>
      </c>
      <c r="I153" s="0" t="str">
        <f aca="false">IF($B153="","",INDEX(BookWorkerType,$B153))</f>
        <v/>
      </c>
      <c r="J153" s="56" t="str">
        <f aca="false">IF($B153="","",INDEX(ChalEffective,$B153))</f>
        <v/>
      </c>
      <c r="K153" s="0" t="str">
        <f aca="false">IF($B153="","",INDEX(ChalStart,$B153))</f>
        <v/>
      </c>
      <c r="L153" s="57" t="str">
        <f aca="false">IF($B153="","",INDEX(ChalInYear,$B153))</f>
        <v/>
      </c>
      <c r="M153" s="57" t="str">
        <f aca="false">IF($B153="","",INDEX(ChalRunRate,$B153))</f>
        <v/>
      </c>
      <c r="N153" s="0" t="str">
        <f aca="false">IF($B153="","",INDEX(BookDriver,$B153))</f>
        <v/>
      </c>
    </row>
    <row r="154" customFormat="false" ht="15" hidden="false" customHeight="false" outlineLevel="0" collapsed="false">
      <c r="A154" s="33" t="n">
        <v>149</v>
      </c>
      <c r="B154" s="0" t="str">
        <f aca="false">IFERROR(MATCH($A154,ChalSeq,0),"")</f>
        <v/>
      </c>
      <c r="C154" s="0" t="str">
        <f aca="false">IF($B154="","",INDEX(ChalGroup,$B154))</f>
        <v/>
      </c>
      <c r="D154" s="0" t="str">
        <f aca="false">IF($B154="","",INDEX(ChalDivision,$B154))</f>
        <v/>
      </c>
      <c r="E154" s="0" t="str">
        <f aca="false">IF($B154="","",INDEX(ChalUnit,$B154))</f>
        <v/>
      </c>
      <c r="F154" s="0" t="str">
        <f aca="false">IF($B154="","",INDEX(ChalTitle,$B154))</f>
        <v/>
      </c>
      <c r="G154" s="0" t="str">
        <f aca="false">IF($B154="","",INDEX(ChalLevel,$B154))</f>
        <v/>
      </c>
      <c r="H154" s="0" t="str">
        <f aca="false">IF($B154="","",INDEX(BookFamily,$B154))</f>
        <v/>
      </c>
      <c r="I154" s="0" t="str">
        <f aca="false">IF($B154="","",INDEX(BookWorkerType,$B154))</f>
        <v/>
      </c>
      <c r="J154" s="56" t="str">
        <f aca="false">IF($B154="","",INDEX(ChalEffective,$B154))</f>
        <v/>
      </c>
      <c r="K154" s="0" t="str">
        <f aca="false">IF($B154="","",INDEX(ChalStart,$B154))</f>
        <v/>
      </c>
      <c r="L154" s="57" t="str">
        <f aca="false">IF($B154="","",INDEX(ChalInYear,$B154))</f>
        <v/>
      </c>
      <c r="M154" s="57" t="str">
        <f aca="false">IF($B154="","",INDEX(ChalRunRate,$B154))</f>
        <v/>
      </c>
      <c r="N154" s="0" t="str">
        <f aca="false">IF($B154="","",INDEX(BookDriver,$B154))</f>
        <v/>
      </c>
    </row>
    <row r="155" customFormat="false" ht="15" hidden="false" customHeight="false" outlineLevel="0" collapsed="false">
      <c r="A155" s="33" t="n">
        <v>150</v>
      </c>
      <c r="B155" s="0" t="str">
        <f aca="false">IFERROR(MATCH($A155,ChalSeq,0),"")</f>
        <v/>
      </c>
      <c r="C155" s="0" t="str">
        <f aca="false">IF($B155="","",INDEX(ChalGroup,$B155))</f>
        <v/>
      </c>
      <c r="D155" s="0" t="str">
        <f aca="false">IF($B155="","",INDEX(ChalDivision,$B155))</f>
        <v/>
      </c>
      <c r="E155" s="0" t="str">
        <f aca="false">IF($B155="","",INDEX(ChalUnit,$B155))</f>
        <v/>
      </c>
      <c r="F155" s="0" t="str">
        <f aca="false">IF($B155="","",INDEX(ChalTitle,$B155))</f>
        <v/>
      </c>
      <c r="G155" s="0" t="str">
        <f aca="false">IF($B155="","",INDEX(ChalLevel,$B155))</f>
        <v/>
      </c>
      <c r="H155" s="0" t="str">
        <f aca="false">IF($B155="","",INDEX(BookFamily,$B155))</f>
        <v/>
      </c>
      <c r="I155" s="0" t="str">
        <f aca="false">IF($B155="","",INDEX(BookWorkerType,$B155))</f>
        <v/>
      </c>
      <c r="J155" s="56" t="str">
        <f aca="false">IF($B155="","",INDEX(ChalEffective,$B155))</f>
        <v/>
      </c>
      <c r="K155" s="0" t="str">
        <f aca="false">IF($B155="","",INDEX(ChalStart,$B155))</f>
        <v/>
      </c>
      <c r="L155" s="57" t="str">
        <f aca="false">IF($B155="","",INDEX(ChalInYear,$B155))</f>
        <v/>
      </c>
      <c r="M155" s="57" t="str">
        <f aca="false">IF($B155="","",INDEX(ChalRunRate,$B155))</f>
        <v/>
      </c>
      <c r="N155" s="0" t="str">
        <f aca="false">IF($B155="","",INDEX(BookDriver,$B155))</f>
        <v/>
      </c>
    </row>
    <row r="156" customFormat="false" ht="15" hidden="false" customHeight="false" outlineLevel="0" collapsed="false">
      <c r="A156" s="33" t="n">
        <v>151</v>
      </c>
      <c r="B156" s="0" t="str">
        <f aca="false">IFERROR(MATCH($A156,ChalSeq,0),"")</f>
        <v/>
      </c>
      <c r="C156" s="0" t="str">
        <f aca="false">IF($B156="","",INDEX(ChalGroup,$B156))</f>
        <v/>
      </c>
      <c r="D156" s="0" t="str">
        <f aca="false">IF($B156="","",INDEX(ChalDivision,$B156))</f>
        <v/>
      </c>
      <c r="E156" s="0" t="str">
        <f aca="false">IF($B156="","",INDEX(ChalUnit,$B156))</f>
        <v/>
      </c>
      <c r="F156" s="0" t="str">
        <f aca="false">IF($B156="","",INDEX(ChalTitle,$B156))</f>
        <v/>
      </c>
      <c r="G156" s="0" t="str">
        <f aca="false">IF($B156="","",INDEX(ChalLevel,$B156))</f>
        <v/>
      </c>
      <c r="H156" s="0" t="str">
        <f aca="false">IF($B156="","",INDEX(BookFamily,$B156))</f>
        <v/>
      </c>
      <c r="I156" s="0" t="str">
        <f aca="false">IF($B156="","",INDEX(BookWorkerType,$B156))</f>
        <v/>
      </c>
      <c r="J156" s="56" t="str">
        <f aca="false">IF($B156="","",INDEX(ChalEffective,$B156))</f>
        <v/>
      </c>
      <c r="K156" s="0" t="str">
        <f aca="false">IF($B156="","",INDEX(ChalStart,$B156))</f>
        <v/>
      </c>
      <c r="L156" s="57" t="str">
        <f aca="false">IF($B156="","",INDEX(ChalInYear,$B156))</f>
        <v/>
      </c>
      <c r="M156" s="57" t="str">
        <f aca="false">IF($B156="","",INDEX(ChalRunRate,$B156))</f>
        <v/>
      </c>
      <c r="N156" s="0" t="str">
        <f aca="false">IF($B156="","",INDEX(BookDriver,$B156))</f>
        <v/>
      </c>
    </row>
    <row r="157" customFormat="false" ht="15" hidden="false" customHeight="false" outlineLevel="0" collapsed="false">
      <c r="A157" s="33" t="n">
        <v>152</v>
      </c>
      <c r="B157" s="0" t="str">
        <f aca="false">IFERROR(MATCH($A157,ChalSeq,0),"")</f>
        <v/>
      </c>
      <c r="C157" s="0" t="str">
        <f aca="false">IF($B157="","",INDEX(ChalGroup,$B157))</f>
        <v/>
      </c>
      <c r="D157" s="0" t="str">
        <f aca="false">IF($B157="","",INDEX(ChalDivision,$B157))</f>
        <v/>
      </c>
      <c r="E157" s="0" t="str">
        <f aca="false">IF($B157="","",INDEX(ChalUnit,$B157))</f>
        <v/>
      </c>
      <c r="F157" s="0" t="str">
        <f aca="false">IF($B157="","",INDEX(ChalTitle,$B157))</f>
        <v/>
      </c>
      <c r="G157" s="0" t="str">
        <f aca="false">IF($B157="","",INDEX(ChalLevel,$B157))</f>
        <v/>
      </c>
      <c r="H157" s="0" t="str">
        <f aca="false">IF($B157="","",INDEX(BookFamily,$B157))</f>
        <v/>
      </c>
      <c r="I157" s="0" t="str">
        <f aca="false">IF($B157="","",INDEX(BookWorkerType,$B157))</f>
        <v/>
      </c>
      <c r="J157" s="56" t="str">
        <f aca="false">IF($B157="","",INDEX(ChalEffective,$B157))</f>
        <v/>
      </c>
      <c r="K157" s="0" t="str">
        <f aca="false">IF($B157="","",INDEX(ChalStart,$B157))</f>
        <v/>
      </c>
      <c r="L157" s="57" t="str">
        <f aca="false">IF($B157="","",INDEX(ChalInYear,$B157))</f>
        <v/>
      </c>
      <c r="M157" s="57" t="str">
        <f aca="false">IF($B157="","",INDEX(ChalRunRate,$B157))</f>
        <v/>
      </c>
      <c r="N157" s="0" t="str">
        <f aca="false">IF($B157="","",INDEX(BookDriver,$B157))</f>
        <v/>
      </c>
    </row>
    <row r="158" customFormat="false" ht="15" hidden="false" customHeight="false" outlineLevel="0" collapsed="false">
      <c r="A158" s="33" t="n">
        <v>153</v>
      </c>
      <c r="B158" s="0" t="str">
        <f aca="false">IFERROR(MATCH($A158,ChalSeq,0),"")</f>
        <v/>
      </c>
      <c r="C158" s="0" t="str">
        <f aca="false">IF($B158="","",INDEX(ChalGroup,$B158))</f>
        <v/>
      </c>
      <c r="D158" s="0" t="str">
        <f aca="false">IF($B158="","",INDEX(ChalDivision,$B158))</f>
        <v/>
      </c>
      <c r="E158" s="0" t="str">
        <f aca="false">IF($B158="","",INDEX(ChalUnit,$B158))</f>
        <v/>
      </c>
      <c r="F158" s="0" t="str">
        <f aca="false">IF($B158="","",INDEX(ChalTitle,$B158))</f>
        <v/>
      </c>
      <c r="G158" s="0" t="str">
        <f aca="false">IF($B158="","",INDEX(ChalLevel,$B158))</f>
        <v/>
      </c>
      <c r="H158" s="0" t="str">
        <f aca="false">IF($B158="","",INDEX(BookFamily,$B158))</f>
        <v/>
      </c>
      <c r="I158" s="0" t="str">
        <f aca="false">IF($B158="","",INDEX(BookWorkerType,$B158))</f>
        <v/>
      </c>
      <c r="J158" s="56" t="str">
        <f aca="false">IF($B158="","",INDEX(ChalEffective,$B158))</f>
        <v/>
      </c>
      <c r="K158" s="0" t="str">
        <f aca="false">IF($B158="","",INDEX(ChalStart,$B158))</f>
        <v/>
      </c>
      <c r="L158" s="57" t="str">
        <f aca="false">IF($B158="","",INDEX(ChalInYear,$B158))</f>
        <v/>
      </c>
      <c r="M158" s="57" t="str">
        <f aca="false">IF($B158="","",INDEX(ChalRunRate,$B158))</f>
        <v/>
      </c>
      <c r="N158" s="0" t="str">
        <f aca="false">IF($B158="","",INDEX(BookDriver,$B158))</f>
        <v/>
      </c>
    </row>
    <row r="159" customFormat="false" ht="15" hidden="false" customHeight="false" outlineLevel="0" collapsed="false">
      <c r="A159" s="33" t="n">
        <v>154</v>
      </c>
      <c r="B159" s="0" t="str">
        <f aca="false">IFERROR(MATCH($A159,ChalSeq,0),"")</f>
        <v/>
      </c>
      <c r="C159" s="0" t="str">
        <f aca="false">IF($B159="","",INDEX(ChalGroup,$B159))</f>
        <v/>
      </c>
      <c r="D159" s="0" t="str">
        <f aca="false">IF($B159="","",INDEX(ChalDivision,$B159))</f>
        <v/>
      </c>
      <c r="E159" s="0" t="str">
        <f aca="false">IF($B159="","",INDEX(ChalUnit,$B159))</f>
        <v/>
      </c>
      <c r="F159" s="0" t="str">
        <f aca="false">IF($B159="","",INDEX(ChalTitle,$B159))</f>
        <v/>
      </c>
      <c r="G159" s="0" t="str">
        <f aca="false">IF($B159="","",INDEX(ChalLevel,$B159))</f>
        <v/>
      </c>
      <c r="H159" s="0" t="str">
        <f aca="false">IF($B159="","",INDEX(BookFamily,$B159))</f>
        <v/>
      </c>
      <c r="I159" s="0" t="str">
        <f aca="false">IF($B159="","",INDEX(BookWorkerType,$B159))</f>
        <v/>
      </c>
      <c r="J159" s="56" t="str">
        <f aca="false">IF($B159="","",INDEX(ChalEffective,$B159))</f>
        <v/>
      </c>
      <c r="K159" s="0" t="str">
        <f aca="false">IF($B159="","",INDEX(ChalStart,$B159))</f>
        <v/>
      </c>
      <c r="L159" s="57" t="str">
        <f aca="false">IF($B159="","",INDEX(ChalInYear,$B159))</f>
        <v/>
      </c>
      <c r="M159" s="57" t="str">
        <f aca="false">IF($B159="","",INDEX(ChalRunRate,$B159))</f>
        <v/>
      </c>
      <c r="N159" s="0" t="str">
        <f aca="false">IF($B159="","",INDEX(BookDriver,$B159))</f>
        <v/>
      </c>
    </row>
    <row r="160" customFormat="false" ht="15" hidden="false" customHeight="false" outlineLevel="0" collapsed="false">
      <c r="A160" s="33" t="n">
        <v>155</v>
      </c>
      <c r="B160" s="0" t="str">
        <f aca="false">IFERROR(MATCH($A160,ChalSeq,0),"")</f>
        <v/>
      </c>
      <c r="C160" s="0" t="str">
        <f aca="false">IF($B160="","",INDEX(ChalGroup,$B160))</f>
        <v/>
      </c>
      <c r="D160" s="0" t="str">
        <f aca="false">IF($B160="","",INDEX(ChalDivision,$B160))</f>
        <v/>
      </c>
      <c r="E160" s="0" t="str">
        <f aca="false">IF($B160="","",INDEX(ChalUnit,$B160))</f>
        <v/>
      </c>
      <c r="F160" s="0" t="str">
        <f aca="false">IF($B160="","",INDEX(ChalTitle,$B160))</f>
        <v/>
      </c>
      <c r="G160" s="0" t="str">
        <f aca="false">IF($B160="","",INDEX(ChalLevel,$B160))</f>
        <v/>
      </c>
      <c r="H160" s="0" t="str">
        <f aca="false">IF($B160="","",INDEX(BookFamily,$B160))</f>
        <v/>
      </c>
      <c r="I160" s="0" t="str">
        <f aca="false">IF($B160="","",INDEX(BookWorkerType,$B160))</f>
        <v/>
      </c>
      <c r="J160" s="56" t="str">
        <f aca="false">IF($B160="","",INDEX(ChalEffective,$B160))</f>
        <v/>
      </c>
      <c r="K160" s="0" t="str">
        <f aca="false">IF($B160="","",INDEX(ChalStart,$B160))</f>
        <v/>
      </c>
      <c r="L160" s="57" t="str">
        <f aca="false">IF($B160="","",INDEX(ChalInYear,$B160))</f>
        <v/>
      </c>
      <c r="M160" s="57" t="str">
        <f aca="false">IF($B160="","",INDEX(ChalRunRate,$B160))</f>
        <v/>
      </c>
      <c r="N160" s="0" t="str">
        <f aca="false">IF($B160="","",INDEX(BookDriver,$B160))</f>
        <v/>
      </c>
    </row>
    <row r="161" customFormat="false" ht="15" hidden="false" customHeight="false" outlineLevel="0" collapsed="false">
      <c r="A161" s="33" t="n">
        <v>156</v>
      </c>
      <c r="B161" s="0" t="str">
        <f aca="false">IFERROR(MATCH($A161,ChalSeq,0),"")</f>
        <v/>
      </c>
      <c r="C161" s="0" t="str">
        <f aca="false">IF($B161="","",INDEX(ChalGroup,$B161))</f>
        <v/>
      </c>
      <c r="D161" s="0" t="str">
        <f aca="false">IF($B161="","",INDEX(ChalDivision,$B161))</f>
        <v/>
      </c>
      <c r="E161" s="0" t="str">
        <f aca="false">IF($B161="","",INDEX(ChalUnit,$B161))</f>
        <v/>
      </c>
      <c r="F161" s="0" t="str">
        <f aca="false">IF($B161="","",INDEX(ChalTitle,$B161))</f>
        <v/>
      </c>
      <c r="G161" s="0" t="str">
        <f aca="false">IF($B161="","",INDEX(ChalLevel,$B161))</f>
        <v/>
      </c>
      <c r="H161" s="0" t="str">
        <f aca="false">IF($B161="","",INDEX(BookFamily,$B161))</f>
        <v/>
      </c>
      <c r="I161" s="0" t="str">
        <f aca="false">IF($B161="","",INDEX(BookWorkerType,$B161))</f>
        <v/>
      </c>
      <c r="J161" s="56" t="str">
        <f aca="false">IF($B161="","",INDEX(ChalEffective,$B161))</f>
        <v/>
      </c>
      <c r="K161" s="0" t="str">
        <f aca="false">IF($B161="","",INDEX(ChalStart,$B161))</f>
        <v/>
      </c>
      <c r="L161" s="57" t="str">
        <f aca="false">IF($B161="","",INDEX(ChalInYear,$B161))</f>
        <v/>
      </c>
      <c r="M161" s="57" t="str">
        <f aca="false">IF($B161="","",INDEX(ChalRunRate,$B161))</f>
        <v/>
      </c>
      <c r="N161" s="0" t="str">
        <f aca="false">IF($B161="","",INDEX(BookDriver,$B161))</f>
        <v/>
      </c>
    </row>
    <row r="162" customFormat="false" ht="15" hidden="false" customHeight="false" outlineLevel="0" collapsed="false">
      <c r="A162" s="33" t="n">
        <v>157</v>
      </c>
      <c r="B162" s="0" t="str">
        <f aca="false">IFERROR(MATCH($A162,ChalSeq,0),"")</f>
        <v/>
      </c>
      <c r="C162" s="0" t="str">
        <f aca="false">IF($B162="","",INDEX(ChalGroup,$B162))</f>
        <v/>
      </c>
      <c r="D162" s="0" t="str">
        <f aca="false">IF($B162="","",INDEX(ChalDivision,$B162))</f>
        <v/>
      </c>
      <c r="E162" s="0" t="str">
        <f aca="false">IF($B162="","",INDEX(ChalUnit,$B162))</f>
        <v/>
      </c>
      <c r="F162" s="0" t="str">
        <f aca="false">IF($B162="","",INDEX(ChalTitle,$B162))</f>
        <v/>
      </c>
      <c r="G162" s="0" t="str">
        <f aca="false">IF($B162="","",INDEX(ChalLevel,$B162))</f>
        <v/>
      </c>
      <c r="H162" s="0" t="str">
        <f aca="false">IF($B162="","",INDEX(BookFamily,$B162))</f>
        <v/>
      </c>
      <c r="I162" s="0" t="str">
        <f aca="false">IF($B162="","",INDEX(BookWorkerType,$B162))</f>
        <v/>
      </c>
      <c r="J162" s="56" t="str">
        <f aca="false">IF($B162="","",INDEX(ChalEffective,$B162))</f>
        <v/>
      </c>
      <c r="K162" s="0" t="str">
        <f aca="false">IF($B162="","",INDEX(ChalStart,$B162))</f>
        <v/>
      </c>
      <c r="L162" s="57" t="str">
        <f aca="false">IF($B162="","",INDEX(ChalInYear,$B162))</f>
        <v/>
      </c>
      <c r="M162" s="57" t="str">
        <f aca="false">IF($B162="","",INDEX(ChalRunRate,$B162))</f>
        <v/>
      </c>
      <c r="N162" s="0" t="str">
        <f aca="false">IF($B162="","",INDEX(BookDriver,$B162))</f>
        <v/>
      </c>
    </row>
    <row r="163" customFormat="false" ht="15" hidden="false" customHeight="false" outlineLevel="0" collapsed="false">
      <c r="A163" s="33" t="n">
        <v>158</v>
      </c>
      <c r="B163" s="0" t="str">
        <f aca="false">IFERROR(MATCH($A163,ChalSeq,0),"")</f>
        <v/>
      </c>
      <c r="C163" s="0" t="str">
        <f aca="false">IF($B163="","",INDEX(ChalGroup,$B163))</f>
        <v/>
      </c>
      <c r="D163" s="0" t="str">
        <f aca="false">IF($B163="","",INDEX(ChalDivision,$B163))</f>
        <v/>
      </c>
      <c r="E163" s="0" t="str">
        <f aca="false">IF($B163="","",INDEX(ChalUnit,$B163))</f>
        <v/>
      </c>
      <c r="F163" s="0" t="str">
        <f aca="false">IF($B163="","",INDEX(ChalTitle,$B163))</f>
        <v/>
      </c>
      <c r="G163" s="0" t="str">
        <f aca="false">IF($B163="","",INDEX(ChalLevel,$B163))</f>
        <v/>
      </c>
      <c r="H163" s="0" t="str">
        <f aca="false">IF($B163="","",INDEX(BookFamily,$B163))</f>
        <v/>
      </c>
      <c r="I163" s="0" t="str">
        <f aca="false">IF($B163="","",INDEX(BookWorkerType,$B163))</f>
        <v/>
      </c>
      <c r="J163" s="56" t="str">
        <f aca="false">IF($B163="","",INDEX(ChalEffective,$B163))</f>
        <v/>
      </c>
      <c r="K163" s="0" t="str">
        <f aca="false">IF($B163="","",INDEX(ChalStart,$B163))</f>
        <v/>
      </c>
      <c r="L163" s="57" t="str">
        <f aca="false">IF($B163="","",INDEX(ChalInYear,$B163))</f>
        <v/>
      </c>
      <c r="M163" s="57" t="str">
        <f aca="false">IF($B163="","",INDEX(ChalRunRate,$B163))</f>
        <v/>
      </c>
      <c r="N163" s="0" t="str">
        <f aca="false">IF($B163="","",INDEX(BookDriver,$B163))</f>
        <v/>
      </c>
    </row>
    <row r="164" customFormat="false" ht="15" hidden="false" customHeight="false" outlineLevel="0" collapsed="false">
      <c r="A164" s="33" t="n">
        <v>159</v>
      </c>
      <c r="B164" s="0" t="str">
        <f aca="false">IFERROR(MATCH($A164,ChalSeq,0),"")</f>
        <v/>
      </c>
      <c r="C164" s="0" t="str">
        <f aca="false">IF($B164="","",INDEX(ChalGroup,$B164))</f>
        <v/>
      </c>
      <c r="D164" s="0" t="str">
        <f aca="false">IF($B164="","",INDEX(ChalDivision,$B164))</f>
        <v/>
      </c>
      <c r="E164" s="0" t="str">
        <f aca="false">IF($B164="","",INDEX(ChalUnit,$B164))</f>
        <v/>
      </c>
      <c r="F164" s="0" t="str">
        <f aca="false">IF($B164="","",INDEX(ChalTitle,$B164))</f>
        <v/>
      </c>
      <c r="G164" s="0" t="str">
        <f aca="false">IF($B164="","",INDEX(ChalLevel,$B164))</f>
        <v/>
      </c>
      <c r="H164" s="0" t="str">
        <f aca="false">IF($B164="","",INDEX(BookFamily,$B164))</f>
        <v/>
      </c>
      <c r="I164" s="0" t="str">
        <f aca="false">IF($B164="","",INDEX(BookWorkerType,$B164))</f>
        <v/>
      </c>
      <c r="J164" s="56" t="str">
        <f aca="false">IF($B164="","",INDEX(ChalEffective,$B164))</f>
        <v/>
      </c>
      <c r="K164" s="0" t="str">
        <f aca="false">IF($B164="","",INDEX(ChalStart,$B164))</f>
        <v/>
      </c>
      <c r="L164" s="57" t="str">
        <f aca="false">IF($B164="","",INDEX(ChalInYear,$B164))</f>
        <v/>
      </c>
      <c r="M164" s="57" t="str">
        <f aca="false">IF($B164="","",INDEX(ChalRunRate,$B164))</f>
        <v/>
      </c>
      <c r="N164" s="0" t="str">
        <f aca="false">IF($B164="","",INDEX(BookDriver,$B164))</f>
        <v/>
      </c>
    </row>
    <row r="165" customFormat="false" ht="15" hidden="false" customHeight="false" outlineLevel="0" collapsed="false">
      <c r="A165" s="33" t="n">
        <v>160</v>
      </c>
      <c r="B165" s="0" t="str">
        <f aca="false">IFERROR(MATCH($A165,ChalSeq,0),"")</f>
        <v/>
      </c>
      <c r="C165" s="0" t="str">
        <f aca="false">IF($B165="","",INDEX(ChalGroup,$B165))</f>
        <v/>
      </c>
      <c r="D165" s="0" t="str">
        <f aca="false">IF($B165="","",INDEX(ChalDivision,$B165))</f>
        <v/>
      </c>
      <c r="E165" s="0" t="str">
        <f aca="false">IF($B165="","",INDEX(ChalUnit,$B165))</f>
        <v/>
      </c>
      <c r="F165" s="0" t="str">
        <f aca="false">IF($B165="","",INDEX(ChalTitle,$B165))</f>
        <v/>
      </c>
      <c r="G165" s="0" t="str">
        <f aca="false">IF($B165="","",INDEX(ChalLevel,$B165))</f>
        <v/>
      </c>
      <c r="H165" s="0" t="str">
        <f aca="false">IF($B165="","",INDEX(BookFamily,$B165))</f>
        <v/>
      </c>
      <c r="I165" s="0" t="str">
        <f aca="false">IF($B165="","",INDEX(BookWorkerType,$B165))</f>
        <v/>
      </c>
      <c r="J165" s="56" t="str">
        <f aca="false">IF($B165="","",INDEX(ChalEffective,$B165))</f>
        <v/>
      </c>
      <c r="K165" s="0" t="str">
        <f aca="false">IF($B165="","",INDEX(ChalStart,$B165))</f>
        <v/>
      </c>
      <c r="L165" s="57" t="str">
        <f aca="false">IF($B165="","",INDEX(ChalInYear,$B165))</f>
        <v/>
      </c>
      <c r="M165" s="57" t="str">
        <f aca="false">IF($B165="","",INDEX(ChalRunRate,$B165))</f>
        <v/>
      </c>
      <c r="N165" s="0" t="str">
        <f aca="false">IF($B165="","",INDEX(BookDriver,$B165))</f>
        <v/>
      </c>
    </row>
    <row r="166" customFormat="false" ht="15" hidden="false" customHeight="false" outlineLevel="0" collapsed="false">
      <c r="A166" s="33" t="n">
        <v>161</v>
      </c>
      <c r="B166" s="0" t="str">
        <f aca="false">IFERROR(MATCH($A166,ChalSeq,0),"")</f>
        <v/>
      </c>
      <c r="C166" s="0" t="str">
        <f aca="false">IF($B166="","",INDEX(ChalGroup,$B166))</f>
        <v/>
      </c>
      <c r="D166" s="0" t="str">
        <f aca="false">IF($B166="","",INDEX(ChalDivision,$B166))</f>
        <v/>
      </c>
      <c r="E166" s="0" t="str">
        <f aca="false">IF($B166="","",INDEX(ChalUnit,$B166))</f>
        <v/>
      </c>
      <c r="F166" s="0" t="str">
        <f aca="false">IF($B166="","",INDEX(ChalTitle,$B166))</f>
        <v/>
      </c>
      <c r="G166" s="0" t="str">
        <f aca="false">IF($B166="","",INDEX(ChalLevel,$B166))</f>
        <v/>
      </c>
      <c r="H166" s="0" t="str">
        <f aca="false">IF($B166="","",INDEX(BookFamily,$B166))</f>
        <v/>
      </c>
      <c r="I166" s="0" t="str">
        <f aca="false">IF($B166="","",INDEX(BookWorkerType,$B166))</f>
        <v/>
      </c>
      <c r="J166" s="56" t="str">
        <f aca="false">IF($B166="","",INDEX(ChalEffective,$B166))</f>
        <v/>
      </c>
      <c r="K166" s="0" t="str">
        <f aca="false">IF($B166="","",INDEX(ChalStart,$B166))</f>
        <v/>
      </c>
      <c r="L166" s="57" t="str">
        <f aca="false">IF($B166="","",INDEX(ChalInYear,$B166))</f>
        <v/>
      </c>
      <c r="M166" s="57" t="str">
        <f aca="false">IF($B166="","",INDEX(ChalRunRate,$B166))</f>
        <v/>
      </c>
      <c r="N166" s="0" t="str">
        <f aca="false">IF($B166="","",INDEX(BookDriver,$B166))</f>
        <v/>
      </c>
    </row>
    <row r="167" customFormat="false" ht="15" hidden="false" customHeight="false" outlineLevel="0" collapsed="false">
      <c r="A167" s="33" t="n">
        <v>162</v>
      </c>
      <c r="B167" s="0" t="str">
        <f aca="false">IFERROR(MATCH($A167,ChalSeq,0),"")</f>
        <v/>
      </c>
      <c r="C167" s="0" t="str">
        <f aca="false">IF($B167="","",INDEX(ChalGroup,$B167))</f>
        <v/>
      </c>
      <c r="D167" s="0" t="str">
        <f aca="false">IF($B167="","",INDEX(ChalDivision,$B167))</f>
        <v/>
      </c>
      <c r="E167" s="0" t="str">
        <f aca="false">IF($B167="","",INDEX(ChalUnit,$B167))</f>
        <v/>
      </c>
      <c r="F167" s="0" t="str">
        <f aca="false">IF($B167="","",INDEX(ChalTitle,$B167))</f>
        <v/>
      </c>
      <c r="G167" s="0" t="str">
        <f aca="false">IF($B167="","",INDEX(ChalLevel,$B167))</f>
        <v/>
      </c>
      <c r="H167" s="0" t="str">
        <f aca="false">IF($B167="","",INDEX(BookFamily,$B167))</f>
        <v/>
      </c>
      <c r="I167" s="0" t="str">
        <f aca="false">IF($B167="","",INDEX(BookWorkerType,$B167))</f>
        <v/>
      </c>
      <c r="J167" s="56" t="str">
        <f aca="false">IF($B167="","",INDEX(ChalEffective,$B167))</f>
        <v/>
      </c>
      <c r="K167" s="0" t="str">
        <f aca="false">IF($B167="","",INDEX(ChalStart,$B167))</f>
        <v/>
      </c>
      <c r="L167" s="57" t="str">
        <f aca="false">IF($B167="","",INDEX(ChalInYear,$B167))</f>
        <v/>
      </c>
      <c r="M167" s="57" t="str">
        <f aca="false">IF($B167="","",INDEX(ChalRunRate,$B167))</f>
        <v/>
      </c>
      <c r="N167" s="0" t="str">
        <f aca="false">IF($B167="","",INDEX(BookDriver,$B167))</f>
        <v/>
      </c>
    </row>
    <row r="168" customFormat="false" ht="15" hidden="false" customHeight="false" outlineLevel="0" collapsed="false">
      <c r="A168" s="33" t="n">
        <v>163</v>
      </c>
      <c r="B168" s="0" t="str">
        <f aca="false">IFERROR(MATCH($A168,ChalSeq,0),"")</f>
        <v/>
      </c>
      <c r="C168" s="0" t="str">
        <f aca="false">IF($B168="","",INDEX(ChalGroup,$B168))</f>
        <v/>
      </c>
      <c r="D168" s="0" t="str">
        <f aca="false">IF($B168="","",INDEX(ChalDivision,$B168))</f>
        <v/>
      </c>
      <c r="E168" s="0" t="str">
        <f aca="false">IF($B168="","",INDEX(ChalUnit,$B168))</f>
        <v/>
      </c>
      <c r="F168" s="0" t="str">
        <f aca="false">IF($B168="","",INDEX(ChalTitle,$B168))</f>
        <v/>
      </c>
      <c r="G168" s="0" t="str">
        <f aca="false">IF($B168="","",INDEX(ChalLevel,$B168))</f>
        <v/>
      </c>
      <c r="H168" s="0" t="str">
        <f aca="false">IF($B168="","",INDEX(BookFamily,$B168))</f>
        <v/>
      </c>
      <c r="I168" s="0" t="str">
        <f aca="false">IF($B168="","",INDEX(BookWorkerType,$B168))</f>
        <v/>
      </c>
      <c r="J168" s="56" t="str">
        <f aca="false">IF($B168="","",INDEX(ChalEffective,$B168))</f>
        <v/>
      </c>
      <c r="K168" s="0" t="str">
        <f aca="false">IF($B168="","",INDEX(ChalStart,$B168))</f>
        <v/>
      </c>
      <c r="L168" s="57" t="str">
        <f aca="false">IF($B168="","",INDEX(ChalInYear,$B168))</f>
        <v/>
      </c>
      <c r="M168" s="57" t="str">
        <f aca="false">IF($B168="","",INDEX(ChalRunRate,$B168))</f>
        <v/>
      </c>
      <c r="N168" s="0" t="str">
        <f aca="false">IF($B168="","",INDEX(BookDriver,$B168))</f>
        <v/>
      </c>
    </row>
    <row r="169" customFormat="false" ht="15" hidden="false" customHeight="false" outlineLevel="0" collapsed="false">
      <c r="A169" s="33" t="n">
        <v>164</v>
      </c>
      <c r="B169" s="0" t="str">
        <f aca="false">IFERROR(MATCH($A169,ChalSeq,0),"")</f>
        <v/>
      </c>
      <c r="C169" s="0" t="str">
        <f aca="false">IF($B169="","",INDEX(ChalGroup,$B169))</f>
        <v/>
      </c>
      <c r="D169" s="0" t="str">
        <f aca="false">IF($B169="","",INDEX(ChalDivision,$B169))</f>
        <v/>
      </c>
      <c r="E169" s="0" t="str">
        <f aca="false">IF($B169="","",INDEX(ChalUnit,$B169))</f>
        <v/>
      </c>
      <c r="F169" s="0" t="str">
        <f aca="false">IF($B169="","",INDEX(ChalTitle,$B169))</f>
        <v/>
      </c>
      <c r="G169" s="0" t="str">
        <f aca="false">IF($B169="","",INDEX(ChalLevel,$B169))</f>
        <v/>
      </c>
      <c r="H169" s="0" t="str">
        <f aca="false">IF($B169="","",INDEX(BookFamily,$B169))</f>
        <v/>
      </c>
      <c r="I169" s="0" t="str">
        <f aca="false">IF($B169="","",INDEX(BookWorkerType,$B169))</f>
        <v/>
      </c>
      <c r="J169" s="56" t="str">
        <f aca="false">IF($B169="","",INDEX(ChalEffective,$B169))</f>
        <v/>
      </c>
      <c r="K169" s="0" t="str">
        <f aca="false">IF($B169="","",INDEX(ChalStart,$B169))</f>
        <v/>
      </c>
      <c r="L169" s="57" t="str">
        <f aca="false">IF($B169="","",INDEX(ChalInYear,$B169))</f>
        <v/>
      </c>
      <c r="M169" s="57" t="str">
        <f aca="false">IF($B169="","",INDEX(ChalRunRate,$B169))</f>
        <v/>
      </c>
      <c r="N169" s="0" t="str">
        <f aca="false">IF($B169="","",INDEX(BookDriver,$B169))</f>
        <v/>
      </c>
    </row>
    <row r="170" customFormat="false" ht="15" hidden="false" customHeight="false" outlineLevel="0" collapsed="false">
      <c r="A170" s="33" t="n">
        <v>165</v>
      </c>
      <c r="B170" s="0" t="str">
        <f aca="false">IFERROR(MATCH($A170,ChalSeq,0),"")</f>
        <v/>
      </c>
      <c r="C170" s="0" t="str">
        <f aca="false">IF($B170="","",INDEX(ChalGroup,$B170))</f>
        <v/>
      </c>
      <c r="D170" s="0" t="str">
        <f aca="false">IF($B170="","",INDEX(ChalDivision,$B170))</f>
        <v/>
      </c>
      <c r="E170" s="0" t="str">
        <f aca="false">IF($B170="","",INDEX(ChalUnit,$B170))</f>
        <v/>
      </c>
      <c r="F170" s="0" t="str">
        <f aca="false">IF($B170="","",INDEX(ChalTitle,$B170))</f>
        <v/>
      </c>
      <c r="G170" s="0" t="str">
        <f aca="false">IF($B170="","",INDEX(ChalLevel,$B170))</f>
        <v/>
      </c>
      <c r="H170" s="0" t="str">
        <f aca="false">IF($B170="","",INDEX(BookFamily,$B170))</f>
        <v/>
      </c>
      <c r="I170" s="0" t="str">
        <f aca="false">IF($B170="","",INDEX(BookWorkerType,$B170))</f>
        <v/>
      </c>
      <c r="J170" s="56" t="str">
        <f aca="false">IF($B170="","",INDEX(ChalEffective,$B170))</f>
        <v/>
      </c>
      <c r="K170" s="0" t="str">
        <f aca="false">IF($B170="","",INDEX(ChalStart,$B170))</f>
        <v/>
      </c>
      <c r="L170" s="57" t="str">
        <f aca="false">IF($B170="","",INDEX(ChalInYear,$B170))</f>
        <v/>
      </c>
      <c r="M170" s="57" t="str">
        <f aca="false">IF($B170="","",INDEX(ChalRunRate,$B170))</f>
        <v/>
      </c>
      <c r="N170" s="0" t="str">
        <f aca="false">IF($B170="","",INDEX(BookDriver,$B170))</f>
        <v/>
      </c>
    </row>
    <row r="171" customFormat="false" ht="15" hidden="false" customHeight="false" outlineLevel="0" collapsed="false">
      <c r="A171" s="33" t="n">
        <v>166</v>
      </c>
      <c r="B171" s="0" t="str">
        <f aca="false">IFERROR(MATCH($A171,ChalSeq,0),"")</f>
        <v/>
      </c>
      <c r="C171" s="0" t="str">
        <f aca="false">IF($B171="","",INDEX(ChalGroup,$B171))</f>
        <v/>
      </c>
      <c r="D171" s="0" t="str">
        <f aca="false">IF($B171="","",INDEX(ChalDivision,$B171))</f>
        <v/>
      </c>
      <c r="E171" s="0" t="str">
        <f aca="false">IF($B171="","",INDEX(ChalUnit,$B171))</f>
        <v/>
      </c>
      <c r="F171" s="0" t="str">
        <f aca="false">IF($B171="","",INDEX(ChalTitle,$B171))</f>
        <v/>
      </c>
      <c r="G171" s="0" t="str">
        <f aca="false">IF($B171="","",INDEX(ChalLevel,$B171))</f>
        <v/>
      </c>
      <c r="H171" s="0" t="str">
        <f aca="false">IF($B171="","",INDEX(BookFamily,$B171))</f>
        <v/>
      </c>
      <c r="I171" s="0" t="str">
        <f aca="false">IF($B171="","",INDEX(BookWorkerType,$B171))</f>
        <v/>
      </c>
      <c r="J171" s="56" t="str">
        <f aca="false">IF($B171="","",INDEX(ChalEffective,$B171))</f>
        <v/>
      </c>
      <c r="K171" s="0" t="str">
        <f aca="false">IF($B171="","",INDEX(ChalStart,$B171))</f>
        <v/>
      </c>
      <c r="L171" s="57" t="str">
        <f aca="false">IF($B171="","",INDEX(ChalInYear,$B171))</f>
        <v/>
      </c>
      <c r="M171" s="57" t="str">
        <f aca="false">IF($B171="","",INDEX(ChalRunRate,$B171))</f>
        <v/>
      </c>
      <c r="N171" s="0" t="str">
        <f aca="false">IF($B171="","",INDEX(BookDriver,$B171))</f>
        <v/>
      </c>
    </row>
    <row r="172" customFormat="false" ht="15" hidden="false" customHeight="false" outlineLevel="0" collapsed="false">
      <c r="A172" s="33" t="n">
        <v>167</v>
      </c>
      <c r="B172" s="0" t="str">
        <f aca="false">IFERROR(MATCH($A172,ChalSeq,0),"")</f>
        <v/>
      </c>
      <c r="C172" s="0" t="str">
        <f aca="false">IF($B172="","",INDEX(ChalGroup,$B172))</f>
        <v/>
      </c>
      <c r="D172" s="0" t="str">
        <f aca="false">IF($B172="","",INDEX(ChalDivision,$B172))</f>
        <v/>
      </c>
      <c r="E172" s="0" t="str">
        <f aca="false">IF($B172="","",INDEX(ChalUnit,$B172))</f>
        <v/>
      </c>
      <c r="F172" s="0" t="str">
        <f aca="false">IF($B172="","",INDEX(ChalTitle,$B172))</f>
        <v/>
      </c>
      <c r="G172" s="0" t="str">
        <f aca="false">IF($B172="","",INDEX(ChalLevel,$B172))</f>
        <v/>
      </c>
      <c r="H172" s="0" t="str">
        <f aca="false">IF($B172="","",INDEX(BookFamily,$B172))</f>
        <v/>
      </c>
      <c r="I172" s="0" t="str">
        <f aca="false">IF($B172="","",INDEX(BookWorkerType,$B172))</f>
        <v/>
      </c>
      <c r="J172" s="56" t="str">
        <f aca="false">IF($B172="","",INDEX(ChalEffective,$B172))</f>
        <v/>
      </c>
      <c r="K172" s="0" t="str">
        <f aca="false">IF($B172="","",INDEX(ChalStart,$B172))</f>
        <v/>
      </c>
      <c r="L172" s="57" t="str">
        <f aca="false">IF($B172="","",INDEX(ChalInYear,$B172))</f>
        <v/>
      </c>
      <c r="M172" s="57" t="str">
        <f aca="false">IF($B172="","",INDEX(ChalRunRate,$B172))</f>
        <v/>
      </c>
      <c r="N172" s="0" t="str">
        <f aca="false">IF($B172="","",INDEX(BookDriver,$B172))</f>
        <v/>
      </c>
    </row>
    <row r="173" customFormat="false" ht="15" hidden="false" customHeight="false" outlineLevel="0" collapsed="false">
      <c r="A173" s="33" t="n">
        <v>168</v>
      </c>
      <c r="B173" s="0" t="str">
        <f aca="false">IFERROR(MATCH($A173,ChalSeq,0),"")</f>
        <v/>
      </c>
      <c r="C173" s="0" t="str">
        <f aca="false">IF($B173="","",INDEX(ChalGroup,$B173))</f>
        <v/>
      </c>
      <c r="D173" s="0" t="str">
        <f aca="false">IF($B173="","",INDEX(ChalDivision,$B173))</f>
        <v/>
      </c>
      <c r="E173" s="0" t="str">
        <f aca="false">IF($B173="","",INDEX(ChalUnit,$B173))</f>
        <v/>
      </c>
      <c r="F173" s="0" t="str">
        <f aca="false">IF($B173="","",INDEX(ChalTitle,$B173))</f>
        <v/>
      </c>
      <c r="G173" s="0" t="str">
        <f aca="false">IF($B173="","",INDEX(ChalLevel,$B173))</f>
        <v/>
      </c>
      <c r="H173" s="0" t="str">
        <f aca="false">IF($B173="","",INDEX(BookFamily,$B173))</f>
        <v/>
      </c>
      <c r="I173" s="0" t="str">
        <f aca="false">IF($B173="","",INDEX(BookWorkerType,$B173))</f>
        <v/>
      </c>
      <c r="J173" s="56" t="str">
        <f aca="false">IF($B173="","",INDEX(ChalEffective,$B173))</f>
        <v/>
      </c>
      <c r="K173" s="0" t="str">
        <f aca="false">IF($B173="","",INDEX(ChalStart,$B173))</f>
        <v/>
      </c>
      <c r="L173" s="57" t="str">
        <f aca="false">IF($B173="","",INDEX(ChalInYear,$B173))</f>
        <v/>
      </c>
      <c r="M173" s="57" t="str">
        <f aca="false">IF($B173="","",INDEX(ChalRunRate,$B173))</f>
        <v/>
      </c>
      <c r="N173" s="0" t="str">
        <f aca="false">IF($B173="","",INDEX(BookDriver,$B173))</f>
        <v/>
      </c>
    </row>
    <row r="174" customFormat="false" ht="15" hidden="false" customHeight="false" outlineLevel="0" collapsed="false">
      <c r="A174" s="33" t="n">
        <v>169</v>
      </c>
      <c r="B174" s="0" t="str">
        <f aca="false">IFERROR(MATCH($A174,ChalSeq,0),"")</f>
        <v/>
      </c>
      <c r="C174" s="0" t="str">
        <f aca="false">IF($B174="","",INDEX(ChalGroup,$B174))</f>
        <v/>
      </c>
      <c r="D174" s="0" t="str">
        <f aca="false">IF($B174="","",INDEX(ChalDivision,$B174))</f>
        <v/>
      </c>
      <c r="E174" s="0" t="str">
        <f aca="false">IF($B174="","",INDEX(ChalUnit,$B174))</f>
        <v/>
      </c>
      <c r="F174" s="0" t="str">
        <f aca="false">IF($B174="","",INDEX(ChalTitle,$B174))</f>
        <v/>
      </c>
      <c r="G174" s="0" t="str">
        <f aca="false">IF($B174="","",INDEX(ChalLevel,$B174))</f>
        <v/>
      </c>
      <c r="H174" s="0" t="str">
        <f aca="false">IF($B174="","",INDEX(BookFamily,$B174))</f>
        <v/>
      </c>
      <c r="I174" s="0" t="str">
        <f aca="false">IF($B174="","",INDEX(BookWorkerType,$B174))</f>
        <v/>
      </c>
      <c r="J174" s="56" t="str">
        <f aca="false">IF($B174="","",INDEX(ChalEffective,$B174))</f>
        <v/>
      </c>
      <c r="K174" s="0" t="str">
        <f aca="false">IF($B174="","",INDEX(ChalStart,$B174))</f>
        <v/>
      </c>
      <c r="L174" s="57" t="str">
        <f aca="false">IF($B174="","",INDEX(ChalInYear,$B174))</f>
        <v/>
      </c>
      <c r="M174" s="57" t="str">
        <f aca="false">IF($B174="","",INDEX(ChalRunRate,$B174))</f>
        <v/>
      </c>
      <c r="N174" s="0" t="str">
        <f aca="false">IF($B174="","",INDEX(BookDriver,$B174))</f>
        <v/>
      </c>
    </row>
    <row r="175" customFormat="false" ht="15" hidden="false" customHeight="false" outlineLevel="0" collapsed="false">
      <c r="A175" s="33" t="n">
        <v>170</v>
      </c>
      <c r="B175" s="0" t="str">
        <f aca="false">IFERROR(MATCH($A175,ChalSeq,0),"")</f>
        <v/>
      </c>
      <c r="C175" s="0" t="str">
        <f aca="false">IF($B175="","",INDEX(ChalGroup,$B175))</f>
        <v/>
      </c>
      <c r="D175" s="0" t="str">
        <f aca="false">IF($B175="","",INDEX(ChalDivision,$B175))</f>
        <v/>
      </c>
      <c r="E175" s="0" t="str">
        <f aca="false">IF($B175="","",INDEX(ChalUnit,$B175))</f>
        <v/>
      </c>
      <c r="F175" s="0" t="str">
        <f aca="false">IF($B175="","",INDEX(ChalTitle,$B175))</f>
        <v/>
      </c>
      <c r="G175" s="0" t="str">
        <f aca="false">IF($B175="","",INDEX(ChalLevel,$B175))</f>
        <v/>
      </c>
      <c r="H175" s="0" t="str">
        <f aca="false">IF($B175="","",INDEX(BookFamily,$B175))</f>
        <v/>
      </c>
      <c r="I175" s="0" t="str">
        <f aca="false">IF($B175="","",INDEX(BookWorkerType,$B175))</f>
        <v/>
      </c>
      <c r="J175" s="56" t="str">
        <f aca="false">IF($B175="","",INDEX(ChalEffective,$B175))</f>
        <v/>
      </c>
      <c r="K175" s="0" t="str">
        <f aca="false">IF($B175="","",INDEX(ChalStart,$B175))</f>
        <v/>
      </c>
      <c r="L175" s="57" t="str">
        <f aca="false">IF($B175="","",INDEX(ChalInYear,$B175))</f>
        <v/>
      </c>
      <c r="M175" s="57" t="str">
        <f aca="false">IF($B175="","",INDEX(ChalRunRate,$B175))</f>
        <v/>
      </c>
      <c r="N175" s="0" t="str">
        <f aca="false">IF($B175="","",INDEX(BookDriver,$B175))</f>
        <v/>
      </c>
    </row>
    <row r="176" customFormat="false" ht="15" hidden="false" customHeight="false" outlineLevel="0" collapsed="false">
      <c r="A176" s="33" t="n">
        <v>171</v>
      </c>
      <c r="B176" s="0" t="str">
        <f aca="false">IFERROR(MATCH($A176,ChalSeq,0),"")</f>
        <v/>
      </c>
      <c r="C176" s="0" t="str">
        <f aca="false">IF($B176="","",INDEX(ChalGroup,$B176))</f>
        <v/>
      </c>
      <c r="D176" s="0" t="str">
        <f aca="false">IF($B176="","",INDEX(ChalDivision,$B176))</f>
        <v/>
      </c>
      <c r="E176" s="0" t="str">
        <f aca="false">IF($B176="","",INDEX(ChalUnit,$B176))</f>
        <v/>
      </c>
      <c r="F176" s="0" t="str">
        <f aca="false">IF($B176="","",INDEX(ChalTitle,$B176))</f>
        <v/>
      </c>
      <c r="G176" s="0" t="str">
        <f aca="false">IF($B176="","",INDEX(ChalLevel,$B176))</f>
        <v/>
      </c>
      <c r="H176" s="0" t="str">
        <f aca="false">IF($B176="","",INDEX(BookFamily,$B176))</f>
        <v/>
      </c>
      <c r="I176" s="0" t="str">
        <f aca="false">IF($B176="","",INDEX(BookWorkerType,$B176))</f>
        <v/>
      </c>
      <c r="J176" s="56" t="str">
        <f aca="false">IF($B176="","",INDEX(ChalEffective,$B176))</f>
        <v/>
      </c>
      <c r="K176" s="0" t="str">
        <f aca="false">IF($B176="","",INDEX(ChalStart,$B176))</f>
        <v/>
      </c>
      <c r="L176" s="57" t="str">
        <f aca="false">IF($B176="","",INDEX(ChalInYear,$B176))</f>
        <v/>
      </c>
      <c r="M176" s="57" t="str">
        <f aca="false">IF($B176="","",INDEX(ChalRunRate,$B176))</f>
        <v/>
      </c>
      <c r="N176" s="0" t="str">
        <f aca="false">IF($B176="","",INDEX(BookDriver,$B176))</f>
        <v/>
      </c>
    </row>
    <row r="177" customFormat="false" ht="15" hidden="false" customHeight="false" outlineLevel="0" collapsed="false">
      <c r="A177" s="33" t="n">
        <v>172</v>
      </c>
      <c r="B177" s="0" t="str">
        <f aca="false">IFERROR(MATCH($A177,ChalSeq,0),"")</f>
        <v/>
      </c>
      <c r="C177" s="0" t="str">
        <f aca="false">IF($B177="","",INDEX(ChalGroup,$B177))</f>
        <v/>
      </c>
      <c r="D177" s="0" t="str">
        <f aca="false">IF($B177="","",INDEX(ChalDivision,$B177))</f>
        <v/>
      </c>
      <c r="E177" s="0" t="str">
        <f aca="false">IF($B177="","",INDEX(ChalUnit,$B177))</f>
        <v/>
      </c>
      <c r="F177" s="0" t="str">
        <f aca="false">IF($B177="","",INDEX(ChalTitle,$B177))</f>
        <v/>
      </c>
      <c r="G177" s="0" t="str">
        <f aca="false">IF($B177="","",INDEX(ChalLevel,$B177))</f>
        <v/>
      </c>
      <c r="H177" s="0" t="str">
        <f aca="false">IF($B177="","",INDEX(BookFamily,$B177))</f>
        <v/>
      </c>
      <c r="I177" s="0" t="str">
        <f aca="false">IF($B177="","",INDEX(BookWorkerType,$B177))</f>
        <v/>
      </c>
      <c r="J177" s="56" t="str">
        <f aca="false">IF($B177="","",INDEX(ChalEffective,$B177))</f>
        <v/>
      </c>
      <c r="K177" s="0" t="str">
        <f aca="false">IF($B177="","",INDEX(ChalStart,$B177))</f>
        <v/>
      </c>
      <c r="L177" s="57" t="str">
        <f aca="false">IF($B177="","",INDEX(ChalInYear,$B177))</f>
        <v/>
      </c>
      <c r="M177" s="57" t="str">
        <f aca="false">IF($B177="","",INDEX(ChalRunRate,$B177))</f>
        <v/>
      </c>
      <c r="N177" s="0" t="str">
        <f aca="false">IF($B177="","",INDEX(BookDriver,$B177))</f>
        <v/>
      </c>
    </row>
    <row r="178" customFormat="false" ht="15" hidden="false" customHeight="false" outlineLevel="0" collapsed="false">
      <c r="A178" s="33" t="n">
        <v>173</v>
      </c>
      <c r="B178" s="0" t="str">
        <f aca="false">IFERROR(MATCH($A178,ChalSeq,0),"")</f>
        <v/>
      </c>
      <c r="C178" s="0" t="str">
        <f aca="false">IF($B178="","",INDEX(ChalGroup,$B178))</f>
        <v/>
      </c>
      <c r="D178" s="0" t="str">
        <f aca="false">IF($B178="","",INDEX(ChalDivision,$B178))</f>
        <v/>
      </c>
      <c r="E178" s="0" t="str">
        <f aca="false">IF($B178="","",INDEX(ChalUnit,$B178))</f>
        <v/>
      </c>
      <c r="F178" s="0" t="str">
        <f aca="false">IF($B178="","",INDEX(ChalTitle,$B178))</f>
        <v/>
      </c>
      <c r="G178" s="0" t="str">
        <f aca="false">IF($B178="","",INDEX(ChalLevel,$B178))</f>
        <v/>
      </c>
      <c r="H178" s="0" t="str">
        <f aca="false">IF($B178="","",INDEX(BookFamily,$B178))</f>
        <v/>
      </c>
      <c r="I178" s="0" t="str">
        <f aca="false">IF($B178="","",INDEX(BookWorkerType,$B178))</f>
        <v/>
      </c>
      <c r="J178" s="56" t="str">
        <f aca="false">IF($B178="","",INDEX(ChalEffective,$B178))</f>
        <v/>
      </c>
      <c r="K178" s="0" t="str">
        <f aca="false">IF($B178="","",INDEX(ChalStart,$B178))</f>
        <v/>
      </c>
      <c r="L178" s="57" t="str">
        <f aca="false">IF($B178="","",INDEX(ChalInYear,$B178))</f>
        <v/>
      </c>
      <c r="M178" s="57" t="str">
        <f aca="false">IF($B178="","",INDEX(ChalRunRate,$B178))</f>
        <v/>
      </c>
      <c r="N178" s="0" t="str">
        <f aca="false">IF($B178="","",INDEX(BookDriver,$B178))</f>
        <v/>
      </c>
    </row>
    <row r="179" customFormat="false" ht="15" hidden="false" customHeight="false" outlineLevel="0" collapsed="false">
      <c r="A179" s="33" t="n">
        <v>174</v>
      </c>
      <c r="B179" s="0" t="str">
        <f aca="false">IFERROR(MATCH($A179,ChalSeq,0),"")</f>
        <v/>
      </c>
      <c r="C179" s="0" t="str">
        <f aca="false">IF($B179="","",INDEX(ChalGroup,$B179))</f>
        <v/>
      </c>
      <c r="D179" s="0" t="str">
        <f aca="false">IF($B179="","",INDEX(ChalDivision,$B179))</f>
        <v/>
      </c>
      <c r="E179" s="0" t="str">
        <f aca="false">IF($B179="","",INDEX(ChalUnit,$B179))</f>
        <v/>
      </c>
      <c r="F179" s="0" t="str">
        <f aca="false">IF($B179="","",INDEX(ChalTitle,$B179))</f>
        <v/>
      </c>
      <c r="G179" s="0" t="str">
        <f aca="false">IF($B179="","",INDEX(ChalLevel,$B179))</f>
        <v/>
      </c>
      <c r="H179" s="0" t="str">
        <f aca="false">IF($B179="","",INDEX(BookFamily,$B179))</f>
        <v/>
      </c>
      <c r="I179" s="0" t="str">
        <f aca="false">IF($B179="","",INDEX(BookWorkerType,$B179))</f>
        <v/>
      </c>
      <c r="J179" s="56" t="str">
        <f aca="false">IF($B179="","",INDEX(ChalEffective,$B179))</f>
        <v/>
      </c>
      <c r="K179" s="0" t="str">
        <f aca="false">IF($B179="","",INDEX(ChalStart,$B179))</f>
        <v/>
      </c>
      <c r="L179" s="57" t="str">
        <f aca="false">IF($B179="","",INDEX(ChalInYear,$B179))</f>
        <v/>
      </c>
      <c r="M179" s="57" t="str">
        <f aca="false">IF($B179="","",INDEX(ChalRunRate,$B179))</f>
        <v/>
      </c>
      <c r="N179" s="0" t="str">
        <f aca="false">IF($B179="","",INDEX(BookDriver,$B179))</f>
        <v/>
      </c>
    </row>
    <row r="180" customFormat="false" ht="15" hidden="false" customHeight="false" outlineLevel="0" collapsed="false">
      <c r="A180" s="33" t="n">
        <v>175</v>
      </c>
      <c r="B180" s="0" t="str">
        <f aca="false">IFERROR(MATCH($A180,ChalSeq,0),"")</f>
        <v/>
      </c>
      <c r="C180" s="0" t="str">
        <f aca="false">IF($B180="","",INDEX(ChalGroup,$B180))</f>
        <v/>
      </c>
      <c r="D180" s="0" t="str">
        <f aca="false">IF($B180="","",INDEX(ChalDivision,$B180))</f>
        <v/>
      </c>
      <c r="E180" s="0" t="str">
        <f aca="false">IF($B180="","",INDEX(ChalUnit,$B180))</f>
        <v/>
      </c>
      <c r="F180" s="0" t="str">
        <f aca="false">IF($B180="","",INDEX(ChalTitle,$B180))</f>
        <v/>
      </c>
      <c r="G180" s="0" t="str">
        <f aca="false">IF($B180="","",INDEX(ChalLevel,$B180))</f>
        <v/>
      </c>
      <c r="H180" s="0" t="str">
        <f aca="false">IF($B180="","",INDEX(BookFamily,$B180))</f>
        <v/>
      </c>
      <c r="I180" s="0" t="str">
        <f aca="false">IF($B180="","",INDEX(BookWorkerType,$B180))</f>
        <v/>
      </c>
      <c r="J180" s="56" t="str">
        <f aca="false">IF($B180="","",INDEX(ChalEffective,$B180))</f>
        <v/>
      </c>
      <c r="K180" s="0" t="str">
        <f aca="false">IF($B180="","",INDEX(ChalStart,$B180))</f>
        <v/>
      </c>
      <c r="L180" s="57" t="str">
        <f aca="false">IF($B180="","",INDEX(ChalInYear,$B180))</f>
        <v/>
      </c>
      <c r="M180" s="57" t="str">
        <f aca="false">IF($B180="","",INDEX(ChalRunRate,$B180))</f>
        <v/>
      </c>
      <c r="N180" s="0" t="str">
        <f aca="false">IF($B180="","",INDEX(BookDriver,$B180))</f>
        <v/>
      </c>
    </row>
    <row r="181" customFormat="false" ht="15" hidden="false" customHeight="false" outlineLevel="0" collapsed="false">
      <c r="A181" s="33" t="n">
        <v>176</v>
      </c>
      <c r="B181" s="0" t="str">
        <f aca="false">IFERROR(MATCH($A181,ChalSeq,0),"")</f>
        <v/>
      </c>
      <c r="C181" s="0" t="str">
        <f aca="false">IF($B181="","",INDEX(ChalGroup,$B181))</f>
        <v/>
      </c>
      <c r="D181" s="0" t="str">
        <f aca="false">IF($B181="","",INDEX(ChalDivision,$B181))</f>
        <v/>
      </c>
      <c r="E181" s="0" t="str">
        <f aca="false">IF($B181="","",INDEX(ChalUnit,$B181))</f>
        <v/>
      </c>
      <c r="F181" s="0" t="str">
        <f aca="false">IF($B181="","",INDEX(ChalTitle,$B181))</f>
        <v/>
      </c>
      <c r="G181" s="0" t="str">
        <f aca="false">IF($B181="","",INDEX(ChalLevel,$B181))</f>
        <v/>
      </c>
      <c r="H181" s="0" t="str">
        <f aca="false">IF($B181="","",INDEX(BookFamily,$B181))</f>
        <v/>
      </c>
      <c r="I181" s="0" t="str">
        <f aca="false">IF($B181="","",INDEX(BookWorkerType,$B181))</f>
        <v/>
      </c>
      <c r="J181" s="56" t="str">
        <f aca="false">IF($B181="","",INDEX(ChalEffective,$B181))</f>
        <v/>
      </c>
      <c r="K181" s="0" t="str">
        <f aca="false">IF($B181="","",INDEX(ChalStart,$B181))</f>
        <v/>
      </c>
      <c r="L181" s="57" t="str">
        <f aca="false">IF($B181="","",INDEX(ChalInYear,$B181))</f>
        <v/>
      </c>
      <c r="M181" s="57" t="str">
        <f aca="false">IF($B181="","",INDEX(ChalRunRate,$B181))</f>
        <v/>
      </c>
      <c r="N181" s="0" t="str">
        <f aca="false">IF($B181="","",INDEX(BookDriver,$B181))</f>
        <v/>
      </c>
    </row>
    <row r="182" customFormat="false" ht="15" hidden="false" customHeight="false" outlineLevel="0" collapsed="false">
      <c r="A182" s="33" t="n">
        <v>177</v>
      </c>
      <c r="B182" s="0" t="str">
        <f aca="false">IFERROR(MATCH($A182,ChalSeq,0),"")</f>
        <v/>
      </c>
      <c r="C182" s="0" t="str">
        <f aca="false">IF($B182="","",INDEX(ChalGroup,$B182))</f>
        <v/>
      </c>
      <c r="D182" s="0" t="str">
        <f aca="false">IF($B182="","",INDEX(ChalDivision,$B182))</f>
        <v/>
      </c>
      <c r="E182" s="0" t="str">
        <f aca="false">IF($B182="","",INDEX(ChalUnit,$B182))</f>
        <v/>
      </c>
      <c r="F182" s="0" t="str">
        <f aca="false">IF($B182="","",INDEX(ChalTitle,$B182))</f>
        <v/>
      </c>
      <c r="G182" s="0" t="str">
        <f aca="false">IF($B182="","",INDEX(ChalLevel,$B182))</f>
        <v/>
      </c>
      <c r="H182" s="0" t="str">
        <f aca="false">IF($B182="","",INDEX(BookFamily,$B182))</f>
        <v/>
      </c>
      <c r="I182" s="0" t="str">
        <f aca="false">IF($B182="","",INDEX(BookWorkerType,$B182))</f>
        <v/>
      </c>
      <c r="J182" s="56" t="str">
        <f aca="false">IF($B182="","",INDEX(ChalEffective,$B182))</f>
        <v/>
      </c>
      <c r="K182" s="0" t="str">
        <f aca="false">IF($B182="","",INDEX(ChalStart,$B182))</f>
        <v/>
      </c>
      <c r="L182" s="57" t="str">
        <f aca="false">IF($B182="","",INDEX(ChalInYear,$B182))</f>
        <v/>
      </c>
      <c r="M182" s="57" t="str">
        <f aca="false">IF($B182="","",INDEX(ChalRunRate,$B182))</f>
        <v/>
      </c>
      <c r="N182" s="0" t="str">
        <f aca="false">IF($B182="","",INDEX(BookDriver,$B182))</f>
        <v/>
      </c>
    </row>
    <row r="183" customFormat="false" ht="15" hidden="false" customHeight="false" outlineLevel="0" collapsed="false">
      <c r="A183" s="33" t="n">
        <v>178</v>
      </c>
      <c r="B183" s="0" t="str">
        <f aca="false">IFERROR(MATCH($A183,ChalSeq,0),"")</f>
        <v/>
      </c>
      <c r="C183" s="0" t="str">
        <f aca="false">IF($B183="","",INDEX(ChalGroup,$B183))</f>
        <v/>
      </c>
      <c r="D183" s="0" t="str">
        <f aca="false">IF($B183="","",INDEX(ChalDivision,$B183))</f>
        <v/>
      </c>
      <c r="E183" s="0" t="str">
        <f aca="false">IF($B183="","",INDEX(ChalUnit,$B183))</f>
        <v/>
      </c>
      <c r="F183" s="0" t="str">
        <f aca="false">IF($B183="","",INDEX(ChalTitle,$B183))</f>
        <v/>
      </c>
      <c r="G183" s="0" t="str">
        <f aca="false">IF($B183="","",INDEX(ChalLevel,$B183))</f>
        <v/>
      </c>
      <c r="H183" s="0" t="str">
        <f aca="false">IF($B183="","",INDEX(BookFamily,$B183))</f>
        <v/>
      </c>
      <c r="I183" s="0" t="str">
        <f aca="false">IF($B183="","",INDEX(BookWorkerType,$B183))</f>
        <v/>
      </c>
      <c r="J183" s="56" t="str">
        <f aca="false">IF($B183="","",INDEX(ChalEffective,$B183))</f>
        <v/>
      </c>
      <c r="K183" s="0" t="str">
        <f aca="false">IF($B183="","",INDEX(ChalStart,$B183))</f>
        <v/>
      </c>
      <c r="L183" s="57" t="str">
        <f aca="false">IF($B183="","",INDEX(ChalInYear,$B183))</f>
        <v/>
      </c>
      <c r="M183" s="57" t="str">
        <f aca="false">IF($B183="","",INDEX(ChalRunRate,$B183))</f>
        <v/>
      </c>
      <c r="N183" s="0" t="str">
        <f aca="false">IF($B183="","",INDEX(BookDriver,$B183))</f>
        <v/>
      </c>
    </row>
    <row r="184" customFormat="false" ht="15" hidden="false" customHeight="false" outlineLevel="0" collapsed="false">
      <c r="A184" s="33" t="n">
        <v>179</v>
      </c>
      <c r="B184" s="0" t="str">
        <f aca="false">IFERROR(MATCH($A184,ChalSeq,0),"")</f>
        <v/>
      </c>
      <c r="C184" s="0" t="str">
        <f aca="false">IF($B184="","",INDEX(ChalGroup,$B184))</f>
        <v/>
      </c>
      <c r="D184" s="0" t="str">
        <f aca="false">IF($B184="","",INDEX(ChalDivision,$B184))</f>
        <v/>
      </c>
      <c r="E184" s="0" t="str">
        <f aca="false">IF($B184="","",INDEX(ChalUnit,$B184))</f>
        <v/>
      </c>
      <c r="F184" s="0" t="str">
        <f aca="false">IF($B184="","",INDEX(ChalTitle,$B184))</f>
        <v/>
      </c>
      <c r="G184" s="0" t="str">
        <f aca="false">IF($B184="","",INDEX(ChalLevel,$B184))</f>
        <v/>
      </c>
      <c r="H184" s="0" t="str">
        <f aca="false">IF($B184="","",INDEX(BookFamily,$B184))</f>
        <v/>
      </c>
      <c r="I184" s="0" t="str">
        <f aca="false">IF($B184="","",INDEX(BookWorkerType,$B184))</f>
        <v/>
      </c>
      <c r="J184" s="56" t="str">
        <f aca="false">IF($B184="","",INDEX(ChalEffective,$B184))</f>
        <v/>
      </c>
      <c r="K184" s="0" t="str">
        <f aca="false">IF($B184="","",INDEX(ChalStart,$B184))</f>
        <v/>
      </c>
      <c r="L184" s="57" t="str">
        <f aca="false">IF($B184="","",INDEX(ChalInYear,$B184))</f>
        <v/>
      </c>
      <c r="M184" s="57" t="str">
        <f aca="false">IF($B184="","",INDEX(ChalRunRate,$B184))</f>
        <v/>
      </c>
      <c r="N184" s="0" t="str">
        <f aca="false">IF($B184="","",INDEX(BookDriver,$B184))</f>
        <v/>
      </c>
    </row>
    <row r="185" customFormat="false" ht="15" hidden="false" customHeight="false" outlineLevel="0" collapsed="false">
      <c r="A185" s="33" t="n">
        <v>180</v>
      </c>
      <c r="B185" s="0" t="str">
        <f aca="false">IFERROR(MATCH($A185,ChalSeq,0),"")</f>
        <v/>
      </c>
      <c r="C185" s="0" t="str">
        <f aca="false">IF($B185="","",INDEX(ChalGroup,$B185))</f>
        <v/>
      </c>
      <c r="D185" s="0" t="str">
        <f aca="false">IF($B185="","",INDEX(ChalDivision,$B185))</f>
        <v/>
      </c>
      <c r="E185" s="0" t="str">
        <f aca="false">IF($B185="","",INDEX(ChalUnit,$B185))</f>
        <v/>
      </c>
      <c r="F185" s="0" t="str">
        <f aca="false">IF($B185="","",INDEX(ChalTitle,$B185))</f>
        <v/>
      </c>
      <c r="G185" s="0" t="str">
        <f aca="false">IF($B185="","",INDEX(ChalLevel,$B185))</f>
        <v/>
      </c>
      <c r="H185" s="0" t="str">
        <f aca="false">IF($B185="","",INDEX(BookFamily,$B185))</f>
        <v/>
      </c>
      <c r="I185" s="0" t="str">
        <f aca="false">IF($B185="","",INDEX(BookWorkerType,$B185))</f>
        <v/>
      </c>
      <c r="J185" s="56" t="str">
        <f aca="false">IF($B185="","",INDEX(ChalEffective,$B185))</f>
        <v/>
      </c>
      <c r="K185" s="0" t="str">
        <f aca="false">IF($B185="","",INDEX(ChalStart,$B185))</f>
        <v/>
      </c>
      <c r="L185" s="57" t="str">
        <f aca="false">IF($B185="","",INDEX(ChalInYear,$B185))</f>
        <v/>
      </c>
      <c r="M185" s="57" t="str">
        <f aca="false">IF($B185="","",INDEX(ChalRunRate,$B185))</f>
        <v/>
      </c>
      <c r="N185" s="0" t="str">
        <f aca="false">IF($B185="","",INDEX(BookDriver,$B185))</f>
        <v/>
      </c>
    </row>
    <row r="186" customFormat="false" ht="15" hidden="false" customHeight="false" outlineLevel="0" collapsed="false">
      <c r="A186" s="33" t="n">
        <v>181</v>
      </c>
      <c r="B186" s="0" t="str">
        <f aca="false">IFERROR(MATCH($A186,ChalSeq,0),"")</f>
        <v/>
      </c>
      <c r="C186" s="0" t="str">
        <f aca="false">IF($B186="","",INDEX(ChalGroup,$B186))</f>
        <v/>
      </c>
      <c r="D186" s="0" t="str">
        <f aca="false">IF($B186="","",INDEX(ChalDivision,$B186))</f>
        <v/>
      </c>
      <c r="E186" s="0" t="str">
        <f aca="false">IF($B186="","",INDEX(ChalUnit,$B186))</f>
        <v/>
      </c>
      <c r="F186" s="0" t="str">
        <f aca="false">IF($B186="","",INDEX(ChalTitle,$B186))</f>
        <v/>
      </c>
      <c r="G186" s="0" t="str">
        <f aca="false">IF($B186="","",INDEX(ChalLevel,$B186))</f>
        <v/>
      </c>
      <c r="H186" s="0" t="str">
        <f aca="false">IF($B186="","",INDEX(BookFamily,$B186))</f>
        <v/>
      </c>
      <c r="I186" s="0" t="str">
        <f aca="false">IF($B186="","",INDEX(BookWorkerType,$B186))</f>
        <v/>
      </c>
      <c r="J186" s="56" t="str">
        <f aca="false">IF($B186="","",INDEX(ChalEffective,$B186))</f>
        <v/>
      </c>
      <c r="K186" s="0" t="str">
        <f aca="false">IF($B186="","",INDEX(ChalStart,$B186))</f>
        <v/>
      </c>
      <c r="L186" s="57" t="str">
        <f aca="false">IF($B186="","",INDEX(ChalInYear,$B186))</f>
        <v/>
      </c>
      <c r="M186" s="57" t="str">
        <f aca="false">IF($B186="","",INDEX(ChalRunRate,$B186))</f>
        <v/>
      </c>
      <c r="N186" s="0" t="str">
        <f aca="false">IF($B186="","",INDEX(BookDriver,$B186))</f>
        <v/>
      </c>
    </row>
    <row r="187" customFormat="false" ht="15" hidden="false" customHeight="false" outlineLevel="0" collapsed="false">
      <c r="A187" s="33" t="n">
        <v>182</v>
      </c>
      <c r="B187" s="0" t="str">
        <f aca="false">IFERROR(MATCH($A187,ChalSeq,0),"")</f>
        <v/>
      </c>
      <c r="C187" s="0" t="str">
        <f aca="false">IF($B187="","",INDEX(ChalGroup,$B187))</f>
        <v/>
      </c>
      <c r="D187" s="0" t="str">
        <f aca="false">IF($B187="","",INDEX(ChalDivision,$B187))</f>
        <v/>
      </c>
      <c r="E187" s="0" t="str">
        <f aca="false">IF($B187="","",INDEX(ChalUnit,$B187))</f>
        <v/>
      </c>
      <c r="F187" s="0" t="str">
        <f aca="false">IF($B187="","",INDEX(ChalTitle,$B187))</f>
        <v/>
      </c>
      <c r="G187" s="0" t="str">
        <f aca="false">IF($B187="","",INDEX(ChalLevel,$B187))</f>
        <v/>
      </c>
      <c r="H187" s="0" t="str">
        <f aca="false">IF($B187="","",INDEX(BookFamily,$B187))</f>
        <v/>
      </c>
      <c r="I187" s="0" t="str">
        <f aca="false">IF($B187="","",INDEX(BookWorkerType,$B187))</f>
        <v/>
      </c>
      <c r="J187" s="56" t="str">
        <f aca="false">IF($B187="","",INDEX(ChalEffective,$B187))</f>
        <v/>
      </c>
      <c r="K187" s="0" t="str">
        <f aca="false">IF($B187="","",INDEX(ChalStart,$B187))</f>
        <v/>
      </c>
      <c r="L187" s="57" t="str">
        <f aca="false">IF($B187="","",INDEX(ChalInYear,$B187))</f>
        <v/>
      </c>
      <c r="M187" s="57" t="str">
        <f aca="false">IF($B187="","",INDEX(ChalRunRate,$B187))</f>
        <v/>
      </c>
      <c r="N187" s="0" t="str">
        <f aca="false">IF($B187="","",INDEX(BookDriver,$B187))</f>
        <v/>
      </c>
    </row>
    <row r="188" customFormat="false" ht="15" hidden="false" customHeight="false" outlineLevel="0" collapsed="false">
      <c r="A188" s="33" t="n">
        <v>183</v>
      </c>
      <c r="B188" s="0" t="str">
        <f aca="false">IFERROR(MATCH($A188,ChalSeq,0),"")</f>
        <v/>
      </c>
      <c r="C188" s="0" t="str">
        <f aca="false">IF($B188="","",INDEX(ChalGroup,$B188))</f>
        <v/>
      </c>
      <c r="D188" s="0" t="str">
        <f aca="false">IF($B188="","",INDEX(ChalDivision,$B188))</f>
        <v/>
      </c>
      <c r="E188" s="0" t="str">
        <f aca="false">IF($B188="","",INDEX(ChalUnit,$B188))</f>
        <v/>
      </c>
      <c r="F188" s="0" t="str">
        <f aca="false">IF($B188="","",INDEX(ChalTitle,$B188))</f>
        <v/>
      </c>
      <c r="G188" s="0" t="str">
        <f aca="false">IF($B188="","",INDEX(ChalLevel,$B188))</f>
        <v/>
      </c>
      <c r="H188" s="0" t="str">
        <f aca="false">IF($B188="","",INDEX(BookFamily,$B188))</f>
        <v/>
      </c>
      <c r="I188" s="0" t="str">
        <f aca="false">IF($B188="","",INDEX(BookWorkerType,$B188))</f>
        <v/>
      </c>
      <c r="J188" s="56" t="str">
        <f aca="false">IF($B188="","",INDEX(ChalEffective,$B188))</f>
        <v/>
      </c>
      <c r="K188" s="0" t="str">
        <f aca="false">IF($B188="","",INDEX(ChalStart,$B188))</f>
        <v/>
      </c>
      <c r="L188" s="57" t="str">
        <f aca="false">IF($B188="","",INDEX(ChalInYear,$B188))</f>
        <v/>
      </c>
      <c r="M188" s="57" t="str">
        <f aca="false">IF($B188="","",INDEX(ChalRunRate,$B188))</f>
        <v/>
      </c>
      <c r="N188" s="0" t="str">
        <f aca="false">IF($B188="","",INDEX(BookDriver,$B188))</f>
        <v/>
      </c>
    </row>
    <row r="189" customFormat="false" ht="15" hidden="false" customHeight="false" outlineLevel="0" collapsed="false">
      <c r="A189" s="33" t="n">
        <v>184</v>
      </c>
      <c r="B189" s="0" t="str">
        <f aca="false">IFERROR(MATCH($A189,ChalSeq,0),"")</f>
        <v/>
      </c>
      <c r="C189" s="0" t="str">
        <f aca="false">IF($B189="","",INDEX(ChalGroup,$B189))</f>
        <v/>
      </c>
      <c r="D189" s="0" t="str">
        <f aca="false">IF($B189="","",INDEX(ChalDivision,$B189))</f>
        <v/>
      </c>
      <c r="E189" s="0" t="str">
        <f aca="false">IF($B189="","",INDEX(ChalUnit,$B189))</f>
        <v/>
      </c>
      <c r="F189" s="0" t="str">
        <f aca="false">IF($B189="","",INDEX(ChalTitle,$B189))</f>
        <v/>
      </c>
      <c r="G189" s="0" t="str">
        <f aca="false">IF($B189="","",INDEX(ChalLevel,$B189))</f>
        <v/>
      </c>
      <c r="H189" s="0" t="str">
        <f aca="false">IF($B189="","",INDEX(BookFamily,$B189))</f>
        <v/>
      </c>
      <c r="I189" s="0" t="str">
        <f aca="false">IF($B189="","",INDEX(BookWorkerType,$B189))</f>
        <v/>
      </c>
      <c r="J189" s="56" t="str">
        <f aca="false">IF($B189="","",INDEX(ChalEffective,$B189))</f>
        <v/>
      </c>
      <c r="K189" s="0" t="str">
        <f aca="false">IF($B189="","",INDEX(ChalStart,$B189))</f>
        <v/>
      </c>
      <c r="L189" s="57" t="str">
        <f aca="false">IF($B189="","",INDEX(ChalInYear,$B189))</f>
        <v/>
      </c>
      <c r="M189" s="57" t="str">
        <f aca="false">IF($B189="","",INDEX(ChalRunRate,$B189))</f>
        <v/>
      </c>
      <c r="N189" s="0" t="str">
        <f aca="false">IF($B189="","",INDEX(BookDriver,$B189))</f>
        <v/>
      </c>
    </row>
    <row r="190" customFormat="false" ht="15" hidden="false" customHeight="false" outlineLevel="0" collapsed="false">
      <c r="A190" s="33" t="n">
        <v>185</v>
      </c>
      <c r="B190" s="0" t="str">
        <f aca="false">IFERROR(MATCH($A190,ChalSeq,0),"")</f>
        <v/>
      </c>
      <c r="C190" s="0" t="str">
        <f aca="false">IF($B190="","",INDEX(ChalGroup,$B190))</f>
        <v/>
      </c>
      <c r="D190" s="0" t="str">
        <f aca="false">IF($B190="","",INDEX(ChalDivision,$B190))</f>
        <v/>
      </c>
      <c r="E190" s="0" t="str">
        <f aca="false">IF($B190="","",INDEX(ChalUnit,$B190))</f>
        <v/>
      </c>
      <c r="F190" s="0" t="str">
        <f aca="false">IF($B190="","",INDEX(ChalTitle,$B190))</f>
        <v/>
      </c>
      <c r="G190" s="0" t="str">
        <f aca="false">IF($B190="","",INDEX(ChalLevel,$B190))</f>
        <v/>
      </c>
      <c r="H190" s="0" t="str">
        <f aca="false">IF($B190="","",INDEX(BookFamily,$B190))</f>
        <v/>
      </c>
      <c r="I190" s="0" t="str">
        <f aca="false">IF($B190="","",INDEX(BookWorkerType,$B190))</f>
        <v/>
      </c>
      <c r="J190" s="56" t="str">
        <f aca="false">IF($B190="","",INDEX(ChalEffective,$B190))</f>
        <v/>
      </c>
      <c r="K190" s="0" t="str">
        <f aca="false">IF($B190="","",INDEX(ChalStart,$B190))</f>
        <v/>
      </c>
      <c r="L190" s="57" t="str">
        <f aca="false">IF($B190="","",INDEX(ChalInYear,$B190))</f>
        <v/>
      </c>
      <c r="M190" s="57" t="str">
        <f aca="false">IF($B190="","",INDEX(ChalRunRate,$B190))</f>
        <v/>
      </c>
      <c r="N190" s="0" t="str">
        <f aca="false">IF($B190="","",INDEX(BookDriver,$B190))</f>
        <v/>
      </c>
    </row>
    <row r="191" customFormat="false" ht="15" hidden="false" customHeight="false" outlineLevel="0" collapsed="false">
      <c r="A191" s="33" t="n">
        <v>186</v>
      </c>
      <c r="B191" s="0" t="str">
        <f aca="false">IFERROR(MATCH($A191,ChalSeq,0),"")</f>
        <v/>
      </c>
      <c r="C191" s="0" t="str">
        <f aca="false">IF($B191="","",INDEX(ChalGroup,$B191))</f>
        <v/>
      </c>
      <c r="D191" s="0" t="str">
        <f aca="false">IF($B191="","",INDEX(ChalDivision,$B191))</f>
        <v/>
      </c>
      <c r="E191" s="0" t="str">
        <f aca="false">IF($B191="","",INDEX(ChalUnit,$B191))</f>
        <v/>
      </c>
      <c r="F191" s="0" t="str">
        <f aca="false">IF($B191="","",INDEX(ChalTitle,$B191))</f>
        <v/>
      </c>
      <c r="G191" s="0" t="str">
        <f aca="false">IF($B191="","",INDEX(ChalLevel,$B191))</f>
        <v/>
      </c>
      <c r="H191" s="0" t="str">
        <f aca="false">IF($B191="","",INDEX(BookFamily,$B191))</f>
        <v/>
      </c>
      <c r="I191" s="0" t="str">
        <f aca="false">IF($B191="","",INDEX(BookWorkerType,$B191))</f>
        <v/>
      </c>
      <c r="J191" s="56" t="str">
        <f aca="false">IF($B191="","",INDEX(ChalEffective,$B191))</f>
        <v/>
      </c>
      <c r="K191" s="0" t="str">
        <f aca="false">IF($B191="","",INDEX(ChalStart,$B191))</f>
        <v/>
      </c>
      <c r="L191" s="57" t="str">
        <f aca="false">IF($B191="","",INDEX(ChalInYear,$B191))</f>
        <v/>
      </c>
      <c r="M191" s="57" t="str">
        <f aca="false">IF($B191="","",INDEX(ChalRunRate,$B191))</f>
        <v/>
      </c>
      <c r="N191" s="0" t="str">
        <f aca="false">IF($B191="","",INDEX(BookDriver,$B191))</f>
        <v/>
      </c>
    </row>
    <row r="192" customFormat="false" ht="15" hidden="false" customHeight="false" outlineLevel="0" collapsed="false">
      <c r="A192" s="33" t="n">
        <v>187</v>
      </c>
      <c r="B192" s="0" t="str">
        <f aca="false">IFERROR(MATCH($A192,ChalSeq,0),"")</f>
        <v/>
      </c>
      <c r="C192" s="0" t="str">
        <f aca="false">IF($B192="","",INDEX(ChalGroup,$B192))</f>
        <v/>
      </c>
      <c r="D192" s="0" t="str">
        <f aca="false">IF($B192="","",INDEX(ChalDivision,$B192))</f>
        <v/>
      </c>
      <c r="E192" s="0" t="str">
        <f aca="false">IF($B192="","",INDEX(ChalUnit,$B192))</f>
        <v/>
      </c>
      <c r="F192" s="0" t="str">
        <f aca="false">IF($B192="","",INDEX(ChalTitle,$B192))</f>
        <v/>
      </c>
      <c r="G192" s="0" t="str">
        <f aca="false">IF($B192="","",INDEX(ChalLevel,$B192))</f>
        <v/>
      </c>
      <c r="H192" s="0" t="str">
        <f aca="false">IF($B192="","",INDEX(BookFamily,$B192))</f>
        <v/>
      </c>
      <c r="I192" s="0" t="str">
        <f aca="false">IF($B192="","",INDEX(BookWorkerType,$B192))</f>
        <v/>
      </c>
      <c r="J192" s="56" t="str">
        <f aca="false">IF($B192="","",INDEX(ChalEffective,$B192))</f>
        <v/>
      </c>
      <c r="K192" s="0" t="str">
        <f aca="false">IF($B192="","",INDEX(ChalStart,$B192))</f>
        <v/>
      </c>
      <c r="L192" s="57" t="str">
        <f aca="false">IF($B192="","",INDEX(ChalInYear,$B192))</f>
        <v/>
      </c>
      <c r="M192" s="57" t="str">
        <f aca="false">IF($B192="","",INDEX(ChalRunRate,$B192))</f>
        <v/>
      </c>
      <c r="N192" s="0" t="str">
        <f aca="false">IF($B192="","",INDEX(BookDriver,$B192))</f>
        <v/>
      </c>
    </row>
    <row r="193" customFormat="false" ht="15" hidden="false" customHeight="false" outlineLevel="0" collapsed="false">
      <c r="A193" s="33" t="n">
        <v>188</v>
      </c>
      <c r="B193" s="0" t="str">
        <f aca="false">IFERROR(MATCH($A193,ChalSeq,0),"")</f>
        <v/>
      </c>
      <c r="C193" s="0" t="str">
        <f aca="false">IF($B193="","",INDEX(ChalGroup,$B193))</f>
        <v/>
      </c>
      <c r="D193" s="0" t="str">
        <f aca="false">IF($B193="","",INDEX(ChalDivision,$B193))</f>
        <v/>
      </c>
      <c r="E193" s="0" t="str">
        <f aca="false">IF($B193="","",INDEX(ChalUnit,$B193))</f>
        <v/>
      </c>
      <c r="F193" s="0" t="str">
        <f aca="false">IF($B193="","",INDEX(ChalTitle,$B193))</f>
        <v/>
      </c>
      <c r="G193" s="0" t="str">
        <f aca="false">IF($B193="","",INDEX(ChalLevel,$B193))</f>
        <v/>
      </c>
      <c r="H193" s="0" t="str">
        <f aca="false">IF($B193="","",INDEX(BookFamily,$B193))</f>
        <v/>
      </c>
      <c r="I193" s="0" t="str">
        <f aca="false">IF($B193="","",INDEX(BookWorkerType,$B193))</f>
        <v/>
      </c>
      <c r="J193" s="56" t="str">
        <f aca="false">IF($B193="","",INDEX(ChalEffective,$B193))</f>
        <v/>
      </c>
      <c r="K193" s="0" t="str">
        <f aca="false">IF($B193="","",INDEX(ChalStart,$B193))</f>
        <v/>
      </c>
      <c r="L193" s="57" t="str">
        <f aca="false">IF($B193="","",INDEX(ChalInYear,$B193))</f>
        <v/>
      </c>
      <c r="M193" s="57" t="str">
        <f aca="false">IF($B193="","",INDEX(ChalRunRate,$B193))</f>
        <v/>
      </c>
      <c r="N193" s="0" t="str">
        <f aca="false">IF($B193="","",INDEX(BookDriver,$B193))</f>
        <v/>
      </c>
    </row>
    <row r="194" customFormat="false" ht="15" hidden="false" customHeight="false" outlineLevel="0" collapsed="false">
      <c r="A194" s="33" t="n">
        <v>189</v>
      </c>
      <c r="B194" s="0" t="str">
        <f aca="false">IFERROR(MATCH($A194,ChalSeq,0),"")</f>
        <v/>
      </c>
      <c r="C194" s="0" t="str">
        <f aca="false">IF($B194="","",INDEX(ChalGroup,$B194))</f>
        <v/>
      </c>
      <c r="D194" s="0" t="str">
        <f aca="false">IF($B194="","",INDEX(ChalDivision,$B194))</f>
        <v/>
      </c>
      <c r="E194" s="0" t="str">
        <f aca="false">IF($B194="","",INDEX(ChalUnit,$B194))</f>
        <v/>
      </c>
      <c r="F194" s="0" t="str">
        <f aca="false">IF($B194="","",INDEX(ChalTitle,$B194))</f>
        <v/>
      </c>
      <c r="G194" s="0" t="str">
        <f aca="false">IF($B194="","",INDEX(ChalLevel,$B194))</f>
        <v/>
      </c>
      <c r="H194" s="0" t="str">
        <f aca="false">IF($B194="","",INDEX(BookFamily,$B194))</f>
        <v/>
      </c>
      <c r="I194" s="0" t="str">
        <f aca="false">IF($B194="","",INDEX(BookWorkerType,$B194))</f>
        <v/>
      </c>
      <c r="J194" s="56" t="str">
        <f aca="false">IF($B194="","",INDEX(ChalEffective,$B194))</f>
        <v/>
      </c>
      <c r="K194" s="0" t="str">
        <f aca="false">IF($B194="","",INDEX(ChalStart,$B194))</f>
        <v/>
      </c>
      <c r="L194" s="57" t="str">
        <f aca="false">IF($B194="","",INDEX(ChalInYear,$B194))</f>
        <v/>
      </c>
      <c r="M194" s="57" t="str">
        <f aca="false">IF($B194="","",INDEX(ChalRunRate,$B194))</f>
        <v/>
      </c>
      <c r="N194" s="0" t="str">
        <f aca="false">IF($B194="","",INDEX(BookDriver,$B194))</f>
        <v/>
      </c>
    </row>
    <row r="195" customFormat="false" ht="15" hidden="false" customHeight="false" outlineLevel="0" collapsed="false">
      <c r="A195" s="33" t="n">
        <v>190</v>
      </c>
      <c r="B195" s="0" t="str">
        <f aca="false">IFERROR(MATCH($A195,ChalSeq,0),"")</f>
        <v/>
      </c>
      <c r="C195" s="0" t="str">
        <f aca="false">IF($B195="","",INDEX(ChalGroup,$B195))</f>
        <v/>
      </c>
      <c r="D195" s="0" t="str">
        <f aca="false">IF($B195="","",INDEX(ChalDivision,$B195))</f>
        <v/>
      </c>
      <c r="E195" s="0" t="str">
        <f aca="false">IF($B195="","",INDEX(ChalUnit,$B195))</f>
        <v/>
      </c>
      <c r="F195" s="0" t="str">
        <f aca="false">IF($B195="","",INDEX(ChalTitle,$B195))</f>
        <v/>
      </c>
      <c r="G195" s="0" t="str">
        <f aca="false">IF($B195="","",INDEX(ChalLevel,$B195))</f>
        <v/>
      </c>
      <c r="H195" s="0" t="str">
        <f aca="false">IF($B195="","",INDEX(BookFamily,$B195))</f>
        <v/>
      </c>
      <c r="I195" s="0" t="str">
        <f aca="false">IF($B195="","",INDEX(BookWorkerType,$B195))</f>
        <v/>
      </c>
      <c r="J195" s="56" t="str">
        <f aca="false">IF($B195="","",INDEX(ChalEffective,$B195))</f>
        <v/>
      </c>
      <c r="K195" s="0" t="str">
        <f aca="false">IF($B195="","",INDEX(ChalStart,$B195))</f>
        <v/>
      </c>
      <c r="L195" s="57" t="str">
        <f aca="false">IF($B195="","",INDEX(ChalInYear,$B195))</f>
        <v/>
      </c>
      <c r="M195" s="57" t="str">
        <f aca="false">IF($B195="","",INDEX(ChalRunRate,$B195))</f>
        <v/>
      </c>
      <c r="N195" s="0" t="str">
        <f aca="false">IF($B195="","",INDEX(BookDriver,$B195))</f>
        <v/>
      </c>
    </row>
    <row r="196" customFormat="false" ht="15" hidden="false" customHeight="false" outlineLevel="0" collapsed="false">
      <c r="A196" s="33" t="n">
        <v>191</v>
      </c>
      <c r="B196" s="0" t="str">
        <f aca="false">IFERROR(MATCH($A196,ChalSeq,0),"")</f>
        <v/>
      </c>
      <c r="C196" s="0" t="str">
        <f aca="false">IF($B196="","",INDEX(ChalGroup,$B196))</f>
        <v/>
      </c>
      <c r="D196" s="0" t="str">
        <f aca="false">IF($B196="","",INDEX(ChalDivision,$B196))</f>
        <v/>
      </c>
      <c r="E196" s="0" t="str">
        <f aca="false">IF($B196="","",INDEX(ChalUnit,$B196))</f>
        <v/>
      </c>
      <c r="F196" s="0" t="str">
        <f aca="false">IF($B196="","",INDEX(ChalTitle,$B196))</f>
        <v/>
      </c>
      <c r="G196" s="0" t="str">
        <f aca="false">IF($B196="","",INDEX(ChalLevel,$B196))</f>
        <v/>
      </c>
      <c r="H196" s="0" t="str">
        <f aca="false">IF($B196="","",INDEX(BookFamily,$B196))</f>
        <v/>
      </c>
      <c r="I196" s="0" t="str">
        <f aca="false">IF($B196="","",INDEX(BookWorkerType,$B196))</f>
        <v/>
      </c>
      <c r="J196" s="56" t="str">
        <f aca="false">IF($B196="","",INDEX(ChalEffective,$B196))</f>
        <v/>
      </c>
      <c r="K196" s="0" t="str">
        <f aca="false">IF($B196="","",INDEX(ChalStart,$B196))</f>
        <v/>
      </c>
      <c r="L196" s="57" t="str">
        <f aca="false">IF($B196="","",INDEX(ChalInYear,$B196))</f>
        <v/>
      </c>
      <c r="M196" s="57" t="str">
        <f aca="false">IF($B196="","",INDEX(ChalRunRate,$B196))</f>
        <v/>
      </c>
      <c r="N196" s="0" t="str">
        <f aca="false">IF($B196="","",INDEX(BookDriver,$B196))</f>
        <v/>
      </c>
    </row>
    <row r="197" customFormat="false" ht="15" hidden="false" customHeight="false" outlineLevel="0" collapsed="false">
      <c r="A197" s="33" t="n">
        <v>192</v>
      </c>
      <c r="B197" s="0" t="str">
        <f aca="false">IFERROR(MATCH($A197,ChalSeq,0),"")</f>
        <v/>
      </c>
      <c r="C197" s="0" t="str">
        <f aca="false">IF($B197="","",INDEX(ChalGroup,$B197))</f>
        <v/>
      </c>
      <c r="D197" s="0" t="str">
        <f aca="false">IF($B197="","",INDEX(ChalDivision,$B197))</f>
        <v/>
      </c>
      <c r="E197" s="0" t="str">
        <f aca="false">IF($B197="","",INDEX(ChalUnit,$B197))</f>
        <v/>
      </c>
      <c r="F197" s="0" t="str">
        <f aca="false">IF($B197="","",INDEX(ChalTitle,$B197))</f>
        <v/>
      </c>
      <c r="G197" s="0" t="str">
        <f aca="false">IF($B197="","",INDEX(ChalLevel,$B197))</f>
        <v/>
      </c>
      <c r="H197" s="0" t="str">
        <f aca="false">IF($B197="","",INDEX(BookFamily,$B197))</f>
        <v/>
      </c>
      <c r="I197" s="0" t="str">
        <f aca="false">IF($B197="","",INDEX(BookWorkerType,$B197))</f>
        <v/>
      </c>
      <c r="J197" s="56" t="str">
        <f aca="false">IF($B197="","",INDEX(ChalEffective,$B197))</f>
        <v/>
      </c>
      <c r="K197" s="0" t="str">
        <f aca="false">IF($B197="","",INDEX(ChalStart,$B197))</f>
        <v/>
      </c>
      <c r="L197" s="57" t="str">
        <f aca="false">IF($B197="","",INDEX(ChalInYear,$B197))</f>
        <v/>
      </c>
      <c r="M197" s="57" t="str">
        <f aca="false">IF($B197="","",INDEX(ChalRunRate,$B197))</f>
        <v/>
      </c>
      <c r="N197" s="0" t="str">
        <f aca="false">IF($B197="","",INDEX(BookDriver,$B197))</f>
        <v/>
      </c>
    </row>
    <row r="198" customFormat="false" ht="15" hidden="false" customHeight="false" outlineLevel="0" collapsed="false">
      <c r="A198" s="33" t="n">
        <v>193</v>
      </c>
      <c r="B198" s="0" t="str">
        <f aca="false">IFERROR(MATCH($A198,ChalSeq,0),"")</f>
        <v/>
      </c>
      <c r="C198" s="0" t="str">
        <f aca="false">IF($B198="","",INDEX(ChalGroup,$B198))</f>
        <v/>
      </c>
      <c r="D198" s="0" t="str">
        <f aca="false">IF($B198="","",INDEX(ChalDivision,$B198))</f>
        <v/>
      </c>
      <c r="E198" s="0" t="str">
        <f aca="false">IF($B198="","",INDEX(ChalUnit,$B198))</f>
        <v/>
      </c>
      <c r="F198" s="0" t="str">
        <f aca="false">IF($B198="","",INDEX(ChalTitle,$B198))</f>
        <v/>
      </c>
      <c r="G198" s="0" t="str">
        <f aca="false">IF($B198="","",INDEX(ChalLevel,$B198))</f>
        <v/>
      </c>
      <c r="H198" s="0" t="str">
        <f aca="false">IF($B198="","",INDEX(BookFamily,$B198))</f>
        <v/>
      </c>
      <c r="I198" s="0" t="str">
        <f aca="false">IF($B198="","",INDEX(BookWorkerType,$B198))</f>
        <v/>
      </c>
      <c r="J198" s="56" t="str">
        <f aca="false">IF($B198="","",INDEX(ChalEffective,$B198))</f>
        <v/>
      </c>
      <c r="K198" s="0" t="str">
        <f aca="false">IF($B198="","",INDEX(ChalStart,$B198))</f>
        <v/>
      </c>
      <c r="L198" s="57" t="str">
        <f aca="false">IF($B198="","",INDEX(ChalInYear,$B198))</f>
        <v/>
      </c>
      <c r="M198" s="57" t="str">
        <f aca="false">IF($B198="","",INDEX(ChalRunRate,$B198))</f>
        <v/>
      </c>
      <c r="N198" s="0" t="str">
        <f aca="false">IF($B198="","",INDEX(BookDriver,$B198))</f>
        <v/>
      </c>
    </row>
    <row r="199" customFormat="false" ht="15" hidden="false" customHeight="false" outlineLevel="0" collapsed="false">
      <c r="A199" s="33" t="n">
        <v>194</v>
      </c>
      <c r="B199" s="0" t="str">
        <f aca="false">IFERROR(MATCH($A199,ChalSeq,0),"")</f>
        <v/>
      </c>
      <c r="C199" s="0" t="str">
        <f aca="false">IF($B199="","",INDEX(ChalGroup,$B199))</f>
        <v/>
      </c>
      <c r="D199" s="0" t="str">
        <f aca="false">IF($B199="","",INDEX(ChalDivision,$B199))</f>
        <v/>
      </c>
      <c r="E199" s="0" t="str">
        <f aca="false">IF($B199="","",INDEX(ChalUnit,$B199))</f>
        <v/>
      </c>
      <c r="F199" s="0" t="str">
        <f aca="false">IF($B199="","",INDEX(ChalTitle,$B199))</f>
        <v/>
      </c>
      <c r="G199" s="0" t="str">
        <f aca="false">IF($B199="","",INDEX(ChalLevel,$B199))</f>
        <v/>
      </c>
      <c r="H199" s="0" t="str">
        <f aca="false">IF($B199="","",INDEX(BookFamily,$B199))</f>
        <v/>
      </c>
      <c r="I199" s="0" t="str">
        <f aca="false">IF($B199="","",INDEX(BookWorkerType,$B199))</f>
        <v/>
      </c>
      <c r="J199" s="56" t="str">
        <f aca="false">IF($B199="","",INDEX(ChalEffective,$B199))</f>
        <v/>
      </c>
      <c r="K199" s="0" t="str">
        <f aca="false">IF($B199="","",INDEX(ChalStart,$B199))</f>
        <v/>
      </c>
      <c r="L199" s="57" t="str">
        <f aca="false">IF($B199="","",INDEX(ChalInYear,$B199))</f>
        <v/>
      </c>
      <c r="M199" s="57" t="str">
        <f aca="false">IF($B199="","",INDEX(ChalRunRate,$B199))</f>
        <v/>
      </c>
      <c r="N199" s="0" t="str">
        <f aca="false">IF($B199="","",INDEX(BookDriver,$B199))</f>
        <v/>
      </c>
    </row>
    <row r="200" customFormat="false" ht="15" hidden="false" customHeight="false" outlineLevel="0" collapsed="false">
      <c r="A200" s="33" t="n">
        <v>195</v>
      </c>
      <c r="B200" s="0" t="str">
        <f aca="false">IFERROR(MATCH($A200,ChalSeq,0),"")</f>
        <v/>
      </c>
      <c r="C200" s="0" t="str">
        <f aca="false">IF($B200="","",INDEX(ChalGroup,$B200))</f>
        <v/>
      </c>
      <c r="D200" s="0" t="str">
        <f aca="false">IF($B200="","",INDEX(ChalDivision,$B200))</f>
        <v/>
      </c>
      <c r="E200" s="0" t="str">
        <f aca="false">IF($B200="","",INDEX(ChalUnit,$B200))</f>
        <v/>
      </c>
      <c r="F200" s="0" t="str">
        <f aca="false">IF($B200="","",INDEX(ChalTitle,$B200))</f>
        <v/>
      </c>
      <c r="G200" s="0" t="str">
        <f aca="false">IF($B200="","",INDEX(ChalLevel,$B200))</f>
        <v/>
      </c>
      <c r="H200" s="0" t="str">
        <f aca="false">IF($B200="","",INDEX(BookFamily,$B200))</f>
        <v/>
      </c>
      <c r="I200" s="0" t="str">
        <f aca="false">IF($B200="","",INDEX(BookWorkerType,$B200))</f>
        <v/>
      </c>
      <c r="J200" s="56" t="str">
        <f aca="false">IF($B200="","",INDEX(ChalEffective,$B200))</f>
        <v/>
      </c>
      <c r="K200" s="0" t="str">
        <f aca="false">IF($B200="","",INDEX(ChalStart,$B200))</f>
        <v/>
      </c>
      <c r="L200" s="57" t="str">
        <f aca="false">IF($B200="","",INDEX(ChalInYear,$B200))</f>
        <v/>
      </c>
      <c r="M200" s="57" t="str">
        <f aca="false">IF($B200="","",INDEX(ChalRunRate,$B200))</f>
        <v/>
      </c>
      <c r="N200" s="0" t="str">
        <f aca="false">IF($B200="","",INDEX(BookDriver,$B200))</f>
        <v/>
      </c>
    </row>
    <row r="201" customFormat="false" ht="15" hidden="false" customHeight="false" outlineLevel="0" collapsed="false">
      <c r="A201" s="33" t="n">
        <v>196</v>
      </c>
      <c r="B201" s="0" t="str">
        <f aca="false">IFERROR(MATCH($A201,ChalSeq,0),"")</f>
        <v/>
      </c>
      <c r="C201" s="0" t="str">
        <f aca="false">IF($B201="","",INDEX(ChalGroup,$B201))</f>
        <v/>
      </c>
      <c r="D201" s="0" t="str">
        <f aca="false">IF($B201="","",INDEX(ChalDivision,$B201))</f>
        <v/>
      </c>
      <c r="E201" s="0" t="str">
        <f aca="false">IF($B201="","",INDEX(ChalUnit,$B201))</f>
        <v/>
      </c>
      <c r="F201" s="0" t="str">
        <f aca="false">IF($B201="","",INDEX(ChalTitle,$B201))</f>
        <v/>
      </c>
      <c r="G201" s="0" t="str">
        <f aca="false">IF($B201="","",INDEX(ChalLevel,$B201))</f>
        <v/>
      </c>
      <c r="H201" s="0" t="str">
        <f aca="false">IF($B201="","",INDEX(BookFamily,$B201))</f>
        <v/>
      </c>
      <c r="I201" s="0" t="str">
        <f aca="false">IF($B201="","",INDEX(BookWorkerType,$B201))</f>
        <v/>
      </c>
      <c r="J201" s="56" t="str">
        <f aca="false">IF($B201="","",INDEX(ChalEffective,$B201))</f>
        <v/>
      </c>
      <c r="K201" s="0" t="str">
        <f aca="false">IF($B201="","",INDEX(ChalStart,$B201))</f>
        <v/>
      </c>
      <c r="L201" s="57" t="str">
        <f aca="false">IF($B201="","",INDEX(ChalInYear,$B201))</f>
        <v/>
      </c>
      <c r="M201" s="57" t="str">
        <f aca="false">IF($B201="","",INDEX(ChalRunRate,$B201))</f>
        <v/>
      </c>
      <c r="N201" s="0" t="str">
        <f aca="false">IF($B201="","",INDEX(BookDriver,$B201))</f>
        <v/>
      </c>
    </row>
    <row r="202" customFormat="false" ht="15" hidden="false" customHeight="false" outlineLevel="0" collapsed="false">
      <c r="A202" s="33" t="n">
        <v>197</v>
      </c>
      <c r="B202" s="0" t="str">
        <f aca="false">IFERROR(MATCH($A202,ChalSeq,0),"")</f>
        <v/>
      </c>
      <c r="C202" s="0" t="str">
        <f aca="false">IF($B202="","",INDEX(ChalGroup,$B202))</f>
        <v/>
      </c>
      <c r="D202" s="0" t="str">
        <f aca="false">IF($B202="","",INDEX(ChalDivision,$B202))</f>
        <v/>
      </c>
      <c r="E202" s="0" t="str">
        <f aca="false">IF($B202="","",INDEX(ChalUnit,$B202))</f>
        <v/>
      </c>
      <c r="F202" s="0" t="str">
        <f aca="false">IF($B202="","",INDEX(ChalTitle,$B202))</f>
        <v/>
      </c>
      <c r="G202" s="0" t="str">
        <f aca="false">IF($B202="","",INDEX(ChalLevel,$B202))</f>
        <v/>
      </c>
      <c r="H202" s="0" t="str">
        <f aca="false">IF($B202="","",INDEX(BookFamily,$B202))</f>
        <v/>
      </c>
      <c r="I202" s="0" t="str">
        <f aca="false">IF($B202="","",INDEX(BookWorkerType,$B202))</f>
        <v/>
      </c>
      <c r="J202" s="56" t="str">
        <f aca="false">IF($B202="","",INDEX(ChalEffective,$B202))</f>
        <v/>
      </c>
      <c r="K202" s="0" t="str">
        <f aca="false">IF($B202="","",INDEX(ChalStart,$B202))</f>
        <v/>
      </c>
      <c r="L202" s="57" t="str">
        <f aca="false">IF($B202="","",INDEX(ChalInYear,$B202))</f>
        <v/>
      </c>
      <c r="M202" s="57" t="str">
        <f aca="false">IF($B202="","",INDEX(ChalRunRate,$B202))</f>
        <v/>
      </c>
      <c r="N202" s="0" t="str">
        <f aca="false">IF($B202="","",INDEX(BookDriver,$B202))</f>
        <v/>
      </c>
    </row>
    <row r="203" customFormat="false" ht="15" hidden="false" customHeight="false" outlineLevel="0" collapsed="false">
      <c r="A203" s="33" t="n">
        <v>198</v>
      </c>
      <c r="B203" s="0" t="str">
        <f aca="false">IFERROR(MATCH($A203,ChalSeq,0),"")</f>
        <v/>
      </c>
      <c r="C203" s="0" t="str">
        <f aca="false">IF($B203="","",INDEX(ChalGroup,$B203))</f>
        <v/>
      </c>
      <c r="D203" s="0" t="str">
        <f aca="false">IF($B203="","",INDEX(ChalDivision,$B203))</f>
        <v/>
      </c>
      <c r="E203" s="0" t="str">
        <f aca="false">IF($B203="","",INDEX(ChalUnit,$B203))</f>
        <v/>
      </c>
      <c r="F203" s="0" t="str">
        <f aca="false">IF($B203="","",INDEX(ChalTitle,$B203))</f>
        <v/>
      </c>
      <c r="G203" s="0" t="str">
        <f aca="false">IF($B203="","",INDEX(ChalLevel,$B203))</f>
        <v/>
      </c>
      <c r="H203" s="0" t="str">
        <f aca="false">IF($B203="","",INDEX(BookFamily,$B203))</f>
        <v/>
      </c>
      <c r="I203" s="0" t="str">
        <f aca="false">IF($B203="","",INDEX(BookWorkerType,$B203))</f>
        <v/>
      </c>
      <c r="J203" s="56" t="str">
        <f aca="false">IF($B203="","",INDEX(ChalEffective,$B203))</f>
        <v/>
      </c>
      <c r="K203" s="0" t="str">
        <f aca="false">IF($B203="","",INDEX(ChalStart,$B203))</f>
        <v/>
      </c>
      <c r="L203" s="57" t="str">
        <f aca="false">IF($B203="","",INDEX(ChalInYear,$B203))</f>
        <v/>
      </c>
      <c r="M203" s="57" t="str">
        <f aca="false">IF($B203="","",INDEX(ChalRunRate,$B203))</f>
        <v/>
      </c>
      <c r="N203" s="0" t="str">
        <f aca="false">IF($B203="","",INDEX(BookDriver,$B203))</f>
        <v/>
      </c>
    </row>
    <row r="204" customFormat="false" ht="15" hidden="false" customHeight="false" outlineLevel="0" collapsed="false">
      <c r="A204" s="33" t="n">
        <v>199</v>
      </c>
      <c r="B204" s="0" t="str">
        <f aca="false">IFERROR(MATCH($A204,ChalSeq,0),"")</f>
        <v/>
      </c>
      <c r="C204" s="0" t="str">
        <f aca="false">IF($B204="","",INDEX(ChalGroup,$B204))</f>
        <v/>
      </c>
      <c r="D204" s="0" t="str">
        <f aca="false">IF($B204="","",INDEX(ChalDivision,$B204))</f>
        <v/>
      </c>
      <c r="E204" s="0" t="str">
        <f aca="false">IF($B204="","",INDEX(ChalUnit,$B204))</f>
        <v/>
      </c>
      <c r="F204" s="0" t="str">
        <f aca="false">IF($B204="","",INDEX(ChalTitle,$B204))</f>
        <v/>
      </c>
      <c r="G204" s="0" t="str">
        <f aca="false">IF($B204="","",INDEX(ChalLevel,$B204))</f>
        <v/>
      </c>
      <c r="H204" s="0" t="str">
        <f aca="false">IF($B204="","",INDEX(BookFamily,$B204))</f>
        <v/>
      </c>
      <c r="I204" s="0" t="str">
        <f aca="false">IF($B204="","",INDEX(BookWorkerType,$B204))</f>
        <v/>
      </c>
      <c r="J204" s="56" t="str">
        <f aca="false">IF($B204="","",INDEX(ChalEffective,$B204))</f>
        <v/>
      </c>
      <c r="K204" s="0" t="str">
        <f aca="false">IF($B204="","",INDEX(ChalStart,$B204))</f>
        <v/>
      </c>
      <c r="L204" s="57" t="str">
        <f aca="false">IF($B204="","",INDEX(ChalInYear,$B204))</f>
        <v/>
      </c>
      <c r="M204" s="57" t="str">
        <f aca="false">IF($B204="","",INDEX(ChalRunRate,$B204))</f>
        <v/>
      </c>
      <c r="N204" s="0" t="str">
        <f aca="false">IF($B204="","",INDEX(BookDriver,$B204))</f>
        <v/>
      </c>
    </row>
    <row r="205" customFormat="false" ht="15" hidden="false" customHeight="false" outlineLevel="0" collapsed="false">
      <c r="A205" s="33" t="n">
        <v>200</v>
      </c>
      <c r="B205" s="0" t="str">
        <f aca="false">IFERROR(MATCH($A205,ChalSeq,0),"")</f>
        <v/>
      </c>
      <c r="C205" s="0" t="str">
        <f aca="false">IF($B205="","",INDEX(ChalGroup,$B205))</f>
        <v/>
      </c>
      <c r="D205" s="0" t="str">
        <f aca="false">IF($B205="","",INDEX(ChalDivision,$B205))</f>
        <v/>
      </c>
      <c r="E205" s="0" t="str">
        <f aca="false">IF($B205="","",INDEX(ChalUnit,$B205))</f>
        <v/>
      </c>
      <c r="F205" s="0" t="str">
        <f aca="false">IF($B205="","",INDEX(ChalTitle,$B205))</f>
        <v/>
      </c>
      <c r="G205" s="0" t="str">
        <f aca="false">IF($B205="","",INDEX(ChalLevel,$B205))</f>
        <v/>
      </c>
      <c r="H205" s="0" t="str">
        <f aca="false">IF($B205="","",INDEX(BookFamily,$B205))</f>
        <v/>
      </c>
      <c r="I205" s="0" t="str">
        <f aca="false">IF($B205="","",INDEX(BookWorkerType,$B205))</f>
        <v/>
      </c>
      <c r="J205" s="56" t="str">
        <f aca="false">IF($B205="","",INDEX(ChalEffective,$B205))</f>
        <v/>
      </c>
      <c r="K205" s="0" t="str">
        <f aca="false">IF($B205="","",INDEX(ChalStart,$B205))</f>
        <v/>
      </c>
      <c r="L205" s="57" t="str">
        <f aca="false">IF($B205="","",INDEX(ChalInYear,$B205))</f>
        <v/>
      </c>
      <c r="M205" s="57" t="str">
        <f aca="false">IF($B205="","",INDEX(ChalRunRate,$B205))</f>
        <v/>
      </c>
      <c r="N205" s="0" t="str">
        <f aca="false">IF($B205="","",INDEX(BookDriver,$B205))</f>
        <v/>
      </c>
    </row>
    <row r="206" customFormat="false" ht="15" hidden="false" customHeight="false" outlineLevel="0" collapsed="false">
      <c r="A206" s="33" t="n">
        <v>201</v>
      </c>
      <c r="B206" s="0" t="str">
        <f aca="false">IFERROR(MATCH($A206,ChalSeq,0),"")</f>
        <v/>
      </c>
      <c r="C206" s="0" t="str">
        <f aca="false">IF($B206="","",INDEX(ChalGroup,$B206))</f>
        <v/>
      </c>
      <c r="D206" s="0" t="str">
        <f aca="false">IF($B206="","",INDEX(ChalDivision,$B206))</f>
        <v/>
      </c>
      <c r="E206" s="0" t="str">
        <f aca="false">IF($B206="","",INDEX(ChalUnit,$B206))</f>
        <v/>
      </c>
      <c r="F206" s="0" t="str">
        <f aca="false">IF($B206="","",INDEX(ChalTitle,$B206))</f>
        <v/>
      </c>
      <c r="G206" s="0" t="str">
        <f aca="false">IF($B206="","",INDEX(ChalLevel,$B206))</f>
        <v/>
      </c>
      <c r="H206" s="0" t="str">
        <f aca="false">IF($B206="","",INDEX(BookFamily,$B206))</f>
        <v/>
      </c>
      <c r="I206" s="0" t="str">
        <f aca="false">IF($B206="","",INDEX(BookWorkerType,$B206))</f>
        <v/>
      </c>
      <c r="J206" s="56" t="str">
        <f aca="false">IF($B206="","",INDEX(ChalEffective,$B206))</f>
        <v/>
      </c>
      <c r="K206" s="0" t="str">
        <f aca="false">IF($B206="","",INDEX(ChalStart,$B206))</f>
        <v/>
      </c>
      <c r="L206" s="57" t="str">
        <f aca="false">IF($B206="","",INDEX(ChalInYear,$B206))</f>
        <v/>
      </c>
      <c r="M206" s="57" t="str">
        <f aca="false">IF($B206="","",INDEX(ChalRunRate,$B206))</f>
        <v/>
      </c>
      <c r="N206" s="0" t="str">
        <f aca="false">IF($B206="","",INDEX(BookDriver,$B206))</f>
        <v/>
      </c>
    </row>
    <row r="207" customFormat="false" ht="15" hidden="false" customHeight="false" outlineLevel="0" collapsed="false">
      <c r="A207" s="33" t="n">
        <v>202</v>
      </c>
      <c r="B207" s="0" t="str">
        <f aca="false">IFERROR(MATCH($A207,ChalSeq,0),"")</f>
        <v/>
      </c>
      <c r="C207" s="0" t="str">
        <f aca="false">IF($B207="","",INDEX(ChalGroup,$B207))</f>
        <v/>
      </c>
      <c r="D207" s="0" t="str">
        <f aca="false">IF($B207="","",INDEX(ChalDivision,$B207))</f>
        <v/>
      </c>
      <c r="E207" s="0" t="str">
        <f aca="false">IF($B207="","",INDEX(ChalUnit,$B207))</f>
        <v/>
      </c>
      <c r="F207" s="0" t="str">
        <f aca="false">IF($B207="","",INDEX(ChalTitle,$B207))</f>
        <v/>
      </c>
      <c r="G207" s="0" t="str">
        <f aca="false">IF($B207="","",INDEX(ChalLevel,$B207))</f>
        <v/>
      </c>
      <c r="H207" s="0" t="str">
        <f aca="false">IF($B207="","",INDEX(BookFamily,$B207))</f>
        <v/>
      </c>
      <c r="I207" s="0" t="str">
        <f aca="false">IF($B207="","",INDEX(BookWorkerType,$B207))</f>
        <v/>
      </c>
      <c r="J207" s="56" t="str">
        <f aca="false">IF($B207="","",INDEX(ChalEffective,$B207))</f>
        <v/>
      </c>
      <c r="K207" s="0" t="str">
        <f aca="false">IF($B207="","",INDEX(ChalStart,$B207))</f>
        <v/>
      </c>
      <c r="L207" s="57" t="str">
        <f aca="false">IF($B207="","",INDEX(ChalInYear,$B207))</f>
        <v/>
      </c>
      <c r="M207" s="57" t="str">
        <f aca="false">IF($B207="","",INDEX(ChalRunRate,$B207))</f>
        <v/>
      </c>
      <c r="N207" s="0" t="str">
        <f aca="false">IF($B207="","",INDEX(BookDriver,$B207))</f>
        <v/>
      </c>
    </row>
    <row r="208" customFormat="false" ht="15" hidden="false" customHeight="false" outlineLevel="0" collapsed="false">
      <c r="A208" s="33" t="n">
        <v>203</v>
      </c>
      <c r="B208" s="0" t="str">
        <f aca="false">IFERROR(MATCH($A208,ChalSeq,0),"")</f>
        <v/>
      </c>
      <c r="C208" s="0" t="str">
        <f aca="false">IF($B208="","",INDEX(ChalGroup,$B208))</f>
        <v/>
      </c>
      <c r="D208" s="0" t="str">
        <f aca="false">IF($B208="","",INDEX(ChalDivision,$B208))</f>
        <v/>
      </c>
      <c r="E208" s="0" t="str">
        <f aca="false">IF($B208="","",INDEX(ChalUnit,$B208))</f>
        <v/>
      </c>
      <c r="F208" s="0" t="str">
        <f aca="false">IF($B208="","",INDEX(ChalTitle,$B208))</f>
        <v/>
      </c>
      <c r="G208" s="0" t="str">
        <f aca="false">IF($B208="","",INDEX(ChalLevel,$B208))</f>
        <v/>
      </c>
      <c r="H208" s="0" t="str">
        <f aca="false">IF($B208="","",INDEX(BookFamily,$B208))</f>
        <v/>
      </c>
      <c r="I208" s="0" t="str">
        <f aca="false">IF($B208="","",INDEX(BookWorkerType,$B208))</f>
        <v/>
      </c>
      <c r="J208" s="56" t="str">
        <f aca="false">IF($B208="","",INDEX(ChalEffective,$B208))</f>
        <v/>
      </c>
      <c r="K208" s="0" t="str">
        <f aca="false">IF($B208="","",INDEX(ChalStart,$B208))</f>
        <v/>
      </c>
      <c r="L208" s="57" t="str">
        <f aca="false">IF($B208="","",INDEX(ChalInYear,$B208))</f>
        <v/>
      </c>
      <c r="M208" s="57" t="str">
        <f aca="false">IF($B208="","",INDEX(ChalRunRate,$B208))</f>
        <v/>
      </c>
      <c r="N208" s="0" t="str">
        <f aca="false">IF($B208="","",INDEX(BookDriver,$B208))</f>
        <v/>
      </c>
    </row>
    <row r="209" customFormat="false" ht="15" hidden="false" customHeight="false" outlineLevel="0" collapsed="false">
      <c r="A209" s="33" t="n">
        <v>204</v>
      </c>
      <c r="B209" s="0" t="str">
        <f aca="false">IFERROR(MATCH($A209,ChalSeq,0),"")</f>
        <v/>
      </c>
      <c r="C209" s="0" t="str">
        <f aca="false">IF($B209="","",INDEX(ChalGroup,$B209))</f>
        <v/>
      </c>
      <c r="D209" s="0" t="str">
        <f aca="false">IF($B209="","",INDEX(ChalDivision,$B209))</f>
        <v/>
      </c>
      <c r="E209" s="0" t="str">
        <f aca="false">IF($B209="","",INDEX(ChalUnit,$B209))</f>
        <v/>
      </c>
      <c r="F209" s="0" t="str">
        <f aca="false">IF($B209="","",INDEX(ChalTitle,$B209))</f>
        <v/>
      </c>
      <c r="G209" s="0" t="str">
        <f aca="false">IF($B209="","",INDEX(ChalLevel,$B209))</f>
        <v/>
      </c>
      <c r="H209" s="0" t="str">
        <f aca="false">IF($B209="","",INDEX(BookFamily,$B209))</f>
        <v/>
      </c>
      <c r="I209" s="0" t="str">
        <f aca="false">IF($B209="","",INDEX(BookWorkerType,$B209))</f>
        <v/>
      </c>
      <c r="J209" s="56" t="str">
        <f aca="false">IF($B209="","",INDEX(ChalEffective,$B209))</f>
        <v/>
      </c>
      <c r="K209" s="0" t="str">
        <f aca="false">IF($B209="","",INDEX(ChalStart,$B209))</f>
        <v/>
      </c>
      <c r="L209" s="57" t="str">
        <f aca="false">IF($B209="","",INDEX(ChalInYear,$B209))</f>
        <v/>
      </c>
      <c r="M209" s="57" t="str">
        <f aca="false">IF($B209="","",INDEX(ChalRunRate,$B209))</f>
        <v/>
      </c>
      <c r="N209" s="0" t="str">
        <f aca="false">IF($B209="","",INDEX(BookDriver,$B209))</f>
        <v/>
      </c>
    </row>
    <row r="210" customFormat="false" ht="15" hidden="false" customHeight="false" outlineLevel="0" collapsed="false">
      <c r="A210" s="33" t="n">
        <v>205</v>
      </c>
      <c r="B210" s="0" t="str">
        <f aca="false">IFERROR(MATCH($A210,ChalSeq,0),"")</f>
        <v/>
      </c>
      <c r="C210" s="0" t="str">
        <f aca="false">IF($B210="","",INDEX(ChalGroup,$B210))</f>
        <v/>
      </c>
      <c r="D210" s="0" t="str">
        <f aca="false">IF($B210="","",INDEX(ChalDivision,$B210))</f>
        <v/>
      </c>
      <c r="E210" s="0" t="str">
        <f aca="false">IF($B210="","",INDEX(ChalUnit,$B210))</f>
        <v/>
      </c>
      <c r="F210" s="0" t="str">
        <f aca="false">IF($B210="","",INDEX(ChalTitle,$B210))</f>
        <v/>
      </c>
      <c r="G210" s="0" t="str">
        <f aca="false">IF($B210="","",INDEX(ChalLevel,$B210))</f>
        <v/>
      </c>
      <c r="H210" s="0" t="str">
        <f aca="false">IF($B210="","",INDEX(BookFamily,$B210))</f>
        <v/>
      </c>
      <c r="I210" s="0" t="str">
        <f aca="false">IF($B210="","",INDEX(BookWorkerType,$B210))</f>
        <v/>
      </c>
      <c r="J210" s="56" t="str">
        <f aca="false">IF($B210="","",INDEX(ChalEffective,$B210))</f>
        <v/>
      </c>
      <c r="K210" s="0" t="str">
        <f aca="false">IF($B210="","",INDEX(ChalStart,$B210))</f>
        <v/>
      </c>
      <c r="L210" s="57" t="str">
        <f aca="false">IF($B210="","",INDEX(ChalInYear,$B210))</f>
        <v/>
      </c>
      <c r="M210" s="57" t="str">
        <f aca="false">IF($B210="","",INDEX(ChalRunRate,$B210))</f>
        <v/>
      </c>
      <c r="N210" s="0" t="str">
        <f aca="false">IF($B210="","",INDEX(BookDriver,$B210))</f>
        <v/>
      </c>
    </row>
    <row r="211" customFormat="false" ht="15" hidden="false" customHeight="false" outlineLevel="0" collapsed="false">
      <c r="A211" s="33" t="n">
        <v>206</v>
      </c>
      <c r="B211" s="0" t="str">
        <f aca="false">IFERROR(MATCH($A211,ChalSeq,0),"")</f>
        <v/>
      </c>
      <c r="C211" s="0" t="str">
        <f aca="false">IF($B211="","",INDEX(ChalGroup,$B211))</f>
        <v/>
      </c>
      <c r="D211" s="0" t="str">
        <f aca="false">IF($B211="","",INDEX(ChalDivision,$B211))</f>
        <v/>
      </c>
      <c r="E211" s="0" t="str">
        <f aca="false">IF($B211="","",INDEX(ChalUnit,$B211))</f>
        <v/>
      </c>
      <c r="F211" s="0" t="str">
        <f aca="false">IF($B211="","",INDEX(ChalTitle,$B211))</f>
        <v/>
      </c>
      <c r="G211" s="0" t="str">
        <f aca="false">IF($B211="","",INDEX(ChalLevel,$B211))</f>
        <v/>
      </c>
      <c r="H211" s="0" t="str">
        <f aca="false">IF($B211="","",INDEX(BookFamily,$B211))</f>
        <v/>
      </c>
      <c r="I211" s="0" t="str">
        <f aca="false">IF($B211="","",INDEX(BookWorkerType,$B211))</f>
        <v/>
      </c>
      <c r="J211" s="56" t="str">
        <f aca="false">IF($B211="","",INDEX(ChalEffective,$B211))</f>
        <v/>
      </c>
      <c r="K211" s="0" t="str">
        <f aca="false">IF($B211="","",INDEX(ChalStart,$B211))</f>
        <v/>
      </c>
      <c r="L211" s="57" t="str">
        <f aca="false">IF($B211="","",INDEX(ChalInYear,$B211))</f>
        <v/>
      </c>
      <c r="M211" s="57" t="str">
        <f aca="false">IF($B211="","",INDEX(ChalRunRate,$B211))</f>
        <v/>
      </c>
      <c r="N211" s="0" t="str">
        <f aca="false">IF($B211="","",INDEX(BookDriver,$B211))</f>
        <v/>
      </c>
    </row>
    <row r="212" customFormat="false" ht="15" hidden="false" customHeight="false" outlineLevel="0" collapsed="false">
      <c r="A212" s="33" t="n">
        <v>207</v>
      </c>
      <c r="B212" s="0" t="str">
        <f aca="false">IFERROR(MATCH($A212,ChalSeq,0),"")</f>
        <v/>
      </c>
      <c r="C212" s="0" t="str">
        <f aca="false">IF($B212="","",INDEX(ChalGroup,$B212))</f>
        <v/>
      </c>
      <c r="D212" s="0" t="str">
        <f aca="false">IF($B212="","",INDEX(ChalDivision,$B212))</f>
        <v/>
      </c>
      <c r="E212" s="0" t="str">
        <f aca="false">IF($B212="","",INDEX(ChalUnit,$B212))</f>
        <v/>
      </c>
      <c r="F212" s="0" t="str">
        <f aca="false">IF($B212="","",INDEX(ChalTitle,$B212))</f>
        <v/>
      </c>
      <c r="G212" s="0" t="str">
        <f aca="false">IF($B212="","",INDEX(ChalLevel,$B212))</f>
        <v/>
      </c>
      <c r="H212" s="0" t="str">
        <f aca="false">IF($B212="","",INDEX(BookFamily,$B212))</f>
        <v/>
      </c>
      <c r="I212" s="0" t="str">
        <f aca="false">IF($B212="","",INDEX(BookWorkerType,$B212))</f>
        <v/>
      </c>
      <c r="J212" s="56" t="str">
        <f aca="false">IF($B212="","",INDEX(ChalEffective,$B212))</f>
        <v/>
      </c>
      <c r="K212" s="0" t="str">
        <f aca="false">IF($B212="","",INDEX(ChalStart,$B212))</f>
        <v/>
      </c>
      <c r="L212" s="57" t="str">
        <f aca="false">IF($B212="","",INDEX(ChalInYear,$B212))</f>
        <v/>
      </c>
      <c r="M212" s="57" t="str">
        <f aca="false">IF($B212="","",INDEX(ChalRunRate,$B212))</f>
        <v/>
      </c>
      <c r="N212" s="0" t="str">
        <f aca="false">IF($B212="","",INDEX(BookDriver,$B212))</f>
        <v/>
      </c>
    </row>
    <row r="213" customFormat="false" ht="15" hidden="false" customHeight="false" outlineLevel="0" collapsed="false">
      <c r="A213" s="33" t="n">
        <v>208</v>
      </c>
      <c r="B213" s="0" t="str">
        <f aca="false">IFERROR(MATCH($A213,ChalSeq,0),"")</f>
        <v/>
      </c>
      <c r="C213" s="0" t="str">
        <f aca="false">IF($B213="","",INDEX(ChalGroup,$B213))</f>
        <v/>
      </c>
      <c r="D213" s="0" t="str">
        <f aca="false">IF($B213="","",INDEX(ChalDivision,$B213))</f>
        <v/>
      </c>
      <c r="E213" s="0" t="str">
        <f aca="false">IF($B213="","",INDEX(ChalUnit,$B213))</f>
        <v/>
      </c>
      <c r="F213" s="0" t="str">
        <f aca="false">IF($B213="","",INDEX(ChalTitle,$B213))</f>
        <v/>
      </c>
      <c r="G213" s="0" t="str">
        <f aca="false">IF($B213="","",INDEX(ChalLevel,$B213))</f>
        <v/>
      </c>
      <c r="H213" s="0" t="str">
        <f aca="false">IF($B213="","",INDEX(BookFamily,$B213))</f>
        <v/>
      </c>
      <c r="I213" s="0" t="str">
        <f aca="false">IF($B213="","",INDEX(BookWorkerType,$B213))</f>
        <v/>
      </c>
      <c r="J213" s="56" t="str">
        <f aca="false">IF($B213="","",INDEX(ChalEffective,$B213))</f>
        <v/>
      </c>
      <c r="K213" s="0" t="str">
        <f aca="false">IF($B213="","",INDEX(ChalStart,$B213))</f>
        <v/>
      </c>
      <c r="L213" s="57" t="str">
        <f aca="false">IF($B213="","",INDEX(ChalInYear,$B213))</f>
        <v/>
      </c>
      <c r="M213" s="57" t="str">
        <f aca="false">IF($B213="","",INDEX(ChalRunRate,$B213))</f>
        <v/>
      </c>
      <c r="N213" s="0" t="str">
        <f aca="false">IF($B213="","",INDEX(BookDriver,$B213))</f>
        <v/>
      </c>
    </row>
    <row r="214" customFormat="false" ht="15" hidden="false" customHeight="false" outlineLevel="0" collapsed="false">
      <c r="A214" s="33" t="n">
        <v>209</v>
      </c>
      <c r="B214" s="0" t="str">
        <f aca="false">IFERROR(MATCH($A214,ChalSeq,0),"")</f>
        <v/>
      </c>
      <c r="C214" s="0" t="str">
        <f aca="false">IF($B214="","",INDEX(ChalGroup,$B214))</f>
        <v/>
      </c>
      <c r="D214" s="0" t="str">
        <f aca="false">IF($B214="","",INDEX(ChalDivision,$B214))</f>
        <v/>
      </c>
      <c r="E214" s="0" t="str">
        <f aca="false">IF($B214="","",INDEX(ChalUnit,$B214))</f>
        <v/>
      </c>
      <c r="F214" s="0" t="str">
        <f aca="false">IF($B214="","",INDEX(ChalTitle,$B214))</f>
        <v/>
      </c>
      <c r="G214" s="0" t="str">
        <f aca="false">IF($B214="","",INDEX(ChalLevel,$B214))</f>
        <v/>
      </c>
      <c r="H214" s="0" t="str">
        <f aca="false">IF($B214="","",INDEX(BookFamily,$B214))</f>
        <v/>
      </c>
      <c r="I214" s="0" t="str">
        <f aca="false">IF($B214="","",INDEX(BookWorkerType,$B214))</f>
        <v/>
      </c>
      <c r="J214" s="56" t="str">
        <f aca="false">IF($B214="","",INDEX(ChalEffective,$B214))</f>
        <v/>
      </c>
      <c r="K214" s="0" t="str">
        <f aca="false">IF($B214="","",INDEX(ChalStart,$B214))</f>
        <v/>
      </c>
      <c r="L214" s="57" t="str">
        <f aca="false">IF($B214="","",INDEX(ChalInYear,$B214))</f>
        <v/>
      </c>
      <c r="M214" s="57" t="str">
        <f aca="false">IF($B214="","",INDEX(ChalRunRate,$B214))</f>
        <v/>
      </c>
      <c r="N214" s="0" t="str">
        <f aca="false">IF($B214="","",INDEX(BookDriver,$B214))</f>
        <v/>
      </c>
    </row>
    <row r="215" customFormat="false" ht="15" hidden="false" customHeight="false" outlineLevel="0" collapsed="false">
      <c r="A215" s="33" t="n">
        <v>210</v>
      </c>
      <c r="B215" s="0" t="str">
        <f aca="false">IFERROR(MATCH($A215,ChalSeq,0),"")</f>
        <v/>
      </c>
      <c r="C215" s="0" t="str">
        <f aca="false">IF($B215="","",INDEX(ChalGroup,$B215))</f>
        <v/>
      </c>
      <c r="D215" s="0" t="str">
        <f aca="false">IF($B215="","",INDEX(ChalDivision,$B215))</f>
        <v/>
      </c>
      <c r="E215" s="0" t="str">
        <f aca="false">IF($B215="","",INDEX(ChalUnit,$B215))</f>
        <v/>
      </c>
      <c r="F215" s="0" t="str">
        <f aca="false">IF($B215="","",INDEX(ChalTitle,$B215))</f>
        <v/>
      </c>
      <c r="G215" s="0" t="str">
        <f aca="false">IF($B215="","",INDEX(ChalLevel,$B215))</f>
        <v/>
      </c>
      <c r="H215" s="0" t="str">
        <f aca="false">IF($B215="","",INDEX(BookFamily,$B215))</f>
        <v/>
      </c>
      <c r="I215" s="0" t="str">
        <f aca="false">IF($B215="","",INDEX(BookWorkerType,$B215))</f>
        <v/>
      </c>
      <c r="J215" s="56" t="str">
        <f aca="false">IF($B215="","",INDEX(ChalEffective,$B215))</f>
        <v/>
      </c>
      <c r="K215" s="0" t="str">
        <f aca="false">IF($B215="","",INDEX(ChalStart,$B215))</f>
        <v/>
      </c>
      <c r="L215" s="57" t="str">
        <f aca="false">IF($B215="","",INDEX(ChalInYear,$B215))</f>
        <v/>
      </c>
      <c r="M215" s="57" t="str">
        <f aca="false">IF($B215="","",INDEX(ChalRunRate,$B215))</f>
        <v/>
      </c>
      <c r="N215" s="0" t="str">
        <f aca="false">IF($B215="","",INDEX(BookDriver,$B215))</f>
        <v/>
      </c>
    </row>
    <row r="216" customFormat="false" ht="15" hidden="false" customHeight="false" outlineLevel="0" collapsed="false">
      <c r="A216" s="33" t="n">
        <v>211</v>
      </c>
      <c r="B216" s="0" t="str">
        <f aca="false">IFERROR(MATCH($A216,ChalSeq,0),"")</f>
        <v/>
      </c>
      <c r="C216" s="0" t="str">
        <f aca="false">IF($B216="","",INDEX(ChalGroup,$B216))</f>
        <v/>
      </c>
      <c r="D216" s="0" t="str">
        <f aca="false">IF($B216="","",INDEX(ChalDivision,$B216))</f>
        <v/>
      </c>
      <c r="E216" s="0" t="str">
        <f aca="false">IF($B216="","",INDEX(ChalUnit,$B216))</f>
        <v/>
      </c>
      <c r="F216" s="0" t="str">
        <f aca="false">IF($B216="","",INDEX(ChalTitle,$B216))</f>
        <v/>
      </c>
      <c r="G216" s="0" t="str">
        <f aca="false">IF($B216="","",INDEX(ChalLevel,$B216))</f>
        <v/>
      </c>
      <c r="H216" s="0" t="str">
        <f aca="false">IF($B216="","",INDEX(BookFamily,$B216))</f>
        <v/>
      </c>
      <c r="I216" s="0" t="str">
        <f aca="false">IF($B216="","",INDEX(BookWorkerType,$B216))</f>
        <v/>
      </c>
      <c r="J216" s="56" t="str">
        <f aca="false">IF($B216="","",INDEX(ChalEffective,$B216))</f>
        <v/>
      </c>
      <c r="K216" s="0" t="str">
        <f aca="false">IF($B216="","",INDEX(ChalStart,$B216))</f>
        <v/>
      </c>
      <c r="L216" s="57" t="str">
        <f aca="false">IF($B216="","",INDEX(ChalInYear,$B216))</f>
        <v/>
      </c>
      <c r="M216" s="57" t="str">
        <f aca="false">IF($B216="","",INDEX(ChalRunRate,$B216))</f>
        <v/>
      </c>
      <c r="N216" s="0" t="str">
        <f aca="false">IF($B216="","",INDEX(BookDriver,$B216))</f>
        <v/>
      </c>
    </row>
    <row r="217" customFormat="false" ht="15" hidden="false" customHeight="false" outlineLevel="0" collapsed="false">
      <c r="A217" s="33" t="n">
        <v>212</v>
      </c>
      <c r="B217" s="0" t="str">
        <f aca="false">IFERROR(MATCH($A217,ChalSeq,0),"")</f>
        <v/>
      </c>
      <c r="C217" s="0" t="str">
        <f aca="false">IF($B217="","",INDEX(ChalGroup,$B217))</f>
        <v/>
      </c>
      <c r="D217" s="0" t="str">
        <f aca="false">IF($B217="","",INDEX(ChalDivision,$B217))</f>
        <v/>
      </c>
      <c r="E217" s="0" t="str">
        <f aca="false">IF($B217="","",INDEX(ChalUnit,$B217))</f>
        <v/>
      </c>
      <c r="F217" s="0" t="str">
        <f aca="false">IF($B217="","",INDEX(ChalTitle,$B217))</f>
        <v/>
      </c>
      <c r="G217" s="0" t="str">
        <f aca="false">IF($B217="","",INDEX(ChalLevel,$B217))</f>
        <v/>
      </c>
      <c r="H217" s="0" t="str">
        <f aca="false">IF($B217="","",INDEX(BookFamily,$B217))</f>
        <v/>
      </c>
      <c r="I217" s="0" t="str">
        <f aca="false">IF($B217="","",INDEX(BookWorkerType,$B217))</f>
        <v/>
      </c>
      <c r="J217" s="56" t="str">
        <f aca="false">IF($B217="","",INDEX(ChalEffective,$B217))</f>
        <v/>
      </c>
      <c r="K217" s="0" t="str">
        <f aca="false">IF($B217="","",INDEX(ChalStart,$B217))</f>
        <v/>
      </c>
      <c r="L217" s="57" t="str">
        <f aca="false">IF($B217="","",INDEX(ChalInYear,$B217))</f>
        <v/>
      </c>
      <c r="M217" s="57" t="str">
        <f aca="false">IF($B217="","",INDEX(ChalRunRate,$B217))</f>
        <v/>
      </c>
      <c r="N217" s="0" t="str">
        <f aca="false">IF($B217="","",INDEX(BookDriver,$B217))</f>
        <v/>
      </c>
    </row>
    <row r="218" customFormat="false" ht="15" hidden="false" customHeight="false" outlineLevel="0" collapsed="false">
      <c r="A218" s="33" t="n">
        <v>213</v>
      </c>
      <c r="B218" s="0" t="str">
        <f aca="false">IFERROR(MATCH($A218,ChalSeq,0),"")</f>
        <v/>
      </c>
      <c r="C218" s="0" t="str">
        <f aca="false">IF($B218="","",INDEX(ChalGroup,$B218))</f>
        <v/>
      </c>
      <c r="D218" s="0" t="str">
        <f aca="false">IF($B218="","",INDEX(ChalDivision,$B218))</f>
        <v/>
      </c>
      <c r="E218" s="0" t="str">
        <f aca="false">IF($B218="","",INDEX(ChalUnit,$B218))</f>
        <v/>
      </c>
      <c r="F218" s="0" t="str">
        <f aca="false">IF($B218="","",INDEX(ChalTitle,$B218))</f>
        <v/>
      </c>
      <c r="G218" s="0" t="str">
        <f aca="false">IF($B218="","",INDEX(ChalLevel,$B218))</f>
        <v/>
      </c>
      <c r="H218" s="0" t="str">
        <f aca="false">IF($B218="","",INDEX(BookFamily,$B218))</f>
        <v/>
      </c>
      <c r="I218" s="0" t="str">
        <f aca="false">IF($B218="","",INDEX(BookWorkerType,$B218))</f>
        <v/>
      </c>
      <c r="J218" s="56" t="str">
        <f aca="false">IF($B218="","",INDEX(ChalEffective,$B218))</f>
        <v/>
      </c>
      <c r="K218" s="0" t="str">
        <f aca="false">IF($B218="","",INDEX(ChalStart,$B218))</f>
        <v/>
      </c>
      <c r="L218" s="57" t="str">
        <f aca="false">IF($B218="","",INDEX(ChalInYear,$B218))</f>
        <v/>
      </c>
      <c r="M218" s="57" t="str">
        <f aca="false">IF($B218="","",INDEX(ChalRunRate,$B218))</f>
        <v/>
      </c>
      <c r="N218" s="0" t="str">
        <f aca="false">IF($B218="","",INDEX(BookDriver,$B218))</f>
        <v/>
      </c>
    </row>
    <row r="219" customFormat="false" ht="15" hidden="false" customHeight="false" outlineLevel="0" collapsed="false">
      <c r="A219" s="33" t="n">
        <v>214</v>
      </c>
      <c r="B219" s="0" t="str">
        <f aca="false">IFERROR(MATCH($A219,ChalSeq,0),"")</f>
        <v/>
      </c>
      <c r="C219" s="0" t="str">
        <f aca="false">IF($B219="","",INDEX(ChalGroup,$B219))</f>
        <v/>
      </c>
      <c r="D219" s="0" t="str">
        <f aca="false">IF($B219="","",INDEX(ChalDivision,$B219))</f>
        <v/>
      </c>
      <c r="E219" s="0" t="str">
        <f aca="false">IF($B219="","",INDEX(ChalUnit,$B219))</f>
        <v/>
      </c>
      <c r="F219" s="0" t="str">
        <f aca="false">IF($B219="","",INDEX(ChalTitle,$B219))</f>
        <v/>
      </c>
      <c r="G219" s="0" t="str">
        <f aca="false">IF($B219="","",INDEX(ChalLevel,$B219))</f>
        <v/>
      </c>
      <c r="H219" s="0" t="str">
        <f aca="false">IF($B219="","",INDEX(BookFamily,$B219))</f>
        <v/>
      </c>
      <c r="I219" s="0" t="str">
        <f aca="false">IF($B219="","",INDEX(BookWorkerType,$B219))</f>
        <v/>
      </c>
      <c r="J219" s="56" t="str">
        <f aca="false">IF($B219="","",INDEX(ChalEffective,$B219))</f>
        <v/>
      </c>
      <c r="K219" s="0" t="str">
        <f aca="false">IF($B219="","",INDEX(ChalStart,$B219))</f>
        <v/>
      </c>
      <c r="L219" s="57" t="str">
        <f aca="false">IF($B219="","",INDEX(ChalInYear,$B219))</f>
        <v/>
      </c>
      <c r="M219" s="57" t="str">
        <f aca="false">IF($B219="","",INDEX(ChalRunRate,$B219))</f>
        <v/>
      </c>
      <c r="N219" s="0" t="str">
        <f aca="false">IF($B219="","",INDEX(BookDriver,$B219))</f>
        <v/>
      </c>
    </row>
    <row r="220" customFormat="false" ht="15" hidden="false" customHeight="false" outlineLevel="0" collapsed="false">
      <c r="A220" s="33" t="n">
        <v>215</v>
      </c>
      <c r="B220" s="0" t="str">
        <f aca="false">IFERROR(MATCH($A220,ChalSeq,0),"")</f>
        <v/>
      </c>
      <c r="C220" s="0" t="str">
        <f aca="false">IF($B220="","",INDEX(ChalGroup,$B220))</f>
        <v/>
      </c>
      <c r="D220" s="0" t="str">
        <f aca="false">IF($B220="","",INDEX(ChalDivision,$B220))</f>
        <v/>
      </c>
      <c r="E220" s="0" t="str">
        <f aca="false">IF($B220="","",INDEX(ChalUnit,$B220))</f>
        <v/>
      </c>
      <c r="F220" s="0" t="str">
        <f aca="false">IF($B220="","",INDEX(ChalTitle,$B220))</f>
        <v/>
      </c>
      <c r="G220" s="0" t="str">
        <f aca="false">IF($B220="","",INDEX(ChalLevel,$B220))</f>
        <v/>
      </c>
      <c r="H220" s="0" t="str">
        <f aca="false">IF($B220="","",INDEX(BookFamily,$B220))</f>
        <v/>
      </c>
      <c r="I220" s="0" t="str">
        <f aca="false">IF($B220="","",INDEX(BookWorkerType,$B220))</f>
        <v/>
      </c>
      <c r="J220" s="56" t="str">
        <f aca="false">IF($B220="","",INDEX(ChalEffective,$B220))</f>
        <v/>
      </c>
      <c r="K220" s="0" t="str">
        <f aca="false">IF($B220="","",INDEX(ChalStart,$B220))</f>
        <v/>
      </c>
      <c r="L220" s="57" t="str">
        <f aca="false">IF($B220="","",INDEX(ChalInYear,$B220))</f>
        <v/>
      </c>
      <c r="M220" s="57" t="str">
        <f aca="false">IF($B220="","",INDEX(ChalRunRate,$B220))</f>
        <v/>
      </c>
      <c r="N220" s="0" t="str">
        <f aca="false">IF($B220="","",INDEX(BookDriver,$B220))</f>
        <v/>
      </c>
    </row>
    <row r="221" customFormat="false" ht="15" hidden="false" customHeight="false" outlineLevel="0" collapsed="false">
      <c r="A221" s="33" t="n">
        <v>216</v>
      </c>
      <c r="B221" s="0" t="str">
        <f aca="false">IFERROR(MATCH($A221,ChalSeq,0),"")</f>
        <v/>
      </c>
      <c r="C221" s="0" t="str">
        <f aca="false">IF($B221="","",INDEX(ChalGroup,$B221))</f>
        <v/>
      </c>
      <c r="D221" s="0" t="str">
        <f aca="false">IF($B221="","",INDEX(ChalDivision,$B221))</f>
        <v/>
      </c>
      <c r="E221" s="0" t="str">
        <f aca="false">IF($B221="","",INDEX(ChalUnit,$B221))</f>
        <v/>
      </c>
      <c r="F221" s="0" t="str">
        <f aca="false">IF($B221="","",INDEX(ChalTitle,$B221))</f>
        <v/>
      </c>
      <c r="G221" s="0" t="str">
        <f aca="false">IF($B221="","",INDEX(ChalLevel,$B221))</f>
        <v/>
      </c>
      <c r="H221" s="0" t="str">
        <f aca="false">IF($B221="","",INDEX(BookFamily,$B221))</f>
        <v/>
      </c>
      <c r="I221" s="0" t="str">
        <f aca="false">IF($B221="","",INDEX(BookWorkerType,$B221))</f>
        <v/>
      </c>
      <c r="J221" s="56" t="str">
        <f aca="false">IF($B221="","",INDEX(ChalEffective,$B221))</f>
        <v/>
      </c>
      <c r="K221" s="0" t="str">
        <f aca="false">IF($B221="","",INDEX(ChalStart,$B221))</f>
        <v/>
      </c>
      <c r="L221" s="57" t="str">
        <f aca="false">IF($B221="","",INDEX(ChalInYear,$B221))</f>
        <v/>
      </c>
      <c r="M221" s="57" t="str">
        <f aca="false">IF($B221="","",INDEX(ChalRunRate,$B221))</f>
        <v/>
      </c>
      <c r="N221" s="0" t="str">
        <f aca="false">IF($B221="","",INDEX(BookDriver,$B221))</f>
        <v/>
      </c>
    </row>
    <row r="222" customFormat="false" ht="15" hidden="false" customHeight="false" outlineLevel="0" collapsed="false">
      <c r="A222" s="33" t="n">
        <v>217</v>
      </c>
      <c r="B222" s="0" t="str">
        <f aca="false">IFERROR(MATCH($A222,ChalSeq,0),"")</f>
        <v/>
      </c>
      <c r="C222" s="0" t="str">
        <f aca="false">IF($B222="","",INDEX(ChalGroup,$B222))</f>
        <v/>
      </c>
      <c r="D222" s="0" t="str">
        <f aca="false">IF($B222="","",INDEX(ChalDivision,$B222))</f>
        <v/>
      </c>
      <c r="E222" s="0" t="str">
        <f aca="false">IF($B222="","",INDEX(ChalUnit,$B222))</f>
        <v/>
      </c>
      <c r="F222" s="0" t="str">
        <f aca="false">IF($B222="","",INDEX(ChalTitle,$B222))</f>
        <v/>
      </c>
      <c r="G222" s="0" t="str">
        <f aca="false">IF($B222="","",INDEX(ChalLevel,$B222))</f>
        <v/>
      </c>
      <c r="H222" s="0" t="str">
        <f aca="false">IF($B222="","",INDEX(BookFamily,$B222))</f>
        <v/>
      </c>
      <c r="I222" s="0" t="str">
        <f aca="false">IF($B222="","",INDEX(BookWorkerType,$B222))</f>
        <v/>
      </c>
      <c r="J222" s="56" t="str">
        <f aca="false">IF($B222="","",INDEX(ChalEffective,$B222))</f>
        <v/>
      </c>
      <c r="K222" s="0" t="str">
        <f aca="false">IF($B222="","",INDEX(ChalStart,$B222))</f>
        <v/>
      </c>
      <c r="L222" s="57" t="str">
        <f aca="false">IF($B222="","",INDEX(ChalInYear,$B222))</f>
        <v/>
      </c>
      <c r="M222" s="57" t="str">
        <f aca="false">IF($B222="","",INDEX(ChalRunRate,$B222))</f>
        <v/>
      </c>
      <c r="N222" s="0" t="str">
        <f aca="false">IF($B222="","",INDEX(BookDriver,$B222))</f>
        <v/>
      </c>
    </row>
    <row r="223" customFormat="false" ht="15" hidden="false" customHeight="false" outlineLevel="0" collapsed="false">
      <c r="A223" s="33" t="n">
        <v>218</v>
      </c>
      <c r="B223" s="0" t="str">
        <f aca="false">IFERROR(MATCH($A223,ChalSeq,0),"")</f>
        <v/>
      </c>
      <c r="C223" s="0" t="str">
        <f aca="false">IF($B223="","",INDEX(ChalGroup,$B223))</f>
        <v/>
      </c>
      <c r="D223" s="0" t="str">
        <f aca="false">IF($B223="","",INDEX(ChalDivision,$B223))</f>
        <v/>
      </c>
      <c r="E223" s="0" t="str">
        <f aca="false">IF($B223="","",INDEX(ChalUnit,$B223))</f>
        <v/>
      </c>
      <c r="F223" s="0" t="str">
        <f aca="false">IF($B223="","",INDEX(ChalTitle,$B223))</f>
        <v/>
      </c>
      <c r="G223" s="0" t="str">
        <f aca="false">IF($B223="","",INDEX(ChalLevel,$B223))</f>
        <v/>
      </c>
      <c r="H223" s="0" t="str">
        <f aca="false">IF($B223="","",INDEX(BookFamily,$B223))</f>
        <v/>
      </c>
      <c r="I223" s="0" t="str">
        <f aca="false">IF($B223="","",INDEX(BookWorkerType,$B223))</f>
        <v/>
      </c>
      <c r="J223" s="56" t="str">
        <f aca="false">IF($B223="","",INDEX(ChalEffective,$B223))</f>
        <v/>
      </c>
      <c r="K223" s="0" t="str">
        <f aca="false">IF($B223="","",INDEX(ChalStart,$B223))</f>
        <v/>
      </c>
      <c r="L223" s="57" t="str">
        <f aca="false">IF($B223="","",INDEX(ChalInYear,$B223))</f>
        <v/>
      </c>
      <c r="M223" s="57" t="str">
        <f aca="false">IF($B223="","",INDEX(ChalRunRate,$B223))</f>
        <v/>
      </c>
      <c r="N223" s="0" t="str">
        <f aca="false">IF($B223="","",INDEX(BookDriver,$B223))</f>
        <v/>
      </c>
    </row>
    <row r="224" customFormat="false" ht="15" hidden="false" customHeight="false" outlineLevel="0" collapsed="false">
      <c r="A224" s="33" t="n">
        <v>219</v>
      </c>
      <c r="B224" s="0" t="str">
        <f aca="false">IFERROR(MATCH($A224,ChalSeq,0),"")</f>
        <v/>
      </c>
      <c r="C224" s="0" t="str">
        <f aca="false">IF($B224="","",INDEX(ChalGroup,$B224))</f>
        <v/>
      </c>
      <c r="D224" s="0" t="str">
        <f aca="false">IF($B224="","",INDEX(ChalDivision,$B224))</f>
        <v/>
      </c>
      <c r="E224" s="0" t="str">
        <f aca="false">IF($B224="","",INDEX(ChalUnit,$B224))</f>
        <v/>
      </c>
      <c r="F224" s="0" t="str">
        <f aca="false">IF($B224="","",INDEX(ChalTitle,$B224))</f>
        <v/>
      </c>
      <c r="G224" s="0" t="str">
        <f aca="false">IF($B224="","",INDEX(ChalLevel,$B224))</f>
        <v/>
      </c>
      <c r="H224" s="0" t="str">
        <f aca="false">IF($B224="","",INDEX(BookFamily,$B224))</f>
        <v/>
      </c>
      <c r="I224" s="0" t="str">
        <f aca="false">IF($B224="","",INDEX(BookWorkerType,$B224))</f>
        <v/>
      </c>
      <c r="J224" s="56" t="str">
        <f aca="false">IF($B224="","",INDEX(ChalEffective,$B224))</f>
        <v/>
      </c>
      <c r="K224" s="0" t="str">
        <f aca="false">IF($B224="","",INDEX(ChalStart,$B224))</f>
        <v/>
      </c>
      <c r="L224" s="57" t="str">
        <f aca="false">IF($B224="","",INDEX(ChalInYear,$B224))</f>
        <v/>
      </c>
      <c r="M224" s="57" t="str">
        <f aca="false">IF($B224="","",INDEX(ChalRunRate,$B224))</f>
        <v/>
      </c>
      <c r="N224" s="0" t="str">
        <f aca="false">IF($B224="","",INDEX(BookDriver,$B224))</f>
        <v/>
      </c>
    </row>
    <row r="225" customFormat="false" ht="15" hidden="false" customHeight="false" outlineLevel="0" collapsed="false">
      <c r="A225" s="33" t="n">
        <v>220</v>
      </c>
      <c r="B225" s="0" t="str">
        <f aca="false">IFERROR(MATCH($A225,ChalSeq,0),"")</f>
        <v/>
      </c>
      <c r="C225" s="0" t="str">
        <f aca="false">IF($B225="","",INDEX(ChalGroup,$B225))</f>
        <v/>
      </c>
      <c r="D225" s="0" t="str">
        <f aca="false">IF($B225="","",INDEX(ChalDivision,$B225))</f>
        <v/>
      </c>
      <c r="E225" s="0" t="str">
        <f aca="false">IF($B225="","",INDEX(ChalUnit,$B225))</f>
        <v/>
      </c>
      <c r="F225" s="0" t="str">
        <f aca="false">IF($B225="","",INDEX(ChalTitle,$B225))</f>
        <v/>
      </c>
      <c r="G225" s="0" t="str">
        <f aca="false">IF($B225="","",INDEX(ChalLevel,$B225))</f>
        <v/>
      </c>
      <c r="H225" s="0" t="str">
        <f aca="false">IF($B225="","",INDEX(BookFamily,$B225))</f>
        <v/>
      </c>
      <c r="I225" s="0" t="str">
        <f aca="false">IF($B225="","",INDEX(BookWorkerType,$B225))</f>
        <v/>
      </c>
      <c r="J225" s="56" t="str">
        <f aca="false">IF($B225="","",INDEX(ChalEffective,$B225))</f>
        <v/>
      </c>
      <c r="K225" s="0" t="str">
        <f aca="false">IF($B225="","",INDEX(ChalStart,$B225))</f>
        <v/>
      </c>
      <c r="L225" s="57" t="str">
        <f aca="false">IF($B225="","",INDEX(ChalInYear,$B225))</f>
        <v/>
      </c>
      <c r="M225" s="57" t="str">
        <f aca="false">IF($B225="","",INDEX(ChalRunRate,$B225))</f>
        <v/>
      </c>
      <c r="N225" s="0" t="str">
        <f aca="false">IF($B225="","",INDEX(BookDriver,$B225))</f>
        <v/>
      </c>
    </row>
    <row r="226" customFormat="false" ht="15" hidden="false" customHeight="false" outlineLevel="0" collapsed="false">
      <c r="A226" s="33" t="n">
        <v>221</v>
      </c>
      <c r="B226" s="0" t="str">
        <f aca="false">IFERROR(MATCH($A226,ChalSeq,0),"")</f>
        <v/>
      </c>
      <c r="C226" s="0" t="str">
        <f aca="false">IF($B226="","",INDEX(ChalGroup,$B226))</f>
        <v/>
      </c>
      <c r="D226" s="0" t="str">
        <f aca="false">IF($B226="","",INDEX(ChalDivision,$B226))</f>
        <v/>
      </c>
      <c r="E226" s="0" t="str">
        <f aca="false">IF($B226="","",INDEX(ChalUnit,$B226))</f>
        <v/>
      </c>
      <c r="F226" s="0" t="str">
        <f aca="false">IF($B226="","",INDEX(ChalTitle,$B226))</f>
        <v/>
      </c>
      <c r="G226" s="0" t="str">
        <f aca="false">IF($B226="","",INDEX(ChalLevel,$B226))</f>
        <v/>
      </c>
      <c r="H226" s="0" t="str">
        <f aca="false">IF($B226="","",INDEX(BookFamily,$B226))</f>
        <v/>
      </c>
      <c r="I226" s="0" t="str">
        <f aca="false">IF($B226="","",INDEX(BookWorkerType,$B226))</f>
        <v/>
      </c>
      <c r="J226" s="56" t="str">
        <f aca="false">IF($B226="","",INDEX(ChalEffective,$B226))</f>
        <v/>
      </c>
      <c r="K226" s="0" t="str">
        <f aca="false">IF($B226="","",INDEX(ChalStart,$B226))</f>
        <v/>
      </c>
      <c r="L226" s="57" t="str">
        <f aca="false">IF($B226="","",INDEX(ChalInYear,$B226))</f>
        <v/>
      </c>
      <c r="M226" s="57" t="str">
        <f aca="false">IF($B226="","",INDEX(ChalRunRate,$B226))</f>
        <v/>
      </c>
      <c r="N226" s="0" t="str">
        <f aca="false">IF($B226="","",INDEX(BookDriver,$B226))</f>
        <v/>
      </c>
    </row>
    <row r="227" customFormat="false" ht="15" hidden="false" customHeight="false" outlineLevel="0" collapsed="false">
      <c r="A227" s="33" t="n">
        <v>222</v>
      </c>
      <c r="B227" s="0" t="str">
        <f aca="false">IFERROR(MATCH($A227,ChalSeq,0),"")</f>
        <v/>
      </c>
      <c r="C227" s="0" t="str">
        <f aca="false">IF($B227="","",INDEX(ChalGroup,$B227))</f>
        <v/>
      </c>
      <c r="D227" s="0" t="str">
        <f aca="false">IF($B227="","",INDEX(ChalDivision,$B227))</f>
        <v/>
      </c>
      <c r="E227" s="0" t="str">
        <f aca="false">IF($B227="","",INDEX(ChalUnit,$B227))</f>
        <v/>
      </c>
      <c r="F227" s="0" t="str">
        <f aca="false">IF($B227="","",INDEX(ChalTitle,$B227))</f>
        <v/>
      </c>
      <c r="G227" s="0" t="str">
        <f aca="false">IF($B227="","",INDEX(ChalLevel,$B227))</f>
        <v/>
      </c>
      <c r="H227" s="0" t="str">
        <f aca="false">IF($B227="","",INDEX(BookFamily,$B227))</f>
        <v/>
      </c>
      <c r="I227" s="0" t="str">
        <f aca="false">IF($B227="","",INDEX(BookWorkerType,$B227))</f>
        <v/>
      </c>
      <c r="J227" s="56" t="str">
        <f aca="false">IF($B227="","",INDEX(ChalEffective,$B227))</f>
        <v/>
      </c>
      <c r="K227" s="0" t="str">
        <f aca="false">IF($B227="","",INDEX(ChalStart,$B227))</f>
        <v/>
      </c>
      <c r="L227" s="57" t="str">
        <f aca="false">IF($B227="","",INDEX(ChalInYear,$B227))</f>
        <v/>
      </c>
      <c r="M227" s="57" t="str">
        <f aca="false">IF($B227="","",INDEX(ChalRunRate,$B227))</f>
        <v/>
      </c>
      <c r="N227" s="0" t="str">
        <f aca="false">IF($B227="","",INDEX(BookDriver,$B227))</f>
        <v/>
      </c>
    </row>
    <row r="228" customFormat="false" ht="15" hidden="false" customHeight="false" outlineLevel="0" collapsed="false">
      <c r="A228" s="33" t="n">
        <v>223</v>
      </c>
      <c r="B228" s="0" t="str">
        <f aca="false">IFERROR(MATCH($A228,ChalSeq,0),"")</f>
        <v/>
      </c>
      <c r="C228" s="0" t="str">
        <f aca="false">IF($B228="","",INDEX(ChalGroup,$B228))</f>
        <v/>
      </c>
      <c r="D228" s="0" t="str">
        <f aca="false">IF($B228="","",INDEX(ChalDivision,$B228))</f>
        <v/>
      </c>
      <c r="E228" s="0" t="str">
        <f aca="false">IF($B228="","",INDEX(ChalUnit,$B228))</f>
        <v/>
      </c>
      <c r="F228" s="0" t="str">
        <f aca="false">IF($B228="","",INDEX(ChalTitle,$B228))</f>
        <v/>
      </c>
      <c r="G228" s="0" t="str">
        <f aca="false">IF($B228="","",INDEX(ChalLevel,$B228))</f>
        <v/>
      </c>
      <c r="H228" s="0" t="str">
        <f aca="false">IF($B228="","",INDEX(BookFamily,$B228))</f>
        <v/>
      </c>
      <c r="I228" s="0" t="str">
        <f aca="false">IF($B228="","",INDEX(BookWorkerType,$B228))</f>
        <v/>
      </c>
      <c r="J228" s="56" t="str">
        <f aca="false">IF($B228="","",INDEX(ChalEffective,$B228))</f>
        <v/>
      </c>
      <c r="K228" s="0" t="str">
        <f aca="false">IF($B228="","",INDEX(ChalStart,$B228))</f>
        <v/>
      </c>
      <c r="L228" s="57" t="str">
        <f aca="false">IF($B228="","",INDEX(ChalInYear,$B228))</f>
        <v/>
      </c>
      <c r="M228" s="57" t="str">
        <f aca="false">IF($B228="","",INDEX(ChalRunRate,$B228))</f>
        <v/>
      </c>
      <c r="N228" s="0" t="str">
        <f aca="false">IF($B228="","",INDEX(BookDriver,$B228))</f>
        <v/>
      </c>
    </row>
    <row r="229" customFormat="false" ht="15" hidden="false" customHeight="false" outlineLevel="0" collapsed="false">
      <c r="A229" s="33" t="n">
        <v>224</v>
      </c>
      <c r="B229" s="0" t="str">
        <f aca="false">IFERROR(MATCH($A229,ChalSeq,0),"")</f>
        <v/>
      </c>
      <c r="C229" s="0" t="str">
        <f aca="false">IF($B229="","",INDEX(ChalGroup,$B229))</f>
        <v/>
      </c>
      <c r="D229" s="0" t="str">
        <f aca="false">IF($B229="","",INDEX(ChalDivision,$B229))</f>
        <v/>
      </c>
      <c r="E229" s="0" t="str">
        <f aca="false">IF($B229="","",INDEX(ChalUnit,$B229))</f>
        <v/>
      </c>
      <c r="F229" s="0" t="str">
        <f aca="false">IF($B229="","",INDEX(ChalTitle,$B229))</f>
        <v/>
      </c>
      <c r="G229" s="0" t="str">
        <f aca="false">IF($B229="","",INDEX(ChalLevel,$B229))</f>
        <v/>
      </c>
      <c r="H229" s="0" t="str">
        <f aca="false">IF($B229="","",INDEX(BookFamily,$B229))</f>
        <v/>
      </c>
      <c r="I229" s="0" t="str">
        <f aca="false">IF($B229="","",INDEX(BookWorkerType,$B229))</f>
        <v/>
      </c>
      <c r="J229" s="56" t="str">
        <f aca="false">IF($B229="","",INDEX(ChalEffective,$B229))</f>
        <v/>
      </c>
      <c r="K229" s="0" t="str">
        <f aca="false">IF($B229="","",INDEX(ChalStart,$B229))</f>
        <v/>
      </c>
      <c r="L229" s="57" t="str">
        <f aca="false">IF($B229="","",INDEX(ChalInYear,$B229))</f>
        <v/>
      </c>
      <c r="M229" s="57" t="str">
        <f aca="false">IF($B229="","",INDEX(ChalRunRate,$B229))</f>
        <v/>
      </c>
      <c r="N229" s="0" t="str">
        <f aca="false">IF($B229="","",INDEX(BookDriver,$B229))</f>
        <v/>
      </c>
    </row>
    <row r="230" customFormat="false" ht="15" hidden="false" customHeight="false" outlineLevel="0" collapsed="false">
      <c r="A230" s="33" t="n">
        <v>225</v>
      </c>
      <c r="B230" s="0" t="str">
        <f aca="false">IFERROR(MATCH($A230,ChalSeq,0),"")</f>
        <v/>
      </c>
      <c r="C230" s="0" t="str">
        <f aca="false">IF($B230="","",INDEX(ChalGroup,$B230))</f>
        <v/>
      </c>
      <c r="D230" s="0" t="str">
        <f aca="false">IF($B230="","",INDEX(ChalDivision,$B230))</f>
        <v/>
      </c>
      <c r="E230" s="0" t="str">
        <f aca="false">IF($B230="","",INDEX(ChalUnit,$B230))</f>
        <v/>
      </c>
      <c r="F230" s="0" t="str">
        <f aca="false">IF($B230="","",INDEX(ChalTitle,$B230))</f>
        <v/>
      </c>
      <c r="G230" s="0" t="str">
        <f aca="false">IF($B230="","",INDEX(ChalLevel,$B230))</f>
        <v/>
      </c>
      <c r="H230" s="0" t="str">
        <f aca="false">IF($B230="","",INDEX(BookFamily,$B230))</f>
        <v/>
      </c>
      <c r="I230" s="0" t="str">
        <f aca="false">IF($B230="","",INDEX(BookWorkerType,$B230))</f>
        <v/>
      </c>
      <c r="J230" s="56" t="str">
        <f aca="false">IF($B230="","",INDEX(ChalEffective,$B230))</f>
        <v/>
      </c>
      <c r="K230" s="0" t="str">
        <f aca="false">IF($B230="","",INDEX(ChalStart,$B230))</f>
        <v/>
      </c>
      <c r="L230" s="57" t="str">
        <f aca="false">IF($B230="","",INDEX(ChalInYear,$B230))</f>
        <v/>
      </c>
      <c r="M230" s="57" t="str">
        <f aca="false">IF($B230="","",INDEX(ChalRunRate,$B230))</f>
        <v/>
      </c>
      <c r="N230" s="0" t="str">
        <f aca="false">IF($B230="","",INDEX(BookDriver,$B230))</f>
        <v/>
      </c>
    </row>
    <row r="231" customFormat="false" ht="15" hidden="false" customHeight="false" outlineLevel="0" collapsed="false">
      <c r="A231" s="33" t="n">
        <v>226</v>
      </c>
      <c r="B231" s="0" t="str">
        <f aca="false">IFERROR(MATCH($A231,ChalSeq,0),"")</f>
        <v/>
      </c>
      <c r="C231" s="0" t="str">
        <f aca="false">IF($B231="","",INDEX(ChalGroup,$B231))</f>
        <v/>
      </c>
      <c r="D231" s="0" t="str">
        <f aca="false">IF($B231="","",INDEX(ChalDivision,$B231))</f>
        <v/>
      </c>
      <c r="E231" s="0" t="str">
        <f aca="false">IF($B231="","",INDEX(ChalUnit,$B231))</f>
        <v/>
      </c>
      <c r="F231" s="0" t="str">
        <f aca="false">IF($B231="","",INDEX(ChalTitle,$B231))</f>
        <v/>
      </c>
      <c r="G231" s="0" t="str">
        <f aca="false">IF($B231="","",INDEX(ChalLevel,$B231))</f>
        <v/>
      </c>
      <c r="H231" s="0" t="str">
        <f aca="false">IF($B231="","",INDEX(BookFamily,$B231))</f>
        <v/>
      </c>
      <c r="I231" s="0" t="str">
        <f aca="false">IF($B231="","",INDEX(BookWorkerType,$B231))</f>
        <v/>
      </c>
      <c r="J231" s="56" t="str">
        <f aca="false">IF($B231="","",INDEX(ChalEffective,$B231))</f>
        <v/>
      </c>
      <c r="K231" s="0" t="str">
        <f aca="false">IF($B231="","",INDEX(ChalStart,$B231))</f>
        <v/>
      </c>
      <c r="L231" s="57" t="str">
        <f aca="false">IF($B231="","",INDEX(ChalInYear,$B231))</f>
        <v/>
      </c>
      <c r="M231" s="57" t="str">
        <f aca="false">IF($B231="","",INDEX(ChalRunRate,$B231))</f>
        <v/>
      </c>
      <c r="N231" s="0" t="str">
        <f aca="false">IF($B231="","",INDEX(BookDriver,$B231))</f>
        <v/>
      </c>
    </row>
    <row r="232" customFormat="false" ht="15" hidden="false" customHeight="false" outlineLevel="0" collapsed="false">
      <c r="A232" s="33" t="n">
        <v>227</v>
      </c>
      <c r="B232" s="0" t="str">
        <f aca="false">IFERROR(MATCH($A232,ChalSeq,0),"")</f>
        <v/>
      </c>
      <c r="C232" s="0" t="str">
        <f aca="false">IF($B232="","",INDEX(ChalGroup,$B232))</f>
        <v/>
      </c>
      <c r="D232" s="0" t="str">
        <f aca="false">IF($B232="","",INDEX(ChalDivision,$B232))</f>
        <v/>
      </c>
      <c r="E232" s="0" t="str">
        <f aca="false">IF($B232="","",INDEX(ChalUnit,$B232))</f>
        <v/>
      </c>
      <c r="F232" s="0" t="str">
        <f aca="false">IF($B232="","",INDEX(ChalTitle,$B232))</f>
        <v/>
      </c>
      <c r="G232" s="0" t="str">
        <f aca="false">IF($B232="","",INDEX(ChalLevel,$B232))</f>
        <v/>
      </c>
      <c r="H232" s="0" t="str">
        <f aca="false">IF($B232="","",INDEX(BookFamily,$B232))</f>
        <v/>
      </c>
      <c r="I232" s="0" t="str">
        <f aca="false">IF($B232="","",INDEX(BookWorkerType,$B232))</f>
        <v/>
      </c>
      <c r="J232" s="56" t="str">
        <f aca="false">IF($B232="","",INDEX(ChalEffective,$B232))</f>
        <v/>
      </c>
      <c r="K232" s="0" t="str">
        <f aca="false">IF($B232="","",INDEX(ChalStart,$B232))</f>
        <v/>
      </c>
      <c r="L232" s="57" t="str">
        <f aca="false">IF($B232="","",INDEX(ChalInYear,$B232))</f>
        <v/>
      </c>
      <c r="M232" s="57" t="str">
        <f aca="false">IF($B232="","",INDEX(ChalRunRate,$B232))</f>
        <v/>
      </c>
      <c r="N232" s="0" t="str">
        <f aca="false">IF($B232="","",INDEX(BookDriver,$B232))</f>
        <v/>
      </c>
    </row>
    <row r="233" customFormat="false" ht="15" hidden="false" customHeight="false" outlineLevel="0" collapsed="false">
      <c r="A233" s="33" t="n">
        <v>228</v>
      </c>
      <c r="B233" s="0" t="str">
        <f aca="false">IFERROR(MATCH($A233,ChalSeq,0),"")</f>
        <v/>
      </c>
      <c r="C233" s="0" t="str">
        <f aca="false">IF($B233="","",INDEX(ChalGroup,$B233))</f>
        <v/>
      </c>
      <c r="D233" s="0" t="str">
        <f aca="false">IF($B233="","",INDEX(ChalDivision,$B233))</f>
        <v/>
      </c>
      <c r="E233" s="0" t="str">
        <f aca="false">IF($B233="","",INDEX(ChalUnit,$B233))</f>
        <v/>
      </c>
      <c r="F233" s="0" t="str">
        <f aca="false">IF($B233="","",INDEX(ChalTitle,$B233))</f>
        <v/>
      </c>
      <c r="G233" s="0" t="str">
        <f aca="false">IF($B233="","",INDEX(ChalLevel,$B233))</f>
        <v/>
      </c>
      <c r="H233" s="0" t="str">
        <f aca="false">IF($B233="","",INDEX(BookFamily,$B233))</f>
        <v/>
      </c>
      <c r="I233" s="0" t="str">
        <f aca="false">IF($B233="","",INDEX(BookWorkerType,$B233))</f>
        <v/>
      </c>
      <c r="J233" s="56" t="str">
        <f aca="false">IF($B233="","",INDEX(ChalEffective,$B233))</f>
        <v/>
      </c>
      <c r="K233" s="0" t="str">
        <f aca="false">IF($B233="","",INDEX(ChalStart,$B233))</f>
        <v/>
      </c>
      <c r="L233" s="57" t="str">
        <f aca="false">IF($B233="","",INDEX(ChalInYear,$B233))</f>
        <v/>
      </c>
      <c r="M233" s="57" t="str">
        <f aca="false">IF($B233="","",INDEX(ChalRunRate,$B233))</f>
        <v/>
      </c>
      <c r="N233" s="0" t="str">
        <f aca="false">IF($B233="","",INDEX(BookDriver,$B233))</f>
        <v/>
      </c>
    </row>
    <row r="234" customFormat="false" ht="15" hidden="false" customHeight="false" outlineLevel="0" collapsed="false">
      <c r="A234" s="33" t="n">
        <v>229</v>
      </c>
      <c r="B234" s="0" t="str">
        <f aca="false">IFERROR(MATCH($A234,ChalSeq,0),"")</f>
        <v/>
      </c>
      <c r="C234" s="0" t="str">
        <f aca="false">IF($B234="","",INDEX(ChalGroup,$B234))</f>
        <v/>
      </c>
      <c r="D234" s="0" t="str">
        <f aca="false">IF($B234="","",INDEX(ChalDivision,$B234))</f>
        <v/>
      </c>
      <c r="E234" s="0" t="str">
        <f aca="false">IF($B234="","",INDEX(ChalUnit,$B234))</f>
        <v/>
      </c>
      <c r="F234" s="0" t="str">
        <f aca="false">IF($B234="","",INDEX(ChalTitle,$B234))</f>
        <v/>
      </c>
      <c r="G234" s="0" t="str">
        <f aca="false">IF($B234="","",INDEX(ChalLevel,$B234))</f>
        <v/>
      </c>
      <c r="H234" s="0" t="str">
        <f aca="false">IF($B234="","",INDEX(BookFamily,$B234))</f>
        <v/>
      </c>
      <c r="I234" s="0" t="str">
        <f aca="false">IF($B234="","",INDEX(BookWorkerType,$B234))</f>
        <v/>
      </c>
      <c r="J234" s="56" t="str">
        <f aca="false">IF($B234="","",INDEX(ChalEffective,$B234))</f>
        <v/>
      </c>
      <c r="K234" s="0" t="str">
        <f aca="false">IF($B234="","",INDEX(ChalStart,$B234))</f>
        <v/>
      </c>
      <c r="L234" s="57" t="str">
        <f aca="false">IF($B234="","",INDEX(ChalInYear,$B234))</f>
        <v/>
      </c>
      <c r="M234" s="57" t="str">
        <f aca="false">IF($B234="","",INDEX(ChalRunRate,$B234))</f>
        <v/>
      </c>
      <c r="N234" s="0" t="str">
        <f aca="false">IF($B234="","",INDEX(BookDriver,$B234))</f>
        <v/>
      </c>
    </row>
    <row r="235" customFormat="false" ht="15" hidden="false" customHeight="false" outlineLevel="0" collapsed="false">
      <c r="A235" s="33" t="n">
        <v>230</v>
      </c>
      <c r="B235" s="0" t="str">
        <f aca="false">IFERROR(MATCH($A235,ChalSeq,0),"")</f>
        <v/>
      </c>
      <c r="C235" s="0" t="str">
        <f aca="false">IF($B235="","",INDEX(ChalGroup,$B235))</f>
        <v/>
      </c>
      <c r="D235" s="0" t="str">
        <f aca="false">IF($B235="","",INDEX(ChalDivision,$B235))</f>
        <v/>
      </c>
      <c r="E235" s="0" t="str">
        <f aca="false">IF($B235="","",INDEX(ChalUnit,$B235))</f>
        <v/>
      </c>
      <c r="F235" s="0" t="str">
        <f aca="false">IF($B235="","",INDEX(ChalTitle,$B235))</f>
        <v/>
      </c>
      <c r="G235" s="0" t="str">
        <f aca="false">IF($B235="","",INDEX(ChalLevel,$B235))</f>
        <v/>
      </c>
      <c r="H235" s="0" t="str">
        <f aca="false">IF($B235="","",INDEX(BookFamily,$B235))</f>
        <v/>
      </c>
      <c r="I235" s="0" t="str">
        <f aca="false">IF($B235="","",INDEX(BookWorkerType,$B235))</f>
        <v/>
      </c>
      <c r="J235" s="56" t="str">
        <f aca="false">IF($B235="","",INDEX(ChalEffective,$B235))</f>
        <v/>
      </c>
      <c r="K235" s="0" t="str">
        <f aca="false">IF($B235="","",INDEX(ChalStart,$B235))</f>
        <v/>
      </c>
      <c r="L235" s="57" t="str">
        <f aca="false">IF($B235="","",INDEX(ChalInYear,$B235))</f>
        <v/>
      </c>
      <c r="M235" s="57" t="str">
        <f aca="false">IF($B235="","",INDEX(ChalRunRate,$B235))</f>
        <v/>
      </c>
      <c r="N235" s="0" t="str">
        <f aca="false">IF($B235="","",INDEX(BookDriver,$B235))</f>
        <v/>
      </c>
    </row>
    <row r="236" customFormat="false" ht="15" hidden="false" customHeight="false" outlineLevel="0" collapsed="false">
      <c r="A236" s="33" t="n">
        <v>231</v>
      </c>
      <c r="B236" s="0" t="str">
        <f aca="false">IFERROR(MATCH($A236,ChalSeq,0),"")</f>
        <v/>
      </c>
      <c r="C236" s="0" t="str">
        <f aca="false">IF($B236="","",INDEX(ChalGroup,$B236))</f>
        <v/>
      </c>
      <c r="D236" s="0" t="str">
        <f aca="false">IF($B236="","",INDEX(ChalDivision,$B236))</f>
        <v/>
      </c>
      <c r="E236" s="0" t="str">
        <f aca="false">IF($B236="","",INDEX(ChalUnit,$B236))</f>
        <v/>
      </c>
      <c r="F236" s="0" t="str">
        <f aca="false">IF($B236="","",INDEX(ChalTitle,$B236))</f>
        <v/>
      </c>
      <c r="G236" s="0" t="str">
        <f aca="false">IF($B236="","",INDEX(ChalLevel,$B236))</f>
        <v/>
      </c>
      <c r="H236" s="0" t="str">
        <f aca="false">IF($B236="","",INDEX(BookFamily,$B236))</f>
        <v/>
      </c>
      <c r="I236" s="0" t="str">
        <f aca="false">IF($B236="","",INDEX(BookWorkerType,$B236))</f>
        <v/>
      </c>
      <c r="J236" s="56" t="str">
        <f aca="false">IF($B236="","",INDEX(ChalEffective,$B236))</f>
        <v/>
      </c>
      <c r="K236" s="0" t="str">
        <f aca="false">IF($B236="","",INDEX(ChalStart,$B236))</f>
        <v/>
      </c>
      <c r="L236" s="57" t="str">
        <f aca="false">IF($B236="","",INDEX(ChalInYear,$B236))</f>
        <v/>
      </c>
      <c r="M236" s="57" t="str">
        <f aca="false">IF($B236="","",INDEX(ChalRunRate,$B236))</f>
        <v/>
      </c>
      <c r="N236" s="0" t="str">
        <f aca="false">IF($B236="","",INDEX(BookDriver,$B236))</f>
        <v/>
      </c>
    </row>
    <row r="237" customFormat="false" ht="15" hidden="false" customHeight="false" outlineLevel="0" collapsed="false">
      <c r="A237" s="33" t="n">
        <v>232</v>
      </c>
      <c r="B237" s="0" t="str">
        <f aca="false">IFERROR(MATCH($A237,ChalSeq,0),"")</f>
        <v/>
      </c>
      <c r="C237" s="0" t="str">
        <f aca="false">IF($B237="","",INDEX(ChalGroup,$B237))</f>
        <v/>
      </c>
      <c r="D237" s="0" t="str">
        <f aca="false">IF($B237="","",INDEX(ChalDivision,$B237))</f>
        <v/>
      </c>
      <c r="E237" s="0" t="str">
        <f aca="false">IF($B237="","",INDEX(ChalUnit,$B237))</f>
        <v/>
      </c>
      <c r="F237" s="0" t="str">
        <f aca="false">IF($B237="","",INDEX(ChalTitle,$B237))</f>
        <v/>
      </c>
      <c r="G237" s="0" t="str">
        <f aca="false">IF($B237="","",INDEX(ChalLevel,$B237))</f>
        <v/>
      </c>
      <c r="H237" s="0" t="str">
        <f aca="false">IF($B237="","",INDEX(BookFamily,$B237))</f>
        <v/>
      </c>
      <c r="I237" s="0" t="str">
        <f aca="false">IF($B237="","",INDEX(BookWorkerType,$B237))</f>
        <v/>
      </c>
      <c r="J237" s="56" t="str">
        <f aca="false">IF($B237="","",INDEX(ChalEffective,$B237))</f>
        <v/>
      </c>
      <c r="K237" s="0" t="str">
        <f aca="false">IF($B237="","",INDEX(ChalStart,$B237))</f>
        <v/>
      </c>
      <c r="L237" s="57" t="str">
        <f aca="false">IF($B237="","",INDEX(ChalInYear,$B237))</f>
        <v/>
      </c>
      <c r="M237" s="57" t="str">
        <f aca="false">IF($B237="","",INDEX(ChalRunRate,$B237))</f>
        <v/>
      </c>
      <c r="N237" s="0" t="str">
        <f aca="false">IF($B237="","",INDEX(BookDriver,$B237))</f>
        <v/>
      </c>
    </row>
    <row r="238" customFormat="false" ht="15" hidden="false" customHeight="false" outlineLevel="0" collapsed="false">
      <c r="A238" s="33" t="n">
        <v>233</v>
      </c>
      <c r="B238" s="0" t="str">
        <f aca="false">IFERROR(MATCH($A238,ChalSeq,0),"")</f>
        <v/>
      </c>
      <c r="C238" s="0" t="str">
        <f aca="false">IF($B238="","",INDEX(ChalGroup,$B238))</f>
        <v/>
      </c>
      <c r="D238" s="0" t="str">
        <f aca="false">IF($B238="","",INDEX(ChalDivision,$B238))</f>
        <v/>
      </c>
      <c r="E238" s="0" t="str">
        <f aca="false">IF($B238="","",INDEX(ChalUnit,$B238))</f>
        <v/>
      </c>
      <c r="F238" s="0" t="str">
        <f aca="false">IF($B238="","",INDEX(ChalTitle,$B238))</f>
        <v/>
      </c>
      <c r="G238" s="0" t="str">
        <f aca="false">IF($B238="","",INDEX(ChalLevel,$B238))</f>
        <v/>
      </c>
      <c r="H238" s="0" t="str">
        <f aca="false">IF($B238="","",INDEX(BookFamily,$B238))</f>
        <v/>
      </c>
      <c r="I238" s="0" t="str">
        <f aca="false">IF($B238="","",INDEX(BookWorkerType,$B238))</f>
        <v/>
      </c>
      <c r="J238" s="56" t="str">
        <f aca="false">IF($B238="","",INDEX(ChalEffective,$B238))</f>
        <v/>
      </c>
      <c r="K238" s="0" t="str">
        <f aca="false">IF($B238="","",INDEX(ChalStart,$B238))</f>
        <v/>
      </c>
      <c r="L238" s="57" t="str">
        <f aca="false">IF($B238="","",INDEX(ChalInYear,$B238))</f>
        <v/>
      </c>
      <c r="M238" s="57" t="str">
        <f aca="false">IF($B238="","",INDEX(ChalRunRate,$B238))</f>
        <v/>
      </c>
      <c r="N238" s="0" t="str">
        <f aca="false">IF($B238="","",INDEX(BookDriver,$B238))</f>
        <v/>
      </c>
    </row>
    <row r="239" customFormat="false" ht="15" hidden="false" customHeight="false" outlineLevel="0" collapsed="false">
      <c r="A239" s="33" t="n">
        <v>234</v>
      </c>
      <c r="B239" s="0" t="str">
        <f aca="false">IFERROR(MATCH($A239,ChalSeq,0),"")</f>
        <v/>
      </c>
      <c r="C239" s="0" t="str">
        <f aca="false">IF($B239="","",INDEX(ChalGroup,$B239))</f>
        <v/>
      </c>
      <c r="D239" s="0" t="str">
        <f aca="false">IF($B239="","",INDEX(ChalDivision,$B239))</f>
        <v/>
      </c>
      <c r="E239" s="0" t="str">
        <f aca="false">IF($B239="","",INDEX(ChalUnit,$B239))</f>
        <v/>
      </c>
      <c r="F239" s="0" t="str">
        <f aca="false">IF($B239="","",INDEX(ChalTitle,$B239))</f>
        <v/>
      </c>
      <c r="G239" s="0" t="str">
        <f aca="false">IF($B239="","",INDEX(ChalLevel,$B239))</f>
        <v/>
      </c>
      <c r="H239" s="0" t="str">
        <f aca="false">IF($B239="","",INDEX(BookFamily,$B239))</f>
        <v/>
      </c>
      <c r="I239" s="0" t="str">
        <f aca="false">IF($B239="","",INDEX(BookWorkerType,$B239))</f>
        <v/>
      </c>
      <c r="J239" s="56" t="str">
        <f aca="false">IF($B239="","",INDEX(ChalEffective,$B239))</f>
        <v/>
      </c>
      <c r="K239" s="0" t="str">
        <f aca="false">IF($B239="","",INDEX(ChalStart,$B239))</f>
        <v/>
      </c>
      <c r="L239" s="57" t="str">
        <f aca="false">IF($B239="","",INDEX(ChalInYear,$B239))</f>
        <v/>
      </c>
      <c r="M239" s="57" t="str">
        <f aca="false">IF($B239="","",INDEX(ChalRunRate,$B239))</f>
        <v/>
      </c>
      <c r="N239" s="0" t="str">
        <f aca="false">IF($B239="","",INDEX(BookDriver,$B239))</f>
        <v/>
      </c>
    </row>
    <row r="240" customFormat="false" ht="15" hidden="false" customHeight="false" outlineLevel="0" collapsed="false">
      <c r="A240" s="33" t="n">
        <v>235</v>
      </c>
      <c r="B240" s="0" t="str">
        <f aca="false">IFERROR(MATCH($A240,ChalSeq,0),"")</f>
        <v/>
      </c>
      <c r="C240" s="0" t="str">
        <f aca="false">IF($B240="","",INDEX(ChalGroup,$B240))</f>
        <v/>
      </c>
      <c r="D240" s="0" t="str">
        <f aca="false">IF($B240="","",INDEX(ChalDivision,$B240))</f>
        <v/>
      </c>
      <c r="E240" s="0" t="str">
        <f aca="false">IF($B240="","",INDEX(ChalUnit,$B240))</f>
        <v/>
      </c>
      <c r="F240" s="0" t="str">
        <f aca="false">IF($B240="","",INDEX(ChalTitle,$B240))</f>
        <v/>
      </c>
      <c r="G240" s="0" t="str">
        <f aca="false">IF($B240="","",INDEX(ChalLevel,$B240))</f>
        <v/>
      </c>
      <c r="H240" s="0" t="str">
        <f aca="false">IF($B240="","",INDEX(BookFamily,$B240))</f>
        <v/>
      </c>
      <c r="I240" s="0" t="str">
        <f aca="false">IF($B240="","",INDEX(BookWorkerType,$B240))</f>
        <v/>
      </c>
      <c r="J240" s="56" t="str">
        <f aca="false">IF($B240="","",INDEX(ChalEffective,$B240))</f>
        <v/>
      </c>
      <c r="K240" s="0" t="str">
        <f aca="false">IF($B240="","",INDEX(ChalStart,$B240))</f>
        <v/>
      </c>
      <c r="L240" s="57" t="str">
        <f aca="false">IF($B240="","",INDEX(ChalInYear,$B240))</f>
        <v/>
      </c>
      <c r="M240" s="57" t="str">
        <f aca="false">IF($B240="","",INDEX(ChalRunRate,$B240))</f>
        <v/>
      </c>
      <c r="N240" s="0" t="str">
        <f aca="false">IF($B240="","",INDEX(BookDriver,$B240))</f>
        <v/>
      </c>
    </row>
    <row r="241" customFormat="false" ht="15" hidden="false" customHeight="false" outlineLevel="0" collapsed="false">
      <c r="A241" s="33" t="n">
        <v>236</v>
      </c>
      <c r="B241" s="0" t="str">
        <f aca="false">IFERROR(MATCH($A241,ChalSeq,0),"")</f>
        <v/>
      </c>
      <c r="C241" s="0" t="str">
        <f aca="false">IF($B241="","",INDEX(ChalGroup,$B241))</f>
        <v/>
      </c>
      <c r="D241" s="0" t="str">
        <f aca="false">IF($B241="","",INDEX(ChalDivision,$B241))</f>
        <v/>
      </c>
      <c r="E241" s="0" t="str">
        <f aca="false">IF($B241="","",INDEX(ChalUnit,$B241))</f>
        <v/>
      </c>
      <c r="F241" s="0" t="str">
        <f aca="false">IF($B241="","",INDEX(ChalTitle,$B241))</f>
        <v/>
      </c>
      <c r="G241" s="0" t="str">
        <f aca="false">IF($B241="","",INDEX(ChalLevel,$B241))</f>
        <v/>
      </c>
      <c r="H241" s="0" t="str">
        <f aca="false">IF($B241="","",INDEX(BookFamily,$B241))</f>
        <v/>
      </c>
      <c r="I241" s="0" t="str">
        <f aca="false">IF($B241="","",INDEX(BookWorkerType,$B241))</f>
        <v/>
      </c>
      <c r="J241" s="56" t="str">
        <f aca="false">IF($B241="","",INDEX(ChalEffective,$B241))</f>
        <v/>
      </c>
      <c r="K241" s="0" t="str">
        <f aca="false">IF($B241="","",INDEX(ChalStart,$B241))</f>
        <v/>
      </c>
      <c r="L241" s="57" t="str">
        <f aca="false">IF($B241="","",INDEX(ChalInYear,$B241))</f>
        <v/>
      </c>
      <c r="M241" s="57" t="str">
        <f aca="false">IF($B241="","",INDEX(ChalRunRate,$B241))</f>
        <v/>
      </c>
      <c r="N241" s="0" t="str">
        <f aca="false">IF($B241="","",INDEX(BookDriver,$B241))</f>
        <v/>
      </c>
    </row>
    <row r="242" customFormat="false" ht="15" hidden="false" customHeight="false" outlineLevel="0" collapsed="false">
      <c r="A242" s="33" t="n">
        <v>237</v>
      </c>
      <c r="B242" s="0" t="str">
        <f aca="false">IFERROR(MATCH($A242,ChalSeq,0),"")</f>
        <v/>
      </c>
      <c r="C242" s="0" t="str">
        <f aca="false">IF($B242="","",INDEX(ChalGroup,$B242))</f>
        <v/>
      </c>
      <c r="D242" s="0" t="str">
        <f aca="false">IF($B242="","",INDEX(ChalDivision,$B242))</f>
        <v/>
      </c>
      <c r="E242" s="0" t="str">
        <f aca="false">IF($B242="","",INDEX(ChalUnit,$B242))</f>
        <v/>
      </c>
      <c r="F242" s="0" t="str">
        <f aca="false">IF($B242="","",INDEX(ChalTitle,$B242))</f>
        <v/>
      </c>
      <c r="G242" s="0" t="str">
        <f aca="false">IF($B242="","",INDEX(ChalLevel,$B242))</f>
        <v/>
      </c>
      <c r="H242" s="0" t="str">
        <f aca="false">IF($B242="","",INDEX(BookFamily,$B242))</f>
        <v/>
      </c>
      <c r="I242" s="0" t="str">
        <f aca="false">IF($B242="","",INDEX(BookWorkerType,$B242))</f>
        <v/>
      </c>
      <c r="J242" s="56" t="str">
        <f aca="false">IF($B242="","",INDEX(ChalEffective,$B242))</f>
        <v/>
      </c>
      <c r="K242" s="0" t="str">
        <f aca="false">IF($B242="","",INDEX(ChalStart,$B242))</f>
        <v/>
      </c>
      <c r="L242" s="57" t="str">
        <f aca="false">IF($B242="","",INDEX(ChalInYear,$B242))</f>
        <v/>
      </c>
      <c r="M242" s="57" t="str">
        <f aca="false">IF($B242="","",INDEX(ChalRunRate,$B242))</f>
        <v/>
      </c>
      <c r="N242" s="0" t="str">
        <f aca="false">IF($B242="","",INDEX(BookDriver,$B242))</f>
        <v/>
      </c>
    </row>
    <row r="243" customFormat="false" ht="15" hidden="false" customHeight="false" outlineLevel="0" collapsed="false">
      <c r="A243" s="33" t="n">
        <v>238</v>
      </c>
      <c r="B243" s="0" t="str">
        <f aca="false">IFERROR(MATCH($A243,ChalSeq,0),"")</f>
        <v/>
      </c>
      <c r="C243" s="0" t="str">
        <f aca="false">IF($B243="","",INDEX(ChalGroup,$B243))</f>
        <v/>
      </c>
      <c r="D243" s="0" t="str">
        <f aca="false">IF($B243="","",INDEX(ChalDivision,$B243))</f>
        <v/>
      </c>
      <c r="E243" s="0" t="str">
        <f aca="false">IF($B243="","",INDEX(ChalUnit,$B243))</f>
        <v/>
      </c>
      <c r="F243" s="0" t="str">
        <f aca="false">IF($B243="","",INDEX(ChalTitle,$B243))</f>
        <v/>
      </c>
      <c r="G243" s="0" t="str">
        <f aca="false">IF($B243="","",INDEX(ChalLevel,$B243))</f>
        <v/>
      </c>
      <c r="H243" s="0" t="str">
        <f aca="false">IF($B243="","",INDEX(BookFamily,$B243))</f>
        <v/>
      </c>
      <c r="I243" s="0" t="str">
        <f aca="false">IF($B243="","",INDEX(BookWorkerType,$B243))</f>
        <v/>
      </c>
      <c r="J243" s="56" t="str">
        <f aca="false">IF($B243="","",INDEX(ChalEffective,$B243))</f>
        <v/>
      </c>
      <c r="K243" s="0" t="str">
        <f aca="false">IF($B243="","",INDEX(ChalStart,$B243))</f>
        <v/>
      </c>
      <c r="L243" s="57" t="str">
        <f aca="false">IF($B243="","",INDEX(ChalInYear,$B243))</f>
        <v/>
      </c>
      <c r="M243" s="57" t="str">
        <f aca="false">IF($B243="","",INDEX(ChalRunRate,$B243))</f>
        <v/>
      </c>
      <c r="N243" s="0" t="str">
        <f aca="false">IF($B243="","",INDEX(BookDriver,$B243))</f>
        <v/>
      </c>
    </row>
    <row r="244" customFormat="false" ht="15" hidden="false" customHeight="false" outlineLevel="0" collapsed="false">
      <c r="A244" s="33" t="n">
        <v>239</v>
      </c>
      <c r="B244" s="0" t="str">
        <f aca="false">IFERROR(MATCH($A244,ChalSeq,0),"")</f>
        <v/>
      </c>
      <c r="C244" s="0" t="str">
        <f aca="false">IF($B244="","",INDEX(ChalGroup,$B244))</f>
        <v/>
      </c>
      <c r="D244" s="0" t="str">
        <f aca="false">IF($B244="","",INDEX(ChalDivision,$B244))</f>
        <v/>
      </c>
      <c r="E244" s="0" t="str">
        <f aca="false">IF($B244="","",INDEX(ChalUnit,$B244))</f>
        <v/>
      </c>
      <c r="F244" s="0" t="str">
        <f aca="false">IF($B244="","",INDEX(ChalTitle,$B244))</f>
        <v/>
      </c>
      <c r="G244" s="0" t="str">
        <f aca="false">IF($B244="","",INDEX(ChalLevel,$B244))</f>
        <v/>
      </c>
      <c r="H244" s="0" t="str">
        <f aca="false">IF($B244="","",INDEX(BookFamily,$B244))</f>
        <v/>
      </c>
      <c r="I244" s="0" t="str">
        <f aca="false">IF($B244="","",INDEX(BookWorkerType,$B244))</f>
        <v/>
      </c>
      <c r="J244" s="56" t="str">
        <f aca="false">IF($B244="","",INDEX(ChalEffective,$B244))</f>
        <v/>
      </c>
      <c r="K244" s="0" t="str">
        <f aca="false">IF($B244="","",INDEX(ChalStart,$B244))</f>
        <v/>
      </c>
      <c r="L244" s="57" t="str">
        <f aca="false">IF($B244="","",INDEX(ChalInYear,$B244))</f>
        <v/>
      </c>
      <c r="M244" s="57" t="str">
        <f aca="false">IF($B244="","",INDEX(ChalRunRate,$B244))</f>
        <v/>
      </c>
      <c r="N244" s="0" t="str">
        <f aca="false">IF($B244="","",INDEX(BookDriver,$B244))</f>
        <v/>
      </c>
    </row>
    <row r="245" customFormat="false" ht="15" hidden="false" customHeight="false" outlineLevel="0" collapsed="false">
      <c r="A245" s="33" t="n">
        <v>240</v>
      </c>
      <c r="B245" s="0" t="str">
        <f aca="false">IFERROR(MATCH($A245,ChalSeq,0),"")</f>
        <v/>
      </c>
      <c r="C245" s="0" t="str">
        <f aca="false">IF($B245="","",INDEX(ChalGroup,$B245))</f>
        <v/>
      </c>
      <c r="D245" s="0" t="str">
        <f aca="false">IF($B245="","",INDEX(ChalDivision,$B245))</f>
        <v/>
      </c>
      <c r="E245" s="0" t="str">
        <f aca="false">IF($B245="","",INDEX(ChalUnit,$B245))</f>
        <v/>
      </c>
      <c r="F245" s="0" t="str">
        <f aca="false">IF($B245="","",INDEX(ChalTitle,$B245))</f>
        <v/>
      </c>
      <c r="G245" s="0" t="str">
        <f aca="false">IF($B245="","",INDEX(ChalLevel,$B245))</f>
        <v/>
      </c>
      <c r="H245" s="0" t="str">
        <f aca="false">IF($B245="","",INDEX(BookFamily,$B245))</f>
        <v/>
      </c>
      <c r="I245" s="0" t="str">
        <f aca="false">IF($B245="","",INDEX(BookWorkerType,$B245))</f>
        <v/>
      </c>
      <c r="J245" s="56" t="str">
        <f aca="false">IF($B245="","",INDEX(ChalEffective,$B245))</f>
        <v/>
      </c>
      <c r="K245" s="0" t="str">
        <f aca="false">IF($B245="","",INDEX(ChalStart,$B245))</f>
        <v/>
      </c>
      <c r="L245" s="57" t="str">
        <f aca="false">IF($B245="","",INDEX(ChalInYear,$B245))</f>
        <v/>
      </c>
      <c r="M245" s="57" t="str">
        <f aca="false">IF($B245="","",INDEX(ChalRunRate,$B245))</f>
        <v/>
      </c>
      <c r="N245" s="0" t="str">
        <f aca="false">IF($B245="","",INDEX(BookDriver,$B245))</f>
        <v/>
      </c>
    </row>
    <row r="246" customFormat="false" ht="15" hidden="false" customHeight="false" outlineLevel="0" collapsed="false">
      <c r="A246" s="33" t="n">
        <v>241</v>
      </c>
      <c r="B246" s="0" t="str">
        <f aca="false">IFERROR(MATCH($A246,ChalSeq,0),"")</f>
        <v/>
      </c>
      <c r="C246" s="0" t="str">
        <f aca="false">IF($B246="","",INDEX(ChalGroup,$B246))</f>
        <v/>
      </c>
      <c r="D246" s="0" t="str">
        <f aca="false">IF($B246="","",INDEX(ChalDivision,$B246))</f>
        <v/>
      </c>
      <c r="E246" s="0" t="str">
        <f aca="false">IF($B246="","",INDEX(ChalUnit,$B246))</f>
        <v/>
      </c>
      <c r="F246" s="0" t="str">
        <f aca="false">IF($B246="","",INDEX(ChalTitle,$B246))</f>
        <v/>
      </c>
      <c r="G246" s="0" t="str">
        <f aca="false">IF($B246="","",INDEX(ChalLevel,$B246))</f>
        <v/>
      </c>
      <c r="H246" s="0" t="str">
        <f aca="false">IF($B246="","",INDEX(BookFamily,$B246))</f>
        <v/>
      </c>
      <c r="I246" s="0" t="str">
        <f aca="false">IF($B246="","",INDEX(BookWorkerType,$B246))</f>
        <v/>
      </c>
      <c r="J246" s="56" t="str">
        <f aca="false">IF($B246="","",INDEX(ChalEffective,$B246))</f>
        <v/>
      </c>
      <c r="K246" s="0" t="str">
        <f aca="false">IF($B246="","",INDEX(ChalStart,$B246))</f>
        <v/>
      </c>
      <c r="L246" s="57" t="str">
        <f aca="false">IF($B246="","",INDEX(ChalInYear,$B246))</f>
        <v/>
      </c>
      <c r="M246" s="57" t="str">
        <f aca="false">IF($B246="","",INDEX(ChalRunRate,$B246))</f>
        <v/>
      </c>
      <c r="N246" s="0" t="str">
        <f aca="false">IF($B246="","",INDEX(BookDriver,$B246))</f>
        <v/>
      </c>
    </row>
    <row r="247" customFormat="false" ht="15" hidden="false" customHeight="false" outlineLevel="0" collapsed="false">
      <c r="A247" s="33" t="n">
        <v>242</v>
      </c>
      <c r="B247" s="0" t="str">
        <f aca="false">IFERROR(MATCH($A247,ChalSeq,0),"")</f>
        <v/>
      </c>
      <c r="C247" s="0" t="str">
        <f aca="false">IF($B247="","",INDEX(ChalGroup,$B247))</f>
        <v/>
      </c>
      <c r="D247" s="0" t="str">
        <f aca="false">IF($B247="","",INDEX(ChalDivision,$B247))</f>
        <v/>
      </c>
      <c r="E247" s="0" t="str">
        <f aca="false">IF($B247="","",INDEX(ChalUnit,$B247))</f>
        <v/>
      </c>
      <c r="F247" s="0" t="str">
        <f aca="false">IF($B247="","",INDEX(ChalTitle,$B247))</f>
        <v/>
      </c>
      <c r="G247" s="0" t="str">
        <f aca="false">IF($B247="","",INDEX(ChalLevel,$B247))</f>
        <v/>
      </c>
      <c r="H247" s="0" t="str">
        <f aca="false">IF($B247="","",INDEX(BookFamily,$B247))</f>
        <v/>
      </c>
      <c r="I247" s="0" t="str">
        <f aca="false">IF($B247="","",INDEX(BookWorkerType,$B247))</f>
        <v/>
      </c>
      <c r="J247" s="56" t="str">
        <f aca="false">IF($B247="","",INDEX(ChalEffective,$B247))</f>
        <v/>
      </c>
      <c r="K247" s="0" t="str">
        <f aca="false">IF($B247="","",INDEX(ChalStart,$B247))</f>
        <v/>
      </c>
      <c r="L247" s="57" t="str">
        <f aca="false">IF($B247="","",INDEX(ChalInYear,$B247))</f>
        <v/>
      </c>
      <c r="M247" s="57" t="str">
        <f aca="false">IF($B247="","",INDEX(ChalRunRate,$B247))</f>
        <v/>
      </c>
      <c r="N247" s="0" t="str">
        <f aca="false">IF($B247="","",INDEX(BookDriver,$B247))</f>
        <v/>
      </c>
    </row>
    <row r="248" customFormat="false" ht="15" hidden="false" customHeight="false" outlineLevel="0" collapsed="false">
      <c r="A248" s="33" t="n">
        <v>243</v>
      </c>
      <c r="B248" s="0" t="str">
        <f aca="false">IFERROR(MATCH($A248,ChalSeq,0),"")</f>
        <v/>
      </c>
      <c r="C248" s="0" t="str">
        <f aca="false">IF($B248="","",INDEX(ChalGroup,$B248))</f>
        <v/>
      </c>
      <c r="D248" s="0" t="str">
        <f aca="false">IF($B248="","",INDEX(ChalDivision,$B248))</f>
        <v/>
      </c>
      <c r="E248" s="0" t="str">
        <f aca="false">IF($B248="","",INDEX(ChalUnit,$B248))</f>
        <v/>
      </c>
      <c r="F248" s="0" t="str">
        <f aca="false">IF($B248="","",INDEX(ChalTitle,$B248))</f>
        <v/>
      </c>
      <c r="G248" s="0" t="str">
        <f aca="false">IF($B248="","",INDEX(ChalLevel,$B248))</f>
        <v/>
      </c>
      <c r="H248" s="0" t="str">
        <f aca="false">IF($B248="","",INDEX(BookFamily,$B248))</f>
        <v/>
      </c>
      <c r="I248" s="0" t="str">
        <f aca="false">IF($B248="","",INDEX(BookWorkerType,$B248))</f>
        <v/>
      </c>
      <c r="J248" s="56" t="str">
        <f aca="false">IF($B248="","",INDEX(ChalEffective,$B248))</f>
        <v/>
      </c>
      <c r="K248" s="0" t="str">
        <f aca="false">IF($B248="","",INDEX(ChalStart,$B248))</f>
        <v/>
      </c>
      <c r="L248" s="57" t="str">
        <f aca="false">IF($B248="","",INDEX(ChalInYear,$B248))</f>
        <v/>
      </c>
      <c r="M248" s="57" t="str">
        <f aca="false">IF($B248="","",INDEX(ChalRunRate,$B248))</f>
        <v/>
      </c>
      <c r="N248" s="0" t="str">
        <f aca="false">IF($B248="","",INDEX(BookDriver,$B248))</f>
        <v/>
      </c>
    </row>
    <row r="249" customFormat="false" ht="15" hidden="false" customHeight="false" outlineLevel="0" collapsed="false">
      <c r="A249" s="33" t="n">
        <v>244</v>
      </c>
      <c r="B249" s="0" t="str">
        <f aca="false">IFERROR(MATCH($A249,ChalSeq,0),"")</f>
        <v/>
      </c>
      <c r="C249" s="0" t="str">
        <f aca="false">IF($B249="","",INDEX(ChalGroup,$B249))</f>
        <v/>
      </c>
      <c r="D249" s="0" t="str">
        <f aca="false">IF($B249="","",INDEX(ChalDivision,$B249))</f>
        <v/>
      </c>
      <c r="E249" s="0" t="str">
        <f aca="false">IF($B249="","",INDEX(ChalUnit,$B249))</f>
        <v/>
      </c>
      <c r="F249" s="0" t="str">
        <f aca="false">IF($B249="","",INDEX(ChalTitle,$B249))</f>
        <v/>
      </c>
      <c r="G249" s="0" t="str">
        <f aca="false">IF($B249="","",INDEX(ChalLevel,$B249))</f>
        <v/>
      </c>
      <c r="H249" s="0" t="str">
        <f aca="false">IF($B249="","",INDEX(BookFamily,$B249))</f>
        <v/>
      </c>
      <c r="I249" s="0" t="str">
        <f aca="false">IF($B249="","",INDEX(BookWorkerType,$B249))</f>
        <v/>
      </c>
      <c r="J249" s="56" t="str">
        <f aca="false">IF($B249="","",INDEX(ChalEffective,$B249))</f>
        <v/>
      </c>
      <c r="K249" s="0" t="str">
        <f aca="false">IF($B249="","",INDEX(ChalStart,$B249))</f>
        <v/>
      </c>
      <c r="L249" s="57" t="str">
        <f aca="false">IF($B249="","",INDEX(ChalInYear,$B249))</f>
        <v/>
      </c>
      <c r="M249" s="57" t="str">
        <f aca="false">IF($B249="","",INDEX(ChalRunRate,$B249))</f>
        <v/>
      </c>
      <c r="N249" s="0" t="str">
        <f aca="false">IF($B249="","",INDEX(BookDriver,$B249))</f>
        <v/>
      </c>
    </row>
    <row r="250" customFormat="false" ht="15" hidden="false" customHeight="false" outlineLevel="0" collapsed="false">
      <c r="A250" s="33" t="n">
        <v>245</v>
      </c>
      <c r="B250" s="0" t="str">
        <f aca="false">IFERROR(MATCH($A250,ChalSeq,0),"")</f>
        <v/>
      </c>
      <c r="C250" s="0" t="str">
        <f aca="false">IF($B250="","",INDEX(ChalGroup,$B250))</f>
        <v/>
      </c>
      <c r="D250" s="0" t="str">
        <f aca="false">IF($B250="","",INDEX(ChalDivision,$B250))</f>
        <v/>
      </c>
      <c r="E250" s="0" t="str">
        <f aca="false">IF($B250="","",INDEX(ChalUnit,$B250))</f>
        <v/>
      </c>
      <c r="F250" s="0" t="str">
        <f aca="false">IF($B250="","",INDEX(ChalTitle,$B250))</f>
        <v/>
      </c>
      <c r="G250" s="0" t="str">
        <f aca="false">IF($B250="","",INDEX(ChalLevel,$B250))</f>
        <v/>
      </c>
      <c r="H250" s="0" t="str">
        <f aca="false">IF($B250="","",INDEX(BookFamily,$B250))</f>
        <v/>
      </c>
      <c r="I250" s="0" t="str">
        <f aca="false">IF($B250="","",INDEX(BookWorkerType,$B250))</f>
        <v/>
      </c>
      <c r="J250" s="56" t="str">
        <f aca="false">IF($B250="","",INDEX(ChalEffective,$B250))</f>
        <v/>
      </c>
      <c r="K250" s="0" t="str">
        <f aca="false">IF($B250="","",INDEX(ChalStart,$B250))</f>
        <v/>
      </c>
      <c r="L250" s="57" t="str">
        <f aca="false">IF($B250="","",INDEX(ChalInYear,$B250))</f>
        <v/>
      </c>
      <c r="M250" s="57" t="str">
        <f aca="false">IF($B250="","",INDEX(ChalRunRate,$B250))</f>
        <v/>
      </c>
      <c r="N250" s="0" t="str">
        <f aca="false">IF($B250="","",INDEX(BookDriver,$B250))</f>
        <v/>
      </c>
    </row>
    <row r="251" customFormat="false" ht="15" hidden="false" customHeight="false" outlineLevel="0" collapsed="false">
      <c r="A251" s="33" t="n">
        <v>246</v>
      </c>
      <c r="B251" s="0" t="str">
        <f aca="false">IFERROR(MATCH($A251,ChalSeq,0),"")</f>
        <v/>
      </c>
      <c r="C251" s="0" t="str">
        <f aca="false">IF($B251="","",INDEX(ChalGroup,$B251))</f>
        <v/>
      </c>
      <c r="D251" s="0" t="str">
        <f aca="false">IF($B251="","",INDEX(ChalDivision,$B251))</f>
        <v/>
      </c>
      <c r="E251" s="0" t="str">
        <f aca="false">IF($B251="","",INDEX(ChalUnit,$B251))</f>
        <v/>
      </c>
      <c r="F251" s="0" t="str">
        <f aca="false">IF($B251="","",INDEX(ChalTitle,$B251))</f>
        <v/>
      </c>
      <c r="G251" s="0" t="str">
        <f aca="false">IF($B251="","",INDEX(ChalLevel,$B251))</f>
        <v/>
      </c>
      <c r="H251" s="0" t="str">
        <f aca="false">IF($B251="","",INDEX(BookFamily,$B251))</f>
        <v/>
      </c>
      <c r="I251" s="0" t="str">
        <f aca="false">IF($B251="","",INDEX(BookWorkerType,$B251))</f>
        <v/>
      </c>
      <c r="J251" s="56" t="str">
        <f aca="false">IF($B251="","",INDEX(ChalEffective,$B251))</f>
        <v/>
      </c>
      <c r="K251" s="0" t="str">
        <f aca="false">IF($B251="","",INDEX(ChalStart,$B251))</f>
        <v/>
      </c>
      <c r="L251" s="57" t="str">
        <f aca="false">IF($B251="","",INDEX(ChalInYear,$B251))</f>
        <v/>
      </c>
      <c r="M251" s="57" t="str">
        <f aca="false">IF($B251="","",INDEX(ChalRunRate,$B251))</f>
        <v/>
      </c>
      <c r="N251" s="0" t="str">
        <f aca="false">IF($B251="","",INDEX(BookDriver,$B251))</f>
        <v/>
      </c>
    </row>
    <row r="252" customFormat="false" ht="15" hidden="false" customHeight="false" outlineLevel="0" collapsed="false">
      <c r="A252" s="33" t="n">
        <v>247</v>
      </c>
      <c r="B252" s="0" t="str">
        <f aca="false">IFERROR(MATCH($A252,ChalSeq,0),"")</f>
        <v/>
      </c>
      <c r="C252" s="0" t="str">
        <f aca="false">IF($B252="","",INDEX(ChalGroup,$B252))</f>
        <v/>
      </c>
      <c r="D252" s="0" t="str">
        <f aca="false">IF($B252="","",INDEX(ChalDivision,$B252))</f>
        <v/>
      </c>
      <c r="E252" s="0" t="str">
        <f aca="false">IF($B252="","",INDEX(ChalUnit,$B252))</f>
        <v/>
      </c>
      <c r="F252" s="0" t="str">
        <f aca="false">IF($B252="","",INDEX(ChalTitle,$B252))</f>
        <v/>
      </c>
      <c r="G252" s="0" t="str">
        <f aca="false">IF($B252="","",INDEX(ChalLevel,$B252))</f>
        <v/>
      </c>
      <c r="H252" s="0" t="str">
        <f aca="false">IF($B252="","",INDEX(BookFamily,$B252))</f>
        <v/>
      </c>
      <c r="I252" s="0" t="str">
        <f aca="false">IF($B252="","",INDEX(BookWorkerType,$B252))</f>
        <v/>
      </c>
      <c r="J252" s="56" t="str">
        <f aca="false">IF($B252="","",INDEX(ChalEffective,$B252))</f>
        <v/>
      </c>
      <c r="K252" s="0" t="str">
        <f aca="false">IF($B252="","",INDEX(ChalStart,$B252))</f>
        <v/>
      </c>
      <c r="L252" s="57" t="str">
        <f aca="false">IF($B252="","",INDEX(ChalInYear,$B252))</f>
        <v/>
      </c>
      <c r="M252" s="57" t="str">
        <f aca="false">IF($B252="","",INDEX(ChalRunRate,$B252))</f>
        <v/>
      </c>
      <c r="N252" s="0" t="str">
        <f aca="false">IF($B252="","",INDEX(BookDriver,$B252))</f>
        <v/>
      </c>
    </row>
    <row r="253" customFormat="false" ht="15" hidden="false" customHeight="false" outlineLevel="0" collapsed="false">
      <c r="A253" s="33" t="n">
        <v>248</v>
      </c>
      <c r="B253" s="0" t="str">
        <f aca="false">IFERROR(MATCH($A253,ChalSeq,0),"")</f>
        <v/>
      </c>
      <c r="C253" s="0" t="str">
        <f aca="false">IF($B253="","",INDEX(ChalGroup,$B253))</f>
        <v/>
      </c>
      <c r="D253" s="0" t="str">
        <f aca="false">IF($B253="","",INDEX(ChalDivision,$B253))</f>
        <v/>
      </c>
      <c r="E253" s="0" t="str">
        <f aca="false">IF($B253="","",INDEX(ChalUnit,$B253))</f>
        <v/>
      </c>
      <c r="F253" s="0" t="str">
        <f aca="false">IF($B253="","",INDEX(ChalTitle,$B253))</f>
        <v/>
      </c>
      <c r="G253" s="0" t="str">
        <f aca="false">IF($B253="","",INDEX(ChalLevel,$B253))</f>
        <v/>
      </c>
      <c r="H253" s="0" t="str">
        <f aca="false">IF($B253="","",INDEX(BookFamily,$B253))</f>
        <v/>
      </c>
      <c r="I253" s="0" t="str">
        <f aca="false">IF($B253="","",INDEX(BookWorkerType,$B253))</f>
        <v/>
      </c>
      <c r="J253" s="56" t="str">
        <f aca="false">IF($B253="","",INDEX(ChalEffective,$B253))</f>
        <v/>
      </c>
      <c r="K253" s="0" t="str">
        <f aca="false">IF($B253="","",INDEX(ChalStart,$B253))</f>
        <v/>
      </c>
      <c r="L253" s="57" t="str">
        <f aca="false">IF($B253="","",INDEX(ChalInYear,$B253))</f>
        <v/>
      </c>
      <c r="M253" s="57" t="str">
        <f aca="false">IF($B253="","",INDEX(ChalRunRate,$B253))</f>
        <v/>
      </c>
      <c r="N253" s="0" t="str">
        <f aca="false">IF($B253="","",INDEX(BookDriver,$B253))</f>
        <v/>
      </c>
    </row>
    <row r="254" customFormat="false" ht="15" hidden="false" customHeight="false" outlineLevel="0" collapsed="false">
      <c r="A254" s="33" t="n">
        <v>249</v>
      </c>
      <c r="B254" s="0" t="str">
        <f aca="false">IFERROR(MATCH($A254,ChalSeq,0),"")</f>
        <v/>
      </c>
      <c r="C254" s="0" t="str">
        <f aca="false">IF($B254="","",INDEX(ChalGroup,$B254))</f>
        <v/>
      </c>
      <c r="D254" s="0" t="str">
        <f aca="false">IF($B254="","",INDEX(ChalDivision,$B254))</f>
        <v/>
      </c>
      <c r="E254" s="0" t="str">
        <f aca="false">IF($B254="","",INDEX(ChalUnit,$B254))</f>
        <v/>
      </c>
      <c r="F254" s="0" t="str">
        <f aca="false">IF($B254="","",INDEX(ChalTitle,$B254))</f>
        <v/>
      </c>
      <c r="G254" s="0" t="str">
        <f aca="false">IF($B254="","",INDEX(ChalLevel,$B254))</f>
        <v/>
      </c>
      <c r="H254" s="0" t="str">
        <f aca="false">IF($B254="","",INDEX(BookFamily,$B254))</f>
        <v/>
      </c>
      <c r="I254" s="0" t="str">
        <f aca="false">IF($B254="","",INDEX(BookWorkerType,$B254))</f>
        <v/>
      </c>
      <c r="J254" s="56" t="str">
        <f aca="false">IF($B254="","",INDEX(ChalEffective,$B254))</f>
        <v/>
      </c>
      <c r="K254" s="0" t="str">
        <f aca="false">IF($B254="","",INDEX(ChalStart,$B254))</f>
        <v/>
      </c>
      <c r="L254" s="57" t="str">
        <f aca="false">IF($B254="","",INDEX(ChalInYear,$B254))</f>
        <v/>
      </c>
      <c r="M254" s="57" t="str">
        <f aca="false">IF($B254="","",INDEX(ChalRunRate,$B254))</f>
        <v/>
      </c>
      <c r="N254" s="0" t="str">
        <f aca="false">IF($B254="","",INDEX(BookDriver,$B254))</f>
        <v/>
      </c>
    </row>
    <row r="255" customFormat="false" ht="15" hidden="false" customHeight="false" outlineLevel="0" collapsed="false">
      <c r="A255" s="33" t="n">
        <v>250</v>
      </c>
      <c r="B255" s="0" t="str">
        <f aca="false">IFERROR(MATCH($A255,ChalSeq,0),"")</f>
        <v/>
      </c>
      <c r="C255" s="0" t="str">
        <f aca="false">IF($B255="","",INDEX(ChalGroup,$B255))</f>
        <v/>
      </c>
      <c r="D255" s="0" t="str">
        <f aca="false">IF($B255="","",INDEX(ChalDivision,$B255))</f>
        <v/>
      </c>
      <c r="E255" s="0" t="str">
        <f aca="false">IF($B255="","",INDEX(ChalUnit,$B255))</f>
        <v/>
      </c>
      <c r="F255" s="0" t="str">
        <f aca="false">IF($B255="","",INDEX(ChalTitle,$B255))</f>
        <v/>
      </c>
      <c r="G255" s="0" t="str">
        <f aca="false">IF($B255="","",INDEX(ChalLevel,$B255))</f>
        <v/>
      </c>
      <c r="H255" s="0" t="str">
        <f aca="false">IF($B255="","",INDEX(BookFamily,$B255))</f>
        <v/>
      </c>
      <c r="I255" s="0" t="str">
        <f aca="false">IF($B255="","",INDEX(BookWorkerType,$B255))</f>
        <v/>
      </c>
      <c r="J255" s="56" t="str">
        <f aca="false">IF($B255="","",INDEX(ChalEffective,$B255))</f>
        <v/>
      </c>
      <c r="K255" s="0" t="str">
        <f aca="false">IF($B255="","",INDEX(ChalStart,$B255))</f>
        <v/>
      </c>
      <c r="L255" s="57" t="str">
        <f aca="false">IF($B255="","",INDEX(ChalInYear,$B255))</f>
        <v/>
      </c>
      <c r="M255" s="57" t="str">
        <f aca="false">IF($B255="","",INDEX(ChalRunRate,$B255))</f>
        <v/>
      </c>
      <c r="N255" s="0" t="str">
        <f aca="false">IF($B255="","",INDEX(BookDriver,$B255))</f>
        <v/>
      </c>
    </row>
    <row r="256" customFormat="false" ht="15" hidden="false" customHeight="false" outlineLevel="0" collapsed="false">
      <c r="A256" s="33" t="n">
        <v>251</v>
      </c>
      <c r="B256" s="0" t="str">
        <f aca="false">IFERROR(MATCH($A256,ChalSeq,0),"")</f>
        <v/>
      </c>
      <c r="C256" s="0" t="str">
        <f aca="false">IF($B256="","",INDEX(ChalGroup,$B256))</f>
        <v/>
      </c>
      <c r="D256" s="0" t="str">
        <f aca="false">IF($B256="","",INDEX(ChalDivision,$B256))</f>
        <v/>
      </c>
      <c r="E256" s="0" t="str">
        <f aca="false">IF($B256="","",INDEX(ChalUnit,$B256))</f>
        <v/>
      </c>
      <c r="F256" s="0" t="str">
        <f aca="false">IF($B256="","",INDEX(ChalTitle,$B256))</f>
        <v/>
      </c>
      <c r="G256" s="0" t="str">
        <f aca="false">IF($B256="","",INDEX(ChalLevel,$B256))</f>
        <v/>
      </c>
      <c r="H256" s="0" t="str">
        <f aca="false">IF($B256="","",INDEX(BookFamily,$B256))</f>
        <v/>
      </c>
      <c r="I256" s="0" t="str">
        <f aca="false">IF($B256="","",INDEX(BookWorkerType,$B256))</f>
        <v/>
      </c>
      <c r="J256" s="56" t="str">
        <f aca="false">IF($B256="","",INDEX(ChalEffective,$B256))</f>
        <v/>
      </c>
      <c r="K256" s="0" t="str">
        <f aca="false">IF($B256="","",INDEX(ChalStart,$B256))</f>
        <v/>
      </c>
      <c r="L256" s="57" t="str">
        <f aca="false">IF($B256="","",INDEX(ChalInYear,$B256))</f>
        <v/>
      </c>
      <c r="M256" s="57" t="str">
        <f aca="false">IF($B256="","",INDEX(ChalRunRate,$B256))</f>
        <v/>
      </c>
      <c r="N256" s="0" t="str">
        <f aca="false">IF($B256="","",INDEX(BookDriver,$B256))</f>
        <v/>
      </c>
    </row>
    <row r="257" customFormat="false" ht="15" hidden="false" customHeight="false" outlineLevel="0" collapsed="false">
      <c r="A257" s="33" t="n">
        <v>252</v>
      </c>
      <c r="B257" s="0" t="str">
        <f aca="false">IFERROR(MATCH($A257,ChalSeq,0),"")</f>
        <v/>
      </c>
      <c r="C257" s="0" t="str">
        <f aca="false">IF($B257="","",INDEX(ChalGroup,$B257))</f>
        <v/>
      </c>
      <c r="D257" s="0" t="str">
        <f aca="false">IF($B257="","",INDEX(ChalDivision,$B257))</f>
        <v/>
      </c>
      <c r="E257" s="0" t="str">
        <f aca="false">IF($B257="","",INDEX(ChalUnit,$B257))</f>
        <v/>
      </c>
      <c r="F257" s="0" t="str">
        <f aca="false">IF($B257="","",INDEX(ChalTitle,$B257))</f>
        <v/>
      </c>
      <c r="G257" s="0" t="str">
        <f aca="false">IF($B257="","",INDEX(ChalLevel,$B257))</f>
        <v/>
      </c>
      <c r="H257" s="0" t="str">
        <f aca="false">IF($B257="","",INDEX(BookFamily,$B257))</f>
        <v/>
      </c>
      <c r="I257" s="0" t="str">
        <f aca="false">IF($B257="","",INDEX(BookWorkerType,$B257))</f>
        <v/>
      </c>
      <c r="J257" s="56" t="str">
        <f aca="false">IF($B257="","",INDEX(ChalEffective,$B257))</f>
        <v/>
      </c>
      <c r="K257" s="0" t="str">
        <f aca="false">IF($B257="","",INDEX(ChalStart,$B257))</f>
        <v/>
      </c>
      <c r="L257" s="57" t="str">
        <f aca="false">IF($B257="","",INDEX(ChalInYear,$B257))</f>
        <v/>
      </c>
      <c r="M257" s="57" t="str">
        <f aca="false">IF($B257="","",INDEX(ChalRunRate,$B257))</f>
        <v/>
      </c>
      <c r="N257" s="0" t="str">
        <f aca="false">IF($B257="","",INDEX(BookDriver,$B257))</f>
        <v/>
      </c>
    </row>
    <row r="258" customFormat="false" ht="15" hidden="false" customHeight="false" outlineLevel="0" collapsed="false">
      <c r="A258" s="33" t="n">
        <v>253</v>
      </c>
      <c r="B258" s="0" t="str">
        <f aca="false">IFERROR(MATCH($A258,ChalSeq,0),"")</f>
        <v/>
      </c>
      <c r="C258" s="0" t="str">
        <f aca="false">IF($B258="","",INDEX(ChalGroup,$B258))</f>
        <v/>
      </c>
      <c r="D258" s="0" t="str">
        <f aca="false">IF($B258="","",INDEX(ChalDivision,$B258))</f>
        <v/>
      </c>
      <c r="E258" s="0" t="str">
        <f aca="false">IF($B258="","",INDEX(ChalUnit,$B258))</f>
        <v/>
      </c>
      <c r="F258" s="0" t="str">
        <f aca="false">IF($B258="","",INDEX(ChalTitle,$B258))</f>
        <v/>
      </c>
      <c r="G258" s="0" t="str">
        <f aca="false">IF($B258="","",INDEX(ChalLevel,$B258))</f>
        <v/>
      </c>
      <c r="H258" s="0" t="str">
        <f aca="false">IF($B258="","",INDEX(BookFamily,$B258))</f>
        <v/>
      </c>
      <c r="I258" s="0" t="str">
        <f aca="false">IF($B258="","",INDEX(BookWorkerType,$B258))</f>
        <v/>
      </c>
      <c r="J258" s="56" t="str">
        <f aca="false">IF($B258="","",INDEX(ChalEffective,$B258))</f>
        <v/>
      </c>
      <c r="K258" s="0" t="str">
        <f aca="false">IF($B258="","",INDEX(ChalStart,$B258))</f>
        <v/>
      </c>
      <c r="L258" s="57" t="str">
        <f aca="false">IF($B258="","",INDEX(ChalInYear,$B258))</f>
        <v/>
      </c>
      <c r="M258" s="57" t="str">
        <f aca="false">IF($B258="","",INDEX(ChalRunRate,$B258))</f>
        <v/>
      </c>
      <c r="N258" s="0" t="str">
        <f aca="false">IF($B258="","",INDEX(BookDriver,$B258))</f>
        <v/>
      </c>
    </row>
    <row r="259" customFormat="false" ht="15" hidden="false" customHeight="false" outlineLevel="0" collapsed="false">
      <c r="A259" s="33" t="n">
        <v>254</v>
      </c>
      <c r="B259" s="0" t="str">
        <f aca="false">IFERROR(MATCH($A259,ChalSeq,0),"")</f>
        <v/>
      </c>
      <c r="C259" s="0" t="str">
        <f aca="false">IF($B259="","",INDEX(ChalGroup,$B259))</f>
        <v/>
      </c>
      <c r="D259" s="0" t="str">
        <f aca="false">IF($B259="","",INDEX(ChalDivision,$B259))</f>
        <v/>
      </c>
      <c r="E259" s="0" t="str">
        <f aca="false">IF($B259="","",INDEX(ChalUnit,$B259))</f>
        <v/>
      </c>
      <c r="F259" s="0" t="str">
        <f aca="false">IF($B259="","",INDEX(ChalTitle,$B259))</f>
        <v/>
      </c>
      <c r="G259" s="0" t="str">
        <f aca="false">IF($B259="","",INDEX(ChalLevel,$B259))</f>
        <v/>
      </c>
      <c r="H259" s="0" t="str">
        <f aca="false">IF($B259="","",INDEX(BookFamily,$B259))</f>
        <v/>
      </c>
      <c r="I259" s="0" t="str">
        <f aca="false">IF($B259="","",INDEX(BookWorkerType,$B259))</f>
        <v/>
      </c>
      <c r="J259" s="56" t="str">
        <f aca="false">IF($B259="","",INDEX(ChalEffective,$B259))</f>
        <v/>
      </c>
      <c r="K259" s="0" t="str">
        <f aca="false">IF($B259="","",INDEX(ChalStart,$B259))</f>
        <v/>
      </c>
      <c r="L259" s="57" t="str">
        <f aca="false">IF($B259="","",INDEX(ChalInYear,$B259))</f>
        <v/>
      </c>
      <c r="M259" s="57" t="str">
        <f aca="false">IF($B259="","",INDEX(ChalRunRate,$B259))</f>
        <v/>
      </c>
      <c r="N259" s="0" t="str">
        <f aca="false">IF($B259="","",INDEX(BookDriver,$B259))</f>
        <v/>
      </c>
    </row>
    <row r="260" customFormat="false" ht="15" hidden="false" customHeight="false" outlineLevel="0" collapsed="false">
      <c r="A260" s="33" t="n">
        <v>255</v>
      </c>
      <c r="B260" s="0" t="str">
        <f aca="false">IFERROR(MATCH($A260,ChalSeq,0),"")</f>
        <v/>
      </c>
      <c r="C260" s="0" t="str">
        <f aca="false">IF($B260="","",INDEX(ChalGroup,$B260))</f>
        <v/>
      </c>
      <c r="D260" s="0" t="str">
        <f aca="false">IF($B260="","",INDEX(ChalDivision,$B260))</f>
        <v/>
      </c>
      <c r="E260" s="0" t="str">
        <f aca="false">IF($B260="","",INDEX(ChalUnit,$B260))</f>
        <v/>
      </c>
      <c r="F260" s="0" t="str">
        <f aca="false">IF($B260="","",INDEX(ChalTitle,$B260))</f>
        <v/>
      </c>
      <c r="G260" s="0" t="str">
        <f aca="false">IF($B260="","",INDEX(ChalLevel,$B260))</f>
        <v/>
      </c>
      <c r="H260" s="0" t="str">
        <f aca="false">IF($B260="","",INDEX(BookFamily,$B260))</f>
        <v/>
      </c>
      <c r="I260" s="0" t="str">
        <f aca="false">IF($B260="","",INDEX(BookWorkerType,$B260))</f>
        <v/>
      </c>
      <c r="J260" s="56" t="str">
        <f aca="false">IF($B260="","",INDEX(ChalEffective,$B260))</f>
        <v/>
      </c>
      <c r="K260" s="0" t="str">
        <f aca="false">IF($B260="","",INDEX(ChalStart,$B260))</f>
        <v/>
      </c>
      <c r="L260" s="57" t="str">
        <f aca="false">IF($B260="","",INDEX(ChalInYear,$B260))</f>
        <v/>
      </c>
      <c r="M260" s="57" t="str">
        <f aca="false">IF($B260="","",INDEX(ChalRunRate,$B260))</f>
        <v/>
      </c>
      <c r="N260" s="0" t="str">
        <f aca="false">IF($B260="","",INDEX(BookDriver,$B260))</f>
        <v/>
      </c>
    </row>
    <row r="261" customFormat="false" ht="15" hidden="false" customHeight="false" outlineLevel="0" collapsed="false">
      <c r="A261" s="33" t="n">
        <v>256</v>
      </c>
      <c r="B261" s="0" t="str">
        <f aca="false">IFERROR(MATCH($A261,ChalSeq,0),"")</f>
        <v/>
      </c>
      <c r="C261" s="0" t="str">
        <f aca="false">IF($B261="","",INDEX(ChalGroup,$B261))</f>
        <v/>
      </c>
      <c r="D261" s="0" t="str">
        <f aca="false">IF($B261="","",INDEX(ChalDivision,$B261))</f>
        <v/>
      </c>
      <c r="E261" s="0" t="str">
        <f aca="false">IF($B261="","",INDEX(ChalUnit,$B261))</f>
        <v/>
      </c>
      <c r="F261" s="0" t="str">
        <f aca="false">IF($B261="","",INDEX(ChalTitle,$B261))</f>
        <v/>
      </c>
      <c r="G261" s="0" t="str">
        <f aca="false">IF($B261="","",INDEX(ChalLevel,$B261))</f>
        <v/>
      </c>
      <c r="H261" s="0" t="str">
        <f aca="false">IF($B261="","",INDEX(BookFamily,$B261))</f>
        <v/>
      </c>
      <c r="I261" s="0" t="str">
        <f aca="false">IF($B261="","",INDEX(BookWorkerType,$B261))</f>
        <v/>
      </c>
      <c r="J261" s="56" t="str">
        <f aca="false">IF($B261="","",INDEX(ChalEffective,$B261))</f>
        <v/>
      </c>
      <c r="K261" s="0" t="str">
        <f aca="false">IF($B261="","",INDEX(ChalStart,$B261))</f>
        <v/>
      </c>
      <c r="L261" s="57" t="str">
        <f aca="false">IF($B261="","",INDEX(ChalInYear,$B261))</f>
        <v/>
      </c>
      <c r="M261" s="57" t="str">
        <f aca="false">IF($B261="","",INDEX(ChalRunRate,$B261))</f>
        <v/>
      </c>
      <c r="N261" s="0" t="str">
        <f aca="false">IF($B261="","",INDEX(BookDriver,$B261))</f>
        <v/>
      </c>
    </row>
    <row r="262" customFormat="false" ht="15" hidden="false" customHeight="false" outlineLevel="0" collapsed="false">
      <c r="A262" s="33" t="n">
        <v>257</v>
      </c>
      <c r="B262" s="0" t="str">
        <f aca="false">IFERROR(MATCH($A262,ChalSeq,0),"")</f>
        <v/>
      </c>
      <c r="C262" s="0" t="str">
        <f aca="false">IF($B262="","",INDEX(ChalGroup,$B262))</f>
        <v/>
      </c>
      <c r="D262" s="0" t="str">
        <f aca="false">IF($B262="","",INDEX(ChalDivision,$B262))</f>
        <v/>
      </c>
      <c r="E262" s="0" t="str">
        <f aca="false">IF($B262="","",INDEX(ChalUnit,$B262))</f>
        <v/>
      </c>
      <c r="F262" s="0" t="str">
        <f aca="false">IF($B262="","",INDEX(ChalTitle,$B262))</f>
        <v/>
      </c>
      <c r="G262" s="0" t="str">
        <f aca="false">IF($B262="","",INDEX(ChalLevel,$B262))</f>
        <v/>
      </c>
      <c r="H262" s="0" t="str">
        <f aca="false">IF($B262="","",INDEX(BookFamily,$B262))</f>
        <v/>
      </c>
      <c r="I262" s="0" t="str">
        <f aca="false">IF($B262="","",INDEX(BookWorkerType,$B262))</f>
        <v/>
      </c>
      <c r="J262" s="56" t="str">
        <f aca="false">IF($B262="","",INDEX(ChalEffective,$B262))</f>
        <v/>
      </c>
      <c r="K262" s="0" t="str">
        <f aca="false">IF($B262="","",INDEX(ChalStart,$B262))</f>
        <v/>
      </c>
      <c r="L262" s="57" t="str">
        <f aca="false">IF($B262="","",INDEX(ChalInYear,$B262))</f>
        <v/>
      </c>
      <c r="M262" s="57" t="str">
        <f aca="false">IF($B262="","",INDEX(ChalRunRate,$B262))</f>
        <v/>
      </c>
      <c r="N262" s="0" t="str">
        <f aca="false">IF($B262="","",INDEX(BookDriver,$B262))</f>
        <v/>
      </c>
    </row>
    <row r="263" customFormat="false" ht="15" hidden="false" customHeight="false" outlineLevel="0" collapsed="false">
      <c r="A263" s="33" t="n">
        <v>258</v>
      </c>
      <c r="B263" s="0" t="str">
        <f aca="false">IFERROR(MATCH($A263,ChalSeq,0),"")</f>
        <v/>
      </c>
      <c r="C263" s="0" t="str">
        <f aca="false">IF($B263="","",INDEX(ChalGroup,$B263))</f>
        <v/>
      </c>
      <c r="D263" s="0" t="str">
        <f aca="false">IF($B263="","",INDEX(ChalDivision,$B263))</f>
        <v/>
      </c>
      <c r="E263" s="0" t="str">
        <f aca="false">IF($B263="","",INDEX(ChalUnit,$B263))</f>
        <v/>
      </c>
      <c r="F263" s="0" t="str">
        <f aca="false">IF($B263="","",INDEX(ChalTitle,$B263))</f>
        <v/>
      </c>
      <c r="G263" s="0" t="str">
        <f aca="false">IF($B263="","",INDEX(ChalLevel,$B263))</f>
        <v/>
      </c>
      <c r="H263" s="0" t="str">
        <f aca="false">IF($B263="","",INDEX(BookFamily,$B263))</f>
        <v/>
      </c>
      <c r="I263" s="0" t="str">
        <f aca="false">IF($B263="","",INDEX(BookWorkerType,$B263))</f>
        <v/>
      </c>
      <c r="J263" s="56" t="str">
        <f aca="false">IF($B263="","",INDEX(ChalEffective,$B263))</f>
        <v/>
      </c>
      <c r="K263" s="0" t="str">
        <f aca="false">IF($B263="","",INDEX(ChalStart,$B263))</f>
        <v/>
      </c>
      <c r="L263" s="57" t="str">
        <f aca="false">IF($B263="","",INDEX(ChalInYear,$B263))</f>
        <v/>
      </c>
      <c r="M263" s="57" t="str">
        <f aca="false">IF($B263="","",INDEX(ChalRunRate,$B263))</f>
        <v/>
      </c>
      <c r="N263" s="0" t="str">
        <f aca="false">IF($B263="","",INDEX(BookDriver,$B263))</f>
        <v/>
      </c>
    </row>
    <row r="264" customFormat="false" ht="15" hidden="false" customHeight="false" outlineLevel="0" collapsed="false">
      <c r="A264" s="33" t="n">
        <v>259</v>
      </c>
      <c r="B264" s="0" t="str">
        <f aca="false">IFERROR(MATCH($A264,ChalSeq,0),"")</f>
        <v/>
      </c>
      <c r="C264" s="0" t="str">
        <f aca="false">IF($B264="","",INDEX(ChalGroup,$B264))</f>
        <v/>
      </c>
      <c r="D264" s="0" t="str">
        <f aca="false">IF($B264="","",INDEX(ChalDivision,$B264))</f>
        <v/>
      </c>
      <c r="E264" s="0" t="str">
        <f aca="false">IF($B264="","",INDEX(ChalUnit,$B264))</f>
        <v/>
      </c>
      <c r="F264" s="0" t="str">
        <f aca="false">IF($B264="","",INDEX(ChalTitle,$B264))</f>
        <v/>
      </c>
      <c r="G264" s="0" t="str">
        <f aca="false">IF($B264="","",INDEX(ChalLevel,$B264))</f>
        <v/>
      </c>
      <c r="H264" s="0" t="str">
        <f aca="false">IF($B264="","",INDEX(BookFamily,$B264))</f>
        <v/>
      </c>
      <c r="I264" s="0" t="str">
        <f aca="false">IF($B264="","",INDEX(BookWorkerType,$B264))</f>
        <v/>
      </c>
      <c r="J264" s="56" t="str">
        <f aca="false">IF($B264="","",INDEX(ChalEffective,$B264))</f>
        <v/>
      </c>
      <c r="K264" s="0" t="str">
        <f aca="false">IF($B264="","",INDEX(ChalStart,$B264))</f>
        <v/>
      </c>
      <c r="L264" s="57" t="str">
        <f aca="false">IF($B264="","",INDEX(ChalInYear,$B264))</f>
        <v/>
      </c>
      <c r="M264" s="57" t="str">
        <f aca="false">IF($B264="","",INDEX(ChalRunRate,$B264))</f>
        <v/>
      </c>
      <c r="N264" s="0" t="str">
        <f aca="false">IF($B264="","",INDEX(BookDriver,$B264))</f>
        <v/>
      </c>
    </row>
    <row r="265" customFormat="false" ht="15" hidden="false" customHeight="false" outlineLevel="0" collapsed="false">
      <c r="A265" s="33" t="n">
        <v>260</v>
      </c>
      <c r="B265" s="0" t="str">
        <f aca="false">IFERROR(MATCH($A265,ChalSeq,0),"")</f>
        <v/>
      </c>
      <c r="C265" s="0" t="str">
        <f aca="false">IF($B265="","",INDEX(ChalGroup,$B265))</f>
        <v/>
      </c>
      <c r="D265" s="0" t="str">
        <f aca="false">IF($B265="","",INDEX(ChalDivision,$B265))</f>
        <v/>
      </c>
      <c r="E265" s="0" t="str">
        <f aca="false">IF($B265="","",INDEX(ChalUnit,$B265))</f>
        <v/>
      </c>
      <c r="F265" s="0" t="str">
        <f aca="false">IF($B265="","",INDEX(ChalTitle,$B265))</f>
        <v/>
      </c>
      <c r="G265" s="0" t="str">
        <f aca="false">IF($B265="","",INDEX(ChalLevel,$B265))</f>
        <v/>
      </c>
      <c r="H265" s="0" t="str">
        <f aca="false">IF($B265="","",INDEX(BookFamily,$B265))</f>
        <v/>
      </c>
      <c r="I265" s="0" t="str">
        <f aca="false">IF($B265="","",INDEX(BookWorkerType,$B265))</f>
        <v/>
      </c>
      <c r="J265" s="56" t="str">
        <f aca="false">IF($B265="","",INDEX(ChalEffective,$B265))</f>
        <v/>
      </c>
      <c r="K265" s="0" t="str">
        <f aca="false">IF($B265="","",INDEX(ChalStart,$B265))</f>
        <v/>
      </c>
      <c r="L265" s="57" t="str">
        <f aca="false">IF($B265="","",INDEX(ChalInYear,$B265))</f>
        <v/>
      </c>
      <c r="M265" s="57" t="str">
        <f aca="false">IF($B265="","",INDEX(ChalRunRate,$B265))</f>
        <v/>
      </c>
      <c r="N265" s="0" t="str">
        <f aca="false">IF($B265="","",INDEX(BookDriver,$B265))</f>
        <v/>
      </c>
    </row>
    <row r="266" customFormat="false" ht="15" hidden="false" customHeight="false" outlineLevel="0" collapsed="false">
      <c r="A266" s="33" t="n">
        <v>261</v>
      </c>
      <c r="B266" s="0" t="str">
        <f aca="false">IFERROR(MATCH($A266,ChalSeq,0),"")</f>
        <v/>
      </c>
      <c r="C266" s="0" t="str">
        <f aca="false">IF($B266="","",INDEX(ChalGroup,$B266))</f>
        <v/>
      </c>
      <c r="D266" s="0" t="str">
        <f aca="false">IF($B266="","",INDEX(ChalDivision,$B266))</f>
        <v/>
      </c>
      <c r="E266" s="0" t="str">
        <f aca="false">IF($B266="","",INDEX(ChalUnit,$B266))</f>
        <v/>
      </c>
      <c r="F266" s="0" t="str">
        <f aca="false">IF($B266="","",INDEX(ChalTitle,$B266))</f>
        <v/>
      </c>
      <c r="G266" s="0" t="str">
        <f aca="false">IF($B266="","",INDEX(ChalLevel,$B266))</f>
        <v/>
      </c>
      <c r="H266" s="0" t="str">
        <f aca="false">IF($B266="","",INDEX(BookFamily,$B266))</f>
        <v/>
      </c>
      <c r="I266" s="0" t="str">
        <f aca="false">IF($B266="","",INDEX(BookWorkerType,$B266))</f>
        <v/>
      </c>
      <c r="J266" s="56" t="str">
        <f aca="false">IF($B266="","",INDEX(ChalEffective,$B266))</f>
        <v/>
      </c>
      <c r="K266" s="0" t="str">
        <f aca="false">IF($B266="","",INDEX(ChalStart,$B266))</f>
        <v/>
      </c>
      <c r="L266" s="57" t="str">
        <f aca="false">IF($B266="","",INDEX(ChalInYear,$B266))</f>
        <v/>
      </c>
      <c r="M266" s="57" t="str">
        <f aca="false">IF($B266="","",INDEX(ChalRunRate,$B266))</f>
        <v/>
      </c>
      <c r="N266" s="0" t="str">
        <f aca="false">IF($B266="","",INDEX(BookDriver,$B266))</f>
        <v/>
      </c>
    </row>
    <row r="267" customFormat="false" ht="15" hidden="false" customHeight="false" outlineLevel="0" collapsed="false">
      <c r="A267" s="33" t="n">
        <v>262</v>
      </c>
      <c r="B267" s="0" t="str">
        <f aca="false">IFERROR(MATCH($A267,ChalSeq,0),"")</f>
        <v/>
      </c>
      <c r="C267" s="0" t="str">
        <f aca="false">IF($B267="","",INDEX(ChalGroup,$B267))</f>
        <v/>
      </c>
      <c r="D267" s="0" t="str">
        <f aca="false">IF($B267="","",INDEX(ChalDivision,$B267))</f>
        <v/>
      </c>
      <c r="E267" s="0" t="str">
        <f aca="false">IF($B267="","",INDEX(ChalUnit,$B267))</f>
        <v/>
      </c>
      <c r="F267" s="0" t="str">
        <f aca="false">IF($B267="","",INDEX(ChalTitle,$B267))</f>
        <v/>
      </c>
      <c r="G267" s="0" t="str">
        <f aca="false">IF($B267="","",INDEX(ChalLevel,$B267))</f>
        <v/>
      </c>
      <c r="H267" s="0" t="str">
        <f aca="false">IF($B267="","",INDEX(BookFamily,$B267))</f>
        <v/>
      </c>
      <c r="I267" s="0" t="str">
        <f aca="false">IF($B267="","",INDEX(BookWorkerType,$B267))</f>
        <v/>
      </c>
      <c r="J267" s="56" t="str">
        <f aca="false">IF($B267="","",INDEX(ChalEffective,$B267))</f>
        <v/>
      </c>
      <c r="K267" s="0" t="str">
        <f aca="false">IF($B267="","",INDEX(ChalStart,$B267))</f>
        <v/>
      </c>
      <c r="L267" s="57" t="str">
        <f aca="false">IF($B267="","",INDEX(ChalInYear,$B267))</f>
        <v/>
      </c>
      <c r="M267" s="57" t="str">
        <f aca="false">IF($B267="","",INDEX(ChalRunRate,$B267))</f>
        <v/>
      </c>
      <c r="N267" s="0" t="str">
        <f aca="false">IF($B267="","",INDEX(BookDriver,$B267))</f>
        <v/>
      </c>
    </row>
    <row r="268" customFormat="false" ht="15" hidden="false" customHeight="false" outlineLevel="0" collapsed="false">
      <c r="A268" s="33" t="n">
        <v>263</v>
      </c>
      <c r="B268" s="0" t="str">
        <f aca="false">IFERROR(MATCH($A268,ChalSeq,0),"")</f>
        <v/>
      </c>
      <c r="C268" s="0" t="str">
        <f aca="false">IF($B268="","",INDEX(ChalGroup,$B268))</f>
        <v/>
      </c>
      <c r="D268" s="0" t="str">
        <f aca="false">IF($B268="","",INDEX(ChalDivision,$B268))</f>
        <v/>
      </c>
      <c r="E268" s="0" t="str">
        <f aca="false">IF($B268="","",INDEX(ChalUnit,$B268))</f>
        <v/>
      </c>
      <c r="F268" s="0" t="str">
        <f aca="false">IF($B268="","",INDEX(ChalTitle,$B268))</f>
        <v/>
      </c>
      <c r="G268" s="0" t="str">
        <f aca="false">IF($B268="","",INDEX(ChalLevel,$B268))</f>
        <v/>
      </c>
      <c r="H268" s="0" t="str">
        <f aca="false">IF($B268="","",INDEX(BookFamily,$B268))</f>
        <v/>
      </c>
      <c r="I268" s="0" t="str">
        <f aca="false">IF($B268="","",INDEX(BookWorkerType,$B268))</f>
        <v/>
      </c>
      <c r="J268" s="56" t="str">
        <f aca="false">IF($B268="","",INDEX(ChalEffective,$B268))</f>
        <v/>
      </c>
      <c r="K268" s="0" t="str">
        <f aca="false">IF($B268="","",INDEX(ChalStart,$B268))</f>
        <v/>
      </c>
      <c r="L268" s="57" t="str">
        <f aca="false">IF($B268="","",INDEX(ChalInYear,$B268))</f>
        <v/>
      </c>
      <c r="M268" s="57" t="str">
        <f aca="false">IF($B268="","",INDEX(ChalRunRate,$B268))</f>
        <v/>
      </c>
      <c r="N268" s="0" t="str">
        <f aca="false">IF($B268="","",INDEX(BookDriver,$B268))</f>
        <v/>
      </c>
    </row>
    <row r="269" customFormat="false" ht="15" hidden="false" customHeight="false" outlineLevel="0" collapsed="false">
      <c r="A269" s="33" t="n">
        <v>264</v>
      </c>
      <c r="B269" s="0" t="str">
        <f aca="false">IFERROR(MATCH($A269,ChalSeq,0),"")</f>
        <v/>
      </c>
      <c r="C269" s="0" t="str">
        <f aca="false">IF($B269="","",INDEX(ChalGroup,$B269))</f>
        <v/>
      </c>
      <c r="D269" s="0" t="str">
        <f aca="false">IF($B269="","",INDEX(ChalDivision,$B269))</f>
        <v/>
      </c>
      <c r="E269" s="0" t="str">
        <f aca="false">IF($B269="","",INDEX(ChalUnit,$B269))</f>
        <v/>
      </c>
      <c r="F269" s="0" t="str">
        <f aca="false">IF($B269="","",INDEX(ChalTitle,$B269))</f>
        <v/>
      </c>
      <c r="G269" s="0" t="str">
        <f aca="false">IF($B269="","",INDEX(ChalLevel,$B269))</f>
        <v/>
      </c>
      <c r="H269" s="0" t="str">
        <f aca="false">IF($B269="","",INDEX(BookFamily,$B269))</f>
        <v/>
      </c>
      <c r="I269" s="0" t="str">
        <f aca="false">IF($B269="","",INDEX(BookWorkerType,$B269))</f>
        <v/>
      </c>
      <c r="J269" s="56" t="str">
        <f aca="false">IF($B269="","",INDEX(ChalEffective,$B269))</f>
        <v/>
      </c>
      <c r="K269" s="0" t="str">
        <f aca="false">IF($B269="","",INDEX(ChalStart,$B269))</f>
        <v/>
      </c>
      <c r="L269" s="57" t="str">
        <f aca="false">IF($B269="","",INDEX(ChalInYear,$B269))</f>
        <v/>
      </c>
      <c r="M269" s="57" t="str">
        <f aca="false">IF($B269="","",INDEX(ChalRunRate,$B269))</f>
        <v/>
      </c>
      <c r="N269" s="0" t="str">
        <f aca="false">IF($B269="","",INDEX(BookDriver,$B269))</f>
        <v/>
      </c>
    </row>
    <row r="270" customFormat="false" ht="15" hidden="false" customHeight="false" outlineLevel="0" collapsed="false">
      <c r="A270" s="33" t="n">
        <v>265</v>
      </c>
      <c r="B270" s="0" t="str">
        <f aca="false">IFERROR(MATCH($A270,ChalSeq,0),"")</f>
        <v/>
      </c>
      <c r="C270" s="0" t="str">
        <f aca="false">IF($B270="","",INDEX(ChalGroup,$B270))</f>
        <v/>
      </c>
      <c r="D270" s="0" t="str">
        <f aca="false">IF($B270="","",INDEX(ChalDivision,$B270))</f>
        <v/>
      </c>
      <c r="E270" s="0" t="str">
        <f aca="false">IF($B270="","",INDEX(ChalUnit,$B270))</f>
        <v/>
      </c>
      <c r="F270" s="0" t="str">
        <f aca="false">IF($B270="","",INDEX(ChalTitle,$B270))</f>
        <v/>
      </c>
      <c r="G270" s="0" t="str">
        <f aca="false">IF($B270="","",INDEX(ChalLevel,$B270))</f>
        <v/>
      </c>
      <c r="H270" s="0" t="str">
        <f aca="false">IF($B270="","",INDEX(BookFamily,$B270))</f>
        <v/>
      </c>
      <c r="I270" s="0" t="str">
        <f aca="false">IF($B270="","",INDEX(BookWorkerType,$B270))</f>
        <v/>
      </c>
      <c r="J270" s="56" t="str">
        <f aca="false">IF($B270="","",INDEX(ChalEffective,$B270))</f>
        <v/>
      </c>
      <c r="K270" s="0" t="str">
        <f aca="false">IF($B270="","",INDEX(ChalStart,$B270))</f>
        <v/>
      </c>
      <c r="L270" s="57" t="str">
        <f aca="false">IF($B270="","",INDEX(ChalInYear,$B270))</f>
        <v/>
      </c>
      <c r="M270" s="57" t="str">
        <f aca="false">IF($B270="","",INDEX(ChalRunRate,$B270))</f>
        <v/>
      </c>
      <c r="N270" s="0" t="str">
        <f aca="false">IF($B270="","",INDEX(BookDriver,$B270))</f>
        <v/>
      </c>
    </row>
    <row r="271" customFormat="false" ht="15" hidden="false" customHeight="false" outlineLevel="0" collapsed="false">
      <c r="A271" s="33" t="n">
        <v>266</v>
      </c>
      <c r="B271" s="0" t="str">
        <f aca="false">IFERROR(MATCH($A271,ChalSeq,0),"")</f>
        <v/>
      </c>
      <c r="C271" s="0" t="str">
        <f aca="false">IF($B271="","",INDEX(ChalGroup,$B271))</f>
        <v/>
      </c>
      <c r="D271" s="0" t="str">
        <f aca="false">IF($B271="","",INDEX(ChalDivision,$B271))</f>
        <v/>
      </c>
      <c r="E271" s="0" t="str">
        <f aca="false">IF($B271="","",INDEX(ChalUnit,$B271))</f>
        <v/>
      </c>
      <c r="F271" s="0" t="str">
        <f aca="false">IF($B271="","",INDEX(ChalTitle,$B271))</f>
        <v/>
      </c>
      <c r="G271" s="0" t="str">
        <f aca="false">IF($B271="","",INDEX(ChalLevel,$B271))</f>
        <v/>
      </c>
      <c r="H271" s="0" t="str">
        <f aca="false">IF($B271="","",INDEX(BookFamily,$B271))</f>
        <v/>
      </c>
      <c r="I271" s="0" t="str">
        <f aca="false">IF($B271="","",INDEX(BookWorkerType,$B271))</f>
        <v/>
      </c>
      <c r="J271" s="56" t="str">
        <f aca="false">IF($B271="","",INDEX(ChalEffective,$B271))</f>
        <v/>
      </c>
      <c r="K271" s="0" t="str">
        <f aca="false">IF($B271="","",INDEX(ChalStart,$B271))</f>
        <v/>
      </c>
      <c r="L271" s="57" t="str">
        <f aca="false">IF($B271="","",INDEX(ChalInYear,$B271))</f>
        <v/>
      </c>
      <c r="M271" s="57" t="str">
        <f aca="false">IF($B271="","",INDEX(ChalRunRate,$B271))</f>
        <v/>
      </c>
      <c r="N271" s="0" t="str">
        <f aca="false">IF($B271="","",INDEX(BookDriver,$B271))</f>
        <v/>
      </c>
    </row>
    <row r="272" customFormat="false" ht="15" hidden="false" customHeight="false" outlineLevel="0" collapsed="false">
      <c r="A272" s="33" t="n">
        <v>267</v>
      </c>
      <c r="B272" s="0" t="str">
        <f aca="false">IFERROR(MATCH($A272,ChalSeq,0),"")</f>
        <v/>
      </c>
      <c r="C272" s="0" t="str">
        <f aca="false">IF($B272="","",INDEX(ChalGroup,$B272))</f>
        <v/>
      </c>
      <c r="D272" s="0" t="str">
        <f aca="false">IF($B272="","",INDEX(ChalDivision,$B272))</f>
        <v/>
      </c>
      <c r="E272" s="0" t="str">
        <f aca="false">IF($B272="","",INDEX(ChalUnit,$B272))</f>
        <v/>
      </c>
      <c r="F272" s="0" t="str">
        <f aca="false">IF($B272="","",INDEX(ChalTitle,$B272))</f>
        <v/>
      </c>
      <c r="G272" s="0" t="str">
        <f aca="false">IF($B272="","",INDEX(ChalLevel,$B272))</f>
        <v/>
      </c>
      <c r="H272" s="0" t="str">
        <f aca="false">IF($B272="","",INDEX(BookFamily,$B272))</f>
        <v/>
      </c>
      <c r="I272" s="0" t="str">
        <f aca="false">IF($B272="","",INDEX(BookWorkerType,$B272))</f>
        <v/>
      </c>
      <c r="J272" s="56" t="str">
        <f aca="false">IF($B272="","",INDEX(ChalEffective,$B272))</f>
        <v/>
      </c>
      <c r="K272" s="0" t="str">
        <f aca="false">IF($B272="","",INDEX(ChalStart,$B272))</f>
        <v/>
      </c>
      <c r="L272" s="57" t="str">
        <f aca="false">IF($B272="","",INDEX(ChalInYear,$B272))</f>
        <v/>
      </c>
      <c r="M272" s="57" t="str">
        <f aca="false">IF($B272="","",INDEX(ChalRunRate,$B272))</f>
        <v/>
      </c>
      <c r="N272" s="0" t="str">
        <f aca="false">IF($B272="","",INDEX(BookDriver,$B272))</f>
        <v/>
      </c>
    </row>
    <row r="273" customFormat="false" ht="15" hidden="false" customHeight="false" outlineLevel="0" collapsed="false">
      <c r="A273" s="33" t="n">
        <v>268</v>
      </c>
      <c r="B273" s="0" t="str">
        <f aca="false">IFERROR(MATCH($A273,ChalSeq,0),"")</f>
        <v/>
      </c>
      <c r="C273" s="0" t="str">
        <f aca="false">IF($B273="","",INDEX(ChalGroup,$B273))</f>
        <v/>
      </c>
      <c r="D273" s="0" t="str">
        <f aca="false">IF($B273="","",INDEX(ChalDivision,$B273))</f>
        <v/>
      </c>
      <c r="E273" s="0" t="str">
        <f aca="false">IF($B273="","",INDEX(ChalUnit,$B273))</f>
        <v/>
      </c>
      <c r="F273" s="0" t="str">
        <f aca="false">IF($B273="","",INDEX(ChalTitle,$B273))</f>
        <v/>
      </c>
      <c r="G273" s="0" t="str">
        <f aca="false">IF($B273="","",INDEX(ChalLevel,$B273))</f>
        <v/>
      </c>
      <c r="H273" s="0" t="str">
        <f aca="false">IF($B273="","",INDEX(BookFamily,$B273))</f>
        <v/>
      </c>
      <c r="I273" s="0" t="str">
        <f aca="false">IF($B273="","",INDEX(BookWorkerType,$B273))</f>
        <v/>
      </c>
      <c r="J273" s="56" t="str">
        <f aca="false">IF($B273="","",INDEX(ChalEffective,$B273))</f>
        <v/>
      </c>
      <c r="K273" s="0" t="str">
        <f aca="false">IF($B273="","",INDEX(ChalStart,$B273))</f>
        <v/>
      </c>
      <c r="L273" s="57" t="str">
        <f aca="false">IF($B273="","",INDEX(ChalInYear,$B273))</f>
        <v/>
      </c>
      <c r="M273" s="57" t="str">
        <f aca="false">IF($B273="","",INDEX(ChalRunRate,$B273))</f>
        <v/>
      </c>
      <c r="N273" s="0" t="str">
        <f aca="false">IF($B273="","",INDEX(BookDriver,$B273))</f>
        <v/>
      </c>
    </row>
    <row r="274" customFormat="false" ht="15" hidden="false" customHeight="false" outlineLevel="0" collapsed="false">
      <c r="A274" s="33" t="n">
        <v>269</v>
      </c>
      <c r="B274" s="0" t="str">
        <f aca="false">IFERROR(MATCH($A274,ChalSeq,0),"")</f>
        <v/>
      </c>
      <c r="C274" s="0" t="str">
        <f aca="false">IF($B274="","",INDEX(ChalGroup,$B274))</f>
        <v/>
      </c>
      <c r="D274" s="0" t="str">
        <f aca="false">IF($B274="","",INDEX(ChalDivision,$B274))</f>
        <v/>
      </c>
      <c r="E274" s="0" t="str">
        <f aca="false">IF($B274="","",INDEX(ChalUnit,$B274))</f>
        <v/>
      </c>
      <c r="F274" s="0" t="str">
        <f aca="false">IF($B274="","",INDEX(ChalTitle,$B274))</f>
        <v/>
      </c>
      <c r="G274" s="0" t="str">
        <f aca="false">IF($B274="","",INDEX(ChalLevel,$B274))</f>
        <v/>
      </c>
      <c r="H274" s="0" t="str">
        <f aca="false">IF($B274="","",INDEX(BookFamily,$B274))</f>
        <v/>
      </c>
      <c r="I274" s="0" t="str">
        <f aca="false">IF($B274="","",INDEX(BookWorkerType,$B274))</f>
        <v/>
      </c>
      <c r="J274" s="56" t="str">
        <f aca="false">IF($B274="","",INDEX(ChalEffective,$B274))</f>
        <v/>
      </c>
      <c r="K274" s="0" t="str">
        <f aca="false">IF($B274="","",INDEX(ChalStart,$B274))</f>
        <v/>
      </c>
      <c r="L274" s="57" t="str">
        <f aca="false">IF($B274="","",INDEX(ChalInYear,$B274))</f>
        <v/>
      </c>
      <c r="M274" s="57" t="str">
        <f aca="false">IF($B274="","",INDEX(ChalRunRate,$B274))</f>
        <v/>
      </c>
      <c r="N274" s="0" t="str">
        <f aca="false">IF($B274="","",INDEX(BookDriver,$B274))</f>
        <v/>
      </c>
    </row>
    <row r="275" customFormat="false" ht="15" hidden="false" customHeight="false" outlineLevel="0" collapsed="false">
      <c r="A275" s="33" t="n">
        <v>270</v>
      </c>
      <c r="B275" s="0" t="str">
        <f aca="false">IFERROR(MATCH($A275,ChalSeq,0),"")</f>
        <v/>
      </c>
      <c r="C275" s="0" t="str">
        <f aca="false">IF($B275="","",INDEX(ChalGroup,$B275))</f>
        <v/>
      </c>
      <c r="D275" s="0" t="str">
        <f aca="false">IF($B275="","",INDEX(ChalDivision,$B275))</f>
        <v/>
      </c>
      <c r="E275" s="0" t="str">
        <f aca="false">IF($B275="","",INDEX(ChalUnit,$B275))</f>
        <v/>
      </c>
      <c r="F275" s="0" t="str">
        <f aca="false">IF($B275="","",INDEX(ChalTitle,$B275))</f>
        <v/>
      </c>
      <c r="G275" s="0" t="str">
        <f aca="false">IF($B275="","",INDEX(ChalLevel,$B275))</f>
        <v/>
      </c>
      <c r="H275" s="0" t="str">
        <f aca="false">IF($B275="","",INDEX(BookFamily,$B275))</f>
        <v/>
      </c>
      <c r="I275" s="0" t="str">
        <f aca="false">IF($B275="","",INDEX(BookWorkerType,$B275))</f>
        <v/>
      </c>
      <c r="J275" s="56" t="str">
        <f aca="false">IF($B275="","",INDEX(ChalEffective,$B275))</f>
        <v/>
      </c>
      <c r="K275" s="0" t="str">
        <f aca="false">IF($B275="","",INDEX(ChalStart,$B275))</f>
        <v/>
      </c>
      <c r="L275" s="57" t="str">
        <f aca="false">IF($B275="","",INDEX(ChalInYear,$B275))</f>
        <v/>
      </c>
      <c r="M275" s="57" t="str">
        <f aca="false">IF($B275="","",INDEX(ChalRunRate,$B275))</f>
        <v/>
      </c>
      <c r="N275" s="0" t="str">
        <f aca="false">IF($B275="","",INDEX(BookDriver,$B275))</f>
        <v/>
      </c>
    </row>
    <row r="276" customFormat="false" ht="15" hidden="false" customHeight="false" outlineLevel="0" collapsed="false">
      <c r="A276" s="33" t="n">
        <v>271</v>
      </c>
      <c r="B276" s="0" t="str">
        <f aca="false">IFERROR(MATCH($A276,ChalSeq,0),"")</f>
        <v/>
      </c>
      <c r="C276" s="0" t="str">
        <f aca="false">IF($B276="","",INDEX(ChalGroup,$B276))</f>
        <v/>
      </c>
      <c r="D276" s="0" t="str">
        <f aca="false">IF($B276="","",INDEX(ChalDivision,$B276))</f>
        <v/>
      </c>
      <c r="E276" s="0" t="str">
        <f aca="false">IF($B276="","",INDEX(ChalUnit,$B276))</f>
        <v/>
      </c>
      <c r="F276" s="0" t="str">
        <f aca="false">IF($B276="","",INDEX(ChalTitle,$B276))</f>
        <v/>
      </c>
      <c r="G276" s="0" t="str">
        <f aca="false">IF($B276="","",INDEX(ChalLevel,$B276))</f>
        <v/>
      </c>
      <c r="H276" s="0" t="str">
        <f aca="false">IF($B276="","",INDEX(BookFamily,$B276))</f>
        <v/>
      </c>
      <c r="I276" s="0" t="str">
        <f aca="false">IF($B276="","",INDEX(BookWorkerType,$B276))</f>
        <v/>
      </c>
      <c r="J276" s="56" t="str">
        <f aca="false">IF($B276="","",INDEX(ChalEffective,$B276))</f>
        <v/>
      </c>
      <c r="K276" s="0" t="str">
        <f aca="false">IF($B276="","",INDEX(ChalStart,$B276))</f>
        <v/>
      </c>
      <c r="L276" s="57" t="str">
        <f aca="false">IF($B276="","",INDEX(ChalInYear,$B276))</f>
        <v/>
      </c>
      <c r="M276" s="57" t="str">
        <f aca="false">IF($B276="","",INDEX(ChalRunRate,$B276))</f>
        <v/>
      </c>
      <c r="N276" s="0" t="str">
        <f aca="false">IF($B276="","",INDEX(BookDriver,$B276))</f>
        <v/>
      </c>
    </row>
    <row r="277" customFormat="false" ht="15" hidden="false" customHeight="false" outlineLevel="0" collapsed="false">
      <c r="A277" s="33" t="n">
        <v>272</v>
      </c>
      <c r="B277" s="0" t="str">
        <f aca="false">IFERROR(MATCH($A277,ChalSeq,0),"")</f>
        <v/>
      </c>
      <c r="C277" s="0" t="str">
        <f aca="false">IF($B277="","",INDEX(ChalGroup,$B277))</f>
        <v/>
      </c>
      <c r="D277" s="0" t="str">
        <f aca="false">IF($B277="","",INDEX(ChalDivision,$B277))</f>
        <v/>
      </c>
      <c r="E277" s="0" t="str">
        <f aca="false">IF($B277="","",INDEX(ChalUnit,$B277))</f>
        <v/>
      </c>
      <c r="F277" s="0" t="str">
        <f aca="false">IF($B277="","",INDEX(ChalTitle,$B277))</f>
        <v/>
      </c>
      <c r="G277" s="0" t="str">
        <f aca="false">IF($B277="","",INDEX(ChalLevel,$B277))</f>
        <v/>
      </c>
      <c r="H277" s="0" t="str">
        <f aca="false">IF($B277="","",INDEX(BookFamily,$B277))</f>
        <v/>
      </c>
      <c r="I277" s="0" t="str">
        <f aca="false">IF($B277="","",INDEX(BookWorkerType,$B277))</f>
        <v/>
      </c>
      <c r="J277" s="56" t="str">
        <f aca="false">IF($B277="","",INDEX(ChalEffective,$B277))</f>
        <v/>
      </c>
      <c r="K277" s="0" t="str">
        <f aca="false">IF($B277="","",INDEX(ChalStart,$B277))</f>
        <v/>
      </c>
      <c r="L277" s="57" t="str">
        <f aca="false">IF($B277="","",INDEX(ChalInYear,$B277))</f>
        <v/>
      </c>
      <c r="M277" s="57" t="str">
        <f aca="false">IF($B277="","",INDEX(ChalRunRate,$B277))</f>
        <v/>
      </c>
      <c r="N277" s="0" t="str">
        <f aca="false">IF($B277="","",INDEX(BookDriver,$B277))</f>
        <v/>
      </c>
    </row>
    <row r="278" customFormat="false" ht="15" hidden="false" customHeight="false" outlineLevel="0" collapsed="false">
      <c r="A278" s="33" t="n">
        <v>273</v>
      </c>
      <c r="B278" s="0" t="str">
        <f aca="false">IFERROR(MATCH($A278,ChalSeq,0),"")</f>
        <v/>
      </c>
      <c r="C278" s="0" t="str">
        <f aca="false">IF($B278="","",INDEX(ChalGroup,$B278))</f>
        <v/>
      </c>
      <c r="D278" s="0" t="str">
        <f aca="false">IF($B278="","",INDEX(ChalDivision,$B278))</f>
        <v/>
      </c>
      <c r="E278" s="0" t="str">
        <f aca="false">IF($B278="","",INDEX(ChalUnit,$B278))</f>
        <v/>
      </c>
      <c r="F278" s="0" t="str">
        <f aca="false">IF($B278="","",INDEX(ChalTitle,$B278))</f>
        <v/>
      </c>
      <c r="G278" s="0" t="str">
        <f aca="false">IF($B278="","",INDEX(ChalLevel,$B278))</f>
        <v/>
      </c>
      <c r="H278" s="0" t="str">
        <f aca="false">IF($B278="","",INDEX(BookFamily,$B278))</f>
        <v/>
      </c>
      <c r="I278" s="0" t="str">
        <f aca="false">IF($B278="","",INDEX(BookWorkerType,$B278))</f>
        <v/>
      </c>
      <c r="J278" s="56" t="str">
        <f aca="false">IF($B278="","",INDEX(ChalEffective,$B278))</f>
        <v/>
      </c>
      <c r="K278" s="0" t="str">
        <f aca="false">IF($B278="","",INDEX(ChalStart,$B278))</f>
        <v/>
      </c>
      <c r="L278" s="57" t="str">
        <f aca="false">IF($B278="","",INDEX(ChalInYear,$B278))</f>
        <v/>
      </c>
      <c r="M278" s="57" t="str">
        <f aca="false">IF($B278="","",INDEX(ChalRunRate,$B278))</f>
        <v/>
      </c>
      <c r="N278" s="0" t="str">
        <f aca="false">IF($B278="","",INDEX(BookDriver,$B278))</f>
        <v/>
      </c>
    </row>
    <row r="279" customFormat="false" ht="15" hidden="false" customHeight="false" outlineLevel="0" collapsed="false">
      <c r="A279" s="33" t="n">
        <v>274</v>
      </c>
      <c r="B279" s="0" t="str">
        <f aca="false">IFERROR(MATCH($A279,ChalSeq,0),"")</f>
        <v/>
      </c>
      <c r="C279" s="0" t="str">
        <f aca="false">IF($B279="","",INDEX(ChalGroup,$B279))</f>
        <v/>
      </c>
      <c r="D279" s="0" t="str">
        <f aca="false">IF($B279="","",INDEX(ChalDivision,$B279))</f>
        <v/>
      </c>
      <c r="E279" s="0" t="str">
        <f aca="false">IF($B279="","",INDEX(ChalUnit,$B279))</f>
        <v/>
      </c>
      <c r="F279" s="0" t="str">
        <f aca="false">IF($B279="","",INDEX(ChalTitle,$B279))</f>
        <v/>
      </c>
      <c r="G279" s="0" t="str">
        <f aca="false">IF($B279="","",INDEX(ChalLevel,$B279))</f>
        <v/>
      </c>
      <c r="H279" s="0" t="str">
        <f aca="false">IF($B279="","",INDEX(BookFamily,$B279))</f>
        <v/>
      </c>
      <c r="I279" s="0" t="str">
        <f aca="false">IF($B279="","",INDEX(BookWorkerType,$B279))</f>
        <v/>
      </c>
      <c r="J279" s="56" t="str">
        <f aca="false">IF($B279="","",INDEX(ChalEffective,$B279))</f>
        <v/>
      </c>
      <c r="K279" s="0" t="str">
        <f aca="false">IF($B279="","",INDEX(ChalStart,$B279))</f>
        <v/>
      </c>
      <c r="L279" s="57" t="str">
        <f aca="false">IF($B279="","",INDEX(ChalInYear,$B279))</f>
        <v/>
      </c>
      <c r="M279" s="57" t="str">
        <f aca="false">IF($B279="","",INDEX(ChalRunRate,$B279))</f>
        <v/>
      </c>
      <c r="N279" s="0" t="str">
        <f aca="false">IF($B279="","",INDEX(BookDriver,$B279))</f>
        <v/>
      </c>
    </row>
    <row r="280" customFormat="false" ht="15" hidden="false" customHeight="false" outlineLevel="0" collapsed="false">
      <c r="A280" s="33" t="n">
        <v>275</v>
      </c>
      <c r="B280" s="0" t="str">
        <f aca="false">IFERROR(MATCH($A280,ChalSeq,0),"")</f>
        <v/>
      </c>
      <c r="C280" s="0" t="str">
        <f aca="false">IF($B280="","",INDEX(ChalGroup,$B280))</f>
        <v/>
      </c>
      <c r="D280" s="0" t="str">
        <f aca="false">IF($B280="","",INDEX(ChalDivision,$B280))</f>
        <v/>
      </c>
      <c r="E280" s="0" t="str">
        <f aca="false">IF($B280="","",INDEX(ChalUnit,$B280))</f>
        <v/>
      </c>
      <c r="F280" s="0" t="str">
        <f aca="false">IF($B280="","",INDEX(ChalTitle,$B280))</f>
        <v/>
      </c>
      <c r="G280" s="0" t="str">
        <f aca="false">IF($B280="","",INDEX(ChalLevel,$B280))</f>
        <v/>
      </c>
      <c r="H280" s="0" t="str">
        <f aca="false">IF($B280="","",INDEX(BookFamily,$B280))</f>
        <v/>
      </c>
      <c r="I280" s="0" t="str">
        <f aca="false">IF($B280="","",INDEX(BookWorkerType,$B280))</f>
        <v/>
      </c>
      <c r="J280" s="56" t="str">
        <f aca="false">IF($B280="","",INDEX(ChalEffective,$B280))</f>
        <v/>
      </c>
      <c r="K280" s="0" t="str">
        <f aca="false">IF($B280="","",INDEX(ChalStart,$B280))</f>
        <v/>
      </c>
      <c r="L280" s="57" t="str">
        <f aca="false">IF($B280="","",INDEX(ChalInYear,$B280))</f>
        <v/>
      </c>
      <c r="M280" s="57" t="str">
        <f aca="false">IF($B280="","",INDEX(ChalRunRate,$B280))</f>
        <v/>
      </c>
      <c r="N280" s="0" t="str">
        <f aca="false">IF($B280="","",INDEX(BookDriver,$B280))</f>
        <v/>
      </c>
    </row>
    <row r="281" customFormat="false" ht="15" hidden="false" customHeight="false" outlineLevel="0" collapsed="false">
      <c r="A281" s="33" t="n">
        <v>276</v>
      </c>
      <c r="B281" s="0" t="str">
        <f aca="false">IFERROR(MATCH($A281,ChalSeq,0),"")</f>
        <v/>
      </c>
      <c r="C281" s="0" t="str">
        <f aca="false">IF($B281="","",INDEX(ChalGroup,$B281))</f>
        <v/>
      </c>
      <c r="D281" s="0" t="str">
        <f aca="false">IF($B281="","",INDEX(ChalDivision,$B281))</f>
        <v/>
      </c>
      <c r="E281" s="0" t="str">
        <f aca="false">IF($B281="","",INDEX(ChalUnit,$B281))</f>
        <v/>
      </c>
      <c r="F281" s="0" t="str">
        <f aca="false">IF($B281="","",INDEX(ChalTitle,$B281))</f>
        <v/>
      </c>
      <c r="G281" s="0" t="str">
        <f aca="false">IF($B281="","",INDEX(ChalLevel,$B281))</f>
        <v/>
      </c>
      <c r="H281" s="0" t="str">
        <f aca="false">IF($B281="","",INDEX(BookFamily,$B281))</f>
        <v/>
      </c>
      <c r="I281" s="0" t="str">
        <f aca="false">IF($B281="","",INDEX(BookWorkerType,$B281))</f>
        <v/>
      </c>
      <c r="J281" s="56" t="str">
        <f aca="false">IF($B281="","",INDEX(ChalEffective,$B281))</f>
        <v/>
      </c>
      <c r="K281" s="0" t="str">
        <f aca="false">IF($B281="","",INDEX(ChalStart,$B281))</f>
        <v/>
      </c>
      <c r="L281" s="57" t="str">
        <f aca="false">IF($B281="","",INDEX(ChalInYear,$B281))</f>
        <v/>
      </c>
      <c r="M281" s="57" t="str">
        <f aca="false">IF($B281="","",INDEX(ChalRunRate,$B281))</f>
        <v/>
      </c>
      <c r="N281" s="0" t="str">
        <f aca="false">IF($B281="","",INDEX(BookDriver,$B281))</f>
        <v/>
      </c>
    </row>
    <row r="282" customFormat="false" ht="15" hidden="false" customHeight="false" outlineLevel="0" collapsed="false">
      <c r="A282" s="33" t="n">
        <v>277</v>
      </c>
      <c r="B282" s="0" t="str">
        <f aca="false">IFERROR(MATCH($A282,ChalSeq,0),"")</f>
        <v/>
      </c>
      <c r="C282" s="0" t="str">
        <f aca="false">IF($B282="","",INDEX(ChalGroup,$B282))</f>
        <v/>
      </c>
      <c r="D282" s="0" t="str">
        <f aca="false">IF($B282="","",INDEX(ChalDivision,$B282))</f>
        <v/>
      </c>
      <c r="E282" s="0" t="str">
        <f aca="false">IF($B282="","",INDEX(ChalUnit,$B282))</f>
        <v/>
      </c>
      <c r="F282" s="0" t="str">
        <f aca="false">IF($B282="","",INDEX(ChalTitle,$B282))</f>
        <v/>
      </c>
      <c r="G282" s="0" t="str">
        <f aca="false">IF($B282="","",INDEX(ChalLevel,$B282))</f>
        <v/>
      </c>
      <c r="H282" s="0" t="str">
        <f aca="false">IF($B282="","",INDEX(BookFamily,$B282))</f>
        <v/>
      </c>
      <c r="I282" s="0" t="str">
        <f aca="false">IF($B282="","",INDEX(BookWorkerType,$B282))</f>
        <v/>
      </c>
      <c r="J282" s="56" t="str">
        <f aca="false">IF($B282="","",INDEX(ChalEffective,$B282))</f>
        <v/>
      </c>
      <c r="K282" s="0" t="str">
        <f aca="false">IF($B282="","",INDEX(ChalStart,$B282))</f>
        <v/>
      </c>
      <c r="L282" s="57" t="str">
        <f aca="false">IF($B282="","",INDEX(ChalInYear,$B282))</f>
        <v/>
      </c>
      <c r="M282" s="57" t="str">
        <f aca="false">IF($B282="","",INDEX(ChalRunRate,$B282))</f>
        <v/>
      </c>
      <c r="N282" s="0" t="str">
        <f aca="false">IF($B282="","",INDEX(BookDriver,$B282))</f>
        <v/>
      </c>
    </row>
    <row r="283" customFormat="false" ht="15" hidden="false" customHeight="false" outlineLevel="0" collapsed="false">
      <c r="A283" s="33" t="n">
        <v>278</v>
      </c>
      <c r="B283" s="0" t="str">
        <f aca="false">IFERROR(MATCH($A283,ChalSeq,0),"")</f>
        <v/>
      </c>
      <c r="C283" s="0" t="str">
        <f aca="false">IF($B283="","",INDEX(ChalGroup,$B283))</f>
        <v/>
      </c>
      <c r="D283" s="0" t="str">
        <f aca="false">IF($B283="","",INDEX(ChalDivision,$B283))</f>
        <v/>
      </c>
      <c r="E283" s="0" t="str">
        <f aca="false">IF($B283="","",INDEX(ChalUnit,$B283))</f>
        <v/>
      </c>
      <c r="F283" s="0" t="str">
        <f aca="false">IF($B283="","",INDEX(ChalTitle,$B283))</f>
        <v/>
      </c>
      <c r="G283" s="0" t="str">
        <f aca="false">IF($B283="","",INDEX(ChalLevel,$B283))</f>
        <v/>
      </c>
      <c r="H283" s="0" t="str">
        <f aca="false">IF($B283="","",INDEX(BookFamily,$B283))</f>
        <v/>
      </c>
      <c r="I283" s="0" t="str">
        <f aca="false">IF($B283="","",INDEX(BookWorkerType,$B283))</f>
        <v/>
      </c>
      <c r="J283" s="56" t="str">
        <f aca="false">IF($B283="","",INDEX(ChalEffective,$B283))</f>
        <v/>
      </c>
      <c r="K283" s="0" t="str">
        <f aca="false">IF($B283="","",INDEX(ChalStart,$B283))</f>
        <v/>
      </c>
      <c r="L283" s="57" t="str">
        <f aca="false">IF($B283="","",INDEX(ChalInYear,$B283))</f>
        <v/>
      </c>
      <c r="M283" s="57" t="str">
        <f aca="false">IF($B283="","",INDEX(ChalRunRate,$B283))</f>
        <v/>
      </c>
      <c r="N283" s="0" t="str">
        <f aca="false">IF($B283="","",INDEX(BookDriver,$B283))</f>
        <v/>
      </c>
    </row>
    <row r="284" customFormat="false" ht="15" hidden="false" customHeight="false" outlineLevel="0" collapsed="false">
      <c r="A284" s="33" t="n">
        <v>279</v>
      </c>
      <c r="B284" s="0" t="str">
        <f aca="false">IFERROR(MATCH($A284,ChalSeq,0),"")</f>
        <v/>
      </c>
      <c r="C284" s="0" t="str">
        <f aca="false">IF($B284="","",INDEX(ChalGroup,$B284))</f>
        <v/>
      </c>
      <c r="D284" s="0" t="str">
        <f aca="false">IF($B284="","",INDEX(ChalDivision,$B284))</f>
        <v/>
      </c>
      <c r="E284" s="0" t="str">
        <f aca="false">IF($B284="","",INDEX(ChalUnit,$B284))</f>
        <v/>
      </c>
      <c r="F284" s="0" t="str">
        <f aca="false">IF($B284="","",INDEX(ChalTitle,$B284))</f>
        <v/>
      </c>
      <c r="G284" s="0" t="str">
        <f aca="false">IF($B284="","",INDEX(ChalLevel,$B284))</f>
        <v/>
      </c>
      <c r="H284" s="0" t="str">
        <f aca="false">IF($B284="","",INDEX(BookFamily,$B284))</f>
        <v/>
      </c>
      <c r="I284" s="0" t="str">
        <f aca="false">IF($B284="","",INDEX(BookWorkerType,$B284))</f>
        <v/>
      </c>
      <c r="J284" s="56" t="str">
        <f aca="false">IF($B284="","",INDEX(ChalEffective,$B284))</f>
        <v/>
      </c>
      <c r="K284" s="0" t="str">
        <f aca="false">IF($B284="","",INDEX(ChalStart,$B284))</f>
        <v/>
      </c>
      <c r="L284" s="57" t="str">
        <f aca="false">IF($B284="","",INDEX(ChalInYear,$B284))</f>
        <v/>
      </c>
      <c r="M284" s="57" t="str">
        <f aca="false">IF($B284="","",INDEX(ChalRunRate,$B284))</f>
        <v/>
      </c>
      <c r="N284" s="0" t="str">
        <f aca="false">IF($B284="","",INDEX(BookDriver,$B284))</f>
        <v/>
      </c>
    </row>
    <row r="285" customFormat="false" ht="15" hidden="false" customHeight="false" outlineLevel="0" collapsed="false">
      <c r="A285" s="33" t="n">
        <v>280</v>
      </c>
      <c r="B285" s="0" t="str">
        <f aca="false">IFERROR(MATCH($A285,ChalSeq,0),"")</f>
        <v/>
      </c>
      <c r="C285" s="0" t="str">
        <f aca="false">IF($B285="","",INDEX(ChalGroup,$B285))</f>
        <v/>
      </c>
      <c r="D285" s="0" t="str">
        <f aca="false">IF($B285="","",INDEX(ChalDivision,$B285))</f>
        <v/>
      </c>
      <c r="E285" s="0" t="str">
        <f aca="false">IF($B285="","",INDEX(ChalUnit,$B285))</f>
        <v/>
      </c>
      <c r="F285" s="0" t="str">
        <f aca="false">IF($B285="","",INDEX(ChalTitle,$B285))</f>
        <v/>
      </c>
      <c r="G285" s="0" t="str">
        <f aca="false">IF($B285="","",INDEX(ChalLevel,$B285))</f>
        <v/>
      </c>
      <c r="H285" s="0" t="str">
        <f aca="false">IF($B285="","",INDEX(BookFamily,$B285))</f>
        <v/>
      </c>
      <c r="I285" s="0" t="str">
        <f aca="false">IF($B285="","",INDEX(BookWorkerType,$B285))</f>
        <v/>
      </c>
      <c r="J285" s="56" t="str">
        <f aca="false">IF($B285="","",INDEX(ChalEffective,$B285))</f>
        <v/>
      </c>
      <c r="K285" s="0" t="str">
        <f aca="false">IF($B285="","",INDEX(ChalStart,$B285))</f>
        <v/>
      </c>
      <c r="L285" s="57" t="str">
        <f aca="false">IF($B285="","",INDEX(ChalInYear,$B285))</f>
        <v/>
      </c>
      <c r="M285" s="57" t="str">
        <f aca="false">IF($B285="","",INDEX(ChalRunRate,$B285))</f>
        <v/>
      </c>
      <c r="N285" s="0" t="str">
        <f aca="false">IF($B285="","",INDEX(BookDriver,$B285))</f>
        <v/>
      </c>
    </row>
    <row r="286" customFormat="false" ht="15" hidden="false" customHeight="false" outlineLevel="0" collapsed="false">
      <c r="A286" s="33" t="n">
        <v>281</v>
      </c>
      <c r="B286" s="0" t="str">
        <f aca="false">IFERROR(MATCH($A286,ChalSeq,0),"")</f>
        <v/>
      </c>
      <c r="C286" s="0" t="str">
        <f aca="false">IF($B286="","",INDEX(ChalGroup,$B286))</f>
        <v/>
      </c>
      <c r="D286" s="0" t="str">
        <f aca="false">IF($B286="","",INDEX(ChalDivision,$B286))</f>
        <v/>
      </c>
      <c r="E286" s="0" t="str">
        <f aca="false">IF($B286="","",INDEX(ChalUnit,$B286))</f>
        <v/>
      </c>
      <c r="F286" s="0" t="str">
        <f aca="false">IF($B286="","",INDEX(ChalTitle,$B286))</f>
        <v/>
      </c>
      <c r="G286" s="0" t="str">
        <f aca="false">IF($B286="","",INDEX(ChalLevel,$B286))</f>
        <v/>
      </c>
      <c r="H286" s="0" t="str">
        <f aca="false">IF($B286="","",INDEX(BookFamily,$B286))</f>
        <v/>
      </c>
      <c r="I286" s="0" t="str">
        <f aca="false">IF($B286="","",INDEX(BookWorkerType,$B286))</f>
        <v/>
      </c>
      <c r="J286" s="56" t="str">
        <f aca="false">IF($B286="","",INDEX(ChalEffective,$B286))</f>
        <v/>
      </c>
      <c r="K286" s="0" t="str">
        <f aca="false">IF($B286="","",INDEX(ChalStart,$B286))</f>
        <v/>
      </c>
      <c r="L286" s="57" t="str">
        <f aca="false">IF($B286="","",INDEX(ChalInYear,$B286))</f>
        <v/>
      </c>
      <c r="M286" s="57" t="str">
        <f aca="false">IF($B286="","",INDEX(ChalRunRate,$B286))</f>
        <v/>
      </c>
      <c r="N286" s="0" t="str">
        <f aca="false">IF($B286="","",INDEX(BookDriver,$B286))</f>
        <v/>
      </c>
    </row>
    <row r="287" customFormat="false" ht="15" hidden="false" customHeight="false" outlineLevel="0" collapsed="false">
      <c r="A287" s="33" t="n">
        <v>282</v>
      </c>
      <c r="B287" s="0" t="str">
        <f aca="false">IFERROR(MATCH($A287,ChalSeq,0),"")</f>
        <v/>
      </c>
      <c r="C287" s="0" t="str">
        <f aca="false">IF($B287="","",INDEX(ChalGroup,$B287))</f>
        <v/>
      </c>
      <c r="D287" s="0" t="str">
        <f aca="false">IF($B287="","",INDEX(ChalDivision,$B287))</f>
        <v/>
      </c>
      <c r="E287" s="0" t="str">
        <f aca="false">IF($B287="","",INDEX(ChalUnit,$B287))</f>
        <v/>
      </c>
      <c r="F287" s="0" t="str">
        <f aca="false">IF($B287="","",INDEX(ChalTitle,$B287))</f>
        <v/>
      </c>
      <c r="G287" s="0" t="str">
        <f aca="false">IF($B287="","",INDEX(ChalLevel,$B287))</f>
        <v/>
      </c>
      <c r="H287" s="0" t="str">
        <f aca="false">IF($B287="","",INDEX(BookFamily,$B287))</f>
        <v/>
      </c>
      <c r="I287" s="0" t="str">
        <f aca="false">IF($B287="","",INDEX(BookWorkerType,$B287))</f>
        <v/>
      </c>
      <c r="J287" s="56" t="str">
        <f aca="false">IF($B287="","",INDEX(ChalEffective,$B287))</f>
        <v/>
      </c>
      <c r="K287" s="0" t="str">
        <f aca="false">IF($B287="","",INDEX(ChalStart,$B287))</f>
        <v/>
      </c>
      <c r="L287" s="57" t="str">
        <f aca="false">IF($B287="","",INDEX(ChalInYear,$B287))</f>
        <v/>
      </c>
      <c r="M287" s="57" t="str">
        <f aca="false">IF($B287="","",INDEX(ChalRunRate,$B287))</f>
        <v/>
      </c>
      <c r="N287" s="0" t="str">
        <f aca="false">IF($B287="","",INDEX(BookDriver,$B287))</f>
        <v/>
      </c>
    </row>
    <row r="288" customFormat="false" ht="15" hidden="false" customHeight="false" outlineLevel="0" collapsed="false">
      <c r="A288" s="33" t="n">
        <v>283</v>
      </c>
      <c r="B288" s="0" t="str">
        <f aca="false">IFERROR(MATCH($A288,ChalSeq,0),"")</f>
        <v/>
      </c>
      <c r="C288" s="0" t="str">
        <f aca="false">IF($B288="","",INDEX(ChalGroup,$B288))</f>
        <v/>
      </c>
      <c r="D288" s="0" t="str">
        <f aca="false">IF($B288="","",INDEX(ChalDivision,$B288))</f>
        <v/>
      </c>
      <c r="E288" s="0" t="str">
        <f aca="false">IF($B288="","",INDEX(ChalUnit,$B288))</f>
        <v/>
      </c>
      <c r="F288" s="0" t="str">
        <f aca="false">IF($B288="","",INDEX(ChalTitle,$B288))</f>
        <v/>
      </c>
      <c r="G288" s="0" t="str">
        <f aca="false">IF($B288="","",INDEX(ChalLevel,$B288))</f>
        <v/>
      </c>
      <c r="H288" s="0" t="str">
        <f aca="false">IF($B288="","",INDEX(BookFamily,$B288))</f>
        <v/>
      </c>
      <c r="I288" s="0" t="str">
        <f aca="false">IF($B288="","",INDEX(BookWorkerType,$B288))</f>
        <v/>
      </c>
      <c r="J288" s="56" t="str">
        <f aca="false">IF($B288="","",INDEX(ChalEffective,$B288))</f>
        <v/>
      </c>
      <c r="K288" s="0" t="str">
        <f aca="false">IF($B288="","",INDEX(ChalStart,$B288))</f>
        <v/>
      </c>
      <c r="L288" s="57" t="str">
        <f aca="false">IF($B288="","",INDEX(ChalInYear,$B288))</f>
        <v/>
      </c>
      <c r="M288" s="57" t="str">
        <f aca="false">IF($B288="","",INDEX(ChalRunRate,$B288))</f>
        <v/>
      </c>
      <c r="N288" s="0" t="str">
        <f aca="false">IF($B288="","",INDEX(BookDriver,$B288))</f>
        <v/>
      </c>
    </row>
    <row r="289" customFormat="false" ht="15" hidden="false" customHeight="false" outlineLevel="0" collapsed="false">
      <c r="A289" s="33" t="n">
        <v>284</v>
      </c>
      <c r="B289" s="0" t="str">
        <f aca="false">IFERROR(MATCH($A289,ChalSeq,0),"")</f>
        <v/>
      </c>
      <c r="C289" s="0" t="str">
        <f aca="false">IF($B289="","",INDEX(ChalGroup,$B289))</f>
        <v/>
      </c>
      <c r="D289" s="0" t="str">
        <f aca="false">IF($B289="","",INDEX(ChalDivision,$B289))</f>
        <v/>
      </c>
      <c r="E289" s="0" t="str">
        <f aca="false">IF($B289="","",INDEX(ChalUnit,$B289))</f>
        <v/>
      </c>
      <c r="F289" s="0" t="str">
        <f aca="false">IF($B289="","",INDEX(ChalTitle,$B289))</f>
        <v/>
      </c>
      <c r="G289" s="0" t="str">
        <f aca="false">IF($B289="","",INDEX(ChalLevel,$B289))</f>
        <v/>
      </c>
      <c r="H289" s="0" t="str">
        <f aca="false">IF($B289="","",INDEX(BookFamily,$B289))</f>
        <v/>
      </c>
      <c r="I289" s="0" t="str">
        <f aca="false">IF($B289="","",INDEX(BookWorkerType,$B289))</f>
        <v/>
      </c>
      <c r="J289" s="56" t="str">
        <f aca="false">IF($B289="","",INDEX(ChalEffective,$B289))</f>
        <v/>
      </c>
      <c r="K289" s="0" t="str">
        <f aca="false">IF($B289="","",INDEX(ChalStart,$B289))</f>
        <v/>
      </c>
      <c r="L289" s="57" t="str">
        <f aca="false">IF($B289="","",INDEX(ChalInYear,$B289))</f>
        <v/>
      </c>
      <c r="M289" s="57" t="str">
        <f aca="false">IF($B289="","",INDEX(ChalRunRate,$B289))</f>
        <v/>
      </c>
      <c r="N289" s="0" t="str">
        <f aca="false">IF($B289="","",INDEX(BookDriver,$B289))</f>
        <v/>
      </c>
    </row>
    <row r="290" customFormat="false" ht="15" hidden="false" customHeight="false" outlineLevel="0" collapsed="false">
      <c r="A290" s="33" t="n">
        <v>285</v>
      </c>
      <c r="B290" s="0" t="str">
        <f aca="false">IFERROR(MATCH($A290,ChalSeq,0),"")</f>
        <v/>
      </c>
      <c r="C290" s="0" t="str">
        <f aca="false">IF($B290="","",INDEX(ChalGroup,$B290))</f>
        <v/>
      </c>
      <c r="D290" s="0" t="str">
        <f aca="false">IF($B290="","",INDEX(ChalDivision,$B290))</f>
        <v/>
      </c>
      <c r="E290" s="0" t="str">
        <f aca="false">IF($B290="","",INDEX(ChalUnit,$B290))</f>
        <v/>
      </c>
      <c r="F290" s="0" t="str">
        <f aca="false">IF($B290="","",INDEX(ChalTitle,$B290))</f>
        <v/>
      </c>
      <c r="G290" s="0" t="str">
        <f aca="false">IF($B290="","",INDEX(ChalLevel,$B290))</f>
        <v/>
      </c>
      <c r="H290" s="0" t="str">
        <f aca="false">IF($B290="","",INDEX(BookFamily,$B290))</f>
        <v/>
      </c>
      <c r="I290" s="0" t="str">
        <f aca="false">IF($B290="","",INDEX(BookWorkerType,$B290))</f>
        <v/>
      </c>
      <c r="J290" s="56" t="str">
        <f aca="false">IF($B290="","",INDEX(ChalEffective,$B290))</f>
        <v/>
      </c>
      <c r="K290" s="0" t="str">
        <f aca="false">IF($B290="","",INDEX(ChalStart,$B290))</f>
        <v/>
      </c>
      <c r="L290" s="57" t="str">
        <f aca="false">IF($B290="","",INDEX(ChalInYear,$B290))</f>
        <v/>
      </c>
      <c r="M290" s="57" t="str">
        <f aca="false">IF($B290="","",INDEX(ChalRunRate,$B290))</f>
        <v/>
      </c>
      <c r="N290" s="0" t="str">
        <f aca="false">IF($B290="","",INDEX(BookDriver,$B290))</f>
        <v/>
      </c>
    </row>
    <row r="291" customFormat="false" ht="15" hidden="false" customHeight="false" outlineLevel="0" collapsed="false">
      <c r="A291" s="33" t="n">
        <v>286</v>
      </c>
      <c r="B291" s="0" t="str">
        <f aca="false">IFERROR(MATCH($A291,ChalSeq,0),"")</f>
        <v/>
      </c>
      <c r="C291" s="0" t="str">
        <f aca="false">IF($B291="","",INDEX(ChalGroup,$B291))</f>
        <v/>
      </c>
      <c r="D291" s="0" t="str">
        <f aca="false">IF($B291="","",INDEX(ChalDivision,$B291))</f>
        <v/>
      </c>
      <c r="E291" s="0" t="str">
        <f aca="false">IF($B291="","",INDEX(ChalUnit,$B291))</f>
        <v/>
      </c>
      <c r="F291" s="0" t="str">
        <f aca="false">IF($B291="","",INDEX(ChalTitle,$B291))</f>
        <v/>
      </c>
      <c r="G291" s="0" t="str">
        <f aca="false">IF($B291="","",INDEX(ChalLevel,$B291))</f>
        <v/>
      </c>
      <c r="H291" s="0" t="str">
        <f aca="false">IF($B291="","",INDEX(BookFamily,$B291))</f>
        <v/>
      </c>
      <c r="I291" s="0" t="str">
        <f aca="false">IF($B291="","",INDEX(BookWorkerType,$B291))</f>
        <v/>
      </c>
      <c r="J291" s="56" t="str">
        <f aca="false">IF($B291="","",INDEX(ChalEffective,$B291))</f>
        <v/>
      </c>
      <c r="K291" s="0" t="str">
        <f aca="false">IF($B291="","",INDEX(ChalStart,$B291))</f>
        <v/>
      </c>
      <c r="L291" s="57" t="str">
        <f aca="false">IF($B291="","",INDEX(ChalInYear,$B291))</f>
        <v/>
      </c>
      <c r="M291" s="57" t="str">
        <f aca="false">IF($B291="","",INDEX(ChalRunRate,$B291))</f>
        <v/>
      </c>
      <c r="N291" s="0" t="str">
        <f aca="false">IF($B291="","",INDEX(BookDriver,$B291))</f>
        <v/>
      </c>
    </row>
    <row r="292" customFormat="false" ht="15" hidden="false" customHeight="false" outlineLevel="0" collapsed="false">
      <c r="A292" s="33" t="n">
        <v>287</v>
      </c>
      <c r="B292" s="0" t="str">
        <f aca="false">IFERROR(MATCH($A292,ChalSeq,0),"")</f>
        <v/>
      </c>
      <c r="C292" s="0" t="str">
        <f aca="false">IF($B292="","",INDEX(ChalGroup,$B292))</f>
        <v/>
      </c>
      <c r="D292" s="0" t="str">
        <f aca="false">IF($B292="","",INDEX(ChalDivision,$B292))</f>
        <v/>
      </c>
      <c r="E292" s="0" t="str">
        <f aca="false">IF($B292="","",INDEX(ChalUnit,$B292))</f>
        <v/>
      </c>
      <c r="F292" s="0" t="str">
        <f aca="false">IF($B292="","",INDEX(ChalTitle,$B292))</f>
        <v/>
      </c>
      <c r="G292" s="0" t="str">
        <f aca="false">IF($B292="","",INDEX(ChalLevel,$B292))</f>
        <v/>
      </c>
      <c r="H292" s="0" t="str">
        <f aca="false">IF($B292="","",INDEX(BookFamily,$B292))</f>
        <v/>
      </c>
      <c r="I292" s="0" t="str">
        <f aca="false">IF($B292="","",INDEX(BookWorkerType,$B292))</f>
        <v/>
      </c>
      <c r="J292" s="56" t="str">
        <f aca="false">IF($B292="","",INDEX(ChalEffective,$B292))</f>
        <v/>
      </c>
      <c r="K292" s="0" t="str">
        <f aca="false">IF($B292="","",INDEX(ChalStart,$B292))</f>
        <v/>
      </c>
      <c r="L292" s="57" t="str">
        <f aca="false">IF($B292="","",INDEX(ChalInYear,$B292))</f>
        <v/>
      </c>
      <c r="M292" s="57" t="str">
        <f aca="false">IF($B292="","",INDEX(ChalRunRate,$B292))</f>
        <v/>
      </c>
      <c r="N292" s="0" t="str">
        <f aca="false">IF($B292="","",INDEX(BookDriver,$B292))</f>
        <v/>
      </c>
    </row>
    <row r="293" customFormat="false" ht="15" hidden="false" customHeight="false" outlineLevel="0" collapsed="false">
      <c r="A293" s="33" t="n">
        <v>288</v>
      </c>
      <c r="B293" s="0" t="str">
        <f aca="false">IFERROR(MATCH($A293,ChalSeq,0),"")</f>
        <v/>
      </c>
      <c r="C293" s="0" t="str">
        <f aca="false">IF($B293="","",INDEX(ChalGroup,$B293))</f>
        <v/>
      </c>
      <c r="D293" s="0" t="str">
        <f aca="false">IF($B293="","",INDEX(ChalDivision,$B293))</f>
        <v/>
      </c>
      <c r="E293" s="0" t="str">
        <f aca="false">IF($B293="","",INDEX(ChalUnit,$B293))</f>
        <v/>
      </c>
      <c r="F293" s="0" t="str">
        <f aca="false">IF($B293="","",INDEX(ChalTitle,$B293))</f>
        <v/>
      </c>
      <c r="G293" s="0" t="str">
        <f aca="false">IF($B293="","",INDEX(ChalLevel,$B293))</f>
        <v/>
      </c>
      <c r="H293" s="0" t="str">
        <f aca="false">IF($B293="","",INDEX(BookFamily,$B293))</f>
        <v/>
      </c>
      <c r="I293" s="0" t="str">
        <f aca="false">IF($B293="","",INDEX(BookWorkerType,$B293))</f>
        <v/>
      </c>
      <c r="J293" s="56" t="str">
        <f aca="false">IF($B293="","",INDEX(ChalEffective,$B293))</f>
        <v/>
      </c>
      <c r="K293" s="0" t="str">
        <f aca="false">IF($B293="","",INDEX(ChalStart,$B293))</f>
        <v/>
      </c>
      <c r="L293" s="57" t="str">
        <f aca="false">IF($B293="","",INDEX(ChalInYear,$B293))</f>
        <v/>
      </c>
      <c r="M293" s="57" t="str">
        <f aca="false">IF($B293="","",INDEX(ChalRunRate,$B293))</f>
        <v/>
      </c>
      <c r="N293" s="0" t="str">
        <f aca="false">IF($B293="","",INDEX(BookDriver,$B293))</f>
        <v/>
      </c>
    </row>
    <row r="294" customFormat="false" ht="15" hidden="false" customHeight="false" outlineLevel="0" collapsed="false">
      <c r="A294" s="33" t="n">
        <v>289</v>
      </c>
      <c r="B294" s="0" t="str">
        <f aca="false">IFERROR(MATCH($A294,ChalSeq,0),"")</f>
        <v/>
      </c>
      <c r="C294" s="0" t="str">
        <f aca="false">IF($B294="","",INDEX(ChalGroup,$B294))</f>
        <v/>
      </c>
      <c r="D294" s="0" t="str">
        <f aca="false">IF($B294="","",INDEX(ChalDivision,$B294))</f>
        <v/>
      </c>
      <c r="E294" s="0" t="str">
        <f aca="false">IF($B294="","",INDEX(ChalUnit,$B294))</f>
        <v/>
      </c>
      <c r="F294" s="0" t="str">
        <f aca="false">IF($B294="","",INDEX(ChalTitle,$B294))</f>
        <v/>
      </c>
      <c r="G294" s="0" t="str">
        <f aca="false">IF($B294="","",INDEX(ChalLevel,$B294))</f>
        <v/>
      </c>
      <c r="H294" s="0" t="str">
        <f aca="false">IF($B294="","",INDEX(BookFamily,$B294))</f>
        <v/>
      </c>
      <c r="I294" s="0" t="str">
        <f aca="false">IF($B294="","",INDEX(BookWorkerType,$B294))</f>
        <v/>
      </c>
      <c r="J294" s="56" t="str">
        <f aca="false">IF($B294="","",INDEX(ChalEffective,$B294))</f>
        <v/>
      </c>
      <c r="K294" s="0" t="str">
        <f aca="false">IF($B294="","",INDEX(ChalStart,$B294))</f>
        <v/>
      </c>
      <c r="L294" s="57" t="str">
        <f aca="false">IF($B294="","",INDEX(ChalInYear,$B294))</f>
        <v/>
      </c>
      <c r="M294" s="57" t="str">
        <f aca="false">IF($B294="","",INDEX(ChalRunRate,$B294))</f>
        <v/>
      </c>
      <c r="N294" s="0" t="str">
        <f aca="false">IF($B294="","",INDEX(BookDriver,$B294))</f>
        <v/>
      </c>
    </row>
    <row r="295" customFormat="false" ht="15" hidden="false" customHeight="false" outlineLevel="0" collapsed="false">
      <c r="A295" s="33" t="n">
        <v>290</v>
      </c>
      <c r="B295" s="0" t="str">
        <f aca="false">IFERROR(MATCH($A295,ChalSeq,0),"")</f>
        <v/>
      </c>
      <c r="C295" s="0" t="str">
        <f aca="false">IF($B295="","",INDEX(ChalGroup,$B295))</f>
        <v/>
      </c>
      <c r="D295" s="0" t="str">
        <f aca="false">IF($B295="","",INDEX(ChalDivision,$B295))</f>
        <v/>
      </c>
      <c r="E295" s="0" t="str">
        <f aca="false">IF($B295="","",INDEX(ChalUnit,$B295))</f>
        <v/>
      </c>
      <c r="F295" s="0" t="str">
        <f aca="false">IF($B295="","",INDEX(ChalTitle,$B295))</f>
        <v/>
      </c>
      <c r="G295" s="0" t="str">
        <f aca="false">IF($B295="","",INDEX(ChalLevel,$B295))</f>
        <v/>
      </c>
      <c r="H295" s="0" t="str">
        <f aca="false">IF($B295="","",INDEX(BookFamily,$B295))</f>
        <v/>
      </c>
      <c r="I295" s="0" t="str">
        <f aca="false">IF($B295="","",INDEX(BookWorkerType,$B295))</f>
        <v/>
      </c>
      <c r="J295" s="56" t="str">
        <f aca="false">IF($B295="","",INDEX(ChalEffective,$B295))</f>
        <v/>
      </c>
      <c r="K295" s="0" t="str">
        <f aca="false">IF($B295="","",INDEX(ChalStart,$B295))</f>
        <v/>
      </c>
      <c r="L295" s="57" t="str">
        <f aca="false">IF($B295="","",INDEX(ChalInYear,$B295))</f>
        <v/>
      </c>
      <c r="M295" s="57" t="str">
        <f aca="false">IF($B295="","",INDEX(ChalRunRate,$B295))</f>
        <v/>
      </c>
      <c r="N295" s="0" t="str">
        <f aca="false">IF($B295="","",INDEX(BookDriver,$B295))</f>
        <v/>
      </c>
    </row>
    <row r="296" customFormat="false" ht="15" hidden="false" customHeight="false" outlineLevel="0" collapsed="false">
      <c r="A296" s="33" t="n">
        <v>291</v>
      </c>
      <c r="B296" s="0" t="str">
        <f aca="false">IFERROR(MATCH($A296,ChalSeq,0),"")</f>
        <v/>
      </c>
      <c r="C296" s="0" t="str">
        <f aca="false">IF($B296="","",INDEX(ChalGroup,$B296))</f>
        <v/>
      </c>
      <c r="D296" s="0" t="str">
        <f aca="false">IF($B296="","",INDEX(ChalDivision,$B296))</f>
        <v/>
      </c>
      <c r="E296" s="0" t="str">
        <f aca="false">IF($B296="","",INDEX(ChalUnit,$B296))</f>
        <v/>
      </c>
      <c r="F296" s="0" t="str">
        <f aca="false">IF($B296="","",INDEX(ChalTitle,$B296))</f>
        <v/>
      </c>
      <c r="G296" s="0" t="str">
        <f aca="false">IF($B296="","",INDEX(ChalLevel,$B296))</f>
        <v/>
      </c>
      <c r="H296" s="0" t="str">
        <f aca="false">IF($B296="","",INDEX(BookFamily,$B296))</f>
        <v/>
      </c>
      <c r="I296" s="0" t="str">
        <f aca="false">IF($B296="","",INDEX(BookWorkerType,$B296))</f>
        <v/>
      </c>
      <c r="J296" s="56" t="str">
        <f aca="false">IF($B296="","",INDEX(ChalEffective,$B296))</f>
        <v/>
      </c>
      <c r="K296" s="0" t="str">
        <f aca="false">IF($B296="","",INDEX(ChalStart,$B296))</f>
        <v/>
      </c>
      <c r="L296" s="57" t="str">
        <f aca="false">IF($B296="","",INDEX(ChalInYear,$B296))</f>
        <v/>
      </c>
      <c r="M296" s="57" t="str">
        <f aca="false">IF($B296="","",INDEX(ChalRunRate,$B296))</f>
        <v/>
      </c>
      <c r="N296" s="0" t="str">
        <f aca="false">IF($B296="","",INDEX(BookDriver,$B296))</f>
        <v/>
      </c>
    </row>
    <row r="297" customFormat="false" ht="15" hidden="false" customHeight="false" outlineLevel="0" collapsed="false">
      <c r="A297" s="33" t="n">
        <v>292</v>
      </c>
      <c r="B297" s="0" t="str">
        <f aca="false">IFERROR(MATCH($A297,ChalSeq,0),"")</f>
        <v/>
      </c>
      <c r="C297" s="0" t="str">
        <f aca="false">IF($B297="","",INDEX(ChalGroup,$B297))</f>
        <v/>
      </c>
      <c r="D297" s="0" t="str">
        <f aca="false">IF($B297="","",INDEX(ChalDivision,$B297))</f>
        <v/>
      </c>
      <c r="E297" s="0" t="str">
        <f aca="false">IF($B297="","",INDEX(ChalUnit,$B297))</f>
        <v/>
      </c>
      <c r="F297" s="0" t="str">
        <f aca="false">IF($B297="","",INDEX(ChalTitle,$B297))</f>
        <v/>
      </c>
      <c r="G297" s="0" t="str">
        <f aca="false">IF($B297="","",INDEX(ChalLevel,$B297))</f>
        <v/>
      </c>
      <c r="H297" s="0" t="str">
        <f aca="false">IF($B297="","",INDEX(BookFamily,$B297))</f>
        <v/>
      </c>
      <c r="I297" s="0" t="str">
        <f aca="false">IF($B297="","",INDEX(BookWorkerType,$B297))</f>
        <v/>
      </c>
      <c r="J297" s="56" t="str">
        <f aca="false">IF($B297="","",INDEX(ChalEffective,$B297))</f>
        <v/>
      </c>
      <c r="K297" s="0" t="str">
        <f aca="false">IF($B297="","",INDEX(ChalStart,$B297))</f>
        <v/>
      </c>
      <c r="L297" s="57" t="str">
        <f aca="false">IF($B297="","",INDEX(ChalInYear,$B297))</f>
        <v/>
      </c>
      <c r="M297" s="57" t="str">
        <f aca="false">IF($B297="","",INDEX(ChalRunRate,$B297))</f>
        <v/>
      </c>
      <c r="N297" s="0" t="str">
        <f aca="false">IF($B297="","",INDEX(BookDriver,$B297))</f>
        <v/>
      </c>
    </row>
    <row r="298" customFormat="false" ht="15" hidden="false" customHeight="false" outlineLevel="0" collapsed="false">
      <c r="A298" s="33" t="n">
        <v>293</v>
      </c>
      <c r="B298" s="0" t="str">
        <f aca="false">IFERROR(MATCH($A298,ChalSeq,0),"")</f>
        <v/>
      </c>
      <c r="C298" s="0" t="str">
        <f aca="false">IF($B298="","",INDEX(ChalGroup,$B298))</f>
        <v/>
      </c>
      <c r="D298" s="0" t="str">
        <f aca="false">IF($B298="","",INDEX(ChalDivision,$B298))</f>
        <v/>
      </c>
      <c r="E298" s="0" t="str">
        <f aca="false">IF($B298="","",INDEX(ChalUnit,$B298))</f>
        <v/>
      </c>
      <c r="F298" s="0" t="str">
        <f aca="false">IF($B298="","",INDEX(ChalTitle,$B298))</f>
        <v/>
      </c>
      <c r="G298" s="0" t="str">
        <f aca="false">IF($B298="","",INDEX(ChalLevel,$B298))</f>
        <v/>
      </c>
      <c r="H298" s="0" t="str">
        <f aca="false">IF($B298="","",INDEX(BookFamily,$B298))</f>
        <v/>
      </c>
      <c r="I298" s="0" t="str">
        <f aca="false">IF($B298="","",INDEX(BookWorkerType,$B298))</f>
        <v/>
      </c>
      <c r="J298" s="56" t="str">
        <f aca="false">IF($B298="","",INDEX(ChalEffective,$B298))</f>
        <v/>
      </c>
      <c r="K298" s="0" t="str">
        <f aca="false">IF($B298="","",INDEX(ChalStart,$B298))</f>
        <v/>
      </c>
      <c r="L298" s="57" t="str">
        <f aca="false">IF($B298="","",INDEX(ChalInYear,$B298))</f>
        <v/>
      </c>
      <c r="M298" s="57" t="str">
        <f aca="false">IF($B298="","",INDEX(ChalRunRate,$B298))</f>
        <v/>
      </c>
      <c r="N298" s="0" t="str">
        <f aca="false">IF($B298="","",INDEX(BookDriver,$B298))</f>
        <v/>
      </c>
    </row>
    <row r="299" customFormat="false" ht="15" hidden="false" customHeight="false" outlineLevel="0" collapsed="false">
      <c r="A299" s="33" t="n">
        <v>294</v>
      </c>
      <c r="B299" s="0" t="str">
        <f aca="false">IFERROR(MATCH($A299,ChalSeq,0),"")</f>
        <v/>
      </c>
      <c r="C299" s="0" t="str">
        <f aca="false">IF($B299="","",INDEX(ChalGroup,$B299))</f>
        <v/>
      </c>
      <c r="D299" s="0" t="str">
        <f aca="false">IF($B299="","",INDEX(ChalDivision,$B299))</f>
        <v/>
      </c>
      <c r="E299" s="0" t="str">
        <f aca="false">IF($B299="","",INDEX(ChalUnit,$B299))</f>
        <v/>
      </c>
      <c r="F299" s="0" t="str">
        <f aca="false">IF($B299="","",INDEX(ChalTitle,$B299))</f>
        <v/>
      </c>
      <c r="G299" s="0" t="str">
        <f aca="false">IF($B299="","",INDEX(ChalLevel,$B299))</f>
        <v/>
      </c>
      <c r="H299" s="0" t="str">
        <f aca="false">IF($B299="","",INDEX(BookFamily,$B299))</f>
        <v/>
      </c>
      <c r="I299" s="0" t="str">
        <f aca="false">IF($B299="","",INDEX(BookWorkerType,$B299))</f>
        <v/>
      </c>
      <c r="J299" s="56" t="str">
        <f aca="false">IF($B299="","",INDEX(ChalEffective,$B299))</f>
        <v/>
      </c>
      <c r="K299" s="0" t="str">
        <f aca="false">IF($B299="","",INDEX(ChalStart,$B299))</f>
        <v/>
      </c>
      <c r="L299" s="57" t="str">
        <f aca="false">IF($B299="","",INDEX(ChalInYear,$B299))</f>
        <v/>
      </c>
      <c r="M299" s="57" t="str">
        <f aca="false">IF($B299="","",INDEX(ChalRunRate,$B299))</f>
        <v/>
      </c>
      <c r="N299" s="0" t="str">
        <f aca="false">IF($B299="","",INDEX(BookDriver,$B299))</f>
        <v/>
      </c>
    </row>
    <row r="300" customFormat="false" ht="15" hidden="false" customHeight="false" outlineLevel="0" collapsed="false">
      <c r="A300" s="33" t="n">
        <v>295</v>
      </c>
      <c r="B300" s="0" t="str">
        <f aca="false">IFERROR(MATCH($A300,ChalSeq,0),"")</f>
        <v/>
      </c>
      <c r="C300" s="0" t="str">
        <f aca="false">IF($B300="","",INDEX(ChalGroup,$B300))</f>
        <v/>
      </c>
      <c r="D300" s="0" t="str">
        <f aca="false">IF($B300="","",INDEX(ChalDivision,$B300))</f>
        <v/>
      </c>
      <c r="E300" s="0" t="str">
        <f aca="false">IF($B300="","",INDEX(ChalUnit,$B300))</f>
        <v/>
      </c>
      <c r="F300" s="0" t="str">
        <f aca="false">IF($B300="","",INDEX(ChalTitle,$B300))</f>
        <v/>
      </c>
      <c r="G300" s="0" t="str">
        <f aca="false">IF($B300="","",INDEX(ChalLevel,$B300))</f>
        <v/>
      </c>
      <c r="H300" s="0" t="str">
        <f aca="false">IF($B300="","",INDEX(BookFamily,$B300))</f>
        <v/>
      </c>
      <c r="I300" s="0" t="str">
        <f aca="false">IF($B300="","",INDEX(BookWorkerType,$B300))</f>
        <v/>
      </c>
      <c r="J300" s="56" t="str">
        <f aca="false">IF($B300="","",INDEX(ChalEffective,$B300))</f>
        <v/>
      </c>
      <c r="K300" s="0" t="str">
        <f aca="false">IF($B300="","",INDEX(ChalStart,$B300))</f>
        <v/>
      </c>
      <c r="L300" s="57" t="str">
        <f aca="false">IF($B300="","",INDEX(ChalInYear,$B300))</f>
        <v/>
      </c>
      <c r="M300" s="57" t="str">
        <f aca="false">IF($B300="","",INDEX(ChalRunRate,$B300))</f>
        <v/>
      </c>
      <c r="N300" s="0" t="str">
        <f aca="false">IF($B300="","",INDEX(BookDriver,$B300))</f>
        <v/>
      </c>
    </row>
    <row r="301" customFormat="false" ht="15" hidden="false" customHeight="false" outlineLevel="0" collapsed="false">
      <c r="A301" s="33" t="n">
        <v>296</v>
      </c>
      <c r="B301" s="0" t="str">
        <f aca="false">IFERROR(MATCH($A301,ChalSeq,0),"")</f>
        <v/>
      </c>
      <c r="C301" s="0" t="str">
        <f aca="false">IF($B301="","",INDEX(ChalGroup,$B301))</f>
        <v/>
      </c>
      <c r="D301" s="0" t="str">
        <f aca="false">IF($B301="","",INDEX(ChalDivision,$B301))</f>
        <v/>
      </c>
      <c r="E301" s="0" t="str">
        <f aca="false">IF($B301="","",INDEX(ChalUnit,$B301))</f>
        <v/>
      </c>
      <c r="F301" s="0" t="str">
        <f aca="false">IF($B301="","",INDEX(ChalTitle,$B301))</f>
        <v/>
      </c>
      <c r="G301" s="0" t="str">
        <f aca="false">IF($B301="","",INDEX(ChalLevel,$B301))</f>
        <v/>
      </c>
      <c r="H301" s="0" t="str">
        <f aca="false">IF($B301="","",INDEX(BookFamily,$B301))</f>
        <v/>
      </c>
      <c r="I301" s="0" t="str">
        <f aca="false">IF($B301="","",INDEX(BookWorkerType,$B301))</f>
        <v/>
      </c>
      <c r="J301" s="56" t="str">
        <f aca="false">IF($B301="","",INDEX(ChalEffective,$B301))</f>
        <v/>
      </c>
      <c r="K301" s="0" t="str">
        <f aca="false">IF($B301="","",INDEX(ChalStart,$B301))</f>
        <v/>
      </c>
      <c r="L301" s="57" t="str">
        <f aca="false">IF($B301="","",INDEX(ChalInYear,$B301))</f>
        <v/>
      </c>
      <c r="M301" s="57" t="str">
        <f aca="false">IF($B301="","",INDEX(ChalRunRate,$B301))</f>
        <v/>
      </c>
      <c r="N301" s="0" t="str">
        <f aca="false">IF($B301="","",INDEX(BookDriver,$B301))</f>
        <v/>
      </c>
    </row>
    <row r="302" customFormat="false" ht="15" hidden="false" customHeight="false" outlineLevel="0" collapsed="false">
      <c r="A302" s="33" t="n">
        <v>297</v>
      </c>
      <c r="B302" s="0" t="str">
        <f aca="false">IFERROR(MATCH($A302,ChalSeq,0),"")</f>
        <v/>
      </c>
      <c r="C302" s="0" t="str">
        <f aca="false">IF($B302="","",INDEX(ChalGroup,$B302))</f>
        <v/>
      </c>
      <c r="D302" s="0" t="str">
        <f aca="false">IF($B302="","",INDEX(ChalDivision,$B302))</f>
        <v/>
      </c>
      <c r="E302" s="0" t="str">
        <f aca="false">IF($B302="","",INDEX(ChalUnit,$B302))</f>
        <v/>
      </c>
      <c r="F302" s="0" t="str">
        <f aca="false">IF($B302="","",INDEX(ChalTitle,$B302))</f>
        <v/>
      </c>
      <c r="G302" s="0" t="str">
        <f aca="false">IF($B302="","",INDEX(ChalLevel,$B302))</f>
        <v/>
      </c>
      <c r="H302" s="0" t="str">
        <f aca="false">IF($B302="","",INDEX(BookFamily,$B302))</f>
        <v/>
      </c>
      <c r="I302" s="0" t="str">
        <f aca="false">IF($B302="","",INDEX(BookWorkerType,$B302))</f>
        <v/>
      </c>
      <c r="J302" s="56" t="str">
        <f aca="false">IF($B302="","",INDEX(ChalEffective,$B302))</f>
        <v/>
      </c>
      <c r="K302" s="0" t="str">
        <f aca="false">IF($B302="","",INDEX(ChalStart,$B302))</f>
        <v/>
      </c>
      <c r="L302" s="57" t="str">
        <f aca="false">IF($B302="","",INDEX(ChalInYear,$B302))</f>
        <v/>
      </c>
      <c r="M302" s="57" t="str">
        <f aca="false">IF($B302="","",INDEX(ChalRunRate,$B302))</f>
        <v/>
      </c>
      <c r="N302" s="0" t="str">
        <f aca="false">IF($B302="","",INDEX(BookDriver,$B302))</f>
        <v/>
      </c>
    </row>
    <row r="303" customFormat="false" ht="15" hidden="false" customHeight="false" outlineLevel="0" collapsed="false">
      <c r="A303" s="33" t="n">
        <v>298</v>
      </c>
      <c r="B303" s="0" t="str">
        <f aca="false">IFERROR(MATCH($A303,ChalSeq,0),"")</f>
        <v/>
      </c>
      <c r="C303" s="0" t="str">
        <f aca="false">IF($B303="","",INDEX(ChalGroup,$B303))</f>
        <v/>
      </c>
      <c r="D303" s="0" t="str">
        <f aca="false">IF($B303="","",INDEX(ChalDivision,$B303))</f>
        <v/>
      </c>
      <c r="E303" s="0" t="str">
        <f aca="false">IF($B303="","",INDEX(ChalUnit,$B303))</f>
        <v/>
      </c>
      <c r="F303" s="0" t="str">
        <f aca="false">IF($B303="","",INDEX(ChalTitle,$B303))</f>
        <v/>
      </c>
      <c r="G303" s="0" t="str">
        <f aca="false">IF($B303="","",INDEX(ChalLevel,$B303))</f>
        <v/>
      </c>
      <c r="H303" s="0" t="str">
        <f aca="false">IF($B303="","",INDEX(BookFamily,$B303))</f>
        <v/>
      </c>
      <c r="I303" s="0" t="str">
        <f aca="false">IF($B303="","",INDEX(BookWorkerType,$B303))</f>
        <v/>
      </c>
      <c r="J303" s="56" t="str">
        <f aca="false">IF($B303="","",INDEX(ChalEffective,$B303))</f>
        <v/>
      </c>
      <c r="K303" s="0" t="str">
        <f aca="false">IF($B303="","",INDEX(ChalStart,$B303))</f>
        <v/>
      </c>
      <c r="L303" s="57" t="str">
        <f aca="false">IF($B303="","",INDEX(ChalInYear,$B303))</f>
        <v/>
      </c>
      <c r="M303" s="57" t="str">
        <f aca="false">IF($B303="","",INDEX(ChalRunRate,$B303))</f>
        <v/>
      </c>
      <c r="N303" s="0" t="str">
        <f aca="false">IF($B303="","",INDEX(BookDriver,$B303))</f>
        <v/>
      </c>
    </row>
    <row r="304" customFormat="false" ht="15" hidden="false" customHeight="false" outlineLevel="0" collapsed="false">
      <c r="A304" s="33" t="n">
        <v>299</v>
      </c>
      <c r="B304" s="0" t="str">
        <f aca="false">IFERROR(MATCH($A304,ChalSeq,0),"")</f>
        <v/>
      </c>
      <c r="C304" s="0" t="str">
        <f aca="false">IF($B304="","",INDEX(ChalGroup,$B304))</f>
        <v/>
      </c>
      <c r="D304" s="0" t="str">
        <f aca="false">IF($B304="","",INDEX(ChalDivision,$B304))</f>
        <v/>
      </c>
      <c r="E304" s="0" t="str">
        <f aca="false">IF($B304="","",INDEX(ChalUnit,$B304))</f>
        <v/>
      </c>
      <c r="F304" s="0" t="str">
        <f aca="false">IF($B304="","",INDEX(ChalTitle,$B304))</f>
        <v/>
      </c>
      <c r="G304" s="0" t="str">
        <f aca="false">IF($B304="","",INDEX(ChalLevel,$B304))</f>
        <v/>
      </c>
      <c r="H304" s="0" t="str">
        <f aca="false">IF($B304="","",INDEX(BookFamily,$B304))</f>
        <v/>
      </c>
      <c r="I304" s="0" t="str">
        <f aca="false">IF($B304="","",INDEX(BookWorkerType,$B304))</f>
        <v/>
      </c>
      <c r="J304" s="56" t="str">
        <f aca="false">IF($B304="","",INDEX(ChalEffective,$B304))</f>
        <v/>
      </c>
      <c r="K304" s="0" t="str">
        <f aca="false">IF($B304="","",INDEX(ChalStart,$B304))</f>
        <v/>
      </c>
      <c r="L304" s="57" t="str">
        <f aca="false">IF($B304="","",INDEX(ChalInYear,$B304))</f>
        <v/>
      </c>
      <c r="M304" s="57" t="str">
        <f aca="false">IF($B304="","",INDEX(ChalRunRate,$B304))</f>
        <v/>
      </c>
      <c r="N304" s="0" t="str">
        <f aca="false">IF($B304="","",INDEX(BookDriver,$B304))</f>
        <v/>
      </c>
    </row>
    <row r="305" customFormat="false" ht="15" hidden="false" customHeight="false" outlineLevel="0" collapsed="false">
      <c r="A305" s="33" t="n">
        <v>300</v>
      </c>
      <c r="B305" s="0" t="str">
        <f aca="false">IFERROR(MATCH($A305,ChalSeq,0),"")</f>
        <v/>
      </c>
      <c r="C305" s="0" t="str">
        <f aca="false">IF($B305="","",INDEX(ChalGroup,$B305))</f>
        <v/>
      </c>
      <c r="D305" s="0" t="str">
        <f aca="false">IF($B305="","",INDEX(ChalDivision,$B305))</f>
        <v/>
      </c>
      <c r="E305" s="0" t="str">
        <f aca="false">IF($B305="","",INDEX(ChalUnit,$B305))</f>
        <v/>
      </c>
      <c r="F305" s="0" t="str">
        <f aca="false">IF($B305="","",INDEX(ChalTitle,$B305))</f>
        <v/>
      </c>
      <c r="G305" s="0" t="str">
        <f aca="false">IF($B305="","",INDEX(ChalLevel,$B305))</f>
        <v/>
      </c>
      <c r="H305" s="0" t="str">
        <f aca="false">IF($B305="","",INDEX(BookFamily,$B305))</f>
        <v/>
      </c>
      <c r="I305" s="0" t="str">
        <f aca="false">IF($B305="","",INDEX(BookWorkerType,$B305))</f>
        <v/>
      </c>
      <c r="J305" s="56" t="str">
        <f aca="false">IF($B305="","",INDEX(ChalEffective,$B305))</f>
        <v/>
      </c>
      <c r="K305" s="0" t="str">
        <f aca="false">IF($B305="","",INDEX(ChalStart,$B305))</f>
        <v/>
      </c>
      <c r="L305" s="57" t="str">
        <f aca="false">IF($B305="","",INDEX(ChalInYear,$B305))</f>
        <v/>
      </c>
      <c r="M305" s="57" t="str">
        <f aca="false">IF($B305="","",INDEX(ChalRunRate,$B305))</f>
        <v/>
      </c>
      <c r="N305" s="0" t="str">
        <f aca="false">IF($B305="","",INDEX(BookDriver,$B305))</f>
        <v/>
      </c>
    </row>
    <row r="306" customFormat="false" ht="15" hidden="false" customHeight="false" outlineLevel="0" collapsed="false">
      <c r="A306" s="33" t="n">
        <v>301</v>
      </c>
      <c r="B306" s="0" t="str">
        <f aca="false">IFERROR(MATCH($A306,ChalSeq,0),"")</f>
        <v/>
      </c>
      <c r="C306" s="0" t="str">
        <f aca="false">IF($B306="","",INDEX(ChalGroup,$B306))</f>
        <v/>
      </c>
      <c r="D306" s="0" t="str">
        <f aca="false">IF($B306="","",INDEX(ChalDivision,$B306))</f>
        <v/>
      </c>
      <c r="E306" s="0" t="str">
        <f aca="false">IF($B306="","",INDEX(ChalUnit,$B306))</f>
        <v/>
      </c>
      <c r="F306" s="0" t="str">
        <f aca="false">IF($B306="","",INDEX(ChalTitle,$B306))</f>
        <v/>
      </c>
      <c r="G306" s="0" t="str">
        <f aca="false">IF($B306="","",INDEX(ChalLevel,$B306))</f>
        <v/>
      </c>
      <c r="H306" s="0" t="str">
        <f aca="false">IF($B306="","",INDEX(BookFamily,$B306))</f>
        <v/>
      </c>
      <c r="I306" s="0" t="str">
        <f aca="false">IF($B306="","",INDEX(BookWorkerType,$B306))</f>
        <v/>
      </c>
      <c r="J306" s="56" t="str">
        <f aca="false">IF($B306="","",INDEX(ChalEffective,$B306))</f>
        <v/>
      </c>
      <c r="K306" s="0" t="str">
        <f aca="false">IF($B306="","",INDEX(ChalStart,$B306))</f>
        <v/>
      </c>
      <c r="L306" s="57" t="str">
        <f aca="false">IF($B306="","",INDEX(ChalInYear,$B306))</f>
        <v/>
      </c>
      <c r="M306" s="57" t="str">
        <f aca="false">IF($B306="","",INDEX(ChalRunRate,$B306))</f>
        <v/>
      </c>
      <c r="N306" s="0" t="str">
        <f aca="false">IF($B306="","",INDEX(BookDriver,$B306))</f>
        <v/>
      </c>
    </row>
    <row r="307" customFormat="false" ht="15" hidden="false" customHeight="false" outlineLevel="0" collapsed="false">
      <c r="A307" s="33" t="n">
        <v>302</v>
      </c>
      <c r="B307" s="0" t="str">
        <f aca="false">IFERROR(MATCH($A307,ChalSeq,0),"")</f>
        <v/>
      </c>
      <c r="C307" s="0" t="str">
        <f aca="false">IF($B307="","",INDEX(ChalGroup,$B307))</f>
        <v/>
      </c>
      <c r="D307" s="0" t="str">
        <f aca="false">IF($B307="","",INDEX(ChalDivision,$B307))</f>
        <v/>
      </c>
      <c r="E307" s="0" t="str">
        <f aca="false">IF($B307="","",INDEX(ChalUnit,$B307))</f>
        <v/>
      </c>
      <c r="F307" s="0" t="str">
        <f aca="false">IF($B307="","",INDEX(ChalTitle,$B307))</f>
        <v/>
      </c>
      <c r="G307" s="0" t="str">
        <f aca="false">IF($B307="","",INDEX(ChalLevel,$B307))</f>
        <v/>
      </c>
      <c r="H307" s="0" t="str">
        <f aca="false">IF($B307="","",INDEX(BookFamily,$B307))</f>
        <v/>
      </c>
      <c r="I307" s="0" t="str">
        <f aca="false">IF($B307="","",INDEX(BookWorkerType,$B307))</f>
        <v/>
      </c>
      <c r="J307" s="56" t="str">
        <f aca="false">IF($B307="","",INDEX(ChalEffective,$B307))</f>
        <v/>
      </c>
      <c r="K307" s="0" t="str">
        <f aca="false">IF($B307="","",INDEX(ChalStart,$B307))</f>
        <v/>
      </c>
      <c r="L307" s="57" t="str">
        <f aca="false">IF($B307="","",INDEX(ChalInYear,$B307))</f>
        <v/>
      </c>
      <c r="M307" s="57" t="str">
        <f aca="false">IF($B307="","",INDEX(ChalRunRate,$B307))</f>
        <v/>
      </c>
      <c r="N307" s="0" t="str">
        <f aca="false">IF($B307="","",INDEX(BookDriver,$B307))</f>
        <v/>
      </c>
    </row>
    <row r="308" customFormat="false" ht="15" hidden="false" customHeight="false" outlineLevel="0" collapsed="false">
      <c r="A308" s="33" t="n">
        <v>303</v>
      </c>
      <c r="B308" s="0" t="str">
        <f aca="false">IFERROR(MATCH($A308,ChalSeq,0),"")</f>
        <v/>
      </c>
      <c r="C308" s="0" t="str">
        <f aca="false">IF($B308="","",INDEX(ChalGroup,$B308))</f>
        <v/>
      </c>
      <c r="D308" s="0" t="str">
        <f aca="false">IF($B308="","",INDEX(ChalDivision,$B308))</f>
        <v/>
      </c>
      <c r="E308" s="0" t="str">
        <f aca="false">IF($B308="","",INDEX(ChalUnit,$B308))</f>
        <v/>
      </c>
      <c r="F308" s="0" t="str">
        <f aca="false">IF($B308="","",INDEX(ChalTitle,$B308))</f>
        <v/>
      </c>
      <c r="G308" s="0" t="str">
        <f aca="false">IF($B308="","",INDEX(ChalLevel,$B308))</f>
        <v/>
      </c>
      <c r="H308" s="0" t="str">
        <f aca="false">IF($B308="","",INDEX(BookFamily,$B308))</f>
        <v/>
      </c>
      <c r="I308" s="0" t="str">
        <f aca="false">IF($B308="","",INDEX(BookWorkerType,$B308))</f>
        <v/>
      </c>
      <c r="J308" s="56" t="str">
        <f aca="false">IF($B308="","",INDEX(ChalEffective,$B308))</f>
        <v/>
      </c>
      <c r="K308" s="0" t="str">
        <f aca="false">IF($B308="","",INDEX(ChalStart,$B308))</f>
        <v/>
      </c>
      <c r="L308" s="57" t="str">
        <f aca="false">IF($B308="","",INDEX(ChalInYear,$B308))</f>
        <v/>
      </c>
      <c r="M308" s="57" t="str">
        <f aca="false">IF($B308="","",INDEX(ChalRunRate,$B308))</f>
        <v/>
      </c>
      <c r="N308" s="0" t="str">
        <f aca="false">IF($B308="","",INDEX(BookDriver,$B308))</f>
        <v/>
      </c>
    </row>
    <row r="309" customFormat="false" ht="15" hidden="false" customHeight="false" outlineLevel="0" collapsed="false">
      <c r="A309" s="33" t="n">
        <v>304</v>
      </c>
      <c r="B309" s="0" t="str">
        <f aca="false">IFERROR(MATCH($A309,ChalSeq,0),"")</f>
        <v/>
      </c>
      <c r="C309" s="0" t="str">
        <f aca="false">IF($B309="","",INDEX(ChalGroup,$B309))</f>
        <v/>
      </c>
      <c r="D309" s="0" t="str">
        <f aca="false">IF($B309="","",INDEX(ChalDivision,$B309))</f>
        <v/>
      </c>
      <c r="E309" s="0" t="str">
        <f aca="false">IF($B309="","",INDEX(ChalUnit,$B309))</f>
        <v/>
      </c>
      <c r="F309" s="0" t="str">
        <f aca="false">IF($B309="","",INDEX(ChalTitle,$B309))</f>
        <v/>
      </c>
      <c r="G309" s="0" t="str">
        <f aca="false">IF($B309="","",INDEX(ChalLevel,$B309))</f>
        <v/>
      </c>
      <c r="H309" s="0" t="str">
        <f aca="false">IF($B309="","",INDEX(BookFamily,$B309))</f>
        <v/>
      </c>
      <c r="I309" s="0" t="str">
        <f aca="false">IF($B309="","",INDEX(BookWorkerType,$B309))</f>
        <v/>
      </c>
      <c r="J309" s="56" t="str">
        <f aca="false">IF($B309="","",INDEX(ChalEffective,$B309))</f>
        <v/>
      </c>
      <c r="K309" s="0" t="str">
        <f aca="false">IF($B309="","",INDEX(ChalStart,$B309))</f>
        <v/>
      </c>
      <c r="L309" s="57" t="str">
        <f aca="false">IF($B309="","",INDEX(ChalInYear,$B309))</f>
        <v/>
      </c>
      <c r="M309" s="57" t="str">
        <f aca="false">IF($B309="","",INDEX(ChalRunRate,$B309))</f>
        <v/>
      </c>
      <c r="N309" s="0" t="str">
        <f aca="false">IF($B309="","",INDEX(BookDriver,$B309))</f>
        <v/>
      </c>
    </row>
    <row r="310" customFormat="false" ht="15" hidden="false" customHeight="false" outlineLevel="0" collapsed="false">
      <c r="A310" s="33" t="n">
        <v>305</v>
      </c>
      <c r="B310" s="0" t="str">
        <f aca="false">IFERROR(MATCH($A310,ChalSeq,0),"")</f>
        <v/>
      </c>
      <c r="C310" s="0" t="str">
        <f aca="false">IF($B310="","",INDEX(ChalGroup,$B310))</f>
        <v/>
      </c>
      <c r="D310" s="0" t="str">
        <f aca="false">IF($B310="","",INDEX(ChalDivision,$B310))</f>
        <v/>
      </c>
      <c r="E310" s="0" t="str">
        <f aca="false">IF($B310="","",INDEX(ChalUnit,$B310))</f>
        <v/>
      </c>
      <c r="F310" s="0" t="str">
        <f aca="false">IF($B310="","",INDEX(ChalTitle,$B310))</f>
        <v/>
      </c>
      <c r="G310" s="0" t="str">
        <f aca="false">IF($B310="","",INDEX(ChalLevel,$B310))</f>
        <v/>
      </c>
      <c r="H310" s="0" t="str">
        <f aca="false">IF($B310="","",INDEX(BookFamily,$B310))</f>
        <v/>
      </c>
      <c r="I310" s="0" t="str">
        <f aca="false">IF($B310="","",INDEX(BookWorkerType,$B310))</f>
        <v/>
      </c>
      <c r="J310" s="56" t="str">
        <f aca="false">IF($B310="","",INDEX(ChalEffective,$B310))</f>
        <v/>
      </c>
      <c r="K310" s="0" t="str">
        <f aca="false">IF($B310="","",INDEX(ChalStart,$B310))</f>
        <v/>
      </c>
      <c r="L310" s="57" t="str">
        <f aca="false">IF($B310="","",INDEX(ChalInYear,$B310))</f>
        <v/>
      </c>
      <c r="M310" s="57" t="str">
        <f aca="false">IF($B310="","",INDEX(ChalRunRate,$B310))</f>
        <v/>
      </c>
      <c r="N310" s="0" t="str">
        <f aca="false">IF($B310="","",INDEX(BookDriver,$B310))</f>
        <v/>
      </c>
    </row>
    <row r="311" customFormat="false" ht="15" hidden="false" customHeight="false" outlineLevel="0" collapsed="false">
      <c r="A311" s="33" t="n">
        <v>306</v>
      </c>
      <c r="B311" s="0" t="str">
        <f aca="false">IFERROR(MATCH($A311,ChalSeq,0),"")</f>
        <v/>
      </c>
      <c r="C311" s="0" t="str">
        <f aca="false">IF($B311="","",INDEX(ChalGroup,$B311))</f>
        <v/>
      </c>
      <c r="D311" s="0" t="str">
        <f aca="false">IF($B311="","",INDEX(ChalDivision,$B311))</f>
        <v/>
      </c>
      <c r="E311" s="0" t="str">
        <f aca="false">IF($B311="","",INDEX(ChalUnit,$B311))</f>
        <v/>
      </c>
      <c r="F311" s="0" t="str">
        <f aca="false">IF($B311="","",INDEX(ChalTitle,$B311))</f>
        <v/>
      </c>
      <c r="G311" s="0" t="str">
        <f aca="false">IF($B311="","",INDEX(ChalLevel,$B311))</f>
        <v/>
      </c>
      <c r="H311" s="0" t="str">
        <f aca="false">IF($B311="","",INDEX(BookFamily,$B311))</f>
        <v/>
      </c>
      <c r="I311" s="0" t="str">
        <f aca="false">IF($B311="","",INDEX(BookWorkerType,$B311))</f>
        <v/>
      </c>
      <c r="J311" s="56" t="str">
        <f aca="false">IF($B311="","",INDEX(ChalEffective,$B311))</f>
        <v/>
      </c>
      <c r="K311" s="0" t="str">
        <f aca="false">IF($B311="","",INDEX(ChalStart,$B311))</f>
        <v/>
      </c>
      <c r="L311" s="57" t="str">
        <f aca="false">IF($B311="","",INDEX(ChalInYear,$B311))</f>
        <v/>
      </c>
      <c r="M311" s="57" t="str">
        <f aca="false">IF($B311="","",INDEX(ChalRunRate,$B311))</f>
        <v/>
      </c>
      <c r="N311" s="0" t="str">
        <f aca="false">IF($B311="","",INDEX(BookDriver,$B311))</f>
        <v/>
      </c>
    </row>
    <row r="312" customFormat="false" ht="15" hidden="false" customHeight="false" outlineLevel="0" collapsed="false">
      <c r="A312" s="33" t="n">
        <v>307</v>
      </c>
      <c r="B312" s="0" t="str">
        <f aca="false">IFERROR(MATCH($A312,ChalSeq,0),"")</f>
        <v/>
      </c>
      <c r="C312" s="0" t="str">
        <f aca="false">IF($B312="","",INDEX(ChalGroup,$B312))</f>
        <v/>
      </c>
      <c r="D312" s="0" t="str">
        <f aca="false">IF($B312="","",INDEX(ChalDivision,$B312))</f>
        <v/>
      </c>
      <c r="E312" s="0" t="str">
        <f aca="false">IF($B312="","",INDEX(ChalUnit,$B312))</f>
        <v/>
      </c>
      <c r="F312" s="0" t="str">
        <f aca="false">IF($B312="","",INDEX(ChalTitle,$B312))</f>
        <v/>
      </c>
      <c r="G312" s="0" t="str">
        <f aca="false">IF($B312="","",INDEX(ChalLevel,$B312))</f>
        <v/>
      </c>
      <c r="H312" s="0" t="str">
        <f aca="false">IF($B312="","",INDEX(BookFamily,$B312))</f>
        <v/>
      </c>
      <c r="I312" s="0" t="str">
        <f aca="false">IF($B312="","",INDEX(BookWorkerType,$B312))</f>
        <v/>
      </c>
      <c r="J312" s="56" t="str">
        <f aca="false">IF($B312="","",INDEX(ChalEffective,$B312))</f>
        <v/>
      </c>
      <c r="K312" s="0" t="str">
        <f aca="false">IF($B312="","",INDEX(ChalStart,$B312))</f>
        <v/>
      </c>
      <c r="L312" s="57" t="str">
        <f aca="false">IF($B312="","",INDEX(ChalInYear,$B312))</f>
        <v/>
      </c>
      <c r="M312" s="57" t="str">
        <f aca="false">IF($B312="","",INDEX(ChalRunRate,$B312))</f>
        <v/>
      </c>
      <c r="N312" s="0" t="str">
        <f aca="false">IF($B312="","",INDEX(BookDriver,$B312))</f>
        <v/>
      </c>
    </row>
    <row r="313" customFormat="false" ht="15" hidden="false" customHeight="false" outlineLevel="0" collapsed="false">
      <c r="A313" s="33" t="n">
        <v>308</v>
      </c>
      <c r="B313" s="0" t="str">
        <f aca="false">IFERROR(MATCH($A313,ChalSeq,0),"")</f>
        <v/>
      </c>
      <c r="C313" s="0" t="str">
        <f aca="false">IF($B313="","",INDEX(ChalGroup,$B313))</f>
        <v/>
      </c>
      <c r="D313" s="0" t="str">
        <f aca="false">IF($B313="","",INDEX(ChalDivision,$B313))</f>
        <v/>
      </c>
      <c r="E313" s="0" t="str">
        <f aca="false">IF($B313="","",INDEX(ChalUnit,$B313))</f>
        <v/>
      </c>
      <c r="F313" s="0" t="str">
        <f aca="false">IF($B313="","",INDEX(ChalTitle,$B313))</f>
        <v/>
      </c>
      <c r="G313" s="0" t="str">
        <f aca="false">IF($B313="","",INDEX(ChalLevel,$B313))</f>
        <v/>
      </c>
      <c r="H313" s="0" t="str">
        <f aca="false">IF($B313="","",INDEX(BookFamily,$B313))</f>
        <v/>
      </c>
      <c r="I313" s="0" t="str">
        <f aca="false">IF($B313="","",INDEX(BookWorkerType,$B313))</f>
        <v/>
      </c>
      <c r="J313" s="56" t="str">
        <f aca="false">IF($B313="","",INDEX(ChalEffective,$B313))</f>
        <v/>
      </c>
      <c r="K313" s="0" t="str">
        <f aca="false">IF($B313="","",INDEX(ChalStart,$B313))</f>
        <v/>
      </c>
      <c r="L313" s="57" t="str">
        <f aca="false">IF($B313="","",INDEX(ChalInYear,$B313))</f>
        <v/>
      </c>
      <c r="M313" s="57" t="str">
        <f aca="false">IF($B313="","",INDEX(ChalRunRate,$B313))</f>
        <v/>
      </c>
      <c r="N313" s="0" t="str">
        <f aca="false">IF($B313="","",INDEX(BookDriver,$B313))</f>
        <v/>
      </c>
    </row>
    <row r="314" customFormat="false" ht="15" hidden="false" customHeight="false" outlineLevel="0" collapsed="false">
      <c r="A314" s="33" t="n">
        <v>309</v>
      </c>
      <c r="B314" s="0" t="str">
        <f aca="false">IFERROR(MATCH($A314,ChalSeq,0),"")</f>
        <v/>
      </c>
      <c r="C314" s="0" t="str">
        <f aca="false">IF($B314="","",INDEX(ChalGroup,$B314))</f>
        <v/>
      </c>
      <c r="D314" s="0" t="str">
        <f aca="false">IF($B314="","",INDEX(ChalDivision,$B314))</f>
        <v/>
      </c>
      <c r="E314" s="0" t="str">
        <f aca="false">IF($B314="","",INDEX(ChalUnit,$B314))</f>
        <v/>
      </c>
      <c r="F314" s="0" t="str">
        <f aca="false">IF($B314="","",INDEX(ChalTitle,$B314))</f>
        <v/>
      </c>
      <c r="G314" s="0" t="str">
        <f aca="false">IF($B314="","",INDEX(ChalLevel,$B314))</f>
        <v/>
      </c>
      <c r="H314" s="0" t="str">
        <f aca="false">IF($B314="","",INDEX(BookFamily,$B314))</f>
        <v/>
      </c>
      <c r="I314" s="0" t="str">
        <f aca="false">IF($B314="","",INDEX(BookWorkerType,$B314))</f>
        <v/>
      </c>
      <c r="J314" s="56" t="str">
        <f aca="false">IF($B314="","",INDEX(ChalEffective,$B314))</f>
        <v/>
      </c>
      <c r="K314" s="0" t="str">
        <f aca="false">IF($B314="","",INDEX(ChalStart,$B314))</f>
        <v/>
      </c>
      <c r="L314" s="57" t="str">
        <f aca="false">IF($B314="","",INDEX(ChalInYear,$B314))</f>
        <v/>
      </c>
      <c r="M314" s="57" t="str">
        <f aca="false">IF($B314="","",INDEX(ChalRunRate,$B314))</f>
        <v/>
      </c>
      <c r="N314" s="0" t="str">
        <f aca="false">IF($B314="","",INDEX(BookDriver,$B314))</f>
        <v/>
      </c>
    </row>
    <row r="315" customFormat="false" ht="15" hidden="false" customHeight="false" outlineLevel="0" collapsed="false">
      <c r="A315" s="33" t="n">
        <v>310</v>
      </c>
      <c r="B315" s="0" t="str">
        <f aca="false">IFERROR(MATCH($A315,ChalSeq,0),"")</f>
        <v/>
      </c>
      <c r="C315" s="0" t="str">
        <f aca="false">IF($B315="","",INDEX(ChalGroup,$B315))</f>
        <v/>
      </c>
      <c r="D315" s="0" t="str">
        <f aca="false">IF($B315="","",INDEX(ChalDivision,$B315))</f>
        <v/>
      </c>
      <c r="E315" s="0" t="str">
        <f aca="false">IF($B315="","",INDEX(ChalUnit,$B315))</f>
        <v/>
      </c>
      <c r="F315" s="0" t="str">
        <f aca="false">IF($B315="","",INDEX(ChalTitle,$B315))</f>
        <v/>
      </c>
      <c r="G315" s="0" t="str">
        <f aca="false">IF($B315="","",INDEX(ChalLevel,$B315))</f>
        <v/>
      </c>
      <c r="H315" s="0" t="str">
        <f aca="false">IF($B315="","",INDEX(BookFamily,$B315))</f>
        <v/>
      </c>
      <c r="I315" s="0" t="str">
        <f aca="false">IF($B315="","",INDEX(BookWorkerType,$B315))</f>
        <v/>
      </c>
      <c r="J315" s="56" t="str">
        <f aca="false">IF($B315="","",INDEX(ChalEffective,$B315))</f>
        <v/>
      </c>
      <c r="K315" s="0" t="str">
        <f aca="false">IF($B315="","",INDEX(ChalStart,$B315))</f>
        <v/>
      </c>
      <c r="L315" s="57" t="str">
        <f aca="false">IF($B315="","",INDEX(ChalInYear,$B315))</f>
        <v/>
      </c>
      <c r="M315" s="57" t="str">
        <f aca="false">IF($B315="","",INDEX(ChalRunRate,$B315))</f>
        <v/>
      </c>
      <c r="N315" s="0" t="str">
        <f aca="false">IF($B315="","",INDEX(BookDriver,$B315))</f>
        <v/>
      </c>
    </row>
    <row r="316" customFormat="false" ht="15" hidden="false" customHeight="false" outlineLevel="0" collapsed="false">
      <c r="A316" s="33" t="n">
        <v>311</v>
      </c>
      <c r="B316" s="0" t="str">
        <f aca="false">IFERROR(MATCH($A316,ChalSeq,0),"")</f>
        <v/>
      </c>
      <c r="C316" s="0" t="str">
        <f aca="false">IF($B316="","",INDEX(ChalGroup,$B316))</f>
        <v/>
      </c>
      <c r="D316" s="0" t="str">
        <f aca="false">IF($B316="","",INDEX(ChalDivision,$B316))</f>
        <v/>
      </c>
      <c r="E316" s="0" t="str">
        <f aca="false">IF($B316="","",INDEX(ChalUnit,$B316))</f>
        <v/>
      </c>
      <c r="F316" s="0" t="str">
        <f aca="false">IF($B316="","",INDEX(ChalTitle,$B316))</f>
        <v/>
      </c>
      <c r="G316" s="0" t="str">
        <f aca="false">IF($B316="","",INDEX(ChalLevel,$B316))</f>
        <v/>
      </c>
      <c r="H316" s="0" t="str">
        <f aca="false">IF($B316="","",INDEX(BookFamily,$B316))</f>
        <v/>
      </c>
      <c r="I316" s="0" t="str">
        <f aca="false">IF($B316="","",INDEX(BookWorkerType,$B316))</f>
        <v/>
      </c>
      <c r="J316" s="56" t="str">
        <f aca="false">IF($B316="","",INDEX(ChalEffective,$B316))</f>
        <v/>
      </c>
      <c r="K316" s="0" t="str">
        <f aca="false">IF($B316="","",INDEX(ChalStart,$B316))</f>
        <v/>
      </c>
      <c r="L316" s="57" t="str">
        <f aca="false">IF($B316="","",INDEX(ChalInYear,$B316))</f>
        <v/>
      </c>
      <c r="M316" s="57" t="str">
        <f aca="false">IF($B316="","",INDEX(ChalRunRate,$B316))</f>
        <v/>
      </c>
      <c r="N316" s="0" t="str">
        <f aca="false">IF($B316="","",INDEX(BookDriver,$B316))</f>
        <v/>
      </c>
    </row>
    <row r="317" customFormat="false" ht="15" hidden="false" customHeight="false" outlineLevel="0" collapsed="false">
      <c r="A317" s="33" t="n">
        <v>312</v>
      </c>
      <c r="B317" s="0" t="str">
        <f aca="false">IFERROR(MATCH($A317,ChalSeq,0),"")</f>
        <v/>
      </c>
      <c r="C317" s="0" t="str">
        <f aca="false">IF($B317="","",INDEX(ChalGroup,$B317))</f>
        <v/>
      </c>
      <c r="D317" s="0" t="str">
        <f aca="false">IF($B317="","",INDEX(ChalDivision,$B317))</f>
        <v/>
      </c>
      <c r="E317" s="0" t="str">
        <f aca="false">IF($B317="","",INDEX(ChalUnit,$B317))</f>
        <v/>
      </c>
      <c r="F317" s="0" t="str">
        <f aca="false">IF($B317="","",INDEX(ChalTitle,$B317))</f>
        <v/>
      </c>
      <c r="G317" s="0" t="str">
        <f aca="false">IF($B317="","",INDEX(ChalLevel,$B317))</f>
        <v/>
      </c>
      <c r="H317" s="0" t="str">
        <f aca="false">IF($B317="","",INDEX(BookFamily,$B317))</f>
        <v/>
      </c>
      <c r="I317" s="0" t="str">
        <f aca="false">IF($B317="","",INDEX(BookWorkerType,$B317))</f>
        <v/>
      </c>
      <c r="J317" s="56" t="str">
        <f aca="false">IF($B317="","",INDEX(ChalEffective,$B317))</f>
        <v/>
      </c>
      <c r="K317" s="0" t="str">
        <f aca="false">IF($B317="","",INDEX(ChalStart,$B317))</f>
        <v/>
      </c>
      <c r="L317" s="57" t="str">
        <f aca="false">IF($B317="","",INDEX(ChalInYear,$B317))</f>
        <v/>
      </c>
      <c r="M317" s="57" t="str">
        <f aca="false">IF($B317="","",INDEX(ChalRunRate,$B317))</f>
        <v/>
      </c>
      <c r="N317" s="0" t="str">
        <f aca="false">IF($B317="","",INDEX(BookDriver,$B317))</f>
        <v/>
      </c>
    </row>
    <row r="318" customFormat="false" ht="15" hidden="false" customHeight="false" outlineLevel="0" collapsed="false">
      <c r="A318" s="33" t="n">
        <v>313</v>
      </c>
      <c r="B318" s="0" t="str">
        <f aca="false">IFERROR(MATCH($A318,ChalSeq,0),"")</f>
        <v/>
      </c>
      <c r="C318" s="0" t="str">
        <f aca="false">IF($B318="","",INDEX(ChalGroup,$B318))</f>
        <v/>
      </c>
      <c r="D318" s="0" t="str">
        <f aca="false">IF($B318="","",INDEX(ChalDivision,$B318))</f>
        <v/>
      </c>
      <c r="E318" s="0" t="str">
        <f aca="false">IF($B318="","",INDEX(ChalUnit,$B318))</f>
        <v/>
      </c>
      <c r="F318" s="0" t="str">
        <f aca="false">IF($B318="","",INDEX(ChalTitle,$B318))</f>
        <v/>
      </c>
      <c r="G318" s="0" t="str">
        <f aca="false">IF($B318="","",INDEX(ChalLevel,$B318))</f>
        <v/>
      </c>
      <c r="H318" s="0" t="str">
        <f aca="false">IF($B318="","",INDEX(BookFamily,$B318))</f>
        <v/>
      </c>
      <c r="I318" s="0" t="str">
        <f aca="false">IF($B318="","",INDEX(BookWorkerType,$B318))</f>
        <v/>
      </c>
      <c r="J318" s="56" t="str">
        <f aca="false">IF($B318="","",INDEX(ChalEffective,$B318))</f>
        <v/>
      </c>
      <c r="K318" s="0" t="str">
        <f aca="false">IF($B318="","",INDEX(ChalStart,$B318))</f>
        <v/>
      </c>
      <c r="L318" s="57" t="str">
        <f aca="false">IF($B318="","",INDEX(ChalInYear,$B318))</f>
        <v/>
      </c>
      <c r="M318" s="57" t="str">
        <f aca="false">IF($B318="","",INDEX(ChalRunRate,$B318))</f>
        <v/>
      </c>
      <c r="N318" s="0" t="str">
        <f aca="false">IF($B318="","",INDEX(BookDriver,$B318))</f>
        <v/>
      </c>
    </row>
    <row r="319" customFormat="false" ht="15" hidden="false" customHeight="false" outlineLevel="0" collapsed="false">
      <c r="A319" s="33" t="n">
        <v>314</v>
      </c>
      <c r="B319" s="0" t="str">
        <f aca="false">IFERROR(MATCH($A319,ChalSeq,0),"")</f>
        <v/>
      </c>
      <c r="C319" s="0" t="str">
        <f aca="false">IF($B319="","",INDEX(ChalGroup,$B319))</f>
        <v/>
      </c>
      <c r="D319" s="0" t="str">
        <f aca="false">IF($B319="","",INDEX(ChalDivision,$B319))</f>
        <v/>
      </c>
      <c r="E319" s="0" t="str">
        <f aca="false">IF($B319="","",INDEX(ChalUnit,$B319))</f>
        <v/>
      </c>
      <c r="F319" s="0" t="str">
        <f aca="false">IF($B319="","",INDEX(ChalTitle,$B319))</f>
        <v/>
      </c>
      <c r="G319" s="0" t="str">
        <f aca="false">IF($B319="","",INDEX(ChalLevel,$B319))</f>
        <v/>
      </c>
      <c r="H319" s="0" t="str">
        <f aca="false">IF($B319="","",INDEX(BookFamily,$B319))</f>
        <v/>
      </c>
      <c r="I319" s="0" t="str">
        <f aca="false">IF($B319="","",INDEX(BookWorkerType,$B319))</f>
        <v/>
      </c>
      <c r="J319" s="56" t="str">
        <f aca="false">IF($B319="","",INDEX(ChalEffective,$B319))</f>
        <v/>
      </c>
      <c r="K319" s="0" t="str">
        <f aca="false">IF($B319="","",INDEX(ChalStart,$B319))</f>
        <v/>
      </c>
      <c r="L319" s="57" t="str">
        <f aca="false">IF($B319="","",INDEX(ChalInYear,$B319))</f>
        <v/>
      </c>
      <c r="M319" s="57" t="str">
        <f aca="false">IF($B319="","",INDEX(ChalRunRate,$B319))</f>
        <v/>
      </c>
      <c r="N319" s="0" t="str">
        <f aca="false">IF($B319="","",INDEX(BookDriver,$B319))</f>
        <v/>
      </c>
    </row>
    <row r="320" customFormat="false" ht="15" hidden="false" customHeight="false" outlineLevel="0" collapsed="false">
      <c r="A320" s="33" t="n">
        <v>315</v>
      </c>
      <c r="B320" s="0" t="str">
        <f aca="false">IFERROR(MATCH($A320,ChalSeq,0),"")</f>
        <v/>
      </c>
      <c r="C320" s="0" t="str">
        <f aca="false">IF($B320="","",INDEX(ChalGroup,$B320))</f>
        <v/>
      </c>
      <c r="D320" s="0" t="str">
        <f aca="false">IF($B320="","",INDEX(ChalDivision,$B320))</f>
        <v/>
      </c>
      <c r="E320" s="0" t="str">
        <f aca="false">IF($B320="","",INDEX(ChalUnit,$B320))</f>
        <v/>
      </c>
      <c r="F320" s="0" t="str">
        <f aca="false">IF($B320="","",INDEX(ChalTitle,$B320))</f>
        <v/>
      </c>
      <c r="G320" s="0" t="str">
        <f aca="false">IF($B320="","",INDEX(ChalLevel,$B320))</f>
        <v/>
      </c>
      <c r="H320" s="0" t="str">
        <f aca="false">IF($B320="","",INDEX(BookFamily,$B320))</f>
        <v/>
      </c>
      <c r="I320" s="0" t="str">
        <f aca="false">IF($B320="","",INDEX(BookWorkerType,$B320))</f>
        <v/>
      </c>
      <c r="J320" s="56" t="str">
        <f aca="false">IF($B320="","",INDEX(ChalEffective,$B320))</f>
        <v/>
      </c>
      <c r="K320" s="0" t="str">
        <f aca="false">IF($B320="","",INDEX(ChalStart,$B320))</f>
        <v/>
      </c>
      <c r="L320" s="57" t="str">
        <f aca="false">IF($B320="","",INDEX(ChalInYear,$B320))</f>
        <v/>
      </c>
      <c r="M320" s="57" t="str">
        <f aca="false">IF($B320="","",INDEX(ChalRunRate,$B320))</f>
        <v/>
      </c>
      <c r="N320" s="0" t="str">
        <f aca="false">IF($B320="","",INDEX(BookDriver,$B320))</f>
        <v/>
      </c>
    </row>
    <row r="321" customFormat="false" ht="15" hidden="false" customHeight="false" outlineLevel="0" collapsed="false">
      <c r="A321" s="33" t="n">
        <v>316</v>
      </c>
      <c r="B321" s="0" t="str">
        <f aca="false">IFERROR(MATCH($A321,ChalSeq,0),"")</f>
        <v/>
      </c>
      <c r="C321" s="0" t="str">
        <f aca="false">IF($B321="","",INDEX(ChalGroup,$B321))</f>
        <v/>
      </c>
      <c r="D321" s="0" t="str">
        <f aca="false">IF($B321="","",INDEX(ChalDivision,$B321))</f>
        <v/>
      </c>
      <c r="E321" s="0" t="str">
        <f aca="false">IF($B321="","",INDEX(ChalUnit,$B321))</f>
        <v/>
      </c>
      <c r="F321" s="0" t="str">
        <f aca="false">IF($B321="","",INDEX(ChalTitle,$B321))</f>
        <v/>
      </c>
      <c r="G321" s="0" t="str">
        <f aca="false">IF($B321="","",INDEX(ChalLevel,$B321))</f>
        <v/>
      </c>
      <c r="H321" s="0" t="str">
        <f aca="false">IF($B321="","",INDEX(BookFamily,$B321))</f>
        <v/>
      </c>
      <c r="I321" s="0" t="str">
        <f aca="false">IF($B321="","",INDEX(BookWorkerType,$B321))</f>
        <v/>
      </c>
      <c r="J321" s="56" t="str">
        <f aca="false">IF($B321="","",INDEX(ChalEffective,$B321))</f>
        <v/>
      </c>
      <c r="K321" s="0" t="str">
        <f aca="false">IF($B321="","",INDEX(ChalStart,$B321))</f>
        <v/>
      </c>
      <c r="L321" s="57" t="str">
        <f aca="false">IF($B321="","",INDEX(ChalInYear,$B321))</f>
        <v/>
      </c>
      <c r="M321" s="57" t="str">
        <f aca="false">IF($B321="","",INDEX(ChalRunRate,$B321))</f>
        <v/>
      </c>
      <c r="N321" s="0" t="str">
        <f aca="false">IF($B321="","",INDEX(BookDriver,$B321))</f>
        <v/>
      </c>
    </row>
    <row r="322" customFormat="false" ht="15" hidden="false" customHeight="false" outlineLevel="0" collapsed="false">
      <c r="A322" s="33" t="n">
        <v>317</v>
      </c>
      <c r="B322" s="0" t="str">
        <f aca="false">IFERROR(MATCH($A322,ChalSeq,0),"")</f>
        <v/>
      </c>
      <c r="C322" s="0" t="str">
        <f aca="false">IF($B322="","",INDEX(ChalGroup,$B322))</f>
        <v/>
      </c>
      <c r="D322" s="0" t="str">
        <f aca="false">IF($B322="","",INDEX(ChalDivision,$B322))</f>
        <v/>
      </c>
      <c r="E322" s="0" t="str">
        <f aca="false">IF($B322="","",INDEX(ChalUnit,$B322))</f>
        <v/>
      </c>
      <c r="F322" s="0" t="str">
        <f aca="false">IF($B322="","",INDEX(ChalTitle,$B322))</f>
        <v/>
      </c>
      <c r="G322" s="0" t="str">
        <f aca="false">IF($B322="","",INDEX(ChalLevel,$B322))</f>
        <v/>
      </c>
      <c r="H322" s="0" t="str">
        <f aca="false">IF($B322="","",INDEX(BookFamily,$B322))</f>
        <v/>
      </c>
      <c r="I322" s="0" t="str">
        <f aca="false">IF($B322="","",INDEX(BookWorkerType,$B322))</f>
        <v/>
      </c>
      <c r="J322" s="56" t="str">
        <f aca="false">IF($B322="","",INDEX(ChalEffective,$B322))</f>
        <v/>
      </c>
      <c r="K322" s="0" t="str">
        <f aca="false">IF($B322="","",INDEX(ChalStart,$B322))</f>
        <v/>
      </c>
      <c r="L322" s="57" t="str">
        <f aca="false">IF($B322="","",INDEX(ChalInYear,$B322))</f>
        <v/>
      </c>
      <c r="M322" s="57" t="str">
        <f aca="false">IF($B322="","",INDEX(ChalRunRate,$B322))</f>
        <v/>
      </c>
      <c r="N322" s="0" t="str">
        <f aca="false">IF($B322="","",INDEX(BookDriver,$B322))</f>
        <v/>
      </c>
    </row>
    <row r="323" customFormat="false" ht="15" hidden="false" customHeight="false" outlineLevel="0" collapsed="false">
      <c r="A323" s="33" t="n">
        <v>318</v>
      </c>
      <c r="B323" s="0" t="str">
        <f aca="false">IFERROR(MATCH($A323,ChalSeq,0),"")</f>
        <v/>
      </c>
      <c r="C323" s="0" t="str">
        <f aca="false">IF($B323="","",INDEX(ChalGroup,$B323))</f>
        <v/>
      </c>
      <c r="D323" s="0" t="str">
        <f aca="false">IF($B323="","",INDEX(ChalDivision,$B323))</f>
        <v/>
      </c>
      <c r="E323" s="0" t="str">
        <f aca="false">IF($B323="","",INDEX(ChalUnit,$B323))</f>
        <v/>
      </c>
      <c r="F323" s="0" t="str">
        <f aca="false">IF($B323="","",INDEX(ChalTitle,$B323))</f>
        <v/>
      </c>
      <c r="G323" s="0" t="str">
        <f aca="false">IF($B323="","",INDEX(ChalLevel,$B323))</f>
        <v/>
      </c>
      <c r="H323" s="0" t="str">
        <f aca="false">IF($B323="","",INDEX(BookFamily,$B323))</f>
        <v/>
      </c>
      <c r="I323" s="0" t="str">
        <f aca="false">IF($B323="","",INDEX(BookWorkerType,$B323))</f>
        <v/>
      </c>
      <c r="J323" s="56" t="str">
        <f aca="false">IF($B323="","",INDEX(ChalEffective,$B323))</f>
        <v/>
      </c>
      <c r="K323" s="0" t="str">
        <f aca="false">IF($B323="","",INDEX(ChalStart,$B323))</f>
        <v/>
      </c>
      <c r="L323" s="57" t="str">
        <f aca="false">IF($B323="","",INDEX(ChalInYear,$B323))</f>
        <v/>
      </c>
      <c r="M323" s="57" t="str">
        <f aca="false">IF($B323="","",INDEX(ChalRunRate,$B323))</f>
        <v/>
      </c>
      <c r="N323" s="0" t="str">
        <f aca="false">IF($B323="","",INDEX(BookDriver,$B323))</f>
        <v/>
      </c>
    </row>
    <row r="324" customFormat="false" ht="15" hidden="false" customHeight="false" outlineLevel="0" collapsed="false">
      <c r="A324" s="33" t="n">
        <v>319</v>
      </c>
      <c r="B324" s="0" t="str">
        <f aca="false">IFERROR(MATCH($A324,ChalSeq,0),"")</f>
        <v/>
      </c>
      <c r="C324" s="0" t="str">
        <f aca="false">IF($B324="","",INDEX(ChalGroup,$B324))</f>
        <v/>
      </c>
      <c r="D324" s="0" t="str">
        <f aca="false">IF($B324="","",INDEX(ChalDivision,$B324))</f>
        <v/>
      </c>
      <c r="E324" s="0" t="str">
        <f aca="false">IF($B324="","",INDEX(ChalUnit,$B324))</f>
        <v/>
      </c>
      <c r="F324" s="0" t="str">
        <f aca="false">IF($B324="","",INDEX(ChalTitle,$B324))</f>
        <v/>
      </c>
      <c r="G324" s="0" t="str">
        <f aca="false">IF($B324="","",INDEX(ChalLevel,$B324))</f>
        <v/>
      </c>
      <c r="H324" s="0" t="str">
        <f aca="false">IF($B324="","",INDEX(BookFamily,$B324))</f>
        <v/>
      </c>
      <c r="I324" s="0" t="str">
        <f aca="false">IF($B324="","",INDEX(BookWorkerType,$B324))</f>
        <v/>
      </c>
      <c r="J324" s="56" t="str">
        <f aca="false">IF($B324="","",INDEX(ChalEffective,$B324))</f>
        <v/>
      </c>
      <c r="K324" s="0" t="str">
        <f aca="false">IF($B324="","",INDEX(ChalStart,$B324))</f>
        <v/>
      </c>
      <c r="L324" s="57" t="str">
        <f aca="false">IF($B324="","",INDEX(ChalInYear,$B324))</f>
        <v/>
      </c>
      <c r="M324" s="57" t="str">
        <f aca="false">IF($B324="","",INDEX(ChalRunRate,$B324))</f>
        <v/>
      </c>
      <c r="N324" s="0" t="str">
        <f aca="false">IF($B324="","",INDEX(BookDriver,$B324))</f>
        <v/>
      </c>
    </row>
    <row r="325" customFormat="false" ht="15" hidden="false" customHeight="false" outlineLevel="0" collapsed="false">
      <c r="A325" s="33" t="n">
        <v>320</v>
      </c>
      <c r="B325" s="0" t="str">
        <f aca="false">IFERROR(MATCH($A325,ChalSeq,0),"")</f>
        <v/>
      </c>
      <c r="C325" s="0" t="str">
        <f aca="false">IF($B325="","",INDEX(ChalGroup,$B325))</f>
        <v/>
      </c>
      <c r="D325" s="0" t="str">
        <f aca="false">IF($B325="","",INDEX(ChalDivision,$B325))</f>
        <v/>
      </c>
      <c r="E325" s="0" t="str">
        <f aca="false">IF($B325="","",INDEX(ChalUnit,$B325))</f>
        <v/>
      </c>
      <c r="F325" s="0" t="str">
        <f aca="false">IF($B325="","",INDEX(ChalTitle,$B325))</f>
        <v/>
      </c>
      <c r="G325" s="0" t="str">
        <f aca="false">IF($B325="","",INDEX(ChalLevel,$B325))</f>
        <v/>
      </c>
      <c r="H325" s="0" t="str">
        <f aca="false">IF($B325="","",INDEX(BookFamily,$B325))</f>
        <v/>
      </c>
      <c r="I325" s="0" t="str">
        <f aca="false">IF($B325="","",INDEX(BookWorkerType,$B325))</f>
        <v/>
      </c>
      <c r="J325" s="56" t="str">
        <f aca="false">IF($B325="","",INDEX(ChalEffective,$B325))</f>
        <v/>
      </c>
      <c r="K325" s="0" t="str">
        <f aca="false">IF($B325="","",INDEX(ChalStart,$B325))</f>
        <v/>
      </c>
      <c r="L325" s="57" t="str">
        <f aca="false">IF($B325="","",INDEX(ChalInYear,$B325))</f>
        <v/>
      </c>
      <c r="M325" s="57" t="str">
        <f aca="false">IF($B325="","",INDEX(ChalRunRate,$B325))</f>
        <v/>
      </c>
      <c r="N325" s="0" t="str">
        <f aca="false">IF($B325="","",INDEX(BookDriver,$B325))</f>
        <v/>
      </c>
    </row>
    <row r="326" customFormat="false" ht="15" hidden="false" customHeight="false" outlineLevel="0" collapsed="false">
      <c r="A326" s="33" t="n">
        <v>321</v>
      </c>
      <c r="B326" s="0" t="str">
        <f aca="false">IFERROR(MATCH($A326,ChalSeq,0),"")</f>
        <v/>
      </c>
      <c r="C326" s="0" t="str">
        <f aca="false">IF($B326="","",INDEX(ChalGroup,$B326))</f>
        <v/>
      </c>
      <c r="D326" s="0" t="str">
        <f aca="false">IF($B326="","",INDEX(ChalDivision,$B326))</f>
        <v/>
      </c>
      <c r="E326" s="0" t="str">
        <f aca="false">IF($B326="","",INDEX(ChalUnit,$B326))</f>
        <v/>
      </c>
      <c r="F326" s="0" t="str">
        <f aca="false">IF($B326="","",INDEX(ChalTitle,$B326))</f>
        <v/>
      </c>
      <c r="G326" s="0" t="str">
        <f aca="false">IF($B326="","",INDEX(ChalLevel,$B326))</f>
        <v/>
      </c>
      <c r="H326" s="0" t="str">
        <f aca="false">IF($B326="","",INDEX(BookFamily,$B326))</f>
        <v/>
      </c>
      <c r="I326" s="0" t="str">
        <f aca="false">IF($B326="","",INDEX(BookWorkerType,$B326))</f>
        <v/>
      </c>
      <c r="J326" s="56" t="str">
        <f aca="false">IF($B326="","",INDEX(ChalEffective,$B326))</f>
        <v/>
      </c>
      <c r="K326" s="0" t="str">
        <f aca="false">IF($B326="","",INDEX(ChalStart,$B326))</f>
        <v/>
      </c>
      <c r="L326" s="57" t="str">
        <f aca="false">IF($B326="","",INDEX(ChalInYear,$B326))</f>
        <v/>
      </c>
      <c r="M326" s="57" t="str">
        <f aca="false">IF($B326="","",INDEX(ChalRunRate,$B326))</f>
        <v/>
      </c>
      <c r="N326" s="0" t="str">
        <f aca="false">IF($B326="","",INDEX(BookDriver,$B326))</f>
        <v/>
      </c>
    </row>
    <row r="327" customFormat="false" ht="15" hidden="false" customHeight="false" outlineLevel="0" collapsed="false">
      <c r="A327" s="33" t="n">
        <v>322</v>
      </c>
      <c r="B327" s="0" t="str">
        <f aca="false">IFERROR(MATCH($A327,ChalSeq,0),"")</f>
        <v/>
      </c>
      <c r="C327" s="0" t="str">
        <f aca="false">IF($B327="","",INDEX(ChalGroup,$B327))</f>
        <v/>
      </c>
      <c r="D327" s="0" t="str">
        <f aca="false">IF($B327="","",INDEX(ChalDivision,$B327))</f>
        <v/>
      </c>
      <c r="E327" s="0" t="str">
        <f aca="false">IF($B327="","",INDEX(ChalUnit,$B327))</f>
        <v/>
      </c>
      <c r="F327" s="0" t="str">
        <f aca="false">IF($B327="","",INDEX(ChalTitle,$B327))</f>
        <v/>
      </c>
      <c r="G327" s="0" t="str">
        <f aca="false">IF($B327="","",INDEX(ChalLevel,$B327))</f>
        <v/>
      </c>
      <c r="H327" s="0" t="str">
        <f aca="false">IF($B327="","",INDEX(BookFamily,$B327))</f>
        <v/>
      </c>
      <c r="I327" s="0" t="str">
        <f aca="false">IF($B327="","",INDEX(BookWorkerType,$B327))</f>
        <v/>
      </c>
      <c r="J327" s="56" t="str">
        <f aca="false">IF($B327="","",INDEX(ChalEffective,$B327))</f>
        <v/>
      </c>
      <c r="K327" s="0" t="str">
        <f aca="false">IF($B327="","",INDEX(ChalStart,$B327))</f>
        <v/>
      </c>
      <c r="L327" s="57" t="str">
        <f aca="false">IF($B327="","",INDEX(ChalInYear,$B327))</f>
        <v/>
      </c>
      <c r="M327" s="57" t="str">
        <f aca="false">IF($B327="","",INDEX(ChalRunRate,$B327))</f>
        <v/>
      </c>
      <c r="N327" s="0" t="str">
        <f aca="false">IF($B327="","",INDEX(BookDriver,$B327))</f>
        <v/>
      </c>
    </row>
    <row r="328" customFormat="false" ht="15" hidden="false" customHeight="false" outlineLevel="0" collapsed="false">
      <c r="A328" s="33" t="n">
        <v>323</v>
      </c>
      <c r="B328" s="0" t="str">
        <f aca="false">IFERROR(MATCH($A328,ChalSeq,0),"")</f>
        <v/>
      </c>
      <c r="C328" s="0" t="str">
        <f aca="false">IF($B328="","",INDEX(ChalGroup,$B328))</f>
        <v/>
      </c>
      <c r="D328" s="0" t="str">
        <f aca="false">IF($B328="","",INDEX(ChalDivision,$B328))</f>
        <v/>
      </c>
      <c r="E328" s="0" t="str">
        <f aca="false">IF($B328="","",INDEX(ChalUnit,$B328))</f>
        <v/>
      </c>
      <c r="F328" s="0" t="str">
        <f aca="false">IF($B328="","",INDEX(ChalTitle,$B328))</f>
        <v/>
      </c>
      <c r="G328" s="0" t="str">
        <f aca="false">IF($B328="","",INDEX(ChalLevel,$B328))</f>
        <v/>
      </c>
      <c r="H328" s="0" t="str">
        <f aca="false">IF($B328="","",INDEX(BookFamily,$B328))</f>
        <v/>
      </c>
      <c r="I328" s="0" t="str">
        <f aca="false">IF($B328="","",INDEX(BookWorkerType,$B328))</f>
        <v/>
      </c>
      <c r="J328" s="56" t="str">
        <f aca="false">IF($B328="","",INDEX(ChalEffective,$B328))</f>
        <v/>
      </c>
      <c r="K328" s="0" t="str">
        <f aca="false">IF($B328="","",INDEX(ChalStart,$B328))</f>
        <v/>
      </c>
      <c r="L328" s="57" t="str">
        <f aca="false">IF($B328="","",INDEX(ChalInYear,$B328))</f>
        <v/>
      </c>
      <c r="M328" s="57" t="str">
        <f aca="false">IF($B328="","",INDEX(ChalRunRate,$B328))</f>
        <v/>
      </c>
      <c r="N328" s="0" t="str">
        <f aca="false">IF($B328="","",INDEX(BookDriver,$B328))</f>
        <v/>
      </c>
    </row>
    <row r="329" customFormat="false" ht="15" hidden="false" customHeight="false" outlineLevel="0" collapsed="false">
      <c r="A329" s="33" t="n">
        <v>324</v>
      </c>
      <c r="B329" s="0" t="str">
        <f aca="false">IFERROR(MATCH($A329,ChalSeq,0),"")</f>
        <v/>
      </c>
      <c r="C329" s="0" t="str">
        <f aca="false">IF($B329="","",INDEX(ChalGroup,$B329))</f>
        <v/>
      </c>
      <c r="D329" s="0" t="str">
        <f aca="false">IF($B329="","",INDEX(ChalDivision,$B329))</f>
        <v/>
      </c>
      <c r="E329" s="0" t="str">
        <f aca="false">IF($B329="","",INDEX(ChalUnit,$B329))</f>
        <v/>
      </c>
      <c r="F329" s="0" t="str">
        <f aca="false">IF($B329="","",INDEX(ChalTitle,$B329))</f>
        <v/>
      </c>
      <c r="G329" s="0" t="str">
        <f aca="false">IF($B329="","",INDEX(ChalLevel,$B329))</f>
        <v/>
      </c>
      <c r="H329" s="0" t="str">
        <f aca="false">IF($B329="","",INDEX(BookFamily,$B329))</f>
        <v/>
      </c>
      <c r="I329" s="0" t="str">
        <f aca="false">IF($B329="","",INDEX(BookWorkerType,$B329))</f>
        <v/>
      </c>
      <c r="J329" s="56" t="str">
        <f aca="false">IF($B329="","",INDEX(ChalEffective,$B329))</f>
        <v/>
      </c>
      <c r="K329" s="0" t="str">
        <f aca="false">IF($B329="","",INDEX(ChalStart,$B329))</f>
        <v/>
      </c>
      <c r="L329" s="57" t="str">
        <f aca="false">IF($B329="","",INDEX(ChalInYear,$B329))</f>
        <v/>
      </c>
      <c r="M329" s="57" t="str">
        <f aca="false">IF($B329="","",INDEX(ChalRunRate,$B329))</f>
        <v/>
      </c>
      <c r="N329" s="0" t="str">
        <f aca="false">IF($B329="","",INDEX(BookDriver,$B329))</f>
        <v/>
      </c>
    </row>
    <row r="330" customFormat="false" ht="15" hidden="false" customHeight="false" outlineLevel="0" collapsed="false">
      <c r="A330" s="33" t="n">
        <v>325</v>
      </c>
      <c r="B330" s="0" t="str">
        <f aca="false">IFERROR(MATCH($A330,ChalSeq,0),"")</f>
        <v/>
      </c>
      <c r="C330" s="0" t="str">
        <f aca="false">IF($B330="","",INDEX(ChalGroup,$B330))</f>
        <v/>
      </c>
      <c r="D330" s="0" t="str">
        <f aca="false">IF($B330="","",INDEX(ChalDivision,$B330))</f>
        <v/>
      </c>
      <c r="E330" s="0" t="str">
        <f aca="false">IF($B330="","",INDEX(ChalUnit,$B330))</f>
        <v/>
      </c>
      <c r="F330" s="0" t="str">
        <f aca="false">IF($B330="","",INDEX(ChalTitle,$B330))</f>
        <v/>
      </c>
      <c r="G330" s="0" t="str">
        <f aca="false">IF($B330="","",INDEX(ChalLevel,$B330))</f>
        <v/>
      </c>
      <c r="H330" s="0" t="str">
        <f aca="false">IF($B330="","",INDEX(BookFamily,$B330))</f>
        <v/>
      </c>
      <c r="I330" s="0" t="str">
        <f aca="false">IF($B330="","",INDEX(BookWorkerType,$B330))</f>
        <v/>
      </c>
      <c r="J330" s="56" t="str">
        <f aca="false">IF($B330="","",INDEX(ChalEffective,$B330))</f>
        <v/>
      </c>
      <c r="K330" s="0" t="str">
        <f aca="false">IF($B330="","",INDEX(ChalStart,$B330))</f>
        <v/>
      </c>
      <c r="L330" s="57" t="str">
        <f aca="false">IF($B330="","",INDEX(ChalInYear,$B330))</f>
        <v/>
      </c>
      <c r="M330" s="57" t="str">
        <f aca="false">IF($B330="","",INDEX(ChalRunRate,$B330))</f>
        <v/>
      </c>
      <c r="N330" s="0" t="str">
        <f aca="false">IF($B330="","",INDEX(BookDriver,$B330))</f>
        <v/>
      </c>
    </row>
    <row r="331" customFormat="false" ht="15" hidden="false" customHeight="false" outlineLevel="0" collapsed="false">
      <c r="A331" s="33" t="n">
        <v>326</v>
      </c>
      <c r="B331" s="0" t="str">
        <f aca="false">IFERROR(MATCH($A331,ChalSeq,0),"")</f>
        <v/>
      </c>
      <c r="C331" s="0" t="str">
        <f aca="false">IF($B331="","",INDEX(ChalGroup,$B331))</f>
        <v/>
      </c>
      <c r="D331" s="0" t="str">
        <f aca="false">IF($B331="","",INDEX(ChalDivision,$B331))</f>
        <v/>
      </c>
      <c r="E331" s="0" t="str">
        <f aca="false">IF($B331="","",INDEX(ChalUnit,$B331))</f>
        <v/>
      </c>
      <c r="F331" s="0" t="str">
        <f aca="false">IF($B331="","",INDEX(ChalTitle,$B331))</f>
        <v/>
      </c>
      <c r="G331" s="0" t="str">
        <f aca="false">IF($B331="","",INDEX(ChalLevel,$B331))</f>
        <v/>
      </c>
      <c r="H331" s="0" t="str">
        <f aca="false">IF($B331="","",INDEX(BookFamily,$B331))</f>
        <v/>
      </c>
      <c r="I331" s="0" t="str">
        <f aca="false">IF($B331="","",INDEX(BookWorkerType,$B331))</f>
        <v/>
      </c>
      <c r="J331" s="56" t="str">
        <f aca="false">IF($B331="","",INDEX(ChalEffective,$B331))</f>
        <v/>
      </c>
      <c r="K331" s="0" t="str">
        <f aca="false">IF($B331="","",INDEX(ChalStart,$B331))</f>
        <v/>
      </c>
      <c r="L331" s="57" t="str">
        <f aca="false">IF($B331="","",INDEX(ChalInYear,$B331))</f>
        <v/>
      </c>
      <c r="M331" s="57" t="str">
        <f aca="false">IF($B331="","",INDEX(ChalRunRate,$B331))</f>
        <v/>
      </c>
      <c r="N331" s="0" t="str">
        <f aca="false">IF($B331="","",INDEX(BookDriver,$B331))</f>
        <v/>
      </c>
    </row>
    <row r="332" customFormat="false" ht="15" hidden="false" customHeight="false" outlineLevel="0" collapsed="false">
      <c r="A332" s="33" t="n">
        <v>327</v>
      </c>
      <c r="B332" s="0" t="str">
        <f aca="false">IFERROR(MATCH($A332,ChalSeq,0),"")</f>
        <v/>
      </c>
      <c r="C332" s="0" t="str">
        <f aca="false">IF($B332="","",INDEX(ChalGroup,$B332))</f>
        <v/>
      </c>
      <c r="D332" s="0" t="str">
        <f aca="false">IF($B332="","",INDEX(ChalDivision,$B332))</f>
        <v/>
      </c>
      <c r="E332" s="0" t="str">
        <f aca="false">IF($B332="","",INDEX(ChalUnit,$B332))</f>
        <v/>
      </c>
      <c r="F332" s="0" t="str">
        <f aca="false">IF($B332="","",INDEX(ChalTitle,$B332))</f>
        <v/>
      </c>
      <c r="G332" s="0" t="str">
        <f aca="false">IF($B332="","",INDEX(ChalLevel,$B332))</f>
        <v/>
      </c>
      <c r="H332" s="0" t="str">
        <f aca="false">IF($B332="","",INDEX(BookFamily,$B332))</f>
        <v/>
      </c>
      <c r="I332" s="0" t="str">
        <f aca="false">IF($B332="","",INDEX(BookWorkerType,$B332))</f>
        <v/>
      </c>
      <c r="J332" s="56" t="str">
        <f aca="false">IF($B332="","",INDEX(ChalEffective,$B332))</f>
        <v/>
      </c>
      <c r="K332" s="0" t="str">
        <f aca="false">IF($B332="","",INDEX(ChalStart,$B332))</f>
        <v/>
      </c>
      <c r="L332" s="57" t="str">
        <f aca="false">IF($B332="","",INDEX(ChalInYear,$B332))</f>
        <v/>
      </c>
      <c r="M332" s="57" t="str">
        <f aca="false">IF($B332="","",INDEX(ChalRunRate,$B332))</f>
        <v/>
      </c>
      <c r="N332" s="0" t="str">
        <f aca="false">IF($B332="","",INDEX(BookDriver,$B332))</f>
        <v/>
      </c>
    </row>
    <row r="333" customFormat="false" ht="15" hidden="false" customHeight="false" outlineLevel="0" collapsed="false">
      <c r="A333" s="33" t="n">
        <v>328</v>
      </c>
      <c r="B333" s="0" t="str">
        <f aca="false">IFERROR(MATCH($A333,ChalSeq,0),"")</f>
        <v/>
      </c>
      <c r="C333" s="0" t="str">
        <f aca="false">IF($B333="","",INDEX(ChalGroup,$B333))</f>
        <v/>
      </c>
      <c r="D333" s="0" t="str">
        <f aca="false">IF($B333="","",INDEX(ChalDivision,$B333))</f>
        <v/>
      </c>
      <c r="E333" s="0" t="str">
        <f aca="false">IF($B333="","",INDEX(ChalUnit,$B333))</f>
        <v/>
      </c>
      <c r="F333" s="0" t="str">
        <f aca="false">IF($B333="","",INDEX(ChalTitle,$B333))</f>
        <v/>
      </c>
      <c r="G333" s="0" t="str">
        <f aca="false">IF($B333="","",INDEX(ChalLevel,$B333))</f>
        <v/>
      </c>
      <c r="H333" s="0" t="str">
        <f aca="false">IF($B333="","",INDEX(BookFamily,$B333))</f>
        <v/>
      </c>
      <c r="I333" s="0" t="str">
        <f aca="false">IF($B333="","",INDEX(BookWorkerType,$B333))</f>
        <v/>
      </c>
      <c r="J333" s="56" t="str">
        <f aca="false">IF($B333="","",INDEX(ChalEffective,$B333))</f>
        <v/>
      </c>
      <c r="K333" s="0" t="str">
        <f aca="false">IF($B333="","",INDEX(ChalStart,$B333))</f>
        <v/>
      </c>
      <c r="L333" s="57" t="str">
        <f aca="false">IF($B333="","",INDEX(ChalInYear,$B333))</f>
        <v/>
      </c>
      <c r="M333" s="57" t="str">
        <f aca="false">IF($B333="","",INDEX(ChalRunRate,$B333))</f>
        <v/>
      </c>
      <c r="N333" s="0" t="str">
        <f aca="false">IF($B333="","",INDEX(BookDriver,$B333))</f>
        <v/>
      </c>
    </row>
    <row r="334" customFormat="false" ht="15" hidden="false" customHeight="false" outlineLevel="0" collapsed="false">
      <c r="A334" s="33" t="n">
        <v>329</v>
      </c>
      <c r="B334" s="0" t="str">
        <f aca="false">IFERROR(MATCH($A334,ChalSeq,0),"")</f>
        <v/>
      </c>
      <c r="C334" s="0" t="str">
        <f aca="false">IF($B334="","",INDEX(ChalGroup,$B334))</f>
        <v/>
      </c>
      <c r="D334" s="0" t="str">
        <f aca="false">IF($B334="","",INDEX(ChalDivision,$B334))</f>
        <v/>
      </c>
      <c r="E334" s="0" t="str">
        <f aca="false">IF($B334="","",INDEX(ChalUnit,$B334))</f>
        <v/>
      </c>
      <c r="F334" s="0" t="str">
        <f aca="false">IF($B334="","",INDEX(ChalTitle,$B334))</f>
        <v/>
      </c>
      <c r="G334" s="0" t="str">
        <f aca="false">IF($B334="","",INDEX(ChalLevel,$B334))</f>
        <v/>
      </c>
      <c r="H334" s="0" t="str">
        <f aca="false">IF($B334="","",INDEX(BookFamily,$B334))</f>
        <v/>
      </c>
      <c r="I334" s="0" t="str">
        <f aca="false">IF($B334="","",INDEX(BookWorkerType,$B334))</f>
        <v/>
      </c>
      <c r="J334" s="56" t="str">
        <f aca="false">IF($B334="","",INDEX(ChalEffective,$B334))</f>
        <v/>
      </c>
      <c r="K334" s="0" t="str">
        <f aca="false">IF($B334="","",INDEX(ChalStart,$B334))</f>
        <v/>
      </c>
      <c r="L334" s="57" t="str">
        <f aca="false">IF($B334="","",INDEX(ChalInYear,$B334))</f>
        <v/>
      </c>
      <c r="M334" s="57" t="str">
        <f aca="false">IF($B334="","",INDEX(ChalRunRate,$B334))</f>
        <v/>
      </c>
      <c r="N334" s="0" t="str">
        <f aca="false">IF($B334="","",INDEX(BookDriver,$B334))</f>
        <v/>
      </c>
    </row>
    <row r="335" customFormat="false" ht="15" hidden="false" customHeight="false" outlineLevel="0" collapsed="false">
      <c r="A335" s="33" t="n">
        <v>330</v>
      </c>
      <c r="B335" s="0" t="str">
        <f aca="false">IFERROR(MATCH($A335,ChalSeq,0),"")</f>
        <v/>
      </c>
      <c r="C335" s="0" t="str">
        <f aca="false">IF($B335="","",INDEX(ChalGroup,$B335))</f>
        <v/>
      </c>
      <c r="D335" s="0" t="str">
        <f aca="false">IF($B335="","",INDEX(ChalDivision,$B335))</f>
        <v/>
      </c>
      <c r="E335" s="0" t="str">
        <f aca="false">IF($B335="","",INDEX(ChalUnit,$B335))</f>
        <v/>
      </c>
      <c r="F335" s="0" t="str">
        <f aca="false">IF($B335="","",INDEX(ChalTitle,$B335))</f>
        <v/>
      </c>
      <c r="G335" s="0" t="str">
        <f aca="false">IF($B335="","",INDEX(ChalLevel,$B335))</f>
        <v/>
      </c>
      <c r="H335" s="0" t="str">
        <f aca="false">IF($B335="","",INDEX(BookFamily,$B335))</f>
        <v/>
      </c>
      <c r="I335" s="0" t="str">
        <f aca="false">IF($B335="","",INDEX(BookWorkerType,$B335))</f>
        <v/>
      </c>
      <c r="J335" s="56" t="str">
        <f aca="false">IF($B335="","",INDEX(ChalEffective,$B335))</f>
        <v/>
      </c>
      <c r="K335" s="0" t="str">
        <f aca="false">IF($B335="","",INDEX(ChalStart,$B335))</f>
        <v/>
      </c>
      <c r="L335" s="57" t="str">
        <f aca="false">IF($B335="","",INDEX(ChalInYear,$B335))</f>
        <v/>
      </c>
      <c r="M335" s="57" t="str">
        <f aca="false">IF($B335="","",INDEX(ChalRunRate,$B335))</f>
        <v/>
      </c>
      <c r="N335" s="0" t="str">
        <f aca="false">IF($B335="","",INDEX(BookDriver,$B335))</f>
        <v/>
      </c>
    </row>
    <row r="336" customFormat="false" ht="15" hidden="false" customHeight="false" outlineLevel="0" collapsed="false">
      <c r="A336" s="33" t="n">
        <v>331</v>
      </c>
      <c r="B336" s="0" t="str">
        <f aca="false">IFERROR(MATCH($A336,ChalSeq,0),"")</f>
        <v/>
      </c>
      <c r="C336" s="0" t="str">
        <f aca="false">IF($B336="","",INDEX(ChalGroup,$B336))</f>
        <v/>
      </c>
      <c r="D336" s="0" t="str">
        <f aca="false">IF($B336="","",INDEX(ChalDivision,$B336))</f>
        <v/>
      </c>
      <c r="E336" s="0" t="str">
        <f aca="false">IF($B336="","",INDEX(ChalUnit,$B336))</f>
        <v/>
      </c>
      <c r="F336" s="0" t="str">
        <f aca="false">IF($B336="","",INDEX(ChalTitle,$B336))</f>
        <v/>
      </c>
      <c r="G336" s="0" t="str">
        <f aca="false">IF($B336="","",INDEX(ChalLevel,$B336))</f>
        <v/>
      </c>
      <c r="H336" s="0" t="str">
        <f aca="false">IF($B336="","",INDEX(BookFamily,$B336))</f>
        <v/>
      </c>
      <c r="I336" s="0" t="str">
        <f aca="false">IF($B336="","",INDEX(BookWorkerType,$B336))</f>
        <v/>
      </c>
      <c r="J336" s="56" t="str">
        <f aca="false">IF($B336="","",INDEX(ChalEffective,$B336))</f>
        <v/>
      </c>
      <c r="K336" s="0" t="str">
        <f aca="false">IF($B336="","",INDEX(ChalStart,$B336))</f>
        <v/>
      </c>
      <c r="L336" s="57" t="str">
        <f aca="false">IF($B336="","",INDEX(ChalInYear,$B336))</f>
        <v/>
      </c>
      <c r="M336" s="57" t="str">
        <f aca="false">IF($B336="","",INDEX(ChalRunRate,$B336))</f>
        <v/>
      </c>
      <c r="N336" s="0" t="str">
        <f aca="false">IF($B336="","",INDEX(BookDriver,$B336))</f>
        <v/>
      </c>
    </row>
    <row r="337" customFormat="false" ht="15" hidden="false" customHeight="false" outlineLevel="0" collapsed="false">
      <c r="A337" s="33" t="n">
        <v>332</v>
      </c>
      <c r="B337" s="0" t="str">
        <f aca="false">IFERROR(MATCH($A337,ChalSeq,0),"")</f>
        <v/>
      </c>
      <c r="C337" s="0" t="str">
        <f aca="false">IF($B337="","",INDEX(ChalGroup,$B337))</f>
        <v/>
      </c>
      <c r="D337" s="0" t="str">
        <f aca="false">IF($B337="","",INDEX(ChalDivision,$B337))</f>
        <v/>
      </c>
      <c r="E337" s="0" t="str">
        <f aca="false">IF($B337="","",INDEX(ChalUnit,$B337))</f>
        <v/>
      </c>
      <c r="F337" s="0" t="str">
        <f aca="false">IF($B337="","",INDEX(ChalTitle,$B337))</f>
        <v/>
      </c>
      <c r="G337" s="0" t="str">
        <f aca="false">IF($B337="","",INDEX(ChalLevel,$B337))</f>
        <v/>
      </c>
      <c r="H337" s="0" t="str">
        <f aca="false">IF($B337="","",INDEX(BookFamily,$B337))</f>
        <v/>
      </c>
      <c r="I337" s="0" t="str">
        <f aca="false">IF($B337="","",INDEX(BookWorkerType,$B337))</f>
        <v/>
      </c>
      <c r="J337" s="56" t="str">
        <f aca="false">IF($B337="","",INDEX(ChalEffective,$B337))</f>
        <v/>
      </c>
      <c r="K337" s="0" t="str">
        <f aca="false">IF($B337="","",INDEX(ChalStart,$B337))</f>
        <v/>
      </c>
      <c r="L337" s="57" t="str">
        <f aca="false">IF($B337="","",INDEX(ChalInYear,$B337))</f>
        <v/>
      </c>
      <c r="M337" s="57" t="str">
        <f aca="false">IF($B337="","",INDEX(ChalRunRate,$B337))</f>
        <v/>
      </c>
      <c r="N337" s="0" t="str">
        <f aca="false">IF($B337="","",INDEX(BookDriver,$B337))</f>
        <v/>
      </c>
    </row>
    <row r="338" customFormat="false" ht="15" hidden="false" customHeight="false" outlineLevel="0" collapsed="false">
      <c r="A338" s="33" t="n">
        <v>333</v>
      </c>
      <c r="B338" s="0" t="str">
        <f aca="false">IFERROR(MATCH($A338,ChalSeq,0),"")</f>
        <v/>
      </c>
      <c r="C338" s="0" t="str">
        <f aca="false">IF($B338="","",INDEX(ChalGroup,$B338))</f>
        <v/>
      </c>
      <c r="D338" s="0" t="str">
        <f aca="false">IF($B338="","",INDEX(ChalDivision,$B338))</f>
        <v/>
      </c>
      <c r="E338" s="0" t="str">
        <f aca="false">IF($B338="","",INDEX(ChalUnit,$B338))</f>
        <v/>
      </c>
      <c r="F338" s="0" t="str">
        <f aca="false">IF($B338="","",INDEX(ChalTitle,$B338))</f>
        <v/>
      </c>
      <c r="G338" s="0" t="str">
        <f aca="false">IF($B338="","",INDEX(ChalLevel,$B338))</f>
        <v/>
      </c>
      <c r="H338" s="0" t="str">
        <f aca="false">IF($B338="","",INDEX(BookFamily,$B338))</f>
        <v/>
      </c>
      <c r="I338" s="0" t="str">
        <f aca="false">IF($B338="","",INDEX(BookWorkerType,$B338))</f>
        <v/>
      </c>
      <c r="J338" s="56" t="str">
        <f aca="false">IF($B338="","",INDEX(ChalEffective,$B338))</f>
        <v/>
      </c>
      <c r="K338" s="0" t="str">
        <f aca="false">IF($B338="","",INDEX(ChalStart,$B338))</f>
        <v/>
      </c>
      <c r="L338" s="57" t="str">
        <f aca="false">IF($B338="","",INDEX(ChalInYear,$B338))</f>
        <v/>
      </c>
      <c r="M338" s="57" t="str">
        <f aca="false">IF($B338="","",INDEX(ChalRunRate,$B338))</f>
        <v/>
      </c>
      <c r="N338" s="0" t="str">
        <f aca="false">IF($B338="","",INDEX(BookDriver,$B338))</f>
        <v/>
      </c>
    </row>
    <row r="339" customFormat="false" ht="15" hidden="false" customHeight="false" outlineLevel="0" collapsed="false">
      <c r="A339" s="33" t="n">
        <v>334</v>
      </c>
      <c r="B339" s="0" t="str">
        <f aca="false">IFERROR(MATCH($A339,ChalSeq,0),"")</f>
        <v/>
      </c>
      <c r="C339" s="0" t="str">
        <f aca="false">IF($B339="","",INDEX(ChalGroup,$B339))</f>
        <v/>
      </c>
      <c r="D339" s="0" t="str">
        <f aca="false">IF($B339="","",INDEX(ChalDivision,$B339))</f>
        <v/>
      </c>
      <c r="E339" s="0" t="str">
        <f aca="false">IF($B339="","",INDEX(ChalUnit,$B339))</f>
        <v/>
      </c>
      <c r="F339" s="0" t="str">
        <f aca="false">IF($B339="","",INDEX(ChalTitle,$B339))</f>
        <v/>
      </c>
      <c r="G339" s="0" t="str">
        <f aca="false">IF($B339="","",INDEX(ChalLevel,$B339))</f>
        <v/>
      </c>
      <c r="H339" s="0" t="str">
        <f aca="false">IF($B339="","",INDEX(BookFamily,$B339))</f>
        <v/>
      </c>
      <c r="I339" s="0" t="str">
        <f aca="false">IF($B339="","",INDEX(BookWorkerType,$B339))</f>
        <v/>
      </c>
      <c r="J339" s="56" t="str">
        <f aca="false">IF($B339="","",INDEX(ChalEffective,$B339))</f>
        <v/>
      </c>
      <c r="K339" s="0" t="str">
        <f aca="false">IF($B339="","",INDEX(ChalStart,$B339))</f>
        <v/>
      </c>
      <c r="L339" s="57" t="str">
        <f aca="false">IF($B339="","",INDEX(ChalInYear,$B339))</f>
        <v/>
      </c>
      <c r="M339" s="57" t="str">
        <f aca="false">IF($B339="","",INDEX(ChalRunRate,$B339))</f>
        <v/>
      </c>
      <c r="N339" s="0" t="str">
        <f aca="false">IF($B339="","",INDEX(BookDriver,$B339))</f>
        <v/>
      </c>
    </row>
    <row r="340" customFormat="false" ht="15" hidden="false" customHeight="false" outlineLevel="0" collapsed="false">
      <c r="A340" s="33" t="n">
        <v>335</v>
      </c>
      <c r="B340" s="0" t="str">
        <f aca="false">IFERROR(MATCH($A340,ChalSeq,0),"")</f>
        <v/>
      </c>
      <c r="C340" s="0" t="str">
        <f aca="false">IF($B340="","",INDEX(ChalGroup,$B340))</f>
        <v/>
      </c>
      <c r="D340" s="0" t="str">
        <f aca="false">IF($B340="","",INDEX(ChalDivision,$B340))</f>
        <v/>
      </c>
      <c r="E340" s="0" t="str">
        <f aca="false">IF($B340="","",INDEX(ChalUnit,$B340))</f>
        <v/>
      </c>
      <c r="F340" s="0" t="str">
        <f aca="false">IF($B340="","",INDEX(ChalTitle,$B340))</f>
        <v/>
      </c>
      <c r="G340" s="0" t="str">
        <f aca="false">IF($B340="","",INDEX(ChalLevel,$B340))</f>
        <v/>
      </c>
      <c r="H340" s="0" t="str">
        <f aca="false">IF($B340="","",INDEX(BookFamily,$B340))</f>
        <v/>
      </c>
      <c r="I340" s="0" t="str">
        <f aca="false">IF($B340="","",INDEX(BookWorkerType,$B340))</f>
        <v/>
      </c>
      <c r="J340" s="56" t="str">
        <f aca="false">IF($B340="","",INDEX(ChalEffective,$B340))</f>
        <v/>
      </c>
      <c r="K340" s="0" t="str">
        <f aca="false">IF($B340="","",INDEX(ChalStart,$B340))</f>
        <v/>
      </c>
      <c r="L340" s="57" t="str">
        <f aca="false">IF($B340="","",INDEX(ChalInYear,$B340))</f>
        <v/>
      </c>
      <c r="M340" s="57" t="str">
        <f aca="false">IF($B340="","",INDEX(ChalRunRate,$B340))</f>
        <v/>
      </c>
      <c r="N340" s="0" t="str">
        <f aca="false">IF($B340="","",INDEX(BookDriver,$B340))</f>
        <v/>
      </c>
    </row>
    <row r="341" customFormat="false" ht="15" hidden="false" customHeight="false" outlineLevel="0" collapsed="false">
      <c r="A341" s="33" t="n">
        <v>336</v>
      </c>
      <c r="B341" s="0" t="str">
        <f aca="false">IFERROR(MATCH($A341,ChalSeq,0),"")</f>
        <v/>
      </c>
      <c r="C341" s="0" t="str">
        <f aca="false">IF($B341="","",INDEX(ChalGroup,$B341))</f>
        <v/>
      </c>
      <c r="D341" s="0" t="str">
        <f aca="false">IF($B341="","",INDEX(ChalDivision,$B341))</f>
        <v/>
      </c>
      <c r="E341" s="0" t="str">
        <f aca="false">IF($B341="","",INDEX(ChalUnit,$B341))</f>
        <v/>
      </c>
      <c r="F341" s="0" t="str">
        <f aca="false">IF($B341="","",INDEX(ChalTitle,$B341))</f>
        <v/>
      </c>
      <c r="G341" s="0" t="str">
        <f aca="false">IF($B341="","",INDEX(ChalLevel,$B341))</f>
        <v/>
      </c>
      <c r="H341" s="0" t="str">
        <f aca="false">IF($B341="","",INDEX(BookFamily,$B341))</f>
        <v/>
      </c>
      <c r="I341" s="0" t="str">
        <f aca="false">IF($B341="","",INDEX(BookWorkerType,$B341))</f>
        <v/>
      </c>
      <c r="J341" s="56" t="str">
        <f aca="false">IF($B341="","",INDEX(ChalEffective,$B341))</f>
        <v/>
      </c>
      <c r="K341" s="0" t="str">
        <f aca="false">IF($B341="","",INDEX(ChalStart,$B341))</f>
        <v/>
      </c>
      <c r="L341" s="57" t="str">
        <f aca="false">IF($B341="","",INDEX(ChalInYear,$B341))</f>
        <v/>
      </c>
      <c r="M341" s="57" t="str">
        <f aca="false">IF($B341="","",INDEX(ChalRunRate,$B341))</f>
        <v/>
      </c>
      <c r="N341" s="0" t="str">
        <f aca="false">IF($B341="","",INDEX(BookDriver,$B341))</f>
        <v/>
      </c>
    </row>
    <row r="342" customFormat="false" ht="15" hidden="false" customHeight="false" outlineLevel="0" collapsed="false">
      <c r="A342" s="33" t="n">
        <v>337</v>
      </c>
      <c r="B342" s="0" t="str">
        <f aca="false">IFERROR(MATCH($A342,ChalSeq,0),"")</f>
        <v/>
      </c>
      <c r="C342" s="0" t="str">
        <f aca="false">IF($B342="","",INDEX(ChalGroup,$B342))</f>
        <v/>
      </c>
      <c r="D342" s="0" t="str">
        <f aca="false">IF($B342="","",INDEX(ChalDivision,$B342))</f>
        <v/>
      </c>
      <c r="E342" s="0" t="str">
        <f aca="false">IF($B342="","",INDEX(ChalUnit,$B342))</f>
        <v/>
      </c>
      <c r="F342" s="0" t="str">
        <f aca="false">IF($B342="","",INDEX(ChalTitle,$B342))</f>
        <v/>
      </c>
      <c r="G342" s="0" t="str">
        <f aca="false">IF($B342="","",INDEX(ChalLevel,$B342))</f>
        <v/>
      </c>
      <c r="H342" s="0" t="str">
        <f aca="false">IF($B342="","",INDEX(BookFamily,$B342))</f>
        <v/>
      </c>
      <c r="I342" s="0" t="str">
        <f aca="false">IF($B342="","",INDEX(BookWorkerType,$B342))</f>
        <v/>
      </c>
      <c r="J342" s="56" t="str">
        <f aca="false">IF($B342="","",INDEX(ChalEffective,$B342))</f>
        <v/>
      </c>
      <c r="K342" s="0" t="str">
        <f aca="false">IF($B342="","",INDEX(ChalStart,$B342))</f>
        <v/>
      </c>
      <c r="L342" s="57" t="str">
        <f aca="false">IF($B342="","",INDEX(ChalInYear,$B342))</f>
        <v/>
      </c>
      <c r="M342" s="57" t="str">
        <f aca="false">IF($B342="","",INDEX(ChalRunRate,$B342))</f>
        <v/>
      </c>
      <c r="N342" s="0" t="str">
        <f aca="false">IF($B342="","",INDEX(BookDriver,$B342))</f>
        <v/>
      </c>
    </row>
    <row r="343" customFormat="false" ht="15" hidden="false" customHeight="false" outlineLevel="0" collapsed="false">
      <c r="A343" s="33" t="n">
        <v>338</v>
      </c>
      <c r="B343" s="0" t="str">
        <f aca="false">IFERROR(MATCH($A343,ChalSeq,0),"")</f>
        <v/>
      </c>
      <c r="C343" s="0" t="str">
        <f aca="false">IF($B343="","",INDEX(ChalGroup,$B343))</f>
        <v/>
      </c>
      <c r="D343" s="0" t="str">
        <f aca="false">IF($B343="","",INDEX(ChalDivision,$B343))</f>
        <v/>
      </c>
      <c r="E343" s="0" t="str">
        <f aca="false">IF($B343="","",INDEX(ChalUnit,$B343))</f>
        <v/>
      </c>
      <c r="F343" s="0" t="str">
        <f aca="false">IF($B343="","",INDEX(ChalTitle,$B343))</f>
        <v/>
      </c>
      <c r="G343" s="0" t="str">
        <f aca="false">IF($B343="","",INDEX(ChalLevel,$B343))</f>
        <v/>
      </c>
      <c r="H343" s="0" t="str">
        <f aca="false">IF($B343="","",INDEX(BookFamily,$B343))</f>
        <v/>
      </c>
      <c r="I343" s="0" t="str">
        <f aca="false">IF($B343="","",INDEX(BookWorkerType,$B343))</f>
        <v/>
      </c>
      <c r="J343" s="56" t="str">
        <f aca="false">IF($B343="","",INDEX(ChalEffective,$B343))</f>
        <v/>
      </c>
      <c r="K343" s="0" t="str">
        <f aca="false">IF($B343="","",INDEX(ChalStart,$B343))</f>
        <v/>
      </c>
      <c r="L343" s="57" t="str">
        <f aca="false">IF($B343="","",INDEX(ChalInYear,$B343))</f>
        <v/>
      </c>
      <c r="M343" s="57" t="str">
        <f aca="false">IF($B343="","",INDEX(ChalRunRate,$B343))</f>
        <v/>
      </c>
      <c r="N343" s="0" t="str">
        <f aca="false">IF($B343="","",INDEX(BookDriver,$B343))</f>
        <v/>
      </c>
    </row>
    <row r="344" customFormat="false" ht="15" hidden="false" customHeight="false" outlineLevel="0" collapsed="false">
      <c r="A344" s="33" t="n">
        <v>339</v>
      </c>
      <c r="B344" s="0" t="str">
        <f aca="false">IFERROR(MATCH($A344,ChalSeq,0),"")</f>
        <v/>
      </c>
      <c r="C344" s="0" t="str">
        <f aca="false">IF($B344="","",INDEX(ChalGroup,$B344))</f>
        <v/>
      </c>
      <c r="D344" s="0" t="str">
        <f aca="false">IF($B344="","",INDEX(ChalDivision,$B344))</f>
        <v/>
      </c>
      <c r="E344" s="0" t="str">
        <f aca="false">IF($B344="","",INDEX(ChalUnit,$B344))</f>
        <v/>
      </c>
      <c r="F344" s="0" t="str">
        <f aca="false">IF($B344="","",INDEX(ChalTitle,$B344))</f>
        <v/>
      </c>
      <c r="G344" s="0" t="str">
        <f aca="false">IF($B344="","",INDEX(ChalLevel,$B344))</f>
        <v/>
      </c>
      <c r="H344" s="0" t="str">
        <f aca="false">IF($B344="","",INDEX(BookFamily,$B344))</f>
        <v/>
      </c>
      <c r="I344" s="0" t="str">
        <f aca="false">IF($B344="","",INDEX(BookWorkerType,$B344))</f>
        <v/>
      </c>
      <c r="J344" s="56" t="str">
        <f aca="false">IF($B344="","",INDEX(ChalEffective,$B344))</f>
        <v/>
      </c>
      <c r="K344" s="0" t="str">
        <f aca="false">IF($B344="","",INDEX(ChalStart,$B344))</f>
        <v/>
      </c>
      <c r="L344" s="57" t="str">
        <f aca="false">IF($B344="","",INDEX(ChalInYear,$B344))</f>
        <v/>
      </c>
      <c r="M344" s="57" t="str">
        <f aca="false">IF($B344="","",INDEX(ChalRunRate,$B344))</f>
        <v/>
      </c>
      <c r="N344" s="0" t="str">
        <f aca="false">IF($B344="","",INDEX(BookDriver,$B344))</f>
        <v/>
      </c>
    </row>
    <row r="345" customFormat="false" ht="15" hidden="false" customHeight="false" outlineLevel="0" collapsed="false">
      <c r="A345" s="33" t="n">
        <v>340</v>
      </c>
      <c r="B345" s="0" t="str">
        <f aca="false">IFERROR(MATCH($A345,ChalSeq,0),"")</f>
        <v/>
      </c>
      <c r="C345" s="0" t="str">
        <f aca="false">IF($B345="","",INDEX(ChalGroup,$B345))</f>
        <v/>
      </c>
      <c r="D345" s="0" t="str">
        <f aca="false">IF($B345="","",INDEX(ChalDivision,$B345))</f>
        <v/>
      </c>
      <c r="E345" s="0" t="str">
        <f aca="false">IF($B345="","",INDEX(ChalUnit,$B345))</f>
        <v/>
      </c>
      <c r="F345" s="0" t="str">
        <f aca="false">IF($B345="","",INDEX(ChalTitle,$B345))</f>
        <v/>
      </c>
      <c r="G345" s="0" t="str">
        <f aca="false">IF($B345="","",INDEX(ChalLevel,$B345))</f>
        <v/>
      </c>
      <c r="H345" s="0" t="str">
        <f aca="false">IF($B345="","",INDEX(BookFamily,$B345))</f>
        <v/>
      </c>
      <c r="I345" s="0" t="str">
        <f aca="false">IF($B345="","",INDEX(BookWorkerType,$B345))</f>
        <v/>
      </c>
      <c r="J345" s="56" t="str">
        <f aca="false">IF($B345="","",INDEX(ChalEffective,$B345))</f>
        <v/>
      </c>
      <c r="K345" s="0" t="str">
        <f aca="false">IF($B345="","",INDEX(ChalStart,$B345))</f>
        <v/>
      </c>
      <c r="L345" s="57" t="str">
        <f aca="false">IF($B345="","",INDEX(ChalInYear,$B345))</f>
        <v/>
      </c>
      <c r="M345" s="57" t="str">
        <f aca="false">IF($B345="","",INDEX(ChalRunRate,$B345))</f>
        <v/>
      </c>
      <c r="N345" s="0" t="str">
        <f aca="false">IF($B345="","",INDEX(BookDriver,$B345))</f>
        <v/>
      </c>
    </row>
    <row r="346" customFormat="false" ht="15" hidden="false" customHeight="false" outlineLevel="0" collapsed="false">
      <c r="A346" s="33" t="n">
        <v>341</v>
      </c>
      <c r="B346" s="0" t="str">
        <f aca="false">IFERROR(MATCH($A346,ChalSeq,0),"")</f>
        <v/>
      </c>
      <c r="C346" s="0" t="str">
        <f aca="false">IF($B346="","",INDEX(ChalGroup,$B346))</f>
        <v/>
      </c>
      <c r="D346" s="0" t="str">
        <f aca="false">IF($B346="","",INDEX(ChalDivision,$B346))</f>
        <v/>
      </c>
      <c r="E346" s="0" t="str">
        <f aca="false">IF($B346="","",INDEX(ChalUnit,$B346))</f>
        <v/>
      </c>
      <c r="F346" s="0" t="str">
        <f aca="false">IF($B346="","",INDEX(ChalTitle,$B346))</f>
        <v/>
      </c>
      <c r="G346" s="0" t="str">
        <f aca="false">IF($B346="","",INDEX(ChalLevel,$B346))</f>
        <v/>
      </c>
      <c r="H346" s="0" t="str">
        <f aca="false">IF($B346="","",INDEX(BookFamily,$B346))</f>
        <v/>
      </c>
      <c r="I346" s="0" t="str">
        <f aca="false">IF($B346="","",INDEX(BookWorkerType,$B346))</f>
        <v/>
      </c>
      <c r="J346" s="56" t="str">
        <f aca="false">IF($B346="","",INDEX(ChalEffective,$B346))</f>
        <v/>
      </c>
      <c r="K346" s="0" t="str">
        <f aca="false">IF($B346="","",INDEX(ChalStart,$B346))</f>
        <v/>
      </c>
      <c r="L346" s="57" t="str">
        <f aca="false">IF($B346="","",INDEX(ChalInYear,$B346))</f>
        <v/>
      </c>
      <c r="M346" s="57" t="str">
        <f aca="false">IF($B346="","",INDEX(ChalRunRate,$B346))</f>
        <v/>
      </c>
      <c r="N346" s="0" t="str">
        <f aca="false">IF($B346="","",INDEX(BookDriver,$B346))</f>
        <v/>
      </c>
    </row>
    <row r="347" customFormat="false" ht="15" hidden="false" customHeight="false" outlineLevel="0" collapsed="false">
      <c r="A347" s="33" t="n">
        <v>342</v>
      </c>
      <c r="B347" s="0" t="str">
        <f aca="false">IFERROR(MATCH($A347,ChalSeq,0),"")</f>
        <v/>
      </c>
      <c r="C347" s="0" t="str">
        <f aca="false">IF($B347="","",INDEX(ChalGroup,$B347))</f>
        <v/>
      </c>
      <c r="D347" s="0" t="str">
        <f aca="false">IF($B347="","",INDEX(ChalDivision,$B347))</f>
        <v/>
      </c>
      <c r="E347" s="0" t="str">
        <f aca="false">IF($B347="","",INDEX(ChalUnit,$B347))</f>
        <v/>
      </c>
      <c r="F347" s="0" t="str">
        <f aca="false">IF($B347="","",INDEX(ChalTitle,$B347))</f>
        <v/>
      </c>
      <c r="G347" s="0" t="str">
        <f aca="false">IF($B347="","",INDEX(ChalLevel,$B347))</f>
        <v/>
      </c>
      <c r="H347" s="0" t="str">
        <f aca="false">IF($B347="","",INDEX(BookFamily,$B347))</f>
        <v/>
      </c>
      <c r="I347" s="0" t="str">
        <f aca="false">IF($B347="","",INDEX(BookWorkerType,$B347))</f>
        <v/>
      </c>
      <c r="J347" s="56" t="str">
        <f aca="false">IF($B347="","",INDEX(ChalEffective,$B347))</f>
        <v/>
      </c>
      <c r="K347" s="0" t="str">
        <f aca="false">IF($B347="","",INDEX(ChalStart,$B347))</f>
        <v/>
      </c>
      <c r="L347" s="57" t="str">
        <f aca="false">IF($B347="","",INDEX(ChalInYear,$B347))</f>
        <v/>
      </c>
      <c r="M347" s="57" t="str">
        <f aca="false">IF($B347="","",INDEX(ChalRunRate,$B347))</f>
        <v/>
      </c>
      <c r="N347" s="0" t="str">
        <f aca="false">IF($B347="","",INDEX(BookDriver,$B347))</f>
        <v/>
      </c>
    </row>
    <row r="348" customFormat="false" ht="15" hidden="false" customHeight="false" outlineLevel="0" collapsed="false">
      <c r="A348" s="33" t="n">
        <v>343</v>
      </c>
      <c r="B348" s="0" t="str">
        <f aca="false">IFERROR(MATCH($A348,ChalSeq,0),"")</f>
        <v/>
      </c>
      <c r="C348" s="0" t="str">
        <f aca="false">IF($B348="","",INDEX(ChalGroup,$B348))</f>
        <v/>
      </c>
      <c r="D348" s="0" t="str">
        <f aca="false">IF($B348="","",INDEX(ChalDivision,$B348))</f>
        <v/>
      </c>
      <c r="E348" s="0" t="str">
        <f aca="false">IF($B348="","",INDEX(ChalUnit,$B348))</f>
        <v/>
      </c>
      <c r="F348" s="0" t="str">
        <f aca="false">IF($B348="","",INDEX(ChalTitle,$B348))</f>
        <v/>
      </c>
      <c r="G348" s="0" t="str">
        <f aca="false">IF($B348="","",INDEX(ChalLevel,$B348))</f>
        <v/>
      </c>
      <c r="H348" s="0" t="str">
        <f aca="false">IF($B348="","",INDEX(BookFamily,$B348))</f>
        <v/>
      </c>
      <c r="I348" s="0" t="str">
        <f aca="false">IF($B348="","",INDEX(BookWorkerType,$B348))</f>
        <v/>
      </c>
      <c r="J348" s="56" t="str">
        <f aca="false">IF($B348="","",INDEX(ChalEffective,$B348))</f>
        <v/>
      </c>
      <c r="K348" s="0" t="str">
        <f aca="false">IF($B348="","",INDEX(ChalStart,$B348))</f>
        <v/>
      </c>
      <c r="L348" s="57" t="str">
        <f aca="false">IF($B348="","",INDEX(ChalInYear,$B348))</f>
        <v/>
      </c>
      <c r="M348" s="57" t="str">
        <f aca="false">IF($B348="","",INDEX(ChalRunRate,$B348))</f>
        <v/>
      </c>
      <c r="N348" s="0" t="str">
        <f aca="false">IF($B348="","",INDEX(BookDriver,$B348))</f>
        <v/>
      </c>
    </row>
    <row r="349" customFormat="false" ht="15" hidden="false" customHeight="false" outlineLevel="0" collapsed="false">
      <c r="A349" s="33" t="n">
        <v>344</v>
      </c>
      <c r="B349" s="0" t="str">
        <f aca="false">IFERROR(MATCH($A349,ChalSeq,0),"")</f>
        <v/>
      </c>
      <c r="C349" s="0" t="str">
        <f aca="false">IF($B349="","",INDEX(ChalGroup,$B349))</f>
        <v/>
      </c>
      <c r="D349" s="0" t="str">
        <f aca="false">IF($B349="","",INDEX(ChalDivision,$B349))</f>
        <v/>
      </c>
      <c r="E349" s="0" t="str">
        <f aca="false">IF($B349="","",INDEX(ChalUnit,$B349))</f>
        <v/>
      </c>
      <c r="F349" s="0" t="str">
        <f aca="false">IF($B349="","",INDEX(ChalTitle,$B349))</f>
        <v/>
      </c>
      <c r="G349" s="0" t="str">
        <f aca="false">IF($B349="","",INDEX(ChalLevel,$B349))</f>
        <v/>
      </c>
      <c r="H349" s="0" t="str">
        <f aca="false">IF($B349="","",INDEX(BookFamily,$B349))</f>
        <v/>
      </c>
      <c r="I349" s="0" t="str">
        <f aca="false">IF($B349="","",INDEX(BookWorkerType,$B349))</f>
        <v/>
      </c>
      <c r="J349" s="56" t="str">
        <f aca="false">IF($B349="","",INDEX(ChalEffective,$B349))</f>
        <v/>
      </c>
      <c r="K349" s="0" t="str">
        <f aca="false">IF($B349="","",INDEX(ChalStart,$B349))</f>
        <v/>
      </c>
      <c r="L349" s="57" t="str">
        <f aca="false">IF($B349="","",INDEX(ChalInYear,$B349))</f>
        <v/>
      </c>
      <c r="M349" s="57" t="str">
        <f aca="false">IF($B349="","",INDEX(ChalRunRate,$B349))</f>
        <v/>
      </c>
      <c r="N349" s="0" t="str">
        <f aca="false">IF($B349="","",INDEX(BookDriver,$B349))</f>
        <v/>
      </c>
    </row>
    <row r="350" customFormat="false" ht="15" hidden="false" customHeight="false" outlineLevel="0" collapsed="false">
      <c r="A350" s="33" t="n">
        <v>345</v>
      </c>
      <c r="B350" s="0" t="str">
        <f aca="false">IFERROR(MATCH($A350,ChalSeq,0),"")</f>
        <v/>
      </c>
      <c r="C350" s="0" t="str">
        <f aca="false">IF($B350="","",INDEX(ChalGroup,$B350))</f>
        <v/>
      </c>
      <c r="D350" s="0" t="str">
        <f aca="false">IF($B350="","",INDEX(ChalDivision,$B350))</f>
        <v/>
      </c>
      <c r="E350" s="0" t="str">
        <f aca="false">IF($B350="","",INDEX(ChalUnit,$B350))</f>
        <v/>
      </c>
      <c r="F350" s="0" t="str">
        <f aca="false">IF($B350="","",INDEX(ChalTitle,$B350))</f>
        <v/>
      </c>
      <c r="G350" s="0" t="str">
        <f aca="false">IF($B350="","",INDEX(ChalLevel,$B350))</f>
        <v/>
      </c>
      <c r="H350" s="0" t="str">
        <f aca="false">IF($B350="","",INDEX(BookFamily,$B350))</f>
        <v/>
      </c>
      <c r="I350" s="0" t="str">
        <f aca="false">IF($B350="","",INDEX(BookWorkerType,$B350))</f>
        <v/>
      </c>
      <c r="J350" s="56" t="str">
        <f aca="false">IF($B350="","",INDEX(ChalEffective,$B350))</f>
        <v/>
      </c>
      <c r="K350" s="0" t="str">
        <f aca="false">IF($B350="","",INDEX(ChalStart,$B350))</f>
        <v/>
      </c>
      <c r="L350" s="57" t="str">
        <f aca="false">IF($B350="","",INDEX(ChalInYear,$B350))</f>
        <v/>
      </c>
      <c r="M350" s="57" t="str">
        <f aca="false">IF($B350="","",INDEX(ChalRunRate,$B350))</f>
        <v/>
      </c>
      <c r="N350" s="0" t="str">
        <f aca="false">IF($B350="","",INDEX(BookDriver,$B350))</f>
        <v/>
      </c>
    </row>
    <row r="351" customFormat="false" ht="15" hidden="false" customHeight="false" outlineLevel="0" collapsed="false">
      <c r="A351" s="33" t="n">
        <v>346</v>
      </c>
      <c r="B351" s="0" t="str">
        <f aca="false">IFERROR(MATCH($A351,ChalSeq,0),"")</f>
        <v/>
      </c>
      <c r="C351" s="0" t="str">
        <f aca="false">IF($B351="","",INDEX(ChalGroup,$B351))</f>
        <v/>
      </c>
      <c r="D351" s="0" t="str">
        <f aca="false">IF($B351="","",INDEX(ChalDivision,$B351))</f>
        <v/>
      </c>
      <c r="E351" s="0" t="str">
        <f aca="false">IF($B351="","",INDEX(ChalUnit,$B351))</f>
        <v/>
      </c>
      <c r="F351" s="0" t="str">
        <f aca="false">IF($B351="","",INDEX(ChalTitle,$B351))</f>
        <v/>
      </c>
      <c r="G351" s="0" t="str">
        <f aca="false">IF($B351="","",INDEX(ChalLevel,$B351))</f>
        <v/>
      </c>
      <c r="H351" s="0" t="str">
        <f aca="false">IF($B351="","",INDEX(BookFamily,$B351))</f>
        <v/>
      </c>
      <c r="I351" s="0" t="str">
        <f aca="false">IF($B351="","",INDEX(BookWorkerType,$B351))</f>
        <v/>
      </c>
      <c r="J351" s="56" t="str">
        <f aca="false">IF($B351="","",INDEX(ChalEffective,$B351))</f>
        <v/>
      </c>
      <c r="K351" s="0" t="str">
        <f aca="false">IF($B351="","",INDEX(ChalStart,$B351))</f>
        <v/>
      </c>
      <c r="L351" s="57" t="str">
        <f aca="false">IF($B351="","",INDEX(ChalInYear,$B351))</f>
        <v/>
      </c>
      <c r="M351" s="57" t="str">
        <f aca="false">IF($B351="","",INDEX(ChalRunRate,$B351))</f>
        <v/>
      </c>
      <c r="N351" s="0" t="str">
        <f aca="false">IF($B351="","",INDEX(BookDriver,$B351))</f>
        <v/>
      </c>
    </row>
    <row r="352" customFormat="false" ht="15" hidden="false" customHeight="false" outlineLevel="0" collapsed="false">
      <c r="A352" s="33" t="n">
        <v>347</v>
      </c>
      <c r="B352" s="0" t="str">
        <f aca="false">IFERROR(MATCH($A352,ChalSeq,0),"")</f>
        <v/>
      </c>
      <c r="C352" s="0" t="str">
        <f aca="false">IF($B352="","",INDEX(ChalGroup,$B352))</f>
        <v/>
      </c>
      <c r="D352" s="0" t="str">
        <f aca="false">IF($B352="","",INDEX(ChalDivision,$B352))</f>
        <v/>
      </c>
      <c r="E352" s="0" t="str">
        <f aca="false">IF($B352="","",INDEX(ChalUnit,$B352))</f>
        <v/>
      </c>
      <c r="F352" s="0" t="str">
        <f aca="false">IF($B352="","",INDEX(ChalTitle,$B352))</f>
        <v/>
      </c>
      <c r="G352" s="0" t="str">
        <f aca="false">IF($B352="","",INDEX(ChalLevel,$B352))</f>
        <v/>
      </c>
      <c r="H352" s="0" t="str">
        <f aca="false">IF($B352="","",INDEX(BookFamily,$B352))</f>
        <v/>
      </c>
      <c r="I352" s="0" t="str">
        <f aca="false">IF($B352="","",INDEX(BookWorkerType,$B352))</f>
        <v/>
      </c>
      <c r="J352" s="56" t="str">
        <f aca="false">IF($B352="","",INDEX(ChalEffective,$B352))</f>
        <v/>
      </c>
      <c r="K352" s="0" t="str">
        <f aca="false">IF($B352="","",INDEX(ChalStart,$B352))</f>
        <v/>
      </c>
      <c r="L352" s="57" t="str">
        <f aca="false">IF($B352="","",INDEX(ChalInYear,$B352))</f>
        <v/>
      </c>
      <c r="M352" s="57" t="str">
        <f aca="false">IF($B352="","",INDEX(ChalRunRate,$B352))</f>
        <v/>
      </c>
      <c r="N352" s="0" t="str">
        <f aca="false">IF($B352="","",INDEX(BookDriver,$B352))</f>
        <v/>
      </c>
    </row>
    <row r="353" customFormat="false" ht="15" hidden="false" customHeight="false" outlineLevel="0" collapsed="false">
      <c r="A353" s="33" t="n">
        <v>348</v>
      </c>
      <c r="B353" s="0" t="str">
        <f aca="false">IFERROR(MATCH($A353,ChalSeq,0),"")</f>
        <v/>
      </c>
      <c r="C353" s="0" t="str">
        <f aca="false">IF($B353="","",INDEX(ChalGroup,$B353))</f>
        <v/>
      </c>
      <c r="D353" s="0" t="str">
        <f aca="false">IF($B353="","",INDEX(ChalDivision,$B353))</f>
        <v/>
      </c>
      <c r="E353" s="0" t="str">
        <f aca="false">IF($B353="","",INDEX(ChalUnit,$B353))</f>
        <v/>
      </c>
      <c r="F353" s="0" t="str">
        <f aca="false">IF($B353="","",INDEX(ChalTitle,$B353))</f>
        <v/>
      </c>
      <c r="G353" s="0" t="str">
        <f aca="false">IF($B353="","",INDEX(ChalLevel,$B353))</f>
        <v/>
      </c>
      <c r="H353" s="0" t="str">
        <f aca="false">IF($B353="","",INDEX(BookFamily,$B353))</f>
        <v/>
      </c>
      <c r="I353" s="0" t="str">
        <f aca="false">IF($B353="","",INDEX(BookWorkerType,$B353))</f>
        <v/>
      </c>
      <c r="J353" s="56" t="str">
        <f aca="false">IF($B353="","",INDEX(ChalEffective,$B353))</f>
        <v/>
      </c>
      <c r="K353" s="0" t="str">
        <f aca="false">IF($B353="","",INDEX(ChalStart,$B353))</f>
        <v/>
      </c>
      <c r="L353" s="57" t="str">
        <f aca="false">IF($B353="","",INDEX(ChalInYear,$B353))</f>
        <v/>
      </c>
      <c r="M353" s="57" t="str">
        <f aca="false">IF($B353="","",INDEX(ChalRunRate,$B353))</f>
        <v/>
      </c>
      <c r="N353" s="0" t="str">
        <f aca="false">IF($B353="","",INDEX(BookDriver,$B353))</f>
        <v/>
      </c>
    </row>
    <row r="354" customFormat="false" ht="15" hidden="false" customHeight="false" outlineLevel="0" collapsed="false">
      <c r="A354" s="33" t="n">
        <v>349</v>
      </c>
      <c r="B354" s="0" t="str">
        <f aca="false">IFERROR(MATCH($A354,ChalSeq,0),"")</f>
        <v/>
      </c>
      <c r="C354" s="0" t="str">
        <f aca="false">IF($B354="","",INDEX(ChalGroup,$B354))</f>
        <v/>
      </c>
      <c r="D354" s="0" t="str">
        <f aca="false">IF($B354="","",INDEX(ChalDivision,$B354))</f>
        <v/>
      </c>
      <c r="E354" s="0" t="str">
        <f aca="false">IF($B354="","",INDEX(ChalUnit,$B354))</f>
        <v/>
      </c>
      <c r="F354" s="0" t="str">
        <f aca="false">IF($B354="","",INDEX(ChalTitle,$B354))</f>
        <v/>
      </c>
      <c r="G354" s="0" t="str">
        <f aca="false">IF($B354="","",INDEX(ChalLevel,$B354))</f>
        <v/>
      </c>
      <c r="H354" s="0" t="str">
        <f aca="false">IF($B354="","",INDEX(BookFamily,$B354))</f>
        <v/>
      </c>
      <c r="I354" s="0" t="str">
        <f aca="false">IF($B354="","",INDEX(BookWorkerType,$B354))</f>
        <v/>
      </c>
      <c r="J354" s="56" t="str">
        <f aca="false">IF($B354="","",INDEX(ChalEffective,$B354))</f>
        <v/>
      </c>
      <c r="K354" s="0" t="str">
        <f aca="false">IF($B354="","",INDEX(ChalStart,$B354))</f>
        <v/>
      </c>
      <c r="L354" s="57" t="str">
        <f aca="false">IF($B354="","",INDEX(ChalInYear,$B354))</f>
        <v/>
      </c>
      <c r="M354" s="57" t="str">
        <f aca="false">IF($B354="","",INDEX(ChalRunRate,$B354))</f>
        <v/>
      </c>
      <c r="N354" s="0" t="str">
        <f aca="false">IF($B354="","",INDEX(BookDriver,$B354))</f>
        <v/>
      </c>
    </row>
    <row r="355" customFormat="false" ht="15" hidden="false" customHeight="false" outlineLevel="0" collapsed="false">
      <c r="A355" s="33" t="n">
        <v>350</v>
      </c>
      <c r="B355" s="0" t="str">
        <f aca="false">IFERROR(MATCH($A355,ChalSeq,0),"")</f>
        <v/>
      </c>
      <c r="C355" s="0" t="str">
        <f aca="false">IF($B355="","",INDEX(ChalGroup,$B355))</f>
        <v/>
      </c>
      <c r="D355" s="0" t="str">
        <f aca="false">IF($B355="","",INDEX(ChalDivision,$B355))</f>
        <v/>
      </c>
      <c r="E355" s="0" t="str">
        <f aca="false">IF($B355="","",INDEX(ChalUnit,$B355))</f>
        <v/>
      </c>
      <c r="F355" s="0" t="str">
        <f aca="false">IF($B355="","",INDEX(ChalTitle,$B355))</f>
        <v/>
      </c>
      <c r="G355" s="0" t="str">
        <f aca="false">IF($B355="","",INDEX(ChalLevel,$B355))</f>
        <v/>
      </c>
      <c r="H355" s="0" t="str">
        <f aca="false">IF($B355="","",INDEX(BookFamily,$B355))</f>
        <v/>
      </c>
      <c r="I355" s="0" t="str">
        <f aca="false">IF($B355="","",INDEX(BookWorkerType,$B355))</f>
        <v/>
      </c>
      <c r="J355" s="56" t="str">
        <f aca="false">IF($B355="","",INDEX(ChalEffective,$B355))</f>
        <v/>
      </c>
      <c r="K355" s="0" t="str">
        <f aca="false">IF($B355="","",INDEX(ChalStart,$B355))</f>
        <v/>
      </c>
      <c r="L355" s="57" t="str">
        <f aca="false">IF($B355="","",INDEX(ChalInYear,$B355))</f>
        <v/>
      </c>
      <c r="M355" s="57" t="str">
        <f aca="false">IF($B355="","",INDEX(ChalRunRate,$B355))</f>
        <v/>
      </c>
      <c r="N355" s="0" t="str">
        <f aca="false">IF($B355="","",INDEX(BookDriver,$B355))</f>
        <v/>
      </c>
    </row>
    <row r="356" customFormat="false" ht="15" hidden="false" customHeight="false" outlineLevel="0" collapsed="false">
      <c r="A356" s="33" t="n">
        <v>351</v>
      </c>
      <c r="B356" s="0" t="str">
        <f aca="false">IFERROR(MATCH($A356,ChalSeq,0),"")</f>
        <v/>
      </c>
      <c r="C356" s="0" t="str">
        <f aca="false">IF($B356="","",INDEX(ChalGroup,$B356))</f>
        <v/>
      </c>
      <c r="D356" s="0" t="str">
        <f aca="false">IF($B356="","",INDEX(ChalDivision,$B356))</f>
        <v/>
      </c>
      <c r="E356" s="0" t="str">
        <f aca="false">IF($B356="","",INDEX(ChalUnit,$B356))</f>
        <v/>
      </c>
      <c r="F356" s="0" t="str">
        <f aca="false">IF($B356="","",INDEX(ChalTitle,$B356))</f>
        <v/>
      </c>
      <c r="G356" s="0" t="str">
        <f aca="false">IF($B356="","",INDEX(ChalLevel,$B356))</f>
        <v/>
      </c>
      <c r="H356" s="0" t="str">
        <f aca="false">IF($B356="","",INDEX(BookFamily,$B356))</f>
        <v/>
      </c>
      <c r="I356" s="0" t="str">
        <f aca="false">IF($B356="","",INDEX(BookWorkerType,$B356))</f>
        <v/>
      </c>
      <c r="J356" s="56" t="str">
        <f aca="false">IF($B356="","",INDEX(ChalEffective,$B356))</f>
        <v/>
      </c>
      <c r="K356" s="0" t="str">
        <f aca="false">IF($B356="","",INDEX(ChalStart,$B356))</f>
        <v/>
      </c>
      <c r="L356" s="57" t="str">
        <f aca="false">IF($B356="","",INDEX(ChalInYear,$B356))</f>
        <v/>
      </c>
      <c r="M356" s="57" t="str">
        <f aca="false">IF($B356="","",INDEX(ChalRunRate,$B356))</f>
        <v/>
      </c>
      <c r="N356" s="0" t="str">
        <f aca="false">IF($B356="","",INDEX(BookDriver,$B356))</f>
        <v/>
      </c>
    </row>
    <row r="357" customFormat="false" ht="15" hidden="false" customHeight="false" outlineLevel="0" collapsed="false">
      <c r="A357" s="33" t="n">
        <v>352</v>
      </c>
      <c r="B357" s="0" t="str">
        <f aca="false">IFERROR(MATCH($A357,ChalSeq,0),"")</f>
        <v/>
      </c>
      <c r="C357" s="0" t="str">
        <f aca="false">IF($B357="","",INDEX(ChalGroup,$B357))</f>
        <v/>
      </c>
      <c r="D357" s="0" t="str">
        <f aca="false">IF($B357="","",INDEX(ChalDivision,$B357))</f>
        <v/>
      </c>
      <c r="E357" s="0" t="str">
        <f aca="false">IF($B357="","",INDEX(ChalUnit,$B357))</f>
        <v/>
      </c>
      <c r="F357" s="0" t="str">
        <f aca="false">IF($B357="","",INDEX(ChalTitle,$B357))</f>
        <v/>
      </c>
      <c r="G357" s="0" t="str">
        <f aca="false">IF($B357="","",INDEX(ChalLevel,$B357))</f>
        <v/>
      </c>
      <c r="H357" s="0" t="str">
        <f aca="false">IF($B357="","",INDEX(BookFamily,$B357))</f>
        <v/>
      </c>
      <c r="I357" s="0" t="str">
        <f aca="false">IF($B357="","",INDEX(BookWorkerType,$B357))</f>
        <v/>
      </c>
      <c r="J357" s="56" t="str">
        <f aca="false">IF($B357="","",INDEX(ChalEffective,$B357))</f>
        <v/>
      </c>
      <c r="K357" s="0" t="str">
        <f aca="false">IF($B357="","",INDEX(ChalStart,$B357))</f>
        <v/>
      </c>
      <c r="L357" s="57" t="str">
        <f aca="false">IF($B357="","",INDEX(ChalInYear,$B357))</f>
        <v/>
      </c>
      <c r="M357" s="57" t="str">
        <f aca="false">IF($B357="","",INDEX(ChalRunRate,$B357))</f>
        <v/>
      </c>
      <c r="N357" s="0" t="str">
        <f aca="false">IF($B357="","",INDEX(BookDriver,$B357))</f>
        <v/>
      </c>
    </row>
    <row r="358" customFormat="false" ht="15" hidden="false" customHeight="false" outlineLevel="0" collapsed="false">
      <c r="A358" s="33" t="n">
        <v>353</v>
      </c>
      <c r="B358" s="0" t="str">
        <f aca="false">IFERROR(MATCH($A358,ChalSeq,0),"")</f>
        <v/>
      </c>
      <c r="C358" s="0" t="str">
        <f aca="false">IF($B358="","",INDEX(ChalGroup,$B358))</f>
        <v/>
      </c>
      <c r="D358" s="0" t="str">
        <f aca="false">IF($B358="","",INDEX(ChalDivision,$B358))</f>
        <v/>
      </c>
      <c r="E358" s="0" t="str">
        <f aca="false">IF($B358="","",INDEX(ChalUnit,$B358))</f>
        <v/>
      </c>
      <c r="F358" s="0" t="str">
        <f aca="false">IF($B358="","",INDEX(ChalTitle,$B358))</f>
        <v/>
      </c>
      <c r="G358" s="0" t="str">
        <f aca="false">IF($B358="","",INDEX(ChalLevel,$B358))</f>
        <v/>
      </c>
      <c r="H358" s="0" t="str">
        <f aca="false">IF($B358="","",INDEX(BookFamily,$B358))</f>
        <v/>
      </c>
      <c r="I358" s="0" t="str">
        <f aca="false">IF($B358="","",INDEX(BookWorkerType,$B358))</f>
        <v/>
      </c>
      <c r="J358" s="56" t="str">
        <f aca="false">IF($B358="","",INDEX(ChalEffective,$B358))</f>
        <v/>
      </c>
      <c r="K358" s="0" t="str">
        <f aca="false">IF($B358="","",INDEX(ChalStart,$B358))</f>
        <v/>
      </c>
      <c r="L358" s="57" t="str">
        <f aca="false">IF($B358="","",INDEX(ChalInYear,$B358))</f>
        <v/>
      </c>
      <c r="M358" s="57" t="str">
        <f aca="false">IF($B358="","",INDEX(ChalRunRate,$B358))</f>
        <v/>
      </c>
      <c r="N358" s="0" t="str">
        <f aca="false">IF($B358="","",INDEX(BookDriver,$B358))</f>
        <v/>
      </c>
    </row>
    <row r="359" customFormat="false" ht="15" hidden="false" customHeight="false" outlineLevel="0" collapsed="false">
      <c r="A359" s="33" t="n">
        <v>354</v>
      </c>
      <c r="B359" s="0" t="str">
        <f aca="false">IFERROR(MATCH($A359,ChalSeq,0),"")</f>
        <v/>
      </c>
      <c r="C359" s="0" t="str">
        <f aca="false">IF($B359="","",INDEX(ChalGroup,$B359))</f>
        <v/>
      </c>
      <c r="D359" s="0" t="str">
        <f aca="false">IF($B359="","",INDEX(ChalDivision,$B359))</f>
        <v/>
      </c>
      <c r="E359" s="0" t="str">
        <f aca="false">IF($B359="","",INDEX(ChalUnit,$B359))</f>
        <v/>
      </c>
      <c r="F359" s="0" t="str">
        <f aca="false">IF($B359="","",INDEX(ChalTitle,$B359))</f>
        <v/>
      </c>
      <c r="G359" s="0" t="str">
        <f aca="false">IF($B359="","",INDEX(ChalLevel,$B359))</f>
        <v/>
      </c>
      <c r="H359" s="0" t="str">
        <f aca="false">IF($B359="","",INDEX(BookFamily,$B359))</f>
        <v/>
      </c>
      <c r="I359" s="0" t="str">
        <f aca="false">IF($B359="","",INDEX(BookWorkerType,$B359))</f>
        <v/>
      </c>
      <c r="J359" s="56" t="str">
        <f aca="false">IF($B359="","",INDEX(ChalEffective,$B359))</f>
        <v/>
      </c>
      <c r="K359" s="0" t="str">
        <f aca="false">IF($B359="","",INDEX(ChalStart,$B359))</f>
        <v/>
      </c>
      <c r="L359" s="57" t="str">
        <f aca="false">IF($B359="","",INDEX(ChalInYear,$B359))</f>
        <v/>
      </c>
      <c r="M359" s="57" t="str">
        <f aca="false">IF($B359="","",INDEX(ChalRunRate,$B359))</f>
        <v/>
      </c>
      <c r="N359" s="0" t="str">
        <f aca="false">IF($B359="","",INDEX(BookDriver,$B359))</f>
        <v/>
      </c>
    </row>
    <row r="360" customFormat="false" ht="15" hidden="false" customHeight="false" outlineLevel="0" collapsed="false">
      <c r="A360" s="33" t="n">
        <v>355</v>
      </c>
      <c r="B360" s="0" t="str">
        <f aca="false">IFERROR(MATCH($A360,ChalSeq,0),"")</f>
        <v/>
      </c>
      <c r="C360" s="0" t="str">
        <f aca="false">IF($B360="","",INDEX(ChalGroup,$B360))</f>
        <v/>
      </c>
      <c r="D360" s="0" t="str">
        <f aca="false">IF($B360="","",INDEX(ChalDivision,$B360))</f>
        <v/>
      </c>
      <c r="E360" s="0" t="str">
        <f aca="false">IF($B360="","",INDEX(ChalUnit,$B360))</f>
        <v/>
      </c>
      <c r="F360" s="0" t="str">
        <f aca="false">IF($B360="","",INDEX(ChalTitle,$B360))</f>
        <v/>
      </c>
      <c r="G360" s="0" t="str">
        <f aca="false">IF($B360="","",INDEX(ChalLevel,$B360))</f>
        <v/>
      </c>
      <c r="H360" s="0" t="str">
        <f aca="false">IF($B360="","",INDEX(BookFamily,$B360))</f>
        <v/>
      </c>
      <c r="I360" s="0" t="str">
        <f aca="false">IF($B360="","",INDEX(BookWorkerType,$B360))</f>
        <v/>
      </c>
      <c r="J360" s="56" t="str">
        <f aca="false">IF($B360="","",INDEX(ChalEffective,$B360))</f>
        <v/>
      </c>
      <c r="K360" s="0" t="str">
        <f aca="false">IF($B360="","",INDEX(ChalStart,$B360))</f>
        <v/>
      </c>
      <c r="L360" s="57" t="str">
        <f aca="false">IF($B360="","",INDEX(ChalInYear,$B360))</f>
        <v/>
      </c>
      <c r="M360" s="57" t="str">
        <f aca="false">IF($B360="","",INDEX(ChalRunRate,$B360))</f>
        <v/>
      </c>
      <c r="N360" s="0" t="str">
        <f aca="false">IF($B360="","",INDEX(BookDriver,$B360))</f>
        <v/>
      </c>
    </row>
    <row r="361" customFormat="false" ht="15" hidden="false" customHeight="false" outlineLevel="0" collapsed="false">
      <c r="A361" s="33" t="n">
        <v>356</v>
      </c>
      <c r="B361" s="0" t="str">
        <f aca="false">IFERROR(MATCH($A361,ChalSeq,0),"")</f>
        <v/>
      </c>
      <c r="C361" s="0" t="str">
        <f aca="false">IF($B361="","",INDEX(ChalGroup,$B361))</f>
        <v/>
      </c>
      <c r="D361" s="0" t="str">
        <f aca="false">IF($B361="","",INDEX(ChalDivision,$B361))</f>
        <v/>
      </c>
      <c r="E361" s="0" t="str">
        <f aca="false">IF($B361="","",INDEX(ChalUnit,$B361))</f>
        <v/>
      </c>
      <c r="F361" s="0" t="str">
        <f aca="false">IF($B361="","",INDEX(ChalTitle,$B361))</f>
        <v/>
      </c>
      <c r="G361" s="0" t="str">
        <f aca="false">IF($B361="","",INDEX(ChalLevel,$B361))</f>
        <v/>
      </c>
      <c r="H361" s="0" t="str">
        <f aca="false">IF($B361="","",INDEX(BookFamily,$B361))</f>
        <v/>
      </c>
      <c r="I361" s="0" t="str">
        <f aca="false">IF($B361="","",INDEX(BookWorkerType,$B361))</f>
        <v/>
      </c>
      <c r="J361" s="56" t="str">
        <f aca="false">IF($B361="","",INDEX(ChalEffective,$B361))</f>
        <v/>
      </c>
      <c r="K361" s="0" t="str">
        <f aca="false">IF($B361="","",INDEX(ChalStart,$B361))</f>
        <v/>
      </c>
      <c r="L361" s="57" t="str">
        <f aca="false">IF($B361="","",INDEX(ChalInYear,$B361))</f>
        <v/>
      </c>
      <c r="M361" s="57" t="str">
        <f aca="false">IF($B361="","",INDEX(ChalRunRate,$B361))</f>
        <v/>
      </c>
      <c r="N361" s="0" t="str">
        <f aca="false">IF($B361="","",INDEX(BookDriver,$B361))</f>
        <v/>
      </c>
    </row>
    <row r="362" customFormat="false" ht="15" hidden="false" customHeight="false" outlineLevel="0" collapsed="false">
      <c r="A362" s="33" t="n">
        <v>357</v>
      </c>
      <c r="B362" s="0" t="str">
        <f aca="false">IFERROR(MATCH($A362,ChalSeq,0),"")</f>
        <v/>
      </c>
      <c r="C362" s="0" t="str">
        <f aca="false">IF($B362="","",INDEX(ChalGroup,$B362))</f>
        <v/>
      </c>
      <c r="D362" s="0" t="str">
        <f aca="false">IF($B362="","",INDEX(ChalDivision,$B362))</f>
        <v/>
      </c>
      <c r="E362" s="0" t="str">
        <f aca="false">IF($B362="","",INDEX(ChalUnit,$B362))</f>
        <v/>
      </c>
      <c r="F362" s="0" t="str">
        <f aca="false">IF($B362="","",INDEX(ChalTitle,$B362))</f>
        <v/>
      </c>
      <c r="G362" s="0" t="str">
        <f aca="false">IF($B362="","",INDEX(ChalLevel,$B362))</f>
        <v/>
      </c>
      <c r="H362" s="0" t="str">
        <f aca="false">IF($B362="","",INDEX(BookFamily,$B362))</f>
        <v/>
      </c>
      <c r="I362" s="0" t="str">
        <f aca="false">IF($B362="","",INDEX(BookWorkerType,$B362))</f>
        <v/>
      </c>
      <c r="J362" s="56" t="str">
        <f aca="false">IF($B362="","",INDEX(ChalEffective,$B362))</f>
        <v/>
      </c>
      <c r="K362" s="0" t="str">
        <f aca="false">IF($B362="","",INDEX(ChalStart,$B362))</f>
        <v/>
      </c>
      <c r="L362" s="57" t="str">
        <f aca="false">IF($B362="","",INDEX(ChalInYear,$B362))</f>
        <v/>
      </c>
      <c r="M362" s="57" t="str">
        <f aca="false">IF($B362="","",INDEX(ChalRunRate,$B362))</f>
        <v/>
      </c>
      <c r="N362" s="0" t="str">
        <f aca="false">IF($B362="","",INDEX(BookDriver,$B362))</f>
        <v/>
      </c>
    </row>
    <row r="363" customFormat="false" ht="15" hidden="false" customHeight="false" outlineLevel="0" collapsed="false">
      <c r="A363" s="33" t="n">
        <v>358</v>
      </c>
      <c r="B363" s="0" t="str">
        <f aca="false">IFERROR(MATCH($A363,ChalSeq,0),"")</f>
        <v/>
      </c>
      <c r="C363" s="0" t="str">
        <f aca="false">IF($B363="","",INDEX(ChalGroup,$B363))</f>
        <v/>
      </c>
      <c r="D363" s="0" t="str">
        <f aca="false">IF($B363="","",INDEX(ChalDivision,$B363))</f>
        <v/>
      </c>
      <c r="E363" s="0" t="str">
        <f aca="false">IF($B363="","",INDEX(ChalUnit,$B363))</f>
        <v/>
      </c>
      <c r="F363" s="0" t="str">
        <f aca="false">IF($B363="","",INDEX(ChalTitle,$B363))</f>
        <v/>
      </c>
      <c r="G363" s="0" t="str">
        <f aca="false">IF($B363="","",INDEX(ChalLevel,$B363))</f>
        <v/>
      </c>
      <c r="H363" s="0" t="str">
        <f aca="false">IF($B363="","",INDEX(BookFamily,$B363))</f>
        <v/>
      </c>
      <c r="I363" s="0" t="str">
        <f aca="false">IF($B363="","",INDEX(BookWorkerType,$B363))</f>
        <v/>
      </c>
      <c r="J363" s="56" t="str">
        <f aca="false">IF($B363="","",INDEX(ChalEffective,$B363))</f>
        <v/>
      </c>
      <c r="K363" s="0" t="str">
        <f aca="false">IF($B363="","",INDEX(ChalStart,$B363))</f>
        <v/>
      </c>
      <c r="L363" s="57" t="str">
        <f aca="false">IF($B363="","",INDEX(ChalInYear,$B363))</f>
        <v/>
      </c>
      <c r="M363" s="57" t="str">
        <f aca="false">IF($B363="","",INDEX(ChalRunRate,$B363))</f>
        <v/>
      </c>
      <c r="N363" s="0" t="str">
        <f aca="false">IF($B363="","",INDEX(BookDriver,$B363))</f>
        <v/>
      </c>
    </row>
    <row r="364" customFormat="false" ht="15" hidden="false" customHeight="false" outlineLevel="0" collapsed="false">
      <c r="A364" s="33" t="n">
        <v>359</v>
      </c>
      <c r="B364" s="0" t="str">
        <f aca="false">IFERROR(MATCH($A364,ChalSeq,0),"")</f>
        <v/>
      </c>
      <c r="C364" s="0" t="str">
        <f aca="false">IF($B364="","",INDEX(ChalGroup,$B364))</f>
        <v/>
      </c>
      <c r="D364" s="0" t="str">
        <f aca="false">IF($B364="","",INDEX(ChalDivision,$B364))</f>
        <v/>
      </c>
      <c r="E364" s="0" t="str">
        <f aca="false">IF($B364="","",INDEX(ChalUnit,$B364))</f>
        <v/>
      </c>
      <c r="F364" s="0" t="str">
        <f aca="false">IF($B364="","",INDEX(ChalTitle,$B364))</f>
        <v/>
      </c>
      <c r="G364" s="0" t="str">
        <f aca="false">IF($B364="","",INDEX(ChalLevel,$B364))</f>
        <v/>
      </c>
      <c r="H364" s="0" t="str">
        <f aca="false">IF($B364="","",INDEX(BookFamily,$B364))</f>
        <v/>
      </c>
      <c r="I364" s="0" t="str">
        <f aca="false">IF($B364="","",INDEX(BookWorkerType,$B364))</f>
        <v/>
      </c>
      <c r="J364" s="56" t="str">
        <f aca="false">IF($B364="","",INDEX(ChalEffective,$B364))</f>
        <v/>
      </c>
      <c r="K364" s="0" t="str">
        <f aca="false">IF($B364="","",INDEX(ChalStart,$B364))</f>
        <v/>
      </c>
      <c r="L364" s="57" t="str">
        <f aca="false">IF($B364="","",INDEX(ChalInYear,$B364))</f>
        <v/>
      </c>
      <c r="M364" s="57" t="str">
        <f aca="false">IF($B364="","",INDEX(ChalRunRate,$B364))</f>
        <v/>
      </c>
      <c r="N364" s="0" t="str">
        <f aca="false">IF($B364="","",INDEX(BookDriver,$B364))</f>
        <v/>
      </c>
    </row>
    <row r="365" customFormat="false" ht="15" hidden="false" customHeight="false" outlineLevel="0" collapsed="false">
      <c r="A365" s="33" t="n">
        <v>360</v>
      </c>
      <c r="B365" s="0" t="str">
        <f aca="false">IFERROR(MATCH($A365,ChalSeq,0),"")</f>
        <v/>
      </c>
      <c r="C365" s="0" t="str">
        <f aca="false">IF($B365="","",INDEX(ChalGroup,$B365))</f>
        <v/>
      </c>
      <c r="D365" s="0" t="str">
        <f aca="false">IF($B365="","",INDEX(ChalDivision,$B365))</f>
        <v/>
      </c>
      <c r="E365" s="0" t="str">
        <f aca="false">IF($B365="","",INDEX(ChalUnit,$B365))</f>
        <v/>
      </c>
      <c r="F365" s="0" t="str">
        <f aca="false">IF($B365="","",INDEX(ChalTitle,$B365))</f>
        <v/>
      </c>
      <c r="G365" s="0" t="str">
        <f aca="false">IF($B365="","",INDEX(ChalLevel,$B365))</f>
        <v/>
      </c>
      <c r="H365" s="0" t="str">
        <f aca="false">IF($B365="","",INDEX(BookFamily,$B365))</f>
        <v/>
      </c>
      <c r="I365" s="0" t="str">
        <f aca="false">IF($B365="","",INDEX(BookWorkerType,$B365))</f>
        <v/>
      </c>
      <c r="J365" s="56" t="str">
        <f aca="false">IF($B365="","",INDEX(ChalEffective,$B365))</f>
        <v/>
      </c>
      <c r="K365" s="0" t="str">
        <f aca="false">IF($B365="","",INDEX(ChalStart,$B365))</f>
        <v/>
      </c>
      <c r="L365" s="57" t="str">
        <f aca="false">IF($B365="","",INDEX(ChalInYear,$B365))</f>
        <v/>
      </c>
      <c r="M365" s="57" t="str">
        <f aca="false">IF($B365="","",INDEX(ChalRunRate,$B365))</f>
        <v/>
      </c>
      <c r="N365" s="0" t="str">
        <f aca="false">IF($B365="","",INDEX(BookDriver,$B365))</f>
        <v/>
      </c>
    </row>
    <row r="366" customFormat="false" ht="15" hidden="false" customHeight="false" outlineLevel="0" collapsed="false">
      <c r="A366" s="33" t="n">
        <v>361</v>
      </c>
      <c r="B366" s="0" t="str">
        <f aca="false">IFERROR(MATCH($A366,ChalSeq,0),"")</f>
        <v/>
      </c>
      <c r="C366" s="0" t="str">
        <f aca="false">IF($B366="","",INDEX(ChalGroup,$B366))</f>
        <v/>
      </c>
      <c r="D366" s="0" t="str">
        <f aca="false">IF($B366="","",INDEX(ChalDivision,$B366))</f>
        <v/>
      </c>
      <c r="E366" s="0" t="str">
        <f aca="false">IF($B366="","",INDEX(ChalUnit,$B366))</f>
        <v/>
      </c>
      <c r="F366" s="0" t="str">
        <f aca="false">IF($B366="","",INDEX(ChalTitle,$B366))</f>
        <v/>
      </c>
      <c r="G366" s="0" t="str">
        <f aca="false">IF($B366="","",INDEX(ChalLevel,$B366))</f>
        <v/>
      </c>
      <c r="H366" s="0" t="str">
        <f aca="false">IF($B366="","",INDEX(BookFamily,$B366))</f>
        <v/>
      </c>
      <c r="I366" s="0" t="str">
        <f aca="false">IF($B366="","",INDEX(BookWorkerType,$B366))</f>
        <v/>
      </c>
      <c r="J366" s="56" t="str">
        <f aca="false">IF($B366="","",INDEX(ChalEffective,$B366))</f>
        <v/>
      </c>
      <c r="K366" s="0" t="str">
        <f aca="false">IF($B366="","",INDEX(ChalStart,$B366))</f>
        <v/>
      </c>
      <c r="L366" s="57" t="str">
        <f aca="false">IF($B366="","",INDEX(ChalInYear,$B366))</f>
        <v/>
      </c>
      <c r="M366" s="57" t="str">
        <f aca="false">IF($B366="","",INDEX(ChalRunRate,$B366))</f>
        <v/>
      </c>
      <c r="N366" s="0" t="str">
        <f aca="false">IF($B366="","",INDEX(BookDriver,$B366))</f>
        <v/>
      </c>
    </row>
    <row r="367" customFormat="false" ht="15" hidden="false" customHeight="false" outlineLevel="0" collapsed="false">
      <c r="A367" s="33" t="n">
        <v>362</v>
      </c>
      <c r="B367" s="0" t="str">
        <f aca="false">IFERROR(MATCH($A367,ChalSeq,0),"")</f>
        <v/>
      </c>
      <c r="C367" s="0" t="str">
        <f aca="false">IF($B367="","",INDEX(ChalGroup,$B367))</f>
        <v/>
      </c>
      <c r="D367" s="0" t="str">
        <f aca="false">IF($B367="","",INDEX(ChalDivision,$B367))</f>
        <v/>
      </c>
      <c r="E367" s="0" t="str">
        <f aca="false">IF($B367="","",INDEX(ChalUnit,$B367))</f>
        <v/>
      </c>
      <c r="F367" s="0" t="str">
        <f aca="false">IF($B367="","",INDEX(ChalTitle,$B367))</f>
        <v/>
      </c>
      <c r="G367" s="0" t="str">
        <f aca="false">IF($B367="","",INDEX(ChalLevel,$B367))</f>
        <v/>
      </c>
      <c r="H367" s="0" t="str">
        <f aca="false">IF($B367="","",INDEX(BookFamily,$B367))</f>
        <v/>
      </c>
      <c r="I367" s="0" t="str">
        <f aca="false">IF($B367="","",INDEX(BookWorkerType,$B367))</f>
        <v/>
      </c>
      <c r="J367" s="56" t="str">
        <f aca="false">IF($B367="","",INDEX(ChalEffective,$B367))</f>
        <v/>
      </c>
      <c r="K367" s="0" t="str">
        <f aca="false">IF($B367="","",INDEX(ChalStart,$B367))</f>
        <v/>
      </c>
      <c r="L367" s="57" t="str">
        <f aca="false">IF($B367="","",INDEX(ChalInYear,$B367))</f>
        <v/>
      </c>
      <c r="M367" s="57" t="str">
        <f aca="false">IF($B367="","",INDEX(ChalRunRate,$B367))</f>
        <v/>
      </c>
      <c r="N367" s="0" t="str">
        <f aca="false">IF($B367="","",INDEX(BookDriver,$B367))</f>
        <v/>
      </c>
    </row>
    <row r="368" customFormat="false" ht="15" hidden="false" customHeight="false" outlineLevel="0" collapsed="false">
      <c r="A368" s="33" t="n">
        <v>363</v>
      </c>
      <c r="B368" s="0" t="str">
        <f aca="false">IFERROR(MATCH($A368,ChalSeq,0),"")</f>
        <v/>
      </c>
      <c r="C368" s="0" t="str">
        <f aca="false">IF($B368="","",INDEX(ChalGroup,$B368))</f>
        <v/>
      </c>
      <c r="D368" s="0" t="str">
        <f aca="false">IF($B368="","",INDEX(ChalDivision,$B368))</f>
        <v/>
      </c>
      <c r="E368" s="0" t="str">
        <f aca="false">IF($B368="","",INDEX(ChalUnit,$B368))</f>
        <v/>
      </c>
      <c r="F368" s="0" t="str">
        <f aca="false">IF($B368="","",INDEX(ChalTitle,$B368))</f>
        <v/>
      </c>
      <c r="G368" s="0" t="str">
        <f aca="false">IF($B368="","",INDEX(ChalLevel,$B368))</f>
        <v/>
      </c>
      <c r="H368" s="0" t="str">
        <f aca="false">IF($B368="","",INDEX(BookFamily,$B368))</f>
        <v/>
      </c>
      <c r="I368" s="0" t="str">
        <f aca="false">IF($B368="","",INDEX(BookWorkerType,$B368))</f>
        <v/>
      </c>
      <c r="J368" s="56" t="str">
        <f aca="false">IF($B368="","",INDEX(ChalEffective,$B368))</f>
        <v/>
      </c>
      <c r="K368" s="0" t="str">
        <f aca="false">IF($B368="","",INDEX(ChalStart,$B368))</f>
        <v/>
      </c>
      <c r="L368" s="57" t="str">
        <f aca="false">IF($B368="","",INDEX(ChalInYear,$B368))</f>
        <v/>
      </c>
      <c r="M368" s="57" t="str">
        <f aca="false">IF($B368="","",INDEX(ChalRunRate,$B368))</f>
        <v/>
      </c>
      <c r="N368" s="0" t="str">
        <f aca="false">IF($B368="","",INDEX(BookDriver,$B368))</f>
        <v/>
      </c>
    </row>
    <row r="369" customFormat="false" ht="15" hidden="false" customHeight="false" outlineLevel="0" collapsed="false">
      <c r="A369" s="33" t="n">
        <v>364</v>
      </c>
      <c r="B369" s="0" t="str">
        <f aca="false">IFERROR(MATCH($A369,ChalSeq,0),"")</f>
        <v/>
      </c>
      <c r="C369" s="0" t="str">
        <f aca="false">IF($B369="","",INDEX(ChalGroup,$B369))</f>
        <v/>
      </c>
      <c r="D369" s="0" t="str">
        <f aca="false">IF($B369="","",INDEX(ChalDivision,$B369))</f>
        <v/>
      </c>
      <c r="E369" s="0" t="str">
        <f aca="false">IF($B369="","",INDEX(ChalUnit,$B369))</f>
        <v/>
      </c>
      <c r="F369" s="0" t="str">
        <f aca="false">IF($B369="","",INDEX(ChalTitle,$B369))</f>
        <v/>
      </c>
      <c r="G369" s="0" t="str">
        <f aca="false">IF($B369="","",INDEX(ChalLevel,$B369))</f>
        <v/>
      </c>
      <c r="H369" s="0" t="str">
        <f aca="false">IF($B369="","",INDEX(BookFamily,$B369))</f>
        <v/>
      </c>
      <c r="I369" s="0" t="str">
        <f aca="false">IF($B369="","",INDEX(BookWorkerType,$B369))</f>
        <v/>
      </c>
      <c r="J369" s="56" t="str">
        <f aca="false">IF($B369="","",INDEX(ChalEffective,$B369))</f>
        <v/>
      </c>
      <c r="K369" s="0" t="str">
        <f aca="false">IF($B369="","",INDEX(ChalStart,$B369))</f>
        <v/>
      </c>
      <c r="L369" s="57" t="str">
        <f aca="false">IF($B369="","",INDEX(ChalInYear,$B369))</f>
        <v/>
      </c>
      <c r="M369" s="57" t="str">
        <f aca="false">IF($B369="","",INDEX(ChalRunRate,$B369))</f>
        <v/>
      </c>
      <c r="N369" s="0" t="str">
        <f aca="false">IF($B369="","",INDEX(BookDriver,$B369))</f>
        <v/>
      </c>
    </row>
    <row r="370" customFormat="false" ht="15" hidden="false" customHeight="false" outlineLevel="0" collapsed="false">
      <c r="A370" s="33" t="n">
        <v>365</v>
      </c>
      <c r="B370" s="0" t="str">
        <f aca="false">IFERROR(MATCH($A370,ChalSeq,0),"")</f>
        <v/>
      </c>
      <c r="C370" s="0" t="str">
        <f aca="false">IF($B370="","",INDEX(ChalGroup,$B370))</f>
        <v/>
      </c>
      <c r="D370" s="0" t="str">
        <f aca="false">IF($B370="","",INDEX(ChalDivision,$B370))</f>
        <v/>
      </c>
      <c r="E370" s="0" t="str">
        <f aca="false">IF($B370="","",INDEX(ChalUnit,$B370))</f>
        <v/>
      </c>
      <c r="F370" s="0" t="str">
        <f aca="false">IF($B370="","",INDEX(ChalTitle,$B370))</f>
        <v/>
      </c>
      <c r="G370" s="0" t="str">
        <f aca="false">IF($B370="","",INDEX(ChalLevel,$B370))</f>
        <v/>
      </c>
      <c r="H370" s="0" t="str">
        <f aca="false">IF($B370="","",INDEX(BookFamily,$B370))</f>
        <v/>
      </c>
      <c r="I370" s="0" t="str">
        <f aca="false">IF($B370="","",INDEX(BookWorkerType,$B370))</f>
        <v/>
      </c>
      <c r="J370" s="56" t="str">
        <f aca="false">IF($B370="","",INDEX(ChalEffective,$B370))</f>
        <v/>
      </c>
      <c r="K370" s="0" t="str">
        <f aca="false">IF($B370="","",INDEX(ChalStart,$B370))</f>
        <v/>
      </c>
      <c r="L370" s="57" t="str">
        <f aca="false">IF($B370="","",INDEX(ChalInYear,$B370))</f>
        <v/>
      </c>
      <c r="M370" s="57" t="str">
        <f aca="false">IF($B370="","",INDEX(ChalRunRate,$B370))</f>
        <v/>
      </c>
      <c r="N370" s="0" t="str">
        <f aca="false">IF($B370="","",INDEX(BookDriver,$B370))</f>
        <v/>
      </c>
    </row>
    <row r="371" customFormat="false" ht="15" hidden="false" customHeight="false" outlineLevel="0" collapsed="false">
      <c r="A371" s="33" t="n">
        <v>366</v>
      </c>
      <c r="B371" s="0" t="str">
        <f aca="false">IFERROR(MATCH($A371,ChalSeq,0),"")</f>
        <v/>
      </c>
      <c r="C371" s="0" t="str">
        <f aca="false">IF($B371="","",INDEX(ChalGroup,$B371))</f>
        <v/>
      </c>
      <c r="D371" s="0" t="str">
        <f aca="false">IF($B371="","",INDEX(ChalDivision,$B371))</f>
        <v/>
      </c>
      <c r="E371" s="0" t="str">
        <f aca="false">IF($B371="","",INDEX(ChalUnit,$B371))</f>
        <v/>
      </c>
      <c r="F371" s="0" t="str">
        <f aca="false">IF($B371="","",INDEX(ChalTitle,$B371))</f>
        <v/>
      </c>
      <c r="G371" s="0" t="str">
        <f aca="false">IF($B371="","",INDEX(ChalLevel,$B371))</f>
        <v/>
      </c>
      <c r="H371" s="0" t="str">
        <f aca="false">IF($B371="","",INDEX(BookFamily,$B371))</f>
        <v/>
      </c>
      <c r="I371" s="0" t="str">
        <f aca="false">IF($B371="","",INDEX(BookWorkerType,$B371))</f>
        <v/>
      </c>
      <c r="J371" s="56" t="str">
        <f aca="false">IF($B371="","",INDEX(ChalEffective,$B371))</f>
        <v/>
      </c>
      <c r="K371" s="0" t="str">
        <f aca="false">IF($B371="","",INDEX(ChalStart,$B371))</f>
        <v/>
      </c>
      <c r="L371" s="57" t="str">
        <f aca="false">IF($B371="","",INDEX(ChalInYear,$B371))</f>
        <v/>
      </c>
      <c r="M371" s="57" t="str">
        <f aca="false">IF($B371="","",INDEX(ChalRunRate,$B371))</f>
        <v/>
      </c>
      <c r="N371" s="0" t="str">
        <f aca="false">IF($B371="","",INDEX(BookDriver,$B371))</f>
        <v/>
      </c>
    </row>
    <row r="372" customFormat="false" ht="15" hidden="false" customHeight="false" outlineLevel="0" collapsed="false">
      <c r="A372" s="33" t="n">
        <v>367</v>
      </c>
      <c r="B372" s="0" t="str">
        <f aca="false">IFERROR(MATCH($A372,ChalSeq,0),"")</f>
        <v/>
      </c>
      <c r="C372" s="0" t="str">
        <f aca="false">IF($B372="","",INDEX(ChalGroup,$B372))</f>
        <v/>
      </c>
      <c r="D372" s="0" t="str">
        <f aca="false">IF($B372="","",INDEX(ChalDivision,$B372))</f>
        <v/>
      </c>
      <c r="E372" s="0" t="str">
        <f aca="false">IF($B372="","",INDEX(ChalUnit,$B372))</f>
        <v/>
      </c>
      <c r="F372" s="0" t="str">
        <f aca="false">IF($B372="","",INDEX(ChalTitle,$B372))</f>
        <v/>
      </c>
      <c r="G372" s="0" t="str">
        <f aca="false">IF($B372="","",INDEX(ChalLevel,$B372))</f>
        <v/>
      </c>
      <c r="H372" s="0" t="str">
        <f aca="false">IF($B372="","",INDEX(BookFamily,$B372))</f>
        <v/>
      </c>
      <c r="I372" s="0" t="str">
        <f aca="false">IF($B372="","",INDEX(BookWorkerType,$B372))</f>
        <v/>
      </c>
      <c r="J372" s="56" t="str">
        <f aca="false">IF($B372="","",INDEX(ChalEffective,$B372))</f>
        <v/>
      </c>
      <c r="K372" s="0" t="str">
        <f aca="false">IF($B372="","",INDEX(ChalStart,$B372))</f>
        <v/>
      </c>
      <c r="L372" s="57" t="str">
        <f aca="false">IF($B372="","",INDEX(ChalInYear,$B372))</f>
        <v/>
      </c>
      <c r="M372" s="57" t="str">
        <f aca="false">IF($B372="","",INDEX(ChalRunRate,$B372))</f>
        <v/>
      </c>
      <c r="N372" s="0" t="str">
        <f aca="false">IF($B372="","",INDEX(BookDriver,$B372))</f>
        <v/>
      </c>
    </row>
    <row r="373" customFormat="false" ht="15" hidden="false" customHeight="false" outlineLevel="0" collapsed="false">
      <c r="A373" s="33" t="n">
        <v>368</v>
      </c>
      <c r="B373" s="0" t="str">
        <f aca="false">IFERROR(MATCH($A373,ChalSeq,0),"")</f>
        <v/>
      </c>
      <c r="C373" s="0" t="str">
        <f aca="false">IF($B373="","",INDEX(ChalGroup,$B373))</f>
        <v/>
      </c>
      <c r="D373" s="0" t="str">
        <f aca="false">IF($B373="","",INDEX(ChalDivision,$B373))</f>
        <v/>
      </c>
      <c r="E373" s="0" t="str">
        <f aca="false">IF($B373="","",INDEX(ChalUnit,$B373))</f>
        <v/>
      </c>
      <c r="F373" s="0" t="str">
        <f aca="false">IF($B373="","",INDEX(ChalTitle,$B373))</f>
        <v/>
      </c>
      <c r="G373" s="0" t="str">
        <f aca="false">IF($B373="","",INDEX(ChalLevel,$B373))</f>
        <v/>
      </c>
      <c r="H373" s="0" t="str">
        <f aca="false">IF($B373="","",INDEX(BookFamily,$B373))</f>
        <v/>
      </c>
      <c r="I373" s="0" t="str">
        <f aca="false">IF($B373="","",INDEX(BookWorkerType,$B373))</f>
        <v/>
      </c>
      <c r="J373" s="56" t="str">
        <f aca="false">IF($B373="","",INDEX(ChalEffective,$B373))</f>
        <v/>
      </c>
      <c r="K373" s="0" t="str">
        <f aca="false">IF($B373="","",INDEX(ChalStart,$B373))</f>
        <v/>
      </c>
      <c r="L373" s="57" t="str">
        <f aca="false">IF($B373="","",INDEX(ChalInYear,$B373))</f>
        <v/>
      </c>
      <c r="M373" s="57" t="str">
        <f aca="false">IF($B373="","",INDEX(ChalRunRate,$B373))</f>
        <v/>
      </c>
      <c r="N373" s="0" t="str">
        <f aca="false">IF($B373="","",INDEX(BookDriver,$B373))</f>
        <v/>
      </c>
    </row>
    <row r="374" customFormat="false" ht="15" hidden="false" customHeight="false" outlineLevel="0" collapsed="false">
      <c r="A374" s="33" t="n">
        <v>369</v>
      </c>
      <c r="B374" s="0" t="str">
        <f aca="false">IFERROR(MATCH($A374,ChalSeq,0),"")</f>
        <v/>
      </c>
      <c r="C374" s="0" t="str">
        <f aca="false">IF($B374="","",INDEX(ChalGroup,$B374))</f>
        <v/>
      </c>
      <c r="D374" s="0" t="str">
        <f aca="false">IF($B374="","",INDEX(ChalDivision,$B374))</f>
        <v/>
      </c>
      <c r="E374" s="0" t="str">
        <f aca="false">IF($B374="","",INDEX(ChalUnit,$B374))</f>
        <v/>
      </c>
      <c r="F374" s="0" t="str">
        <f aca="false">IF($B374="","",INDEX(ChalTitle,$B374))</f>
        <v/>
      </c>
      <c r="G374" s="0" t="str">
        <f aca="false">IF($B374="","",INDEX(ChalLevel,$B374))</f>
        <v/>
      </c>
      <c r="H374" s="0" t="str">
        <f aca="false">IF($B374="","",INDEX(BookFamily,$B374))</f>
        <v/>
      </c>
      <c r="I374" s="0" t="str">
        <f aca="false">IF($B374="","",INDEX(BookWorkerType,$B374))</f>
        <v/>
      </c>
      <c r="J374" s="56" t="str">
        <f aca="false">IF($B374="","",INDEX(ChalEffective,$B374))</f>
        <v/>
      </c>
      <c r="K374" s="0" t="str">
        <f aca="false">IF($B374="","",INDEX(ChalStart,$B374))</f>
        <v/>
      </c>
      <c r="L374" s="57" t="str">
        <f aca="false">IF($B374="","",INDEX(ChalInYear,$B374))</f>
        <v/>
      </c>
      <c r="M374" s="57" t="str">
        <f aca="false">IF($B374="","",INDEX(ChalRunRate,$B374))</f>
        <v/>
      </c>
      <c r="N374" s="0" t="str">
        <f aca="false">IF($B374="","",INDEX(BookDriver,$B374))</f>
        <v/>
      </c>
    </row>
    <row r="375" customFormat="false" ht="15" hidden="false" customHeight="false" outlineLevel="0" collapsed="false">
      <c r="A375" s="33" t="n">
        <v>370</v>
      </c>
      <c r="B375" s="0" t="str">
        <f aca="false">IFERROR(MATCH($A375,ChalSeq,0),"")</f>
        <v/>
      </c>
      <c r="C375" s="0" t="str">
        <f aca="false">IF($B375="","",INDEX(ChalGroup,$B375))</f>
        <v/>
      </c>
      <c r="D375" s="0" t="str">
        <f aca="false">IF($B375="","",INDEX(ChalDivision,$B375))</f>
        <v/>
      </c>
      <c r="E375" s="0" t="str">
        <f aca="false">IF($B375="","",INDEX(ChalUnit,$B375))</f>
        <v/>
      </c>
      <c r="F375" s="0" t="str">
        <f aca="false">IF($B375="","",INDEX(ChalTitle,$B375))</f>
        <v/>
      </c>
      <c r="G375" s="0" t="str">
        <f aca="false">IF($B375="","",INDEX(ChalLevel,$B375))</f>
        <v/>
      </c>
      <c r="H375" s="0" t="str">
        <f aca="false">IF($B375="","",INDEX(BookFamily,$B375))</f>
        <v/>
      </c>
      <c r="I375" s="0" t="str">
        <f aca="false">IF($B375="","",INDEX(BookWorkerType,$B375))</f>
        <v/>
      </c>
      <c r="J375" s="56" t="str">
        <f aca="false">IF($B375="","",INDEX(ChalEffective,$B375))</f>
        <v/>
      </c>
      <c r="K375" s="0" t="str">
        <f aca="false">IF($B375="","",INDEX(ChalStart,$B375))</f>
        <v/>
      </c>
      <c r="L375" s="57" t="str">
        <f aca="false">IF($B375="","",INDEX(ChalInYear,$B375))</f>
        <v/>
      </c>
      <c r="M375" s="57" t="str">
        <f aca="false">IF($B375="","",INDEX(ChalRunRate,$B375))</f>
        <v/>
      </c>
      <c r="N375" s="0" t="str">
        <f aca="false">IF($B375="","",INDEX(BookDriver,$B375))</f>
        <v/>
      </c>
    </row>
    <row r="376" customFormat="false" ht="15" hidden="false" customHeight="false" outlineLevel="0" collapsed="false">
      <c r="A376" s="33" t="n">
        <v>371</v>
      </c>
      <c r="B376" s="0" t="str">
        <f aca="false">IFERROR(MATCH($A376,ChalSeq,0),"")</f>
        <v/>
      </c>
      <c r="C376" s="0" t="str">
        <f aca="false">IF($B376="","",INDEX(ChalGroup,$B376))</f>
        <v/>
      </c>
      <c r="D376" s="0" t="str">
        <f aca="false">IF($B376="","",INDEX(ChalDivision,$B376))</f>
        <v/>
      </c>
      <c r="E376" s="0" t="str">
        <f aca="false">IF($B376="","",INDEX(ChalUnit,$B376))</f>
        <v/>
      </c>
      <c r="F376" s="0" t="str">
        <f aca="false">IF($B376="","",INDEX(ChalTitle,$B376))</f>
        <v/>
      </c>
      <c r="G376" s="0" t="str">
        <f aca="false">IF($B376="","",INDEX(ChalLevel,$B376))</f>
        <v/>
      </c>
      <c r="H376" s="0" t="str">
        <f aca="false">IF($B376="","",INDEX(BookFamily,$B376))</f>
        <v/>
      </c>
      <c r="I376" s="0" t="str">
        <f aca="false">IF($B376="","",INDEX(BookWorkerType,$B376))</f>
        <v/>
      </c>
      <c r="J376" s="56" t="str">
        <f aca="false">IF($B376="","",INDEX(ChalEffective,$B376))</f>
        <v/>
      </c>
      <c r="K376" s="0" t="str">
        <f aca="false">IF($B376="","",INDEX(ChalStart,$B376))</f>
        <v/>
      </c>
      <c r="L376" s="57" t="str">
        <f aca="false">IF($B376="","",INDEX(ChalInYear,$B376))</f>
        <v/>
      </c>
      <c r="M376" s="57" t="str">
        <f aca="false">IF($B376="","",INDEX(ChalRunRate,$B376))</f>
        <v/>
      </c>
      <c r="N376" s="0" t="str">
        <f aca="false">IF($B376="","",INDEX(BookDriver,$B376))</f>
        <v/>
      </c>
    </row>
    <row r="377" customFormat="false" ht="15" hidden="false" customHeight="false" outlineLevel="0" collapsed="false">
      <c r="A377" s="33" t="n">
        <v>372</v>
      </c>
      <c r="B377" s="0" t="str">
        <f aca="false">IFERROR(MATCH($A377,ChalSeq,0),"")</f>
        <v/>
      </c>
      <c r="C377" s="0" t="str">
        <f aca="false">IF($B377="","",INDEX(ChalGroup,$B377))</f>
        <v/>
      </c>
      <c r="D377" s="0" t="str">
        <f aca="false">IF($B377="","",INDEX(ChalDivision,$B377))</f>
        <v/>
      </c>
      <c r="E377" s="0" t="str">
        <f aca="false">IF($B377="","",INDEX(ChalUnit,$B377))</f>
        <v/>
      </c>
      <c r="F377" s="0" t="str">
        <f aca="false">IF($B377="","",INDEX(ChalTitle,$B377))</f>
        <v/>
      </c>
      <c r="G377" s="0" t="str">
        <f aca="false">IF($B377="","",INDEX(ChalLevel,$B377))</f>
        <v/>
      </c>
      <c r="H377" s="0" t="str">
        <f aca="false">IF($B377="","",INDEX(BookFamily,$B377))</f>
        <v/>
      </c>
      <c r="I377" s="0" t="str">
        <f aca="false">IF($B377="","",INDEX(BookWorkerType,$B377))</f>
        <v/>
      </c>
      <c r="J377" s="56" t="str">
        <f aca="false">IF($B377="","",INDEX(ChalEffective,$B377))</f>
        <v/>
      </c>
      <c r="K377" s="0" t="str">
        <f aca="false">IF($B377="","",INDEX(ChalStart,$B377))</f>
        <v/>
      </c>
      <c r="L377" s="57" t="str">
        <f aca="false">IF($B377="","",INDEX(ChalInYear,$B377))</f>
        <v/>
      </c>
      <c r="M377" s="57" t="str">
        <f aca="false">IF($B377="","",INDEX(ChalRunRate,$B377))</f>
        <v/>
      </c>
      <c r="N377" s="0" t="str">
        <f aca="false">IF($B377="","",INDEX(BookDriver,$B377))</f>
        <v/>
      </c>
    </row>
    <row r="378" customFormat="false" ht="15" hidden="false" customHeight="false" outlineLevel="0" collapsed="false">
      <c r="A378" s="33" t="n">
        <v>373</v>
      </c>
      <c r="B378" s="0" t="str">
        <f aca="false">IFERROR(MATCH($A378,ChalSeq,0),"")</f>
        <v/>
      </c>
      <c r="C378" s="0" t="str">
        <f aca="false">IF($B378="","",INDEX(ChalGroup,$B378))</f>
        <v/>
      </c>
      <c r="D378" s="0" t="str">
        <f aca="false">IF($B378="","",INDEX(ChalDivision,$B378))</f>
        <v/>
      </c>
      <c r="E378" s="0" t="str">
        <f aca="false">IF($B378="","",INDEX(ChalUnit,$B378))</f>
        <v/>
      </c>
      <c r="F378" s="0" t="str">
        <f aca="false">IF($B378="","",INDEX(ChalTitle,$B378))</f>
        <v/>
      </c>
      <c r="G378" s="0" t="str">
        <f aca="false">IF($B378="","",INDEX(ChalLevel,$B378))</f>
        <v/>
      </c>
      <c r="H378" s="0" t="str">
        <f aca="false">IF($B378="","",INDEX(BookFamily,$B378))</f>
        <v/>
      </c>
      <c r="I378" s="0" t="str">
        <f aca="false">IF($B378="","",INDEX(BookWorkerType,$B378))</f>
        <v/>
      </c>
      <c r="J378" s="56" t="str">
        <f aca="false">IF($B378="","",INDEX(ChalEffective,$B378))</f>
        <v/>
      </c>
      <c r="K378" s="0" t="str">
        <f aca="false">IF($B378="","",INDEX(ChalStart,$B378))</f>
        <v/>
      </c>
      <c r="L378" s="57" t="str">
        <f aca="false">IF($B378="","",INDEX(ChalInYear,$B378))</f>
        <v/>
      </c>
      <c r="M378" s="57" t="str">
        <f aca="false">IF($B378="","",INDEX(ChalRunRate,$B378))</f>
        <v/>
      </c>
      <c r="N378" s="0" t="str">
        <f aca="false">IF($B378="","",INDEX(BookDriver,$B378))</f>
        <v/>
      </c>
    </row>
    <row r="379" customFormat="false" ht="15" hidden="false" customHeight="false" outlineLevel="0" collapsed="false">
      <c r="A379" s="33" t="n">
        <v>374</v>
      </c>
      <c r="B379" s="0" t="str">
        <f aca="false">IFERROR(MATCH($A379,ChalSeq,0),"")</f>
        <v/>
      </c>
      <c r="C379" s="0" t="str">
        <f aca="false">IF($B379="","",INDEX(ChalGroup,$B379))</f>
        <v/>
      </c>
      <c r="D379" s="0" t="str">
        <f aca="false">IF($B379="","",INDEX(ChalDivision,$B379))</f>
        <v/>
      </c>
      <c r="E379" s="0" t="str">
        <f aca="false">IF($B379="","",INDEX(ChalUnit,$B379))</f>
        <v/>
      </c>
      <c r="F379" s="0" t="str">
        <f aca="false">IF($B379="","",INDEX(ChalTitle,$B379))</f>
        <v/>
      </c>
      <c r="G379" s="0" t="str">
        <f aca="false">IF($B379="","",INDEX(ChalLevel,$B379))</f>
        <v/>
      </c>
      <c r="H379" s="0" t="str">
        <f aca="false">IF($B379="","",INDEX(BookFamily,$B379))</f>
        <v/>
      </c>
      <c r="I379" s="0" t="str">
        <f aca="false">IF($B379="","",INDEX(BookWorkerType,$B379))</f>
        <v/>
      </c>
      <c r="J379" s="56" t="str">
        <f aca="false">IF($B379="","",INDEX(ChalEffective,$B379))</f>
        <v/>
      </c>
      <c r="K379" s="0" t="str">
        <f aca="false">IF($B379="","",INDEX(ChalStart,$B379))</f>
        <v/>
      </c>
      <c r="L379" s="57" t="str">
        <f aca="false">IF($B379="","",INDEX(ChalInYear,$B379))</f>
        <v/>
      </c>
      <c r="M379" s="57" t="str">
        <f aca="false">IF($B379="","",INDEX(ChalRunRate,$B379))</f>
        <v/>
      </c>
      <c r="N379" s="0" t="str">
        <f aca="false">IF($B379="","",INDEX(BookDriver,$B379))</f>
        <v/>
      </c>
    </row>
    <row r="380" customFormat="false" ht="15" hidden="false" customHeight="false" outlineLevel="0" collapsed="false">
      <c r="A380" s="33" t="n">
        <v>375</v>
      </c>
      <c r="B380" s="0" t="str">
        <f aca="false">IFERROR(MATCH($A380,ChalSeq,0),"")</f>
        <v/>
      </c>
      <c r="C380" s="0" t="str">
        <f aca="false">IF($B380="","",INDEX(ChalGroup,$B380))</f>
        <v/>
      </c>
      <c r="D380" s="0" t="str">
        <f aca="false">IF($B380="","",INDEX(ChalDivision,$B380))</f>
        <v/>
      </c>
      <c r="E380" s="0" t="str">
        <f aca="false">IF($B380="","",INDEX(ChalUnit,$B380))</f>
        <v/>
      </c>
      <c r="F380" s="0" t="str">
        <f aca="false">IF($B380="","",INDEX(ChalTitle,$B380))</f>
        <v/>
      </c>
      <c r="G380" s="0" t="str">
        <f aca="false">IF($B380="","",INDEX(ChalLevel,$B380))</f>
        <v/>
      </c>
      <c r="H380" s="0" t="str">
        <f aca="false">IF($B380="","",INDEX(BookFamily,$B380))</f>
        <v/>
      </c>
      <c r="I380" s="0" t="str">
        <f aca="false">IF($B380="","",INDEX(BookWorkerType,$B380))</f>
        <v/>
      </c>
      <c r="J380" s="56" t="str">
        <f aca="false">IF($B380="","",INDEX(ChalEffective,$B380))</f>
        <v/>
      </c>
      <c r="K380" s="0" t="str">
        <f aca="false">IF($B380="","",INDEX(ChalStart,$B380))</f>
        <v/>
      </c>
      <c r="L380" s="57" t="str">
        <f aca="false">IF($B380="","",INDEX(ChalInYear,$B380))</f>
        <v/>
      </c>
      <c r="M380" s="57" t="str">
        <f aca="false">IF($B380="","",INDEX(ChalRunRate,$B380))</f>
        <v/>
      </c>
      <c r="N380" s="0" t="str">
        <f aca="false">IF($B380="","",INDEX(BookDriver,$B380))</f>
        <v/>
      </c>
    </row>
    <row r="381" customFormat="false" ht="15" hidden="false" customHeight="false" outlineLevel="0" collapsed="false">
      <c r="A381" s="33" t="n">
        <v>376</v>
      </c>
      <c r="B381" s="0" t="str">
        <f aca="false">IFERROR(MATCH($A381,ChalSeq,0),"")</f>
        <v/>
      </c>
      <c r="C381" s="0" t="str">
        <f aca="false">IF($B381="","",INDEX(ChalGroup,$B381))</f>
        <v/>
      </c>
      <c r="D381" s="0" t="str">
        <f aca="false">IF($B381="","",INDEX(ChalDivision,$B381))</f>
        <v/>
      </c>
      <c r="E381" s="0" t="str">
        <f aca="false">IF($B381="","",INDEX(ChalUnit,$B381))</f>
        <v/>
      </c>
      <c r="F381" s="0" t="str">
        <f aca="false">IF($B381="","",INDEX(ChalTitle,$B381))</f>
        <v/>
      </c>
      <c r="G381" s="0" t="str">
        <f aca="false">IF($B381="","",INDEX(ChalLevel,$B381))</f>
        <v/>
      </c>
      <c r="H381" s="0" t="str">
        <f aca="false">IF($B381="","",INDEX(BookFamily,$B381))</f>
        <v/>
      </c>
      <c r="I381" s="0" t="str">
        <f aca="false">IF($B381="","",INDEX(BookWorkerType,$B381))</f>
        <v/>
      </c>
      <c r="J381" s="56" t="str">
        <f aca="false">IF($B381="","",INDEX(ChalEffective,$B381))</f>
        <v/>
      </c>
      <c r="K381" s="0" t="str">
        <f aca="false">IF($B381="","",INDEX(ChalStart,$B381))</f>
        <v/>
      </c>
      <c r="L381" s="57" t="str">
        <f aca="false">IF($B381="","",INDEX(ChalInYear,$B381))</f>
        <v/>
      </c>
      <c r="M381" s="57" t="str">
        <f aca="false">IF($B381="","",INDEX(ChalRunRate,$B381))</f>
        <v/>
      </c>
      <c r="N381" s="0" t="str">
        <f aca="false">IF($B381="","",INDEX(BookDriver,$B381))</f>
        <v/>
      </c>
    </row>
    <row r="382" customFormat="false" ht="15" hidden="false" customHeight="false" outlineLevel="0" collapsed="false">
      <c r="A382" s="33" t="n">
        <v>377</v>
      </c>
      <c r="B382" s="0" t="str">
        <f aca="false">IFERROR(MATCH($A382,ChalSeq,0),"")</f>
        <v/>
      </c>
      <c r="C382" s="0" t="str">
        <f aca="false">IF($B382="","",INDEX(ChalGroup,$B382))</f>
        <v/>
      </c>
      <c r="D382" s="0" t="str">
        <f aca="false">IF($B382="","",INDEX(ChalDivision,$B382))</f>
        <v/>
      </c>
      <c r="E382" s="0" t="str">
        <f aca="false">IF($B382="","",INDEX(ChalUnit,$B382))</f>
        <v/>
      </c>
      <c r="F382" s="0" t="str">
        <f aca="false">IF($B382="","",INDEX(ChalTitle,$B382))</f>
        <v/>
      </c>
      <c r="G382" s="0" t="str">
        <f aca="false">IF($B382="","",INDEX(ChalLevel,$B382))</f>
        <v/>
      </c>
      <c r="H382" s="0" t="str">
        <f aca="false">IF($B382="","",INDEX(BookFamily,$B382))</f>
        <v/>
      </c>
      <c r="I382" s="0" t="str">
        <f aca="false">IF($B382="","",INDEX(BookWorkerType,$B382))</f>
        <v/>
      </c>
      <c r="J382" s="56" t="str">
        <f aca="false">IF($B382="","",INDEX(ChalEffective,$B382))</f>
        <v/>
      </c>
      <c r="K382" s="0" t="str">
        <f aca="false">IF($B382="","",INDEX(ChalStart,$B382))</f>
        <v/>
      </c>
      <c r="L382" s="57" t="str">
        <f aca="false">IF($B382="","",INDEX(ChalInYear,$B382))</f>
        <v/>
      </c>
      <c r="M382" s="57" t="str">
        <f aca="false">IF($B382="","",INDEX(ChalRunRate,$B382))</f>
        <v/>
      </c>
      <c r="N382" s="0" t="str">
        <f aca="false">IF($B382="","",INDEX(BookDriver,$B382))</f>
        <v/>
      </c>
    </row>
    <row r="383" customFormat="false" ht="15" hidden="false" customHeight="false" outlineLevel="0" collapsed="false">
      <c r="A383" s="33" t="n">
        <v>378</v>
      </c>
      <c r="B383" s="0" t="str">
        <f aca="false">IFERROR(MATCH($A383,ChalSeq,0),"")</f>
        <v/>
      </c>
      <c r="C383" s="0" t="str">
        <f aca="false">IF($B383="","",INDEX(ChalGroup,$B383))</f>
        <v/>
      </c>
      <c r="D383" s="0" t="str">
        <f aca="false">IF($B383="","",INDEX(ChalDivision,$B383))</f>
        <v/>
      </c>
      <c r="E383" s="0" t="str">
        <f aca="false">IF($B383="","",INDEX(ChalUnit,$B383))</f>
        <v/>
      </c>
      <c r="F383" s="0" t="str">
        <f aca="false">IF($B383="","",INDEX(ChalTitle,$B383))</f>
        <v/>
      </c>
      <c r="G383" s="0" t="str">
        <f aca="false">IF($B383="","",INDEX(ChalLevel,$B383))</f>
        <v/>
      </c>
      <c r="H383" s="0" t="str">
        <f aca="false">IF($B383="","",INDEX(BookFamily,$B383))</f>
        <v/>
      </c>
      <c r="I383" s="0" t="str">
        <f aca="false">IF($B383="","",INDEX(BookWorkerType,$B383))</f>
        <v/>
      </c>
      <c r="J383" s="56" t="str">
        <f aca="false">IF($B383="","",INDEX(ChalEffective,$B383))</f>
        <v/>
      </c>
      <c r="K383" s="0" t="str">
        <f aca="false">IF($B383="","",INDEX(ChalStart,$B383))</f>
        <v/>
      </c>
      <c r="L383" s="57" t="str">
        <f aca="false">IF($B383="","",INDEX(ChalInYear,$B383))</f>
        <v/>
      </c>
      <c r="M383" s="57" t="str">
        <f aca="false">IF($B383="","",INDEX(ChalRunRate,$B383))</f>
        <v/>
      </c>
      <c r="N383" s="0" t="str">
        <f aca="false">IF($B383="","",INDEX(BookDriver,$B383))</f>
        <v/>
      </c>
    </row>
    <row r="384" customFormat="false" ht="15" hidden="false" customHeight="false" outlineLevel="0" collapsed="false">
      <c r="A384" s="33" t="n">
        <v>379</v>
      </c>
      <c r="B384" s="0" t="str">
        <f aca="false">IFERROR(MATCH($A384,ChalSeq,0),"")</f>
        <v/>
      </c>
      <c r="C384" s="0" t="str">
        <f aca="false">IF($B384="","",INDEX(ChalGroup,$B384))</f>
        <v/>
      </c>
      <c r="D384" s="0" t="str">
        <f aca="false">IF($B384="","",INDEX(ChalDivision,$B384))</f>
        <v/>
      </c>
      <c r="E384" s="0" t="str">
        <f aca="false">IF($B384="","",INDEX(ChalUnit,$B384))</f>
        <v/>
      </c>
      <c r="F384" s="0" t="str">
        <f aca="false">IF($B384="","",INDEX(ChalTitle,$B384))</f>
        <v/>
      </c>
      <c r="G384" s="0" t="str">
        <f aca="false">IF($B384="","",INDEX(ChalLevel,$B384))</f>
        <v/>
      </c>
      <c r="H384" s="0" t="str">
        <f aca="false">IF($B384="","",INDEX(BookFamily,$B384))</f>
        <v/>
      </c>
      <c r="I384" s="0" t="str">
        <f aca="false">IF($B384="","",INDEX(BookWorkerType,$B384))</f>
        <v/>
      </c>
      <c r="J384" s="56" t="str">
        <f aca="false">IF($B384="","",INDEX(ChalEffective,$B384))</f>
        <v/>
      </c>
      <c r="K384" s="0" t="str">
        <f aca="false">IF($B384="","",INDEX(ChalStart,$B384))</f>
        <v/>
      </c>
      <c r="L384" s="57" t="str">
        <f aca="false">IF($B384="","",INDEX(ChalInYear,$B384))</f>
        <v/>
      </c>
      <c r="M384" s="57" t="str">
        <f aca="false">IF($B384="","",INDEX(ChalRunRate,$B384))</f>
        <v/>
      </c>
      <c r="N384" s="0" t="str">
        <f aca="false">IF($B384="","",INDEX(BookDriver,$B384))</f>
        <v/>
      </c>
    </row>
    <row r="385" customFormat="false" ht="15" hidden="false" customHeight="false" outlineLevel="0" collapsed="false">
      <c r="A385" s="33" t="n">
        <v>380</v>
      </c>
      <c r="B385" s="0" t="str">
        <f aca="false">IFERROR(MATCH($A385,ChalSeq,0),"")</f>
        <v/>
      </c>
      <c r="C385" s="0" t="str">
        <f aca="false">IF($B385="","",INDEX(ChalGroup,$B385))</f>
        <v/>
      </c>
      <c r="D385" s="0" t="str">
        <f aca="false">IF($B385="","",INDEX(ChalDivision,$B385))</f>
        <v/>
      </c>
      <c r="E385" s="0" t="str">
        <f aca="false">IF($B385="","",INDEX(ChalUnit,$B385))</f>
        <v/>
      </c>
      <c r="F385" s="0" t="str">
        <f aca="false">IF($B385="","",INDEX(ChalTitle,$B385))</f>
        <v/>
      </c>
      <c r="G385" s="0" t="str">
        <f aca="false">IF($B385="","",INDEX(ChalLevel,$B385))</f>
        <v/>
      </c>
      <c r="H385" s="0" t="str">
        <f aca="false">IF($B385="","",INDEX(BookFamily,$B385))</f>
        <v/>
      </c>
      <c r="I385" s="0" t="str">
        <f aca="false">IF($B385="","",INDEX(BookWorkerType,$B385))</f>
        <v/>
      </c>
      <c r="J385" s="56" t="str">
        <f aca="false">IF($B385="","",INDEX(ChalEffective,$B385))</f>
        <v/>
      </c>
      <c r="K385" s="0" t="str">
        <f aca="false">IF($B385="","",INDEX(ChalStart,$B385))</f>
        <v/>
      </c>
      <c r="L385" s="57" t="str">
        <f aca="false">IF($B385="","",INDEX(ChalInYear,$B385))</f>
        <v/>
      </c>
      <c r="M385" s="57" t="str">
        <f aca="false">IF($B385="","",INDEX(ChalRunRate,$B385))</f>
        <v/>
      </c>
      <c r="N385" s="0" t="str">
        <f aca="false">IF($B385="","",INDEX(BookDriver,$B385))</f>
        <v/>
      </c>
    </row>
    <row r="386" customFormat="false" ht="15" hidden="false" customHeight="false" outlineLevel="0" collapsed="false">
      <c r="A386" s="33" t="n">
        <v>381</v>
      </c>
      <c r="B386" s="0" t="str">
        <f aca="false">IFERROR(MATCH($A386,ChalSeq,0),"")</f>
        <v/>
      </c>
      <c r="C386" s="0" t="str">
        <f aca="false">IF($B386="","",INDEX(ChalGroup,$B386))</f>
        <v/>
      </c>
      <c r="D386" s="0" t="str">
        <f aca="false">IF($B386="","",INDEX(ChalDivision,$B386))</f>
        <v/>
      </c>
      <c r="E386" s="0" t="str">
        <f aca="false">IF($B386="","",INDEX(ChalUnit,$B386))</f>
        <v/>
      </c>
      <c r="F386" s="0" t="str">
        <f aca="false">IF($B386="","",INDEX(ChalTitle,$B386))</f>
        <v/>
      </c>
      <c r="G386" s="0" t="str">
        <f aca="false">IF($B386="","",INDEX(ChalLevel,$B386))</f>
        <v/>
      </c>
      <c r="H386" s="0" t="str">
        <f aca="false">IF($B386="","",INDEX(BookFamily,$B386))</f>
        <v/>
      </c>
      <c r="I386" s="0" t="str">
        <f aca="false">IF($B386="","",INDEX(BookWorkerType,$B386))</f>
        <v/>
      </c>
      <c r="J386" s="56" t="str">
        <f aca="false">IF($B386="","",INDEX(ChalEffective,$B386))</f>
        <v/>
      </c>
      <c r="K386" s="0" t="str">
        <f aca="false">IF($B386="","",INDEX(ChalStart,$B386))</f>
        <v/>
      </c>
      <c r="L386" s="57" t="str">
        <f aca="false">IF($B386="","",INDEX(ChalInYear,$B386))</f>
        <v/>
      </c>
      <c r="M386" s="57" t="str">
        <f aca="false">IF($B386="","",INDEX(ChalRunRate,$B386))</f>
        <v/>
      </c>
      <c r="N386" s="0" t="str">
        <f aca="false">IF($B386="","",INDEX(BookDriver,$B386))</f>
        <v/>
      </c>
    </row>
    <row r="387" customFormat="false" ht="15" hidden="false" customHeight="false" outlineLevel="0" collapsed="false">
      <c r="A387" s="33" t="n">
        <v>382</v>
      </c>
      <c r="B387" s="0" t="str">
        <f aca="false">IFERROR(MATCH($A387,ChalSeq,0),"")</f>
        <v/>
      </c>
      <c r="C387" s="0" t="str">
        <f aca="false">IF($B387="","",INDEX(ChalGroup,$B387))</f>
        <v/>
      </c>
      <c r="D387" s="0" t="str">
        <f aca="false">IF($B387="","",INDEX(ChalDivision,$B387))</f>
        <v/>
      </c>
      <c r="E387" s="0" t="str">
        <f aca="false">IF($B387="","",INDEX(ChalUnit,$B387))</f>
        <v/>
      </c>
      <c r="F387" s="0" t="str">
        <f aca="false">IF($B387="","",INDEX(ChalTitle,$B387))</f>
        <v/>
      </c>
      <c r="G387" s="0" t="str">
        <f aca="false">IF($B387="","",INDEX(ChalLevel,$B387))</f>
        <v/>
      </c>
      <c r="H387" s="0" t="str">
        <f aca="false">IF($B387="","",INDEX(BookFamily,$B387))</f>
        <v/>
      </c>
      <c r="I387" s="0" t="str">
        <f aca="false">IF($B387="","",INDEX(BookWorkerType,$B387))</f>
        <v/>
      </c>
      <c r="J387" s="56" t="str">
        <f aca="false">IF($B387="","",INDEX(ChalEffective,$B387))</f>
        <v/>
      </c>
      <c r="K387" s="0" t="str">
        <f aca="false">IF($B387="","",INDEX(ChalStart,$B387))</f>
        <v/>
      </c>
      <c r="L387" s="57" t="str">
        <f aca="false">IF($B387="","",INDEX(ChalInYear,$B387))</f>
        <v/>
      </c>
      <c r="M387" s="57" t="str">
        <f aca="false">IF($B387="","",INDEX(ChalRunRate,$B387))</f>
        <v/>
      </c>
      <c r="N387" s="0" t="str">
        <f aca="false">IF($B387="","",INDEX(BookDriver,$B387))</f>
        <v/>
      </c>
    </row>
    <row r="388" customFormat="false" ht="15" hidden="false" customHeight="false" outlineLevel="0" collapsed="false">
      <c r="A388" s="33" t="n">
        <v>383</v>
      </c>
      <c r="B388" s="0" t="str">
        <f aca="false">IFERROR(MATCH($A388,ChalSeq,0),"")</f>
        <v/>
      </c>
      <c r="C388" s="0" t="str">
        <f aca="false">IF($B388="","",INDEX(ChalGroup,$B388))</f>
        <v/>
      </c>
      <c r="D388" s="0" t="str">
        <f aca="false">IF($B388="","",INDEX(ChalDivision,$B388))</f>
        <v/>
      </c>
      <c r="E388" s="0" t="str">
        <f aca="false">IF($B388="","",INDEX(ChalUnit,$B388))</f>
        <v/>
      </c>
      <c r="F388" s="0" t="str">
        <f aca="false">IF($B388="","",INDEX(ChalTitle,$B388))</f>
        <v/>
      </c>
      <c r="G388" s="0" t="str">
        <f aca="false">IF($B388="","",INDEX(ChalLevel,$B388))</f>
        <v/>
      </c>
      <c r="H388" s="0" t="str">
        <f aca="false">IF($B388="","",INDEX(BookFamily,$B388))</f>
        <v/>
      </c>
      <c r="I388" s="0" t="str">
        <f aca="false">IF($B388="","",INDEX(BookWorkerType,$B388))</f>
        <v/>
      </c>
      <c r="J388" s="56" t="str">
        <f aca="false">IF($B388="","",INDEX(ChalEffective,$B388))</f>
        <v/>
      </c>
      <c r="K388" s="0" t="str">
        <f aca="false">IF($B388="","",INDEX(ChalStart,$B388))</f>
        <v/>
      </c>
      <c r="L388" s="57" t="str">
        <f aca="false">IF($B388="","",INDEX(ChalInYear,$B388))</f>
        <v/>
      </c>
      <c r="M388" s="57" t="str">
        <f aca="false">IF($B388="","",INDEX(ChalRunRate,$B388))</f>
        <v/>
      </c>
      <c r="N388" s="0" t="str">
        <f aca="false">IF($B388="","",INDEX(BookDriver,$B388))</f>
        <v/>
      </c>
    </row>
    <row r="389" customFormat="false" ht="15" hidden="false" customHeight="false" outlineLevel="0" collapsed="false">
      <c r="A389" s="33" t="n">
        <v>384</v>
      </c>
      <c r="B389" s="0" t="str">
        <f aca="false">IFERROR(MATCH($A389,ChalSeq,0),"")</f>
        <v/>
      </c>
      <c r="C389" s="0" t="str">
        <f aca="false">IF($B389="","",INDEX(ChalGroup,$B389))</f>
        <v/>
      </c>
      <c r="D389" s="0" t="str">
        <f aca="false">IF($B389="","",INDEX(ChalDivision,$B389))</f>
        <v/>
      </c>
      <c r="E389" s="0" t="str">
        <f aca="false">IF($B389="","",INDEX(ChalUnit,$B389))</f>
        <v/>
      </c>
      <c r="F389" s="0" t="str">
        <f aca="false">IF($B389="","",INDEX(ChalTitle,$B389))</f>
        <v/>
      </c>
      <c r="G389" s="0" t="str">
        <f aca="false">IF($B389="","",INDEX(ChalLevel,$B389))</f>
        <v/>
      </c>
      <c r="H389" s="0" t="str">
        <f aca="false">IF($B389="","",INDEX(BookFamily,$B389))</f>
        <v/>
      </c>
      <c r="I389" s="0" t="str">
        <f aca="false">IF($B389="","",INDEX(BookWorkerType,$B389))</f>
        <v/>
      </c>
      <c r="J389" s="56" t="str">
        <f aca="false">IF($B389="","",INDEX(ChalEffective,$B389))</f>
        <v/>
      </c>
      <c r="K389" s="0" t="str">
        <f aca="false">IF($B389="","",INDEX(ChalStart,$B389))</f>
        <v/>
      </c>
      <c r="L389" s="57" t="str">
        <f aca="false">IF($B389="","",INDEX(ChalInYear,$B389))</f>
        <v/>
      </c>
      <c r="M389" s="57" t="str">
        <f aca="false">IF($B389="","",INDEX(ChalRunRate,$B389))</f>
        <v/>
      </c>
      <c r="N389" s="0" t="str">
        <f aca="false">IF($B389="","",INDEX(BookDriver,$B389))</f>
        <v/>
      </c>
    </row>
    <row r="390" customFormat="false" ht="15" hidden="false" customHeight="false" outlineLevel="0" collapsed="false">
      <c r="A390" s="33" t="n">
        <v>385</v>
      </c>
      <c r="B390" s="0" t="str">
        <f aca="false">IFERROR(MATCH($A390,ChalSeq,0),"")</f>
        <v/>
      </c>
      <c r="C390" s="0" t="str">
        <f aca="false">IF($B390="","",INDEX(ChalGroup,$B390))</f>
        <v/>
      </c>
      <c r="D390" s="0" t="str">
        <f aca="false">IF($B390="","",INDEX(ChalDivision,$B390))</f>
        <v/>
      </c>
      <c r="E390" s="0" t="str">
        <f aca="false">IF($B390="","",INDEX(ChalUnit,$B390))</f>
        <v/>
      </c>
      <c r="F390" s="0" t="str">
        <f aca="false">IF($B390="","",INDEX(ChalTitle,$B390))</f>
        <v/>
      </c>
      <c r="G390" s="0" t="str">
        <f aca="false">IF($B390="","",INDEX(ChalLevel,$B390))</f>
        <v/>
      </c>
      <c r="H390" s="0" t="str">
        <f aca="false">IF($B390="","",INDEX(BookFamily,$B390))</f>
        <v/>
      </c>
      <c r="I390" s="0" t="str">
        <f aca="false">IF($B390="","",INDEX(BookWorkerType,$B390))</f>
        <v/>
      </c>
      <c r="J390" s="56" t="str">
        <f aca="false">IF($B390="","",INDEX(ChalEffective,$B390))</f>
        <v/>
      </c>
      <c r="K390" s="0" t="str">
        <f aca="false">IF($B390="","",INDEX(ChalStart,$B390))</f>
        <v/>
      </c>
      <c r="L390" s="57" t="str">
        <f aca="false">IF($B390="","",INDEX(ChalInYear,$B390))</f>
        <v/>
      </c>
      <c r="M390" s="57" t="str">
        <f aca="false">IF($B390="","",INDEX(ChalRunRate,$B390))</f>
        <v/>
      </c>
      <c r="N390" s="0" t="str">
        <f aca="false">IF($B390="","",INDEX(BookDriver,$B390))</f>
        <v/>
      </c>
    </row>
    <row r="391" customFormat="false" ht="15" hidden="false" customHeight="false" outlineLevel="0" collapsed="false">
      <c r="A391" s="33" t="n">
        <v>386</v>
      </c>
      <c r="B391" s="0" t="str">
        <f aca="false">IFERROR(MATCH($A391,ChalSeq,0),"")</f>
        <v/>
      </c>
      <c r="C391" s="0" t="str">
        <f aca="false">IF($B391="","",INDEX(ChalGroup,$B391))</f>
        <v/>
      </c>
      <c r="D391" s="0" t="str">
        <f aca="false">IF($B391="","",INDEX(ChalDivision,$B391))</f>
        <v/>
      </c>
      <c r="E391" s="0" t="str">
        <f aca="false">IF($B391="","",INDEX(ChalUnit,$B391))</f>
        <v/>
      </c>
      <c r="F391" s="0" t="str">
        <f aca="false">IF($B391="","",INDEX(ChalTitle,$B391))</f>
        <v/>
      </c>
      <c r="G391" s="0" t="str">
        <f aca="false">IF($B391="","",INDEX(ChalLevel,$B391))</f>
        <v/>
      </c>
      <c r="H391" s="0" t="str">
        <f aca="false">IF($B391="","",INDEX(BookFamily,$B391))</f>
        <v/>
      </c>
      <c r="I391" s="0" t="str">
        <f aca="false">IF($B391="","",INDEX(BookWorkerType,$B391))</f>
        <v/>
      </c>
      <c r="J391" s="56" t="str">
        <f aca="false">IF($B391="","",INDEX(ChalEffective,$B391))</f>
        <v/>
      </c>
      <c r="K391" s="0" t="str">
        <f aca="false">IF($B391="","",INDEX(ChalStart,$B391))</f>
        <v/>
      </c>
      <c r="L391" s="57" t="str">
        <f aca="false">IF($B391="","",INDEX(ChalInYear,$B391))</f>
        <v/>
      </c>
      <c r="M391" s="57" t="str">
        <f aca="false">IF($B391="","",INDEX(ChalRunRate,$B391))</f>
        <v/>
      </c>
      <c r="N391" s="0" t="str">
        <f aca="false">IF($B391="","",INDEX(BookDriver,$B391))</f>
        <v/>
      </c>
    </row>
    <row r="392" customFormat="false" ht="15" hidden="false" customHeight="false" outlineLevel="0" collapsed="false">
      <c r="A392" s="33" t="n">
        <v>387</v>
      </c>
      <c r="B392" s="0" t="str">
        <f aca="false">IFERROR(MATCH($A392,ChalSeq,0),"")</f>
        <v/>
      </c>
      <c r="C392" s="0" t="str">
        <f aca="false">IF($B392="","",INDEX(ChalGroup,$B392))</f>
        <v/>
      </c>
      <c r="D392" s="0" t="str">
        <f aca="false">IF($B392="","",INDEX(ChalDivision,$B392))</f>
        <v/>
      </c>
      <c r="E392" s="0" t="str">
        <f aca="false">IF($B392="","",INDEX(ChalUnit,$B392))</f>
        <v/>
      </c>
      <c r="F392" s="0" t="str">
        <f aca="false">IF($B392="","",INDEX(ChalTitle,$B392))</f>
        <v/>
      </c>
      <c r="G392" s="0" t="str">
        <f aca="false">IF($B392="","",INDEX(ChalLevel,$B392))</f>
        <v/>
      </c>
      <c r="H392" s="0" t="str">
        <f aca="false">IF($B392="","",INDEX(BookFamily,$B392))</f>
        <v/>
      </c>
      <c r="I392" s="0" t="str">
        <f aca="false">IF($B392="","",INDEX(BookWorkerType,$B392))</f>
        <v/>
      </c>
      <c r="J392" s="56" t="str">
        <f aca="false">IF($B392="","",INDEX(ChalEffective,$B392))</f>
        <v/>
      </c>
      <c r="K392" s="0" t="str">
        <f aca="false">IF($B392="","",INDEX(ChalStart,$B392))</f>
        <v/>
      </c>
      <c r="L392" s="57" t="str">
        <f aca="false">IF($B392="","",INDEX(ChalInYear,$B392))</f>
        <v/>
      </c>
      <c r="M392" s="57" t="str">
        <f aca="false">IF($B392="","",INDEX(ChalRunRate,$B392))</f>
        <v/>
      </c>
      <c r="N392" s="0" t="str">
        <f aca="false">IF($B392="","",INDEX(BookDriver,$B392))</f>
        <v/>
      </c>
    </row>
    <row r="393" customFormat="false" ht="15" hidden="false" customHeight="false" outlineLevel="0" collapsed="false">
      <c r="A393" s="33" t="n">
        <v>388</v>
      </c>
      <c r="B393" s="0" t="str">
        <f aca="false">IFERROR(MATCH($A393,ChalSeq,0),"")</f>
        <v/>
      </c>
      <c r="C393" s="0" t="str">
        <f aca="false">IF($B393="","",INDEX(ChalGroup,$B393))</f>
        <v/>
      </c>
      <c r="D393" s="0" t="str">
        <f aca="false">IF($B393="","",INDEX(ChalDivision,$B393))</f>
        <v/>
      </c>
      <c r="E393" s="0" t="str">
        <f aca="false">IF($B393="","",INDEX(ChalUnit,$B393))</f>
        <v/>
      </c>
      <c r="F393" s="0" t="str">
        <f aca="false">IF($B393="","",INDEX(ChalTitle,$B393))</f>
        <v/>
      </c>
      <c r="G393" s="0" t="str">
        <f aca="false">IF($B393="","",INDEX(ChalLevel,$B393))</f>
        <v/>
      </c>
      <c r="H393" s="0" t="str">
        <f aca="false">IF($B393="","",INDEX(BookFamily,$B393))</f>
        <v/>
      </c>
      <c r="I393" s="0" t="str">
        <f aca="false">IF($B393="","",INDEX(BookWorkerType,$B393))</f>
        <v/>
      </c>
      <c r="J393" s="56" t="str">
        <f aca="false">IF($B393="","",INDEX(ChalEffective,$B393))</f>
        <v/>
      </c>
      <c r="K393" s="0" t="str">
        <f aca="false">IF($B393="","",INDEX(ChalStart,$B393))</f>
        <v/>
      </c>
      <c r="L393" s="57" t="str">
        <f aca="false">IF($B393="","",INDEX(ChalInYear,$B393))</f>
        <v/>
      </c>
      <c r="M393" s="57" t="str">
        <f aca="false">IF($B393="","",INDEX(ChalRunRate,$B393))</f>
        <v/>
      </c>
      <c r="N393" s="0" t="str">
        <f aca="false">IF($B393="","",INDEX(BookDriver,$B393))</f>
        <v/>
      </c>
    </row>
    <row r="394" customFormat="false" ht="15" hidden="false" customHeight="false" outlineLevel="0" collapsed="false">
      <c r="A394" s="33" t="n">
        <v>389</v>
      </c>
      <c r="B394" s="0" t="str">
        <f aca="false">IFERROR(MATCH($A394,ChalSeq,0),"")</f>
        <v/>
      </c>
      <c r="C394" s="0" t="str">
        <f aca="false">IF($B394="","",INDEX(ChalGroup,$B394))</f>
        <v/>
      </c>
      <c r="D394" s="0" t="str">
        <f aca="false">IF($B394="","",INDEX(ChalDivision,$B394))</f>
        <v/>
      </c>
      <c r="E394" s="0" t="str">
        <f aca="false">IF($B394="","",INDEX(ChalUnit,$B394))</f>
        <v/>
      </c>
      <c r="F394" s="0" t="str">
        <f aca="false">IF($B394="","",INDEX(ChalTitle,$B394))</f>
        <v/>
      </c>
      <c r="G394" s="0" t="str">
        <f aca="false">IF($B394="","",INDEX(ChalLevel,$B394))</f>
        <v/>
      </c>
      <c r="H394" s="0" t="str">
        <f aca="false">IF($B394="","",INDEX(BookFamily,$B394))</f>
        <v/>
      </c>
      <c r="I394" s="0" t="str">
        <f aca="false">IF($B394="","",INDEX(BookWorkerType,$B394))</f>
        <v/>
      </c>
      <c r="J394" s="56" t="str">
        <f aca="false">IF($B394="","",INDEX(ChalEffective,$B394))</f>
        <v/>
      </c>
      <c r="K394" s="0" t="str">
        <f aca="false">IF($B394="","",INDEX(ChalStart,$B394))</f>
        <v/>
      </c>
      <c r="L394" s="57" t="str">
        <f aca="false">IF($B394="","",INDEX(ChalInYear,$B394))</f>
        <v/>
      </c>
      <c r="M394" s="57" t="str">
        <f aca="false">IF($B394="","",INDEX(ChalRunRate,$B394))</f>
        <v/>
      </c>
      <c r="N394" s="0" t="str">
        <f aca="false">IF($B394="","",INDEX(BookDriver,$B394))</f>
        <v/>
      </c>
    </row>
    <row r="395" customFormat="false" ht="15" hidden="false" customHeight="false" outlineLevel="0" collapsed="false">
      <c r="A395" s="33" t="n">
        <v>390</v>
      </c>
      <c r="B395" s="0" t="str">
        <f aca="false">IFERROR(MATCH($A395,ChalSeq,0),"")</f>
        <v/>
      </c>
      <c r="C395" s="0" t="str">
        <f aca="false">IF($B395="","",INDEX(ChalGroup,$B395))</f>
        <v/>
      </c>
      <c r="D395" s="0" t="str">
        <f aca="false">IF($B395="","",INDEX(ChalDivision,$B395))</f>
        <v/>
      </c>
      <c r="E395" s="0" t="str">
        <f aca="false">IF($B395="","",INDEX(ChalUnit,$B395))</f>
        <v/>
      </c>
      <c r="F395" s="0" t="str">
        <f aca="false">IF($B395="","",INDEX(ChalTitle,$B395))</f>
        <v/>
      </c>
      <c r="G395" s="0" t="str">
        <f aca="false">IF($B395="","",INDEX(ChalLevel,$B395))</f>
        <v/>
      </c>
      <c r="H395" s="0" t="str">
        <f aca="false">IF($B395="","",INDEX(BookFamily,$B395))</f>
        <v/>
      </c>
      <c r="I395" s="0" t="str">
        <f aca="false">IF($B395="","",INDEX(BookWorkerType,$B395))</f>
        <v/>
      </c>
      <c r="J395" s="56" t="str">
        <f aca="false">IF($B395="","",INDEX(ChalEffective,$B395))</f>
        <v/>
      </c>
      <c r="K395" s="0" t="str">
        <f aca="false">IF($B395="","",INDEX(ChalStart,$B395))</f>
        <v/>
      </c>
      <c r="L395" s="57" t="str">
        <f aca="false">IF($B395="","",INDEX(ChalInYear,$B395))</f>
        <v/>
      </c>
      <c r="M395" s="57" t="str">
        <f aca="false">IF($B395="","",INDEX(ChalRunRate,$B395))</f>
        <v/>
      </c>
      <c r="N395" s="0" t="str">
        <f aca="false">IF($B395="","",INDEX(BookDriver,$B395))</f>
        <v/>
      </c>
    </row>
    <row r="396" customFormat="false" ht="15" hidden="false" customHeight="false" outlineLevel="0" collapsed="false">
      <c r="A396" s="33" t="n">
        <v>391</v>
      </c>
      <c r="B396" s="0" t="str">
        <f aca="false">IFERROR(MATCH($A396,ChalSeq,0),"")</f>
        <v/>
      </c>
      <c r="C396" s="0" t="str">
        <f aca="false">IF($B396="","",INDEX(ChalGroup,$B396))</f>
        <v/>
      </c>
      <c r="D396" s="0" t="str">
        <f aca="false">IF($B396="","",INDEX(ChalDivision,$B396))</f>
        <v/>
      </c>
      <c r="E396" s="0" t="str">
        <f aca="false">IF($B396="","",INDEX(ChalUnit,$B396))</f>
        <v/>
      </c>
      <c r="F396" s="0" t="str">
        <f aca="false">IF($B396="","",INDEX(ChalTitle,$B396))</f>
        <v/>
      </c>
      <c r="G396" s="0" t="str">
        <f aca="false">IF($B396="","",INDEX(ChalLevel,$B396))</f>
        <v/>
      </c>
      <c r="H396" s="0" t="str">
        <f aca="false">IF($B396="","",INDEX(BookFamily,$B396))</f>
        <v/>
      </c>
      <c r="I396" s="0" t="str">
        <f aca="false">IF($B396="","",INDEX(BookWorkerType,$B396))</f>
        <v/>
      </c>
      <c r="J396" s="56" t="str">
        <f aca="false">IF($B396="","",INDEX(ChalEffective,$B396))</f>
        <v/>
      </c>
      <c r="K396" s="0" t="str">
        <f aca="false">IF($B396="","",INDEX(ChalStart,$B396))</f>
        <v/>
      </c>
      <c r="L396" s="57" t="str">
        <f aca="false">IF($B396="","",INDEX(ChalInYear,$B396))</f>
        <v/>
      </c>
      <c r="M396" s="57" t="str">
        <f aca="false">IF($B396="","",INDEX(ChalRunRate,$B396))</f>
        <v/>
      </c>
      <c r="N396" s="0" t="str">
        <f aca="false">IF($B396="","",INDEX(BookDriver,$B396))</f>
        <v/>
      </c>
    </row>
    <row r="397" customFormat="false" ht="15" hidden="false" customHeight="false" outlineLevel="0" collapsed="false">
      <c r="A397" s="33" t="n">
        <v>392</v>
      </c>
      <c r="B397" s="0" t="str">
        <f aca="false">IFERROR(MATCH($A397,ChalSeq,0),"")</f>
        <v/>
      </c>
      <c r="C397" s="0" t="str">
        <f aca="false">IF($B397="","",INDEX(ChalGroup,$B397))</f>
        <v/>
      </c>
      <c r="D397" s="0" t="str">
        <f aca="false">IF($B397="","",INDEX(ChalDivision,$B397))</f>
        <v/>
      </c>
      <c r="E397" s="0" t="str">
        <f aca="false">IF($B397="","",INDEX(ChalUnit,$B397))</f>
        <v/>
      </c>
      <c r="F397" s="0" t="str">
        <f aca="false">IF($B397="","",INDEX(ChalTitle,$B397))</f>
        <v/>
      </c>
      <c r="G397" s="0" t="str">
        <f aca="false">IF($B397="","",INDEX(ChalLevel,$B397))</f>
        <v/>
      </c>
      <c r="H397" s="0" t="str">
        <f aca="false">IF($B397="","",INDEX(BookFamily,$B397))</f>
        <v/>
      </c>
      <c r="I397" s="0" t="str">
        <f aca="false">IF($B397="","",INDEX(BookWorkerType,$B397))</f>
        <v/>
      </c>
      <c r="J397" s="56" t="str">
        <f aca="false">IF($B397="","",INDEX(ChalEffective,$B397))</f>
        <v/>
      </c>
      <c r="K397" s="0" t="str">
        <f aca="false">IF($B397="","",INDEX(ChalStart,$B397))</f>
        <v/>
      </c>
      <c r="L397" s="57" t="str">
        <f aca="false">IF($B397="","",INDEX(ChalInYear,$B397))</f>
        <v/>
      </c>
      <c r="M397" s="57" t="str">
        <f aca="false">IF($B397="","",INDEX(ChalRunRate,$B397))</f>
        <v/>
      </c>
      <c r="N397" s="0" t="str">
        <f aca="false">IF($B397="","",INDEX(BookDriver,$B397))</f>
        <v/>
      </c>
    </row>
    <row r="398" customFormat="false" ht="15" hidden="false" customHeight="false" outlineLevel="0" collapsed="false">
      <c r="A398" s="33" t="n">
        <v>393</v>
      </c>
      <c r="B398" s="0" t="str">
        <f aca="false">IFERROR(MATCH($A398,ChalSeq,0),"")</f>
        <v/>
      </c>
      <c r="C398" s="0" t="str">
        <f aca="false">IF($B398="","",INDEX(ChalGroup,$B398))</f>
        <v/>
      </c>
      <c r="D398" s="0" t="str">
        <f aca="false">IF($B398="","",INDEX(ChalDivision,$B398))</f>
        <v/>
      </c>
      <c r="E398" s="0" t="str">
        <f aca="false">IF($B398="","",INDEX(ChalUnit,$B398))</f>
        <v/>
      </c>
      <c r="F398" s="0" t="str">
        <f aca="false">IF($B398="","",INDEX(ChalTitle,$B398))</f>
        <v/>
      </c>
      <c r="G398" s="0" t="str">
        <f aca="false">IF($B398="","",INDEX(ChalLevel,$B398))</f>
        <v/>
      </c>
      <c r="H398" s="0" t="str">
        <f aca="false">IF($B398="","",INDEX(BookFamily,$B398))</f>
        <v/>
      </c>
      <c r="I398" s="0" t="str">
        <f aca="false">IF($B398="","",INDEX(BookWorkerType,$B398))</f>
        <v/>
      </c>
      <c r="J398" s="56" t="str">
        <f aca="false">IF($B398="","",INDEX(ChalEffective,$B398))</f>
        <v/>
      </c>
      <c r="K398" s="0" t="str">
        <f aca="false">IF($B398="","",INDEX(ChalStart,$B398))</f>
        <v/>
      </c>
      <c r="L398" s="57" t="str">
        <f aca="false">IF($B398="","",INDEX(ChalInYear,$B398))</f>
        <v/>
      </c>
      <c r="M398" s="57" t="str">
        <f aca="false">IF($B398="","",INDEX(ChalRunRate,$B398))</f>
        <v/>
      </c>
      <c r="N398" s="0" t="str">
        <f aca="false">IF($B398="","",INDEX(BookDriver,$B398))</f>
        <v/>
      </c>
    </row>
    <row r="399" customFormat="false" ht="15" hidden="false" customHeight="false" outlineLevel="0" collapsed="false">
      <c r="A399" s="33" t="n">
        <v>394</v>
      </c>
      <c r="B399" s="0" t="str">
        <f aca="false">IFERROR(MATCH($A399,ChalSeq,0),"")</f>
        <v/>
      </c>
      <c r="C399" s="0" t="str">
        <f aca="false">IF($B399="","",INDEX(ChalGroup,$B399))</f>
        <v/>
      </c>
      <c r="D399" s="0" t="str">
        <f aca="false">IF($B399="","",INDEX(ChalDivision,$B399))</f>
        <v/>
      </c>
      <c r="E399" s="0" t="str">
        <f aca="false">IF($B399="","",INDEX(ChalUnit,$B399))</f>
        <v/>
      </c>
      <c r="F399" s="0" t="str">
        <f aca="false">IF($B399="","",INDEX(ChalTitle,$B399))</f>
        <v/>
      </c>
      <c r="G399" s="0" t="str">
        <f aca="false">IF($B399="","",INDEX(ChalLevel,$B399))</f>
        <v/>
      </c>
      <c r="H399" s="0" t="str">
        <f aca="false">IF($B399="","",INDEX(BookFamily,$B399))</f>
        <v/>
      </c>
      <c r="I399" s="0" t="str">
        <f aca="false">IF($B399="","",INDEX(BookWorkerType,$B399))</f>
        <v/>
      </c>
      <c r="J399" s="56" t="str">
        <f aca="false">IF($B399="","",INDEX(ChalEffective,$B399))</f>
        <v/>
      </c>
      <c r="K399" s="0" t="str">
        <f aca="false">IF($B399="","",INDEX(ChalStart,$B399))</f>
        <v/>
      </c>
      <c r="L399" s="57" t="str">
        <f aca="false">IF($B399="","",INDEX(ChalInYear,$B399))</f>
        <v/>
      </c>
      <c r="M399" s="57" t="str">
        <f aca="false">IF($B399="","",INDEX(ChalRunRate,$B399))</f>
        <v/>
      </c>
      <c r="N399" s="0" t="str">
        <f aca="false">IF($B399="","",INDEX(BookDriver,$B399))</f>
        <v/>
      </c>
    </row>
    <row r="400" customFormat="false" ht="15" hidden="false" customHeight="false" outlineLevel="0" collapsed="false">
      <c r="A400" s="33" t="n">
        <v>395</v>
      </c>
      <c r="B400" s="0" t="str">
        <f aca="false">IFERROR(MATCH($A400,ChalSeq,0),"")</f>
        <v/>
      </c>
      <c r="C400" s="0" t="str">
        <f aca="false">IF($B400="","",INDEX(ChalGroup,$B400))</f>
        <v/>
      </c>
      <c r="D400" s="0" t="str">
        <f aca="false">IF($B400="","",INDEX(ChalDivision,$B400))</f>
        <v/>
      </c>
      <c r="E400" s="0" t="str">
        <f aca="false">IF($B400="","",INDEX(ChalUnit,$B400))</f>
        <v/>
      </c>
      <c r="F400" s="0" t="str">
        <f aca="false">IF($B400="","",INDEX(ChalTitle,$B400))</f>
        <v/>
      </c>
      <c r="G400" s="0" t="str">
        <f aca="false">IF($B400="","",INDEX(ChalLevel,$B400))</f>
        <v/>
      </c>
      <c r="H400" s="0" t="str">
        <f aca="false">IF($B400="","",INDEX(BookFamily,$B400))</f>
        <v/>
      </c>
      <c r="I400" s="0" t="str">
        <f aca="false">IF($B400="","",INDEX(BookWorkerType,$B400))</f>
        <v/>
      </c>
      <c r="J400" s="56" t="str">
        <f aca="false">IF($B400="","",INDEX(ChalEffective,$B400))</f>
        <v/>
      </c>
      <c r="K400" s="0" t="str">
        <f aca="false">IF($B400="","",INDEX(ChalStart,$B400))</f>
        <v/>
      </c>
      <c r="L400" s="57" t="str">
        <f aca="false">IF($B400="","",INDEX(ChalInYear,$B400))</f>
        <v/>
      </c>
      <c r="M400" s="57" t="str">
        <f aca="false">IF($B400="","",INDEX(ChalRunRate,$B400))</f>
        <v/>
      </c>
      <c r="N400" s="0" t="str">
        <f aca="false">IF($B400="","",INDEX(BookDriver,$B400))</f>
        <v/>
      </c>
    </row>
    <row r="401" customFormat="false" ht="15" hidden="false" customHeight="false" outlineLevel="0" collapsed="false">
      <c r="A401" s="33" t="n">
        <v>396</v>
      </c>
      <c r="B401" s="0" t="str">
        <f aca="false">IFERROR(MATCH($A401,ChalSeq,0),"")</f>
        <v/>
      </c>
      <c r="C401" s="0" t="str">
        <f aca="false">IF($B401="","",INDEX(ChalGroup,$B401))</f>
        <v/>
      </c>
      <c r="D401" s="0" t="str">
        <f aca="false">IF($B401="","",INDEX(ChalDivision,$B401))</f>
        <v/>
      </c>
      <c r="E401" s="0" t="str">
        <f aca="false">IF($B401="","",INDEX(ChalUnit,$B401))</f>
        <v/>
      </c>
      <c r="F401" s="0" t="str">
        <f aca="false">IF($B401="","",INDEX(ChalTitle,$B401))</f>
        <v/>
      </c>
      <c r="G401" s="0" t="str">
        <f aca="false">IF($B401="","",INDEX(ChalLevel,$B401))</f>
        <v/>
      </c>
      <c r="H401" s="0" t="str">
        <f aca="false">IF($B401="","",INDEX(BookFamily,$B401))</f>
        <v/>
      </c>
      <c r="I401" s="0" t="str">
        <f aca="false">IF($B401="","",INDEX(BookWorkerType,$B401))</f>
        <v/>
      </c>
      <c r="J401" s="56" t="str">
        <f aca="false">IF($B401="","",INDEX(ChalEffective,$B401))</f>
        <v/>
      </c>
      <c r="K401" s="0" t="str">
        <f aca="false">IF($B401="","",INDEX(ChalStart,$B401))</f>
        <v/>
      </c>
      <c r="L401" s="57" t="str">
        <f aca="false">IF($B401="","",INDEX(ChalInYear,$B401))</f>
        <v/>
      </c>
      <c r="M401" s="57" t="str">
        <f aca="false">IF($B401="","",INDEX(ChalRunRate,$B401))</f>
        <v/>
      </c>
      <c r="N401" s="0" t="str">
        <f aca="false">IF($B401="","",INDEX(BookDriver,$B401))</f>
        <v/>
      </c>
    </row>
    <row r="402" customFormat="false" ht="15" hidden="false" customHeight="false" outlineLevel="0" collapsed="false">
      <c r="A402" s="33" t="n">
        <v>397</v>
      </c>
      <c r="B402" s="0" t="str">
        <f aca="false">IFERROR(MATCH($A402,ChalSeq,0),"")</f>
        <v/>
      </c>
      <c r="C402" s="0" t="str">
        <f aca="false">IF($B402="","",INDEX(ChalGroup,$B402))</f>
        <v/>
      </c>
      <c r="D402" s="0" t="str">
        <f aca="false">IF($B402="","",INDEX(ChalDivision,$B402))</f>
        <v/>
      </c>
      <c r="E402" s="0" t="str">
        <f aca="false">IF($B402="","",INDEX(ChalUnit,$B402))</f>
        <v/>
      </c>
      <c r="F402" s="0" t="str">
        <f aca="false">IF($B402="","",INDEX(ChalTitle,$B402))</f>
        <v/>
      </c>
      <c r="G402" s="0" t="str">
        <f aca="false">IF($B402="","",INDEX(ChalLevel,$B402))</f>
        <v/>
      </c>
      <c r="H402" s="0" t="str">
        <f aca="false">IF($B402="","",INDEX(BookFamily,$B402))</f>
        <v/>
      </c>
      <c r="I402" s="0" t="str">
        <f aca="false">IF($B402="","",INDEX(BookWorkerType,$B402))</f>
        <v/>
      </c>
      <c r="J402" s="56" t="str">
        <f aca="false">IF($B402="","",INDEX(ChalEffective,$B402))</f>
        <v/>
      </c>
      <c r="K402" s="0" t="str">
        <f aca="false">IF($B402="","",INDEX(ChalStart,$B402))</f>
        <v/>
      </c>
      <c r="L402" s="57" t="str">
        <f aca="false">IF($B402="","",INDEX(ChalInYear,$B402))</f>
        <v/>
      </c>
      <c r="M402" s="57" t="str">
        <f aca="false">IF($B402="","",INDEX(ChalRunRate,$B402))</f>
        <v/>
      </c>
      <c r="N402" s="0" t="str">
        <f aca="false">IF($B402="","",INDEX(BookDriver,$B402))</f>
        <v/>
      </c>
    </row>
    <row r="403" customFormat="false" ht="15" hidden="false" customHeight="false" outlineLevel="0" collapsed="false">
      <c r="A403" s="33" t="n">
        <v>398</v>
      </c>
      <c r="B403" s="0" t="str">
        <f aca="false">IFERROR(MATCH($A403,ChalSeq,0),"")</f>
        <v/>
      </c>
      <c r="C403" s="0" t="str">
        <f aca="false">IF($B403="","",INDEX(ChalGroup,$B403))</f>
        <v/>
      </c>
      <c r="D403" s="0" t="str">
        <f aca="false">IF($B403="","",INDEX(ChalDivision,$B403))</f>
        <v/>
      </c>
      <c r="E403" s="0" t="str">
        <f aca="false">IF($B403="","",INDEX(ChalUnit,$B403))</f>
        <v/>
      </c>
      <c r="F403" s="0" t="str">
        <f aca="false">IF($B403="","",INDEX(ChalTitle,$B403))</f>
        <v/>
      </c>
      <c r="G403" s="0" t="str">
        <f aca="false">IF($B403="","",INDEX(ChalLevel,$B403))</f>
        <v/>
      </c>
      <c r="H403" s="0" t="str">
        <f aca="false">IF($B403="","",INDEX(BookFamily,$B403))</f>
        <v/>
      </c>
      <c r="I403" s="0" t="str">
        <f aca="false">IF($B403="","",INDEX(BookWorkerType,$B403))</f>
        <v/>
      </c>
      <c r="J403" s="56" t="str">
        <f aca="false">IF($B403="","",INDEX(ChalEffective,$B403))</f>
        <v/>
      </c>
      <c r="K403" s="0" t="str">
        <f aca="false">IF($B403="","",INDEX(ChalStart,$B403))</f>
        <v/>
      </c>
      <c r="L403" s="57" t="str">
        <f aca="false">IF($B403="","",INDEX(ChalInYear,$B403))</f>
        <v/>
      </c>
      <c r="M403" s="57" t="str">
        <f aca="false">IF($B403="","",INDEX(ChalRunRate,$B403))</f>
        <v/>
      </c>
      <c r="N403" s="0" t="str">
        <f aca="false">IF($B403="","",INDEX(BookDriver,$B403))</f>
        <v/>
      </c>
    </row>
    <row r="404" customFormat="false" ht="15" hidden="false" customHeight="false" outlineLevel="0" collapsed="false">
      <c r="A404" s="33" t="n">
        <v>399</v>
      </c>
      <c r="B404" s="0" t="str">
        <f aca="false">IFERROR(MATCH($A404,ChalSeq,0),"")</f>
        <v/>
      </c>
      <c r="C404" s="0" t="str">
        <f aca="false">IF($B404="","",INDEX(ChalGroup,$B404))</f>
        <v/>
      </c>
      <c r="D404" s="0" t="str">
        <f aca="false">IF($B404="","",INDEX(ChalDivision,$B404))</f>
        <v/>
      </c>
      <c r="E404" s="0" t="str">
        <f aca="false">IF($B404="","",INDEX(ChalUnit,$B404))</f>
        <v/>
      </c>
      <c r="F404" s="0" t="str">
        <f aca="false">IF($B404="","",INDEX(ChalTitle,$B404))</f>
        <v/>
      </c>
      <c r="G404" s="0" t="str">
        <f aca="false">IF($B404="","",INDEX(ChalLevel,$B404))</f>
        <v/>
      </c>
      <c r="H404" s="0" t="str">
        <f aca="false">IF($B404="","",INDEX(BookFamily,$B404))</f>
        <v/>
      </c>
      <c r="I404" s="0" t="str">
        <f aca="false">IF($B404="","",INDEX(BookWorkerType,$B404))</f>
        <v/>
      </c>
      <c r="J404" s="56" t="str">
        <f aca="false">IF($B404="","",INDEX(ChalEffective,$B404))</f>
        <v/>
      </c>
      <c r="K404" s="0" t="str">
        <f aca="false">IF($B404="","",INDEX(ChalStart,$B404))</f>
        <v/>
      </c>
      <c r="L404" s="57" t="str">
        <f aca="false">IF($B404="","",INDEX(ChalInYear,$B404))</f>
        <v/>
      </c>
      <c r="M404" s="57" t="str">
        <f aca="false">IF($B404="","",INDEX(ChalRunRate,$B404))</f>
        <v/>
      </c>
      <c r="N404" s="0" t="str">
        <f aca="false">IF($B404="","",INDEX(BookDriver,$B404))</f>
        <v/>
      </c>
    </row>
    <row r="405" customFormat="false" ht="15" hidden="false" customHeight="false" outlineLevel="0" collapsed="false">
      <c r="A405" s="33" t="n">
        <v>400</v>
      </c>
      <c r="B405" s="0" t="str">
        <f aca="false">IFERROR(MATCH($A405,ChalSeq,0),"")</f>
        <v/>
      </c>
      <c r="C405" s="0" t="str">
        <f aca="false">IF($B405="","",INDEX(ChalGroup,$B405))</f>
        <v/>
      </c>
      <c r="D405" s="0" t="str">
        <f aca="false">IF($B405="","",INDEX(ChalDivision,$B405))</f>
        <v/>
      </c>
      <c r="E405" s="0" t="str">
        <f aca="false">IF($B405="","",INDEX(ChalUnit,$B405))</f>
        <v/>
      </c>
      <c r="F405" s="0" t="str">
        <f aca="false">IF($B405="","",INDEX(ChalTitle,$B405))</f>
        <v/>
      </c>
      <c r="G405" s="0" t="str">
        <f aca="false">IF($B405="","",INDEX(ChalLevel,$B405))</f>
        <v/>
      </c>
      <c r="H405" s="0" t="str">
        <f aca="false">IF($B405="","",INDEX(BookFamily,$B405))</f>
        <v/>
      </c>
      <c r="I405" s="0" t="str">
        <f aca="false">IF($B405="","",INDEX(BookWorkerType,$B405))</f>
        <v/>
      </c>
      <c r="J405" s="56" t="str">
        <f aca="false">IF($B405="","",INDEX(ChalEffective,$B405))</f>
        <v/>
      </c>
      <c r="K405" s="0" t="str">
        <f aca="false">IF($B405="","",INDEX(ChalStart,$B405))</f>
        <v/>
      </c>
      <c r="L405" s="57" t="str">
        <f aca="false">IF($B405="","",INDEX(ChalInYear,$B405))</f>
        <v/>
      </c>
      <c r="M405" s="57" t="str">
        <f aca="false">IF($B405="","",INDEX(ChalRunRate,$B405))</f>
        <v/>
      </c>
      <c r="N405" s="0" t="str">
        <f aca="false">IF($B405="","",INDEX(BookDriver,$B405))</f>
        <v/>
      </c>
    </row>
    <row r="406" customFormat="false" ht="15" hidden="false" customHeight="false" outlineLevel="0" collapsed="false">
      <c r="A406" s="33" t="n">
        <v>401</v>
      </c>
      <c r="B406" s="0" t="str">
        <f aca="false">IFERROR(MATCH($A406,ChalSeq,0),"")</f>
        <v/>
      </c>
      <c r="C406" s="0" t="str">
        <f aca="false">IF($B406="","",INDEX(ChalGroup,$B406))</f>
        <v/>
      </c>
      <c r="D406" s="0" t="str">
        <f aca="false">IF($B406="","",INDEX(ChalDivision,$B406))</f>
        <v/>
      </c>
      <c r="E406" s="0" t="str">
        <f aca="false">IF($B406="","",INDEX(ChalUnit,$B406))</f>
        <v/>
      </c>
      <c r="F406" s="0" t="str">
        <f aca="false">IF($B406="","",INDEX(ChalTitle,$B406))</f>
        <v/>
      </c>
      <c r="G406" s="0" t="str">
        <f aca="false">IF($B406="","",INDEX(ChalLevel,$B406))</f>
        <v/>
      </c>
      <c r="H406" s="0" t="str">
        <f aca="false">IF($B406="","",INDEX(BookFamily,$B406))</f>
        <v/>
      </c>
      <c r="I406" s="0" t="str">
        <f aca="false">IF($B406="","",INDEX(BookWorkerType,$B406))</f>
        <v/>
      </c>
      <c r="J406" s="56" t="str">
        <f aca="false">IF($B406="","",INDEX(ChalEffective,$B406))</f>
        <v/>
      </c>
      <c r="K406" s="0" t="str">
        <f aca="false">IF($B406="","",INDEX(ChalStart,$B406))</f>
        <v/>
      </c>
      <c r="L406" s="57" t="str">
        <f aca="false">IF($B406="","",INDEX(ChalInYear,$B406))</f>
        <v/>
      </c>
      <c r="M406" s="57" t="str">
        <f aca="false">IF($B406="","",INDEX(ChalRunRate,$B406))</f>
        <v/>
      </c>
      <c r="N406" s="0" t="str">
        <f aca="false">IF($B406="","",INDEX(BookDriver,$B406))</f>
        <v/>
      </c>
    </row>
    <row r="407" customFormat="false" ht="15" hidden="false" customHeight="false" outlineLevel="0" collapsed="false">
      <c r="A407" s="33" t="n">
        <v>402</v>
      </c>
      <c r="B407" s="0" t="str">
        <f aca="false">IFERROR(MATCH($A407,ChalSeq,0),"")</f>
        <v/>
      </c>
      <c r="C407" s="0" t="str">
        <f aca="false">IF($B407="","",INDEX(ChalGroup,$B407))</f>
        <v/>
      </c>
      <c r="D407" s="0" t="str">
        <f aca="false">IF($B407="","",INDEX(ChalDivision,$B407))</f>
        <v/>
      </c>
      <c r="E407" s="0" t="str">
        <f aca="false">IF($B407="","",INDEX(ChalUnit,$B407))</f>
        <v/>
      </c>
      <c r="F407" s="0" t="str">
        <f aca="false">IF($B407="","",INDEX(ChalTitle,$B407))</f>
        <v/>
      </c>
      <c r="G407" s="0" t="str">
        <f aca="false">IF($B407="","",INDEX(ChalLevel,$B407))</f>
        <v/>
      </c>
      <c r="H407" s="0" t="str">
        <f aca="false">IF($B407="","",INDEX(BookFamily,$B407))</f>
        <v/>
      </c>
      <c r="I407" s="0" t="str">
        <f aca="false">IF($B407="","",INDEX(BookWorkerType,$B407))</f>
        <v/>
      </c>
      <c r="J407" s="56" t="str">
        <f aca="false">IF($B407="","",INDEX(ChalEffective,$B407))</f>
        <v/>
      </c>
      <c r="K407" s="0" t="str">
        <f aca="false">IF($B407="","",INDEX(ChalStart,$B407))</f>
        <v/>
      </c>
      <c r="L407" s="57" t="str">
        <f aca="false">IF($B407="","",INDEX(ChalInYear,$B407))</f>
        <v/>
      </c>
      <c r="M407" s="57" t="str">
        <f aca="false">IF($B407="","",INDEX(ChalRunRate,$B407))</f>
        <v/>
      </c>
      <c r="N407" s="0" t="str">
        <f aca="false">IF($B407="","",INDEX(BookDriver,$B407))</f>
        <v/>
      </c>
    </row>
    <row r="408" customFormat="false" ht="15" hidden="false" customHeight="false" outlineLevel="0" collapsed="false">
      <c r="A408" s="33" t="n">
        <v>403</v>
      </c>
      <c r="B408" s="0" t="str">
        <f aca="false">IFERROR(MATCH($A408,ChalSeq,0),"")</f>
        <v/>
      </c>
      <c r="C408" s="0" t="str">
        <f aca="false">IF($B408="","",INDEX(ChalGroup,$B408))</f>
        <v/>
      </c>
      <c r="D408" s="0" t="str">
        <f aca="false">IF($B408="","",INDEX(ChalDivision,$B408))</f>
        <v/>
      </c>
      <c r="E408" s="0" t="str">
        <f aca="false">IF($B408="","",INDEX(ChalUnit,$B408))</f>
        <v/>
      </c>
      <c r="F408" s="0" t="str">
        <f aca="false">IF($B408="","",INDEX(ChalTitle,$B408))</f>
        <v/>
      </c>
      <c r="G408" s="0" t="str">
        <f aca="false">IF($B408="","",INDEX(ChalLevel,$B408))</f>
        <v/>
      </c>
      <c r="H408" s="0" t="str">
        <f aca="false">IF($B408="","",INDEX(BookFamily,$B408))</f>
        <v/>
      </c>
      <c r="I408" s="0" t="str">
        <f aca="false">IF($B408="","",INDEX(BookWorkerType,$B408))</f>
        <v/>
      </c>
      <c r="J408" s="56" t="str">
        <f aca="false">IF($B408="","",INDEX(ChalEffective,$B408))</f>
        <v/>
      </c>
      <c r="K408" s="0" t="str">
        <f aca="false">IF($B408="","",INDEX(ChalStart,$B408))</f>
        <v/>
      </c>
      <c r="L408" s="57" t="str">
        <f aca="false">IF($B408="","",INDEX(ChalInYear,$B408))</f>
        <v/>
      </c>
      <c r="M408" s="57" t="str">
        <f aca="false">IF($B408="","",INDEX(ChalRunRate,$B408))</f>
        <v/>
      </c>
      <c r="N408" s="0" t="str">
        <f aca="false">IF($B408="","",INDEX(BookDriver,$B408))</f>
        <v/>
      </c>
    </row>
    <row r="409" customFormat="false" ht="15" hidden="false" customHeight="false" outlineLevel="0" collapsed="false">
      <c r="A409" s="33" t="n">
        <v>404</v>
      </c>
      <c r="B409" s="0" t="str">
        <f aca="false">IFERROR(MATCH($A409,ChalSeq,0),"")</f>
        <v/>
      </c>
      <c r="C409" s="0" t="str">
        <f aca="false">IF($B409="","",INDEX(ChalGroup,$B409))</f>
        <v/>
      </c>
      <c r="D409" s="0" t="str">
        <f aca="false">IF($B409="","",INDEX(ChalDivision,$B409))</f>
        <v/>
      </c>
      <c r="E409" s="0" t="str">
        <f aca="false">IF($B409="","",INDEX(ChalUnit,$B409))</f>
        <v/>
      </c>
      <c r="F409" s="0" t="str">
        <f aca="false">IF($B409="","",INDEX(ChalTitle,$B409))</f>
        <v/>
      </c>
      <c r="G409" s="0" t="str">
        <f aca="false">IF($B409="","",INDEX(ChalLevel,$B409))</f>
        <v/>
      </c>
      <c r="H409" s="0" t="str">
        <f aca="false">IF($B409="","",INDEX(BookFamily,$B409))</f>
        <v/>
      </c>
      <c r="I409" s="0" t="str">
        <f aca="false">IF($B409="","",INDEX(BookWorkerType,$B409))</f>
        <v/>
      </c>
      <c r="J409" s="56" t="str">
        <f aca="false">IF($B409="","",INDEX(ChalEffective,$B409))</f>
        <v/>
      </c>
      <c r="K409" s="0" t="str">
        <f aca="false">IF($B409="","",INDEX(ChalStart,$B409))</f>
        <v/>
      </c>
      <c r="L409" s="57" t="str">
        <f aca="false">IF($B409="","",INDEX(ChalInYear,$B409))</f>
        <v/>
      </c>
      <c r="M409" s="57" t="str">
        <f aca="false">IF($B409="","",INDEX(ChalRunRate,$B409))</f>
        <v/>
      </c>
      <c r="N409" s="0" t="str">
        <f aca="false">IF($B409="","",INDEX(BookDriver,$B409))</f>
        <v/>
      </c>
    </row>
    <row r="410" customFormat="false" ht="15" hidden="false" customHeight="false" outlineLevel="0" collapsed="false">
      <c r="A410" s="33" t="n">
        <v>405</v>
      </c>
      <c r="B410" s="0" t="str">
        <f aca="false">IFERROR(MATCH($A410,ChalSeq,0),"")</f>
        <v/>
      </c>
      <c r="C410" s="0" t="str">
        <f aca="false">IF($B410="","",INDEX(ChalGroup,$B410))</f>
        <v/>
      </c>
      <c r="D410" s="0" t="str">
        <f aca="false">IF($B410="","",INDEX(ChalDivision,$B410))</f>
        <v/>
      </c>
      <c r="E410" s="0" t="str">
        <f aca="false">IF($B410="","",INDEX(ChalUnit,$B410))</f>
        <v/>
      </c>
      <c r="F410" s="0" t="str">
        <f aca="false">IF($B410="","",INDEX(ChalTitle,$B410))</f>
        <v/>
      </c>
      <c r="G410" s="0" t="str">
        <f aca="false">IF($B410="","",INDEX(ChalLevel,$B410))</f>
        <v/>
      </c>
      <c r="H410" s="0" t="str">
        <f aca="false">IF($B410="","",INDEX(BookFamily,$B410))</f>
        <v/>
      </c>
      <c r="I410" s="0" t="str">
        <f aca="false">IF($B410="","",INDEX(BookWorkerType,$B410))</f>
        <v/>
      </c>
      <c r="J410" s="56" t="str">
        <f aca="false">IF($B410="","",INDEX(ChalEffective,$B410))</f>
        <v/>
      </c>
      <c r="K410" s="0" t="str">
        <f aca="false">IF($B410="","",INDEX(ChalStart,$B410))</f>
        <v/>
      </c>
      <c r="L410" s="57" t="str">
        <f aca="false">IF($B410="","",INDEX(ChalInYear,$B410))</f>
        <v/>
      </c>
      <c r="M410" s="57" t="str">
        <f aca="false">IF($B410="","",INDEX(ChalRunRate,$B410))</f>
        <v/>
      </c>
      <c r="N410" s="0" t="str">
        <f aca="false">IF($B410="","",INDEX(BookDriver,$B410))</f>
        <v/>
      </c>
    </row>
    <row r="411" customFormat="false" ht="15" hidden="false" customHeight="false" outlineLevel="0" collapsed="false">
      <c r="A411" s="33" t="n">
        <v>406</v>
      </c>
      <c r="B411" s="0" t="str">
        <f aca="false">IFERROR(MATCH($A411,ChalSeq,0),"")</f>
        <v/>
      </c>
      <c r="C411" s="0" t="str">
        <f aca="false">IF($B411="","",INDEX(ChalGroup,$B411))</f>
        <v/>
      </c>
      <c r="D411" s="0" t="str">
        <f aca="false">IF($B411="","",INDEX(ChalDivision,$B411))</f>
        <v/>
      </c>
      <c r="E411" s="0" t="str">
        <f aca="false">IF($B411="","",INDEX(ChalUnit,$B411))</f>
        <v/>
      </c>
      <c r="F411" s="0" t="str">
        <f aca="false">IF($B411="","",INDEX(ChalTitle,$B411))</f>
        <v/>
      </c>
      <c r="G411" s="0" t="str">
        <f aca="false">IF($B411="","",INDEX(ChalLevel,$B411))</f>
        <v/>
      </c>
      <c r="H411" s="0" t="str">
        <f aca="false">IF($B411="","",INDEX(BookFamily,$B411))</f>
        <v/>
      </c>
      <c r="I411" s="0" t="str">
        <f aca="false">IF($B411="","",INDEX(BookWorkerType,$B411))</f>
        <v/>
      </c>
      <c r="J411" s="56" t="str">
        <f aca="false">IF($B411="","",INDEX(ChalEffective,$B411))</f>
        <v/>
      </c>
      <c r="K411" s="0" t="str">
        <f aca="false">IF($B411="","",INDEX(ChalStart,$B411))</f>
        <v/>
      </c>
      <c r="L411" s="57" t="str">
        <f aca="false">IF($B411="","",INDEX(ChalInYear,$B411))</f>
        <v/>
      </c>
      <c r="M411" s="57" t="str">
        <f aca="false">IF($B411="","",INDEX(ChalRunRate,$B411))</f>
        <v/>
      </c>
      <c r="N411" s="0" t="str">
        <f aca="false">IF($B411="","",INDEX(BookDriver,$B411))</f>
        <v/>
      </c>
    </row>
    <row r="412" customFormat="false" ht="15" hidden="false" customHeight="false" outlineLevel="0" collapsed="false">
      <c r="A412" s="33" t="n">
        <v>407</v>
      </c>
      <c r="B412" s="0" t="str">
        <f aca="false">IFERROR(MATCH($A412,ChalSeq,0),"")</f>
        <v/>
      </c>
      <c r="C412" s="0" t="str">
        <f aca="false">IF($B412="","",INDEX(ChalGroup,$B412))</f>
        <v/>
      </c>
      <c r="D412" s="0" t="str">
        <f aca="false">IF($B412="","",INDEX(ChalDivision,$B412))</f>
        <v/>
      </c>
      <c r="E412" s="0" t="str">
        <f aca="false">IF($B412="","",INDEX(ChalUnit,$B412))</f>
        <v/>
      </c>
      <c r="F412" s="0" t="str">
        <f aca="false">IF($B412="","",INDEX(ChalTitle,$B412))</f>
        <v/>
      </c>
      <c r="G412" s="0" t="str">
        <f aca="false">IF($B412="","",INDEX(ChalLevel,$B412))</f>
        <v/>
      </c>
      <c r="H412" s="0" t="str">
        <f aca="false">IF($B412="","",INDEX(BookFamily,$B412))</f>
        <v/>
      </c>
      <c r="I412" s="0" t="str">
        <f aca="false">IF($B412="","",INDEX(BookWorkerType,$B412))</f>
        <v/>
      </c>
      <c r="J412" s="56" t="str">
        <f aca="false">IF($B412="","",INDEX(ChalEffective,$B412))</f>
        <v/>
      </c>
      <c r="K412" s="0" t="str">
        <f aca="false">IF($B412="","",INDEX(ChalStart,$B412))</f>
        <v/>
      </c>
      <c r="L412" s="57" t="str">
        <f aca="false">IF($B412="","",INDEX(ChalInYear,$B412))</f>
        <v/>
      </c>
      <c r="M412" s="57" t="str">
        <f aca="false">IF($B412="","",INDEX(ChalRunRate,$B412))</f>
        <v/>
      </c>
      <c r="N412" s="0" t="str">
        <f aca="false">IF($B412="","",INDEX(BookDriver,$B412))</f>
        <v/>
      </c>
    </row>
    <row r="413" customFormat="false" ht="15" hidden="false" customHeight="false" outlineLevel="0" collapsed="false">
      <c r="A413" s="33" t="n">
        <v>408</v>
      </c>
      <c r="B413" s="0" t="str">
        <f aca="false">IFERROR(MATCH($A413,ChalSeq,0),"")</f>
        <v/>
      </c>
      <c r="C413" s="0" t="str">
        <f aca="false">IF($B413="","",INDEX(ChalGroup,$B413))</f>
        <v/>
      </c>
      <c r="D413" s="0" t="str">
        <f aca="false">IF($B413="","",INDEX(ChalDivision,$B413))</f>
        <v/>
      </c>
      <c r="E413" s="0" t="str">
        <f aca="false">IF($B413="","",INDEX(ChalUnit,$B413))</f>
        <v/>
      </c>
      <c r="F413" s="0" t="str">
        <f aca="false">IF($B413="","",INDEX(ChalTitle,$B413))</f>
        <v/>
      </c>
      <c r="G413" s="0" t="str">
        <f aca="false">IF($B413="","",INDEX(ChalLevel,$B413))</f>
        <v/>
      </c>
      <c r="H413" s="0" t="str">
        <f aca="false">IF($B413="","",INDEX(BookFamily,$B413))</f>
        <v/>
      </c>
      <c r="I413" s="0" t="str">
        <f aca="false">IF($B413="","",INDEX(BookWorkerType,$B413))</f>
        <v/>
      </c>
      <c r="J413" s="56" t="str">
        <f aca="false">IF($B413="","",INDEX(ChalEffective,$B413))</f>
        <v/>
      </c>
      <c r="K413" s="0" t="str">
        <f aca="false">IF($B413="","",INDEX(ChalStart,$B413))</f>
        <v/>
      </c>
      <c r="L413" s="57" t="str">
        <f aca="false">IF($B413="","",INDEX(ChalInYear,$B413))</f>
        <v/>
      </c>
      <c r="M413" s="57" t="str">
        <f aca="false">IF($B413="","",INDEX(ChalRunRate,$B413))</f>
        <v/>
      </c>
      <c r="N413" s="0" t="str">
        <f aca="false">IF($B413="","",INDEX(BookDriver,$B413))</f>
        <v/>
      </c>
    </row>
    <row r="414" customFormat="false" ht="15" hidden="false" customHeight="false" outlineLevel="0" collapsed="false">
      <c r="A414" s="33" t="n">
        <v>409</v>
      </c>
      <c r="B414" s="0" t="str">
        <f aca="false">IFERROR(MATCH($A414,ChalSeq,0),"")</f>
        <v/>
      </c>
      <c r="C414" s="0" t="str">
        <f aca="false">IF($B414="","",INDEX(ChalGroup,$B414))</f>
        <v/>
      </c>
      <c r="D414" s="0" t="str">
        <f aca="false">IF($B414="","",INDEX(ChalDivision,$B414))</f>
        <v/>
      </c>
      <c r="E414" s="0" t="str">
        <f aca="false">IF($B414="","",INDEX(ChalUnit,$B414))</f>
        <v/>
      </c>
      <c r="F414" s="0" t="str">
        <f aca="false">IF($B414="","",INDEX(ChalTitle,$B414))</f>
        <v/>
      </c>
      <c r="G414" s="0" t="str">
        <f aca="false">IF($B414="","",INDEX(ChalLevel,$B414))</f>
        <v/>
      </c>
      <c r="H414" s="0" t="str">
        <f aca="false">IF($B414="","",INDEX(BookFamily,$B414))</f>
        <v/>
      </c>
      <c r="I414" s="0" t="str">
        <f aca="false">IF($B414="","",INDEX(BookWorkerType,$B414))</f>
        <v/>
      </c>
      <c r="J414" s="56" t="str">
        <f aca="false">IF($B414="","",INDEX(ChalEffective,$B414))</f>
        <v/>
      </c>
      <c r="K414" s="0" t="str">
        <f aca="false">IF($B414="","",INDEX(ChalStart,$B414))</f>
        <v/>
      </c>
      <c r="L414" s="57" t="str">
        <f aca="false">IF($B414="","",INDEX(ChalInYear,$B414))</f>
        <v/>
      </c>
      <c r="M414" s="57" t="str">
        <f aca="false">IF($B414="","",INDEX(ChalRunRate,$B414))</f>
        <v/>
      </c>
      <c r="N414" s="0" t="str">
        <f aca="false">IF($B414="","",INDEX(BookDriver,$B414))</f>
        <v/>
      </c>
    </row>
    <row r="415" customFormat="false" ht="15" hidden="false" customHeight="false" outlineLevel="0" collapsed="false">
      <c r="A415" s="33" t="n">
        <v>410</v>
      </c>
      <c r="B415" s="0" t="str">
        <f aca="false">IFERROR(MATCH($A415,ChalSeq,0),"")</f>
        <v/>
      </c>
      <c r="C415" s="0" t="str">
        <f aca="false">IF($B415="","",INDEX(ChalGroup,$B415))</f>
        <v/>
      </c>
      <c r="D415" s="0" t="str">
        <f aca="false">IF($B415="","",INDEX(ChalDivision,$B415))</f>
        <v/>
      </c>
      <c r="E415" s="0" t="str">
        <f aca="false">IF($B415="","",INDEX(ChalUnit,$B415))</f>
        <v/>
      </c>
      <c r="F415" s="0" t="str">
        <f aca="false">IF($B415="","",INDEX(ChalTitle,$B415))</f>
        <v/>
      </c>
      <c r="G415" s="0" t="str">
        <f aca="false">IF($B415="","",INDEX(ChalLevel,$B415))</f>
        <v/>
      </c>
      <c r="H415" s="0" t="str">
        <f aca="false">IF($B415="","",INDEX(BookFamily,$B415))</f>
        <v/>
      </c>
      <c r="I415" s="0" t="str">
        <f aca="false">IF($B415="","",INDEX(BookWorkerType,$B415))</f>
        <v/>
      </c>
      <c r="J415" s="56" t="str">
        <f aca="false">IF($B415="","",INDEX(ChalEffective,$B415))</f>
        <v/>
      </c>
      <c r="K415" s="0" t="str">
        <f aca="false">IF($B415="","",INDEX(ChalStart,$B415))</f>
        <v/>
      </c>
      <c r="L415" s="57" t="str">
        <f aca="false">IF($B415="","",INDEX(ChalInYear,$B415))</f>
        <v/>
      </c>
      <c r="M415" s="57" t="str">
        <f aca="false">IF($B415="","",INDEX(ChalRunRate,$B415))</f>
        <v/>
      </c>
      <c r="N415" s="0" t="str">
        <f aca="false">IF($B415="","",INDEX(BookDriver,$B415))</f>
        <v/>
      </c>
    </row>
    <row r="416" customFormat="false" ht="15" hidden="false" customHeight="false" outlineLevel="0" collapsed="false">
      <c r="A416" s="33" t="n">
        <v>411</v>
      </c>
      <c r="B416" s="0" t="str">
        <f aca="false">IFERROR(MATCH($A416,ChalSeq,0),"")</f>
        <v/>
      </c>
      <c r="C416" s="0" t="str">
        <f aca="false">IF($B416="","",INDEX(ChalGroup,$B416))</f>
        <v/>
      </c>
      <c r="D416" s="0" t="str">
        <f aca="false">IF($B416="","",INDEX(ChalDivision,$B416))</f>
        <v/>
      </c>
      <c r="E416" s="0" t="str">
        <f aca="false">IF($B416="","",INDEX(ChalUnit,$B416))</f>
        <v/>
      </c>
      <c r="F416" s="0" t="str">
        <f aca="false">IF($B416="","",INDEX(ChalTitle,$B416))</f>
        <v/>
      </c>
      <c r="G416" s="0" t="str">
        <f aca="false">IF($B416="","",INDEX(ChalLevel,$B416))</f>
        <v/>
      </c>
      <c r="H416" s="0" t="str">
        <f aca="false">IF($B416="","",INDEX(BookFamily,$B416))</f>
        <v/>
      </c>
      <c r="I416" s="0" t="str">
        <f aca="false">IF($B416="","",INDEX(BookWorkerType,$B416))</f>
        <v/>
      </c>
      <c r="J416" s="56" t="str">
        <f aca="false">IF($B416="","",INDEX(ChalEffective,$B416))</f>
        <v/>
      </c>
      <c r="K416" s="0" t="str">
        <f aca="false">IF($B416="","",INDEX(ChalStart,$B416))</f>
        <v/>
      </c>
      <c r="L416" s="57" t="str">
        <f aca="false">IF($B416="","",INDEX(ChalInYear,$B416))</f>
        <v/>
      </c>
      <c r="M416" s="57" t="str">
        <f aca="false">IF($B416="","",INDEX(ChalRunRate,$B416))</f>
        <v/>
      </c>
      <c r="N416" s="0" t="str">
        <f aca="false">IF($B416="","",INDEX(BookDriver,$B416))</f>
        <v/>
      </c>
    </row>
    <row r="417" customFormat="false" ht="15" hidden="false" customHeight="false" outlineLevel="0" collapsed="false">
      <c r="A417" s="33" t="n">
        <v>412</v>
      </c>
      <c r="B417" s="0" t="str">
        <f aca="false">IFERROR(MATCH($A417,ChalSeq,0),"")</f>
        <v/>
      </c>
      <c r="C417" s="0" t="str">
        <f aca="false">IF($B417="","",INDEX(ChalGroup,$B417))</f>
        <v/>
      </c>
      <c r="D417" s="0" t="str">
        <f aca="false">IF($B417="","",INDEX(ChalDivision,$B417))</f>
        <v/>
      </c>
      <c r="E417" s="0" t="str">
        <f aca="false">IF($B417="","",INDEX(ChalUnit,$B417))</f>
        <v/>
      </c>
      <c r="F417" s="0" t="str">
        <f aca="false">IF($B417="","",INDEX(ChalTitle,$B417))</f>
        <v/>
      </c>
      <c r="G417" s="0" t="str">
        <f aca="false">IF($B417="","",INDEX(ChalLevel,$B417))</f>
        <v/>
      </c>
      <c r="H417" s="0" t="str">
        <f aca="false">IF($B417="","",INDEX(BookFamily,$B417))</f>
        <v/>
      </c>
      <c r="I417" s="0" t="str">
        <f aca="false">IF($B417="","",INDEX(BookWorkerType,$B417))</f>
        <v/>
      </c>
      <c r="J417" s="56" t="str">
        <f aca="false">IF($B417="","",INDEX(ChalEffective,$B417))</f>
        <v/>
      </c>
      <c r="K417" s="0" t="str">
        <f aca="false">IF($B417="","",INDEX(ChalStart,$B417))</f>
        <v/>
      </c>
      <c r="L417" s="57" t="str">
        <f aca="false">IF($B417="","",INDEX(ChalInYear,$B417))</f>
        <v/>
      </c>
      <c r="M417" s="57" t="str">
        <f aca="false">IF($B417="","",INDEX(ChalRunRate,$B417))</f>
        <v/>
      </c>
      <c r="N417" s="0" t="str">
        <f aca="false">IF($B417="","",INDEX(BookDriver,$B417))</f>
        <v/>
      </c>
    </row>
    <row r="418" customFormat="false" ht="15" hidden="false" customHeight="false" outlineLevel="0" collapsed="false">
      <c r="A418" s="33" t="n">
        <v>413</v>
      </c>
      <c r="B418" s="0" t="str">
        <f aca="false">IFERROR(MATCH($A418,ChalSeq,0),"")</f>
        <v/>
      </c>
      <c r="C418" s="0" t="str">
        <f aca="false">IF($B418="","",INDEX(ChalGroup,$B418))</f>
        <v/>
      </c>
      <c r="D418" s="0" t="str">
        <f aca="false">IF($B418="","",INDEX(ChalDivision,$B418))</f>
        <v/>
      </c>
      <c r="E418" s="0" t="str">
        <f aca="false">IF($B418="","",INDEX(ChalUnit,$B418))</f>
        <v/>
      </c>
      <c r="F418" s="0" t="str">
        <f aca="false">IF($B418="","",INDEX(ChalTitle,$B418))</f>
        <v/>
      </c>
      <c r="G418" s="0" t="str">
        <f aca="false">IF($B418="","",INDEX(ChalLevel,$B418))</f>
        <v/>
      </c>
      <c r="H418" s="0" t="str">
        <f aca="false">IF($B418="","",INDEX(BookFamily,$B418))</f>
        <v/>
      </c>
      <c r="I418" s="0" t="str">
        <f aca="false">IF($B418="","",INDEX(BookWorkerType,$B418))</f>
        <v/>
      </c>
      <c r="J418" s="56" t="str">
        <f aca="false">IF($B418="","",INDEX(ChalEffective,$B418))</f>
        <v/>
      </c>
      <c r="K418" s="0" t="str">
        <f aca="false">IF($B418="","",INDEX(ChalStart,$B418))</f>
        <v/>
      </c>
      <c r="L418" s="57" t="str">
        <f aca="false">IF($B418="","",INDEX(ChalInYear,$B418))</f>
        <v/>
      </c>
      <c r="M418" s="57" t="str">
        <f aca="false">IF($B418="","",INDEX(ChalRunRate,$B418))</f>
        <v/>
      </c>
      <c r="N418" s="0" t="str">
        <f aca="false">IF($B418="","",INDEX(BookDriver,$B418))</f>
        <v/>
      </c>
    </row>
    <row r="419" customFormat="false" ht="15" hidden="false" customHeight="false" outlineLevel="0" collapsed="false">
      <c r="A419" s="33" t="n">
        <v>414</v>
      </c>
      <c r="B419" s="0" t="str">
        <f aca="false">IFERROR(MATCH($A419,ChalSeq,0),"")</f>
        <v/>
      </c>
      <c r="C419" s="0" t="str">
        <f aca="false">IF($B419="","",INDEX(ChalGroup,$B419))</f>
        <v/>
      </c>
      <c r="D419" s="0" t="str">
        <f aca="false">IF($B419="","",INDEX(ChalDivision,$B419))</f>
        <v/>
      </c>
      <c r="E419" s="0" t="str">
        <f aca="false">IF($B419="","",INDEX(ChalUnit,$B419))</f>
        <v/>
      </c>
      <c r="F419" s="0" t="str">
        <f aca="false">IF($B419="","",INDEX(ChalTitle,$B419))</f>
        <v/>
      </c>
      <c r="G419" s="0" t="str">
        <f aca="false">IF($B419="","",INDEX(ChalLevel,$B419))</f>
        <v/>
      </c>
      <c r="H419" s="0" t="str">
        <f aca="false">IF($B419="","",INDEX(BookFamily,$B419))</f>
        <v/>
      </c>
      <c r="I419" s="0" t="str">
        <f aca="false">IF($B419="","",INDEX(BookWorkerType,$B419))</f>
        <v/>
      </c>
      <c r="J419" s="56" t="str">
        <f aca="false">IF($B419="","",INDEX(ChalEffective,$B419))</f>
        <v/>
      </c>
      <c r="K419" s="0" t="str">
        <f aca="false">IF($B419="","",INDEX(ChalStart,$B419))</f>
        <v/>
      </c>
      <c r="L419" s="57" t="str">
        <f aca="false">IF($B419="","",INDEX(ChalInYear,$B419))</f>
        <v/>
      </c>
      <c r="M419" s="57" t="str">
        <f aca="false">IF($B419="","",INDEX(ChalRunRate,$B419))</f>
        <v/>
      </c>
      <c r="N419" s="0" t="str">
        <f aca="false">IF($B419="","",INDEX(BookDriver,$B419))</f>
        <v/>
      </c>
    </row>
    <row r="420" customFormat="false" ht="15" hidden="false" customHeight="false" outlineLevel="0" collapsed="false">
      <c r="A420" s="33" t="n">
        <v>415</v>
      </c>
      <c r="B420" s="0" t="str">
        <f aca="false">IFERROR(MATCH($A420,ChalSeq,0),"")</f>
        <v/>
      </c>
      <c r="C420" s="0" t="str">
        <f aca="false">IF($B420="","",INDEX(ChalGroup,$B420))</f>
        <v/>
      </c>
      <c r="D420" s="0" t="str">
        <f aca="false">IF($B420="","",INDEX(ChalDivision,$B420))</f>
        <v/>
      </c>
      <c r="E420" s="0" t="str">
        <f aca="false">IF($B420="","",INDEX(ChalUnit,$B420))</f>
        <v/>
      </c>
      <c r="F420" s="0" t="str">
        <f aca="false">IF($B420="","",INDEX(ChalTitle,$B420))</f>
        <v/>
      </c>
      <c r="G420" s="0" t="str">
        <f aca="false">IF($B420="","",INDEX(ChalLevel,$B420))</f>
        <v/>
      </c>
      <c r="H420" s="0" t="str">
        <f aca="false">IF($B420="","",INDEX(BookFamily,$B420))</f>
        <v/>
      </c>
      <c r="I420" s="0" t="str">
        <f aca="false">IF($B420="","",INDEX(BookWorkerType,$B420))</f>
        <v/>
      </c>
      <c r="J420" s="56" t="str">
        <f aca="false">IF($B420="","",INDEX(ChalEffective,$B420))</f>
        <v/>
      </c>
      <c r="K420" s="0" t="str">
        <f aca="false">IF($B420="","",INDEX(ChalStart,$B420))</f>
        <v/>
      </c>
      <c r="L420" s="57" t="str">
        <f aca="false">IF($B420="","",INDEX(ChalInYear,$B420))</f>
        <v/>
      </c>
      <c r="M420" s="57" t="str">
        <f aca="false">IF($B420="","",INDEX(ChalRunRate,$B420))</f>
        <v/>
      </c>
      <c r="N420" s="0" t="str">
        <f aca="false">IF($B420="","",INDEX(BookDriver,$B420))</f>
        <v/>
      </c>
    </row>
    <row r="421" customFormat="false" ht="15" hidden="false" customHeight="false" outlineLevel="0" collapsed="false">
      <c r="A421" s="33" t="n">
        <v>416</v>
      </c>
      <c r="B421" s="0" t="str">
        <f aca="false">IFERROR(MATCH($A421,ChalSeq,0),"")</f>
        <v/>
      </c>
      <c r="C421" s="0" t="str">
        <f aca="false">IF($B421="","",INDEX(ChalGroup,$B421))</f>
        <v/>
      </c>
      <c r="D421" s="0" t="str">
        <f aca="false">IF($B421="","",INDEX(ChalDivision,$B421))</f>
        <v/>
      </c>
      <c r="E421" s="0" t="str">
        <f aca="false">IF($B421="","",INDEX(ChalUnit,$B421))</f>
        <v/>
      </c>
      <c r="F421" s="0" t="str">
        <f aca="false">IF($B421="","",INDEX(ChalTitle,$B421))</f>
        <v/>
      </c>
      <c r="G421" s="0" t="str">
        <f aca="false">IF($B421="","",INDEX(ChalLevel,$B421))</f>
        <v/>
      </c>
      <c r="H421" s="0" t="str">
        <f aca="false">IF($B421="","",INDEX(BookFamily,$B421))</f>
        <v/>
      </c>
      <c r="I421" s="0" t="str">
        <f aca="false">IF($B421="","",INDEX(BookWorkerType,$B421))</f>
        <v/>
      </c>
      <c r="J421" s="56" t="str">
        <f aca="false">IF($B421="","",INDEX(ChalEffective,$B421))</f>
        <v/>
      </c>
      <c r="K421" s="0" t="str">
        <f aca="false">IF($B421="","",INDEX(ChalStart,$B421))</f>
        <v/>
      </c>
      <c r="L421" s="57" t="str">
        <f aca="false">IF($B421="","",INDEX(ChalInYear,$B421))</f>
        <v/>
      </c>
      <c r="M421" s="57" t="str">
        <f aca="false">IF($B421="","",INDEX(ChalRunRate,$B421))</f>
        <v/>
      </c>
      <c r="N421" s="0" t="str">
        <f aca="false">IF($B421="","",INDEX(BookDriver,$B421))</f>
        <v/>
      </c>
    </row>
    <row r="422" customFormat="false" ht="15" hidden="false" customHeight="false" outlineLevel="0" collapsed="false">
      <c r="A422" s="33" t="n">
        <v>417</v>
      </c>
      <c r="B422" s="0" t="str">
        <f aca="false">IFERROR(MATCH($A422,ChalSeq,0),"")</f>
        <v/>
      </c>
      <c r="C422" s="0" t="str">
        <f aca="false">IF($B422="","",INDEX(ChalGroup,$B422))</f>
        <v/>
      </c>
      <c r="D422" s="0" t="str">
        <f aca="false">IF($B422="","",INDEX(ChalDivision,$B422))</f>
        <v/>
      </c>
      <c r="E422" s="0" t="str">
        <f aca="false">IF($B422="","",INDEX(ChalUnit,$B422))</f>
        <v/>
      </c>
      <c r="F422" s="0" t="str">
        <f aca="false">IF($B422="","",INDEX(ChalTitle,$B422))</f>
        <v/>
      </c>
      <c r="G422" s="0" t="str">
        <f aca="false">IF($B422="","",INDEX(ChalLevel,$B422))</f>
        <v/>
      </c>
      <c r="H422" s="0" t="str">
        <f aca="false">IF($B422="","",INDEX(BookFamily,$B422))</f>
        <v/>
      </c>
      <c r="I422" s="0" t="str">
        <f aca="false">IF($B422="","",INDEX(BookWorkerType,$B422))</f>
        <v/>
      </c>
      <c r="J422" s="56" t="str">
        <f aca="false">IF($B422="","",INDEX(ChalEffective,$B422))</f>
        <v/>
      </c>
      <c r="K422" s="0" t="str">
        <f aca="false">IF($B422="","",INDEX(ChalStart,$B422))</f>
        <v/>
      </c>
      <c r="L422" s="57" t="str">
        <f aca="false">IF($B422="","",INDEX(ChalInYear,$B422))</f>
        <v/>
      </c>
      <c r="M422" s="57" t="str">
        <f aca="false">IF($B422="","",INDEX(ChalRunRate,$B422))</f>
        <v/>
      </c>
      <c r="N422" s="0" t="str">
        <f aca="false">IF($B422="","",INDEX(BookDriver,$B422))</f>
        <v/>
      </c>
    </row>
    <row r="423" customFormat="false" ht="15" hidden="false" customHeight="false" outlineLevel="0" collapsed="false">
      <c r="A423" s="33" t="n">
        <v>418</v>
      </c>
      <c r="B423" s="0" t="str">
        <f aca="false">IFERROR(MATCH($A423,ChalSeq,0),"")</f>
        <v/>
      </c>
      <c r="C423" s="0" t="str">
        <f aca="false">IF($B423="","",INDEX(ChalGroup,$B423))</f>
        <v/>
      </c>
      <c r="D423" s="0" t="str">
        <f aca="false">IF($B423="","",INDEX(ChalDivision,$B423))</f>
        <v/>
      </c>
      <c r="E423" s="0" t="str">
        <f aca="false">IF($B423="","",INDEX(ChalUnit,$B423))</f>
        <v/>
      </c>
      <c r="F423" s="0" t="str">
        <f aca="false">IF($B423="","",INDEX(ChalTitle,$B423))</f>
        <v/>
      </c>
      <c r="G423" s="0" t="str">
        <f aca="false">IF($B423="","",INDEX(ChalLevel,$B423))</f>
        <v/>
      </c>
      <c r="H423" s="0" t="str">
        <f aca="false">IF($B423="","",INDEX(BookFamily,$B423))</f>
        <v/>
      </c>
      <c r="I423" s="0" t="str">
        <f aca="false">IF($B423="","",INDEX(BookWorkerType,$B423))</f>
        <v/>
      </c>
      <c r="J423" s="56" t="str">
        <f aca="false">IF($B423="","",INDEX(ChalEffective,$B423))</f>
        <v/>
      </c>
      <c r="K423" s="0" t="str">
        <f aca="false">IF($B423="","",INDEX(ChalStart,$B423))</f>
        <v/>
      </c>
      <c r="L423" s="57" t="str">
        <f aca="false">IF($B423="","",INDEX(ChalInYear,$B423))</f>
        <v/>
      </c>
      <c r="M423" s="57" t="str">
        <f aca="false">IF($B423="","",INDEX(ChalRunRate,$B423))</f>
        <v/>
      </c>
      <c r="N423" s="0" t="str">
        <f aca="false">IF($B423="","",INDEX(BookDriver,$B423))</f>
        <v/>
      </c>
    </row>
    <row r="424" customFormat="false" ht="15" hidden="false" customHeight="false" outlineLevel="0" collapsed="false">
      <c r="A424" s="33" t="n">
        <v>419</v>
      </c>
      <c r="B424" s="0" t="str">
        <f aca="false">IFERROR(MATCH($A424,ChalSeq,0),"")</f>
        <v/>
      </c>
      <c r="C424" s="0" t="str">
        <f aca="false">IF($B424="","",INDEX(ChalGroup,$B424))</f>
        <v/>
      </c>
      <c r="D424" s="0" t="str">
        <f aca="false">IF($B424="","",INDEX(ChalDivision,$B424))</f>
        <v/>
      </c>
      <c r="E424" s="0" t="str">
        <f aca="false">IF($B424="","",INDEX(ChalUnit,$B424))</f>
        <v/>
      </c>
      <c r="F424" s="0" t="str">
        <f aca="false">IF($B424="","",INDEX(ChalTitle,$B424))</f>
        <v/>
      </c>
      <c r="G424" s="0" t="str">
        <f aca="false">IF($B424="","",INDEX(ChalLevel,$B424))</f>
        <v/>
      </c>
      <c r="H424" s="0" t="str">
        <f aca="false">IF($B424="","",INDEX(BookFamily,$B424))</f>
        <v/>
      </c>
      <c r="I424" s="0" t="str">
        <f aca="false">IF($B424="","",INDEX(BookWorkerType,$B424))</f>
        <v/>
      </c>
      <c r="J424" s="56" t="str">
        <f aca="false">IF($B424="","",INDEX(ChalEffective,$B424))</f>
        <v/>
      </c>
      <c r="K424" s="0" t="str">
        <f aca="false">IF($B424="","",INDEX(ChalStart,$B424))</f>
        <v/>
      </c>
      <c r="L424" s="57" t="str">
        <f aca="false">IF($B424="","",INDEX(ChalInYear,$B424))</f>
        <v/>
      </c>
      <c r="M424" s="57" t="str">
        <f aca="false">IF($B424="","",INDEX(ChalRunRate,$B424))</f>
        <v/>
      </c>
      <c r="N424" s="0" t="str">
        <f aca="false">IF($B424="","",INDEX(BookDriver,$B424))</f>
        <v/>
      </c>
    </row>
    <row r="425" customFormat="false" ht="15" hidden="false" customHeight="false" outlineLevel="0" collapsed="false">
      <c r="A425" s="33" t="n">
        <v>420</v>
      </c>
      <c r="B425" s="0" t="str">
        <f aca="false">IFERROR(MATCH($A425,ChalSeq,0),"")</f>
        <v/>
      </c>
      <c r="C425" s="0" t="str">
        <f aca="false">IF($B425="","",INDEX(ChalGroup,$B425))</f>
        <v/>
      </c>
      <c r="D425" s="0" t="str">
        <f aca="false">IF($B425="","",INDEX(ChalDivision,$B425))</f>
        <v/>
      </c>
      <c r="E425" s="0" t="str">
        <f aca="false">IF($B425="","",INDEX(ChalUnit,$B425))</f>
        <v/>
      </c>
      <c r="F425" s="0" t="str">
        <f aca="false">IF($B425="","",INDEX(ChalTitle,$B425))</f>
        <v/>
      </c>
      <c r="G425" s="0" t="str">
        <f aca="false">IF($B425="","",INDEX(ChalLevel,$B425))</f>
        <v/>
      </c>
      <c r="H425" s="0" t="str">
        <f aca="false">IF($B425="","",INDEX(BookFamily,$B425))</f>
        <v/>
      </c>
      <c r="I425" s="0" t="str">
        <f aca="false">IF($B425="","",INDEX(BookWorkerType,$B425))</f>
        <v/>
      </c>
      <c r="J425" s="56" t="str">
        <f aca="false">IF($B425="","",INDEX(ChalEffective,$B425))</f>
        <v/>
      </c>
      <c r="K425" s="0" t="str">
        <f aca="false">IF($B425="","",INDEX(ChalStart,$B425))</f>
        <v/>
      </c>
      <c r="L425" s="57" t="str">
        <f aca="false">IF($B425="","",INDEX(ChalInYear,$B425))</f>
        <v/>
      </c>
      <c r="M425" s="57" t="str">
        <f aca="false">IF($B425="","",INDEX(ChalRunRate,$B425))</f>
        <v/>
      </c>
      <c r="N425" s="0" t="str">
        <f aca="false">IF($B425="","",INDEX(BookDriver,$B425))</f>
        <v/>
      </c>
    </row>
    <row r="426" customFormat="false" ht="15" hidden="false" customHeight="false" outlineLevel="0" collapsed="false">
      <c r="A426" s="33" t="n">
        <v>421</v>
      </c>
      <c r="B426" s="0" t="str">
        <f aca="false">IFERROR(MATCH($A426,ChalSeq,0),"")</f>
        <v/>
      </c>
      <c r="C426" s="0" t="str">
        <f aca="false">IF($B426="","",INDEX(ChalGroup,$B426))</f>
        <v/>
      </c>
      <c r="D426" s="0" t="str">
        <f aca="false">IF($B426="","",INDEX(ChalDivision,$B426))</f>
        <v/>
      </c>
      <c r="E426" s="0" t="str">
        <f aca="false">IF($B426="","",INDEX(ChalUnit,$B426))</f>
        <v/>
      </c>
      <c r="F426" s="0" t="str">
        <f aca="false">IF($B426="","",INDEX(ChalTitle,$B426))</f>
        <v/>
      </c>
      <c r="G426" s="0" t="str">
        <f aca="false">IF($B426="","",INDEX(ChalLevel,$B426))</f>
        <v/>
      </c>
      <c r="H426" s="0" t="str">
        <f aca="false">IF($B426="","",INDEX(BookFamily,$B426))</f>
        <v/>
      </c>
      <c r="I426" s="0" t="str">
        <f aca="false">IF($B426="","",INDEX(BookWorkerType,$B426))</f>
        <v/>
      </c>
      <c r="J426" s="56" t="str">
        <f aca="false">IF($B426="","",INDEX(ChalEffective,$B426))</f>
        <v/>
      </c>
      <c r="K426" s="0" t="str">
        <f aca="false">IF($B426="","",INDEX(ChalStart,$B426))</f>
        <v/>
      </c>
      <c r="L426" s="57" t="str">
        <f aca="false">IF($B426="","",INDEX(ChalInYear,$B426))</f>
        <v/>
      </c>
      <c r="M426" s="57" t="str">
        <f aca="false">IF($B426="","",INDEX(ChalRunRate,$B426))</f>
        <v/>
      </c>
      <c r="N426" s="0" t="str">
        <f aca="false">IF($B426="","",INDEX(BookDriver,$B426))</f>
        <v/>
      </c>
    </row>
    <row r="427" customFormat="false" ht="15" hidden="false" customHeight="false" outlineLevel="0" collapsed="false">
      <c r="A427" s="33" t="n">
        <v>422</v>
      </c>
      <c r="B427" s="0" t="str">
        <f aca="false">IFERROR(MATCH($A427,ChalSeq,0),"")</f>
        <v/>
      </c>
      <c r="C427" s="0" t="str">
        <f aca="false">IF($B427="","",INDEX(ChalGroup,$B427))</f>
        <v/>
      </c>
      <c r="D427" s="0" t="str">
        <f aca="false">IF($B427="","",INDEX(ChalDivision,$B427))</f>
        <v/>
      </c>
      <c r="E427" s="0" t="str">
        <f aca="false">IF($B427="","",INDEX(ChalUnit,$B427))</f>
        <v/>
      </c>
      <c r="F427" s="0" t="str">
        <f aca="false">IF($B427="","",INDEX(ChalTitle,$B427))</f>
        <v/>
      </c>
      <c r="G427" s="0" t="str">
        <f aca="false">IF($B427="","",INDEX(ChalLevel,$B427))</f>
        <v/>
      </c>
      <c r="H427" s="0" t="str">
        <f aca="false">IF($B427="","",INDEX(BookFamily,$B427))</f>
        <v/>
      </c>
      <c r="I427" s="0" t="str">
        <f aca="false">IF($B427="","",INDEX(BookWorkerType,$B427))</f>
        <v/>
      </c>
      <c r="J427" s="56" t="str">
        <f aca="false">IF($B427="","",INDEX(ChalEffective,$B427))</f>
        <v/>
      </c>
      <c r="K427" s="0" t="str">
        <f aca="false">IF($B427="","",INDEX(ChalStart,$B427))</f>
        <v/>
      </c>
      <c r="L427" s="57" t="str">
        <f aca="false">IF($B427="","",INDEX(ChalInYear,$B427))</f>
        <v/>
      </c>
      <c r="M427" s="57" t="str">
        <f aca="false">IF($B427="","",INDEX(ChalRunRate,$B427))</f>
        <v/>
      </c>
      <c r="N427" s="0" t="str">
        <f aca="false">IF($B427="","",INDEX(BookDriver,$B427))</f>
        <v/>
      </c>
    </row>
    <row r="428" customFormat="false" ht="15" hidden="false" customHeight="false" outlineLevel="0" collapsed="false">
      <c r="A428" s="33" t="n">
        <v>423</v>
      </c>
      <c r="B428" s="0" t="str">
        <f aca="false">IFERROR(MATCH($A428,ChalSeq,0),"")</f>
        <v/>
      </c>
      <c r="C428" s="0" t="str">
        <f aca="false">IF($B428="","",INDEX(ChalGroup,$B428))</f>
        <v/>
      </c>
      <c r="D428" s="0" t="str">
        <f aca="false">IF($B428="","",INDEX(ChalDivision,$B428))</f>
        <v/>
      </c>
      <c r="E428" s="0" t="str">
        <f aca="false">IF($B428="","",INDEX(ChalUnit,$B428))</f>
        <v/>
      </c>
      <c r="F428" s="0" t="str">
        <f aca="false">IF($B428="","",INDEX(ChalTitle,$B428))</f>
        <v/>
      </c>
      <c r="G428" s="0" t="str">
        <f aca="false">IF($B428="","",INDEX(ChalLevel,$B428))</f>
        <v/>
      </c>
      <c r="H428" s="0" t="str">
        <f aca="false">IF($B428="","",INDEX(BookFamily,$B428))</f>
        <v/>
      </c>
      <c r="I428" s="0" t="str">
        <f aca="false">IF($B428="","",INDEX(BookWorkerType,$B428))</f>
        <v/>
      </c>
      <c r="J428" s="56" t="str">
        <f aca="false">IF($B428="","",INDEX(ChalEffective,$B428))</f>
        <v/>
      </c>
      <c r="K428" s="0" t="str">
        <f aca="false">IF($B428="","",INDEX(ChalStart,$B428))</f>
        <v/>
      </c>
      <c r="L428" s="57" t="str">
        <f aca="false">IF($B428="","",INDEX(ChalInYear,$B428))</f>
        <v/>
      </c>
      <c r="M428" s="57" t="str">
        <f aca="false">IF($B428="","",INDEX(ChalRunRate,$B428))</f>
        <v/>
      </c>
      <c r="N428" s="0" t="str">
        <f aca="false">IF($B428="","",INDEX(BookDriver,$B428))</f>
        <v/>
      </c>
    </row>
    <row r="429" customFormat="false" ht="15" hidden="false" customHeight="false" outlineLevel="0" collapsed="false">
      <c r="A429" s="33" t="n">
        <v>424</v>
      </c>
      <c r="B429" s="0" t="str">
        <f aca="false">IFERROR(MATCH($A429,ChalSeq,0),"")</f>
        <v/>
      </c>
      <c r="C429" s="0" t="str">
        <f aca="false">IF($B429="","",INDEX(ChalGroup,$B429))</f>
        <v/>
      </c>
      <c r="D429" s="0" t="str">
        <f aca="false">IF($B429="","",INDEX(ChalDivision,$B429))</f>
        <v/>
      </c>
      <c r="E429" s="0" t="str">
        <f aca="false">IF($B429="","",INDEX(ChalUnit,$B429))</f>
        <v/>
      </c>
      <c r="F429" s="0" t="str">
        <f aca="false">IF($B429="","",INDEX(ChalTitle,$B429))</f>
        <v/>
      </c>
      <c r="G429" s="0" t="str">
        <f aca="false">IF($B429="","",INDEX(ChalLevel,$B429))</f>
        <v/>
      </c>
      <c r="H429" s="0" t="str">
        <f aca="false">IF($B429="","",INDEX(BookFamily,$B429))</f>
        <v/>
      </c>
      <c r="I429" s="0" t="str">
        <f aca="false">IF($B429="","",INDEX(BookWorkerType,$B429))</f>
        <v/>
      </c>
      <c r="J429" s="56" t="str">
        <f aca="false">IF($B429="","",INDEX(ChalEffective,$B429))</f>
        <v/>
      </c>
      <c r="K429" s="0" t="str">
        <f aca="false">IF($B429="","",INDEX(ChalStart,$B429))</f>
        <v/>
      </c>
      <c r="L429" s="57" t="str">
        <f aca="false">IF($B429="","",INDEX(ChalInYear,$B429))</f>
        <v/>
      </c>
      <c r="M429" s="57" t="str">
        <f aca="false">IF($B429="","",INDEX(ChalRunRate,$B429))</f>
        <v/>
      </c>
      <c r="N429" s="0" t="str">
        <f aca="false">IF($B429="","",INDEX(BookDriver,$B429))</f>
        <v/>
      </c>
    </row>
    <row r="430" customFormat="false" ht="15" hidden="false" customHeight="false" outlineLevel="0" collapsed="false">
      <c r="A430" s="33" t="n">
        <v>425</v>
      </c>
      <c r="B430" s="0" t="str">
        <f aca="false">IFERROR(MATCH($A430,ChalSeq,0),"")</f>
        <v/>
      </c>
      <c r="C430" s="0" t="str">
        <f aca="false">IF($B430="","",INDEX(ChalGroup,$B430))</f>
        <v/>
      </c>
      <c r="D430" s="0" t="str">
        <f aca="false">IF($B430="","",INDEX(ChalDivision,$B430))</f>
        <v/>
      </c>
      <c r="E430" s="0" t="str">
        <f aca="false">IF($B430="","",INDEX(ChalUnit,$B430))</f>
        <v/>
      </c>
      <c r="F430" s="0" t="str">
        <f aca="false">IF($B430="","",INDEX(ChalTitle,$B430))</f>
        <v/>
      </c>
      <c r="G430" s="0" t="str">
        <f aca="false">IF($B430="","",INDEX(ChalLevel,$B430))</f>
        <v/>
      </c>
      <c r="H430" s="0" t="str">
        <f aca="false">IF($B430="","",INDEX(BookFamily,$B430))</f>
        <v/>
      </c>
      <c r="I430" s="0" t="str">
        <f aca="false">IF($B430="","",INDEX(BookWorkerType,$B430))</f>
        <v/>
      </c>
      <c r="J430" s="56" t="str">
        <f aca="false">IF($B430="","",INDEX(ChalEffective,$B430))</f>
        <v/>
      </c>
      <c r="K430" s="0" t="str">
        <f aca="false">IF($B430="","",INDEX(ChalStart,$B430))</f>
        <v/>
      </c>
      <c r="L430" s="57" t="str">
        <f aca="false">IF($B430="","",INDEX(ChalInYear,$B430))</f>
        <v/>
      </c>
      <c r="M430" s="57" t="str">
        <f aca="false">IF($B430="","",INDEX(ChalRunRate,$B430))</f>
        <v/>
      </c>
      <c r="N430" s="0" t="str">
        <f aca="false">IF($B430="","",INDEX(BookDriver,$B430))</f>
        <v/>
      </c>
    </row>
    <row r="431" customFormat="false" ht="15" hidden="false" customHeight="false" outlineLevel="0" collapsed="false">
      <c r="A431" s="33" t="n">
        <v>426</v>
      </c>
      <c r="B431" s="0" t="str">
        <f aca="false">IFERROR(MATCH($A431,ChalSeq,0),"")</f>
        <v/>
      </c>
      <c r="C431" s="0" t="str">
        <f aca="false">IF($B431="","",INDEX(ChalGroup,$B431))</f>
        <v/>
      </c>
      <c r="D431" s="0" t="str">
        <f aca="false">IF($B431="","",INDEX(ChalDivision,$B431))</f>
        <v/>
      </c>
      <c r="E431" s="0" t="str">
        <f aca="false">IF($B431="","",INDEX(ChalUnit,$B431))</f>
        <v/>
      </c>
      <c r="F431" s="0" t="str">
        <f aca="false">IF($B431="","",INDEX(ChalTitle,$B431))</f>
        <v/>
      </c>
      <c r="G431" s="0" t="str">
        <f aca="false">IF($B431="","",INDEX(ChalLevel,$B431))</f>
        <v/>
      </c>
      <c r="H431" s="0" t="str">
        <f aca="false">IF($B431="","",INDEX(BookFamily,$B431))</f>
        <v/>
      </c>
      <c r="I431" s="0" t="str">
        <f aca="false">IF($B431="","",INDEX(BookWorkerType,$B431))</f>
        <v/>
      </c>
      <c r="J431" s="56" t="str">
        <f aca="false">IF($B431="","",INDEX(ChalEffective,$B431))</f>
        <v/>
      </c>
      <c r="K431" s="0" t="str">
        <f aca="false">IF($B431="","",INDEX(ChalStart,$B431))</f>
        <v/>
      </c>
      <c r="L431" s="57" t="str">
        <f aca="false">IF($B431="","",INDEX(ChalInYear,$B431))</f>
        <v/>
      </c>
      <c r="M431" s="57" t="str">
        <f aca="false">IF($B431="","",INDEX(ChalRunRate,$B431))</f>
        <v/>
      </c>
      <c r="N431" s="0" t="str">
        <f aca="false">IF($B431="","",INDEX(BookDriver,$B431))</f>
        <v/>
      </c>
    </row>
    <row r="432" customFormat="false" ht="15" hidden="false" customHeight="false" outlineLevel="0" collapsed="false">
      <c r="A432" s="33" t="n">
        <v>427</v>
      </c>
      <c r="B432" s="0" t="str">
        <f aca="false">IFERROR(MATCH($A432,ChalSeq,0),"")</f>
        <v/>
      </c>
      <c r="C432" s="0" t="str">
        <f aca="false">IF($B432="","",INDEX(ChalGroup,$B432))</f>
        <v/>
      </c>
      <c r="D432" s="0" t="str">
        <f aca="false">IF($B432="","",INDEX(ChalDivision,$B432))</f>
        <v/>
      </c>
      <c r="E432" s="0" t="str">
        <f aca="false">IF($B432="","",INDEX(ChalUnit,$B432))</f>
        <v/>
      </c>
      <c r="F432" s="0" t="str">
        <f aca="false">IF($B432="","",INDEX(ChalTitle,$B432))</f>
        <v/>
      </c>
      <c r="G432" s="0" t="str">
        <f aca="false">IF($B432="","",INDEX(ChalLevel,$B432))</f>
        <v/>
      </c>
      <c r="H432" s="0" t="str">
        <f aca="false">IF($B432="","",INDEX(BookFamily,$B432))</f>
        <v/>
      </c>
      <c r="I432" s="0" t="str">
        <f aca="false">IF($B432="","",INDEX(BookWorkerType,$B432))</f>
        <v/>
      </c>
      <c r="J432" s="56" t="str">
        <f aca="false">IF($B432="","",INDEX(ChalEffective,$B432))</f>
        <v/>
      </c>
      <c r="K432" s="0" t="str">
        <f aca="false">IF($B432="","",INDEX(ChalStart,$B432))</f>
        <v/>
      </c>
      <c r="L432" s="57" t="str">
        <f aca="false">IF($B432="","",INDEX(ChalInYear,$B432))</f>
        <v/>
      </c>
      <c r="M432" s="57" t="str">
        <f aca="false">IF($B432="","",INDEX(ChalRunRate,$B432))</f>
        <v/>
      </c>
      <c r="N432" s="0" t="str">
        <f aca="false">IF($B432="","",INDEX(BookDriver,$B432))</f>
        <v/>
      </c>
    </row>
    <row r="433" customFormat="false" ht="15" hidden="false" customHeight="false" outlineLevel="0" collapsed="false">
      <c r="A433" s="33" t="n">
        <v>428</v>
      </c>
      <c r="B433" s="0" t="str">
        <f aca="false">IFERROR(MATCH($A433,ChalSeq,0),"")</f>
        <v/>
      </c>
      <c r="C433" s="0" t="str">
        <f aca="false">IF($B433="","",INDEX(ChalGroup,$B433))</f>
        <v/>
      </c>
      <c r="D433" s="0" t="str">
        <f aca="false">IF($B433="","",INDEX(ChalDivision,$B433))</f>
        <v/>
      </c>
      <c r="E433" s="0" t="str">
        <f aca="false">IF($B433="","",INDEX(ChalUnit,$B433))</f>
        <v/>
      </c>
      <c r="F433" s="0" t="str">
        <f aca="false">IF($B433="","",INDEX(ChalTitle,$B433))</f>
        <v/>
      </c>
      <c r="G433" s="0" t="str">
        <f aca="false">IF($B433="","",INDEX(ChalLevel,$B433))</f>
        <v/>
      </c>
      <c r="H433" s="0" t="str">
        <f aca="false">IF($B433="","",INDEX(BookFamily,$B433))</f>
        <v/>
      </c>
      <c r="I433" s="0" t="str">
        <f aca="false">IF($B433="","",INDEX(BookWorkerType,$B433))</f>
        <v/>
      </c>
      <c r="J433" s="56" t="str">
        <f aca="false">IF($B433="","",INDEX(ChalEffective,$B433))</f>
        <v/>
      </c>
      <c r="K433" s="0" t="str">
        <f aca="false">IF($B433="","",INDEX(ChalStart,$B433))</f>
        <v/>
      </c>
      <c r="L433" s="57" t="str">
        <f aca="false">IF($B433="","",INDEX(ChalInYear,$B433))</f>
        <v/>
      </c>
      <c r="M433" s="57" t="str">
        <f aca="false">IF($B433="","",INDEX(ChalRunRate,$B433))</f>
        <v/>
      </c>
      <c r="N433" s="0" t="str">
        <f aca="false">IF($B433="","",INDEX(BookDriver,$B433))</f>
        <v/>
      </c>
    </row>
    <row r="434" customFormat="false" ht="15" hidden="false" customHeight="false" outlineLevel="0" collapsed="false">
      <c r="A434" s="33" t="n">
        <v>429</v>
      </c>
      <c r="B434" s="0" t="str">
        <f aca="false">IFERROR(MATCH($A434,ChalSeq,0),"")</f>
        <v/>
      </c>
      <c r="C434" s="0" t="str">
        <f aca="false">IF($B434="","",INDEX(ChalGroup,$B434))</f>
        <v/>
      </c>
      <c r="D434" s="0" t="str">
        <f aca="false">IF($B434="","",INDEX(ChalDivision,$B434))</f>
        <v/>
      </c>
      <c r="E434" s="0" t="str">
        <f aca="false">IF($B434="","",INDEX(ChalUnit,$B434))</f>
        <v/>
      </c>
      <c r="F434" s="0" t="str">
        <f aca="false">IF($B434="","",INDEX(ChalTitle,$B434))</f>
        <v/>
      </c>
      <c r="G434" s="0" t="str">
        <f aca="false">IF($B434="","",INDEX(ChalLevel,$B434))</f>
        <v/>
      </c>
      <c r="H434" s="0" t="str">
        <f aca="false">IF($B434="","",INDEX(BookFamily,$B434))</f>
        <v/>
      </c>
      <c r="I434" s="0" t="str">
        <f aca="false">IF($B434="","",INDEX(BookWorkerType,$B434))</f>
        <v/>
      </c>
      <c r="J434" s="56" t="str">
        <f aca="false">IF($B434="","",INDEX(ChalEffective,$B434))</f>
        <v/>
      </c>
      <c r="K434" s="0" t="str">
        <f aca="false">IF($B434="","",INDEX(ChalStart,$B434))</f>
        <v/>
      </c>
      <c r="L434" s="57" t="str">
        <f aca="false">IF($B434="","",INDEX(ChalInYear,$B434))</f>
        <v/>
      </c>
      <c r="M434" s="57" t="str">
        <f aca="false">IF($B434="","",INDEX(ChalRunRate,$B434))</f>
        <v/>
      </c>
      <c r="N434" s="0" t="str">
        <f aca="false">IF($B434="","",INDEX(BookDriver,$B434))</f>
        <v/>
      </c>
    </row>
    <row r="435" customFormat="false" ht="15" hidden="false" customHeight="false" outlineLevel="0" collapsed="false">
      <c r="A435" s="33" t="n">
        <v>430</v>
      </c>
      <c r="B435" s="0" t="str">
        <f aca="false">IFERROR(MATCH($A435,ChalSeq,0),"")</f>
        <v/>
      </c>
      <c r="C435" s="0" t="str">
        <f aca="false">IF($B435="","",INDEX(ChalGroup,$B435))</f>
        <v/>
      </c>
      <c r="D435" s="0" t="str">
        <f aca="false">IF($B435="","",INDEX(ChalDivision,$B435))</f>
        <v/>
      </c>
      <c r="E435" s="0" t="str">
        <f aca="false">IF($B435="","",INDEX(ChalUnit,$B435))</f>
        <v/>
      </c>
      <c r="F435" s="0" t="str">
        <f aca="false">IF($B435="","",INDEX(ChalTitle,$B435))</f>
        <v/>
      </c>
      <c r="G435" s="0" t="str">
        <f aca="false">IF($B435="","",INDEX(ChalLevel,$B435))</f>
        <v/>
      </c>
      <c r="H435" s="0" t="str">
        <f aca="false">IF($B435="","",INDEX(BookFamily,$B435))</f>
        <v/>
      </c>
      <c r="I435" s="0" t="str">
        <f aca="false">IF($B435="","",INDEX(BookWorkerType,$B435))</f>
        <v/>
      </c>
      <c r="J435" s="56" t="str">
        <f aca="false">IF($B435="","",INDEX(ChalEffective,$B435))</f>
        <v/>
      </c>
      <c r="K435" s="0" t="str">
        <f aca="false">IF($B435="","",INDEX(ChalStart,$B435))</f>
        <v/>
      </c>
      <c r="L435" s="57" t="str">
        <f aca="false">IF($B435="","",INDEX(ChalInYear,$B435))</f>
        <v/>
      </c>
      <c r="M435" s="57" t="str">
        <f aca="false">IF($B435="","",INDEX(ChalRunRate,$B435))</f>
        <v/>
      </c>
      <c r="N435" s="0" t="str">
        <f aca="false">IF($B435="","",INDEX(BookDriver,$B435))</f>
        <v/>
      </c>
    </row>
    <row r="436" customFormat="false" ht="15" hidden="false" customHeight="false" outlineLevel="0" collapsed="false">
      <c r="A436" s="33" t="n">
        <v>431</v>
      </c>
      <c r="B436" s="0" t="str">
        <f aca="false">IFERROR(MATCH($A436,ChalSeq,0),"")</f>
        <v/>
      </c>
      <c r="C436" s="0" t="str">
        <f aca="false">IF($B436="","",INDEX(ChalGroup,$B436))</f>
        <v/>
      </c>
      <c r="D436" s="0" t="str">
        <f aca="false">IF($B436="","",INDEX(ChalDivision,$B436))</f>
        <v/>
      </c>
      <c r="E436" s="0" t="str">
        <f aca="false">IF($B436="","",INDEX(ChalUnit,$B436))</f>
        <v/>
      </c>
      <c r="F436" s="0" t="str">
        <f aca="false">IF($B436="","",INDEX(ChalTitle,$B436))</f>
        <v/>
      </c>
      <c r="G436" s="0" t="str">
        <f aca="false">IF($B436="","",INDEX(ChalLevel,$B436))</f>
        <v/>
      </c>
      <c r="H436" s="0" t="str">
        <f aca="false">IF($B436="","",INDEX(BookFamily,$B436))</f>
        <v/>
      </c>
      <c r="I436" s="0" t="str">
        <f aca="false">IF($B436="","",INDEX(BookWorkerType,$B436))</f>
        <v/>
      </c>
      <c r="J436" s="56" t="str">
        <f aca="false">IF($B436="","",INDEX(ChalEffective,$B436))</f>
        <v/>
      </c>
      <c r="K436" s="0" t="str">
        <f aca="false">IF($B436="","",INDEX(ChalStart,$B436))</f>
        <v/>
      </c>
      <c r="L436" s="57" t="str">
        <f aca="false">IF($B436="","",INDEX(ChalInYear,$B436))</f>
        <v/>
      </c>
      <c r="M436" s="57" t="str">
        <f aca="false">IF($B436="","",INDEX(ChalRunRate,$B436))</f>
        <v/>
      </c>
      <c r="N436" s="0" t="str">
        <f aca="false">IF($B436="","",INDEX(BookDriver,$B436))</f>
        <v/>
      </c>
    </row>
    <row r="437" customFormat="false" ht="15" hidden="false" customHeight="false" outlineLevel="0" collapsed="false">
      <c r="A437" s="33" t="n">
        <v>432</v>
      </c>
      <c r="B437" s="0" t="str">
        <f aca="false">IFERROR(MATCH($A437,ChalSeq,0),"")</f>
        <v/>
      </c>
      <c r="C437" s="0" t="str">
        <f aca="false">IF($B437="","",INDEX(ChalGroup,$B437))</f>
        <v/>
      </c>
      <c r="D437" s="0" t="str">
        <f aca="false">IF($B437="","",INDEX(ChalDivision,$B437))</f>
        <v/>
      </c>
      <c r="E437" s="0" t="str">
        <f aca="false">IF($B437="","",INDEX(ChalUnit,$B437))</f>
        <v/>
      </c>
      <c r="F437" s="0" t="str">
        <f aca="false">IF($B437="","",INDEX(ChalTitle,$B437))</f>
        <v/>
      </c>
      <c r="G437" s="0" t="str">
        <f aca="false">IF($B437="","",INDEX(ChalLevel,$B437))</f>
        <v/>
      </c>
      <c r="H437" s="0" t="str">
        <f aca="false">IF($B437="","",INDEX(BookFamily,$B437))</f>
        <v/>
      </c>
      <c r="I437" s="0" t="str">
        <f aca="false">IF($B437="","",INDEX(BookWorkerType,$B437))</f>
        <v/>
      </c>
      <c r="J437" s="56" t="str">
        <f aca="false">IF($B437="","",INDEX(ChalEffective,$B437))</f>
        <v/>
      </c>
      <c r="K437" s="0" t="str">
        <f aca="false">IF($B437="","",INDEX(ChalStart,$B437))</f>
        <v/>
      </c>
      <c r="L437" s="57" t="str">
        <f aca="false">IF($B437="","",INDEX(ChalInYear,$B437))</f>
        <v/>
      </c>
      <c r="M437" s="57" t="str">
        <f aca="false">IF($B437="","",INDEX(ChalRunRate,$B437))</f>
        <v/>
      </c>
      <c r="N437" s="0" t="str">
        <f aca="false">IF($B437="","",INDEX(BookDriver,$B437))</f>
        <v/>
      </c>
    </row>
    <row r="438" customFormat="false" ht="15" hidden="false" customHeight="false" outlineLevel="0" collapsed="false">
      <c r="A438" s="33" t="n">
        <v>433</v>
      </c>
      <c r="B438" s="0" t="str">
        <f aca="false">IFERROR(MATCH($A438,ChalSeq,0),"")</f>
        <v/>
      </c>
      <c r="C438" s="0" t="str">
        <f aca="false">IF($B438="","",INDEX(ChalGroup,$B438))</f>
        <v/>
      </c>
      <c r="D438" s="0" t="str">
        <f aca="false">IF($B438="","",INDEX(ChalDivision,$B438))</f>
        <v/>
      </c>
      <c r="E438" s="0" t="str">
        <f aca="false">IF($B438="","",INDEX(ChalUnit,$B438))</f>
        <v/>
      </c>
      <c r="F438" s="0" t="str">
        <f aca="false">IF($B438="","",INDEX(ChalTitle,$B438))</f>
        <v/>
      </c>
      <c r="G438" s="0" t="str">
        <f aca="false">IF($B438="","",INDEX(ChalLevel,$B438))</f>
        <v/>
      </c>
      <c r="H438" s="0" t="str">
        <f aca="false">IF($B438="","",INDEX(BookFamily,$B438))</f>
        <v/>
      </c>
      <c r="I438" s="0" t="str">
        <f aca="false">IF($B438="","",INDEX(BookWorkerType,$B438))</f>
        <v/>
      </c>
      <c r="J438" s="56" t="str">
        <f aca="false">IF($B438="","",INDEX(ChalEffective,$B438))</f>
        <v/>
      </c>
      <c r="K438" s="0" t="str">
        <f aca="false">IF($B438="","",INDEX(ChalStart,$B438))</f>
        <v/>
      </c>
      <c r="L438" s="57" t="str">
        <f aca="false">IF($B438="","",INDEX(ChalInYear,$B438))</f>
        <v/>
      </c>
      <c r="M438" s="57" t="str">
        <f aca="false">IF($B438="","",INDEX(ChalRunRate,$B438))</f>
        <v/>
      </c>
      <c r="N438" s="0" t="str">
        <f aca="false">IF($B438="","",INDEX(BookDriver,$B438))</f>
        <v/>
      </c>
    </row>
    <row r="439" customFormat="false" ht="15" hidden="false" customHeight="false" outlineLevel="0" collapsed="false">
      <c r="A439" s="33" t="n">
        <v>434</v>
      </c>
      <c r="B439" s="0" t="str">
        <f aca="false">IFERROR(MATCH($A439,ChalSeq,0),"")</f>
        <v/>
      </c>
      <c r="C439" s="0" t="str">
        <f aca="false">IF($B439="","",INDEX(ChalGroup,$B439))</f>
        <v/>
      </c>
      <c r="D439" s="0" t="str">
        <f aca="false">IF($B439="","",INDEX(ChalDivision,$B439))</f>
        <v/>
      </c>
      <c r="E439" s="0" t="str">
        <f aca="false">IF($B439="","",INDEX(ChalUnit,$B439))</f>
        <v/>
      </c>
      <c r="F439" s="0" t="str">
        <f aca="false">IF($B439="","",INDEX(ChalTitle,$B439))</f>
        <v/>
      </c>
      <c r="G439" s="0" t="str">
        <f aca="false">IF($B439="","",INDEX(ChalLevel,$B439))</f>
        <v/>
      </c>
      <c r="H439" s="0" t="str">
        <f aca="false">IF($B439="","",INDEX(BookFamily,$B439))</f>
        <v/>
      </c>
      <c r="I439" s="0" t="str">
        <f aca="false">IF($B439="","",INDEX(BookWorkerType,$B439))</f>
        <v/>
      </c>
      <c r="J439" s="56" t="str">
        <f aca="false">IF($B439="","",INDEX(ChalEffective,$B439))</f>
        <v/>
      </c>
      <c r="K439" s="0" t="str">
        <f aca="false">IF($B439="","",INDEX(ChalStart,$B439))</f>
        <v/>
      </c>
      <c r="L439" s="57" t="str">
        <f aca="false">IF($B439="","",INDEX(ChalInYear,$B439))</f>
        <v/>
      </c>
      <c r="M439" s="57" t="str">
        <f aca="false">IF($B439="","",INDEX(ChalRunRate,$B439))</f>
        <v/>
      </c>
      <c r="N439" s="0" t="str">
        <f aca="false">IF($B439="","",INDEX(BookDriver,$B439))</f>
        <v/>
      </c>
    </row>
    <row r="440" customFormat="false" ht="15" hidden="false" customHeight="false" outlineLevel="0" collapsed="false">
      <c r="A440" s="33" t="n">
        <v>435</v>
      </c>
      <c r="B440" s="0" t="str">
        <f aca="false">IFERROR(MATCH($A440,ChalSeq,0),"")</f>
        <v/>
      </c>
      <c r="C440" s="0" t="str">
        <f aca="false">IF($B440="","",INDEX(ChalGroup,$B440))</f>
        <v/>
      </c>
      <c r="D440" s="0" t="str">
        <f aca="false">IF($B440="","",INDEX(ChalDivision,$B440))</f>
        <v/>
      </c>
      <c r="E440" s="0" t="str">
        <f aca="false">IF($B440="","",INDEX(ChalUnit,$B440))</f>
        <v/>
      </c>
      <c r="F440" s="0" t="str">
        <f aca="false">IF($B440="","",INDEX(ChalTitle,$B440))</f>
        <v/>
      </c>
      <c r="G440" s="0" t="str">
        <f aca="false">IF($B440="","",INDEX(ChalLevel,$B440))</f>
        <v/>
      </c>
      <c r="H440" s="0" t="str">
        <f aca="false">IF($B440="","",INDEX(BookFamily,$B440))</f>
        <v/>
      </c>
      <c r="I440" s="0" t="str">
        <f aca="false">IF($B440="","",INDEX(BookWorkerType,$B440))</f>
        <v/>
      </c>
      <c r="J440" s="56" t="str">
        <f aca="false">IF($B440="","",INDEX(ChalEffective,$B440))</f>
        <v/>
      </c>
      <c r="K440" s="0" t="str">
        <f aca="false">IF($B440="","",INDEX(ChalStart,$B440))</f>
        <v/>
      </c>
      <c r="L440" s="57" t="str">
        <f aca="false">IF($B440="","",INDEX(ChalInYear,$B440))</f>
        <v/>
      </c>
      <c r="M440" s="57" t="str">
        <f aca="false">IF($B440="","",INDEX(ChalRunRate,$B440))</f>
        <v/>
      </c>
      <c r="N440" s="0" t="str">
        <f aca="false">IF($B440="","",INDEX(BookDriver,$B440))</f>
        <v/>
      </c>
    </row>
    <row r="441" customFormat="false" ht="15" hidden="false" customHeight="false" outlineLevel="0" collapsed="false">
      <c r="A441" s="33" t="n">
        <v>436</v>
      </c>
      <c r="B441" s="0" t="str">
        <f aca="false">IFERROR(MATCH($A441,ChalSeq,0),"")</f>
        <v/>
      </c>
      <c r="C441" s="0" t="str">
        <f aca="false">IF($B441="","",INDEX(ChalGroup,$B441))</f>
        <v/>
      </c>
      <c r="D441" s="0" t="str">
        <f aca="false">IF($B441="","",INDEX(ChalDivision,$B441))</f>
        <v/>
      </c>
      <c r="E441" s="0" t="str">
        <f aca="false">IF($B441="","",INDEX(ChalUnit,$B441))</f>
        <v/>
      </c>
      <c r="F441" s="0" t="str">
        <f aca="false">IF($B441="","",INDEX(ChalTitle,$B441))</f>
        <v/>
      </c>
      <c r="G441" s="0" t="str">
        <f aca="false">IF($B441="","",INDEX(ChalLevel,$B441))</f>
        <v/>
      </c>
      <c r="H441" s="0" t="str">
        <f aca="false">IF($B441="","",INDEX(BookFamily,$B441))</f>
        <v/>
      </c>
      <c r="I441" s="0" t="str">
        <f aca="false">IF($B441="","",INDEX(BookWorkerType,$B441))</f>
        <v/>
      </c>
      <c r="J441" s="56" t="str">
        <f aca="false">IF($B441="","",INDEX(ChalEffective,$B441))</f>
        <v/>
      </c>
      <c r="K441" s="0" t="str">
        <f aca="false">IF($B441="","",INDEX(ChalStart,$B441))</f>
        <v/>
      </c>
      <c r="L441" s="57" t="str">
        <f aca="false">IF($B441="","",INDEX(ChalInYear,$B441))</f>
        <v/>
      </c>
      <c r="M441" s="57" t="str">
        <f aca="false">IF($B441="","",INDEX(ChalRunRate,$B441))</f>
        <v/>
      </c>
      <c r="N441" s="0" t="str">
        <f aca="false">IF($B441="","",INDEX(BookDriver,$B441))</f>
        <v/>
      </c>
    </row>
    <row r="442" customFormat="false" ht="15" hidden="false" customHeight="false" outlineLevel="0" collapsed="false">
      <c r="A442" s="33" t="n">
        <v>437</v>
      </c>
      <c r="B442" s="0" t="str">
        <f aca="false">IFERROR(MATCH($A442,ChalSeq,0),"")</f>
        <v/>
      </c>
      <c r="C442" s="0" t="str">
        <f aca="false">IF($B442="","",INDEX(ChalGroup,$B442))</f>
        <v/>
      </c>
      <c r="D442" s="0" t="str">
        <f aca="false">IF($B442="","",INDEX(ChalDivision,$B442))</f>
        <v/>
      </c>
      <c r="E442" s="0" t="str">
        <f aca="false">IF($B442="","",INDEX(ChalUnit,$B442))</f>
        <v/>
      </c>
      <c r="F442" s="0" t="str">
        <f aca="false">IF($B442="","",INDEX(ChalTitle,$B442))</f>
        <v/>
      </c>
      <c r="G442" s="0" t="str">
        <f aca="false">IF($B442="","",INDEX(ChalLevel,$B442))</f>
        <v/>
      </c>
      <c r="H442" s="0" t="str">
        <f aca="false">IF($B442="","",INDEX(BookFamily,$B442))</f>
        <v/>
      </c>
      <c r="I442" s="0" t="str">
        <f aca="false">IF($B442="","",INDEX(BookWorkerType,$B442))</f>
        <v/>
      </c>
      <c r="J442" s="56" t="str">
        <f aca="false">IF($B442="","",INDEX(ChalEffective,$B442))</f>
        <v/>
      </c>
      <c r="K442" s="0" t="str">
        <f aca="false">IF($B442="","",INDEX(ChalStart,$B442))</f>
        <v/>
      </c>
      <c r="L442" s="57" t="str">
        <f aca="false">IF($B442="","",INDEX(ChalInYear,$B442))</f>
        <v/>
      </c>
      <c r="M442" s="57" t="str">
        <f aca="false">IF($B442="","",INDEX(ChalRunRate,$B442))</f>
        <v/>
      </c>
      <c r="N442" s="0" t="str">
        <f aca="false">IF($B442="","",INDEX(BookDriver,$B442))</f>
        <v/>
      </c>
    </row>
    <row r="443" customFormat="false" ht="15" hidden="false" customHeight="false" outlineLevel="0" collapsed="false">
      <c r="A443" s="33" t="n">
        <v>438</v>
      </c>
      <c r="B443" s="0" t="str">
        <f aca="false">IFERROR(MATCH($A443,ChalSeq,0),"")</f>
        <v/>
      </c>
      <c r="C443" s="0" t="str">
        <f aca="false">IF($B443="","",INDEX(ChalGroup,$B443))</f>
        <v/>
      </c>
      <c r="D443" s="0" t="str">
        <f aca="false">IF($B443="","",INDEX(ChalDivision,$B443))</f>
        <v/>
      </c>
      <c r="E443" s="0" t="str">
        <f aca="false">IF($B443="","",INDEX(ChalUnit,$B443))</f>
        <v/>
      </c>
      <c r="F443" s="0" t="str">
        <f aca="false">IF($B443="","",INDEX(ChalTitle,$B443))</f>
        <v/>
      </c>
      <c r="G443" s="0" t="str">
        <f aca="false">IF($B443="","",INDEX(ChalLevel,$B443))</f>
        <v/>
      </c>
      <c r="H443" s="0" t="str">
        <f aca="false">IF($B443="","",INDEX(BookFamily,$B443))</f>
        <v/>
      </c>
      <c r="I443" s="0" t="str">
        <f aca="false">IF($B443="","",INDEX(BookWorkerType,$B443))</f>
        <v/>
      </c>
      <c r="J443" s="56" t="str">
        <f aca="false">IF($B443="","",INDEX(ChalEffective,$B443))</f>
        <v/>
      </c>
      <c r="K443" s="0" t="str">
        <f aca="false">IF($B443="","",INDEX(ChalStart,$B443))</f>
        <v/>
      </c>
      <c r="L443" s="57" t="str">
        <f aca="false">IF($B443="","",INDEX(ChalInYear,$B443))</f>
        <v/>
      </c>
      <c r="M443" s="57" t="str">
        <f aca="false">IF($B443="","",INDEX(ChalRunRate,$B443))</f>
        <v/>
      </c>
      <c r="N443" s="0" t="str">
        <f aca="false">IF($B443="","",INDEX(BookDriver,$B443))</f>
        <v/>
      </c>
    </row>
    <row r="444" customFormat="false" ht="15" hidden="false" customHeight="false" outlineLevel="0" collapsed="false">
      <c r="A444" s="33" t="n">
        <v>439</v>
      </c>
      <c r="B444" s="0" t="str">
        <f aca="false">IFERROR(MATCH($A444,ChalSeq,0),"")</f>
        <v/>
      </c>
      <c r="C444" s="0" t="str">
        <f aca="false">IF($B444="","",INDEX(ChalGroup,$B444))</f>
        <v/>
      </c>
      <c r="D444" s="0" t="str">
        <f aca="false">IF($B444="","",INDEX(ChalDivision,$B444))</f>
        <v/>
      </c>
      <c r="E444" s="0" t="str">
        <f aca="false">IF($B444="","",INDEX(ChalUnit,$B444))</f>
        <v/>
      </c>
      <c r="F444" s="0" t="str">
        <f aca="false">IF($B444="","",INDEX(ChalTitle,$B444))</f>
        <v/>
      </c>
      <c r="G444" s="0" t="str">
        <f aca="false">IF($B444="","",INDEX(ChalLevel,$B444))</f>
        <v/>
      </c>
      <c r="H444" s="0" t="str">
        <f aca="false">IF($B444="","",INDEX(BookFamily,$B444))</f>
        <v/>
      </c>
      <c r="I444" s="0" t="str">
        <f aca="false">IF($B444="","",INDEX(BookWorkerType,$B444))</f>
        <v/>
      </c>
      <c r="J444" s="56" t="str">
        <f aca="false">IF($B444="","",INDEX(ChalEffective,$B444))</f>
        <v/>
      </c>
      <c r="K444" s="0" t="str">
        <f aca="false">IF($B444="","",INDEX(ChalStart,$B444))</f>
        <v/>
      </c>
      <c r="L444" s="57" t="str">
        <f aca="false">IF($B444="","",INDEX(ChalInYear,$B444))</f>
        <v/>
      </c>
      <c r="M444" s="57" t="str">
        <f aca="false">IF($B444="","",INDEX(ChalRunRate,$B444))</f>
        <v/>
      </c>
      <c r="N444" s="0" t="str">
        <f aca="false">IF($B444="","",INDEX(BookDriver,$B444))</f>
        <v/>
      </c>
    </row>
    <row r="445" customFormat="false" ht="15" hidden="false" customHeight="false" outlineLevel="0" collapsed="false">
      <c r="A445" s="33" t="n">
        <v>440</v>
      </c>
      <c r="B445" s="0" t="str">
        <f aca="false">IFERROR(MATCH($A445,ChalSeq,0),"")</f>
        <v/>
      </c>
      <c r="C445" s="0" t="str">
        <f aca="false">IF($B445="","",INDEX(ChalGroup,$B445))</f>
        <v/>
      </c>
      <c r="D445" s="0" t="str">
        <f aca="false">IF($B445="","",INDEX(ChalDivision,$B445))</f>
        <v/>
      </c>
      <c r="E445" s="0" t="str">
        <f aca="false">IF($B445="","",INDEX(ChalUnit,$B445))</f>
        <v/>
      </c>
      <c r="F445" s="0" t="str">
        <f aca="false">IF($B445="","",INDEX(ChalTitle,$B445))</f>
        <v/>
      </c>
      <c r="G445" s="0" t="str">
        <f aca="false">IF($B445="","",INDEX(ChalLevel,$B445))</f>
        <v/>
      </c>
      <c r="H445" s="0" t="str">
        <f aca="false">IF($B445="","",INDEX(BookFamily,$B445))</f>
        <v/>
      </c>
      <c r="I445" s="0" t="str">
        <f aca="false">IF($B445="","",INDEX(BookWorkerType,$B445))</f>
        <v/>
      </c>
      <c r="J445" s="56" t="str">
        <f aca="false">IF($B445="","",INDEX(ChalEffective,$B445))</f>
        <v/>
      </c>
      <c r="K445" s="0" t="str">
        <f aca="false">IF($B445="","",INDEX(ChalStart,$B445))</f>
        <v/>
      </c>
      <c r="L445" s="57" t="str">
        <f aca="false">IF($B445="","",INDEX(ChalInYear,$B445))</f>
        <v/>
      </c>
      <c r="M445" s="57" t="str">
        <f aca="false">IF($B445="","",INDEX(ChalRunRate,$B445))</f>
        <v/>
      </c>
      <c r="N445" s="0" t="str">
        <f aca="false">IF($B445="","",INDEX(BookDriver,$B445))</f>
        <v/>
      </c>
    </row>
    <row r="446" customFormat="false" ht="15" hidden="false" customHeight="false" outlineLevel="0" collapsed="false">
      <c r="A446" s="33" t="n">
        <v>441</v>
      </c>
      <c r="B446" s="0" t="str">
        <f aca="false">IFERROR(MATCH($A446,ChalSeq,0),"")</f>
        <v/>
      </c>
      <c r="C446" s="0" t="str">
        <f aca="false">IF($B446="","",INDEX(ChalGroup,$B446))</f>
        <v/>
      </c>
      <c r="D446" s="0" t="str">
        <f aca="false">IF($B446="","",INDEX(ChalDivision,$B446))</f>
        <v/>
      </c>
      <c r="E446" s="0" t="str">
        <f aca="false">IF($B446="","",INDEX(ChalUnit,$B446))</f>
        <v/>
      </c>
      <c r="F446" s="0" t="str">
        <f aca="false">IF($B446="","",INDEX(ChalTitle,$B446))</f>
        <v/>
      </c>
      <c r="G446" s="0" t="str">
        <f aca="false">IF($B446="","",INDEX(ChalLevel,$B446))</f>
        <v/>
      </c>
      <c r="H446" s="0" t="str">
        <f aca="false">IF($B446="","",INDEX(BookFamily,$B446))</f>
        <v/>
      </c>
      <c r="I446" s="0" t="str">
        <f aca="false">IF($B446="","",INDEX(BookWorkerType,$B446))</f>
        <v/>
      </c>
      <c r="J446" s="56" t="str">
        <f aca="false">IF($B446="","",INDEX(ChalEffective,$B446))</f>
        <v/>
      </c>
      <c r="K446" s="0" t="str">
        <f aca="false">IF($B446="","",INDEX(ChalStart,$B446))</f>
        <v/>
      </c>
      <c r="L446" s="57" t="str">
        <f aca="false">IF($B446="","",INDEX(ChalInYear,$B446))</f>
        <v/>
      </c>
      <c r="M446" s="57" t="str">
        <f aca="false">IF($B446="","",INDEX(ChalRunRate,$B446))</f>
        <v/>
      </c>
      <c r="N446" s="0" t="str">
        <f aca="false">IF($B446="","",INDEX(BookDriver,$B446))</f>
        <v/>
      </c>
    </row>
    <row r="447" customFormat="false" ht="15" hidden="false" customHeight="false" outlineLevel="0" collapsed="false">
      <c r="A447" s="33" t="n">
        <v>442</v>
      </c>
      <c r="B447" s="0" t="str">
        <f aca="false">IFERROR(MATCH($A447,ChalSeq,0),"")</f>
        <v/>
      </c>
      <c r="C447" s="0" t="str">
        <f aca="false">IF($B447="","",INDEX(ChalGroup,$B447))</f>
        <v/>
      </c>
      <c r="D447" s="0" t="str">
        <f aca="false">IF($B447="","",INDEX(ChalDivision,$B447))</f>
        <v/>
      </c>
      <c r="E447" s="0" t="str">
        <f aca="false">IF($B447="","",INDEX(ChalUnit,$B447))</f>
        <v/>
      </c>
      <c r="F447" s="0" t="str">
        <f aca="false">IF($B447="","",INDEX(ChalTitle,$B447))</f>
        <v/>
      </c>
      <c r="G447" s="0" t="str">
        <f aca="false">IF($B447="","",INDEX(ChalLevel,$B447))</f>
        <v/>
      </c>
      <c r="H447" s="0" t="str">
        <f aca="false">IF($B447="","",INDEX(BookFamily,$B447))</f>
        <v/>
      </c>
      <c r="I447" s="0" t="str">
        <f aca="false">IF($B447="","",INDEX(BookWorkerType,$B447))</f>
        <v/>
      </c>
      <c r="J447" s="56" t="str">
        <f aca="false">IF($B447="","",INDEX(ChalEffective,$B447))</f>
        <v/>
      </c>
      <c r="K447" s="0" t="str">
        <f aca="false">IF($B447="","",INDEX(ChalStart,$B447))</f>
        <v/>
      </c>
      <c r="L447" s="57" t="str">
        <f aca="false">IF($B447="","",INDEX(ChalInYear,$B447))</f>
        <v/>
      </c>
      <c r="M447" s="57" t="str">
        <f aca="false">IF($B447="","",INDEX(ChalRunRate,$B447))</f>
        <v/>
      </c>
      <c r="N447" s="0" t="str">
        <f aca="false">IF($B447="","",INDEX(BookDriver,$B447))</f>
        <v/>
      </c>
    </row>
    <row r="448" customFormat="false" ht="15" hidden="false" customHeight="false" outlineLevel="0" collapsed="false">
      <c r="A448" s="33" t="n">
        <v>443</v>
      </c>
      <c r="B448" s="0" t="str">
        <f aca="false">IFERROR(MATCH($A448,ChalSeq,0),"")</f>
        <v/>
      </c>
      <c r="C448" s="0" t="str">
        <f aca="false">IF($B448="","",INDEX(ChalGroup,$B448))</f>
        <v/>
      </c>
      <c r="D448" s="0" t="str">
        <f aca="false">IF($B448="","",INDEX(ChalDivision,$B448))</f>
        <v/>
      </c>
      <c r="E448" s="0" t="str">
        <f aca="false">IF($B448="","",INDEX(ChalUnit,$B448))</f>
        <v/>
      </c>
      <c r="F448" s="0" t="str">
        <f aca="false">IF($B448="","",INDEX(ChalTitle,$B448))</f>
        <v/>
      </c>
      <c r="G448" s="0" t="str">
        <f aca="false">IF($B448="","",INDEX(ChalLevel,$B448))</f>
        <v/>
      </c>
      <c r="H448" s="0" t="str">
        <f aca="false">IF($B448="","",INDEX(BookFamily,$B448))</f>
        <v/>
      </c>
      <c r="I448" s="0" t="str">
        <f aca="false">IF($B448="","",INDEX(BookWorkerType,$B448))</f>
        <v/>
      </c>
      <c r="J448" s="56" t="str">
        <f aca="false">IF($B448="","",INDEX(ChalEffective,$B448))</f>
        <v/>
      </c>
      <c r="K448" s="0" t="str">
        <f aca="false">IF($B448="","",INDEX(ChalStart,$B448))</f>
        <v/>
      </c>
      <c r="L448" s="57" t="str">
        <f aca="false">IF($B448="","",INDEX(ChalInYear,$B448))</f>
        <v/>
      </c>
      <c r="M448" s="57" t="str">
        <f aca="false">IF($B448="","",INDEX(ChalRunRate,$B448))</f>
        <v/>
      </c>
      <c r="N448" s="0" t="str">
        <f aca="false">IF($B448="","",INDEX(BookDriver,$B448))</f>
        <v/>
      </c>
    </row>
    <row r="449" customFormat="false" ht="15" hidden="false" customHeight="false" outlineLevel="0" collapsed="false">
      <c r="A449" s="33" t="n">
        <v>444</v>
      </c>
      <c r="B449" s="0" t="str">
        <f aca="false">IFERROR(MATCH($A449,ChalSeq,0),"")</f>
        <v/>
      </c>
      <c r="C449" s="0" t="str">
        <f aca="false">IF($B449="","",INDEX(ChalGroup,$B449))</f>
        <v/>
      </c>
      <c r="D449" s="0" t="str">
        <f aca="false">IF($B449="","",INDEX(ChalDivision,$B449))</f>
        <v/>
      </c>
      <c r="E449" s="0" t="str">
        <f aca="false">IF($B449="","",INDEX(ChalUnit,$B449))</f>
        <v/>
      </c>
      <c r="F449" s="0" t="str">
        <f aca="false">IF($B449="","",INDEX(ChalTitle,$B449))</f>
        <v/>
      </c>
      <c r="G449" s="0" t="str">
        <f aca="false">IF($B449="","",INDEX(ChalLevel,$B449))</f>
        <v/>
      </c>
      <c r="H449" s="0" t="str">
        <f aca="false">IF($B449="","",INDEX(BookFamily,$B449))</f>
        <v/>
      </c>
      <c r="I449" s="0" t="str">
        <f aca="false">IF($B449="","",INDEX(BookWorkerType,$B449))</f>
        <v/>
      </c>
      <c r="J449" s="56" t="str">
        <f aca="false">IF($B449="","",INDEX(ChalEffective,$B449))</f>
        <v/>
      </c>
      <c r="K449" s="0" t="str">
        <f aca="false">IF($B449="","",INDEX(ChalStart,$B449))</f>
        <v/>
      </c>
      <c r="L449" s="57" t="str">
        <f aca="false">IF($B449="","",INDEX(ChalInYear,$B449))</f>
        <v/>
      </c>
      <c r="M449" s="57" t="str">
        <f aca="false">IF($B449="","",INDEX(ChalRunRate,$B449))</f>
        <v/>
      </c>
      <c r="N449" s="0" t="str">
        <f aca="false">IF($B449="","",INDEX(BookDriver,$B449))</f>
        <v/>
      </c>
    </row>
    <row r="450" customFormat="false" ht="15" hidden="false" customHeight="false" outlineLevel="0" collapsed="false">
      <c r="A450" s="33" t="n">
        <v>445</v>
      </c>
      <c r="B450" s="0" t="str">
        <f aca="false">IFERROR(MATCH($A450,ChalSeq,0),"")</f>
        <v/>
      </c>
      <c r="C450" s="0" t="str">
        <f aca="false">IF($B450="","",INDEX(ChalGroup,$B450))</f>
        <v/>
      </c>
      <c r="D450" s="0" t="str">
        <f aca="false">IF($B450="","",INDEX(ChalDivision,$B450))</f>
        <v/>
      </c>
      <c r="E450" s="0" t="str">
        <f aca="false">IF($B450="","",INDEX(ChalUnit,$B450))</f>
        <v/>
      </c>
      <c r="F450" s="0" t="str">
        <f aca="false">IF($B450="","",INDEX(ChalTitle,$B450))</f>
        <v/>
      </c>
      <c r="G450" s="0" t="str">
        <f aca="false">IF($B450="","",INDEX(ChalLevel,$B450))</f>
        <v/>
      </c>
      <c r="H450" s="0" t="str">
        <f aca="false">IF($B450="","",INDEX(BookFamily,$B450))</f>
        <v/>
      </c>
      <c r="I450" s="0" t="str">
        <f aca="false">IF($B450="","",INDEX(BookWorkerType,$B450))</f>
        <v/>
      </c>
      <c r="J450" s="56" t="str">
        <f aca="false">IF($B450="","",INDEX(ChalEffective,$B450))</f>
        <v/>
      </c>
      <c r="K450" s="0" t="str">
        <f aca="false">IF($B450="","",INDEX(ChalStart,$B450))</f>
        <v/>
      </c>
      <c r="L450" s="57" t="str">
        <f aca="false">IF($B450="","",INDEX(ChalInYear,$B450))</f>
        <v/>
      </c>
      <c r="M450" s="57" t="str">
        <f aca="false">IF($B450="","",INDEX(ChalRunRate,$B450))</f>
        <v/>
      </c>
      <c r="N450" s="0" t="str">
        <f aca="false">IF($B450="","",INDEX(BookDriver,$B450))</f>
        <v/>
      </c>
    </row>
    <row r="451" customFormat="false" ht="15" hidden="false" customHeight="false" outlineLevel="0" collapsed="false">
      <c r="A451" s="33" t="n">
        <v>446</v>
      </c>
      <c r="B451" s="0" t="str">
        <f aca="false">IFERROR(MATCH($A451,ChalSeq,0),"")</f>
        <v/>
      </c>
      <c r="C451" s="0" t="str">
        <f aca="false">IF($B451="","",INDEX(ChalGroup,$B451))</f>
        <v/>
      </c>
      <c r="D451" s="0" t="str">
        <f aca="false">IF($B451="","",INDEX(ChalDivision,$B451))</f>
        <v/>
      </c>
      <c r="E451" s="0" t="str">
        <f aca="false">IF($B451="","",INDEX(ChalUnit,$B451))</f>
        <v/>
      </c>
      <c r="F451" s="0" t="str">
        <f aca="false">IF($B451="","",INDEX(ChalTitle,$B451))</f>
        <v/>
      </c>
      <c r="G451" s="0" t="str">
        <f aca="false">IF($B451="","",INDEX(ChalLevel,$B451))</f>
        <v/>
      </c>
      <c r="H451" s="0" t="str">
        <f aca="false">IF($B451="","",INDEX(BookFamily,$B451))</f>
        <v/>
      </c>
      <c r="I451" s="0" t="str">
        <f aca="false">IF($B451="","",INDEX(BookWorkerType,$B451))</f>
        <v/>
      </c>
      <c r="J451" s="56" t="str">
        <f aca="false">IF($B451="","",INDEX(ChalEffective,$B451))</f>
        <v/>
      </c>
      <c r="K451" s="0" t="str">
        <f aca="false">IF($B451="","",INDEX(ChalStart,$B451))</f>
        <v/>
      </c>
      <c r="L451" s="57" t="str">
        <f aca="false">IF($B451="","",INDEX(ChalInYear,$B451))</f>
        <v/>
      </c>
      <c r="M451" s="57" t="str">
        <f aca="false">IF($B451="","",INDEX(ChalRunRate,$B451))</f>
        <v/>
      </c>
      <c r="N451" s="0" t="str">
        <f aca="false">IF($B451="","",INDEX(BookDriver,$B451))</f>
        <v/>
      </c>
    </row>
    <row r="452" customFormat="false" ht="15" hidden="false" customHeight="false" outlineLevel="0" collapsed="false">
      <c r="A452" s="33" t="n">
        <v>447</v>
      </c>
      <c r="B452" s="0" t="str">
        <f aca="false">IFERROR(MATCH($A452,ChalSeq,0),"")</f>
        <v/>
      </c>
      <c r="C452" s="0" t="str">
        <f aca="false">IF($B452="","",INDEX(ChalGroup,$B452))</f>
        <v/>
      </c>
      <c r="D452" s="0" t="str">
        <f aca="false">IF($B452="","",INDEX(ChalDivision,$B452))</f>
        <v/>
      </c>
      <c r="E452" s="0" t="str">
        <f aca="false">IF($B452="","",INDEX(ChalUnit,$B452))</f>
        <v/>
      </c>
      <c r="F452" s="0" t="str">
        <f aca="false">IF($B452="","",INDEX(ChalTitle,$B452))</f>
        <v/>
      </c>
      <c r="G452" s="0" t="str">
        <f aca="false">IF($B452="","",INDEX(ChalLevel,$B452))</f>
        <v/>
      </c>
      <c r="H452" s="0" t="str">
        <f aca="false">IF($B452="","",INDEX(BookFamily,$B452))</f>
        <v/>
      </c>
      <c r="I452" s="0" t="str">
        <f aca="false">IF($B452="","",INDEX(BookWorkerType,$B452))</f>
        <v/>
      </c>
      <c r="J452" s="56" t="str">
        <f aca="false">IF($B452="","",INDEX(ChalEffective,$B452))</f>
        <v/>
      </c>
      <c r="K452" s="0" t="str">
        <f aca="false">IF($B452="","",INDEX(ChalStart,$B452))</f>
        <v/>
      </c>
      <c r="L452" s="57" t="str">
        <f aca="false">IF($B452="","",INDEX(ChalInYear,$B452))</f>
        <v/>
      </c>
      <c r="M452" s="57" t="str">
        <f aca="false">IF($B452="","",INDEX(ChalRunRate,$B452))</f>
        <v/>
      </c>
      <c r="N452" s="0" t="str">
        <f aca="false">IF($B452="","",INDEX(BookDriver,$B452))</f>
        <v/>
      </c>
    </row>
    <row r="453" customFormat="false" ht="15" hidden="false" customHeight="false" outlineLevel="0" collapsed="false">
      <c r="A453" s="33" t="n">
        <v>448</v>
      </c>
      <c r="B453" s="0" t="str">
        <f aca="false">IFERROR(MATCH($A453,ChalSeq,0),"")</f>
        <v/>
      </c>
      <c r="C453" s="0" t="str">
        <f aca="false">IF($B453="","",INDEX(ChalGroup,$B453))</f>
        <v/>
      </c>
      <c r="D453" s="0" t="str">
        <f aca="false">IF($B453="","",INDEX(ChalDivision,$B453))</f>
        <v/>
      </c>
      <c r="E453" s="0" t="str">
        <f aca="false">IF($B453="","",INDEX(ChalUnit,$B453))</f>
        <v/>
      </c>
      <c r="F453" s="0" t="str">
        <f aca="false">IF($B453="","",INDEX(ChalTitle,$B453))</f>
        <v/>
      </c>
      <c r="G453" s="0" t="str">
        <f aca="false">IF($B453="","",INDEX(ChalLevel,$B453))</f>
        <v/>
      </c>
      <c r="H453" s="0" t="str">
        <f aca="false">IF($B453="","",INDEX(BookFamily,$B453))</f>
        <v/>
      </c>
      <c r="I453" s="0" t="str">
        <f aca="false">IF($B453="","",INDEX(BookWorkerType,$B453))</f>
        <v/>
      </c>
      <c r="J453" s="56" t="str">
        <f aca="false">IF($B453="","",INDEX(ChalEffective,$B453))</f>
        <v/>
      </c>
      <c r="K453" s="0" t="str">
        <f aca="false">IF($B453="","",INDEX(ChalStart,$B453))</f>
        <v/>
      </c>
      <c r="L453" s="57" t="str">
        <f aca="false">IF($B453="","",INDEX(ChalInYear,$B453))</f>
        <v/>
      </c>
      <c r="M453" s="57" t="str">
        <f aca="false">IF($B453="","",INDEX(ChalRunRate,$B453))</f>
        <v/>
      </c>
      <c r="N453" s="0" t="str">
        <f aca="false">IF($B453="","",INDEX(BookDriver,$B453))</f>
        <v/>
      </c>
    </row>
    <row r="454" customFormat="false" ht="15" hidden="false" customHeight="false" outlineLevel="0" collapsed="false">
      <c r="A454" s="33" t="n">
        <v>449</v>
      </c>
      <c r="B454" s="0" t="str">
        <f aca="false">IFERROR(MATCH($A454,ChalSeq,0),"")</f>
        <v/>
      </c>
      <c r="C454" s="0" t="str">
        <f aca="false">IF($B454="","",INDEX(ChalGroup,$B454))</f>
        <v/>
      </c>
      <c r="D454" s="0" t="str">
        <f aca="false">IF($B454="","",INDEX(ChalDivision,$B454))</f>
        <v/>
      </c>
      <c r="E454" s="0" t="str">
        <f aca="false">IF($B454="","",INDEX(ChalUnit,$B454))</f>
        <v/>
      </c>
      <c r="F454" s="0" t="str">
        <f aca="false">IF($B454="","",INDEX(ChalTitle,$B454))</f>
        <v/>
      </c>
      <c r="G454" s="0" t="str">
        <f aca="false">IF($B454="","",INDEX(ChalLevel,$B454))</f>
        <v/>
      </c>
      <c r="H454" s="0" t="str">
        <f aca="false">IF($B454="","",INDEX(BookFamily,$B454))</f>
        <v/>
      </c>
      <c r="I454" s="0" t="str">
        <f aca="false">IF($B454="","",INDEX(BookWorkerType,$B454))</f>
        <v/>
      </c>
      <c r="J454" s="56" t="str">
        <f aca="false">IF($B454="","",INDEX(ChalEffective,$B454))</f>
        <v/>
      </c>
      <c r="K454" s="0" t="str">
        <f aca="false">IF($B454="","",INDEX(ChalStart,$B454))</f>
        <v/>
      </c>
      <c r="L454" s="57" t="str">
        <f aca="false">IF($B454="","",INDEX(ChalInYear,$B454))</f>
        <v/>
      </c>
      <c r="M454" s="57" t="str">
        <f aca="false">IF($B454="","",INDEX(ChalRunRate,$B454))</f>
        <v/>
      </c>
      <c r="N454" s="0" t="str">
        <f aca="false">IF($B454="","",INDEX(BookDriver,$B454))</f>
        <v/>
      </c>
    </row>
    <row r="455" customFormat="false" ht="15" hidden="false" customHeight="false" outlineLevel="0" collapsed="false">
      <c r="A455" s="33" t="n">
        <v>450</v>
      </c>
      <c r="B455" s="0" t="str">
        <f aca="false">IFERROR(MATCH($A455,ChalSeq,0),"")</f>
        <v/>
      </c>
      <c r="C455" s="0" t="str">
        <f aca="false">IF($B455="","",INDEX(ChalGroup,$B455))</f>
        <v/>
      </c>
      <c r="D455" s="0" t="str">
        <f aca="false">IF($B455="","",INDEX(ChalDivision,$B455))</f>
        <v/>
      </c>
      <c r="E455" s="0" t="str">
        <f aca="false">IF($B455="","",INDEX(ChalUnit,$B455))</f>
        <v/>
      </c>
      <c r="F455" s="0" t="str">
        <f aca="false">IF($B455="","",INDEX(ChalTitle,$B455))</f>
        <v/>
      </c>
      <c r="G455" s="0" t="str">
        <f aca="false">IF($B455="","",INDEX(ChalLevel,$B455))</f>
        <v/>
      </c>
      <c r="H455" s="0" t="str">
        <f aca="false">IF($B455="","",INDEX(BookFamily,$B455))</f>
        <v/>
      </c>
      <c r="I455" s="0" t="str">
        <f aca="false">IF($B455="","",INDEX(BookWorkerType,$B455))</f>
        <v/>
      </c>
      <c r="J455" s="56" t="str">
        <f aca="false">IF($B455="","",INDEX(ChalEffective,$B455))</f>
        <v/>
      </c>
      <c r="K455" s="0" t="str">
        <f aca="false">IF($B455="","",INDEX(ChalStart,$B455))</f>
        <v/>
      </c>
      <c r="L455" s="57" t="str">
        <f aca="false">IF($B455="","",INDEX(ChalInYear,$B455))</f>
        <v/>
      </c>
      <c r="M455" s="57" t="str">
        <f aca="false">IF($B455="","",INDEX(ChalRunRate,$B455))</f>
        <v/>
      </c>
      <c r="N455" s="0" t="str">
        <f aca="false">IF($B455="","",INDEX(BookDriver,$B455))</f>
        <v/>
      </c>
    </row>
    <row r="456" customFormat="false" ht="15" hidden="false" customHeight="false" outlineLevel="0" collapsed="false">
      <c r="A456" s="33" t="n">
        <v>451</v>
      </c>
      <c r="B456" s="0" t="str">
        <f aca="false">IFERROR(MATCH($A456,ChalSeq,0),"")</f>
        <v/>
      </c>
      <c r="C456" s="0" t="str">
        <f aca="false">IF($B456="","",INDEX(ChalGroup,$B456))</f>
        <v/>
      </c>
      <c r="D456" s="0" t="str">
        <f aca="false">IF($B456="","",INDEX(ChalDivision,$B456))</f>
        <v/>
      </c>
      <c r="E456" s="0" t="str">
        <f aca="false">IF($B456="","",INDEX(ChalUnit,$B456))</f>
        <v/>
      </c>
      <c r="F456" s="0" t="str">
        <f aca="false">IF($B456="","",INDEX(ChalTitle,$B456))</f>
        <v/>
      </c>
      <c r="G456" s="0" t="str">
        <f aca="false">IF($B456="","",INDEX(ChalLevel,$B456))</f>
        <v/>
      </c>
      <c r="H456" s="0" t="str">
        <f aca="false">IF($B456="","",INDEX(BookFamily,$B456))</f>
        <v/>
      </c>
      <c r="I456" s="0" t="str">
        <f aca="false">IF($B456="","",INDEX(BookWorkerType,$B456))</f>
        <v/>
      </c>
      <c r="J456" s="56" t="str">
        <f aca="false">IF($B456="","",INDEX(ChalEffective,$B456))</f>
        <v/>
      </c>
      <c r="K456" s="0" t="str">
        <f aca="false">IF($B456="","",INDEX(ChalStart,$B456))</f>
        <v/>
      </c>
      <c r="L456" s="57" t="str">
        <f aca="false">IF($B456="","",INDEX(ChalInYear,$B456))</f>
        <v/>
      </c>
      <c r="M456" s="57" t="str">
        <f aca="false">IF($B456="","",INDEX(ChalRunRate,$B456))</f>
        <v/>
      </c>
      <c r="N456" s="0" t="str">
        <f aca="false">IF($B456="","",INDEX(BookDriver,$B456))</f>
        <v/>
      </c>
    </row>
    <row r="457" customFormat="false" ht="15" hidden="false" customHeight="false" outlineLevel="0" collapsed="false">
      <c r="A457" s="33" t="n">
        <v>452</v>
      </c>
      <c r="B457" s="0" t="str">
        <f aca="false">IFERROR(MATCH($A457,ChalSeq,0),"")</f>
        <v/>
      </c>
      <c r="C457" s="0" t="str">
        <f aca="false">IF($B457="","",INDEX(ChalGroup,$B457))</f>
        <v/>
      </c>
      <c r="D457" s="0" t="str">
        <f aca="false">IF($B457="","",INDEX(ChalDivision,$B457))</f>
        <v/>
      </c>
      <c r="E457" s="0" t="str">
        <f aca="false">IF($B457="","",INDEX(ChalUnit,$B457))</f>
        <v/>
      </c>
      <c r="F457" s="0" t="str">
        <f aca="false">IF($B457="","",INDEX(ChalTitle,$B457))</f>
        <v/>
      </c>
      <c r="G457" s="0" t="str">
        <f aca="false">IF($B457="","",INDEX(ChalLevel,$B457))</f>
        <v/>
      </c>
      <c r="H457" s="0" t="str">
        <f aca="false">IF($B457="","",INDEX(BookFamily,$B457))</f>
        <v/>
      </c>
      <c r="I457" s="0" t="str">
        <f aca="false">IF($B457="","",INDEX(BookWorkerType,$B457))</f>
        <v/>
      </c>
      <c r="J457" s="56" t="str">
        <f aca="false">IF($B457="","",INDEX(ChalEffective,$B457))</f>
        <v/>
      </c>
      <c r="K457" s="0" t="str">
        <f aca="false">IF($B457="","",INDEX(ChalStart,$B457))</f>
        <v/>
      </c>
      <c r="L457" s="57" t="str">
        <f aca="false">IF($B457="","",INDEX(ChalInYear,$B457))</f>
        <v/>
      </c>
      <c r="M457" s="57" t="str">
        <f aca="false">IF($B457="","",INDEX(ChalRunRate,$B457))</f>
        <v/>
      </c>
      <c r="N457" s="0" t="str">
        <f aca="false">IF($B457="","",INDEX(BookDriver,$B457))</f>
        <v/>
      </c>
    </row>
    <row r="458" customFormat="false" ht="15" hidden="false" customHeight="false" outlineLevel="0" collapsed="false">
      <c r="A458" s="33" t="n">
        <v>453</v>
      </c>
      <c r="B458" s="0" t="str">
        <f aca="false">IFERROR(MATCH($A458,ChalSeq,0),"")</f>
        <v/>
      </c>
      <c r="C458" s="0" t="str">
        <f aca="false">IF($B458="","",INDEX(ChalGroup,$B458))</f>
        <v/>
      </c>
      <c r="D458" s="0" t="str">
        <f aca="false">IF($B458="","",INDEX(ChalDivision,$B458))</f>
        <v/>
      </c>
      <c r="E458" s="0" t="str">
        <f aca="false">IF($B458="","",INDEX(ChalUnit,$B458))</f>
        <v/>
      </c>
      <c r="F458" s="0" t="str">
        <f aca="false">IF($B458="","",INDEX(ChalTitle,$B458))</f>
        <v/>
      </c>
      <c r="G458" s="0" t="str">
        <f aca="false">IF($B458="","",INDEX(ChalLevel,$B458))</f>
        <v/>
      </c>
      <c r="H458" s="0" t="str">
        <f aca="false">IF($B458="","",INDEX(BookFamily,$B458))</f>
        <v/>
      </c>
      <c r="I458" s="0" t="str">
        <f aca="false">IF($B458="","",INDEX(BookWorkerType,$B458))</f>
        <v/>
      </c>
      <c r="J458" s="56" t="str">
        <f aca="false">IF($B458="","",INDEX(ChalEffective,$B458))</f>
        <v/>
      </c>
      <c r="K458" s="0" t="str">
        <f aca="false">IF($B458="","",INDEX(ChalStart,$B458))</f>
        <v/>
      </c>
      <c r="L458" s="57" t="str">
        <f aca="false">IF($B458="","",INDEX(ChalInYear,$B458))</f>
        <v/>
      </c>
      <c r="M458" s="57" t="str">
        <f aca="false">IF($B458="","",INDEX(ChalRunRate,$B458))</f>
        <v/>
      </c>
      <c r="N458" s="0" t="str">
        <f aca="false">IF($B458="","",INDEX(BookDriver,$B458))</f>
        <v/>
      </c>
    </row>
    <row r="459" customFormat="false" ht="15" hidden="false" customHeight="false" outlineLevel="0" collapsed="false">
      <c r="A459" s="33" t="n">
        <v>454</v>
      </c>
      <c r="B459" s="0" t="str">
        <f aca="false">IFERROR(MATCH($A459,ChalSeq,0),"")</f>
        <v/>
      </c>
      <c r="C459" s="0" t="str">
        <f aca="false">IF($B459="","",INDEX(ChalGroup,$B459))</f>
        <v/>
      </c>
      <c r="D459" s="0" t="str">
        <f aca="false">IF($B459="","",INDEX(ChalDivision,$B459))</f>
        <v/>
      </c>
      <c r="E459" s="0" t="str">
        <f aca="false">IF($B459="","",INDEX(ChalUnit,$B459))</f>
        <v/>
      </c>
      <c r="F459" s="0" t="str">
        <f aca="false">IF($B459="","",INDEX(ChalTitle,$B459))</f>
        <v/>
      </c>
      <c r="G459" s="0" t="str">
        <f aca="false">IF($B459="","",INDEX(ChalLevel,$B459))</f>
        <v/>
      </c>
      <c r="H459" s="0" t="str">
        <f aca="false">IF($B459="","",INDEX(BookFamily,$B459))</f>
        <v/>
      </c>
      <c r="I459" s="0" t="str">
        <f aca="false">IF($B459="","",INDEX(BookWorkerType,$B459))</f>
        <v/>
      </c>
      <c r="J459" s="56" t="str">
        <f aca="false">IF($B459="","",INDEX(ChalEffective,$B459))</f>
        <v/>
      </c>
      <c r="K459" s="0" t="str">
        <f aca="false">IF($B459="","",INDEX(ChalStart,$B459))</f>
        <v/>
      </c>
      <c r="L459" s="57" t="str">
        <f aca="false">IF($B459="","",INDEX(ChalInYear,$B459))</f>
        <v/>
      </c>
      <c r="M459" s="57" t="str">
        <f aca="false">IF($B459="","",INDEX(ChalRunRate,$B459))</f>
        <v/>
      </c>
      <c r="N459" s="0" t="str">
        <f aca="false">IF($B459="","",INDEX(BookDriver,$B459))</f>
        <v/>
      </c>
    </row>
    <row r="460" customFormat="false" ht="15" hidden="false" customHeight="false" outlineLevel="0" collapsed="false">
      <c r="A460" s="33" t="n">
        <v>455</v>
      </c>
      <c r="B460" s="0" t="str">
        <f aca="false">IFERROR(MATCH($A460,ChalSeq,0),"")</f>
        <v/>
      </c>
      <c r="C460" s="0" t="str">
        <f aca="false">IF($B460="","",INDEX(ChalGroup,$B460))</f>
        <v/>
      </c>
      <c r="D460" s="0" t="str">
        <f aca="false">IF($B460="","",INDEX(ChalDivision,$B460))</f>
        <v/>
      </c>
      <c r="E460" s="0" t="str">
        <f aca="false">IF($B460="","",INDEX(ChalUnit,$B460))</f>
        <v/>
      </c>
      <c r="F460" s="0" t="str">
        <f aca="false">IF($B460="","",INDEX(ChalTitle,$B460))</f>
        <v/>
      </c>
      <c r="G460" s="0" t="str">
        <f aca="false">IF($B460="","",INDEX(ChalLevel,$B460))</f>
        <v/>
      </c>
      <c r="H460" s="0" t="str">
        <f aca="false">IF($B460="","",INDEX(BookFamily,$B460))</f>
        <v/>
      </c>
      <c r="I460" s="0" t="str">
        <f aca="false">IF($B460="","",INDEX(BookWorkerType,$B460))</f>
        <v/>
      </c>
      <c r="J460" s="56" t="str">
        <f aca="false">IF($B460="","",INDEX(ChalEffective,$B460))</f>
        <v/>
      </c>
      <c r="K460" s="0" t="str">
        <f aca="false">IF($B460="","",INDEX(ChalStart,$B460))</f>
        <v/>
      </c>
      <c r="L460" s="57" t="str">
        <f aca="false">IF($B460="","",INDEX(ChalInYear,$B460))</f>
        <v/>
      </c>
      <c r="M460" s="57" t="str">
        <f aca="false">IF($B460="","",INDEX(ChalRunRate,$B460))</f>
        <v/>
      </c>
      <c r="N460" s="0" t="str">
        <f aca="false">IF($B460="","",INDEX(BookDriver,$B460))</f>
        <v/>
      </c>
    </row>
    <row r="461" customFormat="false" ht="15" hidden="false" customHeight="false" outlineLevel="0" collapsed="false">
      <c r="A461" s="33" t="n">
        <v>456</v>
      </c>
      <c r="B461" s="0" t="str">
        <f aca="false">IFERROR(MATCH($A461,ChalSeq,0),"")</f>
        <v/>
      </c>
      <c r="C461" s="0" t="str">
        <f aca="false">IF($B461="","",INDEX(ChalGroup,$B461))</f>
        <v/>
      </c>
      <c r="D461" s="0" t="str">
        <f aca="false">IF($B461="","",INDEX(ChalDivision,$B461))</f>
        <v/>
      </c>
      <c r="E461" s="0" t="str">
        <f aca="false">IF($B461="","",INDEX(ChalUnit,$B461))</f>
        <v/>
      </c>
      <c r="F461" s="0" t="str">
        <f aca="false">IF($B461="","",INDEX(ChalTitle,$B461))</f>
        <v/>
      </c>
      <c r="G461" s="0" t="str">
        <f aca="false">IF($B461="","",INDEX(ChalLevel,$B461))</f>
        <v/>
      </c>
      <c r="H461" s="0" t="str">
        <f aca="false">IF($B461="","",INDEX(BookFamily,$B461))</f>
        <v/>
      </c>
      <c r="I461" s="0" t="str">
        <f aca="false">IF($B461="","",INDEX(BookWorkerType,$B461))</f>
        <v/>
      </c>
      <c r="J461" s="56" t="str">
        <f aca="false">IF($B461="","",INDEX(ChalEffective,$B461))</f>
        <v/>
      </c>
      <c r="K461" s="0" t="str">
        <f aca="false">IF($B461="","",INDEX(ChalStart,$B461))</f>
        <v/>
      </c>
      <c r="L461" s="57" t="str">
        <f aca="false">IF($B461="","",INDEX(ChalInYear,$B461))</f>
        <v/>
      </c>
      <c r="M461" s="57" t="str">
        <f aca="false">IF($B461="","",INDEX(ChalRunRate,$B461))</f>
        <v/>
      </c>
      <c r="N461" s="0" t="str">
        <f aca="false">IF($B461="","",INDEX(BookDriver,$B461))</f>
        <v/>
      </c>
    </row>
    <row r="462" customFormat="false" ht="15" hidden="false" customHeight="false" outlineLevel="0" collapsed="false">
      <c r="A462" s="33" t="n">
        <v>457</v>
      </c>
      <c r="B462" s="0" t="str">
        <f aca="false">IFERROR(MATCH($A462,ChalSeq,0),"")</f>
        <v/>
      </c>
      <c r="C462" s="0" t="str">
        <f aca="false">IF($B462="","",INDEX(ChalGroup,$B462))</f>
        <v/>
      </c>
      <c r="D462" s="0" t="str">
        <f aca="false">IF($B462="","",INDEX(ChalDivision,$B462))</f>
        <v/>
      </c>
      <c r="E462" s="0" t="str">
        <f aca="false">IF($B462="","",INDEX(ChalUnit,$B462))</f>
        <v/>
      </c>
      <c r="F462" s="0" t="str">
        <f aca="false">IF($B462="","",INDEX(ChalTitle,$B462))</f>
        <v/>
      </c>
      <c r="G462" s="0" t="str">
        <f aca="false">IF($B462="","",INDEX(ChalLevel,$B462))</f>
        <v/>
      </c>
      <c r="H462" s="0" t="str">
        <f aca="false">IF($B462="","",INDEX(BookFamily,$B462))</f>
        <v/>
      </c>
      <c r="I462" s="0" t="str">
        <f aca="false">IF($B462="","",INDEX(BookWorkerType,$B462))</f>
        <v/>
      </c>
      <c r="J462" s="56" t="str">
        <f aca="false">IF($B462="","",INDEX(ChalEffective,$B462))</f>
        <v/>
      </c>
      <c r="K462" s="0" t="str">
        <f aca="false">IF($B462="","",INDEX(ChalStart,$B462))</f>
        <v/>
      </c>
      <c r="L462" s="57" t="str">
        <f aca="false">IF($B462="","",INDEX(ChalInYear,$B462))</f>
        <v/>
      </c>
      <c r="M462" s="57" t="str">
        <f aca="false">IF($B462="","",INDEX(ChalRunRate,$B462))</f>
        <v/>
      </c>
      <c r="N462" s="0" t="str">
        <f aca="false">IF($B462="","",INDEX(BookDriver,$B462))</f>
        <v/>
      </c>
    </row>
    <row r="463" customFormat="false" ht="15" hidden="false" customHeight="false" outlineLevel="0" collapsed="false">
      <c r="A463" s="33" t="n">
        <v>458</v>
      </c>
      <c r="B463" s="0" t="str">
        <f aca="false">IFERROR(MATCH($A463,ChalSeq,0),"")</f>
        <v/>
      </c>
      <c r="C463" s="0" t="str">
        <f aca="false">IF($B463="","",INDEX(ChalGroup,$B463))</f>
        <v/>
      </c>
      <c r="D463" s="0" t="str">
        <f aca="false">IF($B463="","",INDEX(ChalDivision,$B463))</f>
        <v/>
      </c>
      <c r="E463" s="0" t="str">
        <f aca="false">IF($B463="","",INDEX(ChalUnit,$B463))</f>
        <v/>
      </c>
      <c r="F463" s="0" t="str">
        <f aca="false">IF($B463="","",INDEX(ChalTitle,$B463))</f>
        <v/>
      </c>
      <c r="G463" s="0" t="str">
        <f aca="false">IF($B463="","",INDEX(ChalLevel,$B463))</f>
        <v/>
      </c>
      <c r="H463" s="0" t="str">
        <f aca="false">IF($B463="","",INDEX(BookFamily,$B463))</f>
        <v/>
      </c>
      <c r="I463" s="0" t="str">
        <f aca="false">IF($B463="","",INDEX(BookWorkerType,$B463))</f>
        <v/>
      </c>
      <c r="J463" s="56" t="str">
        <f aca="false">IF($B463="","",INDEX(ChalEffective,$B463))</f>
        <v/>
      </c>
      <c r="K463" s="0" t="str">
        <f aca="false">IF($B463="","",INDEX(ChalStart,$B463))</f>
        <v/>
      </c>
      <c r="L463" s="57" t="str">
        <f aca="false">IF($B463="","",INDEX(ChalInYear,$B463))</f>
        <v/>
      </c>
      <c r="M463" s="57" t="str">
        <f aca="false">IF($B463="","",INDEX(ChalRunRate,$B463))</f>
        <v/>
      </c>
      <c r="N463" s="0" t="str">
        <f aca="false">IF($B463="","",INDEX(BookDriver,$B463))</f>
        <v/>
      </c>
    </row>
    <row r="464" customFormat="false" ht="15" hidden="false" customHeight="false" outlineLevel="0" collapsed="false">
      <c r="A464" s="33" t="n">
        <v>459</v>
      </c>
      <c r="B464" s="0" t="str">
        <f aca="false">IFERROR(MATCH($A464,ChalSeq,0),"")</f>
        <v/>
      </c>
      <c r="C464" s="0" t="str">
        <f aca="false">IF($B464="","",INDEX(ChalGroup,$B464))</f>
        <v/>
      </c>
      <c r="D464" s="0" t="str">
        <f aca="false">IF($B464="","",INDEX(ChalDivision,$B464))</f>
        <v/>
      </c>
      <c r="E464" s="0" t="str">
        <f aca="false">IF($B464="","",INDEX(ChalUnit,$B464))</f>
        <v/>
      </c>
      <c r="F464" s="0" t="str">
        <f aca="false">IF($B464="","",INDEX(ChalTitle,$B464))</f>
        <v/>
      </c>
      <c r="G464" s="0" t="str">
        <f aca="false">IF($B464="","",INDEX(ChalLevel,$B464))</f>
        <v/>
      </c>
      <c r="H464" s="0" t="str">
        <f aca="false">IF($B464="","",INDEX(BookFamily,$B464))</f>
        <v/>
      </c>
      <c r="I464" s="0" t="str">
        <f aca="false">IF($B464="","",INDEX(BookWorkerType,$B464))</f>
        <v/>
      </c>
      <c r="J464" s="56" t="str">
        <f aca="false">IF($B464="","",INDEX(ChalEffective,$B464))</f>
        <v/>
      </c>
      <c r="K464" s="0" t="str">
        <f aca="false">IF($B464="","",INDEX(ChalStart,$B464))</f>
        <v/>
      </c>
      <c r="L464" s="57" t="str">
        <f aca="false">IF($B464="","",INDEX(ChalInYear,$B464))</f>
        <v/>
      </c>
      <c r="M464" s="57" t="str">
        <f aca="false">IF($B464="","",INDEX(ChalRunRate,$B464))</f>
        <v/>
      </c>
      <c r="N464" s="0" t="str">
        <f aca="false">IF($B464="","",INDEX(BookDriver,$B464))</f>
        <v/>
      </c>
    </row>
    <row r="465" customFormat="false" ht="15" hidden="false" customHeight="false" outlineLevel="0" collapsed="false">
      <c r="A465" s="33" t="n">
        <v>460</v>
      </c>
      <c r="B465" s="0" t="str">
        <f aca="false">IFERROR(MATCH($A465,ChalSeq,0),"")</f>
        <v/>
      </c>
      <c r="C465" s="0" t="str">
        <f aca="false">IF($B465="","",INDEX(ChalGroup,$B465))</f>
        <v/>
      </c>
      <c r="D465" s="0" t="str">
        <f aca="false">IF($B465="","",INDEX(ChalDivision,$B465))</f>
        <v/>
      </c>
      <c r="E465" s="0" t="str">
        <f aca="false">IF($B465="","",INDEX(ChalUnit,$B465))</f>
        <v/>
      </c>
      <c r="F465" s="0" t="str">
        <f aca="false">IF($B465="","",INDEX(ChalTitle,$B465))</f>
        <v/>
      </c>
      <c r="G465" s="0" t="str">
        <f aca="false">IF($B465="","",INDEX(ChalLevel,$B465))</f>
        <v/>
      </c>
      <c r="H465" s="0" t="str">
        <f aca="false">IF($B465="","",INDEX(BookFamily,$B465))</f>
        <v/>
      </c>
      <c r="I465" s="0" t="str">
        <f aca="false">IF($B465="","",INDEX(BookWorkerType,$B465))</f>
        <v/>
      </c>
      <c r="J465" s="56" t="str">
        <f aca="false">IF($B465="","",INDEX(ChalEffective,$B465))</f>
        <v/>
      </c>
      <c r="K465" s="0" t="str">
        <f aca="false">IF($B465="","",INDEX(ChalStart,$B465))</f>
        <v/>
      </c>
      <c r="L465" s="57" t="str">
        <f aca="false">IF($B465="","",INDEX(ChalInYear,$B465))</f>
        <v/>
      </c>
      <c r="M465" s="57" t="str">
        <f aca="false">IF($B465="","",INDEX(ChalRunRate,$B465))</f>
        <v/>
      </c>
      <c r="N465" s="0" t="str">
        <f aca="false">IF($B465="","",INDEX(BookDriver,$B465))</f>
        <v/>
      </c>
    </row>
    <row r="466" customFormat="false" ht="15" hidden="false" customHeight="false" outlineLevel="0" collapsed="false">
      <c r="A466" s="33" t="n">
        <v>461</v>
      </c>
      <c r="B466" s="0" t="str">
        <f aca="false">IFERROR(MATCH($A466,ChalSeq,0),"")</f>
        <v/>
      </c>
      <c r="C466" s="0" t="str">
        <f aca="false">IF($B466="","",INDEX(ChalGroup,$B466))</f>
        <v/>
      </c>
      <c r="D466" s="0" t="str">
        <f aca="false">IF($B466="","",INDEX(ChalDivision,$B466))</f>
        <v/>
      </c>
      <c r="E466" s="0" t="str">
        <f aca="false">IF($B466="","",INDEX(ChalUnit,$B466))</f>
        <v/>
      </c>
      <c r="F466" s="0" t="str">
        <f aca="false">IF($B466="","",INDEX(ChalTitle,$B466))</f>
        <v/>
      </c>
      <c r="G466" s="0" t="str">
        <f aca="false">IF($B466="","",INDEX(ChalLevel,$B466))</f>
        <v/>
      </c>
      <c r="H466" s="0" t="str">
        <f aca="false">IF($B466="","",INDEX(BookFamily,$B466))</f>
        <v/>
      </c>
      <c r="I466" s="0" t="str">
        <f aca="false">IF($B466="","",INDEX(BookWorkerType,$B466))</f>
        <v/>
      </c>
      <c r="J466" s="56" t="str">
        <f aca="false">IF($B466="","",INDEX(ChalEffective,$B466))</f>
        <v/>
      </c>
      <c r="K466" s="0" t="str">
        <f aca="false">IF($B466="","",INDEX(ChalStart,$B466))</f>
        <v/>
      </c>
      <c r="L466" s="57" t="str">
        <f aca="false">IF($B466="","",INDEX(ChalInYear,$B466))</f>
        <v/>
      </c>
      <c r="M466" s="57" t="str">
        <f aca="false">IF($B466="","",INDEX(ChalRunRate,$B466))</f>
        <v/>
      </c>
      <c r="N466" s="0" t="str">
        <f aca="false">IF($B466="","",INDEX(BookDriver,$B466))</f>
        <v/>
      </c>
    </row>
    <row r="467" customFormat="false" ht="15" hidden="false" customHeight="false" outlineLevel="0" collapsed="false">
      <c r="A467" s="33" t="n">
        <v>462</v>
      </c>
      <c r="B467" s="0" t="str">
        <f aca="false">IFERROR(MATCH($A467,ChalSeq,0),"")</f>
        <v/>
      </c>
      <c r="C467" s="0" t="str">
        <f aca="false">IF($B467="","",INDEX(ChalGroup,$B467))</f>
        <v/>
      </c>
      <c r="D467" s="0" t="str">
        <f aca="false">IF($B467="","",INDEX(ChalDivision,$B467))</f>
        <v/>
      </c>
      <c r="E467" s="0" t="str">
        <f aca="false">IF($B467="","",INDEX(ChalUnit,$B467))</f>
        <v/>
      </c>
      <c r="F467" s="0" t="str">
        <f aca="false">IF($B467="","",INDEX(ChalTitle,$B467))</f>
        <v/>
      </c>
      <c r="G467" s="0" t="str">
        <f aca="false">IF($B467="","",INDEX(ChalLevel,$B467))</f>
        <v/>
      </c>
      <c r="H467" s="0" t="str">
        <f aca="false">IF($B467="","",INDEX(BookFamily,$B467))</f>
        <v/>
      </c>
      <c r="I467" s="0" t="str">
        <f aca="false">IF($B467="","",INDEX(BookWorkerType,$B467))</f>
        <v/>
      </c>
      <c r="J467" s="56" t="str">
        <f aca="false">IF($B467="","",INDEX(ChalEffective,$B467))</f>
        <v/>
      </c>
      <c r="K467" s="0" t="str">
        <f aca="false">IF($B467="","",INDEX(ChalStart,$B467))</f>
        <v/>
      </c>
      <c r="L467" s="57" t="str">
        <f aca="false">IF($B467="","",INDEX(ChalInYear,$B467))</f>
        <v/>
      </c>
      <c r="M467" s="57" t="str">
        <f aca="false">IF($B467="","",INDEX(ChalRunRate,$B467))</f>
        <v/>
      </c>
      <c r="N467" s="0" t="str">
        <f aca="false">IF($B467="","",INDEX(BookDriver,$B467))</f>
        <v/>
      </c>
    </row>
    <row r="468" customFormat="false" ht="15" hidden="false" customHeight="false" outlineLevel="0" collapsed="false">
      <c r="A468" s="33" t="n">
        <v>463</v>
      </c>
      <c r="B468" s="0" t="str">
        <f aca="false">IFERROR(MATCH($A468,ChalSeq,0),"")</f>
        <v/>
      </c>
      <c r="C468" s="0" t="str">
        <f aca="false">IF($B468="","",INDEX(ChalGroup,$B468))</f>
        <v/>
      </c>
      <c r="D468" s="0" t="str">
        <f aca="false">IF($B468="","",INDEX(ChalDivision,$B468))</f>
        <v/>
      </c>
      <c r="E468" s="0" t="str">
        <f aca="false">IF($B468="","",INDEX(ChalUnit,$B468))</f>
        <v/>
      </c>
      <c r="F468" s="0" t="str">
        <f aca="false">IF($B468="","",INDEX(ChalTitle,$B468))</f>
        <v/>
      </c>
      <c r="G468" s="0" t="str">
        <f aca="false">IF($B468="","",INDEX(ChalLevel,$B468))</f>
        <v/>
      </c>
      <c r="H468" s="0" t="str">
        <f aca="false">IF($B468="","",INDEX(BookFamily,$B468))</f>
        <v/>
      </c>
      <c r="I468" s="0" t="str">
        <f aca="false">IF($B468="","",INDEX(BookWorkerType,$B468))</f>
        <v/>
      </c>
      <c r="J468" s="56" t="str">
        <f aca="false">IF($B468="","",INDEX(ChalEffective,$B468))</f>
        <v/>
      </c>
      <c r="K468" s="0" t="str">
        <f aca="false">IF($B468="","",INDEX(ChalStart,$B468))</f>
        <v/>
      </c>
      <c r="L468" s="57" t="str">
        <f aca="false">IF($B468="","",INDEX(ChalInYear,$B468))</f>
        <v/>
      </c>
      <c r="M468" s="57" t="str">
        <f aca="false">IF($B468="","",INDEX(ChalRunRate,$B468))</f>
        <v/>
      </c>
      <c r="N468" s="0" t="str">
        <f aca="false">IF($B468="","",INDEX(BookDriver,$B468))</f>
        <v/>
      </c>
    </row>
    <row r="469" customFormat="false" ht="15" hidden="false" customHeight="false" outlineLevel="0" collapsed="false">
      <c r="A469" s="33" t="n">
        <v>464</v>
      </c>
      <c r="B469" s="0" t="str">
        <f aca="false">IFERROR(MATCH($A469,ChalSeq,0),"")</f>
        <v/>
      </c>
      <c r="C469" s="0" t="str">
        <f aca="false">IF($B469="","",INDEX(ChalGroup,$B469))</f>
        <v/>
      </c>
      <c r="D469" s="0" t="str">
        <f aca="false">IF($B469="","",INDEX(ChalDivision,$B469))</f>
        <v/>
      </c>
      <c r="E469" s="0" t="str">
        <f aca="false">IF($B469="","",INDEX(ChalUnit,$B469))</f>
        <v/>
      </c>
      <c r="F469" s="0" t="str">
        <f aca="false">IF($B469="","",INDEX(ChalTitle,$B469))</f>
        <v/>
      </c>
      <c r="G469" s="0" t="str">
        <f aca="false">IF($B469="","",INDEX(ChalLevel,$B469))</f>
        <v/>
      </c>
      <c r="H469" s="0" t="str">
        <f aca="false">IF($B469="","",INDEX(BookFamily,$B469))</f>
        <v/>
      </c>
      <c r="I469" s="0" t="str">
        <f aca="false">IF($B469="","",INDEX(BookWorkerType,$B469))</f>
        <v/>
      </c>
      <c r="J469" s="56" t="str">
        <f aca="false">IF($B469="","",INDEX(ChalEffective,$B469))</f>
        <v/>
      </c>
      <c r="K469" s="0" t="str">
        <f aca="false">IF($B469="","",INDEX(ChalStart,$B469))</f>
        <v/>
      </c>
      <c r="L469" s="57" t="str">
        <f aca="false">IF($B469="","",INDEX(ChalInYear,$B469))</f>
        <v/>
      </c>
      <c r="M469" s="57" t="str">
        <f aca="false">IF($B469="","",INDEX(ChalRunRate,$B469))</f>
        <v/>
      </c>
      <c r="N469" s="0" t="str">
        <f aca="false">IF($B469="","",INDEX(BookDriver,$B469))</f>
        <v/>
      </c>
    </row>
    <row r="470" customFormat="false" ht="15" hidden="false" customHeight="false" outlineLevel="0" collapsed="false">
      <c r="A470" s="33" t="n">
        <v>465</v>
      </c>
      <c r="B470" s="0" t="str">
        <f aca="false">IFERROR(MATCH($A470,ChalSeq,0),"")</f>
        <v/>
      </c>
      <c r="C470" s="0" t="str">
        <f aca="false">IF($B470="","",INDEX(ChalGroup,$B470))</f>
        <v/>
      </c>
      <c r="D470" s="0" t="str">
        <f aca="false">IF($B470="","",INDEX(ChalDivision,$B470))</f>
        <v/>
      </c>
      <c r="E470" s="0" t="str">
        <f aca="false">IF($B470="","",INDEX(ChalUnit,$B470))</f>
        <v/>
      </c>
      <c r="F470" s="0" t="str">
        <f aca="false">IF($B470="","",INDEX(ChalTitle,$B470))</f>
        <v/>
      </c>
      <c r="G470" s="0" t="str">
        <f aca="false">IF($B470="","",INDEX(ChalLevel,$B470))</f>
        <v/>
      </c>
      <c r="H470" s="0" t="str">
        <f aca="false">IF($B470="","",INDEX(BookFamily,$B470))</f>
        <v/>
      </c>
      <c r="I470" s="0" t="str">
        <f aca="false">IF($B470="","",INDEX(BookWorkerType,$B470))</f>
        <v/>
      </c>
      <c r="J470" s="56" t="str">
        <f aca="false">IF($B470="","",INDEX(ChalEffective,$B470))</f>
        <v/>
      </c>
      <c r="K470" s="0" t="str">
        <f aca="false">IF($B470="","",INDEX(ChalStart,$B470))</f>
        <v/>
      </c>
      <c r="L470" s="57" t="str">
        <f aca="false">IF($B470="","",INDEX(ChalInYear,$B470))</f>
        <v/>
      </c>
      <c r="M470" s="57" t="str">
        <f aca="false">IF($B470="","",INDEX(ChalRunRate,$B470))</f>
        <v/>
      </c>
      <c r="N470" s="0" t="str">
        <f aca="false">IF($B470="","",INDEX(BookDriver,$B470))</f>
        <v/>
      </c>
    </row>
    <row r="471" customFormat="false" ht="15" hidden="false" customHeight="false" outlineLevel="0" collapsed="false">
      <c r="A471" s="33" t="n">
        <v>466</v>
      </c>
      <c r="B471" s="0" t="str">
        <f aca="false">IFERROR(MATCH($A471,ChalSeq,0),"")</f>
        <v/>
      </c>
      <c r="C471" s="0" t="str">
        <f aca="false">IF($B471="","",INDEX(ChalGroup,$B471))</f>
        <v/>
      </c>
      <c r="D471" s="0" t="str">
        <f aca="false">IF($B471="","",INDEX(ChalDivision,$B471))</f>
        <v/>
      </c>
      <c r="E471" s="0" t="str">
        <f aca="false">IF($B471="","",INDEX(ChalUnit,$B471))</f>
        <v/>
      </c>
      <c r="F471" s="0" t="str">
        <f aca="false">IF($B471="","",INDEX(ChalTitle,$B471))</f>
        <v/>
      </c>
      <c r="G471" s="0" t="str">
        <f aca="false">IF($B471="","",INDEX(ChalLevel,$B471))</f>
        <v/>
      </c>
      <c r="H471" s="0" t="str">
        <f aca="false">IF($B471="","",INDEX(BookFamily,$B471))</f>
        <v/>
      </c>
      <c r="I471" s="0" t="str">
        <f aca="false">IF($B471="","",INDEX(BookWorkerType,$B471))</f>
        <v/>
      </c>
      <c r="J471" s="56" t="str">
        <f aca="false">IF($B471="","",INDEX(ChalEffective,$B471))</f>
        <v/>
      </c>
      <c r="K471" s="0" t="str">
        <f aca="false">IF($B471="","",INDEX(ChalStart,$B471))</f>
        <v/>
      </c>
      <c r="L471" s="57" t="str">
        <f aca="false">IF($B471="","",INDEX(ChalInYear,$B471))</f>
        <v/>
      </c>
      <c r="M471" s="57" t="str">
        <f aca="false">IF($B471="","",INDEX(ChalRunRate,$B471))</f>
        <v/>
      </c>
      <c r="N471" s="0" t="str">
        <f aca="false">IF($B471="","",INDEX(BookDriver,$B471))</f>
        <v/>
      </c>
    </row>
    <row r="472" customFormat="false" ht="15" hidden="false" customHeight="false" outlineLevel="0" collapsed="false">
      <c r="A472" s="33" t="n">
        <v>467</v>
      </c>
      <c r="B472" s="0" t="str">
        <f aca="false">IFERROR(MATCH($A472,ChalSeq,0),"")</f>
        <v/>
      </c>
      <c r="C472" s="0" t="str">
        <f aca="false">IF($B472="","",INDEX(ChalGroup,$B472))</f>
        <v/>
      </c>
      <c r="D472" s="0" t="str">
        <f aca="false">IF($B472="","",INDEX(ChalDivision,$B472))</f>
        <v/>
      </c>
      <c r="E472" s="0" t="str">
        <f aca="false">IF($B472="","",INDEX(ChalUnit,$B472))</f>
        <v/>
      </c>
      <c r="F472" s="0" t="str">
        <f aca="false">IF($B472="","",INDEX(ChalTitle,$B472))</f>
        <v/>
      </c>
      <c r="G472" s="0" t="str">
        <f aca="false">IF($B472="","",INDEX(ChalLevel,$B472))</f>
        <v/>
      </c>
      <c r="H472" s="0" t="str">
        <f aca="false">IF($B472="","",INDEX(BookFamily,$B472))</f>
        <v/>
      </c>
      <c r="I472" s="0" t="str">
        <f aca="false">IF($B472="","",INDEX(BookWorkerType,$B472))</f>
        <v/>
      </c>
      <c r="J472" s="56" t="str">
        <f aca="false">IF($B472="","",INDEX(ChalEffective,$B472))</f>
        <v/>
      </c>
      <c r="K472" s="0" t="str">
        <f aca="false">IF($B472="","",INDEX(ChalStart,$B472))</f>
        <v/>
      </c>
      <c r="L472" s="57" t="str">
        <f aca="false">IF($B472="","",INDEX(ChalInYear,$B472))</f>
        <v/>
      </c>
      <c r="M472" s="57" t="str">
        <f aca="false">IF($B472="","",INDEX(ChalRunRate,$B472))</f>
        <v/>
      </c>
      <c r="N472" s="0" t="str">
        <f aca="false">IF($B472="","",INDEX(BookDriver,$B472))</f>
        <v/>
      </c>
    </row>
    <row r="473" customFormat="false" ht="15" hidden="false" customHeight="false" outlineLevel="0" collapsed="false">
      <c r="A473" s="33" t="n">
        <v>468</v>
      </c>
      <c r="B473" s="0" t="str">
        <f aca="false">IFERROR(MATCH($A473,ChalSeq,0),"")</f>
        <v/>
      </c>
      <c r="C473" s="0" t="str">
        <f aca="false">IF($B473="","",INDEX(ChalGroup,$B473))</f>
        <v/>
      </c>
      <c r="D473" s="0" t="str">
        <f aca="false">IF($B473="","",INDEX(ChalDivision,$B473))</f>
        <v/>
      </c>
      <c r="E473" s="0" t="str">
        <f aca="false">IF($B473="","",INDEX(ChalUnit,$B473))</f>
        <v/>
      </c>
      <c r="F473" s="0" t="str">
        <f aca="false">IF($B473="","",INDEX(ChalTitle,$B473))</f>
        <v/>
      </c>
      <c r="G473" s="0" t="str">
        <f aca="false">IF($B473="","",INDEX(ChalLevel,$B473))</f>
        <v/>
      </c>
      <c r="H473" s="0" t="str">
        <f aca="false">IF($B473="","",INDEX(BookFamily,$B473))</f>
        <v/>
      </c>
      <c r="I473" s="0" t="str">
        <f aca="false">IF($B473="","",INDEX(BookWorkerType,$B473))</f>
        <v/>
      </c>
      <c r="J473" s="56" t="str">
        <f aca="false">IF($B473="","",INDEX(ChalEffective,$B473))</f>
        <v/>
      </c>
      <c r="K473" s="0" t="str">
        <f aca="false">IF($B473="","",INDEX(ChalStart,$B473))</f>
        <v/>
      </c>
      <c r="L473" s="57" t="str">
        <f aca="false">IF($B473="","",INDEX(ChalInYear,$B473))</f>
        <v/>
      </c>
      <c r="M473" s="57" t="str">
        <f aca="false">IF($B473="","",INDEX(ChalRunRate,$B473))</f>
        <v/>
      </c>
      <c r="N473" s="0" t="str">
        <f aca="false">IF($B473="","",INDEX(BookDriver,$B473))</f>
        <v/>
      </c>
    </row>
    <row r="474" customFormat="false" ht="15" hidden="false" customHeight="false" outlineLevel="0" collapsed="false">
      <c r="A474" s="33" t="n">
        <v>469</v>
      </c>
      <c r="B474" s="0" t="str">
        <f aca="false">IFERROR(MATCH($A474,ChalSeq,0),"")</f>
        <v/>
      </c>
      <c r="C474" s="0" t="str">
        <f aca="false">IF($B474="","",INDEX(ChalGroup,$B474))</f>
        <v/>
      </c>
      <c r="D474" s="0" t="str">
        <f aca="false">IF($B474="","",INDEX(ChalDivision,$B474))</f>
        <v/>
      </c>
      <c r="E474" s="0" t="str">
        <f aca="false">IF($B474="","",INDEX(ChalUnit,$B474))</f>
        <v/>
      </c>
      <c r="F474" s="0" t="str">
        <f aca="false">IF($B474="","",INDEX(ChalTitle,$B474))</f>
        <v/>
      </c>
      <c r="G474" s="0" t="str">
        <f aca="false">IF($B474="","",INDEX(ChalLevel,$B474))</f>
        <v/>
      </c>
      <c r="H474" s="0" t="str">
        <f aca="false">IF($B474="","",INDEX(BookFamily,$B474))</f>
        <v/>
      </c>
      <c r="I474" s="0" t="str">
        <f aca="false">IF($B474="","",INDEX(BookWorkerType,$B474))</f>
        <v/>
      </c>
      <c r="J474" s="56" t="str">
        <f aca="false">IF($B474="","",INDEX(ChalEffective,$B474))</f>
        <v/>
      </c>
      <c r="K474" s="0" t="str">
        <f aca="false">IF($B474="","",INDEX(ChalStart,$B474))</f>
        <v/>
      </c>
      <c r="L474" s="57" t="str">
        <f aca="false">IF($B474="","",INDEX(ChalInYear,$B474))</f>
        <v/>
      </c>
      <c r="M474" s="57" t="str">
        <f aca="false">IF($B474="","",INDEX(ChalRunRate,$B474))</f>
        <v/>
      </c>
      <c r="N474" s="0" t="str">
        <f aca="false">IF($B474="","",INDEX(BookDriver,$B474))</f>
        <v/>
      </c>
    </row>
    <row r="475" customFormat="false" ht="15" hidden="false" customHeight="false" outlineLevel="0" collapsed="false">
      <c r="A475" s="33" t="n">
        <v>470</v>
      </c>
      <c r="B475" s="0" t="str">
        <f aca="false">IFERROR(MATCH($A475,ChalSeq,0),"")</f>
        <v/>
      </c>
      <c r="C475" s="0" t="str">
        <f aca="false">IF($B475="","",INDEX(ChalGroup,$B475))</f>
        <v/>
      </c>
      <c r="D475" s="0" t="str">
        <f aca="false">IF($B475="","",INDEX(ChalDivision,$B475))</f>
        <v/>
      </c>
      <c r="E475" s="0" t="str">
        <f aca="false">IF($B475="","",INDEX(ChalUnit,$B475))</f>
        <v/>
      </c>
      <c r="F475" s="0" t="str">
        <f aca="false">IF($B475="","",INDEX(ChalTitle,$B475))</f>
        <v/>
      </c>
      <c r="G475" s="0" t="str">
        <f aca="false">IF($B475="","",INDEX(ChalLevel,$B475))</f>
        <v/>
      </c>
      <c r="H475" s="0" t="str">
        <f aca="false">IF($B475="","",INDEX(BookFamily,$B475))</f>
        <v/>
      </c>
      <c r="I475" s="0" t="str">
        <f aca="false">IF($B475="","",INDEX(BookWorkerType,$B475))</f>
        <v/>
      </c>
      <c r="J475" s="56" t="str">
        <f aca="false">IF($B475="","",INDEX(ChalEffective,$B475))</f>
        <v/>
      </c>
      <c r="K475" s="0" t="str">
        <f aca="false">IF($B475="","",INDEX(ChalStart,$B475))</f>
        <v/>
      </c>
      <c r="L475" s="57" t="str">
        <f aca="false">IF($B475="","",INDEX(ChalInYear,$B475))</f>
        <v/>
      </c>
      <c r="M475" s="57" t="str">
        <f aca="false">IF($B475="","",INDEX(ChalRunRate,$B475))</f>
        <v/>
      </c>
      <c r="N475" s="0" t="str">
        <f aca="false">IF($B475="","",INDEX(BookDriver,$B475))</f>
        <v/>
      </c>
    </row>
    <row r="476" customFormat="false" ht="15" hidden="false" customHeight="false" outlineLevel="0" collapsed="false">
      <c r="A476" s="33" t="n">
        <v>471</v>
      </c>
      <c r="B476" s="0" t="str">
        <f aca="false">IFERROR(MATCH($A476,ChalSeq,0),"")</f>
        <v/>
      </c>
      <c r="C476" s="0" t="str">
        <f aca="false">IF($B476="","",INDEX(ChalGroup,$B476))</f>
        <v/>
      </c>
      <c r="D476" s="0" t="str">
        <f aca="false">IF($B476="","",INDEX(ChalDivision,$B476))</f>
        <v/>
      </c>
      <c r="E476" s="0" t="str">
        <f aca="false">IF($B476="","",INDEX(ChalUnit,$B476))</f>
        <v/>
      </c>
      <c r="F476" s="0" t="str">
        <f aca="false">IF($B476="","",INDEX(ChalTitle,$B476))</f>
        <v/>
      </c>
      <c r="G476" s="0" t="str">
        <f aca="false">IF($B476="","",INDEX(ChalLevel,$B476))</f>
        <v/>
      </c>
      <c r="H476" s="0" t="str">
        <f aca="false">IF($B476="","",INDEX(BookFamily,$B476))</f>
        <v/>
      </c>
      <c r="I476" s="0" t="str">
        <f aca="false">IF($B476="","",INDEX(BookWorkerType,$B476))</f>
        <v/>
      </c>
      <c r="J476" s="56" t="str">
        <f aca="false">IF($B476="","",INDEX(ChalEffective,$B476))</f>
        <v/>
      </c>
      <c r="K476" s="0" t="str">
        <f aca="false">IF($B476="","",INDEX(ChalStart,$B476))</f>
        <v/>
      </c>
      <c r="L476" s="57" t="str">
        <f aca="false">IF($B476="","",INDEX(ChalInYear,$B476))</f>
        <v/>
      </c>
      <c r="M476" s="57" t="str">
        <f aca="false">IF($B476="","",INDEX(ChalRunRate,$B476))</f>
        <v/>
      </c>
      <c r="N476" s="0" t="str">
        <f aca="false">IF($B476="","",INDEX(BookDriver,$B476))</f>
        <v/>
      </c>
    </row>
    <row r="477" customFormat="false" ht="15" hidden="false" customHeight="false" outlineLevel="0" collapsed="false">
      <c r="A477" s="33" t="n">
        <v>472</v>
      </c>
      <c r="B477" s="0" t="str">
        <f aca="false">IFERROR(MATCH($A477,ChalSeq,0),"")</f>
        <v/>
      </c>
      <c r="C477" s="0" t="str">
        <f aca="false">IF($B477="","",INDEX(ChalGroup,$B477))</f>
        <v/>
      </c>
      <c r="D477" s="0" t="str">
        <f aca="false">IF($B477="","",INDEX(ChalDivision,$B477))</f>
        <v/>
      </c>
      <c r="E477" s="0" t="str">
        <f aca="false">IF($B477="","",INDEX(ChalUnit,$B477))</f>
        <v/>
      </c>
      <c r="F477" s="0" t="str">
        <f aca="false">IF($B477="","",INDEX(ChalTitle,$B477))</f>
        <v/>
      </c>
      <c r="G477" s="0" t="str">
        <f aca="false">IF($B477="","",INDEX(ChalLevel,$B477))</f>
        <v/>
      </c>
      <c r="H477" s="0" t="str">
        <f aca="false">IF($B477="","",INDEX(BookFamily,$B477))</f>
        <v/>
      </c>
      <c r="I477" s="0" t="str">
        <f aca="false">IF($B477="","",INDEX(BookWorkerType,$B477))</f>
        <v/>
      </c>
      <c r="J477" s="56" t="str">
        <f aca="false">IF($B477="","",INDEX(ChalEffective,$B477))</f>
        <v/>
      </c>
      <c r="K477" s="0" t="str">
        <f aca="false">IF($B477="","",INDEX(ChalStart,$B477))</f>
        <v/>
      </c>
      <c r="L477" s="57" t="str">
        <f aca="false">IF($B477="","",INDEX(ChalInYear,$B477))</f>
        <v/>
      </c>
      <c r="M477" s="57" t="str">
        <f aca="false">IF($B477="","",INDEX(ChalRunRate,$B477))</f>
        <v/>
      </c>
      <c r="N477" s="0" t="str">
        <f aca="false">IF($B477="","",INDEX(BookDriver,$B477))</f>
        <v/>
      </c>
    </row>
    <row r="478" customFormat="false" ht="15" hidden="false" customHeight="false" outlineLevel="0" collapsed="false">
      <c r="A478" s="33" t="n">
        <v>473</v>
      </c>
      <c r="B478" s="0" t="str">
        <f aca="false">IFERROR(MATCH($A478,ChalSeq,0),"")</f>
        <v/>
      </c>
      <c r="C478" s="0" t="str">
        <f aca="false">IF($B478="","",INDEX(ChalGroup,$B478))</f>
        <v/>
      </c>
      <c r="D478" s="0" t="str">
        <f aca="false">IF($B478="","",INDEX(ChalDivision,$B478))</f>
        <v/>
      </c>
      <c r="E478" s="0" t="str">
        <f aca="false">IF($B478="","",INDEX(ChalUnit,$B478))</f>
        <v/>
      </c>
      <c r="F478" s="0" t="str">
        <f aca="false">IF($B478="","",INDEX(ChalTitle,$B478))</f>
        <v/>
      </c>
      <c r="G478" s="0" t="str">
        <f aca="false">IF($B478="","",INDEX(ChalLevel,$B478))</f>
        <v/>
      </c>
      <c r="H478" s="0" t="str">
        <f aca="false">IF($B478="","",INDEX(BookFamily,$B478))</f>
        <v/>
      </c>
      <c r="I478" s="0" t="str">
        <f aca="false">IF($B478="","",INDEX(BookWorkerType,$B478))</f>
        <v/>
      </c>
      <c r="J478" s="56" t="str">
        <f aca="false">IF($B478="","",INDEX(ChalEffective,$B478))</f>
        <v/>
      </c>
      <c r="K478" s="0" t="str">
        <f aca="false">IF($B478="","",INDEX(ChalStart,$B478))</f>
        <v/>
      </c>
      <c r="L478" s="57" t="str">
        <f aca="false">IF($B478="","",INDEX(ChalInYear,$B478))</f>
        <v/>
      </c>
      <c r="M478" s="57" t="str">
        <f aca="false">IF($B478="","",INDEX(ChalRunRate,$B478))</f>
        <v/>
      </c>
      <c r="N478" s="0" t="str">
        <f aca="false">IF($B478="","",INDEX(BookDriver,$B478))</f>
        <v/>
      </c>
    </row>
    <row r="479" customFormat="false" ht="15" hidden="false" customHeight="false" outlineLevel="0" collapsed="false">
      <c r="A479" s="33" t="n">
        <v>474</v>
      </c>
      <c r="B479" s="0" t="str">
        <f aca="false">IFERROR(MATCH($A479,ChalSeq,0),"")</f>
        <v/>
      </c>
      <c r="C479" s="0" t="str">
        <f aca="false">IF($B479="","",INDEX(ChalGroup,$B479))</f>
        <v/>
      </c>
      <c r="D479" s="0" t="str">
        <f aca="false">IF($B479="","",INDEX(ChalDivision,$B479))</f>
        <v/>
      </c>
      <c r="E479" s="0" t="str">
        <f aca="false">IF($B479="","",INDEX(ChalUnit,$B479))</f>
        <v/>
      </c>
      <c r="F479" s="0" t="str">
        <f aca="false">IF($B479="","",INDEX(ChalTitle,$B479))</f>
        <v/>
      </c>
      <c r="G479" s="0" t="str">
        <f aca="false">IF($B479="","",INDEX(ChalLevel,$B479))</f>
        <v/>
      </c>
      <c r="H479" s="0" t="str">
        <f aca="false">IF($B479="","",INDEX(BookFamily,$B479))</f>
        <v/>
      </c>
      <c r="I479" s="0" t="str">
        <f aca="false">IF($B479="","",INDEX(BookWorkerType,$B479))</f>
        <v/>
      </c>
      <c r="J479" s="56" t="str">
        <f aca="false">IF($B479="","",INDEX(ChalEffective,$B479))</f>
        <v/>
      </c>
      <c r="K479" s="0" t="str">
        <f aca="false">IF($B479="","",INDEX(ChalStart,$B479))</f>
        <v/>
      </c>
      <c r="L479" s="57" t="str">
        <f aca="false">IF($B479="","",INDEX(ChalInYear,$B479))</f>
        <v/>
      </c>
      <c r="M479" s="57" t="str">
        <f aca="false">IF($B479="","",INDEX(ChalRunRate,$B479))</f>
        <v/>
      </c>
      <c r="N479" s="0" t="str">
        <f aca="false">IF($B479="","",INDEX(BookDriver,$B479))</f>
        <v/>
      </c>
    </row>
    <row r="480" customFormat="false" ht="15" hidden="false" customHeight="false" outlineLevel="0" collapsed="false">
      <c r="A480" s="33" t="n">
        <v>475</v>
      </c>
      <c r="B480" s="0" t="str">
        <f aca="false">IFERROR(MATCH($A480,ChalSeq,0),"")</f>
        <v/>
      </c>
      <c r="C480" s="0" t="str">
        <f aca="false">IF($B480="","",INDEX(ChalGroup,$B480))</f>
        <v/>
      </c>
      <c r="D480" s="0" t="str">
        <f aca="false">IF($B480="","",INDEX(ChalDivision,$B480))</f>
        <v/>
      </c>
      <c r="E480" s="0" t="str">
        <f aca="false">IF($B480="","",INDEX(ChalUnit,$B480))</f>
        <v/>
      </c>
      <c r="F480" s="0" t="str">
        <f aca="false">IF($B480="","",INDEX(ChalTitle,$B480))</f>
        <v/>
      </c>
      <c r="G480" s="0" t="str">
        <f aca="false">IF($B480="","",INDEX(ChalLevel,$B480))</f>
        <v/>
      </c>
      <c r="H480" s="0" t="str">
        <f aca="false">IF($B480="","",INDEX(BookFamily,$B480))</f>
        <v/>
      </c>
      <c r="I480" s="0" t="str">
        <f aca="false">IF($B480="","",INDEX(BookWorkerType,$B480))</f>
        <v/>
      </c>
      <c r="J480" s="56" t="str">
        <f aca="false">IF($B480="","",INDEX(ChalEffective,$B480))</f>
        <v/>
      </c>
      <c r="K480" s="0" t="str">
        <f aca="false">IF($B480="","",INDEX(ChalStart,$B480))</f>
        <v/>
      </c>
      <c r="L480" s="57" t="str">
        <f aca="false">IF($B480="","",INDEX(ChalInYear,$B480))</f>
        <v/>
      </c>
      <c r="M480" s="57" t="str">
        <f aca="false">IF($B480="","",INDEX(ChalRunRate,$B480))</f>
        <v/>
      </c>
      <c r="N480" s="0" t="str">
        <f aca="false">IF($B480="","",INDEX(BookDriver,$B480))</f>
        <v/>
      </c>
    </row>
    <row r="481" customFormat="false" ht="15" hidden="false" customHeight="false" outlineLevel="0" collapsed="false">
      <c r="A481" s="33" t="n">
        <v>476</v>
      </c>
      <c r="B481" s="0" t="str">
        <f aca="false">IFERROR(MATCH($A481,ChalSeq,0),"")</f>
        <v/>
      </c>
      <c r="C481" s="0" t="str">
        <f aca="false">IF($B481="","",INDEX(ChalGroup,$B481))</f>
        <v/>
      </c>
      <c r="D481" s="0" t="str">
        <f aca="false">IF($B481="","",INDEX(ChalDivision,$B481))</f>
        <v/>
      </c>
      <c r="E481" s="0" t="str">
        <f aca="false">IF($B481="","",INDEX(ChalUnit,$B481))</f>
        <v/>
      </c>
      <c r="F481" s="0" t="str">
        <f aca="false">IF($B481="","",INDEX(ChalTitle,$B481))</f>
        <v/>
      </c>
      <c r="G481" s="0" t="str">
        <f aca="false">IF($B481="","",INDEX(ChalLevel,$B481))</f>
        <v/>
      </c>
      <c r="H481" s="0" t="str">
        <f aca="false">IF($B481="","",INDEX(BookFamily,$B481))</f>
        <v/>
      </c>
      <c r="I481" s="0" t="str">
        <f aca="false">IF($B481="","",INDEX(BookWorkerType,$B481))</f>
        <v/>
      </c>
      <c r="J481" s="56" t="str">
        <f aca="false">IF($B481="","",INDEX(ChalEffective,$B481))</f>
        <v/>
      </c>
      <c r="K481" s="0" t="str">
        <f aca="false">IF($B481="","",INDEX(ChalStart,$B481))</f>
        <v/>
      </c>
      <c r="L481" s="57" t="str">
        <f aca="false">IF($B481="","",INDEX(ChalInYear,$B481))</f>
        <v/>
      </c>
      <c r="M481" s="57" t="str">
        <f aca="false">IF($B481="","",INDEX(ChalRunRate,$B481))</f>
        <v/>
      </c>
      <c r="N481" s="0" t="str">
        <f aca="false">IF($B481="","",INDEX(BookDriver,$B481))</f>
        <v/>
      </c>
    </row>
    <row r="482" customFormat="false" ht="15" hidden="false" customHeight="false" outlineLevel="0" collapsed="false">
      <c r="A482" s="33" t="n">
        <v>477</v>
      </c>
      <c r="B482" s="0" t="str">
        <f aca="false">IFERROR(MATCH($A482,ChalSeq,0),"")</f>
        <v/>
      </c>
      <c r="C482" s="0" t="str">
        <f aca="false">IF($B482="","",INDEX(ChalGroup,$B482))</f>
        <v/>
      </c>
      <c r="D482" s="0" t="str">
        <f aca="false">IF($B482="","",INDEX(ChalDivision,$B482))</f>
        <v/>
      </c>
      <c r="E482" s="0" t="str">
        <f aca="false">IF($B482="","",INDEX(ChalUnit,$B482))</f>
        <v/>
      </c>
      <c r="F482" s="0" t="str">
        <f aca="false">IF($B482="","",INDEX(ChalTitle,$B482))</f>
        <v/>
      </c>
      <c r="G482" s="0" t="str">
        <f aca="false">IF($B482="","",INDEX(ChalLevel,$B482))</f>
        <v/>
      </c>
      <c r="H482" s="0" t="str">
        <f aca="false">IF($B482="","",INDEX(BookFamily,$B482))</f>
        <v/>
      </c>
      <c r="I482" s="0" t="str">
        <f aca="false">IF($B482="","",INDEX(BookWorkerType,$B482))</f>
        <v/>
      </c>
      <c r="J482" s="56" t="str">
        <f aca="false">IF($B482="","",INDEX(ChalEffective,$B482))</f>
        <v/>
      </c>
      <c r="K482" s="0" t="str">
        <f aca="false">IF($B482="","",INDEX(ChalStart,$B482))</f>
        <v/>
      </c>
      <c r="L482" s="57" t="str">
        <f aca="false">IF($B482="","",INDEX(ChalInYear,$B482))</f>
        <v/>
      </c>
      <c r="M482" s="57" t="str">
        <f aca="false">IF($B482="","",INDEX(ChalRunRate,$B482))</f>
        <v/>
      </c>
      <c r="N482" s="0" t="str">
        <f aca="false">IF($B482="","",INDEX(BookDriver,$B482))</f>
        <v/>
      </c>
    </row>
    <row r="483" customFormat="false" ht="15" hidden="false" customHeight="false" outlineLevel="0" collapsed="false">
      <c r="A483" s="33" t="n">
        <v>478</v>
      </c>
      <c r="B483" s="0" t="str">
        <f aca="false">IFERROR(MATCH($A483,ChalSeq,0),"")</f>
        <v/>
      </c>
      <c r="C483" s="0" t="str">
        <f aca="false">IF($B483="","",INDEX(ChalGroup,$B483))</f>
        <v/>
      </c>
      <c r="D483" s="0" t="str">
        <f aca="false">IF($B483="","",INDEX(ChalDivision,$B483))</f>
        <v/>
      </c>
      <c r="E483" s="0" t="str">
        <f aca="false">IF($B483="","",INDEX(ChalUnit,$B483))</f>
        <v/>
      </c>
      <c r="F483" s="0" t="str">
        <f aca="false">IF($B483="","",INDEX(ChalTitle,$B483))</f>
        <v/>
      </c>
      <c r="G483" s="0" t="str">
        <f aca="false">IF($B483="","",INDEX(ChalLevel,$B483))</f>
        <v/>
      </c>
      <c r="H483" s="0" t="str">
        <f aca="false">IF($B483="","",INDEX(BookFamily,$B483))</f>
        <v/>
      </c>
      <c r="I483" s="0" t="str">
        <f aca="false">IF($B483="","",INDEX(BookWorkerType,$B483))</f>
        <v/>
      </c>
      <c r="J483" s="56" t="str">
        <f aca="false">IF($B483="","",INDEX(ChalEffective,$B483))</f>
        <v/>
      </c>
      <c r="K483" s="0" t="str">
        <f aca="false">IF($B483="","",INDEX(ChalStart,$B483))</f>
        <v/>
      </c>
      <c r="L483" s="57" t="str">
        <f aca="false">IF($B483="","",INDEX(ChalInYear,$B483))</f>
        <v/>
      </c>
      <c r="M483" s="57" t="str">
        <f aca="false">IF($B483="","",INDEX(ChalRunRate,$B483))</f>
        <v/>
      </c>
      <c r="N483" s="0" t="str">
        <f aca="false">IF($B483="","",INDEX(BookDriver,$B483))</f>
        <v/>
      </c>
    </row>
    <row r="484" customFormat="false" ht="15" hidden="false" customHeight="false" outlineLevel="0" collapsed="false">
      <c r="A484" s="33" t="n">
        <v>479</v>
      </c>
      <c r="B484" s="0" t="str">
        <f aca="false">IFERROR(MATCH($A484,ChalSeq,0),"")</f>
        <v/>
      </c>
      <c r="C484" s="0" t="str">
        <f aca="false">IF($B484="","",INDEX(ChalGroup,$B484))</f>
        <v/>
      </c>
      <c r="D484" s="0" t="str">
        <f aca="false">IF($B484="","",INDEX(ChalDivision,$B484))</f>
        <v/>
      </c>
      <c r="E484" s="0" t="str">
        <f aca="false">IF($B484="","",INDEX(ChalUnit,$B484))</f>
        <v/>
      </c>
      <c r="F484" s="0" t="str">
        <f aca="false">IF($B484="","",INDEX(ChalTitle,$B484))</f>
        <v/>
      </c>
      <c r="G484" s="0" t="str">
        <f aca="false">IF($B484="","",INDEX(ChalLevel,$B484))</f>
        <v/>
      </c>
      <c r="H484" s="0" t="str">
        <f aca="false">IF($B484="","",INDEX(BookFamily,$B484))</f>
        <v/>
      </c>
      <c r="I484" s="0" t="str">
        <f aca="false">IF($B484="","",INDEX(BookWorkerType,$B484))</f>
        <v/>
      </c>
      <c r="J484" s="56" t="str">
        <f aca="false">IF($B484="","",INDEX(ChalEffective,$B484))</f>
        <v/>
      </c>
      <c r="K484" s="0" t="str">
        <f aca="false">IF($B484="","",INDEX(ChalStart,$B484))</f>
        <v/>
      </c>
      <c r="L484" s="57" t="str">
        <f aca="false">IF($B484="","",INDEX(ChalInYear,$B484))</f>
        <v/>
      </c>
      <c r="M484" s="57" t="str">
        <f aca="false">IF($B484="","",INDEX(ChalRunRate,$B484))</f>
        <v/>
      </c>
      <c r="N484" s="0" t="str">
        <f aca="false">IF($B484="","",INDEX(BookDriver,$B484))</f>
        <v/>
      </c>
    </row>
    <row r="485" customFormat="false" ht="15" hidden="false" customHeight="false" outlineLevel="0" collapsed="false">
      <c r="A485" s="33" t="n">
        <v>480</v>
      </c>
      <c r="B485" s="0" t="str">
        <f aca="false">IFERROR(MATCH($A485,ChalSeq,0),"")</f>
        <v/>
      </c>
      <c r="C485" s="0" t="str">
        <f aca="false">IF($B485="","",INDEX(ChalGroup,$B485))</f>
        <v/>
      </c>
      <c r="D485" s="0" t="str">
        <f aca="false">IF($B485="","",INDEX(ChalDivision,$B485))</f>
        <v/>
      </c>
      <c r="E485" s="0" t="str">
        <f aca="false">IF($B485="","",INDEX(ChalUnit,$B485))</f>
        <v/>
      </c>
      <c r="F485" s="0" t="str">
        <f aca="false">IF($B485="","",INDEX(ChalTitle,$B485))</f>
        <v/>
      </c>
      <c r="G485" s="0" t="str">
        <f aca="false">IF($B485="","",INDEX(ChalLevel,$B485))</f>
        <v/>
      </c>
      <c r="H485" s="0" t="str">
        <f aca="false">IF($B485="","",INDEX(BookFamily,$B485))</f>
        <v/>
      </c>
      <c r="I485" s="0" t="str">
        <f aca="false">IF($B485="","",INDEX(BookWorkerType,$B485))</f>
        <v/>
      </c>
      <c r="J485" s="56" t="str">
        <f aca="false">IF($B485="","",INDEX(ChalEffective,$B485))</f>
        <v/>
      </c>
      <c r="K485" s="0" t="str">
        <f aca="false">IF($B485="","",INDEX(ChalStart,$B485))</f>
        <v/>
      </c>
      <c r="L485" s="57" t="str">
        <f aca="false">IF($B485="","",INDEX(ChalInYear,$B485))</f>
        <v/>
      </c>
      <c r="M485" s="57" t="str">
        <f aca="false">IF($B485="","",INDEX(ChalRunRate,$B485))</f>
        <v/>
      </c>
      <c r="N485" s="0" t="str">
        <f aca="false">IF($B485="","",INDEX(BookDriver,$B485))</f>
        <v/>
      </c>
    </row>
    <row r="486" customFormat="false" ht="15" hidden="false" customHeight="false" outlineLevel="0" collapsed="false">
      <c r="A486" s="33" t="n">
        <v>481</v>
      </c>
      <c r="B486" s="0" t="str">
        <f aca="false">IFERROR(MATCH($A486,ChalSeq,0),"")</f>
        <v/>
      </c>
      <c r="C486" s="0" t="str">
        <f aca="false">IF($B486="","",INDEX(ChalGroup,$B486))</f>
        <v/>
      </c>
      <c r="D486" s="0" t="str">
        <f aca="false">IF($B486="","",INDEX(ChalDivision,$B486))</f>
        <v/>
      </c>
      <c r="E486" s="0" t="str">
        <f aca="false">IF($B486="","",INDEX(ChalUnit,$B486))</f>
        <v/>
      </c>
      <c r="F486" s="0" t="str">
        <f aca="false">IF($B486="","",INDEX(ChalTitle,$B486))</f>
        <v/>
      </c>
      <c r="G486" s="0" t="str">
        <f aca="false">IF($B486="","",INDEX(ChalLevel,$B486))</f>
        <v/>
      </c>
      <c r="H486" s="0" t="str">
        <f aca="false">IF($B486="","",INDEX(BookFamily,$B486))</f>
        <v/>
      </c>
      <c r="I486" s="0" t="str">
        <f aca="false">IF($B486="","",INDEX(BookWorkerType,$B486))</f>
        <v/>
      </c>
      <c r="J486" s="56" t="str">
        <f aca="false">IF($B486="","",INDEX(ChalEffective,$B486))</f>
        <v/>
      </c>
      <c r="K486" s="0" t="str">
        <f aca="false">IF($B486="","",INDEX(ChalStart,$B486))</f>
        <v/>
      </c>
      <c r="L486" s="57" t="str">
        <f aca="false">IF($B486="","",INDEX(ChalInYear,$B486))</f>
        <v/>
      </c>
      <c r="M486" s="57" t="str">
        <f aca="false">IF($B486="","",INDEX(ChalRunRate,$B486))</f>
        <v/>
      </c>
      <c r="N486" s="0" t="str">
        <f aca="false">IF($B486="","",INDEX(BookDriver,$B486))</f>
        <v/>
      </c>
    </row>
    <row r="487" customFormat="false" ht="15" hidden="false" customHeight="false" outlineLevel="0" collapsed="false">
      <c r="A487" s="33" t="n">
        <v>482</v>
      </c>
      <c r="B487" s="0" t="str">
        <f aca="false">IFERROR(MATCH($A487,ChalSeq,0),"")</f>
        <v/>
      </c>
      <c r="C487" s="0" t="str">
        <f aca="false">IF($B487="","",INDEX(ChalGroup,$B487))</f>
        <v/>
      </c>
      <c r="D487" s="0" t="str">
        <f aca="false">IF($B487="","",INDEX(ChalDivision,$B487))</f>
        <v/>
      </c>
      <c r="E487" s="0" t="str">
        <f aca="false">IF($B487="","",INDEX(ChalUnit,$B487))</f>
        <v/>
      </c>
      <c r="F487" s="0" t="str">
        <f aca="false">IF($B487="","",INDEX(ChalTitle,$B487))</f>
        <v/>
      </c>
      <c r="G487" s="0" t="str">
        <f aca="false">IF($B487="","",INDEX(ChalLevel,$B487))</f>
        <v/>
      </c>
      <c r="H487" s="0" t="str">
        <f aca="false">IF($B487="","",INDEX(BookFamily,$B487))</f>
        <v/>
      </c>
      <c r="I487" s="0" t="str">
        <f aca="false">IF($B487="","",INDEX(BookWorkerType,$B487))</f>
        <v/>
      </c>
      <c r="J487" s="56" t="str">
        <f aca="false">IF($B487="","",INDEX(ChalEffective,$B487))</f>
        <v/>
      </c>
      <c r="K487" s="0" t="str">
        <f aca="false">IF($B487="","",INDEX(ChalStart,$B487))</f>
        <v/>
      </c>
      <c r="L487" s="57" t="str">
        <f aca="false">IF($B487="","",INDEX(ChalInYear,$B487))</f>
        <v/>
      </c>
      <c r="M487" s="57" t="str">
        <f aca="false">IF($B487="","",INDEX(ChalRunRate,$B487))</f>
        <v/>
      </c>
      <c r="N487" s="0" t="str">
        <f aca="false">IF($B487="","",INDEX(BookDriver,$B487))</f>
        <v/>
      </c>
    </row>
    <row r="488" customFormat="false" ht="15" hidden="false" customHeight="false" outlineLevel="0" collapsed="false">
      <c r="A488" s="33" t="n">
        <v>483</v>
      </c>
      <c r="B488" s="0" t="str">
        <f aca="false">IFERROR(MATCH($A488,ChalSeq,0),"")</f>
        <v/>
      </c>
      <c r="C488" s="0" t="str">
        <f aca="false">IF($B488="","",INDEX(ChalGroup,$B488))</f>
        <v/>
      </c>
      <c r="D488" s="0" t="str">
        <f aca="false">IF($B488="","",INDEX(ChalDivision,$B488))</f>
        <v/>
      </c>
      <c r="E488" s="0" t="str">
        <f aca="false">IF($B488="","",INDEX(ChalUnit,$B488))</f>
        <v/>
      </c>
      <c r="F488" s="0" t="str">
        <f aca="false">IF($B488="","",INDEX(ChalTitle,$B488))</f>
        <v/>
      </c>
      <c r="G488" s="0" t="str">
        <f aca="false">IF($B488="","",INDEX(ChalLevel,$B488))</f>
        <v/>
      </c>
      <c r="H488" s="0" t="str">
        <f aca="false">IF($B488="","",INDEX(BookFamily,$B488))</f>
        <v/>
      </c>
      <c r="I488" s="0" t="str">
        <f aca="false">IF($B488="","",INDEX(BookWorkerType,$B488))</f>
        <v/>
      </c>
      <c r="J488" s="56" t="str">
        <f aca="false">IF($B488="","",INDEX(ChalEffective,$B488))</f>
        <v/>
      </c>
      <c r="K488" s="0" t="str">
        <f aca="false">IF($B488="","",INDEX(ChalStart,$B488))</f>
        <v/>
      </c>
      <c r="L488" s="57" t="str">
        <f aca="false">IF($B488="","",INDEX(ChalInYear,$B488))</f>
        <v/>
      </c>
      <c r="M488" s="57" t="str">
        <f aca="false">IF($B488="","",INDEX(ChalRunRate,$B488))</f>
        <v/>
      </c>
      <c r="N488" s="0" t="str">
        <f aca="false">IF($B488="","",INDEX(BookDriver,$B488))</f>
        <v/>
      </c>
    </row>
    <row r="489" customFormat="false" ht="15" hidden="false" customHeight="false" outlineLevel="0" collapsed="false">
      <c r="A489" s="33" t="n">
        <v>484</v>
      </c>
      <c r="B489" s="0" t="str">
        <f aca="false">IFERROR(MATCH($A489,ChalSeq,0),"")</f>
        <v/>
      </c>
      <c r="C489" s="0" t="str">
        <f aca="false">IF($B489="","",INDEX(ChalGroup,$B489))</f>
        <v/>
      </c>
      <c r="D489" s="0" t="str">
        <f aca="false">IF($B489="","",INDEX(ChalDivision,$B489))</f>
        <v/>
      </c>
      <c r="E489" s="0" t="str">
        <f aca="false">IF($B489="","",INDEX(ChalUnit,$B489))</f>
        <v/>
      </c>
      <c r="F489" s="0" t="str">
        <f aca="false">IF($B489="","",INDEX(ChalTitle,$B489))</f>
        <v/>
      </c>
      <c r="G489" s="0" t="str">
        <f aca="false">IF($B489="","",INDEX(ChalLevel,$B489))</f>
        <v/>
      </c>
      <c r="H489" s="0" t="str">
        <f aca="false">IF($B489="","",INDEX(BookFamily,$B489))</f>
        <v/>
      </c>
      <c r="I489" s="0" t="str">
        <f aca="false">IF($B489="","",INDEX(BookWorkerType,$B489))</f>
        <v/>
      </c>
      <c r="J489" s="56" t="str">
        <f aca="false">IF($B489="","",INDEX(ChalEffective,$B489))</f>
        <v/>
      </c>
      <c r="K489" s="0" t="str">
        <f aca="false">IF($B489="","",INDEX(ChalStart,$B489))</f>
        <v/>
      </c>
      <c r="L489" s="57" t="str">
        <f aca="false">IF($B489="","",INDEX(ChalInYear,$B489))</f>
        <v/>
      </c>
      <c r="M489" s="57" t="str">
        <f aca="false">IF($B489="","",INDEX(ChalRunRate,$B489))</f>
        <v/>
      </c>
      <c r="N489" s="0" t="str">
        <f aca="false">IF($B489="","",INDEX(BookDriver,$B489))</f>
        <v/>
      </c>
    </row>
    <row r="490" customFormat="false" ht="15" hidden="false" customHeight="false" outlineLevel="0" collapsed="false">
      <c r="A490" s="33" t="n">
        <v>485</v>
      </c>
      <c r="B490" s="0" t="str">
        <f aca="false">IFERROR(MATCH($A490,ChalSeq,0),"")</f>
        <v/>
      </c>
      <c r="C490" s="0" t="str">
        <f aca="false">IF($B490="","",INDEX(ChalGroup,$B490))</f>
        <v/>
      </c>
      <c r="D490" s="0" t="str">
        <f aca="false">IF($B490="","",INDEX(ChalDivision,$B490))</f>
        <v/>
      </c>
      <c r="E490" s="0" t="str">
        <f aca="false">IF($B490="","",INDEX(ChalUnit,$B490))</f>
        <v/>
      </c>
      <c r="F490" s="0" t="str">
        <f aca="false">IF($B490="","",INDEX(ChalTitle,$B490))</f>
        <v/>
      </c>
      <c r="G490" s="0" t="str">
        <f aca="false">IF($B490="","",INDEX(ChalLevel,$B490))</f>
        <v/>
      </c>
      <c r="H490" s="0" t="str">
        <f aca="false">IF($B490="","",INDEX(BookFamily,$B490))</f>
        <v/>
      </c>
      <c r="I490" s="0" t="str">
        <f aca="false">IF($B490="","",INDEX(BookWorkerType,$B490))</f>
        <v/>
      </c>
      <c r="J490" s="56" t="str">
        <f aca="false">IF($B490="","",INDEX(ChalEffective,$B490))</f>
        <v/>
      </c>
      <c r="K490" s="0" t="str">
        <f aca="false">IF($B490="","",INDEX(ChalStart,$B490))</f>
        <v/>
      </c>
      <c r="L490" s="57" t="str">
        <f aca="false">IF($B490="","",INDEX(ChalInYear,$B490))</f>
        <v/>
      </c>
      <c r="M490" s="57" t="str">
        <f aca="false">IF($B490="","",INDEX(ChalRunRate,$B490))</f>
        <v/>
      </c>
      <c r="N490" s="0" t="str">
        <f aca="false">IF($B490="","",INDEX(BookDriver,$B490))</f>
        <v/>
      </c>
    </row>
    <row r="491" customFormat="false" ht="15" hidden="false" customHeight="false" outlineLevel="0" collapsed="false">
      <c r="A491" s="33" t="n">
        <v>486</v>
      </c>
      <c r="B491" s="0" t="str">
        <f aca="false">IFERROR(MATCH($A491,ChalSeq,0),"")</f>
        <v/>
      </c>
      <c r="C491" s="0" t="str">
        <f aca="false">IF($B491="","",INDEX(ChalGroup,$B491))</f>
        <v/>
      </c>
      <c r="D491" s="0" t="str">
        <f aca="false">IF($B491="","",INDEX(ChalDivision,$B491))</f>
        <v/>
      </c>
      <c r="E491" s="0" t="str">
        <f aca="false">IF($B491="","",INDEX(ChalUnit,$B491))</f>
        <v/>
      </c>
      <c r="F491" s="0" t="str">
        <f aca="false">IF($B491="","",INDEX(ChalTitle,$B491))</f>
        <v/>
      </c>
      <c r="G491" s="0" t="str">
        <f aca="false">IF($B491="","",INDEX(ChalLevel,$B491))</f>
        <v/>
      </c>
      <c r="H491" s="0" t="str">
        <f aca="false">IF($B491="","",INDEX(BookFamily,$B491))</f>
        <v/>
      </c>
      <c r="I491" s="0" t="str">
        <f aca="false">IF($B491="","",INDEX(BookWorkerType,$B491))</f>
        <v/>
      </c>
      <c r="J491" s="56" t="str">
        <f aca="false">IF($B491="","",INDEX(ChalEffective,$B491))</f>
        <v/>
      </c>
      <c r="K491" s="0" t="str">
        <f aca="false">IF($B491="","",INDEX(ChalStart,$B491))</f>
        <v/>
      </c>
      <c r="L491" s="57" t="str">
        <f aca="false">IF($B491="","",INDEX(ChalInYear,$B491))</f>
        <v/>
      </c>
      <c r="M491" s="57" t="str">
        <f aca="false">IF($B491="","",INDEX(ChalRunRate,$B491))</f>
        <v/>
      </c>
      <c r="N491" s="0" t="str">
        <f aca="false">IF($B491="","",INDEX(BookDriver,$B491))</f>
        <v/>
      </c>
    </row>
    <row r="492" customFormat="false" ht="15" hidden="false" customHeight="false" outlineLevel="0" collapsed="false">
      <c r="A492" s="33" t="n">
        <v>487</v>
      </c>
      <c r="B492" s="0" t="str">
        <f aca="false">IFERROR(MATCH($A492,ChalSeq,0),"")</f>
        <v/>
      </c>
      <c r="C492" s="0" t="str">
        <f aca="false">IF($B492="","",INDEX(ChalGroup,$B492))</f>
        <v/>
      </c>
      <c r="D492" s="0" t="str">
        <f aca="false">IF($B492="","",INDEX(ChalDivision,$B492))</f>
        <v/>
      </c>
      <c r="E492" s="0" t="str">
        <f aca="false">IF($B492="","",INDEX(ChalUnit,$B492))</f>
        <v/>
      </c>
      <c r="F492" s="0" t="str">
        <f aca="false">IF($B492="","",INDEX(ChalTitle,$B492))</f>
        <v/>
      </c>
      <c r="G492" s="0" t="str">
        <f aca="false">IF($B492="","",INDEX(ChalLevel,$B492))</f>
        <v/>
      </c>
      <c r="H492" s="0" t="str">
        <f aca="false">IF($B492="","",INDEX(BookFamily,$B492))</f>
        <v/>
      </c>
      <c r="I492" s="0" t="str">
        <f aca="false">IF($B492="","",INDEX(BookWorkerType,$B492))</f>
        <v/>
      </c>
      <c r="J492" s="56" t="str">
        <f aca="false">IF($B492="","",INDEX(ChalEffective,$B492))</f>
        <v/>
      </c>
      <c r="K492" s="0" t="str">
        <f aca="false">IF($B492="","",INDEX(ChalStart,$B492))</f>
        <v/>
      </c>
      <c r="L492" s="57" t="str">
        <f aca="false">IF($B492="","",INDEX(ChalInYear,$B492))</f>
        <v/>
      </c>
      <c r="M492" s="57" t="str">
        <f aca="false">IF($B492="","",INDEX(ChalRunRate,$B492))</f>
        <v/>
      </c>
      <c r="N492" s="0" t="str">
        <f aca="false">IF($B492="","",INDEX(BookDriver,$B492))</f>
        <v/>
      </c>
    </row>
    <row r="493" customFormat="false" ht="15" hidden="false" customHeight="false" outlineLevel="0" collapsed="false">
      <c r="A493" s="33" t="n">
        <v>488</v>
      </c>
      <c r="B493" s="0" t="str">
        <f aca="false">IFERROR(MATCH($A493,ChalSeq,0),"")</f>
        <v/>
      </c>
      <c r="C493" s="0" t="str">
        <f aca="false">IF($B493="","",INDEX(ChalGroup,$B493))</f>
        <v/>
      </c>
      <c r="D493" s="0" t="str">
        <f aca="false">IF($B493="","",INDEX(ChalDivision,$B493))</f>
        <v/>
      </c>
      <c r="E493" s="0" t="str">
        <f aca="false">IF($B493="","",INDEX(ChalUnit,$B493))</f>
        <v/>
      </c>
      <c r="F493" s="0" t="str">
        <f aca="false">IF($B493="","",INDEX(ChalTitle,$B493))</f>
        <v/>
      </c>
      <c r="G493" s="0" t="str">
        <f aca="false">IF($B493="","",INDEX(ChalLevel,$B493))</f>
        <v/>
      </c>
      <c r="H493" s="0" t="str">
        <f aca="false">IF($B493="","",INDEX(BookFamily,$B493))</f>
        <v/>
      </c>
      <c r="I493" s="0" t="str">
        <f aca="false">IF($B493="","",INDEX(BookWorkerType,$B493))</f>
        <v/>
      </c>
      <c r="J493" s="56" t="str">
        <f aca="false">IF($B493="","",INDEX(ChalEffective,$B493))</f>
        <v/>
      </c>
      <c r="K493" s="0" t="str">
        <f aca="false">IF($B493="","",INDEX(ChalStart,$B493))</f>
        <v/>
      </c>
      <c r="L493" s="57" t="str">
        <f aca="false">IF($B493="","",INDEX(ChalInYear,$B493))</f>
        <v/>
      </c>
      <c r="M493" s="57" t="str">
        <f aca="false">IF($B493="","",INDEX(ChalRunRate,$B493))</f>
        <v/>
      </c>
      <c r="N493" s="0" t="str">
        <f aca="false">IF($B493="","",INDEX(BookDriver,$B493))</f>
        <v/>
      </c>
    </row>
    <row r="494" customFormat="false" ht="15" hidden="false" customHeight="false" outlineLevel="0" collapsed="false">
      <c r="A494" s="33" t="n">
        <v>489</v>
      </c>
      <c r="B494" s="0" t="str">
        <f aca="false">IFERROR(MATCH($A494,ChalSeq,0),"")</f>
        <v/>
      </c>
      <c r="C494" s="0" t="str">
        <f aca="false">IF($B494="","",INDEX(ChalGroup,$B494))</f>
        <v/>
      </c>
      <c r="D494" s="0" t="str">
        <f aca="false">IF($B494="","",INDEX(ChalDivision,$B494))</f>
        <v/>
      </c>
      <c r="E494" s="0" t="str">
        <f aca="false">IF($B494="","",INDEX(ChalUnit,$B494))</f>
        <v/>
      </c>
      <c r="F494" s="0" t="str">
        <f aca="false">IF($B494="","",INDEX(ChalTitle,$B494))</f>
        <v/>
      </c>
      <c r="G494" s="0" t="str">
        <f aca="false">IF($B494="","",INDEX(ChalLevel,$B494))</f>
        <v/>
      </c>
      <c r="H494" s="0" t="str">
        <f aca="false">IF($B494="","",INDEX(BookFamily,$B494))</f>
        <v/>
      </c>
      <c r="I494" s="0" t="str">
        <f aca="false">IF($B494="","",INDEX(BookWorkerType,$B494))</f>
        <v/>
      </c>
      <c r="J494" s="56" t="str">
        <f aca="false">IF($B494="","",INDEX(ChalEffective,$B494))</f>
        <v/>
      </c>
      <c r="K494" s="0" t="str">
        <f aca="false">IF($B494="","",INDEX(ChalStart,$B494))</f>
        <v/>
      </c>
      <c r="L494" s="57" t="str">
        <f aca="false">IF($B494="","",INDEX(ChalInYear,$B494))</f>
        <v/>
      </c>
      <c r="M494" s="57" t="str">
        <f aca="false">IF($B494="","",INDEX(ChalRunRate,$B494))</f>
        <v/>
      </c>
      <c r="N494" s="0" t="str">
        <f aca="false">IF($B494="","",INDEX(BookDriver,$B494))</f>
        <v/>
      </c>
    </row>
    <row r="495" customFormat="false" ht="15" hidden="false" customHeight="false" outlineLevel="0" collapsed="false">
      <c r="A495" s="33" t="n">
        <v>490</v>
      </c>
      <c r="B495" s="0" t="str">
        <f aca="false">IFERROR(MATCH($A495,ChalSeq,0),"")</f>
        <v/>
      </c>
      <c r="C495" s="0" t="str">
        <f aca="false">IF($B495="","",INDEX(ChalGroup,$B495))</f>
        <v/>
      </c>
      <c r="D495" s="0" t="str">
        <f aca="false">IF($B495="","",INDEX(ChalDivision,$B495))</f>
        <v/>
      </c>
      <c r="E495" s="0" t="str">
        <f aca="false">IF($B495="","",INDEX(ChalUnit,$B495))</f>
        <v/>
      </c>
      <c r="F495" s="0" t="str">
        <f aca="false">IF($B495="","",INDEX(ChalTitle,$B495))</f>
        <v/>
      </c>
      <c r="G495" s="0" t="str">
        <f aca="false">IF($B495="","",INDEX(ChalLevel,$B495))</f>
        <v/>
      </c>
      <c r="H495" s="0" t="str">
        <f aca="false">IF($B495="","",INDEX(BookFamily,$B495))</f>
        <v/>
      </c>
      <c r="I495" s="0" t="str">
        <f aca="false">IF($B495="","",INDEX(BookWorkerType,$B495))</f>
        <v/>
      </c>
      <c r="J495" s="56" t="str">
        <f aca="false">IF($B495="","",INDEX(ChalEffective,$B495))</f>
        <v/>
      </c>
      <c r="K495" s="0" t="str">
        <f aca="false">IF($B495="","",INDEX(ChalStart,$B495))</f>
        <v/>
      </c>
      <c r="L495" s="57" t="str">
        <f aca="false">IF($B495="","",INDEX(ChalInYear,$B495))</f>
        <v/>
      </c>
      <c r="M495" s="57" t="str">
        <f aca="false">IF($B495="","",INDEX(ChalRunRate,$B495))</f>
        <v/>
      </c>
      <c r="N495" s="0" t="str">
        <f aca="false">IF($B495="","",INDEX(BookDriver,$B495))</f>
        <v/>
      </c>
    </row>
    <row r="496" customFormat="false" ht="15" hidden="false" customHeight="false" outlineLevel="0" collapsed="false">
      <c r="A496" s="33" t="n">
        <v>491</v>
      </c>
      <c r="B496" s="0" t="str">
        <f aca="false">IFERROR(MATCH($A496,ChalSeq,0),"")</f>
        <v/>
      </c>
      <c r="C496" s="0" t="str">
        <f aca="false">IF($B496="","",INDEX(ChalGroup,$B496))</f>
        <v/>
      </c>
      <c r="D496" s="0" t="str">
        <f aca="false">IF($B496="","",INDEX(ChalDivision,$B496))</f>
        <v/>
      </c>
      <c r="E496" s="0" t="str">
        <f aca="false">IF($B496="","",INDEX(ChalUnit,$B496))</f>
        <v/>
      </c>
      <c r="F496" s="0" t="str">
        <f aca="false">IF($B496="","",INDEX(ChalTitle,$B496))</f>
        <v/>
      </c>
      <c r="G496" s="0" t="str">
        <f aca="false">IF($B496="","",INDEX(ChalLevel,$B496))</f>
        <v/>
      </c>
      <c r="H496" s="0" t="str">
        <f aca="false">IF($B496="","",INDEX(BookFamily,$B496))</f>
        <v/>
      </c>
      <c r="I496" s="0" t="str">
        <f aca="false">IF($B496="","",INDEX(BookWorkerType,$B496))</f>
        <v/>
      </c>
      <c r="J496" s="56" t="str">
        <f aca="false">IF($B496="","",INDEX(ChalEffective,$B496))</f>
        <v/>
      </c>
      <c r="K496" s="0" t="str">
        <f aca="false">IF($B496="","",INDEX(ChalStart,$B496))</f>
        <v/>
      </c>
      <c r="L496" s="57" t="str">
        <f aca="false">IF($B496="","",INDEX(ChalInYear,$B496))</f>
        <v/>
      </c>
      <c r="M496" s="57" t="str">
        <f aca="false">IF($B496="","",INDEX(ChalRunRate,$B496))</f>
        <v/>
      </c>
      <c r="N496" s="0" t="str">
        <f aca="false">IF($B496="","",INDEX(BookDriver,$B496))</f>
        <v/>
      </c>
    </row>
    <row r="497" customFormat="false" ht="15" hidden="false" customHeight="false" outlineLevel="0" collapsed="false">
      <c r="A497" s="33" t="n">
        <v>492</v>
      </c>
      <c r="B497" s="0" t="str">
        <f aca="false">IFERROR(MATCH($A497,ChalSeq,0),"")</f>
        <v/>
      </c>
      <c r="C497" s="0" t="str">
        <f aca="false">IF($B497="","",INDEX(ChalGroup,$B497))</f>
        <v/>
      </c>
      <c r="D497" s="0" t="str">
        <f aca="false">IF($B497="","",INDEX(ChalDivision,$B497))</f>
        <v/>
      </c>
      <c r="E497" s="0" t="str">
        <f aca="false">IF($B497="","",INDEX(ChalUnit,$B497))</f>
        <v/>
      </c>
      <c r="F497" s="0" t="str">
        <f aca="false">IF($B497="","",INDEX(ChalTitle,$B497))</f>
        <v/>
      </c>
      <c r="G497" s="0" t="str">
        <f aca="false">IF($B497="","",INDEX(ChalLevel,$B497))</f>
        <v/>
      </c>
      <c r="H497" s="0" t="str">
        <f aca="false">IF($B497="","",INDEX(BookFamily,$B497))</f>
        <v/>
      </c>
      <c r="I497" s="0" t="str">
        <f aca="false">IF($B497="","",INDEX(BookWorkerType,$B497))</f>
        <v/>
      </c>
      <c r="J497" s="56" t="str">
        <f aca="false">IF($B497="","",INDEX(ChalEffective,$B497))</f>
        <v/>
      </c>
      <c r="K497" s="0" t="str">
        <f aca="false">IF($B497="","",INDEX(ChalStart,$B497))</f>
        <v/>
      </c>
      <c r="L497" s="57" t="str">
        <f aca="false">IF($B497="","",INDEX(ChalInYear,$B497))</f>
        <v/>
      </c>
      <c r="M497" s="57" t="str">
        <f aca="false">IF($B497="","",INDEX(ChalRunRate,$B497))</f>
        <v/>
      </c>
      <c r="N497" s="0" t="str">
        <f aca="false">IF($B497="","",INDEX(BookDriver,$B497))</f>
        <v/>
      </c>
    </row>
    <row r="498" customFormat="false" ht="15" hidden="false" customHeight="false" outlineLevel="0" collapsed="false">
      <c r="A498" s="33" t="n">
        <v>493</v>
      </c>
      <c r="B498" s="0" t="str">
        <f aca="false">IFERROR(MATCH($A498,ChalSeq,0),"")</f>
        <v/>
      </c>
      <c r="C498" s="0" t="str">
        <f aca="false">IF($B498="","",INDEX(ChalGroup,$B498))</f>
        <v/>
      </c>
      <c r="D498" s="0" t="str">
        <f aca="false">IF($B498="","",INDEX(ChalDivision,$B498))</f>
        <v/>
      </c>
      <c r="E498" s="0" t="str">
        <f aca="false">IF($B498="","",INDEX(ChalUnit,$B498))</f>
        <v/>
      </c>
      <c r="F498" s="0" t="str">
        <f aca="false">IF($B498="","",INDEX(ChalTitle,$B498))</f>
        <v/>
      </c>
      <c r="G498" s="0" t="str">
        <f aca="false">IF($B498="","",INDEX(ChalLevel,$B498))</f>
        <v/>
      </c>
      <c r="H498" s="0" t="str">
        <f aca="false">IF($B498="","",INDEX(BookFamily,$B498))</f>
        <v/>
      </c>
      <c r="I498" s="0" t="str">
        <f aca="false">IF($B498="","",INDEX(BookWorkerType,$B498))</f>
        <v/>
      </c>
      <c r="J498" s="56" t="str">
        <f aca="false">IF($B498="","",INDEX(ChalEffective,$B498))</f>
        <v/>
      </c>
      <c r="K498" s="0" t="str">
        <f aca="false">IF($B498="","",INDEX(ChalStart,$B498))</f>
        <v/>
      </c>
      <c r="L498" s="57" t="str">
        <f aca="false">IF($B498="","",INDEX(ChalInYear,$B498))</f>
        <v/>
      </c>
      <c r="M498" s="57" t="str">
        <f aca="false">IF($B498="","",INDEX(ChalRunRate,$B498))</f>
        <v/>
      </c>
      <c r="N498" s="0" t="str">
        <f aca="false">IF($B498="","",INDEX(BookDriver,$B498))</f>
        <v/>
      </c>
    </row>
    <row r="499" customFormat="false" ht="15" hidden="false" customHeight="false" outlineLevel="0" collapsed="false">
      <c r="A499" s="33" t="n">
        <v>494</v>
      </c>
      <c r="B499" s="0" t="str">
        <f aca="false">IFERROR(MATCH($A499,ChalSeq,0),"")</f>
        <v/>
      </c>
      <c r="C499" s="0" t="str">
        <f aca="false">IF($B499="","",INDEX(ChalGroup,$B499))</f>
        <v/>
      </c>
      <c r="D499" s="0" t="str">
        <f aca="false">IF($B499="","",INDEX(ChalDivision,$B499))</f>
        <v/>
      </c>
      <c r="E499" s="0" t="str">
        <f aca="false">IF($B499="","",INDEX(ChalUnit,$B499))</f>
        <v/>
      </c>
      <c r="F499" s="0" t="str">
        <f aca="false">IF($B499="","",INDEX(ChalTitle,$B499))</f>
        <v/>
      </c>
      <c r="G499" s="0" t="str">
        <f aca="false">IF($B499="","",INDEX(ChalLevel,$B499))</f>
        <v/>
      </c>
      <c r="H499" s="0" t="str">
        <f aca="false">IF($B499="","",INDEX(BookFamily,$B499))</f>
        <v/>
      </c>
      <c r="I499" s="0" t="str">
        <f aca="false">IF($B499="","",INDEX(BookWorkerType,$B499))</f>
        <v/>
      </c>
      <c r="J499" s="56" t="str">
        <f aca="false">IF($B499="","",INDEX(ChalEffective,$B499))</f>
        <v/>
      </c>
      <c r="K499" s="0" t="str">
        <f aca="false">IF($B499="","",INDEX(ChalStart,$B499))</f>
        <v/>
      </c>
      <c r="L499" s="57" t="str">
        <f aca="false">IF($B499="","",INDEX(ChalInYear,$B499))</f>
        <v/>
      </c>
      <c r="M499" s="57" t="str">
        <f aca="false">IF($B499="","",INDEX(ChalRunRate,$B499))</f>
        <v/>
      </c>
      <c r="N499" s="0" t="str">
        <f aca="false">IF($B499="","",INDEX(BookDriver,$B499))</f>
        <v/>
      </c>
    </row>
    <row r="500" customFormat="false" ht="15" hidden="false" customHeight="false" outlineLevel="0" collapsed="false">
      <c r="A500" s="33" t="n">
        <v>495</v>
      </c>
      <c r="B500" s="0" t="str">
        <f aca="false">IFERROR(MATCH($A500,ChalSeq,0),"")</f>
        <v/>
      </c>
      <c r="C500" s="0" t="str">
        <f aca="false">IF($B500="","",INDEX(ChalGroup,$B500))</f>
        <v/>
      </c>
      <c r="D500" s="0" t="str">
        <f aca="false">IF($B500="","",INDEX(ChalDivision,$B500))</f>
        <v/>
      </c>
      <c r="E500" s="0" t="str">
        <f aca="false">IF($B500="","",INDEX(ChalUnit,$B500))</f>
        <v/>
      </c>
      <c r="F500" s="0" t="str">
        <f aca="false">IF($B500="","",INDEX(ChalTitle,$B500))</f>
        <v/>
      </c>
      <c r="G500" s="0" t="str">
        <f aca="false">IF($B500="","",INDEX(ChalLevel,$B500))</f>
        <v/>
      </c>
      <c r="H500" s="0" t="str">
        <f aca="false">IF($B500="","",INDEX(BookFamily,$B500))</f>
        <v/>
      </c>
      <c r="I500" s="0" t="str">
        <f aca="false">IF($B500="","",INDEX(BookWorkerType,$B500))</f>
        <v/>
      </c>
      <c r="J500" s="56" t="str">
        <f aca="false">IF($B500="","",INDEX(ChalEffective,$B500))</f>
        <v/>
      </c>
      <c r="K500" s="0" t="str">
        <f aca="false">IF($B500="","",INDEX(ChalStart,$B500))</f>
        <v/>
      </c>
      <c r="L500" s="57" t="str">
        <f aca="false">IF($B500="","",INDEX(ChalInYear,$B500))</f>
        <v/>
      </c>
      <c r="M500" s="57" t="str">
        <f aca="false">IF($B500="","",INDEX(ChalRunRate,$B500))</f>
        <v/>
      </c>
      <c r="N500" s="0" t="str">
        <f aca="false">IF($B500="","",INDEX(BookDriver,$B500))</f>
        <v/>
      </c>
    </row>
    <row r="501" customFormat="false" ht="15" hidden="false" customHeight="false" outlineLevel="0" collapsed="false">
      <c r="A501" s="33" t="n">
        <v>496</v>
      </c>
      <c r="B501" s="0" t="str">
        <f aca="false">IFERROR(MATCH($A501,ChalSeq,0),"")</f>
        <v/>
      </c>
      <c r="C501" s="0" t="str">
        <f aca="false">IF($B501="","",INDEX(ChalGroup,$B501))</f>
        <v/>
      </c>
      <c r="D501" s="0" t="str">
        <f aca="false">IF($B501="","",INDEX(ChalDivision,$B501))</f>
        <v/>
      </c>
      <c r="E501" s="0" t="str">
        <f aca="false">IF($B501="","",INDEX(ChalUnit,$B501))</f>
        <v/>
      </c>
      <c r="F501" s="0" t="str">
        <f aca="false">IF($B501="","",INDEX(ChalTitle,$B501))</f>
        <v/>
      </c>
      <c r="G501" s="0" t="str">
        <f aca="false">IF($B501="","",INDEX(ChalLevel,$B501))</f>
        <v/>
      </c>
      <c r="H501" s="0" t="str">
        <f aca="false">IF($B501="","",INDEX(BookFamily,$B501))</f>
        <v/>
      </c>
      <c r="I501" s="0" t="str">
        <f aca="false">IF($B501="","",INDEX(BookWorkerType,$B501))</f>
        <v/>
      </c>
      <c r="J501" s="56" t="str">
        <f aca="false">IF($B501="","",INDEX(ChalEffective,$B501))</f>
        <v/>
      </c>
      <c r="K501" s="0" t="str">
        <f aca="false">IF($B501="","",INDEX(ChalStart,$B501))</f>
        <v/>
      </c>
      <c r="L501" s="57" t="str">
        <f aca="false">IF($B501="","",INDEX(ChalInYear,$B501))</f>
        <v/>
      </c>
      <c r="M501" s="57" t="str">
        <f aca="false">IF($B501="","",INDEX(ChalRunRate,$B501))</f>
        <v/>
      </c>
      <c r="N501" s="0" t="str">
        <f aca="false">IF($B501="","",INDEX(BookDriver,$B501))</f>
        <v/>
      </c>
    </row>
    <row r="502" customFormat="false" ht="15" hidden="false" customHeight="false" outlineLevel="0" collapsed="false">
      <c r="A502" s="33" t="n">
        <v>497</v>
      </c>
      <c r="B502" s="0" t="str">
        <f aca="false">IFERROR(MATCH($A502,ChalSeq,0),"")</f>
        <v/>
      </c>
      <c r="C502" s="0" t="str">
        <f aca="false">IF($B502="","",INDEX(ChalGroup,$B502))</f>
        <v/>
      </c>
      <c r="D502" s="0" t="str">
        <f aca="false">IF($B502="","",INDEX(ChalDivision,$B502))</f>
        <v/>
      </c>
      <c r="E502" s="0" t="str">
        <f aca="false">IF($B502="","",INDEX(ChalUnit,$B502))</f>
        <v/>
      </c>
      <c r="F502" s="0" t="str">
        <f aca="false">IF($B502="","",INDEX(ChalTitle,$B502))</f>
        <v/>
      </c>
      <c r="G502" s="0" t="str">
        <f aca="false">IF($B502="","",INDEX(ChalLevel,$B502))</f>
        <v/>
      </c>
      <c r="H502" s="0" t="str">
        <f aca="false">IF($B502="","",INDEX(BookFamily,$B502))</f>
        <v/>
      </c>
      <c r="I502" s="0" t="str">
        <f aca="false">IF($B502="","",INDEX(BookWorkerType,$B502))</f>
        <v/>
      </c>
      <c r="J502" s="56" t="str">
        <f aca="false">IF($B502="","",INDEX(ChalEffective,$B502))</f>
        <v/>
      </c>
      <c r="K502" s="0" t="str">
        <f aca="false">IF($B502="","",INDEX(ChalStart,$B502))</f>
        <v/>
      </c>
      <c r="L502" s="57" t="str">
        <f aca="false">IF($B502="","",INDEX(ChalInYear,$B502))</f>
        <v/>
      </c>
      <c r="M502" s="57" t="str">
        <f aca="false">IF($B502="","",INDEX(ChalRunRate,$B502))</f>
        <v/>
      </c>
      <c r="N502" s="0" t="str">
        <f aca="false">IF($B502="","",INDEX(BookDriver,$B502))</f>
        <v/>
      </c>
    </row>
    <row r="503" customFormat="false" ht="15" hidden="false" customHeight="false" outlineLevel="0" collapsed="false">
      <c r="A503" s="33" t="n">
        <v>498</v>
      </c>
      <c r="B503" s="0" t="str">
        <f aca="false">IFERROR(MATCH($A503,ChalSeq,0),"")</f>
        <v/>
      </c>
      <c r="C503" s="0" t="str">
        <f aca="false">IF($B503="","",INDEX(ChalGroup,$B503))</f>
        <v/>
      </c>
      <c r="D503" s="0" t="str">
        <f aca="false">IF($B503="","",INDEX(ChalDivision,$B503))</f>
        <v/>
      </c>
      <c r="E503" s="0" t="str">
        <f aca="false">IF($B503="","",INDEX(ChalUnit,$B503))</f>
        <v/>
      </c>
      <c r="F503" s="0" t="str">
        <f aca="false">IF($B503="","",INDEX(ChalTitle,$B503))</f>
        <v/>
      </c>
      <c r="G503" s="0" t="str">
        <f aca="false">IF($B503="","",INDEX(ChalLevel,$B503))</f>
        <v/>
      </c>
      <c r="H503" s="0" t="str">
        <f aca="false">IF($B503="","",INDEX(BookFamily,$B503))</f>
        <v/>
      </c>
      <c r="I503" s="0" t="str">
        <f aca="false">IF($B503="","",INDEX(BookWorkerType,$B503))</f>
        <v/>
      </c>
      <c r="J503" s="56" t="str">
        <f aca="false">IF($B503="","",INDEX(ChalEffective,$B503))</f>
        <v/>
      </c>
      <c r="K503" s="0" t="str">
        <f aca="false">IF($B503="","",INDEX(ChalStart,$B503))</f>
        <v/>
      </c>
      <c r="L503" s="57" t="str">
        <f aca="false">IF($B503="","",INDEX(ChalInYear,$B503))</f>
        <v/>
      </c>
      <c r="M503" s="57" t="str">
        <f aca="false">IF($B503="","",INDEX(ChalRunRate,$B503))</f>
        <v/>
      </c>
      <c r="N503" s="0" t="str">
        <f aca="false">IF($B503="","",INDEX(BookDriver,$B503))</f>
        <v/>
      </c>
    </row>
    <row r="504" customFormat="false" ht="15" hidden="false" customHeight="false" outlineLevel="0" collapsed="false">
      <c r="A504" s="33" t="n">
        <v>499</v>
      </c>
      <c r="B504" s="0" t="str">
        <f aca="false">IFERROR(MATCH($A504,ChalSeq,0),"")</f>
        <v/>
      </c>
      <c r="C504" s="0" t="str">
        <f aca="false">IF($B504="","",INDEX(ChalGroup,$B504))</f>
        <v/>
      </c>
      <c r="D504" s="0" t="str">
        <f aca="false">IF($B504="","",INDEX(ChalDivision,$B504))</f>
        <v/>
      </c>
      <c r="E504" s="0" t="str">
        <f aca="false">IF($B504="","",INDEX(ChalUnit,$B504))</f>
        <v/>
      </c>
      <c r="F504" s="0" t="str">
        <f aca="false">IF($B504="","",INDEX(ChalTitle,$B504))</f>
        <v/>
      </c>
      <c r="G504" s="0" t="str">
        <f aca="false">IF($B504="","",INDEX(ChalLevel,$B504))</f>
        <v/>
      </c>
      <c r="H504" s="0" t="str">
        <f aca="false">IF($B504="","",INDEX(BookFamily,$B504))</f>
        <v/>
      </c>
      <c r="I504" s="0" t="str">
        <f aca="false">IF($B504="","",INDEX(BookWorkerType,$B504))</f>
        <v/>
      </c>
      <c r="J504" s="56" t="str">
        <f aca="false">IF($B504="","",INDEX(ChalEffective,$B504))</f>
        <v/>
      </c>
      <c r="K504" s="0" t="str">
        <f aca="false">IF($B504="","",INDEX(ChalStart,$B504))</f>
        <v/>
      </c>
      <c r="L504" s="57" t="str">
        <f aca="false">IF($B504="","",INDEX(ChalInYear,$B504))</f>
        <v/>
      </c>
      <c r="M504" s="57" t="str">
        <f aca="false">IF($B504="","",INDEX(ChalRunRate,$B504))</f>
        <v/>
      </c>
      <c r="N504" s="0" t="str">
        <f aca="false">IF($B504="","",INDEX(BookDriver,$B504))</f>
        <v/>
      </c>
    </row>
    <row r="505" customFormat="false" ht="15" hidden="false" customHeight="false" outlineLevel="0" collapsed="false">
      <c r="A505" s="33" t="n">
        <v>500</v>
      </c>
      <c r="B505" s="0" t="str">
        <f aca="false">IFERROR(MATCH($A505,ChalSeq,0),"")</f>
        <v/>
      </c>
      <c r="C505" s="0" t="str">
        <f aca="false">IF($B505="","",INDEX(ChalGroup,$B505))</f>
        <v/>
      </c>
      <c r="D505" s="0" t="str">
        <f aca="false">IF($B505="","",INDEX(ChalDivision,$B505))</f>
        <v/>
      </c>
      <c r="E505" s="0" t="str">
        <f aca="false">IF($B505="","",INDEX(ChalUnit,$B505))</f>
        <v/>
      </c>
      <c r="F505" s="0" t="str">
        <f aca="false">IF($B505="","",INDEX(ChalTitle,$B505))</f>
        <v/>
      </c>
      <c r="G505" s="0" t="str">
        <f aca="false">IF($B505="","",INDEX(ChalLevel,$B505))</f>
        <v/>
      </c>
      <c r="H505" s="0" t="str">
        <f aca="false">IF($B505="","",INDEX(BookFamily,$B505))</f>
        <v/>
      </c>
      <c r="I505" s="0" t="str">
        <f aca="false">IF($B505="","",INDEX(BookWorkerType,$B505))</f>
        <v/>
      </c>
      <c r="J505" s="56" t="str">
        <f aca="false">IF($B505="","",INDEX(ChalEffective,$B505))</f>
        <v/>
      </c>
      <c r="K505" s="0" t="str">
        <f aca="false">IF($B505="","",INDEX(ChalStart,$B505))</f>
        <v/>
      </c>
      <c r="L505" s="57" t="str">
        <f aca="false">IF($B505="","",INDEX(ChalInYear,$B505))</f>
        <v/>
      </c>
      <c r="M505" s="57" t="str">
        <f aca="false">IF($B505="","",INDEX(ChalRunRate,$B505))</f>
        <v/>
      </c>
      <c r="N505" s="0" t="str">
        <f aca="false">IF($B505="","",INDEX(BookDriver,$B505))</f>
        <v/>
      </c>
    </row>
    <row r="506" customFormat="false" ht="15" hidden="false" customHeight="false" outlineLevel="0" collapsed="false">
      <c r="A506" s="33" t="n">
        <v>501</v>
      </c>
      <c r="B506" s="0" t="str">
        <f aca="false">IFERROR(MATCH($A506,ChalSeq,0),"")</f>
        <v/>
      </c>
      <c r="C506" s="0" t="str">
        <f aca="false">IF($B506="","",INDEX(ChalGroup,$B506))</f>
        <v/>
      </c>
      <c r="D506" s="0" t="str">
        <f aca="false">IF($B506="","",INDEX(ChalDivision,$B506))</f>
        <v/>
      </c>
      <c r="E506" s="0" t="str">
        <f aca="false">IF($B506="","",INDEX(ChalUnit,$B506))</f>
        <v/>
      </c>
      <c r="F506" s="0" t="str">
        <f aca="false">IF($B506="","",INDEX(ChalTitle,$B506))</f>
        <v/>
      </c>
      <c r="G506" s="0" t="str">
        <f aca="false">IF($B506="","",INDEX(ChalLevel,$B506))</f>
        <v/>
      </c>
      <c r="H506" s="0" t="str">
        <f aca="false">IF($B506="","",INDEX(BookFamily,$B506))</f>
        <v/>
      </c>
      <c r="I506" s="0" t="str">
        <f aca="false">IF($B506="","",INDEX(BookWorkerType,$B506))</f>
        <v/>
      </c>
      <c r="J506" s="56" t="str">
        <f aca="false">IF($B506="","",INDEX(ChalEffective,$B506))</f>
        <v/>
      </c>
      <c r="K506" s="0" t="str">
        <f aca="false">IF($B506="","",INDEX(ChalStart,$B506))</f>
        <v/>
      </c>
      <c r="L506" s="57" t="str">
        <f aca="false">IF($B506="","",INDEX(ChalInYear,$B506))</f>
        <v/>
      </c>
      <c r="M506" s="57" t="str">
        <f aca="false">IF($B506="","",INDEX(ChalRunRate,$B506))</f>
        <v/>
      </c>
      <c r="N506" s="0" t="str">
        <f aca="false">IF($B506="","",INDEX(BookDriver,$B506))</f>
        <v/>
      </c>
    </row>
    <row r="507" customFormat="false" ht="15" hidden="false" customHeight="false" outlineLevel="0" collapsed="false">
      <c r="A507" s="33" t="n">
        <v>502</v>
      </c>
      <c r="B507" s="0" t="str">
        <f aca="false">IFERROR(MATCH($A507,ChalSeq,0),"")</f>
        <v/>
      </c>
      <c r="C507" s="0" t="str">
        <f aca="false">IF($B507="","",INDEX(ChalGroup,$B507))</f>
        <v/>
      </c>
      <c r="D507" s="0" t="str">
        <f aca="false">IF($B507="","",INDEX(ChalDivision,$B507))</f>
        <v/>
      </c>
      <c r="E507" s="0" t="str">
        <f aca="false">IF($B507="","",INDEX(ChalUnit,$B507))</f>
        <v/>
      </c>
      <c r="F507" s="0" t="str">
        <f aca="false">IF($B507="","",INDEX(ChalTitle,$B507))</f>
        <v/>
      </c>
      <c r="G507" s="0" t="str">
        <f aca="false">IF($B507="","",INDEX(ChalLevel,$B507))</f>
        <v/>
      </c>
      <c r="H507" s="0" t="str">
        <f aca="false">IF($B507="","",INDEX(BookFamily,$B507))</f>
        <v/>
      </c>
      <c r="I507" s="0" t="str">
        <f aca="false">IF($B507="","",INDEX(BookWorkerType,$B507))</f>
        <v/>
      </c>
      <c r="J507" s="56" t="str">
        <f aca="false">IF($B507="","",INDEX(ChalEffective,$B507))</f>
        <v/>
      </c>
      <c r="K507" s="0" t="str">
        <f aca="false">IF($B507="","",INDEX(ChalStart,$B507))</f>
        <v/>
      </c>
      <c r="L507" s="57" t="str">
        <f aca="false">IF($B507="","",INDEX(ChalInYear,$B507))</f>
        <v/>
      </c>
      <c r="M507" s="57" t="str">
        <f aca="false">IF($B507="","",INDEX(ChalRunRate,$B507))</f>
        <v/>
      </c>
      <c r="N507" s="0" t="str">
        <f aca="false">IF($B507="","",INDEX(BookDriver,$B507))</f>
        <v/>
      </c>
    </row>
    <row r="508" customFormat="false" ht="15" hidden="false" customHeight="false" outlineLevel="0" collapsed="false">
      <c r="A508" s="33" t="n">
        <v>503</v>
      </c>
      <c r="B508" s="0" t="str">
        <f aca="false">IFERROR(MATCH($A508,ChalSeq,0),"")</f>
        <v/>
      </c>
      <c r="C508" s="0" t="str">
        <f aca="false">IF($B508="","",INDEX(ChalGroup,$B508))</f>
        <v/>
      </c>
      <c r="D508" s="0" t="str">
        <f aca="false">IF($B508="","",INDEX(ChalDivision,$B508))</f>
        <v/>
      </c>
      <c r="E508" s="0" t="str">
        <f aca="false">IF($B508="","",INDEX(ChalUnit,$B508))</f>
        <v/>
      </c>
      <c r="F508" s="0" t="str">
        <f aca="false">IF($B508="","",INDEX(ChalTitle,$B508))</f>
        <v/>
      </c>
      <c r="G508" s="0" t="str">
        <f aca="false">IF($B508="","",INDEX(ChalLevel,$B508))</f>
        <v/>
      </c>
      <c r="H508" s="0" t="str">
        <f aca="false">IF($B508="","",INDEX(BookFamily,$B508))</f>
        <v/>
      </c>
      <c r="I508" s="0" t="str">
        <f aca="false">IF($B508="","",INDEX(BookWorkerType,$B508))</f>
        <v/>
      </c>
      <c r="J508" s="56" t="str">
        <f aca="false">IF($B508="","",INDEX(ChalEffective,$B508))</f>
        <v/>
      </c>
      <c r="K508" s="0" t="str">
        <f aca="false">IF($B508="","",INDEX(ChalStart,$B508))</f>
        <v/>
      </c>
      <c r="L508" s="57" t="str">
        <f aca="false">IF($B508="","",INDEX(ChalInYear,$B508))</f>
        <v/>
      </c>
      <c r="M508" s="57" t="str">
        <f aca="false">IF($B508="","",INDEX(ChalRunRate,$B508))</f>
        <v/>
      </c>
      <c r="N508" s="0" t="str">
        <f aca="false">IF($B508="","",INDEX(BookDriver,$B508))</f>
        <v/>
      </c>
    </row>
    <row r="509" customFormat="false" ht="15" hidden="false" customHeight="false" outlineLevel="0" collapsed="false">
      <c r="A509" s="33" t="n">
        <v>504</v>
      </c>
      <c r="B509" s="0" t="str">
        <f aca="false">IFERROR(MATCH($A509,ChalSeq,0),"")</f>
        <v/>
      </c>
      <c r="C509" s="0" t="str">
        <f aca="false">IF($B509="","",INDEX(ChalGroup,$B509))</f>
        <v/>
      </c>
      <c r="D509" s="0" t="str">
        <f aca="false">IF($B509="","",INDEX(ChalDivision,$B509))</f>
        <v/>
      </c>
      <c r="E509" s="0" t="str">
        <f aca="false">IF($B509="","",INDEX(ChalUnit,$B509))</f>
        <v/>
      </c>
      <c r="F509" s="0" t="str">
        <f aca="false">IF($B509="","",INDEX(ChalTitle,$B509))</f>
        <v/>
      </c>
      <c r="G509" s="0" t="str">
        <f aca="false">IF($B509="","",INDEX(ChalLevel,$B509))</f>
        <v/>
      </c>
      <c r="H509" s="0" t="str">
        <f aca="false">IF($B509="","",INDEX(BookFamily,$B509))</f>
        <v/>
      </c>
      <c r="I509" s="0" t="str">
        <f aca="false">IF($B509="","",INDEX(BookWorkerType,$B509))</f>
        <v/>
      </c>
      <c r="J509" s="56" t="str">
        <f aca="false">IF($B509="","",INDEX(ChalEffective,$B509))</f>
        <v/>
      </c>
      <c r="K509" s="0" t="str">
        <f aca="false">IF($B509="","",INDEX(ChalStart,$B509))</f>
        <v/>
      </c>
      <c r="L509" s="57" t="str">
        <f aca="false">IF($B509="","",INDEX(ChalInYear,$B509))</f>
        <v/>
      </c>
      <c r="M509" s="57" t="str">
        <f aca="false">IF($B509="","",INDEX(ChalRunRate,$B509))</f>
        <v/>
      </c>
      <c r="N509" s="0" t="str">
        <f aca="false">IF($B509="","",INDEX(BookDriver,$B509))</f>
        <v/>
      </c>
    </row>
    <row r="510" customFormat="false" ht="15" hidden="false" customHeight="false" outlineLevel="0" collapsed="false">
      <c r="A510" s="33" t="n">
        <v>505</v>
      </c>
      <c r="B510" s="0" t="str">
        <f aca="false">IFERROR(MATCH($A510,ChalSeq,0),"")</f>
        <v/>
      </c>
      <c r="C510" s="0" t="str">
        <f aca="false">IF($B510="","",INDEX(ChalGroup,$B510))</f>
        <v/>
      </c>
      <c r="D510" s="0" t="str">
        <f aca="false">IF($B510="","",INDEX(ChalDivision,$B510))</f>
        <v/>
      </c>
      <c r="E510" s="0" t="str">
        <f aca="false">IF($B510="","",INDEX(ChalUnit,$B510))</f>
        <v/>
      </c>
      <c r="F510" s="0" t="str">
        <f aca="false">IF($B510="","",INDEX(ChalTitle,$B510))</f>
        <v/>
      </c>
      <c r="G510" s="0" t="str">
        <f aca="false">IF($B510="","",INDEX(ChalLevel,$B510))</f>
        <v/>
      </c>
      <c r="H510" s="0" t="str">
        <f aca="false">IF($B510="","",INDEX(BookFamily,$B510))</f>
        <v/>
      </c>
      <c r="I510" s="0" t="str">
        <f aca="false">IF($B510="","",INDEX(BookWorkerType,$B510))</f>
        <v/>
      </c>
      <c r="J510" s="56" t="str">
        <f aca="false">IF($B510="","",INDEX(ChalEffective,$B510))</f>
        <v/>
      </c>
      <c r="K510" s="0" t="str">
        <f aca="false">IF($B510="","",INDEX(ChalStart,$B510))</f>
        <v/>
      </c>
      <c r="L510" s="57" t="str">
        <f aca="false">IF($B510="","",INDEX(ChalInYear,$B510))</f>
        <v/>
      </c>
      <c r="M510" s="57" t="str">
        <f aca="false">IF($B510="","",INDEX(ChalRunRate,$B510))</f>
        <v/>
      </c>
      <c r="N510" s="0" t="str">
        <f aca="false">IF($B510="","",INDEX(BookDriver,$B510))</f>
        <v/>
      </c>
    </row>
    <row r="511" customFormat="false" ht="15" hidden="false" customHeight="false" outlineLevel="0" collapsed="false">
      <c r="A511" s="33" t="n">
        <v>506</v>
      </c>
      <c r="B511" s="0" t="str">
        <f aca="false">IFERROR(MATCH($A511,ChalSeq,0),"")</f>
        <v/>
      </c>
      <c r="C511" s="0" t="str">
        <f aca="false">IF($B511="","",INDEX(ChalGroup,$B511))</f>
        <v/>
      </c>
      <c r="D511" s="0" t="str">
        <f aca="false">IF($B511="","",INDEX(ChalDivision,$B511))</f>
        <v/>
      </c>
      <c r="E511" s="0" t="str">
        <f aca="false">IF($B511="","",INDEX(ChalUnit,$B511))</f>
        <v/>
      </c>
      <c r="F511" s="0" t="str">
        <f aca="false">IF($B511="","",INDEX(ChalTitle,$B511))</f>
        <v/>
      </c>
      <c r="G511" s="0" t="str">
        <f aca="false">IF($B511="","",INDEX(ChalLevel,$B511))</f>
        <v/>
      </c>
      <c r="H511" s="0" t="str">
        <f aca="false">IF($B511="","",INDEX(BookFamily,$B511))</f>
        <v/>
      </c>
      <c r="I511" s="0" t="str">
        <f aca="false">IF($B511="","",INDEX(BookWorkerType,$B511))</f>
        <v/>
      </c>
      <c r="J511" s="56" t="str">
        <f aca="false">IF($B511="","",INDEX(ChalEffective,$B511))</f>
        <v/>
      </c>
      <c r="K511" s="0" t="str">
        <f aca="false">IF($B511="","",INDEX(ChalStart,$B511))</f>
        <v/>
      </c>
      <c r="L511" s="57" t="str">
        <f aca="false">IF($B511="","",INDEX(ChalInYear,$B511))</f>
        <v/>
      </c>
      <c r="M511" s="57" t="str">
        <f aca="false">IF($B511="","",INDEX(ChalRunRate,$B511))</f>
        <v/>
      </c>
      <c r="N511" s="0" t="str">
        <f aca="false">IF($B511="","",INDEX(BookDriver,$B511))</f>
        <v/>
      </c>
    </row>
    <row r="512" customFormat="false" ht="15" hidden="false" customHeight="false" outlineLevel="0" collapsed="false">
      <c r="A512" s="33" t="n">
        <v>507</v>
      </c>
      <c r="B512" s="0" t="str">
        <f aca="false">IFERROR(MATCH($A512,ChalSeq,0),"")</f>
        <v/>
      </c>
      <c r="C512" s="0" t="str">
        <f aca="false">IF($B512="","",INDEX(ChalGroup,$B512))</f>
        <v/>
      </c>
      <c r="D512" s="0" t="str">
        <f aca="false">IF($B512="","",INDEX(ChalDivision,$B512))</f>
        <v/>
      </c>
      <c r="E512" s="0" t="str">
        <f aca="false">IF($B512="","",INDEX(ChalUnit,$B512))</f>
        <v/>
      </c>
      <c r="F512" s="0" t="str">
        <f aca="false">IF($B512="","",INDEX(ChalTitle,$B512))</f>
        <v/>
      </c>
      <c r="G512" s="0" t="str">
        <f aca="false">IF($B512="","",INDEX(ChalLevel,$B512))</f>
        <v/>
      </c>
      <c r="H512" s="0" t="str">
        <f aca="false">IF($B512="","",INDEX(BookFamily,$B512))</f>
        <v/>
      </c>
      <c r="I512" s="0" t="str">
        <f aca="false">IF($B512="","",INDEX(BookWorkerType,$B512))</f>
        <v/>
      </c>
      <c r="J512" s="56" t="str">
        <f aca="false">IF($B512="","",INDEX(ChalEffective,$B512))</f>
        <v/>
      </c>
      <c r="K512" s="0" t="str">
        <f aca="false">IF($B512="","",INDEX(ChalStart,$B512))</f>
        <v/>
      </c>
      <c r="L512" s="57" t="str">
        <f aca="false">IF($B512="","",INDEX(ChalInYear,$B512))</f>
        <v/>
      </c>
      <c r="M512" s="57" t="str">
        <f aca="false">IF($B512="","",INDEX(ChalRunRate,$B512))</f>
        <v/>
      </c>
      <c r="N512" s="0" t="str">
        <f aca="false">IF($B512="","",INDEX(BookDriver,$B512))</f>
        <v/>
      </c>
    </row>
    <row r="513" customFormat="false" ht="15" hidden="false" customHeight="false" outlineLevel="0" collapsed="false">
      <c r="A513" s="33" t="n">
        <v>508</v>
      </c>
      <c r="B513" s="0" t="str">
        <f aca="false">IFERROR(MATCH($A513,ChalSeq,0),"")</f>
        <v/>
      </c>
      <c r="C513" s="0" t="str">
        <f aca="false">IF($B513="","",INDEX(ChalGroup,$B513))</f>
        <v/>
      </c>
      <c r="D513" s="0" t="str">
        <f aca="false">IF($B513="","",INDEX(ChalDivision,$B513))</f>
        <v/>
      </c>
      <c r="E513" s="0" t="str">
        <f aca="false">IF($B513="","",INDEX(ChalUnit,$B513))</f>
        <v/>
      </c>
      <c r="F513" s="0" t="str">
        <f aca="false">IF($B513="","",INDEX(ChalTitle,$B513))</f>
        <v/>
      </c>
      <c r="G513" s="0" t="str">
        <f aca="false">IF($B513="","",INDEX(ChalLevel,$B513))</f>
        <v/>
      </c>
      <c r="H513" s="0" t="str">
        <f aca="false">IF($B513="","",INDEX(BookFamily,$B513))</f>
        <v/>
      </c>
      <c r="I513" s="0" t="str">
        <f aca="false">IF($B513="","",INDEX(BookWorkerType,$B513))</f>
        <v/>
      </c>
      <c r="J513" s="56" t="str">
        <f aca="false">IF($B513="","",INDEX(ChalEffective,$B513))</f>
        <v/>
      </c>
      <c r="K513" s="0" t="str">
        <f aca="false">IF($B513="","",INDEX(ChalStart,$B513))</f>
        <v/>
      </c>
      <c r="L513" s="57" t="str">
        <f aca="false">IF($B513="","",INDEX(ChalInYear,$B513))</f>
        <v/>
      </c>
      <c r="M513" s="57" t="str">
        <f aca="false">IF($B513="","",INDEX(ChalRunRate,$B513))</f>
        <v/>
      </c>
      <c r="N513" s="0" t="str">
        <f aca="false">IF($B513="","",INDEX(BookDriver,$B513))</f>
        <v/>
      </c>
    </row>
    <row r="514" customFormat="false" ht="15" hidden="false" customHeight="false" outlineLevel="0" collapsed="false">
      <c r="A514" s="33" t="n">
        <v>509</v>
      </c>
      <c r="B514" s="0" t="str">
        <f aca="false">IFERROR(MATCH($A514,ChalSeq,0),"")</f>
        <v/>
      </c>
      <c r="C514" s="0" t="str">
        <f aca="false">IF($B514="","",INDEX(ChalGroup,$B514))</f>
        <v/>
      </c>
      <c r="D514" s="0" t="str">
        <f aca="false">IF($B514="","",INDEX(ChalDivision,$B514))</f>
        <v/>
      </c>
      <c r="E514" s="0" t="str">
        <f aca="false">IF($B514="","",INDEX(ChalUnit,$B514))</f>
        <v/>
      </c>
      <c r="F514" s="0" t="str">
        <f aca="false">IF($B514="","",INDEX(ChalTitle,$B514))</f>
        <v/>
      </c>
      <c r="G514" s="0" t="str">
        <f aca="false">IF($B514="","",INDEX(ChalLevel,$B514))</f>
        <v/>
      </c>
      <c r="H514" s="0" t="str">
        <f aca="false">IF($B514="","",INDEX(BookFamily,$B514))</f>
        <v/>
      </c>
      <c r="I514" s="0" t="str">
        <f aca="false">IF($B514="","",INDEX(BookWorkerType,$B514))</f>
        <v/>
      </c>
      <c r="J514" s="56" t="str">
        <f aca="false">IF($B514="","",INDEX(ChalEffective,$B514))</f>
        <v/>
      </c>
      <c r="K514" s="0" t="str">
        <f aca="false">IF($B514="","",INDEX(ChalStart,$B514))</f>
        <v/>
      </c>
      <c r="L514" s="57" t="str">
        <f aca="false">IF($B514="","",INDEX(ChalInYear,$B514))</f>
        <v/>
      </c>
      <c r="M514" s="57" t="str">
        <f aca="false">IF($B514="","",INDEX(ChalRunRate,$B514))</f>
        <v/>
      </c>
      <c r="N514" s="0" t="str">
        <f aca="false">IF($B514="","",INDEX(BookDriver,$B514))</f>
        <v/>
      </c>
    </row>
    <row r="515" customFormat="false" ht="15" hidden="false" customHeight="false" outlineLevel="0" collapsed="false">
      <c r="A515" s="33" t="n">
        <v>510</v>
      </c>
      <c r="B515" s="0" t="str">
        <f aca="false">IFERROR(MATCH($A515,ChalSeq,0),"")</f>
        <v/>
      </c>
      <c r="C515" s="0" t="str">
        <f aca="false">IF($B515="","",INDEX(ChalGroup,$B515))</f>
        <v/>
      </c>
      <c r="D515" s="0" t="str">
        <f aca="false">IF($B515="","",INDEX(ChalDivision,$B515))</f>
        <v/>
      </c>
      <c r="E515" s="0" t="str">
        <f aca="false">IF($B515="","",INDEX(ChalUnit,$B515))</f>
        <v/>
      </c>
      <c r="F515" s="0" t="str">
        <f aca="false">IF($B515="","",INDEX(ChalTitle,$B515))</f>
        <v/>
      </c>
      <c r="G515" s="0" t="str">
        <f aca="false">IF($B515="","",INDEX(ChalLevel,$B515))</f>
        <v/>
      </c>
      <c r="H515" s="0" t="str">
        <f aca="false">IF($B515="","",INDEX(BookFamily,$B515))</f>
        <v/>
      </c>
      <c r="I515" s="0" t="str">
        <f aca="false">IF($B515="","",INDEX(BookWorkerType,$B515))</f>
        <v/>
      </c>
      <c r="J515" s="56" t="str">
        <f aca="false">IF($B515="","",INDEX(ChalEffective,$B515))</f>
        <v/>
      </c>
      <c r="K515" s="0" t="str">
        <f aca="false">IF($B515="","",INDEX(ChalStart,$B515))</f>
        <v/>
      </c>
      <c r="L515" s="57" t="str">
        <f aca="false">IF($B515="","",INDEX(ChalInYear,$B515))</f>
        <v/>
      </c>
      <c r="M515" s="57" t="str">
        <f aca="false">IF($B515="","",INDEX(ChalRunRate,$B515))</f>
        <v/>
      </c>
      <c r="N515" s="0" t="str">
        <f aca="false">IF($B515="","",INDEX(BookDriver,$B515))</f>
        <v/>
      </c>
    </row>
    <row r="516" customFormat="false" ht="15" hidden="false" customHeight="false" outlineLevel="0" collapsed="false">
      <c r="A516" s="33" t="n">
        <v>511</v>
      </c>
      <c r="B516" s="0" t="str">
        <f aca="false">IFERROR(MATCH($A516,ChalSeq,0),"")</f>
        <v/>
      </c>
      <c r="C516" s="0" t="str">
        <f aca="false">IF($B516="","",INDEX(ChalGroup,$B516))</f>
        <v/>
      </c>
      <c r="D516" s="0" t="str">
        <f aca="false">IF($B516="","",INDEX(ChalDivision,$B516))</f>
        <v/>
      </c>
      <c r="E516" s="0" t="str">
        <f aca="false">IF($B516="","",INDEX(ChalUnit,$B516))</f>
        <v/>
      </c>
      <c r="F516" s="0" t="str">
        <f aca="false">IF($B516="","",INDEX(ChalTitle,$B516))</f>
        <v/>
      </c>
      <c r="G516" s="0" t="str">
        <f aca="false">IF($B516="","",INDEX(ChalLevel,$B516))</f>
        <v/>
      </c>
      <c r="H516" s="0" t="str">
        <f aca="false">IF($B516="","",INDEX(BookFamily,$B516))</f>
        <v/>
      </c>
      <c r="I516" s="0" t="str">
        <f aca="false">IF($B516="","",INDEX(BookWorkerType,$B516))</f>
        <v/>
      </c>
      <c r="J516" s="56" t="str">
        <f aca="false">IF($B516="","",INDEX(ChalEffective,$B516))</f>
        <v/>
      </c>
      <c r="K516" s="0" t="str">
        <f aca="false">IF($B516="","",INDEX(ChalStart,$B516))</f>
        <v/>
      </c>
      <c r="L516" s="57" t="str">
        <f aca="false">IF($B516="","",INDEX(ChalInYear,$B516))</f>
        <v/>
      </c>
      <c r="M516" s="57" t="str">
        <f aca="false">IF($B516="","",INDEX(ChalRunRate,$B516))</f>
        <v/>
      </c>
      <c r="N516" s="0" t="str">
        <f aca="false">IF($B516="","",INDEX(BookDriver,$B516))</f>
        <v/>
      </c>
    </row>
    <row r="517" customFormat="false" ht="15" hidden="false" customHeight="false" outlineLevel="0" collapsed="false">
      <c r="A517" s="33" t="n">
        <v>512</v>
      </c>
      <c r="B517" s="0" t="str">
        <f aca="false">IFERROR(MATCH($A517,ChalSeq,0),"")</f>
        <v/>
      </c>
      <c r="C517" s="0" t="str">
        <f aca="false">IF($B517="","",INDEX(ChalGroup,$B517))</f>
        <v/>
      </c>
      <c r="D517" s="0" t="str">
        <f aca="false">IF($B517="","",INDEX(ChalDivision,$B517))</f>
        <v/>
      </c>
      <c r="E517" s="0" t="str">
        <f aca="false">IF($B517="","",INDEX(ChalUnit,$B517))</f>
        <v/>
      </c>
      <c r="F517" s="0" t="str">
        <f aca="false">IF($B517="","",INDEX(ChalTitle,$B517))</f>
        <v/>
      </c>
      <c r="G517" s="0" t="str">
        <f aca="false">IF($B517="","",INDEX(ChalLevel,$B517))</f>
        <v/>
      </c>
      <c r="H517" s="0" t="str">
        <f aca="false">IF($B517="","",INDEX(BookFamily,$B517))</f>
        <v/>
      </c>
      <c r="I517" s="0" t="str">
        <f aca="false">IF($B517="","",INDEX(BookWorkerType,$B517))</f>
        <v/>
      </c>
      <c r="J517" s="56" t="str">
        <f aca="false">IF($B517="","",INDEX(ChalEffective,$B517))</f>
        <v/>
      </c>
      <c r="K517" s="0" t="str">
        <f aca="false">IF($B517="","",INDEX(ChalStart,$B517))</f>
        <v/>
      </c>
      <c r="L517" s="57" t="str">
        <f aca="false">IF($B517="","",INDEX(ChalInYear,$B517))</f>
        <v/>
      </c>
      <c r="M517" s="57" t="str">
        <f aca="false">IF($B517="","",INDEX(ChalRunRate,$B517))</f>
        <v/>
      </c>
      <c r="N517" s="0" t="str">
        <f aca="false">IF($B517="","",INDEX(BookDriver,$B517))</f>
        <v/>
      </c>
    </row>
    <row r="518" customFormat="false" ht="15" hidden="false" customHeight="false" outlineLevel="0" collapsed="false">
      <c r="A518" s="33" t="n">
        <v>513</v>
      </c>
      <c r="B518" s="0" t="str">
        <f aca="false">IFERROR(MATCH($A518,ChalSeq,0),"")</f>
        <v/>
      </c>
      <c r="C518" s="0" t="str">
        <f aca="false">IF($B518="","",INDEX(ChalGroup,$B518))</f>
        <v/>
      </c>
      <c r="D518" s="0" t="str">
        <f aca="false">IF($B518="","",INDEX(ChalDivision,$B518))</f>
        <v/>
      </c>
      <c r="E518" s="0" t="str">
        <f aca="false">IF($B518="","",INDEX(ChalUnit,$B518))</f>
        <v/>
      </c>
      <c r="F518" s="0" t="str">
        <f aca="false">IF($B518="","",INDEX(ChalTitle,$B518))</f>
        <v/>
      </c>
      <c r="G518" s="0" t="str">
        <f aca="false">IF($B518="","",INDEX(ChalLevel,$B518))</f>
        <v/>
      </c>
      <c r="H518" s="0" t="str">
        <f aca="false">IF($B518="","",INDEX(BookFamily,$B518))</f>
        <v/>
      </c>
      <c r="I518" s="0" t="str">
        <f aca="false">IF($B518="","",INDEX(BookWorkerType,$B518))</f>
        <v/>
      </c>
      <c r="J518" s="56" t="str">
        <f aca="false">IF($B518="","",INDEX(ChalEffective,$B518))</f>
        <v/>
      </c>
      <c r="K518" s="0" t="str">
        <f aca="false">IF($B518="","",INDEX(ChalStart,$B518))</f>
        <v/>
      </c>
      <c r="L518" s="57" t="str">
        <f aca="false">IF($B518="","",INDEX(ChalInYear,$B518))</f>
        <v/>
      </c>
      <c r="M518" s="57" t="str">
        <f aca="false">IF($B518="","",INDEX(ChalRunRate,$B518))</f>
        <v/>
      </c>
      <c r="N518" s="0" t="str">
        <f aca="false">IF($B518="","",INDEX(BookDriver,$B518))</f>
        <v/>
      </c>
    </row>
    <row r="519" customFormat="false" ht="15" hidden="false" customHeight="false" outlineLevel="0" collapsed="false">
      <c r="A519" s="33" t="n">
        <v>514</v>
      </c>
      <c r="B519" s="0" t="str">
        <f aca="false">IFERROR(MATCH($A519,ChalSeq,0),"")</f>
        <v/>
      </c>
      <c r="C519" s="0" t="str">
        <f aca="false">IF($B519="","",INDEX(ChalGroup,$B519))</f>
        <v/>
      </c>
      <c r="D519" s="0" t="str">
        <f aca="false">IF($B519="","",INDEX(ChalDivision,$B519))</f>
        <v/>
      </c>
      <c r="E519" s="0" t="str">
        <f aca="false">IF($B519="","",INDEX(ChalUnit,$B519))</f>
        <v/>
      </c>
      <c r="F519" s="0" t="str">
        <f aca="false">IF($B519="","",INDEX(ChalTitle,$B519))</f>
        <v/>
      </c>
      <c r="G519" s="0" t="str">
        <f aca="false">IF($B519="","",INDEX(ChalLevel,$B519))</f>
        <v/>
      </c>
      <c r="H519" s="0" t="str">
        <f aca="false">IF($B519="","",INDEX(BookFamily,$B519))</f>
        <v/>
      </c>
      <c r="I519" s="0" t="str">
        <f aca="false">IF($B519="","",INDEX(BookWorkerType,$B519))</f>
        <v/>
      </c>
      <c r="J519" s="56" t="str">
        <f aca="false">IF($B519="","",INDEX(ChalEffective,$B519))</f>
        <v/>
      </c>
      <c r="K519" s="0" t="str">
        <f aca="false">IF($B519="","",INDEX(ChalStart,$B519))</f>
        <v/>
      </c>
      <c r="L519" s="57" t="str">
        <f aca="false">IF($B519="","",INDEX(ChalInYear,$B519))</f>
        <v/>
      </c>
      <c r="M519" s="57" t="str">
        <f aca="false">IF($B519="","",INDEX(ChalRunRate,$B519))</f>
        <v/>
      </c>
      <c r="N519" s="0" t="str">
        <f aca="false">IF($B519="","",INDEX(BookDriver,$B519))</f>
        <v/>
      </c>
    </row>
    <row r="520" customFormat="false" ht="15" hidden="false" customHeight="false" outlineLevel="0" collapsed="false">
      <c r="A520" s="33" t="n">
        <v>515</v>
      </c>
      <c r="B520" s="0" t="str">
        <f aca="false">IFERROR(MATCH($A520,ChalSeq,0),"")</f>
        <v/>
      </c>
      <c r="C520" s="0" t="str">
        <f aca="false">IF($B520="","",INDEX(ChalGroup,$B520))</f>
        <v/>
      </c>
      <c r="D520" s="0" t="str">
        <f aca="false">IF($B520="","",INDEX(ChalDivision,$B520))</f>
        <v/>
      </c>
      <c r="E520" s="0" t="str">
        <f aca="false">IF($B520="","",INDEX(ChalUnit,$B520))</f>
        <v/>
      </c>
      <c r="F520" s="0" t="str">
        <f aca="false">IF($B520="","",INDEX(ChalTitle,$B520))</f>
        <v/>
      </c>
      <c r="G520" s="0" t="str">
        <f aca="false">IF($B520="","",INDEX(ChalLevel,$B520))</f>
        <v/>
      </c>
      <c r="H520" s="0" t="str">
        <f aca="false">IF($B520="","",INDEX(BookFamily,$B520))</f>
        <v/>
      </c>
      <c r="I520" s="0" t="str">
        <f aca="false">IF($B520="","",INDEX(BookWorkerType,$B520))</f>
        <v/>
      </c>
      <c r="J520" s="56" t="str">
        <f aca="false">IF($B520="","",INDEX(ChalEffective,$B520))</f>
        <v/>
      </c>
      <c r="K520" s="0" t="str">
        <f aca="false">IF($B520="","",INDEX(ChalStart,$B520))</f>
        <v/>
      </c>
      <c r="L520" s="57" t="str">
        <f aca="false">IF($B520="","",INDEX(ChalInYear,$B520))</f>
        <v/>
      </c>
      <c r="M520" s="57" t="str">
        <f aca="false">IF($B520="","",INDEX(ChalRunRate,$B520))</f>
        <v/>
      </c>
      <c r="N520" s="0" t="str">
        <f aca="false">IF($B520="","",INDEX(BookDriver,$B520))</f>
        <v/>
      </c>
    </row>
    <row r="521" customFormat="false" ht="15" hidden="false" customHeight="false" outlineLevel="0" collapsed="false">
      <c r="A521" s="33" t="n">
        <v>516</v>
      </c>
      <c r="B521" s="0" t="str">
        <f aca="false">IFERROR(MATCH($A521,ChalSeq,0),"")</f>
        <v/>
      </c>
      <c r="C521" s="0" t="str">
        <f aca="false">IF($B521="","",INDEX(ChalGroup,$B521))</f>
        <v/>
      </c>
      <c r="D521" s="0" t="str">
        <f aca="false">IF($B521="","",INDEX(ChalDivision,$B521))</f>
        <v/>
      </c>
      <c r="E521" s="0" t="str">
        <f aca="false">IF($B521="","",INDEX(ChalUnit,$B521))</f>
        <v/>
      </c>
      <c r="F521" s="0" t="str">
        <f aca="false">IF($B521="","",INDEX(ChalTitle,$B521))</f>
        <v/>
      </c>
      <c r="G521" s="0" t="str">
        <f aca="false">IF($B521="","",INDEX(ChalLevel,$B521))</f>
        <v/>
      </c>
      <c r="H521" s="0" t="str">
        <f aca="false">IF($B521="","",INDEX(BookFamily,$B521))</f>
        <v/>
      </c>
      <c r="I521" s="0" t="str">
        <f aca="false">IF($B521="","",INDEX(BookWorkerType,$B521))</f>
        <v/>
      </c>
      <c r="J521" s="56" t="str">
        <f aca="false">IF($B521="","",INDEX(ChalEffective,$B521))</f>
        <v/>
      </c>
      <c r="K521" s="0" t="str">
        <f aca="false">IF($B521="","",INDEX(ChalStart,$B521))</f>
        <v/>
      </c>
      <c r="L521" s="57" t="str">
        <f aca="false">IF($B521="","",INDEX(ChalInYear,$B521))</f>
        <v/>
      </c>
      <c r="M521" s="57" t="str">
        <f aca="false">IF($B521="","",INDEX(ChalRunRate,$B521))</f>
        <v/>
      </c>
      <c r="N521" s="0" t="str">
        <f aca="false">IF($B521="","",INDEX(BookDriver,$B521))</f>
        <v/>
      </c>
    </row>
    <row r="522" customFormat="false" ht="15" hidden="false" customHeight="false" outlineLevel="0" collapsed="false">
      <c r="A522" s="33" t="n">
        <v>517</v>
      </c>
      <c r="B522" s="0" t="str">
        <f aca="false">IFERROR(MATCH($A522,ChalSeq,0),"")</f>
        <v/>
      </c>
      <c r="C522" s="0" t="str">
        <f aca="false">IF($B522="","",INDEX(ChalGroup,$B522))</f>
        <v/>
      </c>
      <c r="D522" s="0" t="str">
        <f aca="false">IF($B522="","",INDEX(ChalDivision,$B522))</f>
        <v/>
      </c>
      <c r="E522" s="0" t="str">
        <f aca="false">IF($B522="","",INDEX(ChalUnit,$B522))</f>
        <v/>
      </c>
      <c r="F522" s="0" t="str">
        <f aca="false">IF($B522="","",INDEX(ChalTitle,$B522))</f>
        <v/>
      </c>
      <c r="G522" s="0" t="str">
        <f aca="false">IF($B522="","",INDEX(ChalLevel,$B522))</f>
        <v/>
      </c>
      <c r="H522" s="0" t="str">
        <f aca="false">IF($B522="","",INDEX(BookFamily,$B522))</f>
        <v/>
      </c>
      <c r="I522" s="0" t="str">
        <f aca="false">IF($B522="","",INDEX(BookWorkerType,$B522))</f>
        <v/>
      </c>
      <c r="J522" s="56" t="str">
        <f aca="false">IF($B522="","",INDEX(ChalEffective,$B522))</f>
        <v/>
      </c>
      <c r="K522" s="0" t="str">
        <f aca="false">IF($B522="","",INDEX(ChalStart,$B522))</f>
        <v/>
      </c>
      <c r="L522" s="57" t="str">
        <f aca="false">IF($B522="","",INDEX(ChalInYear,$B522))</f>
        <v/>
      </c>
      <c r="M522" s="57" t="str">
        <f aca="false">IF($B522="","",INDEX(ChalRunRate,$B522))</f>
        <v/>
      </c>
      <c r="N522" s="0" t="str">
        <f aca="false">IF($B522="","",INDEX(BookDriver,$B522))</f>
        <v/>
      </c>
    </row>
    <row r="523" customFormat="false" ht="15" hidden="false" customHeight="false" outlineLevel="0" collapsed="false">
      <c r="A523" s="33" t="n">
        <v>518</v>
      </c>
      <c r="B523" s="0" t="str">
        <f aca="false">IFERROR(MATCH($A523,ChalSeq,0),"")</f>
        <v/>
      </c>
      <c r="C523" s="0" t="str">
        <f aca="false">IF($B523="","",INDEX(ChalGroup,$B523))</f>
        <v/>
      </c>
      <c r="D523" s="0" t="str">
        <f aca="false">IF($B523="","",INDEX(ChalDivision,$B523))</f>
        <v/>
      </c>
      <c r="E523" s="0" t="str">
        <f aca="false">IF($B523="","",INDEX(ChalUnit,$B523))</f>
        <v/>
      </c>
      <c r="F523" s="0" t="str">
        <f aca="false">IF($B523="","",INDEX(ChalTitle,$B523))</f>
        <v/>
      </c>
      <c r="G523" s="0" t="str">
        <f aca="false">IF($B523="","",INDEX(ChalLevel,$B523))</f>
        <v/>
      </c>
      <c r="H523" s="0" t="str">
        <f aca="false">IF($B523="","",INDEX(BookFamily,$B523))</f>
        <v/>
      </c>
      <c r="I523" s="0" t="str">
        <f aca="false">IF($B523="","",INDEX(BookWorkerType,$B523))</f>
        <v/>
      </c>
      <c r="J523" s="56" t="str">
        <f aca="false">IF($B523="","",INDEX(ChalEffective,$B523))</f>
        <v/>
      </c>
      <c r="K523" s="0" t="str">
        <f aca="false">IF($B523="","",INDEX(ChalStart,$B523))</f>
        <v/>
      </c>
      <c r="L523" s="57" t="str">
        <f aca="false">IF($B523="","",INDEX(ChalInYear,$B523))</f>
        <v/>
      </c>
      <c r="M523" s="57" t="str">
        <f aca="false">IF($B523="","",INDEX(ChalRunRate,$B523))</f>
        <v/>
      </c>
      <c r="N523" s="0" t="str">
        <f aca="false">IF($B523="","",INDEX(BookDriver,$B523))</f>
        <v/>
      </c>
    </row>
    <row r="524" customFormat="false" ht="15" hidden="false" customHeight="false" outlineLevel="0" collapsed="false">
      <c r="A524" s="33" t="n">
        <v>519</v>
      </c>
      <c r="B524" s="0" t="str">
        <f aca="false">IFERROR(MATCH($A524,ChalSeq,0),"")</f>
        <v/>
      </c>
      <c r="C524" s="0" t="str">
        <f aca="false">IF($B524="","",INDEX(ChalGroup,$B524))</f>
        <v/>
      </c>
      <c r="D524" s="0" t="str">
        <f aca="false">IF($B524="","",INDEX(ChalDivision,$B524))</f>
        <v/>
      </c>
      <c r="E524" s="0" t="str">
        <f aca="false">IF($B524="","",INDEX(ChalUnit,$B524))</f>
        <v/>
      </c>
      <c r="F524" s="0" t="str">
        <f aca="false">IF($B524="","",INDEX(ChalTitle,$B524))</f>
        <v/>
      </c>
      <c r="G524" s="0" t="str">
        <f aca="false">IF($B524="","",INDEX(ChalLevel,$B524))</f>
        <v/>
      </c>
      <c r="H524" s="0" t="str">
        <f aca="false">IF($B524="","",INDEX(BookFamily,$B524))</f>
        <v/>
      </c>
      <c r="I524" s="0" t="str">
        <f aca="false">IF($B524="","",INDEX(BookWorkerType,$B524))</f>
        <v/>
      </c>
      <c r="J524" s="56" t="str">
        <f aca="false">IF($B524="","",INDEX(ChalEffective,$B524))</f>
        <v/>
      </c>
      <c r="K524" s="0" t="str">
        <f aca="false">IF($B524="","",INDEX(ChalStart,$B524))</f>
        <v/>
      </c>
      <c r="L524" s="57" t="str">
        <f aca="false">IF($B524="","",INDEX(ChalInYear,$B524))</f>
        <v/>
      </c>
      <c r="M524" s="57" t="str">
        <f aca="false">IF($B524="","",INDEX(ChalRunRate,$B524))</f>
        <v/>
      </c>
      <c r="N524" s="0" t="str">
        <f aca="false">IF($B524="","",INDEX(BookDriver,$B524))</f>
        <v/>
      </c>
    </row>
    <row r="525" customFormat="false" ht="15" hidden="false" customHeight="false" outlineLevel="0" collapsed="false">
      <c r="A525" s="33" t="n">
        <v>520</v>
      </c>
      <c r="B525" s="0" t="str">
        <f aca="false">IFERROR(MATCH($A525,ChalSeq,0),"")</f>
        <v/>
      </c>
      <c r="C525" s="0" t="str">
        <f aca="false">IF($B525="","",INDEX(ChalGroup,$B525))</f>
        <v/>
      </c>
      <c r="D525" s="0" t="str">
        <f aca="false">IF($B525="","",INDEX(ChalDivision,$B525))</f>
        <v/>
      </c>
      <c r="E525" s="0" t="str">
        <f aca="false">IF($B525="","",INDEX(ChalUnit,$B525))</f>
        <v/>
      </c>
      <c r="F525" s="0" t="str">
        <f aca="false">IF($B525="","",INDEX(ChalTitle,$B525))</f>
        <v/>
      </c>
      <c r="G525" s="0" t="str">
        <f aca="false">IF($B525="","",INDEX(ChalLevel,$B525))</f>
        <v/>
      </c>
      <c r="H525" s="0" t="str">
        <f aca="false">IF($B525="","",INDEX(BookFamily,$B525))</f>
        <v/>
      </c>
      <c r="I525" s="0" t="str">
        <f aca="false">IF($B525="","",INDEX(BookWorkerType,$B525))</f>
        <v/>
      </c>
      <c r="J525" s="56" t="str">
        <f aca="false">IF($B525="","",INDEX(ChalEffective,$B525))</f>
        <v/>
      </c>
      <c r="K525" s="0" t="str">
        <f aca="false">IF($B525="","",INDEX(ChalStart,$B525))</f>
        <v/>
      </c>
      <c r="L525" s="57" t="str">
        <f aca="false">IF($B525="","",INDEX(ChalInYear,$B525))</f>
        <v/>
      </c>
      <c r="M525" s="57" t="str">
        <f aca="false">IF($B525="","",INDEX(ChalRunRate,$B525))</f>
        <v/>
      </c>
      <c r="N525" s="0" t="str">
        <f aca="false">IF($B525="","",INDEX(BookDriver,$B525))</f>
        <v/>
      </c>
    </row>
    <row r="526" customFormat="false" ht="15" hidden="false" customHeight="false" outlineLevel="0" collapsed="false">
      <c r="A526" s="33" t="n">
        <v>521</v>
      </c>
      <c r="B526" s="0" t="str">
        <f aca="false">IFERROR(MATCH($A526,ChalSeq,0),"")</f>
        <v/>
      </c>
      <c r="C526" s="0" t="str">
        <f aca="false">IF($B526="","",INDEX(ChalGroup,$B526))</f>
        <v/>
      </c>
      <c r="D526" s="0" t="str">
        <f aca="false">IF($B526="","",INDEX(ChalDivision,$B526))</f>
        <v/>
      </c>
      <c r="E526" s="0" t="str">
        <f aca="false">IF($B526="","",INDEX(ChalUnit,$B526))</f>
        <v/>
      </c>
      <c r="F526" s="0" t="str">
        <f aca="false">IF($B526="","",INDEX(ChalTitle,$B526))</f>
        <v/>
      </c>
      <c r="G526" s="0" t="str">
        <f aca="false">IF($B526="","",INDEX(ChalLevel,$B526))</f>
        <v/>
      </c>
      <c r="H526" s="0" t="str">
        <f aca="false">IF($B526="","",INDEX(BookFamily,$B526))</f>
        <v/>
      </c>
      <c r="I526" s="0" t="str">
        <f aca="false">IF($B526="","",INDEX(BookWorkerType,$B526))</f>
        <v/>
      </c>
      <c r="J526" s="56" t="str">
        <f aca="false">IF($B526="","",INDEX(ChalEffective,$B526))</f>
        <v/>
      </c>
      <c r="K526" s="0" t="str">
        <f aca="false">IF($B526="","",INDEX(ChalStart,$B526))</f>
        <v/>
      </c>
      <c r="L526" s="57" t="str">
        <f aca="false">IF($B526="","",INDEX(ChalInYear,$B526))</f>
        <v/>
      </c>
      <c r="M526" s="57" t="str">
        <f aca="false">IF($B526="","",INDEX(ChalRunRate,$B526))</f>
        <v/>
      </c>
      <c r="N526" s="0" t="str">
        <f aca="false">IF($B526="","",INDEX(BookDriver,$B526))</f>
        <v/>
      </c>
    </row>
    <row r="527" customFormat="false" ht="15" hidden="false" customHeight="false" outlineLevel="0" collapsed="false">
      <c r="A527" s="33" t="n">
        <v>522</v>
      </c>
      <c r="B527" s="0" t="str">
        <f aca="false">IFERROR(MATCH($A527,ChalSeq,0),"")</f>
        <v/>
      </c>
      <c r="C527" s="0" t="str">
        <f aca="false">IF($B527="","",INDEX(ChalGroup,$B527))</f>
        <v/>
      </c>
      <c r="D527" s="0" t="str">
        <f aca="false">IF($B527="","",INDEX(ChalDivision,$B527))</f>
        <v/>
      </c>
      <c r="E527" s="0" t="str">
        <f aca="false">IF($B527="","",INDEX(ChalUnit,$B527))</f>
        <v/>
      </c>
      <c r="F527" s="0" t="str">
        <f aca="false">IF($B527="","",INDEX(ChalTitle,$B527))</f>
        <v/>
      </c>
      <c r="G527" s="0" t="str">
        <f aca="false">IF($B527="","",INDEX(ChalLevel,$B527))</f>
        <v/>
      </c>
      <c r="H527" s="0" t="str">
        <f aca="false">IF($B527="","",INDEX(BookFamily,$B527))</f>
        <v/>
      </c>
      <c r="I527" s="0" t="str">
        <f aca="false">IF($B527="","",INDEX(BookWorkerType,$B527))</f>
        <v/>
      </c>
      <c r="J527" s="56" t="str">
        <f aca="false">IF($B527="","",INDEX(ChalEffective,$B527))</f>
        <v/>
      </c>
      <c r="K527" s="0" t="str">
        <f aca="false">IF($B527="","",INDEX(ChalStart,$B527))</f>
        <v/>
      </c>
      <c r="L527" s="57" t="str">
        <f aca="false">IF($B527="","",INDEX(ChalInYear,$B527))</f>
        <v/>
      </c>
      <c r="M527" s="57" t="str">
        <f aca="false">IF($B527="","",INDEX(ChalRunRate,$B527))</f>
        <v/>
      </c>
      <c r="N527" s="0" t="str">
        <f aca="false">IF($B527="","",INDEX(BookDriver,$B527))</f>
        <v/>
      </c>
    </row>
    <row r="528" customFormat="false" ht="15" hidden="false" customHeight="false" outlineLevel="0" collapsed="false">
      <c r="A528" s="33" t="n">
        <v>523</v>
      </c>
      <c r="B528" s="0" t="str">
        <f aca="false">IFERROR(MATCH($A528,ChalSeq,0),"")</f>
        <v/>
      </c>
      <c r="C528" s="0" t="str">
        <f aca="false">IF($B528="","",INDEX(ChalGroup,$B528))</f>
        <v/>
      </c>
      <c r="D528" s="0" t="str">
        <f aca="false">IF($B528="","",INDEX(ChalDivision,$B528))</f>
        <v/>
      </c>
      <c r="E528" s="0" t="str">
        <f aca="false">IF($B528="","",INDEX(ChalUnit,$B528))</f>
        <v/>
      </c>
      <c r="F528" s="0" t="str">
        <f aca="false">IF($B528="","",INDEX(ChalTitle,$B528))</f>
        <v/>
      </c>
      <c r="G528" s="0" t="str">
        <f aca="false">IF($B528="","",INDEX(ChalLevel,$B528))</f>
        <v/>
      </c>
      <c r="H528" s="0" t="str">
        <f aca="false">IF($B528="","",INDEX(BookFamily,$B528))</f>
        <v/>
      </c>
      <c r="I528" s="0" t="str">
        <f aca="false">IF($B528="","",INDEX(BookWorkerType,$B528))</f>
        <v/>
      </c>
      <c r="J528" s="56" t="str">
        <f aca="false">IF($B528="","",INDEX(ChalEffective,$B528))</f>
        <v/>
      </c>
      <c r="K528" s="0" t="str">
        <f aca="false">IF($B528="","",INDEX(ChalStart,$B528))</f>
        <v/>
      </c>
      <c r="L528" s="57" t="str">
        <f aca="false">IF($B528="","",INDEX(ChalInYear,$B528))</f>
        <v/>
      </c>
      <c r="M528" s="57" t="str">
        <f aca="false">IF($B528="","",INDEX(ChalRunRate,$B528))</f>
        <v/>
      </c>
      <c r="N528" s="0" t="str">
        <f aca="false">IF($B528="","",INDEX(BookDriver,$B528))</f>
        <v/>
      </c>
    </row>
    <row r="529" customFormat="false" ht="15" hidden="false" customHeight="false" outlineLevel="0" collapsed="false">
      <c r="A529" s="33" t="n">
        <v>524</v>
      </c>
      <c r="B529" s="0" t="str">
        <f aca="false">IFERROR(MATCH($A529,ChalSeq,0),"")</f>
        <v/>
      </c>
      <c r="C529" s="0" t="str">
        <f aca="false">IF($B529="","",INDEX(ChalGroup,$B529))</f>
        <v/>
      </c>
      <c r="D529" s="0" t="str">
        <f aca="false">IF($B529="","",INDEX(ChalDivision,$B529))</f>
        <v/>
      </c>
      <c r="E529" s="0" t="str">
        <f aca="false">IF($B529="","",INDEX(ChalUnit,$B529))</f>
        <v/>
      </c>
      <c r="F529" s="0" t="str">
        <f aca="false">IF($B529="","",INDEX(ChalTitle,$B529))</f>
        <v/>
      </c>
      <c r="G529" s="0" t="str">
        <f aca="false">IF($B529="","",INDEX(ChalLevel,$B529))</f>
        <v/>
      </c>
      <c r="H529" s="0" t="str">
        <f aca="false">IF($B529="","",INDEX(BookFamily,$B529))</f>
        <v/>
      </c>
      <c r="I529" s="0" t="str">
        <f aca="false">IF($B529="","",INDEX(BookWorkerType,$B529))</f>
        <v/>
      </c>
      <c r="J529" s="56" t="str">
        <f aca="false">IF($B529="","",INDEX(ChalEffective,$B529))</f>
        <v/>
      </c>
      <c r="K529" s="0" t="str">
        <f aca="false">IF($B529="","",INDEX(ChalStart,$B529))</f>
        <v/>
      </c>
      <c r="L529" s="57" t="str">
        <f aca="false">IF($B529="","",INDEX(ChalInYear,$B529))</f>
        <v/>
      </c>
      <c r="M529" s="57" t="str">
        <f aca="false">IF($B529="","",INDEX(ChalRunRate,$B529))</f>
        <v/>
      </c>
      <c r="N529" s="0" t="str">
        <f aca="false">IF($B529="","",INDEX(BookDriver,$B529))</f>
        <v/>
      </c>
    </row>
    <row r="530" customFormat="false" ht="15" hidden="false" customHeight="false" outlineLevel="0" collapsed="false">
      <c r="A530" s="33" t="n">
        <v>525</v>
      </c>
      <c r="B530" s="0" t="str">
        <f aca="false">IFERROR(MATCH($A530,ChalSeq,0),"")</f>
        <v/>
      </c>
      <c r="C530" s="0" t="str">
        <f aca="false">IF($B530="","",INDEX(ChalGroup,$B530))</f>
        <v/>
      </c>
      <c r="D530" s="0" t="str">
        <f aca="false">IF($B530="","",INDEX(ChalDivision,$B530))</f>
        <v/>
      </c>
      <c r="E530" s="0" t="str">
        <f aca="false">IF($B530="","",INDEX(ChalUnit,$B530))</f>
        <v/>
      </c>
      <c r="F530" s="0" t="str">
        <f aca="false">IF($B530="","",INDEX(ChalTitle,$B530))</f>
        <v/>
      </c>
      <c r="G530" s="0" t="str">
        <f aca="false">IF($B530="","",INDEX(ChalLevel,$B530))</f>
        <v/>
      </c>
      <c r="H530" s="0" t="str">
        <f aca="false">IF($B530="","",INDEX(BookFamily,$B530))</f>
        <v/>
      </c>
      <c r="I530" s="0" t="str">
        <f aca="false">IF($B530="","",INDEX(BookWorkerType,$B530))</f>
        <v/>
      </c>
      <c r="J530" s="56" t="str">
        <f aca="false">IF($B530="","",INDEX(ChalEffective,$B530))</f>
        <v/>
      </c>
      <c r="K530" s="0" t="str">
        <f aca="false">IF($B530="","",INDEX(ChalStart,$B530))</f>
        <v/>
      </c>
      <c r="L530" s="57" t="str">
        <f aca="false">IF($B530="","",INDEX(ChalInYear,$B530))</f>
        <v/>
      </c>
      <c r="M530" s="57" t="str">
        <f aca="false">IF($B530="","",INDEX(ChalRunRate,$B530))</f>
        <v/>
      </c>
      <c r="N530" s="0" t="str">
        <f aca="false">IF($B530="","",INDEX(BookDriver,$B530))</f>
        <v/>
      </c>
    </row>
    <row r="531" customFormat="false" ht="15" hidden="false" customHeight="false" outlineLevel="0" collapsed="false">
      <c r="A531" s="33" t="n">
        <v>526</v>
      </c>
      <c r="B531" s="0" t="str">
        <f aca="false">IFERROR(MATCH($A531,ChalSeq,0),"")</f>
        <v/>
      </c>
      <c r="C531" s="0" t="str">
        <f aca="false">IF($B531="","",INDEX(ChalGroup,$B531))</f>
        <v/>
      </c>
      <c r="D531" s="0" t="str">
        <f aca="false">IF($B531="","",INDEX(ChalDivision,$B531))</f>
        <v/>
      </c>
      <c r="E531" s="0" t="str">
        <f aca="false">IF($B531="","",INDEX(ChalUnit,$B531))</f>
        <v/>
      </c>
      <c r="F531" s="0" t="str">
        <f aca="false">IF($B531="","",INDEX(ChalTitle,$B531))</f>
        <v/>
      </c>
      <c r="G531" s="0" t="str">
        <f aca="false">IF($B531="","",INDEX(ChalLevel,$B531))</f>
        <v/>
      </c>
      <c r="H531" s="0" t="str">
        <f aca="false">IF($B531="","",INDEX(BookFamily,$B531))</f>
        <v/>
      </c>
      <c r="I531" s="0" t="str">
        <f aca="false">IF($B531="","",INDEX(BookWorkerType,$B531))</f>
        <v/>
      </c>
      <c r="J531" s="56" t="str">
        <f aca="false">IF($B531="","",INDEX(ChalEffective,$B531))</f>
        <v/>
      </c>
      <c r="K531" s="0" t="str">
        <f aca="false">IF($B531="","",INDEX(ChalStart,$B531))</f>
        <v/>
      </c>
      <c r="L531" s="57" t="str">
        <f aca="false">IF($B531="","",INDEX(ChalInYear,$B531))</f>
        <v/>
      </c>
      <c r="M531" s="57" t="str">
        <f aca="false">IF($B531="","",INDEX(ChalRunRate,$B531))</f>
        <v/>
      </c>
      <c r="N531" s="0" t="str">
        <f aca="false">IF($B531="","",INDEX(BookDriver,$B531))</f>
        <v/>
      </c>
    </row>
    <row r="532" customFormat="false" ht="15" hidden="false" customHeight="false" outlineLevel="0" collapsed="false">
      <c r="A532" s="33" t="n">
        <v>527</v>
      </c>
      <c r="B532" s="0" t="str">
        <f aca="false">IFERROR(MATCH($A532,ChalSeq,0),"")</f>
        <v/>
      </c>
      <c r="C532" s="0" t="str">
        <f aca="false">IF($B532="","",INDEX(ChalGroup,$B532))</f>
        <v/>
      </c>
      <c r="D532" s="0" t="str">
        <f aca="false">IF($B532="","",INDEX(ChalDivision,$B532))</f>
        <v/>
      </c>
      <c r="E532" s="0" t="str">
        <f aca="false">IF($B532="","",INDEX(ChalUnit,$B532))</f>
        <v/>
      </c>
      <c r="F532" s="0" t="str">
        <f aca="false">IF($B532="","",INDEX(ChalTitle,$B532))</f>
        <v/>
      </c>
      <c r="G532" s="0" t="str">
        <f aca="false">IF($B532="","",INDEX(ChalLevel,$B532))</f>
        <v/>
      </c>
      <c r="H532" s="0" t="str">
        <f aca="false">IF($B532="","",INDEX(BookFamily,$B532))</f>
        <v/>
      </c>
      <c r="I532" s="0" t="str">
        <f aca="false">IF($B532="","",INDEX(BookWorkerType,$B532))</f>
        <v/>
      </c>
      <c r="J532" s="56" t="str">
        <f aca="false">IF($B532="","",INDEX(ChalEffective,$B532))</f>
        <v/>
      </c>
      <c r="K532" s="0" t="str">
        <f aca="false">IF($B532="","",INDEX(ChalStart,$B532))</f>
        <v/>
      </c>
      <c r="L532" s="57" t="str">
        <f aca="false">IF($B532="","",INDEX(ChalInYear,$B532))</f>
        <v/>
      </c>
      <c r="M532" s="57" t="str">
        <f aca="false">IF($B532="","",INDEX(ChalRunRate,$B532))</f>
        <v/>
      </c>
      <c r="N532" s="0" t="str">
        <f aca="false">IF($B532="","",INDEX(BookDriver,$B532))</f>
        <v/>
      </c>
    </row>
    <row r="533" customFormat="false" ht="15" hidden="false" customHeight="false" outlineLevel="0" collapsed="false">
      <c r="A533" s="33" t="n">
        <v>528</v>
      </c>
      <c r="B533" s="0" t="str">
        <f aca="false">IFERROR(MATCH($A533,ChalSeq,0),"")</f>
        <v/>
      </c>
      <c r="C533" s="0" t="str">
        <f aca="false">IF($B533="","",INDEX(ChalGroup,$B533))</f>
        <v/>
      </c>
      <c r="D533" s="0" t="str">
        <f aca="false">IF($B533="","",INDEX(ChalDivision,$B533))</f>
        <v/>
      </c>
      <c r="E533" s="0" t="str">
        <f aca="false">IF($B533="","",INDEX(ChalUnit,$B533))</f>
        <v/>
      </c>
      <c r="F533" s="0" t="str">
        <f aca="false">IF($B533="","",INDEX(ChalTitle,$B533))</f>
        <v/>
      </c>
      <c r="G533" s="0" t="str">
        <f aca="false">IF($B533="","",INDEX(ChalLevel,$B533))</f>
        <v/>
      </c>
      <c r="H533" s="0" t="str">
        <f aca="false">IF($B533="","",INDEX(BookFamily,$B533))</f>
        <v/>
      </c>
      <c r="I533" s="0" t="str">
        <f aca="false">IF($B533="","",INDEX(BookWorkerType,$B533))</f>
        <v/>
      </c>
      <c r="J533" s="56" t="str">
        <f aca="false">IF($B533="","",INDEX(ChalEffective,$B533))</f>
        <v/>
      </c>
      <c r="K533" s="0" t="str">
        <f aca="false">IF($B533="","",INDEX(ChalStart,$B533))</f>
        <v/>
      </c>
      <c r="L533" s="57" t="str">
        <f aca="false">IF($B533="","",INDEX(ChalInYear,$B533))</f>
        <v/>
      </c>
      <c r="M533" s="57" t="str">
        <f aca="false">IF($B533="","",INDEX(ChalRunRate,$B533))</f>
        <v/>
      </c>
      <c r="N533" s="0" t="str">
        <f aca="false">IF($B533="","",INDEX(BookDriver,$B533))</f>
        <v/>
      </c>
    </row>
    <row r="534" customFormat="false" ht="15" hidden="false" customHeight="false" outlineLevel="0" collapsed="false">
      <c r="A534" s="33" t="n">
        <v>529</v>
      </c>
      <c r="B534" s="0" t="str">
        <f aca="false">IFERROR(MATCH($A534,ChalSeq,0),"")</f>
        <v/>
      </c>
      <c r="C534" s="0" t="str">
        <f aca="false">IF($B534="","",INDEX(ChalGroup,$B534))</f>
        <v/>
      </c>
      <c r="D534" s="0" t="str">
        <f aca="false">IF($B534="","",INDEX(ChalDivision,$B534))</f>
        <v/>
      </c>
      <c r="E534" s="0" t="str">
        <f aca="false">IF($B534="","",INDEX(ChalUnit,$B534))</f>
        <v/>
      </c>
      <c r="F534" s="0" t="str">
        <f aca="false">IF($B534="","",INDEX(ChalTitle,$B534))</f>
        <v/>
      </c>
      <c r="G534" s="0" t="str">
        <f aca="false">IF($B534="","",INDEX(ChalLevel,$B534))</f>
        <v/>
      </c>
      <c r="H534" s="0" t="str">
        <f aca="false">IF($B534="","",INDEX(BookFamily,$B534))</f>
        <v/>
      </c>
      <c r="I534" s="0" t="str">
        <f aca="false">IF($B534="","",INDEX(BookWorkerType,$B534))</f>
        <v/>
      </c>
      <c r="J534" s="56" t="str">
        <f aca="false">IF($B534="","",INDEX(ChalEffective,$B534))</f>
        <v/>
      </c>
      <c r="K534" s="0" t="str">
        <f aca="false">IF($B534="","",INDEX(ChalStart,$B534))</f>
        <v/>
      </c>
      <c r="L534" s="57" t="str">
        <f aca="false">IF($B534="","",INDEX(ChalInYear,$B534))</f>
        <v/>
      </c>
      <c r="M534" s="57" t="str">
        <f aca="false">IF($B534="","",INDEX(ChalRunRate,$B534))</f>
        <v/>
      </c>
      <c r="N534" s="0" t="str">
        <f aca="false">IF($B534="","",INDEX(BookDriver,$B534))</f>
        <v/>
      </c>
    </row>
    <row r="535" customFormat="false" ht="15" hidden="false" customHeight="false" outlineLevel="0" collapsed="false">
      <c r="A535" s="33" t="n">
        <v>530</v>
      </c>
      <c r="B535" s="0" t="str">
        <f aca="false">IFERROR(MATCH($A535,ChalSeq,0),"")</f>
        <v/>
      </c>
      <c r="C535" s="0" t="str">
        <f aca="false">IF($B535="","",INDEX(ChalGroup,$B535))</f>
        <v/>
      </c>
      <c r="D535" s="0" t="str">
        <f aca="false">IF($B535="","",INDEX(ChalDivision,$B535))</f>
        <v/>
      </c>
      <c r="E535" s="0" t="str">
        <f aca="false">IF($B535="","",INDEX(ChalUnit,$B535))</f>
        <v/>
      </c>
      <c r="F535" s="0" t="str">
        <f aca="false">IF($B535="","",INDEX(ChalTitle,$B535))</f>
        <v/>
      </c>
      <c r="G535" s="0" t="str">
        <f aca="false">IF($B535="","",INDEX(ChalLevel,$B535))</f>
        <v/>
      </c>
      <c r="H535" s="0" t="str">
        <f aca="false">IF($B535="","",INDEX(BookFamily,$B535))</f>
        <v/>
      </c>
      <c r="I535" s="0" t="str">
        <f aca="false">IF($B535="","",INDEX(BookWorkerType,$B535))</f>
        <v/>
      </c>
      <c r="J535" s="56" t="str">
        <f aca="false">IF($B535="","",INDEX(ChalEffective,$B535))</f>
        <v/>
      </c>
      <c r="K535" s="0" t="str">
        <f aca="false">IF($B535="","",INDEX(ChalStart,$B535))</f>
        <v/>
      </c>
      <c r="L535" s="57" t="str">
        <f aca="false">IF($B535="","",INDEX(ChalInYear,$B535))</f>
        <v/>
      </c>
      <c r="M535" s="57" t="str">
        <f aca="false">IF($B535="","",INDEX(ChalRunRate,$B535))</f>
        <v/>
      </c>
      <c r="N535" s="0" t="str">
        <f aca="false">IF($B535="","",INDEX(BookDriver,$B535))</f>
        <v/>
      </c>
    </row>
    <row r="536" customFormat="false" ht="15" hidden="false" customHeight="false" outlineLevel="0" collapsed="false">
      <c r="A536" s="33" t="n">
        <v>531</v>
      </c>
      <c r="B536" s="0" t="str">
        <f aca="false">IFERROR(MATCH($A536,ChalSeq,0),"")</f>
        <v/>
      </c>
      <c r="C536" s="0" t="str">
        <f aca="false">IF($B536="","",INDEX(ChalGroup,$B536))</f>
        <v/>
      </c>
      <c r="D536" s="0" t="str">
        <f aca="false">IF($B536="","",INDEX(ChalDivision,$B536))</f>
        <v/>
      </c>
      <c r="E536" s="0" t="str">
        <f aca="false">IF($B536="","",INDEX(ChalUnit,$B536))</f>
        <v/>
      </c>
      <c r="F536" s="0" t="str">
        <f aca="false">IF($B536="","",INDEX(ChalTitle,$B536))</f>
        <v/>
      </c>
      <c r="G536" s="0" t="str">
        <f aca="false">IF($B536="","",INDEX(ChalLevel,$B536))</f>
        <v/>
      </c>
      <c r="H536" s="0" t="str">
        <f aca="false">IF($B536="","",INDEX(BookFamily,$B536))</f>
        <v/>
      </c>
      <c r="I536" s="0" t="str">
        <f aca="false">IF($B536="","",INDEX(BookWorkerType,$B536))</f>
        <v/>
      </c>
      <c r="J536" s="56" t="str">
        <f aca="false">IF($B536="","",INDEX(ChalEffective,$B536))</f>
        <v/>
      </c>
      <c r="K536" s="0" t="str">
        <f aca="false">IF($B536="","",INDEX(ChalStart,$B536))</f>
        <v/>
      </c>
      <c r="L536" s="57" t="str">
        <f aca="false">IF($B536="","",INDEX(ChalInYear,$B536))</f>
        <v/>
      </c>
      <c r="M536" s="57" t="str">
        <f aca="false">IF($B536="","",INDEX(ChalRunRate,$B536))</f>
        <v/>
      </c>
      <c r="N536" s="0" t="str">
        <f aca="false">IF($B536="","",INDEX(BookDriver,$B536))</f>
        <v/>
      </c>
    </row>
    <row r="537" customFormat="false" ht="15" hidden="false" customHeight="false" outlineLevel="0" collapsed="false">
      <c r="A537" s="33" t="n">
        <v>532</v>
      </c>
      <c r="B537" s="0" t="str">
        <f aca="false">IFERROR(MATCH($A537,ChalSeq,0),"")</f>
        <v/>
      </c>
      <c r="C537" s="0" t="str">
        <f aca="false">IF($B537="","",INDEX(ChalGroup,$B537))</f>
        <v/>
      </c>
      <c r="D537" s="0" t="str">
        <f aca="false">IF($B537="","",INDEX(ChalDivision,$B537))</f>
        <v/>
      </c>
      <c r="E537" s="0" t="str">
        <f aca="false">IF($B537="","",INDEX(ChalUnit,$B537))</f>
        <v/>
      </c>
      <c r="F537" s="0" t="str">
        <f aca="false">IF($B537="","",INDEX(ChalTitle,$B537))</f>
        <v/>
      </c>
      <c r="G537" s="0" t="str">
        <f aca="false">IF($B537="","",INDEX(ChalLevel,$B537))</f>
        <v/>
      </c>
      <c r="H537" s="0" t="str">
        <f aca="false">IF($B537="","",INDEX(BookFamily,$B537))</f>
        <v/>
      </c>
      <c r="I537" s="0" t="str">
        <f aca="false">IF($B537="","",INDEX(BookWorkerType,$B537))</f>
        <v/>
      </c>
      <c r="J537" s="56" t="str">
        <f aca="false">IF($B537="","",INDEX(ChalEffective,$B537))</f>
        <v/>
      </c>
      <c r="K537" s="0" t="str">
        <f aca="false">IF($B537="","",INDEX(ChalStart,$B537))</f>
        <v/>
      </c>
      <c r="L537" s="57" t="str">
        <f aca="false">IF($B537="","",INDEX(ChalInYear,$B537))</f>
        <v/>
      </c>
      <c r="M537" s="57" t="str">
        <f aca="false">IF($B537="","",INDEX(ChalRunRate,$B537))</f>
        <v/>
      </c>
      <c r="N537" s="0" t="str">
        <f aca="false">IF($B537="","",INDEX(BookDriver,$B537))</f>
        <v/>
      </c>
    </row>
    <row r="538" customFormat="false" ht="15" hidden="false" customHeight="false" outlineLevel="0" collapsed="false">
      <c r="A538" s="33" t="n">
        <v>533</v>
      </c>
      <c r="B538" s="0" t="str">
        <f aca="false">IFERROR(MATCH($A538,ChalSeq,0),"")</f>
        <v/>
      </c>
      <c r="C538" s="0" t="str">
        <f aca="false">IF($B538="","",INDEX(ChalGroup,$B538))</f>
        <v/>
      </c>
      <c r="D538" s="0" t="str">
        <f aca="false">IF($B538="","",INDEX(ChalDivision,$B538))</f>
        <v/>
      </c>
      <c r="E538" s="0" t="str">
        <f aca="false">IF($B538="","",INDEX(ChalUnit,$B538))</f>
        <v/>
      </c>
      <c r="F538" s="0" t="str">
        <f aca="false">IF($B538="","",INDEX(ChalTitle,$B538))</f>
        <v/>
      </c>
      <c r="G538" s="0" t="str">
        <f aca="false">IF($B538="","",INDEX(ChalLevel,$B538))</f>
        <v/>
      </c>
      <c r="H538" s="0" t="str">
        <f aca="false">IF($B538="","",INDEX(BookFamily,$B538))</f>
        <v/>
      </c>
      <c r="I538" s="0" t="str">
        <f aca="false">IF($B538="","",INDEX(BookWorkerType,$B538))</f>
        <v/>
      </c>
      <c r="J538" s="56" t="str">
        <f aca="false">IF($B538="","",INDEX(ChalEffective,$B538))</f>
        <v/>
      </c>
      <c r="K538" s="0" t="str">
        <f aca="false">IF($B538="","",INDEX(ChalStart,$B538))</f>
        <v/>
      </c>
      <c r="L538" s="57" t="str">
        <f aca="false">IF($B538="","",INDEX(ChalInYear,$B538))</f>
        <v/>
      </c>
      <c r="M538" s="57" t="str">
        <f aca="false">IF($B538="","",INDEX(ChalRunRate,$B538))</f>
        <v/>
      </c>
      <c r="N538" s="0" t="str">
        <f aca="false">IF($B538="","",INDEX(BookDriver,$B538))</f>
        <v/>
      </c>
    </row>
    <row r="539" customFormat="false" ht="15" hidden="false" customHeight="false" outlineLevel="0" collapsed="false">
      <c r="A539" s="33" t="n">
        <v>534</v>
      </c>
      <c r="B539" s="0" t="str">
        <f aca="false">IFERROR(MATCH($A539,ChalSeq,0),"")</f>
        <v/>
      </c>
      <c r="C539" s="0" t="str">
        <f aca="false">IF($B539="","",INDEX(ChalGroup,$B539))</f>
        <v/>
      </c>
      <c r="D539" s="0" t="str">
        <f aca="false">IF($B539="","",INDEX(ChalDivision,$B539))</f>
        <v/>
      </c>
      <c r="E539" s="0" t="str">
        <f aca="false">IF($B539="","",INDEX(ChalUnit,$B539))</f>
        <v/>
      </c>
      <c r="F539" s="0" t="str">
        <f aca="false">IF($B539="","",INDEX(ChalTitle,$B539))</f>
        <v/>
      </c>
      <c r="G539" s="0" t="str">
        <f aca="false">IF($B539="","",INDEX(ChalLevel,$B539))</f>
        <v/>
      </c>
      <c r="H539" s="0" t="str">
        <f aca="false">IF($B539="","",INDEX(BookFamily,$B539))</f>
        <v/>
      </c>
      <c r="I539" s="0" t="str">
        <f aca="false">IF($B539="","",INDEX(BookWorkerType,$B539))</f>
        <v/>
      </c>
      <c r="J539" s="56" t="str">
        <f aca="false">IF($B539="","",INDEX(ChalEffective,$B539))</f>
        <v/>
      </c>
      <c r="K539" s="0" t="str">
        <f aca="false">IF($B539="","",INDEX(ChalStart,$B539))</f>
        <v/>
      </c>
      <c r="L539" s="57" t="str">
        <f aca="false">IF($B539="","",INDEX(ChalInYear,$B539))</f>
        <v/>
      </c>
      <c r="M539" s="57" t="str">
        <f aca="false">IF($B539="","",INDEX(ChalRunRate,$B539))</f>
        <v/>
      </c>
      <c r="N539" s="0" t="str">
        <f aca="false">IF($B539="","",INDEX(BookDriver,$B539))</f>
        <v/>
      </c>
    </row>
    <row r="540" customFormat="false" ht="15" hidden="false" customHeight="false" outlineLevel="0" collapsed="false">
      <c r="A540" s="33" t="n">
        <v>535</v>
      </c>
      <c r="B540" s="0" t="str">
        <f aca="false">IFERROR(MATCH($A540,ChalSeq,0),"")</f>
        <v/>
      </c>
      <c r="C540" s="0" t="str">
        <f aca="false">IF($B540="","",INDEX(ChalGroup,$B540))</f>
        <v/>
      </c>
      <c r="D540" s="0" t="str">
        <f aca="false">IF($B540="","",INDEX(ChalDivision,$B540))</f>
        <v/>
      </c>
      <c r="E540" s="0" t="str">
        <f aca="false">IF($B540="","",INDEX(ChalUnit,$B540))</f>
        <v/>
      </c>
      <c r="F540" s="0" t="str">
        <f aca="false">IF($B540="","",INDEX(ChalTitle,$B540))</f>
        <v/>
      </c>
      <c r="G540" s="0" t="str">
        <f aca="false">IF($B540="","",INDEX(ChalLevel,$B540))</f>
        <v/>
      </c>
      <c r="H540" s="0" t="str">
        <f aca="false">IF($B540="","",INDEX(BookFamily,$B540))</f>
        <v/>
      </c>
      <c r="I540" s="0" t="str">
        <f aca="false">IF($B540="","",INDEX(BookWorkerType,$B540))</f>
        <v/>
      </c>
      <c r="J540" s="56" t="str">
        <f aca="false">IF($B540="","",INDEX(ChalEffective,$B540))</f>
        <v/>
      </c>
      <c r="K540" s="0" t="str">
        <f aca="false">IF($B540="","",INDEX(ChalStart,$B540))</f>
        <v/>
      </c>
      <c r="L540" s="57" t="str">
        <f aca="false">IF($B540="","",INDEX(ChalInYear,$B540))</f>
        <v/>
      </c>
      <c r="M540" s="57" t="str">
        <f aca="false">IF($B540="","",INDEX(ChalRunRate,$B540))</f>
        <v/>
      </c>
      <c r="N540" s="0" t="str">
        <f aca="false">IF($B540="","",INDEX(BookDriver,$B540))</f>
        <v/>
      </c>
    </row>
    <row r="541" customFormat="false" ht="15" hidden="false" customHeight="false" outlineLevel="0" collapsed="false">
      <c r="A541" s="33" t="n">
        <v>536</v>
      </c>
      <c r="B541" s="0" t="str">
        <f aca="false">IFERROR(MATCH($A541,ChalSeq,0),"")</f>
        <v/>
      </c>
      <c r="C541" s="0" t="str">
        <f aca="false">IF($B541="","",INDEX(ChalGroup,$B541))</f>
        <v/>
      </c>
      <c r="D541" s="0" t="str">
        <f aca="false">IF($B541="","",INDEX(ChalDivision,$B541))</f>
        <v/>
      </c>
      <c r="E541" s="0" t="str">
        <f aca="false">IF($B541="","",INDEX(ChalUnit,$B541))</f>
        <v/>
      </c>
      <c r="F541" s="0" t="str">
        <f aca="false">IF($B541="","",INDEX(ChalTitle,$B541))</f>
        <v/>
      </c>
      <c r="G541" s="0" t="str">
        <f aca="false">IF($B541="","",INDEX(ChalLevel,$B541))</f>
        <v/>
      </c>
      <c r="H541" s="0" t="str">
        <f aca="false">IF($B541="","",INDEX(BookFamily,$B541))</f>
        <v/>
      </c>
      <c r="I541" s="0" t="str">
        <f aca="false">IF($B541="","",INDEX(BookWorkerType,$B541))</f>
        <v/>
      </c>
      <c r="J541" s="56" t="str">
        <f aca="false">IF($B541="","",INDEX(ChalEffective,$B541))</f>
        <v/>
      </c>
      <c r="K541" s="0" t="str">
        <f aca="false">IF($B541="","",INDEX(ChalStart,$B541))</f>
        <v/>
      </c>
      <c r="L541" s="57" t="str">
        <f aca="false">IF($B541="","",INDEX(ChalInYear,$B541))</f>
        <v/>
      </c>
      <c r="M541" s="57" t="str">
        <f aca="false">IF($B541="","",INDEX(ChalRunRate,$B541))</f>
        <v/>
      </c>
      <c r="N541" s="0" t="str">
        <f aca="false">IF($B541="","",INDEX(BookDriver,$B541))</f>
        <v/>
      </c>
    </row>
    <row r="542" customFormat="false" ht="15" hidden="false" customHeight="false" outlineLevel="0" collapsed="false">
      <c r="A542" s="33" t="n">
        <v>537</v>
      </c>
      <c r="B542" s="0" t="str">
        <f aca="false">IFERROR(MATCH($A542,ChalSeq,0),"")</f>
        <v/>
      </c>
      <c r="C542" s="0" t="str">
        <f aca="false">IF($B542="","",INDEX(ChalGroup,$B542))</f>
        <v/>
      </c>
      <c r="D542" s="0" t="str">
        <f aca="false">IF($B542="","",INDEX(ChalDivision,$B542))</f>
        <v/>
      </c>
      <c r="E542" s="0" t="str">
        <f aca="false">IF($B542="","",INDEX(ChalUnit,$B542))</f>
        <v/>
      </c>
      <c r="F542" s="0" t="str">
        <f aca="false">IF($B542="","",INDEX(ChalTitle,$B542))</f>
        <v/>
      </c>
      <c r="G542" s="0" t="str">
        <f aca="false">IF($B542="","",INDEX(ChalLevel,$B542))</f>
        <v/>
      </c>
      <c r="H542" s="0" t="str">
        <f aca="false">IF($B542="","",INDEX(BookFamily,$B542))</f>
        <v/>
      </c>
      <c r="I542" s="0" t="str">
        <f aca="false">IF($B542="","",INDEX(BookWorkerType,$B542))</f>
        <v/>
      </c>
      <c r="J542" s="56" t="str">
        <f aca="false">IF($B542="","",INDEX(ChalEffective,$B542))</f>
        <v/>
      </c>
      <c r="K542" s="0" t="str">
        <f aca="false">IF($B542="","",INDEX(ChalStart,$B542))</f>
        <v/>
      </c>
      <c r="L542" s="57" t="str">
        <f aca="false">IF($B542="","",INDEX(ChalInYear,$B542))</f>
        <v/>
      </c>
      <c r="M542" s="57" t="str">
        <f aca="false">IF($B542="","",INDEX(ChalRunRate,$B542))</f>
        <v/>
      </c>
      <c r="N542" s="0" t="str">
        <f aca="false">IF($B542="","",INDEX(BookDriver,$B542))</f>
        <v/>
      </c>
    </row>
    <row r="543" customFormat="false" ht="15" hidden="false" customHeight="false" outlineLevel="0" collapsed="false">
      <c r="A543" s="33" t="n">
        <v>538</v>
      </c>
      <c r="B543" s="0" t="str">
        <f aca="false">IFERROR(MATCH($A543,ChalSeq,0),"")</f>
        <v/>
      </c>
      <c r="C543" s="0" t="str">
        <f aca="false">IF($B543="","",INDEX(ChalGroup,$B543))</f>
        <v/>
      </c>
      <c r="D543" s="0" t="str">
        <f aca="false">IF($B543="","",INDEX(ChalDivision,$B543))</f>
        <v/>
      </c>
      <c r="E543" s="0" t="str">
        <f aca="false">IF($B543="","",INDEX(ChalUnit,$B543))</f>
        <v/>
      </c>
      <c r="F543" s="0" t="str">
        <f aca="false">IF($B543="","",INDEX(ChalTitle,$B543))</f>
        <v/>
      </c>
      <c r="G543" s="0" t="str">
        <f aca="false">IF($B543="","",INDEX(ChalLevel,$B543))</f>
        <v/>
      </c>
      <c r="H543" s="0" t="str">
        <f aca="false">IF($B543="","",INDEX(BookFamily,$B543))</f>
        <v/>
      </c>
      <c r="I543" s="0" t="str">
        <f aca="false">IF($B543="","",INDEX(BookWorkerType,$B543))</f>
        <v/>
      </c>
      <c r="J543" s="56" t="str">
        <f aca="false">IF($B543="","",INDEX(ChalEffective,$B543))</f>
        <v/>
      </c>
      <c r="K543" s="0" t="str">
        <f aca="false">IF($B543="","",INDEX(ChalStart,$B543))</f>
        <v/>
      </c>
      <c r="L543" s="57" t="str">
        <f aca="false">IF($B543="","",INDEX(ChalInYear,$B543))</f>
        <v/>
      </c>
      <c r="M543" s="57" t="str">
        <f aca="false">IF($B543="","",INDEX(ChalRunRate,$B543))</f>
        <v/>
      </c>
      <c r="N543" s="0" t="str">
        <f aca="false">IF($B543="","",INDEX(BookDriver,$B543))</f>
        <v/>
      </c>
    </row>
    <row r="544" customFormat="false" ht="15" hidden="false" customHeight="false" outlineLevel="0" collapsed="false">
      <c r="A544" s="33" t="n">
        <v>539</v>
      </c>
      <c r="B544" s="0" t="str">
        <f aca="false">IFERROR(MATCH($A544,ChalSeq,0),"")</f>
        <v/>
      </c>
      <c r="C544" s="0" t="str">
        <f aca="false">IF($B544="","",INDEX(ChalGroup,$B544))</f>
        <v/>
      </c>
      <c r="D544" s="0" t="str">
        <f aca="false">IF($B544="","",INDEX(ChalDivision,$B544))</f>
        <v/>
      </c>
      <c r="E544" s="0" t="str">
        <f aca="false">IF($B544="","",INDEX(ChalUnit,$B544))</f>
        <v/>
      </c>
      <c r="F544" s="0" t="str">
        <f aca="false">IF($B544="","",INDEX(ChalTitle,$B544))</f>
        <v/>
      </c>
      <c r="G544" s="0" t="str">
        <f aca="false">IF($B544="","",INDEX(ChalLevel,$B544))</f>
        <v/>
      </c>
      <c r="H544" s="0" t="str">
        <f aca="false">IF($B544="","",INDEX(BookFamily,$B544))</f>
        <v/>
      </c>
      <c r="I544" s="0" t="str">
        <f aca="false">IF($B544="","",INDEX(BookWorkerType,$B544))</f>
        <v/>
      </c>
      <c r="J544" s="56" t="str">
        <f aca="false">IF($B544="","",INDEX(ChalEffective,$B544))</f>
        <v/>
      </c>
      <c r="K544" s="0" t="str">
        <f aca="false">IF($B544="","",INDEX(ChalStart,$B544))</f>
        <v/>
      </c>
      <c r="L544" s="57" t="str">
        <f aca="false">IF($B544="","",INDEX(ChalInYear,$B544))</f>
        <v/>
      </c>
      <c r="M544" s="57" t="str">
        <f aca="false">IF($B544="","",INDEX(ChalRunRate,$B544))</f>
        <v/>
      </c>
      <c r="N544" s="0" t="str">
        <f aca="false">IF($B544="","",INDEX(BookDriver,$B544))</f>
        <v/>
      </c>
    </row>
    <row r="545" customFormat="false" ht="15" hidden="false" customHeight="false" outlineLevel="0" collapsed="false">
      <c r="A545" s="33" t="n">
        <v>540</v>
      </c>
      <c r="B545" s="0" t="str">
        <f aca="false">IFERROR(MATCH($A545,ChalSeq,0),"")</f>
        <v/>
      </c>
      <c r="C545" s="0" t="str">
        <f aca="false">IF($B545="","",INDEX(ChalGroup,$B545))</f>
        <v/>
      </c>
      <c r="D545" s="0" t="str">
        <f aca="false">IF($B545="","",INDEX(ChalDivision,$B545))</f>
        <v/>
      </c>
      <c r="E545" s="0" t="str">
        <f aca="false">IF($B545="","",INDEX(ChalUnit,$B545))</f>
        <v/>
      </c>
      <c r="F545" s="0" t="str">
        <f aca="false">IF($B545="","",INDEX(ChalTitle,$B545))</f>
        <v/>
      </c>
      <c r="G545" s="0" t="str">
        <f aca="false">IF($B545="","",INDEX(ChalLevel,$B545))</f>
        <v/>
      </c>
      <c r="H545" s="0" t="str">
        <f aca="false">IF($B545="","",INDEX(BookFamily,$B545))</f>
        <v/>
      </c>
      <c r="I545" s="0" t="str">
        <f aca="false">IF($B545="","",INDEX(BookWorkerType,$B545))</f>
        <v/>
      </c>
      <c r="J545" s="56" t="str">
        <f aca="false">IF($B545="","",INDEX(ChalEffective,$B545))</f>
        <v/>
      </c>
      <c r="K545" s="0" t="str">
        <f aca="false">IF($B545="","",INDEX(ChalStart,$B545))</f>
        <v/>
      </c>
      <c r="L545" s="57" t="str">
        <f aca="false">IF($B545="","",INDEX(ChalInYear,$B545))</f>
        <v/>
      </c>
      <c r="M545" s="57" t="str">
        <f aca="false">IF($B545="","",INDEX(ChalRunRate,$B545))</f>
        <v/>
      </c>
      <c r="N545" s="0" t="str">
        <f aca="false">IF($B545="","",INDEX(BookDriver,$B545))</f>
        <v/>
      </c>
    </row>
    <row r="546" customFormat="false" ht="15" hidden="false" customHeight="false" outlineLevel="0" collapsed="false">
      <c r="A546" s="33" t="n">
        <v>541</v>
      </c>
      <c r="B546" s="0" t="str">
        <f aca="false">IFERROR(MATCH($A546,ChalSeq,0),"")</f>
        <v/>
      </c>
      <c r="C546" s="0" t="str">
        <f aca="false">IF($B546="","",INDEX(ChalGroup,$B546))</f>
        <v/>
      </c>
      <c r="D546" s="0" t="str">
        <f aca="false">IF($B546="","",INDEX(ChalDivision,$B546))</f>
        <v/>
      </c>
      <c r="E546" s="0" t="str">
        <f aca="false">IF($B546="","",INDEX(ChalUnit,$B546))</f>
        <v/>
      </c>
      <c r="F546" s="0" t="str">
        <f aca="false">IF($B546="","",INDEX(ChalTitle,$B546))</f>
        <v/>
      </c>
      <c r="G546" s="0" t="str">
        <f aca="false">IF($B546="","",INDEX(ChalLevel,$B546))</f>
        <v/>
      </c>
      <c r="H546" s="0" t="str">
        <f aca="false">IF($B546="","",INDEX(BookFamily,$B546))</f>
        <v/>
      </c>
      <c r="I546" s="0" t="str">
        <f aca="false">IF($B546="","",INDEX(BookWorkerType,$B546))</f>
        <v/>
      </c>
      <c r="J546" s="56" t="str">
        <f aca="false">IF($B546="","",INDEX(ChalEffective,$B546))</f>
        <v/>
      </c>
      <c r="K546" s="0" t="str">
        <f aca="false">IF($B546="","",INDEX(ChalStart,$B546))</f>
        <v/>
      </c>
      <c r="L546" s="57" t="str">
        <f aca="false">IF($B546="","",INDEX(ChalInYear,$B546))</f>
        <v/>
      </c>
      <c r="M546" s="57" t="str">
        <f aca="false">IF($B546="","",INDEX(ChalRunRate,$B546))</f>
        <v/>
      </c>
      <c r="N546" s="0" t="str">
        <f aca="false">IF($B546="","",INDEX(BookDriver,$B546))</f>
        <v/>
      </c>
    </row>
    <row r="547" customFormat="false" ht="15" hidden="false" customHeight="false" outlineLevel="0" collapsed="false">
      <c r="A547" s="33" t="n">
        <v>542</v>
      </c>
      <c r="B547" s="0" t="str">
        <f aca="false">IFERROR(MATCH($A547,ChalSeq,0),"")</f>
        <v/>
      </c>
      <c r="C547" s="0" t="str">
        <f aca="false">IF($B547="","",INDEX(ChalGroup,$B547))</f>
        <v/>
      </c>
      <c r="D547" s="0" t="str">
        <f aca="false">IF($B547="","",INDEX(ChalDivision,$B547))</f>
        <v/>
      </c>
      <c r="E547" s="0" t="str">
        <f aca="false">IF($B547="","",INDEX(ChalUnit,$B547))</f>
        <v/>
      </c>
      <c r="F547" s="0" t="str">
        <f aca="false">IF($B547="","",INDEX(ChalTitle,$B547))</f>
        <v/>
      </c>
      <c r="G547" s="0" t="str">
        <f aca="false">IF($B547="","",INDEX(ChalLevel,$B547))</f>
        <v/>
      </c>
      <c r="H547" s="0" t="str">
        <f aca="false">IF($B547="","",INDEX(BookFamily,$B547))</f>
        <v/>
      </c>
      <c r="I547" s="0" t="str">
        <f aca="false">IF($B547="","",INDEX(BookWorkerType,$B547))</f>
        <v/>
      </c>
      <c r="J547" s="56" t="str">
        <f aca="false">IF($B547="","",INDEX(ChalEffective,$B547))</f>
        <v/>
      </c>
      <c r="K547" s="0" t="str">
        <f aca="false">IF($B547="","",INDEX(ChalStart,$B547))</f>
        <v/>
      </c>
      <c r="L547" s="57" t="str">
        <f aca="false">IF($B547="","",INDEX(ChalInYear,$B547))</f>
        <v/>
      </c>
      <c r="M547" s="57" t="str">
        <f aca="false">IF($B547="","",INDEX(ChalRunRate,$B547))</f>
        <v/>
      </c>
      <c r="N547" s="0" t="str">
        <f aca="false">IF($B547="","",INDEX(BookDriver,$B547))</f>
        <v/>
      </c>
    </row>
    <row r="548" customFormat="false" ht="15" hidden="false" customHeight="false" outlineLevel="0" collapsed="false">
      <c r="A548" s="33" t="n">
        <v>543</v>
      </c>
      <c r="B548" s="0" t="str">
        <f aca="false">IFERROR(MATCH($A548,ChalSeq,0),"")</f>
        <v/>
      </c>
      <c r="C548" s="0" t="str">
        <f aca="false">IF($B548="","",INDEX(ChalGroup,$B548))</f>
        <v/>
      </c>
      <c r="D548" s="0" t="str">
        <f aca="false">IF($B548="","",INDEX(ChalDivision,$B548))</f>
        <v/>
      </c>
      <c r="E548" s="0" t="str">
        <f aca="false">IF($B548="","",INDEX(ChalUnit,$B548))</f>
        <v/>
      </c>
      <c r="F548" s="0" t="str">
        <f aca="false">IF($B548="","",INDEX(ChalTitle,$B548))</f>
        <v/>
      </c>
      <c r="G548" s="0" t="str">
        <f aca="false">IF($B548="","",INDEX(ChalLevel,$B548))</f>
        <v/>
      </c>
      <c r="H548" s="0" t="str">
        <f aca="false">IF($B548="","",INDEX(BookFamily,$B548))</f>
        <v/>
      </c>
      <c r="I548" s="0" t="str">
        <f aca="false">IF($B548="","",INDEX(BookWorkerType,$B548))</f>
        <v/>
      </c>
      <c r="J548" s="56" t="str">
        <f aca="false">IF($B548="","",INDEX(ChalEffective,$B548))</f>
        <v/>
      </c>
      <c r="K548" s="0" t="str">
        <f aca="false">IF($B548="","",INDEX(ChalStart,$B548))</f>
        <v/>
      </c>
      <c r="L548" s="57" t="str">
        <f aca="false">IF($B548="","",INDEX(ChalInYear,$B548))</f>
        <v/>
      </c>
      <c r="M548" s="57" t="str">
        <f aca="false">IF($B548="","",INDEX(ChalRunRate,$B548))</f>
        <v/>
      </c>
      <c r="N548" s="0" t="str">
        <f aca="false">IF($B548="","",INDEX(BookDriver,$B548))</f>
        <v/>
      </c>
    </row>
    <row r="549" customFormat="false" ht="15" hidden="false" customHeight="false" outlineLevel="0" collapsed="false">
      <c r="A549" s="33" t="n">
        <v>544</v>
      </c>
      <c r="B549" s="0" t="str">
        <f aca="false">IFERROR(MATCH($A549,ChalSeq,0),"")</f>
        <v/>
      </c>
      <c r="C549" s="0" t="str">
        <f aca="false">IF($B549="","",INDEX(ChalGroup,$B549))</f>
        <v/>
      </c>
      <c r="D549" s="0" t="str">
        <f aca="false">IF($B549="","",INDEX(ChalDivision,$B549))</f>
        <v/>
      </c>
      <c r="E549" s="0" t="str">
        <f aca="false">IF($B549="","",INDEX(ChalUnit,$B549))</f>
        <v/>
      </c>
      <c r="F549" s="0" t="str">
        <f aca="false">IF($B549="","",INDEX(ChalTitle,$B549))</f>
        <v/>
      </c>
      <c r="G549" s="0" t="str">
        <f aca="false">IF($B549="","",INDEX(ChalLevel,$B549))</f>
        <v/>
      </c>
      <c r="H549" s="0" t="str">
        <f aca="false">IF($B549="","",INDEX(BookFamily,$B549))</f>
        <v/>
      </c>
      <c r="I549" s="0" t="str">
        <f aca="false">IF($B549="","",INDEX(BookWorkerType,$B549))</f>
        <v/>
      </c>
      <c r="J549" s="56" t="str">
        <f aca="false">IF($B549="","",INDEX(ChalEffective,$B549))</f>
        <v/>
      </c>
      <c r="K549" s="0" t="str">
        <f aca="false">IF($B549="","",INDEX(ChalStart,$B549))</f>
        <v/>
      </c>
      <c r="L549" s="57" t="str">
        <f aca="false">IF($B549="","",INDEX(ChalInYear,$B549))</f>
        <v/>
      </c>
      <c r="M549" s="57" t="str">
        <f aca="false">IF($B549="","",INDEX(ChalRunRate,$B549))</f>
        <v/>
      </c>
      <c r="N549" s="0" t="str">
        <f aca="false">IF($B549="","",INDEX(BookDriver,$B549))</f>
        <v/>
      </c>
    </row>
    <row r="550" customFormat="false" ht="15" hidden="false" customHeight="false" outlineLevel="0" collapsed="false">
      <c r="A550" s="33" t="n">
        <v>545</v>
      </c>
      <c r="B550" s="0" t="str">
        <f aca="false">IFERROR(MATCH($A550,ChalSeq,0),"")</f>
        <v/>
      </c>
      <c r="C550" s="0" t="str">
        <f aca="false">IF($B550="","",INDEX(ChalGroup,$B550))</f>
        <v/>
      </c>
      <c r="D550" s="0" t="str">
        <f aca="false">IF($B550="","",INDEX(ChalDivision,$B550))</f>
        <v/>
      </c>
      <c r="E550" s="0" t="str">
        <f aca="false">IF($B550="","",INDEX(ChalUnit,$B550))</f>
        <v/>
      </c>
      <c r="F550" s="0" t="str">
        <f aca="false">IF($B550="","",INDEX(ChalTitle,$B550))</f>
        <v/>
      </c>
      <c r="G550" s="0" t="str">
        <f aca="false">IF($B550="","",INDEX(ChalLevel,$B550))</f>
        <v/>
      </c>
      <c r="H550" s="0" t="str">
        <f aca="false">IF($B550="","",INDEX(BookFamily,$B550))</f>
        <v/>
      </c>
      <c r="I550" s="0" t="str">
        <f aca="false">IF($B550="","",INDEX(BookWorkerType,$B550))</f>
        <v/>
      </c>
      <c r="J550" s="56" t="str">
        <f aca="false">IF($B550="","",INDEX(ChalEffective,$B550))</f>
        <v/>
      </c>
      <c r="K550" s="0" t="str">
        <f aca="false">IF($B550="","",INDEX(ChalStart,$B550))</f>
        <v/>
      </c>
      <c r="L550" s="57" t="str">
        <f aca="false">IF($B550="","",INDEX(ChalInYear,$B550))</f>
        <v/>
      </c>
      <c r="M550" s="57" t="str">
        <f aca="false">IF($B550="","",INDEX(ChalRunRate,$B550))</f>
        <v/>
      </c>
      <c r="N550" s="0" t="str">
        <f aca="false">IF($B550="","",INDEX(BookDriver,$B550))</f>
        <v/>
      </c>
    </row>
    <row r="551" customFormat="false" ht="15" hidden="false" customHeight="false" outlineLevel="0" collapsed="false">
      <c r="A551" s="33" t="n">
        <v>546</v>
      </c>
      <c r="B551" s="0" t="str">
        <f aca="false">IFERROR(MATCH($A551,ChalSeq,0),"")</f>
        <v/>
      </c>
      <c r="C551" s="0" t="str">
        <f aca="false">IF($B551="","",INDEX(ChalGroup,$B551))</f>
        <v/>
      </c>
      <c r="D551" s="0" t="str">
        <f aca="false">IF($B551="","",INDEX(ChalDivision,$B551))</f>
        <v/>
      </c>
      <c r="E551" s="0" t="str">
        <f aca="false">IF($B551="","",INDEX(ChalUnit,$B551))</f>
        <v/>
      </c>
      <c r="F551" s="0" t="str">
        <f aca="false">IF($B551="","",INDEX(ChalTitle,$B551))</f>
        <v/>
      </c>
      <c r="G551" s="0" t="str">
        <f aca="false">IF($B551="","",INDEX(ChalLevel,$B551))</f>
        <v/>
      </c>
      <c r="H551" s="0" t="str">
        <f aca="false">IF($B551="","",INDEX(BookFamily,$B551))</f>
        <v/>
      </c>
      <c r="I551" s="0" t="str">
        <f aca="false">IF($B551="","",INDEX(BookWorkerType,$B551))</f>
        <v/>
      </c>
      <c r="J551" s="56" t="str">
        <f aca="false">IF($B551="","",INDEX(ChalEffective,$B551))</f>
        <v/>
      </c>
      <c r="K551" s="0" t="str">
        <f aca="false">IF($B551="","",INDEX(ChalStart,$B551))</f>
        <v/>
      </c>
      <c r="L551" s="57" t="str">
        <f aca="false">IF($B551="","",INDEX(ChalInYear,$B551))</f>
        <v/>
      </c>
      <c r="M551" s="57" t="str">
        <f aca="false">IF($B551="","",INDEX(ChalRunRate,$B551))</f>
        <v/>
      </c>
      <c r="N551" s="0" t="str">
        <f aca="false">IF($B551="","",INDEX(BookDriver,$B551))</f>
        <v/>
      </c>
    </row>
    <row r="552" customFormat="false" ht="15" hidden="false" customHeight="false" outlineLevel="0" collapsed="false">
      <c r="A552" s="33" t="n">
        <v>547</v>
      </c>
      <c r="B552" s="0" t="str">
        <f aca="false">IFERROR(MATCH($A552,ChalSeq,0),"")</f>
        <v/>
      </c>
      <c r="C552" s="0" t="str">
        <f aca="false">IF($B552="","",INDEX(ChalGroup,$B552))</f>
        <v/>
      </c>
      <c r="D552" s="0" t="str">
        <f aca="false">IF($B552="","",INDEX(ChalDivision,$B552))</f>
        <v/>
      </c>
      <c r="E552" s="0" t="str">
        <f aca="false">IF($B552="","",INDEX(ChalUnit,$B552))</f>
        <v/>
      </c>
      <c r="F552" s="0" t="str">
        <f aca="false">IF($B552="","",INDEX(ChalTitle,$B552))</f>
        <v/>
      </c>
      <c r="G552" s="0" t="str">
        <f aca="false">IF($B552="","",INDEX(ChalLevel,$B552))</f>
        <v/>
      </c>
      <c r="H552" s="0" t="str">
        <f aca="false">IF($B552="","",INDEX(BookFamily,$B552))</f>
        <v/>
      </c>
      <c r="I552" s="0" t="str">
        <f aca="false">IF($B552="","",INDEX(BookWorkerType,$B552))</f>
        <v/>
      </c>
      <c r="J552" s="56" t="str">
        <f aca="false">IF($B552="","",INDEX(ChalEffective,$B552))</f>
        <v/>
      </c>
      <c r="K552" s="0" t="str">
        <f aca="false">IF($B552="","",INDEX(ChalStart,$B552))</f>
        <v/>
      </c>
      <c r="L552" s="57" t="str">
        <f aca="false">IF($B552="","",INDEX(ChalInYear,$B552))</f>
        <v/>
      </c>
      <c r="M552" s="57" t="str">
        <f aca="false">IF($B552="","",INDEX(ChalRunRate,$B552))</f>
        <v/>
      </c>
      <c r="N552" s="0" t="str">
        <f aca="false">IF($B552="","",INDEX(BookDriver,$B552))</f>
        <v/>
      </c>
    </row>
    <row r="553" customFormat="false" ht="15" hidden="false" customHeight="false" outlineLevel="0" collapsed="false">
      <c r="A553" s="33" t="n">
        <v>548</v>
      </c>
      <c r="B553" s="0" t="str">
        <f aca="false">IFERROR(MATCH($A553,ChalSeq,0),"")</f>
        <v/>
      </c>
      <c r="C553" s="0" t="str">
        <f aca="false">IF($B553="","",INDEX(ChalGroup,$B553))</f>
        <v/>
      </c>
      <c r="D553" s="0" t="str">
        <f aca="false">IF($B553="","",INDEX(ChalDivision,$B553))</f>
        <v/>
      </c>
      <c r="E553" s="0" t="str">
        <f aca="false">IF($B553="","",INDEX(ChalUnit,$B553))</f>
        <v/>
      </c>
      <c r="F553" s="0" t="str">
        <f aca="false">IF($B553="","",INDEX(ChalTitle,$B553))</f>
        <v/>
      </c>
      <c r="G553" s="0" t="str">
        <f aca="false">IF($B553="","",INDEX(ChalLevel,$B553))</f>
        <v/>
      </c>
      <c r="H553" s="0" t="str">
        <f aca="false">IF($B553="","",INDEX(BookFamily,$B553))</f>
        <v/>
      </c>
      <c r="I553" s="0" t="str">
        <f aca="false">IF($B553="","",INDEX(BookWorkerType,$B553))</f>
        <v/>
      </c>
      <c r="J553" s="56" t="str">
        <f aca="false">IF($B553="","",INDEX(ChalEffective,$B553))</f>
        <v/>
      </c>
      <c r="K553" s="0" t="str">
        <f aca="false">IF($B553="","",INDEX(ChalStart,$B553))</f>
        <v/>
      </c>
      <c r="L553" s="57" t="str">
        <f aca="false">IF($B553="","",INDEX(ChalInYear,$B553))</f>
        <v/>
      </c>
      <c r="M553" s="57" t="str">
        <f aca="false">IF($B553="","",INDEX(ChalRunRate,$B553))</f>
        <v/>
      </c>
      <c r="N553" s="0" t="str">
        <f aca="false">IF($B553="","",INDEX(BookDriver,$B553))</f>
        <v/>
      </c>
    </row>
    <row r="554" customFormat="false" ht="15" hidden="false" customHeight="false" outlineLevel="0" collapsed="false">
      <c r="A554" s="33" t="n">
        <v>549</v>
      </c>
      <c r="B554" s="0" t="str">
        <f aca="false">IFERROR(MATCH($A554,ChalSeq,0),"")</f>
        <v/>
      </c>
      <c r="C554" s="0" t="str">
        <f aca="false">IF($B554="","",INDEX(ChalGroup,$B554))</f>
        <v/>
      </c>
      <c r="D554" s="0" t="str">
        <f aca="false">IF($B554="","",INDEX(ChalDivision,$B554))</f>
        <v/>
      </c>
      <c r="E554" s="0" t="str">
        <f aca="false">IF($B554="","",INDEX(ChalUnit,$B554))</f>
        <v/>
      </c>
      <c r="F554" s="0" t="str">
        <f aca="false">IF($B554="","",INDEX(ChalTitle,$B554))</f>
        <v/>
      </c>
      <c r="G554" s="0" t="str">
        <f aca="false">IF($B554="","",INDEX(ChalLevel,$B554))</f>
        <v/>
      </c>
      <c r="H554" s="0" t="str">
        <f aca="false">IF($B554="","",INDEX(BookFamily,$B554))</f>
        <v/>
      </c>
      <c r="I554" s="0" t="str">
        <f aca="false">IF($B554="","",INDEX(BookWorkerType,$B554))</f>
        <v/>
      </c>
      <c r="J554" s="56" t="str">
        <f aca="false">IF($B554="","",INDEX(ChalEffective,$B554))</f>
        <v/>
      </c>
      <c r="K554" s="0" t="str">
        <f aca="false">IF($B554="","",INDEX(ChalStart,$B554))</f>
        <v/>
      </c>
      <c r="L554" s="57" t="str">
        <f aca="false">IF($B554="","",INDEX(ChalInYear,$B554))</f>
        <v/>
      </c>
      <c r="M554" s="57" t="str">
        <f aca="false">IF($B554="","",INDEX(ChalRunRate,$B554))</f>
        <v/>
      </c>
      <c r="N554" s="0" t="str">
        <f aca="false">IF($B554="","",INDEX(BookDriver,$B554))</f>
        <v/>
      </c>
    </row>
    <row r="555" customFormat="false" ht="15" hidden="false" customHeight="false" outlineLevel="0" collapsed="false">
      <c r="A555" s="33" t="n">
        <v>550</v>
      </c>
      <c r="B555" s="0" t="str">
        <f aca="false">IFERROR(MATCH($A555,ChalSeq,0),"")</f>
        <v/>
      </c>
      <c r="C555" s="0" t="str">
        <f aca="false">IF($B555="","",INDEX(ChalGroup,$B555))</f>
        <v/>
      </c>
      <c r="D555" s="0" t="str">
        <f aca="false">IF($B555="","",INDEX(ChalDivision,$B555))</f>
        <v/>
      </c>
      <c r="E555" s="0" t="str">
        <f aca="false">IF($B555="","",INDEX(ChalUnit,$B555))</f>
        <v/>
      </c>
      <c r="F555" s="0" t="str">
        <f aca="false">IF($B555="","",INDEX(ChalTitle,$B555))</f>
        <v/>
      </c>
      <c r="G555" s="0" t="str">
        <f aca="false">IF($B555="","",INDEX(ChalLevel,$B555))</f>
        <v/>
      </c>
      <c r="H555" s="0" t="str">
        <f aca="false">IF($B555="","",INDEX(BookFamily,$B555))</f>
        <v/>
      </c>
      <c r="I555" s="0" t="str">
        <f aca="false">IF($B555="","",INDEX(BookWorkerType,$B555))</f>
        <v/>
      </c>
      <c r="J555" s="56" t="str">
        <f aca="false">IF($B555="","",INDEX(ChalEffective,$B555))</f>
        <v/>
      </c>
      <c r="K555" s="0" t="str">
        <f aca="false">IF($B555="","",INDEX(ChalStart,$B555))</f>
        <v/>
      </c>
      <c r="L555" s="57" t="str">
        <f aca="false">IF($B555="","",INDEX(ChalInYear,$B555))</f>
        <v/>
      </c>
      <c r="M555" s="57" t="str">
        <f aca="false">IF($B555="","",INDEX(ChalRunRate,$B555))</f>
        <v/>
      </c>
      <c r="N555" s="0" t="str">
        <f aca="false">IF($B555="","",INDEX(BookDriver,$B555))</f>
        <v/>
      </c>
    </row>
    <row r="556" customFormat="false" ht="15" hidden="false" customHeight="false" outlineLevel="0" collapsed="false">
      <c r="A556" s="33" t="n">
        <v>551</v>
      </c>
      <c r="B556" s="0" t="str">
        <f aca="false">IFERROR(MATCH($A556,ChalSeq,0),"")</f>
        <v/>
      </c>
      <c r="C556" s="0" t="str">
        <f aca="false">IF($B556="","",INDEX(ChalGroup,$B556))</f>
        <v/>
      </c>
      <c r="D556" s="0" t="str">
        <f aca="false">IF($B556="","",INDEX(ChalDivision,$B556))</f>
        <v/>
      </c>
      <c r="E556" s="0" t="str">
        <f aca="false">IF($B556="","",INDEX(ChalUnit,$B556))</f>
        <v/>
      </c>
      <c r="F556" s="0" t="str">
        <f aca="false">IF($B556="","",INDEX(ChalTitle,$B556))</f>
        <v/>
      </c>
      <c r="G556" s="0" t="str">
        <f aca="false">IF($B556="","",INDEX(ChalLevel,$B556))</f>
        <v/>
      </c>
      <c r="H556" s="0" t="str">
        <f aca="false">IF($B556="","",INDEX(BookFamily,$B556))</f>
        <v/>
      </c>
      <c r="I556" s="0" t="str">
        <f aca="false">IF($B556="","",INDEX(BookWorkerType,$B556))</f>
        <v/>
      </c>
      <c r="J556" s="56" t="str">
        <f aca="false">IF($B556="","",INDEX(ChalEffective,$B556))</f>
        <v/>
      </c>
      <c r="K556" s="0" t="str">
        <f aca="false">IF($B556="","",INDEX(ChalStart,$B556))</f>
        <v/>
      </c>
      <c r="L556" s="57" t="str">
        <f aca="false">IF($B556="","",INDEX(ChalInYear,$B556))</f>
        <v/>
      </c>
      <c r="M556" s="57" t="str">
        <f aca="false">IF($B556="","",INDEX(ChalRunRate,$B556))</f>
        <v/>
      </c>
      <c r="N556" s="0" t="str">
        <f aca="false">IF($B556="","",INDEX(BookDriver,$B556))</f>
        <v/>
      </c>
    </row>
    <row r="557" customFormat="false" ht="15" hidden="false" customHeight="false" outlineLevel="0" collapsed="false">
      <c r="A557" s="33" t="n">
        <v>552</v>
      </c>
      <c r="B557" s="0" t="str">
        <f aca="false">IFERROR(MATCH($A557,ChalSeq,0),"")</f>
        <v/>
      </c>
      <c r="C557" s="0" t="str">
        <f aca="false">IF($B557="","",INDEX(ChalGroup,$B557))</f>
        <v/>
      </c>
      <c r="D557" s="0" t="str">
        <f aca="false">IF($B557="","",INDEX(ChalDivision,$B557))</f>
        <v/>
      </c>
      <c r="E557" s="0" t="str">
        <f aca="false">IF($B557="","",INDEX(ChalUnit,$B557))</f>
        <v/>
      </c>
      <c r="F557" s="0" t="str">
        <f aca="false">IF($B557="","",INDEX(ChalTitle,$B557))</f>
        <v/>
      </c>
      <c r="G557" s="0" t="str">
        <f aca="false">IF($B557="","",INDEX(ChalLevel,$B557))</f>
        <v/>
      </c>
      <c r="H557" s="0" t="str">
        <f aca="false">IF($B557="","",INDEX(BookFamily,$B557))</f>
        <v/>
      </c>
      <c r="I557" s="0" t="str">
        <f aca="false">IF($B557="","",INDEX(BookWorkerType,$B557))</f>
        <v/>
      </c>
      <c r="J557" s="56" t="str">
        <f aca="false">IF($B557="","",INDEX(ChalEffective,$B557))</f>
        <v/>
      </c>
      <c r="K557" s="0" t="str">
        <f aca="false">IF($B557="","",INDEX(ChalStart,$B557))</f>
        <v/>
      </c>
      <c r="L557" s="57" t="str">
        <f aca="false">IF($B557="","",INDEX(ChalInYear,$B557))</f>
        <v/>
      </c>
      <c r="M557" s="57" t="str">
        <f aca="false">IF($B557="","",INDEX(ChalRunRate,$B557))</f>
        <v/>
      </c>
      <c r="N557" s="0" t="str">
        <f aca="false">IF($B557="","",INDEX(BookDriver,$B557))</f>
        <v/>
      </c>
    </row>
    <row r="558" customFormat="false" ht="15" hidden="false" customHeight="false" outlineLevel="0" collapsed="false">
      <c r="A558" s="33" t="n">
        <v>553</v>
      </c>
      <c r="B558" s="0" t="str">
        <f aca="false">IFERROR(MATCH($A558,ChalSeq,0),"")</f>
        <v/>
      </c>
      <c r="C558" s="0" t="str">
        <f aca="false">IF($B558="","",INDEX(ChalGroup,$B558))</f>
        <v/>
      </c>
      <c r="D558" s="0" t="str">
        <f aca="false">IF($B558="","",INDEX(ChalDivision,$B558))</f>
        <v/>
      </c>
      <c r="E558" s="0" t="str">
        <f aca="false">IF($B558="","",INDEX(ChalUnit,$B558))</f>
        <v/>
      </c>
      <c r="F558" s="0" t="str">
        <f aca="false">IF($B558="","",INDEX(ChalTitle,$B558))</f>
        <v/>
      </c>
      <c r="G558" s="0" t="str">
        <f aca="false">IF($B558="","",INDEX(ChalLevel,$B558))</f>
        <v/>
      </c>
      <c r="H558" s="0" t="str">
        <f aca="false">IF($B558="","",INDEX(BookFamily,$B558))</f>
        <v/>
      </c>
      <c r="I558" s="0" t="str">
        <f aca="false">IF($B558="","",INDEX(BookWorkerType,$B558))</f>
        <v/>
      </c>
      <c r="J558" s="56" t="str">
        <f aca="false">IF($B558="","",INDEX(ChalEffective,$B558))</f>
        <v/>
      </c>
      <c r="K558" s="0" t="str">
        <f aca="false">IF($B558="","",INDEX(ChalStart,$B558))</f>
        <v/>
      </c>
      <c r="L558" s="57" t="str">
        <f aca="false">IF($B558="","",INDEX(ChalInYear,$B558))</f>
        <v/>
      </c>
      <c r="M558" s="57" t="str">
        <f aca="false">IF($B558="","",INDEX(ChalRunRate,$B558))</f>
        <v/>
      </c>
      <c r="N558" s="0" t="str">
        <f aca="false">IF($B558="","",INDEX(BookDriver,$B558))</f>
        <v/>
      </c>
    </row>
    <row r="559" customFormat="false" ht="15" hidden="false" customHeight="false" outlineLevel="0" collapsed="false">
      <c r="A559" s="33" t="n">
        <v>554</v>
      </c>
      <c r="B559" s="0" t="str">
        <f aca="false">IFERROR(MATCH($A559,ChalSeq,0),"")</f>
        <v/>
      </c>
      <c r="C559" s="0" t="str">
        <f aca="false">IF($B559="","",INDEX(ChalGroup,$B559))</f>
        <v/>
      </c>
      <c r="D559" s="0" t="str">
        <f aca="false">IF($B559="","",INDEX(ChalDivision,$B559))</f>
        <v/>
      </c>
      <c r="E559" s="0" t="str">
        <f aca="false">IF($B559="","",INDEX(ChalUnit,$B559))</f>
        <v/>
      </c>
      <c r="F559" s="0" t="str">
        <f aca="false">IF($B559="","",INDEX(ChalTitle,$B559))</f>
        <v/>
      </c>
      <c r="G559" s="0" t="str">
        <f aca="false">IF($B559="","",INDEX(ChalLevel,$B559))</f>
        <v/>
      </c>
      <c r="H559" s="0" t="str">
        <f aca="false">IF($B559="","",INDEX(BookFamily,$B559))</f>
        <v/>
      </c>
      <c r="I559" s="0" t="str">
        <f aca="false">IF($B559="","",INDEX(BookWorkerType,$B559))</f>
        <v/>
      </c>
      <c r="J559" s="56" t="str">
        <f aca="false">IF($B559="","",INDEX(ChalEffective,$B559))</f>
        <v/>
      </c>
      <c r="K559" s="0" t="str">
        <f aca="false">IF($B559="","",INDEX(ChalStart,$B559))</f>
        <v/>
      </c>
      <c r="L559" s="57" t="str">
        <f aca="false">IF($B559="","",INDEX(ChalInYear,$B559))</f>
        <v/>
      </c>
      <c r="M559" s="57" t="str">
        <f aca="false">IF($B559="","",INDEX(ChalRunRate,$B559))</f>
        <v/>
      </c>
      <c r="N559" s="0" t="str">
        <f aca="false">IF($B559="","",INDEX(BookDriver,$B559))</f>
        <v/>
      </c>
    </row>
    <row r="560" customFormat="false" ht="15" hidden="false" customHeight="false" outlineLevel="0" collapsed="false">
      <c r="A560" s="33" t="n">
        <v>555</v>
      </c>
      <c r="B560" s="0" t="str">
        <f aca="false">IFERROR(MATCH($A560,ChalSeq,0),"")</f>
        <v/>
      </c>
      <c r="C560" s="0" t="str">
        <f aca="false">IF($B560="","",INDEX(ChalGroup,$B560))</f>
        <v/>
      </c>
      <c r="D560" s="0" t="str">
        <f aca="false">IF($B560="","",INDEX(ChalDivision,$B560))</f>
        <v/>
      </c>
      <c r="E560" s="0" t="str">
        <f aca="false">IF($B560="","",INDEX(ChalUnit,$B560))</f>
        <v/>
      </c>
      <c r="F560" s="0" t="str">
        <f aca="false">IF($B560="","",INDEX(ChalTitle,$B560))</f>
        <v/>
      </c>
      <c r="G560" s="0" t="str">
        <f aca="false">IF($B560="","",INDEX(ChalLevel,$B560))</f>
        <v/>
      </c>
      <c r="H560" s="0" t="str">
        <f aca="false">IF($B560="","",INDEX(BookFamily,$B560))</f>
        <v/>
      </c>
      <c r="I560" s="0" t="str">
        <f aca="false">IF($B560="","",INDEX(BookWorkerType,$B560))</f>
        <v/>
      </c>
      <c r="J560" s="56" t="str">
        <f aca="false">IF($B560="","",INDEX(ChalEffective,$B560))</f>
        <v/>
      </c>
      <c r="K560" s="0" t="str">
        <f aca="false">IF($B560="","",INDEX(ChalStart,$B560))</f>
        <v/>
      </c>
      <c r="L560" s="57" t="str">
        <f aca="false">IF($B560="","",INDEX(ChalInYear,$B560))</f>
        <v/>
      </c>
      <c r="M560" s="57" t="str">
        <f aca="false">IF($B560="","",INDEX(ChalRunRate,$B560))</f>
        <v/>
      </c>
      <c r="N560" s="0" t="str">
        <f aca="false">IF($B560="","",INDEX(BookDriver,$B560))</f>
        <v/>
      </c>
    </row>
    <row r="561" customFormat="false" ht="15" hidden="false" customHeight="false" outlineLevel="0" collapsed="false">
      <c r="A561" s="33" t="n">
        <v>556</v>
      </c>
      <c r="B561" s="0" t="str">
        <f aca="false">IFERROR(MATCH($A561,ChalSeq,0),"")</f>
        <v/>
      </c>
      <c r="C561" s="0" t="str">
        <f aca="false">IF($B561="","",INDEX(ChalGroup,$B561))</f>
        <v/>
      </c>
      <c r="D561" s="0" t="str">
        <f aca="false">IF($B561="","",INDEX(ChalDivision,$B561))</f>
        <v/>
      </c>
      <c r="E561" s="0" t="str">
        <f aca="false">IF($B561="","",INDEX(ChalUnit,$B561))</f>
        <v/>
      </c>
      <c r="F561" s="0" t="str">
        <f aca="false">IF($B561="","",INDEX(ChalTitle,$B561))</f>
        <v/>
      </c>
      <c r="G561" s="0" t="str">
        <f aca="false">IF($B561="","",INDEX(ChalLevel,$B561))</f>
        <v/>
      </c>
      <c r="H561" s="0" t="str">
        <f aca="false">IF($B561="","",INDEX(BookFamily,$B561))</f>
        <v/>
      </c>
      <c r="I561" s="0" t="str">
        <f aca="false">IF($B561="","",INDEX(BookWorkerType,$B561))</f>
        <v/>
      </c>
      <c r="J561" s="56" t="str">
        <f aca="false">IF($B561="","",INDEX(ChalEffective,$B561))</f>
        <v/>
      </c>
      <c r="K561" s="0" t="str">
        <f aca="false">IF($B561="","",INDEX(ChalStart,$B561))</f>
        <v/>
      </c>
      <c r="L561" s="57" t="str">
        <f aca="false">IF($B561="","",INDEX(ChalInYear,$B561))</f>
        <v/>
      </c>
      <c r="M561" s="57" t="str">
        <f aca="false">IF($B561="","",INDEX(ChalRunRate,$B561))</f>
        <v/>
      </c>
      <c r="N561" s="0" t="str">
        <f aca="false">IF($B561="","",INDEX(BookDriver,$B561))</f>
        <v/>
      </c>
    </row>
    <row r="562" customFormat="false" ht="15" hidden="false" customHeight="false" outlineLevel="0" collapsed="false">
      <c r="A562" s="33" t="n">
        <v>557</v>
      </c>
      <c r="B562" s="0" t="str">
        <f aca="false">IFERROR(MATCH($A562,ChalSeq,0),"")</f>
        <v/>
      </c>
      <c r="C562" s="0" t="str">
        <f aca="false">IF($B562="","",INDEX(ChalGroup,$B562))</f>
        <v/>
      </c>
      <c r="D562" s="0" t="str">
        <f aca="false">IF($B562="","",INDEX(ChalDivision,$B562))</f>
        <v/>
      </c>
      <c r="E562" s="0" t="str">
        <f aca="false">IF($B562="","",INDEX(ChalUnit,$B562))</f>
        <v/>
      </c>
      <c r="F562" s="0" t="str">
        <f aca="false">IF($B562="","",INDEX(ChalTitle,$B562))</f>
        <v/>
      </c>
      <c r="G562" s="0" t="str">
        <f aca="false">IF($B562="","",INDEX(ChalLevel,$B562))</f>
        <v/>
      </c>
      <c r="H562" s="0" t="str">
        <f aca="false">IF($B562="","",INDEX(BookFamily,$B562))</f>
        <v/>
      </c>
      <c r="I562" s="0" t="str">
        <f aca="false">IF($B562="","",INDEX(BookWorkerType,$B562))</f>
        <v/>
      </c>
      <c r="J562" s="56" t="str">
        <f aca="false">IF($B562="","",INDEX(ChalEffective,$B562))</f>
        <v/>
      </c>
      <c r="K562" s="0" t="str">
        <f aca="false">IF($B562="","",INDEX(ChalStart,$B562))</f>
        <v/>
      </c>
      <c r="L562" s="57" t="str">
        <f aca="false">IF($B562="","",INDEX(ChalInYear,$B562))</f>
        <v/>
      </c>
      <c r="M562" s="57" t="str">
        <f aca="false">IF($B562="","",INDEX(ChalRunRate,$B562))</f>
        <v/>
      </c>
      <c r="N562" s="0" t="str">
        <f aca="false">IF($B562="","",INDEX(BookDriver,$B562))</f>
        <v/>
      </c>
    </row>
    <row r="563" customFormat="false" ht="15" hidden="false" customHeight="false" outlineLevel="0" collapsed="false">
      <c r="A563" s="33" t="n">
        <v>558</v>
      </c>
      <c r="B563" s="0" t="str">
        <f aca="false">IFERROR(MATCH($A563,ChalSeq,0),"")</f>
        <v/>
      </c>
      <c r="C563" s="0" t="str">
        <f aca="false">IF($B563="","",INDEX(ChalGroup,$B563))</f>
        <v/>
      </c>
      <c r="D563" s="0" t="str">
        <f aca="false">IF($B563="","",INDEX(ChalDivision,$B563))</f>
        <v/>
      </c>
      <c r="E563" s="0" t="str">
        <f aca="false">IF($B563="","",INDEX(ChalUnit,$B563))</f>
        <v/>
      </c>
      <c r="F563" s="0" t="str">
        <f aca="false">IF($B563="","",INDEX(ChalTitle,$B563))</f>
        <v/>
      </c>
      <c r="G563" s="0" t="str">
        <f aca="false">IF($B563="","",INDEX(ChalLevel,$B563))</f>
        <v/>
      </c>
      <c r="H563" s="0" t="str">
        <f aca="false">IF($B563="","",INDEX(BookFamily,$B563))</f>
        <v/>
      </c>
      <c r="I563" s="0" t="str">
        <f aca="false">IF($B563="","",INDEX(BookWorkerType,$B563))</f>
        <v/>
      </c>
      <c r="J563" s="56" t="str">
        <f aca="false">IF($B563="","",INDEX(ChalEffective,$B563))</f>
        <v/>
      </c>
      <c r="K563" s="0" t="str">
        <f aca="false">IF($B563="","",INDEX(ChalStart,$B563))</f>
        <v/>
      </c>
      <c r="L563" s="57" t="str">
        <f aca="false">IF($B563="","",INDEX(ChalInYear,$B563))</f>
        <v/>
      </c>
      <c r="M563" s="57" t="str">
        <f aca="false">IF($B563="","",INDEX(ChalRunRate,$B563))</f>
        <v/>
      </c>
      <c r="N563" s="0" t="str">
        <f aca="false">IF($B563="","",INDEX(BookDriver,$B563))</f>
        <v/>
      </c>
    </row>
    <row r="564" customFormat="false" ht="15" hidden="false" customHeight="false" outlineLevel="0" collapsed="false">
      <c r="A564" s="33" t="n">
        <v>559</v>
      </c>
      <c r="B564" s="0" t="str">
        <f aca="false">IFERROR(MATCH($A564,ChalSeq,0),"")</f>
        <v/>
      </c>
      <c r="C564" s="0" t="str">
        <f aca="false">IF($B564="","",INDEX(ChalGroup,$B564))</f>
        <v/>
      </c>
      <c r="D564" s="0" t="str">
        <f aca="false">IF($B564="","",INDEX(ChalDivision,$B564))</f>
        <v/>
      </c>
      <c r="E564" s="0" t="str">
        <f aca="false">IF($B564="","",INDEX(ChalUnit,$B564))</f>
        <v/>
      </c>
      <c r="F564" s="0" t="str">
        <f aca="false">IF($B564="","",INDEX(ChalTitle,$B564))</f>
        <v/>
      </c>
      <c r="G564" s="0" t="str">
        <f aca="false">IF($B564="","",INDEX(ChalLevel,$B564))</f>
        <v/>
      </c>
      <c r="H564" s="0" t="str">
        <f aca="false">IF($B564="","",INDEX(BookFamily,$B564))</f>
        <v/>
      </c>
      <c r="I564" s="0" t="str">
        <f aca="false">IF($B564="","",INDEX(BookWorkerType,$B564))</f>
        <v/>
      </c>
      <c r="J564" s="56" t="str">
        <f aca="false">IF($B564="","",INDEX(ChalEffective,$B564))</f>
        <v/>
      </c>
      <c r="K564" s="0" t="str">
        <f aca="false">IF($B564="","",INDEX(ChalStart,$B564))</f>
        <v/>
      </c>
      <c r="L564" s="57" t="str">
        <f aca="false">IF($B564="","",INDEX(ChalInYear,$B564))</f>
        <v/>
      </c>
      <c r="M564" s="57" t="str">
        <f aca="false">IF($B564="","",INDEX(ChalRunRate,$B564))</f>
        <v/>
      </c>
      <c r="N564" s="0" t="str">
        <f aca="false">IF($B564="","",INDEX(BookDriver,$B564))</f>
        <v/>
      </c>
    </row>
    <row r="565" customFormat="false" ht="15" hidden="false" customHeight="false" outlineLevel="0" collapsed="false">
      <c r="A565" s="33" t="n">
        <v>560</v>
      </c>
      <c r="B565" s="0" t="str">
        <f aca="false">IFERROR(MATCH($A565,ChalSeq,0),"")</f>
        <v/>
      </c>
      <c r="C565" s="0" t="str">
        <f aca="false">IF($B565="","",INDEX(ChalGroup,$B565))</f>
        <v/>
      </c>
      <c r="D565" s="0" t="str">
        <f aca="false">IF($B565="","",INDEX(ChalDivision,$B565))</f>
        <v/>
      </c>
      <c r="E565" s="0" t="str">
        <f aca="false">IF($B565="","",INDEX(ChalUnit,$B565))</f>
        <v/>
      </c>
      <c r="F565" s="0" t="str">
        <f aca="false">IF($B565="","",INDEX(ChalTitle,$B565))</f>
        <v/>
      </c>
      <c r="G565" s="0" t="str">
        <f aca="false">IF($B565="","",INDEX(ChalLevel,$B565))</f>
        <v/>
      </c>
      <c r="H565" s="0" t="str">
        <f aca="false">IF($B565="","",INDEX(BookFamily,$B565))</f>
        <v/>
      </c>
      <c r="I565" s="0" t="str">
        <f aca="false">IF($B565="","",INDEX(BookWorkerType,$B565))</f>
        <v/>
      </c>
      <c r="J565" s="56" t="str">
        <f aca="false">IF($B565="","",INDEX(ChalEffective,$B565))</f>
        <v/>
      </c>
      <c r="K565" s="0" t="str">
        <f aca="false">IF($B565="","",INDEX(ChalStart,$B565))</f>
        <v/>
      </c>
      <c r="L565" s="57" t="str">
        <f aca="false">IF($B565="","",INDEX(ChalInYear,$B565))</f>
        <v/>
      </c>
      <c r="M565" s="57" t="str">
        <f aca="false">IF($B565="","",INDEX(ChalRunRate,$B565))</f>
        <v/>
      </c>
      <c r="N565" s="0" t="str">
        <f aca="false">IF($B565="","",INDEX(BookDriver,$B565))</f>
        <v/>
      </c>
    </row>
    <row r="566" customFormat="false" ht="15" hidden="false" customHeight="false" outlineLevel="0" collapsed="false">
      <c r="A566" s="33" t="n">
        <v>561</v>
      </c>
      <c r="B566" s="0" t="str">
        <f aca="false">IFERROR(MATCH($A566,ChalSeq,0),"")</f>
        <v/>
      </c>
      <c r="C566" s="0" t="str">
        <f aca="false">IF($B566="","",INDEX(ChalGroup,$B566))</f>
        <v/>
      </c>
      <c r="D566" s="0" t="str">
        <f aca="false">IF($B566="","",INDEX(ChalDivision,$B566))</f>
        <v/>
      </c>
      <c r="E566" s="0" t="str">
        <f aca="false">IF($B566="","",INDEX(ChalUnit,$B566))</f>
        <v/>
      </c>
      <c r="F566" s="0" t="str">
        <f aca="false">IF($B566="","",INDEX(ChalTitle,$B566))</f>
        <v/>
      </c>
      <c r="G566" s="0" t="str">
        <f aca="false">IF($B566="","",INDEX(ChalLevel,$B566))</f>
        <v/>
      </c>
      <c r="H566" s="0" t="str">
        <f aca="false">IF($B566="","",INDEX(BookFamily,$B566))</f>
        <v/>
      </c>
      <c r="I566" s="0" t="str">
        <f aca="false">IF($B566="","",INDEX(BookWorkerType,$B566))</f>
        <v/>
      </c>
      <c r="J566" s="56" t="str">
        <f aca="false">IF($B566="","",INDEX(ChalEffective,$B566))</f>
        <v/>
      </c>
      <c r="K566" s="0" t="str">
        <f aca="false">IF($B566="","",INDEX(ChalStart,$B566))</f>
        <v/>
      </c>
      <c r="L566" s="57" t="str">
        <f aca="false">IF($B566="","",INDEX(ChalInYear,$B566))</f>
        <v/>
      </c>
      <c r="M566" s="57" t="str">
        <f aca="false">IF($B566="","",INDEX(ChalRunRate,$B566))</f>
        <v/>
      </c>
      <c r="N566" s="0" t="str">
        <f aca="false">IF($B566="","",INDEX(BookDriver,$B566))</f>
        <v/>
      </c>
    </row>
    <row r="567" customFormat="false" ht="15" hidden="false" customHeight="false" outlineLevel="0" collapsed="false">
      <c r="A567" s="33" t="n">
        <v>562</v>
      </c>
      <c r="B567" s="0" t="str">
        <f aca="false">IFERROR(MATCH($A567,ChalSeq,0),"")</f>
        <v/>
      </c>
      <c r="C567" s="0" t="str">
        <f aca="false">IF($B567="","",INDEX(ChalGroup,$B567))</f>
        <v/>
      </c>
      <c r="D567" s="0" t="str">
        <f aca="false">IF($B567="","",INDEX(ChalDivision,$B567))</f>
        <v/>
      </c>
      <c r="E567" s="0" t="str">
        <f aca="false">IF($B567="","",INDEX(ChalUnit,$B567))</f>
        <v/>
      </c>
      <c r="F567" s="0" t="str">
        <f aca="false">IF($B567="","",INDEX(ChalTitle,$B567))</f>
        <v/>
      </c>
      <c r="G567" s="0" t="str">
        <f aca="false">IF($B567="","",INDEX(ChalLevel,$B567))</f>
        <v/>
      </c>
      <c r="H567" s="0" t="str">
        <f aca="false">IF($B567="","",INDEX(BookFamily,$B567))</f>
        <v/>
      </c>
      <c r="I567" s="0" t="str">
        <f aca="false">IF($B567="","",INDEX(BookWorkerType,$B567))</f>
        <v/>
      </c>
      <c r="J567" s="56" t="str">
        <f aca="false">IF($B567="","",INDEX(ChalEffective,$B567))</f>
        <v/>
      </c>
      <c r="K567" s="0" t="str">
        <f aca="false">IF($B567="","",INDEX(ChalStart,$B567))</f>
        <v/>
      </c>
      <c r="L567" s="57" t="str">
        <f aca="false">IF($B567="","",INDEX(ChalInYear,$B567))</f>
        <v/>
      </c>
      <c r="M567" s="57" t="str">
        <f aca="false">IF($B567="","",INDEX(ChalRunRate,$B567))</f>
        <v/>
      </c>
      <c r="N567" s="0" t="str">
        <f aca="false">IF($B567="","",INDEX(BookDriver,$B567))</f>
        <v/>
      </c>
    </row>
    <row r="568" customFormat="false" ht="15" hidden="false" customHeight="false" outlineLevel="0" collapsed="false">
      <c r="A568" s="33" t="n">
        <v>563</v>
      </c>
      <c r="B568" s="0" t="str">
        <f aca="false">IFERROR(MATCH($A568,ChalSeq,0),"")</f>
        <v/>
      </c>
      <c r="C568" s="0" t="str">
        <f aca="false">IF($B568="","",INDEX(ChalGroup,$B568))</f>
        <v/>
      </c>
      <c r="D568" s="0" t="str">
        <f aca="false">IF($B568="","",INDEX(ChalDivision,$B568))</f>
        <v/>
      </c>
      <c r="E568" s="0" t="str">
        <f aca="false">IF($B568="","",INDEX(ChalUnit,$B568))</f>
        <v/>
      </c>
      <c r="F568" s="0" t="str">
        <f aca="false">IF($B568="","",INDEX(ChalTitle,$B568))</f>
        <v/>
      </c>
      <c r="G568" s="0" t="str">
        <f aca="false">IF($B568="","",INDEX(ChalLevel,$B568))</f>
        <v/>
      </c>
      <c r="H568" s="0" t="str">
        <f aca="false">IF($B568="","",INDEX(BookFamily,$B568))</f>
        <v/>
      </c>
      <c r="I568" s="0" t="str">
        <f aca="false">IF($B568="","",INDEX(BookWorkerType,$B568))</f>
        <v/>
      </c>
      <c r="J568" s="56" t="str">
        <f aca="false">IF($B568="","",INDEX(ChalEffective,$B568))</f>
        <v/>
      </c>
      <c r="K568" s="0" t="str">
        <f aca="false">IF($B568="","",INDEX(ChalStart,$B568))</f>
        <v/>
      </c>
      <c r="L568" s="57" t="str">
        <f aca="false">IF($B568="","",INDEX(ChalInYear,$B568))</f>
        <v/>
      </c>
      <c r="M568" s="57" t="str">
        <f aca="false">IF($B568="","",INDEX(ChalRunRate,$B568))</f>
        <v/>
      </c>
      <c r="N568" s="0" t="str">
        <f aca="false">IF($B568="","",INDEX(BookDriver,$B568))</f>
        <v/>
      </c>
    </row>
    <row r="569" customFormat="false" ht="15" hidden="false" customHeight="false" outlineLevel="0" collapsed="false">
      <c r="A569" s="33" t="n">
        <v>564</v>
      </c>
      <c r="B569" s="0" t="str">
        <f aca="false">IFERROR(MATCH($A569,ChalSeq,0),"")</f>
        <v/>
      </c>
      <c r="C569" s="0" t="str">
        <f aca="false">IF($B569="","",INDEX(ChalGroup,$B569))</f>
        <v/>
      </c>
      <c r="D569" s="0" t="str">
        <f aca="false">IF($B569="","",INDEX(ChalDivision,$B569))</f>
        <v/>
      </c>
      <c r="E569" s="0" t="str">
        <f aca="false">IF($B569="","",INDEX(ChalUnit,$B569))</f>
        <v/>
      </c>
      <c r="F569" s="0" t="str">
        <f aca="false">IF($B569="","",INDEX(ChalTitle,$B569))</f>
        <v/>
      </c>
      <c r="G569" s="0" t="str">
        <f aca="false">IF($B569="","",INDEX(ChalLevel,$B569))</f>
        <v/>
      </c>
      <c r="H569" s="0" t="str">
        <f aca="false">IF($B569="","",INDEX(BookFamily,$B569))</f>
        <v/>
      </c>
      <c r="I569" s="0" t="str">
        <f aca="false">IF($B569="","",INDEX(BookWorkerType,$B569))</f>
        <v/>
      </c>
      <c r="J569" s="56" t="str">
        <f aca="false">IF($B569="","",INDEX(ChalEffective,$B569))</f>
        <v/>
      </c>
      <c r="K569" s="0" t="str">
        <f aca="false">IF($B569="","",INDEX(ChalStart,$B569))</f>
        <v/>
      </c>
      <c r="L569" s="57" t="str">
        <f aca="false">IF($B569="","",INDEX(ChalInYear,$B569))</f>
        <v/>
      </c>
      <c r="M569" s="57" t="str">
        <f aca="false">IF($B569="","",INDEX(ChalRunRate,$B569))</f>
        <v/>
      </c>
      <c r="N569" s="0" t="str">
        <f aca="false">IF($B569="","",INDEX(BookDriver,$B569))</f>
        <v/>
      </c>
    </row>
    <row r="570" customFormat="false" ht="15" hidden="false" customHeight="false" outlineLevel="0" collapsed="false">
      <c r="A570" s="33" t="n">
        <v>565</v>
      </c>
      <c r="B570" s="0" t="str">
        <f aca="false">IFERROR(MATCH($A570,ChalSeq,0),"")</f>
        <v/>
      </c>
      <c r="C570" s="0" t="str">
        <f aca="false">IF($B570="","",INDEX(ChalGroup,$B570))</f>
        <v/>
      </c>
      <c r="D570" s="0" t="str">
        <f aca="false">IF($B570="","",INDEX(ChalDivision,$B570))</f>
        <v/>
      </c>
      <c r="E570" s="0" t="str">
        <f aca="false">IF($B570="","",INDEX(ChalUnit,$B570))</f>
        <v/>
      </c>
      <c r="F570" s="0" t="str">
        <f aca="false">IF($B570="","",INDEX(ChalTitle,$B570))</f>
        <v/>
      </c>
      <c r="G570" s="0" t="str">
        <f aca="false">IF($B570="","",INDEX(ChalLevel,$B570))</f>
        <v/>
      </c>
      <c r="H570" s="0" t="str">
        <f aca="false">IF($B570="","",INDEX(BookFamily,$B570))</f>
        <v/>
      </c>
      <c r="I570" s="0" t="str">
        <f aca="false">IF($B570="","",INDEX(BookWorkerType,$B570))</f>
        <v/>
      </c>
      <c r="J570" s="56" t="str">
        <f aca="false">IF($B570="","",INDEX(ChalEffective,$B570))</f>
        <v/>
      </c>
      <c r="K570" s="0" t="str">
        <f aca="false">IF($B570="","",INDEX(ChalStart,$B570))</f>
        <v/>
      </c>
      <c r="L570" s="57" t="str">
        <f aca="false">IF($B570="","",INDEX(ChalInYear,$B570))</f>
        <v/>
      </c>
      <c r="M570" s="57" t="str">
        <f aca="false">IF($B570="","",INDEX(ChalRunRate,$B570))</f>
        <v/>
      </c>
      <c r="N570" s="0" t="str">
        <f aca="false">IF($B570="","",INDEX(BookDriver,$B570))</f>
        <v/>
      </c>
    </row>
    <row r="571" customFormat="false" ht="15" hidden="false" customHeight="false" outlineLevel="0" collapsed="false">
      <c r="A571" s="33" t="n">
        <v>566</v>
      </c>
      <c r="B571" s="0" t="str">
        <f aca="false">IFERROR(MATCH($A571,ChalSeq,0),"")</f>
        <v/>
      </c>
      <c r="C571" s="0" t="str">
        <f aca="false">IF($B571="","",INDEX(ChalGroup,$B571))</f>
        <v/>
      </c>
      <c r="D571" s="0" t="str">
        <f aca="false">IF($B571="","",INDEX(ChalDivision,$B571))</f>
        <v/>
      </c>
      <c r="E571" s="0" t="str">
        <f aca="false">IF($B571="","",INDEX(ChalUnit,$B571))</f>
        <v/>
      </c>
      <c r="F571" s="0" t="str">
        <f aca="false">IF($B571="","",INDEX(ChalTitle,$B571))</f>
        <v/>
      </c>
      <c r="G571" s="0" t="str">
        <f aca="false">IF($B571="","",INDEX(ChalLevel,$B571))</f>
        <v/>
      </c>
      <c r="H571" s="0" t="str">
        <f aca="false">IF($B571="","",INDEX(BookFamily,$B571))</f>
        <v/>
      </c>
      <c r="I571" s="0" t="str">
        <f aca="false">IF($B571="","",INDEX(BookWorkerType,$B571))</f>
        <v/>
      </c>
      <c r="J571" s="56" t="str">
        <f aca="false">IF($B571="","",INDEX(ChalEffective,$B571))</f>
        <v/>
      </c>
      <c r="K571" s="0" t="str">
        <f aca="false">IF($B571="","",INDEX(ChalStart,$B571))</f>
        <v/>
      </c>
      <c r="L571" s="57" t="str">
        <f aca="false">IF($B571="","",INDEX(ChalInYear,$B571))</f>
        <v/>
      </c>
      <c r="M571" s="57" t="str">
        <f aca="false">IF($B571="","",INDEX(ChalRunRate,$B571))</f>
        <v/>
      </c>
      <c r="N571" s="0" t="str">
        <f aca="false">IF($B571="","",INDEX(BookDriver,$B571))</f>
        <v/>
      </c>
    </row>
    <row r="572" customFormat="false" ht="15" hidden="false" customHeight="false" outlineLevel="0" collapsed="false">
      <c r="A572" s="33" t="n">
        <v>567</v>
      </c>
      <c r="B572" s="0" t="str">
        <f aca="false">IFERROR(MATCH($A572,ChalSeq,0),"")</f>
        <v/>
      </c>
      <c r="C572" s="0" t="str">
        <f aca="false">IF($B572="","",INDEX(ChalGroup,$B572))</f>
        <v/>
      </c>
      <c r="D572" s="0" t="str">
        <f aca="false">IF($B572="","",INDEX(ChalDivision,$B572))</f>
        <v/>
      </c>
      <c r="E572" s="0" t="str">
        <f aca="false">IF($B572="","",INDEX(ChalUnit,$B572))</f>
        <v/>
      </c>
      <c r="F572" s="0" t="str">
        <f aca="false">IF($B572="","",INDEX(ChalTitle,$B572))</f>
        <v/>
      </c>
      <c r="G572" s="0" t="str">
        <f aca="false">IF($B572="","",INDEX(ChalLevel,$B572))</f>
        <v/>
      </c>
      <c r="H572" s="0" t="str">
        <f aca="false">IF($B572="","",INDEX(BookFamily,$B572))</f>
        <v/>
      </c>
      <c r="I572" s="0" t="str">
        <f aca="false">IF($B572="","",INDEX(BookWorkerType,$B572))</f>
        <v/>
      </c>
      <c r="J572" s="56" t="str">
        <f aca="false">IF($B572="","",INDEX(ChalEffective,$B572))</f>
        <v/>
      </c>
      <c r="K572" s="0" t="str">
        <f aca="false">IF($B572="","",INDEX(ChalStart,$B572))</f>
        <v/>
      </c>
      <c r="L572" s="57" t="str">
        <f aca="false">IF($B572="","",INDEX(ChalInYear,$B572))</f>
        <v/>
      </c>
      <c r="M572" s="57" t="str">
        <f aca="false">IF($B572="","",INDEX(ChalRunRate,$B572))</f>
        <v/>
      </c>
      <c r="N572" s="0" t="str">
        <f aca="false">IF($B572="","",INDEX(BookDriver,$B572))</f>
        <v/>
      </c>
    </row>
    <row r="573" customFormat="false" ht="15" hidden="false" customHeight="false" outlineLevel="0" collapsed="false">
      <c r="A573" s="33" t="n">
        <v>568</v>
      </c>
      <c r="B573" s="0" t="str">
        <f aca="false">IFERROR(MATCH($A573,ChalSeq,0),"")</f>
        <v/>
      </c>
      <c r="C573" s="0" t="str">
        <f aca="false">IF($B573="","",INDEX(ChalGroup,$B573))</f>
        <v/>
      </c>
      <c r="D573" s="0" t="str">
        <f aca="false">IF($B573="","",INDEX(ChalDivision,$B573))</f>
        <v/>
      </c>
      <c r="E573" s="0" t="str">
        <f aca="false">IF($B573="","",INDEX(ChalUnit,$B573))</f>
        <v/>
      </c>
      <c r="F573" s="0" t="str">
        <f aca="false">IF($B573="","",INDEX(ChalTitle,$B573))</f>
        <v/>
      </c>
      <c r="G573" s="0" t="str">
        <f aca="false">IF($B573="","",INDEX(ChalLevel,$B573))</f>
        <v/>
      </c>
      <c r="H573" s="0" t="str">
        <f aca="false">IF($B573="","",INDEX(BookFamily,$B573))</f>
        <v/>
      </c>
      <c r="I573" s="0" t="str">
        <f aca="false">IF($B573="","",INDEX(BookWorkerType,$B573))</f>
        <v/>
      </c>
      <c r="J573" s="56" t="str">
        <f aca="false">IF($B573="","",INDEX(ChalEffective,$B573))</f>
        <v/>
      </c>
      <c r="K573" s="0" t="str">
        <f aca="false">IF($B573="","",INDEX(ChalStart,$B573))</f>
        <v/>
      </c>
      <c r="L573" s="57" t="str">
        <f aca="false">IF($B573="","",INDEX(ChalInYear,$B573))</f>
        <v/>
      </c>
      <c r="M573" s="57" t="str">
        <f aca="false">IF($B573="","",INDEX(ChalRunRate,$B573))</f>
        <v/>
      </c>
      <c r="N573" s="0" t="str">
        <f aca="false">IF($B573="","",INDEX(BookDriver,$B573))</f>
        <v/>
      </c>
    </row>
    <row r="574" customFormat="false" ht="15" hidden="false" customHeight="false" outlineLevel="0" collapsed="false">
      <c r="A574" s="33" t="n">
        <v>569</v>
      </c>
      <c r="B574" s="0" t="str">
        <f aca="false">IFERROR(MATCH($A574,ChalSeq,0),"")</f>
        <v/>
      </c>
      <c r="C574" s="0" t="str">
        <f aca="false">IF($B574="","",INDEX(ChalGroup,$B574))</f>
        <v/>
      </c>
      <c r="D574" s="0" t="str">
        <f aca="false">IF($B574="","",INDEX(ChalDivision,$B574))</f>
        <v/>
      </c>
      <c r="E574" s="0" t="str">
        <f aca="false">IF($B574="","",INDEX(ChalUnit,$B574))</f>
        <v/>
      </c>
      <c r="F574" s="0" t="str">
        <f aca="false">IF($B574="","",INDEX(ChalTitle,$B574))</f>
        <v/>
      </c>
      <c r="G574" s="0" t="str">
        <f aca="false">IF($B574="","",INDEX(ChalLevel,$B574))</f>
        <v/>
      </c>
      <c r="H574" s="0" t="str">
        <f aca="false">IF($B574="","",INDEX(BookFamily,$B574))</f>
        <v/>
      </c>
      <c r="I574" s="0" t="str">
        <f aca="false">IF($B574="","",INDEX(BookWorkerType,$B574))</f>
        <v/>
      </c>
      <c r="J574" s="56" t="str">
        <f aca="false">IF($B574="","",INDEX(ChalEffective,$B574))</f>
        <v/>
      </c>
      <c r="K574" s="0" t="str">
        <f aca="false">IF($B574="","",INDEX(ChalStart,$B574))</f>
        <v/>
      </c>
      <c r="L574" s="57" t="str">
        <f aca="false">IF($B574="","",INDEX(ChalInYear,$B574))</f>
        <v/>
      </c>
      <c r="M574" s="57" t="str">
        <f aca="false">IF($B574="","",INDEX(ChalRunRate,$B574))</f>
        <v/>
      </c>
      <c r="N574" s="0" t="str">
        <f aca="false">IF($B574="","",INDEX(BookDriver,$B574))</f>
        <v/>
      </c>
    </row>
    <row r="575" customFormat="false" ht="15" hidden="false" customHeight="false" outlineLevel="0" collapsed="false">
      <c r="A575" s="33" t="n">
        <v>570</v>
      </c>
      <c r="B575" s="0" t="str">
        <f aca="false">IFERROR(MATCH($A575,ChalSeq,0),"")</f>
        <v/>
      </c>
      <c r="C575" s="0" t="str">
        <f aca="false">IF($B575="","",INDEX(ChalGroup,$B575))</f>
        <v/>
      </c>
      <c r="D575" s="0" t="str">
        <f aca="false">IF($B575="","",INDEX(ChalDivision,$B575))</f>
        <v/>
      </c>
      <c r="E575" s="0" t="str">
        <f aca="false">IF($B575="","",INDEX(ChalUnit,$B575))</f>
        <v/>
      </c>
      <c r="F575" s="0" t="str">
        <f aca="false">IF($B575="","",INDEX(ChalTitle,$B575))</f>
        <v/>
      </c>
      <c r="G575" s="0" t="str">
        <f aca="false">IF($B575="","",INDEX(ChalLevel,$B575))</f>
        <v/>
      </c>
      <c r="H575" s="0" t="str">
        <f aca="false">IF($B575="","",INDEX(BookFamily,$B575))</f>
        <v/>
      </c>
      <c r="I575" s="0" t="str">
        <f aca="false">IF($B575="","",INDEX(BookWorkerType,$B575))</f>
        <v/>
      </c>
      <c r="J575" s="56" t="str">
        <f aca="false">IF($B575="","",INDEX(ChalEffective,$B575))</f>
        <v/>
      </c>
      <c r="K575" s="0" t="str">
        <f aca="false">IF($B575="","",INDEX(ChalStart,$B575))</f>
        <v/>
      </c>
      <c r="L575" s="57" t="str">
        <f aca="false">IF($B575="","",INDEX(ChalInYear,$B575))</f>
        <v/>
      </c>
      <c r="M575" s="57" t="str">
        <f aca="false">IF($B575="","",INDEX(ChalRunRate,$B575))</f>
        <v/>
      </c>
      <c r="N575" s="0" t="str">
        <f aca="false">IF($B575="","",INDEX(BookDriver,$B575))</f>
        <v/>
      </c>
    </row>
    <row r="576" customFormat="false" ht="15" hidden="false" customHeight="false" outlineLevel="0" collapsed="false">
      <c r="A576" s="33" t="n">
        <v>571</v>
      </c>
      <c r="B576" s="0" t="str">
        <f aca="false">IFERROR(MATCH($A576,ChalSeq,0),"")</f>
        <v/>
      </c>
      <c r="C576" s="0" t="str">
        <f aca="false">IF($B576="","",INDEX(ChalGroup,$B576))</f>
        <v/>
      </c>
      <c r="D576" s="0" t="str">
        <f aca="false">IF($B576="","",INDEX(ChalDivision,$B576))</f>
        <v/>
      </c>
      <c r="E576" s="0" t="str">
        <f aca="false">IF($B576="","",INDEX(ChalUnit,$B576))</f>
        <v/>
      </c>
      <c r="F576" s="0" t="str">
        <f aca="false">IF($B576="","",INDEX(ChalTitle,$B576))</f>
        <v/>
      </c>
      <c r="G576" s="0" t="str">
        <f aca="false">IF($B576="","",INDEX(ChalLevel,$B576))</f>
        <v/>
      </c>
      <c r="H576" s="0" t="str">
        <f aca="false">IF($B576="","",INDEX(BookFamily,$B576))</f>
        <v/>
      </c>
      <c r="I576" s="0" t="str">
        <f aca="false">IF($B576="","",INDEX(BookWorkerType,$B576))</f>
        <v/>
      </c>
      <c r="J576" s="56" t="str">
        <f aca="false">IF($B576="","",INDEX(ChalEffective,$B576))</f>
        <v/>
      </c>
      <c r="K576" s="0" t="str">
        <f aca="false">IF($B576="","",INDEX(ChalStart,$B576))</f>
        <v/>
      </c>
      <c r="L576" s="57" t="str">
        <f aca="false">IF($B576="","",INDEX(ChalInYear,$B576))</f>
        <v/>
      </c>
      <c r="M576" s="57" t="str">
        <f aca="false">IF($B576="","",INDEX(ChalRunRate,$B576))</f>
        <v/>
      </c>
      <c r="N576" s="0" t="str">
        <f aca="false">IF($B576="","",INDEX(BookDriver,$B576))</f>
        <v/>
      </c>
    </row>
    <row r="577" customFormat="false" ht="15" hidden="false" customHeight="false" outlineLevel="0" collapsed="false">
      <c r="A577" s="33" t="n">
        <v>572</v>
      </c>
      <c r="B577" s="0" t="str">
        <f aca="false">IFERROR(MATCH($A577,ChalSeq,0),"")</f>
        <v/>
      </c>
      <c r="C577" s="0" t="str">
        <f aca="false">IF($B577="","",INDEX(ChalGroup,$B577))</f>
        <v/>
      </c>
      <c r="D577" s="0" t="str">
        <f aca="false">IF($B577="","",INDEX(ChalDivision,$B577))</f>
        <v/>
      </c>
      <c r="E577" s="0" t="str">
        <f aca="false">IF($B577="","",INDEX(ChalUnit,$B577))</f>
        <v/>
      </c>
      <c r="F577" s="0" t="str">
        <f aca="false">IF($B577="","",INDEX(ChalTitle,$B577))</f>
        <v/>
      </c>
      <c r="G577" s="0" t="str">
        <f aca="false">IF($B577="","",INDEX(ChalLevel,$B577))</f>
        <v/>
      </c>
      <c r="H577" s="0" t="str">
        <f aca="false">IF($B577="","",INDEX(BookFamily,$B577))</f>
        <v/>
      </c>
      <c r="I577" s="0" t="str">
        <f aca="false">IF($B577="","",INDEX(BookWorkerType,$B577))</f>
        <v/>
      </c>
      <c r="J577" s="56" t="str">
        <f aca="false">IF($B577="","",INDEX(ChalEffective,$B577))</f>
        <v/>
      </c>
      <c r="K577" s="0" t="str">
        <f aca="false">IF($B577="","",INDEX(ChalStart,$B577))</f>
        <v/>
      </c>
      <c r="L577" s="57" t="str">
        <f aca="false">IF($B577="","",INDEX(ChalInYear,$B577))</f>
        <v/>
      </c>
      <c r="M577" s="57" t="str">
        <f aca="false">IF($B577="","",INDEX(ChalRunRate,$B577))</f>
        <v/>
      </c>
      <c r="N577" s="0" t="str">
        <f aca="false">IF($B577="","",INDEX(BookDriver,$B577))</f>
        <v/>
      </c>
    </row>
    <row r="578" customFormat="false" ht="15" hidden="false" customHeight="false" outlineLevel="0" collapsed="false">
      <c r="A578" s="33" t="n">
        <v>573</v>
      </c>
      <c r="B578" s="0" t="str">
        <f aca="false">IFERROR(MATCH($A578,ChalSeq,0),"")</f>
        <v/>
      </c>
      <c r="C578" s="0" t="str">
        <f aca="false">IF($B578="","",INDEX(ChalGroup,$B578))</f>
        <v/>
      </c>
      <c r="D578" s="0" t="str">
        <f aca="false">IF($B578="","",INDEX(ChalDivision,$B578))</f>
        <v/>
      </c>
      <c r="E578" s="0" t="str">
        <f aca="false">IF($B578="","",INDEX(ChalUnit,$B578))</f>
        <v/>
      </c>
      <c r="F578" s="0" t="str">
        <f aca="false">IF($B578="","",INDEX(ChalTitle,$B578))</f>
        <v/>
      </c>
      <c r="G578" s="0" t="str">
        <f aca="false">IF($B578="","",INDEX(ChalLevel,$B578))</f>
        <v/>
      </c>
      <c r="H578" s="0" t="str">
        <f aca="false">IF($B578="","",INDEX(BookFamily,$B578))</f>
        <v/>
      </c>
      <c r="I578" s="0" t="str">
        <f aca="false">IF($B578="","",INDEX(BookWorkerType,$B578))</f>
        <v/>
      </c>
      <c r="J578" s="56" t="str">
        <f aca="false">IF($B578="","",INDEX(ChalEffective,$B578))</f>
        <v/>
      </c>
      <c r="K578" s="0" t="str">
        <f aca="false">IF($B578="","",INDEX(ChalStart,$B578))</f>
        <v/>
      </c>
      <c r="L578" s="57" t="str">
        <f aca="false">IF($B578="","",INDEX(ChalInYear,$B578))</f>
        <v/>
      </c>
      <c r="M578" s="57" t="str">
        <f aca="false">IF($B578="","",INDEX(ChalRunRate,$B578))</f>
        <v/>
      </c>
      <c r="N578" s="0" t="str">
        <f aca="false">IF($B578="","",INDEX(BookDriver,$B578))</f>
        <v/>
      </c>
    </row>
    <row r="579" customFormat="false" ht="15" hidden="false" customHeight="false" outlineLevel="0" collapsed="false">
      <c r="A579" s="33" t="n">
        <v>574</v>
      </c>
      <c r="B579" s="0" t="str">
        <f aca="false">IFERROR(MATCH($A579,ChalSeq,0),"")</f>
        <v/>
      </c>
      <c r="C579" s="0" t="str">
        <f aca="false">IF($B579="","",INDEX(ChalGroup,$B579))</f>
        <v/>
      </c>
      <c r="D579" s="0" t="str">
        <f aca="false">IF($B579="","",INDEX(ChalDivision,$B579))</f>
        <v/>
      </c>
      <c r="E579" s="0" t="str">
        <f aca="false">IF($B579="","",INDEX(ChalUnit,$B579))</f>
        <v/>
      </c>
      <c r="F579" s="0" t="str">
        <f aca="false">IF($B579="","",INDEX(ChalTitle,$B579))</f>
        <v/>
      </c>
      <c r="G579" s="0" t="str">
        <f aca="false">IF($B579="","",INDEX(ChalLevel,$B579))</f>
        <v/>
      </c>
      <c r="H579" s="0" t="str">
        <f aca="false">IF($B579="","",INDEX(BookFamily,$B579))</f>
        <v/>
      </c>
      <c r="I579" s="0" t="str">
        <f aca="false">IF($B579="","",INDEX(BookWorkerType,$B579))</f>
        <v/>
      </c>
      <c r="J579" s="56" t="str">
        <f aca="false">IF($B579="","",INDEX(ChalEffective,$B579))</f>
        <v/>
      </c>
      <c r="K579" s="0" t="str">
        <f aca="false">IF($B579="","",INDEX(ChalStart,$B579))</f>
        <v/>
      </c>
      <c r="L579" s="57" t="str">
        <f aca="false">IF($B579="","",INDEX(ChalInYear,$B579))</f>
        <v/>
      </c>
      <c r="M579" s="57" t="str">
        <f aca="false">IF($B579="","",INDEX(ChalRunRate,$B579))</f>
        <v/>
      </c>
      <c r="N579" s="0" t="str">
        <f aca="false">IF($B579="","",INDEX(BookDriver,$B579))</f>
        <v/>
      </c>
    </row>
    <row r="580" customFormat="false" ht="15" hidden="false" customHeight="false" outlineLevel="0" collapsed="false">
      <c r="A580" s="33" t="n">
        <v>575</v>
      </c>
      <c r="B580" s="0" t="str">
        <f aca="false">IFERROR(MATCH($A580,ChalSeq,0),"")</f>
        <v/>
      </c>
      <c r="C580" s="0" t="str">
        <f aca="false">IF($B580="","",INDEX(ChalGroup,$B580))</f>
        <v/>
      </c>
      <c r="D580" s="0" t="str">
        <f aca="false">IF($B580="","",INDEX(ChalDivision,$B580))</f>
        <v/>
      </c>
      <c r="E580" s="0" t="str">
        <f aca="false">IF($B580="","",INDEX(ChalUnit,$B580))</f>
        <v/>
      </c>
      <c r="F580" s="0" t="str">
        <f aca="false">IF($B580="","",INDEX(ChalTitle,$B580))</f>
        <v/>
      </c>
      <c r="G580" s="0" t="str">
        <f aca="false">IF($B580="","",INDEX(ChalLevel,$B580))</f>
        <v/>
      </c>
      <c r="H580" s="0" t="str">
        <f aca="false">IF($B580="","",INDEX(BookFamily,$B580))</f>
        <v/>
      </c>
      <c r="I580" s="0" t="str">
        <f aca="false">IF($B580="","",INDEX(BookWorkerType,$B580))</f>
        <v/>
      </c>
      <c r="J580" s="56" t="str">
        <f aca="false">IF($B580="","",INDEX(ChalEffective,$B580))</f>
        <v/>
      </c>
      <c r="K580" s="0" t="str">
        <f aca="false">IF($B580="","",INDEX(ChalStart,$B580))</f>
        <v/>
      </c>
      <c r="L580" s="57" t="str">
        <f aca="false">IF($B580="","",INDEX(ChalInYear,$B580))</f>
        <v/>
      </c>
      <c r="M580" s="57" t="str">
        <f aca="false">IF($B580="","",INDEX(ChalRunRate,$B580))</f>
        <v/>
      </c>
      <c r="N580" s="0" t="str">
        <f aca="false">IF($B580="","",INDEX(BookDriver,$B580))</f>
        <v/>
      </c>
    </row>
    <row r="581" customFormat="false" ht="15" hidden="false" customHeight="false" outlineLevel="0" collapsed="false">
      <c r="A581" s="33" t="n">
        <v>576</v>
      </c>
      <c r="B581" s="0" t="str">
        <f aca="false">IFERROR(MATCH($A581,ChalSeq,0),"")</f>
        <v/>
      </c>
      <c r="C581" s="0" t="str">
        <f aca="false">IF($B581="","",INDEX(ChalGroup,$B581))</f>
        <v/>
      </c>
      <c r="D581" s="0" t="str">
        <f aca="false">IF($B581="","",INDEX(ChalDivision,$B581))</f>
        <v/>
      </c>
      <c r="E581" s="0" t="str">
        <f aca="false">IF($B581="","",INDEX(ChalUnit,$B581))</f>
        <v/>
      </c>
      <c r="F581" s="0" t="str">
        <f aca="false">IF($B581="","",INDEX(ChalTitle,$B581))</f>
        <v/>
      </c>
      <c r="G581" s="0" t="str">
        <f aca="false">IF($B581="","",INDEX(ChalLevel,$B581))</f>
        <v/>
      </c>
      <c r="H581" s="0" t="str">
        <f aca="false">IF($B581="","",INDEX(BookFamily,$B581))</f>
        <v/>
      </c>
      <c r="I581" s="0" t="str">
        <f aca="false">IF($B581="","",INDEX(BookWorkerType,$B581))</f>
        <v/>
      </c>
      <c r="J581" s="56" t="str">
        <f aca="false">IF($B581="","",INDEX(ChalEffective,$B581))</f>
        <v/>
      </c>
      <c r="K581" s="0" t="str">
        <f aca="false">IF($B581="","",INDEX(ChalStart,$B581))</f>
        <v/>
      </c>
      <c r="L581" s="57" t="str">
        <f aca="false">IF($B581="","",INDEX(ChalInYear,$B581))</f>
        <v/>
      </c>
      <c r="M581" s="57" t="str">
        <f aca="false">IF($B581="","",INDEX(ChalRunRate,$B581))</f>
        <v/>
      </c>
      <c r="N581" s="0" t="str">
        <f aca="false">IF($B581="","",INDEX(BookDriver,$B581))</f>
        <v/>
      </c>
    </row>
    <row r="582" customFormat="false" ht="15" hidden="false" customHeight="false" outlineLevel="0" collapsed="false">
      <c r="A582" s="33" t="n">
        <v>577</v>
      </c>
      <c r="B582" s="0" t="str">
        <f aca="false">IFERROR(MATCH($A582,ChalSeq,0),"")</f>
        <v/>
      </c>
      <c r="C582" s="0" t="str">
        <f aca="false">IF($B582="","",INDEX(ChalGroup,$B582))</f>
        <v/>
      </c>
      <c r="D582" s="0" t="str">
        <f aca="false">IF($B582="","",INDEX(ChalDivision,$B582))</f>
        <v/>
      </c>
      <c r="E582" s="0" t="str">
        <f aca="false">IF($B582="","",INDEX(ChalUnit,$B582))</f>
        <v/>
      </c>
      <c r="F582" s="0" t="str">
        <f aca="false">IF($B582="","",INDEX(ChalTitle,$B582))</f>
        <v/>
      </c>
      <c r="G582" s="0" t="str">
        <f aca="false">IF($B582="","",INDEX(ChalLevel,$B582))</f>
        <v/>
      </c>
      <c r="H582" s="0" t="str">
        <f aca="false">IF($B582="","",INDEX(BookFamily,$B582))</f>
        <v/>
      </c>
      <c r="I582" s="0" t="str">
        <f aca="false">IF($B582="","",INDEX(BookWorkerType,$B582))</f>
        <v/>
      </c>
      <c r="J582" s="56" t="str">
        <f aca="false">IF($B582="","",INDEX(ChalEffective,$B582))</f>
        <v/>
      </c>
      <c r="K582" s="0" t="str">
        <f aca="false">IF($B582="","",INDEX(ChalStart,$B582))</f>
        <v/>
      </c>
      <c r="L582" s="57" t="str">
        <f aca="false">IF($B582="","",INDEX(ChalInYear,$B582))</f>
        <v/>
      </c>
      <c r="M582" s="57" t="str">
        <f aca="false">IF($B582="","",INDEX(ChalRunRate,$B582))</f>
        <v/>
      </c>
      <c r="N582" s="0" t="str">
        <f aca="false">IF($B582="","",INDEX(BookDriver,$B582))</f>
        <v/>
      </c>
    </row>
    <row r="583" customFormat="false" ht="15" hidden="false" customHeight="false" outlineLevel="0" collapsed="false">
      <c r="A583" s="33" t="n">
        <v>578</v>
      </c>
      <c r="B583" s="0" t="str">
        <f aca="false">IFERROR(MATCH($A583,ChalSeq,0),"")</f>
        <v/>
      </c>
      <c r="C583" s="0" t="str">
        <f aca="false">IF($B583="","",INDEX(ChalGroup,$B583))</f>
        <v/>
      </c>
      <c r="D583" s="0" t="str">
        <f aca="false">IF($B583="","",INDEX(ChalDivision,$B583))</f>
        <v/>
      </c>
      <c r="E583" s="0" t="str">
        <f aca="false">IF($B583="","",INDEX(ChalUnit,$B583))</f>
        <v/>
      </c>
      <c r="F583" s="0" t="str">
        <f aca="false">IF($B583="","",INDEX(ChalTitle,$B583))</f>
        <v/>
      </c>
      <c r="G583" s="0" t="str">
        <f aca="false">IF($B583="","",INDEX(ChalLevel,$B583))</f>
        <v/>
      </c>
      <c r="H583" s="0" t="str">
        <f aca="false">IF($B583="","",INDEX(BookFamily,$B583))</f>
        <v/>
      </c>
      <c r="I583" s="0" t="str">
        <f aca="false">IF($B583="","",INDEX(BookWorkerType,$B583))</f>
        <v/>
      </c>
      <c r="J583" s="56" t="str">
        <f aca="false">IF($B583="","",INDEX(ChalEffective,$B583))</f>
        <v/>
      </c>
      <c r="K583" s="0" t="str">
        <f aca="false">IF($B583="","",INDEX(ChalStart,$B583))</f>
        <v/>
      </c>
      <c r="L583" s="57" t="str">
        <f aca="false">IF($B583="","",INDEX(ChalInYear,$B583))</f>
        <v/>
      </c>
      <c r="M583" s="57" t="str">
        <f aca="false">IF($B583="","",INDEX(ChalRunRate,$B583))</f>
        <v/>
      </c>
      <c r="N583" s="0" t="str">
        <f aca="false">IF($B583="","",INDEX(BookDriver,$B583))</f>
        <v/>
      </c>
    </row>
    <row r="584" customFormat="false" ht="15" hidden="false" customHeight="false" outlineLevel="0" collapsed="false">
      <c r="A584" s="33" t="n">
        <v>579</v>
      </c>
      <c r="B584" s="0" t="str">
        <f aca="false">IFERROR(MATCH($A584,ChalSeq,0),"")</f>
        <v/>
      </c>
      <c r="C584" s="0" t="str">
        <f aca="false">IF($B584="","",INDEX(ChalGroup,$B584))</f>
        <v/>
      </c>
      <c r="D584" s="0" t="str">
        <f aca="false">IF($B584="","",INDEX(ChalDivision,$B584))</f>
        <v/>
      </c>
      <c r="E584" s="0" t="str">
        <f aca="false">IF($B584="","",INDEX(ChalUnit,$B584))</f>
        <v/>
      </c>
      <c r="F584" s="0" t="str">
        <f aca="false">IF($B584="","",INDEX(ChalTitle,$B584))</f>
        <v/>
      </c>
      <c r="G584" s="0" t="str">
        <f aca="false">IF($B584="","",INDEX(ChalLevel,$B584))</f>
        <v/>
      </c>
      <c r="H584" s="0" t="str">
        <f aca="false">IF($B584="","",INDEX(BookFamily,$B584))</f>
        <v/>
      </c>
      <c r="I584" s="0" t="str">
        <f aca="false">IF($B584="","",INDEX(BookWorkerType,$B584))</f>
        <v/>
      </c>
      <c r="J584" s="56" t="str">
        <f aca="false">IF($B584="","",INDEX(ChalEffective,$B584))</f>
        <v/>
      </c>
      <c r="K584" s="0" t="str">
        <f aca="false">IF($B584="","",INDEX(ChalStart,$B584))</f>
        <v/>
      </c>
      <c r="L584" s="57" t="str">
        <f aca="false">IF($B584="","",INDEX(ChalInYear,$B584))</f>
        <v/>
      </c>
      <c r="M584" s="57" t="str">
        <f aca="false">IF($B584="","",INDEX(ChalRunRate,$B584))</f>
        <v/>
      </c>
      <c r="N584" s="0" t="str">
        <f aca="false">IF($B584="","",INDEX(BookDriver,$B584))</f>
        <v/>
      </c>
    </row>
    <row r="585" customFormat="false" ht="15" hidden="false" customHeight="false" outlineLevel="0" collapsed="false">
      <c r="A585" s="33" t="n">
        <v>580</v>
      </c>
      <c r="B585" s="0" t="str">
        <f aca="false">IFERROR(MATCH($A585,ChalSeq,0),"")</f>
        <v/>
      </c>
      <c r="C585" s="0" t="str">
        <f aca="false">IF($B585="","",INDEX(ChalGroup,$B585))</f>
        <v/>
      </c>
      <c r="D585" s="0" t="str">
        <f aca="false">IF($B585="","",INDEX(ChalDivision,$B585))</f>
        <v/>
      </c>
      <c r="E585" s="0" t="str">
        <f aca="false">IF($B585="","",INDEX(ChalUnit,$B585))</f>
        <v/>
      </c>
      <c r="F585" s="0" t="str">
        <f aca="false">IF($B585="","",INDEX(ChalTitle,$B585))</f>
        <v/>
      </c>
      <c r="G585" s="0" t="str">
        <f aca="false">IF($B585="","",INDEX(ChalLevel,$B585))</f>
        <v/>
      </c>
      <c r="H585" s="0" t="str">
        <f aca="false">IF($B585="","",INDEX(BookFamily,$B585))</f>
        <v/>
      </c>
      <c r="I585" s="0" t="str">
        <f aca="false">IF($B585="","",INDEX(BookWorkerType,$B585))</f>
        <v/>
      </c>
      <c r="J585" s="56" t="str">
        <f aca="false">IF($B585="","",INDEX(ChalEffective,$B585))</f>
        <v/>
      </c>
      <c r="K585" s="0" t="str">
        <f aca="false">IF($B585="","",INDEX(ChalStart,$B585))</f>
        <v/>
      </c>
      <c r="L585" s="57" t="str">
        <f aca="false">IF($B585="","",INDEX(ChalInYear,$B585))</f>
        <v/>
      </c>
      <c r="M585" s="57" t="str">
        <f aca="false">IF($B585="","",INDEX(ChalRunRate,$B585))</f>
        <v/>
      </c>
      <c r="N585" s="0" t="str">
        <f aca="false">IF($B585="","",INDEX(BookDriver,$B585))</f>
        <v/>
      </c>
    </row>
    <row r="586" customFormat="false" ht="15" hidden="false" customHeight="false" outlineLevel="0" collapsed="false">
      <c r="A586" s="33" t="n">
        <v>581</v>
      </c>
      <c r="B586" s="0" t="str">
        <f aca="false">IFERROR(MATCH($A586,ChalSeq,0),"")</f>
        <v/>
      </c>
      <c r="C586" s="0" t="str">
        <f aca="false">IF($B586="","",INDEX(ChalGroup,$B586))</f>
        <v/>
      </c>
      <c r="D586" s="0" t="str">
        <f aca="false">IF($B586="","",INDEX(ChalDivision,$B586))</f>
        <v/>
      </c>
      <c r="E586" s="0" t="str">
        <f aca="false">IF($B586="","",INDEX(ChalUnit,$B586))</f>
        <v/>
      </c>
      <c r="F586" s="0" t="str">
        <f aca="false">IF($B586="","",INDEX(ChalTitle,$B586))</f>
        <v/>
      </c>
      <c r="G586" s="0" t="str">
        <f aca="false">IF($B586="","",INDEX(ChalLevel,$B586))</f>
        <v/>
      </c>
      <c r="H586" s="0" t="str">
        <f aca="false">IF($B586="","",INDEX(BookFamily,$B586))</f>
        <v/>
      </c>
      <c r="I586" s="0" t="str">
        <f aca="false">IF($B586="","",INDEX(BookWorkerType,$B586))</f>
        <v/>
      </c>
      <c r="J586" s="56" t="str">
        <f aca="false">IF($B586="","",INDEX(ChalEffective,$B586))</f>
        <v/>
      </c>
      <c r="K586" s="0" t="str">
        <f aca="false">IF($B586="","",INDEX(ChalStart,$B586))</f>
        <v/>
      </c>
      <c r="L586" s="57" t="str">
        <f aca="false">IF($B586="","",INDEX(ChalInYear,$B586))</f>
        <v/>
      </c>
      <c r="M586" s="57" t="str">
        <f aca="false">IF($B586="","",INDEX(ChalRunRate,$B586))</f>
        <v/>
      </c>
      <c r="N586" s="0" t="str">
        <f aca="false">IF($B586="","",INDEX(BookDriver,$B586))</f>
        <v/>
      </c>
    </row>
    <row r="587" customFormat="false" ht="15" hidden="false" customHeight="false" outlineLevel="0" collapsed="false">
      <c r="A587" s="33" t="n">
        <v>582</v>
      </c>
      <c r="B587" s="0" t="str">
        <f aca="false">IFERROR(MATCH($A587,ChalSeq,0),"")</f>
        <v/>
      </c>
      <c r="C587" s="0" t="str">
        <f aca="false">IF($B587="","",INDEX(ChalGroup,$B587))</f>
        <v/>
      </c>
      <c r="D587" s="0" t="str">
        <f aca="false">IF($B587="","",INDEX(ChalDivision,$B587))</f>
        <v/>
      </c>
      <c r="E587" s="0" t="str">
        <f aca="false">IF($B587="","",INDEX(ChalUnit,$B587))</f>
        <v/>
      </c>
      <c r="F587" s="0" t="str">
        <f aca="false">IF($B587="","",INDEX(ChalTitle,$B587))</f>
        <v/>
      </c>
      <c r="G587" s="0" t="str">
        <f aca="false">IF($B587="","",INDEX(ChalLevel,$B587))</f>
        <v/>
      </c>
      <c r="H587" s="0" t="str">
        <f aca="false">IF($B587="","",INDEX(BookFamily,$B587))</f>
        <v/>
      </c>
      <c r="I587" s="0" t="str">
        <f aca="false">IF($B587="","",INDEX(BookWorkerType,$B587))</f>
        <v/>
      </c>
      <c r="J587" s="56" t="str">
        <f aca="false">IF($B587="","",INDEX(ChalEffective,$B587))</f>
        <v/>
      </c>
      <c r="K587" s="0" t="str">
        <f aca="false">IF($B587="","",INDEX(ChalStart,$B587))</f>
        <v/>
      </c>
      <c r="L587" s="57" t="str">
        <f aca="false">IF($B587="","",INDEX(ChalInYear,$B587))</f>
        <v/>
      </c>
      <c r="M587" s="57" t="str">
        <f aca="false">IF($B587="","",INDEX(ChalRunRate,$B587))</f>
        <v/>
      </c>
      <c r="N587" s="0" t="str">
        <f aca="false">IF($B587="","",INDEX(BookDriver,$B587))</f>
        <v/>
      </c>
    </row>
    <row r="588" customFormat="false" ht="15" hidden="false" customHeight="false" outlineLevel="0" collapsed="false">
      <c r="A588" s="33" t="n">
        <v>583</v>
      </c>
      <c r="B588" s="0" t="str">
        <f aca="false">IFERROR(MATCH($A588,ChalSeq,0),"")</f>
        <v/>
      </c>
      <c r="C588" s="0" t="str">
        <f aca="false">IF($B588="","",INDEX(ChalGroup,$B588))</f>
        <v/>
      </c>
      <c r="D588" s="0" t="str">
        <f aca="false">IF($B588="","",INDEX(ChalDivision,$B588))</f>
        <v/>
      </c>
      <c r="E588" s="0" t="str">
        <f aca="false">IF($B588="","",INDEX(ChalUnit,$B588))</f>
        <v/>
      </c>
      <c r="F588" s="0" t="str">
        <f aca="false">IF($B588="","",INDEX(ChalTitle,$B588))</f>
        <v/>
      </c>
      <c r="G588" s="0" t="str">
        <f aca="false">IF($B588="","",INDEX(ChalLevel,$B588))</f>
        <v/>
      </c>
      <c r="H588" s="0" t="str">
        <f aca="false">IF($B588="","",INDEX(BookFamily,$B588))</f>
        <v/>
      </c>
      <c r="I588" s="0" t="str">
        <f aca="false">IF($B588="","",INDEX(BookWorkerType,$B588))</f>
        <v/>
      </c>
      <c r="J588" s="56" t="str">
        <f aca="false">IF($B588="","",INDEX(ChalEffective,$B588))</f>
        <v/>
      </c>
      <c r="K588" s="0" t="str">
        <f aca="false">IF($B588="","",INDEX(ChalStart,$B588))</f>
        <v/>
      </c>
      <c r="L588" s="57" t="str">
        <f aca="false">IF($B588="","",INDEX(ChalInYear,$B588))</f>
        <v/>
      </c>
      <c r="M588" s="57" t="str">
        <f aca="false">IF($B588="","",INDEX(ChalRunRate,$B588))</f>
        <v/>
      </c>
      <c r="N588" s="0" t="str">
        <f aca="false">IF($B588="","",INDEX(BookDriver,$B588))</f>
        <v/>
      </c>
    </row>
    <row r="589" customFormat="false" ht="15" hidden="false" customHeight="false" outlineLevel="0" collapsed="false">
      <c r="A589" s="33" t="n">
        <v>584</v>
      </c>
      <c r="B589" s="0" t="str">
        <f aca="false">IFERROR(MATCH($A589,ChalSeq,0),"")</f>
        <v/>
      </c>
      <c r="C589" s="0" t="str">
        <f aca="false">IF($B589="","",INDEX(ChalGroup,$B589))</f>
        <v/>
      </c>
      <c r="D589" s="0" t="str">
        <f aca="false">IF($B589="","",INDEX(ChalDivision,$B589))</f>
        <v/>
      </c>
      <c r="E589" s="0" t="str">
        <f aca="false">IF($B589="","",INDEX(ChalUnit,$B589))</f>
        <v/>
      </c>
      <c r="F589" s="0" t="str">
        <f aca="false">IF($B589="","",INDEX(ChalTitle,$B589))</f>
        <v/>
      </c>
      <c r="G589" s="0" t="str">
        <f aca="false">IF($B589="","",INDEX(ChalLevel,$B589))</f>
        <v/>
      </c>
      <c r="H589" s="0" t="str">
        <f aca="false">IF($B589="","",INDEX(BookFamily,$B589))</f>
        <v/>
      </c>
      <c r="I589" s="0" t="str">
        <f aca="false">IF($B589="","",INDEX(BookWorkerType,$B589))</f>
        <v/>
      </c>
      <c r="J589" s="56" t="str">
        <f aca="false">IF($B589="","",INDEX(ChalEffective,$B589))</f>
        <v/>
      </c>
      <c r="K589" s="0" t="str">
        <f aca="false">IF($B589="","",INDEX(ChalStart,$B589))</f>
        <v/>
      </c>
      <c r="L589" s="57" t="str">
        <f aca="false">IF($B589="","",INDEX(ChalInYear,$B589))</f>
        <v/>
      </c>
      <c r="M589" s="57" t="str">
        <f aca="false">IF($B589="","",INDEX(ChalRunRate,$B589))</f>
        <v/>
      </c>
      <c r="N589" s="0" t="str">
        <f aca="false">IF($B589="","",INDEX(BookDriver,$B589))</f>
        <v/>
      </c>
    </row>
    <row r="590" customFormat="false" ht="15" hidden="false" customHeight="false" outlineLevel="0" collapsed="false">
      <c r="A590" s="33" t="n">
        <v>585</v>
      </c>
      <c r="B590" s="0" t="str">
        <f aca="false">IFERROR(MATCH($A590,ChalSeq,0),"")</f>
        <v/>
      </c>
      <c r="C590" s="0" t="str">
        <f aca="false">IF($B590="","",INDEX(ChalGroup,$B590))</f>
        <v/>
      </c>
      <c r="D590" s="0" t="str">
        <f aca="false">IF($B590="","",INDEX(ChalDivision,$B590))</f>
        <v/>
      </c>
      <c r="E590" s="0" t="str">
        <f aca="false">IF($B590="","",INDEX(ChalUnit,$B590))</f>
        <v/>
      </c>
      <c r="F590" s="0" t="str">
        <f aca="false">IF($B590="","",INDEX(ChalTitle,$B590))</f>
        <v/>
      </c>
      <c r="G590" s="0" t="str">
        <f aca="false">IF($B590="","",INDEX(ChalLevel,$B590))</f>
        <v/>
      </c>
      <c r="H590" s="0" t="str">
        <f aca="false">IF($B590="","",INDEX(BookFamily,$B590))</f>
        <v/>
      </c>
      <c r="I590" s="0" t="str">
        <f aca="false">IF($B590="","",INDEX(BookWorkerType,$B590))</f>
        <v/>
      </c>
      <c r="J590" s="56" t="str">
        <f aca="false">IF($B590="","",INDEX(ChalEffective,$B590))</f>
        <v/>
      </c>
      <c r="K590" s="0" t="str">
        <f aca="false">IF($B590="","",INDEX(ChalStart,$B590))</f>
        <v/>
      </c>
      <c r="L590" s="57" t="str">
        <f aca="false">IF($B590="","",INDEX(ChalInYear,$B590))</f>
        <v/>
      </c>
      <c r="M590" s="57" t="str">
        <f aca="false">IF($B590="","",INDEX(ChalRunRate,$B590))</f>
        <v/>
      </c>
      <c r="N590" s="0" t="str">
        <f aca="false">IF($B590="","",INDEX(BookDriver,$B590))</f>
        <v/>
      </c>
    </row>
    <row r="591" customFormat="false" ht="15" hidden="false" customHeight="false" outlineLevel="0" collapsed="false">
      <c r="A591" s="33" t="n">
        <v>586</v>
      </c>
      <c r="B591" s="0" t="str">
        <f aca="false">IFERROR(MATCH($A591,ChalSeq,0),"")</f>
        <v/>
      </c>
      <c r="C591" s="0" t="str">
        <f aca="false">IF($B591="","",INDEX(ChalGroup,$B591))</f>
        <v/>
      </c>
      <c r="D591" s="0" t="str">
        <f aca="false">IF($B591="","",INDEX(ChalDivision,$B591))</f>
        <v/>
      </c>
      <c r="E591" s="0" t="str">
        <f aca="false">IF($B591="","",INDEX(ChalUnit,$B591))</f>
        <v/>
      </c>
      <c r="F591" s="0" t="str">
        <f aca="false">IF($B591="","",INDEX(ChalTitle,$B591))</f>
        <v/>
      </c>
      <c r="G591" s="0" t="str">
        <f aca="false">IF($B591="","",INDEX(ChalLevel,$B591))</f>
        <v/>
      </c>
      <c r="H591" s="0" t="str">
        <f aca="false">IF($B591="","",INDEX(BookFamily,$B591))</f>
        <v/>
      </c>
      <c r="I591" s="0" t="str">
        <f aca="false">IF($B591="","",INDEX(BookWorkerType,$B591))</f>
        <v/>
      </c>
      <c r="J591" s="56" t="str">
        <f aca="false">IF($B591="","",INDEX(ChalEffective,$B591))</f>
        <v/>
      </c>
      <c r="K591" s="0" t="str">
        <f aca="false">IF($B591="","",INDEX(ChalStart,$B591))</f>
        <v/>
      </c>
      <c r="L591" s="57" t="str">
        <f aca="false">IF($B591="","",INDEX(ChalInYear,$B591))</f>
        <v/>
      </c>
      <c r="M591" s="57" t="str">
        <f aca="false">IF($B591="","",INDEX(ChalRunRate,$B591))</f>
        <v/>
      </c>
      <c r="N591" s="0" t="str">
        <f aca="false">IF($B591="","",INDEX(BookDriver,$B591))</f>
        <v/>
      </c>
    </row>
    <row r="592" customFormat="false" ht="15" hidden="false" customHeight="false" outlineLevel="0" collapsed="false">
      <c r="A592" s="33" t="n">
        <v>587</v>
      </c>
      <c r="B592" s="0" t="str">
        <f aca="false">IFERROR(MATCH($A592,ChalSeq,0),"")</f>
        <v/>
      </c>
      <c r="C592" s="0" t="str">
        <f aca="false">IF($B592="","",INDEX(ChalGroup,$B592))</f>
        <v/>
      </c>
      <c r="D592" s="0" t="str">
        <f aca="false">IF($B592="","",INDEX(ChalDivision,$B592))</f>
        <v/>
      </c>
      <c r="E592" s="0" t="str">
        <f aca="false">IF($B592="","",INDEX(ChalUnit,$B592))</f>
        <v/>
      </c>
      <c r="F592" s="0" t="str">
        <f aca="false">IF($B592="","",INDEX(ChalTitle,$B592))</f>
        <v/>
      </c>
      <c r="G592" s="0" t="str">
        <f aca="false">IF($B592="","",INDEX(ChalLevel,$B592))</f>
        <v/>
      </c>
      <c r="H592" s="0" t="str">
        <f aca="false">IF($B592="","",INDEX(BookFamily,$B592))</f>
        <v/>
      </c>
      <c r="I592" s="0" t="str">
        <f aca="false">IF($B592="","",INDEX(BookWorkerType,$B592))</f>
        <v/>
      </c>
      <c r="J592" s="56" t="str">
        <f aca="false">IF($B592="","",INDEX(ChalEffective,$B592))</f>
        <v/>
      </c>
      <c r="K592" s="0" t="str">
        <f aca="false">IF($B592="","",INDEX(ChalStart,$B592))</f>
        <v/>
      </c>
      <c r="L592" s="57" t="str">
        <f aca="false">IF($B592="","",INDEX(ChalInYear,$B592))</f>
        <v/>
      </c>
      <c r="M592" s="57" t="str">
        <f aca="false">IF($B592="","",INDEX(ChalRunRate,$B592))</f>
        <v/>
      </c>
      <c r="N592" s="0" t="str">
        <f aca="false">IF($B592="","",INDEX(BookDriver,$B592))</f>
        <v/>
      </c>
    </row>
    <row r="593" customFormat="false" ht="15" hidden="false" customHeight="false" outlineLevel="0" collapsed="false">
      <c r="A593" s="33" t="n">
        <v>588</v>
      </c>
      <c r="B593" s="0" t="str">
        <f aca="false">IFERROR(MATCH($A593,ChalSeq,0),"")</f>
        <v/>
      </c>
      <c r="C593" s="0" t="str">
        <f aca="false">IF($B593="","",INDEX(ChalGroup,$B593))</f>
        <v/>
      </c>
      <c r="D593" s="0" t="str">
        <f aca="false">IF($B593="","",INDEX(ChalDivision,$B593))</f>
        <v/>
      </c>
      <c r="E593" s="0" t="str">
        <f aca="false">IF($B593="","",INDEX(ChalUnit,$B593))</f>
        <v/>
      </c>
      <c r="F593" s="0" t="str">
        <f aca="false">IF($B593="","",INDEX(ChalTitle,$B593))</f>
        <v/>
      </c>
      <c r="G593" s="0" t="str">
        <f aca="false">IF($B593="","",INDEX(ChalLevel,$B593))</f>
        <v/>
      </c>
      <c r="H593" s="0" t="str">
        <f aca="false">IF($B593="","",INDEX(BookFamily,$B593))</f>
        <v/>
      </c>
      <c r="I593" s="0" t="str">
        <f aca="false">IF($B593="","",INDEX(BookWorkerType,$B593))</f>
        <v/>
      </c>
      <c r="J593" s="56" t="str">
        <f aca="false">IF($B593="","",INDEX(ChalEffective,$B593))</f>
        <v/>
      </c>
      <c r="K593" s="0" t="str">
        <f aca="false">IF($B593="","",INDEX(ChalStart,$B593))</f>
        <v/>
      </c>
      <c r="L593" s="57" t="str">
        <f aca="false">IF($B593="","",INDEX(ChalInYear,$B593))</f>
        <v/>
      </c>
      <c r="M593" s="57" t="str">
        <f aca="false">IF($B593="","",INDEX(ChalRunRate,$B593))</f>
        <v/>
      </c>
      <c r="N593" s="0" t="str">
        <f aca="false">IF($B593="","",INDEX(BookDriver,$B593))</f>
        <v/>
      </c>
    </row>
    <row r="594" customFormat="false" ht="15" hidden="false" customHeight="false" outlineLevel="0" collapsed="false">
      <c r="A594" s="33" t="n">
        <v>589</v>
      </c>
      <c r="B594" s="0" t="str">
        <f aca="false">IFERROR(MATCH($A594,ChalSeq,0),"")</f>
        <v/>
      </c>
      <c r="C594" s="0" t="str">
        <f aca="false">IF($B594="","",INDEX(ChalGroup,$B594))</f>
        <v/>
      </c>
      <c r="D594" s="0" t="str">
        <f aca="false">IF($B594="","",INDEX(ChalDivision,$B594))</f>
        <v/>
      </c>
      <c r="E594" s="0" t="str">
        <f aca="false">IF($B594="","",INDEX(ChalUnit,$B594))</f>
        <v/>
      </c>
      <c r="F594" s="0" t="str">
        <f aca="false">IF($B594="","",INDEX(ChalTitle,$B594))</f>
        <v/>
      </c>
      <c r="G594" s="0" t="str">
        <f aca="false">IF($B594="","",INDEX(ChalLevel,$B594))</f>
        <v/>
      </c>
      <c r="H594" s="0" t="str">
        <f aca="false">IF($B594="","",INDEX(BookFamily,$B594))</f>
        <v/>
      </c>
      <c r="I594" s="0" t="str">
        <f aca="false">IF($B594="","",INDEX(BookWorkerType,$B594))</f>
        <v/>
      </c>
      <c r="J594" s="56" t="str">
        <f aca="false">IF($B594="","",INDEX(ChalEffective,$B594))</f>
        <v/>
      </c>
      <c r="K594" s="0" t="str">
        <f aca="false">IF($B594="","",INDEX(ChalStart,$B594))</f>
        <v/>
      </c>
      <c r="L594" s="57" t="str">
        <f aca="false">IF($B594="","",INDEX(ChalInYear,$B594))</f>
        <v/>
      </c>
      <c r="M594" s="57" t="str">
        <f aca="false">IF($B594="","",INDEX(ChalRunRate,$B594))</f>
        <v/>
      </c>
      <c r="N594" s="0" t="str">
        <f aca="false">IF($B594="","",INDEX(BookDriver,$B594))</f>
        <v/>
      </c>
    </row>
    <row r="595" customFormat="false" ht="15" hidden="false" customHeight="false" outlineLevel="0" collapsed="false">
      <c r="A595" s="33" t="n">
        <v>590</v>
      </c>
      <c r="B595" s="0" t="str">
        <f aca="false">IFERROR(MATCH($A595,ChalSeq,0),"")</f>
        <v/>
      </c>
      <c r="C595" s="0" t="str">
        <f aca="false">IF($B595="","",INDEX(ChalGroup,$B595))</f>
        <v/>
      </c>
      <c r="D595" s="0" t="str">
        <f aca="false">IF($B595="","",INDEX(ChalDivision,$B595))</f>
        <v/>
      </c>
      <c r="E595" s="0" t="str">
        <f aca="false">IF($B595="","",INDEX(ChalUnit,$B595))</f>
        <v/>
      </c>
      <c r="F595" s="0" t="str">
        <f aca="false">IF($B595="","",INDEX(ChalTitle,$B595))</f>
        <v/>
      </c>
      <c r="G595" s="0" t="str">
        <f aca="false">IF($B595="","",INDEX(ChalLevel,$B595))</f>
        <v/>
      </c>
      <c r="H595" s="0" t="str">
        <f aca="false">IF($B595="","",INDEX(BookFamily,$B595))</f>
        <v/>
      </c>
      <c r="I595" s="0" t="str">
        <f aca="false">IF($B595="","",INDEX(BookWorkerType,$B595))</f>
        <v/>
      </c>
      <c r="J595" s="56" t="str">
        <f aca="false">IF($B595="","",INDEX(ChalEffective,$B595))</f>
        <v/>
      </c>
      <c r="K595" s="0" t="str">
        <f aca="false">IF($B595="","",INDEX(ChalStart,$B595))</f>
        <v/>
      </c>
      <c r="L595" s="57" t="str">
        <f aca="false">IF($B595="","",INDEX(ChalInYear,$B595))</f>
        <v/>
      </c>
      <c r="M595" s="57" t="str">
        <f aca="false">IF($B595="","",INDEX(ChalRunRate,$B595))</f>
        <v/>
      </c>
      <c r="N595" s="0" t="str">
        <f aca="false">IF($B595="","",INDEX(BookDriver,$B595))</f>
        <v/>
      </c>
    </row>
    <row r="596" customFormat="false" ht="15" hidden="false" customHeight="false" outlineLevel="0" collapsed="false">
      <c r="A596" s="33" t="n">
        <v>591</v>
      </c>
      <c r="B596" s="0" t="str">
        <f aca="false">IFERROR(MATCH($A596,ChalSeq,0),"")</f>
        <v/>
      </c>
      <c r="C596" s="0" t="str">
        <f aca="false">IF($B596="","",INDEX(ChalGroup,$B596))</f>
        <v/>
      </c>
      <c r="D596" s="0" t="str">
        <f aca="false">IF($B596="","",INDEX(ChalDivision,$B596))</f>
        <v/>
      </c>
      <c r="E596" s="0" t="str">
        <f aca="false">IF($B596="","",INDEX(ChalUnit,$B596))</f>
        <v/>
      </c>
      <c r="F596" s="0" t="str">
        <f aca="false">IF($B596="","",INDEX(ChalTitle,$B596))</f>
        <v/>
      </c>
      <c r="G596" s="0" t="str">
        <f aca="false">IF($B596="","",INDEX(ChalLevel,$B596))</f>
        <v/>
      </c>
      <c r="H596" s="0" t="str">
        <f aca="false">IF($B596="","",INDEX(BookFamily,$B596))</f>
        <v/>
      </c>
      <c r="I596" s="0" t="str">
        <f aca="false">IF($B596="","",INDEX(BookWorkerType,$B596))</f>
        <v/>
      </c>
      <c r="J596" s="56" t="str">
        <f aca="false">IF($B596="","",INDEX(ChalEffective,$B596))</f>
        <v/>
      </c>
      <c r="K596" s="0" t="str">
        <f aca="false">IF($B596="","",INDEX(ChalStart,$B596))</f>
        <v/>
      </c>
      <c r="L596" s="57" t="str">
        <f aca="false">IF($B596="","",INDEX(ChalInYear,$B596))</f>
        <v/>
      </c>
      <c r="M596" s="57" t="str">
        <f aca="false">IF($B596="","",INDEX(ChalRunRate,$B596))</f>
        <v/>
      </c>
      <c r="N596" s="0" t="str">
        <f aca="false">IF($B596="","",INDEX(BookDriver,$B596))</f>
        <v/>
      </c>
    </row>
    <row r="597" customFormat="false" ht="15" hidden="false" customHeight="false" outlineLevel="0" collapsed="false">
      <c r="A597" s="33" t="n">
        <v>592</v>
      </c>
      <c r="B597" s="0" t="str">
        <f aca="false">IFERROR(MATCH($A597,ChalSeq,0),"")</f>
        <v/>
      </c>
      <c r="C597" s="0" t="str">
        <f aca="false">IF($B597="","",INDEX(ChalGroup,$B597))</f>
        <v/>
      </c>
      <c r="D597" s="0" t="str">
        <f aca="false">IF($B597="","",INDEX(ChalDivision,$B597))</f>
        <v/>
      </c>
      <c r="E597" s="0" t="str">
        <f aca="false">IF($B597="","",INDEX(ChalUnit,$B597))</f>
        <v/>
      </c>
      <c r="F597" s="0" t="str">
        <f aca="false">IF($B597="","",INDEX(ChalTitle,$B597))</f>
        <v/>
      </c>
      <c r="G597" s="0" t="str">
        <f aca="false">IF($B597="","",INDEX(ChalLevel,$B597))</f>
        <v/>
      </c>
      <c r="H597" s="0" t="str">
        <f aca="false">IF($B597="","",INDEX(BookFamily,$B597))</f>
        <v/>
      </c>
      <c r="I597" s="0" t="str">
        <f aca="false">IF($B597="","",INDEX(BookWorkerType,$B597))</f>
        <v/>
      </c>
      <c r="J597" s="56" t="str">
        <f aca="false">IF($B597="","",INDEX(ChalEffective,$B597))</f>
        <v/>
      </c>
      <c r="K597" s="0" t="str">
        <f aca="false">IF($B597="","",INDEX(ChalStart,$B597))</f>
        <v/>
      </c>
      <c r="L597" s="57" t="str">
        <f aca="false">IF($B597="","",INDEX(ChalInYear,$B597))</f>
        <v/>
      </c>
      <c r="M597" s="57" t="str">
        <f aca="false">IF($B597="","",INDEX(ChalRunRate,$B597))</f>
        <v/>
      </c>
      <c r="N597" s="0" t="str">
        <f aca="false">IF($B597="","",INDEX(BookDriver,$B597))</f>
        <v/>
      </c>
    </row>
    <row r="598" customFormat="false" ht="15" hidden="false" customHeight="false" outlineLevel="0" collapsed="false">
      <c r="A598" s="33" t="n">
        <v>593</v>
      </c>
      <c r="B598" s="0" t="str">
        <f aca="false">IFERROR(MATCH($A598,ChalSeq,0),"")</f>
        <v/>
      </c>
      <c r="C598" s="0" t="str">
        <f aca="false">IF($B598="","",INDEX(ChalGroup,$B598))</f>
        <v/>
      </c>
      <c r="D598" s="0" t="str">
        <f aca="false">IF($B598="","",INDEX(ChalDivision,$B598))</f>
        <v/>
      </c>
      <c r="E598" s="0" t="str">
        <f aca="false">IF($B598="","",INDEX(ChalUnit,$B598))</f>
        <v/>
      </c>
      <c r="F598" s="0" t="str">
        <f aca="false">IF($B598="","",INDEX(ChalTitle,$B598))</f>
        <v/>
      </c>
      <c r="G598" s="0" t="str">
        <f aca="false">IF($B598="","",INDEX(ChalLevel,$B598))</f>
        <v/>
      </c>
      <c r="H598" s="0" t="str">
        <f aca="false">IF($B598="","",INDEX(BookFamily,$B598))</f>
        <v/>
      </c>
      <c r="I598" s="0" t="str">
        <f aca="false">IF($B598="","",INDEX(BookWorkerType,$B598))</f>
        <v/>
      </c>
      <c r="J598" s="56" t="str">
        <f aca="false">IF($B598="","",INDEX(ChalEffective,$B598))</f>
        <v/>
      </c>
      <c r="K598" s="0" t="str">
        <f aca="false">IF($B598="","",INDEX(ChalStart,$B598))</f>
        <v/>
      </c>
      <c r="L598" s="57" t="str">
        <f aca="false">IF($B598="","",INDEX(ChalInYear,$B598))</f>
        <v/>
      </c>
      <c r="M598" s="57" t="str">
        <f aca="false">IF($B598="","",INDEX(ChalRunRate,$B598))</f>
        <v/>
      </c>
      <c r="N598" s="0" t="str">
        <f aca="false">IF($B598="","",INDEX(BookDriver,$B598))</f>
        <v/>
      </c>
    </row>
    <row r="599" customFormat="false" ht="15" hidden="false" customHeight="false" outlineLevel="0" collapsed="false">
      <c r="A599" s="33" t="n">
        <v>594</v>
      </c>
      <c r="B599" s="0" t="str">
        <f aca="false">IFERROR(MATCH($A599,ChalSeq,0),"")</f>
        <v/>
      </c>
      <c r="C599" s="0" t="str">
        <f aca="false">IF($B599="","",INDEX(ChalGroup,$B599))</f>
        <v/>
      </c>
      <c r="D599" s="0" t="str">
        <f aca="false">IF($B599="","",INDEX(ChalDivision,$B599))</f>
        <v/>
      </c>
      <c r="E599" s="0" t="str">
        <f aca="false">IF($B599="","",INDEX(ChalUnit,$B599))</f>
        <v/>
      </c>
      <c r="F599" s="0" t="str">
        <f aca="false">IF($B599="","",INDEX(ChalTitle,$B599))</f>
        <v/>
      </c>
      <c r="G599" s="0" t="str">
        <f aca="false">IF($B599="","",INDEX(ChalLevel,$B599))</f>
        <v/>
      </c>
      <c r="H599" s="0" t="str">
        <f aca="false">IF($B599="","",INDEX(BookFamily,$B599))</f>
        <v/>
      </c>
      <c r="I599" s="0" t="str">
        <f aca="false">IF($B599="","",INDEX(BookWorkerType,$B599))</f>
        <v/>
      </c>
      <c r="J599" s="56" t="str">
        <f aca="false">IF($B599="","",INDEX(ChalEffective,$B599))</f>
        <v/>
      </c>
      <c r="K599" s="0" t="str">
        <f aca="false">IF($B599="","",INDEX(ChalStart,$B599))</f>
        <v/>
      </c>
      <c r="L599" s="57" t="str">
        <f aca="false">IF($B599="","",INDEX(ChalInYear,$B599))</f>
        <v/>
      </c>
      <c r="M599" s="57" t="str">
        <f aca="false">IF($B599="","",INDEX(ChalRunRate,$B599))</f>
        <v/>
      </c>
      <c r="N599" s="0" t="str">
        <f aca="false">IF($B599="","",INDEX(BookDriver,$B599))</f>
        <v/>
      </c>
    </row>
    <row r="600" customFormat="false" ht="15" hidden="false" customHeight="false" outlineLevel="0" collapsed="false">
      <c r="A600" s="33" t="n">
        <v>595</v>
      </c>
      <c r="B600" s="0" t="str">
        <f aca="false">IFERROR(MATCH($A600,ChalSeq,0),"")</f>
        <v/>
      </c>
      <c r="C600" s="0" t="str">
        <f aca="false">IF($B600="","",INDEX(ChalGroup,$B600))</f>
        <v/>
      </c>
      <c r="D600" s="0" t="str">
        <f aca="false">IF($B600="","",INDEX(ChalDivision,$B600))</f>
        <v/>
      </c>
      <c r="E600" s="0" t="str">
        <f aca="false">IF($B600="","",INDEX(ChalUnit,$B600))</f>
        <v/>
      </c>
      <c r="F600" s="0" t="str">
        <f aca="false">IF($B600="","",INDEX(ChalTitle,$B600))</f>
        <v/>
      </c>
      <c r="G600" s="0" t="str">
        <f aca="false">IF($B600="","",INDEX(ChalLevel,$B600))</f>
        <v/>
      </c>
      <c r="H600" s="0" t="str">
        <f aca="false">IF($B600="","",INDEX(BookFamily,$B600))</f>
        <v/>
      </c>
      <c r="I600" s="0" t="str">
        <f aca="false">IF($B600="","",INDEX(BookWorkerType,$B600))</f>
        <v/>
      </c>
      <c r="J600" s="56" t="str">
        <f aca="false">IF($B600="","",INDEX(ChalEffective,$B600))</f>
        <v/>
      </c>
      <c r="K600" s="0" t="str">
        <f aca="false">IF($B600="","",INDEX(ChalStart,$B600))</f>
        <v/>
      </c>
      <c r="L600" s="57" t="str">
        <f aca="false">IF($B600="","",INDEX(ChalInYear,$B600))</f>
        <v/>
      </c>
      <c r="M600" s="57" t="str">
        <f aca="false">IF($B600="","",INDEX(ChalRunRate,$B600))</f>
        <v/>
      </c>
      <c r="N600" s="0" t="str">
        <f aca="false">IF($B600="","",INDEX(BookDriver,$B600))</f>
        <v/>
      </c>
    </row>
    <row r="601" customFormat="false" ht="15" hidden="false" customHeight="false" outlineLevel="0" collapsed="false">
      <c r="A601" s="33" t="n">
        <v>596</v>
      </c>
      <c r="B601" s="0" t="str">
        <f aca="false">IFERROR(MATCH($A601,ChalSeq,0),"")</f>
        <v/>
      </c>
      <c r="C601" s="0" t="str">
        <f aca="false">IF($B601="","",INDEX(ChalGroup,$B601))</f>
        <v/>
      </c>
      <c r="D601" s="0" t="str">
        <f aca="false">IF($B601="","",INDEX(ChalDivision,$B601))</f>
        <v/>
      </c>
      <c r="E601" s="0" t="str">
        <f aca="false">IF($B601="","",INDEX(ChalUnit,$B601))</f>
        <v/>
      </c>
      <c r="F601" s="0" t="str">
        <f aca="false">IF($B601="","",INDEX(ChalTitle,$B601))</f>
        <v/>
      </c>
      <c r="G601" s="0" t="str">
        <f aca="false">IF($B601="","",INDEX(ChalLevel,$B601))</f>
        <v/>
      </c>
      <c r="H601" s="0" t="str">
        <f aca="false">IF($B601="","",INDEX(BookFamily,$B601))</f>
        <v/>
      </c>
      <c r="I601" s="0" t="str">
        <f aca="false">IF($B601="","",INDEX(BookWorkerType,$B601))</f>
        <v/>
      </c>
      <c r="J601" s="56" t="str">
        <f aca="false">IF($B601="","",INDEX(ChalEffective,$B601))</f>
        <v/>
      </c>
      <c r="K601" s="0" t="str">
        <f aca="false">IF($B601="","",INDEX(ChalStart,$B601))</f>
        <v/>
      </c>
      <c r="L601" s="57" t="str">
        <f aca="false">IF($B601="","",INDEX(ChalInYear,$B601))</f>
        <v/>
      </c>
      <c r="M601" s="57" t="str">
        <f aca="false">IF($B601="","",INDEX(ChalRunRate,$B601))</f>
        <v/>
      </c>
      <c r="N601" s="0" t="str">
        <f aca="false">IF($B601="","",INDEX(BookDriver,$B601))</f>
        <v/>
      </c>
    </row>
    <row r="602" customFormat="false" ht="15" hidden="false" customHeight="false" outlineLevel="0" collapsed="false">
      <c r="A602" s="33" t="n">
        <v>597</v>
      </c>
      <c r="B602" s="0" t="str">
        <f aca="false">IFERROR(MATCH($A602,ChalSeq,0),"")</f>
        <v/>
      </c>
      <c r="C602" s="0" t="str">
        <f aca="false">IF($B602="","",INDEX(ChalGroup,$B602))</f>
        <v/>
      </c>
      <c r="D602" s="0" t="str">
        <f aca="false">IF($B602="","",INDEX(ChalDivision,$B602))</f>
        <v/>
      </c>
      <c r="E602" s="0" t="str">
        <f aca="false">IF($B602="","",INDEX(ChalUnit,$B602))</f>
        <v/>
      </c>
      <c r="F602" s="0" t="str">
        <f aca="false">IF($B602="","",INDEX(ChalTitle,$B602))</f>
        <v/>
      </c>
      <c r="G602" s="0" t="str">
        <f aca="false">IF($B602="","",INDEX(ChalLevel,$B602))</f>
        <v/>
      </c>
      <c r="H602" s="0" t="str">
        <f aca="false">IF($B602="","",INDEX(BookFamily,$B602))</f>
        <v/>
      </c>
      <c r="I602" s="0" t="str">
        <f aca="false">IF($B602="","",INDEX(BookWorkerType,$B602))</f>
        <v/>
      </c>
      <c r="J602" s="56" t="str">
        <f aca="false">IF($B602="","",INDEX(ChalEffective,$B602))</f>
        <v/>
      </c>
      <c r="K602" s="0" t="str">
        <f aca="false">IF($B602="","",INDEX(ChalStart,$B602))</f>
        <v/>
      </c>
      <c r="L602" s="57" t="str">
        <f aca="false">IF($B602="","",INDEX(ChalInYear,$B602))</f>
        <v/>
      </c>
      <c r="M602" s="57" t="str">
        <f aca="false">IF($B602="","",INDEX(ChalRunRate,$B602))</f>
        <v/>
      </c>
      <c r="N602" s="0" t="str">
        <f aca="false">IF($B602="","",INDEX(BookDriver,$B602))</f>
        <v/>
      </c>
    </row>
    <row r="603" customFormat="false" ht="15" hidden="false" customHeight="false" outlineLevel="0" collapsed="false">
      <c r="A603" s="33" t="n">
        <v>598</v>
      </c>
      <c r="B603" s="0" t="str">
        <f aca="false">IFERROR(MATCH($A603,ChalSeq,0),"")</f>
        <v/>
      </c>
      <c r="C603" s="0" t="str">
        <f aca="false">IF($B603="","",INDEX(ChalGroup,$B603))</f>
        <v/>
      </c>
      <c r="D603" s="0" t="str">
        <f aca="false">IF($B603="","",INDEX(ChalDivision,$B603))</f>
        <v/>
      </c>
      <c r="E603" s="0" t="str">
        <f aca="false">IF($B603="","",INDEX(ChalUnit,$B603))</f>
        <v/>
      </c>
      <c r="F603" s="0" t="str">
        <f aca="false">IF($B603="","",INDEX(ChalTitle,$B603))</f>
        <v/>
      </c>
      <c r="G603" s="0" t="str">
        <f aca="false">IF($B603="","",INDEX(ChalLevel,$B603))</f>
        <v/>
      </c>
      <c r="H603" s="0" t="str">
        <f aca="false">IF($B603="","",INDEX(BookFamily,$B603))</f>
        <v/>
      </c>
      <c r="I603" s="0" t="str">
        <f aca="false">IF($B603="","",INDEX(BookWorkerType,$B603))</f>
        <v/>
      </c>
      <c r="J603" s="56" t="str">
        <f aca="false">IF($B603="","",INDEX(ChalEffective,$B603))</f>
        <v/>
      </c>
      <c r="K603" s="0" t="str">
        <f aca="false">IF($B603="","",INDEX(ChalStart,$B603))</f>
        <v/>
      </c>
      <c r="L603" s="57" t="str">
        <f aca="false">IF($B603="","",INDEX(ChalInYear,$B603))</f>
        <v/>
      </c>
      <c r="M603" s="57" t="str">
        <f aca="false">IF($B603="","",INDEX(ChalRunRate,$B603))</f>
        <v/>
      </c>
      <c r="N603" s="0" t="str">
        <f aca="false">IF($B603="","",INDEX(BookDriver,$B603))</f>
        <v/>
      </c>
    </row>
    <row r="604" customFormat="false" ht="15" hidden="false" customHeight="false" outlineLevel="0" collapsed="false">
      <c r="A604" s="33" t="n">
        <v>599</v>
      </c>
      <c r="B604" s="0" t="str">
        <f aca="false">IFERROR(MATCH($A604,ChalSeq,0),"")</f>
        <v/>
      </c>
      <c r="C604" s="0" t="str">
        <f aca="false">IF($B604="","",INDEX(ChalGroup,$B604))</f>
        <v/>
      </c>
      <c r="D604" s="0" t="str">
        <f aca="false">IF($B604="","",INDEX(ChalDivision,$B604))</f>
        <v/>
      </c>
      <c r="E604" s="0" t="str">
        <f aca="false">IF($B604="","",INDEX(ChalUnit,$B604))</f>
        <v/>
      </c>
      <c r="F604" s="0" t="str">
        <f aca="false">IF($B604="","",INDEX(ChalTitle,$B604))</f>
        <v/>
      </c>
      <c r="G604" s="0" t="str">
        <f aca="false">IF($B604="","",INDEX(ChalLevel,$B604))</f>
        <v/>
      </c>
      <c r="H604" s="0" t="str">
        <f aca="false">IF($B604="","",INDEX(BookFamily,$B604))</f>
        <v/>
      </c>
      <c r="I604" s="0" t="str">
        <f aca="false">IF($B604="","",INDEX(BookWorkerType,$B604))</f>
        <v/>
      </c>
      <c r="J604" s="56" t="str">
        <f aca="false">IF($B604="","",INDEX(ChalEffective,$B604))</f>
        <v/>
      </c>
      <c r="K604" s="0" t="str">
        <f aca="false">IF($B604="","",INDEX(ChalStart,$B604))</f>
        <v/>
      </c>
      <c r="L604" s="57" t="str">
        <f aca="false">IF($B604="","",INDEX(ChalInYear,$B604))</f>
        <v/>
      </c>
      <c r="M604" s="57" t="str">
        <f aca="false">IF($B604="","",INDEX(ChalRunRate,$B604))</f>
        <v/>
      </c>
      <c r="N604" s="0" t="str">
        <f aca="false">IF($B604="","",INDEX(BookDriver,$B604))</f>
        <v/>
      </c>
    </row>
    <row r="605" customFormat="false" ht="15" hidden="false" customHeight="false" outlineLevel="0" collapsed="false">
      <c r="A605" s="33" t="n">
        <v>600</v>
      </c>
      <c r="B605" s="0" t="str">
        <f aca="false">IFERROR(MATCH($A605,ChalSeq,0),"")</f>
        <v/>
      </c>
      <c r="C605" s="0" t="str">
        <f aca="false">IF($B605="","",INDEX(ChalGroup,$B605))</f>
        <v/>
      </c>
      <c r="D605" s="0" t="str">
        <f aca="false">IF($B605="","",INDEX(ChalDivision,$B605))</f>
        <v/>
      </c>
      <c r="E605" s="0" t="str">
        <f aca="false">IF($B605="","",INDEX(ChalUnit,$B605))</f>
        <v/>
      </c>
      <c r="F605" s="0" t="str">
        <f aca="false">IF($B605="","",INDEX(ChalTitle,$B605))</f>
        <v/>
      </c>
      <c r="G605" s="0" t="str">
        <f aca="false">IF($B605="","",INDEX(ChalLevel,$B605))</f>
        <v/>
      </c>
      <c r="H605" s="0" t="str">
        <f aca="false">IF($B605="","",INDEX(BookFamily,$B605))</f>
        <v/>
      </c>
      <c r="I605" s="0" t="str">
        <f aca="false">IF($B605="","",INDEX(BookWorkerType,$B605))</f>
        <v/>
      </c>
      <c r="J605" s="56" t="str">
        <f aca="false">IF($B605="","",INDEX(ChalEffective,$B605))</f>
        <v/>
      </c>
      <c r="K605" s="0" t="str">
        <f aca="false">IF($B605="","",INDEX(ChalStart,$B605))</f>
        <v/>
      </c>
      <c r="L605" s="57" t="str">
        <f aca="false">IF($B605="","",INDEX(ChalInYear,$B605))</f>
        <v/>
      </c>
      <c r="M605" s="57" t="str">
        <f aca="false">IF($B605="","",INDEX(ChalRunRate,$B605))</f>
        <v/>
      </c>
      <c r="N605" s="0" t="str">
        <f aca="false">IF($B605="","",INDEX(BookDriver,$B605))</f>
        <v/>
      </c>
    </row>
    <row r="606" customFormat="false" ht="15" hidden="false" customHeight="false" outlineLevel="0" collapsed="false">
      <c r="F606" s="6" t="s">
        <v>252</v>
      </c>
      <c r="J606" s="58" t="n">
        <f aca="false">SUM(J6:J605)</f>
        <v>0</v>
      </c>
      <c r="L606" s="59" t="n">
        <f aca="false">SUM(L6:L605)</f>
        <v>0</v>
      </c>
      <c r="M606" s="59" t="n">
        <f aca="false">SUM(M6:M605)</f>
        <v>0</v>
      </c>
    </row>
  </sheetData>
  <sheetProtection sheet="true" sort="false" autoFilter="false"/>
  <autoFilter ref="A5:N605"/>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5" min="2" style="0" width="16"/>
    <col collapsed="false" customWidth="true" hidden="false" outlineLevel="0" max="6" min="6" style="0" width="40"/>
  </cols>
  <sheetData>
    <row r="1" customFormat="false" ht="24" hidden="false" customHeight="true" outlineLevel="0" collapsed="false">
      <c r="A1" s="1" t="s">
        <v>281</v>
      </c>
    </row>
    <row r="2" customFormat="false" ht="15" hidden="false" customHeight="false" outlineLevel="0" collapsed="false">
      <c r="A2" s="2" t="s">
        <v>282</v>
      </c>
      <c r="B2" s="2"/>
      <c r="C2" s="2"/>
      <c r="D2" s="2"/>
      <c r="E2" s="2"/>
      <c r="F2" s="2"/>
      <c r="G2" s="2"/>
      <c r="H2" s="2"/>
      <c r="I2" s="2"/>
      <c r="J2" s="2"/>
    </row>
    <row r="4" customFormat="false" ht="19.7" hidden="false" customHeight="false" outlineLevel="0" collapsed="false">
      <c r="A4" s="60" t="s">
        <v>63</v>
      </c>
      <c r="B4" s="25"/>
      <c r="C4" s="25"/>
      <c r="D4" s="25"/>
      <c r="E4" s="61" t="s">
        <v>283</v>
      </c>
      <c r="F4" s="25"/>
    </row>
    <row r="6" customFormat="false" ht="15" hidden="false" customHeight="false" outlineLevel="0" collapsed="false">
      <c r="A6" s="6" t="s">
        <v>284</v>
      </c>
      <c r="B6" s="43" t="n">
        <f aca="false">'1. Envelopes'!$O$11</f>
        <v>0</v>
      </c>
    </row>
    <row r="7" customFormat="false" ht="15" hidden="false" customHeight="false" outlineLevel="0" collapsed="false">
      <c r="A7" s="6" t="s">
        <v>258</v>
      </c>
      <c r="B7" s="43" t="n">
        <f aca="false">'1. Envelopes'!$R$11</f>
        <v>0</v>
      </c>
    </row>
    <row r="8" customFormat="false" ht="15" hidden="false" customHeight="false" outlineLevel="0" collapsed="false">
      <c r="A8" s="6" t="s">
        <v>285</v>
      </c>
      <c r="B8" s="35" t="n">
        <f aca="false">COUNTIFS('4. Challenge'!$A$6:$A$2405,"CEO Office",'4. Challenge'!$P$6:$P$2405,0)</f>
        <v>0</v>
      </c>
    </row>
    <row r="9" customFormat="false" ht="15" hidden="false" customHeight="false" outlineLevel="0" collapsed="false">
      <c r="A9" s="6" t="s">
        <v>286</v>
      </c>
      <c r="B9" s="43" t="n">
        <f aca="false">'1. Envelopes'!$Q$11</f>
        <v>0</v>
      </c>
    </row>
    <row r="10" customFormat="false" ht="15" hidden="false" customHeight="false" outlineLevel="0" collapsed="false">
      <c r="A10" s="6" t="s">
        <v>262</v>
      </c>
      <c r="B10" s="35" t="n">
        <f aca="false">'1. Envelopes'!$S$11</f>
        <v>0</v>
      </c>
    </row>
    <row r="11" customFormat="false" ht="15" hidden="false" customHeight="false" outlineLevel="0" collapsed="false">
      <c r="A11" s="6" t="s">
        <v>270</v>
      </c>
      <c r="B11" s="35" t="n">
        <f aca="false">SUMIFS('4. Challenge'!$R$6:$R$2405,'4. Challenge'!$A$6:$A$2405,"CEO Office")</f>
        <v>0</v>
      </c>
    </row>
    <row r="12" customFormat="false" ht="15" hidden="false" customHeight="false" outlineLevel="0" collapsed="false">
      <c r="A12" s="6" t="s">
        <v>287</v>
      </c>
      <c r="B12" s="35" t="n">
        <f aca="false">'1. Envelopes'!$F$11</f>
        <v>1048</v>
      </c>
    </row>
    <row r="13" customFormat="false" ht="15" hidden="false" customHeight="false" outlineLevel="0" collapsed="false">
      <c r="A13" s="6" t="s">
        <v>288</v>
      </c>
      <c r="B13" s="34" t="str">
        <f aca="false">'1. Envelopes'!$T$11</f>
        <v>Within</v>
      </c>
    </row>
    <row r="15" customFormat="false" ht="15" hidden="false" customHeight="false" outlineLevel="0" collapsed="false">
      <c r="A15" s="6" t="s">
        <v>289</v>
      </c>
      <c r="D15" s="6" t="s">
        <v>290</v>
      </c>
    </row>
    <row r="16" customFormat="false" ht="15" hidden="false" customHeight="false" outlineLevel="0" collapsed="false">
      <c r="A16" s="62" t="s">
        <v>198</v>
      </c>
      <c r="B16" s="62" t="s">
        <v>291</v>
      </c>
      <c r="C16" s="62" t="s">
        <v>280</v>
      </c>
      <c r="D16" s="62" t="s">
        <v>292</v>
      </c>
      <c r="E16" s="62" t="s">
        <v>291</v>
      </c>
      <c r="F16" s="62" t="s">
        <v>293</v>
      </c>
    </row>
    <row r="17" customFormat="false" ht="15" hidden="false" customHeight="false" outlineLevel="0" collapsed="false">
      <c r="A17" s="34" t="s">
        <v>199</v>
      </c>
      <c r="B17" s="56" t="n">
        <f aca="false">SUMIFS('4. Challenge'!$P$6:$P$2405,'4. Challenge'!$A$6:$A$2405,"CEO Office",BookCategory,"Regulatory")</f>
        <v>0</v>
      </c>
      <c r="C17" s="57" t="n">
        <f aca="false">SUMIFS('4. Challenge'!$S$6:$S$2405,'4. Challenge'!$A$6:$A$2405,"CEO Office",BookCategory,"Regulatory")</f>
        <v>0</v>
      </c>
      <c r="D17" s="34" t="s">
        <v>115</v>
      </c>
      <c r="E17" s="56" t="n">
        <f aca="false">SUMIFS('4. Challenge'!$P$6:$P$2405,'4. Challenge'!$A$6:$A$2405,"CEO Office",'4. Challenge'!$Q$6:$Q$2405,"Q1")</f>
        <v>0</v>
      </c>
      <c r="F17" s="57" t="n">
        <f aca="false">SUMIFS('4. Challenge'!$R$6:$R$2405,'4. Challenge'!$A$6:$A$2405,"CEO Office",'4. Challenge'!$Q$6:$Q$2405,"Q1")</f>
        <v>0</v>
      </c>
    </row>
    <row r="18" customFormat="false" ht="15" hidden="false" customHeight="false" outlineLevel="0" collapsed="false">
      <c r="A18" s="34" t="s">
        <v>201</v>
      </c>
      <c r="B18" s="56" t="n">
        <f aca="false">SUMIFS('4. Challenge'!$P$6:$P$2405,'4. Challenge'!$A$6:$A$2405,"CEO Office",BookCategory,"Strategic")</f>
        <v>0</v>
      </c>
      <c r="C18" s="57" t="n">
        <f aca="false">SUMIFS('4. Challenge'!$S$6:$S$2405,'4. Challenge'!$A$6:$A$2405,"CEO Office",BookCategory,"Strategic")</f>
        <v>0</v>
      </c>
      <c r="D18" s="34" t="s">
        <v>116</v>
      </c>
      <c r="E18" s="56" t="n">
        <f aca="false">SUMIFS('4. Challenge'!$P$6:$P$2405,'4. Challenge'!$A$6:$A$2405,"CEO Office",'4. Challenge'!$Q$6:$Q$2405,"Q2")</f>
        <v>0</v>
      </c>
      <c r="F18" s="57" t="n">
        <f aca="false">SUMIFS('4. Challenge'!$R$6:$R$2405,'4. Challenge'!$A$6:$A$2405,"CEO Office",'4. Challenge'!$Q$6:$Q$2405,"Q2")</f>
        <v>0</v>
      </c>
    </row>
    <row r="19" customFormat="false" ht="15" hidden="false" customHeight="false" outlineLevel="0" collapsed="false">
      <c r="A19" s="34" t="s">
        <v>203</v>
      </c>
      <c r="B19" s="56" t="n">
        <f aca="false">SUMIFS('4. Challenge'!$P$6:$P$2405,'4. Challenge'!$A$6:$A$2405,"CEO Office",BookCategory,"Control")</f>
        <v>0</v>
      </c>
      <c r="C19" s="57" t="n">
        <f aca="false">SUMIFS('4. Challenge'!$S$6:$S$2405,'4. Challenge'!$A$6:$A$2405,"CEO Office",BookCategory,"Control")</f>
        <v>0</v>
      </c>
      <c r="D19" s="34" t="s">
        <v>117</v>
      </c>
      <c r="E19" s="56" t="n">
        <f aca="false">SUMIFS('4. Challenge'!$P$6:$P$2405,'4. Challenge'!$A$6:$A$2405,"CEO Office",'4. Challenge'!$Q$6:$Q$2405,"Q3")</f>
        <v>0</v>
      </c>
      <c r="F19" s="57" t="n">
        <f aca="false">SUMIFS('4. Challenge'!$R$6:$R$2405,'4. Challenge'!$A$6:$A$2405,"CEO Office",'4. Challenge'!$Q$6:$Q$2405,"Q3")</f>
        <v>0</v>
      </c>
    </row>
    <row r="20" customFormat="false" ht="15" hidden="false" customHeight="false" outlineLevel="0" collapsed="false">
      <c r="A20" s="34" t="s">
        <v>205</v>
      </c>
      <c r="B20" s="56" t="n">
        <f aca="false">SUMIFS('4. Challenge'!$P$6:$P$2405,'4. Challenge'!$A$6:$A$2405,"CEO Office",BookCategory,"BAU")</f>
        <v>0</v>
      </c>
      <c r="C20" s="57" t="n">
        <f aca="false">SUMIFS('4. Challenge'!$S$6:$S$2405,'4. Challenge'!$A$6:$A$2405,"CEO Office",BookCategory,"BAU")</f>
        <v>0</v>
      </c>
      <c r="D20" s="34" t="s">
        <v>118</v>
      </c>
      <c r="E20" s="56" t="n">
        <f aca="false">SUMIFS('4. Challenge'!$P$6:$P$2405,'4. Challenge'!$A$6:$A$2405,"CEO Office",'4. Challenge'!$Q$6:$Q$2405,"Q4")</f>
        <v>0</v>
      </c>
      <c r="F20" s="57" t="n">
        <f aca="false">SUMIFS('4. Challenge'!$R$6:$R$2405,'4. Challenge'!$A$6:$A$2405,"CEO Office",'4. Challenge'!$Q$6:$Q$2405,"Q4")</f>
        <v>0</v>
      </c>
    </row>
    <row r="22" customFormat="false" ht="25.5" hidden="false" customHeight="true" outlineLevel="0" collapsed="false">
      <c r="A22" s="11" t="s">
        <v>294</v>
      </c>
      <c r="B22" s="11"/>
      <c r="C22" s="11"/>
      <c r="D22" s="11"/>
      <c r="E22" s="11"/>
      <c r="F22" s="11"/>
    </row>
    <row r="25" customFormat="false" ht="19.7" hidden="false" customHeight="false" outlineLevel="0" collapsed="false">
      <c r="A25" s="60" t="s">
        <v>67</v>
      </c>
      <c r="B25" s="25"/>
      <c r="C25" s="25"/>
      <c r="D25" s="25"/>
      <c r="E25" s="61" t="s">
        <v>283</v>
      </c>
      <c r="F25" s="25"/>
    </row>
    <row r="27" customFormat="false" ht="15" hidden="false" customHeight="false" outlineLevel="0" collapsed="false">
      <c r="A27" s="6" t="s">
        <v>284</v>
      </c>
      <c r="B27" s="43" t="n">
        <f aca="false">'1. Envelopes'!$O$12</f>
        <v>0</v>
      </c>
    </row>
    <row r="28" customFormat="false" ht="15" hidden="false" customHeight="false" outlineLevel="0" collapsed="false">
      <c r="A28" s="6" t="s">
        <v>258</v>
      </c>
      <c r="B28" s="43" t="n">
        <f aca="false">'1. Envelopes'!$R$12</f>
        <v>0</v>
      </c>
    </row>
    <row r="29" customFormat="false" ht="15" hidden="false" customHeight="false" outlineLevel="0" collapsed="false">
      <c r="A29" s="6" t="s">
        <v>285</v>
      </c>
      <c r="B29" s="35" t="n">
        <f aca="false">COUNTIFS('4. Challenge'!$A$6:$A$2405,"Compliance Group",'4. Challenge'!$P$6:$P$2405,0)</f>
        <v>0</v>
      </c>
    </row>
    <row r="30" customFormat="false" ht="15" hidden="false" customHeight="false" outlineLevel="0" collapsed="false">
      <c r="A30" s="6" t="s">
        <v>286</v>
      </c>
      <c r="B30" s="43" t="n">
        <f aca="false">'1. Envelopes'!$Q$12</f>
        <v>0</v>
      </c>
    </row>
    <row r="31" customFormat="false" ht="15" hidden="false" customHeight="false" outlineLevel="0" collapsed="false">
      <c r="A31" s="6" t="s">
        <v>262</v>
      </c>
      <c r="B31" s="35" t="n">
        <f aca="false">'1. Envelopes'!$S$12</f>
        <v>0</v>
      </c>
    </row>
    <row r="32" customFormat="false" ht="15" hidden="false" customHeight="false" outlineLevel="0" collapsed="false">
      <c r="A32" s="6" t="s">
        <v>270</v>
      </c>
      <c r="B32" s="35" t="n">
        <f aca="false">SUMIFS('4. Challenge'!$R$6:$R$2405,'4. Challenge'!$A$6:$A$2405,"Compliance Group")</f>
        <v>0</v>
      </c>
    </row>
    <row r="33" customFormat="false" ht="15" hidden="false" customHeight="false" outlineLevel="0" collapsed="false">
      <c r="A33" s="6" t="s">
        <v>287</v>
      </c>
      <c r="B33" s="35" t="n">
        <f aca="false">'1. Envelopes'!$F$12</f>
        <v>1904</v>
      </c>
    </row>
    <row r="34" customFormat="false" ht="15" hidden="false" customHeight="false" outlineLevel="0" collapsed="false">
      <c r="A34" s="6" t="s">
        <v>288</v>
      </c>
      <c r="B34" s="34" t="str">
        <f aca="false">'1. Envelopes'!$T$12</f>
        <v>Within</v>
      </c>
    </row>
    <row r="36" customFormat="false" ht="15" hidden="false" customHeight="false" outlineLevel="0" collapsed="false">
      <c r="A36" s="6" t="s">
        <v>289</v>
      </c>
      <c r="D36" s="6" t="s">
        <v>290</v>
      </c>
    </row>
    <row r="37" customFormat="false" ht="15" hidden="false" customHeight="false" outlineLevel="0" collapsed="false">
      <c r="A37" s="62" t="s">
        <v>198</v>
      </c>
      <c r="B37" s="62" t="s">
        <v>291</v>
      </c>
      <c r="C37" s="62" t="s">
        <v>280</v>
      </c>
      <c r="D37" s="62" t="s">
        <v>292</v>
      </c>
      <c r="E37" s="62" t="s">
        <v>291</v>
      </c>
      <c r="F37" s="62" t="s">
        <v>293</v>
      </c>
    </row>
    <row r="38" customFormat="false" ht="15" hidden="false" customHeight="false" outlineLevel="0" collapsed="false">
      <c r="A38" s="34" t="s">
        <v>199</v>
      </c>
      <c r="B38" s="56" t="n">
        <f aca="false">SUMIFS('4. Challenge'!$P$6:$P$2405,'4. Challenge'!$A$6:$A$2405,"Compliance Group",BookCategory,"Regulatory")</f>
        <v>0</v>
      </c>
      <c r="C38" s="57" t="n">
        <f aca="false">SUMIFS('4. Challenge'!$S$6:$S$2405,'4. Challenge'!$A$6:$A$2405,"Compliance Group",BookCategory,"Regulatory")</f>
        <v>0</v>
      </c>
      <c r="D38" s="34" t="s">
        <v>115</v>
      </c>
      <c r="E38" s="56" t="n">
        <f aca="false">SUMIFS('4. Challenge'!$P$6:$P$2405,'4. Challenge'!$A$6:$A$2405,"Compliance Group",'4. Challenge'!$Q$6:$Q$2405,"Q1")</f>
        <v>0</v>
      </c>
      <c r="F38" s="57" t="n">
        <f aca="false">SUMIFS('4. Challenge'!$R$6:$R$2405,'4. Challenge'!$A$6:$A$2405,"Compliance Group",'4. Challenge'!$Q$6:$Q$2405,"Q1")</f>
        <v>0</v>
      </c>
    </row>
    <row r="39" customFormat="false" ht="15" hidden="false" customHeight="false" outlineLevel="0" collapsed="false">
      <c r="A39" s="34" t="s">
        <v>201</v>
      </c>
      <c r="B39" s="56" t="n">
        <f aca="false">SUMIFS('4. Challenge'!$P$6:$P$2405,'4. Challenge'!$A$6:$A$2405,"Compliance Group",BookCategory,"Strategic")</f>
        <v>0</v>
      </c>
      <c r="C39" s="57" t="n">
        <f aca="false">SUMIFS('4. Challenge'!$S$6:$S$2405,'4. Challenge'!$A$6:$A$2405,"Compliance Group",BookCategory,"Strategic")</f>
        <v>0</v>
      </c>
      <c r="D39" s="34" t="s">
        <v>116</v>
      </c>
      <c r="E39" s="56" t="n">
        <f aca="false">SUMIFS('4. Challenge'!$P$6:$P$2405,'4. Challenge'!$A$6:$A$2405,"Compliance Group",'4. Challenge'!$Q$6:$Q$2405,"Q2")</f>
        <v>0</v>
      </c>
      <c r="F39" s="57" t="n">
        <f aca="false">SUMIFS('4. Challenge'!$R$6:$R$2405,'4. Challenge'!$A$6:$A$2405,"Compliance Group",'4. Challenge'!$Q$6:$Q$2405,"Q2")</f>
        <v>0</v>
      </c>
    </row>
    <row r="40" customFormat="false" ht="15" hidden="false" customHeight="false" outlineLevel="0" collapsed="false">
      <c r="A40" s="34" t="s">
        <v>203</v>
      </c>
      <c r="B40" s="56" t="n">
        <f aca="false">SUMIFS('4. Challenge'!$P$6:$P$2405,'4. Challenge'!$A$6:$A$2405,"Compliance Group",BookCategory,"Control")</f>
        <v>0</v>
      </c>
      <c r="C40" s="57" t="n">
        <f aca="false">SUMIFS('4. Challenge'!$S$6:$S$2405,'4. Challenge'!$A$6:$A$2405,"Compliance Group",BookCategory,"Control")</f>
        <v>0</v>
      </c>
      <c r="D40" s="34" t="s">
        <v>117</v>
      </c>
      <c r="E40" s="56" t="n">
        <f aca="false">SUMIFS('4. Challenge'!$P$6:$P$2405,'4. Challenge'!$A$6:$A$2405,"Compliance Group",'4. Challenge'!$Q$6:$Q$2405,"Q3")</f>
        <v>0</v>
      </c>
      <c r="F40" s="57" t="n">
        <f aca="false">SUMIFS('4. Challenge'!$R$6:$R$2405,'4. Challenge'!$A$6:$A$2405,"Compliance Group",'4. Challenge'!$Q$6:$Q$2405,"Q3")</f>
        <v>0</v>
      </c>
    </row>
    <row r="41" customFormat="false" ht="15" hidden="false" customHeight="false" outlineLevel="0" collapsed="false">
      <c r="A41" s="34" t="s">
        <v>205</v>
      </c>
      <c r="B41" s="56" t="n">
        <f aca="false">SUMIFS('4. Challenge'!$P$6:$P$2405,'4. Challenge'!$A$6:$A$2405,"Compliance Group",BookCategory,"BAU")</f>
        <v>0</v>
      </c>
      <c r="C41" s="57" t="n">
        <f aca="false">SUMIFS('4. Challenge'!$S$6:$S$2405,'4. Challenge'!$A$6:$A$2405,"Compliance Group",BookCategory,"BAU")</f>
        <v>0</v>
      </c>
      <c r="D41" s="34" t="s">
        <v>118</v>
      </c>
      <c r="E41" s="56" t="n">
        <f aca="false">SUMIFS('4. Challenge'!$P$6:$P$2405,'4. Challenge'!$A$6:$A$2405,"Compliance Group",'4. Challenge'!$Q$6:$Q$2405,"Q4")</f>
        <v>0</v>
      </c>
      <c r="F41" s="57" t="n">
        <f aca="false">SUMIFS('4. Challenge'!$R$6:$R$2405,'4. Challenge'!$A$6:$A$2405,"Compliance Group",'4. Challenge'!$Q$6:$Q$2405,"Q4")</f>
        <v>0</v>
      </c>
    </row>
    <row r="43" customFormat="false" ht="25.5" hidden="false" customHeight="true" outlineLevel="0" collapsed="false">
      <c r="A43" s="11" t="s">
        <v>295</v>
      </c>
      <c r="B43" s="11"/>
      <c r="C43" s="11"/>
      <c r="D43" s="11"/>
      <c r="E43" s="11"/>
      <c r="F43" s="11"/>
    </row>
    <row r="46" customFormat="false" ht="19.7" hidden="false" customHeight="false" outlineLevel="0" collapsed="false">
      <c r="A46" s="60" t="s">
        <v>70</v>
      </c>
      <c r="B46" s="25"/>
      <c r="C46" s="25"/>
      <c r="D46" s="25"/>
      <c r="E46" s="61" t="s">
        <v>283</v>
      </c>
      <c r="F46" s="25"/>
    </row>
    <row r="48" customFormat="false" ht="15" hidden="false" customHeight="false" outlineLevel="0" collapsed="false">
      <c r="A48" s="6" t="s">
        <v>284</v>
      </c>
      <c r="B48" s="43" t="n">
        <f aca="false">'1. Envelopes'!$O$13</f>
        <v>0</v>
      </c>
    </row>
    <row r="49" customFormat="false" ht="15" hidden="false" customHeight="false" outlineLevel="0" collapsed="false">
      <c r="A49" s="6" t="s">
        <v>258</v>
      </c>
      <c r="B49" s="43" t="n">
        <f aca="false">'1. Envelopes'!$R$13</f>
        <v>0</v>
      </c>
    </row>
    <row r="50" customFormat="false" ht="15" hidden="false" customHeight="false" outlineLevel="0" collapsed="false">
      <c r="A50" s="6" t="s">
        <v>285</v>
      </c>
      <c r="B50" s="35" t="n">
        <f aca="false">COUNTIFS('4. Challenge'!$A$6:$A$2405,"Corporate Banking Group",'4. Challenge'!$P$6:$P$2405,0)</f>
        <v>0</v>
      </c>
    </row>
    <row r="51" customFormat="false" ht="15" hidden="false" customHeight="false" outlineLevel="0" collapsed="false">
      <c r="A51" s="6" t="s">
        <v>286</v>
      </c>
      <c r="B51" s="43" t="n">
        <f aca="false">'1. Envelopes'!$Q$13</f>
        <v>0</v>
      </c>
    </row>
    <row r="52" customFormat="false" ht="15" hidden="false" customHeight="false" outlineLevel="0" collapsed="false">
      <c r="A52" s="6" t="s">
        <v>262</v>
      </c>
      <c r="B52" s="35" t="n">
        <f aca="false">'1. Envelopes'!$S$13</f>
        <v>0</v>
      </c>
    </row>
    <row r="53" customFormat="false" ht="15" hidden="false" customHeight="false" outlineLevel="0" collapsed="false">
      <c r="A53" s="6" t="s">
        <v>270</v>
      </c>
      <c r="B53" s="35" t="n">
        <f aca="false">SUMIFS('4. Challenge'!$R$6:$R$2405,'4. Challenge'!$A$6:$A$2405,"Corporate Banking Group")</f>
        <v>0</v>
      </c>
    </row>
    <row r="54" customFormat="false" ht="15" hidden="false" customHeight="false" outlineLevel="0" collapsed="false">
      <c r="A54" s="6" t="s">
        <v>287</v>
      </c>
      <c r="B54" s="35" t="n">
        <f aca="false">'1. Envelopes'!$F$13</f>
        <v>2786</v>
      </c>
    </row>
    <row r="55" customFormat="false" ht="15" hidden="false" customHeight="false" outlineLevel="0" collapsed="false">
      <c r="A55" s="6" t="s">
        <v>288</v>
      </c>
      <c r="B55" s="34" t="str">
        <f aca="false">'1. Envelopes'!$T$13</f>
        <v>Within</v>
      </c>
    </row>
    <row r="57" customFormat="false" ht="15" hidden="false" customHeight="false" outlineLevel="0" collapsed="false">
      <c r="A57" s="6" t="s">
        <v>289</v>
      </c>
      <c r="D57" s="6" t="s">
        <v>290</v>
      </c>
    </row>
    <row r="58" customFormat="false" ht="15" hidden="false" customHeight="false" outlineLevel="0" collapsed="false">
      <c r="A58" s="62" t="s">
        <v>198</v>
      </c>
      <c r="B58" s="62" t="s">
        <v>291</v>
      </c>
      <c r="C58" s="62" t="s">
        <v>280</v>
      </c>
      <c r="D58" s="62" t="s">
        <v>292</v>
      </c>
      <c r="E58" s="62" t="s">
        <v>291</v>
      </c>
      <c r="F58" s="62" t="s">
        <v>293</v>
      </c>
    </row>
    <row r="59" customFormat="false" ht="15" hidden="false" customHeight="false" outlineLevel="0" collapsed="false">
      <c r="A59" s="34" t="s">
        <v>199</v>
      </c>
      <c r="B59" s="56" t="n">
        <f aca="false">SUMIFS('4. Challenge'!$P$6:$P$2405,'4. Challenge'!$A$6:$A$2405,"Corporate Banking Group",BookCategory,"Regulatory")</f>
        <v>0</v>
      </c>
      <c r="C59" s="57" t="n">
        <f aca="false">SUMIFS('4. Challenge'!$S$6:$S$2405,'4. Challenge'!$A$6:$A$2405,"Corporate Banking Group",BookCategory,"Regulatory")</f>
        <v>0</v>
      </c>
      <c r="D59" s="34" t="s">
        <v>115</v>
      </c>
      <c r="E59" s="56" t="n">
        <f aca="false">SUMIFS('4. Challenge'!$P$6:$P$2405,'4. Challenge'!$A$6:$A$2405,"Corporate Banking Group",'4. Challenge'!$Q$6:$Q$2405,"Q1")</f>
        <v>0</v>
      </c>
      <c r="F59" s="57" t="n">
        <f aca="false">SUMIFS('4. Challenge'!$R$6:$R$2405,'4. Challenge'!$A$6:$A$2405,"Corporate Banking Group",'4. Challenge'!$Q$6:$Q$2405,"Q1")</f>
        <v>0</v>
      </c>
    </row>
    <row r="60" customFormat="false" ht="15" hidden="false" customHeight="false" outlineLevel="0" collapsed="false">
      <c r="A60" s="34" t="s">
        <v>201</v>
      </c>
      <c r="B60" s="56" t="n">
        <f aca="false">SUMIFS('4. Challenge'!$P$6:$P$2405,'4. Challenge'!$A$6:$A$2405,"Corporate Banking Group",BookCategory,"Strategic")</f>
        <v>0</v>
      </c>
      <c r="C60" s="57" t="n">
        <f aca="false">SUMIFS('4. Challenge'!$S$6:$S$2405,'4. Challenge'!$A$6:$A$2405,"Corporate Banking Group",BookCategory,"Strategic")</f>
        <v>0</v>
      </c>
      <c r="D60" s="34" t="s">
        <v>116</v>
      </c>
      <c r="E60" s="56" t="n">
        <f aca="false">SUMIFS('4. Challenge'!$P$6:$P$2405,'4. Challenge'!$A$6:$A$2405,"Corporate Banking Group",'4. Challenge'!$Q$6:$Q$2405,"Q2")</f>
        <v>0</v>
      </c>
      <c r="F60" s="57" t="n">
        <f aca="false">SUMIFS('4. Challenge'!$R$6:$R$2405,'4. Challenge'!$A$6:$A$2405,"Corporate Banking Group",'4. Challenge'!$Q$6:$Q$2405,"Q2")</f>
        <v>0</v>
      </c>
    </row>
    <row r="61" customFormat="false" ht="15" hidden="false" customHeight="false" outlineLevel="0" collapsed="false">
      <c r="A61" s="34" t="s">
        <v>203</v>
      </c>
      <c r="B61" s="56" t="n">
        <f aca="false">SUMIFS('4. Challenge'!$P$6:$P$2405,'4. Challenge'!$A$6:$A$2405,"Corporate Banking Group",BookCategory,"Control")</f>
        <v>0</v>
      </c>
      <c r="C61" s="57" t="n">
        <f aca="false">SUMIFS('4. Challenge'!$S$6:$S$2405,'4. Challenge'!$A$6:$A$2405,"Corporate Banking Group",BookCategory,"Control")</f>
        <v>0</v>
      </c>
      <c r="D61" s="34" t="s">
        <v>117</v>
      </c>
      <c r="E61" s="56" t="n">
        <f aca="false">SUMIFS('4. Challenge'!$P$6:$P$2405,'4. Challenge'!$A$6:$A$2405,"Corporate Banking Group",'4. Challenge'!$Q$6:$Q$2405,"Q3")</f>
        <v>0</v>
      </c>
      <c r="F61" s="57" t="n">
        <f aca="false">SUMIFS('4. Challenge'!$R$6:$R$2405,'4. Challenge'!$A$6:$A$2405,"Corporate Banking Group",'4. Challenge'!$Q$6:$Q$2405,"Q3")</f>
        <v>0</v>
      </c>
    </row>
    <row r="62" customFormat="false" ht="15" hidden="false" customHeight="false" outlineLevel="0" collapsed="false">
      <c r="A62" s="34" t="s">
        <v>205</v>
      </c>
      <c r="B62" s="56" t="n">
        <f aca="false">SUMIFS('4. Challenge'!$P$6:$P$2405,'4. Challenge'!$A$6:$A$2405,"Corporate Banking Group",BookCategory,"BAU")</f>
        <v>0</v>
      </c>
      <c r="C62" s="57" t="n">
        <f aca="false">SUMIFS('4. Challenge'!$S$6:$S$2405,'4. Challenge'!$A$6:$A$2405,"Corporate Banking Group",BookCategory,"BAU")</f>
        <v>0</v>
      </c>
      <c r="D62" s="34" t="s">
        <v>118</v>
      </c>
      <c r="E62" s="56" t="n">
        <f aca="false">SUMIFS('4. Challenge'!$P$6:$P$2405,'4. Challenge'!$A$6:$A$2405,"Corporate Banking Group",'4. Challenge'!$Q$6:$Q$2405,"Q4")</f>
        <v>0</v>
      </c>
      <c r="F62" s="57" t="n">
        <f aca="false">SUMIFS('4. Challenge'!$R$6:$R$2405,'4. Challenge'!$A$6:$A$2405,"Corporate Banking Group",'4. Challenge'!$Q$6:$Q$2405,"Q4")</f>
        <v>0</v>
      </c>
    </row>
    <row r="64" customFormat="false" ht="25.5" hidden="false" customHeight="true" outlineLevel="0" collapsed="false">
      <c r="A64" s="11" t="s">
        <v>296</v>
      </c>
      <c r="B64" s="11"/>
      <c r="C64" s="11"/>
      <c r="D64" s="11"/>
      <c r="E64" s="11"/>
      <c r="F64" s="11"/>
    </row>
    <row r="67" customFormat="false" ht="19.7" hidden="false" customHeight="false" outlineLevel="0" collapsed="false">
      <c r="A67" s="60" t="s">
        <v>73</v>
      </c>
      <c r="B67" s="25"/>
      <c r="C67" s="25"/>
      <c r="D67" s="25"/>
      <c r="E67" s="61" t="s">
        <v>283</v>
      </c>
      <c r="F67" s="25"/>
    </row>
    <row r="69" customFormat="false" ht="15" hidden="false" customHeight="false" outlineLevel="0" collapsed="false">
      <c r="A69" s="6" t="s">
        <v>284</v>
      </c>
      <c r="B69" s="43" t="n">
        <f aca="false">'1. Envelopes'!$O$14</f>
        <v>0</v>
      </c>
    </row>
    <row r="70" customFormat="false" ht="15" hidden="false" customHeight="false" outlineLevel="0" collapsed="false">
      <c r="A70" s="6" t="s">
        <v>258</v>
      </c>
      <c r="B70" s="43" t="n">
        <f aca="false">'1. Envelopes'!$R$14</f>
        <v>0</v>
      </c>
    </row>
    <row r="71" customFormat="false" ht="15" hidden="false" customHeight="false" outlineLevel="0" collapsed="false">
      <c r="A71" s="6" t="s">
        <v>285</v>
      </c>
      <c r="B71" s="35" t="n">
        <f aca="false">COUNTIFS('4. Challenge'!$A$6:$A$2405,"Finance Group",'4. Challenge'!$P$6:$P$2405,0)</f>
        <v>0</v>
      </c>
    </row>
    <row r="72" customFormat="false" ht="15" hidden="false" customHeight="false" outlineLevel="0" collapsed="false">
      <c r="A72" s="6" t="s">
        <v>286</v>
      </c>
      <c r="B72" s="43" t="n">
        <f aca="false">'1. Envelopes'!$Q$14</f>
        <v>0</v>
      </c>
    </row>
    <row r="73" customFormat="false" ht="15" hidden="false" customHeight="false" outlineLevel="0" collapsed="false">
      <c r="A73" s="6" t="s">
        <v>262</v>
      </c>
      <c r="B73" s="35" t="n">
        <f aca="false">'1. Envelopes'!$S$14</f>
        <v>0</v>
      </c>
    </row>
    <row r="74" customFormat="false" ht="15" hidden="false" customHeight="false" outlineLevel="0" collapsed="false">
      <c r="A74" s="6" t="s">
        <v>270</v>
      </c>
      <c r="B74" s="35" t="n">
        <f aca="false">SUMIFS('4. Challenge'!$R$6:$R$2405,'4. Challenge'!$A$6:$A$2405,"Finance Group")</f>
        <v>0</v>
      </c>
    </row>
    <row r="75" customFormat="false" ht="15" hidden="false" customHeight="false" outlineLevel="0" collapsed="false">
      <c r="A75" s="6" t="s">
        <v>287</v>
      </c>
      <c r="B75" s="35" t="n">
        <f aca="false">'1. Envelopes'!$F$14</f>
        <v>2418</v>
      </c>
    </row>
    <row r="76" customFormat="false" ht="15" hidden="false" customHeight="false" outlineLevel="0" collapsed="false">
      <c r="A76" s="6" t="s">
        <v>288</v>
      </c>
      <c r="B76" s="34" t="str">
        <f aca="false">'1. Envelopes'!$T$14</f>
        <v>Within</v>
      </c>
    </row>
    <row r="78" customFormat="false" ht="15" hidden="false" customHeight="false" outlineLevel="0" collapsed="false">
      <c r="A78" s="6" t="s">
        <v>289</v>
      </c>
      <c r="D78" s="6" t="s">
        <v>290</v>
      </c>
    </row>
    <row r="79" customFormat="false" ht="15" hidden="false" customHeight="false" outlineLevel="0" collapsed="false">
      <c r="A79" s="62" t="s">
        <v>198</v>
      </c>
      <c r="B79" s="62" t="s">
        <v>291</v>
      </c>
      <c r="C79" s="62" t="s">
        <v>280</v>
      </c>
      <c r="D79" s="62" t="s">
        <v>292</v>
      </c>
      <c r="E79" s="62" t="s">
        <v>291</v>
      </c>
      <c r="F79" s="62" t="s">
        <v>293</v>
      </c>
    </row>
    <row r="80" customFormat="false" ht="15" hidden="false" customHeight="false" outlineLevel="0" collapsed="false">
      <c r="A80" s="34" t="s">
        <v>199</v>
      </c>
      <c r="B80" s="56" t="n">
        <f aca="false">SUMIFS('4. Challenge'!$P$6:$P$2405,'4. Challenge'!$A$6:$A$2405,"Finance Group",BookCategory,"Regulatory")</f>
        <v>0</v>
      </c>
      <c r="C80" s="57" t="n">
        <f aca="false">SUMIFS('4. Challenge'!$S$6:$S$2405,'4. Challenge'!$A$6:$A$2405,"Finance Group",BookCategory,"Regulatory")</f>
        <v>0</v>
      </c>
      <c r="D80" s="34" t="s">
        <v>115</v>
      </c>
      <c r="E80" s="56" t="n">
        <f aca="false">SUMIFS('4. Challenge'!$P$6:$P$2405,'4. Challenge'!$A$6:$A$2405,"Finance Group",'4. Challenge'!$Q$6:$Q$2405,"Q1")</f>
        <v>0</v>
      </c>
      <c r="F80" s="57" t="n">
        <f aca="false">SUMIFS('4. Challenge'!$R$6:$R$2405,'4. Challenge'!$A$6:$A$2405,"Finance Group",'4. Challenge'!$Q$6:$Q$2405,"Q1")</f>
        <v>0</v>
      </c>
    </row>
    <row r="81" customFormat="false" ht="15" hidden="false" customHeight="false" outlineLevel="0" collapsed="false">
      <c r="A81" s="34" t="s">
        <v>201</v>
      </c>
      <c r="B81" s="56" t="n">
        <f aca="false">SUMIFS('4. Challenge'!$P$6:$P$2405,'4. Challenge'!$A$6:$A$2405,"Finance Group",BookCategory,"Strategic")</f>
        <v>0</v>
      </c>
      <c r="C81" s="57" t="n">
        <f aca="false">SUMIFS('4. Challenge'!$S$6:$S$2405,'4. Challenge'!$A$6:$A$2405,"Finance Group",BookCategory,"Strategic")</f>
        <v>0</v>
      </c>
      <c r="D81" s="34" t="s">
        <v>116</v>
      </c>
      <c r="E81" s="56" t="n">
        <f aca="false">SUMIFS('4. Challenge'!$P$6:$P$2405,'4. Challenge'!$A$6:$A$2405,"Finance Group",'4. Challenge'!$Q$6:$Q$2405,"Q2")</f>
        <v>0</v>
      </c>
      <c r="F81" s="57" t="n">
        <f aca="false">SUMIFS('4. Challenge'!$R$6:$R$2405,'4. Challenge'!$A$6:$A$2405,"Finance Group",'4. Challenge'!$Q$6:$Q$2405,"Q2")</f>
        <v>0</v>
      </c>
    </row>
    <row r="82" customFormat="false" ht="15" hidden="false" customHeight="false" outlineLevel="0" collapsed="false">
      <c r="A82" s="34" t="s">
        <v>203</v>
      </c>
      <c r="B82" s="56" t="n">
        <f aca="false">SUMIFS('4. Challenge'!$P$6:$P$2405,'4. Challenge'!$A$6:$A$2405,"Finance Group",BookCategory,"Control")</f>
        <v>0</v>
      </c>
      <c r="C82" s="57" t="n">
        <f aca="false">SUMIFS('4. Challenge'!$S$6:$S$2405,'4. Challenge'!$A$6:$A$2405,"Finance Group",BookCategory,"Control")</f>
        <v>0</v>
      </c>
      <c r="D82" s="34" t="s">
        <v>117</v>
      </c>
      <c r="E82" s="56" t="n">
        <f aca="false">SUMIFS('4. Challenge'!$P$6:$P$2405,'4. Challenge'!$A$6:$A$2405,"Finance Group",'4. Challenge'!$Q$6:$Q$2405,"Q3")</f>
        <v>0</v>
      </c>
      <c r="F82" s="57" t="n">
        <f aca="false">SUMIFS('4. Challenge'!$R$6:$R$2405,'4. Challenge'!$A$6:$A$2405,"Finance Group",'4. Challenge'!$Q$6:$Q$2405,"Q3")</f>
        <v>0</v>
      </c>
    </row>
    <row r="83" customFormat="false" ht="15" hidden="false" customHeight="false" outlineLevel="0" collapsed="false">
      <c r="A83" s="34" t="s">
        <v>205</v>
      </c>
      <c r="B83" s="56" t="n">
        <f aca="false">SUMIFS('4. Challenge'!$P$6:$P$2405,'4. Challenge'!$A$6:$A$2405,"Finance Group",BookCategory,"BAU")</f>
        <v>0</v>
      </c>
      <c r="C83" s="57" t="n">
        <f aca="false">SUMIFS('4. Challenge'!$S$6:$S$2405,'4. Challenge'!$A$6:$A$2405,"Finance Group",BookCategory,"BAU")</f>
        <v>0</v>
      </c>
      <c r="D83" s="34" t="s">
        <v>118</v>
      </c>
      <c r="E83" s="56" t="n">
        <f aca="false">SUMIFS('4. Challenge'!$P$6:$P$2405,'4. Challenge'!$A$6:$A$2405,"Finance Group",'4. Challenge'!$Q$6:$Q$2405,"Q4")</f>
        <v>0</v>
      </c>
      <c r="F83" s="57" t="n">
        <f aca="false">SUMIFS('4. Challenge'!$R$6:$R$2405,'4. Challenge'!$A$6:$A$2405,"Finance Group",'4. Challenge'!$Q$6:$Q$2405,"Q4")</f>
        <v>0</v>
      </c>
    </row>
    <row r="85" customFormat="false" ht="25.5" hidden="false" customHeight="true" outlineLevel="0" collapsed="false">
      <c r="A85" s="11" t="s">
        <v>297</v>
      </c>
      <c r="B85" s="11"/>
      <c r="C85" s="11"/>
      <c r="D85" s="11"/>
      <c r="E85" s="11"/>
      <c r="F85" s="11"/>
    </row>
    <row r="88" customFormat="false" ht="19.7" hidden="false" customHeight="false" outlineLevel="0" collapsed="false">
      <c r="A88" s="60" t="s">
        <v>76</v>
      </c>
      <c r="B88" s="25"/>
      <c r="C88" s="25"/>
      <c r="D88" s="25"/>
      <c r="E88" s="61" t="s">
        <v>283</v>
      </c>
      <c r="F88" s="25"/>
    </row>
    <row r="90" customFormat="false" ht="15" hidden="false" customHeight="false" outlineLevel="0" collapsed="false">
      <c r="A90" s="6" t="s">
        <v>284</v>
      </c>
      <c r="B90" s="43" t="n">
        <f aca="false">'1. Envelopes'!$O$15</f>
        <v>0</v>
      </c>
    </row>
    <row r="91" customFormat="false" ht="15" hidden="false" customHeight="false" outlineLevel="0" collapsed="false">
      <c r="A91" s="6" t="s">
        <v>258</v>
      </c>
      <c r="B91" s="43" t="n">
        <f aca="false">'1. Envelopes'!$R$15</f>
        <v>0</v>
      </c>
    </row>
    <row r="92" customFormat="false" ht="15" hidden="false" customHeight="false" outlineLevel="0" collapsed="false">
      <c r="A92" s="6" t="s">
        <v>285</v>
      </c>
      <c r="B92" s="35" t="n">
        <f aca="false">COUNTIFS('4. Challenge'!$A$6:$A$2405,"Human Resources Group",'4. Challenge'!$P$6:$P$2405,0)</f>
        <v>0</v>
      </c>
    </row>
    <row r="93" customFormat="false" ht="15" hidden="false" customHeight="false" outlineLevel="0" collapsed="false">
      <c r="A93" s="6" t="s">
        <v>286</v>
      </c>
      <c r="B93" s="43" t="n">
        <f aca="false">'1. Envelopes'!$Q$15</f>
        <v>0</v>
      </c>
    </row>
    <row r="94" customFormat="false" ht="15" hidden="false" customHeight="false" outlineLevel="0" collapsed="false">
      <c r="A94" s="6" t="s">
        <v>262</v>
      </c>
      <c r="B94" s="35" t="n">
        <f aca="false">'1. Envelopes'!$S$15</f>
        <v>0</v>
      </c>
    </row>
    <row r="95" customFormat="false" ht="15" hidden="false" customHeight="false" outlineLevel="0" collapsed="false">
      <c r="A95" s="6" t="s">
        <v>270</v>
      </c>
      <c r="B95" s="35" t="n">
        <f aca="false">SUMIFS('4. Challenge'!$R$6:$R$2405,'4. Challenge'!$A$6:$A$2405,"Human Resources Group")</f>
        <v>0</v>
      </c>
    </row>
    <row r="96" customFormat="false" ht="15" hidden="false" customHeight="false" outlineLevel="0" collapsed="false">
      <c r="A96" s="6" t="s">
        <v>287</v>
      </c>
      <c r="B96" s="35" t="n">
        <f aca="false">'1. Envelopes'!$F$15</f>
        <v>4175</v>
      </c>
    </row>
    <row r="97" customFormat="false" ht="15" hidden="false" customHeight="false" outlineLevel="0" collapsed="false">
      <c r="A97" s="6" t="s">
        <v>288</v>
      </c>
      <c r="B97" s="34" t="str">
        <f aca="false">'1. Envelopes'!$T$15</f>
        <v>Within</v>
      </c>
    </row>
    <row r="99" customFormat="false" ht="15" hidden="false" customHeight="false" outlineLevel="0" collapsed="false">
      <c r="A99" s="6" t="s">
        <v>289</v>
      </c>
      <c r="D99" s="6" t="s">
        <v>290</v>
      </c>
    </row>
    <row r="100" customFormat="false" ht="15" hidden="false" customHeight="false" outlineLevel="0" collapsed="false">
      <c r="A100" s="62" t="s">
        <v>198</v>
      </c>
      <c r="B100" s="62" t="s">
        <v>291</v>
      </c>
      <c r="C100" s="62" t="s">
        <v>280</v>
      </c>
      <c r="D100" s="62" t="s">
        <v>292</v>
      </c>
      <c r="E100" s="62" t="s">
        <v>291</v>
      </c>
      <c r="F100" s="62" t="s">
        <v>293</v>
      </c>
    </row>
    <row r="101" customFormat="false" ht="15" hidden="false" customHeight="false" outlineLevel="0" collapsed="false">
      <c r="A101" s="34" t="s">
        <v>199</v>
      </c>
      <c r="B101" s="56" t="n">
        <f aca="false">SUMIFS('4. Challenge'!$P$6:$P$2405,'4. Challenge'!$A$6:$A$2405,"Human Resources Group",BookCategory,"Regulatory")</f>
        <v>0</v>
      </c>
      <c r="C101" s="57" t="n">
        <f aca="false">SUMIFS('4. Challenge'!$S$6:$S$2405,'4. Challenge'!$A$6:$A$2405,"Human Resources Group",BookCategory,"Regulatory")</f>
        <v>0</v>
      </c>
      <c r="D101" s="34" t="s">
        <v>115</v>
      </c>
      <c r="E101" s="56" t="n">
        <f aca="false">SUMIFS('4. Challenge'!$P$6:$P$2405,'4. Challenge'!$A$6:$A$2405,"Human Resources Group",'4. Challenge'!$Q$6:$Q$2405,"Q1")</f>
        <v>0</v>
      </c>
      <c r="F101" s="57" t="n">
        <f aca="false">SUMIFS('4. Challenge'!$R$6:$R$2405,'4. Challenge'!$A$6:$A$2405,"Human Resources Group",'4. Challenge'!$Q$6:$Q$2405,"Q1")</f>
        <v>0</v>
      </c>
    </row>
    <row r="102" customFormat="false" ht="15" hidden="false" customHeight="false" outlineLevel="0" collapsed="false">
      <c r="A102" s="34" t="s">
        <v>201</v>
      </c>
      <c r="B102" s="56" t="n">
        <f aca="false">SUMIFS('4. Challenge'!$P$6:$P$2405,'4. Challenge'!$A$6:$A$2405,"Human Resources Group",BookCategory,"Strategic")</f>
        <v>0</v>
      </c>
      <c r="C102" s="57" t="n">
        <f aca="false">SUMIFS('4. Challenge'!$S$6:$S$2405,'4. Challenge'!$A$6:$A$2405,"Human Resources Group",BookCategory,"Strategic")</f>
        <v>0</v>
      </c>
      <c r="D102" s="34" t="s">
        <v>116</v>
      </c>
      <c r="E102" s="56" t="n">
        <f aca="false">SUMIFS('4. Challenge'!$P$6:$P$2405,'4. Challenge'!$A$6:$A$2405,"Human Resources Group",'4. Challenge'!$Q$6:$Q$2405,"Q2")</f>
        <v>0</v>
      </c>
      <c r="F102" s="57" t="n">
        <f aca="false">SUMIFS('4. Challenge'!$R$6:$R$2405,'4. Challenge'!$A$6:$A$2405,"Human Resources Group",'4. Challenge'!$Q$6:$Q$2405,"Q2")</f>
        <v>0</v>
      </c>
    </row>
    <row r="103" customFormat="false" ht="15" hidden="false" customHeight="false" outlineLevel="0" collapsed="false">
      <c r="A103" s="34" t="s">
        <v>203</v>
      </c>
      <c r="B103" s="56" t="n">
        <f aca="false">SUMIFS('4. Challenge'!$P$6:$P$2405,'4. Challenge'!$A$6:$A$2405,"Human Resources Group",BookCategory,"Control")</f>
        <v>0</v>
      </c>
      <c r="C103" s="57" t="n">
        <f aca="false">SUMIFS('4. Challenge'!$S$6:$S$2405,'4. Challenge'!$A$6:$A$2405,"Human Resources Group",BookCategory,"Control")</f>
        <v>0</v>
      </c>
      <c r="D103" s="34" t="s">
        <v>117</v>
      </c>
      <c r="E103" s="56" t="n">
        <f aca="false">SUMIFS('4. Challenge'!$P$6:$P$2405,'4. Challenge'!$A$6:$A$2405,"Human Resources Group",'4. Challenge'!$Q$6:$Q$2405,"Q3")</f>
        <v>0</v>
      </c>
      <c r="F103" s="57" t="n">
        <f aca="false">SUMIFS('4. Challenge'!$R$6:$R$2405,'4. Challenge'!$A$6:$A$2405,"Human Resources Group",'4. Challenge'!$Q$6:$Q$2405,"Q3")</f>
        <v>0</v>
      </c>
    </row>
    <row r="104" customFormat="false" ht="15" hidden="false" customHeight="false" outlineLevel="0" collapsed="false">
      <c r="A104" s="34" t="s">
        <v>205</v>
      </c>
      <c r="B104" s="56" t="n">
        <f aca="false">SUMIFS('4. Challenge'!$P$6:$P$2405,'4. Challenge'!$A$6:$A$2405,"Human Resources Group",BookCategory,"BAU")</f>
        <v>0</v>
      </c>
      <c r="C104" s="57" t="n">
        <f aca="false">SUMIFS('4. Challenge'!$S$6:$S$2405,'4. Challenge'!$A$6:$A$2405,"Human Resources Group",BookCategory,"BAU")</f>
        <v>0</v>
      </c>
      <c r="D104" s="34" t="s">
        <v>118</v>
      </c>
      <c r="E104" s="56" t="n">
        <f aca="false">SUMIFS('4. Challenge'!$P$6:$P$2405,'4. Challenge'!$A$6:$A$2405,"Human Resources Group",'4. Challenge'!$Q$6:$Q$2405,"Q4")</f>
        <v>0</v>
      </c>
      <c r="F104" s="57" t="n">
        <f aca="false">SUMIFS('4. Challenge'!$R$6:$R$2405,'4. Challenge'!$A$6:$A$2405,"Human Resources Group",'4. Challenge'!$Q$6:$Q$2405,"Q4")</f>
        <v>0</v>
      </c>
    </row>
    <row r="106" customFormat="false" ht="25.5" hidden="false" customHeight="true" outlineLevel="0" collapsed="false">
      <c r="A106" s="11" t="s">
        <v>298</v>
      </c>
      <c r="B106" s="11"/>
      <c r="C106" s="11"/>
      <c r="D106" s="11"/>
      <c r="E106" s="11"/>
      <c r="F106" s="11"/>
    </row>
    <row r="109" customFormat="false" ht="19.7" hidden="false" customHeight="false" outlineLevel="0" collapsed="false">
      <c r="A109" s="60" t="s">
        <v>79</v>
      </c>
      <c r="B109" s="25"/>
      <c r="C109" s="25"/>
      <c r="D109" s="25"/>
      <c r="E109" s="61" t="s">
        <v>283</v>
      </c>
      <c r="F109" s="25"/>
    </row>
    <row r="111" customFormat="false" ht="15" hidden="false" customHeight="false" outlineLevel="0" collapsed="false">
      <c r="A111" s="6" t="s">
        <v>284</v>
      </c>
      <c r="B111" s="43" t="n">
        <f aca="false">'1. Envelopes'!$O$16</f>
        <v>0</v>
      </c>
    </row>
    <row r="112" customFormat="false" ht="15" hidden="false" customHeight="false" outlineLevel="0" collapsed="false">
      <c r="A112" s="6" t="s">
        <v>258</v>
      </c>
      <c r="B112" s="43" t="n">
        <f aca="false">'1. Envelopes'!$R$16</f>
        <v>0</v>
      </c>
    </row>
    <row r="113" customFormat="false" ht="15" hidden="false" customHeight="false" outlineLevel="0" collapsed="false">
      <c r="A113" s="6" t="s">
        <v>285</v>
      </c>
      <c r="B113" s="35" t="n">
        <f aca="false">COUNTIFS('4. Challenge'!$A$6:$A$2405,"Internal Audit Group",'4. Challenge'!$P$6:$P$2405,0)</f>
        <v>0</v>
      </c>
    </row>
    <row r="114" customFormat="false" ht="15" hidden="false" customHeight="false" outlineLevel="0" collapsed="false">
      <c r="A114" s="6" t="s">
        <v>286</v>
      </c>
      <c r="B114" s="43" t="n">
        <f aca="false">'1. Envelopes'!$Q$16</f>
        <v>0</v>
      </c>
    </row>
    <row r="115" customFormat="false" ht="15" hidden="false" customHeight="false" outlineLevel="0" collapsed="false">
      <c r="A115" s="6" t="s">
        <v>262</v>
      </c>
      <c r="B115" s="35" t="n">
        <f aca="false">'1. Envelopes'!$S$16</f>
        <v>0</v>
      </c>
    </row>
    <row r="116" customFormat="false" ht="15" hidden="false" customHeight="false" outlineLevel="0" collapsed="false">
      <c r="A116" s="6" t="s">
        <v>270</v>
      </c>
      <c r="B116" s="35" t="n">
        <f aca="false">SUMIFS('4. Challenge'!$R$6:$R$2405,'4. Challenge'!$A$6:$A$2405,"Internal Audit Group")</f>
        <v>0</v>
      </c>
    </row>
    <row r="117" customFormat="false" ht="15" hidden="false" customHeight="false" outlineLevel="0" collapsed="false">
      <c r="A117" s="6" t="s">
        <v>287</v>
      </c>
      <c r="B117" s="35" t="n">
        <f aca="false">'1. Envelopes'!$F$16</f>
        <v>1938</v>
      </c>
    </row>
    <row r="118" customFormat="false" ht="15" hidden="false" customHeight="false" outlineLevel="0" collapsed="false">
      <c r="A118" s="6" t="s">
        <v>288</v>
      </c>
      <c r="B118" s="34" t="str">
        <f aca="false">'1. Envelopes'!$T$16</f>
        <v>Within</v>
      </c>
    </row>
    <row r="120" customFormat="false" ht="15" hidden="false" customHeight="false" outlineLevel="0" collapsed="false">
      <c r="A120" s="6" t="s">
        <v>289</v>
      </c>
      <c r="D120" s="6" t="s">
        <v>290</v>
      </c>
    </row>
    <row r="121" customFormat="false" ht="15" hidden="false" customHeight="false" outlineLevel="0" collapsed="false">
      <c r="A121" s="62" t="s">
        <v>198</v>
      </c>
      <c r="B121" s="62" t="s">
        <v>291</v>
      </c>
      <c r="C121" s="62" t="s">
        <v>280</v>
      </c>
      <c r="D121" s="62" t="s">
        <v>292</v>
      </c>
      <c r="E121" s="62" t="s">
        <v>291</v>
      </c>
      <c r="F121" s="62" t="s">
        <v>293</v>
      </c>
    </row>
    <row r="122" customFormat="false" ht="15" hidden="false" customHeight="false" outlineLevel="0" collapsed="false">
      <c r="A122" s="34" t="s">
        <v>199</v>
      </c>
      <c r="B122" s="56" t="n">
        <f aca="false">SUMIFS('4. Challenge'!$P$6:$P$2405,'4. Challenge'!$A$6:$A$2405,"Internal Audit Group",BookCategory,"Regulatory")</f>
        <v>0</v>
      </c>
      <c r="C122" s="57" t="n">
        <f aca="false">SUMIFS('4. Challenge'!$S$6:$S$2405,'4. Challenge'!$A$6:$A$2405,"Internal Audit Group",BookCategory,"Regulatory")</f>
        <v>0</v>
      </c>
      <c r="D122" s="34" t="s">
        <v>115</v>
      </c>
      <c r="E122" s="56" t="n">
        <f aca="false">SUMIFS('4. Challenge'!$P$6:$P$2405,'4. Challenge'!$A$6:$A$2405,"Internal Audit Group",'4. Challenge'!$Q$6:$Q$2405,"Q1")</f>
        <v>0</v>
      </c>
      <c r="F122" s="57" t="n">
        <f aca="false">SUMIFS('4. Challenge'!$R$6:$R$2405,'4. Challenge'!$A$6:$A$2405,"Internal Audit Group",'4. Challenge'!$Q$6:$Q$2405,"Q1")</f>
        <v>0</v>
      </c>
    </row>
    <row r="123" customFormat="false" ht="15" hidden="false" customHeight="false" outlineLevel="0" collapsed="false">
      <c r="A123" s="34" t="s">
        <v>201</v>
      </c>
      <c r="B123" s="56" t="n">
        <f aca="false">SUMIFS('4. Challenge'!$P$6:$P$2405,'4. Challenge'!$A$6:$A$2405,"Internal Audit Group",BookCategory,"Strategic")</f>
        <v>0</v>
      </c>
      <c r="C123" s="57" t="n">
        <f aca="false">SUMIFS('4. Challenge'!$S$6:$S$2405,'4. Challenge'!$A$6:$A$2405,"Internal Audit Group",BookCategory,"Strategic")</f>
        <v>0</v>
      </c>
      <c r="D123" s="34" t="s">
        <v>116</v>
      </c>
      <c r="E123" s="56" t="n">
        <f aca="false">SUMIFS('4. Challenge'!$P$6:$P$2405,'4. Challenge'!$A$6:$A$2405,"Internal Audit Group",'4. Challenge'!$Q$6:$Q$2405,"Q2")</f>
        <v>0</v>
      </c>
      <c r="F123" s="57" t="n">
        <f aca="false">SUMIFS('4. Challenge'!$R$6:$R$2405,'4. Challenge'!$A$6:$A$2405,"Internal Audit Group",'4. Challenge'!$Q$6:$Q$2405,"Q2")</f>
        <v>0</v>
      </c>
    </row>
    <row r="124" customFormat="false" ht="15" hidden="false" customHeight="false" outlineLevel="0" collapsed="false">
      <c r="A124" s="34" t="s">
        <v>203</v>
      </c>
      <c r="B124" s="56" t="n">
        <f aca="false">SUMIFS('4. Challenge'!$P$6:$P$2405,'4. Challenge'!$A$6:$A$2405,"Internal Audit Group",BookCategory,"Control")</f>
        <v>0</v>
      </c>
      <c r="C124" s="57" t="n">
        <f aca="false">SUMIFS('4. Challenge'!$S$6:$S$2405,'4. Challenge'!$A$6:$A$2405,"Internal Audit Group",BookCategory,"Control")</f>
        <v>0</v>
      </c>
      <c r="D124" s="34" t="s">
        <v>117</v>
      </c>
      <c r="E124" s="56" t="n">
        <f aca="false">SUMIFS('4. Challenge'!$P$6:$P$2405,'4. Challenge'!$A$6:$A$2405,"Internal Audit Group",'4. Challenge'!$Q$6:$Q$2405,"Q3")</f>
        <v>0</v>
      </c>
      <c r="F124" s="57" t="n">
        <f aca="false">SUMIFS('4. Challenge'!$R$6:$R$2405,'4. Challenge'!$A$6:$A$2405,"Internal Audit Group",'4. Challenge'!$Q$6:$Q$2405,"Q3")</f>
        <v>0</v>
      </c>
    </row>
    <row r="125" customFormat="false" ht="15" hidden="false" customHeight="false" outlineLevel="0" collapsed="false">
      <c r="A125" s="34" t="s">
        <v>205</v>
      </c>
      <c r="B125" s="56" t="n">
        <f aca="false">SUMIFS('4. Challenge'!$P$6:$P$2405,'4. Challenge'!$A$6:$A$2405,"Internal Audit Group",BookCategory,"BAU")</f>
        <v>0</v>
      </c>
      <c r="C125" s="57" t="n">
        <f aca="false">SUMIFS('4. Challenge'!$S$6:$S$2405,'4. Challenge'!$A$6:$A$2405,"Internal Audit Group",BookCategory,"BAU")</f>
        <v>0</v>
      </c>
      <c r="D125" s="34" t="s">
        <v>118</v>
      </c>
      <c r="E125" s="56" t="n">
        <f aca="false">SUMIFS('4. Challenge'!$P$6:$P$2405,'4. Challenge'!$A$6:$A$2405,"Internal Audit Group",'4. Challenge'!$Q$6:$Q$2405,"Q4")</f>
        <v>0</v>
      </c>
      <c r="F125" s="57" t="n">
        <f aca="false">SUMIFS('4. Challenge'!$R$6:$R$2405,'4. Challenge'!$A$6:$A$2405,"Internal Audit Group",'4. Challenge'!$Q$6:$Q$2405,"Q4")</f>
        <v>0</v>
      </c>
    </row>
    <row r="127" customFormat="false" ht="25.5" hidden="false" customHeight="true" outlineLevel="0" collapsed="false">
      <c r="A127" s="11" t="s">
        <v>299</v>
      </c>
      <c r="B127" s="11"/>
      <c r="C127" s="11"/>
      <c r="D127" s="11"/>
      <c r="E127" s="11"/>
      <c r="F127" s="11"/>
    </row>
    <row r="130" customFormat="false" ht="19.7" hidden="false" customHeight="false" outlineLevel="0" collapsed="false">
      <c r="A130" s="60" t="s">
        <v>82</v>
      </c>
      <c r="B130" s="25"/>
      <c r="C130" s="25"/>
      <c r="D130" s="25"/>
      <c r="E130" s="61" t="s">
        <v>283</v>
      </c>
      <c r="F130" s="25"/>
    </row>
    <row r="132" customFormat="false" ht="15" hidden="false" customHeight="false" outlineLevel="0" collapsed="false">
      <c r="A132" s="6" t="s">
        <v>284</v>
      </c>
      <c r="B132" s="43" t="n">
        <f aca="false">'1. Envelopes'!$O$17</f>
        <v>0</v>
      </c>
    </row>
    <row r="133" customFormat="false" ht="15" hidden="false" customHeight="false" outlineLevel="0" collapsed="false">
      <c r="A133" s="6" t="s">
        <v>258</v>
      </c>
      <c r="B133" s="43" t="n">
        <f aca="false">'1. Envelopes'!$R$17</f>
        <v>0</v>
      </c>
    </row>
    <row r="134" customFormat="false" ht="15" hidden="false" customHeight="false" outlineLevel="0" collapsed="false">
      <c r="A134" s="6" t="s">
        <v>285</v>
      </c>
      <c r="B134" s="35" t="n">
        <f aca="false">COUNTIFS('4. Challenge'!$A$6:$A$2405,"Legal Group",'4. Challenge'!$P$6:$P$2405,0)</f>
        <v>0</v>
      </c>
    </row>
    <row r="135" customFormat="false" ht="15" hidden="false" customHeight="false" outlineLevel="0" collapsed="false">
      <c r="A135" s="6" t="s">
        <v>286</v>
      </c>
      <c r="B135" s="43" t="n">
        <f aca="false">'1. Envelopes'!$Q$17</f>
        <v>0</v>
      </c>
    </row>
    <row r="136" customFormat="false" ht="15" hidden="false" customHeight="false" outlineLevel="0" collapsed="false">
      <c r="A136" s="6" t="s">
        <v>262</v>
      </c>
      <c r="B136" s="35" t="n">
        <f aca="false">'1. Envelopes'!$S$17</f>
        <v>0</v>
      </c>
    </row>
    <row r="137" customFormat="false" ht="15" hidden="false" customHeight="false" outlineLevel="0" collapsed="false">
      <c r="A137" s="6" t="s">
        <v>270</v>
      </c>
      <c r="B137" s="35" t="n">
        <f aca="false">SUMIFS('4. Challenge'!$R$6:$R$2405,'4. Challenge'!$A$6:$A$2405,"Legal Group")</f>
        <v>0</v>
      </c>
    </row>
    <row r="138" customFormat="false" ht="15" hidden="false" customHeight="false" outlineLevel="0" collapsed="false">
      <c r="A138" s="6" t="s">
        <v>287</v>
      </c>
      <c r="B138" s="35" t="n">
        <f aca="false">'1. Envelopes'!$F$17</f>
        <v>1905</v>
      </c>
    </row>
    <row r="139" customFormat="false" ht="15" hidden="false" customHeight="false" outlineLevel="0" collapsed="false">
      <c r="A139" s="6" t="s">
        <v>288</v>
      </c>
      <c r="B139" s="34" t="str">
        <f aca="false">'1. Envelopes'!$T$17</f>
        <v>Within</v>
      </c>
    </row>
    <row r="141" customFormat="false" ht="15" hidden="false" customHeight="false" outlineLevel="0" collapsed="false">
      <c r="A141" s="6" t="s">
        <v>289</v>
      </c>
      <c r="D141" s="6" t="s">
        <v>290</v>
      </c>
    </row>
    <row r="142" customFormat="false" ht="15" hidden="false" customHeight="false" outlineLevel="0" collapsed="false">
      <c r="A142" s="62" t="s">
        <v>198</v>
      </c>
      <c r="B142" s="62" t="s">
        <v>291</v>
      </c>
      <c r="C142" s="62" t="s">
        <v>280</v>
      </c>
      <c r="D142" s="62" t="s">
        <v>292</v>
      </c>
      <c r="E142" s="62" t="s">
        <v>291</v>
      </c>
      <c r="F142" s="62" t="s">
        <v>293</v>
      </c>
    </row>
    <row r="143" customFormat="false" ht="15" hidden="false" customHeight="false" outlineLevel="0" collapsed="false">
      <c r="A143" s="34" t="s">
        <v>199</v>
      </c>
      <c r="B143" s="56" t="n">
        <f aca="false">SUMIFS('4. Challenge'!$P$6:$P$2405,'4. Challenge'!$A$6:$A$2405,"Legal Group",BookCategory,"Regulatory")</f>
        <v>0</v>
      </c>
      <c r="C143" s="57" t="n">
        <f aca="false">SUMIFS('4. Challenge'!$S$6:$S$2405,'4. Challenge'!$A$6:$A$2405,"Legal Group",BookCategory,"Regulatory")</f>
        <v>0</v>
      </c>
      <c r="D143" s="34" t="s">
        <v>115</v>
      </c>
      <c r="E143" s="56" t="n">
        <f aca="false">SUMIFS('4. Challenge'!$P$6:$P$2405,'4. Challenge'!$A$6:$A$2405,"Legal Group",'4. Challenge'!$Q$6:$Q$2405,"Q1")</f>
        <v>0</v>
      </c>
      <c r="F143" s="57" t="n">
        <f aca="false">SUMIFS('4. Challenge'!$R$6:$R$2405,'4. Challenge'!$A$6:$A$2405,"Legal Group",'4. Challenge'!$Q$6:$Q$2405,"Q1")</f>
        <v>0</v>
      </c>
    </row>
    <row r="144" customFormat="false" ht="15" hidden="false" customHeight="false" outlineLevel="0" collapsed="false">
      <c r="A144" s="34" t="s">
        <v>201</v>
      </c>
      <c r="B144" s="56" t="n">
        <f aca="false">SUMIFS('4. Challenge'!$P$6:$P$2405,'4. Challenge'!$A$6:$A$2405,"Legal Group",BookCategory,"Strategic")</f>
        <v>0</v>
      </c>
      <c r="C144" s="57" t="n">
        <f aca="false">SUMIFS('4. Challenge'!$S$6:$S$2405,'4. Challenge'!$A$6:$A$2405,"Legal Group",BookCategory,"Strategic")</f>
        <v>0</v>
      </c>
      <c r="D144" s="34" t="s">
        <v>116</v>
      </c>
      <c r="E144" s="56" t="n">
        <f aca="false">SUMIFS('4. Challenge'!$P$6:$P$2405,'4. Challenge'!$A$6:$A$2405,"Legal Group",'4. Challenge'!$Q$6:$Q$2405,"Q2")</f>
        <v>0</v>
      </c>
      <c r="F144" s="57" t="n">
        <f aca="false">SUMIFS('4. Challenge'!$R$6:$R$2405,'4. Challenge'!$A$6:$A$2405,"Legal Group",'4. Challenge'!$Q$6:$Q$2405,"Q2")</f>
        <v>0</v>
      </c>
    </row>
    <row r="145" customFormat="false" ht="15" hidden="false" customHeight="false" outlineLevel="0" collapsed="false">
      <c r="A145" s="34" t="s">
        <v>203</v>
      </c>
      <c r="B145" s="56" t="n">
        <f aca="false">SUMIFS('4. Challenge'!$P$6:$P$2405,'4. Challenge'!$A$6:$A$2405,"Legal Group",BookCategory,"Control")</f>
        <v>0</v>
      </c>
      <c r="C145" s="57" t="n">
        <f aca="false">SUMIFS('4. Challenge'!$S$6:$S$2405,'4. Challenge'!$A$6:$A$2405,"Legal Group",BookCategory,"Control")</f>
        <v>0</v>
      </c>
      <c r="D145" s="34" t="s">
        <v>117</v>
      </c>
      <c r="E145" s="56" t="n">
        <f aca="false">SUMIFS('4. Challenge'!$P$6:$P$2405,'4. Challenge'!$A$6:$A$2405,"Legal Group",'4. Challenge'!$Q$6:$Q$2405,"Q3")</f>
        <v>0</v>
      </c>
      <c r="F145" s="57" t="n">
        <f aca="false">SUMIFS('4. Challenge'!$R$6:$R$2405,'4. Challenge'!$A$6:$A$2405,"Legal Group",'4. Challenge'!$Q$6:$Q$2405,"Q3")</f>
        <v>0</v>
      </c>
    </row>
    <row r="146" customFormat="false" ht="15" hidden="false" customHeight="false" outlineLevel="0" collapsed="false">
      <c r="A146" s="34" t="s">
        <v>205</v>
      </c>
      <c r="B146" s="56" t="n">
        <f aca="false">SUMIFS('4. Challenge'!$P$6:$P$2405,'4. Challenge'!$A$6:$A$2405,"Legal Group",BookCategory,"BAU")</f>
        <v>0</v>
      </c>
      <c r="C146" s="57" t="n">
        <f aca="false">SUMIFS('4. Challenge'!$S$6:$S$2405,'4. Challenge'!$A$6:$A$2405,"Legal Group",BookCategory,"BAU")</f>
        <v>0</v>
      </c>
      <c r="D146" s="34" t="s">
        <v>118</v>
      </c>
      <c r="E146" s="56" t="n">
        <f aca="false">SUMIFS('4. Challenge'!$P$6:$P$2405,'4. Challenge'!$A$6:$A$2405,"Legal Group",'4. Challenge'!$Q$6:$Q$2405,"Q4")</f>
        <v>0</v>
      </c>
      <c r="F146" s="57" t="n">
        <f aca="false">SUMIFS('4. Challenge'!$R$6:$R$2405,'4. Challenge'!$A$6:$A$2405,"Legal Group",'4. Challenge'!$Q$6:$Q$2405,"Q4")</f>
        <v>0</v>
      </c>
    </row>
    <row r="148" customFormat="false" ht="25.5" hidden="false" customHeight="true" outlineLevel="0" collapsed="false">
      <c r="A148" s="11" t="s">
        <v>300</v>
      </c>
      <c r="B148" s="11"/>
      <c r="C148" s="11"/>
      <c r="D148" s="11"/>
      <c r="E148" s="11"/>
      <c r="F148" s="11"/>
    </row>
    <row r="151" customFormat="false" ht="19.7" hidden="false" customHeight="false" outlineLevel="0" collapsed="false">
      <c r="A151" s="60" t="s">
        <v>85</v>
      </c>
      <c r="B151" s="25"/>
      <c r="C151" s="25"/>
      <c r="D151" s="25"/>
      <c r="E151" s="61" t="s">
        <v>283</v>
      </c>
      <c r="F151" s="25"/>
    </row>
    <row r="153" customFormat="false" ht="15" hidden="false" customHeight="false" outlineLevel="0" collapsed="false">
      <c r="A153" s="6" t="s">
        <v>284</v>
      </c>
      <c r="B153" s="43" t="n">
        <f aca="false">'1. Envelopes'!$O$18</f>
        <v>0</v>
      </c>
    </row>
    <row r="154" customFormat="false" ht="15" hidden="false" customHeight="false" outlineLevel="0" collapsed="false">
      <c r="A154" s="6" t="s">
        <v>258</v>
      </c>
      <c r="B154" s="43" t="n">
        <f aca="false">'1. Envelopes'!$R$18</f>
        <v>0</v>
      </c>
    </row>
    <row r="155" customFormat="false" ht="15" hidden="false" customHeight="false" outlineLevel="0" collapsed="false">
      <c r="A155" s="6" t="s">
        <v>285</v>
      </c>
      <c r="B155" s="35" t="n">
        <f aca="false">COUNTIFS('4. Challenge'!$A$6:$A$2405,"Operations Group",'4. Challenge'!$P$6:$P$2405,0)</f>
        <v>0</v>
      </c>
    </row>
    <row r="156" customFormat="false" ht="15" hidden="false" customHeight="false" outlineLevel="0" collapsed="false">
      <c r="A156" s="6" t="s">
        <v>286</v>
      </c>
      <c r="B156" s="43" t="n">
        <f aca="false">'1. Envelopes'!$Q$18</f>
        <v>0</v>
      </c>
    </row>
    <row r="157" customFormat="false" ht="15" hidden="false" customHeight="false" outlineLevel="0" collapsed="false">
      <c r="A157" s="6" t="s">
        <v>262</v>
      </c>
      <c r="B157" s="35" t="n">
        <f aca="false">'1. Envelopes'!$S$18</f>
        <v>0</v>
      </c>
    </row>
    <row r="158" customFormat="false" ht="15" hidden="false" customHeight="false" outlineLevel="0" collapsed="false">
      <c r="A158" s="6" t="s">
        <v>270</v>
      </c>
      <c r="B158" s="35" t="n">
        <f aca="false">SUMIFS('4. Challenge'!$R$6:$R$2405,'4. Challenge'!$A$6:$A$2405,"Operations Group")</f>
        <v>0</v>
      </c>
    </row>
    <row r="159" customFormat="false" ht="15" hidden="false" customHeight="false" outlineLevel="0" collapsed="false">
      <c r="A159" s="6" t="s">
        <v>287</v>
      </c>
      <c r="B159" s="35" t="n">
        <f aca="false">'1. Envelopes'!$F$18</f>
        <v>3130</v>
      </c>
    </row>
    <row r="160" customFormat="false" ht="15" hidden="false" customHeight="false" outlineLevel="0" collapsed="false">
      <c r="A160" s="6" t="s">
        <v>288</v>
      </c>
      <c r="B160" s="34" t="str">
        <f aca="false">'1. Envelopes'!$T$18</f>
        <v>Within</v>
      </c>
    </row>
    <row r="162" customFormat="false" ht="15" hidden="false" customHeight="false" outlineLevel="0" collapsed="false">
      <c r="A162" s="6" t="s">
        <v>289</v>
      </c>
      <c r="D162" s="6" t="s">
        <v>290</v>
      </c>
    </row>
    <row r="163" customFormat="false" ht="15" hidden="false" customHeight="false" outlineLevel="0" collapsed="false">
      <c r="A163" s="62" t="s">
        <v>198</v>
      </c>
      <c r="B163" s="62" t="s">
        <v>291</v>
      </c>
      <c r="C163" s="62" t="s">
        <v>280</v>
      </c>
      <c r="D163" s="62" t="s">
        <v>292</v>
      </c>
      <c r="E163" s="62" t="s">
        <v>291</v>
      </c>
      <c r="F163" s="62" t="s">
        <v>293</v>
      </c>
    </row>
    <row r="164" customFormat="false" ht="15" hidden="false" customHeight="false" outlineLevel="0" collapsed="false">
      <c r="A164" s="34" t="s">
        <v>199</v>
      </c>
      <c r="B164" s="56" t="n">
        <f aca="false">SUMIFS('4. Challenge'!$P$6:$P$2405,'4. Challenge'!$A$6:$A$2405,"Operations Group",BookCategory,"Regulatory")</f>
        <v>0</v>
      </c>
      <c r="C164" s="57" t="n">
        <f aca="false">SUMIFS('4. Challenge'!$S$6:$S$2405,'4. Challenge'!$A$6:$A$2405,"Operations Group",BookCategory,"Regulatory")</f>
        <v>0</v>
      </c>
      <c r="D164" s="34" t="s">
        <v>115</v>
      </c>
      <c r="E164" s="56" t="n">
        <f aca="false">SUMIFS('4. Challenge'!$P$6:$P$2405,'4. Challenge'!$A$6:$A$2405,"Operations Group",'4. Challenge'!$Q$6:$Q$2405,"Q1")</f>
        <v>0</v>
      </c>
      <c r="F164" s="57" t="n">
        <f aca="false">SUMIFS('4. Challenge'!$R$6:$R$2405,'4. Challenge'!$A$6:$A$2405,"Operations Group",'4. Challenge'!$Q$6:$Q$2405,"Q1")</f>
        <v>0</v>
      </c>
    </row>
    <row r="165" customFormat="false" ht="15" hidden="false" customHeight="false" outlineLevel="0" collapsed="false">
      <c r="A165" s="34" t="s">
        <v>201</v>
      </c>
      <c r="B165" s="56" t="n">
        <f aca="false">SUMIFS('4. Challenge'!$P$6:$P$2405,'4. Challenge'!$A$6:$A$2405,"Operations Group",BookCategory,"Strategic")</f>
        <v>0</v>
      </c>
      <c r="C165" s="57" t="n">
        <f aca="false">SUMIFS('4. Challenge'!$S$6:$S$2405,'4. Challenge'!$A$6:$A$2405,"Operations Group",BookCategory,"Strategic")</f>
        <v>0</v>
      </c>
      <c r="D165" s="34" t="s">
        <v>116</v>
      </c>
      <c r="E165" s="56" t="n">
        <f aca="false">SUMIFS('4. Challenge'!$P$6:$P$2405,'4. Challenge'!$A$6:$A$2405,"Operations Group",'4. Challenge'!$Q$6:$Q$2405,"Q2")</f>
        <v>0</v>
      </c>
      <c r="F165" s="57" t="n">
        <f aca="false">SUMIFS('4. Challenge'!$R$6:$R$2405,'4. Challenge'!$A$6:$A$2405,"Operations Group",'4. Challenge'!$Q$6:$Q$2405,"Q2")</f>
        <v>0</v>
      </c>
    </row>
    <row r="166" customFormat="false" ht="15" hidden="false" customHeight="false" outlineLevel="0" collapsed="false">
      <c r="A166" s="34" t="s">
        <v>203</v>
      </c>
      <c r="B166" s="56" t="n">
        <f aca="false">SUMIFS('4. Challenge'!$P$6:$P$2405,'4. Challenge'!$A$6:$A$2405,"Operations Group",BookCategory,"Control")</f>
        <v>0</v>
      </c>
      <c r="C166" s="57" t="n">
        <f aca="false">SUMIFS('4. Challenge'!$S$6:$S$2405,'4. Challenge'!$A$6:$A$2405,"Operations Group",BookCategory,"Control")</f>
        <v>0</v>
      </c>
      <c r="D166" s="34" t="s">
        <v>117</v>
      </c>
      <c r="E166" s="56" t="n">
        <f aca="false">SUMIFS('4. Challenge'!$P$6:$P$2405,'4. Challenge'!$A$6:$A$2405,"Operations Group",'4. Challenge'!$Q$6:$Q$2405,"Q3")</f>
        <v>0</v>
      </c>
      <c r="F166" s="57" t="n">
        <f aca="false">SUMIFS('4. Challenge'!$R$6:$R$2405,'4. Challenge'!$A$6:$A$2405,"Operations Group",'4. Challenge'!$Q$6:$Q$2405,"Q3")</f>
        <v>0</v>
      </c>
    </row>
    <row r="167" customFormat="false" ht="15" hidden="false" customHeight="false" outlineLevel="0" collapsed="false">
      <c r="A167" s="34" t="s">
        <v>205</v>
      </c>
      <c r="B167" s="56" t="n">
        <f aca="false">SUMIFS('4. Challenge'!$P$6:$P$2405,'4. Challenge'!$A$6:$A$2405,"Operations Group",BookCategory,"BAU")</f>
        <v>0</v>
      </c>
      <c r="C167" s="57" t="n">
        <f aca="false">SUMIFS('4. Challenge'!$S$6:$S$2405,'4. Challenge'!$A$6:$A$2405,"Operations Group",BookCategory,"BAU")</f>
        <v>0</v>
      </c>
      <c r="D167" s="34" t="s">
        <v>118</v>
      </c>
      <c r="E167" s="56" t="n">
        <f aca="false">SUMIFS('4. Challenge'!$P$6:$P$2405,'4. Challenge'!$A$6:$A$2405,"Operations Group",'4. Challenge'!$Q$6:$Q$2405,"Q4")</f>
        <v>0</v>
      </c>
      <c r="F167" s="57" t="n">
        <f aca="false">SUMIFS('4. Challenge'!$R$6:$R$2405,'4. Challenge'!$A$6:$A$2405,"Operations Group",'4. Challenge'!$Q$6:$Q$2405,"Q4")</f>
        <v>0</v>
      </c>
    </row>
    <row r="169" customFormat="false" ht="25.5" hidden="false" customHeight="true" outlineLevel="0" collapsed="false">
      <c r="A169" s="11" t="s">
        <v>301</v>
      </c>
      <c r="B169" s="11"/>
      <c r="C169" s="11"/>
      <c r="D169" s="11"/>
      <c r="E169" s="11"/>
      <c r="F169" s="11"/>
    </row>
    <row r="172" customFormat="false" ht="19.7" hidden="false" customHeight="false" outlineLevel="0" collapsed="false">
      <c r="A172" s="60" t="s">
        <v>88</v>
      </c>
      <c r="B172" s="25"/>
      <c r="C172" s="25"/>
      <c r="D172" s="25"/>
      <c r="E172" s="61" t="s">
        <v>283</v>
      </c>
      <c r="F172" s="25"/>
    </row>
    <row r="174" customFormat="false" ht="15" hidden="false" customHeight="false" outlineLevel="0" collapsed="false">
      <c r="A174" s="6" t="s">
        <v>284</v>
      </c>
      <c r="B174" s="43" t="n">
        <f aca="false">'1. Envelopes'!$O$19</f>
        <v>0</v>
      </c>
    </row>
    <row r="175" customFormat="false" ht="15" hidden="false" customHeight="false" outlineLevel="0" collapsed="false">
      <c r="A175" s="6" t="s">
        <v>258</v>
      </c>
      <c r="B175" s="43" t="n">
        <f aca="false">'1. Envelopes'!$R$19</f>
        <v>0</v>
      </c>
    </row>
    <row r="176" customFormat="false" ht="15" hidden="false" customHeight="false" outlineLevel="0" collapsed="false">
      <c r="A176" s="6" t="s">
        <v>285</v>
      </c>
      <c r="B176" s="35" t="n">
        <f aca="false">COUNTIFS('4. Challenge'!$A$6:$A$2405,"Retail Banking Group",'4. Challenge'!$P$6:$P$2405,0)</f>
        <v>0</v>
      </c>
    </row>
    <row r="177" customFormat="false" ht="15" hidden="false" customHeight="false" outlineLevel="0" collapsed="false">
      <c r="A177" s="6" t="s">
        <v>286</v>
      </c>
      <c r="B177" s="43" t="n">
        <f aca="false">'1. Envelopes'!$Q$19</f>
        <v>0</v>
      </c>
    </row>
    <row r="178" customFormat="false" ht="15" hidden="false" customHeight="false" outlineLevel="0" collapsed="false">
      <c r="A178" s="6" t="s">
        <v>262</v>
      </c>
      <c r="B178" s="35" t="n">
        <f aca="false">'1. Envelopes'!$S$19</f>
        <v>0</v>
      </c>
    </row>
    <row r="179" customFormat="false" ht="15" hidden="false" customHeight="false" outlineLevel="0" collapsed="false">
      <c r="A179" s="6" t="s">
        <v>270</v>
      </c>
      <c r="B179" s="35" t="n">
        <f aca="false">SUMIFS('4. Challenge'!$R$6:$R$2405,'4. Challenge'!$A$6:$A$2405,"Retail Banking Group")</f>
        <v>0</v>
      </c>
    </row>
    <row r="180" customFormat="false" ht="15" hidden="false" customHeight="false" outlineLevel="0" collapsed="false">
      <c r="A180" s="6" t="s">
        <v>287</v>
      </c>
      <c r="B180" s="35" t="n">
        <f aca="false">'1. Envelopes'!$F$19</f>
        <v>4832</v>
      </c>
    </row>
    <row r="181" customFormat="false" ht="15" hidden="false" customHeight="false" outlineLevel="0" collapsed="false">
      <c r="A181" s="6" t="s">
        <v>288</v>
      </c>
      <c r="B181" s="34" t="str">
        <f aca="false">'1. Envelopes'!$T$19</f>
        <v>Within</v>
      </c>
    </row>
    <row r="183" customFormat="false" ht="15" hidden="false" customHeight="false" outlineLevel="0" collapsed="false">
      <c r="A183" s="6" t="s">
        <v>289</v>
      </c>
      <c r="D183" s="6" t="s">
        <v>290</v>
      </c>
    </row>
    <row r="184" customFormat="false" ht="15" hidden="false" customHeight="false" outlineLevel="0" collapsed="false">
      <c r="A184" s="62" t="s">
        <v>198</v>
      </c>
      <c r="B184" s="62" t="s">
        <v>291</v>
      </c>
      <c r="C184" s="62" t="s">
        <v>280</v>
      </c>
      <c r="D184" s="62" t="s">
        <v>292</v>
      </c>
      <c r="E184" s="62" t="s">
        <v>291</v>
      </c>
      <c r="F184" s="62" t="s">
        <v>293</v>
      </c>
    </row>
    <row r="185" customFormat="false" ht="15" hidden="false" customHeight="false" outlineLevel="0" collapsed="false">
      <c r="A185" s="34" t="s">
        <v>199</v>
      </c>
      <c r="B185" s="56" t="n">
        <f aca="false">SUMIFS('4. Challenge'!$P$6:$P$2405,'4. Challenge'!$A$6:$A$2405,"Retail Banking Group",BookCategory,"Regulatory")</f>
        <v>0</v>
      </c>
      <c r="C185" s="57" t="n">
        <f aca="false">SUMIFS('4. Challenge'!$S$6:$S$2405,'4. Challenge'!$A$6:$A$2405,"Retail Banking Group",BookCategory,"Regulatory")</f>
        <v>0</v>
      </c>
      <c r="D185" s="34" t="s">
        <v>115</v>
      </c>
      <c r="E185" s="56" t="n">
        <f aca="false">SUMIFS('4. Challenge'!$P$6:$P$2405,'4. Challenge'!$A$6:$A$2405,"Retail Banking Group",'4. Challenge'!$Q$6:$Q$2405,"Q1")</f>
        <v>0</v>
      </c>
      <c r="F185" s="57" t="n">
        <f aca="false">SUMIFS('4. Challenge'!$R$6:$R$2405,'4. Challenge'!$A$6:$A$2405,"Retail Banking Group",'4. Challenge'!$Q$6:$Q$2405,"Q1")</f>
        <v>0</v>
      </c>
    </row>
    <row r="186" customFormat="false" ht="15" hidden="false" customHeight="false" outlineLevel="0" collapsed="false">
      <c r="A186" s="34" t="s">
        <v>201</v>
      </c>
      <c r="B186" s="56" t="n">
        <f aca="false">SUMIFS('4. Challenge'!$P$6:$P$2405,'4. Challenge'!$A$6:$A$2405,"Retail Banking Group",BookCategory,"Strategic")</f>
        <v>0</v>
      </c>
      <c r="C186" s="57" t="n">
        <f aca="false">SUMIFS('4. Challenge'!$S$6:$S$2405,'4. Challenge'!$A$6:$A$2405,"Retail Banking Group",BookCategory,"Strategic")</f>
        <v>0</v>
      </c>
      <c r="D186" s="34" t="s">
        <v>116</v>
      </c>
      <c r="E186" s="56" t="n">
        <f aca="false">SUMIFS('4. Challenge'!$P$6:$P$2405,'4. Challenge'!$A$6:$A$2405,"Retail Banking Group",'4. Challenge'!$Q$6:$Q$2405,"Q2")</f>
        <v>0</v>
      </c>
      <c r="F186" s="57" t="n">
        <f aca="false">SUMIFS('4. Challenge'!$R$6:$R$2405,'4. Challenge'!$A$6:$A$2405,"Retail Banking Group",'4. Challenge'!$Q$6:$Q$2405,"Q2")</f>
        <v>0</v>
      </c>
    </row>
    <row r="187" customFormat="false" ht="15" hidden="false" customHeight="false" outlineLevel="0" collapsed="false">
      <c r="A187" s="34" t="s">
        <v>203</v>
      </c>
      <c r="B187" s="56" t="n">
        <f aca="false">SUMIFS('4. Challenge'!$P$6:$P$2405,'4. Challenge'!$A$6:$A$2405,"Retail Banking Group",BookCategory,"Control")</f>
        <v>0</v>
      </c>
      <c r="C187" s="57" t="n">
        <f aca="false">SUMIFS('4. Challenge'!$S$6:$S$2405,'4. Challenge'!$A$6:$A$2405,"Retail Banking Group",BookCategory,"Control")</f>
        <v>0</v>
      </c>
      <c r="D187" s="34" t="s">
        <v>117</v>
      </c>
      <c r="E187" s="56" t="n">
        <f aca="false">SUMIFS('4. Challenge'!$P$6:$P$2405,'4. Challenge'!$A$6:$A$2405,"Retail Banking Group",'4. Challenge'!$Q$6:$Q$2405,"Q3")</f>
        <v>0</v>
      </c>
      <c r="F187" s="57" t="n">
        <f aca="false">SUMIFS('4. Challenge'!$R$6:$R$2405,'4. Challenge'!$A$6:$A$2405,"Retail Banking Group",'4. Challenge'!$Q$6:$Q$2405,"Q3")</f>
        <v>0</v>
      </c>
    </row>
    <row r="188" customFormat="false" ht="15" hidden="false" customHeight="false" outlineLevel="0" collapsed="false">
      <c r="A188" s="34" t="s">
        <v>205</v>
      </c>
      <c r="B188" s="56" t="n">
        <f aca="false">SUMIFS('4. Challenge'!$P$6:$P$2405,'4. Challenge'!$A$6:$A$2405,"Retail Banking Group",BookCategory,"BAU")</f>
        <v>0</v>
      </c>
      <c r="C188" s="57" t="n">
        <f aca="false">SUMIFS('4. Challenge'!$S$6:$S$2405,'4. Challenge'!$A$6:$A$2405,"Retail Banking Group",BookCategory,"BAU")</f>
        <v>0</v>
      </c>
      <c r="D188" s="34" t="s">
        <v>118</v>
      </c>
      <c r="E188" s="56" t="n">
        <f aca="false">SUMIFS('4. Challenge'!$P$6:$P$2405,'4. Challenge'!$A$6:$A$2405,"Retail Banking Group",'4. Challenge'!$Q$6:$Q$2405,"Q4")</f>
        <v>0</v>
      </c>
      <c r="F188" s="57" t="n">
        <f aca="false">SUMIFS('4. Challenge'!$R$6:$R$2405,'4. Challenge'!$A$6:$A$2405,"Retail Banking Group",'4. Challenge'!$Q$6:$Q$2405,"Q4")</f>
        <v>0</v>
      </c>
    </row>
    <row r="190" customFormat="false" ht="25.5" hidden="false" customHeight="true" outlineLevel="0" collapsed="false">
      <c r="A190" s="11" t="s">
        <v>302</v>
      </c>
      <c r="B190" s="11"/>
      <c r="C190" s="11"/>
      <c r="D190" s="11"/>
      <c r="E190" s="11"/>
      <c r="F190" s="11"/>
    </row>
    <row r="193" customFormat="false" ht="19.7" hidden="false" customHeight="false" outlineLevel="0" collapsed="false">
      <c r="A193" s="60" t="s">
        <v>91</v>
      </c>
      <c r="B193" s="25"/>
      <c r="C193" s="25"/>
      <c r="D193" s="25"/>
      <c r="E193" s="61" t="s">
        <v>283</v>
      </c>
      <c r="F193" s="25"/>
    </row>
    <row r="195" customFormat="false" ht="15" hidden="false" customHeight="false" outlineLevel="0" collapsed="false">
      <c r="A195" s="6" t="s">
        <v>284</v>
      </c>
      <c r="B195" s="43" t="n">
        <f aca="false">'1. Envelopes'!$O$20</f>
        <v>0</v>
      </c>
    </row>
    <row r="196" customFormat="false" ht="15" hidden="false" customHeight="false" outlineLevel="0" collapsed="false">
      <c r="A196" s="6" t="s">
        <v>258</v>
      </c>
      <c r="B196" s="43" t="n">
        <f aca="false">'1. Envelopes'!$R$20</f>
        <v>0</v>
      </c>
    </row>
    <row r="197" customFormat="false" ht="15" hidden="false" customHeight="false" outlineLevel="0" collapsed="false">
      <c r="A197" s="6" t="s">
        <v>285</v>
      </c>
      <c r="B197" s="35" t="n">
        <f aca="false">COUNTIFS('4. Challenge'!$A$6:$A$2405,"Risk Group",'4. Challenge'!$P$6:$P$2405,0)</f>
        <v>0</v>
      </c>
    </row>
    <row r="198" customFormat="false" ht="15" hidden="false" customHeight="false" outlineLevel="0" collapsed="false">
      <c r="A198" s="6" t="s">
        <v>286</v>
      </c>
      <c r="B198" s="43" t="n">
        <f aca="false">'1. Envelopes'!$Q$20</f>
        <v>0</v>
      </c>
    </row>
    <row r="199" customFormat="false" ht="15" hidden="false" customHeight="false" outlineLevel="0" collapsed="false">
      <c r="A199" s="6" t="s">
        <v>262</v>
      </c>
      <c r="B199" s="35" t="n">
        <f aca="false">'1. Envelopes'!$S$20</f>
        <v>0</v>
      </c>
    </row>
    <row r="200" customFormat="false" ht="15" hidden="false" customHeight="false" outlineLevel="0" collapsed="false">
      <c r="A200" s="6" t="s">
        <v>270</v>
      </c>
      <c r="B200" s="35" t="n">
        <f aca="false">SUMIFS('4. Challenge'!$R$6:$R$2405,'4. Challenge'!$A$6:$A$2405,"Risk Group")</f>
        <v>0</v>
      </c>
    </row>
    <row r="201" customFormat="false" ht="15" hidden="false" customHeight="false" outlineLevel="0" collapsed="false">
      <c r="A201" s="6" t="s">
        <v>287</v>
      </c>
      <c r="B201" s="35" t="n">
        <f aca="false">'1. Envelopes'!$F$20</f>
        <v>4447</v>
      </c>
    </row>
    <row r="202" customFormat="false" ht="15" hidden="false" customHeight="false" outlineLevel="0" collapsed="false">
      <c r="A202" s="6" t="s">
        <v>288</v>
      </c>
      <c r="B202" s="34" t="str">
        <f aca="false">'1. Envelopes'!$T$20</f>
        <v>Within</v>
      </c>
    </row>
    <row r="204" customFormat="false" ht="15" hidden="false" customHeight="false" outlineLevel="0" collapsed="false">
      <c r="A204" s="6" t="s">
        <v>289</v>
      </c>
      <c r="D204" s="6" t="s">
        <v>290</v>
      </c>
    </row>
    <row r="205" customFormat="false" ht="15" hidden="false" customHeight="false" outlineLevel="0" collapsed="false">
      <c r="A205" s="62" t="s">
        <v>198</v>
      </c>
      <c r="B205" s="62" t="s">
        <v>291</v>
      </c>
      <c r="C205" s="62" t="s">
        <v>280</v>
      </c>
      <c r="D205" s="62" t="s">
        <v>292</v>
      </c>
      <c r="E205" s="62" t="s">
        <v>291</v>
      </c>
      <c r="F205" s="62" t="s">
        <v>293</v>
      </c>
    </row>
    <row r="206" customFormat="false" ht="15" hidden="false" customHeight="false" outlineLevel="0" collapsed="false">
      <c r="A206" s="34" t="s">
        <v>199</v>
      </c>
      <c r="B206" s="56" t="n">
        <f aca="false">SUMIFS('4. Challenge'!$P$6:$P$2405,'4. Challenge'!$A$6:$A$2405,"Risk Group",BookCategory,"Regulatory")</f>
        <v>0</v>
      </c>
      <c r="C206" s="57" t="n">
        <f aca="false">SUMIFS('4. Challenge'!$S$6:$S$2405,'4. Challenge'!$A$6:$A$2405,"Risk Group",BookCategory,"Regulatory")</f>
        <v>0</v>
      </c>
      <c r="D206" s="34" t="s">
        <v>115</v>
      </c>
      <c r="E206" s="56" t="n">
        <f aca="false">SUMIFS('4. Challenge'!$P$6:$P$2405,'4. Challenge'!$A$6:$A$2405,"Risk Group",'4. Challenge'!$Q$6:$Q$2405,"Q1")</f>
        <v>0</v>
      </c>
      <c r="F206" s="57" t="n">
        <f aca="false">SUMIFS('4. Challenge'!$R$6:$R$2405,'4. Challenge'!$A$6:$A$2405,"Risk Group",'4. Challenge'!$Q$6:$Q$2405,"Q1")</f>
        <v>0</v>
      </c>
    </row>
    <row r="207" customFormat="false" ht="15" hidden="false" customHeight="false" outlineLevel="0" collapsed="false">
      <c r="A207" s="34" t="s">
        <v>201</v>
      </c>
      <c r="B207" s="56" t="n">
        <f aca="false">SUMIFS('4. Challenge'!$P$6:$P$2405,'4. Challenge'!$A$6:$A$2405,"Risk Group",BookCategory,"Strategic")</f>
        <v>0</v>
      </c>
      <c r="C207" s="57" t="n">
        <f aca="false">SUMIFS('4. Challenge'!$S$6:$S$2405,'4. Challenge'!$A$6:$A$2405,"Risk Group",BookCategory,"Strategic")</f>
        <v>0</v>
      </c>
      <c r="D207" s="34" t="s">
        <v>116</v>
      </c>
      <c r="E207" s="56" t="n">
        <f aca="false">SUMIFS('4. Challenge'!$P$6:$P$2405,'4. Challenge'!$A$6:$A$2405,"Risk Group",'4. Challenge'!$Q$6:$Q$2405,"Q2")</f>
        <v>0</v>
      </c>
      <c r="F207" s="57" t="n">
        <f aca="false">SUMIFS('4. Challenge'!$R$6:$R$2405,'4. Challenge'!$A$6:$A$2405,"Risk Group",'4. Challenge'!$Q$6:$Q$2405,"Q2")</f>
        <v>0</v>
      </c>
    </row>
    <row r="208" customFormat="false" ht="15" hidden="false" customHeight="false" outlineLevel="0" collapsed="false">
      <c r="A208" s="34" t="s">
        <v>203</v>
      </c>
      <c r="B208" s="56" t="n">
        <f aca="false">SUMIFS('4. Challenge'!$P$6:$P$2405,'4. Challenge'!$A$6:$A$2405,"Risk Group",BookCategory,"Control")</f>
        <v>0</v>
      </c>
      <c r="C208" s="57" t="n">
        <f aca="false">SUMIFS('4. Challenge'!$S$6:$S$2405,'4. Challenge'!$A$6:$A$2405,"Risk Group",BookCategory,"Control")</f>
        <v>0</v>
      </c>
      <c r="D208" s="34" t="s">
        <v>117</v>
      </c>
      <c r="E208" s="56" t="n">
        <f aca="false">SUMIFS('4. Challenge'!$P$6:$P$2405,'4. Challenge'!$A$6:$A$2405,"Risk Group",'4. Challenge'!$Q$6:$Q$2405,"Q3")</f>
        <v>0</v>
      </c>
      <c r="F208" s="57" t="n">
        <f aca="false">SUMIFS('4. Challenge'!$R$6:$R$2405,'4. Challenge'!$A$6:$A$2405,"Risk Group",'4. Challenge'!$Q$6:$Q$2405,"Q3")</f>
        <v>0</v>
      </c>
    </row>
    <row r="209" customFormat="false" ht="15" hidden="false" customHeight="false" outlineLevel="0" collapsed="false">
      <c r="A209" s="34" t="s">
        <v>205</v>
      </c>
      <c r="B209" s="56" t="n">
        <f aca="false">SUMIFS('4. Challenge'!$P$6:$P$2405,'4. Challenge'!$A$6:$A$2405,"Risk Group",BookCategory,"BAU")</f>
        <v>0</v>
      </c>
      <c r="C209" s="57" t="n">
        <f aca="false">SUMIFS('4. Challenge'!$S$6:$S$2405,'4. Challenge'!$A$6:$A$2405,"Risk Group",BookCategory,"BAU")</f>
        <v>0</v>
      </c>
      <c r="D209" s="34" t="s">
        <v>118</v>
      </c>
      <c r="E209" s="56" t="n">
        <f aca="false">SUMIFS('4. Challenge'!$P$6:$P$2405,'4. Challenge'!$A$6:$A$2405,"Risk Group",'4. Challenge'!$Q$6:$Q$2405,"Q4")</f>
        <v>0</v>
      </c>
      <c r="F209" s="57" t="n">
        <f aca="false">SUMIFS('4. Challenge'!$R$6:$R$2405,'4. Challenge'!$A$6:$A$2405,"Risk Group",'4. Challenge'!$Q$6:$Q$2405,"Q4")</f>
        <v>0</v>
      </c>
    </row>
    <row r="211" customFormat="false" ht="25.5" hidden="false" customHeight="true" outlineLevel="0" collapsed="false">
      <c r="A211" s="11" t="s">
        <v>303</v>
      </c>
      <c r="B211" s="11"/>
      <c r="C211" s="11"/>
      <c r="D211" s="11"/>
      <c r="E211" s="11"/>
      <c r="F211" s="11"/>
    </row>
    <row r="214" customFormat="false" ht="19.7" hidden="false" customHeight="false" outlineLevel="0" collapsed="false">
      <c r="A214" s="60" t="s">
        <v>94</v>
      </c>
      <c r="B214" s="25"/>
      <c r="C214" s="25"/>
      <c r="D214" s="25"/>
      <c r="E214" s="61" t="s">
        <v>283</v>
      </c>
      <c r="F214" s="25"/>
    </row>
    <row r="216" customFormat="false" ht="15" hidden="false" customHeight="false" outlineLevel="0" collapsed="false">
      <c r="A216" s="6" t="s">
        <v>284</v>
      </c>
      <c r="B216" s="43" t="n">
        <f aca="false">'1. Envelopes'!$O$21</f>
        <v>0</v>
      </c>
    </row>
    <row r="217" customFormat="false" ht="15" hidden="false" customHeight="false" outlineLevel="0" collapsed="false">
      <c r="A217" s="6" t="s">
        <v>258</v>
      </c>
      <c r="B217" s="43" t="n">
        <f aca="false">'1. Envelopes'!$R$21</f>
        <v>0</v>
      </c>
    </row>
    <row r="218" customFormat="false" ht="15" hidden="false" customHeight="false" outlineLevel="0" collapsed="false">
      <c r="A218" s="6" t="s">
        <v>285</v>
      </c>
      <c r="B218" s="35" t="n">
        <f aca="false">COUNTIFS('4. Challenge'!$A$6:$A$2405,"Technology Group",'4. Challenge'!$P$6:$P$2405,0)</f>
        <v>0</v>
      </c>
    </row>
    <row r="219" customFormat="false" ht="15" hidden="false" customHeight="false" outlineLevel="0" collapsed="false">
      <c r="A219" s="6" t="s">
        <v>286</v>
      </c>
      <c r="B219" s="43" t="n">
        <f aca="false">'1. Envelopes'!$Q$21</f>
        <v>0</v>
      </c>
    </row>
    <row r="220" customFormat="false" ht="15" hidden="false" customHeight="false" outlineLevel="0" collapsed="false">
      <c r="A220" s="6" t="s">
        <v>262</v>
      </c>
      <c r="B220" s="35" t="n">
        <f aca="false">'1. Envelopes'!$S$21</f>
        <v>0</v>
      </c>
    </row>
    <row r="221" customFormat="false" ht="15" hidden="false" customHeight="false" outlineLevel="0" collapsed="false">
      <c r="A221" s="6" t="s">
        <v>270</v>
      </c>
      <c r="B221" s="35" t="n">
        <f aca="false">SUMIFS('4. Challenge'!$R$6:$R$2405,'4. Challenge'!$A$6:$A$2405,"Technology Group")</f>
        <v>0</v>
      </c>
    </row>
    <row r="222" customFormat="false" ht="15" hidden="false" customHeight="false" outlineLevel="0" collapsed="false">
      <c r="A222" s="6" t="s">
        <v>287</v>
      </c>
      <c r="B222" s="35" t="n">
        <f aca="false">'1. Envelopes'!$F$21</f>
        <v>4928</v>
      </c>
    </row>
    <row r="223" customFormat="false" ht="15" hidden="false" customHeight="false" outlineLevel="0" collapsed="false">
      <c r="A223" s="6" t="s">
        <v>288</v>
      </c>
      <c r="B223" s="34" t="str">
        <f aca="false">'1. Envelopes'!$T$21</f>
        <v>Within</v>
      </c>
    </row>
    <row r="225" customFormat="false" ht="15" hidden="false" customHeight="false" outlineLevel="0" collapsed="false">
      <c r="A225" s="6" t="s">
        <v>289</v>
      </c>
      <c r="D225" s="6" t="s">
        <v>290</v>
      </c>
    </row>
    <row r="226" customFormat="false" ht="15" hidden="false" customHeight="false" outlineLevel="0" collapsed="false">
      <c r="A226" s="62" t="s">
        <v>198</v>
      </c>
      <c r="B226" s="62" t="s">
        <v>291</v>
      </c>
      <c r="C226" s="62" t="s">
        <v>280</v>
      </c>
      <c r="D226" s="62" t="s">
        <v>292</v>
      </c>
      <c r="E226" s="62" t="s">
        <v>291</v>
      </c>
      <c r="F226" s="62" t="s">
        <v>293</v>
      </c>
    </row>
    <row r="227" customFormat="false" ht="15" hidden="false" customHeight="false" outlineLevel="0" collapsed="false">
      <c r="A227" s="34" t="s">
        <v>199</v>
      </c>
      <c r="B227" s="56" t="n">
        <f aca="false">SUMIFS('4. Challenge'!$P$6:$P$2405,'4. Challenge'!$A$6:$A$2405,"Technology Group",BookCategory,"Regulatory")</f>
        <v>0</v>
      </c>
      <c r="C227" s="57" t="n">
        <f aca="false">SUMIFS('4. Challenge'!$S$6:$S$2405,'4. Challenge'!$A$6:$A$2405,"Technology Group",BookCategory,"Regulatory")</f>
        <v>0</v>
      </c>
      <c r="D227" s="34" t="s">
        <v>115</v>
      </c>
      <c r="E227" s="56" t="n">
        <f aca="false">SUMIFS('4. Challenge'!$P$6:$P$2405,'4. Challenge'!$A$6:$A$2405,"Technology Group",'4. Challenge'!$Q$6:$Q$2405,"Q1")</f>
        <v>0</v>
      </c>
      <c r="F227" s="57" t="n">
        <f aca="false">SUMIFS('4. Challenge'!$R$6:$R$2405,'4. Challenge'!$A$6:$A$2405,"Technology Group",'4. Challenge'!$Q$6:$Q$2405,"Q1")</f>
        <v>0</v>
      </c>
    </row>
    <row r="228" customFormat="false" ht="15" hidden="false" customHeight="false" outlineLevel="0" collapsed="false">
      <c r="A228" s="34" t="s">
        <v>201</v>
      </c>
      <c r="B228" s="56" t="n">
        <f aca="false">SUMIFS('4. Challenge'!$P$6:$P$2405,'4. Challenge'!$A$6:$A$2405,"Technology Group",BookCategory,"Strategic")</f>
        <v>0</v>
      </c>
      <c r="C228" s="57" t="n">
        <f aca="false">SUMIFS('4. Challenge'!$S$6:$S$2405,'4. Challenge'!$A$6:$A$2405,"Technology Group",BookCategory,"Strategic")</f>
        <v>0</v>
      </c>
      <c r="D228" s="34" t="s">
        <v>116</v>
      </c>
      <c r="E228" s="56" t="n">
        <f aca="false">SUMIFS('4. Challenge'!$P$6:$P$2405,'4. Challenge'!$A$6:$A$2405,"Technology Group",'4. Challenge'!$Q$6:$Q$2405,"Q2")</f>
        <v>0</v>
      </c>
      <c r="F228" s="57" t="n">
        <f aca="false">SUMIFS('4. Challenge'!$R$6:$R$2405,'4. Challenge'!$A$6:$A$2405,"Technology Group",'4. Challenge'!$Q$6:$Q$2405,"Q2")</f>
        <v>0</v>
      </c>
    </row>
    <row r="229" customFormat="false" ht="15" hidden="false" customHeight="false" outlineLevel="0" collapsed="false">
      <c r="A229" s="34" t="s">
        <v>203</v>
      </c>
      <c r="B229" s="56" t="n">
        <f aca="false">SUMIFS('4. Challenge'!$P$6:$P$2405,'4. Challenge'!$A$6:$A$2405,"Technology Group",BookCategory,"Control")</f>
        <v>0</v>
      </c>
      <c r="C229" s="57" t="n">
        <f aca="false">SUMIFS('4. Challenge'!$S$6:$S$2405,'4. Challenge'!$A$6:$A$2405,"Technology Group",BookCategory,"Control")</f>
        <v>0</v>
      </c>
      <c r="D229" s="34" t="s">
        <v>117</v>
      </c>
      <c r="E229" s="56" t="n">
        <f aca="false">SUMIFS('4. Challenge'!$P$6:$P$2405,'4. Challenge'!$A$6:$A$2405,"Technology Group",'4. Challenge'!$Q$6:$Q$2405,"Q3")</f>
        <v>0</v>
      </c>
      <c r="F229" s="57" t="n">
        <f aca="false">SUMIFS('4. Challenge'!$R$6:$R$2405,'4. Challenge'!$A$6:$A$2405,"Technology Group",'4. Challenge'!$Q$6:$Q$2405,"Q3")</f>
        <v>0</v>
      </c>
    </row>
    <row r="230" customFormat="false" ht="15" hidden="false" customHeight="false" outlineLevel="0" collapsed="false">
      <c r="A230" s="34" t="s">
        <v>205</v>
      </c>
      <c r="B230" s="56" t="n">
        <f aca="false">SUMIFS('4. Challenge'!$P$6:$P$2405,'4. Challenge'!$A$6:$A$2405,"Technology Group",BookCategory,"BAU")</f>
        <v>0</v>
      </c>
      <c r="C230" s="57" t="n">
        <f aca="false">SUMIFS('4. Challenge'!$S$6:$S$2405,'4. Challenge'!$A$6:$A$2405,"Technology Group",BookCategory,"BAU")</f>
        <v>0</v>
      </c>
      <c r="D230" s="34" t="s">
        <v>118</v>
      </c>
      <c r="E230" s="56" t="n">
        <f aca="false">SUMIFS('4. Challenge'!$P$6:$P$2405,'4. Challenge'!$A$6:$A$2405,"Technology Group",'4. Challenge'!$Q$6:$Q$2405,"Q4")</f>
        <v>0</v>
      </c>
      <c r="F230" s="57" t="n">
        <f aca="false">SUMIFS('4. Challenge'!$R$6:$R$2405,'4. Challenge'!$A$6:$A$2405,"Technology Group",'4. Challenge'!$Q$6:$Q$2405,"Q4")</f>
        <v>0</v>
      </c>
    </row>
    <row r="232" customFormat="false" ht="25.5" hidden="false" customHeight="true" outlineLevel="0" collapsed="false">
      <c r="A232" s="11" t="s">
        <v>304</v>
      </c>
      <c r="B232" s="11"/>
      <c r="C232" s="11"/>
      <c r="D232" s="11"/>
      <c r="E232" s="11"/>
      <c r="F232" s="11"/>
    </row>
    <row r="235" customFormat="false" ht="19.7" hidden="false" customHeight="false" outlineLevel="0" collapsed="false">
      <c r="A235" s="60" t="s">
        <v>97</v>
      </c>
      <c r="B235" s="25"/>
      <c r="C235" s="25"/>
      <c r="D235" s="25"/>
      <c r="E235" s="61" t="s">
        <v>283</v>
      </c>
      <c r="F235" s="25"/>
    </row>
    <row r="237" customFormat="false" ht="15" hidden="false" customHeight="false" outlineLevel="0" collapsed="false">
      <c r="A237" s="6" t="s">
        <v>284</v>
      </c>
      <c r="B237" s="43" t="n">
        <f aca="false">'1. Envelopes'!$O$22</f>
        <v>0</v>
      </c>
    </row>
    <row r="238" customFormat="false" ht="15" hidden="false" customHeight="false" outlineLevel="0" collapsed="false">
      <c r="A238" s="6" t="s">
        <v>258</v>
      </c>
      <c r="B238" s="43" t="n">
        <f aca="false">'1. Envelopes'!$R$22</f>
        <v>0</v>
      </c>
    </row>
    <row r="239" customFormat="false" ht="15" hidden="false" customHeight="false" outlineLevel="0" collapsed="false">
      <c r="A239" s="6" t="s">
        <v>285</v>
      </c>
      <c r="B239" s="35" t="n">
        <f aca="false">COUNTIFS('4. Challenge'!$A$6:$A$2405,"Treasury &amp; Investments Group",'4. Challenge'!$P$6:$P$2405,0)</f>
        <v>0</v>
      </c>
    </row>
    <row r="240" customFormat="false" ht="15" hidden="false" customHeight="false" outlineLevel="0" collapsed="false">
      <c r="A240" s="6" t="s">
        <v>286</v>
      </c>
      <c r="B240" s="43" t="n">
        <f aca="false">'1. Envelopes'!$Q$22</f>
        <v>0</v>
      </c>
    </row>
    <row r="241" customFormat="false" ht="15" hidden="false" customHeight="false" outlineLevel="0" collapsed="false">
      <c r="A241" s="6" t="s">
        <v>262</v>
      </c>
      <c r="B241" s="35" t="n">
        <f aca="false">'1. Envelopes'!$S$22</f>
        <v>0</v>
      </c>
    </row>
    <row r="242" customFormat="false" ht="15" hidden="false" customHeight="false" outlineLevel="0" collapsed="false">
      <c r="A242" s="6" t="s">
        <v>270</v>
      </c>
      <c r="B242" s="35" t="n">
        <f aca="false">SUMIFS('4. Challenge'!$R$6:$R$2405,'4. Challenge'!$A$6:$A$2405,"Treasury &amp; Investments Group")</f>
        <v>0</v>
      </c>
    </row>
    <row r="243" customFormat="false" ht="15" hidden="false" customHeight="false" outlineLevel="0" collapsed="false">
      <c r="A243" s="6" t="s">
        <v>287</v>
      </c>
      <c r="B243" s="35" t="n">
        <f aca="false">'1. Envelopes'!$F$22</f>
        <v>1920</v>
      </c>
    </row>
    <row r="244" customFormat="false" ht="15" hidden="false" customHeight="false" outlineLevel="0" collapsed="false">
      <c r="A244" s="6" t="s">
        <v>288</v>
      </c>
      <c r="B244" s="34" t="str">
        <f aca="false">'1. Envelopes'!$T$22</f>
        <v>Within</v>
      </c>
    </row>
    <row r="246" customFormat="false" ht="15" hidden="false" customHeight="false" outlineLevel="0" collapsed="false">
      <c r="A246" s="6" t="s">
        <v>289</v>
      </c>
      <c r="D246" s="6" t="s">
        <v>290</v>
      </c>
    </row>
    <row r="247" customFormat="false" ht="15" hidden="false" customHeight="false" outlineLevel="0" collapsed="false">
      <c r="A247" s="62" t="s">
        <v>198</v>
      </c>
      <c r="B247" s="62" t="s">
        <v>291</v>
      </c>
      <c r="C247" s="62" t="s">
        <v>280</v>
      </c>
      <c r="D247" s="62" t="s">
        <v>292</v>
      </c>
      <c r="E247" s="62" t="s">
        <v>291</v>
      </c>
      <c r="F247" s="62" t="s">
        <v>293</v>
      </c>
    </row>
    <row r="248" customFormat="false" ht="15" hidden="false" customHeight="false" outlineLevel="0" collapsed="false">
      <c r="A248" s="34" t="s">
        <v>199</v>
      </c>
      <c r="B248" s="56" t="n">
        <f aca="false">SUMIFS('4. Challenge'!$P$6:$P$2405,'4. Challenge'!$A$6:$A$2405,"Treasury &amp; Investments Group",BookCategory,"Regulatory")</f>
        <v>0</v>
      </c>
      <c r="C248" s="57" t="n">
        <f aca="false">SUMIFS('4. Challenge'!$S$6:$S$2405,'4. Challenge'!$A$6:$A$2405,"Treasury &amp; Investments Group",BookCategory,"Regulatory")</f>
        <v>0</v>
      </c>
      <c r="D248" s="34" t="s">
        <v>115</v>
      </c>
      <c r="E248" s="56" t="n">
        <f aca="false">SUMIFS('4. Challenge'!$P$6:$P$2405,'4. Challenge'!$A$6:$A$2405,"Treasury &amp; Investments Group",'4. Challenge'!$Q$6:$Q$2405,"Q1")</f>
        <v>0</v>
      </c>
      <c r="F248" s="57" t="n">
        <f aca="false">SUMIFS('4. Challenge'!$R$6:$R$2405,'4. Challenge'!$A$6:$A$2405,"Treasury &amp; Investments Group",'4. Challenge'!$Q$6:$Q$2405,"Q1")</f>
        <v>0</v>
      </c>
    </row>
    <row r="249" customFormat="false" ht="15" hidden="false" customHeight="false" outlineLevel="0" collapsed="false">
      <c r="A249" s="34" t="s">
        <v>201</v>
      </c>
      <c r="B249" s="56" t="n">
        <f aca="false">SUMIFS('4. Challenge'!$P$6:$P$2405,'4. Challenge'!$A$6:$A$2405,"Treasury &amp; Investments Group",BookCategory,"Strategic")</f>
        <v>0</v>
      </c>
      <c r="C249" s="57" t="n">
        <f aca="false">SUMIFS('4. Challenge'!$S$6:$S$2405,'4. Challenge'!$A$6:$A$2405,"Treasury &amp; Investments Group",BookCategory,"Strategic")</f>
        <v>0</v>
      </c>
      <c r="D249" s="34" t="s">
        <v>116</v>
      </c>
      <c r="E249" s="56" t="n">
        <f aca="false">SUMIFS('4. Challenge'!$P$6:$P$2405,'4. Challenge'!$A$6:$A$2405,"Treasury &amp; Investments Group",'4. Challenge'!$Q$6:$Q$2405,"Q2")</f>
        <v>0</v>
      </c>
      <c r="F249" s="57" t="n">
        <f aca="false">SUMIFS('4. Challenge'!$R$6:$R$2405,'4. Challenge'!$A$6:$A$2405,"Treasury &amp; Investments Group",'4. Challenge'!$Q$6:$Q$2405,"Q2")</f>
        <v>0</v>
      </c>
    </row>
    <row r="250" customFormat="false" ht="15" hidden="false" customHeight="false" outlineLevel="0" collapsed="false">
      <c r="A250" s="34" t="s">
        <v>203</v>
      </c>
      <c r="B250" s="56" t="n">
        <f aca="false">SUMIFS('4. Challenge'!$P$6:$P$2405,'4. Challenge'!$A$6:$A$2405,"Treasury &amp; Investments Group",BookCategory,"Control")</f>
        <v>0</v>
      </c>
      <c r="C250" s="57" t="n">
        <f aca="false">SUMIFS('4. Challenge'!$S$6:$S$2405,'4. Challenge'!$A$6:$A$2405,"Treasury &amp; Investments Group",BookCategory,"Control")</f>
        <v>0</v>
      </c>
      <c r="D250" s="34" t="s">
        <v>117</v>
      </c>
      <c r="E250" s="56" t="n">
        <f aca="false">SUMIFS('4. Challenge'!$P$6:$P$2405,'4. Challenge'!$A$6:$A$2405,"Treasury &amp; Investments Group",'4. Challenge'!$Q$6:$Q$2405,"Q3")</f>
        <v>0</v>
      </c>
      <c r="F250" s="57" t="n">
        <f aca="false">SUMIFS('4. Challenge'!$R$6:$R$2405,'4. Challenge'!$A$6:$A$2405,"Treasury &amp; Investments Group",'4. Challenge'!$Q$6:$Q$2405,"Q3")</f>
        <v>0</v>
      </c>
    </row>
    <row r="251" customFormat="false" ht="15" hidden="false" customHeight="false" outlineLevel="0" collapsed="false">
      <c r="A251" s="34" t="s">
        <v>205</v>
      </c>
      <c r="B251" s="56" t="n">
        <f aca="false">SUMIFS('4. Challenge'!$P$6:$P$2405,'4. Challenge'!$A$6:$A$2405,"Treasury &amp; Investments Group",BookCategory,"BAU")</f>
        <v>0</v>
      </c>
      <c r="C251" s="57" t="n">
        <f aca="false">SUMIFS('4. Challenge'!$S$6:$S$2405,'4. Challenge'!$A$6:$A$2405,"Treasury &amp; Investments Group",BookCategory,"BAU")</f>
        <v>0</v>
      </c>
      <c r="D251" s="34" t="s">
        <v>118</v>
      </c>
      <c r="E251" s="56" t="n">
        <f aca="false">SUMIFS('4. Challenge'!$P$6:$P$2405,'4. Challenge'!$A$6:$A$2405,"Treasury &amp; Investments Group",'4. Challenge'!$Q$6:$Q$2405,"Q4")</f>
        <v>0</v>
      </c>
      <c r="F251" s="57" t="n">
        <f aca="false">SUMIFS('4. Challenge'!$R$6:$R$2405,'4. Challenge'!$A$6:$A$2405,"Treasury &amp; Investments Group",'4. Challenge'!$Q$6:$Q$2405,"Q4")</f>
        <v>0</v>
      </c>
    </row>
    <row r="253" customFormat="false" ht="25.5" hidden="false" customHeight="true" outlineLevel="0" collapsed="false">
      <c r="A253" s="11" t="s">
        <v>305</v>
      </c>
      <c r="B253" s="11"/>
      <c r="C253" s="11"/>
      <c r="D253" s="11"/>
      <c r="E253" s="11"/>
      <c r="F253" s="11"/>
    </row>
  </sheetData>
  <sheetProtection sheet="true" sort="false" autoFilter="false"/>
  <mergeCells count="13">
    <mergeCell ref="A2:J2"/>
    <mergeCell ref="A22:F22"/>
    <mergeCell ref="A43:F43"/>
    <mergeCell ref="A64:F64"/>
    <mergeCell ref="A85:F85"/>
    <mergeCell ref="A106:F106"/>
    <mergeCell ref="A127:F127"/>
    <mergeCell ref="A148:F148"/>
    <mergeCell ref="A169:F169"/>
    <mergeCell ref="A190:F190"/>
    <mergeCell ref="A211:F211"/>
    <mergeCell ref="A232:F232"/>
    <mergeCell ref="A253:F253"/>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rowBreaks count="11" manualBreakCount="11">
    <brk id="24" man="true" max="16383" min="0"/>
    <brk id="45" man="true" max="16383" min="0"/>
    <brk id="66" man="true" max="16383" min="0"/>
    <brk id="87" man="true" max="16383" min="0"/>
    <brk id="108" man="true" max="16383" min="0"/>
    <brk id="129" man="true" max="16383" min="0"/>
    <brk id="150" man="true" max="16383" min="0"/>
    <brk id="171" man="true" max="16383" min="0"/>
    <brk id="192" man="true" max="16383" min="0"/>
    <brk id="213" man="true" max="16383" min="0"/>
    <brk id="234"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24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4"/>
    <col collapsed="false" customWidth="true" hidden="false" outlineLevel="0" max="23" min="4" style="0" width="13"/>
  </cols>
  <sheetData>
    <row r="1" customFormat="false" ht="24" hidden="false" customHeight="true" outlineLevel="0" collapsed="false">
      <c r="A1" s="1" t="s">
        <v>306</v>
      </c>
    </row>
    <row r="2" customFormat="false" ht="15" hidden="false" customHeight="false" outlineLevel="0" collapsed="false">
      <c r="A2" s="2" t="s">
        <v>307</v>
      </c>
      <c r="B2" s="2"/>
      <c r="C2" s="2"/>
      <c r="D2" s="2"/>
      <c r="E2" s="2"/>
      <c r="F2" s="2"/>
      <c r="G2" s="2"/>
      <c r="H2" s="2"/>
      <c r="I2" s="2"/>
      <c r="J2" s="2"/>
    </row>
    <row r="5" customFormat="false" ht="30" hidden="false" customHeight="true" outlineLevel="0" collapsed="false">
      <c r="A5" s="16" t="s">
        <v>127</v>
      </c>
      <c r="B5" s="16" t="s">
        <v>43</v>
      </c>
      <c r="C5" s="16" t="s">
        <v>198</v>
      </c>
      <c r="D5" s="16" t="s">
        <v>308</v>
      </c>
      <c r="E5" s="16" t="s">
        <v>309</v>
      </c>
      <c r="F5" s="16" t="s">
        <v>310</v>
      </c>
      <c r="G5" s="16" t="s">
        <v>311</v>
      </c>
      <c r="H5" s="16" t="s">
        <v>312</v>
      </c>
      <c r="I5" s="16" t="s">
        <v>313</v>
      </c>
      <c r="J5" s="16" t="s">
        <v>314</v>
      </c>
      <c r="K5" s="16" t="s">
        <v>315</v>
      </c>
      <c r="L5" s="16" t="s">
        <v>316</v>
      </c>
      <c r="M5" s="16" t="s">
        <v>317</v>
      </c>
      <c r="N5" s="16" t="s">
        <v>318</v>
      </c>
      <c r="O5" s="16" t="s">
        <v>319</v>
      </c>
      <c r="P5" s="16" t="s">
        <v>320</v>
      </c>
      <c r="Q5" s="16" t="s">
        <v>321</v>
      </c>
      <c r="R5" s="16" t="s">
        <v>322</v>
      </c>
      <c r="S5" s="16" t="s">
        <v>323</v>
      </c>
      <c r="T5" s="16" t="s">
        <v>324</v>
      </c>
      <c r="U5" s="16" t="s">
        <v>325</v>
      </c>
      <c r="V5" s="16" t="s">
        <v>326</v>
      </c>
      <c r="W5" s="16" t="s">
        <v>327</v>
      </c>
    </row>
    <row r="6" customFormat="false" ht="15" hidden="false" customHeight="false" outlineLevel="0" collapsed="false">
      <c r="A6" s="0" t="str">
        <f aca="false">IF(INDEX(BookTitle,1)="","",INDEX(BookKey,1))</f>
        <v/>
      </c>
      <c r="B6" s="0" t="str">
        <f aca="false">IF(INDEX(BookTitle,1)="","",INDEX(BookGroup,1))</f>
        <v/>
      </c>
      <c r="C6" s="0" t="str">
        <f aca="false">IF(INDEX(BookTitle,1)="","",INDEX(BookCategory,1))</f>
        <v/>
      </c>
      <c r="D6" s="56" t="str">
        <f aca="false">IF(INDEX(BookTitle,1)="","",INDEX(BookTotal,1)*'5. Scenarios'!$B$6/(1+ProductivityDefault*('5. Scenarios'!$B$11-1)))</f>
        <v/>
      </c>
      <c r="E6" s="57" t="str">
        <f aca="false">IF($D6="","",INDEX(BookRate,1)*(1+'5. Scenarios'!$B$10)*$D6)</f>
        <v/>
      </c>
      <c r="F6" s="57" t="str">
        <f aca="false">IF($E6="","",SUMIFS($E$6:$E$2405,$A$6:$A$2405,"&lt;="&amp;$A6))</f>
        <v/>
      </c>
      <c r="G6" s="57" t="str">
        <f aca="false">IF($E6="","",IF($F6&lt;=BankCostEnvelope*'5. Scenarios'!$B$7,1,0))</f>
        <v/>
      </c>
      <c r="H6" s="57" t="str">
        <f aca="false">IF($D6="","",INDEX(BookRate,1)*(1+'5. Scenarios'!$B$10)*(INDEX(BookQ1,1)*(5-MIN(4,1+'5. Scenarios'!$B$8))/4+INDEX(BookQ2,1)*(5-MIN(4,2+'5. Scenarios'!$B$8))/4+INDEX(BookQ3,1)*(5-MIN(4,3+'5. Scenarios'!$B$8))/4+INDEX(BookQ4,1)*(5-MIN(4,4+'5. Scenarios'!$B$8))/4)*'5. Scenarios'!$B$6/(1+ProductivityDefault*('5. Scenarios'!$B$11-1))+INDEX(BookOneOff,1)*$D6)</f>
        <v/>
      </c>
      <c r="I6" s="56" t="str">
        <f aca="false">IF(INDEX(BookTitle,1)="","",INDEX(BookTotal,1)*'5. Scenarios'!$C$6/(1+ProductivityDefault*('5. Scenarios'!$C$11-1)))</f>
        <v/>
      </c>
      <c r="J6" s="57" t="str">
        <f aca="false">IF($I6="","",INDEX(BookRate,1)*(1+'5. Scenarios'!$C$10)*$I6)</f>
        <v/>
      </c>
      <c r="K6" s="57" t="str">
        <f aca="false">IF($J6="","",SUMIFS($J$6:$J$2405,$A$6:$A$2405,"&lt;="&amp;$A6))</f>
        <v/>
      </c>
      <c r="L6" s="57" t="str">
        <f aca="false">IF($J6="","",IF($K6&lt;=BankCostEnvelope*'5. Scenarios'!$C$7,1,0))</f>
        <v/>
      </c>
      <c r="M6" s="57" t="str">
        <f aca="false">IF($I6="","",INDEX(BookRate,1)*(1+'5. Scenarios'!$C$10)*(INDEX(BookQ1,1)*(5-MIN(4,1+'5. Scenarios'!$C$8))/4+INDEX(BookQ2,1)*(5-MIN(4,2+'5. Scenarios'!$C$8))/4+INDEX(BookQ3,1)*(5-MIN(4,3+'5. Scenarios'!$C$8))/4+INDEX(BookQ4,1)*(5-MIN(4,4+'5. Scenarios'!$C$8))/4)*'5. Scenarios'!$C$6/(1+ProductivityDefault*('5. Scenarios'!$C$11-1))+INDEX(BookOneOff,1)*$I6)</f>
        <v/>
      </c>
      <c r="N6" s="56" t="str">
        <f aca="false">IF(INDEX(BookTitle,1)="","",INDEX(BookTotal,1)*'5. Scenarios'!$D$6/(1+ProductivityDefault*('5. Scenarios'!$D$11-1)))</f>
        <v/>
      </c>
      <c r="O6" s="57" t="str">
        <f aca="false">IF($N6="","",INDEX(BookRate,1)*(1+'5. Scenarios'!$D$10)*$N6)</f>
        <v/>
      </c>
      <c r="P6" s="57" t="str">
        <f aca="false">IF($O6="","",SUMIFS($O$6:$O$2405,$A$6:$A$2405,"&lt;="&amp;$A6))</f>
        <v/>
      </c>
      <c r="Q6" s="57" t="str">
        <f aca="false">IF($O6="","",IF($P6&lt;=BankCostEnvelope*'5. Scenarios'!$D$7,1,0))</f>
        <v/>
      </c>
      <c r="R6" s="57" t="str">
        <f aca="false">IF($N6="","",INDEX(BookRate,1)*(1+'5. Scenarios'!$D$10)*(INDEX(BookQ1,1)*(5-MIN(4,1+'5. Scenarios'!$D$8))/4+INDEX(BookQ2,1)*(5-MIN(4,2+'5. Scenarios'!$D$8))/4+INDEX(BookQ3,1)*(5-MIN(4,3+'5. Scenarios'!$D$8))/4+INDEX(BookQ4,1)*(5-MIN(4,4+'5. Scenarios'!$D$8))/4)*'5. Scenarios'!$D$6/(1+ProductivityDefault*('5. Scenarios'!$D$11-1))+INDEX(BookOneOff,1)*$N6)</f>
        <v/>
      </c>
      <c r="S6" s="56" t="str">
        <f aca="false">IF(INDEX(BookTitle,1)="","",INDEX(BookTotal,1)*'5. Scenarios'!$E$6/(1+ProductivityDefault*('5. Scenarios'!$E$11-1)))</f>
        <v/>
      </c>
      <c r="T6" s="57" t="str">
        <f aca="false">IF($S6="","",INDEX(BookRate,1)*(1+'5. Scenarios'!$E$10)*$S6)</f>
        <v/>
      </c>
      <c r="U6" s="57" t="str">
        <f aca="false">IF($T6="","",SUMIFS($T$6:$T$2405,$A$6:$A$2405,"&lt;="&amp;$A6))</f>
        <v/>
      </c>
      <c r="V6" s="57" t="str">
        <f aca="false">IF($T6="","",IF($U6&lt;=BankCostEnvelope*'5. Scenarios'!$E$7,1,0))</f>
        <v/>
      </c>
      <c r="W6" s="57" t="str">
        <f aca="false">IF($S6="","",INDEX(BookRate,1)*(1+'5. Scenarios'!$E$10)*(INDEX(BookQ1,1)*(5-MIN(4,1+'5. Scenarios'!$E$8))/4+INDEX(BookQ2,1)*(5-MIN(4,2+'5. Scenarios'!$E$8))/4+INDEX(BookQ3,1)*(5-MIN(4,3+'5. Scenarios'!$E$8))/4+INDEX(BookQ4,1)*(5-MIN(4,4+'5. Scenarios'!$E$8))/4)*'5. Scenarios'!$E$6/(1+ProductivityDefault*('5. Scenarios'!$E$11-1))+INDEX(BookOneOff,1)*$S6)</f>
        <v/>
      </c>
    </row>
    <row r="7" customFormat="false" ht="15" hidden="false" customHeight="false" outlineLevel="0" collapsed="false">
      <c r="A7" s="0" t="str">
        <f aca="false">IF(INDEX(BookTitle,2)="","",INDEX(BookKey,2))</f>
        <v/>
      </c>
      <c r="B7" s="0" t="str">
        <f aca="false">IF(INDEX(BookTitle,2)="","",INDEX(BookGroup,2))</f>
        <v/>
      </c>
      <c r="C7" s="0" t="str">
        <f aca="false">IF(INDEX(BookTitle,2)="","",INDEX(BookCategory,2))</f>
        <v/>
      </c>
      <c r="D7" s="56" t="str">
        <f aca="false">IF(INDEX(BookTitle,2)="","",INDEX(BookTotal,2)*'5. Scenarios'!$B$6/(1+ProductivityDefault*('5. Scenarios'!$B$11-1)))</f>
        <v/>
      </c>
      <c r="E7" s="57" t="str">
        <f aca="false">IF($D7="","",INDEX(BookRate,2)*(1+'5. Scenarios'!$B$10)*$D7)</f>
        <v/>
      </c>
      <c r="F7" s="57" t="str">
        <f aca="false">IF($E7="","",SUMIFS($E$6:$E$2405,$A$6:$A$2405,"&lt;="&amp;$A7))</f>
        <v/>
      </c>
      <c r="G7" s="57" t="str">
        <f aca="false">IF($E7="","",IF($F7&lt;=BankCostEnvelope*'5. Scenarios'!$B$7,1,0))</f>
        <v/>
      </c>
      <c r="H7" s="57" t="str">
        <f aca="false">IF($D7="","",INDEX(BookRate,2)*(1+'5. Scenarios'!$B$10)*(INDEX(BookQ1,2)*(5-MIN(4,1+'5. Scenarios'!$B$8))/4+INDEX(BookQ2,2)*(5-MIN(4,2+'5. Scenarios'!$B$8))/4+INDEX(BookQ3,2)*(5-MIN(4,3+'5. Scenarios'!$B$8))/4+INDEX(BookQ4,2)*(5-MIN(4,4+'5. Scenarios'!$B$8))/4)*'5. Scenarios'!$B$6/(1+ProductivityDefault*('5. Scenarios'!$B$11-1))+INDEX(BookOneOff,2)*$D7)</f>
        <v/>
      </c>
      <c r="I7" s="56" t="str">
        <f aca="false">IF(INDEX(BookTitle,2)="","",INDEX(BookTotal,2)*'5. Scenarios'!$C$6/(1+ProductivityDefault*('5. Scenarios'!$C$11-1)))</f>
        <v/>
      </c>
      <c r="J7" s="57" t="str">
        <f aca="false">IF($I7="","",INDEX(BookRate,2)*(1+'5. Scenarios'!$C$10)*$I7)</f>
        <v/>
      </c>
      <c r="K7" s="57" t="str">
        <f aca="false">IF($J7="","",SUMIFS($J$6:$J$2405,$A$6:$A$2405,"&lt;="&amp;$A7))</f>
        <v/>
      </c>
      <c r="L7" s="57" t="str">
        <f aca="false">IF($J7="","",IF($K7&lt;=BankCostEnvelope*'5. Scenarios'!$C$7,1,0))</f>
        <v/>
      </c>
      <c r="M7" s="57" t="str">
        <f aca="false">IF($I7="","",INDEX(BookRate,2)*(1+'5. Scenarios'!$C$10)*(INDEX(BookQ1,2)*(5-MIN(4,1+'5. Scenarios'!$C$8))/4+INDEX(BookQ2,2)*(5-MIN(4,2+'5. Scenarios'!$C$8))/4+INDEX(BookQ3,2)*(5-MIN(4,3+'5. Scenarios'!$C$8))/4+INDEX(BookQ4,2)*(5-MIN(4,4+'5. Scenarios'!$C$8))/4)*'5. Scenarios'!$C$6/(1+ProductivityDefault*('5. Scenarios'!$C$11-1))+INDEX(BookOneOff,2)*$I7)</f>
        <v/>
      </c>
      <c r="N7" s="56" t="str">
        <f aca="false">IF(INDEX(BookTitle,2)="","",INDEX(BookTotal,2)*'5. Scenarios'!$D$6/(1+ProductivityDefault*('5. Scenarios'!$D$11-1)))</f>
        <v/>
      </c>
      <c r="O7" s="57" t="str">
        <f aca="false">IF($N7="","",INDEX(BookRate,2)*(1+'5. Scenarios'!$D$10)*$N7)</f>
        <v/>
      </c>
      <c r="P7" s="57" t="str">
        <f aca="false">IF($O7="","",SUMIFS($O$6:$O$2405,$A$6:$A$2405,"&lt;="&amp;$A7))</f>
        <v/>
      </c>
      <c r="Q7" s="57" t="str">
        <f aca="false">IF($O7="","",IF($P7&lt;=BankCostEnvelope*'5. Scenarios'!$D$7,1,0))</f>
        <v/>
      </c>
      <c r="R7" s="57" t="str">
        <f aca="false">IF($N7="","",INDEX(BookRate,2)*(1+'5. Scenarios'!$D$10)*(INDEX(BookQ1,2)*(5-MIN(4,1+'5. Scenarios'!$D$8))/4+INDEX(BookQ2,2)*(5-MIN(4,2+'5. Scenarios'!$D$8))/4+INDEX(BookQ3,2)*(5-MIN(4,3+'5. Scenarios'!$D$8))/4+INDEX(BookQ4,2)*(5-MIN(4,4+'5. Scenarios'!$D$8))/4)*'5. Scenarios'!$D$6/(1+ProductivityDefault*('5. Scenarios'!$D$11-1))+INDEX(BookOneOff,2)*$N7)</f>
        <v/>
      </c>
      <c r="S7" s="56" t="str">
        <f aca="false">IF(INDEX(BookTitle,2)="","",INDEX(BookTotal,2)*'5. Scenarios'!$E$6/(1+ProductivityDefault*('5. Scenarios'!$E$11-1)))</f>
        <v/>
      </c>
      <c r="T7" s="57" t="str">
        <f aca="false">IF($S7="","",INDEX(BookRate,2)*(1+'5. Scenarios'!$E$10)*$S7)</f>
        <v/>
      </c>
      <c r="U7" s="57" t="str">
        <f aca="false">IF($T7="","",SUMIFS($T$6:$T$2405,$A$6:$A$2405,"&lt;="&amp;$A7))</f>
        <v/>
      </c>
      <c r="V7" s="57" t="str">
        <f aca="false">IF($T7="","",IF($U7&lt;=BankCostEnvelope*'5. Scenarios'!$E$7,1,0))</f>
        <v/>
      </c>
      <c r="W7" s="57" t="str">
        <f aca="false">IF($S7="","",INDEX(BookRate,2)*(1+'5. Scenarios'!$E$10)*(INDEX(BookQ1,2)*(5-MIN(4,1+'5. Scenarios'!$E$8))/4+INDEX(BookQ2,2)*(5-MIN(4,2+'5. Scenarios'!$E$8))/4+INDEX(BookQ3,2)*(5-MIN(4,3+'5. Scenarios'!$E$8))/4+INDEX(BookQ4,2)*(5-MIN(4,4+'5. Scenarios'!$E$8))/4)*'5. Scenarios'!$E$6/(1+ProductivityDefault*('5. Scenarios'!$E$11-1))+INDEX(BookOneOff,2)*$S7)</f>
        <v/>
      </c>
    </row>
    <row r="8" customFormat="false" ht="15" hidden="false" customHeight="false" outlineLevel="0" collapsed="false">
      <c r="A8" s="0" t="str">
        <f aca="false">IF(INDEX(BookTitle,3)="","",INDEX(BookKey,3))</f>
        <v/>
      </c>
      <c r="B8" s="0" t="str">
        <f aca="false">IF(INDEX(BookTitle,3)="","",INDEX(BookGroup,3))</f>
        <v/>
      </c>
      <c r="C8" s="0" t="str">
        <f aca="false">IF(INDEX(BookTitle,3)="","",INDEX(BookCategory,3))</f>
        <v/>
      </c>
      <c r="D8" s="56" t="str">
        <f aca="false">IF(INDEX(BookTitle,3)="","",INDEX(BookTotal,3)*'5. Scenarios'!$B$6/(1+ProductivityDefault*('5. Scenarios'!$B$11-1)))</f>
        <v/>
      </c>
      <c r="E8" s="57" t="str">
        <f aca="false">IF($D8="","",INDEX(BookRate,3)*(1+'5. Scenarios'!$B$10)*$D8)</f>
        <v/>
      </c>
      <c r="F8" s="57" t="str">
        <f aca="false">IF($E8="","",SUMIFS($E$6:$E$2405,$A$6:$A$2405,"&lt;="&amp;$A8))</f>
        <v/>
      </c>
      <c r="G8" s="57" t="str">
        <f aca="false">IF($E8="","",IF($F8&lt;=BankCostEnvelope*'5. Scenarios'!$B$7,1,0))</f>
        <v/>
      </c>
      <c r="H8" s="57" t="str">
        <f aca="false">IF($D8="","",INDEX(BookRate,3)*(1+'5. Scenarios'!$B$10)*(INDEX(BookQ1,3)*(5-MIN(4,1+'5. Scenarios'!$B$8))/4+INDEX(BookQ2,3)*(5-MIN(4,2+'5. Scenarios'!$B$8))/4+INDEX(BookQ3,3)*(5-MIN(4,3+'5. Scenarios'!$B$8))/4+INDEX(BookQ4,3)*(5-MIN(4,4+'5. Scenarios'!$B$8))/4)*'5. Scenarios'!$B$6/(1+ProductivityDefault*('5. Scenarios'!$B$11-1))+INDEX(BookOneOff,3)*$D8)</f>
        <v/>
      </c>
      <c r="I8" s="56" t="str">
        <f aca="false">IF(INDEX(BookTitle,3)="","",INDEX(BookTotal,3)*'5. Scenarios'!$C$6/(1+ProductivityDefault*('5. Scenarios'!$C$11-1)))</f>
        <v/>
      </c>
      <c r="J8" s="57" t="str">
        <f aca="false">IF($I8="","",INDEX(BookRate,3)*(1+'5. Scenarios'!$C$10)*$I8)</f>
        <v/>
      </c>
      <c r="K8" s="57" t="str">
        <f aca="false">IF($J8="","",SUMIFS($J$6:$J$2405,$A$6:$A$2405,"&lt;="&amp;$A8))</f>
        <v/>
      </c>
      <c r="L8" s="57" t="str">
        <f aca="false">IF($J8="","",IF($K8&lt;=BankCostEnvelope*'5. Scenarios'!$C$7,1,0))</f>
        <v/>
      </c>
      <c r="M8" s="57" t="str">
        <f aca="false">IF($I8="","",INDEX(BookRate,3)*(1+'5. Scenarios'!$C$10)*(INDEX(BookQ1,3)*(5-MIN(4,1+'5. Scenarios'!$C$8))/4+INDEX(BookQ2,3)*(5-MIN(4,2+'5. Scenarios'!$C$8))/4+INDEX(BookQ3,3)*(5-MIN(4,3+'5. Scenarios'!$C$8))/4+INDEX(BookQ4,3)*(5-MIN(4,4+'5. Scenarios'!$C$8))/4)*'5. Scenarios'!$C$6/(1+ProductivityDefault*('5. Scenarios'!$C$11-1))+INDEX(BookOneOff,3)*$I8)</f>
        <v/>
      </c>
      <c r="N8" s="56" t="str">
        <f aca="false">IF(INDEX(BookTitle,3)="","",INDEX(BookTotal,3)*'5. Scenarios'!$D$6/(1+ProductivityDefault*('5. Scenarios'!$D$11-1)))</f>
        <v/>
      </c>
      <c r="O8" s="57" t="str">
        <f aca="false">IF($N8="","",INDEX(BookRate,3)*(1+'5. Scenarios'!$D$10)*$N8)</f>
        <v/>
      </c>
      <c r="P8" s="57" t="str">
        <f aca="false">IF($O8="","",SUMIFS($O$6:$O$2405,$A$6:$A$2405,"&lt;="&amp;$A8))</f>
        <v/>
      </c>
      <c r="Q8" s="57" t="str">
        <f aca="false">IF($O8="","",IF($P8&lt;=BankCostEnvelope*'5. Scenarios'!$D$7,1,0))</f>
        <v/>
      </c>
      <c r="R8" s="57" t="str">
        <f aca="false">IF($N8="","",INDEX(BookRate,3)*(1+'5. Scenarios'!$D$10)*(INDEX(BookQ1,3)*(5-MIN(4,1+'5. Scenarios'!$D$8))/4+INDEX(BookQ2,3)*(5-MIN(4,2+'5. Scenarios'!$D$8))/4+INDEX(BookQ3,3)*(5-MIN(4,3+'5. Scenarios'!$D$8))/4+INDEX(BookQ4,3)*(5-MIN(4,4+'5. Scenarios'!$D$8))/4)*'5. Scenarios'!$D$6/(1+ProductivityDefault*('5. Scenarios'!$D$11-1))+INDEX(BookOneOff,3)*$N8)</f>
        <v/>
      </c>
      <c r="S8" s="56" t="str">
        <f aca="false">IF(INDEX(BookTitle,3)="","",INDEX(BookTotal,3)*'5. Scenarios'!$E$6/(1+ProductivityDefault*('5. Scenarios'!$E$11-1)))</f>
        <v/>
      </c>
      <c r="T8" s="57" t="str">
        <f aca="false">IF($S8="","",INDEX(BookRate,3)*(1+'5. Scenarios'!$E$10)*$S8)</f>
        <v/>
      </c>
      <c r="U8" s="57" t="str">
        <f aca="false">IF($T8="","",SUMIFS($T$6:$T$2405,$A$6:$A$2405,"&lt;="&amp;$A8))</f>
        <v/>
      </c>
      <c r="V8" s="57" t="str">
        <f aca="false">IF($T8="","",IF($U8&lt;=BankCostEnvelope*'5. Scenarios'!$E$7,1,0))</f>
        <v/>
      </c>
      <c r="W8" s="57" t="str">
        <f aca="false">IF($S8="","",INDEX(BookRate,3)*(1+'5. Scenarios'!$E$10)*(INDEX(BookQ1,3)*(5-MIN(4,1+'5. Scenarios'!$E$8))/4+INDEX(BookQ2,3)*(5-MIN(4,2+'5. Scenarios'!$E$8))/4+INDEX(BookQ3,3)*(5-MIN(4,3+'5. Scenarios'!$E$8))/4+INDEX(BookQ4,3)*(5-MIN(4,4+'5. Scenarios'!$E$8))/4)*'5. Scenarios'!$E$6/(1+ProductivityDefault*('5. Scenarios'!$E$11-1))+INDEX(BookOneOff,3)*$S8)</f>
        <v/>
      </c>
    </row>
    <row r="9" customFormat="false" ht="15" hidden="false" customHeight="false" outlineLevel="0" collapsed="false">
      <c r="A9" s="0" t="str">
        <f aca="false">IF(INDEX(BookTitle,4)="","",INDEX(BookKey,4))</f>
        <v/>
      </c>
      <c r="B9" s="0" t="str">
        <f aca="false">IF(INDEX(BookTitle,4)="","",INDEX(BookGroup,4))</f>
        <v/>
      </c>
      <c r="C9" s="0" t="str">
        <f aca="false">IF(INDEX(BookTitle,4)="","",INDEX(BookCategory,4))</f>
        <v/>
      </c>
      <c r="D9" s="56" t="str">
        <f aca="false">IF(INDEX(BookTitle,4)="","",INDEX(BookTotal,4)*'5. Scenarios'!$B$6/(1+ProductivityDefault*('5. Scenarios'!$B$11-1)))</f>
        <v/>
      </c>
      <c r="E9" s="57" t="str">
        <f aca="false">IF($D9="","",INDEX(BookRate,4)*(1+'5. Scenarios'!$B$10)*$D9)</f>
        <v/>
      </c>
      <c r="F9" s="57" t="str">
        <f aca="false">IF($E9="","",SUMIFS($E$6:$E$2405,$A$6:$A$2405,"&lt;="&amp;$A9))</f>
        <v/>
      </c>
      <c r="G9" s="57" t="str">
        <f aca="false">IF($E9="","",IF($F9&lt;=BankCostEnvelope*'5. Scenarios'!$B$7,1,0))</f>
        <v/>
      </c>
      <c r="H9" s="57" t="str">
        <f aca="false">IF($D9="","",INDEX(BookRate,4)*(1+'5. Scenarios'!$B$10)*(INDEX(BookQ1,4)*(5-MIN(4,1+'5. Scenarios'!$B$8))/4+INDEX(BookQ2,4)*(5-MIN(4,2+'5. Scenarios'!$B$8))/4+INDEX(BookQ3,4)*(5-MIN(4,3+'5. Scenarios'!$B$8))/4+INDEX(BookQ4,4)*(5-MIN(4,4+'5. Scenarios'!$B$8))/4)*'5. Scenarios'!$B$6/(1+ProductivityDefault*('5. Scenarios'!$B$11-1))+INDEX(BookOneOff,4)*$D9)</f>
        <v/>
      </c>
      <c r="I9" s="56" t="str">
        <f aca="false">IF(INDEX(BookTitle,4)="","",INDEX(BookTotal,4)*'5. Scenarios'!$C$6/(1+ProductivityDefault*('5. Scenarios'!$C$11-1)))</f>
        <v/>
      </c>
      <c r="J9" s="57" t="str">
        <f aca="false">IF($I9="","",INDEX(BookRate,4)*(1+'5. Scenarios'!$C$10)*$I9)</f>
        <v/>
      </c>
      <c r="K9" s="57" t="str">
        <f aca="false">IF($J9="","",SUMIFS($J$6:$J$2405,$A$6:$A$2405,"&lt;="&amp;$A9))</f>
        <v/>
      </c>
      <c r="L9" s="57" t="str">
        <f aca="false">IF($J9="","",IF($K9&lt;=BankCostEnvelope*'5. Scenarios'!$C$7,1,0))</f>
        <v/>
      </c>
      <c r="M9" s="57" t="str">
        <f aca="false">IF($I9="","",INDEX(BookRate,4)*(1+'5. Scenarios'!$C$10)*(INDEX(BookQ1,4)*(5-MIN(4,1+'5. Scenarios'!$C$8))/4+INDEX(BookQ2,4)*(5-MIN(4,2+'5. Scenarios'!$C$8))/4+INDEX(BookQ3,4)*(5-MIN(4,3+'5. Scenarios'!$C$8))/4+INDEX(BookQ4,4)*(5-MIN(4,4+'5. Scenarios'!$C$8))/4)*'5. Scenarios'!$C$6/(1+ProductivityDefault*('5. Scenarios'!$C$11-1))+INDEX(BookOneOff,4)*$I9)</f>
        <v/>
      </c>
      <c r="N9" s="56" t="str">
        <f aca="false">IF(INDEX(BookTitle,4)="","",INDEX(BookTotal,4)*'5. Scenarios'!$D$6/(1+ProductivityDefault*('5. Scenarios'!$D$11-1)))</f>
        <v/>
      </c>
      <c r="O9" s="57" t="str">
        <f aca="false">IF($N9="","",INDEX(BookRate,4)*(1+'5. Scenarios'!$D$10)*$N9)</f>
        <v/>
      </c>
      <c r="P9" s="57" t="str">
        <f aca="false">IF($O9="","",SUMIFS($O$6:$O$2405,$A$6:$A$2405,"&lt;="&amp;$A9))</f>
        <v/>
      </c>
      <c r="Q9" s="57" t="str">
        <f aca="false">IF($O9="","",IF($P9&lt;=BankCostEnvelope*'5. Scenarios'!$D$7,1,0))</f>
        <v/>
      </c>
      <c r="R9" s="57" t="str">
        <f aca="false">IF($N9="","",INDEX(BookRate,4)*(1+'5. Scenarios'!$D$10)*(INDEX(BookQ1,4)*(5-MIN(4,1+'5. Scenarios'!$D$8))/4+INDEX(BookQ2,4)*(5-MIN(4,2+'5. Scenarios'!$D$8))/4+INDEX(BookQ3,4)*(5-MIN(4,3+'5. Scenarios'!$D$8))/4+INDEX(BookQ4,4)*(5-MIN(4,4+'5. Scenarios'!$D$8))/4)*'5. Scenarios'!$D$6/(1+ProductivityDefault*('5. Scenarios'!$D$11-1))+INDEX(BookOneOff,4)*$N9)</f>
        <v/>
      </c>
      <c r="S9" s="56" t="str">
        <f aca="false">IF(INDEX(BookTitle,4)="","",INDEX(BookTotal,4)*'5. Scenarios'!$E$6/(1+ProductivityDefault*('5. Scenarios'!$E$11-1)))</f>
        <v/>
      </c>
      <c r="T9" s="57" t="str">
        <f aca="false">IF($S9="","",INDEX(BookRate,4)*(1+'5. Scenarios'!$E$10)*$S9)</f>
        <v/>
      </c>
      <c r="U9" s="57" t="str">
        <f aca="false">IF($T9="","",SUMIFS($T$6:$T$2405,$A$6:$A$2405,"&lt;="&amp;$A9))</f>
        <v/>
      </c>
      <c r="V9" s="57" t="str">
        <f aca="false">IF($T9="","",IF($U9&lt;=BankCostEnvelope*'5. Scenarios'!$E$7,1,0))</f>
        <v/>
      </c>
      <c r="W9" s="57" t="str">
        <f aca="false">IF($S9="","",INDEX(BookRate,4)*(1+'5. Scenarios'!$E$10)*(INDEX(BookQ1,4)*(5-MIN(4,1+'5. Scenarios'!$E$8))/4+INDEX(BookQ2,4)*(5-MIN(4,2+'5. Scenarios'!$E$8))/4+INDEX(BookQ3,4)*(5-MIN(4,3+'5. Scenarios'!$E$8))/4+INDEX(BookQ4,4)*(5-MIN(4,4+'5. Scenarios'!$E$8))/4)*'5. Scenarios'!$E$6/(1+ProductivityDefault*('5. Scenarios'!$E$11-1))+INDEX(BookOneOff,4)*$S9)</f>
        <v/>
      </c>
    </row>
    <row r="10" customFormat="false" ht="15" hidden="false" customHeight="false" outlineLevel="0" collapsed="false">
      <c r="A10" s="0" t="str">
        <f aca="false">IF(INDEX(BookTitle,5)="","",INDEX(BookKey,5))</f>
        <v/>
      </c>
      <c r="B10" s="0" t="str">
        <f aca="false">IF(INDEX(BookTitle,5)="","",INDEX(BookGroup,5))</f>
        <v/>
      </c>
      <c r="C10" s="0" t="str">
        <f aca="false">IF(INDEX(BookTitle,5)="","",INDEX(BookCategory,5))</f>
        <v/>
      </c>
      <c r="D10" s="56" t="str">
        <f aca="false">IF(INDEX(BookTitle,5)="","",INDEX(BookTotal,5)*'5. Scenarios'!$B$6/(1+ProductivityDefault*('5. Scenarios'!$B$11-1)))</f>
        <v/>
      </c>
      <c r="E10" s="57" t="str">
        <f aca="false">IF($D10="","",INDEX(BookRate,5)*(1+'5. Scenarios'!$B$10)*$D10)</f>
        <v/>
      </c>
      <c r="F10" s="57" t="str">
        <f aca="false">IF($E10="","",SUMIFS($E$6:$E$2405,$A$6:$A$2405,"&lt;="&amp;$A10))</f>
        <v/>
      </c>
      <c r="G10" s="57" t="str">
        <f aca="false">IF($E10="","",IF($F10&lt;=BankCostEnvelope*'5. Scenarios'!$B$7,1,0))</f>
        <v/>
      </c>
      <c r="H10" s="57" t="str">
        <f aca="false">IF($D10="","",INDEX(BookRate,5)*(1+'5. Scenarios'!$B$10)*(INDEX(BookQ1,5)*(5-MIN(4,1+'5. Scenarios'!$B$8))/4+INDEX(BookQ2,5)*(5-MIN(4,2+'5. Scenarios'!$B$8))/4+INDEX(BookQ3,5)*(5-MIN(4,3+'5. Scenarios'!$B$8))/4+INDEX(BookQ4,5)*(5-MIN(4,4+'5. Scenarios'!$B$8))/4)*'5. Scenarios'!$B$6/(1+ProductivityDefault*('5. Scenarios'!$B$11-1))+INDEX(BookOneOff,5)*$D10)</f>
        <v/>
      </c>
      <c r="I10" s="56" t="str">
        <f aca="false">IF(INDEX(BookTitle,5)="","",INDEX(BookTotal,5)*'5. Scenarios'!$C$6/(1+ProductivityDefault*('5. Scenarios'!$C$11-1)))</f>
        <v/>
      </c>
      <c r="J10" s="57" t="str">
        <f aca="false">IF($I10="","",INDEX(BookRate,5)*(1+'5. Scenarios'!$C$10)*$I10)</f>
        <v/>
      </c>
      <c r="K10" s="57" t="str">
        <f aca="false">IF($J10="","",SUMIFS($J$6:$J$2405,$A$6:$A$2405,"&lt;="&amp;$A10))</f>
        <v/>
      </c>
      <c r="L10" s="57" t="str">
        <f aca="false">IF($J10="","",IF($K10&lt;=BankCostEnvelope*'5. Scenarios'!$C$7,1,0))</f>
        <v/>
      </c>
      <c r="M10" s="57" t="str">
        <f aca="false">IF($I10="","",INDEX(BookRate,5)*(1+'5. Scenarios'!$C$10)*(INDEX(BookQ1,5)*(5-MIN(4,1+'5. Scenarios'!$C$8))/4+INDEX(BookQ2,5)*(5-MIN(4,2+'5. Scenarios'!$C$8))/4+INDEX(BookQ3,5)*(5-MIN(4,3+'5. Scenarios'!$C$8))/4+INDEX(BookQ4,5)*(5-MIN(4,4+'5. Scenarios'!$C$8))/4)*'5. Scenarios'!$C$6/(1+ProductivityDefault*('5. Scenarios'!$C$11-1))+INDEX(BookOneOff,5)*$I10)</f>
        <v/>
      </c>
      <c r="N10" s="56" t="str">
        <f aca="false">IF(INDEX(BookTitle,5)="","",INDEX(BookTotal,5)*'5. Scenarios'!$D$6/(1+ProductivityDefault*('5. Scenarios'!$D$11-1)))</f>
        <v/>
      </c>
      <c r="O10" s="57" t="str">
        <f aca="false">IF($N10="","",INDEX(BookRate,5)*(1+'5. Scenarios'!$D$10)*$N10)</f>
        <v/>
      </c>
      <c r="P10" s="57" t="str">
        <f aca="false">IF($O10="","",SUMIFS($O$6:$O$2405,$A$6:$A$2405,"&lt;="&amp;$A10))</f>
        <v/>
      </c>
      <c r="Q10" s="57" t="str">
        <f aca="false">IF($O10="","",IF($P10&lt;=BankCostEnvelope*'5. Scenarios'!$D$7,1,0))</f>
        <v/>
      </c>
      <c r="R10" s="57" t="str">
        <f aca="false">IF($N10="","",INDEX(BookRate,5)*(1+'5. Scenarios'!$D$10)*(INDEX(BookQ1,5)*(5-MIN(4,1+'5. Scenarios'!$D$8))/4+INDEX(BookQ2,5)*(5-MIN(4,2+'5. Scenarios'!$D$8))/4+INDEX(BookQ3,5)*(5-MIN(4,3+'5. Scenarios'!$D$8))/4+INDEX(BookQ4,5)*(5-MIN(4,4+'5. Scenarios'!$D$8))/4)*'5. Scenarios'!$D$6/(1+ProductivityDefault*('5. Scenarios'!$D$11-1))+INDEX(BookOneOff,5)*$N10)</f>
        <v/>
      </c>
      <c r="S10" s="56" t="str">
        <f aca="false">IF(INDEX(BookTitle,5)="","",INDEX(BookTotal,5)*'5. Scenarios'!$E$6/(1+ProductivityDefault*('5. Scenarios'!$E$11-1)))</f>
        <v/>
      </c>
      <c r="T10" s="57" t="str">
        <f aca="false">IF($S10="","",INDEX(BookRate,5)*(1+'5. Scenarios'!$E$10)*$S10)</f>
        <v/>
      </c>
      <c r="U10" s="57" t="str">
        <f aca="false">IF($T10="","",SUMIFS($T$6:$T$2405,$A$6:$A$2405,"&lt;="&amp;$A10))</f>
        <v/>
      </c>
      <c r="V10" s="57" t="str">
        <f aca="false">IF($T10="","",IF($U10&lt;=BankCostEnvelope*'5. Scenarios'!$E$7,1,0))</f>
        <v/>
      </c>
      <c r="W10" s="57" t="str">
        <f aca="false">IF($S10="","",INDEX(BookRate,5)*(1+'5. Scenarios'!$E$10)*(INDEX(BookQ1,5)*(5-MIN(4,1+'5. Scenarios'!$E$8))/4+INDEX(BookQ2,5)*(5-MIN(4,2+'5. Scenarios'!$E$8))/4+INDEX(BookQ3,5)*(5-MIN(4,3+'5. Scenarios'!$E$8))/4+INDEX(BookQ4,5)*(5-MIN(4,4+'5. Scenarios'!$E$8))/4)*'5. Scenarios'!$E$6/(1+ProductivityDefault*('5. Scenarios'!$E$11-1))+INDEX(BookOneOff,5)*$S10)</f>
        <v/>
      </c>
    </row>
    <row r="11" customFormat="false" ht="15" hidden="false" customHeight="false" outlineLevel="0" collapsed="false">
      <c r="A11" s="0" t="str">
        <f aca="false">IF(INDEX(BookTitle,6)="","",INDEX(BookKey,6))</f>
        <v/>
      </c>
      <c r="B11" s="0" t="str">
        <f aca="false">IF(INDEX(BookTitle,6)="","",INDEX(BookGroup,6))</f>
        <v/>
      </c>
      <c r="C11" s="0" t="str">
        <f aca="false">IF(INDEX(BookTitle,6)="","",INDEX(BookCategory,6))</f>
        <v/>
      </c>
      <c r="D11" s="56" t="str">
        <f aca="false">IF(INDEX(BookTitle,6)="","",INDEX(BookTotal,6)*'5. Scenarios'!$B$6/(1+ProductivityDefault*('5. Scenarios'!$B$11-1)))</f>
        <v/>
      </c>
      <c r="E11" s="57" t="str">
        <f aca="false">IF($D11="","",INDEX(BookRate,6)*(1+'5. Scenarios'!$B$10)*$D11)</f>
        <v/>
      </c>
      <c r="F11" s="57" t="str">
        <f aca="false">IF($E11="","",SUMIFS($E$6:$E$2405,$A$6:$A$2405,"&lt;="&amp;$A11))</f>
        <v/>
      </c>
      <c r="G11" s="57" t="str">
        <f aca="false">IF($E11="","",IF($F11&lt;=BankCostEnvelope*'5. Scenarios'!$B$7,1,0))</f>
        <v/>
      </c>
      <c r="H11" s="57" t="str">
        <f aca="false">IF($D11="","",INDEX(BookRate,6)*(1+'5. Scenarios'!$B$10)*(INDEX(BookQ1,6)*(5-MIN(4,1+'5. Scenarios'!$B$8))/4+INDEX(BookQ2,6)*(5-MIN(4,2+'5. Scenarios'!$B$8))/4+INDEX(BookQ3,6)*(5-MIN(4,3+'5. Scenarios'!$B$8))/4+INDEX(BookQ4,6)*(5-MIN(4,4+'5. Scenarios'!$B$8))/4)*'5. Scenarios'!$B$6/(1+ProductivityDefault*('5. Scenarios'!$B$11-1))+INDEX(BookOneOff,6)*$D11)</f>
        <v/>
      </c>
      <c r="I11" s="56" t="str">
        <f aca="false">IF(INDEX(BookTitle,6)="","",INDEX(BookTotal,6)*'5. Scenarios'!$C$6/(1+ProductivityDefault*('5. Scenarios'!$C$11-1)))</f>
        <v/>
      </c>
      <c r="J11" s="57" t="str">
        <f aca="false">IF($I11="","",INDEX(BookRate,6)*(1+'5. Scenarios'!$C$10)*$I11)</f>
        <v/>
      </c>
      <c r="K11" s="57" t="str">
        <f aca="false">IF($J11="","",SUMIFS($J$6:$J$2405,$A$6:$A$2405,"&lt;="&amp;$A11))</f>
        <v/>
      </c>
      <c r="L11" s="57" t="str">
        <f aca="false">IF($J11="","",IF($K11&lt;=BankCostEnvelope*'5. Scenarios'!$C$7,1,0))</f>
        <v/>
      </c>
      <c r="M11" s="57" t="str">
        <f aca="false">IF($I11="","",INDEX(BookRate,6)*(1+'5. Scenarios'!$C$10)*(INDEX(BookQ1,6)*(5-MIN(4,1+'5. Scenarios'!$C$8))/4+INDEX(BookQ2,6)*(5-MIN(4,2+'5. Scenarios'!$C$8))/4+INDEX(BookQ3,6)*(5-MIN(4,3+'5. Scenarios'!$C$8))/4+INDEX(BookQ4,6)*(5-MIN(4,4+'5. Scenarios'!$C$8))/4)*'5. Scenarios'!$C$6/(1+ProductivityDefault*('5. Scenarios'!$C$11-1))+INDEX(BookOneOff,6)*$I11)</f>
        <v/>
      </c>
      <c r="N11" s="56" t="str">
        <f aca="false">IF(INDEX(BookTitle,6)="","",INDEX(BookTotal,6)*'5. Scenarios'!$D$6/(1+ProductivityDefault*('5. Scenarios'!$D$11-1)))</f>
        <v/>
      </c>
      <c r="O11" s="57" t="str">
        <f aca="false">IF($N11="","",INDEX(BookRate,6)*(1+'5. Scenarios'!$D$10)*$N11)</f>
        <v/>
      </c>
      <c r="P11" s="57" t="str">
        <f aca="false">IF($O11="","",SUMIFS($O$6:$O$2405,$A$6:$A$2405,"&lt;="&amp;$A11))</f>
        <v/>
      </c>
      <c r="Q11" s="57" t="str">
        <f aca="false">IF($O11="","",IF($P11&lt;=BankCostEnvelope*'5. Scenarios'!$D$7,1,0))</f>
        <v/>
      </c>
      <c r="R11" s="57" t="str">
        <f aca="false">IF($N11="","",INDEX(BookRate,6)*(1+'5. Scenarios'!$D$10)*(INDEX(BookQ1,6)*(5-MIN(4,1+'5. Scenarios'!$D$8))/4+INDEX(BookQ2,6)*(5-MIN(4,2+'5. Scenarios'!$D$8))/4+INDEX(BookQ3,6)*(5-MIN(4,3+'5. Scenarios'!$D$8))/4+INDEX(BookQ4,6)*(5-MIN(4,4+'5. Scenarios'!$D$8))/4)*'5. Scenarios'!$D$6/(1+ProductivityDefault*('5. Scenarios'!$D$11-1))+INDEX(BookOneOff,6)*$N11)</f>
        <v/>
      </c>
      <c r="S11" s="56" t="str">
        <f aca="false">IF(INDEX(BookTitle,6)="","",INDEX(BookTotal,6)*'5. Scenarios'!$E$6/(1+ProductivityDefault*('5. Scenarios'!$E$11-1)))</f>
        <v/>
      </c>
      <c r="T11" s="57" t="str">
        <f aca="false">IF($S11="","",INDEX(BookRate,6)*(1+'5. Scenarios'!$E$10)*$S11)</f>
        <v/>
      </c>
      <c r="U11" s="57" t="str">
        <f aca="false">IF($T11="","",SUMIFS($T$6:$T$2405,$A$6:$A$2405,"&lt;="&amp;$A11))</f>
        <v/>
      </c>
      <c r="V11" s="57" t="str">
        <f aca="false">IF($T11="","",IF($U11&lt;=BankCostEnvelope*'5. Scenarios'!$E$7,1,0))</f>
        <v/>
      </c>
      <c r="W11" s="57" t="str">
        <f aca="false">IF($S11="","",INDEX(BookRate,6)*(1+'5. Scenarios'!$E$10)*(INDEX(BookQ1,6)*(5-MIN(4,1+'5. Scenarios'!$E$8))/4+INDEX(BookQ2,6)*(5-MIN(4,2+'5. Scenarios'!$E$8))/4+INDEX(BookQ3,6)*(5-MIN(4,3+'5. Scenarios'!$E$8))/4+INDEX(BookQ4,6)*(5-MIN(4,4+'5. Scenarios'!$E$8))/4)*'5. Scenarios'!$E$6/(1+ProductivityDefault*('5. Scenarios'!$E$11-1))+INDEX(BookOneOff,6)*$S11)</f>
        <v/>
      </c>
    </row>
    <row r="12" customFormat="false" ht="15" hidden="false" customHeight="false" outlineLevel="0" collapsed="false">
      <c r="A12" s="0" t="str">
        <f aca="false">IF(INDEX(BookTitle,7)="","",INDEX(BookKey,7))</f>
        <v/>
      </c>
      <c r="B12" s="0" t="str">
        <f aca="false">IF(INDEX(BookTitle,7)="","",INDEX(BookGroup,7))</f>
        <v/>
      </c>
      <c r="C12" s="0" t="str">
        <f aca="false">IF(INDEX(BookTitle,7)="","",INDEX(BookCategory,7))</f>
        <v/>
      </c>
      <c r="D12" s="56" t="str">
        <f aca="false">IF(INDEX(BookTitle,7)="","",INDEX(BookTotal,7)*'5. Scenarios'!$B$6/(1+ProductivityDefault*('5. Scenarios'!$B$11-1)))</f>
        <v/>
      </c>
      <c r="E12" s="57" t="str">
        <f aca="false">IF($D12="","",INDEX(BookRate,7)*(1+'5. Scenarios'!$B$10)*$D12)</f>
        <v/>
      </c>
      <c r="F12" s="57" t="str">
        <f aca="false">IF($E12="","",SUMIFS($E$6:$E$2405,$A$6:$A$2405,"&lt;="&amp;$A12))</f>
        <v/>
      </c>
      <c r="G12" s="57" t="str">
        <f aca="false">IF($E12="","",IF($F12&lt;=BankCostEnvelope*'5. Scenarios'!$B$7,1,0))</f>
        <v/>
      </c>
      <c r="H12" s="57" t="str">
        <f aca="false">IF($D12="","",INDEX(BookRate,7)*(1+'5. Scenarios'!$B$10)*(INDEX(BookQ1,7)*(5-MIN(4,1+'5. Scenarios'!$B$8))/4+INDEX(BookQ2,7)*(5-MIN(4,2+'5. Scenarios'!$B$8))/4+INDEX(BookQ3,7)*(5-MIN(4,3+'5. Scenarios'!$B$8))/4+INDEX(BookQ4,7)*(5-MIN(4,4+'5. Scenarios'!$B$8))/4)*'5. Scenarios'!$B$6/(1+ProductivityDefault*('5. Scenarios'!$B$11-1))+INDEX(BookOneOff,7)*$D12)</f>
        <v/>
      </c>
      <c r="I12" s="56" t="str">
        <f aca="false">IF(INDEX(BookTitle,7)="","",INDEX(BookTotal,7)*'5. Scenarios'!$C$6/(1+ProductivityDefault*('5. Scenarios'!$C$11-1)))</f>
        <v/>
      </c>
      <c r="J12" s="57" t="str">
        <f aca="false">IF($I12="","",INDEX(BookRate,7)*(1+'5. Scenarios'!$C$10)*$I12)</f>
        <v/>
      </c>
      <c r="K12" s="57" t="str">
        <f aca="false">IF($J12="","",SUMIFS($J$6:$J$2405,$A$6:$A$2405,"&lt;="&amp;$A12))</f>
        <v/>
      </c>
      <c r="L12" s="57" t="str">
        <f aca="false">IF($J12="","",IF($K12&lt;=BankCostEnvelope*'5. Scenarios'!$C$7,1,0))</f>
        <v/>
      </c>
      <c r="M12" s="57" t="str">
        <f aca="false">IF($I12="","",INDEX(BookRate,7)*(1+'5. Scenarios'!$C$10)*(INDEX(BookQ1,7)*(5-MIN(4,1+'5. Scenarios'!$C$8))/4+INDEX(BookQ2,7)*(5-MIN(4,2+'5. Scenarios'!$C$8))/4+INDEX(BookQ3,7)*(5-MIN(4,3+'5. Scenarios'!$C$8))/4+INDEX(BookQ4,7)*(5-MIN(4,4+'5. Scenarios'!$C$8))/4)*'5. Scenarios'!$C$6/(1+ProductivityDefault*('5. Scenarios'!$C$11-1))+INDEX(BookOneOff,7)*$I12)</f>
        <v/>
      </c>
      <c r="N12" s="56" t="str">
        <f aca="false">IF(INDEX(BookTitle,7)="","",INDEX(BookTotal,7)*'5. Scenarios'!$D$6/(1+ProductivityDefault*('5. Scenarios'!$D$11-1)))</f>
        <v/>
      </c>
      <c r="O12" s="57" t="str">
        <f aca="false">IF($N12="","",INDEX(BookRate,7)*(1+'5. Scenarios'!$D$10)*$N12)</f>
        <v/>
      </c>
      <c r="P12" s="57" t="str">
        <f aca="false">IF($O12="","",SUMIFS($O$6:$O$2405,$A$6:$A$2405,"&lt;="&amp;$A12))</f>
        <v/>
      </c>
      <c r="Q12" s="57" t="str">
        <f aca="false">IF($O12="","",IF($P12&lt;=BankCostEnvelope*'5. Scenarios'!$D$7,1,0))</f>
        <v/>
      </c>
      <c r="R12" s="57" t="str">
        <f aca="false">IF($N12="","",INDEX(BookRate,7)*(1+'5. Scenarios'!$D$10)*(INDEX(BookQ1,7)*(5-MIN(4,1+'5. Scenarios'!$D$8))/4+INDEX(BookQ2,7)*(5-MIN(4,2+'5. Scenarios'!$D$8))/4+INDEX(BookQ3,7)*(5-MIN(4,3+'5. Scenarios'!$D$8))/4+INDEX(BookQ4,7)*(5-MIN(4,4+'5. Scenarios'!$D$8))/4)*'5. Scenarios'!$D$6/(1+ProductivityDefault*('5. Scenarios'!$D$11-1))+INDEX(BookOneOff,7)*$N12)</f>
        <v/>
      </c>
      <c r="S12" s="56" t="str">
        <f aca="false">IF(INDEX(BookTitle,7)="","",INDEX(BookTotal,7)*'5. Scenarios'!$E$6/(1+ProductivityDefault*('5. Scenarios'!$E$11-1)))</f>
        <v/>
      </c>
      <c r="T12" s="57" t="str">
        <f aca="false">IF($S12="","",INDEX(BookRate,7)*(1+'5. Scenarios'!$E$10)*$S12)</f>
        <v/>
      </c>
      <c r="U12" s="57" t="str">
        <f aca="false">IF($T12="","",SUMIFS($T$6:$T$2405,$A$6:$A$2405,"&lt;="&amp;$A12))</f>
        <v/>
      </c>
      <c r="V12" s="57" t="str">
        <f aca="false">IF($T12="","",IF($U12&lt;=BankCostEnvelope*'5. Scenarios'!$E$7,1,0))</f>
        <v/>
      </c>
      <c r="W12" s="57" t="str">
        <f aca="false">IF($S12="","",INDEX(BookRate,7)*(1+'5. Scenarios'!$E$10)*(INDEX(BookQ1,7)*(5-MIN(4,1+'5. Scenarios'!$E$8))/4+INDEX(BookQ2,7)*(5-MIN(4,2+'5. Scenarios'!$E$8))/4+INDEX(BookQ3,7)*(5-MIN(4,3+'5. Scenarios'!$E$8))/4+INDEX(BookQ4,7)*(5-MIN(4,4+'5. Scenarios'!$E$8))/4)*'5. Scenarios'!$E$6/(1+ProductivityDefault*('5. Scenarios'!$E$11-1))+INDEX(BookOneOff,7)*$S12)</f>
        <v/>
      </c>
    </row>
    <row r="13" customFormat="false" ht="15" hidden="false" customHeight="false" outlineLevel="0" collapsed="false">
      <c r="A13" s="0" t="str">
        <f aca="false">IF(INDEX(BookTitle,8)="","",INDEX(BookKey,8))</f>
        <v/>
      </c>
      <c r="B13" s="0" t="str">
        <f aca="false">IF(INDEX(BookTitle,8)="","",INDEX(BookGroup,8))</f>
        <v/>
      </c>
      <c r="C13" s="0" t="str">
        <f aca="false">IF(INDEX(BookTitle,8)="","",INDEX(BookCategory,8))</f>
        <v/>
      </c>
      <c r="D13" s="56" t="str">
        <f aca="false">IF(INDEX(BookTitle,8)="","",INDEX(BookTotal,8)*'5. Scenarios'!$B$6/(1+ProductivityDefault*('5. Scenarios'!$B$11-1)))</f>
        <v/>
      </c>
      <c r="E13" s="57" t="str">
        <f aca="false">IF($D13="","",INDEX(BookRate,8)*(1+'5. Scenarios'!$B$10)*$D13)</f>
        <v/>
      </c>
      <c r="F13" s="57" t="str">
        <f aca="false">IF($E13="","",SUMIFS($E$6:$E$2405,$A$6:$A$2405,"&lt;="&amp;$A13))</f>
        <v/>
      </c>
      <c r="G13" s="57" t="str">
        <f aca="false">IF($E13="","",IF($F13&lt;=BankCostEnvelope*'5. Scenarios'!$B$7,1,0))</f>
        <v/>
      </c>
      <c r="H13" s="57" t="str">
        <f aca="false">IF($D13="","",INDEX(BookRate,8)*(1+'5. Scenarios'!$B$10)*(INDEX(BookQ1,8)*(5-MIN(4,1+'5. Scenarios'!$B$8))/4+INDEX(BookQ2,8)*(5-MIN(4,2+'5. Scenarios'!$B$8))/4+INDEX(BookQ3,8)*(5-MIN(4,3+'5. Scenarios'!$B$8))/4+INDEX(BookQ4,8)*(5-MIN(4,4+'5. Scenarios'!$B$8))/4)*'5. Scenarios'!$B$6/(1+ProductivityDefault*('5. Scenarios'!$B$11-1))+INDEX(BookOneOff,8)*$D13)</f>
        <v/>
      </c>
      <c r="I13" s="56" t="str">
        <f aca="false">IF(INDEX(BookTitle,8)="","",INDEX(BookTotal,8)*'5. Scenarios'!$C$6/(1+ProductivityDefault*('5. Scenarios'!$C$11-1)))</f>
        <v/>
      </c>
      <c r="J13" s="57" t="str">
        <f aca="false">IF($I13="","",INDEX(BookRate,8)*(1+'5. Scenarios'!$C$10)*$I13)</f>
        <v/>
      </c>
      <c r="K13" s="57" t="str">
        <f aca="false">IF($J13="","",SUMIFS($J$6:$J$2405,$A$6:$A$2405,"&lt;="&amp;$A13))</f>
        <v/>
      </c>
      <c r="L13" s="57" t="str">
        <f aca="false">IF($J13="","",IF($K13&lt;=BankCostEnvelope*'5. Scenarios'!$C$7,1,0))</f>
        <v/>
      </c>
      <c r="M13" s="57" t="str">
        <f aca="false">IF($I13="","",INDEX(BookRate,8)*(1+'5. Scenarios'!$C$10)*(INDEX(BookQ1,8)*(5-MIN(4,1+'5. Scenarios'!$C$8))/4+INDEX(BookQ2,8)*(5-MIN(4,2+'5. Scenarios'!$C$8))/4+INDEX(BookQ3,8)*(5-MIN(4,3+'5. Scenarios'!$C$8))/4+INDEX(BookQ4,8)*(5-MIN(4,4+'5. Scenarios'!$C$8))/4)*'5. Scenarios'!$C$6/(1+ProductivityDefault*('5. Scenarios'!$C$11-1))+INDEX(BookOneOff,8)*$I13)</f>
        <v/>
      </c>
      <c r="N13" s="56" t="str">
        <f aca="false">IF(INDEX(BookTitle,8)="","",INDEX(BookTotal,8)*'5. Scenarios'!$D$6/(1+ProductivityDefault*('5. Scenarios'!$D$11-1)))</f>
        <v/>
      </c>
      <c r="O13" s="57" t="str">
        <f aca="false">IF($N13="","",INDEX(BookRate,8)*(1+'5. Scenarios'!$D$10)*$N13)</f>
        <v/>
      </c>
      <c r="P13" s="57" t="str">
        <f aca="false">IF($O13="","",SUMIFS($O$6:$O$2405,$A$6:$A$2405,"&lt;="&amp;$A13))</f>
        <v/>
      </c>
      <c r="Q13" s="57" t="str">
        <f aca="false">IF($O13="","",IF($P13&lt;=BankCostEnvelope*'5. Scenarios'!$D$7,1,0))</f>
        <v/>
      </c>
      <c r="R13" s="57" t="str">
        <f aca="false">IF($N13="","",INDEX(BookRate,8)*(1+'5. Scenarios'!$D$10)*(INDEX(BookQ1,8)*(5-MIN(4,1+'5. Scenarios'!$D$8))/4+INDEX(BookQ2,8)*(5-MIN(4,2+'5. Scenarios'!$D$8))/4+INDEX(BookQ3,8)*(5-MIN(4,3+'5. Scenarios'!$D$8))/4+INDEX(BookQ4,8)*(5-MIN(4,4+'5. Scenarios'!$D$8))/4)*'5. Scenarios'!$D$6/(1+ProductivityDefault*('5. Scenarios'!$D$11-1))+INDEX(BookOneOff,8)*$N13)</f>
        <v/>
      </c>
      <c r="S13" s="56" t="str">
        <f aca="false">IF(INDEX(BookTitle,8)="","",INDEX(BookTotal,8)*'5. Scenarios'!$E$6/(1+ProductivityDefault*('5. Scenarios'!$E$11-1)))</f>
        <v/>
      </c>
      <c r="T13" s="57" t="str">
        <f aca="false">IF($S13="","",INDEX(BookRate,8)*(1+'5. Scenarios'!$E$10)*$S13)</f>
        <v/>
      </c>
      <c r="U13" s="57" t="str">
        <f aca="false">IF($T13="","",SUMIFS($T$6:$T$2405,$A$6:$A$2405,"&lt;="&amp;$A13))</f>
        <v/>
      </c>
      <c r="V13" s="57" t="str">
        <f aca="false">IF($T13="","",IF($U13&lt;=BankCostEnvelope*'5. Scenarios'!$E$7,1,0))</f>
        <v/>
      </c>
      <c r="W13" s="57" t="str">
        <f aca="false">IF($S13="","",INDEX(BookRate,8)*(1+'5. Scenarios'!$E$10)*(INDEX(BookQ1,8)*(5-MIN(4,1+'5. Scenarios'!$E$8))/4+INDEX(BookQ2,8)*(5-MIN(4,2+'5. Scenarios'!$E$8))/4+INDEX(BookQ3,8)*(5-MIN(4,3+'5. Scenarios'!$E$8))/4+INDEX(BookQ4,8)*(5-MIN(4,4+'5. Scenarios'!$E$8))/4)*'5. Scenarios'!$E$6/(1+ProductivityDefault*('5. Scenarios'!$E$11-1))+INDEX(BookOneOff,8)*$S13)</f>
        <v/>
      </c>
    </row>
    <row r="14" customFormat="false" ht="15" hidden="false" customHeight="false" outlineLevel="0" collapsed="false">
      <c r="A14" s="0" t="str">
        <f aca="false">IF(INDEX(BookTitle,9)="","",INDEX(BookKey,9))</f>
        <v/>
      </c>
      <c r="B14" s="0" t="str">
        <f aca="false">IF(INDEX(BookTitle,9)="","",INDEX(BookGroup,9))</f>
        <v/>
      </c>
      <c r="C14" s="0" t="str">
        <f aca="false">IF(INDEX(BookTitle,9)="","",INDEX(BookCategory,9))</f>
        <v/>
      </c>
      <c r="D14" s="56" t="str">
        <f aca="false">IF(INDEX(BookTitle,9)="","",INDEX(BookTotal,9)*'5. Scenarios'!$B$6/(1+ProductivityDefault*('5. Scenarios'!$B$11-1)))</f>
        <v/>
      </c>
      <c r="E14" s="57" t="str">
        <f aca="false">IF($D14="","",INDEX(BookRate,9)*(1+'5. Scenarios'!$B$10)*$D14)</f>
        <v/>
      </c>
      <c r="F14" s="57" t="str">
        <f aca="false">IF($E14="","",SUMIFS($E$6:$E$2405,$A$6:$A$2405,"&lt;="&amp;$A14))</f>
        <v/>
      </c>
      <c r="G14" s="57" t="str">
        <f aca="false">IF($E14="","",IF($F14&lt;=BankCostEnvelope*'5. Scenarios'!$B$7,1,0))</f>
        <v/>
      </c>
      <c r="H14" s="57" t="str">
        <f aca="false">IF($D14="","",INDEX(BookRate,9)*(1+'5. Scenarios'!$B$10)*(INDEX(BookQ1,9)*(5-MIN(4,1+'5. Scenarios'!$B$8))/4+INDEX(BookQ2,9)*(5-MIN(4,2+'5. Scenarios'!$B$8))/4+INDEX(BookQ3,9)*(5-MIN(4,3+'5. Scenarios'!$B$8))/4+INDEX(BookQ4,9)*(5-MIN(4,4+'5. Scenarios'!$B$8))/4)*'5. Scenarios'!$B$6/(1+ProductivityDefault*('5. Scenarios'!$B$11-1))+INDEX(BookOneOff,9)*$D14)</f>
        <v/>
      </c>
      <c r="I14" s="56" t="str">
        <f aca="false">IF(INDEX(BookTitle,9)="","",INDEX(BookTotal,9)*'5. Scenarios'!$C$6/(1+ProductivityDefault*('5. Scenarios'!$C$11-1)))</f>
        <v/>
      </c>
      <c r="J14" s="57" t="str">
        <f aca="false">IF($I14="","",INDEX(BookRate,9)*(1+'5. Scenarios'!$C$10)*$I14)</f>
        <v/>
      </c>
      <c r="K14" s="57" t="str">
        <f aca="false">IF($J14="","",SUMIFS($J$6:$J$2405,$A$6:$A$2405,"&lt;="&amp;$A14))</f>
        <v/>
      </c>
      <c r="L14" s="57" t="str">
        <f aca="false">IF($J14="","",IF($K14&lt;=BankCostEnvelope*'5. Scenarios'!$C$7,1,0))</f>
        <v/>
      </c>
      <c r="M14" s="57" t="str">
        <f aca="false">IF($I14="","",INDEX(BookRate,9)*(1+'5. Scenarios'!$C$10)*(INDEX(BookQ1,9)*(5-MIN(4,1+'5. Scenarios'!$C$8))/4+INDEX(BookQ2,9)*(5-MIN(4,2+'5. Scenarios'!$C$8))/4+INDEX(BookQ3,9)*(5-MIN(4,3+'5. Scenarios'!$C$8))/4+INDEX(BookQ4,9)*(5-MIN(4,4+'5. Scenarios'!$C$8))/4)*'5. Scenarios'!$C$6/(1+ProductivityDefault*('5. Scenarios'!$C$11-1))+INDEX(BookOneOff,9)*$I14)</f>
        <v/>
      </c>
      <c r="N14" s="56" t="str">
        <f aca="false">IF(INDEX(BookTitle,9)="","",INDEX(BookTotal,9)*'5. Scenarios'!$D$6/(1+ProductivityDefault*('5. Scenarios'!$D$11-1)))</f>
        <v/>
      </c>
      <c r="O14" s="57" t="str">
        <f aca="false">IF($N14="","",INDEX(BookRate,9)*(1+'5. Scenarios'!$D$10)*$N14)</f>
        <v/>
      </c>
      <c r="P14" s="57" t="str">
        <f aca="false">IF($O14="","",SUMIFS($O$6:$O$2405,$A$6:$A$2405,"&lt;="&amp;$A14))</f>
        <v/>
      </c>
      <c r="Q14" s="57" t="str">
        <f aca="false">IF($O14="","",IF($P14&lt;=BankCostEnvelope*'5. Scenarios'!$D$7,1,0))</f>
        <v/>
      </c>
      <c r="R14" s="57" t="str">
        <f aca="false">IF($N14="","",INDEX(BookRate,9)*(1+'5. Scenarios'!$D$10)*(INDEX(BookQ1,9)*(5-MIN(4,1+'5. Scenarios'!$D$8))/4+INDEX(BookQ2,9)*(5-MIN(4,2+'5. Scenarios'!$D$8))/4+INDEX(BookQ3,9)*(5-MIN(4,3+'5. Scenarios'!$D$8))/4+INDEX(BookQ4,9)*(5-MIN(4,4+'5. Scenarios'!$D$8))/4)*'5. Scenarios'!$D$6/(1+ProductivityDefault*('5. Scenarios'!$D$11-1))+INDEX(BookOneOff,9)*$N14)</f>
        <v/>
      </c>
      <c r="S14" s="56" t="str">
        <f aca="false">IF(INDEX(BookTitle,9)="","",INDEX(BookTotal,9)*'5. Scenarios'!$E$6/(1+ProductivityDefault*('5. Scenarios'!$E$11-1)))</f>
        <v/>
      </c>
      <c r="T14" s="57" t="str">
        <f aca="false">IF($S14="","",INDEX(BookRate,9)*(1+'5. Scenarios'!$E$10)*$S14)</f>
        <v/>
      </c>
      <c r="U14" s="57" t="str">
        <f aca="false">IF($T14="","",SUMIFS($T$6:$T$2405,$A$6:$A$2405,"&lt;="&amp;$A14))</f>
        <v/>
      </c>
      <c r="V14" s="57" t="str">
        <f aca="false">IF($T14="","",IF($U14&lt;=BankCostEnvelope*'5. Scenarios'!$E$7,1,0))</f>
        <v/>
      </c>
      <c r="W14" s="57" t="str">
        <f aca="false">IF($S14="","",INDEX(BookRate,9)*(1+'5. Scenarios'!$E$10)*(INDEX(BookQ1,9)*(5-MIN(4,1+'5. Scenarios'!$E$8))/4+INDEX(BookQ2,9)*(5-MIN(4,2+'5. Scenarios'!$E$8))/4+INDEX(BookQ3,9)*(5-MIN(4,3+'5. Scenarios'!$E$8))/4+INDEX(BookQ4,9)*(5-MIN(4,4+'5. Scenarios'!$E$8))/4)*'5. Scenarios'!$E$6/(1+ProductivityDefault*('5. Scenarios'!$E$11-1))+INDEX(BookOneOff,9)*$S14)</f>
        <v/>
      </c>
    </row>
    <row r="15" customFormat="false" ht="15" hidden="false" customHeight="false" outlineLevel="0" collapsed="false">
      <c r="A15" s="0" t="str">
        <f aca="false">IF(INDEX(BookTitle,10)="","",INDEX(BookKey,10))</f>
        <v/>
      </c>
      <c r="B15" s="0" t="str">
        <f aca="false">IF(INDEX(BookTitle,10)="","",INDEX(BookGroup,10))</f>
        <v/>
      </c>
      <c r="C15" s="0" t="str">
        <f aca="false">IF(INDEX(BookTitle,10)="","",INDEX(BookCategory,10))</f>
        <v/>
      </c>
      <c r="D15" s="56" t="str">
        <f aca="false">IF(INDEX(BookTitle,10)="","",INDEX(BookTotal,10)*'5. Scenarios'!$B$6/(1+ProductivityDefault*('5. Scenarios'!$B$11-1)))</f>
        <v/>
      </c>
      <c r="E15" s="57" t="str">
        <f aca="false">IF($D15="","",INDEX(BookRate,10)*(1+'5. Scenarios'!$B$10)*$D15)</f>
        <v/>
      </c>
      <c r="F15" s="57" t="str">
        <f aca="false">IF($E15="","",SUMIFS($E$6:$E$2405,$A$6:$A$2405,"&lt;="&amp;$A15))</f>
        <v/>
      </c>
      <c r="G15" s="57" t="str">
        <f aca="false">IF($E15="","",IF($F15&lt;=BankCostEnvelope*'5. Scenarios'!$B$7,1,0))</f>
        <v/>
      </c>
      <c r="H15" s="57" t="str">
        <f aca="false">IF($D15="","",INDEX(BookRate,10)*(1+'5. Scenarios'!$B$10)*(INDEX(BookQ1,10)*(5-MIN(4,1+'5. Scenarios'!$B$8))/4+INDEX(BookQ2,10)*(5-MIN(4,2+'5. Scenarios'!$B$8))/4+INDEX(BookQ3,10)*(5-MIN(4,3+'5. Scenarios'!$B$8))/4+INDEX(BookQ4,10)*(5-MIN(4,4+'5. Scenarios'!$B$8))/4)*'5. Scenarios'!$B$6/(1+ProductivityDefault*('5. Scenarios'!$B$11-1))+INDEX(BookOneOff,10)*$D15)</f>
        <v/>
      </c>
      <c r="I15" s="56" t="str">
        <f aca="false">IF(INDEX(BookTitle,10)="","",INDEX(BookTotal,10)*'5. Scenarios'!$C$6/(1+ProductivityDefault*('5. Scenarios'!$C$11-1)))</f>
        <v/>
      </c>
      <c r="J15" s="57" t="str">
        <f aca="false">IF($I15="","",INDEX(BookRate,10)*(1+'5. Scenarios'!$C$10)*$I15)</f>
        <v/>
      </c>
      <c r="K15" s="57" t="str">
        <f aca="false">IF($J15="","",SUMIFS($J$6:$J$2405,$A$6:$A$2405,"&lt;="&amp;$A15))</f>
        <v/>
      </c>
      <c r="L15" s="57" t="str">
        <f aca="false">IF($J15="","",IF($K15&lt;=BankCostEnvelope*'5. Scenarios'!$C$7,1,0))</f>
        <v/>
      </c>
      <c r="M15" s="57" t="str">
        <f aca="false">IF($I15="","",INDEX(BookRate,10)*(1+'5. Scenarios'!$C$10)*(INDEX(BookQ1,10)*(5-MIN(4,1+'5. Scenarios'!$C$8))/4+INDEX(BookQ2,10)*(5-MIN(4,2+'5. Scenarios'!$C$8))/4+INDEX(BookQ3,10)*(5-MIN(4,3+'5. Scenarios'!$C$8))/4+INDEX(BookQ4,10)*(5-MIN(4,4+'5. Scenarios'!$C$8))/4)*'5. Scenarios'!$C$6/(1+ProductivityDefault*('5. Scenarios'!$C$11-1))+INDEX(BookOneOff,10)*$I15)</f>
        <v/>
      </c>
      <c r="N15" s="56" t="str">
        <f aca="false">IF(INDEX(BookTitle,10)="","",INDEX(BookTotal,10)*'5. Scenarios'!$D$6/(1+ProductivityDefault*('5. Scenarios'!$D$11-1)))</f>
        <v/>
      </c>
      <c r="O15" s="57" t="str">
        <f aca="false">IF($N15="","",INDEX(BookRate,10)*(1+'5. Scenarios'!$D$10)*$N15)</f>
        <v/>
      </c>
      <c r="P15" s="57" t="str">
        <f aca="false">IF($O15="","",SUMIFS($O$6:$O$2405,$A$6:$A$2405,"&lt;="&amp;$A15))</f>
        <v/>
      </c>
      <c r="Q15" s="57" t="str">
        <f aca="false">IF($O15="","",IF($P15&lt;=BankCostEnvelope*'5. Scenarios'!$D$7,1,0))</f>
        <v/>
      </c>
      <c r="R15" s="57" t="str">
        <f aca="false">IF($N15="","",INDEX(BookRate,10)*(1+'5. Scenarios'!$D$10)*(INDEX(BookQ1,10)*(5-MIN(4,1+'5. Scenarios'!$D$8))/4+INDEX(BookQ2,10)*(5-MIN(4,2+'5. Scenarios'!$D$8))/4+INDEX(BookQ3,10)*(5-MIN(4,3+'5. Scenarios'!$D$8))/4+INDEX(BookQ4,10)*(5-MIN(4,4+'5. Scenarios'!$D$8))/4)*'5. Scenarios'!$D$6/(1+ProductivityDefault*('5. Scenarios'!$D$11-1))+INDEX(BookOneOff,10)*$N15)</f>
        <v/>
      </c>
      <c r="S15" s="56" t="str">
        <f aca="false">IF(INDEX(BookTitle,10)="","",INDEX(BookTotal,10)*'5. Scenarios'!$E$6/(1+ProductivityDefault*('5. Scenarios'!$E$11-1)))</f>
        <v/>
      </c>
      <c r="T15" s="57" t="str">
        <f aca="false">IF($S15="","",INDEX(BookRate,10)*(1+'5. Scenarios'!$E$10)*$S15)</f>
        <v/>
      </c>
      <c r="U15" s="57" t="str">
        <f aca="false">IF($T15="","",SUMIFS($T$6:$T$2405,$A$6:$A$2405,"&lt;="&amp;$A15))</f>
        <v/>
      </c>
      <c r="V15" s="57" t="str">
        <f aca="false">IF($T15="","",IF($U15&lt;=BankCostEnvelope*'5. Scenarios'!$E$7,1,0))</f>
        <v/>
      </c>
      <c r="W15" s="57" t="str">
        <f aca="false">IF($S15="","",INDEX(BookRate,10)*(1+'5. Scenarios'!$E$10)*(INDEX(BookQ1,10)*(5-MIN(4,1+'5. Scenarios'!$E$8))/4+INDEX(BookQ2,10)*(5-MIN(4,2+'5. Scenarios'!$E$8))/4+INDEX(BookQ3,10)*(5-MIN(4,3+'5. Scenarios'!$E$8))/4+INDEX(BookQ4,10)*(5-MIN(4,4+'5. Scenarios'!$E$8))/4)*'5. Scenarios'!$E$6/(1+ProductivityDefault*('5. Scenarios'!$E$11-1))+INDEX(BookOneOff,10)*$S15)</f>
        <v/>
      </c>
    </row>
    <row r="16" customFormat="false" ht="15" hidden="false" customHeight="false" outlineLevel="0" collapsed="false">
      <c r="A16" s="0" t="str">
        <f aca="false">IF(INDEX(BookTitle,11)="","",INDEX(BookKey,11))</f>
        <v/>
      </c>
      <c r="B16" s="0" t="str">
        <f aca="false">IF(INDEX(BookTitle,11)="","",INDEX(BookGroup,11))</f>
        <v/>
      </c>
      <c r="C16" s="0" t="str">
        <f aca="false">IF(INDEX(BookTitle,11)="","",INDEX(BookCategory,11))</f>
        <v/>
      </c>
      <c r="D16" s="56" t="str">
        <f aca="false">IF(INDEX(BookTitle,11)="","",INDEX(BookTotal,11)*'5. Scenarios'!$B$6/(1+ProductivityDefault*('5. Scenarios'!$B$11-1)))</f>
        <v/>
      </c>
      <c r="E16" s="57" t="str">
        <f aca="false">IF($D16="","",INDEX(BookRate,11)*(1+'5. Scenarios'!$B$10)*$D16)</f>
        <v/>
      </c>
      <c r="F16" s="57" t="str">
        <f aca="false">IF($E16="","",SUMIFS($E$6:$E$2405,$A$6:$A$2405,"&lt;="&amp;$A16))</f>
        <v/>
      </c>
      <c r="G16" s="57" t="str">
        <f aca="false">IF($E16="","",IF($F16&lt;=BankCostEnvelope*'5. Scenarios'!$B$7,1,0))</f>
        <v/>
      </c>
      <c r="H16" s="57" t="str">
        <f aca="false">IF($D16="","",INDEX(BookRate,11)*(1+'5. Scenarios'!$B$10)*(INDEX(BookQ1,11)*(5-MIN(4,1+'5. Scenarios'!$B$8))/4+INDEX(BookQ2,11)*(5-MIN(4,2+'5. Scenarios'!$B$8))/4+INDEX(BookQ3,11)*(5-MIN(4,3+'5. Scenarios'!$B$8))/4+INDEX(BookQ4,11)*(5-MIN(4,4+'5. Scenarios'!$B$8))/4)*'5. Scenarios'!$B$6/(1+ProductivityDefault*('5. Scenarios'!$B$11-1))+INDEX(BookOneOff,11)*$D16)</f>
        <v/>
      </c>
      <c r="I16" s="56" t="str">
        <f aca="false">IF(INDEX(BookTitle,11)="","",INDEX(BookTotal,11)*'5. Scenarios'!$C$6/(1+ProductivityDefault*('5. Scenarios'!$C$11-1)))</f>
        <v/>
      </c>
      <c r="J16" s="57" t="str">
        <f aca="false">IF($I16="","",INDEX(BookRate,11)*(1+'5. Scenarios'!$C$10)*$I16)</f>
        <v/>
      </c>
      <c r="K16" s="57" t="str">
        <f aca="false">IF($J16="","",SUMIFS($J$6:$J$2405,$A$6:$A$2405,"&lt;="&amp;$A16))</f>
        <v/>
      </c>
      <c r="L16" s="57" t="str">
        <f aca="false">IF($J16="","",IF($K16&lt;=BankCostEnvelope*'5. Scenarios'!$C$7,1,0))</f>
        <v/>
      </c>
      <c r="M16" s="57" t="str">
        <f aca="false">IF($I16="","",INDEX(BookRate,11)*(1+'5. Scenarios'!$C$10)*(INDEX(BookQ1,11)*(5-MIN(4,1+'5. Scenarios'!$C$8))/4+INDEX(BookQ2,11)*(5-MIN(4,2+'5. Scenarios'!$C$8))/4+INDEX(BookQ3,11)*(5-MIN(4,3+'5. Scenarios'!$C$8))/4+INDEX(BookQ4,11)*(5-MIN(4,4+'5. Scenarios'!$C$8))/4)*'5. Scenarios'!$C$6/(1+ProductivityDefault*('5. Scenarios'!$C$11-1))+INDEX(BookOneOff,11)*$I16)</f>
        <v/>
      </c>
      <c r="N16" s="56" t="str">
        <f aca="false">IF(INDEX(BookTitle,11)="","",INDEX(BookTotal,11)*'5. Scenarios'!$D$6/(1+ProductivityDefault*('5. Scenarios'!$D$11-1)))</f>
        <v/>
      </c>
      <c r="O16" s="57" t="str">
        <f aca="false">IF($N16="","",INDEX(BookRate,11)*(1+'5. Scenarios'!$D$10)*$N16)</f>
        <v/>
      </c>
      <c r="P16" s="57" t="str">
        <f aca="false">IF($O16="","",SUMIFS($O$6:$O$2405,$A$6:$A$2405,"&lt;="&amp;$A16))</f>
        <v/>
      </c>
      <c r="Q16" s="57" t="str">
        <f aca="false">IF($O16="","",IF($P16&lt;=BankCostEnvelope*'5. Scenarios'!$D$7,1,0))</f>
        <v/>
      </c>
      <c r="R16" s="57" t="str">
        <f aca="false">IF($N16="","",INDEX(BookRate,11)*(1+'5. Scenarios'!$D$10)*(INDEX(BookQ1,11)*(5-MIN(4,1+'5. Scenarios'!$D$8))/4+INDEX(BookQ2,11)*(5-MIN(4,2+'5. Scenarios'!$D$8))/4+INDEX(BookQ3,11)*(5-MIN(4,3+'5. Scenarios'!$D$8))/4+INDEX(BookQ4,11)*(5-MIN(4,4+'5. Scenarios'!$D$8))/4)*'5. Scenarios'!$D$6/(1+ProductivityDefault*('5. Scenarios'!$D$11-1))+INDEX(BookOneOff,11)*$N16)</f>
        <v/>
      </c>
      <c r="S16" s="56" t="str">
        <f aca="false">IF(INDEX(BookTitle,11)="","",INDEX(BookTotal,11)*'5. Scenarios'!$E$6/(1+ProductivityDefault*('5. Scenarios'!$E$11-1)))</f>
        <v/>
      </c>
      <c r="T16" s="57" t="str">
        <f aca="false">IF($S16="","",INDEX(BookRate,11)*(1+'5. Scenarios'!$E$10)*$S16)</f>
        <v/>
      </c>
      <c r="U16" s="57" t="str">
        <f aca="false">IF($T16="","",SUMIFS($T$6:$T$2405,$A$6:$A$2405,"&lt;="&amp;$A16))</f>
        <v/>
      </c>
      <c r="V16" s="57" t="str">
        <f aca="false">IF($T16="","",IF($U16&lt;=BankCostEnvelope*'5. Scenarios'!$E$7,1,0))</f>
        <v/>
      </c>
      <c r="W16" s="57" t="str">
        <f aca="false">IF($S16="","",INDEX(BookRate,11)*(1+'5. Scenarios'!$E$10)*(INDEX(BookQ1,11)*(5-MIN(4,1+'5. Scenarios'!$E$8))/4+INDEX(BookQ2,11)*(5-MIN(4,2+'5. Scenarios'!$E$8))/4+INDEX(BookQ3,11)*(5-MIN(4,3+'5. Scenarios'!$E$8))/4+INDEX(BookQ4,11)*(5-MIN(4,4+'5. Scenarios'!$E$8))/4)*'5. Scenarios'!$E$6/(1+ProductivityDefault*('5. Scenarios'!$E$11-1))+INDEX(BookOneOff,11)*$S16)</f>
        <v/>
      </c>
    </row>
    <row r="17" customFormat="false" ht="15" hidden="false" customHeight="false" outlineLevel="0" collapsed="false">
      <c r="A17" s="0" t="str">
        <f aca="false">IF(INDEX(BookTitle,12)="","",INDEX(BookKey,12))</f>
        <v/>
      </c>
      <c r="B17" s="0" t="str">
        <f aca="false">IF(INDEX(BookTitle,12)="","",INDEX(BookGroup,12))</f>
        <v/>
      </c>
      <c r="C17" s="0" t="str">
        <f aca="false">IF(INDEX(BookTitle,12)="","",INDEX(BookCategory,12))</f>
        <v/>
      </c>
      <c r="D17" s="56" t="str">
        <f aca="false">IF(INDEX(BookTitle,12)="","",INDEX(BookTotal,12)*'5. Scenarios'!$B$6/(1+ProductivityDefault*('5. Scenarios'!$B$11-1)))</f>
        <v/>
      </c>
      <c r="E17" s="57" t="str">
        <f aca="false">IF($D17="","",INDEX(BookRate,12)*(1+'5. Scenarios'!$B$10)*$D17)</f>
        <v/>
      </c>
      <c r="F17" s="57" t="str">
        <f aca="false">IF($E17="","",SUMIFS($E$6:$E$2405,$A$6:$A$2405,"&lt;="&amp;$A17))</f>
        <v/>
      </c>
      <c r="G17" s="57" t="str">
        <f aca="false">IF($E17="","",IF($F17&lt;=BankCostEnvelope*'5. Scenarios'!$B$7,1,0))</f>
        <v/>
      </c>
      <c r="H17" s="57" t="str">
        <f aca="false">IF($D17="","",INDEX(BookRate,12)*(1+'5. Scenarios'!$B$10)*(INDEX(BookQ1,12)*(5-MIN(4,1+'5. Scenarios'!$B$8))/4+INDEX(BookQ2,12)*(5-MIN(4,2+'5. Scenarios'!$B$8))/4+INDEX(BookQ3,12)*(5-MIN(4,3+'5. Scenarios'!$B$8))/4+INDEX(BookQ4,12)*(5-MIN(4,4+'5. Scenarios'!$B$8))/4)*'5. Scenarios'!$B$6/(1+ProductivityDefault*('5. Scenarios'!$B$11-1))+INDEX(BookOneOff,12)*$D17)</f>
        <v/>
      </c>
      <c r="I17" s="56" t="str">
        <f aca="false">IF(INDEX(BookTitle,12)="","",INDEX(BookTotal,12)*'5. Scenarios'!$C$6/(1+ProductivityDefault*('5. Scenarios'!$C$11-1)))</f>
        <v/>
      </c>
      <c r="J17" s="57" t="str">
        <f aca="false">IF($I17="","",INDEX(BookRate,12)*(1+'5. Scenarios'!$C$10)*$I17)</f>
        <v/>
      </c>
      <c r="K17" s="57" t="str">
        <f aca="false">IF($J17="","",SUMIFS($J$6:$J$2405,$A$6:$A$2405,"&lt;="&amp;$A17))</f>
        <v/>
      </c>
      <c r="L17" s="57" t="str">
        <f aca="false">IF($J17="","",IF($K17&lt;=BankCostEnvelope*'5. Scenarios'!$C$7,1,0))</f>
        <v/>
      </c>
      <c r="M17" s="57" t="str">
        <f aca="false">IF($I17="","",INDEX(BookRate,12)*(1+'5. Scenarios'!$C$10)*(INDEX(BookQ1,12)*(5-MIN(4,1+'5. Scenarios'!$C$8))/4+INDEX(BookQ2,12)*(5-MIN(4,2+'5. Scenarios'!$C$8))/4+INDEX(BookQ3,12)*(5-MIN(4,3+'5. Scenarios'!$C$8))/4+INDEX(BookQ4,12)*(5-MIN(4,4+'5. Scenarios'!$C$8))/4)*'5. Scenarios'!$C$6/(1+ProductivityDefault*('5. Scenarios'!$C$11-1))+INDEX(BookOneOff,12)*$I17)</f>
        <v/>
      </c>
      <c r="N17" s="56" t="str">
        <f aca="false">IF(INDEX(BookTitle,12)="","",INDEX(BookTotal,12)*'5. Scenarios'!$D$6/(1+ProductivityDefault*('5. Scenarios'!$D$11-1)))</f>
        <v/>
      </c>
      <c r="O17" s="57" t="str">
        <f aca="false">IF($N17="","",INDEX(BookRate,12)*(1+'5. Scenarios'!$D$10)*$N17)</f>
        <v/>
      </c>
      <c r="P17" s="57" t="str">
        <f aca="false">IF($O17="","",SUMIFS($O$6:$O$2405,$A$6:$A$2405,"&lt;="&amp;$A17))</f>
        <v/>
      </c>
      <c r="Q17" s="57" t="str">
        <f aca="false">IF($O17="","",IF($P17&lt;=BankCostEnvelope*'5. Scenarios'!$D$7,1,0))</f>
        <v/>
      </c>
      <c r="R17" s="57" t="str">
        <f aca="false">IF($N17="","",INDEX(BookRate,12)*(1+'5. Scenarios'!$D$10)*(INDEX(BookQ1,12)*(5-MIN(4,1+'5. Scenarios'!$D$8))/4+INDEX(BookQ2,12)*(5-MIN(4,2+'5. Scenarios'!$D$8))/4+INDEX(BookQ3,12)*(5-MIN(4,3+'5. Scenarios'!$D$8))/4+INDEX(BookQ4,12)*(5-MIN(4,4+'5. Scenarios'!$D$8))/4)*'5. Scenarios'!$D$6/(1+ProductivityDefault*('5. Scenarios'!$D$11-1))+INDEX(BookOneOff,12)*$N17)</f>
        <v/>
      </c>
      <c r="S17" s="56" t="str">
        <f aca="false">IF(INDEX(BookTitle,12)="","",INDEX(BookTotal,12)*'5. Scenarios'!$E$6/(1+ProductivityDefault*('5. Scenarios'!$E$11-1)))</f>
        <v/>
      </c>
      <c r="T17" s="57" t="str">
        <f aca="false">IF($S17="","",INDEX(BookRate,12)*(1+'5. Scenarios'!$E$10)*$S17)</f>
        <v/>
      </c>
      <c r="U17" s="57" t="str">
        <f aca="false">IF($T17="","",SUMIFS($T$6:$T$2405,$A$6:$A$2405,"&lt;="&amp;$A17))</f>
        <v/>
      </c>
      <c r="V17" s="57" t="str">
        <f aca="false">IF($T17="","",IF($U17&lt;=BankCostEnvelope*'5. Scenarios'!$E$7,1,0))</f>
        <v/>
      </c>
      <c r="W17" s="57" t="str">
        <f aca="false">IF($S17="","",INDEX(BookRate,12)*(1+'5. Scenarios'!$E$10)*(INDEX(BookQ1,12)*(5-MIN(4,1+'5. Scenarios'!$E$8))/4+INDEX(BookQ2,12)*(5-MIN(4,2+'5. Scenarios'!$E$8))/4+INDEX(BookQ3,12)*(5-MIN(4,3+'5. Scenarios'!$E$8))/4+INDEX(BookQ4,12)*(5-MIN(4,4+'5. Scenarios'!$E$8))/4)*'5. Scenarios'!$E$6/(1+ProductivityDefault*('5. Scenarios'!$E$11-1))+INDEX(BookOneOff,12)*$S17)</f>
        <v/>
      </c>
    </row>
    <row r="18" customFormat="false" ht="15" hidden="false" customHeight="false" outlineLevel="0" collapsed="false">
      <c r="A18" s="0" t="str">
        <f aca="false">IF(INDEX(BookTitle,13)="","",INDEX(BookKey,13))</f>
        <v/>
      </c>
      <c r="B18" s="0" t="str">
        <f aca="false">IF(INDEX(BookTitle,13)="","",INDEX(BookGroup,13))</f>
        <v/>
      </c>
      <c r="C18" s="0" t="str">
        <f aca="false">IF(INDEX(BookTitle,13)="","",INDEX(BookCategory,13))</f>
        <v/>
      </c>
      <c r="D18" s="56" t="str">
        <f aca="false">IF(INDEX(BookTitle,13)="","",INDEX(BookTotal,13)*'5. Scenarios'!$B$6/(1+ProductivityDefault*('5. Scenarios'!$B$11-1)))</f>
        <v/>
      </c>
      <c r="E18" s="57" t="str">
        <f aca="false">IF($D18="","",INDEX(BookRate,13)*(1+'5. Scenarios'!$B$10)*$D18)</f>
        <v/>
      </c>
      <c r="F18" s="57" t="str">
        <f aca="false">IF($E18="","",SUMIFS($E$6:$E$2405,$A$6:$A$2405,"&lt;="&amp;$A18))</f>
        <v/>
      </c>
      <c r="G18" s="57" t="str">
        <f aca="false">IF($E18="","",IF($F18&lt;=BankCostEnvelope*'5. Scenarios'!$B$7,1,0))</f>
        <v/>
      </c>
      <c r="H18" s="57" t="str">
        <f aca="false">IF($D18="","",INDEX(BookRate,13)*(1+'5. Scenarios'!$B$10)*(INDEX(BookQ1,13)*(5-MIN(4,1+'5. Scenarios'!$B$8))/4+INDEX(BookQ2,13)*(5-MIN(4,2+'5. Scenarios'!$B$8))/4+INDEX(BookQ3,13)*(5-MIN(4,3+'5. Scenarios'!$B$8))/4+INDEX(BookQ4,13)*(5-MIN(4,4+'5. Scenarios'!$B$8))/4)*'5. Scenarios'!$B$6/(1+ProductivityDefault*('5. Scenarios'!$B$11-1))+INDEX(BookOneOff,13)*$D18)</f>
        <v/>
      </c>
      <c r="I18" s="56" t="str">
        <f aca="false">IF(INDEX(BookTitle,13)="","",INDEX(BookTotal,13)*'5. Scenarios'!$C$6/(1+ProductivityDefault*('5. Scenarios'!$C$11-1)))</f>
        <v/>
      </c>
      <c r="J18" s="57" t="str">
        <f aca="false">IF($I18="","",INDEX(BookRate,13)*(1+'5. Scenarios'!$C$10)*$I18)</f>
        <v/>
      </c>
      <c r="K18" s="57" t="str">
        <f aca="false">IF($J18="","",SUMIFS($J$6:$J$2405,$A$6:$A$2405,"&lt;="&amp;$A18))</f>
        <v/>
      </c>
      <c r="L18" s="57" t="str">
        <f aca="false">IF($J18="","",IF($K18&lt;=BankCostEnvelope*'5. Scenarios'!$C$7,1,0))</f>
        <v/>
      </c>
      <c r="M18" s="57" t="str">
        <f aca="false">IF($I18="","",INDEX(BookRate,13)*(1+'5. Scenarios'!$C$10)*(INDEX(BookQ1,13)*(5-MIN(4,1+'5. Scenarios'!$C$8))/4+INDEX(BookQ2,13)*(5-MIN(4,2+'5. Scenarios'!$C$8))/4+INDEX(BookQ3,13)*(5-MIN(4,3+'5. Scenarios'!$C$8))/4+INDEX(BookQ4,13)*(5-MIN(4,4+'5. Scenarios'!$C$8))/4)*'5. Scenarios'!$C$6/(1+ProductivityDefault*('5. Scenarios'!$C$11-1))+INDEX(BookOneOff,13)*$I18)</f>
        <v/>
      </c>
      <c r="N18" s="56" t="str">
        <f aca="false">IF(INDEX(BookTitle,13)="","",INDEX(BookTotal,13)*'5. Scenarios'!$D$6/(1+ProductivityDefault*('5. Scenarios'!$D$11-1)))</f>
        <v/>
      </c>
      <c r="O18" s="57" t="str">
        <f aca="false">IF($N18="","",INDEX(BookRate,13)*(1+'5. Scenarios'!$D$10)*$N18)</f>
        <v/>
      </c>
      <c r="P18" s="57" t="str">
        <f aca="false">IF($O18="","",SUMIFS($O$6:$O$2405,$A$6:$A$2405,"&lt;="&amp;$A18))</f>
        <v/>
      </c>
      <c r="Q18" s="57" t="str">
        <f aca="false">IF($O18="","",IF($P18&lt;=BankCostEnvelope*'5. Scenarios'!$D$7,1,0))</f>
        <v/>
      </c>
      <c r="R18" s="57" t="str">
        <f aca="false">IF($N18="","",INDEX(BookRate,13)*(1+'5. Scenarios'!$D$10)*(INDEX(BookQ1,13)*(5-MIN(4,1+'5. Scenarios'!$D$8))/4+INDEX(BookQ2,13)*(5-MIN(4,2+'5. Scenarios'!$D$8))/4+INDEX(BookQ3,13)*(5-MIN(4,3+'5. Scenarios'!$D$8))/4+INDEX(BookQ4,13)*(5-MIN(4,4+'5. Scenarios'!$D$8))/4)*'5. Scenarios'!$D$6/(1+ProductivityDefault*('5. Scenarios'!$D$11-1))+INDEX(BookOneOff,13)*$N18)</f>
        <v/>
      </c>
      <c r="S18" s="56" t="str">
        <f aca="false">IF(INDEX(BookTitle,13)="","",INDEX(BookTotal,13)*'5. Scenarios'!$E$6/(1+ProductivityDefault*('5. Scenarios'!$E$11-1)))</f>
        <v/>
      </c>
      <c r="T18" s="57" t="str">
        <f aca="false">IF($S18="","",INDEX(BookRate,13)*(1+'5. Scenarios'!$E$10)*$S18)</f>
        <v/>
      </c>
      <c r="U18" s="57" t="str">
        <f aca="false">IF($T18="","",SUMIFS($T$6:$T$2405,$A$6:$A$2405,"&lt;="&amp;$A18))</f>
        <v/>
      </c>
      <c r="V18" s="57" t="str">
        <f aca="false">IF($T18="","",IF($U18&lt;=BankCostEnvelope*'5. Scenarios'!$E$7,1,0))</f>
        <v/>
      </c>
      <c r="W18" s="57" t="str">
        <f aca="false">IF($S18="","",INDEX(BookRate,13)*(1+'5. Scenarios'!$E$10)*(INDEX(BookQ1,13)*(5-MIN(4,1+'5. Scenarios'!$E$8))/4+INDEX(BookQ2,13)*(5-MIN(4,2+'5. Scenarios'!$E$8))/4+INDEX(BookQ3,13)*(5-MIN(4,3+'5. Scenarios'!$E$8))/4+INDEX(BookQ4,13)*(5-MIN(4,4+'5. Scenarios'!$E$8))/4)*'5. Scenarios'!$E$6/(1+ProductivityDefault*('5. Scenarios'!$E$11-1))+INDEX(BookOneOff,13)*$S18)</f>
        <v/>
      </c>
    </row>
    <row r="19" customFormat="false" ht="15" hidden="false" customHeight="false" outlineLevel="0" collapsed="false">
      <c r="A19" s="0" t="str">
        <f aca="false">IF(INDEX(BookTitle,14)="","",INDEX(BookKey,14))</f>
        <v/>
      </c>
      <c r="B19" s="0" t="str">
        <f aca="false">IF(INDEX(BookTitle,14)="","",INDEX(BookGroup,14))</f>
        <v/>
      </c>
      <c r="C19" s="0" t="str">
        <f aca="false">IF(INDEX(BookTitle,14)="","",INDEX(BookCategory,14))</f>
        <v/>
      </c>
      <c r="D19" s="56" t="str">
        <f aca="false">IF(INDEX(BookTitle,14)="","",INDEX(BookTotal,14)*'5. Scenarios'!$B$6/(1+ProductivityDefault*('5. Scenarios'!$B$11-1)))</f>
        <v/>
      </c>
      <c r="E19" s="57" t="str">
        <f aca="false">IF($D19="","",INDEX(BookRate,14)*(1+'5. Scenarios'!$B$10)*$D19)</f>
        <v/>
      </c>
      <c r="F19" s="57" t="str">
        <f aca="false">IF($E19="","",SUMIFS($E$6:$E$2405,$A$6:$A$2405,"&lt;="&amp;$A19))</f>
        <v/>
      </c>
      <c r="G19" s="57" t="str">
        <f aca="false">IF($E19="","",IF($F19&lt;=BankCostEnvelope*'5. Scenarios'!$B$7,1,0))</f>
        <v/>
      </c>
      <c r="H19" s="57" t="str">
        <f aca="false">IF($D19="","",INDEX(BookRate,14)*(1+'5. Scenarios'!$B$10)*(INDEX(BookQ1,14)*(5-MIN(4,1+'5. Scenarios'!$B$8))/4+INDEX(BookQ2,14)*(5-MIN(4,2+'5. Scenarios'!$B$8))/4+INDEX(BookQ3,14)*(5-MIN(4,3+'5. Scenarios'!$B$8))/4+INDEX(BookQ4,14)*(5-MIN(4,4+'5. Scenarios'!$B$8))/4)*'5. Scenarios'!$B$6/(1+ProductivityDefault*('5. Scenarios'!$B$11-1))+INDEX(BookOneOff,14)*$D19)</f>
        <v/>
      </c>
      <c r="I19" s="56" t="str">
        <f aca="false">IF(INDEX(BookTitle,14)="","",INDEX(BookTotal,14)*'5. Scenarios'!$C$6/(1+ProductivityDefault*('5. Scenarios'!$C$11-1)))</f>
        <v/>
      </c>
      <c r="J19" s="57" t="str">
        <f aca="false">IF($I19="","",INDEX(BookRate,14)*(1+'5. Scenarios'!$C$10)*$I19)</f>
        <v/>
      </c>
      <c r="K19" s="57" t="str">
        <f aca="false">IF($J19="","",SUMIFS($J$6:$J$2405,$A$6:$A$2405,"&lt;="&amp;$A19))</f>
        <v/>
      </c>
      <c r="L19" s="57" t="str">
        <f aca="false">IF($J19="","",IF($K19&lt;=BankCostEnvelope*'5. Scenarios'!$C$7,1,0))</f>
        <v/>
      </c>
      <c r="M19" s="57" t="str">
        <f aca="false">IF($I19="","",INDEX(BookRate,14)*(1+'5. Scenarios'!$C$10)*(INDEX(BookQ1,14)*(5-MIN(4,1+'5. Scenarios'!$C$8))/4+INDEX(BookQ2,14)*(5-MIN(4,2+'5. Scenarios'!$C$8))/4+INDEX(BookQ3,14)*(5-MIN(4,3+'5. Scenarios'!$C$8))/4+INDEX(BookQ4,14)*(5-MIN(4,4+'5. Scenarios'!$C$8))/4)*'5. Scenarios'!$C$6/(1+ProductivityDefault*('5. Scenarios'!$C$11-1))+INDEX(BookOneOff,14)*$I19)</f>
        <v/>
      </c>
      <c r="N19" s="56" t="str">
        <f aca="false">IF(INDEX(BookTitle,14)="","",INDEX(BookTotal,14)*'5. Scenarios'!$D$6/(1+ProductivityDefault*('5. Scenarios'!$D$11-1)))</f>
        <v/>
      </c>
      <c r="O19" s="57" t="str">
        <f aca="false">IF($N19="","",INDEX(BookRate,14)*(1+'5. Scenarios'!$D$10)*$N19)</f>
        <v/>
      </c>
      <c r="P19" s="57" t="str">
        <f aca="false">IF($O19="","",SUMIFS($O$6:$O$2405,$A$6:$A$2405,"&lt;="&amp;$A19))</f>
        <v/>
      </c>
      <c r="Q19" s="57" t="str">
        <f aca="false">IF($O19="","",IF($P19&lt;=BankCostEnvelope*'5. Scenarios'!$D$7,1,0))</f>
        <v/>
      </c>
      <c r="R19" s="57" t="str">
        <f aca="false">IF($N19="","",INDEX(BookRate,14)*(1+'5. Scenarios'!$D$10)*(INDEX(BookQ1,14)*(5-MIN(4,1+'5. Scenarios'!$D$8))/4+INDEX(BookQ2,14)*(5-MIN(4,2+'5. Scenarios'!$D$8))/4+INDEX(BookQ3,14)*(5-MIN(4,3+'5. Scenarios'!$D$8))/4+INDEX(BookQ4,14)*(5-MIN(4,4+'5. Scenarios'!$D$8))/4)*'5. Scenarios'!$D$6/(1+ProductivityDefault*('5. Scenarios'!$D$11-1))+INDEX(BookOneOff,14)*$N19)</f>
        <v/>
      </c>
      <c r="S19" s="56" t="str">
        <f aca="false">IF(INDEX(BookTitle,14)="","",INDEX(BookTotal,14)*'5. Scenarios'!$E$6/(1+ProductivityDefault*('5. Scenarios'!$E$11-1)))</f>
        <v/>
      </c>
      <c r="T19" s="57" t="str">
        <f aca="false">IF($S19="","",INDEX(BookRate,14)*(1+'5. Scenarios'!$E$10)*$S19)</f>
        <v/>
      </c>
      <c r="U19" s="57" t="str">
        <f aca="false">IF($T19="","",SUMIFS($T$6:$T$2405,$A$6:$A$2405,"&lt;="&amp;$A19))</f>
        <v/>
      </c>
      <c r="V19" s="57" t="str">
        <f aca="false">IF($T19="","",IF($U19&lt;=BankCostEnvelope*'5. Scenarios'!$E$7,1,0))</f>
        <v/>
      </c>
      <c r="W19" s="57" t="str">
        <f aca="false">IF($S19="","",INDEX(BookRate,14)*(1+'5. Scenarios'!$E$10)*(INDEX(BookQ1,14)*(5-MIN(4,1+'5. Scenarios'!$E$8))/4+INDEX(BookQ2,14)*(5-MIN(4,2+'5. Scenarios'!$E$8))/4+INDEX(BookQ3,14)*(5-MIN(4,3+'5. Scenarios'!$E$8))/4+INDEX(BookQ4,14)*(5-MIN(4,4+'5. Scenarios'!$E$8))/4)*'5. Scenarios'!$E$6/(1+ProductivityDefault*('5. Scenarios'!$E$11-1))+INDEX(BookOneOff,14)*$S19)</f>
        <v/>
      </c>
    </row>
    <row r="20" customFormat="false" ht="15" hidden="false" customHeight="false" outlineLevel="0" collapsed="false">
      <c r="A20" s="0" t="str">
        <f aca="false">IF(INDEX(BookTitle,15)="","",INDEX(BookKey,15))</f>
        <v/>
      </c>
      <c r="B20" s="0" t="str">
        <f aca="false">IF(INDEX(BookTitle,15)="","",INDEX(BookGroup,15))</f>
        <v/>
      </c>
      <c r="C20" s="0" t="str">
        <f aca="false">IF(INDEX(BookTitle,15)="","",INDEX(BookCategory,15))</f>
        <v/>
      </c>
      <c r="D20" s="56" t="str">
        <f aca="false">IF(INDEX(BookTitle,15)="","",INDEX(BookTotal,15)*'5. Scenarios'!$B$6/(1+ProductivityDefault*('5. Scenarios'!$B$11-1)))</f>
        <v/>
      </c>
      <c r="E20" s="57" t="str">
        <f aca="false">IF($D20="","",INDEX(BookRate,15)*(1+'5. Scenarios'!$B$10)*$D20)</f>
        <v/>
      </c>
      <c r="F20" s="57" t="str">
        <f aca="false">IF($E20="","",SUMIFS($E$6:$E$2405,$A$6:$A$2405,"&lt;="&amp;$A20))</f>
        <v/>
      </c>
      <c r="G20" s="57" t="str">
        <f aca="false">IF($E20="","",IF($F20&lt;=BankCostEnvelope*'5. Scenarios'!$B$7,1,0))</f>
        <v/>
      </c>
      <c r="H20" s="57" t="str">
        <f aca="false">IF($D20="","",INDEX(BookRate,15)*(1+'5. Scenarios'!$B$10)*(INDEX(BookQ1,15)*(5-MIN(4,1+'5. Scenarios'!$B$8))/4+INDEX(BookQ2,15)*(5-MIN(4,2+'5. Scenarios'!$B$8))/4+INDEX(BookQ3,15)*(5-MIN(4,3+'5. Scenarios'!$B$8))/4+INDEX(BookQ4,15)*(5-MIN(4,4+'5. Scenarios'!$B$8))/4)*'5. Scenarios'!$B$6/(1+ProductivityDefault*('5. Scenarios'!$B$11-1))+INDEX(BookOneOff,15)*$D20)</f>
        <v/>
      </c>
      <c r="I20" s="56" t="str">
        <f aca="false">IF(INDEX(BookTitle,15)="","",INDEX(BookTotal,15)*'5. Scenarios'!$C$6/(1+ProductivityDefault*('5. Scenarios'!$C$11-1)))</f>
        <v/>
      </c>
      <c r="J20" s="57" t="str">
        <f aca="false">IF($I20="","",INDEX(BookRate,15)*(1+'5. Scenarios'!$C$10)*$I20)</f>
        <v/>
      </c>
      <c r="K20" s="57" t="str">
        <f aca="false">IF($J20="","",SUMIFS($J$6:$J$2405,$A$6:$A$2405,"&lt;="&amp;$A20))</f>
        <v/>
      </c>
      <c r="L20" s="57" t="str">
        <f aca="false">IF($J20="","",IF($K20&lt;=BankCostEnvelope*'5. Scenarios'!$C$7,1,0))</f>
        <v/>
      </c>
      <c r="M20" s="57" t="str">
        <f aca="false">IF($I20="","",INDEX(BookRate,15)*(1+'5. Scenarios'!$C$10)*(INDEX(BookQ1,15)*(5-MIN(4,1+'5. Scenarios'!$C$8))/4+INDEX(BookQ2,15)*(5-MIN(4,2+'5. Scenarios'!$C$8))/4+INDEX(BookQ3,15)*(5-MIN(4,3+'5. Scenarios'!$C$8))/4+INDEX(BookQ4,15)*(5-MIN(4,4+'5. Scenarios'!$C$8))/4)*'5. Scenarios'!$C$6/(1+ProductivityDefault*('5. Scenarios'!$C$11-1))+INDEX(BookOneOff,15)*$I20)</f>
        <v/>
      </c>
      <c r="N20" s="56" t="str">
        <f aca="false">IF(INDEX(BookTitle,15)="","",INDEX(BookTotal,15)*'5. Scenarios'!$D$6/(1+ProductivityDefault*('5. Scenarios'!$D$11-1)))</f>
        <v/>
      </c>
      <c r="O20" s="57" t="str">
        <f aca="false">IF($N20="","",INDEX(BookRate,15)*(1+'5. Scenarios'!$D$10)*$N20)</f>
        <v/>
      </c>
      <c r="P20" s="57" t="str">
        <f aca="false">IF($O20="","",SUMIFS($O$6:$O$2405,$A$6:$A$2405,"&lt;="&amp;$A20))</f>
        <v/>
      </c>
      <c r="Q20" s="57" t="str">
        <f aca="false">IF($O20="","",IF($P20&lt;=BankCostEnvelope*'5. Scenarios'!$D$7,1,0))</f>
        <v/>
      </c>
      <c r="R20" s="57" t="str">
        <f aca="false">IF($N20="","",INDEX(BookRate,15)*(1+'5. Scenarios'!$D$10)*(INDEX(BookQ1,15)*(5-MIN(4,1+'5. Scenarios'!$D$8))/4+INDEX(BookQ2,15)*(5-MIN(4,2+'5. Scenarios'!$D$8))/4+INDEX(BookQ3,15)*(5-MIN(4,3+'5. Scenarios'!$D$8))/4+INDEX(BookQ4,15)*(5-MIN(4,4+'5. Scenarios'!$D$8))/4)*'5. Scenarios'!$D$6/(1+ProductivityDefault*('5. Scenarios'!$D$11-1))+INDEX(BookOneOff,15)*$N20)</f>
        <v/>
      </c>
      <c r="S20" s="56" t="str">
        <f aca="false">IF(INDEX(BookTitle,15)="","",INDEX(BookTotal,15)*'5. Scenarios'!$E$6/(1+ProductivityDefault*('5. Scenarios'!$E$11-1)))</f>
        <v/>
      </c>
      <c r="T20" s="57" t="str">
        <f aca="false">IF($S20="","",INDEX(BookRate,15)*(1+'5. Scenarios'!$E$10)*$S20)</f>
        <v/>
      </c>
      <c r="U20" s="57" t="str">
        <f aca="false">IF($T20="","",SUMIFS($T$6:$T$2405,$A$6:$A$2405,"&lt;="&amp;$A20))</f>
        <v/>
      </c>
      <c r="V20" s="57" t="str">
        <f aca="false">IF($T20="","",IF($U20&lt;=BankCostEnvelope*'5. Scenarios'!$E$7,1,0))</f>
        <v/>
      </c>
      <c r="W20" s="57" t="str">
        <f aca="false">IF($S20="","",INDEX(BookRate,15)*(1+'5. Scenarios'!$E$10)*(INDEX(BookQ1,15)*(5-MIN(4,1+'5. Scenarios'!$E$8))/4+INDEX(BookQ2,15)*(5-MIN(4,2+'5. Scenarios'!$E$8))/4+INDEX(BookQ3,15)*(5-MIN(4,3+'5. Scenarios'!$E$8))/4+INDEX(BookQ4,15)*(5-MIN(4,4+'5. Scenarios'!$E$8))/4)*'5. Scenarios'!$E$6/(1+ProductivityDefault*('5. Scenarios'!$E$11-1))+INDEX(BookOneOff,15)*$S20)</f>
        <v/>
      </c>
    </row>
    <row r="21" customFormat="false" ht="15" hidden="false" customHeight="false" outlineLevel="0" collapsed="false">
      <c r="A21" s="0" t="str">
        <f aca="false">IF(INDEX(BookTitle,16)="","",INDEX(BookKey,16))</f>
        <v/>
      </c>
      <c r="B21" s="0" t="str">
        <f aca="false">IF(INDEX(BookTitle,16)="","",INDEX(BookGroup,16))</f>
        <v/>
      </c>
      <c r="C21" s="0" t="str">
        <f aca="false">IF(INDEX(BookTitle,16)="","",INDEX(BookCategory,16))</f>
        <v/>
      </c>
      <c r="D21" s="56" t="str">
        <f aca="false">IF(INDEX(BookTitle,16)="","",INDEX(BookTotal,16)*'5. Scenarios'!$B$6/(1+ProductivityDefault*('5. Scenarios'!$B$11-1)))</f>
        <v/>
      </c>
      <c r="E21" s="57" t="str">
        <f aca="false">IF($D21="","",INDEX(BookRate,16)*(1+'5. Scenarios'!$B$10)*$D21)</f>
        <v/>
      </c>
      <c r="F21" s="57" t="str">
        <f aca="false">IF($E21="","",SUMIFS($E$6:$E$2405,$A$6:$A$2405,"&lt;="&amp;$A21))</f>
        <v/>
      </c>
      <c r="G21" s="57" t="str">
        <f aca="false">IF($E21="","",IF($F21&lt;=BankCostEnvelope*'5. Scenarios'!$B$7,1,0))</f>
        <v/>
      </c>
      <c r="H21" s="57" t="str">
        <f aca="false">IF($D21="","",INDEX(BookRate,16)*(1+'5. Scenarios'!$B$10)*(INDEX(BookQ1,16)*(5-MIN(4,1+'5. Scenarios'!$B$8))/4+INDEX(BookQ2,16)*(5-MIN(4,2+'5. Scenarios'!$B$8))/4+INDEX(BookQ3,16)*(5-MIN(4,3+'5. Scenarios'!$B$8))/4+INDEX(BookQ4,16)*(5-MIN(4,4+'5. Scenarios'!$B$8))/4)*'5. Scenarios'!$B$6/(1+ProductivityDefault*('5. Scenarios'!$B$11-1))+INDEX(BookOneOff,16)*$D21)</f>
        <v/>
      </c>
      <c r="I21" s="56" t="str">
        <f aca="false">IF(INDEX(BookTitle,16)="","",INDEX(BookTotal,16)*'5. Scenarios'!$C$6/(1+ProductivityDefault*('5. Scenarios'!$C$11-1)))</f>
        <v/>
      </c>
      <c r="J21" s="57" t="str">
        <f aca="false">IF($I21="","",INDEX(BookRate,16)*(1+'5. Scenarios'!$C$10)*$I21)</f>
        <v/>
      </c>
      <c r="K21" s="57" t="str">
        <f aca="false">IF($J21="","",SUMIFS($J$6:$J$2405,$A$6:$A$2405,"&lt;="&amp;$A21))</f>
        <v/>
      </c>
      <c r="L21" s="57" t="str">
        <f aca="false">IF($J21="","",IF($K21&lt;=BankCostEnvelope*'5. Scenarios'!$C$7,1,0))</f>
        <v/>
      </c>
      <c r="M21" s="57" t="str">
        <f aca="false">IF($I21="","",INDEX(BookRate,16)*(1+'5. Scenarios'!$C$10)*(INDEX(BookQ1,16)*(5-MIN(4,1+'5. Scenarios'!$C$8))/4+INDEX(BookQ2,16)*(5-MIN(4,2+'5. Scenarios'!$C$8))/4+INDEX(BookQ3,16)*(5-MIN(4,3+'5. Scenarios'!$C$8))/4+INDEX(BookQ4,16)*(5-MIN(4,4+'5. Scenarios'!$C$8))/4)*'5. Scenarios'!$C$6/(1+ProductivityDefault*('5. Scenarios'!$C$11-1))+INDEX(BookOneOff,16)*$I21)</f>
        <v/>
      </c>
      <c r="N21" s="56" t="str">
        <f aca="false">IF(INDEX(BookTitle,16)="","",INDEX(BookTotal,16)*'5. Scenarios'!$D$6/(1+ProductivityDefault*('5. Scenarios'!$D$11-1)))</f>
        <v/>
      </c>
      <c r="O21" s="57" t="str">
        <f aca="false">IF($N21="","",INDEX(BookRate,16)*(1+'5. Scenarios'!$D$10)*$N21)</f>
        <v/>
      </c>
      <c r="P21" s="57" t="str">
        <f aca="false">IF($O21="","",SUMIFS($O$6:$O$2405,$A$6:$A$2405,"&lt;="&amp;$A21))</f>
        <v/>
      </c>
      <c r="Q21" s="57" t="str">
        <f aca="false">IF($O21="","",IF($P21&lt;=BankCostEnvelope*'5. Scenarios'!$D$7,1,0))</f>
        <v/>
      </c>
      <c r="R21" s="57" t="str">
        <f aca="false">IF($N21="","",INDEX(BookRate,16)*(1+'5. Scenarios'!$D$10)*(INDEX(BookQ1,16)*(5-MIN(4,1+'5. Scenarios'!$D$8))/4+INDEX(BookQ2,16)*(5-MIN(4,2+'5. Scenarios'!$D$8))/4+INDEX(BookQ3,16)*(5-MIN(4,3+'5. Scenarios'!$D$8))/4+INDEX(BookQ4,16)*(5-MIN(4,4+'5. Scenarios'!$D$8))/4)*'5. Scenarios'!$D$6/(1+ProductivityDefault*('5. Scenarios'!$D$11-1))+INDEX(BookOneOff,16)*$N21)</f>
        <v/>
      </c>
      <c r="S21" s="56" t="str">
        <f aca="false">IF(INDEX(BookTitle,16)="","",INDEX(BookTotal,16)*'5. Scenarios'!$E$6/(1+ProductivityDefault*('5. Scenarios'!$E$11-1)))</f>
        <v/>
      </c>
      <c r="T21" s="57" t="str">
        <f aca="false">IF($S21="","",INDEX(BookRate,16)*(1+'5. Scenarios'!$E$10)*$S21)</f>
        <v/>
      </c>
      <c r="U21" s="57" t="str">
        <f aca="false">IF($T21="","",SUMIFS($T$6:$T$2405,$A$6:$A$2405,"&lt;="&amp;$A21))</f>
        <v/>
      </c>
      <c r="V21" s="57" t="str">
        <f aca="false">IF($T21="","",IF($U21&lt;=BankCostEnvelope*'5. Scenarios'!$E$7,1,0))</f>
        <v/>
      </c>
      <c r="W21" s="57" t="str">
        <f aca="false">IF($S21="","",INDEX(BookRate,16)*(1+'5. Scenarios'!$E$10)*(INDEX(BookQ1,16)*(5-MIN(4,1+'5. Scenarios'!$E$8))/4+INDEX(BookQ2,16)*(5-MIN(4,2+'5. Scenarios'!$E$8))/4+INDEX(BookQ3,16)*(5-MIN(4,3+'5. Scenarios'!$E$8))/4+INDEX(BookQ4,16)*(5-MIN(4,4+'5. Scenarios'!$E$8))/4)*'5. Scenarios'!$E$6/(1+ProductivityDefault*('5. Scenarios'!$E$11-1))+INDEX(BookOneOff,16)*$S21)</f>
        <v/>
      </c>
    </row>
    <row r="22" customFormat="false" ht="15" hidden="false" customHeight="false" outlineLevel="0" collapsed="false">
      <c r="A22" s="0" t="str">
        <f aca="false">IF(INDEX(BookTitle,17)="","",INDEX(BookKey,17))</f>
        <v/>
      </c>
      <c r="B22" s="0" t="str">
        <f aca="false">IF(INDEX(BookTitle,17)="","",INDEX(BookGroup,17))</f>
        <v/>
      </c>
      <c r="C22" s="0" t="str">
        <f aca="false">IF(INDEX(BookTitle,17)="","",INDEX(BookCategory,17))</f>
        <v/>
      </c>
      <c r="D22" s="56" t="str">
        <f aca="false">IF(INDEX(BookTitle,17)="","",INDEX(BookTotal,17)*'5. Scenarios'!$B$6/(1+ProductivityDefault*('5. Scenarios'!$B$11-1)))</f>
        <v/>
      </c>
      <c r="E22" s="57" t="str">
        <f aca="false">IF($D22="","",INDEX(BookRate,17)*(1+'5. Scenarios'!$B$10)*$D22)</f>
        <v/>
      </c>
      <c r="F22" s="57" t="str">
        <f aca="false">IF($E22="","",SUMIFS($E$6:$E$2405,$A$6:$A$2405,"&lt;="&amp;$A22))</f>
        <v/>
      </c>
      <c r="G22" s="57" t="str">
        <f aca="false">IF($E22="","",IF($F22&lt;=BankCostEnvelope*'5. Scenarios'!$B$7,1,0))</f>
        <v/>
      </c>
      <c r="H22" s="57" t="str">
        <f aca="false">IF($D22="","",INDEX(BookRate,17)*(1+'5. Scenarios'!$B$10)*(INDEX(BookQ1,17)*(5-MIN(4,1+'5. Scenarios'!$B$8))/4+INDEX(BookQ2,17)*(5-MIN(4,2+'5. Scenarios'!$B$8))/4+INDEX(BookQ3,17)*(5-MIN(4,3+'5. Scenarios'!$B$8))/4+INDEX(BookQ4,17)*(5-MIN(4,4+'5. Scenarios'!$B$8))/4)*'5. Scenarios'!$B$6/(1+ProductivityDefault*('5. Scenarios'!$B$11-1))+INDEX(BookOneOff,17)*$D22)</f>
        <v/>
      </c>
      <c r="I22" s="56" t="str">
        <f aca="false">IF(INDEX(BookTitle,17)="","",INDEX(BookTotal,17)*'5. Scenarios'!$C$6/(1+ProductivityDefault*('5. Scenarios'!$C$11-1)))</f>
        <v/>
      </c>
      <c r="J22" s="57" t="str">
        <f aca="false">IF($I22="","",INDEX(BookRate,17)*(1+'5. Scenarios'!$C$10)*$I22)</f>
        <v/>
      </c>
      <c r="K22" s="57" t="str">
        <f aca="false">IF($J22="","",SUMIFS($J$6:$J$2405,$A$6:$A$2405,"&lt;="&amp;$A22))</f>
        <v/>
      </c>
      <c r="L22" s="57" t="str">
        <f aca="false">IF($J22="","",IF($K22&lt;=BankCostEnvelope*'5. Scenarios'!$C$7,1,0))</f>
        <v/>
      </c>
      <c r="M22" s="57" t="str">
        <f aca="false">IF($I22="","",INDEX(BookRate,17)*(1+'5. Scenarios'!$C$10)*(INDEX(BookQ1,17)*(5-MIN(4,1+'5. Scenarios'!$C$8))/4+INDEX(BookQ2,17)*(5-MIN(4,2+'5. Scenarios'!$C$8))/4+INDEX(BookQ3,17)*(5-MIN(4,3+'5. Scenarios'!$C$8))/4+INDEX(BookQ4,17)*(5-MIN(4,4+'5. Scenarios'!$C$8))/4)*'5. Scenarios'!$C$6/(1+ProductivityDefault*('5. Scenarios'!$C$11-1))+INDEX(BookOneOff,17)*$I22)</f>
        <v/>
      </c>
      <c r="N22" s="56" t="str">
        <f aca="false">IF(INDEX(BookTitle,17)="","",INDEX(BookTotal,17)*'5. Scenarios'!$D$6/(1+ProductivityDefault*('5. Scenarios'!$D$11-1)))</f>
        <v/>
      </c>
      <c r="O22" s="57" t="str">
        <f aca="false">IF($N22="","",INDEX(BookRate,17)*(1+'5. Scenarios'!$D$10)*$N22)</f>
        <v/>
      </c>
      <c r="P22" s="57" t="str">
        <f aca="false">IF($O22="","",SUMIFS($O$6:$O$2405,$A$6:$A$2405,"&lt;="&amp;$A22))</f>
        <v/>
      </c>
      <c r="Q22" s="57" t="str">
        <f aca="false">IF($O22="","",IF($P22&lt;=BankCostEnvelope*'5. Scenarios'!$D$7,1,0))</f>
        <v/>
      </c>
      <c r="R22" s="57" t="str">
        <f aca="false">IF($N22="","",INDEX(BookRate,17)*(1+'5. Scenarios'!$D$10)*(INDEX(BookQ1,17)*(5-MIN(4,1+'5. Scenarios'!$D$8))/4+INDEX(BookQ2,17)*(5-MIN(4,2+'5. Scenarios'!$D$8))/4+INDEX(BookQ3,17)*(5-MIN(4,3+'5. Scenarios'!$D$8))/4+INDEX(BookQ4,17)*(5-MIN(4,4+'5. Scenarios'!$D$8))/4)*'5. Scenarios'!$D$6/(1+ProductivityDefault*('5. Scenarios'!$D$11-1))+INDEX(BookOneOff,17)*$N22)</f>
        <v/>
      </c>
      <c r="S22" s="56" t="str">
        <f aca="false">IF(INDEX(BookTitle,17)="","",INDEX(BookTotal,17)*'5. Scenarios'!$E$6/(1+ProductivityDefault*('5. Scenarios'!$E$11-1)))</f>
        <v/>
      </c>
      <c r="T22" s="57" t="str">
        <f aca="false">IF($S22="","",INDEX(BookRate,17)*(1+'5. Scenarios'!$E$10)*$S22)</f>
        <v/>
      </c>
      <c r="U22" s="57" t="str">
        <f aca="false">IF($T22="","",SUMIFS($T$6:$T$2405,$A$6:$A$2405,"&lt;="&amp;$A22))</f>
        <v/>
      </c>
      <c r="V22" s="57" t="str">
        <f aca="false">IF($T22="","",IF($U22&lt;=BankCostEnvelope*'5. Scenarios'!$E$7,1,0))</f>
        <v/>
      </c>
      <c r="W22" s="57" t="str">
        <f aca="false">IF($S22="","",INDEX(BookRate,17)*(1+'5. Scenarios'!$E$10)*(INDEX(BookQ1,17)*(5-MIN(4,1+'5. Scenarios'!$E$8))/4+INDEX(BookQ2,17)*(5-MIN(4,2+'5. Scenarios'!$E$8))/4+INDEX(BookQ3,17)*(5-MIN(4,3+'5. Scenarios'!$E$8))/4+INDEX(BookQ4,17)*(5-MIN(4,4+'5. Scenarios'!$E$8))/4)*'5. Scenarios'!$E$6/(1+ProductivityDefault*('5. Scenarios'!$E$11-1))+INDEX(BookOneOff,17)*$S22)</f>
        <v/>
      </c>
    </row>
    <row r="23" customFormat="false" ht="15" hidden="false" customHeight="false" outlineLevel="0" collapsed="false">
      <c r="A23" s="0" t="str">
        <f aca="false">IF(INDEX(BookTitle,18)="","",INDEX(BookKey,18))</f>
        <v/>
      </c>
      <c r="B23" s="0" t="str">
        <f aca="false">IF(INDEX(BookTitle,18)="","",INDEX(BookGroup,18))</f>
        <v/>
      </c>
      <c r="C23" s="0" t="str">
        <f aca="false">IF(INDEX(BookTitle,18)="","",INDEX(BookCategory,18))</f>
        <v/>
      </c>
      <c r="D23" s="56" t="str">
        <f aca="false">IF(INDEX(BookTitle,18)="","",INDEX(BookTotal,18)*'5. Scenarios'!$B$6/(1+ProductivityDefault*('5. Scenarios'!$B$11-1)))</f>
        <v/>
      </c>
      <c r="E23" s="57" t="str">
        <f aca="false">IF($D23="","",INDEX(BookRate,18)*(1+'5. Scenarios'!$B$10)*$D23)</f>
        <v/>
      </c>
      <c r="F23" s="57" t="str">
        <f aca="false">IF($E23="","",SUMIFS($E$6:$E$2405,$A$6:$A$2405,"&lt;="&amp;$A23))</f>
        <v/>
      </c>
      <c r="G23" s="57" t="str">
        <f aca="false">IF($E23="","",IF($F23&lt;=BankCostEnvelope*'5. Scenarios'!$B$7,1,0))</f>
        <v/>
      </c>
      <c r="H23" s="57" t="str">
        <f aca="false">IF($D23="","",INDEX(BookRate,18)*(1+'5. Scenarios'!$B$10)*(INDEX(BookQ1,18)*(5-MIN(4,1+'5. Scenarios'!$B$8))/4+INDEX(BookQ2,18)*(5-MIN(4,2+'5. Scenarios'!$B$8))/4+INDEX(BookQ3,18)*(5-MIN(4,3+'5. Scenarios'!$B$8))/4+INDEX(BookQ4,18)*(5-MIN(4,4+'5. Scenarios'!$B$8))/4)*'5. Scenarios'!$B$6/(1+ProductivityDefault*('5. Scenarios'!$B$11-1))+INDEX(BookOneOff,18)*$D23)</f>
        <v/>
      </c>
      <c r="I23" s="56" t="str">
        <f aca="false">IF(INDEX(BookTitle,18)="","",INDEX(BookTotal,18)*'5. Scenarios'!$C$6/(1+ProductivityDefault*('5. Scenarios'!$C$11-1)))</f>
        <v/>
      </c>
      <c r="J23" s="57" t="str">
        <f aca="false">IF($I23="","",INDEX(BookRate,18)*(1+'5. Scenarios'!$C$10)*$I23)</f>
        <v/>
      </c>
      <c r="K23" s="57" t="str">
        <f aca="false">IF($J23="","",SUMIFS($J$6:$J$2405,$A$6:$A$2405,"&lt;="&amp;$A23))</f>
        <v/>
      </c>
      <c r="L23" s="57" t="str">
        <f aca="false">IF($J23="","",IF($K23&lt;=BankCostEnvelope*'5. Scenarios'!$C$7,1,0))</f>
        <v/>
      </c>
      <c r="M23" s="57" t="str">
        <f aca="false">IF($I23="","",INDEX(BookRate,18)*(1+'5. Scenarios'!$C$10)*(INDEX(BookQ1,18)*(5-MIN(4,1+'5. Scenarios'!$C$8))/4+INDEX(BookQ2,18)*(5-MIN(4,2+'5. Scenarios'!$C$8))/4+INDEX(BookQ3,18)*(5-MIN(4,3+'5. Scenarios'!$C$8))/4+INDEX(BookQ4,18)*(5-MIN(4,4+'5. Scenarios'!$C$8))/4)*'5. Scenarios'!$C$6/(1+ProductivityDefault*('5. Scenarios'!$C$11-1))+INDEX(BookOneOff,18)*$I23)</f>
        <v/>
      </c>
      <c r="N23" s="56" t="str">
        <f aca="false">IF(INDEX(BookTitle,18)="","",INDEX(BookTotal,18)*'5. Scenarios'!$D$6/(1+ProductivityDefault*('5. Scenarios'!$D$11-1)))</f>
        <v/>
      </c>
      <c r="O23" s="57" t="str">
        <f aca="false">IF($N23="","",INDEX(BookRate,18)*(1+'5. Scenarios'!$D$10)*$N23)</f>
        <v/>
      </c>
      <c r="P23" s="57" t="str">
        <f aca="false">IF($O23="","",SUMIFS($O$6:$O$2405,$A$6:$A$2405,"&lt;="&amp;$A23))</f>
        <v/>
      </c>
      <c r="Q23" s="57" t="str">
        <f aca="false">IF($O23="","",IF($P23&lt;=BankCostEnvelope*'5. Scenarios'!$D$7,1,0))</f>
        <v/>
      </c>
      <c r="R23" s="57" t="str">
        <f aca="false">IF($N23="","",INDEX(BookRate,18)*(1+'5. Scenarios'!$D$10)*(INDEX(BookQ1,18)*(5-MIN(4,1+'5. Scenarios'!$D$8))/4+INDEX(BookQ2,18)*(5-MIN(4,2+'5. Scenarios'!$D$8))/4+INDEX(BookQ3,18)*(5-MIN(4,3+'5. Scenarios'!$D$8))/4+INDEX(BookQ4,18)*(5-MIN(4,4+'5. Scenarios'!$D$8))/4)*'5. Scenarios'!$D$6/(1+ProductivityDefault*('5. Scenarios'!$D$11-1))+INDEX(BookOneOff,18)*$N23)</f>
        <v/>
      </c>
      <c r="S23" s="56" t="str">
        <f aca="false">IF(INDEX(BookTitle,18)="","",INDEX(BookTotal,18)*'5. Scenarios'!$E$6/(1+ProductivityDefault*('5. Scenarios'!$E$11-1)))</f>
        <v/>
      </c>
      <c r="T23" s="57" t="str">
        <f aca="false">IF($S23="","",INDEX(BookRate,18)*(1+'5. Scenarios'!$E$10)*$S23)</f>
        <v/>
      </c>
      <c r="U23" s="57" t="str">
        <f aca="false">IF($T23="","",SUMIFS($T$6:$T$2405,$A$6:$A$2405,"&lt;="&amp;$A23))</f>
        <v/>
      </c>
      <c r="V23" s="57" t="str">
        <f aca="false">IF($T23="","",IF($U23&lt;=BankCostEnvelope*'5. Scenarios'!$E$7,1,0))</f>
        <v/>
      </c>
      <c r="W23" s="57" t="str">
        <f aca="false">IF($S23="","",INDEX(BookRate,18)*(1+'5. Scenarios'!$E$10)*(INDEX(BookQ1,18)*(5-MIN(4,1+'5. Scenarios'!$E$8))/4+INDEX(BookQ2,18)*(5-MIN(4,2+'5. Scenarios'!$E$8))/4+INDEX(BookQ3,18)*(5-MIN(4,3+'5. Scenarios'!$E$8))/4+INDEX(BookQ4,18)*(5-MIN(4,4+'5. Scenarios'!$E$8))/4)*'5. Scenarios'!$E$6/(1+ProductivityDefault*('5. Scenarios'!$E$11-1))+INDEX(BookOneOff,18)*$S23)</f>
        <v/>
      </c>
    </row>
    <row r="24" customFormat="false" ht="15" hidden="false" customHeight="false" outlineLevel="0" collapsed="false">
      <c r="A24" s="0" t="str">
        <f aca="false">IF(INDEX(BookTitle,19)="","",INDEX(BookKey,19))</f>
        <v/>
      </c>
      <c r="B24" s="0" t="str">
        <f aca="false">IF(INDEX(BookTitle,19)="","",INDEX(BookGroup,19))</f>
        <v/>
      </c>
      <c r="C24" s="0" t="str">
        <f aca="false">IF(INDEX(BookTitle,19)="","",INDEX(BookCategory,19))</f>
        <v/>
      </c>
      <c r="D24" s="56" t="str">
        <f aca="false">IF(INDEX(BookTitle,19)="","",INDEX(BookTotal,19)*'5. Scenarios'!$B$6/(1+ProductivityDefault*('5. Scenarios'!$B$11-1)))</f>
        <v/>
      </c>
      <c r="E24" s="57" t="str">
        <f aca="false">IF($D24="","",INDEX(BookRate,19)*(1+'5. Scenarios'!$B$10)*$D24)</f>
        <v/>
      </c>
      <c r="F24" s="57" t="str">
        <f aca="false">IF($E24="","",SUMIFS($E$6:$E$2405,$A$6:$A$2405,"&lt;="&amp;$A24))</f>
        <v/>
      </c>
      <c r="G24" s="57" t="str">
        <f aca="false">IF($E24="","",IF($F24&lt;=BankCostEnvelope*'5. Scenarios'!$B$7,1,0))</f>
        <v/>
      </c>
      <c r="H24" s="57" t="str">
        <f aca="false">IF($D24="","",INDEX(BookRate,19)*(1+'5. Scenarios'!$B$10)*(INDEX(BookQ1,19)*(5-MIN(4,1+'5. Scenarios'!$B$8))/4+INDEX(BookQ2,19)*(5-MIN(4,2+'5. Scenarios'!$B$8))/4+INDEX(BookQ3,19)*(5-MIN(4,3+'5. Scenarios'!$B$8))/4+INDEX(BookQ4,19)*(5-MIN(4,4+'5. Scenarios'!$B$8))/4)*'5. Scenarios'!$B$6/(1+ProductivityDefault*('5. Scenarios'!$B$11-1))+INDEX(BookOneOff,19)*$D24)</f>
        <v/>
      </c>
      <c r="I24" s="56" t="str">
        <f aca="false">IF(INDEX(BookTitle,19)="","",INDEX(BookTotal,19)*'5. Scenarios'!$C$6/(1+ProductivityDefault*('5. Scenarios'!$C$11-1)))</f>
        <v/>
      </c>
      <c r="J24" s="57" t="str">
        <f aca="false">IF($I24="","",INDEX(BookRate,19)*(1+'5. Scenarios'!$C$10)*$I24)</f>
        <v/>
      </c>
      <c r="K24" s="57" t="str">
        <f aca="false">IF($J24="","",SUMIFS($J$6:$J$2405,$A$6:$A$2405,"&lt;="&amp;$A24))</f>
        <v/>
      </c>
      <c r="L24" s="57" t="str">
        <f aca="false">IF($J24="","",IF($K24&lt;=BankCostEnvelope*'5. Scenarios'!$C$7,1,0))</f>
        <v/>
      </c>
      <c r="M24" s="57" t="str">
        <f aca="false">IF($I24="","",INDEX(BookRate,19)*(1+'5. Scenarios'!$C$10)*(INDEX(BookQ1,19)*(5-MIN(4,1+'5. Scenarios'!$C$8))/4+INDEX(BookQ2,19)*(5-MIN(4,2+'5. Scenarios'!$C$8))/4+INDEX(BookQ3,19)*(5-MIN(4,3+'5. Scenarios'!$C$8))/4+INDEX(BookQ4,19)*(5-MIN(4,4+'5. Scenarios'!$C$8))/4)*'5. Scenarios'!$C$6/(1+ProductivityDefault*('5. Scenarios'!$C$11-1))+INDEX(BookOneOff,19)*$I24)</f>
        <v/>
      </c>
      <c r="N24" s="56" t="str">
        <f aca="false">IF(INDEX(BookTitle,19)="","",INDEX(BookTotal,19)*'5. Scenarios'!$D$6/(1+ProductivityDefault*('5. Scenarios'!$D$11-1)))</f>
        <v/>
      </c>
      <c r="O24" s="57" t="str">
        <f aca="false">IF($N24="","",INDEX(BookRate,19)*(1+'5. Scenarios'!$D$10)*$N24)</f>
        <v/>
      </c>
      <c r="P24" s="57" t="str">
        <f aca="false">IF($O24="","",SUMIFS($O$6:$O$2405,$A$6:$A$2405,"&lt;="&amp;$A24))</f>
        <v/>
      </c>
      <c r="Q24" s="57" t="str">
        <f aca="false">IF($O24="","",IF($P24&lt;=BankCostEnvelope*'5. Scenarios'!$D$7,1,0))</f>
        <v/>
      </c>
      <c r="R24" s="57" t="str">
        <f aca="false">IF($N24="","",INDEX(BookRate,19)*(1+'5. Scenarios'!$D$10)*(INDEX(BookQ1,19)*(5-MIN(4,1+'5. Scenarios'!$D$8))/4+INDEX(BookQ2,19)*(5-MIN(4,2+'5. Scenarios'!$D$8))/4+INDEX(BookQ3,19)*(5-MIN(4,3+'5. Scenarios'!$D$8))/4+INDEX(BookQ4,19)*(5-MIN(4,4+'5. Scenarios'!$D$8))/4)*'5. Scenarios'!$D$6/(1+ProductivityDefault*('5. Scenarios'!$D$11-1))+INDEX(BookOneOff,19)*$N24)</f>
        <v/>
      </c>
      <c r="S24" s="56" t="str">
        <f aca="false">IF(INDEX(BookTitle,19)="","",INDEX(BookTotal,19)*'5. Scenarios'!$E$6/(1+ProductivityDefault*('5. Scenarios'!$E$11-1)))</f>
        <v/>
      </c>
      <c r="T24" s="57" t="str">
        <f aca="false">IF($S24="","",INDEX(BookRate,19)*(1+'5. Scenarios'!$E$10)*$S24)</f>
        <v/>
      </c>
      <c r="U24" s="57" t="str">
        <f aca="false">IF($T24="","",SUMIFS($T$6:$T$2405,$A$6:$A$2405,"&lt;="&amp;$A24))</f>
        <v/>
      </c>
      <c r="V24" s="57" t="str">
        <f aca="false">IF($T24="","",IF($U24&lt;=BankCostEnvelope*'5. Scenarios'!$E$7,1,0))</f>
        <v/>
      </c>
      <c r="W24" s="57" t="str">
        <f aca="false">IF($S24="","",INDEX(BookRate,19)*(1+'5. Scenarios'!$E$10)*(INDEX(BookQ1,19)*(5-MIN(4,1+'5. Scenarios'!$E$8))/4+INDEX(BookQ2,19)*(5-MIN(4,2+'5. Scenarios'!$E$8))/4+INDEX(BookQ3,19)*(5-MIN(4,3+'5. Scenarios'!$E$8))/4+INDEX(BookQ4,19)*(5-MIN(4,4+'5. Scenarios'!$E$8))/4)*'5. Scenarios'!$E$6/(1+ProductivityDefault*('5. Scenarios'!$E$11-1))+INDEX(BookOneOff,19)*$S24)</f>
        <v/>
      </c>
    </row>
    <row r="25" customFormat="false" ht="15" hidden="false" customHeight="false" outlineLevel="0" collapsed="false">
      <c r="A25" s="0" t="str">
        <f aca="false">IF(INDEX(BookTitle,20)="","",INDEX(BookKey,20))</f>
        <v/>
      </c>
      <c r="B25" s="0" t="str">
        <f aca="false">IF(INDEX(BookTitle,20)="","",INDEX(BookGroup,20))</f>
        <v/>
      </c>
      <c r="C25" s="0" t="str">
        <f aca="false">IF(INDEX(BookTitle,20)="","",INDEX(BookCategory,20))</f>
        <v/>
      </c>
      <c r="D25" s="56" t="str">
        <f aca="false">IF(INDEX(BookTitle,20)="","",INDEX(BookTotal,20)*'5. Scenarios'!$B$6/(1+ProductivityDefault*('5. Scenarios'!$B$11-1)))</f>
        <v/>
      </c>
      <c r="E25" s="57" t="str">
        <f aca="false">IF($D25="","",INDEX(BookRate,20)*(1+'5. Scenarios'!$B$10)*$D25)</f>
        <v/>
      </c>
      <c r="F25" s="57" t="str">
        <f aca="false">IF($E25="","",SUMIFS($E$6:$E$2405,$A$6:$A$2405,"&lt;="&amp;$A25))</f>
        <v/>
      </c>
      <c r="G25" s="57" t="str">
        <f aca="false">IF($E25="","",IF($F25&lt;=BankCostEnvelope*'5. Scenarios'!$B$7,1,0))</f>
        <v/>
      </c>
      <c r="H25" s="57" t="str">
        <f aca="false">IF($D25="","",INDEX(BookRate,20)*(1+'5. Scenarios'!$B$10)*(INDEX(BookQ1,20)*(5-MIN(4,1+'5. Scenarios'!$B$8))/4+INDEX(BookQ2,20)*(5-MIN(4,2+'5. Scenarios'!$B$8))/4+INDEX(BookQ3,20)*(5-MIN(4,3+'5. Scenarios'!$B$8))/4+INDEX(BookQ4,20)*(5-MIN(4,4+'5. Scenarios'!$B$8))/4)*'5. Scenarios'!$B$6/(1+ProductivityDefault*('5. Scenarios'!$B$11-1))+INDEX(BookOneOff,20)*$D25)</f>
        <v/>
      </c>
      <c r="I25" s="56" t="str">
        <f aca="false">IF(INDEX(BookTitle,20)="","",INDEX(BookTotal,20)*'5. Scenarios'!$C$6/(1+ProductivityDefault*('5. Scenarios'!$C$11-1)))</f>
        <v/>
      </c>
      <c r="J25" s="57" t="str">
        <f aca="false">IF($I25="","",INDEX(BookRate,20)*(1+'5. Scenarios'!$C$10)*$I25)</f>
        <v/>
      </c>
      <c r="K25" s="57" t="str">
        <f aca="false">IF($J25="","",SUMIFS($J$6:$J$2405,$A$6:$A$2405,"&lt;="&amp;$A25))</f>
        <v/>
      </c>
      <c r="L25" s="57" t="str">
        <f aca="false">IF($J25="","",IF($K25&lt;=BankCostEnvelope*'5. Scenarios'!$C$7,1,0))</f>
        <v/>
      </c>
      <c r="M25" s="57" t="str">
        <f aca="false">IF($I25="","",INDEX(BookRate,20)*(1+'5. Scenarios'!$C$10)*(INDEX(BookQ1,20)*(5-MIN(4,1+'5. Scenarios'!$C$8))/4+INDEX(BookQ2,20)*(5-MIN(4,2+'5. Scenarios'!$C$8))/4+INDEX(BookQ3,20)*(5-MIN(4,3+'5. Scenarios'!$C$8))/4+INDEX(BookQ4,20)*(5-MIN(4,4+'5. Scenarios'!$C$8))/4)*'5. Scenarios'!$C$6/(1+ProductivityDefault*('5. Scenarios'!$C$11-1))+INDEX(BookOneOff,20)*$I25)</f>
        <v/>
      </c>
      <c r="N25" s="56" t="str">
        <f aca="false">IF(INDEX(BookTitle,20)="","",INDEX(BookTotal,20)*'5. Scenarios'!$D$6/(1+ProductivityDefault*('5. Scenarios'!$D$11-1)))</f>
        <v/>
      </c>
      <c r="O25" s="57" t="str">
        <f aca="false">IF($N25="","",INDEX(BookRate,20)*(1+'5. Scenarios'!$D$10)*$N25)</f>
        <v/>
      </c>
      <c r="P25" s="57" t="str">
        <f aca="false">IF($O25="","",SUMIFS($O$6:$O$2405,$A$6:$A$2405,"&lt;="&amp;$A25))</f>
        <v/>
      </c>
      <c r="Q25" s="57" t="str">
        <f aca="false">IF($O25="","",IF($P25&lt;=BankCostEnvelope*'5. Scenarios'!$D$7,1,0))</f>
        <v/>
      </c>
      <c r="R25" s="57" t="str">
        <f aca="false">IF($N25="","",INDEX(BookRate,20)*(1+'5. Scenarios'!$D$10)*(INDEX(BookQ1,20)*(5-MIN(4,1+'5. Scenarios'!$D$8))/4+INDEX(BookQ2,20)*(5-MIN(4,2+'5. Scenarios'!$D$8))/4+INDEX(BookQ3,20)*(5-MIN(4,3+'5. Scenarios'!$D$8))/4+INDEX(BookQ4,20)*(5-MIN(4,4+'5. Scenarios'!$D$8))/4)*'5. Scenarios'!$D$6/(1+ProductivityDefault*('5. Scenarios'!$D$11-1))+INDEX(BookOneOff,20)*$N25)</f>
        <v/>
      </c>
      <c r="S25" s="56" t="str">
        <f aca="false">IF(INDEX(BookTitle,20)="","",INDEX(BookTotal,20)*'5. Scenarios'!$E$6/(1+ProductivityDefault*('5. Scenarios'!$E$11-1)))</f>
        <v/>
      </c>
      <c r="T25" s="57" t="str">
        <f aca="false">IF($S25="","",INDEX(BookRate,20)*(1+'5. Scenarios'!$E$10)*$S25)</f>
        <v/>
      </c>
      <c r="U25" s="57" t="str">
        <f aca="false">IF($T25="","",SUMIFS($T$6:$T$2405,$A$6:$A$2405,"&lt;="&amp;$A25))</f>
        <v/>
      </c>
      <c r="V25" s="57" t="str">
        <f aca="false">IF($T25="","",IF($U25&lt;=BankCostEnvelope*'5. Scenarios'!$E$7,1,0))</f>
        <v/>
      </c>
      <c r="W25" s="57" t="str">
        <f aca="false">IF($S25="","",INDEX(BookRate,20)*(1+'5. Scenarios'!$E$10)*(INDEX(BookQ1,20)*(5-MIN(4,1+'5. Scenarios'!$E$8))/4+INDEX(BookQ2,20)*(5-MIN(4,2+'5. Scenarios'!$E$8))/4+INDEX(BookQ3,20)*(5-MIN(4,3+'5. Scenarios'!$E$8))/4+INDEX(BookQ4,20)*(5-MIN(4,4+'5. Scenarios'!$E$8))/4)*'5. Scenarios'!$E$6/(1+ProductivityDefault*('5. Scenarios'!$E$11-1))+INDEX(BookOneOff,20)*$S25)</f>
        <v/>
      </c>
    </row>
    <row r="26" customFormat="false" ht="15" hidden="false" customHeight="false" outlineLevel="0" collapsed="false">
      <c r="A26" s="0" t="str">
        <f aca="false">IF(INDEX(BookTitle,21)="","",INDEX(BookKey,21))</f>
        <v/>
      </c>
      <c r="B26" s="0" t="str">
        <f aca="false">IF(INDEX(BookTitle,21)="","",INDEX(BookGroup,21))</f>
        <v/>
      </c>
      <c r="C26" s="0" t="str">
        <f aca="false">IF(INDEX(BookTitle,21)="","",INDEX(BookCategory,21))</f>
        <v/>
      </c>
      <c r="D26" s="56" t="str">
        <f aca="false">IF(INDEX(BookTitle,21)="","",INDEX(BookTotal,21)*'5. Scenarios'!$B$6/(1+ProductivityDefault*('5. Scenarios'!$B$11-1)))</f>
        <v/>
      </c>
      <c r="E26" s="57" t="str">
        <f aca="false">IF($D26="","",INDEX(BookRate,21)*(1+'5. Scenarios'!$B$10)*$D26)</f>
        <v/>
      </c>
      <c r="F26" s="57" t="str">
        <f aca="false">IF($E26="","",SUMIFS($E$6:$E$2405,$A$6:$A$2405,"&lt;="&amp;$A26))</f>
        <v/>
      </c>
      <c r="G26" s="57" t="str">
        <f aca="false">IF($E26="","",IF($F26&lt;=BankCostEnvelope*'5. Scenarios'!$B$7,1,0))</f>
        <v/>
      </c>
      <c r="H26" s="57" t="str">
        <f aca="false">IF($D26="","",INDEX(BookRate,21)*(1+'5. Scenarios'!$B$10)*(INDEX(BookQ1,21)*(5-MIN(4,1+'5. Scenarios'!$B$8))/4+INDEX(BookQ2,21)*(5-MIN(4,2+'5. Scenarios'!$B$8))/4+INDEX(BookQ3,21)*(5-MIN(4,3+'5. Scenarios'!$B$8))/4+INDEX(BookQ4,21)*(5-MIN(4,4+'5. Scenarios'!$B$8))/4)*'5. Scenarios'!$B$6/(1+ProductivityDefault*('5. Scenarios'!$B$11-1))+INDEX(BookOneOff,21)*$D26)</f>
        <v/>
      </c>
      <c r="I26" s="56" t="str">
        <f aca="false">IF(INDEX(BookTitle,21)="","",INDEX(BookTotal,21)*'5. Scenarios'!$C$6/(1+ProductivityDefault*('5. Scenarios'!$C$11-1)))</f>
        <v/>
      </c>
      <c r="J26" s="57" t="str">
        <f aca="false">IF($I26="","",INDEX(BookRate,21)*(1+'5. Scenarios'!$C$10)*$I26)</f>
        <v/>
      </c>
      <c r="K26" s="57" t="str">
        <f aca="false">IF($J26="","",SUMIFS($J$6:$J$2405,$A$6:$A$2405,"&lt;="&amp;$A26))</f>
        <v/>
      </c>
      <c r="L26" s="57" t="str">
        <f aca="false">IF($J26="","",IF($K26&lt;=BankCostEnvelope*'5. Scenarios'!$C$7,1,0))</f>
        <v/>
      </c>
      <c r="M26" s="57" t="str">
        <f aca="false">IF($I26="","",INDEX(BookRate,21)*(1+'5. Scenarios'!$C$10)*(INDEX(BookQ1,21)*(5-MIN(4,1+'5. Scenarios'!$C$8))/4+INDEX(BookQ2,21)*(5-MIN(4,2+'5. Scenarios'!$C$8))/4+INDEX(BookQ3,21)*(5-MIN(4,3+'5. Scenarios'!$C$8))/4+INDEX(BookQ4,21)*(5-MIN(4,4+'5. Scenarios'!$C$8))/4)*'5. Scenarios'!$C$6/(1+ProductivityDefault*('5. Scenarios'!$C$11-1))+INDEX(BookOneOff,21)*$I26)</f>
        <v/>
      </c>
      <c r="N26" s="56" t="str">
        <f aca="false">IF(INDEX(BookTitle,21)="","",INDEX(BookTotal,21)*'5. Scenarios'!$D$6/(1+ProductivityDefault*('5. Scenarios'!$D$11-1)))</f>
        <v/>
      </c>
      <c r="O26" s="57" t="str">
        <f aca="false">IF($N26="","",INDEX(BookRate,21)*(1+'5. Scenarios'!$D$10)*$N26)</f>
        <v/>
      </c>
      <c r="P26" s="57" t="str">
        <f aca="false">IF($O26="","",SUMIFS($O$6:$O$2405,$A$6:$A$2405,"&lt;="&amp;$A26))</f>
        <v/>
      </c>
      <c r="Q26" s="57" t="str">
        <f aca="false">IF($O26="","",IF($P26&lt;=BankCostEnvelope*'5. Scenarios'!$D$7,1,0))</f>
        <v/>
      </c>
      <c r="R26" s="57" t="str">
        <f aca="false">IF($N26="","",INDEX(BookRate,21)*(1+'5. Scenarios'!$D$10)*(INDEX(BookQ1,21)*(5-MIN(4,1+'5. Scenarios'!$D$8))/4+INDEX(BookQ2,21)*(5-MIN(4,2+'5. Scenarios'!$D$8))/4+INDEX(BookQ3,21)*(5-MIN(4,3+'5. Scenarios'!$D$8))/4+INDEX(BookQ4,21)*(5-MIN(4,4+'5. Scenarios'!$D$8))/4)*'5. Scenarios'!$D$6/(1+ProductivityDefault*('5. Scenarios'!$D$11-1))+INDEX(BookOneOff,21)*$N26)</f>
        <v/>
      </c>
      <c r="S26" s="56" t="str">
        <f aca="false">IF(INDEX(BookTitle,21)="","",INDEX(BookTotal,21)*'5. Scenarios'!$E$6/(1+ProductivityDefault*('5. Scenarios'!$E$11-1)))</f>
        <v/>
      </c>
      <c r="T26" s="57" t="str">
        <f aca="false">IF($S26="","",INDEX(BookRate,21)*(1+'5. Scenarios'!$E$10)*$S26)</f>
        <v/>
      </c>
      <c r="U26" s="57" t="str">
        <f aca="false">IF($T26="","",SUMIFS($T$6:$T$2405,$A$6:$A$2405,"&lt;="&amp;$A26))</f>
        <v/>
      </c>
      <c r="V26" s="57" t="str">
        <f aca="false">IF($T26="","",IF($U26&lt;=BankCostEnvelope*'5. Scenarios'!$E$7,1,0))</f>
        <v/>
      </c>
      <c r="W26" s="57" t="str">
        <f aca="false">IF($S26="","",INDEX(BookRate,21)*(1+'5. Scenarios'!$E$10)*(INDEX(BookQ1,21)*(5-MIN(4,1+'5. Scenarios'!$E$8))/4+INDEX(BookQ2,21)*(5-MIN(4,2+'5. Scenarios'!$E$8))/4+INDEX(BookQ3,21)*(5-MIN(4,3+'5. Scenarios'!$E$8))/4+INDEX(BookQ4,21)*(5-MIN(4,4+'5. Scenarios'!$E$8))/4)*'5. Scenarios'!$E$6/(1+ProductivityDefault*('5. Scenarios'!$E$11-1))+INDEX(BookOneOff,21)*$S26)</f>
        <v/>
      </c>
    </row>
    <row r="27" customFormat="false" ht="15" hidden="false" customHeight="false" outlineLevel="0" collapsed="false">
      <c r="A27" s="0" t="str">
        <f aca="false">IF(INDEX(BookTitle,22)="","",INDEX(BookKey,22))</f>
        <v/>
      </c>
      <c r="B27" s="0" t="str">
        <f aca="false">IF(INDEX(BookTitle,22)="","",INDEX(BookGroup,22))</f>
        <v/>
      </c>
      <c r="C27" s="0" t="str">
        <f aca="false">IF(INDEX(BookTitle,22)="","",INDEX(BookCategory,22))</f>
        <v/>
      </c>
      <c r="D27" s="56" t="str">
        <f aca="false">IF(INDEX(BookTitle,22)="","",INDEX(BookTotal,22)*'5. Scenarios'!$B$6/(1+ProductivityDefault*('5. Scenarios'!$B$11-1)))</f>
        <v/>
      </c>
      <c r="E27" s="57" t="str">
        <f aca="false">IF($D27="","",INDEX(BookRate,22)*(1+'5. Scenarios'!$B$10)*$D27)</f>
        <v/>
      </c>
      <c r="F27" s="57" t="str">
        <f aca="false">IF($E27="","",SUMIFS($E$6:$E$2405,$A$6:$A$2405,"&lt;="&amp;$A27))</f>
        <v/>
      </c>
      <c r="G27" s="57" t="str">
        <f aca="false">IF($E27="","",IF($F27&lt;=BankCostEnvelope*'5. Scenarios'!$B$7,1,0))</f>
        <v/>
      </c>
      <c r="H27" s="57" t="str">
        <f aca="false">IF($D27="","",INDEX(BookRate,22)*(1+'5. Scenarios'!$B$10)*(INDEX(BookQ1,22)*(5-MIN(4,1+'5. Scenarios'!$B$8))/4+INDEX(BookQ2,22)*(5-MIN(4,2+'5. Scenarios'!$B$8))/4+INDEX(BookQ3,22)*(5-MIN(4,3+'5. Scenarios'!$B$8))/4+INDEX(BookQ4,22)*(5-MIN(4,4+'5. Scenarios'!$B$8))/4)*'5. Scenarios'!$B$6/(1+ProductivityDefault*('5. Scenarios'!$B$11-1))+INDEX(BookOneOff,22)*$D27)</f>
        <v/>
      </c>
      <c r="I27" s="56" t="str">
        <f aca="false">IF(INDEX(BookTitle,22)="","",INDEX(BookTotal,22)*'5. Scenarios'!$C$6/(1+ProductivityDefault*('5. Scenarios'!$C$11-1)))</f>
        <v/>
      </c>
      <c r="J27" s="57" t="str">
        <f aca="false">IF($I27="","",INDEX(BookRate,22)*(1+'5. Scenarios'!$C$10)*$I27)</f>
        <v/>
      </c>
      <c r="K27" s="57" t="str">
        <f aca="false">IF($J27="","",SUMIFS($J$6:$J$2405,$A$6:$A$2405,"&lt;="&amp;$A27))</f>
        <v/>
      </c>
      <c r="L27" s="57" t="str">
        <f aca="false">IF($J27="","",IF($K27&lt;=BankCostEnvelope*'5. Scenarios'!$C$7,1,0))</f>
        <v/>
      </c>
      <c r="M27" s="57" t="str">
        <f aca="false">IF($I27="","",INDEX(BookRate,22)*(1+'5. Scenarios'!$C$10)*(INDEX(BookQ1,22)*(5-MIN(4,1+'5. Scenarios'!$C$8))/4+INDEX(BookQ2,22)*(5-MIN(4,2+'5. Scenarios'!$C$8))/4+INDEX(BookQ3,22)*(5-MIN(4,3+'5. Scenarios'!$C$8))/4+INDEX(BookQ4,22)*(5-MIN(4,4+'5. Scenarios'!$C$8))/4)*'5. Scenarios'!$C$6/(1+ProductivityDefault*('5. Scenarios'!$C$11-1))+INDEX(BookOneOff,22)*$I27)</f>
        <v/>
      </c>
      <c r="N27" s="56" t="str">
        <f aca="false">IF(INDEX(BookTitle,22)="","",INDEX(BookTotal,22)*'5. Scenarios'!$D$6/(1+ProductivityDefault*('5. Scenarios'!$D$11-1)))</f>
        <v/>
      </c>
      <c r="O27" s="57" t="str">
        <f aca="false">IF($N27="","",INDEX(BookRate,22)*(1+'5. Scenarios'!$D$10)*$N27)</f>
        <v/>
      </c>
      <c r="P27" s="57" t="str">
        <f aca="false">IF($O27="","",SUMIFS($O$6:$O$2405,$A$6:$A$2405,"&lt;="&amp;$A27))</f>
        <v/>
      </c>
      <c r="Q27" s="57" t="str">
        <f aca="false">IF($O27="","",IF($P27&lt;=BankCostEnvelope*'5. Scenarios'!$D$7,1,0))</f>
        <v/>
      </c>
      <c r="R27" s="57" t="str">
        <f aca="false">IF($N27="","",INDEX(BookRate,22)*(1+'5. Scenarios'!$D$10)*(INDEX(BookQ1,22)*(5-MIN(4,1+'5. Scenarios'!$D$8))/4+INDEX(BookQ2,22)*(5-MIN(4,2+'5. Scenarios'!$D$8))/4+INDEX(BookQ3,22)*(5-MIN(4,3+'5. Scenarios'!$D$8))/4+INDEX(BookQ4,22)*(5-MIN(4,4+'5. Scenarios'!$D$8))/4)*'5. Scenarios'!$D$6/(1+ProductivityDefault*('5. Scenarios'!$D$11-1))+INDEX(BookOneOff,22)*$N27)</f>
        <v/>
      </c>
      <c r="S27" s="56" t="str">
        <f aca="false">IF(INDEX(BookTitle,22)="","",INDEX(BookTotal,22)*'5. Scenarios'!$E$6/(1+ProductivityDefault*('5. Scenarios'!$E$11-1)))</f>
        <v/>
      </c>
      <c r="T27" s="57" t="str">
        <f aca="false">IF($S27="","",INDEX(BookRate,22)*(1+'5. Scenarios'!$E$10)*$S27)</f>
        <v/>
      </c>
      <c r="U27" s="57" t="str">
        <f aca="false">IF($T27="","",SUMIFS($T$6:$T$2405,$A$6:$A$2405,"&lt;="&amp;$A27))</f>
        <v/>
      </c>
      <c r="V27" s="57" t="str">
        <f aca="false">IF($T27="","",IF($U27&lt;=BankCostEnvelope*'5. Scenarios'!$E$7,1,0))</f>
        <v/>
      </c>
      <c r="W27" s="57" t="str">
        <f aca="false">IF($S27="","",INDEX(BookRate,22)*(1+'5. Scenarios'!$E$10)*(INDEX(BookQ1,22)*(5-MIN(4,1+'5. Scenarios'!$E$8))/4+INDEX(BookQ2,22)*(5-MIN(4,2+'5. Scenarios'!$E$8))/4+INDEX(BookQ3,22)*(5-MIN(4,3+'5. Scenarios'!$E$8))/4+INDEX(BookQ4,22)*(5-MIN(4,4+'5. Scenarios'!$E$8))/4)*'5. Scenarios'!$E$6/(1+ProductivityDefault*('5. Scenarios'!$E$11-1))+INDEX(BookOneOff,22)*$S27)</f>
        <v/>
      </c>
    </row>
    <row r="28" customFormat="false" ht="15" hidden="false" customHeight="false" outlineLevel="0" collapsed="false">
      <c r="A28" s="0" t="str">
        <f aca="false">IF(INDEX(BookTitle,23)="","",INDEX(BookKey,23))</f>
        <v/>
      </c>
      <c r="B28" s="0" t="str">
        <f aca="false">IF(INDEX(BookTitle,23)="","",INDEX(BookGroup,23))</f>
        <v/>
      </c>
      <c r="C28" s="0" t="str">
        <f aca="false">IF(INDEX(BookTitle,23)="","",INDEX(BookCategory,23))</f>
        <v/>
      </c>
      <c r="D28" s="56" t="str">
        <f aca="false">IF(INDEX(BookTitle,23)="","",INDEX(BookTotal,23)*'5. Scenarios'!$B$6/(1+ProductivityDefault*('5. Scenarios'!$B$11-1)))</f>
        <v/>
      </c>
      <c r="E28" s="57" t="str">
        <f aca="false">IF($D28="","",INDEX(BookRate,23)*(1+'5. Scenarios'!$B$10)*$D28)</f>
        <v/>
      </c>
      <c r="F28" s="57" t="str">
        <f aca="false">IF($E28="","",SUMIFS($E$6:$E$2405,$A$6:$A$2405,"&lt;="&amp;$A28))</f>
        <v/>
      </c>
      <c r="G28" s="57" t="str">
        <f aca="false">IF($E28="","",IF($F28&lt;=BankCostEnvelope*'5. Scenarios'!$B$7,1,0))</f>
        <v/>
      </c>
      <c r="H28" s="57" t="str">
        <f aca="false">IF($D28="","",INDEX(BookRate,23)*(1+'5. Scenarios'!$B$10)*(INDEX(BookQ1,23)*(5-MIN(4,1+'5. Scenarios'!$B$8))/4+INDEX(BookQ2,23)*(5-MIN(4,2+'5. Scenarios'!$B$8))/4+INDEX(BookQ3,23)*(5-MIN(4,3+'5. Scenarios'!$B$8))/4+INDEX(BookQ4,23)*(5-MIN(4,4+'5. Scenarios'!$B$8))/4)*'5. Scenarios'!$B$6/(1+ProductivityDefault*('5. Scenarios'!$B$11-1))+INDEX(BookOneOff,23)*$D28)</f>
        <v/>
      </c>
      <c r="I28" s="56" t="str">
        <f aca="false">IF(INDEX(BookTitle,23)="","",INDEX(BookTotal,23)*'5. Scenarios'!$C$6/(1+ProductivityDefault*('5. Scenarios'!$C$11-1)))</f>
        <v/>
      </c>
      <c r="J28" s="57" t="str">
        <f aca="false">IF($I28="","",INDEX(BookRate,23)*(1+'5. Scenarios'!$C$10)*$I28)</f>
        <v/>
      </c>
      <c r="K28" s="57" t="str">
        <f aca="false">IF($J28="","",SUMIFS($J$6:$J$2405,$A$6:$A$2405,"&lt;="&amp;$A28))</f>
        <v/>
      </c>
      <c r="L28" s="57" t="str">
        <f aca="false">IF($J28="","",IF($K28&lt;=BankCostEnvelope*'5. Scenarios'!$C$7,1,0))</f>
        <v/>
      </c>
      <c r="M28" s="57" t="str">
        <f aca="false">IF($I28="","",INDEX(BookRate,23)*(1+'5. Scenarios'!$C$10)*(INDEX(BookQ1,23)*(5-MIN(4,1+'5. Scenarios'!$C$8))/4+INDEX(BookQ2,23)*(5-MIN(4,2+'5. Scenarios'!$C$8))/4+INDEX(BookQ3,23)*(5-MIN(4,3+'5. Scenarios'!$C$8))/4+INDEX(BookQ4,23)*(5-MIN(4,4+'5. Scenarios'!$C$8))/4)*'5. Scenarios'!$C$6/(1+ProductivityDefault*('5. Scenarios'!$C$11-1))+INDEX(BookOneOff,23)*$I28)</f>
        <v/>
      </c>
      <c r="N28" s="56" t="str">
        <f aca="false">IF(INDEX(BookTitle,23)="","",INDEX(BookTotal,23)*'5. Scenarios'!$D$6/(1+ProductivityDefault*('5. Scenarios'!$D$11-1)))</f>
        <v/>
      </c>
      <c r="O28" s="57" t="str">
        <f aca="false">IF($N28="","",INDEX(BookRate,23)*(1+'5. Scenarios'!$D$10)*$N28)</f>
        <v/>
      </c>
      <c r="P28" s="57" t="str">
        <f aca="false">IF($O28="","",SUMIFS($O$6:$O$2405,$A$6:$A$2405,"&lt;="&amp;$A28))</f>
        <v/>
      </c>
      <c r="Q28" s="57" t="str">
        <f aca="false">IF($O28="","",IF($P28&lt;=BankCostEnvelope*'5. Scenarios'!$D$7,1,0))</f>
        <v/>
      </c>
      <c r="R28" s="57" t="str">
        <f aca="false">IF($N28="","",INDEX(BookRate,23)*(1+'5. Scenarios'!$D$10)*(INDEX(BookQ1,23)*(5-MIN(4,1+'5. Scenarios'!$D$8))/4+INDEX(BookQ2,23)*(5-MIN(4,2+'5. Scenarios'!$D$8))/4+INDEX(BookQ3,23)*(5-MIN(4,3+'5. Scenarios'!$D$8))/4+INDEX(BookQ4,23)*(5-MIN(4,4+'5. Scenarios'!$D$8))/4)*'5. Scenarios'!$D$6/(1+ProductivityDefault*('5. Scenarios'!$D$11-1))+INDEX(BookOneOff,23)*$N28)</f>
        <v/>
      </c>
      <c r="S28" s="56" t="str">
        <f aca="false">IF(INDEX(BookTitle,23)="","",INDEX(BookTotal,23)*'5. Scenarios'!$E$6/(1+ProductivityDefault*('5. Scenarios'!$E$11-1)))</f>
        <v/>
      </c>
      <c r="T28" s="57" t="str">
        <f aca="false">IF($S28="","",INDEX(BookRate,23)*(1+'5. Scenarios'!$E$10)*$S28)</f>
        <v/>
      </c>
      <c r="U28" s="57" t="str">
        <f aca="false">IF($T28="","",SUMIFS($T$6:$T$2405,$A$6:$A$2405,"&lt;="&amp;$A28))</f>
        <v/>
      </c>
      <c r="V28" s="57" t="str">
        <f aca="false">IF($T28="","",IF($U28&lt;=BankCostEnvelope*'5. Scenarios'!$E$7,1,0))</f>
        <v/>
      </c>
      <c r="W28" s="57" t="str">
        <f aca="false">IF($S28="","",INDEX(BookRate,23)*(1+'5. Scenarios'!$E$10)*(INDEX(BookQ1,23)*(5-MIN(4,1+'5. Scenarios'!$E$8))/4+INDEX(BookQ2,23)*(5-MIN(4,2+'5. Scenarios'!$E$8))/4+INDEX(BookQ3,23)*(5-MIN(4,3+'5. Scenarios'!$E$8))/4+INDEX(BookQ4,23)*(5-MIN(4,4+'5. Scenarios'!$E$8))/4)*'5. Scenarios'!$E$6/(1+ProductivityDefault*('5. Scenarios'!$E$11-1))+INDEX(BookOneOff,23)*$S28)</f>
        <v/>
      </c>
    </row>
    <row r="29" customFormat="false" ht="15" hidden="false" customHeight="false" outlineLevel="0" collapsed="false">
      <c r="A29" s="0" t="str">
        <f aca="false">IF(INDEX(BookTitle,24)="","",INDEX(BookKey,24))</f>
        <v/>
      </c>
      <c r="B29" s="0" t="str">
        <f aca="false">IF(INDEX(BookTitle,24)="","",INDEX(BookGroup,24))</f>
        <v/>
      </c>
      <c r="C29" s="0" t="str">
        <f aca="false">IF(INDEX(BookTitle,24)="","",INDEX(BookCategory,24))</f>
        <v/>
      </c>
      <c r="D29" s="56" t="str">
        <f aca="false">IF(INDEX(BookTitle,24)="","",INDEX(BookTotal,24)*'5. Scenarios'!$B$6/(1+ProductivityDefault*('5. Scenarios'!$B$11-1)))</f>
        <v/>
      </c>
      <c r="E29" s="57" t="str">
        <f aca="false">IF($D29="","",INDEX(BookRate,24)*(1+'5. Scenarios'!$B$10)*$D29)</f>
        <v/>
      </c>
      <c r="F29" s="57" t="str">
        <f aca="false">IF($E29="","",SUMIFS($E$6:$E$2405,$A$6:$A$2405,"&lt;="&amp;$A29))</f>
        <v/>
      </c>
      <c r="G29" s="57" t="str">
        <f aca="false">IF($E29="","",IF($F29&lt;=BankCostEnvelope*'5. Scenarios'!$B$7,1,0))</f>
        <v/>
      </c>
      <c r="H29" s="57" t="str">
        <f aca="false">IF($D29="","",INDEX(BookRate,24)*(1+'5. Scenarios'!$B$10)*(INDEX(BookQ1,24)*(5-MIN(4,1+'5. Scenarios'!$B$8))/4+INDEX(BookQ2,24)*(5-MIN(4,2+'5. Scenarios'!$B$8))/4+INDEX(BookQ3,24)*(5-MIN(4,3+'5. Scenarios'!$B$8))/4+INDEX(BookQ4,24)*(5-MIN(4,4+'5. Scenarios'!$B$8))/4)*'5. Scenarios'!$B$6/(1+ProductivityDefault*('5. Scenarios'!$B$11-1))+INDEX(BookOneOff,24)*$D29)</f>
        <v/>
      </c>
      <c r="I29" s="56" t="str">
        <f aca="false">IF(INDEX(BookTitle,24)="","",INDEX(BookTotal,24)*'5. Scenarios'!$C$6/(1+ProductivityDefault*('5. Scenarios'!$C$11-1)))</f>
        <v/>
      </c>
      <c r="J29" s="57" t="str">
        <f aca="false">IF($I29="","",INDEX(BookRate,24)*(1+'5. Scenarios'!$C$10)*$I29)</f>
        <v/>
      </c>
      <c r="K29" s="57" t="str">
        <f aca="false">IF($J29="","",SUMIFS($J$6:$J$2405,$A$6:$A$2405,"&lt;="&amp;$A29))</f>
        <v/>
      </c>
      <c r="L29" s="57" t="str">
        <f aca="false">IF($J29="","",IF($K29&lt;=BankCostEnvelope*'5. Scenarios'!$C$7,1,0))</f>
        <v/>
      </c>
      <c r="M29" s="57" t="str">
        <f aca="false">IF($I29="","",INDEX(BookRate,24)*(1+'5. Scenarios'!$C$10)*(INDEX(BookQ1,24)*(5-MIN(4,1+'5. Scenarios'!$C$8))/4+INDEX(BookQ2,24)*(5-MIN(4,2+'5. Scenarios'!$C$8))/4+INDEX(BookQ3,24)*(5-MIN(4,3+'5. Scenarios'!$C$8))/4+INDEX(BookQ4,24)*(5-MIN(4,4+'5. Scenarios'!$C$8))/4)*'5. Scenarios'!$C$6/(1+ProductivityDefault*('5. Scenarios'!$C$11-1))+INDEX(BookOneOff,24)*$I29)</f>
        <v/>
      </c>
      <c r="N29" s="56" t="str">
        <f aca="false">IF(INDEX(BookTitle,24)="","",INDEX(BookTotal,24)*'5. Scenarios'!$D$6/(1+ProductivityDefault*('5. Scenarios'!$D$11-1)))</f>
        <v/>
      </c>
      <c r="O29" s="57" t="str">
        <f aca="false">IF($N29="","",INDEX(BookRate,24)*(1+'5. Scenarios'!$D$10)*$N29)</f>
        <v/>
      </c>
      <c r="P29" s="57" t="str">
        <f aca="false">IF($O29="","",SUMIFS($O$6:$O$2405,$A$6:$A$2405,"&lt;="&amp;$A29))</f>
        <v/>
      </c>
      <c r="Q29" s="57" t="str">
        <f aca="false">IF($O29="","",IF($P29&lt;=BankCostEnvelope*'5. Scenarios'!$D$7,1,0))</f>
        <v/>
      </c>
      <c r="R29" s="57" t="str">
        <f aca="false">IF($N29="","",INDEX(BookRate,24)*(1+'5. Scenarios'!$D$10)*(INDEX(BookQ1,24)*(5-MIN(4,1+'5. Scenarios'!$D$8))/4+INDEX(BookQ2,24)*(5-MIN(4,2+'5. Scenarios'!$D$8))/4+INDEX(BookQ3,24)*(5-MIN(4,3+'5. Scenarios'!$D$8))/4+INDEX(BookQ4,24)*(5-MIN(4,4+'5. Scenarios'!$D$8))/4)*'5. Scenarios'!$D$6/(1+ProductivityDefault*('5. Scenarios'!$D$11-1))+INDEX(BookOneOff,24)*$N29)</f>
        <v/>
      </c>
      <c r="S29" s="56" t="str">
        <f aca="false">IF(INDEX(BookTitle,24)="","",INDEX(BookTotal,24)*'5. Scenarios'!$E$6/(1+ProductivityDefault*('5. Scenarios'!$E$11-1)))</f>
        <v/>
      </c>
      <c r="T29" s="57" t="str">
        <f aca="false">IF($S29="","",INDEX(BookRate,24)*(1+'5. Scenarios'!$E$10)*$S29)</f>
        <v/>
      </c>
      <c r="U29" s="57" t="str">
        <f aca="false">IF($T29="","",SUMIFS($T$6:$T$2405,$A$6:$A$2405,"&lt;="&amp;$A29))</f>
        <v/>
      </c>
      <c r="V29" s="57" t="str">
        <f aca="false">IF($T29="","",IF($U29&lt;=BankCostEnvelope*'5. Scenarios'!$E$7,1,0))</f>
        <v/>
      </c>
      <c r="W29" s="57" t="str">
        <f aca="false">IF($S29="","",INDEX(BookRate,24)*(1+'5. Scenarios'!$E$10)*(INDEX(BookQ1,24)*(5-MIN(4,1+'5. Scenarios'!$E$8))/4+INDEX(BookQ2,24)*(5-MIN(4,2+'5. Scenarios'!$E$8))/4+INDEX(BookQ3,24)*(5-MIN(4,3+'5. Scenarios'!$E$8))/4+INDEX(BookQ4,24)*(5-MIN(4,4+'5. Scenarios'!$E$8))/4)*'5. Scenarios'!$E$6/(1+ProductivityDefault*('5. Scenarios'!$E$11-1))+INDEX(BookOneOff,24)*$S29)</f>
        <v/>
      </c>
    </row>
    <row r="30" customFormat="false" ht="15" hidden="false" customHeight="false" outlineLevel="0" collapsed="false">
      <c r="A30" s="0" t="str">
        <f aca="false">IF(INDEX(BookTitle,25)="","",INDEX(BookKey,25))</f>
        <v/>
      </c>
      <c r="B30" s="0" t="str">
        <f aca="false">IF(INDEX(BookTitle,25)="","",INDEX(BookGroup,25))</f>
        <v/>
      </c>
      <c r="C30" s="0" t="str">
        <f aca="false">IF(INDEX(BookTitle,25)="","",INDEX(BookCategory,25))</f>
        <v/>
      </c>
      <c r="D30" s="56" t="str">
        <f aca="false">IF(INDEX(BookTitle,25)="","",INDEX(BookTotal,25)*'5. Scenarios'!$B$6/(1+ProductivityDefault*('5. Scenarios'!$B$11-1)))</f>
        <v/>
      </c>
      <c r="E30" s="57" t="str">
        <f aca="false">IF($D30="","",INDEX(BookRate,25)*(1+'5. Scenarios'!$B$10)*$D30)</f>
        <v/>
      </c>
      <c r="F30" s="57" t="str">
        <f aca="false">IF($E30="","",SUMIFS($E$6:$E$2405,$A$6:$A$2405,"&lt;="&amp;$A30))</f>
        <v/>
      </c>
      <c r="G30" s="57" t="str">
        <f aca="false">IF($E30="","",IF($F30&lt;=BankCostEnvelope*'5. Scenarios'!$B$7,1,0))</f>
        <v/>
      </c>
      <c r="H30" s="57" t="str">
        <f aca="false">IF($D30="","",INDEX(BookRate,25)*(1+'5. Scenarios'!$B$10)*(INDEX(BookQ1,25)*(5-MIN(4,1+'5. Scenarios'!$B$8))/4+INDEX(BookQ2,25)*(5-MIN(4,2+'5. Scenarios'!$B$8))/4+INDEX(BookQ3,25)*(5-MIN(4,3+'5. Scenarios'!$B$8))/4+INDEX(BookQ4,25)*(5-MIN(4,4+'5. Scenarios'!$B$8))/4)*'5. Scenarios'!$B$6/(1+ProductivityDefault*('5. Scenarios'!$B$11-1))+INDEX(BookOneOff,25)*$D30)</f>
        <v/>
      </c>
      <c r="I30" s="56" t="str">
        <f aca="false">IF(INDEX(BookTitle,25)="","",INDEX(BookTotal,25)*'5. Scenarios'!$C$6/(1+ProductivityDefault*('5. Scenarios'!$C$11-1)))</f>
        <v/>
      </c>
      <c r="J30" s="57" t="str">
        <f aca="false">IF($I30="","",INDEX(BookRate,25)*(1+'5. Scenarios'!$C$10)*$I30)</f>
        <v/>
      </c>
      <c r="K30" s="57" t="str">
        <f aca="false">IF($J30="","",SUMIFS($J$6:$J$2405,$A$6:$A$2405,"&lt;="&amp;$A30))</f>
        <v/>
      </c>
      <c r="L30" s="57" t="str">
        <f aca="false">IF($J30="","",IF($K30&lt;=BankCostEnvelope*'5. Scenarios'!$C$7,1,0))</f>
        <v/>
      </c>
      <c r="M30" s="57" t="str">
        <f aca="false">IF($I30="","",INDEX(BookRate,25)*(1+'5. Scenarios'!$C$10)*(INDEX(BookQ1,25)*(5-MIN(4,1+'5. Scenarios'!$C$8))/4+INDEX(BookQ2,25)*(5-MIN(4,2+'5. Scenarios'!$C$8))/4+INDEX(BookQ3,25)*(5-MIN(4,3+'5. Scenarios'!$C$8))/4+INDEX(BookQ4,25)*(5-MIN(4,4+'5. Scenarios'!$C$8))/4)*'5. Scenarios'!$C$6/(1+ProductivityDefault*('5. Scenarios'!$C$11-1))+INDEX(BookOneOff,25)*$I30)</f>
        <v/>
      </c>
      <c r="N30" s="56" t="str">
        <f aca="false">IF(INDEX(BookTitle,25)="","",INDEX(BookTotal,25)*'5. Scenarios'!$D$6/(1+ProductivityDefault*('5. Scenarios'!$D$11-1)))</f>
        <v/>
      </c>
      <c r="O30" s="57" t="str">
        <f aca="false">IF($N30="","",INDEX(BookRate,25)*(1+'5. Scenarios'!$D$10)*$N30)</f>
        <v/>
      </c>
      <c r="P30" s="57" t="str">
        <f aca="false">IF($O30="","",SUMIFS($O$6:$O$2405,$A$6:$A$2405,"&lt;="&amp;$A30))</f>
        <v/>
      </c>
      <c r="Q30" s="57" t="str">
        <f aca="false">IF($O30="","",IF($P30&lt;=BankCostEnvelope*'5. Scenarios'!$D$7,1,0))</f>
        <v/>
      </c>
      <c r="R30" s="57" t="str">
        <f aca="false">IF($N30="","",INDEX(BookRate,25)*(1+'5. Scenarios'!$D$10)*(INDEX(BookQ1,25)*(5-MIN(4,1+'5. Scenarios'!$D$8))/4+INDEX(BookQ2,25)*(5-MIN(4,2+'5. Scenarios'!$D$8))/4+INDEX(BookQ3,25)*(5-MIN(4,3+'5. Scenarios'!$D$8))/4+INDEX(BookQ4,25)*(5-MIN(4,4+'5. Scenarios'!$D$8))/4)*'5. Scenarios'!$D$6/(1+ProductivityDefault*('5. Scenarios'!$D$11-1))+INDEX(BookOneOff,25)*$N30)</f>
        <v/>
      </c>
      <c r="S30" s="56" t="str">
        <f aca="false">IF(INDEX(BookTitle,25)="","",INDEX(BookTotal,25)*'5. Scenarios'!$E$6/(1+ProductivityDefault*('5. Scenarios'!$E$11-1)))</f>
        <v/>
      </c>
      <c r="T30" s="57" t="str">
        <f aca="false">IF($S30="","",INDEX(BookRate,25)*(1+'5. Scenarios'!$E$10)*$S30)</f>
        <v/>
      </c>
      <c r="U30" s="57" t="str">
        <f aca="false">IF($T30="","",SUMIFS($T$6:$T$2405,$A$6:$A$2405,"&lt;="&amp;$A30))</f>
        <v/>
      </c>
      <c r="V30" s="57" t="str">
        <f aca="false">IF($T30="","",IF($U30&lt;=BankCostEnvelope*'5. Scenarios'!$E$7,1,0))</f>
        <v/>
      </c>
      <c r="W30" s="57" t="str">
        <f aca="false">IF($S30="","",INDEX(BookRate,25)*(1+'5. Scenarios'!$E$10)*(INDEX(BookQ1,25)*(5-MIN(4,1+'5. Scenarios'!$E$8))/4+INDEX(BookQ2,25)*(5-MIN(4,2+'5. Scenarios'!$E$8))/4+INDEX(BookQ3,25)*(5-MIN(4,3+'5. Scenarios'!$E$8))/4+INDEX(BookQ4,25)*(5-MIN(4,4+'5. Scenarios'!$E$8))/4)*'5. Scenarios'!$E$6/(1+ProductivityDefault*('5. Scenarios'!$E$11-1))+INDEX(BookOneOff,25)*$S30)</f>
        <v/>
      </c>
    </row>
    <row r="31" customFormat="false" ht="15" hidden="false" customHeight="false" outlineLevel="0" collapsed="false">
      <c r="A31" s="0" t="str">
        <f aca="false">IF(INDEX(BookTitle,26)="","",INDEX(BookKey,26))</f>
        <v/>
      </c>
      <c r="B31" s="0" t="str">
        <f aca="false">IF(INDEX(BookTitle,26)="","",INDEX(BookGroup,26))</f>
        <v/>
      </c>
      <c r="C31" s="0" t="str">
        <f aca="false">IF(INDEX(BookTitle,26)="","",INDEX(BookCategory,26))</f>
        <v/>
      </c>
      <c r="D31" s="56" t="str">
        <f aca="false">IF(INDEX(BookTitle,26)="","",INDEX(BookTotal,26)*'5. Scenarios'!$B$6/(1+ProductivityDefault*('5. Scenarios'!$B$11-1)))</f>
        <v/>
      </c>
      <c r="E31" s="57" t="str">
        <f aca="false">IF($D31="","",INDEX(BookRate,26)*(1+'5. Scenarios'!$B$10)*$D31)</f>
        <v/>
      </c>
      <c r="F31" s="57" t="str">
        <f aca="false">IF($E31="","",SUMIFS($E$6:$E$2405,$A$6:$A$2405,"&lt;="&amp;$A31))</f>
        <v/>
      </c>
      <c r="G31" s="57" t="str">
        <f aca="false">IF($E31="","",IF($F31&lt;=BankCostEnvelope*'5. Scenarios'!$B$7,1,0))</f>
        <v/>
      </c>
      <c r="H31" s="57" t="str">
        <f aca="false">IF($D31="","",INDEX(BookRate,26)*(1+'5. Scenarios'!$B$10)*(INDEX(BookQ1,26)*(5-MIN(4,1+'5. Scenarios'!$B$8))/4+INDEX(BookQ2,26)*(5-MIN(4,2+'5. Scenarios'!$B$8))/4+INDEX(BookQ3,26)*(5-MIN(4,3+'5. Scenarios'!$B$8))/4+INDEX(BookQ4,26)*(5-MIN(4,4+'5. Scenarios'!$B$8))/4)*'5. Scenarios'!$B$6/(1+ProductivityDefault*('5. Scenarios'!$B$11-1))+INDEX(BookOneOff,26)*$D31)</f>
        <v/>
      </c>
      <c r="I31" s="56" t="str">
        <f aca="false">IF(INDEX(BookTitle,26)="","",INDEX(BookTotal,26)*'5. Scenarios'!$C$6/(1+ProductivityDefault*('5. Scenarios'!$C$11-1)))</f>
        <v/>
      </c>
      <c r="J31" s="57" t="str">
        <f aca="false">IF($I31="","",INDEX(BookRate,26)*(1+'5. Scenarios'!$C$10)*$I31)</f>
        <v/>
      </c>
      <c r="K31" s="57" t="str">
        <f aca="false">IF($J31="","",SUMIFS($J$6:$J$2405,$A$6:$A$2405,"&lt;="&amp;$A31))</f>
        <v/>
      </c>
      <c r="L31" s="57" t="str">
        <f aca="false">IF($J31="","",IF($K31&lt;=BankCostEnvelope*'5. Scenarios'!$C$7,1,0))</f>
        <v/>
      </c>
      <c r="M31" s="57" t="str">
        <f aca="false">IF($I31="","",INDEX(BookRate,26)*(1+'5. Scenarios'!$C$10)*(INDEX(BookQ1,26)*(5-MIN(4,1+'5. Scenarios'!$C$8))/4+INDEX(BookQ2,26)*(5-MIN(4,2+'5. Scenarios'!$C$8))/4+INDEX(BookQ3,26)*(5-MIN(4,3+'5. Scenarios'!$C$8))/4+INDEX(BookQ4,26)*(5-MIN(4,4+'5. Scenarios'!$C$8))/4)*'5. Scenarios'!$C$6/(1+ProductivityDefault*('5. Scenarios'!$C$11-1))+INDEX(BookOneOff,26)*$I31)</f>
        <v/>
      </c>
      <c r="N31" s="56" t="str">
        <f aca="false">IF(INDEX(BookTitle,26)="","",INDEX(BookTotal,26)*'5. Scenarios'!$D$6/(1+ProductivityDefault*('5. Scenarios'!$D$11-1)))</f>
        <v/>
      </c>
      <c r="O31" s="57" t="str">
        <f aca="false">IF($N31="","",INDEX(BookRate,26)*(1+'5. Scenarios'!$D$10)*$N31)</f>
        <v/>
      </c>
      <c r="P31" s="57" t="str">
        <f aca="false">IF($O31="","",SUMIFS($O$6:$O$2405,$A$6:$A$2405,"&lt;="&amp;$A31))</f>
        <v/>
      </c>
      <c r="Q31" s="57" t="str">
        <f aca="false">IF($O31="","",IF($P31&lt;=BankCostEnvelope*'5. Scenarios'!$D$7,1,0))</f>
        <v/>
      </c>
      <c r="R31" s="57" t="str">
        <f aca="false">IF($N31="","",INDEX(BookRate,26)*(1+'5. Scenarios'!$D$10)*(INDEX(BookQ1,26)*(5-MIN(4,1+'5. Scenarios'!$D$8))/4+INDEX(BookQ2,26)*(5-MIN(4,2+'5. Scenarios'!$D$8))/4+INDEX(BookQ3,26)*(5-MIN(4,3+'5. Scenarios'!$D$8))/4+INDEX(BookQ4,26)*(5-MIN(4,4+'5. Scenarios'!$D$8))/4)*'5. Scenarios'!$D$6/(1+ProductivityDefault*('5. Scenarios'!$D$11-1))+INDEX(BookOneOff,26)*$N31)</f>
        <v/>
      </c>
      <c r="S31" s="56" t="str">
        <f aca="false">IF(INDEX(BookTitle,26)="","",INDEX(BookTotal,26)*'5. Scenarios'!$E$6/(1+ProductivityDefault*('5. Scenarios'!$E$11-1)))</f>
        <v/>
      </c>
      <c r="T31" s="57" t="str">
        <f aca="false">IF($S31="","",INDEX(BookRate,26)*(1+'5. Scenarios'!$E$10)*$S31)</f>
        <v/>
      </c>
      <c r="U31" s="57" t="str">
        <f aca="false">IF($T31="","",SUMIFS($T$6:$T$2405,$A$6:$A$2405,"&lt;="&amp;$A31))</f>
        <v/>
      </c>
      <c r="V31" s="57" t="str">
        <f aca="false">IF($T31="","",IF($U31&lt;=BankCostEnvelope*'5. Scenarios'!$E$7,1,0))</f>
        <v/>
      </c>
      <c r="W31" s="57" t="str">
        <f aca="false">IF($S31="","",INDEX(BookRate,26)*(1+'5. Scenarios'!$E$10)*(INDEX(BookQ1,26)*(5-MIN(4,1+'5. Scenarios'!$E$8))/4+INDEX(BookQ2,26)*(5-MIN(4,2+'5. Scenarios'!$E$8))/4+INDEX(BookQ3,26)*(5-MIN(4,3+'5. Scenarios'!$E$8))/4+INDEX(BookQ4,26)*(5-MIN(4,4+'5. Scenarios'!$E$8))/4)*'5. Scenarios'!$E$6/(1+ProductivityDefault*('5. Scenarios'!$E$11-1))+INDEX(BookOneOff,26)*$S31)</f>
        <v/>
      </c>
    </row>
    <row r="32" customFormat="false" ht="15" hidden="false" customHeight="false" outlineLevel="0" collapsed="false">
      <c r="A32" s="0" t="str">
        <f aca="false">IF(INDEX(BookTitle,27)="","",INDEX(BookKey,27))</f>
        <v/>
      </c>
      <c r="B32" s="0" t="str">
        <f aca="false">IF(INDEX(BookTitle,27)="","",INDEX(BookGroup,27))</f>
        <v/>
      </c>
      <c r="C32" s="0" t="str">
        <f aca="false">IF(INDEX(BookTitle,27)="","",INDEX(BookCategory,27))</f>
        <v/>
      </c>
      <c r="D32" s="56" t="str">
        <f aca="false">IF(INDEX(BookTitle,27)="","",INDEX(BookTotal,27)*'5. Scenarios'!$B$6/(1+ProductivityDefault*('5. Scenarios'!$B$11-1)))</f>
        <v/>
      </c>
      <c r="E32" s="57" t="str">
        <f aca="false">IF($D32="","",INDEX(BookRate,27)*(1+'5. Scenarios'!$B$10)*$D32)</f>
        <v/>
      </c>
      <c r="F32" s="57" t="str">
        <f aca="false">IF($E32="","",SUMIFS($E$6:$E$2405,$A$6:$A$2405,"&lt;="&amp;$A32))</f>
        <v/>
      </c>
      <c r="G32" s="57" t="str">
        <f aca="false">IF($E32="","",IF($F32&lt;=BankCostEnvelope*'5. Scenarios'!$B$7,1,0))</f>
        <v/>
      </c>
      <c r="H32" s="57" t="str">
        <f aca="false">IF($D32="","",INDEX(BookRate,27)*(1+'5. Scenarios'!$B$10)*(INDEX(BookQ1,27)*(5-MIN(4,1+'5. Scenarios'!$B$8))/4+INDEX(BookQ2,27)*(5-MIN(4,2+'5. Scenarios'!$B$8))/4+INDEX(BookQ3,27)*(5-MIN(4,3+'5. Scenarios'!$B$8))/4+INDEX(BookQ4,27)*(5-MIN(4,4+'5. Scenarios'!$B$8))/4)*'5. Scenarios'!$B$6/(1+ProductivityDefault*('5. Scenarios'!$B$11-1))+INDEX(BookOneOff,27)*$D32)</f>
        <v/>
      </c>
      <c r="I32" s="56" t="str">
        <f aca="false">IF(INDEX(BookTitle,27)="","",INDEX(BookTotal,27)*'5. Scenarios'!$C$6/(1+ProductivityDefault*('5. Scenarios'!$C$11-1)))</f>
        <v/>
      </c>
      <c r="J32" s="57" t="str">
        <f aca="false">IF($I32="","",INDEX(BookRate,27)*(1+'5. Scenarios'!$C$10)*$I32)</f>
        <v/>
      </c>
      <c r="K32" s="57" t="str">
        <f aca="false">IF($J32="","",SUMIFS($J$6:$J$2405,$A$6:$A$2405,"&lt;="&amp;$A32))</f>
        <v/>
      </c>
      <c r="L32" s="57" t="str">
        <f aca="false">IF($J32="","",IF($K32&lt;=BankCostEnvelope*'5. Scenarios'!$C$7,1,0))</f>
        <v/>
      </c>
      <c r="M32" s="57" t="str">
        <f aca="false">IF($I32="","",INDEX(BookRate,27)*(1+'5. Scenarios'!$C$10)*(INDEX(BookQ1,27)*(5-MIN(4,1+'5. Scenarios'!$C$8))/4+INDEX(BookQ2,27)*(5-MIN(4,2+'5. Scenarios'!$C$8))/4+INDEX(BookQ3,27)*(5-MIN(4,3+'5. Scenarios'!$C$8))/4+INDEX(BookQ4,27)*(5-MIN(4,4+'5. Scenarios'!$C$8))/4)*'5. Scenarios'!$C$6/(1+ProductivityDefault*('5. Scenarios'!$C$11-1))+INDEX(BookOneOff,27)*$I32)</f>
        <v/>
      </c>
      <c r="N32" s="56" t="str">
        <f aca="false">IF(INDEX(BookTitle,27)="","",INDEX(BookTotal,27)*'5. Scenarios'!$D$6/(1+ProductivityDefault*('5. Scenarios'!$D$11-1)))</f>
        <v/>
      </c>
      <c r="O32" s="57" t="str">
        <f aca="false">IF($N32="","",INDEX(BookRate,27)*(1+'5. Scenarios'!$D$10)*$N32)</f>
        <v/>
      </c>
      <c r="P32" s="57" t="str">
        <f aca="false">IF($O32="","",SUMIFS($O$6:$O$2405,$A$6:$A$2405,"&lt;="&amp;$A32))</f>
        <v/>
      </c>
      <c r="Q32" s="57" t="str">
        <f aca="false">IF($O32="","",IF($P32&lt;=BankCostEnvelope*'5. Scenarios'!$D$7,1,0))</f>
        <v/>
      </c>
      <c r="R32" s="57" t="str">
        <f aca="false">IF($N32="","",INDEX(BookRate,27)*(1+'5. Scenarios'!$D$10)*(INDEX(BookQ1,27)*(5-MIN(4,1+'5. Scenarios'!$D$8))/4+INDEX(BookQ2,27)*(5-MIN(4,2+'5. Scenarios'!$D$8))/4+INDEX(BookQ3,27)*(5-MIN(4,3+'5. Scenarios'!$D$8))/4+INDEX(BookQ4,27)*(5-MIN(4,4+'5. Scenarios'!$D$8))/4)*'5. Scenarios'!$D$6/(1+ProductivityDefault*('5. Scenarios'!$D$11-1))+INDEX(BookOneOff,27)*$N32)</f>
        <v/>
      </c>
      <c r="S32" s="56" t="str">
        <f aca="false">IF(INDEX(BookTitle,27)="","",INDEX(BookTotal,27)*'5. Scenarios'!$E$6/(1+ProductivityDefault*('5. Scenarios'!$E$11-1)))</f>
        <v/>
      </c>
      <c r="T32" s="57" t="str">
        <f aca="false">IF($S32="","",INDEX(BookRate,27)*(1+'5. Scenarios'!$E$10)*$S32)</f>
        <v/>
      </c>
      <c r="U32" s="57" t="str">
        <f aca="false">IF($T32="","",SUMIFS($T$6:$T$2405,$A$6:$A$2405,"&lt;="&amp;$A32))</f>
        <v/>
      </c>
      <c r="V32" s="57" t="str">
        <f aca="false">IF($T32="","",IF($U32&lt;=BankCostEnvelope*'5. Scenarios'!$E$7,1,0))</f>
        <v/>
      </c>
      <c r="W32" s="57" t="str">
        <f aca="false">IF($S32="","",INDEX(BookRate,27)*(1+'5. Scenarios'!$E$10)*(INDEX(BookQ1,27)*(5-MIN(4,1+'5. Scenarios'!$E$8))/4+INDEX(BookQ2,27)*(5-MIN(4,2+'5. Scenarios'!$E$8))/4+INDEX(BookQ3,27)*(5-MIN(4,3+'5. Scenarios'!$E$8))/4+INDEX(BookQ4,27)*(5-MIN(4,4+'5. Scenarios'!$E$8))/4)*'5. Scenarios'!$E$6/(1+ProductivityDefault*('5. Scenarios'!$E$11-1))+INDEX(BookOneOff,27)*$S32)</f>
        <v/>
      </c>
    </row>
    <row r="33" customFormat="false" ht="15" hidden="false" customHeight="false" outlineLevel="0" collapsed="false">
      <c r="A33" s="0" t="str">
        <f aca="false">IF(INDEX(BookTitle,28)="","",INDEX(BookKey,28))</f>
        <v/>
      </c>
      <c r="B33" s="0" t="str">
        <f aca="false">IF(INDEX(BookTitle,28)="","",INDEX(BookGroup,28))</f>
        <v/>
      </c>
      <c r="C33" s="0" t="str">
        <f aca="false">IF(INDEX(BookTitle,28)="","",INDEX(BookCategory,28))</f>
        <v/>
      </c>
      <c r="D33" s="56" t="str">
        <f aca="false">IF(INDEX(BookTitle,28)="","",INDEX(BookTotal,28)*'5. Scenarios'!$B$6/(1+ProductivityDefault*('5. Scenarios'!$B$11-1)))</f>
        <v/>
      </c>
      <c r="E33" s="57" t="str">
        <f aca="false">IF($D33="","",INDEX(BookRate,28)*(1+'5. Scenarios'!$B$10)*$D33)</f>
        <v/>
      </c>
      <c r="F33" s="57" t="str">
        <f aca="false">IF($E33="","",SUMIFS($E$6:$E$2405,$A$6:$A$2405,"&lt;="&amp;$A33))</f>
        <v/>
      </c>
      <c r="G33" s="57" t="str">
        <f aca="false">IF($E33="","",IF($F33&lt;=BankCostEnvelope*'5. Scenarios'!$B$7,1,0))</f>
        <v/>
      </c>
      <c r="H33" s="57" t="str">
        <f aca="false">IF($D33="","",INDEX(BookRate,28)*(1+'5. Scenarios'!$B$10)*(INDEX(BookQ1,28)*(5-MIN(4,1+'5. Scenarios'!$B$8))/4+INDEX(BookQ2,28)*(5-MIN(4,2+'5. Scenarios'!$B$8))/4+INDEX(BookQ3,28)*(5-MIN(4,3+'5. Scenarios'!$B$8))/4+INDEX(BookQ4,28)*(5-MIN(4,4+'5. Scenarios'!$B$8))/4)*'5. Scenarios'!$B$6/(1+ProductivityDefault*('5. Scenarios'!$B$11-1))+INDEX(BookOneOff,28)*$D33)</f>
        <v/>
      </c>
      <c r="I33" s="56" t="str">
        <f aca="false">IF(INDEX(BookTitle,28)="","",INDEX(BookTotal,28)*'5. Scenarios'!$C$6/(1+ProductivityDefault*('5. Scenarios'!$C$11-1)))</f>
        <v/>
      </c>
      <c r="J33" s="57" t="str">
        <f aca="false">IF($I33="","",INDEX(BookRate,28)*(1+'5. Scenarios'!$C$10)*$I33)</f>
        <v/>
      </c>
      <c r="K33" s="57" t="str">
        <f aca="false">IF($J33="","",SUMIFS($J$6:$J$2405,$A$6:$A$2405,"&lt;="&amp;$A33))</f>
        <v/>
      </c>
      <c r="L33" s="57" t="str">
        <f aca="false">IF($J33="","",IF($K33&lt;=BankCostEnvelope*'5. Scenarios'!$C$7,1,0))</f>
        <v/>
      </c>
      <c r="M33" s="57" t="str">
        <f aca="false">IF($I33="","",INDEX(BookRate,28)*(1+'5. Scenarios'!$C$10)*(INDEX(BookQ1,28)*(5-MIN(4,1+'5. Scenarios'!$C$8))/4+INDEX(BookQ2,28)*(5-MIN(4,2+'5. Scenarios'!$C$8))/4+INDEX(BookQ3,28)*(5-MIN(4,3+'5. Scenarios'!$C$8))/4+INDEX(BookQ4,28)*(5-MIN(4,4+'5. Scenarios'!$C$8))/4)*'5. Scenarios'!$C$6/(1+ProductivityDefault*('5. Scenarios'!$C$11-1))+INDEX(BookOneOff,28)*$I33)</f>
        <v/>
      </c>
      <c r="N33" s="56" t="str">
        <f aca="false">IF(INDEX(BookTitle,28)="","",INDEX(BookTotal,28)*'5. Scenarios'!$D$6/(1+ProductivityDefault*('5. Scenarios'!$D$11-1)))</f>
        <v/>
      </c>
      <c r="O33" s="57" t="str">
        <f aca="false">IF($N33="","",INDEX(BookRate,28)*(1+'5. Scenarios'!$D$10)*$N33)</f>
        <v/>
      </c>
      <c r="P33" s="57" t="str">
        <f aca="false">IF($O33="","",SUMIFS($O$6:$O$2405,$A$6:$A$2405,"&lt;="&amp;$A33))</f>
        <v/>
      </c>
      <c r="Q33" s="57" t="str">
        <f aca="false">IF($O33="","",IF($P33&lt;=BankCostEnvelope*'5. Scenarios'!$D$7,1,0))</f>
        <v/>
      </c>
      <c r="R33" s="57" t="str">
        <f aca="false">IF($N33="","",INDEX(BookRate,28)*(1+'5. Scenarios'!$D$10)*(INDEX(BookQ1,28)*(5-MIN(4,1+'5. Scenarios'!$D$8))/4+INDEX(BookQ2,28)*(5-MIN(4,2+'5. Scenarios'!$D$8))/4+INDEX(BookQ3,28)*(5-MIN(4,3+'5. Scenarios'!$D$8))/4+INDEX(BookQ4,28)*(5-MIN(4,4+'5. Scenarios'!$D$8))/4)*'5. Scenarios'!$D$6/(1+ProductivityDefault*('5. Scenarios'!$D$11-1))+INDEX(BookOneOff,28)*$N33)</f>
        <v/>
      </c>
      <c r="S33" s="56" t="str">
        <f aca="false">IF(INDEX(BookTitle,28)="","",INDEX(BookTotal,28)*'5. Scenarios'!$E$6/(1+ProductivityDefault*('5. Scenarios'!$E$11-1)))</f>
        <v/>
      </c>
      <c r="T33" s="57" t="str">
        <f aca="false">IF($S33="","",INDEX(BookRate,28)*(1+'5. Scenarios'!$E$10)*$S33)</f>
        <v/>
      </c>
      <c r="U33" s="57" t="str">
        <f aca="false">IF($T33="","",SUMIFS($T$6:$T$2405,$A$6:$A$2405,"&lt;="&amp;$A33))</f>
        <v/>
      </c>
      <c r="V33" s="57" t="str">
        <f aca="false">IF($T33="","",IF($U33&lt;=BankCostEnvelope*'5. Scenarios'!$E$7,1,0))</f>
        <v/>
      </c>
      <c r="W33" s="57" t="str">
        <f aca="false">IF($S33="","",INDEX(BookRate,28)*(1+'5. Scenarios'!$E$10)*(INDEX(BookQ1,28)*(5-MIN(4,1+'5. Scenarios'!$E$8))/4+INDEX(BookQ2,28)*(5-MIN(4,2+'5. Scenarios'!$E$8))/4+INDEX(BookQ3,28)*(5-MIN(4,3+'5. Scenarios'!$E$8))/4+INDEX(BookQ4,28)*(5-MIN(4,4+'5. Scenarios'!$E$8))/4)*'5. Scenarios'!$E$6/(1+ProductivityDefault*('5. Scenarios'!$E$11-1))+INDEX(BookOneOff,28)*$S33)</f>
        <v/>
      </c>
    </row>
    <row r="34" customFormat="false" ht="15" hidden="false" customHeight="false" outlineLevel="0" collapsed="false">
      <c r="A34" s="0" t="str">
        <f aca="false">IF(INDEX(BookTitle,29)="","",INDEX(BookKey,29))</f>
        <v/>
      </c>
      <c r="B34" s="0" t="str">
        <f aca="false">IF(INDEX(BookTitle,29)="","",INDEX(BookGroup,29))</f>
        <v/>
      </c>
      <c r="C34" s="0" t="str">
        <f aca="false">IF(INDEX(BookTitle,29)="","",INDEX(BookCategory,29))</f>
        <v/>
      </c>
      <c r="D34" s="56" t="str">
        <f aca="false">IF(INDEX(BookTitle,29)="","",INDEX(BookTotal,29)*'5. Scenarios'!$B$6/(1+ProductivityDefault*('5. Scenarios'!$B$11-1)))</f>
        <v/>
      </c>
      <c r="E34" s="57" t="str">
        <f aca="false">IF($D34="","",INDEX(BookRate,29)*(1+'5. Scenarios'!$B$10)*$D34)</f>
        <v/>
      </c>
      <c r="F34" s="57" t="str">
        <f aca="false">IF($E34="","",SUMIFS($E$6:$E$2405,$A$6:$A$2405,"&lt;="&amp;$A34))</f>
        <v/>
      </c>
      <c r="G34" s="57" t="str">
        <f aca="false">IF($E34="","",IF($F34&lt;=BankCostEnvelope*'5. Scenarios'!$B$7,1,0))</f>
        <v/>
      </c>
      <c r="H34" s="57" t="str">
        <f aca="false">IF($D34="","",INDEX(BookRate,29)*(1+'5. Scenarios'!$B$10)*(INDEX(BookQ1,29)*(5-MIN(4,1+'5. Scenarios'!$B$8))/4+INDEX(BookQ2,29)*(5-MIN(4,2+'5. Scenarios'!$B$8))/4+INDEX(BookQ3,29)*(5-MIN(4,3+'5. Scenarios'!$B$8))/4+INDEX(BookQ4,29)*(5-MIN(4,4+'5. Scenarios'!$B$8))/4)*'5. Scenarios'!$B$6/(1+ProductivityDefault*('5. Scenarios'!$B$11-1))+INDEX(BookOneOff,29)*$D34)</f>
        <v/>
      </c>
      <c r="I34" s="56" t="str">
        <f aca="false">IF(INDEX(BookTitle,29)="","",INDEX(BookTotal,29)*'5. Scenarios'!$C$6/(1+ProductivityDefault*('5. Scenarios'!$C$11-1)))</f>
        <v/>
      </c>
      <c r="J34" s="57" t="str">
        <f aca="false">IF($I34="","",INDEX(BookRate,29)*(1+'5. Scenarios'!$C$10)*$I34)</f>
        <v/>
      </c>
      <c r="K34" s="57" t="str">
        <f aca="false">IF($J34="","",SUMIFS($J$6:$J$2405,$A$6:$A$2405,"&lt;="&amp;$A34))</f>
        <v/>
      </c>
      <c r="L34" s="57" t="str">
        <f aca="false">IF($J34="","",IF($K34&lt;=BankCostEnvelope*'5. Scenarios'!$C$7,1,0))</f>
        <v/>
      </c>
      <c r="M34" s="57" t="str">
        <f aca="false">IF($I34="","",INDEX(BookRate,29)*(1+'5. Scenarios'!$C$10)*(INDEX(BookQ1,29)*(5-MIN(4,1+'5. Scenarios'!$C$8))/4+INDEX(BookQ2,29)*(5-MIN(4,2+'5. Scenarios'!$C$8))/4+INDEX(BookQ3,29)*(5-MIN(4,3+'5. Scenarios'!$C$8))/4+INDEX(BookQ4,29)*(5-MIN(4,4+'5. Scenarios'!$C$8))/4)*'5. Scenarios'!$C$6/(1+ProductivityDefault*('5. Scenarios'!$C$11-1))+INDEX(BookOneOff,29)*$I34)</f>
        <v/>
      </c>
      <c r="N34" s="56" t="str">
        <f aca="false">IF(INDEX(BookTitle,29)="","",INDEX(BookTotal,29)*'5. Scenarios'!$D$6/(1+ProductivityDefault*('5. Scenarios'!$D$11-1)))</f>
        <v/>
      </c>
      <c r="O34" s="57" t="str">
        <f aca="false">IF($N34="","",INDEX(BookRate,29)*(1+'5. Scenarios'!$D$10)*$N34)</f>
        <v/>
      </c>
      <c r="P34" s="57" t="str">
        <f aca="false">IF($O34="","",SUMIFS($O$6:$O$2405,$A$6:$A$2405,"&lt;="&amp;$A34))</f>
        <v/>
      </c>
      <c r="Q34" s="57" t="str">
        <f aca="false">IF($O34="","",IF($P34&lt;=BankCostEnvelope*'5. Scenarios'!$D$7,1,0))</f>
        <v/>
      </c>
      <c r="R34" s="57" t="str">
        <f aca="false">IF($N34="","",INDEX(BookRate,29)*(1+'5. Scenarios'!$D$10)*(INDEX(BookQ1,29)*(5-MIN(4,1+'5. Scenarios'!$D$8))/4+INDEX(BookQ2,29)*(5-MIN(4,2+'5. Scenarios'!$D$8))/4+INDEX(BookQ3,29)*(5-MIN(4,3+'5. Scenarios'!$D$8))/4+INDEX(BookQ4,29)*(5-MIN(4,4+'5. Scenarios'!$D$8))/4)*'5. Scenarios'!$D$6/(1+ProductivityDefault*('5. Scenarios'!$D$11-1))+INDEX(BookOneOff,29)*$N34)</f>
        <v/>
      </c>
      <c r="S34" s="56" t="str">
        <f aca="false">IF(INDEX(BookTitle,29)="","",INDEX(BookTotal,29)*'5. Scenarios'!$E$6/(1+ProductivityDefault*('5. Scenarios'!$E$11-1)))</f>
        <v/>
      </c>
      <c r="T34" s="57" t="str">
        <f aca="false">IF($S34="","",INDEX(BookRate,29)*(1+'5. Scenarios'!$E$10)*$S34)</f>
        <v/>
      </c>
      <c r="U34" s="57" t="str">
        <f aca="false">IF($T34="","",SUMIFS($T$6:$T$2405,$A$6:$A$2405,"&lt;="&amp;$A34))</f>
        <v/>
      </c>
      <c r="V34" s="57" t="str">
        <f aca="false">IF($T34="","",IF($U34&lt;=BankCostEnvelope*'5. Scenarios'!$E$7,1,0))</f>
        <v/>
      </c>
      <c r="W34" s="57" t="str">
        <f aca="false">IF($S34="","",INDEX(BookRate,29)*(1+'5. Scenarios'!$E$10)*(INDEX(BookQ1,29)*(5-MIN(4,1+'5. Scenarios'!$E$8))/4+INDEX(BookQ2,29)*(5-MIN(4,2+'5. Scenarios'!$E$8))/4+INDEX(BookQ3,29)*(5-MIN(4,3+'5. Scenarios'!$E$8))/4+INDEX(BookQ4,29)*(5-MIN(4,4+'5. Scenarios'!$E$8))/4)*'5. Scenarios'!$E$6/(1+ProductivityDefault*('5. Scenarios'!$E$11-1))+INDEX(BookOneOff,29)*$S34)</f>
        <v/>
      </c>
    </row>
    <row r="35" customFormat="false" ht="15" hidden="false" customHeight="false" outlineLevel="0" collapsed="false">
      <c r="A35" s="0" t="str">
        <f aca="false">IF(INDEX(BookTitle,30)="","",INDEX(BookKey,30))</f>
        <v/>
      </c>
      <c r="B35" s="0" t="str">
        <f aca="false">IF(INDEX(BookTitle,30)="","",INDEX(BookGroup,30))</f>
        <v/>
      </c>
      <c r="C35" s="0" t="str">
        <f aca="false">IF(INDEX(BookTitle,30)="","",INDEX(BookCategory,30))</f>
        <v/>
      </c>
      <c r="D35" s="56" t="str">
        <f aca="false">IF(INDEX(BookTitle,30)="","",INDEX(BookTotal,30)*'5. Scenarios'!$B$6/(1+ProductivityDefault*('5. Scenarios'!$B$11-1)))</f>
        <v/>
      </c>
      <c r="E35" s="57" t="str">
        <f aca="false">IF($D35="","",INDEX(BookRate,30)*(1+'5. Scenarios'!$B$10)*$D35)</f>
        <v/>
      </c>
      <c r="F35" s="57" t="str">
        <f aca="false">IF($E35="","",SUMIFS($E$6:$E$2405,$A$6:$A$2405,"&lt;="&amp;$A35))</f>
        <v/>
      </c>
      <c r="G35" s="57" t="str">
        <f aca="false">IF($E35="","",IF($F35&lt;=BankCostEnvelope*'5. Scenarios'!$B$7,1,0))</f>
        <v/>
      </c>
      <c r="H35" s="57" t="str">
        <f aca="false">IF($D35="","",INDEX(BookRate,30)*(1+'5. Scenarios'!$B$10)*(INDEX(BookQ1,30)*(5-MIN(4,1+'5. Scenarios'!$B$8))/4+INDEX(BookQ2,30)*(5-MIN(4,2+'5. Scenarios'!$B$8))/4+INDEX(BookQ3,30)*(5-MIN(4,3+'5. Scenarios'!$B$8))/4+INDEX(BookQ4,30)*(5-MIN(4,4+'5. Scenarios'!$B$8))/4)*'5. Scenarios'!$B$6/(1+ProductivityDefault*('5. Scenarios'!$B$11-1))+INDEX(BookOneOff,30)*$D35)</f>
        <v/>
      </c>
      <c r="I35" s="56" t="str">
        <f aca="false">IF(INDEX(BookTitle,30)="","",INDEX(BookTotal,30)*'5. Scenarios'!$C$6/(1+ProductivityDefault*('5. Scenarios'!$C$11-1)))</f>
        <v/>
      </c>
      <c r="J35" s="57" t="str">
        <f aca="false">IF($I35="","",INDEX(BookRate,30)*(1+'5. Scenarios'!$C$10)*$I35)</f>
        <v/>
      </c>
      <c r="K35" s="57" t="str">
        <f aca="false">IF($J35="","",SUMIFS($J$6:$J$2405,$A$6:$A$2405,"&lt;="&amp;$A35))</f>
        <v/>
      </c>
      <c r="L35" s="57" t="str">
        <f aca="false">IF($J35="","",IF($K35&lt;=BankCostEnvelope*'5. Scenarios'!$C$7,1,0))</f>
        <v/>
      </c>
      <c r="M35" s="57" t="str">
        <f aca="false">IF($I35="","",INDEX(BookRate,30)*(1+'5. Scenarios'!$C$10)*(INDEX(BookQ1,30)*(5-MIN(4,1+'5. Scenarios'!$C$8))/4+INDEX(BookQ2,30)*(5-MIN(4,2+'5. Scenarios'!$C$8))/4+INDEX(BookQ3,30)*(5-MIN(4,3+'5. Scenarios'!$C$8))/4+INDEX(BookQ4,30)*(5-MIN(4,4+'5. Scenarios'!$C$8))/4)*'5. Scenarios'!$C$6/(1+ProductivityDefault*('5. Scenarios'!$C$11-1))+INDEX(BookOneOff,30)*$I35)</f>
        <v/>
      </c>
      <c r="N35" s="56" t="str">
        <f aca="false">IF(INDEX(BookTitle,30)="","",INDEX(BookTotal,30)*'5. Scenarios'!$D$6/(1+ProductivityDefault*('5. Scenarios'!$D$11-1)))</f>
        <v/>
      </c>
      <c r="O35" s="57" t="str">
        <f aca="false">IF($N35="","",INDEX(BookRate,30)*(1+'5. Scenarios'!$D$10)*$N35)</f>
        <v/>
      </c>
      <c r="P35" s="57" t="str">
        <f aca="false">IF($O35="","",SUMIFS($O$6:$O$2405,$A$6:$A$2405,"&lt;="&amp;$A35))</f>
        <v/>
      </c>
      <c r="Q35" s="57" t="str">
        <f aca="false">IF($O35="","",IF($P35&lt;=BankCostEnvelope*'5. Scenarios'!$D$7,1,0))</f>
        <v/>
      </c>
      <c r="R35" s="57" t="str">
        <f aca="false">IF($N35="","",INDEX(BookRate,30)*(1+'5. Scenarios'!$D$10)*(INDEX(BookQ1,30)*(5-MIN(4,1+'5. Scenarios'!$D$8))/4+INDEX(BookQ2,30)*(5-MIN(4,2+'5. Scenarios'!$D$8))/4+INDEX(BookQ3,30)*(5-MIN(4,3+'5. Scenarios'!$D$8))/4+INDEX(BookQ4,30)*(5-MIN(4,4+'5. Scenarios'!$D$8))/4)*'5. Scenarios'!$D$6/(1+ProductivityDefault*('5. Scenarios'!$D$11-1))+INDEX(BookOneOff,30)*$N35)</f>
        <v/>
      </c>
      <c r="S35" s="56" t="str">
        <f aca="false">IF(INDEX(BookTitle,30)="","",INDEX(BookTotal,30)*'5. Scenarios'!$E$6/(1+ProductivityDefault*('5. Scenarios'!$E$11-1)))</f>
        <v/>
      </c>
      <c r="T35" s="57" t="str">
        <f aca="false">IF($S35="","",INDEX(BookRate,30)*(1+'5. Scenarios'!$E$10)*$S35)</f>
        <v/>
      </c>
      <c r="U35" s="57" t="str">
        <f aca="false">IF($T35="","",SUMIFS($T$6:$T$2405,$A$6:$A$2405,"&lt;="&amp;$A35))</f>
        <v/>
      </c>
      <c r="V35" s="57" t="str">
        <f aca="false">IF($T35="","",IF($U35&lt;=BankCostEnvelope*'5. Scenarios'!$E$7,1,0))</f>
        <v/>
      </c>
      <c r="W35" s="57" t="str">
        <f aca="false">IF($S35="","",INDEX(BookRate,30)*(1+'5. Scenarios'!$E$10)*(INDEX(BookQ1,30)*(5-MIN(4,1+'5. Scenarios'!$E$8))/4+INDEX(BookQ2,30)*(5-MIN(4,2+'5. Scenarios'!$E$8))/4+INDEX(BookQ3,30)*(5-MIN(4,3+'5. Scenarios'!$E$8))/4+INDEX(BookQ4,30)*(5-MIN(4,4+'5. Scenarios'!$E$8))/4)*'5. Scenarios'!$E$6/(1+ProductivityDefault*('5. Scenarios'!$E$11-1))+INDEX(BookOneOff,30)*$S35)</f>
        <v/>
      </c>
    </row>
    <row r="36" customFormat="false" ht="15" hidden="false" customHeight="false" outlineLevel="0" collapsed="false">
      <c r="A36" s="0" t="str">
        <f aca="false">IF(INDEX(BookTitle,31)="","",INDEX(BookKey,31))</f>
        <v/>
      </c>
      <c r="B36" s="0" t="str">
        <f aca="false">IF(INDEX(BookTitle,31)="","",INDEX(BookGroup,31))</f>
        <v/>
      </c>
      <c r="C36" s="0" t="str">
        <f aca="false">IF(INDEX(BookTitle,31)="","",INDEX(BookCategory,31))</f>
        <v/>
      </c>
      <c r="D36" s="56" t="str">
        <f aca="false">IF(INDEX(BookTitle,31)="","",INDEX(BookTotal,31)*'5. Scenarios'!$B$6/(1+ProductivityDefault*('5. Scenarios'!$B$11-1)))</f>
        <v/>
      </c>
      <c r="E36" s="57" t="str">
        <f aca="false">IF($D36="","",INDEX(BookRate,31)*(1+'5. Scenarios'!$B$10)*$D36)</f>
        <v/>
      </c>
      <c r="F36" s="57" t="str">
        <f aca="false">IF($E36="","",SUMIFS($E$6:$E$2405,$A$6:$A$2405,"&lt;="&amp;$A36))</f>
        <v/>
      </c>
      <c r="G36" s="57" t="str">
        <f aca="false">IF($E36="","",IF($F36&lt;=BankCostEnvelope*'5. Scenarios'!$B$7,1,0))</f>
        <v/>
      </c>
      <c r="H36" s="57" t="str">
        <f aca="false">IF($D36="","",INDEX(BookRate,31)*(1+'5. Scenarios'!$B$10)*(INDEX(BookQ1,31)*(5-MIN(4,1+'5. Scenarios'!$B$8))/4+INDEX(BookQ2,31)*(5-MIN(4,2+'5. Scenarios'!$B$8))/4+INDEX(BookQ3,31)*(5-MIN(4,3+'5. Scenarios'!$B$8))/4+INDEX(BookQ4,31)*(5-MIN(4,4+'5. Scenarios'!$B$8))/4)*'5. Scenarios'!$B$6/(1+ProductivityDefault*('5. Scenarios'!$B$11-1))+INDEX(BookOneOff,31)*$D36)</f>
        <v/>
      </c>
      <c r="I36" s="56" t="str">
        <f aca="false">IF(INDEX(BookTitle,31)="","",INDEX(BookTotal,31)*'5. Scenarios'!$C$6/(1+ProductivityDefault*('5. Scenarios'!$C$11-1)))</f>
        <v/>
      </c>
      <c r="J36" s="57" t="str">
        <f aca="false">IF($I36="","",INDEX(BookRate,31)*(1+'5. Scenarios'!$C$10)*$I36)</f>
        <v/>
      </c>
      <c r="K36" s="57" t="str">
        <f aca="false">IF($J36="","",SUMIFS($J$6:$J$2405,$A$6:$A$2405,"&lt;="&amp;$A36))</f>
        <v/>
      </c>
      <c r="L36" s="57" t="str">
        <f aca="false">IF($J36="","",IF($K36&lt;=BankCostEnvelope*'5. Scenarios'!$C$7,1,0))</f>
        <v/>
      </c>
      <c r="M36" s="57" t="str">
        <f aca="false">IF($I36="","",INDEX(BookRate,31)*(1+'5. Scenarios'!$C$10)*(INDEX(BookQ1,31)*(5-MIN(4,1+'5. Scenarios'!$C$8))/4+INDEX(BookQ2,31)*(5-MIN(4,2+'5. Scenarios'!$C$8))/4+INDEX(BookQ3,31)*(5-MIN(4,3+'5. Scenarios'!$C$8))/4+INDEX(BookQ4,31)*(5-MIN(4,4+'5. Scenarios'!$C$8))/4)*'5. Scenarios'!$C$6/(1+ProductivityDefault*('5. Scenarios'!$C$11-1))+INDEX(BookOneOff,31)*$I36)</f>
        <v/>
      </c>
      <c r="N36" s="56" t="str">
        <f aca="false">IF(INDEX(BookTitle,31)="","",INDEX(BookTotal,31)*'5. Scenarios'!$D$6/(1+ProductivityDefault*('5. Scenarios'!$D$11-1)))</f>
        <v/>
      </c>
      <c r="O36" s="57" t="str">
        <f aca="false">IF($N36="","",INDEX(BookRate,31)*(1+'5. Scenarios'!$D$10)*$N36)</f>
        <v/>
      </c>
      <c r="P36" s="57" t="str">
        <f aca="false">IF($O36="","",SUMIFS($O$6:$O$2405,$A$6:$A$2405,"&lt;="&amp;$A36))</f>
        <v/>
      </c>
      <c r="Q36" s="57" t="str">
        <f aca="false">IF($O36="","",IF($P36&lt;=BankCostEnvelope*'5. Scenarios'!$D$7,1,0))</f>
        <v/>
      </c>
      <c r="R36" s="57" t="str">
        <f aca="false">IF($N36="","",INDEX(BookRate,31)*(1+'5. Scenarios'!$D$10)*(INDEX(BookQ1,31)*(5-MIN(4,1+'5. Scenarios'!$D$8))/4+INDEX(BookQ2,31)*(5-MIN(4,2+'5. Scenarios'!$D$8))/4+INDEX(BookQ3,31)*(5-MIN(4,3+'5. Scenarios'!$D$8))/4+INDEX(BookQ4,31)*(5-MIN(4,4+'5. Scenarios'!$D$8))/4)*'5. Scenarios'!$D$6/(1+ProductivityDefault*('5. Scenarios'!$D$11-1))+INDEX(BookOneOff,31)*$N36)</f>
        <v/>
      </c>
      <c r="S36" s="56" t="str">
        <f aca="false">IF(INDEX(BookTitle,31)="","",INDEX(BookTotal,31)*'5. Scenarios'!$E$6/(1+ProductivityDefault*('5. Scenarios'!$E$11-1)))</f>
        <v/>
      </c>
      <c r="T36" s="57" t="str">
        <f aca="false">IF($S36="","",INDEX(BookRate,31)*(1+'5. Scenarios'!$E$10)*$S36)</f>
        <v/>
      </c>
      <c r="U36" s="57" t="str">
        <f aca="false">IF($T36="","",SUMIFS($T$6:$T$2405,$A$6:$A$2405,"&lt;="&amp;$A36))</f>
        <v/>
      </c>
      <c r="V36" s="57" t="str">
        <f aca="false">IF($T36="","",IF($U36&lt;=BankCostEnvelope*'5. Scenarios'!$E$7,1,0))</f>
        <v/>
      </c>
      <c r="W36" s="57" t="str">
        <f aca="false">IF($S36="","",INDEX(BookRate,31)*(1+'5. Scenarios'!$E$10)*(INDEX(BookQ1,31)*(5-MIN(4,1+'5. Scenarios'!$E$8))/4+INDEX(BookQ2,31)*(5-MIN(4,2+'5. Scenarios'!$E$8))/4+INDEX(BookQ3,31)*(5-MIN(4,3+'5. Scenarios'!$E$8))/4+INDEX(BookQ4,31)*(5-MIN(4,4+'5. Scenarios'!$E$8))/4)*'5. Scenarios'!$E$6/(1+ProductivityDefault*('5. Scenarios'!$E$11-1))+INDEX(BookOneOff,31)*$S36)</f>
        <v/>
      </c>
    </row>
    <row r="37" customFormat="false" ht="15" hidden="false" customHeight="false" outlineLevel="0" collapsed="false">
      <c r="A37" s="0" t="str">
        <f aca="false">IF(INDEX(BookTitle,32)="","",INDEX(BookKey,32))</f>
        <v/>
      </c>
      <c r="B37" s="0" t="str">
        <f aca="false">IF(INDEX(BookTitle,32)="","",INDEX(BookGroup,32))</f>
        <v/>
      </c>
      <c r="C37" s="0" t="str">
        <f aca="false">IF(INDEX(BookTitle,32)="","",INDEX(BookCategory,32))</f>
        <v/>
      </c>
      <c r="D37" s="56" t="str">
        <f aca="false">IF(INDEX(BookTitle,32)="","",INDEX(BookTotal,32)*'5. Scenarios'!$B$6/(1+ProductivityDefault*('5. Scenarios'!$B$11-1)))</f>
        <v/>
      </c>
      <c r="E37" s="57" t="str">
        <f aca="false">IF($D37="","",INDEX(BookRate,32)*(1+'5. Scenarios'!$B$10)*$D37)</f>
        <v/>
      </c>
      <c r="F37" s="57" t="str">
        <f aca="false">IF($E37="","",SUMIFS($E$6:$E$2405,$A$6:$A$2405,"&lt;="&amp;$A37))</f>
        <v/>
      </c>
      <c r="G37" s="57" t="str">
        <f aca="false">IF($E37="","",IF($F37&lt;=BankCostEnvelope*'5. Scenarios'!$B$7,1,0))</f>
        <v/>
      </c>
      <c r="H37" s="57" t="str">
        <f aca="false">IF($D37="","",INDEX(BookRate,32)*(1+'5. Scenarios'!$B$10)*(INDEX(BookQ1,32)*(5-MIN(4,1+'5. Scenarios'!$B$8))/4+INDEX(BookQ2,32)*(5-MIN(4,2+'5. Scenarios'!$B$8))/4+INDEX(BookQ3,32)*(5-MIN(4,3+'5. Scenarios'!$B$8))/4+INDEX(BookQ4,32)*(5-MIN(4,4+'5. Scenarios'!$B$8))/4)*'5. Scenarios'!$B$6/(1+ProductivityDefault*('5. Scenarios'!$B$11-1))+INDEX(BookOneOff,32)*$D37)</f>
        <v/>
      </c>
      <c r="I37" s="56" t="str">
        <f aca="false">IF(INDEX(BookTitle,32)="","",INDEX(BookTotal,32)*'5. Scenarios'!$C$6/(1+ProductivityDefault*('5. Scenarios'!$C$11-1)))</f>
        <v/>
      </c>
      <c r="J37" s="57" t="str">
        <f aca="false">IF($I37="","",INDEX(BookRate,32)*(1+'5. Scenarios'!$C$10)*$I37)</f>
        <v/>
      </c>
      <c r="K37" s="57" t="str">
        <f aca="false">IF($J37="","",SUMIFS($J$6:$J$2405,$A$6:$A$2405,"&lt;="&amp;$A37))</f>
        <v/>
      </c>
      <c r="L37" s="57" t="str">
        <f aca="false">IF($J37="","",IF($K37&lt;=BankCostEnvelope*'5. Scenarios'!$C$7,1,0))</f>
        <v/>
      </c>
      <c r="M37" s="57" t="str">
        <f aca="false">IF($I37="","",INDEX(BookRate,32)*(1+'5. Scenarios'!$C$10)*(INDEX(BookQ1,32)*(5-MIN(4,1+'5. Scenarios'!$C$8))/4+INDEX(BookQ2,32)*(5-MIN(4,2+'5. Scenarios'!$C$8))/4+INDEX(BookQ3,32)*(5-MIN(4,3+'5. Scenarios'!$C$8))/4+INDEX(BookQ4,32)*(5-MIN(4,4+'5. Scenarios'!$C$8))/4)*'5. Scenarios'!$C$6/(1+ProductivityDefault*('5. Scenarios'!$C$11-1))+INDEX(BookOneOff,32)*$I37)</f>
        <v/>
      </c>
      <c r="N37" s="56" t="str">
        <f aca="false">IF(INDEX(BookTitle,32)="","",INDEX(BookTotal,32)*'5. Scenarios'!$D$6/(1+ProductivityDefault*('5. Scenarios'!$D$11-1)))</f>
        <v/>
      </c>
      <c r="O37" s="57" t="str">
        <f aca="false">IF($N37="","",INDEX(BookRate,32)*(1+'5. Scenarios'!$D$10)*$N37)</f>
        <v/>
      </c>
      <c r="P37" s="57" t="str">
        <f aca="false">IF($O37="","",SUMIFS($O$6:$O$2405,$A$6:$A$2405,"&lt;="&amp;$A37))</f>
        <v/>
      </c>
      <c r="Q37" s="57" t="str">
        <f aca="false">IF($O37="","",IF($P37&lt;=BankCostEnvelope*'5. Scenarios'!$D$7,1,0))</f>
        <v/>
      </c>
      <c r="R37" s="57" t="str">
        <f aca="false">IF($N37="","",INDEX(BookRate,32)*(1+'5. Scenarios'!$D$10)*(INDEX(BookQ1,32)*(5-MIN(4,1+'5. Scenarios'!$D$8))/4+INDEX(BookQ2,32)*(5-MIN(4,2+'5. Scenarios'!$D$8))/4+INDEX(BookQ3,32)*(5-MIN(4,3+'5. Scenarios'!$D$8))/4+INDEX(BookQ4,32)*(5-MIN(4,4+'5. Scenarios'!$D$8))/4)*'5. Scenarios'!$D$6/(1+ProductivityDefault*('5. Scenarios'!$D$11-1))+INDEX(BookOneOff,32)*$N37)</f>
        <v/>
      </c>
      <c r="S37" s="56" t="str">
        <f aca="false">IF(INDEX(BookTitle,32)="","",INDEX(BookTotal,32)*'5. Scenarios'!$E$6/(1+ProductivityDefault*('5. Scenarios'!$E$11-1)))</f>
        <v/>
      </c>
      <c r="T37" s="57" t="str">
        <f aca="false">IF($S37="","",INDEX(BookRate,32)*(1+'5. Scenarios'!$E$10)*$S37)</f>
        <v/>
      </c>
      <c r="U37" s="57" t="str">
        <f aca="false">IF($T37="","",SUMIFS($T$6:$T$2405,$A$6:$A$2405,"&lt;="&amp;$A37))</f>
        <v/>
      </c>
      <c r="V37" s="57" t="str">
        <f aca="false">IF($T37="","",IF($U37&lt;=BankCostEnvelope*'5. Scenarios'!$E$7,1,0))</f>
        <v/>
      </c>
      <c r="W37" s="57" t="str">
        <f aca="false">IF($S37="","",INDEX(BookRate,32)*(1+'5. Scenarios'!$E$10)*(INDEX(BookQ1,32)*(5-MIN(4,1+'5. Scenarios'!$E$8))/4+INDEX(BookQ2,32)*(5-MIN(4,2+'5. Scenarios'!$E$8))/4+INDEX(BookQ3,32)*(5-MIN(4,3+'5. Scenarios'!$E$8))/4+INDEX(BookQ4,32)*(5-MIN(4,4+'5. Scenarios'!$E$8))/4)*'5. Scenarios'!$E$6/(1+ProductivityDefault*('5. Scenarios'!$E$11-1))+INDEX(BookOneOff,32)*$S37)</f>
        <v/>
      </c>
    </row>
    <row r="38" customFormat="false" ht="15" hidden="false" customHeight="false" outlineLevel="0" collapsed="false">
      <c r="A38" s="0" t="str">
        <f aca="false">IF(INDEX(BookTitle,33)="","",INDEX(BookKey,33))</f>
        <v/>
      </c>
      <c r="B38" s="0" t="str">
        <f aca="false">IF(INDEX(BookTitle,33)="","",INDEX(BookGroup,33))</f>
        <v/>
      </c>
      <c r="C38" s="0" t="str">
        <f aca="false">IF(INDEX(BookTitle,33)="","",INDEX(BookCategory,33))</f>
        <v/>
      </c>
      <c r="D38" s="56" t="str">
        <f aca="false">IF(INDEX(BookTitle,33)="","",INDEX(BookTotal,33)*'5. Scenarios'!$B$6/(1+ProductivityDefault*('5. Scenarios'!$B$11-1)))</f>
        <v/>
      </c>
      <c r="E38" s="57" t="str">
        <f aca="false">IF($D38="","",INDEX(BookRate,33)*(1+'5. Scenarios'!$B$10)*$D38)</f>
        <v/>
      </c>
      <c r="F38" s="57" t="str">
        <f aca="false">IF($E38="","",SUMIFS($E$6:$E$2405,$A$6:$A$2405,"&lt;="&amp;$A38))</f>
        <v/>
      </c>
      <c r="G38" s="57" t="str">
        <f aca="false">IF($E38="","",IF($F38&lt;=BankCostEnvelope*'5. Scenarios'!$B$7,1,0))</f>
        <v/>
      </c>
      <c r="H38" s="57" t="str">
        <f aca="false">IF($D38="","",INDEX(BookRate,33)*(1+'5. Scenarios'!$B$10)*(INDEX(BookQ1,33)*(5-MIN(4,1+'5. Scenarios'!$B$8))/4+INDEX(BookQ2,33)*(5-MIN(4,2+'5. Scenarios'!$B$8))/4+INDEX(BookQ3,33)*(5-MIN(4,3+'5. Scenarios'!$B$8))/4+INDEX(BookQ4,33)*(5-MIN(4,4+'5. Scenarios'!$B$8))/4)*'5. Scenarios'!$B$6/(1+ProductivityDefault*('5. Scenarios'!$B$11-1))+INDEX(BookOneOff,33)*$D38)</f>
        <v/>
      </c>
      <c r="I38" s="56" t="str">
        <f aca="false">IF(INDEX(BookTitle,33)="","",INDEX(BookTotal,33)*'5. Scenarios'!$C$6/(1+ProductivityDefault*('5. Scenarios'!$C$11-1)))</f>
        <v/>
      </c>
      <c r="J38" s="57" t="str">
        <f aca="false">IF($I38="","",INDEX(BookRate,33)*(1+'5. Scenarios'!$C$10)*$I38)</f>
        <v/>
      </c>
      <c r="K38" s="57" t="str">
        <f aca="false">IF($J38="","",SUMIFS($J$6:$J$2405,$A$6:$A$2405,"&lt;="&amp;$A38))</f>
        <v/>
      </c>
      <c r="L38" s="57" t="str">
        <f aca="false">IF($J38="","",IF($K38&lt;=BankCostEnvelope*'5. Scenarios'!$C$7,1,0))</f>
        <v/>
      </c>
      <c r="M38" s="57" t="str">
        <f aca="false">IF($I38="","",INDEX(BookRate,33)*(1+'5. Scenarios'!$C$10)*(INDEX(BookQ1,33)*(5-MIN(4,1+'5. Scenarios'!$C$8))/4+INDEX(BookQ2,33)*(5-MIN(4,2+'5. Scenarios'!$C$8))/4+INDEX(BookQ3,33)*(5-MIN(4,3+'5. Scenarios'!$C$8))/4+INDEX(BookQ4,33)*(5-MIN(4,4+'5. Scenarios'!$C$8))/4)*'5. Scenarios'!$C$6/(1+ProductivityDefault*('5. Scenarios'!$C$11-1))+INDEX(BookOneOff,33)*$I38)</f>
        <v/>
      </c>
      <c r="N38" s="56" t="str">
        <f aca="false">IF(INDEX(BookTitle,33)="","",INDEX(BookTotal,33)*'5. Scenarios'!$D$6/(1+ProductivityDefault*('5. Scenarios'!$D$11-1)))</f>
        <v/>
      </c>
      <c r="O38" s="57" t="str">
        <f aca="false">IF($N38="","",INDEX(BookRate,33)*(1+'5. Scenarios'!$D$10)*$N38)</f>
        <v/>
      </c>
      <c r="P38" s="57" t="str">
        <f aca="false">IF($O38="","",SUMIFS($O$6:$O$2405,$A$6:$A$2405,"&lt;="&amp;$A38))</f>
        <v/>
      </c>
      <c r="Q38" s="57" t="str">
        <f aca="false">IF($O38="","",IF($P38&lt;=BankCostEnvelope*'5. Scenarios'!$D$7,1,0))</f>
        <v/>
      </c>
      <c r="R38" s="57" t="str">
        <f aca="false">IF($N38="","",INDEX(BookRate,33)*(1+'5. Scenarios'!$D$10)*(INDEX(BookQ1,33)*(5-MIN(4,1+'5. Scenarios'!$D$8))/4+INDEX(BookQ2,33)*(5-MIN(4,2+'5. Scenarios'!$D$8))/4+INDEX(BookQ3,33)*(5-MIN(4,3+'5. Scenarios'!$D$8))/4+INDEX(BookQ4,33)*(5-MIN(4,4+'5. Scenarios'!$D$8))/4)*'5. Scenarios'!$D$6/(1+ProductivityDefault*('5. Scenarios'!$D$11-1))+INDEX(BookOneOff,33)*$N38)</f>
        <v/>
      </c>
      <c r="S38" s="56" t="str">
        <f aca="false">IF(INDEX(BookTitle,33)="","",INDEX(BookTotal,33)*'5. Scenarios'!$E$6/(1+ProductivityDefault*('5. Scenarios'!$E$11-1)))</f>
        <v/>
      </c>
      <c r="T38" s="57" t="str">
        <f aca="false">IF($S38="","",INDEX(BookRate,33)*(1+'5. Scenarios'!$E$10)*$S38)</f>
        <v/>
      </c>
      <c r="U38" s="57" t="str">
        <f aca="false">IF($T38="","",SUMIFS($T$6:$T$2405,$A$6:$A$2405,"&lt;="&amp;$A38))</f>
        <v/>
      </c>
      <c r="V38" s="57" t="str">
        <f aca="false">IF($T38="","",IF($U38&lt;=BankCostEnvelope*'5. Scenarios'!$E$7,1,0))</f>
        <v/>
      </c>
      <c r="W38" s="57" t="str">
        <f aca="false">IF($S38="","",INDEX(BookRate,33)*(1+'5. Scenarios'!$E$10)*(INDEX(BookQ1,33)*(5-MIN(4,1+'5. Scenarios'!$E$8))/4+INDEX(BookQ2,33)*(5-MIN(4,2+'5. Scenarios'!$E$8))/4+INDEX(BookQ3,33)*(5-MIN(4,3+'5. Scenarios'!$E$8))/4+INDEX(BookQ4,33)*(5-MIN(4,4+'5. Scenarios'!$E$8))/4)*'5. Scenarios'!$E$6/(1+ProductivityDefault*('5. Scenarios'!$E$11-1))+INDEX(BookOneOff,33)*$S38)</f>
        <v/>
      </c>
    </row>
    <row r="39" customFormat="false" ht="15" hidden="false" customHeight="false" outlineLevel="0" collapsed="false">
      <c r="A39" s="0" t="str">
        <f aca="false">IF(INDEX(BookTitle,34)="","",INDEX(BookKey,34))</f>
        <v/>
      </c>
      <c r="B39" s="0" t="str">
        <f aca="false">IF(INDEX(BookTitle,34)="","",INDEX(BookGroup,34))</f>
        <v/>
      </c>
      <c r="C39" s="0" t="str">
        <f aca="false">IF(INDEX(BookTitle,34)="","",INDEX(BookCategory,34))</f>
        <v/>
      </c>
      <c r="D39" s="56" t="str">
        <f aca="false">IF(INDEX(BookTitle,34)="","",INDEX(BookTotal,34)*'5. Scenarios'!$B$6/(1+ProductivityDefault*('5. Scenarios'!$B$11-1)))</f>
        <v/>
      </c>
      <c r="E39" s="57" t="str">
        <f aca="false">IF($D39="","",INDEX(BookRate,34)*(1+'5. Scenarios'!$B$10)*$D39)</f>
        <v/>
      </c>
      <c r="F39" s="57" t="str">
        <f aca="false">IF($E39="","",SUMIFS($E$6:$E$2405,$A$6:$A$2405,"&lt;="&amp;$A39))</f>
        <v/>
      </c>
      <c r="G39" s="57" t="str">
        <f aca="false">IF($E39="","",IF($F39&lt;=BankCostEnvelope*'5. Scenarios'!$B$7,1,0))</f>
        <v/>
      </c>
      <c r="H39" s="57" t="str">
        <f aca="false">IF($D39="","",INDEX(BookRate,34)*(1+'5. Scenarios'!$B$10)*(INDEX(BookQ1,34)*(5-MIN(4,1+'5. Scenarios'!$B$8))/4+INDEX(BookQ2,34)*(5-MIN(4,2+'5. Scenarios'!$B$8))/4+INDEX(BookQ3,34)*(5-MIN(4,3+'5. Scenarios'!$B$8))/4+INDEX(BookQ4,34)*(5-MIN(4,4+'5. Scenarios'!$B$8))/4)*'5. Scenarios'!$B$6/(1+ProductivityDefault*('5. Scenarios'!$B$11-1))+INDEX(BookOneOff,34)*$D39)</f>
        <v/>
      </c>
      <c r="I39" s="56" t="str">
        <f aca="false">IF(INDEX(BookTitle,34)="","",INDEX(BookTotal,34)*'5. Scenarios'!$C$6/(1+ProductivityDefault*('5. Scenarios'!$C$11-1)))</f>
        <v/>
      </c>
      <c r="J39" s="57" t="str">
        <f aca="false">IF($I39="","",INDEX(BookRate,34)*(1+'5. Scenarios'!$C$10)*$I39)</f>
        <v/>
      </c>
      <c r="K39" s="57" t="str">
        <f aca="false">IF($J39="","",SUMIFS($J$6:$J$2405,$A$6:$A$2405,"&lt;="&amp;$A39))</f>
        <v/>
      </c>
      <c r="L39" s="57" t="str">
        <f aca="false">IF($J39="","",IF($K39&lt;=BankCostEnvelope*'5. Scenarios'!$C$7,1,0))</f>
        <v/>
      </c>
      <c r="M39" s="57" t="str">
        <f aca="false">IF($I39="","",INDEX(BookRate,34)*(1+'5. Scenarios'!$C$10)*(INDEX(BookQ1,34)*(5-MIN(4,1+'5. Scenarios'!$C$8))/4+INDEX(BookQ2,34)*(5-MIN(4,2+'5. Scenarios'!$C$8))/4+INDEX(BookQ3,34)*(5-MIN(4,3+'5. Scenarios'!$C$8))/4+INDEX(BookQ4,34)*(5-MIN(4,4+'5. Scenarios'!$C$8))/4)*'5. Scenarios'!$C$6/(1+ProductivityDefault*('5. Scenarios'!$C$11-1))+INDEX(BookOneOff,34)*$I39)</f>
        <v/>
      </c>
      <c r="N39" s="56" t="str">
        <f aca="false">IF(INDEX(BookTitle,34)="","",INDEX(BookTotal,34)*'5. Scenarios'!$D$6/(1+ProductivityDefault*('5. Scenarios'!$D$11-1)))</f>
        <v/>
      </c>
      <c r="O39" s="57" t="str">
        <f aca="false">IF($N39="","",INDEX(BookRate,34)*(1+'5. Scenarios'!$D$10)*$N39)</f>
        <v/>
      </c>
      <c r="P39" s="57" t="str">
        <f aca="false">IF($O39="","",SUMIFS($O$6:$O$2405,$A$6:$A$2405,"&lt;="&amp;$A39))</f>
        <v/>
      </c>
      <c r="Q39" s="57" t="str">
        <f aca="false">IF($O39="","",IF($P39&lt;=BankCostEnvelope*'5. Scenarios'!$D$7,1,0))</f>
        <v/>
      </c>
      <c r="R39" s="57" t="str">
        <f aca="false">IF($N39="","",INDEX(BookRate,34)*(1+'5. Scenarios'!$D$10)*(INDEX(BookQ1,34)*(5-MIN(4,1+'5. Scenarios'!$D$8))/4+INDEX(BookQ2,34)*(5-MIN(4,2+'5. Scenarios'!$D$8))/4+INDEX(BookQ3,34)*(5-MIN(4,3+'5. Scenarios'!$D$8))/4+INDEX(BookQ4,34)*(5-MIN(4,4+'5. Scenarios'!$D$8))/4)*'5. Scenarios'!$D$6/(1+ProductivityDefault*('5. Scenarios'!$D$11-1))+INDEX(BookOneOff,34)*$N39)</f>
        <v/>
      </c>
      <c r="S39" s="56" t="str">
        <f aca="false">IF(INDEX(BookTitle,34)="","",INDEX(BookTotal,34)*'5. Scenarios'!$E$6/(1+ProductivityDefault*('5. Scenarios'!$E$11-1)))</f>
        <v/>
      </c>
      <c r="T39" s="57" t="str">
        <f aca="false">IF($S39="","",INDEX(BookRate,34)*(1+'5. Scenarios'!$E$10)*$S39)</f>
        <v/>
      </c>
      <c r="U39" s="57" t="str">
        <f aca="false">IF($T39="","",SUMIFS($T$6:$T$2405,$A$6:$A$2405,"&lt;="&amp;$A39))</f>
        <v/>
      </c>
      <c r="V39" s="57" t="str">
        <f aca="false">IF($T39="","",IF($U39&lt;=BankCostEnvelope*'5. Scenarios'!$E$7,1,0))</f>
        <v/>
      </c>
      <c r="W39" s="57" t="str">
        <f aca="false">IF($S39="","",INDEX(BookRate,34)*(1+'5. Scenarios'!$E$10)*(INDEX(BookQ1,34)*(5-MIN(4,1+'5. Scenarios'!$E$8))/4+INDEX(BookQ2,34)*(5-MIN(4,2+'5. Scenarios'!$E$8))/4+INDEX(BookQ3,34)*(5-MIN(4,3+'5. Scenarios'!$E$8))/4+INDEX(BookQ4,34)*(5-MIN(4,4+'5. Scenarios'!$E$8))/4)*'5. Scenarios'!$E$6/(1+ProductivityDefault*('5. Scenarios'!$E$11-1))+INDEX(BookOneOff,34)*$S39)</f>
        <v/>
      </c>
    </row>
    <row r="40" customFormat="false" ht="15" hidden="false" customHeight="false" outlineLevel="0" collapsed="false">
      <c r="A40" s="0" t="str">
        <f aca="false">IF(INDEX(BookTitle,35)="","",INDEX(BookKey,35))</f>
        <v/>
      </c>
      <c r="B40" s="0" t="str">
        <f aca="false">IF(INDEX(BookTitle,35)="","",INDEX(BookGroup,35))</f>
        <v/>
      </c>
      <c r="C40" s="0" t="str">
        <f aca="false">IF(INDEX(BookTitle,35)="","",INDEX(BookCategory,35))</f>
        <v/>
      </c>
      <c r="D40" s="56" t="str">
        <f aca="false">IF(INDEX(BookTitle,35)="","",INDEX(BookTotal,35)*'5. Scenarios'!$B$6/(1+ProductivityDefault*('5. Scenarios'!$B$11-1)))</f>
        <v/>
      </c>
      <c r="E40" s="57" t="str">
        <f aca="false">IF($D40="","",INDEX(BookRate,35)*(1+'5. Scenarios'!$B$10)*$D40)</f>
        <v/>
      </c>
      <c r="F40" s="57" t="str">
        <f aca="false">IF($E40="","",SUMIFS($E$6:$E$2405,$A$6:$A$2405,"&lt;="&amp;$A40))</f>
        <v/>
      </c>
      <c r="G40" s="57" t="str">
        <f aca="false">IF($E40="","",IF($F40&lt;=BankCostEnvelope*'5. Scenarios'!$B$7,1,0))</f>
        <v/>
      </c>
      <c r="H40" s="57" t="str">
        <f aca="false">IF($D40="","",INDEX(BookRate,35)*(1+'5. Scenarios'!$B$10)*(INDEX(BookQ1,35)*(5-MIN(4,1+'5. Scenarios'!$B$8))/4+INDEX(BookQ2,35)*(5-MIN(4,2+'5. Scenarios'!$B$8))/4+INDEX(BookQ3,35)*(5-MIN(4,3+'5. Scenarios'!$B$8))/4+INDEX(BookQ4,35)*(5-MIN(4,4+'5. Scenarios'!$B$8))/4)*'5. Scenarios'!$B$6/(1+ProductivityDefault*('5. Scenarios'!$B$11-1))+INDEX(BookOneOff,35)*$D40)</f>
        <v/>
      </c>
      <c r="I40" s="56" t="str">
        <f aca="false">IF(INDEX(BookTitle,35)="","",INDEX(BookTotal,35)*'5. Scenarios'!$C$6/(1+ProductivityDefault*('5. Scenarios'!$C$11-1)))</f>
        <v/>
      </c>
      <c r="J40" s="57" t="str">
        <f aca="false">IF($I40="","",INDEX(BookRate,35)*(1+'5. Scenarios'!$C$10)*$I40)</f>
        <v/>
      </c>
      <c r="K40" s="57" t="str">
        <f aca="false">IF($J40="","",SUMIFS($J$6:$J$2405,$A$6:$A$2405,"&lt;="&amp;$A40))</f>
        <v/>
      </c>
      <c r="L40" s="57" t="str">
        <f aca="false">IF($J40="","",IF($K40&lt;=BankCostEnvelope*'5. Scenarios'!$C$7,1,0))</f>
        <v/>
      </c>
      <c r="M40" s="57" t="str">
        <f aca="false">IF($I40="","",INDEX(BookRate,35)*(1+'5. Scenarios'!$C$10)*(INDEX(BookQ1,35)*(5-MIN(4,1+'5. Scenarios'!$C$8))/4+INDEX(BookQ2,35)*(5-MIN(4,2+'5. Scenarios'!$C$8))/4+INDEX(BookQ3,35)*(5-MIN(4,3+'5. Scenarios'!$C$8))/4+INDEX(BookQ4,35)*(5-MIN(4,4+'5. Scenarios'!$C$8))/4)*'5. Scenarios'!$C$6/(1+ProductivityDefault*('5. Scenarios'!$C$11-1))+INDEX(BookOneOff,35)*$I40)</f>
        <v/>
      </c>
      <c r="N40" s="56" t="str">
        <f aca="false">IF(INDEX(BookTitle,35)="","",INDEX(BookTotal,35)*'5. Scenarios'!$D$6/(1+ProductivityDefault*('5. Scenarios'!$D$11-1)))</f>
        <v/>
      </c>
      <c r="O40" s="57" t="str">
        <f aca="false">IF($N40="","",INDEX(BookRate,35)*(1+'5. Scenarios'!$D$10)*$N40)</f>
        <v/>
      </c>
      <c r="P40" s="57" t="str">
        <f aca="false">IF($O40="","",SUMIFS($O$6:$O$2405,$A$6:$A$2405,"&lt;="&amp;$A40))</f>
        <v/>
      </c>
      <c r="Q40" s="57" t="str">
        <f aca="false">IF($O40="","",IF($P40&lt;=BankCostEnvelope*'5. Scenarios'!$D$7,1,0))</f>
        <v/>
      </c>
      <c r="R40" s="57" t="str">
        <f aca="false">IF($N40="","",INDEX(BookRate,35)*(1+'5. Scenarios'!$D$10)*(INDEX(BookQ1,35)*(5-MIN(4,1+'5. Scenarios'!$D$8))/4+INDEX(BookQ2,35)*(5-MIN(4,2+'5. Scenarios'!$D$8))/4+INDEX(BookQ3,35)*(5-MIN(4,3+'5. Scenarios'!$D$8))/4+INDEX(BookQ4,35)*(5-MIN(4,4+'5. Scenarios'!$D$8))/4)*'5. Scenarios'!$D$6/(1+ProductivityDefault*('5. Scenarios'!$D$11-1))+INDEX(BookOneOff,35)*$N40)</f>
        <v/>
      </c>
      <c r="S40" s="56" t="str">
        <f aca="false">IF(INDEX(BookTitle,35)="","",INDEX(BookTotal,35)*'5. Scenarios'!$E$6/(1+ProductivityDefault*('5. Scenarios'!$E$11-1)))</f>
        <v/>
      </c>
      <c r="T40" s="57" t="str">
        <f aca="false">IF($S40="","",INDEX(BookRate,35)*(1+'5. Scenarios'!$E$10)*$S40)</f>
        <v/>
      </c>
      <c r="U40" s="57" t="str">
        <f aca="false">IF($T40="","",SUMIFS($T$6:$T$2405,$A$6:$A$2405,"&lt;="&amp;$A40))</f>
        <v/>
      </c>
      <c r="V40" s="57" t="str">
        <f aca="false">IF($T40="","",IF($U40&lt;=BankCostEnvelope*'5. Scenarios'!$E$7,1,0))</f>
        <v/>
      </c>
      <c r="W40" s="57" t="str">
        <f aca="false">IF($S40="","",INDEX(BookRate,35)*(1+'5. Scenarios'!$E$10)*(INDEX(BookQ1,35)*(5-MIN(4,1+'5. Scenarios'!$E$8))/4+INDEX(BookQ2,35)*(5-MIN(4,2+'5. Scenarios'!$E$8))/4+INDEX(BookQ3,35)*(5-MIN(4,3+'5. Scenarios'!$E$8))/4+INDEX(BookQ4,35)*(5-MIN(4,4+'5. Scenarios'!$E$8))/4)*'5. Scenarios'!$E$6/(1+ProductivityDefault*('5. Scenarios'!$E$11-1))+INDEX(BookOneOff,35)*$S40)</f>
        <v/>
      </c>
    </row>
    <row r="41" customFormat="false" ht="15" hidden="false" customHeight="false" outlineLevel="0" collapsed="false">
      <c r="A41" s="0" t="str">
        <f aca="false">IF(INDEX(BookTitle,36)="","",INDEX(BookKey,36))</f>
        <v/>
      </c>
      <c r="B41" s="0" t="str">
        <f aca="false">IF(INDEX(BookTitle,36)="","",INDEX(BookGroup,36))</f>
        <v/>
      </c>
      <c r="C41" s="0" t="str">
        <f aca="false">IF(INDEX(BookTitle,36)="","",INDEX(BookCategory,36))</f>
        <v/>
      </c>
      <c r="D41" s="56" t="str">
        <f aca="false">IF(INDEX(BookTitle,36)="","",INDEX(BookTotal,36)*'5. Scenarios'!$B$6/(1+ProductivityDefault*('5. Scenarios'!$B$11-1)))</f>
        <v/>
      </c>
      <c r="E41" s="57" t="str">
        <f aca="false">IF($D41="","",INDEX(BookRate,36)*(1+'5. Scenarios'!$B$10)*$D41)</f>
        <v/>
      </c>
      <c r="F41" s="57" t="str">
        <f aca="false">IF($E41="","",SUMIFS($E$6:$E$2405,$A$6:$A$2405,"&lt;="&amp;$A41))</f>
        <v/>
      </c>
      <c r="G41" s="57" t="str">
        <f aca="false">IF($E41="","",IF($F41&lt;=BankCostEnvelope*'5. Scenarios'!$B$7,1,0))</f>
        <v/>
      </c>
      <c r="H41" s="57" t="str">
        <f aca="false">IF($D41="","",INDEX(BookRate,36)*(1+'5. Scenarios'!$B$10)*(INDEX(BookQ1,36)*(5-MIN(4,1+'5. Scenarios'!$B$8))/4+INDEX(BookQ2,36)*(5-MIN(4,2+'5. Scenarios'!$B$8))/4+INDEX(BookQ3,36)*(5-MIN(4,3+'5. Scenarios'!$B$8))/4+INDEX(BookQ4,36)*(5-MIN(4,4+'5. Scenarios'!$B$8))/4)*'5. Scenarios'!$B$6/(1+ProductivityDefault*('5. Scenarios'!$B$11-1))+INDEX(BookOneOff,36)*$D41)</f>
        <v/>
      </c>
      <c r="I41" s="56" t="str">
        <f aca="false">IF(INDEX(BookTitle,36)="","",INDEX(BookTotal,36)*'5. Scenarios'!$C$6/(1+ProductivityDefault*('5. Scenarios'!$C$11-1)))</f>
        <v/>
      </c>
      <c r="J41" s="57" t="str">
        <f aca="false">IF($I41="","",INDEX(BookRate,36)*(1+'5. Scenarios'!$C$10)*$I41)</f>
        <v/>
      </c>
      <c r="K41" s="57" t="str">
        <f aca="false">IF($J41="","",SUMIFS($J$6:$J$2405,$A$6:$A$2405,"&lt;="&amp;$A41))</f>
        <v/>
      </c>
      <c r="L41" s="57" t="str">
        <f aca="false">IF($J41="","",IF($K41&lt;=BankCostEnvelope*'5. Scenarios'!$C$7,1,0))</f>
        <v/>
      </c>
      <c r="M41" s="57" t="str">
        <f aca="false">IF($I41="","",INDEX(BookRate,36)*(1+'5. Scenarios'!$C$10)*(INDEX(BookQ1,36)*(5-MIN(4,1+'5. Scenarios'!$C$8))/4+INDEX(BookQ2,36)*(5-MIN(4,2+'5. Scenarios'!$C$8))/4+INDEX(BookQ3,36)*(5-MIN(4,3+'5. Scenarios'!$C$8))/4+INDEX(BookQ4,36)*(5-MIN(4,4+'5. Scenarios'!$C$8))/4)*'5. Scenarios'!$C$6/(1+ProductivityDefault*('5. Scenarios'!$C$11-1))+INDEX(BookOneOff,36)*$I41)</f>
        <v/>
      </c>
      <c r="N41" s="56" t="str">
        <f aca="false">IF(INDEX(BookTitle,36)="","",INDEX(BookTotal,36)*'5. Scenarios'!$D$6/(1+ProductivityDefault*('5. Scenarios'!$D$11-1)))</f>
        <v/>
      </c>
      <c r="O41" s="57" t="str">
        <f aca="false">IF($N41="","",INDEX(BookRate,36)*(1+'5. Scenarios'!$D$10)*$N41)</f>
        <v/>
      </c>
      <c r="P41" s="57" t="str">
        <f aca="false">IF($O41="","",SUMIFS($O$6:$O$2405,$A$6:$A$2405,"&lt;="&amp;$A41))</f>
        <v/>
      </c>
      <c r="Q41" s="57" t="str">
        <f aca="false">IF($O41="","",IF($P41&lt;=BankCostEnvelope*'5. Scenarios'!$D$7,1,0))</f>
        <v/>
      </c>
      <c r="R41" s="57" t="str">
        <f aca="false">IF($N41="","",INDEX(BookRate,36)*(1+'5. Scenarios'!$D$10)*(INDEX(BookQ1,36)*(5-MIN(4,1+'5. Scenarios'!$D$8))/4+INDEX(BookQ2,36)*(5-MIN(4,2+'5. Scenarios'!$D$8))/4+INDEX(BookQ3,36)*(5-MIN(4,3+'5. Scenarios'!$D$8))/4+INDEX(BookQ4,36)*(5-MIN(4,4+'5. Scenarios'!$D$8))/4)*'5. Scenarios'!$D$6/(1+ProductivityDefault*('5. Scenarios'!$D$11-1))+INDEX(BookOneOff,36)*$N41)</f>
        <v/>
      </c>
      <c r="S41" s="56" t="str">
        <f aca="false">IF(INDEX(BookTitle,36)="","",INDEX(BookTotal,36)*'5. Scenarios'!$E$6/(1+ProductivityDefault*('5. Scenarios'!$E$11-1)))</f>
        <v/>
      </c>
      <c r="T41" s="57" t="str">
        <f aca="false">IF($S41="","",INDEX(BookRate,36)*(1+'5. Scenarios'!$E$10)*$S41)</f>
        <v/>
      </c>
      <c r="U41" s="57" t="str">
        <f aca="false">IF($T41="","",SUMIFS($T$6:$T$2405,$A$6:$A$2405,"&lt;="&amp;$A41))</f>
        <v/>
      </c>
      <c r="V41" s="57" t="str">
        <f aca="false">IF($T41="","",IF($U41&lt;=BankCostEnvelope*'5. Scenarios'!$E$7,1,0))</f>
        <v/>
      </c>
      <c r="W41" s="57" t="str">
        <f aca="false">IF($S41="","",INDEX(BookRate,36)*(1+'5. Scenarios'!$E$10)*(INDEX(BookQ1,36)*(5-MIN(4,1+'5. Scenarios'!$E$8))/4+INDEX(BookQ2,36)*(5-MIN(4,2+'5. Scenarios'!$E$8))/4+INDEX(BookQ3,36)*(5-MIN(4,3+'5. Scenarios'!$E$8))/4+INDEX(BookQ4,36)*(5-MIN(4,4+'5. Scenarios'!$E$8))/4)*'5. Scenarios'!$E$6/(1+ProductivityDefault*('5. Scenarios'!$E$11-1))+INDEX(BookOneOff,36)*$S41)</f>
        <v/>
      </c>
    </row>
    <row r="42" customFormat="false" ht="15" hidden="false" customHeight="false" outlineLevel="0" collapsed="false">
      <c r="A42" s="0" t="str">
        <f aca="false">IF(INDEX(BookTitle,37)="","",INDEX(BookKey,37))</f>
        <v/>
      </c>
      <c r="B42" s="0" t="str">
        <f aca="false">IF(INDEX(BookTitle,37)="","",INDEX(BookGroup,37))</f>
        <v/>
      </c>
      <c r="C42" s="0" t="str">
        <f aca="false">IF(INDEX(BookTitle,37)="","",INDEX(BookCategory,37))</f>
        <v/>
      </c>
      <c r="D42" s="56" t="str">
        <f aca="false">IF(INDEX(BookTitle,37)="","",INDEX(BookTotal,37)*'5. Scenarios'!$B$6/(1+ProductivityDefault*('5. Scenarios'!$B$11-1)))</f>
        <v/>
      </c>
      <c r="E42" s="57" t="str">
        <f aca="false">IF($D42="","",INDEX(BookRate,37)*(1+'5. Scenarios'!$B$10)*$D42)</f>
        <v/>
      </c>
      <c r="F42" s="57" t="str">
        <f aca="false">IF($E42="","",SUMIFS($E$6:$E$2405,$A$6:$A$2405,"&lt;="&amp;$A42))</f>
        <v/>
      </c>
      <c r="G42" s="57" t="str">
        <f aca="false">IF($E42="","",IF($F42&lt;=BankCostEnvelope*'5. Scenarios'!$B$7,1,0))</f>
        <v/>
      </c>
      <c r="H42" s="57" t="str">
        <f aca="false">IF($D42="","",INDEX(BookRate,37)*(1+'5. Scenarios'!$B$10)*(INDEX(BookQ1,37)*(5-MIN(4,1+'5. Scenarios'!$B$8))/4+INDEX(BookQ2,37)*(5-MIN(4,2+'5. Scenarios'!$B$8))/4+INDEX(BookQ3,37)*(5-MIN(4,3+'5. Scenarios'!$B$8))/4+INDEX(BookQ4,37)*(5-MIN(4,4+'5. Scenarios'!$B$8))/4)*'5. Scenarios'!$B$6/(1+ProductivityDefault*('5. Scenarios'!$B$11-1))+INDEX(BookOneOff,37)*$D42)</f>
        <v/>
      </c>
      <c r="I42" s="56" t="str">
        <f aca="false">IF(INDEX(BookTitle,37)="","",INDEX(BookTotal,37)*'5. Scenarios'!$C$6/(1+ProductivityDefault*('5. Scenarios'!$C$11-1)))</f>
        <v/>
      </c>
      <c r="J42" s="57" t="str">
        <f aca="false">IF($I42="","",INDEX(BookRate,37)*(1+'5. Scenarios'!$C$10)*$I42)</f>
        <v/>
      </c>
      <c r="K42" s="57" t="str">
        <f aca="false">IF($J42="","",SUMIFS($J$6:$J$2405,$A$6:$A$2405,"&lt;="&amp;$A42))</f>
        <v/>
      </c>
      <c r="L42" s="57" t="str">
        <f aca="false">IF($J42="","",IF($K42&lt;=BankCostEnvelope*'5. Scenarios'!$C$7,1,0))</f>
        <v/>
      </c>
      <c r="M42" s="57" t="str">
        <f aca="false">IF($I42="","",INDEX(BookRate,37)*(1+'5. Scenarios'!$C$10)*(INDEX(BookQ1,37)*(5-MIN(4,1+'5. Scenarios'!$C$8))/4+INDEX(BookQ2,37)*(5-MIN(4,2+'5. Scenarios'!$C$8))/4+INDEX(BookQ3,37)*(5-MIN(4,3+'5. Scenarios'!$C$8))/4+INDEX(BookQ4,37)*(5-MIN(4,4+'5. Scenarios'!$C$8))/4)*'5. Scenarios'!$C$6/(1+ProductivityDefault*('5. Scenarios'!$C$11-1))+INDEX(BookOneOff,37)*$I42)</f>
        <v/>
      </c>
      <c r="N42" s="56" t="str">
        <f aca="false">IF(INDEX(BookTitle,37)="","",INDEX(BookTotal,37)*'5. Scenarios'!$D$6/(1+ProductivityDefault*('5. Scenarios'!$D$11-1)))</f>
        <v/>
      </c>
      <c r="O42" s="57" t="str">
        <f aca="false">IF($N42="","",INDEX(BookRate,37)*(1+'5. Scenarios'!$D$10)*$N42)</f>
        <v/>
      </c>
      <c r="P42" s="57" t="str">
        <f aca="false">IF($O42="","",SUMIFS($O$6:$O$2405,$A$6:$A$2405,"&lt;="&amp;$A42))</f>
        <v/>
      </c>
      <c r="Q42" s="57" t="str">
        <f aca="false">IF($O42="","",IF($P42&lt;=BankCostEnvelope*'5. Scenarios'!$D$7,1,0))</f>
        <v/>
      </c>
      <c r="R42" s="57" t="str">
        <f aca="false">IF($N42="","",INDEX(BookRate,37)*(1+'5. Scenarios'!$D$10)*(INDEX(BookQ1,37)*(5-MIN(4,1+'5. Scenarios'!$D$8))/4+INDEX(BookQ2,37)*(5-MIN(4,2+'5. Scenarios'!$D$8))/4+INDEX(BookQ3,37)*(5-MIN(4,3+'5. Scenarios'!$D$8))/4+INDEX(BookQ4,37)*(5-MIN(4,4+'5. Scenarios'!$D$8))/4)*'5. Scenarios'!$D$6/(1+ProductivityDefault*('5. Scenarios'!$D$11-1))+INDEX(BookOneOff,37)*$N42)</f>
        <v/>
      </c>
      <c r="S42" s="56" t="str">
        <f aca="false">IF(INDEX(BookTitle,37)="","",INDEX(BookTotal,37)*'5. Scenarios'!$E$6/(1+ProductivityDefault*('5. Scenarios'!$E$11-1)))</f>
        <v/>
      </c>
      <c r="T42" s="57" t="str">
        <f aca="false">IF($S42="","",INDEX(BookRate,37)*(1+'5. Scenarios'!$E$10)*$S42)</f>
        <v/>
      </c>
      <c r="U42" s="57" t="str">
        <f aca="false">IF($T42="","",SUMIFS($T$6:$T$2405,$A$6:$A$2405,"&lt;="&amp;$A42))</f>
        <v/>
      </c>
      <c r="V42" s="57" t="str">
        <f aca="false">IF($T42="","",IF($U42&lt;=BankCostEnvelope*'5. Scenarios'!$E$7,1,0))</f>
        <v/>
      </c>
      <c r="W42" s="57" t="str">
        <f aca="false">IF($S42="","",INDEX(BookRate,37)*(1+'5. Scenarios'!$E$10)*(INDEX(BookQ1,37)*(5-MIN(4,1+'5. Scenarios'!$E$8))/4+INDEX(BookQ2,37)*(5-MIN(4,2+'5. Scenarios'!$E$8))/4+INDEX(BookQ3,37)*(5-MIN(4,3+'5. Scenarios'!$E$8))/4+INDEX(BookQ4,37)*(5-MIN(4,4+'5. Scenarios'!$E$8))/4)*'5. Scenarios'!$E$6/(1+ProductivityDefault*('5. Scenarios'!$E$11-1))+INDEX(BookOneOff,37)*$S42)</f>
        <v/>
      </c>
    </row>
    <row r="43" customFormat="false" ht="15" hidden="false" customHeight="false" outlineLevel="0" collapsed="false">
      <c r="A43" s="0" t="str">
        <f aca="false">IF(INDEX(BookTitle,38)="","",INDEX(BookKey,38))</f>
        <v/>
      </c>
      <c r="B43" s="0" t="str">
        <f aca="false">IF(INDEX(BookTitle,38)="","",INDEX(BookGroup,38))</f>
        <v/>
      </c>
      <c r="C43" s="0" t="str">
        <f aca="false">IF(INDEX(BookTitle,38)="","",INDEX(BookCategory,38))</f>
        <v/>
      </c>
      <c r="D43" s="56" t="str">
        <f aca="false">IF(INDEX(BookTitle,38)="","",INDEX(BookTotal,38)*'5. Scenarios'!$B$6/(1+ProductivityDefault*('5. Scenarios'!$B$11-1)))</f>
        <v/>
      </c>
      <c r="E43" s="57" t="str">
        <f aca="false">IF($D43="","",INDEX(BookRate,38)*(1+'5. Scenarios'!$B$10)*$D43)</f>
        <v/>
      </c>
      <c r="F43" s="57" t="str">
        <f aca="false">IF($E43="","",SUMIFS($E$6:$E$2405,$A$6:$A$2405,"&lt;="&amp;$A43))</f>
        <v/>
      </c>
      <c r="G43" s="57" t="str">
        <f aca="false">IF($E43="","",IF($F43&lt;=BankCostEnvelope*'5. Scenarios'!$B$7,1,0))</f>
        <v/>
      </c>
      <c r="H43" s="57" t="str">
        <f aca="false">IF($D43="","",INDEX(BookRate,38)*(1+'5. Scenarios'!$B$10)*(INDEX(BookQ1,38)*(5-MIN(4,1+'5. Scenarios'!$B$8))/4+INDEX(BookQ2,38)*(5-MIN(4,2+'5. Scenarios'!$B$8))/4+INDEX(BookQ3,38)*(5-MIN(4,3+'5. Scenarios'!$B$8))/4+INDEX(BookQ4,38)*(5-MIN(4,4+'5. Scenarios'!$B$8))/4)*'5. Scenarios'!$B$6/(1+ProductivityDefault*('5. Scenarios'!$B$11-1))+INDEX(BookOneOff,38)*$D43)</f>
        <v/>
      </c>
      <c r="I43" s="56" t="str">
        <f aca="false">IF(INDEX(BookTitle,38)="","",INDEX(BookTotal,38)*'5. Scenarios'!$C$6/(1+ProductivityDefault*('5. Scenarios'!$C$11-1)))</f>
        <v/>
      </c>
      <c r="J43" s="57" t="str">
        <f aca="false">IF($I43="","",INDEX(BookRate,38)*(1+'5. Scenarios'!$C$10)*$I43)</f>
        <v/>
      </c>
      <c r="K43" s="57" t="str">
        <f aca="false">IF($J43="","",SUMIFS($J$6:$J$2405,$A$6:$A$2405,"&lt;="&amp;$A43))</f>
        <v/>
      </c>
      <c r="L43" s="57" t="str">
        <f aca="false">IF($J43="","",IF($K43&lt;=BankCostEnvelope*'5. Scenarios'!$C$7,1,0))</f>
        <v/>
      </c>
      <c r="M43" s="57" t="str">
        <f aca="false">IF($I43="","",INDEX(BookRate,38)*(1+'5. Scenarios'!$C$10)*(INDEX(BookQ1,38)*(5-MIN(4,1+'5. Scenarios'!$C$8))/4+INDEX(BookQ2,38)*(5-MIN(4,2+'5. Scenarios'!$C$8))/4+INDEX(BookQ3,38)*(5-MIN(4,3+'5. Scenarios'!$C$8))/4+INDEX(BookQ4,38)*(5-MIN(4,4+'5. Scenarios'!$C$8))/4)*'5. Scenarios'!$C$6/(1+ProductivityDefault*('5. Scenarios'!$C$11-1))+INDEX(BookOneOff,38)*$I43)</f>
        <v/>
      </c>
      <c r="N43" s="56" t="str">
        <f aca="false">IF(INDEX(BookTitle,38)="","",INDEX(BookTotal,38)*'5. Scenarios'!$D$6/(1+ProductivityDefault*('5. Scenarios'!$D$11-1)))</f>
        <v/>
      </c>
      <c r="O43" s="57" t="str">
        <f aca="false">IF($N43="","",INDEX(BookRate,38)*(1+'5. Scenarios'!$D$10)*$N43)</f>
        <v/>
      </c>
      <c r="P43" s="57" t="str">
        <f aca="false">IF($O43="","",SUMIFS($O$6:$O$2405,$A$6:$A$2405,"&lt;="&amp;$A43))</f>
        <v/>
      </c>
      <c r="Q43" s="57" t="str">
        <f aca="false">IF($O43="","",IF($P43&lt;=BankCostEnvelope*'5. Scenarios'!$D$7,1,0))</f>
        <v/>
      </c>
      <c r="R43" s="57" t="str">
        <f aca="false">IF($N43="","",INDEX(BookRate,38)*(1+'5. Scenarios'!$D$10)*(INDEX(BookQ1,38)*(5-MIN(4,1+'5. Scenarios'!$D$8))/4+INDEX(BookQ2,38)*(5-MIN(4,2+'5. Scenarios'!$D$8))/4+INDEX(BookQ3,38)*(5-MIN(4,3+'5. Scenarios'!$D$8))/4+INDEX(BookQ4,38)*(5-MIN(4,4+'5. Scenarios'!$D$8))/4)*'5. Scenarios'!$D$6/(1+ProductivityDefault*('5. Scenarios'!$D$11-1))+INDEX(BookOneOff,38)*$N43)</f>
        <v/>
      </c>
      <c r="S43" s="56" t="str">
        <f aca="false">IF(INDEX(BookTitle,38)="","",INDEX(BookTotal,38)*'5. Scenarios'!$E$6/(1+ProductivityDefault*('5. Scenarios'!$E$11-1)))</f>
        <v/>
      </c>
      <c r="T43" s="57" t="str">
        <f aca="false">IF($S43="","",INDEX(BookRate,38)*(1+'5. Scenarios'!$E$10)*$S43)</f>
        <v/>
      </c>
      <c r="U43" s="57" t="str">
        <f aca="false">IF($T43="","",SUMIFS($T$6:$T$2405,$A$6:$A$2405,"&lt;="&amp;$A43))</f>
        <v/>
      </c>
      <c r="V43" s="57" t="str">
        <f aca="false">IF($T43="","",IF($U43&lt;=BankCostEnvelope*'5. Scenarios'!$E$7,1,0))</f>
        <v/>
      </c>
      <c r="W43" s="57" t="str">
        <f aca="false">IF($S43="","",INDEX(BookRate,38)*(1+'5. Scenarios'!$E$10)*(INDEX(BookQ1,38)*(5-MIN(4,1+'5. Scenarios'!$E$8))/4+INDEX(BookQ2,38)*(5-MIN(4,2+'5. Scenarios'!$E$8))/4+INDEX(BookQ3,38)*(5-MIN(4,3+'5. Scenarios'!$E$8))/4+INDEX(BookQ4,38)*(5-MIN(4,4+'5. Scenarios'!$E$8))/4)*'5. Scenarios'!$E$6/(1+ProductivityDefault*('5. Scenarios'!$E$11-1))+INDEX(BookOneOff,38)*$S43)</f>
        <v/>
      </c>
    </row>
    <row r="44" customFormat="false" ht="15" hidden="false" customHeight="false" outlineLevel="0" collapsed="false">
      <c r="A44" s="0" t="str">
        <f aca="false">IF(INDEX(BookTitle,39)="","",INDEX(BookKey,39))</f>
        <v/>
      </c>
      <c r="B44" s="0" t="str">
        <f aca="false">IF(INDEX(BookTitle,39)="","",INDEX(BookGroup,39))</f>
        <v/>
      </c>
      <c r="C44" s="0" t="str">
        <f aca="false">IF(INDEX(BookTitle,39)="","",INDEX(BookCategory,39))</f>
        <v/>
      </c>
      <c r="D44" s="56" t="str">
        <f aca="false">IF(INDEX(BookTitle,39)="","",INDEX(BookTotal,39)*'5. Scenarios'!$B$6/(1+ProductivityDefault*('5. Scenarios'!$B$11-1)))</f>
        <v/>
      </c>
      <c r="E44" s="57" t="str">
        <f aca="false">IF($D44="","",INDEX(BookRate,39)*(1+'5. Scenarios'!$B$10)*$D44)</f>
        <v/>
      </c>
      <c r="F44" s="57" t="str">
        <f aca="false">IF($E44="","",SUMIFS($E$6:$E$2405,$A$6:$A$2405,"&lt;="&amp;$A44))</f>
        <v/>
      </c>
      <c r="G44" s="57" t="str">
        <f aca="false">IF($E44="","",IF($F44&lt;=BankCostEnvelope*'5. Scenarios'!$B$7,1,0))</f>
        <v/>
      </c>
      <c r="H44" s="57" t="str">
        <f aca="false">IF($D44="","",INDEX(BookRate,39)*(1+'5. Scenarios'!$B$10)*(INDEX(BookQ1,39)*(5-MIN(4,1+'5. Scenarios'!$B$8))/4+INDEX(BookQ2,39)*(5-MIN(4,2+'5. Scenarios'!$B$8))/4+INDEX(BookQ3,39)*(5-MIN(4,3+'5. Scenarios'!$B$8))/4+INDEX(BookQ4,39)*(5-MIN(4,4+'5. Scenarios'!$B$8))/4)*'5. Scenarios'!$B$6/(1+ProductivityDefault*('5. Scenarios'!$B$11-1))+INDEX(BookOneOff,39)*$D44)</f>
        <v/>
      </c>
      <c r="I44" s="56" t="str">
        <f aca="false">IF(INDEX(BookTitle,39)="","",INDEX(BookTotal,39)*'5. Scenarios'!$C$6/(1+ProductivityDefault*('5. Scenarios'!$C$11-1)))</f>
        <v/>
      </c>
      <c r="J44" s="57" t="str">
        <f aca="false">IF($I44="","",INDEX(BookRate,39)*(1+'5. Scenarios'!$C$10)*$I44)</f>
        <v/>
      </c>
      <c r="K44" s="57" t="str">
        <f aca="false">IF($J44="","",SUMIFS($J$6:$J$2405,$A$6:$A$2405,"&lt;="&amp;$A44))</f>
        <v/>
      </c>
      <c r="L44" s="57" t="str">
        <f aca="false">IF($J44="","",IF($K44&lt;=BankCostEnvelope*'5. Scenarios'!$C$7,1,0))</f>
        <v/>
      </c>
      <c r="M44" s="57" t="str">
        <f aca="false">IF($I44="","",INDEX(BookRate,39)*(1+'5. Scenarios'!$C$10)*(INDEX(BookQ1,39)*(5-MIN(4,1+'5. Scenarios'!$C$8))/4+INDEX(BookQ2,39)*(5-MIN(4,2+'5. Scenarios'!$C$8))/4+INDEX(BookQ3,39)*(5-MIN(4,3+'5. Scenarios'!$C$8))/4+INDEX(BookQ4,39)*(5-MIN(4,4+'5. Scenarios'!$C$8))/4)*'5. Scenarios'!$C$6/(1+ProductivityDefault*('5. Scenarios'!$C$11-1))+INDEX(BookOneOff,39)*$I44)</f>
        <v/>
      </c>
      <c r="N44" s="56" t="str">
        <f aca="false">IF(INDEX(BookTitle,39)="","",INDEX(BookTotal,39)*'5. Scenarios'!$D$6/(1+ProductivityDefault*('5. Scenarios'!$D$11-1)))</f>
        <v/>
      </c>
      <c r="O44" s="57" t="str">
        <f aca="false">IF($N44="","",INDEX(BookRate,39)*(1+'5. Scenarios'!$D$10)*$N44)</f>
        <v/>
      </c>
      <c r="P44" s="57" t="str">
        <f aca="false">IF($O44="","",SUMIFS($O$6:$O$2405,$A$6:$A$2405,"&lt;="&amp;$A44))</f>
        <v/>
      </c>
      <c r="Q44" s="57" t="str">
        <f aca="false">IF($O44="","",IF($P44&lt;=BankCostEnvelope*'5. Scenarios'!$D$7,1,0))</f>
        <v/>
      </c>
      <c r="R44" s="57" t="str">
        <f aca="false">IF($N44="","",INDEX(BookRate,39)*(1+'5. Scenarios'!$D$10)*(INDEX(BookQ1,39)*(5-MIN(4,1+'5. Scenarios'!$D$8))/4+INDEX(BookQ2,39)*(5-MIN(4,2+'5. Scenarios'!$D$8))/4+INDEX(BookQ3,39)*(5-MIN(4,3+'5. Scenarios'!$D$8))/4+INDEX(BookQ4,39)*(5-MIN(4,4+'5. Scenarios'!$D$8))/4)*'5. Scenarios'!$D$6/(1+ProductivityDefault*('5. Scenarios'!$D$11-1))+INDEX(BookOneOff,39)*$N44)</f>
        <v/>
      </c>
      <c r="S44" s="56" t="str">
        <f aca="false">IF(INDEX(BookTitle,39)="","",INDEX(BookTotal,39)*'5. Scenarios'!$E$6/(1+ProductivityDefault*('5. Scenarios'!$E$11-1)))</f>
        <v/>
      </c>
      <c r="T44" s="57" t="str">
        <f aca="false">IF($S44="","",INDEX(BookRate,39)*(1+'5. Scenarios'!$E$10)*$S44)</f>
        <v/>
      </c>
      <c r="U44" s="57" t="str">
        <f aca="false">IF($T44="","",SUMIFS($T$6:$T$2405,$A$6:$A$2405,"&lt;="&amp;$A44))</f>
        <v/>
      </c>
      <c r="V44" s="57" t="str">
        <f aca="false">IF($T44="","",IF($U44&lt;=BankCostEnvelope*'5. Scenarios'!$E$7,1,0))</f>
        <v/>
      </c>
      <c r="W44" s="57" t="str">
        <f aca="false">IF($S44="","",INDEX(BookRate,39)*(1+'5. Scenarios'!$E$10)*(INDEX(BookQ1,39)*(5-MIN(4,1+'5. Scenarios'!$E$8))/4+INDEX(BookQ2,39)*(5-MIN(4,2+'5. Scenarios'!$E$8))/4+INDEX(BookQ3,39)*(5-MIN(4,3+'5. Scenarios'!$E$8))/4+INDEX(BookQ4,39)*(5-MIN(4,4+'5. Scenarios'!$E$8))/4)*'5. Scenarios'!$E$6/(1+ProductivityDefault*('5. Scenarios'!$E$11-1))+INDEX(BookOneOff,39)*$S44)</f>
        <v/>
      </c>
    </row>
    <row r="45" customFormat="false" ht="15" hidden="false" customHeight="false" outlineLevel="0" collapsed="false">
      <c r="A45" s="0" t="str">
        <f aca="false">IF(INDEX(BookTitle,40)="","",INDEX(BookKey,40))</f>
        <v/>
      </c>
      <c r="B45" s="0" t="str">
        <f aca="false">IF(INDEX(BookTitle,40)="","",INDEX(BookGroup,40))</f>
        <v/>
      </c>
      <c r="C45" s="0" t="str">
        <f aca="false">IF(INDEX(BookTitle,40)="","",INDEX(BookCategory,40))</f>
        <v/>
      </c>
      <c r="D45" s="56" t="str">
        <f aca="false">IF(INDEX(BookTitle,40)="","",INDEX(BookTotal,40)*'5. Scenarios'!$B$6/(1+ProductivityDefault*('5. Scenarios'!$B$11-1)))</f>
        <v/>
      </c>
      <c r="E45" s="57" t="str">
        <f aca="false">IF($D45="","",INDEX(BookRate,40)*(1+'5. Scenarios'!$B$10)*$D45)</f>
        <v/>
      </c>
      <c r="F45" s="57" t="str">
        <f aca="false">IF($E45="","",SUMIFS($E$6:$E$2405,$A$6:$A$2405,"&lt;="&amp;$A45))</f>
        <v/>
      </c>
      <c r="G45" s="57" t="str">
        <f aca="false">IF($E45="","",IF($F45&lt;=BankCostEnvelope*'5. Scenarios'!$B$7,1,0))</f>
        <v/>
      </c>
      <c r="H45" s="57" t="str">
        <f aca="false">IF($D45="","",INDEX(BookRate,40)*(1+'5. Scenarios'!$B$10)*(INDEX(BookQ1,40)*(5-MIN(4,1+'5. Scenarios'!$B$8))/4+INDEX(BookQ2,40)*(5-MIN(4,2+'5. Scenarios'!$B$8))/4+INDEX(BookQ3,40)*(5-MIN(4,3+'5. Scenarios'!$B$8))/4+INDEX(BookQ4,40)*(5-MIN(4,4+'5. Scenarios'!$B$8))/4)*'5. Scenarios'!$B$6/(1+ProductivityDefault*('5. Scenarios'!$B$11-1))+INDEX(BookOneOff,40)*$D45)</f>
        <v/>
      </c>
      <c r="I45" s="56" t="str">
        <f aca="false">IF(INDEX(BookTitle,40)="","",INDEX(BookTotal,40)*'5. Scenarios'!$C$6/(1+ProductivityDefault*('5. Scenarios'!$C$11-1)))</f>
        <v/>
      </c>
      <c r="J45" s="57" t="str">
        <f aca="false">IF($I45="","",INDEX(BookRate,40)*(1+'5. Scenarios'!$C$10)*$I45)</f>
        <v/>
      </c>
      <c r="K45" s="57" t="str">
        <f aca="false">IF($J45="","",SUMIFS($J$6:$J$2405,$A$6:$A$2405,"&lt;="&amp;$A45))</f>
        <v/>
      </c>
      <c r="L45" s="57" t="str">
        <f aca="false">IF($J45="","",IF($K45&lt;=BankCostEnvelope*'5. Scenarios'!$C$7,1,0))</f>
        <v/>
      </c>
      <c r="M45" s="57" t="str">
        <f aca="false">IF($I45="","",INDEX(BookRate,40)*(1+'5. Scenarios'!$C$10)*(INDEX(BookQ1,40)*(5-MIN(4,1+'5. Scenarios'!$C$8))/4+INDEX(BookQ2,40)*(5-MIN(4,2+'5. Scenarios'!$C$8))/4+INDEX(BookQ3,40)*(5-MIN(4,3+'5. Scenarios'!$C$8))/4+INDEX(BookQ4,40)*(5-MIN(4,4+'5. Scenarios'!$C$8))/4)*'5. Scenarios'!$C$6/(1+ProductivityDefault*('5. Scenarios'!$C$11-1))+INDEX(BookOneOff,40)*$I45)</f>
        <v/>
      </c>
      <c r="N45" s="56" t="str">
        <f aca="false">IF(INDEX(BookTitle,40)="","",INDEX(BookTotal,40)*'5. Scenarios'!$D$6/(1+ProductivityDefault*('5. Scenarios'!$D$11-1)))</f>
        <v/>
      </c>
      <c r="O45" s="57" t="str">
        <f aca="false">IF($N45="","",INDEX(BookRate,40)*(1+'5. Scenarios'!$D$10)*$N45)</f>
        <v/>
      </c>
      <c r="P45" s="57" t="str">
        <f aca="false">IF($O45="","",SUMIFS($O$6:$O$2405,$A$6:$A$2405,"&lt;="&amp;$A45))</f>
        <v/>
      </c>
      <c r="Q45" s="57" t="str">
        <f aca="false">IF($O45="","",IF($P45&lt;=BankCostEnvelope*'5. Scenarios'!$D$7,1,0))</f>
        <v/>
      </c>
      <c r="R45" s="57" t="str">
        <f aca="false">IF($N45="","",INDEX(BookRate,40)*(1+'5. Scenarios'!$D$10)*(INDEX(BookQ1,40)*(5-MIN(4,1+'5. Scenarios'!$D$8))/4+INDEX(BookQ2,40)*(5-MIN(4,2+'5. Scenarios'!$D$8))/4+INDEX(BookQ3,40)*(5-MIN(4,3+'5. Scenarios'!$D$8))/4+INDEX(BookQ4,40)*(5-MIN(4,4+'5. Scenarios'!$D$8))/4)*'5. Scenarios'!$D$6/(1+ProductivityDefault*('5. Scenarios'!$D$11-1))+INDEX(BookOneOff,40)*$N45)</f>
        <v/>
      </c>
      <c r="S45" s="56" t="str">
        <f aca="false">IF(INDEX(BookTitle,40)="","",INDEX(BookTotal,40)*'5. Scenarios'!$E$6/(1+ProductivityDefault*('5. Scenarios'!$E$11-1)))</f>
        <v/>
      </c>
      <c r="T45" s="57" t="str">
        <f aca="false">IF($S45="","",INDEX(BookRate,40)*(1+'5. Scenarios'!$E$10)*$S45)</f>
        <v/>
      </c>
      <c r="U45" s="57" t="str">
        <f aca="false">IF($T45="","",SUMIFS($T$6:$T$2405,$A$6:$A$2405,"&lt;="&amp;$A45))</f>
        <v/>
      </c>
      <c r="V45" s="57" t="str">
        <f aca="false">IF($T45="","",IF($U45&lt;=BankCostEnvelope*'5. Scenarios'!$E$7,1,0))</f>
        <v/>
      </c>
      <c r="W45" s="57" t="str">
        <f aca="false">IF($S45="","",INDEX(BookRate,40)*(1+'5. Scenarios'!$E$10)*(INDEX(BookQ1,40)*(5-MIN(4,1+'5. Scenarios'!$E$8))/4+INDEX(BookQ2,40)*(5-MIN(4,2+'5. Scenarios'!$E$8))/4+INDEX(BookQ3,40)*(5-MIN(4,3+'5. Scenarios'!$E$8))/4+INDEX(BookQ4,40)*(5-MIN(4,4+'5. Scenarios'!$E$8))/4)*'5. Scenarios'!$E$6/(1+ProductivityDefault*('5. Scenarios'!$E$11-1))+INDEX(BookOneOff,40)*$S45)</f>
        <v/>
      </c>
    </row>
    <row r="46" customFormat="false" ht="15" hidden="false" customHeight="false" outlineLevel="0" collapsed="false">
      <c r="A46" s="0" t="str">
        <f aca="false">IF(INDEX(BookTitle,41)="","",INDEX(BookKey,41))</f>
        <v/>
      </c>
      <c r="B46" s="0" t="str">
        <f aca="false">IF(INDEX(BookTitle,41)="","",INDEX(BookGroup,41))</f>
        <v/>
      </c>
      <c r="C46" s="0" t="str">
        <f aca="false">IF(INDEX(BookTitle,41)="","",INDEX(BookCategory,41))</f>
        <v/>
      </c>
      <c r="D46" s="56" t="str">
        <f aca="false">IF(INDEX(BookTitle,41)="","",INDEX(BookTotal,41)*'5. Scenarios'!$B$6/(1+ProductivityDefault*('5. Scenarios'!$B$11-1)))</f>
        <v/>
      </c>
      <c r="E46" s="57" t="str">
        <f aca="false">IF($D46="","",INDEX(BookRate,41)*(1+'5. Scenarios'!$B$10)*$D46)</f>
        <v/>
      </c>
      <c r="F46" s="57" t="str">
        <f aca="false">IF($E46="","",SUMIFS($E$6:$E$2405,$A$6:$A$2405,"&lt;="&amp;$A46))</f>
        <v/>
      </c>
      <c r="G46" s="57" t="str">
        <f aca="false">IF($E46="","",IF($F46&lt;=BankCostEnvelope*'5. Scenarios'!$B$7,1,0))</f>
        <v/>
      </c>
      <c r="H46" s="57" t="str">
        <f aca="false">IF($D46="","",INDEX(BookRate,41)*(1+'5. Scenarios'!$B$10)*(INDEX(BookQ1,41)*(5-MIN(4,1+'5. Scenarios'!$B$8))/4+INDEX(BookQ2,41)*(5-MIN(4,2+'5. Scenarios'!$B$8))/4+INDEX(BookQ3,41)*(5-MIN(4,3+'5. Scenarios'!$B$8))/4+INDEX(BookQ4,41)*(5-MIN(4,4+'5. Scenarios'!$B$8))/4)*'5. Scenarios'!$B$6/(1+ProductivityDefault*('5. Scenarios'!$B$11-1))+INDEX(BookOneOff,41)*$D46)</f>
        <v/>
      </c>
      <c r="I46" s="56" t="str">
        <f aca="false">IF(INDEX(BookTitle,41)="","",INDEX(BookTotal,41)*'5. Scenarios'!$C$6/(1+ProductivityDefault*('5. Scenarios'!$C$11-1)))</f>
        <v/>
      </c>
      <c r="J46" s="57" t="str">
        <f aca="false">IF($I46="","",INDEX(BookRate,41)*(1+'5. Scenarios'!$C$10)*$I46)</f>
        <v/>
      </c>
      <c r="K46" s="57" t="str">
        <f aca="false">IF($J46="","",SUMIFS($J$6:$J$2405,$A$6:$A$2405,"&lt;="&amp;$A46))</f>
        <v/>
      </c>
      <c r="L46" s="57" t="str">
        <f aca="false">IF($J46="","",IF($K46&lt;=BankCostEnvelope*'5. Scenarios'!$C$7,1,0))</f>
        <v/>
      </c>
      <c r="M46" s="57" t="str">
        <f aca="false">IF($I46="","",INDEX(BookRate,41)*(1+'5. Scenarios'!$C$10)*(INDEX(BookQ1,41)*(5-MIN(4,1+'5. Scenarios'!$C$8))/4+INDEX(BookQ2,41)*(5-MIN(4,2+'5. Scenarios'!$C$8))/4+INDEX(BookQ3,41)*(5-MIN(4,3+'5. Scenarios'!$C$8))/4+INDEX(BookQ4,41)*(5-MIN(4,4+'5. Scenarios'!$C$8))/4)*'5. Scenarios'!$C$6/(1+ProductivityDefault*('5. Scenarios'!$C$11-1))+INDEX(BookOneOff,41)*$I46)</f>
        <v/>
      </c>
      <c r="N46" s="56" t="str">
        <f aca="false">IF(INDEX(BookTitle,41)="","",INDEX(BookTotal,41)*'5. Scenarios'!$D$6/(1+ProductivityDefault*('5. Scenarios'!$D$11-1)))</f>
        <v/>
      </c>
      <c r="O46" s="57" t="str">
        <f aca="false">IF($N46="","",INDEX(BookRate,41)*(1+'5. Scenarios'!$D$10)*$N46)</f>
        <v/>
      </c>
      <c r="P46" s="57" t="str">
        <f aca="false">IF($O46="","",SUMIFS($O$6:$O$2405,$A$6:$A$2405,"&lt;="&amp;$A46))</f>
        <v/>
      </c>
      <c r="Q46" s="57" t="str">
        <f aca="false">IF($O46="","",IF($P46&lt;=BankCostEnvelope*'5. Scenarios'!$D$7,1,0))</f>
        <v/>
      </c>
      <c r="R46" s="57" t="str">
        <f aca="false">IF($N46="","",INDEX(BookRate,41)*(1+'5. Scenarios'!$D$10)*(INDEX(BookQ1,41)*(5-MIN(4,1+'5. Scenarios'!$D$8))/4+INDEX(BookQ2,41)*(5-MIN(4,2+'5. Scenarios'!$D$8))/4+INDEX(BookQ3,41)*(5-MIN(4,3+'5. Scenarios'!$D$8))/4+INDEX(BookQ4,41)*(5-MIN(4,4+'5. Scenarios'!$D$8))/4)*'5. Scenarios'!$D$6/(1+ProductivityDefault*('5. Scenarios'!$D$11-1))+INDEX(BookOneOff,41)*$N46)</f>
        <v/>
      </c>
      <c r="S46" s="56" t="str">
        <f aca="false">IF(INDEX(BookTitle,41)="","",INDEX(BookTotal,41)*'5. Scenarios'!$E$6/(1+ProductivityDefault*('5. Scenarios'!$E$11-1)))</f>
        <v/>
      </c>
      <c r="T46" s="57" t="str">
        <f aca="false">IF($S46="","",INDEX(BookRate,41)*(1+'5. Scenarios'!$E$10)*$S46)</f>
        <v/>
      </c>
      <c r="U46" s="57" t="str">
        <f aca="false">IF($T46="","",SUMIFS($T$6:$T$2405,$A$6:$A$2405,"&lt;="&amp;$A46))</f>
        <v/>
      </c>
      <c r="V46" s="57" t="str">
        <f aca="false">IF($T46="","",IF($U46&lt;=BankCostEnvelope*'5. Scenarios'!$E$7,1,0))</f>
        <v/>
      </c>
      <c r="W46" s="57" t="str">
        <f aca="false">IF($S46="","",INDEX(BookRate,41)*(1+'5. Scenarios'!$E$10)*(INDEX(BookQ1,41)*(5-MIN(4,1+'5. Scenarios'!$E$8))/4+INDEX(BookQ2,41)*(5-MIN(4,2+'5. Scenarios'!$E$8))/4+INDEX(BookQ3,41)*(5-MIN(4,3+'5. Scenarios'!$E$8))/4+INDEX(BookQ4,41)*(5-MIN(4,4+'5. Scenarios'!$E$8))/4)*'5. Scenarios'!$E$6/(1+ProductivityDefault*('5. Scenarios'!$E$11-1))+INDEX(BookOneOff,41)*$S46)</f>
        <v/>
      </c>
    </row>
    <row r="47" customFormat="false" ht="15" hidden="false" customHeight="false" outlineLevel="0" collapsed="false">
      <c r="A47" s="0" t="str">
        <f aca="false">IF(INDEX(BookTitle,42)="","",INDEX(BookKey,42))</f>
        <v/>
      </c>
      <c r="B47" s="0" t="str">
        <f aca="false">IF(INDEX(BookTitle,42)="","",INDEX(BookGroup,42))</f>
        <v/>
      </c>
      <c r="C47" s="0" t="str">
        <f aca="false">IF(INDEX(BookTitle,42)="","",INDEX(BookCategory,42))</f>
        <v/>
      </c>
      <c r="D47" s="56" t="str">
        <f aca="false">IF(INDEX(BookTitle,42)="","",INDEX(BookTotal,42)*'5. Scenarios'!$B$6/(1+ProductivityDefault*('5. Scenarios'!$B$11-1)))</f>
        <v/>
      </c>
      <c r="E47" s="57" t="str">
        <f aca="false">IF($D47="","",INDEX(BookRate,42)*(1+'5. Scenarios'!$B$10)*$D47)</f>
        <v/>
      </c>
      <c r="F47" s="57" t="str">
        <f aca="false">IF($E47="","",SUMIFS($E$6:$E$2405,$A$6:$A$2405,"&lt;="&amp;$A47))</f>
        <v/>
      </c>
      <c r="G47" s="57" t="str">
        <f aca="false">IF($E47="","",IF($F47&lt;=BankCostEnvelope*'5. Scenarios'!$B$7,1,0))</f>
        <v/>
      </c>
      <c r="H47" s="57" t="str">
        <f aca="false">IF($D47="","",INDEX(BookRate,42)*(1+'5. Scenarios'!$B$10)*(INDEX(BookQ1,42)*(5-MIN(4,1+'5. Scenarios'!$B$8))/4+INDEX(BookQ2,42)*(5-MIN(4,2+'5. Scenarios'!$B$8))/4+INDEX(BookQ3,42)*(5-MIN(4,3+'5. Scenarios'!$B$8))/4+INDEX(BookQ4,42)*(5-MIN(4,4+'5. Scenarios'!$B$8))/4)*'5. Scenarios'!$B$6/(1+ProductivityDefault*('5. Scenarios'!$B$11-1))+INDEX(BookOneOff,42)*$D47)</f>
        <v/>
      </c>
      <c r="I47" s="56" t="str">
        <f aca="false">IF(INDEX(BookTitle,42)="","",INDEX(BookTotal,42)*'5. Scenarios'!$C$6/(1+ProductivityDefault*('5. Scenarios'!$C$11-1)))</f>
        <v/>
      </c>
      <c r="J47" s="57" t="str">
        <f aca="false">IF($I47="","",INDEX(BookRate,42)*(1+'5. Scenarios'!$C$10)*$I47)</f>
        <v/>
      </c>
      <c r="K47" s="57" t="str">
        <f aca="false">IF($J47="","",SUMIFS($J$6:$J$2405,$A$6:$A$2405,"&lt;="&amp;$A47))</f>
        <v/>
      </c>
      <c r="L47" s="57" t="str">
        <f aca="false">IF($J47="","",IF($K47&lt;=BankCostEnvelope*'5. Scenarios'!$C$7,1,0))</f>
        <v/>
      </c>
      <c r="M47" s="57" t="str">
        <f aca="false">IF($I47="","",INDEX(BookRate,42)*(1+'5. Scenarios'!$C$10)*(INDEX(BookQ1,42)*(5-MIN(4,1+'5. Scenarios'!$C$8))/4+INDEX(BookQ2,42)*(5-MIN(4,2+'5. Scenarios'!$C$8))/4+INDEX(BookQ3,42)*(5-MIN(4,3+'5. Scenarios'!$C$8))/4+INDEX(BookQ4,42)*(5-MIN(4,4+'5. Scenarios'!$C$8))/4)*'5. Scenarios'!$C$6/(1+ProductivityDefault*('5. Scenarios'!$C$11-1))+INDEX(BookOneOff,42)*$I47)</f>
        <v/>
      </c>
      <c r="N47" s="56" t="str">
        <f aca="false">IF(INDEX(BookTitle,42)="","",INDEX(BookTotal,42)*'5. Scenarios'!$D$6/(1+ProductivityDefault*('5. Scenarios'!$D$11-1)))</f>
        <v/>
      </c>
      <c r="O47" s="57" t="str">
        <f aca="false">IF($N47="","",INDEX(BookRate,42)*(1+'5. Scenarios'!$D$10)*$N47)</f>
        <v/>
      </c>
      <c r="P47" s="57" t="str">
        <f aca="false">IF($O47="","",SUMIFS($O$6:$O$2405,$A$6:$A$2405,"&lt;="&amp;$A47))</f>
        <v/>
      </c>
      <c r="Q47" s="57" t="str">
        <f aca="false">IF($O47="","",IF($P47&lt;=BankCostEnvelope*'5. Scenarios'!$D$7,1,0))</f>
        <v/>
      </c>
      <c r="R47" s="57" t="str">
        <f aca="false">IF($N47="","",INDEX(BookRate,42)*(1+'5. Scenarios'!$D$10)*(INDEX(BookQ1,42)*(5-MIN(4,1+'5. Scenarios'!$D$8))/4+INDEX(BookQ2,42)*(5-MIN(4,2+'5. Scenarios'!$D$8))/4+INDEX(BookQ3,42)*(5-MIN(4,3+'5. Scenarios'!$D$8))/4+INDEX(BookQ4,42)*(5-MIN(4,4+'5. Scenarios'!$D$8))/4)*'5. Scenarios'!$D$6/(1+ProductivityDefault*('5. Scenarios'!$D$11-1))+INDEX(BookOneOff,42)*$N47)</f>
        <v/>
      </c>
      <c r="S47" s="56" t="str">
        <f aca="false">IF(INDEX(BookTitle,42)="","",INDEX(BookTotal,42)*'5. Scenarios'!$E$6/(1+ProductivityDefault*('5. Scenarios'!$E$11-1)))</f>
        <v/>
      </c>
      <c r="T47" s="57" t="str">
        <f aca="false">IF($S47="","",INDEX(BookRate,42)*(1+'5. Scenarios'!$E$10)*$S47)</f>
        <v/>
      </c>
      <c r="U47" s="57" t="str">
        <f aca="false">IF($T47="","",SUMIFS($T$6:$T$2405,$A$6:$A$2405,"&lt;="&amp;$A47))</f>
        <v/>
      </c>
      <c r="V47" s="57" t="str">
        <f aca="false">IF($T47="","",IF($U47&lt;=BankCostEnvelope*'5. Scenarios'!$E$7,1,0))</f>
        <v/>
      </c>
      <c r="W47" s="57" t="str">
        <f aca="false">IF($S47="","",INDEX(BookRate,42)*(1+'5. Scenarios'!$E$10)*(INDEX(BookQ1,42)*(5-MIN(4,1+'5. Scenarios'!$E$8))/4+INDEX(BookQ2,42)*(5-MIN(4,2+'5. Scenarios'!$E$8))/4+INDEX(BookQ3,42)*(5-MIN(4,3+'5. Scenarios'!$E$8))/4+INDEX(BookQ4,42)*(5-MIN(4,4+'5. Scenarios'!$E$8))/4)*'5. Scenarios'!$E$6/(1+ProductivityDefault*('5. Scenarios'!$E$11-1))+INDEX(BookOneOff,42)*$S47)</f>
        <v/>
      </c>
    </row>
    <row r="48" customFormat="false" ht="15" hidden="false" customHeight="false" outlineLevel="0" collapsed="false">
      <c r="A48" s="0" t="str">
        <f aca="false">IF(INDEX(BookTitle,43)="","",INDEX(BookKey,43))</f>
        <v/>
      </c>
      <c r="B48" s="0" t="str">
        <f aca="false">IF(INDEX(BookTitle,43)="","",INDEX(BookGroup,43))</f>
        <v/>
      </c>
      <c r="C48" s="0" t="str">
        <f aca="false">IF(INDEX(BookTitle,43)="","",INDEX(BookCategory,43))</f>
        <v/>
      </c>
      <c r="D48" s="56" t="str">
        <f aca="false">IF(INDEX(BookTitle,43)="","",INDEX(BookTotal,43)*'5. Scenarios'!$B$6/(1+ProductivityDefault*('5. Scenarios'!$B$11-1)))</f>
        <v/>
      </c>
      <c r="E48" s="57" t="str">
        <f aca="false">IF($D48="","",INDEX(BookRate,43)*(1+'5. Scenarios'!$B$10)*$D48)</f>
        <v/>
      </c>
      <c r="F48" s="57" t="str">
        <f aca="false">IF($E48="","",SUMIFS($E$6:$E$2405,$A$6:$A$2405,"&lt;="&amp;$A48))</f>
        <v/>
      </c>
      <c r="G48" s="57" t="str">
        <f aca="false">IF($E48="","",IF($F48&lt;=BankCostEnvelope*'5. Scenarios'!$B$7,1,0))</f>
        <v/>
      </c>
      <c r="H48" s="57" t="str">
        <f aca="false">IF($D48="","",INDEX(BookRate,43)*(1+'5. Scenarios'!$B$10)*(INDEX(BookQ1,43)*(5-MIN(4,1+'5. Scenarios'!$B$8))/4+INDEX(BookQ2,43)*(5-MIN(4,2+'5. Scenarios'!$B$8))/4+INDEX(BookQ3,43)*(5-MIN(4,3+'5. Scenarios'!$B$8))/4+INDEX(BookQ4,43)*(5-MIN(4,4+'5. Scenarios'!$B$8))/4)*'5. Scenarios'!$B$6/(1+ProductivityDefault*('5. Scenarios'!$B$11-1))+INDEX(BookOneOff,43)*$D48)</f>
        <v/>
      </c>
      <c r="I48" s="56" t="str">
        <f aca="false">IF(INDEX(BookTitle,43)="","",INDEX(BookTotal,43)*'5. Scenarios'!$C$6/(1+ProductivityDefault*('5. Scenarios'!$C$11-1)))</f>
        <v/>
      </c>
      <c r="J48" s="57" t="str">
        <f aca="false">IF($I48="","",INDEX(BookRate,43)*(1+'5. Scenarios'!$C$10)*$I48)</f>
        <v/>
      </c>
      <c r="K48" s="57" t="str">
        <f aca="false">IF($J48="","",SUMIFS($J$6:$J$2405,$A$6:$A$2405,"&lt;="&amp;$A48))</f>
        <v/>
      </c>
      <c r="L48" s="57" t="str">
        <f aca="false">IF($J48="","",IF($K48&lt;=BankCostEnvelope*'5. Scenarios'!$C$7,1,0))</f>
        <v/>
      </c>
      <c r="M48" s="57" t="str">
        <f aca="false">IF($I48="","",INDEX(BookRate,43)*(1+'5. Scenarios'!$C$10)*(INDEX(BookQ1,43)*(5-MIN(4,1+'5. Scenarios'!$C$8))/4+INDEX(BookQ2,43)*(5-MIN(4,2+'5. Scenarios'!$C$8))/4+INDEX(BookQ3,43)*(5-MIN(4,3+'5. Scenarios'!$C$8))/4+INDEX(BookQ4,43)*(5-MIN(4,4+'5. Scenarios'!$C$8))/4)*'5. Scenarios'!$C$6/(1+ProductivityDefault*('5. Scenarios'!$C$11-1))+INDEX(BookOneOff,43)*$I48)</f>
        <v/>
      </c>
      <c r="N48" s="56" t="str">
        <f aca="false">IF(INDEX(BookTitle,43)="","",INDEX(BookTotal,43)*'5. Scenarios'!$D$6/(1+ProductivityDefault*('5. Scenarios'!$D$11-1)))</f>
        <v/>
      </c>
      <c r="O48" s="57" t="str">
        <f aca="false">IF($N48="","",INDEX(BookRate,43)*(1+'5. Scenarios'!$D$10)*$N48)</f>
        <v/>
      </c>
      <c r="P48" s="57" t="str">
        <f aca="false">IF($O48="","",SUMIFS($O$6:$O$2405,$A$6:$A$2405,"&lt;="&amp;$A48))</f>
        <v/>
      </c>
      <c r="Q48" s="57" t="str">
        <f aca="false">IF($O48="","",IF($P48&lt;=BankCostEnvelope*'5. Scenarios'!$D$7,1,0))</f>
        <v/>
      </c>
      <c r="R48" s="57" t="str">
        <f aca="false">IF($N48="","",INDEX(BookRate,43)*(1+'5. Scenarios'!$D$10)*(INDEX(BookQ1,43)*(5-MIN(4,1+'5. Scenarios'!$D$8))/4+INDEX(BookQ2,43)*(5-MIN(4,2+'5. Scenarios'!$D$8))/4+INDEX(BookQ3,43)*(5-MIN(4,3+'5. Scenarios'!$D$8))/4+INDEX(BookQ4,43)*(5-MIN(4,4+'5. Scenarios'!$D$8))/4)*'5. Scenarios'!$D$6/(1+ProductivityDefault*('5. Scenarios'!$D$11-1))+INDEX(BookOneOff,43)*$N48)</f>
        <v/>
      </c>
      <c r="S48" s="56" t="str">
        <f aca="false">IF(INDEX(BookTitle,43)="","",INDEX(BookTotal,43)*'5. Scenarios'!$E$6/(1+ProductivityDefault*('5. Scenarios'!$E$11-1)))</f>
        <v/>
      </c>
      <c r="T48" s="57" t="str">
        <f aca="false">IF($S48="","",INDEX(BookRate,43)*(1+'5. Scenarios'!$E$10)*$S48)</f>
        <v/>
      </c>
      <c r="U48" s="57" t="str">
        <f aca="false">IF($T48="","",SUMIFS($T$6:$T$2405,$A$6:$A$2405,"&lt;="&amp;$A48))</f>
        <v/>
      </c>
      <c r="V48" s="57" t="str">
        <f aca="false">IF($T48="","",IF($U48&lt;=BankCostEnvelope*'5. Scenarios'!$E$7,1,0))</f>
        <v/>
      </c>
      <c r="W48" s="57" t="str">
        <f aca="false">IF($S48="","",INDEX(BookRate,43)*(1+'5. Scenarios'!$E$10)*(INDEX(BookQ1,43)*(5-MIN(4,1+'5. Scenarios'!$E$8))/4+INDEX(BookQ2,43)*(5-MIN(4,2+'5. Scenarios'!$E$8))/4+INDEX(BookQ3,43)*(5-MIN(4,3+'5. Scenarios'!$E$8))/4+INDEX(BookQ4,43)*(5-MIN(4,4+'5. Scenarios'!$E$8))/4)*'5. Scenarios'!$E$6/(1+ProductivityDefault*('5. Scenarios'!$E$11-1))+INDEX(BookOneOff,43)*$S48)</f>
        <v/>
      </c>
    </row>
    <row r="49" customFormat="false" ht="15" hidden="false" customHeight="false" outlineLevel="0" collapsed="false">
      <c r="A49" s="0" t="str">
        <f aca="false">IF(INDEX(BookTitle,44)="","",INDEX(BookKey,44))</f>
        <v/>
      </c>
      <c r="B49" s="0" t="str">
        <f aca="false">IF(INDEX(BookTitle,44)="","",INDEX(BookGroup,44))</f>
        <v/>
      </c>
      <c r="C49" s="0" t="str">
        <f aca="false">IF(INDEX(BookTitle,44)="","",INDEX(BookCategory,44))</f>
        <v/>
      </c>
      <c r="D49" s="56" t="str">
        <f aca="false">IF(INDEX(BookTitle,44)="","",INDEX(BookTotal,44)*'5. Scenarios'!$B$6/(1+ProductivityDefault*('5. Scenarios'!$B$11-1)))</f>
        <v/>
      </c>
      <c r="E49" s="57" t="str">
        <f aca="false">IF($D49="","",INDEX(BookRate,44)*(1+'5. Scenarios'!$B$10)*$D49)</f>
        <v/>
      </c>
      <c r="F49" s="57" t="str">
        <f aca="false">IF($E49="","",SUMIFS($E$6:$E$2405,$A$6:$A$2405,"&lt;="&amp;$A49))</f>
        <v/>
      </c>
      <c r="G49" s="57" t="str">
        <f aca="false">IF($E49="","",IF($F49&lt;=BankCostEnvelope*'5. Scenarios'!$B$7,1,0))</f>
        <v/>
      </c>
      <c r="H49" s="57" t="str">
        <f aca="false">IF($D49="","",INDEX(BookRate,44)*(1+'5. Scenarios'!$B$10)*(INDEX(BookQ1,44)*(5-MIN(4,1+'5. Scenarios'!$B$8))/4+INDEX(BookQ2,44)*(5-MIN(4,2+'5. Scenarios'!$B$8))/4+INDEX(BookQ3,44)*(5-MIN(4,3+'5. Scenarios'!$B$8))/4+INDEX(BookQ4,44)*(5-MIN(4,4+'5. Scenarios'!$B$8))/4)*'5. Scenarios'!$B$6/(1+ProductivityDefault*('5. Scenarios'!$B$11-1))+INDEX(BookOneOff,44)*$D49)</f>
        <v/>
      </c>
      <c r="I49" s="56" t="str">
        <f aca="false">IF(INDEX(BookTitle,44)="","",INDEX(BookTotal,44)*'5. Scenarios'!$C$6/(1+ProductivityDefault*('5. Scenarios'!$C$11-1)))</f>
        <v/>
      </c>
      <c r="J49" s="57" t="str">
        <f aca="false">IF($I49="","",INDEX(BookRate,44)*(1+'5. Scenarios'!$C$10)*$I49)</f>
        <v/>
      </c>
      <c r="K49" s="57" t="str">
        <f aca="false">IF($J49="","",SUMIFS($J$6:$J$2405,$A$6:$A$2405,"&lt;="&amp;$A49))</f>
        <v/>
      </c>
      <c r="L49" s="57" t="str">
        <f aca="false">IF($J49="","",IF($K49&lt;=BankCostEnvelope*'5. Scenarios'!$C$7,1,0))</f>
        <v/>
      </c>
      <c r="M49" s="57" t="str">
        <f aca="false">IF($I49="","",INDEX(BookRate,44)*(1+'5. Scenarios'!$C$10)*(INDEX(BookQ1,44)*(5-MIN(4,1+'5. Scenarios'!$C$8))/4+INDEX(BookQ2,44)*(5-MIN(4,2+'5. Scenarios'!$C$8))/4+INDEX(BookQ3,44)*(5-MIN(4,3+'5. Scenarios'!$C$8))/4+INDEX(BookQ4,44)*(5-MIN(4,4+'5. Scenarios'!$C$8))/4)*'5. Scenarios'!$C$6/(1+ProductivityDefault*('5. Scenarios'!$C$11-1))+INDEX(BookOneOff,44)*$I49)</f>
        <v/>
      </c>
      <c r="N49" s="56" t="str">
        <f aca="false">IF(INDEX(BookTitle,44)="","",INDEX(BookTotal,44)*'5. Scenarios'!$D$6/(1+ProductivityDefault*('5. Scenarios'!$D$11-1)))</f>
        <v/>
      </c>
      <c r="O49" s="57" t="str">
        <f aca="false">IF($N49="","",INDEX(BookRate,44)*(1+'5. Scenarios'!$D$10)*$N49)</f>
        <v/>
      </c>
      <c r="P49" s="57" t="str">
        <f aca="false">IF($O49="","",SUMIFS($O$6:$O$2405,$A$6:$A$2405,"&lt;="&amp;$A49))</f>
        <v/>
      </c>
      <c r="Q49" s="57" t="str">
        <f aca="false">IF($O49="","",IF($P49&lt;=BankCostEnvelope*'5. Scenarios'!$D$7,1,0))</f>
        <v/>
      </c>
      <c r="R49" s="57" t="str">
        <f aca="false">IF($N49="","",INDEX(BookRate,44)*(1+'5. Scenarios'!$D$10)*(INDEX(BookQ1,44)*(5-MIN(4,1+'5. Scenarios'!$D$8))/4+INDEX(BookQ2,44)*(5-MIN(4,2+'5. Scenarios'!$D$8))/4+INDEX(BookQ3,44)*(5-MIN(4,3+'5. Scenarios'!$D$8))/4+INDEX(BookQ4,44)*(5-MIN(4,4+'5. Scenarios'!$D$8))/4)*'5. Scenarios'!$D$6/(1+ProductivityDefault*('5. Scenarios'!$D$11-1))+INDEX(BookOneOff,44)*$N49)</f>
        <v/>
      </c>
      <c r="S49" s="56" t="str">
        <f aca="false">IF(INDEX(BookTitle,44)="","",INDEX(BookTotal,44)*'5. Scenarios'!$E$6/(1+ProductivityDefault*('5. Scenarios'!$E$11-1)))</f>
        <v/>
      </c>
      <c r="T49" s="57" t="str">
        <f aca="false">IF($S49="","",INDEX(BookRate,44)*(1+'5. Scenarios'!$E$10)*$S49)</f>
        <v/>
      </c>
      <c r="U49" s="57" t="str">
        <f aca="false">IF($T49="","",SUMIFS($T$6:$T$2405,$A$6:$A$2405,"&lt;="&amp;$A49))</f>
        <v/>
      </c>
      <c r="V49" s="57" t="str">
        <f aca="false">IF($T49="","",IF($U49&lt;=BankCostEnvelope*'5. Scenarios'!$E$7,1,0))</f>
        <v/>
      </c>
      <c r="W49" s="57" t="str">
        <f aca="false">IF($S49="","",INDEX(BookRate,44)*(1+'5. Scenarios'!$E$10)*(INDEX(BookQ1,44)*(5-MIN(4,1+'5. Scenarios'!$E$8))/4+INDEX(BookQ2,44)*(5-MIN(4,2+'5. Scenarios'!$E$8))/4+INDEX(BookQ3,44)*(5-MIN(4,3+'5. Scenarios'!$E$8))/4+INDEX(BookQ4,44)*(5-MIN(4,4+'5. Scenarios'!$E$8))/4)*'5. Scenarios'!$E$6/(1+ProductivityDefault*('5. Scenarios'!$E$11-1))+INDEX(BookOneOff,44)*$S49)</f>
        <v/>
      </c>
    </row>
    <row r="50" customFormat="false" ht="15" hidden="false" customHeight="false" outlineLevel="0" collapsed="false">
      <c r="A50" s="0" t="str">
        <f aca="false">IF(INDEX(BookTitle,45)="","",INDEX(BookKey,45))</f>
        <v/>
      </c>
      <c r="B50" s="0" t="str">
        <f aca="false">IF(INDEX(BookTitle,45)="","",INDEX(BookGroup,45))</f>
        <v/>
      </c>
      <c r="C50" s="0" t="str">
        <f aca="false">IF(INDEX(BookTitle,45)="","",INDEX(BookCategory,45))</f>
        <v/>
      </c>
      <c r="D50" s="56" t="str">
        <f aca="false">IF(INDEX(BookTitle,45)="","",INDEX(BookTotal,45)*'5. Scenarios'!$B$6/(1+ProductivityDefault*('5. Scenarios'!$B$11-1)))</f>
        <v/>
      </c>
      <c r="E50" s="57" t="str">
        <f aca="false">IF($D50="","",INDEX(BookRate,45)*(1+'5. Scenarios'!$B$10)*$D50)</f>
        <v/>
      </c>
      <c r="F50" s="57" t="str">
        <f aca="false">IF($E50="","",SUMIFS($E$6:$E$2405,$A$6:$A$2405,"&lt;="&amp;$A50))</f>
        <v/>
      </c>
      <c r="G50" s="57" t="str">
        <f aca="false">IF($E50="","",IF($F50&lt;=BankCostEnvelope*'5. Scenarios'!$B$7,1,0))</f>
        <v/>
      </c>
      <c r="H50" s="57" t="str">
        <f aca="false">IF($D50="","",INDEX(BookRate,45)*(1+'5. Scenarios'!$B$10)*(INDEX(BookQ1,45)*(5-MIN(4,1+'5. Scenarios'!$B$8))/4+INDEX(BookQ2,45)*(5-MIN(4,2+'5. Scenarios'!$B$8))/4+INDEX(BookQ3,45)*(5-MIN(4,3+'5. Scenarios'!$B$8))/4+INDEX(BookQ4,45)*(5-MIN(4,4+'5. Scenarios'!$B$8))/4)*'5. Scenarios'!$B$6/(1+ProductivityDefault*('5. Scenarios'!$B$11-1))+INDEX(BookOneOff,45)*$D50)</f>
        <v/>
      </c>
      <c r="I50" s="56" t="str">
        <f aca="false">IF(INDEX(BookTitle,45)="","",INDEX(BookTotal,45)*'5. Scenarios'!$C$6/(1+ProductivityDefault*('5. Scenarios'!$C$11-1)))</f>
        <v/>
      </c>
      <c r="J50" s="57" t="str">
        <f aca="false">IF($I50="","",INDEX(BookRate,45)*(1+'5. Scenarios'!$C$10)*$I50)</f>
        <v/>
      </c>
      <c r="K50" s="57" t="str">
        <f aca="false">IF($J50="","",SUMIFS($J$6:$J$2405,$A$6:$A$2405,"&lt;="&amp;$A50))</f>
        <v/>
      </c>
      <c r="L50" s="57" t="str">
        <f aca="false">IF($J50="","",IF($K50&lt;=BankCostEnvelope*'5. Scenarios'!$C$7,1,0))</f>
        <v/>
      </c>
      <c r="M50" s="57" t="str">
        <f aca="false">IF($I50="","",INDEX(BookRate,45)*(1+'5. Scenarios'!$C$10)*(INDEX(BookQ1,45)*(5-MIN(4,1+'5. Scenarios'!$C$8))/4+INDEX(BookQ2,45)*(5-MIN(4,2+'5. Scenarios'!$C$8))/4+INDEX(BookQ3,45)*(5-MIN(4,3+'5. Scenarios'!$C$8))/4+INDEX(BookQ4,45)*(5-MIN(4,4+'5. Scenarios'!$C$8))/4)*'5. Scenarios'!$C$6/(1+ProductivityDefault*('5. Scenarios'!$C$11-1))+INDEX(BookOneOff,45)*$I50)</f>
        <v/>
      </c>
      <c r="N50" s="56" t="str">
        <f aca="false">IF(INDEX(BookTitle,45)="","",INDEX(BookTotal,45)*'5. Scenarios'!$D$6/(1+ProductivityDefault*('5. Scenarios'!$D$11-1)))</f>
        <v/>
      </c>
      <c r="O50" s="57" t="str">
        <f aca="false">IF($N50="","",INDEX(BookRate,45)*(1+'5. Scenarios'!$D$10)*$N50)</f>
        <v/>
      </c>
      <c r="P50" s="57" t="str">
        <f aca="false">IF($O50="","",SUMIFS($O$6:$O$2405,$A$6:$A$2405,"&lt;="&amp;$A50))</f>
        <v/>
      </c>
      <c r="Q50" s="57" t="str">
        <f aca="false">IF($O50="","",IF($P50&lt;=BankCostEnvelope*'5. Scenarios'!$D$7,1,0))</f>
        <v/>
      </c>
      <c r="R50" s="57" t="str">
        <f aca="false">IF($N50="","",INDEX(BookRate,45)*(1+'5. Scenarios'!$D$10)*(INDEX(BookQ1,45)*(5-MIN(4,1+'5. Scenarios'!$D$8))/4+INDEX(BookQ2,45)*(5-MIN(4,2+'5. Scenarios'!$D$8))/4+INDEX(BookQ3,45)*(5-MIN(4,3+'5. Scenarios'!$D$8))/4+INDEX(BookQ4,45)*(5-MIN(4,4+'5. Scenarios'!$D$8))/4)*'5. Scenarios'!$D$6/(1+ProductivityDefault*('5. Scenarios'!$D$11-1))+INDEX(BookOneOff,45)*$N50)</f>
        <v/>
      </c>
      <c r="S50" s="56" t="str">
        <f aca="false">IF(INDEX(BookTitle,45)="","",INDEX(BookTotal,45)*'5. Scenarios'!$E$6/(1+ProductivityDefault*('5. Scenarios'!$E$11-1)))</f>
        <v/>
      </c>
      <c r="T50" s="57" t="str">
        <f aca="false">IF($S50="","",INDEX(BookRate,45)*(1+'5. Scenarios'!$E$10)*$S50)</f>
        <v/>
      </c>
      <c r="U50" s="57" t="str">
        <f aca="false">IF($T50="","",SUMIFS($T$6:$T$2405,$A$6:$A$2405,"&lt;="&amp;$A50))</f>
        <v/>
      </c>
      <c r="V50" s="57" t="str">
        <f aca="false">IF($T50="","",IF($U50&lt;=BankCostEnvelope*'5. Scenarios'!$E$7,1,0))</f>
        <v/>
      </c>
      <c r="W50" s="57" t="str">
        <f aca="false">IF($S50="","",INDEX(BookRate,45)*(1+'5. Scenarios'!$E$10)*(INDEX(BookQ1,45)*(5-MIN(4,1+'5. Scenarios'!$E$8))/4+INDEX(BookQ2,45)*(5-MIN(4,2+'5. Scenarios'!$E$8))/4+INDEX(BookQ3,45)*(5-MIN(4,3+'5. Scenarios'!$E$8))/4+INDEX(BookQ4,45)*(5-MIN(4,4+'5. Scenarios'!$E$8))/4)*'5. Scenarios'!$E$6/(1+ProductivityDefault*('5. Scenarios'!$E$11-1))+INDEX(BookOneOff,45)*$S50)</f>
        <v/>
      </c>
    </row>
    <row r="51" customFormat="false" ht="15" hidden="false" customHeight="false" outlineLevel="0" collapsed="false">
      <c r="A51" s="0" t="str">
        <f aca="false">IF(INDEX(BookTitle,46)="","",INDEX(BookKey,46))</f>
        <v/>
      </c>
      <c r="B51" s="0" t="str">
        <f aca="false">IF(INDEX(BookTitle,46)="","",INDEX(BookGroup,46))</f>
        <v/>
      </c>
      <c r="C51" s="0" t="str">
        <f aca="false">IF(INDEX(BookTitle,46)="","",INDEX(BookCategory,46))</f>
        <v/>
      </c>
      <c r="D51" s="56" t="str">
        <f aca="false">IF(INDEX(BookTitle,46)="","",INDEX(BookTotal,46)*'5. Scenarios'!$B$6/(1+ProductivityDefault*('5. Scenarios'!$B$11-1)))</f>
        <v/>
      </c>
      <c r="E51" s="57" t="str">
        <f aca="false">IF($D51="","",INDEX(BookRate,46)*(1+'5. Scenarios'!$B$10)*$D51)</f>
        <v/>
      </c>
      <c r="F51" s="57" t="str">
        <f aca="false">IF($E51="","",SUMIFS($E$6:$E$2405,$A$6:$A$2405,"&lt;="&amp;$A51))</f>
        <v/>
      </c>
      <c r="G51" s="57" t="str">
        <f aca="false">IF($E51="","",IF($F51&lt;=BankCostEnvelope*'5. Scenarios'!$B$7,1,0))</f>
        <v/>
      </c>
      <c r="H51" s="57" t="str">
        <f aca="false">IF($D51="","",INDEX(BookRate,46)*(1+'5. Scenarios'!$B$10)*(INDEX(BookQ1,46)*(5-MIN(4,1+'5. Scenarios'!$B$8))/4+INDEX(BookQ2,46)*(5-MIN(4,2+'5. Scenarios'!$B$8))/4+INDEX(BookQ3,46)*(5-MIN(4,3+'5. Scenarios'!$B$8))/4+INDEX(BookQ4,46)*(5-MIN(4,4+'5. Scenarios'!$B$8))/4)*'5. Scenarios'!$B$6/(1+ProductivityDefault*('5. Scenarios'!$B$11-1))+INDEX(BookOneOff,46)*$D51)</f>
        <v/>
      </c>
      <c r="I51" s="56" t="str">
        <f aca="false">IF(INDEX(BookTitle,46)="","",INDEX(BookTotal,46)*'5. Scenarios'!$C$6/(1+ProductivityDefault*('5. Scenarios'!$C$11-1)))</f>
        <v/>
      </c>
      <c r="J51" s="57" t="str">
        <f aca="false">IF($I51="","",INDEX(BookRate,46)*(1+'5. Scenarios'!$C$10)*$I51)</f>
        <v/>
      </c>
      <c r="K51" s="57" t="str">
        <f aca="false">IF($J51="","",SUMIFS($J$6:$J$2405,$A$6:$A$2405,"&lt;="&amp;$A51))</f>
        <v/>
      </c>
      <c r="L51" s="57" t="str">
        <f aca="false">IF($J51="","",IF($K51&lt;=BankCostEnvelope*'5. Scenarios'!$C$7,1,0))</f>
        <v/>
      </c>
      <c r="M51" s="57" t="str">
        <f aca="false">IF($I51="","",INDEX(BookRate,46)*(1+'5. Scenarios'!$C$10)*(INDEX(BookQ1,46)*(5-MIN(4,1+'5. Scenarios'!$C$8))/4+INDEX(BookQ2,46)*(5-MIN(4,2+'5. Scenarios'!$C$8))/4+INDEX(BookQ3,46)*(5-MIN(4,3+'5. Scenarios'!$C$8))/4+INDEX(BookQ4,46)*(5-MIN(4,4+'5. Scenarios'!$C$8))/4)*'5. Scenarios'!$C$6/(1+ProductivityDefault*('5. Scenarios'!$C$11-1))+INDEX(BookOneOff,46)*$I51)</f>
        <v/>
      </c>
      <c r="N51" s="56" t="str">
        <f aca="false">IF(INDEX(BookTitle,46)="","",INDEX(BookTotal,46)*'5. Scenarios'!$D$6/(1+ProductivityDefault*('5. Scenarios'!$D$11-1)))</f>
        <v/>
      </c>
      <c r="O51" s="57" t="str">
        <f aca="false">IF($N51="","",INDEX(BookRate,46)*(1+'5. Scenarios'!$D$10)*$N51)</f>
        <v/>
      </c>
      <c r="P51" s="57" t="str">
        <f aca="false">IF($O51="","",SUMIFS($O$6:$O$2405,$A$6:$A$2405,"&lt;="&amp;$A51))</f>
        <v/>
      </c>
      <c r="Q51" s="57" t="str">
        <f aca="false">IF($O51="","",IF($P51&lt;=BankCostEnvelope*'5. Scenarios'!$D$7,1,0))</f>
        <v/>
      </c>
      <c r="R51" s="57" t="str">
        <f aca="false">IF($N51="","",INDEX(BookRate,46)*(1+'5. Scenarios'!$D$10)*(INDEX(BookQ1,46)*(5-MIN(4,1+'5. Scenarios'!$D$8))/4+INDEX(BookQ2,46)*(5-MIN(4,2+'5. Scenarios'!$D$8))/4+INDEX(BookQ3,46)*(5-MIN(4,3+'5. Scenarios'!$D$8))/4+INDEX(BookQ4,46)*(5-MIN(4,4+'5. Scenarios'!$D$8))/4)*'5. Scenarios'!$D$6/(1+ProductivityDefault*('5. Scenarios'!$D$11-1))+INDEX(BookOneOff,46)*$N51)</f>
        <v/>
      </c>
      <c r="S51" s="56" t="str">
        <f aca="false">IF(INDEX(BookTitle,46)="","",INDEX(BookTotal,46)*'5. Scenarios'!$E$6/(1+ProductivityDefault*('5. Scenarios'!$E$11-1)))</f>
        <v/>
      </c>
      <c r="T51" s="57" t="str">
        <f aca="false">IF($S51="","",INDEX(BookRate,46)*(1+'5. Scenarios'!$E$10)*$S51)</f>
        <v/>
      </c>
      <c r="U51" s="57" t="str">
        <f aca="false">IF($T51="","",SUMIFS($T$6:$T$2405,$A$6:$A$2405,"&lt;="&amp;$A51))</f>
        <v/>
      </c>
      <c r="V51" s="57" t="str">
        <f aca="false">IF($T51="","",IF($U51&lt;=BankCostEnvelope*'5. Scenarios'!$E$7,1,0))</f>
        <v/>
      </c>
      <c r="W51" s="57" t="str">
        <f aca="false">IF($S51="","",INDEX(BookRate,46)*(1+'5. Scenarios'!$E$10)*(INDEX(BookQ1,46)*(5-MIN(4,1+'5. Scenarios'!$E$8))/4+INDEX(BookQ2,46)*(5-MIN(4,2+'5. Scenarios'!$E$8))/4+INDEX(BookQ3,46)*(5-MIN(4,3+'5. Scenarios'!$E$8))/4+INDEX(BookQ4,46)*(5-MIN(4,4+'5. Scenarios'!$E$8))/4)*'5. Scenarios'!$E$6/(1+ProductivityDefault*('5. Scenarios'!$E$11-1))+INDEX(BookOneOff,46)*$S51)</f>
        <v/>
      </c>
    </row>
    <row r="52" customFormat="false" ht="15" hidden="false" customHeight="false" outlineLevel="0" collapsed="false">
      <c r="A52" s="0" t="str">
        <f aca="false">IF(INDEX(BookTitle,47)="","",INDEX(BookKey,47))</f>
        <v/>
      </c>
      <c r="B52" s="0" t="str">
        <f aca="false">IF(INDEX(BookTitle,47)="","",INDEX(BookGroup,47))</f>
        <v/>
      </c>
      <c r="C52" s="0" t="str">
        <f aca="false">IF(INDEX(BookTitle,47)="","",INDEX(BookCategory,47))</f>
        <v/>
      </c>
      <c r="D52" s="56" t="str">
        <f aca="false">IF(INDEX(BookTitle,47)="","",INDEX(BookTotal,47)*'5. Scenarios'!$B$6/(1+ProductivityDefault*('5. Scenarios'!$B$11-1)))</f>
        <v/>
      </c>
      <c r="E52" s="57" t="str">
        <f aca="false">IF($D52="","",INDEX(BookRate,47)*(1+'5. Scenarios'!$B$10)*$D52)</f>
        <v/>
      </c>
      <c r="F52" s="57" t="str">
        <f aca="false">IF($E52="","",SUMIFS($E$6:$E$2405,$A$6:$A$2405,"&lt;="&amp;$A52))</f>
        <v/>
      </c>
      <c r="G52" s="57" t="str">
        <f aca="false">IF($E52="","",IF($F52&lt;=BankCostEnvelope*'5. Scenarios'!$B$7,1,0))</f>
        <v/>
      </c>
      <c r="H52" s="57" t="str">
        <f aca="false">IF($D52="","",INDEX(BookRate,47)*(1+'5. Scenarios'!$B$10)*(INDEX(BookQ1,47)*(5-MIN(4,1+'5. Scenarios'!$B$8))/4+INDEX(BookQ2,47)*(5-MIN(4,2+'5. Scenarios'!$B$8))/4+INDEX(BookQ3,47)*(5-MIN(4,3+'5. Scenarios'!$B$8))/4+INDEX(BookQ4,47)*(5-MIN(4,4+'5. Scenarios'!$B$8))/4)*'5. Scenarios'!$B$6/(1+ProductivityDefault*('5. Scenarios'!$B$11-1))+INDEX(BookOneOff,47)*$D52)</f>
        <v/>
      </c>
      <c r="I52" s="56" t="str">
        <f aca="false">IF(INDEX(BookTitle,47)="","",INDEX(BookTotal,47)*'5. Scenarios'!$C$6/(1+ProductivityDefault*('5. Scenarios'!$C$11-1)))</f>
        <v/>
      </c>
      <c r="J52" s="57" t="str">
        <f aca="false">IF($I52="","",INDEX(BookRate,47)*(1+'5. Scenarios'!$C$10)*$I52)</f>
        <v/>
      </c>
      <c r="K52" s="57" t="str">
        <f aca="false">IF($J52="","",SUMIFS($J$6:$J$2405,$A$6:$A$2405,"&lt;="&amp;$A52))</f>
        <v/>
      </c>
      <c r="L52" s="57" t="str">
        <f aca="false">IF($J52="","",IF($K52&lt;=BankCostEnvelope*'5. Scenarios'!$C$7,1,0))</f>
        <v/>
      </c>
      <c r="M52" s="57" t="str">
        <f aca="false">IF($I52="","",INDEX(BookRate,47)*(1+'5. Scenarios'!$C$10)*(INDEX(BookQ1,47)*(5-MIN(4,1+'5. Scenarios'!$C$8))/4+INDEX(BookQ2,47)*(5-MIN(4,2+'5. Scenarios'!$C$8))/4+INDEX(BookQ3,47)*(5-MIN(4,3+'5. Scenarios'!$C$8))/4+INDEX(BookQ4,47)*(5-MIN(4,4+'5. Scenarios'!$C$8))/4)*'5. Scenarios'!$C$6/(1+ProductivityDefault*('5. Scenarios'!$C$11-1))+INDEX(BookOneOff,47)*$I52)</f>
        <v/>
      </c>
      <c r="N52" s="56" t="str">
        <f aca="false">IF(INDEX(BookTitle,47)="","",INDEX(BookTotal,47)*'5. Scenarios'!$D$6/(1+ProductivityDefault*('5. Scenarios'!$D$11-1)))</f>
        <v/>
      </c>
      <c r="O52" s="57" t="str">
        <f aca="false">IF($N52="","",INDEX(BookRate,47)*(1+'5. Scenarios'!$D$10)*$N52)</f>
        <v/>
      </c>
      <c r="P52" s="57" t="str">
        <f aca="false">IF($O52="","",SUMIFS($O$6:$O$2405,$A$6:$A$2405,"&lt;="&amp;$A52))</f>
        <v/>
      </c>
      <c r="Q52" s="57" t="str">
        <f aca="false">IF($O52="","",IF($P52&lt;=BankCostEnvelope*'5. Scenarios'!$D$7,1,0))</f>
        <v/>
      </c>
      <c r="R52" s="57" t="str">
        <f aca="false">IF($N52="","",INDEX(BookRate,47)*(1+'5. Scenarios'!$D$10)*(INDEX(BookQ1,47)*(5-MIN(4,1+'5. Scenarios'!$D$8))/4+INDEX(BookQ2,47)*(5-MIN(4,2+'5. Scenarios'!$D$8))/4+INDEX(BookQ3,47)*(5-MIN(4,3+'5. Scenarios'!$D$8))/4+INDEX(BookQ4,47)*(5-MIN(4,4+'5. Scenarios'!$D$8))/4)*'5. Scenarios'!$D$6/(1+ProductivityDefault*('5. Scenarios'!$D$11-1))+INDEX(BookOneOff,47)*$N52)</f>
        <v/>
      </c>
      <c r="S52" s="56" t="str">
        <f aca="false">IF(INDEX(BookTitle,47)="","",INDEX(BookTotal,47)*'5. Scenarios'!$E$6/(1+ProductivityDefault*('5. Scenarios'!$E$11-1)))</f>
        <v/>
      </c>
      <c r="T52" s="57" t="str">
        <f aca="false">IF($S52="","",INDEX(BookRate,47)*(1+'5. Scenarios'!$E$10)*$S52)</f>
        <v/>
      </c>
      <c r="U52" s="57" t="str">
        <f aca="false">IF($T52="","",SUMIFS($T$6:$T$2405,$A$6:$A$2405,"&lt;="&amp;$A52))</f>
        <v/>
      </c>
      <c r="V52" s="57" t="str">
        <f aca="false">IF($T52="","",IF($U52&lt;=BankCostEnvelope*'5. Scenarios'!$E$7,1,0))</f>
        <v/>
      </c>
      <c r="W52" s="57" t="str">
        <f aca="false">IF($S52="","",INDEX(BookRate,47)*(1+'5. Scenarios'!$E$10)*(INDEX(BookQ1,47)*(5-MIN(4,1+'5. Scenarios'!$E$8))/4+INDEX(BookQ2,47)*(5-MIN(4,2+'5. Scenarios'!$E$8))/4+INDEX(BookQ3,47)*(5-MIN(4,3+'5. Scenarios'!$E$8))/4+INDEX(BookQ4,47)*(5-MIN(4,4+'5. Scenarios'!$E$8))/4)*'5. Scenarios'!$E$6/(1+ProductivityDefault*('5. Scenarios'!$E$11-1))+INDEX(BookOneOff,47)*$S52)</f>
        <v/>
      </c>
    </row>
    <row r="53" customFormat="false" ht="15" hidden="false" customHeight="false" outlineLevel="0" collapsed="false">
      <c r="A53" s="0" t="str">
        <f aca="false">IF(INDEX(BookTitle,48)="","",INDEX(BookKey,48))</f>
        <v/>
      </c>
      <c r="B53" s="0" t="str">
        <f aca="false">IF(INDEX(BookTitle,48)="","",INDEX(BookGroup,48))</f>
        <v/>
      </c>
      <c r="C53" s="0" t="str">
        <f aca="false">IF(INDEX(BookTitle,48)="","",INDEX(BookCategory,48))</f>
        <v/>
      </c>
      <c r="D53" s="56" t="str">
        <f aca="false">IF(INDEX(BookTitle,48)="","",INDEX(BookTotal,48)*'5. Scenarios'!$B$6/(1+ProductivityDefault*('5. Scenarios'!$B$11-1)))</f>
        <v/>
      </c>
      <c r="E53" s="57" t="str">
        <f aca="false">IF($D53="","",INDEX(BookRate,48)*(1+'5. Scenarios'!$B$10)*$D53)</f>
        <v/>
      </c>
      <c r="F53" s="57" t="str">
        <f aca="false">IF($E53="","",SUMIFS($E$6:$E$2405,$A$6:$A$2405,"&lt;="&amp;$A53))</f>
        <v/>
      </c>
      <c r="G53" s="57" t="str">
        <f aca="false">IF($E53="","",IF($F53&lt;=BankCostEnvelope*'5. Scenarios'!$B$7,1,0))</f>
        <v/>
      </c>
      <c r="H53" s="57" t="str">
        <f aca="false">IF($D53="","",INDEX(BookRate,48)*(1+'5. Scenarios'!$B$10)*(INDEX(BookQ1,48)*(5-MIN(4,1+'5. Scenarios'!$B$8))/4+INDEX(BookQ2,48)*(5-MIN(4,2+'5. Scenarios'!$B$8))/4+INDEX(BookQ3,48)*(5-MIN(4,3+'5. Scenarios'!$B$8))/4+INDEX(BookQ4,48)*(5-MIN(4,4+'5. Scenarios'!$B$8))/4)*'5. Scenarios'!$B$6/(1+ProductivityDefault*('5. Scenarios'!$B$11-1))+INDEX(BookOneOff,48)*$D53)</f>
        <v/>
      </c>
      <c r="I53" s="56" t="str">
        <f aca="false">IF(INDEX(BookTitle,48)="","",INDEX(BookTotal,48)*'5. Scenarios'!$C$6/(1+ProductivityDefault*('5. Scenarios'!$C$11-1)))</f>
        <v/>
      </c>
      <c r="J53" s="57" t="str">
        <f aca="false">IF($I53="","",INDEX(BookRate,48)*(1+'5. Scenarios'!$C$10)*$I53)</f>
        <v/>
      </c>
      <c r="K53" s="57" t="str">
        <f aca="false">IF($J53="","",SUMIFS($J$6:$J$2405,$A$6:$A$2405,"&lt;="&amp;$A53))</f>
        <v/>
      </c>
      <c r="L53" s="57" t="str">
        <f aca="false">IF($J53="","",IF($K53&lt;=BankCostEnvelope*'5. Scenarios'!$C$7,1,0))</f>
        <v/>
      </c>
      <c r="M53" s="57" t="str">
        <f aca="false">IF($I53="","",INDEX(BookRate,48)*(1+'5. Scenarios'!$C$10)*(INDEX(BookQ1,48)*(5-MIN(4,1+'5. Scenarios'!$C$8))/4+INDEX(BookQ2,48)*(5-MIN(4,2+'5. Scenarios'!$C$8))/4+INDEX(BookQ3,48)*(5-MIN(4,3+'5. Scenarios'!$C$8))/4+INDEX(BookQ4,48)*(5-MIN(4,4+'5. Scenarios'!$C$8))/4)*'5. Scenarios'!$C$6/(1+ProductivityDefault*('5. Scenarios'!$C$11-1))+INDEX(BookOneOff,48)*$I53)</f>
        <v/>
      </c>
      <c r="N53" s="56" t="str">
        <f aca="false">IF(INDEX(BookTitle,48)="","",INDEX(BookTotal,48)*'5. Scenarios'!$D$6/(1+ProductivityDefault*('5. Scenarios'!$D$11-1)))</f>
        <v/>
      </c>
      <c r="O53" s="57" t="str">
        <f aca="false">IF($N53="","",INDEX(BookRate,48)*(1+'5. Scenarios'!$D$10)*$N53)</f>
        <v/>
      </c>
      <c r="P53" s="57" t="str">
        <f aca="false">IF($O53="","",SUMIFS($O$6:$O$2405,$A$6:$A$2405,"&lt;="&amp;$A53))</f>
        <v/>
      </c>
      <c r="Q53" s="57" t="str">
        <f aca="false">IF($O53="","",IF($P53&lt;=BankCostEnvelope*'5. Scenarios'!$D$7,1,0))</f>
        <v/>
      </c>
      <c r="R53" s="57" t="str">
        <f aca="false">IF($N53="","",INDEX(BookRate,48)*(1+'5. Scenarios'!$D$10)*(INDEX(BookQ1,48)*(5-MIN(4,1+'5. Scenarios'!$D$8))/4+INDEX(BookQ2,48)*(5-MIN(4,2+'5. Scenarios'!$D$8))/4+INDEX(BookQ3,48)*(5-MIN(4,3+'5. Scenarios'!$D$8))/4+INDEX(BookQ4,48)*(5-MIN(4,4+'5. Scenarios'!$D$8))/4)*'5. Scenarios'!$D$6/(1+ProductivityDefault*('5. Scenarios'!$D$11-1))+INDEX(BookOneOff,48)*$N53)</f>
        <v/>
      </c>
      <c r="S53" s="56" t="str">
        <f aca="false">IF(INDEX(BookTitle,48)="","",INDEX(BookTotal,48)*'5. Scenarios'!$E$6/(1+ProductivityDefault*('5. Scenarios'!$E$11-1)))</f>
        <v/>
      </c>
      <c r="T53" s="57" t="str">
        <f aca="false">IF($S53="","",INDEX(BookRate,48)*(1+'5. Scenarios'!$E$10)*$S53)</f>
        <v/>
      </c>
      <c r="U53" s="57" t="str">
        <f aca="false">IF($T53="","",SUMIFS($T$6:$T$2405,$A$6:$A$2405,"&lt;="&amp;$A53))</f>
        <v/>
      </c>
      <c r="V53" s="57" t="str">
        <f aca="false">IF($T53="","",IF($U53&lt;=BankCostEnvelope*'5. Scenarios'!$E$7,1,0))</f>
        <v/>
      </c>
      <c r="W53" s="57" t="str">
        <f aca="false">IF($S53="","",INDEX(BookRate,48)*(1+'5. Scenarios'!$E$10)*(INDEX(BookQ1,48)*(5-MIN(4,1+'5. Scenarios'!$E$8))/4+INDEX(BookQ2,48)*(5-MIN(4,2+'5. Scenarios'!$E$8))/4+INDEX(BookQ3,48)*(5-MIN(4,3+'5. Scenarios'!$E$8))/4+INDEX(BookQ4,48)*(5-MIN(4,4+'5. Scenarios'!$E$8))/4)*'5. Scenarios'!$E$6/(1+ProductivityDefault*('5. Scenarios'!$E$11-1))+INDEX(BookOneOff,48)*$S53)</f>
        <v/>
      </c>
    </row>
    <row r="54" customFormat="false" ht="15" hidden="false" customHeight="false" outlineLevel="0" collapsed="false">
      <c r="A54" s="0" t="str">
        <f aca="false">IF(INDEX(BookTitle,49)="","",INDEX(BookKey,49))</f>
        <v/>
      </c>
      <c r="B54" s="0" t="str">
        <f aca="false">IF(INDEX(BookTitle,49)="","",INDEX(BookGroup,49))</f>
        <v/>
      </c>
      <c r="C54" s="0" t="str">
        <f aca="false">IF(INDEX(BookTitle,49)="","",INDEX(BookCategory,49))</f>
        <v/>
      </c>
      <c r="D54" s="56" t="str">
        <f aca="false">IF(INDEX(BookTitle,49)="","",INDEX(BookTotal,49)*'5. Scenarios'!$B$6/(1+ProductivityDefault*('5. Scenarios'!$B$11-1)))</f>
        <v/>
      </c>
      <c r="E54" s="57" t="str">
        <f aca="false">IF($D54="","",INDEX(BookRate,49)*(1+'5. Scenarios'!$B$10)*$D54)</f>
        <v/>
      </c>
      <c r="F54" s="57" t="str">
        <f aca="false">IF($E54="","",SUMIFS($E$6:$E$2405,$A$6:$A$2405,"&lt;="&amp;$A54))</f>
        <v/>
      </c>
      <c r="G54" s="57" t="str">
        <f aca="false">IF($E54="","",IF($F54&lt;=BankCostEnvelope*'5. Scenarios'!$B$7,1,0))</f>
        <v/>
      </c>
      <c r="H54" s="57" t="str">
        <f aca="false">IF($D54="","",INDEX(BookRate,49)*(1+'5. Scenarios'!$B$10)*(INDEX(BookQ1,49)*(5-MIN(4,1+'5. Scenarios'!$B$8))/4+INDEX(BookQ2,49)*(5-MIN(4,2+'5. Scenarios'!$B$8))/4+INDEX(BookQ3,49)*(5-MIN(4,3+'5. Scenarios'!$B$8))/4+INDEX(BookQ4,49)*(5-MIN(4,4+'5. Scenarios'!$B$8))/4)*'5. Scenarios'!$B$6/(1+ProductivityDefault*('5. Scenarios'!$B$11-1))+INDEX(BookOneOff,49)*$D54)</f>
        <v/>
      </c>
      <c r="I54" s="56" t="str">
        <f aca="false">IF(INDEX(BookTitle,49)="","",INDEX(BookTotal,49)*'5. Scenarios'!$C$6/(1+ProductivityDefault*('5. Scenarios'!$C$11-1)))</f>
        <v/>
      </c>
      <c r="J54" s="57" t="str">
        <f aca="false">IF($I54="","",INDEX(BookRate,49)*(1+'5. Scenarios'!$C$10)*$I54)</f>
        <v/>
      </c>
      <c r="K54" s="57" t="str">
        <f aca="false">IF($J54="","",SUMIFS($J$6:$J$2405,$A$6:$A$2405,"&lt;="&amp;$A54))</f>
        <v/>
      </c>
      <c r="L54" s="57" t="str">
        <f aca="false">IF($J54="","",IF($K54&lt;=BankCostEnvelope*'5. Scenarios'!$C$7,1,0))</f>
        <v/>
      </c>
      <c r="M54" s="57" t="str">
        <f aca="false">IF($I54="","",INDEX(BookRate,49)*(1+'5. Scenarios'!$C$10)*(INDEX(BookQ1,49)*(5-MIN(4,1+'5. Scenarios'!$C$8))/4+INDEX(BookQ2,49)*(5-MIN(4,2+'5. Scenarios'!$C$8))/4+INDEX(BookQ3,49)*(5-MIN(4,3+'5. Scenarios'!$C$8))/4+INDEX(BookQ4,49)*(5-MIN(4,4+'5. Scenarios'!$C$8))/4)*'5. Scenarios'!$C$6/(1+ProductivityDefault*('5. Scenarios'!$C$11-1))+INDEX(BookOneOff,49)*$I54)</f>
        <v/>
      </c>
      <c r="N54" s="56" t="str">
        <f aca="false">IF(INDEX(BookTitle,49)="","",INDEX(BookTotal,49)*'5. Scenarios'!$D$6/(1+ProductivityDefault*('5. Scenarios'!$D$11-1)))</f>
        <v/>
      </c>
      <c r="O54" s="57" t="str">
        <f aca="false">IF($N54="","",INDEX(BookRate,49)*(1+'5. Scenarios'!$D$10)*$N54)</f>
        <v/>
      </c>
      <c r="P54" s="57" t="str">
        <f aca="false">IF($O54="","",SUMIFS($O$6:$O$2405,$A$6:$A$2405,"&lt;="&amp;$A54))</f>
        <v/>
      </c>
      <c r="Q54" s="57" t="str">
        <f aca="false">IF($O54="","",IF($P54&lt;=BankCostEnvelope*'5. Scenarios'!$D$7,1,0))</f>
        <v/>
      </c>
      <c r="R54" s="57" t="str">
        <f aca="false">IF($N54="","",INDEX(BookRate,49)*(1+'5. Scenarios'!$D$10)*(INDEX(BookQ1,49)*(5-MIN(4,1+'5. Scenarios'!$D$8))/4+INDEX(BookQ2,49)*(5-MIN(4,2+'5. Scenarios'!$D$8))/4+INDEX(BookQ3,49)*(5-MIN(4,3+'5. Scenarios'!$D$8))/4+INDEX(BookQ4,49)*(5-MIN(4,4+'5. Scenarios'!$D$8))/4)*'5. Scenarios'!$D$6/(1+ProductivityDefault*('5. Scenarios'!$D$11-1))+INDEX(BookOneOff,49)*$N54)</f>
        <v/>
      </c>
      <c r="S54" s="56" t="str">
        <f aca="false">IF(INDEX(BookTitle,49)="","",INDEX(BookTotal,49)*'5. Scenarios'!$E$6/(1+ProductivityDefault*('5. Scenarios'!$E$11-1)))</f>
        <v/>
      </c>
      <c r="T54" s="57" t="str">
        <f aca="false">IF($S54="","",INDEX(BookRate,49)*(1+'5. Scenarios'!$E$10)*$S54)</f>
        <v/>
      </c>
      <c r="U54" s="57" t="str">
        <f aca="false">IF($T54="","",SUMIFS($T$6:$T$2405,$A$6:$A$2405,"&lt;="&amp;$A54))</f>
        <v/>
      </c>
      <c r="V54" s="57" t="str">
        <f aca="false">IF($T54="","",IF($U54&lt;=BankCostEnvelope*'5. Scenarios'!$E$7,1,0))</f>
        <v/>
      </c>
      <c r="W54" s="57" t="str">
        <f aca="false">IF($S54="","",INDEX(BookRate,49)*(1+'5. Scenarios'!$E$10)*(INDEX(BookQ1,49)*(5-MIN(4,1+'5. Scenarios'!$E$8))/4+INDEX(BookQ2,49)*(5-MIN(4,2+'5. Scenarios'!$E$8))/4+INDEX(BookQ3,49)*(5-MIN(4,3+'5. Scenarios'!$E$8))/4+INDEX(BookQ4,49)*(5-MIN(4,4+'5. Scenarios'!$E$8))/4)*'5. Scenarios'!$E$6/(1+ProductivityDefault*('5. Scenarios'!$E$11-1))+INDEX(BookOneOff,49)*$S54)</f>
        <v/>
      </c>
    </row>
    <row r="55" customFormat="false" ht="15" hidden="false" customHeight="false" outlineLevel="0" collapsed="false">
      <c r="A55" s="0" t="str">
        <f aca="false">IF(INDEX(BookTitle,50)="","",INDEX(BookKey,50))</f>
        <v/>
      </c>
      <c r="B55" s="0" t="str">
        <f aca="false">IF(INDEX(BookTitle,50)="","",INDEX(BookGroup,50))</f>
        <v/>
      </c>
      <c r="C55" s="0" t="str">
        <f aca="false">IF(INDEX(BookTitle,50)="","",INDEX(BookCategory,50))</f>
        <v/>
      </c>
      <c r="D55" s="56" t="str">
        <f aca="false">IF(INDEX(BookTitle,50)="","",INDEX(BookTotal,50)*'5. Scenarios'!$B$6/(1+ProductivityDefault*('5. Scenarios'!$B$11-1)))</f>
        <v/>
      </c>
      <c r="E55" s="57" t="str">
        <f aca="false">IF($D55="","",INDEX(BookRate,50)*(1+'5. Scenarios'!$B$10)*$D55)</f>
        <v/>
      </c>
      <c r="F55" s="57" t="str">
        <f aca="false">IF($E55="","",SUMIFS($E$6:$E$2405,$A$6:$A$2405,"&lt;="&amp;$A55))</f>
        <v/>
      </c>
      <c r="G55" s="57" t="str">
        <f aca="false">IF($E55="","",IF($F55&lt;=BankCostEnvelope*'5. Scenarios'!$B$7,1,0))</f>
        <v/>
      </c>
      <c r="H55" s="57" t="str">
        <f aca="false">IF($D55="","",INDEX(BookRate,50)*(1+'5. Scenarios'!$B$10)*(INDEX(BookQ1,50)*(5-MIN(4,1+'5. Scenarios'!$B$8))/4+INDEX(BookQ2,50)*(5-MIN(4,2+'5. Scenarios'!$B$8))/4+INDEX(BookQ3,50)*(5-MIN(4,3+'5. Scenarios'!$B$8))/4+INDEX(BookQ4,50)*(5-MIN(4,4+'5. Scenarios'!$B$8))/4)*'5. Scenarios'!$B$6/(1+ProductivityDefault*('5. Scenarios'!$B$11-1))+INDEX(BookOneOff,50)*$D55)</f>
        <v/>
      </c>
      <c r="I55" s="56" t="str">
        <f aca="false">IF(INDEX(BookTitle,50)="","",INDEX(BookTotal,50)*'5. Scenarios'!$C$6/(1+ProductivityDefault*('5. Scenarios'!$C$11-1)))</f>
        <v/>
      </c>
      <c r="J55" s="57" t="str">
        <f aca="false">IF($I55="","",INDEX(BookRate,50)*(1+'5. Scenarios'!$C$10)*$I55)</f>
        <v/>
      </c>
      <c r="K55" s="57" t="str">
        <f aca="false">IF($J55="","",SUMIFS($J$6:$J$2405,$A$6:$A$2405,"&lt;="&amp;$A55))</f>
        <v/>
      </c>
      <c r="L55" s="57" t="str">
        <f aca="false">IF($J55="","",IF($K55&lt;=BankCostEnvelope*'5. Scenarios'!$C$7,1,0))</f>
        <v/>
      </c>
      <c r="M55" s="57" t="str">
        <f aca="false">IF($I55="","",INDEX(BookRate,50)*(1+'5. Scenarios'!$C$10)*(INDEX(BookQ1,50)*(5-MIN(4,1+'5. Scenarios'!$C$8))/4+INDEX(BookQ2,50)*(5-MIN(4,2+'5. Scenarios'!$C$8))/4+INDEX(BookQ3,50)*(5-MIN(4,3+'5. Scenarios'!$C$8))/4+INDEX(BookQ4,50)*(5-MIN(4,4+'5. Scenarios'!$C$8))/4)*'5. Scenarios'!$C$6/(1+ProductivityDefault*('5. Scenarios'!$C$11-1))+INDEX(BookOneOff,50)*$I55)</f>
        <v/>
      </c>
      <c r="N55" s="56" t="str">
        <f aca="false">IF(INDEX(BookTitle,50)="","",INDEX(BookTotal,50)*'5. Scenarios'!$D$6/(1+ProductivityDefault*('5. Scenarios'!$D$11-1)))</f>
        <v/>
      </c>
      <c r="O55" s="57" t="str">
        <f aca="false">IF($N55="","",INDEX(BookRate,50)*(1+'5. Scenarios'!$D$10)*$N55)</f>
        <v/>
      </c>
      <c r="P55" s="57" t="str">
        <f aca="false">IF($O55="","",SUMIFS($O$6:$O$2405,$A$6:$A$2405,"&lt;="&amp;$A55))</f>
        <v/>
      </c>
      <c r="Q55" s="57" t="str">
        <f aca="false">IF($O55="","",IF($P55&lt;=BankCostEnvelope*'5. Scenarios'!$D$7,1,0))</f>
        <v/>
      </c>
      <c r="R55" s="57" t="str">
        <f aca="false">IF($N55="","",INDEX(BookRate,50)*(1+'5. Scenarios'!$D$10)*(INDEX(BookQ1,50)*(5-MIN(4,1+'5. Scenarios'!$D$8))/4+INDEX(BookQ2,50)*(5-MIN(4,2+'5. Scenarios'!$D$8))/4+INDEX(BookQ3,50)*(5-MIN(4,3+'5. Scenarios'!$D$8))/4+INDEX(BookQ4,50)*(5-MIN(4,4+'5. Scenarios'!$D$8))/4)*'5. Scenarios'!$D$6/(1+ProductivityDefault*('5. Scenarios'!$D$11-1))+INDEX(BookOneOff,50)*$N55)</f>
        <v/>
      </c>
      <c r="S55" s="56" t="str">
        <f aca="false">IF(INDEX(BookTitle,50)="","",INDEX(BookTotal,50)*'5. Scenarios'!$E$6/(1+ProductivityDefault*('5. Scenarios'!$E$11-1)))</f>
        <v/>
      </c>
      <c r="T55" s="57" t="str">
        <f aca="false">IF($S55="","",INDEX(BookRate,50)*(1+'5. Scenarios'!$E$10)*$S55)</f>
        <v/>
      </c>
      <c r="U55" s="57" t="str">
        <f aca="false">IF($T55="","",SUMIFS($T$6:$T$2405,$A$6:$A$2405,"&lt;="&amp;$A55))</f>
        <v/>
      </c>
      <c r="V55" s="57" t="str">
        <f aca="false">IF($T55="","",IF($U55&lt;=BankCostEnvelope*'5. Scenarios'!$E$7,1,0))</f>
        <v/>
      </c>
      <c r="W55" s="57" t="str">
        <f aca="false">IF($S55="","",INDEX(BookRate,50)*(1+'5. Scenarios'!$E$10)*(INDEX(BookQ1,50)*(5-MIN(4,1+'5. Scenarios'!$E$8))/4+INDEX(BookQ2,50)*(5-MIN(4,2+'5. Scenarios'!$E$8))/4+INDEX(BookQ3,50)*(5-MIN(4,3+'5. Scenarios'!$E$8))/4+INDEX(BookQ4,50)*(5-MIN(4,4+'5. Scenarios'!$E$8))/4)*'5. Scenarios'!$E$6/(1+ProductivityDefault*('5. Scenarios'!$E$11-1))+INDEX(BookOneOff,50)*$S55)</f>
        <v/>
      </c>
    </row>
    <row r="56" customFormat="false" ht="15" hidden="false" customHeight="false" outlineLevel="0" collapsed="false">
      <c r="A56" s="0" t="str">
        <f aca="false">IF(INDEX(BookTitle,51)="","",INDEX(BookKey,51))</f>
        <v/>
      </c>
      <c r="B56" s="0" t="str">
        <f aca="false">IF(INDEX(BookTitle,51)="","",INDEX(BookGroup,51))</f>
        <v/>
      </c>
      <c r="C56" s="0" t="str">
        <f aca="false">IF(INDEX(BookTitle,51)="","",INDEX(BookCategory,51))</f>
        <v/>
      </c>
      <c r="D56" s="56" t="str">
        <f aca="false">IF(INDEX(BookTitle,51)="","",INDEX(BookTotal,51)*'5. Scenarios'!$B$6/(1+ProductivityDefault*('5. Scenarios'!$B$11-1)))</f>
        <v/>
      </c>
      <c r="E56" s="57" t="str">
        <f aca="false">IF($D56="","",INDEX(BookRate,51)*(1+'5. Scenarios'!$B$10)*$D56)</f>
        <v/>
      </c>
      <c r="F56" s="57" t="str">
        <f aca="false">IF($E56="","",SUMIFS($E$6:$E$2405,$A$6:$A$2405,"&lt;="&amp;$A56))</f>
        <v/>
      </c>
      <c r="G56" s="57" t="str">
        <f aca="false">IF($E56="","",IF($F56&lt;=BankCostEnvelope*'5. Scenarios'!$B$7,1,0))</f>
        <v/>
      </c>
      <c r="H56" s="57" t="str">
        <f aca="false">IF($D56="","",INDEX(BookRate,51)*(1+'5. Scenarios'!$B$10)*(INDEX(BookQ1,51)*(5-MIN(4,1+'5. Scenarios'!$B$8))/4+INDEX(BookQ2,51)*(5-MIN(4,2+'5. Scenarios'!$B$8))/4+INDEX(BookQ3,51)*(5-MIN(4,3+'5. Scenarios'!$B$8))/4+INDEX(BookQ4,51)*(5-MIN(4,4+'5. Scenarios'!$B$8))/4)*'5. Scenarios'!$B$6/(1+ProductivityDefault*('5. Scenarios'!$B$11-1))+INDEX(BookOneOff,51)*$D56)</f>
        <v/>
      </c>
      <c r="I56" s="56" t="str">
        <f aca="false">IF(INDEX(BookTitle,51)="","",INDEX(BookTotal,51)*'5. Scenarios'!$C$6/(1+ProductivityDefault*('5. Scenarios'!$C$11-1)))</f>
        <v/>
      </c>
      <c r="J56" s="57" t="str">
        <f aca="false">IF($I56="","",INDEX(BookRate,51)*(1+'5. Scenarios'!$C$10)*$I56)</f>
        <v/>
      </c>
      <c r="K56" s="57" t="str">
        <f aca="false">IF($J56="","",SUMIFS($J$6:$J$2405,$A$6:$A$2405,"&lt;="&amp;$A56))</f>
        <v/>
      </c>
      <c r="L56" s="57" t="str">
        <f aca="false">IF($J56="","",IF($K56&lt;=BankCostEnvelope*'5. Scenarios'!$C$7,1,0))</f>
        <v/>
      </c>
      <c r="M56" s="57" t="str">
        <f aca="false">IF($I56="","",INDEX(BookRate,51)*(1+'5. Scenarios'!$C$10)*(INDEX(BookQ1,51)*(5-MIN(4,1+'5. Scenarios'!$C$8))/4+INDEX(BookQ2,51)*(5-MIN(4,2+'5. Scenarios'!$C$8))/4+INDEX(BookQ3,51)*(5-MIN(4,3+'5. Scenarios'!$C$8))/4+INDEX(BookQ4,51)*(5-MIN(4,4+'5. Scenarios'!$C$8))/4)*'5. Scenarios'!$C$6/(1+ProductivityDefault*('5. Scenarios'!$C$11-1))+INDEX(BookOneOff,51)*$I56)</f>
        <v/>
      </c>
      <c r="N56" s="56" t="str">
        <f aca="false">IF(INDEX(BookTitle,51)="","",INDEX(BookTotal,51)*'5. Scenarios'!$D$6/(1+ProductivityDefault*('5. Scenarios'!$D$11-1)))</f>
        <v/>
      </c>
      <c r="O56" s="57" t="str">
        <f aca="false">IF($N56="","",INDEX(BookRate,51)*(1+'5. Scenarios'!$D$10)*$N56)</f>
        <v/>
      </c>
      <c r="P56" s="57" t="str">
        <f aca="false">IF($O56="","",SUMIFS($O$6:$O$2405,$A$6:$A$2405,"&lt;="&amp;$A56))</f>
        <v/>
      </c>
      <c r="Q56" s="57" t="str">
        <f aca="false">IF($O56="","",IF($P56&lt;=BankCostEnvelope*'5. Scenarios'!$D$7,1,0))</f>
        <v/>
      </c>
      <c r="R56" s="57" t="str">
        <f aca="false">IF($N56="","",INDEX(BookRate,51)*(1+'5. Scenarios'!$D$10)*(INDEX(BookQ1,51)*(5-MIN(4,1+'5. Scenarios'!$D$8))/4+INDEX(BookQ2,51)*(5-MIN(4,2+'5. Scenarios'!$D$8))/4+INDEX(BookQ3,51)*(5-MIN(4,3+'5. Scenarios'!$D$8))/4+INDEX(BookQ4,51)*(5-MIN(4,4+'5. Scenarios'!$D$8))/4)*'5. Scenarios'!$D$6/(1+ProductivityDefault*('5. Scenarios'!$D$11-1))+INDEX(BookOneOff,51)*$N56)</f>
        <v/>
      </c>
      <c r="S56" s="56" t="str">
        <f aca="false">IF(INDEX(BookTitle,51)="","",INDEX(BookTotal,51)*'5. Scenarios'!$E$6/(1+ProductivityDefault*('5. Scenarios'!$E$11-1)))</f>
        <v/>
      </c>
      <c r="T56" s="57" t="str">
        <f aca="false">IF($S56="","",INDEX(BookRate,51)*(1+'5. Scenarios'!$E$10)*$S56)</f>
        <v/>
      </c>
      <c r="U56" s="57" t="str">
        <f aca="false">IF($T56="","",SUMIFS($T$6:$T$2405,$A$6:$A$2405,"&lt;="&amp;$A56))</f>
        <v/>
      </c>
      <c r="V56" s="57" t="str">
        <f aca="false">IF($T56="","",IF($U56&lt;=BankCostEnvelope*'5. Scenarios'!$E$7,1,0))</f>
        <v/>
      </c>
      <c r="W56" s="57" t="str">
        <f aca="false">IF($S56="","",INDEX(BookRate,51)*(1+'5. Scenarios'!$E$10)*(INDEX(BookQ1,51)*(5-MIN(4,1+'5. Scenarios'!$E$8))/4+INDEX(BookQ2,51)*(5-MIN(4,2+'5. Scenarios'!$E$8))/4+INDEX(BookQ3,51)*(5-MIN(4,3+'5. Scenarios'!$E$8))/4+INDEX(BookQ4,51)*(5-MIN(4,4+'5. Scenarios'!$E$8))/4)*'5. Scenarios'!$E$6/(1+ProductivityDefault*('5. Scenarios'!$E$11-1))+INDEX(BookOneOff,51)*$S56)</f>
        <v/>
      </c>
    </row>
    <row r="57" customFormat="false" ht="15" hidden="false" customHeight="false" outlineLevel="0" collapsed="false">
      <c r="A57" s="0" t="str">
        <f aca="false">IF(INDEX(BookTitle,52)="","",INDEX(BookKey,52))</f>
        <v/>
      </c>
      <c r="B57" s="0" t="str">
        <f aca="false">IF(INDEX(BookTitle,52)="","",INDEX(BookGroup,52))</f>
        <v/>
      </c>
      <c r="C57" s="0" t="str">
        <f aca="false">IF(INDEX(BookTitle,52)="","",INDEX(BookCategory,52))</f>
        <v/>
      </c>
      <c r="D57" s="56" t="str">
        <f aca="false">IF(INDEX(BookTitle,52)="","",INDEX(BookTotal,52)*'5. Scenarios'!$B$6/(1+ProductivityDefault*('5. Scenarios'!$B$11-1)))</f>
        <v/>
      </c>
      <c r="E57" s="57" t="str">
        <f aca="false">IF($D57="","",INDEX(BookRate,52)*(1+'5. Scenarios'!$B$10)*$D57)</f>
        <v/>
      </c>
      <c r="F57" s="57" t="str">
        <f aca="false">IF($E57="","",SUMIFS($E$6:$E$2405,$A$6:$A$2405,"&lt;="&amp;$A57))</f>
        <v/>
      </c>
      <c r="G57" s="57" t="str">
        <f aca="false">IF($E57="","",IF($F57&lt;=BankCostEnvelope*'5. Scenarios'!$B$7,1,0))</f>
        <v/>
      </c>
      <c r="H57" s="57" t="str">
        <f aca="false">IF($D57="","",INDEX(BookRate,52)*(1+'5. Scenarios'!$B$10)*(INDEX(BookQ1,52)*(5-MIN(4,1+'5. Scenarios'!$B$8))/4+INDEX(BookQ2,52)*(5-MIN(4,2+'5. Scenarios'!$B$8))/4+INDEX(BookQ3,52)*(5-MIN(4,3+'5. Scenarios'!$B$8))/4+INDEX(BookQ4,52)*(5-MIN(4,4+'5. Scenarios'!$B$8))/4)*'5. Scenarios'!$B$6/(1+ProductivityDefault*('5. Scenarios'!$B$11-1))+INDEX(BookOneOff,52)*$D57)</f>
        <v/>
      </c>
      <c r="I57" s="56" t="str">
        <f aca="false">IF(INDEX(BookTitle,52)="","",INDEX(BookTotal,52)*'5. Scenarios'!$C$6/(1+ProductivityDefault*('5. Scenarios'!$C$11-1)))</f>
        <v/>
      </c>
      <c r="J57" s="57" t="str">
        <f aca="false">IF($I57="","",INDEX(BookRate,52)*(1+'5. Scenarios'!$C$10)*$I57)</f>
        <v/>
      </c>
      <c r="K57" s="57" t="str">
        <f aca="false">IF($J57="","",SUMIFS($J$6:$J$2405,$A$6:$A$2405,"&lt;="&amp;$A57))</f>
        <v/>
      </c>
      <c r="L57" s="57" t="str">
        <f aca="false">IF($J57="","",IF($K57&lt;=BankCostEnvelope*'5. Scenarios'!$C$7,1,0))</f>
        <v/>
      </c>
      <c r="M57" s="57" t="str">
        <f aca="false">IF($I57="","",INDEX(BookRate,52)*(1+'5. Scenarios'!$C$10)*(INDEX(BookQ1,52)*(5-MIN(4,1+'5. Scenarios'!$C$8))/4+INDEX(BookQ2,52)*(5-MIN(4,2+'5. Scenarios'!$C$8))/4+INDEX(BookQ3,52)*(5-MIN(4,3+'5. Scenarios'!$C$8))/4+INDEX(BookQ4,52)*(5-MIN(4,4+'5. Scenarios'!$C$8))/4)*'5. Scenarios'!$C$6/(1+ProductivityDefault*('5. Scenarios'!$C$11-1))+INDEX(BookOneOff,52)*$I57)</f>
        <v/>
      </c>
      <c r="N57" s="56" t="str">
        <f aca="false">IF(INDEX(BookTitle,52)="","",INDEX(BookTotal,52)*'5. Scenarios'!$D$6/(1+ProductivityDefault*('5. Scenarios'!$D$11-1)))</f>
        <v/>
      </c>
      <c r="O57" s="57" t="str">
        <f aca="false">IF($N57="","",INDEX(BookRate,52)*(1+'5. Scenarios'!$D$10)*$N57)</f>
        <v/>
      </c>
      <c r="P57" s="57" t="str">
        <f aca="false">IF($O57="","",SUMIFS($O$6:$O$2405,$A$6:$A$2405,"&lt;="&amp;$A57))</f>
        <v/>
      </c>
      <c r="Q57" s="57" t="str">
        <f aca="false">IF($O57="","",IF($P57&lt;=BankCostEnvelope*'5. Scenarios'!$D$7,1,0))</f>
        <v/>
      </c>
      <c r="R57" s="57" t="str">
        <f aca="false">IF($N57="","",INDEX(BookRate,52)*(1+'5. Scenarios'!$D$10)*(INDEX(BookQ1,52)*(5-MIN(4,1+'5. Scenarios'!$D$8))/4+INDEX(BookQ2,52)*(5-MIN(4,2+'5. Scenarios'!$D$8))/4+INDEX(BookQ3,52)*(5-MIN(4,3+'5. Scenarios'!$D$8))/4+INDEX(BookQ4,52)*(5-MIN(4,4+'5. Scenarios'!$D$8))/4)*'5. Scenarios'!$D$6/(1+ProductivityDefault*('5. Scenarios'!$D$11-1))+INDEX(BookOneOff,52)*$N57)</f>
        <v/>
      </c>
      <c r="S57" s="56" t="str">
        <f aca="false">IF(INDEX(BookTitle,52)="","",INDEX(BookTotal,52)*'5. Scenarios'!$E$6/(1+ProductivityDefault*('5. Scenarios'!$E$11-1)))</f>
        <v/>
      </c>
      <c r="T57" s="57" t="str">
        <f aca="false">IF($S57="","",INDEX(BookRate,52)*(1+'5. Scenarios'!$E$10)*$S57)</f>
        <v/>
      </c>
      <c r="U57" s="57" t="str">
        <f aca="false">IF($T57="","",SUMIFS($T$6:$T$2405,$A$6:$A$2405,"&lt;="&amp;$A57))</f>
        <v/>
      </c>
      <c r="V57" s="57" t="str">
        <f aca="false">IF($T57="","",IF($U57&lt;=BankCostEnvelope*'5. Scenarios'!$E$7,1,0))</f>
        <v/>
      </c>
      <c r="W57" s="57" t="str">
        <f aca="false">IF($S57="","",INDEX(BookRate,52)*(1+'5. Scenarios'!$E$10)*(INDEX(BookQ1,52)*(5-MIN(4,1+'5. Scenarios'!$E$8))/4+INDEX(BookQ2,52)*(5-MIN(4,2+'5. Scenarios'!$E$8))/4+INDEX(BookQ3,52)*(5-MIN(4,3+'5. Scenarios'!$E$8))/4+INDEX(BookQ4,52)*(5-MIN(4,4+'5. Scenarios'!$E$8))/4)*'5. Scenarios'!$E$6/(1+ProductivityDefault*('5. Scenarios'!$E$11-1))+INDEX(BookOneOff,52)*$S57)</f>
        <v/>
      </c>
    </row>
    <row r="58" customFormat="false" ht="15" hidden="false" customHeight="false" outlineLevel="0" collapsed="false">
      <c r="A58" s="0" t="str">
        <f aca="false">IF(INDEX(BookTitle,53)="","",INDEX(BookKey,53))</f>
        <v/>
      </c>
      <c r="B58" s="0" t="str">
        <f aca="false">IF(INDEX(BookTitle,53)="","",INDEX(BookGroup,53))</f>
        <v/>
      </c>
      <c r="C58" s="0" t="str">
        <f aca="false">IF(INDEX(BookTitle,53)="","",INDEX(BookCategory,53))</f>
        <v/>
      </c>
      <c r="D58" s="56" t="str">
        <f aca="false">IF(INDEX(BookTitle,53)="","",INDEX(BookTotal,53)*'5. Scenarios'!$B$6/(1+ProductivityDefault*('5. Scenarios'!$B$11-1)))</f>
        <v/>
      </c>
      <c r="E58" s="57" t="str">
        <f aca="false">IF($D58="","",INDEX(BookRate,53)*(1+'5. Scenarios'!$B$10)*$D58)</f>
        <v/>
      </c>
      <c r="F58" s="57" t="str">
        <f aca="false">IF($E58="","",SUMIFS($E$6:$E$2405,$A$6:$A$2405,"&lt;="&amp;$A58))</f>
        <v/>
      </c>
      <c r="G58" s="57" t="str">
        <f aca="false">IF($E58="","",IF($F58&lt;=BankCostEnvelope*'5. Scenarios'!$B$7,1,0))</f>
        <v/>
      </c>
      <c r="H58" s="57" t="str">
        <f aca="false">IF($D58="","",INDEX(BookRate,53)*(1+'5. Scenarios'!$B$10)*(INDEX(BookQ1,53)*(5-MIN(4,1+'5. Scenarios'!$B$8))/4+INDEX(BookQ2,53)*(5-MIN(4,2+'5. Scenarios'!$B$8))/4+INDEX(BookQ3,53)*(5-MIN(4,3+'5. Scenarios'!$B$8))/4+INDEX(BookQ4,53)*(5-MIN(4,4+'5. Scenarios'!$B$8))/4)*'5. Scenarios'!$B$6/(1+ProductivityDefault*('5. Scenarios'!$B$11-1))+INDEX(BookOneOff,53)*$D58)</f>
        <v/>
      </c>
      <c r="I58" s="56" t="str">
        <f aca="false">IF(INDEX(BookTitle,53)="","",INDEX(BookTotal,53)*'5. Scenarios'!$C$6/(1+ProductivityDefault*('5. Scenarios'!$C$11-1)))</f>
        <v/>
      </c>
      <c r="J58" s="57" t="str">
        <f aca="false">IF($I58="","",INDEX(BookRate,53)*(1+'5. Scenarios'!$C$10)*$I58)</f>
        <v/>
      </c>
      <c r="K58" s="57" t="str">
        <f aca="false">IF($J58="","",SUMIFS($J$6:$J$2405,$A$6:$A$2405,"&lt;="&amp;$A58))</f>
        <v/>
      </c>
      <c r="L58" s="57" t="str">
        <f aca="false">IF($J58="","",IF($K58&lt;=BankCostEnvelope*'5. Scenarios'!$C$7,1,0))</f>
        <v/>
      </c>
      <c r="M58" s="57" t="str">
        <f aca="false">IF($I58="","",INDEX(BookRate,53)*(1+'5. Scenarios'!$C$10)*(INDEX(BookQ1,53)*(5-MIN(4,1+'5. Scenarios'!$C$8))/4+INDEX(BookQ2,53)*(5-MIN(4,2+'5. Scenarios'!$C$8))/4+INDEX(BookQ3,53)*(5-MIN(4,3+'5. Scenarios'!$C$8))/4+INDEX(BookQ4,53)*(5-MIN(4,4+'5. Scenarios'!$C$8))/4)*'5. Scenarios'!$C$6/(1+ProductivityDefault*('5. Scenarios'!$C$11-1))+INDEX(BookOneOff,53)*$I58)</f>
        <v/>
      </c>
      <c r="N58" s="56" t="str">
        <f aca="false">IF(INDEX(BookTitle,53)="","",INDEX(BookTotal,53)*'5. Scenarios'!$D$6/(1+ProductivityDefault*('5. Scenarios'!$D$11-1)))</f>
        <v/>
      </c>
      <c r="O58" s="57" t="str">
        <f aca="false">IF($N58="","",INDEX(BookRate,53)*(1+'5. Scenarios'!$D$10)*$N58)</f>
        <v/>
      </c>
      <c r="P58" s="57" t="str">
        <f aca="false">IF($O58="","",SUMIFS($O$6:$O$2405,$A$6:$A$2405,"&lt;="&amp;$A58))</f>
        <v/>
      </c>
      <c r="Q58" s="57" t="str">
        <f aca="false">IF($O58="","",IF($P58&lt;=BankCostEnvelope*'5. Scenarios'!$D$7,1,0))</f>
        <v/>
      </c>
      <c r="R58" s="57" t="str">
        <f aca="false">IF($N58="","",INDEX(BookRate,53)*(1+'5. Scenarios'!$D$10)*(INDEX(BookQ1,53)*(5-MIN(4,1+'5. Scenarios'!$D$8))/4+INDEX(BookQ2,53)*(5-MIN(4,2+'5. Scenarios'!$D$8))/4+INDEX(BookQ3,53)*(5-MIN(4,3+'5. Scenarios'!$D$8))/4+INDEX(BookQ4,53)*(5-MIN(4,4+'5. Scenarios'!$D$8))/4)*'5. Scenarios'!$D$6/(1+ProductivityDefault*('5. Scenarios'!$D$11-1))+INDEX(BookOneOff,53)*$N58)</f>
        <v/>
      </c>
      <c r="S58" s="56" t="str">
        <f aca="false">IF(INDEX(BookTitle,53)="","",INDEX(BookTotal,53)*'5. Scenarios'!$E$6/(1+ProductivityDefault*('5. Scenarios'!$E$11-1)))</f>
        <v/>
      </c>
      <c r="T58" s="57" t="str">
        <f aca="false">IF($S58="","",INDEX(BookRate,53)*(1+'5. Scenarios'!$E$10)*$S58)</f>
        <v/>
      </c>
      <c r="U58" s="57" t="str">
        <f aca="false">IF($T58="","",SUMIFS($T$6:$T$2405,$A$6:$A$2405,"&lt;="&amp;$A58))</f>
        <v/>
      </c>
      <c r="V58" s="57" t="str">
        <f aca="false">IF($T58="","",IF($U58&lt;=BankCostEnvelope*'5. Scenarios'!$E$7,1,0))</f>
        <v/>
      </c>
      <c r="W58" s="57" t="str">
        <f aca="false">IF($S58="","",INDEX(BookRate,53)*(1+'5. Scenarios'!$E$10)*(INDEX(BookQ1,53)*(5-MIN(4,1+'5. Scenarios'!$E$8))/4+INDEX(BookQ2,53)*(5-MIN(4,2+'5. Scenarios'!$E$8))/4+INDEX(BookQ3,53)*(5-MIN(4,3+'5. Scenarios'!$E$8))/4+INDEX(BookQ4,53)*(5-MIN(4,4+'5. Scenarios'!$E$8))/4)*'5. Scenarios'!$E$6/(1+ProductivityDefault*('5. Scenarios'!$E$11-1))+INDEX(BookOneOff,53)*$S58)</f>
        <v/>
      </c>
    </row>
    <row r="59" customFormat="false" ht="15" hidden="false" customHeight="false" outlineLevel="0" collapsed="false">
      <c r="A59" s="0" t="str">
        <f aca="false">IF(INDEX(BookTitle,54)="","",INDEX(BookKey,54))</f>
        <v/>
      </c>
      <c r="B59" s="0" t="str">
        <f aca="false">IF(INDEX(BookTitle,54)="","",INDEX(BookGroup,54))</f>
        <v/>
      </c>
      <c r="C59" s="0" t="str">
        <f aca="false">IF(INDEX(BookTitle,54)="","",INDEX(BookCategory,54))</f>
        <v/>
      </c>
      <c r="D59" s="56" t="str">
        <f aca="false">IF(INDEX(BookTitle,54)="","",INDEX(BookTotal,54)*'5. Scenarios'!$B$6/(1+ProductivityDefault*('5. Scenarios'!$B$11-1)))</f>
        <v/>
      </c>
      <c r="E59" s="57" t="str">
        <f aca="false">IF($D59="","",INDEX(BookRate,54)*(1+'5. Scenarios'!$B$10)*$D59)</f>
        <v/>
      </c>
      <c r="F59" s="57" t="str">
        <f aca="false">IF($E59="","",SUMIFS($E$6:$E$2405,$A$6:$A$2405,"&lt;="&amp;$A59))</f>
        <v/>
      </c>
      <c r="G59" s="57" t="str">
        <f aca="false">IF($E59="","",IF($F59&lt;=BankCostEnvelope*'5. Scenarios'!$B$7,1,0))</f>
        <v/>
      </c>
      <c r="H59" s="57" t="str">
        <f aca="false">IF($D59="","",INDEX(BookRate,54)*(1+'5. Scenarios'!$B$10)*(INDEX(BookQ1,54)*(5-MIN(4,1+'5. Scenarios'!$B$8))/4+INDEX(BookQ2,54)*(5-MIN(4,2+'5. Scenarios'!$B$8))/4+INDEX(BookQ3,54)*(5-MIN(4,3+'5. Scenarios'!$B$8))/4+INDEX(BookQ4,54)*(5-MIN(4,4+'5. Scenarios'!$B$8))/4)*'5. Scenarios'!$B$6/(1+ProductivityDefault*('5. Scenarios'!$B$11-1))+INDEX(BookOneOff,54)*$D59)</f>
        <v/>
      </c>
      <c r="I59" s="56" t="str">
        <f aca="false">IF(INDEX(BookTitle,54)="","",INDEX(BookTotal,54)*'5. Scenarios'!$C$6/(1+ProductivityDefault*('5. Scenarios'!$C$11-1)))</f>
        <v/>
      </c>
      <c r="J59" s="57" t="str">
        <f aca="false">IF($I59="","",INDEX(BookRate,54)*(1+'5. Scenarios'!$C$10)*$I59)</f>
        <v/>
      </c>
      <c r="K59" s="57" t="str">
        <f aca="false">IF($J59="","",SUMIFS($J$6:$J$2405,$A$6:$A$2405,"&lt;="&amp;$A59))</f>
        <v/>
      </c>
      <c r="L59" s="57" t="str">
        <f aca="false">IF($J59="","",IF($K59&lt;=BankCostEnvelope*'5. Scenarios'!$C$7,1,0))</f>
        <v/>
      </c>
      <c r="M59" s="57" t="str">
        <f aca="false">IF($I59="","",INDEX(BookRate,54)*(1+'5. Scenarios'!$C$10)*(INDEX(BookQ1,54)*(5-MIN(4,1+'5. Scenarios'!$C$8))/4+INDEX(BookQ2,54)*(5-MIN(4,2+'5. Scenarios'!$C$8))/4+INDEX(BookQ3,54)*(5-MIN(4,3+'5. Scenarios'!$C$8))/4+INDEX(BookQ4,54)*(5-MIN(4,4+'5. Scenarios'!$C$8))/4)*'5. Scenarios'!$C$6/(1+ProductivityDefault*('5. Scenarios'!$C$11-1))+INDEX(BookOneOff,54)*$I59)</f>
        <v/>
      </c>
      <c r="N59" s="56" t="str">
        <f aca="false">IF(INDEX(BookTitle,54)="","",INDEX(BookTotal,54)*'5. Scenarios'!$D$6/(1+ProductivityDefault*('5. Scenarios'!$D$11-1)))</f>
        <v/>
      </c>
      <c r="O59" s="57" t="str">
        <f aca="false">IF($N59="","",INDEX(BookRate,54)*(1+'5. Scenarios'!$D$10)*$N59)</f>
        <v/>
      </c>
      <c r="P59" s="57" t="str">
        <f aca="false">IF($O59="","",SUMIFS($O$6:$O$2405,$A$6:$A$2405,"&lt;="&amp;$A59))</f>
        <v/>
      </c>
      <c r="Q59" s="57" t="str">
        <f aca="false">IF($O59="","",IF($P59&lt;=BankCostEnvelope*'5. Scenarios'!$D$7,1,0))</f>
        <v/>
      </c>
      <c r="R59" s="57" t="str">
        <f aca="false">IF($N59="","",INDEX(BookRate,54)*(1+'5. Scenarios'!$D$10)*(INDEX(BookQ1,54)*(5-MIN(4,1+'5. Scenarios'!$D$8))/4+INDEX(BookQ2,54)*(5-MIN(4,2+'5. Scenarios'!$D$8))/4+INDEX(BookQ3,54)*(5-MIN(4,3+'5. Scenarios'!$D$8))/4+INDEX(BookQ4,54)*(5-MIN(4,4+'5. Scenarios'!$D$8))/4)*'5. Scenarios'!$D$6/(1+ProductivityDefault*('5. Scenarios'!$D$11-1))+INDEX(BookOneOff,54)*$N59)</f>
        <v/>
      </c>
      <c r="S59" s="56" t="str">
        <f aca="false">IF(INDEX(BookTitle,54)="","",INDEX(BookTotal,54)*'5. Scenarios'!$E$6/(1+ProductivityDefault*('5. Scenarios'!$E$11-1)))</f>
        <v/>
      </c>
      <c r="T59" s="57" t="str">
        <f aca="false">IF($S59="","",INDEX(BookRate,54)*(1+'5. Scenarios'!$E$10)*$S59)</f>
        <v/>
      </c>
      <c r="U59" s="57" t="str">
        <f aca="false">IF($T59="","",SUMIFS($T$6:$T$2405,$A$6:$A$2405,"&lt;="&amp;$A59))</f>
        <v/>
      </c>
      <c r="V59" s="57" t="str">
        <f aca="false">IF($T59="","",IF($U59&lt;=BankCostEnvelope*'5. Scenarios'!$E$7,1,0))</f>
        <v/>
      </c>
      <c r="W59" s="57" t="str">
        <f aca="false">IF($S59="","",INDEX(BookRate,54)*(1+'5. Scenarios'!$E$10)*(INDEX(BookQ1,54)*(5-MIN(4,1+'5. Scenarios'!$E$8))/4+INDEX(BookQ2,54)*(5-MIN(4,2+'5. Scenarios'!$E$8))/4+INDEX(BookQ3,54)*(5-MIN(4,3+'5. Scenarios'!$E$8))/4+INDEX(BookQ4,54)*(5-MIN(4,4+'5. Scenarios'!$E$8))/4)*'5. Scenarios'!$E$6/(1+ProductivityDefault*('5. Scenarios'!$E$11-1))+INDEX(BookOneOff,54)*$S59)</f>
        <v/>
      </c>
    </row>
    <row r="60" customFormat="false" ht="15" hidden="false" customHeight="false" outlineLevel="0" collapsed="false">
      <c r="A60" s="0" t="str">
        <f aca="false">IF(INDEX(BookTitle,55)="","",INDEX(BookKey,55))</f>
        <v/>
      </c>
      <c r="B60" s="0" t="str">
        <f aca="false">IF(INDEX(BookTitle,55)="","",INDEX(BookGroup,55))</f>
        <v/>
      </c>
      <c r="C60" s="0" t="str">
        <f aca="false">IF(INDEX(BookTitle,55)="","",INDEX(BookCategory,55))</f>
        <v/>
      </c>
      <c r="D60" s="56" t="str">
        <f aca="false">IF(INDEX(BookTitle,55)="","",INDEX(BookTotal,55)*'5. Scenarios'!$B$6/(1+ProductivityDefault*('5. Scenarios'!$B$11-1)))</f>
        <v/>
      </c>
      <c r="E60" s="57" t="str">
        <f aca="false">IF($D60="","",INDEX(BookRate,55)*(1+'5. Scenarios'!$B$10)*$D60)</f>
        <v/>
      </c>
      <c r="F60" s="57" t="str">
        <f aca="false">IF($E60="","",SUMIFS($E$6:$E$2405,$A$6:$A$2405,"&lt;="&amp;$A60))</f>
        <v/>
      </c>
      <c r="G60" s="57" t="str">
        <f aca="false">IF($E60="","",IF($F60&lt;=BankCostEnvelope*'5. Scenarios'!$B$7,1,0))</f>
        <v/>
      </c>
      <c r="H60" s="57" t="str">
        <f aca="false">IF($D60="","",INDEX(BookRate,55)*(1+'5. Scenarios'!$B$10)*(INDEX(BookQ1,55)*(5-MIN(4,1+'5. Scenarios'!$B$8))/4+INDEX(BookQ2,55)*(5-MIN(4,2+'5. Scenarios'!$B$8))/4+INDEX(BookQ3,55)*(5-MIN(4,3+'5. Scenarios'!$B$8))/4+INDEX(BookQ4,55)*(5-MIN(4,4+'5. Scenarios'!$B$8))/4)*'5. Scenarios'!$B$6/(1+ProductivityDefault*('5. Scenarios'!$B$11-1))+INDEX(BookOneOff,55)*$D60)</f>
        <v/>
      </c>
      <c r="I60" s="56" t="str">
        <f aca="false">IF(INDEX(BookTitle,55)="","",INDEX(BookTotal,55)*'5. Scenarios'!$C$6/(1+ProductivityDefault*('5. Scenarios'!$C$11-1)))</f>
        <v/>
      </c>
      <c r="J60" s="57" t="str">
        <f aca="false">IF($I60="","",INDEX(BookRate,55)*(1+'5. Scenarios'!$C$10)*$I60)</f>
        <v/>
      </c>
      <c r="K60" s="57" t="str">
        <f aca="false">IF($J60="","",SUMIFS($J$6:$J$2405,$A$6:$A$2405,"&lt;="&amp;$A60))</f>
        <v/>
      </c>
      <c r="L60" s="57" t="str">
        <f aca="false">IF($J60="","",IF($K60&lt;=BankCostEnvelope*'5. Scenarios'!$C$7,1,0))</f>
        <v/>
      </c>
      <c r="M60" s="57" t="str">
        <f aca="false">IF($I60="","",INDEX(BookRate,55)*(1+'5. Scenarios'!$C$10)*(INDEX(BookQ1,55)*(5-MIN(4,1+'5. Scenarios'!$C$8))/4+INDEX(BookQ2,55)*(5-MIN(4,2+'5. Scenarios'!$C$8))/4+INDEX(BookQ3,55)*(5-MIN(4,3+'5. Scenarios'!$C$8))/4+INDEX(BookQ4,55)*(5-MIN(4,4+'5. Scenarios'!$C$8))/4)*'5. Scenarios'!$C$6/(1+ProductivityDefault*('5. Scenarios'!$C$11-1))+INDEX(BookOneOff,55)*$I60)</f>
        <v/>
      </c>
      <c r="N60" s="56" t="str">
        <f aca="false">IF(INDEX(BookTitle,55)="","",INDEX(BookTotal,55)*'5. Scenarios'!$D$6/(1+ProductivityDefault*('5. Scenarios'!$D$11-1)))</f>
        <v/>
      </c>
      <c r="O60" s="57" t="str">
        <f aca="false">IF($N60="","",INDEX(BookRate,55)*(1+'5. Scenarios'!$D$10)*$N60)</f>
        <v/>
      </c>
      <c r="P60" s="57" t="str">
        <f aca="false">IF($O60="","",SUMIFS($O$6:$O$2405,$A$6:$A$2405,"&lt;="&amp;$A60))</f>
        <v/>
      </c>
      <c r="Q60" s="57" t="str">
        <f aca="false">IF($O60="","",IF($P60&lt;=BankCostEnvelope*'5. Scenarios'!$D$7,1,0))</f>
        <v/>
      </c>
      <c r="R60" s="57" t="str">
        <f aca="false">IF($N60="","",INDEX(BookRate,55)*(1+'5. Scenarios'!$D$10)*(INDEX(BookQ1,55)*(5-MIN(4,1+'5. Scenarios'!$D$8))/4+INDEX(BookQ2,55)*(5-MIN(4,2+'5. Scenarios'!$D$8))/4+INDEX(BookQ3,55)*(5-MIN(4,3+'5. Scenarios'!$D$8))/4+INDEX(BookQ4,55)*(5-MIN(4,4+'5. Scenarios'!$D$8))/4)*'5. Scenarios'!$D$6/(1+ProductivityDefault*('5. Scenarios'!$D$11-1))+INDEX(BookOneOff,55)*$N60)</f>
        <v/>
      </c>
      <c r="S60" s="56" t="str">
        <f aca="false">IF(INDEX(BookTitle,55)="","",INDEX(BookTotal,55)*'5. Scenarios'!$E$6/(1+ProductivityDefault*('5. Scenarios'!$E$11-1)))</f>
        <v/>
      </c>
      <c r="T60" s="57" t="str">
        <f aca="false">IF($S60="","",INDEX(BookRate,55)*(1+'5. Scenarios'!$E$10)*$S60)</f>
        <v/>
      </c>
      <c r="U60" s="57" t="str">
        <f aca="false">IF($T60="","",SUMIFS($T$6:$T$2405,$A$6:$A$2405,"&lt;="&amp;$A60))</f>
        <v/>
      </c>
      <c r="V60" s="57" t="str">
        <f aca="false">IF($T60="","",IF($U60&lt;=BankCostEnvelope*'5. Scenarios'!$E$7,1,0))</f>
        <v/>
      </c>
      <c r="W60" s="57" t="str">
        <f aca="false">IF($S60="","",INDEX(BookRate,55)*(1+'5. Scenarios'!$E$10)*(INDEX(BookQ1,55)*(5-MIN(4,1+'5. Scenarios'!$E$8))/4+INDEX(BookQ2,55)*(5-MIN(4,2+'5. Scenarios'!$E$8))/4+INDEX(BookQ3,55)*(5-MIN(4,3+'5. Scenarios'!$E$8))/4+INDEX(BookQ4,55)*(5-MIN(4,4+'5. Scenarios'!$E$8))/4)*'5. Scenarios'!$E$6/(1+ProductivityDefault*('5. Scenarios'!$E$11-1))+INDEX(BookOneOff,55)*$S60)</f>
        <v/>
      </c>
    </row>
    <row r="61" customFormat="false" ht="15" hidden="false" customHeight="false" outlineLevel="0" collapsed="false">
      <c r="A61" s="0" t="str">
        <f aca="false">IF(INDEX(BookTitle,56)="","",INDEX(BookKey,56))</f>
        <v/>
      </c>
      <c r="B61" s="0" t="str">
        <f aca="false">IF(INDEX(BookTitle,56)="","",INDEX(BookGroup,56))</f>
        <v/>
      </c>
      <c r="C61" s="0" t="str">
        <f aca="false">IF(INDEX(BookTitle,56)="","",INDEX(BookCategory,56))</f>
        <v/>
      </c>
      <c r="D61" s="56" t="str">
        <f aca="false">IF(INDEX(BookTitle,56)="","",INDEX(BookTotal,56)*'5. Scenarios'!$B$6/(1+ProductivityDefault*('5. Scenarios'!$B$11-1)))</f>
        <v/>
      </c>
      <c r="E61" s="57" t="str">
        <f aca="false">IF($D61="","",INDEX(BookRate,56)*(1+'5. Scenarios'!$B$10)*$D61)</f>
        <v/>
      </c>
      <c r="F61" s="57" t="str">
        <f aca="false">IF($E61="","",SUMIFS($E$6:$E$2405,$A$6:$A$2405,"&lt;="&amp;$A61))</f>
        <v/>
      </c>
      <c r="G61" s="57" t="str">
        <f aca="false">IF($E61="","",IF($F61&lt;=BankCostEnvelope*'5. Scenarios'!$B$7,1,0))</f>
        <v/>
      </c>
      <c r="H61" s="57" t="str">
        <f aca="false">IF($D61="","",INDEX(BookRate,56)*(1+'5. Scenarios'!$B$10)*(INDEX(BookQ1,56)*(5-MIN(4,1+'5. Scenarios'!$B$8))/4+INDEX(BookQ2,56)*(5-MIN(4,2+'5. Scenarios'!$B$8))/4+INDEX(BookQ3,56)*(5-MIN(4,3+'5. Scenarios'!$B$8))/4+INDEX(BookQ4,56)*(5-MIN(4,4+'5. Scenarios'!$B$8))/4)*'5. Scenarios'!$B$6/(1+ProductivityDefault*('5. Scenarios'!$B$11-1))+INDEX(BookOneOff,56)*$D61)</f>
        <v/>
      </c>
      <c r="I61" s="56" t="str">
        <f aca="false">IF(INDEX(BookTitle,56)="","",INDEX(BookTotal,56)*'5. Scenarios'!$C$6/(1+ProductivityDefault*('5. Scenarios'!$C$11-1)))</f>
        <v/>
      </c>
      <c r="J61" s="57" t="str">
        <f aca="false">IF($I61="","",INDEX(BookRate,56)*(1+'5. Scenarios'!$C$10)*$I61)</f>
        <v/>
      </c>
      <c r="K61" s="57" t="str">
        <f aca="false">IF($J61="","",SUMIFS($J$6:$J$2405,$A$6:$A$2405,"&lt;="&amp;$A61))</f>
        <v/>
      </c>
      <c r="L61" s="57" t="str">
        <f aca="false">IF($J61="","",IF($K61&lt;=BankCostEnvelope*'5. Scenarios'!$C$7,1,0))</f>
        <v/>
      </c>
      <c r="M61" s="57" t="str">
        <f aca="false">IF($I61="","",INDEX(BookRate,56)*(1+'5. Scenarios'!$C$10)*(INDEX(BookQ1,56)*(5-MIN(4,1+'5. Scenarios'!$C$8))/4+INDEX(BookQ2,56)*(5-MIN(4,2+'5. Scenarios'!$C$8))/4+INDEX(BookQ3,56)*(5-MIN(4,3+'5. Scenarios'!$C$8))/4+INDEX(BookQ4,56)*(5-MIN(4,4+'5. Scenarios'!$C$8))/4)*'5. Scenarios'!$C$6/(1+ProductivityDefault*('5. Scenarios'!$C$11-1))+INDEX(BookOneOff,56)*$I61)</f>
        <v/>
      </c>
      <c r="N61" s="56" t="str">
        <f aca="false">IF(INDEX(BookTitle,56)="","",INDEX(BookTotal,56)*'5. Scenarios'!$D$6/(1+ProductivityDefault*('5. Scenarios'!$D$11-1)))</f>
        <v/>
      </c>
      <c r="O61" s="57" t="str">
        <f aca="false">IF($N61="","",INDEX(BookRate,56)*(1+'5. Scenarios'!$D$10)*$N61)</f>
        <v/>
      </c>
      <c r="P61" s="57" t="str">
        <f aca="false">IF($O61="","",SUMIFS($O$6:$O$2405,$A$6:$A$2405,"&lt;="&amp;$A61))</f>
        <v/>
      </c>
      <c r="Q61" s="57" t="str">
        <f aca="false">IF($O61="","",IF($P61&lt;=BankCostEnvelope*'5. Scenarios'!$D$7,1,0))</f>
        <v/>
      </c>
      <c r="R61" s="57" t="str">
        <f aca="false">IF($N61="","",INDEX(BookRate,56)*(1+'5. Scenarios'!$D$10)*(INDEX(BookQ1,56)*(5-MIN(4,1+'5. Scenarios'!$D$8))/4+INDEX(BookQ2,56)*(5-MIN(4,2+'5. Scenarios'!$D$8))/4+INDEX(BookQ3,56)*(5-MIN(4,3+'5. Scenarios'!$D$8))/4+INDEX(BookQ4,56)*(5-MIN(4,4+'5. Scenarios'!$D$8))/4)*'5. Scenarios'!$D$6/(1+ProductivityDefault*('5. Scenarios'!$D$11-1))+INDEX(BookOneOff,56)*$N61)</f>
        <v/>
      </c>
      <c r="S61" s="56" t="str">
        <f aca="false">IF(INDEX(BookTitle,56)="","",INDEX(BookTotal,56)*'5. Scenarios'!$E$6/(1+ProductivityDefault*('5. Scenarios'!$E$11-1)))</f>
        <v/>
      </c>
      <c r="T61" s="57" t="str">
        <f aca="false">IF($S61="","",INDEX(BookRate,56)*(1+'5. Scenarios'!$E$10)*$S61)</f>
        <v/>
      </c>
      <c r="U61" s="57" t="str">
        <f aca="false">IF($T61="","",SUMIFS($T$6:$T$2405,$A$6:$A$2405,"&lt;="&amp;$A61))</f>
        <v/>
      </c>
      <c r="V61" s="57" t="str">
        <f aca="false">IF($T61="","",IF($U61&lt;=BankCostEnvelope*'5. Scenarios'!$E$7,1,0))</f>
        <v/>
      </c>
      <c r="W61" s="57" t="str">
        <f aca="false">IF($S61="","",INDEX(BookRate,56)*(1+'5. Scenarios'!$E$10)*(INDEX(BookQ1,56)*(5-MIN(4,1+'5. Scenarios'!$E$8))/4+INDEX(BookQ2,56)*(5-MIN(4,2+'5. Scenarios'!$E$8))/4+INDEX(BookQ3,56)*(5-MIN(4,3+'5. Scenarios'!$E$8))/4+INDEX(BookQ4,56)*(5-MIN(4,4+'5. Scenarios'!$E$8))/4)*'5. Scenarios'!$E$6/(1+ProductivityDefault*('5. Scenarios'!$E$11-1))+INDEX(BookOneOff,56)*$S61)</f>
        <v/>
      </c>
    </row>
    <row r="62" customFormat="false" ht="15" hidden="false" customHeight="false" outlineLevel="0" collapsed="false">
      <c r="A62" s="0" t="str">
        <f aca="false">IF(INDEX(BookTitle,57)="","",INDEX(BookKey,57))</f>
        <v/>
      </c>
      <c r="B62" s="0" t="str">
        <f aca="false">IF(INDEX(BookTitle,57)="","",INDEX(BookGroup,57))</f>
        <v/>
      </c>
      <c r="C62" s="0" t="str">
        <f aca="false">IF(INDEX(BookTitle,57)="","",INDEX(BookCategory,57))</f>
        <v/>
      </c>
      <c r="D62" s="56" t="str">
        <f aca="false">IF(INDEX(BookTitle,57)="","",INDEX(BookTotal,57)*'5. Scenarios'!$B$6/(1+ProductivityDefault*('5. Scenarios'!$B$11-1)))</f>
        <v/>
      </c>
      <c r="E62" s="57" t="str">
        <f aca="false">IF($D62="","",INDEX(BookRate,57)*(1+'5. Scenarios'!$B$10)*$D62)</f>
        <v/>
      </c>
      <c r="F62" s="57" t="str">
        <f aca="false">IF($E62="","",SUMIFS($E$6:$E$2405,$A$6:$A$2405,"&lt;="&amp;$A62))</f>
        <v/>
      </c>
      <c r="G62" s="57" t="str">
        <f aca="false">IF($E62="","",IF($F62&lt;=BankCostEnvelope*'5. Scenarios'!$B$7,1,0))</f>
        <v/>
      </c>
      <c r="H62" s="57" t="str">
        <f aca="false">IF($D62="","",INDEX(BookRate,57)*(1+'5. Scenarios'!$B$10)*(INDEX(BookQ1,57)*(5-MIN(4,1+'5. Scenarios'!$B$8))/4+INDEX(BookQ2,57)*(5-MIN(4,2+'5. Scenarios'!$B$8))/4+INDEX(BookQ3,57)*(5-MIN(4,3+'5. Scenarios'!$B$8))/4+INDEX(BookQ4,57)*(5-MIN(4,4+'5. Scenarios'!$B$8))/4)*'5. Scenarios'!$B$6/(1+ProductivityDefault*('5. Scenarios'!$B$11-1))+INDEX(BookOneOff,57)*$D62)</f>
        <v/>
      </c>
      <c r="I62" s="56" t="str">
        <f aca="false">IF(INDEX(BookTitle,57)="","",INDEX(BookTotal,57)*'5. Scenarios'!$C$6/(1+ProductivityDefault*('5. Scenarios'!$C$11-1)))</f>
        <v/>
      </c>
      <c r="J62" s="57" t="str">
        <f aca="false">IF($I62="","",INDEX(BookRate,57)*(1+'5. Scenarios'!$C$10)*$I62)</f>
        <v/>
      </c>
      <c r="K62" s="57" t="str">
        <f aca="false">IF($J62="","",SUMIFS($J$6:$J$2405,$A$6:$A$2405,"&lt;="&amp;$A62))</f>
        <v/>
      </c>
      <c r="L62" s="57" t="str">
        <f aca="false">IF($J62="","",IF($K62&lt;=BankCostEnvelope*'5. Scenarios'!$C$7,1,0))</f>
        <v/>
      </c>
      <c r="M62" s="57" t="str">
        <f aca="false">IF($I62="","",INDEX(BookRate,57)*(1+'5. Scenarios'!$C$10)*(INDEX(BookQ1,57)*(5-MIN(4,1+'5. Scenarios'!$C$8))/4+INDEX(BookQ2,57)*(5-MIN(4,2+'5. Scenarios'!$C$8))/4+INDEX(BookQ3,57)*(5-MIN(4,3+'5. Scenarios'!$C$8))/4+INDEX(BookQ4,57)*(5-MIN(4,4+'5. Scenarios'!$C$8))/4)*'5. Scenarios'!$C$6/(1+ProductivityDefault*('5. Scenarios'!$C$11-1))+INDEX(BookOneOff,57)*$I62)</f>
        <v/>
      </c>
      <c r="N62" s="56" t="str">
        <f aca="false">IF(INDEX(BookTitle,57)="","",INDEX(BookTotal,57)*'5. Scenarios'!$D$6/(1+ProductivityDefault*('5. Scenarios'!$D$11-1)))</f>
        <v/>
      </c>
      <c r="O62" s="57" t="str">
        <f aca="false">IF($N62="","",INDEX(BookRate,57)*(1+'5. Scenarios'!$D$10)*$N62)</f>
        <v/>
      </c>
      <c r="P62" s="57" t="str">
        <f aca="false">IF($O62="","",SUMIFS($O$6:$O$2405,$A$6:$A$2405,"&lt;="&amp;$A62))</f>
        <v/>
      </c>
      <c r="Q62" s="57" t="str">
        <f aca="false">IF($O62="","",IF($P62&lt;=BankCostEnvelope*'5. Scenarios'!$D$7,1,0))</f>
        <v/>
      </c>
      <c r="R62" s="57" t="str">
        <f aca="false">IF($N62="","",INDEX(BookRate,57)*(1+'5. Scenarios'!$D$10)*(INDEX(BookQ1,57)*(5-MIN(4,1+'5. Scenarios'!$D$8))/4+INDEX(BookQ2,57)*(5-MIN(4,2+'5. Scenarios'!$D$8))/4+INDEX(BookQ3,57)*(5-MIN(4,3+'5. Scenarios'!$D$8))/4+INDEX(BookQ4,57)*(5-MIN(4,4+'5. Scenarios'!$D$8))/4)*'5. Scenarios'!$D$6/(1+ProductivityDefault*('5. Scenarios'!$D$11-1))+INDEX(BookOneOff,57)*$N62)</f>
        <v/>
      </c>
      <c r="S62" s="56" t="str">
        <f aca="false">IF(INDEX(BookTitle,57)="","",INDEX(BookTotal,57)*'5. Scenarios'!$E$6/(1+ProductivityDefault*('5. Scenarios'!$E$11-1)))</f>
        <v/>
      </c>
      <c r="T62" s="57" t="str">
        <f aca="false">IF($S62="","",INDEX(BookRate,57)*(1+'5. Scenarios'!$E$10)*$S62)</f>
        <v/>
      </c>
      <c r="U62" s="57" t="str">
        <f aca="false">IF($T62="","",SUMIFS($T$6:$T$2405,$A$6:$A$2405,"&lt;="&amp;$A62))</f>
        <v/>
      </c>
      <c r="V62" s="57" t="str">
        <f aca="false">IF($T62="","",IF($U62&lt;=BankCostEnvelope*'5. Scenarios'!$E$7,1,0))</f>
        <v/>
      </c>
      <c r="W62" s="57" t="str">
        <f aca="false">IF($S62="","",INDEX(BookRate,57)*(1+'5. Scenarios'!$E$10)*(INDEX(BookQ1,57)*(5-MIN(4,1+'5. Scenarios'!$E$8))/4+INDEX(BookQ2,57)*(5-MIN(4,2+'5. Scenarios'!$E$8))/4+INDEX(BookQ3,57)*(5-MIN(4,3+'5. Scenarios'!$E$8))/4+INDEX(BookQ4,57)*(5-MIN(4,4+'5. Scenarios'!$E$8))/4)*'5. Scenarios'!$E$6/(1+ProductivityDefault*('5. Scenarios'!$E$11-1))+INDEX(BookOneOff,57)*$S62)</f>
        <v/>
      </c>
    </row>
    <row r="63" customFormat="false" ht="15" hidden="false" customHeight="false" outlineLevel="0" collapsed="false">
      <c r="A63" s="0" t="str">
        <f aca="false">IF(INDEX(BookTitle,58)="","",INDEX(BookKey,58))</f>
        <v/>
      </c>
      <c r="B63" s="0" t="str">
        <f aca="false">IF(INDEX(BookTitle,58)="","",INDEX(BookGroup,58))</f>
        <v/>
      </c>
      <c r="C63" s="0" t="str">
        <f aca="false">IF(INDEX(BookTitle,58)="","",INDEX(BookCategory,58))</f>
        <v/>
      </c>
      <c r="D63" s="56" t="str">
        <f aca="false">IF(INDEX(BookTitle,58)="","",INDEX(BookTotal,58)*'5. Scenarios'!$B$6/(1+ProductivityDefault*('5. Scenarios'!$B$11-1)))</f>
        <v/>
      </c>
      <c r="E63" s="57" t="str">
        <f aca="false">IF($D63="","",INDEX(BookRate,58)*(1+'5. Scenarios'!$B$10)*$D63)</f>
        <v/>
      </c>
      <c r="F63" s="57" t="str">
        <f aca="false">IF($E63="","",SUMIFS($E$6:$E$2405,$A$6:$A$2405,"&lt;="&amp;$A63))</f>
        <v/>
      </c>
      <c r="G63" s="57" t="str">
        <f aca="false">IF($E63="","",IF($F63&lt;=BankCostEnvelope*'5. Scenarios'!$B$7,1,0))</f>
        <v/>
      </c>
      <c r="H63" s="57" t="str">
        <f aca="false">IF($D63="","",INDEX(BookRate,58)*(1+'5. Scenarios'!$B$10)*(INDEX(BookQ1,58)*(5-MIN(4,1+'5. Scenarios'!$B$8))/4+INDEX(BookQ2,58)*(5-MIN(4,2+'5. Scenarios'!$B$8))/4+INDEX(BookQ3,58)*(5-MIN(4,3+'5. Scenarios'!$B$8))/4+INDEX(BookQ4,58)*(5-MIN(4,4+'5. Scenarios'!$B$8))/4)*'5. Scenarios'!$B$6/(1+ProductivityDefault*('5. Scenarios'!$B$11-1))+INDEX(BookOneOff,58)*$D63)</f>
        <v/>
      </c>
      <c r="I63" s="56" t="str">
        <f aca="false">IF(INDEX(BookTitle,58)="","",INDEX(BookTotal,58)*'5. Scenarios'!$C$6/(1+ProductivityDefault*('5. Scenarios'!$C$11-1)))</f>
        <v/>
      </c>
      <c r="J63" s="57" t="str">
        <f aca="false">IF($I63="","",INDEX(BookRate,58)*(1+'5. Scenarios'!$C$10)*$I63)</f>
        <v/>
      </c>
      <c r="K63" s="57" t="str">
        <f aca="false">IF($J63="","",SUMIFS($J$6:$J$2405,$A$6:$A$2405,"&lt;="&amp;$A63))</f>
        <v/>
      </c>
      <c r="L63" s="57" t="str">
        <f aca="false">IF($J63="","",IF($K63&lt;=BankCostEnvelope*'5. Scenarios'!$C$7,1,0))</f>
        <v/>
      </c>
      <c r="M63" s="57" t="str">
        <f aca="false">IF($I63="","",INDEX(BookRate,58)*(1+'5. Scenarios'!$C$10)*(INDEX(BookQ1,58)*(5-MIN(4,1+'5. Scenarios'!$C$8))/4+INDEX(BookQ2,58)*(5-MIN(4,2+'5. Scenarios'!$C$8))/4+INDEX(BookQ3,58)*(5-MIN(4,3+'5. Scenarios'!$C$8))/4+INDEX(BookQ4,58)*(5-MIN(4,4+'5. Scenarios'!$C$8))/4)*'5. Scenarios'!$C$6/(1+ProductivityDefault*('5. Scenarios'!$C$11-1))+INDEX(BookOneOff,58)*$I63)</f>
        <v/>
      </c>
      <c r="N63" s="56" t="str">
        <f aca="false">IF(INDEX(BookTitle,58)="","",INDEX(BookTotal,58)*'5. Scenarios'!$D$6/(1+ProductivityDefault*('5. Scenarios'!$D$11-1)))</f>
        <v/>
      </c>
      <c r="O63" s="57" t="str">
        <f aca="false">IF($N63="","",INDEX(BookRate,58)*(1+'5. Scenarios'!$D$10)*$N63)</f>
        <v/>
      </c>
      <c r="P63" s="57" t="str">
        <f aca="false">IF($O63="","",SUMIFS($O$6:$O$2405,$A$6:$A$2405,"&lt;="&amp;$A63))</f>
        <v/>
      </c>
      <c r="Q63" s="57" t="str">
        <f aca="false">IF($O63="","",IF($P63&lt;=BankCostEnvelope*'5. Scenarios'!$D$7,1,0))</f>
        <v/>
      </c>
      <c r="R63" s="57" t="str">
        <f aca="false">IF($N63="","",INDEX(BookRate,58)*(1+'5. Scenarios'!$D$10)*(INDEX(BookQ1,58)*(5-MIN(4,1+'5. Scenarios'!$D$8))/4+INDEX(BookQ2,58)*(5-MIN(4,2+'5. Scenarios'!$D$8))/4+INDEX(BookQ3,58)*(5-MIN(4,3+'5. Scenarios'!$D$8))/4+INDEX(BookQ4,58)*(5-MIN(4,4+'5. Scenarios'!$D$8))/4)*'5. Scenarios'!$D$6/(1+ProductivityDefault*('5. Scenarios'!$D$11-1))+INDEX(BookOneOff,58)*$N63)</f>
        <v/>
      </c>
      <c r="S63" s="56" t="str">
        <f aca="false">IF(INDEX(BookTitle,58)="","",INDEX(BookTotal,58)*'5. Scenarios'!$E$6/(1+ProductivityDefault*('5. Scenarios'!$E$11-1)))</f>
        <v/>
      </c>
      <c r="T63" s="57" t="str">
        <f aca="false">IF($S63="","",INDEX(BookRate,58)*(1+'5. Scenarios'!$E$10)*$S63)</f>
        <v/>
      </c>
      <c r="U63" s="57" t="str">
        <f aca="false">IF($T63="","",SUMIFS($T$6:$T$2405,$A$6:$A$2405,"&lt;="&amp;$A63))</f>
        <v/>
      </c>
      <c r="V63" s="57" t="str">
        <f aca="false">IF($T63="","",IF($U63&lt;=BankCostEnvelope*'5. Scenarios'!$E$7,1,0))</f>
        <v/>
      </c>
      <c r="W63" s="57" t="str">
        <f aca="false">IF($S63="","",INDEX(BookRate,58)*(1+'5. Scenarios'!$E$10)*(INDEX(BookQ1,58)*(5-MIN(4,1+'5. Scenarios'!$E$8))/4+INDEX(BookQ2,58)*(5-MIN(4,2+'5. Scenarios'!$E$8))/4+INDEX(BookQ3,58)*(5-MIN(4,3+'5. Scenarios'!$E$8))/4+INDEX(BookQ4,58)*(5-MIN(4,4+'5. Scenarios'!$E$8))/4)*'5. Scenarios'!$E$6/(1+ProductivityDefault*('5. Scenarios'!$E$11-1))+INDEX(BookOneOff,58)*$S63)</f>
        <v/>
      </c>
    </row>
    <row r="64" customFormat="false" ht="15" hidden="false" customHeight="false" outlineLevel="0" collapsed="false">
      <c r="A64" s="0" t="str">
        <f aca="false">IF(INDEX(BookTitle,59)="","",INDEX(BookKey,59))</f>
        <v/>
      </c>
      <c r="B64" s="0" t="str">
        <f aca="false">IF(INDEX(BookTitle,59)="","",INDEX(BookGroup,59))</f>
        <v/>
      </c>
      <c r="C64" s="0" t="str">
        <f aca="false">IF(INDEX(BookTitle,59)="","",INDEX(BookCategory,59))</f>
        <v/>
      </c>
      <c r="D64" s="56" t="str">
        <f aca="false">IF(INDEX(BookTitle,59)="","",INDEX(BookTotal,59)*'5. Scenarios'!$B$6/(1+ProductivityDefault*('5. Scenarios'!$B$11-1)))</f>
        <v/>
      </c>
      <c r="E64" s="57" t="str">
        <f aca="false">IF($D64="","",INDEX(BookRate,59)*(1+'5. Scenarios'!$B$10)*$D64)</f>
        <v/>
      </c>
      <c r="F64" s="57" t="str">
        <f aca="false">IF($E64="","",SUMIFS($E$6:$E$2405,$A$6:$A$2405,"&lt;="&amp;$A64))</f>
        <v/>
      </c>
      <c r="G64" s="57" t="str">
        <f aca="false">IF($E64="","",IF($F64&lt;=BankCostEnvelope*'5. Scenarios'!$B$7,1,0))</f>
        <v/>
      </c>
      <c r="H64" s="57" t="str">
        <f aca="false">IF($D64="","",INDEX(BookRate,59)*(1+'5. Scenarios'!$B$10)*(INDEX(BookQ1,59)*(5-MIN(4,1+'5. Scenarios'!$B$8))/4+INDEX(BookQ2,59)*(5-MIN(4,2+'5. Scenarios'!$B$8))/4+INDEX(BookQ3,59)*(5-MIN(4,3+'5. Scenarios'!$B$8))/4+INDEX(BookQ4,59)*(5-MIN(4,4+'5. Scenarios'!$B$8))/4)*'5. Scenarios'!$B$6/(1+ProductivityDefault*('5. Scenarios'!$B$11-1))+INDEX(BookOneOff,59)*$D64)</f>
        <v/>
      </c>
      <c r="I64" s="56" t="str">
        <f aca="false">IF(INDEX(BookTitle,59)="","",INDEX(BookTotal,59)*'5. Scenarios'!$C$6/(1+ProductivityDefault*('5. Scenarios'!$C$11-1)))</f>
        <v/>
      </c>
      <c r="J64" s="57" t="str">
        <f aca="false">IF($I64="","",INDEX(BookRate,59)*(1+'5. Scenarios'!$C$10)*$I64)</f>
        <v/>
      </c>
      <c r="K64" s="57" t="str">
        <f aca="false">IF($J64="","",SUMIFS($J$6:$J$2405,$A$6:$A$2405,"&lt;="&amp;$A64))</f>
        <v/>
      </c>
      <c r="L64" s="57" t="str">
        <f aca="false">IF($J64="","",IF($K64&lt;=BankCostEnvelope*'5. Scenarios'!$C$7,1,0))</f>
        <v/>
      </c>
      <c r="M64" s="57" t="str">
        <f aca="false">IF($I64="","",INDEX(BookRate,59)*(1+'5. Scenarios'!$C$10)*(INDEX(BookQ1,59)*(5-MIN(4,1+'5. Scenarios'!$C$8))/4+INDEX(BookQ2,59)*(5-MIN(4,2+'5. Scenarios'!$C$8))/4+INDEX(BookQ3,59)*(5-MIN(4,3+'5. Scenarios'!$C$8))/4+INDEX(BookQ4,59)*(5-MIN(4,4+'5. Scenarios'!$C$8))/4)*'5. Scenarios'!$C$6/(1+ProductivityDefault*('5. Scenarios'!$C$11-1))+INDEX(BookOneOff,59)*$I64)</f>
        <v/>
      </c>
      <c r="N64" s="56" t="str">
        <f aca="false">IF(INDEX(BookTitle,59)="","",INDEX(BookTotal,59)*'5. Scenarios'!$D$6/(1+ProductivityDefault*('5. Scenarios'!$D$11-1)))</f>
        <v/>
      </c>
      <c r="O64" s="57" t="str">
        <f aca="false">IF($N64="","",INDEX(BookRate,59)*(1+'5. Scenarios'!$D$10)*$N64)</f>
        <v/>
      </c>
      <c r="P64" s="57" t="str">
        <f aca="false">IF($O64="","",SUMIFS($O$6:$O$2405,$A$6:$A$2405,"&lt;="&amp;$A64))</f>
        <v/>
      </c>
      <c r="Q64" s="57" t="str">
        <f aca="false">IF($O64="","",IF($P64&lt;=BankCostEnvelope*'5. Scenarios'!$D$7,1,0))</f>
        <v/>
      </c>
      <c r="R64" s="57" t="str">
        <f aca="false">IF($N64="","",INDEX(BookRate,59)*(1+'5. Scenarios'!$D$10)*(INDEX(BookQ1,59)*(5-MIN(4,1+'5. Scenarios'!$D$8))/4+INDEX(BookQ2,59)*(5-MIN(4,2+'5. Scenarios'!$D$8))/4+INDEX(BookQ3,59)*(5-MIN(4,3+'5. Scenarios'!$D$8))/4+INDEX(BookQ4,59)*(5-MIN(4,4+'5. Scenarios'!$D$8))/4)*'5. Scenarios'!$D$6/(1+ProductivityDefault*('5. Scenarios'!$D$11-1))+INDEX(BookOneOff,59)*$N64)</f>
        <v/>
      </c>
      <c r="S64" s="56" t="str">
        <f aca="false">IF(INDEX(BookTitle,59)="","",INDEX(BookTotal,59)*'5. Scenarios'!$E$6/(1+ProductivityDefault*('5. Scenarios'!$E$11-1)))</f>
        <v/>
      </c>
      <c r="T64" s="57" t="str">
        <f aca="false">IF($S64="","",INDEX(BookRate,59)*(1+'5. Scenarios'!$E$10)*$S64)</f>
        <v/>
      </c>
      <c r="U64" s="57" t="str">
        <f aca="false">IF($T64="","",SUMIFS($T$6:$T$2405,$A$6:$A$2405,"&lt;="&amp;$A64))</f>
        <v/>
      </c>
      <c r="V64" s="57" t="str">
        <f aca="false">IF($T64="","",IF($U64&lt;=BankCostEnvelope*'5. Scenarios'!$E$7,1,0))</f>
        <v/>
      </c>
      <c r="W64" s="57" t="str">
        <f aca="false">IF($S64="","",INDEX(BookRate,59)*(1+'5. Scenarios'!$E$10)*(INDEX(BookQ1,59)*(5-MIN(4,1+'5. Scenarios'!$E$8))/4+INDEX(BookQ2,59)*(5-MIN(4,2+'5. Scenarios'!$E$8))/4+INDEX(BookQ3,59)*(5-MIN(4,3+'5. Scenarios'!$E$8))/4+INDEX(BookQ4,59)*(5-MIN(4,4+'5. Scenarios'!$E$8))/4)*'5. Scenarios'!$E$6/(1+ProductivityDefault*('5. Scenarios'!$E$11-1))+INDEX(BookOneOff,59)*$S64)</f>
        <v/>
      </c>
    </row>
    <row r="65" customFormat="false" ht="15" hidden="false" customHeight="false" outlineLevel="0" collapsed="false">
      <c r="A65" s="0" t="str">
        <f aca="false">IF(INDEX(BookTitle,60)="","",INDEX(BookKey,60))</f>
        <v/>
      </c>
      <c r="B65" s="0" t="str">
        <f aca="false">IF(INDEX(BookTitle,60)="","",INDEX(BookGroup,60))</f>
        <v/>
      </c>
      <c r="C65" s="0" t="str">
        <f aca="false">IF(INDEX(BookTitle,60)="","",INDEX(BookCategory,60))</f>
        <v/>
      </c>
      <c r="D65" s="56" t="str">
        <f aca="false">IF(INDEX(BookTitle,60)="","",INDEX(BookTotal,60)*'5. Scenarios'!$B$6/(1+ProductivityDefault*('5. Scenarios'!$B$11-1)))</f>
        <v/>
      </c>
      <c r="E65" s="57" t="str">
        <f aca="false">IF($D65="","",INDEX(BookRate,60)*(1+'5. Scenarios'!$B$10)*$D65)</f>
        <v/>
      </c>
      <c r="F65" s="57" t="str">
        <f aca="false">IF($E65="","",SUMIFS($E$6:$E$2405,$A$6:$A$2405,"&lt;="&amp;$A65))</f>
        <v/>
      </c>
      <c r="G65" s="57" t="str">
        <f aca="false">IF($E65="","",IF($F65&lt;=BankCostEnvelope*'5. Scenarios'!$B$7,1,0))</f>
        <v/>
      </c>
      <c r="H65" s="57" t="str">
        <f aca="false">IF($D65="","",INDEX(BookRate,60)*(1+'5. Scenarios'!$B$10)*(INDEX(BookQ1,60)*(5-MIN(4,1+'5. Scenarios'!$B$8))/4+INDEX(BookQ2,60)*(5-MIN(4,2+'5. Scenarios'!$B$8))/4+INDEX(BookQ3,60)*(5-MIN(4,3+'5. Scenarios'!$B$8))/4+INDEX(BookQ4,60)*(5-MIN(4,4+'5. Scenarios'!$B$8))/4)*'5. Scenarios'!$B$6/(1+ProductivityDefault*('5. Scenarios'!$B$11-1))+INDEX(BookOneOff,60)*$D65)</f>
        <v/>
      </c>
      <c r="I65" s="56" t="str">
        <f aca="false">IF(INDEX(BookTitle,60)="","",INDEX(BookTotal,60)*'5. Scenarios'!$C$6/(1+ProductivityDefault*('5. Scenarios'!$C$11-1)))</f>
        <v/>
      </c>
      <c r="J65" s="57" t="str">
        <f aca="false">IF($I65="","",INDEX(BookRate,60)*(1+'5. Scenarios'!$C$10)*$I65)</f>
        <v/>
      </c>
      <c r="K65" s="57" t="str">
        <f aca="false">IF($J65="","",SUMIFS($J$6:$J$2405,$A$6:$A$2405,"&lt;="&amp;$A65))</f>
        <v/>
      </c>
      <c r="L65" s="57" t="str">
        <f aca="false">IF($J65="","",IF($K65&lt;=BankCostEnvelope*'5. Scenarios'!$C$7,1,0))</f>
        <v/>
      </c>
      <c r="M65" s="57" t="str">
        <f aca="false">IF($I65="","",INDEX(BookRate,60)*(1+'5. Scenarios'!$C$10)*(INDEX(BookQ1,60)*(5-MIN(4,1+'5. Scenarios'!$C$8))/4+INDEX(BookQ2,60)*(5-MIN(4,2+'5. Scenarios'!$C$8))/4+INDEX(BookQ3,60)*(5-MIN(4,3+'5. Scenarios'!$C$8))/4+INDEX(BookQ4,60)*(5-MIN(4,4+'5. Scenarios'!$C$8))/4)*'5. Scenarios'!$C$6/(1+ProductivityDefault*('5. Scenarios'!$C$11-1))+INDEX(BookOneOff,60)*$I65)</f>
        <v/>
      </c>
      <c r="N65" s="56" t="str">
        <f aca="false">IF(INDEX(BookTitle,60)="","",INDEX(BookTotal,60)*'5. Scenarios'!$D$6/(1+ProductivityDefault*('5. Scenarios'!$D$11-1)))</f>
        <v/>
      </c>
      <c r="O65" s="57" t="str">
        <f aca="false">IF($N65="","",INDEX(BookRate,60)*(1+'5. Scenarios'!$D$10)*$N65)</f>
        <v/>
      </c>
      <c r="P65" s="57" t="str">
        <f aca="false">IF($O65="","",SUMIFS($O$6:$O$2405,$A$6:$A$2405,"&lt;="&amp;$A65))</f>
        <v/>
      </c>
      <c r="Q65" s="57" t="str">
        <f aca="false">IF($O65="","",IF($P65&lt;=BankCostEnvelope*'5. Scenarios'!$D$7,1,0))</f>
        <v/>
      </c>
      <c r="R65" s="57" t="str">
        <f aca="false">IF($N65="","",INDEX(BookRate,60)*(1+'5. Scenarios'!$D$10)*(INDEX(BookQ1,60)*(5-MIN(4,1+'5. Scenarios'!$D$8))/4+INDEX(BookQ2,60)*(5-MIN(4,2+'5. Scenarios'!$D$8))/4+INDEX(BookQ3,60)*(5-MIN(4,3+'5. Scenarios'!$D$8))/4+INDEX(BookQ4,60)*(5-MIN(4,4+'5. Scenarios'!$D$8))/4)*'5. Scenarios'!$D$6/(1+ProductivityDefault*('5. Scenarios'!$D$11-1))+INDEX(BookOneOff,60)*$N65)</f>
        <v/>
      </c>
      <c r="S65" s="56" t="str">
        <f aca="false">IF(INDEX(BookTitle,60)="","",INDEX(BookTotal,60)*'5. Scenarios'!$E$6/(1+ProductivityDefault*('5. Scenarios'!$E$11-1)))</f>
        <v/>
      </c>
      <c r="T65" s="57" t="str">
        <f aca="false">IF($S65="","",INDEX(BookRate,60)*(1+'5. Scenarios'!$E$10)*$S65)</f>
        <v/>
      </c>
      <c r="U65" s="57" t="str">
        <f aca="false">IF($T65="","",SUMIFS($T$6:$T$2405,$A$6:$A$2405,"&lt;="&amp;$A65))</f>
        <v/>
      </c>
      <c r="V65" s="57" t="str">
        <f aca="false">IF($T65="","",IF($U65&lt;=BankCostEnvelope*'5. Scenarios'!$E$7,1,0))</f>
        <v/>
      </c>
      <c r="W65" s="57" t="str">
        <f aca="false">IF($S65="","",INDEX(BookRate,60)*(1+'5. Scenarios'!$E$10)*(INDEX(BookQ1,60)*(5-MIN(4,1+'5. Scenarios'!$E$8))/4+INDEX(BookQ2,60)*(5-MIN(4,2+'5. Scenarios'!$E$8))/4+INDEX(BookQ3,60)*(5-MIN(4,3+'5. Scenarios'!$E$8))/4+INDEX(BookQ4,60)*(5-MIN(4,4+'5. Scenarios'!$E$8))/4)*'5. Scenarios'!$E$6/(1+ProductivityDefault*('5. Scenarios'!$E$11-1))+INDEX(BookOneOff,60)*$S65)</f>
        <v/>
      </c>
    </row>
    <row r="66" customFormat="false" ht="15" hidden="false" customHeight="false" outlineLevel="0" collapsed="false">
      <c r="A66" s="0" t="str">
        <f aca="false">IF(INDEX(BookTitle,61)="","",INDEX(BookKey,61))</f>
        <v/>
      </c>
      <c r="B66" s="0" t="str">
        <f aca="false">IF(INDEX(BookTitle,61)="","",INDEX(BookGroup,61))</f>
        <v/>
      </c>
      <c r="C66" s="0" t="str">
        <f aca="false">IF(INDEX(BookTitle,61)="","",INDEX(BookCategory,61))</f>
        <v/>
      </c>
      <c r="D66" s="56" t="str">
        <f aca="false">IF(INDEX(BookTitle,61)="","",INDEX(BookTotal,61)*'5. Scenarios'!$B$6/(1+ProductivityDefault*('5. Scenarios'!$B$11-1)))</f>
        <v/>
      </c>
      <c r="E66" s="57" t="str">
        <f aca="false">IF($D66="","",INDEX(BookRate,61)*(1+'5. Scenarios'!$B$10)*$D66)</f>
        <v/>
      </c>
      <c r="F66" s="57" t="str">
        <f aca="false">IF($E66="","",SUMIFS($E$6:$E$2405,$A$6:$A$2405,"&lt;="&amp;$A66))</f>
        <v/>
      </c>
      <c r="G66" s="57" t="str">
        <f aca="false">IF($E66="","",IF($F66&lt;=BankCostEnvelope*'5. Scenarios'!$B$7,1,0))</f>
        <v/>
      </c>
      <c r="H66" s="57" t="str">
        <f aca="false">IF($D66="","",INDEX(BookRate,61)*(1+'5. Scenarios'!$B$10)*(INDEX(BookQ1,61)*(5-MIN(4,1+'5. Scenarios'!$B$8))/4+INDEX(BookQ2,61)*(5-MIN(4,2+'5. Scenarios'!$B$8))/4+INDEX(BookQ3,61)*(5-MIN(4,3+'5. Scenarios'!$B$8))/4+INDEX(BookQ4,61)*(5-MIN(4,4+'5. Scenarios'!$B$8))/4)*'5. Scenarios'!$B$6/(1+ProductivityDefault*('5. Scenarios'!$B$11-1))+INDEX(BookOneOff,61)*$D66)</f>
        <v/>
      </c>
      <c r="I66" s="56" t="str">
        <f aca="false">IF(INDEX(BookTitle,61)="","",INDEX(BookTotal,61)*'5. Scenarios'!$C$6/(1+ProductivityDefault*('5. Scenarios'!$C$11-1)))</f>
        <v/>
      </c>
      <c r="J66" s="57" t="str">
        <f aca="false">IF($I66="","",INDEX(BookRate,61)*(1+'5. Scenarios'!$C$10)*$I66)</f>
        <v/>
      </c>
      <c r="K66" s="57" t="str">
        <f aca="false">IF($J66="","",SUMIFS($J$6:$J$2405,$A$6:$A$2405,"&lt;="&amp;$A66))</f>
        <v/>
      </c>
      <c r="L66" s="57" t="str">
        <f aca="false">IF($J66="","",IF($K66&lt;=BankCostEnvelope*'5. Scenarios'!$C$7,1,0))</f>
        <v/>
      </c>
      <c r="M66" s="57" t="str">
        <f aca="false">IF($I66="","",INDEX(BookRate,61)*(1+'5. Scenarios'!$C$10)*(INDEX(BookQ1,61)*(5-MIN(4,1+'5. Scenarios'!$C$8))/4+INDEX(BookQ2,61)*(5-MIN(4,2+'5. Scenarios'!$C$8))/4+INDEX(BookQ3,61)*(5-MIN(4,3+'5. Scenarios'!$C$8))/4+INDEX(BookQ4,61)*(5-MIN(4,4+'5. Scenarios'!$C$8))/4)*'5. Scenarios'!$C$6/(1+ProductivityDefault*('5. Scenarios'!$C$11-1))+INDEX(BookOneOff,61)*$I66)</f>
        <v/>
      </c>
      <c r="N66" s="56" t="str">
        <f aca="false">IF(INDEX(BookTitle,61)="","",INDEX(BookTotal,61)*'5. Scenarios'!$D$6/(1+ProductivityDefault*('5. Scenarios'!$D$11-1)))</f>
        <v/>
      </c>
      <c r="O66" s="57" t="str">
        <f aca="false">IF($N66="","",INDEX(BookRate,61)*(1+'5. Scenarios'!$D$10)*$N66)</f>
        <v/>
      </c>
      <c r="P66" s="57" t="str">
        <f aca="false">IF($O66="","",SUMIFS($O$6:$O$2405,$A$6:$A$2405,"&lt;="&amp;$A66))</f>
        <v/>
      </c>
      <c r="Q66" s="57" t="str">
        <f aca="false">IF($O66="","",IF($P66&lt;=BankCostEnvelope*'5. Scenarios'!$D$7,1,0))</f>
        <v/>
      </c>
      <c r="R66" s="57" t="str">
        <f aca="false">IF($N66="","",INDEX(BookRate,61)*(1+'5. Scenarios'!$D$10)*(INDEX(BookQ1,61)*(5-MIN(4,1+'5. Scenarios'!$D$8))/4+INDEX(BookQ2,61)*(5-MIN(4,2+'5. Scenarios'!$D$8))/4+INDEX(BookQ3,61)*(5-MIN(4,3+'5. Scenarios'!$D$8))/4+INDEX(BookQ4,61)*(5-MIN(4,4+'5. Scenarios'!$D$8))/4)*'5. Scenarios'!$D$6/(1+ProductivityDefault*('5. Scenarios'!$D$11-1))+INDEX(BookOneOff,61)*$N66)</f>
        <v/>
      </c>
      <c r="S66" s="56" t="str">
        <f aca="false">IF(INDEX(BookTitle,61)="","",INDEX(BookTotal,61)*'5. Scenarios'!$E$6/(1+ProductivityDefault*('5. Scenarios'!$E$11-1)))</f>
        <v/>
      </c>
      <c r="T66" s="57" t="str">
        <f aca="false">IF($S66="","",INDEX(BookRate,61)*(1+'5. Scenarios'!$E$10)*$S66)</f>
        <v/>
      </c>
      <c r="U66" s="57" t="str">
        <f aca="false">IF($T66="","",SUMIFS($T$6:$T$2405,$A$6:$A$2405,"&lt;="&amp;$A66))</f>
        <v/>
      </c>
      <c r="V66" s="57" t="str">
        <f aca="false">IF($T66="","",IF($U66&lt;=BankCostEnvelope*'5. Scenarios'!$E$7,1,0))</f>
        <v/>
      </c>
      <c r="W66" s="57" t="str">
        <f aca="false">IF($S66="","",INDEX(BookRate,61)*(1+'5. Scenarios'!$E$10)*(INDEX(BookQ1,61)*(5-MIN(4,1+'5. Scenarios'!$E$8))/4+INDEX(BookQ2,61)*(5-MIN(4,2+'5. Scenarios'!$E$8))/4+INDEX(BookQ3,61)*(5-MIN(4,3+'5. Scenarios'!$E$8))/4+INDEX(BookQ4,61)*(5-MIN(4,4+'5. Scenarios'!$E$8))/4)*'5. Scenarios'!$E$6/(1+ProductivityDefault*('5. Scenarios'!$E$11-1))+INDEX(BookOneOff,61)*$S66)</f>
        <v/>
      </c>
    </row>
    <row r="67" customFormat="false" ht="15" hidden="false" customHeight="false" outlineLevel="0" collapsed="false">
      <c r="A67" s="0" t="str">
        <f aca="false">IF(INDEX(BookTitle,62)="","",INDEX(BookKey,62))</f>
        <v/>
      </c>
      <c r="B67" s="0" t="str">
        <f aca="false">IF(INDEX(BookTitle,62)="","",INDEX(BookGroup,62))</f>
        <v/>
      </c>
      <c r="C67" s="0" t="str">
        <f aca="false">IF(INDEX(BookTitle,62)="","",INDEX(BookCategory,62))</f>
        <v/>
      </c>
      <c r="D67" s="56" t="str">
        <f aca="false">IF(INDEX(BookTitle,62)="","",INDEX(BookTotal,62)*'5. Scenarios'!$B$6/(1+ProductivityDefault*('5. Scenarios'!$B$11-1)))</f>
        <v/>
      </c>
      <c r="E67" s="57" t="str">
        <f aca="false">IF($D67="","",INDEX(BookRate,62)*(1+'5. Scenarios'!$B$10)*$D67)</f>
        <v/>
      </c>
      <c r="F67" s="57" t="str">
        <f aca="false">IF($E67="","",SUMIFS($E$6:$E$2405,$A$6:$A$2405,"&lt;="&amp;$A67))</f>
        <v/>
      </c>
      <c r="G67" s="57" t="str">
        <f aca="false">IF($E67="","",IF($F67&lt;=BankCostEnvelope*'5. Scenarios'!$B$7,1,0))</f>
        <v/>
      </c>
      <c r="H67" s="57" t="str">
        <f aca="false">IF($D67="","",INDEX(BookRate,62)*(1+'5. Scenarios'!$B$10)*(INDEX(BookQ1,62)*(5-MIN(4,1+'5. Scenarios'!$B$8))/4+INDEX(BookQ2,62)*(5-MIN(4,2+'5. Scenarios'!$B$8))/4+INDEX(BookQ3,62)*(5-MIN(4,3+'5. Scenarios'!$B$8))/4+INDEX(BookQ4,62)*(5-MIN(4,4+'5. Scenarios'!$B$8))/4)*'5. Scenarios'!$B$6/(1+ProductivityDefault*('5. Scenarios'!$B$11-1))+INDEX(BookOneOff,62)*$D67)</f>
        <v/>
      </c>
      <c r="I67" s="56" t="str">
        <f aca="false">IF(INDEX(BookTitle,62)="","",INDEX(BookTotal,62)*'5. Scenarios'!$C$6/(1+ProductivityDefault*('5. Scenarios'!$C$11-1)))</f>
        <v/>
      </c>
      <c r="J67" s="57" t="str">
        <f aca="false">IF($I67="","",INDEX(BookRate,62)*(1+'5. Scenarios'!$C$10)*$I67)</f>
        <v/>
      </c>
      <c r="K67" s="57" t="str">
        <f aca="false">IF($J67="","",SUMIFS($J$6:$J$2405,$A$6:$A$2405,"&lt;="&amp;$A67))</f>
        <v/>
      </c>
      <c r="L67" s="57" t="str">
        <f aca="false">IF($J67="","",IF($K67&lt;=BankCostEnvelope*'5. Scenarios'!$C$7,1,0))</f>
        <v/>
      </c>
      <c r="M67" s="57" t="str">
        <f aca="false">IF($I67="","",INDEX(BookRate,62)*(1+'5. Scenarios'!$C$10)*(INDEX(BookQ1,62)*(5-MIN(4,1+'5. Scenarios'!$C$8))/4+INDEX(BookQ2,62)*(5-MIN(4,2+'5. Scenarios'!$C$8))/4+INDEX(BookQ3,62)*(5-MIN(4,3+'5. Scenarios'!$C$8))/4+INDEX(BookQ4,62)*(5-MIN(4,4+'5. Scenarios'!$C$8))/4)*'5. Scenarios'!$C$6/(1+ProductivityDefault*('5. Scenarios'!$C$11-1))+INDEX(BookOneOff,62)*$I67)</f>
        <v/>
      </c>
      <c r="N67" s="56" t="str">
        <f aca="false">IF(INDEX(BookTitle,62)="","",INDEX(BookTotal,62)*'5. Scenarios'!$D$6/(1+ProductivityDefault*('5. Scenarios'!$D$11-1)))</f>
        <v/>
      </c>
      <c r="O67" s="57" t="str">
        <f aca="false">IF($N67="","",INDEX(BookRate,62)*(1+'5. Scenarios'!$D$10)*$N67)</f>
        <v/>
      </c>
      <c r="P67" s="57" t="str">
        <f aca="false">IF($O67="","",SUMIFS($O$6:$O$2405,$A$6:$A$2405,"&lt;="&amp;$A67))</f>
        <v/>
      </c>
      <c r="Q67" s="57" t="str">
        <f aca="false">IF($O67="","",IF($P67&lt;=BankCostEnvelope*'5. Scenarios'!$D$7,1,0))</f>
        <v/>
      </c>
      <c r="R67" s="57" t="str">
        <f aca="false">IF($N67="","",INDEX(BookRate,62)*(1+'5. Scenarios'!$D$10)*(INDEX(BookQ1,62)*(5-MIN(4,1+'5. Scenarios'!$D$8))/4+INDEX(BookQ2,62)*(5-MIN(4,2+'5. Scenarios'!$D$8))/4+INDEX(BookQ3,62)*(5-MIN(4,3+'5. Scenarios'!$D$8))/4+INDEX(BookQ4,62)*(5-MIN(4,4+'5. Scenarios'!$D$8))/4)*'5. Scenarios'!$D$6/(1+ProductivityDefault*('5. Scenarios'!$D$11-1))+INDEX(BookOneOff,62)*$N67)</f>
        <v/>
      </c>
      <c r="S67" s="56" t="str">
        <f aca="false">IF(INDEX(BookTitle,62)="","",INDEX(BookTotal,62)*'5. Scenarios'!$E$6/(1+ProductivityDefault*('5. Scenarios'!$E$11-1)))</f>
        <v/>
      </c>
      <c r="T67" s="57" t="str">
        <f aca="false">IF($S67="","",INDEX(BookRate,62)*(1+'5. Scenarios'!$E$10)*$S67)</f>
        <v/>
      </c>
      <c r="U67" s="57" t="str">
        <f aca="false">IF($T67="","",SUMIFS($T$6:$T$2405,$A$6:$A$2405,"&lt;="&amp;$A67))</f>
        <v/>
      </c>
      <c r="V67" s="57" t="str">
        <f aca="false">IF($T67="","",IF($U67&lt;=BankCostEnvelope*'5. Scenarios'!$E$7,1,0))</f>
        <v/>
      </c>
      <c r="W67" s="57" t="str">
        <f aca="false">IF($S67="","",INDEX(BookRate,62)*(1+'5. Scenarios'!$E$10)*(INDEX(BookQ1,62)*(5-MIN(4,1+'5. Scenarios'!$E$8))/4+INDEX(BookQ2,62)*(5-MIN(4,2+'5. Scenarios'!$E$8))/4+INDEX(BookQ3,62)*(5-MIN(4,3+'5. Scenarios'!$E$8))/4+INDEX(BookQ4,62)*(5-MIN(4,4+'5. Scenarios'!$E$8))/4)*'5. Scenarios'!$E$6/(1+ProductivityDefault*('5. Scenarios'!$E$11-1))+INDEX(BookOneOff,62)*$S67)</f>
        <v/>
      </c>
    </row>
    <row r="68" customFormat="false" ht="15" hidden="false" customHeight="false" outlineLevel="0" collapsed="false">
      <c r="A68" s="0" t="str">
        <f aca="false">IF(INDEX(BookTitle,63)="","",INDEX(BookKey,63))</f>
        <v/>
      </c>
      <c r="B68" s="0" t="str">
        <f aca="false">IF(INDEX(BookTitle,63)="","",INDEX(BookGroup,63))</f>
        <v/>
      </c>
      <c r="C68" s="0" t="str">
        <f aca="false">IF(INDEX(BookTitle,63)="","",INDEX(BookCategory,63))</f>
        <v/>
      </c>
      <c r="D68" s="56" t="str">
        <f aca="false">IF(INDEX(BookTitle,63)="","",INDEX(BookTotal,63)*'5. Scenarios'!$B$6/(1+ProductivityDefault*('5. Scenarios'!$B$11-1)))</f>
        <v/>
      </c>
      <c r="E68" s="57" t="str">
        <f aca="false">IF($D68="","",INDEX(BookRate,63)*(1+'5. Scenarios'!$B$10)*$D68)</f>
        <v/>
      </c>
      <c r="F68" s="57" t="str">
        <f aca="false">IF($E68="","",SUMIFS($E$6:$E$2405,$A$6:$A$2405,"&lt;="&amp;$A68))</f>
        <v/>
      </c>
      <c r="G68" s="57" t="str">
        <f aca="false">IF($E68="","",IF($F68&lt;=BankCostEnvelope*'5. Scenarios'!$B$7,1,0))</f>
        <v/>
      </c>
      <c r="H68" s="57" t="str">
        <f aca="false">IF($D68="","",INDEX(BookRate,63)*(1+'5. Scenarios'!$B$10)*(INDEX(BookQ1,63)*(5-MIN(4,1+'5. Scenarios'!$B$8))/4+INDEX(BookQ2,63)*(5-MIN(4,2+'5. Scenarios'!$B$8))/4+INDEX(BookQ3,63)*(5-MIN(4,3+'5. Scenarios'!$B$8))/4+INDEX(BookQ4,63)*(5-MIN(4,4+'5. Scenarios'!$B$8))/4)*'5. Scenarios'!$B$6/(1+ProductivityDefault*('5. Scenarios'!$B$11-1))+INDEX(BookOneOff,63)*$D68)</f>
        <v/>
      </c>
      <c r="I68" s="56" t="str">
        <f aca="false">IF(INDEX(BookTitle,63)="","",INDEX(BookTotal,63)*'5. Scenarios'!$C$6/(1+ProductivityDefault*('5. Scenarios'!$C$11-1)))</f>
        <v/>
      </c>
      <c r="J68" s="57" t="str">
        <f aca="false">IF($I68="","",INDEX(BookRate,63)*(1+'5. Scenarios'!$C$10)*$I68)</f>
        <v/>
      </c>
      <c r="K68" s="57" t="str">
        <f aca="false">IF($J68="","",SUMIFS($J$6:$J$2405,$A$6:$A$2405,"&lt;="&amp;$A68))</f>
        <v/>
      </c>
      <c r="L68" s="57" t="str">
        <f aca="false">IF($J68="","",IF($K68&lt;=BankCostEnvelope*'5. Scenarios'!$C$7,1,0))</f>
        <v/>
      </c>
      <c r="M68" s="57" t="str">
        <f aca="false">IF($I68="","",INDEX(BookRate,63)*(1+'5. Scenarios'!$C$10)*(INDEX(BookQ1,63)*(5-MIN(4,1+'5. Scenarios'!$C$8))/4+INDEX(BookQ2,63)*(5-MIN(4,2+'5. Scenarios'!$C$8))/4+INDEX(BookQ3,63)*(5-MIN(4,3+'5. Scenarios'!$C$8))/4+INDEX(BookQ4,63)*(5-MIN(4,4+'5. Scenarios'!$C$8))/4)*'5. Scenarios'!$C$6/(1+ProductivityDefault*('5. Scenarios'!$C$11-1))+INDEX(BookOneOff,63)*$I68)</f>
        <v/>
      </c>
      <c r="N68" s="56" t="str">
        <f aca="false">IF(INDEX(BookTitle,63)="","",INDEX(BookTotal,63)*'5. Scenarios'!$D$6/(1+ProductivityDefault*('5. Scenarios'!$D$11-1)))</f>
        <v/>
      </c>
      <c r="O68" s="57" t="str">
        <f aca="false">IF($N68="","",INDEX(BookRate,63)*(1+'5. Scenarios'!$D$10)*$N68)</f>
        <v/>
      </c>
      <c r="P68" s="57" t="str">
        <f aca="false">IF($O68="","",SUMIFS($O$6:$O$2405,$A$6:$A$2405,"&lt;="&amp;$A68))</f>
        <v/>
      </c>
      <c r="Q68" s="57" t="str">
        <f aca="false">IF($O68="","",IF($P68&lt;=BankCostEnvelope*'5. Scenarios'!$D$7,1,0))</f>
        <v/>
      </c>
      <c r="R68" s="57" t="str">
        <f aca="false">IF($N68="","",INDEX(BookRate,63)*(1+'5. Scenarios'!$D$10)*(INDEX(BookQ1,63)*(5-MIN(4,1+'5. Scenarios'!$D$8))/4+INDEX(BookQ2,63)*(5-MIN(4,2+'5. Scenarios'!$D$8))/4+INDEX(BookQ3,63)*(5-MIN(4,3+'5. Scenarios'!$D$8))/4+INDEX(BookQ4,63)*(5-MIN(4,4+'5. Scenarios'!$D$8))/4)*'5. Scenarios'!$D$6/(1+ProductivityDefault*('5. Scenarios'!$D$11-1))+INDEX(BookOneOff,63)*$N68)</f>
        <v/>
      </c>
      <c r="S68" s="56" t="str">
        <f aca="false">IF(INDEX(BookTitle,63)="","",INDEX(BookTotal,63)*'5. Scenarios'!$E$6/(1+ProductivityDefault*('5. Scenarios'!$E$11-1)))</f>
        <v/>
      </c>
      <c r="T68" s="57" t="str">
        <f aca="false">IF($S68="","",INDEX(BookRate,63)*(1+'5. Scenarios'!$E$10)*$S68)</f>
        <v/>
      </c>
      <c r="U68" s="57" t="str">
        <f aca="false">IF($T68="","",SUMIFS($T$6:$T$2405,$A$6:$A$2405,"&lt;="&amp;$A68))</f>
        <v/>
      </c>
      <c r="V68" s="57" t="str">
        <f aca="false">IF($T68="","",IF($U68&lt;=BankCostEnvelope*'5. Scenarios'!$E$7,1,0))</f>
        <v/>
      </c>
      <c r="W68" s="57" t="str">
        <f aca="false">IF($S68="","",INDEX(BookRate,63)*(1+'5. Scenarios'!$E$10)*(INDEX(BookQ1,63)*(5-MIN(4,1+'5. Scenarios'!$E$8))/4+INDEX(BookQ2,63)*(5-MIN(4,2+'5. Scenarios'!$E$8))/4+INDEX(BookQ3,63)*(5-MIN(4,3+'5. Scenarios'!$E$8))/4+INDEX(BookQ4,63)*(5-MIN(4,4+'5. Scenarios'!$E$8))/4)*'5. Scenarios'!$E$6/(1+ProductivityDefault*('5. Scenarios'!$E$11-1))+INDEX(BookOneOff,63)*$S68)</f>
        <v/>
      </c>
    </row>
    <row r="69" customFormat="false" ht="15" hidden="false" customHeight="false" outlineLevel="0" collapsed="false">
      <c r="A69" s="0" t="str">
        <f aca="false">IF(INDEX(BookTitle,64)="","",INDEX(BookKey,64))</f>
        <v/>
      </c>
      <c r="B69" s="0" t="str">
        <f aca="false">IF(INDEX(BookTitle,64)="","",INDEX(BookGroup,64))</f>
        <v/>
      </c>
      <c r="C69" s="0" t="str">
        <f aca="false">IF(INDEX(BookTitle,64)="","",INDEX(BookCategory,64))</f>
        <v/>
      </c>
      <c r="D69" s="56" t="str">
        <f aca="false">IF(INDEX(BookTitle,64)="","",INDEX(BookTotal,64)*'5. Scenarios'!$B$6/(1+ProductivityDefault*('5. Scenarios'!$B$11-1)))</f>
        <v/>
      </c>
      <c r="E69" s="57" t="str">
        <f aca="false">IF($D69="","",INDEX(BookRate,64)*(1+'5. Scenarios'!$B$10)*$D69)</f>
        <v/>
      </c>
      <c r="F69" s="57" t="str">
        <f aca="false">IF($E69="","",SUMIFS($E$6:$E$2405,$A$6:$A$2405,"&lt;="&amp;$A69))</f>
        <v/>
      </c>
      <c r="G69" s="57" t="str">
        <f aca="false">IF($E69="","",IF($F69&lt;=BankCostEnvelope*'5. Scenarios'!$B$7,1,0))</f>
        <v/>
      </c>
      <c r="H69" s="57" t="str">
        <f aca="false">IF($D69="","",INDEX(BookRate,64)*(1+'5. Scenarios'!$B$10)*(INDEX(BookQ1,64)*(5-MIN(4,1+'5. Scenarios'!$B$8))/4+INDEX(BookQ2,64)*(5-MIN(4,2+'5. Scenarios'!$B$8))/4+INDEX(BookQ3,64)*(5-MIN(4,3+'5. Scenarios'!$B$8))/4+INDEX(BookQ4,64)*(5-MIN(4,4+'5. Scenarios'!$B$8))/4)*'5. Scenarios'!$B$6/(1+ProductivityDefault*('5. Scenarios'!$B$11-1))+INDEX(BookOneOff,64)*$D69)</f>
        <v/>
      </c>
      <c r="I69" s="56" t="str">
        <f aca="false">IF(INDEX(BookTitle,64)="","",INDEX(BookTotal,64)*'5. Scenarios'!$C$6/(1+ProductivityDefault*('5. Scenarios'!$C$11-1)))</f>
        <v/>
      </c>
      <c r="J69" s="57" t="str">
        <f aca="false">IF($I69="","",INDEX(BookRate,64)*(1+'5. Scenarios'!$C$10)*$I69)</f>
        <v/>
      </c>
      <c r="K69" s="57" t="str">
        <f aca="false">IF($J69="","",SUMIFS($J$6:$J$2405,$A$6:$A$2405,"&lt;="&amp;$A69))</f>
        <v/>
      </c>
      <c r="L69" s="57" t="str">
        <f aca="false">IF($J69="","",IF($K69&lt;=BankCostEnvelope*'5. Scenarios'!$C$7,1,0))</f>
        <v/>
      </c>
      <c r="M69" s="57" t="str">
        <f aca="false">IF($I69="","",INDEX(BookRate,64)*(1+'5. Scenarios'!$C$10)*(INDEX(BookQ1,64)*(5-MIN(4,1+'5. Scenarios'!$C$8))/4+INDEX(BookQ2,64)*(5-MIN(4,2+'5. Scenarios'!$C$8))/4+INDEX(BookQ3,64)*(5-MIN(4,3+'5. Scenarios'!$C$8))/4+INDEX(BookQ4,64)*(5-MIN(4,4+'5. Scenarios'!$C$8))/4)*'5. Scenarios'!$C$6/(1+ProductivityDefault*('5. Scenarios'!$C$11-1))+INDEX(BookOneOff,64)*$I69)</f>
        <v/>
      </c>
      <c r="N69" s="56" t="str">
        <f aca="false">IF(INDEX(BookTitle,64)="","",INDEX(BookTotal,64)*'5. Scenarios'!$D$6/(1+ProductivityDefault*('5. Scenarios'!$D$11-1)))</f>
        <v/>
      </c>
      <c r="O69" s="57" t="str">
        <f aca="false">IF($N69="","",INDEX(BookRate,64)*(1+'5. Scenarios'!$D$10)*$N69)</f>
        <v/>
      </c>
      <c r="P69" s="57" t="str">
        <f aca="false">IF($O69="","",SUMIFS($O$6:$O$2405,$A$6:$A$2405,"&lt;="&amp;$A69))</f>
        <v/>
      </c>
      <c r="Q69" s="57" t="str">
        <f aca="false">IF($O69="","",IF($P69&lt;=BankCostEnvelope*'5. Scenarios'!$D$7,1,0))</f>
        <v/>
      </c>
      <c r="R69" s="57" t="str">
        <f aca="false">IF($N69="","",INDEX(BookRate,64)*(1+'5. Scenarios'!$D$10)*(INDEX(BookQ1,64)*(5-MIN(4,1+'5. Scenarios'!$D$8))/4+INDEX(BookQ2,64)*(5-MIN(4,2+'5. Scenarios'!$D$8))/4+INDEX(BookQ3,64)*(5-MIN(4,3+'5. Scenarios'!$D$8))/4+INDEX(BookQ4,64)*(5-MIN(4,4+'5. Scenarios'!$D$8))/4)*'5. Scenarios'!$D$6/(1+ProductivityDefault*('5. Scenarios'!$D$11-1))+INDEX(BookOneOff,64)*$N69)</f>
        <v/>
      </c>
      <c r="S69" s="56" t="str">
        <f aca="false">IF(INDEX(BookTitle,64)="","",INDEX(BookTotal,64)*'5. Scenarios'!$E$6/(1+ProductivityDefault*('5. Scenarios'!$E$11-1)))</f>
        <v/>
      </c>
      <c r="T69" s="57" t="str">
        <f aca="false">IF($S69="","",INDEX(BookRate,64)*(1+'5. Scenarios'!$E$10)*$S69)</f>
        <v/>
      </c>
      <c r="U69" s="57" t="str">
        <f aca="false">IF($T69="","",SUMIFS($T$6:$T$2405,$A$6:$A$2405,"&lt;="&amp;$A69))</f>
        <v/>
      </c>
      <c r="V69" s="57" t="str">
        <f aca="false">IF($T69="","",IF($U69&lt;=BankCostEnvelope*'5. Scenarios'!$E$7,1,0))</f>
        <v/>
      </c>
      <c r="W69" s="57" t="str">
        <f aca="false">IF($S69="","",INDEX(BookRate,64)*(1+'5. Scenarios'!$E$10)*(INDEX(BookQ1,64)*(5-MIN(4,1+'5. Scenarios'!$E$8))/4+INDEX(BookQ2,64)*(5-MIN(4,2+'5. Scenarios'!$E$8))/4+INDEX(BookQ3,64)*(5-MIN(4,3+'5. Scenarios'!$E$8))/4+INDEX(BookQ4,64)*(5-MIN(4,4+'5. Scenarios'!$E$8))/4)*'5. Scenarios'!$E$6/(1+ProductivityDefault*('5. Scenarios'!$E$11-1))+INDEX(BookOneOff,64)*$S69)</f>
        <v/>
      </c>
    </row>
    <row r="70" customFormat="false" ht="15" hidden="false" customHeight="false" outlineLevel="0" collapsed="false">
      <c r="A70" s="0" t="str">
        <f aca="false">IF(INDEX(BookTitle,65)="","",INDEX(BookKey,65))</f>
        <v/>
      </c>
      <c r="B70" s="0" t="str">
        <f aca="false">IF(INDEX(BookTitle,65)="","",INDEX(BookGroup,65))</f>
        <v/>
      </c>
      <c r="C70" s="0" t="str">
        <f aca="false">IF(INDEX(BookTitle,65)="","",INDEX(BookCategory,65))</f>
        <v/>
      </c>
      <c r="D70" s="56" t="str">
        <f aca="false">IF(INDEX(BookTitle,65)="","",INDEX(BookTotal,65)*'5. Scenarios'!$B$6/(1+ProductivityDefault*('5. Scenarios'!$B$11-1)))</f>
        <v/>
      </c>
      <c r="E70" s="57" t="str">
        <f aca="false">IF($D70="","",INDEX(BookRate,65)*(1+'5. Scenarios'!$B$10)*$D70)</f>
        <v/>
      </c>
      <c r="F70" s="57" t="str">
        <f aca="false">IF($E70="","",SUMIFS($E$6:$E$2405,$A$6:$A$2405,"&lt;="&amp;$A70))</f>
        <v/>
      </c>
      <c r="G70" s="57" t="str">
        <f aca="false">IF($E70="","",IF($F70&lt;=BankCostEnvelope*'5. Scenarios'!$B$7,1,0))</f>
        <v/>
      </c>
      <c r="H70" s="57" t="str">
        <f aca="false">IF($D70="","",INDEX(BookRate,65)*(1+'5. Scenarios'!$B$10)*(INDEX(BookQ1,65)*(5-MIN(4,1+'5. Scenarios'!$B$8))/4+INDEX(BookQ2,65)*(5-MIN(4,2+'5. Scenarios'!$B$8))/4+INDEX(BookQ3,65)*(5-MIN(4,3+'5. Scenarios'!$B$8))/4+INDEX(BookQ4,65)*(5-MIN(4,4+'5. Scenarios'!$B$8))/4)*'5. Scenarios'!$B$6/(1+ProductivityDefault*('5. Scenarios'!$B$11-1))+INDEX(BookOneOff,65)*$D70)</f>
        <v/>
      </c>
      <c r="I70" s="56" t="str">
        <f aca="false">IF(INDEX(BookTitle,65)="","",INDEX(BookTotal,65)*'5. Scenarios'!$C$6/(1+ProductivityDefault*('5. Scenarios'!$C$11-1)))</f>
        <v/>
      </c>
      <c r="J70" s="57" t="str">
        <f aca="false">IF($I70="","",INDEX(BookRate,65)*(1+'5. Scenarios'!$C$10)*$I70)</f>
        <v/>
      </c>
      <c r="K70" s="57" t="str">
        <f aca="false">IF($J70="","",SUMIFS($J$6:$J$2405,$A$6:$A$2405,"&lt;="&amp;$A70))</f>
        <v/>
      </c>
      <c r="L70" s="57" t="str">
        <f aca="false">IF($J70="","",IF($K70&lt;=BankCostEnvelope*'5. Scenarios'!$C$7,1,0))</f>
        <v/>
      </c>
      <c r="M70" s="57" t="str">
        <f aca="false">IF($I70="","",INDEX(BookRate,65)*(1+'5. Scenarios'!$C$10)*(INDEX(BookQ1,65)*(5-MIN(4,1+'5. Scenarios'!$C$8))/4+INDEX(BookQ2,65)*(5-MIN(4,2+'5. Scenarios'!$C$8))/4+INDEX(BookQ3,65)*(5-MIN(4,3+'5. Scenarios'!$C$8))/4+INDEX(BookQ4,65)*(5-MIN(4,4+'5. Scenarios'!$C$8))/4)*'5. Scenarios'!$C$6/(1+ProductivityDefault*('5. Scenarios'!$C$11-1))+INDEX(BookOneOff,65)*$I70)</f>
        <v/>
      </c>
      <c r="N70" s="56" t="str">
        <f aca="false">IF(INDEX(BookTitle,65)="","",INDEX(BookTotal,65)*'5. Scenarios'!$D$6/(1+ProductivityDefault*('5. Scenarios'!$D$11-1)))</f>
        <v/>
      </c>
      <c r="O70" s="57" t="str">
        <f aca="false">IF($N70="","",INDEX(BookRate,65)*(1+'5. Scenarios'!$D$10)*$N70)</f>
        <v/>
      </c>
      <c r="P70" s="57" t="str">
        <f aca="false">IF($O70="","",SUMIFS($O$6:$O$2405,$A$6:$A$2405,"&lt;="&amp;$A70))</f>
        <v/>
      </c>
      <c r="Q70" s="57" t="str">
        <f aca="false">IF($O70="","",IF($P70&lt;=BankCostEnvelope*'5. Scenarios'!$D$7,1,0))</f>
        <v/>
      </c>
      <c r="R70" s="57" t="str">
        <f aca="false">IF($N70="","",INDEX(BookRate,65)*(1+'5. Scenarios'!$D$10)*(INDEX(BookQ1,65)*(5-MIN(4,1+'5. Scenarios'!$D$8))/4+INDEX(BookQ2,65)*(5-MIN(4,2+'5. Scenarios'!$D$8))/4+INDEX(BookQ3,65)*(5-MIN(4,3+'5. Scenarios'!$D$8))/4+INDEX(BookQ4,65)*(5-MIN(4,4+'5. Scenarios'!$D$8))/4)*'5. Scenarios'!$D$6/(1+ProductivityDefault*('5. Scenarios'!$D$11-1))+INDEX(BookOneOff,65)*$N70)</f>
        <v/>
      </c>
      <c r="S70" s="56" t="str">
        <f aca="false">IF(INDEX(BookTitle,65)="","",INDEX(BookTotal,65)*'5. Scenarios'!$E$6/(1+ProductivityDefault*('5. Scenarios'!$E$11-1)))</f>
        <v/>
      </c>
      <c r="T70" s="57" t="str">
        <f aca="false">IF($S70="","",INDEX(BookRate,65)*(1+'5. Scenarios'!$E$10)*$S70)</f>
        <v/>
      </c>
      <c r="U70" s="57" t="str">
        <f aca="false">IF($T70="","",SUMIFS($T$6:$T$2405,$A$6:$A$2405,"&lt;="&amp;$A70))</f>
        <v/>
      </c>
      <c r="V70" s="57" t="str">
        <f aca="false">IF($T70="","",IF($U70&lt;=BankCostEnvelope*'5. Scenarios'!$E$7,1,0))</f>
        <v/>
      </c>
      <c r="W70" s="57" t="str">
        <f aca="false">IF($S70="","",INDEX(BookRate,65)*(1+'5. Scenarios'!$E$10)*(INDEX(BookQ1,65)*(5-MIN(4,1+'5. Scenarios'!$E$8))/4+INDEX(BookQ2,65)*(5-MIN(4,2+'5. Scenarios'!$E$8))/4+INDEX(BookQ3,65)*(5-MIN(4,3+'5. Scenarios'!$E$8))/4+INDEX(BookQ4,65)*(5-MIN(4,4+'5. Scenarios'!$E$8))/4)*'5. Scenarios'!$E$6/(1+ProductivityDefault*('5. Scenarios'!$E$11-1))+INDEX(BookOneOff,65)*$S70)</f>
        <v/>
      </c>
    </row>
    <row r="71" customFormat="false" ht="15" hidden="false" customHeight="false" outlineLevel="0" collapsed="false">
      <c r="A71" s="0" t="str">
        <f aca="false">IF(INDEX(BookTitle,66)="","",INDEX(BookKey,66))</f>
        <v/>
      </c>
      <c r="B71" s="0" t="str">
        <f aca="false">IF(INDEX(BookTitle,66)="","",INDEX(BookGroup,66))</f>
        <v/>
      </c>
      <c r="C71" s="0" t="str">
        <f aca="false">IF(INDEX(BookTitle,66)="","",INDEX(BookCategory,66))</f>
        <v/>
      </c>
      <c r="D71" s="56" t="str">
        <f aca="false">IF(INDEX(BookTitle,66)="","",INDEX(BookTotal,66)*'5. Scenarios'!$B$6/(1+ProductivityDefault*('5. Scenarios'!$B$11-1)))</f>
        <v/>
      </c>
      <c r="E71" s="57" t="str">
        <f aca="false">IF($D71="","",INDEX(BookRate,66)*(1+'5. Scenarios'!$B$10)*$D71)</f>
        <v/>
      </c>
      <c r="F71" s="57" t="str">
        <f aca="false">IF($E71="","",SUMIFS($E$6:$E$2405,$A$6:$A$2405,"&lt;="&amp;$A71))</f>
        <v/>
      </c>
      <c r="G71" s="57" t="str">
        <f aca="false">IF($E71="","",IF($F71&lt;=BankCostEnvelope*'5. Scenarios'!$B$7,1,0))</f>
        <v/>
      </c>
      <c r="H71" s="57" t="str">
        <f aca="false">IF($D71="","",INDEX(BookRate,66)*(1+'5. Scenarios'!$B$10)*(INDEX(BookQ1,66)*(5-MIN(4,1+'5. Scenarios'!$B$8))/4+INDEX(BookQ2,66)*(5-MIN(4,2+'5. Scenarios'!$B$8))/4+INDEX(BookQ3,66)*(5-MIN(4,3+'5. Scenarios'!$B$8))/4+INDEX(BookQ4,66)*(5-MIN(4,4+'5. Scenarios'!$B$8))/4)*'5. Scenarios'!$B$6/(1+ProductivityDefault*('5. Scenarios'!$B$11-1))+INDEX(BookOneOff,66)*$D71)</f>
        <v/>
      </c>
      <c r="I71" s="56" t="str">
        <f aca="false">IF(INDEX(BookTitle,66)="","",INDEX(BookTotal,66)*'5. Scenarios'!$C$6/(1+ProductivityDefault*('5. Scenarios'!$C$11-1)))</f>
        <v/>
      </c>
      <c r="J71" s="57" t="str">
        <f aca="false">IF($I71="","",INDEX(BookRate,66)*(1+'5. Scenarios'!$C$10)*$I71)</f>
        <v/>
      </c>
      <c r="K71" s="57" t="str">
        <f aca="false">IF($J71="","",SUMIFS($J$6:$J$2405,$A$6:$A$2405,"&lt;="&amp;$A71))</f>
        <v/>
      </c>
      <c r="L71" s="57" t="str">
        <f aca="false">IF($J71="","",IF($K71&lt;=BankCostEnvelope*'5. Scenarios'!$C$7,1,0))</f>
        <v/>
      </c>
      <c r="M71" s="57" t="str">
        <f aca="false">IF($I71="","",INDEX(BookRate,66)*(1+'5. Scenarios'!$C$10)*(INDEX(BookQ1,66)*(5-MIN(4,1+'5. Scenarios'!$C$8))/4+INDEX(BookQ2,66)*(5-MIN(4,2+'5. Scenarios'!$C$8))/4+INDEX(BookQ3,66)*(5-MIN(4,3+'5. Scenarios'!$C$8))/4+INDEX(BookQ4,66)*(5-MIN(4,4+'5. Scenarios'!$C$8))/4)*'5. Scenarios'!$C$6/(1+ProductivityDefault*('5. Scenarios'!$C$11-1))+INDEX(BookOneOff,66)*$I71)</f>
        <v/>
      </c>
      <c r="N71" s="56" t="str">
        <f aca="false">IF(INDEX(BookTitle,66)="","",INDEX(BookTotal,66)*'5. Scenarios'!$D$6/(1+ProductivityDefault*('5. Scenarios'!$D$11-1)))</f>
        <v/>
      </c>
      <c r="O71" s="57" t="str">
        <f aca="false">IF($N71="","",INDEX(BookRate,66)*(1+'5. Scenarios'!$D$10)*$N71)</f>
        <v/>
      </c>
      <c r="P71" s="57" t="str">
        <f aca="false">IF($O71="","",SUMIFS($O$6:$O$2405,$A$6:$A$2405,"&lt;="&amp;$A71))</f>
        <v/>
      </c>
      <c r="Q71" s="57" t="str">
        <f aca="false">IF($O71="","",IF($P71&lt;=BankCostEnvelope*'5. Scenarios'!$D$7,1,0))</f>
        <v/>
      </c>
      <c r="R71" s="57" t="str">
        <f aca="false">IF($N71="","",INDEX(BookRate,66)*(1+'5. Scenarios'!$D$10)*(INDEX(BookQ1,66)*(5-MIN(4,1+'5. Scenarios'!$D$8))/4+INDEX(BookQ2,66)*(5-MIN(4,2+'5. Scenarios'!$D$8))/4+INDEX(BookQ3,66)*(5-MIN(4,3+'5. Scenarios'!$D$8))/4+INDEX(BookQ4,66)*(5-MIN(4,4+'5. Scenarios'!$D$8))/4)*'5. Scenarios'!$D$6/(1+ProductivityDefault*('5. Scenarios'!$D$11-1))+INDEX(BookOneOff,66)*$N71)</f>
        <v/>
      </c>
      <c r="S71" s="56" t="str">
        <f aca="false">IF(INDEX(BookTitle,66)="","",INDEX(BookTotal,66)*'5. Scenarios'!$E$6/(1+ProductivityDefault*('5. Scenarios'!$E$11-1)))</f>
        <v/>
      </c>
      <c r="T71" s="57" t="str">
        <f aca="false">IF($S71="","",INDEX(BookRate,66)*(1+'5. Scenarios'!$E$10)*$S71)</f>
        <v/>
      </c>
      <c r="U71" s="57" t="str">
        <f aca="false">IF($T71="","",SUMIFS($T$6:$T$2405,$A$6:$A$2405,"&lt;="&amp;$A71))</f>
        <v/>
      </c>
      <c r="V71" s="57" t="str">
        <f aca="false">IF($T71="","",IF($U71&lt;=BankCostEnvelope*'5. Scenarios'!$E$7,1,0))</f>
        <v/>
      </c>
      <c r="W71" s="57" t="str">
        <f aca="false">IF($S71="","",INDEX(BookRate,66)*(1+'5. Scenarios'!$E$10)*(INDEX(BookQ1,66)*(5-MIN(4,1+'5. Scenarios'!$E$8))/4+INDEX(BookQ2,66)*(5-MIN(4,2+'5. Scenarios'!$E$8))/4+INDEX(BookQ3,66)*(5-MIN(4,3+'5. Scenarios'!$E$8))/4+INDEX(BookQ4,66)*(5-MIN(4,4+'5. Scenarios'!$E$8))/4)*'5. Scenarios'!$E$6/(1+ProductivityDefault*('5. Scenarios'!$E$11-1))+INDEX(BookOneOff,66)*$S71)</f>
        <v/>
      </c>
    </row>
    <row r="72" customFormat="false" ht="15" hidden="false" customHeight="false" outlineLevel="0" collapsed="false">
      <c r="A72" s="0" t="str">
        <f aca="false">IF(INDEX(BookTitle,67)="","",INDEX(BookKey,67))</f>
        <v/>
      </c>
      <c r="B72" s="0" t="str">
        <f aca="false">IF(INDEX(BookTitle,67)="","",INDEX(BookGroup,67))</f>
        <v/>
      </c>
      <c r="C72" s="0" t="str">
        <f aca="false">IF(INDEX(BookTitle,67)="","",INDEX(BookCategory,67))</f>
        <v/>
      </c>
      <c r="D72" s="56" t="str">
        <f aca="false">IF(INDEX(BookTitle,67)="","",INDEX(BookTotal,67)*'5. Scenarios'!$B$6/(1+ProductivityDefault*('5. Scenarios'!$B$11-1)))</f>
        <v/>
      </c>
      <c r="E72" s="57" t="str">
        <f aca="false">IF($D72="","",INDEX(BookRate,67)*(1+'5. Scenarios'!$B$10)*$D72)</f>
        <v/>
      </c>
      <c r="F72" s="57" t="str">
        <f aca="false">IF($E72="","",SUMIFS($E$6:$E$2405,$A$6:$A$2405,"&lt;="&amp;$A72))</f>
        <v/>
      </c>
      <c r="G72" s="57" t="str">
        <f aca="false">IF($E72="","",IF($F72&lt;=BankCostEnvelope*'5. Scenarios'!$B$7,1,0))</f>
        <v/>
      </c>
      <c r="H72" s="57" t="str">
        <f aca="false">IF($D72="","",INDEX(BookRate,67)*(1+'5. Scenarios'!$B$10)*(INDEX(BookQ1,67)*(5-MIN(4,1+'5. Scenarios'!$B$8))/4+INDEX(BookQ2,67)*(5-MIN(4,2+'5. Scenarios'!$B$8))/4+INDEX(BookQ3,67)*(5-MIN(4,3+'5. Scenarios'!$B$8))/4+INDEX(BookQ4,67)*(5-MIN(4,4+'5. Scenarios'!$B$8))/4)*'5. Scenarios'!$B$6/(1+ProductivityDefault*('5. Scenarios'!$B$11-1))+INDEX(BookOneOff,67)*$D72)</f>
        <v/>
      </c>
      <c r="I72" s="56" t="str">
        <f aca="false">IF(INDEX(BookTitle,67)="","",INDEX(BookTotal,67)*'5. Scenarios'!$C$6/(1+ProductivityDefault*('5. Scenarios'!$C$11-1)))</f>
        <v/>
      </c>
      <c r="J72" s="57" t="str">
        <f aca="false">IF($I72="","",INDEX(BookRate,67)*(1+'5. Scenarios'!$C$10)*$I72)</f>
        <v/>
      </c>
      <c r="K72" s="57" t="str">
        <f aca="false">IF($J72="","",SUMIFS($J$6:$J$2405,$A$6:$A$2405,"&lt;="&amp;$A72))</f>
        <v/>
      </c>
      <c r="L72" s="57" t="str">
        <f aca="false">IF($J72="","",IF($K72&lt;=BankCostEnvelope*'5. Scenarios'!$C$7,1,0))</f>
        <v/>
      </c>
      <c r="M72" s="57" t="str">
        <f aca="false">IF($I72="","",INDEX(BookRate,67)*(1+'5. Scenarios'!$C$10)*(INDEX(BookQ1,67)*(5-MIN(4,1+'5. Scenarios'!$C$8))/4+INDEX(BookQ2,67)*(5-MIN(4,2+'5. Scenarios'!$C$8))/4+INDEX(BookQ3,67)*(5-MIN(4,3+'5. Scenarios'!$C$8))/4+INDEX(BookQ4,67)*(5-MIN(4,4+'5. Scenarios'!$C$8))/4)*'5. Scenarios'!$C$6/(1+ProductivityDefault*('5. Scenarios'!$C$11-1))+INDEX(BookOneOff,67)*$I72)</f>
        <v/>
      </c>
      <c r="N72" s="56" t="str">
        <f aca="false">IF(INDEX(BookTitle,67)="","",INDEX(BookTotal,67)*'5. Scenarios'!$D$6/(1+ProductivityDefault*('5. Scenarios'!$D$11-1)))</f>
        <v/>
      </c>
      <c r="O72" s="57" t="str">
        <f aca="false">IF($N72="","",INDEX(BookRate,67)*(1+'5. Scenarios'!$D$10)*$N72)</f>
        <v/>
      </c>
      <c r="P72" s="57" t="str">
        <f aca="false">IF($O72="","",SUMIFS($O$6:$O$2405,$A$6:$A$2405,"&lt;="&amp;$A72))</f>
        <v/>
      </c>
      <c r="Q72" s="57" t="str">
        <f aca="false">IF($O72="","",IF($P72&lt;=BankCostEnvelope*'5. Scenarios'!$D$7,1,0))</f>
        <v/>
      </c>
      <c r="R72" s="57" t="str">
        <f aca="false">IF($N72="","",INDEX(BookRate,67)*(1+'5. Scenarios'!$D$10)*(INDEX(BookQ1,67)*(5-MIN(4,1+'5. Scenarios'!$D$8))/4+INDEX(BookQ2,67)*(5-MIN(4,2+'5. Scenarios'!$D$8))/4+INDEX(BookQ3,67)*(5-MIN(4,3+'5. Scenarios'!$D$8))/4+INDEX(BookQ4,67)*(5-MIN(4,4+'5. Scenarios'!$D$8))/4)*'5. Scenarios'!$D$6/(1+ProductivityDefault*('5. Scenarios'!$D$11-1))+INDEX(BookOneOff,67)*$N72)</f>
        <v/>
      </c>
      <c r="S72" s="56" t="str">
        <f aca="false">IF(INDEX(BookTitle,67)="","",INDEX(BookTotal,67)*'5. Scenarios'!$E$6/(1+ProductivityDefault*('5. Scenarios'!$E$11-1)))</f>
        <v/>
      </c>
      <c r="T72" s="57" t="str">
        <f aca="false">IF($S72="","",INDEX(BookRate,67)*(1+'5. Scenarios'!$E$10)*$S72)</f>
        <v/>
      </c>
      <c r="U72" s="57" t="str">
        <f aca="false">IF($T72="","",SUMIFS($T$6:$T$2405,$A$6:$A$2405,"&lt;="&amp;$A72))</f>
        <v/>
      </c>
      <c r="V72" s="57" t="str">
        <f aca="false">IF($T72="","",IF($U72&lt;=BankCostEnvelope*'5. Scenarios'!$E$7,1,0))</f>
        <v/>
      </c>
      <c r="W72" s="57" t="str">
        <f aca="false">IF($S72="","",INDEX(BookRate,67)*(1+'5. Scenarios'!$E$10)*(INDEX(BookQ1,67)*(5-MIN(4,1+'5. Scenarios'!$E$8))/4+INDEX(BookQ2,67)*(5-MIN(4,2+'5. Scenarios'!$E$8))/4+INDEX(BookQ3,67)*(5-MIN(4,3+'5. Scenarios'!$E$8))/4+INDEX(BookQ4,67)*(5-MIN(4,4+'5. Scenarios'!$E$8))/4)*'5. Scenarios'!$E$6/(1+ProductivityDefault*('5. Scenarios'!$E$11-1))+INDEX(BookOneOff,67)*$S72)</f>
        <v/>
      </c>
    </row>
    <row r="73" customFormat="false" ht="15" hidden="false" customHeight="false" outlineLevel="0" collapsed="false">
      <c r="A73" s="0" t="str">
        <f aca="false">IF(INDEX(BookTitle,68)="","",INDEX(BookKey,68))</f>
        <v/>
      </c>
      <c r="B73" s="0" t="str">
        <f aca="false">IF(INDEX(BookTitle,68)="","",INDEX(BookGroup,68))</f>
        <v/>
      </c>
      <c r="C73" s="0" t="str">
        <f aca="false">IF(INDEX(BookTitle,68)="","",INDEX(BookCategory,68))</f>
        <v/>
      </c>
      <c r="D73" s="56" t="str">
        <f aca="false">IF(INDEX(BookTitle,68)="","",INDEX(BookTotal,68)*'5. Scenarios'!$B$6/(1+ProductivityDefault*('5. Scenarios'!$B$11-1)))</f>
        <v/>
      </c>
      <c r="E73" s="57" t="str">
        <f aca="false">IF($D73="","",INDEX(BookRate,68)*(1+'5. Scenarios'!$B$10)*$D73)</f>
        <v/>
      </c>
      <c r="F73" s="57" t="str">
        <f aca="false">IF($E73="","",SUMIFS($E$6:$E$2405,$A$6:$A$2405,"&lt;="&amp;$A73))</f>
        <v/>
      </c>
      <c r="G73" s="57" t="str">
        <f aca="false">IF($E73="","",IF($F73&lt;=BankCostEnvelope*'5. Scenarios'!$B$7,1,0))</f>
        <v/>
      </c>
      <c r="H73" s="57" t="str">
        <f aca="false">IF($D73="","",INDEX(BookRate,68)*(1+'5. Scenarios'!$B$10)*(INDEX(BookQ1,68)*(5-MIN(4,1+'5. Scenarios'!$B$8))/4+INDEX(BookQ2,68)*(5-MIN(4,2+'5. Scenarios'!$B$8))/4+INDEX(BookQ3,68)*(5-MIN(4,3+'5. Scenarios'!$B$8))/4+INDEX(BookQ4,68)*(5-MIN(4,4+'5. Scenarios'!$B$8))/4)*'5. Scenarios'!$B$6/(1+ProductivityDefault*('5. Scenarios'!$B$11-1))+INDEX(BookOneOff,68)*$D73)</f>
        <v/>
      </c>
      <c r="I73" s="56" t="str">
        <f aca="false">IF(INDEX(BookTitle,68)="","",INDEX(BookTotal,68)*'5. Scenarios'!$C$6/(1+ProductivityDefault*('5. Scenarios'!$C$11-1)))</f>
        <v/>
      </c>
      <c r="J73" s="57" t="str">
        <f aca="false">IF($I73="","",INDEX(BookRate,68)*(1+'5. Scenarios'!$C$10)*$I73)</f>
        <v/>
      </c>
      <c r="K73" s="57" t="str">
        <f aca="false">IF($J73="","",SUMIFS($J$6:$J$2405,$A$6:$A$2405,"&lt;="&amp;$A73))</f>
        <v/>
      </c>
      <c r="L73" s="57" t="str">
        <f aca="false">IF($J73="","",IF($K73&lt;=BankCostEnvelope*'5. Scenarios'!$C$7,1,0))</f>
        <v/>
      </c>
      <c r="M73" s="57" t="str">
        <f aca="false">IF($I73="","",INDEX(BookRate,68)*(1+'5. Scenarios'!$C$10)*(INDEX(BookQ1,68)*(5-MIN(4,1+'5. Scenarios'!$C$8))/4+INDEX(BookQ2,68)*(5-MIN(4,2+'5. Scenarios'!$C$8))/4+INDEX(BookQ3,68)*(5-MIN(4,3+'5. Scenarios'!$C$8))/4+INDEX(BookQ4,68)*(5-MIN(4,4+'5. Scenarios'!$C$8))/4)*'5. Scenarios'!$C$6/(1+ProductivityDefault*('5. Scenarios'!$C$11-1))+INDEX(BookOneOff,68)*$I73)</f>
        <v/>
      </c>
      <c r="N73" s="56" t="str">
        <f aca="false">IF(INDEX(BookTitle,68)="","",INDEX(BookTotal,68)*'5. Scenarios'!$D$6/(1+ProductivityDefault*('5. Scenarios'!$D$11-1)))</f>
        <v/>
      </c>
      <c r="O73" s="57" t="str">
        <f aca="false">IF($N73="","",INDEX(BookRate,68)*(1+'5. Scenarios'!$D$10)*$N73)</f>
        <v/>
      </c>
      <c r="P73" s="57" t="str">
        <f aca="false">IF($O73="","",SUMIFS($O$6:$O$2405,$A$6:$A$2405,"&lt;="&amp;$A73))</f>
        <v/>
      </c>
      <c r="Q73" s="57" t="str">
        <f aca="false">IF($O73="","",IF($P73&lt;=BankCostEnvelope*'5. Scenarios'!$D$7,1,0))</f>
        <v/>
      </c>
      <c r="R73" s="57" t="str">
        <f aca="false">IF($N73="","",INDEX(BookRate,68)*(1+'5. Scenarios'!$D$10)*(INDEX(BookQ1,68)*(5-MIN(4,1+'5. Scenarios'!$D$8))/4+INDEX(BookQ2,68)*(5-MIN(4,2+'5. Scenarios'!$D$8))/4+INDEX(BookQ3,68)*(5-MIN(4,3+'5. Scenarios'!$D$8))/4+INDEX(BookQ4,68)*(5-MIN(4,4+'5. Scenarios'!$D$8))/4)*'5. Scenarios'!$D$6/(1+ProductivityDefault*('5. Scenarios'!$D$11-1))+INDEX(BookOneOff,68)*$N73)</f>
        <v/>
      </c>
      <c r="S73" s="56" t="str">
        <f aca="false">IF(INDEX(BookTitle,68)="","",INDEX(BookTotal,68)*'5. Scenarios'!$E$6/(1+ProductivityDefault*('5. Scenarios'!$E$11-1)))</f>
        <v/>
      </c>
      <c r="T73" s="57" t="str">
        <f aca="false">IF($S73="","",INDEX(BookRate,68)*(1+'5. Scenarios'!$E$10)*$S73)</f>
        <v/>
      </c>
      <c r="U73" s="57" t="str">
        <f aca="false">IF($T73="","",SUMIFS($T$6:$T$2405,$A$6:$A$2405,"&lt;="&amp;$A73))</f>
        <v/>
      </c>
      <c r="V73" s="57" t="str">
        <f aca="false">IF($T73="","",IF($U73&lt;=BankCostEnvelope*'5. Scenarios'!$E$7,1,0))</f>
        <v/>
      </c>
      <c r="W73" s="57" t="str">
        <f aca="false">IF($S73="","",INDEX(BookRate,68)*(1+'5. Scenarios'!$E$10)*(INDEX(BookQ1,68)*(5-MIN(4,1+'5. Scenarios'!$E$8))/4+INDEX(BookQ2,68)*(5-MIN(4,2+'5. Scenarios'!$E$8))/4+INDEX(BookQ3,68)*(5-MIN(4,3+'5. Scenarios'!$E$8))/4+INDEX(BookQ4,68)*(5-MIN(4,4+'5. Scenarios'!$E$8))/4)*'5. Scenarios'!$E$6/(1+ProductivityDefault*('5. Scenarios'!$E$11-1))+INDEX(BookOneOff,68)*$S73)</f>
        <v/>
      </c>
    </row>
    <row r="74" customFormat="false" ht="15" hidden="false" customHeight="false" outlineLevel="0" collapsed="false">
      <c r="A74" s="0" t="str">
        <f aca="false">IF(INDEX(BookTitle,69)="","",INDEX(BookKey,69))</f>
        <v/>
      </c>
      <c r="B74" s="0" t="str">
        <f aca="false">IF(INDEX(BookTitle,69)="","",INDEX(BookGroup,69))</f>
        <v/>
      </c>
      <c r="C74" s="0" t="str">
        <f aca="false">IF(INDEX(BookTitle,69)="","",INDEX(BookCategory,69))</f>
        <v/>
      </c>
      <c r="D74" s="56" t="str">
        <f aca="false">IF(INDEX(BookTitle,69)="","",INDEX(BookTotal,69)*'5. Scenarios'!$B$6/(1+ProductivityDefault*('5. Scenarios'!$B$11-1)))</f>
        <v/>
      </c>
      <c r="E74" s="57" t="str">
        <f aca="false">IF($D74="","",INDEX(BookRate,69)*(1+'5. Scenarios'!$B$10)*$D74)</f>
        <v/>
      </c>
      <c r="F74" s="57" t="str">
        <f aca="false">IF($E74="","",SUMIFS($E$6:$E$2405,$A$6:$A$2405,"&lt;="&amp;$A74))</f>
        <v/>
      </c>
      <c r="G74" s="57" t="str">
        <f aca="false">IF($E74="","",IF($F74&lt;=BankCostEnvelope*'5. Scenarios'!$B$7,1,0))</f>
        <v/>
      </c>
      <c r="H74" s="57" t="str">
        <f aca="false">IF($D74="","",INDEX(BookRate,69)*(1+'5. Scenarios'!$B$10)*(INDEX(BookQ1,69)*(5-MIN(4,1+'5. Scenarios'!$B$8))/4+INDEX(BookQ2,69)*(5-MIN(4,2+'5. Scenarios'!$B$8))/4+INDEX(BookQ3,69)*(5-MIN(4,3+'5. Scenarios'!$B$8))/4+INDEX(BookQ4,69)*(5-MIN(4,4+'5. Scenarios'!$B$8))/4)*'5. Scenarios'!$B$6/(1+ProductivityDefault*('5. Scenarios'!$B$11-1))+INDEX(BookOneOff,69)*$D74)</f>
        <v/>
      </c>
      <c r="I74" s="56" t="str">
        <f aca="false">IF(INDEX(BookTitle,69)="","",INDEX(BookTotal,69)*'5. Scenarios'!$C$6/(1+ProductivityDefault*('5. Scenarios'!$C$11-1)))</f>
        <v/>
      </c>
      <c r="J74" s="57" t="str">
        <f aca="false">IF($I74="","",INDEX(BookRate,69)*(1+'5. Scenarios'!$C$10)*$I74)</f>
        <v/>
      </c>
      <c r="K74" s="57" t="str">
        <f aca="false">IF($J74="","",SUMIFS($J$6:$J$2405,$A$6:$A$2405,"&lt;="&amp;$A74))</f>
        <v/>
      </c>
      <c r="L74" s="57" t="str">
        <f aca="false">IF($J74="","",IF($K74&lt;=BankCostEnvelope*'5. Scenarios'!$C$7,1,0))</f>
        <v/>
      </c>
      <c r="M74" s="57" t="str">
        <f aca="false">IF($I74="","",INDEX(BookRate,69)*(1+'5. Scenarios'!$C$10)*(INDEX(BookQ1,69)*(5-MIN(4,1+'5. Scenarios'!$C$8))/4+INDEX(BookQ2,69)*(5-MIN(4,2+'5. Scenarios'!$C$8))/4+INDEX(BookQ3,69)*(5-MIN(4,3+'5. Scenarios'!$C$8))/4+INDEX(BookQ4,69)*(5-MIN(4,4+'5. Scenarios'!$C$8))/4)*'5. Scenarios'!$C$6/(1+ProductivityDefault*('5. Scenarios'!$C$11-1))+INDEX(BookOneOff,69)*$I74)</f>
        <v/>
      </c>
      <c r="N74" s="56" t="str">
        <f aca="false">IF(INDEX(BookTitle,69)="","",INDEX(BookTotal,69)*'5. Scenarios'!$D$6/(1+ProductivityDefault*('5. Scenarios'!$D$11-1)))</f>
        <v/>
      </c>
      <c r="O74" s="57" t="str">
        <f aca="false">IF($N74="","",INDEX(BookRate,69)*(1+'5. Scenarios'!$D$10)*$N74)</f>
        <v/>
      </c>
      <c r="P74" s="57" t="str">
        <f aca="false">IF($O74="","",SUMIFS($O$6:$O$2405,$A$6:$A$2405,"&lt;="&amp;$A74))</f>
        <v/>
      </c>
      <c r="Q74" s="57" t="str">
        <f aca="false">IF($O74="","",IF($P74&lt;=BankCostEnvelope*'5. Scenarios'!$D$7,1,0))</f>
        <v/>
      </c>
      <c r="R74" s="57" t="str">
        <f aca="false">IF($N74="","",INDEX(BookRate,69)*(1+'5. Scenarios'!$D$10)*(INDEX(BookQ1,69)*(5-MIN(4,1+'5. Scenarios'!$D$8))/4+INDEX(BookQ2,69)*(5-MIN(4,2+'5. Scenarios'!$D$8))/4+INDEX(BookQ3,69)*(5-MIN(4,3+'5. Scenarios'!$D$8))/4+INDEX(BookQ4,69)*(5-MIN(4,4+'5. Scenarios'!$D$8))/4)*'5. Scenarios'!$D$6/(1+ProductivityDefault*('5. Scenarios'!$D$11-1))+INDEX(BookOneOff,69)*$N74)</f>
        <v/>
      </c>
      <c r="S74" s="56" t="str">
        <f aca="false">IF(INDEX(BookTitle,69)="","",INDEX(BookTotal,69)*'5. Scenarios'!$E$6/(1+ProductivityDefault*('5. Scenarios'!$E$11-1)))</f>
        <v/>
      </c>
      <c r="T74" s="57" t="str">
        <f aca="false">IF($S74="","",INDEX(BookRate,69)*(1+'5. Scenarios'!$E$10)*$S74)</f>
        <v/>
      </c>
      <c r="U74" s="57" t="str">
        <f aca="false">IF($T74="","",SUMIFS($T$6:$T$2405,$A$6:$A$2405,"&lt;="&amp;$A74))</f>
        <v/>
      </c>
      <c r="V74" s="57" t="str">
        <f aca="false">IF($T74="","",IF($U74&lt;=BankCostEnvelope*'5. Scenarios'!$E$7,1,0))</f>
        <v/>
      </c>
      <c r="W74" s="57" t="str">
        <f aca="false">IF($S74="","",INDEX(BookRate,69)*(1+'5. Scenarios'!$E$10)*(INDEX(BookQ1,69)*(5-MIN(4,1+'5. Scenarios'!$E$8))/4+INDEX(BookQ2,69)*(5-MIN(4,2+'5. Scenarios'!$E$8))/4+INDEX(BookQ3,69)*(5-MIN(4,3+'5. Scenarios'!$E$8))/4+INDEX(BookQ4,69)*(5-MIN(4,4+'5. Scenarios'!$E$8))/4)*'5. Scenarios'!$E$6/(1+ProductivityDefault*('5. Scenarios'!$E$11-1))+INDEX(BookOneOff,69)*$S74)</f>
        <v/>
      </c>
    </row>
    <row r="75" customFormat="false" ht="15" hidden="false" customHeight="false" outlineLevel="0" collapsed="false">
      <c r="A75" s="0" t="str">
        <f aca="false">IF(INDEX(BookTitle,70)="","",INDEX(BookKey,70))</f>
        <v/>
      </c>
      <c r="B75" s="0" t="str">
        <f aca="false">IF(INDEX(BookTitle,70)="","",INDEX(BookGroup,70))</f>
        <v/>
      </c>
      <c r="C75" s="0" t="str">
        <f aca="false">IF(INDEX(BookTitle,70)="","",INDEX(BookCategory,70))</f>
        <v/>
      </c>
      <c r="D75" s="56" t="str">
        <f aca="false">IF(INDEX(BookTitle,70)="","",INDEX(BookTotal,70)*'5. Scenarios'!$B$6/(1+ProductivityDefault*('5. Scenarios'!$B$11-1)))</f>
        <v/>
      </c>
      <c r="E75" s="57" t="str">
        <f aca="false">IF($D75="","",INDEX(BookRate,70)*(1+'5. Scenarios'!$B$10)*$D75)</f>
        <v/>
      </c>
      <c r="F75" s="57" t="str">
        <f aca="false">IF($E75="","",SUMIFS($E$6:$E$2405,$A$6:$A$2405,"&lt;="&amp;$A75))</f>
        <v/>
      </c>
      <c r="G75" s="57" t="str">
        <f aca="false">IF($E75="","",IF($F75&lt;=BankCostEnvelope*'5. Scenarios'!$B$7,1,0))</f>
        <v/>
      </c>
      <c r="H75" s="57" t="str">
        <f aca="false">IF($D75="","",INDEX(BookRate,70)*(1+'5. Scenarios'!$B$10)*(INDEX(BookQ1,70)*(5-MIN(4,1+'5. Scenarios'!$B$8))/4+INDEX(BookQ2,70)*(5-MIN(4,2+'5. Scenarios'!$B$8))/4+INDEX(BookQ3,70)*(5-MIN(4,3+'5. Scenarios'!$B$8))/4+INDEX(BookQ4,70)*(5-MIN(4,4+'5. Scenarios'!$B$8))/4)*'5. Scenarios'!$B$6/(1+ProductivityDefault*('5. Scenarios'!$B$11-1))+INDEX(BookOneOff,70)*$D75)</f>
        <v/>
      </c>
      <c r="I75" s="56" t="str">
        <f aca="false">IF(INDEX(BookTitle,70)="","",INDEX(BookTotal,70)*'5. Scenarios'!$C$6/(1+ProductivityDefault*('5. Scenarios'!$C$11-1)))</f>
        <v/>
      </c>
      <c r="J75" s="57" t="str">
        <f aca="false">IF($I75="","",INDEX(BookRate,70)*(1+'5. Scenarios'!$C$10)*$I75)</f>
        <v/>
      </c>
      <c r="K75" s="57" t="str">
        <f aca="false">IF($J75="","",SUMIFS($J$6:$J$2405,$A$6:$A$2405,"&lt;="&amp;$A75))</f>
        <v/>
      </c>
      <c r="L75" s="57" t="str">
        <f aca="false">IF($J75="","",IF($K75&lt;=BankCostEnvelope*'5. Scenarios'!$C$7,1,0))</f>
        <v/>
      </c>
      <c r="M75" s="57" t="str">
        <f aca="false">IF($I75="","",INDEX(BookRate,70)*(1+'5. Scenarios'!$C$10)*(INDEX(BookQ1,70)*(5-MIN(4,1+'5. Scenarios'!$C$8))/4+INDEX(BookQ2,70)*(5-MIN(4,2+'5. Scenarios'!$C$8))/4+INDEX(BookQ3,70)*(5-MIN(4,3+'5. Scenarios'!$C$8))/4+INDEX(BookQ4,70)*(5-MIN(4,4+'5. Scenarios'!$C$8))/4)*'5. Scenarios'!$C$6/(1+ProductivityDefault*('5. Scenarios'!$C$11-1))+INDEX(BookOneOff,70)*$I75)</f>
        <v/>
      </c>
      <c r="N75" s="56" t="str">
        <f aca="false">IF(INDEX(BookTitle,70)="","",INDEX(BookTotal,70)*'5. Scenarios'!$D$6/(1+ProductivityDefault*('5. Scenarios'!$D$11-1)))</f>
        <v/>
      </c>
      <c r="O75" s="57" t="str">
        <f aca="false">IF($N75="","",INDEX(BookRate,70)*(1+'5. Scenarios'!$D$10)*$N75)</f>
        <v/>
      </c>
      <c r="P75" s="57" t="str">
        <f aca="false">IF($O75="","",SUMIFS($O$6:$O$2405,$A$6:$A$2405,"&lt;="&amp;$A75))</f>
        <v/>
      </c>
      <c r="Q75" s="57" t="str">
        <f aca="false">IF($O75="","",IF($P75&lt;=BankCostEnvelope*'5. Scenarios'!$D$7,1,0))</f>
        <v/>
      </c>
      <c r="R75" s="57" t="str">
        <f aca="false">IF($N75="","",INDEX(BookRate,70)*(1+'5. Scenarios'!$D$10)*(INDEX(BookQ1,70)*(5-MIN(4,1+'5. Scenarios'!$D$8))/4+INDEX(BookQ2,70)*(5-MIN(4,2+'5. Scenarios'!$D$8))/4+INDEX(BookQ3,70)*(5-MIN(4,3+'5. Scenarios'!$D$8))/4+INDEX(BookQ4,70)*(5-MIN(4,4+'5. Scenarios'!$D$8))/4)*'5. Scenarios'!$D$6/(1+ProductivityDefault*('5. Scenarios'!$D$11-1))+INDEX(BookOneOff,70)*$N75)</f>
        <v/>
      </c>
      <c r="S75" s="56" t="str">
        <f aca="false">IF(INDEX(BookTitle,70)="","",INDEX(BookTotal,70)*'5. Scenarios'!$E$6/(1+ProductivityDefault*('5. Scenarios'!$E$11-1)))</f>
        <v/>
      </c>
      <c r="T75" s="57" t="str">
        <f aca="false">IF($S75="","",INDEX(BookRate,70)*(1+'5. Scenarios'!$E$10)*$S75)</f>
        <v/>
      </c>
      <c r="U75" s="57" t="str">
        <f aca="false">IF($T75="","",SUMIFS($T$6:$T$2405,$A$6:$A$2405,"&lt;="&amp;$A75))</f>
        <v/>
      </c>
      <c r="V75" s="57" t="str">
        <f aca="false">IF($T75="","",IF($U75&lt;=BankCostEnvelope*'5. Scenarios'!$E$7,1,0))</f>
        <v/>
      </c>
      <c r="W75" s="57" t="str">
        <f aca="false">IF($S75="","",INDEX(BookRate,70)*(1+'5. Scenarios'!$E$10)*(INDEX(BookQ1,70)*(5-MIN(4,1+'5. Scenarios'!$E$8))/4+INDEX(BookQ2,70)*(5-MIN(4,2+'5. Scenarios'!$E$8))/4+INDEX(BookQ3,70)*(5-MIN(4,3+'5. Scenarios'!$E$8))/4+INDEX(BookQ4,70)*(5-MIN(4,4+'5. Scenarios'!$E$8))/4)*'5. Scenarios'!$E$6/(1+ProductivityDefault*('5. Scenarios'!$E$11-1))+INDEX(BookOneOff,70)*$S75)</f>
        <v/>
      </c>
    </row>
    <row r="76" customFormat="false" ht="15" hidden="false" customHeight="false" outlineLevel="0" collapsed="false">
      <c r="A76" s="0" t="str">
        <f aca="false">IF(INDEX(BookTitle,71)="","",INDEX(BookKey,71))</f>
        <v/>
      </c>
      <c r="B76" s="0" t="str">
        <f aca="false">IF(INDEX(BookTitle,71)="","",INDEX(BookGroup,71))</f>
        <v/>
      </c>
      <c r="C76" s="0" t="str">
        <f aca="false">IF(INDEX(BookTitle,71)="","",INDEX(BookCategory,71))</f>
        <v/>
      </c>
      <c r="D76" s="56" t="str">
        <f aca="false">IF(INDEX(BookTitle,71)="","",INDEX(BookTotal,71)*'5. Scenarios'!$B$6/(1+ProductivityDefault*('5. Scenarios'!$B$11-1)))</f>
        <v/>
      </c>
      <c r="E76" s="57" t="str">
        <f aca="false">IF($D76="","",INDEX(BookRate,71)*(1+'5. Scenarios'!$B$10)*$D76)</f>
        <v/>
      </c>
      <c r="F76" s="57" t="str">
        <f aca="false">IF($E76="","",SUMIFS($E$6:$E$2405,$A$6:$A$2405,"&lt;="&amp;$A76))</f>
        <v/>
      </c>
      <c r="G76" s="57" t="str">
        <f aca="false">IF($E76="","",IF($F76&lt;=BankCostEnvelope*'5. Scenarios'!$B$7,1,0))</f>
        <v/>
      </c>
      <c r="H76" s="57" t="str">
        <f aca="false">IF($D76="","",INDEX(BookRate,71)*(1+'5. Scenarios'!$B$10)*(INDEX(BookQ1,71)*(5-MIN(4,1+'5. Scenarios'!$B$8))/4+INDEX(BookQ2,71)*(5-MIN(4,2+'5. Scenarios'!$B$8))/4+INDEX(BookQ3,71)*(5-MIN(4,3+'5. Scenarios'!$B$8))/4+INDEX(BookQ4,71)*(5-MIN(4,4+'5. Scenarios'!$B$8))/4)*'5. Scenarios'!$B$6/(1+ProductivityDefault*('5. Scenarios'!$B$11-1))+INDEX(BookOneOff,71)*$D76)</f>
        <v/>
      </c>
      <c r="I76" s="56" t="str">
        <f aca="false">IF(INDEX(BookTitle,71)="","",INDEX(BookTotal,71)*'5. Scenarios'!$C$6/(1+ProductivityDefault*('5. Scenarios'!$C$11-1)))</f>
        <v/>
      </c>
      <c r="J76" s="57" t="str">
        <f aca="false">IF($I76="","",INDEX(BookRate,71)*(1+'5. Scenarios'!$C$10)*$I76)</f>
        <v/>
      </c>
      <c r="K76" s="57" t="str">
        <f aca="false">IF($J76="","",SUMIFS($J$6:$J$2405,$A$6:$A$2405,"&lt;="&amp;$A76))</f>
        <v/>
      </c>
      <c r="L76" s="57" t="str">
        <f aca="false">IF($J76="","",IF($K76&lt;=BankCostEnvelope*'5. Scenarios'!$C$7,1,0))</f>
        <v/>
      </c>
      <c r="M76" s="57" t="str">
        <f aca="false">IF($I76="","",INDEX(BookRate,71)*(1+'5. Scenarios'!$C$10)*(INDEX(BookQ1,71)*(5-MIN(4,1+'5. Scenarios'!$C$8))/4+INDEX(BookQ2,71)*(5-MIN(4,2+'5. Scenarios'!$C$8))/4+INDEX(BookQ3,71)*(5-MIN(4,3+'5. Scenarios'!$C$8))/4+INDEX(BookQ4,71)*(5-MIN(4,4+'5. Scenarios'!$C$8))/4)*'5. Scenarios'!$C$6/(1+ProductivityDefault*('5. Scenarios'!$C$11-1))+INDEX(BookOneOff,71)*$I76)</f>
        <v/>
      </c>
      <c r="N76" s="56" t="str">
        <f aca="false">IF(INDEX(BookTitle,71)="","",INDEX(BookTotal,71)*'5. Scenarios'!$D$6/(1+ProductivityDefault*('5. Scenarios'!$D$11-1)))</f>
        <v/>
      </c>
      <c r="O76" s="57" t="str">
        <f aca="false">IF($N76="","",INDEX(BookRate,71)*(1+'5. Scenarios'!$D$10)*$N76)</f>
        <v/>
      </c>
      <c r="P76" s="57" t="str">
        <f aca="false">IF($O76="","",SUMIFS($O$6:$O$2405,$A$6:$A$2405,"&lt;="&amp;$A76))</f>
        <v/>
      </c>
      <c r="Q76" s="57" t="str">
        <f aca="false">IF($O76="","",IF($P76&lt;=BankCostEnvelope*'5. Scenarios'!$D$7,1,0))</f>
        <v/>
      </c>
      <c r="R76" s="57" t="str">
        <f aca="false">IF($N76="","",INDEX(BookRate,71)*(1+'5. Scenarios'!$D$10)*(INDEX(BookQ1,71)*(5-MIN(4,1+'5. Scenarios'!$D$8))/4+INDEX(BookQ2,71)*(5-MIN(4,2+'5. Scenarios'!$D$8))/4+INDEX(BookQ3,71)*(5-MIN(4,3+'5. Scenarios'!$D$8))/4+INDEX(BookQ4,71)*(5-MIN(4,4+'5. Scenarios'!$D$8))/4)*'5. Scenarios'!$D$6/(1+ProductivityDefault*('5. Scenarios'!$D$11-1))+INDEX(BookOneOff,71)*$N76)</f>
        <v/>
      </c>
      <c r="S76" s="56" t="str">
        <f aca="false">IF(INDEX(BookTitle,71)="","",INDEX(BookTotal,71)*'5. Scenarios'!$E$6/(1+ProductivityDefault*('5. Scenarios'!$E$11-1)))</f>
        <v/>
      </c>
      <c r="T76" s="57" t="str">
        <f aca="false">IF($S76="","",INDEX(BookRate,71)*(1+'5. Scenarios'!$E$10)*$S76)</f>
        <v/>
      </c>
      <c r="U76" s="57" t="str">
        <f aca="false">IF($T76="","",SUMIFS($T$6:$T$2405,$A$6:$A$2405,"&lt;="&amp;$A76))</f>
        <v/>
      </c>
      <c r="V76" s="57" t="str">
        <f aca="false">IF($T76="","",IF($U76&lt;=BankCostEnvelope*'5. Scenarios'!$E$7,1,0))</f>
        <v/>
      </c>
      <c r="W76" s="57" t="str">
        <f aca="false">IF($S76="","",INDEX(BookRate,71)*(1+'5. Scenarios'!$E$10)*(INDEX(BookQ1,71)*(5-MIN(4,1+'5. Scenarios'!$E$8))/4+INDEX(BookQ2,71)*(5-MIN(4,2+'5. Scenarios'!$E$8))/4+INDEX(BookQ3,71)*(5-MIN(4,3+'5. Scenarios'!$E$8))/4+INDEX(BookQ4,71)*(5-MIN(4,4+'5. Scenarios'!$E$8))/4)*'5. Scenarios'!$E$6/(1+ProductivityDefault*('5. Scenarios'!$E$11-1))+INDEX(BookOneOff,71)*$S76)</f>
        <v/>
      </c>
    </row>
    <row r="77" customFormat="false" ht="15" hidden="false" customHeight="false" outlineLevel="0" collapsed="false">
      <c r="A77" s="0" t="str">
        <f aca="false">IF(INDEX(BookTitle,72)="","",INDEX(BookKey,72))</f>
        <v/>
      </c>
      <c r="B77" s="0" t="str">
        <f aca="false">IF(INDEX(BookTitle,72)="","",INDEX(BookGroup,72))</f>
        <v/>
      </c>
      <c r="C77" s="0" t="str">
        <f aca="false">IF(INDEX(BookTitle,72)="","",INDEX(BookCategory,72))</f>
        <v/>
      </c>
      <c r="D77" s="56" t="str">
        <f aca="false">IF(INDEX(BookTitle,72)="","",INDEX(BookTotal,72)*'5. Scenarios'!$B$6/(1+ProductivityDefault*('5. Scenarios'!$B$11-1)))</f>
        <v/>
      </c>
      <c r="E77" s="57" t="str">
        <f aca="false">IF($D77="","",INDEX(BookRate,72)*(1+'5. Scenarios'!$B$10)*$D77)</f>
        <v/>
      </c>
      <c r="F77" s="57" t="str">
        <f aca="false">IF($E77="","",SUMIFS($E$6:$E$2405,$A$6:$A$2405,"&lt;="&amp;$A77))</f>
        <v/>
      </c>
      <c r="G77" s="57" t="str">
        <f aca="false">IF($E77="","",IF($F77&lt;=BankCostEnvelope*'5. Scenarios'!$B$7,1,0))</f>
        <v/>
      </c>
      <c r="H77" s="57" t="str">
        <f aca="false">IF($D77="","",INDEX(BookRate,72)*(1+'5. Scenarios'!$B$10)*(INDEX(BookQ1,72)*(5-MIN(4,1+'5. Scenarios'!$B$8))/4+INDEX(BookQ2,72)*(5-MIN(4,2+'5. Scenarios'!$B$8))/4+INDEX(BookQ3,72)*(5-MIN(4,3+'5. Scenarios'!$B$8))/4+INDEX(BookQ4,72)*(5-MIN(4,4+'5. Scenarios'!$B$8))/4)*'5. Scenarios'!$B$6/(1+ProductivityDefault*('5. Scenarios'!$B$11-1))+INDEX(BookOneOff,72)*$D77)</f>
        <v/>
      </c>
      <c r="I77" s="56" t="str">
        <f aca="false">IF(INDEX(BookTitle,72)="","",INDEX(BookTotal,72)*'5. Scenarios'!$C$6/(1+ProductivityDefault*('5. Scenarios'!$C$11-1)))</f>
        <v/>
      </c>
      <c r="J77" s="57" t="str">
        <f aca="false">IF($I77="","",INDEX(BookRate,72)*(1+'5. Scenarios'!$C$10)*$I77)</f>
        <v/>
      </c>
      <c r="K77" s="57" t="str">
        <f aca="false">IF($J77="","",SUMIFS($J$6:$J$2405,$A$6:$A$2405,"&lt;="&amp;$A77))</f>
        <v/>
      </c>
      <c r="L77" s="57" t="str">
        <f aca="false">IF($J77="","",IF($K77&lt;=BankCostEnvelope*'5. Scenarios'!$C$7,1,0))</f>
        <v/>
      </c>
      <c r="M77" s="57" t="str">
        <f aca="false">IF($I77="","",INDEX(BookRate,72)*(1+'5. Scenarios'!$C$10)*(INDEX(BookQ1,72)*(5-MIN(4,1+'5. Scenarios'!$C$8))/4+INDEX(BookQ2,72)*(5-MIN(4,2+'5. Scenarios'!$C$8))/4+INDEX(BookQ3,72)*(5-MIN(4,3+'5. Scenarios'!$C$8))/4+INDEX(BookQ4,72)*(5-MIN(4,4+'5. Scenarios'!$C$8))/4)*'5. Scenarios'!$C$6/(1+ProductivityDefault*('5. Scenarios'!$C$11-1))+INDEX(BookOneOff,72)*$I77)</f>
        <v/>
      </c>
      <c r="N77" s="56" t="str">
        <f aca="false">IF(INDEX(BookTitle,72)="","",INDEX(BookTotal,72)*'5. Scenarios'!$D$6/(1+ProductivityDefault*('5. Scenarios'!$D$11-1)))</f>
        <v/>
      </c>
      <c r="O77" s="57" t="str">
        <f aca="false">IF($N77="","",INDEX(BookRate,72)*(1+'5. Scenarios'!$D$10)*$N77)</f>
        <v/>
      </c>
      <c r="P77" s="57" t="str">
        <f aca="false">IF($O77="","",SUMIFS($O$6:$O$2405,$A$6:$A$2405,"&lt;="&amp;$A77))</f>
        <v/>
      </c>
      <c r="Q77" s="57" t="str">
        <f aca="false">IF($O77="","",IF($P77&lt;=BankCostEnvelope*'5. Scenarios'!$D$7,1,0))</f>
        <v/>
      </c>
      <c r="R77" s="57" t="str">
        <f aca="false">IF($N77="","",INDEX(BookRate,72)*(1+'5. Scenarios'!$D$10)*(INDEX(BookQ1,72)*(5-MIN(4,1+'5. Scenarios'!$D$8))/4+INDEX(BookQ2,72)*(5-MIN(4,2+'5. Scenarios'!$D$8))/4+INDEX(BookQ3,72)*(5-MIN(4,3+'5. Scenarios'!$D$8))/4+INDEX(BookQ4,72)*(5-MIN(4,4+'5. Scenarios'!$D$8))/4)*'5. Scenarios'!$D$6/(1+ProductivityDefault*('5. Scenarios'!$D$11-1))+INDEX(BookOneOff,72)*$N77)</f>
        <v/>
      </c>
      <c r="S77" s="56" t="str">
        <f aca="false">IF(INDEX(BookTitle,72)="","",INDEX(BookTotal,72)*'5. Scenarios'!$E$6/(1+ProductivityDefault*('5. Scenarios'!$E$11-1)))</f>
        <v/>
      </c>
      <c r="T77" s="57" t="str">
        <f aca="false">IF($S77="","",INDEX(BookRate,72)*(1+'5. Scenarios'!$E$10)*$S77)</f>
        <v/>
      </c>
      <c r="U77" s="57" t="str">
        <f aca="false">IF($T77="","",SUMIFS($T$6:$T$2405,$A$6:$A$2405,"&lt;="&amp;$A77))</f>
        <v/>
      </c>
      <c r="V77" s="57" t="str">
        <f aca="false">IF($T77="","",IF($U77&lt;=BankCostEnvelope*'5. Scenarios'!$E$7,1,0))</f>
        <v/>
      </c>
      <c r="W77" s="57" t="str">
        <f aca="false">IF($S77="","",INDEX(BookRate,72)*(1+'5. Scenarios'!$E$10)*(INDEX(BookQ1,72)*(5-MIN(4,1+'5. Scenarios'!$E$8))/4+INDEX(BookQ2,72)*(5-MIN(4,2+'5. Scenarios'!$E$8))/4+INDEX(BookQ3,72)*(5-MIN(4,3+'5. Scenarios'!$E$8))/4+INDEX(BookQ4,72)*(5-MIN(4,4+'5. Scenarios'!$E$8))/4)*'5. Scenarios'!$E$6/(1+ProductivityDefault*('5. Scenarios'!$E$11-1))+INDEX(BookOneOff,72)*$S77)</f>
        <v/>
      </c>
    </row>
    <row r="78" customFormat="false" ht="15" hidden="false" customHeight="false" outlineLevel="0" collapsed="false">
      <c r="A78" s="0" t="str">
        <f aca="false">IF(INDEX(BookTitle,73)="","",INDEX(BookKey,73))</f>
        <v/>
      </c>
      <c r="B78" s="0" t="str">
        <f aca="false">IF(INDEX(BookTitle,73)="","",INDEX(BookGroup,73))</f>
        <v/>
      </c>
      <c r="C78" s="0" t="str">
        <f aca="false">IF(INDEX(BookTitle,73)="","",INDEX(BookCategory,73))</f>
        <v/>
      </c>
      <c r="D78" s="56" t="str">
        <f aca="false">IF(INDEX(BookTitle,73)="","",INDEX(BookTotal,73)*'5. Scenarios'!$B$6/(1+ProductivityDefault*('5. Scenarios'!$B$11-1)))</f>
        <v/>
      </c>
      <c r="E78" s="57" t="str">
        <f aca="false">IF($D78="","",INDEX(BookRate,73)*(1+'5. Scenarios'!$B$10)*$D78)</f>
        <v/>
      </c>
      <c r="F78" s="57" t="str">
        <f aca="false">IF($E78="","",SUMIFS($E$6:$E$2405,$A$6:$A$2405,"&lt;="&amp;$A78))</f>
        <v/>
      </c>
      <c r="G78" s="57" t="str">
        <f aca="false">IF($E78="","",IF($F78&lt;=BankCostEnvelope*'5. Scenarios'!$B$7,1,0))</f>
        <v/>
      </c>
      <c r="H78" s="57" t="str">
        <f aca="false">IF($D78="","",INDEX(BookRate,73)*(1+'5. Scenarios'!$B$10)*(INDEX(BookQ1,73)*(5-MIN(4,1+'5. Scenarios'!$B$8))/4+INDEX(BookQ2,73)*(5-MIN(4,2+'5. Scenarios'!$B$8))/4+INDEX(BookQ3,73)*(5-MIN(4,3+'5. Scenarios'!$B$8))/4+INDEX(BookQ4,73)*(5-MIN(4,4+'5. Scenarios'!$B$8))/4)*'5. Scenarios'!$B$6/(1+ProductivityDefault*('5. Scenarios'!$B$11-1))+INDEX(BookOneOff,73)*$D78)</f>
        <v/>
      </c>
      <c r="I78" s="56" t="str">
        <f aca="false">IF(INDEX(BookTitle,73)="","",INDEX(BookTotal,73)*'5. Scenarios'!$C$6/(1+ProductivityDefault*('5. Scenarios'!$C$11-1)))</f>
        <v/>
      </c>
      <c r="J78" s="57" t="str">
        <f aca="false">IF($I78="","",INDEX(BookRate,73)*(1+'5. Scenarios'!$C$10)*$I78)</f>
        <v/>
      </c>
      <c r="K78" s="57" t="str">
        <f aca="false">IF($J78="","",SUMIFS($J$6:$J$2405,$A$6:$A$2405,"&lt;="&amp;$A78))</f>
        <v/>
      </c>
      <c r="L78" s="57" t="str">
        <f aca="false">IF($J78="","",IF($K78&lt;=BankCostEnvelope*'5. Scenarios'!$C$7,1,0))</f>
        <v/>
      </c>
      <c r="M78" s="57" t="str">
        <f aca="false">IF($I78="","",INDEX(BookRate,73)*(1+'5. Scenarios'!$C$10)*(INDEX(BookQ1,73)*(5-MIN(4,1+'5. Scenarios'!$C$8))/4+INDEX(BookQ2,73)*(5-MIN(4,2+'5. Scenarios'!$C$8))/4+INDEX(BookQ3,73)*(5-MIN(4,3+'5. Scenarios'!$C$8))/4+INDEX(BookQ4,73)*(5-MIN(4,4+'5. Scenarios'!$C$8))/4)*'5. Scenarios'!$C$6/(1+ProductivityDefault*('5. Scenarios'!$C$11-1))+INDEX(BookOneOff,73)*$I78)</f>
        <v/>
      </c>
      <c r="N78" s="56" t="str">
        <f aca="false">IF(INDEX(BookTitle,73)="","",INDEX(BookTotal,73)*'5. Scenarios'!$D$6/(1+ProductivityDefault*('5. Scenarios'!$D$11-1)))</f>
        <v/>
      </c>
      <c r="O78" s="57" t="str">
        <f aca="false">IF($N78="","",INDEX(BookRate,73)*(1+'5. Scenarios'!$D$10)*$N78)</f>
        <v/>
      </c>
      <c r="P78" s="57" t="str">
        <f aca="false">IF($O78="","",SUMIFS($O$6:$O$2405,$A$6:$A$2405,"&lt;="&amp;$A78))</f>
        <v/>
      </c>
      <c r="Q78" s="57" t="str">
        <f aca="false">IF($O78="","",IF($P78&lt;=BankCostEnvelope*'5. Scenarios'!$D$7,1,0))</f>
        <v/>
      </c>
      <c r="R78" s="57" t="str">
        <f aca="false">IF($N78="","",INDEX(BookRate,73)*(1+'5. Scenarios'!$D$10)*(INDEX(BookQ1,73)*(5-MIN(4,1+'5. Scenarios'!$D$8))/4+INDEX(BookQ2,73)*(5-MIN(4,2+'5. Scenarios'!$D$8))/4+INDEX(BookQ3,73)*(5-MIN(4,3+'5. Scenarios'!$D$8))/4+INDEX(BookQ4,73)*(5-MIN(4,4+'5. Scenarios'!$D$8))/4)*'5. Scenarios'!$D$6/(1+ProductivityDefault*('5. Scenarios'!$D$11-1))+INDEX(BookOneOff,73)*$N78)</f>
        <v/>
      </c>
      <c r="S78" s="56" t="str">
        <f aca="false">IF(INDEX(BookTitle,73)="","",INDEX(BookTotal,73)*'5. Scenarios'!$E$6/(1+ProductivityDefault*('5. Scenarios'!$E$11-1)))</f>
        <v/>
      </c>
      <c r="T78" s="57" t="str">
        <f aca="false">IF($S78="","",INDEX(BookRate,73)*(1+'5. Scenarios'!$E$10)*$S78)</f>
        <v/>
      </c>
      <c r="U78" s="57" t="str">
        <f aca="false">IF($T78="","",SUMIFS($T$6:$T$2405,$A$6:$A$2405,"&lt;="&amp;$A78))</f>
        <v/>
      </c>
      <c r="V78" s="57" t="str">
        <f aca="false">IF($T78="","",IF($U78&lt;=BankCostEnvelope*'5. Scenarios'!$E$7,1,0))</f>
        <v/>
      </c>
      <c r="W78" s="57" t="str">
        <f aca="false">IF($S78="","",INDEX(BookRate,73)*(1+'5. Scenarios'!$E$10)*(INDEX(BookQ1,73)*(5-MIN(4,1+'5. Scenarios'!$E$8))/4+INDEX(BookQ2,73)*(5-MIN(4,2+'5. Scenarios'!$E$8))/4+INDEX(BookQ3,73)*(5-MIN(4,3+'5. Scenarios'!$E$8))/4+INDEX(BookQ4,73)*(5-MIN(4,4+'5. Scenarios'!$E$8))/4)*'5. Scenarios'!$E$6/(1+ProductivityDefault*('5. Scenarios'!$E$11-1))+INDEX(BookOneOff,73)*$S78)</f>
        <v/>
      </c>
    </row>
    <row r="79" customFormat="false" ht="15" hidden="false" customHeight="false" outlineLevel="0" collapsed="false">
      <c r="A79" s="0" t="str">
        <f aca="false">IF(INDEX(BookTitle,74)="","",INDEX(BookKey,74))</f>
        <v/>
      </c>
      <c r="B79" s="0" t="str">
        <f aca="false">IF(INDEX(BookTitle,74)="","",INDEX(BookGroup,74))</f>
        <v/>
      </c>
      <c r="C79" s="0" t="str">
        <f aca="false">IF(INDEX(BookTitle,74)="","",INDEX(BookCategory,74))</f>
        <v/>
      </c>
      <c r="D79" s="56" t="str">
        <f aca="false">IF(INDEX(BookTitle,74)="","",INDEX(BookTotal,74)*'5. Scenarios'!$B$6/(1+ProductivityDefault*('5. Scenarios'!$B$11-1)))</f>
        <v/>
      </c>
      <c r="E79" s="57" t="str">
        <f aca="false">IF($D79="","",INDEX(BookRate,74)*(1+'5. Scenarios'!$B$10)*$D79)</f>
        <v/>
      </c>
      <c r="F79" s="57" t="str">
        <f aca="false">IF($E79="","",SUMIFS($E$6:$E$2405,$A$6:$A$2405,"&lt;="&amp;$A79))</f>
        <v/>
      </c>
      <c r="G79" s="57" t="str">
        <f aca="false">IF($E79="","",IF($F79&lt;=BankCostEnvelope*'5. Scenarios'!$B$7,1,0))</f>
        <v/>
      </c>
      <c r="H79" s="57" t="str">
        <f aca="false">IF($D79="","",INDEX(BookRate,74)*(1+'5. Scenarios'!$B$10)*(INDEX(BookQ1,74)*(5-MIN(4,1+'5. Scenarios'!$B$8))/4+INDEX(BookQ2,74)*(5-MIN(4,2+'5. Scenarios'!$B$8))/4+INDEX(BookQ3,74)*(5-MIN(4,3+'5. Scenarios'!$B$8))/4+INDEX(BookQ4,74)*(5-MIN(4,4+'5. Scenarios'!$B$8))/4)*'5. Scenarios'!$B$6/(1+ProductivityDefault*('5. Scenarios'!$B$11-1))+INDEX(BookOneOff,74)*$D79)</f>
        <v/>
      </c>
      <c r="I79" s="56" t="str">
        <f aca="false">IF(INDEX(BookTitle,74)="","",INDEX(BookTotal,74)*'5. Scenarios'!$C$6/(1+ProductivityDefault*('5. Scenarios'!$C$11-1)))</f>
        <v/>
      </c>
      <c r="J79" s="57" t="str">
        <f aca="false">IF($I79="","",INDEX(BookRate,74)*(1+'5. Scenarios'!$C$10)*$I79)</f>
        <v/>
      </c>
      <c r="K79" s="57" t="str">
        <f aca="false">IF($J79="","",SUMIFS($J$6:$J$2405,$A$6:$A$2405,"&lt;="&amp;$A79))</f>
        <v/>
      </c>
      <c r="L79" s="57" t="str">
        <f aca="false">IF($J79="","",IF($K79&lt;=BankCostEnvelope*'5. Scenarios'!$C$7,1,0))</f>
        <v/>
      </c>
      <c r="M79" s="57" t="str">
        <f aca="false">IF($I79="","",INDEX(BookRate,74)*(1+'5. Scenarios'!$C$10)*(INDEX(BookQ1,74)*(5-MIN(4,1+'5. Scenarios'!$C$8))/4+INDEX(BookQ2,74)*(5-MIN(4,2+'5. Scenarios'!$C$8))/4+INDEX(BookQ3,74)*(5-MIN(4,3+'5. Scenarios'!$C$8))/4+INDEX(BookQ4,74)*(5-MIN(4,4+'5. Scenarios'!$C$8))/4)*'5. Scenarios'!$C$6/(1+ProductivityDefault*('5. Scenarios'!$C$11-1))+INDEX(BookOneOff,74)*$I79)</f>
        <v/>
      </c>
      <c r="N79" s="56" t="str">
        <f aca="false">IF(INDEX(BookTitle,74)="","",INDEX(BookTotal,74)*'5. Scenarios'!$D$6/(1+ProductivityDefault*('5. Scenarios'!$D$11-1)))</f>
        <v/>
      </c>
      <c r="O79" s="57" t="str">
        <f aca="false">IF($N79="","",INDEX(BookRate,74)*(1+'5. Scenarios'!$D$10)*$N79)</f>
        <v/>
      </c>
      <c r="P79" s="57" t="str">
        <f aca="false">IF($O79="","",SUMIFS($O$6:$O$2405,$A$6:$A$2405,"&lt;="&amp;$A79))</f>
        <v/>
      </c>
      <c r="Q79" s="57" t="str">
        <f aca="false">IF($O79="","",IF($P79&lt;=BankCostEnvelope*'5. Scenarios'!$D$7,1,0))</f>
        <v/>
      </c>
      <c r="R79" s="57" t="str">
        <f aca="false">IF($N79="","",INDEX(BookRate,74)*(1+'5. Scenarios'!$D$10)*(INDEX(BookQ1,74)*(5-MIN(4,1+'5. Scenarios'!$D$8))/4+INDEX(BookQ2,74)*(5-MIN(4,2+'5. Scenarios'!$D$8))/4+INDEX(BookQ3,74)*(5-MIN(4,3+'5. Scenarios'!$D$8))/4+INDEX(BookQ4,74)*(5-MIN(4,4+'5. Scenarios'!$D$8))/4)*'5. Scenarios'!$D$6/(1+ProductivityDefault*('5. Scenarios'!$D$11-1))+INDEX(BookOneOff,74)*$N79)</f>
        <v/>
      </c>
      <c r="S79" s="56" t="str">
        <f aca="false">IF(INDEX(BookTitle,74)="","",INDEX(BookTotal,74)*'5. Scenarios'!$E$6/(1+ProductivityDefault*('5. Scenarios'!$E$11-1)))</f>
        <v/>
      </c>
      <c r="T79" s="57" t="str">
        <f aca="false">IF($S79="","",INDEX(BookRate,74)*(1+'5. Scenarios'!$E$10)*$S79)</f>
        <v/>
      </c>
      <c r="U79" s="57" t="str">
        <f aca="false">IF($T79="","",SUMIFS($T$6:$T$2405,$A$6:$A$2405,"&lt;="&amp;$A79))</f>
        <v/>
      </c>
      <c r="V79" s="57" t="str">
        <f aca="false">IF($T79="","",IF($U79&lt;=BankCostEnvelope*'5. Scenarios'!$E$7,1,0))</f>
        <v/>
      </c>
      <c r="W79" s="57" t="str">
        <f aca="false">IF($S79="","",INDEX(BookRate,74)*(1+'5. Scenarios'!$E$10)*(INDEX(BookQ1,74)*(5-MIN(4,1+'5. Scenarios'!$E$8))/4+INDEX(BookQ2,74)*(5-MIN(4,2+'5. Scenarios'!$E$8))/4+INDEX(BookQ3,74)*(5-MIN(4,3+'5. Scenarios'!$E$8))/4+INDEX(BookQ4,74)*(5-MIN(4,4+'5. Scenarios'!$E$8))/4)*'5. Scenarios'!$E$6/(1+ProductivityDefault*('5. Scenarios'!$E$11-1))+INDEX(BookOneOff,74)*$S79)</f>
        <v/>
      </c>
    </row>
    <row r="80" customFormat="false" ht="15" hidden="false" customHeight="false" outlineLevel="0" collapsed="false">
      <c r="A80" s="0" t="str">
        <f aca="false">IF(INDEX(BookTitle,75)="","",INDEX(BookKey,75))</f>
        <v/>
      </c>
      <c r="B80" s="0" t="str">
        <f aca="false">IF(INDEX(BookTitle,75)="","",INDEX(BookGroup,75))</f>
        <v/>
      </c>
      <c r="C80" s="0" t="str">
        <f aca="false">IF(INDEX(BookTitle,75)="","",INDEX(BookCategory,75))</f>
        <v/>
      </c>
      <c r="D80" s="56" t="str">
        <f aca="false">IF(INDEX(BookTitle,75)="","",INDEX(BookTotal,75)*'5. Scenarios'!$B$6/(1+ProductivityDefault*('5. Scenarios'!$B$11-1)))</f>
        <v/>
      </c>
      <c r="E80" s="57" t="str">
        <f aca="false">IF($D80="","",INDEX(BookRate,75)*(1+'5. Scenarios'!$B$10)*$D80)</f>
        <v/>
      </c>
      <c r="F80" s="57" t="str">
        <f aca="false">IF($E80="","",SUMIFS($E$6:$E$2405,$A$6:$A$2405,"&lt;="&amp;$A80))</f>
        <v/>
      </c>
      <c r="G80" s="57" t="str">
        <f aca="false">IF($E80="","",IF($F80&lt;=BankCostEnvelope*'5. Scenarios'!$B$7,1,0))</f>
        <v/>
      </c>
      <c r="H80" s="57" t="str">
        <f aca="false">IF($D80="","",INDEX(BookRate,75)*(1+'5. Scenarios'!$B$10)*(INDEX(BookQ1,75)*(5-MIN(4,1+'5. Scenarios'!$B$8))/4+INDEX(BookQ2,75)*(5-MIN(4,2+'5. Scenarios'!$B$8))/4+INDEX(BookQ3,75)*(5-MIN(4,3+'5. Scenarios'!$B$8))/4+INDEX(BookQ4,75)*(5-MIN(4,4+'5. Scenarios'!$B$8))/4)*'5. Scenarios'!$B$6/(1+ProductivityDefault*('5. Scenarios'!$B$11-1))+INDEX(BookOneOff,75)*$D80)</f>
        <v/>
      </c>
      <c r="I80" s="56" t="str">
        <f aca="false">IF(INDEX(BookTitle,75)="","",INDEX(BookTotal,75)*'5. Scenarios'!$C$6/(1+ProductivityDefault*('5. Scenarios'!$C$11-1)))</f>
        <v/>
      </c>
      <c r="J80" s="57" t="str">
        <f aca="false">IF($I80="","",INDEX(BookRate,75)*(1+'5. Scenarios'!$C$10)*$I80)</f>
        <v/>
      </c>
      <c r="K80" s="57" t="str">
        <f aca="false">IF($J80="","",SUMIFS($J$6:$J$2405,$A$6:$A$2405,"&lt;="&amp;$A80))</f>
        <v/>
      </c>
      <c r="L80" s="57" t="str">
        <f aca="false">IF($J80="","",IF($K80&lt;=BankCostEnvelope*'5. Scenarios'!$C$7,1,0))</f>
        <v/>
      </c>
      <c r="M80" s="57" t="str">
        <f aca="false">IF($I80="","",INDEX(BookRate,75)*(1+'5. Scenarios'!$C$10)*(INDEX(BookQ1,75)*(5-MIN(4,1+'5. Scenarios'!$C$8))/4+INDEX(BookQ2,75)*(5-MIN(4,2+'5. Scenarios'!$C$8))/4+INDEX(BookQ3,75)*(5-MIN(4,3+'5. Scenarios'!$C$8))/4+INDEX(BookQ4,75)*(5-MIN(4,4+'5. Scenarios'!$C$8))/4)*'5. Scenarios'!$C$6/(1+ProductivityDefault*('5. Scenarios'!$C$11-1))+INDEX(BookOneOff,75)*$I80)</f>
        <v/>
      </c>
      <c r="N80" s="56" t="str">
        <f aca="false">IF(INDEX(BookTitle,75)="","",INDEX(BookTotal,75)*'5. Scenarios'!$D$6/(1+ProductivityDefault*('5. Scenarios'!$D$11-1)))</f>
        <v/>
      </c>
      <c r="O80" s="57" t="str">
        <f aca="false">IF($N80="","",INDEX(BookRate,75)*(1+'5. Scenarios'!$D$10)*$N80)</f>
        <v/>
      </c>
      <c r="P80" s="57" t="str">
        <f aca="false">IF($O80="","",SUMIFS($O$6:$O$2405,$A$6:$A$2405,"&lt;="&amp;$A80))</f>
        <v/>
      </c>
      <c r="Q80" s="57" t="str">
        <f aca="false">IF($O80="","",IF($P80&lt;=BankCostEnvelope*'5. Scenarios'!$D$7,1,0))</f>
        <v/>
      </c>
      <c r="R80" s="57" t="str">
        <f aca="false">IF($N80="","",INDEX(BookRate,75)*(1+'5. Scenarios'!$D$10)*(INDEX(BookQ1,75)*(5-MIN(4,1+'5. Scenarios'!$D$8))/4+INDEX(BookQ2,75)*(5-MIN(4,2+'5. Scenarios'!$D$8))/4+INDEX(BookQ3,75)*(5-MIN(4,3+'5. Scenarios'!$D$8))/4+INDEX(BookQ4,75)*(5-MIN(4,4+'5. Scenarios'!$D$8))/4)*'5. Scenarios'!$D$6/(1+ProductivityDefault*('5. Scenarios'!$D$11-1))+INDEX(BookOneOff,75)*$N80)</f>
        <v/>
      </c>
      <c r="S80" s="56" t="str">
        <f aca="false">IF(INDEX(BookTitle,75)="","",INDEX(BookTotal,75)*'5. Scenarios'!$E$6/(1+ProductivityDefault*('5. Scenarios'!$E$11-1)))</f>
        <v/>
      </c>
      <c r="T80" s="57" t="str">
        <f aca="false">IF($S80="","",INDEX(BookRate,75)*(1+'5. Scenarios'!$E$10)*$S80)</f>
        <v/>
      </c>
      <c r="U80" s="57" t="str">
        <f aca="false">IF($T80="","",SUMIFS($T$6:$T$2405,$A$6:$A$2405,"&lt;="&amp;$A80))</f>
        <v/>
      </c>
      <c r="V80" s="57" t="str">
        <f aca="false">IF($T80="","",IF($U80&lt;=BankCostEnvelope*'5. Scenarios'!$E$7,1,0))</f>
        <v/>
      </c>
      <c r="W80" s="57" t="str">
        <f aca="false">IF($S80="","",INDEX(BookRate,75)*(1+'5. Scenarios'!$E$10)*(INDEX(BookQ1,75)*(5-MIN(4,1+'5. Scenarios'!$E$8))/4+INDEX(BookQ2,75)*(5-MIN(4,2+'5. Scenarios'!$E$8))/4+INDEX(BookQ3,75)*(5-MIN(4,3+'5. Scenarios'!$E$8))/4+INDEX(BookQ4,75)*(5-MIN(4,4+'5. Scenarios'!$E$8))/4)*'5. Scenarios'!$E$6/(1+ProductivityDefault*('5. Scenarios'!$E$11-1))+INDEX(BookOneOff,75)*$S80)</f>
        <v/>
      </c>
    </row>
    <row r="81" customFormat="false" ht="15" hidden="false" customHeight="false" outlineLevel="0" collapsed="false">
      <c r="A81" s="0" t="str">
        <f aca="false">IF(INDEX(BookTitle,76)="","",INDEX(BookKey,76))</f>
        <v/>
      </c>
      <c r="B81" s="0" t="str">
        <f aca="false">IF(INDEX(BookTitle,76)="","",INDEX(BookGroup,76))</f>
        <v/>
      </c>
      <c r="C81" s="0" t="str">
        <f aca="false">IF(INDEX(BookTitle,76)="","",INDEX(BookCategory,76))</f>
        <v/>
      </c>
      <c r="D81" s="56" t="str">
        <f aca="false">IF(INDEX(BookTitle,76)="","",INDEX(BookTotal,76)*'5. Scenarios'!$B$6/(1+ProductivityDefault*('5. Scenarios'!$B$11-1)))</f>
        <v/>
      </c>
      <c r="E81" s="57" t="str">
        <f aca="false">IF($D81="","",INDEX(BookRate,76)*(1+'5. Scenarios'!$B$10)*$D81)</f>
        <v/>
      </c>
      <c r="F81" s="57" t="str">
        <f aca="false">IF($E81="","",SUMIFS($E$6:$E$2405,$A$6:$A$2405,"&lt;="&amp;$A81))</f>
        <v/>
      </c>
      <c r="G81" s="57" t="str">
        <f aca="false">IF($E81="","",IF($F81&lt;=BankCostEnvelope*'5. Scenarios'!$B$7,1,0))</f>
        <v/>
      </c>
      <c r="H81" s="57" t="str">
        <f aca="false">IF($D81="","",INDEX(BookRate,76)*(1+'5. Scenarios'!$B$10)*(INDEX(BookQ1,76)*(5-MIN(4,1+'5. Scenarios'!$B$8))/4+INDEX(BookQ2,76)*(5-MIN(4,2+'5. Scenarios'!$B$8))/4+INDEX(BookQ3,76)*(5-MIN(4,3+'5. Scenarios'!$B$8))/4+INDEX(BookQ4,76)*(5-MIN(4,4+'5. Scenarios'!$B$8))/4)*'5. Scenarios'!$B$6/(1+ProductivityDefault*('5. Scenarios'!$B$11-1))+INDEX(BookOneOff,76)*$D81)</f>
        <v/>
      </c>
      <c r="I81" s="56" t="str">
        <f aca="false">IF(INDEX(BookTitle,76)="","",INDEX(BookTotal,76)*'5. Scenarios'!$C$6/(1+ProductivityDefault*('5. Scenarios'!$C$11-1)))</f>
        <v/>
      </c>
      <c r="J81" s="57" t="str">
        <f aca="false">IF($I81="","",INDEX(BookRate,76)*(1+'5. Scenarios'!$C$10)*$I81)</f>
        <v/>
      </c>
      <c r="K81" s="57" t="str">
        <f aca="false">IF($J81="","",SUMIFS($J$6:$J$2405,$A$6:$A$2405,"&lt;="&amp;$A81))</f>
        <v/>
      </c>
      <c r="L81" s="57" t="str">
        <f aca="false">IF($J81="","",IF($K81&lt;=BankCostEnvelope*'5. Scenarios'!$C$7,1,0))</f>
        <v/>
      </c>
      <c r="M81" s="57" t="str">
        <f aca="false">IF($I81="","",INDEX(BookRate,76)*(1+'5. Scenarios'!$C$10)*(INDEX(BookQ1,76)*(5-MIN(4,1+'5. Scenarios'!$C$8))/4+INDEX(BookQ2,76)*(5-MIN(4,2+'5. Scenarios'!$C$8))/4+INDEX(BookQ3,76)*(5-MIN(4,3+'5. Scenarios'!$C$8))/4+INDEX(BookQ4,76)*(5-MIN(4,4+'5. Scenarios'!$C$8))/4)*'5. Scenarios'!$C$6/(1+ProductivityDefault*('5. Scenarios'!$C$11-1))+INDEX(BookOneOff,76)*$I81)</f>
        <v/>
      </c>
      <c r="N81" s="56" t="str">
        <f aca="false">IF(INDEX(BookTitle,76)="","",INDEX(BookTotal,76)*'5. Scenarios'!$D$6/(1+ProductivityDefault*('5. Scenarios'!$D$11-1)))</f>
        <v/>
      </c>
      <c r="O81" s="57" t="str">
        <f aca="false">IF($N81="","",INDEX(BookRate,76)*(1+'5. Scenarios'!$D$10)*$N81)</f>
        <v/>
      </c>
      <c r="P81" s="57" t="str">
        <f aca="false">IF($O81="","",SUMIFS($O$6:$O$2405,$A$6:$A$2405,"&lt;="&amp;$A81))</f>
        <v/>
      </c>
      <c r="Q81" s="57" t="str">
        <f aca="false">IF($O81="","",IF($P81&lt;=BankCostEnvelope*'5. Scenarios'!$D$7,1,0))</f>
        <v/>
      </c>
      <c r="R81" s="57" t="str">
        <f aca="false">IF($N81="","",INDEX(BookRate,76)*(1+'5. Scenarios'!$D$10)*(INDEX(BookQ1,76)*(5-MIN(4,1+'5. Scenarios'!$D$8))/4+INDEX(BookQ2,76)*(5-MIN(4,2+'5. Scenarios'!$D$8))/4+INDEX(BookQ3,76)*(5-MIN(4,3+'5. Scenarios'!$D$8))/4+INDEX(BookQ4,76)*(5-MIN(4,4+'5. Scenarios'!$D$8))/4)*'5. Scenarios'!$D$6/(1+ProductivityDefault*('5. Scenarios'!$D$11-1))+INDEX(BookOneOff,76)*$N81)</f>
        <v/>
      </c>
      <c r="S81" s="56" t="str">
        <f aca="false">IF(INDEX(BookTitle,76)="","",INDEX(BookTotal,76)*'5. Scenarios'!$E$6/(1+ProductivityDefault*('5. Scenarios'!$E$11-1)))</f>
        <v/>
      </c>
      <c r="T81" s="57" t="str">
        <f aca="false">IF($S81="","",INDEX(BookRate,76)*(1+'5. Scenarios'!$E$10)*$S81)</f>
        <v/>
      </c>
      <c r="U81" s="57" t="str">
        <f aca="false">IF($T81="","",SUMIFS($T$6:$T$2405,$A$6:$A$2405,"&lt;="&amp;$A81))</f>
        <v/>
      </c>
      <c r="V81" s="57" t="str">
        <f aca="false">IF($T81="","",IF($U81&lt;=BankCostEnvelope*'5. Scenarios'!$E$7,1,0))</f>
        <v/>
      </c>
      <c r="W81" s="57" t="str">
        <f aca="false">IF($S81="","",INDEX(BookRate,76)*(1+'5. Scenarios'!$E$10)*(INDEX(BookQ1,76)*(5-MIN(4,1+'5. Scenarios'!$E$8))/4+INDEX(BookQ2,76)*(5-MIN(4,2+'5. Scenarios'!$E$8))/4+INDEX(BookQ3,76)*(5-MIN(4,3+'5. Scenarios'!$E$8))/4+INDEX(BookQ4,76)*(5-MIN(4,4+'5. Scenarios'!$E$8))/4)*'5. Scenarios'!$E$6/(1+ProductivityDefault*('5. Scenarios'!$E$11-1))+INDEX(BookOneOff,76)*$S81)</f>
        <v/>
      </c>
    </row>
    <row r="82" customFormat="false" ht="15" hidden="false" customHeight="false" outlineLevel="0" collapsed="false">
      <c r="A82" s="0" t="str">
        <f aca="false">IF(INDEX(BookTitle,77)="","",INDEX(BookKey,77))</f>
        <v/>
      </c>
      <c r="B82" s="0" t="str">
        <f aca="false">IF(INDEX(BookTitle,77)="","",INDEX(BookGroup,77))</f>
        <v/>
      </c>
      <c r="C82" s="0" t="str">
        <f aca="false">IF(INDEX(BookTitle,77)="","",INDEX(BookCategory,77))</f>
        <v/>
      </c>
      <c r="D82" s="56" t="str">
        <f aca="false">IF(INDEX(BookTitle,77)="","",INDEX(BookTotal,77)*'5. Scenarios'!$B$6/(1+ProductivityDefault*('5. Scenarios'!$B$11-1)))</f>
        <v/>
      </c>
      <c r="E82" s="57" t="str">
        <f aca="false">IF($D82="","",INDEX(BookRate,77)*(1+'5. Scenarios'!$B$10)*$D82)</f>
        <v/>
      </c>
      <c r="F82" s="57" t="str">
        <f aca="false">IF($E82="","",SUMIFS($E$6:$E$2405,$A$6:$A$2405,"&lt;="&amp;$A82))</f>
        <v/>
      </c>
      <c r="G82" s="57" t="str">
        <f aca="false">IF($E82="","",IF($F82&lt;=BankCostEnvelope*'5. Scenarios'!$B$7,1,0))</f>
        <v/>
      </c>
      <c r="H82" s="57" t="str">
        <f aca="false">IF($D82="","",INDEX(BookRate,77)*(1+'5. Scenarios'!$B$10)*(INDEX(BookQ1,77)*(5-MIN(4,1+'5. Scenarios'!$B$8))/4+INDEX(BookQ2,77)*(5-MIN(4,2+'5. Scenarios'!$B$8))/4+INDEX(BookQ3,77)*(5-MIN(4,3+'5. Scenarios'!$B$8))/4+INDEX(BookQ4,77)*(5-MIN(4,4+'5. Scenarios'!$B$8))/4)*'5. Scenarios'!$B$6/(1+ProductivityDefault*('5. Scenarios'!$B$11-1))+INDEX(BookOneOff,77)*$D82)</f>
        <v/>
      </c>
      <c r="I82" s="56" t="str">
        <f aca="false">IF(INDEX(BookTitle,77)="","",INDEX(BookTotal,77)*'5. Scenarios'!$C$6/(1+ProductivityDefault*('5. Scenarios'!$C$11-1)))</f>
        <v/>
      </c>
      <c r="J82" s="57" t="str">
        <f aca="false">IF($I82="","",INDEX(BookRate,77)*(1+'5. Scenarios'!$C$10)*$I82)</f>
        <v/>
      </c>
      <c r="K82" s="57" t="str">
        <f aca="false">IF($J82="","",SUMIFS($J$6:$J$2405,$A$6:$A$2405,"&lt;="&amp;$A82))</f>
        <v/>
      </c>
      <c r="L82" s="57" t="str">
        <f aca="false">IF($J82="","",IF($K82&lt;=BankCostEnvelope*'5. Scenarios'!$C$7,1,0))</f>
        <v/>
      </c>
      <c r="M82" s="57" t="str">
        <f aca="false">IF($I82="","",INDEX(BookRate,77)*(1+'5. Scenarios'!$C$10)*(INDEX(BookQ1,77)*(5-MIN(4,1+'5. Scenarios'!$C$8))/4+INDEX(BookQ2,77)*(5-MIN(4,2+'5. Scenarios'!$C$8))/4+INDEX(BookQ3,77)*(5-MIN(4,3+'5. Scenarios'!$C$8))/4+INDEX(BookQ4,77)*(5-MIN(4,4+'5. Scenarios'!$C$8))/4)*'5. Scenarios'!$C$6/(1+ProductivityDefault*('5. Scenarios'!$C$11-1))+INDEX(BookOneOff,77)*$I82)</f>
        <v/>
      </c>
      <c r="N82" s="56" t="str">
        <f aca="false">IF(INDEX(BookTitle,77)="","",INDEX(BookTotal,77)*'5. Scenarios'!$D$6/(1+ProductivityDefault*('5. Scenarios'!$D$11-1)))</f>
        <v/>
      </c>
      <c r="O82" s="57" t="str">
        <f aca="false">IF($N82="","",INDEX(BookRate,77)*(1+'5. Scenarios'!$D$10)*$N82)</f>
        <v/>
      </c>
      <c r="P82" s="57" t="str">
        <f aca="false">IF($O82="","",SUMIFS($O$6:$O$2405,$A$6:$A$2405,"&lt;="&amp;$A82))</f>
        <v/>
      </c>
      <c r="Q82" s="57" t="str">
        <f aca="false">IF($O82="","",IF($P82&lt;=BankCostEnvelope*'5. Scenarios'!$D$7,1,0))</f>
        <v/>
      </c>
      <c r="R82" s="57" t="str">
        <f aca="false">IF($N82="","",INDEX(BookRate,77)*(1+'5. Scenarios'!$D$10)*(INDEX(BookQ1,77)*(5-MIN(4,1+'5. Scenarios'!$D$8))/4+INDEX(BookQ2,77)*(5-MIN(4,2+'5. Scenarios'!$D$8))/4+INDEX(BookQ3,77)*(5-MIN(4,3+'5. Scenarios'!$D$8))/4+INDEX(BookQ4,77)*(5-MIN(4,4+'5. Scenarios'!$D$8))/4)*'5. Scenarios'!$D$6/(1+ProductivityDefault*('5. Scenarios'!$D$11-1))+INDEX(BookOneOff,77)*$N82)</f>
        <v/>
      </c>
      <c r="S82" s="56" t="str">
        <f aca="false">IF(INDEX(BookTitle,77)="","",INDEX(BookTotal,77)*'5. Scenarios'!$E$6/(1+ProductivityDefault*('5. Scenarios'!$E$11-1)))</f>
        <v/>
      </c>
      <c r="T82" s="57" t="str">
        <f aca="false">IF($S82="","",INDEX(BookRate,77)*(1+'5. Scenarios'!$E$10)*$S82)</f>
        <v/>
      </c>
      <c r="U82" s="57" t="str">
        <f aca="false">IF($T82="","",SUMIFS($T$6:$T$2405,$A$6:$A$2405,"&lt;="&amp;$A82))</f>
        <v/>
      </c>
      <c r="V82" s="57" t="str">
        <f aca="false">IF($T82="","",IF($U82&lt;=BankCostEnvelope*'5. Scenarios'!$E$7,1,0))</f>
        <v/>
      </c>
      <c r="W82" s="57" t="str">
        <f aca="false">IF($S82="","",INDEX(BookRate,77)*(1+'5. Scenarios'!$E$10)*(INDEX(BookQ1,77)*(5-MIN(4,1+'5. Scenarios'!$E$8))/4+INDEX(BookQ2,77)*(5-MIN(4,2+'5. Scenarios'!$E$8))/4+INDEX(BookQ3,77)*(5-MIN(4,3+'5. Scenarios'!$E$8))/4+INDEX(BookQ4,77)*(5-MIN(4,4+'5. Scenarios'!$E$8))/4)*'5. Scenarios'!$E$6/(1+ProductivityDefault*('5. Scenarios'!$E$11-1))+INDEX(BookOneOff,77)*$S82)</f>
        <v/>
      </c>
    </row>
    <row r="83" customFormat="false" ht="15" hidden="false" customHeight="false" outlineLevel="0" collapsed="false">
      <c r="A83" s="0" t="str">
        <f aca="false">IF(INDEX(BookTitle,78)="","",INDEX(BookKey,78))</f>
        <v/>
      </c>
      <c r="B83" s="0" t="str">
        <f aca="false">IF(INDEX(BookTitle,78)="","",INDEX(BookGroup,78))</f>
        <v/>
      </c>
      <c r="C83" s="0" t="str">
        <f aca="false">IF(INDEX(BookTitle,78)="","",INDEX(BookCategory,78))</f>
        <v/>
      </c>
      <c r="D83" s="56" t="str">
        <f aca="false">IF(INDEX(BookTitle,78)="","",INDEX(BookTotal,78)*'5. Scenarios'!$B$6/(1+ProductivityDefault*('5. Scenarios'!$B$11-1)))</f>
        <v/>
      </c>
      <c r="E83" s="57" t="str">
        <f aca="false">IF($D83="","",INDEX(BookRate,78)*(1+'5. Scenarios'!$B$10)*$D83)</f>
        <v/>
      </c>
      <c r="F83" s="57" t="str">
        <f aca="false">IF($E83="","",SUMIFS($E$6:$E$2405,$A$6:$A$2405,"&lt;="&amp;$A83))</f>
        <v/>
      </c>
      <c r="G83" s="57" t="str">
        <f aca="false">IF($E83="","",IF($F83&lt;=BankCostEnvelope*'5. Scenarios'!$B$7,1,0))</f>
        <v/>
      </c>
      <c r="H83" s="57" t="str">
        <f aca="false">IF($D83="","",INDEX(BookRate,78)*(1+'5. Scenarios'!$B$10)*(INDEX(BookQ1,78)*(5-MIN(4,1+'5. Scenarios'!$B$8))/4+INDEX(BookQ2,78)*(5-MIN(4,2+'5. Scenarios'!$B$8))/4+INDEX(BookQ3,78)*(5-MIN(4,3+'5. Scenarios'!$B$8))/4+INDEX(BookQ4,78)*(5-MIN(4,4+'5. Scenarios'!$B$8))/4)*'5. Scenarios'!$B$6/(1+ProductivityDefault*('5. Scenarios'!$B$11-1))+INDEX(BookOneOff,78)*$D83)</f>
        <v/>
      </c>
      <c r="I83" s="56" t="str">
        <f aca="false">IF(INDEX(BookTitle,78)="","",INDEX(BookTotal,78)*'5. Scenarios'!$C$6/(1+ProductivityDefault*('5. Scenarios'!$C$11-1)))</f>
        <v/>
      </c>
      <c r="J83" s="57" t="str">
        <f aca="false">IF($I83="","",INDEX(BookRate,78)*(1+'5. Scenarios'!$C$10)*$I83)</f>
        <v/>
      </c>
      <c r="K83" s="57" t="str">
        <f aca="false">IF($J83="","",SUMIFS($J$6:$J$2405,$A$6:$A$2405,"&lt;="&amp;$A83))</f>
        <v/>
      </c>
      <c r="L83" s="57" t="str">
        <f aca="false">IF($J83="","",IF($K83&lt;=BankCostEnvelope*'5. Scenarios'!$C$7,1,0))</f>
        <v/>
      </c>
      <c r="M83" s="57" t="str">
        <f aca="false">IF($I83="","",INDEX(BookRate,78)*(1+'5. Scenarios'!$C$10)*(INDEX(BookQ1,78)*(5-MIN(4,1+'5. Scenarios'!$C$8))/4+INDEX(BookQ2,78)*(5-MIN(4,2+'5. Scenarios'!$C$8))/4+INDEX(BookQ3,78)*(5-MIN(4,3+'5. Scenarios'!$C$8))/4+INDEX(BookQ4,78)*(5-MIN(4,4+'5. Scenarios'!$C$8))/4)*'5. Scenarios'!$C$6/(1+ProductivityDefault*('5. Scenarios'!$C$11-1))+INDEX(BookOneOff,78)*$I83)</f>
        <v/>
      </c>
      <c r="N83" s="56" t="str">
        <f aca="false">IF(INDEX(BookTitle,78)="","",INDEX(BookTotal,78)*'5. Scenarios'!$D$6/(1+ProductivityDefault*('5. Scenarios'!$D$11-1)))</f>
        <v/>
      </c>
      <c r="O83" s="57" t="str">
        <f aca="false">IF($N83="","",INDEX(BookRate,78)*(1+'5. Scenarios'!$D$10)*$N83)</f>
        <v/>
      </c>
      <c r="P83" s="57" t="str">
        <f aca="false">IF($O83="","",SUMIFS($O$6:$O$2405,$A$6:$A$2405,"&lt;="&amp;$A83))</f>
        <v/>
      </c>
      <c r="Q83" s="57" t="str">
        <f aca="false">IF($O83="","",IF($P83&lt;=BankCostEnvelope*'5. Scenarios'!$D$7,1,0))</f>
        <v/>
      </c>
      <c r="R83" s="57" t="str">
        <f aca="false">IF($N83="","",INDEX(BookRate,78)*(1+'5. Scenarios'!$D$10)*(INDEX(BookQ1,78)*(5-MIN(4,1+'5. Scenarios'!$D$8))/4+INDEX(BookQ2,78)*(5-MIN(4,2+'5. Scenarios'!$D$8))/4+INDEX(BookQ3,78)*(5-MIN(4,3+'5. Scenarios'!$D$8))/4+INDEX(BookQ4,78)*(5-MIN(4,4+'5. Scenarios'!$D$8))/4)*'5. Scenarios'!$D$6/(1+ProductivityDefault*('5. Scenarios'!$D$11-1))+INDEX(BookOneOff,78)*$N83)</f>
        <v/>
      </c>
      <c r="S83" s="56" t="str">
        <f aca="false">IF(INDEX(BookTitle,78)="","",INDEX(BookTotal,78)*'5. Scenarios'!$E$6/(1+ProductivityDefault*('5. Scenarios'!$E$11-1)))</f>
        <v/>
      </c>
      <c r="T83" s="57" t="str">
        <f aca="false">IF($S83="","",INDEX(BookRate,78)*(1+'5. Scenarios'!$E$10)*$S83)</f>
        <v/>
      </c>
      <c r="U83" s="57" t="str">
        <f aca="false">IF($T83="","",SUMIFS($T$6:$T$2405,$A$6:$A$2405,"&lt;="&amp;$A83))</f>
        <v/>
      </c>
      <c r="V83" s="57" t="str">
        <f aca="false">IF($T83="","",IF($U83&lt;=BankCostEnvelope*'5. Scenarios'!$E$7,1,0))</f>
        <v/>
      </c>
      <c r="W83" s="57" t="str">
        <f aca="false">IF($S83="","",INDEX(BookRate,78)*(1+'5. Scenarios'!$E$10)*(INDEX(BookQ1,78)*(5-MIN(4,1+'5. Scenarios'!$E$8))/4+INDEX(BookQ2,78)*(5-MIN(4,2+'5. Scenarios'!$E$8))/4+INDEX(BookQ3,78)*(5-MIN(4,3+'5. Scenarios'!$E$8))/4+INDEX(BookQ4,78)*(5-MIN(4,4+'5. Scenarios'!$E$8))/4)*'5. Scenarios'!$E$6/(1+ProductivityDefault*('5. Scenarios'!$E$11-1))+INDEX(BookOneOff,78)*$S83)</f>
        <v/>
      </c>
    </row>
    <row r="84" customFormat="false" ht="15" hidden="false" customHeight="false" outlineLevel="0" collapsed="false">
      <c r="A84" s="0" t="str">
        <f aca="false">IF(INDEX(BookTitle,79)="","",INDEX(BookKey,79))</f>
        <v/>
      </c>
      <c r="B84" s="0" t="str">
        <f aca="false">IF(INDEX(BookTitle,79)="","",INDEX(BookGroup,79))</f>
        <v/>
      </c>
      <c r="C84" s="0" t="str">
        <f aca="false">IF(INDEX(BookTitle,79)="","",INDEX(BookCategory,79))</f>
        <v/>
      </c>
      <c r="D84" s="56" t="str">
        <f aca="false">IF(INDEX(BookTitle,79)="","",INDEX(BookTotal,79)*'5. Scenarios'!$B$6/(1+ProductivityDefault*('5. Scenarios'!$B$11-1)))</f>
        <v/>
      </c>
      <c r="E84" s="57" t="str">
        <f aca="false">IF($D84="","",INDEX(BookRate,79)*(1+'5. Scenarios'!$B$10)*$D84)</f>
        <v/>
      </c>
      <c r="F84" s="57" t="str">
        <f aca="false">IF($E84="","",SUMIFS($E$6:$E$2405,$A$6:$A$2405,"&lt;="&amp;$A84))</f>
        <v/>
      </c>
      <c r="G84" s="57" t="str">
        <f aca="false">IF($E84="","",IF($F84&lt;=BankCostEnvelope*'5. Scenarios'!$B$7,1,0))</f>
        <v/>
      </c>
      <c r="H84" s="57" t="str">
        <f aca="false">IF($D84="","",INDEX(BookRate,79)*(1+'5. Scenarios'!$B$10)*(INDEX(BookQ1,79)*(5-MIN(4,1+'5. Scenarios'!$B$8))/4+INDEX(BookQ2,79)*(5-MIN(4,2+'5. Scenarios'!$B$8))/4+INDEX(BookQ3,79)*(5-MIN(4,3+'5. Scenarios'!$B$8))/4+INDEX(BookQ4,79)*(5-MIN(4,4+'5. Scenarios'!$B$8))/4)*'5. Scenarios'!$B$6/(1+ProductivityDefault*('5. Scenarios'!$B$11-1))+INDEX(BookOneOff,79)*$D84)</f>
        <v/>
      </c>
      <c r="I84" s="56" t="str">
        <f aca="false">IF(INDEX(BookTitle,79)="","",INDEX(BookTotal,79)*'5. Scenarios'!$C$6/(1+ProductivityDefault*('5. Scenarios'!$C$11-1)))</f>
        <v/>
      </c>
      <c r="J84" s="57" t="str">
        <f aca="false">IF($I84="","",INDEX(BookRate,79)*(1+'5. Scenarios'!$C$10)*$I84)</f>
        <v/>
      </c>
      <c r="K84" s="57" t="str">
        <f aca="false">IF($J84="","",SUMIFS($J$6:$J$2405,$A$6:$A$2405,"&lt;="&amp;$A84))</f>
        <v/>
      </c>
      <c r="L84" s="57" t="str">
        <f aca="false">IF($J84="","",IF($K84&lt;=BankCostEnvelope*'5. Scenarios'!$C$7,1,0))</f>
        <v/>
      </c>
      <c r="M84" s="57" t="str">
        <f aca="false">IF($I84="","",INDEX(BookRate,79)*(1+'5. Scenarios'!$C$10)*(INDEX(BookQ1,79)*(5-MIN(4,1+'5. Scenarios'!$C$8))/4+INDEX(BookQ2,79)*(5-MIN(4,2+'5. Scenarios'!$C$8))/4+INDEX(BookQ3,79)*(5-MIN(4,3+'5. Scenarios'!$C$8))/4+INDEX(BookQ4,79)*(5-MIN(4,4+'5. Scenarios'!$C$8))/4)*'5. Scenarios'!$C$6/(1+ProductivityDefault*('5. Scenarios'!$C$11-1))+INDEX(BookOneOff,79)*$I84)</f>
        <v/>
      </c>
      <c r="N84" s="56" t="str">
        <f aca="false">IF(INDEX(BookTitle,79)="","",INDEX(BookTotal,79)*'5. Scenarios'!$D$6/(1+ProductivityDefault*('5. Scenarios'!$D$11-1)))</f>
        <v/>
      </c>
      <c r="O84" s="57" t="str">
        <f aca="false">IF($N84="","",INDEX(BookRate,79)*(1+'5. Scenarios'!$D$10)*$N84)</f>
        <v/>
      </c>
      <c r="P84" s="57" t="str">
        <f aca="false">IF($O84="","",SUMIFS($O$6:$O$2405,$A$6:$A$2405,"&lt;="&amp;$A84))</f>
        <v/>
      </c>
      <c r="Q84" s="57" t="str">
        <f aca="false">IF($O84="","",IF($P84&lt;=BankCostEnvelope*'5. Scenarios'!$D$7,1,0))</f>
        <v/>
      </c>
      <c r="R84" s="57" t="str">
        <f aca="false">IF($N84="","",INDEX(BookRate,79)*(1+'5. Scenarios'!$D$10)*(INDEX(BookQ1,79)*(5-MIN(4,1+'5. Scenarios'!$D$8))/4+INDEX(BookQ2,79)*(5-MIN(4,2+'5. Scenarios'!$D$8))/4+INDEX(BookQ3,79)*(5-MIN(4,3+'5. Scenarios'!$D$8))/4+INDEX(BookQ4,79)*(5-MIN(4,4+'5. Scenarios'!$D$8))/4)*'5. Scenarios'!$D$6/(1+ProductivityDefault*('5. Scenarios'!$D$11-1))+INDEX(BookOneOff,79)*$N84)</f>
        <v/>
      </c>
      <c r="S84" s="56" t="str">
        <f aca="false">IF(INDEX(BookTitle,79)="","",INDEX(BookTotal,79)*'5. Scenarios'!$E$6/(1+ProductivityDefault*('5. Scenarios'!$E$11-1)))</f>
        <v/>
      </c>
      <c r="T84" s="57" t="str">
        <f aca="false">IF($S84="","",INDEX(BookRate,79)*(1+'5. Scenarios'!$E$10)*$S84)</f>
        <v/>
      </c>
      <c r="U84" s="57" t="str">
        <f aca="false">IF($T84="","",SUMIFS($T$6:$T$2405,$A$6:$A$2405,"&lt;="&amp;$A84))</f>
        <v/>
      </c>
      <c r="V84" s="57" t="str">
        <f aca="false">IF($T84="","",IF($U84&lt;=BankCostEnvelope*'5. Scenarios'!$E$7,1,0))</f>
        <v/>
      </c>
      <c r="W84" s="57" t="str">
        <f aca="false">IF($S84="","",INDEX(BookRate,79)*(1+'5. Scenarios'!$E$10)*(INDEX(BookQ1,79)*(5-MIN(4,1+'5. Scenarios'!$E$8))/4+INDEX(BookQ2,79)*(5-MIN(4,2+'5. Scenarios'!$E$8))/4+INDEX(BookQ3,79)*(5-MIN(4,3+'5. Scenarios'!$E$8))/4+INDEX(BookQ4,79)*(5-MIN(4,4+'5. Scenarios'!$E$8))/4)*'5. Scenarios'!$E$6/(1+ProductivityDefault*('5. Scenarios'!$E$11-1))+INDEX(BookOneOff,79)*$S84)</f>
        <v/>
      </c>
    </row>
    <row r="85" customFormat="false" ht="15" hidden="false" customHeight="false" outlineLevel="0" collapsed="false">
      <c r="A85" s="0" t="str">
        <f aca="false">IF(INDEX(BookTitle,80)="","",INDEX(BookKey,80))</f>
        <v/>
      </c>
      <c r="B85" s="0" t="str">
        <f aca="false">IF(INDEX(BookTitle,80)="","",INDEX(BookGroup,80))</f>
        <v/>
      </c>
      <c r="C85" s="0" t="str">
        <f aca="false">IF(INDEX(BookTitle,80)="","",INDEX(BookCategory,80))</f>
        <v/>
      </c>
      <c r="D85" s="56" t="str">
        <f aca="false">IF(INDEX(BookTitle,80)="","",INDEX(BookTotal,80)*'5. Scenarios'!$B$6/(1+ProductivityDefault*('5. Scenarios'!$B$11-1)))</f>
        <v/>
      </c>
      <c r="E85" s="57" t="str">
        <f aca="false">IF($D85="","",INDEX(BookRate,80)*(1+'5. Scenarios'!$B$10)*$D85)</f>
        <v/>
      </c>
      <c r="F85" s="57" t="str">
        <f aca="false">IF($E85="","",SUMIFS($E$6:$E$2405,$A$6:$A$2405,"&lt;="&amp;$A85))</f>
        <v/>
      </c>
      <c r="G85" s="57" t="str">
        <f aca="false">IF($E85="","",IF($F85&lt;=BankCostEnvelope*'5. Scenarios'!$B$7,1,0))</f>
        <v/>
      </c>
      <c r="H85" s="57" t="str">
        <f aca="false">IF($D85="","",INDEX(BookRate,80)*(1+'5. Scenarios'!$B$10)*(INDEX(BookQ1,80)*(5-MIN(4,1+'5. Scenarios'!$B$8))/4+INDEX(BookQ2,80)*(5-MIN(4,2+'5. Scenarios'!$B$8))/4+INDEX(BookQ3,80)*(5-MIN(4,3+'5. Scenarios'!$B$8))/4+INDEX(BookQ4,80)*(5-MIN(4,4+'5. Scenarios'!$B$8))/4)*'5. Scenarios'!$B$6/(1+ProductivityDefault*('5. Scenarios'!$B$11-1))+INDEX(BookOneOff,80)*$D85)</f>
        <v/>
      </c>
      <c r="I85" s="56" t="str">
        <f aca="false">IF(INDEX(BookTitle,80)="","",INDEX(BookTotal,80)*'5. Scenarios'!$C$6/(1+ProductivityDefault*('5. Scenarios'!$C$11-1)))</f>
        <v/>
      </c>
      <c r="J85" s="57" t="str">
        <f aca="false">IF($I85="","",INDEX(BookRate,80)*(1+'5. Scenarios'!$C$10)*$I85)</f>
        <v/>
      </c>
      <c r="K85" s="57" t="str">
        <f aca="false">IF($J85="","",SUMIFS($J$6:$J$2405,$A$6:$A$2405,"&lt;="&amp;$A85))</f>
        <v/>
      </c>
      <c r="L85" s="57" t="str">
        <f aca="false">IF($J85="","",IF($K85&lt;=BankCostEnvelope*'5. Scenarios'!$C$7,1,0))</f>
        <v/>
      </c>
      <c r="M85" s="57" t="str">
        <f aca="false">IF($I85="","",INDEX(BookRate,80)*(1+'5. Scenarios'!$C$10)*(INDEX(BookQ1,80)*(5-MIN(4,1+'5. Scenarios'!$C$8))/4+INDEX(BookQ2,80)*(5-MIN(4,2+'5. Scenarios'!$C$8))/4+INDEX(BookQ3,80)*(5-MIN(4,3+'5. Scenarios'!$C$8))/4+INDEX(BookQ4,80)*(5-MIN(4,4+'5. Scenarios'!$C$8))/4)*'5. Scenarios'!$C$6/(1+ProductivityDefault*('5. Scenarios'!$C$11-1))+INDEX(BookOneOff,80)*$I85)</f>
        <v/>
      </c>
      <c r="N85" s="56" t="str">
        <f aca="false">IF(INDEX(BookTitle,80)="","",INDEX(BookTotal,80)*'5. Scenarios'!$D$6/(1+ProductivityDefault*('5. Scenarios'!$D$11-1)))</f>
        <v/>
      </c>
      <c r="O85" s="57" t="str">
        <f aca="false">IF($N85="","",INDEX(BookRate,80)*(1+'5. Scenarios'!$D$10)*$N85)</f>
        <v/>
      </c>
      <c r="P85" s="57" t="str">
        <f aca="false">IF($O85="","",SUMIFS($O$6:$O$2405,$A$6:$A$2405,"&lt;="&amp;$A85))</f>
        <v/>
      </c>
      <c r="Q85" s="57" t="str">
        <f aca="false">IF($O85="","",IF($P85&lt;=BankCostEnvelope*'5. Scenarios'!$D$7,1,0))</f>
        <v/>
      </c>
      <c r="R85" s="57" t="str">
        <f aca="false">IF($N85="","",INDEX(BookRate,80)*(1+'5. Scenarios'!$D$10)*(INDEX(BookQ1,80)*(5-MIN(4,1+'5. Scenarios'!$D$8))/4+INDEX(BookQ2,80)*(5-MIN(4,2+'5. Scenarios'!$D$8))/4+INDEX(BookQ3,80)*(5-MIN(4,3+'5. Scenarios'!$D$8))/4+INDEX(BookQ4,80)*(5-MIN(4,4+'5. Scenarios'!$D$8))/4)*'5. Scenarios'!$D$6/(1+ProductivityDefault*('5. Scenarios'!$D$11-1))+INDEX(BookOneOff,80)*$N85)</f>
        <v/>
      </c>
      <c r="S85" s="56" t="str">
        <f aca="false">IF(INDEX(BookTitle,80)="","",INDEX(BookTotal,80)*'5. Scenarios'!$E$6/(1+ProductivityDefault*('5. Scenarios'!$E$11-1)))</f>
        <v/>
      </c>
      <c r="T85" s="57" t="str">
        <f aca="false">IF($S85="","",INDEX(BookRate,80)*(1+'5. Scenarios'!$E$10)*$S85)</f>
        <v/>
      </c>
      <c r="U85" s="57" t="str">
        <f aca="false">IF($T85="","",SUMIFS($T$6:$T$2405,$A$6:$A$2405,"&lt;="&amp;$A85))</f>
        <v/>
      </c>
      <c r="V85" s="57" t="str">
        <f aca="false">IF($T85="","",IF($U85&lt;=BankCostEnvelope*'5. Scenarios'!$E$7,1,0))</f>
        <v/>
      </c>
      <c r="W85" s="57" t="str">
        <f aca="false">IF($S85="","",INDEX(BookRate,80)*(1+'5. Scenarios'!$E$10)*(INDEX(BookQ1,80)*(5-MIN(4,1+'5. Scenarios'!$E$8))/4+INDEX(BookQ2,80)*(5-MIN(4,2+'5. Scenarios'!$E$8))/4+INDEX(BookQ3,80)*(5-MIN(4,3+'5. Scenarios'!$E$8))/4+INDEX(BookQ4,80)*(5-MIN(4,4+'5. Scenarios'!$E$8))/4)*'5. Scenarios'!$E$6/(1+ProductivityDefault*('5. Scenarios'!$E$11-1))+INDEX(BookOneOff,80)*$S85)</f>
        <v/>
      </c>
    </row>
    <row r="86" customFormat="false" ht="15" hidden="false" customHeight="false" outlineLevel="0" collapsed="false">
      <c r="A86" s="0" t="str">
        <f aca="false">IF(INDEX(BookTitle,81)="","",INDEX(BookKey,81))</f>
        <v/>
      </c>
      <c r="B86" s="0" t="str">
        <f aca="false">IF(INDEX(BookTitle,81)="","",INDEX(BookGroup,81))</f>
        <v/>
      </c>
      <c r="C86" s="0" t="str">
        <f aca="false">IF(INDEX(BookTitle,81)="","",INDEX(BookCategory,81))</f>
        <v/>
      </c>
      <c r="D86" s="56" t="str">
        <f aca="false">IF(INDEX(BookTitle,81)="","",INDEX(BookTotal,81)*'5. Scenarios'!$B$6/(1+ProductivityDefault*('5. Scenarios'!$B$11-1)))</f>
        <v/>
      </c>
      <c r="E86" s="57" t="str">
        <f aca="false">IF($D86="","",INDEX(BookRate,81)*(1+'5. Scenarios'!$B$10)*$D86)</f>
        <v/>
      </c>
      <c r="F86" s="57" t="str">
        <f aca="false">IF($E86="","",SUMIFS($E$6:$E$2405,$A$6:$A$2405,"&lt;="&amp;$A86))</f>
        <v/>
      </c>
      <c r="G86" s="57" t="str">
        <f aca="false">IF($E86="","",IF($F86&lt;=BankCostEnvelope*'5. Scenarios'!$B$7,1,0))</f>
        <v/>
      </c>
      <c r="H86" s="57" t="str">
        <f aca="false">IF($D86="","",INDEX(BookRate,81)*(1+'5. Scenarios'!$B$10)*(INDEX(BookQ1,81)*(5-MIN(4,1+'5. Scenarios'!$B$8))/4+INDEX(BookQ2,81)*(5-MIN(4,2+'5. Scenarios'!$B$8))/4+INDEX(BookQ3,81)*(5-MIN(4,3+'5. Scenarios'!$B$8))/4+INDEX(BookQ4,81)*(5-MIN(4,4+'5. Scenarios'!$B$8))/4)*'5. Scenarios'!$B$6/(1+ProductivityDefault*('5. Scenarios'!$B$11-1))+INDEX(BookOneOff,81)*$D86)</f>
        <v/>
      </c>
      <c r="I86" s="56" t="str">
        <f aca="false">IF(INDEX(BookTitle,81)="","",INDEX(BookTotal,81)*'5. Scenarios'!$C$6/(1+ProductivityDefault*('5. Scenarios'!$C$11-1)))</f>
        <v/>
      </c>
      <c r="J86" s="57" t="str">
        <f aca="false">IF($I86="","",INDEX(BookRate,81)*(1+'5. Scenarios'!$C$10)*$I86)</f>
        <v/>
      </c>
      <c r="K86" s="57" t="str">
        <f aca="false">IF($J86="","",SUMIFS($J$6:$J$2405,$A$6:$A$2405,"&lt;="&amp;$A86))</f>
        <v/>
      </c>
      <c r="L86" s="57" t="str">
        <f aca="false">IF($J86="","",IF($K86&lt;=BankCostEnvelope*'5. Scenarios'!$C$7,1,0))</f>
        <v/>
      </c>
      <c r="M86" s="57" t="str">
        <f aca="false">IF($I86="","",INDEX(BookRate,81)*(1+'5. Scenarios'!$C$10)*(INDEX(BookQ1,81)*(5-MIN(4,1+'5. Scenarios'!$C$8))/4+INDEX(BookQ2,81)*(5-MIN(4,2+'5. Scenarios'!$C$8))/4+INDEX(BookQ3,81)*(5-MIN(4,3+'5. Scenarios'!$C$8))/4+INDEX(BookQ4,81)*(5-MIN(4,4+'5. Scenarios'!$C$8))/4)*'5. Scenarios'!$C$6/(1+ProductivityDefault*('5. Scenarios'!$C$11-1))+INDEX(BookOneOff,81)*$I86)</f>
        <v/>
      </c>
      <c r="N86" s="56" t="str">
        <f aca="false">IF(INDEX(BookTitle,81)="","",INDEX(BookTotal,81)*'5. Scenarios'!$D$6/(1+ProductivityDefault*('5. Scenarios'!$D$11-1)))</f>
        <v/>
      </c>
      <c r="O86" s="57" t="str">
        <f aca="false">IF($N86="","",INDEX(BookRate,81)*(1+'5. Scenarios'!$D$10)*$N86)</f>
        <v/>
      </c>
      <c r="P86" s="57" t="str">
        <f aca="false">IF($O86="","",SUMIFS($O$6:$O$2405,$A$6:$A$2405,"&lt;="&amp;$A86))</f>
        <v/>
      </c>
      <c r="Q86" s="57" t="str">
        <f aca="false">IF($O86="","",IF($P86&lt;=BankCostEnvelope*'5. Scenarios'!$D$7,1,0))</f>
        <v/>
      </c>
      <c r="R86" s="57" t="str">
        <f aca="false">IF($N86="","",INDEX(BookRate,81)*(1+'5. Scenarios'!$D$10)*(INDEX(BookQ1,81)*(5-MIN(4,1+'5. Scenarios'!$D$8))/4+INDEX(BookQ2,81)*(5-MIN(4,2+'5. Scenarios'!$D$8))/4+INDEX(BookQ3,81)*(5-MIN(4,3+'5. Scenarios'!$D$8))/4+INDEX(BookQ4,81)*(5-MIN(4,4+'5. Scenarios'!$D$8))/4)*'5. Scenarios'!$D$6/(1+ProductivityDefault*('5. Scenarios'!$D$11-1))+INDEX(BookOneOff,81)*$N86)</f>
        <v/>
      </c>
      <c r="S86" s="56" t="str">
        <f aca="false">IF(INDEX(BookTitle,81)="","",INDEX(BookTotal,81)*'5. Scenarios'!$E$6/(1+ProductivityDefault*('5. Scenarios'!$E$11-1)))</f>
        <v/>
      </c>
      <c r="T86" s="57" t="str">
        <f aca="false">IF($S86="","",INDEX(BookRate,81)*(1+'5. Scenarios'!$E$10)*$S86)</f>
        <v/>
      </c>
      <c r="U86" s="57" t="str">
        <f aca="false">IF($T86="","",SUMIFS($T$6:$T$2405,$A$6:$A$2405,"&lt;="&amp;$A86))</f>
        <v/>
      </c>
      <c r="V86" s="57" t="str">
        <f aca="false">IF($T86="","",IF($U86&lt;=BankCostEnvelope*'5. Scenarios'!$E$7,1,0))</f>
        <v/>
      </c>
      <c r="W86" s="57" t="str">
        <f aca="false">IF($S86="","",INDEX(BookRate,81)*(1+'5. Scenarios'!$E$10)*(INDEX(BookQ1,81)*(5-MIN(4,1+'5. Scenarios'!$E$8))/4+INDEX(BookQ2,81)*(5-MIN(4,2+'5. Scenarios'!$E$8))/4+INDEX(BookQ3,81)*(5-MIN(4,3+'5. Scenarios'!$E$8))/4+INDEX(BookQ4,81)*(5-MIN(4,4+'5. Scenarios'!$E$8))/4)*'5. Scenarios'!$E$6/(1+ProductivityDefault*('5. Scenarios'!$E$11-1))+INDEX(BookOneOff,81)*$S86)</f>
        <v/>
      </c>
    </row>
    <row r="87" customFormat="false" ht="15" hidden="false" customHeight="false" outlineLevel="0" collapsed="false">
      <c r="A87" s="0" t="str">
        <f aca="false">IF(INDEX(BookTitle,82)="","",INDEX(BookKey,82))</f>
        <v/>
      </c>
      <c r="B87" s="0" t="str">
        <f aca="false">IF(INDEX(BookTitle,82)="","",INDEX(BookGroup,82))</f>
        <v/>
      </c>
      <c r="C87" s="0" t="str">
        <f aca="false">IF(INDEX(BookTitle,82)="","",INDEX(BookCategory,82))</f>
        <v/>
      </c>
      <c r="D87" s="56" t="str">
        <f aca="false">IF(INDEX(BookTitle,82)="","",INDEX(BookTotal,82)*'5. Scenarios'!$B$6/(1+ProductivityDefault*('5. Scenarios'!$B$11-1)))</f>
        <v/>
      </c>
      <c r="E87" s="57" t="str">
        <f aca="false">IF($D87="","",INDEX(BookRate,82)*(1+'5. Scenarios'!$B$10)*$D87)</f>
        <v/>
      </c>
      <c r="F87" s="57" t="str">
        <f aca="false">IF($E87="","",SUMIFS($E$6:$E$2405,$A$6:$A$2405,"&lt;="&amp;$A87))</f>
        <v/>
      </c>
      <c r="G87" s="57" t="str">
        <f aca="false">IF($E87="","",IF($F87&lt;=BankCostEnvelope*'5. Scenarios'!$B$7,1,0))</f>
        <v/>
      </c>
      <c r="H87" s="57" t="str">
        <f aca="false">IF($D87="","",INDEX(BookRate,82)*(1+'5. Scenarios'!$B$10)*(INDEX(BookQ1,82)*(5-MIN(4,1+'5. Scenarios'!$B$8))/4+INDEX(BookQ2,82)*(5-MIN(4,2+'5. Scenarios'!$B$8))/4+INDEX(BookQ3,82)*(5-MIN(4,3+'5. Scenarios'!$B$8))/4+INDEX(BookQ4,82)*(5-MIN(4,4+'5. Scenarios'!$B$8))/4)*'5. Scenarios'!$B$6/(1+ProductivityDefault*('5. Scenarios'!$B$11-1))+INDEX(BookOneOff,82)*$D87)</f>
        <v/>
      </c>
      <c r="I87" s="56" t="str">
        <f aca="false">IF(INDEX(BookTitle,82)="","",INDEX(BookTotal,82)*'5. Scenarios'!$C$6/(1+ProductivityDefault*('5. Scenarios'!$C$11-1)))</f>
        <v/>
      </c>
      <c r="J87" s="57" t="str">
        <f aca="false">IF($I87="","",INDEX(BookRate,82)*(1+'5. Scenarios'!$C$10)*$I87)</f>
        <v/>
      </c>
      <c r="K87" s="57" t="str">
        <f aca="false">IF($J87="","",SUMIFS($J$6:$J$2405,$A$6:$A$2405,"&lt;="&amp;$A87))</f>
        <v/>
      </c>
      <c r="L87" s="57" t="str">
        <f aca="false">IF($J87="","",IF($K87&lt;=BankCostEnvelope*'5. Scenarios'!$C$7,1,0))</f>
        <v/>
      </c>
      <c r="M87" s="57" t="str">
        <f aca="false">IF($I87="","",INDEX(BookRate,82)*(1+'5. Scenarios'!$C$10)*(INDEX(BookQ1,82)*(5-MIN(4,1+'5. Scenarios'!$C$8))/4+INDEX(BookQ2,82)*(5-MIN(4,2+'5. Scenarios'!$C$8))/4+INDEX(BookQ3,82)*(5-MIN(4,3+'5. Scenarios'!$C$8))/4+INDEX(BookQ4,82)*(5-MIN(4,4+'5. Scenarios'!$C$8))/4)*'5. Scenarios'!$C$6/(1+ProductivityDefault*('5. Scenarios'!$C$11-1))+INDEX(BookOneOff,82)*$I87)</f>
        <v/>
      </c>
      <c r="N87" s="56" t="str">
        <f aca="false">IF(INDEX(BookTitle,82)="","",INDEX(BookTotal,82)*'5. Scenarios'!$D$6/(1+ProductivityDefault*('5. Scenarios'!$D$11-1)))</f>
        <v/>
      </c>
      <c r="O87" s="57" t="str">
        <f aca="false">IF($N87="","",INDEX(BookRate,82)*(1+'5. Scenarios'!$D$10)*$N87)</f>
        <v/>
      </c>
      <c r="P87" s="57" t="str">
        <f aca="false">IF($O87="","",SUMIFS($O$6:$O$2405,$A$6:$A$2405,"&lt;="&amp;$A87))</f>
        <v/>
      </c>
      <c r="Q87" s="57" t="str">
        <f aca="false">IF($O87="","",IF($P87&lt;=BankCostEnvelope*'5. Scenarios'!$D$7,1,0))</f>
        <v/>
      </c>
      <c r="R87" s="57" t="str">
        <f aca="false">IF($N87="","",INDEX(BookRate,82)*(1+'5. Scenarios'!$D$10)*(INDEX(BookQ1,82)*(5-MIN(4,1+'5. Scenarios'!$D$8))/4+INDEX(BookQ2,82)*(5-MIN(4,2+'5. Scenarios'!$D$8))/4+INDEX(BookQ3,82)*(5-MIN(4,3+'5. Scenarios'!$D$8))/4+INDEX(BookQ4,82)*(5-MIN(4,4+'5. Scenarios'!$D$8))/4)*'5. Scenarios'!$D$6/(1+ProductivityDefault*('5. Scenarios'!$D$11-1))+INDEX(BookOneOff,82)*$N87)</f>
        <v/>
      </c>
      <c r="S87" s="56" t="str">
        <f aca="false">IF(INDEX(BookTitle,82)="","",INDEX(BookTotal,82)*'5. Scenarios'!$E$6/(1+ProductivityDefault*('5. Scenarios'!$E$11-1)))</f>
        <v/>
      </c>
      <c r="T87" s="57" t="str">
        <f aca="false">IF($S87="","",INDEX(BookRate,82)*(1+'5. Scenarios'!$E$10)*$S87)</f>
        <v/>
      </c>
      <c r="U87" s="57" t="str">
        <f aca="false">IF($T87="","",SUMIFS($T$6:$T$2405,$A$6:$A$2405,"&lt;="&amp;$A87))</f>
        <v/>
      </c>
      <c r="V87" s="57" t="str">
        <f aca="false">IF($T87="","",IF($U87&lt;=BankCostEnvelope*'5. Scenarios'!$E$7,1,0))</f>
        <v/>
      </c>
      <c r="W87" s="57" t="str">
        <f aca="false">IF($S87="","",INDEX(BookRate,82)*(1+'5. Scenarios'!$E$10)*(INDEX(BookQ1,82)*(5-MIN(4,1+'5. Scenarios'!$E$8))/4+INDEX(BookQ2,82)*(5-MIN(4,2+'5. Scenarios'!$E$8))/4+INDEX(BookQ3,82)*(5-MIN(4,3+'5. Scenarios'!$E$8))/4+INDEX(BookQ4,82)*(5-MIN(4,4+'5. Scenarios'!$E$8))/4)*'5. Scenarios'!$E$6/(1+ProductivityDefault*('5. Scenarios'!$E$11-1))+INDEX(BookOneOff,82)*$S87)</f>
        <v/>
      </c>
    </row>
    <row r="88" customFormat="false" ht="15" hidden="false" customHeight="false" outlineLevel="0" collapsed="false">
      <c r="A88" s="0" t="str">
        <f aca="false">IF(INDEX(BookTitle,83)="","",INDEX(BookKey,83))</f>
        <v/>
      </c>
      <c r="B88" s="0" t="str">
        <f aca="false">IF(INDEX(BookTitle,83)="","",INDEX(BookGroup,83))</f>
        <v/>
      </c>
      <c r="C88" s="0" t="str">
        <f aca="false">IF(INDEX(BookTitle,83)="","",INDEX(BookCategory,83))</f>
        <v/>
      </c>
      <c r="D88" s="56" t="str">
        <f aca="false">IF(INDEX(BookTitle,83)="","",INDEX(BookTotal,83)*'5. Scenarios'!$B$6/(1+ProductivityDefault*('5. Scenarios'!$B$11-1)))</f>
        <v/>
      </c>
      <c r="E88" s="57" t="str">
        <f aca="false">IF($D88="","",INDEX(BookRate,83)*(1+'5. Scenarios'!$B$10)*$D88)</f>
        <v/>
      </c>
      <c r="F88" s="57" t="str">
        <f aca="false">IF($E88="","",SUMIFS($E$6:$E$2405,$A$6:$A$2405,"&lt;="&amp;$A88))</f>
        <v/>
      </c>
      <c r="G88" s="57" t="str">
        <f aca="false">IF($E88="","",IF($F88&lt;=BankCostEnvelope*'5. Scenarios'!$B$7,1,0))</f>
        <v/>
      </c>
      <c r="H88" s="57" t="str">
        <f aca="false">IF($D88="","",INDEX(BookRate,83)*(1+'5. Scenarios'!$B$10)*(INDEX(BookQ1,83)*(5-MIN(4,1+'5. Scenarios'!$B$8))/4+INDEX(BookQ2,83)*(5-MIN(4,2+'5. Scenarios'!$B$8))/4+INDEX(BookQ3,83)*(5-MIN(4,3+'5. Scenarios'!$B$8))/4+INDEX(BookQ4,83)*(5-MIN(4,4+'5. Scenarios'!$B$8))/4)*'5. Scenarios'!$B$6/(1+ProductivityDefault*('5. Scenarios'!$B$11-1))+INDEX(BookOneOff,83)*$D88)</f>
        <v/>
      </c>
      <c r="I88" s="56" t="str">
        <f aca="false">IF(INDEX(BookTitle,83)="","",INDEX(BookTotal,83)*'5. Scenarios'!$C$6/(1+ProductivityDefault*('5. Scenarios'!$C$11-1)))</f>
        <v/>
      </c>
      <c r="J88" s="57" t="str">
        <f aca="false">IF($I88="","",INDEX(BookRate,83)*(1+'5. Scenarios'!$C$10)*$I88)</f>
        <v/>
      </c>
      <c r="K88" s="57" t="str">
        <f aca="false">IF($J88="","",SUMIFS($J$6:$J$2405,$A$6:$A$2405,"&lt;="&amp;$A88))</f>
        <v/>
      </c>
      <c r="L88" s="57" t="str">
        <f aca="false">IF($J88="","",IF($K88&lt;=BankCostEnvelope*'5. Scenarios'!$C$7,1,0))</f>
        <v/>
      </c>
      <c r="M88" s="57" t="str">
        <f aca="false">IF($I88="","",INDEX(BookRate,83)*(1+'5. Scenarios'!$C$10)*(INDEX(BookQ1,83)*(5-MIN(4,1+'5. Scenarios'!$C$8))/4+INDEX(BookQ2,83)*(5-MIN(4,2+'5. Scenarios'!$C$8))/4+INDEX(BookQ3,83)*(5-MIN(4,3+'5. Scenarios'!$C$8))/4+INDEX(BookQ4,83)*(5-MIN(4,4+'5. Scenarios'!$C$8))/4)*'5. Scenarios'!$C$6/(1+ProductivityDefault*('5. Scenarios'!$C$11-1))+INDEX(BookOneOff,83)*$I88)</f>
        <v/>
      </c>
      <c r="N88" s="56" t="str">
        <f aca="false">IF(INDEX(BookTitle,83)="","",INDEX(BookTotal,83)*'5. Scenarios'!$D$6/(1+ProductivityDefault*('5. Scenarios'!$D$11-1)))</f>
        <v/>
      </c>
      <c r="O88" s="57" t="str">
        <f aca="false">IF($N88="","",INDEX(BookRate,83)*(1+'5. Scenarios'!$D$10)*$N88)</f>
        <v/>
      </c>
      <c r="P88" s="57" t="str">
        <f aca="false">IF($O88="","",SUMIFS($O$6:$O$2405,$A$6:$A$2405,"&lt;="&amp;$A88))</f>
        <v/>
      </c>
      <c r="Q88" s="57" t="str">
        <f aca="false">IF($O88="","",IF($P88&lt;=BankCostEnvelope*'5. Scenarios'!$D$7,1,0))</f>
        <v/>
      </c>
      <c r="R88" s="57" t="str">
        <f aca="false">IF($N88="","",INDEX(BookRate,83)*(1+'5. Scenarios'!$D$10)*(INDEX(BookQ1,83)*(5-MIN(4,1+'5. Scenarios'!$D$8))/4+INDEX(BookQ2,83)*(5-MIN(4,2+'5. Scenarios'!$D$8))/4+INDEX(BookQ3,83)*(5-MIN(4,3+'5. Scenarios'!$D$8))/4+INDEX(BookQ4,83)*(5-MIN(4,4+'5. Scenarios'!$D$8))/4)*'5. Scenarios'!$D$6/(1+ProductivityDefault*('5. Scenarios'!$D$11-1))+INDEX(BookOneOff,83)*$N88)</f>
        <v/>
      </c>
      <c r="S88" s="56" t="str">
        <f aca="false">IF(INDEX(BookTitle,83)="","",INDEX(BookTotal,83)*'5. Scenarios'!$E$6/(1+ProductivityDefault*('5. Scenarios'!$E$11-1)))</f>
        <v/>
      </c>
      <c r="T88" s="57" t="str">
        <f aca="false">IF($S88="","",INDEX(BookRate,83)*(1+'5. Scenarios'!$E$10)*$S88)</f>
        <v/>
      </c>
      <c r="U88" s="57" t="str">
        <f aca="false">IF($T88="","",SUMIFS($T$6:$T$2405,$A$6:$A$2405,"&lt;="&amp;$A88))</f>
        <v/>
      </c>
      <c r="V88" s="57" t="str">
        <f aca="false">IF($T88="","",IF($U88&lt;=BankCostEnvelope*'5. Scenarios'!$E$7,1,0))</f>
        <v/>
      </c>
      <c r="W88" s="57" t="str">
        <f aca="false">IF($S88="","",INDEX(BookRate,83)*(1+'5. Scenarios'!$E$10)*(INDEX(BookQ1,83)*(5-MIN(4,1+'5. Scenarios'!$E$8))/4+INDEX(BookQ2,83)*(5-MIN(4,2+'5. Scenarios'!$E$8))/4+INDEX(BookQ3,83)*(5-MIN(4,3+'5. Scenarios'!$E$8))/4+INDEX(BookQ4,83)*(5-MIN(4,4+'5. Scenarios'!$E$8))/4)*'5. Scenarios'!$E$6/(1+ProductivityDefault*('5. Scenarios'!$E$11-1))+INDEX(BookOneOff,83)*$S88)</f>
        <v/>
      </c>
    </row>
    <row r="89" customFormat="false" ht="15" hidden="false" customHeight="false" outlineLevel="0" collapsed="false">
      <c r="A89" s="0" t="str">
        <f aca="false">IF(INDEX(BookTitle,84)="","",INDEX(BookKey,84))</f>
        <v/>
      </c>
      <c r="B89" s="0" t="str">
        <f aca="false">IF(INDEX(BookTitle,84)="","",INDEX(BookGroup,84))</f>
        <v/>
      </c>
      <c r="C89" s="0" t="str">
        <f aca="false">IF(INDEX(BookTitle,84)="","",INDEX(BookCategory,84))</f>
        <v/>
      </c>
      <c r="D89" s="56" t="str">
        <f aca="false">IF(INDEX(BookTitle,84)="","",INDEX(BookTotal,84)*'5. Scenarios'!$B$6/(1+ProductivityDefault*('5. Scenarios'!$B$11-1)))</f>
        <v/>
      </c>
      <c r="E89" s="57" t="str">
        <f aca="false">IF($D89="","",INDEX(BookRate,84)*(1+'5. Scenarios'!$B$10)*$D89)</f>
        <v/>
      </c>
      <c r="F89" s="57" t="str">
        <f aca="false">IF($E89="","",SUMIFS($E$6:$E$2405,$A$6:$A$2405,"&lt;="&amp;$A89))</f>
        <v/>
      </c>
      <c r="G89" s="57" t="str">
        <f aca="false">IF($E89="","",IF($F89&lt;=BankCostEnvelope*'5. Scenarios'!$B$7,1,0))</f>
        <v/>
      </c>
      <c r="H89" s="57" t="str">
        <f aca="false">IF($D89="","",INDEX(BookRate,84)*(1+'5. Scenarios'!$B$10)*(INDEX(BookQ1,84)*(5-MIN(4,1+'5. Scenarios'!$B$8))/4+INDEX(BookQ2,84)*(5-MIN(4,2+'5. Scenarios'!$B$8))/4+INDEX(BookQ3,84)*(5-MIN(4,3+'5. Scenarios'!$B$8))/4+INDEX(BookQ4,84)*(5-MIN(4,4+'5. Scenarios'!$B$8))/4)*'5. Scenarios'!$B$6/(1+ProductivityDefault*('5. Scenarios'!$B$11-1))+INDEX(BookOneOff,84)*$D89)</f>
        <v/>
      </c>
      <c r="I89" s="56" t="str">
        <f aca="false">IF(INDEX(BookTitle,84)="","",INDEX(BookTotal,84)*'5. Scenarios'!$C$6/(1+ProductivityDefault*('5. Scenarios'!$C$11-1)))</f>
        <v/>
      </c>
      <c r="J89" s="57" t="str">
        <f aca="false">IF($I89="","",INDEX(BookRate,84)*(1+'5. Scenarios'!$C$10)*$I89)</f>
        <v/>
      </c>
      <c r="K89" s="57" t="str">
        <f aca="false">IF($J89="","",SUMIFS($J$6:$J$2405,$A$6:$A$2405,"&lt;="&amp;$A89))</f>
        <v/>
      </c>
      <c r="L89" s="57" t="str">
        <f aca="false">IF($J89="","",IF($K89&lt;=BankCostEnvelope*'5. Scenarios'!$C$7,1,0))</f>
        <v/>
      </c>
      <c r="M89" s="57" t="str">
        <f aca="false">IF($I89="","",INDEX(BookRate,84)*(1+'5. Scenarios'!$C$10)*(INDEX(BookQ1,84)*(5-MIN(4,1+'5. Scenarios'!$C$8))/4+INDEX(BookQ2,84)*(5-MIN(4,2+'5. Scenarios'!$C$8))/4+INDEX(BookQ3,84)*(5-MIN(4,3+'5. Scenarios'!$C$8))/4+INDEX(BookQ4,84)*(5-MIN(4,4+'5. Scenarios'!$C$8))/4)*'5. Scenarios'!$C$6/(1+ProductivityDefault*('5. Scenarios'!$C$11-1))+INDEX(BookOneOff,84)*$I89)</f>
        <v/>
      </c>
      <c r="N89" s="56" t="str">
        <f aca="false">IF(INDEX(BookTitle,84)="","",INDEX(BookTotal,84)*'5. Scenarios'!$D$6/(1+ProductivityDefault*('5. Scenarios'!$D$11-1)))</f>
        <v/>
      </c>
      <c r="O89" s="57" t="str">
        <f aca="false">IF($N89="","",INDEX(BookRate,84)*(1+'5. Scenarios'!$D$10)*$N89)</f>
        <v/>
      </c>
      <c r="P89" s="57" t="str">
        <f aca="false">IF($O89="","",SUMIFS($O$6:$O$2405,$A$6:$A$2405,"&lt;="&amp;$A89))</f>
        <v/>
      </c>
      <c r="Q89" s="57" t="str">
        <f aca="false">IF($O89="","",IF($P89&lt;=BankCostEnvelope*'5. Scenarios'!$D$7,1,0))</f>
        <v/>
      </c>
      <c r="R89" s="57" t="str">
        <f aca="false">IF($N89="","",INDEX(BookRate,84)*(1+'5. Scenarios'!$D$10)*(INDEX(BookQ1,84)*(5-MIN(4,1+'5. Scenarios'!$D$8))/4+INDEX(BookQ2,84)*(5-MIN(4,2+'5. Scenarios'!$D$8))/4+INDEX(BookQ3,84)*(5-MIN(4,3+'5. Scenarios'!$D$8))/4+INDEX(BookQ4,84)*(5-MIN(4,4+'5. Scenarios'!$D$8))/4)*'5. Scenarios'!$D$6/(1+ProductivityDefault*('5. Scenarios'!$D$11-1))+INDEX(BookOneOff,84)*$N89)</f>
        <v/>
      </c>
      <c r="S89" s="56" t="str">
        <f aca="false">IF(INDEX(BookTitle,84)="","",INDEX(BookTotal,84)*'5. Scenarios'!$E$6/(1+ProductivityDefault*('5. Scenarios'!$E$11-1)))</f>
        <v/>
      </c>
      <c r="T89" s="57" t="str">
        <f aca="false">IF($S89="","",INDEX(BookRate,84)*(1+'5. Scenarios'!$E$10)*$S89)</f>
        <v/>
      </c>
      <c r="U89" s="57" t="str">
        <f aca="false">IF($T89="","",SUMIFS($T$6:$T$2405,$A$6:$A$2405,"&lt;="&amp;$A89))</f>
        <v/>
      </c>
      <c r="V89" s="57" t="str">
        <f aca="false">IF($T89="","",IF($U89&lt;=BankCostEnvelope*'5. Scenarios'!$E$7,1,0))</f>
        <v/>
      </c>
      <c r="W89" s="57" t="str">
        <f aca="false">IF($S89="","",INDEX(BookRate,84)*(1+'5. Scenarios'!$E$10)*(INDEX(BookQ1,84)*(5-MIN(4,1+'5. Scenarios'!$E$8))/4+INDEX(BookQ2,84)*(5-MIN(4,2+'5. Scenarios'!$E$8))/4+INDEX(BookQ3,84)*(5-MIN(4,3+'5. Scenarios'!$E$8))/4+INDEX(BookQ4,84)*(5-MIN(4,4+'5. Scenarios'!$E$8))/4)*'5. Scenarios'!$E$6/(1+ProductivityDefault*('5. Scenarios'!$E$11-1))+INDEX(BookOneOff,84)*$S89)</f>
        <v/>
      </c>
    </row>
    <row r="90" customFormat="false" ht="15" hidden="false" customHeight="false" outlineLevel="0" collapsed="false">
      <c r="A90" s="0" t="str">
        <f aca="false">IF(INDEX(BookTitle,85)="","",INDEX(BookKey,85))</f>
        <v/>
      </c>
      <c r="B90" s="0" t="str">
        <f aca="false">IF(INDEX(BookTitle,85)="","",INDEX(BookGroup,85))</f>
        <v/>
      </c>
      <c r="C90" s="0" t="str">
        <f aca="false">IF(INDEX(BookTitle,85)="","",INDEX(BookCategory,85))</f>
        <v/>
      </c>
      <c r="D90" s="56" t="str">
        <f aca="false">IF(INDEX(BookTitle,85)="","",INDEX(BookTotal,85)*'5. Scenarios'!$B$6/(1+ProductivityDefault*('5. Scenarios'!$B$11-1)))</f>
        <v/>
      </c>
      <c r="E90" s="57" t="str">
        <f aca="false">IF($D90="","",INDEX(BookRate,85)*(1+'5. Scenarios'!$B$10)*$D90)</f>
        <v/>
      </c>
      <c r="F90" s="57" t="str">
        <f aca="false">IF($E90="","",SUMIFS($E$6:$E$2405,$A$6:$A$2405,"&lt;="&amp;$A90))</f>
        <v/>
      </c>
      <c r="G90" s="57" t="str">
        <f aca="false">IF($E90="","",IF($F90&lt;=BankCostEnvelope*'5. Scenarios'!$B$7,1,0))</f>
        <v/>
      </c>
      <c r="H90" s="57" t="str">
        <f aca="false">IF($D90="","",INDEX(BookRate,85)*(1+'5. Scenarios'!$B$10)*(INDEX(BookQ1,85)*(5-MIN(4,1+'5. Scenarios'!$B$8))/4+INDEX(BookQ2,85)*(5-MIN(4,2+'5. Scenarios'!$B$8))/4+INDEX(BookQ3,85)*(5-MIN(4,3+'5. Scenarios'!$B$8))/4+INDEX(BookQ4,85)*(5-MIN(4,4+'5. Scenarios'!$B$8))/4)*'5. Scenarios'!$B$6/(1+ProductivityDefault*('5. Scenarios'!$B$11-1))+INDEX(BookOneOff,85)*$D90)</f>
        <v/>
      </c>
      <c r="I90" s="56" t="str">
        <f aca="false">IF(INDEX(BookTitle,85)="","",INDEX(BookTotal,85)*'5. Scenarios'!$C$6/(1+ProductivityDefault*('5. Scenarios'!$C$11-1)))</f>
        <v/>
      </c>
      <c r="J90" s="57" t="str">
        <f aca="false">IF($I90="","",INDEX(BookRate,85)*(1+'5. Scenarios'!$C$10)*$I90)</f>
        <v/>
      </c>
      <c r="K90" s="57" t="str">
        <f aca="false">IF($J90="","",SUMIFS($J$6:$J$2405,$A$6:$A$2405,"&lt;="&amp;$A90))</f>
        <v/>
      </c>
      <c r="L90" s="57" t="str">
        <f aca="false">IF($J90="","",IF($K90&lt;=BankCostEnvelope*'5. Scenarios'!$C$7,1,0))</f>
        <v/>
      </c>
      <c r="M90" s="57" t="str">
        <f aca="false">IF($I90="","",INDEX(BookRate,85)*(1+'5. Scenarios'!$C$10)*(INDEX(BookQ1,85)*(5-MIN(4,1+'5. Scenarios'!$C$8))/4+INDEX(BookQ2,85)*(5-MIN(4,2+'5. Scenarios'!$C$8))/4+INDEX(BookQ3,85)*(5-MIN(4,3+'5. Scenarios'!$C$8))/4+INDEX(BookQ4,85)*(5-MIN(4,4+'5. Scenarios'!$C$8))/4)*'5. Scenarios'!$C$6/(1+ProductivityDefault*('5. Scenarios'!$C$11-1))+INDEX(BookOneOff,85)*$I90)</f>
        <v/>
      </c>
      <c r="N90" s="56" t="str">
        <f aca="false">IF(INDEX(BookTitle,85)="","",INDEX(BookTotal,85)*'5. Scenarios'!$D$6/(1+ProductivityDefault*('5. Scenarios'!$D$11-1)))</f>
        <v/>
      </c>
      <c r="O90" s="57" t="str">
        <f aca="false">IF($N90="","",INDEX(BookRate,85)*(1+'5. Scenarios'!$D$10)*$N90)</f>
        <v/>
      </c>
      <c r="P90" s="57" t="str">
        <f aca="false">IF($O90="","",SUMIFS($O$6:$O$2405,$A$6:$A$2405,"&lt;="&amp;$A90))</f>
        <v/>
      </c>
      <c r="Q90" s="57" t="str">
        <f aca="false">IF($O90="","",IF($P90&lt;=BankCostEnvelope*'5. Scenarios'!$D$7,1,0))</f>
        <v/>
      </c>
      <c r="R90" s="57" t="str">
        <f aca="false">IF($N90="","",INDEX(BookRate,85)*(1+'5. Scenarios'!$D$10)*(INDEX(BookQ1,85)*(5-MIN(4,1+'5. Scenarios'!$D$8))/4+INDEX(BookQ2,85)*(5-MIN(4,2+'5. Scenarios'!$D$8))/4+INDEX(BookQ3,85)*(5-MIN(4,3+'5. Scenarios'!$D$8))/4+INDEX(BookQ4,85)*(5-MIN(4,4+'5. Scenarios'!$D$8))/4)*'5. Scenarios'!$D$6/(1+ProductivityDefault*('5. Scenarios'!$D$11-1))+INDEX(BookOneOff,85)*$N90)</f>
        <v/>
      </c>
      <c r="S90" s="56" t="str">
        <f aca="false">IF(INDEX(BookTitle,85)="","",INDEX(BookTotal,85)*'5. Scenarios'!$E$6/(1+ProductivityDefault*('5. Scenarios'!$E$11-1)))</f>
        <v/>
      </c>
      <c r="T90" s="57" t="str">
        <f aca="false">IF($S90="","",INDEX(BookRate,85)*(1+'5. Scenarios'!$E$10)*$S90)</f>
        <v/>
      </c>
      <c r="U90" s="57" t="str">
        <f aca="false">IF($T90="","",SUMIFS($T$6:$T$2405,$A$6:$A$2405,"&lt;="&amp;$A90))</f>
        <v/>
      </c>
      <c r="V90" s="57" t="str">
        <f aca="false">IF($T90="","",IF($U90&lt;=BankCostEnvelope*'5. Scenarios'!$E$7,1,0))</f>
        <v/>
      </c>
      <c r="W90" s="57" t="str">
        <f aca="false">IF($S90="","",INDEX(BookRate,85)*(1+'5. Scenarios'!$E$10)*(INDEX(BookQ1,85)*(5-MIN(4,1+'5. Scenarios'!$E$8))/4+INDEX(BookQ2,85)*(5-MIN(4,2+'5. Scenarios'!$E$8))/4+INDEX(BookQ3,85)*(5-MIN(4,3+'5. Scenarios'!$E$8))/4+INDEX(BookQ4,85)*(5-MIN(4,4+'5. Scenarios'!$E$8))/4)*'5. Scenarios'!$E$6/(1+ProductivityDefault*('5. Scenarios'!$E$11-1))+INDEX(BookOneOff,85)*$S90)</f>
        <v/>
      </c>
    </row>
    <row r="91" customFormat="false" ht="15" hidden="false" customHeight="false" outlineLevel="0" collapsed="false">
      <c r="A91" s="0" t="str">
        <f aca="false">IF(INDEX(BookTitle,86)="","",INDEX(BookKey,86))</f>
        <v/>
      </c>
      <c r="B91" s="0" t="str">
        <f aca="false">IF(INDEX(BookTitle,86)="","",INDEX(BookGroup,86))</f>
        <v/>
      </c>
      <c r="C91" s="0" t="str">
        <f aca="false">IF(INDEX(BookTitle,86)="","",INDEX(BookCategory,86))</f>
        <v/>
      </c>
      <c r="D91" s="56" t="str">
        <f aca="false">IF(INDEX(BookTitle,86)="","",INDEX(BookTotal,86)*'5. Scenarios'!$B$6/(1+ProductivityDefault*('5. Scenarios'!$B$11-1)))</f>
        <v/>
      </c>
      <c r="E91" s="57" t="str">
        <f aca="false">IF($D91="","",INDEX(BookRate,86)*(1+'5. Scenarios'!$B$10)*$D91)</f>
        <v/>
      </c>
      <c r="F91" s="57" t="str">
        <f aca="false">IF($E91="","",SUMIFS($E$6:$E$2405,$A$6:$A$2405,"&lt;="&amp;$A91))</f>
        <v/>
      </c>
      <c r="G91" s="57" t="str">
        <f aca="false">IF($E91="","",IF($F91&lt;=BankCostEnvelope*'5. Scenarios'!$B$7,1,0))</f>
        <v/>
      </c>
      <c r="H91" s="57" t="str">
        <f aca="false">IF($D91="","",INDEX(BookRate,86)*(1+'5. Scenarios'!$B$10)*(INDEX(BookQ1,86)*(5-MIN(4,1+'5. Scenarios'!$B$8))/4+INDEX(BookQ2,86)*(5-MIN(4,2+'5. Scenarios'!$B$8))/4+INDEX(BookQ3,86)*(5-MIN(4,3+'5. Scenarios'!$B$8))/4+INDEX(BookQ4,86)*(5-MIN(4,4+'5. Scenarios'!$B$8))/4)*'5. Scenarios'!$B$6/(1+ProductivityDefault*('5. Scenarios'!$B$11-1))+INDEX(BookOneOff,86)*$D91)</f>
        <v/>
      </c>
      <c r="I91" s="56" t="str">
        <f aca="false">IF(INDEX(BookTitle,86)="","",INDEX(BookTotal,86)*'5. Scenarios'!$C$6/(1+ProductivityDefault*('5. Scenarios'!$C$11-1)))</f>
        <v/>
      </c>
      <c r="J91" s="57" t="str">
        <f aca="false">IF($I91="","",INDEX(BookRate,86)*(1+'5. Scenarios'!$C$10)*$I91)</f>
        <v/>
      </c>
      <c r="K91" s="57" t="str">
        <f aca="false">IF($J91="","",SUMIFS($J$6:$J$2405,$A$6:$A$2405,"&lt;="&amp;$A91))</f>
        <v/>
      </c>
      <c r="L91" s="57" t="str">
        <f aca="false">IF($J91="","",IF($K91&lt;=BankCostEnvelope*'5. Scenarios'!$C$7,1,0))</f>
        <v/>
      </c>
      <c r="M91" s="57" t="str">
        <f aca="false">IF($I91="","",INDEX(BookRate,86)*(1+'5. Scenarios'!$C$10)*(INDEX(BookQ1,86)*(5-MIN(4,1+'5. Scenarios'!$C$8))/4+INDEX(BookQ2,86)*(5-MIN(4,2+'5. Scenarios'!$C$8))/4+INDEX(BookQ3,86)*(5-MIN(4,3+'5. Scenarios'!$C$8))/4+INDEX(BookQ4,86)*(5-MIN(4,4+'5. Scenarios'!$C$8))/4)*'5. Scenarios'!$C$6/(1+ProductivityDefault*('5. Scenarios'!$C$11-1))+INDEX(BookOneOff,86)*$I91)</f>
        <v/>
      </c>
      <c r="N91" s="56" t="str">
        <f aca="false">IF(INDEX(BookTitle,86)="","",INDEX(BookTotal,86)*'5. Scenarios'!$D$6/(1+ProductivityDefault*('5. Scenarios'!$D$11-1)))</f>
        <v/>
      </c>
      <c r="O91" s="57" t="str">
        <f aca="false">IF($N91="","",INDEX(BookRate,86)*(1+'5. Scenarios'!$D$10)*$N91)</f>
        <v/>
      </c>
      <c r="P91" s="57" t="str">
        <f aca="false">IF($O91="","",SUMIFS($O$6:$O$2405,$A$6:$A$2405,"&lt;="&amp;$A91))</f>
        <v/>
      </c>
      <c r="Q91" s="57" t="str">
        <f aca="false">IF($O91="","",IF($P91&lt;=BankCostEnvelope*'5. Scenarios'!$D$7,1,0))</f>
        <v/>
      </c>
      <c r="R91" s="57" t="str">
        <f aca="false">IF($N91="","",INDEX(BookRate,86)*(1+'5. Scenarios'!$D$10)*(INDEX(BookQ1,86)*(5-MIN(4,1+'5. Scenarios'!$D$8))/4+INDEX(BookQ2,86)*(5-MIN(4,2+'5. Scenarios'!$D$8))/4+INDEX(BookQ3,86)*(5-MIN(4,3+'5. Scenarios'!$D$8))/4+INDEX(BookQ4,86)*(5-MIN(4,4+'5. Scenarios'!$D$8))/4)*'5. Scenarios'!$D$6/(1+ProductivityDefault*('5. Scenarios'!$D$11-1))+INDEX(BookOneOff,86)*$N91)</f>
        <v/>
      </c>
      <c r="S91" s="56" t="str">
        <f aca="false">IF(INDEX(BookTitle,86)="","",INDEX(BookTotal,86)*'5. Scenarios'!$E$6/(1+ProductivityDefault*('5. Scenarios'!$E$11-1)))</f>
        <v/>
      </c>
      <c r="T91" s="57" t="str">
        <f aca="false">IF($S91="","",INDEX(BookRate,86)*(1+'5. Scenarios'!$E$10)*$S91)</f>
        <v/>
      </c>
      <c r="U91" s="57" t="str">
        <f aca="false">IF($T91="","",SUMIFS($T$6:$T$2405,$A$6:$A$2405,"&lt;="&amp;$A91))</f>
        <v/>
      </c>
      <c r="V91" s="57" t="str">
        <f aca="false">IF($T91="","",IF($U91&lt;=BankCostEnvelope*'5. Scenarios'!$E$7,1,0))</f>
        <v/>
      </c>
      <c r="W91" s="57" t="str">
        <f aca="false">IF($S91="","",INDEX(BookRate,86)*(1+'5. Scenarios'!$E$10)*(INDEX(BookQ1,86)*(5-MIN(4,1+'5. Scenarios'!$E$8))/4+INDEX(BookQ2,86)*(5-MIN(4,2+'5. Scenarios'!$E$8))/4+INDEX(BookQ3,86)*(5-MIN(4,3+'5. Scenarios'!$E$8))/4+INDEX(BookQ4,86)*(5-MIN(4,4+'5. Scenarios'!$E$8))/4)*'5. Scenarios'!$E$6/(1+ProductivityDefault*('5. Scenarios'!$E$11-1))+INDEX(BookOneOff,86)*$S91)</f>
        <v/>
      </c>
    </row>
    <row r="92" customFormat="false" ht="15" hidden="false" customHeight="false" outlineLevel="0" collapsed="false">
      <c r="A92" s="0" t="str">
        <f aca="false">IF(INDEX(BookTitle,87)="","",INDEX(BookKey,87))</f>
        <v/>
      </c>
      <c r="B92" s="0" t="str">
        <f aca="false">IF(INDEX(BookTitle,87)="","",INDEX(BookGroup,87))</f>
        <v/>
      </c>
      <c r="C92" s="0" t="str">
        <f aca="false">IF(INDEX(BookTitle,87)="","",INDEX(BookCategory,87))</f>
        <v/>
      </c>
      <c r="D92" s="56" t="str">
        <f aca="false">IF(INDEX(BookTitle,87)="","",INDEX(BookTotal,87)*'5. Scenarios'!$B$6/(1+ProductivityDefault*('5. Scenarios'!$B$11-1)))</f>
        <v/>
      </c>
      <c r="E92" s="57" t="str">
        <f aca="false">IF($D92="","",INDEX(BookRate,87)*(1+'5. Scenarios'!$B$10)*$D92)</f>
        <v/>
      </c>
      <c r="F92" s="57" t="str">
        <f aca="false">IF($E92="","",SUMIFS($E$6:$E$2405,$A$6:$A$2405,"&lt;="&amp;$A92))</f>
        <v/>
      </c>
      <c r="G92" s="57" t="str">
        <f aca="false">IF($E92="","",IF($F92&lt;=BankCostEnvelope*'5. Scenarios'!$B$7,1,0))</f>
        <v/>
      </c>
      <c r="H92" s="57" t="str">
        <f aca="false">IF($D92="","",INDEX(BookRate,87)*(1+'5. Scenarios'!$B$10)*(INDEX(BookQ1,87)*(5-MIN(4,1+'5. Scenarios'!$B$8))/4+INDEX(BookQ2,87)*(5-MIN(4,2+'5. Scenarios'!$B$8))/4+INDEX(BookQ3,87)*(5-MIN(4,3+'5. Scenarios'!$B$8))/4+INDEX(BookQ4,87)*(5-MIN(4,4+'5. Scenarios'!$B$8))/4)*'5. Scenarios'!$B$6/(1+ProductivityDefault*('5. Scenarios'!$B$11-1))+INDEX(BookOneOff,87)*$D92)</f>
        <v/>
      </c>
      <c r="I92" s="56" t="str">
        <f aca="false">IF(INDEX(BookTitle,87)="","",INDEX(BookTotal,87)*'5. Scenarios'!$C$6/(1+ProductivityDefault*('5. Scenarios'!$C$11-1)))</f>
        <v/>
      </c>
      <c r="J92" s="57" t="str">
        <f aca="false">IF($I92="","",INDEX(BookRate,87)*(1+'5. Scenarios'!$C$10)*$I92)</f>
        <v/>
      </c>
      <c r="K92" s="57" t="str">
        <f aca="false">IF($J92="","",SUMIFS($J$6:$J$2405,$A$6:$A$2405,"&lt;="&amp;$A92))</f>
        <v/>
      </c>
      <c r="L92" s="57" t="str">
        <f aca="false">IF($J92="","",IF($K92&lt;=BankCostEnvelope*'5. Scenarios'!$C$7,1,0))</f>
        <v/>
      </c>
      <c r="M92" s="57" t="str">
        <f aca="false">IF($I92="","",INDEX(BookRate,87)*(1+'5. Scenarios'!$C$10)*(INDEX(BookQ1,87)*(5-MIN(4,1+'5. Scenarios'!$C$8))/4+INDEX(BookQ2,87)*(5-MIN(4,2+'5. Scenarios'!$C$8))/4+INDEX(BookQ3,87)*(5-MIN(4,3+'5. Scenarios'!$C$8))/4+INDEX(BookQ4,87)*(5-MIN(4,4+'5. Scenarios'!$C$8))/4)*'5. Scenarios'!$C$6/(1+ProductivityDefault*('5. Scenarios'!$C$11-1))+INDEX(BookOneOff,87)*$I92)</f>
        <v/>
      </c>
      <c r="N92" s="56" t="str">
        <f aca="false">IF(INDEX(BookTitle,87)="","",INDEX(BookTotal,87)*'5. Scenarios'!$D$6/(1+ProductivityDefault*('5. Scenarios'!$D$11-1)))</f>
        <v/>
      </c>
      <c r="O92" s="57" t="str">
        <f aca="false">IF($N92="","",INDEX(BookRate,87)*(1+'5. Scenarios'!$D$10)*$N92)</f>
        <v/>
      </c>
      <c r="P92" s="57" t="str">
        <f aca="false">IF($O92="","",SUMIFS($O$6:$O$2405,$A$6:$A$2405,"&lt;="&amp;$A92))</f>
        <v/>
      </c>
      <c r="Q92" s="57" t="str">
        <f aca="false">IF($O92="","",IF($P92&lt;=BankCostEnvelope*'5. Scenarios'!$D$7,1,0))</f>
        <v/>
      </c>
      <c r="R92" s="57" t="str">
        <f aca="false">IF($N92="","",INDEX(BookRate,87)*(1+'5. Scenarios'!$D$10)*(INDEX(BookQ1,87)*(5-MIN(4,1+'5. Scenarios'!$D$8))/4+INDEX(BookQ2,87)*(5-MIN(4,2+'5. Scenarios'!$D$8))/4+INDEX(BookQ3,87)*(5-MIN(4,3+'5. Scenarios'!$D$8))/4+INDEX(BookQ4,87)*(5-MIN(4,4+'5. Scenarios'!$D$8))/4)*'5. Scenarios'!$D$6/(1+ProductivityDefault*('5. Scenarios'!$D$11-1))+INDEX(BookOneOff,87)*$N92)</f>
        <v/>
      </c>
      <c r="S92" s="56" t="str">
        <f aca="false">IF(INDEX(BookTitle,87)="","",INDEX(BookTotal,87)*'5. Scenarios'!$E$6/(1+ProductivityDefault*('5. Scenarios'!$E$11-1)))</f>
        <v/>
      </c>
      <c r="T92" s="57" t="str">
        <f aca="false">IF($S92="","",INDEX(BookRate,87)*(1+'5. Scenarios'!$E$10)*$S92)</f>
        <v/>
      </c>
      <c r="U92" s="57" t="str">
        <f aca="false">IF($T92="","",SUMIFS($T$6:$T$2405,$A$6:$A$2405,"&lt;="&amp;$A92))</f>
        <v/>
      </c>
      <c r="V92" s="57" t="str">
        <f aca="false">IF($T92="","",IF($U92&lt;=BankCostEnvelope*'5. Scenarios'!$E$7,1,0))</f>
        <v/>
      </c>
      <c r="W92" s="57" t="str">
        <f aca="false">IF($S92="","",INDEX(BookRate,87)*(1+'5. Scenarios'!$E$10)*(INDEX(BookQ1,87)*(5-MIN(4,1+'5. Scenarios'!$E$8))/4+INDEX(BookQ2,87)*(5-MIN(4,2+'5. Scenarios'!$E$8))/4+INDEX(BookQ3,87)*(5-MIN(4,3+'5. Scenarios'!$E$8))/4+INDEX(BookQ4,87)*(5-MIN(4,4+'5. Scenarios'!$E$8))/4)*'5. Scenarios'!$E$6/(1+ProductivityDefault*('5. Scenarios'!$E$11-1))+INDEX(BookOneOff,87)*$S92)</f>
        <v/>
      </c>
    </row>
    <row r="93" customFormat="false" ht="15" hidden="false" customHeight="false" outlineLevel="0" collapsed="false">
      <c r="A93" s="0" t="str">
        <f aca="false">IF(INDEX(BookTitle,88)="","",INDEX(BookKey,88))</f>
        <v/>
      </c>
      <c r="B93" s="0" t="str">
        <f aca="false">IF(INDEX(BookTitle,88)="","",INDEX(BookGroup,88))</f>
        <v/>
      </c>
      <c r="C93" s="0" t="str">
        <f aca="false">IF(INDEX(BookTitle,88)="","",INDEX(BookCategory,88))</f>
        <v/>
      </c>
      <c r="D93" s="56" t="str">
        <f aca="false">IF(INDEX(BookTitle,88)="","",INDEX(BookTotal,88)*'5. Scenarios'!$B$6/(1+ProductivityDefault*('5. Scenarios'!$B$11-1)))</f>
        <v/>
      </c>
      <c r="E93" s="57" t="str">
        <f aca="false">IF($D93="","",INDEX(BookRate,88)*(1+'5. Scenarios'!$B$10)*$D93)</f>
        <v/>
      </c>
      <c r="F93" s="57" t="str">
        <f aca="false">IF($E93="","",SUMIFS($E$6:$E$2405,$A$6:$A$2405,"&lt;="&amp;$A93))</f>
        <v/>
      </c>
      <c r="G93" s="57" t="str">
        <f aca="false">IF($E93="","",IF($F93&lt;=BankCostEnvelope*'5. Scenarios'!$B$7,1,0))</f>
        <v/>
      </c>
      <c r="H93" s="57" t="str">
        <f aca="false">IF($D93="","",INDEX(BookRate,88)*(1+'5. Scenarios'!$B$10)*(INDEX(BookQ1,88)*(5-MIN(4,1+'5. Scenarios'!$B$8))/4+INDEX(BookQ2,88)*(5-MIN(4,2+'5. Scenarios'!$B$8))/4+INDEX(BookQ3,88)*(5-MIN(4,3+'5. Scenarios'!$B$8))/4+INDEX(BookQ4,88)*(5-MIN(4,4+'5. Scenarios'!$B$8))/4)*'5. Scenarios'!$B$6/(1+ProductivityDefault*('5. Scenarios'!$B$11-1))+INDEX(BookOneOff,88)*$D93)</f>
        <v/>
      </c>
      <c r="I93" s="56" t="str">
        <f aca="false">IF(INDEX(BookTitle,88)="","",INDEX(BookTotal,88)*'5. Scenarios'!$C$6/(1+ProductivityDefault*('5. Scenarios'!$C$11-1)))</f>
        <v/>
      </c>
      <c r="J93" s="57" t="str">
        <f aca="false">IF($I93="","",INDEX(BookRate,88)*(1+'5. Scenarios'!$C$10)*$I93)</f>
        <v/>
      </c>
      <c r="K93" s="57" t="str">
        <f aca="false">IF($J93="","",SUMIFS($J$6:$J$2405,$A$6:$A$2405,"&lt;="&amp;$A93))</f>
        <v/>
      </c>
      <c r="L93" s="57" t="str">
        <f aca="false">IF($J93="","",IF($K93&lt;=BankCostEnvelope*'5. Scenarios'!$C$7,1,0))</f>
        <v/>
      </c>
      <c r="M93" s="57" t="str">
        <f aca="false">IF($I93="","",INDEX(BookRate,88)*(1+'5. Scenarios'!$C$10)*(INDEX(BookQ1,88)*(5-MIN(4,1+'5. Scenarios'!$C$8))/4+INDEX(BookQ2,88)*(5-MIN(4,2+'5. Scenarios'!$C$8))/4+INDEX(BookQ3,88)*(5-MIN(4,3+'5. Scenarios'!$C$8))/4+INDEX(BookQ4,88)*(5-MIN(4,4+'5. Scenarios'!$C$8))/4)*'5. Scenarios'!$C$6/(1+ProductivityDefault*('5. Scenarios'!$C$11-1))+INDEX(BookOneOff,88)*$I93)</f>
        <v/>
      </c>
      <c r="N93" s="56" t="str">
        <f aca="false">IF(INDEX(BookTitle,88)="","",INDEX(BookTotal,88)*'5. Scenarios'!$D$6/(1+ProductivityDefault*('5. Scenarios'!$D$11-1)))</f>
        <v/>
      </c>
      <c r="O93" s="57" t="str">
        <f aca="false">IF($N93="","",INDEX(BookRate,88)*(1+'5. Scenarios'!$D$10)*$N93)</f>
        <v/>
      </c>
      <c r="P93" s="57" t="str">
        <f aca="false">IF($O93="","",SUMIFS($O$6:$O$2405,$A$6:$A$2405,"&lt;="&amp;$A93))</f>
        <v/>
      </c>
      <c r="Q93" s="57" t="str">
        <f aca="false">IF($O93="","",IF($P93&lt;=BankCostEnvelope*'5. Scenarios'!$D$7,1,0))</f>
        <v/>
      </c>
      <c r="R93" s="57" t="str">
        <f aca="false">IF($N93="","",INDEX(BookRate,88)*(1+'5. Scenarios'!$D$10)*(INDEX(BookQ1,88)*(5-MIN(4,1+'5. Scenarios'!$D$8))/4+INDEX(BookQ2,88)*(5-MIN(4,2+'5. Scenarios'!$D$8))/4+INDEX(BookQ3,88)*(5-MIN(4,3+'5. Scenarios'!$D$8))/4+INDEX(BookQ4,88)*(5-MIN(4,4+'5. Scenarios'!$D$8))/4)*'5. Scenarios'!$D$6/(1+ProductivityDefault*('5. Scenarios'!$D$11-1))+INDEX(BookOneOff,88)*$N93)</f>
        <v/>
      </c>
      <c r="S93" s="56" t="str">
        <f aca="false">IF(INDEX(BookTitle,88)="","",INDEX(BookTotal,88)*'5. Scenarios'!$E$6/(1+ProductivityDefault*('5. Scenarios'!$E$11-1)))</f>
        <v/>
      </c>
      <c r="T93" s="57" t="str">
        <f aca="false">IF($S93="","",INDEX(BookRate,88)*(1+'5. Scenarios'!$E$10)*$S93)</f>
        <v/>
      </c>
      <c r="U93" s="57" t="str">
        <f aca="false">IF($T93="","",SUMIFS($T$6:$T$2405,$A$6:$A$2405,"&lt;="&amp;$A93))</f>
        <v/>
      </c>
      <c r="V93" s="57" t="str">
        <f aca="false">IF($T93="","",IF($U93&lt;=BankCostEnvelope*'5. Scenarios'!$E$7,1,0))</f>
        <v/>
      </c>
      <c r="W93" s="57" t="str">
        <f aca="false">IF($S93="","",INDEX(BookRate,88)*(1+'5. Scenarios'!$E$10)*(INDEX(BookQ1,88)*(5-MIN(4,1+'5. Scenarios'!$E$8))/4+INDEX(BookQ2,88)*(5-MIN(4,2+'5. Scenarios'!$E$8))/4+INDEX(BookQ3,88)*(5-MIN(4,3+'5. Scenarios'!$E$8))/4+INDEX(BookQ4,88)*(5-MIN(4,4+'5. Scenarios'!$E$8))/4)*'5. Scenarios'!$E$6/(1+ProductivityDefault*('5. Scenarios'!$E$11-1))+INDEX(BookOneOff,88)*$S93)</f>
        <v/>
      </c>
    </row>
    <row r="94" customFormat="false" ht="15" hidden="false" customHeight="false" outlineLevel="0" collapsed="false">
      <c r="A94" s="0" t="str">
        <f aca="false">IF(INDEX(BookTitle,89)="","",INDEX(BookKey,89))</f>
        <v/>
      </c>
      <c r="B94" s="0" t="str">
        <f aca="false">IF(INDEX(BookTitle,89)="","",INDEX(BookGroup,89))</f>
        <v/>
      </c>
      <c r="C94" s="0" t="str">
        <f aca="false">IF(INDEX(BookTitle,89)="","",INDEX(BookCategory,89))</f>
        <v/>
      </c>
      <c r="D94" s="56" t="str">
        <f aca="false">IF(INDEX(BookTitle,89)="","",INDEX(BookTotal,89)*'5. Scenarios'!$B$6/(1+ProductivityDefault*('5. Scenarios'!$B$11-1)))</f>
        <v/>
      </c>
      <c r="E94" s="57" t="str">
        <f aca="false">IF($D94="","",INDEX(BookRate,89)*(1+'5. Scenarios'!$B$10)*$D94)</f>
        <v/>
      </c>
      <c r="F94" s="57" t="str">
        <f aca="false">IF($E94="","",SUMIFS($E$6:$E$2405,$A$6:$A$2405,"&lt;="&amp;$A94))</f>
        <v/>
      </c>
      <c r="G94" s="57" t="str">
        <f aca="false">IF($E94="","",IF($F94&lt;=BankCostEnvelope*'5. Scenarios'!$B$7,1,0))</f>
        <v/>
      </c>
      <c r="H94" s="57" t="str">
        <f aca="false">IF($D94="","",INDEX(BookRate,89)*(1+'5. Scenarios'!$B$10)*(INDEX(BookQ1,89)*(5-MIN(4,1+'5. Scenarios'!$B$8))/4+INDEX(BookQ2,89)*(5-MIN(4,2+'5. Scenarios'!$B$8))/4+INDEX(BookQ3,89)*(5-MIN(4,3+'5. Scenarios'!$B$8))/4+INDEX(BookQ4,89)*(5-MIN(4,4+'5. Scenarios'!$B$8))/4)*'5. Scenarios'!$B$6/(1+ProductivityDefault*('5. Scenarios'!$B$11-1))+INDEX(BookOneOff,89)*$D94)</f>
        <v/>
      </c>
      <c r="I94" s="56" t="str">
        <f aca="false">IF(INDEX(BookTitle,89)="","",INDEX(BookTotal,89)*'5. Scenarios'!$C$6/(1+ProductivityDefault*('5. Scenarios'!$C$11-1)))</f>
        <v/>
      </c>
      <c r="J94" s="57" t="str">
        <f aca="false">IF($I94="","",INDEX(BookRate,89)*(1+'5. Scenarios'!$C$10)*$I94)</f>
        <v/>
      </c>
      <c r="K94" s="57" t="str">
        <f aca="false">IF($J94="","",SUMIFS($J$6:$J$2405,$A$6:$A$2405,"&lt;="&amp;$A94))</f>
        <v/>
      </c>
      <c r="L94" s="57" t="str">
        <f aca="false">IF($J94="","",IF($K94&lt;=BankCostEnvelope*'5. Scenarios'!$C$7,1,0))</f>
        <v/>
      </c>
      <c r="M94" s="57" t="str">
        <f aca="false">IF($I94="","",INDEX(BookRate,89)*(1+'5. Scenarios'!$C$10)*(INDEX(BookQ1,89)*(5-MIN(4,1+'5. Scenarios'!$C$8))/4+INDEX(BookQ2,89)*(5-MIN(4,2+'5. Scenarios'!$C$8))/4+INDEX(BookQ3,89)*(5-MIN(4,3+'5. Scenarios'!$C$8))/4+INDEX(BookQ4,89)*(5-MIN(4,4+'5. Scenarios'!$C$8))/4)*'5. Scenarios'!$C$6/(1+ProductivityDefault*('5. Scenarios'!$C$11-1))+INDEX(BookOneOff,89)*$I94)</f>
        <v/>
      </c>
      <c r="N94" s="56" t="str">
        <f aca="false">IF(INDEX(BookTitle,89)="","",INDEX(BookTotal,89)*'5. Scenarios'!$D$6/(1+ProductivityDefault*('5. Scenarios'!$D$11-1)))</f>
        <v/>
      </c>
      <c r="O94" s="57" t="str">
        <f aca="false">IF($N94="","",INDEX(BookRate,89)*(1+'5. Scenarios'!$D$10)*$N94)</f>
        <v/>
      </c>
      <c r="P94" s="57" t="str">
        <f aca="false">IF($O94="","",SUMIFS($O$6:$O$2405,$A$6:$A$2405,"&lt;="&amp;$A94))</f>
        <v/>
      </c>
      <c r="Q94" s="57" t="str">
        <f aca="false">IF($O94="","",IF($P94&lt;=BankCostEnvelope*'5. Scenarios'!$D$7,1,0))</f>
        <v/>
      </c>
      <c r="R94" s="57" t="str">
        <f aca="false">IF($N94="","",INDEX(BookRate,89)*(1+'5. Scenarios'!$D$10)*(INDEX(BookQ1,89)*(5-MIN(4,1+'5. Scenarios'!$D$8))/4+INDEX(BookQ2,89)*(5-MIN(4,2+'5. Scenarios'!$D$8))/4+INDEX(BookQ3,89)*(5-MIN(4,3+'5. Scenarios'!$D$8))/4+INDEX(BookQ4,89)*(5-MIN(4,4+'5. Scenarios'!$D$8))/4)*'5. Scenarios'!$D$6/(1+ProductivityDefault*('5. Scenarios'!$D$11-1))+INDEX(BookOneOff,89)*$N94)</f>
        <v/>
      </c>
      <c r="S94" s="56" t="str">
        <f aca="false">IF(INDEX(BookTitle,89)="","",INDEX(BookTotal,89)*'5. Scenarios'!$E$6/(1+ProductivityDefault*('5. Scenarios'!$E$11-1)))</f>
        <v/>
      </c>
      <c r="T94" s="57" t="str">
        <f aca="false">IF($S94="","",INDEX(BookRate,89)*(1+'5. Scenarios'!$E$10)*$S94)</f>
        <v/>
      </c>
      <c r="U94" s="57" t="str">
        <f aca="false">IF($T94="","",SUMIFS($T$6:$T$2405,$A$6:$A$2405,"&lt;="&amp;$A94))</f>
        <v/>
      </c>
      <c r="V94" s="57" t="str">
        <f aca="false">IF($T94="","",IF($U94&lt;=BankCostEnvelope*'5. Scenarios'!$E$7,1,0))</f>
        <v/>
      </c>
      <c r="W94" s="57" t="str">
        <f aca="false">IF($S94="","",INDEX(BookRate,89)*(1+'5. Scenarios'!$E$10)*(INDEX(BookQ1,89)*(5-MIN(4,1+'5. Scenarios'!$E$8))/4+INDEX(BookQ2,89)*(5-MIN(4,2+'5. Scenarios'!$E$8))/4+INDEX(BookQ3,89)*(5-MIN(4,3+'5. Scenarios'!$E$8))/4+INDEX(BookQ4,89)*(5-MIN(4,4+'5. Scenarios'!$E$8))/4)*'5. Scenarios'!$E$6/(1+ProductivityDefault*('5. Scenarios'!$E$11-1))+INDEX(BookOneOff,89)*$S94)</f>
        <v/>
      </c>
    </row>
    <row r="95" customFormat="false" ht="15" hidden="false" customHeight="false" outlineLevel="0" collapsed="false">
      <c r="A95" s="0" t="str">
        <f aca="false">IF(INDEX(BookTitle,90)="","",INDEX(BookKey,90))</f>
        <v/>
      </c>
      <c r="B95" s="0" t="str">
        <f aca="false">IF(INDEX(BookTitle,90)="","",INDEX(BookGroup,90))</f>
        <v/>
      </c>
      <c r="C95" s="0" t="str">
        <f aca="false">IF(INDEX(BookTitle,90)="","",INDEX(BookCategory,90))</f>
        <v/>
      </c>
      <c r="D95" s="56" t="str">
        <f aca="false">IF(INDEX(BookTitle,90)="","",INDEX(BookTotal,90)*'5. Scenarios'!$B$6/(1+ProductivityDefault*('5. Scenarios'!$B$11-1)))</f>
        <v/>
      </c>
      <c r="E95" s="57" t="str">
        <f aca="false">IF($D95="","",INDEX(BookRate,90)*(1+'5. Scenarios'!$B$10)*$D95)</f>
        <v/>
      </c>
      <c r="F95" s="57" t="str">
        <f aca="false">IF($E95="","",SUMIFS($E$6:$E$2405,$A$6:$A$2405,"&lt;="&amp;$A95))</f>
        <v/>
      </c>
      <c r="G95" s="57" t="str">
        <f aca="false">IF($E95="","",IF($F95&lt;=BankCostEnvelope*'5. Scenarios'!$B$7,1,0))</f>
        <v/>
      </c>
      <c r="H95" s="57" t="str">
        <f aca="false">IF($D95="","",INDEX(BookRate,90)*(1+'5. Scenarios'!$B$10)*(INDEX(BookQ1,90)*(5-MIN(4,1+'5. Scenarios'!$B$8))/4+INDEX(BookQ2,90)*(5-MIN(4,2+'5. Scenarios'!$B$8))/4+INDEX(BookQ3,90)*(5-MIN(4,3+'5. Scenarios'!$B$8))/4+INDEX(BookQ4,90)*(5-MIN(4,4+'5. Scenarios'!$B$8))/4)*'5. Scenarios'!$B$6/(1+ProductivityDefault*('5. Scenarios'!$B$11-1))+INDEX(BookOneOff,90)*$D95)</f>
        <v/>
      </c>
      <c r="I95" s="56" t="str">
        <f aca="false">IF(INDEX(BookTitle,90)="","",INDEX(BookTotal,90)*'5. Scenarios'!$C$6/(1+ProductivityDefault*('5. Scenarios'!$C$11-1)))</f>
        <v/>
      </c>
      <c r="J95" s="57" t="str">
        <f aca="false">IF($I95="","",INDEX(BookRate,90)*(1+'5. Scenarios'!$C$10)*$I95)</f>
        <v/>
      </c>
      <c r="K95" s="57" t="str">
        <f aca="false">IF($J95="","",SUMIFS($J$6:$J$2405,$A$6:$A$2405,"&lt;="&amp;$A95))</f>
        <v/>
      </c>
      <c r="L95" s="57" t="str">
        <f aca="false">IF($J95="","",IF($K95&lt;=BankCostEnvelope*'5. Scenarios'!$C$7,1,0))</f>
        <v/>
      </c>
      <c r="M95" s="57" t="str">
        <f aca="false">IF($I95="","",INDEX(BookRate,90)*(1+'5. Scenarios'!$C$10)*(INDEX(BookQ1,90)*(5-MIN(4,1+'5. Scenarios'!$C$8))/4+INDEX(BookQ2,90)*(5-MIN(4,2+'5. Scenarios'!$C$8))/4+INDEX(BookQ3,90)*(5-MIN(4,3+'5. Scenarios'!$C$8))/4+INDEX(BookQ4,90)*(5-MIN(4,4+'5. Scenarios'!$C$8))/4)*'5. Scenarios'!$C$6/(1+ProductivityDefault*('5. Scenarios'!$C$11-1))+INDEX(BookOneOff,90)*$I95)</f>
        <v/>
      </c>
      <c r="N95" s="56" t="str">
        <f aca="false">IF(INDEX(BookTitle,90)="","",INDEX(BookTotal,90)*'5. Scenarios'!$D$6/(1+ProductivityDefault*('5. Scenarios'!$D$11-1)))</f>
        <v/>
      </c>
      <c r="O95" s="57" t="str">
        <f aca="false">IF($N95="","",INDEX(BookRate,90)*(1+'5. Scenarios'!$D$10)*$N95)</f>
        <v/>
      </c>
      <c r="P95" s="57" t="str">
        <f aca="false">IF($O95="","",SUMIFS($O$6:$O$2405,$A$6:$A$2405,"&lt;="&amp;$A95))</f>
        <v/>
      </c>
      <c r="Q95" s="57" t="str">
        <f aca="false">IF($O95="","",IF($P95&lt;=BankCostEnvelope*'5. Scenarios'!$D$7,1,0))</f>
        <v/>
      </c>
      <c r="R95" s="57" t="str">
        <f aca="false">IF($N95="","",INDEX(BookRate,90)*(1+'5. Scenarios'!$D$10)*(INDEX(BookQ1,90)*(5-MIN(4,1+'5. Scenarios'!$D$8))/4+INDEX(BookQ2,90)*(5-MIN(4,2+'5. Scenarios'!$D$8))/4+INDEX(BookQ3,90)*(5-MIN(4,3+'5. Scenarios'!$D$8))/4+INDEX(BookQ4,90)*(5-MIN(4,4+'5. Scenarios'!$D$8))/4)*'5. Scenarios'!$D$6/(1+ProductivityDefault*('5. Scenarios'!$D$11-1))+INDEX(BookOneOff,90)*$N95)</f>
        <v/>
      </c>
      <c r="S95" s="56" t="str">
        <f aca="false">IF(INDEX(BookTitle,90)="","",INDEX(BookTotal,90)*'5. Scenarios'!$E$6/(1+ProductivityDefault*('5. Scenarios'!$E$11-1)))</f>
        <v/>
      </c>
      <c r="T95" s="57" t="str">
        <f aca="false">IF($S95="","",INDEX(BookRate,90)*(1+'5. Scenarios'!$E$10)*$S95)</f>
        <v/>
      </c>
      <c r="U95" s="57" t="str">
        <f aca="false">IF($T95="","",SUMIFS($T$6:$T$2405,$A$6:$A$2405,"&lt;="&amp;$A95))</f>
        <v/>
      </c>
      <c r="V95" s="57" t="str">
        <f aca="false">IF($T95="","",IF($U95&lt;=BankCostEnvelope*'5. Scenarios'!$E$7,1,0))</f>
        <v/>
      </c>
      <c r="W95" s="57" t="str">
        <f aca="false">IF($S95="","",INDEX(BookRate,90)*(1+'5. Scenarios'!$E$10)*(INDEX(BookQ1,90)*(5-MIN(4,1+'5. Scenarios'!$E$8))/4+INDEX(BookQ2,90)*(5-MIN(4,2+'5. Scenarios'!$E$8))/4+INDEX(BookQ3,90)*(5-MIN(4,3+'5. Scenarios'!$E$8))/4+INDEX(BookQ4,90)*(5-MIN(4,4+'5. Scenarios'!$E$8))/4)*'5. Scenarios'!$E$6/(1+ProductivityDefault*('5. Scenarios'!$E$11-1))+INDEX(BookOneOff,90)*$S95)</f>
        <v/>
      </c>
    </row>
    <row r="96" customFormat="false" ht="15" hidden="false" customHeight="false" outlineLevel="0" collapsed="false">
      <c r="A96" s="0" t="str">
        <f aca="false">IF(INDEX(BookTitle,91)="","",INDEX(BookKey,91))</f>
        <v/>
      </c>
      <c r="B96" s="0" t="str">
        <f aca="false">IF(INDEX(BookTitle,91)="","",INDEX(BookGroup,91))</f>
        <v/>
      </c>
      <c r="C96" s="0" t="str">
        <f aca="false">IF(INDEX(BookTitle,91)="","",INDEX(BookCategory,91))</f>
        <v/>
      </c>
      <c r="D96" s="56" t="str">
        <f aca="false">IF(INDEX(BookTitle,91)="","",INDEX(BookTotal,91)*'5. Scenarios'!$B$6/(1+ProductivityDefault*('5. Scenarios'!$B$11-1)))</f>
        <v/>
      </c>
      <c r="E96" s="57" t="str">
        <f aca="false">IF($D96="","",INDEX(BookRate,91)*(1+'5. Scenarios'!$B$10)*$D96)</f>
        <v/>
      </c>
      <c r="F96" s="57" t="str">
        <f aca="false">IF($E96="","",SUMIFS($E$6:$E$2405,$A$6:$A$2405,"&lt;="&amp;$A96))</f>
        <v/>
      </c>
      <c r="G96" s="57" t="str">
        <f aca="false">IF($E96="","",IF($F96&lt;=BankCostEnvelope*'5. Scenarios'!$B$7,1,0))</f>
        <v/>
      </c>
      <c r="H96" s="57" t="str">
        <f aca="false">IF($D96="","",INDEX(BookRate,91)*(1+'5. Scenarios'!$B$10)*(INDEX(BookQ1,91)*(5-MIN(4,1+'5. Scenarios'!$B$8))/4+INDEX(BookQ2,91)*(5-MIN(4,2+'5. Scenarios'!$B$8))/4+INDEX(BookQ3,91)*(5-MIN(4,3+'5. Scenarios'!$B$8))/4+INDEX(BookQ4,91)*(5-MIN(4,4+'5. Scenarios'!$B$8))/4)*'5. Scenarios'!$B$6/(1+ProductivityDefault*('5. Scenarios'!$B$11-1))+INDEX(BookOneOff,91)*$D96)</f>
        <v/>
      </c>
      <c r="I96" s="56" t="str">
        <f aca="false">IF(INDEX(BookTitle,91)="","",INDEX(BookTotal,91)*'5. Scenarios'!$C$6/(1+ProductivityDefault*('5. Scenarios'!$C$11-1)))</f>
        <v/>
      </c>
      <c r="J96" s="57" t="str">
        <f aca="false">IF($I96="","",INDEX(BookRate,91)*(1+'5. Scenarios'!$C$10)*$I96)</f>
        <v/>
      </c>
      <c r="K96" s="57" t="str">
        <f aca="false">IF($J96="","",SUMIFS($J$6:$J$2405,$A$6:$A$2405,"&lt;="&amp;$A96))</f>
        <v/>
      </c>
      <c r="L96" s="57" t="str">
        <f aca="false">IF($J96="","",IF($K96&lt;=BankCostEnvelope*'5. Scenarios'!$C$7,1,0))</f>
        <v/>
      </c>
      <c r="M96" s="57" t="str">
        <f aca="false">IF($I96="","",INDEX(BookRate,91)*(1+'5. Scenarios'!$C$10)*(INDEX(BookQ1,91)*(5-MIN(4,1+'5. Scenarios'!$C$8))/4+INDEX(BookQ2,91)*(5-MIN(4,2+'5. Scenarios'!$C$8))/4+INDEX(BookQ3,91)*(5-MIN(4,3+'5. Scenarios'!$C$8))/4+INDEX(BookQ4,91)*(5-MIN(4,4+'5. Scenarios'!$C$8))/4)*'5. Scenarios'!$C$6/(1+ProductivityDefault*('5. Scenarios'!$C$11-1))+INDEX(BookOneOff,91)*$I96)</f>
        <v/>
      </c>
      <c r="N96" s="56" t="str">
        <f aca="false">IF(INDEX(BookTitle,91)="","",INDEX(BookTotal,91)*'5. Scenarios'!$D$6/(1+ProductivityDefault*('5. Scenarios'!$D$11-1)))</f>
        <v/>
      </c>
      <c r="O96" s="57" t="str">
        <f aca="false">IF($N96="","",INDEX(BookRate,91)*(1+'5. Scenarios'!$D$10)*$N96)</f>
        <v/>
      </c>
      <c r="P96" s="57" t="str">
        <f aca="false">IF($O96="","",SUMIFS($O$6:$O$2405,$A$6:$A$2405,"&lt;="&amp;$A96))</f>
        <v/>
      </c>
      <c r="Q96" s="57" t="str">
        <f aca="false">IF($O96="","",IF($P96&lt;=BankCostEnvelope*'5. Scenarios'!$D$7,1,0))</f>
        <v/>
      </c>
      <c r="R96" s="57" t="str">
        <f aca="false">IF($N96="","",INDEX(BookRate,91)*(1+'5. Scenarios'!$D$10)*(INDEX(BookQ1,91)*(5-MIN(4,1+'5. Scenarios'!$D$8))/4+INDEX(BookQ2,91)*(5-MIN(4,2+'5. Scenarios'!$D$8))/4+INDEX(BookQ3,91)*(5-MIN(4,3+'5. Scenarios'!$D$8))/4+INDEX(BookQ4,91)*(5-MIN(4,4+'5. Scenarios'!$D$8))/4)*'5. Scenarios'!$D$6/(1+ProductivityDefault*('5. Scenarios'!$D$11-1))+INDEX(BookOneOff,91)*$N96)</f>
        <v/>
      </c>
      <c r="S96" s="56" t="str">
        <f aca="false">IF(INDEX(BookTitle,91)="","",INDEX(BookTotal,91)*'5. Scenarios'!$E$6/(1+ProductivityDefault*('5. Scenarios'!$E$11-1)))</f>
        <v/>
      </c>
      <c r="T96" s="57" t="str">
        <f aca="false">IF($S96="","",INDEX(BookRate,91)*(1+'5. Scenarios'!$E$10)*$S96)</f>
        <v/>
      </c>
      <c r="U96" s="57" t="str">
        <f aca="false">IF($T96="","",SUMIFS($T$6:$T$2405,$A$6:$A$2405,"&lt;="&amp;$A96))</f>
        <v/>
      </c>
      <c r="V96" s="57" t="str">
        <f aca="false">IF($T96="","",IF($U96&lt;=BankCostEnvelope*'5. Scenarios'!$E$7,1,0))</f>
        <v/>
      </c>
      <c r="W96" s="57" t="str">
        <f aca="false">IF($S96="","",INDEX(BookRate,91)*(1+'5. Scenarios'!$E$10)*(INDEX(BookQ1,91)*(5-MIN(4,1+'5. Scenarios'!$E$8))/4+INDEX(BookQ2,91)*(5-MIN(4,2+'5. Scenarios'!$E$8))/4+INDEX(BookQ3,91)*(5-MIN(4,3+'5. Scenarios'!$E$8))/4+INDEX(BookQ4,91)*(5-MIN(4,4+'5. Scenarios'!$E$8))/4)*'5. Scenarios'!$E$6/(1+ProductivityDefault*('5. Scenarios'!$E$11-1))+INDEX(BookOneOff,91)*$S96)</f>
        <v/>
      </c>
    </row>
    <row r="97" customFormat="false" ht="15" hidden="false" customHeight="false" outlineLevel="0" collapsed="false">
      <c r="A97" s="0" t="str">
        <f aca="false">IF(INDEX(BookTitle,92)="","",INDEX(BookKey,92))</f>
        <v/>
      </c>
      <c r="B97" s="0" t="str">
        <f aca="false">IF(INDEX(BookTitle,92)="","",INDEX(BookGroup,92))</f>
        <v/>
      </c>
      <c r="C97" s="0" t="str">
        <f aca="false">IF(INDEX(BookTitle,92)="","",INDEX(BookCategory,92))</f>
        <v/>
      </c>
      <c r="D97" s="56" t="str">
        <f aca="false">IF(INDEX(BookTitle,92)="","",INDEX(BookTotal,92)*'5. Scenarios'!$B$6/(1+ProductivityDefault*('5. Scenarios'!$B$11-1)))</f>
        <v/>
      </c>
      <c r="E97" s="57" t="str">
        <f aca="false">IF($D97="","",INDEX(BookRate,92)*(1+'5. Scenarios'!$B$10)*$D97)</f>
        <v/>
      </c>
      <c r="F97" s="57" t="str">
        <f aca="false">IF($E97="","",SUMIFS($E$6:$E$2405,$A$6:$A$2405,"&lt;="&amp;$A97))</f>
        <v/>
      </c>
      <c r="G97" s="57" t="str">
        <f aca="false">IF($E97="","",IF($F97&lt;=BankCostEnvelope*'5. Scenarios'!$B$7,1,0))</f>
        <v/>
      </c>
      <c r="H97" s="57" t="str">
        <f aca="false">IF($D97="","",INDEX(BookRate,92)*(1+'5. Scenarios'!$B$10)*(INDEX(BookQ1,92)*(5-MIN(4,1+'5. Scenarios'!$B$8))/4+INDEX(BookQ2,92)*(5-MIN(4,2+'5. Scenarios'!$B$8))/4+INDEX(BookQ3,92)*(5-MIN(4,3+'5. Scenarios'!$B$8))/4+INDEX(BookQ4,92)*(5-MIN(4,4+'5. Scenarios'!$B$8))/4)*'5. Scenarios'!$B$6/(1+ProductivityDefault*('5. Scenarios'!$B$11-1))+INDEX(BookOneOff,92)*$D97)</f>
        <v/>
      </c>
      <c r="I97" s="56" t="str">
        <f aca="false">IF(INDEX(BookTitle,92)="","",INDEX(BookTotal,92)*'5. Scenarios'!$C$6/(1+ProductivityDefault*('5. Scenarios'!$C$11-1)))</f>
        <v/>
      </c>
      <c r="J97" s="57" t="str">
        <f aca="false">IF($I97="","",INDEX(BookRate,92)*(1+'5. Scenarios'!$C$10)*$I97)</f>
        <v/>
      </c>
      <c r="K97" s="57" t="str">
        <f aca="false">IF($J97="","",SUMIFS($J$6:$J$2405,$A$6:$A$2405,"&lt;="&amp;$A97))</f>
        <v/>
      </c>
      <c r="L97" s="57" t="str">
        <f aca="false">IF($J97="","",IF($K97&lt;=BankCostEnvelope*'5. Scenarios'!$C$7,1,0))</f>
        <v/>
      </c>
      <c r="M97" s="57" t="str">
        <f aca="false">IF($I97="","",INDEX(BookRate,92)*(1+'5. Scenarios'!$C$10)*(INDEX(BookQ1,92)*(5-MIN(4,1+'5. Scenarios'!$C$8))/4+INDEX(BookQ2,92)*(5-MIN(4,2+'5. Scenarios'!$C$8))/4+INDEX(BookQ3,92)*(5-MIN(4,3+'5. Scenarios'!$C$8))/4+INDEX(BookQ4,92)*(5-MIN(4,4+'5. Scenarios'!$C$8))/4)*'5. Scenarios'!$C$6/(1+ProductivityDefault*('5. Scenarios'!$C$11-1))+INDEX(BookOneOff,92)*$I97)</f>
        <v/>
      </c>
      <c r="N97" s="56" t="str">
        <f aca="false">IF(INDEX(BookTitle,92)="","",INDEX(BookTotal,92)*'5. Scenarios'!$D$6/(1+ProductivityDefault*('5. Scenarios'!$D$11-1)))</f>
        <v/>
      </c>
      <c r="O97" s="57" t="str">
        <f aca="false">IF($N97="","",INDEX(BookRate,92)*(1+'5. Scenarios'!$D$10)*$N97)</f>
        <v/>
      </c>
      <c r="P97" s="57" t="str">
        <f aca="false">IF($O97="","",SUMIFS($O$6:$O$2405,$A$6:$A$2405,"&lt;="&amp;$A97))</f>
        <v/>
      </c>
      <c r="Q97" s="57" t="str">
        <f aca="false">IF($O97="","",IF($P97&lt;=BankCostEnvelope*'5. Scenarios'!$D$7,1,0))</f>
        <v/>
      </c>
      <c r="R97" s="57" t="str">
        <f aca="false">IF($N97="","",INDEX(BookRate,92)*(1+'5. Scenarios'!$D$10)*(INDEX(BookQ1,92)*(5-MIN(4,1+'5. Scenarios'!$D$8))/4+INDEX(BookQ2,92)*(5-MIN(4,2+'5. Scenarios'!$D$8))/4+INDEX(BookQ3,92)*(5-MIN(4,3+'5. Scenarios'!$D$8))/4+INDEX(BookQ4,92)*(5-MIN(4,4+'5. Scenarios'!$D$8))/4)*'5. Scenarios'!$D$6/(1+ProductivityDefault*('5. Scenarios'!$D$11-1))+INDEX(BookOneOff,92)*$N97)</f>
        <v/>
      </c>
      <c r="S97" s="56" t="str">
        <f aca="false">IF(INDEX(BookTitle,92)="","",INDEX(BookTotal,92)*'5. Scenarios'!$E$6/(1+ProductivityDefault*('5. Scenarios'!$E$11-1)))</f>
        <v/>
      </c>
      <c r="T97" s="57" t="str">
        <f aca="false">IF($S97="","",INDEX(BookRate,92)*(1+'5. Scenarios'!$E$10)*$S97)</f>
        <v/>
      </c>
      <c r="U97" s="57" t="str">
        <f aca="false">IF($T97="","",SUMIFS($T$6:$T$2405,$A$6:$A$2405,"&lt;="&amp;$A97))</f>
        <v/>
      </c>
      <c r="V97" s="57" t="str">
        <f aca="false">IF($T97="","",IF($U97&lt;=BankCostEnvelope*'5. Scenarios'!$E$7,1,0))</f>
        <v/>
      </c>
      <c r="W97" s="57" t="str">
        <f aca="false">IF($S97="","",INDEX(BookRate,92)*(1+'5. Scenarios'!$E$10)*(INDEX(BookQ1,92)*(5-MIN(4,1+'5. Scenarios'!$E$8))/4+INDEX(BookQ2,92)*(5-MIN(4,2+'5. Scenarios'!$E$8))/4+INDEX(BookQ3,92)*(5-MIN(4,3+'5. Scenarios'!$E$8))/4+INDEX(BookQ4,92)*(5-MIN(4,4+'5. Scenarios'!$E$8))/4)*'5. Scenarios'!$E$6/(1+ProductivityDefault*('5. Scenarios'!$E$11-1))+INDEX(BookOneOff,92)*$S97)</f>
        <v/>
      </c>
    </row>
    <row r="98" customFormat="false" ht="15" hidden="false" customHeight="false" outlineLevel="0" collapsed="false">
      <c r="A98" s="0" t="str">
        <f aca="false">IF(INDEX(BookTitle,93)="","",INDEX(BookKey,93))</f>
        <v/>
      </c>
      <c r="B98" s="0" t="str">
        <f aca="false">IF(INDEX(BookTitle,93)="","",INDEX(BookGroup,93))</f>
        <v/>
      </c>
      <c r="C98" s="0" t="str">
        <f aca="false">IF(INDEX(BookTitle,93)="","",INDEX(BookCategory,93))</f>
        <v/>
      </c>
      <c r="D98" s="56" t="str">
        <f aca="false">IF(INDEX(BookTitle,93)="","",INDEX(BookTotal,93)*'5. Scenarios'!$B$6/(1+ProductivityDefault*('5. Scenarios'!$B$11-1)))</f>
        <v/>
      </c>
      <c r="E98" s="57" t="str">
        <f aca="false">IF($D98="","",INDEX(BookRate,93)*(1+'5. Scenarios'!$B$10)*$D98)</f>
        <v/>
      </c>
      <c r="F98" s="57" t="str">
        <f aca="false">IF($E98="","",SUMIFS($E$6:$E$2405,$A$6:$A$2405,"&lt;="&amp;$A98))</f>
        <v/>
      </c>
      <c r="G98" s="57" t="str">
        <f aca="false">IF($E98="","",IF($F98&lt;=BankCostEnvelope*'5. Scenarios'!$B$7,1,0))</f>
        <v/>
      </c>
      <c r="H98" s="57" t="str">
        <f aca="false">IF($D98="","",INDEX(BookRate,93)*(1+'5. Scenarios'!$B$10)*(INDEX(BookQ1,93)*(5-MIN(4,1+'5. Scenarios'!$B$8))/4+INDEX(BookQ2,93)*(5-MIN(4,2+'5. Scenarios'!$B$8))/4+INDEX(BookQ3,93)*(5-MIN(4,3+'5. Scenarios'!$B$8))/4+INDEX(BookQ4,93)*(5-MIN(4,4+'5. Scenarios'!$B$8))/4)*'5. Scenarios'!$B$6/(1+ProductivityDefault*('5. Scenarios'!$B$11-1))+INDEX(BookOneOff,93)*$D98)</f>
        <v/>
      </c>
      <c r="I98" s="56" t="str">
        <f aca="false">IF(INDEX(BookTitle,93)="","",INDEX(BookTotal,93)*'5. Scenarios'!$C$6/(1+ProductivityDefault*('5. Scenarios'!$C$11-1)))</f>
        <v/>
      </c>
      <c r="J98" s="57" t="str">
        <f aca="false">IF($I98="","",INDEX(BookRate,93)*(1+'5. Scenarios'!$C$10)*$I98)</f>
        <v/>
      </c>
      <c r="K98" s="57" t="str">
        <f aca="false">IF($J98="","",SUMIFS($J$6:$J$2405,$A$6:$A$2405,"&lt;="&amp;$A98))</f>
        <v/>
      </c>
      <c r="L98" s="57" t="str">
        <f aca="false">IF($J98="","",IF($K98&lt;=BankCostEnvelope*'5. Scenarios'!$C$7,1,0))</f>
        <v/>
      </c>
      <c r="M98" s="57" t="str">
        <f aca="false">IF($I98="","",INDEX(BookRate,93)*(1+'5. Scenarios'!$C$10)*(INDEX(BookQ1,93)*(5-MIN(4,1+'5. Scenarios'!$C$8))/4+INDEX(BookQ2,93)*(5-MIN(4,2+'5. Scenarios'!$C$8))/4+INDEX(BookQ3,93)*(5-MIN(4,3+'5. Scenarios'!$C$8))/4+INDEX(BookQ4,93)*(5-MIN(4,4+'5. Scenarios'!$C$8))/4)*'5. Scenarios'!$C$6/(1+ProductivityDefault*('5. Scenarios'!$C$11-1))+INDEX(BookOneOff,93)*$I98)</f>
        <v/>
      </c>
      <c r="N98" s="56" t="str">
        <f aca="false">IF(INDEX(BookTitle,93)="","",INDEX(BookTotal,93)*'5. Scenarios'!$D$6/(1+ProductivityDefault*('5. Scenarios'!$D$11-1)))</f>
        <v/>
      </c>
      <c r="O98" s="57" t="str">
        <f aca="false">IF($N98="","",INDEX(BookRate,93)*(1+'5. Scenarios'!$D$10)*$N98)</f>
        <v/>
      </c>
      <c r="P98" s="57" t="str">
        <f aca="false">IF($O98="","",SUMIFS($O$6:$O$2405,$A$6:$A$2405,"&lt;="&amp;$A98))</f>
        <v/>
      </c>
      <c r="Q98" s="57" t="str">
        <f aca="false">IF($O98="","",IF($P98&lt;=BankCostEnvelope*'5. Scenarios'!$D$7,1,0))</f>
        <v/>
      </c>
      <c r="R98" s="57" t="str">
        <f aca="false">IF($N98="","",INDEX(BookRate,93)*(1+'5. Scenarios'!$D$10)*(INDEX(BookQ1,93)*(5-MIN(4,1+'5. Scenarios'!$D$8))/4+INDEX(BookQ2,93)*(5-MIN(4,2+'5. Scenarios'!$D$8))/4+INDEX(BookQ3,93)*(5-MIN(4,3+'5. Scenarios'!$D$8))/4+INDEX(BookQ4,93)*(5-MIN(4,4+'5. Scenarios'!$D$8))/4)*'5. Scenarios'!$D$6/(1+ProductivityDefault*('5. Scenarios'!$D$11-1))+INDEX(BookOneOff,93)*$N98)</f>
        <v/>
      </c>
      <c r="S98" s="56" t="str">
        <f aca="false">IF(INDEX(BookTitle,93)="","",INDEX(BookTotal,93)*'5. Scenarios'!$E$6/(1+ProductivityDefault*('5. Scenarios'!$E$11-1)))</f>
        <v/>
      </c>
      <c r="T98" s="57" t="str">
        <f aca="false">IF($S98="","",INDEX(BookRate,93)*(1+'5. Scenarios'!$E$10)*$S98)</f>
        <v/>
      </c>
      <c r="U98" s="57" t="str">
        <f aca="false">IF($T98="","",SUMIFS($T$6:$T$2405,$A$6:$A$2405,"&lt;="&amp;$A98))</f>
        <v/>
      </c>
      <c r="V98" s="57" t="str">
        <f aca="false">IF($T98="","",IF($U98&lt;=BankCostEnvelope*'5. Scenarios'!$E$7,1,0))</f>
        <v/>
      </c>
      <c r="W98" s="57" t="str">
        <f aca="false">IF($S98="","",INDEX(BookRate,93)*(1+'5. Scenarios'!$E$10)*(INDEX(BookQ1,93)*(5-MIN(4,1+'5. Scenarios'!$E$8))/4+INDEX(BookQ2,93)*(5-MIN(4,2+'5. Scenarios'!$E$8))/4+INDEX(BookQ3,93)*(5-MIN(4,3+'5. Scenarios'!$E$8))/4+INDEX(BookQ4,93)*(5-MIN(4,4+'5. Scenarios'!$E$8))/4)*'5. Scenarios'!$E$6/(1+ProductivityDefault*('5. Scenarios'!$E$11-1))+INDEX(BookOneOff,93)*$S98)</f>
        <v/>
      </c>
    </row>
    <row r="99" customFormat="false" ht="15" hidden="false" customHeight="false" outlineLevel="0" collapsed="false">
      <c r="A99" s="0" t="str">
        <f aca="false">IF(INDEX(BookTitle,94)="","",INDEX(BookKey,94))</f>
        <v/>
      </c>
      <c r="B99" s="0" t="str">
        <f aca="false">IF(INDEX(BookTitle,94)="","",INDEX(BookGroup,94))</f>
        <v/>
      </c>
      <c r="C99" s="0" t="str">
        <f aca="false">IF(INDEX(BookTitle,94)="","",INDEX(BookCategory,94))</f>
        <v/>
      </c>
      <c r="D99" s="56" t="str">
        <f aca="false">IF(INDEX(BookTitle,94)="","",INDEX(BookTotal,94)*'5. Scenarios'!$B$6/(1+ProductivityDefault*('5. Scenarios'!$B$11-1)))</f>
        <v/>
      </c>
      <c r="E99" s="57" t="str">
        <f aca="false">IF($D99="","",INDEX(BookRate,94)*(1+'5. Scenarios'!$B$10)*$D99)</f>
        <v/>
      </c>
      <c r="F99" s="57" t="str">
        <f aca="false">IF($E99="","",SUMIFS($E$6:$E$2405,$A$6:$A$2405,"&lt;="&amp;$A99))</f>
        <v/>
      </c>
      <c r="G99" s="57" t="str">
        <f aca="false">IF($E99="","",IF($F99&lt;=BankCostEnvelope*'5. Scenarios'!$B$7,1,0))</f>
        <v/>
      </c>
      <c r="H99" s="57" t="str">
        <f aca="false">IF($D99="","",INDEX(BookRate,94)*(1+'5. Scenarios'!$B$10)*(INDEX(BookQ1,94)*(5-MIN(4,1+'5. Scenarios'!$B$8))/4+INDEX(BookQ2,94)*(5-MIN(4,2+'5. Scenarios'!$B$8))/4+INDEX(BookQ3,94)*(5-MIN(4,3+'5. Scenarios'!$B$8))/4+INDEX(BookQ4,94)*(5-MIN(4,4+'5. Scenarios'!$B$8))/4)*'5. Scenarios'!$B$6/(1+ProductivityDefault*('5. Scenarios'!$B$11-1))+INDEX(BookOneOff,94)*$D99)</f>
        <v/>
      </c>
      <c r="I99" s="56" t="str">
        <f aca="false">IF(INDEX(BookTitle,94)="","",INDEX(BookTotal,94)*'5. Scenarios'!$C$6/(1+ProductivityDefault*('5. Scenarios'!$C$11-1)))</f>
        <v/>
      </c>
      <c r="J99" s="57" t="str">
        <f aca="false">IF($I99="","",INDEX(BookRate,94)*(1+'5. Scenarios'!$C$10)*$I99)</f>
        <v/>
      </c>
      <c r="K99" s="57" t="str">
        <f aca="false">IF($J99="","",SUMIFS($J$6:$J$2405,$A$6:$A$2405,"&lt;="&amp;$A99))</f>
        <v/>
      </c>
      <c r="L99" s="57" t="str">
        <f aca="false">IF($J99="","",IF($K99&lt;=BankCostEnvelope*'5. Scenarios'!$C$7,1,0))</f>
        <v/>
      </c>
      <c r="M99" s="57" t="str">
        <f aca="false">IF($I99="","",INDEX(BookRate,94)*(1+'5. Scenarios'!$C$10)*(INDEX(BookQ1,94)*(5-MIN(4,1+'5. Scenarios'!$C$8))/4+INDEX(BookQ2,94)*(5-MIN(4,2+'5. Scenarios'!$C$8))/4+INDEX(BookQ3,94)*(5-MIN(4,3+'5. Scenarios'!$C$8))/4+INDEX(BookQ4,94)*(5-MIN(4,4+'5. Scenarios'!$C$8))/4)*'5. Scenarios'!$C$6/(1+ProductivityDefault*('5. Scenarios'!$C$11-1))+INDEX(BookOneOff,94)*$I99)</f>
        <v/>
      </c>
      <c r="N99" s="56" t="str">
        <f aca="false">IF(INDEX(BookTitle,94)="","",INDEX(BookTotal,94)*'5. Scenarios'!$D$6/(1+ProductivityDefault*('5. Scenarios'!$D$11-1)))</f>
        <v/>
      </c>
      <c r="O99" s="57" t="str">
        <f aca="false">IF($N99="","",INDEX(BookRate,94)*(1+'5. Scenarios'!$D$10)*$N99)</f>
        <v/>
      </c>
      <c r="P99" s="57" t="str">
        <f aca="false">IF($O99="","",SUMIFS($O$6:$O$2405,$A$6:$A$2405,"&lt;="&amp;$A99))</f>
        <v/>
      </c>
      <c r="Q99" s="57" t="str">
        <f aca="false">IF($O99="","",IF($P99&lt;=BankCostEnvelope*'5. Scenarios'!$D$7,1,0))</f>
        <v/>
      </c>
      <c r="R99" s="57" t="str">
        <f aca="false">IF($N99="","",INDEX(BookRate,94)*(1+'5. Scenarios'!$D$10)*(INDEX(BookQ1,94)*(5-MIN(4,1+'5. Scenarios'!$D$8))/4+INDEX(BookQ2,94)*(5-MIN(4,2+'5. Scenarios'!$D$8))/4+INDEX(BookQ3,94)*(5-MIN(4,3+'5. Scenarios'!$D$8))/4+INDEX(BookQ4,94)*(5-MIN(4,4+'5. Scenarios'!$D$8))/4)*'5. Scenarios'!$D$6/(1+ProductivityDefault*('5. Scenarios'!$D$11-1))+INDEX(BookOneOff,94)*$N99)</f>
        <v/>
      </c>
      <c r="S99" s="56" t="str">
        <f aca="false">IF(INDEX(BookTitle,94)="","",INDEX(BookTotal,94)*'5. Scenarios'!$E$6/(1+ProductivityDefault*('5. Scenarios'!$E$11-1)))</f>
        <v/>
      </c>
      <c r="T99" s="57" t="str">
        <f aca="false">IF($S99="","",INDEX(BookRate,94)*(1+'5. Scenarios'!$E$10)*$S99)</f>
        <v/>
      </c>
      <c r="U99" s="57" t="str">
        <f aca="false">IF($T99="","",SUMIFS($T$6:$T$2405,$A$6:$A$2405,"&lt;="&amp;$A99))</f>
        <v/>
      </c>
      <c r="V99" s="57" t="str">
        <f aca="false">IF($T99="","",IF($U99&lt;=BankCostEnvelope*'5. Scenarios'!$E$7,1,0))</f>
        <v/>
      </c>
      <c r="W99" s="57" t="str">
        <f aca="false">IF($S99="","",INDEX(BookRate,94)*(1+'5. Scenarios'!$E$10)*(INDEX(BookQ1,94)*(5-MIN(4,1+'5. Scenarios'!$E$8))/4+INDEX(BookQ2,94)*(5-MIN(4,2+'5. Scenarios'!$E$8))/4+INDEX(BookQ3,94)*(5-MIN(4,3+'5. Scenarios'!$E$8))/4+INDEX(BookQ4,94)*(5-MIN(4,4+'5. Scenarios'!$E$8))/4)*'5. Scenarios'!$E$6/(1+ProductivityDefault*('5. Scenarios'!$E$11-1))+INDEX(BookOneOff,94)*$S99)</f>
        <v/>
      </c>
    </row>
    <row r="100" customFormat="false" ht="15" hidden="false" customHeight="false" outlineLevel="0" collapsed="false">
      <c r="A100" s="0" t="str">
        <f aca="false">IF(INDEX(BookTitle,95)="","",INDEX(BookKey,95))</f>
        <v/>
      </c>
      <c r="B100" s="0" t="str">
        <f aca="false">IF(INDEX(BookTitle,95)="","",INDEX(BookGroup,95))</f>
        <v/>
      </c>
      <c r="C100" s="0" t="str">
        <f aca="false">IF(INDEX(BookTitle,95)="","",INDEX(BookCategory,95))</f>
        <v/>
      </c>
      <c r="D100" s="56" t="str">
        <f aca="false">IF(INDEX(BookTitle,95)="","",INDEX(BookTotal,95)*'5. Scenarios'!$B$6/(1+ProductivityDefault*('5. Scenarios'!$B$11-1)))</f>
        <v/>
      </c>
      <c r="E100" s="57" t="str">
        <f aca="false">IF($D100="","",INDEX(BookRate,95)*(1+'5. Scenarios'!$B$10)*$D100)</f>
        <v/>
      </c>
      <c r="F100" s="57" t="str">
        <f aca="false">IF($E100="","",SUMIFS($E$6:$E$2405,$A$6:$A$2405,"&lt;="&amp;$A100))</f>
        <v/>
      </c>
      <c r="G100" s="57" t="str">
        <f aca="false">IF($E100="","",IF($F100&lt;=BankCostEnvelope*'5. Scenarios'!$B$7,1,0))</f>
        <v/>
      </c>
      <c r="H100" s="57" t="str">
        <f aca="false">IF($D100="","",INDEX(BookRate,95)*(1+'5. Scenarios'!$B$10)*(INDEX(BookQ1,95)*(5-MIN(4,1+'5. Scenarios'!$B$8))/4+INDEX(BookQ2,95)*(5-MIN(4,2+'5. Scenarios'!$B$8))/4+INDEX(BookQ3,95)*(5-MIN(4,3+'5. Scenarios'!$B$8))/4+INDEX(BookQ4,95)*(5-MIN(4,4+'5. Scenarios'!$B$8))/4)*'5. Scenarios'!$B$6/(1+ProductivityDefault*('5. Scenarios'!$B$11-1))+INDEX(BookOneOff,95)*$D100)</f>
        <v/>
      </c>
      <c r="I100" s="56" t="str">
        <f aca="false">IF(INDEX(BookTitle,95)="","",INDEX(BookTotal,95)*'5. Scenarios'!$C$6/(1+ProductivityDefault*('5. Scenarios'!$C$11-1)))</f>
        <v/>
      </c>
      <c r="J100" s="57" t="str">
        <f aca="false">IF($I100="","",INDEX(BookRate,95)*(1+'5. Scenarios'!$C$10)*$I100)</f>
        <v/>
      </c>
      <c r="K100" s="57" t="str">
        <f aca="false">IF($J100="","",SUMIFS($J$6:$J$2405,$A$6:$A$2405,"&lt;="&amp;$A100))</f>
        <v/>
      </c>
      <c r="L100" s="57" t="str">
        <f aca="false">IF($J100="","",IF($K100&lt;=BankCostEnvelope*'5. Scenarios'!$C$7,1,0))</f>
        <v/>
      </c>
      <c r="M100" s="57" t="str">
        <f aca="false">IF($I100="","",INDEX(BookRate,95)*(1+'5. Scenarios'!$C$10)*(INDEX(BookQ1,95)*(5-MIN(4,1+'5. Scenarios'!$C$8))/4+INDEX(BookQ2,95)*(5-MIN(4,2+'5. Scenarios'!$C$8))/4+INDEX(BookQ3,95)*(5-MIN(4,3+'5. Scenarios'!$C$8))/4+INDEX(BookQ4,95)*(5-MIN(4,4+'5. Scenarios'!$C$8))/4)*'5. Scenarios'!$C$6/(1+ProductivityDefault*('5. Scenarios'!$C$11-1))+INDEX(BookOneOff,95)*$I100)</f>
        <v/>
      </c>
      <c r="N100" s="56" t="str">
        <f aca="false">IF(INDEX(BookTitle,95)="","",INDEX(BookTotal,95)*'5. Scenarios'!$D$6/(1+ProductivityDefault*('5. Scenarios'!$D$11-1)))</f>
        <v/>
      </c>
      <c r="O100" s="57" t="str">
        <f aca="false">IF($N100="","",INDEX(BookRate,95)*(1+'5. Scenarios'!$D$10)*$N100)</f>
        <v/>
      </c>
      <c r="P100" s="57" t="str">
        <f aca="false">IF($O100="","",SUMIFS($O$6:$O$2405,$A$6:$A$2405,"&lt;="&amp;$A100))</f>
        <v/>
      </c>
      <c r="Q100" s="57" t="str">
        <f aca="false">IF($O100="","",IF($P100&lt;=BankCostEnvelope*'5. Scenarios'!$D$7,1,0))</f>
        <v/>
      </c>
      <c r="R100" s="57" t="str">
        <f aca="false">IF($N100="","",INDEX(BookRate,95)*(1+'5. Scenarios'!$D$10)*(INDEX(BookQ1,95)*(5-MIN(4,1+'5. Scenarios'!$D$8))/4+INDEX(BookQ2,95)*(5-MIN(4,2+'5. Scenarios'!$D$8))/4+INDEX(BookQ3,95)*(5-MIN(4,3+'5. Scenarios'!$D$8))/4+INDEX(BookQ4,95)*(5-MIN(4,4+'5. Scenarios'!$D$8))/4)*'5. Scenarios'!$D$6/(1+ProductivityDefault*('5. Scenarios'!$D$11-1))+INDEX(BookOneOff,95)*$N100)</f>
        <v/>
      </c>
      <c r="S100" s="56" t="str">
        <f aca="false">IF(INDEX(BookTitle,95)="","",INDEX(BookTotal,95)*'5. Scenarios'!$E$6/(1+ProductivityDefault*('5. Scenarios'!$E$11-1)))</f>
        <v/>
      </c>
      <c r="T100" s="57" t="str">
        <f aca="false">IF($S100="","",INDEX(BookRate,95)*(1+'5. Scenarios'!$E$10)*$S100)</f>
        <v/>
      </c>
      <c r="U100" s="57" t="str">
        <f aca="false">IF($T100="","",SUMIFS($T$6:$T$2405,$A$6:$A$2405,"&lt;="&amp;$A100))</f>
        <v/>
      </c>
      <c r="V100" s="57" t="str">
        <f aca="false">IF($T100="","",IF($U100&lt;=BankCostEnvelope*'5. Scenarios'!$E$7,1,0))</f>
        <v/>
      </c>
      <c r="W100" s="57" t="str">
        <f aca="false">IF($S100="","",INDEX(BookRate,95)*(1+'5. Scenarios'!$E$10)*(INDEX(BookQ1,95)*(5-MIN(4,1+'5. Scenarios'!$E$8))/4+INDEX(BookQ2,95)*(5-MIN(4,2+'5. Scenarios'!$E$8))/4+INDEX(BookQ3,95)*(5-MIN(4,3+'5. Scenarios'!$E$8))/4+INDEX(BookQ4,95)*(5-MIN(4,4+'5. Scenarios'!$E$8))/4)*'5. Scenarios'!$E$6/(1+ProductivityDefault*('5. Scenarios'!$E$11-1))+INDEX(BookOneOff,95)*$S100)</f>
        <v/>
      </c>
    </row>
    <row r="101" customFormat="false" ht="15" hidden="false" customHeight="false" outlineLevel="0" collapsed="false">
      <c r="A101" s="0" t="str">
        <f aca="false">IF(INDEX(BookTitle,96)="","",INDEX(BookKey,96))</f>
        <v/>
      </c>
      <c r="B101" s="0" t="str">
        <f aca="false">IF(INDEX(BookTitle,96)="","",INDEX(BookGroup,96))</f>
        <v/>
      </c>
      <c r="C101" s="0" t="str">
        <f aca="false">IF(INDEX(BookTitle,96)="","",INDEX(BookCategory,96))</f>
        <v/>
      </c>
      <c r="D101" s="56" t="str">
        <f aca="false">IF(INDEX(BookTitle,96)="","",INDEX(BookTotal,96)*'5. Scenarios'!$B$6/(1+ProductivityDefault*('5. Scenarios'!$B$11-1)))</f>
        <v/>
      </c>
      <c r="E101" s="57" t="str">
        <f aca="false">IF($D101="","",INDEX(BookRate,96)*(1+'5. Scenarios'!$B$10)*$D101)</f>
        <v/>
      </c>
      <c r="F101" s="57" t="str">
        <f aca="false">IF($E101="","",SUMIFS($E$6:$E$2405,$A$6:$A$2405,"&lt;="&amp;$A101))</f>
        <v/>
      </c>
      <c r="G101" s="57" t="str">
        <f aca="false">IF($E101="","",IF($F101&lt;=BankCostEnvelope*'5. Scenarios'!$B$7,1,0))</f>
        <v/>
      </c>
      <c r="H101" s="57" t="str">
        <f aca="false">IF($D101="","",INDEX(BookRate,96)*(1+'5. Scenarios'!$B$10)*(INDEX(BookQ1,96)*(5-MIN(4,1+'5. Scenarios'!$B$8))/4+INDEX(BookQ2,96)*(5-MIN(4,2+'5. Scenarios'!$B$8))/4+INDEX(BookQ3,96)*(5-MIN(4,3+'5. Scenarios'!$B$8))/4+INDEX(BookQ4,96)*(5-MIN(4,4+'5. Scenarios'!$B$8))/4)*'5. Scenarios'!$B$6/(1+ProductivityDefault*('5. Scenarios'!$B$11-1))+INDEX(BookOneOff,96)*$D101)</f>
        <v/>
      </c>
      <c r="I101" s="56" t="str">
        <f aca="false">IF(INDEX(BookTitle,96)="","",INDEX(BookTotal,96)*'5. Scenarios'!$C$6/(1+ProductivityDefault*('5. Scenarios'!$C$11-1)))</f>
        <v/>
      </c>
      <c r="J101" s="57" t="str">
        <f aca="false">IF($I101="","",INDEX(BookRate,96)*(1+'5. Scenarios'!$C$10)*$I101)</f>
        <v/>
      </c>
      <c r="K101" s="57" t="str">
        <f aca="false">IF($J101="","",SUMIFS($J$6:$J$2405,$A$6:$A$2405,"&lt;="&amp;$A101))</f>
        <v/>
      </c>
      <c r="L101" s="57" t="str">
        <f aca="false">IF($J101="","",IF($K101&lt;=BankCostEnvelope*'5. Scenarios'!$C$7,1,0))</f>
        <v/>
      </c>
      <c r="M101" s="57" t="str">
        <f aca="false">IF($I101="","",INDEX(BookRate,96)*(1+'5. Scenarios'!$C$10)*(INDEX(BookQ1,96)*(5-MIN(4,1+'5. Scenarios'!$C$8))/4+INDEX(BookQ2,96)*(5-MIN(4,2+'5. Scenarios'!$C$8))/4+INDEX(BookQ3,96)*(5-MIN(4,3+'5. Scenarios'!$C$8))/4+INDEX(BookQ4,96)*(5-MIN(4,4+'5. Scenarios'!$C$8))/4)*'5. Scenarios'!$C$6/(1+ProductivityDefault*('5. Scenarios'!$C$11-1))+INDEX(BookOneOff,96)*$I101)</f>
        <v/>
      </c>
      <c r="N101" s="56" t="str">
        <f aca="false">IF(INDEX(BookTitle,96)="","",INDEX(BookTotal,96)*'5. Scenarios'!$D$6/(1+ProductivityDefault*('5. Scenarios'!$D$11-1)))</f>
        <v/>
      </c>
      <c r="O101" s="57" t="str">
        <f aca="false">IF($N101="","",INDEX(BookRate,96)*(1+'5. Scenarios'!$D$10)*$N101)</f>
        <v/>
      </c>
      <c r="P101" s="57" t="str">
        <f aca="false">IF($O101="","",SUMIFS($O$6:$O$2405,$A$6:$A$2405,"&lt;="&amp;$A101))</f>
        <v/>
      </c>
      <c r="Q101" s="57" t="str">
        <f aca="false">IF($O101="","",IF($P101&lt;=BankCostEnvelope*'5. Scenarios'!$D$7,1,0))</f>
        <v/>
      </c>
      <c r="R101" s="57" t="str">
        <f aca="false">IF($N101="","",INDEX(BookRate,96)*(1+'5. Scenarios'!$D$10)*(INDEX(BookQ1,96)*(5-MIN(4,1+'5. Scenarios'!$D$8))/4+INDEX(BookQ2,96)*(5-MIN(4,2+'5. Scenarios'!$D$8))/4+INDEX(BookQ3,96)*(5-MIN(4,3+'5. Scenarios'!$D$8))/4+INDEX(BookQ4,96)*(5-MIN(4,4+'5. Scenarios'!$D$8))/4)*'5. Scenarios'!$D$6/(1+ProductivityDefault*('5. Scenarios'!$D$11-1))+INDEX(BookOneOff,96)*$N101)</f>
        <v/>
      </c>
      <c r="S101" s="56" t="str">
        <f aca="false">IF(INDEX(BookTitle,96)="","",INDEX(BookTotal,96)*'5. Scenarios'!$E$6/(1+ProductivityDefault*('5. Scenarios'!$E$11-1)))</f>
        <v/>
      </c>
      <c r="T101" s="57" t="str">
        <f aca="false">IF($S101="","",INDEX(BookRate,96)*(1+'5. Scenarios'!$E$10)*$S101)</f>
        <v/>
      </c>
      <c r="U101" s="57" t="str">
        <f aca="false">IF($T101="","",SUMIFS($T$6:$T$2405,$A$6:$A$2405,"&lt;="&amp;$A101))</f>
        <v/>
      </c>
      <c r="V101" s="57" t="str">
        <f aca="false">IF($T101="","",IF($U101&lt;=BankCostEnvelope*'5. Scenarios'!$E$7,1,0))</f>
        <v/>
      </c>
      <c r="W101" s="57" t="str">
        <f aca="false">IF($S101="","",INDEX(BookRate,96)*(1+'5. Scenarios'!$E$10)*(INDEX(BookQ1,96)*(5-MIN(4,1+'5. Scenarios'!$E$8))/4+INDEX(BookQ2,96)*(5-MIN(4,2+'5. Scenarios'!$E$8))/4+INDEX(BookQ3,96)*(5-MIN(4,3+'5. Scenarios'!$E$8))/4+INDEX(BookQ4,96)*(5-MIN(4,4+'5. Scenarios'!$E$8))/4)*'5. Scenarios'!$E$6/(1+ProductivityDefault*('5. Scenarios'!$E$11-1))+INDEX(BookOneOff,96)*$S101)</f>
        <v/>
      </c>
    </row>
    <row r="102" customFormat="false" ht="15" hidden="false" customHeight="false" outlineLevel="0" collapsed="false">
      <c r="A102" s="0" t="str">
        <f aca="false">IF(INDEX(BookTitle,97)="","",INDEX(BookKey,97))</f>
        <v/>
      </c>
      <c r="B102" s="0" t="str">
        <f aca="false">IF(INDEX(BookTitle,97)="","",INDEX(BookGroup,97))</f>
        <v/>
      </c>
      <c r="C102" s="0" t="str">
        <f aca="false">IF(INDEX(BookTitle,97)="","",INDEX(BookCategory,97))</f>
        <v/>
      </c>
      <c r="D102" s="56" t="str">
        <f aca="false">IF(INDEX(BookTitle,97)="","",INDEX(BookTotal,97)*'5. Scenarios'!$B$6/(1+ProductivityDefault*('5. Scenarios'!$B$11-1)))</f>
        <v/>
      </c>
      <c r="E102" s="57" t="str">
        <f aca="false">IF($D102="","",INDEX(BookRate,97)*(1+'5. Scenarios'!$B$10)*$D102)</f>
        <v/>
      </c>
      <c r="F102" s="57" t="str">
        <f aca="false">IF($E102="","",SUMIFS($E$6:$E$2405,$A$6:$A$2405,"&lt;="&amp;$A102))</f>
        <v/>
      </c>
      <c r="G102" s="57" t="str">
        <f aca="false">IF($E102="","",IF($F102&lt;=BankCostEnvelope*'5. Scenarios'!$B$7,1,0))</f>
        <v/>
      </c>
      <c r="H102" s="57" t="str">
        <f aca="false">IF($D102="","",INDEX(BookRate,97)*(1+'5. Scenarios'!$B$10)*(INDEX(BookQ1,97)*(5-MIN(4,1+'5. Scenarios'!$B$8))/4+INDEX(BookQ2,97)*(5-MIN(4,2+'5. Scenarios'!$B$8))/4+INDEX(BookQ3,97)*(5-MIN(4,3+'5. Scenarios'!$B$8))/4+INDEX(BookQ4,97)*(5-MIN(4,4+'5. Scenarios'!$B$8))/4)*'5. Scenarios'!$B$6/(1+ProductivityDefault*('5. Scenarios'!$B$11-1))+INDEX(BookOneOff,97)*$D102)</f>
        <v/>
      </c>
      <c r="I102" s="56" t="str">
        <f aca="false">IF(INDEX(BookTitle,97)="","",INDEX(BookTotal,97)*'5. Scenarios'!$C$6/(1+ProductivityDefault*('5. Scenarios'!$C$11-1)))</f>
        <v/>
      </c>
      <c r="J102" s="57" t="str">
        <f aca="false">IF($I102="","",INDEX(BookRate,97)*(1+'5. Scenarios'!$C$10)*$I102)</f>
        <v/>
      </c>
      <c r="K102" s="57" t="str">
        <f aca="false">IF($J102="","",SUMIFS($J$6:$J$2405,$A$6:$A$2405,"&lt;="&amp;$A102))</f>
        <v/>
      </c>
      <c r="L102" s="57" t="str">
        <f aca="false">IF($J102="","",IF($K102&lt;=BankCostEnvelope*'5. Scenarios'!$C$7,1,0))</f>
        <v/>
      </c>
      <c r="M102" s="57" t="str">
        <f aca="false">IF($I102="","",INDEX(BookRate,97)*(1+'5. Scenarios'!$C$10)*(INDEX(BookQ1,97)*(5-MIN(4,1+'5. Scenarios'!$C$8))/4+INDEX(BookQ2,97)*(5-MIN(4,2+'5. Scenarios'!$C$8))/4+INDEX(BookQ3,97)*(5-MIN(4,3+'5. Scenarios'!$C$8))/4+INDEX(BookQ4,97)*(5-MIN(4,4+'5. Scenarios'!$C$8))/4)*'5. Scenarios'!$C$6/(1+ProductivityDefault*('5. Scenarios'!$C$11-1))+INDEX(BookOneOff,97)*$I102)</f>
        <v/>
      </c>
      <c r="N102" s="56" t="str">
        <f aca="false">IF(INDEX(BookTitle,97)="","",INDEX(BookTotal,97)*'5. Scenarios'!$D$6/(1+ProductivityDefault*('5. Scenarios'!$D$11-1)))</f>
        <v/>
      </c>
      <c r="O102" s="57" t="str">
        <f aca="false">IF($N102="","",INDEX(BookRate,97)*(1+'5. Scenarios'!$D$10)*$N102)</f>
        <v/>
      </c>
      <c r="P102" s="57" t="str">
        <f aca="false">IF($O102="","",SUMIFS($O$6:$O$2405,$A$6:$A$2405,"&lt;="&amp;$A102))</f>
        <v/>
      </c>
      <c r="Q102" s="57" t="str">
        <f aca="false">IF($O102="","",IF($P102&lt;=BankCostEnvelope*'5. Scenarios'!$D$7,1,0))</f>
        <v/>
      </c>
      <c r="R102" s="57" t="str">
        <f aca="false">IF($N102="","",INDEX(BookRate,97)*(1+'5. Scenarios'!$D$10)*(INDEX(BookQ1,97)*(5-MIN(4,1+'5. Scenarios'!$D$8))/4+INDEX(BookQ2,97)*(5-MIN(4,2+'5. Scenarios'!$D$8))/4+INDEX(BookQ3,97)*(5-MIN(4,3+'5. Scenarios'!$D$8))/4+INDEX(BookQ4,97)*(5-MIN(4,4+'5. Scenarios'!$D$8))/4)*'5. Scenarios'!$D$6/(1+ProductivityDefault*('5. Scenarios'!$D$11-1))+INDEX(BookOneOff,97)*$N102)</f>
        <v/>
      </c>
      <c r="S102" s="56" t="str">
        <f aca="false">IF(INDEX(BookTitle,97)="","",INDEX(BookTotal,97)*'5. Scenarios'!$E$6/(1+ProductivityDefault*('5. Scenarios'!$E$11-1)))</f>
        <v/>
      </c>
      <c r="T102" s="57" t="str">
        <f aca="false">IF($S102="","",INDEX(BookRate,97)*(1+'5. Scenarios'!$E$10)*$S102)</f>
        <v/>
      </c>
      <c r="U102" s="57" t="str">
        <f aca="false">IF($T102="","",SUMIFS($T$6:$T$2405,$A$6:$A$2405,"&lt;="&amp;$A102))</f>
        <v/>
      </c>
      <c r="V102" s="57" t="str">
        <f aca="false">IF($T102="","",IF($U102&lt;=BankCostEnvelope*'5. Scenarios'!$E$7,1,0))</f>
        <v/>
      </c>
      <c r="W102" s="57" t="str">
        <f aca="false">IF($S102="","",INDEX(BookRate,97)*(1+'5. Scenarios'!$E$10)*(INDEX(BookQ1,97)*(5-MIN(4,1+'5. Scenarios'!$E$8))/4+INDEX(BookQ2,97)*(5-MIN(4,2+'5. Scenarios'!$E$8))/4+INDEX(BookQ3,97)*(5-MIN(4,3+'5. Scenarios'!$E$8))/4+INDEX(BookQ4,97)*(5-MIN(4,4+'5. Scenarios'!$E$8))/4)*'5. Scenarios'!$E$6/(1+ProductivityDefault*('5. Scenarios'!$E$11-1))+INDEX(BookOneOff,97)*$S102)</f>
        <v/>
      </c>
    </row>
    <row r="103" customFormat="false" ht="15" hidden="false" customHeight="false" outlineLevel="0" collapsed="false">
      <c r="A103" s="0" t="str">
        <f aca="false">IF(INDEX(BookTitle,98)="","",INDEX(BookKey,98))</f>
        <v/>
      </c>
      <c r="B103" s="0" t="str">
        <f aca="false">IF(INDEX(BookTitle,98)="","",INDEX(BookGroup,98))</f>
        <v/>
      </c>
      <c r="C103" s="0" t="str">
        <f aca="false">IF(INDEX(BookTitle,98)="","",INDEX(BookCategory,98))</f>
        <v/>
      </c>
      <c r="D103" s="56" t="str">
        <f aca="false">IF(INDEX(BookTitle,98)="","",INDEX(BookTotal,98)*'5. Scenarios'!$B$6/(1+ProductivityDefault*('5. Scenarios'!$B$11-1)))</f>
        <v/>
      </c>
      <c r="E103" s="57" t="str">
        <f aca="false">IF($D103="","",INDEX(BookRate,98)*(1+'5. Scenarios'!$B$10)*$D103)</f>
        <v/>
      </c>
      <c r="F103" s="57" t="str">
        <f aca="false">IF($E103="","",SUMIFS($E$6:$E$2405,$A$6:$A$2405,"&lt;="&amp;$A103))</f>
        <v/>
      </c>
      <c r="G103" s="57" t="str">
        <f aca="false">IF($E103="","",IF($F103&lt;=BankCostEnvelope*'5. Scenarios'!$B$7,1,0))</f>
        <v/>
      </c>
      <c r="H103" s="57" t="str">
        <f aca="false">IF($D103="","",INDEX(BookRate,98)*(1+'5. Scenarios'!$B$10)*(INDEX(BookQ1,98)*(5-MIN(4,1+'5. Scenarios'!$B$8))/4+INDEX(BookQ2,98)*(5-MIN(4,2+'5. Scenarios'!$B$8))/4+INDEX(BookQ3,98)*(5-MIN(4,3+'5. Scenarios'!$B$8))/4+INDEX(BookQ4,98)*(5-MIN(4,4+'5. Scenarios'!$B$8))/4)*'5. Scenarios'!$B$6/(1+ProductivityDefault*('5. Scenarios'!$B$11-1))+INDEX(BookOneOff,98)*$D103)</f>
        <v/>
      </c>
      <c r="I103" s="56" t="str">
        <f aca="false">IF(INDEX(BookTitle,98)="","",INDEX(BookTotal,98)*'5. Scenarios'!$C$6/(1+ProductivityDefault*('5. Scenarios'!$C$11-1)))</f>
        <v/>
      </c>
      <c r="J103" s="57" t="str">
        <f aca="false">IF($I103="","",INDEX(BookRate,98)*(1+'5. Scenarios'!$C$10)*$I103)</f>
        <v/>
      </c>
      <c r="K103" s="57" t="str">
        <f aca="false">IF($J103="","",SUMIFS($J$6:$J$2405,$A$6:$A$2405,"&lt;="&amp;$A103))</f>
        <v/>
      </c>
      <c r="L103" s="57" t="str">
        <f aca="false">IF($J103="","",IF($K103&lt;=BankCostEnvelope*'5. Scenarios'!$C$7,1,0))</f>
        <v/>
      </c>
      <c r="M103" s="57" t="str">
        <f aca="false">IF($I103="","",INDEX(BookRate,98)*(1+'5. Scenarios'!$C$10)*(INDEX(BookQ1,98)*(5-MIN(4,1+'5. Scenarios'!$C$8))/4+INDEX(BookQ2,98)*(5-MIN(4,2+'5. Scenarios'!$C$8))/4+INDEX(BookQ3,98)*(5-MIN(4,3+'5. Scenarios'!$C$8))/4+INDEX(BookQ4,98)*(5-MIN(4,4+'5. Scenarios'!$C$8))/4)*'5. Scenarios'!$C$6/(1+ProductivityDefault*('5. Scenarios'!$C$11-1))+INDEX(BookOneOff,98)*$I103)</f>
        <v/>
      </c>
      <c r="N103" s="56" t="str">
        <f aca="false">IF(INDEX(BookTitle,98)="","",INDEX(BookTotal,98)*'5. Scenarios'!$D$6/(1+ProductivityDefault*('5. Scenarios'!$D$11-1)))</f>
        <v/>
      </c>
      <c r="O103" s="57" t="str">
        <f aca="false">IF($N103="","",INDEX(BookRate,98)*(1+'5. Scenarios'!$D$10)*$N103)</f>
        <v/>
      </c>
      <c r="P103" s="57" t="str">
        <f aca="false">IF($O103="","",SUMIFS($O$6:$O$2405,$A$6:$A$2405,"&lt;="&amp;$A103))</f>
        <v/>
      </c>
      <c r="Q103" s="57" t="str">
        <f aca="false">IF($O103="","",IF($P103&lt;=BankCostEnvelope*'5. Scenarios'!$D$7,1,0))</f>
        <v/>
      </c>
      <c r="R103" s="57" t="str">
        <f aca="false">IF($N103="","",INDEX(BookRate,98)*(1+'5. Scenarios'!$D$10)*(INDEX(BookQ1,98)*(5-MIN(4,1+'5. Scenarios'!$D$8))/4+INDEX(BookQ2,98)*(5-MIN(4,2+'5. Scenarios'!$D$8))/4+INDEX(BookQ3,98)*(5-MIN(4,3+'5. Scenarios'!$D$8))/4+INDEX(BookQ4,98)*(5-MIN(4,4+'5. Scenarios'!$D$8))/4)*'5. Scenarios'!$D$6/(1+ProductivityDefault*('5. Scenarios'!$D$11-1))+INDEX(BookOneOff,98)*$N103)</f>
        <v/>
      </c>
      <c r="S103" s="56" t="str">
        <f aca="false">IF(INDEX(BookTitle,98)="","",INDEX(BookTotal,98)*'5. Scenarios'!$E$6/(1+ProductivityDefault*('5. Scenarios'!$E$11-1)))</f>
        <v/>
      </c>
      <c r="T103" s="57" t="str">
        <f aca="false">IF($S103="","",INDEX(BookRate,98)*(1+'5. Scenarios'!$E$10)*$S103)</f>
        <v/>
      </c>
      <c r="U103" s="57" t="str">
        <f aca="false">IF($T103="","",SUMIFS($T$6:$T$2405,$A$6:$A$2405,"&lt;="&amp;$A103))</f>
        <v/>
      </c>
      <c r="V103" s="57" t="str">
        <f aca="false">IF($T103="","",IF($U103&lt;=BankCostEnvelope*'5. Scenarios'!$E$7,1,0))</f>
        <v/>
      </c>
      <c r="W103" s="57" t="str">
        <f aca="false">IF($S103="","",INDEX(BookRate,98)*(1+'5. Scenarios'!$E$10)*(INDEX(BookQ1,98)*(5-MIN(4,1+'5. Scenarios'!$E$8))/4+INDEX(BookQ2,98)*(5-MIN(4,2+'5. Scenarios'!$E$8))/4+INDEX(BookQ3,98)*(5-MIN(4,3+'5. Scenarios'!$E$8))/4+INDEX(BookQ4,98)*(5-MIN(4,4+'5. Scenarios'!$E$8))/4)*'5. Scenarios'!$E$6/(1+ProductivityDefault*('5. Scenarios'!$E$11-1))+INDEX(BookOneOff,98)*$S103)</f>
        <v/>
      </c>
    </row>
    <row r="104" customFormat="false" ht="15" hidden="false" customHeight="false" outlineLevel="0" collapsed="false">
      <c r="A104" s="0" t="str">
        <f aca="false">IF(INDEX(BookTitle,99)="","",INDEX(BookKey,99))</f>
        <v/>
      </c>
      <c r="B104" s="0" t="str">
        <f aca="false">IF(INDEX(BookTitle,99)="","",INDEX(BookGroup,99))</f>
        <v/>
      </c>
      <c r="C104" s="0" t="str">
        <f aca="false">IF(INDEX(BookTitle,99)="","",INDEX(BookCategory,99))</f>
        <v/>
      </c>
      <c r="D104" s="56" t="str">
        <f aca="false">IF(INDEX(BookTitle,99)="","",INDEX(BookTotal,99)*'5. Scenarios'!$B$6/(1+ProductivityDefault*('5. Scenarios'!$B$11-1)))</f>
        <v/>
      </c>
      <c r="E104" s="57" t="str">
        <f aca="false">IF($D104="","",INDEX(BookRate,99)*(1+'5. Scenarios'!$B$10)*$D104)</f>
        <v/>
      </c>
      <c r="F104" s="57" t="str">
        <f aca="false">IF($E104="","",SUMIFS($E$6:$E$2405,$A$6:$A$2405,"&lt;="&amp;$A104))</f>
        <v/>
      </c>
      <c r="G104" s="57" t="str">
        <f aca="false">IF($E104="","",IF($F104&lt;=BankCostEnvelope*'5. Scenarios'!$B$7,1,0))</f>
        <v/>
      </c>
      <c r="H104" s="57" t="str">
        <f aca="false">IF($D104="","",INDEX(BookRate,99)*(1+'5. Scenarios'!$B$10)*(INDEX(BookQ1,99)*(5-MIN(4,1+'5. Scenarios'!$B$8))/4+INDEX(BookQ2,99)*(5-MIN(4,2+'5. Scenarios'!$B$8))/4+INDEX(BookQ3,99)*(5-MIN(4,3+'5. Scenarios'!$B$8))/4+INDEX(BookQ4,99)*(5-MIN(4,4+'5. Scenarios'!$B$8))/4)*'5. Scenarios'!$B$6/(1+ProductivityDefault*('5. Scenarios'!$B$11-1))+INDEX(BookOneOff,99)*$D104)</f>
        <v/>
      </c>
      <c r="I104" s="56" t="str">
        <f aca="false">IF(INDEX(BookTitle,99)="","",INDEX(BookTotal,99)*'5. Scenarios'!$C$6/(1+ProductivityDefault*('5. Scenarios'!$C$11-1)))</f>
        <v/>
      </c>
      <c r="J104" s="57" t="str">
        <f aca="false">IF($I104="","",INDEX(BookRate,99)*(1+'5. Scenarios'!$C$10)*$I104)</f>
        <v/>
      </c>
      <c r="K104" s="57" t="str">
        <f aca="false">IF($J104="","",SUMIFS($J$6:$J$2405,$A$6:$A$2405,"&lt;="&amp;$A104))</f>
        <v/>
      </c>
      <c r="L104" s="57" t="str">
        <f aca="false">IF($J104="","",IF($K104&lt;=BankCostEnvelope*'5. Scenarios'!$C$7,1,0))</f>
        <v/>
      </c>
      <c r="M104" s="57" t="str">
        <f aca="false">IF($I104="","",INDEX(BookRate,99)*(1+'5. Scenarios'!$C$10)*(INDEX(BookQ1,99)*(5-MIN(4,1+'5. Scenarios'!$C$8))/4+INDEX(BookQ2,99)*(5-MIN(4,2+'5. Scenarios'!$C$8))/4+INDEX(BookQ3,99)*(5-MIN(4,3+'5. Scenarios'!$C$8))/4+INDEX(BookQ4,99)*(5-MIN(4,4+'5. Scenarios'!$C$8))/4)*'5. Scenarios'!$C$6/(1+ProductivityDefault*('5. Scenarios'!$C$11-1))+INDEX(BookOneOff,99)*$I104)</f>
        <v/>
      </c>
      <c r="N104" s="56" t="str">
        <f aca="false">IF(INDEX(BookTitle,99)="","",INDEX(BookTotal,99)*'5. Scenarios'!$D$6/(1+ProductivityDefault*('5. Scenarios'!$D$11-1)))</f>
        <v/>
      </c>
      <c r="O104" s="57" t="str">
        <f aca="false">IF($N104="","",INDEX(BookRate,99)*(1+'5. Scenarios'!$D$10)*$N104)</f>
        <v/>
      </c>
      <c r="P104" s="57" t="str">
        <f aca="false">IF($O104="","",SUMIFS($O$6:$O$2405,$A$6:$A$2405,"&lt;="&amp;$A104))</f>
        <v/>
      </c>
      <c r="Q104" s="57" t="str">
        <f aca="false">IF($O104="","",IF($P104&lt;=BankCostEnvelope*'5. Scenarios'!$D$7,1,0))</f>
        <v/>
      </c>
      <c r="R104" s="57" t="str">
        <f aca="false">IF($N104="","",INDEX(BookRate,99)*(1+'5. Scenarios'!$D$10)*(INDEX(BookQ1,99)*(5-MIN(4,1+'5. Scenarios'!$D$8))/4+INDEX(BookQ2,99)*(5-MIN(4,2+'5. Scenarios'!$D$8))/4+INDEX(BookQ3,99)*(5-MIN(4,3+'5. Scenarios'!$D$8))/4+INDEX(BookQ4,99)*(5-MIN(4,4+'5. Scenarios'!$D$8))/4)*'5. Scenarios'!$D$6/(1+ProductivityDefault*('5. Scenarios'!$D$11-1))+INDEX(BookOneOff,99)*$N104)</f>
        <v/>
      </c>
      <c r="S104" s="56" t="str">
        <f aca="false">IF(INDEX(BookTitle,99)="","",INDEX(BookTotal,99)*'5. Scenarios'!$E$6/(1+ProductivityDefault*('5. Scenarios'!$E$11-1)))</f>
        <v/>
      </c>
      <c r="T104" s="57" t="str">
        <f aca="false">IF($S104="","",INDEX(BookRate,99)*(1+'5. Scenarios'!$E$10)*$S104)</f>
        <v/>
      </c>
      <c r="U104" s="57" t="str">
        <f aca="false">IF($T104="","",SUMIFS($T$6:$T$2405,$A$6:$A$2405,"&lt;="&amp;$A104))</f>
        <v/>
      </c>
      <c r="V104" s="57" t="str">
        <f aca="false">IF($T104="","",IF($U104&lt;=BankCostEnvelope*'5. Scenarios'!$E$7,1,0))</f>
        <v/>
      </c>
      <c r="W104" s="57" t="str">
        <f aca="false">IF($S104="","",INDEX(BookRate,99)*(1+'5. Scenarios'!$E$10)*(INDEX(BookQ1,99)*(5-MIN(4,1+'5. Scenarios'!$E$8))/4+INDEX(BookQ2,99)*(5-MIN(4,2+'5. Scenarios'!$E$8))/4+INDEX(BookQ3,99)*(5-MIN(4,3+'5. Scenarios'!$E$8))/4+INDEX(BookQ4,99)*(5-MIN(4,4+'5. Scenarios'!$E$8))/4)*'5. Scenarios'!$E$6/(1+ProductivityDefault*('5. Scenarios'!$E$11-1))+INDEX(BookOneOff,99)*$S104)</f>
        <v/>
      </c>
    </row>
    <row r="105" customFormat="false" ht="15" hidden="false" customHeight="false" outlineLevel="0" collapsed="false">
      <c r="A105" s="0" t="str">
        <f aca="false">IF(INDEX(BookTitle,100)="","",INDEX(BookKey,100))</f>
        <v/>
      </c>
      <c r="B105" s="0" t="str">
        <f aca="false">IF(INDEX(BookTitle,100)="","",INDEX(BookGroup,100))</f>
        <v/>
      </c>
      <c r="C105" s="0" t="str">
        <f aca="false">IF(INDEX(BookTitle,100)="","",INDEX(BookCategory,100))</f>
        <v/>
      </c>
      <c r="D105" s="56" t="str">
        <f aca="false">IF(INDEX(BookTitle,100)="","",INDEX(BookTotal,100)*'5. Scenarios'!$B$6/(1+ProductivityDefault*('5. Scenarios'!$B$11-1)))</f>
        <v/>
      </c>
      <c r="E105" s="57" t="str">
        <f aca="false">IF($D105="","",INDEX(BookRate,100)*(1+'5. Scenarios'!$B$10)*$D105)</f>
        <v/>
      </c>
      <c r="F105" s="57" t="str">
        <f aca="false">IF($E105="","",SUMIFS($E$6:$E$2405,$A$6:$A$2405,"&lt;="&amp;$A105))</f>
        <v/>
      </c>
      <c r="G105" s="57" t="str">
        <f aca="false">IF($E105="","",IF($F105&lt;=BankCostEnvelope*'5. Scenarios'!$B$7,1,0))</f>
        <v/>
      </c>
      <c r="H105" s="57" t="str">
        <f aca="false">IF($D105="","",INDEX(BookRate,100)*(1+'5. Scenarios'!$B$10)*(INDEX(BookQ1,100)*(5-MIN(4,1+'5. Scenarios'!$B$8))/4+INDEX(BookQ2,100)*(5-MIN(4,2+'5. Scenarios'!$B$8))/4+INDEX(BookQ3,100)*(5-MIN(4,3+'5. Scenarios'!$B$8))/4+INDEX(BookQ4,100)*(5-MIN(4,4+'5. Scenarios'!$B$8))/4)*'5. Scenarios'!$B$6/(1+ProductivityDefault*('5. Scenarios'!$B$11-1))+INDEX(BookOneOff,100)*$D105)</f>
        <v/>
      </c>
      <c r="I105" s="56" t="str">
        <f aca="false">IF(INDEX(BookTitle,100)="","",INDEX(BookTotal,100)*'5. Scenarios'!$C$6/(1+ProductivityDefault*('5. Scenarios'!$C$11-1)))</f>
        <v/>
      </c>
      <c r="J105" s="57" t="str">
        <f aca="false">IF($I105="","",INDEX(BookRate,100)*(1+'5. Scenarios'!$C$10)*$I105)</f>
        <v/>
      </c>
      <c r="K105" s="57" t="str">
        <f aca="false">IF($J105="","",SUMIFS($J$6:$J$2405,$A$6:$A$2405,"&lt;="&amp;$A105))</f>
        <v/>
      </c>
      <c r="L105" s="57" t="str">
        <f aca="false">IF($J105="","",IF($K105&lt;=BankCostEnvelope*'5. Scenarios'!$C$7,1,0))</f>
        <v/>
      </c>
      <c r="M105" s="57" t="str">
        <f aca="false">IF($I105="","",INDEX(BookRate,100)*(1+'5. Scenarios'!$C$10)*(INDEX(BookQ1,100)*(5-MIN(4,1+'5. Scenarios'!$C$8))/4+INDEX(BookQ2,100)*(5-MIN(4,2+'5. Scenarios'!$C$8))/4+INDEX(BookQ3,100)*(5-MIN(4,3+'5. Scenarios'!$C$8))/4+INDEX(BookQ4,100)*(5-MIN(4,4+'5. Scenarios'!$C$8))/4)*'5. Scenarios'!$C$6/(1+ProductivityDefault*('5. Scenarios'!$C$11-1))+INDEX(BookOneOff,100)*$I105)</f>
        <v/>
      </c>
      <c r="N105" s="56" t="str">
        <f aca="false">IF(INDEX(BookTitle,100)="","",INDEX(BookTotal,100)*'5. Scenarios'!$D$6/(1+ProductivityDefault*('5. Scenarios'!$D$11-1)))</f>
        <v/>
      </c>
      <c r="O105" s="57" t="str">
        <f aca="false">IF($N105="","",INDEX(BookRate,100)*(1+'5. Scenarios'!$D$10)*$N105)</f>
        <v/>
      </c>
      <c r="P105" s="57" t="str">
        <f aca="false">IF($O105="","",SUMIFS($O$6:$O$2405,$A$6:$A$2405,"&lt;="&amp;$A105))</f>
        <v/>
      </c>
      <c r="Q105" s="57" t="str">
        <f aca="false">IF($O105="","",IF($P105&lt;=BankCostEnvelope*'5. Scenarios'!$D$7,1,0))</f>
        <v/>
      </c>
      <c r="R105" s="57" t="str">
        <f aca="false">IF($N105="","",INDEX(BookRate,100)*(1+'5. Scenarios'!$D$10)*(INDEX(BookQ1,100)*(5-MIN(4,1+'5. Scenarios'!$D$8))/4+INDEX(BookQ2,100)*(5-MIN(4,2+'5. Scenarios'!$D$8))/4+INDEX(BookQ3,100)*(5-MIN(4,3+'5. Scenarios'!$D$8))/4+INDEX(BookQ4,100)*(5-MIN(4,4+'5. Scenarios'!$D$8))/4)*'5. Scenarios'!$D$6/(1+ProductivityDefault*('5. Scenarios'!$D$11-1))+INDEX(BookOneOff,100)*$N105)</f>
        <v/>
      </c>
      <c r="S105" s="56" t="str">
        <f aca="false">IF(INDEX(BookTitle,100)="","",INDEX(BookTotal,100)*'5. Scenarios'!$E$6/(1+ProductivityDefault*('5. Scenarios'!$E$11-1)))</f>
        <v/>
      </c>
      <c r="T105" s="57" t="str">
        <f aca="false">IF($S105="","",INDEX(BookRate,100)*(1+'5. Scenarios'!$E$10)*$S105)</f>
        <v/>
      </c>
      <c r="U105" s="57" t="str">
        <f aca="false">IF($T105="","",SUMIFS($T$6:$T$2405,$A$6:$A$2405,"&lt;="&amp;$A105))</f>
        <v/>
      </c>
      <c r="V105" s="57" t="str">
        <f aca="false">IF($T105="","",IF($U105&lt;=BankCostEnvelope*'5. Scenarios'!$E$7,1,0))</f>
        <v/>
      </c>
      <c r="W105" s="57" t="str">
        <f aca="false">IF($S105="","",INDEX(BookRate,100)*(1+'5. Scenarios'!$E$10)*(INDEX(BookQ1,100)*(5-MIN(4,1+'5. Scenarios'!$E$8))/4+INDEX(BookQ2,100)*(5-MIN(4,2+'5. Scenarios'!$E$8))/4+INDEX(BookQ3,100)*(5-MIN(4,3+'5. Scenarios'!$E$8))/4+INDEX(BookQ4,100)*(5-MIN(4,4+'5. Scenarios'!$E$8))/4)*'5. Scenarios'!$E$6/(1+ProductivityDefault*('5. Scenarios'!$E$11-1))+INDEX(BookOneOff,100)*$S105)</f>
        <v/>
      </c>
    </row>
    <row r="106" customFormat="false" ht="15" hidden="false" customHeight="false" outlineLevel="0" collapsed="false">
      <c r="A106" s="0" t="str">
        <f aca="false">IF(INDEX(BookTitle,101)="","",INDEX(BookKey,101))</f>
        <v/>
      </c>
      <c r="B106" s="0" t="str">
        <f aca="false">IF(INDEX(BookTitle,101)="","",INDEX(BookGroup,101))</f>
        <v/>
      </c>
      <c r="C106" s="0" t="str">
        <f aca="false">IF(INDEX(BookTitle,101)="","",INDEX(BookCategory,101))</f>
        <v/>
      </c>
      <c r="D106" s="56" t="str">
        <f aca="false">IF(INDEX(BookTitle,101)="","",INDEX(BookTotal,101)*'5. Scenarios'!$B$6/(1+ProductivityDefault*('5. Scenarios'!$B$11-1)))</f>
        <v/>
      </c>
      <c r="E106" s="57" t="str">
        <f aca="false">IF($D106="","",INDEX(BookRate,101)*(1+'5. Scenarios'!$B$10)*$D106)</f>
        <v/>
      </c>
      <c r="F106" s="57" t="str">
        <f aca="false">IF($E106="","",SUMIFS($E$6:$E$2405,$A$6:$A$2405,"&lt;="&amp;$A106))</f>
        <v/>
      </c>
      <c r="G106" s="57" t="str">
        <f aca="false">IF($E106="","",IF($F106&lt;=BankCostEnvelope*'5. Scenarios'!$B$7,1,0))</f>
        <v/>
      </c>
      <c r="H106" s="57" t="str">
        <f aca="false">IF($D106="","",INDEX(BookRate,101)*(1+'5. Scenarios'!$B$10)*(INDEX(BookQ1,101)*(5-MIN(4,1+'5. Scenarios'!$B$8))/4+INDEX(BookQ2,101)*(5-MIN(4,2+'5. Scenarios'!$B$8))/4+INDEX(BookQ3,101)*(5-MIN(4,3+'5. Scenarios'!$B$8))/4+INDEX(BookQ4,101)*(5-MIN(4,4+'5. Scenarios'!$B$8))/4)*'5. Scenarios'!$B$6/(1+ProductivityDefault*('5. Scenarios'!$B$11-1))+INDEX(BookOneOff,101)*$D106)</f>
        <v/>
      </c>
      <c r="I106" s="56" t="str">
        <f aca="false">IF(INDEX(BookTitle,101)="","",INDEX(BookTotal,101)*'5. Scenarios'!$C$6/(1+ProductivityDefault*('5. Scenarios'!$C$11-1)))</f>
        <v/>
      </c>
      <c r="J106" s="57" t="str">
        <f aca="false">IF($I106="","",INDEX(BookRate,101)*(1+'5. Scenarios'!$C$10)*$I106)</f>
        <v/>
      </c>
      <c r="K106" s="57" t="str">
        <f aca="false">IF($J106="","",SUMIFS($J$6:$J$2405,$A$6:$A$2405,"&lt;="&amp;$A106))</f>
        <v/>
      </c>
      <c r="L106" s="57" t="str">
        <f aca="false">IF($J106="","",IF($K106&lt;=BankCostEnvelope*'5. Scenarios'!$C$7,1,0))</f>
        <v/>
      </c>
      <c r="M106" s="57" t="str">
        <f aca="false">IF($I106="","",INDEX(BookRate,101)*(1+'5. Scenarios'!$C$10)*(INDEX(BookQ1,101)*(5-MIN(4,1+'5. Scenarios'!$C$8))/4+INDEX(BookQ2,101)*(5-MIN(4,2+'5. Scenarios'!$C$8))/4+INDEX(BookQ3,101)*(5-MIN(4,3+'5. Scenarios'!$C$8))/4+INDEX(BookQ4,101)*(5-MIN(4,4+'5. Scenarios'!$C$8))/4)*'5. Scenarios'!$C$6/(1+ProductivityDefault*('5. Scenarios'!$C$11-1))+INDEX(BookOneOff,101)*$I106)</f>
        <v/>
      </c>
      <c r="N106" s="56" t="str">
        <f aca="false">IF(INDEX(BookTitle,101)="","",INDEX(BookTotal,101)*'5. Scenarios'!$D$6/(1+ProductivityDefault*('5. Scenarios'!$D$11-1)))</f>
        <v/>
      </c>
      <c r="O106" s="57" t="str">
        <f aca="false">IF($N106="","",INDEX(BookRate,101)*(1+'5. Scenarios'!$D$10)*$N106)</f>
        <v/>
      </c>
      <c r="P106" s="57" t="str">
        <f aca="false">IF($O106="","",SUMIFS($O$6:$O$2405,$A$6:$A$2405,"&lt;="&amp;$A106))</f>
        <v/>
      </c>
      <c r="Q106" s="57" t="str">
        <f aca="false">IF($O106="","",IF($P106&lt;=BankCostEnvelope*'5. Scenarios'!$D$7,1,0))</f>
        <v/>
      </c>
      <c r="R106" s="57" t="str">
        <f aca="false">IF($N106="","",INDEX(BookRate,101)*(1+'5. Scenarios'!$D$10)*(INDEX(BookQ1,101)*(5-MIN(4,1+'5. Scenarios'!$D$8))/4+INDEX(BookQ2,101)*(5-MIN(4,2+'5. Scenarios'!$D$8))/4+INDEX(BookQ3,101)*(5-MIN(4,3+'5. Scenarios'!$D$8))/4+INDEX(BookQ4,101)*(5-MIN(4,4+'5. Scenarios'!$D$8))/4)*'5. Scenarios'!$D$6/(1+ProductivityDefault*('5. Scenarios'!$D$11-1))+INDEX(BookOneOff,101)*$N106)</f>
        <v/>
      </c>
      <c r="S106" s="56" t="str">
        <f aca="false">IF(INDEX(BookTitle,101)="","",INDEX(BookTotal,101)*'5. Scenarios'!$E$6/(1+ProductivityDefault*('5. Scenarios'!$E$11-1)))</f>
        <v/>
      </c>
      <c r="T106" s="57" t="str">
        <f aca="false">IF($S106="","",INDEX(BookRate,101)*(1+'5. Scenarios'!$E$10)*$S106)</f>
        <v/>
      </c>
      <c r="U106" s="57" t="str">
        <f aca="false">IF($T106="","",SUMIFS($T$6:$T$2405,$A$6:$A$2405,"&lt;="&amp;$A106))</f>
        <v/>
      </c>
      <c r="V106" s="57" t="str">
        <f aca="false">IF($T106="","",IF($U106&lt;=BankCostEnvelope*'5. Scenarios'!$E$7,1,0))</f>
        <v/>
      </c>
      <c r="W106" s="57" t="str">
        <f aca="false">IF($S106="","",INDEX(BookRate,101)*(1+'5. Scenarios'!$E$10)*(INDEX(BookQ1,101)*(5-MIN(4,1+'5. Scenarios'!$E$8))/4+INDEX(BookQ2,101)*(5-MIN(4,2+'5. Scenarios'!$E$8))/4+INDEX(BookQ3,101)*(5-MIN(4,3+'5. Scenarios'!$E$8))/4+INDEX(BookQ4,101)*(5-MIN(4,4+'5. Scenarios'!$E$8))/4)*'5. Scenarios'!$E$6/(1+ProductivityDefault*('5. Scenarios'!$E$11-1))+INDEX(BookOneOff,101)*$S106)</f>
        <v/>
      </c>
    </row>
    <row r="107" customFormat="false" ht="15" hidden="false" customHeight="false" outlineLevel="0" collapsed="false">
      <c r="A107" s="0" t="str">
        <f aca="false">IF(INDEX(BookTitle,102)="","",INDEX(BookKey,102))</f>
        <v/>
      </c>
      <c r="B107" s="0" t="str">
        <f aca="false">IF(INDEX(BookTitle,102)="","",INDEX(BookGroup,102))</f>
        <v/>
      </c>
      <c r="C107" s="0" t="str">
        <f aca="false">IF(INDEX(BookTitle,102)="","",INDEX(BookCategory,102))</f>
        <v/>
      </c>
      <c r="D107" s="56" t="str">
        <f aca="false">IF(INDEX(BookTitle,102)="","",INDEX(BookTotal,102)*'5. Scenarios'!$B$6/(1+ProductivityDefault*('5. Scenarios'!$B$11-1)))</f>
        <v/>
      </c>
      <c r="E107" s="57" t="str">
        <f aca="false">IF($D107="","",INDEX(BookRate,102)*(1+'5. Scenarios'!$B$10)*$D107)</f>
        <v/>
      </c>
      <c r="F107" s="57" t="str">
        <f aca="false">IF($E107="","",SUMIFS($E$6:$E$2405,$A$6:$A$2405,"&lt;="&amp;$A107))</f>
        <v/>
      </c>
      <c r="G107" s="57" t="str">
        <f aca="false">IF($E107="","",IF($F107&lt;=BankCostEnvelope*'5. Scenarios'!$B$7,1,0))</f>
        <v/>
      </c>
      <c r="H107" s="57" t="str">
        <f aca="false">IF($D107="","",INDEX(BookRate,102)*(1+'5. Scenarios'!$B$10)*(INDEX(BookQ1,102)*(5-MIN(4,1+'5. Scenarios'!$B$8))/4+INDEX(BookQ2,102)*(5-MIN(4,2+'5. Scenarios'!$B$8))/4+INDEX(BookQ3,102)*(5-MIN(4,3+'5. Scenarios'!$B$8))/4+INDEX(BookQ4,102)*(5-MIN(4,4+'5. Scenarios'!$B$8))/4)*'5. Scenarios'!$B$6/(1+ProductivityDefault*('5. Scenarios'!$B$11-1))+INDEX(BookOneOff,102)*$D107)</f>
        <v/>
      </c>
      <c r="I107" s="56" t="str">
        <f aca="false">IF(INDEX(BookTitle,102)="","",INDEX(BookTotal,102)*'5. Scenarios'!$C$6/(1+ProductivityDefault*('5. Scenarios'!$C$11-1)))</f>
        <v/>
      </c>
      <c r="J107" s="57" t="str">
        <f aca="false">IF($I107="","",INDEX(BookRate,102)*(1+'5. Scenarios'!$C$10)*$I107)</f>
        <v/>
      </c>
      <c r="K107" s="57" t="str">
        <f aca="false">IF($J107="","",SUMIFS($J$6:$J$2405,$A$6:$A$2405,"&lt;="&amp;$A107))</f>
        <v/>
      </c>
      <c r="L107" s="57" t="str">
        <f aca="false">IF($J107="","",IF($K107&lt;=BankCostEnvelope*'5. Scenarios'!$C$7,1,0))</f>
        <v/>
      </c>
      <c r="M107" s="57" t="str">
        <f aca="false">IF($I107="","",INDEX(BookRate,102)*(1+'5. Scenarios'!$C$10)*(INDEX(BookQ1,102)*(5-MIN(4,1+'5. Scenarios'!$C$8))/4+INDEX(BookQ2,102)*(5-MIN(4,2+'5. Scenarios'!$C$8))/4+INDEX(BookQ3,102)*(5-MIN(4,3+'5. Scenarios'!$C$8))/4+INDEX(BookQ4,102)*(5-MIN(4,4+'5. Scenarios'!$C$8))/4)*'5. Scenarios'!$C$6/(1+ProductivityDefault*('5. Scenarios'!$C$11-1))+INDEX(BookOneOff,102)*$I107)</f>
        <v/>
      </c>
      <c r="N107" s="56" t="str">
        <f aca="false">IF(INDEX(BookTitle,102)="","",INDEX(BookTotal,102)*'5. Scenarios'!$D$6/(1+ProductivityDefault*('5. Scenarios'!$D$11-1)))</f>
        <v/>
      </c>
      <c r="O107" s="57" t="str">
        <f aca="false">IF($N107="","",INDEX(BookRate,102)*(1+'5. Scenarios'!$D$10)*$N107)</f>
        <v/>
      </c>
      <c r="P107" s="57" t="str">
        <f aca="false">IF($O107="","",SUMIFS($O$6:$O$2405,$A$6:$A$2405,"&lt;="&amp;$A107))</f>
        <v/>
      </c>
      <c r="Q107" s="57" t="str">
        <f aca="false">IF($O107="","",IF($P107&lt;=BankCostEnvelope*'5. Scenarios'!$D$7,1,0))</f>
        <v/>
      </c>
      <c r="R107" s="57" t="str">
        <f aca="false">IF($N107="","",INDEX(BookRate,102)*(1+'5. Scenarios'!$D$10)*(INDEX(BookQ1,102)*(5-MIN(4,1+'5. Scenarios'!$D$8))/4+INDEX(BookQ2,102)*(5-MIN(4,2+'5. Scenarios'!$D$8))/4+INDEX(BookQ3,102)*(5-MIN(4,3+'5. Scenarios'!$D$8))/4+INDEX(BookQ4,102)*(5-MIN(4,4+'5. Scenarios'!$D$8))/4)*'5. Scenarios'!$D$6/(1+ProductivityDefault*('5. Scenarios'!$D$11-1))+INDEX(BookOneOff,102)*$N107)</f>
        <v/>
      </c>
      <c r="S107" s="56" t="str">
        <f aca="false">IF(INDEX(BookTitle,102)="","",INDEX(BookTotal,102)*'5. Scenarios'!$E$6/(1+ProductivityDefault*('5. Scenarios'!$E$11-1)))</f>
        <v/>
      </c>
      <c r="T107" s="57" t="str">
        <f aca="false">IF($S107="","",INDEX(BookRate,102)*(1+'5. Scenarios'!$E$10)*$S107)</f>
        <v/>
      </c>
      <c r="U107" s="57" t="str">
        <f aca="false">IF($T107="","",SUMIFS($T$6:$T$2405,$A$6:$A$2405,"&lt;="&amp;$A107))</f>
        <v/>
      </c>
      <c r="V107" s="57" t="str">
        <f aca="false">IF($T107="","",IF($U107&lt;=BankCostEnvelope*'5. Scenarios'!$E$7,1,0))</f>
        <v/>
      </c>
      <c r="W107" s="57" t="str">
        <f aca="false">IF($S107="","",INDEX(BookRate,102)*(1+'5. Scenarios'!$E$10)*(INDEX(BookQ1,102)*(5-MIN(4,1+'5. Scenarios'!$E$8))/4+INDEX(BookQ2,102)*(5-MIN(4,2+'5. Scenarios'!$E$8))/4+INDEX(BookQ3,102)*(5-MIN(4,3+'5. Scenarios'!$E$8))/4+INDEX(BookQ4,102)*(5-MIN(4,4+'5. Scenarios'!$E$8))/4)*'5. Scenarios'!$E$6/(1+ProductivityDefault*('5. Scenarios'!$E$11-1))+INDEX(BookOneOff,102)*$S107)</f>
        <v/>
      </c>
    </row>
    <row r="108" customFormat="false" ht="15" hidden="false" customHeight="false" outlineLevel="0" collapsed="false">
      <c r="A108" s="0" t="str">
        <f aca="false">IF(INDEX(BookTitle,103)="","",INDEX(BookKey,103))</f>
        <v/>
      </c>
      <c r="B108" s="0" t="str">
        <f aca="false">IF(INDEX(BookTitle,103)="","",INDEX(BookGroup,103))</f>
        <v/>
      </c>
      <c r="C108" s="0" t="str">
        <f aca="false">IF(INDEX(BookTitle,103)="","",INDEX(BookCategory,103))</f>
        <v/>
      </c>
      <c r="D108" s="56" t="str">
        <f aca="false">IF(INDEX(BookTitle,103)="","",INDEX(BookTotal,103)*'5. Scenarios'!$B$6/(1+ProductivityDefault*('5. Scenarios'!$B$11-1)))</f>
        <v/>
      </c>
      <c r="E108" s="57" t="str">
        <f aca="false">IF($D108="","",INDEX(BookRate,103)*(1+'5. Scenarios'!$B$10)*$D108)</f>
        <v/>
      </c>
      <c r="F108" s="57" t="str">
        <f aca="false">IF($E108="","",SUMIFS($E$6:$E$2405,$A$6:$A$2405,"&lt;="&amp;$A108))</f>
        <v/>
      </c>
      <c r="G108" s="57" t="str">
        <f aca="false">IF($E108="","",IF($F108&lt;=BankCostEnvelope*'5. Scenarios'!$B$7,1,0))</f>
        <v/>
      </c>
      <c r="H108" s="57" t="str">
        <f aca="false">IF($D108="","",INDEX(BookRate,103)*(1+'5. Scenarios'!$B$10)*(INDEX(BookQ1,103)*(5-MIN(4,1+'5. Scenarios'!$B$8))/4+INDEX(BookQ2,103)*(5-MIN(4,2+'5. Scenarios'!$B$8))/4+INDEX(BookQ3,103)*(5-MIN(4,3+'5. Scenarios'!$B$8))/4+INDEX(BookQ4,103)*(5-MIN(4,4+'5. Scenarios'!$B$8))/4)*'5. Scenarios'!$B$6/(1+ProductivityDefault*('5. Scenarios'!$B$11-1))+INDEX(BookOneOff,103)*$D108)</f>
        <v/>
      </c>
      <c r="I108" s="56" t="str">
        <f aca="false">IF(INDEX(BookTitle,103)="","",INDEX(BookTotal,103)*'5. Scenarios'!$C$6/(1+ProductivityDefault*('5. Scenarios'!$C$11-1)))</f>
        <v/>
      </c>
      <c r="J108" s="57" t="str">
        <f aca="false">IF($I108="","",INDEX(BookRate,103)*(1+'5. Scenarios'!$C$10)*$I108)</f>
        <v/>
      </c>
      <c r="K108" s="57" t="str">
        <f aca="false">IF($J108="","",SUMIFS($J$6:$J$2405,$A$6:$A$2405,"&lt;="&amp;$A108))</f>
        <v/>
      </c>
      <c r="L108" s="57" t="str">
        <f aca="false">IF($J108="","",IF($K108&lt;=BankCostEnvelope*'5. Scenarios'!$C$7,1,0))</f>
        <v/>
      </c>
      <c r="M108" s="57" t="str">
        <f aca="false">IF($I108="","",INDEX(BookRate,103)*(1+'5. Scenarios'!$C$10)*(INDEX(BookQ1,103)*(5-MIN(4,1+'5. Scenarios'!$C$8))/4+INDEX(BookQ2,103)*(5-MIN(4,2+'5. Scenarios'!$C$8))/4+INDEX(BookQ3,103)*(5-MIN(4,3+'5. Scenarios'!$C$8))/4+INDEX(BookQ4,103)*(5-MIN(4,4+'5. Scenarios'!$C$8))/4)*'5. Scenarios'!$C$6/(1+ProductivityDefault*('5. Scenarios'!$C$11-1))+INDEX(BookOneOff,103)*$I108)</f>
        <v/>
      </c>
      <c r="N108" s="56" t="str">
        <f aca="false">IF(INDEX(BookTitle,103)="","",INDEX(BookTotal,103)*'5. Scenarios'!$D$6/(1+ProductivityDefault*('5. Scenarios'!$D$11-1)))</f>
        <v/>
      </c>
      <c r="O108" s="57" t="str">
        <f aca="false">IF($N108="","",INDEX(BookRate,103)*(1+'5. Scenarios'!$D$10)*$N108)</f>
        <v/>
      </c>
      <c r="P108" s="57" t="str">
        <f aca="false">IF($O108="","",SUMIFS($O$6:$O$2405,$A$6:$A$2405,"&lt;="&amp;$A108))</f>
        <v/>
      </c>
      <c r="Q108" s="57" t="str">
        <f aca="false">IF($O108="","",IF($P108&lt;=BankCostEnvelope*'5. Scenarios'!$D$7,1,0))</f>
        <v/>
      </c>
      <c r="R108" s="57" t="str">
        <f aca="false">IF($N108="","",INDEX(BookRate,103)*(1+'5. Scenarios'!$D$10)*(INDEX(BookQ1,103)*(5-MIN(4,1+'5. Scenarios'!$D$8))/4+INDEX(BookQ2,103)*(5-MIN(4,2+'5. Scenarios'!$D$8))/4+INDEX(BookQ3,103)*(5-MIN(4,3+'5. Scenarios'!$D$8))/4+INDEX(BookQ4,103)*(5-MIN(4,4+'5. Scenarios'!$D$8))/4)*'5. Scenarios'!$D$6/(1+ProductivityDefault*('5. Scenarios'!$D$11-1))+INDEX(BookOneOff,103)*$N108)</f>
        <v/>
      </c>
      <c r="S108" s="56" t="str">
        <f aca="false">IF(INDEX(BookTitle,103)="","",INDEX(BookTotal,103)*'5. Scenarios'!$E$6/(1+ProductivityDefault*('5. Scenarios'!$E$11-1)))</f>
        <v/>
      </c>
      <c r="T108" s="57" t="str">
        <f aca="false">IF($S108="","",INDEX(BookRate,103)*(1+'5. Scenarios'!$E$10)*$S108)</f>
        <v/>
      </c>
      <c r="U108" s="57" t="str">
        <f aca="false">IF($T108="","",SUMIFS($T$6:$T$2405,$A$6:$A$2405,"&lt;="&amp;$A108))</f>
        <v/>
      </c>
      <c r="V108" s="57" t="str">
        <f aca="false">IF($T108="","",IF($U108&lt;=BankCostEnvelope*'5. Scenarios'!$E$7,1,0))</f>
        <v/>
      </c>
      <c r="W108" s="57" t="str">
        <f aca="false">IF($S108="","",INDEX(BookRate,103)*(1+'5. Scenarios'!$E$10)*(INDEX(BookQ1,103)*(5-MIN(4,1+'5. Scenarios'!$E$8))/4+INDEX(BookQ2,103)*(5-MIN(4,2+'5. Scenarios'!$E$8))/4+INDEX(BookQ3,103)*(5-MIN(4,3+'5. Scenarios'!$E$8))/4+INDEX(BookQ4,103)*(5-MIN(4,4+'5. Scenarios'!$E$8))/4)*'5. Scenarios'!$E$6/(1+ProductivityDefault*('5. Scenarios'!$E$11-1))+INDEX(BookOneOff,103)*$S108)</f>
        <v/>
      </c>
    </row>
    <row r="109" customFormat="false" ht="15" hidden="false" customHeight="false" outlineLevel="0" collapsed="false">
      <c r="A109" s="0" t="str">
        <f aca="false">IF(INDEX(BookTitle,104)="","",INDEX(BookKey,104))</f>
        <v/>
      </c>
      <c r="B109" s="0" t="str">
        <f aca="false">IF(INDEX(BookTitle,104)="","",INDEX(BookGroup,104))</f>
        <v/>
      </c>
      <c r="C109" s="0" t="str">
        <f aca="false">IF(INDEX(BookTitle,104)="","",INDEX(BookCategory,104))</f>
        <v/>
      </c>
      <c r="D109" s="56" t="str">
        <f aca="false">IF(INDEX(BookTitle,104)="","",INDEX(BookTotal,104)*'5. Scenarios'!$B$6/(1+ProductivityDefault*('5. Scenarios'!$B$11-1)))</f>
        <v/>
      </c>
      <c r="E109" s="57" t="str">
        <f aca="false">IF($D109="","",INDEX(BookRate,104)*(1+'5. Scenarios'!$B$10)*$D109)</f>
        <v/>
      </c>
      <c r="F109" s="57" t="str">
        <f aca="false">IF($E109="","",SUMIFS($E$6:$E$2405,$A$6:$A$2405,"&lt;="&amp;$A109))</f>
        <v/>
      </c>
      <c r="G109" s="57" t="str">
        <f aca="false">IF($E109="","",IF($F109&lt;=BankCostEnvelope*'5. Scenarios'!$B$7,1,0))</f>
        <v/>
      </c>
      <c r="H109" s="57" t="str">
        <f aca="false">IF($D109="","",INDEX(BookRate,104)*(1+'5. Scenarios'!$B$10)*(INDEX(BookQ1,104)*(5-MIN(4,1+'5. Scenarios'!$B$8))/4+INDEX(BookQ2,104)*(5-MIN(4,2+'5. Scenarios'!$B$8))/4+INDEX(BookQ3,104)*(5-MIN(4,3+'5. Scenarios'!$B$8))/4+INDEX(BookQ4,104)*(5-MIN(4,4+'5. Scenarios'!$B$8))/4)*'5. Scenarios'!$B$6/(1+ProductivityDefault*('5. Scenarios'!$B$11-1))+INDEX(BookOneOff,104)*$D109)</f>
        <v/>
      </c>
      <c r="I109" s="56" t="str">
        <f aca="false">IF(INDEX(BookTitle,104)="","",INDEX(BookTotal,104)*'5. Scenarios'!$C$6/(1+ProductivityDefault*('5. Scenarios'!$C$11-1)))</f>
        <v/>
      </c>
      <c r="J109" s="57" t="str">
        <f aca="false">IF($I109="","",INDEX(BookRate,104)*(1+'5. Scenarios'!$C$10)*$I109)</f>
        <v/>
      </c>
      <c r="K109" s="57" t="str">
        <f aca="false">IF($J109="","",SUMIFS($J$6:$J$2405,$A$6:$A$2405,"&lt;="&amp;$A109))</f>
        <v/>
      </c>
      <c r="L109" s="57" t="str">
        <f aca="false">IF($J109="","",IF($K109&lt;=BankCostEnvelope*'5. Scenarios'!$C$7,1,0))</f>
        <v/>
      </c>
      <c r="M109" s="57" t="str">
        <f aca="false">IF($I109="","",INDEX(BookRate,104)*(1+'5. Scenarios'!$C$10)*(INDEX(BookQ1,104)*(5-MIN(4,1+'5. Scenarios'!$C$8))/4+INDEX(BookQ2,104)*(5-MIN(4,2+'5. Scenarios'!$C$8))/4+INDEX(BookQ3,104)*(5-MIN(4,3+'5. Scenarios'!$C$8))/4+INDEX(BookQ4,104)*(5-MIN(4,4+'5. Scenarios'!$C$8))/4)*'5. Scenarios'!$C$6/(1+ProductivityDefault*('5. Scenarios'!$C$11-1))+INDEX(BookOneOff,104)*$I109)</f>
        <v/>
      </c>
      <c r="N109" s="56" t="str">
        <f aca="false">IF(INDEX(BookTitle,104)="","",INDEX(BookTotal,104)*'5. Scenarios'!$D$6/(1+ProductivityDefault*('5. Scenarios'!$D$11-1)))</f>
        <v/>
      </c>
      <c r="O109" s="57" t="str">
        <f aca="false">IF($N109="","",INDEX(BookRate,104)*(1+'5. Scenarios'!$D$10)*$N109)</f>
        <v/>
      </c>
      <c r="P109" s="57" t="str">
        <f aca="false">IF($O109="","",SUMIFS($O$6:$O$2405,$A$6:$A$2405,"&lt;="&amp;$A109))</f>
        <v/>
      </c>
      <c r="Q109" s="57" t="str">
        <f aca="false">IF($O109="","",IF($P109&lt;=BankCostEnvelope*'5. Scenarios'!$D$7,1,0))</f>
        <v/>
      </c>
      <c r="R109" s="57" t="str">
        <f aca="false">IF($N109="","",INDEX(BookRate,104)*(1+'5. Scenarios'!$D$10)*(INDEX(BookQ1,104)*(5-MIN(4,1+'5. Scenarios'!$D$8))/4+INDEX(BookQ2,104)*(5-MIN(4,2+'5. Scenarios'!$D$8))/4+INDEX(BookQ3,104)*(5-MIN(4,3+'5. Scenarios'!$D$8))/4+INDEX(BookQ4,104)*(5-MIN(4,4+'5. Scenarios'!$D$8))/4)*'5. Scenarios'!$D$6/(1+ProductivityDefault*('5. Scenarios'!$D$11-1))+INDEX(BookOneOff,104)*$N109)</f>
        <v/>
      </c>
      <c r="S109" s="56" t="str">
        <f aca="false">IF(INDEX(BookTitle,104)="","",INDEX(BookTotal,104)*'5. Scenarios'!$E$6/(1+ProductivityDefault*('5. Scenarios'!$E$11-1)))</f>
        <v/>
      </c>
      <c r="T109" s="57" t="str">
        <f aca="false">IF($S109="","",INDEX(BookRate,104)*(1+'5. Scenarios'!$E$10)*$S109)</f>
        <v/>
      </c>
      <c r="U109" s="57" t="str">
        <f aca="false">IF($T109="","",SUMIFS($T$6:$T$2405,$A$6:$A$2405,"&lt;="&amp;$A109))</f>
        <v/>
      </c>
      <c r="V109" s="57" t="str">
        <f aca="false">IF($T109="","",IF($U109&lt;=BankCostEnvelope*'5. Scenarios'!$E$7,1,0))</f>
        <v/>
      </c>
      <c r="W109" s="57" t="str">
        <f aca="false">IF($S109="","",INDEX(BookRate,104)*(1+'5. Scenarios'!$E$10)*(INDEX(BookQ1,104)*(5-MIN(4,1+'5. Scenarios'!$E$8))/4+INDEX(BookQ2,104)*(5-MIN(4,2+'5. Scenarios'!$E$8))/4+INDEX(BookQ3,104)*(5-MIN(4,3+'5. Scenarios'!$E$8))/4+INDEX(BookQ4,104)*(5-MIN(4,4+'5. Scenarios'!$E$8))/4)*'5. Scenarios'!$E$6/(1+ProductivityDefault*('5. Scenarios'!$E$11-1))+INDEX(BookOneOff,104)*$S109)</f>
        <v/>
      </c>
    </row>
    <row r="110" customFormat="false" ht="15" hidden="false" customHeight="false" outlineLevel="0" collapsed="false">
      <c r="A110" s="0" t="str">
        <f aca="false">IF(INDEX(BookTitle,105)="","",INDEX(BookKey,105))</f>
        <v/>
      </c>
      <c r="B110" s="0" t="str">
        <f aca="false">IF(INDEX(BookTitle,105)="","",INDEX(BookGroup,105))</f>
        <v/>
      </c>
      <c r="C110" s="0" t="str">
        <f aca="false">IF(INDEX(BookTitle,105)="","",INDEX(BookCategory,105))</f>
        <v/>
      </c>
      <c r="D110" s="56" t="str">
        <f aca="false">IF(INDEX(BookTitle,105)="","",INDEX(BookTotal,105)*'5. Scenarios'!$B$6/(1+ProductivityDefault*('5. Scenarios'!$B$11-1)))</f>
        <v/>
      </c>
      <c r="E110" s="57" t="str">
        <f aca="false">IF($D110="","",INDEX(BookRate,105)*(1+'5. Scenarios'!$B$10)*$D110)</f>
        <v/>
      </c>
      <c r="F110" s="57" t="str">
        <f aca="false">IF($E110="","",SUMIFS($E$6:$E$2405,$A$6:$A$2405,"&lt;="&amp;$A110))</f>
        <v/>
      </c>
      <c r="G110" s="57" t="str">
        <f aca="false">IF($E110="","",IF($F110&lt;=BankCostEnvelope*'5. Scenarios'!$B$7,1,0))</f>
        <v/>
      </c>
      <c r="H110" s="57" t="str">
        <f aca="false">IF($D110="","",INDEX(BookRate,105)*(1+'5. Scenarios'!$B$10)*(INDEX(BookQ1,105)*(5-MIN(4,1+'5. Scenarios'!$B$8))/4+INDEX(BookQ2,105)*(5-MIN(4,2+'5. Scenarios'!$B$8))/4+INDEX(BookQ3,105)*(5-MIN(4,3+'5. Scenarios'!$B$8))/4+INDEX(BookQ4,105)*(5-MIN(4,4+'5. Scenarios'!$B$8))/4)*'5. Scenarios'!$B$6/(1+ProductivityDefault*('5. Scenarios'!$B$11-1))+INDEX(BookOneOff,105)*$D110)</f>
        <v/>
      </c>
      <c r="I110" s="56" t="str">
        <f aca="false">IF(INDEX(BookTitle,105)="","",INDEX(BookTotal,105)*'5. Scenarios'!$C$6/(1+ProductivityDefault*('5. Scenarios'!$C$11-1)))</f>
        <v/>
      </c>
      <c r="J110" s="57" t="str">
        <f aca="false">IF($I110="","",INDEX(BookRate,105)*(1+'5. Scenarios'!$C$10)*$I110)</f>
        <v/>
      </c>
      <c r="K110" s="57" t="str">
        <f aca="false">IF($J110="","",SUMIFS($J$6:$J$2405,$A$6:$A$2405,"&lt;="&amp;$A110))</f>
        <v/>
      </c>
      <c r="L110" s="57" t="str">
        <f aca="false">IF($J110="","",IF($K110&lt;=BankCostEnvelope*'5. Scenarios'!$C$7,1,0))</f>
        <v/>
      </c>
      <c r="M110" s="57" t="str">
        <f aca="false">IF($I110="","",INDEX(BookRate,105)*(1+'5. Scenarios'!$C$10)*(INDEX(BookQ1,105)*(5-MIN(4,1+'5. Scenarios'!$C$8))/4+INDEX(BookQ2,105)*(5-MIN(4,2+'5. Scenarios'!$C$8))/4+INDEX(BookQ3,105)*(5-MIN(4,3+'5. Scenarios'!$C$8))/4+INDEX(BookQ4,105)*(5-MIN(4,4+'5. Scenarios'!$C$8))/4)*'5. Scenarios'!$C$6/(1+ProductivityDefault*('5. Scenarios'!$C$11-1))+INDEX(BookOneOff,105)*$I110)</f>
        <v/>
      </c>
      <c r="N110" s="56" t="str">
        <f aca="false">IF(INDEX(BookTitle,105)="","",INDEX(BookTotal,105)*'5. Scenarios'!$D$6/(1+ProductivityDefault*('5. Scenarios'!$D$11-1)))</f>
        <v/>
      </c>
      <c r="O110" s="57" t="str">
        <f aca="false">IF($N110="","",INDEX(BookRate,105)*(1+'5. Scenarios'!$D$10)*$N110)</f>
        <v/>
      </c>
      <c r="P110" s="57" t="str">
        <f aca="false">IF($O110="","",SUMIFS($O$6:$O$2405,$A$6:$A$2405,"&lt;="&amp;$A110))</f>
        <v/>
      </c>
      <c r="Q110" s="57" t="str">
        <f aca="false">IF($O110="","",IF($P110&lt;=BankCostEnvelope*'5. Scenarios'!$D$7,1,0))</f>
        <v/>
      </c>
      <c r="R110" s="57" t="str">
        <f aca="false">IF($N110="","",INDEX(BookRate,105)*(1+'5. Scenarios'!$D$10)*(INDEX(BookQ1,105)*(5-MIN(4,1+'5. Scenarios'!$D$8))/4+INDEX(BookQ2,105)*(5-MIN(4,2+'5. Scenarios'!$D$8))/4+INDEX(BookQ3,105)*(5-MIN(4,3+'5. Scenarios'!$D$8))/4+INDEX(BookQ4,105)*(5-MIN(4,4+'5. Scenarios'!$D$8))/4)*'5. Scenarios'!$D$6/(1+ProductivityDefault*('5. Scenarios'!$D$11-1))+INDEX(BookOneOff,105)*$N110)</f>
        <v/>
      </c>
      <c r="S110" s="56" t="str">
        <f aca="false">IF(INDEX(BookTitle,105)="","",INDEX(BookTotal,105)*'5. Scenarios'!$E$6/(1+ProductivityDefault*('5. Scenarios'!$E$11-1)))</f>
        <v/>
      </c>
      <c r="T110" s="57" t="str">
        <f aca="false">IF($S110="","",INDEX(BookRate,105)*(1+'5. Scenarios'!$E$10)*$S110)</f>
        <v/>
      </c>
      <c r="U110" s="57" t="str">
        <f aca="false">IF($T110="","",SUMIFS($T$6:$T$2405,$A$6:$A$2405,"&lt;="&amp;$A110))</f>
        <v/>
      </c>
      <c r="V110" s="57" t="str">
        <f aca="false">IF($T110="","",IF($U110&lt;=BankCostEnvelope*'5. Scenarios'!$E$7,1,0))</f>
        <v/>
      </c>
      <c r="W110" s="57" t="str">
        <f aca="false">IF($S110="","",INDEX(BookRate,105)*(1+'5. Scenarios'!$E$10)*(INDEX(BookQ1,105)*(5-MIN(4,1+'5. Scenarios'!$E$8))/4+INDEX(BookQ2,105)*(5-MIN(4,2+'5. Scenarios'!$E$8))/4+INDEX(BookQ3,105)*(5-MIN(4,3+'5. Scenarios'!$E$8))/4+INDEX(BookQ4,105)*(5-MIN(4,4+'5. Scenarios'!$E$8))/4)*'5. Scenarios'!$E$6/(1+ProductivityDefault*('5. Scenarios'!$E$11-1))+INDEX(BookOneOff,105)*$S110)</f>
        <v/>
      </c>
    </row>
    <row r="111" customFormat="false" ht="15" hidden="false" customHeight="false" outlineLevel="0" collapsed="false">
      <c r="A111" s="0" t="str">
        <f aca="false">IF(INDEX(BookTitle,106)="","",INDEX(BookKey,106))</f>
        <v/>
      </c>
      <c r="B111" s="0" t="str">
        <f aca="false">IF(INDEX(BookTitle,106)="","",INDEX(BookGroup,106))</f>
        <v/>
      </c>
      <c r="C111" s="0" t="str">
        <f aca="false">IF(INDEX(BookTitle,106)="","",INDEX(BookCategory,106))</f>
        <v/>
      </c>
      <c r="D111" s="56" t="str">
        <f aca="false">IF(INDEX(BookTitle,106)="","",INDEX(BookTotal,106)*'5. Scenarios'!$B$6/(1+ProductivityDefault*('5. Scenarios'!$B$11-1)))</f>
        <v/>
      </c>
      <c r="E111" s="57" t="str">
        <f aca="false">IF($D111="","",INDEX(BookRate,106)*(1+'5. Scenarios'!$B$10)*$D111)</f>
        <v/>
      </c>
      <c r="F111" s="57" t="str">
        <f aca="false">IF($E111="","",SUMIFS($E$6:$E$2405,$A$6:$A$2405,"&lt;="&amp;$A111))</f>
        <v/>
      </c>
      <c r="G111" s="57" t="str">
        <f aca="false">IF($E111="","",IF($F111&lt;=BankCostEnvelope*'5. Scenarios'!$B$7,1,0))</f>
        <v/>
      </c>
      <c r="H111" s="57" t="str">
        <f aca="false">IF($D111="","",INDEX(BookRate,106)*(1+'5. Scenarios'!$B$10)*(INDEX(BookQ1,106)*(5-MIN(4,1+'5. Scenarios'!$B$8))/4+INDEX(BookQ2,106)*(5-MIN(4,2+'5. Scenarios'!$B$8))/4+INDEX(BookQ3,106)*(5-MIN(4,3+'5. Scenarios'!$B$8))/4+INDEX(BookQ4,106)*(5-MIN(4,4+'5. Scenarios'!$B$8))/4)*'5. Scenarios'!$B$6/(1+ProductivityDefault*('5. Scenarios'!$B$11-1))+INDEX(BookOneOff,106)*$D111)</f>
        <v/>
      </c>
      <c r="I111" s="56" t="str">
        <f aca="false">IF(INDEX(BookTitle,106)="","",INDEX(BookTotal,106)*'5. Scenarios'!$C$6/(1+ProductivityDefault*('5. Scenarios'!$C$11-1)))</f>
        <v/>
      </c>
      <c r="J111" s="57" t="str">
        <f aca="false">IF($I111="","",INDEX(BookRate,106)*(1+'5. Scenarios'!$C$10)*$I111)</f>
        <v/>
      </c>
      <c r="K111" s="57" t="str">
        <f aca="false">IF($J111="","",SUMIFS($J$6:$J$2405,$A$6:$A$2405,"&lt;="&amp;$A111))</f>
        <v/>
      </c>
      <c r="L111" s="57" t="str">
        <f aca="false">IF($J111="","",IF($K111&lt;=BankCostEnvelope*'5. Scenarios'!$C$7,1,0))</f>
        <v/>
      </c>
      <c r="M111" s="57" t="str">
        <f aca="false">IF($I111="","",INDEX(BookRate,106)*(1+'5. Scenarios'!$C$10)*(INDEX(BookQ1,106)*(5-MIN(4,1+'5. Scenarios'!$C$8))/4+INDEX(BookQ2,106)*(5-MIN(4,2+'5. Scenarios'!$C$8))/4+INDEX(BookQ3,106)*(5-MIN(4,3+'5. Scenarios'!$C$8))/4+INDEX(BookQ4,106)*(5-MIN(4,4+'5. Scenarios'!$C$8))/4)*'5. Scenarios'!$C$6/(1+ProductivityDefault*('5. Scenarios'!$C$11-1))+INDEX(BookOneOff,106)*$I111)</f>
        <v/>
      </c>
      <c r="N111" s="56" t="str">
        <f aca="false">IF(INDEX(BookTitle,106)="","",INDEX(BookTotal,106)*'5. Scenarios'!$D$6/(1+ProductivityDefault*('5. Scenarios'!$D$11-1)))</f>
        <v/>
      </c>
      <c r="O111" s="57" t="str">
        <f aca="false">IF($N111="","",INDEX(BookRate,106)*(1+'5. Scenarios'!$D$10)*$N111)</f>
        <v/>
      </c>
      <c r="P111" s="57" t="str">
        <f aca="false">IF($O111="","",SUMIFS($O$6:$O$2405,$A$6:$A$2405,"&lt;="&amp;$A111))</f>
        <v/>
      </c>
      <c r="Q111" s="57" t="str">
        <f aca="false">IF($O111="","",IF($P111&lt;=BankCostEnvelope*'5. Scenarios'!$D$7,1,0))</f>
        <v/>
      </c>
      <c r="R111" s="57" t="str">
        <f aca="false">IF($N111="","",INDEX(BookRate,106)*(1+'5. Scenarios'!$D$10)*(INDEX(BookQ1,106)*(5-MIN(4,1+'5. Scenarios'!$D$8))/4+INDEX(BookQ2,106)*(5-MIN(4,2+'5. Scenarios'!$D$8))/4+INDEX(BookQ3,106)*(5-MIN(4,3+'5. Scenarios'!$D$8))/4+INDEX(BookQ4,106)*(5-MIN(4,4+'5. Scenarios'!$D$8))/4)*'5. Scenarios'!$D$6/(1+ProductivityDefault*('5. Scenarios'!$D$11-1))+INDEX(BookOneOff,106)*$N111)</f>
        <v/>
      </c>
      <c r="S111" s="56" t="str">
        <f aca="false">IF(INDEX(BookTitle,106)="","",INDEX(BookTotal,106)*'5. Scenarios'!$E$6/(1+ProductivityDefault*('5. Scenarios'!$E$11-1)))</f>
        <v/>
      </c>
      <c r="T111" s="57" t="str">
        <f aca="false">IF($S111="","",INDEX(BookRate,106)*(1+'5. Scenarios'!$E$10)*$S111)</f>
        <v/>
      </c>
      <c r="U111" s="57" t="str">
        <f aca="false">IF($T111="","",SUMIFS($T$6:$T$2405,$A$6:$A$2405,"&lt;="&amp;$A111))</f>
        <v/>
      </c>
      <c r="V111" s="57" t="str">
        <f aca="false">IF($T111="","",IF($U111&lt;=BankCostEnvelope*'5. Scenarios'!$E$7,1,0))</f>
        <v/>
      </c>
      <c r="W111" s="57" t="str">
        <f aca="false">IF($S111="","",INDEX(BookRate,106)*(1+'5. Scenarios'!$E$10)*(INDEX(BookQ1,106)*(5-MIN(4,1+'5. Scenarios'!$E$8))/4+INDEX(BookQ2,106)*(5-MIN(4,2+'5. Scenarios'!$E$8))/4+INDEX(BookQ3,106)*(5-MIN(4,3+'5. Scenarios'!$E$8))/4+INDEX(BookQ4,106)*(5-MIN(4,4+'5. Scenarios'!$E$8))/4)*'5. Scenarios'!$E$6/(1+ProductivityDefault*('5. Scenarios'!$E$11-1))+INDEX(BookOneOff,106)*$S111)</f>
        <v/>
      </c>
    </row>
    <row r="112" customFormat="false" ht="15" hidden="false" customHeight="false" outlineLevel="0" collapsed="false">
      <c r="A112" s="0" t="str">
        <f aca="false">IF(INDEX(BookTitle,107)="","",INDEX(BookKey,107))</f>
        <v/>
      </c>
      <c r="B112" s="0" t="str">
        <f aca="false">IF(INDEX(BookTitle,107)="","",INDEX(BookGroup,107))</f>
        <v/>
      </c>
      <c r="C112" s="0" t="str">
        <f aca="false">IF(INDEX(BookTitle,107)="","",INDEX(BookCategory,107))</f>
        <v/>
      </c>
      <c r="D112" s="56" t="str">
        <f aca="false">IF(INDEX(BookTitle,107)="","",INDEX(BookTotal,107)*'5. Scenarios'!$B$6/(1+ProductivityDefault*('5. Scenarios'!$B$11-1)))</f>
        <v/>
      </c>
      <c r="E112" s="57" t="str">
        <f aca="false">IF($D112="","",INDEX(BookRate,107)*(1+'5. Scenarios'!$B$10)*$D112)</f>
        <v/>
      </c>
      <c r="F112" s="57" t="str">
        <f aca="false">IF($E112="","",SUMIFS($E$6:$E$2405,$A$6:$A$2405,"&lt;="&amp;$A112))</f>
        <v/>
      </c>
      <c r="G112" s="57" t="str">
        <f aca="false">IF($E112="","",IF($F112&lt;=BankCostEnvelope*'5. Scenarios'!$B$7,1,0))</f>
        <v/>
      </c>
      <c r="H112" s="57" t="str">
        <f aca="false">IF($D112="","",INDEX(BookRate,107)*(1+'5. Scenarios'!$B$10)*(INDEX(BookQ1,107)*(5-MIN(4,1+'5. Scenarios'!$B$8))/4+INDEX(BookQ2,107)*(5-MIN(4,2+'5. Scenarios'!$B$8))/4+INDEX(BookQ3,107)*(5-MIN(4,3+'5. Scenarios'!$B$8))/4+INDEX(BookQ4,107)*(5-MIN(4,4+'5. Scenarios'!$B$8))/4)*'5. Scenarios'!$B$6/(1+ProductivityDefault*('5. Scenarios'!$B$11-1))+INDEX(BookOneOff,107)*$D112)</f>
        <v/>
      </c>
      <c r="I112" s="56" t="str">
        <f aca="false">IF(INDEX(BookTitle,107)="","",INDEX(BookTotal,107)*'5. Scenarios'!$C$6/(1+ProductivityDefault*('5. Scenarios'!$C$11-1)))</f>
        <v/>
      </c>
      <c r="J112" s="57" t="str">
        <f aca="false">IF($I112="","",INDEX(BookRate,107)*(1+'5. Scenarios'!$C$10)*$I112)</f>
        <v/>
      </c>
      <c r="K112" s="57" t="str">
        <f aca="false">IF($J112="","",SUMIFS($J$6:$J$2405,$A$6:$A$2405,"&lt;="&amp;$A112))</f>
        <v/>
      </c>
      <c r="L112" s="57" t="str">
        <f aca="false">IF($J112="","",IF($K112&lt;=BankCostEnvelope*'5. Scenarios'!$C$7,1,0))</f>
        <v/>
      </c>
      <c r="M112" s="57" t="str">
        <f aca="false">IF($I112="","",INDEX(BookRate,107)*(1+'5. Scenarios'!$C$10)*(INDEX(BookQ1,107)*(5-MIN(4,1+'5. Scenarios'!$C$8))/4+INDEX(BookQ2,107)*(5-MIN(4,2+'5. Scenarios'!$C$8))/4+INDEX(BookQ3,107)*(5-MIN(4,3+'5. Scenarios'!$C$8))/4+INDEX(BookQ4,107)*(5-MIN(4,4+'5. Scenarios'!$C$8))/4)*'5. Scenarios'!$C$6/(1+ProductivityDefault*('5. Scenarios'!$C$11-1))+INDEX(BookOneOff,107)*$I112)</f>
        <v/>
      </c>
      <c r="N112" s="56" t="str">
        <f aca="false">IF(INDEX(BookTitle,107)="","",INDEX(BookTotal,107)*'5. Scenarios'!$D$6/(1+ProductivityDefault*('5. Scenarios'!$D$11-1)))</f>
        <v/>
      </c>
      <c r="O112" s="57" t="str">
        <f aca="false">IF($N112="","",INDEX(BookRate,107)*(1+'5. Scenarios'!$D$10)*$N112)</f>
        <v/>
      </c>
      <c r="P112" s="57" t="str">
        <f aca="false">IF($O112="","",SUMIFS($O$6:$O$2405,$A$6:$A$2405,"&lt;="&amp;$A112))</f>
        <v/>
      </c>
      <c r="Q112" s="57" t="str">
        <f aca="false">IF($O112="","",IF($P112&lt;=BankCostEnvelope*'5. Scenarios'!$D$7,1,0))</f>
        <v/>
      </c>
      <c r="R112" s="57" t="str">
        <f aca="false">IF($N112="","",INDEX(BookRate,107)*(1+'5. Scenarios'!$D$10)*(INDEX(BookQ1,107)*(5-MIN(4,1+'5. Scenarios'!$D$8))/4+INDEX(BookQ2,107)*(5-MIN(4,2+'5. Scenarios'!$D$8))/4+INDEX(BookQ3,107)*(5-MIN(4,3+'5. Scenarios'!$D$8))/4+INDEX(BookQ4,107)*(5-MIN(4,4+'5. Scenarios'!$D$8))/4)*'5. Scenarios'!$D$6/(1+ProductivityDefault*('5. Scenarios'!$D$11-1))+INDEX(BookOneOff,107)*$N112)</f>
        <v/>
      </c>
      <c r="S112" s="56" t="str">
        <f aca="false">IF(INDEX(BookTitle,107)="","",INDEX(BookTotal,107)*'5. Scenarios'!$E$6/(1+ProductivityDefault*('5. Scenarios'!$E$11-1)))</f>
        <v/>
      </c>
      <c r="T112" s="57" t="str">
        <f aca="false">IF($S112="","",INDEX(BookRate,107)*(1+'5. Scenarios'!$E$10)*$S112)</f>
        <v/>
      </c>
      <c r="U112" s="57" t="str">
        <f aca="false">IF($T112="","",SUMIFS($T$6:$T$2405,$A$6:$A$2405,"&lt;="&amp;$A112))</f>
        <v/>
      </c>
      <c r="V112" s="57" t="str">
        <f aca="false">IF($T112="","",IF($U112&lt;=BankCostEnvelope*'5. Scenarios'!$E$7,1,0))</f>
        <v/>
      </c>
      <c r="W112" s="57" t="str">
        <f aca="false">IF($S112="","",INDEX(BookRate,107)*(1+'5. Scenarios'!$E$10)*(INDEX(BookQ1,107)*(5-MIN(4,1+'5. Scenarios'!$E$8))/4+INDEX(BookQ2,107)*(5-MIN(4,2+'5. Scenarios'!$E$8))/4+INDEX(BookQ3,107)*(5-MIN(4,3+'5. Scenarios'!$E$8))/4+INDEX(BookQ4,107)*(5-MIN(4,4+'5. Scenarios'!$E$8))/4)*'5. Scenarios'!$E$6/(1+ProductivityDefault*('5. Scenarios'!$E$11-1))+INDEX(BookOneOff,107)*$S112)</f>
        <v/>
      </c>
    </row>
    <row r="113" customFormat="false" ht="15" hidden="false" customHeight="false" outlineLevel="0" collapsed="false">
      <c r="A113" s="0" t="str">
        <f aca="false">IF(INDEX(BookTitle,108)="","",INDEX(BookKey,108))</f>
        <v/>
      </c>
      <c r="B113" s="0" t="str">
        <f aca="false">IF(INDEX(BookTitle,108)="","",INDEX(BookGroup,108))</f>
        <v/>
      </c>
      <c r="C113" s="0" t="str">
        <f aca="false">IF(INDEX(BookTitle,108)="","",INDEX(BookCategory,108))</f>
        <v/>
      </c>
      <c r="D113" s="56" t="str">
        <f aca="false">IF(INDEX(BookTitle,108)="","",INDEX(BookTotal,108)*'5. Scenarios'!$B$6/(1+ProductivityDefault*('5. Scenarios'!$B$11-1)))</f>
        <v/>
      </c>
      <c r="E113" s="57" t="str">
        <f aca="false">IF($D113="","",INDEX(BookRate,108)*(1+'5. Scenarios'!$B$10)*$D113)</f>
        <v/>
      </c>
      <c r="F113" s="57" t="str">
        <f aca="false">IF($E113="","",SUMIFS($E$6:$E$2405,$A$6:$A$2405,"&lt;="&amp;$A113))</f>
        <v/>
      </c>
      <c r="G113" s="57" t="str">
        <f aca="false">IF($E113="","",IF($F113&lt;=BankCostEnvelope*'5. Scenarios'!$B$7,1,0))</f>
        <v/>
      </c>
      <c r="H113" s="57" t="str">
        <f aca="false">IF($D113="","",INDEX(BookRate,108)*(1+'5. Scenarios'!$B$10)*(INDEX(BookQ1,108)*(5-MIN(4,1+'5. Scenarios'!$B$8))/4+INDEX(BookQ2,108)*(5-MIN(4,2+'5. Scenarios'!$B$8))/4+INDEX(BookQ3,108)*(5-MIN(4,3+'5. Scenarios'!$B$8))/4+INDEX(BookQ4,108)*(5-MIN(4,4+'5. Scenarios'!$B$8))/4)*'5. Scenarios'!$B$6/(1+ProductivityDefault*('5. Scenarios'!$B$11-1))+INDEX(BookOneOff,108)*$D113)</f>
        <v/>
      </c>
      <c r="I113" s="56" t="str">
        <f aca="false">IF(INDEX(BookTitle,108)="","",INDEX(BookTotal,108)*'5. Scenarios'!$C$6/(1+ProductivityDefault*('5. Scenarios'!$C$11-1)))</f>
        <v/>
      </c>
      <c r="J113" s="57" t="str">
        <f aca="false">IF($I113="","",INDEX(BookRate,108)*(1+'5. Scenarios'!$C$10)*$I113)</f>
        <v/>
      </c>
      <c r="K113" s="57" t="str">
        <f aca="false">IF($J113="","",SUMIFS($J$6:$J$2405,$A$6:$A$2405,"&lt;="&amp;$A113))</f>
        <v/>
      </c>
      <c r="L113" s="57" t="str">
        <f aca="false">IF($J113="","",IF($K113&lt;=BankCostEnvelope*'5. Scenarios'!$C$7,1,0))</f>
        <v/>
      </c>
      <c r="M113" s="57" t="str">
        <f aca="false">IF($I113="","",INDEX(BookRate,108)*(1+'5. Scenarios'!$C$10)*(INDEX(BookQ1,108)*(5-MIN(4,1+'5. Scenarios'!$C$8))/4+INDEX(BookQ2,108)*(5-MIN(4,2+'5. Scenarios'!$C$8))/4+INDEX(BookQ3,108)*(5-MIN(4,3+'5. Scenarios'!$C$8))/4+INDEX(BookQ4,108)*(5-MIN(4,4+'5. Scenarios'!$C$8))/4)*'5. Scenarios'!$C$6/(1+ProductivityDefault*('5. Scenarios'!$C$11-1))+INDEX(BookOneOff,108)*$I113)</f>
        <v/>
      </c>
      <c r="N113" s="56" t="str">
        <f aca="false">IF(INDEX(BookTitle,108)="","",INDEX(BookTotal,108)*'5. Scenarios'!$D$6/(1+ProductivityDefault*('5. Scenarios'!$D$11-1)))</f>
        <v/>
      </c>
      <c r="O113" s="57" t="str">
        <f aca="false">IF($N113="","",INDEX(BookRate,108)*(1+'5. Scenarios'!$D$10)*$N113)</f>
        <v/>
      </c>
      <c r="P113" s="57" t="str">
        <f aca="false">IF($O113="","",SUMIFS($O$6:$O$2405,$A$6:$A$2405,"&lt;="&amp;$A113))</f>
        <v/>
      </c>
      <c r="Q113" s="57" t="str">
        <f aca="false">IF($O113="","",IF($P113&lt;=BankCostEnvelope*'5. Scenarios'!$D$7,1,0))</f>
        <v/>
      </c>
      <c r="R113" s="57" t="str">
        <f aca="false">IF($N113="","",INDEX(BookRate,108)*(1+'5. Scenarios'!$D$10)*(INDEX(BookQ1,108)*(5-MIN(4,1+'5. Scenarios'!$D$8))/4+INDEX(BookQ2,108)*(5-MIN(4,2+'5. Scenarios'!$D$8))/4+INDEX(BookQ3,108)*(5-MIN(4,3+'5. Scenarios'!$D$8))/4+INDEX(BookQ4,108)*(5-MIN(4,4+'5. Scenarios'!$D$8))/4)*'5. Scenarios'!$D$6/(1+ProductivityDefault*('5. Scenarios'!$D$11-1))+INDEX(BookOneOff,108)*$N113)</f>
        <v/>
      </c>
      <c r="S113" s="56" t="str">
        <f aca="false">IF(INDEX(BookTitle,108)="","",INDEX(BookTotal,108)*'5. Scenarios'!$E$6/(1+ProductivityDefault*('5. Scenarios'!$E$11-1)))</f>
        <v/>
      </c>
      <c r="T113" s="57" t="str">
        <f aca="false">IF($S113="","",INDEX(BookRate,108)*(1+'5. Scenarios'!$E$10)*$S113)</f>
        <v/>
      </c>
      <c r="U113" s="57" t="str">
        <f aca="false">IF($T113="","",SUMIFS($T$6:$T$2405,$A$6:$A$2405,"&lt;="&amp;$A113))</f>
        <v/>
      </c>
      <c r="V113" s="57" t="str">
        <f aca="false">IF($T113="","",IF($U113&lt;=BankCostEnvelope*'5. Scenarios'!$E$7,1,0))</f>
        <v/>
      </c>
      <c r="W113" s="57" t="str">
        <f aca="false">IF($S113="","",INDEX(BookRate,108)*(1+'5. Scenarios'!$E$10)*(INDEX(BookQ1,108)*(5-MIN(4,1+'5. Scenarios'!$E$8))/4+INDEX(BookQ2,108)*(5-MIN(4,2+'5. Scenarios'!$E$8))/4+INDEX(BookQ3,108)*(5-MIN(4,3+'5. Scenarios'!$E$8))/4+INDEX(BookQ4,108)*(5-MIN(4,4+'5. Scenarios'!$E$8))/4)*'5. Scenarios'!$E$6/(1+ProductivityDefault*('5. Scenarios'!$E$11-1))+INDEX(BookOneOff,108)*$S113)</f>
        <v/>
      </c>
    </row>
    <row r="114" customFormat="false" ht="15" hidden="false" customHeight="false" outlineLevel="0" collapsed="false">
      <c r="A114" s="0" t="str">
        <f aca="false">IF(INDEX(BookTitle,109)="","",INDEX(BookKey,109))</f>
        <v/>
      </c>
      <c r="B114" s="0" t="str">
        <f aca="false">IF(INDEX(BookTitle,109)="","",INDEX(BookGroup,109))</f>
        <v/>
      </c>
      <c r="C114" s="0" t="str">
        <f aca="false">IF(INDEX(BookTitle,109)="","",INDEX(BookCategory,109))</f>
        <v/>
      </c>
      <c r="D114" s="56" t="str">
        <f aca="false">IF(INDEX(BookTitle,109)="","",INDEX(BookTotal,109)*'5. Scenarios'!$B$6/(1+ProductivityDefault*('5. Scenarios'!$B$11-1)))</f>
        <v/>
      </c>
      <c r="E114" s="57" t="str">
        <f aca="false">IF($D114="","",INDEX(BookRate,109)*(1+'5. Scenarios'!$B$10)*$D114)</f>
        <v/>
      </c>
      <c r="F114" s="57" t="str">
        <f aca="false">IF($E114="","",SUMIFS($E$6:$E$2405,$A$6:$A$2405,"&lt;="&amp;$A114))</f>
        <v/>
      </c>
      <c r="G114" s="57" t="str">
        <f aca="false">IF($E114="","",IF($F114&lt;=BankCostEnvelope*'5. Scenarios'!$B$7,1,0))</f>
        <v/>
      </c>
      <c r="H114" s="57" t="str">
        <f aca="false">IF($D114="","",INDEX(BookRate,109)*(1+'5. Scenarios'!$B$10)*(INDEX(BookQ1,109)*(5-MIN(4,1+'5. Scenarios'!$B$8))/4+INDEX(BookQ2,109)*(5-MIN(4,2+'5. Scenarios'!$B$8))/4+INDEX(BookQ3,109)*(5-MIN(4,3+'5. Scenarios'!$B$8))/4+INDEX(BookQ4,109)*(5-MIN(4,4+'5. Scenarios'!$B$8))/4)*'5. Scenarios'!$B$6/(1+ProductivityDefault*('5. Scenarios'!$B$11-1))+INDEX(BookOneOff,109)*$D114)</f>
        <v/>
      </c>
      <c r="I114" s="56" t="str">
        <f aca="false">IF(INDEX(BookTitle,109)="","",INDEX(BookTotal,109)*'5. Scenarios'!$C$6/(1+ProductivityDefault*('5. Scenarios'!$C$11-1)))</f>
        <v/>
      </c>
      <c r="J114" s="57" t="str">
        <f aca="false">IF($I114="","",INDEX(BookRate,109)*(1+'5. Scenarios'!$C$10)*$I114)</f>
        <v/>
      </c>
      <c r="K114" s="57" t="str">
        <f aca="false">IF($J114="","",SUMIFS($J$6:$J$2405,$A$6:$A$2405,"&lt;="&amp;$A114))</f>
        <v/>
      </c>
      <c r="L114" s="57" t="str">
        <f aca="false">IF($J114="","",IF($K114&lt;=BankCostEnvelope*'5. Scenarios'!$C$7,1,0))</f>
        <v/>
      </c>
      <c r="M114" s="57" t="str">
        <f aca="false">IF($I114="","",INDEX(BookRate,109)*(1+'5. Scenarios'!$C$10)*(INDEX(BookQ1,109)*(5-MIN(4,1+'5. Scenarios'!$C$8))/4+INDEX(BookQ2,109)*(5-MIN(4,2+'5. Scenarios'!$C$8))/4+INDEX(BookQ3,109)*(5-MIN(4,3+'5. Scenarios'!$C$8))/4+INDEX(BookQ4,109)*(5-MIN(4,4+'5. Scenarios'!$C$8))/4)*'5. Scenarios'!$C$6/(1+ProductivityDefault*('5. Scenarios'!$C$11-1))+INDEX(BookOneOff,109)*$I114)</f>
        <v/>
      </c>
      <c r="N114" s="56" t="str">
        <f aca="false">IF(INDEX(BookTitle,109)="","",INDEX(BookTotal,109)*'5. Scenarios'!$D$6/(1+ProductivityDefault*('5. Scenarios'!$D$11-1)))</f>
        <v/>
      </c>
      <c r="O114" s="57" t="str">
        <f aca="false">IF($N114="","",INDEX(BookRate,109)*(1+'5. Scenarios'!$D$10)*$N114)</f>
        <v/>
      </c>
      <c r="P114" s="57" t="str">
        <f aca="false">IF($O114="","",SUMIFS($O$6:$O$2405,$A$6:$A$2405,"&lt;="&amp;$A114))</f>
        <v/>
      </c>
      <c r="Q114" s="57" t="str">
        <f aca="false">IF($O114="","",IF($P114&lt;=BankCostEnvelope*'5. Scenarios'!$D$7,1,0))</f>
        <v/>
      </c>
      <c r="R114" s="57" t="str">
        <f aca="false">IF($N114="","",INDEX(BookRate,109)*(1+'5. Scenarios'!$D$10)*(INDEX(BookQ1,109)*(5-MIN(4,1+'5. Scenarios'!$D$8))/4+INDEX(BookQ2,109)*(5-MIN(4,2+'5. Scenarios'!$D$8))/4+INDEX(BookQ3,109)*(5-MIN(4,3+'5. Scenarios'!$D$8))/4+INDEX(BookQ4,109)*(5-MIN(4,4+'5. Scenarios'!$D$8))/4)*'5. Scenarios'!$D$6/(1+ProductivityDefault*('5. Scenarios'!$D$11-1))+INDEX(BookOneOff,109)*$N114)</f>
        <v/>
      </c>
      <c r="S114" s="56" t="str">
        <f aca="false">IF(INDEX(BookTitle,109)="","",INDEX(BookTotal,109)*'5. Scenarios'!$E$6/(1+ProductivityDefault*('5. Scenarios'!$E$11-1)))</f>
        <v/>
      </c>
      <c r="T114" s="57" t="str">
        <f aca="false">IF($S114="","",INDEX(BookRate,109)*(1+'5. Scenarios'!$E$10)*$S114)</f>
        <v/>
      </c>
      <c r="U114" s="57" t="str">
        <f aca="false">IF($T114="","",SUMIFS($T$6:$T$2405,$A$6:$A$2405,"&lt;="&amp;$A114))</f>
        <v/>
      </c>
      <c r="V114" s="57" t="str">
        <f aca="false">IF($T114="","",IF($U114&lt;=BankCostEnvelope*'5. Scenarios'!$E$7,1,0))</f>
        <v/>
      </c>
      <c r="W114" s="57" t="str">
        <f aca="false">IF($S114="","",INDEX(BookRate,109)*(1+'5. Scenarios'!$E$10)*(INDEX(BookQ1,109)*(5-MIN(4,1+'5. Scenarios'!$E$8))/4+INDEX(BookQ2,109)*(5-MIN(4,2+'5. Scenarios'!$E$8))/4+INDEX(BookQ3,109)*(5-MIN(4,3+'5. Scenarios'!$E$8))/4+INDEX(BookQ4,109)*(5-MIN(4,4+'5. Scenarios'!$E$8))/4)*'5. Scenarios'!$E$6/(1+ProductivityDefault*('5. Scenarios'!$E$11-1))+INDEX(BookOneOff,109)*$S114)</f>
        <v/>
      </c>
    </row>
    <row r="115" customFormat="false" ht="15" hidden="false" customHeight="false" outlineLevel="0" collapsed="false">
      <c r="A115" s="0" t="str">
        <f aca="false">IF(INDEX(BookTitle,110)="","",INDEX(BookKey,110))</f>
        <v/>
      </c>
      <c r="B115" s="0" t="str">
        <f aca="false">IF(INDEX(BookTitle,110)="","",INDEX(BookGroup,110))</f>
        <v/>
      </c>
      <c r="C115" s="0" t="str">
        <f aca="false">IF(INDEX(BookTitle,110)="","",INDEX(BookCategory,110))</f>
        <v/>
      </c>
      <c r="D115" s="56" t="str">
        <f aca="false">IF(INDEX(BookTitle,110)="","",INDEX(BookTotal,110)*'5. Scenarios'!$B$6/(1+ProductivityDefault*('5. Scenarios'!$B$11-1)))</f>
        <v/>
      </c>
      <c r="E115" s="57" t="str">
        <f aca="false">IF($D115="","",INDEX(BookRate,110)*(1+'5. Scenarios'!$B$10)*$D115)</f>
        <v/>
      </c>
      <c r="F115" s="57" t="str">
        <f aca="false">IF($E115="","",SUMIFS($E$6:$E$2405,$A$6:$A$2405,"&lt;="&amp;$A115))</f>
        <v/>
      </c>
      <c r="G115" s="57" t="str">
        <f aca="false">IF($E115="","",IF($F115&lt;=BankCostEnvelope*'5. Scenarios'!$B$7,1,0))</f>
        <v/>
      </c>
      <c r="H115" s="57" t="str">
        <f aca="false">IF($D115="","",INDEX(BookRate,110)*(1+'5. Scenarios'!$B$10)*(INDEX(BookQ1,110)*(5-MIN(4,1+'5. Scenarios'!$B$8))/4+INDEX(BookQ2,110)*(5-MIN(4,2+'5. Scenarios'!$B$8))/4+INDEX(BookQ3,110)*(5-MIN(4,3+'5. Scenarios'!$B$8))/4+INDEX(BookQ4,110)*(5-MIN(4,4+'5. Scenarios'!$B$8))/4)*'5. Scenarios'!$B$6/(1+ProductivityDefault*('5. Scenarios'!$B$11-1))+INDEX(BookOneOff,110)*$D115)</f>
        <v/>
      </c>
      <c r="I115" s="56" t="str">
        <f aca="false">IF(INDEX(BookTitle,110)="","",INDEX(BookTotal,110)*'5. Scenarios'!$C$6/(1+ProductivityDefault*('5. Scenarios'!$C$11-1)))</f>
        <v/>
      </c>
      <c r="J115" s="57" t="str">
        <f aca="false">IF($I115="","",INDEX(BookRate,110)*(1+'5. Scenarios'!$C$10)*$I115)</f>
        <v/>
      </c>
      <c r="K115" s="57" t="str">
        <f aca="false">IF($J115="","",SUMIFS($J$6:$J$2405,$A$6:$A$2405,"&lt;="&amp;$A115))</f>
        <v/>
      </c>
      <c r="L115" s="57" t="str">
        <f aca="false">IF($J115="","",IF($K115&lt;=BankCostEnvelope*'5. Scenarios'!$C$7,1,0))</f>
        <v/>
      </c>
      <c r="M115" s="57" t="str">
        <f aca="false">IF($I115="","",INDEX(BookRate,110)*(1+'5. Scenarios'!$C$10)*(INDEX(BookQ1,110)*(5-MIN(4,1+'5. Scenarios'!$C$8))/4+INDEX(BookQ2,110)*(5-MIN(4,2+'5. Scenarios'!$C$8))/4+INDEX(BookQ3,110)*(5-MIN(4,3+'5. Scenarios'!$C$8))/4+INDEX(BookQ4,110)*(5-MIN(4,4+'5. Scenarios'!$C$8))/4)*'5. Scenarios'!$C$6/(1+ProductivityDefault*('5. Scenarios'!$C$11-1))+INDEX(BookOneOff,110)*$I115)</f>
        <v/>
      </c>
      <c r="N115" s="56" t="str">
        <f aca="false">IF(INDEX(BookTitle,110)="","",INDEX(BookTotal,110)*'5. Scenarios'!$D$6/(1+ProductivityDefault*('5. Scenarios'!$D$11-1)))</f>
        <v/>
      </c>
      <c r="O115" s="57" t="str">
        <f aca="false">IF($N115="","",INDEX(BookRate,110)*(1+'5. Scenarios'!$D$10)*$N115)</f>
        <v/>
      </c>
      <c r="P115" s="57" t="str">
        <f aca="false">IF($O115="","",SUMIFS($O$6:$O$2405,$A$6:$A$2405,"&lt;="&amp;$A115))</f>
        <v/>
      </c>
      <c r="Q115" s="57" t="str">
        <f aca="false">IF($O115="","",IF($P115&lt;=BankCostEnvelope*'5. Scenarios'!$D$7,1,0))</f>
        <v/>
      </c>
      <c r="R115" s="57" t="str">
        <f aca="false">IF($N115="","",INDEX(BookRate,110)*(1+'5. Scenarios'!$D$10)*(INDEX(BookQ1,110)*(5-MIN(4,1+'5. Scenarios'!$D$8))/4+INDEX(BookQ2,110)*(5-MIN(4,2+'5. Scenarios'!$D$8))/4+INDEX(BookQ3,110)*(5-MIN(4,3+'5. Scenarios'!$D$8))/4+INDEX(BookQ4,110)*(5-MIN(4,4+'5. Scenarios'!$D$8))/4)*'5. Scenarios'!$D$6/(1+ProductivityDefault*('5. Scenarios'!$D$11-1))+INDEX(BookOneOff,110)*$N115)</f>
        <v/>
      </c>
      <c r="S115" s="56" t="str">
        <f aca="false">IF(INDEX(BookTitle,110)="","",INDEX(BookTotal,110)*'5. Scenarios'!$E$6/(1+ProductivityDefault*('5. Scenarios'!$E$11-1)))</f>
        <v/>
      </c>
      <c r="T115" s="57" t="str">
        <f aca="false">IF($S115="","",INDEX(BookRate,110)*(1+'5. Scenarios'!$E$10)*$S115)</f>
        <v/>
      </c>
      <c r="U115" s="57" t="str">
        <f aca="false">IF($T115="","",SUMIFS($T$6:$T$2405,$A$6:$A$2405,"&lt;="&amp;$A115))</f>
        <v/>
      </c>
      <c r="V115" s="57" t="str">
        <f aca="false">IF($T115="","",IF($U115&lt;=BankCostEnvelope*'5. Scenarios'!$E$7,1,0))</f>
        <v/>
      </c>
      <c r="W115" s="57" t="str">
        <f aca="false">IF($S115="","",INDEX(BookRate,110)*(1+'5. Scenarios'!$E$10)*(INDEX(BookQ1,110)*(5-MIN(4,1+'5. Scenarios'!$E$8))/4+INDEX(BookQ2,110)*(5-MIN(4,2+'5. Scenarios'!$E$8))/4+INDEX(BookQ3,110)*(5-MIN(4,3+'5. Scenarios'!$E$8))/4+INDEX(BookQ4,110)*(5-MIN(4,4+'5. Scenarios'!$E$8))/4)*'5. Scenarios'!$E$6/(1+ProductivityDefault*('5. Scenarios'!$E$11-1))+INDEX(BookOneOff,110)*$S115)</f>
        <v/>
      </c>
    </row>
    <row r="116" customFormat="false" ht="15" hidden="false" customHeight="false" outlineLevel="0" collapsed="false">
      <c r="A116" s="0" t="str">
        <f aca="false">IF(INDEX(BookTitle,111)="","",INDEX(BookKey,111))</f>
        <v/>
      </c>
      <c r="B116" s="0" t="str">
        <f aca="false">IF(INDEX(BookTitle,111)="","",INDEX(BookGroup,111))</f>
        <v/>
      </c>
      <c r="C116" s="0" t="str">
        <f aca="false">IF(INDEX(BookTitle,111)="","",INDEX(BookCategory,111))</f>
        <v/>
      </c>
      <c r="D116" s="56" t="str">
        <f aca="false">IF(INDEX(BookTitle,111)="","",INDEX(BookTotal,111)*'5. Scenarios'!$B$6/(1+ProductivityDefault*('5. Scenarios'!$B$11-1)))</f>
        <v/>
      </c>
      <c r="E116" s="57" t="str">
        <f aca="false">IF($D116="","",INDEX(BookRate,111)*(1+'5. Scenarios'!$B$10)*$D116)</f>
        <v/>
      </c>
      <c r="F116" s="57" t="str">
        <f aca="false">IF($E116="","",SUMIFS($E$6:$E$2405,$A$6:$A$2405,"&lt;="&amp;$A116))</f>
        <v/>
      </c>
      <c r="G116" s="57" t="str">
        <f aca="false">IF($E116="","",IF($F116&lt;=BankCostEnvelope*'5. Scenarios'!$B$7,1,0))</f>
        <v/>
      </c>
      <c r="H116" s="57" t="str">
        <f aca="false">IF($D116="","",INDEX(BookRate,111)*(1+'5. Scenarios'!$B$10)*(INDEX(BookQ1,111)*(5-MIN(4,1+'5. Scenarios'!$B$8))/4+INDEX(BookQ2,111)*(5-MIN(4,2+'5. Scenarios'!$B$8))/4+INDEX(BookQ3,111)*(5-MIN(4,3+'5. Scenarios'!$B$8))/4+INDEX(BookQ4,111)*(5-MIN(4,4+'5. Scenarios'!$B$8))/4)*'5. Scenarios'!$B$6/(1+ProductivityDefault*('5. Scenarios'!$B$11-1))+INDEX(BookOneOff,111)*$D116)</f>
        <v/>
      </c>
      <c r="I116" s="56" t="str">
        <f aca="false">IF(INDEX(BookTitle,111)="","",INDEX(BookTotal,111)*'5. Scenarios'!$C$6/(1+ProductivityDefault*('5. Scenarios'!$C$11-1)))</f>
        <v/>
      </c>
      <c r="J116" s="57" t="str">
        <f aca="false">IF($I116="","",INDEX(BookRate,111)*(1+'5. Scenarios'!$C$10)*$I116)</f>
        <v/>
      </c>
      <c r="K116" s="57" t="str">
        <f aca="false">IF($J116="","",SUMIFS($J$6:$J$2405,$A$6:$A$2405,"&lt;="&amp;$A116))</f>
        <v/>
      </c>
      <c r="L116" s="57" t="str">
        <f aca="false">IF($J116="","",IF($K116&lt;=BankCostEnvelope*'5. Scenarios'!$C$7,1,0))</f>
        <v/>
      </c>
      <c r="M116" s="57" t="str">
        <f aca="false">IF($I116="","",INDEX(BookRate,111)*(1+'5. Scenarios'!$C$10)*(INDEX(BookQ1,111)*(5-MIN(4,1+'5. Scenarios'!$C$8))/4+INDEX(BookQ2,111)*(5-MIN(4,2+'5. Scenarios'!$C$8))/4+INDEX(BookQ3,111)*(5-MIN(4,3+'5. Scenarios'!$C$8))/4+INDEX(BookQ4,111)*(5-MIN(4,4+'5. Scenarios'!$C$8))/4)*'5. Scenarios'!$C$6/(1+ProductivityDefault*('5. Scenarios'!$C$11-1))+INDEX(BookOneOff,111)*$I116)</f>
        <v/>
      </c>
      <c r="N116" s="56" t="str">
        <f aca="false">IF(INDEX(BookTitle,111)="","",INDEX(BookTotal,111)*'5. Scenarios'!$D$6/(1+ProductivityDefault*('5. Scenarios'!$D$11-1)))</f>
        <v/>
      </c>
      <c r="O116" s="57" t="str">
        <f aca="false">IF($N116="","",INDEX(BookRate,111)*(1+'5. Scenarios'!$D$10)*$N116)</f>
        <v/>
      </c>
      <c r="P116" s="57" t="str">
        <f aca="false">IF($O116="","",SUMIFS($O$6:$O$2405,$A$6:$A$2405,"&lt;="&amp;$A116))</f>
        <v/>
      </c>
      <c r="Q116" s="57" t="str">
        <f aca="false">IF($O116="","",IF($P116&lt;=BankCostEnvelope*'5. Scenarios'!$D$7,1,0))</f>
        <v/>
      </c>
      <c r="R116" s="57" t="str">
        <f aca="false">IF($N116="","",INDEX(BookRate,111)*(1+'5. Scenarios'!$D$10)*(INDEX(BookQ1,111)*(5-MIN(4,1+'5. Scenarios'!$D$8))/4+INDEX(BookQ2,111)*(5-MIN(4,2+'5. Scenarios'!$D$8))/4+INDEX(BookQ3,111)*(5-MIN(4,3+'5. Scenarios'!$D$8))/4+INDEX(BookQ4,111)*(5-MIN(4,4+'5. Scenarios'!$D$8))/4)*'5. Scenarios'!$D$6/(1+ProductivityDefault*('5. Scenarios'!$D$11-1))+INDEX(BookOneOff,111)*$N116)</f>
        <v/>
      </c>
      <c r="S116" s="56" t="str">
        <f aca="false">IF(INDEX(BookTitle,111)="","",INDEX(BookTotal,111)*'5. Scenarios'!$E$6/(1+ProductivityDefault*('5. Scenarios'!$E$11-1)))</f>
        <v/>
      </c>
      <c r="T116" s="57" t="str">
        <f aca="false">IF($S116="","",INDEX(BookRate,111)*(1+'5. Scenarios'!$E$10)*$S116)</f>
        <v/>
      </c>
      <c r="U116" s="57" t="str">
        <f aca="false">IF($T116="","",SUMIFS($T$6:$T$2405,$A$6:$A$2405,"&lt;="&amp;$A116))</f>
        <v/>
      </c>
      <c r="V116" s="57" t="str">
        <f aca="false">IF($T116="","",IF($U116&lt;=BankCostEnvelope*'5. Scenarios'!$E$7,1,0))</f>
        <v/>
      </c>
      <c r="W116" s="57" t="str">
        <f aca="false">IF($S116="","",INDEX(BookRate,111)*(1+'5. Scenarios'!$E$10)*(INDEX(BookQ1,111)*(5-MIN(4,1+'5. Scenarios'!$E$8))/4+INDEX(BookQ2,111)*(5-MIN(4,2+'5. Scenarios'!$E$8))/4+INDEX(BookQ3,111)*(5-MIN(4,3+'5. Scenarios'!$E$8))/4+INDEX(BookQ4,111)*(5-MIN(4,4+'5. Scenarios'!$E$8))/4)*'5. Scenarios'!$E$6/(1+ProductivityDefault*('5. Scenarios'!$E$11-1))+INDEX(BookOneOff,111)*$S116)</f>
        <v/>
      </c>
    </row>
    <row r="117" customFormat="false" ht="15" hidden="false" customHeight="false" outlineLevel="0" collapsed="false">
      <c r="A117" s="0" t="str">
        <f aca="false">IF(INDEX(BookTitle,112)="","",INDEX(BookKey,112))</f>
        <v/>
      </c>
      <c r="B117" s="0" t="str">
        <f aca="false">IF(INDEX(BookTitle,112)="","",INDEX(BookGroup,112))</f>
        <v/>
      </c>
      <c r="C117" s="0" t="str">
        <f aca="false">IF(INDEX(BookTitle,112)="","",INDEX(BookCategory,112))</f>
        <v/>
      </c>
      <c r="D117" s="56" t="str">
        <f aca="false">IF(INDEX(BookTitle,112)="","",INDEX(BookTotal,112)*'5. Scenarios'!$B$6/(1+ProductivityDefault*('5. Scenarios'!$B$11-1)))</f>
        <v/>
      </c>
      <c r="E117" s="57" t="str">
        <f aca="false">IF($D117="","",INDEX(BookRate,112)*(1+'5. Scenarios'!$B$10)*$D117)</f>
        <v/>
      </c>
      <c r="F117" s="57" t="str">
        <f aca="false">IF($E117="","",SUMIFS($E$6:$E$2405,$A$6:$A$2405,"&lt;="&amp;$A117))</f>
        <v/>
      </c>
      <c r="G117" s="57" t="str">
        <f aca="false">IF($E117="","",IF($F117&lt;=BankCostEnvelope*'5. Scenarios'!$B$7,1,0))</f>
        <v/>
      </c>
      <c r="H117" s="57" t="str">
        <f aca="false">IF($D117="","",INDEX(BookRate,112)*(1+'5. Scenarios'!$B$10)*(INDEX(BookQ1,112)*(5-MIN(4,1+'5. Scenarios'!$B$8))/4+INDEX(BookQ2,112)*(5-MIN(4,2+'5. Scenarios'!$B$8))/4+INDEX(BookQ3,112)*(5-MIN(4,3+'5. Scenarios'!$B$8))/4+INDEX(BookQ4,112)*(5-MIN(4,4+'5. Scenarios'!$B$8))/4)*'5. Scenarios'!$B$6/(1+ProductivityDefault*('5. Scenarios'!$B$11-1))+INDEX(BookOneOff,112)*$D117)</f>
        <v/>
      </c>
      <c r="I117" s="56" t="str">
        <f aca="false">IF(INDEX(BookTitle,112)="","",INDEX(BookTotal,112)*'5. Scenarios'!$C$6/(1+ProductivityDefault*('5. Scenarios'!$C$11-1)))</f>
        <v/>
      </c>
      <c r="J117" s="57" t="str">
        <f aca="false">IF($I117="","",INDEX(BookRate,112)*(1+'5. Scenarios'!$C$10)*$I117)</f>
        <v/>
      </c>
      <c r="K117" s="57" t="str">
        <f aca="false">IF($J117="","",SUMIFS($J$6:$J$2405,$A$6:$A$2405,"&lt;="&amp;$A117))</f>
        <v/>
      </c>
      <c r="L117" s="57" t="str">
        <f aca="false">IF($J117="","",IF($K117&lt;=BankCostEnvelope*'5. Scenarios'!$C$7,1,0))</f>
        <v/>
      </c>
      <c r="M117" s="57" t="str">
        <f aca="false">IF($I117="","",INDEX(BookRate,112)*(1+'5. Scenarios'!$C$10)*(INDEX(BookQ1,112)*(5-MIN(4,1+'5. Scenarios'!$C$8))/4+INDEX(BookQ2,112)*(5-MIN(4,2+'5. Scenarios'!$C$8))/4+INDEX(BookQ3,112)*(5-MIN(4,3+'5. Scenarios'!$C$8))/4+INDEX(BookQ4,112)*(5-MIN(4,4+'5. Scenarios'!$C$8))/4)*'5. Scenarios'!$C$6/(1+ProductivityDefault*('5. Scenarios'!$C$11-1))+INDEX(BookOneOff,112)*$I117)</f>
        <v/>
      </c>
      <c r="N117" s="56" t="str">
        <f aca="false">IF(INDEX(BookTitle,112)="","",INDEX(BookTotal,112)*'5. Scenarios'!$D$6/(1+ProductivityDefault*('5. Scenarios'!$D$11-1)))</f>
        <v/>
      </c>
      <c r="O117" s="57" t="str">
        <f aca="false">IF($N117="","",INDEX(BookRate,112)*(1+'5. Scenarios'!$D$10)*$N117)</f>
        <v/>
      </c>
      <c r="P117" s="57" t="str">
        <f aca="false">IF($O117="","",SUMIFS($O$6:$O$2405,$A$6:$A$2405,"&lt;="&amp;$A117))</f>
        <v/>
      </c>
      <c r="Q117" s="57" t="str">
        <f aca="false">IF($O117="","",IF($P117&lt;=BankCostEnvelope*'5. Scenarios'!$D$7,1,0))</f>
        <v/>
      </c>
      <c r="R117" s="57" t="str">
        <f aca="false">IF($N117="","",INDEX(BookRate,112)*(1+'5. Scenarios'!$D$10)*(INDEX(BookQ1,112)*(5-MIN(4,1+'5. Scenarios'!$D$8))/4+INDEX(BookQ2,112)*(5-MIN(4,2+'5. Scenarios'!$D$8))/4+INDEX(BookQ3,112)*(5-MIN(4,3+'5. Scenarios'!$D$8))/4+INDEX(BookQ4,112)*(5-MIN(4,4+'5. Scenarios'!$D$8))/4)*'5. Scenarios'!$D$6/(1+ProductivityDefault*('5. Scenarios'!$D$11-1))+INDEX(BookOneOff,112)*$N117)</f>
        <v/>
      </c>
      <c r="S117" s="56" t="str">
        <f aca="false">IF(INDEX(BookTitle,112)="","",INDEX(BookTotal,112)*'5. Scenarios'!$E$6/(1+ProductivityDefault*('5. Scenarios'!$E$11-1)))</f>
        <v/>
      </c>
      <c r="T117" s="57" t="str">
        <f aca="false">IF($S117="","",INDEX(BookRate,112)*(1+'5. Scenarios'!$E$10)*$S117)</f>
        <v/>
      </c>
      <c r="U117" s="57" t="str">
        <f aca="false">IF($T117="","",SUMIFS($T$6:$T$2405,$A$6:$A$2405,"&lt;="&amp;$A117))</f>
        <v/>
      </c>
      <c r="V117" s="57" t="str">
        <f aca="false">IF($T117="","",IF($U117&lt;=BankCostEnvelope*'5. Scenarios'!$E$7,1,0))</f>
        <v/>
      </c>
      <c r="W117" s="57" t="str">
        <f aca="false">IF($S117="","",INDEX(BookRate,112)*(1+'5. Scenarios'!$E$10)*(INDEX(BookQ1,112)*(5-MIN(4,1+'5. Scenarios'!$E$8))/4+INDEX(BookQ2,112)*(5-MIN(4,2+'5. Scenarios'!$E$8))/4+INDEX(BookQ3,112)*(5-MIN(4,3+'5. Scenarios'!$E$8))/4+INDEX(BookQ4,112)*(5-MIN(4,4+'5. Scenarios'!$E$8))/4)*'5. Scenarios'!$E$6/(1+ProductivityDefault*('5. Scenarios'!$E$11-1))+INDEX(BookOneOff,112)*$S117)</f>
        <v/>
      </c>
    </row>
    <row r="118" customFormat="false" ht="15" hidden="false" customHeight="false" outlineLevel="0" collapsed="false">
      <c r="A118" s="0" t="str">
        <f aca="false">IF(INDEX(BookTitle,113)="","",INDEX(BookKey,113))</f>
        <v/>
      </c>
      <c r="B118" s="0" t="str">
        <f aca="false">IF(INDEX(BookTitle,113)="","",INDEX(BookGroup,113))</f>
        <v/>
      </c>
      <c r="C118" s="0" t="str">
        <f aca="false">IF(INDEX(BookTitle,113)="","",INDEX(BookCategory,113))</f>
        <v/>
      </c>
      <c r="D118" s="56" t="str">
        <f aca="false">IF(INDEX(BookTitle,113)="","",INDEX(BookTotal,113)*'5. Scenarios'!$B$6/(1+ProductivityDefault*('5. Scenarios'!$B$11-1)))</f>
        <v/>
      </c>
      <c r="E118" s="57" t="str">
        <f aca="false">IF($D118="","",INDEX(BookRate,113)*(1+'5. Scenarios'!$B$10)*$D118)</f>
        <v/>
      </c>
      <c r="F118" s="57" t="str">
        <f aca="false">IF($E118="","",SUMIFS($E$6:$E$2405,$A$6:$A$2405,"&lt;="&amp;$A118))</f>
        <v/>
      </c>
      <c r="G118" s="57" t="str">
        <f aca="false">IF($E118="","",IF($F118&lt;=BankCostEnvelope*'5. Scenarios'!$B$7,1,0))</f>
        <v/>
      </c>
      <c r="H118" s="57" t="str">
        <f aca="false">IF($D118="","",INDEX(BookRate,113)*(1+'5. Scenarios'!$B$10)*(INDEX(BookQ1,113)*(5-MIN(4,1+'5. Scenarios'!$B$8))/4+INDEX(BookQ2,113)*(5-MIN(4,2+'5. Scenarios'!$B$8))/4+INDEX(BookQ3,113)*(5-MIN(4,3+'5. Scenarios'!$B$8))/4+INDEX(BookQ4,113)*(5-MIN(4,4+'5. Scenarios'!$B$8))/4)*'5. Scenarios'!$B$6/(1+ProductivityDefault*('5. Scenarios'!$B$11-1))+INDEX(BookOneOff,113)*$D118)</f>
        <v/>
      </c>
      <c r="I118" s="56" t="str">
        <f aca="false">IF(INDEX(BookTitle,113)="","",INDEX(BookTotal,113)*'5. Scenarios'!$C$6/(1+ProductivityDefault*('5. Scenarios'!$C$11-1)))</f>
        <v/>
      </c>
      <c r="J118" s="57" t="str">
        <f aca="false">IF($I118="","",INDEX(BookRate,113)*(1+'5. Scenarios'!$C$10)*$I118)</f>
        <v/>
      </c>
      <c r="K118" s="57" t="str">
        <f aca="false">IF($J118="","",SUMIFS($J$6:$J$2405,$A$6:$A$2405,"&lt;="&amp;$A118))</f>
        <v/>
      </c>
      <c r="L118" s="57" t="str">
        <f aca="false">IF($J118="","",IF($K118&lt;=BankCostEnvelope*'5. Scenarios'!$C$7,1,0))</f>
        <v/>
      </c>
      <c r="M118" s="57" t="str">
        <f aca="false">IF($I118="","",INDEX(BookRate,113)*(1+'5. Scenarios'!$C$10)*(INDEX(BookQ1,113)*(5-MIN(4,1+'5. Scenarios'!$C$8))/4+INDEX(BookQ2,113)*(5-MIN(4,2+'5. Scenarios'!$C$8))/4+INDEX(BookQ3,113)*(5-MIN(4,3+'5. Scenarios'!$C$8))/4+INDEX(BookQ4,113)*(5-MIN(4,4+'5. Scenarios'!$C$8))/4)*'5. Scenarios'!$C$6/(1+ProductivityDefault*('5. Scenarios'!$C$11-1))+INDEX(BookOneOff,113)*$I118)</f>
        <v/>
      </c>
      <c r="N118" s="56" t="str">
        <f aca="false">IF(INDEX(BookTitle,113)="","",INDEX(BookTotal,113)*'5. Scenarios'!$D$6/(1+ProductivityDefault*('5. Scenarios'!$D$11-1)))</f>
        <v/>
      </c>
      <c r="O118" s="57" t="str">
        <f aca="false">IF($N118="","",INDEX(BookRate,113)*(1+'5. Scenarios'!$D$10)*$N118)</f>
        <v/>
      </c>
      <c r="P118" s="57" t="str">
        <f aca="false">IF($O118="","",SUMIFS($O$6:$O$2405,$A$6:$A$2405,"&lt;="&amp;$A118))</f>
        <v/>
      </c>
      <c r="Q118" s="57" t="str">
        <f aca="false">IF($O118="","",IF($P118&lt;=BankCostEnvelope*'5. Scenarios'!$D$7,1,0))</f>
        <v/>
      </c>
      <c r="R118" s="57" t="str">
        <f aca="false">IF($N118="","",INDEX(BookRate,113)*(1+'5. Scenarios'!$D$10)*(INDEX(BookQ1,113)*(5-MIN(4,1+'5. Scenarios'!$D$8))/4+INDEX(BookQ2,113)*(5-MIN(4,2+'5. Scenarios'!$D$8))/4+INDEX(BookQ3,113)*(5-MIN(4,3+'5. Scenarios'!$D$8))/4+INDEX(BookQ4,113)*(5-MIN(4,4+'5. Scenarios'!$D$8))/4)*'5. Scenarios'!$D$6/(1+ProductivityDefault*('5. Scenarios'!$D$11-1))+INDEX(BookOneOff,113)*$N118)</f>
        <v/>
      </c>
      <c r="S118" s="56" t="str">
        <f aca="false">IF(INDEX(BookTitle,113)="","",INDEX(BookTotal,113)*'5. Scenarios'!$E$6/(1+ProductivityDefault*('5. Scenarios'!$E$11-1)))</f>
        <v/>
      </c>
      <c r="T118" s="57" t="str">
        <f aca="false">IF($S118="","",INDEX(BookRate,113)*(1+'5. Scenarios'!$E$10)*$S118)</f>
        <v/>
      </c>
      <c r="U118" s="57" t="str">
        <f aca="false">IF($T118="","",SUMIFS($T$6:$T$2405,$A$6:$A$2405,"&lt;="&amp;$A118))</f>
        <v/>
      </c>
      <c r="V118" s="57" t="str">
        <f aca="false">IF($T118="","",IF($U118&lt;=BankCostEnvelope*'5. Scenarios'!$E$7,1,0))</f>
        <v/>
      </c>
      <c r="W118" s="57" t="str">
        <f aca="false">IF($S118="","",INDEX(BookRate,113)*(1+'5. Scenarios'!$E$10)*(INDEX(BookQ1,113)*(5-MIN(4,1+'5. Scenarios'!$E$8))/4+INDEX(BookQ2,113)*(5-MIN(4,2+'5. Scenarios'!$E$8))/4+INDEX(BookQ3,113)*(5-MIN(4,3+'5. Scenarios'!$E$8))/4+INDEX(BookQ4,113)*(5-MIN(4,4+'5. Scenarios'!$E$8))/4)*'5. Scenarios'!$E$6/(1+ProductivityDefault*('5. Scenarios'!$E$11-1))+INDEX(BookOneOff,113)*$S118)</f>
        <v/>
      </c>
    </row>
    <row r="119" customFormat="false" ht="15" hidden="false" customHeight="false" outlineLevel="0" collapsed="false">
      <c r="A119" s="0" t="str">
        <f aca="false">IF(INDEX(BookTitle,114)="","",INDEX(BookKey,114))</f>
        <v/>
      </c>
      <c r="B119" s="0" t="str">
        <f aca="false">IF(INDEX(BookTitle,114)="","",INDEX(BookGroup,114))</f>
        <v/>
      </c>
      <c r="C119" s="0" t="str">
        <f aca="false">IF(INDEX(BookTitle,114)="","",INDEX(BookCategory,114))</f>
        <v/>
      </c>
      <c r="D119" s="56" t="str">
        <f aca="false">IF(INDEX(BookTitle,114)="","",INDEX(BookTotal,114)*'5. Scenarios'!$B$6/(1+ProductivityDefault*('5. Scenarios'!$B$11-1)))</f>
        <v/>
      </c>
      <c r="E119" s="57" t="str">
        <f aca="false">IF($D119="","",INDEX(BookRate,114)*(1+'5. Scenarios'!$B$10)*$D119)</f>
        <v/>
      </c>
      <c r="F119" s="57" t="str">
        <f aca="false">IF($E119="","",SUMIFS($E$6:$E$2405,$A$6:$A$2405,"&lt;="&amp;$A119))</f>
        <v/>
      </c>
      <c r="G119" s="57" t="str">
        <f aca="false">IF($E119="","",IF($F119&lt;=BankCostEnvelope*'5. Scenarios'!$B$7,1,0))</f>
        <v/>
      </c>
      <c r="H119" s="57" t="str">
        <f aca="false">IF($D119="","",INDEX(BookRate,114)*(1+'5. Scenarios'!$B$10)*(INDEX(BookQ1,114)*(5-MIN(4,1+'5. Scenarios'!$B$8))/4+INDEX(BookQ2,114)*(5-MIN(4,2+'5. Scenarios'!$B$8))/4+INDEX(BookQ3,114)*(5-MIN(4,3+'5. Scenarios'!$B$8))/4+INDEX(BookQ4,114)*(5-MIN(4,4+'5. Scenarios'!$B$8))/4)*'5. Scenarios'!$B$6/(1+ProductivityDefault*('5. Scenarios'!$B$11-1))+INDEX(BookOneOff,114)*$D119)</f>
        <v/>
      </c>
      <c r="I119" s="56" t="str">
        <f aca="false">IF(INDEX(BookTitle,114)="","",INDEX(BookTotal,114)*'5. Scenarios'!$C$6/(1+ProductivityDefault*('5. Scenarios'!$C$11-1)))</f>
        <v/>
      </c>
      <c r="J119" s="57" t="str">
        <f aca="false">IF($I119="","",INDEX(BookRate,114)*(1+'5. Scenarios'!$C$10)*$I119)</f>
        <v/>
      </c>
      <c r="K119" s="57" t="str">
        <f aca="false">IF($J119="","",SUMIFS($J$6:$J$2405,$A$6:$A$2405,"&lt;="&amp;$A119))</f>
        <v/>
      </c>
      <c r="L119" s="57" t="str">
        <f aca="false">IF($J119="","",IF($K119&lt;=BankCostEnvelope*'5. Scenarios'!$C$7,1,0))</f>
        <v/>
      </c>
      <c r="M119" s="57" t="str">
        <f aca="false">IF($I119="","",INDEX(BookRate,114)*(1+'5. Scenarios'!$C$10)*(INDEX(BookQ1,114)*(5-MIN(4,1+'5. Scenarios'!$C$8))/4+INDEX(BookQ2,114)*(5-MIN(4,2+'5. Scenarios'!$C$8))/4+INDEX(BookQ3,114)*(5-MIN(4,3+'5. Scenarios'!$C$8))/4+INDEX(BookQ4,114)*(5-MIN(4,4+'5. Scenarios'!$C$8))/4)*'5. Scenarios'!$C$6/(1+ProductivityDefault*('5. Scenarios'!$C$11-1))+INDEX(BookOneOff,114)*$I119)</f>
        <v/>
      </c>
      <c r="N119" s="56" t="str">
        <f aca="false">IF(INDEX(BookTitle,114)="","",INDEX(BookTotal,114)*'5. Scenarios'!$D$6/(1+ProductivityDefault*('5. Scenarios'!$D$11-1)))</f>
        <v/>
      </c>
      <c r="O119" s="57" t="str">
        <f aca="false">IF($N119="","",INDEX(BookRate,114)*(1+'5. Scenarios'!$D$10)*$N119)</f>
        <v/>
      </c>
      <c r="P119" s="57" t="str">
        <f aca="false">IF($O119="","",SUMIFS($O$6:$O$2405,$A$6:$A$2405,"&lt;="&amp;$A119))</f>
        <v/>
      </c>
      <c r="Q119" s="57" t="str">
        <f aca="false">IF($O119="","",IF($P119&lt;=BankCostEnvelope*'5. Scenarios'!$D$7,1,0))</f>
        <v/>
      </c>
      <c r="R119" s="57" t="str">
        <f aca="false">IF($N119="","",INDEX(BookRate,114)*(1+'5. Scenarios'!$D$10)*(INDEX(BookQ1,114)*(5-MIN(4,1+'5. Scenarios'!$D$8))/4+INDEX(BookQ2,114)*(5-MIN(4,2+'5. Scenarios'!$D$8))/4+INDEX(BookQ3,114)*(5-MIN(4,3+'5. Scenarios'!$D$8))/4+INDEX(BookQ4,114)*(5-MIN(4,4+'5. Scenarios'!$D$8))/4)*'5. Scenarios'!$D$6/(1+ProductivityDefault*('5. Scenarios'!$D$11-1))+INDEX(BookOneOff,114)*$N119)</f>
        <v/>
      </c>
      <c r="S119" s="56" t="str">
        <f aca="false">IF(INDEX(BookTitle,114)="","",INDEX(BookTotal,114)*'5. Scenarios'!$E$6/(1+ProductivityDefault*('5. Scenarios'!$E$11-1)))</f>
        <v/>
      </c>
      <c r="T119" s="57" t="str">
        <f aca="false">IF($S119="","",INDEX(BookRate,114)*(1+'5. Scenarios'!$E$10)*$S119)</f>
        <v/>
      </c>
      <c r="U119" s="57" t="str">
        <f aca="false">IF($T119="","",SUMIFS($T$6:$T$2405,$A$6:$A$2405,"&lt;="&amp;$A119))</f>
        <v/>
      </c>
      <c r="V119" s="57" t="str">
        <f aca="false">IF($T119="","",IF($U119&lt;=BankCostEnvelope*'5. Scenarios'!$E$7,1,0))</f>
        <v/>
      </c>
      <c r="W119" s="57" t="str">
        <f aca="false">IF($S119="","",INDEX(BookRate,114)*(1+'5. Scenarios'!$E$10)*(INDEX(BookQ1,114)*(5-MIN(4,1+'5. Scenarios'!$E$8))/4+INDEX(BookQ2,114)*(5-MIN(4,2+'5. Scenarios'!$E$8))/4+INDEX(BookQ3,114)*(5-MIN(4,3+'5. Scenarios'!$E$8))/4+INDEX(BookQ4,114)*(5-MIN(4,4+'5. Scenarios'!$E$8))/4)*'5. Scenarios'!$E$6/(1+ProductivityDefault*('5. Scenarios'!$E$11-1))+INDEX(BookOneOff,114)*$S119)</f>
        <v/>
      </c>
    </row>
    <row r="120" customFormat="false" ht="15" hidden="false" customHeight="false" outlineLevel="0" collapsed="false">
      <c r="A120" s="0" t="str">
        <f aca="false">IF(INDEX(BookTitle,115)="","",INDEX(BookKey,115))</f>
        <v/>
      </c>
      <c r="B120" s="0" t="str">
        <f aca="false">IF(INDEX(BookTitle,115)="","",INDEX(BookGroup,115))</f>
        <v/>
      </c>
      <c r="C120" s="0" t="str">
        <f aca="false">IF(INDEX(BookTitle,115)="","",INDEX(BookCategory,115))</f>
        <v/>
      </c>
      <c r="D120" s="56" t="str">
        <f aca="false">IF(INDEX(BookTitle,115)="","",INDEX(BookTotal,115)*'5. Scenarios'!$B$6/(1+ProductivityDefault*('5. Scenarios'!$B$11-1)))</f>
        <v/>
      </c>
      <c r="E120" s="57" t="str">
        <f aca="false">IF($D120="","",INDEX(BookRate,115)*(1+'5. Scenarios'!$B$10)*$D120)</f>
        <v/>
      </c>
      <c r="F120" s="57" t="str">
        <f aca="false">IF($E120="","",SUMIFS($E$6:$E$2405,$A$6:$A$2405,"&lt;="&amp;$A120))</f>
        <v/>
      </c>
      <c r="G120" s="57" t="str">
        <f aca="false">IF($E120="","",IF($F120&lt;=BankCostEnvelope*'5. Scenarios'!$B$7,1,0))</f>
        <v/>
      </c>
      <c r="H120" s="57" t="str">
        <f aca="false">IF($D120="","",INDEX(BookRate,115)*(1+'5. Scenarios'!$B$10)*(INDEX(BookQ1,115)*(5-MIN(4,1+'5. Scenarios'!$B$8))/4+INDEX(BookQ2,115)*(5-MIN(4,2+'5. Scenarios'!$B$8))/4+INDEX(BookQ3,115)*(5-MIN(4,3+'5. Scenarios'!$B$8))/4+INDEX(BookQ4,115)*(5-MIN(4,4+'5. Scenarios'!$B$8))/4)*'5. Scenarios'!$B$6/(1+ProductivityDefault*('5. Scenarios'!$B$11-1))+INDEX(BookOneOff,115)*$D120)</f>
        <v/>
      </c>
      <c r="I120" s="56" t="str">
        <f aca="false">IF(INDEX(BookTitle,115)="","",INDEX(BookTotal,115)*'5. Scenarios'!$C$6/(1+ProductivityDefault*('5. Scenarios'!$C$11-1)))</f>
        <v/>
      </c>
      <c r="J120" s="57" t="str">
        <f aca="false">IF($I120="","",INDEX(BookRate,115)*(1+'5. Scenarios'!$C$10)*$I120)</f>
        <v/>
      </c>
      <c r="K120" s="57" t="str">
        <f aca="false">IF($J120="","",SUMIFS($J$6:$J$2405,$A$6:$A$2405,"&lt;="&amp;$A120))</f>
        <v/>
      </c>
      <c r="L120" s="57" t="str">
        <f aca="false">IF($J120="","",IF($K120&lt;=BankCostEnvelope*'5. Scenarios'!$C$7,1,0))</f>
        <v/>
      </c>
      <c r="M120" s="57" t="str">
        <f aca="false">IF($I120="","",INDEX(BookRate,115)*(1+'5. Scenarios'!$C$10)*(INDEX(BookQ1,115)*(5-MIN(4,1+'5. Scenarios'!$C$8))/4+INDEX(BookQ2,115)*(5-MIN(4,2+'5. Scenarios'!$C$8))/4+INDEX(BookQ3,115)*(5-MIN(4,3+'5. Scenarios'!$C$8))/4+INDEX(BookQ4,115)*(5-MIN(4,4+'5. Scenarios'!$C$8))/4)*'5. Scenarios'!$C$6/(1+ProductivityDefault*('5. Scenarios'!$C$11-1))+INDEX(BookOneOff,115)*$I120)</f>
        <v/>
      </c>
      <c r="N120" s="56" t="str">
        <f aca="false">IF(INDEX(BookTitle,115)="","",INDEX(BookTotal,115)*'5. Scenarios'!$D$6/(1+ProductivityDefault*('5. Scenarios'!$D$11-1)))</f>
        <v/>
      </c>
      <c r="O120" s="57" t="str">
        <f aca="false">IF($N120="","",INDEX(BookRate,115)*(1+'5. Scenarios'!$D$10)*$N120)</f>
        <v/>
      </c>
      <c r="P120" s="57" t="str">
        <f aca="false">IF($O120="","",SUMIFS($O$6:$O$2405,$A$6:$A$2405,"&lt;="&amp;$A120))</f>
        <v/>
      </c>
      <c r="Q120" s="57" t="str">
        <f aca="false">IF($O120="","",IF($P120&lt;=BankCostEnvelope*'5. Scenarios'!$D$7,1,0))</f>
        <v/>
      </c>
      <c r="R120" s="57" t="str">
        <f aca="false">IF($N120="","",INDEX(BookRate,115)*(1+'5. Scenarios'!$D$10)*(INDEX(BookQ1,115)*(5-MIN(4,1+'5. Scenarios'!$D$8))/4+INDEX(BookQ2,115)*(5-MIN(4,2+'5. Scenarios'!$D$8))/4+INDEX(BookQ3,115)*(5-MIN(4,3+'5. Scenarios'!$D$8))/4+INDEX(BookQ4,115)*(5-MIN(4,4+'5. Scenarios'!$D$8))/4)*'5. Scenarios'!$D$6/(1+ProductivityDefault*('5. Scenarios'!$D$11-1))+INDEX(BookOneOff,115)*$N120)</f>
        <v/>
      </c>
      <c r="S120" s="56" t="str">
        <f aca="false">IF(INDEX(BookTitle,115)="","",INDEX(BookTotal,115)*'5. Scenarios'!$E$6/(1+ProductivityDefault*('5. Scenarios'!$E$11-1)))</f>
        <v/>
      </c>
      <c r="T120" s="57" t="str">
        <f aca="false">IF($S120="","",INDEX(BookRate,115)*(1+'5. Scenarios'!$E$10)*$S120)</f>
        <v/>
      </c>
      <c r="U120" s="57" t="str">
        <f aca="false">IF($T120="","",SUMIFS($T$6:$T$2405,$A$6:$A$2405,"&lt;="&amp;$A120))</f>
        <v/>
      </c>
      <c r="V120" s="57" t="str">
        <f aca="false">IF($T120="","",IF($U120&lt;=BankCostEnvelope*'5. Scenarios'!$E$7,1,0))</f>
        <v/>
      </c>
      <c r="W120" s="57" t="str">
        <f aca="false">IF($S120="","",INDEX(BookRate,115)*(1+'5. Scenarios'!$E$10)*(INDEX(BookQ1,115)*(5-MIN(4,1+'5. Scenarios'!$E$8))/4+INDEX(BookQ2,115)*(5-MIN(4,2+'5. Scenarios'!$E$8))/4+INDEX(BookQ3,115)*(5-MIN(4,3+'5. Scenarios'!$E$8))/4+INDEX(BookQ4,115)*(5-MIN(4,4+'5. Scenarios'!$E$8))/4)*'5. Scenarios'!$E$6/(1+ProductivityDefault*('5. Scenarios'!$E$11-1))+INDEX(BookOneOff,115)*$S120)</f>
        <v/>
      </c>
    </row>
    <row r="121" customFormat="false" ht="15" hidden="false" customHeight="false" outlineLevel="0" collapsed="false">
      <c r="A121" s="0" t="str">
        <f aca="false">IF(INDEX(BookTitle,116)="","",INDEX(BookKey,116))</f>
        <v/>
      </c>
      <c r="B121" s="0" t="str">
        <f aca="false">IF(INDEX(BookTitle,116)="","",INDEX(BookGroup,116))</f>
        <v/>
      </c>
      <c r="C121" s="0" t="str">
        <f aca="false">IF(INDEX(BookTitle,116)="","",INDEX(BookCategory,116))</f>
        <v/>
      </c>
      <c r="D121" s="56" t="str">
        <f aca="false">IF(INDEX(BookTitle,116)="","",INDEX(BookTotal,116)*'5. Scenarios'!$B$6/(1+ProductivityDefault*('5. Scenarios'!$B$11-1)))</f>
        <v/>
      </c>
      <c r="E121" s="57" t="str">
        <f aca="false">IF($D121="","",INDEX(BookRate,116)*(1+'5. Scenarios'!$B$10)*$D121)</f>
        <v/>
      </c>
      <c r="F121" s="57" t="str">
        <f aca="false">IF($E121="","",SUMIFS($E$6:$E$2405,$A$6:$A$2405,"&lt;="&amp;$A121))</f>
        <v/>
      </c>
      <c r="G121" s="57" t="str">
        <f aca="false">IF($E121="","",IF($F121&lt;=BankCostEnvelope*'5. Scenarios'!$B$7,1,0))</f>
        <v/>
      </c>
      <c r="H121" s="57" t="str">
        <f aca="false">IF($D121="","",INDEX(BookRate,116)*(1+'5. Scenarios'!$B$10)*(INDEX(BookQ1,116)*(5-MIN(4,1+'5. Scenarios'!$B$8))/4+INDEX(BookQ2,116)*(5-MIN(4,2+'5. Scenarios'!$B$8))/4+INDEX(BookQ3,116)*(5-MIN(4,3+'5. Scenarios'!$B$8))/4+INDEX(BookQ4,116)*(5-MIN(4,4+'5. Scenarios'!$B$8))/4)*'5. Scenarios'!$B$6/(1+ProductivityDefault*('5. Scenarios'!$B$11-1))+INDEX(BookOneOff,116)*$D121)</f>
        <v/>
      </c>
      <c r="I121" s="56" t="str">
        <f aca="false">IF(INDEX(BookTitle,116)="","",INDEX(BookTotal,116)*'5. Scenarios'!$C$6/(1+ProductivityDefault*('5. Scenarios'!$C$11-1)))</f>
        <v/>
      </c>
      <c r="J121" s="57" t="str">
        <f aca="false">IF($I121="","",INDEX(BookRate,116)*(1+'5. Scenarios'!$C$10)*$I121)</f>
        <v/>
      </c>
      <c r="K121" s="57" t="str">
        <f aca="false">IF($J121="","",SUMIFS($J$6:$J$2405,$A$6:$A$2405,"&lt;="&amp;$A121))</f>
        <v/>
      </c>
      <c r="L121" s="57" t="str">
        <f aca="false">IF($J121="","",IF($K121&lt;=BankCostEnvelope*'5. Scenarios'!$C$7,1,0))</f>
        <v/>
      </c>
      <c r="M121" s="57" t="str">
        <f aca="false">IF($I121="","",INDEX(BookRate,116)*(1+'5. Scenarios'!$C$10)*(INDEX(BookQ1,116)*(5-MIN(4,1+'5. Scenarios'!$C$8))/4+INDEX(BookQ2,116)*(5-MIN(4,2+'5. Scenarios'!$C$8))/4+INDEX(BookQ3,116)*(5-MIN(4,3+'5. Scenarios'!$C$8))/4+INDEX(BookQ4,116)*(5-MIN(4,4+'5. Scenarios'!$C$8))/4)*'5. Scenarios'!$C$6/(1+ProductivityDefault*('5. Scenarios'!$C$11-1))+INDEX(BookOneOff,116)*$I121)</f>
        <v/>
      </c>
      <c r="N121" s="56" t="str">
        <f aca="false">IF(INDEX(BookTitle,116)="","",INDEX(BookTotal,116)*'5. Scenarios'!$D$6/(1+ProductivityDefault*('5. Scenarios'!$D$11-1)))</f>
        <v/>
      </c>
      <c r="O121" s="57" t="str">
        <f aca="false">IF($N121="","",INDEX(BookRate,116)*(1+'5. Scenarios'!$D$10)*$N121)</f>
        <v/>
      </c>
      <c r="P121" s="57" t="str">
        <f aca="false">IF($O121="","",SUMIFS($O$6:$O$2405,$A$6:$A$2405,"&lt;="&amp;$A121))</f>
        <v/>
      </c>
      <c r="Q121" s="57" t="str">
        <f aca="false">IF($O121="","",IF($P121&lt;=BankCostEnvelope*'5. Scenarios'!$D$7,1,0))</f>
        <v/>
      </c>
      <c r="R121" s="57" t="str">
        <f aca="false">IF($N121="","",INDEX(BookRate,116)*(1+'5. Scenarios'!$D$10)*(INDEX(BookQ1,116)*(5-MIN(4,1+'5. Scenarios'!$D$8))/4+INDEX(BookQ2,116)*(5-MIN(4,2+'5. Scenarios'!$D$8))/4+INDEX(BookQ3,116)*(5-MIN(4,3+'5. Scenarios'!$D$8))/4+INDEX(BookQ4,116)*(5-MIN(4,4+'5. Scenarios'!$D$8))/4)*'5. Scenarios'!$D$6/(1+ProductivityDefault*('5. Scenarios'!$D$11-1))+INDEX(BookOneOff,116)*$N121)</f>
        <v/>
      </c>
      <c r="S121" s="56" t="str">
        <f aca="false">IF(INDEX(BookTitle,116)="","",INDEX(BookTotal,116)*'5. Scenarios'!$E$6/(1+ProductivityDefault*('5. Scenarios'!$E$11-1)))</f>
        <v/>
      </c>
      <c r="T121" s="57" t="str">
        <f aca="false">IF($S121="","",INDEX(BookRate,116)*(1+'5. Scenarios'!$E$10)*$S121)</f>
        <v/>
      </c>
      <c r="U121" s="57" t="str">
        <f aca="false">IF($T121="","",SUMIFS($T$6:$T$2405,$A$6:$A$2405,"&lt;="&amp;$A121))</f>
        <v/>
      </c>
      <c r="V121" s="57" t="str">
        <f aca="false">IF($T121="","",IF($U121&lt;=BankCostEnvelope*'5. Scenarios'!$E$7,1,0))</f>
        <v/>
      </c>
      <c r="W121" s="57" t="str">
        <f aca="false">IF($S121="","",INDEX(BookRate,116)*(1+'5. Scenarios'!$E$10)*(INDEX(BookQ1,116)*(5-MIN(4,1+'5. Scenarios'!$E$8))/4+INDEX(BookQ2,116)*(5-MIN(4,2+'5. Scenarios'!$E$8))/4+INDEX(BookQ3,116)*(5-MIN(4,3+'5. Scenarios'!$E$8))/4+INDEX(BookQ4,116)*(5-MIN(4,4+'5. Scenarios'!$E$8))/4)*'5. Scenarios'!$E$6/(1+ProductivityDefault*('5. Scenarios'!$E$11-1))+INDEX(BookOneOff,116)*$S121)</f>
        <v/>
      </c>
    </row>
    <row r="122" customFormat="false" ht="15" hidden="false" customHeight="false" outlineLevel="0" collapsed="false">
      <c r="A122" s="0" t="str">
        <f aca="false">IF(INDEX(BookTitle,117)="","",INDEX(BookKey,117))</f>
        <v/>
      </c>
      <c r="B122" s="0" t="str">
        <f aca="false">IF(INDEX(BookTitle,117)="","",INDEX(BookGroup,117))</f>
        <v/>
      </c>
      <c r="C122" s="0" t="str">
        <f aca="false">IF(INDEX(BookTitle,117)="","",INDEX(BookCategory,117))</f>
        <v/>
      </c>
      <c r="D122" s="56" t="str">
        <f aca="false">IF(INDEX(BookTitle,117)="","",INDEX(BookTotal,117)*'5. Scenarios'!$B$6/(1+ProductivityDefault*('5. Scenarios'!$B$11-1)))</f>
        <v/>
      </c>
      <c r="E122" s="57" t="str">
        <f aca="false">IF($D122="","",INDEX(BookRate,117)*(1+'5. Scenarios'!$B$10)*$D122)</f>
        <v/>
      </c>
      <c r="F122" s="57" t="str">
        <f aca="false">IF($E122="","",SUMIFS($E$6:$E$2405,$A$6:$A$2405,"&lt;="&amp;$A122))</f>
        <v/>
      </c>
      <c r="G122" s="57" t="str">
        <f aca="false">IF($E122="","",IF($F122&lt;=BankCostEnvelope*'5. Scenarios'!$B$7,1,0))</f>
        <v/>
      </c>
      <c r="H122" s="57" t="str">
        <f aca="false">IF($D122="","",INDEX(BookRate,117)*(1+'5. Scenarios'!$B$10)*(INDEX(BookQ1,117)*(5-MIN(4,1+'5. Scenarios'!$B$8))/4+INDEX(BookQ2,117)*(5-MIN(4,2+'5. Scenarios'!$B$8))/4+INDEX(BookQ3,117)*(5-MIN(4,3+'5. Scenarios'!$B$8))/4+INDEX(BookQ4,117)*(5-MIN(4,4+'5. Scenarios'!$B$8))/4)*'5. Scenarios'!$B$6/(1+ProductivityDefault*('5. Scenarios'!$B$11-1))+INDEX(BookOneOff,117)*$D122)</f>
        <v/>
      </c>
      <c r="I122" s="56" t="str">
        <f aca="false">IF(INDEX(BookTitle,117)="","",INDEX(BookTotal,117)*'5. Scenarios'!$C$6/(1+ProductivityDefault*('5. Scenarios'!$C$11-1)))</f>
        <v/>
      </c>
      <c r="J122" s="57" t="str">
        <f aca="false">IF($I122="","",INDEX(BookRate,117)*(1+'5. Scenarios'!$C$10)*$I122)</f>
        <v/>
      </c>
      <c r="K122" s="57" t="str">
        <f aca="false">IF($J122="","",SUMIFS($J$6:$J$2405,$A$6:$A$2405,"&lt;="&amp;$A122))</f>
        <v/>
      </c>
      <c r="L122" s="57" t="str">
        <f aca="false">IF($J122="","",IF($K122&lt;=BankCostEnvelope*'5. Scenarios'!$C$7,1,0))</f>
        <v/>
      </c>
      <c r="M122" s="57" t="str">
        <f aca="false">IF($I122="","",INDEX(BookRate,117)*(1+'5. Scenarios'!$C$10)*(INDEX(BookQ1,117)*(5-MIN(4,1+'5. Scenarios'!$C$8))/4+INDEX(BookQ2,117)*(5-MIN(4,2+'5. Scenarios'!$C$8))/4+INDEX(BookQ3,117)*(5-MIN(4,3+'5. Scenarios'!$C$8))/4+INDEX(BookQ4,117)*(5-MIN(4,4+'5. Scenarios'!$C$8))/4)*'5. Scenarios'!$C$6/(1+ProductivityDefault*('5. Scenarios'!$C$11-1))+INDEX(BookOneOff,117)*$I122)</f>
        <v/>
      </c>
      <c r="N122" s="56" t="str">
        <f aca="false">IF(INDEX(BookTitle,117)="","",INDEX(BookTotal,117)*'5. Scenarios'!$D$6/(1+ProductivityDefault*('5. Scenarios'!$D$11-1)))</f>
        <v/>
      </c>
      <c r="O122" s="57" t="str">
        <f aca="false">IF($N122="","",INDEX(BookRate,117)*(1+'5. Scenarios'!$D$10)*$N122)</f>
        <v/>
      </c>
      <c r="P122" s="57" t="str">
        <f aca="false">IF($O122="","",SUMIFS($O$6:$O$2405,$A$6:$A$2405,"&lt;="&amp;$A122))</f>
        <v/>
      </c>
      <c r="Q122" s="57" t="str">
        <f aca="false">IF($O122="","",IF($P122&lt;=BankCostEnvelope*'5. Scenarios'!$D$7,1,0))</f>
        <v/>
      </c>
      <c r="R122" s="57" t="str">
        <f aca="false">IF($N122="","",INDEX(BookRate,117)*(1+'5. Scenarios'!$D$10)*(INDEX(BookQ1,117)*(5-MIN(4,1+'5. Scenarios'!$D$8))/4+INDEX(BookQ2,117)*(5-MIN(4,2+'5. Scenarios'!$D$8))/4+INDEX(BookQ3,117)*(5-MIN(4,3+'5. Scenarios'!$D$8))/4+INDEX(BookQ4,117)*(5-MIN(4,4+'5. Scenarios'!$D$8))/4)*'5. Scenarios'!$D$6/(1+ProductivityDefault*('5. Scenarios'!$D$11-1))+INDEX(BookOneOff,117)*$N122)</f>
        <v/>
      </c>
      <c r="S122" s="56" t="str">
        <f aca="false">IF(INDEX(BookTitle,117)="","",INDEX(BookTotal,117)*'5. Scenarios'!$E$6/(1+ProductivityDefault*('5. Scenarios'!$E$11-1)))</f>
        <v/>
      </c>
      <c r="T122" s="57" t="str">
        <f aca="false">IF($S122="","",INDEX(BookRate,117)*(1+'5. Scenarios'!$E$10)*$S122)</f>
        <v/>
      </c>
      <c r="U122" s="57" t="str">
        <f aca="false">IF($T122="","",SUMIFS($T$6:$T$2405,$A$6:$A$2405,"&lt;="&amp;$A122))</f>
        <v/>
      </c>
      <c r="V122" s="57" t="str">
        <f aca="false">IF($T122="","",IF($U122&lt;=BankCostEnvelope*'5. Scenarios'!$E$7,1,0))</f>
        <v/>
      </c>
      <c r="W122" s="57" t="str">
        <f aca="false">IF($S122="","",INDEX(BookRate,117)*(1+'5. Scenarios'!$E$10)*(INDEX(BookQ1,117)*(5-MIN(4,1+'5. Scenarios'!$E$8))/4+INDEX(BookQ2,117)*(5-MIN(4,2+'5. Scenarios'!$E$8))/4+INDEX(BookQ3,117)*(5-MIN(4,3+'5. Scenarios'!$E$8))/4+INDEX(BookQ4,117)*(5-MIN(4,4+'5. Scenarios'!$E$8))/4)*'5. Scenarios'!$E$6/(1+ProductivityDefault*('5. Scenarios'!$E$11-1))+INDEX(BookOneOff,117)*$S122)</f>
        <v/>
      </c>
    </row>
    <row r="123" customFormat="false" ht="15" hidden="false" customHeight="false" outlineLevel="0" collapsed="false">
      <c r="A123" s="0" t="str">
        <f aca="false">IF(INDEX(BookTitle,118)="","",INDEX(BookKey,118))</f>
        <v/>
      </c>
      <c r="B123" s="0" t="str">
        <f aca="false">IF(INDEX(BookTitle,118)="","",INDEX(BookGroup,118))</f>
        <v/>
      </c>
      <c r="C123" s="0" t="str">
        <f aca="false">IF(INDEX(BookTitle,118)="","",INDEX(BookCategory,118))</f>
        <v/>
      </c>
      <c r="D123" s="56" t="str">
        <f aca="false">IF(INDEX(BookTitle,118)="","",INDEX(BookTotal,118)*'5. Scenarios'!$B$6/(1+ProductivityDefault*('5. Scenarios'!$B$11-1)))</f>
        <v/>
      </c>
      <c r="E123" s="57" t="str">
        <f aca="false">IF($D123="","",INDEX(BookRate,118)*(1+'5. Scenarios'!$B$10)*$D123)</f>
        <v/>
      </c>
      <c r="F123" s="57" t="str">
        <f aca="false">IF($E123="","",SUMIFS($E$6:$E$2405,$A$6:$A$2405,"&lt;="&amp;$A123))</f>
        <v/>
      </c>
      <c r="G123" s="57" t="str">
        <f aca="false">IF($E123="","",IF($F123&lt;=BankCostEnvelope*'5. Scenarios'!$B$7,1,0))</f>
        <v/>
      </c>
      <c r="H123" s="57" t="str">
        <f aca="false">IF($D123="","",INDEX(BookRate,118)*(1+'5. Scenarios'!$B$10)*(INDEX(BookQ1,118)*(5-MIN(4,1+'5. Scenarios'!$B$8))/4+INDEX(BookQ2,118)*(5-MIN(4,2+'5. Scenarios'!$B$8))/4+INDEX(BookQ3,118)*(5-MIN(4,3+'5. Scenarios'!$B$8))/4+INDEX(BookQ4,118)*(5-MIN(4,4+'5. Scenarios'!$B$8))/4)*'5. Scenarios'!$B$6/(1+ProductivityDefault*('5. Scenarios'!$B$11-1))+INDEX(BookOneOff,118)*$D123)</f>
        <v/>
      </c>
      <c r="I123" s="56" t="str">
        <f aca="false">IF(INDEX(BookTitle,118)="","",INDEX(BookTotal,118)*'5. Scenarios'!$C$6/(1+ProductivityDefault*('5. Scenarios'!$C$11-1)))</f>
        <v/>
      </c>
      <c r="J123" s="57" t="str">
        <f aca="false">IF($I123="","",INDEX(BookRate,118)*(1+'5. Scenarios'!$C$10)*$I123)</f>
        <v/>
      </c>
      <c r="K123" s="57" t="str">
        <f aca="false">IF($J123="","",SUMIFS($J$6:$J$2405,$A$6:$A$2405,"&lt;="&amp;$A123))</f>
        <v/>
      </c>
      <c r="L123" s="57" t="str">
        <f aca="false">IF($J123="","",IF($K123&lt;=BankCostEnvelope*'5. Scenarios'!$C$7,1,0))</f>
        <v/>
      </c>
      <c r="M123" s="57" t="str">
        <f aca="false">IF($I123="","",INDEX(BookRate,118)*(1+'5. Scenarios'!$C$10)*(INDEX(BookQ1,118)*(5-MIN(4,1+'5. Scenarios'!$C$8))/4+INDEX(BookQ2,118)*(5-MIN(4,2+'5. Scenarios'!$C$8))/4+INDEX(BookQ3,118)*(5-MIN(4,3+'5. Scenarios'!$C$8))/4+INDEX(BookQ4,118)*(5-MIN(4,4+'5. Scenarios'!$C$8))/4)*'5. Scenarios'!$C$6/(1+ProductivityDefault*('5. Scenarios'!$C$11-1))+INDEX(BookOneOff,118)*$I123)</f>
        <v/>
      </c>
      <c r="N123" s="56" t="str">
        <f aca="false">IF(INDEX(BookTitle,118)="","",INDEX(BookTotal,118)*'5. Scenarios'!$D$6/(1+ProductivityDefault*('5. Scenarios'!$D$11-1)))</f>
        <v/>
      </c>
      <c r="O123" s="57" t="str">
        <f aca="false">IF($N123="","",INDEX(BookRate,118)*(1+'5. Scenarios'!$D$10)*$N123)</f>
        <v/>
      </c>
      <c r="P123" s="57" t="str">
        <f aca="false">IF($O123="","",SUMIFS($O$6:$O$2405,$A$6:$A$2405,"&lt;="&amp;$A123))</f>
        <v/>
      </c>
      <c r="Q123" s="57" t="str">
        <f aca="false">IF($O123="","",IF($P123&lt;=BankCostEnvelope*'5. Scenarios'!$D$7,1,0))</f>
        <v/>
      </c>
      <c r="R123" s="57" t="str">
        <f aca="false">IF($N123="","",INDEX(BookRate,118)*(1+'5. Scenarios'!$D$10)*(INDEX(BookQ1,118)*(5-MIN(4,1+'5. Scenarios'!$D$8))/4+INDEX(BookQ2,118)*(5-MIN(4,2+'5. Scenarios'!$D$8))/4+INDEX(BookQ3,118)*(5-MIN(4,3+'5. Scenarios'!$D$8))/4+INDEX(BookQ4,118)*(5-MIN(4,4+'5. Scenarios'!$D$8))/4)*'5. Scenarios'!$D$6/(1+ProductivityDefault*('5. Scenarios'!$D$11-1))+INDEX(BookOneOff,118)*$N123)</f>
        <v/>
      </c>
      <c r="S123" s="56" t="str">
        <f aca="false">IF(INDEX(BookTitle,118)="","",INDEX(BookTotal,118)*'5. Scenarios'!$E$6/(1+ProductivityDefault*('5. Scenarios'!$E$11-1)))</f>
        <v/>
      </c>
      <c r="T123" s="57" t="str">
        <f aca="false">IF($S123="","",INDEX(BookRate,118)*(1+'5. Scenarios'!$E$10)*$S123)</f>
        <v/>
      </c>
      <c r="U123" s="57" t="str">
        <f aca="false">IF($T123="","",SUMIFS($T$6:$T$2405,$A$6:$A$2405,"&lt;="&amp;$A123))</f>
        <v/>
      </c>
      <c r="V123" s="57" t="str">
        <f aca="false">IF($T123="","",IF($U123&lt;=BankCostEnvelope*'5. Scenarios'!$E$7,1,0))</f>
        <v/>
      </c>
      <c r="W123" s="57" t="str">
        <f aca="false">IF($S123="","",INDEX(BookRate,118)*(1+'5. Scenarios'!$E$10)*(INDEX(BookQ1,118)*(5-MIN(4,1+'5. Scenarios'!$E$8))/4+INDEX(BookQ2,118)*(5-MIN(4,2+'5. Scenarios'!$E$8))/4+INDEX(BookQ3,118)*(5-MIN(4,3+'5. Scenarios'!$E$8))/4+INDEX(BookQ4,118)*(5-MIN(4,4+'5. Scenarios'!$E$8))/4)*'5. Scenarios'!$E$6/(1+ProductivityDefault*('5. Scenarios'!$E$11-1))+INDEX(BookOneOff,118)*$S123)</f>
        <v/>
      </c>
    </row>
    <row r="124" customFormat="false" ht="15" hidden="false" customHeight="false" outlineLevel="0" collapsed="false">
      <c r="A124" s="0" t="str">
        <f aca="false">IF(INDEX(BookTitle,119)="","",INDEX(BookKey,119))</f>
        <v/>
      </c>
      <c r="B124" s="0" t="str">
        <f aca="false">IF(INDEX(BookTitle,119)="","",INDEX(BookGroup,119))</f>
        <v/>
      </c>
      <c r="C124" s="0" t="str">
        <f aca="false">IF(INDEX(BookTitle,119)="","",INDEX(BookCategory,119))</f>
        <v/>
      </c>
      <c r="D124" s="56" t="str">
        <f aca="false">IF(INDEX(BookTitle,119)="","",INDEX(BookTotal,119)*'5. Scenarios'!$B$6/(1+ProductivityDefault*('5. Scenarios'!$B$11-1)))</f>
        <v/>
      </c>
      <c r="E124" s="57" t="str">
        <f aca="false">IF($D124="","",INDEX(BookRate,119)*(1+'5. Scenarios'!$B$10)*$D124)</f>
        <v/>
      </c>
      <c r="F124" s="57" t="str">
        <f aca="false">IF($E124="","",SUMIFS($E$6:$E$2405,$A$6:$A$2405,"&lt;="&amp;$A124))</f>
        <v/>
      </c>
      <c r="G124" s="57" t="str">
        <f aca="false">IF($E124="","",IF($F124&lt;=BankCostEnvelope*'5. Scenarios'!$B$7,1,0))</f>
        <v/>
      </c>
      <c r="H124" s="57" t="str">
        <f aca="false">IF($D124="","",INDEX(BookRate,119)*(1+'5. Scenarios'!$B$10)*(INDEX(BookQ1,119)*(5-MIN(4,1+'5. Scenarios'!$B$8))/4+INDEX(BookQ2,119)*(5-MIN(4,2+'5. Scenarios'!$B$8))/4+INDEX(BookQ3,119)*(5-MIN(4,3+'5. Scenarios'!$B$8))/4+INDEX(BookQ4,119)*(5-MIN(4,4+'5. Scenarios'!$B$8))/4)*'5. Scenarios'!$B$6/(1+ProductivityDefault*('5. Scenarios'!$B$11-1))+INDEX(BookOneOff,119)*$D124)</f>
        <v/>
      </c>
      <c r="I124" s="56" t="str">
        <f aca="false">IF(INDEX(BookTitle,119)="","",INDEX(BookTotal,119)*'5. Scenarios'!$C$6/(1+ProductivityDefault*('5. Scenarios'!$C$11-1)))</f>
        <v/>
      </c>
      <c r="J124" s="57" t="str">
        <f aca="false">IF($I124="","",INDEX(BookRate,119)*(1+'5. Scenarios'!$C$10)*$I124)</f>
        <v/>
      </c>
      <c r="K124" s="57" t="str">
        <f aca="false">IF($J124="","",SUMIFS($J$6:$J$2405,$A$6:$A$2405,"&lt;="&amp;$A124))</f>
        <v/>
      </c>
      <c r="L124" s="57" t="str">
        <f aca="false">IF($J124="","",IF($K124&lt;=BankCostEnvelope*'5. Scenarios'!$C$7,1,0))</f>
        <v/>
      </c>
      <c r="M124" s="57" t="str">
        <f aca="false">IF($I124="","",INDEX(BookRate,119)*(1+'5. Scenarios'!$C$10)*(INDEX(BookQ1,119)*(5-MIN(4,1+'5. Scenarios'!$C$8))/4+INDEX(BookQ2,119)*(5-MIN(4,2+'5. Scenarios'!$C$8))/4+INDEX(BookQ3,119)*(5-MIN(4,3+'5. Scenarios'!$C$8))/4+INDEX(BookQ4,119)*(5-MIN(4,4+'5. Scenarios'!$C$8))/4)*'5. Scenarios'!$C$6/(1+ProductivityDefault*('5. Scenarios'!$C$11-1))+INDEX(BookOneOff,119)*$I124)</f>
        <v/>
      </c>
      <c r="N124" s="56" t="str">
        <f aca="false">IF(INDEX(BookTitle,119)="","",INDEX(BookTotal,119)*'5. Scenarios'!$D$6/(1+ProductivityDefault*('5. Scenarios'!$D$11-1)))</f>
        <v/>
      </c>
      <c r="O124" s="57" t="str">
        <f aca="false">IF($N124="","",INDEX(BookRate,119)*(1+'5. Scenarios'!$D$10)*$N124)</f>
        <v/>
      </c>
      <c r="P124" s="57" t="str">
        <f aca="false">IF($O124="","",SUMIFS($O$6:$O$2405,$A$6:$A$2405,"&lt;="&amp;$A124))</f>
        <v/>
      </c>
      <c r="Q124" s="57" t="str">
        <f aca="false">IF($O124="","",IF($P124&lt;=BankCostEnvelope*'5. Scenarios'!$D$7,1,0))</f>
        <v/>
      </c>
      <c r="R124" s="57" t="str">
        <f aca="false">IF($N124="","",INDEX(BookRate,119)*(1+'5. Scenarios'!$D$10)*(INDEX(BookQ1,119)*(5-MIN(4,1+'5. Scenarios'!$D$8))/4+INDEX(BookQ2,119)*(5-MIN(4,2+'5. Scenarios'!$D$8))/4+INDEX(BookQ3,119)*(5-MIN(4,3+'5. Scenarios'!$D$8))/4+INDEX(BookQ4,119)*(5-MIN(4,4+'5. Scenarios'!$D$8))/4)*'5. Scenarios'!$D$6/(1+ProductivityDefault*('5. Scenarios'!$D$11-1))+INDEX(BookOneOff,119)*$N124)</f>
        <v/>
      </c>
      <c r="S124" s="56" t="str">
        <f aca="false">IF(INDEX(BookTitle,119)="","",INDEX(BookTotal,119)*'5. Scenarios'!$E$6/(1+ProductivityDefault*('5. Scenarios'!$E$11-1)))</f>
        <v/>
      </c>
      <c r="T124" s="57" t="str">
        <f aca="false">IF($S124="","",INDEX(BookRate,119)*(1+'5. Scenarios'!$E$10)*$S124)</f>
        <v/>
      </c>
      <c r="U124" s="57" t="str">
        <f aca="false">IF($T124="","",SUMIFS($T$6:$T$2405,$A$6:$A$2405,"&lt;="&amp;$A124))</f>
        <v/>
      </c>
      <c r="V124" s="57" t="str">
        <f aca="false">IF($T124="","",IF($U124&lt;=BankCostEnvelope*'5. Scenarios'!$E$7,1,0))</f>
        <v/>
      </c>
      <c r="W124" s="57" t="str">
        <f aca="false">IF($S124="","",INDEX(BookRate,119)*(1+'5. Scenarios'!$E$10)*(INDEX(BookQ1,119)*(5-MIN(4,1+'5. Scenarios'!$E$8))/4+INDEX(BookQ2,119)*(5-MIN(4,2+'5. Scenarios'!$E$8))/4+INDEX(BookQ3,119)*(5-MIN(4,3+'5. Scenarios'!$E$8))/4+INDEX(BookQ4,119)*(5-MIN(4,4+'5. Scenarios'!$E$8))/4)*'5. Scenarios'!$E$6/(1+ProductivityDefault*('5. Scenarios'!$E$11-1))+INDEX(BookOneOff,119)*$S124)</f>
        <v/>
      </c>
    </row>
    <row r="125" customFormat="false" ht="15" hidden="false" customHeight="false" outlineLevel="0" collapsed="false">
      <c r="A125" s="0" t="str">
        <f aca="false">IF(INDEX(BookTitle,120)="","",INDEX(BookKey,120))</f>
        <v/>
      </c>
      <c r="B125" s="0" t="str">
        <f aca="false">IF(INDEX(BookTitle,120)="","",INDEX(BookGroup,120))</f>
        <v/>
      </c>
      <c r="C125" s="0" t="str">
        <f aca="false">IF(INDEX(BookTitle,120)="","",INDEX(BookCategory,120))</f>
        <v/>
      </c>
      <c r="D125" s="56" t="str">
        <f aca="false">IF(INDEX(BookTitle,120)="","",INDEX(BookTotal,120)*'5. Scenarios'!$B$6/(1+ProductivityDefault*('5. Scenarios'!$B$11-1)))</f>
        <v/>
      </c>
      <c r="E125" s="57" t="str">
        <f aca="false">IF($D125="","",INDEX(BookRate,120)*(1+'5. Scenarios'!$B$10)*$D125)</f>
        <v/>
      </c>
      <c r="F125" s="57" t="str">
        <f aca="false">IF($E125="","",SUMIFS($E$6:$E$2405,$A$6:$A$2405,"&lt;="&amp;$A125))</f>
        <v/>
      </c>
      <c r="G125" s="57" t="str">
        <f aca="false">IF($E125="","",IF($F125&lt;=BankCostEnvelope*'5. Scenarios'!$B$7,1,0))</f>
        <v/>
      </c>
      <c r="H125" s="57" t="str">
        <f aca="false">IF($D125="","",INDEX(BookRate,120)*(1+'5. Scenarios'!$B$10)*(INDEX(BookQ1,120)*(5-MIN(4,1+'5. Scenarios'!$B$8))/4+INDEX(BookQ2,120)*(5-MIN(4,2+'5. Scenarios'!$B$8))/4+INDEX(BookQ3,120)*(5-MIN(4,3+'5. Scenarios'!$B$8))/4+INDEX(BookQ4,120)*(5-MIN(4,4+'5. Scenarios'!$B$8))/4)*'5. Scenarios'!$B$6/(1+ProductivityDefault*('5. Scenarios'!$B$11-1))+INDEX(BookOneOff,120)*$D125)</f>
        <v/>
      </c>
      <c r="I125" s="56" t="str">
        <f aca="false">IF(INDEX(BookTitle,120)="","",INDEX(BookTotal,120)*'5. Scenarios'!$C$6/(1+ProductivityDefault*('5. Scenarios'!$C$11-1)))</f>
        <v/>
      </c>
      <c r="J125" s="57" t="str">
        <f aca="false">IF($I125="","",INDEX(BookRate,120)*(1+'5. Scenarios'!$C$10)*$I125)</f>
        <v/>
      </c>
      <c r="K125" s="57" t="str">
        <f aca="false">IF($J125="","",SUMIFS($J$6:$J$2405,$A$6:$A$2405,"&lt;="&amp;$A125))</f>
        <v/>
      </c>
      <c r="L125" s="57" t="str">
        <f aca="false">IF($J125="","",IF($K125&lt;=BankCostEnvelope*'5. Scenarios'!$C$7,1,0))</f>
        <v/>
      </c>
      <c r="M125" s="57" t="str">
        <f aca="false">IF($I125="","",INDEX(BookRate,120)*(1+'5. Scenarios'!$C$10)*(INDEX(BookQ1,120)*(5-MIN(4,1+'5. Scenarios'!$C$8))/4+INDEX(BookQ2,120)*(5-MIN(4,2+'5. Scenarios'!$C$8))/4+INDEX(BookQ3,120)*(5-MIN(4,3+'5. Scenarios'!$C$8))/4+INDEX(BookQ4,120)*(5-MIN(4,4+'5. Scenarios'!$C$8))/4)*'5. Scenarios'!$C$6/(1+ProductivityDefault*('5. Scenarios'!$C$11-1))+INDEX(BookOneOff,120)*$I125)</f>
        <v/>
      </c>
      <c r="N125" s="56" t="str">
        <f aca="false">IF(INDEX(BookTitle,120)="","",INDEX(BookTotal,120)*'5. Scenarios'!$D$6/(1+ProductivityDefault*('5. Scenarios'!$D$11-1)))</f>
        <v/>
      </c>
      <c r="O125" s="57" t="str">
        <f aca="false">IF($N125="","",INDEX(BookRate,120)*(1+'5. Scenarios'!$D$10)*$N125)</f>
        <v/>
      </c>
      <c r="P125" s="57" t="str">
        <f aca="false">IF($O125="","",SUMIFS($O$6:$O$2405,$A$6:$A$2405,"&lt;="&amp;$A125))</f>
        <v/>
      </c>
      <c r="Q125" s="57" t="str">
        <f aca="false">IF($O125="","",IF($P125&lt;=BankCostEnvelope*'5. Scenarios'!$D$7,1,0))</f>
        <v/>
      </c>
      <c r="R125" s="57" t="str">
        <f aca="false">IF($N125="","",INDEX(BookRate,120)*(1+'5. Scenarios'!$D$10)*(INDEX(BookQ1,120)*(5-MIN(4,1+'5. Scenarios'!$D$8))/4+INDEX(BookQ2,120)*(5-MIN(4,2+'5. Scenarios'!$D$8))/4+INDEX(BookQ3,120)*(5-MIN(4,3+'5. Scenarios'!$D$8))/4+INDEX(BookQ4,120)*(5-MIN(4,4+'5. Scenarios'!$D$8))/4)*'5. Scenarios'!$D$6/(1+ProductivityDefault*('5. Scenarios'!$D$11-1))+INDEX(BookOneOff,120)*$N125)</f>
        <v/>
      </c>
      <c r="S125" s="56" t="str">
        <f aca="false">IF(INDEX(BookTitle,120)="","",INDEX(BookTotal,120)*'5. Scenarios'!$E$6/(1+ProductivityDefault*('5. Scenarios'!$E$11-1)))</f>
        <v/>
      </c>
      <c r="T125" s="57" t="str">
        <f aca="false">IF($S125="","",INDEX(BookRate,120)*(1+'5. Scenarios'!$E$10)*$S125)</f>
        <v/>
      </c>
      <c r="U125" s="57" t="str">
        <f aca="false">IF($T125="","",SUMIFS($T$6:$T$2405,$A$6:$A$2405,"&lt;="&amp;$A125))</f>
        <v/>
      </c>
      <c r="V125" s="57" t="str">
        <f aca="false">IF($T125="","",IF($U125&lt;=BankCostEnvelope*'5. Scenarios'!$E$7,1,0))</f>
        <v/>
      </c>
      <c r="W125" s="57" t="str">
        <f aca="false">IF($S125="","",INDEX(BookRate,120)*(1+'5. Scenarios'!$E$10)*(INDEX(BookQ1,120)*(5-MIN(4,1+'5. Scenarios'!$E$8))/4+INDEX(BookQ2,120)*(5-MIN(4,2+'5. Scenarios'!$E$8))/4+INDEX(BookQ3,120)*(5-MIN(4,3+'5. Scenarios'!$E$8))/4+INDEX(BookQ4,120)*(5-MIN(4,4+'5. Scenarios'!$E$8))/4)*'5. Scenarios'!$E$6/(1+ProductivityDefault*('5. Scenarios'!$E$11-1))+INDEX(BookOneOff,120)*$S125)</f>
        <v/>
      </c>
    </row>
    <row r="126" customFormat="false" ht="15" hidden="false" customHeight="false" outlineLevel="0" collapsed="false">
      <c r="A126" s="0" t="str">
        <f aca="false">IF(INDEX(BookTitle,121)="","",INDEX(BookKey,121))</f>
        <v/>
      </c>
      <c r="B126" s="0" t="str">
        <f aca="false">IF(INDEX(BookTitle,121)="","",INDEX(BookGroup,121))</f>
        <v/>
      </c>
      <c r="C126" s="0" t="str">
        <f aca="false">IF(INDEX(BookTitle,121)="","",INDEX(BookCategory,121))</f>
        <v/>
      </c>
      <c r="D126" s="56" t="str">
        <f aca="false">IF(INDEX(BookTitle,121)="","",INDEX(BookTotal,121)*'5. Scenarios'!$B$6/(1+ProductivityDefault*('5. Scenarios'!$B$11-1)))</f>
        <v/>
      </c>
      <c r="E126" s="57" t="str">
        <f aca="false">IF($D126="","",INDEX(BookRate,121)*(1+'5. Scenarios'!$B$10)*$D126)</f>
        <v/>
      </c>
      <c r="F126" s="57" t="str">
        <f aca="false">IF($E126="","",SUMIFS($E$6:$E$2405,$A$6:$A$2405,"&lt;="&amp;$A126))</f>
        <v/>
      </c>
      <c r="G126" s="57" t="str">
        <f aca="false">IF($E126="","",IF($F126&lt;=BankCostEnvelope*'5. Scenarios'!$B$7,1,0))</f>
        <v/>
      </c>
      <c r="H126" s="57" t="str">
        <f aca="false">IF($D126="","",INDEX(BookRate,121)*(1+'5. Scenarios'!$B$10)*(INDEX(BookQ1,121)*(5-MIN(4,1+'5. Scenarios'!$B$8))/4+INDEX(BookQ2,121)*(5-MIN(4,2+'5. Scenarios'!$B$8))/4+INDEX(BookQ3,121)*(5-MIN(4,3+'5. Scenarios'!$B$8))/4+INDEX(BookQ4,121)*(5-MIN(4,4+'5. Scenarios'!$B$8))/4)*'5. Scenarios'!$B$6/(1+ProductivityDefault*('5. Scenarios'!$B$11-1))+INDEX(BookOneOff,121)*$D126)</f>
        <v/>
      </c>
      <c r="I126" s="56" t="str">
        <f aca="false">IF(INDEX(BookTitle,121)="","",INDEX(BookTotal,121)*'5. Scenarios'!$C$6/(1+ProductivityDefault*('5. Scenarios'!$C$11-1)))</f>
        <v/>
      </c>
      <c r="J126" s="57" t="str">
        <f aca="false">IF($I126="","",INDEX(BookRate,121)*(1+'5. Scenarios'!$C$10)*$I126)</f>
        <v/>
      </c>
      <c r="K126" s="57" t="str">
        <f aca="false">IF($J126="","",SUMIFS($J$6:$J$2405,$A$6:$A$2405,"&lt;="&amp;$A126))</f>
        <v/>
      </c>
      <c r="L126" s="57" t="str">
        <f aca="false">IF($J126="","",IF($K126&lt;=BankCostEnvelope*'5. Scenarios'!$C$7,1,0))</f>
        <v/>
      </c>
      <c r="M126" s="57" t="str">
        <f aca="false">IF($I126="","",INDEX(BookRate,121)*(1+'5. Scenarios'!$C$10)*(INDEX(BookQ1,121)*(5-MIN(4,1+'5. Scenarios'!$C$8))/4+INDEX(BookQ2,121)*(5-MIN(4,2+'5. Scenarios'!$C$8))/4+INDEX(BookQ3,121)*(5-MIN(4,3+'5. Scenarios'!$C$8))/4+INDEX(BookQ4,121)*(5-MIN(4,4+'5. Scenarios'!$C$8))/4)*'5. Scenarios'!$C$6/(1+ProductivityDefault*('5. Scenarios'!$C$11-1))+INDEX(BookOneOff,121)*$I126)</f>
        <v/>
      </c>
      <c r="N126" s="56" t="str">
        <f aca="false">IF(INDEX(BookTitle,121)="","",INDEX(BookTotal,121)*'5. Scenarios'!$D$6/(1+ProductivityDefault*('5. Scenarios'!$D$11-1)))</f>
        <v/>
      </c>
      <c r="O126" s="57" t="str">
        <f aca="false">IF($N126="","",INDEX(BookRate,121)*(1+'5. Scenarios'!$D$10)*$N126)</f>
        <v/>
      </c>
      <c r="P126" s="57" t="str">
        <f aca="false">IF($O126="","",SUMIFS($O$6:$O$2405,$A$6:$A$2405,"&lt;="&amp;$A126))</f>
        <v/>
      </c>
      <c r="Q126" s="57" t="str">
        <f aca="false">IF($O126="","",IF($P126&lt;=BankCostEnvelope*'5. Scenarios'!$D$7,1,0))</f>
        <v/>
      </c>
      <c r="R126" s="57" t="str">
        <f aca="false">IF($N126="","",INDEX(BookRate,121)*(1+'5. Scenarios'!$D$10)*(INDEX(BookQ1,121)*(5-MIN(4,1+'5. Scenarios'!$D$8))/4+INDEX(BookQ2,121)*(5-MIN(4,2+'5. Scenarios'!$D$8))/4+INDEX(BookQ3,121)*(5-MIN(4,3+'5. Scenarios'!$D$8))/4+INDEX(BookQ4,121)*(5-MIN(4,4+'5. Scenarios'!$D$8))/4)*'5. Scenarios'!$D$6/(1+ProductivityDefault*('5. Scenarios'!$D$11-1))+INDEX(BookOneOff,121)*$N126)</f>
        <v/>
      </c>
      <c r="S126" s="56" t="str">
        <f aca="false">IF(INDEX(BookTitle,121)="","",INDEX(BookTotal,121)*'5. Scenarios'!$E$6/(1+ProductivityDefault*('5. Scenarios'!$E$11-1)))</f>
        <v/>
      </c>
      <c r="T126" s="57" t="str">
        <f aca="false">IF($S126="","",INDEX(BookRate,121)*(1+'5. Scenarios'!$E$10)*$S126)</f>
        <v/>
      </c>
      <c r="U126" s="57" t="str">
        <f aca="false">IF($T126="","",SUMIFS($T$6:$T$2405,$A$6:$A$2405,"&lt;="&amp;$A126))</f>
        <v/>
      </c>
      <c r="V126" s="57" t="str">
        <f aca="false">IF($T126="","",IF($U126&lt;=BankCostEnvelope*'5. Scenarios'!$E$7,1,0))</f>
        <v/>
      </c>
      <c r="W126" s="57" t="str">
        <f aca="false">IF($S126="","",INDEX(BookRate,121)*(1+'5. Scenarios'!$E$10)*(INDEX(BookQ1,121)*(5-MIN(4,1+'5. Scenarios'!$E$8))/4+INDEX(BookQ2,121)*(5-MIN(4,2+'5. Scenarios'!$E$8))/4+INDEX(BookQ3,121)*(5-MIN(4,3+'5. Scenarios'!$E$8))/4+INDEX(BookQ4,121)*(5-MIN(4,4+'5. Scenarios'!$E$8))/4)*'5. Scenarios'!$E$6/(1+ProductivityDefault*('5. Scenarios'!$E$11-1))+INDEX(BookOneOff,121)*$S126)</f>
        <v/>
      </c>
    </row>
    <row r="127" customFormat="false" ht="15" hidden="false" customHeight="false" outlineLevel="0" collapsed="false">
      <c r="A127" s="0" t="str">
        <f aca="false">IF(INDEX(BookTitle,122)="","",INDEX(BookKey,122))</f>
        <v/>
      </c>
      <c r="B127" s="0" t="str">
        <f aca="false">IF(INDEX(BookTitle,122)="","",INDEX(BookGroup,122))</f>
        <v/>
      </c>
      <c r="C127" s="0" t="str">
        <f aca="false">IF(INDEX(BookTitle,122)="","",INDEX(BookCategory,122))</f>
        <v/>
      </c>
      <c r="D127" s="56" t="str">
        <f aca="false">IF(INDEX(BookTitle,122)="","",INDEX(BookTotal,122)*'5. Scenarios'!$B$6/(1+ProductivityDefault*('5. Scenarios'!$B$11-1)))</f>
        <v/>
      </c>
      <c r="E127" s="57" t="str">
        <f aca="false">IF($D127="","",INDEX(BookRate,122)*(1+'5. Scenarios'!$B$10)*$D127)</f>
        <v/>
      </c>
      <c r="F127" s="57" t="str">
        <f aca="false">IF($E127="","",SUMIFS($E$6:$E$2405,$A$6:$A$2405,"&lt;="&amp;$A127))</f>
        <v/>
      </c>
      <c r="G127" s="57" t="str">
        <f aca="false">IF($E127="","",IF($F127&lt;=BankCostEnvelope*'5. Scenarios'!$B$7,1,0))</f>
        <v/>
      </c>
      <c r="H127" s="57" t="str">
        <f aca="false">IF($D127="","",INDEX(BookRate,122)*(1+'5. Scenarios'!$B$10)*(INDEX(BookQ1,122)*(5-MIN(4,1+'5. Scenarios'!$B$8))/4+INDEX(BookQ2,122)*(5-MIN(4,2+'5. Scenarios'!$B$8))/4+INDEX(BookQ3,122)*(5-MIN(4,3+'5. Scenarios'!$B$8))/4+INDEX(BookQ4,122)*(5-MIN(4,4+'5. Scenarios'!$B$8))/4)*'5. Scenarios'!$B$6/(1+ProductivityDefault*('5. Scenarios'!$B$11-1))+INDEX(BookOneOff,122)*$D127)</f>
        <v/>
      </c>
      <c r="I127" s="56" t="str">
        <f aca="false">IF(INDEX(BookTitle,122)="","",INDEX(BookTotal,122)*'5. Scenarios'!$C$6/(1+ProductivityDefault*('5. Scenarios'!$C$11-1)))</f>
        <v/>
      </c>
      <c r="J127" s="57" t="str">
        <f aca="false">IF($I127="","",INDEX(BookRate,122)*(1+'5. Scenarios'!$C$10)*$I127)</f>
        <v/>
      </c>
      <c r="K127" s="57" t="str">
        <f aca="false">IF($J127="","",SUMIFS($J$6:$J$2405,$A$6:$A$2405,"&lt;="&amp;$A127))</f>
        <v/>
      </c>
      <c r="L127" s="57" t="str">
        <f aca="false">IF($J127="","",IF($K127&lt;=BankCostEnvelope*'5. Scenarios'!$C$7,1,0))</f>
        <v/>
      </c>
      <c r="M127" s="57" t="str">
        <f aca="false">IF($I127="","",INDEX(BookRate,122)*(1+'5. Scenarios'!$C$10)*(INDEX(BookQ1,122)*(5-MIN(4,1+'5. Scenarios'!$C$8))/4+INDEX(BookQ2,122)*(5-MIN(4,2+'5. Scenarios'!$C$8))/4+INDEX(BookQ3,122)*(5-MIN(4,3+'5. Scenarios'!$C$8))/4+INDEX(BookQ4,122)*(5-MIN(4,4+'5. Scenarios'!$C$8))/4)*'5. Scenarios'!$C$6/(1+ProductivityDefault*('5. Scenarios'!$C$11-1))+INDEX(BookOneOff,122)*$I127)</f>
        <v/>
      </c>
      <c r="N127" s="56" t="str">
        <f aca="false">IF(INDEX(BookTitle,122)="","",INDEX(BookTotal,122)*'5. Scenarios'!$D$6/(1+ProductivityDefault*('5. Scenarios'!$D$11-1)))</f>
        <v/>
      </c>
      <c r="O127" s="57" t="str">
        <f aca="false">IF($N127="","",INDEX(BookRate,122)*(1+'5. Scenarios'!$D$10)*$N127)</f>
        <v/>
      </c>
      <c r="P127" s="57" t="str">
        <f aca="false">IF($O127="","",SUMIFS($O$6:$O$2405,$A$6:$A$2405,"&lt;="&amp;$A127))</f>
        <v/>
      </c>
      <c r="Q127" s="57" t="str">
        <f aca="false">IF($O127="","",IF($P127&lt;=BankCostEnvelope*'5. Scenarios'!$D$7,1,0))</f>
        <v/>
      </c>
      <c r="R127" s="57" t="str">
        <f aca="false">IF($N127="","",INDEX(BookRate,122)*(1+'5. Scenarios'!$D$10)*(INDEX(BookQ1,122)*(5-MIN(4,1+'5. Scenarios'!$D$8))/4+INDEX(BookQ2,122)*(5-MIN(4,2+'5. Scenarios'!$D$8))/4+INDEX(BookQ3,122)*(5-MIN(4,3+'5. Scenarios'!$D$8))/4+INDEX(BookQ4,122)*(5-MIN(4,4+'5. Scenarios'!$D$8))/4)*'5. Scenarios'!$D$6/(1+ProductivityDefault*('5. Scenarios'!$D$11-1))+INDEX(BookOneOff,122)*$N127)</f>
        <v/>
      </c>
      <c r="S127" s="56" t="str">
        <f aca="false">IF(INDEX(BookTitle,122)="","",INDEX(BookTotal,122)*'5. Scenarios'!$E$6/(1+ProductivityDefault*('5. Scenarios'!$E$11-1)))</f>
        <v/>
      </c>
      <c r="T127" s="57" t="str">
        <f aca="false">IF($S127="","",INDEX(BookRate,122)*(1+'5. Scenarios'!$E$10)*$S127)</f>
        <v/>
      </c>
      <c r="U127" s="57" t="str">
        <f aca="false">IF($T127="","",SUMIFS($T$6:$T$2405,$A$6:$A$2405,"&lt;="&amp;$A127))</f>
        <v/>
      </c>
      <c r="V127" s="57" t="str">
        <f aca="false">IF($T127="","",IF($U127&lt;=BankCostEnvelope*'5. Scenarios'!$E$7,1,0))</f>
        <v/>
      </c>
      <c r="W127" s="57" t="str">
        <f aca="false">IF($S127="","",INDEX(BookRate,122)*(1+'5. Scenarios'!$E$10)*(INDEX(BookQ1,122)*(5-MIN(4,1+'5. Scenarios'!$E$8))/4+INDEX(BookQ2,122)*(5-MIN(4,2+'5. Scenarios'!$E$8))/4+INDEX(BookQ3,122)*(5-MIN(4,3+'5. Scenarios'!$E$8))/4+INDEX(BookQ4,122)*(5-MIN(4,4+'5. Scenarios'!$E$8))/4)*'5. Scenarios'!$E$6/(1+ProductivityDefault*('5. Scenarios'!$E$11-1))+INDEX(BookOneOff,122)*$S127)</f>
        <v/>
      </c>
    </row>
    <row r="128" customFormat="false" ht="15" hidden="false" customHeight="false" outlineLevel="0" collapsed="false">
      <c r="A128" s="0" t="str">
        <f aca="false">IF(INDEX(BookTitle,123)="","",INDEX(BookKey,123))</f>
        <v/>
      </c>
      <c r="B128" s="0" t="str">
        <f aca="false">IF(INDEX(BookTitle,123)="","",INDEX(BookGroup,123))</f>
        <v/>
      </c>
      <c r="C128" s="0" t="str">
        <f aca="false">IF(INDEX(BookTitle,123)="","",INDEX(BookCategory,123))</f>
        <v/>
      </c>
      <c r="D128" s="56" t="str">
        <f aca="false">IF(INDEX(BookTitle,123)="","",INDEX(BookTotal,123)*'5. Scenarios'!$B$6/(1+ProductivityDefault*('5. Scenarios'!$B$11-1)))</f>
        <v/>
      </c>
      <c r="E128" s="57" t="str">
        <f aca="false">IF($D128="","",INDEX(BookRate,123)*(1+'5. Scenarios'!$B$10)*$D128)</f>
        <v/>
      </c>
      <c r="F128" s="57" t="str">
        <f aca="false">IF($E128="","",SUMIFS($E$6:$E$2405,$A$6:$A$2405,"&lt;="&amp;$A128))</f>
        <v/>
      </c>
      <c r="G128" s="57" t="str">
        <f aca="false">IF($E128="","",IF($F128&lt;=BankCostEnvelope*'5. Scenarios'!$B$7,1,0))</f>
        <v/>
      </c>
      <c r="H128" s="57" t="str">
        <f aca="false">IF($D128="","",INDEX(BookRate,123)*(1+'5. Scenarios'!$B$10)*(INDEX(BookQ1,123)*(5-MIN(4,1+'5. Scenarios'!$B$8))/4+INDEX(BookQ2,123)*(5-MIN(4,2+'5. Scenarios'!$B$8))/4+INDEX(BookQ3,123)*(5-MIN(4,3+'5. Scenarios'!$B$8))/4+INDEX(BookQ4,123)*(5-MIN(4,4+'5. Scenarios'!$B$8))/4)*'5. Scenarios'!$B$6/(1+ProductivityDefault*('5. Scenarios'!$B$11-1))+INDEX(BookOneOff,123)*$D128)</f>
        <v/>
      </c>
      <c r="I128" s="56" t="str">
        <f aca="false">IF(INDEX(BookTitle,123)="","",INDEX(BookTotal,123)*'5. Scenarios'!$C$6/(1+ProductivityDefault*('5. Scenarios'!$C$11-1)))</f>
        <v/>
      </c>
      <c r="J128" s="57" t="str">
        <f aca="false">IF($I128="","",INDEX(BookRate,123)*(1+'5. Scenarios'!$C$10)*$I128)</f>
        <v/>
      </c>
      <c r="K128" s="57" t="str">
        <f aca="false">IF($J128="","",SUMIFS($J$6:$J$2405,$A$6:$A$2405,"&lt;="&amp;$A128))</f>
        <v/>
      </c>
      <c r="L128" s="57" t="str">
        <f aca="false">IF($J128="","",IF($K128&lt;=BankCostEnvelope*'5. Scenarios'!$C$7,1,0))</f>
        <v/>
      </c>
      <c r="M128" s="57" t="str">
        <f aca="false">IF($I128="","",INDEX(BookRate,123)*(1+'5. Scenarios'!$C$10)*(INDEX(BookQ1,123)*(5-MIN(4,1+'5. Scenarios'!$C$8))/4+INDEX(BookQ2,123)*(5-MIN(4,2+'5. Scenarios'!$C$8))/4+INDEX(BookQ3,123)*(5-MIN(4,3+'5. Scenarios'!$C$8))/4+INDEX(BookQ4,123)*(5-MIN(4,4+'5. Scenarios'!$C$8))/4)*'5. Scenarios'!$C$6/(1+ProductivityDefault*('5. Scenarios'!$C$11-1))+INDEX(BookOneOff,123)*$I128)</f>
        <v/>
      </c>
      <c r="N128" s="56" t="str">
        <f aca="false">IF(INDEX(BookTitle,123)="","",INDEX(BookTotal,123)*'5. Scenarios'!$D$6/(1+ProductivityDefault*('5. Scenarios'!$D$11-1)))</f>
        <v/>
      </c>
      <c r="O128" s="57" t="str">
        <f aca="false">IF($N128="","",INDEX(BookRate,123)*(1+'5. Scenarios'!$D$10)*$N128)</f>
        <v/>
      </c>
      <c r="P128" s="57" t="str">
        <f aca="false">IF($O128="","",SUMIFS($O$6:$O$2405,$A$6:$A$2405,"&lt;="&amp;$A128))</f>
        <v/>
      </c>
      <c r="Q128" s="57" t="str">
        <f aca="false">IF($O128="","",IF($P128&lt;=BankCostEnvelope*'5. Scenarios'!$D$7,1,0))</f>
        <v/>
      </c>
      <c r="R128" s="57" t="str">
        <f aca="false">IF($N128="","",INDEX(BookRate,123)*(1+'5. Scenarios'!$D$10)*(INDEX(BookQ1,123)*(5-MIN(4,1+'5. Scenarios'!$D$8))/4+INDEX(BookQ2,123)*(5-MIN(4,2+'5. Scenarios'!$D$8))/4+INDEX(BookQ3,123)*(5-MIN(4,3+'5. Scenarios'!$D$8))/4+INDEX(BookQ4,123)*(5-MIN(4,4+'5. Scenarios'!$D$8))/4)*'5. Scenarios'!$D$6/(1+ProductivityDefault*('5. Scenarios'!$D$11-1))+INDEX(BookOneOff,123)*$N128)</f>
        <v/>
      </c>
      <c r="S128" s="56" t="str">
        <f aca="false">IF(INDEX(BookTitle,123)="","",INDEX(BookTotal,123)*'5. Scenarios'!$E$6/(1+ProductivityDefault*('5. Scenarios'!$E$11-1)))</f>
        <v/>
      </c>
      <c r="T128" s="57" t="str">
        <f aca="false">IF($S128="","",INDEX(BookRate,123)*(1+'5. Scenarios'!$E$10)*$S128)</f>
        <v/>
      </c>
      <c r="U128" s="57" t="str">
        <f aca="false">IF($T128="","",SUMIFS($T$6:$T$2405,$A$6:$A$2405,"&lt;="&amp;$A128))</f>
        <v/>
      </c>
      <c r="V128" s="57" t="str">
        <f aca="false">IF($T128="","",IF($U128&lt;=BankCostEnvelope*'5. Scenarios'!$E$7,1,0))</f>
        <v/>
      </c>
      <c r="W128" s="57" t="str">
        <f aca="false">IF($S128="","",INDEX(BookRate,123)*(1+'5. Scenarios'!$E$10)*(INDEX(BookQ1,123)*(5-MIN(4,1+'5. Scenarios'!$E$8))/4+INDEX(BookQ2,123)*(5-MIN(4,2+'5. Scenarios'!$E$8))/4+INDEX(BookQ3,123)*(5-MIN(4,3+'5. Scenarios'!$E$8))/4+INDEX(BookQ4,123)*(5-MIN(4,4+'5. Scenarios'!$E$8))/4)*'5. Scenarios'!$E$6/(1+ProductivityDefault*('5. Scenarios'!$E$11-1))+INDEX(BookOneOff,123)*$S128)</f>
        <v/>
      </c>
    </row>
    <row r="129" customFormat="false" ht="15" hidden="false" customHeight="false" outlineLevel="0" collapsed="false">
      <c r="A129" s="0" t="str">
        <f aca="false">IF(INDEX(BookTitle,124)="","",INDEX(BookKey,124))</f>
        <v/>
      </c>
      <c r="B129" s="0" t="str">
        <f aca="false">IF(INDEX(BookTitle,124)="","",INDEX(BookGroup,124))</f>
        <v/>
      </c>
      <c r="C129" s="0" t="str">
        <f aca="false">IF(INDEX(BookTitle,124)="","",INDEX(BookCategory,124))</f>
        <v/>
      </c>
      <c r="D129" s="56" t="str">
        <f aca="false">IF(INDEX(BookTitle,124)="","",INDEX(BookTotal,124)*'5. Scenarios'!$B$6/(1+ProductivityDefault*('5. Scenarios'!$B$11-1)))</f>
        <v/>
      </c>
      <c r="E129" s="57" t="str">
        <f aca="false">IF($D129="","",INDEX(BookRate,124)*(1+'5. Scenarios'!$B$10)*$D129)</f>
        <v/>
      </c>
      <c r="F129" s="57" t="str">
        <f aca="false">IF($E129="","",SUMIFS($E$6:$E$2405,$A$6:$A$2405,"&lt;="&amp;$A129))</f>
        <v/>
      </c>
      <c r="G129" s="57" t="str">
        <f aca="false">IF($E129="","",IF($F129&lt;=BankCostEnvelope*'5. Scenarios'!$B$7,1,0))</f>
        <v/>
      </c>
      <c r="H129" s="57" t="str">
        <f aca="false">IF($D129="","",INDEX(BookRate,124)*(1+'5. Scenarios'!$B$10)*(INDEX(BookQ1,124)*(5-MIN(4,1+'5. Scenarios'!$B$8))/4+INDEX(BookQ2,124)*(5-MIN(4,2+'5. Scenarios'!$B$8))/4+INDEX(BookQ3,124)*(5-MIN(4,3+'5. Scenarios'!$B$8))/4+INDEX(BookQ4,124)*(5-MIN(4,4+'5. Scenarios'!$B$8))/4)*'5. Scenarios'!$B$6/(1+ProductivityDefault*('5. Scenarios'!$B$11-1))+INDEX(BookOneOff,124)*$D129)</f>
        <v/>
      </c>
      <c r="I129" s="56" t="str">
        <f aca="false">IF(INDEX(BookTitle,124)="","",INDEX(BookTotal,124)*'5. Scenarios'!$C$6/(1+ProductivityDefault*('5. Scenarios'!$C$11-1)))</f>
        <v/>
      </c>
      <c r="J129" s="57" t="str">
        <f aca="false">IF($I129="","",INDEX(BookRate,124)*(1+'5. Scenarios'!$C$10)*$I129)</f>
        <v/>
      </c>
      <c r="K129" s="57" t="str">
        <f aca="false">IF($J129="","",SUMIFS($J$6:$J$2405,$A$6:$A$2405,"&lt;="&amp;$A129))</f>
        <v/>
      </c>
      <c r="L129" s="57" t="str">
        <f aca="false">IF($J129="","",IF($K129&lt;=BankCostEnvelope*'5. Scenarios'!$C$7,1,0))</f>
        <v/>
      </c>
      <c r="M129" s="57" t="str">
        <f aca="false">IF($I129="","",INDEX(BookRate,124)*(1+'5. Scenarios'!$C$10)*(INDEX(BookQ1,124)*(5-MIN(4,1+'5. Scenarios'!$C$8))/4+INDEX(BookQ2,124)*(5-MIN(4,2+'5. Scenarios'!$C$8))/4+INDEX(BookQ3,124)*(5-MIN(4,3+'5. Scenarios'!$C$8))/4+INDEX(BookQ4,124)*(5-MIN(4,4+'5. Scenarios'!$C$8))/4)*'5. Scenarios'!$C$6/(1+ProductivityDefault*('5. Scenarios'!$C$11-1))+INDEX(BookOneOff,124)*$I129)</f>
        <v/>
      </c>
      <c r="N129" s="56" t="str">
        <f aca="false">IF(INDEX(BookTitle,124)="","",INDEX(BookTotal,124)*'5. Scenarios'!$D$6/(1+ProductivityDefault*('5. Scenarios'!$D$11-1)))</f>
        <v/>
      </c>
      <c r="O129" s="57" t="str">
        <f aca="false">IF($N129="","",INDEX(BookRate,124)*(1+'5. Scenarios'!$D$10)*$N129)</f>
        <v/>
      </c>
      <c r="P129" s="57" t="str">
        <f aca="false">IF($O129="","",SUMIFS($O$6:$O$2405,$A$6:$A$2405,"&lt;="&amp;$A129))</f>
        <v/>
      </c>
      <c r="Q129" s="57" t="str">
        <f aca="false">IF($O129="","",IF($P129&lt;=BankCostEnvelope*'5. Scenarios'!$D$7,1,0))</f>
        <v/>
      </c>
      <c r="R129" s="57" t="str">
        <f aca="false">IF($N129="","",INDEX(BookRate,124)*(1+'5. Scenarios'!$D$10)*(INDEX(BookQ1,124)*(5-MIN(4,1+'5. Scenarios'!$D$8))/4+INDEX(BookQ2,124)*(5-MIN(4,2+'5. Scenarios'!$D$8))/4+INDEX(BookQ3,124)*(5-MIN(4,3+'5. Scenarios'!$D$8))/4+INDEX(BookQ4,124)*(5-MIN(4,4+'5. Scenarios'!$D$8))/4)*'5. Scenarios'!$D$6/(1+ProductivityDefault*('5. Scenarios'!$D$11-1))+INDEX(BookOneOff,124)*$N129)</f>
        <v/>
      </c>
      <c r="S129" s="56" t="str">
        <f aca="false">IF(INDEX(BookTitle,124)="","",INDEX(BookTotal,124)*'5. Scenarios'!$E$6/(1+ProductivityDefault*('5. Scenarios'!$E$11-1)))</f>
        <v/>
      </c>
      <c r="T129" s="57" t="str">
        <f aca="false">IF($S129="","",INDEX(BookRate,124)*(1+'5. Scenarios'!$E$10)*$S129)</f>
        <v/>
      </c>
      <c r="U129" s="57" t="str">
        <f aca="false">IF($T129="","",SUMIFS($T$6:$T$2405,$A$6:$A$2405,"&lt;="&amp;$A129))</f>
        <v/>
      </c>
      <c r="V129" s="57" t="str">
        <f aca="false">IF($T129="","",IF($U129&lt;=BankCostEnvelope*'5. Scenarios'!$E$7,1,0))</f>
        <v/>
      </c>
      <c r="W129" s="57" t="str">
        <f aca="false">IF($S129="","",INDEX(BookRate,124)*(1+'5. Scenarios'!$E$10)*(INDEX(BookQ1,124)*(5-MIN(4,1+'5. Scenarios'!$E$8))/4+INDEX(BookQ2,124)*(5-MIN(4,2+'5. Scenarios'!$E$8))/4+INDEX(BookQ3,124)*(5-MIN(4,3+'5. Scenarios'!$E$8))/4+INDEX(BookQ4,124)*(5-MIN(4,4+'5. Scenarios'!$E$8))/4)*'5. Scenarios'!$E$6/(1+ProductivityDefault*('5. Scenarios'!$E$11-1))+INDEX(BookOneOff,124)*$S129)</f>
        <v/>
      </c>
    </row>
    <row r="130" customFormat="false" ht="15" hidden="false" customHeight="false" outlineLevel="0" collapsed="false">
      <c r="A130" s="0" t="str">
        <f aca="false">IF(INDEX(BookTitle,125)="","",INDEX(BookKey,125))</f>
        <v/>
      </c>
      <c r="B130" s="0" t="str">
        <f aca="false">IF(INDEX(BookTitle,125)="","",INDEX(BookGroup,125))</f>
        <v/>
      </c>
      <c r="C130" s="0" t="str">
        <f aca="false">IF(INDEX(BookTitle,125)="","",INDEX(BookCategory,125))</f>
        <v/>
      </c>
      <c r="D130" s="56" t="str">
        <f aca="false">IF(INDEX(BookTitle,125)="","",INDEX(BookTotal,125)*'5. Scenarios'!$B$6/(1+ProductivityDefault*('5. Scenarios'!$B$11-1)))</f>
        <v/>
      </c>
      <c r="E130" s="57" t="str">
        <f aca="false">IF($D130="","",INDEX(BookRate,125)*(1+'5. Scenarios'!$B$10)*$D130)</f>
        <v/>
      </c>
      <c r="F130" s="57" t="str">
        <f aca="false">IF($E130="","",SUMIFS($E$6:$E$2405,$A$6:$A$2405,"&lt;="&amp;$A130))</f>
        <v/>
      </c>
      <c r="G130" s="57" t="str">
        <f aca="false">IF($E130="","",IF($F130&lt;=BankCostEnvelope*'5. Scenarios'!$B$7,1,0))</f>
        <v/>
      </c>
      <c r="H130" s="57" t="str">
        <f aca="false">IF($D130="","",INDEX(BookRate,125)*(1+'5. Scenarios'!$B$10)*(INDEX(BookQ1,125)*(5-MIN(4,1+'5. Scenarios'!$B$8))/4+INDEX(BookQ2,125)*(5-MIN(4,2+'5. Scenarios'!$B$8))/4+INDEX(BookQ3,125)*(5-MIN(4,3+'5. Scenarios'!$B$8))/4+INDEX(BookQ4,125)*(5-MIN(4,4+'5. Scenarios'!$B$8))/4)*'5. Scenarios'!$B$6/(1+ProductivityDefault*('5. Scenarios'!$B$11-1))+INDEX(BookOneOff,125)*$D130)</f>
        <v/>
      </c>
      <c r="I130" s="56" t="str">
        <f aca="false">IF(INDEX(BookTitle,125)="","",INDEX(BookTotal,125)*'5. Scenarios'!$C$6/(1+ProductivityDefault*('5. Scenarios'!$C$11-1)))</f>
        <v/>
      </c>
      <c r="J130" s="57" t="str">
        <f aca="false">IF($I130="","",INDEX(BookRate,125)*(1+'5. Scenarios'!$C$10)*$I130)</f>
        <v/>
      </c>
      <c r="K130" s="57" t="str">
        <f aca="false">IF($J130="","",SUMIFS($J$6:$J$2405,$A$6:$A$2405,"&lt;="&amp;$A130))</f>
        <v/>
      </c>
      <c r="L130" s="57" t="str">
        <f aca="false">IF($J130="","",IF($K130&lt;=BankCostEnvelope*'5. Scenarios'!$C$7,1,0))</f>
        <v/>
      </c>
      <c r="M130" s="57" t="str">
        <f aca="false">IF($I130="","",INDEX(BookRate,125)*(1+'5. Scenarios'!$C$10)*(INDEX(BookQ1,125)*(5-MIN(4,1+'5. Scenarios'!$C$8))/4+INDEX(BookQ2,125)*(5-MIN(4,2+'5. Scenarios'!$C$8))/4+INDEX(BookQ3,125)*(5-MIN(4,3+'5. Scenarios'!$C$8))/4+INDEX(BookQ4,125)*(5-MIN(4,4+'5. Scenarios'!$C$8))/4)*'5. Scenarios'!$C$6/(1+ProductivityDefault*('5. Scenarios'!$C$11-1))+INDEX(BookOneOff,125)*$I130)</f>
        <v/>
      </c>
      <c r="N130" s="56" t="str">
        <f aca="false">IF(INDEX(BookTitle,125)="","",INDEX(BookTotal,125)*'5. Scenarios'!$D$6/(1+ProductivityDefault*('5. Scenarios'!$D$11-1)))</f>
        <v/>
      </c>
      <c r="O130" s="57" t="str">
        <f aca="false">IF($N130="","",INDEX(BookRate,125)*(1+'5. Scenarios'!$D$10)*$N130)</f>
        <v/>
      </c>
      <c r="P130" s="57" t="str">
        <f aca="false">IF($O130="","",SUMIFS($O$6:$O$2405,$A$6:$A$2405,"&lt;="&amp;$A130))</f>
        <v/>
      </c>
      <c r="Q130" s="57" t="str">
        <f aca="false">IF($O130="","",IF($P130&lt;=BankCostEnvelope*'5. Scenarios'!$D$7,1,0))</f>
        <v/>
      </c>
      <c r="R130" s="57" t="str">
        <f aca="false">IF($N130="","",INDEX(BookRate,125)*(1+'5. Scenarios'!$D$10)*(INDEX(BookQ1,125)*(5-MIN(4,1+'5. Scenarios'!$D$8))/4+INDEX(BookQ2,125)*(5-MIN(4,2+'5. Scenarios'!$D$8))/4+INDEX(BookQ3,125)*(5-MIN(4,3+'5. Scenarios'!$D$8))/4+INDEX(BookQ4,125)*(5-MIN(4,4+'5. Scenarios'!$D$8))/4)*'5. Scenarios'!$D$6/(1+ProductivityDefault*('5. Scenarios'!$D$11-1))+INDEX(BookOneOff,125)*$N130)</f>
        <v/>
      </c>
      <c r="S130" s="56" t="str">
        <f aca="false">IF(INDEX(BookTitle,125)="","",INDEX(BookTotal,125)*'5. Scenarios'!$E$6/(1+ProductivityDefault*('5. Scenarios'!$E$11-1)))</f>
        <v/>
      </c>
      <c r="T130" s="57" t="str">
        <f aca="false">IF($S130="","",INDEX(BookRate,125)*(1+'5. Scenarios'!$E$10)*$S130)</f>
        <v/>
      </c>
      <c r="U130" s="57" t="str">
        <f aca="false">IF($T130="","",SUMIFS($T$6:$T$2405,$A$6:$A$2405,"&lt;="&amp;$A130))</f>
        <v/>
      </c>
      <c r="V130" s="57" t="str">
        <f aca="false">IF($T130="","",IF($U130&lt;=BankCostEnvelope*'5. Scenarios'!$E$7,1,0))</f>
        <v/>
      </c>
      <c r="W130" s="57" t="str">
        <f aca="false">IF($S130="","",INDEX(BookRate,125)*(1+'5. Scenarios'!$E$10)*(INDEX(BookQ1,125)*(5-MIN(4,1+'5. Scenarios'!$E$8))/4+INDEX(BookQ2,125)*(5-MIN(4,2+'5. Scenarios'!$E$8))/4+INDEX(BookQ3,125)*(5-MIN(4,3+'5. Scenarios'!$E$8))/4+INDEX(BookQ4,125)*(5-MIN(4,4+'5. Scenarios'!$E$8))/4)*'5. Scenarios'!$E$6/(1+ProductivityDefault*('5. Scenarios'!$E$11-1))+INDEX(BookOneOff,125)*$S130)</f>
        <v/>
      </c>
    </row>
    <row r="131" customFormat="false" ht="15" hidden="false" customHeight="false" outlineLevel="0" collapsed="false">
      <c r="A131" s="0" t="str">
        <f aca="false">IF(INDEX(BookTitle,126)="","",INDEX(BookKey,126))</f>
        <v/>
      </c>
      <c r="B131" s="0" t="str">
        <f aca="false">IF(INDEX(BookTitle,126)="","",INDEX(BookGroup,126))</f>
        <v/>
      </c>
      <c r="C131" s="0" t="str">
        <f aca="false">IF(INDEX(BookTitle,126)="","",INDEX(BookCategory,126))</f>
        <v/>
      </c>
      <c r="D131" s="56" t="str">
        <f aca="false">IF(INDEX(BookTitle,126)="","",INDEX(BookTotal,126)*'5. Scenarios'!$B$6/(1+ProductivityDefault*('5. Scenarios'!$B$11-1)))</f>
        <v/>
      </c>
      <c r="E131" s="57" t="str">
        <f aca="false">IF($D131="","",INDEX(BookRate,126)*(1+'5. Scenarios'!$B$10)*$D131)</f>
        <v/>
      </c>
      <c r="F131" s="57" t="str">
        <f aca="false">IF($E131="","",SUMIFS($E$6:$E$2405,$A$6:$A$2405,"&lt;="&amp;$A131))</f>
        <v/>
      </c>
      <c r="G131" s="57" t="str">
        <f aca="false">IF($E131="","",IF($F131&lt;=BankCostEnvelope*'5. Scenarios'!$B$7,1,0))</f>
        <v/>
      </c>
      <c r="H131" s="57" t="str">
        <f aca="false">IF($D131="","",INDEX(BookRate,126)*(1+'5. Scenarios'!$B$10)*(INDEX(BookQ1,126)*(5-MIN(4,1+'5. Scenarios'!$B$8))/4+INDEX(BookQ2,126)*(5-MIN(4,2+'5. Scenarios'!$B$8))/4+INDEX(BookQ3,126)*(5-MIN(4,3+'5. Scenarios'!$B$8))/4+INDEX(BookQ4,126)*(5-MIN(4,4+'5. Scenarios'!$B$8))/4)*'5. Scenarios'!$B$6/(1+ProductivityDefault*('5. Scenarios'!$B$11-1))+INDEX(BookOneOff,126)*$D131)</f>
        <v/>
      </c>
      <c r="I131" s="56" t="str">
        <f aca="false">IF(INDEX(BookTitle,126)="","",INDEX(BookTotal,126)*'5. Scenarios'!$C$6/(1+ProductivityDefault*('5. Scenarios'!$C$11-1)))</f>
        <v/>
      </c>
      <c r="J131" s="57" t="str">
        <f aca="false">IF($I131="","",INDEX(BookRate,126)*(1+'5. Scenarios'!$C$10)*$I131)</f>
        <v/>
      </c>
      <c r="K131" s="57" t="str">
        <f aca="false">IF($J131="","",SUMIFS($J$6:$J$2405,$A$6:$A$2405,"&lt;="&amp;$A131))</f>
        <v/>
      </c>
      <c r="L131" s="57" t="str">
        <f aca="false">IF($J131="","",IF($K131&lt;=BankCostEnvelope*'5. Scenarios'!$C$7,1,0))</f>
        <v/>
      </c>
      <c r="M131" s="57" t="str">
        <f aca="false">IF($I131="","",INDEX(BookRate,126)*(1+'5. Scenarios'!$C$10)*(INDEX(BookQ1,126)*(5-MIN(4,1+'5. Scenarios'!$C$8))/4+INDEX(BookQ2,126)*(5-MIN(4,2+'5. Scenarios'!$C$8))/4+INDEX(BookQ3,126)*(5-MIN(4,3+'5. Scenarios'!$C$8))/4+INDEX(BookQ4,126)*(5-MIN(4,4+'5. Scenarios'!$C$8))/4)*'5. Scenarios'!$C$6/(1+ProductivityDefault*('5. Scenarios'!$C$11-1))+INDEX(BookOneOff,126)*$I131)</f>
        <v/>
      </c>
      <c r="N131" s="56" t="str">
        <f aca="false">IF(INDEX(BookTitle,126)="","",INDEX(BookTotal,126)*'5. Scenarios'!$D$6/(1+ProductivityDefault*('5. Scenarios'!$D$11-1)))</f>
        <v/>
      </c>
      <c r="O131" s="57" t="str">
        <f aca="false">IF($N131="","",INDEX(BookRate,126)*(1+'5. Scenarios'!$D$10)*$N131)</f>
        <v/>
      </c>
      <c r="P131" s="57" t="str">
        <f aca="false">IF($O131="","",SUMIFS($O$6:$O$2405,$A$6:$A$2405,"&lt;="&amp;$A131))</f>
        <v/>
      </c>
      <c r="Q131" s="57" t="str">
        <f aca="false">IF($O131="","",IF($P131&lt;=BankCostEnvelope*'5. Scenarios'!$D$7,1,0))</f>
        <v/>
      </c>
      <c r="R131" s="57" t="str">
        <f aca="false">IF($N131="","",INDEX(BookRate,126)*(1+'5. Scenarios'!$D$10)*(INDEX(BookQ1,126)*(5-MIN(4,1+'5. Scenarios'!$D$8))/4+INDEX(BookQ2,126)*(5-MIN(4,2+'5. Scenarios'!$D$8))/4+INDEX(BookQ3,126)*(5-MIN(4,3+'5. Scenarios'!$D$8))/4+INDEX(BookQ4,126)*(5-MIN(4,4+'5. Scenarios'!$D$8))/4)*'5. Scenarios'!$D$6/(1+ProductivityDefault*('5. Scenarios'!$D$11-1))+INDEX(BookOneOff,126)*$N131)</f>
        <v/>
      </c>
      <c r="S131" s="56" t="str">
        <f aca="false">IF(INDEX(BookTitle,126)="","",INDEX(BookTotal,126)*'5. Scenarios'!$E$6/(1+ProductivityDefault*('5. Scenarios'!$E$11-1)))</f>
        <v/>
      </c>
      <c r="T131" s="57" t="str">
        <f aca="false">IF($S131="","",INDEX(BookRate,126)*(1+'5. Scenarios'!$E$10)*$S131)</f>
        <v/>
      </c>
      <c r="U131" s="57" t="str">
        <f aca="false">IF($T131="","",SUMIFS($T$6:$T$2405,$A$6:$A$2405,"&lt;="&amp;$A131))</f>
        <v/>
      </c>
      <c r="V131" s="57" t="str">
        <f aca="false">IF($T131="","",IF($U131&lt;=BankCostEnvelope*'5. Scenarios'!$E$7,1,0))</f>
        <v/>
      </c>
      <c r="W131" s="57" t="str">
        <f aca="false">IF($S131="","",INDEX(BookRate,126)*(1+'5. Scenarios'!$E$10)*(INDEX(BookQ1,126)*(5-MIN(4,1+'5. Scenarios'!$E$8))/4+INDEX(BookQ2,126)*(5-MIN(4,2+'5. Scenarios'!$E$8))/4+INDEX(BookQ3,126)*(5-MIN(4,3+'5. Scenarios'!$E$8))/4+INDEX(BookQ4,126)*(5-MIN(4,4+'5. Scenarios'!$E$8))/4)*'5. Scenarios'!$E$6/(1+ProductivityDefault*('5. Scenarios'!$E$11-1))+INDEX(BookOneOff,126)*$S131)</f>
        <v/>
      </c>
    </row>
    <row r="132" customFormat="false" ht="15" hidden="false" customHeight="false" outlineLevel="0" collapsed="false">
      <c r="A132" s="0" t="str">
        <f aca="false">IF(INDEX(BookTitle,127)="","",INDEX(BookKey,127))</f>
        <v/>
      </c>
      <c r="B132" s="0" t="str">
        <f aca="false">IF(INDEX(BookTitle,127)="","",INDEX(BookGroup,127))</f>
        <v/>
      </c>
      <c r="C132" s="0" t="str">
        <f aca="false">IF(INDEX(BookTitle,127)="","",INDEX(BookCategory,127))</f>
        <v/>
      </c>
      <c r="D132" s="56" t="str">
        <f aca="false">IF(INDEX(BookTitle,127)="","",INDEX(BookTotal,127)*'5. Scenarios'!$B$6/(1+ProductivityDefault*('5. Scenarios'!$B$11-1)))</f>
        <v/>
      </c>
      <c r="E132" s="57" t="str">
        <f aca="false">IF($D132="","",INDEX(BookRate,127)*(1+'5. Scenarios'!$B$10)*$D132)</f>
        <v/>
      </c>
      <c r="F132" s="57" t="str">
        <f aca="false">IF($E132="","",SUMIFS($E$6:$E$2405,$A$6:$A$2405,"&lt;="&amp;$A132))</f>
        <v/>
      </c>
      <c r="G132" s="57" t="str">
        <f aca="false">IF($E132="","",IF($F132&lt;=BankCostEnvelope*'5. Scenarios'!$B$7,1,0))</f>
        <v/>
      </c>
      <c r="H132" s="57" t="str">
        <f aca="false">IF($D132="","",INDEX(BookRate,127)*(1+'5. Scenarios'!$B$10)*(INDEX(BookQ1,127)*(5-MIN(4,1+'5. Scenarios'!$B$8))/4+INDEX(BookQ2,127)*(5-MIN(4,2+'5. Scenarios'!$B$8))/4+INDEX(BookQ3,127)*(5-MIN(4,3+'5. Scenarios'!$B$8))/4+INDEX(BookQ4,127)*(5-MIN(4,4+'5. Scenarios'!$B$8))/4)*'5. Scenarios'!$B$6/(1+ProductivityDefault*('5. Scenarios'!$B$11-1))+INDEX(BookOneOff,127)*$D132)</f>
        <v/>
      </c>
      <c r="I132" s="56" t="str">
        <f aca="false">IF(INDEX(BookTitle,127)="","",INDEX(BookTotal,127)*'5. Scenarios'!$C$6/(1+ProductivityDefault*('5. Scenarios'!$C$11-1)))</f>
        <v/>
      </c>
      <c r="J132" s="57" t="str">
        <f aca="false">IF($I132="","",INDEX(BookRate,127)*(1+'5. Scenarios'!$C$10)*$I132)</f>
        <v/>
      </c>
      <c r="K132" s="57" t="str">
        <f aca="false">IF($J132="","",SUMIFS($J$6:$J$2405,$A$6:$A$2405,"&lt;="&amp;$A132))</f>
        <v/>
      </c>
      <c r="L132" s="57" t="str">
        <f aca="false">IF($J132="","",IF($K132&lt;=BankCostEnvelope*'5. Scenarios'!$C$7,1,0))</f>
        <v/>
      </c>
      <c r="M132" s="57" t="str">
        <f aca="false">IF($I132="","",INDEX(BookRate,127)*(1+'5. Scenarios'!$C$10)*(INDEX(BookQ1,127)*(5-MIN(4,1+'5. Scenarios'!$C$8))/4+INDEX(BookQ2,127)*(5-MIN(4,2+'5. Scenarios'!$C$8))/4+INDEX(BookQ3,127)*(5-MIN(4,3+'5. Scenarios'!$C$8))/4+INDEX(BookQ4,127)*(5-MIN(4,4+'5. Scenarios'!$C$8))/4)*'5. Scenarios'!$C$6/(1+ProductivityDefault*('5. Scenarios'!$C$11-1))+INDEX(BookOneOff,127)*$I132)</f>
        <v/>
      </c>
      <c r="N132" s="56" t="str">
        <f aca="false">IF(INDEX(BookTitle,127)="","",INDEX(BookTotal,127)*'5. Scenarios'!$D$6/(1+ProductivityDefault*('5. Scenarios'!$D$11-1)))</f>
        <v/>
      </c>
      <c r="O132" s="57" t="str">
        <f aca="false">IF($N132="","",INDEX(BookRate,127)*(1+'5. Scenarios'!$D$10)*$N132)</f>
        <v/>
      </c>
      <c r="P132" s="57" t="str">
        <f aca="false">IF($O132="","",SUMIFS($O$6:$O$2405,$A$6:$A$2405,"&lt;="&amp;$A132))</f>
        <v/>
      </c>
      <c r="Q132" s="57" t="str">
        <f aca="false">IF($O132="","",IF($P132&lt;=BankCostEnvelope*'5. Scenarios'!$D$7,1,0))</f>
        <v/>
      </c>
      <c r="R132" s="57" t="str">
        <f aca="false">IF($N132="","",INDEX(BookRate,127)*(1+'5. Scenarios'!$D$10)*(INDEX(BookQ1,127)*(5-MIN(4,1+'5. Scenarios'!$D$8))/4+INDEX(BookQ2,127)*(5-MIN(4,2+'5. Scenarios'!$D$8))/4+INDEX(BookQ3,127)*(5-MIN(4,3+'5. Scenarios'!$D$8))/4+INDEX(BookQ4,127)*(5-MIN(4,4+'5. Scenarios'!$D$8))/4)*'5. Scenarios'!$D$6/(1+ProductivityDefault*('5. Scenarios'!$D$11-1))+INDEX(BookOneOff,127)*$N132)</f>
        <v/>
      </c>
      <c r="S132" s="56" t="str">
        <f aca="false">IF(INDEX(BookTitle,127)="","",INDEX(BookTotal,127)*'5. Scenarios'!$E$6/(1+ProductivityDefault*('5. Scenarios'!$E$11-1)))</f>
        <v/>
      </c>
      <c r="T132" s="57" t="str">
        <f aca="false">IF($S132="","",INDEX(BookRate,127)*(1+'5. Scenarios'!$E$10)*$S132)</f>
        <v/>
      </c>
      <c r="U132" s="57" t="str">
        <f aca="false">IF($T132="","",SUMIFS($T$6:$T$2405,$A$6:$A$2405,"&lt;="&amp;$A132))</f>
        <v/>
      </c>
      <c r="V132" s="57" t="str">
        <f aca="false">IF($T132="","",IF($U132&lt;=BankCostEnvelope*'5. Scenarios'!$E$7,1,0))</f>
        <v/>
      </c>
      <c r="W132" s="57" t="str">
        <f aca="false">IF($S132="","",INDEX(BookRate,127)*(1+'5. Scenarios'!$E$10)*(INDEX(BookQ1,127)*(5-MIN(4,1+'5. Scenarios'!$E$8))/4+INDEX(BookQ2,127)*(5-MIN(4,2+'5. Scenarios'!$E$8))/4+INDEX(BookQ3,127)*(5-MIN(4,3+'5. Scenarios'!$E$8))/4+INDEX(BookQ4,127)*(5-MIN(4,4+'5. Scenarios'!$E$8))/4)*'5. Scenarios'!$E$6/(1+ProductivityDefault*('5. Scenarios'!$E$11-1))+INDEX(BookOneOff,127)*$S132)</f>
        <v/>
      </c>
    </row>
    <row r="133" customFormat="false" ht="15" hidden="false" customHeight="false" outlineLevel="0" collapsed="false">
      <c r="A133" s="0" t="str">
        <f aca="false">IF(INDEX(BookTitle,128)="","",INDEX(BookKey,128))</f>
        <v/>
      </c>
      <c r="B133" s="0" t="str">
        <f aca="false">IF(INDEX(BookTitle,128)="","",INDEX(BookGroup,128))</f>
        <v/>
      </c>
      <c r="C133" s="0" t="str">
        <f aca="false">IF(INDEX(BookTitle,128)="","",INDEX(BookCategory,128))</f>
        <v/>
      </c>
      <c r="D133" s="56" t="str">
        <f aca="false">IF(INDEX(BookTitle,128)="","",INDEX(BookTotal,128)*'5. Scenarios'!$B$6/(1+ProductivityDefault*('5. Scenarios'!$B$11-1)))</f>
        <v/>
      </c>
      <c r="E133" s="57" t="str">
        <f aca="false">IF($D133="","",INDEX(BookRate,128)*(1+'5. Scenarios'!$B$10)*$D133)</f>
        <v/>
      </c>
      <c r="F133" s="57" t="str">
        <f aca="false">IF($E133="","",SUMIFS($E$6:$E$2405,$A$6:$A$2405,"&lt;="&amp;$A133))</f>
        <v/>
      </c>
      <c r="G133" s="57" t="str">
        <f aca="false">IF($E133="","",IF($F133&lt;=BankCostEnvelope*'5. Scenarios'!$B$7,1,0))</f>
        <v/>
      </c>
      <c r="H133" s="57" t="str">
        <f aca="false">IF($D133="","",INDEX(BookRate,128)*(1+'5. Scenarios'!$B$10)*(INDEX(BookQ1,128)*(5-MIN(4,1+'5. Scenarios'!$B$8))/4+INDEX(BookQ2,128)*(5-MIN(4,2+'5. Scenarios'!$B$8))/4+INDEX(BookQ3,128)*(5-MIN(4,3+'5. Scenarios'!$B$8))/4+INDEX(BookQ4,128)*(5-MIN(4,4+'5. Scenarios'!$B$8))/4)*'5. Scenarios'!$B$6/(1+ProductivityDefault*('5. Scenarios'!$B$11-1))+INDEX(BookOneOff,128)*$D133)</f>
        <v/>
      </c>
      <c r="I133" s="56" t="str">
        <f aca="false">IF(INDEX(BookTitle,128)="","",INDEX(BookTotal,128)*'5. Scenarios'!$C$6/(1+ProductivityDefault*('5. Scenarios'!$C$11-1)))</f>
        <v/>
      </c>
      <c r="J133" s="57" t="str">
        <f aca="false">IF($I133="","",INDEX(BookRate,128)*(1+'5. Scenarios'!$C$10)*$I133)</f>
        <v/>
      </c>
      <c r="K133" s="57" t="str">
        <f aca="false">IF($J133="","",SUMIFS($J$6:$J$2405,$A$6:$A$2405,"&lt;="&amp;$A133))</f>
        <v/>
      </c>
      <c r="L133" s="57" t="str">
        <f aca="false">IF($J133="","",IF($K133&lt;=BankCostEnvelope*'5. Scenarios'!$C$7,1,0))</f>
        <v/>
      </c>
      <c r="M133" s="57" t="str">
        <f aca="false">IF($I133="","",INDEX(BookRate,128)*(1+'5. Scenarios'!$C$10)*(INDEX(BookQ1,128)*(5-MIN(4,1+'5. Scenarios'!$C$8))/4+INDEX(BookQ2,128)*(5-MIN(4,2+'5. Scenarios'!$C$8))/4+INDEX(BookQ3,128)*(5-MIN(4,3+'5. Scenarios'!$C$8))/4+INDEX(BookQ4,128)*(5-MIN(4,4+'5. Scenarios'!$C$8))/4)*'5. Scenarios'!$C$6/(1+ProductivityDefault*('5. Scenarios'!$C$11-1))+INDEX(BookOneOff,128)*$I133)</f>
        <v/>
      </c>
      <c r="N133" s="56" t="str">
        <f aca="false">IF(INDEX(BookTitle,128)="","",INDEX(BookTotal,128)*'5. Scenarios'!$D$6/(1+ProductivityDefault*('5. Scenarios'!$D$11-1)))</f>
        <v/>
      </c>
      <c r="O133" s="57" t="str">
        <f aca="false">IF($N133="","",INDEX(BookRate,128)*(1+'5. Scenarios'!$D$10)*$N133)</f>
        <v/>
      </c>
      <c r="P133" s="57" t="str">
        <f aca="false">IF($O133="","",SUMIFS($O$6:$O$2405,$A$6:$A$2405,"&lt;="&amp;$A133))</f>
        <v/>
      </c>
      <c r="Q133" s="57" t="str">
        <f aca="false">IF($O133="","",IF($P133&lt;=BankCostEnvelope*'5. Scenarios'!$D$7,1,0))</f>
        <v/>
      </c>
      <c r="R133" s="57" t="str">
        <f aca="false">IF($N133="","",INDEX(BookRate,128)*(1+'5. Scenarios'!$D$10)*(INDEX(BookQ1,128)*(5-MIN(4,1+'5. Scenarios'!$D$8))/4+INDEX(BookQ2,128)*(5-MIN(4,2+'5. Scenarios'!$D$8))/4+INDEX(BookQ3,128)*(5-MIN(4,3+'5. Scenarios'!$D$8))/4+INDEX(BookQ4,128)*(5-MIN(4,4+'5. Scenarios'!$D$8))/4)*'5. Scenarios'!$D$6/(1+ProductivityDefault*('5. Scenarios'!$D$11-1))+INDEX(BookOneOff,128)*$N133)</f>
        <v/>
      </c>
      <c r="S133" s="56" t="str">
        <f aca="false">IF(INDEX(BookTitle,128)="","",INDEX(BookTotal,128)*'5. Scenarios'!$E$6/(1+ProductivityDefault*('5. Scenarios'!$E$11-1)))</f>
        <v/>
      </c>
      <c r="T133" s="57" t="str">
        <f aca="false">IF($S133="","",INDEX(BookRate,128)*(1+'5. Scenarios'!$E$10)*$S133)</f>
        <v/>
      </c>
      <c r="U133" s="57" t="str">
        <f aca="false">IF($T133="","",SUMIFS($T$6:$T$2405,$A$6:$A$2405,"&lt;="&amp;$A133))</f>
        <v/>
      </c>
      <c r="V133" s="57" t="str">
        <f aca="false">IF($T133="","",IF($U133&lt;=BankCostEnvelope*'5. Scenarios'!$E$7,1,0))</f>
        <v/>
      </c>
      <c r="W133" s="57" t="str">
        <f aca="false">IF($S133="","",INDEX(BookRate,128)*(1+'5. Scenarios'!$E$10)*(INDEX(BookQ1,128)*(5-MIN(4,1+'5. Scenarios'!$E$8))/4+INDEX(BookQ2,128)*(5-MIN(4,2+'5. Scenarios'!$E$8))/4+INDEX(BookQ3,128)*(5-MIN(4,3+'5. Scenarios'!$E$8))/4+INDEX(BookQ4,128)*(5-MIN(4,4+'5. Scenarios'!$E$8))/4)*'5. Scenarios'!$E$6/(1+ProductivityDefault*('5. Scenarios'!$E$11-1))+INDEX(BookOneOff,128)*$S133)</f>
        <v/>
      </c>
    </row>
    <row r="134" customFormat="false" ht="15" hidden="false" customHeight="false" outlineLevel="0" collapsed="false">
      <c r="A134" s="0" t="str">
        <f aca="false">IF(INDEX(BookTitle,129)="","",INDEX(BookKey,129))</f>
        <v/>
      </c>
      <c r="B134" s="0" t="str">
        <f aca="false">IF(INDEX(BookTitle,129)="","",INDEX(BookGroup,129))</f>
        <v/>
      </c>
      <c r="C134" s="0" t="str">
        <f aca="false">IF(INDEX(BookTitle,129)="","",INDEX(BookCategory,129))</f>
        <v/>
      </c>
      <c r="D134" s="56" t="str">
        <f aca="false">IF(INDEX(BookTitle,129)="","",INDEX(BookTotal,129)*'5. Scenarios'!$B$6/(1+ProductivityDefault*('5. Scenarios'!$B$11-1)))</f>
        <v/>
      </c>
      <c r="E134" s="57" t="str">
        <f aca="false">IF($D134="","",INDEX(BookRate,129)*(1+'5. Scenarios'!$B$10)*$D134)</f>
        <v/>
      </c>
      <c r="F134" s="57" t="str">
        <f aca="false">IF($E134="","",SUMIFS($E$6:$E$2405,$A$6:$A$2405,"&lt;="&amp;$A134))</f>
        <v/>
      </c>
      <c r="G134" s="57" t="str">
        <f aca="false">IF($E134="","",IF($F134&lt;=BankCostEnvelope*'5. Scenarios'!$B$7,1,0))</f>
        <v/>
      </c>
      <c r="H134" s="57" t="str">
        <f aca="false">IF($D134="","",INDEX(BookRate,129)*(1+'5. Scenarios'!$B$10)*(INDEX(BookQ1,129)*(5-MIN(4,1+'5. Scenarios'!$B$8))/4+INDEX(BookQ2,129)*(5-MIN(4,2+'5. Scenarios'!$B$8))/4+INDEX(BookQ3,129)*(5-MIN(4,3+'5. Scenarios'!$B$8))/4+INDEX(BookQ4,129)*(5-MIN(4,4+'5. Scenarios'!$B$8))/4)*'5. Scenarios'!$B$6/(1+ProductivityDefault*('5. Scenarios'!$B$11-1))+INDEX(BookOneOff,129)*$D134)</f>
        <v/>
      </c>
      <c r="I134" s="56" t="str">
        <f aca="false">IF(INDEX(BookTitle,129)="","",INDEX(BookTotal,129)*'5. Scenarios'!$C$6/(1+ProductivityDefault*('5. Scenarios'!$C$11-1)))</f>
        <v/>
      </c>
      <c r="J134" s="57" t="str">
        <f aca="false">IF($I134="","",INDEX(BookRate,129)*(1+'5. Scenarios'!$C$10)*$I134)</f>
        <v/>
      </c>
      <c r="K134" s="57" t="str">
        <f aca="false">IF($J134="","",SUMIFS($J$6:$J$2405,$A$6:$A$2405,"&lt;="&amp;$A134))</f>
        <v/>
      </c>
      <c r="L134" s="57" t="str">
        <f aca="false">IF($J134="","",IF($K134&lt;=BankCostEnvelope*'5. Scenarios'!$C$7,1,0))</f>
        <v/>
      </c>
      <c r="M134" s="57" t="str">
        <f aca="false">IF($I134="","",INDEX(BookRate,129)*(1+'5. Scenarios'!$C$10)*(INDEX(BookQ1,129)*(5-MIN(4,1+'5. Scenarios'!$C$8))/4+INDEX(BookQ2,129)*(5-MIN(4,2+'5. Scenarios'!$C$8))/4+INDEX(BookQ3,129)*(5-MIN(4,3+'5. Scenarios'!$C$8))/4+INDEX(BookQ4,129)*(5-MIN(4,4+'5. Scenarios'!$C$8))/4)*'5. Scenarios'!$C$6/(1+ProductivityDefault*('5. Scenarios'!$C$11-1))+INDEX(BookOneOff,129)*$I134)</f>
        <v/>
      </c>
      <c r="N134" s="56" t="str">
        <f aca="false">IF(INDEX(BookTitle,129)="","",INDEX(BookTotal,129)*'5. Scenarios'!$D$6/(1+ProductivityDefault*('5. Scenarios'!$D$11-1)))</f>
        <v/>
      </c>
      <c r="O134" s="57" t="str">
        <f aca="false">IF($N134="","",INDEX(BookRate,129)*(1+'5. Scenarios'!$D$10)*$N134)</f>
        <v/>
      </c>
      <c r="P134" s="57" t="str">
        <f aca="false">IF($O134="","",SUMIFS($O$6:$O$2405,$A$6:$A$2405,"&lt;="&amp;$A134))</f>
        <v/>
      </c>
      <c r="Q134" s="57" t="str">
        <f aca="false">IF($O134="","",IF($P134&lt;=BankCostEnvelope*'5. Scenarios'!$D$7,1,0))</f>
        <v/>
      </c>
      <c r="R134" s="57" t="str">
        <f aca="false">IF($N134="","",INDEX(BookRate,129)*(1+'5. Scenarios'!$D$10)*(INDEX(BookQ1,129)*(5-MIN(4,1+'5. Scenarios'!$D$8))/4+INDEX(BookQ2,129)*(5-MIN(4,2+'5. Scenarios'!$D$8))/4+INDEX(BookQ3,129)*(5-MIN(4,3+'5. Scenarios'!$D$8))/4+INDEX(BookQ4,129)*(5-MIN(4,4+'5. Scenarios'!$D$8))/4)*'5. Scenarios'!$D$6/(1+ProductivityDefault*('5. Scenarios'!$D$11-1))+INDEX(BookOneOff,129)*$N134)</f>
        <v/>
      </c>
      <c r="S134" s="56" t="str">
        <f aca="false">IF(INDEX(BookTitle,129)="","",INDEX(BookTotal,129)*'5. Scenarios'!$E$6/(1+ProductivityDefault*('5. Scenarios'!$E$11-1)))</f>
        <v/>
      </c>
      <c r="T134" s="57" t="str">
        <f aca="false">IF($S134="","",INDEX(BookRate,129)*(1+'5. Scenarios'!$E$10)*$S134)</f>
        <v/>
      </c>
      <c r="U134" s="57" t="str">
        <f aca="false">IF($T134="","",SUMIFS($T$6:$T$2405,$A$6:$A$2405,"&lt;="&amp;$A134))</f>
        <v/>
      </c>
      <c r="V134" s="57" t="str">
        <f aca="false">IF($T134="","",IF($U134&lt;=BankCostEnvelope*'5. Scenarios'!$E$7,1,0))</f>
        <v/>
      </c>
      <c r="W134" s="57" t="str">
        <f aca="false">IF($S134="","",INDEX(BookRate,129)*(1+'5. Scenarios'!$E$10)*(INDEX(BookQ1,129)*(5-MIN(4,1+'5. Scenarios'!$E$8))/4+INDEX(BookQ2,129)*(5-MIN(4,2+'5. Scenarios'!$E$8))/4+INDEX(BookQ3,129)*(5-MIN(4,3+'5. Scenarios'!$E$8))/4+INDEX(BookQ4,129)*(5-MIN(4,4+'5. Scenarios'!$E$8))/4)*'5. Scenarios'!$E$6/(1+ProductivityDefault*('5. Scenarios'!$E$11-1))+INDEX(BookOneOff,129)*$S134)</f>
        <v/>
      </c>
    </row>
    <row r="135" customFormat="false" ht="15" hidden="false" customHeight="false" outlineLevel="0" collapsed="false">
      <c r="A135" s="0" t="str">
        <f aca="false">IF(INDEX(BookTitle,130)="","",INDEX(BookKey,130))</f>
        <v/>
      </c>
      <c r="B135" s="0" t="str">
        <f aca="false">IF(INDEX(BookTitle,130)="","",INDEX(BookGroup,130))</f>
        <v/>
      </c>
      <c r="C135" s="0" t="str">
        <f aca="false">IF(INDEX(BookTitle,130)="","",INDEX(BookCategory,130))</f>
        <v/>
      </c>
      <c r="D135" s="56" t="str">
        <f aca="false">IF(INDEX(BookTitle,130)="","",INDEX(BookTotal,130)*'5. Scenarios'!$B$6/(1+ProductivityDefault*('5. Scenarios'!$B$11-1)))</f>
        <v/>
      </c>
      <c r="E135" s="57" t="str">
        <f aca="false">IF($D135="","",INDEX(BookRate,130)*(1+'5. Scenarios'!$B$10)*$D135)</f>
        <v/>
      </c>
      <c r="F135" s="57" t="str">
        <f aca="false">IF($E135="","",SUMIFS($E$6:$E$2405,$A$6:$A$2405,"&lt;="&amp;$A135))</f>
        <v/>
      </c>
      <c r="G135" s="57" t="str">
        <f aca="false">IF($E135="","",IF($F135&lt;=BankCostEnvelope*'5. Scenarios'!$B$7,1,0))</f>
        <v/>
      </c>
      <c r="H135" s="57" t="str">
        <f aca="false">IF($D135="","",INDEX(BookRate,130)*(1+'5. Scenarios'!$B$10)*(INDEX(BookQ1,130)*(5-MIN(4,1+'5. Scenarios'!$B$8))/4+INDEX(BookQ2,130)*(5-MIN(4,2+'5. Scenarios'!$B$8))/4+INDEX(BookQ3,130)*(5-MIN(4,3+'5. Scenarios'!$B$8))/4+INDEX(BookQ4,130)*(5-MIN(4,4+'5. Scenarios'!$B$8))/4)*'5. Scenarios'!$B$6/(1+ProductivityDefault*('5. Scenarios'!$B$11-1))+INDEX(BookOneOff,130)*$D135)</f>
        <v/>
      </c>
      <c r="I135" s="56" t="str">
        <f aca="false">IF(INDEX(BookTitle,130)="","",INDEX(BookTotal,130)*'5. Scenarios'!$C$6/(1+ProductivityDefault*('5. Scenarios'!$C$11-1)))</f>
        <v/>
      </c>
      <c r="J135" s="57" t="str">
        <f aca="false">IF($I135="","",INDEX(BookRate,130)*(1+'5. Scenarios'!$C$10)*$I135)</f>
        <v/>
      </c>
      <c r="K135" s="57" t="str">
        <f aca="false">IF($J135="","",SUMIFS($J$6:$J$2405,$A$6:$A$2405,"&lt;="&amp;$A135))</f>
        <v/>
      </c>
      <c r="L135" s="57" t="str">
        <f aca="false">IF($J135="","",IF($K135&lt;=BankCostEnvelope*'5. Scenarios'!$C$7,1,0))</f>
        <v/>
      </c>
      <c r="M135" s="57" t="str">
        <f aca="false">IF($I135="","",INDEX(BookRate,130)*(1+'5. Scenarios'!$C$10)*(INDEX(BookQ1,130)*(5-MIN(4,1+'5. Scenarios'!$C$8))/4+INDEX(BookQ2,130)*(5-MIN(4,2+'5. Scenarios'!$C$8))/4+INDEX(BookQ3,130)*(5-MIN(4,3+'5. Scenarios'!$C$8))/4+INDEX(BookQ4,130)*(5-MIN(4,4+'5. Scenarios'!$C$8))/4)*'5. Scenarios'!$C$6/(1+ProductivityDefault*('5. Scenarios'!$C$11-1))+INDEX(BookOneOff,130)*$I135)</f>
        <v/>
      </c>
      <c r="N135" s="56" t="str">
        <f aca="false">IF(INDEX(BookTitle,130)="","",INDEX(BookTotal,130)*'5. Scenarios'!$D$6/(1+ProductivityDefault*('5. Scenarios'!$D$11-1)))</f>
        <v/>
      </c>
      <c r="O135" s="57" t="str">
        <f aca="false">IF($N135="","",INDEX(BookRate,130)*(1+'5. Scenarios'!$D$10)*$N135)</f>
        <v/>
      </c>
      <c r="P135" s="57" t="str">
        <f aca="false">IF($O135="","",SUMIFS($O$6:$O$2405,$A$6:$A$2405,"&lt;="&amp;$A135))</f>
        <v/>
      </c>
      <c r="Q135" s="57" t="str">
        <f aca="false">IF($O135="","",IF($P135&lt;=BankCostEnvelope*'5. Scenarios'!$D$7,1,0))</f>
        <v/>
      </c>
      <c r="R135" s="57" t="str">
        <f aca="false">IF($N135="","",INDEX(BookRate,130)*(1+'5. Scenarios'!$D$10)*(INDEX(BookQ1,130)*(5-MIN(4,1+'5. Scenarios'!$D$8))/4+INDEX(BookQ2,130)*(5-MIN(4,2+'5. Scenarios'!$D$8))/4+INDEX(BookQ3,130)*(5-MIN(4,3+'5. Scenarios'!$D$8))/4+INDEX(BookQ4,130)*(5-MIN(4,4+'5. Scenarios'!$D$8))/4)*'5. Scenarios'!$D$6/(1+ProductivityDefault*('5. Scenarios'!$D$11-1))+INDEX(BookOneOff,130)*$N135)</f>
        <v/>
      </c>
      <c r="S135" s="56" t="str">
        <f aca="false">IF(INDEX(BookTitle,130)="","",INDEX(BookTotal,130)*'5. Scenarios'!$E$6/(1+ProductivityDefault*('5. Scenarios'!$E$11-1)))</f>
        <v/>
      </c>
      <c r="T135" s="57" t="str">
        <f aca="false">IF($S135="","",INDEX(BookRate,130)*(1+'5. Scenarios'!$E$10)*$S135)</f>
        <v/>
      </c>
      <c r="U135" s="57" t="str">
        <f aca="false">IF($T135="","",SUMIFS($T$6:$T$2405,$A$6:$A$2405,"&lt;="&amp;$A135))</f>
        <v/>
      </c>
      <c r="V135" s="57" t="str">
        <f aca="false">IF($T135="","",IF($U135&lt;=BankCostEnvelope*'5. Scenarios'!$E$7,1,0))</f>
        <v/>
      </c>
      <c r="W135" s="57" t="str">
        <f aca="false">IF($S135="","",INDEX(BookRate,130)*(1+'5. Scenarios'!$E$10)*(INDEX(BookQ1,130)*(5-MIN(4,1+'5. Scenarios'!$E$8))/4+INDEX(BookQ2,130)*(5-MIN(4,2+'5. Scenarios'!$E$8))/4+INDEX(BookQ3,130)*(5-MIN(4,3+'5. Scenarios'!$E$8))/4+INDEX(BookQ4,130)*(5-MIN(4,4+'5. Scenarios'!$E$8))/4)*'5. Scenarios'!$E$6/(1+ProductivityDefault*('5. Scenarios'!$E$11-1))+INDEX(BookOneOff,130)*$S135)</f>
        <v/>
      </c>
    </row>
    <row r="136" customFormat="false" ht="15" hidden="false" customHeight="false" outlineLevel="0" collapsed="false">
      <c r="A136" s="0" t="str">
        <f aca="false">IF(INDEX(BookTitle,131)="","",INDEX(BookKey,131))</f>
        <v/>
      </c>
      <c r="B136" s="0" t="str">
        <f aca="false">IF(INDEX(BookTitle,131)="","",INDEX(BookGroup,131))</f>
        <v/>
      </c>
      <c r="C136" s="0" t="str">
        <f aca="false">IF(INDEX(BookTitle,131)="","",INDEX(BookCategory,131))</f>
        <v/>
      </c>
      <c r="D136" s="56" t="str">
        <f aca="false">IF(INDEX(BookTitle,131)="","",INDEX(BookTotal,131)*'5. Scenarios'!$B$6/(1+ProductivityDefault*('5. Scenarios'!$B$11-1)))</f>
        <v/>
      </c>
      <c r="E136" s="57" t="str">
        <f aca="false">IF($D136="","",INDEX(BookRate,131)*(1+'5. Scenarios'!$B$10)*$D136)</f>
        <v/>
      </c>
      <c r="F136" s="57" t="str">
        <f aca="false">IF($E136="","",SUMIFS($E$6:$E$2405,$A$6:$A$2405,"&lt;="&amp;$A136))</f>
        <v/>
      </c>
      <c r="G136" s="57" t="str">
        <f aca="false">IF($E136="","",IF($F136&lt;=BankCostEnvelope*'5. Scenarios'!$B$7,1,0))</f>
        <v/>
      </c>
      <c r="H136" s="57" t="str">
        <f aca="false">IF($D136="","",INDEX(BookRate,131)*(1+'5. Scenarios'!$B$10)*(INDEX(BookQ1,131)*(5-MIN(4,1+'5. Scenarios'!$B$8))/4+INDEX(BookQ2,131)*(5-MIN(4,2+'5. Scenarios'!$B$8))/4+INDEX(BookQ3,131)*(5-MIN(4,3+'5. Scenarios'!$B$8))/4+INDEX(BookQ4,131)*(5-MIN(4,4+'5. Scenarios'!$B$8))/4)*'5. Scenarios'!$B$6/(1+ProductivityDefault*('5. Scenarios'!$B$11-1))+INDEX(BookOneOff,131)*$D136)</f>
        <v/>
      </c>
      <c r="I136" s="56" t="str">
        <f aca="false">IF(INDEX(BookTitle,131)="","",INDEX(BookTotal,131)*'5. Scenarios'!$C$6/(1+ProductivityDefault*('5. Scenarios'!$C$11-1)))</f>
        <v/>
      </c>
      <c r="J136" s="57" t="str">
        <f aca="false">IF($I136="","",INDEX(BookRate,131)*(1+'5. Scenarios'!$C$10)*$I136)</f>
        <v/>
      </c>
      <c r="K136" s="57" t="str">
        <f aca="false">IF($J136="","",SUMIFS($J$6:$J$2405,$A$6:$A$2405,"&lt;="&amp;$A136))</f>
        <v/>
      </c>
      <c r="L136" s="57" t="str">
        <f aca="false">IF($J136="","",IF($K136&lt;=BankCostEnvelope*'5. Scenarios'!$C$7,1,0))</f>
        <v/>
      </c>
      <c r="M136" s="57" t="str">
        <f aca="false">IF($I136="","",INDEX(BookRate,131)*(1+'5. Scenarios'!$C$10)*(INDEX(BookQ1,131)*(5-MIN(4,1+'5. Scenarios'!$C$8))/4+INDEX(BookQ2,131)*(5-MIN(4,2+'5. Scenarios'!$C$8))/4+INDEX(BookQ3,131)*(5-MIN(4,3+'5. Scenarios'!$C$8))/4+INDEX(BookQ4,131)*(5-MIN(4,4+'5. Scenarios'!$C$8))/4)*'5. Scenarios'!$C$6/(1+ProductivityDefault*('5. Scenarios'!$C$11-1))+INDEX(BookOneOff,131)*$I136)</f>
        <v/>
      </c>
      <c r="N136" s="56" t="str">
        <f aca="false">IF(INDEX(BookTitle,131)="","",INDEX(BookTotal,131)*'5. Scenarios'!$D$6/(1+ProductivityDefault*('5. Scenarios'!$D$11-1)))</f>
        <v/>
      </c>
      <c r="O136" s="57" t="str">
        <f aca="false">IF($N136="","",INDEX(BookRate,131)*(1+'5. Scenarios'!$D$10)*$N136)</f>
        <v/>
      </c>
      <c r="P136" s="57" t="str">
        <f aca="false">IF($O136="","",SUMIFS($O$6:$O$2405,$A$6:$A$2405,"&lt;="&amp;$A136))</f>
        <v/>
      </c>
      <c r="Q136" s="57" t="str">
        <f aca="false">IF($O136="","",IF($P136&lt;=BankCostEnvelope*'5. Scenarios'!$D$7,1,0))</f>
        <v/>
      </c>
      <c r="R136" s="57" t="str">
        <f aca="false">IF($N136="","",INDEX(BookRate,131)*(1+'5. Scenarios'!$D$10)*(INDEX(BookQ1,131)*(5-MIN(4,1+'5. Scenarios'!$D$8))/4+INDEX(BookQ2,131)*(5-MIN(4,2+'5. Scenarios'!$D$8))/4+INDEX(BookQ3,131)*(5-MIN(4,3+'5. Scenarios'!$D$8))/4+INDEX(BookQ4,131)*(5-MIN(4,4+'5. Scenarios'!$D$8))/4)*'5. Scenarios'!$D$6/(1+ProductivityDefault*('5. Scenarios'!$D$11-1))+INDEX(BookOneOff,131)*$N136)</f>
        <v/>
      </c>
      <c r="S136" s="56" t="str">
        <f aca="false">IF(INDEX(BookTitle,131)="","",INDEX(BookTotal,131)*'5. Scenarios'!$E$6/(1+ProductivityDefault*('5. Scenarios'!$E$11-1)))</f>
        <v/>
      </c>
      <c r="T136" s="57" t="str">
        <f aca="false">IF($S136="","",INDEX(BookRate,131)*(1+'5. Scenarios'!$E$10)*$S136)</f>
        <v/>
      </c>
      <c r="U136" s="57" t="str">
        <f aca="false">IF($T136="","",SUMIFS($T$6:$T$2405,$A$6:$A$2405,"&lt;="&amp;$A136))</f>
        <v/>
      </c>
      <c r="V136" s="57" t="str">
        <f aca="false">IF($T136="","",IF($U136&lt;=BankCostEnvelope*'5. Scenarios'!$E$7,1,0))</f>
        <v/>
      </c>
      <c r="W136" s="57" t="str">
        <f aca="false">IF($S136="","",INDEX(BookRate,131)*(1+'5. Scenarios'!$E$10)*(INDEX(BookQ1,131)*(5-MIN(4,1+'5. Scenarios'!$E$8))/4+INDEX(BookQ2,131)*(5-MIN(4,2+'5. Scenarios'!$E$8))/4+INDEX(BookQ3,131)*(5-MIN(4,3+'5. Scenarios'!$E$8))/4+INDEX(BookQ4,131)*(5-MIN(4,4+'5. Scenarios'!$E$8))/4)*'5. Scenarios'!$E$6/(1+ProductivityDefault*('5. Scenarios'!$E$11-1))+INDEX(BookOneOff,131)*$S136)</f>
        <v/>
      </c>
    </row>
    <row r="137" customFormat="false" ht="15" hidden="false" customHeight="false" outlineLevel="0" collapsed="false">
      <c r="A137" s="0" t="str">
        <f aca="false">IF(INDEX(BookTitle,132)="","",INDEX(BookKey,132))</f>
        <v/>
      </c>
      <c r="B137" s="0" t="str">
        <f aca="false">IF(INDEX(BookTitle,132)="","",INDEX(BookGroup,132))</f>
        <v/>
      </c>
      <c r="C137" s="0" t="str">
        <f aca="false">IF(INDEX(BookTitle,132)="","",INDEX(BookCategory,132))</f>
        <v/>
      </c>
      <c r="D137" s="56" t="str">
        <f aca="false">IF(INDEX(BookTitle,132)="","",INDEX(BookTotal,132)*'5. Scenarios'!$B$6/(1+ProductivityDefault*('5. Scenarios'!$B$11-1)))</f>
        <v/>
      </c>
      <c r="E137" s="57" t="str">
        <f aca="false">IF($D137="","",INDEX(BookRate,132)*(1+'5. Scenarios'!$B$10)*$D137)</f>
        <v/>
      </c>
      <c r="F137" s="57" t="str">
        <f aca="false">IF($E137="","",SUMIFS($E$6:$E$2405,$A$6:$A$2405,"&lt;="&amp;$A137))</f>
        <v/>
      </c>
      <c r="G137" s="57" t="str">
        <f aca="false">IF($E137="","",IF($F137&lt;=BankCostEnvelope*'5. Scenarios'!$B$7,1,0))</f>
        <v/>
      </c>
      <c r="H137" s="57" t="str">
        <f aca="false">IF($D137="","",INDEX(BookRate,132)*(1+'5. Scenarios'!$B$10)*(INDEX(BookQ1,132)*(5-MIN(4,1+'5. Scenarios'!$B$8))/4+INDEX(BookQ2,132)*(5-MIN(4,2+'5. Scenarios'!$B$8))/4+INDEX(BookQ3,132)*(5-MIN(4,3+'5. Scenarios'!$B$8))/4+INDEX(BookQ4,132)*(5-MIN(4,4+'5. Scenarios'!$B$8))/4)*'5. Scenarios'!$B$6/(1+ProductivityDefault*('5. Scenarios'!$B$11-1))+INDEX(BookOneOff,132)*$D137)</f>
        <v/>
      </c>
      <c r="I137" s="56" t="str">
        <f aca="false">IF(INDEX(BookTitle,132)="","",INDEX(BookTotal,132)*'5. Scenarios'!$C$6/(1+ProductivityDefault*('5. Scenarios'!$C$11-1)))</f>
        <v/>
      </c>
      <c r="J137" s="57" t="str">
        <f aca="false">IF($I137="","",INDEX(BookRate,132)*(1+'5. Scenarios'!$C$10)*$I137)</f>
        <v/>
      </c>
      <c r="K137" s="57" t="str">
        <f aca="false">IF($J137="","",SUMIFS($J$6:$J$2405,$A$6:$A$2405,"&lt;="&amp;$A137))</f>
        <v/>
      </c>
      <c r="L137" s="57" t="str">
        <f aca="false">IF($J137="","",IF($K137&lt;=BankCostEnvelope*'5. Scenarios'!$C$7,1,0))</f>
        <v/>
      </c>
      <c r="M137" s="57" t="str">
        <f aca="false">IF($I137="","",INDEX(BookRate,132)*(1+'5. Scenarios'!$C$10)*(INDEX(BookQ1,132)*(5-MIN(4,1+'5. Scenarios'!$C$8))/4+INDEX(BookQ2,132)*(5-MIN(4,2+'5. Scenarios'!$C$8))/4+INDEX(BookQ3,132)*(5-MIN(4,3+'5. Scenarios'!$C$8))/4+INDEX(BookQ4,132)*(5-MIN(4,4+'5. Scenarios'!$C$8))/4)*'5. Scenarios'!$C$6/(1+ProductivityDefault*('5. Scenarios'!$C$11-1))+INDEX(BookOneOff,132)*$I137)</f>
        <v/>
      </c>
      <c r="N137" s="56" t="str">
        <f aca="false">IF(INDEX(BookTitle,132)="","",INDEX(BookTotal,132)*'5. Scenarios'!$D$6/(1+ProductivityDefault*('5. Scenarios'!$D$11-1)))</f>
        <v/>
      </c>
      <c r="O137" s="57" t="str">
        <f aca="false">IF($N137="","",INDEX(BookRate,132)*(1+'5. Scenarios'!$D$10)*$N137)</f>
        <v/>
      </c>
      <c r="P137" s="57" t="str">
        <f aca="false">IF($O137="","",SUMIFS($O$6:$O$2405,$A$6:$A$2405,"&lt;="&amp;$A137))</f>
        <v/>
      </c>
      <c r="Q137" s="57" t="str">
        <f aca="false">IF($O137="","",IF($P137&lt;=BankCostEnvelope*'5. Scenarios'!$D$7,1,0))</f>
        <v/>
      </c>
      <c r="R137" s="57" t="str">
        <f aca="false">IF($N137="","",INDEX(BookRate,132)*(1+'5. Scenarios'!$D$10)*(INDEX(BookQ1,132)*(5-MIN(4,1+'5. Scenarios'!$D$8))/4+INDEX(BookQ2,132)*(5-MIN(4,2+'5. Scenarios'!$D$8))/4+INDEX(BookQ3,132)*(5-MIN(4,3+'5. Scenarios'!$D$8))/4+INDEX(BookQ4,132)*(5-MIN(4,4+'5. Scenarios'!$D$8))/4)*'5. Scenarios'!$D$6/(1+ProductivityDefault*('5. Scenarios'!$D$11-1))+INDEX(BookOneOff,132)*$N137)</f>
        <v/>
      </c>
      <c r="S137" s="56" t="str">
        <f aca="false">IF(INDEX(BookTitle,132)="","",INDEX(BookTotal,132)*'5. Scenarios'!$E$6/(1+ProductivityDefault*('5. Scenarios'!$E$11-1)))</f>
        <v/>
      </c>
      <c r="T137" s="57" t="str">
        <f aca="false">IF($S137="","",INDEX(BookRate,132)*(1+'5. Scenarios'!$E$10)*$S137)</f>
        <v/>
      </c>
      <c r="U137" s="57" t="str">
        <f aca="false">IF($T137="","",SUMIFS($T$6:$T$2405,$A$6:$A$2405,"&lt;="&amp;$A137))</f>
        <v/>
      </c>
      <c r="V137" s="57" t="str">
        <f aca="false">IF($T137="","",IF($U137&lt;=BankCostEnvelope*'5. Scenarios'!$E$7,1,0))</f>
        <v/>
      </c>
      <c r="W137" s="57" t="str">
        <f aca="false">IF($S137="","",INDEX(BookRate,132)*(1+'5. Scenarios'!$E$10)*(INDEX(BookQ1,132)*(5-MIN(4,1+'5. Scenarios'!$E$8))/4+INDEX(BookQ2,132)*(5-MIN(4,2+'5. Scenarios'!$E$8))/4+INDEX(BookQ3,132)*(5-MIN(4,3+'5. Scenarios'!$E$8))/4+INDEX(BookQ4,132)*(5-MIN(4,4+'5. Scenarios'!$E$8))/4)*'5. Scenarios'!$E$6/(1+ProductivityDefault*('5. Scenarios'!$E$11-1))+INDEX(BookOneOff,132)*$S137)</f>
        <v/>
      </c>
    </row>
    <row r="138" customFormat="false" ht="15" hidden="false" customHeight="false" outlineLevel="0" collapsed="false">
      <c r="A138" s="0" t="str">
        <f aca="false">IF(INDEX(BookTitle,133)="","",INDEX(BookKey,133))</f>
        <v/>
      </c>
      <c r="B138" s="0" t="str">
        <f aca="false">IF(INDEX(BookTitle,133)="","",INDEX(BookGroup,133))</f>
        <v/>
      </c>
      <c r="C138" s="0" t="str">
        <f aca="false">IF(INDEX(BookTitle,133)="","",INDEX(BookCategory,133))</f>
        <v/>
      </c>
      <c r="D138" s="56" t="str">
        <f aca="false">IF(INDEX(BookTitle,133)="","",INDEX(BookTotal,133)*'5. Scenarios'!$B$6/(1+ProductivityDefault*('5. Scenarios'!$B$11-1)))</f>
        <v/>
      </c>
      <c r="E138" s="57" t="str">
        <f aca="false">IF($D138="","",INDEX(BookRate,133)*(1+'5. Scenarios'!$B$10)*$D138)</f>
        <v/>
      </c>
      <c r="F138" s="57" t="str">
        <f aca="false">IF($E138="","",SUMIFS($E$6:$E$2405,$A$6:$A$2405,"&lt;="&amp;$A138))</f>
        <v/>
      </c>
      <c r="G138" s="57" t="str">
        <f aca="false">IF($E138="","",IF($F138&lt;=BankCostEnvelope*'5. Scenarios'!$B$7,1,0))</f>
        <v/>
      </c>
      <c r="H138" s="57" t="str">
        <f aca="false">IF($D138="","",INDEX(BookRate,133)*(1+'5. Scenarios'!$B$10)*(INDEX(BookQ1,133)*(5-MIN(4,1+'5. Scenarios'!$B$8))/4+INDEX(BookQ2,133)*(5-MIN(4,2+'5. Scenarios'!$B$8))/4+INDEX(BookQ3,133)*(5-MIN(4,3+'5. Scenarios'!$B$8))/4+INDEX(BookQ4,133)*(5-MIN(4,4+'5. Scenarios'!$B$8))/4)*'5. Scenarios'!$B$6/(1+ProductivityDefault*('5. Scenarios'!$B$11-1))+INDEX(BookOneOff,133)*$D138)</f>
        <v/>
      </c>
      <c r="I138" s="56" t="str">
        <f aca="false">IF(INDEX(BookTitle,133)="","",INDEX(BookTotal,133)*'5. Scenarios'!$C$6/(1+ProductivityDefault*('5. Scenarios'!$C$11-1)))</f>
        <v/>
      </c>
      <c r="J138" s="57" t="str">
        <f aca="false">IF($I138="","",INDEX(BookRate,133)*(1+'5. Scenarios'!$C$10)*$I138)</f>
        <v/>
      </c>
      <c r="K138" s="57" t="str">
        <f aca="false">IF($J138="","",SUMIFS($J$6:$J$2405,$A$6:$A$2405,"&lt;="&amp;$A138))</f>
        <v/>
      </c>
      <c r="L138" s="57" t="str">
        <f aca="false">IF($J138="","",IF($K138&lt;=BankCostEnvelope*'5. Scenarios'!$C$7,1,0))</f>
        <v/>
      </c>
      <c r="M138" s="57" t="str">
        <f aca="false">IF($I138="","",INDEX(BookRate,133)*(1+'5. Scenarios'!$C$10)*(INDEX(BookQ1,133)*(5-MIN(4,1+'5. Scenarios'!$C$8))/4+INDEX(BookQ2,133)*(5-MIN(4,2+'5. Scenarios'!$C$8))/4+INDEX(BookQ3,133)*(5-MIN(4,3+'5. Scenarios'!$C$8))/4+INDEX(BookQ4,133)*(5-MIN(4,4+'5. Scenarios'!$C$8))/4)*'5. Scenarios'!$C$6/(1+ProductivityDefault*('5. Scenarios'!$C$11-1))+INDEX(BookOneOff,133)*$I138)</f>
        <v/>
      </c>
      <c r="N138" s="56" t="str">
        <f aca="false">IF(INDEX(BookTitle,133)="","",INDEX(BookTotal,133)*'5. Scenarios'!$D$6/(1+ProductivityDefault*('5. Scenarios'!$D$11-1)))</f>
        <v/>
      </c>
      <c r="O138" s="57" t="str">
        <f aca="false">IF($N138="","",INDEX(BookRate,133)*(1+'5. Scenarios'!$D$10)*$N138)</f>
        <v/>
      </c>
      <c r="P138" s="57" t="str">
        <f aca="false">IF($O138="","",SUMIFS($O$6:$O$2405,$A$6:$A$2405,"&lt;="&amp;$A138))</f>
        <v/>
      </c>
      <c r="Q138" s="57" t="str">
        <f aca="false">IF($O138="","",IF($P138&lt;=BankCostEnvelope*'5. Scenarios'!$D$7,1,0))</f>
        <v/>
      </c>
      <c r="R138" s="57" t="str">
        <f aca="false">IF($N138="","",INDEX(BookRate,133)*(1+'5. Scenarios'!$D$10)*(INDEX(BookQ1,133)*(5-MIN(4,1+'5. Scenarios'!$D$8))/4+INDEX(BookQ2,133)*(5-MIN(4,2+'5. Scenarios'!$D$8))/4+INDEX(BookQ3,133)*(5-MIN(4,3+'5. Scenarios'!$D$8))/4+INDEX(BookQ4,133)*(5-MIN(4,4+'5. Scenarios'!$D$8))/4)*'5. Scenarios'!$D$6/(1+ProductivityDefault*('5. Scenarios'!$D$11-1))+INDEX(BookOneOff,133)*$N138)</f>
        <v/>
      </c>
      <c r="S138" s="56" t="str">
        <f aca="false">IF(INDEX(BookTitle,133)="","",INDEX(BookTotal,133)*'5. Scenarios'!$E$6/(1+ProductivityDefault*('5. Scenarios'!$E$11-1)))</f>
        <v/>
      </c>
      <c r="T138" s="57" t="str">
        <f aca="false">IF($S138="","",INDEX(BookRate,133)*(1+'5. Scenarios'!$E$10)*$S138)</f>
        <v/>
      </c>
      <c r="U138" s="57" t="str">
        <f aca="false">IF($T138="","",SUMIFS($T$6:$T$2405,$A$6:$A$2405,"&lt;="&amp;$A138))</f>
        <v/>
      </c>
      <c r="V138" s="57" t="str">
        <f aca="false">IF($T138="","",IF($U138&lt;=BankCostEnvelope*'5. Scenarios'!$E$7,1,0))</f>
        <v/>
      </c>
      <c r="W138" s="57" t="str">
        <f aca="false">IF($S138="","",INDEX(BookRate,133)*(1+'5. Scenarios'!$E$10)*(INDEX(BookQ1,133)*(5-MIN(4,1+'5. Scenarios'!$E$8))/4+INDEX(BookQ2,133)*(5-MIN(4,2+'5. Scenarios'!$E$8))/4+INDEX(BookQ3,133)*(5-MIN(4,3+'5. Scenarios'!$E$8))/4+INDEX(BookQ4,133)*(5-MIN(4,4+'5. Scenarios'!$E$8))/4)*'5. Scenarios'!$E$6/(1+ProductivityDefault*('5. Scenarios'!$E$11-1))+INDEX(BookOneOff,133)*$S138)</f>
        <v/>
      </c>
    </row>
    <row r="139" customFormat="false" ht="15" hidden="false" customHeight="false" outlineLevel="0" collapsed="false">
      <c r="A139" s="0" t="str">
        <f aca="false">IF(INDEX(BookTitle,134)="","",INDEX(BookKey,134))</f>
        <v/>
      </c>
      <c r="B139" s="0" t="str">
        <f aca="false">IF(INDEX(BookTitle,134)="","",INDEX(BookGroup,134))</f>
        <v/>
      </c>
      <c r="C139" s="0" t="str">
        <f aca="false">IF(INDEX(BookTitle,134)="","",INDEX(BookCategory,134))</f>
        <v/>
      </c>
      <c r="D139" s="56" t="str">
        <f aca="false">IF(INDEX(BookTitle,134)="","",INDEX(BookTotal,134)*'5. Scenarios'!$B$6/(1+ProductivityDefault*('5. Scenarios'!$B$11-1)))</f>
        <v/>
      </c>
      <c r="E139" s="57" t="str">
        <f aca="false">IF($D139="","",INDEX(BookRate,134)*(1+'5. Scenarios'!$B$10)*$D139)</f>
        <v/>
      </c>
      <c r="F139" s="57" t="str">
        <f aca="false">IF($E139="","",SUMIFS($E$6:$E$2405,$A$6:$A$2405,"&lt;="&amp;$A139))</f>
        <v/>
      </c>
      <c r="G139" s="57" t="str">
        <f aca="false">IF($E139="","",IF($F139&lt;=BankCostEnvelope*'5. Scenarios'!$B$7,1,0))</f>
        <v/>
      </c>
      <c r="H139" s="57" t="str">
        <f aca="false">IF($D139="","",INDEX(BookRate,134)*(1+'5. Scenarios'!$B$10)*(INDEX(BookQ1,134)*(5-MIN(4,1+'5. Scenarios'!$B$8))/4+INDEX(BookQ2,134)*(5-MIN(4,2+'5. Scenarios'!$B$8))/4+INDEX(BookQ3,134)*(5-MIN(4,3+'5. Scenarios'!$B$8))/4+INDEX(BookQ4,134)*(5-MIN(4,4+'5. Scenarios'!$B$8))/4)*'5. Scenarios'!$B$6/(1+ProductivityDefault*('5. Scenarios'!$B$11-1))+INDEX(BookOneOff,134)*$D139)</f>
        <v/>
      </c>
      <c r="I139" s="56" t="str">
        <f aca="false">IF(INDEX(BookTitle,134)="","",INDEX(BookTotal,134)*'5. Scenarios'!$C$6/(1+ProductivityDefault*('5. Scenarios'!$C$11-1)))</f>
        <v/>
      </c>
      <c r="J139" s="57" t="str">
        <f aca="false">IF($I139="","",INDEX(BookRate,134)*(1+'5. Scenarios'!$C$10)*$I139)</f>
        <v/>
      </c>
      <c r="K139" s="57" t="str">
        <f aca="false">IF($J139="","",SUMIFS($J$6:$J$2405,$A$6:$A$2405,"&lt;="&amp;$A139))</f>
        <v/>
      </c>
      <c r="L139" s="57" t="str">
        <f aca="false">IF($J139="","",IF($K139&lt;=BankCostEnvelope*'5. Scenarios'!$C$7,1,0))</f>
        <v/>
      </c>
      <c r="M139" s="57" t="str">
        <f aca="false">IF($I139="","",INDEX(BookRate,134)*(1+'5. Scenarios'!$C$10)*(INDEX(BookQ1,134)*(5-MIN(4,1+'5. Scenarios'!$C$8))/4+INDEX(BookQ2,134)*(5-MIN(4,2+'5. Scenarios'!$C$8))/4+INDEX(BookQ3,134)*(5-MIN(4,3+'5. Scenarios'!$C$8))/4+INDEX(BookQ4,134)*(5-MIN(4,4+'5. Scenarios'!$C$8))/4)*'5. Scenarios'!$C$6/(1+ProductivityDefault*('5. Scenarios'!$C$11-1))+INDEX(BookOneOff,134)*$I139)</f>
        <v/>
      </c>
      <c r="N139" s="56" t="str">
        <f aca="false">IF(INDEX(BookTitle,134)="","",INDEX(BookTotal,134)*'5. Scenarios'!$D$6/(1+ProductivityDefault*('5. Scenarios'!$D$11-1)))</f>
        <v/>
      </c>
      <c r="O139" s="57" t="str">
        <f aca="false">IF($N139="","",INDEX(BookRate,134)*(1+'5. Scenarios'!$D$10)*$N139)</f>
        <v/>
      </c>
      <c r="P139" s="57" t="str">
        <f aca="false">IF($O139="","",SUMIFS($O$6:$O$2405,$A$6:$A$2405,"&lt;="&amp;$A139))</f>
        <v/>
      </c>
      <c r="Q139" s="57" t="str">
        <f aca="false">IF($O139="","",IF($P139&lt;=BankCostEnvelope*'5. Scenarios'!$D$7,1,0))</f>
        <v/>
      </c>
      <c r="R139" s="57" t="str">
        <f aca="false">IF($N139="","",INDEX(BookRate,134)*(1+'5. Scenarios'!$D$10)*(INDEX(BookQ1,134)*(5-MIN(4,1+'5. Scenarios'!$D$8))/4+INDEX(BookQ2,134)*(5-MIN(4,2+'5. Scenarios'!$D$8))/4+INDEX(BookQ3,134)*(5-MIN(4,3+'5. Scenarios'!$D$8))/4+INDEX(BookQ4,134)*(5-MIN(4,4+'5. Scenarios'!$D$8))/4)*'5. Scenarios'!$D$6/(1+ProductivityDefault*('5. Scenarios'!$D$11-1))+INDEX(BookOneOff,134)*$N139)</f>
        <v/>
      </c>
      <c r="S139" s="56" t="str">
        <f aca="false">IF(INDEX(BookTitle,134)="","",INDEX(BookTotal,134)*'5. Scenarios'!$E$6/(1+ProductivityDefault*('5. Scenarios'!$E$11-1)))</f>
        <v/>
      </c>
      <c r="T139" s="57" t="str">
        <f aca="false">IF($S139="","",INDEX(BookRate,134)*(1+'5. Scenarios'!$E$10)*$S139)</f>
        <v/>
      </c>
      <c r="U139" s="57" t="str">
        <f aca="false">IF($T139="","",SUMIFS($T$6:$T$2405,$A$6:$A$2405,"&lt;="&amp;$A139))</f>
        <v/>
      </c>
      <c r="V139" s="57" t="str">
        <f aca="false">IF($T139="","",IF($U139&lt;=BankCostEnvelope*'5. Scenarios'!$E$7,1,0))</f>
        <v/>
      </c>
      <c r="W139" s="57" t="str">
        <f aca="false">IF($S139="","",INDEX(BookRate,134)*(1+'5. Scenarios'!$E$10)*(INDEX(BookQ1,134)*(5-MIN(4,1+'5. Scenarios'!$E$8))/4+INDEX(BookQ2,134)*(5-MIN(4,2+'5. Scenarios'!$E$8))/4+INDEX(BookQ3,134)*(5-MIN(4,3+'5. Scenarios'!$E$8))/4+INDEX(BookQ4,134)*(5-MIN(4,4+'5. Scenarios'!$E$8))/4)*'5. Scenarios'!$E$6/(1+ProductivityDefault*('5. Scenarios'!$E$11-1))+INDEX(BookOneOff,134)*$S139)</f>
        <v/>
      </c>
    </row>
    <row r="140" customFormat="false" ht="15" hidden="false" customHeight="false" outlineLevel="0" collapsed="false">
      <c r="A140" s="0" t="str">
        <f aca="false">IF(INDEX(BookTitle,135)="","",INDEX(BookKey,135))</f>
        <v/>
      </c>
      <c r="B140" s="0" t="str">
        <f aca="false">IF(INDEX(BookTitle,135)="","",INDEX(BookGroup,135))</f>
        <v/>
      </c>
      <c r="C140" s="0" t="str">
        <f aca="false">IF(INDEX(BookTitle,135)="","",INDEX(BookCategory,135))</f>
        <v/>
      </c>
      <c r="D140" s="56" t="str">
        <f aca="false">IF(INDEX(BookTitle,135)="","",INDEX(BookTotal,135)*'5. Scenarios'!$B$6/(1+ProductivityDefault*('5. Scenarios'!$B$11-1)))</f>
        <v/>
      </c>
      <c r="E140" s="57" t="str">
        <f aca="false">IF($D140="","",INDEX(BookRate,135)*(1+'5. Scenarios'!$B$10)*$D140)</f>
        <v/>
      </c>
      <c r="F140" s="57" t="str">
        <f aca="false">IF($E140="","",SUMIFS($E$6:$E$2405,$A$6:$A$2405,"&lt;="&amp;$A140))</f>
        <v/>
      </c>
      <c r="G140" s="57" t="str">
        <f aca="false">IF($E140="","",IF($F140&lt;=BankCostEnvelope*'5. Scenarios'!$B$7,1,0))</f>
        <v/>
      </c>
      <c r="H140" s="57" t="str">
        <f aca="false">IF($D140="","",INDEX(BookRate,135)*(1+'5. Scenarios'!$B$10)*(INDEX(BookQ1,135)*(5-MIN(4,1+'5. Scenarios'!$B$8))/4+INDEX(BookQ2,135)*(5-MIN(4,2+'5. Scenarios'!$B$8))/4+INDEX(BookQ3,135)*(5-MIN(4,3+'5. Scenarios'!$B$8))/4+INDEX(BookQ4,135)*(5-MIN(4,4+'5. Scenarios'!$B$8))/4)*'5. Scenarios'!$B$6/(1+ProductivityDefault*('5. Scenarios'!$B$11-1))+INDEX(BookOneOff,135)*$D140)</f>
        <v/>
      </c>
      <c r="I140" s="56" t="str">
        <f aca="false">IF(INDEX(BookTitle,135)="","",INDEX(BookTotal,135)*'5. Scenarios'!$C$6/(1+ProductivityDefault*('5. Scenarios'!$C$11-1)))</f>
        <v/>
      </c>
      <c r="J140" s="57" t="str">
        <f aca="false">IF($I140="","",INDEX(BookRate,135)*(1+'5. Scenarios'!$C$10)*$I140)</f>
        <v/>
      </c>
      <c r="K140" s="57" t="str">
        <f aca="false">IF($J140="","",SUMIFS($J$6:$J$2405,$A$6:$A$2405,"&lt;="&amp;$A140))</f>
        <v/>
      </c>
      <c r="L140" s="57" t="str">
        <f aca="false">IF($J140="","",IF($K140&lt;=BankCostEnvelope*'5. Scenarios'!$C$7,1,0))</f>
        <v/>
      </c>
      <c r="M140" s="57" t="str">
        <f aca="false">IF($I140="","",INDEX(BookRate,135)*(1+'5. Scenarios'!$C$10)*(INDEX(BookQ1,135)*(5-MIN(4,1+'5. Scenarios'!$C$8))/4+INDEX(BookQ2,135)*(5-MIN(4,2+'5. Scenarios'!$C$8))/4+INDEX(BookQ3,135)*(5-MIN(4,3+'5. Scenarios'!$C$8))/4+INDEX(BookQ4,135)*(5-MIN(4,4+'5. Scenarios'!$C$8))/4)*'5. Scenarios'!$C$6/(1+ProductivityDefault*('5. Scenarios'!$C$11-1))+INDEX(BookOneOff,135)*$I140)</f>
        <v/>
      </c>
      <c r="N140" s="56" t="str">
        <f aca="false">IF(INDEX(BookTitle,135)="","",INDEX(BookTotal,135)*'5. Scenarios'!$D$6/(1+ProductivityDefault*('5. Scenarios'!$D$11-1)))</f>
        <v/>
      </c>
      <c r="O140" s="57" t="str">
        <f aca="false">IF($N140="","",INDEX(BookRate,135)*(1+'5. Scenarios'!$D$10)*$N140)</f>
        <v/>
      </c>
      <c r="P140" s="57" t="str">
        <f aca="false">IF($O140="","",SUMIFS($O$6:$O$2405,$A$6:$A$2405,"&lt;="&amp;$A140))</f>
        <v/>
      </c>
      <c r="Q140" s="57" t="str">
        <f aca="false">IF($O140="","",IF($P140&lt;=BankCostEnvelope*'5. Scenarios'!$D$7,1,0))</f>
        <v/>
      </c>
      <c r="R140" s="57" t="str">
        <f aca="false">IF($N140="","",INDEX(BookRate,135)*(1+'5. Scenarios'!$D$10)*(INDEX(BookQ1,135)*(5-MIN(4,1+'5. Scenarios'!$D$8))/4+INDEX(BookQ2,135)*(5-MIN(4,2+'5. Scenarios'!$D$8))/4+INDEX(BookQ3,135)*(5-MIN(4,3+'5. Scenarios'!$D$8))/4+INDEX(BookQ4,135)*(5-MIN(4,4+'5. Scenarios'!$D$8))/4)*'5. Scenarios'!$D$6/(1+ProductivityDefault*('5. Scenarios'!$D$11-1))+INDEX(BookOneOff,135)*$N140)</f>
        <v/>
      </c>
      <c r="S140" s="56" t="str">
        <f aca="false">IF(INDEX(BookTitle,135)="","",INDEX(BookTotal,135)*'5. Scenarios'!$E$6/(1+ProductivityDefault*('5. Scenarios'!$E$11-1)))</f>
        <v/>
      </c>
      <c r="T140" s="57" t="str">
        <f aca="false">IF($S140="","",INDEX(BookRate,135)*(1+'5. Scenarios'!$E$10)*$S140)</f>
        <v/>
      </c>
      <c r="U140" s="57" t="str">
        <f aca="false">IF($T140="","",SUMIFS($T$6:$T$2405,$A$6:$A$2405,"&lt;="&amp;$A140))</f>
        <v/>
      </c>
      <c r="V140" s="57" t="str">
        <f aca="false">IF($T140="","",IF($U140&lt;=BankCostEnvelope*'5. Scenarios'!$E$7,1,0))</f>
        <v/>
      </c>
      <c r="W140" s="57" t="str">
        <f aca="false">IF($S140="","",INDEX(BookRate,135)*(1+'5. Scenarios'!$E$10)*(INDEX(BookQ1,135)*(5-MIN(4,1+'5. Scenarios'!$E$8))/4+INDEX(BookQ2,135)*(5-MIN(4,2+'5. Scenarios'!$E$8))/4+INDEX(BookQ3,135)*(5-MIN(4,3+'5. Scenarios'!$E$8))/4+INDEX(BookQ4,135)*(5-MIN(4,4+'5. Scenarios'!$E$8))/4)*'5. Scenarios'!$E$6/(1+ProductivityDefault*('5. Scenarios'!$E$11-1))+INDEX(BookOneOff,135)*$S140)</f>
        <v/>
      </c>
    </row>
    <row r="141" customFormat="false" ht="15" hidden="false" customHeight="false" outlineLevel="0" collapsed="false">
      <c r="A141" s="0" t="str">
        <f aca="false">IF(INDEX(BookTitle,136)="","",INDEX(BookKey,136))</f>
        <v/>
      </c>
      <c r="B141" s="0" t="str">
        <f aca="false">IF(INDEX(BookTitle,136)="","",INDEX(BookGroup,136))</f>
        <v/>
      </c>
      <c r="C141" s="0" t="str">
        <f aca="false">IF(INDEX(BookTitle,136)="","",INDEX(BookCategory,136))</f>
        <v/>
      </c>
      <c r="D141" s="56" t="str">
        <f aca="false">IF(INDEX(BookTitle,136)="","",INDEX(BookTotal,136)*'5. Scenarios'!$B$6/(1+ProductivityDefault*('5. Scenarios'!$B$11-1)))</f>
        <v/>
      </c>
      <c r="E141" s="57" t="str">
        <f aca="false">IF($D141="","",INDEX(BookRate,136)*(1+'5. Scenarios'!$B$10)*$D141)</f>
        <v/>
      </c>
      <c r="F141" s="57" t="str">
        <f aca="false">IF($E141="","",SUMIFS($E$6:$E$2405,$A$6:$A$2405,"&lt;="&amp;$A141))</f>
        <v/>
      </c>
      <c r="G141" s="57" t="str">
        <f aca="false">IF($E141="","",IF($F141&lt;=BankCostEnvelope*'5. Scenarios'!$B$7,1,0))</f>
        <v/>
      </c>
      <c r="H141" s="57" t="str">
        <f aca="false">IF($D141="","",INDEX(BookRate,136)*(1+'5. Scenarios'!$B$10)*(INDEX(BookQ1,136)*(5-MIN(4,1+'5. Scenarios'!$B$8))/4+INDEX(BookQ2,136)*(5-MIN(4,2+'5. Scenarios'!$B$8))/4+INDEX(BookQ3,136)*(5-MIN(4,3+'5. Scenarios'!$B$8))/4+INDEX(BookQ4,136)*(5-MIN(4,4+'5. Scenarios'!$B$8))/4)*'5. Scenarios'!$B$6/(1+ProductivityDefault*('5. Scenarios'!$B$11-1))+INDEX(BookOneOff,136)*$D141)</f>
        <v/>
      </c>
      <c r="I141" s="56" t="str">
        <f aca="false">IF(INDEX(BookTitle,136)="","",INDEX(BookTotal,136)*'5. Scenarios'!$C$6/(1+ProductivityDefault*('5. Scenarios'!$C$11-1)))</f>
        <v/>
      </c>
      <c r="J141" s="57" t="str">
        <f aca="false">IF($I141="","",INDEX(BookRate,136)*(1+'5. Scenarios'!$C$10)*$I141)</f>
        <v/>
      </c>
      <c r="K141" s="57" t="str">
        <f aca="false">IF($J141="","",SUMIFS($J$6:$J$2405,$A$6:$A$2405,"&lt;="&amp;$A141))</f>
        <v/>
      </c>
      <c r="L141" s="57" t="str">
        <f aca="false">IF($J141="","",IF($K141&lt;=BankCostEnvelope*'5. Scenarios'!$C$7,1,0))</f>
        <v/>
      </c>
      <c r="M141" s="57" t="str">
        <f aca="false">IF($I141="","",INDEX(BookRate,136)*(1+'5. Scenarios'!$C$10)*(INDEX(BookQ1,136)*(5-MIN(4,1+'5. Scenarios'!$C$8))/4+INDEX(BookQ2,136)*(5-MIN(4,2+'5. Scenarios'!$C$8))/4+INDEX(BookQ3,136)*(5-MIN(4,3+'5. Scenarios'!$C$8))/4+INDEX(BookQ4,136)*(5-MIN(4,4+'5. Scenarios'!$C$8))/4)*'5. Scenarios'!$C$6/(1+ProductivityDefault*('5. Scenarios'!$C$11-1))+INDEX(BookOneOff,136)*$I141)</f>
        <v/>
      </c>
      <c r="N141" s="56" t="str">
        <f aca="false">IF(INDEX(BookTitle,136)="","",INDEX(BookTotal,136)*'5. Scenarios'!$D$6/(1+ProductivityDefault*('5. Scenarios'!$D$11-1)))</f>
        <v/>
      </c>
      <c r="O141" s="57" t="str">
        <f aca="false">IF($N141="","",INDEX(BookRate,136)*(1+'5. Scenarios'!$D$10)*$N141)</f>
        <v/>
      </c>
      <c r="P141" s="57" t="str">
        <f aca="false">IF($O141="","",SUMIFS($O$6:$O$2405,$A$6:$A$2405,"&lt;="&amp;$A141))</f>
        <v/>
      </c>
      <c r="Q141" s="57" t="str">
        <f aca="false">IF($O141="","",IF($P141&lt;=BankCostEnvelope*'5. Scenarios'!$D$7,1,0))</f>
        <v/>
      </c>
      <c r="R141" s="57" t="str">
        <f aca="false">IF($N141="","",INDEX(BookRate,136)*(1+'5. Scenarios'!$D$10)*(INDEX(BookQ1,136)*(5-MIN(4,1+'5. Scenarios'!$D$8))/4+INDEX(BookQ2,136)*(5-MIN(4,2+'5. Scenarios'!$D$8))/4+INDEX(BookQ3,136)*(5-MIN(4,3+'5. Scenarios'!$D$8))/4+INDEX(BookQ4,136)*(5-MIN(4,4+'5. Scenarios'!$D$8))/4)*'5. Scenarios'!$D$6/(1+ProductivityDefault*('5. Scenarios'!$D$11-1))+INDEX(BookOneOff,136)*$N141)</f>
        <v/>
      </c>
      <c r="S141" s="56" t="str">
        <f aca="false">IF(INDEX(BookTitle,136)="","",INDEX(BookTotal,136)*'5. Scenarios'!$E$6/(1+ProductivityDefault*('5. Scenarios'!$E$11-1)))</f>
        <v/>
      </c>
      <c r="T141" s="57" t="str">
        <f aca="false">IF($S141="","",INDEX(BookRate,136)*(1+'5. Scenarios'!$E$10)*$S141)</f>
        <v/>
      </c>
      <c r="U141" s="57" t="str">
        <f aca="false">IF($T141="","",SUMIFS($T$6:$T$2405,$A$6:$A$2405,"&lt;="&amp;$A141))</f>
        <v/>
      </c>
      <c r="V141" s="57" t="str">
        <f aca="false">IF($T141="","",IF($U141&lt;=BankCostEnvelope*'5. Scenarios'!$E$7,1,0))</f>
        <v/>
      </c>
      <c r="W141" s="57" t="str">
        <f aca="false">IF($S141="","",INDEX(BookRate,136)*(1+'5. Scenarios'!$E$10)*(INDEX(BookQ1,136)*(5-MIN(4,1+'5. Scenarios'!$E$8))/4+INDEX(BookQ2,136)*(5-MIN(4,2+'5. Scenarios'!$E$8))/4+INDEX(BookQ3,136)*(5-MIN(4,3+'5. Scenarios'!$E$8))/4+INDEX(BookQ4,136)*(5-MIN(4,4+'5. Scenarios'!$E$8))/4)*'5. Scenarios'!$E$6/(1+ProductivityDefault*('5. Scenarios'!$E$11-1))+INDEX(BookOneOff,136)*$S141)</f>
        <v/>
      </c>
    </row>
    <row r="142" customFormat="false" ht="15" hidden="false" customHeight="false" outlineLevel="0" collapsed="false">
      <c r="A142" s="0" t="str">
        <f aca="false">IF(INDEX(BookTitle,137)="","",INDEX(BookKey,137))</f>
        <v/>
      </c>
      <c r="B142" s="0" t="str">
        <f aca="false">IF(INDEX(BookTitle,137)="","",INDEX(BookGroup,137))</f>
        <v/>
      </c>
      <c r="C142" s="0" t="str">
        <f aca="false">IF(INDEX(BookTitle,137)="","",INDEX(BookCategory,137))</f>
        <v/>
      </c>
      <c r="D142" s="56" t="str">
        <f aca="false">IF(INDEX(BookTitle,137)="","",INDEX(BookTotal,137)*'5. Scenarios'!$B$6/(1+ProductivityDefault*('5. Scenarios'!$B$11-1)))</f>
        <v/>
      </c>
      <c r="E142" s="57" t="str">
        <f aca="false">IF($D142="","",INDEX(BookRate,137)*(1+'5. Scenarios'!$B$10)*$D142)</f>
        <v/>
      </c>
      <c r="F142" s="57" t="str">
        <f aca="false">IF($E142="","",SUMIFS($E$6:$E$2405,$A$6:$A$2405,"&lt;="&amp;$A142))</f>
        <v/>
      </c>
      <c r="G142" s="57" t="str">
        <f aca="false">IF($E142="","",IF($F142&lt;=BankCostEnvelope*'5. Scenarios'!$B$7,1,0))</f>
        <v/>
      </c>
      <c r="H142" s="57" t="str">
        <f aca="false">IF($D142="","",INDEX(BookRate,137)*(1+'5. Scenarios'!$B$10)*(INDEX(BookQ1,137)*(5-MIN(4,1+'5. Scenarios'!$B$8))/4+INDEX(BookQ2,137)*(5-MIN(4,2+'5. Scenarios'!$B$8))/4+INDEX(BookQ3,137)*(5-MIN(4,3+'5. Scenarios'!$B$8))/4+INDEX(BookQ4,137)*(5-MIN(4,4+'5. Scenarios'!$B$8))/4)*'5. Scenarios'!$B$6/(1+ProductivityDefault*('5. Scenarios'!$B$11-1))+INDEX(BookOneOff,137)*$D142)</f>
        <v/>
      </c>
      <c r="I142" s="56" t="str">
        <f aca="false">IF(INDEX(BookTitle,137)="","",INDEX(BookTotal,137)*'5. Scenarios'!$C$6/(1+ProductivityDefault*('5. Scenarios'!$C$11-1)))</f>
        <v/>
      </c>
      <c r="J142" s="57" t="str">
        <f aca="false">IF($I142="","",INDEX(BookRate,137)*(1+'5. Scenarios'!$C$10)*$I142)</f>
        <v/>
      </c>
      <c r="K142" s="57" t="str">
        <f aca="false">IF($J142="","",SUMIFS($J$6:$J$2405,$A$6:$A$2405,"&lt;="&amp;$A142))</f>
        <v/>
      </c>
      <c r="L142" s="57" t="str">
        <f aca="false">IF($J142="","",IF($K142&lt;=BankCostEnvelope*'5. Scenarios'!$C$7,1,0))</f>
        <v/>
      </c>
      <c r="M142" s="57" t="str">
        <f aca="false">IF($I142="","",INDEX(BookRate,137)*(1+'5. Scenarios'!$C$10)*(INDEX(BookQ1,137)*(5-MIN(4,1+'5. Scenarios'!$C$8))/4+INDEX(BookQ2,137)*(5-MIN(4,2+'5. Scenarios'!$C$8))/4+INDEX(BookQ3,137)*(5-MIN(4,3+'5. Scenarios'!$C$8))/4+INDEX(BookQ4,137)*(5-MIN(4,4+'5. Scenarios'!$C$8))/4)*'5. Scenarios'!$C$6/(1+ProductivityDefault*('5. Scenarios'!$C$11-1))+INDEX(BookOneOff,137)*$I142)</f>
        <v/>
      </c>
      <c r="N142" s="56" t="str">
        <f aca="false">IF(INDEX(BookTitle,137)="","",INDEX(BookTotal,137)*'5. Scenarios'!$D$6/(1+ProductivityDefault*('5. Scenarios'!$D$11-1)))</f>
        <v/>
      </c>
      <c r="O142" s="57" t="str">
        <f aca="false">IF($N142="","",INDEX(BookRate,137)*(1+'5. Scenarios'!$D$10)*$N142)</f>
        <v/>
      </c>
      <c r="P142" s="57" t="str">
        <f aca="false">IF($O142="","",SUMIFS($O$6:$O$2405,$A$6:$A$2405,"&lt;="&amp;$A142))</f>
        <v/>
      </c>
      <c r="Q142" s="57" t="str">
        <f aca="false">IF($O142="","",IF($P142&lt;=BankCostEnvelope*'5. Scenarios'!$D$7,1,0))</f>
        <v/>
      </c>
      <c r="R142" s="57" t="str">
        <f aca="false">IF($N142="","",INDEX(BookRate,137)*(1+'5. Scenarios'!$D$10)*(INDEX(BookQ1,137)*(5-MIN(4,1+'5. Scenarios'!$D$8))/4+INDEX(BookQ2,137)*(5-MIN(4,2+'5. Scenarios'!$D$8))/4+INDEX(BookQ3,137)*(5-MIN(4,3+'5. Scenarios'!$D$8))/4+INDEX(BookQ4,137)*(5-MIN(4,4+'5. Scenarios'!$D$8))/4)*'5. Scenarios'!$D$6/(1+ProductivityDefault*('5. Scenarios'!$D$11-1))+INDEX(BookOneOff,137)*$N142)</f>
        <v/>
      </c>
      <c r="S142" s="56" t="str">
        <f aca="false">IF(INDEX(BookTitle,137)="","",INDEX(BookTotal,137)*'5. Scenarios'!$E$6/(1+ProductivityDefault*('5. Scenarios'!$E$11-1)))</f>
        <v/>
      </c>
      <c r="T142" s="57" t="str">
        <f aca="false">IF($S142="","",INDEX(BookRate,137)*(1+'5. Scenarios'!$E$10)*$S142)</f>
        <v/>
      </c>
      <c r="U142" s="57" t="str">
        <f aca="false">IF($T142="","",SUMIFS($T$6:$T$2405,$A$6:$A$2405,"&lt;="&amp;$A142))</f>
        <v/>
      </c>
      <c r="V142" s="57" t="str">
        <f aca="false">IF($T142="","",IF($U142&lt;=BankCostEnvelope*'5. Scenarios'!$E$7,1,0))</f>
        <v/>
      </c>
      <c r="W142" s="57" t="str">
        <f aca="false">IF($S142="","",INDEX(BookRate,137)*(1+'5. Scenarios'!$E$10)*(INDEX(BookQ1,137)*(5-MIN(4,1+'5. Scenarios'!$E$8))/4+INDEX(BookQ2,137)*(5-MIN(4,2+'5. Scenarios'!$E$8))/4+INDEX(BookQ3,137)*(5-MIN(4,3+'5. Scenarios'!$E$8))/4+INDEX(BookQ4,137)*(5-MIN(4,4+'5. Scenarios'!$E$8))/4)*'5. Scenarios'!$E$6/(1+ProductivityDefault*('5. Scenarios'!$E$11-1))+INDEX(BookOneOff,137)*$S142)</f>
        <v/>
      </c>
    </row>
    <row r="143" customFormat="false" ht="15" hidden="false" customHeight="false" outlineLevel="0" collapsed="false">
      <c r="A143" s="0" t="str">
        <f aca="false">IF(INDEX(BookTitle,138)="","",INDEX(BookKey,138))</f>
        <v/>
      </c>
      <c r="B143" s="0" t="str">
        <f aca="false">IF(INDEX(BookTitle,138)="","",INDEX(BookGroup,138))</f>
        <v/>
      </c>
      <c r="C143" s="0" t="str">
        <f aca="false">IF(INDEX(BookTitle,138)="","",INDEX(BookCategory,138))</f>
        <v/>
      </c>
      <c r="D143" s="56" t="str">
        <f aca="false">IF(INDEX(BookTitle,138)="","",INDEX(BookTotal,138)*'5. Scenarios'!$B$6/(1+ProductivityDefault*('5. Scenarios'!$B$11-1)))</f>
        <v/>
      </c>
      <c r="E143" s="57" t="str">
        <f aca="false">IF($D143="","",INDEX(BookRate,138)*(1+'5. Scenarios'!$B$10)*$D143)</f>
        <v/>
      </c>
      <c r="F143" s="57" t="str">
        <f aca="false">IF($E143="","",SUMIFS($E$6:$E$2405,$A$6:$A$2405,"&lt;="&amp;$A143))</f>
        <v/>
      </c>
      <c r="G143" s="57" t="str">
        <f aca="false">IF($E143="","",IF($F143&lt;=BankCostEnvelope*'5. Scenarios'!$B$7,1,0))</f>
        <v/>
      </c>
      <c r="H143" s="57" t="str">
        <f aca="false">IF($D143="","",INDEX(BookRate,138)*(1+'5. Scenarios'!$B$10)*(INDEX(BookQ1,138)*(5-MIN(4,1+'5. Scenarios'!$B$8))/4+INDEX(BookQ2,138)*(5-MIN(4,2+'5. Scenarios'!$B$8))/4+INDEX(BookQ3,138)*(5-MIN(4,3+'5. Scenarios'!$B$8))/4+INDEX(BookQ4,138)*(5-MIN(4,4+'5. Scenarios'!$B$8))/4)*'5. Scenarios'!$B$6/(1+ProductivityDefault*('5. Scenarios'!$B$11-1))+INDEX(BookOneOff,138)*$D143)</f>
        <v/>
      </c>
      <c r="I143" s="56" t="str">
        <f aca="false">IF(INDEX(BookTitle,138)="","",INDEX(BookTotal,138)*'5. Scenarios'!$C$6/(1+ProductivityDefault*('5. Scenarios'!$C$11-1)))</f>
        <v/>
      </c>
      <c r="J143" s="57" t="str">
        <f aca="false">IF($I143="","",INDEX(BookRate,138)*(1+'5. Scenarios'!$C$10)*$I143)</f>
        <v/>
      </c>
      <c r="K143" s="57" t="str">
        <f aca="false">IF($J143="","",SUMIFS($J$6:$J$2405,$A$6:$A$2405,"&lt;="&amp;$A143))</f>
        <v/>
      </c>
      <c r="L143" s="57" t="str">
        <f aca="false">IF($J143="","",IF($K143&lt;=BankCostEnvelope*'5. Scenarios'!$C$7,1,0))</f>
        <v/>
      </c>
      <c r="M143" s="57" t="str">
        <f aca="false">IF($I143="","",INDEX(BookRate,138)*(1+'5. Scenarios'!$C$10)*(INDEX(BookQ1,138)*(5-MIN(4,1+'5. Scenarios'!$C$8))/4+INDEX(BookQ2,138)*(5-MIN(4,2+'5. Scenarios'!$C$8))/4+INDEX(BookQ3,138)*(5-MIN(4,3+'5. Scenarios'!$C$8))/4+INDEX(BookQ4,138)*(5-MIN(4,4+'5. Scenarios'!$C$8))/4)*'5. Scenarios'!$C$6/(1+ProductivityDefault*('5. Scenarios'!$C$11-1))+INDEX(BookOneOff,138)*$I143)</f>
        <v/>
      </c>
      <c r="N143" s="56" t="str">
        <f aca="false">IF(INDEX(BookTitle,138)="","",INDEX(BookTotal,138)*'5. Scenarios'!$D$6/(1+ProductivityDefault*('5. Scenarios'!$D$11-1)))</f>
        <v/>
      </c>
      <c r="O143" s="57" t="str">
        <f aca="false">IF($N143="","",INDEX(BookRate,138)*(1+'5. Scenarios'!$D$10)*$N143)</f>
        <v/>
      </c>
      <c r="P143" s="57" t="str">
        <f aca="false">IF($O143="","",SUMIFS($O$6:$O$2405,$A$6:$A$2405,"&lt;="&amp;$A143))</f>
        <v/>
      </c>
      <c r="Q143" s="57" t="str">
        <f aca="false">IF($O143="","",IF($P143&lt;=BankCostEnvelope*'5. Scenarios'!$D$7,1,0))</f>
        <v/>
      </c>
      <c r="R143" s="57" t="str">
        <f aca="false">IF($N143="","",INDEX(BookRate,138)*(1+'5. Scenarios'!$D$10)*(INDEX(BookQ1,138)*(5-MIN(4,1+'5. Scenarios'!$D$8))/4+INDEX(BookQ2,138)*(5-MIN(4,2+'5. Scenarios'!$D$8))/4+INDEX(BookQ3,138)*(5-MIN(4,3+'5. Scenarios'!$D$8))/4+INDEX(BookQ4,138)*(5-MIN(4,4+'5. Scenarios'!$D$8))/4)*'5. Scenarios'!$D$6/(1+ProductivityDefault*('5. Scenarios'!$D$11-1))+INDEX(BookOneOff,138)*$N143)</f>
        <v/>
      </c>
      <c r="S143" s="56" t="str">
        <f aca="false">IF(INDEX(BookTitle,138)="","",INDEX(BookTotal,138)*'5. Scenarios'!$E$6/(1+ProductivityDefault*('5. Scenarios'!$E$11-1)))</f>
        <v/>
      </c>
      <c r="T143" s="57" t="str">
        <f aca="false">IF($S143="","",INDEX(BookRate,138)*(1+'5. Scenarios'!$E$10)*$S143)</f>
        <v/>
      </c>
      <c r="U143" s="57" t="str">
        <f aca="false">IF($T143="","",SUMIFS($T$6:$T$2405,$A$6:$A$2405,"&lt;="&amp;$A143))</f>
        <v/>
      </c>
      <c r="V143" s="57" t="str">
        <f aca="false">IF($T143="","",IF($U143&lt;=BankCostEnvelope*'5. Scenarios'!$E$7,1,0))</f>
        <v/>
      </c>
      <c r="W143" s="57" t="str">
        <f aca="false">IF($S143="","",INDEX(BookRate,138)*(1+'5. Scenarios'!$E$10)*(INDEX(BookQ1,138)*(5-MIN(4,1+'5. Scenarios'!$E$8))/4+INDEX(BookQ2,138)*(5-MIN(4,2+'5. Scenarios'!$E$8))/4+INDEX(BookQ3,138)*(5-MIN(4,3+'5. Scenarios'!$E$8))/4+INDEX(BookQ4,138)*(5-MIN(4,4+'5. Scenarios'!$E$8))/4)*'5. Scenarios'!$E$6/(1+ProductivityDefault*('5. Scenarios'!$E$11-1))+INDEX(BookOneOff,138)*$S143)</f>
        <v/>
      </c>
    </row>
    <row r="144" customFormat="false" ht="15" hidden="false" customHeight="false" outlineLevel="0" collapsed="false">
      <c r="A144" s="0" t="str">
        <f aca="false">IF(INDEX(BookTitle,139)="","",INDEX(BookKey,139))</f>
        <v/>
      </c>
      <c r="B144" s="0" t="str">
        <f aca="false">IF(INDEX(BookTitle,139)="","",INDEX(BookGroup,139))</f>
        <v/>
      </c>
      <c r="C144" s="0" t="str">
        <f aca="false">IF(INDEX(BookTitle,139)="","",INDEX(BookCategory,139))</f>
        <v/>
      </c>
      <c r="D144" s="56" t="str">
        <f aca="false">IF(INDEX(BookTitle,139)="","",INDEX(BookTotal,139)*'5. Scenarios'!$B$6/(1+ProductivityDefault*('5. Scenarios'!$B$11-1)))</f>
        <v/>
      </c>
      <c r="E144" s="57" t="str">
        <f aca="false">IF($D144="","",INDEX(BookRate,139)*(1+'5. Scenarios'!$B$10)*$D144)</f>
        <v/>
      </c>
      <c r="F144" s="57" t="str">
        <f aca="false">IF($E144="","",SUMIFS($E$6:$E$2405,$A$6:$A$2405,"&lt;="&amp;$A144))</f>
        <v/>
      </c>
      <c r="G144" s="57" t="str">
        <f aca="false">IF($E144="","",IF($F144&lt;=BankCostEnvelope*'5. Scenarios'!$B$7,1,0))</f>
        <v/>
      </c>
      <c r="H144" s="57" t="str">
        <f aca="false">IF($D144="","",INDEX(BookRate,139)*(1+'5. Scenarios'!$B$10)*(INDEX(BookQ1,139)*(5-MIN(4,1+'5. Scenarios'!$B$8))/4+INDEX(BookQ2,139)*(5-MIN(4,2+'5. Scenarios'!$B$8))/4+INDEX(BookQ3,139)*(5-MIN(4,3+'5. Scenarios'!$B$8))/4+INDEX(BookQ4,139)*(5-MIN(4,4+'5. Scenarios'!$B$8))/4)*'5. Scenarios'!$B$6/(1+ProductivityDefault*('5. Scenarios'!$B$11-1))+INDEX(BookOneOff,139)*$D144)</f>
        <v/>
      </c>
      <c r="I144" s="56" t="str">
        <f aca="false">IF(INDEX(BookTitle,139)="","",INDEX(BookTotal,139)*'5. Scenarios'!$C$6/(1+ProductivityDefault*('5. Scenarios'!$C$11-1)))</f>
        <v/>
      </c>
      <c r="J144" s="57" t="str">
        <f aca="false">IF($I144="","",INDEX(BookRate,139)*(1+'5. Scenarios'!$C$10)*$I144)</f>
        <v/>
      </c>
      <c r="K144" s="57" t="str">
        <f aca="false">IF($J144="","",SUMIFS($J$6:$J$2405,$A$6:$A$2405,"&lt;="&amp;$A144))</f>
        <v/>
      </c>
      <c r="L144" s="57" t="str">
        <f aca="false">IF($J144="","",IF($K144&lt;=BankCostEnvelope*'5. Scenarios'!$C$7,1,0))</f>
        <v/>
      </c>
      <c r="M144" s="57" t="str">
        <f aca="false">IF($I144="","",INDEX(BookRate,139)*(1+'5. Scenarios'!$C$10)*(INDEX(BookQ1,139)*(5-MIN(4,1+'5. Scenarios'!$C$8))/4+INDEX(BookQ2,139)*(5-MIN(4,2+'5. Scenarios'!$C$8))/4+INDEX(BookQ3,139)*(5-MIN(4,3+'5. Scenarios'!$C$8))/4+INDEX(BookQ4,139)*(5-MIN(4,4+'5. Scenarios'!$C$8))/4)*'5. Scenarios'!$C$6/(1+ProductivityDefault*('5. Scenarios'!$C$11-1))+INDEX(BookOneOff,139)*$I144)</f>
        <v/>
      </c>
      <c r="N144" s="56" t="str">
        <f aca="false">IF(INDEX(BookTitle,139)="","",INDEX(BookTotal,139)*'5. Scenarios'!$D$6/(1+ProductivityDefault*('5. Scenarios'!$D$11-1)))</f>
        <v/>
      </c>
      <c r="O144" s="57" t="str">
        <f aca="false">IF($N144="","",INDEX(BookRate,139)*(1+'5. Scenarios'!$D$10)*$N144)</f>
        <v/>
      </c>
      <c r="P144" s="57" t="str">
        <f aca="false">IF($O144="","",SUMIFS($O$6:$O$2405,$A$6:$A$2405,"&lt;="&amp;$A144))</f>
        <v/>
      </c>
      <c r="Q144" s="57" t="str">
        <f aca="false">IF($O144="","",IF($P144&lt;=BankCostEnvelope*'5. Scenarios'!$D$7,1,0))</f>
        <v/>
      </c>
      <c r="R144" s="57" t="str">
        <f aca="false">IF($N144="","",INDEX(BookRate,139)*(1+'5. Scenarios'!$D$10)*(INDEX(BookQ1,139)*(5-MIN(4,1+'5. Scenarios'!$D$8))/4+INDEX(BookQ2,139)*(5-MIN(4,2+'5. Scenarios'!$D$8))/4+INDEX(BookQ3,139)*(5-MIN(4,3+'5. Scenarios'!$D$8))/4+INDEX(BookQ4,139)*(5-MIN(4,4+'5. Scenarios'!$D$8))/4)*'5. Scenarios'!$D$6/(1+ProductivityDefault*('5. Scenarios'!$D$11-1))+INDEX(BookOneOff,139)*$N144)</f>
        <v/>
      </c>
      <c r="S144" s="56" t="str">
        <f aca="false">IF(INDEX(BookTitle,139)="","",INDEX(BookTotal,139)*'5. Scenarios'!$E$6/(1+ProductivityDefault*('5. Scenarios'!$E$11-1)))</f>
        <v/>
      </c>
      <c r="T144" s="57" t="str">
        <f aca="false">IF($S144="","",INDEX(BookRate,139)*(1+'5. Scenarios'!$E$10)*$S144)</f>
        <v/>
      </c>
      <c r="U144" s="57" t="str">
        <f aca="false">IF($T144="","",SUMIFS($T$6:$T$2405,$A$6:$A$2405,"&lt;="&amp;$A144))</f>
        <v/>
      </c>
      <c r="V144" s="57" t="str">
        <f aca="false">IF($T144="","",IF($U144&lt;=BankCostEnvelope*'5. Scenarios'!$E$7,1,0))</f>
        <v/>
      </c>
      <c r="W144" s="57" t="str">
        <f aca="false">IF($S144="","",INDEX(BookRate,139)*(1+'5. Scenarios'!$E$10)*(INDEX(BookQ1,139)*(5-MIN(4,1+'5. Scenarios'!$E$8))/4+INDEX(BookQ2,139)*(5-MIN(4,2+'5. Scenarios'!$E$8))/4+INDEX(BookQ3,139)*(5-MIN(4,3+'5. Scenarios'!$E$8))/4+INDEX(BookQ4,139)*(5-MIN(4,4+'5. Scenarios'!$E$8))/4)*'5. Scenarios'!$E$6/(1+ProductivityDefault*('5. Scenarios'!$E$11-1))+INDEX(BookOneOff,139)*$S144)</f>
        <v/>
      </c>
    </row>
    <row r="145" customFormat="false" ht="15" hidden="false" customHeight="false" outlineLevel="0" collapsed="false">
      <c r="A145" s="0" t="str">
        <f aca="false">IF(INDEX(BookTitle,140)="","",INDEX(BookKey,140))</f>
        <v/>
      </c>
      <c r="B145" s="0" t="str">
        <f aca="false">IF(INDEX(BookTitle,140)="","",INDEX(BookGroup,140))</f>
        <v/>
      </c>
      <c r="C145" s="0" t="str">
        <f aca="false">IF(INDEX(BookTitle,140)="","",INDEX(BookCategory,140))</f>
        <v/>
      </c>
      <c r="D145" s="56" t="str">
        <f aca="false">IF(INDEX(BookTitle,140)="","",INDEX(BookTotal,140)*'5. Scenarios'!$B$6/(1+ProductivityDefault*('5. Scenarios'!$B$11-1)))</f>
        <v/>
      </c>
      <c r="E145" s="57" t="str">
        <f aca="false">IF($D145="","",INDEX(BookRate,140)*(1+'5. Scenarios'!$B$10)*$D145)</f>
        <v/>
      </c>
      <c r="F145" s="57" t="str">
        <f aca="false">IF($E145="","",SUMIFS($E$6:$E$2405,$A$6:$A$2405,"&lt;="&amp;$A145))</f>
        <v/>
      </c>
      <c r="G145" s="57" t="str">
        <f aca="false">IF($E145="","",IF($F145&lt;=BankCostEnvelope*'5. Scenarios'!$B$7,1,0))</f>
        <v/>
      </c>
      <c r="H145" s="57" t="str">
        <f aca="false">IF($D145="","",INDEX(BookRate,140)*(1+'5. Scenarios'!$B$10)*(INDEX(BookQ1,140)*(5-MIN(4,1+'5. Scenarios'!$B$8))/4+INDEX(BookQ2,140)*(5-MIN(4,2+'5. Scenarios'!$B$8))/4+INDEX(BookQ3,140)*(5-MIN(4,3+'5. Scenarios'!$B$8))/4+INDEX(BookQ4,140)*(5-MIN(4,4+'5. Scenarios'!$B$8))/4)*'5. Scenarios'!$B$6/(1+ProductivityDefault*('5. Scenarios'!$B$11-1))+INDEX(BookOneOff,140)*$D145)</f>
        <v/>
      </c>
      <c r="I145" s="56" t="str">
        <f aca="false">IF(INDEX(BookTitle,140)="","",INDEX(BookTotal,140)*'5. Scenarios'!$C$6/(1+ProductivityDefault*('5. Scenarios'!$C$11-1)))</f>
        <v/>
      </c>
      <c r="J145" s="57" t="str">
        <f aca="false">IF($I145="","",INDEX(BookRate,140)*(1+'5. Scenarios'!$C$10)*$I145)</f>
        <v/>
      </c>
      <c r="K145" s="57" t="str">
        <f aca="false">IF($J145="","",SUMIFS($J$6:$J$2405,$A$6:$A$2405,"&lt;="&amp;$A145))</f>
        <v/>
      </c>
      <c r="L145" s="57" t="str">
        <f aca="false">IF($J145="","",IF($K145&lt;=BankCostEnvelope*'5. Scenarios'!$C$7,1,0))</f>
        <v/>
      </c>
      <c r="M145" s="57" t="str">
        <f aca="false">IF($I145="","",INDEX(BookRate,140)*(1+'5. Scenarios'!$C$10)*(INDEX(BookQ1,140)*(5-MIN(4,1+'5. Scenarios'!$C$8))/4+INDEX(BookQ2,140)*(5-MIN(4,2+'5. Scenarios'!$C$8))/4+INDEX(BookQ3,140)*(5-MIN(4,3+'5. Scenarios'!$C$8))/4+INDEX(BookQ4,140)*(5-MIN(4,4+'5. Scenarios'!$C$8))/4)*'5. Scenarios'!$C$6/(1+ProductivityDefault*('5. Scenarios'!$C$11-1))+INDEX(BookOneOff,140)*$I145)</f>
        <v/>
      </c>
      <c r="N145" s="56" t="str">
        <f aca="false">IF(INDEX(BookTitle,140)="","",INDEX(BookTotal,140)*'5. Scenarios'!$D$6/(1+ProductivityDefault*('5. Scenarios'!$D$11-1)))</f>
        <v/>
      </c>
      <c r="O145" s="57" t="str">
        <f aca="false">IF($N145="","",INDEX(BookRate,140)*(1+'5. Scenarios'!$D$10)*$N145)</f>
        <v/>
      </c>
      <c r="P145" s="57" t="str">
        <f aca="false">IF($O145="","",SUMIFS($O$6:$O$2405,$A$6:$A$2405,"&lt;="&amp;$A145))</f>
        <v/>
      </c>
      <c r="Q145" s="57" t="str">
        <f aca="false">IF($O145="","",IF($P145&lt;=BankCostEnvelope*'5. Scenarios'!$D$7,1,0))</f>
        <v/>
      </c>
      <c r="R145" s="57" t="str">
        <f aca="false">IF($N145="","",INDEX(BookRate,140)*(1+'5. Scenarios'!$D$10)*(INDEX(BookQ1,140)*(5-MIN(4,1+'5. Scenarios'!$D$8))/4+INDEX(BookQ2,140)*(5-MIN(4,2+'5. Scenarios'!$D$8))/4+INDEX(BookQ3,140)*(5-MIN(4,3+'5. Scenarios'!$D$8))/4+INDEX(BookQ4,140)*(5-MIN(4,4+'5. Scenarios'!$D$8))/4)*'5. Scenarios'!$D$6/(1+ProductivityDefault*('5. Scenarios'!$D$11-1))+INDEX(BookOneOff,140)*$N145)</f>
        <v/>
      </c>
      <c r="S145" s="56" t="str">
        <f aca="false">IF(INDEX(BookTitle,140)="","",INDEX(BookTotal,140)*'5. Scenarios'!$E$6/(1+ProductivityDefault*('5. Scenarios'!$E$11-1)))</f>
        <v/>
      </c>
      <c r="T145" s="57" t="str">
        <f aca="false">IF($S145="","",INDEX(BookRate,140)*(1+'5. Scenarios'!$E$10)*$S145)</f>
        <v/>
      </c>
      <c r="U145" s="57" t="str">
        <f aca="false">IF($T145="","",SUMIFS($T$6:$T$2405,$A$6:$A$2405,"&lt;="&amp;$A145))</f>
        <v/>
      </c>
      <c r="V145" s="57" t="str">
        <f aca="false">IF($T145="","",IF($U145&lt;=BankCostEnvelope*'5. Scenarios'!$E$7,1,0))</f>
        <v/>
      </c>
      <c r="W145" s="57" t="str">
        <f aca="false">IF($S145="","",INDEX(BookRate,140)*(1+'5. Scenarios'!$E$10)*(INDEX(BookQ1,140)*(5-MIN(4,1+'5. Scenarios'!$E$8))/4+INDEX(BookQ2,140)*(5-MIN(4,2+'5. Scenarios'!$E$8))/4+INDEX(BookQ3,140)*(5-MIN(4,3+'5. Scenarios'!$E$8))/4+INDEX(BookQ4,140)*(5-MIN(4,4+'5. Scenarios'!$E$8))/4)*'5. Scenarios'!$E$6/(1+ProductivityDefault*('5. Scenarios'!$E$11-1))+INDEX(BookOneOff,140)*$S145)</f>
        <v/>
      </c>
    </row>
    <row r="146" customFormat="false" ht="15" hidden="false" customHeight="false" outlineLevel="0" collapsed="false">
      <c r="A146" s="0" t="str">
        <f aca="false">IF(INDEX(BookTitle,141)="","",INDEX(BookKey,141))</f>
        <v/>
      </c>
      <c r="B146" s="0" t="str">
        <f aca="false">IF(INDEX(BookTitle,141)="","",INDEX(BookGroup,141))</f>
        <v/>
      </c>
      <c r="C146" s="0" t="str">
        <f aca="false">IF(INDEX(BookTitle,141)="","",INDEX(BookCategory,141))</f>
        <v/>
      </c>
      <c r="D146" s="56" t="str">
        <f aca="false">IF(INDEX(BookTitle,141)="","",INDEX(BookTotal,141)*'5. Scenarios'!$B$6/(1+ProductivityDefault*('5. Scenarios'!$B$11-1)))</f>
        <v/>
      </c>
      <c r="E146" s="57" t="str">
        <f aca="false">IF($D146="","",INDEX(BookRate,141)*(1+'5. Scenarios'!$B$10)*$D146)</f>
        <v/>
      </c>
      <c r="F146" s="57" t="str">
        <f aca="false">IF($E146="","",SUMIFS($E$6:$E$2405,$A$6:$A$2405,"&lt;="&amp;$A146))</f>
        <v/>
      </c>
      <c r="G146" s="57" t="str">
        <f aca="false">IF($E146="","",IF($F146&lt;=BankCostEnvelope*'5. Scenarios'!$B$7,1,0))</f>
        <v/>
      </c>
      <c r="H146" s="57" t="str">
        <f aca="false">IF($D146="","",INDEX(BookRate,141)*(1+'5. Scenarios'!$B$10)*(INDEX(BookQ1,141)*(5-MIN(4,1+'5. Scenarios'!$B$8))/4+INDEX(BookQ2,141)*(5-MIN(4,2+'5. Scenarios'!$B$8))/4+INDEX(BookQ3,141)*(5-MIN(4,3+'5. Scenarios'!$B$8))/4+INDEX(BookQ4,141)*(5-MIN(4,4+'5. Scenarios'!$B$8))/4)*'5. Scenarios'!$B$6/(1+ProductivityDefault*('5. Scenarios'!$B$11-1))+INDEX(BookOneOff,141)*$D146)</f>
        <v/>
      </c>
      <c r="I146" s="56" t="str">
        <f aca="false">IF(INDEX(BookTitle,141)="","",INDEX(BookTotal,141)*'5. Scenarios'!$C$6/(1+ProductivityDefault*('5. Scenarios'!$C$11-1)))</f>
        <v/>
      </c>
      <c r="J146" s="57" t="str">
        <f aca="false">IF($I146="","",INDEX(BookRate,141)*(1+'5. Scenarios'!$C$10)*$I146)</f>
        <v/>
      </c>
      <c r="K146" s="57" t="str">
        <f aca="false">IF($J146="","",SUMIFS($J$6:$J$2405,$A$6:$A$2405,"&lt;="&amp;$A146))</f>
        <v/>
      </c>
      <c r="L146" s="57" t="str">
        <f aca="false">IF($J146="","",IF($K146&lt;=BankCostEnvelope*'5. Scenarios'!$C$7,1,0))</f>
        <v/>
      </c>
      <c r="M146" s="57" t="str">
        <f aca="false">IF($I146="","",INDEX(BookRate,141)*(1+'5. Scenarios'!$C$10)*(INDEX(BookQ1,141)*(5-MIN(4,1+'5. Scenarios'!$C$8))/4+INDEX(BookQ2,141)*(5-MIN(4,2+'5. Scenarios'!$C$8))/4+INDEX(BookQ3,141)*(5-MIN(4,3+'5. Scenarios'!$C$8))/4+INDEX(BookQ4,141)*(5-MIN(4,4+'5. Scenarios'!$C$8))/4)*'5. Scenarios'!$C$6/(1+ProductivityDefault*('5. Scenarios'!$C$11-1))+INDEX(BookOneOff,141)*$I146)</f>
        <v/>
      </c>
      <c r="N146" s="56" t="str">
        <f aca="false">IF(INDEX(BookTitle,141)="","",INDEX(BookTotal,141)*'5. Scenarios'!$D$6/(1+ProductivityDefault*('5. Scenarios'!$D$11-1)))</f>
        <v/>
      </c>
      <c r="O146" s="57" t="str">
        <f aca="false">IF($N146="","",INDEX(BookRate,141)*(1+'5. Scenarios'!$D$10)*$N146)</f>
        <v/>
      </c>
      <c r="P146" s="57" t="str">
        <f aca="false">IF($O146="","",SUMIFS($O$6:$O$2405,$A$6:$A$2405,"&lt;="&amp;$A146))</f>
        <v/>
      </c>
      <c r="Q146" s="57" t="str">
        <f aca="false">IF($O146="","",IF($P146&lt;=BankCostEnvelope*'5. Scenarios'!$D$7,1,0))</f>
        <v/>
      </c>
      <c r="R146" s="57" t="str">
        <f aca="false">IF($N146="","",INDEX(BookRate,141)*(1+'5. Scenarios'!$D$10)*(INDEX(BookQ1,141)*(5-MIN(4,1+'5. Scenarios'!$D$8))/4+INDEX(BookQ2,141)*(5-MIN(4,2+'5. Scenarios'!$D$8))/4+INDEX(BookQ3,141)*(5-MIN(4,3+'5. Scenarios'!$D$8))/4+INDEX(BookQ4,141)*(5-MIN(4,4+'5. Scenarios'!$D$8))/4)*'5. Scenarios'!$D$6/(1+ProductivityDefault*('5. Scenarios'!$D$11-1))+INDEX(BookOneOff,141)*$N146)</f>
        <v/>
      </c>
      <c r="S146" s="56" t="str">
        <f aca="false">IF(INDEX(BookTitle,141)="","",INDEX(BookTotal,141)*'5. Scenarios'!$E$6/(1+ProductivityDefault*('5. Scenarios'!$E$11-1)))</f>
        <v/>
      </c>
      <c r="T146" s="57" t="str">
        <f aca="false">IF($S146="","",INDEX(BookRate,141)*(1+'5. Scenarios'!$E$10)*$S146)</f>
        <v/>
      </c>
      <c r="U146" s="57" t="str">
        <f aca="false">IF($T146="","",SUMIFS($T$6:$T$2405,$A$6:$A$2405,"&lt;="&amp;$A146))</f>
        <v/>
      </c>
      <c r="V146" s="57" t="str">
        <f aca="false">IF($T146="","",IF($U146&lt;=BankCostEnvelope*'5. Scenarios'!$E$7,1,0))</f>
        <v/>
      </c>
      <c r="W146" s="57" t="str">
        <f aca="false">IF($S146="","",INDEX(BookRate,141)*(1+'5. Scenarios'!$E$10)*(INDEX(BookQ1,141)*(5-MIN(4,1+'5. Scenarios'!$E$8))/4+INDEX(BookQ2,141)*(5-MIN(4,2+'5. Scenarios'!$E$8))/4+INDEX(BookQ3,141)*(5-MIN(4,3+'5. Scenarios'!$E$8))/4+INDEX(BookQ4,141)*(5-MIN(4,4+'5. Scenarios'!$E$8))/4)*'5. Scenarios'!$E$6/(1+ProductivityDefault*('5. Scenarios'!$E$11-1))+INDEX(BookOneOff,141)*$S146)</f>
        <v/>
      </c>
    </row>
    <row r="147" customFormat="false" ht="15" hidden="false" customHeight="false" outlineLevel="0" collapsed="false">
      <c r="A147" s="0" t="str">
        <f aca="false">IF(INDEX(BookTitle,142)="","",INDEX(BookKey,142))</f>
        <v/>
      </c>
      <c r="B147" s="0" t="str">
        <f aca="false">IF(INDEX(BookTitle,142)="","",INDEX(BookGroup,142))</f>
        <v/>
      </c>
      <c r="C147" s="0" t="str">
        <f aca="false">IF(INDEX(BookTitle,142)="","",INDEX(BookCategory,142))</f>
        <v/>
      </c>
      <c r="D147" s="56" t="str">
        <f aca="false">IF(INDEX(BookTitle,142)="","",INDEX(BookTotal,142)*'5. Scenarios'!$B$6/(1+ProductivityDefault*('5. Scenarios'!$B$11-1)))</f>
        <v/>
      </c>
      <c r="E147" s="57" t="str">
        <f aca="false">IF($D147="","",INDEX(BookRate,142)*(1+'5. Scenarios'!$B$10)*$D147)</f>
        <v/>
      </c>
      <c r="F147" s="57" t="str">
        <f aca="false">IF($E147="","",SUMIFS($E$6:$E$2405,$A$6:$A$2405,"&lt;="&amp;$A147))</f>
        <v/>
      </c>
      <c r="G147" s="57" t="str">
        <f aca="false">IF($E147="","",IF($F147&lt;=BankCostEnvelope*'5. Scenarios'!$B$7,1,0))</f>
        <v/>
      </c>
      <c r="H147" s="57" t="str">
        <f aca="false">IF($D147="","",INDEX(BookRate,142)*(1+'5. Scenarios'!$B$10)*(INDEX(BookQ1,142)*(5-MIN(4,1+'5. Scenarios'!$B$8))/4+INDEX(BookQ2,142)*(5-MIN(4,2+'5. Scenarios'!$B$8))/4+INDEX(BookQ3,142)*(5-MIN(4,3+'5. Scenarios'!$B$8))/4+INDEX(BookQ4,142)*(5-MIN(4,4+'5. Scenarios'!$B$8))/4)*'5. Scenarios'!$B$6/(1+ProductivityDefault*('5. Scenarios'!$B$11-1))+INDEX(BookOneOff,142)*$D147)</f>
        <v/>
      </c>
      <c r="I147" s="56" t="str">
        <f aca="false">IF(INDEX(BookTitle,142)="","",INDEX(BookTotal,142)*'5. Scenarios'!$C$6/(1+ProductivityDefault*('5. Scenarios'!$C$11-1)))</f>
        <v/>
      </c>
      <c r="J147" s="57" t="str">
        <f aca="false">IF($I147="","",INDEX(BookRate,142)*(1+'5. Scenarios'!$C$10)*$I147)</f>
        <v/>
      </c>
      <c r="K147" s="57" t="str">
        <f aca="false">IF($J147="","",SUMIFS($J$6:$J$2405,$A$6:$A$2405,"&lt;="&amp;$A147))</f>
        <v/>
      </c>
      <c r="L147" s="57" t="str">
        <f aca="false">IF($J147="","",IF($K147&lt;=BankCostEnvelope*'5. Scenarios'!$C$7,1,0))</f>
        <v/>
      </c>
      <c r="M147" s="57" t="str">
        <f aca="false">IF($I147="","",INDEX(BookRate,142)*(1+'5. Scenarios'!$C$10)*(INDEX(BookQ1,142)*(5-MIN(4,1+'5. Scenarios'!$C$8))/4+INDEX(BookQ2,142)*(5-MIN(4,2+'5. Scenarios'!$C$8))/4+INDEX(BookQ3,142)*(5-MIN(4,3+'5. Scenarios'!$C$8))/4+INDEX(BookQ4,142)*(5-MIN(4,4+'5. Scenarios'!$C$8))/4)*'5. Scenarios'!$C$6/(1+ProductivityDefault*('5. Scenarios'!$C$11-1))+INDEX(BookOneOff,142)*$I147)</f>
        <v/>
      </c>
      <c r="N147" s="56" t="str">
        <f aca="false">IF(INDEX(BookTitle,142)="","",INDEX(BookTotal,142)*'5. Scenarios'!$D$6/(1+ProductivityDefault*('5. Scenarios'!$D$11-1)))</f>
        <v/>
      </c>
      <c r="O147" s="57" t="str">
        <f aca="false">IF($N147="","",INDEX(BookRate,142)*(1+'5. Scenarios'!$D$10)*$N147)</f>
        <v/>
      </c>
      <c r="P147" s="57" t="str">
        <f aca="false">IF($O147="","",SUMIFS($O$6:$O$2405,$A$6:$A$2405,"&lt;="&amp;$A147))</f>
        <v/>
      </c>
      <c r="Q147" s="57" t="str">
        <f aca="false">IF($O147="","",IF($P147&lt;=BankCostEnvelope*'5. Scenarios'!$D$7,1,0))</f>
        <v/>
      </c>
      <c r="R147" s="57" t="str">
        <f aca="false">IF($N147="","",INDEX(BookRate,142)*(1+'5. Scenarios'!$D$10)*(INDEX(BookQ1,142)*(5-MIN(4,1+'5. Scenarios'!$D$8))/4+INDEX(BookQ2,142)*(5-MIN(4,2+'5. Scenarios'!$D$8))/4+INDEX(BookQ3,142)*(5-MIN(4,3+'5. Scenarios'!$D$8))/4+INDEX(BookQ4,142)*(5-MIN(4,4+'5. Scenarios'!$D$8))/4)*'5. Scenarios'!$D$6/(1+ProductivityDefault*('5. Scenarios'!$D$11-1))+INDEX(BookOneOff,142)*$N147)</f>
        <v/>
      </c>
      <c r="S147" s="56" t="str">
        <f aca="false">IF(INDEX(BookTitle,142)="","",INDEX(BookTotal,142)*'5. Scenarios'!$E$6/(1+ProductivityDefault*('5. Scenarios'!$E$11-1)))</f>
        <v/>
      </c>
      <c r="T147" s="57" t="str">
        <f aca="false">IF($S147="","",INDEX(BookRate,142)*(1+'5. Scenarios'!$E$10)*$S147)</f>
        <v/>
      </c>
      <c r="U147" s="57" t="str">
        <f aca="false">IF($T147="","",SUMIFS($T$6:$T$2405,$A$6:$A$2405,"&lt;="&amp;$A147))</f>
        <v/>
      </c>
      <c r="V147" s="57" t="str">
        <f aca="false">IF($T147="","",IF($U147&lt;=BankCostEnvelope*'5. Scenarios'!$E$7,1,0))</f>
        <v/>
      </c>
      <c r="W147" s="57" t="str">
        <f aca="false">IF($S147="","",INDEX(BookRate,142)*(1+'5. Scenarios'!$E$10)*(INDEX(BookQ1,142)*(5-MIN(4,1+'5. Scenarios'!$E$8))/4+INDEX(BookQ2,142)*(5-MIN(4,2+'5. Scenarios'!$E$8))/4+INDEX(BookQ3,142)*(5-MIN(4,3+'5. Scenarios'!$E$8))/4+INDEX(BookQ4,142)*(5-MIN(4,4+'5. Scenarios'!$E$8))/4)*'5. Scenarios'!$E$6/(1+ProductivityDefault*('5. Scenarios'!$E$11-1))+INDEX(BookOneOff,142)*$S147)</f>
        <v/>
      </c>
    </row>
    <row r="148" customFormat="false" ht="15" hidden="false" customHeight="false" outlineLevel="0" collapsed="false">
      <c r="A148" s="0" t="str">
        <f aca="false">IF(INDEX(BookTitle,143)="","",INDEX(BookKey,143))</f>
        <v/>
      </c>
      <c r="B148" s="0" t="str">
        <f aca="false">IF(INDEX(BookTitle,143)="","",INDEX(BookGroup,143))</f>
        <v/>
      </c>
      <c r="C148" s="0" t="str">
        <f aca="false">IF(INDEX(BookTitle,143)="","",INDEX(BookCategory,143))</f>
        <v/>
      </c>
      <c r="D148" s="56" t="str">
        <f aca="false">IF(INDEX(BookTitle,143)="","",INDEX(BookTotal,143)*'5. Scenarios'!$B$6/(1+ProductivityDefault*('5. Scenarios'!$B$11-1)))</f>
        <v/>
      </c>
      <c r="E148" s="57" t="str">
        <f aca="false">IF($D148="","",INDEX(BookRate,143)*(1+'5. Scenarios'!$B$10)*$D148)</f>
        <v/>
      </c>
      <c r="F148" s="57" t="str">
        <f aca="false">IF($E148="","",SUMIFS($E$6:$E$2405,$A$6:$A$2405,"&lt;="&amp;$A148))</f>
        <v/>
      </c>
      <c r="G148" s="57" t="str">
        <f aca="false">IF($E148="","",IF($F148&lt;=BankCostEnvelope*'5. Scenarios'!$B$7,1,0))</f>
        <v/>
      </c>
      <c r="H148" s="57" t="str">
        <f aca="false">IF($D148="","",INDEX(BookRate,143)*(1+'5. Scenarios'!$B$10)*(INDEX(BookQ1,143)*(5-MIN(4,1+'5. Scenarios'!$B$8))/4+INDEX(BookQ2,143)*(5-MIN(4,2+'5. Scenarios'!$B$8))/4+INDEX(BookQ3,143)*(5-MIN(4,3+'5. Scenarios'!$B$8))/4+INDEX(BookQ4,143)*(5-MIN(4,4+'5. Scenarios'!$B$8))/4)*'5. Scenarios'!$B$6/(1+ProductivityDefault*('5. Scenarios'!$B$11-1))+INDEX(BookOneOff,143)*$D148)</f>
        <v/>
      </c>
      <c r="I148" s="56" t="str">
        <f aca="false">IF(INDEX(BookTitle,143)="","",INDEX(BookTotal,143)*'5. Scenarios'!$C$6/(1+ProductivityDefault*('5. Scenarios'!$C$11-1)))</f>
        <v/>
      </c>
      <c r="J148" s="57" t="str">
        <f aca="false">IF($I148="","",INDEX(BookRate,143)*(1+'5. Scenarios'!$C$10)*$I148)</f>
        <v/>
      </c>
      <c r="K148" s="57" t="str">
        <f aca="false">IF($J148="","",SUMIFS($J$6:$J$2405,$A$6:$A$2405,"&lt;="&amp;$A148))</f>
        <v/>
      </c>
      <c r="L148" s="57" t="str">
        <f aca="false">IF($J148="","",IF($K148&lt;=BankCostEnvelope*'5. Scenarios'!$C$7,1,0))</f>
        <v/>
      </c>
      <c r="M148" s="57" t="str">
        <f aca="false">IF($I148="","",INDEX(BookRate,143)*(1+'5. Scenarios'!$C$10)*(INDEX(BookQ1,143)*(5-MIN(4,1+'5. Scenarios'!$C$8))/4+INDEX(BookQ2,143)*(5-MIN(4,2+'5. Scenarios'!$C$8))/4+INDEX(BookQ3,143)*(5-MIN(4,3+'5. Scenarios'!$C$8))/4+INDEX(BookQ4,143)*(5-MIN(4,4+'5. Scenarios'!$C$8))/4)*'5. Scenarios'!$C$6/(1+ProductivityDefault*('5. Scenarios'!$C$11-1))+INDEX(BookOneOff,143)*$I148)</f>
        <v/>
      </c>
      <c r="N148" s="56" t="str">
        <f aca="false">IF(INDEX(BookTitle,143)="","",INDEX(BookTotal,143)*'5. Scenarios'!$D$6/(1+ProductivityDefault*('5. Scenarios'!$D$11-1)))</f>
        <v/>
      </c>
      <c r="O148" s="57" t="str">
        <f aca="false">IF($N148="","",INDEX(BookRate,143)*(1+'5. Scenarios'!$D$10)*$N148)</f>
        <v/>
      </c>
      <c r="P148" s="57" t="str">
        <f aca="false">IF($O148="","",SUMIFS($O$6:$O$2405,$A$6:$A$2405,"&lt;="&amp;$A148))</f>
        <v/>
      </c>
      <c r="Q148" s="57" t="str">
        <f aca="false">IF($O148="","",IF($P148&lt;=BankCostEnvelope*'5. Scenarios'!$D$7,1,0))</f>
        <v/>
      </c>
      <c r="R148" s="57" t="str">
        <f aca="false">IF($N148="","",INDEX(BookRate,143)*(1+'5. Scenarios'!$D$10)*(INDEX(BookQ1,143)*(5-MIN(4,1+'5. Scenarios'!$D$8))/4+INDEX(BookQ2,143)*(5-MIN(4,2+'5. Scenarios'!$D$8))/4+INDEX(BookQ3,143)*(5-MIN(4,3+'5. Scenarios'!$D$8))/4+INDEX(BookQ4,143)*(5-MIN(4,4+'5. Scenarios'!$D$8))/4)*'5. Scenarios'!$D$6/(1+ProductivityDefault*('5. Scenarios'!$D$11-1))+INDEX(BookOneOff,143)*$N148)</f>
        <v/>
      </c>
      <c r="S148" s="56" t="str">
        <f aca="false">IF(INDEX(BookTitle,143)="","",INDEX(BookTotal,143)*'5. Scenarios'!$E$6/(1+ProductivityDefault*('5. Scenarios'!$E$11-1)))</f>
        <v/>
      </c>
      <c r="T148" s="57" t="str">
        <f aca="false">IF($S148="","",INDEX(BookRate,143)*(1+'5. Scenarios'!$E$10)*$S148)</f>
        <v/>
      </c>
      <c r="U148" s="57" t="str">
        <f aca="false">IF($T148="","",SUMIFS($T$6:$T$2405,$A$6:$A$2405,"&lt;="&amp;$A148))</f>
        <v/>
      </c>
      <c r="V148" s="57" t="str">
        <f aca="false">IF($T148="","",IF($U148&lt;=BankCostEnvelope*'5. Scenarios'!$E$7,1,0))</f>
        <v/>
      </c>
      <c r="W148" s="57" t="str">
        <f aca="false">IF($S148="","",INDEX(BookRate,143)*(1+'5. Scenarios'!$E$10)*(INDEX(BookQ1,143)*(5-MIN(4,1+'5. Scenarios'!$E$8))/4+INDEX(BookQ2,143)*(5-MIN(4,2+'5. Scenarios'!$E$8))/4+INDEX(BookQ3,143)*(5-MIN(4,3+'5. Scenarios'!$E$8))/4+INDEX(BookQ4,143)*(5-MIN(4,4+'5. Scenarios'!$E$8))/4)*'5. Scenarios'!$E$6/(1+ProductivityDefault*('5. Scenarios'!$E$11-1))+INDEX(BookOneOff,143)*$S148)</f>
        <v/>
      </c>
    </row>
    <row r="149" customFormat="false" ht="15" hidden="false" customHeight="false" outlineLevel="0" collapsed="false">
      <c r="A149" s="0" t="str">
        <f aca="false">IF(INDEX(BookTitle,144)="","",INDEX(BookKey,144))</f>
        <v/>
      </c>
      <c r="B149" s="0" t="str">
        <f aca="false">IF(INDEX(BookTitle,144)="","",INDEX(BookGroup,144))</f>
        <v/>
      </c>
      <c r="C149" s="0" t="str">
        <f aca="false">IF(INDEX(BookTitle,144)="","",INDEX(BookCategory,144))</f>
        <v/>
      </c>
      <c r="D149" s="56" t="str">
        <f aca="false">IF(INDEX(BookTitle,144)="","",INDEX(BookTotal,144)*'5. Scenarios'!$B$6/(1+ProductivityDefault*('5. Scenarios'!$B$11-1)))</f>
        <v/>
      </c>
      <c r="E149" s="57" t="str">
        <f aca="false">IF($D149="","",INDEX(BookRate,144)*(1+'5. Scenarios'!$B$10)*$D149)</f>
        <v/>
      </c>
      <c r="F149" s="57" t="str">
        <f aca="false">IF($E149="","",SUMIFS($E$6:$E$2405,$A$6:$A$2405,"&lt;="&amp;$A149))</f>
        <v/>
      </c>
      <c r="G149" s="57" t="str">
        <f aca="false">IF($E149="","",IF($F149&lt;=BankCostEnvelope*'5. Scenarios'!$B$7,1,0))</f>
        <v/>
      </c>
      <c r="H149" s="57" t="str">
        <f aca="false">IF($D149="","",INDEX(BookRate,144)*(1+'5. Scenarios'!$B$10)*(INDEX(BookQ1,144)*(5-MIN(4,1+'5. Scenarios'!$B$8))/4+INDEX(BookQ2,144)*(5-MIN(4,2+'5. Scenarios'!$B$8))/4+INDEX(BookQ3,144)*(5-MIN(4,3+'5. Scenarios'!$B$8))/4+INDEX(BookQ4,144)*(5-MIN(4,4+'5. Scenarios'!$B$8))/4)*'5. Scenarios'!$B$6/(1+ProductivityDefault*('5. Scenarios'!$B$11-1))+INDEX(BookOneOff,144)*$D149)</f>
        <v/>
      </c>
      <c r="I149" s="56" t="str">
        <f aca="false">IF(INDEX(BookTitle,144)="","",INDEX(BookTotal,144)*'5. Scenarios'!$C$6/(1+ProductivityDefault*('5. Scenarios'!$C$11-1)))</f>
        <v/>
      </c>
      <c r="J149" s="57" t="str">
        <f aca="false">IF($I149="","",INDEX(BookRate,144)*(1+'5. Scenarios'!$C$10)*$I149)</f>
        <v/>
      </c>
      <c r="K149" s="57" t="str">
        <f aca="false">IF($J149="","",SUMIFS($J$6:$J$2405,$A$6:$A$2405,"&lt;="&amp;$A149))</f>
        <v/>
      </c>
      <c r="L149" s="57" t="str">
        <f aca="false">IF($J149="","",IF($K149&lt;=BankCostEnvelope*'5. Scenarios'!$C$7,1,0))</f>
        <v/>
      </c>
      <c r="M149" s="57" t="str">
        <f aca="false">IF($I149="","",INDEX(BookRate,144)*(1+'5. Scenarios'!$C$10)*(INDEX(BookQ1,144)*(5-MIN(4,1+'5. Scenarios'!$C$8))/4+INDEX(BookQ2,144)*(5-MIN(4,2+'5. Scenarios'!$C$8))/4+INDEX(BookQ3,144)*(5-MIN(4,3+'5. Scenarios'!$C$8))/4+INDEX(BookQ4,144)*(5-MIN(4,4+'5. Scenarios'!$C$8))/4)*'5. Scenarios'!$C$6/(1+ProductivityDefault*('5. Scenarios'!$C$11-1))+INDEX(BookOneOff,144)*$I149)</f>
        <v/>
      </c>
      <c r="N149" s="56" t="str">
        <f aca="false">IF(INDEX(BookTitle,144)="","",INDEX(BookTotal,144)*'5. Scenarios'!$D$6/(1+ProductivityDefault*('5. Scenarios'!$D$11-1)))</f>
        <v/>
      </c>
      <c r="O149" s="57" t="str">
        <f aca="false">IF($N149="","",INDEX(BookRate,144)*(1+'5. Scenarios'!$D$10)*$N149)</f>
        <v/>
      </c>
      <c r="P149" s="57" t="str">
        <f aca="false">IF($O149="","",SUMIFS($O$6:$O$2405,$A$6:$A$2405,"&lt;="&amp;$A149))</f>
        <v/>
      </c>
      <c r="Q149" s="57" t="str">
        <f aca="false">IF($O149="","",IF($P149&lt;=BankCostEnvelope*'5. Scenarios'!$D$7,1,0))</f>
        <v/>
      </c>
      <c r="R149" s="57" t="str">
        <f aca="false">IF($N149="","",INDEX(BookRate,144)*(1+'5. Scenarios'!$D$10)*(INDEX(BookQ1,144)*(5-MIN(4,1+'5. Scenarios'!$D$8))/4+INDEX(BookQ2,144)*(5-MIN(4,2+'5. Scenarios'!$D$8))/4+INDEX(BookQ3,144)*(5-MIN(4,3+'5. Scenarios'!$D$8))/4+INDEX(BookQ4,144)*(5-MIN(4,4+'5. Scenarios'!$D$8))/4)*'5. Scenarios'!$D$6/(1+ProductivityDefault*('5. Scenarios'!$D$11-1))+INDEX(BookOneOff,144)*$N149)</f>
        <v/>
      </c>
      <c r="S149" s="56" t="str">
        <f aca="false">IF(INDEX(BookTitle,144)="","",INDEX(BookTotal,144)*'5. Scenarios'!$E$6/(1+ProductivityDefault*('5. Scenarios'!$E$11-1)))</f>
        <v/>
      </c>
      <c r="T149" s="57" t="str">
        <f aca="false">IF($S149="","",INDEX(BookRate,144)*(1+'5. Scenarios'!$E$10)*$S149)</f>
        <v/>
      </c>
      <c r="U149" s="57" t="str">
        <f aca="false">IF($T149="","",SUMIFS($T$6:$T$2405,$A$6:$A$2405,"&lt;="&amp;$A149))</f>
        <v/>
      </c>
      <c r="V149" s="57" t="str">
        <f aca="false">IF($T149="","",IF($U149&lt;=BankCostEnvelope*'5. Scenarios'!$E$7,1,0))</f>
        <v/>
      </c>
      <c r="W149" s="57" t="str">
        <f aca="false">IF($S149="","",INDEX(BookRate,144)*(1+'5. Scenarios'!$E$10)*(INDEX(BookQ1,144)*(5-MIN(4,1+'5. Scenarios'!$E$8))/4+INDEX(BookQ2,144)*(5-MIN(4,2+'5. Scenarios'!$E$8))/4+INDEX(BookQ3,144)*(5-MIN(4,3+'5. Scenarios'!$E$8))/4+INDEX(BookQ4,144)*(5-MIN(4,4+'5. Scenarios'!$E$8))/4)*'5. Scenarios'!$E$6/(1+ProductivityDefault*('5. Scenarios'!$E$11-1))+INDEX(BookOneOff,144)*$S149)</f>
        <v/>
      </c>
    </row>
    <row r="150" customFormat="false" ht="15" hidden="false" customHeight="false" outlineLevel="0" collapsed="false">
      <c r="A150" s="0" t="str">
        <f aca="false">IF(INDEX(BookTitle,145)="","",INDEX(BookKey,145))</f>
        <v/>
      </c>
      <c r="B150" s="0" t="str">
        <f aca="false">IF(INDEX(BookTitle,145)="","",INDEX(BookGroup,145))</f>
        <v/>
      </c>
      <c r="C150" s="0" t="str">
        <f aca="false">IF(INDEX(BookTitle,145)="","",INDEX(BookCategory,145))</f>
        <v/>
      </c>
      <c r="D150" s="56" t="str">
        <f aca="false">IF(INDEX(BookTitle,145)="","",INDEX(BookTotal,145)*'5. Scenarios'!$B$6/(1+ProductivityDefault*('5. Scenarios'!$B$11-1)))</f>
        <v/>
      </c>
      <c r="E150" s="57" t="str">
        <f aca="false">IF($D150="","",INDEX(BookRate,145)*(1+'5. Scenarios'!$B$10)*$D150)</f>
        <v/>
      </c>
      <c r="F150" s="57" t="str">
        <f aca="false">IF($E150="","",SUMIFS($E$6:$E$2405,$A$6:$A$2405,"&lt;="&amp;$A150))</f>
        <v/>
      </c>
      <c r="G150" s="57" t="str">
        <f aca="false">IF($E150="","",IF($F150&lt;=BankCostEnvelope*'5. Scenarios'!$B$7,1,0))</f>
        <v/>
      </c>
      <c r="H150" s="57" t="str">
        <f aca="false">IF($D150="","",INDEX(BookRate,145)*(1+'5. Scenarios'!$B$10)*(INDEX(BookQ1,145)*(5-MIN(4,1+'5. Scenarios'!$B$8))/4+INDEX(BookQ2,145)*(5-MIN(4,2+'5. Scenarios'!$B$8))/4+INDEX(BookQ3,145)*(5-MIN(4,3+'5. Scenarios'!$B$8))/4+INDEX(BookQ4,145)*(5-MIN(4,4+'5. Scenarios'!$B$8))/4)*'5. Scenarios'!$B$6/(1+ProductivityDefault*('5. Scenarios'!$B$11-1))+INDEX(BookOneOff,145)*$D150)</f>
        <v/>
      </c>
      <c r="I150" s="56" t="str">
        <f aca="false">IF(INDEX(BookTitle,145)="","",INDEX(BookTotal,145)*'5. Scenarios'!$C$6/(1+ProductivityDefault*('5. Scenarios'!$C$11-1)))</f>
        <v/>
      </c>
      <c r="J150" s="57" t="str">
        <f aca="false">IF($I150="","",INDEX(BookRate,145)*(1+'5. Scenarios'!$C$10)*$I150)</f>
        <v/>
      </c>
      <c r="K150" s="57" t="str">
        <f aca="false">IF($J150="","",SUMIFS($J$6:$J$2405,$A$6:$A$2405,"&lt;="&amp;$A150))</f>
        <v/>
      </c>
      <c r="L150" s="57" t="str">
        <f aca="false">IF($J150="","",IF($K150&lt;=BankCostEnvelope*'5. Scenarios'!$C$7,1,0))</f>
        <v/>
      </c>
      <c r="M150" s="57" t="str">
        <f aca="false">IF($I150="","",INDEX(BookRate,145)*(1+'5. Scenarios'!$C$10)*(INDEX(BookQ1,145)*(5-MIN(4,1+'5. Scenarios'!$C$8))/4+INDEX(BookQ2,145)*(5-MIN(4,2+'5. Scenarios'!$C$8))/4+INDEX(BookQ3,145)*(5-MIN(4,3+'5. Scenarios'!$C$8))/4+INDEX(BookQ4,145)*(5-MIN(4,4+'5. Scenarios'!$C$8))/4)*'5. Scenarios'!$C$6/(1+ProductivityDefault*('5. Scenarios'!$C$11-1))+INDEX(BookOneOff,145)*$I150)</f>
        <v/>
      </c>
      <c r="N150" s="56" t="str">
        <f aca="false">IF(INDEX(BookTitle,145)="","",INDEX(BookTotal,145)*'5. Scenarios'!$D$6/(1+ProductivityDefault*('5. Scenarios'!$D$11-1)))</f>
        <v/>
      </c>
      <c r="O150" s="57" t="str">
        <f aca="false">IF($N150="","",INDEX(BookRate,145)*(1+'5. Scenarios'!$D$10)*$N150)</f>
        <v/>
      </c>
      <c r="P150" s="57" t="str">
        <f aca="false">IF($O150="","",SUMIFS($O$6:$O$2405,$A$6:$A$2405,"&lt;="&amp;$A150))</f>
        <v/>
      </c>
      <c r="Q150" s="57" t="str">
        <f aca="false">IF($O150="","",IF($P150&lt;=BankCostEnvelope*'5. Scenarios'!$D$7,1,0))</f>
        <v/>
      </c>
      <c r="R150" s="57" t="str">
        <f aca="false">IF($N150="","",INDEX(BookRate,145)*(1+'5. Scenarios'!$D$10)*(INDEX(BookQ1,145)*(5-MIN(4,1+'5. Scenarios'!$D$8))/4+INDEX(BookQ2,145)*(5-MIN(4,2+'5. Scenarios'!$D$8))/4+INDEX(BookQ3,145)*(5-MIN(4,3+'5. Scenarios'!$D$8))/4+INDEX(BookQ4,145)*(5-MIN(4,4+'5. Scenarios'!$D$8))/4)*'5. Scenarios'!$D$6/(1+ProductivityDefault*('5. Scenarios'!$D$11-1))+INDEX(BookOneOff,145)*$N150)</f>
        <v/>
      </c>
      <c r="S150" s="56" t="str">
        <f aca="false">IF(INDEX(BookTitle,145)="","",INDEX(BookTotal,145)*'5. Scenarios'!$E$6/(1+ProductivityDefault*('5. Scenarios'!$E$11-1)))</f>
        <v/>
      </c>
      <c r="T150" s="57" t="str">
        <f aca="false">IF($S150="","",INDEX(BookRate,145)*(1+'5. Scenarios'!$E$10)*$S150)</f>
        <v/>
      </c>
      <c r="U150" s="57" t="str">
        <f aca="false">IF($T150="","",SUMIFS($T$6:$T$2405,$A$6:$A$2405,"&lt;="&amp;$A150))</f>
        <v/>
      </c>
      <c r="V150" s="57" t="str">
        <f aca="false">IF($T150="","",IF($U150&lt;=BankCostEnvelope*'5. Scenarios'!$E$7,1,0))</f>
        <v/>
      </c>
      <c r="W150" s="57" t="str">
        <f aca="false">IF($S150="","",INDEX(BookRate,145)*(1+'5. Scenarios'!$E$10)*(INDEX(BookQ1,145)*(5-MIN(4,1+'5. Scenarios'!$E$8))/4+INDEX(BookQ2,145)*(5-MIN(4,2+'5. Scenarios'!$E$8))/4+INDEX(BookQ3,145)*(5-MIN(4,3+'5. Scenarios'!$E$8))/4+INDEX(BookQ4,145)*(5-MIN(4,4+'5. Scenarios'!$E$8))/4)*'5. Scenarios'!$E$6/(1+ProductivityDefault*('5. Scenarios'!$E$11-1))+INDEX(BookOneOff,145)*$S150)</f>
        <v/>
      </c>
    </row>
    <row r="151" customFormat="false" ht="15" hidden="false" customHeight="false" outlineLevel="0" collapsed="false">
      <c r="A151" s="0" t="str">
        <f aca="false">IF(INDEX(BookTitle,146)="","",INDEX(BookKey,146))</f>
        <v/>
      </c>
      <c r="B151" s="0" t="str">
        <f aca="false">IF(INDEX(BookTitle,146)="","",INDEX(BookGroup,146))</f>
        <v/>
      </c>
      <c r="C151" s="0" t="str">
        <f aca="false">IF(INDEX(BookTitle,146)="","",INDEX(BookCategory,146))</f>
        <v/>
      </c>
      <c r="D151" s="56" t="str">
        <f aca="false">IF(INDEX(BookTitle,146)="","",INDEX(BookTotal,146)*'5. Scenarios'!$B$6/(1+ProductivityDefault*('5. Scenarios'!$B$11-1)))</f>
        <v/>
      </c>
      <c r="E151" s="57" t="str">
        <f aca="false">IF($D151="","",INDEX(BookRate,146)*(1+'5. Scenarios'!$B$10)*$D151)</f>
        <v/>
      </c>
      <c r="F151" s="57" t="str">
        <f aca="false">IF($E151="","",SUMIFS($E$6:$E$2405,$A$6:$A$2405,"&lt;="&amp;$A151))</f>
        <v/>
      </c>
      <c r="G151" s="57" t="str">
        <f aca="false">IF($E151="","",IF($F151&lt;=BankCostEnvelope*'5. Scenarios'!$B$7,1,0))</f>
        <v/>
      </c>
      <c r="H151" s="57" t="str">
        <f aca="false">IF($D151="","",INDEX(BookRate,146)*(1+'5. Scenarios'!$B$10)*(INDEX(BookQ1,146)*(5-MIN(4,1+'5. Scenarios'!$B$8))/4+INDEX(BookQ2,146)*(5-MIN(4,2+'5. Scenarios'!$B$8))/4+INDEX(BookQ3,146)*(5-MIN(4,3+'5. Scenarios'!$B$8))/4+INDEX(BookQ4,146)*(5-MIN(4,4+'5. Scenarios'!$B$8))/4)*'5. Scenarios'!$B$6/(1+ProductivityDefault*('5. Scenarios'!$B$11-1))+INDEX(BookOneOff,146)*$D151)</f>
        <v/>
      </c>
      <c r="I151" s="56" t="str">
        <f aca="false">IF(INDEX(BookTitle,146)="","",INDEX(BookTotal,146)*'5. Scenarios'!$C$6/(1+ProductivityDefault*('5. Scenarios'!$C$11-1)))</f>
        <v/>
      </c>
      <c r="J151" s="57" t="str">
        <f aca="false">IF($I151="","",INDEX(BookRate,146)*(1+'5. Scenarios'!$C$10)*$I151)</f>
        <v/>
      </c>
      <c r="K151" s="57" t="str">
        <f aca="false">IF($J151="","",SUMIFS($J$6:$J$2405,$A$6:$A$2405,"&lt;="&amp;$A151))</f>
        <v/>
      </c>
      <c r="L151" s="57" t="str">
        <f aca="false">IF($J151="","",IF($K151&lt;=BankCostEnvelope*'5. Scenarios'!$C$7,1,0))</f>
        <v/>
      </c>
      <c r="M151" s="57" t="str">
        <f aca="false">IF($I151="","",INDEX(BookRate,146)*(1+'5. Scenarios'!$C$10)*(INDEX(BookQ1,146)*(5-MIN(4,1+'5. Scenarios'!$C$8))/4+INDEX(BookQ2,146)*(5-MIN(4,2+'5. Scenarios'!$C$8))/4+INDEX(BookQ3,146)*(5-MIN(4,3+'5. Scenarios'!$C$8))/4+INDEX(BookQ4,146)*(5-MIN(4,4+'5. Scenarios'!$C$8))/4)*'5. Scenarios'!$C$6/(1+ProductivityDefault*('5. Scenarios'!$C$11-1))+INDEX(BookOneOff,146)*$I151)</f>
        <v/>
      </c>
      <c r="N151" s="56" t="str">
        <f aca="false">IF(INDEX(BookTitle,146)="","",INDEX(BookTotal,146)*'5. Scenarios'!$D$6/(1+ProductivityDefault*('5. Scenarios'!$D$11-1)))</f>
        <v/>
      </c>
      <c r="O151" s="57" t="str">
        <f aca="false">IF($N151="","",INDEX(BookRate,146)*(1+'5. Scenarios'!$D$10)*$N151)</f>
        <v/>
      </c>
      <c r="P151" s="57" t="str">
        <f aca="false">IF($O151="","",SUMIFS($O$6:$O$2405,$A$6:$A$2405,"&lt;="&amp;$A151))</f>
        <v/>
      </c>
      <c r="Q151" s="57" t="str">
        <f aca="false">IF($O151="","",IF($P151&lt;=BankCostEnvelope*'5. Scenarios'!$D$7,1,0))</f>
        <v/>
      </c>
      <c r="R151" s="57" t="str">
        <f aca="false">IF($N151="","",INDEX(BookRate,146)*(1+'5. Scenarios'!$D$10)*(INDEX(BookQ1,146)*(5-MIN(4,1+'5. Scenarios'!$D$8))/4+INDEX(BookQ2,146)*(5-MIN(4,2+'5. Scenarios'!$D$8))/4+INDEX(BookQ3,146)*(5-MIN(4,3+'5. Scenarios'!$D$8))/4+INDEX(BookQ4,146)*(5-MIN(4,4+'5. Scenarios'!$D$8))/4)*'5. Scenarios'!$D$6/(1+ProductivityDefault*('5. Scenarios'!$D$11-1))+INDEX(BookOneOff,146)*$N151)</f>
        <v/>
      </c>
      <c r="S151" s="56" t="str">
        <f aca="false">IF(INDEX(BookTitle,146)="","",INDEX(BookTotal,146)*'5. Scenarios'!$E$6/(1+ProductivityDefault*('5. Scenarios'!$E$11-1)))</f>
        <v/>
      </c>
      <c r="T151" s="57" t="str">
        <f aca="false">IF($S151="","",INDEX(BookRate,146)*(1+'5. Scenarios'!$E$10)*$S151)</f>
        <v/>
      </c>
      <c r="U151" s="57" t="str">
        <f aca="false">IF($T151="","",SUMIFS($T$6:$T$2405,$A$6:$A$2405,"&lt;="&amp;$A151))</f>
        <v/>
      </c>
      <c r="V151" s="57" t="str">
        <f aca="false">IF($T151="","",IF($U151&lt;=BankCostEnvelope*'5. Scenarios'!$E$7,1,0))</f>
        <v/>
      </c>
      <c r="W151" s="57" t="str">
        <f aca="false">IF($S151="","",INDEX(BookRate,146)*(1+'5. Scenarios'!$E$10)*(INDEX(BookQ1,146)*(5-MIN(4,1+'5. Scenarios'!$E$8))/4+INDEX(BookQ2,146)*(5-MIN(4,2+'5. Scenarios'!$E$8))/4+INDEX(BookQ3,146)*(5-MIN(4,3+'5. Scenarios'!$E$8))/4+INDEX(BookQ4,146)*(5-MIN(4,4+'5. Scenarios'!$E$8))/4)*'5. Scenarios'!$E$6/(1+ProductivityDefault*('5. Scenarios'!$E$11-1))+INDEX(BookOneOff,146)*$S151)</f>
        <v/>
      </c>
    </row>
    <row r="152" customFormat="false" ht="15" hidden="false" customHeight="false" outlineLevel="0" collapsed="false">
      <c r="A152" s="0" t="str">
        <f aca="false">IF(INDEX(BookTitle,147)="","",INDEX(BookKey,147))</f>
        <v/>
      </c>
      <c r="B152" s="0" t="str">
        <f aca="false">IF(INDEX(BookTitle,147)="","",INDEX(BookGroup,147))</f>
        <v/>
      </c>
      <c r="C152" s="0" t="str">
        <f aca="false">IF(INDEX(BookTitle,147)="","",INDEX(BookCategory,147))</f>
        <v/>
      </c>
      <c r="D152" s="56" t="str">
        <f aca="false">IF(INDEX(BookTitle,147)="","",INDEX(BookTotal,147)*'5. Scenarios'!$B$6/(1+ProductivityDefault*('5. Scenarios'!$B$11-1)))</f>
        <v/>
      </c>
      <c r="E152" s="57" t="str">
        <f aca="false">IF($D152="","",INDEX(BookRate,147)*(1+'5. Scenarios'!$B$10)*$D152)</f>
        <v/>
      </c>
      <c r="F152" s="57" t="str">
        <f aca="false">IF($E152="","",SUMIFS($E$6:$E$2405,$A$6:$A$2405,"&lt;="&amp;$A152))</f>
        <v/>
      </c>
      <c r="G152" s="57" t="str">
        <f aca="false">IF($E152="","",IF($F152&lt;=BankCostEnvelope*'5. Scenarios'!$B$7,1,0))</f>
        <v/>
      </c>
      <c r="H152" s="57" t="str">
        <f aca="false">IF($D152="","",INDEX(BookRate,147)*(1+'5. Scenarios'!$B$10)*(INDEX(BookQ1,147)*(5-MIN(4,1+'5. Scenarios'!$B$8))/4+INDEX(BookQ2,147)*(5-MIN(4,2+'5. Scenarios'!$B$8))/4+INDEX(BookQ3,147)*(5-MIN(4,3+'5. Scenarios'!$B$8))/4+INDEX(BookQ4,147)*(5-MIN(4,4+'5. Scenarios'!$B$8))/4)*'5. Scenarios'!$B$6/(1+ProductivityDefault*('5. Scenarios'!$B$11-1))+INDEX(BookOneOff,147)*$D152)</f>
        <v/>
      </c>
      <c r="I152" s="56" t="str">
        <f aca="false">IF(INDEX(BookTitle,147)="","",INDEX(BookTotal,147)*'5. Scenarios'!$C$6/(1+ProductivityDefault*('5. Scenarios'!$C$11-1)))</f>
        <v/>
      </c>
      <c r="J152" s="57" t="str">
        <f aca="false">IF($I152="","",INDEX(BookRate,147)*(1+'5. Scenarios'!$C$10)*$I152)</f>
        <v/>
      </c>
      <c r="K152" s="57" t="str">
        <f aca="false">IF($J152="","",SUMIFS($J$6:$J$2405,$A$6:$A$2405,"&lt;="&amp;$A152))</f>
        <v/>
      </c>
      <c r="L152" s="57" t="str">
        <f aca="false">IF($J152="","",IF($K152&lt;=BankCostEnvelope*'5. Scenarios'!$C$7,1,0))</f>
        <v/>
      </c>
      <c r="M152" s="57" t="str">
        <f aca="false">IF($I152="","",INDEX(BookRate,147)*(1+'5. Scenarios'!$C$10)*(INDEX(BookQ1,147)*(5-MIN(4,1+'5. Scenarios'!$C$8))/4+INDEX(BookQ2,147)*(5-MIN(4,2+'5. Scenarios'!$C$8))/4+INDEX(BookQ3,147)*(5-MIN(4,3+'5. Scenarios'!$C$8))/4+INDEX(BookQ4,147)*(5-MIN(4,4+'5. Scenarios'!$C$8))/4)*'5. Scenarios'!$C$6/(1+ProductivityDefault*('5. Scenarios'!$C$11-1))+INDEX(BookOneOff,147)*$I152)</f>
        <v/>
      </c>
      <c r="N152" s="56" t="str">
        <f aca="false">IF(INDEX(BookTitle,147)="","",INDEX(BookTotal,147)*'5. Scenarios'!$D$6/(1+ProductivityDefault*('5. Scenarios'!$D$11-1)))</f>
        <v/>
      </c>
      <c r="O152" s="57" t="str">
        <f aca="false">IF($N152="","",INDEX(BookRate,147)*(1+'5. Scenarios'!$D$10)*$N152)</f>
        <v/>
      </c>
      <c r="P152" s="57" t="str">
        <f aca="false">IF($O152="","",SUMIFS($O$6:$O$2405,$A$6:$A$2405,"&lt;="&amp;$A152))</f>
        <v/>
      </c>
      <c r="Q152" s="57" t="str">
        <f aca="false">IF($O152="","",IF($P152&lt;=BankCostEnvelope*'5. Scenarios'!$D$7,1,0))</f>
        <v/>
      </c>
      <c r="R152" s="57" t="str">
        <f aca="false">IF($N152="","",INDEX(BookRate,147)*(1+'5. Scenarios'!$D$10)*(INDEX(BookQ1,147)*(5-MIN(4,1+'5. Scenarios'!$D$8))/4+INDEX(BookQ2,147)*(5-MIN(4,2+'5. Scenarios'!$D$8))/4+INDEX(BookQ3,147)*(5-MIN(4,3+'5. Scenarios'!$D$8))/4+INDEX(BookQ4,147)*(5-MIN(4,4+'5. Scenarios'!$D$8))/4)*'5. Scenarios'!$D$6/(1+ProductivityDefault*('5. Scenarios'!$D$11-1))+INDEX(BookOneOff,147)*$N152)</f>
        <v/>
      </c>
      <c r="S152" s="56" t="str">
        <f aca="false">IF(INDEX(BookTitle,147)="","",INDEX(BookTotal,147)*'5. Scenarios'!$E$6/(1+ProductivityDefault*('5. Scenarios'!$E$11-1)))</f>
        <v/>
      </c>
      <c r="T152" s="57" t="str">
        <f aca="false">IF($S152="","",INDEX(BookRate,147)*(1+'5. Scenarios'!$E$10)*$S152)</f>
        <v/>
      </c>
      <c r="U152" s="57" t="str">
        <f aca="false">IF($T152="","",SUMIFS($T$6:$T$2405,$A$6:$A$2405,"&lt;="&amp;$A152))</f>
        <v/>
      </c>
      <c r="V152" s="57" t="str">
        <f aca="false">IF($T152="","",IF($U152&lt;=BankCostEnvelope*'5. Scenarios'!$E$7,1,0))</f>
        <v/>
      </c>
      <c r="W152" s="57" t="str">
        <f aca="false">IF($S152="","",INDEX(BookRate,147)*(1+'5. Scenarios'!$E$10)*(INDEX(BookQ1,147)*(5-MIN(4,1+'5. Scenarios'!$E$8))/4+INDEX(BookQ2,147)*(5-MIN(4,2+'5. Scenarios'!$E$8))/4+INDEX(BookQ3,147)*(5-MIN(4,3+'5. Scenarios'!$E$8))/4+INDEX(BookQ4,147)*(5-MIN(4,4+'5. Scenarios'!$E$8))/4)*'5. Scenarios'!$E$6/(1+ProductivityDefault*('5. Scenarios'!$E$11-1))+INDEX(BookOneOff,147)*$S152)</f>
        <v/>
      </c>
    </row>
    <row r="153" customFormat="false" ht="15" hidden="false" customHeight="false" outlineLevel="0" collapsed="false">
      <c r="A153" s="0" t="str">
        <f aca="false">IF(INDEX(BookTitle,148)="","",INDEX(BookKey,148))</f>
        <v/>
      </c>
      <c r="B153" s="0" t="str">
        <f aca="false">IF(INDEX(BookTitle,148)="","",INDEX(BookGroup,148))</f>
        <v/>
      </c>
      <c r="C153" s="0" t="str">
        <f aca="false">IF(INDEX(BookTitle,148)="","",INDEX(BookCategory,148))</f>
        <v/>
      </c>
      <c r="D153" s="56" t="str">
        <f aca="false">IF(INDEX(BookTitle,148)="","",INDEX(BookTotal,148)*'5. Scenarios'!$B$6/(1+ProductivityDefault*('5. Scenarios'!$B$11-1)))</f>
        <v/>
      </c>
      <c r="E153" s="57" t="str">
        <f aca="false">IF($D153="","",INDEX(BookRate,148)*(1+'5. Scenarios'!$B$10)*$D153)</f>
        <v/>
      </c>
      <c r="F153" s="57" t="str">
        <f aca="false">IF($E153="","",SUMIFS($E$6:$E$2405,$A$6:$A$2405,"&lt;="&amp;$A153))</f>
        <v/>
      </c>
      <c r="G153" s="57" t="str">
        <f aca="false">IF($E153="","",IF($F153&lt;=BankCostEnvelope*'5. Scenarios'!$B$7,1,0))</f>
        <v/>
      </c>
      <c r="H153" s="57" t="str">
        <f aca="false">IF($D153="","",INDEX(BookRate,148)*(1+'5. Scenarios'!$B$10)*(INDEX(BookQ1,148)*(5-MIN(4,1+'5. Scenarios'!$B$8))/4+INDEX(BookQ2,148)*(5-MIN(4,2+'5. Scenarios'!$B$8))/4+INDEX(BookQ3,148)*(5-MIN(4,3+'5. Scenarios'!$B$8))/4+INDEX(BookQ4,148)*(5-MIN(4,4+'5. Scenarios'!$B$8))/4)*'5. Scenarios'!$B$6/(1+ProductivityDefault*('5. Scenarios'!$B$11-1))+INDEX(BookOneOff,148)*$D153)</f>
        <v/>
      </c>
      <c r="I153" s="56" t="str">
        <f aca="false">IF(INDEX(BookTitle,148)="","",INDEX(BookTotal,148)*'5. Scenarios'!$C$6/(1+ProductivityDefault*('5. Scenarios'!$C$11-1)))</f>
        <v/>
      </c>
      <c r="J153" s="57" t="str">
        <f aca="false">IF($I153="","",INDEX(BookRate,148)*(1+'5. Scenarios'!$C$10)*$I153)</f>
        <v/>
      </c>
      <c r="K153" s="57" t="str">
        <f aca="false">IF($J153="","",SUMIFS($J$6:$J$2405,$A$6:$A$2405,"&lt;="&amp;$A153))</f>
        <v/>
      </c>
      <c r="L153" s="57" t="str">
        <f aca="false">IF($J153="","",IF($K153&lt;=BankCostEnvelope*'5. Scenarios'!$C$7,1,0))</f>
        <v/>
      </c>
      <c r="M153" s="57" t="str">
        <f aca="false">IF($I153="","",INDEX(BookRate,148)*(1+'5. Scenarios'!$C$10)*(INDEX(BookQ1,148)*(5-MIN(4,1+'5. Scenarios'!$C$8))/4+INDEX(BookQ2,148)*(5-MIN(4,2+'5. Scenarios'!$C$8))/4+INDEX(BookQ3,148)*(5-MIN(4,3+'5. Scenarios'!$C$8))/4+INDEX(BookQ4,148)*(5-MIN(4,4+'5. Scenarios'!$C$8))/4)*'5. Scenarios'!$C$6/(1+ProductivityDefault*('5. Scenarios'!$C$11-1))+INDEX(BookOneOff,148)*$I153)</f>
        <v/>
      </c>
      <c r="N153" s="56" t="str">
        <f aca="false">IF(INDEX(BookTitle,148)="","",INDEX(BookTotal,148)*'5. Scenarios'!$D$6/(1+ProductivityDefault*('5. Scenarios'!$D$11-1)))</f>
        <v/>
      </c>
      <c r="O153" s="57" t="str">
        <f aca="false">IF($N153="","",INDEX(BookRate,148)*(1+'5. Scenarios'!$D$10)*$N153)</f>
        <v/>
      </c>
      <c r="P153" s="57" t="str">
        <f aca="false">IF($O153="","",SUMIFS($O$6:$O$2405,$A$6:$A$2405,"&lt;="&amp;$A153))</f>
        <v/>
      </c>
      <c r="Q153" s="57" t="str">
        <f aca="false">IF($O153="","",IF($P153&lt;=BankCostEnvelope*'5. Scenarios'!$D$7,1,0))</f>
        <v/>
      </c>
      <c r="R153" s="57" t="str">
        <f aca="false">IF($N153="","",INDEX(BookRate,148)*(1+'5. Scenarios'!$D$10)*(INDEX(BookQ1,148)*(5-MIN(4,1+'5. Scenarios'!$D$8))/4+INDEX(BookQ2,148)*(5-MIN(4,2+'5. Scenarios'!$D$8))/4+INDEX(BookQ3,148)*(5-MIN(4,3+'5. Scenarios'!$D$8))/4+INDEX(BookQ4,148)*(5-MIN(4,4+'5. Scenarios'!$D$8))/4)*'5. Scenarios'!$D$6/(1+ProductivityDefault*('5. Scenarios'!$D$11-1))+INDEX(BookOneOff,148)*$N153)</f>
        <v/>
      </c>
      <c r="S153" s="56" t="str">
        <f aca="false">IF(INDEX(BookTitle,148)="","",INDEX(BookTotal,148)*'5. Scenarios'!$E$6/(1+ProductivityDefault*('5. Scenarios'!$E$11-1)))</f>
        <v/>
      </c>
      <c r="T153" s="57" t="str">
        <f aca="false">IF($S153="","",INDEX(BookRate,148)*(1+'5. Scenarios'!$E$10)*$S153)</f>
        <v/>
      </c>
      <c r="U153" s="57" t="str">
        <f aca="false">IF($T153="","",SUMIFS($T$6:$T$2405,$A$6:$A$2405,"&lt;="&amp;$A153))</f>
        <v/>
      </c>
      <c r="V153" s="57" t="str">
        <f aca="false">IF($T153="","",IF($U153&lt;=BankCostEnvelope*'5. Scenarios'!$E$7,1,0))</f>
        <v/>
      </c>
      <c r="W153" s="57" t="str">
        <f aca="false">IF($S153="","",INDEX(BookRate,148)*(1+'5. Scenarios'!$E$10)*(INDEX(BookQ1,148)*(5-MIN(4,1+'5. Scenarios'!$E$8))/4+INDEX(BookQ2,148)*(5-MIN(4,2+'5. Scenarios'!$E$8))/4+INDEX(BookQ3,148)*(5-MIN(4,3+'5. Scenarios'!$E$8))/4+INDEX(BookQ4,148)*(5-MIN(4,4+'5. Scenarios'!$E$8))/4)*'5. Scenarios'!$E$6/(1+ProductivityDefault*('5. Scenarios'!$E$11-1))+INDEX(BookOneOff,148)*$S153)</f>
        <v/>
      </c>
    </row>
    <row r="154" customFormat="false" ht="15" hidden="false" customHeight="false" outlineLevel="0" collapsed="false">
      <c r="A154" s="0" t="str">
        <f aca="false">IF(INDEX(BookTitle,149)="","",INDEX(BookKey,149))</f>
        <v/>
      </c>
      <c r="B154" s="0" t="str">
        <f aca="false">IF(INDEX(BookTitle,149)="","",INDEX(BookGroup,149))</f>
        <v/>
      </c>
      <c r="C154" s="0" t="str">
        <f aca="false">IF(INDEX(BookTitle,149)="","",INDEX(BookCategory,149))</f>
        <v/>
      </c>
      <c r="D154" s="56" t="str">
        <f aca="false">IF(INDEX(BookTitle,149)="","",INDEX(BookTotal,149)*'5. Scenarios'!$B$6/(1+ProductivityDefault*('5. Scenarios'!$B$11-1)))</f>
        <v/>
      </c>
      <c r="E154" s="57" t="str">
        <f aca="false">IF($D154="","",INDEX(BookRate,149)*(1+'5. Scenarios'!$B$10)*$D154)</f>
        <v/>
      </c>
      <c r="F154" s="57" t="str">
        <f aca="false">IF($E154="","",SUMIFS($E$6:$E$2405,$A$6:$A$2405,"&lt;="&amp;$A154))</f>
        <v/>
      </c>
      <c r="G154" s="57" t="str">
        <f aca="false">IF($E154="","",IF($F154&lt;=BankCostEnvelope*'5. Scenarios'!$B$7,1,0))</f>
        <v/>
      </c>
      <c r="H154" s="57" t="str">
        <f aca="false">IF($D154="","",INDEX(BookRate,149)*(1+'5. Scenarios'!$B$10)*(INDEX(BookQ1,149)*(5-MIN(4,1+'5. Scenarios'!$B$8))/4+INDEX(BookQ2,149)*(5-MIN(4,2+'5. Scenarios'!$B$8))/4+INDEX(BookQ3,149)*(5-MIN(4,3+'5. Scenarios'!$B$8))/4+INDEX(BookQ4,149)*(5-MIN(4,4+'5. Scenarios'!$B$8))/4)*'5. Scenarios'!$B$6/(1+ProductivityDefault*('5. Scenarios'!$B$11-1))+INDEX(BookOneOff,149)*$D154)</f>
        <v/>
      </c>
      <c r="I154" s="56" t="str">
        <f aca="false">IF(INDEX(BookTitle,149)="","",INDEX(BookTotal,149)*'5. Scenarios'!$C$6/(1+ProductivityDefault*('5. Scenarios'!$C$11-1)))</f>
        <v/>
      </c>
      <c r="J154" s="57" t="str">
        <f aca="false">IF($I154="","",INDEX(BookRate,149)*(1+'5. Scenarios'!$C$10)*$I154)</f>
        <v/>
      </c>
      <c r="K154" s="57" t="str">
        <f aca="false">IF($J154="","",SUMIFS($J$6:$J$2405,$A$6:$A$2405,"&lt;="&amp;$A154))</f>
        <v/>
      </c>
      <c r="L154" s="57" t="str">
        <f aca="false">IF($J154="","",IF($K154&lt;=BankCostEnvelope*'5. Scenarios'!$C$7,1,0))</f>
        <v/>
      </c>
      <c r="M154" s="57" t="str">
        <f aca="false">IF($I154="","",INDEX(BookRate,149)*(1+'5. Scenarios'!$C$10)*(INDEX(BookQ1,149)*(5-MIN(4,1+'5. Scenarios'!$C$8))/4+INDEX(BookQ2,149)*(5-MIN(4,2+'5. Scenarios'!$C$8))/4+INDEX(BookQ3,149)*(5-MIN(4,3+'5. Scenarios'!$C$8))/4+INDEX(BookQ4,149)*(5-MIN(4,4+'5. Scenarios'!$C$8))/4)*'5. Scenarios'!$C$6/(1+ProductivityDefault*('5. Scenarios'!$C$11-1))+INDEX(BookOneOff,149)*$I154)</f>
        <v/>
      </c>
      <c r="N154" s="56" t="str">
        <f aca="false">IF(INDEX(BookTitle,149)="","",INDEX(BookTotal,149)*'5. Scenarios'!$D$6/(1+ProductivityDefault*('5. Scenarios'!$D$11-1)))</f>
        <v/>
      </c>
      <c r="O154" s="57" t="str">
        <f aca="false">IF($N154="","",INDEX(BookRate,149)*(1+'5. Scenarios'!$D$10)*$N154)</f>
        <v/>
      </c>
      <c r="P154" s="57" t="str">
        <f aca="false">IF($O154="","",SUMIFS($O$6:$O$2405,$A$6:$A$2405,"&lt;="&amp;$A154))</f>
        <v/>
      </c>
      <c r="Q154" s="57" t="str">
        <f aca="false">IF($O154="","",IF($P154&lt;=BankCostEnvelope*'5. Scenarios'!$D$7,1,0))</f>
        <v/>
      </c>
      <c r="R154" s="57" t="str">
        <f aca="false">IF($N154="","",INDEX(BookRate,149)*(1+'5. Scenarios'!$D$10)*(INDEX(BookQ1,149)*(5-MIN(4,1+'5. Scenarios'!$D$8))/4+INDEX(BookQ2,149)*(5-MIN(4,2+'5. Scenarios'!$D$8))/4+INDEX(BookQ3,149)*(5-MIN(4,3+'5. Scenarios'!$D$8))/4+INDEX(BookQ4,149)*(5-MIN(4,4+'5. Scenarios'!$D$8))/4)*'5. Scenarios'!$D$6/(1+ProductivityDefault*('5. Scenarios'!$D$11-1))+INDEX(BookOneOff,149)*$N154)</f>
        <v/>
      </c>
      <c r="S154" s="56" t="str">
        <f aca="false">IF(INDEX(BookTitle,149)="","",INDEX(BookTotal,149)*'5. Scenarios'!$E$6/(1+ProductivityDefault*('5. Scenarios'!$E$11-1)))</f>
        <v/>
      </c>
      <c r="T154" s="57" t="str">
        <f aca="false">IF($S154="","",INDEX(BookRate,149)*(1+'5. Scenarios'!$E$10)*$S154)</f>
        <v/>
      </c>
      <c r="U154" s="57" t="str">
        <f aca="false">IF($T154="","",SUMIFS($T$6:$T$2405,$A$6:$A$2405,"&lt;="&amp;$A154))</f>
        <v/>
      </c>
      <c r="V154" s="57" t="str">
        <f aca="false">IF($T154="","",IF($U154&lt;=BankCostEnvelope*'5. Scenarios'!$E$7,1,0))</f>
        <v/>
      </c>
      <c r="W154" s="57" t="str">
        <f aca="false">IF($S154="","",INDEX(BookRate,149)*(1+'5. Scenarios'!$E$10)*(INDEX(BookQ1,149)*(5-MIN(4,1+'5. Scenarios'!$E$8))/4+INDEX(BookQ2,149)*(5-MIN(4,2+'5. Scenarios'!$E$8))/4+INDEX(BookQ3,149)*(5-MIN(4,3+'5. Scenarios'!$E$8))/4+INDEX(BookQ4,149)*(5-MIN(4,4+'5. Scenarios'!$E$8))/4)*'5. Scenarios'!$E$6/(1+ProductivityDefault*('5. Scenarios'!$E$11-1))+INDEX(BookOneOff,149)*$S154)</f>
        <v/>
      </c>
    </row>
    <row r="155" customFormat="false" ht="15" hidden="false" customHeight="false" outlineLevel="0" collapsed="false">
      <c r="A155" s="0" t="str">
        <f aca="false">IF(INDEX(BookTitle,150)="","",INDEX(BookKey,150))</f>
        <v/>
      </c>
      <c r="B155" s="0" t="str">
        <f aca="false">IF(INDEX(BookTitle,150)="","",INDEX(BookGroup,150))</f>
        <v/>
      </c>
      <c r="C155" s="0" t="str">
        <f aca="false">IF(INDEX(BookTitle,150)="","",INDEX(BookCategory,150))</f>
        <v/>
      </c>
      <c r="D155" s="56" t="str">
        <f aca="false">IF(INDEX(BookTitle,150)="","",INDEX(BookTotal,150)*'5. Scenarios'!$B$6/(1+ProductivityDefault*('5. Scenarios'!$B$11-1)))</f>
        <v/>
      </c>
      <c r="E155" s="57" t="str">
        <f aca="false">IF($D155="","",INDEX(BookRate,150)*(1+'5. Scenarios'!$B$10)*$D155)</f>
        <v/>
      </c>
      <c r="F155" s="57" t="str">
        <f aca="false">IF($E155="","",SUMIFS($E$6:$E$2405,$A$6:$A$2405,"&lt;="&amp;$A155))</f>
        <v/>
      </c>
      <c r="G155" s="57" t="str">
        <f aca="false">IF($E155="","",IF($F155&lt;=BankCostEnvelope*'5. Scenarios'!$B$7,1,0))</f>
        <v/>
      </c>
      <c r="H155" s="57" t="str">
        <f aca="false">IF($D155="","",INDEX(BookRate,150)*(1+'5. Scenarios'!$B$10)*(INDEX(BookQ1,150)*(5-MIN(4,1+'5. Scenarios'!$B$8))/4+INDEX(BookQ2,150)*(5-MIN(4,2+'5. Scenarios'!$B$8))/4+INDEX(BookQ3,150)*(5-MIN(4,3+'5. Scenarios'!$B$8))/4+INDEX(BookQ4,150)*(5-MIN(4,4+'5. Scenarios'!$B$8))/4)*'5. Scenarios'!$B$6/(1+ProductivityDefault*('5. Scenarios'!$B$11-1))+INDEX(BookOneOff,150)*$D155)</f>
        <v/>
      </c>
      <c r="I155" s="56" t="str">
        <f aca="false">IF(INDEX(BookTitle,150)="","",INDEX(BookTotal,150)*'5. Scenarios'!$C$6/(1+ProductivityDefault*('5. Scenarios'!$C$11-1)))</f>
        <v/>
      </c>
      <c r="J155" s="57" t="str">
        <f aca="false">IF($I155="","",INDEX(BookRate,150)*(1+'5. Scenarios'!$C$10)*$I155)</f>
        <v/>
      </c>
      <c r="K155" s="57" t="str">
        <f aca="false">IF($J155="","",SUMIFS($J$6:$J$2405,$A$6:$A$2405,"&lt;="&amp;$A155))</f>
        <v/>
      </c>
      <c r="L155" s="57" t="str">
        <f aca="false">IF($J155="","",IF($K155&lt;=BankCostEnvelope*'5. Scenarios'!$C$7,1,0))</f>
        <v/>
      </c>
      <c r="M155" s="57" t="str">
        <f aca="false">IF($I155="","",INDEX(BookRate,150)*(1+'5. Scenarios'!$C$10)*(INDEX(BookQ1,150)*(5-MIN(4,1+'5. Scenarios'!$C$8))/4+INDEX(BookQ2,150)*(5-MIN(4,2+'5. Scenarios'!$C$8))/4+INDEX(BookQ3,150)*(5-MIN(4,3+'5. Scenarios'!$C$8))/4+INDEX(BookQ4,150)*(5-MIN(4,4+'5. Scenarios'!$C$8))/4)*'5. Scenarios'!$C$6/(1+ProductivityDefault*('5. Scenarios'!$C$11-1))+INDEX(BookOneOff,150)*$I155)</f>
        <v/>
      </c>
      <c r="N155" s="56" t="str">
        <f aca="false">IF(INDEX(BookTitle,150)="","",INDEX(BookTotal,150)*'5. Scenarios'!$D$6/(1+ProductivityDefault*('5. Scenarios'!$D$11-1)))</f>
        <v/>
      </c>
      <c r="O155" s="57" t="str">
        <f aca="false">IF($N155="","",INDEX(BookRate,150)*(1+'5. Scenarios'!$D$10)*$N155)</f>
        <v/>
      </c>
      <c r="P155" s="57" t="str">
        <f aca="false">IF($O155="","",SUMIFS($O$6:$O$2405,$A$6:$A$2405,"&lt;="&amp;$A155))</f>
        <v/>
      </c>
      <c r="Q155" s="57" t="str">
        <f aca="false">IF($O155="","",IF($P155&lt;=BankCostEnvelope*'5. Scenarios'!$D$7,1,0))</f>
        <v/>
      </c>
      <c r="R155" s="57" t="str">
        <f aca="false">IF($N155="","",INDEX(BookRate,150)*(1+'5. Scenarios'!$D$10)*(INDEX(BookQ1,150)*(5-MIN(4,1+'5. Scenarios'!$D$8))/4+INDEX(BookQ2,150)*(5-MIN(4,2+'5. Scenarios'!$D$8))/4+INDEX(BookQ3,150)*(5-MIN(4,3+'5. Scenarios'!$D$8))/4+INDEX(BookQ4,150)*(5-MIN(4,4+'5. Scenarios'!$D$8))/4)*'5. Scenarios'!$D$6/(1+ProductivityDefault*('5. Scenarios'!$D$11-1))+INDEX(BookOneOff,150)*$N155)</f>
        <v/>
      </c>
      <c r="S155" s="56" t="str">
        <f aca="false">IF(INDEX(BookTitle,150)="","",INDEX(BookTotal,150)*'5. Scenarios'!$E$6/(1+ProductivityDefault*('5. Scenarios'!$E$11-1)))</f>
        <v/>
      </c>
      <c r="T155" s="57" t="str">
        <f aca="false">IF($S155="","",INDEX(BookRate,150)*(1+'5. Scenarios'!$E$10)*$S155)</f>
        <v/>
      </c>
      <c r="U155" s="57" t="str">
        <f aca="false">IF($T155="","",SUMIFS($T$6:$T$2405,$A$6:$A$2405,"&lt;="&amp;$A155))</f>
        <v/>
      </c>
      <c r="V155" s="57" t="str">
        <f aca="false">IF($T155="","",IF($U155&lt;=BankCostEnvelope*'5. Scenarios'!$E$7,1,0))</f>
        <v/>
      </c>
      <c r="W155" s="57" t="str">
        <f aca="false">IF($S155="","",INDEX(BookRate,150)*(1+'5. Scenarios'!$E$10)*(INDEX(BookQ1,150)*(5-MIN(4,1+'5. Scenarios'!$E$8))/4+INDEX(BookQ2,150)*(5-MIN(4,2+'5. Scenarios'!$E$8))/4+INDEX(BookQ3,150)*(5-MIN(4,3+'5. Scenarios'!$E$8))/4+INDEX(BookQ4,150)*(5-MIN(4,4+'5. Scenarios'!$E$8))/4)*'5. Scenarios'!$E$6/(1+ProductivityDefault*('5. Scenarios'!$E$11-1))+INDEX(BookOneOff,150)*$S155)</f>
        <v/>
      </c>
    </row>
    <row r="156" customFormat="false" ht="15" hidden="false" customHeight="false" outlineLevel="0" collapsed="false">
      <c r="A156" s="0" t="str">
        <f aca="false">IF(INDEX(BookTitle,151)="","",INDEX(BookKey,151))</f>
        <v/>
      </c>
      <c r="B156" s="0" t="str">
        <f aca="false">IF(INDEX(BookTitle,151)="","",INDEX(BookGroup,151))</f>
        <v/>
      </c>
      <c r="C156" s="0" t="str">
        <f aca="false">IF(INDEX(BookTitle,151)="","",INDEX(BookCategory,151))</f>
        <v/>
      </c>
      <c r="D156" s="56" t="str">
        <f aca="false">IF(INDEX(BookTitle,151)="","",INDEX(BookTotal,151)*'5. Scenarios'!$B$6/(1+ProductivityDefault*('5. Scenarios'!$B$11-1)))</f>
        <v/>
      </c>
      <c r="E156" s="57" t="str">
        <f aca="false">IF($D156="","",INDEX(BookRate,151)*(1+'5. Scenarios'!$B$10)*$D156)</f>
        <v/>
      </c>
      <c r="F156" s="57" t="str">
        <f aca="false">IF($E156="","",SUMIFS($E$6:$E$2405,$A$6:$A$2405,"&lt;="&amp;$A156))</f>
        <v/>
      </c>
      <c r="G156" s="57" t="str">
        <f aca="false">IF($E156="","",IF($F156&lt;=BankCostEnvelope*'5. Scenarios'!$B$7,1,0))</f>
        <v/>
      </c>
      <c r="H156" s="57" t="str">
        <f aca="false">IF($D156="","",INDEX(BookRate,151)*(1+'5. Scenarios'!$B$10)*(INDEX(BookQ1,151)*(5-MIN(4,1+'5. Scenarios'!$B$8))/4+INDEX(BookQ2,151)*(5-MIN(4,2+'5. Scenarios'!$B$8))/4+INDEX(BookQ3,151)*(5-MIN(4,3+'5. Scenarios'!$B$8))/4+INDEX(BookQ4,151)*(5-MIN(4,4+'5. Scenarios'!$B$8))/4)*'5. Scenarios'!$B$6/(1+ProductivityDefault*('5. Scenarios'!$B$11-1))+INDEX(BookOneOff,151)*$D156)</f>
        <v/>
      </c>
      <c r="I156" s="56" t="str">
        <f aca="false">IF(INDEX(BookTitle,151)="","",INDEX(BookTotal,151)*'5. Scenarios'!$C$6/(1+ProductivityDefault*('5. Scenarios'!$C$11-1)))</f>
        <v/>
      </c>
      <c r="J156" s="57" t="str">
        <f aca="false">IF($I156="","",INDEX(BookRate,151)*(1+'5. Scenarios'!$C$10)*$I156)</f>
        <v/>
      </c>
      <c r="K156" s="57" t="str">
        <f aca="false">IF($J156="","",SUMIFS($J$6:$J$2405,$A$6:$A$2405,"&lt;="&amp;$A156))</f>
        <v/>
      </c>
      <c r="L156" s="57" t="str">
        <f aca="false">IF($J156="","",IF($K156&lt;=BankCostEnvelope*'5. Scenarios'!$C$7,1,0))</f>
        <v/>
      </c>
      <c r="M156" s="57" t="str">
        <f aca="false">IF($I156="","",INDEX(BookRate,151)*(1+'5. Scenarios'!$C$10)*(INDEX(BookQ1,151)*(5-MIN(4,1+'5. Scenarios'!$C$8))/4+INDEX(BookQ2,151)*(5-MIN(4,2+'5. Scenarios'!$C$8))/4+INDEX(BookQ3,151)*(5-MIN(4,3+'5. Scenarios'!$C$8))/4+INDEX(BookQ4,151)*(5-MIN(4,4+'5. Scenarios'!$C$8))/4)*'5. Scenarios'!$C$6/(1+ProductivityDefault*('5. Scenarios'!$C$11-1))+INDEX(BookOneOff,151)*$I156)</f>
        <v/>
      </c>
      <c r="N156" s="56" t="str">
        <f aca="false">IF(INDEX(BookTitle,151)="","",INDEX(BookTotal,151)*'5. Scenarios'!$D$6/(1+ProductivityDefault*('5. Scenarios'!$D$11-1)))</f>
        <v/>
      </c>
      <c r="O156" s="57" t="str">
        <f aca="false">IF($N156="","",INDEX(BookRate,151)*(1+'5. Scenarios'!$D$10)*$N156)</f>
        <v/>
      </c>
      <c r="P156" s="57" t="str">
        <f aca="false">IF($O156="","",SUMIFS($O$6:$O$2405,$A$6:$A$2405,"&lt;="&amp;$A156))</f>
        <v/>
      </c>
      <c r="Q156" s="57" t="str">
        <f aca="false">IF($O156="","",IF($P156&lt;=BankCostEnvelope*'5. Scenarios'!$D$7,1,0))</f>
        <v/>
      </c>
      <c r="R156" s="57" t="str">
        <f aca="false">IF($N156="","",INDEX(BookRate,151)*(1+'5. Scenarios'!$D$10)*(INDEX(BookQ1,151)*(5-MIN(4,1+'5. Scenarios'!$D$8))/4+INDEX(BookQ2,151)*(5-MIN(4,2+'5. Scenarios'!$D$8))/4+INDEX(BookQ3,151)*(5-MIN(4,3+'5. Scenarios'!$D$8))/4+INDEX(BookQ4,151)*(5-MIN(4,4+'5. Scenarios'!$D$8))/4)*'5. Scenarios'!$D$6/(1+ProductivityDefault*('5. Scenarios'!$D$11-1))+INDEX(BookOneOff,151)*$N156)</f>
        <v/>
      </c>
      <c r="S156" s="56" t="str">
        <f aca="false">IF(INDEX(BookTitle,151)="","",INDEX(BookTotal,151)*'5. Scenarios'!$E$6/(1+ProductivityDefault*('5. Scenarios'!$E$11-1)))</f>
        <v/>
      </c>
      <c r="T156" s="57" t="str">
        <f aca="false">IF($S156="","",INDEX(BookRate,151)*(1+'5. Scenarios'!$E$10)*$S156)</f>
        <v/>
      </c>
      <c r="U156" s="57" t="str">
        <f aca="false">IF($T156="","",SUMIFS($T$6:$T$2405,$A$6:$A$2405,"&lt;="&amp;$A156))</f>
        <v/>
      </c>
      <c r="V156" s="57" t="str">
        <f aca="false">IF($T156="","",IF($U156&lt;=BankCostEnvelope*'5. Scenarios'!$E$7,1,0))</f>
        <v/>
      </c>
      <c r="W156" s="57" t="str">
        <f aca="false">IF($S156="","",INDEX(BookRate,151)*(1+'5. Scenarios'!$E$10)*(INDEX(BookQ1,151)*(5-MIN(4,1+'5. Scenarios'!$E$8))/4+INDEX(BookQ2,151)*(5-MIN(4,2+'5. Scenarios'!$E$8))/4+INDEX(BookQ3,151)*(5-MIN(4,3+'5. Scenarios'!$E$8))/4+INDEX(BookQ4,151)*(5-MIN(4,4+'5. Scenarios'!$E$8))/4)*'5. Scenarios'!$E$6/(1+ProductivityDefault*('5. Scenarios'!$E$11-1))+INDEX(BookOneOff,151)*$S156)</f>
        <v/>
      </c>
    </row>
    <row r="157" customFormat="false" ht="15" hidden="false" customHeight="false" outlineLevel="0" collapsed="false">
      <c r="A157" s="0" t="str">
        <f aca="false">IF(INDEX(BookTitle,152)="","",INDEX(BookKey,152))</f>
        <v/>
      </c>
      <c r="B157" s="0" t="str">
        <f aca="false">IF(INDEX(BookTitle,152)="","",INDEX(BookGroup,152))</f>
        <v/>
      </c>
      <c r="C157" s="0" t="str">
        <f aca="false">IF(INDEX(BookTitle,152)="","",INDEX(BookCategory,152))</f>
        <v/>
      </c>
      <c r="D157" s="56" t="str">
        <f aca="false">IF(INDEX(BookTitle,152)="","",INDEX(BookTotal,152)*'5. Scenarios'!$B$6/(1+ProductivityDefault*('5. Scenarios'!$B$11-1)))</f>
        <v/>
      </c>
      <c r="E157" s="57" t="str">
        <f aca="false">IF($D157="","",INDEX(BookRate,152)*(1+'5. Scenarios'!$B$10)*$D157)</f>
        <v/>
      </c>
      <c r="F157" s="57" t="str">
        <f aca="false">IF($E157="","",SUMIFS($E$6:$E$2405,$A$6:$A$2405,"&lt;="&amp;$A157))</f>
        <v/>
      </c>
      <c r="G157" s="57" t="str">
        <f aca="false">IF($E157="","",IF($F157&lt;=BankCostEnvelope*'5. Scenarios'!$B$7,1,0))</f>
        <v/>
      </c>
      <c r="H157" s="57" t="str">
        <f aca="false">IF($D157="","",INDEX(BookRate,152)*(1+'5. Scenarios'!$B$10)*(INDEX(BookQ1,152)*(5-MIN(4,1+'5. Scenarios'!$B$8))/4+INDEX(BookQ2,152)*(5-MIN(4,2+'5. Scenarios'!$B$8))/4+INDEX(BookQ3,152)*(5-MIN(4,3+'5. Scenarios'!$B$8))/4+INDEX(BookQ4,152)*(5-MIN(4,4+'5. Scenarios'!$B$8))/4)*'5. Scenarios'!$B$6/(1+ProductivityDefault*('5. Scenarios'!$B$11-1))+INDEX(BookOneOff,152)*$D157)</f>
        <v/>
      </c>
      <c r="I157" s="56" t="str">
        <f aca="false">IF(INDEX(BookTitle,152)="","",INDEX(BookTotal,152)*'5. Scenarios'!$C$6/(1+ProductivityDefault*('5. Scenarios'!$C$11-1)))</f>
        <v/>
      </c>
      <c r="J157" s="57" t="str">
        <f aca="false">IF($I157="","",INDEX(BookRate,152)*(1+'5. Scenarios'!$C$10)*$I157)</f>
        <v/>
      </c>
      <c r="K157" s="57" t="str">
        <f aca="false">IF($J157="","",SUMIFS($J$6:$J$2405,$A$6:$A$2405,"&lt;="&amp;$A157))</f>
        <v/>
      </c>
      <c r="L157" s="57" t="str">
        <f aca="false">IF($J157="","",IF($K157&lt;=BankCostEnvelope*'5. Scenarios'!$C$7,1,0))</f>
        <v/>
      </c>
      <c r="M157" s="57" t="str">
        <f aca="false">IF($I157="","",INDEX(BookRate,152)*(1+'5. Scenarios'!$C$10)*(INDEX(BookQ1,152)*(5-MIN(4,1+'5. Scenarios'!$C$8))/4+INDEX(BookQ2,152)*(5-MIN(4,2+'5. Scenarios'!$C$8))/4+INDEX(BookQ3,152)*(5-MIN(4,3+'5. Scenarios'!$C$8))/4+INDEX(BookQ4,152)*(5-MIN(4,4+'5. Scenarios'!$C$8))/4)*'5. Scenarios'!$C$6/(1+ProductivityDefault*('5. Scenarios'!$C$11-1))+INDEX(BookOneOff,152)*$I157)</f>
        <v/>
      </c>
      <c r="N157" s="56" t="str">
        <f aca="false">IF(INDEX(BookTitle,152)="","",INDEX(BookTotal,152)*'5. Scenarios'!$D$6/(1+ProductivityDefault*('5. Scenarios'!$D$11-1)))</f>
        <v/>
      </c>
      <c r="O157" s="57" t="str">
        <f aca="false">IF($N157="","",INDEX(BookRate,152)*(1+'5. Scenarios'!$D$10)*$N157)</f>
        <v/>
      </c>
      <c r="P157" s="57" t="str">
        <f aca="false">IF($O157="","",SUMIFS($O$6:$O$2405,$A$6:$A$2405,"&lt;="&amp;$A157))</f>
        <v/>
      </c>
      <c r="Q157" s="57" t="str">
        <f aca="false">IF($O157="","",IF($P157&lt;=BankCostEnvelope*'5. Scenarios'!$D$7,1,0))</f>
        <v/>
      </c>
      <c r="R157" s="57" t="str">
        <f aca="false">IF($N157="","",INDEX(BookRate,152)*(1+'5. Scenarios'!$D$10)*(INDEX(BookQ1,152)*(5-MIN(4,1+'5. Scenarios'!$D$8))/4+INDEX(BookQ2,152)*(5-MIN(4,2+'5. Scenarios'!$D$8))/4+INDEX(BookQ3,152)*(5-MIN(4,3+'5. Scenarios'!$D$8))/4+INDEX(BookQ4,152)*(5-MIN(4,4+'5. Scenarios'!$D$8))/4)*'5. Scenarios'!$D$6/(1+ProductivityDefault*('5. Scenarios'!$D$11-1))+INDEX(BookOneOff,152)*$N157)</f>
        <v/>
      </c>
      <c r="S157" s="56" t="str">
        <f aca="false">IF(INDEX(BookTitle,152)="","",INDEX(BookTotal,152)*'5. Scenarios'!$E$6/(1+ProductivityDefault*('5. Scenarios'!$E$11-1)))</f>
        <v/>
      </c>
      <c r="T157" s="57" t="str">
        <f aca="false">IF($S157="","",INDEX(BookRate,152)*(1+'5. Scenarios'!$E$10)*$S157)</f>
        <v/>
      </c>
      <c r="U157" s="57" t="str">
        <f aca="false">IF($T157="","",SUMIFS($T$6:$T$2405,$A$6:$A$2405,"&lt;="&amp;$A157))</f>
        <v/>
      </c>
      <c r="V157" s="57" t="str">
        <f aca="false">IF($T157="","",IF($U157&lt;=BankCostEnvelope*'5. Scenarios'!$E$7,1,0))</f>
        <v/>
      </c>
      <c r="W157" s="57" t="str">
        <f aca="false">IF($S157="","",INDEX(BookRate,152)*(1+'5. Scenarios'!$E$10)*(INDEX(BookQ1,152)*(5-MIN(4,1+'5. Scenarios'!$E$8))/4+INDEX(BookQ2,152)*(5-MIN(4,2+'5. Scenarios'!$E$8))/4+INDEX(BookQ3,152)*(5-MIN(4,3+'5. Scenarios'!$E$8))/4+INDEX(BookQ4,152)*(5-MIN(4,4+'5. Scenarios'!$E$8))/4)*'5. Scenarios'!$E$6/(1+ProductivityDefault*('5. Scenarios'!$E$11-1))+INDEX(BookOneOff,152)*$S157)</f>
        <v/>
      </c>
    </row>
    <row r="158" customFormat="false" ht="15" hidden="false" customHeight="false" outlineLevel="0" collapsed="false">
      <c r="A158" s="0" t="str">
        <f aca="false">IF(INDEX(BookTitle,153)="","",INDEX(BookKey,153))</f>
        <v/>
      </c>
      <c r="B158" s="0" t="str">
        <f aca="false">IF(INDEX(BookTitle,153)="","",INDEX(BookGroup,153))</f>
        <v/>
      </c>
      <c r="C158" s="0" t="str">
        <f aca="false">IF(INDEX(BookTitle,153)="","",INDEX(BookCategory,153))</f>
        <v/>
      </c>
      <c r="D158" s="56" t="str">
        <f aca="false">IF(INDEX(BookTitle,153)="","",INDEX(BookTotal,153)*'5. Scenarios'!$B$6/(1+ProductivityDefault*('5. Scenarios'!$B$11-1)))</f>
        <v/>
      </c>
      <c r="E158" s="57" t="str">
        <f aca="false">IF($D158="","",INDEX(BookRate,153)*(1+'5. Scenarios'!$B$10)*$D158)</f>
        <v/>
      </c>
      <c r="F158" s="57" t="str">
        <f aca="false">IF($E158="","",SUMIFS($E$6:$E$2405,$A$6:$A$2405,"&lt;="&amp;$A158))</f>
        <v/>
      </c>
      <c r="G158" s="57" t="str">
        <f aca="false">IF($E158="","",IF($F158&lt;=BankCostEnvelope*'5. Scenarios'!$B$7,1,0))</f>
        <v/>
      </c>
      <c r="H158" s="57" t="str">
        <f aca="false">IF($D158="","",INDEX(BookRate,153)*(1+'5. Scenarios'!$B$10)*(INDEX(BookQ1,153)*(5-MIN(4,1+'5. Scenarios'!$B$8))/4+INDEX(BookQ2,153)*(5-MIN(4,2+'5. Scenarios'!$B$8))/4+INDEX(BookQ3,153)*(5-MIN(4,3+'5. Scenarios'!$B$8))/4+INDEX(BookQ4,153)*(5-MIN(4,4+'5. Scenarios'!$B$8))/4)*'5. Scenarios'!$B$6/(1+ProductivityDefault*('5. Scenarios'!$B$11-1))+INDEX(BookOneOff,153)*$D158)</f>
        <v/>
      </c>
      <c r="I158" s="56" t="str">
        <f aca="false">IF(INDEX(BookTitle,153)="","",INDEX(BookTotal,153)*'5. Scenarios'!$C$6/(1+ProductivityDefault*('5. Scenarios'!$C$11-1)))</f>
        <v/>
      </c>
      <c r="J158" s="57" t="str">
        <f aca="false">IF($I158="","",INDEX(BookRate,153)*(1+'5. Scenarios'!$C$10)*$I158)</f>
        <v/>
      </c>
      <c r="K158" s="57" t="str">
        <f aca="false">IF($J158="","",SUMIFS($J$6:$J$2405,$A$6:$A$2405,"&lt;="&amp;$A158))</f>
        <v/>
      </c>
      <c r="L158" s="57" t="str">
        <f aca="false">IF($J158="","",IF($K158&lt;=BankCostEnvelope*'5. Scenarios'!$C$7,1,0))</f>
        <v/>
      </c>
      <c r="M158" s="57" t="str">
        <f aca="false">IF($I158="","",INDEX(BookRate,153)*(1+'5. Scenarios'!$C$10)*(INDEX(BookQ1,153)*(5-MIN(4,1+'5. Scenarios'!$C$8))/4+INDEX(BookQ2,153)*(5-MIN(4,2+'5. Scenarios'!$C$8))/4+INDEX(BookQ3,153)*(5-MIN(4,3+'5. Scenarios'!$C$8))/4+INDEX(BookQ4,153)*(5-MIN(4,4+'5. Scenarios'!$C$8))/4)*'5. Scenarios'!$C$6/(1+ProductivityDefault*('5. Scenarios'!$C$11-1))+INDEX(BookOneOff,153)*$I158)</f>
        <v/>
      </c>
      <c r="N158" s="56" t="str">
        <f aca="false">IF(INDEX(BookTitle,153)="","",INDEX(BookTotal,153)*'5. Scenarios'!$D$6/(1+ProductivityDefault*('5. Scenarios'!$D$11-1)))</f>
        <v/>
      </c>
      <c r="O158" s="57" t="str">
        <f aca="false">IF($N158="","",INDEX(BookRate,153)*(1+'5. Scenarios'!$D$10)*$N158)</f>
        <v/>
      </c>
      <c r="P158" s="57" t="str">
        <f aca="false">IF($O158="","",SUMIFS($O$6:$O$2405,$A$6:$A$2405,"&lt;="&amp;$A158))</f>
        <v/>
      </c>
      <c r="Q158" s="57" t="str">
        <f aca="false">IF($O158="","",IF($P158&lt;=BankCostEnvelope*'5. Scenarios'!$D$7,1,0))</f>
        <v/>
      </c>
      <c r="R158" s="57" t="str">
        <f aca="false">IF($N158="","",INDEX(BookRate,153)*(1+'5. Scenarios'!$D$10)*(INDEX(BookQ1,153)*(5-MIN(4,1+'5. Scenarios'!$D$8))/4+INDEX(BookQ2,153)*(5-MIN(4,2+'5. Scenarios'!$D$8))/4+INDEX(BookQ3,153)*(5-MIN(4,3+'5. Scenarios'!$D$8))/4+INDEX(BookQ4,153)*(5-MIN(4,4+'5. Scenarios'!$D$8))/4)*'5. Scenarios'!$D$6/(1+ProductivityDefault*('5. Scenarios'!$D$11-1))+INDEX(BookOneOff,153)*$N158)</f>
        <v/>
      </c>
      <c r="S158" s="56" t="str">
        <f aca="false">IF(INDEX(BookTitle,153)="","",INDEX(BookTotal,153)*'5. Scenarios'!$E$6/(1+ProductivityDefault*('5. Scenarios'!$E$11-1)))</f>
        <v/>
      </c>
      <c r="T158" s="57" t="str">
        <f aca="false">IF($S158="","",INDEX(BookRate,153)*(1+'5. Scenarios'!$E$10)*$S158)</f>
        <v/>
      </c>
      <c r="U158" s="57" t="str">
        <f aca="false">IF($T158="","",SUMIFS($T$6:$T$2405,$A$6:$A$2405,"&lt;="&amp;$A158))</f>
        <v/>
      </c>
      <c r="V158" s="57" t="str">
        <f aca="false">IF($T158="","",IF($U158&lt;=BankCostEnvelope*'5. Scenarios'!$E$7,1,0))</f>
        <v/>
      </c>
      <c r="W158" s="57" t="str">
        <f aca="false">IF($S158="","",INDEX(BookRate,153)*(1+'5. Scenarios'!$E$10)*(INDEX(BookQ1,153)*(5-MIN(4,1+'5. Scenarios'!$E$8))/4+INDEX(BookQ2,153)*(5-MIN(4,2+'5. Scenarios'!$E$8))/4+INDEX(BookQ3,153)*(5-MIN(4,3+'5. Scenarios'!$E$8))/4+INDEX(BookQ4,153)*(5-MIN(4,4+'5. Scenarios'!$E$8))/4)*'5. Scenarios'!$E$6/(1+ProductivityDefault*('5. Scenarios'!$E$11-1))+INDEX(BookOneOff,153)*$S158)</f>
        <v/>
      </c>
    </row>
    <row r="159" customFormat="false" ht="15" hidden="false" customHeight="false" outlineLevel="0" collapsed="false">
      <c r="A159" s="0" t="str">
        <f aca="false">IF(INDEX(BookTitle,154)="","",INDEX(BookKey,154))</f>
        <v/>
      </c>
      <c r="B159" s="0" t="str">
        <f aca="false">IF(INDEX(BookTitle,154)="","",INDEX(BookGroup,154))</f>
        <v/>
      </c>
      <c r="C159" s="0" t="str">
        <f aca="false">IF(INDEX(BookTitle,154)="","",INDEX(BookCategory,154))</f>
        <v/>
      </c>
      <c r="D159" s="56" t="str">
        <f aca="false">IF(INDEX(BookTitle,154)="","",INDEX(BookTotal,154)*'5. Scenarios'!$B$6/(1+ProductivityDefault*('5. Scenarios'!$B$11-1)))</f>
        <v/>
      </c>
      <c r="E159" s="57" t="str">
        <f aca="false">IF($D159="","",INDEX(BookRate,154)*(1+'5. Scenarios'!$B$10)*$D159)</f>
        <v/>
      </c>
      <c r="F159" s="57" t="str">
        <f aca="false">IF($E159="","",SUMIFS($E$6:$E$2405,$A$6:$A$2405,"&lt;="&amp;$A159))</f>
        <v/>
      </c>
      <c r="G159" s="57" t="str">
        <f aca="false">IF($E159="","",IF($F159&lt;=BankCostEnvelope*'5. Scenarios'!$B$7,1,0))</f>
        <v/>
      </c>
      <c r="H159" s="57" t="str">
        <f aca="false">IF($D159="","",INDEX(BookRate,154)*(1+'5. Scenarios'!$B$10)*(INDEX(BookQ1,154)*(5-MIN(4,1+'5. Scenarios'!$B$8))/4+INDEX(BookQ2,154)*(5-MIN(4,2+'5. Scenarios'!$B$8))/4+INDEX(BookQ3,154)*(5-MIN(4,3+'5. Scenarios'!$B$8))/4+INDEX(BookQ4,154)*(5-MIN(4,4+'5. Scenarios'!$B$8))/4)*'5. Scenarios'!$B$6/(1+ProductivityDefault*('5. Scenarios'!$B$11-1))+INDEX(BookOneOff,154)*$D159)</f>
        <v/>
      </c>
      <c r="I159" s="56" t="str">
        <f aca="false">IF(INDEX(BookTitle,154)="","",INDEX(BookTotal,154)*'5. Scenarios'!$C$6/(1+ProductivityDefault*('5. Scenarios'!$C$11-1)))</f>
        <v/>
      </c>
      <c r="J159" s="57" t="str">
        <f aca="false">IF($I159="","",INDEX(BookRate,154)*(1+'5. Scenarios'!$C$10)*$I159)</f>
        <v/>
      </c>
      <c r="K159" s="57" t="str">
        <f aca="false">IF($J159="","",SUMIFS($J$6:$J$2405,$A$6:$A$2405,"&lt;="&amp;$A159))</f>
        <v/>
      </c>
      <c r="L159" s="57" t="str">
        <f aca="false">IF($J159="","",IF($K159&lt;=BankCostEnvelope*'5. Scenarios'!$C$7,1,0))</f>
        <v/>
      </c>
      <c r="M159" s="57" t="str">
        <f aca="false">IF($I159="","",INDEX(BookRate,154)*(1+'5. Scenarios'!$C$10)*(INDEX(BookQ1,154)*(5-MIN(4,1+'5. Scenarios'!$C$8))/4+INDEX(BookQ2,154)*(5-MIN(4,2+'5. Scenarios'!$C$8))/4+INDEX(BookQ3,154)*(5-MIN(4,3+'5. Scenarios'!$C$8))/4+INDEX(BookQ4,154)*(5-MIN(4,4+'5. Scenarios'!$C$8))/4)*'5. Scenarios'!$C$6/(1+ProductivityDefault*('5. Scenarios'!$C$11-1))+INDEX(BookOneOff,154)*$I159)</f>
        <v/>
      </c>
      <c r="N159" s="56" t="str">
        <f aca="false">IF(INDEX(BookTitle,154)="","",INDEX(BookTotal,154)*'5. Scenarios'!$D$6/(1+ProductivityDefault*('5. Scenarios'!$D$11-1)))</f>
        <v/>
      </c>
      <c r="O159" s="57" t="str">
        <f aca="false">IF($N159="","",INDEX(BookRate,154)*(1+'5. Scenarios'!$D$10)*$N159)</f>
        <v/>
      </c>
      <c r="P159" s="57" t="str">
        <f aca="false">IF($O159="","",SUMIFS($O$6:$O$2405,$A$6:$A$2405,"&lt;="&amp;$A159))</f>
        <v/>
      </c>
      <c r="Q159" s="57" t="str">
        <f aca="false">IF($O159="","",IF($P159&lt;=BankCostEnvelope*'5. Scenarios'!$D$7,1,0))</f>
        <v/>
      </c>
      <c r="R159" s="57" t="str">
        <f aca="false">IF($N159="","",INDEX(BookRate,154)*(1+'5. Scenarios'!$D$10)*(INDEX(BookQ1,154)*(5-MIN(4,1+'5. Scenarios'!$D$8))/4+INDEX(BookQ2,154)*(5-MIN(4,2+'5. Scenarios'!$D$8))/4+INDEX(BookQ3,154)*(5-MIN(4,3+'5. Scenarios'!$D$8))/4+INDEX(BookQ4,154)*(5-MIN(4,4+'5. Scenarios'!$D$8))/4)*'5. Scenarios'!$D$6/(1+ProductivityDefault*('5. Scenarios'!$D$11-1))+INDEX(BookOneOff,154)*$N159)</f>
        <v/>
      </c>
      <c r="S159" s="56" t="str">
        <f aca="false">IF(INDEX(BookTitle,154)="","",INDEX(BookTotal,154)*'5. Scenarios'!$E$6/(1+ProductivityDefault*('5. Scenarios'!$E$11-1)))</f>
        <v/>
      </c>
      <c r="T159" s="57" t="str">
        <f aca="false">IF($S159="","",INDEX(BookRate,154)*(1+'5. Scenarios'!$E$10)*$S159)</f>
        <v/>
      </c>
      <c r="U159" s="57" t="str">
        <f aca="false">IF($T159="","",SUMIFS($T$6:$T$2405,$A$6:$A$2405,"&lt;="&amp;$A159))</f>
        <v/>
      </c>
      <c r="V159" s="57" t="str">
        <f aca="false">IF($T159="","",IF($U159&lt;=BankCostEnvelope*'5. Scenarios'!$E$7,1,0))</f>
        <v/>
      </c>
      <c r="W159" s="57" t="str">
        <f aca="false">IF($S159="","",INDEX(BookRate,154)*(1+'5. Scenarios'!$E$10)*(INDEX(BookQ1,154)*(5-MIN(4,1+'5. Scenarios'!$E$8))/4+INDEX(BookQ2,154)*(5-MIN(4,2+'5. Scenarios'!$E$8))/4+INDEX(BookQ3,154)*(5-MIN(4,3+'5. Scenarios'!$E$8))/4+INDEX(BookQ4,154)*(5-MIN(4,4+'5. Scenarios'!$E$8))/4)*'5. Scenarios'!$E$6/(1+ProductivityDefault*('5. Scenarios'!$E$11-1))+INDEX(BookOneOff,154)*$S159)</f>
        <v/>
      </c>
    </row>
    <row r="160" customFormat="false" ht="15" hidden="false" customHeight="false" outlineLevel="0" collapsed="false">
      <c r="A160" s="0" t="str">
        <f aca="false">IF(INDEX(BookTitle,155)="","",INDEX(BookKey,155))</f>
        <v/>
      </c>
      <c r="B160" s="0" t="str">
        <f aca="false">IF(INDEX(BookTitle,155)="","",INDEX(BookGroup,155))</f>
        <v/>
      </c>
      <c r="C160" s="0" t="str">
        <f aca="false">IF(INDEX(BookTitle,155)="","",INDEX(BookCategory,155))</f>
        <v/>
      </c>
      <c r="D160" s="56" t="str">
        <f aca="false">IF(INDEX(BookTitle,155)="","",INDEX(BookTotal,155)*'5. Scenarios'!$B$6/(1+ProductivityDefault*('5. Scenarios'!$B$11-1)))</f>
        <v/>
      </c>
      <c r="E160" s="57" t="str">
        <f aca="false">IF($D160="","",INDEX(BookRate,155)*(1+'5. Scenarios'!$B$10)*$D160)</f>
        <v/>
      </c>
      <c r="F160" s="57" t="str">
        <f aca="false">IF($E160="","",SUMIFS($E$6:$E$2405,$A$6:$A$2405,"&lt;="&amp;$A160))</f>
        <v/>
      </c>
      <c r="G160" s="57" t="str">
        <f aca="false">IF($E160="","",IF($F160&lt;=BankCostEnvelope*'5. Scenarios'!$B$7,1,0))</f>
        <v/>
      </c>
      <c r="H160" s="57" t="str">
        <f aca="false">IF($D160="","",INDEX(BookRate,155)*(1+'5. Scenarios'!$B$10)*(INDEX(BookQ1,155)*(5-MIN(4,1+'5. Scenarios'!$B$8))/4+INDEX(BookQ2,155)*(5-MIN(4,2+'5. Scenarios'!$B$8))/4+INDEX(BookQ3,155)*(5-MIN(4,3+'5. Scenarios'!$B$8))/4+INDEX(BookQ4,155)*(5-MIN(4,4+'5. Scenarios'!$B$8))/4)*'5. Scenarios'!$B$6/(1+ProductivityDefault*('5. Scenarios'!$B$11-1))+INDEX(BookOneOff,155)*$D160)</f>
        <v/>
      </c>
      <c r="I160" s="56" t="str">
        <f aca="false">IF(INDEX(BookTitle,155)="","",INDEX(BookTotal,155)*'5. Scenarios'!$C$6/(1+ProductivityDefault*('5. Scenarios'!$C$11-1)))</f>
        <v/>
      </c>
      <c r="J160" s="57" t="str">
        <f aca="false">IF($I160="","",INDEX(BookRate,155)*(1+'5. Scenarios'!$C$10)*$I160)</f>
        <v/>
      </c>
      <c r="K160" s="57" t="str">
        <f aca="false">IF($J160="","",SUMIFS($J$6:$J$2405,$A$6:$A$2405,"&lt;="&amp;$A160))</f>
        <v/>
      </c>
      <c r="L160" s="57" t="str">
        <f aca="false">IF($J160="","",IF($K160&lt;=BankCostEnvelope*'5. Scenarios'!$C$7,1,0))</f>
        <v/>
      </c>
      <c r="M160" s="57" t="str">
        <f aca="false">IF($I160="","",INDEX(BookRate,155)*(1+'5. Scenarios'!$C$10)*(INDEX(BookQ1,155)*(5-MIN(4,1+'5. Scenarios'!$C$8))/4+INDEX(BookQ2,155)*(5-MIN(4,2+'5. Scenarios'!$C$8))/4+INDEX(BookQ3,155)*(5-MIN(4,3+'5. Scenarios'!$C$8))/4+INDEX(BookQ4,155)*(5-MIN(4,4+'5. Scenarios'!$C$8))/4)*'5. Scenarios'!$C$6/(1+ProductivityDefault*('5. Scenarios'!$C$11-1))+INDEX(BookOneOff,155)*$I160)</f>
        <v/>
      </c>
      <c r="N160" s="56" t="str">
        <f aca="false">IF(INDEX(BookTitle,155)="","",INDEX(BookTotal,155)*'5. Scenarios'!$D$6/(1+ProductivityDefault*('5. Scenarios'!$D$11-1)))</f>
        <v/>
      </c>
      <c r="O160" s="57" t="str">
        <f aca="false">IF($N160="","",INDEX(BookRate,155)*(1+'5. Scenarios'!$D$10)*$N160)</f>
        <v/>
      </c>
      <c r="P160" s="57" t="str">
        <f aca="false">IF($O160="","",SUMIFS($O$6:$O$2405,$A$6:$A$2405,"&lt;="&amp;$A160))</f>
        <v/>
      </c>
      <c r="Q160" s="57" t="str">
        <f aca="false">IF($O160="","",IF($P160&lt;=BankCostEnvelope*'5. Scenarios'!$D$7,1,0))</f>
        <v/>
      </c>
      <c r="R160" s="57" t="str">
        <f aca="false">IF($N160="","",INDEX(BookRate,155)*(1+'5. Scenarios'!$D$10)*(INDEX(BookQ1,155)*(5-MIN(4,1+'5. Scenarios'!$D$8))/4+INDEX(BookQ2,155)*(5-MIN(4,2+'5. Scenarios'!$D$8))/4+INDEX(BookQ3,155)*(5-MIN(4,3+'5. Scenarios'!$D$8))/4+INDEX(BookQ4,155)*(5-MIN(4,4+'5. Scenarios'!$D$8))/4)*'5. Scenarios'!$D$6/(1+ProductivityDefault*('5. Scenarios'!$D$11-1))+INDEX(BookOneOff,155)*$N160)</f>
        <v/>
      </c>
      <c r="S160" s="56" t="str">
        <f aca="false">IF(INDEX(BookTitle,155)="","",INDEX(BookTotal,155)*'5. Scenarios'!$E$6/(1+ProductivityDefault*('5. Scenarios'!$E$11-1)))</f>
        <v/>
      </c>
      <c r="T160" s="57" t="str">
        <f aca="false">IF($S160="","",INDEX(BookRate,155)*(1+'5. Scenarios'!$E$10)*$S160)</f>
        <v/>
      </c>
      <c r="U160" s="57" t="str">
        <f aca="false">IF($T160="","",SUMIFS($T$6:$T$2405,$A$6:$A$2405,"&lt;="&amp;$A160))</f>
        <v/>
      </c>
      <c r="V160" s="57" t="str">
        <f aca="false">IF($T160="","",IF($U160&lt;=BankCostEnvelope*'5. Scenarios'!$E$7,1,0))</f>
        <v/>
      </c>
      <c r="W160" s="57" t="str">
        <f aca="false">IF($S160="","",INDEX(BookRate,155)*(1+'5. Scenarios'!$E$10)*(INDEX(BookQ1,155)*(5-MIN(4,1+'5. Scenarios'!$E$8))/4+INDEX(BookQ2,155)*(5-MIN(4,2+'5. Scenarios'!$E$8))/4+INDEX(BookQ3,155)*(5-MIN(4,3+'5. Scenarios'!$E$8))/4+INDEX(BookQ4,155)*(5-MIN(4,4+'5. Scenarios'!$E$8))/4)*'5. Scenarios'!$E$6/(1+ProductivityDefault*('5. Scenarios'!$E$11-1))+INDEX(BookOneOff,155)*$S160)</f>
        <v/>
      </c>
    </row>
    <row r="161" customFormat="false" ht="15" hidden="false" customHeight="false" outlineLevel="0" collapsed="false">
      <c r="A161" s="0" t="str">
        <f aca="false">IF(INDEX(BookTitle,156)="","",INDEX(BookKey,156))</f>
        <v/>
      </c>
      <c r="B161" s="0" t="str">
        <f aca="false">IF(INDEX(BookTitle,156)="","",INDEX(BookGroup,156))</f>
        <v/>
      </c>
      <c r="C161" s="0" t="str">
        <f aca="false">IF(INDEX(BookTitle,156)="","",INDEX(BookCategory,156))</f>
        <v/>
      </c>
      <c r="D161" s="56" t="str">
        <f aca="false">IF(INDEX(BookTitle,156)="","",INDEX(BookTotal,156)*'5. Scenarios'!$B$6/(1+ProductivityDefault*('5. Scenarios'!$B$11-1)))</f>
        <v/>
      </c>
      <c r="E161" s="57" t="str">
        <f aca="false">IF($D161="","",INDEX(BookRate,156)*(1+'5. Scenarios'!$B$10)*$D161)</f>
        <v/>
      </c>
      <c r="F161" s="57" t="str">
        <f aca="false">IF($E161="","",SUMIFS($E$6:$E$2405,$A$6:$A$2405,"&lt;="&amp;$A161))</f>
        <v/>
      </c>
      <c r="G161" s="57" t="str">
        <f aca="false">IF($E161="","",IF($F161&lt;=BankCostEnvelope*'5. Scenarios'!$B$7,1,0))</f>
        <v/>
      </c>
      <c r="H161" s="57" t="str">
        <f aca="false">IF($D161="","",INDEX(BookRate,156)*(1+'5. Scenarios'!$B$10)*(INDEX(BookQ1,156)*(5-MIN(4,1+'5. Scenarios'!$B$8))/4+INDEX(BookQ2,156)*(5-MIN(4,2+'5. Scenarios'!$B$8))/4+INDEX(BookQ3,156)*(5-MIN(4,3+'5. Scenarios'!$B$8))/4+INDEX(BookQ4,156)*(5-MIN(4,4+'5. Scenarios'!$B$8))/4)*'5. Scenarios'!$B$6/(1+ProductivityDefault*('5. Scenarios'!$B$11-1))+INDEX(BookOneOff,156)*$D161)</f>
        <v/>
      </c>
      <c r="I161" s="56" t="str">
        <f aca="false">IF(INDEX(BookTitle,156)="","",INDEX(BookTotal,156)*'5. Scenarios'!$C$6/(1+ProductivityDefault*('5. Scenarios'!$C$11-1)))</f>
        <v/>
      </c>
      <c r="J161" s="57" t="str">
        <f aca="false">IF($I161="","",INDEX(BookRate,156)*(1+'5. Scenarios'!$C$10)*$I161)</f>
        <v/>
      </c>
      <c r="K161" s="57" t="str">
        <f aca="false">IF($J161="","",SUMIFS($J$6:$J$2405,$A$6:$A$2405,"&lt;="&amp;$A161))</f>
        <v/>
      </c>
      <c r="L161" s="57" t="str">
        <f aca="false">IF($J161="","",IF($K161&lt;=BankCostEnvelope*'5. Scenarios'!$C$7,1,0))</f>
        <v/>
      </c>
      <c r="M161" s="57" t="str">
        <f aca="false">IF($I161="","",INDEX(BookRate,156)*(1+'5. Scenarios'!$C$10)*(INDEX(BookQ1,156)*(5-MIN(4,1+'5. Scenarios'!$C$8))/4+INDEX(BookQ2,156)*(5-MIN(4,2+'5. Scenarios'!$C$8))/4+INDEX(BookQ3,156)*(5-MIN(4,3+'5. Scenarios'!$C$8))/4+INDEX(BookQ4,156)*(5-MIN(4,4+'5. Scenarios'!$C$8))/4)*'5. Scenarios'!$C$6/(1+ProductivityDefault*('5. Scenarios'!$C$11-1))+INDEX(BookOneOff,156)*$I161)</f>
        <v/>
      </c>
      <c r="N161" s="56" t="str">
        <f aca="false">IF(INDEX(BookTitle,156)="","",INDEX(BookTotal,156)*'5. Scenarios'!$D$6/(1+ProductivityDefault*('5. Scenarios'!$D$11-1)))</f>
        <v/>
      </c>
      <c r="O161" s="57" t="str">
        <f aca="false">IF($N161="","",INDEX(BookRate,156)*(1+'5. Scenarios'!$D$10)*$N161)</f>
        <v/>
      </c>
      <c r="P161" s="57" t="str">
        <f aca="false">IF($O161="","",SUMIFS($O$6:$O$2405,$A$6:$A$2405,"&lt;="&amp;$A161))</f>
        <v/>
      </c>
      <c r="Q161" s="57" t="str">
        <f aca="false">IF($O161="","",IF($P161&lt;=BankCostEnvelope*'5. Scenarios'!$D$7,1,0))</f>
        <v/>
      </c>
      <c r="R161" s="57" t="str">
        <f aca="false">IF($N161="","",INDEX(BookRate,156)*(1+'5. Scenarios'!$D$10)*(INDEX(BookQ1,156)*(5-MIN(4,1+'5. Scenarios'!$D$8))/4+INDEX(BookQ2,156)*(5-MIN(4,2+'5. Scenarios'!$D$8))/4+INDEX(BookQ3,156)*(5-MIN(4,3+'5. Scenarios'!$D$8))/4+INDEX(BookQ4,156)*(5-MIN(4,4+'5. Scenarios'!$D$8))/4)*'5. Scenarios'!$D$6/(1+ProductivityDefault*('5. Scenarios'!$D$11-1))+INDEX(BookOneOff,156)*$N161)</f>
        <v/>
      </c>
      <c r="S161" s="56" t="str">
        <f aca="false">IF(INDEX(BookTitle,156)="","",INDEX(BookTotal,156)*'5. Scenarios'!$E$6/(1+ProductivityDefault*('5. Scenarios'!$E$11-1)))</f>
        <v/>
      </c>
      <c r="T161" s="57" t="str">
        <f aca="false">IF($S161="","",INDEX(BookRate,156)*(1+'5. Scenarios'!$E$10)*$S161)</f>
        <v/>
      </c>
      <c r="U161" s="57" t="str">
        <f aca="false">IF($T161="","",SUMIFS($T$6:$T$2405,$A$6:$A$2405,"&lt;="&amp;$A161))</f>
        <v/>
      </c>
      <c r="V161" s="57" t="str">
        <f aca="false">IF($T161="","",IF($U161&lt;=BankCostEnvelope*'5. Scenarios'!$E$7,1,0))</f>
        <v/>
      </c>
      <c r="W161" s="57" t="str">
        <f aca="false">IF($S161="","",INDEX(BookRate,156)*(1+'5. Scenarios'!$E$10)*(INDEX(BookQ1,156)*(5-MIN(4,1+'5. Scenarios'!$E$8))/4+INDEX(BookQ2,156)*(5-MIN(4,2+'5. Scenarios'!$E$8))/4+INDEX(BookQ3,156)*(5-MIN(4,3+'5. Scenarios'!$E$8))/4+INDEX(BookQ4,156)*(5-MIN(4,4+'5. Scenarios'!$E$8))/4)*'5. Scenarios'!$E$6/(1+ProductivityDefault*('5. Scenarios'!$E$11-1))+INDEX(BookOneOff,156)*$S161)</f>
        <v/>
      </c>
    </row>
    <row r="162" customFormat="false" ht="15" hidden="false" customHeight="false" outlineLevel="0" collapsed="false">
      <c r="A162" s="0" t="str">
        <f aca="false">IF(INDEX(BookTitle,157)="","",INDEX(BookKey,157))</f>
        <v/>
      </c>
      <c r="B162" s="0" t="str">
        <f aca="false">IF(INDEX(BookTitle,157)="","",INDEX(BookGroup,157))</f>
        <v/>
      </c>
      <c r="C162" s="0" t="str">
        <f aca="false">IF(INDEX(BookTitle,157)="","",INDEX(BookCategory,157))</f>
        <v/>
      </c>
      <c r="D162" s="56" t="str">
        <f aca="false">IF(INDEX(BookTitle,157)="","",INDEX(BookTotal,157)*'5. Scenarios'!$B$6/(1+ProductivityDefault*('5. Scenarios'!$B$11-1)))</f>
        <v/>
      </c>
      <c r="E162" s="57" t="str">
        <f aca="false">IF($D162="","",INDEX(BookRate,157)*(1+'5. Scenarios'!$B$10)*$D162)</f>
        <v/>
      </c>
      <c r="F162" s="57" t="str">
        <f aca="false">IF($E162="","",SUMIFS($E$6:$E$2405,$A$6:$A$2405,"&lt;="&amp;$A162))</f>
        <v/>
      </c>
      <c r="G162" s="57" t="str">
        <f aca="false">IF($E162="","",IF($F162&lt;=BankCostEnvelope*'5. Scenarios'!$B$7,1,0))</f>
        <v/>
      </c>
      <c r="H162" s="57" t="str">
        <f aca="false">IF($D162="","",INDEX(BookRate,157)*(1+'5. Scenarios'!$B$10)*(INDEX(BookQ1,157)*(5-MIN(4,1+'5. Scenarios'!$B$8))/4+INDEX(BookQ2,157)*(5-MIN(4,2+'5. Scenarios'!$B$8))/4+INDEX(BookQ3,157)*(5-MIN(4,3+'5. Scenarios'!$B$8))/4+INDEX(BookQ4,157)*(5-MIN(4,4+'5. Scenarios'!$B$8))/4)*'5. Scenarios'!$B$6/(1+ProductivityDefault*('5. Scenarios'!$B$11-1))+INDEX(BookOneOff,157)*$D162)</f>
        <v/>
      </c>
      <c r="I162" s="56" t="str">
        <f aca="false">IF(INDEX(BookTitle,157)="","",INDEX(BookTotal,157)*'5. Scenarios'!$C$6/(1+ProductivityDefault*('5. Scenarios'!$C$11-1)))</f>
        <v/>
      </c>
      <c r="J162" s="57" t="str">
        <f aca="false">IF($I162="","",INDEX(BookRate,157)*(1+'5. Scenarios'!$C$10)*$I162)</f>
        <v/>
      </c>
      <c r="K162" s="57" t="str">
        <f aca="false">IF($J162="","",SUMIFS($J$6:$J$2405,$A$6:$A$2405,"&lt;="&amp;$A162))</f>
        <v/>
      </c>
      <c r="L162" s="57" t="str">
        <f aca="false">IF($J162="","",IF($K162&lt;=BankCostEnvelope*'5. Scenarios'!$C$7,1,0))</f>
        <v/>
      </c>
      <c r="M162" s="57" t="str">
        <f aca="false">IF($I162="","",INDEX(BookRate,157)*(1+'5. Scenarios'!$C$10)*(INDEX(BookQ1,157)*(5-MIN(4,1+'5. Scenarios'!$C$8))/4+INDEX(BookQ2,157)*(5-MIN(4,2+'5. Scenarios'!$C$8))/4+INDEX(BookQ3,157)*(5-MIN(4,3+'5. Scenarios'!$C$8))/4+INDEX(BookQ4,157)*(5-MIN(4,4+'5. Scenarios'!$C$8))/4)*'5. Scenarios'!$C$6/(1+ProductivityDefault*('5. Scenarios'!$C$11-1))+INDEX(BookOneOff,157)*$I162)</f>
        <v/>
      </c>
      <c r="N162" s="56" t="str">
        <f aca="false">IF(INDEX(BookTitle,157)="","",INDEX(BookTotal,157)*'5. Scenarios'!$D$6/(1+ProductivityDefault*('5. Scenarios'!$D$11-1)))</f>
        <v/>
      </c>
      <c r="O162" s="57" t="str">
        <f aca="false">IF($N162="","",INDEX(BookRate,157)*(1+'5. Scenarios'!$D$10)*$N162)</f>
        <v/>
      </c>
      <c r="P162" s="57" t="str">
        <f aca="false">IF($O162="","",SUMIFS($O$6:$O$2405,$A$6:$A$2405,"&lt;="&amp;$A162))</f>
        <v/>
      </c>
      <c r="Q162" s="57" t="str">
        <f aca="false">IF($O162="","",IF($P162&lt;=BankCostEnvelope*'5. Scenarios'!$D$7,1,0))</f>
        <v/>
      </c>
      <c r="R162" s="57" t="str">
        <f aca="false">IF($N162="","",INDEX(BookRate,157)*(1+'5. Scenarios'!$D$10)*(INDEX(BookQ1,157)*(5-MIN(4,1+'5. Scenarios'!$D$8))/4+INDEX(BookQ2,157)*(5-MIN(4,2+'5. Scenarios'!$D$8))/4+INDEX(BookQ3,157)*(5-MIN(4,3+'5. Scenarios'!$D$8))/4+INDEX(BookQ4,157)*(5-MIN(4,4+'5. Scenarios'!$D$8))/4)*'5. Scenarios'!$D$6/(1+ProductivityDefault*('5. Scenarios'!$D$11-1))+INDEX(BookOneOff,157)*$N162)</f>
        <v/>
      </c>
      <c r="S162" s="56" t="str">
        <f aca="false">IF(INDEX(BookTitle,157)="","",INDEX(BookTotal,157)*'5. Scenarios'!$E$6/(1+ProductivityDefault*('5. Scenarios'!$E$11-1)))</f>
        <v/>
      </c>
      <c r="T162" s="57" t="str">
        <f aca="false">IF($S162="","",INDEX(BookRate,157)*(1+'5. Scenarios'!$E$10)*$S162)</f>
        <v/>
      </c>
      <c r="U162" s="57" t="str">
        <f aca="false">IF($T162="","",SUMIFS($T$6:$T$2405,$A$6:$A$2405,"&lt;="&amp;$A162))</f>
        <v/>
      </c>
      <c r="V162" s="57" t="str">
        <f aca="false">IF($T162="","",IF($U162&lt;=BankCostEnvelope*'5. Scenarios'!$E$7,1,0))</f>
        <v/>
      </c>
      <c r="W162" s="57" t="str">
        <f aca="false">IF($S162="","",INDEX(BookRate,157)*(1+'5. Scenarios'!$E$10)*(INDEX(BookQ1,157)*(5-MIN(4,1+'5. Scenarios'!$E$8))/4+INDEX(BookQ2,157)*(5-MIN(4,2+'5. Scenarios'!$E$8))/4+INDEX(BookQ3,157)*(5-MIN(4,3+'5. Scenarios'!$E$8))/4+INDEX(BookQ4,157)*(5-MIN(4,4+'5. Scenarios'!$E$8))/4)*'5. Scenarios'!$E$6/(1+ProductivityDefault*('5. Scenarios'!$E$11-1))+INDEX(BookOneOff,157)*$S162)</f>
        <v/>
      </c>
    </row>
    <row r="163" customFormat="false" ht="15" hidden="false" customHeight="false" outlineLevel="0" collapsed="false">
      <c r="A163" s="0" t="str">
        <f aca="false">IF(INDEX(BookTitle,158)="","",INDEX(BookKey,158))</f>
        <v/>
      </c>
      <c r="B163" s="0" t="str">
        <f aca="false">IF(INDEX(BookTitle,158)="","",INDEX(BookGroup,158))</f>
        <v/>
      </c>
      <c r="C163" s="0" t="str">
        <f aca="false">IF(INDEX(BookTitle,158)="","",INDEX(BookCategory,158))</f>
        <v/>
      </c>
      <c r="D163" s="56" t="str">
        <f aca="false">IF(INDEX(BookTitle,158)="","",INDEX(BookTotal,158)*'5. Scenarios'!$B$6/(1+ProductivityDefault*('5. Scenarios'!$B$11-1)))</f>
        <v/>
      </c>
      <c r="E163" s="57" t="str">
        <f aca="false">IF($D163="","",INDEX(BookRate,158)*(1+'5. Scenarios'!$B$10)*$D163)</f>
        <v/>
      </c>
      <c r="F163" s="57" t="str">
        <f aca="false">IF($E163="","",SUMIFS($E$6:$E$2405,$A$6:$A$2405,"&lt;="&amp;$A163))</f>
        <v/>
      </c>
      <c r="G163" s="57" t="str">
        <f aca="false">IF($E163="","",IF($F163&lt;=BankCostEnvelope*'5. Scenarios'!$B$7,1,0))</f>
        <v/>
      </c>
      <c r="H163" s="57" t="str">
        <f aca="false">IF($D163="","",INDEX(BookRate,158)*(1+'5. Scenarios'!$B$10)*(INDEX(BookQ1,158)*(5-MIN(4,1+'5. Scenarios'!$B$8))/4+INDEX(BookQ2,158)*(5-MIN(4,2+'5. Scenarios'!$B$8))/4+INDEX(BookQ3,158)*(5-MIN(4,3+'5. Scenarios'!$B$8))/4+INDEX(BookQ4,158)*(5-MIN(4,4+'5. Scenarios'!$B$8))/4)*'5. Scenarios'!$B$6/(1+ProductivityDefault*('5. Scenarios'!$B$11-1))+INDEX(BookOneOff,158)*$D163)</f>
        <v/>
      </c>
      <c r="I163" s="56" t="str">
        <f aca="false">IF(INDEX(BookTitle,158)="","",INDEX(BookTotal,158)*'5. Scenarios'!$C$6/(1+ProductivityDefault*('5. Scenarios'!$C$11-1)))</f>
        <v/>
      </c>
      <c r="J163" s="57" t="str">
        <f aca="false">IF($I163="","",INDEX(BookRate,158)*(1+'5. Scenarios'!$C$10)*$I163)</f>
        <v/>
      </c>
      <c r="K163" s="57" t="str">
        <f aca="false">IF($J163="","",SUMIFS($J$6:$J$2405,$A$6:$A$2405,"&lt;="&amp;$A163))</f>
        <v/>
      </c>
      <c r="L163" s="57" t="str">
        <f aca="false">IF($J163="","",IF($K163&lt;=BankCostEnvelope*'5. Scenarios'!$C$7,1,0))</f>
        <v/>
      </c>
      <c r="M163" s="57" t="str">
        <f aca="false">IF($I163="","",INDEX(BookRate,158)*(1+'5. Scenarios'!$C$10)*(INDEX(BookQ1,158)*(5-MIN(4,1+'5. Scenarios'!$C$8))/4+INDEX(BookQ2,158)*(5-MIN(4,2+'5. Scenarios'!$C$8))/4+INDEX(BookQ3,158)*(5-MIN(4,3+'5. Scenarios'!$C$8))/4+INDEX(BookQ4,158)*(5-MIN(4,4+'5. Scenarios'!$C$8))/4)*'5. Scenarios'!$C$6/(1+ProductivityDefault*('5. Scenarios'!$C$11-1))+INDEX(BookOneOff,158)*$I163)</f>
        <v/>
      </c>
      <c r="N163" s="56" t="str">
        <f aca="false">IF(INDEX(BookTitle,158)="","",INDEX(BookTotal,158)*'5. Scenarios'!$D$6/(1+ProductivityDefault*('5. Scenarios'!$D$11-1)))</f>
        <v/>
      </c>
      <c r="O163" s="57" t="str">
        <f aca="false">IF($N163="","",INDEX(BookRate,158)*(1+'5. Scenarios'!$D$10)*$N163)</f>
        <v/>
      </c>
      <c r="P163" s="57" t="str">
        <f aca="false">IF($O163="","",SUMIFS($O$6:$O$2405,$A$6:$A$2405,"&lt;="&amp;$A163))</f>
        <v/>
      </c>
      <c r="Q163" s="57" t="str">
        <f aca="false">IF($O163="","",IF($P163&lt;=BankCostEnvelope*'5. Scenarios'!$D$7,1,0))</f>
        <v/>
      </c>
      <c r="R163" s="57" t="str">
        <f aca="false">IF($N163="","",INDEX(BookRate,158)*(1+'5. Scenarios'!$D$10)*(INDEX(BookQ1,158)*(5-MIN(4,1+'5. Scenarios'!$D$8))/4+INDEX(BookQ2,158)*(5-MIN(4,2+'5. Scenarios'!$D$8))/4+INDEX(BookQ3,158)*(5-MIN(4,3+'5. Scenarios'!$D$8))/4+INDEX(BookQ4,158)*(5-MIN(4,4+'5. Scenarios'!$D$8))/4)*'5. Scenarios'!$D$6/(1+ProductivityDefault*('5. Scenarios'!$D$11-1))+INDEX(BookOneOff,158)*$N163)</f>
        <v/>
      </c>
      <c r="S163" s="56" t="str">
        <f aca="false">IF(INDEX(BookTitle,158)="","",INDEX(BookTotal,158)*'5. Scenarios'!$E$6/(1+ProductivityDefault*('5. Scenarios'!$E$11-1)))</f>
        <v/>
      </c>
      <c r="T163" s="57" t="str">
        <f aca="false">IF($S163="","",INDEX(BookRate,158)*(1+'5. Scenarios'!$E$10)*$S163)</f>
        <v/>
      </c>
      <c r="U163" s="57" t="str">
        <f aca="false">IF($T163="","",SUMIFS($T$6:$T$2405,$A$6:$A$2405,"&lt;="&amp;$A163))</f>
        <v/>
      </c>
      <c r="V163" s="57" t="str">
        <f aca="false">IF($T163="","",IF($U163&lt;=BankCostEnvelope*'5. Scenarios'!$E$7,1,0))</f>
        <v/>
      </c>
      <c r="W163" s="57" t="str">
        <f aca="false">IF($S163="","",INDEX(BookRate,158)*(1+'5. Scenarios'!$E$10)*(INDEX(BookQ1,158)*(5-MIN(4,1+'5. Scenarios'!$E$8))/4+INDEX(BookQ2,158)*(5-MIN(4,2+'5. Scenarios'!$E$8))/4+INDEX(BookQ3,158)*(5-MIN(4,3+'5. Scenarios'!$E$8))/4+INDEX(BookQ4,158)*(5-MIN(4,4+'5. Scenarios'!$E$8))/4)*'5. Scenarios'!$E$6/(1+ProductivityDefault*('5. Scenarios'!$E$11-1))+INDEX(BookOneOff,158)*$S163)</f>
        <v/>
      </c>
    </row>
    <row r="164" customFormat="false" ht="15" hidden="false" customHeight="false" outlineLevel="0" collapsed="false">
      <c r="A164" s="0" t="str">
        <f aca="false">IF(INDEX(BookTitle,159)="","",INDEX(BookKey,159))</f>
        <v/>
      </c>
      <c r="B164" s="0" t="str">
        <f aca="false">IF(INDEX(BookTitle,159)="","",INDEX(BookGroup,159))</f>
        <v/>
      </c>
      <c r="C164" s="0" t="str">
        <f aca="false">IF(INDEX(BookTitle,159)="","",INDEX(BookCategory,159))</f>
        <v/>
      </c>
      <c r="D164" s="56" t="str">
        <f aca="false">IF(INDEX(BookTitle,159)="","",INDEX(BookTotal,159)*'5. Scenarios'!$B$6/(1+ProductivityDefault*('5. Scenarios'!$B$11-1)))</f>
        <v/>
      </c>
      <c r="E164" s="57" t="str">
        <f aca="false">IF($D164="","",INDEX(BookRate,159)*(1+'5. Scenarios'!$B$10)*$D164)</f>
        <v/>
      </c>
      <c r="F164" s="57" t="str">
        <f aca="false">IF($E164="","",SUMIFS($E$6:$E$2405,$A$6:$A$2405,"&lt;="&amp;$A164))</f>
        <v/>
      </c>
      <c r="G164" s="57" t="str">
        <f aca="false">IF($E164="","",IF($F164&lt;=BankCostEnvelope*'5. Scenarios'!$B$7,1,0))</f>
        <v/>
      </c>
      <c r="H164" s="57" t="str">
        <f aca="false">IF($D164="","",INDEX(BookRate,159)*(1+'5. Scenarios'!$B$10)*(INDEX(BookQ1,159)*(5-MIN(4,1+'5. Scenarios'!$B$8))/4+INDEX(BookQ2,159)*(5-MIN(4,2+'5. Scenarios'!$B$8))/4+INDEX(BookQ3,159)*(5-MIN(4,3+'5. Scenarios'!$B$8))/4+INDEX(BookQ4,159)*(5-MIN(4,4+'5. Scenarios'!$B$8))/4)*'5. Scenarios'!$B$6/(1+ProductivityDefault*('5. Scenarios'!$B$11-1))+INDEX(BookOneOff,159)*$D164)</f>
        <v/>
      </c>
      <c r="I164" s="56" t="str">
        <f aca="false">IF(INDEX(BookTitle,159)="","",INDEX(BookTotal,159)*'5. Scenarios'!$C$6/(1+ProductivityDefault*('5. Scenarios'!$C$11-1)))</f>
        <v/>
      </c>
      <c r="J164" s="57" t="str">
        <f aca="false">IF($I164="","",INDEX(BookRate,159)*(1+'5. Scenarios'!$C$10)*$I164)</f>
        <v/>
      </c>
      <c r="K164" s="57" t="str">
        <f aca="false">IF($J164="","",SUMIFS($J$6:$J$2405,$A$6:$A$2405,"&lt;="&amp;$A164))</f>
        <v/>
      </c>
      <c r="L164" s="57" t="str">
        <f aca="false">IF($J164="","",IF($K164&lt;=BankCostEnvelope*'5. Scenarios'!$C$7,1,0))</f>
        <v/>
      </c>
      <c r="M164" s="57" t="str">
        <f aca="false">IF($I164="","",INDEX(BookRate,159)*(1+'5. Scenarios'!$C$10)*(INDEX(BookQ1,159)*(5-MIN(4,1+'5. Scenarios'!$C$8))/4+INDEX(BookQ2,159)*(5-MIN(4,2+'5. Scenarios'!$C$8))/4+INDEX(BookQ3,159)*(5-MIN(4,3+'5. Scenarios'!$C$8))/4+INDEX(BookQ4,159)*(5-MIN(4,4+'5. Scenarios'!$C$8))/4)*'5. Scenarios'!$C$6/(1+ProductivityDefault*('5. Scenarios'!$C$11-1))+INDEX(BookOneOff,159)*$I164)</f>
        <v/>
      </c>
      <c r="N164" s="56" t="str">
        <f aca="false">IF(INDEX(BookTitle,159)="","",INDEX(BookTotal,159)*'5. Scenarios'!$D$6/(1+ProductivityDefault*('5. Scenarios'!$D$11-1)))</f>
        <v/>
      </c>
      <c r="O164" s="57" t="str">
        <f aca="false">IF($N164="","",INDEX(BookRate,159)*(1+'5. Scenarios'!$D$10)*$N164)</f>
        <v/>
      </c>
      <c r="P164" s="57" t="str">
        <f aca="false">IF($O164="","",SUMIFS($O$6:$O$2405,$A$6:$A$2405,"&lt;="&amp;$A164))</f>
        <v/>
      </c>
      <c r="Q164" s="57" t="str">
        <f aca="false">IF($O164="","",IF($P164&lt;=BankCostEnvelope*'5. Scenarios'!$D$7,1,0))</f>
        <v/>
      </c>
      <c r="R164" s="57" t="str">
        <f aca="false">IF($N164="","",INDEX(BookRate,159)*(1+'5. Scenarios'!$D$10)*(INDEX(BookQ1,159)*(5-MIN(4,1+'5. Scenarios'!$D$8))/4+INDEX(BookQ2,159)*(5-MIN(4,2+'5. Scenarios'!$D$8))/4+INDEX(BookQ3,159)*(5-MIN(4,3+'5. Scenarios'!$D$8))/4+INDEX(BookQ4,159)*(5-MIN(4,4+'5. Scenarios'!$D$8))/4)*'5. Scenarios'!$D$6/(1+ProductivityDefault*('5. Scenarios'!$D$11-1))+INDEX(BookOneOff,159)*$N164)</f>
        <v/>
      </c>
      <c r="S164" s="56" t="str">
        <f aca="false">IF(INDEX(BookTitle,159)="","",INDEX(BookTotal,159)*'5. Scenarios'!$E$6/(1+ProductivityDefault*('5. Scenarios'!$E$11-1)))</f>
        <v/>
      </c>
      <c r="T164" s="57" t="str">
        <f aca="false">IF($S164="","",INDEX(BookRate,159)*(1+'5. Scenarios'!$E$10)*$S164)</f>
        <v/>
      </c>
      <c r="U164" s="57" t="str">
        <f aca="false">IF($T164="","",SUMIFS($T$6:$T$2405,$A$6:$A$2405,"&lt;="&amp;$A164))</f>
        <v/>
      </c>
      <c r="V164" s="57" t="str">
        <f aca="false">IF($T164="","",IF($U164&lt;=BankCostEnvelope*'5. Scenarios'!$E$7,1,0))</f>
        <v/>
      </c>
      <c r="W164" s="57" t="str">
        <f aca="false">IF($S164="","",INDEX(BookRate,159)*(1+'5. Scenarios'!$E$10)*(INDEX(BookQ1,159)*(5-MIN(4,1+'5. Scenarios'!$E$8))/4+INDEX(BookQ2,159)*(5-MIN(4,2+'5. Scenarios'!$E$8))/4+INDEX(BookQ3,159)*(5-MIN(4,3+'5. Scenarios'!$E$8))/4+INDEX(BookQ4,159)*(5-MIN(4,4+'5. Scenarios'!$E$8))/4)*'5. Scenarios'!$E$6/(1+ProductivityDefault*('5. Scenarios'!$E$11-1))+INDEX(BookOneOff,159)*$S164)</f>
        <v/>
      </c>
    </row>
    <row r="165" customFormat="false" ht="15" hidden="false" customHeight="false" outlineLevel="0" collapsed="false">
      <c r="A165" s="0" t="str">
        <f aca="false">IF(INDEX(BookTitle,160)="","",INDEX(BookKey,160))</f>
        <v/>
      </c>
      <c r="B165" s="0" t="str">
        <f aca="false">IF(INDEX(BookTitle,160)="","",INDEX(BookGroup,160))</f>
        <v/>
      </c>
      <c r="C165" s="0" t="str">
        <f aca="false">IF(INDEX(BookTitle,160)="","",INDEX(BookCategory,160))</f>
        <v/>
      </c>
      <c r="D165" s="56" t="str">
        <f aca="false">IF(INDEX(BookTitle,160)="","",INDEX(BookTotal,160)*'5. Scenarios'!$B$6/(1+ProductivityDefault*('5. Scenarios'!$B$11-1)))</f>
        <v/>
      </c>
      <c r="E165" s="57" t="str">
        <f aca="false">IF($D165="","",INDEX(BookRate,160)*(1+'5. Scenarios'!$B$10)*$D165)</f>
        <v/>
      </c>
      <c r="F165" s="57" t="str">
        <f aca="false">IF($E165="","",SUMIFS($E$6:$E$2405,$A$6:$A$2405,"&lt;="&amp;$A165))</f>
        <v/>
      </c>
      <c r="G165" s="57" t="str">
        <f aca="false">IF($E165="","",IF($F165&lt;=BankCostEnvelope*'5. Scenarios'!$B$7,1,0))</f>
        <v/>
      </c>
      <c r="H165" s="57" t="str">
        <f aca="false">IF($D165="","",INDEX(BookRate,160)*(1+'5. Scenarios'!$B$10)*(INDEX(BookQ1,160)*(5-MIN(4,1+'5. Scenarios'!$B$8))/4+INDEX(BookQ2,160)*(5-MIN(4,2+'5. Scenarios'!$B$8))/4+INDEX(BookQ3,160)*(5-MIN(4,3+'5. Scenarios'!$B$8))/4+INDEX(BookQ4,160)*(5-MIN(4,4+'5. Scenarios'!$B$8))/4)*'5. Scenarios'!$B$6/(1+ProductivityDefault*('5. Scenarios'!$B$11-1))+INDEX(BookOneOff,160)*$D165)</f>
        <v/>
      </c>
      <c r="I165" s="56" t="str">
        <f aca="false">IF(INDEX(BookTitle,160)="","",INDEX(BookTotal,160)*'5. Scenarios'!$C$6/(1+ProductivityDefault*('5. Scenarios'!$C$11-1)))</f>
        <v/>
      </c>
      <c r="J165" s="57" t="str">
        <f aca="false">IF($I165="","",INDEX(BookRate,160)*(1+'5. Scenarios'!$C$10)*$I165)</f>
        <v/>
      </c>
      <c r="K165" s="57" t="str">
        <f aca="false">IF($J165="","",SUMIFS($J$6:$J$2405,$A$6:$A$2405,"&lt;="&amp;$A165))</f>
        <v/>
      </c>
      <c r="L165" s="57" t="str">
        <f aca="false">IF($J165="","",IF($K165&lt;=BankCostEnvelope*'5. Scenarios'!$C$7,1,0))</f>
        <v/>
      </c>
      <c r="M165" s="57" t="str">
        <f aca="false">IF($I165="","",INDEX(BookRate,160)*(1+'5. Scenarios'!$C$10)*(INDEX(BookQ1,160)*(5-MIN(4,1+'5. Scenarios'!$C$8))/4+INDEX(BookQ2,160)*(5-MIN(4,2+'5. Scenarios'!$C$8))/4+INDEX(BookQ3,160)*(5-MIN(4,3+'5. Scenarios'!$C$8))/4+INDEX(BookQ4,160)*(5-MIN(4,4+'5. Scenarios'!$C$8))/4)*'5. Scenarios'!$C$6/(1+ProductivityDefault*('5. Scenarios'!$C$11-1))+INDEX(BookOneOff,160)*$I165)</f>
        <v/>
      </c>
      <c r="N165" s="56" t="str">
        <f aca="false">IF(INDEX(BookTitle,160)="","",INDEX(BookTotal,160)*'5. Scenarios'!$D$6/(1+ProductivityDefault*('5. Scenarios'!$D$11-1)))</f>
        <v/>
      </c>
      <c r="O165" s="57" t="str">
        <f aca="false">IF($N165="","",INDEX(BookRate,160)*(1+'5. Scenarios'!$D$10)*$N165)</f>
        <v/>
      </c>
      <c r="P165" s="57" t="str">
        <f aca="false">IF($O165="","",SUMIFS($O$6:$O$2405,$A$6:$A$2405,"&lt;="&amp;$A165))</f>
        <v/>
      </c>
      <c r="Q165" s="57" t="str">
        <f aca="false">IF($O165="","",IF($P165&lt;=BankCostEnvelope*'5. Scenarios'!$D$7,1,0))</f>
        <v/>
      </c>
      <c r="R165" s="57" t="str">
        <f aca="false">IF($N165="","",INDEX(BookRate,160)*(1+'5. Scenarios'!$D$10)*(INDEX(BookQ1,160)*(5-MIN(4,1+'5. Scenarios'!$D$8))/4+INDEX(BookQ2,160)*(5-MIN(4,2+'5. Scenarios'!$D$8))/4+INDEX(BookQ3,160)*(5-MIN(4,3+'5. Scenarios'!$D$8))/4+INDEX(BookQ4,160)*(5-MIN(4,4+'5. Scenarios'!$D$8))/4)*'5. Scenarios'!$D$6/(1+ProductivityDefault*('5. Scenarios'!$D$11-1))+INDEX(BookOneOff,160)*$N165)</f>
        <v/>
      </c>
      <c r="S165" s="56" t="str">
        <f aca="false">IF(INDEX(BookTitle,160)="","",INDEX(BookTotal,160)*'5. Scenarios'!$E$6/(1+ProductivityDefault*('5. Scenarios'!$E$11-1)))</f>
        <v/>
      </c>
      <c r="T165" s="57" t="str">
        <f aca="false">IF($S165="","",INDEX(BookRate,160)*(1+'5. Scenarios'!$E$10)*$S165)</f>
        <v/>
      </c>
      <c r="U165" s="57" t="str">
        <f aca="false">IF($T165="","",SUMIFS($T$6:$T$2405,$A$6:$A$2405,"&lt;="&amp;$A165))</f>
        <v/>
      </c>
      <c r="V165" s="57" t="str">
        <f aca="false">IF($T165="","",IF($U165&lt;=BankCostEnvelope*'5. Scenarios'!$E$7,1,0))</f>
        <v/>
      </c>
      <c r="W165" s="57" t="str">
        <f aca="false">IF($S165="","",INDEX(BookRate,160)*(1+'5. Scenarios'!$E$10)*(INDEX(BookQ1,160)*(5-MIN(4,1+'5. Scenarios'!$E$8))/4+INDEX(BookQ2,160)*(5-MIN(4,2+'5. Scenarios'!$E$8))/4+INDEX(BookQ3,160)*(5-MIN(4,3+'5. Scenarios'!$E$8))/4+INDEX(BookQ4,160)*(5-MIN(4,4+'5. Scenarios'!$E$8))/4)*'5. Scenarios'!$E$6/(1+ProductivityDefault*('5. Scenarios'!$E$11-1))+INDEX(BookOneOff,160)*$S165)</f>
        <v/>
      </c>
    </row>
    <row r="166" customFormat="false" ht="15" hidden="false" customHeight="false" outlineLevel="0" collapsed="false">
      <c r="A166" s="0" t="str">
        <f aca="false">IF(INDEX(BookTitle,161)="","",INDEX(BookKey,161))</f>
        <v/>
      </c>
      <c r="B166" s="0" t="str">
        <f aca="false">IF(INDEX(BookTitle,161)="","",INDEX(BookGroup,161))</f>
        <v/>
      </c>
      <c r="C166" s="0" t="str">
        <f aca="false">IF(INDEX(BookTitle,161)="","",INDEX(BookCategory,161))</f>
        <v/>
      </c>
      <c r="D166" s="56" t="str">
        <f aca="false">IF(INDEX(BookTitle,161)="","",INDEX(BookTotal,161)*'5. Scenarios'!$B$6/(1+ProductivityDefault*('5. Scenarios'!$B$11-1)))</f>
        <v/>
      </c>
      <c r="E166" s="57" t="str">
        <f aca="false">IF($D166="","",INDEX(BookRate,161)*(1+'5. Scenarios'!$B$10)*$D166)</f>
        <v/>
      </c>
      <c r="F166" s="57" t="str">
        <f aca="false">IF($E166="","",SUMIFS($E$6:$E$2405,$A$6:$A$2405,"&lt;="&amp;$A166))</f>
        <v/>
      </c>
      <c r="G166" s="57" t="str">
        <f aca="false">IF($E166="","",IF($F166&lt;=BankCostEnvelope*'5. Scenarios'!$B$7,1,0))</f>
        <v/>
      </c>
      <c r="H166" s="57" t="str">
        <f aca="false">IF($D166="","",INDEX(BookRate,161)*(1+'5. Scenarios'!$B$10)*(INDEX(BookQ1,161)*(5-MIN(4,1+'5. Scenarios'!$B$8))/4+INDEX(BookQ2,161)*(5-MIN(4,2+'5. Scenarios'!$B$8))/4+INDEX(BookQ3,161)*(5-MIN(4,3+'5. Scenarios'!$B$8))/4+INDEX(BookQ4,161)*(5-MIN(4,4+'5. Scenarios'!$B$8))/4)*'5. Scenarios'!$B$6/(1+ProductivityDefault*('5. Scenarios'!$B$11-1))+INDEX(BookOneOff,161)*$D166)</f>
        <v/>
      </c>
      <c r="I166" s="56" t="str">
        <f aca="false">IF(INDEX(BookTitle,161)="","",INDEX(BookTotal,161)*'5. Scenarios'!$C$6/(1+ProductivityDefault*('5. Scenarios'!$C$11-1)))</f>
        <v/>
      </c>
      <c r="J166" s="57" t="str">
        <f aca="false">IF($I166="","",INDEX(BookRate,161)*(1+'5. Scenarios'!$C$10)*$I166)</f>
        <v/>
      </c>
      <c r="K166" s="57" t="str">
        <f aca="false">IF($J166="","",SUMIFS($J$6:$J$2405,$A$6:$A$2405,"&lt;="&amp;$A166))</f>
        <v/>
      </c>
      <c r="L166" s="57" t="str">
        <f aca="false">IF($J166="","",IF($K166&lt;=BankCostEnvelope*'5. Scenarios'!$C$7,1,0))</f>
        <v/>
      </c>
      <c r="M166" s="57" t="str">
        <f aca="false">IF($I166="","",INDEX(BookRate,161)*(1+'5. Scenarios'!$C$10)*(INDEX(BookQ1,161)*(5-MIN(4,1+'5. Scenarios'!$C$8))/4+INDEX(BookQ2,161)*(5-MIN(4,2+'5. Scenarios'!$C$8))/4+INDEX(BookQ3,161)*(5-MIN(4,3+'5. Scenarios'!$C$8))/4+INDEX(BookQ4,161)*(5-MIN(4,4+'5. Scenarios'!$C$8))/4)*'5. Scenarios'!$C$6/(1+ProductivityDefault*('5. Scenarios'!$C$11-1))+INDEX(BookOneOff,161)*$I166)</f>
        <v/>
      </c>
      <c r="N166" s="56" t="str">
        <f aca="false">IF(INDEX(BookTitle,161)="","",INDEX(BookTotal,161)*'5. Scenarios'!$D$6/(1+ProductivityDefault*('5. Scenarios'!$D$11-1)))</f>
        <v/>
      </c>
      <c r="O166" s="57" t="str">
        <f aca="false">IF($N166="","",INDEX(BookRate,161)*(1+'5. Scenarios'!$D$10)*$N166)</f>
        <v/>
      </c>
      <c r="P166" s="57" t="str">
        <f aca="false">IF($O166="","",SUMIFS($O$6:$O$2405,$A$6:$A$2405,"&lt;="&amp;$A166))</f>
        <v/>
      </c>
      <c r="Q166" s="57" t="str">
        <f aca="false">IF($O166="","",IF($P166&lt;=BankCostEnvelope*'5. Scenarios'!$D$7,1,0))</f>
        <v/>
      </c>
      <c r="R166" s="57" t="str">
        <f aca="false">IF($N166="","",INDEX(BookRate,161)*(1+'5. Scenarios'!$D$10)*(INDEX(BookQ1,161)*(5-MIN(4,1+'5. Scenarios'!$D$8))/4+INDEX(BookQ2,161)*(5-MIN(4,2+'5. Scenarios'!$D$8))/4+INDEX(BookQ3,161)*(5-MIN(4,3+'5. Scenarios'!$D$8))/4+INDEX(BookQ4,161)*(5-MIN(4,4+'5. Scenarios'!$D$8))/4)*'5. Scenarios'!$D$6/(1+ProductivityDefault*('5. Scenarios'!$D$11-1))+INDEX(BookOneOff,161)*$N166)</f>
        <v/>
      </c>
      <c r="S166" s="56" t="str">
        <f aca="false">IF(INDEX(BookTitle,161)="","",INDEX(BookTotal,161)*'5. Scenarios'!$E$6/(1+ProductivityDefault*('5. Scenarios'!$E$11-1)))</f>
        <v/>
      </c>
      <c r="T166" s="57" t="str">
        <f aca="false">IF($S166="","",INDEX(BookRate,161)*(1+'5. Scenarios'!$E$10)*$S166)</f>
        <v/>
      </c>
      <c r="U166" s="57" t="str">
        <f aca="false">IF($T166="","",SUMIFS($T$6:$T$2405,$A$6:$A$2405,"&lt;="&amp;$A166))</f>
        <v/>
      </c>
      <c r="V166" s="57" t="str">
        <f aca="false">IF($T166="","",IF($U166&lt;=BankCostEnvelope*'5. Scenarios'!$E$7,1,0))</f>
        <v/>
      </c>
      <c r="W166" s="57" t="str">
        <f aca="false">IF($S166="","",INDEX(BookRate,161)*(1+'5. Scenarios'!$E$10)*(INDEX(BookQ1,161)*(5-MIN(4,1+'5. Scenarios'!$E$8))/4+INDEX(BookQ2,161)*(5-MIN(4,2+'5. Scenarios'!$E$8))/4+INDEX(BookQ3,161)*(5-MIN(4,3+'5. Scenarios'!$E$8))/4+INDEX(BookQ4,161)*(5-MIN(4,4+'5. Scenarios'!$E$8))/4)*'5. Scenarios'!$E$6/(1+ProductivityDefault*('5. Scenarios'!$E$11-1))+INDEX(BookOneOff,161)*$S166)</f>
        <v/>
      </c>
    </row>
    <row r="167" customFormat="false" ht="15" hidden="false" customHeight="false" outlineLevel="0" collapsed="false">
      <c r="A167" s="0" t="str">
        <f aca="false">IF(INDEX(BookTitle,162)="","",INDEX(BookKey,162))</f>
        <v/>
      </c>
      <c r="B167" s="0" t="str">
        <f aca="false">IF(INDEX(BookTitle,162)="","",INDEX(BookGroup,162))</f>
        <v/>
      </c>
      <c r="C167" s="0" t="str">
        <f aca="false">IF(INDEX(BookTitle,162)="","",INDEX(BookCategory,162))</f>
        <v/>
      </c>
      <c r="D167" s="56" t="str">
        <f aca="false">IF(INDEX(BookTitle,162)="","",INDEX(BookTotal,162)*'5. Scenarios'!$B$6/(1+ProductivityDefault*('5. Scenarios'!$B$11-1)))</f>
        <v/>
      </c>
      <c r="E167" s="57" t="str">
        <f aca="false">IF($D167="","",INDEX(BookRate,162)*(1+'5. Scenarios'!$B$10)*$D167)</f>
        <v/>
      </c>
      <c r="F167" s="57" t="str">
        <f aca="false">IF($E167="","",SUMIFS($E$6:$E$2405,$A$6:$A$2405,"&lt;="&amp;$A167))</f>
        <v/>
      </c>
      <c r="G167" s="57" t="str">
        <f aca="false">IF($E167="","",IF($F167&lt;=BankCostEnvelope*'5. Scenarios'!$B$7,1,0))</f>
        <v/>
      </c>
      <c r="H167" s="57" t="str">
        <f aca="false">IF($D167="","",INDEX(BookRate,162)*(1+'5. Scenarios'!$B$10)*(INDEX(BookQ1,162)*(5-MIN(4,1+'5. Scenarios'!$B$8))/4+INDEX(BookQ2,162)*(5-MIN(4,2+'5. Scenarios'!$B$8))/4+INDEX(BookQ3,162)*(5-MIN(4,3+'5. Scenarios'!$B$8))/4+INDEX(BookQ4,162)*(5-MIN(4,4+'5. Scenarios'!$B$8))/4)*'5. Scenarios'!$B$6/(1+ProductivityDefault*('5. Scenarios'!$B$11-1))+INDEX(BookOneOff,162)*$D167)</f>
        <v/>
      </c>
      <c r="I167" s="56" t="str">
        <f aca="false">IF(INDEX(BookTitle,162)="","",INDEX(BookTotal,162)*'5. Scenarios'!$C$6/(1+ProductivityDefault*('5. Scenarios'!$C$11-1)))</f>
        <v/>
      </c>
      <c r="J167" s="57" t="str">
        <f aca="false">IF($I167="","",INDEX(BookRate,162)*(1+'5. Scenarios'!$C$10)*$I167)</f>
        <v/>
      </c>
      <c r="K167" s="57" t="str">
        <f aca="false">IF($J167="","",SUMIFS($J$6:$J$2405,$A$6:$A$2405,"&lt;="&amp;$A167))</f>
        <v/>
      </c>
      <c r="L167" s="57" t="str">
        <f aca="false">IF($J167="","",IF($K167&lt;=BankCostEnvelope*'5. Scenarios'!$C$7,1,0))</f>
        <v/>
      </c>
      <c r="M167" s="57" t="str">
        <f aca="false">IF($I167="","",INDEX(BookRate,162)*(1+'5. Scenarios'!$C$10)*(INDEX(BookQ1,162)*(5-MIN(4,1+'5. Scenarios'!$C$8))/4+INDEX(BookQ2,162)*(5-MIN(4,2+'5. Scenarios'!$C$8))/4+INDEX(BookQ3,162)*(5-MIN(4,3+'5. Scenarios'!$C$8))/4+INDEX(BookQ4,162)*(5-MIN(4,4+'5. Scenarios'!$C$8))/4)*'5. Scenarios'!$C$6/(1+ProductivityDefault*('5. Scenarios'!$C$11-1))+INDEX(BookOneOff,162)*$I167)</f>
        <v/>
      </c>
      <c r="N167" s="56" t="str">
        <f aca="false">IF(INDEX(BookTitle,162)="","",INDEX(BookTotal,162)*'5. Scenarios'!$D$6/(1+ProductivityDefault*('5. Scenarios'!$D$11-1)))</f>
        <v/>
      </c>
      <c r="O167" s="57" t="str">
        <f aca="false">IF($N167="","",INDEX(BookRate,162)*(1+'5. Scenarios'!$D$10)*$N167)</f>
        <v/>
      </c>
      <c r="P167" s="57" t="str">
        <f aca="false">IF($O167="","",SUMIFS($O$6:$O$2405,$A$6:$A$2405,"&lt;="&amp;$A167))</f>
        <v/>
      </c>
      <c r="Q167" s="57" t="str">
        <f aca="false">IF($O167="","",IF($P167&lt;=BankCostEnvelope*'5. Scenarios'!$D$7,1,0))</f>
        <v/>
      </c>
      <c r="R167" s="57" t="str">
        <f aca="false">IF($N167="","",INDEX(BookRate,162)*(1+'5. Scenarios'!$D$10)*(INDEX(BookQ1,162)*(5-MIN(4,1+'5. Scenarios'!$D$8))/4+INDEX(BookQ2,162)*(5-MIN(4,2+'5. Scenarios'!$D$8))/4+INDEX(BookQ3,162)*(5-MIN(4,3+'5. Scenarios'!$D$8))/4+INDEX(BookQ4,162)*(5-MIN(4,4+'5. Scenarios'!$D$8))/4)*'5. Scenarios'!$D$6/(1+ProductivityDefault*('5. Scenarios'!$D$11-1))+INDEX(BookOneOff,162)*$N167)</f>
        <v/>
      </c>
      <c r="S167" s="56" t="str">
        <f aca="false">IF(INDEX(BookTitle,162)="","",INDEX(BookTotal,162)*'5. Scenarios'!$E$6/(1+ProductivityDefault*('5. Scenarios'!$E$11-1)))</f>
        <v/>
      </c>
      <c r="T167" s="57" t="str">
        <f aca="false">IF($S167="","",INDEX(BookRate,162)*(1+'5. Scenarios'!$E$10)*$S167)</f>
        <v/>
      </c>
      <c r="U167" s="57" t="str">
        <f aca="false">IF($T167="","",SUMIFS($T$6:$T$2405,$A$6:$A$2405,"&lt;="&amp;$A167))</f>
        <v/>
      </c>
      <c r="V167" s="57" t="str">
        <f aca="false">IF($T167="","",IF($U167&lt;=BankCostEnvelope*'5. Scenarios'!$E$7,1,0))</f>
        <v/>
      </c>
      <c r="W167" s="57" t="str">
        <f aca="false">IF($S167="","",INDEX(BookRate,162)*(1+'5. Scenarios'!$E$10)*(INDEX(BookQ1,162)*(5-MIN(4,1+'5. Scenarios'!$E$8))/4+INDEX(BookQ2,162)*(5-MIN(4,2+'5. Scenarios'!$E$8))/4+INDEX(BookQ3,162)*(5-MIN(4,3+'5. Scenarios'!$E$8))/4+INDEX(BookQ4,162)*(5-MIN(4,4+'5. Scenarios'!$E$8))/4)*'5. Scenarios'!$E$6/(1+ProductivityDefault*('5. Scenarios'!$E$11-1))+INDEX(BookOneOff,162)*$S167)</f>
        <v/>
      </c>
    </row>
    <row r="168" customFormat="false" ht="15" hidden="false" customHeight="false" outlineLevel="0" collapsed="false">
      <c r="A168" s="0" t="str">
        <f aca="false">IF(INDEX(BookTitle,163)="","",INDEX(BookKey,163))</f>
        <v/>
      </c>
      <c r="B168" s="0" t="str">
        <f aca="false">IF(INDEX(BookTitle,163)="","",INDEX(BookGroup,163))</f>
        <v/>
      </c>
      <c r="C168" s="0" t="str">
        <f aca="false">IF(INDEX(BookTitle,163)="","",INDEX(BookCategory,163))</f>
        <v/>
      </c>
      <c r="D168" s="56" t="str">
        <f aca="false">IF(INDEX(BookTitle,163)="","",INDEX(BookTotal,163)*'5. Scenarios'!$B$6/(1+ProductivityDefault*('5. Scenarios'!$B$11-1)))</f>
        <v/>
      </c>
      <c r="E168" s="57" t="str">
        <f aca="false">IF($D168="","",INDEX(BookRate,163)*(1+'5. Scenarios'!$B$10)*$D168)</f>
        <v/>
      </c>
      <c r="F168" s="57" t="str">
        <f aca="false">IF($E168="","",SUMIFS($E$6:$E$2405,$A$6:$A$2405,"&lt;="&amp;$A168))</f>
        <v/>
      </c>
      <c r="G168" s="57" t="str">
        <f aca="false">IF($E168="","",IF($F168&lt;=BankCostEnvelope*'5. Scenarios'!$B$7,1,0))</f>
        <v/>
      </c>
      <c r="H168" s="57" t="str">
        <f aca="false">IF($D168="","",INDEX(BookRate,163)*(1+'5. Scenarios'!$B$10)*(INDEX(BookQ1,163)*(5-MIN(4,1+'5. Scenarios'!$B$8))/4+INDEX(BookQ2,163)*(5-MIN(4,2+'5. Scenarios'!$B$8))/4+INDEX(BookQ3,163)*(5-MIN(4,3+'5. Scenarios'!$B$8))/4+INDEX(BookQ4,163)*(5-MIN(4,4+'5. Scenarios'!$B$8))/4)*'5. Scenarios'!$B$6/(1+ProductivityDefault*('5. Scenarios'!$B$11-1))+INDEX(BookOneOff,163)*$D168)</f>
        <v/>
      </c>
      <c r="I168" s="56" t="str">
        <f aca="false">IF(INDEX(BookTitle,163)="","",INDEX(BookTotal,163)*'5. Scenarios'!$C$6/(1+ProductivityDefault*('5. Scenarios'!$C$11-1)))</f>
        <v/>
      </c>
      <c r="J168" s="57" t="str">
        <f aca="false">IF($I168="","",INDEX(BookRate,163)*(1+'5. Scenarios'!$C$10)*$I168)</f>
        <v/>
      </c>
      <c r="K168" s="57" t="str">
        <f aca="false">IF($J168="","",SUMIFS($J$6:$J$2405,$A$6:$A$2405,"&lt;="&amp;$A168))</f>
        <v/>
      </c>
      <c r="L168" s="57" t="str">
        <f aca="false">IF($J168="","",IF($K168&lt;=BankCostEnvelope*'5. Scenarios'!$C$7,1,0))</f>
        <v/>
      </c>
      <c r="M168" s="57" t="str">
        <f aca="false">IF($I168="","",INDEX(BookRate,163)*(1+'5. Scenarios'!$C$10)*(INDEX(BookQ1,163)*(5-MIN(4,1+'5. Scenarios'!$C$8))/4+INDEX(BookQ2,163)*(5-MIN(4,2+'5. Scenarios'!$C$8))/4+INDEX(BookQ3,163)*(5-MIN(4,3+'5. Scenarios'!$C$8))/4+INDEX(BookQ4,163)*(5-MIN(4,4+'5. Scenarios'!$C$8))/4)*'5. Scenarios'!$C$6/(1+ProductivityDefault*('5. Scenarios'!$C$11-1))+INDEX(BookOneOff,163)*$I168)</f>
        <v/>
      </c>
      <c r="N168" s="56" t="str">
        <f aca="false">IF(INDEX(BookTitle,163)="","",INDEX(BookTotal,163)*'5. Scenarios'!$D$6/(1+ProductivityDefault*('5. Scenarios'!$D$11-1)))</f>
        <v/>
      </c>
      <c r="O168" s="57" t="str">
        <f aca="false">IF($N168="","",INDEX(BookRate,163)*(1+'5. Scenarios'!$D$10)*$N168)</f>
        <v/>
      </c>
      <c r="P168" s="57" t="str">
        <f aca="false">IF($O168="","",SUMIFS($O$6:$O$2405,$A$6:$A$2405,"&lt;="&amp;$A168))</f>
        <v/>
      </c>
      <c r="Q168" s="57" t="str">
        <f aca="false">IF($O168="","",IF($P168&lt;=BankCostEnvelope*'5. Scenarios'!$D$7,1,0))</f>
        <v/>
      </c>
      <c r="R168" s="57" t="str">
        <f aca="false">IF($N168="","",INDEX(BookRate,163)*(1+'5. Scenarios'!$D$10)*(INDEX(BookQ1,163)*(5-MIN(4,1+'5. Scenarios'!$D$8))/4+INDEX(BookQ2,163)*(5-MIN(4,2+'5. Scenarios'!$D$8))/4+INDEX(BookQ3,163)*(5-MIN(4,3+'5. Scenarios'!$D$8))/4+INDEX(BookQ4,163)*(5-MIN(4,4+'5. Scenarios'!$D$8))/4)*'5. Scenarios'!$D$6/(1+ProductivityDefault*('5. Scenarios'!$D$11-1))+INDEX(BookOneOff,163)*$N168)</f>
        <v/>
      </c>
      <c r="S168" s="56" t="str">
        <f aca="false">IF(INDEX(BookTitle,163)="","",INDEX(BookTotal,163)*'5. Scenarios'!$E$6/(1+ProductivityDefault*('5. Scenarios'!$E$11-1)))</f>
        <v/>
      </c>
      <c r="T168" s="57" t="str">
        <f aca="false">IF($S168="","",INDEX(BookRate,163)*(1+'5. Scenarios'!$E$10)*$S168)</f>
        <v/>
      </c>
      <c r="U168" s="57" t="str">
        <f aca="false">IF($T168="","",SUMIFS($T$6:$T$2405,$A$6:$A$2405,"&lt;="&amp;$A168))</f>
        <v/>
      </c>
      <c r="V168" s="57" t="str">
        <f aca="false">IF($T168="","",IF($U168&lt;=BankCostEnvelope*'5. Scenarios'!$E$7,1,0))</f>
        <v/>
      </c>
      <c r="W168" s="57" t="str">
        <f aca="false">IF($S168="","",INDEX(BookRate,163)*(1+'5. Scenarios'!$E$10)*(INDEX(BookQ1,163)*(5-MIN(4,1+'5. Scenarios'!$E$8))/4+INDEX(BookQ2,163)*(5-MIN(4,2+'5. Scenarios'!$E$8))/4+INDEX(BookQ3,163)*(5-MIN(4,3+'5. Scenarios'!$E$8))/4+INDEX(BookQ4,163)*(5-MIN(4,4+'5. Scenarios'!$E$8))/4)*'5. Scenarios'!$E$6/(1+ProductivityDefault*('5. Scenarios'!$E$11-1))+INDEX(BookOneOff,163)*$S168)</f>
        <v/>
      </c>
    </row>
    <row r="169" customFormat="false" ht="15" hidden="false" customHeight="false" outlineLevel="0" collapsed="false">
      <c r="A169" s="0" t="str">
        <f aca="false">IF(INDEX(BookTitle,164)="","",INDEX(BookKey,164))</f>
        <v/>
      </c>
      <c r="B169" s="0" t="str">
        <f aca="false">IF(INDEX(BookTitle,164)="","",INDEX(BookGroup,164))</f>
        <v/>
      </c>
      <c r="C169" s="0" t="str">
        <f aca="false">IF(INDEX(BookTitle,164)="","",INDEX(BookCategory,164))</f>
        <v/>
      </c>
      <c r="D169" s="56" t="str">
        <f aca="false">IF(INDEX(BookTitle,164)="","",INDEX(BookTotal,164)*'5. Scenarios'!$B$6/(1+ProductivityDefault*('5. Scenarios'!$B$11-1)))</f>
        <v/>
      </c>
      <c r="E169" s="57" t="str">
        <f aca="false">IF($D169="","",INDEX(BookRate,164)*(1+'5. Scenarios'!$B$10)*$D169)</f>
        <v/>
      </c>
      <c r="F169" s="57" t="str">
        <f aca="false">IF($E169="","",SUMIFS($E$6:$E$2405,$A$6:$A$2405,"&lt;="&amp;$A169))</f>
        <v/>
      </c>
      <c r="G169" s="57" t="str">
        <f aca="false">IF($E169="","",IF($F169&lt;=BankCostEnvelope*'5. Scenarios'!$B$7,1,0))</f>
        <v/>
      </c>
      <c r="H169" s="57" t="str">
        <f aca="false">IF($D169="","",INDEX(BookRate,164)*(1+'5. Scenarios'!$B$10)*(INDEX(BookQ1,164)*(5-MIN(4,1+'5. Scenarios'!$B$8))/4+INDEX(BookQ2,164)*(5-MIN(4,2+'5. Scenarios'!$B$8))/4+INDEX(BookQ3,164)*(5-MIN(4,3+'5. Scenarios'!$B$8))/4+INDEX(BookQ4,164)*(5-MIN(4,4+'5. Scenarios'!$B$8))/4)*'5. Scenarios'!$B$6/(1+ProductivityDefault*('5. Scenarios'!$B$11-1))+INDEX(BookOneOff,164)*$D169)</f>
        <v/>
      </c>
      <c r="I169" s="56" t="str">
        <f aca="false">IF(INDEX(BookTitle,164)="","",INDEX(BookTotal,164)*'5. Scenarios'!$C$6/(1+ProductivityDefault*('5. Scenarios'!$C$11-1)))</f>
        <v/>
      </c>
      <c r="J169" s="57" t="str">
        <f aca="false">IF($I169="","",INDEX(BookRate,164)*(1+'5. Scenarios'!$C$10)*$I169)</f>
        <v/>
      </c>
      <c r="K169" s="57" t="str">
        <f aca="false">IF($J169="","",SUMIFS($J$6:$J$2405,$A$6:$A$2405,"&lt;="&amp;$A169))</f>
        <v/>
      </c>
      <c r="L169" s="57" t="str">
        <f aca="false">IF($J169="","",IF($K169&lt;=BankCostEnvelope*'5. Scenarios'!$C$7,1,0))</f>
        <v/>
      </c>
      <c r="M169" s="57" t="str">
        <f aca="false">IF($I169="","",INDEX(BookRate,164)*(1+'5. Scenarios'!$C$10)*(INDEX(BookQ1,164)*(5-MIN(4,1+'5. Scenarios'!$C$8))/4+INDEX(BookQ2,164)*(5-MIN(4,2+'5. Scenarios'!$C$8))/4+INDEX(BookQ3,164)*(5-MIN(4,3+'5. Scenarios'!$C$8))/4+INDEX(BookQ4,164)*(5-MIN(4,4+'5. Scenarios'!$C$8))/4)*'5. Scenarios'!$C$6/(1+ProductivityDefault*('5. Scenarios'!$C$11-1))+INDEX(BookOneOff,164)*$I169)</f>
        <v/>
      </c>
      <c r="N169" s="56" t="str">
        <f aca="false">IF(INDEX(BookTitle,164)="","",INDEX(BookTotal,164)*'5. Scenarios'!$D$6/(1+ProductivityDefault*('5. Scenarios'!$D$11-1)))</f>
        <v/>
      </c>
      <c r="O169" s="57" t="str">
        <f aca="false">IF($N169="","",INDEX(BookRate,164)*(1+'5. Scenarios'!$D$10)*$N169)</f>
        <v/>
      </c>
      <c r="P169" s="57" t="str">
        <f aca="false">IF($O169="","",SUMIFS($O$6:$O$2405,$A$6:$A$2405,"&lt;="&amp;$A169))</f>
        <v/>
      </c>
      <c r="Q169" s="57" t="str">
        <f aca="false">IF($O169="","",IF($P169&lt;=BankCostEnvelope*'5. Scenarios'!$D$7,1,0))</f>
        <v/>
      </c>
      <c r="R169" s="57" t="str">
        <f aca="false">IF($N169="","",INDEX(BookRate,164)*(1+'5. Scenarios'!$D$10)*(INDEX(BookQ1,164)*(5-MIN(4,1+'5. Scenarios'!$D$8))/4+INDEX(BookQ2,164)*(5-MIN(4,2+'5. Scenarios'!$D$8))/4+INDEX(BookQ3,164)*(5-MIN(4,3+'5. Scenarios'!$D$8))/4+INDEX(BookQ4,164)*(5-MIN(4,4+'5. Scenarios'!$D$8))/4)*'5. Scenarios'!$D$6/(1+ProductivityDefault*('5. Scenarios'!$D$11-1))+INDEX(BookOneOff,164)*$N169)</f>
        <v/>
      </c>
      <c r="S169" s="56" t="str">
        <f aca="false">IF(INDEX(BookTitle,164)="","",INDEX(BookTotal,164)*'5. Scenarios'!$E$6/(1+ProductivityDefault*('5. Scenarios'!$E$11-1)))</f>
        <v/>
      </c>
      <c r="T169" s="57" t="str">
        <f aca="false">IF($S169="","",INDEX(BookRate,164)*(1+'5. Scenarios'!$E$10)*$S169)</f>
        <v/>
      </c>
      <c r="U169" s="57" t="str">
        <f aca="false">IF($T169="","",SUMIFS($T$6:$T$2405,$A$6:$A$2405,"&lt;="&amp;$A169))</f>
        <v/>
      </c>
      <c r="V169" s="57" t="str">
        <f aca="false">IF($T169="","",IF($U169&lt;=BankCostEnvelope*'5. Scenarios'!$E$7,1,0))</f>
        <v/>
      </c>
      <c r="W169" s="57" t="str">
        <f aca="false">IF($S169="","",INDEX(BookRate,164)*(1+'5. Scenarios'!$E$10)*(INDEX(BookQ1,164)*(5-MIN(4,1+'5. Scenarios'!$E$8))/4+INDEX(BookQ2,164)*(5-MIN(4,2+'5. Scenarios'!$E$8))/4+INDEX(BookQ3,164)*(5-MIN(4,3+'5. Scenarios'!$E$8))/4+INDEX(BookQ4,164)*(5-MIN(4,4+'5. Scenarios'!$E$8))/4)*'5. Scenarios'!$E$6/(1+ProductivityDefault*('5. Scenarios'!$E$11-1))+INDEX(BookOneOff,164)*$S169)</f>
        <v/>
      </c>
    </row>
    <row r="170" customFormat="false" ht="15" hidden="false" customHeight="false" outlineLevel="0" collapsed="false">
      <c r="A170" s="0" t="str">
        <f aca="false">IF(INDEX(BookTitle,165)="","",INDEX(BookKey,165))</f>
        <v/>
      </c>
      <c r="B170" s="0" t="str">
        <f aca="false">IF(INDEX(BookTitle,165)="","",INDEX(BookGroup,165))</f>
        <v/>
      </c>
      <c r="C170" s="0" t="str">
        <f aca="false">IF(INDEX(BookTitle,165)="","",INDEX(BookCategory,165))</f>
        <v/>
      </c>
      <c r="D170" s="56" t="str">
        <f aca="false">IF(INDEX(BookTitle,165)="","",INDEX(BookTotal,165)*'5. Scenarios'!$B$6/(1+ProductivityDefault*('5. Scenarios'!$B$11-1)))</f>
        <v/>
      </c>
      <c r="E170" s="57" t="str">
        <f aca="false">IF($D170="","",INDEX(BookRate,165)*(1+'5. Scenarios'!$B$10)*$D170)</f>
        <v/>
      </c>
      <c r="F170" s="57" t="str">
        <f aca="false">IF($E170="","",SUMIFS($E$6:$E$2405,$A$6:$A$2405,"&lt;="&amp;$A170))</f>
        <v/>
      </c>
      <c r="G170" s="57" t="str">
        <f aca="false">IF($E170="","",IF($F170&lt;=BankCostEnvelope*'5. Scenarios'!$B$7,1,0))</f>
        <v/>
      </c>
      <c r="H170" s="57" t="str">
        <f aca="false">IF($D170="","",INDEX(BookRate,165)*(1+'5. Scenarios'!$B$10)*(INDEX(BookQ1,165)*(5-MIN(4,1+'5. Scenarios'!$B$8))/4+INDEX(BookQ2,165)*(5-MIN(4,2+'5. Scenarios'!$B$8))/4+INDEX(BookQ3,165)*(5-MIN(4,3+'5. Scenarios'!$B$8))/4+INDEX(BookQ4,165)*(5-MIN(4,4+'5. Scenarios'!$B$8))/4)*'5. Scenarios'!$B$6/(1+ProductivityDefault*('5. Scenarios'!$B$11-1))+INDEX(BookOneOff,165)*$D170)</f>
        <v/>
      </c>
      <c r="I170" s="56" t="str">
        <f aca="false">IF(INDEX(BookTitle,165)="","",INDEX(BookTotal,165)*'5. Scenarios'!$C$6/(1+ProductivityDefault*('5. Scenarios'!$C$11-1)))</f>
        <v/>
      </c>
      <c r="J170" s="57" t="str">
        <f aca="false">IF($I170="","",INDEX(BookRate,165)*(1+'5. Scenarios'!$C$10)*$I170)</f>
        <v/>
      </c>
      <c r="K170" s="57" t="str">
        <f aca="false">IF($J170="","",SUMIFS($J$6:$J$2405,$A$6:$A$2405,"&lt;="&amp;$A170))</f>
        <v/>
      </c>
      <c r="L170" s="57" t="str">
        <f aca="false">IF($J170="","",IF($K170&lt;=BankCostEnvelope*'5. Scenarios'!$C$7,1,0))</f>
        <v/>
      </c>
      <c r="M170" s="57" t="str">
        <f aca="false">IF($I170="","",INDEX(BookRate,165)*(1+'5. Scenarios'!$C$10)*(INDEX(BookQ1,165)*(5-MIN(4,1+'5. Scenarios'!$C$8))/4+INDEX(BookQ2,165)*(5-MIN(4,2+'5. Scenarios'!$C$8))/4+INDEX(BookQ3,165)*(5-MIN(4,3+'5. Scenarios'!$C$8))/4+INDEX(BookQ4,165)*(5-MIN(4,4+'5. Scenarios'!$C$8))/4)*'5. Scenarios'!$C$6/(1+ProductivityDefault*('5. Scenarios'!$C$11-1))+INDEX(BookOneOff,165)*$I170)</f>
        <v/>
      </c>
      <c r="N170" s="56" t="str">
        <f aca="false">IF(INDEX(BookTitle,165)="","",INDEX(BookTotal,165)*'5. Scenarios'!$D$6/(1+ProductivityDefault*('5. Scenarios'!$D$11-1)))</f>
        <v/>
      </c>
      <c r="O170" s="57" t="str">
        <f aca="false">IF($N170="","",INDEX(BookRate,165)*(1+'5. Scenarios'!$D$10)*$N170)</f>
        <v/>
      </c>
      <c r="P170" s="57" t="str">
        <f aca="false">IF($O170="","",SUMIFS($O$6:$O$2405,$A$6:$A$2405,"&lt;="&amp;$A170))</f>
        <v/>
      </c>
      <c r="Q170" s="57" t="str">
        <f aca="false">IF($O170="","",IF($P170&lt;=BankCostEnvelope*'5. Scenarios'!$D$7,1,0))</f>
        <v/>
      </c>
      <c r="R170" s="57" t="str">
        <f aca="false">IF($N170="","",INDEX(BookRate,165)*(1+'5. Scenarios'!$D$10)*(INDEX(BookQ1,165)*(5-MIN(4,1+'5. Scenarios'!$D$8))/4+INDEX(BookQ2,165)*(5-MIN(4,2+'5. Scenarios'!$D$8))/4+INDEX(BookQ3,165)*(5-MIN(4,3+'5. Scenarios'!$D$8))/4+INDEX(BookQ4,165)*(5-MIN(4,4+'5. Scenarios'!$D$8))/4)*'5. Scenarios'!$D$6/(1+ProductivityDefault*('5. Scenarios'!$D$11-1))+INDEX(BookOneOff,165)*$N170)</f>
        <v/>
      </c>
      <c r="S170" s="56" t="str">
        <f aca="false">IF(INDEX(BookTitle,165)="","",INDEX(BookTotal,165)*'5. Scenarios'!$E$6/(1+ProductivityDefault*('5. Scenarios'!$E$11-1)))</f>
        <v/>
      </c>
      <c r="T170" s="57" t="str">
        <f aca="false">IF($S170="","",INDEX(BookRate,165)*(1+'5. Scenarios'!$E$10)*$S170)</f>
        <v/>
      </c>
      <c r="U170" s="57" t="str">
        <f aca="false">IF($T170="","",SUMIFS($T$6:$T$2405,$A$6:$A$2405,"&lt;="&amp;$A170))</f>
        <v/>
      </c>
      <c r="V170" s="57" t="str">
        <f aca="false">IF($T170="","",IF($U170&lt;=BankCostEnvelope*'5. Scenarios'!$E$7,1,0))</f>
        <v/>
      </c>
      <c r="W170" s="57" t="str">
        <f aca="false">IF($S170="","",INDEX(BookRate,165)*(1+'5. Scenarios'!$E$10)*(INDEX(BookQ1,165)*(5-MIN(4,1+'5. Scenarios'!$E$8))/4+INDEX(BookQ2,165)*(5-MIN(4,2+'5. Scenarios'!$E$8))/4+INDEX(BookQ3,165)*(5-MIN(4,3+'5. Scenarios'!$E$8))/4+INDEX(BookQ4,165)*(5-MIN(4,4+'5. Scenarios'!$E$8))/4)*'5. Scenarios'!$E$6/(1+ProductivityDefault*('5. Scenarios'!$E$11-1))+INDEX(BookOneOff,165)*$S170)</f>
        <v/>
      </c>
    </row>
    <row r="171" customFormat="false" ht="15" hidden="false" customHeight="false" outlineLevel="0" collapsed="false">
      <c r="A171" s="0" t="str">
        <f aca="false">IF(INDEX(BookTitle,166)="","",INDEX(BookKey,166))</f>
        <v/>
      </c>
      <c r="B171" s="0" t="str">
        <f aca="false">IF(INDEX(BookTitle,166)="","",INDEX(BookGroup,166))</f>
        <v/>
      </c>
      <c r="C171" s="0" t="str">
        <f aca="false">IF(INDEX(BookTitle,166)="","",INDEX(BookCategory,166))</f>
        <v/>
      </c>
      <c r="D171" s="56" t="str">
        <f aca="false">IF(INDEX(BookTitle,166)="","",INDEX(BookTotal,166)*'5. Scenarios'!$B$6/(1+ProductivityDefault*('5. Scenarios'!$B$11-1)))</f>
        <v/>
      </c>
      <c r="E171" s="57" t="str">
        <f aca="false">IF($D171="","",INDEX(BookRate,166)*(1+'5. Scenarios'!$B$10)*$D171)</f>
        <v/>
      </c>
      <c r="F171" s="57" t="str">
        <f aca="false">IF($E171="","",SUMIFS($E$6:$E$2405,$A$6:$A$2405,"&lt;="&amp;$A171))</f>
        <v/>
      </c>
      <c r="G171" s="57" t="str">
        <f aca="false">IF($E171="","",IF($F171&lt;=BankCostEnvelope*'5. Scenarios'!$B$7,1,0))</f>
        <v/>
      </c>
      <c r="H171" s="57" t="str">
        <f aca="false">IF($D171="","",INDEX(BookRate,166)*(1+'5. Scenarios'!$B$10)*(INDEX(BookQ1,166)*(5-MIN(4,1+'5. Scenarios'!$B$8))/4+INDEX(BookQ2,166)*(5-MIN(4,2+'5. Scenarios'!$B$8))/4+INDEX(BookQ3,166)*(5-MIN(4,3+'5. Scenarios'!$B$8))/4+INDEX(BookQ4,166)*(5-MIN(4,4+'5. Scenarios'!$B$8))/4)*'5. Scenarios'!$B$6/(1+ProductivityDefault*('5. Scenarios'!$B$11-1))+INDEX(BookOneOff,166)*$D171)</f>
        <v/>
      </c>
      <c r="I171" s="56" t="str">
        <f aca="false">IF(INDEX(BookTitle,166)="","",INDEX(BookTotal,166)*'5. Scenarios'!$C$6/(1+ProductivityDefault*('5. Scenarios'!$C$11-1)))</f>
        <v/>
      </c>
      <c r="J171" s="57" t="str">
        <f aca="false">IF($I171="","",INDEX(BookRate,166)*(1+'5. Scenarios'!$C$10)*$I171)</f>
        <v/>
      </c>
      <c r="K171" s="57" t="str">
        <f aca="false">IF($J171="","",SUMIFS($J$6:$J$2405,$A$6:$A$2405,"&lt;="&amp;$A171))</f>
        <v/>
      </c>
      <c r="L171" s="57" t="str">
        <f aca="false">IF($J171="","",IF($K171&lt;=BankCostEnvelope*'5. Scenarios'!$C$7,1,0))</f>
        <v/>
      </c>
      <c r="M171" s="57" t="str">
        <f aca="false">IF($I171="","",INDEX(BookRate,166)*(1+'5. Scenarios'!$C$10)*(INDEX(BookQ1,166)*(5-MIN(4,1+'5. Scenarios'!$C$8))/4+INDEX(BookQ2,166)*(5-MIN(4,2+'5. Scenarios'!$C$8))/4+INDEX(BookQ3,166)*(5-MIN(4,3+'5. Scenarios'!$C$8))/4+INDEX(BookQ4,166)*(5-MIN(4,4+'5. Scenarios'!$C$8))/4)*'5. Scenarios'!$C$6/(1+ProductivityDefault*('5. Scenarios'!$C$11-1))+INDEX(BookOneOff,166)*$I171)</f>
        <v/>
      </c>
      <c r="N171" s="56" t="str">
        <f aca="false">IF(INDEX(BookTitle,166)="","",INDEX(BookTotal,166)*'5. Scenarios'!$D$6/(1+ProductivityDefault*('5. Scenarios'!$D$11-1)))</f>
        <v/>
      </c>
      <c r="O171" s="57" t="str">
        <f aca="false">IF($N171="","",INDEX(BookRate,166)*(1+'5. Scenarios'!$D$10)*$N171)</f>
        <v/>
      </c>
      <c r="P171" s="57" t="str">
        <f aca="false">IF($O171="","",SUMIFS($O$6:$O$2405,$A$6:$A$2405,"&lt;="&amp;$A171))</f>
        <v/>
      </c>
      <c r="Q171" s="57" t="str">
        <f aca="false">IF($O171="","",IF($P171&lt;=BankCostEnvelope*'5. Scenarios'!$D$7,1,0))</f>
        <v/>
      </c>
      <c r="R171" s="57" t="str">
        <f aca="false">IF($N171="","",INDEX(BookRate,166)*(1+'5. Scenarios'!$D$10)*(INDEX(BookQ1,166)*(5-MIN(4,1+'5. Scenarios'!$D$8))/4+INDEX(BookQ2,166)*(5-MIN(4,2+'5. Scenarios'!$D$8))/4+INDEX(BookQ3,166)*(5-MIN(4,3+'5. Scenarios'!$D$8))/4+INDEX(BookQ4,166)*(5-MIN(4,4+'5. Scenarios'!$D$8))/4)*'5. Scenarios'!$D$6/(1+ProductivityDefault*('5. Scenarios'!$D$11-1))+INDEX(BookOneOff,166)*$N171)</f>
        <v/>
      </c>
      <c r="S171" s="56" t="str">
        <f aca="false">IF(INDEX(BookTitle,166)="","",INDEX(BookTotal,166)*'5. Scenarios'!$E$6/(1+ProductivityDefault*('5. Scenarios'!$E$11-1)))</f>
        <v/>
      </c>
      <c r="T171" s="57" t="str">
        <f aca="false">IF($S171="","",INDEX(BookRate,166)*(1+'5. Scenarios'!$E$10)*$S171)</f>
        <v/>
      </c>
      <c r="U171" s="57" t="str">
        <f aca="false">IF($T171="","",SUMIFS($T$6:$T$2405,$A$6:$A$2405,"&lt;="&amp;$A171))</f>
        <v/>
      </c>
      <c r="V171" s="57" t="str">
        <f aca="false">IF($T171="","",IF($U171&lt;=BankCostEnvelope*'5. Scenarios'!$E$7,1,0))</f>
        <v/>
      </c>
      <c r="W171" s="57" t="str">
        <f aca="false">IF($S171="","",INDEX(BookRate,166)*(1+'5. Scenarios'!$E$10)*(INDEX(BookQ1,166)*(5-MIN(4,1+'5. Scenarios'!$E$8))/4+INDEX(BookQ2,166)*(5-MIN(4,2+'5. Scenarios'!$E$8))/4+INDEX(BookQ3,166)*(5-MIN(4,3+'5. Scenarios'!$E$8))/4+INDEX(BookQ4,166)*(5-MIN(4,4+'5. Scenarios'!$E$8))/4)*'5. Scenarios'!$E$6/(1+ProductivityDefault*('5. Scenarios'!$E$11-1))+INDEX(BookOneOff,166)*$S171)</f>
        <v/>
      </c>
    </row>
    <row r="172" customFormat="false" ht="15" hidden="false" customHeight="false" outlineLevel="0" collapsed="false">
      <c r="A172" s="0" t="str">
        <f aca="false">IF(INDEX(BookTitle,167)="","",INDEX(BookKey,167))</f>
        <v/>
      </c>
      <c r="B172" s="0" t="str">
        <f aca="false">IF(INDEX(BookTitle,167)="","",INDEX(BookGroup,167))</f>
        <v/>
      </c>
      <c r="C172" s="0" t="str">
        <f aca="false">IF(INDEX(BookTitle,167)="","",INDEX(BookCategory,167))</f>
        <v/>
      </c>
      <c r="D172" s="56" t="str">
        <f aca="false">IF(INDEX(BookTitle,167)="","",INDEX(BookTotal,167)*'5. Scenarios'!$B$6/(1+ProductivityDefault*('5. Scenarios'!$B$11-1)))</f>
        <v/>
      </c>
      <c r="E172" s="57" t="str">
        <f aca="false">IF($D172="","",INDEX(BookRate,167)*(1+'5. Scenarios'!$B$10)*$D172)</f>
        <v/>
      </c>
      <c r="F172" s="57" t="str">
        <f aca="false">IF($E172="","",SUMIFS($E$6:$E$2405,$A$6:$A$2405,"&lt;="&amp;$A172))</f>
        <v/>
      </c>
      <c r="G172" s="57" t="str">
        <f aca="false">IF($E172="","",IF($F172&lt;=BankCostEnvelope*'5. Scenarios'!$B$7,1,0))</f>
        <v/>
      </c>
      <c r="H172" s="57" t="str">
        <f aca="false">IF($D172="","",INDEX(BookRate,167)*(1+'5. Scenarios'!$B$10)*(INDEX(BookQ1,167)*(5-MIN(4,1+'5. Scenarios'!$B$8))/4+INDEX(BookQ2,167)*(5-MIN(4,2+'5. Scenarios'!$B$8))/4+INDEX(BookQ3,167)*(5-MIN(4,3+'5. Scenarios'!$B$8))/4+INDEX(BookQ4,167)*(5-MIN(4,4+'5. Scenarios'!$B$8))/4)*'5. Scenarios'!$B$6/(1+ProductivityDefault*('5. Scenarios'!$B$11-1))+INDEX(BookOneOff,167)*$D172)</f>
        <v/>
      </c>
      <c r="I172" s="56" t="str">
        <f aca="false">IF(INDEX(BookTitle,167)="","",INDEX(BookTotal,167)*'5. Scenarios'!$C$6/(1+ProductivityDefault*('5. Scenarios'!$C$11-1)))</f>
        <v/>
      </c>
      <c r="J172" s="57" t="str">
        <f aca="false">IF($I172="","",INDEX(BookRate,167)*(1+'5. Scenarios'!$C$10)*$I172)</f>
        <v/>
      </c>
      <c r="K172" s="57" t="str">
        <f aca="false">IF($J172="","",SUMIFS($J$6:$J$2405,$A$6:$A$2405,"&lt;="&amp;$A172))</f>
        <v/>
      </c>
      <c r="L172" s="57" t="str">
        <f aca="false">IF($J172="","",IF($K172&lt;=BankCostEnvelope*'5. Scenarios'!$C$7,1,0))</f>
        <v/>
      </c>
      <c r="M172" s="57" t="str">
        <f aca="false">IF($I172="","",INDEX(BookRate,167)*(1+'5. Scenarios'!$C$10)*(INDEX(BookQ1,167)*(5-MIN(4,1+'5. Scenarios'!$C$8))/4+INDEX(BookQ2,167)*(5-MIN(4,2+'5. Scenarios'!$C$8))/4+INDEX(BookQ3,167)*(5-MIN(4,3+'5. Scenarios'!$C$8))/4+INDEX(BookQ4,167)*(5-MIN(4,4+'5. Scenarios'!$C$8))/4)*'5. Scenarios'!$C$6/(1+ProductivityDefault*('5. Scenarios'!$C$11-1))+INDEX(BookOneOff,167)*$I172)</f>
        <v/>
      </c>
      <c r="N172" s="56" t="str">
        <f aca="false">IF(INDEX(BookTitle,167)="","",INDEX(BookTotal,167)*'5. Scenarios'!$D$6/(1+ProductivityDefault*('5. Scenarios'!$D$11-1)))</f>
        <v/>
      </c>
      <c r="O172" s="57" t="str">
        <f aca="false">IF($N172="","",INDEX(BookRate,167)*(1+'5. Scenarios'!$D$10)*$N172)</f>
        <v/>
      </c>
      <c r="P172" s="57" t="str">
        <f aca="false">IF($O172="","",SUMIFS($O$6:$O$2405,$A$6:$A$2405,"&lt;="&amp;$A172))</f>
        <v/>
      </c>
      <c r="Q172" s="57" t="str">
        <f aca="false">IF($O172="","",IF($P172&lt;=BankCostEnvelope*'5. Scenarios'!$D$7,1,0))</f>
        <v/>
      </c>
      <c r="R172" s="57" t="str">
        <f aca="false">IF($N172="","",INDEX(BookRate,167)*(1+'5. Scenarios'!$D$10)*(INDEX(BookQ1,167)*(5-MIN(4,1+'5. Scenarios'!$D$8))/4+INDEX(BookQ2,167)*(5-MIN(4,2+'5. Scenarios'!$D$8))/4+INDEX(BookQ3,167)*(5-MIN(4,3+'5. Scenarios'!$D$8))/4+INDEX(BookQ4,167)*(5-MIN(4,4+'5. Scenarios'!$D$8))/4)*'5. Scenarios'!$D$6/(1+ProductivityDefault*('5. Scenarios'!$D$11-1))+INDEX(BookOneOff,167)*$N172)</f>
        <v/>
      </c>
      <c r="S172" s="56" t="str">
        <f aca="false">IF(INDEX(BookTitle,167)="","",INDEX(BookTotal,167)*'5. Scenarios'!$E$6/(1+ProductivityDefault*('5. Scenarios'!$E$11-1)))</f>
        <v/>
      </c>
      <c r="T172" s="57" t="str">
        <f aca="false">IF($S172="","",INDEX(BookRate,167)*(1+'5. Scenarios'!$E$10)*$S172)</f>
        <v/>
      </c>
      <c r="U172" s="57" t="str">
        <f aca="false">IF($T172="","",SUMIFS($T$6:$T$2405,$A$6:$A$2405,"&lt;="&amp;$A172))</f>
        <v/>
      </c>
      <c r="V172" s="57" t="str">
        <f aca="false">IF($T172="","",IF($U172&lt;=BankCostEnvelope*'5. Scenarios'!$E$7,1,0))</f>
        <v/>
      </c>
      <c r="W172" s="57" t="str">
        <f aca="false">IF($S172="","",INDEX(BookRate,167)*(1+'5. Scenarios'!$E$10)*(INDEX(BookQ1,167)*(5-MIN(4,1+'5. Scenarios'!$E$8))/4+INDEX(BookQ2,167)*(5-MIN(4,2+'5. Scenarios'!$E$8))/4+INDEX(BookQ3,167)*(5-MIN(4,3+'5. Scenarios'!$E$8))/4+INDEX(BookQ4,167)*(5-MIN(4,4+'5. Scenarios'!$E$8))/4)*'5. Scenarios'!$E$6/(1+ProductivityDefault*('5. Scenarios'!$E$11-1))+INDEX(BookOneOff,167)*$S172)</f>
        <v/>
      </c>
    </row>
    <row r="173" customFormat="false" ht="15" hidden="false" customHeight="false" outlineLevel="0" collapsed="false">
      <c r="A173" s="0" t="str">
        <f aca="false">IF(INDEX(BookTitle,168)="","",INDEX(BookKey,168))</f>
        <v/>
      </c>
      <c r="B173" s="0" t="str">
        <f aca="false">IF(INDEX(BookTitle,168)="","",INDEX(BookGroup,168))</f>
        <v/>
      </c>
      <c r="C173" s="0" t="str">
        <f aca="false">IF(INDEX(BookTitle,168)="","",INDEX(BookCategory,168))</f>
        <v/>
      </c>
      <c r="D173" s="56" t="str">
        <f aca="false">IF(INDEX(BookTitle,168)="","",INDEX(BookTotal,168)*'5. Scenarios'!$B$6/(1+ProductivityDefault*('5. Scenarios'!$B$11-1)))</f>
        <v/>
      </c>
      <c r="E173" s="57" t="str">
        <f aca="false">IF($D173="","",INDEX(BookRate,168)*(1+'5. Scenarios'!$B$10)*$D173)</f>
        <v/>
      </c>
      <c r="F173" s="57" t="str">
        <f aca="false">IF($E173="","",SUMIFS($E$6:$E$2405,$A$6:$A$2405,"&lt;="&amp;$A173))</f>
        <v/>
      </c>
      <c r="G173" s="57" t="str">
        <f aca="false">IF($E173="","",IF($F173&lt;=BankCostEnvelope*'5. Scenarios'!$B$7,1,0))</f>
        <v/>
      </c>
      <c r="H173" s="57" t="str">
        <f aca="false">IF($D173="","",INDEX(BookRate,168)*(1+'5. Scenarios'!$B$10)*(INDEX(BookQ1,168)*(5-MIN(4,1+'5. Scenarios'!$B$8))/4+INDEX(BookQ2,168)*(5-MIN(4,2+'5. Scenarios'!$B$8))/4+INDEX(BookQ3,168)*(5-MIN(4,3+'5. Scenarios'!$B$8))/4+INDEX(BookQ4,168)*(5-MIN(4,4+'5. Scenarios'!$B$8))/4)*'5. Scenarios'!$B$6/(1+ProductivityDefault*('5. Scenarios'!$B$11-1))+INDEX(BookOneOff,168)*$D173)</f>
        <v/>
      </c>
      <c r="I173" s="56" t="str">
        <f aca="false">IF(INDEX(BookTitle,168)="","",INDEX(BookTotal,168)*'5. Scenarios'!$C$6/(1+ProductivityDefault*('5. Scenarios'!$C$11-1)))</f>
        <v/>
      </c>
      <c r="J173" s="57" t="str">
        <f aca="false">IF($I173="","",INDEX(BookRate,168)*(1+'5. Scenarios'!$C$10)*$I173)</f>
        <v/>
      </c>
      <c r="K173" s="57" t="str">
        <f aca="false">IF($J173="","",SUMIFS($J$6:$J$2405,$A$6:$A$2405,"&lt;="&amp;$A173))</f>
        <v/>
      </c>
      <c r="L173" s="57" t="str">
        <f aca="false">IF($J173="","",IF($K173&lt;=BankCostEnvelope*'5. Scenarios'!$C$7,1,0))</f>
        <v/>
      </c>
      <c r="M173" s="57" t="str">
        <f aca="false">IF($I173="","",INDEX(BookRate,168)*(1+'5. Scenarios'!$C$10)*(INDEX(BookQ1,168)*(5-MIN(4,1+'5. Scenarios'!$C$8))/4+INDEX(BookQ2,168)*(5-MIN(4,2+'5. Scenarios'!$C$8))/4+INDEX(BookQ3,168)*(5-MIN(4,3+'5. Scenarios'!$C$8))/4+INDEX(BookQ4,168)*(5-MIN(4,4+'5. Scenarios'!$C$8))/4)*'5. Scenarios'!$C$6/(1+ProductivityDefault*('5. Scenarios'!$C$11-1))+INDEX(BookOneOff,168)*$I173)</f>
        <v/>
      </c>
      <c r="N173" s="56" t="str">
        <f aca="false">IF(INDEX(BookTitle,168)="","",INDEX(BookTotal,168)*'5. Scenarios'!$D$6/(1+ProductivityDefault*('5. Scenarios'!$D$11-1)))</f>
        <v/>
      </c>
      <c r="O173" s="57" t="str">
        <f aca="false">IF($N173="","",INDEX(BookRate,168)*(1+'5. Scenarios'!$D$10)*$N173)</f>
        <v/>
      </c>
      <c r="P173" s="57" t="str">
        <f aca="false">IF($O173="","",SUMIFS($O$6:$O$2405,$A$6:$A$2405,"&lt;="&amp;$A173))</f>
        <v/>
      </c>
      <c r="Q173" s="57" t="str">
        <f aca="false">IF($O173="","",IF($P173&lt;=BankCostEnvelope*'5. Scenarios'!$D$7,1,0))</f>
        <v/>
      </c>
      <c r="R173" s="57" t="str">
        <f aca="false">IF($N173="","",INDEX(BookRate,168)*(1+'5. Scenarios'!$D$10)*(INDEX(BookQ1,168)*(5-MIN(4,1+'5. Scenarios'!$D$8))/4+INDEX(BookQ2,168)*(5-MIN(4,2+'5. Scenarios'!$D$8))/4+INDEX(BookQ3,168)*(5-MIN(4,3+'5. Scenarios'!$D$8))/4+INDEX(BookQ4,168)*(5-MIN(4,4+'5. Scenarios'!$D$8))/4)*'5. Scenarios'!$D$6/(1+ProductivityDefault*('5. Scenarios'!$D$11-1))+INDEX(BookOneOff,168)*$N173)</f>
        <v/>
      </c>
      <c r="S173" s="56" t="str">
        <f aca="false">IF(INDEX(BookTitle,168)="","",INDEX(BookTotal,168)*'5. Scenarios'!$E$6/(1+ProductivityDefault*('5. Scenarios'!$E$11-1)))</f>
        <v/>
      </c>
      <c r="T173" s="57" t="str">
        <f aca="false">IF($S173="","",INDEX(BookRate,168)*(1+'5. Scenarios'!$E$10)*$S173)</f>
        <v/>
      </c>
      <c r="U173" s="57" t="str">
        <f aca="false">IF($T173="","",SUMIFS($T$6:$T$2405,$A$6:$A$2405,"&lt;="&amp;$A173))</f>
        <v/>
      </c>
      <c r="V173" s="57" t="str">
        <f aca="false">IF($T173="","",IF($U173&lt;=BankCostEnvelope*'5. Scenarios'!$E$7,1,0))</f>
        <v/>
      </c>
      <c r="W173" s="57" t="str">
        <f aca="false">IF($S173="","",INDEX(BookRate,168)*(1+'5. Scenarios'!$E$10)*(INDEX(BookQ1,168)*(5-MIN(4,1+'5. Scenarios'!$E$8))/4+INDEX(BookQ2,168)*(5-MIN(4,2+'5. Scenarios'!$E$8))/4+INDEX(BookQ3,168)*(5-MIN(4,3+'5. Scenarios'!$E$8))/4+INDEX(BookQ4,168)*(5-MIN(4,4+'5. Scenarios'!$E$8))/4)*'5. Scenarios'!$E$6/(1+ProductivityDefault*('5. Scenarios'!$E$11-1))+INDEX(BookOneOff,168)*$S173)</f>
        <v/>
      </c>
    </row>
    <row r="174" customFormat="false" ht="15" hidden="false" customHeight="false" outlineLevel="0" collapsed="false">
      <c r="A174" s="0" t="str">
        <f aca="false">IF(INDEX(BookTitle,169)="","",INDEX(BookKey,169))</f>
        <v/>
      </c>
      <c r="B174" s="0" t="str">
        <f aca="false">IF(INDEX(BookTitle,169)="","",INDEX(BookGroup,169))</f>
        <v/>
      </c>
      <c r="C174" s="0" t="str">
        <f aca="false">IF(INDEX(BookTitle,169)="","",INDEX(BookCategory,169))</f>
        <v/>
      </c>
      <c r="D174" s="56" t="str">
        <f aca="false">IF(INDEX(BookTitle,169)="","",INDEX(BookTotal,169)*'5. Scenarios'!$B$6/(1+ProductivityDefault*('5. Scenarios'!$B$11-1)))</f>
        <v/>
      </c>
      <c r="E174" s="57" t="str">
        <f aca="false">IF($D174="","",INDEX(BookRate,169)*(1+'5. Scenarios'!$B$10)*$D174)</f>
        <v/>
      </c>
      <c r="F174" s="57" t="str">
        <f aca="false">IF($E174="","",SUMIFS($E$6:$E$2405,$A$6:$A$2405,"&lt;="&amp;$A174))</f>
        <v/>
      </c>
      <c r="G174" s="57" t="str">
        <f aca="false">IF($E174="","",IF($F174&lt;=BankCostEnvelope*'5. Scenarios'!$B$7,1,0))</f>
        <v/>
      </c>
      <c r="H174" s="57" t="str">
        <f aca="false">IF($D174="","",INDEX(BookRate,169)*(1+'5. Scenarios'!$B$10)*(INDEX(BookQ1,169)*(5-MIN(4,1+'5. Scenarios'!$B$8))/4+INDEX(BookQ2,169)*(5-MIN(4,2+'5. Scenarios'!$B$8))/4+INDEX(BookQ3,169)*(5-MIN(4,3+'5. Scenarios'!$B$8))/4+INDEX(BookQ4,169)*(5-MIN(4,4+'5. Scenarios'!$B$8))/4)*'5. Scenarios'!$B$6/(1+ProductivityDefault*('5. Scenarios'!$B$11-1))+INDEX(BookOneOff,169)*$D174)</f>
        <v/>
      </c>
      <c r="I174" s="56" t="str">
        <f aca="false">IF(INDEX(BookTitle,169)="","",INDEX(BookTotal,169)*'5. Scenarios'!$C$6/(1+ProductivityDefault*('5. Scenarios'!$C$11-1)))</f>
        <v/>
      </c>
      <c r="J174" s="57" t="str">
        <f aca="false">IF($I174="","",INDEX(BookRate,169)*(1+'5. Scenarios'!$C$10)*$I174)</f>
        <v/>
      </c>
      <c r="K174" s="57" t="str">
        <f aca="false">IF($J174="","",SUMIFS($J$6:$J$2405,$A$6:$A$2405,"&lt;="&amp;$A174))</f>
        <v/>
      </c>
      <c r="L174" s="57" t="str">
        <f aca="false">IF($J174="","",IF($K174&lt;=BankCostEnvelope*'5. Scenarios'!$C$7,1,0))</f>
        <v/>
      </c>
      <c r="M174" s="57" t="str">
        <f aca="false">IF($I174="","",INDEX(BookRate,169)*(1+'5. Scenarios'!$C$10)*(INDEX(BookQ1,169)*(5-MIN(4,1+'5. Scenarios'!$C$8))/4+INDEX(BookQ2,169)*(5-MIN(4,2+'5. Scenarios'!$C$8))/4+INDEX(BookQ3,169)*(5-MIN(4,3+'5. Scenarios'!$C$8))/4+INDEX(BookQ4,169)*(5-MIN(4,4+'5. Scenarios'!$C$8))/4)*'5. Scenarios'!$C$6/(1+ProductivityDefault*('5. Scenarios'!$C$11-1))+INDEX(BookOneOff,169)*$I174)</f>
        <v/>
      </c>
      <c r="N174" s="56" t="str">
        <f aca="false">IF(INDEX(BookTitle,169)="","",INDEX(BookTotal,169)*'5. Scenarios'!$D$6/(1+ProductivityDefault*('5. Scenarios'!$D$11-1)))</f>
        <v/>
      </c>
      <c r="O174" s="57" t="str">
        <f aca="false">IF($N174="","",INDEX(BookRate,169)*(1+'5. Scenarios'!$D$10)*$N174)</f>
        <v/>
      </c>
      <c r="P174" s="57" t="str">
        <f aca="false">IF($O174="","",SUMIFS($O$6:$O$2405,$A$6:$A$2405,"&lt;="&amp;$A174))</f>
        <v/>
      </c>
      <c r="Q174" s="57" t="str">
        <f aca="false">IF($O174="","",IF($P174&lt;=BankCostEnvelope*'5. Scenarios'!$D$7,1,0))</f>
        <v/>
      </c>
      <c r="R174" s="57" t="str">
        <f aca="false">IF($N174="","",INDEX(BookRate,169)*(1+'5. Scenarios'!$D$10)*(INDEX(BookQ1,169)*(5-MIN(4,1+'5. Scenarios'!$D$8))/4+INDEX(BookQ2,169)*(5-MIN(4,2+'5. Scenarios'!$D$8))/4+INDEX(BookQ3,169)*(5-MIN(4,3+'5. Scenarios'!$D$8))/4+INDEX(BookQ4,169)*(5-MIN(4,4+'5. Scenarios'!$D$8))/4)*'5. Scenarios'!$D$6/(1+ProductivityDefault*('5. Scenarios'!$D$11-1))+INDEX(BookOneOff,169)*$N174)</f>
        <v/>
      </c>
      <c r="S174" s="56" t="str">
        <f aca="false">IF(INDEX(BookTitle,169)="","",INDEX(BookTotal,169)*'5. Scenarios'!$E$6/(1+ProductivityDefault*('5. Scenarios'!$E$11-1)))</f>
        <v/>
      </c>
      <c r="T174" s="57" t="str">
        <f aca="false">IF($S174="","",INDEX(BookRate,169)*(1+'5. Scenarios'!$E$10)*$S174)</f>
        <v/>
      </c>
      <c r="U174" s="57" t="str">
        <f aca="false">IF($T174="","",SUMIFS($T$6:$T$2405,$A$6:$A$2405,"&lt;="&amp;$A174))</f>
        <v/>
      </c>
      <c r="V174" s="57" t="str">
        <f aca="false">IF($T174="","",IF($U174&lt;=BankCostEnvelope*'5. Scenarios'!$E$7,1,0))</f>
        <v/>
      </c>
      <c r="W174" s="57" t="str">
        <f aca="false">IF($S174="","",INDEX(BookRate,169)*(1+'5. Scenarios'!$E$10)*(INDEX(BookQ1,169)*(5-MIN(4,1+'5. Scenarios'!$E$8))/4+INDEX(BookQ2,169)*(5-MIN(4,2+'5. Scenarios'!$E$8))/4+INDEX(BookQ3,169)*(5-MIN(4,3+'5. Scenarios'!$E$8))/4+INDEX(BookQ4,169)*(5-MIN(4,4+'5. Scenarios'!$E$8))/4)*'5. Scenarios'!$E$6/(1+ProductivityDefault*('5. Scenarios'!$E$11-1))+INDEX(BookOneOff,169)*$S174)</f>
        <v/>
      </c>
    </row>
    <row r="175" customFormat="false" ht="15" hidden="false" customHeight="false" outlineLevel="0" collapsed="false">
      <c r="A175" s="0" t="str">
        <f aca="false">IF(INDEX(BookTitle,170)="","",INDEX(BookKey,170))</f>
        <v/>
      </c>
      <c r="B175" s="0" t="str">
        <f aca="false">IF(INDEX(BookTitle,170)="","",INDEX(BookGroup,170))</f>
        <v/>
      </c>
      <c r="C175" s="0" t="str">
        <f aca="false">IF(INDEX(BookTitle,170)="","",INDEX(BookCategory,170))</f>
        <v/>
      </c>
      <c r="D175" s="56" t="str">
        <f aca="false">IF(INDEX(BookTitle,170)="","",INDEX(BookTotal,170)*'5. Scenarios'!$B$6/(1+ProductivityDefault*('5. Scenarios'!$B$11-1)))</f>
        <v/>
      </c>
      <c r="E175" s="57" t="str">
        <f aca="false">IF($D175="","",INDEX(BookRate,170)*(1+'5. Scenarios'!$B$10)*$D175)</f>
        <v/>
      </c>
      <c r="F175" s="57" t="str">
        <f aca="false">IF($E175="","",SUMIFS($E$6:$E$2405,$A$6:$A$2405,"&lt;="&amp;$A175))</f>
        <v/>
      </c>
      <c r="G175" s="57" t="str">
        <f aca="false">IF($E175="","",IF($F175&lt;=BankCostEnvelope*'5. Scenarios'!$B$7,1,0))</f>
        <v/>
      </c>
      <c r="H175" s="57" t="str">
        <f aca="false">IF($D175="","",INDEX(BookRate,170)*(1+'5. Scenarios'!$B$10)*(INDEX(BookQ1,170)*(5-MIN(4,1+'5. Scenarios'!$B$8))/4+INDEX(BookQ2,170)*(5-MIN(4,2+'5. Scenarios'!$B$8))/4+INDEX(BookQ3,170)*(5-MIN(4,3+'5. Scenarios'!$B$8))/4+INDEX(BookQ4,170)*(5-MIN(4,4+'5. Scenarios'!$B$8))/4)*'5. Scenarios'!$B$6/(1+ProductivityDefault*('5. Scenarios'!$B$11-1))+INDEX(BookOneOff,170)*$D175)</f>
        <v/>
      </c>
      <c r="I175" s="56" t="str">
        <f aca="false">IF(INDEX(BookTitle,170)="","",INDEX(BookTotal,170)*'5. Scenarios'!$C$6/(1+ProductivityDefault*('5. Scenarios'!$C$11-1)))</f>
        <v/>
      </c>
      <c r="J175" s="57" t="str">
        <f aca="false">IF($I175="","",INDEX(BookRate,170)*(1+'5. Scenarios'!$C$10)*$I175)</f>
        <v/>
      </c>
      <c r="K175" s="57" t="str">
        <f aca="false">IF($J175="","",SUMIFS($J$6:$J$2405,$A$6:$A$2405,"&lt;="&amp;$A175))</f>
        <v/>
      </c>
      <c r="L175" s="57" t="str">
        <f aca="false">IF($J175="","",IF($K175&lt;=BankCostEnvelope*'5. Scenarios'!$C$7,1,0))</f>
        <v/>
      </c>
      <c r="M175" s="57" t="str">
        <f aca="false">IF($I175="","",INDEX(BookRate,170)*(1+'5. Scenarios'!$C$10)*(INDEX(BookQ1,170)*(5-MIN(4,1+'5. Scenarios'!$C$8))/4+INDEX(BookQ2,170)*(5-MIN(4,2+'5. Scenarios'!$C$8))/4+INDEX(BookQ3,170)*(5-MIN(4,3+'5. Scenarios'!$C$8))/4+INDEX(BookQ4,170)*(5-MIN(4,4+'5. Scenarios'!$C$8))/4)*'5. Scenarios'!$C$6/(1+ProductivityDefault*('5. Scenarios'!$C$11-1))+INDEX(BookOneOff,170)*$I175)</f>
        <v/>
      </c>
      <c r="N175" s="56" t="str">
        <f aca="false">IF(INDEX(BookTitle,170)="","",INDEX(BookTotal,170)*'5. Scenarios'!$D$6/(1+ProductivityDefault*('5. Scenarios'!$D$11-1)))</f>
        <v/>
      </c>
      <c r="O175" s="57" t="str">
        <f aca="false">IF($N175="","",INDEX(BookRate,170)*(1+'5. Scenarios'!$D$10)*$N175)</f>
        <v/>
      </c>
      <c r="P175" s="57" t="str">
        <f aca="false">IF($O175="","",SUMIFS($O$6:$O$2405,$A$6:$A$2405,"&lt;="&amp;$A175))</f>
        <v/>
      </c>
      <c r="Q175" s="57" t="str">
        <f aca="false">IF($O175="","",IF($P175&lt;=BankCostEnvelope*'5. Scenarios'!$D$7,1,0))</f>
        <v/>
      </c>
      <c r="R175" s="57" t="str">
        <f aca="false">IF($N175="","",INDEX(BookRate,170)*(1+'5. Scenarios'!$D$10)*(INDEX(BookQ1,170)*(5-MIN(4,1+'5. Scenarios'!$D$8))/4+INDEX(BookQ2,170)*(5-MIN(4,2+'5. Scenarios'!$D$8))/4+INDEX(BookQ3,170)*(5-MIN(4,3+'5. Scenarios'!$D$8))/4+INDEX(BookQ4,170)*(5-MIN(4,4+'5. Scenarios'!$D$8))/4)*'5. Scenarios'!$D$6/(1+ProductivityDefault*('5. Scenarios'!$D$11-1))+INDEX(BookOneOff,170)*$N175)</f>
        <v/>
      </c>
      <c r="S175" s="56" t="str">
        <f aca="false">IF(INDEX(BookTitle,170)="","",INDEX(BookTotal,170)*'5. Scenarios'!$E$6/(1+ProductivityDefault*('5. Scenarios'!$E$11-1)))</f>
        <v/>
      </c>
      <c r="T175" s="57" t="str">
        <f aca="false">IF($S175="","",INDEX(BookRate,170)*(1+'5. Scenarios'!$E$10)*$S175)</f>
        <v/>
      </c>
      <c r="U175" s="57" t="str">
        <f aca="false">IF($T175="","",SUMIFS($T$6:$T$2405,$A$6:$A$2405,"&lt;="&amp;$A175))</f>
        <v/>
      </c>
      <c r="V175" s="57" t="str">
        <f aca="false">IF($T175="","",IF($U175&lt;=BankCostEnvelope*'5. Scenarios'!$E$7,1,0))</f>
        <v/>
      </c>
      <c r="W175" s="57" t="str">
        <f aca="false">IF($S175="","",INDEX(BookRate,170)*(1+'5. Scenarios'!$E$10)*(INDEX(BookQ1,170)*(5-MIN(4,1+'5. Scenarios'!$E$8))/4+INDEX(BookQ2,170)*(5-MIN(4,2+'5. Scenarios'!$E$8))/4+INDEX(BookQ3,170)*(5-MIN(4,3+'5. Scenarios'!$E$8))/4+INDEX(BookQ4,170)*(5-MIN(4,4+'5. Scenarios'!$E$8))/4)*'5. Scenarios'!$E$6/(1+ProductivityDefault*('5. Scenarios'!$E$11-1))+INDEX(BookOneOff,170)*$S175)</f>
        <v/>
      </c>
    </row>
    <row r="176" customFormat="false" ht="15" hidden="false" customHeight="false" outlineLevel="0" collapsed="false">
      <c r="A176" s="0" t="str">
        <f aca="false">IF(INDEX(BookTitle,171)="","",INDEX(BookKey,171))</f>
        <v/>
      </c>
      <c r="B176" s="0" t="str">
        <f aca="false">IF(INDEX(BookTitle,171)="","",INDEX(BookGroup,171))</f>
        <v/>
      </c>
      <c r="C176" s="0" t="str">
        <f aca="false">IF(INDEX(BookTitle,171)="","",INDEX(BookCategory,171))</f>
        <v/>
      </c>
      <c r="D176" s="56" t="str">
        <f aca="false">IF(INDEX(BookTitle,171)="","",INDEX(BookTotal,171)*'5. Scenarios'!$B$6/(1+ProductivityDefault*('5. Scenarios'!$B$11-1)))</f>
        <v/>
      </c>
      <c r="E176" s="57" t="str">
        <f aca="false">IF($D176="","",INDEX(BookRate,171)*(1+'5. Scenarios'!$B$10)*$D176)</f>
        <v/>
      </c>
      <c r="F176" s="57" t="str">
        <f aca="false">IF($E176="","",SUMIFS($E$6:$E$2405,$A$6:$A$2405,"&lt;="&amp;$A176))</f>
        <v/>
      </c>
      <c r="G176" s="57" t="str">
        <f aca="false">IF($E176="","",IF($F176&lt;=BankCostEnvelope*'5. Scenarios'!$B$7,1,0))</f>
        <v/>
      </c>
      <c r="H176" s="57" t="str">
        <f aca="false">IF($D176="","",INDEX(BookRate,171)*(1+'5. Scenarios'!$B$10)*(INDEX(BookQ1,171)*(5-MIN(4,1+'5. Scenarios'!$B$8))/4+INDEX(BookQ2,171)*(5-MIN(4,2+'5. Scenarios'!$B$8))/4+INDEX(BookQ3,171)*(5-MIN(4,3+'5. Scenarios'!$B$8))/4+INDEX(BookQ4,171)*(5-MIN(4,4+'5. Scenarios'!$B$8))/4)*'5. Scenarios'!$B$6/(1+ProductivityDefault*('5. Scenarios'!$B$11-1))+INDEX(BookOneOff,171)*$D176)</f>
        <v/>
      </c>
      <c r="I176" s="56" t="str">
        <f aca="false">IF(INDEX(BookTitle,171)="","",INDEX(BookTotal,171)*'5. Scenarios'!$C$6/(1+ProductivityDefault*('5. Scenarios'!$C$11-1)))</f>
        <v/>
      </c>
      <c r="J176" s="57" t="str">
        <f aca="false">IF($I176="","",INDEX(BookRate,171)*(1+'5. Scenarios'!$C$10)*$I176)</f>
        <v/>
      </c>
      <c r="K176" s="57" t="str">
        <f aca="false">IF($J176="","",SUMIFS($J$6:$J$2405,$A$6:$A$2405,"&lt;="&amp;$A176))</f>
        <v/>
      </c>
      <c r="L176" s="57" t="str">
        <f aca="false">IF($J176="","",IF($K176&lt;=BankCostEnvelope*'5. Scenarios'!$C$7,1,0))</f>
        <v/>
      </c>
      <c r="M176" s="57" t="str">
        <f aca="false">IF($I176="","",INDEX(BookRate,171)*(1+'5. Scenarios'!$C$10)*(INDEX(BookQ1,171)*(5-MIN(4,1+'5. Scenarios'!$C$8))/4+INDEX(BookQ2,171)*(5-MIN(4,2+'5. Scenarios'!$C$8))/4+INDEX(BookQ3,171)*(5-MIN(4,3+'5. Scenarios'!$C$8))/4+INDEX(BookQ4,171)*(5-MIN(4,4+'5. Scenarios'!$C$8))/4)*'5. Scenarios'!$C$6/(1+ProductivityDefault*('5. Scenarios'!$C$11-1))+INDEX(BookOneOff,171)*$I176)</f>
        <v/>
      </c>
      <c r="N176" s="56" t="str">
        <f aca="false">IF(INDEX(BookTitle,171)="","",INDEX(BookTotal,171)*'5. Scenarios'!$D$6/(1+ProductivityDefault*('5. Scenarios'!$D$11-1)))</f>
        <v/>
      </c>
      <c r="O176" s="57" t="str">
        <f aca="false">IF($N176="","",INDEX(BookRate,171)*(1+'5. Scenarios'!$D$10)*$N176)</f>
        <v/>
      </c>
      <c r="P176" s="57" t="str">
        <f aca="false">IF($O176="","",SUMIFS($O$6:$O$2405,$A$6:$A$2405,"&lt;="&amp;$A176))</f>
        <v/>
      </c>
      <c r="Q176" s="57" t="str">
        <f aca="false">IF($O176="","",IF($P176&lt;=BankCostEnvelope*'5. Scenarios'!$D$7,1,0))</f>
        <v/>
      </c>
      <c r="R176" s="57" t="str">
        <f aca="false">IF($N176="","",INDEX(BookRate,171)*(1+'5. Scenarios'!$D$10)*(INDEX(BookQ1,171)*(5-MIN(4,1+'5. Scenarios'!$D$8))/4+INDEX(BookQ2,171)*(5-MIN(4,2+'5. Scenarios'!$D$8))/4+INDEX(BookQ3,171)*(5-MIN(4,3+'5. Scenarios'!$D$8))/4+INDEX(BookQ4,171)*(5-MIN(4,4+'5. Scenarios'!$D$8))/4)*'5. Scenarios'!$D$6/(1+ProductivityDefault*('5. Scenarios'!$D$11-1))+INDEX(BookOneOff,171)*$N176)</f>
        <v/>
      </c>
      <c r="S176" s="56" t="str">
        <f aca="false">IF(INDEX(BookTitle,171)="","",INDEX(BookTotal,171)*'5. Scenarios'!$E$6/(1+ProductivityDefault*('5. Scenarios'!$E$11-1)))</f>
        <v/>
      </c>
      <c r="T176" s="57" t="str">
        <f aca="false">IF($S176="","",INDEX(BookRate,171)*(1+'5. Scenarios'!$E$10)*$S176)</f>
        <v/>
      </c>
      <c r="U176" s="57" t="str">
        <f aca="false">IF($T176="","",SUMIFS($T$6:$T$2405,$A$6:$A$2405,"&lt;="&amp;$A176))</f>
        <v/>
      </c>
      <c r="V176" s="57" t="str">
        <f aca="false">IF($T176="","",IF($U176&lt;=BankCostEnvelope*'5. Scenarios'!$E$7,1,0))</f>
        <v/>
      </c>
      <c r="W176" s="57" t="str">
        <f aca="false">IF($S176="","",INDEX(BookRate,171)*(1+'5. Scenarios'!$E$10)*(INDEX(BookQ1,171)*(5-MIN(4,1+'5. Scenarios'!$E$8))/4+INDEX(BookQ2,171)*(5-MIN(4,2+'5. Scenarios'!$E$8))/4+INDEX(BookQ3,171)*(5-MIN(4,3+'5. Scenarios'!$E$8))/4+INDEX(BookQ4,171)*(5-MIN(4,4+'5. Scenarios'!$E$8))/4)*'5. Scenarios'!$E$6/(1+ProductivityDefault*('5. Scenarios'!$E$11-1))+INDEX(BookOneOff,171)*$S176)</f>
        <v/>
      </c>
    </row>
    <row r="177" customFormat="false" ht="15" hidden="false" customHeight="false" outlineLevel="0" collapsed="false">
      <c r="A177" s="0" t="str">
        <f aca="false">IF(INDEX(BookTitle,172)="","",INDEX(BookKey,172))</f>
        <v/>
      </c>
      <c r="B177" s="0" t="str">
        <f aca="false">IF(INDEX(BookTitle,172)="","",INDEX(BookGroup,172))</f>
        <v/>
      </c>
      <c r="C177" s="0" t="str">
        <f aca="false">IF(INDEX(BookTitle,172)="","",INDEX(BookCategory,172))</f>
        <v/>
      </c>
      <c r="D177" s="56" t="str">
        <f aca="false">IF(INDEX(BookTitle,172)="","",INDEX(BookTotal,172)*'5. Scenarios'!$B$6/(1+ProductivityDefault*('5. Scenarios'!$B$11-1)))</f>
        <v/>
      </c>
      <c r="E177" s="57" t="str">
        <f aca="false">IF($D177="","",INDEX(BookRate,172)*(1+'5. Scenarios'!$B$10)*$D177)</f>
        <v/>
      </c>
      <c r="F177" s="57" t="str">
        <f aca="false">IF($E177="","",SUMIFS($E$6:$E$2405,$A$6:$A$2405,"&lt;="&amp;$A177))</f>
        <v/>
      </c>
      <c r="G177" s="57" t="str">
        <f aca="false">IF($E177="","",IF($F177&lt;=BankCostEnvelope*'5. Scenarios'!$B$7,1,0))</f>
        <v/>
      </c>
      <c r="H177" s="57" t="str">
        <f aca="false">IF($D177="","",INDEX(BookRate,172)*(1+'5. Scenarios'!$B$10)*(INDEX(BookQ1,172)*(5-MIN(4,1+'5. Scenarios'!$B$8))/4+INDEX(BookQ2,172)*(5-MIN(4,2+'5. Scenarios'!$B$8))/4+INDEX(BookQ3,172)*(5-MIN(4,3+'5. Scenarios'!$B$8))/4+INDEX(BookQ4,172)*(5-MIN(4,4+'5. Scenarios'!$B$8))/4)*'5. Scenarios'!$B$6/(1+ProductivityDefault*('5. Scenarios'!$B$11-1))+INDEX(BookOneOff,172)*$D177)</f>
        <v/>
      </c>
      <c r="I177" s="56" t="str">
        <f aca="false">IF(INDEX(BookTitle,172)="","",INDEX(BookTotal,172)*'5. Scenarios'!$C$6/(1+ProductivityDefault*('5. Scenarios'!$C$11-1)))</f>
        <v/>
      </c>
      <c r="J177" s="57" t="str">
        <f aca="false">IF($I177="","",INDEX(BookRate,172)*(1+'5. Scenarios'!$C$10)*$I177)</f>
        <v/>
      </c>
      <c r="K177" s="57" t="str">
        <f aca="false">IF($J177="","",SUMIFS($J$6:$J$2405,$A$6:$A$2405,"&lt;="&amp;$A177))</f>
        <v/>
      </c>
      <c r="L177" s="57" t="str">
        <f aca="false">IF($J177="","",IF($K177&lt;=BankCostEnvelope*'5. Scenarios'!$C$7,1,0))</f>
        <v/>
      </c>
      <c r="M177" s="57" t="str">
        <f aca="false">IF($I177="","",INDEX(BookRate,172)*(1+'5. Scenarios'!$C$10)*(INDEX(BookQ1,172)*(5-MIN(4,1+'5. Scenarios'!$C$8))/4+INDEX(BookQ2,172)*(5-MIN(4,2+'5. Scenarios'!$C$8))/4+INDEX(BookQ3,172)*(5-MIN(4,3+'5. Scenarios'!$C$8))/4+INDEX(BookQ4,172)*(5-MIN(4,4+'5. Scenarios'!$C$8))/4)*'5. Scenarios'!$C$6/(1+ProductivityDefault*('5. Scenarios'!$C$11-1))+INDEX(BookOneOff,172)*$I177)</f>
        <v/>
      </c>
      <c r="N177" s="56" t="str">
        <f aca="false">IF(INDEX(BookTitle,172)="","",INDEX(BookTotal,172)*'5. Scenarios'!$D$6/(1+ProductivityDefault*('5. Scenarios'!$D$11-1)))</f>
        <v/>
      </c>
      <c r="O177" s="57" t="str">
        <f aca="false">IF($N177="","",INDEX(BookRate,172)*(1+'5. Scenarios'!$D$10)*$N177)</f>
        <v/>
      </c>
      <c r="P177" s="57" t="str">
        <f aca="false">IF($O177="","",SUMIFS($O$6:$O$2405,$A$6:$A$2405,"&lt;="&amp;$A177))</f>
        <v/>
      </c>
      <c r="Q177" s="57" t="str">
        <f aca="false">IF($O177="","",IF($P177&lt;=BankCostEnvelope*'5. Scenarios'!$D$7,1,0))</f>
        <v/>
      </c>
      <c r="R177" s="57" t="str">
        <f aca="false">IF($N177="","",INDEX(BookRate,172)*(1+'5. Scenarios'!$D$10)*(INDEX(BookQ1,172)*(5-MIN(4,1+'5. Scenarios'!$D$8))/4+INDEX(BookQ2,172)*(5-MIN(4,2+'5. Scenarios'!$D$8))/4+INDEX(BookQ3,172)*(5-MIN(4,3+'5. Scenarios'!$D$8))/4+INDEX(BookQ4,172)*(5-MIN(4,4+'5. Scenarios'!$D$8))/4)*'5. Scenarios'!$D$6/(1+ProductivityDefault*('5. Scenarios'!$D$11-1))+INDEX(BookOneOff,172)*$N177)</f>
        <v/>
      </c>
      <c r="S177" s="56" t="str">
        <f aca="false">IF(INDEX(BookTitle,172)="","",INDEX(BookTotal,172)*'5. Scenarios'!$E$6/(1+ProductivityDefault*('5. Scenarios'!$E$11-1)))</f>
        <v/>
      </c>
      <c r="T177" s="57" t="str">
        <f aca="false">IF($S177="","",INDEX(BookRate,172)*(1+'5. Scenarios'!$E$10)*$S177)</f>
        <v/>
      </c>
      <c r="U177" s="57" t="str">
        <f aca="false">IF($T177="","",SUMIFS($T$6:$T$2405,$A$6:$A$2405,"&lt;="&amp;$A177))</f>
        <v/>
      </c>
      <c r="V177" s="57" t="str">
        <f aca="false">IF($T177="","",IF($U177&lt;=BankCostEnvelope*'5. Scenarios'!$E$7,1,0))</f>
        <v/>
      </c>
      <c r="W177" s="57" t="str">
        <f aca="false">IF($S177="","",INDEX(BookRate,172)*(1+'5. Scenarios'!$E$10)*(INDEX(BookQ1,172)*(5-MIN(4,1+'5. Scenarios'!$E$8))/4+INDEX(BookQ2,172)*(5-MIN(4,2+'5. Scenarios'!$E$8))/4+INDEX(BookQ3,172)*(5-MIN(4,3+'5. Scenarios'!$E$8))/4+INDEX(BookQ4,172)*(5-MIN(4,4+'5. Scenarios'!$E$8))/4)*'5. Scenarios'!$E$6/(1+ProductivityDefault*('5. Scenarios'!$E$11-1))+INDEX(BookOneOff,172)*$S177)</f>
        <v/>
      </c>
    </row>
    <row r="178" customFormat="false" ht="15" hidden="false" customHeight="false" outlineLevel="0" collapsed="false">
      <c r="A178" s="0" t="str">
        <f aca="false">IF(INDEX(BookTitle,173)="","",INDEX(BookKey,173))</f>
        <v/>
      </c>
      <c r="B178" s="0" t="str">
        <f aca="false">IF(INDEX(BookTitle,173)="","",INDEX(BookGroup,173))</f>
        <v/>
      </c>
      <c r="C178" s="0" t="str">
        <f aca="false">IF(INDEX(BookTitle,173)="","",INDEX(BookCategory,173))</f>
        <v/>
      </c>
      <c r="D178" s="56" t="str">
        <f aca="false">IF(INDEX(BookTitle,173)="","",INDEX(BookTotal,173)*'5. Scenarios'!$B$6/(1+ProductivityDefault*('5. Scenarios'!$B$11-1)))</f>
        <v/>
      </c>
      <c r="E178" s="57" t="str">
        <f aca="false">IF($D178="","",INDEX(BookRate,173)*(1+'5. Scenarios'!$B$10)*$D178)</f>
        <v/>
      </c>
      <c r="F178" s="57" t="str">
        <f aca="false">IF($E178="","",SUMIFS($E$6:$E$2405,$A$6:$A$2405,"&lt;="&amp;$A178))</f>
        <v/>
      </c>
      <c r="G178" s="57" t="str">
        <f aca="false">IF($E178="","",IF($F178&lt;=BankCostEnvelope*'5. Scenarios'!$B$7,1,0))</f>
        <v/>
      </c>
      <c r="H178" s="57" t="str">
        <f aca="false">IF($D178="","",INDEX(BookRate,173)*(1+'5. Scenarios'!$B$10)*(INDEX(BookQ1,173)*(5-MIN(4,1+'5. Scenarios'!$B$8))/4+INDEX(BookQ2,173)*(5-MIN(4,2+'5. Scenarios'!$B$8))/4+INDEX(BookQ3,173)*(5-MIN(4,3+'5. Scenarios'!$B$8))/4+INDEX(BookQ4,173)*(5-MIN(4,4+'5. Scenarios'!$B$8))/4)*'5. Scenarios'!$B$6/(1+ProductivityDefault*('5. Scenarios'!$B$11-1))+INDEX(BookOneOff,173)*$D178)</f>
        <v/>
      </c>
      <c r="I178" s="56" t="str">
        <f aca="false">IF(INDEX(BookTitle,173)="","",INDEX(BookTotal,173)*'5. Scenarios'!$C$6/(1+ProductivityDefault*('5. Scenarios'!$C$11-1)))</f>
        <v/>
      </c>
      <c r="J178" s="57" t="str">
        <f aca="false">IF($I178="","",INDEX(BookRate,173)*(1+'5. Scenarios'!$C$10)*$I178)</f>
        <v/>
      </c>
      <c r="K178" s="57" t="str">
        <f aca="false">IF($J178="","",SUMIFS($J$6:$J$2405,$A$6:$A$2405,"&lt;="&amp;$A178))</f>
        <v/>
      </c>
      <c r="L178" s="57" t="str">
        <f aca="false">IF($J178="","",IF($K178&lt;=BankCostEnvelope*'5. Scenarios'!$C$7,1,0))</f>
        <v/>
      </c>
      <c r="M178" s="57" t="str">
        <f aca="false">IF($I178="","",INDEX(BookRate,173)*(1+'5. Scenarios'!$C$10)*(INDEX(BookQ1,173)*(5-MIN(4,1+'5. Scenarios'!$C$8))/4+INDEX(BookQ2,173)*(5-MIN(4,2+'5. Scenarios'!$C$8))/4+INDEX(BookQ3,173)*(5-MIN(4,3+'5. Scenarios'!$C$8))/4+INDEX(BookQ4,173)*(5-MIN(4,4+'5. Scenarios'!$C$8))/4)*'5. Scenarios'!$C$6/(1+ProductivityDefault*('5. Scenarios'!$C$11-1))+INDEX(BookOneOff,173)*$I178)</f>
        <v/>
      </c>
      <c r="N178" s="56" t="str">
        <f aca="false">IF(INDEX(BookTitle,173)="","",INDEX(BookTotal,173)*'5. Scenarios'!$D$6/(1+ProductivityDefault*('5. Scenarios'!$D$11-1)))</f>
        <v/>
      </c>
      <c r="O178" s="57" t="str">
        <f aca="false">IF($N178="","",INDEX(BookRate,173)*(1+'5. Scenarios'!$D$10)*$N178)</f>
        <v/>
      </c>
      <c r="P178" s="57" t="str">
        <f aca="false">IF($O178="","",SUMIFS($O$6:$O$2405,$A$6:$A$2405,"&lt;="&amp;$A178))</f>
        <v/>
      </c>
      <c r="Q178" s="57" t="str">
        <f aca="false">IF($O178="","",IF($P178&lt;=BankCostEnvelope*'5. Scenarios'!$D$7,1,0))</f>
        <v/>
      </c>
      <c r="R178" s="57" t="str">
        <f aca="false">IF($N178="","",INDEX(BookRate,173)*(1+'5. Scenarios'!$D$10)*(INDEX(BookQ1,173)*(5-MIN(4,1+'5. Scenarios'!$D$8))/4+INDEX(BookQ2,173)*(5-MIN(4,2+'5. Scenarios'!$D$8))/4+INDEX(BookQ3,173)*(5-MIN(4,3+'5. Scenarios'!$D$8))/4+INDEX(BookQ4,173)*(5-MIN(4,4+'5. Scenarios'!$D$8))/4)*'5. Scenarios'!$D$6/(1+ProductivityDefault*('5. Scenarios'!$D$11-1))+INDEX(BookOneOff,173)*$N178)</f>
        <v/>
      </c>
      <c r="S178" s="56" t="str">
        <f aca="false">IF(INDEX(BookTitle,173)="","",INDEX(BookTotal,173)*'5. Scenarios'!$E$6/(1+ProductivityDefault*('5. Scenarios'!$E$11-1)))</f>
        <v/>
      </c>
      <c r="T178" s="57" t="str">
        <f aca="false">IF($S178="","",INDEX(BookRate,173)*(1+'5. Scenarios'!$E$10)*$S178)</f>
        <v/>
      </c>
      <c r="U178" s="57" t="str">
        <f aca="false">IF($T178="","",SUMIFS($T$6:$T$2405,$A$6:$A$2405,"&lt;="&amp;$A178))</f>
        <v/>
      </c>
      <c r="V178" s="57" t="str">
        <f aca="false">IF($T178="","",IF($U178&lt;=BankCostEnvelope*'5. Scenarios'!$E$7,1,0))</f>
        <v/>
      </c>
      <c r="W178" s="57" t="str">
        <f aca="false">IF($S178="","",INDEX(BookRate,173)*(1+'5. Scenarios'!$E$10)*(INDEX(BookQ1,173)*(5-MIN(4,1+'5. Scenarios'!$E$8))/4+INDEX(BookQ2,173)*(5-MIN(4,2+'5. Scenarios'!$E$8))/4+INDEX(BookQ3,173)*(5-MIN(4,3+'5. Scenarios'!$E$8))/4+INDEX(BookQ4,173)*(5-MIN(4,4+'5. Scenarios'!$E$8))/4)*'5. Scenarios'!$E$6/(1+ProductivityDefault*('5. Scenarios'!$E$11-1))+INDEX(BookOneOff,173)*$S178)</f>
        <v/>
      </c>
    </row>
    <row r="179" customFormat="false" ht="15" hidden="false" customHeight="false" outlineLevel="0" collapsed="false">
      <c r="A179" s="0" t="str">
        <f aca="false">IF(INDEX(BookTitle,174)="","",INDEX(BookKey,174))</f>
        <v/>
      </c>
      <c r="B179" s="0" t="str">
        <f aca="false">IF(INDEX(BookTitle,174)="","",INDEX(BookGroup,174))</f>
        <v/>
      </c>
      <c r="C179" s="0" t="str">
        <f aca="false">IF(INDEX(BookTitle,174)="","",INDEX(BookCategory,174))</f>
        <v/>
      </c>
      <c r="D179" s="56" t="str">
        <f aca="false">IF(INDEX(BookTitle,174)="","",INDEX(BookTotal,174)*'5. Scenarios'!$B$6/(1+ProductivityDefault*('5. Scenarios'!$B$11-1)))</f>
        <v/>
      </c>
      <c r="E179" s="57" t="str">
        <f aca="false">IF($D179="","",INDEX(BookRate,174)*(1+'5. Scenarios'!$B$10)*$D179)</f>
        <v/>
      </c>
      <c r="F179" s="57" t="str">
        <f aca="false">IF($E179="","",SUMIFS($E$6:$E$2405,$A$6:$A$2405,"&lt;="&amp;$A179))</f>
        <v/>
      </c>
      <c r="G179" s="57" t="str">
        <f aca="false">IF($E179="","",IF($F179&lt;=BankCostEnvelope*'5. Scenarios'!$B$7,1,0))</f>
        <v/>
      </c>
      <c r="H179" s="57" t="str">
        <f aca="false">IF($D179="","",INDEX(BookRate,174)*(1+'5. Scenarios'!$B$10)*(INDEX(BookQ1,174)*(5-MIN(4,1+'5. Scenarios'!$B$8))/4+INDEX(BookQ2,174)*(5-MIN(4,2+'5. Scenarios'!$B$8))/4+INDEX(BookQ3,174)*(5-MIN(4,3+'5. Scenarios'!$B$8))/4+INDEX(BookQ4,174)*(5-MIN(4,4+'5. Scenarios'!$B$8))/4)*'5. Scenarios'!$B$6/(1+ProductivityDefault*('5. Scenarios'!$B$11-1))+INDEX(BookOneOff,174)*$D179)</f>
        <v/>
      </c>
      <c r="I179" s="56" t="str">
        <f aca="false">IF(INDEX(BookTitle,174)="","",INDEX(BookTotal,174)*'5. Scenarios'!$C$6/(1+ProductivityDefault*('5. Scenarios'!$C$11-1)))</f>
        <v/>
      </c>
      <c r="J179" s="57" t="str">
        <f aca="false">IF($I179="","",INDEX(BookRate,174)*(1+'5. Scenarios'!$C$10)*$I179)</f>
        <v/>
      </c>
      <c r="K179" s="57" t="str">
        <f aca="false">IF($J179="","",SUMIFS($J$6:$J$2405,$A$6:$A$2405,"&lt;="&amp;$A179))</f>
        <v/>
      </c>
      <c r="L179" s="57" t="str">
        <f aca="false">IF($J179="","",IF($K179&lt;=BankCostEnvelope*'5. Scenarios'!$C$7,1,0))</f>
        <v/>
      </c>
      <c r="M179" s="57" t="str">
        <f aca="false">IF($I179="","",INDEX(BookRate,174)*(1+'5. Scenarios'!$C$10)*(INDEX(BookQ1,174)*(5-MIN(4,1+'5. Scenarios'!$C$8))/4+INDEX(BookQ2,174)*(5-MIN(4,2+'5. Scenarios'!$C$8))/4+INDEX(BookQ3,174)*(5-MIN(4,3+'5. Scenarios'!$C$8))/4+INDEX(BookQ4,174)*(5-MIN(4,4+'5. Scenarios'!$C$8))/4)*'5. Scenarios'!$C$6/(1+ProductivityDefault*('5. Scenarios'!$C$11-1))+INDEX(BookOneOff,174)*$I179)</f>
        <v/>
      </c>
      <c r="N179" s="56" t="str">
        <f aca="false">IF(INDEX(BookTitle,174)="","",INDEX(BookTotal,174)*'5. Scenarios'!$D$6/(1+ProductivityDefault*('5. Scenarios'!$D$11-1)))</f>
        <v/>
      </c>
      <c r="O179" s="57" t="str">
        <f aca="false">IF($N179="","",INDEX(BookRate,174)*(1+'5. Scenarios'!$D$10)*$N179)</f>
        <v/>
      </c>
      <c r="P179" s="57" t="str">
        <f aca="false">IF($O179="","",SUMIFS($O$6:$O$2405,$A$6:$A$2405,"&lt;="&amp;$A179))</f>
        <v/>
      </c>
      <c r="Q179" s="57" t="str">
        <f aca="false">IF($O179="","",IF($P179&lt;=BankCostEnvelope*'5. Scenarios'!$D$7,1,0))</f>
        <v/>
      </c>
      <c r="R179" s="57" t="str">
        <f aca="false">IF($N179="","",INDEX(BookRate,174)*(1+'5. Scenarios'!$D$10)*(INDEX(BookQ1,174)*(5-MIN(4,1+'5. Scenarios'!$D$8))/4+INDEX(BookQ2,174)*(5-MIN(4,2+'5. Scenarios'!$D$8))/4+INDEX(BookQ3,174)*(5-MIN(4,3+'5. Scenarios'!$D$8))/4+INDEX(BookQ4,174)*(5-MIN(4,4+'5. Scenarios'!$D$8))/4)*'5. Scenarios'!$D$6/(1+ProductivityDefault*('5. Scenarios'!$D$11-1))+INDEX(BookOneOff,174)*$N179)</f>
        <v/>
      </c>
      <c r="S179" s="56" t="str">
        <f aca="false">IF(INDEX(BookTitle,174)="","",INDEX(BookTotal,174)*'5. Scenarios'!$E$6/(1+ProductivityDefault*('5. Scenarios'!$E$11-1)))</f>
        <v/>
      </c>
      <c r="T179" s="57" t="str">
        <f aca="false">IF($S179="","",INDEX(BookRate,174)*(1+'5. Scenarios'!$E$10)*$S179)</f>
        <v/>
      </c>
      <c r="U179" s="57" t="str">
        <f aca="false">IF($T179="","",SUMIFS($T$6:$T$2405,$A$6:$A$2405,"&lt;="&amp;$A179))</f>
        <v/>
      </c>
      <c r="V179" s="57" t="str">
        <f aca="false">IF($T179="","",IF($U179&lt;=BankCostEnvelope*'5. Scenarios'!$E$7,1,0))</f>
        <v/>
      </c>
      <c r="W179" s="57" t="str">
        <f aca="false">IF($S179="","",INDEX(BookRate,174)*(1+'5. Scenarios'!$E$10)*(INDEX(BookQ1,174)*(5-MIN(4,1+'5. Scenarios'!$E$8))/4+INDEX(BookQ2,174)*(5-MIN(4,2+'5. Scenarios'!$E$8))/4+INDEX(BookQ3,174)*(5-MIN(4,3+'5. Scenarios'!$E$8))/4+INDEX(BookQ4,174)*(5-MIN(4,4+'5. Scenarios'!$E$8))/4)*'5. Scenarios'!$E$6/(1+ProductivityDefault*('5. Scenarios'!$E$11-1))+INDEX(BookOneOff,174)*$S179)</f>
        <v/>
      </c>
    </row>
    <row r="180" customFormat="false" ht="15" hidden="false" customHeight="false" outlineLevel="0" collapsed="false">
      <c r="A180" s="0" t="str">
        <f aca="false">IF(INDEX(BookTitle,175)="","",INDEX(BookKey,175))</f>
        <v/>
      </c>
      <c r="B180" s="0" t="str">
        <f aca="false">IF(INDEX(BookTitle,175)="","",INDEX(BookGroup,175))</f>
        <v/>
      </c>
      <c r="C180" s="0" t="str">
        <f aca="false">IF(INDEX(BookTitle,175)="","",INDEX(BookCategory,175))</f>
        <v/>
      </c>
      <c r="D180" s="56" t="str">
        <f aca="false">IF(INDEX(BookTitle,175)="","",INDEX(BookTotal,175)*'5. Scenarios'!$B$6/(1+ProductivityDefault*('5. Scenarios'!$B$11-1)))</f>
        <v/>
      </c>
      <c r="E180" s="57" t="str">
        <f aca="false">IF($D180="","",INDEX(BookRate,175)*(1+'5. Scenarios'!$B$10)*$D180)</f>
        <v/>
      </c>
      <c r="F180" s="57" t="str">
        <f aca="false">IF($E180="","",SUMIFS($E$6:$E$2405,$A$6:$A$2405,"&lt;="&amp;$A180))</f>
        <v/>
      </c>
      <c r="G180" s="57" t="str">
        <f aca="false">IF($E180="","",IF($F180&lt;=BankCostEnvelope*'5. Scenarios'!$B$7,1,0))</f>
        <v/>
      </c>
      <c r="H180" s="57" t="str">
        <f aca="false">IF($D180="","",INDEX(BookRate,175)*(1+'5. Scenarios'!$B$10)*(INDEX(BookQ1,175)*(5-MIN(4,1+'5. Scenarios'!$B$8))/4+INDEX(BookQ2,175)*(5-MIN(4,2+'5. Scenarios'!$B$8))/4+INDEX(BookQ3,175)*(5-MIN(4,3+'5. Scenarios'!$B$8))/4+INDEX(BookQ4,175)*(5-MIN(4,4+'5. Scenarios'!$B$8))/4)*'5. Scenarios'!$B$6/(1+ProductivityDefault*('5. Scenarios'!$B$11-1))+INDEX(BookOneOff,175)*$D180)</f>
        <v/>
      </c>
      <c r="I180" s="56" t="str">
        <f aca="false">IF(INDEX(BookTitle,175)="","",INDEX(BookTotal,175)*'5. Scenarios'!$C$6/(1+ProductivityDefault*('5. Scenarios'!$C$11-1)))</f>
        <v/>
      </c>
      <c r="J180" s="57" t="str">
        <f aca="false">IF($I180="","",INDEX(BookRate,175)*(1+'5. Scenarios'!$C$10)*$I180)</f>
        <v/>
      </c>
      <c r="K180" s="57" t="str">
        <f aca="false">IF($J180="","",SUMIFS($J$6:$J$2405,$A$6:$A$2405,"&lt;="&amp;$A180))</f>
        <v/>
      </c>
      <c r="L180" s="57" t="str">
        <f aca="false">IF($J180="","",IF($K180&lt;=BankCostEnvelope*'5. Scenarios'!$C$7,1,0))</f>
        <v/>
      </c>
      <c r="M180" s="57" t="str">
        <f aca="false">IF($I180="","",INDEX(BookRate,175)*(1+'5. Scenarios'!$C$10)*(INDEX(BookQ1,175)*(5-MIN(4,1+'5. Scenarios'!$C$8))/4+INDEX(BookQ2,175)*(5-MIN(4,2+'5. Scenarios'!$C$8))/4+INDEX(BookQ3,175)*(5-MIN(4,3+'5. Scenarios'!$C$8))/4+INDEX(BookQ4,175)*(5-MIN(4,4+'5. Scenarios'!$C$8))/4)*'5. Scenarios'!$C$6/(1+ProductivityDefault*('5. Scenarios'!$C$11-1))+INDEX(BookOneOff,175)*$I180)</f>
        <v/>
      </c>
      <c r="N180" s="56" t="str">
        <f aca="false">IF(INDEX(BookTitle,175)="","",INDEX(BookTotal,175)*'5. Scenarios'!$D$6/(1+ProductivityDefault*('5. Scenarios'!$D$11-1)))</f>
        <v/>
      </c>
      <c r="O180" s="57" t="str">
        <f aca="false">IF($N180="","",INDEX(BookRate,175)*(1+'5. Scenarios'!$D$10)*$N180)</f>
        <v/>
      </c>
      <c r="P180" s="57" t="str">
        <f aca="false">IF($O180="","",SUMIFS($O$6:$O$2405,$A$6:$A$2405,"&lt;="&amp;$A180))</f>
        <v/>
      </c>
      <c r="Q180" s="57" t="str">
        <f aca="false">IF($O180="","",IF($P180&lt;=BankCostEnvelope*'5. Scenarios'!$D$7,1,0))</f>
        <v/>
      </c>
      <c r="R180" s="57" t="str">
        <f aca="false">IF($N180="","",INDEX(BookRate,175)*(1+'5. Scenarios'!$D$10)*(INDEX(BookQ1,175)*(5-MIN(4,1+'5. Scenarios'!$D$8))/4+INDEX(BookQ2,175)*(5-MIN(4,2+'5. Scenarios'!$D$8))/4+INDEX(BookQ3,175)*(5-MIN(4,3+'5. Scenarios'!$D$8))/4+INDEX(BookQ4,175)*(5-MIN(4,4+'5. Scenarios'!$D$8))/4)*'5. Scenarios'!$D$6/(1+ProductivityDefault*('5. Scenarios'!$D$11-1))+INDEX(BookOneOff,175)*$N180)</f>
        <v/>
      </c>
      <c r="S180" s="56" t="str">
        <f aca="false">IF(INDEX(BookTitle,175)="","",INDEX(BookTotal,175)*'5. Scenarios'!$E$6/(1+ProductivityDefault*('5. Scenarios'!$E$11-1)))</f>
        <v/>
      </c>
      <c r="T180" s="57" t="str">
        <f aca="false">IF($S180="","",INDEX(BookRate,175)*(1+'5. Scenarios'!$E$10)*$S180)</f>
        <v/>
      </c>
      <c r="U180" s="57" t="str">
        <f aca="false">IF($T180="","",SUMIFS($T$6:$T$2405,$A$6:$A$2405,"&lt;="&amp;$A180))</f>
        <v/>
      </c>
      <c r="V180" s="57" t="str">
        <f aca="false">IF($T180="","",IF($U180&lt;=BankCostEnvelope*'5. Scenarios'!$E$7,1,0))</f>
        <v/>
      </c>
      <c r="W180" s="57" t="str">
        <f aca="false">IF($S180="","",INDEX(BookRate,175)*(1+'5. Scenarios'!$E$10)*(INDEX(BookQ1,175)*(5-MIN(4,1+'5. Scenarios'!$E$8))/4+INDEX(BookQ2,175)*(5-MIN(4,2+'5. Scenarios'!$E$8))/4+INDEX(BookQ3,175)*(5-MIN(4,3+'5. Scenarios'!$E$8))/4+INDEX(BookQ4,175)*(5-MIN(4,4+'5. Scenarios'!$E$8))/4)*'5. Scenarios'!$E$6/(1+ProductivityDefault*('5. Scenarios'!$E$11-1))+INDEX(BookOneOff,175)*$S180)</f>
        <v/>
      </c>
    </row>
    <row r="181" customFormat="false" ht="15" hidden="false" customHeight="false" outlineLevel="0" collapsed="false">
      <c r="A181" s="0" t="str">
        <f aca="false">IF(INDEX(BookTitle,176)="","",INDEX(BookKey,176))</f>
        <v/>
      </c>
      <c r="B181" s="0" t="str">
        <f aca="false">IF(INDEX(BookTitle,176)="","",INDEX(BookGroup,176))</f>
        <v/>
      </c>
      <c r="C181" s="0" t="str">
        <f aca="false">IF(INDEX(BookTitle,176)="","",INDEX(BookCategory,176))</f>
        <v/>
      </c>
      <c r="D181" s="56" t="str">
        <f aca="false">IF(INDEX(BookTitle,176)="","",INDEX(BookTotal,176)*'5. Scenarios'!$B$6/(1+ProductivityDefault*('5. Scenarios'!$B$11-1)))</f>
        <v/>
      </c>
      <c r="E181" s="57" t="str">
        <f aca="false">IF($D181="","",INDEX(BookRate,176)*(1+'5. Scenarios'!$B$10)*$D181)</f>
        <v/>
      </c>
      <c r="F181" s="57" t="str">
        <f aca="false">IF($E181="","",SUMIFS($E$6:$E$2405,$A$6:$A$2405,"&lt;="&amp;$A181))</f>
        <v/>
      </c>
      <c r="G181" s="57" t="str">
        <f aca="false">IF($E181="","",IF($F181&lt;=BankCostEnvelope*'5. Scenarios'!$B$7,1,0))</f>
        <v/>
      </c>
      <c r="H181" s="57" t="str">
        <f aca="false">IF($D181="","",INDEX(BookRate,176)*(1+'5. Scenarios'!$B$10)*(INDEX(BookQ1,176)*(5-MIN(4,1+'5. Scenarios'!$B$8))/4+INDEX(BookQ2,176)*(5-MIN(4,2+'5. Scenarios'!$B$8))/4+INDEX(BookQ3,176)*(5-MIN(4,3+'5. Scenarios'!$B$8))/4+INDEX(BookQ4,176)*(5-MIN(4,4+'5. Scenarios'!$B$8))/4)*'5. Scenarios'!$B$6/(1+ProductivityDefault*('5. Scenarios'!$B$11-1))+INDEX(BookOneOff,176)*$D181)</f>
        <v/>
      </c>
      <c r="I181" s="56" t="str">
        <f aca="false">IF(INDEX(BookTitle,176)="","",INDEX(BookTotal,176)*'5. Scenarios'!$C$6/(1+ProductivityDefault*('5. Scenarios'!$C$11-1)))</f>
        <v/>
      </c>
      <c r="J181" s="57" t="str">
        <f aca="false">IF($I181="","",INDEX(BookRate,176)*(1+'5. Scenarios'!$C$10)*$I181)</f>
        <v/>
      </c>
      <c r="K181" s="57" t="str">
        <f aca="false">IF($J181="","",SUMIFS($J$6:$J$2405,$A$6:$A$2405,"&lt;="&amp;$A181))</f>
        <v/>
      </c>
      <c r="L181" s="57" t="str">
        <f aca="false">IF($J181="","",IF($K181&lt;=BankCostEnvelope*'5. Scenarios'!$C$7,1,0))</f>
        <v/>
      </c>
      <c r="M181" s="57" t="str">
        <f aca="false">IF($I181="","",INDEX(BookRate,176)*(1+'5. Scenarios'!$C$10)*(INDEX(BookQ1,176)*(5-MIN(4,1+'5. Scenarios'!$C$8))/4+INDEX(BookQ2,176)*(5-MIN(4,2+'5. Scenarios'!$C$8))/4+INDEX(BookQ3,176)*(5-MIN(4,3+'5. Scenarios'!$C$8))/4+INDEX(BookQ4,176)*(5-MIN(4,4+'5. Scenarios'!$C$8))/4)*'5. Scenarios'!$C$6/(1+ProductivityDefault*('5. Scenarios'!$C$11-1))+INDEX(BookOneOff,176)*$I181)</f>
        <v/>
      </c>
      <c r="N181" s="56" t="str">
        <f aca="false">IF(INDEX(BookTitle,176)="","",INDEX(BookTotal,176)*'5. Scenarios'!$D$6/(1+ProductivityDefault*('5. Scenarios'!$D$11-1)))</f>
        <v/>
      </c>
      <c r="O181" s="57" t="str">
        <f aca="false">IF($N181="","",INDEX(BookRate,176)*(1+'5. Scenarios'!$D$10)*$N181)</f>
        <v/>
      </c>
      <c r="P181" s="57" t="str">
        <f aca="false">IF($O181="","",SUMIFS($O$6:$O$2405,$A$6:$A$2405,"&lt;="&amp;$A181))</f>
        <v/>
      </c>
      <c r="Q181" s="57" t="str">
        <f aca="false">IF($O181="","",IF($P181&lt;=BankCostEnvelope*'5. Scenarios'!$D$7,1,0))</f>
        <v/>
      </c>
      <c r="R181" s="57" t="str">
        <f aca="false">IF($N181="","",INDEX(BookRate,176)*(1+'5. Scenarios'!$D$10)*(INDEX(BookQ1,176)*(5-MIN(4,1+'5. Scenarios'!$D$8))/4+INDEX(BookQ2,176)*(5-MIN(4,2+'5. Scenarios'!$D$8))/4+INDEX(BookQ3,176)*(5-MIN(4,3+'5. Scenarios'!$D$8))/4+INDEX(BookQ4,176)*(5-MIN(4,4+'5. Scenarios'!$D$8))/4)*'5. Scenarios'!$D$6/(1+ProductivityDefault*('5. Scenarios'!$D$11-1))+INDEX(BookOneOff,176)*$N181)</f>
        <v/>
      </c>
      <c r="S181" s="56" t="str">
        <f aca="false">IF(INDEX(BookTitle,176)="","",INDEX(BookTotal,176)*'5. Scenarios'!$E$6/(1+ProductivityDefault*('5. Scenarios'!$E$11-1)))</f>
        <v/>
      </c>
      <c r="T181" s="57" t="str">
        <f aca="false">IF($S181="","",INDEX(BookRate,176)*(1+'5. Scenarios'!$E$10)*$S181)</f>
        <v/>
      </c>
      <c r="U181" s="57" t="str">
        <f aca="false">IF($T181="","",SUMIFS($T$6:$T$2405,$A$6:$A$2405,"&lt;="&amp;$A181))</f>
        <v/>
      </c>
      <c r="V181" s="57" t="str">
        <f aca="false">IF($T181="","",IF($U181&lt;=BankCostEnvelope*'5. Scenarios'!$E$7,1,0))</f>
        <v/>
      </c>
      <c r="W181" s="57" t="str">
        <f aca="false">IF($S181="","",INDEX(BookRate,176)*(1+'5. Scenarios'!$E$10)*(INDEX(BookQ1,176)*(5-MIN(4,1+'5. Scenarios'!$E$8))/4+INDEX(BookQ2,176)*(5-MIN(4,2+'5. Scenarios'!$E$8))/4+INDEX(BookQ3,176)*(5-MIN(4,3+'5. Scenarios'!$E$8))/4+INDEX(BookQ4,176)*(5-MIN(4,4+'5. Scenarios'!$E$8))/4)*'5. Scenarios'!$E$6/(1+ProductivityDefault*('5. Scenarios'!$E$11-1))+INDEX(BookOneOff,176)*$S181)</f>
        <v/>
      </c>
    </row>
    <row r="182" customFormat="false" ht="15" hidden="false" customHeight="false" outlineLevel="0" collapsed="false">
      <c r="A182" s="0" t="str">
        <f aca="false">IF(INDEX(BookTitle,177)="","",INDEX(BookKey,177))</f>
        <v/>
      </c>
      <c r="B182" s="0" t="str">
        <f aca="false">IF(INDEX(BookTitle,177)="","",INDEX(BookGroup,177))</f>
        <v/>
      </c>
      <c r="C182" s="0" t="str">
        <f aca="false">IF(INDEX(BookTitle,177)="","",INDEX(BookCategory,177))</f>
        <v/>
      </c>
      <c r="D182" s="56" t="str">
        <f aca="false">IF(INDEX(BookTitle,177)="","",INDEX(BookTotal,177)*'5. Scenarios'!$B$6/(1+ProductivityDefault*('5. Scenarios'!$B$11-1)))</f>
        <v/>
      </c>
      <c r="E182" s="57" t="str">
        <f aca="false">IF($D182="","",INDEX(BookRate,177)*(1+'5. Scenarios'!$B$10)*$D182)</f>
        <v/>
      </c>
      <c r="F182" s="57" t="str">
        <f aca="false">IF($E182="","",SUMIFS($E$6:$E$2405,$A$6:$A$2405,"&lt;="&amp;$A182))</f>
        <v/>
      </c>
      <c r="G182" s="57" t="str">
        <f aca="false">IF($E182="","",IF($F182&lt;=BankCostEnvelope*'5. Scenarios'!$B$7,1,0))</f>
        <v/>
      </c>
      <c r="H182" s="57" t="str">
        <f aca="false">IF($D182="","",INDEX(BookRate,177)*(1+'5. Scenarios'!$B$10)*(INDEX(BookQ1,177)*(5-MIN(4,1+'5. Scenarios'!$B$8))/4+INDEX(BookQ2,177)*(5-MIN(4,2+'5. Scenarios'!$B$8))/4+INDEX(BookQ3,177)*(5-MIN(4,3+'5. Scenarios'!$B$8))/4+INDEX(BookQ4,177)*(5-MIN(4,4+'5. Scenarios'!$B$8))/4)*'5. Scenarios'!$B$6/(1+ProductivityDefault*('5. Scenarios'!$B$11-1))+INDEX(BookOneOff,177)*$D182)</f>
        <v/>
      </c>
      <c r="I182" s="56" t="str">
        <f aca="false">IF(INDEX(BookTitle,177)="","",INDEX(BookTotal,177)*'5. Scenarios'!$C$6/(1+ProductivityDefault*('5. Scenarios'!$C$11-1)))</f>
        <v/>
      </c>
      <c r="J182" s="57" t="str">
        <f aca="false">IF($I182="","",INDEX(BookRate,177)*(1+'5. Scenarios'!$C$10)*$I182)</f>
        <v/>
      </c>
      <c r="K182" s="57" t="str">
        <f aca="false">IF($J182="","",SUMIFS($J$6:$J$2405,$A$6:$A$2405,"&lt;="&amp;$A182))</f>
        <v/>
      </c>
      <c r="L182" s="57" t="str">
        <f aca="false">IF($J182="","",IF($K182&lt;=BankCostEnvelope*'5. Scenarios'!$C$7,1,0))</f>
        <v/>
      </c>
      <c r="M182" s="57" t="str">
        <f aca="false">IF($I182="","",INDEX(BookRate,177)*(1+'5. Scenarios'!$C$10)*(INDEX(BookQ1,177)*(5-MIN(4,1+'5. Scenarios'!$C$8))/4+INDEX(BookQ2,177)*(5-MIN(4,2+'5. Scenarios'!$C$8))/4+INDEX(BookQ3,177)*(5-MIN(4,3+'5. Scenarios'!$C$8))/4+INDEX(BookQ4,177)*(5-MIN(4,4+'5. Scenarios'!$C$8))/4)*'5. Scenarios'!$C$6/(1+ProductivityDefault*('5. Scenarios'!$C$11-1))+INDEX(BookOneOff,177)*$I182)</f>
        <v/>
      </c>
      <c r="N182" s="56" t="str">
        <f aca="false">IF(INDEX(BookTitle,177)="","",INDEX(BookTotal,177)*'5. Scenarios'!$D$6/(1+ProductivityDefault*('5. Scenarios'!$D$11-1)))</f>
        <v/>
      </c>
      <c r="O182" s="57" t="str">
        <f aca="false">IF($N182="","",INDEX(BookRate,177)*(1+'5. Scenarios'!$D$10)*$N182)</f>
        <v/>
      </c>
      <c r="P182" s="57" t="str">
        <f aca="false">IF($O182="","",SUMIFS($O$6:$O$2405,$A$6:$A$2405,"&lt;="&amp;$A182))</f>
        <v/>
      </c>
      <c r="Q182" s="57" t="str">
        <f aca="false">IF($O182="","",IF($P182&lt;=BankCostEnvelope*'5. Scenarios'!$D$7,1,0))</f>
        <v/>
      </c>
      <c r="R182" s="57" t="str">
        <f aca="false">IF($N182="","",INDEX(BookRate,177)*(1+'5. Scenarios'!$D$10)*(INDEX(BookQ1,177)*(5-MIN(4,1+'5. Scenarios'!$D$8))/4+INDEX(BookQ2,177)*(5-MIN(4,2+'5. Scenarios'!$D$8))/4+INDEX(BookQ3,177)*(5-MIN(4,3+'5. Scenarios'!$D$8))/4+INDEX(BookQ4,177)*(5-MIN(4,4+'5. Scenarios'!$D$8))/4)*'5. Scenarios'!$D$6/(1+ProductivityDefault*('5. Scenarios'!$D$11-1))+INDEX(BookOneOff,177)*$N182)</f>
        <v/>
      </c>
      <c r="S182" s="56" t="str">
        <f aca="false">IF(INDEX(BookTitle,177)="","",INDEX(BookTotal,177)*'5. Scenarios'!$E$6/(1+ProductivityDefault*('5. Scenarios'!$E$11-1)))</f>
        <v/>
      </c>
      <c r="T182" s="57" t="str">
        <f aca="false">IF($S182="","",INDEX(BookRate,177)*(1+'5. Scenarios'!$E$10)*$S182)</f>
        <v/>
      </c>
      <c r="U182" s="57" t="str">
        <f aca="false">IF($T182="","",SUMIFS($T$6:$T$2405,$A$6:$A$2405,"&lt;="&amp;$A182))</f>
        <v/>
      </c>
      <c r="V182" s="57" t="str">
        <f aca="false">IF($T182="","",IF($U182&lt;=BankCostEnvelope*'5. Scenarios'!$E$7,1,0))</f>
        <v/>
      </c>
      <c r="W182" s="57" t="str">
        <f aca="false">IF($S182="","",INDEX(BookRate,177)*(1+'5. Scenarios'!$E$10)*(INDEX(BookQ1,177)*(5-MIN(4,1+'5. Scenarios'!$E$8))/4+INDEX(BookQ2,177)*(5-MIN(4,2+'5. Scenarios'!$E$8))/4+INDEX(BookQ3,177)*(5-MIN(4,3+'5. Scenarios'!$E$8))/4+INDEX(BookQ4,177)*(5-MIN(4,4+'5. Scenarios'!$E$8))/4)*'5. Scenarios'!$E$6/(1+ProductivityDefault*('5. Scenarios'!$E$11-1))+INDEX(BookOneOff,177)*$S182)</f>
        <v/>
      </c>
    </row>
    <row r="183" customFormat="false" ht="15" hidden="false" customHeight="false" outlineLevel="0" collapsed="false">
      <c r="A183" s="0" t="str">
        <f aca="false">IF(INDEX(BookTitle,178)="","",INDEX(BookKey,178))</f>
        <v/>
      </c>
      <c r="B183" s="0" t="str">
        <f aca="false">IF(INDEX(BookTitle,178)="","",INDEX(BookGroup,178))</f>
        <v/>
      </c>
      <c r="C183" s="0" t="str">
        <f aca="false">IF(INDEX(BookTitle,178)="","",INDEX(BookCategory,178))</f>
        <v/>
      </c>
      <c r="D183" s="56" t="str">
        <f aca="false">IF(INDEX(BookTitle,178)="","",INDEX(BookTotal,178)*'5. Scenarios'!$B$6/(1+ProductivityDefault*('5. Scenarios'!$B$11-1)))</f>
        <v/>
      </c>
      <c r="E183" s="57" t="str">
        <f aca="false">IF($D183="","",INDEX(BookRate,178)*(1+'5. Scenarios'!$B$10)*$D183)</f>
        <v/>
      </c>
      <c r="F183" s="57" t="str">
        <f aca="false">IF($E183="","",SUMIFS($E$6:$E$2405,$A$6:$A$2405,"&lt;="&amp;$A183))</f>
        <v/>
      </c>
      <c r="G183" s="57" t="str">
        <f aca="false">IF($E183="","",IF($F183&lt;=BankCostEnvelope*'5. Scenarios'!$B$7,1,0))</f>
        <v/>
      </c>
      <c r="H183" s="57" t="str">
        <f aca="false">IF($D183="","",INDEX(BookRate,178)*(1+'5. Scenarios'!$B$10)*(INDEX(BookQ1,178)*(5-MIN(4,1+'5. Scenarios'!$B$8))/4+INDEX(BookQ2,178)*(5-MIN(4,2+'5. Scenarios'!$B$8))/4+INDEX(BookQ3,178)*(5-MIN(4,3+'5. Scenarios'!$B$8))/4+INDEX(BookQ4,178)*(5-MIN(4,4+'5. Scenarios'!$B$8))/4)*'5. Scenarios'!$B$6/(1+ProductivityDefault*('5. Scenarios'!$B$11-1))+INDEX(BookOneOff,178)*$D183)</f>
        <v/>
      </c>
      <c r="I183" s="56" t="str">
        <f aca="false">IF(INDEX(BookTitle,178)="","",INDEX(BookTotal,178)*'5. Scenarios'!$C$6/(1+ProductivityDefault*('5. Scenarios'!$C$11-1)))</f>
        <v/>
      </c>
      <c r="J183" s="57" t="str">
        <f aca="false">IF($I183="","",INDEX(BookRate,178)*(1+'5. Scenarios'!$C$10)*$I183)</f>
        <v/>
      </c>
      <c r="K183" s="57" t="str">
        <f aca="false">IF($J183="","",SUMIFS($J$6:$J$2405,$A$6:$A$2405,"&lt;="&amp;$A183))</f>
        <v/>
      </c>
      <c r="L183" s="57" t="str">
        <f aca="false">IF($J183="","",IF($K183&lt;=BankCostEnvelope*'5. Scenarios'!$C$7,1,0))</f>
        <v/>
      </c>
      <c r="M183" s="57" t="str">
        <f aca="false">IF($I183="","",INDEX(BookRate,178)*(1+'5. Scenarios'!$C$10)*(INDEX(BookQ1,178)*(5-MIN(4,1+'5. Scenarios'!$C$8))/4+INDEX(BookQ2,178)*(5-MIN(4,2+'5. Scenarios'!$C$8))/4+INDEX(BookQ3,178)*(5-MIN(4,3+'5. Scenarios'!$C$8))/4+INDEX(BookQ4,178)*(5-MIN(4,4+'5. Scenarios'!$C$8))/4)*'5. Scenarios'!$C$6/(1+ProductivityDefault*('5. Scenarios'!$C$11-1))+INDEX(BookOneOff,178)*$I183)</f>
        <v/>
      </c>
      <c r="N183" s="56" t="str">
        <f aca="false">IF(INDEX(BookTitle,178)="","",INDEX(BookTotal,178)*'5. Scenarios'!$D$6/(1+ProductivityDefault*('5. Scenarios'!$D$11-1)))</f>
        <v/>
      </c>
      <c r="O183" s="57" t="str">
        <f aca="false">IF($N183="","",INDEX(BookRate,178)*(1+'5. Scenarios'!$D$10)*$N183)</f>
        <v/>
      </c>
      <c r="P183" s="57" t="str">
        <f aca="false">IF($O183="","",SUMIFS($O$6:$O$2405,$A$6:$A$2405,"&lt;="&amp;$A183))</f>
        <v/>
      </c>
      <c r="Q183" s="57" t="str">
        <f aca="false">IF($O183="","",IF($P183&lt;=BankCostEnvelope*'5. Scenarios'!$D$7,1,0))</f>
        <v/>
      </c>
      <c r="R183" s="57" t="str">
        <f aca="false">IF($N183="","",INDEX(BookRate,178)*(1+'5. Scenarios'!$D$10)*(INDEX(BookQ1,178)*(5-MIN(4,1+'5. Scenarios'!$D$8))/4+INDEX(BookQ2,178)*(5-MIN(4,2+'5. Scenarios'!$D$8))/4+INDEX(BookQ3,178)*(5-MIN(4,3+'5. Scenarios'!$D$8))/4+INDEX(BookQ4,178)*(5-MIN(4,4+'5. Scenarios'!$D$8))/4)*'5. Scenarios'!$D$6/(1+ProductivityDefault*('5. Scenarios'!$D$11-1))+INDEX(BookOneOff,178)*$N183)</f>
        <v/>
      </c>
      <c r="S183" s="56" t="str">
        <f aca="false">IF(INDEX(BookTitle,178)="","",INDEX(BookTotal,178)*'5. Scenarios'!$E$6/(1+ProductivityDefault*('5. Scenarios'!$E$11-1)))</f>
        <v/>
      </c>
      <c r="T183" s="57" t="str">
        <f aca="false">IF($S183="","",INDEX(BookRate,178)*(1+'5. Scenarios'!$E$10)*$S183)</f>
        <v/>
      </c>
      <c r="U183" s="57" t="str">
        <f aca="false">IF($T183="","",SUMIFS($T$6:$T$2405,$A$6:$A$2405,"&lt;="&amp;$A183))</f>
        <v/>
      </c>
      <c r="V183" s="57" t="str">
        <f aca="false">IF($T183="","",IF($U183&lt;=BankCostEnvelope*'5. Scenarios'!$E$7,1,0))</f>
        <v/>
      </c>
      <c r="W183" s="57" t="str">
        <f aca="false">IF($S183="","",INDEX(BookRate,178)*(1+'5. Scenarios'!$E$10)*(INDEX(BookQ1,178)*(5-MIN(4,1+'5. Scenarios'!$E$8))/4+INDEX(BookQ2,178)*(5-MIN(4,2+'5. Scenarios'!$E$8))/4+INDEX(BookQ3,178)*(5-MIN(4,3+'5. Scenarios'!$E$8))/4+INDEX(BookQ4,178)*(5-MIN(4,4+'5. Scenarios'!$E$8))/4)*'5. Scenarios'!$E$6/(1+ProductivityDefault*('5. Scenarios'!$E$11-1))+INDEX(BookOneOff,178)*$S183)</f>
        <v/>
      </c>
    </row>
    <row r="184" customFormat="false" ht="15" hidden="false" customHeight="false" outlineLevel="0" collapsed="false">
      <c r="A184" s="0" t="str">
        <f aca="false">IF(INDEX(BookTitle,179)="","",INDEX(BookKey,179))</f>
        <v/>
      </c>
      <c r="B184" s="0" t="str">
        <f aca="false">IF(INDEX(BookTitle,179)="","",INDEX(BookGroup,179))</f>
        <v/>
      </c>
      <c r="C184" s="0" t="str">
        <f aca="false">IF(INDEX(BookTitle,179)="","",INDEX(BookCategory,179))</f>
        <v/>
      </c>
      <c r="D184" s="56" t="str">
        <f aca="false">IF(INDEX(BookTitle,179)="","",INDEX(BookTotal,179)*'5. Scenarios'!$B$6/(1+ProductivityDefault*('5. Scenarios'!$B$11-1)))</f>
        <v/>
      </c>
      <c r="E184" s="57" t="str">
        <f aca="false">IF($D184="","",INDEX(BookRate,179)*(1+'5. Scenarios'!$B$10)*$D184)</f>
        <v/>
      </c>
      <c r="F184" s="57" t="str">
        <f aca="false">IF($E184="","",SUMIFS($E$6:$E$2405,$A$6:$A$2405,"&lt;="&amp;$A184))</f>
        <v/>
      </c>
      <c r="G184" s="57" t="str">
        <f aca="false">IF($E184="","",IF($F184&lt;=BankCostEnvelope*'5. Scenarios'!$B$7,1,0))</f>
        <v/>
      </c>
      <c r="H184" s="57" t="str">
        <f aca="false">IF($D184="","",INDEX(BookRate,179)*(1+'5. Scenarios'!$B$10)*(INDEX(BookQ1,179)*(5-MIN(4,1+'5. Scenarios'!$B$8))/4+INDEX(BookQ2,179)*(5-MIN(4,2+'5. Scenarios'!$B$8))/4+INDEX(BookQ3,179)*(5-MIN(4,3+'5. Scenarios'!$B$8))/4+INDEX(BookQ4,179)*(5-MIN(4,4+'5. Scenarios'!$B$8))/4)*'5. Scenarios'!$B$6/(1+ProductivityDefault*('5. Scenarios'!$B$11-1))+INDEX(BookOneOff,179)*$D184)</f>
        <v/>
      </c>
      <c r="I184" s="56" t="str">
        <f aca="false">IF(INDEX(BookTitle,179)="","",INDEX(BookTotal,179)*'5. Scenarios'!$C$6/(1+ProductivityDefault*('5. Scenarios'!$C$11-1)))</f>
        <v/>
      </c>
      <c r="J184" s="57" t="str">
        <f aca="false">IF($I184="","",INDEX(BookRate,179)*(1+'5. Scenarios'!$C$10)*$I184)</f>
        <v/>
      </c>
      <c r="K184" s="57" t="str">
        <f aca="false">IF($J184="","",SUMIFS($J$6:$J$2405,$A$6:$A$2405,"&lt;="&amp;$A184))</f>
        <v/>
      </c>
      <c r="L184" s="57" t="str">
        <f aca="false">IF($J184="","",IF($K184&lt;=BankCostEnvelope*'5. Scenarios'!$C$7,1,0))</f>
        <v/>
      </c>
      <c r="M184" s="57" t="str">
        <f aca="false">IF($I184="","",INDEX(BookRate,179)*(1+'5. Scenarios'!$C$10)*(INDEX(BookQ1,179)*(5-MIN(4,1+'5. Scenarios'!$C$8))/4+INDEX(BookQ2,179)*(5-MIN(4,2+'5. Scenarios'!$C$8))/4+INDEX(BookQ3,179)*(5-MIN(4,3+'5. Scenarios'!$C$8))/4+INDEX(BookQ4,179)*(5-MIN(4,4+'5. Scenarios'!$C$8))/4)*'5. Scenarios'!$C$6/(1+ProductivityDefault*('5. Scenarios'!$C$11-1))+INDEX(BookOneOff,179)*$I184)</f>
        <v/>
      </c>
      <c r="N184" s="56" t="str">
        <f aca="false">IF(INDEX(BookTitle,179)="","",INDEX(BookTotal,179)*'5. Scenarios'!$D$6/(1+ProductivityDefault*('5. Scenarios'!$D$11-1)))</f>
        <v/>
      </c>
      <c r="O184" s="57" t="str">
        <f aca="false">IF($N184="","",INDEX(BookRate,179)*(1+'5. Scenarios'!$D$10)*$N184)</f>
        <v/>
      </c>
      <c r="P184" s="57" t="str">
        <f aca="false">IF($O184="","",SUMIFS($O$6:$O$2405,$A$6:$A$2405,"&lt;="&amp;$A184))</f>
        <v/>
      </c>
      <c r="Q184" s="57" t="str">
        <f aca="false">IF($O184="","",IF($P184&lt;=BankCostEnvelope*'5. Scenarios'!$D$7,1,0))</f>
        <v/>
      </c>
      <c r="R184" s="57" t="str">
        <f aca="false">IF($N184="","",INDEX(BookRate,179)*(1+'5. Scenarios'!$D$10)*(INDEX(BookQ1,179)*(5-MIN(4,1+'5. Scenarios'!$D$8))/4+INDEX(BookQ2,179)*(5-MIN(4,2+'5. Scenarios'!$D$8))/4+INDEX(BookQ3,179)*(5-MIN(4,3+'5. Scenarios'!$D$8))/4+INDEX(BookQ4,179)*(5-MIN(4,4+'5. Scenarios'!$D$8))/4)*'5. Scenarios'!$D$6/(1+ProductivityDefault*('5. Scenarios'!$D$11-1))+INDEX(BookOneOff,179)*$N184)</f>
        <v/>
      </c>
      <c r="S184" s="56" t="str">
        <f aca="false">IF(INDEX(BookTitle,179)="","",INDEX(BookTotal,179)*'5. Scenarios'!$E$6/(1+ProductivityDefault*('5. Scenarios'!$E$11-1)))</f>
        <v/>
      </c>
      <c r="T184" s="57" t="str">
        <f aca="false">IF($S184="","",INDEX(BookRate,179)*(1+'5. Scenarios'!$E$10)*$S184)</f>
        <v/>
      </c>
      <c r="U184" s="57" t="str">
        <f aca="false">IF($T184="","",SUMIFS($T$6:$T$2405,$A$6:$A$2405,"&lt;="&amp;$A184))</f>
        <v/>
      </c>
      <c r="V184" s="57" t="str">
        <f aca="false">IF($T184="","",IF($U184&lt;=BankCostEnvelope*'5. Scenarios'!$E$7,1,0))</f>
        <v/>
      </c>
      <c r="W184" s="57" t="str">
        <f aca="false">IF($S184="","",INDEX(BookRate,179)*(1+'5. Scenarios'!$E$10)*(INDEX(BookQ1,179)*(5-MIN(4,1+'5. Scenarios'!$E$8))/4+INDEX(BookQ2,179)*(5-MIN(4,2+'5. Scenarios'!$E$8))/4+INDEX(BookQ3,179)*(5-MIN(4,3+'5. Scenarios'!$E$8))/4+INDEX(BookQ4,179)*(5-MIN(4,4+'5. Scenarios'!$E$8))/4)*'5. Scenarios'!$E$6/(1+ProductivityDefault*('5. Scenarios'!$E$11-1))+INDEX(BookOneOff,179)*$S184)</f>
        <v/>
      </c>
    </row>
    <row r="185" customFormat="false" ht="15" hidden="false" customHeight="false" outlineLevel="0" collapsed="false">
      <c r="A185" s="0" t="str">
        <f aca="false">IF(INDEX(BookTitle,180)="","",INDEX(BookKey,180))</f>
        <v/>
      </c>
      <c r="B185" s="0" t="str">
        <f aca="false">IF(INDEX(BookTitle,180)="","",INDEX(BookGroup,180))</f>
        <v/>
      </c>
      <c r="C185" s="0" t="str">
        <f aca="false">IF(INDEX(BookTitle,180)="","",INDEX(BookCategory,180))</f>
        <v/>
      </c>
      <c r="D185" s="56" t="str">
        <f aca="false">IF(INDEX(BookTitle,180)="","",INDEX(BookTotal,180)*'5. Scenarios'!$B$6/(1+ProductivityDefault*('5. Scenarios'!$B$11-1)))</f>
        <v/>
      </c>
      <c r="E185" s="57" t="str">
        <f aca="false">IF($D185="","",INDEX(BookRate,180)*(1+'5. Scenarios'!$B$10)*$D185)</f>
        <v/>
      </c>
      <c r="F185" s="57" t="str">
        <f aca="false">IF($E185="","",SUMIFS($E$6:$E$2405,$A$6:$A$2405,"&lt;="&amp;$A185))</f>
        <v/>
      </c>
      <c r="G185" s="57" t="str">
        <f aca="false">IF($E185="","",IF($F185&lt;=BankCostEnvelope*'5. Scenarios'!$B$7,1,0))</f>
        <v/>
      </c>
      <c r="H185" s="57" t="str">
        <f aca="false">IF($D185="","",INDEX(BookRate,180)*(1+'5. Scenarios'!$B$10)*(INDEX(BookQ1,180)*(5-MIN(4,1+'5. Scenarios'!$B$8))/4+INDEX(BookQ2,180)*(5-MIN(4,2+'5. Scenarios'!$B$8))/4+INDEX(BookQ3,180)*(5-MIN(4,3+'5. Scenarios'!$B$8))/4+INDEX(BookQ4,180)*(5-MIN(4,4+'5. Scenarios'!$B$8))/4)*'5. Scenarios'!$B$6/(1+ProductivityDefault*('5. Scenarios'!$B$11-1))+INDEX(BookOneOff,180)*$D185)</f>
        <v/>
      </c>
      <c r="I185" s="56" t="str">
        <f aca="false">IF(INDEX(BookTitle,180)="","",INDEX(BookTotal,180)*'5. Scenarios'!$C$6/(1+ProductivityDefault*('5. Scenarios'!$C$11-1)))</f>
        <v/>
      </c>
      <c r="J185" s="57" t="str">
        <f aca="false">IF($I185="","",INDEX(BookRate,180)*(1+'5. Scenarios'!$C$10)*$I185)</f>
        <v/>
      </c>
      <c r="K185" s="57" t="str">
        <f aca="false">IF($J185="","",SUMIFS($J$6:$J$2405,$A$6:$A$2405,"&lt;="&amp;$A185))</f>
        <v/>
      </c>
      <c r="L185" s="57" t="str">
        <f aca="false">IF($J185="","",IF($K185&lt;=BankCostEnvelope*'5. Scenarios'!$C$7,1,0))</f>
        <v/>
      </c>
      <c r="M185" s="57" t="str">
        <f aca="false">IF($I185="","",INDEX(BookRate,180)*(1+'5. Scenarios'!$C$10)*(INDEX(BookQ1,180)*(5-MIN(4,1+'5. Scenarios'!$C$8))/4+INDEX(BookQ2,180)*(5-MIN(4,2+'5. Scenarios'!$C$8))/4+INDEX(BookQ3,180)*(5-MIN(4,3+'5. Scenarios'!$C$8))/4+INDEX(BookQ4,180)*(5-MIN(4,4+'5. Scenarios'!$C$8))/4)*'5. Scenarios'!$C$6/(1+ProductivityDefault*('5. Scenarios'!$C$11-1))+INDEX(BookOneOff,180)*$I185)</f>
        <v/>
      </c>
      <c r="N185" s="56" t="str">
        <f aca="false">IF(INDEX(BookTitle,180)="","",INDEX(BookTotal,180)*'5. Scenarios'!$D$6/(1+ProductivityDefault*('5. Scenarios'!$D$11-1)))</f>
        <v/>
      </c>
      <c r="O185" s="57" t="str">
        <f aca="false">IF($N185="","",INDEX(BookRate,180)*(1+'5. Scenarios'!$D$10)*$N185)</f>
        <v/>
      </c>
      <c r="P185" s="57" t="str">
        <f aca="false">IF($O185="","",SUMIFS($O$6:$O$2405,$A$6:$A$2405,"&lt;="&amp;$A185))</f>
        <v/>
      </c>
      <c r="Q185" s="57" t="str">
        <f aca="false">IF($O185="","",IF($P185&lt;=BankCostEnvelope*'5. Scenarios'!$D$7,1,0))</f>
        <v/>
      </c>
      <c r="R185" s="57" t="str">
        <f aca="false">IF($N185="","",INDEX(BookRate,180)*(1+'5. Scenarios'!$D$10)*(INDEX(BookQ1,180)*(5-MIN(4,1+'5. Scenarios'!$D$8))/4+INDEX(BookQ2,180)*(5-MIN(4,2+'5. Scenarios'!$D$8))/4+INDEX(BookQ3,180)*(5-MIN(4,3+'5. Scenarios'!$D$8))/4+INDEX(BookQ4,180)*(5-MIN(4,4+'5. Scenarios'!$D$8))/4)*'5. Scenarios'!$D$6/(1+ProductivityDefault*('5. Scenarios'!$D$11-1))+INDEX(BookOneOff,180)*$N185)</f>
        <v/>
      </c>
      <c r="S185" s="56" t="str">
        <f aca="false">IF(INDEX(BookTitle,180)="","",INDEX(BookTotal,180)*'5. Scenarios'!$E$6/(1+ProductivityDefault*('5. Scenarios'!$E$11-1)))</f>
        <v/>
      </c>
      <c r="T185" s="57" t="str">
        <f aca="false">IF($S185="","",INDEX(BookRate,180)*(1+'5. Scenarios'!$E$10)*$S185)</f>
        <v/>
      </c>
      <c r="U185" s="57" t="str">
        <f aca="false">IF($T185="","",SUMIFS($T$6:$T$2405,$A$6:$A$2405,"&lt;="&amp;$A185))</f>
        <v/>
      </c>
      <c r="V185" s="57" t="str">
        <f aca="false">IF($T185="","",IF($U185&lt;=BankCostEnvelope*'5. Scenarios'!$E$7,1,0))</f>
        <v/>
      </c>
      <c r="W185" s="57" t="str">
        <f aca="false">IF($S185="","",INDEX(BookRate,180)*(1+'5. Scenarios'!$E$10)*(INDEX(BookQ1,180)*(5-MIN(4,1+'5. Scenarios'!$E$8))/4+INDEX(BookQ2,180)*(5-MIN(4,2+'5. Scenarios'!$E$8))/4+INDEX(BookQ3,180)*(5-MIN(4,3+'5. Scenarios'!$E$8))/4+INDEX(BookQ4,180)*(5-MIN(4,4+'5. Scenarios'!$E$8))/4)*'5. Scenarios'!$E$6/(1+ProductivityDefault*('5. Scenarios'!$E$11-1))+INDEX(BookOneOff,180)*$S185)</f>
        <v/>
      </c>
    </row>
    <row r="186" customFormat="false" ht="15" hidden="false" customHeight="false" outlineLevel="0" collapsed="false">
      <c r="A186" s="0" t="str">
        <f aca="false">IF(INDEX(BookTitle,181)="","",INDEX(BookKey,181))</f>
        <v/>
      </c>
      <c r="B186" s="0" t="str">
        <f aca="false">IF(INDEX(BookTitle,181)="","",INDEX(BookGroup,181))</f>
        <v/>
      </c>
      <c r="C186" s="0" t="str">
        <f aca="false">IF(INDEX(BookTitle,181)="","",INDEX(BookCategory,181))</f>
        <v/>
      </c>
      <c r="D186" s="56" t="str">
        <f aca="false">IF(INDEX(BookTitle,181)="","",INDEX(BookTotal,181)*'5. Scenarios'!$B$6/(1+ProductivityDefault*('5. Scenarios'!$B$11-1)))</f>
        <v/>
      </c>
      <c r="E186" s="57" t="str">
        <f aca="false">IF($D186="","",INDEX(BookRate,181)*(1+'5. Scenarios'!$B$10)*$D186)</f>
        <v/>
      </c>
      <c r="F186" s="57" t="str">
        <f aca="false">IF($E186="","",SUMIFS($E$6:$E$2405,$A$6:$A$2405,"&lt;="&amp;$A186))</f>
        <v/>
      </c>
      <c r="G186" s="57" t="str">
        <f aca="false">IF($E186="","",IF($F186&lt;=BankCostEnvelope*'5. Scenarios'!$B$7,1,0))</f>
        <v/>
      </c>
      <c r="H186" s="57" t="str">
        <f aca="false">IF($D186="","",INDEX(BookRate,181)*(1+'5. Scenarios'!$B$10)*(INDEX(BookQ1,181)*(5-MIN(4,1+'5. Scenarios'!$B$8))/4+INDEX(BookQ2,181)*(5-MIN(4,2+'5. Scenarios'!$B$8))/4+INDEX(BookQ3,181)*(5-MIN(4,3+'5. Scenarios'!$B$8))/4+INDEX(BookQ4,181)*(5-MIN(4,4+'5. Scenarios'!$B$8))/4)*'5. Scenarios'!$B$6/(1+ProductivityDefault*('5. Scenarios'!$B$11-1))+INDEX(BookOneOff,181)*$D186)</f>
        <v/>
      </c>
      <c r="I186" s="56" t="str">
        <f aca="false">IF(INDEX(BookTitle,181)="","",INDEX(BookTotal,181)*'5. Scenarios'!$C$6/(1+ProductivityDefault*('5. Scenarios'!$C$11-1)))</f>
        <v/>
      </c>
      <c r="J186" s="57" t="str">
        <f aca="false">IF($I186="","",INDEX(BookRate,181)*(1+'5. Scenarios'!$C$10)*$I186)</f>
        <v/>
      </c>
      <c r="K186" s="57" t="str">
        <f aca="false">IF($J186="","",SUMIFS($J$6:$J$2405,$A$6:$A$2405,"&lt;="&amp;$A186))</f>
        <v/>
      </c>
      <c r="L186" s="57" t="str">
        <f aca="false">IF($J186="","",IF($K186&lt;=BankCostEnvelope*'5. Scenarios'!$C$7,1,0))</f>
        <v/>
      </c>
      <c r="M186" s="57" t="str">
        <f aca="false">IF($I186="","",INDEX(BookRate,181)*(1+'5. Scenarios'!$C$10)*(INDEX(BookQ1,181)*(5-MIN(4,1+'5. Scenarios'!$C$8))/4+INDEX(BookQ2,181)*(5-MIN(4,2+'5. Scenarios'!$C$8))/4+INDEX(BookQ3,181)*(5-MIN(4,3+'5. Scenarios'!$C$8))/4+INDEX(BookQ4,181)*(5-MIN(4,4+'5. Scenarios'!$C$8))/4)*'5. Scenarios'!$C$6/(1+ProductivityDefault*('5. Scenarios'!$C$11-1))+INDEX(BookOneOff,181)*$I186)</f>
        <v/>
      </c>
      <c r="N186" s="56" t="str">
        <f aca="false">IF(INDEX(BookTitle,181)="","",INDEX(BookTotal,181)*'5. Scenarios'!$D$6/(1+ProductivityDefault*('5. Scenarios'!$D$11-1)))</f>
        <v/>
      </c>
      <c r="O186" s="57" t="str">
        <f aca="false">IF($N186="","",INDEX(BookRate,181)*(1+'5. Scenarios'!$D$10)*$N186)</f>
        <v/>
      </c>
      <c r="P186" s="57" t="str">
        <f aca="false">IF($O186="","",SUMIFS($O$6:$O$2405,$A$6:$A$2405,"&lt;="&amp;$A186))</f>
        <v/>
      </c>
      <c r="Q186" s="57" t="str">
        <f aca="false">IF($O186="","",IF($P186&lt;=BankCostEnvelope*'5. Scenarios'!$D$7,1,0))</f>
        <v/>
      </c>
      <c r="R186" s="57" t="str">
        <f aca="false">IF($N186="","",INDEX(BookRate,181)*(1+'5. Scenarios'!$D$10)*(INDEX(BookQ1,181)*(5-MIN(4,1+'5. Scenarios'!$D$8))/4+INDEX(BookQ2,181)*(5-MIN(4,2+'5. Scenarios'!$D$8))/4+INDEX(BookQ3,181)*(5-MIN(4,3+'5. Scenarios'!$D$8))/4+INDEX(BookQ4,181)*(5-MIN(4,4+'5. Scenarios'!$D$8))/4)*'5. Scenarios'!$D$6/(1+ProductivityDefault*('5. Scenarios'!$D$11-1))+INDEX(BookOneOff,181)*$N186)</f>
        <v/>
      </c>
      <c r="S186" s="56" t="str">
        <f aca="false">IF(INDEX(BookTitle,181)="","",INDEX(BookTotal,181)*'5. Scenarios'!$E$6/(1+ProductivityDefault*('5. Scenarios'!$E$11-1)))</f>
        <v/>
      </c>
      <c r="T186" s="57" t="str">
        <f aca="false">IF($S186="","",INDEX(BookRate,181)*(1+'5. Scenarios'!$E$10)*$S186)</f>
        <v/>
      </c>
      <c r="U186" s="57" t="str">
        <f aca="false">IF($T186="","",SUMIFS($T$6:$T$2405,$A$6:$A$2405,"&lt;="&amp;$A186))</f>
        <v/>
      </c>
      <c r="V186" s="57" t="str">
        <f aca="false">IF($T186="","",IF($U186&lt;=BankCostEnvelope*'5. Scenarios'!$E$7,1,0))</f>
        <v/>
      </c>
      <c r="W186" s="57" t="str">
        <f aca="false">IF($S186="","",INDEX(BookRate,181)*(1+'5. Scenarios'!$E$10)*(INDEX(BookQ1,181)*(5-MIN(4,1+'5. Scenarios'!$E$8))/4+INDEX(BookQ2,181)*(5-MIN(4,2+'5. Scenarios'!$E$8))/4+INDEX(BookQ3,181)*(5-MIN(4,3+'5. Scenarios'!$E$8))/4+INDEX(BookQ4,181)*(5-MIN(4,4+'5. Scenarios'!$E$8))/4)*'5. Scenarios'!$E$6/(1+ProductivityDefault*('5. Scenarios'!$E$11-1))+INDEX(BookOneOff,181)*$S186)</f>
        <v/>
      </c>
    </row>
    <row r="187" customFormat="false" ht="15" hidden="false" customHeight="false" outlineLevel="0" collapsed="false">
      <c r="A187" s="0" t="str">
        <f aca="false">IF(INDEX(BookTitle,182)="","",INDEX(BookKey,182))</f>
        <v/>
      </c>
      <c r="B187" s="0" t="str">
        <f aca="false">IF(INDEX(BookTitle,182)="","",INDEX(BookGroup,182))</f>
        <v/>
      </c>
      <c r="C187" s="0" t="str">
        <f aca="false">IF(INDEX(BookTitle,182)="","",INDEX(BookCategory,182))</f>
        <v/>
      </c>
      <c r="D187" s="56" t="str">
        <f aca="false">IF(INDEX(BookTitle,182)="","",INDEX(BookTotal,182)*'5. Scenarios'!$B$6/(1+ProductivityDefault*('5. Scenarios'!$B$11-1)))</f>
        <v/>
      </c>
      <c r="E187" s="57" t="str">
        <f aca="false">IF($D187="","",INDEX(BookRate,182)*(1+'5. Scenarios'!$B$10)*$D187)</f>
        <v/>
      </c>
      <c r="F187" s="57" t="str">
        <f aca="false">IF($E187="","",SUMIFS($E$6:$E$2405,$A$6:$A$2405,"&lt;="&amp;$A187))</f>
        <v/>
      </c>
      <c r="G187" s="57" t="str">
        <f aca="false">IF($E187="","",IF($F187&lt;=BankCostEnvelope*'5. Scenarios'!$B$7,1,0))</f>
        <v/>
      </c>
      <c r="H187" s="57" t="str">
        <f aca="false">IF($D187="","",INDEX(BookRate,182)*(1+'5. Scenarios'!$B$10)*(INDEX(BookQ1,182)*(5-MIN(4,1+'5. Scenarios'!$B$8))/4+INDEX(BookQ2,182)*(5-MIN(4,2+'5. Scenarios'!$B$8))/4+INDEX(BookQ3,182)*(5-MIN(4,3+'5. Scenarios'!$B$8))/4+INDEX(BookQ4,182)*(5-MIN(4,4+'5. Scenarios'!$B$8))/4)*'5. Scenarios'!$B$6/(1+ProductivityDefault*('5. Scenarios'!$B$11-1))+INDEX(BookOneOff,182)*$D187)</f>
        <v/>
      </c>
      <c r="I187" s="56" t="str">
        <f aca="false">IF(INDEX(BookTitle,182)="","",INDEX(BookTotal,182)*'5. Scenarios'!$C$6/(1+ProductivityDefault*('5. Scenarios'!$C$11-1)))</f>
        <v/>
      </c>
      <c r="J187" s="57" t="str">
        <f aca="false">IF($I187="","",INDEX(BookRate,182)*(1+'5. Scenarios'!$C$10)*$I187)</f>
        <v/>
      </c>
      <c r="K187" s="57" t="str">
        <f aca="false">IF($J187="","",SUMIFS($J$6:$J$2405,$A$6:$A$2405,"&lt;="&amp;$A187))</f>
        <v/>
      </c>
      <c r="L187" s="57" t="str">
        <f aca="false">IF($J187="","",IF($K187&lt;=BankCostEnvelope*'5. Scenarios'!$C$7,1,0))</f>
        <v/>
      </c>
      <c r="M187" s="57" t="str">
        <f aca="false">IF($I187="","",INDEX(BookRate,182)*(1+'5. Scenarios'!$C$10)*(INDEX(BookQ1,182)*(5-MIN(4,1+'5. Scenarios'!$C$8))/4+INDEX(BookQ2,182)*(5-MIN(4,2+'5. Scenarios'!$C$8))/4+INDEX(BookQ3,182)*(5-MIN(4,3+'5. Scenarios'!$C$8))/4+INDEX(BookQ4,182)*(5-MIN(4,4+'5. Scenarios'!$C$8))/4)*'5. Scenarios'!$C$6/(1+ProductivityDefault*('5. Scenarios'!$C$11-1))+INDEX(BookOneOff,182)*$I187)</f>
        <v/>
      </c>
      <c r="N187" s="56" t="str">
        <f aca="false">IF(INDEX(BookTitle,182)="","",INDEX(BookTotal,182)*'5. Scenarios'!$D$6/(1+ProductivityDefault*('5. Scenarios'!$D$11-1)))</f>
        <v/>
      </c>
      <c r="O187" s="57" t="str">
        <f aca="false">IF($N187="","",INDEX(BookRate,182)*(1+'5. Scenarios'!$D$10)*$N187)</f>
        <v/>
      </c>
      <c r="P187" s="57" t="str">
        <f aca="false">IF($O187="","",SUMIFS($O$6:$O$2405,$A$6:$A$2405,"&lt;="&amp;$A187))</f>
        <v/>
      </c>
      <c r="Q187" s="57" t="str">
        <f aca="false">IF($O187="","",IF($P187&lt;=BankCostEnvelope*'5. Scenarios'!$D$7,1,0))</f>
        <v/>
      </c>
      <c r="R187" s="57" t="str">
        <f aca="false">IF($N187="","",INDEX(BookRate,182)*(1+'5. Scenarios'!$D$10)*(INDEX(BookQ1,182)*(5-MIN(4,1+'5. Scenarios'!$D$8))/4+INDEX(BookQ2,182)*(5-MIN(4,2+'5. Scenarios'!$D$8))/4+INDEX(BookQ3,182)*(5-MIN(4,3+'5. Scenarios'!$D$8))/4+INDEX(BookQ4,182)*(5-MIN(4,4+'5. Scenarios'!$D$8))/4)*'5. Scenarios'!$D$6/(1+ProductivityDefault*('5. Scenarios'!$D$11-1))+INDEX(BookOneOff,182)*$N187)</f>
        <v/>
      </c>
      <c r="S187" s="56" t="str">
        <f aca="false">IF(INDEX(BookTitle,182)="","",INDEX(BookTotal,182)*'5. Scenarios'!$E$6/(1+ProductivityDefault*('5. Scenarios'!$E$11-1)))</f>
        <v/>
      </c>
      <c r="T187" s="57" t="str">
        <f aca="false">IF($S187="","",INDEX(BookRate,182)*(1+'5. Scenarios'!$E$10)*$S187)</f>
        <v/>
      </c>
      <c r="U187" s="57" t="str">
        <f aca="false">IF($T187="","",SUMIFS($T$6:$T$2405,$A$6:$A$2405,"&lt;="&amp;$A187))</f>
        <v/>
      </c>
      <c r="V187" s="57" t="str">
        <f aca="false">IF($T187="","",IF($U187&lt;=BankCostEnvelope*'5. Scenarios'!$E$7,1,0))</f>
        <v/>
      </c>
      <c r="W187" s="57" t="str">
        <f aca="false">IF($S187="","",INDEX(BookRate,182)*(1+'5. Scenarios'!$E$10)*(INDEX(BookQ1,182)*(5-MIN(4,1+'5. Scenarios'!$E$8))/4+INDEX(BookQ2,182)*(5-MIN(4,2+'5. Scenarios'!$E$8))/4+INDEX(BookQ3,182)*(5-MIN(4,3+'5. Scenarios'!$E$8))/4+INDEX(BookQ4,182)*(5-MIN(4,4+'5. Scenarios'!$E$8))/4)*'5. Scenarios'!$E$6/(1+ProductivityDefault*('5. Scenarios'!$E$11-1))+INDEX(BookOneOff,182)*$S187)</f>
        <v/>
      </c>
    </row>
    <row r="188" customFormat="false" ht="15" hidden="false" customHeight="false" outlineLevel="0" collapsed="false">
      <c r="A188" s="0" t="str">
        <f aca="false">IF(INDEX(BookTitle,183)="","",INDEX(BookKey,183))</f>
        <v/>
      </c>
      <c r="B188" s="0" t="str">
        <f aca="false">IF(INDEX(BookTitle,183)="","",INDEX(BookGroup,183))</f>
        <v/>
      </c>
      <c r="C188" s="0" t="str">
        <f aca="false">IF(INDEX(BookTitle,183)="","",INDEX(BookCategory,183))</f>
        <v/>
      </c>
      <c r="D188" s="56" t="str">
        <f aca="false">IF(INDEX(BookTitle,183)="","",INDEX(BookTotal,183)*'5. Scenarios'!$B$6/(1+ProductivityDefault*('5. Scenarios'!$B$11-1)))</f>
        <v/>
      </c>
      <c r="E188" s="57" t="str">
        <f aca="false">IF($D188="","",INDEX(BookRate,183)*(1+'5. Scenarios'!$B$10)*$D188)</f>
        <v/>
      </c>
      <c r="F188" s="57" t="str">
        <f aca="false">IF($E188="","",SUMIFS($E$6:$E$2405,$A$6:$A$2405,"&lt;="&amp;$A188))</f>
        <v/>
      </c>
      <c r="G188" s="57" t="str">
        <f aca="false">IF($E188="","",IF($F188&lt;=BankCostEnvelope*'5. Scenarios'!$B$7,1,0))</f>
        <v/>
      </c>
      <c r="H188" s="57" t="str">
        <f aca="false">IF($D188="","",INDEX(BookRate,183)*(1+'5. Scenarios'!$B$10)*(INDEX(BookQ1,183)*(5-MIN(4,1+'5. Scenarios'!$B$8))/4+INDEX(BookQ2,183)*(5-MIN(4,2+'5. Scenarios'!$B$8))/4+INDEX(BookQ3,183)*(5-MIN(4,3+'5. Scenarios'!$B$8))/4+INDEX(BookQ4,183)*(5-MIN(4,4+'5. Scenarios'!$B$8))/4)*'5. Scenarios'!$B$6/(1+ProductivityDefault*('5. Scenarios'!$B$11-1))+INDEX(BookOneOff,183)*$D188)</f>
        <v/>
      </c>
      <c r="I188" s="56" t="str">
        <f aca="false">IF(INDEX(BookTitle,183)="","",INDEX(BookTotal,183)*'5. Scenarios'!$C$6/(1+ProductivityDefault*('5. Scenarios'!$C$11-1)))</f>
        <v/>
      </c>
      <c r="J188" s="57" t="str">
        <f aca="false">IF($I188="","",INDEX(BookRate,183)*(1+'5. Scenarios'!$C$10)*$I188)</f>
        <v/>
      </c>
      <c r="K188" s="57" t="str">
        <f aca="false">IF($J188="","",SUMIFS($J$6:$J$2405,$A$6:$A$2405,"&lt;="&amp;$A188))</f>
        <v/>
      </c>
      <c r="L188" s="57" t="str">
        <f aca="false">IF($J188="","",IF($K188&lt;=BankCostEnvelope*'5. Scenarios'!$C$7,1,0))</f>
        <v/>
      </c>
      <c r="M188" s="57" t="str">
        <f aca="false">IF($I188="","",INDEX(BookRate,183)*(1+'5. Scenarios'!$C$10)*(INDEX(BookQ1,183)*(5-MIN(4,1+'5. Scenarios'!$C$8))/4+INDEX(BookQ2,183)*(5-MIN(4,2+'5. Scenarios'!$C$8))/4+INDEX(BookQ3,183)*(5-MIN(4,3+'5. Scenarios'!$C$8))/4+INDEX(BookQ4,183)*(5-MIN(4,4+'5. Scenarios'!$C$8))/4)*'5. Scenarios'!$C$6/(1+ProductivityDefault*('5. Scenarios'!$C$11-1))+INDEX(BookOneOff,183)*$I188)</f>
        <v/>
      </c>
      <c r="N188" s="56" t="str">
        <f aca="false">IF(INDEX(BookTitle,183)="","",INDEX(BookTotal,183)*'5. Scenarios'!$D$6/(1+ProductivityDefault*('5. Scenarios'!$D$11-1)))</f>
        <v/>
      </c>
      <c r="O188" s="57" t="str">
        <f aca="false">IF($N188="","",INDEX(BookRate,183)*(1+'5. Scenarios'!$D$10)*$N188)</f>
        <v/>
      </c>
      <c r="P188" s="57" t="str">
        <f aca="false">IF($O188="","",SUMIFS($O$6:$O$2405,$A$6:$A$2405,"&lt;="&amp;$A188))</f>
        <v/>
      </c>
      <c r="Q188" s="57" t="str">
        <f aca="false">IF($O188="","",IF($P188&lt;=BankCostEnvelope*'5. Scenarios'!$D$7,1,0))</f>
        <v/>
      </c>
      <c r="R188" s="57" t="str">
        <f aca="false">IF($N188="","",INDEX(BookRate,183)*(1+'5. Scenarios'!$D$10)*(INDEX(BookQ1,183)*(5-MIN(4,1+'5. Scenarios'!$D$8))/4+INDEX(BookQ2,183)*(5-MIN(4,2+'5. Scenarios'!$D$8))/4+INDEX(BookQ3,183)*(5-MIN(4,3+'5. Scenarios'!$D$8))/4+INDEX(BookQ4,183)*(5-MIN(4,4+'5. Scenarios'!$D$8))/4)*'5. Scenarios'!$D$6/(1+ProductivityDefault*('5. Scenarios'!$D$11-1))+INDEX(BookOneOff,183)*$N188)</f>
        <v/>
      </c>
      <c r="S188" s="56" t="str">
        <f aca="false">IF(INDEX(BookTitle,183)="","",INDEX(BookTotal,183)*'5. Scenarios'!$E$6/(1+ProductivityDefault*('5. Scenarios'!$E$11-1)))</f>
        <v/>
      </c>
      <c r="T188" s="57" t="str">
        <f aca="false">IF($S188="","",INDEX(BookRate,183)*(1+'5. Scenarios'!$E$10)*$S188)</f>
        <v/>
      </c>
      <c r="U188" s="57" t="str">
        <f aca="false">IF($T188="","",SUMIFS($T$6:$T$2405,$A$6:$A$2405,"&lt;="&amp;$A188))</f>
        <v/>
      </c>
      <c r="V188" s="57" t="str">
        <f aca="false">IF($T188="","",IF($U188&lt;=BankCostEnvelope*'5. Scenarios'!$E$7,1,0))</f>
        <v/>
      </c>
      <c r="W188" s="57" t="str">
        <f aca="false">IF($S188="","",INDEX(BookRate,183)*(1+'5. Scenarios'!$E$10)*(INDEX(BookQ1,183)*(5-MIN(4,1+'5. Scenarios'!$E$8))/4+INDEX(BookQ2,183)*(5-MIN(4,2+'5. Scenarios'!$E$8))/4+INDEX(BookQ3,183)*(5-MIN(4,3+'5. Scenarios'!$E$8))/4+INDEX(BookQ4,183)*(5-MIN(4,4+'5. Scenarios'!$E$8))/4)*'5. Scenarios'!$E$6/(1+ProductivityDefault*('5. Scenarios'!$E$11-1))+INDEX(BookOneOff,183)*$S188)</f>
        <v/>
      </c>
    </row>
    <row r="189" customFormat="false" ht="15" hidden="false" customHeight="false" outlineLevel="0" collapsed="false">
      <c r="A189" s="0" t="str">
        <f aca="false">IF(INDEX(BookTitle,184)="","",INDEX(BookKey,184))</f>
        <v/>
      </c>
      <c r="B189" s="0" t="str">
        <f aca="false">IF(INDEX(BookTitle,184)="","",INDEX(BookGroup,184))</f>
        <v/>
      </c>
      <c r="C189" s="0" t="str">
        <f aca="false">IF(INDEX(BookTitle,184)="","",INDEX(BookCategory,184))</f>
        <v/>
      </c>
      <c r="D189" s="56" t="str">
        <f aca="false">IF(INDEX(BookTitle,184)="","",INDEX(BookTotal,184)*'5. Scenarios'!$B$6/(1+ProductivityDefault*('5. Scenarios'!$B$11-1)))</f>
        <v/>
      </c>
      <c r="E189" s="57" t="str">
        <f aca="false">IF($D189="","",INDEX(BookRate,184)*(1+'5. Scenarios'!$B$10)*$D189)</f>
        <v/>
      </c>
      <c r="F189" s="57" t="str">
        <f aca="false">IF($E189="","",SUMIFS($E$6:$E$2405,$A$6:$A$2405,"&lt;="&amp;$A189))</f>
        <v/>
      </c>
      <c r="G189" s="57" t="str">
        <f aca="false">IF($E189="","",IF($F189&lt;=BankCostEnvelope*'5. Scenarios'!$B$7,1,0))</f>
        <v/>
      </c>
      <c r="H189" s="57" t="str">
        <f aca="false">IF($D189="","",INDEX(BookRate,184)*(1+'5. Scenarios'!$B$10)*(INDEX(BookQ1,184)*(5-MIN(4,1+'5. Scenarios'!$B$8))/4+INDEX(BookQ2,184)*(5-MIN(4,2+'5. Scenarios'!$B$8))/4+INDEX(BookQ3,184)*(5-MIN(4,3+'5. Scenarios'!$B$8))/4+INDEX(BookQ4,184)*(5-MIN(4,4+'5. Scenarios'!$B$8))/4)*'5. Scenarios'!$B$6/(1+ProductivityDefault*('5. Scenarios'!$B$11-1))+INDEX(BookOneOff,184)*$D189)</f>
        <v/>
      </c>
      <c r="I189" s="56" t="str">
        <f aca="false">IF(INDEX(BookTitle,184)="","",INDEX(BookTotal,184)*'5. Scenarios'!$C$6/(1+ProductivityDefault*('5. Scenarios'!$C$11-1)))</f>
        <v/>
      </c>
      <c r="J189" s="57" t="str">
        <f aca="false">IF($I189="","",INDEX(BookRate,184)*(1+'5. Scenarios'!$C$10)*$I189)</f>
        <v/>
      </c>
      <c r="K189" s="57" t="str">
        <f aca="false">IF($J189="","",SUMIFS($J$6:$J$2405,$A$6:$A$2405,"&lt;="&amp;$A189))</f>
        <v/>
      </c>
      <c r="L189" s="57" t="str">
        <f aca="false">IF($J189="","",IF($K189&lt;=BankCostEnvelope*'5. Scenarios'!$C$7,1,0))</f>
        <v/>
      </c>
      <c r="M189" s="57" t="str">
        <f aca="false">IF($I189="","",INDEX(BookRate,184)*(1+'5. Scenarios'!$C$10)*(INDEX(BookQ1,184)*(5-MIN(4,1+'5. Scenarios'!$C$8))/4+INDEX(BookQ2,184)*(5-MIN(4,2+'5. Scenarios'!$C$8))/4+INDEX(BookQ3,184)*(5-MIN(4,3+'5. Scenarios'!$C$8))/4+INDEX(BookQ4,184)*(5-MIN(4,4+'5. Scenarios'!$C$8))/4)*'5. Scenarios'!$C$6/(1+ProductivityDefault*('5. Scenarios'!$C$11-1))+INDEX(BookOneOff,184)*$I189)</f>
        <v/>
      </c>
      <c r="N189" s="56" t="str">
        <f aca="false">IF(INDEX(BookTitle,184)="","",INDEX(BookTotal,184)*'5. Scenarios'!$D$6/(1+ProductivityDefault*('5. Scenarios'!$D$11-1)))</f>
        <v/>
      </c>
      <c r="O189" s="57" t="str">
        <f aca="false">IF($N189="","",INDEX(BookRate,184)*(1+'5. Scenarios'!$D$10)*$N189)</f>
        <v/>
      </c>
      <c r="P189" s="57" t="str">
        <f aca="false">IF($O189="","",SUMIFS($O$6:$O$2405,$A$6:$A$2405,"&lt;="&amp;$A189))</f>
        <v/>
      </c>
      <c r="Q189" s="57" t="str">
        <f aca="false">IF($O189="","",IF($P189&lt;=BankCostEnvelope*'5. Scenarios'!$D$7,1,0))</f>
        <v/>
      </c>
      <c r="R189" s="57" t="str">
        <f aca="false">IF($N189="","",INDEX(BookRate,184)*(1+'5. Scenarios'!$D$10)*(INDEX(BookQ1,184)*(5-MIN(4,1+'5. Scenarios'!$D$8))/4+INDEX(BookQ2,184)*(5-MIN(4,2+'5. Scenarios'!$D$8))/4+INDEX(BookQ3,184)*(5-MIN(4,3+'5. Scenarios'!$D$8))/4+INDEX(BookQ4,184)*(5-MIN(4,4+'5. Scenarios'!$D$8))/4)*'5. Scenarios'!$D$6/(1+ProductivityDefault*('5. Scenarios'!$D$11-1))+INDEX(BookOneOff,184)*$N189)</f>
        <v/>
      </c>
      <c r="S189" s="56" t="str">
        <f aca="false">IF(INDEX(BookTitle,184)="","",INDEX(BookTotal,184)*'5. Scenarios'!$E$6/(1+ProductivityDefault*('5. Scenarios'!$E$11-1)))</f>
        <v/>
      </c>
      <c r="T189" s="57" t="str">
        <f aca="false">IF($S189="","",INDEX(BookRate,184)*(1+'5. Scenarios'!$E$10)*$S189)</f>
        <v/>
      </c>
      <c r="U189" s="57" t="str">
        <f aca="false">IF($T189="","",SUMIFS($T$6:$T$2405,$A$6:$A$2405,"&lt;="&amp;$A189))</f>
        <v/>
      </c>
      <c r="V189" s="57" t="str">
        <f aca="false">IF($T189="","",IF($U189&lt;=BankCostEnvelope*'5. Scenarios'!$E$7,1,0))</f>
        <v/>
      </c>
      <c r="W189" s="57" t="str">
        <f aca="false">IF($S189="","",INDEX(BookRate,184)*(1+'5. Scenarios'!$E$10)*(INDEX(BookQ1,184)*(5-MIN(4,1+'5. Scenarios'!$E$8))/4+INDEX(BookQ2,184)*(5-MIN(4,2+'5. Scenarios'!$E$8))/4+INDEX(BookQ3,184)*(5-MIN(4,3+'5. Scenarios'!$E$8))/4+INDEX(BookQ4,184)*(5-MIN(4,4+'5. Scenarios'!$E$8))/4)*'5. Scenarios'!$E$6/(1+ProductivityDefault*('5. Scenarios'!$E$11-1))+INDEX(BookOneOff,184)*$S189)</f>
        <v/>
      </c>
    </row>
    <row r="190" customFormat="false" ht="15" hidden="false" customHeight="false" outlineLevel="0" collapsed="false">
      <c r="A190" s="0" t="str">
        <f aca="false">IF(INDEX(BookTitle,185)="","",INDEX(BookKey,185))</f>
        <v/>
      </c>
      <c r="B190" s="0" t="str">
        <f aca="false">IF(INDEX(BookTitle,185)="","",INDEX(BookGroup,185))</f>
        <v/>
      </c>
      <c r="C190" s="0" t="str">
        <f aca="false">IF(INDEX(BookTitle,185)="","",INDEX(BookCategory,185))</f>
        <v/>
      </c>
      <c r="D190" s="56" t="str">
        <f aca="false">IF(INDEX(BookTitle,185)="","",INDEX(BookTotal,185)*'5. Scenarios'!$B$6/(1+ProductivityDefault*('5. Scenarios'!$B$11-1)))</f>
        <v/>
      </c>
      <c r="E190" s="57" t="str">
        <f aca="false">IF($D190="","",INDEX(BookRate,185)*(1+'5. Scenarios'!$B$10)*$D190)</f>
        <v/>
      </c>
      <c r="F190" s="57" t="str">
        <f aca="false">IF($E190="","",SUMIFS($E$6:$E$2405,$A$6:$A$2405,"&lt;="&amp;$A190))</f>
        <v/>
      </c>
      <c r="G190" s="57" t="str">
        <f aca="false">IF($E190="","",IF($F190&lt;=BankCostEnvelope*'5. Scenarios'!$B$7,1,0))</f>
        <v/>
      </c>
      <c r="H190" s="57" t="str">
        <f aca="false">IF($D190="","",INDEX(BookRate,185)*(1+'5. Scenarios'!$B$10)*(INDEX(BookQ1,185)*(5-MIN(4,1+'5. Scenarios'!$B$8))/4+INDEX(BookQ2,185)*(5-MIN(4,2+'5. Scenarios'!$B$8))/4+INDEX(BookQ3,185)*(5-MIN(4,3+'5. Scenarios'!$B$8))/4+INDEX(BookQ4,185)*(5-MIN(4,4+'5. Scenarios'!$B$8))/4)*'5. Scenarios'!$B$6/(1+ProductivityDefault*('5. Scenarios'!$B$11-1))+INDEX(BookOneOff,185)*$D190)</f>
        <v/>
      </c>
      <c r="I190" s="56" t="str">
        <f aca="false">IF(INDEX(BookTitle,185)="","",INDEX(BookTotal,185)*'5. Scenarios'!$C$6/(1+ProductivityDefault*('5. Scenarios'!$C$11-1)))</f>
        <v/>
      </c>
      <c r="J190" s="57" t="str">
        <f aca="false">IF($I190="","",INDEX(BookRate,185)*(1+'5. Scenarios'!$C$10)*$I190)</f>
        <v/>
      </c>
      <c r="K190" s="57" t="str">
        <f aca="false">IF($J190="","",SUMIFS($J$6:$J$2405,$A$6:$A$2405,"&lt;="&amp;$A190))</f>
        <v/>
      </c>
      <c r="L190" s="57" t="str">
        <f aca="false">IF($J190="","",IF($K190&lt;=BankCostEnvelope*'5. Scenarios'!$C$7,1,0))</f>
        <v/>
      </c>
      <c r="M190" s="57" t="str">
        <f aca="false">IF($I190="","",INDEX(BookRate,185)*(1+'5. Scenarios'!$C$10)*(INDEX(BookQ1,185)*(5-MIN(4,1+'5. Scenarios'!$C$8))/4+INDEX(BookQ2,185)*(5-MIN(4,2+'5. Scenarios'!$C$8))/4+INDEX(BookQ3,185)*(5-MIN(4,3+'5. Scenarios'!$C$8))/4+INDEX(BookQ4,185)*(5-MIN(4,4+'5. Scenarios'!$C$8))/4)*'5. Scenarios'!$C$6/(1+ProductivityDefault*('5. Scenarios'!$C$11-1))+INDEX(BookOneOff,185)*$I190)</f>
        <v/>
      </c>
      <c r="N190" s="56" t="str">
        <f aca="false">IF(INDEX(BookTitle,185)="","",INDEX(BookTotal,185)*'5. Scenarios'!$D$6/(1+ProductivityDefault*('5. Scenarios'!$D$11-1)))</f>
        <v/>
      </c>
      <c r="O190" s="57" t="str">
        <f aca="false">IF($N190="","",INDEX(BookRate,185)*(1+'5. Scenarios'!$D$10)*$N190)</f>
        <v/>
      </c>
      <c r="P190" s="57" t="str">
        <f aca="false">IF($O190="","",SUMIFS($O$6:$O$2405,$A$6:$A$2405,"&lt;="&amp;$A190))</f>
        <v/>
      </c>
      <c r="Q190" s="57" t="str">
        <f aca="false">IF($O190="","",IF($P190&lt;=BankCostEnvelope*'5. Scenarios'!$D$7,1,0))</f>
        <v/>
      </c>
      <c r="R190" s="57" t="str">
        <f aca="false">IF($N190="","",INDEX(BookRate,185)*(1+'5. Scenarios'!$D$10)*(INDEX(BookQ1,185)*(5-MIN(4,1+'5. Scenarios'!$D$8))/4+INDEX(BookQ2,185)*(5-MIN(4,2+'5. Scenarios'!$D$8))/4+INDEX(BookQ3,185)*(5-MIN(4,3+'5. Scenarios'!$D$8))/4+INDEX(BookQ4,185)*(5-MIN(4,4+'5. Scenarios'!$D$8))/4)*'5. Scenarios'!$D$6/(1+ProductivityDefault*('5. Scenarios'!$D$11-1))+INDEX(BookOneOff,185)*$N190)</f>
        <v/>
      </c>
      <c r="S190" s="56" t="str">
        <f aca="false">IF(INDEX(BookTitle,185)="","",INDEX(BookTotal,185)*'5. Scenarios'!$E$6/(1+ProductivityDefault*('5. Scenarios'!$E$11-1)))</f>
        <v/>
      </c>
      <c r="T190" s="57" t="str">
        <f aca="false">IF($S190="","",INDEX(BookRate,185)*(1+'5. Scenarios'!$E$10)*$S190)</f>
        <v/>
      </c>
      <c r="U190" s="57" t="str">
        <f aca="false">IF($T190="","",SUMIFS($T$6:$T$2405,$A$6:$A$2405,"&lt;="&amp;$A190))</f>
        <v/>
      </c>
      <c r="V190" s="57" t="str">
        <f aca="false">IF($T190="","",IF($U190&lt;=BankCostEnvelope*'5. Scenarios'!$E$7,1,0))</f>
        <v/>
      </c>
      <c r="W190" s="57" t="str">
        <f aca="false">IF($S190="","",INDEX(BookRate,185)*(1+'5. Scenarios'!$E$10)*(INDEX(BookQ1,185)*(5-MIN(4,1+'5. Scenarios'!$E$8))/4+INDEX(BookQ2,185)*(5-MIN(4,2+'5. Scenarios'!$E$8))/4+INDEX(BookQ3,185)*(5-MIN(4,3+'5. Scenarios'!$E$8))/4+INDEX(BookQ4,185)*(5-MIN(4,4+'5. Scenarios'!$E$8))/4)*'5. Scenarios'!$E$6/(1+ProductivityDefault*('5. Scenarios'!$E$11-1))+INDEX(BookOneOff,185)*$S190)</f>
        <v/>
      </c>
    </row>
    <row r="191" customFormat="false" ht="15" hidden="false" customHeight="false" outlineLevel="0" collapsed="false">
      <c r="A191" s="0" t="str">
        <f aca="false">IF(INDEX(BookTitle,186)="","",INDEX(BookKey,186))</f>
        <v/>
      </c>
      <c r="B191" s="0" t="str">
        <f aca="false">IF(INDEX(BookTitle,186)="","",INDEX(BookGroup,186))</f>
        <v/>
      </c>
      <c r="C191" s="0" t="str">
        <f aca="false">IF(INDEX(BookTitle,186)="","",INDEX(BookCategory,186))</f>
        <v/>
      </c>
      <c r="D191" s="56" t="str">
        <f aca="false">IF(INDEX(BookTitle,186)="","",INDEX(BookTotal,186)*'5. Scenarios'!$B$6/(1+ProductivityDefault*('5. Scenarios'!$B$11-1)))</f>
        <v/>
      </c>
      <c r="E191" s="57" t="str">
        <f aca="false">IF($D191="","",INDEX(BookRate,186)*(1+'5. Scenarios'!$B$10)*$D191)</f>
        <v/>
      </c>
      <c r="F191" s="57" t="str">
        <f aca="false">IF($E191="","",SUMIFS($E$6:$E$2405,$A$6:$A$2405,"&lt;="&amp;$A191))</f>
        <v/>
      </c>
      <c r="G191" s="57" t="str">
        <f aca="false">IF($E191="","",IF($F191&lt;=BankCostEnvelope*'5. Scenarios'!$B$7,1,0))</f>
        <v/>
      </c>
      <c r="H191" s="57" t="str">
        <f aca="false">IF($D191="","",INDEX(BookRate,186)*(1+'5. Scenarios'!$B$10)*(INDEX(BookQ1,186)*(5-MIN(4,1+'5. Scenarios'!$B$8))/4+INDEX(BookQ2,186)*(5-MIN(4,2+'5. Scenarios'!$B$8))/4+INDEX(BookQ3,186)*(5-MIN(4,3+'5. Scenarios'!$B$8))/4+INDEX(BookQ4,186)*(5-MIN(4,4+'5. Scenarios'!$B$8))/4)*'5. Scenarios'!$B$6/(1+ProductivityDefault*('5. Scenarios'!$B$11-1))+INDEX(BookOneOff,186)*$D191)</f>
        <v/>
      </c>
      <c r="I191" s="56" t="str">
        <f aca="false">IF(INDEX(BookTitle,186)="","",INDEX(BookTotal,186)*'5. Scenarios'!$C$6/(1+ProductivityDefault*('5. Scenarios'!$C$11-1)))</f>
        <v/>
      </c>
      <c r="J191" s="57" t="str">
        <f aca="false">IF($I191="","",INDEX(BookRate,186)*(1+'5. Scenarios'!$C$10)*$I191)</f>
        <v/>
      </c>
      <c r="K191" s="57" t="str">
        <f aca="false">IF($J191="","",SUMIFS($J$6:$J$2405,$A$6:$A$2405,"&lt;="&amp;$A191))</f>
        <v/>
      </c>
      <c r="L191" s="57" t="str">
        <f aca="false">IF($J191="","",IF($K191&lt;=BankCostEnvelope*'5. Scenarios'!$C$7,1,0))</f>
        <v/>
      </c>
      <c r="M191" s="57" t="str">
        <f aca="false">IF($I191="","",INDEX(BookRate,186)*(1+'5. Scenarios'!$C$10)*(INDEX(BookQ1,186)*(5-MIN(4,1+'5. Scenarios'!$C$8))/4+INDEX(BookQ2,186)*(5-MIN(4,2+'5. Scenarios'!$C$8))/4+INDEX(BookQ3,186)*(5-MIN(4,3+'5. Scenarios'!$C$8))/4+INDEX(BookQ4,186)*(5-MIN(4,4+'5. Scenarios'!$C$8))/4)*'5. Scenarios'!$C$6/(1+ProductivityDefault*('5. Scenarios'!$C$11-1))+INDEX(BookOneOff,186)*$I191)</f>
        <v/>
      </c>
      <c r="N191" s="56" t="str">
        <f aca="false">IF(INDEX(BookTitle,186)="","",INDEX(BookTotal,186)*'5. Scenarios'!$D$6/(1+ProductivityDefault*('5. Scenarios'!$D$11-1)))</f>
        <v/>
      </c>
      <c r="O191" s="57" t="str">
        <f aca="false">IF($N191="","",INDEX(BookRate,186)*(1+'5. Scenarios'!$D$10)*$N191)</f>
        <v/>
      </c>
      <c r="P191" s="57" t="str">
        <f aca="false">IF($O191="","",SUMIFS($O$6:$O$2405,$A$6:$A$2405,"&lt;="&amp;$A191))</f>
        <v/>
      </c>
      <c r="Q191" s="57" t="str">
        <f aca="false">IF($O191="","",IF($P191&lt;=BankCostEnvelope*'5. Scenarios'!$D$7,1,0))</f>
        <v/>
      </c>
      <c r="R191" s="57" t="str">
        <f aca="false">IF($N191="","",INDEX(BookRate,186)*(1+'5. Scenarios'!$D$10)*(INDEX(BookQ1,186)*(5-MIN(4,1+'5. Scenarios'!$D$8))/4+INDEX(BookQ2,186)*(5-MIN(4,2+'5. Scenarios'!$D$8))/4+INDEX(BookQ3,186)*(5-MIN(4,3+'5. Scenarios'!$D$8))/4+INDEX(BookQ4,186)*(5-MIN(4,4+'5. Scenarios'!$D$8))/4)*'5. Scenarios'!$D$6/(1+ProductivityDefault*('5. Scenarios'!$D$11-1))+INDEX(BookOneOff,186)*$N191)</f>
        <v/>
      </c>
      <c r="S191" s="56" t="str">
        <f aca="false">IF(INDEX(BookTitle,186)="","",INDEX(BookTotal,186)*'5. Scenarios'!$E$6/(1+ProductivityDefault*('5. Scenarios'!$E$11-1)))</f>
        <v/>
      </c>
      <c r="T191" s="57" t="str">
        <f aca="false">IF($S191="","",INDEX(BookRate,186)*(1+'5. Scenarios'!$E$10)*$S191)</f>
        <v/>
      </c>
      <c r="U191" s="57" t="str">
        <f aca="false">IF($T191="","",SUMIFS($T$6:$T$2405,$A$6:$A$2405,"&lt;="&amp;$A191))</f>
        <v/>
      </c>
      <c r="V191" s="57" t="str">
        <f aca="false">IF($T191="","",IF($U191&lt;=BankCostEnvelope*'5. Scenarios'!$E$7,1,0))</f>
        <v/>
      </c>
      <c r="W191" s="57" t="str">
        <f aca="false">IF($S191="","",INDEX(BookRate,186)*(1+'5. Scenarios'!$E$10)*(INDEX(BookQ1,186)*(5-MIN(4,1+'5. Scenarios'!$E$8))/4+INDEX(BookQ2,186)*(5-MIN(4,2+'5. Scenarios'!$E$8))/4+INDEX(BookQ3,186)*(5-MIN(4,3+'5. Scenarios'!$E$8))/4+INDEX(BookQ4,186)*(5-MIN(4,4+'5. Scenarios'!$E$8))/4)*'5. Scenarios'!$E$6/(1+ProductivityDefault*('5. Scenarios'!$E$11-1))+INDEX(BookOneOff,186)*$S191)</f>
        <v/>
      </c>
    </row>
    <row r="192" customFormat="false" ht="15" hidden="false" customHeight="false" outlineLevel="0" collapsed="false">
      <c r="A192" s="0" t="str">
        <f aca="false">IF(INDEX(BookTitle,187)="","",INDEX(BookKey,187))</f>
        <v/>
      </c>
      <c r="B192" s="0" t="str">
        <f aca="false">IF(INDEX(BookTitle,187)="","",INDEX(BookGroup,187))</f>
        <v/>
      </c>
      <c r="C192" s="0" t="str">
        <f aca="false">IF(INDEX(BookTitle,187)="","",INDEX(BookCategory,187))</f>
        <v/>
      </c>
      <c r="D192" s="56" t="str">
        <f aca="false">IF(INDEX(BookTitle,187)="","",INDEX(BookTotal,187)*'5. Scenarios'!$B$6/(1+ProductivityDefault*('5. Scenarios'!$B$11-1)))</f>
        <v/>
      </c>
      <c r="E192" s="57" t="str">
        <f aca="false">IF($D192="","",INDEX(BookRate,187)*(1+'5. Scenarios'!$B$10)*$D192)</f>
        <v/>
      </c>
      <c r="F192" s="57" t="str">
        <f aca="false">IF($E192="","",SUMIFS($E$6:$E$2405,$A$6:$A$2405,"&lt;="&amp;$A192))</f>
        <v/>
      </c>
      <c r="G192" s="57" t="str">
        <f aca="false">IF($E192="","",IF($F192&lt;=BankCostEnvelope*'5. Scenarios'!$B$7,1,0))</f>
        <v/>
      </c>
      <c r="H192" s="57" t="str">
        <f aca="false">IF($D192="","",INDEX(BookRate,187)*(1+'5. Scenarios'!$B$10)*(INDEX(BookQ1,187)*(5-MIN(4,1+'5. Scenarios'!$B$8))/4+INDEX(BookQ2,187)*(5-MIN(4,2+'5. Scenarios'!$B$8))/4+INDEX(BookQ3,187)*(5-MIN(4,3+'5. Scenarios'!$B$8))/4+INDEX(BookQ4,187)*(5-MIN(4,4+'5. Scenarios'!$B$8))/4)*'5. Scenarios'!$B$6/(1+ProductivityDefault*('5. Scenarios'!$B$11-1))+INDEX(BookOneOff,187)*$D192)</f>
        <v/>
      </c>
      <c r="I192" s="56" t="str">
        <f aca="false">IF(INDEX(BookTitle,187)="","",INDEX(BookTotal,187)*'5. Scenarios'!$C$6/(1+ProductivityDefault*('5. Scenarios'!$C$11-1)))</f>
        <v/>
      </c>
      <c r="J192" s="57" t="str">
        <f aca="false">IF($I192="","",INDEX(BookRate,187)*(1+'5. Scenarios'!$C$10)*$I192)</f>
        <v/>
      </c>
      <c r="K192" s="57" t="str">
        <f aca="false">IF($J192="","",SUMIFS($J$6:$J$2405,$A$6:$A$2405,"&lt;="&amp;$A192))</f>
        <v/>
      </c>
      <c r="L192" s="57" t="str">
        <f aca="false">IF($J192="","",IF($K192&lt;=BankCostEnvelope*'5. Scenarios'!$C$7,1,0))</f>
        <v/>
      </c>
      <c r="M192" s="57" t="str">
        <f aca="false">IF($I192="","",INDEX(BookRate,187)*(1+'5. Scenarios'!$C$10)*(INDEX(BookQ1,187)*(5-MIN(4,1+'5. Scenarios'!$C$8))/4+INDEX(BookQ2,187)*(5-MIN(4,2+'5. Scenarios'!$C$8))/4+INDEX(BookQ3,187)*(5-MIN(4,3+'5. Scenarios'!$C$8))/4+INDEX(BookQ4,187)*(5-MIN(4,4+'5. Scenarios'!$C$8))/4)*'5. Scenarios'!$C$6/(1+ProductivityDefault*('5. Scenarios'!$C$11-1))+INDEX(BookOneOff,187)*$I192)</f>
        <v/>
      </c>
      <c r="N192" s="56" t="str">
        <f aca="false">IF(INDEX(BookTitle,187)="","",INDEX(BookTotal,187)*'5. Scenarios'!$D$6/(1+ProductivityDefault*('5. Scenarios'!$D$11-1)))</f>
        <v/>
      </c>
      <c r="O192" s="57" t="str">
        <f aca="false">IF($N192="","",INDEX(BookRate,187)*(1+'5. Scenarios'!$D$10)*$N192)</f>
        <v/>
      </c>
      <c r="P192" s="57" t="str">
        <f aca="false">IF($O192="","",SUMIFS($O$6:$O$2405,$A$6:$A$2405,"&lt;="&amp;$A192))</f>
        <v/>
      </c>
      <c r="Q192" s="57" t="str">
        <f aca="false">IF($O192="","",IF($P192&lt;=BankCostEnvelope*'5. Scenarios'!$D$7,1,0))</f>
        <v/>
      </c>
      <c r="R192" s="57" t="str">
        <f aca="false">IF($N192="","",INDEX(BookRate,187)*(1+'5. Scenarios'!$D$10)*(INDEX(BookQ1,187)*(5-MIN(4,1+'5. Scenarios'!$D$8))/4+INDEX(BookQ2,187)*(5-MIN(4,2+'5. Scenarios'!$D$8))/4+INDEX(BookQ3,187)*(5-MIN(4,3+'5. Scenarios'!$D$8))/4+INDEX(BookQ4,187)*(5-MIN(4,4+'5. Scenarios'!$D$8))/4)*'5. Scenarios'!$D$6/(1+ProductivityDefault*('5. Scenarios'!$D$11-1))+INDEX(BookOneOff,187)*$N192)</f>
        <v/>
      </c>
      <c r="S192" s="56" t="str">
        <f aca="false">IF(INDEX(BookTitle,187)="","",INDEX(BookTotal,187)*'5. Scenarios'!$E$6/(1+ProductivityDefault*('5. Scenarios'!$E$11-1)))</f>
        <v/>
      </c>
      <c r="T192" s="57" t="str">
        <f aca="false">IF($S192="","",INDEX(BookRate,187)*(1+'5. Scenarios'!$E$10)*$S192)</f>
        <v/>
      </c>
      <c r="U192" s="57" t="str">
        <f aca="false">IF($T192="","",SUMIFS($T$6:$T$2405,$A$6:$A$2405,"&lt;="&amp;$A192))</f>
        <v/>
      </c>
      <c r="V192" s="57" t="str">
        <f aca="false">IF($T192="","",IF($U192&lt;=BankCostEnvelope*'5. Scenarios'!$E$7,1,0))</f>
        <v/>
      </c>
      <c r="W192" s="57" t="str">
        <f aca="false">IF($S192="","",INDEX(BookRate,187)*(1+'5. Scenarios'!$E$10)*(INDEX(BookQ1,187)*(5-MIN(4,1+'5. Scenarios'!$E$8))/4+INDEX(BookQ2,187)*(5-MIN(4,2+'5. Scenarios'!$E$8))/4+INDEX(BookQ3,187)*(5-MIN(4,3+'5. Scenarios'!$E$8))/4+INDEX(BookQ4,187)*(5-MIN(4,4+'5. Scenarios'!$E$8))/4)*'5. Scenarios'!$E$6/(1+ProductivityDefault*('5. Scenarios'!$E$11-1))+INDEX(BookOneOff,187)*$S192)</f>
        <v/>
      </c>
    </row>
    <row r="193" customFormat="false" ht="15" hidden="false" customHeight="false" outlineLevel="0" collapsed="false">
      <c r="A193" s="0" t="str">
        <f aca="false">IF(INDEX(BookTitle,188)="","",INDEX(BookKey,188))</f>
        <v/>
      </c>
      <c r="B193" s="0" t="str">
        <f aca="false">IF(INDEX(BookTitle,188)="","",INDEX(BookGroup,188))</f>
        <v/>
      </c>
      <c r="C193" s="0" t="str">
        <f aca="false">IF(INDEX(BookTitle,188)="","",INDEX(BookCategory,188))</f>
        <v/>
      </c>
      <c r="D193" s="56" t="str">
        <f aca="false">IF(INDEX(BookTitle,188)="","",INDEX(BookTotal,188)*'5. Scenarios'!$B$6/(1+ProductivityDefault*('5. Scenarios'!$B$11-1)))</f>
        <v/>
      </c>
      <c r="E193" s="57" t="str">
        <f aca="false">IF($D193="","",INDEX(BookRate,188)*(1+'5. Scenarios'!$B$10)*$D193)</f>
        <v/>
      </c>
      <c r="F193" s="57" t="str">
        <f aca="false">IF($E193="","",SUMIFS($E$6:$E$2405,$A$6:$A$2405,"&lt;="&amp;$A193))</f>
        <v/>
      </c>
      <c r="G193" s="57" t="str">
        <f aca="false">IF($E193="","",IF($F193&lt;=BankCostEnvelope*'5. Scenarios'!$B$7,1,0))</f>
        <v/>
      </c>
      <c r="H193" s="57" t="str">
        <f aca="false">IF($D193="","",INDEX(BookRate,188)*(1+'5. Scenarios'!$B$10)*(INDEX(BookQ1,188)*(5-MIN(4,1+'5. Scenarios'!$B$8))/4+INDEX(BookQ2,188)*(5-MIN(4,2+'5. Scenarios'!$B$8))/4+INDEX(BookQ3,188)*(5-MIN(4,3+'5. Scenarios'!$B$8))/4+INDEX(BookQ4,188)*(5-MIN(4,4+'5. Scenarios'!$B$8))/4)*'5. Scenarios'!$B$6/(1+ProductivityDefault*('5. Scenarios'!$B$11-1))+INDEX(BookOneOff,188)*$D193)</f>
        <v/>
      </c>
      <c r="I193" s="56" t="str">
        <f aca="false">IF(INDEX(BookTitle,188)="","",INDEX(BookTotal,188)*'5. Scenarios'!$C$6/(1+ProductivityDefault*('5. Scenarios'!$C$11-1)))</f>
        <v/>
      </c>
      <c r="J193" s="57" t="str">
        <f aca="false">IF($I193="","",INDEX(BookRate,188)*(1+'5. Scenarios'!$C$10)*$I193)</f>
        <v/>
      </c>
      <c r="K193" s="57" t="str">
        <f aca="false">IF($J193="","",SUMIFS($J$6:$J$2405,$A$6:$A$2405,"&lt;="&amp;$A193))</f>
        <v/>
      </c>
      <c r="L193" s="57" t="str">
        <f aca="false">IF($J193="","",IF($K193&lt;=BankCostEnvelope*'5. Scenarios'!$C$7,1,0))</f>
        <v/>
      </c>
      <c r="M193" s="57" t="str">
        <f aca="false">IF($I193="","",INDEX(BookRate,188)*(1+'5. Scenarios'!$C$10)*(INDEX(BookQ1,188)*(5-MIN(4,1+'5. Scenarios'!$C$8))/4+INDEX(BookQ2,188)*(5-MIN(4,2+'5. Scenarios'!$C$8))/4+INDEX(BookQ3,188)*(5-MIN(4,3+'5. Scenarios'!$C$8))/4+INDEX(BookQ4,188)*(5-MIN(4,4+'5. Scenarios'!$C$8))/4)*'5. Scenarios'!$C$6/(1+ProductivityDefault*('5. Scenarios'!$C$11-1))+INDEX(BookOneOff,188)*$I193)</f>
        <v/>
      </c>
      <c r="N193" s="56" t="str">
        <f aca="false">IF(INDEX(BookTitle,188)="","",INDEX(BookTotal,188)*'5. Scenarios'!$D$6/(1+ProductivityDefault*('5. Scenarios'!$D$11-1)))</f>
        <v/>
      </c>
      <c r="O193" s="57" t="str">
        <f aca="false">IF($N193="","",INDEX(BookRate,188)*(1+'5. Scenarios'!$D$10)*$N193)</f>
        <v/>
      </c>
      <c r="P193" s="57" t="str">
        <f aca="false">IF($O193="","",SUMIFS($O$6:$O$2405,$A$6:$A$2405,"&lt;="&amp;$A193))</f>
        <v/>
      </c>
      <c r="Q193" s="57" t="str">
        <f aca="false">IF($O193="","",IF($P193&lt;=BankCostEnvelope*'5. Scenarios'!$D$7,1,0))</f>
        <v/>
      </c>
      <c r="R193" s="57" t="str">
        <f aca="false">IF($N193="","",INDEX(BookRate,188)*(1+'5. Scenarios'!$D$10)*(INDEX(BookQ1,188)*(5-MIN(4,1+'5. Scenarios'!$D$8))/4+INDEX(BookQ2,188)*(5-MIN(4,2+'5. Scenarios'!$D$8))/4+INDEX(BookQ3,188)*(5-MIN(4,3+'5. Scenarios'!$D$8))/4+INDEX(BookQ4,188)*(5-MIN(4,4+'5. Scenarios'!$D$8))/4)*'5. Scenarios'!$D$6/(1+ProductivityDefault*('5. Scenarios'!$D$11-1))+INDEX(BookOneOff,188)*$N193)</f>
        <v/>
      </c>
      <c r="S193" s="56" t="str">
        <f aca="false">IF(INDEX(BookTitle,188)="","",INDEX(BookTotal,188)*'5. Scenarios'!$E$6/(1+ProductivityDefault*('5. Scenarios'!$E$11-1)))</f>
        <v/>
      </c>
      <c r="T193" s="57" t="str">
        <f aca="false">IF($S193="","",INDEX(BookRate,188)*(1+'5. Scenarios'!$E$10)*$S193)</f>
        <v/>
      </c>
      <c r="U193" s="57" t="str">
        <f aca="false">IF($T193="","",SUMIFS($T$6:$T$2405,$A$6:$A$2405,"&lt;="&amp;$A193))</f>
        <v/>
      </c>
      <c r="V193" s="57" t="str">
        <f aca="false">IF($T193="","",IF($U193&lt;=BankCostEnvelope*'5. Scenarios'!$E$7,1,0))</f>
        <v/>
      </c>
      <c r="W193" s="57" t="str">
        <f aca="false">IF($S193="","",INDEX(BookRate,188)*(1+'5. Scenarios'!$E$10)*(INDEX(BookQ1,188)*(5-MIN(4,1+'5. Scenarios'!$E$8))/4+INDEX(BookQ2,188)*(5-MIN(4,2+'5. Scenarios'!$E$8))/4+INDEX(BookQ3,188)*(5-MIN(4,3+'5. Scenarios'!$E$8))/4+INDEX(BookQ4,188)*(5-MIN(4,4+'5. Scenarios'!$E$8))/4)*'5. Scenarios'!$E$6/(1+ProductivityDefault*('5. Scenarios'!$E$11-1))+INDEX(BookOneOff,188)*$S193)</f>
        <v/>
      </c>
    </row>
    <row r="194" customFormat="false" ht="15" hidden="false" customHeight="false" outlineLevel="0" collapsed="false">
      <c r="A194" s="0" t="str">
        <f aca="false">IF(INDEX(BookTitle,189)="","",INDEX(BookKey,189))</f>
        <v/>
      </c>
      <c r="B194" s="0" t="str">
        <f aca="false">IF(INDEX(BookTitle,189)="","",INDEX(BookGroup,189))</f>
        <v/>
      </c>
      <c r="C194" s="0" t="str">
        <f aca="false">IF(INDEX(BookTitle,189)="","",INDEX(BookCategory,189))</f>
        <v/>
      </c>
      <c r="D194" s="56" t="str">
        <f aca="false">IF(INDEX(BookTitle,189)="","",INDEX(BookTotal,189)*'5. Scenarios'!$B$6/(1+ProductivityDefault*('5. Scenarios'!$B$11-1)))</f>
        <v/>
      </c>
      <c r="E194" s="57" t="str">
        <f aca="false">IF($D194="","",INDEX(BookRate,189)*(1+'5. Scenarios'!$B$10)*$D194)</f>
        <v/>
      </c>
      <c r="F194" s="57" t="str">
        <f aca="false">IF($E194="","",SUMIFS($E$6:$E$2405,$A$6:$A$2405,"&lt;="&amp;$A194))</f>
        <v/>
      </c>
      <c r="G194" s="57" t="str">
        <f aca="false">IF($E194="","",IF($F194&lt;=BankCostEnvelope*'5. Scenarios'!$B$7,1,0))</f>
        <v/>
      </c>
      <c r="H194" s="57" t="str">
        <f aca="false">IF($D194="","",INDEX(BookRate,189)*(1+'5. Scenarios'!$B$10)*(INDEX(BookQ1,189)*(5-MIN(4,1+'5. Scenarios'!$B$8))/4+INDEX(BookQ2,189)*(5-MIN(4,2+'5. Scenarios'!$B$8))/4+INDEX(BookQ3,189)*(5-MIN(4,3+'5. Scenarios'!$B$8))/4+INDEX(BookQ4,189)*(5-MIN(4,4+'5. Scenarios'!$B$8))/4)*'5. Scenarios'!$B$6/(1+ProductivityDefault*('5. Scenarios'!$B$11-1))+INDEX(BookOneOff,189)*$D194)</f>
        <v/>
      </c>
      <c r="I194" s="56" t="str">
        <f aca="false">IF(INDEX(BookTitle,189)="","",INDEX(BookTotal,189)*'5. Scenarios'!$C$6/(1+ProductivityDefault*('5. Scenarios'!$C$11-1)))</f>
        <v/>
      </c>
      <c r="J194" s="57" t="str">
        <f aca="false">IF($I194="","",INDEX(BookRate,189)*(1+'5. Scenarios'!$C$10)*$I194)</f>
        <v/>
      </c>
      <c r="K194" s="57" t="str">
        <f aca="false">IF($J194="","",SUMIFS($J$6:$J$2405,$A$6:$A$2405,"&lt;="&amp;$A194))</f>
        <v/>
      </c>
      <c r="L194" s="57" t="str">
        <f aca="false">IF($J194="","",IF($K194&lt;=BankCostEnvelope*'5. Scenarios'!$C$7,1,0))</f>
        <v/>
      </c>
      <c r="M194" s="57" t="str">
        <f aca="false">IF($I194="","",INDEX(BookRate,189)*(1+'5. Scenarios'!$C$10)*(INDEX(BookQ1,189)*(5-MIN(4,1+'5. Scenarios'!$C$8))/4+INDEX(BookQ2,189)*(5-MIN(4,2+'5. Scenarios'!$C$8))/4+INDEX(BookQ3,189)*(5-MIN(4,3+'5. Scenarios'!$C$8))/4+INDEX(BookQ4,189)*(5-MIN(4,4+'5. Scenarios'!$C$8))/4)*'5. Scenarios'!$C$6/(1+ProductivityDefault*('5. Scenarios'!$C$11-1))+INDEX(BookOneOff,189)*$I194)</f>
        <v/>
      </c>
      <c r="N194" s="56" t="str">
        <f aca="false">IF(INDEX(BookTitle,189)="","",INDEX(BookTotal,189)*'5. Scenarios'!$D$6/(1+ProductivityDefault*('5. Scenarios'!$D$11-1)))</f>
        <v/>
      </c>
      <c r="O194" s="57" t="str">
        <f aca="false">IF($N194="","",INDEX(BookRate,189)*(1+'5. Scenarios'!$D$10)*$N194)</f>
        <v/>
      </c>
      <c r="P194" s="57" t="str">
        <f aca="false">IF($O194="","",SUMIFS($O$6:$O$2405,$A$6:$A$2405,"&lt;="&amp;$A194))</f>
        <v/>
      </c>
      <c r="Q194" s="57" t="str">
        <f aca="false">IF($O194="","",IF($P194&lt;=BankCostEnvelope*'5. Scenarios'!$D$7,1,0))</f>
        <v/>
      </c>
      <c r="R194" s="57" t="str">
        <f aca="false">IF($N194="","",INDEX(BookRate,189)*(1+'5. Scenarios'!$D$10)*(INDEX(BookQ1,189)*(5-MIN(4,1+'5. Scenarios'!$D$8))/4+INDEX(BookQ2,189)*(5-MIN(4,2+'5. Scenarios'!$D$8))/4+INDEX(BookQ3,189)*(5-MIN(4,3+'5. Scenarios'!$D$8))/4+INDEX(BookQ4,189)*(5-MIN(4,4+'5. Scenarios'!$D$8))/4)*'5. Scenarios'!$D$6/(1+ProductivityDefault*('5. Scenarios'!$D$11-1))+INDEX(BookOneOff,189)*$N194)</f>
        <v/>
      </c>
      <c r="S194" s="56" t="str">
        <f aca="false">IF(INDEX(BookTitle,189)="","",INDEX(BookTotal,189)*'5. Scenarios'!$E$6/(1+ProductivityDefault*('5. Scenarios'!$E$11-1)))</f>
        <v/>
      </c>
      <c r="T194" s="57" t="str">
        <f aca="false">IF($S194="","",INDEX(BookRate,189)*(1+'5. Scenarios'!$E$10)*$S194)</f>
        <v/>
      </c>
      <c r="U194" s="57" t="str">
        <f aca="false">IF($T194="","",SUMIFS($T$6:$T$2405,$A$6:$A$2405,"&lt;="&amp;$A194))</f>
        <v/>
      </c>
      <c r="V194" s="57" t="str">
        <f aca="false">IF($T194="","",IF($U194&lt;=BankCostEnvelope*'5. Scenarios'!$E$7,1,0))</f>
        <v/>
      </c>
      <c r="W194" s="57" t="str">
        <f aca="false">IF($S194="","",INDEX(BookRate,189)*(1+'5. Scenarios'!$E$10)*(INDEX(BookQ1,189)*(5-MIN(4,1+'5. Scenarios'!$E$8))/4+INDEX(BookQ2,189)*(5-MIN(4,2+'5. Scenarios'!$E$8))/4+INDEX(BookQ3,189)*(5-MIN(4,3+'5. Scenarios'!$E$8))/4+INDEX(BookQ4,189)*(5-MIN(4,4+'5. Scenarios'!$E$8))/4)*'5. Scenarios'!$E$6/(1+ProductivityDefault*('5. Scenarios'!$E$11-1))+INDEX(BookOneOff,189)*$S194)</f>
        <v/>
      </c>
    </row>
    <row r="195" customFormat="false" ht="15" hidden="false" customHeight="false" outlineLevel="0" collapsed="false">
      <c r="A195" s="0" t="str">
        <f aca="false">IF(INDEX(BookTitle,190)="","",INDEX(BookKey,190))</f>
        <v/>
      </c>
      <c r="B195" s="0" t="str">
        <f aca="false">IF(INDEX(BookTitle,190)="","",INDEX(BookGroup,190))</f>
        <v/>
      </c>
      <c r="C195" s="0" t="str">
        <f aca="false">IF(INDEX(BookTitle,190)="","",INDEX(BookCategory,190))</f>
        <v/>
      </c>
      <c r="D195" s="56" t="str">
        <f aca="false">IF(INDEX(BookTitle,190)="","",INDEX(BookTotal,190)*'5. Scenarios'!$B$6/(1+ProductivityDefault*('5. Scenarios'!$B$11-1)))</f>
        <v/>
      </c>
      <c r="E195" s="57" t="str">
        <f aca="false">IF($D195="","",INDEX(BookRate,190)*(1+'5. Scenarios'!$B$10)*$D195)</f>
        <v/>
      </c>
      <c r="F195" s="57" t="str">
        <f aca="false">IF($E195="","",SUMIFS($E$6:$E$2405,$A$6:$A$2405,"&lt;="&amp;$A195))</f>
        <v/>
      </c>
      <c r="G195" s="57" t="str">
        <f aca="false">IF($E195="","",IF($F195&lt;=BankCostEnvelope*'5. Scenarios'!$B$7,1,0))</f>
        <v/>
      </c>
      <c r="H195" s="57" t="str">
        <f aca="false">IF($D195="","",INDEX(BookRate,190)*(1+'5. Scenarios'!$B$10)*(INDEX(BookQ1,190)*(5-MIN(4,1+'5. Scenarios'!$B$8))/4+INDEX(BookQ2,190)*(5-MIN(4,2+'5. Scenarios'!$B$8))/4+INDEX(BookQ3,190)*(5-MIN(4,3+'5. Scenarios'!$B$8))/4+INDEX(BookQ4,190)*(5-MIN(4,4+'5. Scenarios'!$B$8))/4)*'5. Scenarios'!$B$6/(1+ProductivityDefault*('5. Scenarios'!$B$11-1))+INDEX(BookOneOff,190)*$D195)</f>
        <v/>
      </c>
      <c r="I195" s="56" t="str">
        <f aca="false">IF(INDEX(BookTitle,190)="","",INDEX(BookTotal,190)*'5. Scenarios'!$C$6/(1+ProductivityDefault*('5. Scenarios'!$C$11-1)))</f>
        <v/>
      </c>
      <c r="J195" s="57" t="str">
        <f aca="false">IF($I195="","",INDEX(BookRate,190)*(1+'5. Scenarios'!$C$10)*$I195)</f>
        <v/>
      </c>
      <c r="K195" s="57" t="str">
        <f aca="false">IF($J195="","",SUMIFS($J$6:$J$2405,$A$6:$A$2405,"&lt;="&amp;$A195))</f>
        <v/>
      </c>
      <c r="L195" s="57" t="str">
        <f aca="false">IF($J195="","",IF($K195&lt;=BankCostEnvelope*'5. Scenarios'!$C$7,1,0))</f>
        <v/>
      </c>
      <c r="M195" s="57" t="str">
        <f aca="false">IF($I195="","",INDEX(BookRate,190)*(1+'5. Scenarios'!$C$10)*(INDEX(BookQ1,190)*(5-MIN(4,1+'5. Scenarios'!$C$8))/4+INDEX(BookQ2,190)*(5-MIN(4,2+'5. Scenarios'!$C$8))/4+INDEX(BookQ3,190)*(5-MIN(4,3+'5. Scenarios'!$C$8))/4+INDEX(BookQ4,190)*(5-MIN(4,4+'5. Scenarios'!$C$8))/4)*'5. Scenarios'!$C$6/(1+ProductivityDefault*('5. Scenarios'!$C$11-1))+INDEX(BookOneOff,190)*$I195)</f>
        <v/>
      </c>
      <c r="N195" s="56" t="str">
        <f aca="false">IF(INDEX(BookTitle,190)="","",INDEX(BookTotal,190)*'5. Scenarios'!$D$6/(1+ProductivityDefault*('5. Scenarios'!$D$11-1)))</f>
        <v/>
      </c>
      <c r="O195" s="57" t="str">
        <f aca="false">IF($N195="","",INDEX(BookRate,190)*(1+'5. Scenarios'!$D$10)*$N195)</f>
        <v/>
      </c>
      <c r="P195" s="57" t="str">
        <f aca="false">IF($O195="","",SUMIFS($O$6:$O$2405,$A$6:$A$2405,"&lt;="&amp;$A195))</f>
        <v/>
      </c>
      <c r="Q195" s="57" t="str">
        <f aca="false">IF($O195="","",IF($P195&lt;=BankCostEnvelope*'5. Scenarios'!$D$7,1,0))</f>
        <v/>
      </c>
      <c r="R195" s="57" t="str">
        <f aca="false">IF($N195="","",INDEX(BookRate,190)*(1+'5. Scenarios'!$D$10)*(INDEX(BookQ1,190)*(5-MIN(4,1+'5. Scenarios'!$D$8))/4+INDEX(BookQ2,190)*(5-MIN(4,2+'5. Scenarios'!$D$8))/4+INDEX(BookQ3,190)*(5-MIN(4,3+'5. Scenarios'!$D$8))/4+INDEX(BookQ4,190)*(5-MIN(4,4+'5. Scenarios'!$D$8))/4)*'5. Scenarios'!$D$6/(1+ProductivityDefault*('5. Scenarios'!$D$11-1))+INDEX(BookOneOff,190)*$N195)</f>
        <v/>
      </c>
      <c r="S195" s="56" t="str">
        <f aca="false">IF(INDEX(BookTitle,190)="","",INDEX(BookTotal,190)*'5. Scenarios'!$E$6/(1+ProductivityDefault*('5. Scenarios'!$E$11-1)))</f>
        <v/>
      </c>
      <c r="T195" s="57" t="str">
        <f aca="false">IF($S195="","",INDEX(BookRate,190)*(1+'5. Scenarios'!$E$10)*$S195)</f>
        <v/>
      </c>
      <c r="U195" s="57" t="str">
        <f aca="false">IF($T195="","",SUMIFS($T$6:$T$2405,$A$6:$A$2405,"&lt;="&amp;$A195))</f>
        <v/>
      </c>
      <c r="V195" s="57" t="str">
        <f aca="false">IF($T195="","",IF($U195&lt;=BankCostEnvelope*'5. Scenarios'!$E$7,1,0))</f>
        <v/>
      </c>
      <c r="W195" s="57" t="str">
        <f aca="false">IF($S195="","",INDEX(BookRate,190)*(1+'5. Scenarios'!$E$10)*(INDEX(BookQ1,190)*(5-MIN(4,1+'5. Scenarios'!$E$8))/4+INDEX(BookQ2,190)*(5-MIN(4,2+'5. Scenarios'!$E$8))/4+INDEX(BookQ3,190)*(5-MIN(4,3+'5. Scenarios'!$E$8))/4+INDEX(BookQ4,190)*(5-MIN(4,4+'5. Scenarios'!$E$8))/4)*'5. Scenarios'!$E$6/(1+ProductivityDefault*('5. Scenarios'!$E$11-1))+INDEX(BookOneOff,190)*$S195)</f>
        <v/>
      </c>
    </row>
    <row r="196" customFormat="false" ht="15" hidden="false" customHeight="false" outlineLevel="0" collapsed="false">
      <c r="A196" s="0" t="str">
        <f aca="false">IF(INDEX(BookTitle,191)="","",INDEX(BookKey,191))</f>
        <v/>
      </c>
      <c r="B196" s="0" t="str">
        <f aca="false">IF(INDEX(BookTitle,191)="","",INDEX(BookGroup,191))</f>
        <v/>
      </c>
      <c r="C196" s="0" t="str">
        <f aca="false">IF(INDEX(BookTitle,191)="","",INDEX(BookCategory,191))</f>
        <v/>
      </c>
      <c r="D196" s="56" t="str">
        <f aca="false">IF(INDEX(BookTitle,191)="","",INDEX(BookTotal,191)*'5. Scenarios'!$B$6/(1+ProductivityDefault*('5. Scenarios'!$B$11-1)))</f>
        <v/>
      </c>
      <c r="E196" s="57" t="str">
        <f aca="false">IF($D196="","",INDEX(BookRate,191)*(1+'5. Scenarios'!$B$10)*$D196)</f>
        <v/>
      </c>
      <c r="F196" s="57" t="str">
        <f aca="false">IF($E196="","",SUMIFS($E$6:$E$2405,$A$6:$A$2405,"&lt;="&amp;$A196))</f>
        <v/>
      </c>
      <c r="G196" s="57" t="str">
        <f aca="false">IF($E196="","",IF($F196&lt;=BankCostEnvelope*'5. Scenarios'!$B$7,1,0))</f>
        <v/>
      </c>
      <c r="H196" s="57" t="str">
        <f aca="false">IF($D196="","",INDEX(BookRate,191)*(1+'5. Scenarios'!$B$10)*(INDEX(BookQ1,191)*(5-MIN(4,1+'5. Scenarios'!$B$8))/4+INDEX(BookQ2,191)*(5-MIN(4,2+'5. Scenarios'!$B$8))/4+INDEX(BookQ3,191)*(5-MIN(4,3+'5. Scenarios'!$B$8))/4+INDEX(BookQ4,191)*(5-MIN(4,4+'5. Scenarios'!$B$8))/4)*'5. Scenarios'!$B$6/(1+ProductivityDefault*('5. Scenarios'!$B$11-1))+INDEX(BookOneOff,191)*$D196)</f>
        <v/>
      </c>
      <c r="I196" s="56" t="str">
        <f aca="false">IF(INDEX(BookTitle,191)="","",INDEX(BookTotal,191)*'5. Scenarios'!$C$6/(1+ProductivityDefault*('5. Scenarios'!$C$11-1)))</f>
        <v/>
      </c>
      <c r="J196" s="57" t="str">
        <f aca="false">IF($I196="","",INDEX(BookRate,191)*(1+'5. Scenarios'!$C$10)*$I196)</f>
        <v/>
      </c>
      <c r="K196" s="57" t="str">
        <f aca="false">IF($J196="","",SUMIFS($J$6:$J$2405,$A$6:$A$2405,"&lt;="&amp;$A196))</f>
        <v/>
      </c>
      <c r="L196" s="57" t="str">
        <f aca="false">IF($J196="","",IF($K196&lt;=BankCostEnvelope*'5. Scenarios'!$C$7,1,0))</f>
        <v/>
      </c>
      <c r="M196" s="57" t="str">
        <f aca="false">IF($I196="","",INDEX(BookRate,191)*(1+'5. Scenarios'!$C$10)*(INDEX(BookQ1,191)*(5-MIN(4,1+'5. Scenarios'!$C$8))/4+INDEX(BookQ2,191)*(5-MIN(4,2+'5. Scenarios'!$C$8))/4+INDEX(BookQ3,191)*(5-MIN(4,3+'5. Scenarios'!$C$8))/4+INDEX(BookQ4,191)*(5-MIN(4,4+'5. Scenarios'!$C$8))/4)*'5. Scenarios'!$C$6/(1+ProductivityDefault*('5. Scenarios'!$C$11-1))+INDEX(BookOneOff,191)*$I196)</f>
        <v/>
      </c>
      <c r="N196" s="56" t="str">
        <f aca="false">IF(INDEX(BookTitle,191)="","",INDEX(BookTotal,191)*'5. Scenarios'!$D$6/(1+ProductivityDefault*('5. Scenarios'!$D$11-1)))</f>
        <v/>
      </c>
      <c r="O196" s="57" t="str">
        <f aca="false">IF($N196="","",INDEX(BookRate,191)*(1+'5. Scenarios'!$D$10)*$N196)</f>
        <v/>
      </c>
      <c r="P196" s="57" t="str">
        <f aca="false">IF($O196="","",SUMIFS($O$6:$O$2405,$A$6:$A$2405,"&lt;="&amp;$A196))</f>
        <v/>
      </c>
      <c r="Q196" s="57" t="str">
        <f aca="false">IF($O196="","",IF($P196&lt;=BankCostEnvelope*'5. Scenarios'!$D$7,1,0))</f>
        <v/>
      </c>
      <c r="R196" s="57" t="str">
        <f aca="false">IF($N196="","",INDEX(BookRate,191)*(1+'5. Scenarios'!$D$10)*(INDEX(BookQ1,191)*(5-MIN(4,1+'5. Scenarios'!$D$8))/4+INDEX(BookQ2,191)*(5-MIN(4,2+'5. Scenarios'!$D$8))/4+INDEX(BookQ3,191)*(5-MIN(4,3+'5. Scenarios'!$D$8))/4+INDEX(BookQ4,191)*(5-MIN(4,4+'5. Scenarios'!$D$8))/4)*'5. Scenarios'!$D$6/(1+ProductivityDefault*('5. Scenarios'!$D$11-1))+INDEX(BookOneOff,191)*$N196)</f>
        <v/>
      </c>
      <c r="S196" s="56" t="str">
        <f aca="false">IF(INDEX(BookTitle,191)="","",INDEX(BookTotal,191)*'5. Scenarios'!$E$6/(1+ProductivityDefault*('5. Scenarios'!$E$11-1)))</f>
        <v/>
      </c>
      <c r="T196" s="57" t="str">
        <f aca="false">IF($S196="","",INDEX(BookRate,191)*(1+'5. Scenarios'!$E$10)*$S196)</f>
        <v/>
      </c>
      <c r="U196" s="57" t="str">
        <f aca="false">IF($T196="","",SUMIFS($T$6:$T$2405,$A$6:$A$2405,"&lt;="&amp;$A196))</f>
        <v/>
      </c>
      <c r="V196" s="57" t="str">
        <f aca="false">IF($T196="","",IF($U196&lt;=BankCostEnvelope*'5. Scenarios'!$E$7,1,0))</f>
        <v/>
      </c>
      <c r="W196" s="57" t="str">
        <f aca="false">IF($S196="","",INDEX(BookRate,191)*(1+'5. Scenarios'!$E$10)*(INDEX(BookQ1,191)*(5-MIN(4,1+'5. Scenarios'!$E$8))/4+INDEX(BookQ2,191)*(5-MIN(4,2+'5. Scenarios'!$E$8))/4+INDEX(BookQ3,191)*(5-MIN(4,3+'5. Scenarios'!$E$8))/4+INDEX(BookQ4,191)*(5-MIN(4,4+'5. Scenarios'!$E$8))/4)*'5. Scenarios'!$E$6/(1+ProductivityDefault*('5. Scenarios'!$E$11-1))+INDEX(BookOneOff,191)*$S196)</f>
        <v/>
      </c>
    </row>
    <row r="197" customFormat="false" ht="15" hidden="false" customHeight="false" outlineLevel="0" collapsed="false">
      <c r="A197" s="0" t="str">
        <f aca="false">IF(INDEX(BookTitle,192)="","",INDEX(BookKey,192))</f>
        <v/>
      </c>
      <c r="B197" s="0" t="str">
        <f aca="false">IF(INDEX(BookTitle,192)="","",INDEX(BookGroup,192))</f>
        <v/>
      </c>
      <c r="C197" s="0" t="str">
        <f aca="false">IF(INDEX(BookTitle,192)="","",INDEX(BookCategory,192))</f>
        <v/>
      </c>
      <c r="D197" s="56" t="str">
        <f aca="false">IF(INDEX(BookTitle,192)="","",INDEX(BookTotal,192)*'5. Scenarios'!$B$6/(1+ProductivityDefault*('5. Scenarios'!$B$11-1)))</f>
        <v/>
      </c>
      <c r="E197" s="57" t="str">
        <f aca="false">IF($D197="","",INDEX(BookRate,192)*(1+'5. Scenarios'!$B$10)*$D197)</f>
        <v/>
      </c>
      <c r="F197" s="57" t="str">
        <f aca="false">IF($E197="","",SUMIFS($E$6:$E$2405,$A$6:$A$2405,"&lt;="&amp;$A197))</f>
        <v/>
      </c>
      <c r="G197" s="57" t="str">
        <f aca="false">IF($E197="","",IF($F197&lt;=BankCostEnvelope*'5. Scenarios'!$B$7,1,0))</f>
        <v/>
      </c>
      <c r="H197" s="57" t="str">
        <f aca="false">IF($D197="","",INDEX(BookRate,192)*(1+'5. Scenarios'!$B$10)*(INDEX(BookQ1,192)*(5-MIN(4,1+'5. Scenarios'!$B$8))/4+INDEX(BookQ2,192)*(5-MIN(4,2+'5. Scenarios'!$B$8))/4+INDEX(BookQ3,192)*(5-MIN(4,3+'5. Scenarios'!$B$8))/4+INDEX(BookQ4,192)*(5-MIN(4,4+'5. Scenarios'!$B$8))/4)*'5. Scenarios'!$B$6/(1+ProductivityDefault*('5. Scenarios'!$B$11-1))+INDEX(BookOneOff,192)*$D197)</f>
        <v/>
      </c>
      <c r="I197" s="56" t="str">
        <f aca="false">IF(INDEX(BookTitle,192)="","",INDEX(BookTotal,192)*'5. Scenarios'!$C$6/(1+ProductivityDefault*('5. Scenarios'!$C$11-1)))</f>
        <v/>
      </c>
      <c r="J197" s="57" t="str">
        <f aca="false">IF($I197="","",INDEX(BookRate,192)*(1+'5. Scenarios'!$C$10)*$I197)</f>
        <v/>
      </c>
      <c r="K197" s="57" t="str">
        <f aca="false">IF($J197="","",SUMIFS($J$6:$J$2405,$A$6:$A$2405,"&lt;="&amp;$A197))</f>
        <v/>
      </c>
      <c r="L197" s="57" t="str">
        <f aca="false">IF($J197="","",IF($K197&lt;=BankCostEnvelope*'5. Scenarios'!$C$7,1,0))</f>
        <v/>
      </c>
      <c r="M197" s="57" t="str">
        <f aca="false">IF($I197="","",INDEX(BookRate,192)*(1+'5. Scenarios'!$C$10)*(INDEX(BookQ1,192)*(5-MIN(4,1+'5. Scenarios'!$C$8))/4+INDEX(BookQ2,192)*(5-MIN(4,2+'5. Scenarios'!$C$8))/4+INDEX(BookQ3,192)*(5-MIN(4,3+'5. Scenarios'!$C$8))/4+INDEX(BookQ4,192)*(5-MIN(4,4+'5. Scenarios'!$C$8))/4)*'5. Scenarios'!$C$6/(1+ProductivityDefault*('5. Scenarios'!$C$11-1))+INDEX(BookOneOff,192)*$I197)</f>
        <v/>
      </c>
      <c r="N197" s="56" t="str">
        <f aca="false">IF(INDEX(BookTitle,192)="","",INDEX(BookTotal,192)*'5. Scenarios'!$D$6/(1+ProductivityDefault*('5. Scenarios'!$D$11-1)))</f>
        <v/>
      </c>
      <c r="O197" s="57" t="str">
        <f aca="false">IF($N197="","",INDEX(BookRate,192)*(1+'5. Scenarios'!$D$10)*$N197)</f>
        <v/>
      </c>
      <c r="P197" s="57" t="str">
        <f aca="false">IF($O197="","",SUMIFS($O$6:$O$2405,$A$6:$A$2405,"&lt;="&amp;$A197))</f>
        <v/>
      </c>
      <c r="Q197" s="57" t="str">
        <f aca="false">IF($O197="","",IF($P197&lt;=BankCostEnvelope*'5. Scenarios'!$D$7,1,0))</f>
        <v/>
      </c>
      <c r="R197" s="57" t="str">
        <f aca="false">IF($N197="","",INDEX(BookRate,192)*(1+'5. Scenarios'!$D$10)*(INDEX(BookQ1,192)*(5-MIN(4,1+'5. Scenarios'!$D$8))/4+INDEX(BookQ2,192)*(5-MIN(4,2+'5. Scenarios'!$D$8))/4+INDEX(BookQ3,192)*(5-MIN(4,3+'5. Scenarios'!$D$8))/4+INDEX(BookQ4,192)*(5-MIN(4,4+'5. Scenarios'!$D$8))/4)*'5. Scenarios'!$D$6/(1+ProductivityDefault*('5. Scenarios'!$D$11-1))+INDEX(BookOneOff,192)*$N197)</f>
        <v/>
      </c>
      <c r="S197" s="56" t="str">
        <f aca="false">IF(INDEX(BookTitle,192)="","",INDEX(BookTotal,192)*'5. Scenarios'!$E$6/(1+ProductivityDefault*('5. Scenarios'!$E$11-1)))</f>
        <v/>
      </c>
      <c r="T197" s="57" t="str">
        <f aca="false">IF($S197="","",INDEX(BookRate,192)*(1+'5. Scenarios'!$E$10)*$S197)</f>
        <v/>
      </c>
      <c r="U197" s="57" t="str">
        <f aca="false">IF($T197="","",SUMIFS($T$6:$T$2405,$A$6:$A$2405,"&lt;="&amp;$A197))</f>
        <v/>
      </c>
      <c r="V197" s="57" t="str">
        <f aca="false">IF($T197="","",IF($U197&lt;=BankCostEnvelope*'5. Scenarios'!$E$7,1,0))</f>
        <v/>
      </c>
      <c r="W197" s="57" t="str">
        <f aca="false">IF($S197="","",INDEX(BookRate,192)*(1+'5. Scenarios'!$E$10)*(INDEX(BookQ1,192)*(5-MIN(4,1+'5. Scenarios'!$E$8))/4+INDEX(BookQ2,192)*(5-MIN(4,2+'5. Scenarios'!$E$8))/4+INDEX(BookQ3,192)*(5-MIN(4,3+'5. Scenarios'!$E$8))/4+INDEX(BookQ4,192)*(5-MIN(4,4+'5. Scenarios'!$E$8))/4)*'5. Scenarios'!$E$6/(1+ProductivityDefault*('5. Scenarios'!$E$11-1))+INDEX(BookOneOff,192)*$S197)</f>
        <v/>
      </c>
    </row>
    <row r="198" customFormat="false" ht="15" hidden="false" customHeight="false" outlineLevel="0" collapsed="false">
      <c r="A198" s="0" t="str">
        <f aca="false">IF(INDEX(BookTitle,193)="","",INDEX(BookKey,193))</f>
        <v/>
      </c>
      <c r="B198" s="0" t="str">
        <f aca="false">IF(INDEX(BookTitle,193)="","",INDEX(BookGroup,193))</f>
        <v/>
      </c>
      <c r="C198" s="0" t="str">
        <f aca="false">IF(INDEX(BookTitle,193)="","",INDEX(BookCategory,193))</f>
        <v/>
      </c>
      <c r="D198" s="56" t="str">
        <f aca="false">IF(INDEX(BookTitle,193)="","",INDEX(BookTotal,193)*'5. Scenarios'!$B$6/(1+ProductivityDefault*('5. Scenarios'!$B$11-1)))</f>
        <v/>
      </c>
      <c r="E198" s="57" t="str">
        <f aca="false">IF($D198="","",INDEX(BookRate,193)*(1+'5. Scenarios'!$B$10)*$D198)</f>
        <v/>
      </c>
      <c r="F198" s="57" t="str">
        <f aca="false">IF($E198="","",SUMIFS($E$6:$E$2405,$A$6:$A$2405,"&lt;="&amp;$A198))</f>
        <v/>
      </c>
      <c r="G198" s="57" t="str">
        <f aca="false">IF($E198="","",IF($F198&lt;=BankCostEnvelope*'5. Scenarios'!$B$7,1,0))</f>
        <v/>
      </c>
      <c r="H198" s="57" t="str">
        <f aca="false">IF($D198="","",INDEX(BookRate,193)*(1+'5. Scenarios'!$B$10)*(INDEX(BookQ1,193)*(5-MIN(4,1+'5. Scenarios'!$B$8))/4+INDEX(BookQ2,193)*(5-MIN(4,2+'5. Scenarios'!$B$8))/4+INDEX(BookQ3,193)*(5-MIN(4,3+'5. Scenarios'!$B$8))/4+INDEX(BookQ4,193)*(5-MIN(4,4+'5. Scenarios'!$B$8))/4)*'5. Scenarios'!$B$6/(1+ProductivityDefault*('5. Scenarios'!$B$11-1))+INDEX(BookOneOff,193)*$D198)</f>
        <v/>
      </c>
      <c r="I198" s="56" t="str">
        <f aca="false">IF(INDEX(BookTitle,193)="","",INDEX(BookTotal,193)*'5. Scenarios'!$C$6/(1+ProductivityDefault*('5. Scenarios'!$C$11-1)))</f>
        <v/>
      </c>
      <c r="J198" s="57" t="str">
        <f aca="false">IF($I198="","",INDEX(BookRate,193)*(1+'5. Scenarios'!$C$10)*$I198)</f>
        <v/>
      </c>
      <c r="K198" s="57" t="str">
        <f aca="false">IF($J198="","",SUMIFS($J$6:$J$2405,$A$6:$A$2405,"&lt;="&amp;$A198))</f>
        <v/>
      </c>
      <c r="L198" s="57" t="str">
        <f aca="false">IF($J198="","",IF($K198&lt;=BankCostEnvelope*'5. Scenarios'!$C$7,1,0))</f>
        <v/>
      </c>
      <c r="M198" s="57" t="str">
        <f aca="false">IF($I198="","",INDEX(BookRate,193)*(1+'5. Scenarios'!$C$10)*(INDEX(BookQ1,193)*(5-MIN(4,1+'5. Scenarios'!$C$8))/4+INDEX(BookQ2,193)*(5-MIN(4,2+'5. Scenarios'!$C$8))/4+INDEX(BookQ3,193)*(5-MIN(4,3+'5. Scenarios'!$C$8))/4+INDEX(BookQ4,193)*(5-MIN(4,4+'5. Scenarios'!$C$8))/4)*'5. Scenarios'!$C$6/(1+ProductivityDefault*('5. Scenarios'!$C$11-1))+INDEX(BookOneOff,193)*$I198)</f>
        <v/>
      </c>
      <c r="N198" s="56" t="str">
        <f aca="false">IF(INDEX(BookTitle,193)="","",INDEX(BookTotal,193)*'5. Scenarios'!$D$6/(1+ProductivityDefault*('5. Scenarios'!$D$11-1)))</f>
        <v/>
      </c>
      <c r="O198" s="57" t="str">
        <f aca="false">IF($N198="","",INDEX(BookRate,193)*(1+'5. Scenarios'!$D$10)*$N198)</f>
        <v/>
      </c>
      <c r="P198" s="57" t="str">
        <f aca="false">IF($O198="","",SUMIFS($O$6:$O$2405,$A$6:$A$2405,"&lt;="&amp;$A198))</f>
        <v/>
      </c>
      <c r="Q198" s="57" t="str">
        <f aca="false">IF($O198="","",IF($P198&lt;=BankCostEnvelope*'5. Scenarios'!$D$7,1,0))</f>
        <v/>
      </c>
      <c r="R198" s="57" t="str">
        <f aca="false">IF($N198="","",INDEX(BookRate,193)*(1+'5. Scenarios'!$D$10)*(INDEX(BookQ1,193)*(5-MIN(4,1+'5. Scenarios'!$D$8))/4+INDEX(BookQ2,193)*(5-MIN(4,2+'5. Scenarios'!$D$8))/4+INDEX(BookQ3,193)*(5-MIN(4,3+'5. Scenarios'!$D$8))/4+INDEX(BookQ4,193)*(5-MIN(4,4+'5. Scenarios'!$D$8))/4)*'5. Scenarios'!$D$6/(1+ProductivityDefault*('5. Scenarios'!$D$11-1))+INDEX(BookOneOff,193)*$N198)</f>
        <v/>
      </c>
      <c r="S198" s="56" t="str">
        <f aca="false">IF(INDEX(BookTitle,193)="","",INDEX(BookTotal,193)*'5. Scenarios'!$E$6/(1+ProductivityDefault*('5. Scenarios'!$E$11-1)))</f>
        <v/>
      </c>
      <c r="T198" s="57" t="str">
        <f aca="false">IF($S198="","",INDEX(BookRate,193)*(1+'5. Scenarios'!$E$10)*$S198)</f>
        <v/>
      </c>
      <c r="U198" s="57" t="str">
        <f aca="false">IF($T198="","",SUMIFS($T$6:$T$2405,$A$6:$A$2405,"&lt;="&amp;$A198))</f>
        <v/>
      </c>
      <c r="V198" s="57" t="str">
        <f aca="false">IF($T198="","",IF($U198&lt;=BankCostEnvelope*'5. Scenarios'!$E$7,1,0))</f>
        <v/>
      </c>
      <c r="W198" s="57" t="str">
        <f aca="false">IF($S198="","",INDEX(BookRate,193)*(1+'5. Scenarios'!$E$10)*(INDEX(BookQ1,193)*(5-MIN(4,1+'5. Scenarios'!$E$8))/4+INDEX(BookQ2,193)*(5-MIN(4,2+'5. Scenarios'!$E$8))/4+INDEX(BookQ3,193)*(5-MIN(4,3+'5. Scenarios'!$E$8))/4+INDEX(BookQ4,193)*(5-MIN(4,4+'5. Scenarios'!$E$8))/4)*'5. Scenarios'!$E$6/(1+ProductivityDefault*('5. Scenarios'!$E$11-1))+INDEX(BookOneOff,193)*$S198)</f>
        <v/>
      </c>
    </row>
    <row r="199" customFormat="false" ht="15" hidden="false" customHeight="false" outlineLevel="0" collapsed="false">
      <c r="A199" s="0" t="str">
        <f aca="false">IF(INDEX(BookTitle,194)="","",INDEX(BookKey,194))</f>
        <v/>
      </c>
      <c r="B199" s="0" t="str">
        <f aca="false">IF(INDEX(BookTitle,194)="","",INDEX(BookGroup,194))</f>
        <v/>
      </c>
      <c r="C199" s="0" t="str">
        <f aca="false">IF(INDEX(BookTitle,194)="","",INDEX(BookCategory,194))</f>
        <v/>
      </c>
      <c r="D199" s="56" t="str">
        <f aca="false">IF(INDEX(BookTitle,194)="","",INDEX(BookTotal,194)*'5. Scenarios'!$B$6/(1+ProductivityDefault*('5. Scenarios'!$B$11-1)))</f>
        <v/>
      </c>
      <c r="E199" s="57" t="str">
        <f aca="false">IF($D199="","",INDEX(BookRate,194)*(1+'5. Scenarios'!$B$10)*$D199)</f>
        <v/>
      </c>
      <c r="F199" s="57" t="str">
        <f aca="false">IF($E199="","",SUMIFS($E$6:$E$2405,$A$6:$A$2405,"&lt;="&amp;$A199))</f>
        <v/>
      </c>
      <c r="G199" s="57" t="str">
        <f aca="false">IF($E199="","",IF($F199&lt;=BankCostEnvelope*'5. Scenarios'!$B$7,1,0))</f>
        <v/>
      </c>
      <c r="H199" s="57" t="str">
        <f aca="false">IF($D199="","",INDEX(BookRate,194)*(1+'5. Scenarios'!$B$10)*(INDEX(BookQ1,194)*(5-MIN(4,1+'5. Scenarios'!$B$8))/4+INDEX(BookQ2,194)*(5-MIN(4,2+'5. Scenarios'!$B$8))/4+INDEX(BookQ3,194)*(5-MIN(4,3+'5. Scenarios'!$B$8))/4+INDEX(BookQ4,194)*(5-MIN(4,4+'5. Scenarios'!$B$8))/4)*'5. Scenarios'!$B$6/(1+ProductivityDefault*('5. Scenarios'!$B$11-1))+INDEX(BookOneOff,194)*$D199)</f>
        <v/>
      </c>
      <c r="I199" s="56" t="str">
        <f aca="false">IF(INDEX(BookTitle,194)="","",INDEX(BookTotal,194)*'5. Scenarios'!$C$6/(1+ProductivityDefault*('5. Scenarios'!$C$11-1)))</f>
        <v/>
      </c>
      <c r="J199" s="57" t="str">
        <f aca="false">IF($I199="","",INDEX(BookRate,194)*(1+'5. Scenarios'!$C$10)*$I199)</f>
        <v/>
      </c>
      <c r="K199" s="57" t="str">
        <f aca="false">IF($J199="","",SUMIFS($J$6:$J$2405,$A$6:$A$2405,"&lt;="&amp;$A199))</f>
        <v/>
      </c>
      <c r="L199" s="57" t="str">
        <f aca="false">IF($J199="","",IF($K199&lt;=BankCostEnvelope*'5. Scenarios'!$C$7,1,0))</f>
        <v/>
      </c>
      <c r="M199" s="57" t="str">
        <f aca="false">IF($I199="","",INDEX(BookRate,194)*(1+'5. Scenarios'!$C$10)*(INDEX(BookQ1,194)*(5-MIN(4,1+'5. Scenarios'!$C$8))/4+INDEX(BookQ2,194)*(5-MIN(4,2+'5. Scenarios'!$C$8))/4+INDEX(BookQ3,194)*(5-MIN(4,3+'5. Scenarios'!$C$8))/4+INDEX(BookQ4,194)*(5-MIN(4,4+'5. Scenarios'!$C$8))/4)*'5. Scenarios'!$C$6/(1+ProductivityDefault*('5. Scenarios'!$C$11-1))+INDEX(BookOneOff,194)*$I199)</f>
        <v/>
      </c>
      <c r="N199" s="56" t="str">
        <f aca="false">IF(INDEX(BookTitle,194)="","",INDEX(BookTotal,194)*'5. Scenarios'!$D$6/(1+ProductivityDefault*('5. Scenarios'!$D$11-1)))</f>
        <v/>
      </c>
      <c r="O199" s="57" t="str">
        <f aca="false">IF($N199="","",INDEX(BookRate,194)*(1+'5. Scenarios'!$D$10)*$N199)</f>
        <v/>
      </c>
      <c r="P199" s="57" t="str">
        <f aca="false">IF($O199="","",SUMIFS($O$6:$O$2405,$A$6:$A$2405,"&lt;="&amp;$A199))</f>
        <v/>
      </c>
      <c r="Q199" s="57" t="str">
        <f aca="false">IF($O199="","",IF($P199&lt;=BankCostEnvelope*'5. Scenarios'!$D$7,1,0))</f>
        <v/>
      </c>
      <c r="R199" s="57" t="str">
        <f aca="false">IF($N199="","",INDEX(BookRate,194)*(1+'5. Scenarios'!$D$10)*(INDEX(BookQ1,194)*(5-MIN(4,1+'5. Scenarios'!$D$8))/4+INDEX(BookQ2,194)*(5-MIN(4,2+'5. Scenarios'!$D$8))/4+INDEX(BookQ3,194)*(5-MIN(4,3+'5. Scenarios'!$D$8))/4+INDEX(BookQ4,194)*(5-MIN(4,4+'5. Scenarios'!$D$8))/4)*'5. Scenarios'!$D$6/(1+ProductivityDefault*('5. Scenarios'!$D$11-1))+INDEX(BookOneOff,194)*$N199)</f>
        <v/>
      </c>
      <c r="S199" s="56" t="str">
        <f aca="false">IF(INDEX(BookTitle,194)="","",INDEX(BookTotal,194)*'5. Scenarios'!$E$6/(1+ProductivityDefault*('5. Scenarios'!$E$11-1)))</f>
        <v/>
      </c>
      <c r="T199" s="57" t="str">
        <f aca="false">IF($S199="","",INDEX(BookRate,194)*(1+'5. Scenarios'!$E$10)*$S199)</f>
        <v/>
      </c>
      <c r="U199" s="57" t="str">
        <f aca="false">IF($T199="","",SUMIFS($T$6:$T$2405,$A$6:$A$2405,"&lt;="&amp;$A199))</f>
        <v/>
      </c>
      <c r="V199" s="57" t="str">
        <f aca="false">IF($T199="","",IF($U199&lt;=BankCostEnvelope*'5. Scenarios'!$E$7,1,0))</f>
        <v/>
      </c>
      <c r="W199" s="57" t="str">
        <f aca="false">IF($S199="","",INDEX(BookRate,194)*(1+'5. Scenarios'!$E$10)*(INDEX(BookQ1,194)*(5-MIN(4,1+'5. Scenarios'!$E$8))/4+INDEX(BookQ2,194)*(5-MIN(4,2+'5. Scenarios'!$E$8))/4+INDEX(BookQ3,194)*(5-MIN(4,3+'5. Scenarios'!$E$8))/4+INDEX(BookQ4,194)*(5-MIN(4,4+'5. Scenarios'!$E$8))/4)*'5. Scenarios'!$E$6/(1+ProductivityDefault*('5. Scenarios'!$E$11-1))+INDEX(BookOneOff,194)*$S199)</f>
        <v/>
      </c>
    </row>
    <row r="200" customFormat="false" ht="15" hidden="false" customHeight="false" outlineLevel="0" collapsed="false">
      <c r="A200" s="0" t="str">
        <f aca="false">IF(INDEX(BookTitle,195)="","",INDEX(BookKey,195))</f>
        <v/>
      </c>
      <c r="B200" s="0" t="str">
        <f aca="false">IF(INDEX(BookTitle,195)="","",INDEX(BookGroup,195))</f>
        <v/>
      </c>
      <c r="C200" s="0" t="str">
        <f aca="false">IF(INDEX(BookTitle,195)="","",INDEX(BookCategory,195))</f>
        <v/>
      </c>
      <c r="D200" s="56" t="str">
        <f aca="false">IF(INDEX(BookTitle,195)="","",INDEX(BookTotal,195)*'5. Scenarios'!$B$6/(1+ProductivityDefault*('5. Scenarios'!$B$11-1)))</f>
        <v/>
      </c>
      <c r="E200" s="57" t="str">
        <f aca="false">IF($D200="","",INDEX(BookRate,195)*(1+'5. Scenarios'!$B$10)*$D200)</f>
        <v/>
      </c>
      <c r="F200" s="57" t="str">
        <f aca="false">IF($E200="","",SUMIFS($E$6:$E$2405,$A$6:$A$2405,"&lt;="&amp;$A200))</f>
        <v/>
      </c>
      <c r="G200" s="57" t="str">
        <f aca="false">IF($E200="","",IF($F200&lt;=BankCostEnvelope*'5. Scenarios'!$B$7,1,0))</f>
        <v/>
      </c>
      <c r="H200" s="57" t="str">
        <f aca="false">IF($D200="","",INDEX(BookRate,195)*(1+'5. Scenarios'!$B$10)*(INDEX(BookQ1,195)*(5-MIN(4,1+'5. Scenarios'!$B$8))/4+INDEX(BookQ2,195)*(5-MIN(4,2+'5. Scenarios'!$B$8))/4+INDEX(BookQ3,195)*(5-MIN(4,3+'5. Scenarios'!$B$8))/4+INDEX(BookQ4,195)*(5-MIN(4,4+'5. Scenarios'!$B$8))/4)*'5. Scenarios'!$B$6/(1+ProductivityDefault*('5. Scenarios'!$B$11-1))+INDEX(BookOneOff,195)*$D200)</f>
        <v/>
      </c>
      <c r="I200" s="56" t="str">
        <f aca="false">IF(INDEX(BookTitle,195)="","",INDEX(BookTotal,195)*'5. Scenarios'!$C$6/(1+ProductivityDefault*('5. Scenarios'!$C$11-1)))</f>
        <v/>
      </c>
      <c r="J200" s="57" t="str">
        <f aca="false">IF($I200="","",INDEX(BookRate,195)*(1+'5. Scenarios'!$C$10)*$I200)</f>
        <v/>
      </c>
      <c r="K200" s="57" t="str">
        <f aca="false">IF($J200="","",SUMIFS($J$6:$J$2405,$A$6:$A$2405,"&lt;="&amp;$A200))</f>
        <v/>
      </c>
      <c r="L200" s="57" t="str">
        <f aca="false">IF($J200="","",IF($K200&lt;=BankCostEnvelope*'5. Scenarios'!$C$7,1,0))</f>
        <v/>
      </c>
      <c r="M200" s="57" t="str">
        <f aca="false">IF($I200="","",INDEX(BookRate,195)*(1+'5. Scenarios'!$C$10)*(INDEX(BookQ1,195)*(5-MIN(4,1+'5. Scenarios'!$C$8))/4+INDEX(BookQ2,195)*(5-MIN(4,2+'5. Scenarios'!$C$8))/4+INDEX(BookQ3,195)*(5-MIN(4,3+'5. Scenarios'!$C$8))/4+INDEX(BookQ4,195)*(5-MIN(4,4+'5. Scenarios'!$C$8))/4)*'5. Scenarios'!$C$6/(1+ProductivityDefault*('5. Scenarios'!$C$11-1))+INDEX(BookOneOff,195)*$I200)</f>
        <v/>
      </c>
      <c r="N200" s="56" t="str">
        <f aca="false">IF(INDEX(BookTitle,195)="","",INDEX(BookTotal,195)*'5. Scenarios'!$D$6/(1+ProductivityDefault*('5. Scenarios'!$D$11-1)))</f>
        <v/>
      </c>
      <c r="O200" s="57" t="str">
        <f aca="false">IF($N200="","",INDEX(BookRate,195)*(1+'5. Scenarios'!$D$10)*$N200)</f>
        <v/>
      </c>
      <c r="P200" s="57" t="str">
        <f aca="false">IF($O200="","",SUMIFS($O$6:$O$2405,$A$6:$A$2405,"&lt;="&amp;$A200))</f>
        <v/>
      </c>
      <c r="Q200" s="57" t="str">
        <f aca="false">IF($O200="","",IF($P200&lt;=BankCostEnvelope*'5. Scenarios'!$D$7,1,0))</f>
        <v/>
      </c>
      <c r="R200" s="57" t="str">
        <f aca="false">IF($N200="","",INDEX(BookRate,195)*(1+'5. Scenarios'!$D$10)*(INDEX(BookQ1,195)*(5-MIN(4,1+'5. Scenarios'!$D$8))/4+INDEX(BookQ2,195)*(5-MIN(4,2+'5. Scenarios'!$D$8))/4+INDEX(BookQ3,195)*(5-MIN(4,3+'5. Scenarios'!$D$8))/4+INDEX(BookQ4,195)*(5-MIN(4,4+'5. Scenarios'!$D$8))/4)*'5. Scenarios'!$D$6/(1+ProductivityDefault*('5. Scenarios'!$D$11-1))+INDEX(BookOneOff,195)*$N200)</f>
        <v/>
      </c>
      <c r="S200" s="56" t="str">
        <f aca="false">IF(INDEX(BookTitle,195)="","",INDEX(BookTotal,195)*'5. Scenarios'!$E$6/(1+ProductivityDefault*('5. Scenarios'!$E$11-1)))</f>
        <v/>
      </c>
      <c r="T200" s="57" t="str">
        <f aca="false">IF($S200="","",INDEX(BookRate,195)*(1+'5. Scenarios'!$E$10)*$S200)</f>
        <v/>
      </c>
      <c r="U200" s="57" t="str">
        <f aca="false">IF($T200="","",SUMIFS($T$6:$T$2405,$A$6:$A$2405,"&lt;="&amp;$A200))</f>
        <v/>
      </c>
      <c r="V200" s="57" t="str">
        <f aca="false">IF($T200="","",IF($U200&lt;=BankCostEnvelope*'5. Scenarios'!$E$7,1,0))</f>
        <v/>
      </c>
      <c r="W200" s="57" t="str">
        <f aca="false">IF($S200="","",INDEX(BookRate,195)*(1+'5. Scenarios'!$E$10)*(INDEX(BookQ1,195)*(5-MIN(4,1+'5. Scenarios'!$E$8))/4+INDEX(BookQ2,195)*(5-MIN(4,2+'5. Scenarios'!$E$8))/4+INDEX(BookQ3,195)*(5-MIN(4,3+'5. Scenarios'!$E$8))/4+INDEX(BookQ4,195)*(5-MIN(4,4+'5. Scenarios'!$E$8))/4)*'5. Scenarios'!$E$6/(1+ProductivityDefault*('5. Scenarios'!$E$11-1))+INDEX(BookOneOff,195)*$S200)</f>
        <v/>
      </c>
    </row>
    <row r="201" customFormat="false" ht="15" hidden="false" customHeight="false" outlineLevel="0" collapsed="false">
      <c r="A201" s="0" t="str">
        <f aca="false">IF(INDEX(BookTitle,196)="","",INDEX(BookKey,196))</f>
        <v/>
      </c>
      <c r="B201" s="0" t="str">
        <f aca="false">IF(INDEX(BookTitle,196)="","",INDEX(BookGroup,196))</f>
        <v/>
      </c>
      <c r="C201" s="0" t="str">
        <f aca="false">IF(INDEX(BookTitle,196)="","",INDEX(BookCategory,196))</f>
        <v/>
      </c>
      <c r="D201" s="56" t="str">
        <f aca="false">IF(INDEX(BookTitle,196)="","",INDEX(BookTotal,196)*'5. Scenarios'!$B$6/(1+ProductivityDefault*('5. Scenarios'!$B$11-1)))</f>
        <v/>
      </c>
      <c r="E201" s="57" t="str">
        <f aca="false">IF($D201="","",INDEX(BookRate,196)*(1+'5. Scenarios'!$B$10)*$D201)</f>
        <v/>
      </c>
      <c r="F201" s="57" t="str">
        <f aca="false">IF($E201="","",SUMIFS($E$6:$E$2405,$A$6:$A$2405,"&lt;="&amp;$A201))</f>
        <v/>
      </c>
      <c r="G201" s="57" t="str">
        <f aca="false">IF($E201="","",IF($F201&lt;=BankCostEnvelope*'5. Scenarios'!$B$7,1,0))</f>
        <v/>
      </c>
      <c r="H201" s="57" t="str">
        <f aca="false">IF($D201="","",INDEX(BookRate,196)*(1+'5. Scenarios'!$B$10)*(INDEX(BookQ1,196)*(5-MIN(4,1+'5. Scenarios'!$B$8))/4+INDEX(BookQ2,196)*(5-MIN(4,2+'5. Scenarios'!$B$8))/4+INDEX(BookQ3,196)*(5-MIN(4,3+'5. Scenarios'!$B$8))/4+INDEX(BookQ4,196)*(5-MIN(4,4+'5. Scenarios'!$B$8))/4)*'5. Scenarios'!$B$6/(1+ProductivityDefault*('5. Scenarios'!$B$11-1))+INDEX(BookOneOff,196)*$D201)</f>
        <v/>
      </c>
      <c r="I201" s="56" t="str">
        <f aca="false">IF(INDEX(BookTitle,196)="","",INDEX(BookTotal,196)*'5. Scenarios'!$C$6/(1+ProductivityDefault*('5. Scenarios'!$C$11-1)))</f>
        <v/>
      </c>
      <c r="J201" s="57" t="str">
        <f aca="false">IF($I201="","",INDEX(BookRate,196)*(1+'5. Scenarios'!$C$10)*$I201)</f>
        <v/>
      </c>
      <c r="K201" s="57" t="str">
        <f aca="false">IF($J201="","",SUMIFS($J$6:$J$2405,$A$6:$A$2405,"&lt;="&amp;$A201))</f>
        <v/>
      </c>
      <c r="L201" s="57" t="str">
        <f aca="false">IF($J201="","",IF($K201&lt;=BankCostEnvelope*'5. Scenarios'!$C$7,1,0))</f>
        <v/>
      </c>
      <c r="M201" s="57" t="str">
        <f aca="false">IF($I201="","",INDEX(BookRate,196)*(1+'5. Scenarios'!$C$10)*(INDEX(BookQ1,196)*(5-MIN(4,1+'5. Scenarios'!$C$8))/4+INDEX(BookQ2,196)*(5-MIN(4,2+'5. Scenarios'!$C$8))/4+INDEX(BookQ3,196)*(5-MIN(4,3+'5. Scenarios'!$C$8))/4+INDEX(BookQ4,196)*(5-MIN(4,4+'5. Scenarios'!$C$8))/4)*'5. Scenarios'!$C$6/(1+ProductivityDefault*('5. Scenarios'!$C$11-1))+INDEX(BookOneOff,196)*$I201)</f>
        <v/>
      </c>
      <c r="N201" s="56" t="str">
        <f aca="false">IF(INDEX(BookTitle,196)="","",INDEX(BookTotal,196)*'5. Scenarios'!$D$6/(1+ProductivityDefault*('5. Scenarios'!$D$11-1)))</f>
        <v/>
      </c>
      <c r="O201" s="57" t="str">
        <f aca="false">IF($N201="","",INDEX(BookRate,196)*(1+'5. Scenarios'!$D$10)*$N201)</f>
        <v/>
      </c>
      <c r="P201" s="57" t="str">
        <f aca="false">IF($O201="","",SUMIFS($O$6:$O$2405,$A$6:$A$2405,"&lt;="&amp;$A201))</f>
        <v/>
      </c>
      <c r="Q201" s="57" t="str">
        <f aca="false">IF($O201="","",IF($P201&lt;=BankCostEnvelope*'5. Scenarios'!$D$7,1,0))</f>
        <v/>
      </c>
      <c r="R201" s="57" t="str">
        <f aca="false">IF($N201="","",INDEX(BookRate,196)*(1+'5. Scenarios'!$D$10)*(INDEX(BookQ1,196)*(5-MIN(4,1+'5. Scenarios'!$D$8))/4+INDEX(BookQ2,196)*(5-MIN(4,2+'5. Scenarios'!$D$8))/4+INDEX(BookQ3,196)*(5-MIN(4,3+'5. Scenarios'!$D$8))/4+INDEX(BookQ4,196)*(5-MIN(4,4+'5. Scenarios'!$D$8))/4)*'5. Scenarios'!$D$6/(1+ProductivityDefault*('5. Scenarios'!$D$11-1))+INDEX(BookOneOff,196)*$N201)</f>
        <v/>
      </c>
      <c r="S201" s="56" t="str">
        <f aca="false">IF(INDEX(BookTitle,196)="","",INDEX(BookTotal,196)*'5. Scenarios'!$E$6/(1+ProductivityDefault*('5. Scenarios'!$E$11-1)))</f>
        <v/>
      </c>
      <c r="T201" s="57" t="str">
        <f aca="false">IF($S201="","",INDEX(BookRate,196)*(1+'5. Scenarios'!$E$10)*$S201)</f>
        <v/>
      </c>
      <c r="U201" s="57" t="str">
        <f aca="false">IF($T201="","",SUMIFS($T$6:$T$2405,$A$6:$A$2405,"&lt;="&amp;$A201))</f>
        <v/>
      </c>
      <c r="V201" s="57" t="str">
        <f aca="false">IF($T201="","",IF($U201&lt;=BankCostEnvelope*'5. Scenarios'!$E$7,1,0))</f>
        <v/>
      </c>
      <c r="W201" s="57" t="str">
        <f aca="false">IF($S201="","",INDEX(BookRate,196)*(1+'5. Scenarios'!$E$10)*(INDEX(BookQ1,196)*(5-MIN(4,1+'5. Scenarios'!$E$8))/4+INDEX(BookQ2,196)*(5-MIN(4,2+'5. Scenarios'!$E$8))/4+INDEX(BookQ3,196)*(5-MIN(4,3+'5. Scenarios'!$E$8))/4+INDEX(BookQ4,196)*(5-MIN(4,4+'5. Scenarios'!$E$8))/4)*'5. Scenarios'!$E$6/(1+ProductivityDefault*('5. Scenarios'!$E$11-1))+INDEX(BookOneOff,196)*$S201)</f>
        <v/>
      </c>
    </row>
    <row r="202" customFormat="false" ht="15" hidden="false" customHeight="false" outlineLevel="0" collapsed="false">
      <c r="A202" s="0" t="str">
        <f aca="false">IF(INDEX(BookTitle,197)="","",INDEX(BookKey,197))</f>
        <v/>
      </c>
      <c r="B202" s="0" t="str">
        <f aca="false">IF(INDEX(BookTitle,197)="","",INDEX(BookGroup,197))</f>
        <v/>
      </c>
      <c r="C202" s="0" t="str">
        <f aca="false">IF(INDEX(BookTitle,197)="","",INDEX(BookCategory,197))</f>
        <v/>
      </c>
      <c r="D202" s="56" t="str">
        <f aca="false">IF(INDEX(BookTitle,197)="","",INDEX(BookTotal,197)*'5. Scenarios'!$B$6/(1+ProductivityDefault*('5. Scenarios'!$B$11-1)))</f>
        <v/>
      </c>
      <c r="E202" s="57" t="str">
        <f aca="false">IF($D202="","",INDEX(BookRate,197)*(1+'5. Scenarios'!$B$10)*$D202)</f>
        <v/>
      </c>
      <c r="F202" s="57" t="str">
        <f aca="false">IF($E202="","",SUMIFS($E$6:$E$2405,$A$6:$A$2405,"&lt;="&amp;$A202))</f>
        <v/>
      </c>
      <c r="G202" s="57" t="str">
        <f aca="false">IF($E202="","",IF($F202&lt;=BankCostEnvelope*'5. Scenarios'!$B$7,1,0))</f>
        <v/>
      </c>
      <c r="H202" s="57" t="str">
        <f aca="false">IF($D202="","",INDEX(BookRate,197)*(1+'5. Scenarios'!$B$10)*(INDEX(BookQ1,197)*(5-MIN(4,1+'5. Scenarios'!$B$8))/4+INDEX(BookQ2,197)*(5-MIN(4,2+'5. Scenarios'!$B$8))/4+INDEX(BookQ3,197)*(5-MIN(4,3+'5. Scenarios'!$B$8))/4+INDEX(BookQ4,197)*(5-MIN(4,4+'5. Scenarios'!$B$8))/4)*'5. Scenarios'!$B$6/(1+ProductivityDefault*('5. Scenarios'!$B$11-1))+INDEX(BookOneOff,197)*$D202)</f>
        <v/>
      </c>
      <c r="I202" s="56" t="str">
        <f aca="false">IF(INDEX(BookTitle,197)="","",INDEX(BookTotal,197)*'5. Scenarios'!$C$6/(1+ProductivityDefault*('5. Scenarios'!$C$11-1)))</f>
        <v/>
      </c>
      <c r="J202" s="57" t="str">
        <f aca="false">IF($I202="","",INDEX(BookRate,197)*(1+'5. Scenarios'!$C$10)*$I202)</f>
        <v/>
      </c>
      <c r="K202" s="57" t="str">
        <f aca="false">IF($J202="","",SUMIFS($J$6:$J$2405,$A$6:$A$2405,"&lt;="&amp;$A202))</f>
        <v/>
      </c>
      <c r="L202" s="57" t="str">
        <f aca="false">IF($J202="","",IF($K202&lt;=BankCostEnvelope*'5. Scenarios'!$C$7,1,0))</f>
        <v/>
      </c>
      <c r="M202" s="57" t="str">
        <f aca="false">IF($I202="","",INDEX(BookRate,197)*(1+'5. Scenarios'!$C$10)*(INDEX(BookQ1,197)*(5-MIN(4,1+'5. Scenarios'!$C$8))/4+INDEX(BookQ2,197)*(5-MIN(4,2+'5. Scenarios'!$C$8))/4+INDEX(BookQ3,197)*(5-MIN(4,3+'5. Scenarios'!$C$8))/4+INDEX(BookQ4,197)*(5-MIN(4,4+'5. Scenarios'!$C$8))/4)*'5. Scenarios'!$C$6/(1+ProductivityDefault*('5. Scenarios'!$C$11-1))+INDEX(BookOneOff,197)*$I202)</f>
        <v/>
      </c>
      <c r="N202" s="56" t="str">
        <f aca="false">IF(INDEX(BookTitle,197)="","",INDEX(BookTotal,197)*'5. Scenarios'!$D$6/(1+ProductivityDefault*('5. Scenarios'!$D$11-1)))</f>
        <v/>
      </c>
      <c r="O202" s="57" t="str">
        <f aca="false">IF($N202="","",INDEX(BookRate,197)*(1+'5. Scenarios'!$D$10)*$N202)</f>
        <v/>
      </c>
      <c r="P202" s="57" t="str">
        <f aca="false">IF($O202="","",SUMIFS($O$6:$O$2405,$A$6:$A$2405,"&lt;="&amp;$A202))</f>
        <v/>
      </c>
      <c r="Q202" s="57" t="str">
        <f aca="false">IF($O202="","",IF($P202&lt;=BankCostEnvelope*'5. Scenarios'!$D$7,1,0))</f>
        <v/>
      </c>
      <c r="R202" s="57" t="str">
        <f aca="false">IF($N202="","",INDEX(BookRate,197)*(1+'5. Scenarios'!$D$10)*(INDEX(BookQ1,197)*(5-MIN(4,1+'5. Scenarios'!$D$8))/4+INDEX(BookQ2,197)*(5-MIN(4,2+'5. Scenarios'!$D$8))/4+INDEX(BookQ3,197)*(5-MIN(4,3+'5. Scenarios'!$D$8))/4+INDEX(BookQ4,197)*(5-MIN(4,4+'5. Scenarios'!$D$8))/4)*'5. Scenarios'!$D$6/(1+ProductivityDefault*('5. Scenarios'!$D$11-1))+INDEX(BookOneOff,197)*$N202)</f>
        <v/>
      </c>
      <c r="S202" s="56" t="str">
        <f aca="false">IF(INDEX(BookTitle,197)="","",INDEX(BookTotal,197)*'5. Scenarios'!$E$6/(1+ProductivityDefault*('5. Scenarios'!$E$11-1)))</f>
        <v/>
      </c>
      <c r="T202" s="57" t="str">
        <f aca="false">IF($S202="","",INDEX(BookRate,197)*(1+'5. Scenarios'!$E$10)*$S202)</f>
        <v/>
      </c>
      <c r="U202" s="57" t="str">
        <f aca="false">IF($T202="","",SUMIFS($T$6:$T$2405,$A$6:$A$2405,"&lt;="&amp;$A202))</f>
        <v/>
      </c>
      <c r="V202" s="57" t="str">
        <f aca="false">IF($T202="","",IF($U202&lt;=BankCostEnvelope*'5. Scenarios'!$E$7,1,0))</f>
        <v/>
      </c>
      <c r="W202" s="57" t="str">
        <f aca="false">IF($S202="","",INDEX(BookRate,197)*(1+'5. Scenarios'!$E$10)*(INDEX(BookQ1,197)*(5-MIN(4,1+'5. Scenarios'!$E$8))/4+INDEX(BookQ2,197)*(5-MIN(4,2+'5. Scenarios'!$E$8))/4+INDEX(BookQ3,197)*(5-MIN(4,3+'5. Scenarios'!$E$8))/4+INDEX(BookQ4,197)*(5-MIN(4,4+'5. Scenarios'!$E$8))/4)*'5. Scenarios'!$E$6/(1+ProductivityDefault*('5. Scenarios'!$E$11-1))+INDEX(BookOneOff,197)*$S202)</f>
        <v/>
      </c>
    </row>
    <row r="203" customFormat="false" ht="15" hidden="false" customHeight="false" outlineLevel="0" collapsed="false">
      <c r="A203" s="0" t="str">
        <f aca="false">IF(INDEX(BookTitle,198)="","",INDEX(BookKey,198))</f>
        <v/>
      </c>
      <c r="B203" s="0" t="str">
        <f aca="false">IF(INDEX(BookTitle,198)="","",INDEX(BookGroup,198))</f>
        <v/>
      </c>
      <c r="C203" s="0" t="str">
        <f aca="false">IF(INDEX(BookTitle,198)="","",INDEX(BookCategory,198))</f>
        <v/>
      </c>
      <c r="D203" s="56" t="str">
        <f aca="false">IF(INDEX(BookTitle,198)="","",INDEX(BookTotal,198)*'5. Scenarios'!$B$6/(1+ProductivityDefault*('5. Scenarios'!$B$11-1)))</f>
        <v/>
      </c>
      <c r="E203" s="57" t="str">
        <f aca="false">IF($D203="","",INDEX(BookRate,198)*(1+'5. Scenarios'!$B$10)*$D203)</f>
        <v/>
      </c>
      <c r="F203" s="57" t="str">
        <f aca="false">IF($E203="","",SUMIFS($E$6:$E$2405,$A$6:$A$2405,"&lt;="&amp;$A203))</f>
        <v/>
      </c>
      <c r="G203" s="57" t="str">
        <f aca="false">IF($E203="","",IF($F203&lt;=BankCostEnvelope*'5. Scenarios'!$B$7,1,0))</f>
        <v/>
      </c>
      <c r="H203" s="57" t="str">
        <f aca="false">IF($D203="","",INDEX(BookRate,198)*(1+'5. Scenarios'!$B$10)*(INDEX(BookQ1,198)*(5-MIN(4,1+'5. Scenarios'!$B$8))/4+INDEX(BookQ2,198)*(5-MIN(4,2+'5. Scenarios'!$B$8))/4+INDEX(BookQ3,198)*(5-MIN(4,3+'5. Scenarios'!$B$8))/4+INDEX(BookQ4,198)*(5-MIN(4,4+'5. Scenarios'!$B$8))/4)*'5. Scenarios'!$B$6/(1+ProductivityDefault*('5. Scenarios'!$B$11-1))+INDEX(BookOneOff,198)*$D203)</f>
        <v/>
      </c>
      <c r="I203" s="56" t="str">
        <f aca="false">IF(INDEX(BookTitle,198)="","",INDEX(BookTotal,198)*'5. Scenarios'!$C$6/(1+ProductivityDefault*('5. Scenarios'!$C$11-1)))</f>
        <v/>
      </c>
      <c r="J203" s="57" t="str">
        <f aca="false">IF($I203="","",INDEX(BookRate,198)*(1+'5. Scenarios'!$C$10)*$I203)</f>
        <v/>
      </c>
      <c r="K203" s="57" t="str">
        <f aca="false">IF($J203="","",SUMIFS($J$6:$J$2405,$A$6:$A$2405,"&lt;="&amp;$A203))</f>
        <v/>
      </c>
      <c r="L203" s="57" t="str">
        <f aca="false">IF($J203="","",IF($K203&lt;=BankCostEnvelope*'5. Scenarios'!$C$7,1,0))</f>
        <v/>
      </c>
      <c r="M203" s="57" t="str">
        <f aca="false">IF($I203="","",INDEX(BookRate,198)*(1+'5. Scenarios'!$C$10)*(INDEX(BookQ1,198)*(5-MIN(4,1+'5. Scenarios'!$C$8))/4+INDEX(BookQ2,198)*(5-MIN(4,2+'5. Scenarios'!$C$8))/4+INDEX(BookQ3,198)*(5-MIN(4,3+'5. Scenarios'!$C$8))/4+INDEX(BookQ4,198)*(5-MIN(4,4+'5. Scenarios'!$C$8))/4)*'5. Scenarios'!$C$6/(1+ProductivityDefault*('5. Scenarios'!$C$11-1))+INDEX(BookOneOff,198)*$I203)</f>
        <v/>
      </c>
      <c r="N203" s="56" t="str">
        <f aca="false">IF(INDEX(BookTitle,198)="","",INDEX(BookTotal,198)*'5. Scenarios'!$D$6/(1+ProductivityDefault*('5. Scenarios'!$D$11-1)))</f>
        <v/>
      </c>
      <c r="O203" s="57" t="str">
        <f aca="false">IF($N203="","",INDEX(BookRate,198)*(1+'5. Scenarios'!$D$10)*$N203)</f>
        <v/>
      </c>
      <c r="P203" s="57" t="str">
        <f aca="false">IF($O203="","",SUMIFS($O$6:$O$2405,$A$6:$A$2405,"&lt;="&amp;$A203))</f>
        <v/>
      </c>
      <c r="Q203" s="57" t="str">
        <f aca="false">IF($O203="","",IF($P203&lt;=BankCostEnvelope*'5. Scenarios'!$D$7,1,0))</f>
        <v/>
      </c>
      <c r="R203" s="57" t="str">
        <f aca="false">IF($N203="","",INDEX(BookRate,198)*(1+'5. Scenarios'!$D$10)*(INDEX(BookQ1,198)*(5-MIN(4,1+'5. Scenarios'!$D$8))/4+INDEX(BookQ2,198)*(5-MIN(4,2+'5. Scenarios'!$D$8))/4+INDEX(BookQ3,198)*(5-MIN(4,3+'5. Scenarios'!$D$8))/4+INDEX(BookQ4,198)*(5-MIN(4,4+'5. Scenarios'!$D$8))/4)*'5. Scenarios'!$D$6/(1+ProductivityDefault*('5. Scenarios'!$D$11-1))+INDEX(BookOneOff,198)*$N203)</f>
        <v/>
      </c>
      <c r="S203" s="56" t="str">
        <f aca="false">IF(INDEX(BookTitle,198)="","",INDEX(BookTotal,198)*'5. Scenarios'!$E$6/(1+ProductivityDefault*('5. Scenarios'!$E$11-1)))</f>
        <v/>
      </c>
      <c r="T203" s="57" t="str">
        <f aca="false">IF($S203="","",INDEX(BookRate,198)*(1+'5. Scenarios'!$E$10)*$S203)</f>
        <v/>
      </c>
      <c r="U203" s="57" t="str">
        <f aca="false">IF($T203="","",SUMIFS($T$6:$T$2405,$A$6:$A$2405,"&lt;="&amp;$A203))</f>
        <v/>
      </c>
      <c r="V203" s="57" t="str">
        <f aca="false">IF($T203="","",IF($U203&lt;=BankCostEnvelope*'5. Scenarios'!$E$7,1,0))</f>
        <v/>
      </c>
      <c r="W203" s="57" t="str">
        <f aca="false">IF($S203="","",INDEX(BookRate,198)*(1+'5. Scenarios'!$E$10)*(INDEX(BookQ1,198)*(5-MIN(4,1+'5. Scenarios'!$E$8))/4+INDEX(BookQ2,198)*(5-MIN(4,2+'5. Scenarios'!$E$8))/4+INDEX(BookQ3,198)*(5-MIN(4,3+'5. Scenarios'!$E$8))/4+INDEX(BookQ4,198)*(5-MIN(4,4+'5. Scenarios'!$E$8))/4)*'5. Scenarios'!$E$6/(1+ProductivityDefault*('5. Scenarios'!$E$11-1))+INDEX(BookOneOff,198)*$S203)</f>
        <v/>
      </c>
    </row>
    <row r="204" customFormat="false" ht="15" hidden="false" customHeight="false" outlineLevel="0" collapsed="false">
      <c r="A204" s="0" t="str">
        <f aca="false">IF(INDEX(BookTitle,199)="","",INDEX(BookKey,199))</f>
        <v/>
      </c>
      <c r="B204" s="0" t="str">
        <f aca="false">IF(INDEX(BookTitle,199)="","",INDEX(BookGroup,199))</f>
        <v/>
      </c>
      <c r="C204" s="0" t="str">
        <f aca="false">IF(INDEX(BookTitle,199)="","",INDEX(BookCategory,199))</f>
        <v/>
      </c>
      <c r="D204" s="56" t="str">
        <f aca="false">IF(INDEX(BookTitle,199)="","",INDEX(BookTotal,199)*'5. Scenarios'!$B$6/(1+ProductivityDefault*('5. Scenarios'!$B$11-1)))</f>
        <v/>
      </c>
      <c r="E204" s="57" t="str">
        <f aca="false">IF($D204="","",INDEX(BookRate,199)*(1+'5. Scenarios'!$B$10)*$D204)</f>
        <v/>
      </c>
      <c r="F204" s="57" t="str">
        <f aca="false">IF($E204="","",SUMIFS($E$6:$E$2405,$A$6:$A$2405,"&lt;="&amp;$A204))</f>
        <v/>
      </c>
      <c r="G204" s="57" t="str">
        <f aca="false">IF($E204="","",IF($F204&lt;=BankCostEnvelope*'5. Scenarios'!$B$7,1,0))</f>
        <v/>
      </c>
      <c r="H204" s="57" t="str">
        <f aca="false">IF($D204="","",INDEX(BookRate,199)*(1+'5. Scenarios'!$B$10)*(INDEX(BookQ1,199)*(5-MIN(4,1+'5. Scenarios'!$B$8))/4+INDEX(BookQ2,199)*(5-MIN(4,2+'5. Scenarios'!$B$8))/4+INDEX(BookQ3,199)*(5-MIN(4,3+'5. Scenarios'!$B$8))/4+INDEX(BookQ4,199)*(5-MIN(4,4+'5. Scenarios'!$B$8))/4)*'5. Scenarios'!$B$6/(1+ProductivityDefault*('5. Scenarios'!$B$11-1))+INDEX(BookOneOff,199)*$D204)</f>
        <v/>
      </c>
      <c r="I204" s="56" t="str">
        <f aca="false">IF(INDEX(BookTitle,199)="","",INDEX(BookTotal,199)*'5. Scenarios'!$C$6/(1+ProductivityDefault*('5. Scenarios'!$C$11-1)))</f>
        <v/>
      </c>
      <c r="J204" s="57" t="str">
        <f aca="false">IF($I204="","",INDEX(BookRate,199)*(1+'5. Scenarios'!$C$10)*$I204)</f>
        <v/>
      </c>
      <c r="K204" s="57" t="str">
        <f aca="false">IF($J204="","",SUMIFS($J$6:$J$2405,$A$6:$A$2405,"&lt;="&amp;$A204))</f>
        <v/>
      </c>
      <c r="L204" s="57" t="str">
        <f aca="false">IF($J204="","",IF($K204&lt;=BankCostEnvelope*'5. Scenarios'!$C$7,1,0))</f>
        <v/>
      </c>
      <c r="M204" s="57" t="str">
        <f aca="false">IF($I204="","",INDEX(BookRate,199)*(1+'5. Scenarios'!$C$10)*(INDEX(BookQ1,199)*(5-MIN(4,1+'5. Scenarios'!$C$8))/4+INDEX(BookQ2,199)*(5-MIN(4,2+'5. Scenarios'!$C$8))/4+INDEX(BookQ3,199)*(5-MIN(4,3+'5. Scenarios'!$C$8))/4+INDEX(BookQ4,199)*(5-MIN(4,4+'5. Scenarios'!$C$8))/4)*'5. Scenarios'!$C$6/(1+ProductivityDefault*('5. Scenarios'!$C$11-1))+INDEX(BookOneOff,199)*$I204)</f>
        <v/>
      </c>
      <c r="N204" s="56" t="str">
        <f aca="false">IF(INDEX(BookTitle,199)="","",INDEX(BookTotal,199)*'5. Scenarios'!$D$6/(1+ProductivityDefault*('5. Scenarios'!$D$11-1)))</f>
        <v/>
      </c>
      <c r="O204" s="57" t="str">
        <f aca="false">IF($N204="","",INDEX(BookRate,199)*(1+'5. Scenarios'!$D$10)*$N204)</f>
        <v/>
      </c>
      <c r="P204" s="57" t="str">
        <f aca="false">IF($O204="","",SUMIFS($O$6:$O$2405,$A$6:$A$2405,"&lt;="&amp;$A204))</f>
        <v/>
      </c>
      <c r="Q204" s="57" t="str">
        <f aca="false">IF($O204="","",IF($P204&lt;=BankCostEnvelope*'5. Scenarios'!$D$7,1,0))</f>
        <v/>
      </c>
      <c r="R204" s="57" t="str">
        <f aca="false">IF($N204="","",INDEX(BookRate,199)*(1+'5. Scenarios'!$D$10)*(INDEX(BookQ1,199)*(5-MIN(4,1+'5. Scenarios'!$D$8))/4+INDEX(BookQ2,199)*(5-MIN(4,2+'5. Scenarios'!$D$8))/4+INDEX(BookQ3,199)*(5-MIN(4,3+'5. Scenarios'!$D$8))/4+INDEX(BookQ4,199)*(5-MIN(4,4+'5. Scenarios'!$D$8))/4)*'5. Scenarios'!$D$6/(1+ProductivityDefault*('5. Scenarios'!$D$11-1))+INDEX(BookOneOff,199)*$N204)</f>
        <v/>
      </c>
      <c r="S204" s="56" t="str">
        <f aca="false">IF(INDEX(BookTitle,199)="","",INDEX(BookTotal,199)*'5. Scenarios'!$E$6/(1+ProductivityDefault*('5. Scenarios'!$E$11-1)))</f>
        <v/>
      </c>
      <c r="T204" s="57" t="str">
        <f aca="false">IF($S204="","",INDEX(BookRate,199)*(1+'5. Scenarios'!$E$10)*$S204)</f>
        <v/>
      </c>
      <c r="U204" s="57" t="str">
        <f aca="false">IF($T204="","",SUMIFS($T$6:$T$2405,$A$6:$A$2405,"&lt;="&amp;$A204))</f>
        <v/>
      </c>
      <c r="V204" s="57" t="str">
        <f aca="false">IF($T204="","",IF($U204&lt;=BankCostEnvelope*'5. Scenarios'!$E$7,1,0))</f>
        <v/>
      </c>
      <c r="W204" s="57" t="str">
        <f aca="false">IF($S204="","",INDEX(BookRate,199)*(1+'5. Scenarios'!$E$10)*(INDEX(BookQ1,199)*(5-MIN(4,1+'5. Scenarios'!$E$8))/4+INDEX(BookQ2,199)*(5-MIN(4,2+'5. Scenarios'!$E$8))/4+INDEX(BookQ3,199)*(5-MIN(4,3+'5. Scenarios'!$E$8))/4+INDEX(BookQ4,199)*(5-MIN(4,4+'5. Scenarios'!$E$8))/4)*'5. Scenarios'!$E$6/(1+ProductivityDefault*('5. Scenarios'!$E$11-1))+INDEX(BookOneOff,199)*$S204)</f>
        <v/>
      </c>
    </row>
    <row r="205" customFormat="false" ht="15" hidden="false" customHeight="false" outlineLevel="0" collapsed="false">
      <c r="A205" s="0" t="str">
        <f aca="false">IF(INDEX(BookTitle,200)="","",INDEX(BookKey,200))</f>
        <v/>
      </c>
      <c r="B205" s="0" t="str">
        <f aca="false">IF(INDEX(BookTitle,200)="","",INDEX(BookGroup,200))</f>
        <v/>
      </c>
      <c r="C205" s="0" t="str">
        <f aca="false">IF(INDEX(BookTitle,200)="","",INDEX(BookCategory,200))</f>
        <v/>
      </c>
      <c r="D205" s="56" t="str">
        <f aca="false">IF(INDEX(BookTitle,200)="","",INDEX(BookTotal,200)*'5. Scenarios'!$B$6/(1+ProductivityDefault*('5. Scenarios'!$B$11-1)))</f>
        <v/>
      </c>
      <c r="E205" s="57" t="str">
        <f aca="false">IF($D205="","",INDEX(BookRate,200)*(1+'5. Scenarios'!$B$10)*$D205)</f>
        <v/>
      </c>
      <c r="F205" s="57" t="str">
        <f aca="false">IF($E205="","",SUMIFS($E$6:$E$2405,$A$6:$A$2405,"&lt;="&amp;$A205))</f>
        <v/>
      </c>
      <c r="G205" s="57" t="str">
        <f aca="false">IF($E205="","",IF($F205&lt;=BankCostEnvelope*'5. Scenarios'!$B$7,1,0))</f>
        <v/>
      </c>
      <c r="H205" s="57" t="str">
        <f aca="false">IF($D205="","",INDEX(BookRate,200)*(1+'5. Scenarios'!$B$10)*(INDEX(BookQ1,200)*(5-MIN(4,1+'5. Scenarios'!$B$8))/4+INDEX(BookQ2,200)*(5-MIN(4,2+'5. Scenarios'!$B$8))/4+INDEX(BookQ3,200)*(5-MIN(4,3+'5. Scenarios'!$B$8))/4+INDEX(BookQ4,200)*(5-MIN(4,4+'5. Scenarios'!$B$8))/4)*'5. Scenarios'!$B$6/(1+ProductivityDefault*('5. Scenarios'!$B$11-1))+INDEX(BookOneOff,200)*$D205)</f>
        <v/>
      </c>
      <c r="I205" s="56" t="str">
        <f aca="false">IF(INDEX(BookTitle,200)="","",INDEX(BookTotal,200)*'5. Scenarios'!$C$6/(1+ProductivityDefault*('5. Scenarios'!$C$11-1)))</f>
        <v/>
      </c>
      <c r="J205" s="57" t="str">
        <f aca="false">IF($I205="","",INDEX(BookRate,200)*(1+'5. Scenarios'!$C$10)*$I205)</f>
        <v/>
      </c>
      <c r="K205" s="57" t="str">
        <f aca="false">IF($J205="","",SUMIFS($J$6:$J$2405,$A$6:$A$2405,"&lt;="&amp;$A205))</f>
        <v/>
      </c>
      <c r="L205" s="57" t="str">
        <f aca="false">IF($J205="","",IF($K205&lt;=BankCostEnvelope*'5. Scenarios'!$C$7,1,0))</f>
        <v/>
      </c>
      <c r="M205" s="57" t="str">
        <f aca="false">IF($I205="","",INDEX(BookRate,200)*(1+'5. Scenarios'!$C$10)*(INDEX(BookQ1,200)*(5-MIN(4,1+'5. Scenarios'!$C$8))/4+INDEX(BookQ2,200)*(5-MIN(4,2+'5. Scenarios'!$C$8))/4+INDEX(BookQ3,200)*(5-MIN(4,3+'5. Scenarios'!$C$8))/4+INDEX(BookQ4,200)*(5-MIN(4,4+'5. Scenarios'!$C$8))/4)*'5. Scenarios'!$C$6/(1+ProductivityDefault*('5. Scenarios'!$C$11-1))+INDEX(BookOneOff,200)*$I205)</f>
        <v/>
      </c>
      <c r="N205" s="56" t="str">
        <f aca="false">IF(INDEX(BookTitle,200)="","",INDEX(BookTotal,200)*'5. Scenarios'!$D$6/(1+ProductivityDefault*('5. Scenarios'!$D$11-1)))</f>
        <v/>
      </c>
      <c r="O205" s="57" t="str">
        <f aca="false">IF($N205="","",INDEX(BookRate,200)*(1+'5. Scenarios'!$D$10)*$N205)</f>
        <v/>
      </c>
      <c r="P205" s="57" t="str">
        <f aca="false">IF($O205="","",SUMIFS($O$6:$O$2405,$A$6:$A$2405,"&lt;="&amp;$A205))</f>
        <v/>
      </c>
      <c r="Q205" s="57" t="str">
        <f aca="false">IF($O205="","",IF($P205&lt;=BankCostEnvelope*'5. Scenarios'!$D$7,1,0))</f>
        <v/>
      </c>
      <c r="R205" s="57" t="str">
        <f aca="false">IF($N205="","",INDEX(BookRate,200)*(1+'5. Scenarios'!$D$10)*(INDEX(BookQ1,200)*(5-MIN(4,1+'5. Scenarios'!$D$8))/4+INDEX(BookQ2,200)*(5-MIN(4,2+'5. Scenarios'!$D$8))/4+INDEX(BookQ3,200)*(5-MIN(4,3+'5. Scenarios'!$D$8))/4+INDEX(BookQ4,200)*(5-MIN(4,4+'5. Scenarios'!$D$8))/4)*'5. Scenarios'!$D$6/(1+ProductivityDefault*('5. Scenarios'!$D$11-1))+INDEX(BookOneOff,200)*$N205)</f>
        <v/>
      </c>
      <c r="S205" s="56" t="str">
        <f aca="false">IF(INDEX(BookTitle,200)="","",INDEX(BookTotal,200)*'5. Scenarios'!$E$6/(1+ProductivityDefault*('5. Scenarios'!$E$11-1)))</f>
        <v/>
      </c>
      <c r="T205" s="57" t="str">
        <f aca="false">IF($S205="","",INDEX(BookRate,200)*(1+'5. Scenarios'!$E$10)*$S205)</f>
        <v/>
      </c>
      <c r="U205" s="57" t="str">
        <f aca="false">IF($T205="","",SUMIFS($T$6:$T$2405,$A$6:$A$2405,"&lt;="&amp;$A205))</f>
        <v/>
      </c>
      <c r="V205" s="57" t="str">
        <f aca="false">IF($T205="","",IF($U205&lt;=BankCostEnvelope*'5. Scenarios'!$E$7,1,0))</f>
        <v/>
      </c>
      <c r="W205" s="57" t="str">
        <f aca="false">IF($S205="","",INDEX(BookRate,200)*(1+'5. Scenarios'!$E$10)*(INDEX(BookQ1,200)*(5-MIN(4,1+'5. Scenarios'!$E$8))/4+INDEX(BookQ2,200)*(5-MIN(4,2+'5. Scenarios'!$E$8))/4+INDEX(BookQ3,200)*(5-MIN(4,3+'5. Scenarios'!$E$8))/4+INDEX(BookQ4,200)*(5-MIN(4,4+'5. Scenarios'!$E$8))/4)*'5. Scenarios'!$E$6/(1+ProductivityDefault*('5. Scenarios'!$E$11-1))+INDEX(BookOneOff,200)*$S205)</f>
        <v/>
      </c>
    </row>
    <row r="206" customFormat="false" ht="15" hidden="false" customHeight="false" outlineLevel="0" collapsed="false">
      <c r="A206" s="0" t="str">
        <f aca="false">IF(INDEX(BookTitle,201)="","",INDEX(BookKey,201))</f>
        <v/>
      </c>
      <c r="B206" s="0" t="str">
        <f aca="false">IF(INDEX(BookTitle,201)="","",INDEX(BookGroup,201))</f>
        <v/>
      </c>
      <c r="C206" s="0" t="str">
        <f aca="false">IF(INDEX(BookTitle,201)="","",INDEX(BookCategory,201))</f>
        <v/>
      </c>
      <c r="D206" s="56" t="str">
        <f aca="false">IF(INDEX(BookTitle,201)="","",INDEX(BookTotal,201)*'5. Scenarios'!$B$6/(1+ProductivityDefault*('5. Scenarios'!$B$11-1)))</f>
        <v/>
      </c>
      <c r="E206" s="57" t="str">
        <f aca="false">IF($D206="","",INDEX(BookRate,201)*(1+'5. Scenarios'!$B$10)*$D206)</f>
        <v/>
      </c>
      <c r="F206" s="57" t="str">
        <f aca="false">IF($E206="","",SUMIFS($E$6:$E$2405,$A$6:$A$2405,"&lt;="&amp;$A206))</f>
        <v/>
      </c>
      <c r="G206" s="57" t="str">
        <f aca="false">IF($E206="","",IF($F206&lt;=BankCostEnvelope*'5. Scenarios'!$B$7,1,0))</f>
        <v/>
      </c>
      <c r="H206" s="57" t="str">
        <f aca="false">IF($D206="","",INDEX(BookRate,201)*(1+'5. Scenarios'!$B$10)*(INDEX(BookQ1,201)*(5-MIN(4,1+'5. Scenarios'!$B$8))/4+INDEX(BookQ2,201)*(5-MIN(4,2+'5. Scenarios'!$B$8))/4+INDEX(BookQ3,201)*(5-MIN(4,3+'5. Scenarios'!$B$8))/4+INDEX(BookQ4,201)*(5-MIN(4,4+'5. Scenarios'!$B$8))/4)*'5. Scenarios'!$B$6/(1+ProductivityDefault*('5. Scenarios'!$B$11-1))+INDEX(BookOneOff,201)*$D206)</f>
        <v/>
      </c>
      <c r="I206" s="56" t="str">
        <f aca="false">IF(INDEX(BookTitle,201)="","",INDEX(BookTotal,201)*'5. Scenarios'!$C$6/(1+ProductivityDefault*('5. Scenarios'!$C$11-1)))</f>
        <v/>
      </c>
      <c r="J206" s="57" t="str">
        <f aca="false">IF($I206="","",INDEX(BookRate,201)*(1+'5. Scenarios'!$C$10)*$I206)</f>
        <v/>
      </c>
      <c r="K206" s="57" t="str">
        <f aca="false">IF($J206="","",SUMIFS($J$6:$J$2405,$A$6:$A$2405,"&lt;="&amp;$A206))</f>
        <v/>
      </c>
      <c r="L206" s="57" t="str">
        <f aca="false">IF($J206="","",IF($K206&lt;=BankCostEnvelope*'5. Scenarios'!$C$7,1,0))</f>
        <v/>
      </c>
      <c r="M206" s="57" t="str">
        <f aca="false">IF($I206="","",INDEX(BookRate,201)*(1+'5. Scenarios'!$C$10)*(INDEX(BookQ1,201)*(5-MIN(4,1+'5. Scenarios'!$C$8))/4+INDEX(BookQ2,201)*(5-MIN(4,2+'5. Scenarios'!$C$8))/4+INDEX(BookQ3,201)*(5-MIN(4,3+'5. Scenarios'!$C$8))/4+INDEX(BookQ4,201)*(5-MIN(4,4+'5. Scenarios'!$C$8))/4)*'5. Scenarios'!$C$6/(1+ProductivityDefault*('5. Scenarios'!$C$11-1))+INDEX(BookOneOff,201)*$I206)</f>
        <v/>
      </c>
      <c r="N206" s="56" t="str">
        <f aca="false">IF(INDEX(BookTitle,201)="","",INDEX(BookTotal,201)*'5. Scenarios'!$D$6/(1+ProductivityDefault*('5. Scenarios'!$D$11-1)))</f>
        <v/>
      </c>
      <c r="O206" s="57" t="str">
        <f aca="false">IF($N206="","",INDEX(BookRate,201)*(1+'5. Scenarios'!$D$10)*$N206)</f>
        <v/>
      </c>
      <c r="P206" s="57" t="str">
        <f aca="false">IF($O206="","",SUMIFS($O$6:$O$2405,$A$6:$A$2405,"&lt;="&amp;$A206))</f>
        <v/>
      </c>
      <c r="Q206" s="57" t="str">
        <f aca="false">IF($O206="","",IF($P206&lt;=BankCostEnvelope*'5. Scenarios'!$D$7,1,0))</f>
        <v/>
      </c>
      <c r="R206" s="57" t="str">
        <f aca="false">IF($N206="","",INDEX(BookRate,201)*(1+'5. Scenarios'!$D$10)*(INDEX(BookQ1,201)*(5-MIN(4,1+'5. Scenarios'!$D$8))/4+INDEX(BookQ2,201)*(5-MIN(4,2+'5. Scenarios'!$D$8))/4+INDEX(BookQ3,201)*(5-MIN(4,3+'5. Scenarios'!$D$8))/4+INDEX(BookQ4,201)*(5-MIN(4,4+'5. Scenarios'!$D$8))/4)*'5. Scenarios'!$D$6/(1+ProductivityDefault*('5. Scenarios'!$D$11-1))+INDEX(BookOneOff,201)*$N206)</f>
        <v/>
      </c>
      <c r="S206" s="56" t="str">
        <f aca="false">IF(INDEX(BookTitle,201)="","",INDEX(BookTotal,201)*'5. Scenarios'!$E$6/(1+ProductivityDefault*('5. Scenarios'!$E$11-1)))</f>
        <v/>
      </c>
      <c r="T206" s="57" t="str">
        <f aca="false">IF($S206="","",INDEX(BookRate,201)*(1+'5. Scenarios'!$E$10)*$S206)</f>
        <v/>
      </c>
      <c r="U206" s="57" t="str">
        <f aca="false">IF($T206="","",SUMIFS($T$6:$T$2405,$A$6:$A$2405,"&lt;="&amp;$A206))</f>
        <v/>
      </c>
      <c r="V206" s="57" t="str">
        <f aca="false">IF($T206="","",IF($U206&lt;=BankCostEnvelope*'5. Scenarios'!$E$7,1,0))</f>
        <v/>
      </c>
      <c r="W206" s="57" t="str">
        <f aca="false">IF($S206="","",INDEX(BookRate,201)*(1+'5. Scenarios'!$E$10)*(INDEX(BookQ1,201)*(5-MIN(4,1+'5. Scenarios'!$E$8))/4+INDEX(BookQ2,201)*(5-MIN(4,2+'5. Scenarios'!$E$8))/4+INDEX(BookQ3,201)*(5-MIN(4,3+'5. Scenarios'!$E$8))/4+INDEX(BookQ4,201)*(5-MIN(4,4+'5. Scenarios'!$E$8))/4)*'5. Scenarios'!$E$6/(1+ProductivityDefault*('5. Scenarios'!$E$11-1))+INDEX(BookOneOff,201)*$S206)</f>
        <v/>
      </c>
    </row>
    <row r="207" customFormat="false" ht="15" hidden="false" customHeight="false" outlineLevel="0" collapsed="false">
      <c r="A207" s="0" t="str">
        <f aca="false">IF(INDEX(BookTitle,202)="","",INDEX(BookKey,202))</f>
        <v/>
      </c>
      <c r="B207" s="0" t="str">
        <f aca="false">IF(INDEX(BookTitle,202)="","",INDEX(BookGroup,202))</f>
        <v/>
      </c>
      <c r="C207" s="0" t="str">
        <f aca="false">IF(INDEX(BookTitle,202)="","",INDEX(BookCategory,202))</f>
        <v/>
      </c>
      <c r="D207" s="56" t="str">
        <f aca="false">IF(INDEX(BookTitle,202)="","",INDEX(BookTotal,202)*'5. Scenarios'!$B$6/(1+ProductivityDefault*('5. Scenarios'!$B$11-1)))</f>
        <v/>
      </c>
      <c r="E207" s="57" t="str">
        <f aca="false">IF($D207="","",INDEX(BookRate,202)*(1+'5. Scenarios'!$B$10)*$D207)</f>
        <v/>
      </c>
      <c r="F207" s="57" t="str">
        <f aca="false">IF($E207="","",SUMIFS($E$6:$E$2405,$A$6:$A$2405,"&lt;="&amp;$A207))</f>
        <v/>
      </c>
      <c r="G207" s="57" t="str">
        <f aca="false">IF($E207="","",IF($F207&lt;=BankCostEnvelope*'5. Scenarios'!$B$7,1,0))</f>
        <v/>
      </c>
      <c r="H207" s="57" t="str">
        <f aca="false">IF($D207="","",INDEX(BookRate,202)*(1+'5. Scenarios'!$B$10)*(INDEX(BookQ1,202)*(5-MIN(4,1+'5. Scenarios'!$B$8))/4+INDEX(BookQ2,202)*(5-MIN(4,2+'5. Scenarios'!$B$8))/4+INDEX(BookQ3,202)*(5-MIN(4,3+'5. Scenarios'!$B$8))/4+INDEX(BookQ4,202)*(5-MIN(4,4+'5. Scenarios'!$B$8))/4)*'5. Scenarios'!$B$6/(1+ProductivityDefault*('5. Scenarios'!$B$11-1))+INDEX(BookOneOff,202)*$D207)</f>
        <v/>
      </c>
      <c r="I207" s="56" t="str">
        <f aca="false">IF(INDEX(BookTitle,202)="","",INDEX(BookTotal,202)*'5. Scenarios'!$C$6/(1+ProductivityDefault*('5. Scenarios'!$C$11-1)))</f>
        <v/>
      </c>
      <c r="J207" s="57" t="str">
        <f aca="false">IF($I207="","",INDEX(BookRate,202)*(1+'5. Scenarios'!$C$10)*$I207)</f>
        <v/>
      </c>
      <c r="K207" s="57" t="str">
        <f aca="false">IF($J207="","",SUMIFS($J$6:$J$2405,$A$6:$A$2405,"&lt;="&amp;$A207))</f>
        <v/>
      </c>
      <c r="L207" s="57" t="str">
        <f aca="false">IF($J207="","",IF($K207&lt;=BankCostEnvelope*'5. Scenarios'!$C$7,1,0))</f>
        <v/>
      </c>
      <c r="M207" s="57" t="str">
        <f aca="false">IF($I207="","",INDEX(BookRate,202)*(1+'5. Scenarios'!$C$10)*(INDEX(BookQ1,202)*(5-MIN(4,1+'5. Scenarios'!$C$8))/4+INDEX(BookQ2,202)*(5-MIN(4,2+'5. Scenarios'!$C$8))/4+INDEX(BookQ3,202)*(5-MIN(4,3+'5. Scenarios'!$C$8))/4+INDEX(BookQ4,202)*(5-MIN(4,4+'5. Scenarios'!$C$8))/4)*'5. Scenarios'!$C$6/(1+ProductivityDefault*('5. Scenarios'!$C$11-1))+INDEX(BookOneOff,202)*$I207)</f>
        <v/>
      </c>
      <c r="N207" s="56" t="str">
        <f aca="false">IF(INDEX(BookTitle,202)="","",INDEX(BookTotal,202)*'5. Scenarios'!$D$6/(1+ProductivityDefault*('5. Scenarios'!$D$11-1)))</f>
        <v/>
      </c>
      <c r="O207" s="57" t="str">
        <f aca="false">IF($N207="","",INDEX(BookRate,202)*(1+'5. Scenarios'!$D$10)*$N207)</f>
        <v/>
      </c>
      <c r="P207" s="57" t="str">
        <f aca="false">IF($O207="","",SUMIFS($O$6:$O$2405,$A$6:$A$2405,"&lt;="&amp;$A207))</f>
        <v/>
      </c>
      <c r="Q207" s="57" t="str">
        <f aca="false">IF($O207="","",IF($P207&lt;=BankCostEnvelope*'5. Scenarios'!$D$7,1,0))</f>
        <v/>
      </c>
      <c r="R207" s="57" t="str">
        <f aca="false">IF($N207="","",INDEX(BookRate,202)*(1+'5. Scenarios'!$D$10)*(INDEX(BookQ1,202)*(5-MIN(4,1+'5. Scenarios'!$D$8))/4+INDEX(BookQ2,202)*(5-MIN(4,2+'5. Scenarios'!$D$8))/4+INDEX(BookQ3,202)*(5-MIN(4,3+'5. Scenarios'!$D$8))/4+INDEX(BookQ4,202)*(5-MIN(4,4+'5. Scenarios'!$D$8))/4)*'5. Scenarios'!$D$6/(1+ProductivityDefault*('5. Scenarios'!$D$11-1))+INDEX(BookOneOff,202)*$N207)</f>
        <v/>
      </c>
      <c r="S207" s="56" t="str">
        <f aca="false">IF(INDEX(BookTitle,202)="","",INDEX(BookTotal,202)*'5. Scenarios'!$E$6/(1+ProductivityDefault*('5. Scenarios'!$E$11-1)))</f>
        <v/>
      </c>
      <c r="T207" s="57" t="str">
        <f aca="false">IF($S207="","",INDEX(BookRate,202)*(1+'5. Scenarios'!$E$10)*$S207)</f>
        <v/>
      </c>
      <c r="U207" s="57" t="str">
        <f aca="false">IF($T207="","",SUMIFS($T$6:$T$2405,$A$6:$A$2405,"&lt;="&amp;$A207))</f>
        <v/>
      </c>
      <c r="V207" s="57" t="str">
        <f aca="false">IF($T207="","",IF($U207&lt;=BankCostEnvelope*'5. Scenarios'!$E$7,1,0))</f>
        <v/>
      </c>
      <c r="W207" s="57" t="str">
        <f aca="false">IF($S207="","",INDEX(BookRate,202)*(1+'5. Scenarios'!$E$10)*(INDEX(BookQ1,202)*(5-MIN(4,1+'5. Scenarios'!$E$8))/4+INDEX(BookQ2,202)*(5-MIN(4,2+'5. Scenarios'!$E$8))/4+INDEX(BookQ3,202)*(5-MIN(4,3+'5. Scenarios'!$E$8))/4+INDEX(BookQ4,202)*(5-MIN(4,4+'5. Scenarios'!$E$8))/4)*'5. Scenarios'!$E$6/(1+ProductivityDefault*('5. Scenarios'!$E$11-1))+INDEX(BookOneOff,202)*$S207)</f>
        <v/>
      </c>
    </row>
    <row r="208" customFormat="false" ht="15" hidden="false" customHeight="false" outlineLevel="0" collapsed="false">
      <c r="A208" s="0" t="str">
        <f aca="false">IF(INDEX(BookTitle,203)="","",INDEX(BookKey,203))</f>
        <v/>
      </c>
      <c r="B208" s="0" t="str">
        <f aca="false">IF(INDEX(BookTitle,203)="","",INDEX(BookGroup,203))</f>
        <v/>
      </c>
      <c r="C208" s="0" t="str">
        <f aca="false">IF(INDEX(BookTitle,203)="","",INDEX(BookCategory,203))</f>
        <v/>
      </c>
      <c r="D208" s="56" t="str">
        <f aca="false">IF(INDEX(BookTitle,203)="","",INDEX(BookTotal,203)*'5. Scenarios'!$B$6/(1+ProductivityDefault*('5. Scenarios'!$B$11-1)))</f>
        <v/>
      </c>
      <c r="E208" s="57" t="str">
        <f aca="false">IF($D208="","",INDEX(BookRate,203)*(1+'5. Scenarios'!$B$10)*$D208)</f>
        <v/>
      </c>
      <c r="F208" s="57" t="str">
        <f aca="false">IF($E208="","",SUMIFS($E$6:$E$2405,$A$6:$A$2405,"&lt;="&amp;$A208))</f>
        <v/>
      </c>
      <c r="G208" s="57" t="str">
        <f aca="false">IF($E208="","",IF($F208&lt;=BankCostEnvelope*'5. Scenarios'!$B$7,1,0))</f>
        <v/>
      </c>
      <c r="H208" s="57" t="str">
        <f aca="false">IF($D208="","",INDEX(BookRate,203)*(1+'5. Scenarios'!$B$10)*(INDEX(BookQ1,203)*(5-MIN(4,1+'5. Scenarios'!$B$8))/4+INDEX(BookQ2,203)*(5-MIN(4,2+'5. Scenarios'!$B$8))/4+INDEX(BookQ3,203)*(5-MIN(4,3+'5. Scenarios'!$B$8))/4+INDEX(BookQ4,203)*(5-MIN(4,4+'5. Scenarios'!$B$8))/4)*'5. Scenarios'!$B$6/(1+ProductivityDefault*('5. Scenarios'!$B$11-1))+INDEX(BookOneOff,203)*$D208)</f>
        <v/>
      </c>
      <c r="I208" s="56" t="str">
        <f aca="false">IF(INDEX(BookTitle,203)="","",INDEX(BookTotal,203)*'5. Scenarios'!$C$6/(1+ProductivityDefault*('5. Scenarios'!$C$11-1)))</f>
        <v/>
      </c>
      <c r="J208" s="57" t="str">
        <f aca="false">IF($I208="","",INDEX(BookRate,203)*(1+'5. Scenarios'!$C$10)*$I208)</f>
        <v/>
      </c>
      <c r="K208" s="57" t="str">
        <f aca="false">IF($J208="","",SUMIFS($J$6:$J$2405,$A$6:$A$2405,"&lt;="&amp;$A208))</f>
        <v/>
      </c>
      <c r="L208" s="57" t="str">
        <f aca="false">IF($J208="","",IF($K208&lt;=BankCostEnvelope*'5. Scenarios'!$C$7,1,0))</f>
        <v/>
      </c>
      <c r="M208" s="57" t="str">
        <f aca="false">IF($I208="","",INDEX(BookRate,203)*(1+'5. Scenarios'!$C$10)*(INDEX(BookQ1,203)*(5-MIN(4,1+'5. Scenarios'!$C$8))/4+INDEX(BookQ2,203)*(5-MIN(4,2+'5. Scenarios'!$C$8))/4+INDEX(BookQ3,203)*(5-MIN(4,3+'5. Scenarios'!$C$8))/4+INDEX(BookQ4,203)*(5-MIN(4,4+'5. Scenarios'!$C$8))/4)*'5. Scenarios'!$C$6/(1+ProductivityDefault*('5. Scenarios'!$C$11-1))+INDEX(BookOneOff,203)*$I208)</f>
        <v/>
      </c>
      <c r="N208" s="56" t="str">
        <f aca="false">IF(INDEX(BookTitle,203)="","",INDEX(BookTotal,203)*'5. Scenarios'!$D$6/(1+ProductivityDefault*('5. Scenarios'!$D$11-1)))</f>
        <v/>
      </c>
      <c r="O208" s="57" t="str">
        <f aca="false">IF($N208="","",INDEX(BookRate,203)*(1+'5. Scenarios'!$D$10)*$N208)</f>
        <v/>
      </c>
      <c r="P208" s="57" t="str">
        <f aca="false">IF($O208="","",SUMIFS($O$6:$O$2405,$A$6:$A$2405,"&lt;="&amp;$A208))</f>
        <v/>
      </c>
      <c r="Q208" s="57" t="str">
        <f aca="false">IF($O208="","",IF($P208&lt;=BankCostEnvelope*'5. Scenarios'!$D$7,1,0))</f>
        <v/>
      </c>
      <c r="R208" s="57" t="str">
        <f aca="false">IF($N208="","",INDEX(BookRate,203)*(1+'5. Scenarios'!$D$10)*(INDEX(BookQ1,203)*(5-MIN(4,1+'5. Scenarios'!$D$8))/4+INDEX(BookQ2,203)*(5-MIN(4,2+'5. Scenarios'!$D$8))/4+INDEX(BookQ3,203)*(5-MIN(4,3+'5. Scenarios'!$D$8))/4+INDEX(BookQ4,203)*(5-MIN(4,4+'5. Scenarios'!$D$8))/4)*'5. Scenarios'!$D$6/(1+ProductivityDefault*('5. Scenarios'!$D$11-1))+INDEX(BookOneOff,203)*$N208)</f>
        <v/>
      </c>
      <c r="S208" s="56" t="str">
        <f aca="false">IF(INDEX(BookTitle,203)="","",INDEX(BookTotal,203)*'5. Scenarios'!$E$6/(1+ProductivityDefault*('5. Scenarios'!$E$11-1)))</f>
        <v/>
      </c>
      <c r="T208" s="57" t="str">
        <f aca="false">IF($S208="","",INDEX(BookRate,203)*(1+'5. Scenarios'!$E$10)*$S208)</f>
        <v/>
      </c>
      <c r="U208" s="57" t="str">
        <f aca="false">IF($T208="","",SUMIFS($T$6:$T$2405,$A$6:$A$2405,"&lt;="&amp;$A208))</f>
        <v/>
      </c>
      <c r="V208" s="57" t="str">
        <f aca="false">IF($T208="","",IF($U208&lt;=BankCostEnvelope*'5. Scenarios'!$E$7,1,0))</f>
        <v/>
      </c>
      <c r="W208" s="57" t="str">
        <f aca="false">IF($S208="","",INDEX(BookRate,203)*(1+'5. Scenarios'!$E$10)*(INDEX(BookQ1,203)*(5-MIN(4,1+'5. Scenarios'!$E$8))/4+INDEX(BookQ2,203)*(5-MIN(4,2+'5. Scenarios'!$E$8))/4+INDEX(BookQ3,203)*(5-MIN(4,3+'5. Scenarios'!$E$8))/4+INDEX(BookQ4,203)*(5-MIN(4,4+'5. Scenarios'!$E$8))/4)*'5. Scenarios'!$E$6/(1+ProductivityDefault*('5. Scenarios'!$E$11-1))+INDEX(BookOneOff,203)*$S208)</f>
        <v/>
      </c>
    </row>
    <row r="209" customFormat="false" ht="15" hidden="false" customHeight="false" outlineLevel="0" collapsed="false">
      <c r="A209" s="0" t="str">
        <f aca="false">IF(INDEX(BookTitle,204)="","",INDEX(BookKey,204))</f>
        <v/>
      </c>
      <c r="B209" s="0" t="str">
        <f aca="false">IF(INDEX(BookTitle,204)="","",INDEX(BookGroup,204))</f>
        <v/>
      </c>
      <c r="C209" s="0" t="str">
        <f aca="false">IF(INDEX(BookTitle,204)="","",INDEX(BookCategory,204))</f>
        <v/>
      </c>
      <c r="D209" s="56" t="str">
        <f aca="false">IF(INDEX(BookTitle,204)="","",INDEX(BookTotal,204)*'5. Scenarios'!$B$6/(1+ProductivityDefault*('5. Scenarios'!$B$11-1)))</f>
        <v/>
      </c>
      <c r="E209" s="57" t="str">
        <f aca="false">IF($D209="","",INDEX(BookRate,204)*(1+'5. Scenarios'!$B$10)*$D209)</f>
        <v/>
      </c>
      <c r="F209" s="57" t="str">
        <f aca="false">IF($E209="","",SUMIFS($E$6:$E$2405,$A$6:$A$2405,"&lt;="&amp;$A209))</f>
        <v/>
      </c>
      <c r="G209" s="57" t="str">
        <f aca="false">IF($E209="","",IF($F209&lt;=BankCostEnvelope*'5. Scenarios'!$B$7,1,0))</f>
        <v/>
      </c>
      <c r="H209" s="57" t="str">
        <f aca="false">IF($D209="","",INDEX(BookRate,204)*(1+'5. Scenarios'!$B$10)*(INDEX(BookQ1,204)*(5-MIN(4,1+'5. Scenarios'!$B$8))/4+INDEX(BookQ2,204)*(5-MIN(4,2+'5. Scenarios'!$B$8))/4+INDEX(BookQ3,204)*(5-MIN(4,3+'5. Scenarios'!$B$8))/4+INDEX(BookQ4,204)*(5-MIN(4,4+'5. Scenarios'!$B$8))/4)*'5. Scenarios'!$B$6/(1+ProductivityDefault*('5. Scenarios'!$B$11-1))+INDEX(BookOneOff,204)*$D209)</f>
        <v/>
      </c>
      <c r="I209" s="56" t="str">
        <f aca="false">IF(INDEX(BookTitle,204)="","",INDEX(BookTotal,204)*'5. Scenarios'!$C$6/(1+ProductivityDefault*('5. Scenarios'!$C$11-1)))</f>
        <v/>
      </c>
      <c r="J209" s="57" t="str">
        <f aca="false">IF($I209="","",INDEX(BookRate,204)*(1+'5. Scenarios'!$C$10)*$I209)</f>
        <v/>
      </c>
      <c r="K209" s="57" t="str">
        <f aca="false">IF($J209="","",SUMIFS($J$6:$J$2405,$A$6:$A$2405,"&lt;="&amp;$A209))</f>
        <v/>
      </c>
      <c r="L209" s="57" t="str">
        <f aca="false">IF($J209="","",IF($K209&lt;=BankCostEnvelope*'5. Scenarios'!$C$7,1,0))</f>
        <v/>
      </c>
      <c r="M209" s="57" t="str">
        <f aca="false">IF($I209="","",INDEX(BookRate,204)*(1+'5. Scenarios'!$C$10)*(INDEX(BookQ1,204)*(5-MIN(4,1+'5. Scenarios'!$C$8))/4+INDEX(BookQ2,204)*(5-MIN(4,2+'5. Scenarios'!$C$8))/4+INDEX(BookQ3,204)*(5-MIN(4,3+'5. Scenarios'!$C$8))/4+INDEX(BookQ4,204)*(5-MIN(4,4+'5. Scenarios'!$C$8))/4)*'5. Scenarios'!$C$6/(1+ProductivityDefault*('5. Scenarios'!$C$11-1))+INDEX(BookOneOff,204)*$I209)</f>
        <v/>
      </c>
      <c r="N209" s="56" t="str">
        <f aca="false">IF(INDEX(BookTitle,204)="","",INDEX(BookTotal,204)*'5. Scenarios'!$D$6/(1+ProductivityDefault*('5. Scenarios'!$D$11-1)))</f>
        <v/>
      </c>
      <c r="O209" s="57" t="str">
        <f aca="false">IF($N209="","",INDEX(BookRate,204)*(1+'5. Scenarios'!$D$10)*$N209)</f>
        <v/>
      </c>
      <c r="P209" s="57" t="str">
        <f aca="false">IF($O209="","",SUMIFS($O$6:$O$2405,$A$6:$A$2405,"&lt;="&amp;$A209))</f>
        <v/>
      </c>
      <c r="Q209" s="57" t="str">
        <f aca="false">IF($O209="","",IF($P209&lt;=BankCostEnvelope*'5. Scenarios'!$D$7,1,0))</f>
        <v/>
      </c>
      <c r="R209" s="57" t="str">
        <f aca="false">IF($N209="","",INDEX(BookRate,204)*(1+'5. Scenarios'!$D$10)*(INDEX(BookQ1,204)*(5-MIN(4,1+'5. Scenarios'!$D$8))/4+INDEX(BookQ2,204)*(5-MIN(4,2+'5. Scenarios'!$D$8))/4+INDEX(BookQ3,204)*(5-MIN(4,3+'5. Scenarios'!$D$8))/4+INDEX(BookQ4,204)*(5-MIN(4,4+'5. Scenarios'!$D$8))/4)*'5. Scenarios'!$D$6/(1+ProductivityDefault*('5. Scenarios'!$D$11-1))+INDEX(BookOneOff,204)*$N209)</f>
        <v/>
      </c>
      <c r="S209" s="56" t="str">
        <f aca="false">IF(INDEX(BookTitle,204)="","",INDEX(BookTotal,204)*'5. Scenarios'!$E$6/(1+ProductivityDefault*('5. Scenarios'!$E$11-1)))</f>
        <v/>
      </c>
      <c r="T209" s="57" t="str">
        <f aca="false">IF($S209="","",INDEX(BookRate,204)*(1+'5. Scenarios'!$E$10)*$S209)</f>
        <v/>
      </c>
      <c r="U209" s="57" t="str">
        <f aca="false">IF($T209="","",SUMIFS($T$6:$T$2405,$A$6:$A$2405,"&lt;="&amp;$A209))</f>
        <v/>
      </c>
      <c r="V209" s="57" t="str">
        <f aca="false">IF($T209="","",IF($U209&lt;=BankCostEnvelope*'5. Scenarios'!$E$7,1,0))</f>
        <v/>
      </c>
      <c r="W209" s="57" t="str">
        <f aca="false">IF($S209="","",INDEX(BookRate,204)*(1+'5. Scenarios'!$E$10)*(INDEX(BookQ1,204)*(5-MIN(4,1+'5. Scenarios'!$E$8))/4+INDEX(BookQ2,204)*(5-MIN(4,2+'5. Scenarios'!$E$8))/4+INDEX(BookQ3,204)*(5-MIN(4,3+'5. Scenarios'!$E$8))/4+INDEX(BookQ4,204)*(5-MIN(4,4+'5. Scenarios'!$E$8))/4)*'5. Scenarios'!$E$6/(1+ProductivityDefault*('5. Scenarios'!$E$11-1))+INDEX(BookOneOff,204)*$S209)</f>
        <v/>
      </c>
    </row>
    <row r="210" customFormat="false" ht="15" hidden="false" customHeight="false" outlineLevel="0" collapsed="false">
      <c r="A210" s="0" t="str">
        <f aca="false">IF(INDEX(BookTitle,205)="","",INDEX(BookKey,205))</f>
        <v/>
      </c>
      <c r="B210" s="0" t="str">
        <f aca="false">IF(INDEX(BookTitle,205)="","",INDEX(BookGroup,205))</f>
        <v/>
      </c>
      <c r="C210" s="0" t="str">
        <f aca="false">IF(INDEX(BookTitle,205)="","",INDEX(BookCategory,205))</f>
        <v/>
      </c>
      <c r="D210" s="56" t="str">
        <f aca="false">IF(INDEX(BookTitle,205)="","",INDEX(BookTotal,205)*'5. Scenarios'!$B$6/(1+ProductivityDefault*('5. Scenarios'!$B$11-1)))</f>
        <v/>
      </c>
      <c r="E210" s="57" t="str">
        <f aca="false">IF($D210="","",INDEX(BookRate,205)*(1+'5. Scenarios'!$B$10)*$D210)</f>
        <v/>
      </c>
      <c r="F210" s="57" t="str">
        <f aca="false">IF($E210="","",SUMIFS($E$6:$E$2405,$A$6:$A$2405,"&lt;="&amp;$A210))</f>
        <v/>
      </c>
      <c r="G210" s="57" t="str">
        <f aca="false">IF($E210="","",IF($F210&lt;=BankCostEnvelope*'5. Scenarios'!$B$7,1,0))</f>
        <v/>
      </c>
      <c r="H210" s="57" t="str">
        <f aca="false">IF($D210="","",INDEX(BookRate,205)*(1+'5. Scenarios'!$B$10)*(INDEX(BookQ1,205)*(5-MIN(4,1+'5. Scenarios'!$B$8))/4+INDEX(BookQ2,205)*(5-MIN(4,2+'5. Scenarios'!$B$8))/4+INDEX(BookQ3,205)*(5-MIN(4,3+'5. Scenarios'!$B$8))/4+INDEX(BookQ4,205)*(5-MIN(4,4+'5. Scenarios'!$B$8))/4)*'5. Scenarios'!$B$6/(1+ProductivityDefault*('5. Scenarios'!$B$11-1))+INDEX(BookOneOff,205)*$D210)</f>
        <v/>
      </c>
      <c r="I210" s="56" t="str">
        <f aca="false">IF(INDEX(BookTitle,205)="","",INDEX(BookTotal,205)*'5. Scenarios'!$C$6/(1+ProductivityDefault*('5. Scenarios'!$C$11-1)))</f>
        <v/>
      </c>
      <c r="J210" s="57" t="str">
        <f aca="false">IF($I210="","",INDEX(BookRate,205)*(1+'5. Scenarios'!$C$10)*$I210)</f>
        <v/>
      </c>
      <c r="K210" s="57" t="str">
        <f aca="false">IF($J210="","",SUMIFS($J$6:$J$2405,$A$6:$A$2405,"&lt;="&amp;$A210))</f>
        <v/>
      </c>
      <c r="L210" s="57" t="str">
        <f aca="false">IF($J210="","",IF($K210&lt;=BankCostEnvelope*'5. Scenarios'!$C$7,1,0))</f>
        <v/>
      </c>
      <c r="M210" s="57" t="str">
        <f aca="false">IF($I210="","",INDEX(BookRate,205)*(1+'5. Scenarios'!$C$10)*(INDEX(BookQ1,205)*(5-MIN(4,1+'5. Scenarios'!$C$8))/4+INDEX(BookQ2,205)*(5-MIN(4,2+'5. Scenarios'!$C$8))/4+INDEX(BookQ3,205)*(5-MIN(4,3+'5. Scenarios'!$C$8))/4+INDEX(BookQ4,205)*(5-MIN(4,4+'5. Scenarios'!$C$8))/4)*'5. Scenarios'!$C$6/(1+ProductivityDefault*('5. Scenarios'!$C$11-1))+INDEX(BookOneOff,205)*$I210)</f>
        <v/>
      </c>
      <c r="N210" s="56" t="str">
        <f aca="false">IF(INDEX(BookTitle,205)="","",INDEX(BookTotal,205)*'5. Scenarios'!$D$6/(1+ProductivityDefault*('5. Scenarios'!$D$11-1)))</f>
        <v/>
      </c>
      <c r="O210" s="57" t="str">
        <f aca="false">IF($N210="","",INDEX(BookRate,205)*(1+'5. Scenarios'!$D$10)*$N210)</f>
        <v/>
      </c>
      <c r="P210" s="57" t="str">
        <f aca="false">IF($O210="","",SUMIFS($O$6:$O$2405,$A$6:$A$2405,"&lt;="&amp;$A210))</f>
        <v/>
      </c>
      <c r="Q210" s="57" t="str">
        <f aca="false">IF($O210="","",IF($P210&lt;=BankCostEnvelope*'5. Scenarios'!$D$7,1,0))</f>
        <v/>
      </c>
      <c r="R210" s="57" t="str">
        <f aca="false">IF($N210="","",INDEX(BookRate,205)*(1+'5. Scenarios'!$D$10)*(INDEX(BookQ1,205)*(5-MIN(4,1+'5. Scenarios'!$D$8))/4+INDEX(BookQ2,205)*(5-MIN(4,2+'5. Scenarios'!$D$8))/4+INDEX(BookQ3,205)*(5-MIN(4,3+'5. Scenarios'!$D$8))/4+INDEX(BookQ4,205)*(5-MIN(4,4+'5. Scenarios'!$D$8))/4)*'5. Scenarios'!$D$6/(1+ProductivityDefault*('5. Scenarios'!$D$11-1))+INDEX(BookOneOff,205)*$N210)</f>
        <v/>
      </c>
      <c r="S210" s="56" t="str">
        <f aca="false">IF(INDEX(BookTitle,205)="","",INDEX(BookTotal,205)*'5. Scenarios'!$E$6/(1+ProductivityDefault*('5. Scenarios'!$E$11-1)))</f>
        <v/>
      </c>
      <c r="T210" s="57" t="str">
        <f aca="false">IF($S210="","",INDEX(BookRate,205)*(1+'5. Scenarios'!$E$10)*$S210)</f>
        <v/>
      </c>
      <c r="U210" s="57" t="str">
        <f aca="false">IF($T210="","",SUMIFS($T$6:$T$2405,$A$6:$A$2405,"&lt;="&amp;$A210))</f>
        <v/>
      </c>
      <c r="V210" s="57" t="str">
        <f aca="false">IF($T210="","",IF($U210&lt;=BankCostEnvelope*'5. Scenarios'!$E$7,1,0))</f>
        <v/>
      </c>
      <c r="W210" s="57" t="str">
        <f aca="false">IF($S210="","",INDEX(BookRate,205)*(1+'5. Scenarios'!$E$10)*(INDEX(BookQ1,205)*(5-MIN(4,1+'5. Scenarios'!$E$8))/4+INDEX(BookQ2,205)*(5-MIN(4,2+'5. Scenarios'!$E$8))/4+INDEX(BookQ3,205)*(5-MIN(4,3+'5. Scenarios'!$E$8))/4+INDEX(BookQ4,205)*(5-MIN(4,4+'5. Scenarios'!$E$8))/4)*'5. Scenarios'!$E$6/(1+ProductivityDefault*('5. Scenarios'!$E$11-1))+INDEX(BookOneOff,205)*$S210)</f>
        <v/>
      </c>
    </row>
    <row r="211" customFormat="false" ht="15" hidden="false" customHeight="false" outlineLevel="0" collapsed="false">
      <c r="A211" s="0" t="str">
        <f aca="false">IF(INDEX(BookTitle,206)="","",INDEX(BookKey,206))</f>
        <v/>
      </c>
      <c r="B211" s="0" t="str">
        <f aca="false">IF(INDEX(BookTitle,206)="","",INDEX(BookGroup,206))</f>
        <v/>
      </c>
      <c r="C211" s="0" t="str">
        <f aca="false">IF(INDEX(BookTitle,206)="","",INDEX(BookCategory,206))</f>
        <v/>
      </c>
      <c r="D211" s="56" t="str">
        <f aca="false">IF(INDEX(BookTitle,206)="","",INDEX(BookTotal,206)*'5. Scenarios'!$B$6/(1+ProductivityDefault*('5. Scenarios'!$B$11-1)))</f>
        <v/>
      </c>
      <c r="E211" s="57" t="str">
        <f aca="false">IF($D211="","",INDEX(BookRate,206)*(1+'5. Scenarios'!$B$10)*$D211)</f>
        <v/>
      </c>
      <c r="F211" s="57" t="str">
        <f aca="false">IF($E211="","",SUMIFS($E$6:$E$2405,$A$6:$A$2405,"&lt;="&amp;$A211))</f>
        <v/>
      </c>
      <c r="G211" s="57" t="str">
        <f aca="false">IF($E211="","",IF($F211&lt;=BankCostEnvelope*'5. Scenarios'!$B$7,1,0))</f>
        <v/>
      </c>
      <c r="H211" s="57" t="str">
        <f aca="false">IF($D211="","",INDEX(BookRate,206)*(1+'5. Scenarios'!$B$10)*(INDEX(BookQ1,206)*(5-MIN(4,1+'5. Scenarios'!$B$8))/4+INDEX(BookQ2,206)*(5-MIN(4,2+'5. Scenarios'!$B$8))/4+INDEX(BookQ3,206)*(5-MIN(4,3+'5. Scenarios'!$B$8))/4+INDEX(BookQ4,206)*(5-MIN(4,4+'5. Scenarios'!$B$8))/4)*'5. Scenarios'!$B$6/(1+ProductivityDefault*('5. Scenarios'!$B$11-1))+INDEX(BookOneOff,206)*$D211)</f>
        <v/>
      </c>
      <c r="I211" s="56" t="str">
        <f aca="false">IF(INDEX(BookTitle,206)="","",INDEX(BookTotal,206)*'5. Scenarios'!$C$6/(1+ProductivityDefault*('5. Scenarios'!$C$11-1)))</f>
        <v/>
      </c>
      <c r="J211" s="57" t="str">
        <f aca="false">IF($I211="","",INDEX(BookRate,206)*(1+'5. Scenarios'!$C$10)*$I211)</f>
        <v/>
      </c>
      <c r="K211" s="57" t="str">
        <f aca="false">IF($J211="","",SUMIFS($J$6:$J$2405,$A$6:$A$2405,"&lt;="&amp;$A211))</f>
        <v/>
      </c>
      <c r="L211" s="57" t="str">
        <f aca="false">IF($J211="","",IF($K211&lt;=BankCostEnvelope*'5. Scenarios'!$C$7,1,0))</f>
        <v/>
      </c>
      <c r="M211" s="57" t="str">
        <f aca="false">IF($I211="","",INDEX(BookRate,206)*(1+'5. Scenarios'!$C$10)*(INDEX(BookQ1,206)*(5-MIN(4,1+'5. Scenarios'!$C$8))/4+INDEX(BookQ2,206)*(5-MIN(4,2+'5. Scenarios'!$C$8))/4+INDEX(BookQ3,206)*(5-MIN(4,3+'5. Scenarios'!$C$8))/4+INDEX(BookQ4,206)*(5-MIN(4,4+'5. Scenarios'!$C$8))/4)*'5. Scenarios'!$C$6/(1+ProductivityDefault*('5. Scenarios'!$C$11-1))+INDEX(BookOneOff,206)*$I211)</f>
        <v/>
      </c>
      <c r="N211" s="56" t="str">
        <f aca="false">IF(INDEX(BookTitle,206)="","",INDEX(BookTotal,206)*'5. Scenarios'!$D$6/(1+ProductivityDefault*('5. Scenarios'!$D$11-1)))</f>
        <v/>
      </c>
      <c r="O211" s="57" t="str">
        <f aca="false">IF($N211="","",INDEX(BookRate,206)*(1+'5. Scenarios'!$D$10)*$N211)</f>
        <v/>
      </c>
      <c r="P211" s="57" t="str">
        <f aca="false">IF($O211="","",SUMIFS($O$6:$O$2405,$A$6:$A$2405,"&lt;="&amp;$A211))</f>
        <v/>
      </c>
      <c r="Q211" s="57" t="str">
        <f aca="false">IF($O211="","",IF($P211&lt;=BankCostEnvelope*'5. Scenarios'!$D$7,1,0))</f>
        <v/>
      </c>
      <c r="R211" s="57" t="str">
        <f aca="false">IF($N211="","",INDEX(BookRate,206)*(1+'5. Scenarios'!$D$10)*(INDEX(BookQ1,206)*(5-MIN(4,1+'5. Scenarios'!$D$8))/4+INDEX(BookQ2,206)*(5-MIN(4,2+'5. Scenarios'!$D$8))/4+INDEX(BookQ3,206)*(5-MIN(4,3+'5. Scenarios'!$D$8))/4+INDEX(BookQ4,206)*(5-MIN(4,4+'5. Scenarios'!$D$8))/4)*'5. Scenarios'!$D$6/(1+ProductivityDefault*('5. Scenarios'!$D$11-1))+INDEX(BookOneOff,206)*$N211)</f>
        <v/>
      </c>
      <c r="S211" s="56" t="str">
        <f aca="false">IF(INDEX(BookTitle,206)="","",INDEX(BookTotal,206)*'5. Scenarios'!$E$6/(1+ProductivityDefault*('5. Scenarios'!$E$11-1)))</f>
        <v/>
      </c>
      <c r="T211" s="57" t="str">
        <f aca="false">IF($S211="","",INDEX(BookRate,206)*(1+'5. Scenarios'!$E$10)*$S211)</f>
        <v/>
      </c>
      <c r="U211" s="57" t="str">
        <f aca="false">IF($T211="","",SUMIFS($T$6:$T$2405,$A$6:$A$2405,"&lt;="&amp;$A211))</f>
        <v/>
      </c>
      <c r="V211" s="57" t="str">
        <f aca="false">IF($T211="","",IF($U211&lt;=BankCostEnvelope*'5. Scenarios'!$E$7,1,0))</f>
        <v/>
      </c>
      <c r="W211" s="57" t="str">
        <f aca="false">IF($S211="","",INDEX(BookRate,206)*(1+'5. Scenarios'!$E$10)*(INDEX(BookQ1,206)*(5-MIN(4,1+'5. Scenarios'!$E$8))/4+INDEX(BookQ2,206)*(5-MIN(4,2+'5. Scenarios'!$E$8))/4+INDEX(BookQ3,206)*(5-MIN(4,3+'5. Scenarios'!$E$8))/4+INDEX(BookQ4,206)*(5-MIN(4,4+'5. Scenarios'!$E$8))/4)*'5. Scenarios'!$E$6/(1+ProductivityDefault*('5. Scenarios'!$E$11-1))+INDEX(BookOneOff,206)*$S211)</f>
        <v/>
      </c>
    </row>
    <row r="212" customFormat="false" ht="15" hidden="false" customHeight="false" outlineLevel="0" collapsed="false">
      <c r="A212" s="0" t="str">
        <f aca="false">IF(INDEX(BookTitle,207)="","",INDEX(BookKey,207))</f>
        <v/>
      </c>
      <c r="B212" s="0" t="str">
        <f aca="false">IF(INDEX(BookTitle,207)="","",INDEX(BookGroup,207))</f>
        <v/>
      </c>
      <c r="C212" s="0" t="str">
        <f aca="false">IF(INDEX(BookTitle,207)="","",INDEX(BookCategory,207))</f>
        <v/>
      </c>
      <c r="D212" s="56" t="str">
        <f aca="false">IF(INDEX(BookTitle,207)="","",INDEX(BookTotal,207)*'5. Scenarios'!$B$6/(1+ProductivityDefault*('5. Scenarios'!$B$11-1)))</f>
        <v/>
      </c>
      <c r="E212" s="57" t="str">
        <f aca="false">IF($D212="","",INDEX(BookRate,207)*(1+'5. Scenarios'!$B$10)*$D212)</f>
        <v/>
      </c>
      <c r="F212" s="57" t="str">
        <f aca="false">IF($E212="","",SUMIFS($E$6:$E$2405,$A$6:$A$2405,"&lt;="&amp;$A212))</f>
        <v/>
      </c>
      <c r="G212" s="57" t="str">
        <f aca="false">IF($E212="","",IF($F212&lt;=BankCostEnvelope*'5. Scenarios'!$B$7,1,0))</f>
        <v/>
      </c>
      <c r="H212" s="57" t="str">
        <f aca="false">IF($D212="","",INDEX(BookRate,207)*(1+'5. Scenarios'!$B$10)*(INDEX(BookQ1,207)*(5-MIN(4,1+'5. Scenarios'!$B$8))/4+INDEX(BookQ2,207)*(5-MIN(4,2+'5. Scenarios'!$B$8))/4+INDEX(BookQ3,207)*(5-MIN(4,3+'5. Scenarios'!$B$8))/4+INDEX(BookQ4,207)*(5-MIN(4,4+'5. Scenarios'!$B$8))/4)*'5. Scenarios'!$B$6/(1+ProductivityDefault*('5. Scenarios'!$B$11-1))+INDEX(BookOneOff,207)*$D212)</f>
        <v/>
      </c>
      <c r="I212" s="56" t="str">
        <f aca="false">IF(INDEX(BookTitle,207)="","",INDEX(BookTotal,207)*'5. Scenarios'!$C$6/(1+ProductivityDefault*('5. Scenarios'!$C$11-1)))</f>
        <v/>
      </c>
      <c r="J212" s="57" t="str">
        <f aca="false">IF($I212="","",INDEX(BookRate,207)*(1+'5. Scenarios'!$C$10)*$I212)</f>
        <v/>
      </c>
      <c r="K212" s="57" t="str">
        <f aca="false">IF($J212="","",SUMIFS($J$6:$J$2405,$A$6:$A$2405,"&lt;="&amp;$A212))</f>
        <v/>
      </c>
      <c r="L212" s="57" t="str">
        <f aca="false">IF($J212="","",IF($K212&lt;=BankCostEnvelope*'5. Scenarios'!$C$7,1,0))</f>
        <v/>
      </c>
      <c r="M212" s="57" t="str">
        <f aca="false">IF($I212="","",INDEX(BookRate,207)*(1+'5. Scenarios'!$C$10)*(INDEX(BookQ1,207)*(5-MIN(4,1+'5. Scenarios'!$C$8))/4+INDEX(BookQ2,207)*(5-MIN(4,2+'5. Scenarios'!$C$8))/4+INDEX(BookQ3,207)*(5-MIN(4,3+'5. Scenarios'!$C$8))/4+INDEX(BookQ4,207)*(5-MIN(4,4+'5. Scenarios'!$C$8))/4)*'5. Scenarios'!$C$6/(1+ProductivityDefault*('5. Scenarios'!$C$11-1))+INDEX(BookOneOff,207)*$I212)</f>
        <v/>
      </c>
      <c r="N212" s="56" t="str">
        <f aca="false">IF(INDEX(BookTitle,207)="","",INDEX(BookTotal,207)*'5. Scenarios'!$D$6/(1+ProductivityDefault*('5. Scenarios'!$D$11-1)))</f>
        <v/>
      </c>
      <c r="O212" s="57" t="str">
        <f aca="false">IF($N212="","",INDEX(BookRate,207)*(1+'5. Scenarios'!$D$10)*$N212)</f>
        <v/>
      </c>
      <c r="P212" s="57" t="str">
        <f aca="false">IF($O212="","",SUMIFS($O$6:$O$2405,$A$6:$A$2405,"&lt;="&amp;$A212))</f>
        <v/>
      </c>
      <c r="Q212" s="57" t="str">
        <f aca="false">IF($O212="","",IF($P212&lt;=BankCostEnvelope*'5. Scenarios'!$D$7,1,0))</f>
        <v/>
      </c>
      <c r="R212" s="57" t="str">
        <f aca="false">IF($N212="","",INDEX(BookRate,207)*(1+'5. Scenarios'!$D$10)*(INDEX(BookQ1,207)*(5-MIN(4,1+'5. Scenarios'!$D$8))/4+INDEX(BookQ2,207)*(5-MIN(4,2+'5. Scenarios'!$D$8))/4+INDEX(BookQ3,207)*(5-MIN(4,3+'5. Scenarios'!$D$8))/4+INDEX(BookQ4,207)*(5-MIN(4,4+'5. Scenarios'!$D$8))/4)*'5. Scenarios'!$D$6/(1+ProductivityDefault*('5. Scenarios'!$D$11-1))+INDEX(BookOneOff,207)*$N212)</f>
        <v/>
      </c>
      <c r="S212" s="56" t="str">
        <f aca="false">IF(INDEX(BookTitle,207)="","",INDEX(BookTotal,207)*'5. Scenarios'!$E$6/(1+ProductivityDefault*('5. Scenarios'!$E$11-1)))</f>
        <v/>
      </c>
      <c r="T212" s="57" t="str">
        <f aca="false">IF($S212="","",INDEX(BookRate,207)*(1+'5. Scenarios'!$E$10)*$S212)</f>
        <v/>
      </c>
      <c r="U212" s="57" t="str">
        <f aca="false">IF($T212="","",SUMIFS($T$6:$T$2405,$A$6:$A$2405,"&lt;="&amp;$A212))</f>
        <v/>
      </c>
      <c r="V212" s="57" t="str">
        <f aca="false">IF($T212="","",IF($U212&lt;=BankCostEnvelope*'5. Scenarios'!$E$7,1,0))</f>
        <v/>
      </c>
      <c r="W212" s="57" t="str">
        <f aca="false">IF($S212="","",INDEX(BookRate,207)*(1+'5. Scenarios'!$E$10)*(INDEX(BookQ1,207)*(5-MIN(4,1+'5. Scenarios'!$E$8))/4+INDEX(BookQ2,207)*(5-MIN(4,2+'5. Scenarios'!$E$8))/4+INDEX(BookQ3,207)*(5-MIN(4,3+'5. Scenarios'!$E$8))/4+INDEX(BookQ4,207)*(5-MIN(4,4+'5. Scenarios'!$E$8))/4)*'5. Scenarios'!$E$6/(1+ProductivityDefault*('5. Scenarios'!$E$11-1))+INDEX(BookOneOff,207)*$S212)</f>
        <v/>
      </c>
    </row>
    <row r="213" customFormat="false" ht="15" hidden="false" customHeight="false" outlineLevel="0" collapsed="false">
      <c r="A213" s="0" t="str">
        <f aca="false">IF(INDEX(BookTitle,208)="","",INDEX(BookKey,208))</f>
        <v/>
      </c>
      <c r="B213" s="0" t="str">
        <f aca="false">IF(INDEX(BookTitle,208)="","",INDEX(BookGroup,208))</f>
        <v/>
      </c>
      <c r="C213" s="0" t="str">
        <f aca="false">IF(INDEX(BookTitle,208)="","",INDEX(BookCategory,208))</f>
        <v/>
      </c>
      <c r="D213" s="56" t="str">
        <f aca="false">IF(INDEX(BookTitle,208)="","",INDEX(BookTotal,208)*'5. Scenarios'!$B$6/(1+ProductivityDefault*('5. Scenarios'!$B$11-1)))</f>
        <v/>
      </c>
      <c r="E213" s="57" t="str">
        <f aca="false">IF($D213="","",INDEX(BookRate,208)*(1+'5. Scenarios'!$B$10)*$D213)</f>
        <v/>
      </c>
      <c r="F213" s="57" t="str">
        <f aca="false">IF($E213="","",SUMIFS($E$6:$E$2405,$A$6:$A$2405,"&lt;="&amp;$A213))</f>
        <v/>
      </c>
      <c r="G213" s="57" t="str">
        <f aca="false">IF($E213="","",IF($F213&lt;=BankCostEnvelope*'5. Scenarios'!$B$7,1,0))</f>
        <v/>
      </c>
      <c r="H213" s="57" t="str">
        <f aca="false">IF($D213="","",INDEX(BookRate,208)*(1+'5. Scenarios'!$B$10)*(INDEX(BookQ1,208)*(5-MIN(4,1+'5. Scenarios'!$B$8))/4+INDEX(BookQ2,208)*(5-MIN(4,2+'5. Scenarios'!$B$8))/4+INDEX(BookQ3,208)*(5-MIN(4,3+'5. Scenarios'!$B$8))/4+INDEX(BookQ4,208)*(5-MIN(4,4+'5. Scenarios'!$B$8))/4)*'5. Scenarios'!$B$6/(1+ProductivityDefault*('5. Scenarios'!$B$11-1))+INDEX(BookOneOff,208)*$D213)</f>
        <v/>
      </c>
      <c r="I213" s="56" t="str">
        <f aca="false">IF(INDEX(BookTitle,208)="","",INDEX(BookTotal,208)*'5. Scenarios'!$C$6/(1+ProductivityDefault*('5. Scenarios'!$C$11-1)))</f>
        <v/>
      </c>
      <c r="J213" s="57" t="str">
        <f aca="false">IF($I213="","",INDEX(BookRate,208)*(1+'5. Scenarios'!$C$10)*$I213)</f>
        <v/>
      </c>
      <c r="K213" s="57" t="str">
        <f aca="false">IF($J213="","",SUMIFS($J$6:$J$2405,$A$6:$A$2405,"&lt;="&amp;$A213))</f>
        <v/>
      </c>
      <c r="L213" s="57" t="str">
        <f aca="false">IF($J213="","",IF($K213&lt;=BankCostEnvelope*'5. Scenarios'!$C$7,1,0))</f>
        <v/>
      </c>
      <c r="M213" s="57" t="str">
        <f aca="false">IF($I213="","",INDEX(BookRate,208)*(1+'5. Scenarios'!$C$10)*(INDEX(BookQ1,208)*(5-MIN(4,1+'5. Scenarios'!$C$8))/4+INDEX(BookQ2,208)*(5-MIN(4,2+'5. Scenarios'!$C$8))/4+INDEX(BookQ3,208)*(5-MIN(4,3+'5. Scenarios'!$C$8))/4+INDEX(BookQ4,208)*(5-MIN(4,4+'5. Scenarios'!$C$8))/4)*'5. Scenarios'!$C$6/(1+ProductivityDefault*('5. Scenarios'!$C$11-1))+INDEX(BookOneOff,208)*$I213)</f>
        <v/>
      </c>
      <c r="N213" s="56" t="str">
        <f aca="false">IF(INDEX(BookTitle,208)="","",INDEX(BookTotal,208)*'5. Scenarios'!$D$6/(1+ProductivityDefault*('5. Scenarios'!$D$11-1)))</f>
        <v/>
      </c>
      <c r="O213" s="57" t="str">
        <f aca="false">IF($N213="","",INDEX(BookRate,208)*(1+'5. Scenarios'!$D$10)*$N213)</f>
        <v/>
      </c>
      <c r="P213" s="57" t="str">
        <f aca="false">IF($O213="","",SUMIFS($O$6:$O$2405,$A$6:$A$2405,"&lt;="&amp;$A213))</f>
        <v/>
      </c>
      <c r="Q213" s="57" t="str">
        <f aca="false">IF($O213="","",IF($P213&lt;=BankCostEnvelope*'5. Scenarios'!$D$7,1,0))</f>
        <v/>
      </c>
      <c r="R213" s="57" t="str">
        <f aca="false">IF($N213="","",INDEX(BookRate,208)*(1+'5. Scenarios'!$D$10)*(INDEX(BookQ1,208)*(5-MIN(4,1+'5. Scenarios'!$D$8))/4+INDEX(BookQ2,208)*(5-MIN(4,2+'5. Scenarios'!$D$8))/4+INDEX(BookQ3,208)*(5-MIN(4,3+'5. Scenarios'!$D$8))/4+INDEX(BookQ4,208)*(5-MIN(4,4+'5. Scenarios'!$D$8))/4)*'5. Scenarios'!$D$6/(1+ProductivityDefault*('5. Scenarios'!$D$11-1))+INDEX(BookOneOff,208)*$N213)</f>
        <v/>
      </c>
      <c r="S213" s="56" t="str">
        <f aca="false">IF(INDEX(BookTitle,208)="","",INDEX(BookTotal,208)*'5. Scenarios'!$E$6/(1+ProductivityDefault*('5. Scenarios'!$E$11-1)))</f>
        <v/>
      </c>
      <c r="T213" s="57" t="str">
        <f aca="false">IF($S213="","",INDEX(BookRate,208)*(1+'5. Scenarios'!$E$10)*$S213)</f>
        <v/>
      </c>
      <c r="U213" s="57" t="str">
        <f aca="false">IF($T213="","",SUMIFS($T$6:$T$2405,$A$6:$A$2405,"&lt;="&amp;$A213))</f>
        <v/>
      </c>
      <c r="V213" s="57" t="str">
        <f aca="false">IF($T213="","",IF($U213&lt;=BankCostEnvelope*'5. Scenarios'!$E$7,1,0))</f>
        <v/>
      </c>
      <c r="W213" s="57" t="str">
        <f aca="false">IF($S213="","",INDEX(BookRate,208)*(1+'5. Scenarios'!$E$10)*(INDEX(BookQ1,208)*(5-MIN(4,1+'5. Scenarios'!$E$8))/4+INDEX(BookQ2,208)*(5-MIN(4,2+'5. Scenarios'!$E$8))/4+INDEX(BookQ3,208)*(5-MIN(4,3+'5. Scenarios'!$E$8))/4+INDEX(BookQ4,208)*(5-MIN(4,4+'5. Scenarios'!$E$8))/4)*'5. Scenarios'!$E$6/(1+ProductivityDefault*('5. Scenarios'!$E$11-1))+INDEX(BookOneOff,208)*$S213)</f>
        <v/>
      </c>
    </row>
    <row r="214" customFormat="false" ht="15" hidden="false" customHeight="false" outlineLevel="0" collapsed="false">
      <c r="A214" s="0" t="str">
        <f aca="false">IF(INDEX(BookTitle,209)="","",INDEX(BookKey,209))</f>
        <v/>
      </c>
      <c r="B214" s="0" t="str">
        <f aca="false">IF(INDEX(BookTitle,209)="","",INDEX(BookGroup,209))</f>
        <v/>
      </c>
      <c r="C214" s="0" t="str">
        <f aca="false">IF(INDEX(BookTitle,209)="","",INDEX(BookCategory,209))</f>
        <v/>
      </c>
      <c r="D214" s="56" t="str">
        <f aca="false">IF(INDEX(BookTitle,209)="","",INDEX(BookTotal,209)*'5. Scenarios'!$B$6/(1+ProductivityDefault*('5. Scenarios'!$B$11-1)))</f>
        <v/>
      </c>
      <c r="E214" s="57" t="str">
        <f aca="false">IF($D214="","",INDEX(BookRate,209)*(1+'5. Scenarios'!$B$10)*$D214)</f>
        <v/>
      </c>
      <c r="F214" s="57" t="str">
        <f aca="false">IF($E214="","",SUMIFS($E$6:$E$2405,$A$6:$A$2405,"&lt;="&amp;$A214))</f>
        <v/>
      </c>
      <c r="G214" s="57" t="str">
        <f aca="false">IF($E214="","",IF($F214&lt;=BankCostEnvelope*'5. Scenarios'!$B$7,1,0))</f>
        <v/>
      </c>
      <c r="H214" s="57" t="str">
        <f aca="false">IF($D214="","",INDEX(BookRate,209)*(1+'5. Scenarios'!$B$10)*(INDEX(BookQ1,209)*(5-MIN(4,1+'5. Scenarios'!$B$8))/4+INDEX(BookQ2,209)*(5-MIN(4,2+'5. Scenarios'!$B$8))/4+INDEX(BookQ3,209)*(5-MIN(4,3+'5. Scenarios'!$B$8))/4+INDEX(BookQ4,209)*(5-MIN(4,4+'5. Scenarios'!$B$8))/4)*'5. Scenarios'!$B$6/(1+ProductivityDefault*('5. Scenarios'!$B$11-1))+INDEX(BookOneOff,209)*$D214)</f>
        <v/>
      </c>
      <c r="I214" s="56" t="str">
        <f aca="false">IF(INDEX(BookTitle,209)="","",INDEX(BookTotal,209)*'5. Scenarios'!$C$6/(1+ProductivityDefault*('5. Scenarios'!$C$11-1)))</f>
        <v/>
      </c>
      <c r="J214" s="57" t="str">
        <f aca="false">IF($I214="","",INDEX(BookRate,209)*(1+'5. Scenarios'!$C$10)*$I214)</f>
        <v/>
      </c>
      <c r="K214" s="57" t="str">
        <f aca="false">IF($J214="","",SUMIFS($J$6:$J$2405,$A$6:$A$2405,"&lt;="&amp;$A214))</f>
        <v/>
      </c>
      <c r="L214" s="57" t="str">
        <f aca="false">IF($J214="","",IF($K214&lt;=BankCostEnvelope*'5. Scenarios'!$C$7,1,0))</f>
        <v/>
      </c>
      <c r="M214" s="57" t="str">
        <f aca="false">IF($I214="","",INDEX(BookRate,209)*(1+'5. Scenarios'!$C$10)*(INDEX(BookQ1,209)*(5-MIN(4,1+'5. Scenarios'!$C$8))/4+INDEX(BookQ2,209)*(5-MIN(4,2+'5. Scenarios'!$C$8))/4+INDEX(BookQ3,209)*(5-MIN(4,3+'5. Scenarios'!$C$8))/4+INDEX(BookQ4,209)*(5-MIN(4,4+'5. Scenarios'!$C$8))/4)*'5. Scenarios'!$C$6/(1+ProductivityDefault*('5. Scenarios'!$C$11-1))+INDEX(BookOneOff,209)*$I214)</f>
        <v/>
      </c>
      <c r="N214" s="56" t="str">
        <f aca="false">IF(INDEX(BookTitle,209)="","",INDEX(BookTotal,209)*'5. Scenarios'!$D$6/(1+ProductivityDefault*('5. Scenarios'!$D$11-1)))</f>
        <v/>
      </c>
      <c r="O214" s="57" t="str">
        <f aca="false">IF($N214="","",INDEX(BookRate,209)*(1+'5. Scenarios'!$D$10)*$N214)</f>
        <v/>
      </c>
      <c r="P214" s="57" t="str">
        <f aca="false">IF($O214="","",SUMIFS($O$6:$O$2405,$A$6:$A$2405,"&lt;="&amp;$A214))</f>
        <v/>
      </c>
      <c r="Q214" s="57" t="str">
        <f aca="false">IF($O214="","",IF($P214&lt;=BankCostEnvelope*'5. Scenarios'!$D$7,1,0))</f>
        <v/>
      </c>
      <c r="R214" s="57" t="str">
        <f aca="false">IF($N214="","",INDEX(BookRate,209)*(1+'5. Scenarios'!$D$10)*(INDEX(BookQ1,209)*(5-MIN(4,1+'5. Scenarios'!$D$8))/4+INDEX(BookQ2,209)*(5-MIN(4,2+'5. Scenarios'!$D$8))/4+INDEX(BookQ3,209)*(5-MIN(4,3+'5. Scenarios'!$D$8))/4+INDEX(BookQ4,209)*(5-MIN(4,4+'5. Scenarios'!$D$8))/4)*'5. Scenarios'!$D$6/(1+ProductivityDefault*('5. Scenarios'!$D$11-1))+INDEX(BookOneOff,209)*$N214)</f>
        <v/>
      </c>
      <c r="S214" s="56" t="str">
        <f aca="false">IF(INDEX(BookTitle,209)="","",INDEX(BookTotal,209)*'5. Scenarios'!$E$6/(1+ProductivityDefault*('5. Scenarios'!$E$11-1)))</f>
        <v/>
      </c>
      <c r="T214" s="57" t="str">
        <f aca="false">IF($S214="","",INDEX(BookRate,209)*(1+'5. Scenarios'!$E$10)*$S214)</f>
        <v/>
      </c>
      <c r="U214" s="57" t="str">
        <f aca="false">IF($T214="","",SUMIFS($T$6:$T$2405,$A$6:$A$2405,"&lt;="&amp;$A214))</f>
        <v/>
      </c>
      <c r="V214" s="57" t="str">
        <f aca="false">IF($T214="","",IF($U214&lt;=BankCostEnvelope*'5. Scenarios'!$E$7,1,0))</f>
        <v/>
      </c>
      <c r="W214" s="57" t="str">
        <f aca="false">IF($S214="","",INDEX(BookRate,209)*(1+'5. Scenarios'!$E$10)*(INDEX(BookQ1,209)*(5-MIN(4,1+'5. Scenarios'!$E$8))/4+INDEX(BookQ2,209)*(5-MIN(4,2+'5. Scenarios'!$E$8))/4+INDEX(BookQ3,209)*(5-MIN(4,3+'5. Scenarios'!$E$8))/4+INDEX(BookQ4,209)*(5-MIN(4,4+'5. Scenarios'!$E$8))/4)*'5. Scenarios'!$E$6/(1+ProductivityDefault*('5. Scenarios'!$E$11-1))+INDEX(BookOneOff,209)*$S214)</f>
        <v/>
      </c>
    </row>
    <row r="215" customFormat="false" ht="15" hidden="false" customHeight="false" outlineLevel="0" collapsed="false">
      <c r="A215" s="0" t="str">
        <f aca="false">IF(INDEX(BookTitle,210)="","",INDEX(BookKey,210))</f>
        <v/>
      </c>
      <c r="B215" s="0" t="str">
        <f aca="false">IF(INDEX(BookTitle,210)="","",INDEX(BookGroup,210))</f>
        <v/>
      </c>
      <c r="C215" s="0" t="str">
        <f aca="false">IF(INDEX(BookTitle,210)="","",INDEX(BookCategory,210))</f>
        <v/>
      </c>
      <c r="D215" s="56" t="str">
        <f aca="false">IF(INDEX(BookTitle,210)="","",INDEX(BookTotal,210)*'5. Scenarios'!$B$6/(1+ProductivityDefault*('5. Scenarios'!$B$11-1)))</f>
        <v/>
      </c>
      <c r="E215" s="57" t="str">
        <f aca="false">IF($D215="","",INDEX(BookRate,210)*(1+'5. Scenarios'!$B$10)*$D215)</f>
        <v/>
      </c>
      <c r="F215" s="57" t="str">
        <f aca="false">IF($E215="","",SUMIFS($E$6:$E$2405,$A$6:$A$2405,"&lt;="&amp;$A215))</f>
        <v/>
      </c>
      <c r="G215" s="57" t="str">
        <f aca="false">IF($E215="","",IF($F215&lt;=BankCostEnvelope*'5. Scenarios'!$B$7,1,0))</f>
        <v/>
      </c>
      <c r="H215" s="57" t="str">
        <f aca="false">IF($D215="","",INDEX(BookRate,210)*(1+'5. Scenarios'!$B$10)*(INDEX(BookQ1,210)*(5-MIN(4,1+'5. Scenarios'!$B$8))/4+INDEX(BookQ2,210)*(5-MIN(4,2+'5. Scenarios'!$B$8))/4+INDEX(BookQ3,210)*(5-MIN(4,3+'5. Scenarios'!$B$8))/4+INDEX(BookQ4,210)*(5-MIN(4,4+'5. Scenarios'!$B$8))/4)*'5. Scenarios'!$B$6/(1+ProductivityDefault*('5. Scenarios'!$B$11-1))+INDEX(BookOneOff,210)*$D215)</f>
        <v/>
      </c>
      <c r="I215" s="56" t="str">
        <f aca="false">IF(INDEX(BookTitle,210)="","",INDEX(BookTotal,210)*'5. Scenarios'!$C$6/(1+ProductivityDefault*('5. Scenarios'!$C$11-1)))</f>
        <v/>
      </c>
      <c r="J215" s="57" t="str">
        <f aca="false">IF($I215="","",INDEX(BookRate,210)*(1+'5. Scenarios'!$C$10)*$I215)</f>
        <v/>
      </c>
      <c r="K215" s="57" t="str">
        <f aca="false">IF($J215="","",SUMIFS($J$6:$J$2405,$A$6:$A$2405,"&lt;="&amp;$A215))</f>
        <v/>
      </c>
      <c r="L215" s="57" t="str">
        <f aca="false">IF($J215="","",IF($K215&lt;=BankCostEnvelope*'5. Scenarios'!$C$7,1,0))</f>
        <v/>
      </c>
      <c r="M215" s="57" t="str">
        <f aca="false">IF($I215="","",INDEX(BookRate,210)*(1+'5. Scenarios'!$C$10)*(INDEX(BookQ1,210)*(5-MIN(4,1+'5. Scenarios'!$C$8))/4+INDEX(BookQ2,210)*(5-MIN(4,2+'5. Scenarios'!$C$8))/4+INDEX(BookQ3,210)*(5-MIN(4,3+'5. Scenarios'!$C$8))/4+INDEX(BookQ4,210)*(5-MIN(4,4+'5. Scenarios'!$C$8))/4)*'5. Scenarios'!$C$6/(1+ProductivityDefault*('5. Scenarios'!$C$11-1))+INDEX(BookOneOff,210)*$I215)</f>
        <v/>
      </c>
      <c r="N215" s="56" t="str">
        <f aca="false">IF(INDEX(BookTitle,210)="","",INDEX(BookTotal,210)*'5. Scenarios'!$D$6/(1+ProductivityDefault*('5. Scenarios'!$D$11-1)))</f>
        <v/>
      </c>
      <c r="O215" s="57" t="str">
        <f aca="false">IF($N215="","",INDEX(BookRate,210)*(1+'5. Scenarios'!$D$10)*$N215)</f>
        <v/>
      </c>
      <c r="P215" s="57" t="str">
        <f aca="false">IF($O215="","",SUMIFS($O$6:$O$2405,$A$6:$A$2405,"&lt;="&amp;$A215))</f>
        <v/>
      </c>
      <c r="Q215" s="57" t="str">
        <f aca="false">IF($O215="","",IF($P215&lt;=BankCostEnvelope*'5. Scenarios'!$D$7,1,0))</f>
        <v/>
      </c>
      <c r="R215" s="57" t="str">
        <f aca="false">IF($N215="","",INDEX(BookRate,210)*(1+'5. Scenarios'!$D$10)*(INDEX(BookQ1,210)*(5-MIN(4,1+'5. Scenarios'!$D$8))/4+INDEX(BookQ2,210)*(5-MIN(4,2+'5. Scenarios'!$D$8))/4+INDEX(BookQ3,210)*(5-MIN(4,3+'5. Scenarios'!$D$8))/4+INDEX(BookQ4,210)*(5-MIN(4,4+'5. Scenarios'!$D$8))/4)*'5. Scenarios'!$D$6/(1+ProductivityDefault*('5. Scenarios'!$D$11-1))+INDEX(BookOneOff,210)*$N215)</f>
        <v/>
      </c>
      <c r="S215" s="56" t="str">
        <f aca="false">IF(INDEX(BookTitle,210)="","",INDEX(BookTotal,210)*'5. Scenarios'!$E$6/(1+ProductivityDefault*('5. Scenarios'!$E$11-1)))</f>
        <v/>
      </c>
      <c r="T215" s="57" t="str">
        <f aca="false">IF($S215="","",INDEX(BookRate,210)*(1+'5. Scenarios'!$E$10)*$S215)</f>
        <v/>
      </c>
      <c r="U215" s="57" t="str">
        <f aca="false">IF($T215="","",SUMIFS($T$6:$T$2405,$A$6:$A$2405,"&lt;="&amp;$A215))</f>
        <v/>
      </c>
      <c r="V215" s="57" t="str">
        <f aca="false">IF($T215="","",IF($U215&lt;=BankCostEnvelope*'5. Scenarios'!$E$7,1,0))</f>
        <v/>
      </c>
      <c r="W215" s="57" t="str">
        <f aca="false">IF($S215="","",INDEX(BookRate,210)*(1+'5. Scenarios'!$E$10)*(INDEX(BookQ1,210)*(5-MIN(4,1+'5. Scenarios'!$E$8))/4+INDEX(BookQ2,210)*(5-MIN(4,2+'5. Scenarios'!$E$8))/4+INDEX(BookQ3,210)*(5-MIN(4,3+'5. Scenarios'!$E$8))/4+INDEX(BookQ4,210)*(5-MIN(4,4+'5. Scenarios'!$E$8))/4)*'5. Scenarios'!$E$6/(1+ProductivityDefault*('5. Scenarios'!$E$11-1))+INDEX(BookOneOff,210)*$S215)</f>
        <v/>
      </c>
    </row>
    <row r="216" customFormat="false" ht="15" hidden="false" customHeight="false" outlineLevel="0" collapsed="false">
      <c r="A216" s="0" t="str">
        <f aca="false">IF(INDEX(BookTitle,211)="","",INDEX(BookKey,211))</f>
        <v/>
      </c>
      <c r="B216" s="0" t="str">
        <f aca="false">IF(INDEX(BookTitle,211)="","",INDEX(BookGroup,211))</f>
        <v/>
      </c>
      <c r="C216" s="0" t="str">
        <f aca="false">IF(INDEX(BookTitle,211)="","",INDEX(BookCategory,211))</f>
        <v/>
      </c>
      <c r="D216" s="56" t="str">
        <f aca="false">IF(INDEX(BookTitle,211)="","",INDEX(BookTotal,211)*'5. Scenarios'!$B$6/(1+ProductivityDefault*('5. Scenarios'!$B$11-1)))</f>
        <v/>
      </c>
      <c r="E216" s="57" t="str">
        <f aca="false">IF($D216="","",INDEX(BookRate,211)*(1+'5. Scenarios'!$B$10)*$D216)</f>
        <v/>
      </c>
      <c r="F216" s="57" t="str">
        <f aca="false">IF($E216="","",SUMIFS($E$6:$E$2405,$A$6:$A$2405,"&lt;="&amp;$A216))</f>
        <v/>
      </c>
      <c r="G216" s="57" t="str">
        <f aca="false">IF($E216="","",IF($F216&lt;=BankCostEnvelope*'5. Scenarios'!$B$7,1,0))</f>
        <v/>
      </c>
      <c r="H216" s="57" t="str">
        <f aca="false">IF($D216="","",INDEX(BookRate,211)*(1+'5. Scenarios'!$B$10)*(INDEX(BookQ1,211)*(5-MIN(4,1+'5. Scenarios'!$B$8))/4+INDEX(BookQ2,211)*(5-MIN(4,2+'5. Scenarios'!$B$8))/4+INDEX(BookQ3,211)*(5-MIN(4,3+'5. Scenarios'!$B$8))/4+INDEX(BookQ4,211)*(5-MIN(4,4+'5. Scenarios'!$B$8))/4)*'5. Scenarios'!$B$6/(1+ProductivityDefault*('5. Scenarios'!$B$11-1))+INDEX(BookOneOff,211)*$D216)</f>
        <v/>
      </c>
      <c r="I216" s="56" t="str">
        <f aca="false">IF(INDEX(BookTitle,211)="","",INDEX(BookTotal,211)*'5. Scenarios'!$C$6/(1+ProductivityDefault*('5. Scenarios'!$C$11-1)))</f>
        <v/>
      </c>
      <c r="J216" s="57" t="str">
        <f aca="false">IF($I216="","",INDEX(BookRate,211)*(1+'5. Scenarios'!$C$10)*$I216)</f>
        <v/>
      </c>
      <c r="K216" s="57" t="str">
        <f aca="false">IF($J216="","",SUMIFS($J$6:$J$2405,$A$6:$A$2405,"&lt;="&amp;$A216))</f>
        <v/>
      </c>
      <c r="L216" s="57" t="str">
        <f aca="false">IF($J216="","",IF($K216&lt;=BankCostEnvelope*'5. Scenarios'!$C$7,1,0))</f>
        <v/>
      </c>
      <c r="M216" s="57" t="str">
        <f aca="false">IF($I216="","",INDEX(BookRate,211)*(1+'5. Scenarios'!$C$10)*(INDEX(BookQ1,211)*(5-MIN(4,1+'5. Scenarios'!$C$8))/4+INDEX(BookQ2,211)*(5-MIN(4,2+'5. Scenarios'!$C$8))/4+INDEX(BookQ3,211)*(5-MIN(4,3+'5. Scenarios'!$C$8))/4+INDEX(BookQ4,211)*(5-MIN(4,4+'5. Scenarios'!$C$8))/4)*'5. Scenarios'!$C$6/(1+ProductivityDefault*('5. Scenarios'!$C$11-1))+INDEX(BookOneOff,211)*$I216)</f>
        <v/>
      </c>
      <c r="N216" s="56" t="str">
        <f aca="false">IF(INDEX(BookTitle,211)="","",INDEX(BookTotal,211)*'5. Scenarios'!$D$6/(1+ProductivityDefault*('5. Scenarios'!$D$11-1)))</f>
        <v/>
      </c>
      <c r="O216" s="57" t="str">
        <f aca="false">IF($N216="","",INDEX(BookRate,211)*(1+'5. Scenarios'!$D$10)*$N216)</f>
        <v/>
      </c>
      <c r="P216" s="57" t="str">
        <f aca="false">IF($O216="","",SUMIFS($O$6:$O$2405,$A$6:$A$2405,"&lt;="&amp;$A216))</f>
        <v/>
      </c>
      <c r="Q216" s="57" t="str">
        <f aca="false">IF($O216="","",IF($P216&lt;=BankCostEnvelope*'5. Scenarios'!$D$7,1,0))</f>
        <v/>
      </c>
      <c r="R216" s="57" t="str">
        <f aca="false">IF($N216="","",INDEX(BookRate,211)*(1+'5. Scenarios'!$D$10)*(INDEX(BookQ1,211)*(5-MIN(4,1+'5. Scenarios'!$D$8))/4+INDEX(BookQ2,211)*(5-MIN(4,2+'5. Scenarios'!$D$8))/4+INDEX(BookQ3,211)*(5-MIN(4,3+'5. Scenarios'!$D$8))/4+INDEX(BookQ4,211)*(5-MIN(4,4+'5. Scenarios'!$D$8))/4)*'5. Scenarios'!$D$6/(1+ProductivityDefault*('5. Scenarios'!$D$11-1))+INDEX(BookOneOff,211)*$N216)</f>
        <v/>
      </c>
      <c r="S216" s="56" t="str">
        <f aca="false">IF(INDEX(BookTitle,211)="","",INDEX(BookTotal,211)*'5. Scenarios'!$E$6/(1+ProductivityDefault*('5. Scenarios'!$E$11-1)))</f>
        <v/>
      </c>
      <c r="T216" s="57" t="str">
        <f aca="false">IF($S216="","",INDEX(BookRate,211)*(1+'5. Scenarios'!$E$10)*$S216)</f>
        <v/>
      </c>
      <c r="U216" s="57" t="str">
        <f aca="false">IF($T216="","",SUMIFS($T$6:$T$2405,$A$6:$A$2405,"&lt;="&amp;$A216))</f>
        <v/>
      </c>
      <c r="V216" s="57" t="str">
        <f aca="false">IF($T216="","",IF($U216&lt;=BankCostEnvelope*'5. Scenarios'!$E$7,1,0))</f>
        <v/>
      </c>
      <c r="W216" s="57" t="str">
        <f aca="false">IF($S216="","",INDEX(BookRate,211)*(1+'5. Scenarios'!$E$10)*(INDEX(BookQ1,211)*(5-MIN(4,1+'5. Scenarios'!$E$8))/4+INDEX(BookQ2,211)*(5-MIN(4,2+'5. Scenarios'!$E$8))/4+INDEX(BookQ3,211)*(5-MIN(4,3+'5. Scenarios'!$E$8))/4+INDEX(BookQ4,211)*(5-MIN(4,4+'5. Scenarios'!$E$8))/4)*'5. Scenarios'!$E$6/(1+ProductivityDefault*('5. Scenarios'!$E$11-1))+INDEX(BookOneOff,211)*$S216)</f>
        <v/>
      </c>
    </row>
    <row r="217" customFormat="false" ht="15" hidden="false" customHeight="false" outlineLevel="0" collapsed="false">
      <c r="A217" s="0" t="str">
        <f aca="false">IF(INDEX(BookTitle,212)="","",INDEX(BookKey,212))</f>
        <v/>
      </c>
      <c r="B217" s="0" t="str">
        <f aca="false">IF(INDEX(BookTitle,212)="","",INDEX(BookGroup,212))</f>
        <v/>
      </c>
      <c r="C217" s="0" t="str">
        <f aca="false">IF(INDEX(BookTitle,212)="","",INDEX(BookCategory,212))</f>
        <v/>
      </c>
      <c r="D217" s="56" t="str">
        <f aca="false">IF(INDEX(BookTitle,212)="","",INDEX(BookTotal,212)*'5. Scenarios'!$B$6/(1+ProductivityDefault*('5. Scenarios'!$B$11-1)))</f>
        <v/>
      </c>
      <c r="E217" s="57" t="str">
        <f aca="false">IF($D217="","",INDEX(BookRate,212)*(1+'5. Scenarios'!$B$10)*$D217)</f>
        <v/>
      </c>
      <c r="F217" s="57" t="str">
        <f aca="false">IF($E217="","",SUMIFS($E$6:$E$2405,$A$6:$A$2405,"&lt;="&amp;$A217))</f>
        <v/>
      </c>
      <c r="G217" s="57" t="str">
        <f aca="false">IF($E217="","",IF($F217&lt;=BankCostEnvelope*'5. Scenarios'!$B$7,1,0))</f>
        <v/>
      </c>
      <c r="H217" s="57" t="str">
        <f aca="false">IF($D217="","",INDEX(BookRate,212)*(1+'5. Scenarios'!$B$10)*(INDEX(BookQ1,212)*(5-MIN(4,1+'5. Scenarios'!$B$8))/4+INDEX(BookQ2,212)*(5-MIN(4,2+'5. Scenarios'!$B$8))/4+INDEX(BookQ3,212)*(5-MIN(4,3+'5. Scenarios'!$B$8))/4+INDEX(BookQ4,212)*(5-MIN(4,4+'5. Scenarios'!$B$8))/4)*'5. Scenarios'!$B$6/(1+ProductivityDefault*('5. Scenarios'!$B$11-1))+INDEX(BookOneOff,212)*$D217)</f>
        <v/>
      </c>
      <c r="I217" s="56" t="str">
        <f aca="false">IF(INDEX(BookTitle,212)="","",INDEX(BookTotal,212)*'5. Scenarios'!$C$6/(1+ProductivityDefault*('5. Scenarios'!$C$11-1)))</f>
        <v/>
      </c>
      <c r="J217" s="57" t="str">
        <f aca="false">IF($I217="","",INDEX(BookRate,212)*(1+'5. Scenarios'!$C$10)*$I217)</f>
        <v/>
      </c>
      <c r="K217" s="57" t="str">
        <f aca="false">IF($J217="","",SUMIFS($J$6:$J$2405,$A$6:$A$2405,"&lt;="&amp;$A217))</f>
        <v/>
      </c>
      <c r="L217" s="57" t="str">
        <f aca="false">IF($J217="","",IF($K217&lt;=BankCostEnvelope*'5. Scenarios'!$C$7,1,0))</f>
        <v/>
      </c>
      <c r="M217" s="57" t="str">
        <f aca="false">IF($I217="","",INDEX(BookRate,212)*(1+'5. Scenarios'!$C$10)*(INDEX(BookQ1,212)*(5-MIN(4,1+'5. Scenarios'!$C$8))/4+INDEX(BookQ2,212)*(5-MIN(4,2+'5. Scenarios'!$C$8))/4+INDEX(BookQ3,212)*(5-MIN(4,3+'5. Scenarios'!$C$8))/4+INDEX(BookQ4,212)*(5-MIN(4,4+'5. Scenarios'!$C$8))/4)*'5. Scenarios'!$C$6/(1+ProductivityDefault*('5. Scenarios'!$C$11-1))+INDEX(BookOneOff,212)*$I217)</f>
        <v/>
      </c>
      <c r="N217" s="56" t="str">
        <f aca="false">IF(INDEX(BookTitle,212)="","",INDEX(BookTotal,212)*'5. Scenarios'!$D$6/(1+ProductivityDefault*('5. Scenarios'!$D$11-1)))</f>
        <v/>
      </c>
      <c r="O217" s="57" t="str">
        <f aca="false">IF($N217="","",INDEX(BookRate,212)*(1+'5. Scenarios'!$D$10)*$N217)</f>
        <v/>
      </c>
      <c r="P217" s="57" t="str">
        <f aca="false">IF($O217="","",SUMIFS($O$6:$O$2405,$A$6:$A$2405,"&lt;="&amp;$A217))</f>
        <v/>
      </c>
      <c r="Q217" s="57" t="str">
        <f aca="false">IF($O217="","",IF($P217&lt;=BankCostEnvelope*'5. Scenarios'!$D$7,1,0))</f>
        <v/>
      </c>
      <c r="R217" s="57" t="str">
        <f aca="false">IF($N217="","",INDEX(BookRate,212)*(1+'5. Scenarios'!$D$10)*(INDEX(BookQ1,212)*(5-MIN(4,1+'5. Scenarios'!$D$8))/4+INDEX(BookQ2,212)*(5-MIN(4,2+'5. Scenarios'!$D$8))/4+INDEX(BookQ3,212)*(5-MIN(4,3+'5. Scenarios'!$D$8))/4+INDEX(BookQ4,212)*(5-MIN(4,4+'5. Scenarios'!$D$8))/4)*'5. Scenarios'!$D$6/(1+ProductivityDefault*('5. Scenarios'!$D$11-1))+INDEX(BookOneOff,212)*$N217)</f>
        <v/>
      </c>
      <c r="S217" s="56" t="str">
        <f aca="false">IF(INDEX(BookTitle,212)="","",INDEX(BookTotal,212)*'5. Scenarios'!$E$6/(1+ProductivityDefault*('5. Scenarios'!$E$11-1)))</f>
        <v/>
      </c>
      <c r="T217" s="57" t="str">
        <f aca="false">IF($S217="","",INDEX(BookRate,212)*(1+'5. Scenarios'!$E$10)*$S217)</f>
        <v/>
      </c>
      <c r="U217" s="57" t="str">
        <f aca="false">IF($T217="","",SUMIFS($T$6:$T$2405,$A$6:$A$2405,"&lt;="&amp;$A217))</f>
        <v/>
      </c>
      <c r="V217" s="57" t="str">
        <f aca="false">IF($T217="","",IF($U217&lt;=BankCostEnvelope*'5. Scenarios'!$E$7,1,0))</f>
        <v/>
      </c>
      <c r="W217" s="57" t="str">
        <f aca="false">IF($S217="","",INDEX(BookRate,212)*(1+'5. Scenarios'!$E$10)*(INDEX(BookQ1,212)*(5-MIN(4,1+'5. Scenarios'!$E$8))/4+INDEX(BookQ2,212)*(5-MIN(4,2+'5. Scenarios'!$E$8))/4+INDEX(BookQ3,212)*(5-MIN(4,3+'5. Scenarios'!$E$8))/4+INDEX(BookQ4,212)*(5-MIN(4,4+'5. Scenarios'!$E$8))/4)*'5. Scenarios'!$E$6/(1+ProductivityDefault*('5. Scenarios'!$E$11-1))+INDEX(BookOneOff,212)*$S217)</f>
        <v/>
      </c>
    </row>
    <row r="218" customFormat="false" ht="15" hidden="false" customHeight="false" outlineLevel="0" collapsed="false">
      <c r="A218" s="0" t="str">
        <f aca="false">IF(INDEX(BookTitle,213)="","",INDEX(BookKey,213))</f>
        <v/>
      </c>
      <c r="B218" s="0" t="str">
        <f aca="false">IF(INDEX(BookTitle,213)="","",INDEX(BookGroup,213))</f>
        <v/>
      </c>
      <c r="C218" s="0" t="str">
        <f aca="false">IF(INDEX(BookTitle,213)="","",INDEX(BookCategory,213))</f>
        <v/>
      </c>
      <c r="D218" s="56" t="str">
        <f aca="false">IF(INDEX(BookTitle,213)="","",INDEX(BookTotal,213)*'5. Scenarios'!$B$6/(1+ProductivityDefault*('5. Scenarios'!$B$11-1)))</f>
        <v/>
      </c>
      <c r="E218" s="57" t="str">
        <f aca="false">IF($D218="","",INDEX(BookRate,213)*(1+'5. Scenarios'!$B$10)*$D218)</f>
        <v/>
      </c>
      <c r="F218" s="57" t="str">
        <f aca="false">IF($E218="","",SUMIFS($E$6:$E$2405,$A$6:$A$2405,"&lt;="&amp;$A218))</f>
        <v/>
      </c>
      <c r="G218" s="57" t="str">
        <f aca="false">IF($E218="","",IF($F218&lt;=BankCostEnvelope*'5. Scenarios'!$B$7,1,0))</f>
        <v/>
      </c>
      <c r="H218" s="57" t="str">
        <f aca="false">IF($D218="","",INDEX(BookRate,213)*(1+'5. Scenarios'!$B$10)*(INDEX(BookQ1,213)*(5-MIN(4,1+'5. Scenarios'!$B$8))/4+INDEX(BookQ2,213)*(5-MIN(4,2+'5. Scenarios'!$B$8))/4+INDEX(BookQ3,213)*(5-MIN(4,3+'5. Scenarios'!$B$8))/4+INDEX(BookQ4,213)*(5-MIN(4,4+'5. Scenarios'!$B$8))/4)*'5. Scenarios'!$B$6/(1+ProductivityDefault*('5. Scenarios'!$B$11-1))+INDEX(BookOneOff,213)*$D218)</f>
        <v/>
      </c>
      <c r="I218" s="56" t="str">
        <f aca="false">IF(INDEX(BookTitle,213)="","",INDEX(BookTotal,213)*'5. Scenarios'!$C$6/(1+ProductivityDefault*('5. Scenarios'!$C$11-1)))</f>
        <v/>
      </c>
      <c r="J218" s="57" t="str">
        <f aca="false">IF($I218="","",INDEX(BookRate,213)*(1+'5. Scenarios'!$C$10)*$I218)</f>
        <v/>
      </c>
      <c r="K218" s="57" t="str">
        <f aca="false">IF($J218="","",SUMIFS($J$6:$J$2405,$A$6:$A$2405,"&lt;="&amp;$A218))</f>
        <v/>
      </c>
      <c r="L218" s="57" t="str">
        <f aca="false">IF($J218="","",IF($K218&lt;=BankCostEnvelope*'5. Scenarios'!$C$7,1,0))</f>
        <v/>
      </c>
      <c r="M218" s="57" t="str">
        <f aca="false">IF($I218="","",INDEX(BookRate,213)*(1+'5. Scenarios'!$C$10)*(INDEX(BookQ1,213)*(5-MIN(4,1+'5. Scenarios'!$C$8))/4+INDEX(BookQ2,213)*(5-MIN(4,2+'5. Scenarios'!$C$8))/4+INDEX(BookQ3,213)*(5-MIN(4,3+'5. Scenarios'!$C$8))/4+INDEX(BookQ4,213)*(5-MIN(4,4+'5. Scenarios'!$C$8))/4)*'5. Scenarios'!$C$6/(1+ProductivityDefault*('5. Scenarios'!$C$11-1))+INDEX(BookOneOff,213)*$I218)</f>
        <v/>
      </c>
      <c r="N218" s="56" t="str">
        <f aca="false">IF(INDEX(BookTitle,213)="","",INDEX(BookTotal,213)*'5. Scenarios'!$D$6/(1+ProductivityDefault*('5. Scenarios'!$D$11-1)))</f>
        <v/>
      </c>
      <c r="O218" s="57" t="str">
        <f aca="false">IF($N218="","",INDEX(BookRate,213)*(1+'5. Scenarios'!$D$10)*$N218)</f>
        <v/>
      </c>
      <c r="P218" s="57" t="str">
        <f aca="false">IF($O218="","",SUMIFS($O$6:$O$2405,$A$6:$A$2405,"&lt;="&amp;$A218))</f>
        <v/>
      </c>
      <c r="Q218" s="57" t="str">
        <f aca="false">IF($O218="","",IF($P218&lt;=BankCostEnvelope*'5. Scenarios'!$D$7,1,0))</f>
        <v/>
      </c>
      <c r="R218" s="57" t="str">
        <f aca="false">IF($N218="","",INDEX(BookRate,213)*(1+'5. Scenarios'!$D$10)*(INDEX(BookQ1,213)*(5-MIN(4,1+'5. Scenarios'!$D$8))/4+INDEX(BookQ2,213)*(5-MIN(4,2+'5. Scenarios'!$D$8))/4+INDEX(BookQ3,213)*(5-MIN(4,3+'5. Scenarios'!$D$8))/4+INDEX(BookQ4,213)*(5-MIN(4,4+'5. Scenarios'!$D$8))/4)*'5. Scenarios'!$D$6/(1+ProductivityDefault*('5. Scenarios'!$D$11-1))+INDEX(BookOneOff,213)*$N218)</f>
        <v/>
      </c>
      <c r="S218" s="56" t="str">
        <f aca="false">IF(INDEX(BookTitle,213)="","",INDEX(BookTotal,213)*'5. Scenarios'!$E$6/(1+ProductivityDefault*('5. Scenarios'!$E$11-1)))</f>
        <v/>
      </c>
      <c r="T218" s="57" t="str">
        <f aca="false">IF($S218="","",INDEX(BookRate,213)*(1+'5. Scenarios'!$E$10)*$S218)</f>
        <v/>
      </c>
      <c r="U218" s="57" t="str">
        <f aca="false">IF($T218="","",SUMIFS($T$6:$T$2405,$A$6:$A$2405,"&lt;="&amp;$A218))</f>
        <v/>
      </c>
      <c r="V218" s="57" t="str">
        <f aca="false">IF($T218="","",IF($U218&lt;=BankCostEnvelope*'5. Scenarios'!$E$7,1,0))</f>
        <v/>
      </c>
      <c r="W218" s="57" t="str">
        <f aca="false">IF($S218="","",INDEX(BookRate,213)*(1+'5. Scenarios'!$E$10)*(INDEX(BookQ1,213)*(5-MIN(4,1+'5. Scenarios'!$E$8))/4+INDEX(BookQ2,213)*(5-MIN(4,2+'5. Scenarios'!$E$8))/4+INDEX(BookQ3,213)*(5-MIN(4,3+'5. Scenarios'!$E$8))/4+INDEX(BookQ4,213)*(5-MIN(4,4+'5. Scenarios'!$E$8))/4)*'5. Scenarios'!$E$6/(1+ProductivityDefault*('5. Scenarios'!$E$11-1))+INDEX(BookOneOff,213)*$S218)</f>
        <v/>
      </c>
    </row>
    <row r="219" customFormat="false" ht="15" hidden="false" customHeight="false" outlineLevel="0" collapsed="false">
      <c r="A219" s="0" t="str">
        <f aca="false">IF(INDEX(BookTitle,214)="","",INDEX(BookKey,214))</f>
        <v/>
      </c>
      <c r="B219" s="0" t="str">
        <f aca="false">IF(INDEX(BookTitle,214)="","",INDEX(BookGroup,214))</f>
        <v/>
      </c>
      <c r="C219" s="0" t="str">
        <f aca="false">IF(INDEX(BookTitle,214)="","",INDEX(BookCategory,214))</f>
        <v/>
      </c>
      <c r="D219" s="56" t="str">
        <f aca="false">IF(INDEX(BookTitle,214)="","",INDEX(BookTotal,214)*'5. Scenarios'!$B$6/(1+ProductivityDefault*('5. Scenarios'!$B$11-1)))</f>
        <v/>
      </c>
      <c r="E219" s="57" t="str">
        <f aca="false">IF($D219="","",INDEX(BookRate,214)*(1+'5. Scenarios'!$B$10)*$D219)</f>
        <v/>
      </c>
      <c r="F219" s="57" t="str">
        <f aca="false">IF($E219="","",SUMIFS($E$6:$E$2405,$A$6:$A$2405,"&lt;="&amp;$A219))</f>
        <v/>
      </c>
      <c r="G219" s="57" t="str">
        <f aca="false">IF($E219="","",IF($F219&lt;=BankCostEnvelope*'5. Scenarios'!$B$7,1,0))</f>
        <v/>
      </c>
      <c r="H219" s="57" t="str">
        <f aca="false">IF($D219="","",INDEX(BookRate,214)*(1+'5. Scenarios'!$B$10)*(INDEX(BookQ1,214)*(5-MIN(4,1+'5. Scenarios'!$B$8))/4+INDEX(BookQ2,214)*(5-MIN(4,2+'5. Scenarios'!$B$8))/4+INDEX(BookQ3,214)*(5-MIN(4,3+'5. Scenarios'!$B$8))/4+INDEX(BookQ4,214)*(5-MIN(4,4+'5. Scenarios'!$B$8))/4)*'5. Scenarios'!$B$6/(1+ProductivityDefault*('5. Scenarios'!$B$11-1))+INDEX(BookOneOff,214)*$D219)</f>
        <v/>
      </c>
      <c r="I219" s="56" t="str">
        <f aca="false">IF(INDEX(BookTitle,214)="","",INDEX(BookTotal,214)*'5. Scenarios'!$C$6/(1+ProductivityDefault*('5. Scenarios'!$C$11-1)))</f>
        <v/>
      </c>
      <c r="J219" s="57" t="str">
        <f aca="false">IF($I219="","",INDEX(BookRate,214)*(1+'5. Scenarios'!$C$10)*$I219)</f>
        <v/>
      </c>
      <c r="K219" s="57" t="str">
        <f aca="false">IF($J219="","",SUMIFS($J$6:$J$2405,$A$6:$A$2405,"&lt;="&amp;$A219))</f>
        <v/>
      </c>
      <c r="L219" s="57" t="str">
        <f aca="false">IF($J219="","",IF($K219&lt;=BankCostEnvelope*'5. Scenarios'!$C$7,1,0))</f>
        <v/>
      </c>
      <c r="M219" s="57" t="str">
        <f aca="false">IF($I219="","",INDEX(BookRate,214)*(1+'5. Scenarios'!$C$10)*(INDEX(BookQ1,214)*(5-MIN(4,1+'5. Scenarios'!$C$8))/4+INDEX(BookQ2,214)*(5-MIN(4,2+'5. Scenarios'!$C$8))/4+INDEX(BookQ3,214)*(5-MIN(4,3+'5. Scenarios'!$C$8))/4+INDEX(BookQ4,214)*(5-MIN(4,4+'5. Scenarios'!$C$8))/4)*'5. Scenarios'!$C$6/(1+ProductivityDefault*('5. Scenarios'!$C$11-1))+INDEX(BookOneOff,214)*$I219)</f>
        <v/>
      </c>
      <c r="N219" s="56" t="str">
        <f aca="false">IF(INDEX(BookTitle,214)="","",INDEX(BookTotal,214)*'5. Scenarios'!$D$6/(1+ProductivityDefault*('5. Scenarios'!$D$11-1)))</f>
        <v/>
      </c>
      <c r="O219" s="57" t="str">
        <f aca="false">IF($N219="","",INDEX(BookRate,214)*(1+'5. Scenarios'!$D$10)*$N219)</f>
        <v/>
      </c>
      <c r="P219" s="57" t="str">
        <f aca="false">IF($O219="","",SUMIFS($O$6:$O$2405,$A$6:$A$2405,"&lt;="&amp;$A219))</f>
        <v/>
      </c>
      <c r="Q219" s="57" t="str">
        <f aca="false">IF($O219="","",IF($P219&lt;=BankCostEnvelope*'5. Scenarios'!$D$7,1,0))</f>
        <v/>
      </c>
      <c r="R219" s="57" t="str">
        <f aca="false">IF($N219="","",INDEX(BookRate,214)*(1+'5. Scenarios'!$D$10)*(INDEX(BookQ1,214)*(5-MIN(4,1+'5. Scenarios'!$D$8))/4+INDEX(BookQ2,214)*(5-MIN(4,2+'5. Scenarios'!$D$8))/4+INDEX(BookQ3,214)*(5-MIN(4,3+'5. Scenarios'!$D$8))/4+INDEX(BookQ4,214)*(5-MIN(4,4+'5. Scenarios'!$D$8))/4)*'5. Scenarios'!$D$6/(1+ProductivityDefault*('5. Scenarios'!$D$11-1))+INDEX(BookOneOff,214)*$N219)</f>
        <v/>
      </c>
      <c r="S219" s="56" t="str">
        <f aca="false">IF(INDEX(BookTitle,214)="","",INDEX(BookTotal,214)*'5. Scenarios'!$E$6/(1+ProductivityDefault*('5. Scenarios'!$E$11-1)))</f>
        <v/>
      </c>
      <c r="T219" s="57" t="str">
        <f aca="false">IF($S219="","",INDEX(BookRate,214)*(1+'5. Scenarios'!$E$10)*$S219)</f>
        <v/>
      </c>
      <c r="U219" s="57" t="str">
        <f aca="false">IF($T219="","",SUMIFS($T$6:$T$2405,$A$6:$A$2405,"&lt;="&amp;$A219))</f>
        <v/>
      </c>
      <c r="V219" s="57" t="str">
        <f aca="false">IF($T219="","",IF($U219&lt;=BankCostEnvelope*'5. Scenarios'!$E$7,1,0))</f>
        <v/>
      </c>
      <c r="W219" s="57" t="str">
        <f aca="false">IF($S219="","",INDEX(BookRate,214)*(1+'5. Scenarios'!$E$10)*(INDEX(BookQ1,214)*(5-MIN(4,1+'5. Scenarios'!$E$8))/4+INDEX(BookQ2,214)*(5-MIN(4,2+'5. Scenarios'!$E$8))/4+INDEX(BookQ3,214)*(5-MIN(4,3+'5. Scenarios'!$E$8))/4+INDEX(BookQ4,214)*(5-MIN(4,4+'5. Scenarios'!$E$8))/4)*'5. Scenarios'!$E$6/(1+ProductivityDefault*('5. Scenarios'!$E$11-1))+INDEX(BookOneOff,214)*$S219)</f>
        <v/>
      </c>
    </row>
    <row r="220" customFormat="false" ht="15" hidden="false" customHeight="false" outlineLevel="0" collapsed="false">
      <c r="A220" s="0" t="str">
        <f aca="false">IF(INDEX(BookTitle,215)="","",INDEX(BookKey,215))</f>
        <v/>
      </c>
      <c r="B220" s="0" t="str">
        <f aca="false">IF(INDEX(BookTitle,215)="","",INDEX(BookGroup,215))</f>
        <v/>
      </c>
      <c r="C220" s="0" t="str">
        <f aca="false">IF(INDEX(BookTitle,215)="","",INDEX(BookCategory,215))</f>
        <v/>
      </c>
      <c r="D220" s="56" t="str">
        <f aca="false">IF(INDEX(BookTitle,215)="","",INDEX(BookTotal,215)*'5. Scenarios'!$B$6/(1+ProductivityDefault*('5. Scenarios'!$B$11-1)))</f>
        <v/>
      </c>
      <c r="E220" s="57" t="str">
        <f aca="false">IF($D220="","",INDEX(BookRate,215)*(1+'5. Scenarios'!$B$10)*$D220)</f>
        <v/>
      </c>
      <c r="F220" s="57" t="str">
        <f aca="false">IF($E220="","",SUMIFS($E$6:$E$2405,$A$6:$A$2405,"&lt;="&amp;$A220))</f>
        <v/>
      </c>
      <c r="G220" s="57" t="str">
        <f aca="false">IF($E220="","",IF($F220&lt;=BankCostEnvelope*'5. Scenarios'!$B$7,1,0))</f>
        <v/>
      </c>
      <c r="H220" s="57" t="str">
        <f aca="false">IF($D220="","",INDEX(BookRate,215)*(1+'5. Scenarios'!$B$10)*(INDEX(BookQ1,215)*(5-MIN(4,1+'5. Scenarios'!$B$8))/4+INDEX(BookQ2,215)*(5-MIN(4,2+'5. Scenarios'!$B$8))/4+INDEX(BookQ3,215)*(5-MIN(4,3+'5. Scenarios'!$B$8))/4+INDEX(BookQ4,215)*(5-MIN(4,4+'5. Scenarios'!$B$8))/4)*'5. Scenarios'!$B$6/(1+ProductivityDefault*('5. Scenarios'!$B$11-1))+INDEX(BookOneOff,215)*$D220)</f>
        <v/>
      </c>
      <c r="I220" s="56" t="str">
        <f aca="false">IF(INDEX(BookTitle,215)="","",INDEX(BookTotal,215)*'5. Scenarios'!$C$6/(1+ProductivityDefault*('5. Scenarios'!$C$11-1)))</f>
        <v/>
      </c>
      <c r="J220" s="57" t="str">
        <f aca="false">IF($I220="","",INDEX(BookRate,215)*(1+'5. Scenarios'!$C$10)*$I220)</f>
        <v/>
      </c>
      <c r="K220" s="57" t="str">
        <f aca="false">IF($J220="","",SUMIFS($J$6:$J$2405,$A$6:$A$2405,"&lt;="&amp;$A220))</f>
        <v/>
      </c>
      <c r="L220" s="57" t="str">
        <f aca="false">IF($J220="","",IF($K220&lt;=BankCostEnvelope*'5. Scenarios'!$C$7,1,0))</f>
        <v/>
      </c>
      <c r="M220" s="57" t="str">
        <f aca="false">IF($I220="","",INDEX(BookRate,215)*(1+'5. Scenarios'!$C$10)*(INDEX(BookQ1,215)*(5-MIN(4,1+'5. Scenarios'!$C$8))/4+INDEX(BookQ2,215)*(5-MIN(4,2+'5. Scenarios'!$C$8))/4+INDEX(BookQ3,215)*(5-MIN(4,3+'5. Scenarios'!$C$8))/4+INDEX(BookQ4,215)*(5-MIN(4,4+'5. Scenarios'!$C$8))/4)*'5. Scenarios'!$C$6/(1+ProductivityDefault*('5. Scenarios'!$C$11-1))+INDEX(BookOneOff,215)*$I220)</f>
        <v/>
      </c>
      <c r="N220" s="56" t="str">
        <f aca="false">IF(INDEX(BookTitle,215)="","",INDEX(BookTotal,215)*'5. Scenarios'!$D$6/(1+ProductivityDefault*('5. Scenarios'!$D$11-1)))</f>
        <v/>
      </c>
      <c r="O220" s="57" t="str">
        <f aca="false">IF($N220="","",INDEX(BookRate,215)*(1+'5. Scenarios'!$D$10)*$N220)</f>
        <v/>
      </c>
      <c r="P220" s="57" t="str">
        <f aca="false">IF($O220="","",SUMIFS($O$6:$O$2405,$A$6:$A$2405,"&lt;="&amp;$A220))</f>
        <v/>
      </c>
      <c r="Q220" s="57" t="str">
        <f aca="false">IF($O220="","",IF($P220&lt;=BankCostEnvelope*'5. Scenarios'!$D$7,1,0))</f>
        <v/>
      </c>
      <c r="R220" s="57" t="str">
        <f aca="false">IF($N220="","",INDEX(BookRate,215)*(1+'5. Scenarios'!$D$10)*(INDEX(BookQ1,215)*(5-MIN(4,1+'5. Scenarios'!$D$8))/4+INDEX(BookQ2,215)*(5-MIN(4,2+'5. Scenarios'!$D$8))/4+INDEX(BookQ3,215)*(5-MIN(4,3+'5. Scenarios'!$D$8))/4+INDEX(BookQ4,215)*(5-MIN(4,4+'5. Scenarios'!$D$8))/4)*'5. Scenarios'!$D$6/(1+ProductivityDefault*('5. Scenarios'!$D$11-1))+INDEX(BookOneOff,215)*$N220)</f>
        <v/>
      </c>
      <c r="S220" s="56" t="str">
        <f aca="false">IF(INDEX(BookTitle,215)="","",INDEX(BookTotal,215)*'5. Scenarios'!$E$6/(1+ProductivityDefault*('5. Scenarios'!$E$11-1)))</f>
        <v/>
      </c>
      <c r="T220" s="57" t="str">
        <f aca="false">IF($S220="","",INDEX(BookRate,215)*(1+'5. Scenarios'!$E$10)*$S220)</f>
        <v/>
      </c>
      <c r="U220" s="57" t="str">
        <f aca="false">IF($T220="","",SUMIFS($T$6:$T$2405,$A$6:$A$2405,"&lt;="&amp;$A220))</f>
        <v/>
      </c>
      <c r="V220" s="57" t="str">
        <f aca="false">IF($T220="","",IF($U220&lt;=BankCostEnvelope*'5. Scenarios'!$E$7,1,0))</f>
        <v/>
      </c>
      <c r="W220" s="57" t="str">
        <f aca="false">IF($S220="","",INDEX(BookRate,215)*(1+'5. Scenarios'!$E$10)*(INDEX(BookQ1,215)*(5-MIN(4,1+'5. Scenarios'!$E$8))/4+INDEX(BookQ2,215)*(5-MIN(4,2+'5. Scenarios'!$E$8))/4+INDEX(BookQ3,215)*(5-MIN(4,3+'5. Scenarios'!$E$8))/4+INDEX(BookQ4,215)*(5-MIN(4,4+'5. Scenarios'!$E$8))/4)*'5. Scenarios'!$E$6/(1+ProductivityDefault*('5. Scenarios'!$E$11-1))+INDEX(BookOneOff,215)*$S220)</f>
        <v/>
      </c>
    </row>
    <row r="221" customFormat="false" ht="15" hidden="false" customHeight="false" outlineLevel="0" collapsed="false">
      <c r="A221" s="0" t="str">
        <f aca="false">IF(INDEX(BookTitle,216)="","",INDEX(BookKey,216))</f>
        <v/>
      </c>
      <c r="B221" s="0" t="str">
        <f aca="false">IF(INDEX(BookTitle,216)="","",INDEX(BookGroup,216))</f>
        <v/>
      </c>
      <c r="C221" s="0" t="str">
        <f aca="false">IF(INDEX(BookTitle,216)="","",INDEX(BookCategory,216))</f>
        <v/>
      </c>
      <c r="D221" s="56" t="str">
        <f aca="false">IF(INDEX(BookTitle,216)="","",INDEX(BookTotal,216)*'5. Scenarios'!$B$6/(1+ProductivityDefault*('5. Scenarios'!$B$11-1)))</f>
        <v/>
      </c>
      <c r="E221" s="57" t="str">
        <f aca="false">IF($D221="","",INDEX(BookRate,216)*(1+'5. Scenarios'!$B$10)*$D221)</f>
        <v/>
      </c>
      <c r="F221" s="57" t="str">
        <f aca="false">IF($E221="","",SUMIFS($E$6:$E$2405,$A$6:$A$2405,"&lt;="&amp;$A221))</f>
        <v/>
      </c>
      <c r="G221" s="57" t="str">
        <f aca="false">IF($E221="","",IF($F221&lt;=BankCostEnvelope*'5. Scenarios'!$B$7,1,0))</f>
        <v/>
      </c>
      <c r="H221" s="57" t="str">
        <f aca="false">IF($D221="","",INDEX(BookRate,216)*(1+'5. Scenarios'!$B$10)*(INDEX(BookQ1,216)*(5-MIN(4,1+'5. Scenarios'!$B$8))/4+INDEX(BookQ2,216)*(5-MIN(4,2+'5. Scenarios'!$B$8))/4+INDEX(BookQ3,216)*(5-MIN(4,3+'5. Scenarios'!$B$8))/4+INDEX(BookQ4,216)*(5-MIN(4,4+'5. Scenarios'!$B$8))/4)*'5. Scenarios'!$B$6/(1+ProductivityDefault*('5. Scenarios'!$B$11-1))+INDEX(BookOneOff,216)*$D221)</f>
        <v/>
      </c>
      <c r="I221" s="56" t="str">
        <f aca="false">IF(INDEX(BookTitle,216)="","",INDEX(BookTotal,216)*'5. Scenarios'!$C$6/(1+ProductivityDefault*('5. Scenarios'!$C$11-1)))</f>
        <v/>
      </c>
      <c r="J221" s="57" t="str">
        <f aca="false">IF($I221="","",INDEX(BookRate,216)*(1+'5. Scenarios'!$C$10)*$I221)</f>
        <v/>
      </c>
      <c r="K221" s="57" t="str">
        <f aca="false">IF($J221="","",SUMIFS($J$6:$J$2405,$A$6:$A$2405,"&lt;="&amp;$A221))</f>
        <v/>
      </c>
      <c r="L221" s="57" t="str">
        <f aca="false">IF($J221="","",IF($K221&lt;=BankCostEnvelope*'5. Scenarios'!$C$7,1,0))</f>
        <v/>
      </c>
      <c r="M221" s="57" t="str">
        <f aca="false">IF($I221="","",INDEX(BookRate,216)*(1+'5. Scenarios'!$C$10)*(INDEX(BookQ1,216)*(5-MIN(4,1+'5. Scenarios'!$C$8))/4+INDEX(BookQ2,216)*(5-MIN(4,2+'5. Scenarios'!$C$8))/4+INDEX(BookQ3,216)*(5-MIN(4,3+'5. Scenarios'!$C$8))/4+INDEX(BookQ4,216)*(5-MIN(4,4+'5. Scenarios'!$C$8))/4)*'5. Scenarios'!$C$6/(1+ProductivityDefault*('5. Scenarios'!$C$11-1))+INDEX(BookOneOff,216)*$I221)</f>
        <v/>
      </c>
      <c r="N221" s="56" t="str">
        <f aca="false">IF(INDEX(BookTitle,216)="","",INDEX(BookTotal,216)*'5. Scenarios'!$D$6/(1+ProductivityDefault*('5. Scenarios'!$D$11-1)))</f>
        <v/>
      </c>
      <c r="O221" s="57" t="str">
        <f aca="false">IF($N221="","",INDEX(BookRate,216)*(1+'5. Scenarios'!$D$10)*$N221)</f>
        <v/>
      </c>
      <c r="P221" s="57" t="str">
        <f aca="false">IF($O221="","",SUMIFS($O$6:$O$2405,$A$6:$A$2405,"&lt;="&amp;$A221))</f>
        <v/>
      </c>
      <c r="Q221" s="57" t="str">
        <f aca="false">IF($O221="","",IF($P221&lt;=BankCostEnvelope*'5. Scenarios'!$D$7,1,0))</f>
        <v/>
      </c>
      <c r="R221" s="57" t="str">
        <f aca="false">IF($N221="","",INDEX(BookRate,216)*(1+'5. Scenarios'!$D$10)*(INDEX(BookQ1,216)*(5-MIN(4,1+'5. Scenarios'!$D$8))/4+INDEX(BookQ2,216)*(5-MIN(4,2+'5. Scenarios'!$D$8))/4+INDEX(BookQ3,216)*(5-MIN(4,3+'5. Scenarios'!$D$8))/4+INDEX(BookQ4,216)*(5-MIN(4,4+'5. Scenarios'!$D$8))/4)*'5. Scenarios'!$D$6/(1+ProductivityDefault*('5. Scenarios'!$D$11-1))+INDEX(BookOneOff,216)*$N221)</f>
        <v/>
      </c>
      <c r="S221" s="56" t="str">
        <f aca="false">IF(INDEX(BookTitle,216)="","",INDEX(BookTotal,216)*'5. Scenarios'!$E$6/(1+ProductivityDefault*('5. Scenarios'!$E$11-1)))</f>
        <v/>
      </c>
      <c r="T221" s="57" t="str">
        <f aca="false">IF($S221="","",INDEX(BookRate,216)*(1+'5. Scenarios'!$E$10)*$S221)</f>
        <v/>
      </c>
      <c r="U221" s="57" t="str">
        <f aca="false">IF($T221="","",SUMIFS($T$6:$T$2405,$A$6:$A$2405,"&lt;="&amp;$A221))</f>
        <v/>
      </c>
      <c r="V221" s="57" t="str">
        <f aca="false">IF($T221="","",IF($U221&lt;=BankCostEnvelope*'5. Scenarios'!$E$7,1,0))</f>
        <v/>
      </c>
      <c r="W221" s="57" t="str">
        <f aca="false">IF($S221="","",INDEX(BookRate,216)*(1+'5. Scenarios'!$E$10)*(INDEX(BookQ1,216)*(5-MIN(4,1+'5. Scenarios'!$E$8))/4+INDEX(BookQ2,216)*(5-MIN(4,2+'5. Scenarios'!$E$8))/4+INDEX(BookQ3,216)*(5-MIN(4,3+'5. Scenarios'!$E$8))/4+INDEX(BookQ4,216)*(5-MIN(4,4+'5. Scenarios'!$E$8))/4)*'5. Scenarios'!$E$6/(1+ProductivityDefault*('5. Scenarios'!$E$11-1))+INDEX(BookOneOff,216)*$S221)</f>
        <v/>
      </c>
    </row>
    <row r="222" customFormat="false" ht="15" hidden="false" customHeight="false" outlineLevel="0" collapsed="false">
      <c r="A222" s="0" t="str">
        <f aca="false">IF(INDEX(BookTitle,217)="","",INDEX(BookKey,217))</f>
        <v/>
      </c>
      <c r="B222" s="0" t="str">
        <f aca="false">IF(INDEX(BookTitle,217)="","",INDEX(BookGroup,217))</f>
        <v/>
      </c>
      <c r="C222" s="0" t="str">
        <f aca="false">IF(INDEX(BookTitle,217)="","",INDEX(BookCategory,217))</f>
        <v/>
      </c>
      <c r="D222" s="56" t="str">
        <f aca="false">IF(INDEX(BookTitle,217)="","",INDEX(BookTotal,217)*'5. Scenarios'!$B$6/(1+ProductivityDefault*('5. Scenarios'!$B$11-1)))</f>
        <v/>
      </c>
      <c r="E222" s="57" t="str">
        <f aca="false">IF($D222="","",INDEX(BookRate,217)*(1+'5. Scenarios'!$B$10)*$D222)</f>
        <v/>
      </c>
      <c r="F222" s="57" t="str">
        <f aca="false">IF($E222="","",SUMIFS($E$6:$E$2405,$A$6:$A$2405,"&lt;="&amp;$A222))</f>
        <v/>
      </c>
      <c r="G222" s="57" t="str">
        <f aca="false">IF($E222="","",IF($F222&lt;=BankCostEnvelope*'5. Scenarios'!$B$7,1,0))</f>
        <v/>
      </c>
      <c r="H222" s="57" t="str">
        <f aca="false">IF($D222="","",INDEX(BookRate,217)*(1+'5. Scenarios'!$B$10)*(INDEX(BookQ1,217)*(5-MIN(4,1+'5. Scenarios'!$B$8))/4+INDEX(BookQ2,217)*(5-MIN(4,2+'5. Scenarios'!$B$8))/4+INDEX(BookQ3,217)*(5-MIN(4,3+'5. Scenarios'!$B$8))/4+INDEX(BookQ4,217)*(5-MIN(4,4+'5. Scenarios'!$B$8))/4)*'5. Scenarios'!$B$6/(1+ProductivityDefault*('5. Scenarios'!$B$11-1))+INDEX(BookOneOff,217)*$D222)</f>
        <v/>
      </c>
      <c r="I222" s="56" t="str">
        <f aca="false">IF(INDEX(BookTitle,217)="","",INDEX(BookTotal,217)*'5. Scenarios'!$C$6/(1+ProductivityDefault*('5. Scenarios'!$C$11-1)))</f>
        <v/>
      </c>
      <c r="J222" s="57" t="str">
        <f aca="false">IF($I222="","",INDEX(BookRate,217)*(1+'5. Scenarios'!$C$10)*$I222)</f>
        <v/>
      </c>
      <c r="K222" s="57" t="str">
        <f aca="false">IF($J222="","",SUMIFS($J$6:$J$2405,$A$6:$A$2405,"&lt;="&amp;$A222))</f>
        <v/>
      </c>
      <c r="L222" s="57" t="str">
        <f aca="false">IF($J222="","",IF($K222&lt;=BankCostEnvelope*'5. Scenarios'!$C$7,1,0))</f>
        <v/>
      </c>
      <c r="M222" s="57" t="str">
        <f aca="false">IF($I222="","",INDEX(BookRate,217)*(1+'5. Scenarios'!$C$10)*(INDEX(BookQ1,217)*(5-MIN(4,1+'5. Scenarios'!$C$8))/4+INDEX(BookQ2,217)*(5-MIN(4,2+'5. Scenarios'!$C$8))/4+INDEX(BookQ3,217)*(5-MIN(4,3+'5. Scenarios'!$C$8))/4+INDEX(BookQ4,217)*(5-MIN(4,4+'5. Scenarios'!$C$8))/4)*'5. Scenarios'!$C$6/(1+ProductivityDefault*('5. Scenarios'!$C$11-1))+INDEX(BookOneOff,217)*$I222)</f>
        <v/>
      </c>
      <c r="N222" s="56" t="str">
        <f aca="false">IF(INDEX(BookTitle,217)="","",INDEX(BookTotal,217)*'5. Scenarios'!$D$6/(1+ProductivityDefault*('5. Scenarios'!$D$11-1)))</f>
        <v/>
      </c>
      <c r="O222" s="57" t="str">
        <f aca="false">IF($N222="","",INDEX(BookRate,217)*(1+'5. Scenarios'!$D$10)*$N222)</f>
        <v/>
      </c>
      <c r="P222" s="57" t="str">
        <f aca="false">IF($O222="","",SUMIFS($O$6:$O$2405,$A$6:$A$2405,"&lt;="&amp;$A222))</f>
        <v/>
      </c>
      <c r="Q222" s="57" t="str">
        <f aca="false">IF($O222="","",IF($P222&lt;=BankCostEnvelope*'5. Scenarios'!$D$7,1,0))</f>
        <v/>
      </c>
      <c r="R222" s="57" t="str">
        <f aca="false">IF($N222="","",INDEX(BookRate,217)*(1+'5. Scenarios'!$D$10)*(INDEX(BookQ1,217)*(5-MIN(4,1+'5. Scenarios'!$D$8))/4+INDEX(BookQ2,217)*(5-MIN(4,2+'5. Scenarios'!$D$8))/4+INDEX(BookQ3,217)*(5-MIN(4,3+'5. Scenarios'!$D$8))/4+INDEX(BookQ4,217)*(5-MIN(4,4+'5. Scenarios'!$D$8))/4)*'5. Scenarios'!$D$6/(1+ProductivityDefault*('5. Scenarios'!$D$11-1))+INDEX(BookOneOff,217)*$N222)</f>
        <v/>
      </c>
      <c r="S222" s="56" t="str">
        <f aca="false">IF(INDEX(BookTitle,217)="","",INDEX(BookTotal,217)*'5. Scenarios'!$E$6/(1+ProductivityDefault*('5. Scenarios'!$E$11-1)))</f>
        <v/>
      </c>
      <c r="T222" s="57" t="str">
        <f aca="false">IF($S222="","",INDEX(BookRate,217)*(1+'5. Scenarios'!$E$10)*$S222)</f>
        <v/>
      </c>
      <c r="U222" s="57" t="str">
        <f aca="false">IF($T222="","",SUMIFS($T$6:$T$2405,$A$6:$A$2405,"&lt;="&amp;$A222))</f>
        <v/>
      </c>
      <c r="V222" s="57" t="str">
        <f aca="false">IF($T222="","",IF($U222&lt;=BankCostEnvelope*'5. Scenarios'!$E$7,1,0))</f>
        <v/>
      </c>
      <c r="W222" s="57" t="str">
        <f aca="false">IF($S222="","",INDEX(BookRate,217)*(1+'5. Scenarios'!$E$10)*(INDEX(BookQ1,217)*(5-MIN(4,1+'5. Scenarios'!$E$8))/4+INDEX(BookQ2,217)*(5-MIN(4,2+'5. Scenarios'!$E$8))/4+INDEX(BookQ3,217)*(5-MIN(4,3+'5. Scenarios'!$E$8))/4+INDEX(BookQ4,217)*(5-MIN(4,4+'5. Scenarios'!$E$8))/4)*'5. Scenarios'!$E$6/(1+ProductivityDefault*('5. Scenarios'!$E$11-1))+INDEX(BookOneOff,217)*$S222)</f>
        <v/>
      </c>
    </row>
    <row r="223" customFormat="false" ht="15" hidden="false" customHeight="false" outlineLevel="0" collapsed="false">
      <c r="A223" s="0" t="str">
        <f aca="false">IF(INDEX(BookTitle,218)="","",INDEX(BookKey,218))</f>
        <v/>
      </c>
      <c r="B223" s="0" t="str">
        <f aca="false">IF(INDEX(BookTitle,218)="","",INDEX(BookGroup,218))</f>
        <v/>
      </c>
      <c r="C223" s="0" t="str">
        <f aca="false">IF(INDEX(BookTitle,218)="","",INDEX(BookCategory,218))</f>
        <v/>
      </c>
      <c r="D223" s="56" t="str">
        <f aca="false">IF(INDEX(BookTitle,218)="","",INDEX(BookTotal,218)*'5. Scenarios'!$B$6/(1+ProductivityDefault*('5. Scenarios'!$B$11-1)))</f>
        <v/>
      </c>
      <c r="E223" s="57" t="str">
        <f aca="false">IF($D223="","",INDEX(BookRate,218)*(1+'5. Scenarios'!$B$10)*$D223)</f>
        <v/>
      </c>
      <c r="F223" s="57" t="str">
        <f aca="false">IF($E223="","",SUMIFS($E$6:$E$2405,$A$6:$A$2405,"&lt;="&amp;$A223))</f>
        <v/>
      </c>
      <c r="G223" s="57" t="str">
        <f aca="false">IF($E223="","",IF($F223&lt;=BankCostEnvelope*'5. Scenarios'!$B$7,1,0))</f>
        <v/>
      </c>
      <c r="H223" s="57" t="str">
        <f aca="false">IF($D223="","",INDEX(BookRate,218)*(1+'5. Scenarios'!$B$10)*(INDEX(BookQ1,218)*(5-MIN(4,1+'5. Scenarios'!$B$8))/4+INDEX(BookQ2,218)*(5-MIN(4,2+'5. Scenarios'!$B$8))/4+INDEX(BookQ3,218)*(5-MIN(4,3+'5. Scenarios'!$B$8))/4+INDEX(BookQ4,218)*(5-MIN(4,4+'5. Scenarios'!$B$8))/4)*'5. Scenarios'!$B$6/(1+ProductivityDefault*('5. Scenarios'!$B$11-1))+INDEX(BookOneOff,218)*$D223)</f>
        <v/>
      </c>
      <c r="I223" s="56" t="str">
        <f aca="false">IF(INDEX(BookTitle,218)="","",INDEX(BookTotal,218)*'5. Scenarios'!$C$6/(1+ProductivityDefault*('5. Scenarios'!$C$11-1)))</f>
        <v/>
      </c>
      <c r="J223" s="57" t="str">
        <f aca="false">IF($I223="","",INDEX(BookRate,218)*(1+'5. Scenarios'!$C$10)*$I223)</f>
        <v/>
      </c>
      <c r="K223" s="57" t="str">
        <f aca="false">IF($J223="","",SUMIFS($J$6:$J$2405,$A$6:$A$2405,"&lt;="&amp;$A223))</f>
        <v/>
      </c>
      <c r="L223" s="57" t="str">
        <f aca="false">IF($J223="","",IF($K223&lt;=BankCostEnvelope*'5. Scenarios'!$C$7,1,0))</f>
        <v/>
      </c>
      <c r="M223" s="57" t="str">
        <f aca="false">IF($I223="","",INDEX(BookRate,218)*(1+'5. Scenarios'!$C$10)*(INDEX(BookQ1,218)*(5-MIN(4,1+'5. Scenarios'!$C$8))/4+INDEX(BookQ2,218)*(5-MIN(4,2+'5. Scenarios'!$C$8))/4+INDEX(BookQ3,218)*(5-MIN(4,3+'5. Scenarios'!$C$8))/4+INDEX(BookQ4,218)*(5-MIN(4,4+'5. Scenarios'!$C$8))/4)*'5. Scenarios'!$C$6/(1+ProductivityDefault*('5. Scenarios'!$C$11-1))+INDEX(BookOneOff,218)*$I223)</f>
        <v/>
      </c>
      <c r="N223" s="56" t="str">
        <f aca="false">IF(INDEX(BookTitle,218)="","",INDEX(BookTotal,218)*'5. Scenarios'!$D$6/(1+ProductivityDefault*('5. Scenarios'!$D$11-1)))</f>
        <v/>
      </c>
      <c r="O223" s="57" t="str">
        <f aca="false">IF($N223="","",INDEX(BookRate,218)*(1+'5. Scenarios'!$D$10)*$N223)</f>
        <v/>
      </c>
      <c r="P223" s="57" t="str">
        <f aca="false">IF($O223="","",SUMIFS($O$6:$O$2405,$A$6:$A$2405,"&lt;="&amp;$A223))</f>
        <v/>
      </c>
      <c r="Q223" s="57" t="str">
        <f aca="false">IF($O223="","",IF($P223&lt;=BankCostEnvelope*'5. Scenarios'!$D$7,1,0))</f>
        <v/>
      </c>
      <c r="R223" s="57" t="str">
        <f aca="false">IF($N223="","",INDEX(BookRate,218)*(1+'5. Scenarios'!$D$10)*(INDEX(BookQ1,218)*(5-MIN(4,1+'5. Scenarios'!$D$8))/4+INDEX(BookQ2,218)*(5-MIN(4,2+'5. Scenarios'!$D$8))/4+INDEX(BookQ3,218)*(5-MIN(4,3+'5. Scenarios'!$D$8))/4+INDEX(BookQ4,218)*(5-MIN(4,4+'5. Scenarios'!$D$8))/4)*'5. Scenarios'!$D$6/(1+ProductivityDefault*('5. Scenarios'!$D$11-1))+INDEX(BookOneOff,218)*$N223)</f>
        <v/>
      </c>
      <c r="S223" s="56" t="str">
        <f aca="false">IF(INDEX(BookTitle,218)="","",INDEX(BookTotal,218)*'5. Scenarios'!$E$6/(1+ProductivityDefault*('5. Scenarios'!$E$11-1)))</f>
        <v/>
      </c>
      <c r="T223" s="57" t="str">
        <f aca="false">IF($S223="","",INDEX(BookRate,218)*(1+'5. Scenarios'!$E$10)*$S223)</f>
        <v/>
      </c>
      <c r="U223" s="57" t="str">
        <f aca="false">IF($T223="","",SUMIFS($T$6:$T$2405,$A$6:$A$2405,"&lt;="&amp;$A223))</f>
        <v/>
      </c>
      <c r="V223" s="57" t="str">
        <f aca="false">IF($T223="","",IF($U223&lt;=BankCostEnvelope*'5. Scenarios'!$E$7,1,0))</f>
        <v/>
      </c>
      <c r="W223" s="57" t="str">
        <f aca="false">IF($S223="","",INDEX(BookRate,218)*(1+'5. Scenarios'!$E$10)*(INDEX(BookQ1,218)*(5-MIN(4,1+'5. Scenarios'!$E$8))/4+INDEX(BookQ2,218)*(5-MIN(4,2+'5. Scenarios'!$E$8))/4+INDEX(BookQ3,218)*(5-MIN(4,3+'5. Scenarios'!$E$8))/4+INDEX(BookQ4,218)*(5-MIN(4,4+'5. Scenarios'!$E$8))/4)*'5. Scenarios'!$E$6/(1+ProductivityDefault*('5. Scenarios'!$E$11-1))+INDEX(BookOneOff,218)*$S223)</f>
        <v/>
      </c>
    </row>
    <row r="224" customFormat="false" ht="15" hidden="false" customHeight="false" outlineLevel="0" collapsed="false">
      <c r="A224" s="0" t="str">
        <f aca="false">IF(INDEX(BookTitle,219)="","",INDEX(BookKey,219))</f>
        <v/>
      </c>
      <c r="B224" s="0" t="str">
        <f aca="false">IF(INDEX(BookTitle,219)="","",INDEX(BookGroup,219))</f>
        <v/>
      </c>
      <c r="C224" s="0" t="str">
        <f aca="false">IF(INDEX(BookTitle,219)="","",INDEX(BookCategory,219))</f>
        <v/>
      </c>
      <c r="D224" s="56" t="str">
        <f aca="false">IF(INDEX(BookTitle,219)="","",INDEX(BookTotal,219)*'5. Scenarios'!$B$6/(1+ProductivityDefault*('5. Scenarios'!$B$11-1)))</f>
        <v/>
      </c>
      <c r="E224" s="57" t="str">
        <f aca="false">IF($D224="","",INDEX(BookRate,219)*(1+'5. Scenarios'!$B$10)*$D224)</f>
        <v/>
      </c>
      <c r="F224" s="57" t="str">
        <f aca="false">IF($E224="","",SUMIFS($E$6:$E$2405,$A$6:$A$2405,"&lt;="&amp;$A224))</f>
        <v/>
      </c>
      <c r="G224" s="57" t="str">
        <f aca="false">IF($E224="","",IF($F224&lt;=BankCostEnvelope*'5. Scenarios'!$B$7,1,0))</f>
        <v/>
      </c>
      <c r="H224" s="57" t="str">
        <f aca="false">IF($D224="","",INDEX(BookRate,219)*(1+'5. Scenarios'!$B$10)*(INDEX(BookQ1,219)*(5-MIN(4,1+'5. Scenarios'!$B$8))/4+INDEX(BookQ2,219)*(5-MIN(4,2+'5. Scenarios'!$B$8))/4+INDEX(BookQ3,219)*(5-MIN(4,3+'5. Scenarios'!$B$8))/4+INDEX(BookQ4,219)*(5-MIN(4,4+'5. Scenarios'!$B$8))/4)*'5. Scenarios'!$B$6/(1+ProductivityDefault*('5. Scenarios'!$B$11-1))+INDEX(BookOneOff,219)*$D224)</f>
        <v/>
      </c>
      <c r="I224" s="56" t="str">
        <f aca="false">IF(INDEX(BookTitle,219)="","",INDEX(BookTotal,219)*'5. Scenarios'!$C$6/(1+ProductivityDefault*('5. Scenarios'!$C$11-1)))</f>
        <v/>
      </c>
      <c r="J224" s="57" t="str">
        <f aca="false">IF($I224="","",INDEX(BookRate,219)*(1+'5. Scenarios'!$C$10)*$I224)</f>
        <v/>
      </c>
      <c r="K224" s="57" t="str">
        <f aca="false">IF($J224="","",SUMIFS($J$6:$J$2405,$A$6:$A$2405,"&lt;="&amp;$A224))</f>
        <v/>
      </c>
      <c r="L224" s="57" t="str">
        <f aca="false">IF($J224="","",IF($K224&lt;=BankCostEnvelope*'5. Scenarios'!$C$7,1,0))</f>
        <v/>
      </c>
      <c r="M224" s="57" t="str">
        <f aca="false">IF($I224="","",INDEX(BookRate,219)*(1+'5. Scenarios'!$C$10)*(INDEX(BookQ1,219)*(5-MIN(4,1+'5. Scenarios'!$C$8))/4+INDEX(BookQ2,219)*(5-MIN(4,2+'5. Scenarios'!$C$8))/4+INDEX(BookQ3,219)*(5-MIN(4,3+'5. Scenarios'!$C$8))/4+INDEX(BookQ4,219)*(5-MIN(4,4+'5. Scenarios'!$C$8))/4)*'5. Scenarios'!$C$6/(1+ProductivityDefault*('5. Scenarios'!$C$11-1))+INDEX(BookOneOff,219)*$I224)</f>
        <v/>
      </c>
      <c r="N224" s="56" t="str">
        <f aca="false">IF(INDEX(BookTitle,219)="","",INDEX(BookTotal,219)*'5. Scenarios'!$D$6/(1+ProductivityDefault*('5. Scenarios'!$D$11-1)))</f>
        <v/>
      </c>
      <c r="O224" s="57" t="str">
        <f aca="false">IF($N224="","",INDEX(BookRate,219)*(1+'5. Scenarios'!$D$10)*$N224)</f>
        <v/>
      </c>
      <c r="P224" s="57" t="str">
        <f aca="false">IF($O224="","",SUMIFS($O$6:$O$2405,$A$6:$A$2405,"&lt;="&amp;$A224))</f>
        <v/>
      </c>
      <c r="Q224" s="57" t="str">
        <f aca="false">IF($O224="","",IF($P224&lt;=BankCostEnvelope*'5. Scenarios'!$D$7,1,0))</f>
        <v/>
      </c>
      <c r="R224" s="57" t="str">
        <f aca="false">IF($N224="","",INDEX(BookRate,219)*(1+'5. Scenarios'!$D$10)*(INDEX(BookQ1,219)*(5-MIN(4,1+'5. Scenarios'!$D$8))/4+INDEX(BookQ2,219)*(5-MIN(4,2+'5. Scenarios'!$D$8))/4+INDEX(BookQ3,219)*(5-MIN(4,3+'5. Scenarios'!$D$8))/4+INDEX(BookQ4,219)*(5-MIN(4,4+'5. Scenarios'!$D$8))/4)*'5. Scenarios'!$D$6/(1+ProductivityDefault*('5. Scenarios'!$D$11-1))+INDEX(BookOneOff,219)*$N224)</f>
        <v/>
      </c>
      <c r="S224" s="56" t="str">
        <f aca="false">IF(INDEX(BookTitle,219)="","",INDEX(BookTotal,219)*'5. Scenarios'!$E$6/(1+ProductivityDefault*('5. Scenarios'!$E$11-1)))</f>
        <v/>
      </c>
      <c r="T224" s="57" t="str">
        <f aca="false">IF($S224="","",INDEX(BookRate,219)*(1+'5. Scenarios'!$E$10)*$S224)</f>
        <v/>
      </c>
      <c r="U224" s="57" t="str">
        <f aca="false">IF($T224="","",SUMIFS($T$6:$T$2405,$A$6:$A$2405,"&lt;="&amp;$A224))</f>
        <v/>
      </c>
      <c r="V224" s="57" t="str">
        <f aca="false">IF($T224="","",IF($U224&lt;=BankCostEnvelope*'5. Scenarios'!$E$7,1,0))</f>
        <v/>
      </c>
      <c r="W224" s="57" t="str">
        <f aca="false">IF($S224="","",INDEX(BookRate,219)*(1+'5. Scenarios'!$E$10)*(INDEX(BookQ1,219)*(5-MIN(4,1+'5. Scenarios'!$E$8))/4+INDEX(BookQ2,219)*(5-MIN(4,2+'5. Scenarios'!$E$8))/4+INDEX(BookQ3,219)*(5-MIN(4,3+'5. Scenarios'!$E$8))/4+INDEX(BookQ4,219)*(5-MIN(4,4+'5. Scenarios'!$E$8))/4)*'5. Scenarios'!$E$6/(1+ProductivityDefault*('5. Scenarios'!$E$11-1))+INDEX(BookOneOff,219)*$S224)</f>
        <v/>
      </c>
    </row>
    <row r="225" customFormat="false" ht="15" hidden="false" customHeight="false" outlineLevel="0" collapsed="false">
      <c r="A225" s="0" t="str">
        <f aca="false">IF(INDEX(BookTitle,220)="","",INDEX(BookKey,220))</f>
        <v/>
      </c>
      <c r="B225" s="0" t="str">
        <f aca="false">IF(INDEX(BookTitle,220)="","",INDEX(BookGroup,220))</f>
        <v/>
      </c>
      <c r="C225" s="0" t="str">
        <f aca="false">IF(INDEX(BookTitle,220)="","",INDEX(BookCategory,220))</f>
        <v/>
      </c>
      <c r="D225" s="56" t="str">
        <f aca="false">IF(INDEX(BookTitle,220)="","",INDEX(BookTotal,220)*'5. Scenarios'!$B$6/(1+ProductivityDefault*('5. Scenarios'!$B$11-1)))</f>
        <v/>
      </c>
      <c r="E225" s="57" t="str">
        <f aca="false">IF($D225="","",INDEX(BookRate,220)*(1+'5. Scenarios'!$B$10)*$D225)</f>
        <v/>
      </c>
      <c r="F225" s="57" t="str">
        <f aca="false">IF($E225="","",SUMIFS($E$6:$E$2405,$A$6:$A$2405,"&lt;="&amp;$A225))</f>
        <v/>
      </c>
      <c r="G225" s="57" t="str">
        <f aca="false">IF($E225="","",IF($F225&lt;=BankCostEnvelope*'5. Scenarios'!$B$7,1,0))</f>
        <v/>
      </c>
      <c r="H225" s="57" t="str">
        <f aca="false">IF($D225="","",INDEX(BookRate,220)*(1+'5. Scenarios'!$B$10)*(INDEX(BookQ1,220)*(5-MIN(4,1+'5. Scenarios'!$B$8))/4+INDEX(BookQ2,220)*(5-MIN(4,2+'5. Scenarios'!$B$8))/4+INDEX(BookQ3,220)*(5-MIN(4,3+'5. Scenarios'!$B$8))/4+INDEX(BookQ4,220)*(5-MIN(4,4+'5. Scenarios'!$B$8))/4)*'5. Scenarios'!$B$6/(1+ProductivityDefault*('5. Scenarios'!$B$11-1))+INDEX(BookOneOff,220)*$D225)</f>
        <v/>
      </c>
      <c r="I225" s="56" t="str">
        <f aca="false">IF(INDEX(BookTitle,220)="","",INDEX(BookTotal,220)*'5. Scenarios'!$C$6/(1+ProductivityDefault*('5. Scenarios'!$C$11-1)))</f>
        <v/>
      </c>
      <c r="J225" s="57" t="str">
        <f aca="false">IF($I225="","",INDEX(BookRate,220)*(1+'5. Scenarios'!$C$10)*$I225)</f>
        <v/>
      </c>
      <c r="K225" s="57" t="str">
        <f aca="false">IF($J225="","",SUMIFS($J$6:$J$2405,$A$6:$A$2405,"&lt;="&amp;$A225))</f>
        <v/>
      </c>
      <c r="L225" s="57" t="str">
        <f aca="false">IF($J225="","",IF($K225&lt;=BankCostEnvelope*'5. Scenarios'!$C$7,1,0))</f>
        <v/>
      </c>
      <c r="M225" s="57" t="str">
        <f aca="false">IF($I225="","",INDEX(BookRate,220)*(1+'5. Scenarios'!$C$10)*(INDEX(BookQ1,220)*(5-MIN(4,1+'5. Scenarios'!$C$8))/4+INDEX(BookQ2,220)*(5-MIN(4,2+'5. Scenarios'!$C$8))/4+INDEX(BookQ3,220)*(5-MIN(4,3+'5. Scenarios'!$C$8))/4+INDEX(BookQ4,220)*(5-MIN(4,4+'5. Scenarios'!$C$8))/4)*'5. Scenarios'!$C$6/(1+ProductivityDefault*('5. Scenarios'!$C$11-1))+INDEX(BookOneOff,220)*$I225)</f>
        <v/>
      </c>
      <c r="N225" s="56" t="str">
        <f aca="false">IF(INDEX(BookTitle,220)="","",INDEX(BookTotal,220)*'5. Scenarios'!$D$6/(1+ProductivityDefault*('5. Scenarios'!$D$11-1)))</f>
        <v/>
      </c>
      <c r="O225" s="57" t="str">
        <f aca="false">IF($N225="","",INDEX(BookRate,220)*(1+'5. Scenarios'!$D$10)*$N225)</f>
        <v/>
      </c>
      <c r="P225" s="57" t="str">
        <f aca="false">IF($O225="","",SUMIFS($O$6:$O$2405,$A$6:$A$2405,"&lt;="&amp;$A225))</f>
        <v/>
      </c>
      <c r="Q225" s="57" t="str">
        <f aca="false">IF($O225="","",IF($P225&lt;=BankCostEnvelope*'5. Scenarios'!$D$7,1,0))</f>
        <v/>
      </c>
      <c r="R225" s="57" t="str">
        <f aca="false">IF($N225="","",INDEX(BookRate,220)*(1+'5. Scenarios'!$D$10)*(INDEX(BookQ1,220)*(5-MIN(4,1+'5. Scenarios'!$D$8))/4+INDEX(BookQ2,220)*(5-MIN(4,2+'5. Scenarios'!$D$8))/4+INDEX(BookQ3,220)*(5-MIN(4,3+'5. Scenarios'!$D$8))/4+INDEX(BookQ4,220)*(5-MIN(4,4+'5. Scenarios'!$D$8))/4)*'5. Scenarios'!$D$6/(1+ProductivityDefault*('5. Scenarios'!$D$11-1))+INDEX(BookOneOff,220)*$N225)</f>
        <v/>
      </c>
      <c r="S225" s="56" t="str">
        <f aca="false">IF(INDEX(BookTitle,220)="","",INDEX(BookTotal,220)*'5. Scenarios'!$E$6/(1+ProductivityDefault*('5. Scenarios'!$E$11-1)))</f>
        <v/>
      </c>
      <c r="T225" s="57" t="str">
        <f aca="false">IF($S225="","",INDEX(BookRate,220)*(1+'5. Scenarios'!$E$10)*$S225)</f>
        <v/>
      </c>
      <c r="U225" s="57" t="str">
        <f aca="false">IF($T225="","",SUMIFS($T$6:$T$2405,$A$6:$A$2405,"&lt;="&amp;$A225))</f>
        <v/>
      </c>
      <c r="V225" s="57" t="str">
        <f aca="false">IF($T225="","",IF($U225&lt;=BankCostEnvelope*'5. Scenarios'!$E$7,1,0))</f>
        <v/>
      </c>
      <c r="W225" s="57" t="str">
        <f aca="false">IF($S225="","",INDEX(BookRate,220)*(1+'5. Scenarios'!$E$10)*(INDEX(BookQ1,220)*(5-MIN(4,1+'5. Scenarios'!$E$8))/4+INDEX(BookQ2,220)*(5-MIN(4,2+'5. Scenarios'!$E$8))/4+INDEX(BookQ3,220)*(5-MIN(4,3+'5. Scenarios'!$E$8))/4+INDEX(BookQ4,220)*(5-MIN(4,4+'5. Scenarios'!$E$8))/4)*'5. Scenarios'!$E$6/(1+ProductivityDefault*('5. Scenarios'!$E$11-1))+INDEX(BookOneOff,220)*$S225)</f>
        <v/>
      </c>
    </row>
    <row r="226" customFormat="false" ht="15" hidden="false" customHeight="false" outlineLevel="0" collapsed="false">
      <c r="A226" s="0" t="str">
        <f aca="false">IF(INDEX(BookTitle,221)="","",INDEX(BookKey,221))</f>
        <v/>
      </c>
      <c r="B226" s="0" t="str">
        <f aca="false">IF(INDEX(BookTitle,221)="","",INDEX(BookGroup,221))</f>
        <v/>
      </c>
      <c r="C226" s="0" t="str">
        <f aca="false">IF(INDEX(BookTitle,221)="","",INDEX(BookCategory,221))</f>
        <v/>
      </c>
      <c r="D226" s="56" t="str">
        <f aca="false">IF(INDEX(BookTitle,221)="","",INDEX(BookTotal,221)*'5. Scenarios'!$B$6/(1+ProductivityDefault*('5. Scenarios'!$B$11-1)))</f>
        <v/>
      </c>
      <c r="E226" s="57" t="str">
        <f aca="false">IF($D226="","",INDEX(BookRate,221)*(1+'5. Scenarios'!$B$10)*$D226)</f>
        <v/>
      </c>
      <c r="F226" s="57" t="str">
        <f aca="false">IF($E226="","",SUMIFS($E$6:$E$2405,$A$6:$A$2405,"&lt;="&amp;$A226))</f>
        <v/>
      </c>
      <c r="G226" s="57" t="str">
        <f aca="false">IF($E226="","",IF($F226&lt;=BankCostEnvelope*'5. Scenarios'!$B$7,1,0))</f>
        <v/>
      </c>
      <c r="H226" s="57" t="str">
        <f aca="false">IF($D226="","",INDEX(BookRate,221)*(1+'5. Scenarios'!$B$10)*(INDEX(BookQ1,221)*(5-MIN(4,1+'5. Scenarios'!$B$8))/4+INDEX(BookQ2,221)*(5-MIN(4,2+'5. Scenarios'!$B$8))/4+INDEX(BookQ3,221)*(5-MIN(4,3+'5. Scenarios'!$B$8))/4+INDEX(BookQ4,221)*(5-MIN(4,4+'5. Scenarios'!$B$8))/4)*'5. Scenarios'!$B$6/(1+ProductivityDefault*('5. Scenarios'!$B$11-1))+INDEX(BookOneOff,221)*$D226)</f>
        <v/>
      </c>
      <c r="I226" s="56" t="str">
        <f aca="false">IF(INDEX(BookTitle,221)="","",INDEX(BookTotal,221)*'5. Scenarios'!$C$6/(1+ProductivityDefault*('5. Scenarios'!$C$11-1)))</f>
        <v/>
      </c>
      <c r="J226" s="57" t="str">
        <f aca="false">IF($I226="","",INDEX(BookRate,221)*(1+'5. Scenarios'!$C$10)*$I226)</f>
        <v/>
      </c>
      <c r="K226" s="57" t="str">
        <f aca="false">IF($J226="","",SUMIFS($J$6:$J$2405,$A$6:$A$2405,"&lt;="&amp;$A226))</f>
        <v/>
      </c>
      <c r="L226" s="57" t="str">
        <f aca="false">IF($J226="","",IF($K226&lt;=BankCostEnvelope*'5. Scenarios'!$C$7,1,0))</f>
        <v/>
      </c>
      <c r="M226" s="57" t="str">
        <f aca="false">IF($I226="","",INDEX(BookRate,221)*(1+'5. Scenarios'!$C$10)*(INDEX(BookQ1,221)*(5-MIN(4,1+'5. Scenarios'!$C$8))/4+INDEX(BookQ2,221)*(5-MIN(4,2+'5. Scenarios'!$C$8))/4+INDEX(BookQ3,221)*(5-MIN(4,3+'5. Scenarios'!$C$8))/4+INDEX(BookQ4,221)*(5-MIN(4,4+'5. Scenarios'!$C$8))/4)*'5. Scenarios'!$C$6/(1+ProductivityDefault*('5. Scenarios'!$C$11-1))+INDEX(BookOneOff,221)*$I226)</f>
        <v/>
      </c>
      <c r="N226" s="56" t="str">
        <f aca="false">IF(INDEX(BookTitle,221)="","",INDEX(BookTotal,221)*'5. Scenarios'!$D$6/(1+ProductivityDefault*('5. Scenarios'!$D$11-1)))</f>
        <v/>
      </c>
      <c r="O226" s="57" t="str">
        <f aca="false">IF($N226="","",INDEX(BookRate,221)*(1+'5. Scenarios'!$D$10)*$N226)</f>
        <v/>
      </c>
      <c r="P226" s="57" t="str">
        <f aca="false">IF($O226="","",SUMIFS($O$6:$O$2405,$A$6:$A$2405,"&lt;="&amp;$A226))</f>
        <v/>
      </c>
      <c r="Q226" s="57" t="str">
        <f aca="false">IF($O226="","",IF($P226&lt;=BankCostEnvelope*'5. Scenarios'!$D$7,1,0))</f>
        <v/>
      </c>
      <c r="R226" s="57" t="str">
        <f aca="false">IF($N226="","",INDEX(BookRate,221)*(1+'5. Scenarios'!$D$10)*(INDEX(BookQ1,221)*(5-MIN(4,1+'5. Scenarios'!$D$8))/4+INDEX(BookQ2,221)*(5-MIN(4,2+'5. Scenarios'!$D$8))/4+INDEX(BookQ3,221)*(5-MIN(4,3+'5. Scenarios'!$D$8))/4+INDEX(BookQ4,221)*(5-MIN(4,4+'5. Scenarios'!$D$8))/4)*'5. Scenarios'!$D$6/(1+ProductivityDefault*('5. Scenarios'!$D$11-1))+INDEX(BookOneOff,221)*$N226)</f>
        <v/>
      </c>
      <c r="S226" s="56" t="str">
        <f aca="false">IF(INDEX(BookTitle,221)="","",INDEX(BookTotal,221)*'5. Scenarios'!$E$6/(1+ProductivityDefault*('5. Scenarios'!$E$11-1)))</f>
        <v/>
      </c>
      <c r="T226" s="57" t="str">
        <f aca="false">IF($S226="","",INDEX(BookRate,221)*(1+'5. Scenarios'!$E$10)*$S226)</f>
        <v/>
      </c>
      <c r="U226" s="57" t="str">
        <f aca="false">IF($T226="","",SUMIFS($T$6:$T$2405,$A$6:$A$2405,"&lt;="&amp;$A226))</f>
        <v/>
      </c>
      <c r="V226" s="57" t="str">
        <f aca="false">IF($T226="","",IF($U226&lt;=BankCostEnvelope*'5. Scenarios'!$E$7,1,0))</f>
        <v/>
      </c>
      <c r="W226" s="57" t="str">
        <f aca="false">IF($S226="","",INDEX(BookRate,221)*(1+'5. Scenarios'!$E$10)*(INDEX(BookQ1,221)*(5-MIN(4,1+'5. Scenarios'!$E$8))/4+INDEX(BookQ2,221)*(5-MIN(4,2+'5. Scenarios'!$E$8))/4+INDEX(BookQ3,221)*(5-MIN(4,3+'5. Scenarios'!$E$8))/4+INDEX(BookQ4,221)*(5-MIN(4,4+'5. Scenarios'!$E$8))/4)*'5. Scenarios'!$E$6/(1+ProductivityDefault*('5. Scenarios'!$E$11-1))+INDEX(BookOneOff,221)*$S226)</f>
        <v/>
      </c>
    </row>
    <row r="227" customFormat="false" ht="15" hidden="false" customHeight="false" outlineLevel="0" collapsed="false">
      <c r="A227" s="0" t="str">
        <f aca="false">IF(INDEX(BookTitle,222)="","",INDEX(BookKey,222))</f>
        <v/>
      </c>
      <c r="B227" s="0" t="str">
        <f aca="false">IF(INDEX(BookTitle,222)="","",INDEX(BookGroup,222))</f>
        <v/>
      </c>
      <c r="C227" s="0" t="str">
        <f aca="false">IF(INDEX(BookTitle,222)="","",INDEX(BookCategory,222))</f>
        <v/>
      </c>
      <c r="D227" s="56" t="str">
        <f aca="false">IF(INDEX(BookTitle,222)="","",INDEX(BookTotal,222)*'5. Scenarios'!$B$6/(1+ProductivityDefault*('5. Scenarios'!$B$11-1)))</f>
        <v/>
      </c>
      <c r="E227" s="57" t="str">
        <f aca="false">IF($D227="","",INDEX(BookRate,222)*(1+'5. Scenarios'!$B$10)*$D227)</f>
        <v/>
      </c>
      <c r="F227" s="57" t="str">
        <f aca="false">IF($E227="","",SUMIFS($E$6:$E$2405,$A$6:$A$2405,"&lt;="&amp;$A227))</f>
        <v/>
      </c>
      <c r="G227" s="57" t="str">
        <f aca="false">IF($E227="","",IF($F227&lt;=BankCostEnvelope*'5. Scenarios'!$B$7,1,0))</f>
        <v/>
      </c>
      <c r="H227" s="57" t="str">
        <f aca="false">IF($D227="","",INDEX(BookRate,222)*(1+'5. Scenarios'!$B$10)*(INDEX(BookQ1,222)*(5-MIN(4,1+'5. Scenarios'!$B$8))/4+INDEX(BookQ2,222)*(5-MIN(4,2+'5. Scenarios'!$B$8))/4+INDEX(BookQ3,222)*(5-MIN(4,3+'5. Scenarios'!$B$8))/4+INDEX(BookQ4,222)*(5-MIN(4,4+'5. Scenarios'!$B$8))/4)*'5. Scenarios'!$B$6/(1+ProductivityDefault*('5. Scenarios'!$B$11-1))+INDEX(BookOneOff,222)*$D227)</f>
        <v/>
      </c>
      <c r="I227" s="56" t="str">
        <f aca="false">IF(INDEX(BookTitle,222)="","",INDEX(BookTotal,222)*'5. Scenarios'!$C$6/(1+ProductivityDefault*('5. Scenarios'!$C$11-1)))</f>
        <v/>
      </c>
      <c r="J227" s="57" t="str">
        <f aca="false">IF($I227="","",INDEX(BookRate,222)*(1+'5. Scenarios'!$C$10)*$I227)</f>
        <v/>
      </c>
      <c r="K227" s="57" t="str">
        <f aca="false">IF($J227="","",SUMIFS($J$6:$J$2405,$A$6:$A$2405,"&lt;="&amp;$A227))</f>
        <v/>
      </c>
      <c r="L227" s="57" t="str">
        <f aca="false">IF($J227="","",IF($K227&lt;=BankCostEnvelope*'5. Scenarios'!$C$7,1,0))</f>
        <v/>
      </c>
      <c r="M227" s="57" t="str">
        <f aca="false">IF($I227="","",INDEX(BookRate,222)*(1+'5. Scenarios'!$C$10)*(INDEX(BookQ1,222)*(5-MIN(4,1+'5. Scenarios'!$C$8))/4+INDEX(BookQ2,222)*(5-MIN(4,2+'5. Scenarios'!$C$8))/4+INDEX(BookQ3,222)*(5-MIN(4,3+'5. Scenarios'!$C$8))/4+INDEX(BookQ4,222)*(5-MIN(4,4+'5. Scenarios'!$C$8))/4)*'5. Scenarios'!$C$6/(1+ProductivityDefault*('5. Scenarios'!$C$11-1))+INDEX(BookOneOff,222)*$I227)</f>
        <v/>
      </c>
      <c r="N227" s="56" t="str">
        <f aca="false">IF(INDEX(BookTitle,222)="","",INDEX(BookTotal,222)*'5. Scenarios'!$D$6/(1+ProductivityDefault*('5. Scenarios'!$D$11-1)))</f>
        <v/>
      </c>
      <c r="O227" s="57" t="str">
        <f aca="false">IF($N227="","",INDEX(BookRate,222)*(1+'5. Scenarios'!$D$10)*$N227)</f>
        <v/>
      </c>
      <c r="P227" s="57" t="str">
        <f aca="false">IF($O227="","",SUMIFS($O$6:$O$2405,$A$6:$A$2405,"&lt;="&amp;$A227))</f>
        <v/>
      </c>
      <c r="Q227" s="57" t="str">
        <f aca="false">IF($O227="","",IF($P227&lt;=BankCostEnvelope*'5. Scenarios'!$D$7,1,0))</f>
        <v/>
      </c>
      <c r="R227" s="57" t="str">
        <f aca="false">IF($N227="","",INDEX(BookRate,222)*(1+'5. Scenarios'!$D$10)*(INDEX(BookQ1,222)*(5-MIN(4,1+'5. Scenarios'!$D$8))/4+INDEX(BookQ2,222)*(5-MIN(4,2+'5. Scenarios'!$D$8))/4+INDEX(BookQ3,222)*(5-MIN(4,3+'5. Scenarios'!$D$8))/4+INDEX(BookQ4,222)*(5-MIN(4,4+'5. Scenarios'!$D$8))/4)*'5. Scenarios'!$D$6/(1+ProductivityDefault*('5. Scenarios'!$D$11-1))+INDEX(BookOneOff,222)*$N227)</f>
        <v/>
      </c>
      <c r="S227" s="56" t="str">
        <f aca="false">IF(INDEX(BookTitle,222)="","",INDEX(BookTotal,222)*'5. Scenarios'!$E$6/(1+ProductivityDefault*('5. Scenarios'!$E$11-1)))</f>
        <v/>
      </c>
      <c r="T227" s="57" t="str">
        <f aca="false">IF($S227="","",INDEX(BookRate,222)*(1+'5. Scenarios'!$E$10)*$S227)</f>
        <v/>
      </c>
      <c r="U227" s="57" t="str">
        <f aca="false">IF($T227="","",SUMIFS($T$6:$T$2405,$A$6:$A$2405,"&lt;="&amp;$A227))</f>
        <v/>
      </c>
      <c r="V227" s="57" t="str">
        <f aca="false">IF($T227="","",IF($U227&lt;=BankCostEnvelope*'5. Scenarios'!$E$7,1,0))</f>
        <v/>
      </c>
      <c r="W227" s="57" t="str">
        <f aca="false">IF($S227="","",INDEX(BookRate,222)*(1+'5. Scenarios'!$E$10)*(INDEX(BookQ1,222)*(5-MIN(4,1+'5. Scenarios'!$E$8))/4+INDEX(BookQ2,222)*(5-MIN(4,2+'5. Scenarios'!$E$8))/4+INDEX(BookQ3,222)*(5-MIN(4,3+'5. Scenarios'!$E$8))/4+INDEX(BookQ4,222)*(5-MIN(4,4+'5. Scenarios'!$E$8))/4)*'5. Scenarios'!$E$6/(1+ProductivityDefault*('5. Scenarios'!$E$11-1))+INDEX(BookOneOff,222)*$S227)</f>
        <v/>
      </c>
    </row>
    <row r="228" customFormat="false" ht="15" hidden="false" customHeight="false" outlineLevel="0" collapsed="false">
      <c r="A228" s="0" t="str">
        <f aca="false">IF(INDEX(BookTitle,223)="","",INDEX(BookKey,223))</f>
        <v/>
      </c>
      <c r="B228" s="0" t="str">
        <f aca="false">IF(INDEX(BookTitle,223)="","",INDEX(BookGroup,223))</f>
        <v/>
      </c>
      <c r="C228" s="0" t="str">
        <f aca="false">IF(INDEX(BookTitle,223)="","",INDEX(BookCategory,223))</f>
        <v/>
      </c>
      <c r="D228" s="56" t="str">
        <f aca="false">IF(INDEX(BookTitle,223)="","",INDEX(BookTotal,223)*'5. Scenarios'!$B$6/(1+ProductivityDefault*('5. Scenarios'!$B$11-1)))</f>
        <v/>
      </c>
      <c r="E228" s="57" t="str">
        <f aca="false">IF($D228="","",INDEX(BookRate,223)*(1+'5. Scenarios'!$B$10)*$D228)</f>
        <v/>
      </c>
      <c r="F228" s="57" t="str">
        <f aca="false">IF($E228="","",SUMIFS($E$6:$E$2405,$A$6:$A$2405,"&lt;="&amp;$A228))</f>
        <v/>
      </c>
      <c r="G228" s="57" t="str">
        <f aca="false">IF($E228="","",IF($F228&lt;=BankCostEnvelope*'5. Scenarios'!$B$7,1,0))</f>
        <v/>
      </c>
      <c r="H228" s="57" t="str">
        <f aca="false">IF($D228="","",INDEX(BookRate,223)*(1+'5. Scenarios'!$B$10)*(INDEX(BookQ1,223)*(5-MIN(4,1+'5. Scenarios'!$B$8))/4+INDEX(BookQ2,223)*(5-MIN(4,2+'5. Scenarios'!$B$8))/4+INDEX(BookQ3,223)*(5-MIN(4,3+'5. Scenarios'!$B$8))/4+INDEX(BookQ4,223)*(5-MIN(4,4+'5. Scenarios'!$B$8))/4)*'5. Scenarios'!$B$6/(1+ProductivityDefault*('5. Scenarios'!$B$11-1))+INDEX(BookOneOff,223)*$D228)</f>
        <v/>
      </c>
      <c r="I228" s="56" t="str">
        <f aca="false">IF(INDEX(BookTitle,223)="","",INDEX(BookTotal,223)*'5. Scenarios'!$C$6/(1+ProductivityDefault*('5. Scenarios'!$C$11-1)))</f>
        <v/>
      </c>
      <c r="J228" s="57" t="str">
        <f aca="false">IF($I228="","",INDEX(BookRate,223)*(1+'5. Scenarios'!$C$10)*$I228)</f>
        <v/>
      </c>
      <c r="K228" s="57" t="str">
        <f aca="false">IF($J228="","",SUMIFS($J$6:$J$2405,$A$6:$A$2405,"&lt;="&amp;$A228))</f>
        <v/>
      </c>
      <c r="L228" s="57" t="str">
        <f aca="false">IF($J228="","",IF($K228&lt;=BankCostEnvelope*'5. Scenarios'!$C$7,1,0))</f>
        <v/>
      </c>
      <c r="M228" s="57" t="str">
        <f aca="false">IF($I228="","",INDEX(BookRate,223)*(1+'5. Scenarios'!$C$10)*(INDEX(BookQ1,223)*(5-MIN(4,1+'5. Scenarios'!$C$8))/4+INDEX(BookQ2,223)*(5-MIN(4,2+'5. Scenarios'!$C$8))/4+INDEX(BookQ3,223)*(5-MIN(4,3+'5. Scenarios'!$C$8))/4+INDEX(BookQ4,223)*(5-MIN(4,4+'5. Scenarios'!$C$8))/4)*'5. Scenarios'!$C$6/(1+ProductivityDefault*('5. Scenarios'!$C$11-1))+INDEX(BookOneOff,223)*$I228)</f>
        <v/>
      </c>
      <c r="N228" s="56" t="str">
        <f aca="false">IF(INDEX(BookTitle,223)="","",INDEX(BookTotal,223)*'5. Scenarios'!$D$6/(1+ProductivityDefault*('5. Scenarios'!$D$11-1)))</f>
        <v/>
      </c>
      <c r="O228" s="57" t="str">
        <f aca="false">IF($N228="","",INDEX(BookRate,223)*(1+'5. Scenarios'!$D$10)*$N228)</f>
        <v/>
      </c>
      <c r="P228" s="57" t="str">
        <f aca="false">IF($O228="","",SUMIFS($O$6:$O$2405,$A$6:$A$2405,"&lt;="&amp;$A228))</f>
        <v/>
      </c>
      <c r="Q228" s="57" t="str">
        <f aca="false">IF($O228="","",IF($P228&lt;=BankCostEnvelope*'5. Scenarios'!$D$7,1,0))</f>
        <v/>
      </c>
      <c r="R228" s="57" t="str">
        <f aca="false">IF($N228="","",INDEX(BookRate,223)*(1+'5. Scenarios'!$D$10)*(INDEX(BookQ1,223)*(5-MIN(4,1+'5. Scenarios'!$D$8))/4+INDEX(BookQ2,223)*(5-MIN(4,2+'5. Scenarios'!$D$8))/4+INDEX(BookQ3,223)*(5-MIN(4,3+'5. Scenarios'!$D$8))/4+INDEX(BookQ4,223)*(5-MIN(4,4+'5. Scenarios'!$D$8))/4)*'5. Scenarios'!$D$6/(1+ProductivityDefault*('5. Scenarios'!$D$11-1))+INDEX(BookOneOff,223)*$N228)</f>
        <v/>
      </c>
      <c r="S228" s="56" t="str">
        <f aca="false">IF(INDEX(BookTitle,223)="","",INDEX(BookTotal,223)*'5. Scenarios'!$E$6/(1+ProductivityDefault*('5. Scenarios'!$E$11-1)))</f>
        <v/>
      </c>
      <c r="T228" s="57" t="str">
        <f aca="false">IF($S228="","",INDEX(BookRate,223)*(1+'5. Scenarios'!$E$10)*$S228)</f>
        <v/>
      </c>
      <c r="U228" s="57" t="str">
        <f aca="false">IF($T228="","",SUMIFS($T$6:$T$2405,$A$6:$A$2405,"&lt;="&amp;$A228))</f>
        <v/>
      </c>
      <c r="V228" s="57" t="str">
        <f aca="false">IF($T228="","",IF($U228&lt;=BankCostEnvelope*'5. Scenarios'!$E$7,1,0))</f>
        <v/>
      </c>
      <c r="W228" s="57" t="str">
        <f aca="false">IF($S228="","",INDEX(BookRate,223)*(1+'5. Scenarios'!$E$10)*(INDEX(BookQ1,223)*(5-MIN(4,1+'5. Scenarios'!$E$8))/4+INDEX(BookQ2,223)*(5-MIN(4,2+'5. Scenarios'!$E$8))/4+INDEX(BookQ3,223)*(5-MIN(4,3+'5. Scenarios'!$E$8))/4+INDEX(BookQ4,223)*(5-MIN(4,4+'5. Scenarios'!$E$8))/4)*'5. Scenarios'!$E$6/(1+ProductivityDefault*('5. Scenarios'!$E$11-1))+INDEX(BookOneOff,223)*$S228)</f>
        <v/>
      </c>
    </row>
    <row r="229" customFormat="false" ht="15" hidden="false" customHeight="false" outlineLevel="0" collapsed="false">
      <c r="A229" s="0" t="str">
        <f aca="false">IF(INDEX(BookTitle,224)="","",INDEX(BookKey,224))</f>
        <v/>
      </c>
      <c r="B229" s="0" t="str">
        <f aca="false">IF(INDEX(BookTitle,224)="","",INDEX(BookGroup,224))</f>
        <v/>
      </c>
      <c r="C229" s="0" t="str">
        <f aca="false">IF(INDEX(BookTitle,224)="","",INDEX(BookCategory,224))</f>
        <v/>
      </c>
      <c r="D229" s="56" t="str">
        <f aca="false">IF(INDEX(BookTitle,224)="","",INDEX(BookTotal,224)*'5. Scenarios'!$B$6/(1+ProductivityDefault*('5. Scenarios'!$B$11-1)))</f>
        <v/>
      </c>
      <c r="E229" s="57" t="str">
        <f aca="false">IF($D229="","",INDEX(BookRate,224)*(1+'5. Scenarios'!$B$10)*$D229)</f>
        <v/>
      </c>
      <c r="F229" s="57" t="str">
        <f aca="false">IF($E229="","",SUMIFS($E$6:$E$2405,$A$6:$A$2405,"&lt;="&amp;$A229))</f>
        <v/>
      </c>
      <c r="G229" s="57" t="str">
        <f aca="false">IF($E229="","",IF($F229&lt;=BankCostEnvelope*'5. Scenarios'!$B$7,1,0))</f>
        <v/>
      </c>
      <c r="H229" s="57" t="str">
        <f aca="false">IF($D229="","",INDEX(BookRate,224)*(1+'5. Scenarios'!$B$10)*(INDEX(BookQ1,224)*(5-MIN(4,1+'5. Scenarios'!$B$8))/4+INDEX(BookQ2,224)*(5-MIN(4,2+'5. Scenarios'!$B$8))/4+INDEX(BookQ3,224)*(5-MIN(4,3+'5. Scenarios'!$B$8))/4+INDEX(BookQ4,224)*(5-MIN(4,4+'5. Scenarios'!$B$8))/4)*'5. Scenarios'!$B$6/(1+ProductivityDefault*('5. Scenarios'!$B$11-1))+INDEX(BookOneOff,224)*$D229)</f>
        <v/>
      </c>
      <c r="I229" s="56" t="str">
        <f aca="false">IF(INDEX(BookTitle,224)="","",INDEX(BookTotal,224)*'5. Scenarios'!$C$6/(1+ProductivityDefault*('5. Scenarios'!$C$11-1)))</f>
        <v/>
      </c>
      <c r="J229" s="57" t="str">
        <f aca="false">IF($I229="","",INDEX(BookRate,224)*(1+'5. Scenarios'!$C$10)*$I229)</f>
        <v/>
      </c>
      <c r="K229" s="57" t="str">
        <f aca="false">IF($J229="","",SUMIFS($J$6:$J$2405,$A$6:$A$2405,"&lt;="&amp;$A229))</f>
        <v/>
      </c>
      <c r="L229" s="57" t="str">
        <f aca="false">IF($J229="","",IF($K229&lt;=BankCostEnvelope*'5. Scenarios'!$C$7,1,0))</f>
        <v/>
      </c>
      <c r="M229" s="57" t="str">
        <f aca="false">IF($I229="","",INDEX(BookRate,224)*(1+'5. Scenarios'!$C$10)*(INDEX(BookQ1,224)*(5-MIN(4,1+'5. Scenarios'!$C$8))/4+INDEX(BookQ2,224)*(5-MIN(4,2+'5. Scenarios'!$C$8))/4+INDEX(BookQ3,224)*(5-MIN(4,3+'5. Scenarios'!$C$8))/4+INDEX(BookQ4,224)*(5-MIN(4,4+'5. Scenarios'!$C$8))/4)*'5. Scenarios'!$C$6/(1+ProductivityDefault*('5. Scenarios'!$C$11-1))+INDEX(BookOneOff,224)*$I229)</f>
        <v/>
      </c>
      <c r="N229" s="56" t="str">
        <f aca="false">IF(INDEX(BookTitle,224)="","",INDEX(BookTotal,224)*'5. Scenarios'!$D$6/(1+ProductivityDefault*('5. Scenarios'!$D$11-1)))</f>
        <v/>
      </c>
      <c r="O229" s="57" t="str">
        <f aca="false">IF($N229="","",INDEX(BookRate,224)*(1+'5. Scenarios'!$D$10)*$N229)</f>
        <v/>
      </c>
      <c r="P229" s="57" t="str">
        <f aca="false">IF($O229="","",SUMIFS($O$6:$O$2405,$A$6:$A$2405,"&lt;="&amp;$A229))</f>
        <v/>
      </c>
      <c r="Q229" s="57" t="str">
        <f aca="false">IF($O229="","",IF($P229&lt;=BankCostEnvelope*'5. Scenarios'!$D$7,1,0))</f>
        <v/>
      </c>
      <c r="R229" s="57" t="str">
        <f aca="false">IF($N229="","",INDEX(BookRate,224)*(1+'5. Scenarios'!$D$10)*(INDEX(BookQ1,224)*(5-MIN(4,1+'5. Scenarios'!$D$8))/4+INDEX(BookQ2,224)*(5-MIN(4,2+'5. Scenarios'!$D$8))/4+INDEX(BookQ3,224)*(5-MIN(4,3+'5. Scenarios'!$D$8))/4+INDEX(BookQ4,224)*(5-MIN(4,4+'5. Scenarios'!$D$8))/4)*'5. Scenarios'!$D$6/(1+ProductivityDefault*('5. Scenarios'!$D$11-1))+INDEX(BookOneOff,224)*$N229)</f>
        <v/>
      </c>
      <c r="S229" s="56" t="str">
        <f aca="false">IF(INDEX(BookTitle,224)="","",INDEX(BookTotal,224)*'5. Scenarios'!$E$6/(1+ProductivityDefault*('5. Scenarios'!$E$11-1)))</f>
        <v/>
      </c>
      <c r="T229" s="57" t="str">
        <f aca="false">IF($S229="","",INDEX(BookRate,224)*(1+'5. Scenarios'!$E$10)*$S229)</f>
        <v/>
      </c>
      <c r="U229" s="57" t="str">
        <f aca="false">IF($T229="","",SUMIFS($T$6:$T$2405,$A$6:$A$2405,"&lt;="&amp;$A229))</f>
        <v/>
      </c>
      <c r="V229" s="57" t="str">
        <f aca="false">IF($T229="","",IF($U229&lt;=BankCostEnvelope*'5. Scenarios'!$E$7,1,0))</f>
        <v/>
      </c>
      <c r="W229" s="57" t="str">
        <f aca="false">IF($S229="","",INDEX(BookRate,224)*(1+'5. Scenarios'!$E$10)*(INDEX(BookQ1,224)*(5-MIN(4,1+'5. Scenarios'!$E$8))/4+INDEX(BookQ2,224)*(5-MIN(4,2+'5. Scenarios'!$E$8))/4+INDEX(BookQ3,224)*(5-MIN(4,3+'5. Scenarios'!$E$8))/4+INDEX(BookQ4,224)*(5-MIN(4,4+'5. Scenarios'!$E$8))/4)*'5. Scenarios'!$E$6/(1+ProductivityDefault*('5. Scenarios'!$E$11-1))+INDEX(BookOneOff,224)*$S229)</f>
        <v/>
      </c>
    </row>
    <row r="230" customFormat="false" ht="15" hidden="false" customHeight="false" outlineLevel="0" collapsed="false">
      <c r="A230" s="0" t="str">
        <f aca="false">IF(INDEX(BookTitle,225)="","",INDEX(BookKey,225))</f>
        <v/>
      </c>
      <c r="B230" s="0" t="str">
        <f aca="false">IF(INDEX(BookTitle,225)="","",INDEX(BookGroup,225))</f>
        <v/>
      </c>
      <c r="C230" s="0" t="str">
        <f aca="false">IF(INDEX(BookTitle,225)="","",INDEX(BookCategory,225))</f>
        <v/>
      </c>
      <c r="D230" s="56" t="str">
        <f aca="false">IF(INDEX(BookTitle,225)="","",INDEX(BookTotal,225)*'5. Scenarios'!$B$6/(1+ProductivityDefault*('5. Scenarios'!$B$11-1)))</f>
        <v/>
      </c>
      <c r="E230" s="57" t="str">
        <f aca="false">IF($D230="","",INDEX(BookRate,225)*(1+'5. Scenarios'!$B$10)*$D230)</f>
        <v/>
      </c>
      <c r="F230" s="57" t="str">
        <f aca="false">IF($E230="","",SUMIFS($E$6:$E$2405,$A$6:$A$2405,"&lt;="&amp;$A230))</f>
        <v/>
      </c>
      <c r="G230" s="57" t="str">
        <f aca="false">IF($E230="","",IF($F230&lt;=BankCostEnvelope*'5. Scenarios'!$B$7,1,0))</f>
        <v/>
      </c>
      <c r="H230" s="57" t="str">
        <f aca="false">IF($D230="","",INDEX(BookRate,225)*(1+'5. Scenarios'!$B$10)*(INDEX(BookQ1,225)*(5-MIN(4,1+'5. Scenarios'!$B$8))/4+INDEX(BookQ2,225)*(5-MIN(4,2+'5. Scenarios'!$B$8))/4+INDEX(BookQ3,225)*(5-MIN(4,3+'5. Scenarios'!$B$8))/4+INDEX(BookQ4,225)*(5-MIN(4,4+'5. Scenarios'!$B$8))/4)*'5. Scenarios'!$B$6/(1+ProductivityDefault*('5. Scenarios'!$B$11-1))+INDEX(BookOneOff,225)*$D230)</f>
        <v/>
      </c>
      <c r="I230" s="56" t="str">
        <f aca="false">IF(INDEX(BookTitle,225)="","",INDEX(BookTotal,225)*'5. Scenarios'!$C$6/(1+ProductivityDefault*('5. Scenarios'!$C$11-1)))</f>
        <v/>
      </c>
      <c r="J230" s="57" t="str">
        <f aca="false">IF($I230="","",INDEX(BookRate,225)*(1+'5. Scenarios'!$C$10)*$I230)</f>
        <v/>
      </c>
      <c r="K230" s="57" t="str">
        <f aca="false">IF($J230="","",SUMIFS($J$6:$J$2405,$A$6:$A$2405,"&lt;="&amp;$A230))</f>
        <v/>
      </c>
      <c r="L230" s="57" t="str">
        <f aca="false">IF($J230="","",IF($K230&lt;=BankCostEnvelope*'5. Scenarios'!$C$7,1,0))</f>
        <v/>
      </c>
      <c r="M230" s="57" t="str">
        <f aca="false">IF($I230="","",INDEX(BookRate,225)*(1+'5. Scenarios'!$C$10)*(INDEX(BookQ1,225)*(5-MIN(4,1+'5. Scenarios'!$C$8))/4+INDEX(BookQ2,225)*(5-MIN(4,2+'5. Scenarios'!$C$8))/4+INDEX(BookQ3,225)*(5-MIN(4,3+'5. Scenarios'!$C$8))/4+INDEX(BookQ4,225)*(5-MIN(4,4+'5. Scenarios'!$C$8))/4)*'5. Scenarios'!$C$6/(1+ProductivityDefault*('5. Scenarios'!$C$11-1))+INDEX(BookOneOff,225)*$I230)</f>
        <v/>
      </c>
      <c r="N230" s="56" t="str">
        <f aca="false">IF(INDEX(BookTitle,225)="","",INDEX(BookTotal,225)*'5. Scenarios'!$D$6/(1+ProductivityDefault*('5. Scenarios'!$D$11-1)))</f>
        <v/>
      </c>
      <c r="O230" s="57" t="str">
        <f aca="false">IF($N230="","",INDEX(BookRate,225)*(1+'5. Scenarios'!$D$10)*$N230)</f>
        <v/>
      </c>
      <c r="P230" s="57" t="str">
        <f aca="false">IF($O230="","",SUMIFS($O$6:$O$2405,$A$6:$A$2405,"&lt;="&amp;$A230))</f>
        <v/>
      </c>
      <c r="Q230" s="57" t="str">
        <f aca="false">IF($O230="","",IF($P230&lt;=BankCostEnvelope*'5. Scenarios'!$D$7,1,0))</f>
        <v/>
      </c>
      <c r="R230" s="57" t="str">
        <f aca="false">IF($N230="","",INDEX(BookRate,225)*(1+'5. Scenarios'!$D$10)*(INDEX(BookQ1,225)*(5-MIN(4,1+'5. Scenarios'!$D$8))/4+INDEX(BookQ2,225)*(5-MIN(4,2+'5. Scenarios'!$D$8))/4+INDEX(BookQ3,225)*(5-MIN(4,3+'5. Scenarios'!$D$8))/4+INDEX(BookQ4,225)*(5-MIN(4,4+'5. Scenarios'!$D$8))/4)*'5. Scenarios'!$D$6/(1+ProductivityDefault*('5. Scenarios'!$D$11-1))+INDEX(BookOneOff,225)*$N230)</f>
        <v/>
      </c>
      <c r="S230" s="56" t="str">
        <f aca="false">IF(INDEX(BookTitle,225)="","",INDEX(BookTotal,225)*'5. Scenarios'!$E$6/(1+ProductivityDefault*('5. Scenarios'!$E$11-1)))</f>
        <v/>
      </c>
      <c r="T230" s="57" t="str">
        <f aca="false">IF($S230="","",INDEX(BookRate,225)*(1+'5. Scenarios'!$E$10)*$S230)</f>
        <v/>
      </c>
      <c r="U230" s="57" t="str">
        <f aca="false">IF($T230="","",SUMIFS($T$6:$T$2405,$A$6:$A$2405,"&lt;="&amp;$A230))</f>
        <v/>
      </c>
      <c r="V230" s="57" t="str">
        <f aca="false">IF($T230="","",IF($U230&lt;=BankCostEnvelope*'5. Scenarios'!$E$7,1,0))</f>
        <v/>
      </c>
      <c r="W230" s="57" t="str">
        <f aca="false">IF($S230="","",INDEX(BookRate,225)*(1+'5. Scenarios'!$E$10)*(INDEX(BookQ1,225)*(5-MIN(4,1+'5. Scenarios'!$E$8))/4+INDEX(BookQ2,225)*(5-MIN(4,2+'5. Scenarios'!$E$8))/4+INDEX(BookQ3,225)*(5-MIN(4,3+'5. Scenarios'!$E$8))/4+INDEX(BookQ4,225)*(5-MIN(4,4+'5. Scenarios'!$E$8))/4)*'5. Scenarios'!$E$6/(1+ProductivityDefault*('5. Scenarios'!$E$11-1))+INDEX(BookOneOff,225)*$S230)</f>
        <v/>
      </c>
    </row>
    <row r="231" customFormat="false" ht="15" hidden="false" customHeight="false" outlineLevel="0" collapsed="false">
      <c r="A231" s="0" t="str">
        <f aca="false">IF(INDEX(BookTitle,226)="","",INDEX(BookKey,226))</f>
        <v/>
      </c>
      <c r="B231" s="0" t="str">
        <f aca="false">IF(INDEX(BookTitle,226)="","",INDEX(BookGroup,226))</f>
        <v/>
      </c>
      <c r="C231" s="0" t="str">
        <f aca="false">IF(INDEX(BookTitle,226)="","",INDEX(BookCategory,226))</f>
        <v/>
      </c>
      <c r="D231" s="56" t="str">
        <f aca="false">IF(INDEX(BookTitle,226)="","",INDEX(BookTotal,226)*'5. Scenarios'!$B$6/(1+ProductivityDefault*('5. Scenarios'!$B$11-1)))</f>
        <v/>
      </c>
      <c r="E231" s="57" t="str">
        <f aca="false">IF($D231="","",INDEX(BookRate,226)*(1+'5. Scenarios'!$B$10)*$D231)</f>
        <v/>
      </c>
      <c r="F231" s="57" t="str">
        <f aca="false">IF($E231="","",SUMIFS($E$6:$E$2405,$A$6:$A$2405,"&lt;="&amp;$A231))</f>
        <v/>
      </c>
      <c r="G231" s="57" t="str">
        <f aca="false">IF($E231="","",IF($F231&lt;=BankCostEnvelope*'5. Scenarios'!$B$7,1,0))</f>
        <v/>
      </c>
      <c r="H231" s="57" t="str">
        <f aca="false">IF($D231="","",INDEX(BookRate,226)*(1+'5. Scenarios'!$B$10)*(INDEX(BookQ1,226)*(5-MIN(4,1+'5. Scenarios'!$B$8))/4+INDEX(BookQ2,226)*(5-MIN(4,2+'5. Scenarios'!$B$8))/4+INDEX(BookQ3,226)*(5-MIN(4,3+'5. Scenarios'!$B$8))/4+INDEX(BookQ4,226)*(5-MIN(4,4+'5. Scenarios'!$B$8))/4)*'5. Scenarios'!$B$6/(1+ProductivityDefault*('5. Scenarios'!$B$11-1))+INDEX(BookOneOff,226)*$D231)</f>
        <v/>
      </c>
      <c r="I231" s="56" t="str">
        <f aca="false">IF(INDEX(BookTitle,226)="","",INDEX(BookTotal,226)*'5. Scenarios'!$C$6/(1+ProductivityDefault*('5. Scenarios'!$C$11-1)))</f>
        <v/>
      </c>
      <c r="J231" s="57" t="str">
        <f aca="false">IF($I231="","",INDEX(BookRate,226)*(1+'5. Scenarios'!$C$10)*$I231)</f>
        <v/>
      </c>
      <c r="K231" s="57" t="str">
        <f aca="false">IF($J231="","",SUMIFS($J$6:$J$2405,$A$6:$A$2405,"&lt;="&amp;$A231))</f>
        <v/>
      </c>
      <c r="L231" s="57" t="str">
        <f aca="false">IF($J231="","",IF($K231&lt;=BankCostEnvelope*'5. Scenarios'!$C$7,1,0))</f>
        <v/>
      </c>
      <c r="M231" s="57" t="str">
        <f aca="false">IF($I231="","",INDEX(BookRate,226)*(1+'5. Scenarios'!$C$10)*(INDEX(BookQ1,226)*(5-MIN(4,1+'5. Scenarios'!$C$8))/4+INDEX(BookQ2,226)*(5-MIN(4,2+'5. Scenarios'!$C$8))/4+INDEX(BookQ3,226)*(5-MIN(4,3+'5. Scenarios'!$C$8))/4+INDEX(BookQ4,226)*(5-MIN(4,4+'5. Scenarios'!$C$8))/4)*'5. Scenarios'!$C$6/(1+ProductivityDefault*('5. Scenarios'!$C$11-1))+INDEX(BookOneOff,226)*$I231)</f>
        <v/>
      </c>
      <c r="N231" s="56" t="str">
        <f aca="false">IF(INDEX(BookTitle,226)="","",INDEX(BookTotal,226)*'5. Scenarios'!$D$6/(1+ProductivityDefault*('5. Scenarios'!$D$11-1)))</f>
        <v/>
      </c>
      <c r="O231" s="57" t="str">
        <f aca="false">IF($N231="","",INDEX(BookRate,226)*(1+'5. Scenarios'!$D$10)*$N231)</f>
        <v/>
      </c>
      <c r="P231" s="57" t="str">
        <f aca="false">IF($O231="","",SUMIFS($O$6:$O$2405,$A$6:$A$2405,"&lt;="&amp;$A231))</f>
        <v/>
      </c>
      <c r="Q231" s="57" t="str">
        <f aca="false">IF($O231="","",IF($P231&lt;=BankCostEnvelope*'5. Scenarios'!$D$7,1,0))</f>
        <v/>
      </c>
      <c r="R231" s="57" t="str">
        <f aca="false">IF($N231="","",INDEX(BookRate,226)*(1+'5. Scenarios'!$D$10)*(INDEX(BookQ1,226)*(5-MIN(4,1+'5. Scenarios'!$D$8))/4+INDEX(BookQ2,226)*(5-MIN(4,2+'5. Scenarios'!$D$8))/4+INDEX(BookQ3,226)*(5-MIN(4,3+'5. Scenarios'!$D$8))/4+INDEX(BookQ4,226)*(5-MIN(4,4+'5. Scenarios'!$D$8))/4)*'5. Scenarios'!$D$6/(1+ProductivityDefault*('5. Scenarios'!$D$11-1))+INDEX(BookOneOff,226)*$N231)</f>
        <v/>
      </c>
      <c r="S231" s="56" t="str">
        <f aca="false">IF(INDEX(BookTitle,226)="","",INDEX(BookTotal,226)*'5. Scenarios'!$E$6/(1+ProductivityDefault*('5. Scenarios'!$E$11-1)))</f>
        <v/>
      </c>
      <c r="T231" s="57" t="str">
        <f aca="false">IF($S231="","",INDEX(BookRate,226)*(1+'5. Scenarios'!$E$10)*$S231)</f>
        <v/>
      </c>
      <c r="U231" s="57" t="str">
        <f aca="false">IF($T231="","",SUMIFS($T$6:$T$2405,$A$6:$A$2405,"&lt;="&amp;$A231))</f>
        <v/>
      </c>
      <c r="V231" s="57" t="str">
        <f aca="false">IF($T231="","",IF($U231&lt;=BankCostEnvelope*'5. Scenarios'!$E$7,1,0))</f>
        <v/>
      </c>
      <c r="W231" s="57" t="str">
        <f aca="false">IF($S231="","",INDEX(BookRate,226)*(1+'5. Scenarios'!$E$10)*(INDEX(BookQ1,226)*(5-MIN(4,1+'5. Scenarios'!$E$8))/4+INDEX(BookQ2,226)*(5-MIN(4,2+'5. Scenarios'!$E$8))/4+INDEX(BookQ3,226)*(5-MIN(4,3+'5. Scenarios'!$E$8))/4+INDEX(BookQ4,226)*(5-MIN(4,4+'5. Scenarios'!$E$8))/4)*'5. Scenarios'!$E$6/(1+ProductivityDefault*('5. Scenarios'!$E$11-1))+INDEX(BookOneOff,226)*$S231)</f>
        <v/>
      </c>
    </row>
    <row r="232" customFormat="false" ht="15" hidden="false" customHeight="false" outlineLevel="0" collapsed="false">
      <c r="A232" s="0" t="str">
        <f aca="false">IF(INDEX(BookTitle,227)="","",INDEX(BookKey,227))</f>
        <v/>
      </c>
      <c r="B232" s="0" t="str">
        <f aca="false">IF(INDEX(BookTitle,227)="","",INDEX(BookGroup,227))</f>
        <v/>
      </c>
      <c r="C232" s="0" t="str">
        <f aca="false">IF(INDEX(BookTitle,227)="","",INDEX(BookCategory,227))</f>
        <v/>
      </c>
      <c r="D232" s="56" t="str">
        <f aca="false">IF(INDEX(BookTitle,227)="","",INDEX(BookTotal,227)*'5. Scenarios'!$B$6/(1+ProductivityDefault*('5. Scenarios'!$B$11-1)))</f>
        <v/>
      </c>
      <c r="E232" s="57" t="str">
        <f aca="false">IF($D232="","",INDEX(BookRate,227)*(1+'5. Scenarios'!$B$10)*$D232)</f>
        <v/>
      </c>
      <c r="F232" s="57" t="str">
        <f aca="false">IF($E232="","",SUMIFS($E$6:$E$2405,$A$6:$A$2405,"&lt;="&amp;$A232))</f>
        <v/>
      </c>
      <c r="G232" s="57" t="str">
        <f aca="false">IF($E232="","",IF($F232&lt;=BankCostEnvelope*'5. Scenarios'!$B$7,1,0))</f>
        <v/>
      </c>
      <c r="H232" s="57" t="str">
        <f aca="false">IF($D232="","",INDEX(BookRate,227)*(1+'5. Scenarios'!$B$10)*(INDEX(BookQ1,227)*(5-MIN(4,1+'5. Scenarios'!$B$8))/4+INDEX(BookQ2,227)*(5-MIN(4,2+'5. Scenarios'!$B$8))/4+INDEX(BookQ3,227)*(5-MIN(4,3+'5. Scenarios'!$B$8))/4+INDEX(BookQ4,227)*(5-MIN(4,4+'5. Scenarios'!$B$8))/4)*'5. Scenarios'!$B$6/(1+ProductivityDefault*('5. Scenarios'!$B$11-1))+INDEX(BookOneOff,227)*$D232)</f>
        <v/>
      </c>
      <c r="I232" s="56" t="str">
        <f aca="false">IF(INDEX(BookTitle,227)="","",INDEX(BookTotal,227)*'5. Scenarios'!$C$6/(1+ProductivityDefault*('5. Scenarios'!$C$11-1)))</f>
        <v/>
      </c>
      <c r="J232" s="57" t="str">
        <f aca="false">IF($I232="","",INDEX(BookRate,227)*(1+'5. Scenarios'!$C$10)*$I232)</f>
        <v/>
      </c>
      <c r="K232" s="57" t="str">
        <f aca="false">IF($J232="","",SUMIFS($J$6:$J$2405,$A$6:$A$2405,"&lt;="&amp;$A232))</f>
        <v/>
      </c>
      <c r="L232" s="57" t="str">
        <f aca="false">IF($J232="","",IF($K232&lt;=BankCostEnvelope*'5. Scenarios'!$C$7,1,0))</f>
        <v/>
      </c>
      <c r="M232" s="57" t="str">
        <f aca="false">IF($I232="","",INDEX(BookRate,227)*(1+'5. Scenarios'!$C$10)*(INDEX(BookQ1,227)*(5-MIN(4,1+'5. Scenarios'!$C$8))/4+INDEX(BookQ2,227)*(5-MIN(4,2+'5. Scenarios'!$C$8))/4+INDEX(BookQ3,227)*(5-MIN(4,3+'5. Scenarios'!$C$8))/4+INDEX(BookQ4,227)*(5-MIN(4,4+'5. Scenarios'!$C$8))/4)*'5. Scenarios'!$C$6/(1+ProductivityDefault*('5. Scenarios'!$C$11-1))+INDEX(BookOneOff,227)*$I232)</f>
        <v/>
      </c>
      <c r="N232" s="56" t="str">
        <f aca="false">IF(INDEX(BookTitle,227)="","",INDEX(BookTotal,227)*'5. Scenarios'!$D$6/(1+ProductivityDefault*('5. Scenarios'!$D$11-1)))</f>
        <v/>
      </c>
      <c r="O232" s="57" t="str">
        <f aca="false">IF($N232="","",INDEX(BookRate,227)*(1+'5. Scenarios'!$D$10)*$N232)</f>
        <v/>
      </c>
      <c r="P232" s="57" t="str">
        <f aca="false">IF($O232="","",SUMIFS($O$6:$O$2405,$A$6:$A$2405,"&lt;="&amp;$A232))</f>
        <v/>
      </c>
      <c r="Q232" s="57" t="str">
        <f aca="false">IF($O232="","",IF($P232&lt;=BankCostEnvelope*'5. Scenarios'!$D$7,1,0))</f>
        <v/>
      </c>
      <c r="R232" s="57" t="str">
        <f aca="false">IF($N232="","",INDEX(BookRate,227)*(1+'5. Scenarios'!$D$10)*(INDEX(BookQ1,227)*(5-MIN(4,1+'5. Scenarios'!$D$8))/4+INDEX(BookQ2,227)*(5-MIN(4,2+'5. Scenarios'!$D$8))/4+INDEX(BookQ3,227)*(5-MIN(4,3+'5. Scenarios'!$D$8))/4+INDEX(BookQ4,227)*(5-MIN(4,4+'5. Scenarios'!$D$8))/4)*'5. Scenarios'!$D$6/(1+ProductivityDefault*('5. Scenarios'!$D$11-1))+INDEX(BookOneOff,227)*$N232)</f>
        <v/>
      </c>
      <c r="S232" s="56" t="str">
        <f aca="false">IF(INDEX(BookTitle,227)="","",INDEX(BookTotal,227)*'5. Scenarios'!$E$6/(1+ProductivityDefault*('5. Scenarios'!$E$11-1)))</f>
        <v/>
      </c>
      <c r="T232" s="57" t="str">
        <f aca="false">IF($S232="","",INDEX(BookRate,227)*(1+'5. Scenarios'!$E$10)*$S232)</f>
        <v/>
      </c>
      <c r="U232" s="57" t="str">
        <f aca="false">IF($T232="","",SUMIFS($T$6:$T$2405,$A$6:$A$2405,"&lt;="&amp;$A232))</f>
        <v/>
      </c>
      <c r="V232" s="57" t="str">
        <f aca="false">IF($T232="","",IF($U232&lt;=BankCostEnvelope*'5. Scenarios'!$E$7,1,0))</f>
        <v/>
      </c>
      <c r="W232" s="57" t="str">
        <f aca="false">IF($S232="","",INDEX(BookRate,227)*(1+'5. Scenarios'!$E$10)*(INDEX(BookQ1,227)*(5-MIN(4,1+'5. Scenarios'!$E$8))/4+INDEX(BookQ2,227)*(5-MIN(4,2+'5. Scenarios'!$E$8))/4+INDEX(BookQ3,227)*(5-MIN(4,3+'5. Scenarios'!$E$8))/4+INDEX(BookQ4,227)*(5-MIN(4,4+'5. Scenarios'!$E$8))/4)*'5. Scenarios'!$E$6/(1+ProductivityDefault*('5. Scenarios'!$E$11-1))+INDEX(BookOneOff,227)*$S232)</f>
        <v/>
      </c>
    </row>
    <row r="233" customFormat="false" ht="15" hidden="false" customHeight="false" outlineLevel="0" collapsed="false">
      <c r="A233" s="0" t="str">
        <f aca="false">IF(INDEX(BookTitle,228)="","",INDEX(BookKey,228))</f>
        <v/>
      </c>
      <c r="B233" s="0" t="str">
        <f aca="false">IF(INDEX(BookTitle,228)="","",INDEX(BookGroup,228))</f>
        <v/>
      </c>
      <c r="C233" s="0" t="str">
        <f aca="false">IF(INDEX(BookTitle,228)="","",INDEX(BookCategory,228))</f>
        <v/>
      </c>
      <c r="D233" s="56" t="str">
        <f aca="false">IF(INDEX(BookTitle,228)="","",INDEX(BookTotal,228)*'5. Scenarios'!$B$6/(1+ProductivityDefault*('5. Scenarios'!$B$11-1)))</f>
        <v/>
      </c>
      <c r="E233" s="57" t="str">
        <f aca="false">IF($D233="","",INDEX(BookRate,228)*(1+'5. Scenarios'!$B$10)*$D233)</f>
        <v/>
      </c>
      <c r="F233" s="57" t="str">
        <f aca="false">IF($E233="","",SUMIFS($E$6:$E$2405,$A$6:$A$2405,"&lt;="&amp;$A233))</f>
        <v/>
      </c>
      <c r="G233" s="57" t="str">
        <f aca="false">IF($E233="","",IF($F233&lt;=BankCostEnvelope*'5. Scenarios'!$B$7,1,0))</f>
        <v/>
      </c>
      <c r="H233" s="57" t="str">
        <f aca="false">IF($D233="","",INDEX(BookRate,228)*(1+'5. Scenarios'!$B$10)*(INDEX(BookQ1,228)*(5-MIN(4,1+'5. Scenarios'!$B$8))/4+INDEX(BookQ2,228)*(5-MIN(4,2+'5. Scenarios'!$B$8))/4+INDEX(BookQ3,228)*(5-MIN(4,3+'5. Scenarios'!$B$8))/4+INDEX(BookQ4,228)*(5-MIN(4,4+'5. Scenarios'!$B$8))/4)*'5. Scenarios'!$B$6/(1+ProductivityDefault*('5. Scenarios'!$B$11-1))+INDEX(BookOneOff,228)*$D233)</f>
        <v/>
      </c>
      <c r="I233" s="56" t="str">
        <f aca="false">IF(INDEX(BookTitle,228)="","",INDEX(BookTotal,228)*'5. Scenarios'!$C$6/(1+ProductivityDefault*('5. Scenarios'!$C$11-1)))</f>
        <v/>
      </c>
      <c r="J233" s="57" t="str">
        <f aca="false">IF($I233="","",INDEX(BookRate,228)*(1+'5. Scenarios'!$C$10)*$I233)</f>
        <v/>
      </c>
      <c r="K233" s="57" t="str">
        <f aca="false">IF($J233="","",SUMIFS($J$6:$J$2405,$A$6:$A$2405,"&lt;="&amp;$A233))</f>
        <v/>
      </c>
      <c r="L233" s="57" t="str">
        <f aca="false">IF($J233="","",IF($K233&lt;=BankCostEnvelope*'5. Scenarios'!$C$7,1,0))</f>
        <v/>
      </c>
      <c r="M233" s="57" t="str">
        <f aca="false">IF($I233="","",INDEX(BookRate,228)*(1+'5. Scenarios'!$C$10)*(INDEX(BookQ1,228)*(5-MIN(4,1+'5. Scenarios'!$C$8))/4+INDEX(BookQ2,228)*(5-MIN(4,2+'5. Scenarios'!$C$8))/4+INDEX(BookQ3,228)*(5-MIN(4,3+'5. Scenarios'!$C$8))/4+INDEX(BookQ4,228)*(5-MIN(4,4+'5. Scenarios'!$C$8))/4)*'5. Scenarios'!$C$6/(1+ProductivityDefault*('5. Scenarios'!$C$11-1))+INDEX(BookOneOff,228)*$I233)</f>
        <v/>
      </c>
      <c r="N233" s="56" t="str">
        <f aca="false">IF(INDEX(BookTitle,228)="","",INDEX(BookTotal,228)*'5. Scenarios'!$D$6/(1+ProductivityDefault*('5. Scenarios'!$D$11-1)))</f>
        <v/>
      </c>
      <c r="O233" s="57" t="str">
        <f aca="false">IF($N233="","",INDEX(BookRate,228)*(1+'5. Scenarios'!$D$10)*$N233)</f>
        <v/>
      </c>
      <c r="P233" s="57" t="str">
        <f aca="false">IF($O233="","",SUMIFS($O$6:$O$2405,$A$6:$A$2405,"&lt;="&amp;$A233))</f>
        <v/>
      </c>
      <c r="Q233" s="57" t="str">
        <f aca="false">IF($O233="","",IF($P233&lt;=BankCostEnvelope*'5. Scenarios'!$D$7,1,0))</f>
        <v/>
      </c>
      <c r="R233" s="57" t="str">
        <f aca="false">IF($N233="","",INDEX(BookRate,228)*(1+'5. Scenarios'!$D$10)*(INDEX(BookQ1,228)*(5-MIN(4,1+'5. Scenarios'!$D$8))/4+INDEX(BookQ2,228)*(5-MIN(4,2+'5. Scenarios'!$D$8))/4+INDEX(BookQ3,228)*(5-MIN(4,3+'5. Scenarios'!$D$8))/4+INDEX(BookQ4,228)*(5-MIN(4,4+'5. Scenarios'!$D$8))/4)*'5. Scenarios'!$D$6/(1+ProductivityDefault*('5. Scenarios'!$D$11-1))+INDEX(BookOneOff,228)*$N233)</f>
        <v/>
      </c>
      <c r="S233" s="56" t="str">
        <f aca="false">IF(INDEX(BookTitle,228)="","",INDEX(BookTotal,228)*'5. Scenarios'!$E$6/(1+ProductivityDefault*('5. Scenarios'!$E$11-1)))</f>
        <v/>
      </c>
      <c r="T233" s="57" t="str">
        <f aca="false">IF($S233="","",INDEX(BookRate,228)*(1+'5. Scenarios'!$E$10)*$S233)</f>
        <v/>
      </c>
      <c r="U233" s="57" t="str">
        <f aca="false">IF($T233="","",SUMIFS($T$6:$T$2405,$A$6:$A$2405,"&lt;="&amp;$A233))</f>
        <v/>
      </c>
      <c r="V233" s="57" t="str">
        <f aca="false">IF($T233="","",IF($U233&lt;=BankCostEnvelope*'5. Scenarios'!$E$7,1,0))</f>
        <v/>
      </c>
      <c r="W233" s="57" t="str">
        <f aca="false">IF($S233="","",INDEX(BookRate,228)*(1+'5. Scenarios'!$E$10)*(INDEX(BookQ1,228)*(5-MIN(4,1+'5. Scenarios'!$E$8))/4+INDEX(BookQ2,228)*(5-MIN(4,2+'5. Scenarios'!$E$8))/4+INDEX(BookQ3,228)*(5-MIN(4,3+'5. Scenarios'!$E$8))/4+INDEX(BookQ4,228)*(5-MIN(4,4+'5. Scenarios'!$E$8))/4)*'5. Scenarios'!$E$6/(1+ProductivityDefault*('5. Scenarios'!$E$11-1))+INDEX(BookOneOff,228)*$S233)</f>
        <v/>
      </c>
    </row>
    <row r="234" customFormat="false" ht="15" hidden="false" customHeight="false" outlineLevel="0" collapsed="false">
      <c r="A234" s="0" t="str">
        <f aca="false">IF(INDEX(BookTitle,229)="","",INDEX(BookKey,229))</f>
        <v/>
      </c>
      <c r="B234" s="0" t="str">
        <f aca="false">IF(INDEX(BookTitle,229)="","",INDEX(BookGroup,229))</f>
        <v/>
      </c>
      <c r="C234" s="0" t="str">
        <f aca="false">IF(INDEX(BookTitle,229)="","",INDEX(BookCategory,229))</f>
        <v/>
      </c>
      <c r="D234" s="56" t="str">
        <f aca="false">IF(INDEX(BookTitle,229)="","",INDEX(BookTotal,229)*'5. Scenarios'!$B$6/(1+ProductivityDefault*('5. Scenarios'!$B$11-1)))</f>
        <v/>
      </c>
      <c r="E234" s="57" t="str">
        <f aca="false">IF($D234="","",INDEX(BookRate,229)*(1+'5. Scenarios'!$B$10)*$D234)</f>
        <v/>
      </c>
      <c r="F234" s="57" t="str">
        <f aca="false">IF($E234="","",SUMIFS($E$6:$E$2405,$A$6:$A$2405,"&lt;="&amp;$A234))</f>
        <v/>
      </c>
      <c r="G234" s="57" t="str">
        <f aca="false">IF($E234="","",IF($F234&lt;=BankCostEnvelope*'5. Scenarios'!$B$7,1,0))</f>
        <v/>
      </c>
      <c r="H234" s="57" t="str">
        <f aca="false">IF($D234="","",INDEX(BookRate,229)*(1+'5. Scenarios'!$B$10)*(INDEX(BookQ1,229)*(5-MIN(4,1+'5. Scenarios'!$B$8))/4+INDEX(BookQ2,229)*(5-MIN(4,2+'5. Scenarios'!$B$8))/4+INDEX(BookQ3,229)*(5-MIN(4,3+'5. Scenarios'!$B$8))/4+INDEX(BookQ4,229)*(5-MIN(4,4+'5. Scenarios'!$B$8))/4)*'5. Scenarios'!$B$6/(1+ProductivityDefault*('5. Scenarios'!$B$11-1))+INDEX(BookOneOff,229)*$D234)</f>
        <v/>
      </c>
      <c r="I234" s="56" t="str">
        <f aca="false">IF(INDEX(BookTitle,229)="","",INDEX(BookTotal,229)*'5. Scenarios'!$C$6/(1+ProductivityDefault*('5. Scenarios'!$C$11-1)))</f>
        <v/>
      </c>
      <c r="J234" s="57" t="str">
        <f aca="false">IF($I234="","",INDEX(BookRate,229)*(1+'5. Scenarios'!$C$10)*$I234)</f>
        <v/>
      </c>
      <c r="K234" s="57" t="str">
        <f aca="false">IF($J234="","",SUMIFS($J$6:$J$2405,$A$6:$A$2405,"&lt;="&amp;$A234))</f>
        <v/>
      </c>
      <c r="L234" s="57" t="str">
        <f aca="false">IF($J234="","",IF($K234&lt;=BankCostEnvelope*'5. Scenarios'!$C$7,1,0))</f>
        <v/>
      </c>
      <c r="M234" s="57" t="str">
        <f aca="false">IF($I234="","",INDEX(BookRate,229)*(1+'5. Scenarios'!$C$10)*(INDEX(BookQ1,229)*(5-MIN(4,1+'5. Scenarios'!$C$8))/4+INDEX(BookQ2,229)*(5-MIN(4,2+'5. Scenarios'!$C$8))/4+INDEX(BookQ3,229)*(5-MIN(4,3+'5. Scenarios'!$C$8))/4+INDEX(BookQ4,229)*(5-MIN(4,4+'5. Scenarios'!$C$8))/4)*'5. Scenarios'!$C$6/(1+ProductivityDefault*('5. Scenarios'!$C$11-1))+INDEX(BookOneOff,229)*$I234)</f>
        <v/>
      </c>
      <c r="N234" s="56" t="str">
        <f aca="false">IF(INDEX(BookTitle,229)="","",INDEX(BookTotal,229)*'5. Scenarios'!$D$6/(1+ProductivityDefault*('5. Scenarios'!$D$11-1)))</f>
        <v/>
      </c>
      <c r="O234" s="57" t="str">
        <f aca="false">IF($N234="","",INDEX(BookRate,229)*(1+'5. Scenarios'!$D$10)*$N234)</f>
        <v/>
      </c>
      <c r="P234" s="57" t="str">
        <f aca="false">IF($O234="","",SUMIFS($O$6:$O$2405,$A$6:$A$2405,"&lt;="&amp;$A234))</f>
        <v/>
      </c>
      <c r="Q234" s="57" t="str">
        <f aca="false">IF($O234="","",IF($P234&lt;=BankCostEnvelope*'5. Scenarios'!$D$7,1,0))</f>
        <v/>
      </c>
      <c r="R234" s="57" t="str">
        <f aca="false">IF($N234="","",INDEX(BookRate,229)*(1+'5. Scenarios'!$D$10)*(INDEX(BookQ1,229)*(5-MIN(4,1+'5. Scenarios'!$D$8))/4+INDEX(BookQ2,229)*(5-MIN(4,2+'5. Scenarios'!$D$8))/4+INDEX(BookQ3,229)*(5-MIN(4,3+'5. Scenarios'!$D$8))/4+INDEX(BookQ4,229)*(5-MIN(4,4+'5. Scenarios'!$D$8))/4)*'5. Scenarios'!$D$6/(1+ProductivityDefault*('5. Scenarios'!$D$11-1))+INDEX(BookOneOff,229)*$N234)</f>
        <v/>
      </c>
      <c r="S234" s="56" t="str">
        <f aca="false">IF(INDEX(BookTitle,229)="","",INDEX(BookTotal,229)*'5. Scenarios'!$E$6/(1+ProductivityDefault*('5. Scenarios'!$E$11-1)))</f>
        <v/>
      </c>
      <c r="T234" s="57" t="str">
        <f aca="false">IF($S234="","",INDEX(BookRate,229)*(1+'5. Scenarios'!$E$10)*$S234)</f>
        <v/>
      </c>
      <c r="U234" s="57" t="str">
        <f aca="false">IF($T234="","",SUMIFS($T$6:$T$2405,$A$6:$A$2405,"&lt;="&amp;$A234))</f>
        <v/>
      </c>
      <c r="V234" s="57" t="str">
        <f aca="false">IF($T234="","",IF($U234&lt;=BankCostEnvelope*'5. Scenarios'!$E$7,1,0))</f>
        <v/>
      </c>
      <c r="W234" s="57" t="str">
        <f aca="false">IF($S234="","",INDEX(BookRate,229)*(1+'5. Scenarios'!$E$10)*(INDEX(BookQ1,229)*(5-MIN(4,1+'5. Scenarios'!$E$8))/4+INDEX(BookQ2,229)*(5-MIN(4,2+'5. Scenarios'!$E$8))/4+INDEX(BookQ3,229)*(5-MIN(4,3+'5. Scenarios'!$E$8))/4+INDEX(BookQ4,229)*(5-MIN(4,4+'5. Scenarios'!$E$8))/4)*'5. Scenarios'!$E$6/(1+ProductivityDefault*('5. Scenarios'!$E$11-1))+INDEX(BookOneOff,229)*$S234)</f>
        <v/>
      </c>
    </row>
    <row r="235" customFormat="false" ht="15" hidden="false" customHeight="false" outlineLevel="0" collapsed="false">
      <c r="A235" s="0" t="str">
        <f aca="false">IF(INDEX(BookTitle,230)="","",INDEX(BookKey,230))</f>
        <v/>
      </c>
      <c r="B235" s="0" t="str">
        <f aca="false">IF(INDEX(BookTitle,230)="","",INDEX(BookGroup,230))</f>
        <v/>
      </c>
      <c r="C235" s="0" t="str">
        <f aca="false">IF(INDEX(BookTitle,230)="","",INDEX(BookCategory,230))</f>
        <v/>
      </c>
      <c r="D235" s="56" t="str">
        <f aca="false">IF(INDEX(BookTitle,230)="","",INDEX(BookTotal,230)*'5. Scenarios'!$B$6/(1+ProductivityDefault*('5. Scenarios'!$B$11-1)))</f>
        <v/>
      </c>
      <c r="E235" s="57" t="str">
        <f aca="false">IF($D235="","",INDEX(BookRate,230)*(1+'5. Scenarios'!$B$10)*$D235)</f>
        <v/>
      </c>
      <c r="F235" s="57" t="str">
        <f aca="false">IF($E235="","",SUMIFS($E$6:$E$2405,$A$6:$A$2405,"&lt;="&amp;$A235))</f>
        <v/>
      </c>
      <c r="G235" s="57" t="str">
        <f aca="false">IF($E235="","",IF($F235&lt;=BankCostEnvelope*'5. Scenarios'!$B$7,1,0))</f>
        <v/>
      </c>
      <c r="H235" s="57" t="str">
        <f aca="false">IF($D235="","",INDEX(BookRate,230)*(1+'5. Scenarios'!$B$10)*(INDEX(BookQ1,230)*(5-MIN(4,1+'5. Scenarios'!$B$8))/4+INDEX(BookQ2,230)*(5-MIN(4,2+'5. Scenarios'!$B$8))/4+INDEX(BookQ3,230)*(5-MIN(4,3+'5. Scenarios'!$B$8))/4+INDEX(BookQ4,230)*(5-MIN(4,4+'5. Scenarios'!$B$8))/4)*'5. Scenarios'!$B$6/(1+ProductivityDefault*('5. Scenarios'!$B$11-1))+INDEX(BookOneOff,230)*$D235)</f>
        <v/>
      </c>
      <c r="I235" s="56" t="str">
        <f aca="false">IF(INDEX(BookTitle,230)="","",INDEX(BookTotal,230)*'5. Scenarios'!$C$6/(1+ProductivityDefault*('5. Scenarios'!$C$11-1)))</f>
        <v/>
      </c>
      <c r="J235" s="57" t="str">
        <f aca="false">IF($I235="","",INDEX(BookRate,230)*(1+'5. Scenarios'!$C$10)*$I235)</f>
        <v/>
      </c>
      <c r="K235" s="57" t="str">
        <f aca="false">IF($J235="","",SUMIFS($J$6:$J$2405,$A$6:$A$2405,"&lt;="&amp;$A235))</f>
        <v/>
      </c>
      <c r="L235" s="57" t="str">
        <f aca="false">IF($J235="","",IF($K235&lt;=BankCostEnvelope*'5. Scenarios'!$C$7,1,0))</f>
        <v/>
      </c>
      <c r="M235" s="57" t="str">
        <f aca="false">IF($I235="","",INDEX(BookRate,230)*(1+'5. Scenarios'!$C$10)*(INDEX(BookQ1,230)*(5-MIN(4,1+'5. Scenarios'!$C$8))/4+INDEX(BookQ2,230)*(5-MIN(4,2+'5. Scenarios'!$C$8))/4+INDEX(BookQ3,230)*(5-MIN(4,3+'5. Scenarios'!$C$8))/4+INDEX(BookQ4,230)*(5-MIN(4,4+'5. Scenarios'!$C$8))/4)*'5. Scenarios'!$C$6/(1+ProductivityDefault*('5. Scenarios'!$C$11-1))+INDEX(BookOneOff,230)*$I235)</f>
        <v/>
      </c>
      <c r="N235" s="56" t="str">
        <f aca="false">IF(INDEX(BookTitle,230)="","",INDEX(BookTotal,230)*'5. Scenarios'!$D$6/(1+ProductivityDefault*('5. Scenarios'!$D$11-1)))</f>
        <v/>
      </c>
      <c r="O235" s="57" t="str">
        <f aca="false">IF($N235="","",INDEX(BookRate,230)*(1+'5. Scenarios'!$D$10)*$N235)</f>
        <v/>
      </c>
      <c r="P235" s="57" t="str">
        <f aca="false">IF($O235="","",SUMIFS($O$6:$O$2405,$A$6:$A$2405,"&lt;="&amp;$A235))</f>
        <v/>
      </c>
      <c r="Q235" s="57" t="str">
        <f aca="false">IF($O235="","",IF($P235&lt;=BankCostEnvelope*'5. Scenarios'!$D$7,1,0))</f>
        <v/>
      </c>
      <c r="R235" s="57" t="str">
        <f aca="false">IF($N235="","",INDEX(BookRate,230)*(1+'5. Scenarios'!$D$10)*(INDEX(BookQ1,230)*(5-MIN(4,1+'5. Scenarios'!$D$8))/4+INDEX(BookQ2,230)*(5-MIN(4,2+'5. Scenarios'!$D$8))/4+INDEX(BookQ3,230)*(5-MIN(4,3+'5. Scenarios'!$D$8))/4+INDEX(BookQ4,230)*(5-MIN(4,4+'5. Scenarios'!$D$8))/4)*'5. Scenarios'!$D$6/(1+ProductivityDefault*('5. Scenarios'!$D$11-1))+INDEX(BookOneOff,230)*$N235)</f>
        <v/>
      </c>
      <c r="S235" s="56" t="str">
        <f aca="false">IF(INDEX(BookTitle,230)="","",INDEX(BookTotal,230)*'5. Scenarios'!$E$6/(1+ProductivityDefault*('5. Scenarios'!$E$11-1)))</f>
        <v/>
      </c>
      <c r="T235" s="57" t="str">
        <f aca="false">IF($S235="","",INDEX(BookRate,230)*(1+'5. Scenarios'!$E$10)*$S235)</f>
        <v/>
      </c>
      <c r="U235" s="57" t="str">
        <f aca="false">IF($T235="","",SUMIFS($T$6:$T$2405,$A$6:$A$2405,"&lt;="&amp;$A235))</f>
        <v/>
      </c>
      <c r="V235" s="57" t="str">
        <f aca="false">IF($T235="","",IF($U235&lt;=BankCostEnvelope*'5. Scenarios'!$E$7,1,0))</f>
        <v/>
      </c>
      <c r="W235" s="57" t="str">
        <f aca="false">IF($S235="","",INDEX(BookRate,230)*(1+'5. Scenarios'!$E$10)*(INDEX(BookQ1,230)*(5-MIN(4,1+'5. Scenarios'!$E$8))/4+INDEX(BookQ2,230)*(5-MIN(4,2+'5. Scenarios'!$E$8))/4+INDEX(BookQ3,230)*(5-MIN(4,3+'5. Scenarios'!$E$8))/4+INDEX(BookQ4,230)*(5-MIN(4,4+'5. Scenarios'!$E$8))/4)*'5. Scenarios'!$E$6/(1+ProductivityDefault*('5. Scenarios'!$E$11-1))+INDEX(BookOneOff,230)*$S235)</f>
        <v/>
      </c>
    </row>
    <row r="236" customFormat="false" ht="15" hidden="false" customHeight="false" outlineLevel="0" collapsed="false">
      <c r="A236" s="0" t="str">
        <f aca="false">IF(INDEX(BookTitle,231)="","",INDEX(BookKey,231))</f>
        <v/>
      </c>
      <c r="B236" s="0" t="str">
        <f aca="false">IF(INDEX(BookTitle,231)="","",INDEX(BookGroup,231))</f>
        <v/>
      </c>
      <c r="C236" s="0" t="str">
        <f aca="false">IF(INDEX(BookTitle,231)="","",INDEX(BookCategory,231))</f>
        <v/>
      </c>
      <c r="D236" s="56" t="str">
        <f aca="false">IF(INDEX(BookTitle,231)="","",INDEX(BookTotal,231)*'5. Scenarios'!$B$6/(1+ProductivityDefault*('5. Scenarios'!$B$11-1)))</f>
        <v/>
      </c>
      <c r="E236" s="57" t="str">
        <f aca="false">IF($D236="","",INDEX(BookRate,231)*(1+'5. Scenarios'!$B$10)*$D236)</f>
        <v/>
      </c>
      <c r="F236" s="57" t="str">
        <f aca="false">IF($E236="","",SUMIFS($E$6:$E$2405,$A$6:$A$2405,"&lt;="&amp;$A236))</f>
        <v/>
      </c>
      <c r="G236" s="57" t="str">
        <f aca="false">IF($E236="","",IF($F236&lt;=BankCostEnvelope*'5. Scenarios'!$B$7,1,0))</f>
        <v/>
      </c>
      <c r="H236" s="57" t="str">
        <f aca="false">IF($D236="","",INDEX(BookRate,231)*(1+'5. Scenarios'!$B$10)*(INDEX(BookQ1,231)*(5-MIN(4,1+'5. Scenarios'!$B$8))/4+INDEX(BookQ2,231)*(5-MIN(4,2+'5. Scenarios'!$B$8))/4+INDEX(BookQ3,231)*(5-MIN(4,3+'5. Scenarios'!$B$8))/4+INDEX(BookQ4,231)*(5-MIN(4,4+'5. Scenarios'!$B$8))/4)*'5. Scenarios'!$B$6/(1+ProductivityDefault*('5. Scenarios'!$B$11-1))+INDEX(BookOneOff,231)*$D236)</f>
        <v/>
      </c>
      <c r="I236" s="56" t="str">
        <f aca="false">IF(INDEX(BookTitle,231)="","",INDEX(BookTotal,231)*'5. Scenarios'!$C$6/(1+ProductivityDefault*('5. Scenarios'!$C$11-1)))</f>
        <v/>
      </c>
      <c r="J236" s="57" t="str">
        <f aca="false">IF($I236="","",INDEX(BookRate,231)*(1+'5. Scenarios'!$C$10)*$I236)</f>
        <v/>
      </c>
      <c r="K236" s="57" t="str">
        <f aca="false">IF($J236="","",SUMIFS($J$6:$J$2405,$A$6:$A$2405,"&lt;="&amp;$A236))</f>
        <v/>
      </c>
      <c r="L236" s="57" t="str">
        <f aca="false">IF($J236="","",IF($K236&lt;=BankCostEnvelope*'5. Scenarios'!$C$7,1,0))</f>
        <v/>
      </c>
      <c r="M236" s="57" t="str">
        <f aca="false">IF($I236="","",INDEX(BookRate,231)*(1+'5. Scenarios'!$C$10)*(INDEX(BookQ1,231)*(5-MIN(4,1+'5. Scenarios'!$C$8))/4+INDEX(BookQ2,231)*(5-MIN(4,2+'5. Scenarios'!$C$8))/4+INDEX(BookQ3,231)*(5-MIN(4,3+'5. Scenarios'!$C$8))/4+INDEX(BookQ4,231)*(5-MIN(4,4+'5. Scenarios'!$C$8))/4)*'5. Scenarios'!$C$6/(1+ProductivityDefault*('5. Scenarios'!$C$11-1))+INDEX(BookOneOff,231)*$I236)</f>
        <v/>
      </c>
      <c r="N236" s="56" t="str">
        <f aca="false">IF(INDEX(BookTitle,231)="","",INDEX(BookTotal,231)*'5. Scenarios'!$D$6/(1+ProductivityDefault*('5. Scenarios'!$D$11-1)))</f>
        <v/>
      </c>
      <c r="O236" s="57" t="str">
        <f aca="false">IF($N236="","",INDEX(BookRate,231)*(1+'5. Scenarios'!$D$10)*$N236)</f>
        <v/>
      </c>
      <c r="P236" s="57" t="str">
        <f aca="false">IF($O236="","",SUMIFS($O$6:$O$2405,$A$6:$A$2405,"&lt;="&amp;$A236))</f>
        <v/>
      </c>
      <c r="Q236" s="57" t="str">
        <f aca="false">IF($O236="","",IF($P236&lt;=BankCostEnvelope*'5. Scenarios'!$D$7,1,0))</f>
        <v/>
      </c>
      <c r="R236" s="57" t="str">
        <f aca="false">IF($N236="","",INDEX(BookRate,231)*(1+'5. Scenarios'!$D$10)*(INDEX(BookQ1,231)*(5-MIN(4,1+'5. Scenarios'!$D$8))/4+INDEX(BookQ2,231)*(5-MIN(4,2+'5. Scenarios'!$D$8))/4+INDEX(BookQ3,231)*(5-MIN(4,3+'5. Scenarios'!$D$8))/4+INDEX(BookQ4,231)*(5-MIN(4,4+'5. Scenarios'!$D$8))/4)*'5. Scenarios'!$D$6/(1+ProductivityDefault*('5. Scenarios'!$D$11-1))+INDEX(BookOneOff,231)*$N236)</f>
        <v/>
      </c>
      <c r="S236" s="56" t="str">
        <f aca="false">IF(INDEX(BookTitle,231)="","",INDEX(BookTotal,231)*'5. Scenarios'!$E$6/(1+ProductivityDefault*('5. Scenarios'!$E$11-1)))</f>
        <v/>
      </c>
      <c r="T236" s="57" t="str">
        <f aca="false">IF($S236="","",INDEX(BookRate,231)*(1+'5. Scenarios'!$E$10)*$S236)</f>
        <v/>
      </c>
      <c r="U236" s="57" t="str">
        <f aca="false">IF($T236="","",SUMIFS($T$6:$T$2405,$A$6:$A$2405,"&lt;="&amp;$A236))</f>
        <v/>
      </c>
      <c r="V236" s="57" t="str">
        <f aca="false">IF($T236="","",IF($U236&lt;=BankCostEnvelope*'5. Scenarios'!$E$7,1,0))</f>
        <v/>
      </c>
      <c r="W236" s="57" t="str">
        <f aca="false">IF($S236="","",INDEX(BookRate,231)*(1+'5. Scenarios'!$E$10)*(INDEX(BookQ1,231)*(5-MIN(4,1+'5. Scenarios'!$E$8))/4+INDEX(BookQ2,231)*(5-MIN(4,2+'5. Scenarios'!$E$8))/4+INDEX(BookQ3,231)*(5-MIN(4,3+'5. Scenarios'!$E$8))/4+INDEX(BookQ4,231)*(5-MIN(4,4+'5. Scenarios'!$E$8))/4)*'5. Scenarios'!$E$6/(1+ProductivityDefault*('5. Scenarios'!$E$11-1))+INDEX(BookOneOff,231)*$S236)</f>
        <v/>
      </c>
    </row>
    <row r="237" customFormat="false" ht="15" hidden="false" customHeight="false" outlineLevel="0" collapsed="false">
      <c r="A237" s="0" t="str">
        <f aca="false">IF(INDEX(BookTitle,232)="","",INDEX(BookKey,232))</f>
        <v/>
      </c>
      <c r="B237" s="0" t="str">
        <f aca="false">IF(INDEX(BookTitle,232)="","",INDEX(BookGroup,232))</f>
        <v/>
      </c>
      <c r="C237" s="0" t="str">
        <f aca="false">IF(INDEX(BookTitle,232)="","",INDEX(BookCategory,232))</f>
        <v/>
      </c>
      <c r="D237" s="56" t="str">
        <f aca="false">IF(INDEX(BookTitle,232)="","",INDEX(BookTotal,232)*'5. Scenarios'!$B$6/(1+ProductivityDefault*('5. Scenarios'!$B$11-1)))</f>
        <v/>
      </c>
      <c r="E237" s="57" t="str">
        <f aca="false">IF($D237="","",INDEX(BookRate,232)*(1+'5. Scenarios'!$B$10)*$D237)</f>
        <v/>
      </c>
      <c r="F237" s="57" t="str">
        <f aca="false">IF($E237="","",SUMIFS($E$6:$E$2405,$A$6:$A$2405,"&lt;="&amp;$A237))</f>
        <v/>
      </c>
      <c r="G237" s="57" t="str">
        <f aca="false">IF($E237="","",IF($F237&lt;=BankCostEnvelope*'5. Scenarios'!$B$7,1,0))</f>
        <v/>
      </c>
      <c r="H237" s="57" t="str">
        <f aca="false">IF($D237="","",INDEX(BookRate,232)*(1+'5. Scenarios'!$B$10)*(INDEX(BookQ1,232)*(5-MIN(4,1+'5. Scenarios'!$B$8))/4+INDEX(BookQ2,232)*(5-MIN(4,2+'5. Scenarios'!$B$8))/4+INDEX(BookQ3,232)*(5-MIN(4,3+'5. Scenarios'!$B$8))/4+INDEX(BookQ4,232)*(5-MIN(4,4+'5. Scenarios'!$B$8))/4)*'5. Scenarios'!$B$6/(1+ProductivityDefault*('5. Scenarios'!$B$11-1))+INDEX(BookOneOff,232)*$D237)</f>
        <v/>
      </c>
      <c r="I237" s="56" t="str">
        <f aca="false">IF(INDEX(BookTitle,232)="","",INDEX(BookTotal,232)*'5. Scenarios'!$C$6/(1+ProductivityDefault*('5. Scenarios'!$C$11-1)))</f>
        <v/>
      </c>
      <c r="J237" s="57" t="str">
        <f aca="false">IF($I237="","",INDEX(BookRate,232)*(1+'5. Scenarios'!$C$10)*$I237)</f>
        <v/>
      </c>
      <c r="K237" s="57" t="str">
        <f aca="false">IF($J237="","",SUMIFS($J$6:$J$2405,$A$6:$A$2405,"&lt;="&amp;$A237))</f>
        <v/>
      </c>
      <c r="L237" s="57" t="str">
        <f aca="false">IF($J237="","",IF($K237&lt;=BankCostEnvelope*'5. Scenarios'!$C$7,1,0))</f>
        <v/>
      </c>
      <c r="M237" s="57" t="str">
        <f aca="false">IF($I237="","",INDEX(BookRate,232)*(1+'5. Scenarios'!$C$10)*(INDEX(BookQ1,232)*(5-MIN(4,1+'5. Scenarios'!$C$8))/4+INDEX(BookQ2,232)*(5-MIN(4,2+'5. Scenarios'!$C$8))/4+INDEX(BookQ3,232)*(5-MIN(4,3+'5. Scenarios'!$C$8))/4+INDEX(BookQ4,232)*(5-MIN(4,4+'5. Scenarios'!$C$8))/4)*'5. Scenarios'!$C$6/(1+ProductivityDefault*('5. Scenarios'!$C$11-1))+INDEX(BookOneOff,232)*$I237)</f>
        <v/>
      </c>
      <c r="N237" s="56" t="str">
        <f aca="false">IF(INDEX(BookTitle,232)="","",INDEX(BookTotal,232)*'5. Scenarios'!$D$6/(1+ProductivityDefault*('5. Scenarios'!$D$11-1)))</f>
        <v/>
      </c>
      <c r="O237" s="57" t="str">
        <f aca="false">IF($N237="","",INDEX(BookRate,232)*(1+'5. Scenarios'!$D$10)*$N237)</f>
        <v/>
      </c>
      <c r="P237" s="57" t="str">
        <f aca="false">IF($O237="","",SUMIFS($O$6:$O$2405,$A$6:$A$2405,"&lt;="&amp;$A237))</f>
        <v/>
      </c>
      <c r="Q237" s="57" t="str">
        <f aca="false">IF($O237="","",IF($P237&lt;=BankCostEnvelope*'5. Scenarios'!$D$7,1,0))</f>
        <v/>
      </c>
      <c r="R237" s="57" t="str">
        <f aca="false">IF($N237="","",INDEX(BookRate,232)*(1+'5. Scenarios'!$D$10)*(INDEX(BookQ1,232)*(5-MIN(4,1+'5. Scenarios'!$D$8))/4+INDEX(BookQ2,232)*(5-MIN(4,2+'5. Scenarios'!$D$8))/4+INDEX(BookQ3,232)*(5-MIN(4,3+'5. Scenarios'!$D$8))/4+INDEX(BookQ4,232)*(5-MIN(4,4+'5. Scenarios'!$D$8))/4)*'5. Scenarios'!$D$6/(1+ProductivityDefault*('5. Scenarios'!$D$11-1))+INDEX(BookOneOff,232)*$N237)</f>
        <v/>
      </c>
      <c r="S237" s="56" t="str">
        <f aca="false">IF(INDEX(BookTitle,232)="","",INDEX(BookTotal,232)*'5. Scenarios'!$E$6/(1+ProductivityDefault*('5. Scenarios'!$E$11-1)))</f>
        <v/>
      </c>
      <c r="T237" s="57" t="str">
        <f aca="false">IF($S237="","",INDEX(BookRate,232)*(1+'5. Scenarios'!$E$10)*$S237)</f>
        <v/>
      </c>
      <c r="U237" s="57" t="str">
        <f aca="false">IF($T237="","",SUMIFS($T$6:$T$2405,$A$6:$A$2405,"&lt;="&amp;$A237))</f>
        <v/>
      </c>
      <c r="V237" s="57" t="str">
        <f aca="false">IF($T237="","",IF($U237&lt;=BankCostEnvelope*'5. Scenarios'!$E$7,1,0))</f>
        <v/>
      </c>
      <c r="W237" s="57" t="str">
        <f aca="false">IF($S237="","",INDEX(BookRate,232)*(1+'5. Scenarios'!$E$10)*(INDEX(BookQ1,232)*(5-MIN(4,1+'5. Scenarios'!$E$8))/4+INDEX(BookQ2,232)*(5-MIN(4,2+'5. Scenarios'!$E$8))/4+INDEX(BookQ3,232)*(5-MIN(4,3+'5. Scenarios'!$E$8))/4+INDEX(BookQ4,232)*(5-MIN(4,4+'5. Scenarios'!$E$8))/4)*'5. Scenarios'!$E$6/(1+ProductivityDefault*('5. Scenarios'!$E$11-1))+INDEX(BookOneOff,232)*$S237)</f>
        <v/>
      </c>
    </row>
    <row r="238" customFormat="false" ht="15" hidden="false" customHeight="false" outlineLevel="0" collapsed="false">
      <c r="A238" s="0" t="str">
        <f aca="false">IF(INDEX(BookTitle,233)="","",INDEX(BookKey,233))</f>
        <v/>
      </c>
      <c r="B238" s="0" t="str">
        <f aca="false">IF(INDEX(BookTitle,233)="","",INDEX(BookGroup,233))</f>
        <v/>
      </c>
      <c r="C238" s="0" t="str">
        <f aca="false">IF(INDEX(BookTitle,233)="","",INDEX(BookCategory,233))</f>
        <v/>
      </c>
      <c r="D238" s="56" t="str">
        <f aca="false">IF(INDEX(BookTitle,233)="","",INDEX(BookTotal,233)*'5. Scenarios'!$B$6/(1+ProductivityDefault*('5. Scenarios'!$B$11-1)))</f>
        <v/>
      </c>
      <c r="E238" s="57" t="str">
        <f aca="false">IF($D238="","",INDEX(BookRate,233)*(1+'5. Scenarios'!$B$10)*$D238)</f>
        <v/>
      </c>
      <c r="F238" s="57" t="str">
        <f aca="false">IF($E238="","",SUMIFS($E$6:$E$2405,$A$6:$A$2405,"&lt;="&amp;$A238))</f>
        <v/>
      </c>
      <c r="G238" s="57" t="str">
        <f aca="false">IF($E238="","",IF($F238&lt;=BankCostEnvelope*'5. Scenarios'!$B$7,1,0))</f>
        <v/>
      </c>
      <c r="H238" s="57" t="str">
        <f aca="false">IF($D238="","",INDEX(BookRate,233)*(1+'5. Scenarios'!$B$10)*(INDEX(BookQ1,233)*(5-MIN(4,1+'5. Scenarios'!$B$8))/4+INDEX(BookQ2,233)*(5-MIN(4,2+'5. Scenarios'!$B$8))/4+INDEX(BookQ3,233)*(5-MIN(4,3+'5. Scenarios'!$B$8))/4+INDEX(BookQ4,233)*(5-MIN(4,4+'5. Scenarios'!$B$8))/4)*'5. Scenarios'!$B$6/(1+ProductivityDefault*('5. Scenarios'!$B$11-1))+INDEX(BookOneOff,233)*$D238)</f>
        <v/>
      </c>
      <c r="I238" s="56" t="str">
        <f aca="false">IF(INDEX(BookTitle,233)="","",INDEX(BookTotal,233)*'5. Scenarios'!$C$6/(1+ProductivityDefault*('5. Scenarios'!$C$11-1)))</f>
        <v/>
      </c>
      <c r="J238" s="57" t="str">
        <f aca="false">IF($I238="","",INDEX(BookRate,233)*(1+'5. Scenarios'!$C$10)*$I238)</f>
        <v/>
      </c>
      <c r="K238" s="57" t="str">
        <f aca="false">IF($J238="","",SUMIFS($J$6:$J$2405,$A$6:$A$2405,"&lt;="&amp;$A238))</f>
        <v/>
      </c>
      <c r="L238" s="57" t="str">
        <f aca="false">IF($J238="","",IF($K238&lt;=BankCostEnvelope*'5. Scenarios'!$C$7,1,0))</f>
        <v/>
      </c>
      <c r="M238" s="57" t="str">
        <f aca="false">IF($I238="","",INDEX(BookRate,233)*(1+'5. Scenarios'!$C$10)*(INDEX(BookQ1,233)*(5-MIN(4,1+'5. Scenarios'!$C$8))/4+INDEX(BookQ2,233)*(5-MIN(4,2+'5. Scenarios'!$C$8))/4+INDEX(BookQ3,233)*(5-MIN(4,3+'5. Scenarios'!$C$8))/4+INDEX(BookQ4,233)*(5-MIN(4,4+'5. Scenarios'!$C$8))/4)*'5. Scenarios'!$C$6/(1+ProductivityDefault*('5. Scenarios'!$C$11-1))+INDEX(BookOneOff,233)*$I238)</f>
        <v/>
      </c>
      <c r="N238" s="56" t="str">
        <f aca="false">IF(INDEX(BookTitle,233)="","",INDEX(BookTotal,233)*'5. Scenarios'!$D$6/(1+ProductivityDefault*('5. Scenarios'!$D$11-1)))</f>
        <v/>
      </c>
      <c r="O238" s="57" t="str">
        <f aca="false">IF($N238="","",INDEX(BookRate,233)*(1+'5. Scenarios'!$D$10)*$N238)</f>
        <v/>
      </c>
      <c r="P238" s="57" t="str">
        <f aca="false">IF($O238="","",SUMIFS($O$6:$O$2405,$A$6:$A$2405,"&lt;="&amp;$A238))</f>
        <v/>
      </c>
      <c r="Q238" s="57" t="str">
        <f aca="false">IF($O238="","",IF($P238&lt;=BankCostEnvelope*'5. Scenarios'!$D$7,1,0))</f>
        <v/>
      </c>
      <c r="R238" s="57" t="str">
        <f aca="false">IF($N238="","",INDEX(BookRate,233)*(1+'5. Scenarios'!$D$10)*(INDEX(BookQ1,233)*(5-MIN(4,1+'5. Scenarios'!$D$8))/4+INDEX(BookQ2,233)*(5-MIN(4,2+'5. Scenarios'!$D$8))/4+INDEX(BookQ3,233)*(5-MIN(4,3+'5. Scenarios'!$D$8))/4+INDEX(BookQ4,233)*(5-MIN(4,4+'5. Scenarios'!$D$8))/4)*'5. Scenarios'!$D$6/(1+ProductivityDefault*('5. Scenarios'!$D$11-1))+INDEX(BookOneOff,233)*$N238)</f>
        <v/>
      </c>
      <c r="S238" s="56" t="str">
        <f aca="false">IF(INDEX(BookTitle,233)="","",INDEX(BookTotal,233)*'5. Scenarios'!$E$6/(1+ProductivityDefault*('5. Scenarios'!$E$11-1)))</f>
        <v/>
      </c>
      <c r="T238" s="57" t="str">
        <f aca="false">IF($S238="","",INDEX(BookRate,233)*(1+'5. Scenarios'!$E$10)*$S238)</f>
        <v/>
      </c>
      <c r="U238" s="57" t="str">
        <f aca="false">IF($T238="","",SUMIFS($T$6:$T$2405,$A$6:$A$2405,"&lt;="&amp;$A238))</f>
        <v/>
      </c>
      <c r="V238" s="57" t="str">
        <f aca="false">IF($T238="","",IF($U238&lt;=BankCostEnvelope*'5. Scenarios'!$E$7,1,0))</f>
        <v/>
      </c>
      <c r="W238" s="57" t="str">
        <f aca="false">IF($S238="","",INDEX(BookRate,233)*(1+'5. Scenarios'!$E$10)*(INDEX(BookQ1,233)*(5-MIN(4,1+'5. Scenarios'!$E$8))/4+INDEX(BookQ2,233)*(5-MIN(4,2+'5. Scenarios'!$E$8))/4+INDEX(BookQ3,233)*(5-MIN(4,3+'5. Scenarios'!$E$8))/4+INDEX(BookQ4,233)*(5-MIN(4,4+'5. Scenarios'!$E$8))/4)*'5. Scenarios'!$E$6/(1+ProductivityDefault*('5. Scenarios'!$E$11-1))+INDEX(BookOneOff,233)*$S238)</f>
        <v/>
      </c>
    </row>
    <row r="239" customFormat="false" ht="15" hidden="false" customHeight="false" outlineLevel="0" collapsed="false">
      <c r="A239" s="0" t="str">
        <f aca="false">IF(INDEX(BookTitle,234)="","",INDEX(BookKey,234))</f>
        <v/>
      </c>
      <c r="B239" s="0" t="str">
        <f aca="false">IF(INDEX(BookTitle,234)="","",INDEX(BookGroup,234))</f>
        <v/>
      </c>
      <c r="C239" s="0" t="str">
        <f aca="false">IF(INDEX(BookTitle,234)="","",INDEX(BookCategory,234))</f>
        <v/>
      </c>
      <c r="D239" s="56" t="str">
        <f aca="false">IF(INDEX(BookTitle,234)="","",INDEX(BookTotal,234)*'5. Scenarios'!$B$6/(1+ProductivityDefault*('5. Scenarios'!$B$11-1)))</f>
        <v/>
      </c>
      <c r="E239" s="57" t="str">
        <f aca="false">IF($D239="","",INDEX(BookRate,234)*(1+'5. Scenarios'!$B$10)*$D239)</f>
        <v/>
      </c>
      <c r="F239" s="57" t="str">
        <f aca="false">IF($E239="","",SUMIFS($E$6:$E$2405,$A$6:$A$2405,"&lt;="&amp;$A239))</f>
        <v/>
      </c>
      <c r="G239" s="57" t="str">
        <f aca="false">IF($E239="","",IF($F239&lt;=BankCostEnvelope*'5. Scenarios'!$B$7,1,0))</f>
        <v/>
      </c>
      <c r="H239" s="57" t="str">
        <f aca="false">IF($D239="","",INDEX(BookRate,234)*(1+'5. Scenarios'!$B$10)*(INDEX(BookQ1,234)*(5-MIN(4,1+'5. Scenarios'!$B$8))/4+INDEX(BookQ2,234)*(5-MIN(4,2+'5. Scenarios'!$B$8))/4+INDEX(BookQ3,234)*(5-MIN(4,3+'5. Scenarios'!$B$8))/4+INDEX(BookQ4,234)*(5-MIN(4,4+'5. Scenarios'!$B$8))/4)*'5. Scenarios'!$B$6/(1+ProductivityDefault*('5. Scenarios'!$B$11-1))+INDEX(BookOneOff,234)*$D239)</f>
        <v/>
      </c>
      <c r="I239" s="56" t="str">
        <f aca="false">IF(INDEX(BookTitle,234)="","",INDEX(BookTotal,234)*'5. Scenarios'!$C$6/(1+ProductivityDefault*('5. Scenarios'!$C$11-1)))</f>
        <v/>
      </c>
      <c r="J239" s="57" t="str">
        <f aca="false">IF($I239="","",INDEX(BookRate,234)*(1+'5. Scenarios'!$C$10)*$I239)</f>
        <v/>
      </c>
      <c r="K239" s="57" t="str">
        <f aca="false">IF($J239="","",SUMIFS($J$6:$J$2405,$A$6:$A$2405,"&lt;="&amp;$A239))</f>
        <v/>
      </c>
      <c r="L239" s="57" t="str">
        <f aca="false">IF($J239="","",IF($K239&lt;=BankCostEnvelope*'5. Scenarios'!$C$7,1,0))</f>
        <v/>
      </c>
      <c r="M239" s="57" t="str">
        <f aca="false">IF($I239="","",INDEX(BookRate,234)*(1+'5. Scenarios'!$C$10)*(INDEX(BookQ1,234)*(5-MIN(4,1+'5. Scenarios'!$C$8))/4+INDEX(BookQ2,234)*(5-MIN(4,2+'5. Scenarios'!$C$8))/4+INDEX(BookQ3,234)*(5-MIN(4,3+'5. Scenarios'!$C$8))/4+INDEX(BookQ4,234)*(5-MIN(4,4+'5. Scenarios'!$C$8))/4)*'5. Scenarios'!$C$6/(1+ProductivityDefault*('5. Scenarios'!$C$11-1))+INDEX(BookOneOff,234)*$I239)</f>
        <v/>
      </c>
      <c r="N239" s="56" t="str">
        <f aca="false">IF(INDEX(BookTitle,234)="","",INDEX(BookTotal,234)*'5. Scenarios'!$D$6/(1+ProductivityDefault*('5. Scenarios'!$D$11-1)))</f>
        <v/>
      </c>
      <c r="O239" s="57" t="str">
        <f aca="false">IF($N239="","",INDEX(BookRate,234)*(1+'5. Scenarios'!$D$10)*$N239)</f>
        <v/>
      </c>
      <c r="P239" s="57" t="str">
        <f aca="false">IF($O239="","",SUMIFS($O$6:$O$2405,$A$6:$A$2405,"&lt;="&amp;$A239))</f>
        <v/>
      </c>
      <c r="Q239" s="57" t="str">
        <f aca="false">IF($O239="","",IF($P239&lt;=BankCostEnvelope*'5. Scenarios'!$D$7,1,0))</f>
        <v/>
      </c>
      <c r="R239" s="57" t="str">
        <f aca="false">IF($N239="","",INDEX(BookRate,234)*(1+'5. Scenarios'!$D$10)*(INDEX(BookQ1,234)*(5-MIN(4,1+'5. Scenarios'!$D$8))/4+INDEX(BookQ2,234)*(5-MIN(4,2+'5. Scenarios'!$D$8))/4+INDEX(BookQ3,234)*(5-MIN(4,3+'5. Scenarios'!$D$8))/4+INDEX(BookQ4,234)*(5-MIN(4,4+'5. Scenarios'!$D$8))/4)*'5. Scenarios'!$D$6/(1+ProductivityDefault*('5. Scenarios'!$D$11-1))+INDEX(BookOneOff,234)*$N239)</f>
        <v/>
      </c>
      <c r="S239" s="56" t="str">
        <f aca="false">IF(INDEX(BookTitle,234)="","",INDEX(BookTotal,234)*'5. Scenarios'!$E$6/(1+ProductivityDefault*('5. Scenarios'!$E$11-1)))</f>
        <v/>
      </c>
      <c r="T239" s="57" t="str">
        <f aca="false">IF($S239="","",INDEX(BookRate,234)*(1+'5. Scenarios'!$E$10)*$S239)</f>
        <v/>
      </c>
      <c r="U239" s="57" t="str">
        <f aca="false">IF($T239="","",SUMIFS($T$6:$T$2405,$A$6:$A$2405,"&lt;="&amp;$A239))</f>
        <v/>
      </c>
      <c r="V239" s="57" t="str">
        <f aca="false">IF($T239="","",IF($U239&lt;=BankCostEnvelope*'5. Scenarios'!$E$7,1,0))</f>
        <v/>
      </c>
      <c r="W239" s="57" t="str">
        <f aca="false">IF($S239="","",INDEX(BookRate,234)*(1+'5. Scenarios'!$E$10)*(INDEX(BookQ1,234)*(5-MIN(4,1+'5. Scenarios'!$E$8))/4+INDEX(BookQ2,234)*(5-MIN(4,2+'5. Scenarios'!$E$8))/4+INDEX(BookQ3,234)*(5-MIN(4,3+'5. Scenarios'!$E$8))/4+INDEX(BookQ4,234)*(5-MIN(4,4+'5. Scenarios'!$E$8))/4)*'5. Scenarios'!$E$6/(1+ProductivityDefault*('5. Scenarios'!$E$11-1))+INDEX(BookOneOff,234)*$S239)</f>
        <v/>
      </c>
    </row>
    <row r="240" customFormat="false" ht="15" hidden="false" customHeight="false" outlineLevel="0" collapsed="false">
      <c r="A240" s="0" t="str">
        <f aca="false">IF(INDEX(BookTitle,235)="","",INDEX(BookKey,235))</f>
        <v/>
      </c>
      <c r="B240" s="0" t="str">
        <f aca="false">IF(INDEX(BookTitle,235)="","",INDEX(BookGroup,235))</f>
        <v/>
      </c>
      <c r="C240" s="0" t="str">
        <f aca="false">IF(INDEX(BookTitle,235)="","",INDEX(BookCategory,235))</f>
        <v/>
      </c>
      <c r="D240" s="56" t="str">
        <f aca="false">IF(INDEX(BookTitle,235)="","",INDEX(BookTotal,235)*'5. Scenarios'!$B$6/(1+ProductivityDefault*('5. Scenarios'!$B$11-1)))</f>
        <v/>
      </c>
      <c r="E240" s="57" t="str">
        <f aca="false">IF($D240="","",INDEX(BookRate,235)*(1+'5. Scenarios'!$B$10)*$D240)</f>
        <v/>
      </c>
      <c r="F240" s="57" t="str">
        <f aca="false">IF($E240="","",SUMIFS($E$6:$E$2405,$A$6:$A$2405,"&lt;="&amp;$A240))</f>
        <v/>
      </c>
      <c r="G240" s="57" t="str">
        <f aca="false">IF($E240="","",IF($F240&lt;=BankCostEnvelope*'5. Scenarios'!$B$7,1,0))</f>
        <v/>
      </c>
      <c r="H240" s="57" t="str">
        <f aca="false">IF($D240="","",INDEX(BookRate,235)*(1+'5. Scenarios'!$B$10)*(INDEX(BookQ1,235)*(5-MIN(4,1+'5. Scenarios'!$B$8))/4+INDEX(BookQ2,235)*(5-MIN(4,2+'5. Scenarios'!$B$8))/4+INDEX(BookQ3,235)*(5-MIN(4,3+'5. Scenarios'!$B$8))/4+INDEX(BookQ4,235)*(5-MIN(4,4+'5. Scenarios'!$B$8))/4)*'5. Scenarios'!$B$6/(1+ProductivityDefault*('5. Scenarios'!$B$11-1))+INDEX(BookOneOff,235)*$D240)</f>
        <v/>
      </c>
      <c r="I240" s="56" t="str">
        <f aca="false">IF(INDEX(BookTitle,235)="","",INDEX(BookTotal,235)*'5. Scenarios'!$C$6/(1+ProductivityDefault*('5. Scenarios'!$C$11-1)))</f>
        <v/>
      </c>
      <c r="J240" s="57" t="str">
        <f aca="false">IF($I240="","",INDEX(BookRate,235)*(1+'5. Scenarios'!$C$10)*$I240)</f>
        <v/>
      </c>
      <c r="K240" s="57" t="str">
        <f aca="false">IF($J240="","",SUMIFS($J$6:$J$2405,$A$6:$A$2405,"&lt;="&amp;$A240))</f>
        <v/>
      </c>
      <c r="L240" s="57" t="str">
        <f aca="false">IF($J240="","",IF($K240&lt;=BankCostEnvelope*'5. Scenarios'!$C$7,1,0))</f>
        <v/>
      </c>
      <c r="M240" s="57" t="str">
        <f aca="false">IF($I240="","",INDEX(BookRate,235)*(1+'5. Scenarios'!$C$10)*(INDEX(BookQ1,235)*(5-MIN(4,1+'5. Scenarios'!$C$8))/4+INDEX(BookQ2,235)*(5-MIN(4,2+'5. Scenarios'!$C$8))/4+INDEX(BookQ3,235)*(5-MIN(4,3+'5. Scenarios'!$C$8))/4+INDEX(BookQ4,235)*(5-MIN(4,4+'5. Scenarios'!$C$8))/4)*'5. Scenarios'!$C$6/(1+ProductivityDefault*('5. Scenarios'!$C$11-1))+INDEX(BookOneOff,235)*$I240)</f>
        <v/>
      </c>
      <c r="N240" s="56" t="str">
        <f aca="false">IF(INDEX(BookTitle,235)="","",INDEX(BookTotal,235)*'5. Scenarios'!$D$6/(1+ProductivityDefault*('5. Scenarios'!$D$11-1)))</f>
        <v/>
      </c>
      <c r="O240" s="57" t="str">
        <f aca="false">IF($N240="","",INDEX(BookRate,235)*(1+'5. Scenarios'!$D$10)*$N240)</f>
        <v/>
      </c>
      <c r="P240" s="57" t="str">
        <f aca="false">IF($O240="","",SUMIFS($O$6:$O$2405,$A$6:$A$2405,"&lt;="&amp;$A240))</f>
        <v/>
      </c>
      <c r="Q240" s="57" t="str">
        <f aca="false">IF($O240="","",IF($P240&lt;=BankCostEnvelope*'5. Scenarios'!$D$7,1,0))</f>
        <v/>
      </c>
      <c r="R240" s="57" t="str">
        <f aca="false">IF($N240="","",INDEX(BookRate,235)*(1+'5. Scenarios'!$D$10)*(INDEX(BookQ1,235)*(5-MIN(4,1+'5. Scenarios'!$D$8))/4+INDEX(BookQ2,235)*(5-MIN(4,2+'5. Scenarios'!$D$8))/4+INDEX(BookQ3,235)*(5-MIN(4,3+'5. Scenarios'!$D$8))/4+INDEX(BookQ4,235)*(5-MIN(4,4+'5. Scenarios'!$D$8))/4)*'5. Scenarios'!$D$6/(1+ProductivityDefault*('5. Scenarios'!$D$11-1))+INDEX(BookOneOff,235)*$N240)</f>
        <v/>
      </c>
      <c r="S240" s="56" t="str">
        <f aca="false">IF(INDEX(BookTitle,235)="","",INDEX(BookTotal,235)*'5. Scenarios'!$E$6/(1+ProductivityDefault*('5. Scenarios'!$E$11-1)))</f>
        <v/>
      </c>
      <c r="T240" s="57" t="str">
        <f aca="false">IF($S240="","",INDEX(BookRate,235)*(1+'5. Scenarios'!$E$10)*$S240)</f>
        <v/>
      </c>
      <c r="U240" s="57" t="str">
        <f aca="false">IF($T240="","",SUMIFS($T$6:$T$2405,$A$6:$A$2405,"&lt;="&amp;$A240))</f>
        <v/>
      </c>
      <c r="V240" s="57" t="str">
        <f aca="false">IF($T240="","",IF($U240&lt;=BankCostEnvelope*'5. Scenarios'!$E$7,1,0))</f>
        <v/>
      </c>
      <c r="W240" s="57" t="str">
        <f aca="false">IF($S240="","",INDEX(BookRate,235)*(1+'5. Scenarios'!$E$10)*(INDEX(BookQ1,235)*(5-MIN(4,1+'5. Scenarios'!$E$8))/4+INDEX(BookQ2,235)*(5-MIN(4,2+'5. Scenarios'!$E$8))/4+INDEX(BookQ3,235)*(5-MIN(4,3+'5. Scenarios'!$E$8))/4+INDEX(BookQ4,235)*(5-MIN(4,4+'5. Scenarios'!$E$8))/4)*'5. Scenarios'!$E$6/(1+ProductivityDefault*('5. Scenarios'!$E$11-1))+INDEX(BookOneOff,235)*$S240)</f>
        <v/>
      </c>
    </row>
    <row r="241" customFormat="false" ht="15" hidden="false" customHeight="false" outlineLevel="0" collapsed="false">
      <c r="A241" s="0" t="str">
        <f aca="false">IF(INDEX(BookTitle,236)="","",INDEX(BookKey,236))</f>
        <v/>
      </c>
      <c r="B241" s="0" t="str">
        <f aca="false">IF(INDEX(BookTitle,236)="","",INDEX(BookGroup,236))</f>
        <v/>
      </c>
      <c r="C241" s="0" t="str">
        <f aca="false">IF(INDEX(BookTitle,236)="","",INDEX(BookCategory,236))</f>
        <v/>
      </c>
      <c r="D241" s="56" t="str">
        <f aca="false">IF(INDEX(BookTitle,236)="","",INDEX(BookTotal,236)*'5. Scenarios'!$B$6/(1+ProductivityDefault*('5. Scenarios'!$B$11-1)))</f>
        <v/>
      </c>
      <c r="E241" s="57" t="str">
        <f aca="false">IF($D241="","",INDEX(BookRate,236)*(1+'5. Scenarios'!$B$10)*$D241)</f>
        <v/>
      </c>
      <c r="F241" s="57" t="str">
        <f aca="false">IF($E241="","",SUMIFS($E$6:$E$2405,$A$6:$A$2405,"&lt;="&amp;$A241))</f>
        <v/>
      </c>
      <c r="G241" s="57" t="str">
        <f aca="false">IF($E241="","",IF($F241&lt;=BankCostEnvelope*'5. Scenarios'!$B$7,1,0))</f>
        <v/>
      </c>
      <c r="H241" s="57" t="str">
        <f aca="false">IF($D241="","",INDEX(BookRate,236)*(1+'5. Scenarios'!$B$10)*(INDEX(BookQ1,236)*(5-MIN(4,1+'5. Scenarios'!$B$8))/4+INDEX(BookQ2,236)*(5-MIN(4,2+'5. Scenarios'!$B$8))/4+INDEX(BookQ3,236)*(5-MIN(4,3+'5. Scenarios'!$B$8))/4+INDEX(BookQ4,236)*(5-MIN(4,4+'5. Scenarios'!$B$8))/4)*'5. Scenarios'!$B$6/(1+ProductivityDefault*('5. Scenarios'!$B$11-1))+INDEX(BookOneOff,236)*$D241)</f>
        <v/>
      </c>
      <c r="I241" s="56" t="str">
        <f aca="false">IF(INDEX(BookTitle,236)="","",INDEX(BookTotal,236)*'5. Scenarios'!$C$6/(1+ProductivityDefault*('5. Scenarios'!$C$11-1)))</f>
        <v/>
      </c>
      <c r="J241" s="57" t="str">
        <f aca="false">IF($I241="","",INDEX(BookRate,236)*(1+'5. Scenarios'!$C$10)*$I241)</f>
        <v/>
      </c>
      <c r="K241" s="57" t="str">
        <f aca="false">IF($J241="","",SUMIFS($J$6:$J$2405,$A$6:$A$2405,"&lt;="&amp;$A241))</f>
        <v/>
      </c>
      <c r="L241" s="57" t="str">
        <f aca="false">IF($J241="","",IF($K241&lt;=BankCostEnvelope*'5. Scenarios'!$C$7,1,0))</f>
        <v/>
      </c>
      <c r="M241" s="57" t="str">
        <f aca="false">IF($I241="","",INDEX(BookRate,236)*(1+'5. Scenarios'!$C$10)*(INDEX(BookQ1,236)*(5-MIN(4,1+'5. Scenarios'!$C$8))/4+INDEX(BookQ2,236)*(5-MIN(4,2+'5. Scenarios'!$C$8))/4+INDEX(BookQ3,236)*(5-MIN(4,3+'5. Scenarios'!$C$8))/4+INDEX(BookQ4,236)*(5-MIN(4,4+'5. Scenarios'!$C$8))/4)*'5. Scenarios'!$C$6/(1+ProductivityDefault*('5. Scenarios'!$C$11-1))+INDEX(BookOneOff,236)*$I241)</f>
        <v/>
      </c>
      <c r="N241" s="56" t="str">
        <f aca="false">IF(INDEX(BookTitle,236)="","",INDEX(BookTotal,236)*'5. Scenarios'!$D$6/(1+ProductivityDefault*('5. Scenarios'!$D$11-1)))</f>
        <v/>
      </c>
      <c r="O241" s="57" t="str">
        <f aca="false">IF($N241="","",INDEX(BookRate,236)*(1+'5. Scenarios'!$D$10)*$N241)</f>
        <v/>
      </c>
      <c r="P241" s="57" t="str">
        <f aca="false">IF($O241="","",SUMIFS($O$6:$O$2405,$A$6:$A$2405,"&lt;="&amp;$A241))</f>
        <v/>
      </c>
      <c r="Q241" s="57" t="str">
        <f aca="false">IF($O241="","",IF($P241&lt;=BankCostEnvelope*'5. Scenarios'!$D$7,1,0))</f>
        <v/>
      </c>
      <c r="R241" s="57" t="str">
        <f aca="false">IF($N241="","",INDEX(BookRate,236)*(1+'5. Scenarios'!$D$10)*(INDEX(BookQ1,236)*(5-MIN(4,1+'5. Scenarios'!$D$8))/4+INDEX(BookQ2,236)*(5-MIN(4,2+'5. Scenarios'!$D$8))/4+INDEX(BookQ3,236)*(5-MIN(4,3+'5. Scenarios'!$D$8))/4+INDEX(BookQ4,236)*(5-MIN(4,4+'5. Scenarios'!$D$8))/4)*'5. Scenarios'!$D$6/(1+ProductivityDefault*('5. Scenarios'!$D$11-1))+INDEX(BookOneOff,236)*$N241)</f>
        <v/>
      </c>
      <c r="S241" s="56" t="str">
        <f aca="false">IF(INDEX(BookTitle,236)="","",INDEX(BookTotal,236)*'5. Scenarios'!$E$6/(1+ProductivityDefault*('5. Scenarios'!$E$11-1)))</f>
        <v/>
      </c>
      <c r="T241" s="57" t="str">
        <f aca="false">IF($S241="","",INDEX(BookRate,236)*(1+'5. Scenarios'!$E$10)*$S241)</f>
        <v/>
      </c>
      <c r="U241" s="57" t="str">
        <f aca="false">IF($T241="","",SUMIFS($T$6:$T$2405,$A$6:$A$2405,"&lt;="&amp;$A241))</f>
        <v/>
      </c>
      <c r="V241" s="57" t="str">
        <f aca="false">IF($T241="","",IF($U241&lt;=BankCostEnvelope*'5. Scenarios'!$E$7,1,0))</f>
        <v/>
      </c>
      <c r="W241" s="57" t="str">
        <f aca="false">IF($S241="","",INDEX(BookRate,236)*(1+'5. Scenarios'!$E$10)*(INDEX(BookQ1,236)*(5-MIN(4,1+'5. Scenarios'!$E$8))/4+INDEX(BookQ2,236)*(5-MIN(4,2+'5. Scenarios'!$E$8))/4+INDEX(BookQ3,236)*(5-MIN(4,3+'5. Scenarios'!$E$8))/4+INDEX(BookQ4,236)*(5-MIN(4,4+'5. Scenarios'!$E$8))/4)*'5. Scenarios'!$E$6/(1+ProductivityDefault*('5. Scenarios'!$E$11-1))+INDEX(BookOneOff,236)*$S241)</f>
        <v/>
      </c>
    </row>
    <row r="242" customFormat="false" ht="15" hidden="false" customHeight="false" outlineLevel="0" collapsed="false">
      <c r="A242" s="0" t="str">
        <f aca="false">IF(INDEX(BookTitle,237)="","",INDEX(BookKey,237))</f>
        <v/>
      </c>
      <c r="B242" s="0" t="str">
        <f aca="false">IF(INDEX(BookTitle,237)="","",INDEX(BookGroup,237))</f>
        <v/>
      </c>
      <c r="C242" s="0" t="str">
        <f aca="false">IF(INDEX(BookTitle,237)="","",INDEX(BookCategory,237))</f>
        <v/>
      </c>
      <c r="D242" s="56" t="str">
        <f aca="false">IF(INDEX(BookTitle,237)="","",INDEX(BookTotal,237)*'5. Scenarios'!$B$6/(1+ProductivityDefault*('5. Scenarios'!$B$11-1)))</f>
        <v/>
      </c>
      <c r="E242" s="57" t="str">
        <f aca="false">IF($D242="","",INDEX(BookRate,237)*(1+'5. Scenarios'!$B$10)*$D242)</f>
        <v/>
      </c>
      <c r="F242" s="57" t="str">
        <f aca="false">IF($E242="","",SUMIFS($E$6:$E$2405,$A$6:$A$2405,"&lt;="&amp;$A242))</f>
        <v/>
      </c>
      <c r="G242" s="57" t="str">
        <f aca="false">IF($E242="","",IF($F242&lt;=BankCostEnvelope*'5. Scenarios'!$B$7,1,0))</f>
        <v/>
      </c>
      <c r="H242" s="57" t="str">
        <f aca="false">IF($D242="","",INDEX(BookRate,237)*(1+'5. Scenarios'!$B$10)*(INDEX(BookQ1,237)*(5-MIN(4,1+'5. Scenarios'!$B$8))/4+INDEX(BookQ2,237)*(5-MIN(4,2+'5. Scenarios'!$B$8))/4+INDEX(BookQ3,237)*(5-MIN(4,3+'5. Scenarios'!$B$8))/4+INDEX(BookQ4,237)*(5-MIN(4,4+'5. Scenarios'!$B$8))/4)*'5. Scenarios'!$B$6/(1+ProductivityDefault*('5. Scenarios'!$B$11-1))+INDEX(BookOneOff,237)*$D242)</f>
        <v/>
      </c>
      <c r="I242" s="56" t="str">
        <f aca="false">IF(INDEX(BookTitle,237)="","",INDEX(BookTotal,237)*'5. Scenarios'!$C$6/(1+ProductivityDefault*('5. Scenarios'!$C$11-1)))</f>
        <v/>
      </c>
      <c r="J242" s="57" t="str">
        <f aca="false">IF($I242="","",INDEX(BookRate,237)*(1+'5. Scenarios'!$C$10)*$I242)</f>
        <v/>
      </c>
      <c r="K242" s="57" t="str">
        <f aca="false">IF($J242="","",SUMIFS($J$6:$J$2405,$A$6:$A$2405,"&lt;="&amp;$A242))</f>
        <v/>
      </c>
      <c r="L242" s="57" t="str">
        <f aca="false">IF($J242="","",IF($K242&lt;=BankCostEnvelope*'5. Scenarios'!$C$7,1,0))</f>
        <v/>
      </c>
      <c r="M242" s="57" t="str">
        <f aca="false">IF($I242="","",INDEX(BookRate,237)*(1+'5. Scenarios'!$C$10)*(INDEX(BookQ1,237)*(5-MIN(4,1+'5. Scenarios'!$C$8))/4+INDEX(BookQ2,237)*(5-MIN(4,2+'5. Scenarios'!$C$8))/4+INDEX(BookQ3,237)*(5-MIN(4,3+'5. Scenarios'!$C$8))/4+INDEX(BookQ4,237)*(5-MIN(4,4+'5. Scenarios'!$C$8))/4)*'5. Scenarios'!$C$6/(1+ProductivityDefault*('5. Scenarios'!$C$11-1))+INDEX(BookOneOff,237)*$I242)</f>
        <v/>
      </c>
      <c r="N242" s="56" t="str">
        <f aca="false">IF(INDEX(BookTitle,237)="","",INDEX(BookTotal,237)*'5. Scenarios'!$D$6/(1+ProductivityDefault*('5. Scenarios'!$D$11-1)))</f>
        <v/>
      </c>
      <c r="O242" s="57" t="str">
        <f aca="false">IF($N242="","",INDEX(BookRate,237)*(1+'5. Scenarios'!$D$10)*$N242)</f>
        <v/>
      </c>
      <c r="P242" s="57" t="str">
        <f aca="false">IF($O242="","",SUMIFS($O$6:$O$2405,$A$6:$A$2405,"&lt;="&amp;$A242))</f>
        <v/>
      </c>
      <c r="Q242" s="57" t="str">
        <f aca="false">IF($O242="","",IF($P242&lt;=BankCostEnvelope*'5. Scenarios'!$D$7,1,0))</f>
        <v/>
      </c>
      <c r="R242" s="57" t="str">
        <f aca="false">IF($N242="","",INDEX(BookRate,237)*(1+'5. Scenarios'!$D$10)*(INDEX(BookQ1,237)*(5-MIN(4,1+'5. Scenarios'!$D$8))/4+INDEX(BookQ2,237)*(5-MIN(4,2+'5. Scenarios'!$D$8))/4+INDEX(BookQ3,237)*(5-MIN(4,3+'5. Scenarios'!$D$8))/4+INDEX(BookQ4,237)*(5-MIN(4,4+'5. Scenarios'!$D$8))/4)*'5. Scenarios'!$D$6/(1+ProductivityDefault*('5. Scenarios'!$D$11-1))+INDEX(BookOneOff,237)*$N242)</f>
        <v/>
      </c>
      <c r="S242" s="56" t="str">
        <f aca="false">IF(INDEX(BookTitle,237)="","",INDEX(BookTotal,237)*'5. Scenarios'!$E$6/(1+ProductivityDefault*('5. Scenarios'!$E$11-1)))</f>
        <v/>
      </c>
      <c r="T242" s="57" t="str">
        <f aca="false">IF($S242="","",INDEX(BookRate,237)*(1+'5. Scenarios'!$E$10)*$S242)</f>
        <v/>
      </c>
      <c r="U242" s="57" t="str">
        <f aca="false">IF($T242="","",SUMIFS($T$6:$T$2405,$A$6:$A$2405,"&lt;="&amp;$A242))</f>
        <v/>
      </c>
      <c r="V242" s="57" t="str">
        <f aca="false">IF($T242="","",IF($U242&lt;=BankCostEnvelope*'5. Scenarios'!$E$7,1,0))</f>
        <v/>
      </c>
      <c r="W242" s="57" t="str">
        <f aca="false">IF($S242="","",INDEX(BookRate,237)*(1+'5. Scenarios'!$E$10)*(INDEX(BookQ1,237)*(5-MIN(4,1+'5. Scenarios'!$E$8))/4+INDEX(BookQ2,237)*(5-MIN(4,2+'5. Scenarios'!$E$8))/4+INDEX(BookQ3,237)*(5-MIN(4,3+'5. Scenarios'!$E$8))/4+INDEX(BookQ4,237)*(5-MIN(4,4+'5. Scenarios'!$E$8))/4)*'5. Scenarios'!$E$6/(1+ProductivityDefault*('5. Scenarios'!$E$11-1))+INDEX(BookOneOff,237)*$S242)</f>
        <v/>
      </c>
    </row>
    <row r="243" customFormat="false" ht="15" hidden="false" customHeight="false" outlineLevel="0" collapsed="false">
      <c r="A243" s="0" t="str">
        <f aca="false">IF(INDEX(BookTitle,238)="","",INDEX(BookKey,238))</f>
        <v/>
      </c>
      <c r="B243" s="0" t="str">
        <f aca="false">IF(INDEX(BookTitle,238)="","",INDEX(BookGroup,238))</f>
        <v/>
      </c>
      <c r="C243" s="0" t="str">
        <f aca="false">IF(INDEX(BookTitle,238)="","",INDEX(BookCategory,238))</f>
        <v/>
      </c>
      <c r="D243" s="56" t="str">
        <f aca="false">IF(INDEX(BookTitle,238)="","",INDEX(BookTotal,238)*'5. Scenarios'!$B$6/(1+ProductivityDefault*('5. Scenarios'!$B$11-1)))</f>
        <v/>
      </c>
      <c r="E243" s="57" t="str">
        <f aca="false">IF($D243="","",INDEX(BookRate,238)*(1+'5. Scenarios'!$B$10)*$D243)</f>
        <v/>
      </c>
      <c r="F243" s="57" t="str">
        <f aca="false">IF($E243="","",SUMIFS($E$6:$E$2405,$A$6:$A$2405,"&lt;="&amp;$A243))</f>
        <v/>
      </c>
      <c r="G243" s="57" t="str">
        <f aca="false">IF($E243="","",IF($F243&lt;=BankCostEnvelope*'5. Scenarios'!$B$7,1,0))</f>
        <v/>
      </c>
      <c r="H243" s="57" t="str">
        <f aca="false">IF($D243="","",INDEX(BookRate,238)*(1+'5. Scenarios'!$B$10)*(INDEX(BookQ1,238)*(5-MIN(4,1+'5. Scenarios'!$B$8))/4+INDEX(BookQ2,238)*(5-MIN(4,2+'5. Scenarios'!$B$8))/4+INDEX(BookQ3,238)*(5-MIN(4,3+'5. Scenarios'!$B$8))/4+INDEX(BookQ4,238)*(5-MIN(4,4+'5. Scenarios'!$B$8))/4)*'5. Scenarios'!$B$6/(1+ProductivityDefault*('5. Scenarios'!$B$11-1))+INDEX(BookOneOff,238)*$D243)</f>
        <v/>
      </c>
      <c r="I243" s="56" t="str">
        <f aca="false">IF(INDEX(BookTitle,238)="","",INDEX(BookTotal,238)*'5. Scenarios'!$C$6/(1+ProductivityDefault*('5. Scenarios'!$C$11-1)))</f>
        <v/>
      </c>
      <c r="J243" s="57" t="str">
        <f aca="false">IF($I243="","",INDEX(BookRate,238)*(1+'5. Scenarios'!$C$10)*$I243)</f>
        <v/>
      </c>
      <c r="K243" s="57" t="str">
        <f aca="false">IF($J243="","",SUMIFS($J$6:$J$2405,$A$6:$A$2405,"&lt;="&amp;$A243))</f>
        <v/>
      </c>
      <c r="L243" s="57" t="str">
        <f aca="false">IF($J243="","",IF($K243&lt;=BankCostEnvelope*'5. Scenarios'!$C$7,1,0))</f>
        <v/>
      </c>
      <c r="M243" s="57" t="str">
        <f aca="false">IF($I243="","",INDEX(BookRate,238)*(1+'5. Scenarios'!$C$10)*(INDEX(BookQ1,238)*(5-MIN(4,1+'5. Scenarios'!$C$8))/4+INDEX(BookQ2,238)*(5-MIN(4,2+'5. Scenarios'!$C$8))/4+INDEX(BookQ3,238)*(5-MIN(4,3+'5. Scenarios'!$C$8))/4+INDEX(BookQ4,238)*(5-MIN(4,4+'5. Scenarios'!$C$8))/4)*'5. Scenarios'!$C$6/(1+ProductivityDefault*('5. Scenarios'!$C$11-1))+INDEX(BookOneOff,238)*$I243)</f>
        <v/>
      </c>
      <c r="N243" s="56" t="str">
        <f aca="false">IF(INDEX(BookTitle,238)="","",INDEX(BookTotal,238)*'5. Scenarios'!$D$6/(1+ProductivityDefault*('5. Scenarios'!$D$11-1)))</f>
        <v/>
      </c>
      <c r="O243" s="57" t="str">
        <f aca="false">IF($N243="","",INDEX(BookRate,238)*(1+'5. Scenarios'!$D$10)*$N243)</f>
        <v/>
      </c>
      <c r="P243" s="57" t="str">
        <f aca="false">IF($O243="","",SUMIFS($O$6:$O$2405,$A$6:$A$2405,"&lt;="&amp;$A243))</f>
        <v/>
      </c>
      <c r="Q243" s="57" t="str">
        <f aca="false">IF($O243="","",IF($P243&lt;=BankCostEnvelope*'5. Scenarios'!$D$7,1,0))</f>
        <v/>
      </c>
      <c r="R243" s="57" t="str">
        <f aca="false">IF($N243="","",INDEX(BookRate,238)*(1+'5. Scenarios'!$D$10)*(INDEX(BookQ1,238)*(5-MIN(4,1+'5. Scenarios'!$D$8))/4+INDEX(BookQ2,238)*(5-MIN(4,2+'5. Scenarios'!$D$8))/4+INDEX(BookQ3,238)*(5-MIN(4,3+'5. Scenarios'!$D$8))/4+INDEX(BookQ4,238)*(5-MIN(4,4+'5. Scenarios'!$D$8))/4)*'5. Scenarios'!$D$6/(1+ProductivityDefault*('5. Scenarios'!$D$11-1))+INDEX(BookOneOff,238)*$N243)</f>
        <v/>
      </c>
      <c r="S243" s="56" t="str">
        <f aca="false">IF(INDEX(BookTitle,238)="","",INDEX(BookTotal,238)*'5. Scenarios'!$E$6/(1+ProductivityDefault*('5. Scenarios'!$E$11-1)))</f>
        <v/>
      </c>
      <c r="T243" s="57" t="str">
        <f aca="false">IF($S243="","",INDEX(BookRate,238)*(1+'5. Scenarios'!$E$10)*$S243)</f>
        <v/>
      </c>
      <c r="U243" s="57" t="str">
        <f aca="false">IF($T243="","",SUMIFS($T$6:$T$2405,$A$6:$A$2405,"&lt;="&amp;$A243))</f>
        <v/>
      </c>
      <c r="V243" s="57" t="str">
        <f aca="false">IF($T243="","",IF($U243&lt;=BankCostEnvelope*'5. Scenarios'!$E$7,1,0))</f>
        <v/>
      </c>
      <c r="W243" s="57" t="str">
        <f aca="false">IF($S243="","",INDEX(BookRate,238)*(1+'5. Scenarios'!$E$10)*(INDEX(BookQ1,238)*(5-MIN(4,1+'5. Scenarios'!$E$8))/4+INDEX(BookQ2,238)*(5-MIN(4,2+'5. Scenarios'!$E$8))/4+INDEX(BookQ3,238)*(5-MIN(4,3+'5. Scenarios'!$E$8))/4+INDEX(BookQ4,238)*(5-MIN(4,4+'5. Scenarios'!$E$8))/4)*'5. Scenarios'!$E$6/(1+ProductivityDefault*('5. Scenarios'!$E$11-1))+INDEX(BookOneOff,238)*$S243)</f>
        <v/>
      </c>
    </row>
    <row r="244" customFormat="false" ht="15" hidden="false" customHeight="false" outlineLevel="0" collapsed="false">
      <c r="A244" s="0" t="str">
        <f aca="false">IF(INDEX(BookTitle,239)="","",INDEX(BookKey,239))</f>
        <v/>
      </c>
      <c r="B244" s="0" t="str">
        <f aca="false">IF(INDEX(BookTitle,239)="","",INDEX(BookGroup,239))</f>
        <v/>
      </c>
      <c r="C244" s="0" t="str">
        <f aca="false">IF(INDEX(BookTitle,239)="","",INDEX(BookCategory,239))</f>
        <v/>
      </c>
      <c r="D244" s="56" t="str">
        <f aca="false">IF(INDEX(BookTitle,239)="","",INDEX(BookTotal,239)*'5. Scenarios'!$B$6/(1+ProductivityDefault*('5. Scenarios'!$B$11-1)))</f>
        <v/>
      </c>
      <c r="E244" s="57" t="str">
        <f aca="false">IF($D244="","",INDEX(BookRate,239)*(1+'5. Scenarios'!$B$10)*$D244)</f>
        <v/>
      </c>
      <c r="F244" s="57" t="str">
        <f aca="false">IF($E244="","",SUMIFS($E$6:$E$2405,$A$6:$A$2405,"&lt;="&amp;$A244))</f>
        <v/>
      </c>
      <c r="G244" s="57" t="str">
        <f aca="false">IF($E244="","",IF($F244&lt;=BankCostEnvelope*'5. Scenarios'!$B$7,1,0))</f>
        <v/>
      </c>
      <c r="H244" s="57" t="str">
        <f aca="false">IF($D244="","",INDEX(BookRate,239)*(1+'5. Scenarios'!$B$10)*(INDEX(BookQ1,239)*(5-MIN(4,1+'5. Scenarios'!$B$8))/4+INDEX(BookQ2,239)*(5-MIN(4,2+'5. Scenarios'!$B$8))/4+INDEX(BookQ3,239)*(5-MIN(4,3+'5. Scenarios'!$B$8))/4+INDEX(BookQ4,239)*(5-MIN(4,4+'5. Scenarios'!$B$8))/4)*'5. Scenarios'!$B$6/(1+ProductivityDefault*('5. Scenarios'!$B$11-1))+INDEX(BookOneOff,239)*$D244)</f>
        <v/>
      </c>
      <c r="I244" s="56" t="str">
        <f aca="false">IF(INDEX(BookTitle,239)="","",INDEX(BookTotal,239)*'5. Scenarios'!$C$6/(1+ProductivityDefault*('5. Scenarios'!$C$11-1)))</f>
        <v/>
      </c>
      <c r="J244" s="57" t="str">
        <f aca="false">IF($I244="","",INDEX(BookRate,239)*(1+'5. Scenarios'!$C$10)*$I244)</f>
        <v/>
      </c>
      <c r="K244" s="57" t="str">
        <f aca="false">IF($J244="","",SUMIFS($J$6:$J$2405,$A$6:$A$2405,"&lt;="&amp;$A244))</f>
        <v/>
      </c>
      <c r="L244" s="57" t="str">
        <f aca="false">IF($J244="","",IF($K244&lt;=BankCostEnvelope*'5. Scenarios'!$C$7,1,0))</f>
        <v/>
      </c>
      <c r="M244" s="57" t="str">
        <f aca="false">IF($I244="","",INDEX(BookRate,239)*(1+'5. Scenarios'!$C$10)*(INDEX(BookQ1,239)*(5-MIN(4,1+'5. Scenarios'!$C$8))/4+INDEX(BookQ2,239)*(5-MIN(4,2+'5. Scenarios'!$C$8))/4+INDEX(BookQ3,239)*(5-MIN(4,3+'5. Scenarios'!$C$8))/4+INDEX(BookQ4,239)*(5-MIN(4,4+'5. Scenarios'!$C$8))/4)*'5. Scenarios'!$C$6/(1+ProductivityDefault*('5. Scenarios'!$C$11-1))+INDEX(BookOneOff,239)*$I244)</f>
        <v/>
      </c>
      <c r="N244" s="56" t="str">
        <f aca="false">IF(INDEX(BookTitle,239)="","",INDEX(BookTotal,239)*'5. Scenarios'!$D$6/(1+ProductivityDefault*('5. Scenarios'!$D$11-1)))</f>
        <v/>
      </c>
      <c r="O244" s="57" t="str">
        <f aca="false">IF($N244="","",INDEX(BookRate,239)*(1+'5. Scenarios'!$D$10)*$N244)</f>
        <v/>
      </c>
      <c r="P244" s="57" t="str">
        <f aca="false">IF($O244="","",SUMIFS($O$6:$O$2405,$A$6:$A$2405,"&lt;="&amp;$A244))</f>
        <v/>
      </c>
      <c r="Q244" s="57" t="str">
        <f aca="false">IF($O244="","",IF($P244&lt;=BankCostEnvelope*'5. Scenarios'!$D$7,1,0))</f>
        <v/>
      </c>
      <c r="R244" s="57" t="str">
        <f aca="false">IF($N244="","",INDEX(BookRate,239)*(1+'5. Scenarios'!$D$10)*(INDEX(BookQ1,239)*(5-MIN(4,1+'5. Scenarios'!$D$8))/4+INDEX(BookQ2,239)*(5-MIN(4,2+'5. Scenarios'!$D$8))/4+INDEX(BookQ3,239)*(5-MIN(4,3+'5. Scenarios'!$D$8))/4+INDEX(BookQ4,239)*(5-MIN(4,4+'5. Scenarios'!$D$8))/4)*'5. Scenarios'!$D$6/(1+ProductivityDefault*('5. Scenarios'!$D$11-1))+INDEX(BookOneOff,239)*$N244)</f>
        <v/>
      </c>
      <c r="S244" s="56" t="str">
        <f aca="false">IF(INDEX(BookTitle,239)="","",INDEX(BookTotal,239)*'5. Scenarios'!$E$6/(1+ProductivityDefault*('5. Scenarios'!$E$11-1)))</f>
        <v/>
      </c>
      <c r="T244" s="57" t="str">
        <f aca="false">IF($S244="","",INDEX(BookRate,239)*(1+'5. Scenarios'!$E$10)*$S244)</f>
        <v/>
      </c>
      <c r="U244" s="57" t="str">
        <f aca="false">IF($T244="","",SUMIFS($T$6:$T$2405,$A$6:$A$2405,"&lt;="&amp;$A244))</f>
        <v/>
      </c>
      <c r="V244" s="57" t="str">
        <f aca="false">IF($T244="","",IF($U244&lt;=BankCostEnvelope*'5. Scenarios'!$E$7,1,0))</f>
        <v/>
      </c>
      <c r="W244" s="57" t="str">
        <f aca="false">IF($S244="","",INDEX(BookRate,239)*(1+'5. Scenarios'!$E$10)*(INDEX(BookQ1,239)*(5-MIN(4,1+'5. Scenarios'!$E$8))/4+INDEX(BookQ2,239)*(5-MIN(4,2+'5. Scenarios'!$E$8))/4+INDEX(BookQ3,239)*(5-MIN(4,3+'5. Scenarios'!$E$8))/4+INDEX(BookQ4,239)*(5-MIN(4,4+'5. Scenarios'!$E$8))/4)*'5. Scenarios'!$E$6/(1+ProductivityDefault*('5. Scenarios'!$E$11-1))+INDEX(BookOneOff,239)*$S244)</f>
        <v/>
      </c>
    </row>
    <row r="245" customFormat="false" ht="15" hidden="false" customHeight="false" outlineLevel="0" collapsed="false">
      <c r="A245" s="0" t="str">
        <f aca="false">IF(INDEX(BookTitle,240)="","",INDEX(BookKey,240))</f>
        <v/>
      </c>
      <c r="B245" s="0" t="str">
        <f aca="false">IF(INDEX(BookTitle,240)="","",INDEX(BookGroup,240))</f>
        <v/>
      </c>
      <c r="C245" s="0" t="str">
        <f aca="false">IF(INDEX(BookTitle,240)="","",INDEX(BookCategory,240))</f>
        <v/>
      </c>
      <c r="D245" s="56" t="str">
        <f aca="false">IF(INDEX(BookTitle,240)="","",INDEX(BookTotal,240)*'5. Scenarios'!$B$6/(1+ProductivityDefault*('5. Scenarios'!$B$11-1)))</f>
        <v/>
      </c>
      <c r="E245" s="57" t="str">
        <f aca="false">IF($D245="","",INDEX(BookRate,240)*(1+'5. Scenarios'!$B$10)*$D245)</f>
        <v/>
      </c>
      <c r="F245" s="57" t="str">
        <f aca="false">IF($E245="","",SUMIFS($E$6:$E$2405,$A$6:$A$2405,"&lt;="&amp;$A245))</f>
        <v/>
      </c>
      <c r="G245" s="57" t="str">
        <f aca="false">IF($E245="","",IF($F245&lt;=BankCostEnvelope*'5. Scenarios'!$B$7,1,0))</f>
        <v/>
      </c>
      <c r="H245" s="57" t="str">
        <f aca="false">IF($D245="","",INDEX(BookRate,240)*(1+'5. Scenarios'!$B$10)*(INDEX(BookQ1,240)*(5-MIN(4,1+'5. Scenarios'!$B$8))/4+INDEX(BookQ2,240)*(5-MIN(4,2+'5. Scenarios'!$B$8))/4+INDEX(BookQ3,240)*(5-MIN(4,3+'5. Scenarios'!$B$8))/4+INDEX(BookQ4,240)*(5-MIN(4,4+'5. Scenarios'!$B$8))/4)*'5. Scenarios'!$B$6/(1+ProductivityDefault*('5. Scenarios'!$B$11-1))+INDEX(BookOneOff,240)*$D245)</f>
        <v/>
      </c>
      <c r="I245" s="56" t="str">
        <f aca="false">IF(INDEX(BookTitle,240)="","",INDEX(BookTotal,240)*'5. Scenarios'!$C$6/(1+ProductivityDefault*('5. Scenarios'!$C$11-1)))</f>
        <v/>
      </c>
      <c r="J245" s="57" t="str">
        <f aca="false">IF($I245="","",INDEX(BookRate,240)*(1+'5. Scenarios'!$C$10)*$I245)</f>
        <v/>
      </c>
      <c r="K245" s="57" t="str">
        <f aca="false">IF($J245="","",SUMIFS($J$6:$J$2405,$A$6:$A$2405,"&lt;="&amp;$A245))</f>
        <v/>
      </c>
      <c r="L245" s="57" t="str">
        <f aca="false">IF($J245="","",IF($K245&lt;=BankCostEnvelope*'5. Scenarios'!$C$7,1,0))</f>
        <v/>
      </c>
      <c r="M245" s="57" t="str">
        <f aca="false">IF($I245="","",INDEX(BookRate,240)*(1+'5. Scenarios'!$C$10)*(INDEX(BookQ1,240)*(5-MIN(4,1+'5. Scenarios'!$C$8))/4+INDEX(BookQ2,240)*(5-MIN(4,2+'5. Scenarios'!$C$8))/4+INDEX(BookQ3,240)*(5-MIN(4,3+'5. Scenarios'!$C$8))/4+INDEX(BookQ4,240)*(5-MIN(4,4+'5. Scenarios'!$C$8))/4)*'5. Scenarios'!$C$6/(1+ProductivityDefault*('5. Scenarios'!$C$11-1))+INDEX(BookOneOff,240)*$I245)</f>
        <v/>
      </c>
      <c r="N245" s="56" t="str">
        <f aca="false">IF(INDEX(BookTitle,240)="","",INDEX(BookTotal,240)*'5. Scenarios'!$D$6/(1+ProductivityDefault*('5. Scenarios'!$D$11-1)))</f>
        <v/>
      </c>
      <c r="O245" s="57" t="str">
        <f aca="false">IF($N245="","",INDEX(BookRate,240)*(1+'5. Scenarios'!$D$10)*$N245)</f>
        <v/>
      </c>
      <c r="P245" s="57" t="str">
        <f aca="false">IF($O245="","",SUMIFS($O$6:$O$2405,$A$6:$A$2405,"&lt;="&amp;$A245))</f>
        <v/>
      </c>
      <c r="Q245" s="57" t="str">
        <f aca="false">IF($O245="","",IF($P245&lt;=BankCostEnvelope*'5. Scenarios'!$D$7,1,0))</f>
        <v/>
      </c>
      <c r="R245" s="57" t="str">
        <f aca="false">IF($N245="","",INDEX(BookRate,240)*(1+'5. Scenarios'!$D$10)*(INDEX(BookQ1,240)*(5-MIN(4,1+'5. Scenarios'!$D$8))/4+INDEX(BookQ2,240)*(5-MIN(4,2+'5. Scenarios'!$D$8))/4+INDEX(BookQ3,240)*(5-MIN(4,3+'5. Scenarios'!$D$8))/4+INDEX(BookQ4,240)*(5-MIN(4,4+'5. Scenarios'!$D$8))/4)*'5. Scenarios'!$D$6/(1+ProductivityDefault*('5. Scenarios'!$D$11-1))+INDEX(BookOneOff,240)*$N245)</f>
        <v/>
      </c>
      <c r="S245" s="56" t="str">
        <f aca="false">IF(INDEX(BookTitle,240)="","",INDEX(BookTotal,240)*'5. Scenarios'!$E$6/(1+ProductivityDefault*('5. Scenarios'!$E$11-1)))</f>
        <v/>
      </c>
      <c r="T245" s="57" t="str">
        <f aca="false">IF($S245="","",INDEX(BookRate,240)*(1+'5. Scenarios'!$E$10)*$S245)</f>
        <v/>
      </c>
      <c r="U245" s="57" t="str">
        <f aca="false">IF($T245="","",SUMIFS($T$6:$T$2405,$A$6:$A$2405,"&lt;="&amp;$A245))</f>
        <v/>
      </c>
      <c r="V245" s="57" t="str">
        <f aca="false">IF($T245="","",IF($U245&lt;=BankCostEnvelope*'5. Scenarios'!$E$7,1,0))</f>
        <v/>
      </c>
      <c r="W245" s="57" t="str">
        <f aca="false">IF($S245="","",INDEX(BookRate,240)*(1+'5. Scenarios'!$E$10)*(INDEX(BookQ1,240)*(5-MIN(4,1+'5. Scenarios'!$E$8))/4+INDEX(BookQ2,240)*(5-MIN(4,2+'5. Scenarios'!$E$8))/4+INDEX(BookQ3,240)*(5-MIN(4,3+'5. Scenarios'!$E$8))/4+INDEX(BookQ4,240)*(5-MIN(4,4+'5. Scenarios'!$E$8))/4)*'5. Scenarios'!$E$6/(1+ProductivityDefault*('5. Scenarios'!$E$11-1))+INDEX(BookOneOff,240)*$S245)</f>
        <v/>
      </c>
    </row>
    <row r="246" customFormat="false" ht="15" hidden="false" customHeight="false" outlineLevel="0" collapsed="false">
      <c r="A246" s="0" t="str">
        <f aca="false">IF(INDEX(BookTitle,241)="","",INDEX(BookKey,241))</f>
        <v/>
      </c>
      <c r="B246" s="0" t="str">
        <f aca="false">IF(INDEX(BookTitle,241)="","",INDEX(BookGroup,241))</f>
        <v/>
      </c>
      <c r="C246" s="0" t="str">
        <f aca="false">IF(INDEX(BookTitle,241)="","",INDEX(BookCategory,241))</f>
        <v/>
      </c>
      <c r="D246" s="56" t="str">
        <f aca="false">IF(INDEX(BookTitle,241)="","",INDEX(BookTotal,241)*'5. Scenarios'!$B$6/(1+ProductivityDefault*('5. Scenarios'!$B$11-1)))</f>
        <v/>
      </c>
      <c r="E246" s="57" t="str">
        <f aca="false">IF($D246="","",INDEX(BookRate,241)*(1+'5. Scenarios'!$B$10)*$D246)</f>
        <v/>
      </c>
      <c r="F246" s="57" t="str">
        <f aca="false">IF($E246="","",SUMIFS($E$6:$E$2405,$A$6:$A$2405,"&lt;="&amp;$A246))</f>
        <v/>
      </c>
      <c r="G246" s="57" t="str">
        <f aca="false">IF($E246="","",IF($F246&lt;=BankCostEnvelope*'5. Scenarios'!$B$7,1,0))</f>
        <v/>
      </c>
      <c r="H246" s="57" t="str">
        <f aca="false">IF($D246="","",INDEX(BookRate,241)*(1+'5. Scenarios'!$B$10)*(INDEX(BookQ1,241)*(5-MIN(4,1+'5. Scenarios'!$B$8))/4+INDEX(BookQ2,241)*(5-MIN(4,2+'5. Scenarios'!$B$8))/4+INDEX(BookQ3,241)*(5-MIN(4,3+'5. Scenarios'!$B$8))/4+INDEX(BookQ4,241)*(5-MIN(4,4+'5. Scenarios'!$B$8))/4)*'5. Scenarios'!$B$6/(1+ProductivityDefault*('5. Scenarios'!$B$11-1))+INDEX(BookOneOff,241)*$D246)</f>
        <v/>
      </c>
      <c r="I246" s="56" t="str">
        <f aca="false">IF(INDEX(BookTitle,241)="","",INDEX(BookTotal,241)*'5. Scenarios'!$C$6/(1+ProductivityDefault*('5. Scenarios'!$C$11-1)))</f>
        <v/>
      </c>
      <c r="J246" s="57" t="str">
        <f aca="false">IF($I246="","",INDEX(BookRate,241)*(1+'5. Scenarios'!$C$10)*$I246)</f>
        <v/>
      </c>
      <c r="K246" s="57" t="str">
        <f aca="false">IF($J246="","",SUMIFS($J$6:$J$2405,$A$6:$A$2405,"&lt;="&amp;$A246))</f>
        <v/>
      </c>
      <c r="L246" s="57" t="str">
        <f aca="false">IF($J246="","",IF($K246&lt;=BankCostEnvelope*'5. Scenarios'!$C$7,1,0))</f>
        <v/>
      </c>
      <c r="M246" s="57" t="str">
        <f aca="false">IF($I246="","",INDEX(BookRate,241)*(1+'5. Scenarios'!$C$10)*(INDEX(BookQ1,241)*(5-MIN(4,1+'5. Scenarios'!$C$8))/4+INDEX(BookQ2,241)*(5-MIN(4,2+'5. Scenarios'!$C$8))/4+INDEX(BookQ3,241)*(5-MIN(4,3+'5. Scenarios'!$C$8))/4+INDEX(BookQ4,241)*(5-MIN(4,4+'5. Scenarios'!$C$8))/4)*'5. Scenarios'!$C$6/(1+ProductivityDefault*('5. Scenarios'!$C$11-1))+INDEX(BookOneOff,241)*$I246)</f>
        <v/>
      </c>
      <c r="N246" s="56" t="str">
        <f aca="false">IF(INDEX(BookTitle,241)="","",INDEX(BookTotal,241)*'5. Scenarios'!$D$6/(1+ProductivityDefault*('5. Scenarios'!$D$11-1)))</f>
        <v/>
      </c>
      <c r="O246" s="57" t="str">
        <f aca="false">IF($N246="","",INDEX(BookRate,241)*(1+'5. Scenarios'!$D$10)*$N246)</f>
        <v/>
      </c>
      <c r="P246" s="57" t="str">
        <f aca="false">IF($O246="","",SUMIFS($O$6:$O$2405,$A$6:$A$2405,"&lt;="&amp;$A246))</f>
        <v/>
      </c>
      <c r="Q246" s="57" t="str">
        <f aca="false">IF($O246="","",IF($P246&lt;=BankCostEnvelope*'5. Scenarios'!$D$7,1,0))</f>
        <v/>
      </c>
      <c r="R246" s="57" t="str">
        <f aca="false">IF($N246="","",INDEX(BookRate,241)*(1+'5. Scenarios'!$D$10)*(INDEX(BookQ1,241)*(5-MIN(4,1+'5. Scenarios'!$D$8))/4+INDEX(BookQ2,241)*(5-MIN(4,2+'5. Scenarios'!$D$8))/4+INDEX(BookQ3,241)*(5-MIN(4,3+'5. Scenarios'!$D$8))/4+INDEX(BookQ4,241)*(5-MIN(4,4+'5. Scenarios'!$D$8))/4)*'5. Scenarios'!$D$6/(1+ProductivityDefault*('5. Scenarios'!$D$11-1))+INDEX(BookOneOff,241)*$N246)</f>
        <v/>
      </c>
      <c r="S246" s="56" t="str">
        <f aca="false">IF(INDEX(BookTitle,241)="","",INDEX(BookTotal,241)*'5. Scenarios'!$E$6/(1+ProductivityDefault*('5. Scenarios'!$E$11-1)))</f>
        <v/>
      </c>
      <c r="T246" s="57" t="str">
        <f aca="false">IF($S246="","",INDEX(BookRate,241)*(1+'5. Scenarios'!$E$10)*$S246)</f>
        <v/>
      </c>
      <c r="U246" s="57" t="str">
        <f aca="false">IF($T246="","",SUMIFS($T$6:$T$2405,$A$6:$A$2405,"&lt;="&amp;$A246))</f>
        <v/>
      </c>
      <c r="V246" s="57" t="str">
        <f aca="false">IF($T246="","",IF($U246&lt;=BankCostEnvelope*'5. Scenarios'!$E$7,1,0))</f>
        <v/>
      </c>
      <c r="W246" s="57" t="str">
        <f aca="false">IF($S246="","",INDEX(BookRate,241)*(1+'5. Scenarios'!$E$10)*(INDEX(BookQ1,241)*(5-MIN(4,1+'5. Scenarios'!$E$8))/4+INDEX(BookQ2,241)*(5-MIN(4,2+'5. Scenarios'!$E$8))/4+INDEX(BookQ3,241)*(5-MIN(4,3+'5. Scenarios'!$E$8))/4+INDEX(BookQ4,241)*(5-MIN(4,4+'5. Scenarios'!$E$8))/4)*'5. Scenarios'!$E$6/(1+ProductivityDefault*('5. Scenarios'!$E$11-1))+INDEX(BookOneOff,241)*$S246)</f>
        <v/>
      </c>
    </row>
    <row r="247" customFormat="false" ht="15" hidden="false" customHeight="false" outlineLevel="0" collapsed="false">
      <c r="A247" s="0" t="str">
        <f aca="false">IF(INDEX(BookTitle,242)="","",INDEX(BookKey,242))</f>
        <v/>
      </c>
      <c r="B247" s="0" t="str">
        <f aca="false">IF(INDEX(BookTitle,242)="","",INDEX(BookGroup,242))</f>
        <v/>
      </c>
      <c r="C247" s="0" t="str">
        <f aca="false">IF(INDEX(BookTitle,242)="","",INDEX(BookCategory,242))</f>
        <v/>
      </c>
      <c r="D247" s="56" t="str">
        <f aca="false">IF(INDEX(BookTitle,242)="","",INDEX(BookTotal,242)*'5. Scenarios'!$B$6/(1+ProductivityDefault*('5. Scenarios'!$B$11-1)))</f>
        <v/>
      </c>
      <c r="E247" s="57" t="str">
        <f aca="false">IF($D247="","",INDEX(BookRate,242)*(1+'5. Scenarios'!$B$10)*$D247)</f>
        <v/>
      </c>
      <c r="F247" s="57" t="str">
        <f aca="false">IF($E247="","",SUMIFS($E$6:$E$2405,$A$6:$A$2405,"&lt;="&amp;$A247))</f>
        <v/>
      </c>
      <c r="G247" s="57" t="str">
        <f aca="false">IF($E247="","",IF($F247&lt;=BankCostEnvelope*'5. Scenarios'!$B$7,1,0))</f>
        <v/>
      </c>
      <c r="H247" s="57" t="str">
        <f aca="false">IF($D247="","",INDEX(BookRate,242)*(1+'5. Scenarios'!$B$10)*(INDEX(BookQ1,242)*(5-MIN(4,1+'5. Scenarios'!$B$8))/4+INDEX(BookQ2,242)*(5-MIN(4,2+'5. Scenarios'!$B$8))/4+INDEX(BookQ3,242)*(5-MIN(4,3+'5. Scenarios'!$B$8))/4+INDEX(BookQ4,242)*(5-MIN(4,4+'5. Scenarios'!$B$8))/4)*'5. Scenarios'!$B$6/(1+ProductivityDefault*('5. Scenarios'!$B$11-1))+INDEX(BookOneOff,242)*$D247)</f>
        <v/>
      </c>
      <c r="I247" s="56" t="str">
        <f aca="false">IF(INDEX(BookTitle,242)="","",INDEX(BookTotal,242)*'5. Scenarios'!$C$6/(1+ProductivityDefault*('5. Scenarios'!$C$11-1)))</f>
        <v/>
      </c>
      <c r="J247" s="57" t="str">
        <f aca="false">IF($I247="","",INDEX(BookRate,242)*(1+'5. Scenarios'!$C$10)*$I247)</f>
        <v/>
      </c>
      <c r="K247" s="57" t="str">
        <f aca="false">IF($J247="","",SUMIFS($J$6:$J$2405,$A$6:$A$2405,"&lt;="&amp;$A247))</f>
        <v/>
      </c>
      <c r="L247" s="57" t="str">
        <f aca="false">IF($J247="","",IF($K247&lt;=BankCostEnvelope*'5. Scenarios'!$C$7,1,0))</f>
        <v/>
      </c>
      <c r="M247" s="57" t="str">
        <f aca="false">IF($I247="","",INDEX(BookRate,242)*(1+'5. Scenarios'!$C$10)*(INDEX(BookQ1,242)*(5-MIN(4,1+'5. Scenarios'!$C$8))/4+INDEX(BookQ2,242)*(5-MIN(4,2+'5. Scenarios'!$C$8))/4+INDEX(BookQ3,242)*(5-MIN(4,3+'5. Scenarios'!$C$8))/4+INDEX(BookQ4,242)*(5-MIN(4,4+'5. Scenarios'!$C$8))/4)*'5. Scenarios'!$C$6/(1+ProductivityDefault*('5. Scenarios'!$C$11-1))+INDEX(BookOneOff,242)*$I247)</f>
        <v/>
      </c>
      <c r="N247" s="56" t="str">
        <f aca="false">IF(INDEX(BookTitle,242)="","",INDEX(BookTotal,242)*'5. Scenarios'!$D$6/(1+ProductivityDefault*('5. Scenarios'!$D$11-1)))</f>
        <v/>
      </c>
      <c r="O247" s="57" t="str">
        <f aca="false">IF($N247="","",INDEX(BookRate,242)*(1+'5. Scenarios'!$D$10)*$N247)</f>
        <v/>
      </c>
      <c r="P247" s="57" t="str">
        <f aca="false">IF($O247="","",SUMIFS($O$6:$O$2405,$A$6:$A$2405,"&lt;="&amp;$A247))</f>
        <v/>
      </c>
      <c r="Q247" s="57" t="str">
        <f aca="false">IF($O247="","",IF($P247&lt;=BankCostEnvelope*'5. Scenarios'!$D$7,1,0))</f>
        <v/>
      </c>
      <c r="R247" s="57" t="str">
        <f aca="false">IF($N247="","",INDEX(BookRate,242)*(1+'5. Scenarios'!$D$10)*(INDEX(BookQ1,242)*(5-MIN(4,1+'5. Scenarios'!$D$8))/4+INDEX(BookQ2,242)*(5-MIN(4,2+'5. Scenarios'!$D$8))/4+INDEX(BookQ3,242)*(5-MIN(4,3+'5. Scenarios'!$D$8))/4+INDEX(BookQ4,242)*(5-MIN(4,4+'5. Scenarios'!$D$8))/4)*'5. Scenarios'!$D$6/(1+ProductivityDefault*('5. Scenarios'!$D$11-1))+INDEX(BookOneOff,242)*$N247)</f>
        <v/>
      </c>
      <c r="S247" s="56" t="str">
        <f aca="false">IF(INDEX(BookTitle,242)="","",INDEX(BookTotal,242)*'5. Scenarios'!$E$6/(1+ProductivityDefault*('5. Scenarios'!$E$11-1)))</f>
        <v/>
      </c>
      <c r="T247" s="57" t="str">
        <f aca="false">IF($S247="","",INDEX(BookRate,242)*(1+'5. Scenarios'!$E$10)*$S247)</f>
        <v/>
      </c>
      <c r="U247" s="57" t="str">
        <f aca="false">IF($T247="","",SUMIFS($T$6:$T$2405,$A$6:$A$2405,"&lt;="&amp;$A247))</f>
        <v/>
      </c>
      <c r="V247" s="57" t="str">
        <f aca="false">IF($T247="","",IF($U247&lt;=BankCostEnvelope*'5. Scenarios'!$E$7,1,0))</f>
        <v/>
      </c>
      <c r="W247" s="57" t="str">
        <f aca="false">IF($S247="","",INDEX(BookRate,242)*(1+'5. Scenarios'!$E$10)*(INDEX(BookQ1,242)*(5-MIN(4,1+'5. Scenarios'!$E$8))/4+INDEX(BookQ2,242)*(5-MIN(4,2+'5. Scenarios'!$E$8))/4+INDEX(BookQ3,242)*(5-MIN(4,3+'5. Scenarios'!$E$8))/4+INDEX(BookQ4,242)*(5-MIN(4,4+'5. Scenarios'!$E$8))/4)*'5. Scenarios'!$E$6/(1+ProductivityDefault*('5. Scenarios'!$E$11-1))+INDEX(BookOneOff,242)*$S247)</f>
        <v/>
      </c>
    </row>
    <row r="248" customFormat="false" ht="15" hidden="false" customHeight="false" outlineLevel="0" collapsed="false">
      <c r="A248" s="0" t="str">
        <f aca="false">IF(INDEX(BookTitle,243)="","",INDEX(BookKey,243))</f>
        <v/>
      </c>
      <c r="B248" s="0" t="str">
        <f aca="false">IF(INDEX(BookTitle,243)="","",INDEX(BookGroup,243))</f>
        <v/>
      </c>
      <c r="C248" s="0" t="str">
        <f aca="false">IF(INDEX(BookTitle,243)="","",INDEX(BookCategory,243))</f>
        <v/>
      </c>
      <c r="D248" s="56" t="str">
        <f aca="false">IF(INDEX(BookTitle,243)="","",INDEX(BookTotal,243)*'5. Scenarios'!$B$6/(1+ProductivityDefault*('5. Scenarios'!$B$11-1)))</f>
        <v/>
      </c>
      <c r="E248" s="57" t="str">
        <f aca="false">IF($D248="","",INDEX(BookRate,243)*(1+'5. Scenarios'!$B$10)*$D248)</f>
        <v/>
      </c>
      <c r="F248" s="57" t="str">
        <f aca="false">IF($E248="","",SUMIFS($E$6:$E$2405,$A$6:$A$2405,"&lt;="&amp;$A248))</f>
        <v/>
      </c>
      <c r="G248" s="57" t="str">
        <f aca="false">IF($E248="","",IF($F248&lt;=BankCostEnvelope*'5. Scenarios'!$B$7,1,0))</f>
        <v/>
      </c>
      <c r="H248" s="57" t="str">
        <f aca="false">IF($D248="","",INDEX(BookRate,243)*(1+'5. Scenarios'!$B$10)*(INDEX(BookQ1,243)*(5-MIN(4,1+'5. Scenarios'!$B$8))/4+INDEX(BookQ2,243)*(5-MIN(4,2+'5. Scenarios'!$B$8))/4+INDEX(BookQ3,243)*(5-MIN(4,3+'5. Scenarios'!$B$8))/4+INDEX(BookQ4,243)*(5-MIN(4,4+'5. Scenarios'!$B$8))/4)*'5. Scenarios'!$B$6/(1+ProductivityDefault*('5. Scenarios'!$B$11-1))+INDEX(BookOneOff,243)*$D248)</f>
        <v/>
      </c>
      <c r="I248" s="56" t="str">
        <f aca="false">IF(INDEX(BookTitle,243)="","",INDEX(BookTotal,243)*'5. Scenarios'!$C$6/(1+ProductivityDefault*('5. Scenarios'!$C$11-1)))</f>
        <v/>
      </c>
      <c r="J248" s="57" t="str">
        <f aca="false">IF($I248="","",INDEX(BookRate,243)*(1+'5. Scenarios'!$C$10)*$I248)</f>
        <v/>
      </c>
      <c r="K248" s="57" t="str">
        <f aca="false">IF($J248="","",SUMIFS($J$6:$J$2405,$A$6:$A$2405,"&lt;="&amp;$A248))</f>
        <v/>
      </c>
      <c r="L248" s="57" t="str">
        <f aca="false">IF($J248="","",IF($K248&lt;=BankCostEnvelope*'5. Scenarios'!$C$7,1,0))</f>
        <v/>
      </c>
      <c r="M248" s="57" t="str">
        <f aca="false">IF($I248="","",INDEX(BookRate,243)*(1+'5. Scenarios'!$C$10)*(INDEX(BookQ1,243)*(5-MIN(4,1+'5. Scenarios'!$C$8))/4+INDEX(BookQ2,243)*(5-MIN(4,2+'5. Scenarios'!$C$8))/4+INDEX(BookQ3,243)*(5-MIN(4,3+'5. Scenarios'!$C$8))/4+INDEX(BookQ4,243)*(5-MIN(4,4+'5. Scenarios'!$C$8))/4)*'5. Scenarios'!$C$6/(1+ProductivityDefault*('5. Scenarios'!$C$11-1))+INDEX(BookOneOff,243)*$I248)</f>
        <v/>
      </c>
      <c r="N248" s="56" t="str">
        <f aca="false">IF(INDEX(BookTitle,243)="","",INDEX(BookTotal,243)*'5. Scenarios'!$D$6/(1+ProductivityDefault*('5. Scenarios'!$D$11-1)))</f>
        <v/>
      </c>
      <c r="O248" s="57" t="str">
        <f aca="false">IF($N248="","",INDEX(BookRate,243)*(1+'5. Scenarios'!$D$10)*$N248)</f>
        <v/>
      </c>
      <c r="P248" s="57" t="str">
        <f aca="false">IF($O248="","",SUMIFS($O$6:$O$2405,$A$6:$A$2405,"&lt;="&amp;$A248))</f>
        <v/>
      </c>
      <c r="Q248" s="57" t="str">
        <f aca="false">IF($O248="","",IF($P248&lt;=BankCostEnvelope*'5. Scenarios'!$D$7,1,0))</f>
        <v/>
      </c>
      <c r="R248" s="57" t="str">
        <f aca="false">IF($N248="","",INDEX(BookRate,243)*(1+'5. Scenarios'!$D$10)*(INDEX(BookQ1,243)*(5-MIN(4,1+'5. Scenarios'!$D$8))/4+INDEX(BookQ2,243)*(5-MIN(4,2+'5. Scenarios'!$D$8))/4+INDEX(BookQ3,243)*(5-MIN(4,3+'5. Scenarios'!$D$8))/4+INDEX(BookQ4,243)*(5-MIN(4,4+'5. Scenarios'!$D$8))/4)*'5. Scenarios'!$D$6/(1+ProductivityDefault*('5. Scenarios'!$D$11-1))+INDEX(BookOneOff,243)*$N248)</f>
        <v/>
      </c>
      <c r="S248" s="56" t="str">
        <f aca="false">IF(INDEX(BookTitle,243)="","",INDEX(BookTotal,243)*'5. Scenarios'!$E$6/(1+ProductivityDefault*('5. Scenarios'!$E$11-1)))</f>
        <v/>
      </c>
      <c r="T248" s="57" t="str">
        <f aca="false">IF($S248="","",INDEX(BookRate,243)*(1+'5. Scenarios'!$E$10)*$S248)</f>
        <v/>
      </c>
      <c r="U248" s="57" t="str">
        <f aca="false">IF($T248="","",SUMIFS($T$6:$T$2405,$A$6:$A$2405,"&lt;="&amp;$A248))</f>
        <v/>
      </c>
      <c r="V248" s="57" t="str">
        <f aca="false">IF($T248="","",IF($U248&lt;=BankCostEnvelope*'5. Scenarios'!$E$7,1,0))</f>
        <v/>
      </c>
      <c r="W248" s="57" t="str">
        <f aca="false">IF($S248="","",INDEX(BookRate,243)*(1+'5. Scenarios'!$E$10)*(INDEX(BookQ1,243)*(5-MIN(4,1+'5. Scenarios'!$E$8))/4+INDEX(BookQ2,243)*(5-MIN(4,2+'5. Scenarios'!$E$8))/4+INDEX(BookQ3,243)*(5-MIN(4,3+'5. Scenarios'!$E$8))/4+INDEX(BookQ4,243)*(5-MIN(4,4+'5. Scenarios'!$E$8))/4)*'5. Scenarios'!$E$6/(1+ProductivityDefault*('5. Scenarios'!$E$11-1))+INDEX(BookOneOff,243)*$S248)</f>
        <v/>
      </c>
    </row>
    <row r="249" customFormat="false" ht="15" hidden="false" customHeight="false" outlineLevel="0" collapsed="false">
      <c r="A249" s="0" t="str">
        <f aca="false">IF(INDEX(BookTitle,244)="","",INDEX(BookKey,244))</f>
        <v/>
      </c>
      <c r="B249" s="0" t="str">
        <f aca="false">IF(INDEX(BookTitle,244)="","",INDEX(BookGroup,244))</f>
        <v/>
      </c>
      <c r="C249" s="0" t="str">
        <f aca="false">IF(INDEX(BookTitle,244)="","",INDEX(BookCategory,244))</f>
        <v/>
      </c>
      <c r="D249" s="56" t="str">
        <f aca="false">IF(INDEX(BookTitle,244)="","",INDEX(BookTotal,244)*'5. Scenarios'!$B$6/(1+ProductivityDefault*('5. Scenarios'!$B$11-1)))</f>
        <v/>
      </c>
      <c r="E249" s="57" t="str">
        <f aca="false">IF($D249="","",INDEX(BookRate,244)*(1+'5. Scenarios'!$B$10)*$D249)</f>
        <v/>
      </c>
      <c r="F249" s="57" t="str">
        <f aca="false">IF($E249="","",SUMIFS($E$6:$E$2405,$A$6:$A$2405,"&lt;="&amp;$A249))</f>
        <v/>
      </c>
      <c r="G249" s="57" t="str">
        <f aca="false">IF($E249="","",IF($F249&lt;=BankCostEnvelope*'5. Scenarios'!$B$7,1,0))</f>
        <v/>
      </c>
      <c r="H249" s="57" t="str">
        <f aca="false">IF($D249="","",INDEX(BookRate,244)*(1+'5. Scenarios'!$B$10)*(INDEX(BookQ1,244)*(5-MIN(4,1+'5. Scenarios'!$B$8))/4+INDEX(BookQ2,244)*(5-MIN(4,2+'5. Scenarios'!$B$8))/4+INDEX(BookQ3,244)*(5-MIN(4,3+'5. Scenarios'!$B$8))/4+INDEX(BookQ4,244)*(5-MIN(4,4+'5. Scenarios'!$B$8))/4)*'5. Scenarios'!$B$6/(1+ProductivityDefault*('5. Scenarios'!$B$11-1))+INDEX(BookOneOff,244)*$D249)</f>
        <v/>
      </c>
      <c r="I249" s="56" t="str">
        <f aca="false">IF(INDEX(BookTitle,244)="","",INDEX(BookTotal,244)*'5. Scenarios'!$C$6/(1+ProductivityDefault*('5. Scenarios'!$C$11-1)))</f>
        <v/>
      </c>
      <c r="J249" s="57" t="str">
        <f aca="false">IF($I249="","",INDEX(BookRate,244)*(1+'5. Scenarios'!$C$10)*$I249)</f>
        <v/>
      </c>
      <c r="K249" s="57" t="str">
        <f aca="false">IF($J249="","",SUMIFS($J$6:$J$2405,$A$6:$A$2405,"&lt;="&amp;$A249))</f>
        <v/>
      </c>
      <c r="L249" s="57" t="str">
        <f aca="false">IF($J249="","",IF($K249&lt;=BankCostEnvelope*'5. Scenarios'!$C$7,1,0))</f>
        <v/>
      </c>
      <c r="M249" s="57" t="str">
        <f aca="false">IF($I249="","",INDEX(BookRate,244)*(1+'5. Scenarios'!$C$10)*(INDEX(BookQ1,244)*(5-MIN(4,1+'5. Scenarios'!$C$8))/4+INDEX(BookQ2,244)*(5-MIN(4,2+'5. Scenarios'!$C$8))/4+INDEX(BookQ3,244)*(5-MIN(4,3+'5. Scenarios'!$C$8))/4+INDEX(BookQ4,244)*(5-MIN(4,4+'5. Scenarios'!$C$8))/4)*'5. Scenarios'!$C$6/(1+ProductivityDefault*('5. Scenarios'!$C$11-1))+INDEX(BookOneOff,244)*$I249)</f>
        <v/>
      </c>
      <c r="N249" s="56" t="str">
        <f aca="false">IF(INDEX(BookTitle,244)="","",INDEX(BookTotal,244)*'5. Scenarios'!$D$6/(1+ProductivityDefault*('5. Scenarios'!$D$11-1)))</f>
        <v/>
      </c>
      <c r="O249" s="57" t="str">
        <f aca="false">IF($N249="","",INDEX(BookRate,244)*(1+'5. Scenarios'!$D$10)*$N249)</f>
        <v/>
      </c>
      <c r="P249" s="57" t="str">
        <f aca="false">IF($O249="","",SUMIFS($O$6:$O$2405,$A$6:$A$2405,"&lt;="&amp;$A249))</f>
        <v/>
      </c>
      <c r="Q249" s="57" t="str">
        <f aca="false">IF($O249="","",IF($P249&lt;=BankCostEnvelope*'5. Scenarios'!$D$7,1,0))</f>
        <v/>
      </c>
      <c r="R249" s="57" t="str">
        <f aca="false">IF($N249="","",INDEX(BookRate,244)*(1+'5. Scenarios'!$D$10)*(INDEX(BookQ1,244)*(5-MIN(4,1+'5. Scenarios'!$D$8))/4+INDEX(BookQ2,244)*(5-MIN(4,2+'5. Scenarios'!$D$8))/4+INDEX(BookQ3,244)*(5-MIN(4,3+'5. Scenarios'!$D$8))/4+INDEX(BookQ4,244)*(5-MIN(4,4+'5. Scenarios'!$D$8))/4)*'5. Scenarios'!$D$6/(1+ProductivityDefault*('5. Scenarios'!$D$11-1))+INDEX(BookOneOff,244)*$N249)</f>
        <v/>
      </c>
      <c r="S249" s="56" t="str">
        <f aca="false">IF(INDEX(BookTitle,244)="","",INDEX(BookTotal,244)*'5. Scenarios'!$E$6/(1+ProductivityDefault*('5. Scenarios'!$E$11-1)))</f>
        <v/>
      </c>
      <c r="T249" s="57" t="str">
        <f aca="false">IF($S249="","",INDEX(BookRate,244)*(1+'5. Scenarios'!$E$10)*$S249)</f>
        <v/>
      </c>
      <c r="U249" s="57" t="str">
        <f aca="false">IF($T249="","",SUMIFS($T$6:$T$2405,$A$6:$A$2405,"&lt;="&amp;$A249))</f>
        <v/>
      </c>
      <c r="V249" s="57" t="str">
        <f aca="false">IF($T249="","",IF($U249&lt;=BankCostEnvelope*'5. Scenarios'!$E$7,1,0))</f>
        <v/>
      </c>
      <c r="W249" s="57" t="str">
        <f aca="false">IF($S249="","",INDEX(BookRate,244)*(1+'5. Scenarios'!$E$10)*(INDEX(BookQ1,244)*(5-MIN(4,1+'5. Scenarios'!$E$8))/4+INDEX(BookQ2,244)*(5-MIN(4,2+'5. Scenarios'!$E$8))/4+INDEX(BookQ3,244)*(5-MIN(4,3+'5. Scenarios'!$E$8))/4+INDEX(BookQ4,244)*(5-MIN(4,4+'5. Scenarios'!$E$8))/4)*'5. Scenarios'!$E$6/(1+ProductivityDefault*('5. Scenarios'!$E$11-1))+INDEX(BookOneOff,244)*$S249)</f>
        <v/>
      </c>
    </row>
    <row r="250" customFormat="false" ht="15" hidden="false" customHeight="false" outlineLevel="0" collapsed="false">
      <c r="A250" s="0" t="str">
        <f aca="false">IF(INDEX(BookTitle,245)="","",INDEX(BookKey,245))</f>
        <v/>
      </c>
      <c r="B250" s="0" t="str">
        <f aca="false">IF(INDEX(BookTitle,245)="","",INDEX(BookGroup,245))</f>
        <v/>
      </c>
      <c r="C250" s="0" t="str">
        <f aca="false">IF(INDEX(BookTitle,245)="","",INDEX(BookCategory,245))</f>
        <v/>
      </c>
      <c r="D250" s="56" t="str">
        <f aca="false">IF(INDEX(BookTitle,245)="","",INDEX(BookTotal,245)*'5. Scenarios'!$B$6/(1+ProductivityDefault*('5. Scenarios'!$B$11-1)))</f>
        <v/>
      </c>
      <c r="E250" s="57" t="str">
        <f aca="false">IF($D250="","",INDEX(BookRate,245)*(1+'5. Scenarios'!$B$10)*$D250)</f>
        <v/>
      </c>
      <c r="F250" s="57" t="str">
        <f aca="false">IF($E250="","",SUMIFS($E$6:$E$2405,$A$6:$A$2405,"&lt;="&amp;$A250))</f>
        <v/>
      </c>
      <c r="G250" s="57" t="str">
        <f aca="false">IF($E250="","",IF($F250&lt;=BankCostEnvelope*'5. Scenarios'!$B$7,1,0))</f>
        <v/>
      </c>
      <c r="H250" s="57" t="str">
        <f aca="false">IF($D250="","",INDEX(BookRate,245)*(1+'5. Scenarios'!$B$10)*(INDEX(BookQ1,245)*(5-MIN(4,1+'5. Scenarios'!$B$8))/4+INDEX(BookQ2,245)*(5-MIN(4,2+'5. Scenarios'!$B$8))/4+INDEX(BookQ3,245)*(5-MIN(4,3+'5. Scenarios'!$B$8))/4+INDEX(BookQ4,245)*(5-MIN(4,4+'5. Scenarios'!$B$8))/4)*'5. Scenarios'!$B$6/(1+ProductivityDefault*('5. Scenarios'!$B$11-1))+INDEX(BookOneOff,245)*$D250)</f>
        <v/>
      </c>
      <c r="I250" s="56" t="str">
        <f aca="false">IF(INDEX(BookTitle,245)="","",INDEX(BookTotal,245)*'5. Scenarios'!$C$6/(1+ProductivityDefault*('5. Scenarios'!$C$11-1)))</f>
        <v/>
      </c>
      <c r="J250" s="57" t="str">
        <f aca="false">IF($I250="","",INDEX(BookRate,245)*(1+'5. Scenarios'!$C$10)*$I250)</f>
        <v/>
      </c>
      <c r="K250" s="57" t="str">
        <f aca="false">IF($J250="","",SUMIFS($J$6:$J$2405,$A$6:$A$2405,"&lt;="&amp;$A250))</f>
        <v/>
      </c>
      <c r="L250" s="57" t="str">
        <f aca="false">IF($J250="","",IF($K250&lt;=BankCostEnvelope*'5. Scenarios'!$C$7,1,0))</f>
        <v/>
      </c>
      <c r="M250" s="57" t="str">
        <f aca="false">IF($I250="","",INDEX(BookRate,245)*(1+'5. Scenarios'!$C$10)*(INDEX(BookQ1,245)*(5-MIN(4,1+'5. Scenarios'!$C$8))/4+INDEX(BookQ2,245)*(5-MIN(4,2+'5. Scenarios'!$C$8))/4+INDEX(BookQ3,245)*(5-MIN(4,3+'5. Scenarios'!$C$8))/4+INDEX(BookQ4,245)*(5-MIN(4,4+'5. Scenarios'!$C$8))/4)*'5. Scenarios'!$C$6/(1+ProductivityDefault*('5. Scenarios'!$C$11-1))+INDEX(BookOneOff,245)*$I250)</f>
        <v/>
      </c>
      <c r="N250" s="56" t="str">
        <f aca="false">IF(INDEX(BookTitle,245)="","",INDEX(BookTotal,245)*'5. Scenarios'!$D$6/(1+ProductivityDefault*('5. Scenarios'!$D$11-1)))</f>
        <v/>
      </c>
      <c r="O250" s="57" t="str">
        <f aca="false">IF($N250="","",INDEX(BookRate,245)*(1+'5. Scenarios'!$D$10)*$N250)</f>
        <v/>
      </c>
      <c r="P250" s="57" t="str">
        <f aca="false">IF($O250="","",SUMIFS($O$6:$O$2405,$A$6:$A$2405,"&lt;="&amp;$A250))</f>
        <v/>
      </c>
      <c r="Q250" s="57" t="str">
        <f aca="false">IF($O250="","",IF($P250&lt;=BankCostEnvelope*'5. Scenarios'!$D$7,1,0))</f>
        <v/>
      </c>
      <c r="R250" s="57" t="str">
        <f aca="false">IF($N250="","",INDEX(BookRate,245)*(1+'5. Scenarios'!$D$10)*(INDEX(BookQ1,245)*(5-MIN(4,1+'5. Scenarios'!$D$8))/4+INDEX(BookQ2,245)*(5-MIN(4,2+'5. Scenarios'!$D$8))/4+INDEX(BookQ3,245)*(5-MIN(4,3+'5. Scenarios'!$D$8))/4+INDEX(BookQ4,245)*(5-MIN(4,4+'5. Scenarios'!$D$8))/4)*'5. Scenarios'!$D$6/(1+ProductivityDefault*('5. Scenarios'!$D$11-1))+INDEX(BookOneOff,245)*$N250)</f>
        <v/>
      </c>
      <c r="S250" s="56" t="str">
        <f aca="false">IF(INDEX(BookTitle,245)="","",INDEX(BookTotal,245)*'5. Scenarios'!$E$6/(1+ProductivityDefault*('5. Scenarios'!$E$11-1)))</f>
        <v/>
      </c>
      <c r="T250" s="57" t="str">
        <f aca="false">IF($S250="","",INDEX(BookRate,245)*(1+'5. Scenarios'!$E$10)*$S250)</f>
        <v/>
      </c>
      <c r="U250" s="57" t="str">
        <f aca="false">IF($T250="","",SUMIFS($T$6:$T$2405,$A$6:$A$2405,"&lt;="&amp;$A250))</f>
        <v/>
      </c>
      <c r="V250" s="57" t="str">
        <f aca="false">IF($T250="","",IF($U250&lt;=BankCostEnvelope*'5. Scenarios'!$E$7,1,0))</f>
        <v/>
      </c>
      <c r="W250" s="57" t="str">
        <f aca="false">IF($S250="","",INDEX(BookRate,245)*(1+'5. Scenarios'!$E$10)*(INDEX(BookQ1,245)*(5-MIN(4,1+'5. Scenarios'!$E$8))/4+INDEX(BookQ2,245)*(5-MIN(4,2+'5. Scenarios'!$E$8))/4+INDEX(BookQ3,245)*(5-MIN(4,3+'5. Scenarios'!$E$8))/4+INDEX(BookQ4,245)*(5-MIN(4,4+'5. Scenarios'!$E$8))/4)*'5. Scenarios'!$E$6/(1+ProductivityDefault*('5. Scenarios'!$E$11-1))+INDEX(BookOneOff,245)*$S250)</f>
        <v/>
      </c>
    </row>
    <row r="251" customFormat="false" ht="15" hidden="false" customHeight="false" outlineLevel="0" collapsed="false">
      <c r="A251" s="0" t="str">
        <f aca="false">IF(INDEX(BookTitle,246)="","",INDEX(BookKey,246))</f>
        <v/>
      </c>
      <c r="B251" s="0" t="str">
        <f aca="false">IF(INDEX(BookTitle,246)="","",INDEX(BookGroup,246))</f>
        <v/>
      </c>
      <c r="C251" s="0" t="str">
        <f aca="false">IF(INDEX(BookTitle,246)="","",INDEX(BookCategory,246))</f>
        <v/>
      </c>
      <c r="D251" s="56" t="str">
        <f aca="false">IF(INDEX(BookTitle,246)="","",INDEX(BookTotal,246)*'5. Scenarios'!$B$6/(1+ProductivityDefault*('5. Scenarios'!$B$11-1)))</f>
        <v/>
      </c>
      <c r="E251" s="57" t="str">
        <f aca="false">IF($D251="","",INDEX(BookRate,246)*(1+'5. Scenarios'!$B$10)*$D251)</f>
        <v/>
      </c>
      <c r="F251" s="57" t="str">
        <f aca="false">IF($E251="","",SUMIFS($E$6:$E$2405,$A$6:$A$2405,"&lt;="&amp;$A251))</f>
        <v/>
      </c>
      <c r="G251" s="57" t="str">
        <f aca="false">IF($E251="","",IF($F251&lt;=BankCostEnvelope*'5. Scenarios'!$B$7,1,0))</f>
        <v/>
      </c>
      <c r="H251" s="57" t="str">
        <f aca="false">IF($D251="","",INDEX(BookRate,246)*(1+'5. Scenarios'!$B$10)*(INDEX(BookQ1,246)*(5-MIN(4,1+'5. Scenarios'!$B$8))/4+INDEX(BookQ2,246)*(5-MIN(4,2+'5. Scenarios'!$B$8))/4+INDEX(BookQ3,246)*(5-MIN(4,3+'5. Scenarios'!$B$8))/4+INDEX(BookQ4,246)*(5-MIN(4,4+'5. Scenarios'!$B$8))/4)*'5. Scenarios'!$B$6/(1+ProductivityDefault*('5. Scenarios'!$B$11-1))+INDEX(BookOneOff,246)*$D251)</f>
        <v/>
      </c>
      <c r="I251" s="56" t="str">
        <f aca="false">IF(INDEX(BookTitle,246)="","",INDEX(BookTotal,246)*'5. Scenarios'!$C$6/(1+ProductivityDefault*('5. Scenarios'!$C$11-1)))</f>
        <v/>
      </c>
      <c r="J251" s="57" t="str">
        <f aca="false">IF($I251="","",INDEX(BookRate,246)*(1+'5. Scenarios'!$C$10)*$I251)</f>
        <v/>
      </c>
      <c r="K251" s="57" t="str">
        <f aca="false">IF($J251="","",SUMIFS($J$6:$J$2405,$A$6:$A$2405,"&lt;="&amp;$A251))</f>
        <v/>
      </c>
      <c r="L251" s="57" t="str">
        <f aca="false">IF($J251="","",IF($K251&lt;=BankCostEnvelope*'5. Scenarios'!$C$7,1,0))</f>
        <v/>
      </c>
      <c r="M251" s="57" t="str">
        <f aca="false">IF($I251="","",INDEX(BookRate,246)*(1+'5. Scenarios'!$C$10)*(INDEX(BookQ1,246)*(5-MIN(4,1+'5. Scenarios'!$C$8))/4+INDEX(BookQ2,246)*(5-MIN(4,2+'5. Scenarios'!$C$8))/4+INDEX(BookQ3,246)*(5-MIN(4,3+'5. Scenarios'!$C$8))/4+INDEX(BookQ4,246)*(5-MIN(4,4+'5. Scenarios'!$C$8))/4)*'5. Scenarios'!$C$6/(1+ProductivityDefault*('5. Scenarios'!$C$11-1))+INDEX(BookOneOff,246)*$I251)</f>
        <v/>
      </c>
      <c r="N251" s="56" t="str">
        <f aca="false">IF(INDEX(BookTitle,246)="","",INDEX(BookTotal,246)*'5. Scenarios'!$D$6/(1+ProductivityDefault*('5. Scenarios'!$D$11-1)))</f>
        <v/>
      </c>
      <c r="O251" s="57" t="str">
        <f aca="false">IF($N251="","",INDEX(BookRate,246)*(1+'5. Scenarios'!$D$10)*$N251)</f>
        <v/>
      </c>
      <c r="P251" s="57" t="str">
        <f aca="false">IF($O251="","",SUMIFS($O$6:$O$2405,$A$6:$A$2405,"&lt;="&amp;$A251))</f>
        <v/>
      </c>
      <c r="Q251" s="57" t="str">
        <f aca="false">IF($O251="","",IF($P251&lt;=BankCostEnvelope*'5. Scenarios'!$D$7,1,0))</f>
        <v/>
      </c>
      <c r="R251" s="57" t="str">
        <f aca="false">IF($N251="","",INDEX(BookRate,246)*(1+'5. Scenarios'!$D$10)*(INDEX(BookQ1,246)*(5-MIN(4,1+'5. Scenarios'!$D$8))/4+INDEX(BookQ2,246)*(5-MIN(4,2+'5. Scenarios'!$D$8))/4+INDEX(BookQ3,246)*(5-MIN(4,3+'5. Scenarios'!$D$8))/4+INDEX(BookQ4,246)*(5-MIN(4,4+'5. Scenarios'!$D$8))/4)*'5. Scenarios'!$D$6/(1+ProductivityDefault*('5. Scenarios'!$D$11-1))+INDEX(BookOneOff,246)*$N251)</f>
        <v/>
      </c>
      <c r="S251" s="56" t="str">
        <f aca="false">IF(INDEX(BookTitle,246)="","",INDEX(BookTotal,246)*'5. Scenarios'!$E$6/(1+ProductivityDefault*('5. Scenarios'!$E$11-1)))</f>
        <v/>
      </c>
      <c r="T251" s="57" t="str">
        <f aca="false">IF($S251="","",INDEX(BookRate,246)*(1+'5. Scenarios'!$E$10)*$S251)</f>
        <v/>
      </c>
      <c r="U251" s="57" t="str">
        <f aca="false">IF($T251="","",SUMIFS($T$6:$T$2405,$A$6:$A$2405,"&lt;="&amp;$A251))</f>
        <v/>
      </c>
      <c r="V251" s="57" t="str">
        <f aca="false">IF($T251="","",IF($U251&lt;=BankCostEnvelope*'5. Scenarios'!$E$7,1,0))</f>
        <v/>
      </c>
      <c r="W251" s="57" t="str">
        <f aca="false">IF($S251="","",INDEX(BookRate,246)*(1+'5. Scenarios'!$E$10)*(INDEX(BookQ1,246)*(5-MIN(4,1+'5. Scenarios'!$E$8))/4+INDEX(BookQ2,246)*(5-MIN(4,2+'5. Scenarios'!$E$8))/4+INDEX(BookQ3,246)*(5-MIN(4,3+'5. Scenarios'!$E$8))/4+INDEX(BookQ4,246)*(5-MIN(4,4+'5. Scenarios'!$E$8))/4)*'5. Scenarios'!$E$6/(1+ProductivityDefault*('5. Scenarios'!$E$11-1))+INDEX(BookOneOff,246)*$S251)</f>
        <v/>
      </c>
    </row>
    <row r="252" customFormat="false" ht="15" hidden="false" customHeight="false" outlineLevel="0" collapsed="false">
      <c r="A252" s="0" t="str">
        <f aca="false">IF(INDEX(BookTitle,247)="","",INDEX(BookKey,247))</f>
        <v/>
      </c>
      <c r="B252" s="0" t="str">
        <f aca="false">IF(INDEX(BookTitle,247)="","",INDEX(BookGroup,247))</f>
        <v/>
      </c>
      <c r="C252" s="0" t="str">
        <f aca="false">IF(INDEX(BookTitle,247)="","",INDEX(BookCategory,247))</f>
        <v/>
      </c>
      <c r="D252" s="56" t="str">
        <f aca="false">IF(INDEX(BookTitle,247)="","",INDEX(BookTotal,247)*'5. Scenarios'!$B$6/(1+ProductivityDefault*('5. Scenarios'!$B$11-1)))</f>
        <v/>
      </c>
      <c r="E252" s="57" t="str">
        <f aca="false">IF($D252="","",INDEX(BookRate,247)*(1+'5. Scenarios'!$B$10)*$D252)</f>
        <v/>
      </c>
      <c r="F252" s="57" t="str">
        <f aca="false">IF($E252="","",SUMIFS($E$6:$E$2405,$A$6:$A$2405,"&lt;="&amp;$A252))</f>
        <v/>
      </c>
      <c r="G252" s="57" t="str">
        <f aca="false">IF($E252="","",IF($F252&lt;=BankCostEnvelope*'5. Scenarios'!$B$7,1,0))</f>
        <v/>
      </c>
      <c r="H252" s="57" t="str">
        <f aca="false">IF($D252="","",INDEX(BookRate,247)*(1+'5. Scenarios'!$B$10)*(INDEX(BookQ1,247)*(5-MIN(4,1+'5. Scenarios'!$B$8))/4+INDEX(BookQ2,247)*(5-MIN(4,2+'5. Scenarios'!$B$8))/4+INDEX(BookQ3,247)*(5-MIN(4,3+'5. Scenarios'!$B$8))/4+INDEX(BookQ4,247)*(5-MIN(4,4+'5. Scenarios'!$B$8))/4)*'5. Scenarios'!$B$6/(1+ProductivityDefault*('5. Scenarios'!$B$11-1))+INDEX(BookOneOff,247)*$D252)</f>
        <v/>
      </c>
      <c r="I252" s="56" t="str">
        <f aca="false">IF(INDEX(BookTitle,247)="","",INDEX(BookTotal,247)*'5. Scenarios'!$C$6/(1+ProductivityDefault*('5. Scenarios'!$C$11-1)))</f>
        <v/>
      </c>
      <c r="J252" s="57" t="str">
        <f aca="false">IF($I252="","",INDEX(BookRate,247)*(1+'5. Scenarios'!$C$10)*$I252)</f>
        <v/>
      </c>
      <c r="K252" s="57" t="str">
        <f aca="false">IF($J252="","",SUMIFS($J$6:$J$2405,$A$6:$A$2405,"&lt;="&amp;$A252))</f>
        <v/>
      </c>
      <c r="L252" s="57" t="str">
        <f aca="false">IF($J252="","",IF($K252&lt;=BankCostEnvelope*'5. Scenarios'!$C$7,1,0))</f>
        <v/>
      </c>
      <c r="M252" s="57" t="str">
        <f aca="false">IF($I252="","",INDEX(BookRate,247)*(1+'5. Scenarios'!$C$10)*(INDEX(BookQ1,247)*(5-MIN(4,1+'5. Scenarios'!$C$8))/4+INDEX(BookQ2,247)*(5-MIN(4,2+'5. Scenarios'!$C$8))/4+INDEX(BookQ3,247)*(5-MIN(4,3+'5. Scenarios'!$C$8))/4+INDEX(BookQ4,247)*(5-MIN(4,4+'5. Scenarios'!$C$8))/4)*'5. Scenarios'!$C$6/(1+ProductivityDefault*('5. Scenarios'!$C$11-1))+INDEX(BookOneOff,247)*$I252)</f>
        <v/>
      </c>
      <c r="N252" s="56" t="str">
        <f aca="false">IF(INDEX(BookTitle,247)="","",INDEX(BookTotal,247)*'5. Scenarios'!$D$6/(1+ProductivityDefault*('5. Scenarios'!$D$11-1)))</f>
        <v/>
      </c>
      <c r="O252" s="57" t="str">
        <f aca="false">IF($N252="","",INDEX(BookRate,247)*(1+'5. Scenarios'!$D$10)*$N252)</f>
        <v/>
      </c>
      <c r="P252" s="57" t="str">
        <f aca="false">IF($O252="","",SUMIFS($O$6:$O$2405,$A$6:$A$2405,"&lt;="&amp;$A252))</f>
        <v/>
      </c>
      <c r="Q252" s="57" t="str">
        <f aca="false">IF($O252="","",IF($P252&lt;=BankCostEnvelope*'5. Scenarios'!$D$7,1,0))</f>
        <v/>
      </c>
      <c r="R252" s="57" t="str">
        <f aca="false">IF($N252="","",INDEX(BookRate,247)*(1+'5. Scenarios'!$D$10)*(INDEX(BookQ1,247)*(5-MIN(4,1+'5. Scenarios'!$D$8))/4+INDEX(BookQ2,247)*(5-MIN(4,2+'5. Scenarios'!$D$8))/4+INDEX(BookQ3,247)*(5-MIN(4,3+'5. Scenarios'!$D$8))/4+INDEX(BookQ4,247)*(5-MIN(4,4+'5. Scenarios'!$D$8))/4)*'5. Scenarios'!$D$6/(1+ProductivityDefault*('5. Scenarios'!$D$11-1))+INDEX(BookOneOff,247)*$N252)</f>
        <v/>
      </c>
      <c r="S252" s="56" t="str">
        <f aca="false">IF(INDEX(BookTitle,247)="","",INDEX(BookTotal,247)*'5. Scenarios'!$E$6/(1+ProductivityDefault*('5. Scenarios'!$E$11-1)))</f>
        <v/>
      </c>
      <c r="T252" s="57" t="str">
        <f aca="false">IF($S252="","",INDEX(BookRate,247)*(1+'5. Scenarios'!$E$10)*$S252)</f>
        <v/>
      </c>
      <c r="U252" s="57" t="str">
        <f aca="false">IF($T252="","",SUMIFS($T$6:$T$2405,$A$6:$A$2405,"&lt;="&amp;$A252))</f>
        <v/>
      </c>
      <c r="V252" s="57" t="str">
        <f aca="false">IF($T252="","",IF($U252&lt;=BankCostEnvelope*'5. Scenarios'!$E$7,1,0))</f>
        <v/>
      </c>
      <c r="W252" s="57" t="str">
        <f aca="false">IF($S252="","",INDEX(BookRate,247)*(1+'5. Scenarios'!$E$10)*(INDEX(BookQ1,247)*(5-MIN(4,1+'5. Scenarios'!$E$8))/4+INDEX(BookQ2,247)*(5-MIN(4,2+'5. Scenarios'!$E$8))/4+INDEX(BookQ3,247)*(5-MIN(4,3+'5. Scenarios'!$E$8))/4+INDEX(BookQ4,247)*(5-MIN(4,4+'5. Scenarios'!$E$8))/4)*'5. Scenarios'!$E$6/(1+ProductivityDefault*('5. Scenarios'!$E$11-1))+INDEX(BookOneOff,247)*$S252)</f>
        <v/>
      </c>
    </row>
    <row r="253" customFormat="false" ht="15" hidden="false" customHeight="false" outlineLevel="0" collapsed="false">
      <c r="A253" s="0" t="str">
        <f aca="false">IF(INDEX(BookTitle,248)="","",INDEX(BookKey,248))</f>
        <v/>
      </c>
      <c r="B253" s="0" t="str">
        <f aca="false">IF(INDEX(BookTitle,248)="","",INDEX(BookGroup,248))</f>
        <v/>
      </c>
      <c r="C253" s="0" t="str">
        <f aca="false">IF(INDEX(BookTitle,248)="","",INDEX(BookCategory,248))</f>
        <v/>
      </c>
      <c r="D253" s="56" t="str">
        <f aca="false">IF(INDEX(BookTitle,248)="","",INDEX(BookTotal,248)*'5. Scenarios'!$B$6/(1+ProductivityDefault*('5. Scenarios'!$B$11-1)))</f>
        <v/>
      </c>
      <c r="E253" s="57" t="str">
        <f aca="false">IF($D253="","",INDEX(BookRate,248)*(1+'5. Scenarios'!$B$10)*$D253)</f>
        <v/>
      </c>
      <c r="F253" s="57" t="str">
        <f aca="false">IF($E253="","",SUMIFS($E$6:$E$2405,$A$6:$A$2405,"&lt;="&amp;$A253))</f>
        <v/>
      </c>
      <c r="G253" s="57" t="str">
        <f aca="false">IF($E253="","",IF($F253&lt;=BankCostEnvelope*'5. Scenarios'!$B$7,1,0))</f>
        <v/>
      </c>
      <c r="H253" s="57" t="str">
        <f aca="false">IF($D253="","",INDEX(BookRate,248)*(1+'5. Scenarios'!$B$10)*(INDEX(BookQ1,248)*(5-MIN(4,1+'5. Scenarios'!$B$8))/4+INDEX(BookQ2,248)*(5-MIN(4,2+'5. Scenarios'!$B$8))/4+INDEX(BookQ3,248)*(5-MIN(4,3+'5. Scenarios'!$B$8))/4+INDEX(BookQ4,248)*(5-MIN(4,4+'5. Scenarios'!$B$8))/4)*'5. Scenarios'!$B$6/(1+ProductivityDefault*('5. Scenarios'!$B$11-1))+INDEX(BookOneOff,248)*$D253)</f>
        <v/>
      </c>
      <c r="I253" s="56" t="str">
        <f aca="false">IF(INDEX(BookTitle,248)="","",INDEX(BookTotal,248)*'5. Scenarios'!$C$6/(1+ProductivityDefault*('5. Scenarios'!$C$11-1)))</f>
        <v/>
      </c>
      <c r="J253" s="57" t="str">
        <f aca="false">IF($I253="","",INDEX(BookRate,248)*(1+'5. Scenarios'!$C$10)*$I253)</f>
        <v/>
      </c>
      <c r="K253" s="57" t="str">
        <f aca="false">IF($J253="","",SUMIFS($J$6:$J$2405,$A$6:$A$2405,"&lt;="&amp;$A253))</f>
        <v/>
      </c>
      <c r="L253" s="57" t="str">
        <f aca="false">IF($J253="","",IF($K253&lt;=BankCostEnvelope*'5. Scenarios'!$C$7,1,0))</f>
        <v/>
      </c>
      <c r="M253" s="57" t="str">
        <f aca="false">IF($I253="","",INDEX(BookRate,248)*(1+'5. Scenarios'!$C$10)*(INDEX(BookQ1,248)*(5-MIN(4,1+'5. Scenarios'!$C$8))/4+INDEX(BookQ2,248)*(5-MIN(4,2+'5. Scenarios'!$C$8))/4+INDEX(BookQ3,248)*(5-MIN(4,3+'5. Scenarios'!$C$8))/4+INDEX(BookQ4,248)*(5-MIN(4,4+'5. Scenarios'!$C$8))/4)*'5. Scenarios'!$C$6/(1+ProductivityDefault*('5. Scenarios'!$C$11-1))+INDEX(BookOneOff,248)*$I253)</f>
        <v/>
      </c>
      <c r="N253" s="56" t="str">
        <f aca="false">IF(INDEX(BookTitle,248)="","",INDEX(BookTotal,248)*'5. Scenarios'!$D$6/(1+ProductivityDefault*('5. Scenarios'!$D$11-1)))</f>
        <v/>
      </c>
      <c r="O253" s="57" t="str">
        <f aca="false">IF($N253="","",INDEX(BookRate,248)*(1+'5. Scenarios'!$D$10)*$N253)</f>
        <v/>
      </c>
      <c r="P253" s="57" t="str">
        <f aca="false">IF($O253="","",SUMIFS($O$6:$O$2405,$A$6:$A$2405,"&lt;="&amp;$A253))</f>
        <v/>
      </c>
      <c r="Q253" s="57" t="str">
        <f aca="false">IF($O253="","",IF($P253&lt;=BankCostEnvelope*'5. Scenarios'!$D$7,1,0))</f>
        <v/>
      </c>
      <c r="R253" s="57" t="str">
        <f aca="false">IF($N253="","",INDEX(BookRate,248)*(1+'5. Scenarios'!$D$10)*(INDEX(BookQ1,248)*(5-MIN(4,1+'5. Scenarios'!$D$8))/4+INDEX(BookQ2,248)*(5-MIN(4,2+'5. Scenarios'!$D$8))/4+INDEX(BookQ3,248)*(5-MIN(4,3+'5. Scenarios'!$D$8))/4+INDEX(BookQ4,248)*(5-MIN(4,4+'5. Scenarios'!$D$8))/4)*'5. Scenarios'!$D$6/(1+ProductivityDefault*('5. Scenarios'!$D$11-1))+INDEX(BookOneOff,248)*$N253)</f>
        <v/>
      </c>
      <c r="S253" s="56" t="str">
        <f aca="false">IF(INDEX(BookTitle,248)="","",INDEX(BookTotal,248)*'5. Scenarios'!$E$6/(1+ProductivityDefault*('5. Scenarios'!$E$11-1)))</f>
        <v/>
      </c>
      <c r="T253" s="57" t="str">
        <f aca="false">IF($S253="","",INDEX(BookRate,248)*(1+'5. Scenarios'!$E$10)*$S253)</f>
        <v/>
      </c>
      <c r="U253" s="57" t="str">
        <f aca="false">IF($T253="","",SUMIFS($T$6:$T$2405,$A$6:$A$2405,"&lt;="&amp;$A253))</f>
        <v/>
      </c>
      <c r="V253" s="57" t="str">
        <f aca="false">IF($T253="","",IF($U253&lt;=BankCostEnvelope*'5. Scenarios'!$E$7,1,0))</f>
        <v/>
      </c>
      <c r="W253" s="57" t="str">
        <f aca="false">IF($S253="","",INDEX(BookRate,248)*(1+'5. Scenarios'!$E$10)*(INDEX(BookQ1,248)*(5-MIN(4,1+'5. Scenarios'!$E$8))/4+INDEX(BookQ2,248)*(5-MIN(4,2+'5. Scenarios'!$E$8))/4+INDEX(BookQ3,248)*(5-MIN(4,3+'5. Scenarios'!$E$8))/4+INDEX(BookQ4,248)*(5-MIN(4,4+'5. Scenarios'!$E$8))/4)*'5. Scenarios'!$E$6/(1+ProductivityDefault*('5. Scenarios'!$E$11-1))+INDEX(BookOneOff,248)*$S253)</f>
        <v/>
      </c>
    </row>
    <row r="254" customFormat="false" ht="15" hidden="false" customHeight="false" outlineLevel="0" collapsed="false">
      <c r="A254" s="0" t="str">
        <f aca="false">IF(INDEX(BookTitle,249)="","",INDEX(BookKey,249))</f>
        <v/>
      </c>
      <c r="B254" s="0" t="str">
        <f aca="false">IF(INDEX(BookTitle,249)="","",INDEX(BookGroup,249))</f>
        <v/>
      </c>
      <c r="C254" s="0" t="str">
        <f aca="false">IF(INDEX(BookTitle,249)="","",INDEX(BookCategory,249))</f>
        <v/>
      </c>
      <c r="D254" s="56" t="str">
        <f aca="false">IF(INDEX(BookTitle,249)="","",INDEX(BookTotal,249)*'5. Scenarios'!$B$6/(1+ProductivityDefault*('5. Scenarios'!$B$11-1)))</f>
        <v/>
      </c>
      <c r="E254" s="57" t="str">
        <f aca="false">IF($D254="","",INDEX(BookRate,249)*(1+'5. Scenarios'!$B$10)*$D254)</f>
        <v/>
      </c>
      <c r="F254" s="57" t="str">
        <f aca="false">IF($E254="","",SUMIFS($E$6:$E$2405,$A$6:$A$2405,"&lt;="&amp;$A254))</f>
        <v/>
      </c>
      <c r="G254" s="57" t="str">
        <f aca="false">IF($E254="","",IF($F254&lt;=BankCostEnvelope*'5. Scenarios'!$B$7,1,0))</f>
        <v/>
      </c>
      <c r="H254" s="57" t="str">
        <f aca="false">IF($D254="","",INDEX(BookRate,249)*(1+'5. Scenarios'!$B$10)*(INDEX(BookQ1,249)*(5-MIN(4,1+'5. Scenarios'!$B$8))/4+INDEX(BookQ2,249)*(5-MIN(4,2+'5. Scenarios'!$B$8))/4+INDEX(BookQ3,249)*(5-MIN(4,3+'5. Scenarios'!$B$8))/4+INDEX(BookQ4,249)*(5-MIN(4,4+'5. Scenarios'!$B$8))/4)*'5. Scenarios'!$B$6/(1+ProductivityDefault*('5. Scenarios'!$B$11-1))+INDEX(BookOneOff,249)*$D254)</f>
        <v/>
      </c>
      <c r="I254" s="56" t="str">
        <f aca="false">IF(INDEX(BookTitle,249)="","",INDEX(BookTotal,249)*'5. Scenarios'!$C$6/(1+ProductivityDefault*('5. Scenarios'!$C$11-1)))</f>
        <v/>
      </c>
      <c r="J254" s="57" t="str">
        <f aca="false">IF($I254="","",INDEX(BookRate,249)*(1+'5. Scenarios'!$C$10)*$I254)</f>
        <v/>
      </c>
      <c r="K254" s="57" t="str">
        <f aca="false">IF($J254="","",SUMIFS($J$6:$J$2405,$A$6:$A$2405,"&lt;="&amp;$A254))</f>
        <v/>
      </c>
      <c r="L254" s="57" t="str">
        <f aca="false">IF($J254="","",IF($K254&lt;=BankCostEnvelope*'5. Scenarios'!$C$7,1,0))</f>
        <v/>
      </c>
      <c r="M254" s="57" t="str">
        <f aca="false">IF($I254="","",INDEX(BookRate,249)*(1+'5. Scenarios'!$C$10)*(INDEX(BookQ1,249)*(5-MIN(4,1+'5. Scenarios'!$C$8))/4+INDEX(BookQ2,249)*(5-MIN(4,2+'5. Scenarios'!$C$8))/4+INDEX(BookQ3,249)*(5-MIN(4,3+'5. Scenarios'!$C$8))/4+INDEX(BookQ4,249)*(5-MIN(4,4+'5. Scenarios'!$C$8))/4)*'5. Scenarios'!$C$6/(1+ProductivityDefault*('5. Scenarios'!$C$11-1))+INDEX(BookOneOff,249)*$I254)</f>
        <v/>
      </c>
      <c r="N254" s="56" t="str">
        <f aca="false">IF(INDEX(BookTitle,249)="","",INDEX(BookTotal,249)*'5. Scenarios'!$D$6/(1+ProductivityDefault*('5. Scenarios'!$D$11-1)))</f>
        <v/>
      </c>
      <c r="O254" s="57" t="str">
        <f aca="false">IF($N254="","",INDEX(BookRate,249)*(1+'5. Scenarios'!$D$10)*$N254)</f>
        <v/>
      </c>
      <c r="P254" s="57" t="str">
        <f aca="false">IF($O254="","",SUMIFS($O$6:$O$2405,$A$6:$A$2405,"&lt;="&amp;$A254))</f>
        <v/>
      </c>
      <c r="Q254" s="57" t="str">
        <f aca="false">IF($O254="","",IF($P254&lt;=BankCostEnvelope*'5. Scenarios'!$D$7,1,0))</f>
        <v/>
      </c>
      <c r="R254" s="57" t="str">
        <f aca="false">IF($N254="","",INDEX(BookRate,249)*(1+'5. Scenarios'!$D$10)*(INDEX(BookQ1,249)*(5-MIN(4,1+'5. Scenarios'!$D$8))/4+INDEX(BookQ2,249)*(5-MIN(4,2+'5. Scenarios'!$D$8))/4+INDEX(BookQ3,249)*(5-MIN(4,3+'5. Scenarios'!$D$8))/4+INDEX(BookQ4,249)*(5-MIN(4,4+'5. Scenarios'!$D$8))/4)*'5. Scenarios'!$D$6/(1+ProductivityDefault*('5. Scenarios'!$D$11-1))+INDEX(BookOneOff,249)*$N254)</f>
        <v/>
      </c>
      <c r="S254" s="56" t="str">
        <f aca="false">IF(INDEX(BookTitle,249)="","",INDEX(BookTotal,249)*'5. Scenarios'!$E$6/(1+ProductivityDefault*('5. Scenarios'!$E$11-1)))</f>
        <v/>
      </c>
      <c r="T254" s="57" t="str">
        <f aca="false">IF($S254="","",INDEX(BookRate,249)*(1+'5. Scenarios'!$E$10)*$S254)</f>
        <v/>
      </c>
      <c r="U254" s="57" t="str">
        <f aca="false">IF($T254="","",SUMIFS($T$6:$T$2405,$A$6:$A$2405,"&lt;="&amp;$A254))</f>
        <v/>
      </c>
      <c r="V254" s="57" t="str">
        <f aca="false">IF($T254="","",IF($U254&lt;=BankCostEnvelope*'5. Scenarios'!$E$7,1,0))</f>
        <v/>
      </c>
      <c r="W254" s="57" t="str">
        <f aca="false">IF($S254="","",INDEX(BookRate,249)*(1+'5. Scenarios'!$E$10)*(INDEX(BookQ1,249)*(5-MIN(4,1+'5. Scenarios'!$E$8))/4+INDEX(BookQ2,249)*(5-MIN(4,2+'5. Scenarios'!$E$8))/4+INDEX(BookQ3,249)*(5-MIN(4,3+'5. Scenarios'!$E$8))/4+INDEX(BookQ4,249)*(5-MIN(4,4+'5. Scenarios'!$E$8))/4)*'5. Scenarios'!$E$6/(1+ProductivityDefault*('5. Scenarios'!$E$11-1))+INDEX(BookOneOff,249)*$S254)</f>
        <v/>
      </c>
    </row>
    <row r="255" customFormat="false" ht="15" hidden="false" customHeight="false" outlineLevel="0" collapsed="false">
      <c r="A255" s="0" t="str">
        <f aca="false">IF(INDEX(BookTitle,250)="","",INDEX(BookKey,250))</f>
        <v/>
      </c>
      <c r="B255" s="0" t="str">
        <f aca="false">IF(INDEX(BookTitle,250)="","",INDEX(BookGroup,250))</f>
        <v/>
      </c>
      <c r="C255" s="0" t="str">
        <f aca="false">IF(INDEX(BookTitle,250)="","",INDEX(BookCategory,250))</f>
        <v/>
      </c>
      <c r="D255" s="56" t="str">
        <f aca="false">IF(INDEX(BookTitle,250)="","",INDEX(BookTotal,250)*'5. Scenarios'!$B$6/(1+ProductivityDefault*('5. Scenarios'!$B$11-1)))</f>
        <v/>
      </c>
      <c r="E255" s="57" t="str">
        <f aca="false">IF($D255="","",INDEX(BookRate,250)*(1+'5. Scenarios'!$B$10)*$D255)</f>
        <v/>
      </c>
      <c r="F255" s="57" t="str">
        <f aca="false">IF($E255="","",SUMIFS($E$6:$E$2405,$A$6:$A$2405,"&lt;="&amp;$A255))</f>
        <v/>
      </c>
      <c r="G255" s="57" t="str">
        <f aca="false">IF($E255="","",IF($F255&lt;=BankCostEnvelope*'5. Scenarios'!$B$7,1,0))</f>
        <v/>
      </c>
      <c r="H255" s="57" t="str">
        <f aca="false">IF($D255="","",INDEX(BookRate,250)*(1+'5. Scenarios'!$B$10)*(INDEX(BookQ1,250)*(5-MIN(4,1+'5. Scenarios'!$B$8))/4+INDEX(BookQ2,250)*(5-MIN(4,2+'5. Scenarios'!$B$8))/4+INDEX(BookQ3,250)*(5-MIN(4,3+'5. Scenarios'!$B$8))/4+INDEX(BookQ4,250)*(5-MIN(4,4+'5. Scenarios'!$B$8))/4)*'5. Scenarios'!$B$6/(1+ProductivityDefault*('5. Scenarios'!$B$11-1))+INDEX(BookOneOff,250)*$D255)</f>
        <v/>
      </c>
      <c r="I255" s="56" t="str">
        <f aca="false">IF(INDEX(BookTitle,250)="","",INDEX(BookTotal,250)*'5. Scenarios'!$C$6/(1+ProductivityDefault*('5. Scenarios'!$C$11-1)))</f>
        <v/>
      </c>
      <c r="J255" s="57" t="str">
        <f aca="false">IF($I255="","",INDEX(BookRate,250)*(1+'5. Scenarios'!$C$10)*$I255)</f>
        <v/>
      </c>
      <c r="K255" s="57" t="str">
        <f aca="false">IF($J255="","",SUMIFS($J$6:$J$2405,$A$6:$A$2405,"&lt;="&amp;$A255))</f>
        <v/>
      </c>
      <c r="L255" s="57" t="str">
        <f aca="false">IF($J255="","",IF($K255&lt;=BankCostEnvelope*'5. Scenarios'!$C$7,1,0))</f>
        <v/>
      </c>
      <c r="M255" s="57" t="str">
        <f aca="false">IF($I255="","",INDEX(BookRate,250)*(1+'5. Scenarios'!$C$10)*(INDEX(BookQ1,250)*(5-MIN(4,1+'5. Scenarios'!$C$8))/4+INDEX(BookQ2,250)*(5-MIN(4,2+'5. Scenarios'!$C$8))/4+INDEX(BookQ3,250)*(5-MIN(4,3+'5. Scenarios'!$C$8))/4+INDEX(BookQ4,250)*(5-MIN(4,4+'5. Scenarios'!$C$8))/4)*'5. Scenarios'!$C$6/(1+ProductivityDefault*('5. Scenarios'!$C$11-1))+INDEX(BookOneOff,250)*$I255)</f>
        <v/>
      </c>
      <c r="N255" s="56" t="str">
        <f aca="false">IF(INDEX(BookTitle,250)="","",INDEX(BookTotal,250)*'5. Scenarios'!$D$6/(1+ProductivityDefault*('5. Scenarios'!$D$11-1)))</f>
        <v/>
      </c>
      <c r="O255" s="57" t="str">
        <f aca="false">IF($N255="","",INDEX(BookRate,250)*(1+'5. Scenarios'!$D$10)*$N255)</f>
        <v/>
      </c>
      <c r="P255" s="57" t="str">
        <f aca="false">IF($O255="","",SUMIFS($O$6:$O$2405,$A$6:$A$2405,"&lt;="&amp;$A255))</f>
        <v/>
      </c>
      <c r="Q255" s="57" t="str">
        <f aca="false">IF($O255="","",IF($P255&lt;=BankCostEnvelope*'5. Scenarios'!$D$7,1,0))</f>
        <v/>
      </c>
      <c r="R255" s="57" t="str">
        <f aca="false">IF($N255="","",INDEX(BookRate,250)*(1+'5. Scenarios'!$D$10)*(INDEX(BookQ1,250)*(5-MIN(4,1+'5. Scenarios'!$D$8))/4+INDEX(BookQ2,250)*(5-MIN(4,2+'5. Scenarios'!$D$8))/4+INDEX(BookQ3,250)*(5-MIN(4,3+'5. Scenarios'!$D$8))/4+INDEX(BookQ4,250)*(5-MIN(4,4+'5. Scenarios'!$D$8))/4)*'5. Scenarios'!$D$6/(1+ProductivityDefault*('5. Scenarios'!$D$11-1))+INDEX(BookOneOff,250)*$N255)</f>
        <v/>
      </c>
      <c r="S255" s="56" t="str">
        <f aca="false">IF(INDEX(BookTitle,250)="","",INDEX(BookTotal,250)*'5. Scenarios'!$E$6/(1+ProductivityDefault*('5. Scenarios'!$E$11-1)))</f>
        <v/>
      </c>
      <c r="T255" s="57" t="str">
        <f aca="false">IF($S255="","",INDEX(BookRate,250)*(1+'5. Scenarios'!$E$10)*$S255)</f>
        <v/>
      </c>
      <c r="U255" s="57" t="str">
        <f aca="false">IF($T255="","",SUMIFS($T$6:$T$2405,$A$6:$A$2405,"&lt;="&amp;$A255))</f>
        <v/>
      </c>
      <c r="V255" s="57" t="str">
        <f aca="false">IF($T255="","",IF($U255&lt;=BankCostEnvelope*'5. Scenarios'!$E$7,1,0))</f>
        <v/>
      </c>
      <c r="W255" s="57" t="str">
        <f aca="false">IF($S255="","",INDEX(BookRate,250)*(1+'5. Scenarios'!$E$10)*(INDEX(BookQ1,250)*(5-MIN(4,1+'5. Scenarios'!$E$8))/4+INDEX(BookQ2,250)*(5-MIN(4,2+'5. Scenarios'!$E$8))/4+INDEX(BookQ3,250)*(5-MIN(4,3+'5. Scenarios'!$E$8))/4+INDEX(BookQ4,250)*(5-MIN(4,4+'5. Scenarios'!$E$8))/4)*'5. Scenarios'!$E$6/(1+ProductivityDefault*('5. Scenarios'!$E$11-1))+INDEX(BookOneOff,250)*$S255)</f>
        <v/>
      </c>
    </row>
    <row r="256" customFormat="false" ht="15" hidden="false" customHeight="false" outlineLevel="0" collapsed="false">
      <c r="A256" s="0" t="str">
        <f aca="false">IF(INDEX(BookTitle,251)="","",INDEX(BookKey,251))</f>
        <v/>
      </c>
      <c r="B256" s="0" t="str">
        <f aca="false">IF(INDEX(BookTitle,251)="","",INDEX(BookGroup,251))</f>
        <v/>
      </c>
      <c r="C256" s="0" t="str">
        <f aca="false">IF(INDEX(BookTitle,251)="","",INDEX(BookCategory,251))</f>
        <v/>
      </c>
      <c r="D256" s="56" t="str">
        <f aca="false">IF(INDEX(BookTitle,251)="","",INDEX(BookTotal,251)*'5. Scenarios'!$B$6/(1+ProductivityDefault*('5. Scenarios'!$B$11-1)))</f>
        <v/>
      </c>
      <c r="E256" s="57" t="str">
        <f aca="false">IF($D256="","",INDEX(BookRate,251)*(1+'5. Scenarios'!$B$10)*$D256)</f>
        <v/>
      </c>
      <c r="F256" s="57" t="str">
        <f aca="false">IF($E256="","",SUMIFS($E$6:$E$2405,$A$6:$A$2405,"&lt;="&amp;$A256))</f>
        <v/>
      </c>
      <c r="G256" s="57" t="str">
        <f aca="false">IF($E256="","",IF($F256&lt;=BankCostEnvelope*'5. Scenarios'!$B$7,1,0))</f>
        <v/>
      </c>
      <c r="H256" s="57" t="str">
        <f aca="false">IF($D256="","",INDEX(BookRate,251)*(1+'5. Scenarios'!$B$10)*(INDEX(BookQ1,251)*(5-MIN(4,1+'5. Scenarios'!$B$8))/4+INDEX(BookQ2,251)*(5-MIN(4,2+'5. Scenarios'!$B$8))/4+INDEX(BookQ3,251)*(5-MIN(4,3+'5. Scenarios'!$B$8))/4+INDEX(BookQ4,251)*(5-MIN(4,4+'5. Scenarios'!$B$8))/4)*'5. Scenarios'!$B$6/(1+ProductivityDefault*('5. Scenarios'!$B$11-1))+INDEX(BookOneOff,251)*$D256)</f>
        <v/>
      </c>
      <c r="I256" s="56" t="str">
        <f aca="false">IF(INDEX(BookTitle,251)="","",INDEX(BookTotal,251)*'5. Scenarios'!$C$6/(1+ProductivityDefault*('5. Scenarios'!$C$11-1)))</f>
        <v/>
      </c>
      <c r="J256" s="57" t="str">
        <f aca="false">IF($I256="","",INDEX(BookRate,251)*(1+'5. Scenarios'!$C$10)*$I256)</f>
        <v/>
      </c>
      <c r="K256" s="57" t="str">
        <f aca="false">IF($J256="","",SUMIFS($J$6:$J$2405,$A$6:$A$2405,"&lt;="&amp;$A256))</f>
        <v/>
      </c>
      <c r="L256" s="57" t="str">
        <f aca="false">IF($J256="","",IF($K256&lt;=BankCostEnvelope*'5. Scenarios'!$C$7,1,0))</f>
        <v/>
      </c>
      <c r="M256" s="57" t="str">
        <f aca="false">IF($I256="","",INDEX(BookRate,251)*(1+'5. Scenarios'!$C$10)*(INDEX(BookQ1,251)*(5-MIN(4,1+'5. Scenarios'!$C$8))/4+INDEX(BookQ2,251)*(5-MIN(4,2+'5. Scenarios'!$C$8))/4+INDEX(BookQ3,251)*(5-MIN(4,3+'5. Scenarios'!$C$8))/4+INDEX(BookQ4,251)*(5-MIN(4,4+'5. Scenarios'!$C$8))/4)*'5. Scenarios'!$C$6/(1+ProductivityDefault*('5. Scenarios'!$C$11-1))+INDEX(BookOneOff,251)*$I256)</f>
        <v/>
      </c>
      <c r="N256" s="56" t="str">
        <f aca="false">IF(INDEX(BookTitle,251)="","",INDEX(BookTotal,251)*'5. Scenarios'!$D$6/(1+ProductivityDefault*('5. Scenarios'!$D$11-1)))</f>
        <v/>
      </c>
      <c r="O256" s="57" t="str">
        <f aca="false">IF($N256="","",INDEX(BookRate,251)*(1+'5. Scenarios'!$D$10)*$N256)</f>
        <v/>
      </c>
      <c r="P256" s="57" t="str">
        <f aca="false">IF($O256="","",SUMIFS($O$6:$O$2405,$A$6:$A$2405,"&lt;="&amp;$A256))</f>
        <v/>
      </c>
      <c r="Q256" s="57" t="str">
        <f aca="false">IF($O256="","",IF($P256&lt;=BankCostEnvelope*'5. Scenarios'!$D$7,1,0))</f>
        <v/>
      </c>
      <c r="R256" s="57" t="str">
        <f aca="false">IF($N256="","",INDEX(BookRate,251)*(1+'5. Scenarios'!$D$10)*(INDEX(BookQ1,251)*(5-MIN(4,1+'5. Scenarios'!$D$8))/4+INDEX(BookQ2,251)*(5-MIN(4,2+'5. Scenarios'!$D$8))/4+INDEX(BookQ3,251)*(5-MIN(4,3+'5. Scenarios'!$D$8))/4+INDEX(BookQ4,251)*(5-MIN(4,4+'5. Scenarios'!$D$8))/4)*'5. Scenarios'!$D$6/(1+ProductivityDefault*('5. Scenarios'!$D$11-1))+INDEX(BookOneOff,251)*$N256)</f>
        <v/>
      </c>
      <c r="S256" s="56" t="str">
        <f aca="false">IF(INDEX(BookTitle,251)="","",INDEX(BookTotal,251)*'5. Scenarios'!$E$6/(1+ProductivityDefault*('5. Scenarios'!$E$11-1)))</f>
        <v/>
      </c>
      <c r="T256" s="57" t="str">
        <f aca="false">IF($S256="","",INDEX(BookRate,251)*(1+'5. Scenarios'!$E$10)*$S256)</f>
        <v/>
      </c>
      <c r="U256" s="57" t="str">
        <f aca="false">IF($T256="","",SUMIFS($T$6:$T$2405,$A$6:$A$2405,"&lt;="&amp;$A256))</f>
        <v/>
      </c>
      <c r="V256" s="57" t="str">
        <f aca="false">IF($T256="","",IF($U256&lt;=BankCostEnvelope*'5. Scenarios'!$E$7,1,0))</f>
        <v/>
      </c>
      <c r="W256" s="57" t="str">
        <f aca="false">IF($S256="","",INDEX(BookRate,251)*(1+'5. Scenarios'!$E$10)*(INDEX(BookQ1,251)*(5-MIN(4,1+'5. Scenarios'!$E$8))/4+INDEX(BookQ2,251)*(5-MIN(4,2+'5. Scenarios'!$E$8))/4+INDEX(BookQ3,251)*(5-MIN(4,3+'5. Scenarios'!$E$8))/4+INDEX(BookQ4,251)*(5-MIN(4,4+'5. Scenarios'!$E$8))/4)*'5. Scenarios'!$E$6/(1+ProductivityDefault*('5. Scenarios'!$E$11-1))+INDEX(BookOneOff,251)*$S256)</f>
        <v/>
      </c>
    </row>
    <row r="257" customFormat="false" ht="15" hidden="false" customHeight="false" outlineLevel="0" collapsed="false">
      <c r="A257" s="0" t="str">
        <f aca="false">IF(INDEX(BookTitle,252)="","",INDEX(BookKey,252))</f>
        <v/>
      </c>
      <c r="B257" s="0" t="str">
        <f aca="false">IF(INDEX(BookTitle,252)="","",INDEX(BookGroup,252))</f>
        <v/>
      </c>
      <c r="C257" s="0" t="str">
        <f aca="false">IF(INDEX(BookTitle,252)="","",INDEX(BookCategory,252))</f>
        <v/>
      </c>
      <c r="D257" s="56" t="str">
        <f aca="false">IF(INDEX(BookTitle,252)="","",INDEX(BookTotal,252)*'5. Scenarios'!$B$6/(1+ProductivityDefault*('5. Scenarios'!$B$11-1)))</f>
        <v/>
      </c>
      <c r="E257" s="57" t="str">
        <f aca="false">IF($D257="","",INDEX(BookRate,252)*(1+'5. Scenarios'!$B$10)*$D257)</f>
        <v/>
      </c>
      <c r="F257" s="57" t="str">
        <f aca="false">IF($E257="","",SUMIFS($E$6:$E$2405,$A$6:$A$2405,"&lt;="&amp;$A257))</f>
        <v/>
      </c>
      <c r="G257" s="57" t="str">
        <f aca="false">IF($E257="","",IF($F257&lt;=BankCostEnvelope*'5. Scenarios'!$B$7,1,0))</f>
        <v/>
      </c>
      <c r="H257" s="57" t="str">
        <f aca="false">IF($D257="","",INDEX(BookRate,252)*(1+'5. Scenarios'!$B$10)*(INDEX(BookQ1,252)*(5-MIN(4,1+'5. Scenarios'!$B$8))/4+INDEX(BookQ2,252)*(5-MIN(4,2+'5. Scenarios'!$B$8))/4+INDEX(BookQ3,252)*(5-MIN(4,3+'5. Scenarios'!$B$8))/4+INDEX(BookQ4,252)*(5-MIN(4,4+'5. Scenarios'!$B$8))/4)*'5. Scenarios'!$B$6/(1+ProductivityDefault*('5. Scenarios'!$B$11-1))+INDEX(BookOneOff,252)*$D257)</f>
        <v/>
      </c>
      <c r="I257" s="56" t="str">
        <f aca="false">IF(INDEX(BookTitle,252)="","",INDEX(BookTotal,252)*'5. Scenarios'!$C$6/(1+ProductivityDefault*('5. Scenarios'!$C$11-1)))</f>
        <v/>
      </c>
      <c r="J257" s="57" t="str">
        <f aca="false">IF($I257="","",INDEX(BookRate,252)*(1+'5. Scenarios'!$C$10)*$I257)</f>
        <v/>
      </c>
      <c r="K257" s="57" t="str">
        <f aca="false">IF($J257="","",SUMIFS($J$6:$J$2405,$A$6:$A$2405,"&lt;="&amp;$A257))</f>
        <v/>
      </c>
      <c r="L257" s="57" t="str">
        <f aca="false">IF($J257="","",IF($K257&lt;=BankCostEnvelope*'5. Scenarios'!$C$7,1,0))</f>
        <v/>
      </c>
      <c r="M257" s="57" t="str">
        <f aca="false">IF($I257="","",INDEX(BookRate,252)*(1+'5. Scenarios'!$C$10)*(INDEX(BookQ1,252)*(5-MIN(4,1+'5. Scenarios'!$C$8))/4+INDEX(BookQ2,252)*(5-MIN(4,2+'5. Scenarios'!$C$8))/4+INDEX(BookQ3,252)*(5-MIN(4,3+'5. Scenarios'!$C$8))/4+INDEX(BookQ4,252)*(5-MIN(4,4+'5. Scenarios'!$C$8))/4)*'5. Scenarios'!$C$6/(1+ProductivityDefault*('5. Scenarios'!$C$11-1))+INDEX(BookOneOff,252)*$I257)</f>
        <v/>
      </c>
      <c r="N257" s="56" t="str">
        <f aca="false">IF(INDEX(BookTitle,252)="","",INDEX(BookTotal,252)*'5. Scenarios'!$D$6/(1+ProductivityDefault*('5. Scenarios'!$D$11-1)))</f>
        <v/>
      </c>
      <c r="O257" s="57" t="str">
        <f aca="false">IF($N257="","",INDEX(BookRate,252)*(1+'5. Scenarios'!$D$10)*$N257)</f>
        <v/>
      </c>
      <c r="P257" s="57" t="str">
        <f aca="false">IF($O257="","",SUMIFS($O$6:$O$2405,$A$6:$A$2405,"&lt;="&amp;$A257))</f>
        <v/>
      </c>
      <c r="Q257" s="57" t="str">
        <f aca="false">IF($O257="","",IF($P257&lt;=BankCostEnvelope*'5. Scenarios'!$D$7,1,0))</f>
        <v/>
      </c>
      <c r="R257" s="57" t="str">
        <f aca="false">IF($N257="","",INDEX(BookRate,252)*(1+'5. Scenarios'!$D$10)*(INDEX(BookQ1,252)*(5-MIN(4,1+'5. Scenarios'!$D$8))/4+INDEX(BookQ2,252)*(5-MIN(4,2+'5. Scenarios'!$D$8))/4+INDEX(BookQ3,252)*(5-MIN(4,3+'5. Scenarios'!$D$8))/4+INDEX(BookQ4,252)*(5-MIN(4,4+'5. Scenarios'!$D$8))/4)*'5. Scenarios'!$D$6/(1+ProductivityDefault*('5. Scenarios'!$D$11-1))+INDEX(BookOneOff,252)*$N257)</f>
        <v/>
      </c>
      <c r="S257" s="56" t="str">
        <f aca="false">IF(INDEX(BookTitle,252)="","",INDEX(BookTotal,252)*'5. Scenarios'!$E$6/(1+ProductivityDefault*('5. Scenarios'!$E$11-1)))</f>
        <v/>
      </c>
      <c r="T257" s="57" t="str">
        <f aca="false">IF($S257="","",INDEX(BookRate,252)*(1+'5. Scenarios'!$E$10)*$S257)</f>
        <v/>
      </c>
      <c r="U257" s="57" t="str">
        <f aca="false">IF($T257="","",SUMIFS($T$6:$T$2405,$A$6:$A$2405,"&lt;="&amp;$A257))</f>
        <v/>
      </c>
      <c r="V257" s="57" t="str">
        <f aca="false">IF($T257="","",IF($U257&lt;=BankCostEnvelope*'5. Scenarios'!$E$7,1,0))</f>
        <v/>
      </c>
      <c r="W257" s="57" t="str">
        <f aca="false">IF($S257="","",INDEX(BookRate,252)*(1+'5. Scenarios'!$E$10)*(INDEX(BookQ1,252)*(5-MIN(4,1+'5. Scenarios'!$E$8))/4+INDEX(BookQ2,252)*(5-MIN(4,2+'5. Scenarios'!$E$8))/4+INDEX(BookQ3,252)*(5-MIN(4,3+'5. Scenarios'!$E$8))/4+INDEX(BookQ4,252)*(5-MIN(4,4+'5. Scenarios'!$E$8))/4)*'5. Scenarios'!$E$6/(1+ProductivityDefault*('5. Scenarios'!$E$11-1))+INDEX(BookOneOff,252)*$S257)</f>
        <v/>
      </c>
    </row>
    <row r="258" customFormat="false" ht="15" hidden="false" customHeight="false" outlineLevel="0" collapsed="false">
      <c r="A258" s="0" t="str">
        <f aca="false">IF(INDEX(BookTitle,253)="","",INDEX(BookKey,253))</f>
        <v/>
      </c>
      <c r="B258" s="0" t="str">
        <f aca="false">IF(INDEX(BookTitle,253)="","",INDEX(BookGroup,253))</f>
        <v/>
      </c>
      <c r="C258" s="0" t="str">
        <f aca="false">IF(INDEX(BookTitle,253)="","",INDEX(BookCategory,253))</f>
        <v/>
      </c>
      <c r="D258" s="56" t="str">
        <f aca="false">IF(INDEX(BookTitle,253)="","",INDEX(BookTotal,253)*'5. Scenarios'!$B$6/(1+ProductivityDefault*('5. Scenarios'!$B$11-1)))</f>
        <v/>
      </c>
      <c r="E258" s="57" t="str">
        <f aca="false">IF($D258="","",INDEX(BookRate,253)*(1+'5. Scenarios'!$B$10)*$D258)</f>
        <v/>
      </c>
      <c r="F258" s="57" t="str">
        <f aca="false">IF($E258="","",SUMIFS($E$6:$E$2405,$A$6:$A$2405,"&lt;="&amp;$A258))</f>
        <v/>
      </c>
      <c r="G258" s="57" t="str">
        <f aca="false">IF($E258="","",IF($F258&lt;=BankCostEnvelope*'5. Scenarios'!$B$7,1,0))</f>
        <v/>
      </c>
      <c r="H258" s="57" t="str">
        <f aca="false">IF($D258="","",INDEX(BookRate,253)*(1+'5. Scenarios'!$B$10)*(INDEX(BookQ1,253)*(5-MIN(4,1+'5. Scenarios'!$B$8))/4+INDEX(BookQ2,253)*(5-MIN(4,2+'5. Scenarios'!$B$8))/4+INDEX(BookQ3,253)*(5-MIN(4,3+'5. Scenarios'!$B$8))/4+INDEX(BookQ4,253)*(5-MIN(4,4+'5. Scenarios'!$B$8))/4)*'5. Scenarios'!$B$6/(1+ProductivityDefault*('5. Scenarios'!$B$11-1))+INDEX(BookOneOff,253)*$D258)</f>
        <v/>
      </c>
      <c r="I258" s="56" t="str">
        <f aca="false">IF(INDEX(BookTitle,253)="","",INDEX(BookTotal,253)*'5. Scenarios'!$C$6/(1+ProductivityDefault*('5. Scenarios'!$C$11-1)))</f>
        <v/>
      </c>
      <c r="J258" s="57" t="str">
        <f aca="false">IF($I258="","",INDEX(BookRate,253)*(1+'5. Scenarios'!$C$10)*$I258)</f>
        <v/>
      </c>
      <c r="K258" s="57" t="str">
        <f aca="false">IF($J258="","",SUMIFS($J$6:$J$2405,$A$6:$A$2405,"&lt;="&amp;$A258))</f>
        <v/>
      </c>
      <c r="L258" s="57" t="str">
        <f aca="false">IF($J258="","",IF($K258&lt;=BankCostEnvelope*'5. Scenarios'!$C$7,1,0))</f>
        <v/>
      </c>
      <c r="M258" s="57" t="str">
        <f aca="false">IF($I258="","",INDEX(BookRate,253)*(1+'5. Scenarios'!$C$10)*(INDEX(BookQ1,253)*(5-MIN(4,1+'5. Scenarios'!$C$8))/4+INDEX(BookQ2,253)*(5-MIN(4,2+'5. Scenarios'!$C$8))/4+INDEX(BookQ3,253)*(5-MIN(4,3+'5. Scenarios'!$C$8))/4+INDEX(BookQ4,253)*(5-MIN(4,4+'5. Scenarios'!$C$8))/4)*'5. Scenarios'!$C$6/(1+ProductivityDefault*('5. Scenarios'!$C$11-1))+INDEX(BookOneOff,253)*$I258)</f>
        <v/>
      </c>
      <c r="N258" s="56" t="str">
        <f aca="false">IF(INDEX(BookTitle,253)="","",INDEX(BookTotal,253)*'5. Scenarios'!$D$6/(1+ProductivityDefault*('5. Scenarios'!$D$11-1)))</f>
        <v/>
      </c>
      <c r="O258" s="57" t="str">
        <f aca="false">IF($N258="","",INDEX(BookRate,253)*(1+'5. Scenarios'!$D$10)*$N258)</f>
        <v/>
      </c>
      <c r="P258" s="57" t="str">
        <f aca="false">IF($O258="","",SUMIFS($O$6:$O$2405,$A$6:$A$2405,"&lt;="&amp;$A258))</f>
        <v/>
      </c>
      <c r="Q258" s="57" t="str">
        <f aca="false">IF($O258="","",IF($P258&lt;=BankCostEnvelope*'5. Scenarios'!$D$7,1,0))</f>
        <v/>
      </c>
      <c r="R258" s="57" t="str">
        <f aca="false">IF($N258="","",INDEX(BookRate,253)*(1+'5. Scenarios'!$D$10)*(INDEX(BookQ1,253)*(5-MIN(4,1+'5. Scenarios'!$D$8))/4+INDEX(BookQ2,253)*(5-MIN(4,2+'5. Scenarios'!$D$8))/4+INDEX(BookQ3,253)*(5-MIN(4,3+'5. Scenarios'!$D$8))/4+INDEX(BookQ4,253)*(5-MIN(4,4+'5. Scenarios'!$D$8))/4)*'5. Scenarios'!$D$6/(1+ProductivityDefault*('5. Scenarios'!$D$11-1))+INDEX(BookOneOff,253)*$N258)</f>
        <v/>
      </c>
      <c r="S258" s="56" t="str">
        <f aca="false">IF(INDEX(BookTitle,253)="","",INDEX(BookTotal,253)*'5. Scenarios'!$E$6/(1+ProductivityDefault*('5. Scenarios'!$E$11-1)))</f>
        <v/>
      </c>
      <c r="T258" s="57" t="str">
        <f aca="false">IF($S258="","",INDEX(BookRate,253)*(1+'5. Scenarios'!$E$10)*$S258)</f>
        <v/>
      </c>
      <c r="U258" s="57" t="str">
        <f aca="false">IF($T258="","",SUMIFS($T$6:$T$2405,$A$6:$A$2405,"&lt;="&amp;$A258))</f>
        <v/>
      </c>
      <c r="V258" s="57" t="str">
        <f aca="false">IF($T258="","",IF($U258&lt;=BankCostEnvelope*'5. Scenarios'!$E$7,1,0))</f>
        <v/>
      </c>
      <c r="W258" s="57" t="str">
        <f aca="false">IF($S258="","",INDEX(BookRate,253)*(1+'5. Scenarios'!$E$10)*(INDEX(BookQ1,253)*(5-MIN(4,1+'5. Scenarios'!$E$8))/4+INDEX(BookQ2,253)*(5-MIN(4,2+'5. Scenarios'!$E$8))/4+INDEX(BookQ3,253)*(5-MIN(4,3+'5. Scenarios'!$E$8))/4+INDEX(BookQ4,253)*(5-MIN(4,4+'5. Scenarios'!$E$8))/4)*'5. Scenarios'!$E$6/(1+ProductivityDefault*('5. Scenarios'!$E$11-1))+INDEX(BookOneOff,253)*$S258)</f>
        <v/>
      </c>
    </row>
    <row r="259" customFormat="false" ht="15" hidden="false" customHeight="false" outlineLevel="0" collapsed="false">
      <c r="A259" s="0" t="str">
        <f aca="false">IF(INDEX(BookTitle,254)="","",INDEX(BookKey,254))</f>
        <v/>
      </c>
      <c r="B259" s="0" t="str">
        <f aca="false">IF(INDEX(BookTitle,254)="","",INDEX(BookGroup,254))</f>
        <v/>
      </c>
      <c r="C259" s="0" t="str">
        <f aca="false">IF(INDEX(BookTitle,254)="","",INDEX(BookCategory,254))</f>
        <v/>
      </c>
      <c r="D259" s="56" t="str">
        <f aca="false">IF(INDEX(BookTitle,254)="","",INDEX(BookTotal,254)*'5. Scenarios'!$B$6/(1+ProductivityDefault*('5. Scenarios'!$B$11-1)))</f>
        <v/>
      </c>
      <c r="E259" s="57" t="str">
        <f aca="false">IF($D259="","",INDEX(BookRate,254)*(1+'5. Scenarios'!$B$10)*$D259)</f>
        <v/>
      </c>
      <c r="F259" s="57" t="str">
        <f aca="false">IF($E259="","",SUMIFS($E$6:$E$2405,$A$6:$A$2405,"&lt;="&amp;$A259))</f>
        <v/>
      </c>
      <c r="G259" s="57" t="str">
        <f aca="false">IF($E259="","",IF($F259&lt;=BankCostEnvelope*'5. Scenarios'!$B$7,1,0))</f>
        <v/>
      </c>
      <c r="H259" s="57" t="str">
        <f aca="false">IF($D259="","",INDEX(BookRate,254)*(1+'5. Scenarios'!$B$10)*(INDEX(BookQ1,254)*(5-MIN(4,1+'5. Scenarios'!$B$8))/4+INDEX(BookQ2,254)*(5-MIN(4,2+'5. Scenarios'!$B$8))/4+INDEX(BookQ3,254)*(5-MIN(4,3+'5. Scenarios'!$B$8))/4+INDEX(BookQ4,254)*(5-MIN(4,4+'5. Scenarios'!$B$8))/4)*'5. Scenarios'!$B$6/(1+ProductivityDefault*('5. Scenarios'!$B$11-1))+INDEX(BookOneOff,254)*$D259)</f>
        <v/>
      </c>
      <c r="I259" s="56" t="str">
        <f aca="false">IF(INDEX(BookTitle,254)="","",INDEX(BookTotal,254)*'5. Scenarios'!$C$6/(1+ProductivityDefault*('5. Scenarios'!$C$11-1)))</f>
        <v/>
      </c>
      <c r="J259" s="57" t="str">
        <f aca="false">IF($I259="","",INDEX(BookRate,254)*(1+'5. Scenarios'!$C$10)*$I259)</f>
        <v/>
      </c>
      <c r="K259" s="57" t="str">
        <f aca="false">IF($J259="","",SUMIFS($J$6:$J$2405,$A$6:$A$2405,"&lt;="&amp;$A259))</f>
        <v/>
      </c>
      <c r="L259" s="57" t="str">
        <f aca="false">IF($J259="","",IF($K259&lt;=BankCostEnvelope*'5. Scenarios'!$C$7,1,0))</f>
        <v/>
      </c>
      <c r="M259" s="57" t="str">
        <f aca="false">IF($I259="","",INDEX(BookRate,254)*(1+'5. Scenarios'!$C$10)*(INDEX(BookQ1,254)*(5-MIN(4,1+'5. Scenarios'!$C$8))/4+INDEX(BookQ2,254)*(5-MIN(4,2+'5. Scenarios'!$C$8))/4+INDEX(BookQ3,254)*(5-MIN(4,3+'5. Scenarios'!$C$8))/4+INDEX(BookQ4,254)*(5-MIN(4,4+'5. Scenarios'!$C$8))/4)*'5. Scenarios'!$C$6/(1+ProductivityDefault*('5. Scenarios'!$C$11-1))+INDEX(BookOneOff,254)*$I259)</f>
        <v/>
      </c>
      <c r="N259" s="56" t="str">
        <f aca="false">IF(INDEX(BookTitle,254)="","",INDEX(BookTotal,254)*'5. Scenarios'!$D$6/(1+ProductivityDefault*('5. Scenarios'!$D$11-1)))</f>
        <v/>
      </c>
      <c r="O259" s="57" t="str">
        <f aca="false">IF($N259="","",INDEX(BookRate,254)*(1+'5. Scenarios'!$D$10)*$N259)</f>
        <v/>
      </c>
      <c r="P259" s="57" t="str">
        <f aca="false">IF($O259="","",SUMIFS($O$6:$O$2405,$A$6:$A$2405,"&lt;="&amp;$A259))</f>
        <v/>
      </c>
      <c r="Q259" s="57" t="str">
        <f aca="false">IF($O259="","",IF($P259&lt;=BankCostEnvelope*'5. Scenarios'!$D$7,1,0))</f>
        <v/>
      </c>
      <c r="R259" s="57" t="str">
        <f aca="false">IF($N259="","",INDEX(BookRate,254)*(1+'5. Scenarios'!$D$10)*(INDEX(BookQ1,254)*(5-MIN(4,1+'5. Scenarios'!$D$8))/4+INDEX(BookQ2,254)*(5-MIN(4,2+'5. Scenarios'!$D$8))/4+INDEX(BookQ3,254)*(5-MIN(4,3+'5. Scenarios'!$D$8))/4+INDEX(BookQ4,254)*(5-MIN(4,4+'5. Scenarios'!$D$8))/4)*'5. Scenarios'!$D$6/(1+ProductivityDefault*('5. Scenarios'!$D$11-1))+INDEX(BookOneOff,254)*$N259)</f>
        <v/>
      </c>
      <c r="S259" s="56" t="str">
        <f aca="false">IF(INDEX(BookTitle,254)="","",INDEX(BookTotal,254)*'5. Scenarios'!$E$6/(1+ProductivityDefault*('5. Scenarios'!$E$11-1)))</f>
        <v/>
      </c>
      <c r="T259" s="57" t="str">
        <f aca="false">IF($S259="","",INDEX(BookRate,254)*(1+'5. Scenarios'!$E$10)*$S259)</f>
        <v/>
      </c>
      <c r="U259" s="57" t="str">
        <f aca="false">IF($T259="","",SUMIFS($T$6:$T$2405,$A$6:$A$2405,"&lt;="&amp;$A259))</f>
        <v/>
      </c>
      <c r="V259" s="57" t="str">
        <f aca="false">IF($T259="","",IF($U259&lt;=BankCostEnvelope*'5. Scenarios'!$E$7,1,0))</f>
        <v/>
      </c>
      <c r="W259" s="57" t="str">
        <f aca="false">IF($S259="","",INDEX(BookRate,254)*(1+'5. Scenarios'!$E$10)*(INDEX(BookQ1,254)*(5-MIN(4,1+'5. Scenarios'!$E$8))/4+INDEX(BookQ2,254)*(5-MIN(4,2+'5. Scenarios'!$E$8))/4+INDEX(BookQ3,254)*(5-MIN(4,3+'5. Scenarios'!$E$8))/4+INDEX(BookQ4,254)*(5-MIN(4,4+'5. Scenarios'!$E$8))/4)*'5. Scenarios'!$E$6/(1+ProductivityDefault*('5. Scenarios'!$E$11-1))+INDEX(BookOneOff,254)*$S259)</f>
        <v/>
      </c>
    </row>
    <row r="260" customFormat="false" ht="15" hidden="false" customHeight="false" outlineLevel="0" collapsed="false">
      <c r="A260" s="0" t="str">
        <f aca="false">IF(INDEX(BookTitle,255)="","",INDEX(BookKey,255))</f>
        <v/>
      </c>
      <c r="B260" s="0" t="str">
        <f aca="false">IF(INDEX(BookTitle,255)="","",INDEX(BookGroup,255))</f>
        <v/>
      </c>
      <c r="C260" s="0" t="str">
        <f aca="false">IF(INDEX(BookTitle,255)="","",INDEX(BookCategory,255))</f>
        <v/>
      </c>
      <c r="D260" s="56" t="str">
        <f aca="false">IF(INDEX(BookTitle,255)="","",INDEX(BookTotal,255)*'5. Scenarios'!$B$6/(1+ProductivityDefault*('5. Scenarios'!$B$11-1)))</f>
        <v/>
      </c>
      <c r="E260" s="57" t="str">
        <f aca="false">IF($D260="","",INDEX(BookRate,255)*(1+'5. Scenarios'!$B$10)*$D260)</f>
        <v/>
      </c>
      <c r="F260" s="57" t="str">
        <f aca="false">IF($E260="","",SUMIFS($E$6:$E$2405,$A$6:$A$2405,"&lt;="&amp;$A260))</f>
        <v/>
      </c>
      <c r="G260" s="57" t="str">
        <f aca="false">IF($E260="","",IF($F260&lt;=BankCostEnvelope*'5. Scenarios'!$B$7,1,0))</f>
        <v/>
      </c>
      <c r="H260" s="57" t="str">
        <f aca="false">IF($D260="","",INDEX(BookRate,255)*(1+'5. Scenarios'!$B$10)*(INDEX(BookQ1,255)*(5-MIN(4,1+'5. Scenarios'!$B$8))/4+INDEX(BookQ2,255)*(5-MIN(4,2+'5. Scenarios'!$B$8))/4+INDEX(BookQ3,255)*(5-MIN(4,3+'5. Scenarios'!$B$8))/4+INDEX(BookQ4,255)*(5-MIN(4,4+'5. Scenarios'!$B$8))/4)*'5. Scenarios'!$B$6/(1+ProductivityDefault*('5. Scenarios'!$B$11-1))+INDEX(BookOneOff,255)*$D260)</f>
        <v/>
      </c>
      <c r="I260" s="56" t="str">
        <f aca="false">IF(INDEX(BookTitle,255)="","",INDEX(BookTotal,255)*'5. Scenarios'!$C$6/(1+ProductivityDefault*('5. Scenarios'!$C$11-1)))</f>
        <v/>
      </c>
      <c r="J260" s="57" t="str">
        <f aca="false">IF($I260="","",INDEX(BookRate,255)*(1+'5. Scenarios'!$C$10)*$I260)</f>
        <v/>
      </c>
      <c r="K260" s="57" t="str">
        <f aca="false">IF($J260="","",SUMIFS($J$6:$J$2405,$A$6:$A$2405,"&lt;="&amp;$A260))</f>
        <v/>
      </c>
      <c r="L260" s="57" t="str">
        <f aca="false">IF($J260="","",IF($K260&lt;=BankCostEnvelope*'5. Scenarios'!$C$7,1,0))</f>
        <v/>
      </c>
      <c r="M260" s="57" t="str">
        <f aca="false">IF($I260="","",INDEX(BookRate,255)*(1+'5. Scenarios'!$C$10)*(INDEX(BookQ1,255)*(5-MIN(4,1+'5. Scenarios'!$C$8))/4+INDEX(BookQ2,255)*(5-MIN(4,2+'5. Scenarios'!$C$8))/4+INDEX(BookQ3,255)*(5-MIN(4,3+'5. Scenarios'!$C$8))/4+INDEX(BookQ4,255)*(5-MIN(4,4+'5. Scenarios'!$C$8))/4)*'5. Scenarios'!$C$6/(1+ProductivityDefault*('5. Scenarios'!$C$11-1))+INDEX(BookOneOff,255)*$I260)</f>
        <v/>
      </c>
      <c r="N260" s="56" t="str">
        <f aca="false">IF(INDEX(BookTitle,255)="","",INDEX(BookTotal,255)*'5. Scenarios'!$D$6/(1+ProductivityDefault*('5. Scenarios'!$D$11-1)))</f>
        <v/>
      </c>
      <c r="O260" s="57" t="str">
        <f aca="false">IF($N260="","",INDEX(BookRate,255)*(1+'5. Scenarios'!$D$10)*$N260)</f>
        <v/>
      </c>
      <c r="P260" s="57" t="str">
        <f aca="false">IF($O260="","",SUMIFS($O$6:$O$2405,$A$6:$A$2405,"&lt;="&amp;$A260))</f>
        <v/>
      </c>
      <c r="Q260" s="57" t="str">
        <f aca="false">IF($O260="","",IF($P260&lt;=BankCostEnvelope*'5. Scenarios'!$D$7,1,0))</f>
        <v/>
      </c>
      <c r="R260" s="57" t="str">
        <f aca="false">IF($N260="","",INDEX(BookRate,255)*(1+'5. Scenarios'!$D$10)*(INDEX(BookQ1,255)*(5-MIN(4,1+'5. Scenarios'!$D$8))/4+INDEX(BookQ2,255)*(5-MIN(4,2+'5. Scenarios'!$D$8))/4+INDEX(BookQ3,255)*(5-MIN(4,3+'5. Scenarios'!$D$8))/4+INDEX(BookQ4,255)*(5-MIN(4,4+'5. Scenarios'!$D$8))/4)*'5. Scenarios'!$D$6/(1+ProductivityDefault*('5. Scenarios'!$D$11-1))+INDEX(BookOneOff,255)*$N260)</f>
        <v/>
      </c>
      <c r="S260" s="56" t="str">
        <f aca="false">IF(INDEX(BookTitle,255)="","",INDEX(BookTotal,255)*'5. Scenarios'!$E$6/(1+ProductivityDefault*('5. Scenarios'!$E$11-1)))</f>
        <v/>
      </c>
      <c r="T260" s="57" t="str">
        <f aca="false">IF($S260="","",INDEX(BookRate,255)*(1+'5. Scenarios'!$E$10)*$S260)</f>
        <v/>
      </c>
      <c r="U260" s="57" t="str">
        <f aca="false">IF($T260="","",SUMIFS($T$6:$T$2405,$A$6:$A$2405,"&lt;="&amp;$A260))</f>
        <v/>
      </c>
      <c r="V260" s="57" t="str">
        <f aca="false">IF($T260="","",IF($U260&lt;=BankCostEnvelope*'5. Scenarios'!$E$7,1,0))</f>
        <v/>
      </c>
      <c r="W260" s="57" t="str">
        <f aca="false">IF($S260="","",INDEX(BookRate,255)*(1+'5. Scenarios'!$E$10)*(INDEX(BookQ1,255)*(5-MIN(4,1+'5. Scenarios'!$E$8))/4+INDEX(BookQ2,255)*(5-MIN(4,2+'5. Scenarios'!$E$8))/4+INDEX(BookQ3,255)*(5-MIN(4,3+'5. Scenarios'!$E$8))/4+INDEX(BookQ4,255)*(5-MIN(4,4+'5. Scenarios'!$E$8))/4)*'5. Scenarios'!$E$6/(1+ProductivityDefault*('5. Scenarios'!$E$11-1))+INDEX(BookOneOff,255)*$S260)</f>
        <v/>
      </c>
    </row>
    <row r="261" customFormat="false" ht="15" hidden="false" customHeight="false" outlineLevel="0" collapsed="false">
      <c r="A261" s="0" t="str">
        <f aca="false">IF(INDEX(BookTitle,256)="","",INDEX(BookKey,256))</f>
        <v/>
      </c>
      <c r="B261" s="0" t="str">
        <f aca="false">IF(INDEX(BookTitle,256)="","",INDEX(BookGroup,256))</f>
        <v/>
      </c>
      <c r="C261" s="0" t="str">
        <f aca="false">IF(INDEX(BookTitle,256)="","",INDEX(BookCategory,256))</f>
        <v/>
      </c>
      <c r="D261" s="56" t="str">
        <f aca="false">IF(INDEX(BookTitle,256)="","",INDEX(BookTotal,256)*'5. Scenarios'!$B$6/(1+ProductivityDefault*('5. Scenarios'!$B$11-1)))</f>
        <v/>
      </c>
      <c r="E261" s="57" t="str">
        <f aca="false">IF($D261="","",INDEX(BookRate,256)*(1+'5. Scenarios'!$B$10)*$D261)</f>
        <v/>
      </c>
      <c r="F261" s="57" t="str">
        <f aca="false">IF($E261="","",SUMIFS($E$6:$E$2405,$A$6:$A$2405,"&lt;="&amp;$A261))</f>
        <v/>
      </c>
      <c r="G261" s="57" t="str">
        <f aca="false">IF($E261="","",IF($F261&lt;=BankCostEnvelope*'5. Scenarios'!$B$7,1,0))</f>
        <v/>
      </c>
      <c r="H261" s="57" t="str">
        <f aca="false">IF($D261="","",INDEX(BookRate,256)*(1+'5. Scenarios'!$B$10)*(INDEX(BookQ1,256)*(5-MIN(4,1+'5. Scenarios'!$B$8))/4+INDEX(BookQ2,256)*(5-MIN(4,2+'5. Scenarios'!$B$8))/4+INDEX(BookQ3,256)*(5-MIN(4,3+'5. Scenarios'!$B$8))/4+INDEX(BookQ4,256)*(5-MIN(4,4+'5. Scenarios'!$B$8))/4)*'5. Scenarios'!$B$6/(1+ProductivityDefault*('5. Scenarios'!$B$11-1))+INDEX(BookOneOff,256)*$D261)</f>
        <v/>
      </c>
      <c r="I261" s="56" t="str">
        <f aca="false">IF(INDEX(BookTitle,256)="","",INDEX(BookTotal,256)*'5. Scenarios'!$C$6/(1+ProductivityDefault*('5. Scenarios'!$C$11-1)))</f>
        <v/>
      </c>
      <c r="J261" s="57" t="str">
        <f aca="false">IF($I261="","",INDEX(BookRate,256)*(1+'5. Scenarios'!$C$10)*$I261)</f>
        <v/>
      </c>
      <c r="K261" s="57" t="str">
        <f aca="false">IF($J261="","",SUMIFS($J$6:$J$2405,$A$6:$A$2405,"&lt;="&amp;$A261))</f>
        <v/>
      </c>
      <c r="L261" s="57" t="str">
        <f aca="false">IF($J261="","",IF($K261&lt;=BankCostEnvelope*'5. Scenarios'!$C$7,1,0))</f>
        <v/>
      </c>
      <c r="M261" s="57" t="str">
        <f aca="false">IF($I261="","",INDEX(BookRate,256)*(1+'5. Scenarios'!$C$10)*(INDEX(BookQ1,256)*(5-MIN(4,1+'5. Scenarios'!$C$8))/4+INDEX(BookQ2,256)*(5-MIN(4,2+'5. Scenarios'!$C$8))/4+INDEX(BookQ3,256)*(5-MIN(4,3+'5. Scenarios'!$C$8))/4+INDEX(BookQ4,256)*(5-MIN(4,4+'5. Scenarios'!$C$8))/4)*'5. Scenarios'!$C$6/(1+ProductivityDefault*('5. Scenarios'!$C$11-1))+INDEX(BookOneOff,256)*$I261)</f>
        <v/>
      </c>
      <c r="N261" s="56" t="str">
        <f aca="false">IF(INDEX(BookTitle,256)="","",INDEX(BookTotal,256)*'5. Scenarios'!$D$6/(1+ProductivityDefault*('5. Scenarios'!$D$11-1)))</f>
        <v/>
      </c>
      <c r="O261" s="57" t="str">
        <f aca="false">IF($N261="","",INDEX(BookRate,256)*(1+'5. Scenarios'!$D$10)*$N261)</f>
        <v/>
      </c>
      <c r="P261" s="57" t="str">
        <f aca="false">IF($O261="","",SUMIFS($O$6:$O$2405,$A$6:$A$2405,"&lt;="&amp;$A261))</f>
        <v/>
      </c>
      <c r="Q261" s="57" t="str">
        <f aca="false">IF($O261="","",IF($P261&lt;=BankCostEnvelope*'5. Scenarios'!$D$7,1,0))</f>
        <v/>
      </c>
      <c r="R261" s="57" t="str">
        <f aca="false">IF($N261="","",INDEX(BookRate,256)*(1+'5. Scenarios'!$D$10)*(INDEX(BookQ1,256)*(5-MIN(4,1+'5. Scenarios'!$D$8))/4+INDEX(BookQ2,256)*(5-MIN(4,2+'5. Scenarios'!$D$8))/4+INDEX(BookQ3,256)*(5-MIN(4,3+'5. Scenarios'!$D$8))/4+INDEX(BookQ4,256)*(5-MIN(4,4+'5. Scenarios'!$D$8))/4)*'5. Scenarios'!$D$6/(1+ProductivityDefault*('5. Scenarios'!$D$11-1))+INDEX(BookOneOff,256)*$N261)</f>
        <v/>
      </c>
      <c r="S261" s="56" t="str">
        <f aca="false">IF(INDEX(BookTitle,256)="","",INDEX(BookTotal,256)*'5. Scenarios'!$E$6/(1+ProductivityDefault*('5. Scenarios'!$E$11-1)))</f>
        <v/>
      </c>
      <c r="T261" s="57" t="str">
        <f aca="false">IF($S261="","",INDEX(BookRate,256)*(1+'5. Scenarios'!$E$10)*$S261)</f>
        <v/>
      </c>
      <c r="U261" s="57" t="str">
        <f aca="false">IF($T261="","",SUMIFS($T$6:$T$2405,$A$6:$A$2405,"&lt;="&amp;$A261))</f>
        <v/>
      </c>
      <c r="V261" s="57" t="str">
        <f aca="false">IF($T261="","",IF($U261&lt;=BankCostEnvelope*'5. Scenarios'!$E$7,1,0))</f>
        <v/>
      </c>
      <c r="W261" s="57" t="str">
        <f aca="false">IF($S261="","",INDEX(BookRate,256)*(1+'5. Scenarios'!$E$10)*(INDEX(BookQ1,256)*(5-MIN(4,1+'5. Scenarios'!$E$8))/4+INDEX(BookQ2,256)*(5-MIN(4,2+'5. Scenarios'!$E$8))/4+INDEX(BookQ3,256)*(5-MIN(4,3+'5. Scenarios'!$E$8))/4+INDEX(BookQ4,256)*(5-MIN(4,4+'5. Scenarios'!$E$8))/4)*'5. Scenarios'!$E$6/(1+ProductivityDefault*('5. Scenarios'!$E$11-1))+INDEX(BookOneOff,256)*$S261)</f>
        <v/>
      </c>
    </row>
    <row r="262" customFormat="false" ht="15" hidden="false" customHeight="false" outlineLevel="0" collapsed="false">
      <c r="A262" s="0" t="str">
        <f aca="false">IF(INDEX(BookTitle,257)="","",INDEX(BookKey,257))</f>
        <v/>
      </c>
      <c r="B262" s="0" t="str">
        <f aca="false">IF(INDEX(BookTitle,257)="","",INDEX(BookGroup,257))</f>
        <v/>
      </c>
      <c r="C262" s="0" t="str">
        <f aca="false">IF(INDEX(BookTitle,257)="","",INDEX(BookCategory,257))</f>
        <v/>
      </c>
      <c r="D262" s="56" t="str">
        <f aca="false">IF(INDEX(BookTitle,257)="","",INDEX(BookTotal,257)*'5. Scenarios'!$B$6/(1+ProductivityDefault*('5. Scenarios'!$B$11-1)))</f>
        <v/>
      </c>
      <c r="E262" s="57" t="str">
        <f aca="false">IF($D262="","",INDEX(BookRate,257)*(1+'5. Scenarios'!$B$10)*$D262)</f>
        <v/>
      </c>
      <c r="F262" s="57" t="str">
        <f aca="false">IF($E262="","",SUMIFS($E$6:$E$2405,$A$6:$A$2405,"&lt;="&amp;$A262))</f>
        <v/>
      </c>
      <c r="G262" s="57" t="str">
        <f aca="false">IF($E262="","",IF($F262&lt;=BankCostEnvelope*'5. Scenarios'!$B$7,1,0))</f>
        <v/>
      </c>
      <c r="H262" s="57" t="str">
        <f aca="false">IF($D262="","",INDEX(BookRate,257)*(1+'5. Scenarios'!$B$10)*(INDEX(BookQ1,257)*(5-MIN(4,1+'5. Scenarios'!$B$8))/4+INDEX(BookQ2,257)*(5-MIN(4,2+'5. Scenarios'!$B$8))/4+INDEX(BookQ3,257)*(5-MIN(4,3+'5. Scenarios'!$B$8))/4+INDEX(BookQ4,257)*(5-MIN(4,4+'5. Scenarios'!$B$8))/4)*'5. Scenarios'!$B$6/(1+ProductivityDefault*('5. Scenarios'!$B$11-1))+INDEX(BookOneOff,257)*$D262)</f>
        <v/>
      </c>
      <c r="I262" s="56" t="str">
        <f aca="false">IF(INDEX(BookTitle,257)="","",INDEX(BookTotal,257)*'5. Scenarios'!$C$6/(1+ProductivityDefault*('5. Scenarios'!$C$11-1)))</f>
        <v/>
      </c>
      <c r="J262" s="57" t="str">
        <f aca="false">IF($I262="","",INDEX(BookRate,257)*(1+'5. Scenarios'!$C$10)*$I262)</f>
        <v/>
      </c>
      <c r="K262" s="57" t="str">
        <f aca="false">IF($J262="","",SUMIFS($J$6:$J$2405,$A$6:$A$2405,"&lt;="&amp;$A262))</f>
        <v/>
      </c>
      <c r="L262" s="57" t="str">
        <f aca="false">IF($J262="","",IF($K262&lt;=BankCostEnvelope*'5. Scenarios'!$C$7,1,0))</f>
        <v/>
      </c>
      <c r="M262" s="57" t="str">
        <f aca="false">IF($I262="","",INDEX(BookRate,257)*(1+'5. Scenarios'!$C$10)*(INDEX(BookQ1,257)*(5-MIN(4,1+'5. Scenarios'!$C$8))/4+INDEX(BookQ2,257)*(5-MIN(4,2+'5. Scenarios'!$C$8))/4+INDEX(BookQ3,257)*(5-MIN(4,3+'5. Scenarios'!$C$8))/4+INDEX(BookQ4,257)*(5-MIN(4,4+'5. Scenarios'!$C$8))/4)*'5. Scenarios'!$C$6/(1+ProductivityDefault*('5. Scenarios'!$C$11-1))+INDEX(BookOneOff,257)*$I262)</f>
        <v/>
      </c>
      <c r="N262" s="56" t="str">
        <f aca="false">IF(INDEX(BookTitle,257)="","",INDEX(BookTotal,257)*'5. Scenarios'!$D$6/(1+ProductivityDefault*('5. Scenarios'!$D$11-1)))</f>
        <v/>
      </c>
      <c r="O262" s="57" t="str">
        <f aca="false">IF($N262="","",INDEX(BookRate,257)*(1+'5. Scenarios'!$D$10)*$N262)</f>
        <v/>
      </c>
      <c r="P262" s="57" t="str">
        <f aca="false">IF($O262="","",SUMIFS($O$6:$O$2405,$A$6:$A$2405,"&lt;="&amp;$A262))</f>
        <v/>
      </c>
      <c r="Q262" s="57" t="str">
        <f aca="false">IF($O262="","",IF($P262&lt;=BankCostEnvelope*'5. Scenarios'!$D$7,1,0))</f>
        <v/>
      </c>
      <c r="R262" s="57" t="str">
        <f aca="false">IF($N262="","",INDEX(BookRate,257)*(1+'5. Scenarios'!$D$10)*(INDEX(BookQ1,257)*(5-MIN(4,1+'5. Scenarios'!$D$8))/4+INDEX(BookQ2,257)*(5-MIN(4,2+'5. Scenarios'!$D$8))/4+INDEX(BookQ3,257)*(5-MIN(4,3+'5. Scenarios'!$D$8))/4+INDEX(BookQ4,257)*(5-MIN(4,4+'5. Scenarios'!$D$8))/4)*'5. Scenarios'!$D$6/(1+ProductivityDefault*('5. Scenarios'!$D$11-1))+INDEX(BookOneOff,257)*$N262)</f>
        <v/>
      </c>
      <c r="S262" s="56" t="str">
        <f aca="false">IF(INDEX(BookTitle,257)="","",INDEX(BookTotal,257)*'5. Scenarios'!$E$6/(1+ProductivityDefault*('5. Scenarios'!$E$11-1)))</f>
        <v/>
      </c>
      <c r="T262" s="57" t="str">
        <f aca="false">IF($S262="","",INDEX(BookRate,257)*(1+'5. Scenarios'!$E$10)*$S262)</f>
        <v/>
      </c>
      <c r="U262" s="57" t="str">
        <f aca="false">IF($T262="","",SUMIFS($T$6:$T$2405,$A$6:$A$2405,"&lt;="&amp;$A262))</f>
        <v/>
      </c>
      <c r="V262" s="57" t="str">
        <f aca="false">IF($T262="","",IF($U262&lt;=BankCostEnvelope*'5. Scenarios'!$E$7,1,0))</f>
        <v/>
      </c>
      <c r="W262" s="57" t="str">
        <f aca="false">IF($S262="","",INDEX(BookRate,257)*(1+'5. Scenarios'!$E$10)*(INDEX(BookQ1,257)*(5-MIN(4,1+'5. Scenarios'!$E$8))/4+INDEX(BookQ2,257)*(5-MIN(4,2+'5. Scenarios'!$E$8))/4+INDEX(BookQ3,257)*(5-MIN(4,3+'5. Scenarios'!$E$8))/4+INDEX(BookQ4,257)*(5-MIN(4,4+'5. Scenarios'!$E$8))/4)*'5. Scenarios'!$E$6/(1+ProductivityDefault*('5. Scenarios'!$E$11-1))+INDEX(BookOneOff,257)*$S262)</f>
        <v/>
      </c>
    </row>
    <row r="263" customFormat="false" ht="15" hidden="false" customHeight="false" outlineLevel="0" collapsed="false">
      <c r="A263" s="0" t="str">
        <f aca="false">IF(INDEX(BookTitle,258)="","",INDEX(BookKey,258))</f>
        <v/>
      </c>
      <c r="B263" s="0" t="str">
        <f aca="false">IF(INDEX(BookTitle,258)="","",INDEX(BookGroup,258))</f>
        <v/>
      </c>
      <c r="C263" s="0" t="str">
        <f aca="false">IF(INDEX(BookTitle,258)="","",INDEX(BookCategory,258))</f>
        <v/>
      </c>
      <c r="D263" s="56" t="str">
        <f aca="false">IF(INDEX(BookTitle,258)="","",INDEX(BookTotal,258)*'5. Scenarios'!$B$6/(1+ProductivityDefault*('5. Scenarios'!$B$11-1)))</f>
        <v/>
      </c>
      <c r="E263" s="57" t="str">
        <f aca="false">IF($D263="","",INDEX(BookRate,258)*(1+'5. Scenarios'!$B$10)*$D263)</f>
        <v/>
      </c>
      <c r="F263" s="57" t="str">
        <f aca="false">IF($E263="","",SUMIFS($E$6:$E$2405,$A$6:$A$2405,"&lt;="&amp;$A263))</f>
        <v/>
      </c>
      <c r="G263" s="57" t="str">
        <f aca="false">IF($E263="","",IF($F263&lt;=BankCostEnvelope*'5. Scenarios'!$B$7,1,0))</f>
        <v/>
      </c>
      <c r="H263" s="57" t="str">
        <f aca="false">IF($D263="","",INDEX(BookRate,258)*(1+'5. Scenarios'!$B$10)*(INDEX(BookQ1,258)*(5-MIN(4,1+'5. Scenarios'!$B$8))/4+INDEX(BookQ2,258)*(5-MIN(4,2+'5. Scenarios'!$B$8))/4+INDEX(BookQ3,258)*(5-MIN(4,3+'5. Scenarios'!$B$8))/4+INDEX(BookQ4,258)*(5-MIN(4,4+'5. Scenarios'!$B$8))/4)*'5. Scenarios'!$B$6/(1+ProductivityDefault*('5. Scenarios'!$B$11-1))+INDEX(BookOneOff,258)*$D263)</f>
        <v/>
      </c>
      <c r="I263" s="56" t="str">
        <f aca="false">IF(INDEX(BookTitle,258)="","",INDEX(BookTotal,258)*'5. Scenarios'!$C$6/(1+ProductivityDefault*('5. Scenarios'!$C$11-1)))</f>
        <v/>
      </c>
      <c r="J263" s="57" t="str">
        <f aca="false">IF($I263="","",INDEX(BookRate,258)*(1+'5. Scenarios'!$C$10)*$I263)</f>
        <v/>
      </c>
      <c r="K263" s="57" t="str">
        <f aca="false">IF($J263="","",SUMIFS($J$6:$J$2405,$A$6:$A$2405,"&lt;="&amp;$A263))</f>
        <v/>
      </c>
      <c r="L263" s="57" t="str">
        <f aca="false">IF($J263="","",IF($K263&lt;=BankCostEnvelope*'5. Scenarios'!$C$7,1,0))</f>
        <v/>
      </c>
      <c r="M263" s="57" t="str">
        <f aca="false">IF($I263="","",INDEX(BookRate,258)*(1+'5. Scenarios'!$C$10)*(INDEX(BookQ1,258)*(5-MIN(4,1+'5. Scenarios'!$C$8))/4+INDEX(BookQ2,258)*(5-MIN(4,2+'5. Scenarios'!$C$8))/4+INDEX(BookQ3,258)*(5-MIN(4,3+'5. Scenarios'!$C$8))/4+INDEX(BookQ4,258)*(5-MIN(4,4+'5. Scenarios'!$C$8))/4)*'5. Scenarios'!$C$6/(1+ProductivityDefault*('5. Scenarios'!$C$11-1))+INDEX(BookOneOff,258)*$I263)</f>
        <v/>
      </c>
      <c r="N263" s="56" t="str">
        <f aca="false">IF(INDEX(BookTitle,258)="","",INDEX(BookTotal,258)*'5. Scenarios'!$D$6/(1+ProductivityDefault*('5. Scenarios'!$D$11-1)))</f>
        <v/>
      </c>
      <c r="O263" s="57" t="str">
        <f aca="false">IF($N263="","",INDEX(BookRate,258)*(1+'5. Scenarios'!$D$10)*$N263)</f>
        <v/>
      </c>
      <c r="P263" s="57" t="str">
        <f aca="false">IF($O263="","",SUMIFS($O$6:$O$2405,$A$6:$A$2405,"&lt;="&amp;$A263))</f>
        <v/>
      </c>
      <c r="Q263" s="57" t="str">
        <f aca="false">IF($O263="","",IF($P263&lt;=BankCostEnvelope*'5. Scenarios'!$D$7,1,0))</f>
        <v/>
      </c>
      <c r="R263" s="57" t="str">
        <f aca="false">IF($N263="","",INDEX(BookRate,258)*(1+'5. Scenarios'!$D$10)*(INDEX(BookQ1,258)*(5-MIN(4,1+'5. Scenarios'!$D$8))/4+INDEX(BookQ2,258)*(5-MIN(4,2+'5. Scenarios'!$D$8))/4+INDEX(BookQ3,258)*(5-MIN(4,3+'5. Scenarios'!$D$8))/4+INDEX(BookQ4,258)*(5-MIN(4,4+'5. Scenarios'!$D$8))/4)*'5. Scenarios'!$D$6/(1+ProductivityDefault*('5. Scenarios'!$D$11-1))+INDEX(BookOneOff,258)*$N263)</f>
        <v/>
      </c>
      <c r="S263" s="56" t="str">
        <f aca="false">IF(INDEX(BookTitle,258)="","",INDEX(BookTotal,258)*'5. Scenarios'!$E$6/(1+ProductivityDefault*('5. Scenarios'!$E$11-1)))</f>
        <v/>
      </c>
      <c r="T263" s="57" t="str">
        <f aca="false">IF($S263="","",INDEX(BookRate,258)*(1+'5. Scenarios'!$E$10)*$S263)</f>
        <v/>
      </c>
      <c r="U263" s="57" t="str">
        <f aca="false">IF($T263="","",SUMIFS($T$6:$T$2405,$A$6:$A$2405,"&lt;="&amp;$A263))</f>
        <v/>
      </c>
      <c r="V263" s="57" t="str">
        <f aca="false">IF($T263="","",IF($U263&lt;=BankCostEnvelope*'5. Scenarios'!$E$7,1,0))</f>
        <v/>
      </c>
      <c r="W263" s="57" t="str">
        <f aca="false">IF($S263="","",INDEX(BookRate,258)*(1+'5. Scenarios'!$E$10)*(INDEX(BookQ1,258)*(5-MIN(4,1+'5. Scenarios'!$E$8))/4+INDEX(BookQ2,258)*(5-MIN(4,2+'5. Scenarios'!$E$8))/4+INDEX(BookQ3,258)*(5-MIN(4,3+'5. Scenarios'!$E$8))/4+INDEX(BookQ4,258)*(5-MIN(4,4+'5. Scenarios'!$E$8))/4)*'5. Scenarios'!$E$6/(1+ProductivityDefault*('5. Scenarios'!$E$11-1))+INDEX(BookOneOff,258)*$S263)</f>
        <v/>
      </c>
    </row>
    <row r="264" customFormat="false" ht="15" hidden="false" customHeight="false" outlineLevel="0" collapsed="false">
      <c r="A264" s="0" t="str">
        <f aca="false">IF(INDEX(BookTitle,259)="","",INDEX(BookKey,259))</f>
        <v/>
      </c>
      <c r="B264" s="0" t="str">
        <f aca="false">IF(INDEX(BookTitle,259)="","",INDEX(BookGroup,259))</f>
        <v/>
      </c>
      <c r="C264" s="0" t="str">
        <f aca="false">IF(INDEX(BookTitle,259)="","",INDEX(BookCategory,259))</f>
        <v/>
      </c>
      <c r="D264" s="56" t="str">
        <f aca="false">IF(INDEX(BookTitle,259)="","",INDEX(BookTotal,259)*'5. Scenarios'!$B$6/(1+ProductivityDefault*('5. Scenarios'!$B$11-1)))</f>
        <v/>
      </c>
      <c r="E264" s="57" t="str">
        <f aca="false">IF($D264="","",INDEX(BookRate,259)*(1+'5. Scenarios'!$B$10)*$D264)</f>
        <v/>
      </c>
      <c r="F264" s="57" t="str">
        <f aca="false">IF($E264="","",SUMIFS($E$6:$E$2405,$A$6:$A$2405,"&lt;="&amp;$A264))</f>
        <v/>
      </c>
      <c r="G264" s="57" t="str">
        <f aca="false">IF($E264="","",IF($F264&lt;=BankCostEnvelope*'5. Scenarios'!$B$7,1,0))</f>
        <v/>
      </c>
      <c r="H264" s="57" t="str">
        <f aca="false">IF($D264="","",INDEX(BookRate,259)*(1+'5. Scenarios'!$B$10)*(INDEX(BookQ1,259)*(5-MIN(4,1+'5. Scenarios'!$B$8))/4+INDEX(BookQ2,259)*(5-MIN(4,2+'5. Scenarios'!$B$8))/4+INDEX(BookQ3,259)*(5-MIN(4,3+'5. Scenarios'!$B$8))/4+INDEX(BookQ4,259)*(5-MIN(4,4+'5. Scenarios'!$B$8))/4)*'5. Scenarios'!$B$6/(1+ProductivityDefault*('5. Scenarios'!$B$11-1))+INDEX(BookOneOff,259)*$D264)</f>
        <v/>
      </c>
      <c r="I264" s="56" t="str">
        <f aca="false">IF(INDEX(BookTitle,259)="","",INDEX(BookTotal,259)*'5. Scenarios'!$C$6/(1+ProductivityDefault*('5. Scenarios'!$C$11-1)))</f>
        <v/>
      </c>
      <c r="J264" s="57" t="str">
        <f aca="false">IF($I264="","",INDEX(BookRate,259)*(1+'5. Scenarios'!$C$10)*$I264)</f>
        <v/>
      </c>
      <c r="K264" s="57" t="str">
        <f aca="false">IF($J264="","",SUMIFS($J$6:$J$2405,$A$6:$A$2405,"&lt;="&amp;$A264))</f>
        <v/>
      </c>
      <c r="L264" s="57" t="str">
        <f aca="false">IF($J264="","",IF($K264&lt;=BankCostEnvelope*'5. Scenarios'!$C$7,1,0))</f>
        <v/>
      </c>
      <c r="M264" s="57" t="str">
        <f aca="false">IF($I264="","",INDEX(BookRate,259)*(1+'5. Scenarios'!$C$10)*(INDEX(BookQ1,259)*(5-MIN(4,1+'5. Scenarios'!$C$8))/4+INDEX(BookQ2,259)*(5-MIN(4,2+'5. Scenarios'!$C$8))/4+INDEX(BookQ3,259)*(5-MIN(4,3+'5. Scenarios'!$C$8))/4+INDEX(BookQ4,259)*(5-MIN(4,4+'5. Scenarios'!$C$8))/4)*'5. Scenarios'!$C$6/(1+ProductivityDefault*('5. Scenarios'!$C$11-1))+INDEX(BookOneOff,259)*$I264)</f>
        <v/>
      </c>
      <c r="N264" s="56" t="str">
        <f aca="false">IF(INDEX(BookTitle,259)="","",INDEX(BookTotal,259)*'5. Scenarios'!$D$6/(1+ProductivityDefault*('5. Scenarios'!$D$11-1)))</f>
        <v/>
      </c>
      <c r="O264" s="57" t="str">
        <f aca="false">IF($N264="","",INDEX(BookRate,259)*(1+'5. Scenarios'!$D$10)*$N264)</f>
        <v/>
      </c>
      <c r="P264" s="57" t="str">
        <f aca="false">IF($O264="","",SUMIFS($O$6:$O$2405,$A$6:$A$2405,"&lt;="&amp;$A264))</f>
        <v/>
      </c>
      <c r="Q264" s="57" t="str">
        <f aca="false">IF($O264="","",IF($P264&lt;=BankCostEnvelope*'5. Scenarios'!$D$7,1,0))</f>
        <v/>
      </c>
      <c r="R264" s="57" t="str">
        <f aca="false">IF($N264="","",INDEX(BookRate,259)*(1+'5. Scenarios'!$D$10)*(INDEX(BookQ1,259)*(5-MIN(4,1+'5. Scenarios'!$D$8))/4+INDEX(BookQ2,259)*(5-MIN(4,2+'5. Scenarios'!$D$8))/4+INDEX(BookQ3,259)*(5-MIN(4,3+'5. Scenarios'!$D$8))/4+INDEX(BookQ4,259)*(5-MIN(4,4+'5. Scenarios'!$D$8))/4)*'5. Scenarios'!$D$6/(1+ProductivityDefault*('5. Scenarios'!$D$11-1))+INDEX(BookOneOff,259)*$N264)</f>
        <v/>
      </c>
      <c r="S264" s="56" t="str">
        <f aca="false">IF(INDEX(BookTitle,259)="","",INDEX(BookTotal,259)*'5. Scenarios'!$E$6/(1+ProductivityDefault*('5. Scenarios'!$E$11-1)))</f>
        <v/>
      </c>
      <c r="T264" s="57" t="str">
        <f aca="false">IF($S264="","",INDEX(BookRate,259)*(1+'5. Scenarios'!$E$10)*$S264)</f>
        <v/>
      </c>
      <c r="U264" s="57" t="str">
        <f aca="false">IF($T264="","",SUMIFS($T$6:$T$2405,$A$6:$A$2405,"&lt;="&amp;$A264))</f>
        <v/>
      </c>
      <c r="V264" s="57" t="str">
        <f aca="false">IF($T264="","",IF($U264&lt;=BankCostEnvelope*'5. Scenarios'!$E$7,1,0))</f>
        <v/>
      </c>
      <c r="W264" s="57" t="str">
        <f aca="false">IF($S264="","",INDEX(BookRate,259)*(1+'5. Scenarios'!$E$10)*(INDEX(BookQ1,259)*(5-MIN(4,1+'5. Scenarios'!$E$8))/4+INDEX(BookQ2,259)*(5-MIN(4,2+'5. Scenarios'!$E$8))/4+INDEX(BookQ3,259)*(5-MIN(4,3+'5. Scenarios'!$E$8))/4+INDEX(BookQ4,259)*(5-MIN(4,4+'5. Scenarios'!$E$8))/4)*'5. Scenarios'!$E$6/(1+ProductivityDefault*('5. Scenarios'!$E$11-1))+INDEX(BookOneOff,259)*$S264)</f>
        <v/>
      </c>
    </row>
    <row r="265" customFormat="false" ht="15" hidden="false" customHeight="false" outlineLevel="0" collapsed="false">
      <c r="A265" s="0" t="str">
        <f aca="false">IF(INDEX(BookTitle,260)="","",INDEX(BookKey,260))</f>
        <v/>
      </c>
      <c r="B265" s="0" t="str">
        <f aca="false">IF(INDEX(BookTitle,260)="","",INDEX(BookGroup,260))</f>
        <v/>
      </c>
      <c r="C265" s="0" t="str">
        <f aca="false">IF(INDEX(BookTitle,260)="","",INDEX(BookCategory,260))</f>
        <v/>
      </c>
      <c r="D265" s="56" t="str">
        <f aca="false">IF(INDEX(BookTitle,260)="","",INDEX(BookTotal,260)*'5. Scenarios'!$B$6/(1+ProductivityDefault*('5. Scenarios'!$B$11-1)))</f>
        <v/>
      </c>
      <c r="E265" s="57" t="str">
        <f aca="false">IF($D265="","",INDEX(BookRate,260)*(1+'5. Scenarios'!$B$10)*$D265)</f>
        <v/>
      </c>
      <c r="F265" s="57" t="str">
        <f aca="false">IF($E265="","",SUMIFS($E$6:$E$2405,$A$6:$A$2405,"&lt;="&amp;$A265))</f>
        <v/>
      </c>
      <c r="G265" s="57" t="str">
        <f aca="false">IF($E265="","",IF($F265&lt;=BankCostEnvelope*'5. Scenarios'!$B$7,1,0))</f>
        <v/>
      </c>
      <c r="H265" s="57" t="str">
        <f aca="false">IF($D265="","",INDEX(BookRate,260)*(1+'5. Scenarios'!$B$10)*(INDEX(BookQ1,260)*(5-MIN(4,1+'5. Scenarios'!$B$8))/4+INDEX(BookQ2,260)*(5-MIN(4,2+'5. Scenarios'!$B$8))/4+INDEX(BookQ3,260)*(5-MIN(4,3+'5. Scenarios'!$B$8))/4+INDEX(BookQ4,260)*(5-MIN(4,4+'5. Scenarios'!$B$8))/4)*'5. Scenarios'!$B$6/(1+ProductivityDefault*('5. Scenarios'!$B$11-1))+INDEX(BookOneOff,260)*$D265)</f>
        <v/>
      </c>
      <c r="I265" s="56" t="str">
        <f aca="false">IF(INDEX(BookTitle,260)="","",INDEX(BookTotal,260)*'5. Scenarios'!$C$6/(1+ProductivityDefault*('5. Scenarios'!$C$11-1)))</f>
        <v/>
      </c>
      <c r="J265" s="57" t="str">
        <f aca="false">IF($I265="","",INDEX(BookRate,260)*(1+'5. Scenarios'!$C$10)*$I265)</f>
        <v/>
      </c>
      <c r="K265" s="57" t="str">
        <f aca="false">IF($J265="","",SUMIFS($J$6:$J$2405,$A$6:$A$2405,"&lt;="&amp;$A265))</f>
        <v/>
      </c>
      <c r="L265" s="57" t="str">
        <f aca="false">IF($J265="","",IF($K265&lt;=BankCostEnvelope*'5. Scenarios'!$C$7,1,0))</f>
        <v/>
      </c>
      <c r="M265" s="57" t="str">
        <f aca="false">IF($I265="","",INDEX(BookRate,260)*(1+'5. Scenarios'!$C$10)*(INDEX(BookQ1,260)*(5-MIN(4,1+'5. Scenarios'!$C$8))/4+INDEX(BookQ2,260)*(5-MIN(4,2+'5. Scenarios'!$C$8))/4+INDEX(BookQ3,260)*(5-MIN(4,3+'5. Scenarios'!$C$8))/4+INDEX(BookQ4,260)*(5-MIN(4,4+'5. Scenarios'!$C$8))/4)*'5. Scenarios'!$C$6/(1+ProductivityDefault*('5. Scenarios'!$C$11-1))+INDEX(BookOneOff,260)*$I265)</f>
        <v/>
      </c>
      <c r="N265" s="56" t="str">
        <f aca="false">IF(INDEX(BookTitle,260)="","",INDEX(BookTotal,260)*'5. Scenarios'!$D$6/(1+ProductivityDefault*('5. Scenarios'!$D$11-1)))</f>
        <v/>
      </c>
      <c r="O265" s="57" t="str">
        <f aca="false">IF($N265="","",INDEX(BookRate,260)*(1+'5. Scenarios'!$D$10)*$N265)</f>
        <v/>
      </c>
      <c r="P265" s="57" t="str">
        <f aca="false">IF($O265="","",SUMIFS($O$6:$O$2405,$A$6:$A$2405,"&lt;="&amp;$A265))</f>
        <v/>
      </c>
      <c r="Q265" s="57" t="str">
        <f aca="false">IF($O265="","",IF($P265&lt;=BankCostEnvelope*'5. Scenarios'!$D$7,1,0))</f>
        <v/>
      </c>
      <c r="R265" s="57" t="str">
        <f aca="false">IF($N265="","",INDEX(BookRate,260)*(1+'5. Scenarios'!$D$10)*(INDEX(BookQ1,260)*(5-MIN(4,1+'5. Scenarios'!$D$8))/4+INDEX(BookQ2,260)*(5-MIN(4,2+'5. Scenarios'!$D$8))/4+INDEX(BookQ3,260)*(5-MIN(4,3+'5. Scenarios'!$D$8))/4+INDEX(BookQ4,260)*(5-MIN(4,4+'5. Scenarios'!$D$8))/4)*'5. Scenarios'!$D$6/(1+ProductivityDefault*('5. Scenarios'!$D$11-1))+INDEX(BookOneOff,260)*$N265)</f>
        <v/>
      </c>
      <c r="S265" s="56" t="str">
        <f aca="false">IF(INDEX(BookTitle,260)="","",INDEX(BookTotal,260)*'5. Scenarios'!$E$6/(1+ProductivityDefault*('5. Scenarios'!$E$11-1)))</f>
        <v/>
      </c>
      <c r="T265" s="57" t="str">
        <f aca="false">IF($S265="","",INDEX(BookRate,260)*(1+'5. Scenarios'!$E$10)*$S265)</f>
        <v/>
      </c>
      <c r="U265" s="57" t="str">
        <f aca="false">IF($T265="","",SUMIFS($T$6:$T$2405,$A$6:$A$2405,"&lt;="&amp;$A265))</f>
        <v/>
      </c>
      <c r="V265" s="57" t="str">
        <f aca="false">IF($T265="","",IF($U265&lt;=BankCostEnvelope*'5. Scenarios'!$E$7,1,0))</f>
        <v/>
      </c>
      <c r="W265" s="57" t="str">
        <f aca="false">IF($S265="","",INDEX(BookRate,260)*(1+'5. Scenarios'!$E$10)*(INDEX(BookQ1,260)*(5-MIN(4,1+'5. Scenarios'!$E$8))/4+INDEX(BookQ2,260)*(5-MIN(4,2+'5. Scenarios'!$E$8))/4+INDEX(BookQ3,260)*(5-MIN(4,3+'5. Scenarios'!$E$8))/4+INDEX(BookQ4,260)*(5-MIN(4,4+'5. Scenarios'!$E$8))/4)*'5. Scenarios'!$E$6/(1+ProductivityDefault*('5. Scenarios'!$E$11-1))+INDEX(BookOneOff,260)*$S265)</f>
        <v/>
      </c>
    </row>
    <row r="266" customFormat="false" ht="15" hidden="false" customHeight="false" outlineLevel="0" collapsed="false">
      <c r="A266" s="0" t="str">
        <f aca="false">IF(INDEX(BookTitle,261)="","",INDEX(BookKey,261))</f>
        <v/>
      </c>
      <c r="B266" s="0" t="str">
        <f aca="false">IF(INDEX(BookTitle,261)="","",INDEX(BookGroup,261))</f>
        <v/>
      </c>
      <c r="C266" s="0" t="str">
        <f aca="false">IF(INDEX(BookTitle,261)="","",INDEX(BookCategory,261))</f>
        <v/>
      </c>
      <c r="D266" s="56" t="str">
        <f aca="false">IF(INDEX(BookTitle,261)="","",INDEX(BookTotal,261)*'5. Scenarios'!$B$6/(1+ProductivityDefault*('5. Scenarios'!$B$11-1)))</f>
        <v/>
      </c>
      <c r="E266" s="57" t="str">
        <f aca="false">IF($D266="","",INDEX(BookRate,261)*(1+'5. Scenarios'!$B$10)*$D266)</f>
        <v/>
      </c>
      <c r="F266" s="57" t="str">
        <f aca="false">IF($E266="","",SUMIFS($E$6:$E$2405,$A$6:$A$2405,"&lt;="&amp;$A266))</f>
        <v/>
      </c>
      <c r="G266" s="57" t="str">
        <f aca="false">IF($E266="","",IF($F266&lt;=BankCostEnvelope*'5. Scenarios'!$B$7,1,0))</f>
        <v/>
      </c>
      <c r="H266" s="57" t="str">
        <f aca="false">IF($D266="","",INDEX(BookRate,261)*(1+'5. Scenarios'!$B$10)*(INDEX(BookQ1,261)*(5-MIN(4,1+'5. Scenarios'!$B$8))/4+INDEX(BookQ2,261)*(5-MIN(4,2+'5. Scenarios'!$B$8))/4+INDEX(BookQ3,261)*(5-MIN(4,3+'5. Scenarios'!$B$8))/4+INDEX(BookQ4,261)*(5-MIN(4,4+'5. Scenarios'!$B$8))/4)*'5. Scenarios'!$B$6/(1+ProductivityDefault*('5. Scenarios'!$B$11-1))+INDEX(BookOneOff,261)*$D266)</f>
        <v/>
      </c>
      <c r="I266" s="56" t="str">
        <f aca="false">IF(INDEX(BookTitle,261)="","",INDEX(BookTotal,261)*'5. Scenarios'!$C$6/(1+ProductivityDefault*('5. Scenarios'!$C$11-1)))</f>
        <v/>
      </c>
      <c r="J266" s="57" t="str">
        <f aca="false">IF($I266="","",INDEX(BookRate,261)*(1+'5. Scenarios'!$C$10)*$I266)</f>
        <v/>
      </c>
      <c r="K266" s="57" t="str">
        <f aca="false">IF($J266="","",SUMIFS($J$6:$J$2405,$A$6:$A$2405,"&lt;="&amp;$A266))</f>
        <v/>
      </c>
      <c r="L266" s="57" t="str">
        <f aca="false">IF($J266="","",IF($K266&lt;=BankCostEnvelope*'5. Scenarios'!$C$7,1,0))</f>
        <v/>
      </c>
      <c r="M266" s="57" t="str">
        <f aca="false">IF($I266="","",INDEX(BookRate,261)*(1+'5. Scenarios'!$C$10)*(INDEX(BookQ1,261)*(5-MIN(4,1+'5. Scenarios'!$C$8))/4+INDEX(BookQ2,261)*(5-MIN(4,2+'5. Scenarios'!$C$8))/4+INDEX(BookQ3,261)*(5-MIN(4,3+'5. Scenarios'!$C$8))/4+INDEX(BookQ4,261)*(5-MIN(4,4+'5. Scenarios'!$C$8))/4)*'5. Scenarios'!$C$6/(1+ProductivityDefault*('5. Scenarios'!$C$11-1))+INDEX(BookOneOff,261)*$I266)</f>
        <v/>
      </c>
      <c r="N266" s="56" t="str">
        <f aca="false">IF(INDEX(BookTitle,261)="","",INDEX(BookTotal,261)*'5. Scenarios'!$D$6/(1+ProductivityDefault*('5. Scenarios'!$D$11-1)))</f>
        <v/>
      </c>
      <c r="O266" s="57" t="str">
        <f aca="false">IF($N266="","",INDEX(BookRate,261)*(1+'5. Scenarios'!$D$10)*$N266)</f>
        <v/>
      </c>
      <c r="P266" s="57" t="str">
        <f aca="false">IF($O266="","",SUMIFS($O$6:$O$2405,$A$6:$A$2405,"&lt;="&amp;$A266))</f>
        <v/>
      </c>
      <c r="Q266" s="57" t="str">
        <f aca="false">IF($O266="","",IF($P266&lt;=BankCostEnvelope*'5. Scenarios'!$D$7,1,0))</f>
        <v/>
      </c>
      <c r="R266" s="57" t="str">
        <f aca="false">IF($N266="","",INDEX(BookRate,261)*(1+'5. Scenarios'!$D$10)*(INDEX(BookQ1,261)*(5-MIN(4,1+'5. Scenarios'!$D$8))/4+INDEX(BookQ2,261)*(5-MIN(4,2+'5. Scenarios'!$D$8))/4+INDEX(BookQ3,261)*(5-MIN(4,3+'5. Scenarios'!$D$8))/4+INDEX(BookQ4,261)*(5-MIN(4,4+'5. Scenarios'!$D$8))/4)*'5. Scenarios'!$D$6/(1+ProductivityDefault*('5. Scenarios'!$D$11-1))+INDEX(BookOneOff,261)*$N266)</f>
        <v/>
      </c>
      <c r="S266" s="56" t="str">
        <f aca="false">IF(INDEX(BookTitle,261)="","",INDEX(BookTotal,261)*'5. Scenarios'!$E$6/(1+ProductivityDefault*('5. Scenarios'!$E$11-1)))</f>
        <v/>
      </c>
      <c r="T266" s="57" t="str">
        <f aca="false">IF($S266="","",INDEX(BookRate,261)*(1+'5. Scenarios'!$E$10)*$S266)</f>
        <v/>
      </c>
      <c r="U266" s="57" t="str">
        <f aca="false">IF($T266="","",SUMIFS($T$6:$T$2405,$A$6:$A$2405,"&lt;="&amp;$A266))</f>
        <v/>
      </c>
      <c r="V266" s="57" t="str">
        <f aca="false">IF($T266="","",IF($U266&lt;=BankCostEnvelope*'5. Scenarios'!$E$7,1,0))</f>
        <v/>
      </c>
      <c r="W266" s="57" t="str">
        <f aca="false">IF($S266="","",INDEX(BookRate,261)*(1+'5. Scenarios'!$E$10)*(INDEX(BookQ1,261)*(5-MIN(4,1+'5. Scenarios'!$E$8))/4+INDEX(BookQ2,261)*(5-MIN(4,2+'5. Scenarios'!$E$8))/4+INDEX(BookQ3,261)*(5-MIN(4,3+'5. Scenarios'!$E$8))/4+INDEX(BookQ4,261)*(5-MIN(4,4+'5. Scenarios'!$E$8))/4)*'5. Scenarios'!$E$6/(1+ProductivityDefault*('5. Scenarios'!$E$11-1))+INDEX(BookOneOff,261)*$S266)</f>
        <v/>
      </c>
    </row>
    <row r="267" customFormat="false" ht="15" hidden="false" customHeight="false" outlineLevel="0" collapsed="false">
      <c r="A267" s="0" t="str">
        <f aca="false">IF(INDEX(BookTitle,262)="","",INDEX(BookKey,262))</f>
        <v/>
      </c>
      <c r="B267" s="0" t="str">
        <f aca="false">IF(INDEX(BookTitle,262)="","",INDEX(BookGroup,262))</f>
        <v/>
      </c>
      <c r="C267" s="0" t="str">
        <f aca="false">IF(INDEX(BookTitle,262)="","",INDEX(BookCategory,262))</f>
        <v/>
      </c>
      <c r="D267" s="56" t="str">
        <f aca="false">IF(INDEX(BookTitle,262)="","",INDEX(BookTotal,262)*'5. Scenarios'!$B$6/(1+ProductivityDefault*('5. Scenarios'!$B$11-1)))</f>
        <v/>
      </c>
      <c r="E267" s="57" t="str">
        <f aca="false">IF($D267="","",INDEX(BookRate,262)*(1+'5. Scenarios'!$B$10)*$D267)</f>
        <v/>
      </c>
      <c r="F267" s="57" t="str">
        <f aca="false">IF($E267="","",SUMIFS($E$6:$E$2405,$A$6:$A$2405,"&lt;="&amp;$A267))</f>
        <v/>
      </c>
      <c r="G267" s="57" t="str">
        <f aca="false">IF($E267="","",IF($F267&lt;=BankCostEnvelope*'5. Scenarios'!$B$7,1,0))</f>
        <v/>
      </c>
      <c r="H267" s="57" t="str">
        <f aca="false">IF($D267="","",INDEX(BookRate,262)*(1+'5. Scenarios'!$B$10)*(INDEX(BookQ1,262)*(5-MIN(4,1+'5. Scenarios'!$B$8))/4+INDEX(BookQ2,262)*(5-MIN(4,2+'5. Scenarios'!$B$8))/4+INDEX(BookQ3,262)*(5-MIN(4,3+'5. Scenarios'!$B$8))/4+INDEX(BookQ4,262)*(5-MIN(4,4+'5. Scenarios'!$B$8))/4)*'5. Scenarios'!$B$6/(1+ProductivityDefault*('5. Scenarios'!$B$11-1))+INDEX(BookOneOff,262)*$D267)</f>
        <v/>
      </c>
      <c r="I267" s="56" t="str">
        <f aca="false">IF(INDEX(BookTitle,262)="","",INDEX(BookTotal,262)*'5. Scenarios'!$C$6/(1+ProductivityDefault*('5. Scenarios'!$C$11-1)))</f>
        <v/>
      </c>
      <c r="J267" s="57" t="str">
        <f aca="false">IF($I267="","",INDEX(BookRate,262)*(1+'5. Scenarios'!$C$10)*$I267)</f>
        <v/>
      </c>
      <c r="K267" s="57" t="str">
        <f aca="false">IF($J267="","",SUMIFS($J$6:$J$2405,$A$6:$A$2405,"&lt;="&amp;$A267))</f>
        <v/>
      </c>
      <c r="L267" s="57" t="str">
        <f aca="false">IF($J267="","",IF($K267&lt;=BankCostEnvelope*'5. Scenarios'!$C$7,1,0))</f>
        <v/>
      </c>
      <c r="M267" s="57" t="str">
        <f aca="false">IF($I267="","",INDEX(BookRate,262)*(1+'5. Scenarios'!$C$10)*(INDEX(BookQ1,262)*(5-MIN(4,1+'5. Scenarios'!$C$8))/4+INDEX(BookQ2,262)*(5-MIN(4,2+'5. Scenarios'!$C$8))/4+INDEX(BookQ3,262)*(5-MIN(4,3+'5. Scenarios'!$C$8))/4+INDEX(BookQ4,262)*(5-MIN(4,4+'5. Scenarios'!$C$8))/4)*'5. Scenarios'!$C$6/(1+ProductivityDefault*('5. Scenarios'!$C$11-1))+INDEX(BookOneOff,262)*$I267)</f>
        <v/>
      </c>
      <c r="N267" s="56" t="str">
        <f aca="false">IF(INDEX(BookTitle,262)="","",INDEX(BookTotal,262)*'5. Scenarios'!$D$6/(1+ProductivityDefault*('5. Scenarios'!$D$11-1)))</f>
        <v/>
      </c>
      <c r="O267" s="57" t="str">
        <f aca="false">IF($N267="","",INDEX(BookRate,262)*(1+'5. Scenarios'!$D$10)*$N267)</f>
        <v/>
      </c>
      <c r="P267" s="57" t="str">
        <f aca="false">IF($O267="","",SUMIFS($O$6:$O$2405,$A$6:$A$2405,"&lt;="&amp;$A267))</f>
        <v/>
      </c>
      <c r="Q267" s="57" t="str">
        <f aca="false">IF($O267="","",IF($P267&lt;=BankCostEnvelope*'5. Scenarios'!$D$7,1,0))</f>
        <v/>
      </c>
      <c r="R267" s="57" t="str">
        <f aca="false">IF($N267="","",INDEX(BookRate,262)*(1+'5. Scenarios'!$D$10)*(INDEX(BookQ1,262)*(5-MIN(4,1+'5. Scenarios'!$D$8))/4+INDEX(BookQ2,262)*(5-MIN(4,2+'5. Scenarios'!$D$8))/4+INDEX(BookQ3,262)*(5-MIN(4,3+'5. Scenarios'!$D$8))/4+INDEX(BookQ4,262)*(5-MIN(4,4+'5. Scenarios'!$D$8))/4)*'5. Scenarios'!$D$6/(1+ProductivityDefault*('5. Scenarios'!$D$11-1))+INDEX(BookOneOff,262)*$N267)</f>
        <v/>
      </c>
      <c r="S267" s="56" t="str">
        <f aca="false">IF(INDEX(BookTitle,262)="","",INDEX(BookTotal,262)*'5. Scenarios'!$E$6/(1+ProductivityDefault*('5. Scenarios'!$E$11-1)))</f>
        <v/>
      </c>
      <c r="T267" s="57" t="str">
        <f aca="false">IF($S267="","",INDEX(BookRate,262)*(1+'5. Scenarios'!$E$10)*$S267)</f>
        <v/>
      </c>
      <c r="U267" s="57" t="str">
        <f aca="false">IF($T267="","",SUMIFS($T$6:$T$2405,$A$6:$A$2405,"&lt;="&amp;$A267))</f>
        <v/>
      </c>
      <c r="V267" s="57" t="str">
        <f aca="false">IF($T267="","",IF($U267&lt;=BankCostEnvelope*'5. Scenarios'!$E$7,1,0))</f>
        <v/>
      </c>
      <c r="W267" s="57" t="str">
        <f aca="false">IF($S267="","",INDEX(BookRate,262)*(1+'5. Scenarios'!$E$10)*(INDEX(BookQ1,262)*(5-MIN(4,1+'5. Scenarios'!$E$8))/4+INDEX(BookQ2,262)*(5-MIN(4,2+'5. Scenarios'!$E$8))/4+INDEX(BookQ3,262)*(5-MIN(4,3+'5. Scenarios'!$E$8))/4+INDEX(BookQ4,262)*(5-MIN(4,4+'5. Scenarios'!$E$8))/4)*'5. Scenarios'!$E$6/(1+ProductivityDefault*('5. Scenarios'!$E$11-1))+INDEX(BookOneOff,262)*$S267)</f>
        <v/>
      </c>
    </row>
    <row r="268" customFormat="false" ht="15" hidden="false" customHeight="false" outlineLevel="0" collapsed="false">
      <c r="A268" s="0" t="str">
        <f aca="false">IF(INDEX(BookTitle,263)="","",INDEX(BookKey,263))</f>
        <v/>
      </c>
      <c r="B268" s="0" t="str">
        <f aca="false">IF(INDEX(BookTitle,263)="","",INDEX(BookGroup,263))</f>
        <v/>
      </c>
      <c r="C268" s="0" t="str">
        <f aca="false">IF(INDEX(BookTitle,263)="","",INDEX(BookCategory,263))</f>
        <v/>
      </c>
      <c r="D268" s="56" t="str">
        <f aca="false">IF(INDEX(BookTitle,263)="","",INDEX(BookTotal,263)*'5. Scenarios'!$B$6/(1+ProductivityDefault*('5. Scenarios'!$B$11-1)))</f>
        <v/>
      </c>
      <c r="E268" s="57" t="str">
        <f aca="false">IF($D268="","",INDEX(BookRate,263)*(1+'5. Scenarios'!$B$10)*$D268)</f>
        <v/>
      </c>
      <c r="F268" s="57" t="str">
        <f aca="false">IF($E268="","",SUMIFS($E$6:$E$2405,$A$6:$A$2405,"&lt;="&amp;$A268))</f>
        <v/>
      </c>
      <c r="G268" s="57" t="str">
        <f aca="false">IF($E268="","",IF($F268&lt;=BankCostEnvelope*'5. Scenarios'!$B$7,1,0))</f>
        <v/>
      </c>
      <c r="H268" s="57" t="str">
        <f aca="false">IF($D268="","",INDEX(BookRate,263)*(1+'5. Scenarios'!$B$10)*(INDEX(BookQ1,263)*(5-MIN(4,1+'5. Scenarios'!$B$8))/4+INDEX(BookQ2,263)*(5-MIN(4,2+'5. Scenarios'!$B$8))/4+INDEX(BookQ3,263)*(5-MIN(4,3+'5. Scenarios'!$B$8))/4+INDEX(BookQ4,263)*(5-MIN(4,4+'5. Scenarios'!$B$8))/4)*'5. Scenarios'!$B$6/(1+ProductivityDefault*('5. Scenarios'!$B$11-1))+INDEX(BookOneOff,263)*$D268)</f>
        <v/>
      </c>
      <c r="I268" s="56" t="str">
        <f aca="false">IF(INDEX(BookTitle,263)="","",INDEX(BookTotal,263)*'5. Scenarios'!$C$6/(1+ProductivityDefault*('5. Scenarios'!$C$11-1)))</f>
        <v/>
      </c>
      <c r="J268" s="57" t="str">
        <f aca="false">IF($I268="","",INDEX(BookRate,263)*(1+'5. Scenarios'!$C$10)*$I268)</f>
        <v/>
      </c>
      <c r="K268" s="57" t="str">
        <f aca="false">IF($J268="","",SUMIFS($J$6:$J$2405,$A$6:$A$2405,"&lt;="&amp;$A268))</f>
        <v/>
      </c>
      <c r="L268" s="57" t="str">
        <f aca="false">IF($J268="","",IF($K268&lt;=BankCostEnvelope*'5. Scenarios'!$C$7,1,0))</f>
        <v/>
      </c>
      <c r="M268" s="57" t="str">
        <f aca="false">IF($I268="","",INDEX(BookRate,263)*(1+'5. Scenarios'!$C$10)*(INDEX(BookQ1,263)*(5-MIN(4,1+'5. Scenarios'!$C$8))/4+INDEX(BookQ2,263)*(5-MIN(4,2+'5. Scenarios'!$C$8))/4+INDEX(BookQ3,263)*(5-MIN(4,3+'5. Scenarios'!$C$8))/4+INDEX(BookQ4,263)*(5-MIN(4,4+'5. Scenarios'!$C$8))/4)*'5. Scenarios'!$C$6/(1+ProductivityDefault*('5. Scenarios'!$C$11-1))+INDEX(BookOneOff,263)*$I268)</f>
        <v/>
      </c>
      <c r="N268" s="56" t="str">
        <f aca="false">IF(INDEX(BookTitle,263)="","",INDEX(BookTotal,263)*'5. Scenarios'!$D$6/(1+ProductivityDefault*('5. Scenarios'!$D$11-1)))</f>
        <v/>
      </c>
      <c r="O268" s="57" t="str">
        <f aca="false">IF($N268="","",INDEX(BookRate,263)*(1+'5. Scenarios'!$D$10)*$N268)</f>
        <v/>
      </c>
      <c r="P268" s="57" t="str">
        <f aca="false">IF($O268="","",SUMIFS($O$6:$O$2405,$A$6:$A$2405,"&lt;="&amp;$A268))</f>
        <v/>
      </c>
      <c r="Q268" s="57" t="str">
        <f aca="false">IF($O268="","",IF($P268&lt;=BankCostEnvelope*'5. Scenarios'!$D$7,1,0))</f>
        <v/>
      </c>
      <c r="R268" s="57" t="str">
        <f aca="false">IF($N268="","",INDEX(BookRate,263)*(1+'5. Scenarios'!$D$10)*(INDEX(BookQ1,263)*(5-MIN(4,1+'5. Scenarios'!$D$8))/4+INDEX(BookQ2,263)*(5-MIN(4,2+'5. Scenarios'!$D$8))/4+INDEX(BookQ3,263)*(5-MIN(4,3+'5. Scenarios'!$D$8))/4+INDEX(BookQ4,263)*(5-MIN(4,4+'5. Scenarios'!$D$8))/4)*'5. Scenarios'!$D$6/(1+ProductivityDefault*('5. Scenarios'!$D$11-1))+INDEX(BookOneOff,263)*$N268)</f>
        <v/>
      </c>
      <c r="S268" s="56" t="str">
        <f aca="false">IF(INDEX(BookTitle,263)="","",INDEX(BookTotal,263)*'5. Scenarios'!$E$6/(1+ProductivityDefault*('5. Scenarios'!$E$11-1)))</f>
        <v/>
      </c>
      <c r="T268" s="57" t="str">
        <f aca="false">IF($S268="","",INDEX(BookRate,263)*(1+'5. Scenarios'!$E$10)*$S268)</f>
        <v/>
      </c>
      <c r="U268" s="57" t="str">
        <f aca="false">IF($T268="","",SUMIFS($T$6:$T$2405,$A$6:$A$2405,"&lt;="&amp;$A268))</f>
        <v/>
      </c>
      <c r="V268" s="57" t="str">
        <f aca="false">IF($T268="","",IF($U268&lt;=BankCostEnvelope*'5. Scenarios'!$E$7,1,0))</f>
        <v/>
      </c>
      <c r="W268" s="57" t="str">
        <f aca="false">IF($S268="","",INDEX(BookRate,263)*(1+'5. Scenarios'!$E$10)*(INDEX(BookQ1,263)*(5-MIN(4,1+'5. Scenarios'!$E$8))/4+INDEX(BookQ2,263)*(5-MIN(4,2+'5. Scenarios'!$E$8))/4+INDEX(BookQ3,263)*(5-MIN(4,3+'5. Scenarios'!$E$8))/4+INDEX(BookQ4,263)*(5-MIN(4,4+'5. Scenarios'!$E$8))/4)*'5. Scenarios'!$E$6/(1+ProductivityDefault*('5. Scenarios'!$E$11-1))+INDEX(BookOneOff,263)*$S268)</f>
        <v/>
      </c>
    </row>
    <row r="269" customFormat="false" ht="15" hidden="false" customHeight="false" outlineLevel="0" collapsed="false">
      <c r="A269" s="0" t="str">
        <f aca="false">IF(INDEX(BookTitle,264)="","",INDEX(BookKey,264))</f>
        <v/>
      </c>
      <c r="B269" s="0" t="str">
        <f aca="false">IF(INDEX(BookTitle,264)="","",INDEX(BookGroup,264))</f>
        <v/>
      </c>
      <c r="C269" s="0" t="str">
        <f aca="false">IF(INDEX(BookTitle,264)="","",INDEX(BookCategory,264))</f>
        <v/>
      </c>
      <c r="D269" s="56" t="str">
        <f aca="false">IF(INDEX(BookTitle,264)="","",INDEX(BookTotal,264)*'5. Scenarios'!$B$6/(1+ProductivityDefault*('5. Scenarios'!$B$11-1)))</f>
        <v/>
      </c>
      <c r="E269" s="57" t="str">
        <f aca="false">IF($D269="","",INDEX(BookRate,264)*(1+'5. Scenarios'!$B$10)*$D269)</f>
        <v/>
      </c>
      <c r="F269" s="57" t="str">
        <f aca="false">IF($E269="","",SUMIFS($E$6:$E$2405,$A$6:$A$2405,"&lt;="&amp;$A269))</f>
        <v/>
      </c>
      <c r="G269" s="57" t="str">
        <f aca="false">IF($E269="","",IF($F269&lt;=BankCostEnvelope*'5. Scenarios'!$B$7,1,0))</f>
        <v/>
      </c>
      <c r="H269" s="57" t="str">
        <f aca="false">IF($D269="","",INDEX(BookRate,264)*(1+'5. Scenarios'!$B$10)*(INDEX(BookQ1,264)*(5-MIN(4,1+'5. Scenarios'!$B$8))/4+INDEX(BookQ2,264)*(5-MIN(4,2+'5. Scenarios'!$B$8))/4+INDEX(BookQ3,264)*(5-MIN(4,3+'5. Scenarios'!$B$8))/4+INDEX(BookQ4,264)*(5-MIN(4,4+'5. Scenarios'!$B$8))/4)*'5. Scenarios'!$B$6/(1+ProductivityDefault*('5. Scenarios'!$B$11-1))+INDEX(BookOneOff,264)*$D269)</f>
        <v/>
      </c>
      <c r="I269" s="56" t="str">
        <f aca="false">IF(INDEX(BookTitle,264)="","",INDEX(BookTotal,264)*'5. Scenarios'!$C$6/(1+ProductivityDefault*('5. Scenarios'!$C$11-1)))</f>
        <v/>
      </c>
      <c r="J269" s="57" t="str">
        <f aca="false">IF($I269="","",INDEX(BookRate,264)*(1+'5. Scenarios'!$C$10)*$I269)</f>
        <v/>
      </c>
      <c r="K269" s="57" t="str">
        <f aca="false">IF($J269="","",SUMIFS($J$6:$J$2405,$A$6:$A$2405,"&lt;="&amp;$A269))</f>
        <v/>
      </c>
      <c r="L269" s="57" t="str">
        <f aca="false">IF($J269="","",IF($K269&lt;=BankCostEnvelope*'5. Scenarios'!$C$7,1,0))</f>
        <v/>
      </c>
      <c r="M269" s="57" t="str">
        <f aca="false">IF($I269="","",INDEX(BookRate,264)*(1+'5. Scenarios'!$C$10)*(INDEX(BookQ1,264)*(5-MIN(4,1+'5. Scenarios'!$C$8))/4+INDEX(BookQ2,264)*(5-MIN(4,2+'5. Scenarios'!$C$8))/4+INDEX(BookQ3,264)*(5-MIN(4,3+'5. Scenarios'!$C$8))/4+INDEX(BookQ4,264)*(5-MIN(4,4+'5. Scenarios'!$C$8))/4)*'5. Scenarios'!$C$6/(1+ProductivityDefault*('5. Scenarios'!$C$11-1))+INDEX(BookOneOff,264)*$I269)</f>
        <v/>
      </c>
      <c r="N269" s="56" t="str">
        <f aca="false">IF(INDEX(BookTitle,264)="","",INDEX(BookTotal,264)*'5. Scenarios'!$D$6/(1+ProductivityDefault*('5. Scenarios'!$D$11-1)))</f>
        <v/>
      </c>
      <c r="O269" s="57" t="str">
        <f aca="false">IF($N269="","",INDEX(BookRate,264)*(1+'5. Scenarios'!$D$10)*$N269)</f>
        <v/>
      </c>
      <c r="P269" s="57" t="str">
        <f aca="false">IF($O269="","",SUMIFS($O$6:$O$2405,$A$6:$A$2405,"&lt;="&amp;$A269))</f>
        <v/>
      </c>
      <c r="Q269" s="57" t="str">
        <f aca="false">IF($O269="","",IF($P269&lt;=BankCostEnvelope*'5. Scenarios'!$D$7,1,0))</f>
        <v/>
      </c>
      <c r="R269" s="57" t="str">
        <f aca="false">IF($N269="","",INDEX(BookRate,264)*(1+'5. Scenarios'!$D$10)*(INDEX(BookQ1,264)*(5-MIN(4,1+'5. Scenarios'!$D$8))/4+INDEX(BookQ2,264)*(5-MIN(4,2+'5. Scenarios'!$D$8))/4+INDEX(BookQ3,264)*(5-MIN(4,3+'5. Scenarios'!$D$8))/4+INDEX(BookQ4,264)*(5-MIN(4,4+'5. Scenarios'!$D$8))/4)*'5. Scenarios'!$D$6/(1+ProductivityDefault*('5. Scenarios'!$D$11-1))+INDEX(BookOneOff,264)*$N269)</f>
        <v/>
      </c>
      <c r="S269" s="56" t="str">
        <f aca="false">IF(INDEX(BookTitle,264)="","",INDEX(BookTotal,264)*'5. Scenarios'!$E$6/(1+ProductivityDefault*('5. Scenarios'!$E$11-1)))</f>
        <v/>
      </c>
      <c r="T269" s="57" t="str">
        <f aca="false">IF($S269="","",INDEX(BookRate,264)*(1+'5. Scenarios'!$E$10)*$S269)</f>
        <v/>
      </c>
      <c r="U269" s="57" t="str">
        <f aca="false">IF($T269="","",SUMIFS($T$6:$T$2405,$A$6:$A$2405,"&lt;="&amp;$A269))</f>
        <v/>
      </c>
      <c r="V269" s="57" t="str">
        <f aca="false">IF($T269="","",IF($U269&lt;=BankCostEnvelope*'5. Scenarios'!$E$7,1,0))</f>
        <v/>
      </c>
      <c r="W269" s="57" t="str">
        <f aca="false">IF($S269="","",INDEX(BookRate,264)*(1+'5. Scenarios'!$E$10)*(INDEX(BookQ1,264)*(5-MIN(4,1+'5. Scenarios'!$E$8))/4+INDEX(BookQ2,264)*(5-MIN(4,2+'5. Scenarios'!$E$8))/4+INDEX(BookQ3,264)*(5-MIN(4,3+'5. Scenarios'!$E$8))/4+INDEX(BookQ4,264)*(5-MIN(4,4+'5. Scenarios'!$E$8))/4)*'5. Scenarios'!$E$6/(1+ProductivityDefault*('5. Scenarios'!$E$11-1))+INDEX(BookOneOff,264)*$S269)</f>
        <v/>
      </c>
    </row>
    <row r="270" customFormat="false" ht="15" hidden="false" customHeight="false" outlineLevel="0" collapsed="false">
      <c r="A270" s="0" t="str">
        <f aca="false">IF(INDEX(BookTitle,265)="","",INDEX(BookKey,265))</f>
        <v/>
      </c>
      <c r="B270" s="0" t="str">
        <f aca="false">IF(INDEX(BookTitle,265)="","",INDEX(BookGroup,265))</f>
        <v/>
      </c>
      <c r="C270" s="0" t="str">
        <f aca="false">IF(INDEX(BookTitle,265)="","",INDEX(BookCategory,265))</f>
        <v/>
      </c>
      <c r="D270" s="56" t="str">
        <f aca="false">IF(INDEX(BookTitle,265)="","",INDEX(BookTotal,265)*'5. Scenarios'!$B$6/(1+ProductivityDefault*('5. Scenarios'!$B$11-1)))</f>
        <v/>
      </c>
      <c r="E270" s="57" t="str">
        <f aca="false">IF($D270="","",INDEX(BookRate,265)*(1+'5. Scenarios'!$B$10)*$D270)</f>
        <v/>
      </c>
      <c r="F270" s="57" t="str">
        <f aca="false">IF($E270="","",SUMIFS($E$6:$E$2405,$A$6:$A$2405,"&lt;="&amp;$A270))</f>
        <v/>
      </c>
      <c r="G270" s="57" t="str">
        <f aca="false">IF($E270="","",IF($F270&lt;=BankCostEnvelope*'5. Scenarios'!$B$7,1,0))</f>
        <v/>
      </c>
      <c r="H270" s="57" t="str">
        <f aca="false">IF($D270="","",INDEX(BookRate,265)*(1+'5. Scenarios'!$B$10)*(INDEX(BookQ1,265)*(5-MIN(4,1+'5. Scenarios'!$B$8))/4+INDEX(BookQ2,265)*(5-MIN(4,2+'5. Scenarios'!$B$8))/4+INDEX(BookQ3,265)*(5-MIN(4,3+'5. Scenarios'!$B$8))/4+INDEX(BookQ4,265)*(5-MIN(4,4+'5. Scenarios'!$B$8))/4)*'5. Scenarios'!$B$6/(1+ProductivityDefault*('5. Scenarios'!$B$11-1))+INDEX(BookOneOff,265)*$D270)</f>
        <v/>
      </c>
      <c r="I270" s="56" t="str">
        <f aca="false">IF(INDEX(BookTitle,265)="","",INDEX(BookTotal,265)*'5. Scenarios'!$C$6/(1+ProductivityDefault*('5. Scenarios'!$C$11-1)))</f>
        <v/>
      </c>
      <c r="J270" s="57" t="str">
        <f aca="false">IF($I270="","",INDEX(BookRate,265)*(1+'5. Scenarios'!$C$10)*$I270)</f>
        <v/>
      </c>
      <c r="K270" s="57" t="str">
        <f aca="false">IF($J270="","",SUMIFS($J$6:$J$2405,$A$6:$A$2405,"&lt;="&amp;$A270))</f>
        <v/>
      </c>
      <c r="L270" s="57" t="str">
        <f aca="false">IF($J270="","",IF($K270&lt;=BankCostEnvelope*'5. Scenarios'!$C$7,1,0))</f>
        <v/>
      </c>
      <c r="M270" s="57" t="str">
        <f aca="false">IF($I270="","",INDEX(BookRate,265)*(1+'5. Scenarios'!$C$10)*(INDEX(BookQ1,265)*(5-MIN(4,1+'5. Scenarios'!$C$8))/4+INDEX(BookQ2,265)*(5-MIN(4,2+'5. Scenarios'!$C$8))/4+INDEX(BookQ3,265)*(5-MIN(4,3+'5. Scenarios'!$C$8))/4+INDEX(BookQ4,265)*(5-MIN(4,4+'5. Scenarios'!$C$8))/4)*'5. Scenarios'!$C$6/(1+ProductivityDefault*('5. Scenarios'!$C$11-1))+INDEX(BookOneOff,265)*$I270)</f>
        <v/>
      </c>
      <c r="N270" s="56" t="str">
        <f aca="false">IF(INDEX(BookTitle,265)="","",INDEX(BookTotal,265)*'5. Scenarios'!$D$6/(1+ProductivityDefault*('5. Scenarios'!$D$11-1)))</f>
        <v/>
      </c>
      <c r="O270" s="57" t="str">
        <f aca="false">IF($N270="","",INDEX(BookRate,265)*(1+'5. Scenarios'!$D$10)*$N270)</f>
        <v/>
      </c>
      <c r="P270" s="57" t="str">
        <f aca="false">IF($O270="","",SUMIFS($O$6:$O$2405,$A$6:$A$2405,"&lt;="&amp;$A270))</f>
        <v/>
      </c>
      <c r="Q270" s="57" t="str">
        <f aca="false">IF($O270="","",IF($P270&lt;=BankCostEnvelope*'5. Scenarios'!$D$7,1,0))</f>
        <v/>
      </c>
      <c r="R270" s="57" t="str">
        <f aca="false">IF($N270="","",INDEX(BookRate,265)*(1+'5. Scenarios'!$D$10)*(INDEX(BookQ1,265)*(5-MIN(4,1+'5. Scenarios'!$D$8))/4+INDEX(BookQ2,265)*(5-MIN(4,2+'5. Scenarios'!$D$8))/4+INDEX(BookQ3,265)*(5-MIN(4,3+'5. Scenarios'!$D$8))/4+INDEX(BookQ4,265)*(5-MIN(4,4+'5. Scenarios'!$D$8))/4)*'5. Scenarios'!$D$6/(1+ProductivityDefault*('5. Scenarios'!$D$11-1))+INDEX(BookOneOff,265)*$N270)</f>
        <v/>
      </c>
      <c r="S270" s="56" t="str">
        <f aca="false">IF(INDEX(BookTitle,265)="","",INDEX(BookTotal,265)*'5. Scenarios'!$E$6/(1+ProductivityDefault*('5. Scenarios'!$E$11-1)))</f>
        <v/>
      </c>
      <c r="T270" s="57" t="str">
        <f aca="false">IF($S270="","",INDEX(BookRate,265)*(1+'5. Scenarios'!$E$10)*$S270)</f>
        <v/>
      </c>
      <c r="U270" s="57" t="str">
        <f aca="false">IF($T270="","",SUMIFS($T$6:$T$2405,$A$6:$A$2405,"&lt;="&amp;$A270))</f>
        <v/>
      </c>
      <c r="V270" s="57" t="str">
        <f aca="false">IF($T270="","",IF($U270&lt;=BankCostEnvelope*'5. Scenarios'!$E$7,1,0))</f>
        <v/>
      </c>
      <c r="W270" s="57" t="str">
        <f aca="false">IF($S270="","",INDEX(BookRate,265)*(1+'5. Scenarios'!$E$10)*(INDEX(BookQ1,265)*(5-MIN(4,1+'5. Scenarios'!$E$8))/4+INDEX(BookQ2,265)*(5-MIN(4,2+'5. Scenarios'!$E$8))/4+INDEX(BookQ3,265)*(5-MIN(4,3+'5. Scenarios'!$E$8))/4+INDEX(BookQ4,265)*(5-MIN(4,4+'5. Scenarios'!$E$8))/4)*'5. Scenarios'!$E$6/(1+ProductivityDefault*('5. Scenarios'!$E$11-1))+INDEX(BookOneOff,265)*$S270)</f>
        <v/>
      </c>
    </row>
    <row r="271" customFormat="false" ht="15" hidden="false" customHeight="false" outlineLevel="0" collapsed="false">
      <c r="A271" s="0" t="str">
        <f aca="false">IF(INDEX(BookTitle,266)="","",INDEX(BookKey,266))</f>
        <v/>
      </c>
      <c r="B271" s="0" t="str">
        <f aca="false">IF(INDEX(BookTitle,266)="","",INDEX(BookGroup,266))</f>
        <v/>
      </c>
      <c r="C271" s="0" t="str">
        <f aca="false">IF(INDEX(BookTitle,266)="","",INDEX(BookCategory,266))</f>
        <v/>
      </c>
      <c r="D271" s="56" t="str">
        <f aca="false">IF(INDEX(BookTitle,266)="","",INDEX(BookTotal,266)*'5. Scenarios'!$B$6/(1+ProductivityDefault*('5. Scenarios'!$B$11-1)))</f>
        <v/>
      </c>
      <c r="E271" s="57" t="str">
        <f aca="false">IF($D271="","",INDEX(BookRate,266)*(1+'5. Scenarios'!$B$10)*$D271)</f>
        <v/>
      </c>
      <c r="F271" s="57" t="str">
        <f aca="false">IF($E271="","",SUMIFS($E$6:$E$2405,$A$6:$A$2405,"&lt;="&amp;$A271))</f>
        <v/>
      </c>
      <c r="G271" s="57" t="str">
        <f aca="false">IF($E271="","",IF($F271&lt;=BankCostEnvelope*'5. Scenarios'!$B$7,1,0))</f>
        <v/>
      </c>
      <c r="H271" s="57" t="str">
        <f aca="false">IF($D271="","",INDEX(BookRate,266)*(1+'5. Scenarios'!$B$10)*(INDEX(BookQ1,266)*(5-MIN(4,1+'5. Scenarios'!$B$8))/4+INDEX(BookQ2,266)*(5-MIN(4,2+'5. Scenarios'!$B$8))/4+INDEX(BookQ3,266)*(5-MIN(4,3+'5. Scenarios'!$B$8))/4+INDEX(BookQ4,266)*(5-MIN(4,4+'5. Scenarios'!$B$8))/4)*'5. Scenarios'!$B$6/(1+ProductivityDefault*('5. Scenarios'!$B$11-1))+INDEX(BookOneOff,266)*$D271)</f>
        <v/>
      </c>
      <c r="I271" s="56" t="str">
        <f aca="false">IF(INDEX(BookTitle,266)="","",INDEX(BookTotal,266)*'5. Scenarios'!$C$6/(1+ProductivityDefault*('5. Scenarios'!$C$11-1)))</f>
        <v/>
      </c>
      <c r="J271" s="57" t="str">
        <f aca="false">IF($I271="","",INDEX(BookRate,266)*(1+'5. Scenarios'!$C$10)*$I271)</f>
        <v/>
      </c>
      <c r="K271" s="57" t="str">
        <f aca="false">IF($J271="","",SUMIFS($J$6:$J$2405,$A$6:$A$2405,"&lt;="&amp;$A271))</f>
        <v/>
      </c>
      <c r="L271" s="57" t="str">
        <f aca="false">IF($J271="","",IF($K271&lt;=BankCostEnvelope*'5. Scenarios'!$C$7,1,0))</f>
        <v/>
      </c>
      <c r="M271" s="57" t="str">
        <f aca="false">IF($I271="","",INDEX(BookRate,266)*(1+'5. Scenarios'!$C$10)*(INDEX(BookQ1,266)*(5-MIN(4,1+'5. Scenarios'!$C$8))/4+INDEX(BookQ2,266)*(5-MIN(4,2+'5. Scenarios'!$C$8))/4+INDEX(BookQ3,266)*(5-MIN(4,3+'5. Scenarios'!$C$8))/4+INDEX(BookQ4,266)*(5-MIN(4,4+'5. Scenarios'!$C$8))/4)*'5. Scenarios'!$C$6/(1+ProductivityDefault*('5. Scenarios'!$C$11-1))+INDEX(BookOneOff,266)*$I271)</f>
        <v/>
      </c>
      <c r="N271" s="56" t="str">
        <f aca="false">IF(INDEX(BookTitle,266)="","",INDEX(BookTotal,266)*'5. Scenarios'!$D$6/(1+ProductivityDefault*('5. Scenarios'!$D$11-1)))</f>
        <v/>
      </c>
      <c r="O271" s="57" t="str">
        <f aca="false">IF($N271="","",INDEX(BookRate,266)*(1+'5. Scenarios'!$D$10)*$N271)</f>
        <v/>
      </c>
      <c r="P271" s="57" t="str">
        <f aca="false">IF($O271="","",SUMIFS($O$6:$O$2405,$A$6:$A$2405,"&lt;="&amp;$A271))</f>
        <v/>
      </c>
      <c r="Q271" s="57" t="str">
        <f aca="false">IF($O271="","",IF($P271&lt;=BankCostEnvelope*'5. Scenarios'!$D$7,1,0))</f>
        <v/>
      </c>
      <c r="R271" s="57" t="str">
        <f aca="false">IF($N271="","",INDEX(BookRate,266)*(1+'5. Scenarios'!$D$10)*(INDEX(BookQ1,266)*(5-MIN(4,1+'5. Scenarios'!$D$8))/4+INDEX(BookQ2,266)*(5-MIN(4,2+'5. Scenarios'!$D$8))/4+INDEX(BookQ3,266)*(5-MIN(4,3+'5. Scenarios'!$D$8))/4+INDEX(BookQ4,266)*(5-MIN(4,4+'5. Scenarios'!$D$8))/4)*'5. Scenarios'!$D$6/(1+ProductivityDefault*('5. Scenarios'!$D$11-1))+INDEX(BookOneOff,266)*$N271)</f>
        <v/>
      </c>
      <c r="S271" s="56" t="str">
        <f aca="false">IF(INDEX(BookTitle,266)="","",INDEX(BookTotal,266)*'5. Scenarios'!$E$6/(1+ProductivityDefault*('5. Scenarios'!$E$11-1)))</f>
        <v/>
      </c>
      <c r="T271" s="57" t="str">
        <f aca="false">IF($S271="","",INDEX(BookRate,266)*(1+'5. Scenarios'!$E$10)*$S271)</f>
        <v/>
      </c>
      <c r="U271" s="57" t="str">
        <f aca="false">IF($T271="","",SUMIFS($T$6:$T$2405,$A$6:$A$2405,"&lt;="&amp;$A271))</f>
        <v/>
      </c>
      <c r="V271" s="57" t="str">
        <f aca="false">IF($T271="","",IF($U271&lt;=BankCostEnvelope*'5. Scenarios'!$E$7,1,0))</f>
        <v/>
      </c>
      <c r="W271" s="57" t="str">
        <f aca="false">IF($S271="","",INDEX(BookRate,266)*(1+'5. Scenarios'!$E$10)*(INDEX(BookQ1,266)*(5-MIN(4,1+'5. Scenarios'!$E$8))/4+INDEX(BookQ2,266)*(5-MIN(4,2+'5. Scenarios'!$E$8))/4+INDEX(BookQ3,266)*(5-MIN(4,3+'5. Scenarios'!$E$8))/4+INDEX(BookQ4,266)*(5-MIN(4,4+'5. Scenarios'!$E$8))/4)*'5. Scenarios'!$E$6/(1+ProductivityDefault*('5. Scenarios'!$E$11-1))+INDEX(BookOneOff,266)*$S271)</f>
        <v/>
      </c>
    </row>
    <row r="272" customFormat="false" ht="15" hidden="false" customHeight="false" outlineLevel="0" collapsed="false">
      <c r="A272" s="0" t="str">
        <f aca="false">IF(INDEX(BookTitle,267)="","",INDEX(BookKey,267))</f>
        <v/>
      </c>
      <c r="B272" s="0" t="str">
        <f aca="false">IF(INDEX(BookTitle,267)="","",INDEX(BookGroup,267))</f>
        <v/>
      </c>
      <c r="C272" s="0" t="str">
        <f aca="false">IF(INDEX(BookTitle,267)="","",INDEX(BookCategory,267))</f>
        <v/>
      </c>
      <c r="D272" s="56" t="str">
        <f aca="false">IF(INDEX(BookTitle,267)="","",INDEX(BookTotal,267)*'5. Scenarios'!$B$6/(1+ProductivityDefault*('5. Scenarios'!$B$11-1)))</f>
        <v/>
      </c>
      <c r="E272" s="57" t="str">
        <f aca="false">IF($D272="","",INDEX(BookRate,267)*(1+'5. Scenarios'!$B$10)*$D272)</f>
        <v/>
      </c>
      <c r="F272" s="57" t="str">
        <f aca="false">IF($E272="","",SUMIFS($E$6:$E$2405,$A$6:$A$2405,"&lt;="&amp;$A272))</f>
        <v/>
      </c>
      <c r="G272" s="57" t="str">
        <f aca="false">IF($E272="","",IF($F272&lt;=BankCostEnvelope*'5. Scenarios'!$B$7,1,0))</f>
        <v/>
      </c>
      <c r="H272" s="57" t="str">
        <f aca="false">IF($D272="","",INDEX(BookRate,267)*(1+'5. Scenarios'!$B$10)*(INDEX(BookQ1,267)*(5-MIN(4,1+'5. Scenarios'!$B$8))/4+INDEX(BookQ2,267)*(5-MIN(4,2+'5. Scenarios'!$B$8))/4+INDEX(BookQ3,267)*(5-MIN(4,3+'5. Scenarios'!$B$8))/4+INDEX(BookQ4,267)*(5-MIN(4,4+'5. Scenarios'!$B$8))/4)*'5. Scenarios'!$B$6/(1+ProductivityDefault*('5. Scenarios'!$B$11-1))+INDEX(BookOneOff,267)*$D272)</f>
        <v/>
      </c>
      <c r="I272" s="56" t="str">
        <f aca="false">IF(INDEX(BookTitle,267)="","",INDEX(BookTotal,267)*'5. Scenarios'!$C$6/(1+ProductivityDefault*('5. Scenarios'!$C$11-1)))</f>
        <v/>
      </c>
      <c r="J272" s="57" t="str">
        <f aca="false">IF($I272="","",INDEX(BookRate,267)*(1+'5. Scenarios'!$C$10)*$I272)</f>
        <v/>
      </c>
      <c r="K272" s="57" t="str">
        <f aca="false">IF($J272="","",SUMIFS($J$6:$J$2405,$A$6:$A$2405,"&lt;="&amp;$A272))</f>
        <v/>
      </c>
      <c r="L272" s="57" t="str">
        <f aca="false">IF($J272="","",IF($K272&lt;=BankCostEnvelope*'5. Scenarios'!$C$7,1,0))</f>
        <v/>
      </c>
      <c r="M272" s="57" t="str">
        <f aca="false">IF($I272="","",INDEX(BookRate,267)*(1+'5. Scenarios'!$C$10)*(INDEX(BookQ1,267)*(5-MIN(4,1+'5. Scenarios'!$C$8))/4+INDEX(BookQ2,267)*(5-MIN(4,2+'5. Scenarios'!$C$8))/4+INDEX(BookQ3,267)*(5-MIN(4,3+'5. Scenarios'!$C$8))/4+INDEX(BookQ4,267)*(5-MIN(4,4+'5. Scenarios'!$C$8))/4)*'5. Scenarios'!$C$6/(1+ProductivityDefault*('5. Scenarios'!$C$11-1))+INDEX(BookOneOff,267)*$I272)</f>
        <v/>
      </c>
      <c r="N272" s="56" t="str">
        <f aca="false">IF(INDEX(BookTitle,267)="","",INDEX(BookTotal,267)*'5. Scenarios'!$D$6/(1+ProductivityDefault*('5. Scenarios'!$D$11-1)))</f>
        <v/>
      </c>
      <c r="O272" s="57" t="str">
        <f aca="false">IF($N272="","",INDEX(BookRate,267)*(1+'5. Scenarios'!$D$10)*$N272)</f>
        <v/>
      </c>
      <c r="P272" s="57" t="str">
        <f aca="false">IF($O272="","",SUMIFS($O$6:$O$2405,$A$6:$A$2405,"&lt;="&amp;$A272))</f>
        <v/>
      </c>
      <c r="Q272" s="57" t="str">
        <f aca="false">IF($O272="","",IF($P272&lt;=BankCostEnvelope*'5. Scenarios'!$D$7,1,0))</f>
        <v/>
      </c>
      <c r="R272" s="57" t="str">
        <f aca="false">IF($N272="","",INDEX(BookRate,267)*(1+'5. Scenarios'!$D$10)*(INDEX(BookQ1,267)*(5-MIN(4,1+'5. Scenarios'!$D$8))/4+INDEX(BookQ2,267)*(5-MIN(4,2+'5. Scenarios'!$D$8))/4+INDEX(BookQ3,267)*(5-MIN(4,3+'5. Scenarios'!$D$8))/4+INDEX(BookQ4,267)*(5-MIN(4,4+'5. Scenarios'!$D$8))/4)*'5. Scenarios'!$D$6/(1+ProductivityDefault*('5. Scenarios'!$D$11-1))+INDEX(BookOneOff,267)*$N272)</f>
        <v/>
      </c>
      <c r="S272" s="56" t="str">
        <f aca="false">IF(INDEX(BookTitle,267)="","",INDEX(BookTotal,267)*'5. Scenarios'!$E$6/(1+ProductivityDefault*('5. Scenarios'!$E$11-1)))</f>
        <v/>
      </c>
      <c r="T272" s="57" t="str">
        <f aca="false">IF($S272="","",INDEX(BookRate,267)*(1+'5. Scenarios'!$E$10)*$S272)</f>
        <v/>
      </c>
      <c r="U272" s="57" t="str">
        <f aca="false">IF($T272="","",SUMIFS($T$6:$T$2405,$A$6:$A$2405,"&lt;="&amp;$A272))</f>
        <v/>
      </c>
      <c r="V272" s="57" t="str">
        <f aca="false">IF($T272="","",IF($U272&lt;=BankCostEnvelope*'5. Scenarios'!$E$7,1,0))</f>
        <v/>
      </c>
      <c r="W272" s="57" t="str">
        <f aca="false">IF($S272="","",INDEX(BookRate,267)*(1+'5. Scenarios'!$E$10)*(INDEX(BookQ1,267)*(5-MIN(4,1+'5. Scenarios'!$E$8))/4+INDEX(BookQ2,267)*(5-MIN(4,2+'5. Scenarios'!$E$8))/4+INDEX(BookQ3,267)*(5-MIN(4,3+'5. Scenarios'!$E$8))/4+INDEX(BookQ4,267)*(5-MIN(4,4+'5. Scenarios'!$E$8))/4)*'5. Scenarios'!$E$6/(1+ProductivityDefault*('5. Scenarios'!$E$11-1))+INDEX(BookOneOff,267)*$S272)</f>
        <v/>
      </c>
    </row>
    <row r="273" customFormat="false" ht="15" hidden="false" customHeight="false" outlineLevel="0" collapsed="false">
      <c r="A273" s="0" t="str">
        <f aca="false">IF(INDEX(BookTitle,268)="","",INDEX(BookKey,268))</f>
        <v/>
      </c>
      <c r="B273" s="0" t="str">
        <f aca="false">IF(INDEX(BookTitle,268)="","",INDEX(BookGroup,268))</f>
        <v/>
      </c>
      <c r="C273" s="0" t="str">
        <f aca="false">IF(INDEX(BookTitle,268)="","",INDEX(BookCategory,268))</f>
        <v/>
      </c>
      <c r="D273" s="56" t="str">
        <f aca="false">IF(INDEX(BookTitle,268)="","",INDEX(BookTotal,268)*'5. Scenarios'!$B$6/(1+ProductivityDefault*('5. Scenarios'!$B$11-1)))</f>
        <v/>
      </c>
      <c r="E273" s="57" t="str">
        <f aca="false">IF($D273="","",INDEX(BookRate,268)*(1+'5. Scenarios'!$B$10)*$D273)</f>
        <v/>
      </c>
      <c r="F273" s="57" t="str">
        <f aca="false">IF($E273="","",SUMIFS($E$6:$E$2405,$A$6:$A$2405,"&lt;="&amp;$A273))</f>
        <v/>
      </c>
      <c r="G273" s="57" t="str">
        <f aca="false">IF($E273="","",IF($F273&lt;=BankCostEnvelope*'5. Scenarios'!$B$7,1,0))</f>
        <v/>
      </c>
      <c r="H273" s="57" t="str">
        <f aca="false">IF($D273="","",INDEX(BookRate,268)*(1+'5. Scenarios'!$B$10)*(INDEX(BookQ1,268)*(5-MIN(4,1+'5. Scenarios'!$B$8))/4+INDEX(BookQ2,268)*(5-MIN(4,2+'5. Scenarios'!$B$8))/4+INDEX(BookQ3,268)*(5-MIN(4,3+'5. Scenarios'!$B$8))/4+INDEX(BookQ4,268)*(5-MIN(4,4+'5. Scenarios'!$B$8))/4)*'5. Scenarios'!$B$6/(1+ProductivityDefault*('5. Scenarios'!$B$11-1))+INDEX(BookOneOff,268)*$D273)</f>
        <v/>
      </c>
      <c r="I273" s="56" t="str">
        <f aca="false">IF(INDEX(BookTitle,268)="","",INDEX(BookTotal,268)*'5. Scenarios'!$C$6/(1+ProductivityDefault*('5. Scenarios'!$C$11-1)))</f>
        <v/>
      </c>
      <c r="J273" s="57" t="str">
        <f aca="false">IF($I273="","",INDEX(BookRate,268)*(1+'5. Scenarios'!$C$10)*$I273)</f>
        <v/>
      </c>
      <c r="K273" s="57" t="str">
        <f aca="false">IF($J273="","",SUMIFS($J$6:$J$2405,$A$6:$A$2405,"&lt;="&amp;$A273))</f>
        <v/>
      </c>
      <c r="L273" s="57" t="str">
        <f aca="false">IF($J273="","",IF($K273&lt;=BankCostEnvelope*'5. Scenarios'!$C$7,1,0))</f>
        <v/>
      </c>
      <c r="M273" s="57" t="str">
        <f aca="false">IF($I273="","",INDEX(BookRate,268)*(1+'5. Scenarios'!$C$10)*(INDEX(BookQ1,268)*(5-MIN(4,1+'5. Scenarios'!$C$8))/4+INDEX(BookQ2,268)*(5-MIN(4,2+'5. Scenarios'!$C$8))/4+INDEX(BookQ3,268)*(5-MIN(4,3+'5. Scenarios'!$C$8))/4+INDEX(BookQ4,268)*(5-MIN(4,4+'5. Scenarios'!$C$8))/4)*'5. Scenarios'!$C$6/(1+ProductivityDefault*('5. Scenarios'!$C$11-1))+INDEX(BookOneOff,268)*$I273)</f>
        <v/>
      </c>
      <c r="N273" s="56" t="str">
        <f aca="false">IF(INDEX(BookTitle,268)="","",INDEX(BookTotal,268)*'5. Scenarios'!$D$6/(1+ProductivityDefault*('5. Scenarios'!$D$11-1)))</f>
        <v/>
      </c>
      <c r="O273" s="57" t="str">
        <f aca="false">IF($N273="","",INDEX(BookRate,268)*(1+'5. Scenarios'!$D$10)*$N273)</f>
        <v/>
      </c>
      <c r="P273" s="57" t="str">
        <f aca="false">IF($O273="","",SUMIFS($O$6:$O$2405,$A$6:$A$2405,"&lt;="&amp;$A273))</f>
        <v/>
      </c>
      <c r="Q273" s="57" t="str">
        <f aca="false">IF($O273="","",IF($P273&lt;=BankCostEnvelope*'5. Scenarios'!$D$7,1,0))</f>
        <v/>
      </c>
      <c r="R273" s="57" t="str">
        <f aca="false">IF($N273="","",INDEX(BookRate,268)*(1+'5. Scenarios'!$D$10)*(INDEX(BookQ1,268)*(5-MIN(4,1+'5. Scenarios'!$D$8))/4+INDEX(BookQ2,268)*(5-MIN(4,2+'5. Scenarios'!$D$8))/4+INDEX(BookQ3,268)*(5-MIN(4,3+'5. Scenarios'!$D$8))/4+INDEX(BookQ4,268)*(5-MIN(4,4+'5. Scenarios'!$D$8))/4)*'5. Scenarios'!$D$6/(1+ProductivityDefault*('5. Scenarios'!$D$11-1))+INDEX(BookOneOff,268)*$N273)</f>
        <v/>
      </c>
      <c r="S273" s="56" t="str">
        <f aca="false">IF(INDEX(BookTitle,268)="","",INDEX(BookTotal,268)*'5. Scenarios'!$E$6/(1+ProductivityDefault*('5. Scenarios'!$E$11-1)))</f>
        <v/>
      </c>
      <c r="T273" s="57" t="str">
        <f aca="false">IF($S273="","",INDEX(BookRate,268)*(1+'5. Scenarios'!$E$10)*$S273)</f>
        <v/>
      </c>
      <c r="U273" s="57" t="str">
        <f aca="false">IF($T273="","",SUMIFS($T$6:$T$2405,$A$6:$A$2405,"&lt;="&amp;$A273))</f>
        <v/>
      </c>
      <c r="V273" s="57" t="str">
        <f aca="false">IF($T273="","",IF($U273&lt;=BankCostEnvelope*'5. Scenarios'!$E$7,1,0))</f>
        <v/>
      </c>
      <c r="W273" s="57" t="str">
        <f aca="false">IF($S273="","",INDEX(BookRate,268)*(1+'5. Scenarios'!$E$10)*(INDEX(BookQ1,268)*(5-MIN(4,1+'5. Scenarios'!$E$8))/4+INDEX(BookQ2,268)*(5-MIN(4,2+'5. Scenarios'!$E$8))/4+INDEX(BookQ3,268)*(5-MIN(4,3+'5. Scenarios'!$E$8))/4+INDEX(BookQ4,268)*(5-MIN(4,4+'5. Scenarios'!$E$8))/4)*'5. Scenarios'!$E$6/(1+ProductivityDefault*('5. Scenarios'!$E$11-1))+INDEX(BookOneOff,268)*$S273)</f>
        <v/>
      </c>
    </row>
    <row r="274" customFormat="false" ht="15" hidden="false" customHeight="false" outlineLevel="0" collapsed="false">
      <c r="A274" s="0" t="str">
        <f aca="false">IF(INDEX(BookTitle,269)="","",INDEX(BookKey,269))</f>
        <v/>
      </c>
      <c r="B274" s="0" t="str">
        <f aca="false">IF(INDEX(BookTitle,269)="","",INDEX(BookGroup,269))</f>
        <v/>
      </c>
      <c r="C274" s="0" t="str">
        <f aca="false">IF(INDEX(BookTitle,269)="","",INDEX(BookCategory,269))</f>
        <v/>
      </c>
      <c r="D274" s="56" t="str">
        <f aca="false">IF(INDEX(BookTitle,269)="","",INDEX(BookTotal,269)*'5. Scenarios'!$B$6/(1+ProductivityDefault*('5. Scenarios'!$B$11-1)))</f>
        <v/>
      </c>
      <c r="E274" s="57" t="str">
        <f aca="false">IF($D274="","",INDEX(BookRate,269)*(1+'5. Scenarios'!$B$10)*$D274)</f>
        <v/>
      </c>
      <c r="F274" s="57" t="str">
        <f aca="false">IF($E274="","",SUMIFS($E$6:$E$2405,$A$6:$A$2405,"&lt;="&amp;$A274))</f>
        <v/>
      </c>
      <c r="G274" s="57" t="str">
        <f aca="false">IF($E274="","",IF($F274&lt;=BankCostEnvelope*'5. Scenarios'!$B$7,1,0))</f>
        <v/>
      </c>
      <c r="H274" s="57" t="str">
        <f aca="false">IF($D274="","",INDEX(BookRate,269)*(1+'5. Scenarios'!$B$10)*(INDEX(BookQ1,269)*(5-MIN(4,1+'5. Scenarios'!$B$8))/4+INDEX(BookQ2,269)*(5-MIN(4,2+'5. Scenarios'!$B$8))/4+INDEX(BookQ3,269)*(5-MIN(4,3+'5. Scenarios'!$B$8))/4+INDEX(BookQ4,269)*(5-MIN(4,4+'5. Scenarios'!$B$8))/4)*'5. Scenarios'!$B$6/(1+ProductivityDefault*('5. Scenarios'!$B$11-1))+INDEX(BookOneOff,269)*$D274)</f>
        <v/>
      </c>
      <c r="I274" s="56" t="str">
        <f aca="false">IF(INDEX(BookTitle,269)="","",INDEX(BookTotal,269)*'5. Scenarios'!$C$6/(1+ProductivityDefault*('5. Scenarios'!$C$11-1)))</f>
        <v/>
      </c>
      <c r="J274" s="57" t="str">
        <f aca="false">IF($I274="","",INDEX(BookRate,269)*(1+'5. Scenarios'!$C$10)*$I274)</f>
        <v/>
      </c>
      <c r="K274" s="57" t="str">
        <f aca="false">IF($J274="","",SUMIFS($J$6:$J$2405,$A$6:$A$2405,"&lt;="&amp;$A274))</f>
        <v/>
      </c>
      <c r="L274" s="57" t="str">
        <f aca="false">IF($J274="","",IF($K274&lt;=BankCostEnvelope*'5. Scenarios'!$C$7,1,0))</f>
        <v/>
      </c>
      <c r="M274" s="57" t="str">
        <f aca="false">IF($I274="","",INDEX(BookRate,269)*(1+'5. Scenarios'!$C$10)*(INDEX(BookQ1,269)*(5-MIN(4,1+'5. Scenarios'!$C$8))/4+INDEX(BookQ2,269)*(5-MIN(4,2+'5. Scenarios'!$C$8))/4+INDEX(BookQ3,269)*(5-MIN(4,3+'5. Scenarios'!$C$8))/4+INDEX(BookQ4,269)*(5-MIN(4,4+'5. Scenarios'!$C$8))/4)*'5. Scenarios'!$C$6/(1+ProductivityDefault*('5. Scenarios'!$C$11-1))+INDEX(BookOneOff,269)*$I274)</f>
        <v/>
      </c>
      <c r="N274" s="56" t="str">
        <f aca="false">IF(INDEX(BookTitle,269)="","",INDEX(BookTotal,269)*'5. Scenarios'!$D$6/(1+ProductivityDefault*('5. Scenarios'!$D$11-1)))</f>
        <v/>
      </c>
      <c r="O274" s="57" t="str">
        <f aca="false">IF($N274="","",INDEX(BookRate,269)*(1+'5. Scenarios'!$D$10)*$N274)</f>
        <v/>
      </c>
      <c r="P274" s="57" t="str">
        <f aca="false">IF($O274="","",SUMIFS($O$6:$O$2405,$A$6:$A$2405,"&lt;="&amp;$A274))</f>
        <v/>
      </c>
      <c r="Q274" s="57" t="str">
        <f aca="false">IF($O274="","",IF($P274&lt;=BankCostEnvelope*'5. Scenarios'!$D$7,1,0))</f>
        <v/>
      </c>
      <c r="R274" s="57" t="str">
        <f aca="false">IF($N274="","",INDEX(BookRate,269)*(1+'5. Scenarios'!$D$10)*(INDEX(BookQ1,269)*(5-MIN(4,1+'5. Scenarios'!$D$8))/4+INDEX(BookQ2,269)*(5-MIN(4,2+'5. Scenarios'!$D$8))/4+INDEX(BookQ3,269)*(5-MIN(4,3+'5. Scenarios'!$D$8))/4+INDEX(BookQ4,269)*(5-MIN(4,4+'5. Scenarios'!$D$8))/4)*'5. Scenarios'!$D$6/(1+ProductivityDefault*('5. Scenarios'!$D$11-1))+INDEX(BookOneOff,269)*$N274)</f>
        <v/>
      </c>
      <c r="S274" s="56" t="str">
        <f aca="false">IF(INDEX(BookTitle,269)="","",INDEX(BookTotal,269)*'5. Scenarios'!$E$6/(1+ProductivityDefault*('5. Scenarios'!$E$11-1)))</f>
        <v/>
      </c>
      <c r="T274" s="57" t="str">
        <f aca="false">IF($S274="","",INDEX(BookRate,269)*(1+'5. Scenarios'!$E$10)*$S274)</f>
        <v/>
      </c>
      <c r="U274" s="57" t="str">
        <f aca="false">IF($T274="","",SUMIFS($T$6:$T$2405,$A$6:$A$2405,"&lt;="&amp;$A274))</f>
        <v/>
      </c>
      <c r="V274" s="57" t="str">
        <f aca="false">IF($T274="","",IF($U274&lt;=BankCostEnvelope*'5. Scenarios'!$E$7,1,0))</f>
        <v/>
      </c>
      <c r="W274" s="57" t="str">
        <f aca="false">IF($S274="","",INDEX(BookRate,269)*(1+'5. Scenarios'!$E$10)*(INDEX(BookQ1,269)*(5-MIN(4,1+'5. Scenarios'!$E$8))/4+INDEX(BookQ2,269)*(5-MIN(4,2+'5. Scenarios'!$E$8))/4+INDEX(BookQ3,269)*(5-MIN(4,3+'5. Scenarios'!$E$8))/4+INDEX(BookQ4,269)*(5-MIN(4,4+'5. Scenarios'!$E$8))/4)*'5. Scenarios'!$E$6/(1+ProductivityDefault*('5. Scenarios'!$E$11-1))+INDEX(BookOneOff,269)*$S274)</f>
        <v/>
      </c>
    </row>
    <row r="275" customFormat="false" ht="15" hidden="false" customHeight="false" outlineLevel="0" collapsed="false">
      <c r="A275" s="0" t="str">
        <f aca="false">IF(INDEX(BookTitle,270)="","",INDEX(BookKey,270))</f>
        <v/>
      </c>
      <c r="B275" s="0" t="str">
        <f aca="false">IF(INDEX(BookTitle,270)="","",INDEX(BookGroup,270))</f>
        <v/>
      </c>
      <c r="C275" s="0" t="str">
        <f aca="false">IF(INDEX(BookTitle,270)="","",INDEX(BookCategory,270))</f>
        <v/>
      </c>
      <c r="D275" s="56" t="str">
        <f aca="false">IF(INDEX(BookTitle,270)="","",INDEX(BookTotal,270)*'5. Scenarios'!$B$6/(1+ProductivityDefault*('5. Scenarios'!$B$11-1)))</f>
        <v/>
      </c>
      <c r="E275" s="57" t="str">
        <f aca="false">IF($D275="","",INDEX(BookRate,270)*(1+'5. Scenarios'!$B$10)*$D275)</f>
        <v/>
      </c>
      <c r="F275" s="57" t="str">
        <f aca="false">IF($E275="","",SUMIFS($E$6:$E$2405,$A$6:$A$2405,"&lt;="&amp;$A275))</f>
        <v/>
      </c>
      <c r="G275" s="57" t="str">
        <f aca="false">IF($E275="","",IF($F275&lt;=BankCostEnvelope*'5. Scenarios'!$B$7,1,0))</f>
        <v/>
      </c>
      <c r="H275" s="57" t="str">
        <f aca="false">IF($D275="","",INDEX(BookRate,270)*(1+'5. Scenarios'!$B$10)*(INDEX(BookQ1,270)*(5-MIN(4,1+'5. Scenarios'!$B$8))/4+INDEX(BookQ2,270)*(5-MIN(4,2+'5. Scenarios'!$B$8))/4+INDEX(BookQ3,270)*(5-MIN(4,3+'5. Scenarios'!$B$8))/4+INDEX(BookQ4,270)*(5-MIN(4,4+'5. Scenarios'!$B$8))/4)*'5. Scenarios'!$B$6/(1+ProductivityDefault*('5. Scenarios'!$B$11-1))+INDEX(BookOneOff,270)*$D275)</f>
        <v/>
      </c>
      <c r="I275" s="56" t="str">
        <f aca="false">IF(INDEX(BookTitle,270)="","",INDEX(BookTotal,270)*'5. Scenarios'!$C$6/(1+ProductivityDefault*('5. Scenarios'!$C$11-1)))</f>
        <v/>
      </c>
      <c r="J275" s="57" t="str">
        <f aca="false">IF($I275="","",INDEX(BookRate,270)*(1+'5. Scenarios'!$C$10)*$I275)</f>
        <v/>
      </c>
      <c r="K275" s="57" t="str">
        <f aca="false">IF($J275="","",SUMIFS($J$6:$J$2405,$A$6:$A$2405,"&lt;="&amp;$A275))</f>
        <v/>
      </c>
      <c r="L275" s="57" t="str">
        <f aca="false">IF($J275="","",IF($K275&lt;=BankCostEnvelope*'5. Scenarios'!$C$7,1,0))</f>
        <v/>
      </c>
      <c r="M275" s="57" t="str">
        <f aca="false">IF($I275="","",INDEX(BookRate,270)*(1+'5. Scenarios'!$C$10)*(INDEX(BookQ1,270)*(5-MIN(4,1+'5. Scenarios'!$C$8))/4+INDEX(BookQ2,270)*(5-MIN(4,2+'5. Scenarios'!$C$8))/4+INDEX(BookQ3,270)*(5-MIN(4,3+'5. Scenarios'!$C$8))/4+INDEX(BookQ4,270)*(5-MIN(4,4+'5. Scenarios'!$C$8))/4)*'5. Scenarios'!$C$6/(1+ProductivityDefault*('5. Scenarios'!$C$11-1))+INDEX(BookOneOff,270)*$I275)</f>
        <v/>
      </c>
      <c r="N275" s="56" t="str">
        <f aca="false">IF(INDEX(BookTitle,270)="","",INDEX(BookTotal,270)*'5. Scenarios'!$D$6/(1+ProductivityDefault*('5. Scenarios'!$D$11-1)))</f>
        <v/>
      </c>
      <c r="O275" s="57" t="str">
        <f aca="false">IF($N275="","",INDEX(BookRate,270)*(1+'5. Scenarios'!$D$10)*$N275)</f>
        <v/>
      </c>
      <c r="P275" s="57" t="str">
        <f aca="false">IF($O275="","",SUMIFS($O$6:$O$2405,$A$6:$A$2405,"&lt;="&amp;$A275))</f>
        <v/>
      </c>
      <c r="Q275" s="57" t="str">
        <f aca="false">IF($O275="","",IF($P275&lt;=BankCostEnvelope*'5. Scenarios'!$D$7,1,0))</f>
        <v/>
      </c>
      <c r="R275" s="57" t="str">
        <f aca="false">IF($N275="","",INDEX(BookRate,270)*(1+'5. Scenarios'!$D$10)*(INDEX(BookQ1,270)*(5-MIN(4,1+'5. Scenarios'!$D$8))/4+INDEX(BookQ2,270)*(5-MIN(4,2+'5. Scenarios'!$D$8))/4+INDEX(BookQ3,270)*(5-MIN(4,3+'5. Scenarios'!$D$8))/4+INDEX(BookQ4,270)*(5-MIN(4,4+'5. Scenarios'!$D$8))/4)*'5. Scenarios'!$D$6/(1+ProductivityDefault*('5. Scenarios'!$D$11-1))+INDEX(BookOneOff,270)*$N275)</f>
        <v/>
      </c>
      <c r="S275" s="56" t="str">
        <f aca="false">IF(INDEX(BookTitle,270)="","",INDEX(BookTotal,270)*'5. Scenarios'!$E$6/(1+ProductivityDefault*('5. Scenarios'!$E$11-1)))</f>
        <v/>
      </c>
      <c r="T275" s="57" t="str">
        <f aca="false">IF($S275="","",INDEX(BookRate,270)*(1+'5. Scenarios'!$E$10)*$S275)</f>
        <v/>
      </c>
      <c r="U275" s="57" t="str">
        <f aca="false">IF($T275="","",SUMIFS($T$6:$T$2405,$A$6:$A$2405,"&lt;="&amp;$A275))</f>
        <v/>
      </c>
      <c r="V275" s="57" t="str">
        <f aca="false">IF($T275="","",IF($U275&lt;=BankCostEnvelope*'5. Scenarios'!$E$7,1,0))</f>
        <v/>
      </c>
      <c r="W275" s="57" t="str">
        <f aca="false">IF($S275="","",INDEX(BookRate,270)*(1+'5. Scenarios'!$E$10)*(INDEX(BookQ1,270)*(5-MIN(4,1+'5. Scenarios'!$E$8))/4+INDEX(BookQ2,270)*(5-MIN(4,2+'5. Scenarios'!$E$8))/4+INDEX(BookQ3,270)*(5-MIN(4,3+'5. Scenarios'!$E$8))/4+INDEX(BookQ4,270)*(5-MIN(4,4+'5. Scenarios'!$E$8))/4)*'5. Scenarios'!$E$6/(1+ProductivityDefault*('5. Scenarios'!$E$11-1))+INDEX(BookOneOff,270)*$S275)</f>
        <v/>
      </c>
    </row>
    <row r="276" customFormat="false" ht="15" hidden="false" customHeight="false" outlineLevel="0" collapsed="false">
      <c r="A276" s="0" t="str">
        <f aca="false">IF(INDEX(BookTitle,271)="","",INDEX(BookKey,271))</f>
        <v/>
      </c>
      <c r="B276" s="0" t="str">
        <f aca="false">IF(INDEX(BookTitle,271)="","",INDEX(BookGroup,271))</f>
        <v/>
      </c>
      <c r="C276" s="0" t="str">
        <f aca="false">IF(INDEX(BookTitle,271)="","",INDEX(BookCategory,271))</f>
        <v/>
      </c>
      <c r="D276" s="56" t="str">
        <f aca="false">IF(INDEX(BookTitle,271)="","",INDEX(BookTotal,271)*'5. Scenarios'!$B$6/(1+ProductivityDefault*('5. Scenarios'!$B$11-1)))</f>
        <v/>
      </c>
      <c r="E276" s="57" t="str">
        <f aca="false">IF($D276="","",INDEX(BookRate,271)*(1+'5. Scenarios'!$B$10)*$D276)</f>
        <v/>
      </c>
      <c r="F276" s="57" t="str">
        <f aca="false">IF($E276="","",SUMIFS($E$6:$E$2405,$A$6:$A$2405,"&lt;="&amp;$A276))</f>
        <v/>
      </c>
      <c r="G276" s="57" t="str">
        <f aca="false">IF($E276="","",IF($F276&lt;=BankCostEnvelope*'5. Scenarios'!$B$7,1,0))</f>
        <v/>
      </c>
      <c r="H276" s="57" t="str">
        <f aca="false">IF($D276="","",INDEX(BookRate,271)*(1+'5. Scenarios'!$B$10)*(INDEX(BookQ1,271)*(5-MIN(4,1+'5. Scenarios'!$B$8))/4+INDEX(BookQ2,271)*(5-MIN(4,2+'5. Scenarios'!$B$8))/4+INDEX(BookQ3,271)*(5-MIN(4,3+'5. Scenarios'!$B$8))/4+INDEX(BookQ4,271)*(5-MIN(4,4+'5. Scenarios'!$B$8))/4)*'5. Scenarios'!$B$6/(1+ProductivityDefault*('5. Scenarios'!$B$11-1))+INDEX(BookOneOff,271)*$D276)</f>
        <v/>
      </c>
      <c r="I276" s="56" t="str">
        <f aca="false">IF(INDEX(BookTitle,271)="","",INDEX(BookTotal,271)*'5. Scenarios'!$C$6/(1+ProductivityDefault*('5. Scenarios'!$C$11-1)))</f>
        <v/>
      </c>
      <c r="J276" s="57" t="str">
        <f aca="false">IF($I276="","",INDEX(BookRate,271)*(1+'5. Scenarios'!$C$10)*$I276)</f>
        <v/>
      </c>
      <c r="K276" s="57" t="str">
        <f aca="false">IF($J276="","",SUMIFS($J$6:$J$2405,$A$6:$A$2405,"&lt;="&amp;$A276))</f>
        <v/>
      </c>
      <c r="L276" s="57" t="str">
        <f aca="false">IF($J276="","",IF($K276&lt;=BankCostEnvelope*'5. Scenarios'!$C$7,1,0))</f>
        <v/>
      </c>
      <c r="M276" s="57" t="str">
        <f aca="false">IF($I276="","",INDEX(BookRate,271)*(1+'5. Scenarios'!$C$10)*(INDEX(BookQ1,271)*(5-MIN(4,1+'5. Scenarios'!$C$8))/4+INDEX(BookQ2,271)*(5-MIN(4,2+'5. Scenarios'!$C$8))/4+INDEX(BookQ3,271)*(5-MIN(4,3+'5. Scenarios'!$C$8))/4+INDEX(BookQ4,271)*(5-MIN(4,4+'5. Scenarios'!$C$8))/4)*'5. Scenarios'!$C$6/(1+ProductivityDefault*('5. Scenarios'!$C$11-1))+INDEX(BookOneOff,271)*$I276)</f>
        <v/>
      </c>
      <c r="N276" s="56" t="str">
        <f aca="false">IF(INDEX(BookTitle,271)="","",INDEX(BookTotal,271)*'5. Scenarios'!$D$6/(1+ProductivityDefault*('5. Scenarios'!$D$11-1)))</f>
        <v/>
      </c>
      <c r="O276" s="57" t="str">
        <f aca="false">IF($N276="","",INDEX(BookRate,271)*(1+'5. Scenarios'!$D$10)*$N276)</f>
        <v/>
      </c>
      <c r="P276" s="57" t="str">
        <f aca="false">IF($O276="","",SUMIFS($O$6:$O$2405,$A$6:$A$2405,"&lt;="&amp;$A276))</f>
        <v/>
      </c>
      <c r="Q276" s="57" t="str">
        <f aca="false">IF($O276="","",IF($P276&lt;=BankCostEnvelope*'5. Scenarios'!$D$7,1,0))</f>
        <v/>
      </c>
      <c r="R276" s="57" t="str">
        <f aca="false">IF($N276="","",INDEX(BookRate,271)*(1+'5. Scenarios'!$D$10)*(INDEX(BookQ1,271)*(5-MIN(4,1+'5. Scenarios'!$D$8))/4+INDEX(BookQ2,271)*(5-MIN(4,2+'5. Scenarios'!$D$8))/4+INDEX(BookQ3,271)*(5-MIN(4,3+'5. Scenarios'!$D$8))/4+INDEX(BookQ4,271)*(5-MIN(4,4+'5. Scenarios'!$D$8))/4)*'5. Scenarios'!$D$6/(1+ProductivityDefault*('5. Scenarios'!$D$11-1))+INDEX(BookOneOff,271)*$N276)</f>
        <v/>
      </c>
      <c r="S276" s="56" t="str">
        <f aca="false">IF(INDEX(BookTitle,271)="","",INDEX(BookTotal,271)*'5. Scenarios'!$E$6/(1+ProductivityDefault*('5. Scenarios'!$E$11-1)))</f>
        <v/>
      </c>
      <c r="T276" s="57" t="str">
        <f aca="false">IF($S276="","",INDEX(BookRate,271)*(1+'5. Scenarios'!$E$10)*$S276)</f>
        <v/>
      </c>
      <c r="U276" s="57" t="str">
        <f aca="false">IF($T276="","",SUMIFS($T$6:$T$2405,$A$6:$A$2405,"&lt;="&amp;$A276))</f>
        <v/>
      </c>
      <c r="V276" s="57" t="str">
        <f aca="false">IF($T276="","",IF($U276&lt;=BankCostEnvelope*'5. Scenarios'!$E$7,1,0))</f>
        <v/>
      </c>
      <c r="W276" s="57" t="str">
        <f aca="false">IF($S276="","",INDEX(BookRate,271)*(1+'5. Scenarios'!$E$10)*(INDEX(BookQ1,271)*(5-MIN(4,1+'5. Scenarios'!$E$8))/4+INDEX(BookQ2,271)*(5-MIN(4,2+'5. Scenarios'!$E$8))/4+INDEX(BookQ3,271)*(5-MIN(4,3+'5. Scenarios'!$E$8))/4+INDEX(BookQ4,271)*(5-MIN(4,4+'5. Scenarios'!$E$8))/4)*'5. Scenarios'!$E$6/(1+ProductivityDefault*('5. Scenarios'!$E$11-1))+INDEX(BookOneOff,271)*$S276)</f>
        <v/>
      </c>
    </row>
    <row r="277" customFormat="false" ht="15" hidden="false" customHeight="false" outlineLevel="0" collapsed="false">
      <c r="A277" s="0" t="str">
        <f aca="false">IF(INDEX(BookTitle,272)="","",INDEX(BookKey,272))</f>
        <v/>
      </c>
      <c r="B277" s="0" t="str">
        <f aca="false">IF(INDEX(BookTitle,272)="","",INDEX(BookGroup,272))</f>
        <v/>
      </c>
      <c r="C277" s="0" t="str">
        <f aca="false">IF(INDEX(BookTitle,272)="","",INDEX(BookCategory,272))</f>
        <v/>
      </c>
      <c r="D277" s="56" t="str">
        <f aca="false">IF(INDEX(BookTitle,272)="","",INDEX(BookTotal,272)*'5. Scenarios'!$B$6/(1+ProductivityDefault*('5. Scenarios'!$B$11-1)))</f>
        <v/>
      </c>
      <c r="E277" s="57" t="str">
        <f aca="false">IF($D277="","",INDEX(BookRate,272)*(1+'5. Scenarios'!$B$10)*$D277)</f>
        <v/>
      </c>
      <c r="F277" s="57" t="str">
        <f aca="false">IF($E277="","",SUMIFS($E$6:$E$2405,$A$6:$A$2405,"&lt;="&amp;$A277))</f>
        <v/>
      </c>
      <c r="G277" s="57" t="str">
        <f aca="false">IF($E277="","",IF($F277&lt;=BankCostEnvelope*'5. Scenarios'!$B$7,1,0))</f>
        <v/>
      </c>
      <c r="H277" s="57" t="str">
        <f aca="false">IF($D277="","",INDEX(BookRate,272)*(1+'5. Scenarios'!$B$10)*(INDEX(BookQ1,272)*(5-MIN(4,1+'5. Scenarios'!$B$8))/4+INDEX(BookQ2,272)*(5-MIN(4,2+'5. Scenarios'!$B$8))/4+INDEX(BookQ3,272)*(5-MIN(4,3+'5. Scenarios'!$B$8))/4+INDEX(BookQ4,272)*(5-MIN(4,4+'5. Scenarios'!$B$8))/4)*'5. Scenarios'!$B$6/(1+ProductivityDefault*('5. Scenarios'!$B$11-1))+INDEX(BookOneOff,272)*$D277)</f>
        <v/>
      </c>
      <c r="I277" s="56" t="str">
        <f aca="false">IF(INDEX(BookTitle,272)="","",INDEX(BookTotal,272)*'5. Scenarios'!$C$6/(1+ProductivityDefault*('5. Scenarios'!$C$11-1)))</f>
        <v/>
      </c>
      <c r="J277" s="57" t="str">
        <f aca="false">IF($I277="","",INDEX(BookRate,272)*(1+'5. Scenarios'!$C$10)*$I277)</f>
        <v/>
      </c>
      <c r="K277" s="57" t="str">
        <f aca="false">IF($J277="","",SUMIFS($J$6:$J$2405,$A$6:$A$2405,"&lt;="&amp;$A277))</f>
        <v/>
      </c>
      <c r="L277" s="57" t="str">
        <f aca="false">IF($J277="","",IF($K277&lt;=BankCostEnvelope*'5. Scenarios'!$C$7,1,0))</f>
        <v/>
      </c>
      <c r="M277" s="57" t="str">
        <f aca="false">IF($I277="","",INDEX(BookRate,272)*(1+'5. Scenarios'!$C$10)*(INDEX(BookQ1,272)*(5-MIN(4,1+'5. Scenarios'!$C$8))/4+INDEX(BookQ2,272)*(5-MIN(4,2+'5. Scenarios'!$C$8))/4+INDEX(BookQ3,272)*(5-MIN(4,3+'5. Scenarios'!$C$8))/4+INDEX(BookQ4,272)*(5-MIN(4,4+'5. Scenarios'!$C$8))/4)*'5. Scenarios'!$C$6/(1+ProductivityDefault*('5. Scenarios'!$C$11-1))+INDEX(BookOneOff,272)*$I277)</f>
        <v/>
      </c>
      <c r="N277" s="56" t="str">
        <f aca="false">IF(INDEX(BookTitle,272)="","",INDEX(BookTotal,272)*'5. Scenarios'!$D$6/(1+ProductivityDefault*('5. Scenarios'!$D$11-1)))</f>
        <v/>
      </c>
      <c r="O277" s="57" t="str">
        <f aca="false">IF($N277="","",INDEX(BookRate,272)*(1+'5. Scenarios'!$D$10)*$N277)</f>
        <v/>
      </c>
      <c r="P277" s="57" t="str">
        <f aca="false">IF($O277="","",SUMIFS($O$6:$O$2405,$A$6:$A$2405,"&lt;="&amp;$A277))</f>
        <v/>
      </c>
      <c r="Q277" s="57" t="str">
        <f aca="false">IF($O277="","",IF($P277&lt;=BankCostEnvelope*'5. Scenarios'!$D$7,1,0))</f>
        <v/>
      </c>
      <c r="R277" s="57" t="str">
        <f aca="false">IF($N277="","",INDEX(BookRate,272)*(1+'5. Scenarios'!$D$10)*(INDEX(BookQ1,272)*(5-MIN(4,1+'5. Scenarios'!$D$8))/4+INDEX(BookQ2,272)*(5-MIN(4,2+'5. Scenarios'!$D$8))/4+INDEX(BookQ3,272)*(5-MIN(4,3+'5. Scenarios'!$D$8))/4+INDEX(BookQ4,272)*(5-MIN(4,4+'5. Scenarios'!$D$8))/4)*'5. Scenarios'!$D$6/(1+ProductivityDefault*('5. Scenarios'!$D$11-1))+INDEX(BookOneOff,272)*$N277)</f>
        <v/>
      </c>
      <c r="S277" s="56" t="str">
        <f aca="false">IF(INDEX(BookTitle,272)="","",INDEX(BookTotal,272)*'5. Scenarios'!$E$6/(1+ProductivityDefault*('5. Scenarios'!$E$11-1)))</f>
        <v/>
      </c>
      <c r="T277" s="57" t="str">
        <f aca="false">IF($S277="","",INDEX(BookRate,272)*(1+'5. Scenarios'!$E$10)*$S277)</f>
        <v/>
      </c>
      <c r="U277" s="57" t="str">
        <f aca="false">IF($T277="","",SUMIFS($T$6:$T$2405,$A$6:$A$2405,"&lt;="&amp;$A277))</f>
        <v/>
      </c>
      <c r="V277" s="57" t="str">
        <f aca="false">IF($T277="","",IF($U277&lt;=BankCostEnvelope*'5. Scenarios'!$E$7,1,0))</f>
        <v/>
      </c>
      <c r="W277" s="57" t="str">
        <f aca="false">IF($S277="","",INDEX(BookRate,272)*(1+'5. Scenarios'!$E$10)*(INDEX(BookQ1,272)*(5-MIN(4,1+'5. Scenarios'!$E$8))/4+INDEX(BookQ2,272)*(5-MIN(4,2+'5. Scenarios'!$E$8))/4+INDEX(BookQ3,272)*(5-MIN(4,3+'5. Scenarios'!$E$8))/4+INDEX(BookQ4,272)*(5-MIN(4,4+'5. Scenarios'!$E$8))/4)*'5. Scenarios'!$E$6/(1+ProductivityDefault*('5. Scenarios'!$E$11-1))+INDEX(BookOneOff,272)*$S277)</f>
        <v/>
      </c>
    </row>
    <row r="278" customFormat="false" ht="15" hidden="false" customHeight="false" outlineLevel="0" collapsed="false">
      <c r="A278" s="0" t="str">
        <f aca="false">IF(INDEX(BookTitle,273)="","",INDEX(BookKey,273))</f>
        <v/>
      </c>
      <c r="B278" s="0" t="str">
        <f aca="false">IF(INDEX(BookTitle,273)="","",INDEX(BookGroup,273))</f>
        <v/>
      </c>
      <c r="C278" s="0" t="str">
        <f aca="false">IF(INDEX(BookTitle,273)="","",INDEX(BookCategory,273))</f>
        <v/>
      </c>
      <c r="D278" s="56" t="str">
        <f aca="false">IF(INDEX(BookTitle,273)="","",INDEX(BookTotal,273)*'5. Scenarios'!$B$6/(1+ProductivityDefault*('5. Scenarios'!$B$11-1)))</f>
        <v/>
      </c>
      <c r="E278" s="57" t="str">
        <f aca="false">IF($D278="","",INDEX(BookRate,273)*(1+'5. Scenarios'!$B$10)*$D278)</f>
        <v/>
      </c>
      <c r="F278" s="57" t="str">
        <f aca="false">IF($E278="","",SUMIFS($E$6:$E$2405,$A$6:$A$2405,"&lt;="&amp;$A278))</f>
        <v/>
      </c>
      <c r="G278" s="57" t="str">
        <f aca="false">IF($E278="","",IF($F278&lt;=BankCostEnvelope*'5. Scenarios'!$B$7,1,0))</f>
        <v/>
      </c>
      <c r="H278" s="57" t="str">
        <f aca="false">IF($D278="","",INDEX(BookRate,273)*(1+'5. Scenarios'!$B$10)*(INDEX(BookQ1,273)*(5-MIN(4,1+'5. Scenarios'!$B$8))/4+INDEX(BookQ2,273)*(5-MIN(4,2+'5. Scenarios'!$B$8))/4+INDEX(BookQ3,273)*(5-MIN(4,3+'5. Scenarios'!$B$8))/4+INDEX(BookQ4,273)*(5-MIN(4,4+'5. Scenarios'!$B$8))/4)*'5. Scenarios'!$B$6/(1+ProductivityDefault*('5. Scenarios'!$B$11-1))+INDEX(BookOneOff,273)*$D278)</f>
        <v/>
      </c>
      <c r="I278" s="56" t="str">
        <f aca="false">IF(INDEX(BookTitle,273)="","",INDEX(BookTotal,273)*'5. Scenarios'!$C$6/(1+ProductivityDefault*('5. Scenarios'!$C$11-1)))</f>
        <v/>
      </c>
      <c r="J278" s="57" t="str">
        <f aca="false">IF($I278="","",INDEX(BookRate,273)*(1+'5. Scenarios'!$C$10)*$I278)</f>
        <v/>
      </c>
      <c r="K278" s="57" t="str">
        <f aca="false">IF($J278="","",SUMIFS($J$6:$J$2405,$A$6:$A$2405,"&lt;="&amp;$A278))</f>
        <v/>
      </c>
      <c r="L278" s="57" t="str">
        <f aca="false">IF($J278="","",IF($K278&lt;=BankCostEnvelope*'5. Scenarios'!$C$7,1,0))</f>
        <v/>
      </c>
      <c r="M278" s="57" t="str">
        <f aca="false">IF($I278="","",INDEX(BookRate,273)*(1+'5. Scenarios'!$C$10)*(INDEX(BookQ1,273)*(5-MIN(4,1+'5. Scenarios'!$C$8))/4+INDEX(BookQ2,273)*(5-MIN(4,2+'5. Scenarios'!$C$8))/4+INDEX(BookQ3,273)*(5-MIN(4,3+'5. Scenarios'!$C$8))/4+INDEX(BookQ4,273)*(5-MIN(4,4+'5. Scenarios'!$C$8))/4)*'5. Scenarios'!$C$6/(1+ProductivityDefault*('5. Scenarios'!$C$11-1))+INDEX(BookOneOff,273)*$I278)</f>
        <v/>
      </c>
      <c r="N278" s="56" t="str">
        <f aca="false">IF(INDEX(BookTitle,273)="","",INDEX(BookTotal,273)*'5. Scenarios'!$D$6/(1+ProductivityDefault*('5. Scenarios'!$D$11-1)))</f>
        <v/>
      </c>
      <c r="O278" s="57" t="str">
        <f aca="false">IF($N278="","",INDEX(BookRate,273)*(1+'5. Scenarios'!$D$10)*$N278)</f>
        <v/>
      </c>
      <c r="P278" s="57" t="str">
        <f aca="false">IF($O278="","",SUMIFS($O$6:$O$2405,$A$6:$A$2405,"&lt;="&amp;$A278))</f>
        <v/>
      </c>
      <c r="Q278" s="57" t="str">
        <f aca="false">IF($O278="","",IF($P278&lt;=BankCostEnvelope*'5. Scenarios'!$D$7,1,0))</f>
        <v/>
      </c>
      <c r="R278" s="57" t="str">
        <f aca="false">IF($N278="","",INDEX(BookRate,273)*(1+'5. Scenarios'!$D$10)*(INDEX(BookQ1,273)*(5-MIN(4,1+'5. Scenarios'!$D$8))/4+INDEX(BookQ2,273)*(5-MIN(4,2+'5. Scenarios'!$D$8))/4+INDEX(BookQ3,273)*(5-MIN(4,3+'5. Scenarios'!$D$8))/4+INDEX(BookQ4,273)*(5-MIN(4,4+'5. Scenarios'!$D$8))/4)*'5. Scenarios'!$D$6/(1+ProductivityDefault*('5. Scenarios'!$D$11-1))+INDEX(BookOneOff,273)*$N278)</f>
        <v/>
      </c>
      <c r="S278" s="56" t="str">
        <f aca="false">IF(INDEX(BookTitle,273)="","",INDEX(BookTotal,273)*'5. Scenarios'!$E$6/(1+ProductivityDefault*('5. Scenarios'!$E$11-1)))</f>
        <v/>
      </c>
      <c r="T278" s="57" t="str">
        <f aca="false">IF($S278="","",INDEX(BookRate,273)*(1+'5. Scenarios'!$E$10)*$S278)</f>
        <v/>
      </c>
      <c r="U278" s="57" t="str">
        <f aca="false">IF($T278="","",SUMIFS($T$6:$T$2405,$A$6:$A$2405,"&lt;="&amp;$A278))</f>
        <v/>
      </c>
      <c r="V278" s="57" t="str">
        <f aca="false">IF($T278="","",IF($U278&lt;=BankCostEnvelope*'5. Scenarios'!$E$7,1,0))</f>
        <v/>
      </c>
      <c r="W278" s="57" t="str">
        <f aca="false">IF($S278="","",INDEX(BookRate,273)*(1+'5. Scenarios'!$E$10)*(INDEX(BookQ1,273)*(5-MIN(4,1+'5. Scenarios'!$E$8))/4+INDEX(BookQ2,273)*(5-MIN(4,2+'5. Scenarios'!$E$8))/4+INDEX(BookQ3,273)*(5-MIN(4,3+'5. Scenarios'!$E$8))/4+INDEX(BookQ4,273)*(5-MIN(4,4+'5. Scenarios'!$E$8))/4)*'5. Scenarios'!$E$6/(1+ProductivityDefault*('5. Scenarios'!$E$11-1))+INDEX(BookOneOff,273)*$S278)</f>
        <v/>
      </c>
    </row>
    <row r="279" customFormat="false" ht="15" hidden="false" customHeight="false" outlineLevel="0" collapsed="false">
      <c r="A279" s="0" t="str">
        <f aca="false">IF(INDEX(BookTitle,274)="","",INDEX(BookKey,274))</f>
        <v/>
      </c>
      <c r="B279" s="0" t="str">
        <f aca="false">IF(INDEX(BookTitle,274)="","",INDEX(BookGroup,274))</f>
        <v/>
      </c>
      <c r="C279" s="0" t="str">
        <f aca="false">IF(INDEX(BookTitle,274)="","",INDEX(BookCategory,274))</f>
        <v/>
      </c>
      <c r="D279" s="56" t="str">
        <f aca="false">IF(INDEX(BookTitle,274)="","",INDEX(BookTotal,274)*'5. Scenarios'!$B$6/(1+ProductivityDefault*('5. Scenarios'!$B$11-1)))</f>
        <v/>
      </c>
      <c r="E279" s="57" t="str">
        <f aca="false">IF($D279="","",INDEX(BookRate,274)*(1+'5. Scenarios'!$B$10)*$D279)</f>
        <v/>
      </c>
      <c r="F279" s="57" t="str">
        <f aca="false">IF($E279="","",SUMIFS($E$6:$E$2405,$A$6:$A$2405,"&lt;="&amp;$A279))</f>
        <v/>
      </c>
      <c r="G279" s="57" t="str">
        <f aca="false">IF($E279="","",IF($F279&lt;=BankCostEnvelope*'5. Scenarios'!$B$7,1,0))</f>
        <v/>
      </c>
      <c r="H279" s="57" t="str">
        <f aca="false">IF($D279="","",INDEX(BookRate,274)*(1+'5. Scenarios'!$B$10)*(INDEX(BookQ1,274)*(5-MIN(4,1+'5. Scenarios'!$B$8))/4+INDEX(BookQ2,274)*(5-MIN(4,2+'5. Scenarios'!$B$8))/4+INDEX(BookQ3,274)*(5-MIN(4,3+'5. Scenarios'!$B$8))/4+INDEX(BookQ4,274)*(5-MIN(4,4+'5. Scenarios'!$B$8))/4)*'5. Scenarios'!$B$6/(1+ProductivityDefault*('5. Scenarios'!$B$11-1))+INDEX(BookOneOff,274)*$D279)</f>
        <v/>
      </c>
      <c r="I279" s="56" t="str">
        <f aca="false">IF(INDEX(BookTitle,274)="","",INDEX(BookTotal,274)*'5. Scenarios'!$C$6/(1+ProductivityDefault*('5. Scenarios'!$C$11-1)))</f>
        <v/>
      </c>
      <c r="J279" s="57" t="str">
        <f aca="false">IF($I279="","",INDEX(BookRate,274)*(1+'5. Scenarios'!$C$10)*$I279)</f>
        <v/>
      </c>
      <c r="K279" s="57" t="str">
        <f aca="false">IF($J279="","",SUMIFS($J$6:$J$2405,$A$6:$A$2405,"&lt;="&amp;$A279))</f>
        <v/>
      </c>
      <c r="L279" s="57" t="str">
        <f aca="false">IF($J279="","",IF($K279&lt;=BankCostEnvelope*'5. Scenarios'!$C$7,1,0))</f>
        <v/>
      </c>
      <c r="M279" s="57" t="str">
        <f aca="false">IF($I279="","",INDEX(BookRate,274)*(1+'5. Scenarios'!$C$10)*(INDEX(BookQ1,274)*(5-MIN(4,1+'5. Scenarios'!$C$8))/4+INDEX(BookQ2,274)*(5-MIN(4,2+'5. Scenarios'!$C$8))/4+INDEX(BookQ3,274)*(5-MIN(4,3+'5. Scenarios'!$C$8))/4+INDEX(BookQ4,274)*(5-MIN(4,4+'5. Scenarios'!$C$8))/4)*'5. Scenarios'!$C$6/(1+ProductivityDefault*('5. Scenarios'!$C$11-1))+INDEX(BookOneOff,274)*$I279)</f>
        <v/>
      </c>
      <c r="N279" s="56" t="str">
        <f aca="false">IF(INDEX(BookTitle,274)="","",INDEX(BookTotal,274)*'5. Scenarios'!$D$6/(1+ProductivityDefault*('5. Scenarios'!$D$11-1)))</f>
        <v/>
      </c>
      <c r="O279" s="57" t="str">
        <f aca="false">IF($N279="","",INDEX(BookRate,274)*(1+'5. Scenarios'!$D$10)*$N279)</f>
        <v/>
      </c>
      <c r="P279" s="57" t="str">
        <f aca="false">IF($O279="","",SUMIFS($O$6:$O$2405,$A$6:$A$2405,"&lt;="&amp;$A279))</f>
        <v/>
      </c>
      <c r="Q279" s="57" t="str">
        <f aca="false">IF($O279="","",IF($P279&lt;=BankCostEnvelope*'5. Scenarios'!$D$7,1,0))</f>
        <v/>
      </c>
      <c r="R279" s="57" t="str">
        <f aca="false">IF($N279="","",INDEX(BookRate,274)*(1+'5. Scenarios'!$D$10)*(INDEX(BookQ1,274)*(5-MIN(4,1+'5. Scenarios'!$D$8))/4+INDEX(BookQ2,274)*(5-MIN(4,2+'5. Scenarios'!$D$8))/4+INDEX(BookQ3,274)*(5-MIN(4,3+'5. Scenarios'!$D$8))/4+INDEX(BookQ4,274)*(5-MIN(4,4+'5. Scenarios'!$D$8))/4)*'5. Scenarios'!$D$6/(1+ProductivityDefault*('5. Scenarios'!$D$11-1))+INDEX(BookOneOff,274)*$N279)</f>
        <v/>
      </c>
      <c r="S279" s="56" t="str">
        <f aca="false">IF(INDEX(BookTitle,274)="","",INDEX(BookTotal,274)*'5. Scenarios'!$E$6/(1+ProductivityDefault*('5. Scenarios'!$E$11-1)))</f>
        <v/>
      </c>
      <c r="T279" s="57" t="str">
        <f aca="false">IF($S279="","",INDEX(BookRate,274)*(1+'5. Scenarios'!$E$10)*$S279)</f>
        <v/>
      </c>
      <c r="U279" s="57" t="str">
        <f aca="false">IF($T279="","",SUMIFS($T$6:$T$2405,$A$6:$A$2405,"&lt;="&amp;$A279))</f>
        <v/>
      </c>
      <c r="V279" s="57" t="str">
        <f aca="false">IF($T279="","",IF($U279&lt;=BankCostEnvelope*'5. Scenarios'!$E$7,1,0))</f>
        <v/>
      </c>
      <c r="W279" s="57" t="str">
        <f aca="false">IF($S279="","",INDEX(BookRate,274)*(1+'5. Scenarios'!$E$10)*(INDEX(BookQ1,274)*(5-MIN(4,1+'5. Scenarios'!$E$8))/4+INDEX(BookQ2,274)*(5-MIN(4,2+'5. Scenarios'!$E$8))/4+INDEX(BookQ3,274)*(5-MIN(4,3+'5. Scenarios'!$E$8))/4+INDEX(BookQ4,274)*(5-MIN(4,4+'5. Scenarios'!$E$8))/4)*'5. Scenarios'!$E$6/(1+ProductivityDefault*('5. Scenarios'!$E$11-1))+INDEX(BookOneOff,274)*$S279)</f>
        <v/>
      </c>
    </row>
    <row r="280" customFormat="false" ht="15" hidden="false" customHeight="false" outlineLevel="0" collapsed="false">
      <c r="A280" s="0" t="str">
        <f aca="false">IF(INDEX(BookTitle,275)="","",INDEX(BookKey,275))</f>
        <v/>
      </c>
      <c r="B280" s="0" t="str">
        <f aca="false">IF(INDEX(BookTitle,275)="","",INDEX(BookGroup,275))</f>
        <v/>
      </c>
      <c r="C280" s="0" t="str">
        <f aca="false">IF(INDEX(BookTitle,275)="","",INDEX(BookCategory,275))</f>
        <v/>
      </c>
      <c r="D280" s="56" t="str">
        <f aca="false">IF(INDEX(BookTitle,275)="","",INDEX(BookTotal,275)*'5. Scenarios'!$B$6/(1+ProductivityDefault*('5. Scenarios'!$B$11-1)))</f>
        <v/>
      </c>
      <c r="E280" s="57" t="str">
        <f aca="false">IF($D280="","",INDEX(BookRate,275)*(1+'5. Scenarios'!$B$10)*$D280)</f>
        <v/>
      </c>
      <c r="F280" s="57" t="str">
        <f aca="false">IF($E280="","",SUMIFS($E$6:$E$2405,$A$6:$A$2405,"&lt;="&amp;$A280))</f>
        <v/>
      </c>
      <c r="G280" s="57" t="str">
        <f aca="false">IF($E280="","",IF($F280&lt;=BankCostEnvelope*'5. Scenarios'!$B$7,1,0))</f>
        <v/>
      </c>
      <c r="H280" s="57" t="str">
        <f aca="false">IF($D280="","",INDEX(BookRate,275)*(1+'5. Scenarios'!$B$10)*(INDEX(BookQ1,275)*(5-MIN(4,1+'5. Scenarios'!$B$8))/4+INDEX(BookQ2,275)*(5-MIN(4,2+'5. Scenarios'!$B$8))/4+INDEX(BookQ3,275)*(5-MIN(4,3+'5. Scenarios'!$B$8))/4+INDEX(BookQ4,275)*(5-MIN(4,4+'5. Scenarios'!$B$8))/4)*'5. Scenarios'!$B$6/(1+ProductivityDefault*('5. Scenarios'!$B$11-1))+INDEX(BookOneOff,275)*$D280)</f>
        <v/>
      </c>
      <c r="I280" s="56" t="str">
        <f aca="false">IF(INDEX(BookTitle,275)="","",INDEX(BookTotal,275)*'5. Scenarios'!$C$6/(1+ProductivityDefault*('5. Scenarios'!$C$11-1)))</f>
        <v/>
      </c>
      <c r="J280" s="57" t="str">
        <f aca="false">IF($I280="","",INDEX(BookRate,275)*(1+'5. Scenarios'!$C$10)*$I280)</f>
        <v/>
      </c>
      <c r="K280" s="57" t="str">
        <f aca="false">IF($J280="","",SUMIFS($J$6:$J$2405,$A$6:$A$2405,"&lt;="&amp;$A280))</f>
        <v/>
      </c>
      <c r="L280" s="57" t="str">
        <f aca="false">IF($J280="","",IF($K280&lt;=BankCostEnvelope*'5. Scenarios'!$C$7,1,0))</f>
        <v/>
      </c>
      <c r="M280" s="57" t="str">
        <f aca="false">IF($I280="","",INDEX(BookRate,275)*(1+'5. Scenarios'!$C$10)*(INDEX(BookQ1,275)*(5-MIN(4,1+'5. Scenarios'!$C$8))/4+INDEX(BookQ2,275)*(5-MIN(4,2+'5. Scenarios'!$C$8))/4+INDEX(BookQ3,275)*(5-MIN(4,3+'5. Scenarios'!$C$8))/4+INDEX(BookQ4,275)*(5-MIN(4,4+'5. Scenarios'!$C$8))/4)*'5. Scenarios'!$C$6/(1+ProductivityDefault*('5. Scenarios'!$C$11-1))+INDEX(BookOneOff,275)*$I280)</f>
        <v/>
      </c>
      <c r="N280" s="56" t="str">
        <f aca="false">IF(INDEX(BookTitle,275)="","",INDEX(BookTotal,275)*'5. Scenarios'!$D$6/(1+ProductivityDefault*('5. Scenarios'!$D$11-1)))</f>
        <v/>
      </c>
      <c r="O280" s="57" t="str">
        <f aca="false">IF($N280="","",INDEX(BookRate,275)*(1+'5. Scenarios'!$D$10)*$N280)</f>
        <v/>
      </c>
      <c r="P280" s="57" t="str">
        <f aca="false">IF($O280="","",SUMIFS($O$6:$O$2405,$A$6:$A$2405,"&lt;="&amp;$A280))</f>
        <v/>
      </c>
      <c r="Q280" s="57" t="str">
        <f aca="false">IF($O280="","",IF($P280&lt;=BankCostEnvelope*'5. Scenarios'!$D$7,1,0))</f>
        <v/>
      </c>
      <c r="R280" s="57" t="str">
        <f aca="false">IF($N280="","",INDEX(BookRate,275)*(1+'5. Scenarios'!$D$10)*(INDEX(BookQ1,275)*(5-MIN(4,1+'5. Scenarios'!$D$8))/4+INDEX(BookQ2,275)*(5-MIN(4,2+'5. Scenarios'!$D$8))/4+INDEX(BookQ3,275)*(5-MIN(4,3+'5. Scenarios'!$D$8))/4+INDEX(BookQ4,275)*(5-MIN(4,4+'5. Scenarios'!$D$8))/4)*'5. Scenarios'!$D$6/(1+ProductivityDefault*('5. Scenarios'!$D$11-1))+INDEX(BookOneOff,275)*$N280)</f>
        <v/>
      </c>
      <c r="S280" s="56" t="str">
        <f aca="false">IF(INDEX(BookTitle,275)="","",INDEX(BookTotal,275)*'5. Scenarios'!$E$6/(1+ProductivityDefault*('5. Scenarios'!$E$11-1)))</f>
        <v/>
      </c>
      <c r="T280" s="57" t="str">
        <f aca="false">IF($S280="","",INDEX(BookRate,275)*(1+'5. Scenarios'!$E$10)*$S280)</f>
        <v/>
      </c>
      <c r="U280" s="57" t="str">
        <f aca="false">IF($T280="","",SUMIFS($T$6:$T$2405,$A$6:$A$2405,"&lt;="&amp;$A280))</f>
        <v/>
      </c>
      <c r="V280" s="57" t="str">
        <f aca="false">IF($T280="","",IF($U280&lt;=BankCostEnvelope*'5. Scenarios'!$E$7,1,0))</f>
        <v/>
      </c>
      <c r="W280" s="57" t="str">
        <f aca="false">IF($S280="","",INDEX(BookRate,275)*(1+'5. Scenarios'!$E$10)*(INDEX(BookQ1,275)*(5-MIN(4,1+'5. Scenarios'!$E$8))/4+INDEX(BookQ2,275)*(5-MIN(4,2+'5. Scenarios'!$E$8))/4+INDEX(BookQ3,275)*(5-MIN(4,3+'5. Scenarios'!$E$8))/4+INDEX(BookQ4,275)*(5-MIN(4,4+'5. Scenarios'!$E$8))/4)*'5. Scenarios'!$E$6/(1+ProductivityDefault*('5. Scenarios'!$E$11-1))+INDEX(BookOneOff,275)*$S280)</f>
        <v/>
      </c>
    </row>
    <row r="281" customFormat="false" ht="15" hidden="false" customHeight="false" outlineLevel="0" collapsed="false">
      <c r="A281" s="0" t="str">
        <f aca="false">IF(INDEX(BookTitle,276)="","",INDEX(BookKey,276))</f>
        <v/>
      </c>
      <c r="B281" s="0" t="str">
        <f aca="false">IF(INDEX(BookTitle,276)="","",INDEX(BookGroup,276))</f>
        <v/>
      </c>
      <c r="C281" s="0" t="str">
        <f aca="false">IF(INDEX(BookTitle,276)="","",INDEX(BookCategory,276))</f>
        <v/>
      </c>
      <c r="D281" s="56" t="str">
        <f aca="false">IF(INDEX(BookTitle,276)="","",INDEX(BookTotal,276)*'5. Scenarios'!$B$6/(1+ProductivityDefault*('5. Scenarios'!$B$11-1)))</f>
        <v/>
      </c>
      <c r="E281" s="57" t="str">
        <f aca="false">IF($D281="","",INDEX(BookRate,276)*(1+'5. Scenarios'!$B$10)*$D281)</f>
        <v/>
      </c>
      <c r="F281" s="57" t="str">
        <f aca="false">IF($E281="","",SUMIFS($E$6:$E$2405,$A$6:$A$2405,"&lt;="&amp;$A281))</f>
        <v/>
      </c>
      <c r="G281" s="57" t="str">
        <f aca="false">IF($E281="","",IF($F281&lt;=BankCostEnvelope*'5. Scenarios'!$B$7,1,0))</f>
        <v/>
      </c>
      <c r="H281" s="57" t="str">
        <f aca="false">IF($D281="","",INDEX(BookRate,276)*(1+'5. Scenarios'!$B$10)*(INDEX(BookQ1,276)*(5-MIN(4,1+'5. Scenarios'!$B$8))/4+INDEX(BookQ2,276)*(5-MIN(4,2+'5. Scenarios'!$B$8))/4+INDEX(BookQ3,276)*(5-MIN(4,3+'5. Scenarios'!$B$8))/4+INDEX(BookQ4,276)*(5-MIN(4,4+'5. Scenarios'!$B$8))/4)*'5. Scenarios'!$B$6/(1+ProductivityDefault*('5. Scenarios'!$B$11-1))+INDEX(BookOneOff,276)*$D281)</f>
        <v/>
      </c>
      <c r="I281" s="56" t="str">
        <f aca="false">IF(INDEX(BookTitle,276)="","",INDEX(BookTotal,276)*'5. Scenarios'!$C$6/(1+ProductivityDefault*('5. Scenarios'!$C$11-1)))</f>
        <v/>
      </c>
      <c r="J281" s="57" t="str">
        <f aca="false">IF($I281="","",INDEX(BookRate,276)*(1+'5. Scenarios'!$C$10)*$I281)</f>
        <v/>
      </c>
      <c r="K281" s="57" t="str">
        <f aca="false">IF($J281="","",SUMIFS($J$6:$J$2405,$A$6:$A$2405,"&lt;="&amp;$A281))</f>
        <v/>
      </c>
      <c r="L281" s="57" t="str">
        <f aca="false">IF($J281="","",IF($K281&lt;=BankCostEnvelope*'5. Scenarios'!$C$7,1,0))</f>
        <v/>
      </c>
      <c r="M281" s="57" t="str">
        <f aca="false">IF($I281="","",INDEX(BookRate,276)*(1+'5. Scenarios'!$C$10)*(INDEX(BookQ1,276)*(5-MIN(4,1+'5. Scenarios'!$C$8))/4+INDEX(BookQ2,276)*(5-MIN(4,2+'5. Scenarios'!$C$8))/4+INDEX(BookQ3,276)*(5-MIN(4,3+'5. Scenarios'!$C$8))/4+INDEX(BookQ4,276)*(5-MIN(4,4+'5. Scenarios'!$C$8))/4)*'5. Scenarios'!$C$6/(1+ProductivityDefault*('5. Scenarios'!$C$11-1))+INDEX(BookOneOff,276)*$I281)</f>
        <v/>
      </c>
      <c r="N281" s="56" t="str">
        <f aca="false">IF(INDEX(BookTitle,276)="","",INDEX(BookTotal,276)*'5. Scenarios'!$D$6/(1+ProductivityDefault*('5. Scenarios'!$D$11-1)))</f>
        <v/>
      </c>
      <c r="O281" s="57" t="str">
        <f aca="false">IF($N281="","",INDEX(BookRate,276)*(1+'5. Scenarios'!$D$10)*$N281)</f>
        <v/>
      </c>
      <c r="P281" s="57" t="str">
        <f aca="false">IF($O281="","",SUMIFS($O$6:$O$2405,$A$6:$A$2405,"&lt;="&amp;$A281))</f>
        <v/>
      </c>
      <c r="Q281" s="57" t="str">
        <f aca="false">IF($O281="","",IF($P281&lt;=BankCostEnvelope*'5. Scenarios'!$D$7,1,0))</f>
        <v/>
      </c>
      <c r="R281" s="57" t="str">
        <f aca="false">IF($N281="","",INDEX(BookRate,276)*(1+'5. Scenarios'!$D$10)*(INDEX(BookQ1,276)*(5-MIN(4,1+'5. Scenarios'!$D$8))/4+INDEX(BookQ2,276)*(5-MIN(4,2+'5. Scenarios'!$D$8))/4+INDEX(BookQ3,276)*(5-MIN(4,3+'5. Scenarios'!$D$8))/4+INDEX(BookQ4,276)*(5-MIN(4,4+'5. Scenarios'!$D$8))/4)*'5. Scenarios'!$D$6/(1+ProductivityDefault*('5. Scenarios'!$D$11-1))+INDEX(BookOneOff,276)*$N281)</f>
        <v/>
      </c>
      <c r="S281" s="56" t="str">
        <f aca="false">IF(INDEX(BookTitle,276)="","",INDEX(BookTotal,276)*'5. Scenarios'!$E$6/(1+ProductivityDefault*('5. Scenarios'!$E$11-1)))</f>
        <v/>
      </c>
      <c r="T281" s="57" t="str">
        <f aca="false">IF($S281="","",INDEX(BookRate,276)*(1+'5. Scenarios'!$E$10)*$S281)</f>
        <v/>
      </c>
      <c r="U281" s="57" t="str">
        <f aca="false">IF($T281="","",SUMIFS($T$6:$T$2405,$A$6:$A$2405,"&lt;="&amp;$A281))</f>
        <v/>
      </c>
      <c r="V281" s="57" t="str">
        <f aca="false">IF($T281="","",IF($U281&lt;=BankCostEnvelope*'5. Scenarios'!$E$7,1,0))</f>
        <v/>
      </c>
      <c r="W281" s="57" t="str">
        <f aca="false">IF($S281="","",INDEX(BookRate,276)*(1+'5. Scenarios'!$E$10)*(INDEX(BookQ1,276)*(5-MIN(4,1+'5. Scenarios'!$E$8))/4+INDEX(BookQ2,276)*(5-MIN(4,2+'5. Scenarios'!$E$8))/4+INDEX(BookQ3,276)*(5-MIN(4,3+'5. Scenarios'!$E$8))/4+INDEX(BookQ4,276)*(5-MIN(4,4+'5. Scenarios'!$E$8))/4)*'5. Scenarios'!$E$6/(1+ProductivityDefault*('5. Scenarios'!$E$11-1))+INDEX(BookOneOff,276)*$S281)</f>
        <v/>
      </c>
    </row>
    <row r="282" customFormat="false" ht="15" hidden="false" customHeight="false" outlineLevel="0" collapsed="false">
      <c r="A282" s="0" t="str">
        <f aca="false">IF(INDEX(BookTitle,277)="","",INDEX(BookKey,277))</f>
        <v/>
      </c>
      <c r="B282" s="0" t="str">
        <f aca="false">IF(INDEX(BookTitle,277)="","",INDEX(BookGroup,277))</f>
        <v/>
      </c>
      <c r="C282" s="0" t="str">
        <f aca="false">IF(INDEX(BookTitle,277)="","",INDEX(BookCategory,277))</f>
        <v/>
      </c>
      <c r="D282" s="56" t="str">
        <f aca="false">IF(INDEX(BookTitle,277)="","",INDEX(BookTotal,277)*'5. Scenarios'!$B$6/(1+ProductivityDefault*('5. Scenarios'!$B$11-1)))</f>
        <v/>
      </c>
      <c r="E282" s="57" t="str">
        <f aca="false">IF($D282="","",INDEX(BookRate,277)*(1+'5. Scenarios'!$B$10)*$D282)</f>
        <v/>
      </c>
      <c r="F282" s="57" t="str">
        <f aca="false">IF($E282="","",SUMIFS($E$6:$E$2405,$A$6:$A$2405,"&lt;="&amp;$A282))</f>
        <v/>
      </c>
      <c r="G282" s="57" t="str">
        <f aca="false">IF($E282="","",IF($F282&lt;=BankCostEnvelope*'5. Scenarios'!$B$7,1,0))</f>
        <v/>
      </c>
      <c r="H282" s="57" t="str">
        <f aca="false">IF($D282="","",INDEX(BookRate,277)*(1+'5. Scenarios'!$B$10)*(INDEX(BookQ1,277)*(5-MIN(4,1+'5. Scenarios'!$B$8))/4+INDEX(BookQ2,277)*(5-MIN(4,2+'5. Scenarios'!$B$8))/4+INDEX(BookQ3,277)*(5-MIN(4,3+'5. Scenarios'!$B$8))/4+INDEX(BookQ4,277)*(5-MIN(4,4+'5. Scenarios'!$B$8))/4)*'5. Scenarios'!$B$6/(1+ProductivityDefault*('5. Scenarios'!$B$11-1))+INDEX(BookOneOff,277)*$D282)</f>
        <v/>
      </c>
      <c r="I282" s="56" t="str">
        <f aca="false">IF(INDEX(BookTitle,277)="","",INDEX(BookTotal,277)*'5. Scenarios'!$C$6/(1+ProductivityDefault*('5. Scenarios'!$C$11-1)))</f>
        <v/>
      </c>
      <c r="J282" s="57" t="str">
        <f aca="false">IF($I282="","",INDEX(BookRate,277)*(1+'5. Scenarios'!$C$10)*$I282)</f>
        <v/>
      </c>
      <c r="K282" s="57" t="str">
        <f aca="false">IF($J282="","",SUMIFS($J$6:$J$2405,$A$6:$A$2405,"&lt;="&amp;$A282))</f>
        <v/>
      </c>
      <c r="L282" s="57" t="str">
        <f aca="false">IF($J282="","",IF($K282&lt;=BankCostEnvelope*'5. Scenarios'!$C$7,1,0))</f>
        <v/>
      </c>
      <c r="M282" s="57" t="str">
        <f aca="false">IF($I282="","",INDEX(BookRate,277)*(1+'5. Scenarios'!$C$10)*(INDEX(BookQ1,277)*(5-MIN(4,1+'5. Scenarios'!$C$8))/4+INDEX(BookQ2,277)*(5-MIN(4,2+'5. Scenarios'!$C$8))/4+INDEX(BookQ3,277)*(5-MIN(4,3+'5. Scenarios'!$C$8))/4+INDEX(BookQ4,277)*(5-MIN(4,4+'5. Scenarios'!$C$8))/4)*'5. Scenarios'!$C$6/(1+ProductivityDefault*('5. Scenarios'!$C$11-1))+INDEX(BookOneOff,277)*$I282)</f>
        <v/>
      </c>
      <c r="N282" s="56" t="str">
        <f aca="false">IF(INDEX(BookTitle,277)="","",INDEX(BookTotal,277)*'5. Scenarios'!$D$6/(1+ProductivityDefault*('5. Scenarios'!$D$11-1)))</f>
        <v/>
      </c>
      <c r="O282" s="57" t="str">
        <f aca="false">IF($N282="","",INDEX(BookRate,277)*(1+'5. Scenarios'!$D$10)*$N282)</f>
        <v/>
      </c>
      <c r="P282" s="57" t="str">
        <f aca="false">IF($O282="","",SUMIFS($O$6:$O$2405,$A$6:$A$2405,"&lt;="&amp;$A282))</f>
        <v/>
      </c>
      <c r="Q282" s="57" t="str">
        <f aca="false">IF($O282="","",IF($P282&lt;=BankCostEnvelope*'5. Scenarios'!$D$7,1,0))</f>
        <v/>
      </c>
      <c r="R282" s="57" t="str">
        <f aca="false">IF($N282="","",INDEX(BookRate,277)*(1+'5. Scenarios'!$D$10)*(INDEX(BookQ1,277)*(5-MIN(4,1+'5. Scenarios'!$D$8))/4+INDEX(BookQ2,277)*(5-MIN(4,2+'5. Scenarios'!$D$8))/4+INDEX(BookQ3,277)*(5-MIN(4,3+'5. Scenarios'!$D$8))/4+INDEX(BookQ4,277)*(5-MIN(4,4+'5. Scenarios'!$D$8))/4)*'5. Scenarios'!$D$6/(1+ProductivityDefault*('5. Scenarios'!$D$11-1))+INDEX(BookOneOff,277)*$N282)</f>
        <v/>
      </c>
      <c r="S282" s="56" t="str">
        <f aca="false">IF(INDEX(BookTitle,277)="","",INDEX(BookTotal,277)*'5. Scenarios'!$E$6/(1+ProductivityDefault*('5. Scenarios'!$E$11-1)))</f>
        <v/>
      </c>
      <c r="T282" s="57" t="str">
        <f aca="false">IF($S282="","",INDEX(BookRate,277)*(1+'5. Scenarios'!$E$10)*$S282)</f>
        <v/>
      </c>
      <c r="U282" s="57" t="str">
        <f aca="false">IF($T282="","",SUMIFS($T$6:$T$2405,$A$6:$A$2405,"&lt;="&amp;$A282))</f>
        <v/>
      </c>
      <c r="V282" s="57" t="str">
        <f aca="false">IF($T282="","",IF($U282&lt;=BankCostEnvelope*'5. Scenarios'!$E$7,1,0))</f>
        <v/>
      </c>
      <c r="W282" s="57" t="str">
        <f aca="false">IF($S282="","",INDEX(BookRate,277)*(1+'5. Scenarios'!$E$10)*(INDEX(BookQ1,277)*(5-MIN(4,1+'5. Scenarios'!$E$8))/4+INDEX(BookQ2,277)*(5-MIN(4,2+'5. Scenarios'!$E$8))/4+INDEX(BookQ3,277)*(5-MIN(4,3+'5. Scenarios'!$E$8))/4+INDEX(BookQ4,277)*(5-MIN(4,4+'5. Scenarios'!$E$8))/4)*'5. Scenarios'!$E$6/(1+ProductivityDefault*('5. Scenarios'!$E$11-1))+INDEX(BookOneOff,277)*$S282)</f>
        <v/>
      </c>
    </row>
    <row r="283" customFormat="false" ht="15" hidden="false" customHeight="false" outlineLevel="0" collapsed="false">
      <c r="A283" s="0" t="str">
        <f aca="false">IF(INDEX(BookTitle,278)="","",INDEX(BookKey,278))</f>
        <v/>
      </c>
      <c r="B283" s="0" t="str">
        <f aca="false">IF(INDEX(BookTitle,278)="","",INDEX(BookGroup,278))</f>
        <v/>
      </c>
      <c r="C283" s="0" t="str">
        <f aca="false">IF(INDEX(BookTitle,278)="","",INDEX(BookCategory,278))</f>
        <v/>
      </c>
      <c r="D283" s="56" t="str">
        <f aca="false">IF(INDEX(BookTitle,278)="","",INDEX(BookTotal,278)*'5. Scenarios'!$B$6/(1+ProductivityDefault*('5. Scenarios'!$B$11-1)))</f>
        <v/>
      </c>
      <c r="E283" s="57" t="str">
        <f aca="false">IF($D283="","",INDEX(BookRate,278)*(1+'5. Scenarios'!$B$10)*$D283)</f>
        <v/>
      </c>
      <c r="F283" s="57" t="str">
        <f aca="false">IF($E283="","",SUMIFS($E$6:$E$2405,$A$6:$A$2405,"&lt;="&amp;$A283))</f>
        <v/>
      </c>
      <c r="G283" s="57" t="str">
        <f aca="false">IF($E283="","",IF($F283&lt;=BankCostEnvelope*'5. Scenarios'!$B$7,1,0))</f>
        <v/>
      </c>
      <c r="H283" s="57" t="str">
        <f aca="false">IF($D283="","",INDEX(BookRate,278)*(1+'5. Scenarios'!$B$10)*(INDEX(BookQ1,278)*(5-MIN(4,1+'5. Scenarios'!$B$8))/4+INDEX(BookQ2,278)*(5-MIN(4,2+'5. Scenarios'!$B$8))/4+INDEX(BookQ3,278)*(5-MIN(4,3+'5. Scenarios'!$B$8))/4+INDEX(BookQ4,278)*(5-MIN(4,4+'5. Scenarios'!$B$8))/4)*'5. Scenarios'!$B$6/(1+ProductivityDefault*('5. Scenarios'!$B$11-1))+INDEX(BookOneOff,278)*$D283)</f>
        <v/>
      </c>
      <c r="I283" s="56" t="str">
        <f aca="false">IF(INDEX(BookTitle,278)="","",INDEX(BookTotal,278)*'5. Scenarios'!$C$6/(1+ProductivityDefault*('5. Scenarios'!$C$11-1)))</f>
        <v/>
      </c>
      <c r="J283" s="57" t="str">
        <f aca="false">IF($I283="","",INDEX(BookRate,278)*(1+'5. Scenarios'!$C$10)*$I283)</f>
        <v/>
      </c>
      <c r="K283" s="57" t="str">
        <f aca="false">IF($J283="","",SUMIFS($J$6:$J$2405,$A$6:$A$2405,"&lt;="&amp;$A283))</f>
        <v/>
      </c>
      <c r="L283" s="57" t="str">
        <f aca="false">IF($J283="","",IF($K283&lt;=BankCostEnvelope*'5. Scenarios'!$C$7,1,0))</f>
        <v/>
      </c>
      <c r="M283" s="57" t="str">
        <f aca="false">IF($I283="","",INDEX(BookRate,278)*(1+'5. Scenarios'!$C$10)*(INDEX(BookQ1,278)*(5-MIN(4,1+'5. Scenarios'!$C$8))/4+INDEX(BookQ2,278)*(5-MIN(4,2+'5. Scenarios'!$C$8))/4+INDEX(BookQ3,278)*(5-MIN(4,3+'5. Scenarios'!$C$8))/4+INDEX(BookQ4,278)*(5-MIN(4,4+'5. Scenarios'!$C$8))/4)*'5. Scenarios'!$C$6/(1+ProductivityDefault*('5. Scenarios'!$C$11-1))+INDEX(BookOneOff,278)*$I283)</f>
        <v/>
      </c>
      <c r="N283" s="56" t="str">
        <f aca="false">IF(INDEX(BookTitle,278)="","",INDEX(BookTotal,278)*'5. Scenarios'!$D$6/(1+ProductivityDefault*('5. Scenarios'!$D$11-1)))</f>
        <v/>
      </c>
      <c r="O283" s="57" t="str">
        <f aca="false">IF($N283="","",INDEX(BookRate,278)*(1+'5. Scenarios'!$D$10)*$N283)</f>
        <v/>
      </c>
      <c r="P283" s="57" t="str">
        <f aca="false">IF($O283="","",SUMIFS($O$6:$O$2405,$A$6:$A$2405,"&lt;="&amp;$A283))</f>
        <v/>
      </c>
      <c r="Q283" s="57" t="str">
        <f aca="false">IF($O283="","",IF($P283&lt;=BankCostEnvelope*'5. Scenarios'!$D$7,1,0))</f>
        <v/>
      </c>
      <c r="R283" s="57" t="str">
        <f aca="false">IF($N283="","",INDEX(BookRate,278)*(1+'5. Scenarios'!$D$10)*(INDEX(BookQ1,278)*(5-MIN(4,1+'5. Scenarios'!$D$8))/4+INDEX(BookQ2,278)*(5-MIN(4,2+'5. Scenarios'!$D$8))/4+INDEX(BookQ3,278)*(5-MIN(4,3+'5. Scenarios'!$D$8))/4+INDEX(BookQ4,278)*(5-MIN(4,4+'5. Scenarios'!$D$8))/4)*'5. Scenarios'!$D$6/(1+ProductivityDefault*('5. Scenarios'!$D$11-1))+INDEX(BookOneOff,278)*$N283)</f>
        <v/>
      </c>
      <c r="S283" s="56" t="str">
        <f aca="false">IF(INDEX(BookTitle,278)="","",INDEX(BookTotal,278)*'5. Scenarios'!$E$6/(1+ProductivityDefault*('5. Scenarios'!$E$11-1)))</f>
        <v/>
      </c>
      <c r="T283" s="57" t="str">
        <f aca="false">IF($S283="","",INDEX(BookRate,278)*(1+'5. Scenarios'!$E$10)*$S283)</f>
        <v/>
      </c>
      <c r="U283" s="57" t="str">
        <f aca="false">IF($T283="","",SUMIFS($T$6:$T$2405,$A$6:$A$2405,"&lt;="&amp;$A283))</f>
        <v/>
      </c>
      <c r="V283" s="57" t="str">
        <f aca="false">IF($T283="","",IF($U283&lt;=BankCostEnvelope*'5. Scenarios'!$E$7,1,0))</f>
        <v/>
      </c>
      <c r="W283" s="57" t="str">
        <f aca="false">IF($S283="","",INDEX(BookRate,278)*(1+'5. Scenarios'!$E$10)*(INDEX(BookQ1,278)*(5-MIN(4,1+'5. Scenarios'!$E$8))/4+INDEX(BookQ2,278)*(5-MIN(4,2+'5. Scenarios'!$E$8))/4+INDEX(BookQ3,278)*(5-MIN(4,3+'5. Scenarios'!$E$8))/4+INDEX(BookQ4,278)*(5-MIN(4,4+'5. Scenarios'!$E$8))/4)*'5. Scenarios'!$E$6/(1+ProductivityDefault*('5. Scenarios'!$E$11-1))+INDEX(BookOneOff,278)*$S283)</f>
        <v/>
      </c>
    </row>
    <row r="284" customFormat="false" ht="15" hidden="false" customHeight="false" outlineLevel="0" collapsed="false">
      <c r="A284" s="0" t="str">
        <f aca="false">IF(INDEX(BookTitle,279)="","",INDEX(BookKey,279))</f>
        <v/>
      </c>
      <c r="B284" s="0" t="str">
        <f aca="false">IF(INDEX(BookTitle,279)="","",INDEX(BookGroup,279))</f>
        <v/>
      </c>
      <c r="C284" s="0" t="str">
        <f aca="false">IF(INDEX(BookTitle,279)="","",INDEX(BookCategory,279))</f>
        <v/>
      </c>
      <c r="D284" s="56" t="str">
        <f aca="false">IF(INDEX(BookTitle,279)="","",INDEX(BookTotal,279)*'5. Scenarios'!$B$6/(1+ProductivityDefault*('5. Scenarios'!$B$11-1)))</f>
        <v/>
      </c>
      <c r="E284" s="57" t="str">
        <f aca="false">IF($D284="","",INDEX(BookRate,279)*(1+'5. Scenarios'!$B$10)*$D284)</f>
        <v/>
      </c>
      <c r="F284" s="57" t="str">
        <f aca="false">IF($E284="","",SUMIFS($E$6:$E$2405,$A$6:$A$2405,"&lt;="&amp;$A284))</f>
        <v/>
      </c>
      <c r="G284" s="57" t="str">
        <f aca="false">IF($E284="","",IF($F284&lt;=BankCostEnvelope*'5. Scenarios'!$B$7,1,0))</f>
        <v/>
      </c>
      <c r="H284" s="57" t="str">
        <f aca="false">IF($D284="","",INDEX(BookRate,279)*(1+'5. Scenarios'!$B$10)*(INDEX(BookQ1,279)*(5-MIN(4,1+'5. Scenarios'!$B$8))/4+INDEX(BookQ2,279)*(5-MIN(4,2+'5. Scenarios'!$B$8))/4+INDEX(BookQ3,279)*(5-MIN(4,3+'5. Scenarios'!$B$8))/4+INDEX(BookQ4,279)*(5-MIN(4,4+'5. Scenarios'!$B$8))/4)*'5. Scenarios'!$B$6/(1+ProductivityDefault*('5. Scenarios'!$B$11-1))+INDEX(BookOneOff,279)*$D284)</f>
        <v/>
      </c>
      <c r="I284" s="56" t="str">
        <f aca="false">IF(INDEX(BookTitle,279)="","",INDEX(BookTotal,279)*'5. Scenarios'!$C$6/(1+ProductivityDefault*('5. Scenarios'!$C$11-1)))</f>
        <v/>
      </c>
      <c r="J284" s="57" t="str">
        <f aca="false">IF($I284="","",INDEX(BookRate,279)*(1+'5. Scenarios'!$C$10)*$I284)</f>
        <v/>
      </c>
      <c r="K284" s="57" t="str">
        <f aca="false">IF($J284="","",SUMIFS($J$6:$J$2405,$A$6:$A$2405,"&lt;="&amp;$A284))</f>
        <v/>
      </c>
      <c r="L284" s="57" t="str">
        <f aca="false">IF($J284="","",IF($K284&lt;=BankCostEnvelope*'5. Scenarios'!$C$7,1,0))</f>
        <v/>
      </c>
      <c r="M284" s="57" t="str">
        <f aca="false">IF($I284="","",INDEX(BookRate,279)*(1+'5. Scenarios'!$C$10)*(INDEX(BookQ1,279)*(5-MIN(4,1+'5. Scenarios'!$C$8))/4+INDEX(BookQ2,279)*(5-MIN(4,2+'5. Scenarios'!$C$8))/4+INDEX(BookQ3,279)*(5-MIN(4,3+'5. Scenarios'!$C$8))/4+INDEX(BookQ4,279)*(5-MIN(4,4+'5. Scenarios'!$C$8))/4)*'5. Scenarios'!$C$6/(1+ProductivityDefault*('5. Scenarios'!$C$11-1))+INDEX(BookOneOff,279)*$I284)</f>
        <v/>
      </c>
      <c r="N284" s="56" t="str">
        <f aca="false">IF(INDEX(BookTitle,279)="","",INDEX(BookTotal,279)*'5. Scenarios'!$D$6/(1+ProductivityDefault*('5. Scenarios'!$D$11-1)))</f>
        <v/>
      </c>
      <c r="O284" s="57" t="str">
        <f aca="false">IF($N284="","",INDEX(BookRate,279)*(1+'5. Scenarios'!$D$10)*$N284)</f>
        <v/>
      </c>
      <c r="P284" s="57" t="str">
        <f aca="false">IF($O284="","",SUMIFS($O$6:$O$2405,$A$6:$A$2405,"&lt;="&amp;$A284))</f>
        <v/>
      </c>
      <c r="Q284" s="57" t="str">
        <f aca="false">IF($O284="","",IF($P284&lt;=BankCostEnvelope*'5. Scenarios'!$D$7,1,0))</f>
        <v/>
      </c>
      <c r="R284" s="57" t="str">
        <f aca="false">IF($N284="","",INDEX(BookRate,279)*(1+'5. Scenarios'!$D$10)*(INDEX(BookQ1,279)*(5-MIN(4,1+'5. Scenarios'!$D$8))/4+INDEX(BookQ2,279)*(5-MIN(4,2+'5. Scenarios'!$D$8))/4+INDEX(BookQ3,279)*(5-MIN(4,3+'5. Scenarios'!$D$8))/4+INDEX(BookQ4,279)*(5-MIN(4,4+'5. Scenarios'!$D$8))/4)*'5. Scenarios'!$D$6/(1+ProductivityDefault*('5. Scenarios'!$D$11-1))+INDEX(BookOneOff,279)*$N284)</f>
        <v/>
      </c>
      <c r="S284" s="56" t="str">
        <f aca="false">IF(INDEX(BookTitle,279)="","",INDEX(BookTotal,279)*'5. Scenarios'!$E$6/(1+ProductivityDefault*('5. Scenarios'!$E$11-1)))</f>
        <v/>
      </c>
      <c r="T284" s="57" t="str">
        <f aca="false">IF($S284="","",INDEX(BookRate,279)*(1+'5. Scenarios'!$E$10)*$S284)</f>
        <v/>
      </c>
      <c r="U284" s="57" t="str">
        <f aca="false">IF($T284="","",SUMIFS($T$6:$T$2405,$A$6:$A$2405,"&lt;="&amp;$A284))</f>
        <v/>
      </c>
      <c r="V284" s="57" t="str">
        <f aca="false">IF($T284="","",IF($U284&lt;=BankCostEnvelope*'5. Scenarios'!$E$7,1,0))</f>
        <v/>
      </c>
      <c r="W284" s="57" t="str">
        <f aca="false">IF($S284="","",INDEX(BookRate,279)*(1+'5. Scenarios'!$E$10)*(INDEX(BookQ1,279)*(5-MIN(4,1+'5. Scenarios'!$E$8))/4+INDEX(BookQ2,279)*(5-MIN(4,2+'5. Scenarios'!$E$8))/4+INDEX(BookQ3,279)*(5-MIN(4,3+'5. Scenarios'!$E$8))/4+INDEX(BookQ4,279)*(5-MIN(4,4+'5. Scenarios'!$E$8))/4)*'5. Scenarios'!$E$6/(1+ProductivityDefault*('5. Scenarios'!$E$11-1))+INDEX(BookOneOff,279)*$S284)</f>
        <v/>
      </c>
    </row>
    <row r="285" customFormat="false" ht="15" hidden="false" customHeight="false" outlineLevel="0" collapsed="false">
      <c r="A285" s="0" t="str">
        <f aca="false">IF(INDEX(BookTitle,280)="","",INDEX(BookKey,280))</f>
        <v/>
      </c>
      <c r="B285" s="0" t="str">
        <f aca="false">IF(INDEX(BookTitle,280)="","",INDEX(BookGroup,280))</f>
        <v/>
      </c>
      <c r="C285" s="0" t="str">
        <f aca="false">IF(INDEX(BookTitle,280)="","",INDEX(BookCategory,280))</f>
        <v/>
      </c>
      <c r="D285" s="56" t="str">
        <f aca="false">IF(INDEX(BookTitle,280)="","",INDEX(BookTotal,280)*'5. Scenarios'!$B$6/(1+ProductivityDefault*('5. Scenarios'!$B$11-1)))</f>
        <v/>
      </c>
      <c r="E285" s="57" t="str">
        <f aca="false">IF($D285="","",INDEX(BookRate,280)*(1+'5. Scenarios'!$B$10)*$D285)</f>
        <v/>
      </c>
      <c r="F285" s="57" t="str">
        <f aca="false">IF($E285="","",SUMIFS($E$6:$E$2405,$A$6:$A$2405,"&lt;="&amp;$A285))</f>
        <v/>
      </c>
      <c r="G285" s="57" t="str">
        <f aca="false">IF($E285="","",IF($F285&lt;=BankCostEnvelope*'5. Scenarios'!$B$7,1,0))</f>
        <v/>
      </c>
      <c r="H285" s="57" t="str">
        <f aca="false">IF($D285="","",INDEX(BookRate,280)*(1+'5. Scenarios'!$B$10)*(INDEX(BookQ1,280)*(5-MIN(4,1+'5. Scenarios'!$B$8))/4+INDEX(BookQ2,280)*(5-MIN(4,2+'5. Scenarios'!$B$8))/4+INDEX(BookQ3,280)*(5-MIN(4,3+'5. Scenarios'!$B$8))/4+INDEX(BookQ4,280)*(5-MIN(4,4+'5. Scenarios'!$B$8))/4)*'5. Scenarios'!$B$6/(1+ProductivityDefault*('5. Scenarios'!$B$11-1))+INDEX(BookOneOff,280)*$D285)</f>
        <v/>
      </c>
      <c r="I285" s="56" t="str">
        <f aca="false">IF(INDEX(BookTitle,280)="","",INDEX(BookTotal,280)*'5. Scenarios'!$C$6/(1+ProductivityDefault*('5. Scenarios'!$C$11-1)))</f>
        <v/>
      </c>
      <c r="J285" s="57" t="str">
        <f aca="false">IF($I285="","",INDEX(BookRate,280)*(1+'5. Scenarios'!$C$10)*$I285)</f>
        <v/>
      </c>
      <c r="K285" s="57" t="str">
        <f aca="false">IF($J285="","",SUMIFS($J$6:$J$2405,$A$6:$A$2405,"&lt;="&amp;$A285))</f>
        <v/>
      </c>
      <c r="L285" s="57" t="str">
        <f aca="false">IF($J285="","",IF($K285&lt;=BankCostEnvelope*'5. Scenarios'!$C$7,1,0))</f>
        <v/>
      </c>
      <c r="M285" s="57" t="str">
        <f aca="false">IF($I285="","",INDEX(BookRate,280)*(1+'5. Scenarios'!$C$10)*(INDEX(BookQ1,280)*(5-MIN(4,1+'5. Scenarios'!$C$8))/4+INDEX(BookQ2,280)*(5-MIN(4,2+'5. Scenarios'!$C$8))/4+INDEX(BookQ3,280)*(5-MIN(4,3+'5. Scenarios'!$C$8))/4+INDEX(BookQ4,280)*(5-MIN(4,4+'5. Scenarios'!$C$8))/4)*'5. Scenarios'!$C$6/(1+ProductivityDefault*('5. Scenarios'!$C$11-1))+INDEX(BookOneOff,280)*$I285)</f>
        <v/>
      </c>
      <c r="N285" s="56" t="str">
        <f aca="false">IF(INDEX(BookTitle,280)="","",INDEX(BookTotal,280)*'5. Scenarios'!$D$6/(1+ProductivityDefault*('5. Scenarios'!$D$11-1)))</f>
        <v/>
      </c>
      <c r="O285" s="57" t="str">
        <f aca="false">IF($N285="","",INDEX(BookRate,280)*(1+'5. Scenarios'!$D$10)*$N285)</f>
        <v/>
      </c>
      <c r="P285" s="57" t="str">
        <f aca="false">IF($O285="","",SUMIFS($O$6:$O$2405,$A$6:$A$2405,"&lt;="&amp;$A285))</f>
        <v/>
      </c>
      <c r="Q285" s="57" t="str">
        <f aca="false">IF($O285="","",IF($P285&lt;=BankCostEnvelope*'5. Scenarios'!$D$7,1,0))</f>
        <v/>
      </c>
      <c r="R285" s="57" t="str">
        <f aca="false">IF($N285="","",INDEX(BookRate,280)*(1+'5. Scenarios'!$D$10)*(INDEX(BookQ1,280)*(5-MIN(4,1+'5. Scenarios'!$D$8))/4+INDEX(BookQ2,280)*(5-MIN(4,2+'5. Scenarios'!$D$8))/4+INDEX(BookQ3,280)*(5-MIN(4,3+'5. Scenarios'!$D$8))/4+INDEX(BookQ4,280)*(5-MIN(4,4+'5. Scenarios'!$D$8))/4)*'5. Scenarios'!$D$6/(1+ProductivityDefault*('5. Scenarios'!$D$11-1))+INDEX(BookOneOff,280)*$N285)</f>
        <v/>
      </c>
      <c r="S285" s="56" t="str">
        <f aca="false">IF(INDEX(BookTitle,280)="","",INDEX(BookTotal,280)*'5. Scenarios'!$E$6/(1+ProductivityDefault*('5. Scenarios'!$E$11-1)))</f>
        <v/>
      </c>
      <c r="T285" s="57" t="str">
        <f aca="false">IF($S285="","",INDEX(BookRate,280)*(1+'5. Scenarios'!$E$10)*$S285)</f>
        <v/>
      </c>
      <c r="U285" s="57" t="str">
        <f aca="false">IF($T285="","",SUMIFS($T$6:$T$2405,$A$6:$A$2405,"&lt;="&amp;$A285))</f>
        <v/>
      </c>
      <c r="V285" s="57" t="str">
        <f aca="false">IF($T285="","",IF($U285&lt;=BankCostEnvelope*'5. Scenarios'!$E$7,1,0))</f>
        <v/>
      </c>
      <c r="W285" s="57" t="str">
        <f aca="false">IF($S285="","",INDEX(BookRate,280)*(1+'5. Scenarios'!$E$10)*(INDEX(BookQ1,280)*(5-MIN(4,1+'5. Scenarios'!$E$8))/4+INDEX(BookQ2,280)*(5-MIN(4,2+'5. Scenarios'!$E$8))/4+INDEX(BookQ3,280)*(5-MIN(4,3+'5. Scenarios'!$E$8))/4+INDEX(BookQ4,280)*(5-MIN(4,4+'5. Scenarios'!$E$8))/4)*'5. Scenarios'!$E$6/(1+ProductivityDefault*('5. Scenarios'!$E$11-1))+INDEX(BookOneOff,280)*$S285)</f>
        <v/>
      </c>
    </row>
    <row r="286" customFormat="false" ht="15" hidden="false" customHeight="false" outlineLevel="0" collapsed="false">
      <c r="A286" s="0" t="str">
        <f aca="false">IF(INDEX(BookTitle,281)="","",INDEX(BookKey,281))</f>
        <v/>
      </c>
      <c r="B286" s="0" t="str">
        <f aca="false">IF(INDEX(BookTitle,281)="","",INDEX(BookGroup,281))</f>
        <v/>
      </c>
      <c r="C286" s="0" t="str">
        <f aca="false">IF(INDEX(BookTitle,281)="","",INDEX(BookCategory,281))</f>
        <v/>
      </c>
      <c r="D286" s="56" t="str">
        <f aca="false">IF(INDEX(BookTitle,281)="","",INDEX(BookTotal,281)*'5. Scenarios'!$B$6/(1+ProductivityDefault*('5. Scenarios'!$B$11-1)))</f>
        <v/>
      </c>
      <c r="E286" s="57" t="str">
        <f aca="false">IF($D286="","",INDEX(BookRate,281)*(1+'5. Scenarios'!$B$10)*$D286)</f>
        <v/>
      </c>
      <c r="F286" s="57" t="str">
        <f aca="false">IF($E286="","",SUMIFS($E$6:$E$2405,$A$6:$A$2405,"&lt;="&amp;$A286))</f>
        <v/>
      </c>
      <c r="G286" s="57" t="str">
        <f aca="false">IF($E286="","",IF($F286&lt;=BankCostEnvelope*'5. Scenarios'!$B$7,1,0))</f>
        <v/>
      </c>
      <c r="H286" s="57" t="str">
        <f aca="false">IF($D286="","",INDEX(BookRate,281)*(1+'5. Scenarios'!$B$10)*(INDEX(BookQ1,281)*(5-MIN(4,1+'5. Scenarios'!$B$8))/4+INDEX(BookQ2,281)*(5-MIN(4,2+'5. Scenarios'!$B$8))/4+INDEX(BookQ3,281)*(5-MIN(4,3+'5. Scenarios'!$B$8))/4+INDEX(BookQ4,281)*(5-MIN(4,4+'5. Scenarios'!$B$8))/4)*'5. Scenarios'!$B$6/(1+ProductivityDefault*('5. Scenarios'!$B$11-1))+INDEX(BookOneOff,281)*$D286)</f>
        <v/>
      </c>
      <c r="I286" s="56" t="str">
        <f aca="false">IF(INDEX(BookTitle,281)="","",INDEX(BookTotal,281)*'5. Scenarios'!$C$6/(1+ProductivityDefault*('5. Scenarios'!$C$11-1)))</f>
        <v/>
      </c>
      <c r="J286" s="57" t="str">
        <f aca="false">IF($I286="","",INDEX(BookRate,281)*(1+'5. Scenarios'!$C$10)*$I286)</f>
        <v/>
      </c>
      <c r="K286" s="57" t="str">
        <f aca="false">IF($J286="","",SUMIFS($J$6:$J$2405,$A$6:$A$2405,"&lt;="&amp;$A286))</f>
        <v/>
      </c>
      <c r="L286" s="57" t="str">
        <f aca="false">IF($J286="","",IF($K286&lt;=BankCostEnvelope*'5. Scenarios'!$C$7,1,0))</f>
        <v/>
      </c>
      <c r="M286" s="57" t="str">
        <f aca="false">IF($I286="","",INDEX(BookRate,281)*(1+'5. Scenarios'!$C$10)*(INDEX(BookQ1,281)*(5-MIN(4,1+'5. Scenarios'!$C$8))/4+INDEX(BookQ2,281)*(5-MIN(4,2+'5. Scenarios'!$C$8))/4+INDEX(BookQ3,281)*(5-MIN(4,3+'5. Scenarios'!$C$8))/4+INDEX(BookQ4,281)*(5-MIN(4,4+'5. Scenarios'!$C$8))/4)*'5. Scenarios'!$C$6/(1+ProductivityDefault*('5. Scenarios'!$C$11-1))+INDEX(BookOneOff,281)*$I286)</f>
        <v/>
      </c>
      <c r="N286" s="56" t="str">
        <f aca="false">IF(INDEX(BookTitle,281)="","",INDEX(BookTotal,281)*'5. Scenarios'!$D$6/(1+ProductivityDefault*('5. Scenarios'!$D$11-1)))</f>
        <v/>
      </c>
      <c r="O286" s="57" t="str">
        <f aca="false">IF($N286="","",INDEX(BookRate,281)*(1+'5. Scenarios'!$D$10)*$N286)</f>
        <v/>
      </c>
      <c r="P286" s="57" t="str">
        <f aca="false">IF($O286="","",SUMIFS($O$6:$O$2405,$A$6:$A$2405,"&lt;="&amp;$A286))</f>
        <v/>
      </c>
      <c r="Q286" s="57" t="str">
        <f aca="false">IF($O286="","",IF($P286&lt;=BankCostEnvelope*'5. Scenarios'!$D$7,1,0))</f>
        <v/>
      </c>
      <c r="R286" s="57" t="str">
        <f aca="false">IF($N286="","",INDEX(BookRate,281)*(1+'5. Scenarios'!$D$10)*(INDEX(BookQ1,281)*(5-MIN(4,1+'5. Scenarios'!$D$8))/4+INDEX(BookQ2,281)*(5-MIN(4,2+'5. Scenarios'!$D$8))/4+INDEX(BookQ3,281)*(5-MIN(4,3+'5. Scenarios'!$D$8))/4+INDEX(BookQ4,281)*(5-MIN(4,4+'5. Scenarios'!$D$8))/4)*'5. Scenarios'!$D$6/(1+ProductivityDefault*('5. Scenarios'!$D$11-1))+INDEX(BookOneOff,281)*$N286)</f>
        <v/>
      </c>
      <c r="S286" s="56" t="str">
        <f aca="false">IF(INDEX(BookTitle,281)="","",INDEX(BookTotal,281)*'5. Scenarios'!$E$6/(1+ProductivityDefault*('5. Scenarios'!$E$11-1)))</f>
        <v/>
      </c>
      <c r="T286" s="57" t="str">
        <f aca="false">IF($S286="","",INDEX(BookRate,281)*(1+'5. Scenarios'!$E$10)*$S286)</f>
        <v/>
      </c>
      <c r="U286" s="57" t="str">
        <f aca="false">IF($T286="","",SUMIFS($T$6:$T$2405,$A$6:$A$2405,"&lt;="&amp;$A286))</f>
        <v/>
      </c>
      <c r="V286" s="57" t="str">
        <f aca="false">IF($T286="","",IF($U286&lt;=BankCostEnvelope*'5. Scenarios'!$E$7,1,0))</f>
        <v/>
      </c>
      <c r="W286" s="57" t="str">
        <f aca="false">IF($S286="","",INDEX(BookRate,281)*(1+'5. Scenarios'!$E$10)*(INDEX(BookQ1,281)*(5-MIN(4,1+'5. Scenarios'!$E$8))/4+INDEX(BookQ2,281)*(5-MIN(4,2+'5. Scenarios'!$E$8))/4+INDEX(BookQ3,281)*(5-MIN(4,3+'5. Scenarios'!$E$8))/4+INDEX(BookQ4,281)*(5-MIN(4,4+'5. Scenarios'!$E$8))/4)*'5. Scenarios'!$E$6/(1+ProductivityDefault*('5. Scenarios'!$E$11-1))+INDEX(BookOneOff,281)*$S286)</f>
        <v/>
      </c>
    </row>
    <row r="287" customFormat="false" ht="15" hidden="false" customHeight="false" outlineLevel="0" collapsed="false">
      <c r="A287" s="0" t="str">
        <f aca="false">IF(INDEX(BookTitle,282)="","",INDEX(BookKey,282))</f>
        <v/>
      </c>
      <c r="B287" s="0" t="str">
        <f aca="false">IF(INDEX(BookTitle,282)="","",INDEX(BookGroup,282))</f>
        <v/>
      </c>
      <c r="C287" s="0" t="str">
        <f aca="false">IF(INDEX(BookTitle,282)="","",INDEX(BookCategory,282))</f>
        <v/>
      </c>
      <c r="D287" s="56" t="str">
        <f aca="false">IF(INDEX(BookTitle,282)="","",INDEX(BookTotal,282)*'5. Scenarios'!$B$6/(1+ProductivityDefault*('5. Scenarios'!$B$11-1)))</f>
        <v/>
      </c>
      <c r="E287" s="57" t="str">
        <f aca="false">IF($D287="","",INDEX(BookRate,282)*(1+'5. Scenarios'!$B$10)*$D287)</f>
        <v/>
      </c>
      <c r="F287" s="57" t="str">
        <f aca="false">IF($E287="","",SUMIFS($E$6:$E$2405,$A$6:$A$2405,"&lt;="&amp;$A287))</f>
        <v/>
      </c>
      <c r="G287" s="57" t="str">
        <f aca="false">IF($E287="","",IF($F287&lt;=BankCostEnvelope*'5. Scenarios'!$B$7,1,0))</f>
        <v/>
      </c>
      <c r="H287" s="57" t="str">
        <f aca="false">IF($D287="","",INDEX(BookRate,282)*(1+'5. Scenarios'!$B$10)*(INDEX(BookQ1,282)*(5-MIN(4,1+'5. Scenarios'!$B$8))/4+INDEX(BookQ2,282)*(5-MIN(4,2+'5. Scenarios'!$B$8))/4+INDEX(BookQ3,282)*(5-MIN(4,3+'5. Scenarios'!$B$8))/4+INDEX(BookQ4,282)*(5-MIN(4,4+'5. Scenarios'!$B$8))/4)*'5. Scenarios'!$B$6/(1+ProductivityDefault*('5. Scenarios'!$B$11-1))+INDEX(BookOneOff,282)*$D287)</f>
        <v/>
      </c>
      <c r="I287" s="56" t="str">
        <f aca="false">IF(INDEX(BookTitle,282)="","",INDEX(BookTotal,282)*'5. Scenarios'!$C$6/(1+ProductivityDefault*('5. Scenarios'!$C$11-1)))</f>
        <v/>
      </c>
      <c r="J287" s="57" t="str">
        <f aca="false">IF($I287="","",INDEX(BookRate,282)*(1+'5. Scenarios'!$C$10)*$I287)</f>
        <v/>
      </c>
      <c r="K287" s="57" t="str">
        <f aca="false">IF($J287="","",SUMIFS($J$6:$J$2405,$A$6:$A$2405,"&lt;="&amp;$A287))</f>
        <v/>
      </c>
      <c r="L287" s="57" t="str">
        <f aca="false">IF($J287="","",IF($K287&lt;=BankCostEnvelope*'5. Scenarios'!$C$7,1,0))</f>
        <v/>
      </c>
      <c r="M287" s="57" t="str">
        <f aca="false">IF($I287="","",INDEX(BookRate,282)*(1+'5. Scenarios'!$C$10)*(INDEX(BookQ1,282)*(5-MIN(4,1+'5. Scenarios'!$C$8))/4+INDEX(BookQ2,282)*(5-MIN(4,2+'5. Scenarios'!$C$8))/4+INDEX(BookQ3,282)*(5-MIN(4,3+'5. Scenarios'!$C$8))/4+INDEX(BookQ4,282)*(5-MIN(4,4+'5. Scenarios'!$C$8))/4)*'5. Scenarios'!$C$6/(1+ProductivityDefault*('5. Scenarios'!$C$11-1))+INDEX(BookOneOff,282)*$I287)</f>
        <v/>
      </c>
      <c r="N287" s="56" t="str">
        <f aca="false">IF(INDEX(BookTitle,282)="","",INDEX(BookTotal,282)*'5. Scenarios'!$D$6/(1+ProductivityDefault*('5. Scenarios'!$D$11-1)))</f>
        <v/>
      </c>
      <c r="O287" s="57" t="str">
        <f aca="false">IF($N287="","",INDEX(BookRate,282)*(1+'5. Scenarios'!$D$10)*$N287)</f>
        <v/>
      </c>
      <c r="P287" s="57" t="str">
        <f aca="false">IF($O287="","",SUMIFS($O$6:$O$2405,$A$6:$A$2405,"&lt;="&amp;$A287))</f>
        <v/>
      </c>
      <c r="Q287" s="57" t="str">
        <f aca="false">IF($O287="","",IF($P287&lt;=BankCostEnvelope*'5. Scenarios'!$D$7,1,0))</f>
        <v/>
      </c>
      <c r="R287" s="57" t="str">
        <f aca="false">IF($N287="","",INDEX(BookRate,282)*(1+'5. Scenarios'!$D$10)*(INDEX(BookQ1,282)*(5-MIN(4,1+'5. Scenarios'!$D$8))/4+INDEX(BookQ2,282)*(5-MIN(4,2+'5. Scenarios'!$D$8))/4+INDEX(BookQ3,282)*(5-MIN(4,3+'5. Scenarios'!$D$8))/4+INDEX(BookQ4,282)*(5-MIN(4,4+'5. Scenarios'!$D$8))/4)*'5. Scenarios'!$D$6/(1+ProductivityDefault*('5. Scenarios'!$D$11-1))+INDEX(BookOneOff,282)*$N287)</f>
        <v/>
      </c>
      <c r="S287" s="56" t="str">
        <f aca="false">IF(INDEX(BookTitle,282)="","",INDEX(BookTotal,282)*'5. Scenarios'!$E$6/(1+ProductivityDefault*('5. Scenarios'!$E$11-1)))</f>
        <v/>
      </c>
      <c r="T287" s="57" t="str">
        <f aca="false">IF($S287="","",INDEX(BookRate,282)*(1+'5. Scenarios'!$E$10)*$S287)</f>
        <v/>
      </c>
      <c r="U287" s="57" t="str">
        <f aca="false">IF($T287="","",SUMIFS($T$6:$T$2405,$A$6:$A$2405,"&lt;="&amp;$A287))</f>
        <v/>
      </c>
      <c r="V287" s="57" t="str">
        <f aca="false">IF($T287="","",IF($U287&lt;=BankCostEnvelope*'5. Scenarios'!$E$7,1,0))</f>
        <v/>
      </c>
      <c r="W287" s="57" t="str">
        <f aca="false">IF($S287="","",INDEX(BookRate,282)*(1+'5. Scenarios'!$E$10)*(INDEX(BookQ1,282)*(5-MIN(4,1+'5. Scenarios'!$E$8))/4+INDEX(BookQ2,282)*(5-MIN(4,2+'5. Scenarios'!$E$8))/4+INDEX(BookQ3,282)*(5-MIN(4,3+'5. Scenarios'!$E$8))/4+INDEX(BookQ4,282)*(5-MIN(4,4+'5. Scenarios'!$E$8))/4)*'5. Scenarios'!$E$6/(1+ProductivityDefault*('5. Scenarios'!$E$11-1))+INDEX(BookOneOff,282)*$S287)</f>
        <v/>
      </c>
    </row>
    <row r="288" customFormat="false" ht="15" hidden="false" customHeight="false" outlineLevel="0" collapsed="false">
      <c r="A288" s="0" t="str">
        <f aca="false">IF(INDEX(BookTitle,283)="","",INDEX(BookKey,283))</f>
        <v/>
      </c>
      <c r="B288" s="0" t="str">
        <f aca="false">IF(INDEX(BookTitle,283)="","",INDEX(BookGroup,283))</f>
        <v/>
      </c>
      <c r="C288" s="0" t="str">
        <f aca="false">IF(INDEX(BookTitle,283)="","",INDEX(BookCategory,283))</f>
        <v/>
      </c>
      <c r="D288" s="56" t="str">
        <f aca="false">IF(INDEX(BookTitle,283)="","",INDEX(BookTotal,283)*'5. Scenarios'!$B$6/(1+ProductivityDefault*('5. Scenarios'!$B$11-1)))</f>
        <v/>
      </c>
      <c r="E288" s="57" t="str">
        <f aca="false">IF($D288="","",INDEX(BookRate,283)*(1+'5. Scenarios'!$B$10)*$D288)</f>
        <v/>
      </c>
      <c r="F288" s="57" t="str">
        <f aca="false">IF($E288="","",SUMIFS($E$6:$E$2405,$A$6:$A$2405,"&lt;="&amp;$A288))</f>
        <v/>
      </c>
      <c r="G288" s="57" t="str">
        <f aca="false">IF($E288="","",IF($F288&lt;=BankCostEnvelope*'5. Scenarios'!$B$7,1,0))</f>
        <v/>
      </c>
      <c r="H288" s="57" t="str">
        <f aca="false">IF($D288="","",INDEX(BookRate,283)*(1+'5. Scenarios'!$B$10)*(INDEX(BookQ1,283)*(5-MIN(4,1+'5. Scenarios'!$B$8))/4+INDEX(BookQ2,283)*(5-MIN(4,2+'5. Scenarios'!$B$8))/4+INDEX(BookQ3,283)*(5-MIN(4,3+'5. Scenarios'!$B$8))/4+INDEX(BookQ4,283)*(5-MIN(4,4+'5. Scenarios'!$B$8))/4)*'5. Scenarios'!$B$6/(1+ProductivityDefault*('5. Scenarios'!$B$11-1))+INDEX(BookOneOff,283)*$D288)</f>
        <v/>
      </c>
      <c r="I288" s="56" t="str">
        <f aca="false">IF(INDEX(BookTitle,283)="","",INDEX(BookTotal,283)*'5. Scenarios'!$C$6/(1+ProductivityDefault*('5. Scenarios'!$C$11-1)))</f>
        <v/>
      </c>
      <c r="J288" s="57" t="str">
        <f aca="false">IF($I288="","",INDEX(BookRate,283)*(1+'5. Scenarios'!$C$10)*$I288)</f>
        <v/>
      </c>
      <c r="K288" s="57" t="str">
        <f aca="false">IF($J288="","",SUMIFS($J$6:$J$2405,$A$6:$A$2405,"&lt;="&amp;$A288))</f>
        <v/>
      </c>
      <c r="L288" s="57" t="str">
        <f aca="false">IF($J288="","",IF($K288&lt;=BankCostEnvelope*'5. Scenarios'!$C$7,1,0))</f>
        <v/>
      </c>
      <c r="M288" s="57" t="str">
        <f aca="false">IF($I288="","",INDEX(BookRate,283)*(1+'5. Scenarios'!$C$10)*(INDEX(BookQ1,283)*(5-MIN(4,1+'5. Scenarios'!$C$8))/4+INDEX(BookQ2,283)*(5-MIN(4,2+'5. Scenarios'!$C$8))/4+INDEX(BookQ3,283)*(5-MIN(4,3+'5. Scenarios'!$C$8))/4+INDEX(BookQ4,283)*(5-MIN(4,4+'5. Scenarios'!$C$8))/4)*'5. Scenarios'!$C$6/(1+ProductivityDefault*('5. Scenarios'!$C$11-1))+INDEX(BookOneOff,283)*$I288)</f>
        <v/>
      </c>
      <c r="N288" s="56" t="str">
        <f aca="false">IF(INDEX(BookTitle,283)="","",INDEX(BookTotal,283)*'5. Scenarios'!$D$6/(1+ProductivityDefault*('5. Scenarios'!$D$11-1)))</f>
        <v/>
      </c>
      <c r="O288" s="57" t="str">
        <f aca="false">IF($N288="","",INDEX(BookRate,283)*(1+'5. Scenarios'!$D$10)*$N288)</f>
        <v/>
      </c>
      <c r="P288" s="57" t="str">
        <f aca="false">IF($O288="","",SUMIFS($O$6:$O$2405,$A$6:$A$2405,"&lt;="&amp;$A288))</f>
        <v/>
      </c>
      <c r="Q288" s="57" t="str">
        <f aca="false">IF($O288="","",IF($P288&lt;=BankCostEnvelope*'5. Scenarios'!$D$7,1,0))</f>
        <v/>
      </c>
      <c r="R288" s="57" t="str">
        <f aca="false">IF($N288="","",INDEX(BookRate,283)*(1+'5. Scenarios'!$D$10)*(INDEX(BookQ1,283)*(5-MIN(4,1+'5. Scenarios'!$D$8))/4+INDEX(BookQ2,283)*(5-MIN(4,2+'5. Scenarios'!$D$8))/4+INDEX(BookQ3,283)*(5-MIN(4,3+'5. Scenarios'!$D$8))/4+INDEX(BookQ4,283)*(5-MIN(4,4+'5. Scenarios'!$D$8))/4)*'5. Scenarios'!$D$6/(1+ProductivityDefault*('5. Scenarios'!$D$11-1))+INDEX(BookOneOff,283)*$N288)</f>
        <v/>
      </c>
      <c r="S288" s="56" t="str">
        <f aca="false">IF(INDEX(BookTitle,283)="","",INDEX(BookTotal,283)*'5. Scenarios'!$E$6/(1+ProductivityDefault*('5. Scenarios'!$E$11-1)))</f>
        <v/>
      </c>
      <c r="T288" s="57" t="str">
        <f aca="false">IF($S288="","",INDEX(BookRate,283)*(1+'5. Scenarios'!$E$10)*$S288)</f>
        <v/>
      </c>
      <c r="U288" s="57" t="str">
        <f aca="false">IF($T288="","",SUMIFS($T$6:$T$2405,$A$6:$A$2405,"&lt;="&amp;$A288))</f>
        <v/>
      </c>
      <c r="V288" s="57" t="str">
        <f aca="false">IF($T288="","",IF($U288&lt;=BankCostEnvelope*'5. Scenarios'!$E$7,1,0))</f>
        <v/>
      </c>
      <c r="W288" s="57" t="str">
        <f aca="false">IF($S288="","",INDEX(BookRate,283)*(1+'5. Scenarios'!$E$10)*(INDEX(BookQ1,283)*(5-MIN(4,1+'5. Scenarios'!$E$8))/4+INDEX(BookQ2,283)*(5-MIN(4,2+'5. Scenarios'!$E$8))/4+INDEX(BookQ3,283)*(5-MIN(4,3+'5. Scenarios'!$E$8))/4+INDEX(BookQ4,283)*(5-MIN(4,4+'5. Scenarios'!$E$8))/4)*'5. Scenarios'!$E$6/(1+ProductivityDefault*('5. Scenarios'!$E$11-1))+INDEX(BookOneOff,283)*$S288)</f>
        <v/>
      </c>
    </row>
    <row r="289" customFormat="false" ht="15" hidden="false" customHeight="false" outlineLevel="0" collapsed="false">
      <c r="A289" s="0" t="str">
        <f aca="false">IF(INDEX(BookTitle,284)="","",INDEX(BookKey,284))</f>
        <v/>
      </c>
      <c r="B289" s="0" t="str">
        <f aca="false">IF(INDEX(BookTitle,284)="","",INDEX(BookGroup,284))</f>
        <v/>
      </c>
      <c r="C289" s="0" t="str">
        <f aca="false">IF(INDEX(BookTitle,284)="","",INDEX(BookCategory,284))</f>
        <v/>
      </c>
      <c r="D289" s="56" t="str">
        <f aca="false">IF(INDEX(BookTitle,284)="","",INDEX(BookTotal,284)*'5. Scenarios'!$B$6/(1+ProductivityDefault*('5. Scenarios'!$B$11-1)))</f>
        <v/>
      </c>
      <c r="E289" s="57" t="str">
        <f aca="false">IF($D289="","",INDEX(BookRate,284)*(1+'5. Scenarios'!$B$10)*$D289)</f>
        <v/>
      </c>
      <c r="F289" s="57" t="str">
        <f aca="false">IF($E289="","",SUMIFS($E$6:$E$2405,$A$6:$A$2405,"&lt;="&amp;$A289))</f>
        <v/>
      </c>
      <c r="G289" s="57" t="str">
        <f aca="false">IF($E289="","",IF($F289&lt;=BankCostEnvelope*'5. Scenarios'!$B$7,1,0))</f>
        <v/>
      </c>
      <c r="H289" s="57" t="str">
        <f aca="false">IF($D289="","",INDEX(BookRate,284)*(1+'5. Scenarios'!$B$10)*(INDEX(BookQ1,284)*(5-MIN(4,1+'5. Scenarios'!$B$8))/4+INDEX(BookQ2,284)*(5-MIN(4,2+'5. Scenarios'!$B$8))/4+INDEX(BookQ3,284)*(5-MIN(4,3+'5. Scenarios'!$B$8))/4+INDEX(BookQ4,284)*(5-MIN(4,4+'5. Scenarios'!$B$8))/4)*'5. Scenarios'!$B$6/(1+ProductivityDefault*('5. Scenarios'!$B$11-1))+INDEX(BookOneOff,284)*$D289)</f>
        <v/>
      </c>
      <c r="I289" s="56" t="str">
        <f aca="false">IF(INDEX(BookTitle,284)="","",INDEX(BookTotal,284)*'5. Scenarios'!$C$6/(1+ProductivityDefault*('5. Scenarios'!$C$11-1)))</f>
        <v/>
      </c>
      <c r="J289" s="57" t="str">
        <f aca="false">IF($I289="","",INDEX(BookRate,284)*(1+'5. Scenarios'!$C$10)*$I289)</f>
        <v/>
      </c>
      <c r="K289" s="57" t="str">
        <f aca="false">IF($J289="","",SUMIFS($J$6:$J$2405,$A$6:$A$2405,"&lt;="&amp;$A289))</f>
        <v/>
      </c>
      <c r="L289" s="57" t="str">
        <f aca="false">IF($J289="","",IF($K289&lt;=BankCostEnvelope*'5. Scenarios'!$C$7,1,0))</f>
        <v/>
      </c>
      <c r="M289" s="57" t="str">
        <f aca="false">IF($I289="","",INDEX(BookRate,284)*(1+'5. Scenarios'!$C$10)*(INDEX(BookQ1,284)*(5-MIN(4,1+'5. Scenarios'!$C$8))/4+INDEX(BookQ2,284)*(5-MIN(4,2+'5. Scenarios'!$C$8))/4+INDEX(BookQ3,284)*(5-MIN(4,3+'5. Scenarios'!$C$8))/4+INDEX(BookQ4,284)*(5-MIN(4,4+'5. Scenarios'!$C$8))/4)*'5. Scenarios'!$C$6/(1+ProductivityDefault*('5. Scenarios'!$C$11-1))+INDEX(BookOneOff,284)*$I289)</f>
        <v/>
      </c>
      <c r="N289" s="56" t="str">
        <f aca="false">IF(INDEX(BookTitle,284)="","",INDEX(BookTotal,284)*'5. Scenarios'!$D$6/(1+ProductivityDefault*('5. Scenarios'!$D$11-1)))</f>
        <v/>
      </c>
      <c r="O289" s="57" t="str">
        <f aca="false">IF($N289="","",INDEX(BookRate,284)*(1+'5. Scenarios'!$D$10)*$N289)</f>
        <v/>
      </c>
      <c r="P289" s="57" t="str">
        <f aca="false">IF($O289="","",SUMIFS($O$6:$O$2405,$A$6:$A$2405,"&lt;="&amp;$A289))</f>
        <v/>
      </c>
      <c r="Q289" s="57" t="str">
        <f aca="false">IF($O289="","",IF($P289&lt;=BankCostEnvelope*'5. Scenarios'!$D$7,1,0))</f>
        <v/>
      </c>
      <c r="R289" s="57" t="str">
        <f aca="false">IF($N289="","",INDEX(BookRate,284)*(1+'5. Scenarios'!$D$10)*(INDEX(BookQ1,284)*(5-MIN(4,1+'5. Scenarios'!$D$8))/4+INDEX(BookQ2,284)*(5-MIN(4,2+'5. Scenarios'!$D$8))/4+INDEX(BookQ3,284)*(5-MIN(4,3+'5. Scenarios'!$D$8))/4+INDEX(BookQ4,284)*(5-MIN(4,4+'5. Scenarios'!$D$8))/4)*'5. Scenarios'!$D$6/(1+ProductivityDefault*('5. Scenarios'!$D$11-1))+INDEX(BookOneOff,284)*$N289)</f>
        <v/>
      </c>
      <c r="S289" s="56" t="str">
        <f aca="false">IF(INDEX(BookTitle,284)="","",INDEX(BookTotal,284)*'5. Scenarios'!$E$6/(1+ProductivityDefault*('5. Scenarios'!$E$11-1)))</f>
        <v/>
      </c>
      <c r="T289" s="57" t="str">
        <f aca="false">IF($S289="","",INDEX(BookRate,284)*(1+'5. Scenarios'!$E$10)*$S289)</f>
        <v/>
      </c>
      <c r="U289" s="57" t="str">
        <f aca="false">IF($T289="","",SUMIFS($T$6:$T$2405,$A$6:$A$2405,"&lt;="&amp;$A289))</f>
        <v/>
      </c>
      <c r="V289" s="57" t="str">
        <f aca="false">IF($T289="","",IF($U289&lt;=BankCostEnvelope*'5. Scenarios'!$E$7,1,0))</f>
        <v/>
      </c>
      <c r="W289" s="57" t="str">
        <f aca="false">IF($S289="","",INDEX(BookRate,284)*(1+'5. Scenarios'!$E$10)*(INDEX(BookQ1,284)*(5-MIN(4,1+'5. Scenarios'!$E$8))/4+INDEX(BookQ2,284)*(5-MIN(4,2+'5. Scenarios'!$E$8))/4+INDEX(BookQ3,284)*(5-MIN(4,3+'5. Scenarios'!$E$8))/4+INDEX(BookQ4,284)*(5-MIN(4,4+'5. Scenarios'!$E$8))/4)*'5. Scenarios'!$E$6/(1+ProductivityDefault*('5. Scenarios'!$E$11-1))+INDEX(BookOneOff,284)*$S289)</f>
        <v/>
      </c>
    </row>
    <row r="290" customFormat="false" ht="15" hidden="false" customHeight="false" outlineLevel="0" collapsed="false">
      <c r="A290" s="0" t="str">
        <f aca="false">IF(INDEX(BookTitle,285)="","",INDEX(BookKey,285))</f>
        <v/>
      </c>
      <c r="B290" s="0" t="str">
        <f aca="false">IF(INDEX(BookTitle,285)="","",INDEX(BookGroup,285))</f>
        <v/>
      </c>
      <c r="C290" s="0" t="str">
        <f aca="false">IF(INDEX(BookTitle,285)="","",INDEX(BookCategory,285))</f>
        <v/>
      </c>
      <c r="D290" s="56" t="str">
        <f aca="false">IF(INDEX(BookTitle,285)="","",INDEX(BookTotal,285)*'5. Scenarios'!$B$6/(1+ProductivityDefault*('5. Scenarios'!$B$11-1)))</f>
        <v/>
      </c>
      <c r="E290" s="57" t="str">
        <f aca="false">IF($D290="","",INDEX(BookRate,285)*(1+'5. Scenarios'!$B$10)*$D290)</f>
        <v/>
      </c>
      <c r="F290" s="57" t="str">
        <f aca="false">IF($E290="","",SUMIFS($E$6:$E$2405,$A$6:$A$2405,"&lt;="&amp;$A290))</f>
        <v/>
      </c>
      <c r="G290" s="57" t="str">
        <f aca="false">IF($E290="","",IF($F290&lt;=BankCostEnvelope*'5. Scenarios'!$B$7,1,0))</f>
        <v/>
      </c>
      <c r="H290" s="57" t="str">
        <f aca="false">IF($D290="","",INDEX(BookRate,285)*(1+'5. Scenarios'!$B$10)*(INDEX(BookQ1,285)*(5-MIN(4,1+'5. Scenarios'!$B$8))/4+INDEX(BookQ2,285)*(5-MIN(4,2+'5. Scenarios'!$B$8))/4+INDEX(BookQ3,285)*(5-MIN(4,3+'5. Scenarios'!$B$8))/4+INDEX(BookQ4,285)*(5-MIN(4,4+'5. Scenarios'!$B$8))/4)*'5. Scenarios'!$B$6/(1+ProductivityDefault*('5. Scenarios'!$B$11-1))+INDEX(BookOneOff,285)*$D290)</f>
        <v/>
      </c>
      <c r="I290" s="56" t="str">
        <f aca="false">IF(INDEX(BookTitle,285)="","",INDEX(BookTotal,285)*'5. Scenarios'!$C$6/(1+ProductivityDefault*('5. Scenarios'!$C$11-1)))</f>
        <v/>
      </c>
      <c r="J290" s="57" t="str">
        <f aca="false">IF($I290="","",INDEX(BookRate,285)*(1+'5. Scenarios'!$C$10)*$I290)</f>
        <v/>
      </c>
      <c r="K290" s="57" t="str">
        <f aca="false">IF($J290="","",SUMIFS($J$6:$J$2405,$A$6:$A$2405,"&lt;="&amp;$A290))</f>
        <v/>
      </c>
      <c r="L290" s="57" t="str">
        <f aca="false">IF($J290="","",IF($K290&lt;=BankCostEnvelope*'5. Scenarios'!$C$7,1,0))</f>
        <v/>
      </c>
      <c r="M290" s="57" t="str">
        <f aca="false">IF($I290="","",INDEX(BookRate,285)*(1+'5. Scenarios'!$C$10)*(INDEX(BookQ1,285)*(5-MIN(4,1+'5. Scenarios'!$C$8))/4+INDEX(BookQ2,285)*(5-MIN(4,2+'5. Scenarios'!$C$8))/4+INDEX(BookQ3,285)*(5-MIN(4,3+'5. Scenarios'!$C$8))/4+INDEX(BookQ4,285)*(5-MIN(4,4+'5. Scenarios'!$C$8))/4)*'5. Scenarios'!$C$6/(1+ProductivityDefault*('5. Scenarios'!$C$11-1))+INDEX(BookOneOff,285)*$I290)</f>
        <v/>
      </c>
      <c r="N290" s="56" t="str">
        <f aca="false">IF(INDEX(BookTitle,285)="","",INDEX(BookTotal,285)*'5. Scenarios'!$D$6/(1+ProductivityDefault*('5. Scenarios'!$D$11-1)))</f>
        <v/>
      </c>
      <c r="O290" s="57" t="str">
        <f aca="false">IF($N290="","",INDEX(BookRate,285)*(1+'5. Scenarios'!$D$10)*$N290)</f>
        <v/>
      </c>
      <c r="P290" s="57" t="str">
        <f aca="false">IF($O290="","",SUMIFS($O$6:$O$2405,$A$6:$A$2405,"&lt;="&amp;$A290))</f>
        <v/>
      </c>
      <c r="Q290" s="57" t="str">
        <f aca="false">IF($O290="","",IF($P290&lt;=BankCostEnvelope*'5. Scenarios'!$D$7,1,0))</f>
        <v/>
      </c>
      <c r="R290" s="57" t="str">
        <f aca="false">IF($N290="","",INDEX(BookRate,285)*(1+'5. Scenarios'!$D$10)*(INDEX(BookQ1,285)*(5-MIN(4,1+'5. Scenarios'!$D$8))/4+INDEX(BookQ2,285)*(5-MIN(4,2+'5. Scenarios'!$D$8))/4+INDEX(BookQ3,285)*(5-MIN(4,3+'5. Scenarios'!$D$8))/4+INDEX(BookQ4,285)*(5-MIN(4,4+'5. Scenarios'!$D$8))/4)*'5. Scenarios'!$D$6/(1+ProductivityDefault*('5. Scenarios'!$D$11-1))+INDEX(BookOneOff,285)*$N290)</f>
        <v/>
      </c>
      <c r="S290" s="56" t="str">
        <f aca="false">IF(INDEX(BookTitle,285)="","",INDEX(BookTotal,285)*'5. Scenarios'!$E$6/(1+ProductivityDefault*('5. Scenarios'!$E$11-1)))</f>
        <v/>
      </c>
      <c r="T290" s="57" t="str">
        <f aca="false">IF($S290="","",INDEX(BookRate,285)*(1+'5. Scenarios'!$E$10)*$S290)</f>
        <v/>
      </c>
      <c r="U290" s="57" t="str">
        <f aca="false">IF($T290="","",SUMIFS($T$6:$T$2405,$A$6:$A$2405,"&lt;="&amp;$A290))</f>
        <v/>
      </c>
      <c r="V290" s="57" t="str">
        <f aca="false">IF($T290="","",IF($U290&lt;=BankCostEnvelope*'5. Scenarios'!$E$7,1,0))</f>
        <v/>
      </c>
      <c r="W290" s="57" t="str">
        <f aca="false">IF($S290="","",INDEX(BookRate,285)*(1+'5. Scenarios'!$E$10)*(INDEX(BookQ1,285)*(5-MIN(4,1+'5. Scenarios'!$E$8))/4+INDEX(BookQ2,285)*(5-MIN(4,2+'5. Scenarios'!$E$8))/4+INDEX(BookQ3,285)*(5-MIN(4,3+'5. Scenarios'!$E$8))/4+INDEX(BookQ4,285)*(5-MIN(4,4+'5. Scenarios'!$E$8))/4)*'5. Scenarios'!$E$6/(1+ProductivityDefault*('5. Scenarios'!$E$11-1))+INDEX(BookOneOff,285)*$S290)</f>
        <v/>
      </c>
    </row>
    <row r="291" customFormat="false" ht="15" hidden="false" customHeight="false" outlineLevel="0" collapsed="false">
      <c r="A291" s="0" t="str">
        <f aca="false">IF(INDEX(BookTitle,286)="","",INDEX(BookKey,286))</f>
        <v/>
      </c>
      <c r="B291" s="0" t="str">
        <f aca="false">IF(INDEX(BookTitle,286)="","",INDEX(BookGroup,286))</f>
        <v/>
      </c>
      <c r="C291" s="0" t="str">
        <f aca="false">IF(INDEX(BookTitle,286)="","",INDEX(BookCategory,286))</f>
        <v/>
      </c>
      <c r="D291" s="56" t="str">
        <f aca="false">IF(INDEX(BookTitle,286)="","",INDEX(BookTotal,286)*'5. Scenarios'!$B$6/(1+ProductivityDefault*('5. Scenarios'!$B$11-1)))</f>
        <v/>
      </c>
      <c r="E291" s="57" t="str">
        <f aca="false">IF($D291="","",INDEX(BookRate,286)*(1+'5. Scenarios'!$B$10)*$D291)</f>
        <v/>
      </c>
      <c r="F291" s="57" t="str">
        <f aca="false">IF($E291="","",SUMIFS($E$6:$E$2405,$A$6:$A$2405,"&lt;="&amp;$A291))</f>
        <v/>
      </c>
      <c r="G291" s="57" t="str">
        <f aca="false">IF($E291="","",IF($F291&lt;=BankCostEnvelope*'5. Scenarios'!$B$7,1,0))</f>
        <v/>
      </c>
      <c r="H291" s="57" t="str">
        <f aca="false">IF($D291="","",INDEX(BookRate,286)*(1+'5. Scenarios'!$B$10)*(INDEX(BookQ1,286)*(5-MIN(4,1+'5. Scenarios'!$B$8))/4+INDEX(BookQ2,286)*(5-MIN(4,2+'5. Scenarios'!$B$8))/4+INDEX(BookQ3,286)*(5-MIN(4,3+'5. Scenarios'!$B$8))/4+INDEX(BookQ4,286)*(5-MIN(4,4+'5. Scenarios'!$B$8))/4)*'5. Scenarios'!$B$6/(1+ProductivityDefault*('5. Scenarios'!$B$11-1))+INDEX(BookOneOff,286)*$D291)</f>
        <v/>
      </c>
      <c r="I291" s="56" t="str">
        <f aca="false">IF(INDEX(BookTitle,286)="","",INDEX(BookTotal,286)*'5. Scenarios'!$C$6/(1+ProductivityDefault*('5. Scenarios'!$C$11-1)))</f>
        <v/>
      </c>
      <c r="J291" s="57" t="str">
        <f aca="false">IF($I291="","",INDEX(BookRate,286)*(1+'5. Scenarios'!$C$10)*$I291)</f>
        <v/>
      </c>
      <c r="K291" s="57" t="str">
        <f aca="false">IF($J291="","",SUMIFS($J$6:$J$2405,$A$6:$A$2405,"&lt;="&amp;$A291))</f>
        <v/>
      </c>
      <c r="L291" s="57" t="str">
        <f aca="false">IF($J291="","",IF($K291&lt;=BankCostEnvelope*'5. Scenarios'!$C$7,1,0))</f>
        <v/>
      </c>
      <c r="M291" s="57" t="str">
        <f aca="false">IF($I291="","",INDEX(BookRate,286)*(1+'5. Scenarios'!$C$10)*(INDEX(BookQ1,286)*(5-MIN(4,1+'5. Scenarios'!$C$8))/4+INDEX(BookQ2,286)*(5-MIN(4,2+'5. Scenarios'!$C$8))/4+INDEX(BookQ3,286)*(5-MIN(4,3+'5. Scenarios'!$C$8))/4+INDEX(BookQ4,286)*(5-MIN(4,4+'5. Scenarios'!$C$8))/4)*'5. Scenarios'!$C$6/(1+ProductivityDefault*('5. Scenarios'!$C$11-1))+INDEX(BookOneOff,286)*$I291)</f>
        <v/>
      </c>
      <c r="N291" s="56" t="str">
        <f aca="false">IF(INDEX(BookTitle,286)="","",INDEX(BookTotal,286)*'5. Scenarios'!$D$6/(1+ProductivityDefault*('5. Scenarios'!$D$11-1)))</f>
        <v/>
      </c>
      <c r="O291" s="57" t="str">
        <f aca="false">IF($N291="","",INDEX(BookRate,286)*(1+'5. Scenarios'!$D$10)*$N291)</f>
        <v/>
      </c>
      <c r="P291" s="57" t="str">
        <f aca="false">IF($O291="","",SUMIFS($O$6:$O$2405,$A$6:$A$2405,"&lt;="&amp;$A291))</f>
        <v/>
      </c>
      <c r="Q291" s="57" t="str">
        <f aca="false">IF($O291="","",IF($P291&lt;=BankCostEnvelope*'5. Scenarios'!$D$7,1,0))</f>
        <v/>
      </c>
      <c r="R291" s="57" t="str">
        <f aca="false">IF($N291="","",INDEX(BookRate,286)*(1+'5. Scenarios'!$D$10)*(INDEX(BookQ1,286)*(5-MIN(4,1+'5. Scenarios'!$D$8))/4+INDEX(BookQ2,286)*(5-MIN(4,2+'5. Scenarios'!$D$8))/4+INDEX(BookQ3,286)*(5-MIN(4,3+'5. Scenarios'!$D$8))/4+INDEX(BookQ4,286)*(5-MIN(4,4+'5. Scenarios'!$D$8))/4)*'5. Scenarios'!$D$6/(1+ProductivityDefault*('5. Scenarios'!$D$11-1))+INDEX(BookOneOff,286)*$N291)</f>
        <v/>
      </c>
      <c r="S291" s="56" t="str">
        <f aca="false">IF(INDEX(BookTitle,286)="","",INDEX(BookTotal,286)*'5. Scenarios'!$E$6/(1+ProductivityDefault*('5. Scenarios'!$E$11-1)))</f>
        <v/>
      </c>
      <c r="T291" s="57" t="str">
        <f aca="false">IF($S291="","",INDEX(BookRate,286)*(1+'5. Scenarios'!$E$10)*$S291)</f>
        <v/>
      </c>
      <c r="U291" s="57" t="str">
        <f aca="false">IF($T291="","",SUMIFS($T$6:$T$2405,$A$6:$A$2405,"&lt;="&amp;$A291))</f>
        <v/>
      </c>
      <c r="V291" s="57" t="str">
        <f aca="false">IF($T291="","",IF($U291&lt;=BankCostEnvelope*'5. Scenarios'!$E$7,1,0))</f>
        <v/>
      </c>
      <c r="W291" s="57" t="str">
        <f aca="false">IF($S291="","",INDEX(BookRate,286)*(1+'5. Scenarios'!$E$10)*(INDEX(BookQ1,286)*(5-MIN(4,1+'5. Scenarios'!$E$8))/4+INDEX(BookQ2,286)*(5-MIN(4,2+'5. Scenarios'!$E$8))/4+INDEX(BookQ3,286)*(5-MIN(4,3+'5. Scenarios'!$E$8))/4+INDEX(BookQ4,286)*(5-MIN(4,4+'5. Scenarios'!$E$8))/4)*'5. Scenarios'!$E$6/(1+ProductivityDefault*('5. Scenarios'!$E$11-1))+INDEX(BookOneOff,286)*$S291)</f>
        <v/>
      </c>
    </row>
    <row r="292" customFormat="false" ht="15" hidden="false" customHeight="false" outlineLevel="0" collapsed="false">
      <c r="A292" s="0" t="str">
        <f aca="false">IF(INDEX(BookTitle,287)="","",INDEX(BookKey,287))</f>
        <v/>
      </c>
      <c r="B292" s="0" t="str">
        <f aca="false">IF(INDEX(BookTitle,287)="","",INDEX(BookGroup,287))</f>
        <v/>
      </c>
      <c r="C292" s="0" t="str">
        <f aca="false">IF(INDEX(BookTitle,287)="","",INDEX(BookCategory,287))</f>
        <v/>
      </c>
      <c r="D292" s="56" t="str">
        <f aca="false">IF(INDEX(BookTitle,287)="","",INDEX(BookTotal,287)*'5. Scenarios'!$B$6/(1+ProductivityDefault*('5. Scenarios'!$B$11-1)))</f>
        <v/>
      </c>
      <c r="E292" s="57" t="str">
        <f aca="false">IF($D292="","",INDEX(BookRate,287)*(1+'5. Scenarios'!$B$10)*$D292)</f>
        <v/>
      </c>
      <c r="F292" s="57" t="str">
        <f aca="false">IF($E292="","",SUMIFS($E$6:$E$2405,$A$6:$A$2405,"&lt;="&amp;$A292))</f>
        <v/>
      </c>
      <c r="G292" s="57" t="str">
        <f aca="false">IF($E292="","",IF($F292&lt;=BankCostEnvelope*'5. Scenarios'!$B$7,1,0))</f>
        <v/>
      </c>
      <c r="H292" s="57" t="str">
        <f aca="false">IF($D292="","",INDEX(BookRate,287)*(1+'5. Scenarios'!$B$10)*(INDEX(BookQ1,287)*(5-MIN(4,1+'5. Scenarios'!$B$8))/4+INDEX(BookQ2,287)*(5-MIN(4,2+'5. Scenarios'!$B$8))/4+INDEX(BookQ3,287)*(5-MIN(4,3+'5. Scenarios'!$B$8))/4+INDEX(BookQ4,287)*(5-MIN(4,4+'5. Scenarios'!$B$8))/4)*'5. Scenarios'!$B$6/(1+ProductivityDefault*('5. Scenarios'!$B$11-1))+INDEX(BookOneOff,287)*$D292)</f>
        <v/>
      </c>
      <c r="I292" s="56" t="str">
        <f aca="false">IF(INDEX(BookTitle,287)="","",INDEX(BookTotal,287)*'5. Scenarios'!$C$6/(1+ProductivityDefault*('5. Scenarios'!$C$11-1)))</f>
        <v/>
      </c>
      <c r="J292" s="57" t="str">
        <f aca="false">IF($I292="","",INDEX(BookRate,287)*(1+'5. Scenarios'!$C$10)*$I292)</f>
        <v/>
      </c>
      <c r="K292" s="57" t="str">
        <f aca="false">IF($J292="","",SUMIFS($J$6:$J$2405,$A$6:$A$2405,"&lt;="&amp;$A292))</f>
        <v/>
      </c>
      <c r="L292" s="57" t="str">
        <f aca="false">IF($J292="","",IF($K292&lt;=BankCostEnvelope*'5. Scenarios'!$C$7,1,0))</f>
        <v/>
      </c>
      <c r="M292" s="57" t="str">
        <f aca="false">IF($I292="","",INDEX(BookRate,287)*(1+'5. Scenarios'!$C$10)*(INDEX(BookQ1,287)*(5-MIN(4,1+'5. Scenarios'!$C$8))/4+INDEX(BookQ2,287)*(5-MIN(4,2+'5. Scenarios'!$C$8))/4+INDEX(BookQ3,287)*(5-MIN(4,3+'5. Scenarios'!$C$8))/4+INDEX(BookQ4,287)*(5-MIN(4,4+'5. Scenarios'!$C$8))/4)*'5. Scenarios'!$C$6/(1+ProductivityDefault*('5. Scenarios'!$C$11-1))+INDEX(BookOneOff,287)*$I292)</f>
        <v/>
      </c>
      <c r="N292" s="56" t="str">
        <f aca="false">IF(INDEX(BookTitle,287)="","",INDEX(BookTotal,287)*'5. Scenarios'!$D$6/(1+ProductivityDefault*('5. Scenarios'!$D$11-1)))</f>
        <v/>
      </c>
      <c r="O292" s="57" t="str">
        <f aca="false">IF($N292="","",INDEX(BookRate,287)*(1+'5. Scenarios'!$D$10)*$N292)</f>
        <v/>
      </c>
      <c r="P292" s="57" t="str">
        <f aca="false">IF($O292="","",SUMIFS($O$6:$O$2405,$A$6:$A$2405,"&lt;="&amp;$A292))</f>
        <v/>
      </c>
      <c r="Q292" s="57" t="str">
        <f aca="false">IF($O292="","",IF($P292&lt;=BankCostEnvelope*'5. Scenarios'!$D$7,1,0))</f>
        <v/>
      </c>
      <c r="R292" s="57" t="str">
        <f aca="false">IF($N292="","",INDEX(BookRate,287)*(1+'5. Scenarios'!$D$10)*(INDEX(BookQ1,287)*(5-MIN(4,1+'5. Scenarios'!$D$8))/4+INDEX(BookQ2,287)*(5-MIN(4,2+'5. Scenarios'!$D$8))/4+INDEX(BookQ3,287)*(5-MIN(4,3+'5. Scenarios'!$D$8))/4+INDEX(BookQ4,287)*(5-MIN(4,4+'5. Scenarios'!$D$8))/4)*'5. Scenarios'!$D$6/(1+ProductivityDefault*('5. Scenarios'!$D$11-1))+INDEX(BookOneOff,287)*$N292)</f>
        <v/>
      </c>
      <c r="S292" s="56" t="str">
        <f aca="false">IF(INDEX(BookTitle,287)="","",INDEX(BookTotal,287)*'5. Scenarios'!$E$6/(1+ProductivityDefault*('5. Scenarios'!$E$11-1)))</f>
        <v/>
      </c>
      <c r="T292" s="57" t="str">
        <f aca="false">IF($S292="","",INDEX(BookRate,287)*(1+'5. Scenarios'!$E$10)*$S292)</f>
        <v/>
      </c>
      <c r="U292" s="57" t="str">
        <f aca="false">IF($T292="","",SUMIFS($T$6:$T$2405,$A$6:$A$2405,"&lt;="&amp;$A292))</f>
        <v/>
      </c>
      <c r="V292" s="57" t="str">
        <f aca="false">IF($T292="","",IF($U292&lt;=BankCostEnvelope*'5. Scenarios'!$E$7,1,0))</f>
        <v/>
      </c>
      <c r="W292" s="57" t="str">
        <f aca="false">IF($S292="","",INDEX(BookRate,287)*(1+'5. Scenarios'!$E$10)*(INDEX(BookQ1,287)*(5-MIN(4,1+'5. Scenarios'!$E$8))/4+INDEX(BookQ2,287)*(5-MIN(4,2+'5. Scenarios'!$E$8))/4+INDEX(BookQ3,287)*(5-MIN(4,3+'5. Scenarios'!$E$8))/4+INDEX(BookQ4,287)*(5-MIN(4,4+'5. Scenarios'!$E$8))/4)*'5. Scenarios'!$E$6/(1+ProductivityDefault*('5. Scenarios'!$E$11-1))+INDEX(BookOneOff,287)*$S292)</f>
        <v/>
      </c>
    </row>
    <row r="293" customFormat="false" ht="15" hidden="false" customHeight="false" outlineLevel="0" collapsed="false">
      <c r="A293" s="0" t="str">
        <f aca="false">IF(INDEX(BookTitle,288)="","",INDEX(BookKey,288))</f>
        <v/>
      </c>
      <c r="B293" s="0" t="str">
        <f aca="false">IF(INDEX(BookTitle,288)="","",INDEX(BookGroup,288))</f>
        <v/>
      </c>
      <c r="C293" s="0" t="str">
        <f aca="false">IF(INDEX(BookTitle,288)="","",INDEX(BookCategory,288))</f>
        <v/>
      </c>
      <c r="D293" s="56" t="str">
        <f aca="false">IF(INDEX(BookTitle,288)="","",INDEX(BookTotal,288)*'5. Scenarios'!$B$6/(1+ProductivityDefault*('5. Scenarios'!$B$11-1)))</f>
        <v/>
      </c>
      <c r="E293" s="57" t="str">
        <f aca="false">IF($D293="","",INDEX(BookRate,288)*(1+'5. Scenarios'!$B$10)*$D293)</f>
        <v/>
      </c>
      <c r="F293" s="57" t="str">
        <f aca="false">IF($E293="","",SUMIFS($E$6:$E$2405,$A$6:$A$2405,"&lt;="&amp;$A293))</f>
        <v/>
      </c>
      <c r="G293" s="57" t="str">
        <f aca="false">IF($E293="","",IF($F293&lt;=BankCostEnvelope*'5. Scenarios'!$B$7,1,0))</f>
        <v/>
      </c>
      <c r="H293" s="57" t="str">
        <f aca="false">IF($D293="","",INDEX(BookRate,288)*(1+'5. Scenarios'!$B$10)*(INDEX(BookQ1,288)*(5-MIN(4,1+'5. Scenarios'!$B$8))/4+INDEX(BookQ2,288)*(5-MIN(4,2+'5. Scenarios'!$B$8))/4+INDEX(BookQ3,288)*(5-MIN(4,3+'5. Scenarios'!$B$8))/4+INDEX(BookQ4,288)*(5-MIN(4,4+'5. Scenarios'!$B$8))/4)*'5. Scenarios'!$B$6/(1+ProductivityDefault*('5. Scenarios'!$B$11-1))+INDEX(BookOneOff,288)*$D293)</f>
        <v/>
      </c>
      <c r="I293" s="56" t="str">
        <f aca="false">IF(INDEX(BookTitle,288)="","",INDEX(BookTotal,288)*'5. Scenarios'!$C$6/(1+ProductivityDefault*('5. Scenarios'!$C$11-1)))</f>
        <v/>
      </c>
      <c r="J293" s="57" t="str">
        <f aca="false">IF($I293="","",INDEX(BookRate,288)*(1+'5. Scenarios'!$C$10)*$I293)</f>
        <v/>
      </c>
      <c r="K293" s="57" t="str">
        <f aca="false">IF($J293="","",SUMIFS($J$6:$J$2405,$A$6:$A$2405,"&lt;="&amp;$A293))</f>
        <v/>
      </c>
      <c r="L293" s="57" t="str">
        <f aca="false">IF($J293="","",IF($K293&lt;=BankCostEnvelope*'5. Scenarios'!$C$7,1,0))</f>
        <v/>
      </c>
      <c r="M293" s="57" t="str">
        <f aca="false">IF($I293="","",INDEX(BookRate,288)*(1+'5. Scenarios'!$C$10)*(INDEX(BookQ1,288)*(5-MIN(4,1+'5. Scenarios'!$C$8))/4+INDEX(BookQ2,288)*(5-MIN(4,2+'5. Scenarios'!$C$8))/4+INDEX(BookQ3,288)*(5-MIN(4,3+'5. Scenarios'!$C$8))/4+INDEX(BookQ4,288)*(5-MIN(4,4+'5. Scenarios'!$C$8))/4)*'5. Scenarios'!$C$6/(1+ProductivityDefault*('5. Scenarios'!$C$11-1))+INDEX(BookOneOff,288)*$I293)</f>
        <v/>
      </c>
      <c r="N293" s="56" t="str">
        <f aca="false">IF(INDEX(BookTitle,288)="","",INDEX(BookTotal,288)*'5. Scenarios'!$D$6/(1+ProductivityDefault*('5. Scenarios'!$D$11-1)))</f>
        <v/>
      </c>
      <c r="O293" s="57" t="str">
        <f aca="false">IF($N293="","",INDEX(BookRate,288)*(1+'5. Scenarios'!$D$10)*$N293)</f>
        <v/>
      </c>
      <c r="P293" s="57" t="str">
        <f aca="false">IF($O293="","",SUMIFS($O$6:$O$2405,$A$6:$A$2405,"&lt;="&amp;$A293))</f>
        <v/>
      </c>
      <c r="Q293" s="57" t="str">
        <f aca="false">IF($O293="","",IF($P293&lt;=BankCostEnvelope*'5. Scenarios'!$D$7,1,0))</f>
        <v/>
      </c>
      <c r="R293" s="57" t="str">
        <f aca="false">IF($N293="","",INDEX(BookRate,288)*(1+'5. Scenarios'!$D$10)*(INDEX(BookQ1,288)*(5-MIN(4,1+'5. Scenarios'!$D$8))/4+INDEX(BookQ2,288)*(5-MIN(4,2+'5. Scenarios'!$D$8))/4+INDEX(BookQ3,288)*(5-MIN(4,3+'5. Scenarios'!$D$8))/4+INDEX(BookQ4,288)*(5-MIN(4,4+'5. Scenarios'!$D$8))/4)*'5. Scenarios'!$D$6/(1+ProductivityDefault*('5. Scenarios'!$D$11-1))+INDEX(BookOneOff,288)*$N293)</f>
        <v/>
      </c>
      <c r="S293" s="56" t="str">
        <f aca="false">IF(INDEX(BookTitle,288)="","",INDEX(BookTotal,288)*'5. Scenarios'!$E$6/(1+ProductivityDefault*('5. Scenarios'!$E$11-1)))</f>
        <v/>
      </c>
      <c r="T293" s="57" t="str">
        <f aca="false">IF($S293="","",INDEX(BookRate,288)*(1+'5. Scenarios'!$E$10)*$S293)</f>
        <v/>
      </c>
      <c r="U293" s="57" t="str">
        <f aca="false">IF($T293="","",SUMIFS($T$6:$T$2405,$A$6:$A$2405,"&lt;="&amp;$A293))</f>
        <v/>
      </c>
      <c r="V293" s="57" t="str">
        <f aca="false">IF($T293="","",IF($U293&lt;=BankCostEnvelope*'5. Scenarios'!$E$7,1,0))</f>
        <v/>
      </c>
      <c r="W293" s="57" t="str">
        <f aca="false">IF($S293="","",INDEX(BookRate,288)*(1+'5. Scenarios'!$E$10)*(INDEX(BookQ1,288)*(5-MIN(4,1+'5. Scenarios'!$E$8))/4+INDEX(BookQ2,288)*(5-MIN(4,2+'5. Scenarios'!$E$8))/4+INDEX(BookQ3,288)*(5-MIN(4,3+'5. Scenarios'!$E$8))/4+INDEX(BookQ4,288)*(5-MIN(4,4+'5. Scenarios'!$E$8))/4)*'5. Scenarios'!$E$6/(1+ProductivityDefault*('5. Scenarios'!$E$11-1))+INDEX(BookOneOff,288)*$S293)</f>
        <v/>
      </c>
    </row>
    <row r="294" customFormat="false" ht="15" hidden="false" customHeight="false" outlineLevel="0" collapsed="false">
      <c r="A294" s="0" t="str">
        <f aca="false">IF(INDEX(BookTitle,289)="","",INDEX(BookKey,289))</f>
        <v/>
      </c>
      <c r="B294" s="0" t="str">
        <f aca="false">IF(INDEX(BookTitle,289)="","",INDEX(BookGroup,289))</f>
        <v/>
      </c>
      <c r="C294" s="0" t="str">
        <f aca="false">IF(INDEX(BookTitle,289)="","",INDEX(BookCategory,289))</f>
        <v/>
      </c>
      <c r="D294" s="56" t="str">
        <f aca="false">IF(INDEX(BookTitle,289)="","",INDEX(BookTotal,289)*'5. Scenarios'!$B$6/(1+ProductivityDefault*('5. Scenarios'!$B$11-1)))</f>
        <v/>
      </c>
      <c r="E294" s="57" t="str">
        <f aca="false">IF($D294="","",INDEX(BookRate,289)*(1+'5. Scenarios'!$B$10)*$D294)</f>
        <v/>
      </c>
      <c r="F294" s="57" t="str">
        <f aca="false">IF($E294="","",SUMIFS($E$6:$E$2405,$A$6:$A$2405,"&lt;="&amp;$A294))</f>
        <v/>
      </c>
      <c r="G294" s="57" t="str">
        <f aca="false">IF($E294="","",IF($F294&lt;=BankCostEnvelope*'5. Scenarios'!$B$7,1,0))</f>
        <v/>
      </c>
      <c r="H294" s="57" t="str">
        <f aca="false">IF($D294="","",INDEX(BookRate,289)*(1+'5. Scenarios'!$B$10)*(INDEX(BookQ1,289)*(5-MIN(4,1+'5. Scenarios'!$B$8))/4+INDEX(BookQ2,289)*(5-MIN(4,2+'5. Scenarios'!$B$8))/4+INDEX(BookQ3,289)*(5-MIN(4,3+'5. Scenarios'!$B$8))/4+INDEX(BookQ4,289)*(5-MIN(4,4+'5. Scenarios'!$B$8))/4)*'5. Scenarios'!$B$6/(1+ProductivityDefault*('5. Scenarios'!$B$11-1))+INDEX(BookOneOff,289)*$D294)</f>
        <v/>
      </c>
      <c r="I294" s="56" t="str">
        <f aca="false">IF(INDEX(BookTitle,289)="","",INDEX(BookTotal,289)*'5. Scenarios'!$C$6/(1+ProductivityDefault*('5. Scenarios'!$C$11-1)))</f>
        <v/>
      </c>
      <c r="J294" s="57" t="str">
        <f aca="false">IF($I294="","",INDEX(BookRate,289)*(1+'5. Scenarios'!$C$10)*$I294)</f>
        <v/>
      </c>
      <c r="K294" s="57" t="str">
        <f aca="false">IF($J294="","",SUMIFS($J$6:$J$2405,$A$6:$A$2405,"&lt;="&amp;$A294))</f>
        <v/>
      </c>
      <c r="L294" s="57" t="str">
        <f aca="false">IF($J294="","",IF($K294&lt;=BankCostEnvelope*'5. Scenarios'!$C$7,1,0))</f>
        <v/>
      </c>
      <c r="M294" s="57" t="str">
        <f aca="false">IF($I294="","",INDEX(BookRate,289)*(1+'5. Scenarios'!$C$10)*(INDEX(BookQ1,289)*(5-MIN(4,1+'5. Scenarios'!$C$8))/4+INDEX(BookQ2,289)*(5-MIN(4,2+'5. Scenarios'!$C$8))/4+INDEX(BookQ3,289)*(5-MIN(4,3+'5. Scenarios'!$C$8))/4+INDEX(BookQ4,289)*(5-MIN(4,4+'5. Scenarios'!$C$8))/4)*'5. Scenarios'!$C$6/(1+ProductivityDefault*('5. Scenarios'!$C$11-1))+INDEX(BookOneOff,289)*$I294)</f>
        <v/>
      </c>
      <c r="N294" s="56" t="str">
        <f aca="false">IF(INDEX(BookTitle,289)="","",INDEX(BookTotal,289)*'5. Scenarios'!$D$6/(1+ProductivityDefault*('5. Scenarios'!$D$11-1)))</f>
        <v/>
      </c>
      <c r="O294" s="57" t="str">
        <f aca="false">IF($N294="","",INDEX(BookRate,289)*(1+'5. Scenarios'!$D$10)*$N294)</f>
        <v/>
      </c>
      <c r="P294" s="57" t="str">
        <f aca="false">IF($O294="","",SUMIFS($O$6:$O$2405,$A$6:$A$2405,"&lt;="&amp;$A294))</f>
        <v/>
      </c>
      <c r="Q294" s="57" t="str">
        <f aca="false">IF($O294="","",IF($P294&lt;=BankCostEnvelope*'5. Scenarios'!$D$7,1,0))</f>
        <v/>
      </c>
      <c r="R294" s="57" t="str">
        <f aca="false">IF($N294="","",INDEX(BookRate,289)*(1+'5. Scenarios'!$D$10)*(INDEX(BookQ1,289)*(5-MIN(4,1+'5. Scenarios'!$D$8))/4+INDEX(BookQ2,289)*(5-MIN(4,2+'5. Scenarios'!$D$8))/4+INDEX(BookQ3,289)*(5-MIN(4,3+'5. Scenarios'!$D$8))/4+INDEX(BookQ4,289)*(5-MIN(4,4+'5. Scenarios'!$D$8))/4)*'5. Scenarios'!$D$6/(1+ProductivityDefault*('5. Scenarios'!$D$11-1))+INDEX(BookOneOff,289)*$N294)</f>
        <v/>
      </c>
      <c r="S294" s="56" t="str">
        <f aca="false">IF(INDEX(BookTitle,289)="","",INDEX(BookTotal,289)*'5. Scenarios'!$E$6/(1+ProductivityDefault*('5. Scenarios'!$E$11-1)))</f>
        <v/>
      </c>
      <c r="T294" s="57" t="str">
        <f aca="false">IF($S294="","",INDEX(BookRate,289)*(1+'5. Scenarios'!$E$10)*$S294)</f>
        <v/>
      </c>
      <c r="U294" s="57" t="str">
        <f aca="false">IF($T294="","",SUMIFS($T$6:$T$2405,$A$6:$A$2405,"&lt;="&amp;$A294))</f>
        <v/>
      </c>
      <c r="V294" s="57" t="str">
        <f aca="false">IF($T294="","",IF($U294&lt;=BankCostEnvelope*'5. Scenarios'!$E$7,1,0))</f>
        <v/>
      </c>
      <c r="W294" s="57" t="str">
        <f aca="false">IF($S294="","",INDEX(BookRate,289)*(1+'5. Scenarios'!$E$10)*(INDEX(BookQ1,289)*(5-MIN(4,1+'5. Scenarios'!$E$8))/4+INDEX(BookQ2,289)*(5-MIN(4,2+'5. Scenarios'!$E$8))/4+INDEX(BookQ3,289)*(5-MIN(4,3+'5. Scenarios'!$E$8))/4+INDEX(BookQ4,289)*(5-MIN(4,4+'5. Scenarios'!$E$8))/4)*'5. Scenarios'!$E$6/(1+ProductivityDefault*('5. Scenarios'!$E$11-1))+INDEX(BookOneOff,289)*$S294)</f>
        <v/>
      </c>
    </row>
    <row r="295" customFormat="false" ht="15" hidden="false" customHeight="false" outlineLevel="0" collapsed="false">
      <c r="A295" s="0" t="str">
        <f aca="false">IF(INDEX(BookTitle,290)="","",INDEX(BookKey,290))</f>
        <v/>
      </c>
      <c r="B295" s="0" t="str">
        <f aca="false">IF(INDEX(BookTitle,290)="","",INDEX(BookGroup,290))</f>
        <v/>
      </c>
      <c r="C295" s="0" t="str">
        <f aca="false">IF(INDEX(BookTitle,290)="","",INDEX(BookCategory,290))</f>
        <v/>
      </c>
      <c r="D295" s="56" t="str">
        <f aca="false">IF(INDEX(BookTitle,290)="","",INDEX(BookTotal,290)*'5. Scenarios'!$B$6/(1+ProductivityDefault*('5. Scenarios'!$B$11-1)))</f>
        <v/>
      </c>
      <c r="E295" s="57" t="str">
        <f aca="false">IF($D295="","",INDEX(BookRate,290)*(1+'5. Scenarios'!$B$10)*$D295)</f>
        <v/>
      </c>
      <c r="F295" s="57" t="str">
        <f aca="false">IF($E295="","",SUMIFS($E$6:$E$2405,$A$6:$A$2405,"&lt;="&amp;$A295))</f>
        <v/>
      </c>
      <c r="G295" s="57" t="str">
        <f aca="false">IF($E295="","",IF($F295&lt;=BankCostEnvelope*'5. Scenarios'!$B$7,1,0))</f>
        <v/>
      </c>
      <c r="H295" s="57" t="str">
        <f aca="false">IF($D295="","",INDEX(BookRate,290)*(1+'5. Scenarios'!$B$10)*(INDEX(BookQ1,290)*(5-MIN(4,1+'5. Scenarios'!$B$8))/4+INDEX(BookQ2,290)*(5-MIN(4,2+'5. Scenarios'!$B$8))/4+INDEX(BookQ3,290)*(5-MIN(4,3+'5. Scenarios'!$B$8))/4+INDEX(BookQ4,290)*(5-MIN(4,4+'5. Scenarios'!$B$8))/4)*'5. Scenarios'!$B$6/(1+ProductivityDefault*('5. Scenarios'!$B$11-1))+INDEX(BookOneOff,290)*$D295)</f>
        <v/>
      </c>
      <c r="I295" s="56" t="str">
        <f aca="false">IF(INDEX(BookTitle,290)="","",INDEX(BookTotal,290)*'5. Scenarios'!$C$6/(1+ProductivityDefault*('5. Scenarios'!$C$11-1)))</f>
        <v/>
      </c>
      <c r="J295" s="57" t="str">
        <f aca="false">IF($I295="","",INDEX(BookRate,290)*(1+'5. Scenarios'!$C$10)*$I295)</f>
        <v/>
      </c>
      <c r="K295" s="57" t="str">
        <f aca="false">IF($J295="","",SUMIFS($J$6:$J$2405,$A$6:$A$2405,"&lt;="&amp;$A295))</f>
        <v/>
      </c>
      <c r="L295" s="57" t="str">
        <f aca="false">IF($J295="","",IF($K295&lt;=BankCostEnvelope*'5. Scenarios'!$C$7,1,0))</f>
        <v/>
      </c>
      <c r="M295" s="57" t="str">
        <f aca="false">IF($I295="","",INDEX(BookRate,290)*(1+'5. Scenarios'!$C$10)*(INDEX(BookQ1,290)*(5-MIN(4,1+'5. Scenarios'!$C$8))/4+INDEX(BookQ2,290)*(5-MIN(4,2+'5. Scenarios'!$C$8))/4+INDEX(BookQ3,290)*(5-MIN(4,3+'5. Scenarios'!$C$8))/4+INDEX(BookQ4,290)*(5-MIN(4,4+'5. Scenarios'!$C$8))/4)*'5. Scenarios'!$C$6/(1+ProductivityDefault*('5. Scenarios'!$C$11-1))+INDEX(BookOneOff,290)*$I295)</f>
        <v/>
      </c>
      <c r="N295" s="56" t="str">
        <f aca="false">IF(INDEX(BookTitle,290)="","",INDEX(BookTotal,290)*'5. Scenarios'!$D$6/(1+ProductivityDefault*('5. Scenarios'!$D$11-1)))</f>
        <v/>
      </c>
      <c r="O295" s="57" t="str">
        <f aca="false">IF($N295="","",INDEX(BookRate,290)*(1+'5. Scenarios'!$D$10)*$N295)</f>
        <v/>
      </c>
      <c r="P295" s="57" t="str">
        <f aca="false">IF($O295="","",SUMIFS($O$6:$O$2405,$A$6:$A$2405,"&lt;="&amp;$A295))</f>
        <v/>
      </c>
      <c r="Q295" s="57" t="str">
        <f aca="false">IF($O295="","",IF($P295&lt;=BankCostEnvelope*'5. Scenarios'!$D$7,1,0))</f>
        <v/>
      </c>
      <c r="R295" s="57" t="str">
        <f aca="false">IF($N295="","",INDEX(BookRate,290)*(1+'5. Scenarios'!$D$10)*(INDEX(BookQ1,290)*(5-MIN(4,1+'5. Scenarios'!$D$8))/4+INDEX(BookQ2,290)*(5-MIN(4,2+'5. Scenarios'!$D$8))/4+INDEX(BookQ3,290)*(5-MIN(4,3+'5. Scenarios'!$D$8))/4+INDEX(BookQ4,290)*(5-MIN(4,4+'5. Scenarios'!$D$8))/4)*'5. Scenarios'!$D$6/(1+ProductivityDefault*('5. Scenarios'!$D$11-1))+INDEX(BookOneOff,290)*$N295)</f>
        <v/>
      </c>
      <c r="S295" s="56" t="str">
        <f aca="false">IF(INDEX(BookTitle,290)="","",INDEX(BookTotal,290)*'5. Scenarios'!$E$6/(1+ProductivityDefault*('5. Scenarios'!$E$11-1)))</f>
        <v/>
      </c>
      <c r="T295" s="57" t="str">
        <f aca="false">IF($S295="","",INDEX(BookRate,290)*(1+'5. Scenarios'!$E$10)*$S295)</f>
        <v/>
      </c>
      <c r="U295" s="57" t="str">
        <f aca="false">IF($T295="","",SUMIFS($T$6:$T$2405,$A$6:$A$2405,"&lt;="&amp;$A295))</f>
        <v/>
      </c>
      <c r="V295" s="57" t="str">
        <f aca="false">IF($T295="","",IF($U295&lt;=BankCostEnvelope*'5. Scenarios'!$E$7,1,0))</f>
        <v/>
      </c>
      <c r="W295" s="57" t="str">
        <f aca="false">IF($S295="","",INDEX(BookRate,290)*(1+'5. Scenarios'!$E$10)*(INDEX(BookQ1,290)*(5-MIN(4,1+'5. Scenarios'!$E$8))/4+INDEX(BookQ2,290)*(5-MIN(4,2+'5. Scenarios'!$E$8))/4+INDEX(BookQ3,290)*(5-MIN(4,3+'5. Scenarios'!$E$8))/4+INDEX(BookQ4,290)*(5-MIN(4,4+'5. Scenarios'!$E$8))/4)*'5. Scenarios'!$E$6/(1+ProductivityDefault*('5. Scenarios'!$E$11-1))+INDEX(BookOneOff,290)*$S295)</f>
        <v/>
      </c>
    </row>
    <row r="296" customFormat="false" ht="15" hidden="false" customHeight="false" outlineLevel="0" collapsed="false">
      <c r="A296" s="0" t="str">
        <f aca="false">IF(INDEX(BookTitle,291)="","",INDEX(BookKey,291))</f>
        <v/>
      </c>
      <c r="B296" s="0" t="str">
        <f aca="false">IF(INDEX(BookTitle,291)="","",INDEX(BookGroup,291))</f>
        <v/>
      </c>
      <c r="C296" s="0" t="str">
        <f aca="false">IF(INDEX(BookTitle,291)="","",INDEX(BookCategory,291))</f>
        <v/>
      </c>
      <c r="D296" s="56" t="str">
        <f aca="false">IF(INDEX(BookTitle,291)="","",INDEX(BookTotal,291)*'5. Scenarios'!$B$6/(1+ProductivityDefault*('5. Scenarios'!$B$11-1)))</f>
        <v/>
      </c>
      <c r="E296" s="57" t="str">
        <f aca="false">IF($D296="","",INDEX(BookRate,291)*(1+'5. Scenarios'!$B$10)*$D296)</f>
        <v/>
      </c>
      <c r="F296" s="57" t="str">
        <f aca="false">IF($E296="","",SUMIFS($E$6:$E$2405,$A$6:$A$2405,"&lt;="&amp;$A296))</f>
        <v/>
      </c>
      <c r="G296" s="57" t="str">
        <f aca="false">IF($E296="","",IF($F296&lt;=BankCostEnvelope*'5. Scenarios'!$B$7,1,0))</f>
        <v/>
      </c>
      <c r="H296" s="57" t="str">
        <f aca="false">IF($D296="","",INDEX(BookRate,291)*(1+'5. Scenarios'!$B$10)*(INDEX(BookQ1,291)*(5-MIN(4,1+'5. Scenarios'!$B$8))/4+INDEX(BookQ2,291)*(5-MIN(4,2+'5. Scenarios'!$B$8))/4+INDEX(BookQ3,291)*(5-MIN(4,3+'5. Scenarios'!$B$8))/4+INDEX(BookQ4,291)*(5-MIN(4,4+'5. Scenarios'!$B$8))/4)*'5. Scenarios'!$B$6/(1+ProductivityDefault*('5. Scenarios'!$B$11-1))+INDEX(BookOneOff,291)*$D296)</f>
        <v/>
      </c>
      <c r="I296" s="56" t="str">
        <f aca="false">IF(INDEX(BookTitle,291)="","",INDEX(BookTotal,291)*'5. Scenarios'!$C$6/(1+ProductivityDefault*('5. Scenarios'!$C$11-1)))</f>
        <v/>
      </c>
      <c r="J296" s="57" t="str">
        <f aca="false">IF($I296="","",INDEX(BookRate,291)*(1+'5. Scenarios'!$C$10)*$I296)</f>
        <v/>
      </c>
      <c r="K296" s="57" t="str">
        <f aca="false">IF($J296="","",SUMIFS($J$6:$J$2405,$A$6:$A$2405,"&lt;="&amp;$A296))</f>
        <v/>
      </c>
      <c r="L296" s="57" t="str">
        <f aca="false">IF($J296="","",IF($K296&lt;=BankCostEnvelope*'5. Scenarios'!$C$7,1,0))</f>
        <v/>
      </c>
      <c r="M296" s="57" t="str">
        <f aca="false">IF($I296="","",INDEX(BookRate,291)*(1+'5. Scenarios'!$C$10)*(INDEX(BookQ1,291)*(5-MIN(4,1+'5. Scenarios'!$C$8))/4+INDEX(BookQ2,291)*(5-MIN(4,2+'5. Scenarios'!$C$8))/4+INDEX(BookQ3,291)*(5-MIN(4,3+'5. Scenarios'!$C$8))/4+INDEX(BookQ4,291)*(5-MIN(4,4+'5. Scenarios'!$C$8))/4)*'5. Scenarios'!$C$6/(1+ProductivityDefault*('5. Scenarios'!$C$11-1))+INDEX(BookOneOff,291)*$I296)</f>
        <v/>
      </c>
      <c r="N296" s="56" t="str">
        <f aca="false">IF(INDEX(BookTitle,291)="","",INDEX(BookTotal,291)*'5. Scenarios'!$D$6/(1+ProductivityDefault*('5. Scenarios'!$D$11-1)))</f>
        <v/>
      </c>
      <c r="O296" s="57" t="str">
        <f aca="false">IF($N296="","",INDEX(BookRate,291)*(1+'5. Scenarios'!$D$10)*$N296)</f>
        <v/>
      </c>
      <c r="P296" s="57" t="str">
        <f aca="false">IF($O296="","",SUMIFS($O$6:$O$2405,$A$6:$A$2405,"&lt;="&amp;$A296))</f>
        <v/>
      </c>
      <c r="Q296" s="57" t="str">
        <f aca="false">IF($O296="","",IF($P296&lt;=BankCostEnvelope*'5. Scenarios'!$D$7,1,0))</f>
        <v/>
      </c>
      <c r="R296" s="57" t="str">
        <f aca="false">IF($N296="","",INDEX(BookRate,291)*(1+'5. Scenarios'!$D$10)*(INDEX(BookQ1,291)*(5-MIN(4,1+'5. Scenarios'!$D$8))/4+INDEX(BookQ2,291)*(5-MIN(4,2+'5. Scenarios'!$D$8))/4+INDEX(BookQ3,291)*(5-MIN(4,3+'5. Scenarios'!$D$8))/4+INDEX(BookQ4,291)*(5-MIN(4,4+'5. Scenarios'!$D$8))/4)*'5. Scenarios'!$D$6/(1+ProductivityDefault*('5. Scenarios'!$D$11-1))+INDEX(BookOneOff,291)*$N296)</f>
        <v/>
      </c>
      <c r="S296" s="56" t="str">
        <f aca="false">IF(INDEX(BookTitle,291)="","",INDEX(BookTotal,291)*'5. Scenarios'!$E$6/(1+ProductivityDefault*('5. Scenarios'!$E$11-1)))</f>
        <v/>
      </c>
      <c r="T296" s="57" t="str">
        <f aca="false">IF($S296="","",INDEX(BookRate,291)*(1+'5. Scenarios'!$E$10)*$S296)</f>
        <v/>
      </c>
      <c r="U296" s="57" t="str">
        <f aca="false">IF($T296="","",SUMIFS($T$6:$T$2405,$A$6:$A$2405,"&lt;="&amp;$A296))</f>
        <v/>
      </c>
      <c r="V296" s="57" t="str">
        <f aca="false">IF($T296="","",IF($U296&lt;=BankCostEnvelope*'5. Scenarios'!$E$7,1,0))</f>
        <v/>
      </c>
      <c r="W296" s="57" t="str">
        <f aca="false">IF($S296="","",INDEX(BookRate,291)*(1+'5. Scenarios'!$E$10)*(INDEX(BookQ1,291)*(5-MIN(4,1+'5. Scenarios'!$E$8))/4+INDEX(BookQ2,291)*(5-MIN(4,2+'5. Scenarios'!$E$8))/4+INDEX(BookQ3,291)*(5-MIN(4,3+'5. Scenarios'!$E$8))/4+INDEX(BookQ4,291)*(5-MIN(4,4+'5. Scenarios'!$E$8))/4)*'5. Scenarios'!$E$6/(1+ProductivityDefault*('5. Scenarios'!$E$11-1))+INDEX(BookOneOff,291)*$S296)</f>
        <v/>
      </c>
    </row>
    <row r="297" customFormat="false" ht="15" hidden="false" customHeight="false" outlineLevel="0" collapsed="false">
      <c r="A297" s="0" t="str">
        <f aca="false">IF(INDEX(BookTitle,292)="","",INDEX(BookKey,292))</f>
        <v/>
      </c>
      <c r="B297" s="0" t="str">
        <f aca="false">IF(INDEX(BookTitle,292)="","",INDEX(BookGroup,292))</f>
        <v/>
      </c>
      <c r="C297" s="0" t="str">
        <f aca="false">IF(INDEX(BookTitle,292)="","",INDEX(BookCategory,292))</f>
        <v/>
      </c>
      <c r="D297" s="56" t="str">
        <f aca="false">IF(INDEX(BookTitle,292)="","",INDEX(BookTotal,292)*'5. Scenarios'!$B$6/(1+ProductivityDefault*('5. Scenarios'!$B$11-1)))</f>
        <v/>
      </c>
      <c r="E297" s="57" t="str">
        <f aca="false">IF($D297="","",INDEX(BookRate,292)*(1+'5. Scenarios'!$B$10)*$D297)</f>
        <v/>
      </c>
      <c r="F297" s="57" t="str">
        <f aca="false">IF($E297="","",SUMIFS($E$6:$E$2405,$A$6:$A$2405,"&lt;="&amp;$A297))</f>
        <v/>
      </c>
      <c r="G297" s="57" t="str">
        <f aca="false">IF($E297="","",IF($F297&lt;=BankCostEnvelope*'5. Scenarios'!$B$7,1,0))</f>
        <v/>
      </c>
      <c r="H297" s="57" t="str">
        <f aca="false">IF($D297="","",INDEX(BookRate,292)*(1+'5. Scenarios'!$B$10)*(INDEX(BookQ1,292)*(5-MIN(4,1+'5. Scenarios'!$B$8))/4+INDEX(BookQ2,292)*(5-MIN(4,2+'5. Scenarios'!$B$8))/4+INDEX(BookQ3,292)*(5-MIN(4,3+'5. Scenarios'!$B$8))/4+INDEX(BookQ4,292)*(5-MIN(4,4+'5. Scenarios'!$B$8))/4)*'5. Scenarios'!$B$6/(1+ProductivityDefault*('5. Scenarios'!$B$11-1))+INDEX(BookOneOff,292)*$D297)</f>
        <v/>
      </c>
      <c r="I297" s="56" t="str">
        <f aca="false">IF(INDEX(BookTitle,292)="","",INDEX(BookTotal,292)*'5. Scenarios'!$C$6/(1+ProductivityDefault*('5. Scenarios'!$C$11-1)))</f>
        <v/>
      </c>
      <c r="J297" s="57" t="str">
        <f aca="false">IF($I297="","",INDEX(BookRate,292)*(1+'5. Scenarios'!$C$10)*$I297)</f>
        <v/>
      </c>
      <c r="K297" s="57" t="str">
        <f aca="false">IF($J297="","",SUMIFS($J$6:$J$2405,$A$6:$A$2405,"&lt;="&amp;$A297))</f>
        <v/>
      </c>
      <c r="L297" s="57" t="str">
        <f aca="false">IF($J297="","",IF($K297&lt;=BankCostEnvelope*'5. Scenarios'!$C$7,1,0))</f>
        <v/>
      </c>
      <c r="M297" s="57" t="str">
        <f aca="false">IF($I297="","",INDEX(BookRate,292)*(1+'5. Scenarios'!$C$10)*(INDEX(BookQ1,292)*(5-MIN(4,1+'5. Scenarios'!$C$8))/4+INDEX(BookQ2,292)*(5-MIN(4,2+'5. Scenarios'!$C$8))/4+INDEX(BookQ3,292)*(5-MIN(4,3+'5. Scenarios'!$C$8))/4+INDEX(BookQ4,292)*(5-MIN(4,4+'5. Scenarios'!$C$8))/4)*'5. Scenarios'!$C$6/(1+ProductivityDefault*('5. Scenarios'!$C$11-1))+INDEX(BookOneOff,292)*$I297)</f>
        <v/>
      </c>
      <c r="N297" s="56" t="str">
        <f aca="false">IF(INDEX(BookTitle,292)="","",INDEX(BookTotal,292)*'5. Scenarios'!$D$6/(1+ProductivityDefault*('5. Scenarios'!$D$11-1)))</f>
        <v/>
      </c>
      <c r="O297" s="57" t="str">
        <f aca="false">IF($N297="","",INDEX(BookRate,292)*(1+'5. Scenarios'!$D$10)*$N297)</f>
        <v/>
      </c>
      <c r="P297" s="57" t="str">
        <f aca="false">IF($O297="","",SUMIFS($O$6:$O$2405,$A$6:$A$2405,"&lt;="&amp;$A297))</f>
        <v/>
      </c>
      <c r="Q297" s="57" t="str">
        <f aca="false">IF($O297="","",IF($P297&lt;=BankCostEnvelope*'5. Scenarios'!$D$7,1,0))</f>
        <v/>
      </c>
      <c r="R297" s="57" t="str">
        <f aca="false">IF($N297="","",INDEX(BookRate,292)*(1+'5. Scenarios'!$D$10)*(INDEX(BookQ1,292)*(5-MIN(4,1+'5. Scenarios'!$D$8))/4+INDEX(BookQ2,292)*(5-MIN(4,2+'5. Scenarios'!$D$8))/4+INDEX(BookQ3,292)*(5-MIN(4,3+'5. Scenarios'!$D$8))/4+INDEX(BookQ4,292)*(5-MIN(4,4+'5. Scenarios'!$D$8))/4)*'5. Scenarios'!$D$6/(1+ProductivityDefault*('5. Scenarios'!$D$11-1))+INDEX(BookOneOff,292)*$N297)</f>
        <v/>
      </c>
      <c r="S297" s="56" t="str">
        <f aca="false">IF(INDEX(BookTitle,292)="","",INDEX(BookTotal,292)*'5. Scenarios'!$E$6/(1+ProductivityDefault*('5. Scenarios'!$E$11-1)))</f>
        <v/>
      </c>
      <c r="T297" s="57" t="str">
        <f aca="false">IF($S297="","",INDEX(BookRate,292)*(1+'5. Scenarios'!$E$10)*$S297)</f>
        <v/>
      </c>
      <c r="U297" s="57" t="str">
        <f aca="false">IF($T297="","",SUMIFS($T$6:$T$2405,$A$6:$A$2405,"&lt;="&amp;$A297))</f>
        <v/>
      </c>
      <c r="V297" s="57" t="str">
        <f aca="false">IF($T297="","",IF($U297&lt;=BankCostEnvelope*'5. Scenarios'!$E$7,1,0))</f>
        <v/>
      </c>
      <c r="W297" s="57" t="str">
        <f aca="false">IF($S297="","",INDEX(BookRate,292)*(1+'5. Scenarios'!$E$10)*(INDEX(BookQ1,292)*(5-MIN(4,1+'5. Scenarios'!$E$8))/4+INDEX(BookQ2,292)*(5-MIN(4,2+'5. Scenarios'!$E$8))/4+INDEX(BookQ3,292)*(5-MIN(4,3+'5. Scenarios'!$E$8))/4+INDEX(BookQ4,292)*(5-MIN(4,4+'5. Scenarios'!$E$8))/4)*'5. Scenarios'!$E$6/(1+ProductivityDefault*('5. Scenarios'!$E$11-1))+INDEX(BookOneOff,292)*$S297)</f>
        <v/>
      </c>
    </row>
    <row r="298" customFormat="false" ht="15" hidden="false" customHeight="false" outlineLevel="0" collapsed="false">
      <c r="A298" s="0" t="str">
        <f aca="false">IF(INDEX(BookTitle,293)="","",INDEX(BookKey,293))</f>
        <v/>
      </c>
      <c r="B298" s="0" t="str">
        <f aca="false">IF(INDEX(BookTitle,293)="","",INDEX(BookGroup,293))</f>
        <v/>
      </c>
      <c r="C298" s="0" t="str">
        <f aca="false">IF(INDEX(BookTitle,293)="","",INDEX(BookCategory,293))</f>
        <v/>
      </c>
      <c r="D298" s="56" t="str">
        <f aca="false">IF(INDEX(BookTitle,293)="","",INDEX(BookTotal,293)*'5. Scenarios'!$B$6/(1+ProductivityDefault*('5. Scenarios'!$B$11-1)))</f>
        <v/>
      </c>
      <c r="E298" s="57" t="str">
        <f aca="false">IF($D298="","",INDEX(BookRate,293)*(1+'5. Scenarios'!$B$10)*$D298)</f>
        <v/>
      </c>
      <c r="F298" s="57" t="str">
        <f aca="false">IF($E298="","",SUMIFS($E$6:$E$2405,$A$6:$A$2405,"&lt;="&amp;$A298))</f>
        <v/>
      </c>
      <c r="G298" s="57" t="str">
        <f aca="false">IF($E298="","",IF($F298&lt;=BankCostEnvelope*'5. Scenarios'!$B$7,1,0))</f>
        <v/>
      </c>
      <c r="H298" s="57" t="str">
        <f aca="false">IF($D298="","",INDEX(BookRate,293)*(1+'5. Scenarios'!$B$10)*(INDEX(BookQ1,293)*(5-MIN(4,1+'5. Scenarios'!$B$8))/4+INDEX(BookQ2,293)*(5-MIN(4,2+'5. Scenarios'!$B$8))/4+INDEX(BookQ3,293)*(5-MIN(4,3+'5. Scenarios'!$B$8))/4+INDEX(BookQ4,293)*(5-MIN(4,4+'5. Scenarios'!$B$8))/4)*'5. Scenarios'!$B$6/(1+ProductivityDefault*('5. Scenarios'!$B$11-1))+INDEX(BookOneOff,293)*$D298)</f>
        <v/>
      </c>
      <c r="I298" s="56" t="str">
        <f aca="false">IF(INDEX(BookTitle,293)="","",INDEX(BookTotal,293)*'5. Scenarios'!$C$6/(1+ProductivityDefault*('5. Scenarios'!$C$11-1)))</f>
        <v/>
      </c>
      <c r="J298" s="57" t="str">
        <f aca="false">IF($I298="","",INDEX(BookRate,293)*(1+'5. Scenarios'!$C$10)*$I298)</f>
        <v/>
      </c>
      <c r="K298" s="57" t="str">
        <f aca="false">IF($J298="","",SUMIFS($J$6:$J$2405,$A$6:$A$2405,"&lt;="&amp;$A298))</f>
        <v/>
      </c>
      <c r="L298" s="57" t="str">
        <f aca="false">IF($J298="","",IF($K298&lt;=BankCostEnvelope*'5. Scenarios'!$C$7,1,0))</f>
        <v/>
      </c>
      <c r="M298" s="57" t="str">
        <f aca="false">IF($I298="","",INDEX(BookRate,293)*(1+'5. Scenarios'!$C$10)*(INDEX(BookQ1,293)*(5-MIN(4,1+'5. Scenarios'!$C$8))/4+INDEX(BookQ2,293)*(5-MIN(4,2+'5. Scenarios'!$C$8))/4+INDEX(BookQ3,293)*(5-MIN(4,3+'5. Scenarios'!$C$8))/4+INDEX(BookQ4,293)*(5-MIN(4,4+'5. Scenarios'!$C$8))/4)*'5. Scenarios'!$C$6/(1+ProductivityDefault*('5. Scenarios'!$C$11-1))+INDEX(BookOneOff,293)*$I298)</f>
        <v/>
      </c>
      <c r="N298" s="56" t="str">
        <f aca="false">IF(INDEX(BookTitle,293)="","",INDEX(BookTotal,293)*'5. Scenarios'!$D$6/(1+ProductivityDefault*('5. Scenarios'!$D$11-1)))</f>
        <v/>
      </c>
      <c r="O298" s="57" t="str">
        <f aca="false">IF($N298="","",INDEX(BookRate,293)*(1+'5. Scenarios'!$D$10)*$N298)</f>
        <v/>
      </c>
      <c r="P298" s="57" t="str">
        <f aca="false">IF($O298="","",SUMIFS($O$6:$O$2405,$A$6:$A$2405,"&lt;="&amp;$A298))</f>
        <v/>
      </c>
      <c r="Q298" s="57" t="str">
        <f aca="false">IF($O298="","",IF($P298&lt;=BankCostEnvelope*'5. Scenarios'!$D$7,1,0))</f>
        <v/>
      </c>
      <c r="R298" s="57" t="str">
        <f aca="false">IF($N298="","",INDEX(BookRate,293)*(1+'5. Scenarios'!$D$10)*(INDEX(BookQ1,293)*(5-MIN(4,1+'5. Scenarios'!$D$8))/4+INDEX(BookQ2,293)*(5-MIN(4,2+'5. Scenarios'!$D$8))/4+INDEX(BookQ3,293)*(5-MIN(4,3+'5. Scenarios'!$D$8))/4+INDEX(BookQ4,293)*(5-MIN(4,4+'5. Scenarios'!$D$8))/4)*'5. Scenarios'!$D$6/(1+ProductivityDefault*('5. Scenarios'!$D$11-1))+INDEX(BookOneOff,293)*$N298)</f>
        <v/>
      </c>
      <c r="S298" s="56" t="str">
        <f aca="false">IF(INDEX(BookTitle,293)="","",INDEX(BookTotal,293)*'5. Scenarios'!$E$6/(1+ProductivityDefault*('5. Scenarios'!$E$11-1)))</f>
        <v/>
      </c>
      <c r="T298" s="57" t="str">
        <f aca="false">IF($S298="","",INDEX(BookRate,293)*(1+'5. Scenarios'!$E$10)*$S298)</f>
        <v/>
      </c>
      <c r="U298" s="57" t="str">
        <f aca="false">IF($T298="","",SUMIFS($T$6:$T$2405,$A$6:$A$2405,"&lt;="&amp;$A298))</f>
        <v/>
      </c>
      <c r="V298" s="57" t="str">
        <f aca="false">IF($T298="","",IF($U298&lt;=BankCostEnvelope*'5. Scenarios'!$E$7,1,0))</f>
        <v/>
      </c>
      <c r="W298" s="57" t="str">
        <f aca="false">IF($S298="","",INDEX(BookRate,293)*(1+'5. Scenarios'!$E$10)*(INDEX(BookQ1,293)*(5-MIN(4,1+'5. Scenarios'!$E$8))/4+INDEX(BookQ2,293)*(5-MIN(4,2+'5. Scenarios'!$E$8))/4+INDEX(BookQ3,293)*(5-MIN(4,3+'5. Scenarios'!$E$8))/4+INDEX(BookQ4,293)*(5-MIN(4,4+'5. Scenarios'!$E$8))/4)*'5. Scenarios'!$E$6/(1+ProductivityDefault*('5. Scenarios'!$E$11-1))+INDEX(BookOneOff,293)*$S298)</f>
        <v/>
      </c>
    </row>
    <row r="299" customFormat="false" ht="15" hidden="false" customHeight="false" outlineLevel="0" collapsed="false">
      <c r="A299" s="0" t="str">
        <f aca="false">IF(INDEX(BookTitle,294)="","",INDEX(BookKey,294))</f>
        <v/>
      </c>
      <c r="B299" s="0" t="str">
        <f aca="false">IF(INDEX(BookTitle,294)="","",INDEX(BookGroup,294))</f>
        <v/>
      </c>
      <c r="C299" s="0" t="str">
        <f aca="false">IF(INDEX(BookTitle,294)="","",INDEX(BookCategory,294))</f>
        <v/>
      </c>
      <c r="D299" s="56" t="str">
        <f aca="false">IF(INDEX(BookTitle,294)="","",INDEX(BookTotal,294)*'5. Scenarios'!$B$6/(1+ProductivityDefault*('5. Scenarios'!$B$11-1)))</f>
        <v/>
      </c>
      <c r="E299" s="57" t="str">
        <f aca="false">IF($D299="","",INDEX(BookRate,294)*(1+'5. Scenarios'!$B$10)*$D299)</f>
        <v/>
      </c>
      <c r="F299" s="57" t="str">
        <f aca="false">IF($E299="","",SUMIFS($E$6:$E$2405,$A$6:$A$2405,"&lt;="&amp;$A299))</f>
        <v/>
      </c>
      <c r="G299" s="57" t="str">
        <f aca="false">IF($E299="","",IF($F299&lt;=BankCostEnvelope*'5. Scenarios'!$B$7,1,0))</f>
        <v/>
      </c>
      <c r="H299" s="57" t="str">
        <f aca="false">IF($D299="","",INDEX(BookRate,294)*(1+'5. Scenarios'!$B$10)*(INDEX(BookQ1,294)*(5-MIN(4,1+'5. Scenarios'!$B$8))/4+INDEX(BookQ2,294)*(5-MIN(4,2+'5. Scenarios'!$B$8))/4+INDEX(BookQ3,294)*(5-MIN(4,3+'5. Scenarios'!$B$8))/4+INDEX(BookQ4,294)*(5-MIN(4,4+'5. Scenarios'!$B$8))/4)*'5. Scenarios'!$B$6/(1+ProductivityDefault*('5. Scenarios'!$B$11-1))+INDEX(BookOneOff,294)*$D299)</f>
        <v/>
      </c>
      <c r="I299" s="56" t="str">
        <f aca="false">IF(INDEX(BookTitle,294)="","",INDEX(BookTotal,294)*'5. Scenarios'!$C$6/(1+ProductivityDefault*('5. Scenarios'!$C$11-1)))</f>
        <v/>
      </c>
      <c r="J299" s="57" t="str">
        <f aca="false">IF($I299="","",INDEX(BookRate,294)*(1+'5. Scenarios'!$C$10)*$I299)</f>
        <v/>
      </c>
      <c r="K299" s="57" t="str">
        <f aca="false">IF($J299="","",SUMIFS($J$6:$J$2405,$A$6:$A$2405,"&lt;="&amp;$A299))</f>
        <v/>
      </c>
      <c r="L299" s="57" t="str">
        <f aca="false">IF($J299="","",IF($K299&lt;=BankCostEnvelope*'5. Scenarios'!$C$7,1,0))</f>
        <v/>
      </c>
      <c r="M299" s="57" t="str">
        <f aca="false">IF($I299="","",INDEX(BookRate,294)*(1+'5. Scenarios'!$C$10)*(INDEX(BookQ1,294)*(5-MIN(4,1+'5. Scenarios'!$C$8))/4+INDEX(BookQ2,294)*(5-MIN(4,2+'5. Scenarios'!$C$8))/4+INDEX(BookQ3,294)*(5-MIN(4,3+'5. Scenarios'!$C$8))/4+INDEX(BookQ4,294)*(5-MIN(4,4+'5. Scenarios'!$C$8))/4)*'5. Scenarios'!$C$6/(1+ProductivityDefault*('5. Scenarios'!$C$11-1))+INDEX(BookOneOff,294)*$I299)</f>
        <v/>
      </c>
      <c r="N299" s="56" t="str">
        <f aca="false">IF(INDEX(BookTitle,294)="","",INDEX(BookTotal,294)*'5. Scenarios'!$D$6/(1+ProductivityDefault*('5. Scenarios'!$D$11-1)))</f>
        <v/>
      </c>
      <c r="O299" s="57" t="str">
        <f aca="false">IF($N299="","",INDEX(BookRate,294)*(1+'5. Scenarios'!$D$10)*$N299)</f>
        <v/>
      </c>
      <c r="P299" s="57" t="str">
        <f aca="false">IF($O299="","",SUMIFS($O$6:$O$2405,$A$6:$A$2405,"&lt;="&amp;$A299))</f>
        <v/>
      </c>
      <c r="Q299" s="57" t="str">
        <f aca="false">IF($O299="","",IF($P299&lt;=BankCostEnvelope*'5. Scenarios'!$D$7,1,0))</f>
        <v/>
      </c>
      <c r="R299" s="57" t="str">
        <f aca="false">IF($N299="","",INDEX(BookRate,294)*(1+'5. Scenarios'!$D$10)*(INDEX(BookQ1,294)*(5-MIN(4,1+'5. Scenarios'!$D$8))/4+INDEX(BookQ2,294)*(5-MIN(4,2+'5. Scenarios'!$D$8))/4+INDEX(BookQ3,294)*(5-MIN(4,3+'5. Scenarios'!$D$8))/4+INDEX(BookQ4,294)*(5-MIN(4,4+'5. Scenarios'!$D$8))/4)*'5. Scenarios'!$D$6/(1+ProductivityDefault*('5. Scenarios'!$D$11-1))+INDEX(BookOneOff,294)*$N299)</f>
        <v/>
      </c>
      <c r="S299" s="56" t="str">
        <f aca="false">IF(INDEX(BookTitle,294)="","",INDEX(BookTotal,294)*'5. Scenarios'!$E$6/(1+ProductivityDefault*('5. Scenarios'!$E$11-1)))</f>
        <v/>
      </c>
      <c r="T299" s="57" t="str">
        <f aca="false">IF($S299="","",INDEX(BookRate,294)*(1+'5. Scenarios'!$E$10)*$S299)</f>
        <v/>
      </c>
      <c r="U299" s="57" t="str">
        <f aca="false">IF($T299="","",SUMIFS($T$6:$T$2405,$A$6:$A$2405,"&lt;="&amp;$A299))</f>
        <v/>
      </c>
      <c r="V299" s="57" t="str">
        <f aca="false">IF($T299="","",IF($U299&lt;=BankCostEnvelope*'5. Scenarios'!$E$7,1,0))</f>
        <v/>
      </c>
      <c r="W299" s="57" t="str">
        <f aca="false">IF($S299="","",INDEX(BookRate,294)*(1+'5. Scenarios'!$E$10)*(INDEX(BookQ1,294)*(5-MIN(4,1+'5. Scenarios'!$E$8))/4+INDEX(BookQ2,294)*(5-MIN(4,2+'5. Scenarios'!$E$8))/4+INDEX(BookQ3,294)*(5-MIN(4,3+'5. Scenarios'!$E$8))/4+INDEX(BookQ4,294)*(5-MIN(4,4+'5. Scenarios'!$E$8))/4)*'5. Scenarios'!$E$6/(1+ProductivityDefault*('5. Scenarios'!$E$11-1))+INDEX(BookOneOff,294)*$S299)</f>
        <v/>
      </c>
    </row>
    <row r="300" customFormat="false" ht="15" hidden="false" customHeight="false" outlineLevel="0" collapsed="false">
      <c r="A300" s="0" t="str">
        <f aca="false">IF(INDEX(BookTitle,295)="","",INDEX(BookKey,295))</f>
        <v/>
      </c>
      <c r="B300" s="0" t="str">
        <f aca="false">IF(INDEX(BookTitle,295)="","",INDEX(BookGroup,295))</f>
        <v/>
      </c>
      <c r="C300" s="0" t="str">
        <f aca="false">IF(INDEX(BookTitle,295)="","",INDEX(BookCategory,295))</f>
        <v/>
      </c>
      <c r="D300" s="56" t="str">
        <f aca="false">IF(INDEX(BookTitle,295)="","",INDEX(BookTotal,295)*'5. Scenarios'!$B$6/(1+ProductivityDefault*('5. Scenarios'!$B$11-1)))</f>
        <v/>
      </c>
      <c r="E300" s="57" t="str">
        <f aca="false">IF($D300="","",INDEX(BookRate,295)*(1+'5. Scenarios'!$B$10)*$D300)</f>
        <v/>
      </c>
      <c r="F300" s="57" t="str">
        <f aca="false">IF($E300="","",SUMIFS($E$6:$E$2405,$A$6:$A$2405,"&lt;="&amp;$A300))</f>
        <v/>
      </c>
      <c r="G300" s="57" t="str">
        <f aca="false">IF($E300="","",IF($F300&lt;=BankCostEnvelope*'5. Scenarios'!$B$7,1,0))</f>
        <v/>
      </c>
      <c r="H300" s="57" t="str">
        <f aca="false">IF($D300="","",INDEX(BookRate,295)*(1+'5. Scenarios'!$B$10)*(INDEX(BookQ1,295)*(5-MIN(4,1+'5. Scenarios'!$B$8))/4+INDEX(BookQ2,295)*(5-MIN(4,2+'5. Scenarios'!$B$8))/4+INDEX(BookQ3,295)*(5-MIN(4,3+'5. Scenarios'!$B$8))/4+INDEX(BookQ4,295)*(5-MIN(4,4+'5. Scenarios'!$B$8))/4)*'5. Scenarios'!$B$6/(1+ProductivityDefault*('5. Scenarios'!$B$11-1))+INDEX(BookOneOff,295)*$D300)</f>
        <v/>
      </c>
      <c r="I300" s="56" t="str">
        <f aca="false">IF(INDEX(BookTitle,295)="","",INDEX(BookTotal,295)*'5. Scenarios'!$C$6/(1+ProductivityDefault*('5. Scenarios'!$C$11-1)))</f>
        <v/>
      </c>
      <c r="J300" s="57" t="str">
        <f aca="false">IF($I300="","",INDEX(BookRate,295)*(1+'5. Scenarios'!$C$10)*$I300)</f>
        <v/>
      </c>
      <c r="K300" s="57" t="str">
        <f aca="false">IF($J300="","",SUMIFS($J$6:$J$2405,$A$6:$A$2405,"&lt;="&amp;$A300))</f>
        <v/>
      </c>
      <c r="L300" s="57" t="str">
        <f aca="false">IF($J300="","",IF($K300&lt;=BankCostEnvelope*'5. Scenarios'!$C$7,1,0))</f>
        <v/>
      </c>
      <c r="M300" s="57" t="str">
        <f aca="false">IF($I300="","",INDEX(BookRate,295)*(1+'5. Scenarios'!$C$10)*(INDEX(BookQ1,295)*(5-MIN(4,1+'5. Scenarios'!$C$8))/4+INDEX(BookQ2,295)*(5-MIN(4,2+'5. Scenarios'!$C$8))/4+INDEX(BookQ3,295)*(5-MIN(4,3+'5. Scenarios'!$C$8))/4+INDEX(BookQ4,295)*(5-MIN(4,4+'5. Scenarios'!$C$8))/4)*'5. Scenarios'!$C$6/(1+ProductivityDefault*('5. Scenarios'!$C$11-1))+INDEX(BookOneOff,295)*$I300)</f>
        <v/>
      </c>
      <c r="N300" s="56" t="str">
        <f aca="false">IF(INDEX(BookTitle,295)="","",INDEX(BookTotal,295)*'5. Scenarios'!$D$6/(1+ProductivityDefault*('5. Scenarios'!$D$11-1)))</f>
        <v/>
      </c>
      <c r="O300" s="57" t="str">
        <f aca="false">IF($N300="","",INDEX(BookRate,295)*(1+'5. Scenarios'!$D$10)*$N300)</f>
        <v/>
      </c>
      <c r="P300" s="57" t="str">
        <f aca="false">IF($O300="","",SUMIFS($O$6:$O$2405,$A$6:$A$2405,"&lt;="&amp;$A300))</f>
        <v/>
      </c>
      <c r="Q300" s="57" t="str">
        <f aca="false">IF($O300="","",IF($P300&lt;=BankCostEnvelope*'5. Scenarios'!$D$7,1,0))</f>
        <v/>
      </c>
      <c r="R300" s="57" t="str">
        <f aca="false">IF($N300="","",INDEX(BookRate,295)*(1+'5. Scenarios'!$D$10)*(INDEX(BookQ1,295)*(5-MIN(4,1+'5. Scenarios'!$D$8))/4+INDEX(BookQ2,295)*(5-MIN(4,2+'5. Scenarios'!$D$8))/4+INDEX(BookQ3,295)*(5-MIN(4,3+'5. Scenarios'!$D$8))/4+INDEX(BookQ4,295)*(5-MIN(4,4+'5. Scenarios'!$D$8))/4)*'5. Scenarios'!$D$6/(1+ProductivityDefault*('5. Scenarios'!$D$11-1))+INDEX(BookOneOff,295)*$N300)</f>
        <v/>
      </c>
      <c r="S300" s="56" t="str">
        <f aca="false">IF(INDEX(BookTitle,295)="","",INDEX(BookTotal,295)*'5. Scenarios'!$E$6/(1+ProductivityDefault*('5. Scenarios'!$E$11-1)))</f>
        <v/>
      </c>
      <c r="T300" s="57" t="str">
        <f aca="false">IF($S300="","",INDEX(BookRate,295)*(1+'5. Scenarios'!$E$10)*$S300)</f>
        <v/>
      </c>
      <c r="U300" s="57" t="str">
        <f aca="false">IF($T300="","",SUMIFS($T$6:$T$2405,$A$6:$A$2405,"&lt;="&amp;$A300))</f>
        <v/>
      </c>
      <c r="V300" s="57" t="str">
        <f aca="false">IF($T300="","",IF($U300&lt;=BankCostEnvelope*'5. Scenarios'!$E$7,1,0))</f>
        <v/>
      </c>
      <c r="W300" s="57" t="str">
        <f aca="false">IF($S300="","",INDEX(BookRate,295)*(1+'5. Scenarios'!$E$10)*(INDEX(BookQ1,295)*(5-MIN(4,1+'5. Scenarios'!$E$8))/4+INDEX(BookQ2,295)*(5-MIN(4,2+'5. Scenarios'!$E$8))/4+INDEX(BookQ3,295)*(5-MIN(4,3+'5. Scenarios'!$E$8))/4+INDEX(BookQ4,295)*(5-MIN(4,4+'5. Scenarios'!$E$8))/4)*'5. Scenarios'!$E$6/(1+ProductivityDefault*('5. Scenarios'!$E$11-1))+INDEX(BookOneOff,295)*$S300)</f>
        <v/>
      </c>
    </row>
    <row r="301" customFormat="false" ht="15" hidden="false" customHeight="false" outlineLevel="0" collapsed="false">
      <c r="A301" s="0" t="str">
        <f aca="false">IF(INDEX(BookTitle,296)="","",INDEX(BookKey,296))</f>
        <v/>
      </c>
      <c r="B301" s="0" t="str">
        <f aca="false">IF(INDEX(BookTitle,296)="","",INDEX(BookGroup,296))</f>
        <v/>
      </c>
      <c r="C301" s="0" t="str">
        <f aca="false">IF(INDEX(BookTitle,296)="","",INDEX(BookCategory,296))</f>
        <v/>
      </c>
      <c r="D301" s="56" t="str">
        <f aca="false">IF(INDEX(BookTitle,296)="","",INDEX(BookTotal,296)*'5. Scenarios'!$B$6/(1+ProductivityDefault*('5. Scenarios'!$B$11-1)))</f>
        <v/>
      </c>
      <c r="E301" s="57" t="str">
        <f aca="false">IF($D301="","",INDEX(BookRate,296)*(1+'5. Scenarios'!$B$10)*$D301)</f>
        <v/>
      </c>
      <c r="F301" s="57" t="str">
        <f aca="false">IF($E301="","",SUMIFS($E$6:$E$2405,$A$6:$A$2405,"&lt;="&amp;$A301))</f>
        <v/>
      </c>
      <c r="G301" s="57" t="str">
        <f aca="false">IF($E301="","",IF($F301&lt;=BankCostEnvelope*'5. Scenarios'!$B$7,1,0))</f>
        <v/>
      </c>
      <c r="H301" s="57" t="str">
        <f aca="false">IF($D301="","",INDEX(BookRate,296)*(1+'5. Scenarios'!$B$10)*(INDEX(BookQ1,296)*(5-MIN(4,1+'5. Scenarios'!$B$8))/4+INDEX(BookQ2,296)*(5-MIN(4,2+'5. Scenarios'!$B$8))/4+INDEX(BookQ3,296)*(5-MIN(4,3+'5. Scenarios'!$B$8))/4+INDEX(BookQ4,296)*(5-MIN(4,4+'5. Scenarios'!$B$8))/4)*'5. Scenarios'!$B$6/(1+ProductivityDefault*('5. Scenarios'!$B$11-1))+INDEX(BookOneOff,296)*$D301)</f>
        <v/>
      </c>
      <c r="I301" s="56" t="str">
        <f aca="false">IF(INDEX(BookTitle,296)="","",INDEX(BookTotal,296)*'5. Scenarios'!$C$6/(1+ProductivityDefault*('5. Scenarios'!$C$11-1)))</f>
        <v/>
      </c>
      <c r="J301" s="57" t="str">
        <f aca="false">IF($I301="","",INDEX(BookRate,296)*(1+'5. Scenarios'!$C$10)*$I301)</f>
        <v/>
      </c>
      <c r="K301" s="57" t="str">
        <f aca="false">IF($J301="","",SUMIFS($J$6:$J$2405,$A$6:$A$2405,"&lt;="&amp;$A301))</f>
        <v/>
      </c>
      <c r="L301" s="57" t="str">
        <f aca="false">IF($J301="","",IF($K301&lt;=BankCostEnvelope*'5. Scenarios'!$C$7,1,0))</f>
        <v/>
      </c>
      <c r="M301" s="57" t="str">
        <f aca="false">IF($I301="","",INDEX(BookRate,296)*(1+'5. Scenarios'!$C$10)*(INDEX(BookQ1,296)*(5-MIN(4,1+'5. Scenarios'!$C$8))/4+INDEX(BookQ2,296)*(5-MIN(4,2+'5. Scenarios'!$C$8))/4+INDEX(BookQ3,296)*(5-MIN(4,3+'5. Scenarios'!$C$8))/4+INDEX(BookQ4,296)*(5-MIN(4,4+'5. Scenarios'!$C$8))/4)*'5. Scenarios'!$C$6/(1+ProductivityDefault*('5. Scenarios'!$C$11-1))+INDEX(BookOneOff,296)*$I301)</f>
        <v/>
      </c>
      <c r="N301" s="56" t="str">
        <f aca="false">IF(INDEX(BookTitle,296)="","",INDEX(BookTotal,296)*'5. Scenarios'!$D$6/(1+ProductivityDefault*('5. Scenarios'!$D$11-1)))</f>
        <v/>
      </c>
      <c r="O301" s="57" t="str">
        <f aca="false">IF($N301="","",INDEX(BookRate,296)*(1+'5. Scenarios'!$D$10)*$N301)</f>
        <v/>
      </c>
      <c r="P301" s="57" t="str">
        <f aca="false">IF($O301="","",SUMIFS($O$6:$O$2405,$A$6:$A$2405,"&lt;="&amp;$A301))</f>
        <v/>
      </c>
      <c r="Q301" s="57" t="str">
        <f aca="false">IF($O301="","",IF($P301&lt;=BankCostEnvelope*'5. Scenarios'!$D$7,1,0))</f>
        <v/>
      </c>
      <c r="R301" s="57" t="str">
        <f aca="false">IF($N301="","",INDEX(BookRate,296)*(1+'5. Scenarios'!$D$10)*(INDEX(BookQ1,296)*(5-MIN(4,1+'5. Scenarios'!$D$8))/4+INDEX(BookQ2,296)*(5-MIN(4,2+'5. Scenarios'!$D$8))/4+INDEX(BookQ3,296)*(5-MIN(4,3+'5. Scenarios'!$D$8))/4+INDEX(BookQ4,296)*(5-MIN(4,4+'5. Scenarios'!$D$8))/4)*'5. Scenarios'!$D$6/(1+ProductivityDefault*('5. Scenarios'!$D$11-1))+INDEX(BookOneOff,296)*$N301)</f>
        <v/>
      </c>
      <c r="S301" s="56" t="str">
        <f aca="false">IF(INDEX(BookTitle,296)="","",INDEX(BookTotal,296)*'5. Scenarios'!$E$6/(1+ProductivityDefault*('5. Scenarios'!$E$11-1)))</f>
        <v/>
      </c>
      <c r="T301" s="57" t="str">
        <f aca="false">IF($S301="","",INDEX(BookRate,296)*(1+'5. Scenarios'!$E$10)*$S301)</f>
        <v/>
      </c>
      <c r="U301" s="57" t="str">
        <f aca="false">IF($T301="","",SUMIFS($T$6:$T$2405,$A$6:$A$2405,"&lt;="&amp;$A301))</f>
        <v/>
      </c>
      <c r="V301" s="57" t="str">
        <f aca="false">IF($T301="","",IF($U301&lt;=BankCostEnvelope*'5. Scenarios'!$E$7,1,0))</f>
        <v/>
      </c>
      <c r="W301" s="57" t="str">
        <f aca="false">IF($S301="","",INDEX(BookRate,296)*(1+'5. Scenarios'!$E$10)*(INDEX(BookQ1,296)*(5-MIN(4,1+'5. Scenarios'!$E$8))/4+INDEX(BookQ2,296)*(5-MIN(4,2+'5. Scenarios'!$E$8))/4+INDEX(BookQ3,296)*(5-MIN(4,3+'5. Scenarios'!$E$8))/4+INDEX(BookQ4,296)*(5-MIN(4,4+'5. Scenarios'!$E$8))/4)*'5. Scenarios'!$E$6/(1+ProductivityDefault*('5. Scenarios'!$E$11-1))+INDEX(BookOneOff,296)*$S301)</f>
        <v/>
      </c>
    </row>
    <row r="302" customFormat="false" ht="15" hidden="false" customHeight="false" outlineLevel="0" collapsed="false">
      <c r="A302" s="0" t="str">
        <f aca="false">IF(INDEX(BookTitle,297)="","",INDEX(BookKey,297))</f>
        <v/>
      </c>
      <c r="B302" s="0" t="str">
        <f aca="false">IF(INDEX(BookTitle,297)="","",INDEX(BookGroup,297))</f>
        <v/>
      </c>
      <c r="C302" s="0" t="str">
        <f aca="false">IF(INDEX(BookTitle,297)="","",INDEX(BookCategory,297))</f>
        <v/>
      </c>
      <c r="D302" s="56" t="str">
        <f aca="false">IF(INDEX(BookTitle,297)="","",INDEX(BookTotal,297)*'5. Scenarios'!$B$6/(1+ProductivityDefault*('5. Scenarios'!$B$11-1)))</f>
        <v/>
      </c>
      <c r="E302" s="57" t="str">
        <f aca="false">IF($D302="","",INDEX(BookRate,297)*(1+'5. Scenarios'!$B$10)*$D302)</f>
        <v/>
      </c>
      <c r="F302" s="57" t="str">
        <f aca="false">IF($E302="","",SUMIFS($E$6:$E$2405,$A$6:$A$2405,"&lt;="&amp;$A302))</f>
        <v/>
      </c>
      <c r="G302" s="57" t="str">
        <f aca="false">IF($E302="","",IF($F302&lt;=BankCostEnvelope*'5. Scenarios'!$B$7,1,0))</f>
        <v/>
      </c>
      <c r="H302" s="57" t="str">
        <f aca="false">IF($D302="","",INDEX(BookRate,297)*(1+'5. Scenarios'!$B$10)*(INDEX(BookQ1,297)*(5-MIN(4,1+'5. Scenarios'!$B$8))/4+INDEX(BookQ2,297)*(5-MIN(4,2+'5. Scenarios'!$B$8))/4+INDEX(BookQ3,297)*(5-MIN(4,3+'5. Scenarios'!$B$8))/4+INDEX(BookQ4,297)*(5-MIN(4,4+'5. Scenarios'!$B$8))/4)*'5. Scenarios'!$B$6/(1+ProductivityDefault*('5. Scenarios'!$B$11-1))+INDEX(BookOneOff,297)*$D302)</f>
        <v/>
      </c>
      <c r="I302" s="56" t="str">
        <f aca="false">IF(INDEX(BookTitle,297)="","",INDEX(BookTotal,297)*'5. Scenarios'!$C$6/(1+ProductivityDefault*('5. Scenarios'!$C$11-1)))</f>
        <v/>
      </c>
      <c r="J302" s="57" t="str">
        <f aca="false">IF($I302="","",INDEX(BookRate,297)*(1+'5. Scenarios'!$C$10)*$I302)</f>
        <v/>
      </c>
      <c r="K302" s="57" t="str">
        <f aca="false">IF($J302="","",SUMIFS($J$6:$J$2405,$A$6:$A$2405,"&lt;="&amp;$A302))</f>
        <v/>
      </c>
      <c r="L302" s="57" t="str">
        <f aca="false">IF($J302="","",IF($K302&lt;=BankCostEnvelope*'5. Scenarios'!$C$7,1,0))</f>
        <v/>
      </c>
      <c r="M302" s="57" t="str">
        <f aca="false">IF($I302="","",INDEX(BookRate,297)*(1+'5. Scenarios'!$C$10)*(INDEX(BookQ1,297)*(5-MIN(4,1+'5. Scenarios'!$C$8))/4+INDEX(BookQ2,297)*(5-MIN(4,2+'5. Scenarios'!$C$8))/4+INDEX(BookQ3,297)*(5-MIN(4,3+'5. Scenarios'!$C$8))/4+INDEX(BookQ4,297)*(5-MIN(4,4+'5. Scenarios'!$C$8))/4)*'5. Scenarios'!$C$6/(1+ProductivityDefault*('5. Scenarios'!$C$11-1))+INDEX(BookOneOff,297)*$I302)</f>
        <v/>
      </c>
      <c r="N302" s="56" t="str">
        <f aca="false">IF(INDEX(BookTitle,297)="","",INDEX(BookTotal,297)*'5. Scenarios'!$D$6/(1+ProductivityDefault*('5. Scenarios'!$D$11-1)))</f>
        <v/>
      </c>
      <c r="O302" s="57" t="str">
        <f aca="false">IF($N302="","",INDEX(BookRate,297)*(1+'5. Scenarios'!$D$10)*$N302)</f>
        <v/>
      </c>
      <c r="P302" s="57" t="str">
        <f aca="false">IF($O302="","",SUMIFS($O$6:$O$2405,$A$6:$A$2405,"&lt;="&amp;$A302))</f>
        <v/>
      </c>
      <c r="Q302" s="57" t="str">
        <f aca="false">IF($O302="","",IF($P302&lt;=BankCostEnvelope*'5. Scenarios'!$D$7,1,0))</f>
        <v/>
      </c>
      <c r="R302" s="57" t="str">
        <f aca="false">IF($N302="","",INDEX(BookRate,297)*(1+'5. Scenarios'!$D$10)*(INDEX(BookQ1,297)*(5-MIN(4,1+'5. Scenarios'!$D$8))/4+INDEX(BookQ2,297)*(5-MIN(4,2+'5. Scenarios'!$D$8))/4+INDEX(BookQ3,297)*(5-MIN(4,3+'5. Scenarios'!$D$8))/4+INDEX(BookQ4,297)*(5-MIN(4,4+'5. Scenarios'!$D$8))/4)*'5. Scenarios'!$D$6/(1+ProductivityDefault*('5. Scenarios'!$D$11-1))+INDEX(BookOneOff,297)*$N302)</f>
        <v/>
      </c>
      <c r="S302" s="56" t="str">
        <f aca="false">IF(INDEX(BookTitle,297)="","",INDEX(BookTotal,297)*'5. Scenarios'!$E$6/(1+ProductivityDefault*('5. Scenarios'!$E$11-1)))</f>
        <v/>
      </c>
      <c r="T302" s="57" t="str">
        <f aca="false">IF($S302="","",INDEX(BookRate,297)*(1+'5. Scenarios'!$E$10)*$S302)</f>
        <v/>
      </c>
      <c r="U302" s="57" t="str">
        <f aca="false">IF($T302="","",SUMIFS($T$6:$T$2405,$A$6:$A$2405,"&lt;="&amp;$A302))</f>
        <v/>
      </c>
      <c r="V302" s="57" t="str">
        <f aca="false">IF($T302="","",IF($U302&lt;=BankCostEnvelope*'5. Scenarios'!$E$7,1,0))</f>
        <v/>
      </c>
      <c r="W302" s="57" t="str">
        <f aca="false">IF($S302="","",INDEX(BookRate,297)*(1+'5. Scenarios'!$E$10)*(INDEX(BookQ1,297)*(5-MIN(4,1+'5. Scenarios'!$E$8))/4+INDEX(BookQ2,297)*(5-MIN(4,2+'5. Scenarios'!$E$8))/4+INDEX(BookQ3,297)*(5-MIN(4,3+'5. Scenarios'!$E$8))/4+INDEX(BookQ4,297)*(5-MIN(4,4+'5. Scenarios'!$E$8))/4)*'5. Scenarios'!$E$6/(1+ProductivityDefault*('5. Scenarios'!$E$11-1))+INDEX(BookOneOff,297)*$S302)</f>
        <v/>
      </c>
    </row>
    <row r="303" customFormat="false" ht="15" hidden="false" customHeight="false" outlineLevel="0" collapsed="false">
      <c r="A303" s="0" t="str">
        <f aca="false">IF(INDEX(BookTitle,298)="","",INDEX(BookKey,298))</f>
        <v/>
      </c>
      <c r="B303" s="0" t="str">
        <f aca="false">IF(INDEX(BookTitle,298)="","",INDEX(BookGroup,298))</f>
        <v/>
      </c>
      <c r="C303" s="0" t="str">
        <f aca="false">IF(INDEX(BookTitle,298)="","",INDEX(BookCategory,298))</f>
        <v/>
      </c>
      <c r="D303" s="56" t="str">
        <f aca="false">IF(INDEX(BookTitle,298)="","",INDEX(BookTotal,298)*'5. Scenarios'!$B$6/(1+ProductivityDefault*('5. Scenarios'!$B$11-1)))</f>
        <v/>
      </c>
      <c r="E303" s="57" t="str">
        <f aca="false">IF($D303="","",INDEX(BookRate,298)*(1+'5. Scenarios'!$B$10)*$D303)</f>
        <v/>
      </c>
      <c r="F303" s="57" t="str">
        <f aca="false">IF($E303="","",SUMIFS($E$6:$E$2405,$A$6:$A$2405,"&lt;="&amp;$A303))</f>
        <v/>
      </c>
      <c r="G303" s="57" t="str">
        <f aca="false">IF($E303="","",IF($F303&lt;=BankCostEnvelope*'5. Scenarios'!$B$7,1,0))</f>
        <v/>
      </c>
      <c r="H303" s="57" t="str">
        <f aca="false">IF($D303="","",INDEX(BookRate,298)*(1+'5. Scenarios'!$B$10)*(INDEX(BookQ1,298)*(5-MIN(4,1+'5. Scenarios'!$B$8))/4+INDEX(BookQ2,298)*(5-MIN(4,2+'5. Scenarios'!$B$8))/4+INDEX(BookQ3,298)*(5-MIN(4,3+'5. Scenarios'!$B$8))/4+INDEX(BookQ4,298)*(5-MIN(4,4+'5. Scenarios'!$B$8))/4)*'5. Scenarios'!$B$6/(1+ProductivityDefault*('5. Scenarios'!$B$11-1))+INDEX(BookOneOff,298)*$D303)</f>
        <v/>
      </c>
      <c r="I303" s="56" t="str">
        <f aca="false">IF(INDEX(BookTitle,298)="","",INDEX(BookTotal,298)*'5. Scenarios'!$C$6/(1+ProductivityDefault*('5. Scenarios'!$C$11-1)))</f>
        <v/>
      </c>
      <c r="J303" s="57" t="str">
        <f aca="false">IF($I303="","",INDEX(BookRate,298)*(1+'5. Scenarios'!$C$10)*$I303)</f>
        <v/>
      </c>
      <c r="K303" s="57" t="str">
        <f aca="false">IF($J303="","",SUMIFS($J$6:$J$2405,$A$6:$A$2405,"&lt;="&amp;$A303))</f>
        <v/>
      </c>
      <c r="L303" s="57" t="str">
        <f aca="false">IF($J303="","",IF($K303&lt;=BankCostEnvelope*'5. Scenarios'!$C$7,1,0))</f>
        <v/>
      </c>
      <c r="M303" s="57" t="str">
        <f aca="false">IF($I303="","",INDEX(BookRate,298)*(1+'5. Scenarios'!$C$10)*(INDEX(BookQ1,298)*(5-MIN(4,1+'5. Scenarios'!$C$8))/4+INDEX(BookQ2,298)*(5-MIN(4,2+'5. Scenarios'!$C$8))/4+INDEX(BookQ3,298)*(5-MIN(4,3+'5. Scenarios'!$C$8))/4+INDEX(BookQ4,298)*(5-MIN(4,4+'5. Scenarios'!$C$8))/4)*'5. Scenarios'!$C$6/(1+ProductivityDefault*('5. Scenarios'!$C$11-1))+INDEX(BookOneOff,298)*$I303)</f>
        <v/>
      </c>
      <c r="N303" s="56" t="str">
        <f aca="false">IF(INDEX(BookTitle,298)="","",INDEX(BookTotal,298)*'5. Scenarios'!$D$6/(1+ProductivityDefault*('5. Scenarios'!$D$11-1)))</f>
        <v/>
      </c>
      <c r="O303" s="57" t="str">
        <f aca="false">IF($N303="","",INDEX(BookRate,298)*(1+'5. Scenarios'!$D$10)*$N303)</f>
        <v/>
      </c>
      <c r="P303" s="57" t="str">
        <f aca="false">IF($O303="","",SUMIFS($O$6:$O$2405,$A$6:$A$2405,"&lt;="&amp;$A303))</f>
        <v/>
      </c>
      <c r="Q303" s="57" t="str">
        <f aca="false">IF($O303="","",IF($P303&lt;=BankCostEnvelope*'5. Scenarios'!$D$7,1,0))</f>
        <v/>
      </c>
      <c r="R303" s="57" t="str">
        <f aca="false">IF($N303="","",INDEX(BookRate,298)*(1+'5. Scenarios'!$D$10)*(INDEX(BookQ1,298)*(5-MIN(4,1+'5. Scenarios'!$D$8))/4+INDEX(BookQ2,298)*(5-MIN(4,2+'5. Scenarios'!$D$8))/4+INDEX(BookQ3,298)*(5-MIN(4,3+'5. Scenarios'!$D$8))/4+INDEX(BookQ4,298)*(5-MIN(4,4+'5. Scenarios'!$D$8))/4)*'5. Scenarios'!$D$6/(1+ProductivityDefault*('5. Scenarios'!$D$11-1))+INDEX(BookOneOff,298)*$N303)</f>
        <v/>
      </c>
      <c r="S303" s="56" t="str">
        <f aca="false">IF(INDEX(BookTitle,298)="","",INDEX(BookTotal,298)*'5. Scenarios'!$E$6/(1+ProductivityDefault*('5. Scenarios'!$E$11-1)))</f>
        <v/>
      </c>
      <c r="T303" s="57" t="str">
        <f aca="false">IF($S303="","",INDEX(BookRate,298)*(1+'5. Scenarios'!$E$10)*$S303)</f>
        <v/>
      </c>
      <c r="U303" s="57" t="str">
        <f aca="false">IF($T303="","",SUMIFS($T$6:$T$2405,$A$6:$A$2405,"&lt;="&amp;$A303))</f>
        <v/>
      </c>
      <c r="V303" s="57" t="str">
        <f aca="false">IF($T303="","",IF($U303&lt;=BankCostEnvelope*'5. Scenarios'!$E$7,1,0))</f>
        <v/>
      </c>
      <c r="W303" s="57" t="str">
        <f aca="false">IF($S303="","",INDEX(BookRate,298)*(1+'5. Scenarios'!$E$10)*(INDEX(BookQ1,298)*(5-MIN(4,1+'5. Scenarios'!$E$8))/4+INDEX(BookQ2,298)*(5-MIN(4,2+'5. Scenarios'!$E$8))/4+INDEX(BookQ3,298)*(5-MIN(4,3+'5. Scenarios'!$E$8))/4+INDEX(BookQ4,298)*(5-MIN(4,4+'5. Scenarios'!$E$8))/4)*'5. Scenarios'!$E$6/(1+ProductivityDefault*('5. Scenarios'!$E$11-1))+INDEX(BookOneOff,298)*$S303)</f>
        <v/>
      </c>
    </row>
    <row r="304" customFormat="false" ht="15" hidden="false" customHeight="false" outlineLevel="0" collapsed="false">
      <c r="A304" s="0" t="str">
        <f aca="false">IF(INDEX(BookTitle,299)="","",INDEX(BookKey,299))</f>
        <v/>
      </c>
      <c r="B304" s="0" t="str">
        <f aca="false">IF(INDEX(BookTitle,299)="","",INDEX(BookGroup,299))</f>
        <v/>
      </c>
      <c r="C304" s="0" t="str">
        <f aca="false">IF(INDEX(BookTitle,299)="","",INDEX(BookCategory,299))</f>
        <v/>
      </c>
      <c r="D304" s="56" t="str">
        <f aca="false">IF(INDEX(BookTitle,299)="","",INDEX(BookTotal,299)*'5. Scenarios'!$B$6/(1+ProductivityDefault*('5. Scenarios'!$B$11-1)))</f>
        <v/>
      </c>
      <c r="E304" s="57" t="str">
        <f aca="false">IF($D304="","",INDEX(BookRate,299)*(1+'5. Scenarios'!$B$10)*$D304)</f>
        <v/>
      </c>
      <c r="F304" s="57" t="str">
        <f aca="false">IF($E304="","",SUMIFS($E$6:$E$2405,$A$6:$A$2405,"&lt;="&amp;$A304))</f>
        <v/>
      </c>
      <c r="G304" s="57" t="str">
        <f aca="false">IF($E304="","",IF($F304&lt;=BankCostEnvelope*'5. Scenarios'!$B$7,1,0))</f>
        <v/>
      </c>
      <c r="H304" s="57" t="str">
        <f aca="false">IF($D304="","",INDEX(BookRate,299)*(1+'5. Scenarios'!$B$10)*(INDEX(BookQ1,299)*(5-MIN(4,1+'5. Scenarios'!$B$8))/4+INDEX(BookQ2,299)*(5-MIN(4,2+'5. Scenarios'!$B$8))/4+INDEX(BookQ3,299)*(5-MIN(4,3+'5. Scenarios'!$B$8))/4+INDEX(BookQ4,299)*(5-MIN(4,4+'5. Scenarios'!$B$8))/4)*'5. Scenarios'!$B$6/(1+ProductivityDefault*('5. Scenarios'!$B$11-1))+INDEX(BookOneOff,299)*$D304)</f>
        <v/>
      </c>
      <c r="I304" s="56" t="str">
        <f aca="false">IF(INDEX(BookTitle,299)="","",INDEX(BookTotal,299)*'5. Scenarios'!$C$6/(1+ProductivityDefault*('5. Scenarios'!$C$11-1)))</f>
        <v/>
      </c>
      <c r="J304" s="57" t="str">
        <f aca="false">IF($I304="","",INDEX(BookRate,299)*(1+'5. Scenarios'!$C$10)*$I304)</f>
        <v/>
      </c>
      <c r="K304" s="57" t="str">
        <f aca="false">IF($J304="","",SUMIFS($J$6:$J$2405,$A$6:$A$2405,"&lt;="&amp;$A304))</f>
        <v/>
      </c>
      <c r="L304" s="57" t="str">
        <f aca="false">IF($J304="","",IF($K304&lt;=BankCostEnvelope*'5. Scenarios'!$C$7,1,0))</f>
        <v/>
      </c>
      <c r="M304" s="57" t="str">
        <f aca="false">IF($I304="","",INDEX(BookRate,299)*(1+'5. Scenarios'!$C$10)*(INDEX(BookQ1,299)*(5-MIN(4,1+'5. Scenarios'!$C$8))/4+INDEX(BookQ2,299)*(5-MIN(4,2+'5. Scenarios'!$C$8))/4+INDEX(BookQ3,299)*(5-MIN(4,3+'5. Scenarios'!$C$8))/4+INDEX(BookQ4,299)*(5-MIN(4,4+'5. Scenarios'!$C$8))/4)*'5. Scenarios'!$C$6/(1+ProductivityDefault*('5. Scenarios'!$C$11-1))+INDEX(BookOneOff,299)*$I304)</f>
        <v/>
      </c>
      <c r="N304" s="56" t="str">
        <f aca="false">IF(INDEX(BookTitle,299)="","",INDEX(BookTotal,299)*'5. Scenarios'!$D$6/(1+ProductivityDefault*('5. Scenarios'!$D$11-1)))</f>
        <v/>
      </c>
      <c r="O304" s="57" t="str">
        <f aca="false">IF($N304="","",INDEX(BookRate,299)*(1+'5. Scenarios'!$D$10)*$N304)</f>
        <v/>
      </c>
      <c r="P304" s="57" t="str">
        <f aca="false">IF($O304="","",SUMIFS($O$6:$O$2405,$A$6:$A$2405,"&lt;="&amp;$A304))</f>
        <v/>
      </c>
      <c r="Q304" s="57" t="str">
        <f aca="false">IF($O304="","",IF($P304&lt;=BankCostEnvelope*'5. Scenarios'!$D$7,1,0))</f>
        <v/>
      </c>
      <c r="R304" s="57" t="str">
        <f aca="false">IF($N304="","",INDEX(BookRate,299)*(1+'5. Scenarios'!$D$10)*(INDEX(BookQ1,299)*(5-MIN(4,1+'5. Scenarios'!$D$8))/4+INDEX(BookQ2,299)*(5-MIN(4,2+'5. Scenarios'!$D$8))/4+INDEX(BookQ3,299)*(5-MIN(4,3+'5. Scenarios'!$D$8))/4+INDEX(BookQ4,299)*(5-MIN(4,4+'5. Scenarios'!$D$8))/4)*'5. Scenarios'!$D$6/(1+ProductivityDefault*('5. Scenarios'!$D$11-1))+INDEX(BookOneOff,299)*$N304)</f>
        <v/>
      </c>
      <c r="S304" s="56" t="str">
        <f aca="false">IF(INDEX(BookTitle,299)="","",INDEX(BookTotal,299)*'5. Scenarios'!$E$6/(1+ProductivityDefault*('5. Scenarios'!$E$11-1)))</f>
        <v/>
      </c>
      <c r="T304" s="57" t="str">
        <f aca="false">IF($S304="","",INDEX(BookRate,299)*(1+'5. Scenarios'!$E$10)*$S304)</f>
        <v/>
      </c>
      <c r="U304" s="57" t="str">
        <f aca="false">IF($T304="","",SUMIFS($T$6:$T$2405,$A$6:$A$2405,"&lt;="&amp;$A304))</f>
        <v/>
      </c>
      <c r="V304" s="57" t="str">
        <f aca="false">IF($T304="","",IF($U304&lt;=BankCostEnvelope*'5. Scenarios'!$E$7,1,0))</f>
        <v/>
      </c>
      <c r="W304" s="57" t="str">
        <f aca="false">IF($S304="","",INDEX(BookRate,299)*(1+'5. Scenarios'!$E$10)*(INDEX(BookQ1,299)*(5-MIN(4,1+'5. Scenarios'!$E$8))/4+INDEX(BookQ2,299)*(5-MIN(4,2+'5. Scenarios'!$E$8))/4+INDEX(BookQ3,299)*(5-MIN(4,3+'5. Scenarios'!$E$8))/4+INDEX(BookQ4,299)*(5-MIN(4,4+'5. Scenarios'!$E$8))/4)*'5. Scenarios'!$E$6/(1+ProductivityDefault*('5. Scenarios'!$E$11-1))+INDEX(BookOneOff,299)*$S304)</f>
        <v/>
      </c>
    </row>
    <row r="305" customFormat="false" ht="15" hidden="false" customHeight="false" outlineLevel="0" collapsed="false">
      <c r="A305" s="0" t="str">
        <f aca="false">IF(INDEX(BookTitle,300)="","",INDEX(BookKey,300))</f>
        <v/>
      </c>
      <c r="B305" s="0" t="str">
        <f aca="false">IF(INDEX(BookTitle,300)="","",INDEX(BookGroup,300))</f>
        <v/>
      </c>
      <c r="C305" s="0" t="str">
        <f aca="false">IF(INDEX(BookTitle,300)="","",INDEX(BookCategory,300))</f>
        <v/>
      </c>
      <c r="D305" s="56" t="str">
        <f aca="false">IF(INDEX(BookTitle,300)="","",INDEX(BookTotal,300)*'5. Scenarios'!$B$6/(1+ProductivityDefault*('5. Scenarios'!$B$11-1)))</f>
        <v/>
      </c>
      <c r="E305" s="57" t="str">
        <f aca="false">IF($D305="","",INDEX(BookRate,300)*(1+'5. Scenarios'!$B$10)*$D305)</f>
        <v/>
      </c>
      <c r="F305" s="57" t="str">
        <f aca="false">IF($E305="","",SUMIFS($E$6:$E$2405,$A$6:$A$2405,"&lt;="&amp;$A305))</f>
        <v/>
      </c>
      <c r="G305" s="57" t="str">
        <f aca="false">IF($E305="","",IF($F305&lt;=BankCostEnvelope*'5. Scenarios'!$B$7,1,0))</f>
        <v/>
      </c>
      <c r="H305" s="57" t="str">
        <f aca="false">IF($D305="","",INDEX(BookRate,300)*(1+'5. Scenarios'!$B$10)*(INDEX(BookQ1,300)*(5-MIN(4,1+'5. Scenarios'!$B$8))/4+INDEX(BookQ2,300)*(5-MIN(4,2+'5. Scenarios'!$B$8))/4+INDEX(BookQ3,300)*(5-MIN(4,3+'5. Scenarios'!$B$8))/4+INDEX(BookQ4,300)*(5-MIN(4,4+'5. Scenarios'!$B$8))/4)*'5. Scenarios'!$B$6/(1+ProductivityDefault*('5. Scenarios'!$B$11-1))+INDEX(BookOneOff,300)*$D305)</f>
        <v/>
      </c>
      <c r="I305" s="56" t="str">
        <f aca="false">IF(INDEX(BookTitle,300)="","",INDEX(BookTotal,300)*'5. Scenarios'!$C$6/(1+ProductivityDefault*('5. Scenarios'!$C$11-1)))</f>
        <v/>
      </c>
      <c r="J305" s="57" t="str">
        <f aca="false">IF($I305="","",INDEX(BookRate,300)*(1+'5. Scenarios'!$C$10)*$I305)</f>
        <v/>
      </c>
      <c r="K305" s="57" t="str">
        <f aca="false">IF($J305="","",SUMIFS($J$6:$J$2405,$A$6:$A$2405,"&lt;="&amp;$A305))</f>
        <v/>
      </c>
      <c r="L305" s="57" t="str">
        <f aca="false">IF($J305="","",IF($K305&lt;=BankCostEnvelope*'5. Scenarios'!$C$7,1,0))</f>
        <v/>
      </c>
      <c r="M305" s="57" t="str">
        <f aca="false">IF($I305="","",INDEX(BookRate,300)*(1+'5. Scenarios'!$C$10)*(INDEX(BookQ1,300)*(5-MIN(4,1+'5. Scenarios'!$C$8))/4+INDEX(BookQ2,300)*(5-MIN(4,2+'5. Scenarios'!$C$8))/4+INDEX(BookQ3,300)*(5-MIN(4,3+'5. Scenarios'!$C$8))/4+INDEX(BookQ4,300)*(5-MIN(4,4+'5. Scenarios'!$C$8))/4)*'5. Scenarios'!$C$6/(1+ProductivityDefault*('5. Scenarios'!$C$11-1))+INDEX(BookOneOff,300)*$I305)</f>
        <v/>
      </c>
      <c r="N305" s="56" t="str">
        <f aca="false">IF(INDEX(BookTitle,300)="","",INDEX(BookTotal,300)*'5. Scenarios'!$D$6/(1+ProductivityDefault*('5. Scenarios'!$D$11-1)))</f>
        <v/>
      </c>
      <c r="O305" s="57" t="str">
        <f aca="false">IF($N305="","",INDEX(BookRate,300)*(1+'5. Scenarios'!$D$10)*$N305)</f>
        <v/>
      </c>
      <c r="P305" s="57" t="str">
        <f aca="false">IF($O305="","",SUMIFS($O$6:$O$2405,$A$6:$A$2405,"&lt;="&amp;$A305))</f>
        <v/>
      </c>
      <c r="Q305" s="57" t="str">
        <f aca="false">IF($O305="","",IF($P305&lt;=BankCostEnvelope*'5. Scenarios'!$D$7,1,0))</f>
        <v/>
      </c>
      <c r="R305" s="57" t="str">
        <f aca="false">IF($N305="","",INDEX(BookRate,300)*(1+'5. Scenarios'!$D$10)*(INDEX(BookQ1,300)*(5-MIN(4,1+'5. Scenarios'!$D$8))/4+INDEX(BookQ2,300)*(5-MIN(4,2+'5. Scenarios'!$D$8))/4+INDEX(BookQ3,300)*(5-MIN(4,3+'5. Scenarios'!$D$8))/4+INDEX(BookQ4,300)*(5-MIN(4,4+'5. Scenarios'!$D$8))/4)*'5. Scenarios'!$D$6/(1+ProductivityDefault*('5. Scenarios'!$D$11-1))+INDEX(BookOneOff,300)*$N305)</f>
        <v/>
      </c>
      <c r="S305" s="56" t="str">
        <f aca="false">IF(INDEX(BookTitle,300)="","",INDEX(BookTotal,300)*'5. Scenarios'!$E$6/(1+ProductivityDefault*('5. Scenarios'!$E$11-1)))</f>
        <v/>
      </c>
      <c r="T305" s="57" t="str">
        <f aca="false">IF($S305="","",INDEX(BookRate,300)*(1+'5. Scenarios'!$E$10)*$S305)</f>
        <v/>
      </c>
      <c r="U305" s="57" t="str">
        <f aca="false">IF($T305="","",SUMIFS($T$6:$T$2405,$A$6:$A$2405,"&lt;="&amp;$A305))</f>
        <v/>
      </c>
      <c r="V305" s="57" t="str">
        <f aca="false">IF($T305="","",IF($U305&lt;=BankCostEnvelope*'5. Scenarios'!$E$7,1,0))</f>
        <v/>
      </c>
      <c r="W305" s="57" t="str">
        <f aca="false">IF($S305="","",INDEX(BookRate,300)*(1+'5. Scenarios'!$E$10)*(INDEX(BookQ1,300)*(5-MIN(4,1+'5. Scenarios'!$E$8))/4+INDEX(BookQ2,300)*(5-MIN(4,2+'5. Scenarios'!$E$8))/4+INDEX(BookQ3,300)*(5-MIN(4,3+'5. Scenarios'!$E$8))/4+INDEX(BookQ4,300)*(5-MIN(4,4+'5. Scenarios'!$E$8))/4)*'5. Scenarios'!$E$6/(1+ProductivityDefault*('5. Scenarios'!$E$11-1))+INDEX(BookOneOff,300)*$S305)</f>
        <v/>
      </c>
    </row>
    <row r="306" customFormat="false" ht="15" hidden="false" customHeight="false" outlineLevel="0" collapsed="false">
      <c r="A306" s="0" t="str">
        <f aca="false">IF(INDEX(BookTitle,301)="","",INDEX(BookKey,301))</f>
        <v/>
      </c>
      <c r="B306" s="0" t="str">
        <f aca="false">IF(INDEX(BookTitle,301)="","",INDEX(BookGroup,301))</f>
        <v/>
      </c>
      <c r="C306" s="0" t="str">
        <f aca="false">IF(INDEX(BookTitle,301)="","",INDEX(BookCategory,301))</f>
        <v/>
      </c>
      <c r="D306" s="56" t="str">
        <f aca="false">IF(INDEX(BookTitle,301)="","",INDEX(BookTotal,301)*'5. Scenarios'!$B$6/(1+ProductivityDefault*('5. Scenarios'!$B$11-1)))</f>
        <v/>
      </c>
      <c r="E306" s="57" t="str">
        <f aca="false">IF($D306="","",INDEX(BookRate,301)*(1+'5. Scenarios'!$B$10)*$D306)</f>
        <v/>
      </c>
      <c r="F306" s="57" t="str">
        <f aca="false">IF($E306="","",SUMIFS($E$6:$E$2405,$A$6:$A$2405,"&lt;="&amp;$A306))</f>
        <v/>
      </c>
      <c r="G306" s="57" t="str">
        <f aca="false">IF($E306="","",IF($F306&lt;=BankCostEnvelope*'5. Scenarios'!$B$7,1,0))</f>
        <v/>
      </c>
      <c r="H306" s="57" t="str">
        <f aca="false">IF($D306="","",INDEX(BookRate,301)*(1+'5. Scenarios'!$B$10)*(INDEX(BookQ1,301)*(5-MIN(4,1+'5. Scenarios'!$B$8))/4+INDEX(BookQ2,301)*(5-MIN(4,2+'5. Scenarios'!$B$8))/4+INDEX(BookQ3,301)*(5-MIN(4,3+'5. Scenarios'!$B$8))/4+INDEX(BookQ4,301)*(5-MIN(4,4+'5. Scenarios'!$B$8))/4)*'5. Scenarios'!$B$6/(1+ProductivityDefault*('5. Scenarios'!$B$11-1))+INDEX(BookOneOff,301)*$D306)</f>
        <v/>
      </c>
      <c r="I306" s="56" t="str">
        <f aca="false">IF(INDEX(BookTitle,301)="","",INDEX(BookTotal,301)*'5. Scenarios'!$C$6/(1+ProductivityDefault*('5. Scenarios'!$C$11-1)))</f>
        <v/>
      </c>
      <c r="J306" s="57" t="str">
        <f aca="false">IF($I306="","",INDEX(BookRate,301)*(1+'5. Scenarios'!$C$10)*$I306)</f>
        <v/>
      </c>
      <c r="K306" s="57" t="str">
        <f aca="false">IF($J306="","",SUMIFS($J$6:$J$2405,$A$6:$A$2405,"&lt;="&amp;$A306))</f>
        <v/>
      </c>
      <c r="L306" s="57" t="str">
        <f aca="false">IF($J306="","",IF($K306&lt;=BankCostEnvelope*'5. Scenarios'!$C$7,1,0))</f>
        <v/>
      </c>
      <c r="M306" s="57" t="str">
        <f aca="false">IF($I306="","",INDEX(BookRate,301)*(1+'5. Scenarios'!$C$10)*(INDEX(BookQ1,301)*(5-MIN(4,1+'5. Scenarios'!$C$8))/4+INDEX(BookQ2,301)*(5-MIN(4,2+'5. Scenarios'!$C$8))/4+INDEX(BookQ3,301)*(5-MIN(4,3+'5. Scenarios'!$C$8))/4+INDEX(BookQ4,301)*(5-MIN(4,4+'5. Scenarios'!$C$8))/4)*'5. Scenarios'!$C$6/(1+ProductivityDefault*('5. Scenarios'!$C$11-1))+INDEX(BookOneOff,301)*$I306)</f>
        <v/>
      </c>
      <c r="N306" s="56" t="str">
        <f aca="false">IF(INDEX(BookTitle,301)="","",INDEX(BookTotal,301)*'5. Scenarios'!$D$6/(1+ProductivityDefault*('5. Scenarios'!$D$11-1)))</f>
        <v/>
      </c>
      <c r="O306" s="57" t="str">
        <f aca="false">IF($N306="","",INDEX(BookRate,301)*(1+'5. Scenarios'!$D$10)*$N306)</f>
        <v/>
      </c>
      <c r="P306" s="57" t="str">
        <f aca="false">IF($O306="","",SUMIFS($O$6:$O$2405,$A$6:$A$2405,"&lt;="&amp;$A306))</f>
        <v/>
      </c>
      <c r="Q306" s="57" t="str">
        <f aca="false">IF($O306="","",IF($P306&lt;=BankCostEnvelope*'5. Scenarios'!$D$7,1,0))</f>
        <v/>
      </c>
      <c r="R306" s="57" t="str">
        <f aca="false">IF($N306="","",INDEX(BookRate,301)*(1+'5. Scenarios'!$D$10)*(INDEX(BookQ1,301)*(5-MIN(4,1+'5. Scenarios'!$D$8))/4+INDEX(BookQ2,301)*(5-MIN(4,2+'5. Scenarios'!$D$8))/4+INDEX(BookQ3,301)*(5-MIN(4,3+'5. Scenarios'!$D$8))/4+INDEX(BookQ4,301)*(5-MIN(4,4+'5. Scenarios'!$D$8))/4)*'5. Scenarios'!$D$6/(1+ProductivityDefault*('5. Scenarios'!$D$11-1))+INDEX(BookOneOff,301)*$N306)</f>
        <v/>
      </c>
      <c r="S306" s="56" t="str">
        <f aca="false">IF(INDEX(BookTitle,301)="","",INDEX(BookTotal,301)*'5. Scenarios'!$E$6/(1+ProductivityDefault*('5. Scenarios'!$E$11-1)))</f>
        <v/>
      </c>
      <c r="T306" s="57" t="str">
        <f aca="false">IF($S306="","",INDEX(BookRate,301)*(1+'5. Scenarios'!$E$10)*$S306)</f>
        <v/>
      </c>
      <c r="U306" s="57" t="str">
        <f aca="false">IF($T306="","",SUMIFS($T$6:$T$2405,$A$6:$A$2405,"&lt;="&amp;$A306))</f>
        <v/>
      </c>
      <c r="V306" s="57" t="str">
        <f aca="false">IF($T306="","",IF($U306&lt;=BankCostEnvelope*'5. Scenarios'!$E$7,1,0))</f>
        <v/>
      </c>
      <c r="W306" s="57" t="str">
        <f aca="false">IF($S306="","",INDEX(BookRate,301)*(1+'5. Scenarios'!$E$10)*(INDEX(BookQ1,301)*(5-MIN(4,1+'5. Scenarios'!$E$8))/4+INDEX(BookQ2,301)*(5-MIN(4,2+'5. Scenarios'!$E$8))/4+INDEX(BookQ3,301)*(5-MIN(4,3+'5. Scenarios'!$E$8))/4+INDEX(BookQ4,301)*(5-MIN(4,4+'5. Scenarios'!$E$8))/4)*'5. Scenarios'!$E$6/(1+ProductivityDefault*('5. Scenarios'!$E$11-1))+INDEX(BookOneOff,301)*$S306)</f>
        <v/>
      </c>
    </row>
    <row r="307" customFormat="false" ht="15" hidden="false" customHeight="false" outlineLevel="0" collapsed="false">
      <c r="A307" s="0" t="str">
        <f aca="false">IF(INDEX(BookTitle,302)="","",INDEX(BookKey,302))</f>
        <v/>
      </c>
      <c r="B307" s="0" t="str">
        <f aca="false">IF(INDEX(BookTitle,302)="","",INDEX(BookGroup,302))</f>
        <v/>
      </c>
      <c r="C307" s="0" t="str">
        <f aca="false">IF(INDEX(BookTitle,302)="","",INDEX(BookCategory,302))</f>
        <v/>
      </c>
      <c r="D307" s="56" t="str">
        <f aca="false">IF(INDEX(BookTitle,302)="","",INDEX(BookTotal,302)*'5. Scenarios'!$B$6/(1+ProductivityDefault*('5. Scenarios'!$B$11-1)))</f>
        <v/>
      </c>
      <c r="E307" s="57" t="str">
        <f aca="false">IF($D307="","",INDEX(BookRate,302)*(1+'5. Scenarios'!$B$10)*$D307)</f>
        <v/>
      </c>
      <c r="F307" s="57" t="str">
        <f aca="false">IF($E307="","",SUMIFS($E$6:$E$2405,$A$6:$A$2405,"&lt;="&amp;$A307))</f>
        <v/>
      </c>
      <c r="G307" s="57" t="str">
        <f aca="false">IF($E307="","",IF($F307&lt;=BankCostEnvelope*'5. Scenarios'!$B$7,1,0))</f>
        <v/>
      </c>
      <c r="H307" s="57" t="str">
        <f aca="false">IF($D307="","",INDEX(BookRate,302)*(1+'5. Scenarios'!$B$10)*(INDEX(BookQ1,302)*(5-MIN(4,1+'5. Scenarios'!$B$8))/4+INDEX(BookQ2,302)*(5-MIN(4,2+'5. Scenarios'!$B$8))/4+INDEX(BookQ3,302)*(5-MIN(4,3+'5. Scenarios'!$B$8))/4+INDEX(BookQ4,302)*(5-MIN(4,4+'5. Scenarios'!$B$8))/4)*'5. Scenarios'!$B$6/(1+ProductivityDefault*('5. Scenarios'!$B$11-1))+INDEX(BookOneOff,302)*$D307)</f>
        <v/>
      </c>
      <c r="I307" s="56" t="str">
        <f aca="false">IF(INDEX(BookTitle,302)="","",INDEX(BookTotal,302)*'5. Scenarios'!$C$6/(1+ProductivityDefault*('5. Scenarios'!$C$11-1)))</f>
        <v/>
      </c>
      <c r="J307" s="57" t="str">
        <f aca="false">IF($I307="","",INDEX(BookRate,302)*(1+'5. Scenarios'!$C$10)*$I307)</f>
        <v/>
      </c>
      <c r="K307" s="57" t="str">
        <f aca="false">IF($J307="","",SUMIFS($J$6:$J$2405,$A$6:$A$2405,"&lt;="&amp;$A307))</f>
        <v/>
      </c>
      <c r="L307" s="57" t="str">
        <f aca="false">IF($J307="","",IF($K307&lt;=BankCostEnvelope*'5. Scenarios'!$C$7,1,0))</f>
        <v/>
      </c>
      <c r="M307" s="57" t="str">
        <f aca="false">IF($I307="","",INDEX(BookRate,302)*(1+'5. Scenarios'!$C$10)*(INDEX(BookQ1,302)*(5-MIN(4,1+'5. Scenarios'!$C$8))/4+INDEX(BookQ2,302)*(5-MIN(4,2+'5. Scenarios'!$C$8))/4+INDEX(BookQ3,302)*(5-MIN(4,3+'5. Scenarios'!$C$8))/4+INDEX(BookQ4,302)*(5-MIN(4,4+'5. Scenarios'!$C$8))/4)*'5. Scenarios'!$C$6/(1+ProductivityDefault*('5. Scenarios'!$C$11-1))+INDEX(BookOneOff,302)*$I307)</f>
        <v/>
      </c>
      <c r="N307" s="56" t="str">
        <f aca="false">IF(INDEX(BookTitle,302)="","",INDEX(BookTotal,302)*'5. Scenarios'!$D$6/(1+ProductivityDefault*('5. Scenarios'!$D$11-1)))</f>
        <v/>
      </c>
      <c r="O307" s="57" t="str">
        <f aca="false">IF($N307="","",INDEX(BookRate,302)*(1+'5. Scenarios'!$D$10)*$N307)</f>
        <v/>
      </c>
      <c r="P307" s="57" t="str">
        <f aca="false">IF($O307="","",SUMIFS($O$6:$O$2405,$A$6:$A$2405,"&lt;="&amp;$A307))</f>
        <v/>
      </c>
      <c r="Q307" s="57" t="str">
        <f aca="false">IF($O307="","",IF($P307&lt;=BankCostEnvelope*'5. Scenarios'!$D$7,1,0))</f>
        <v/>
      </c>
      <c r="R307" s="57" t="str">
        <f aca="false">IF($N307="","",INDEX(BookRate,302)*(1+'5. Scenarios'!$D$10)*(INDEX(BookQ1,302)*(5-MIN(4,1+'5. Scenarios'!$D$8))/4+INDEX(BookQ2,302)*(5-MIN(4,2+'5. Scenarios'!$D$8))/4+INDEX(BookQ3,302)*(5-MIN(4,3+'5. Scenarios'!$D$8))/4+INDEX(BookQ4,302)*(5-MIN(4,4+'5. Scenarios'!$D$8))/4)*'5. Scenarios'!$D$6/(1+ProductivityDefault*('5. Scenarios'!$D$11-1))+INDEX(BookOneOff,302)*$N307)</f>
        <v/>
      </c>
      <c r="S307" s="56" t="str">
        <f aca="false">IF(INDEX(BookTitle,302)="","",INDEX(BookTotal,302)*'5. Scenarios'!$E$6/(1+ProductivityDefault*('5. Scenarios'!$E$11-1)))</f>
        <v/>
      </c>
      <c r="T307" s="57" t="str">
        <f aca="false">IF($S307="","",INDEX(BookRate,302)*(1+'5. Scenarios'!$E$10)*$S307)</f>
        <v/>
      </c>
      <c r="U307" s="57" t="str">
        <f aca="false">IF($T307="","",SUMIFS($T$6:$T$2405,$A$6:$A$2405,"&lt;="&amp;$A307))</f>
        <v/>
      </c>
      <c r="V307" s="57" t="str">
        <f aca="false">IF($T307="","",IF($U307&lt;=BankCostEnvelope*'5. Scenarios'!$E$7,1,0))</f>
        <v/>
      </c>
      <c r="W307" s="57" t="str">
        <f aca="false">IF($S307="","",INDEX(BookRate,302)*(1+'5. Scenarios'!$E$10)*(INDEX(BookQ1,302)*(5-MIN(4,1+'5. Scenarios'!$E$8))/4+INDEX(BookQ2,302)*(5-MIN(4,2+'5. Scenarios'!$E$8))/4+INDEX(BookQ3,302)*(5-MIN(4,3+'5. Scenarios'!$E$8))/4+INDEX(BookQ4,302)*(5-MIN(4,4+'5. Scenarios'!$E$8))/4)*'5. Scenarios'!$E$6/(1+ProductivityDefault*('5. Scenarios'!$E$11-1))+INDEX(BookOneOff,302)*$S307)</f>
        <v/>
      </c>
    </row>
    <row r="308" customFormat="false" ht="15" hidden="false" customHeight="false" outlineLevel="0" collapsed="false">
      <c r="A308" s="0" t="str">
        <f aca="false">IF(INDEX(BookTitle,303)="","",INDEX(BookKey,303))</f>
        <v/>
      </c>
      <c r="B308" s="0" t="str">
        <f aca="false">IF(INDEX(BookTitle,303)="","",INDEX(BookGroup,303))</f>
        <v/>
      </c>
      <c r="C308" s="0" t="str">
        <f aca="false">IF(INDEX(BookTitle,303)="","",INDEX(BookCategory,303))</f>
        <v/>
      </c>
      <c r="D308" s="56" t="str">
        <f aca="false">IF(INDEX(BookTitle,303)="","",INDEX(BookTotal,303)*'5. Scenarios'!$B$6/(1+ProductivityDefault*('5. Scenarios'!$B$11-1)))</f>
        <v/>
      </c>
      <c r="E308" s="57" t="str">
        <f aca="false">IF($D308="","",INDEX(BookRate,303)*(1+'5. Scenarios'!$B$10)*$D308)</f>
        <v/>
      </c>
      <c r="F308" s="57" t="str">
        <f aca="false">IF($E308="","",SUMIFS($E$6:$E$2405,$A$6:$A$2405,"&lt;="&amp;$A308))</f>
        <v/>
      </c>
      <c r="G308" s="57" t="str">
        <f aca="false">IF($E308="","",IF($F308&lt;=BankCostEnvelope*'5. Scenarios'!$B$7,1,0))</f>
        <v/>
      </c>
      <c r="H308" s="57" t="str">
        <f aca="false">IF($D308="","",INDEX(BookRate,303)*(1+'5. Scenarios'!$B$10)*(INDEX(BookQ1,303)*(5-MIN(4,1+'5. Scenarios'!$B$8))/4+INDEX(BookQ2,303)*(5-MIN(4,2+'5. Scenarios'!$B$8))/4+INDEX(BookQ3,303)*(5-MIN(4,3+'5. Scenarios'!$B$8))/4+INDEX(BookQ4,303)*(5-MIN(4,4+'5. Scenarios'!$B$8))/4)*'5. Scenarios'!$B$6/(1+ProductivityDefault*('5. Scenarios'!$B$11-1))+INDEX(BookOneOff,303)*$D308)</f>
        <v/>
      </c>
      <c r="I308" s="56" t="str">
        <f aca="false">IF(INDEX(BookTitle,303)="","",INDEX(BookTotal,303)*'5. Scenarios'!$C$6/(1+ProductivityDefault*('5. Scenarios'!$C$11-1)))</f>
        <v/>
      </c>
      <c r="J308" s="57" t="str">
        <f aca="false">IF($I308="","",INDEX(BookRate,303)*(1+'5. Scenarios'!$C$10)*$I308)</f>
        <v/>
      </c>
      <c r="K308" s="57" t="str">
        <f aca="false">IF($J308="","",SUMIFS($J$6:$J$2405,$A$6:$A$2405,"&lt;="&amp;$A308))</f>
        <v/>
      </c>
      <c r="L308" s="57" t="str">
        <f aca="false">IF($J308="","",IF($K308&lt;=BankCostEnvelope*'5. Scenarios'!$C$7,1,0))</f>
        <v/>
      </c>
      <c r="M308" s="57" t="str">
        <f aca="false">IF($I308="","",INDEX(BookRate,303)*(1+'5. Scenarios'!$C$10)*(INDEX(BookQ1,303)*(5-MIN(4,1+'5. Scenarios'!$C$8))/4+INDEX(BookQ2,303)*(5-MIN(4,2+'5. Scenarios'!$C$8))/4+INDEX(BookQ3,303)*(5-MIN(4,3+'5. Scenarios'!$C$8))/4+INDEX(BookQ4,303)*(5-MIN(4,4+'5. Scenarios'!$C$8))/4)*'5. Scenarios'!$C$6/(1+ProductivityDefault*('5. Scenarios'!$C$11-1))+INDEX(BookOneOff,303)*$I308)</f>
        <v/>
      </c>
      <c r="N308" s="56" t="str">
        <f aca="false">IF(INDEX(BookTitle,303)="","",INDEX(BookTotal,303)*'5. Scenarios'!$D$6/(1+ProductivityDefault*('5. Scenarios'!$D$11-1)))</f>
        <v/>
      </c>
      <c r="O308" s="57" t="str">
        <f aca="false">IF($N308="","",INDEX(BookRate,303)*(1+'5. Scenarios'!$D$10)*$N308)</f>
        <v/>
      </c>
      <c r="P308" s="57" t="str">
        <f aca="false">IF($O308="","",SUMIFS($O$6:$O$2405,$A$6:$A$2405,"&lt;="&amp;$A308))</f>
        <v/>
      </c>
      <c r="Q308" s="57" t="str">
        <f aca="false">IF($O308="","",IF($P308&lt;=BankCostEnvelope*'5. Scenarios'!$D$7,1,0))</f>
        <v/>
      </c>
      <c r="R308" s="57" t="str">
        <f aca="false">IF($N308="","",INDEX(BookRate,303)*(1+'5. Scenarios'!$D$10)*(INDEX(BookQ1,303)*(5-MIN(4,1+'5. Scenarios'!$D$8))/4+INDEX(BookQ2,303)*(5-MIN(4,2+'5. Scenarios'!$D$8))/4+INDEX(BookQ3,303)*(5-MIN(4,3+'5. Scenarios'!$D$8))/4+INDEX(BookQ4,303)*(5-MIN(4,4+'5. Scenarios'!$D$8))/4)*'5. Scenarios'!$D$6/(1+ProductivityDefault*('5. Scenarios'!$D$11-1))+INDEX(BookOneOff,303)*$N308)</f>
        <v/>
      </c>
      <c r="S308" s="56" t="str">
        <f aca="false">IF(INDEX(BookTitle,303)="","",INDEX(BookTotal,303)*'5. Scenarios'!$E$6/(1+ProductivityDefault*('5. Scenarios'!$E$11-1)))</f>
        <v/>
      </c>
      <c r="T308" s="57" t="str">
        <f aca="false">IF($S308="","",INDEX(BookRate,303)*(1+'5. Scenarios'!$E$10)*$S308)</f>
        <v/>
      </c>
      <c r="U308" s="57" t="str">
        <f aca="false">IF($T308="","",SUMIFS($T$6:$T$2405,$A$6:$A$2405,"&lt;="&amp;$A308))</f>
        <v/>
      </c>
      <c r="V308" s="57" t="str">
        <f aca="false">IF($T308="","",IF($U308&lt;=BankCostEnvelope*'5. Scenarios'!$E$7,1,0))</f>
        <v/>
      </c>
      <c r="W308" s="57" t="str">
        <f aca="false">IF($S308="","",INDEX(BookRate,303)*(1+'5. Scenarios'!$E$10)*(INDEX(BookQ1,303)*(5-MIN(4,1+'5. Scenarios'!$E$8))/4+INDEX(BookQ2,303)*(5-MIN(4,2+'5. Scenarios'!$E$8))/4+INDEX(BookQ3,303)*(5-MIN(4,3+'5. Scenarios'!$E$8))/4+INDEX(BookQ4,303)*(5-MIN(4,4+'5. Scenarios'!$E$8))/4)*'5. Scenarios'!$E$6/(1+ProductivityDefault*('5. Scenarios'!$E$11-1))+INDEX(BookOneOff,303)*$S308)</f>
        <v/>
      </c>
    </row>
    <row r="309" customFormat="false" ht="15" hidden="false" customHeight="false" outlineLevel="0" collapsed="false">
      <c r="A309" s="0" t="str">
        <f aca="false">IF(INDEX(BookTitle,304)="","",INDEX(BookKey,304))</f>
        <v/>
      </c>
      <c r="B309" s="0" t="str">
        <f aca="false">IF(INDEX(BookTitle,304)="","",INDEX(BookGroup,304))</f>
        <v/>
      </c>
      <c r="C309" s="0" t="str">
        <f aca="false">IF(INDEX(BookTitle,304)="","",INDEX(BookCategory,304))</f>
        <v/>
      </c>
      <c r="D309" s="56" t="str">
        <f aca="false">IF(INDEX(BookTitle,304)="","",INDEX(BookTotal,304)*'5. Scenarios'!$B$6/(1+ProductivityDefault*('5. Scenarios'!$B$11-1)))</f>
        <v/>
      </c>
      <c r="E309" s="57" t="str">
        <f aca="false">IF($D309="","",INDEX(BookRate,304)*(1+'5. Scenarios'!$B$10)*$D309)</f>
        <v/>
      </c>
      <c r="F309" s="57" t="str">
        <f aca="false">IF($E309="","",SUMIFS($E$6:$E$2405,$A$6:$A$2405,"&lt;="&amp;$A309))</f>
        <v/>
      </c>
      <c r="G309" s="57" t="str">
        <f aca="false">IF($E309="","",IF($F309&lt;=BankCostEnvelope*'5. Scenarios'!$B$7,1,0))</f>
        <v/>
      </c>
      <c r="H309" s="57" t="str">
        <f aca="false">IF($D309="","",INDEX(BookRate,304)*(1+'5. Scenarios'!$B$10)*(INDEX(BookQ1,304)*(5-MIN(4,1+'5. Scenarios'!$B$8))/4+INDEX(BookQ2,304)*(5-MIN(4,2+'5. Scenarios'!$B$8))/4+INDEX(BookQ3,304)*(5-MIN(4,3+'5. Scenarios'!$B$8))/4+INDEX(BookQ4,304)*(5-MIN(4,4+'5. Scenarios'!$B$8))/4)*'5. Scenarios'!$B$6/(1+ProductivityDefault*('5. Scenarios'!$B$11-1))+INDEX(BookOneOff,304)*$D309)</f>
        <v/>
      </c>
      <c r="I309" s="56" t="str">
        <f aca="false">IF(INDEX(BookTitle,304)="","",INDEX(BookTotal,304)*'5. Scenarios'!$C$6/(1+ProductivityDefault*('5. Scenarios'!$C$11-1)))</f>
        <v/>
      </c>
      <c r="J309" s="57" t="str">
        <f aca="false">IF($I309="","",INDEX(BookRate,304)*(1+'5. Scenarios'!$C$10)*$I309)</f>
        <v/>
      </c>
      <c r="K309" s="57" t="str">
        <f aca="false">IF($J309="","",SUMIFS($J$6:$J$2405,$A$6:$A$2405,"&lt;="&amp;$A309))</f>
        <v/>
      </c>
      <c r="L309" s="57" t="str">
        <f aca="false">IF($J309="","",IF($K309&lt;=BankCostEnvelope*'5. Scenarios'!$C$7,1,0))</f>
        <v/>
      </c>
      <c r="M309" s="57" t="str">
        <f aca="false">IF($I309="","",INDEX(BookRate,304)*(1+'5. Scenarios'!$C$10)*(INDEX(BookQ1,304)*(5-MIN(4,1+'5. Scenarios'!$C$8))/4+INDEX(BookQ2,304)*(5-MIN(4,2+'5. Scenarios'!$C$8))/4+INDEX(BookQ3,304)*(5-MIN(4,3+'5. Scenarios'!$C$8))/4+INDEX(BookQ4,304)*(5-MIN(4,4+'5. Scenarios'!$C$8))/4)*'5. Scenarios'!$C$6/(1+ProductivityDefault*('5. Scenarios'!$C$11-1))+INDEX(BookOneOff,304)*$I309)</f>
        <v/>
      </c>
      <c r="N309" s="56" t="str">
        <f aca="false">IF(INDEX(BookTitle,304)="","",INDEX(BookTotal,304)*'5. Scenarios'!$D$6/(1+ProductivityDefault*('5. Scenarios'!$D$11-1)))</f>
        <v/>
      </c>
      <c r="O309" s="57" t="str">
        <f aca="false">IF($N309="","",INDEX(BookRate,304)*(1+'5. Scenarios'!$D$10)*$N309)</f>
        <v/>
      </c>
      <c r="P309" s="57" t="str">
        <f aca="false">IF($O309="","",SUMIFS($O$6:$O$2405,$A$6:$A$2405,"&lt;="&amp;$A309))</f>
        <v/>
      </c>
      <c r="Q309" s="57" t="str">
        <f aca="false">IF($O309="","",IF($P309&lt;=BankCostEnvelope*'5. Scenarios'!$D$7,1,0))</f>
        <v/>
      </c>
      <c r="R309" s="57" t="str">
        <f aca="false">IF($N309="","",INDEX(BookRate,304)*(1+'5. Scenarios'!$D$10)*(INDEX(BookQ1,304)*(5-MIN(4,1+'5. Scenarios'!$D$8))/4+INDEX(BookQ2,304)*(5-MIN(4,2+'5. Scenarios'!$D$8))/4+INDEX(BookQ3,304)*(5-MIN(4,3+'5. Scenarios'!$D$8))/4+INDEX(BookQ4,304)*(5-MIN(4,4+'5. Scenarios'!$D$8))/4)*'5. Scenarios'!$D$6/(1+ProductivityDefault*('5. Scenarios'!$D$11-1))+INDEX(BookOneOff,304)*$N309)</f>
        <v/>
      </c>
      <c r="S309" s="56" t="str">
        <f aca="false">IF(INDEX(BookTitle,304)="","",INDEX(BookTotal,304)*'5. Scenarios'!$E$6/(1+ProductivityDefault*('5. Scenarios'!$E$11-1)))</f>
        <v/>
      </c>
      <c r="T309" s="57" t="str">
        <f aca="false">IF($S309="","",INDEX(BookRate,304)*(1+'5. Scenarios'!$E$10)*$S309)</f>
        <v/>
      </c>
      <c r="U309" s="57" t="str">
        <f aca="false">IF($T309="","",SUMIFS($T$6:$T$2405,$A$6:$A$2405,"&lt;="&amp;$A309))</f>
        <v/>
      </c>
      <c r="V309" s="57" t="str">
        <f aca="false">IF($T309="","",IF($U309&lt;=BankCostEnvelope*'5. Scenarios'!$E$7,1,0))</f>
        <v/>
      </c>
      <c r="W309" s="57" t="str">
        <f aca="false">IF($S309="","",INDEX(BookRate,304)*(1+'5. Scenarios'!$E$10)*(INDEX(BookQ1,304)*(5-MIN(4,1+'5. Scenarios'!$E$8))/4+INDEX(BookQ2,304)*(5-MIN(4,2+'5. Scenarios'!$E$8))/4+INDEX(BookQ3,304)*(5-MIN(4,3+'5. Scenarios'!$E$8))/4+INDEX(BookQ4,304)*(5-MIN(4,4+'5. Scenarios'!$E$8))/4)*'5. Scenarios'!$E$6/(1+ProductivityDefault*('5. Scenarios'!$E$11-1))+INDEX(BookOneOff,304)*$S309)</f>
        <v/>
      </c>
    </row>
    <row r="310" customFormat="false" ht="15" hidden="false" customHeight="false" outlineLevel="0" collapsed="false">
      <c r="A310" s="0" t="str">
        <f aca="false">IF(INDEX(BookTitle,305)="","",INDEX(BookKey,305))</f>
        <v/>
      </c>
      <c r="B310" s="0" t="str">
        <f aca="false">IF(INDEX(BookTitle,305)="","",INDEX(BookGroup,305))</f>
        <v/>
      </c>
      <c r="C310" s="0" t="str">
        <f aca="false">IF(INDEX(BookTitle,305)="","",INDEX(BookCategory,305))</f>
        <v/>
      </c>
      <c r="D310" s="56" t="str">
        <f aca="false">IF(INDEX(BookTitle,305)="","",INDEX(BookTotal,305)*'5. Scenarios'!$B$6/(1+ProductivityDefault*('5. Scenarios'!$B$11-1)))</f>
        <v/>
      </c>
      <c r="E310" s="57" t="str">
        <f aca="false">IF($D310="","",INDEX(BookRate,305)*(1+'5. Scenarios'!$B$10)*$D310)</f>
        <v/>
      </c>
      <c r="F310" s="57" t="str">
        <f aca="false">IF($E310="","",SUMIFS($E$6:$E$2405,$A$6:$A$2405,"&lt;="&amp;$A310))</f>
        <v/>
      </c>
      <c r="G310" s="57" t="str">
        <f aca="false">IF($E310="","",IF($F310&lt;=BankCostEnvelope*'5. Scenarios'!$B$7,1,0))</f>
        <v/>
      </c>
      <c r="H310" s="57" t="str">
        <f aca="false">IF($D310="","",INDEX(BookRate,305)*(1+'5. Scenarios'!$B$10)*(INDEX(BookQ1,305)*(5-MIN(4,1+'5. Scenarios'!$B$8))/4+INDEX(BookQ2,305)*(5-MIN(4,2+'5. Scenarios'!$B$8))/4+INDEX(BookQ3,305)*(5-MIN(4,3+'5. Scenarios'!$B$8))/4+INDEX(BookQ4,305)*(5-MIN(4,4+'5. Scenarios'!$B$8))/4)*'5. Scenarios'!$B$6/(1+ProductivityDefault*('5. Scenarios'!$B$11-1))+INDEX(BookOneOff,305)*$D310)</f>
        <v/>
      </c>
      <c r="I310" s="56" t="str">
        <f aca="false">IF(INDEX(BookTitle,305)="","",INDEX(BookTotal,305)*'5. Scenarios'!$C$6/(1+ProductivityDefault*('5. Scenarios'!$C$11-1)))</f>
        <v/>
      </c>
      <c r="J310" s="57" t="str">
        <f aca="false">IF($I310="","",INDEX(BookRate,305)*(1+'5. Scenarios'!$C$10)*$I310)</f>
        <v/>
      </c>
      <c r="K310" s="57" t="str">
        <f aca="false">IF($J310="","",SUMIFS($J$6:$J$2405,$A$6:$A$2405,"&lt;="&amp;$A310))</f>
        <v/>
      </c>
      <c r="L310" s="57" t="str">
        <f aca="false">IF($J310="","",IF($K310&lt;=BankCostEnvelope*'5. Scenarios'!$C$7,1,0))</f>
        <v/>
      </c>
      <c r="M310" s="57" t="str">
        <f aca="false">IF($I310="","",INDEX(BookRate,305)*(1+'5. Scenarios'!$C$10)*(INDEX(BookQ1,305)*(5-MIN(4,1+'5. Scenarios'!$C$8))/4+INDEX(BookQ2,305)*(5-MIN(4,2+'5. Scenarios'!$C$8))/4+INDEX(BookQ3,305)*(5-MIN(4,3+'5. Scenarios'!$C$8))/4+INDEX(BookQ4,305)*(5-MIN(4,4+'5. Scenarios'!$C$8))/4)*'5. Scenarios'!$C$6/(1+ProductivityDefault*('5. Scenarios'!$C$11-1))+INDEX(BookOneOff,305)*$I310)</f>
        <v/>
      </c>
      <c r="N310" s="56" t="str">
        <f aca="false">IF(INDEX(BookTitle,305)="","",INDEX(BookTotal,305)*'5. Scenarios'!$D$6/(1+ProductivityDefault*('5. Scenarios'!$D$11-1)))</f>
        <v/>
      </c>
      <c r="O310" s="57" t="str">
        <f aca="false">IF($N310="","",INDEX(BookRate,305)*(1+'5. Scenarios'!$D$10)*$N310)</f>
        <v/>
      </c>
      <c r="P310" s="57" t="str">
        <f aca="false">IF($O310="","",SUMIFS($O$6:$O$2405,$A$6:$A$2405,"&lt;="&amp;$A310))</f>
        <v/>
      </c>
      <c r="Q310" s="57" t="str">
        <f aca="false">IF($O310="","",IF($P310&lt;=BankCostEnvelope*'5. Scenarios'!$D$7,1,0))</f>
        <v/>
      </c>
      <c r="R310" s="57" t="str">
        <f aca="false">IF($N310="","",INDEX(BookRate,305)*(1+'5. Scenarios'!$D$10)*(INDEX(BookQ1,305)*(5-MIN(4,1+'5. Scenarios'!$D$8))/4+INDEX(BookQ2,305)*(5-MIN(4,2+'5. Scenarios'!$D$8))/4+INDEX(BookQ3,305)*(5-MIN(4,3+'5. Scenarios'!$D$8))/4+INDEX(BookQ4,305)*(5-MIN(4,4+'5. Scenarios'!$D$8))/4)*'5. Scenarios'!$D$6/(1+ProductivityDefault*('5. Scenarios'!$D$11-1))+INDEX(BookOneOff,305)*$N310)</f>
        <v/>
      </c>
      <c r="S310" s="56" t="str">
        <f aca="false">IF(INDEX(BookTitle,305)="","",INDEX(BookTotal,305)*'5. Scenarios'!$E$6/(1+ProductivityDefault*('5. Scenarios'!$E$11-1)))</f>
        <v/>
      </c>
      <c r="T310" s="57" t="str">
        <f aca="false">IF($S310="","",INDEX(BookRate,305)*(1+'5. Scenarios'!$E$10)*$S310)</f>
        <v/>
      </c>
      <c r="U310" s="57" t="str">
        <f aca="false">IF($T310="","",SUMIFS($T$6:$T$2405,$A$6:$A$2405,"&lt;="&amp;$A310))</f>
        <v/>
      </c>
      <c r="V310" s="57" t="str">
        <f aca="false">IF($T310="","",IF($U310&lt;=BankCostEnvelope*'5. Scenarios'!$E$7,1,0))</f>
        <v/>
      </c>
      <c r="W310" s="57" t="str">
        <f aca="false">IF($S310="","",INDEX(BookRate,305)*(1+'5. Scenarios'!$E$10)*(INDEX(BookQ1,305)*(5-MIN(4,1+'5. Scenarios'!$E$8))/4+INDEX(BookQ2,305)*(5-MIN(4,2+'5. Scenarios'!$E$8))/4+INDEX(BookQ3,305)*(5-MIN(4,3+'5. Scenarios'!$E$8))/4+INDEX(BookQ4,305)*(5-MIN(4,4+'5. Scenarios'!$E$8))/4)*'5. Scenarios'!$E$6/(1+ProductivityDefault*('5. Scenarios'!$E$11-1))+INDEX(BookOneOff,305)*$S310)</f>
        <v/>
      </c>
    </row>
    <row r="311" customFormat="false" ht="15" hidden="false" customHeight="false" outlineLevel="0" collapsed="false">
      <c r="A311" s="0" t="str">
        <f aca="false">IF(INDEX(BookTitle,306)="","",INDEX(BookKey,306))</f>
        <v/>
      </c>
      <c r="B311" s="0" t="str">
        <f aca="false">IF(INDEX(BookTitle,306)="","",INDEX(BookGroup,306))</f>
        <v/>
      </c>
      <c r="C311" s="0" t="str">
        <f aca="false">IF(INDEX(BookTitle,306)="","",INDEX(BookCategory,306))</f>
        <v/>
      </c>
      <c r="D311" s="56" t="str">
        <f aca="false">IF(INDEX(BookTitle,306)="","",INDEX(BookTotal,306)*'5. Scenarios'!$B$6/(1+ProductivityDefault*('5. Scenarios'!$B$11-1)))</f>
        <v/>
      </c>
      <c r="E311" s="57" t="str">
        <f aca="false">IF($D311="","",INDEX(BookRate,306)*(1+'5. Scenarios'!$B$10)*$D311)</f>
        <v/>
      </c>
      <c r="F311" s="57" t="str">
        <f aca="false">IF($E311="","",SUMIFS($E$6:$E$2405,$A$6:$A$2405,"&lt;="&amp;$A311))</f>
        <v/>
      </c>
      <c r="G311" s="57" t="str">
        <f aca="false">IF($E311="","",IF($F311&lt;=BankCostEnvelope*'5. Scenarios'!$B$7,1,0))</f>
        <v/>
      </c>
      <c r="H311" s="57" t="str">
        <f aca="false">IF($D311="","",INDEX(BookRate,306)*(1+'5. Scenarios'!$B$10)*(INDEX(BookQ1,306)*(5-MIN(4,1+'5. Scenarios'!$B$8))/4+INDEX(BookQ2,306)*(5-MIN(4,2+'5. Scenarios'!$B$8))/4+INDEX(BookQ3,306)*(5-MIN(4,3+'5. Scenarios'!$B$8))/4+INDEX(BookQ4,306)*(5-MIN(4,4+'5. Scenarios'!$B$8))/4)*'5. Scenarios'!$B$6/(1+ProductivityDefault*('5. Scenarios'!$B$11-1))+INDEX(BookOneOff,306)*$D311)</f>
        <v/>
      </c>
      <c r="I311" s="56" t="str">
        <f aca="false">IF(INDEX(BookTitle,306)="","",INDEX(BookTotal,306)*'5. Scenarios'!$C$6/(1+ProductivityDefault*('5. Scenarios'!$C$11-1)))</f>
        <v/>
      </c>
      <c r="J311" s="57" t="str">
        <f aca="false">IF($I311="","",INDEX(BookRate,306)*(1+'5. Scenarios'!$C$10)*$I311)</f>
        <v/>
      </c>
      <c r="K311" s="57" t="str">
        <f aca="false">IF($J311="","",SUMIFS($J$6:$J$2405,$A$6:$A$2405,"&lt;="&amp;$A311))</f>
        <v/>
      </c>
      <c r="L311" s="57" t="str">
        <f aca="false">IF($J311="","",IF($K311&lt;=BankCostEnvelope*'5. Scenarios'!$C$7,1,0))</f>
        <v/>
      </c>
      <c r="M311" s="57" t="str">
        <f aca="false">IF($I311="","",INDEX(BookRate,306)*(1+'5. Scenarios'!$C$10)*(INDEX(BookQ1,306)*(5-MIN(4,1+'5. Scenarios'!$C$8))/4+INDEX(BookQ2,306)*(5-MIN(4,2+'5. Scenarios'!$C$8))/4+INDEX(BookQ3,306)*(5-MIN(4,3+'5. Scenarios'!$C$8))/4+INDEX(BookQ4,306)*(5-MIN(4,4+'5. Scenarios'!$C$8))/4)*'5. Scenarios'!$C$6/(1+ProductivityDefault*('5. Scenarios'!$C$11-1))+INDEX(BookOneOff,306)*$I311)</f>
        <v/>
      </c>
      <c r="N311" s="56" t="str">
        <f aca="false">IF(INDEX(BookTitle,306)="","",INDEX(BookTotal,306)*'5. Scenarios'!$D$6/(1+ProductivityDefault*('5. Scenarios'!$D$11-1)))</f>
        <v/>
      </c>
      <c r="O311" s="57" t="str">
        <f aca="false">IF($N311="","",INDEX(BookRate,306)*(1+'5. Scenarios'!$D$10)*$N311)</f>
        <v/>
      </c>
      <c r="P311" s="57" t="str">
        <f aca="false">IF($O311="","",SUMIFS($O$6:$O$2405,$A$6:$A$2405,"&lt;="&amp;$A311))</f>
        <v/>
      </c>
      <c r="Q311" s="57" t="str">
        <f aca="false">IF($O311="","",IF($P311&lt;=BankCostEnvelope*'5. Scenarios'!$D$7,1,0))</f>
        <v/>
      </c>
      <c r="R311" s="57" t="str">
        <f aca="false">IF($N311="","",INDEX(BookRate,306)*(1+'5. Scenarios'!$D$10)*(INDEX(BookQ1,306)*(5-MIN(4,1+'5. Scenarios'!$D$8))/4+INDEX(BookQ2,306)*(5-MIN(4,2+'5. Scenarios'!$D$8))/4+INDEX(BookQ3,306)*(5-MIN(4,3+'5. Scenarios'!$D$8))/4+INDEX(BookQ4,306)*(5-MIN(4,4+'5. Scenarios'!$D$8))/4)*'5. Scenarios'!$D$6/(1+ProductivityDefault*('5. Scenarios'!$D$11-1))+INDEX(BookOneOff,306)*$N311)</f>
        <v/>
      </c>
      <c r="S311" s="56" t="str">
        <f aca="false">IF(INDEX(BookTitle,306)="","",INDEX(BookTotal,306)*'5. Scenarios'!$E$6/(1+ProductivityDefault*('5. Scenarios'!$E$11-1)))</f>
        <v/>
      </c>
      <c r="T311" s="57" t="str">
        <f aca="false">IF($S311="","",INDEX(BookRate,306)*(1+'5. Scenarios'!$E$10)*$S311)</f>
        <v/>
      </c>
      <c r="U311" s="57" t="str">
        <f aca="false">IF($T311="","",SUMIFS($T$6:$T$2405,$A$6:$A$2405,"&lt;="&amp;$A311))</f>
        <v/>
      </c>
      <c r="V311" s="57" t="str">
        <f aca="false">IF($T311="","",IF($U311&lt;=BankCostEnvelope*'5. Scenarios'!$E$7,1,0))</f>
        <v/>
      </c>
      <c r="W311" s="57" t="str">
        <f aca="false">IF($S311="","",INDEX(BookRate,306)*(1+'5. Scenarios'!$E$10)*(INDEX(BookQ1,306)*(5-MIN(4,1+'5. Scenarios'!$E$8))/4+INDEX(BookQ2,306)*(5-MIN(4,2+'5. Scenarios'!$E$8))/4+INDEX(BookQ3,306)*(5-MIN(4,3+'5. Scenarios'!$E$8))/4+INDEX(BookQ4,306)*(5-MIN(4,4+'5. Scenarios'!$E$8))/4)*'5. Scenarios'!$E$6/(1+ProductivityDefault*('5. Scenarios'!$E$11-1))+INDEX(BookOneOff,306)*$S311)</f>
        <v/>
      </c>
    </row>
    <row r="312" customFormat="false" ht="15" hidden="false" customHeight="false" outlineLevel="0" collapsed="false">
      <c r="A312" s="0" t="str">
        <f aca="false">IF(INDEX(BookTitle,307)="","",INDEX(BookKey,307))</f>
        <v/>
      </c>
      <c r="B312" s="0" t="str">
        <f aca="false">IF(INDEX(BookTitle,307)="","",INDEX(BookGroup,307))</f>
        <v/>
      </c>
      <c r="C312" s="0" t="str">
        <f aca="false">IF(INDEX(BookTitle,307)="","",INDEX(BookCategory,307))</f>
        <v/>
      </c>
      <c r="D312" s="56" t="str">
        <f aca="false">IF(INDEX(BookTitle,307)="","",INDEX(BookTotal,307)*'5. Scenarios'!$B$6/(1+ProductivityDefault*('5. Scenarios'!$B$11-1)))</f>
        <v/>
      </c>
      <c r="E312" s="57" t="str">
        <f aca="false">IF($D312="","",INDEX(BookRate,307)*(1+'5. Scenarios'!$B$10)*$D312)</f>
        <v/>
      </c>
      <c r="F312" s="57" t="str">
        <f aca="false">IF($E312="","",SUMIFS($E$6:$E$2405,$A$6:$A$2405,"&lt;="&amp;$A312))</f>
        <v/>
      </c>
      <c r="G312" s="57" t="str">
        <f aca="false">IF($E312="","",IF($F312&lt;=BankCostEnvelope*'5. Scenarios'!$B$7,1,0))</f>
        <v/>
      </c>
      <c r="H312" s="57" t="str">
        <f aca="false">IF($D312="","",INDEX(BookRate,307)*(1+'5. Scenarios'!$B$10)*(INDEX(BookQ1,307)*(5-MIN(4,1+'5. Scenarios'!$B$8))/4+INDEX(BookQ2,307)*(5-MIN(4,2+'5. Scenarios'!$B$8))/4+INDEX(BookQ3,307)*(5-MIN(4,3+'5. Scenarios'!$B$8))/4+INDEX(BookQ4,307)*(5-MIN(4,4+'5. Scenarios'!$B$8))/4)*'5. Scenarios'!$B$6/(1+ProductivityDefault*('5. Scenarios'!$B$11-1))+INDEX(BookOneOff,307)*$D312)</f>
        <v/>
      </c>
      <c r="I312" s="56" t="str">
        <f aca="false">IF(INDEX(BookTitle,307)="","",INDEX(BookTotal,307)*'5. Scenarios'!$C$6/(1+ProductivityDefault*('5. Scenarios'!$C$11-1)))</f>
        <v/>
      </c>
      <c r="J312" s="57" t="str">
        <f aca="false">IF($I312="","",INDEX(BookRate,307)*(1+'5. Scenarios'!$C$10)*$I312)</f>
        <v/>
      </c>
      <c r="K312" s="57" t="str">
        <f aca="false">IF($J312="","",SUMIFS($J$6:$J$2405,$A$6:$A$2405,"&lt;="&amp;$A312))</f>
        <v/>
      </c>
      <c r="L312" s="57" t="str">
        <f aca="false">IF($J312="","",IF($K312&lt;=BankCostEnvelope*'5. Scenarios'!$C$7,1,0))</f>
        <v/>
      </c>
      <c r="M312" s="57" t="str">
        <f aca="false">IF($I312="","",INDEX(BookRate,307)*(1+'5. Scenarios'!$C$10)*(INDEX(BookQ1,307)*(5-MIN(4,1+'5. Scenarios'!$C$8))/4+INDEX(BookQ2,307)*(5-MIN(4,2+'5. Scenarios'!$C$8))/4+INDEX(BookQ3,307)*(5-MIN(4,3+'5. Scenarios'!$C$8))/4+INDEX(BookQ4,307)*(5-MIN(4,4+'5. Scenarios'!$C$8))/4)*'5. Scenarios'!$C$6/(1+ProductivityDefault*('5. Scenarios'!$C$11-1))+INDEX(BookOneOff,307)*$I312)</f>
        <v/>
      </c>
      <c r="N312" s="56" t="str">
        <f aca="false">IF(INDEX(BookTitle,307)="","",INDEX(BookTotal,307)*'5. Scenarios'!$D$6/(1+ProductivityDefault*('5. Scenarios'!$D$11-1)))</f>
        <v/>
      </c>
      <c r="O312" s="57" t="str">
        <f aca="false">IF($N312="","",INDEX(BookRate,307)*(1+'5. Scenarios'!$D$10)*$N312)</f>
        <v/>
      </c>
      <c r="P312" s="57" t="str">
        <f aca="false">IF($O312="","",SUMIFS($O$6:$O$2405,$A$6:$A$2405,"&lt;="&amp;$A312))</f>
        <v/>
      </c>
      <c r="Q312" s="57" t="str">
        <f aca="false">IF($O312="","",IF($P312&lt;=BankCostEnvelope*'5. Scenarios'!$D$7,1,0))</f>
        <v/>
      </c>
      <c r="R312" s="57" t="str">
        <f aca="false">IF($N312="","",INDEX(BookRate,307)*(1+'5. Scenarios'!$D$10)*(INDEX(BookQ1,307)*(5-MIN(4,1+'5. Scenarios'!$D$8))/4+INDEX(BookQ2,307)*(5-MIN(4,2+'5. Scenarios'!$D$8))/4+INDEX(BookQ3,307)*(5-MIN(4,3+'5. Scenarios'!$D$8))/4+INDEX(BookQ4,307)*(5-MIN(4,4+'5. Scenarios'!$D$8))/4)*'5. Scenarios'!$D$6/(1+ProductivityDefault*('5. Scenarios'!$D$11-1))+INDEX(BookOneOff,307)*$N312)</f>
        <v/>
      </c>
      <c r="S312" s="56" t="str">
        <f aca="false">IF(INDEX(BookTitle,307)="","",INDEX(BookTotal,307)*'5. Scenarios'!$E$6/(1+ProductivityDefault*('5. Scenarios'!$E$11-1)))</f>
        <v/>
      </c>
      <c r="T312" s="57" t="str">
        <f aca="false">IF($S312="","",INDEX(BookRate,307)*(1+'5. Scenarios'!$E$10)*$S312)</f>
        <v/>
      </c>
      <c r="U312" s="57" t="str">
        <f aca="false">IF($T312="","",SUMIFS($T$6:$T$2405,$A$6:$A$2405,"&lt;="&amp;$A312))</f>
        <v/>
      </c>
      <c r="V312" s="57" t="str">
        <f aca="false">IF($T312="","",IF($U312&lt;=BankCostEnvelope*'5. Scenarios'!$E$7,1,0))</f>
        <v/>
      </c>
      <c r="W312" s="57" t="str">
        <f aca="false">IF($S312="","",INDEX(BookRate,307)*(1+'5. Scenarios'!$E$10)*(INDEX(BookQ1,307)*(5-MIN(4,1+'5. Scenarios'!$E$8))/4+INDEX(BookQ2,307)*(5-MIN(4,2+'5. Scenarios'!$E$8))/4+INDEX(BookQ3,307)*(5-MIN(4,3+'5. Scenarios'!$E$8))/4+INDEX(BookQ4,307)*(5-MIN(4,4+'5. Scenarios'!$E$8))/4)*'5. Scenarios'!$E$6/(1+ProductivityDefault*('5. Scenarios'!$E$11-1))+INDEX(BookOneOff,307)*$S312)</f>
        <v/>
      </c>
    </row>
    <row r="313" customFormat="false" ht="15" hidden="false" customHeight="false" outlineLevel="0" collapsed="false">
      <c r="A313" s="0" t="str">
        <f aca="false">IF(INDEX(BookTitle,308)="","",INDEX(BookKey,308))</f>
        <v/>
      </c>
      <c r="B313" s="0" t="str">
        <f aca="false">IF(INDEX(BookTitle,308)="","",INDEX(BookGroup,308))</f>
        <v/>
      </c>
      <c r="C313" s="0" t="str">
        <f aca="false">IF(INDEX(BookTitle,308)="","",INDEX(BookCategory,308))</f>
        <v/>
      </c>
      <c r="D313" s="56" t="str">
        <f aca="false">IF(INDEX(BookTitle,308)="","",INDEX(BookTotal,308)*'5. Scenarios'!$B$6/(1+ProductivityDefault*('5. Scenarios'!$B$11-1)))</f>
        <v/>
      </c>
      <c r="E313" s="57" t="str">
        <f aca="false">IF($D313="","",INDEX(BookRate,308)*(1+'5. Scenarios'!$B$10)*$D313)</f>
        <v/>
      </c>
      <c r="F313" s="57" t="str">
        <f aca="false">IF($E313="","",SUMIFS($E$6:$E$2405,$A$6:$A$2405,"&lt;="&amp;$A313))</f>
        <v/>
      </c>
      <c r="G313" s="57" t="str">
        <f aca="false">IF($E313="","",IF($F313&lt;=BankCostEnvelope*'5. Scenarios'!$B$7,1,0))</f>
        <v/>
      </c>
      <c r="H313" s="57" t="str">
        <f aca="false">IF($D313="","",INDEX(BookRate,308)*(1+'5. Scenarios'!$B$10)*(INDEX(BookQ1,308)*(5-MIN(4,1+'5. Scenarios'!$B$8))/4+INDEX(BookQ2,308)*(5-MIN(4,2+'5. Scenarios'!$B$8))/4+INDEX(BookQ3,308)*(5-MIN(4,3+'5. Scenarios'!$B$8))/4+INDEX(BookQ4,308)*(5-MIN(4,4+'5. Scenarios'!$B$8))/4)*'5. Scenarios'!$B$6/(1+ProductivityDefault*('5. Scenarios'!$B$11-1))+INDEX(BookOneOff,308)*$D313)</f>
        <v/>
      </c>
      <c r="I313" s="56" t="str">
        <f aca="false">IF(INDEX(BookTitle,308)="","",INDEX(BookTotal,308)*'5. Scenarios'!$C$6/(1+ProductivityDefault*('5. Scenarios'!$C$11-1)))</f>
        <v/>
      </c>
      <c r="J313" s="57" t="str">
        <f aca="false">IF($I313="","",INDEX(BookRate,308)*(1+'5. Scenarios'!$C$10)*$I313)</f>
        <v/>
      </c>
      <c r="K313" s="57" t="str">
        <f aca="false">IF($J313="","",SUMIFS($J$6:$J$2405,$A$6:$A$2405,"&lt;="&amp;$A313))</f>
        <v/>
      </c>
      <c r="L313" s="57" t="str">
        <f aca="false">IF($J313="","",IF($K313&lt;=BankCostEnvelope*'5. Scenarios'!$C$7,1,0))</f>
        <v/>
      </c>
      <c r="M313" s="57" t="str">
        <f aca="false">IF($I313="","",INDEX(BookRate,308)*(1+'5. Scenarios'!$C$10)*(INDEX(BookQ1,308)*(5-MIN(4,1+'5. Scenarios'!$C$8))/4+INDEX(BookQ2,308)*(5-MIN(4,2+'5. Scenarios'!$C$8))/4+INDEX(BookQ3,308)*(5-MIN(4,3+'5. Scenarios'!$C$8))/4+INDEX(BookQ4,308)*(5-MIN(4,4+'5. Scenarios'!$C$8))/4)*'5. Scenarios'!$C$6/(1+ProductivityDefault*('5. Scenarios'!$C$11-1))+INDEX(BookOneOff,308)*$I313)</f>
        <v/>
      </c>
      <c r="N313" s="56" t="str">
        <f aca="false">IF(INDEX(BookTitle,308)="","",INDEX(BookTotal,308)*'5. Scenarios'!$D$6/(1+ProductivityDefault*('5. Scenarios'!$D$11-1)))</f>
        <v/>
      </c>
      <c r="O313" s="57" t="str">
        <f aca="false">IF($N313="","",INDEX(BookRate,308)*(1+'5. Scenarios'!$D$10)*$N313)</f>
        <v/>
      </c>
      <c r="P313" s="57" t="str">
        <f aca="false">IF($O313="","",SUMIFS($O$6:$O$2405,$A$6:$A$2405,"&lt;="&amp;$A313))</f>
        <v/>
      </c>
      <c r="Q313" s="57" t="str">
        <f aca="false">IF($O313="","",IF($P313&lt;=BankCostEnvelope*'5. Scenarios'!$D$7,1,0))</f>
        <v/>
      </c>
      <c r="R313" s="57" t="str">
        <f aca="false">IF($N313="","",INDEX(BookRate,308)*(1+'5. Scenarios'!$D$10)*(INDEX(BookQ1,308)*(5-MIN(4,1+'5. Scenarios'!$D$8))/4+INDEX(BookQ2,308)*(5-MIN(4,2+'5. Scenarios'!$D$8))/4+INDEX(BookQ3,308)*(5-MIN(4,3+'5. Scenarios'!$D$8))/4+INDEX(BookQ4,308)*(5-MIN(4,4+'5. Scenarios'!$D$8))/4)*'5. Scenarios'!$D$6/(1+ProductivityDefault*('5. Scenarios'!$D$11-1))+INDEX(BookOneOff,308)*$N313)</f>
        <v/>
      </c>
      <c r="S313" s="56" t="str">
        <f aca="false">IF(INDEX(BookTitle,308)="","",INDEX(BookTotal,308)*'5. Scenarios'!$E$6/(1+ProductivityDefault*('5. Scenarios'!$E$11-1)))</f>
        <v/>
      </c>
      <c r="T313" s="57" t="str">
        <f aca="false">IF($S313="","",INDEX(BookRate,308)*(1+'5. Scenarios'!$E$10)*$S313)</f>
        <v/>
      </c>
      <c r="U313" s="57" t="str">
        <f aca="false">IF($T313="","",SUMIFS($T$6:$T$2405,$A$6:$A$2405,"&lt;="&amp;$A313))</f>
        <v/>
      </c>
      <c r="V313" s="57" t="str">
        <f aca="false">IF($T313="","",IF($U313&lt;=BankCostEnvelope*'5. Scenarios'!$E$7,1,0))</f>
        <v/>
      </c>
      <c r="W313" s="57" t="str">
        <f aca="false">IF($S313="","",INDEX(BookRate,308)*(1+'5. Scenarios'!$E$10)*(INDEX(BookQ1,308)*(5-MIN(4,1+'5. Scenarios'!$E$8))/4+INDEX(BookQ2,308)*(5-MIN(4,2+'5. Scenarios'!$E$8))/4+INDEX(BookQ3,308)*(5-MIN(4,3+'5. Scenarios'!$E$8))/4+INDEX(BookQ4,308)*(5-MIN(4,4+'5. Scenarios'!$E$8))/4)*'5. Scenarios'!$E$6/(1+ProductivityDefault*('5. Scenarios'!$E$11-1))+INDEX(BookOneOff,308)*$S313)</f>
        <v/>
      </c>
    </row>
    <row r="314" customFormat="false" ht="15" hidden="false" customHeight="false" outlineLevel="0" collapsed="false">
      <c r="A314" s="0" t="str">
        <f aca="false">IF(INDEX(BookTitle,309)="","",INDEX(BookKey,309))</f>
        <v/>
      </c>
      <c r="B314" s="0" t="str">
        <f aca="false">IF(INDEX(BookTitle,309)="","",INDEX(BookGroup,309))</f>
        <v/>
      </c>
      <c r="C314" s="0" t="str">
        <f aca="false">IF(INDEX(BookTitle,309)="","",INDEX(BookCategory,309))</f>
        <v/>
      </c>
      <c r="D314" s="56" t="str">
        <f aca="false">IF(INDEX(BookTitle,309)="","",INDEX(BookTotal,309)*'5. Scenarios'!$B$6/(1+ProductivityDefault*('5. Scenarios'!$B$11-1)))</f>
        <v/>
      </c>
      <c r="E314" s="57" t="str">
        <f aca="false">IF($D314="","",INDEX(BookRate,309)*(1+'5. Scenarios'!$B$10)*$D314)</f>
        <v/>
      </c>
      <c r="F314" s="57" t="str">
        <f aca="false">IF($E314="","",SUMIFS($E$6:$E$2405,$A$6:$A$2405,"&lt;="&amp;$A314))</f>
        <v/>
      </c>
      <c r="G314" s="57" t="str">
        <f aca="false">IF($E314="","",IF($F314&lt;=BankCostEnvelope*'5. Scenarios'!$B$7,1,0))</f>
        <v/>
      </c>
      <c r="H314" s="57" t="str">
        <f aca="false">IF($D314="","",INDEX(BookRate,309)*(1+'5. Scenarios'!$B$10)*(INDEX(BookQ1,309)*(5-MIN(4,1+'5. Scenarios'!$B$8))/4+INDEX(BookQ2,309)*(5-MIN(4,2+'5. Scenarios'!$B$8))/4+INDEX(BookQ3,309)*(5-MIN(4,3+'5. Scenarios'!$B$8))/4+INDEX(BookQ4,309)*(5-MIN(4,4+'5. Scenarios'!$B$8))/4)*'5. Scenarios'!$B$6/(1+ProductivityDefault*('5. Scenarios'!$B$11-1))+INDEX(BookOneOff,309)*$D314)</f>
        <v/>
      </c>
      <c r="I314" s="56" t="str">
        <f aca="false">IF(INDEX(BookTitle,309)="","",INDEX(BookTotal,309)*'5. Scenarios'!$C$6/(1+ProductivityDefault*('5. Scenarios'!$C$11-1)))</f>
        <v/>
      </c>
      <c r="J314" s="57" t="str">
        <f aca="false">IF($I314="","",INDEX(BookRate,309)*(1+'5. Scenarios'!$C$10)*$I314)</f>
        <v/>
      </c>
      <c r="K314" s="57" t="str">
        <f aca="false">IF($J314="","",SUMIFS($J$6:$J$2405,$A$6:$A$2405,"&lt;="&amp;$A314))</f>
        <v/>
      </c>
      <c r="L314" s="57" t="str">
        <f aca="false">IF($J314="","",IF($K314&lt;=BankCostEnvelope*'5. Scenarios'!$C$7,1,0))</f>
        <v/>
      </c>
      <c r="M314" s="57" t="str">
        <f aca="false">IF($I314="","",INDEX(BookRate,309)*(1+'5. Scenarios'!$C$10)*(INDEX(BookQ1,309)*(5-MIN(4,1+'5. Scenarios'!$C$8))/4+INDEX(BookQ2,309)*(5-MIN(4,2+'5. Scenarios'!$C$8))/4+INDEX(BookQ3,309)*(5-MIN(4,3+'5. Scenarios'!$C$8))/4+INDEX(BookQ4,309)*(5-MIN(4,4+'5. Scenarios'!$C$8))/4)*'5. Scenarios'!$C$6/(1+ProductivityDefault*('5. Scenarios'!$C$11-1))+INDEX(BookOneOff,309)*$I314)</f>
        <v/>
      </c>
      <c r="N314" s="56" t="str">
        <f aca="false">IF(INDEX(BookTitle,309)="","",INDEX(BookTotal,309)*'5. Scenarios'!$D$6/(1+ProductivityDefault*('5. Scenarios'!$D$11-1)))</f>
        <v/>
      </c>
      <c r="O314" s="57" t="str">
        <f aca="false">IF($N314="","",INDEX(BookRate,309)*(1+'5. Scenarios'!$D$10)*$N314)</f>
        <v/>
      </c>
      <c r="P314" s="57" t="str">
        <f aca="false">IF($O314="","",SUMIFS($O$6:$O$2405,$A$6:$A$2405,"&lt;="&amp;$A314))</f>
        <v/>
      </c>
      <c r="Q314" s="57" t="str">
        <f aca="false">IF($O314="","",IF($P314&lt;=BankCostEnvelope*'5. Scenarios'!$D$7,1,0))</f>
        <v/>
      </c>
      <c r="R314" s="57" t="str">
        <f aca="false">IF($N314="","",INDEX(BookRate,309)*(1+'5. Scenarios'!$D$10)*(INDEX(BookQ1,309)*(5-MIN(4,1+'5. Scenarios'!$D$8))/4+INDEX(BookQ2,309)*(5-MIN(4,2+'5. Scenarios'!$D$8))/4+INDEX(BookQ3,309)*(5-MIN(4,3+'5. Scenarios'!$D$8))/4+INDEX(BookQ4,309)*(5-MIN(4,4+'5. Scenarios'!$D$8))/4)*'5. Scenarios'!$D$6/(1+ProductivityDefault*('5. Scenarios'!$D$11-1))+INDEX(BookOneOff,309)*$N314)</f>
        <v/>
      </c>
      <c r="S314" s="56" t="str">
        <f aca="false">IF(INDEX(BookTitle,309)="","",INDEX(BookTotal,309)*'5. Scenarios'!$E$6/(1+ProductivityDefault*('5. Scenarios'!$E$11-1)))</f>
        <v/>
      </c>
      <c r="T314" s="57" t="str">
        <f aca="false">IF($S314="","",INDEX(BookRate,309)*(1+'5. Scenarios'!$E$10)*$S314)</f>
        <v/>
      </c>
      <c r="U314" s="57" t="str">
        <f aca="false">IF($T314="","",SUMIFS($T$6:$T$2405,$A$6:$A$2405,"&lt;="&amp;$A314))</f>
        <v/>
      </c>
      <c r="V314" s="57" t="str">
        <f aca="false">IF($T314="","",IF($U314&lt;=BankCostEnvelope*'5. Scenarios'!$E$7,1,0))</f>
        <v/>
      </c>
      <c r="W314" s="57" t="str">
        <f aca="false">IF($S314="","",INDEX(BookRate,309)*(1+'5. Scenarios'!$E$10)*(INDEX(BookQ1,309)*(5-MIN(4,1+'5. Scenarios'!$E$8))/4+INDEX(BookQ2,309)*(5-MIN(4,2+'5. Scenarios'!$E$8))/4+INDEX(BookQ3,309)*(5-MIN(4,3+'5. Scenarios'!$E$8))/4+INDEX(BookQ4,309)*(5-MIN(4,4+'5. Scenarios'!$E$8))/4)*'5. Scenarios'!$E$6/(1+ProductivityDefault*('5. Scenarios'!$E$11-1))+INDEX(BookOneOff,309)*$S314)</f>
        <v/>
      </c>
    </row>
    <row r="315" customFormat="false" ht="15" hidden="false" customHeight="false" outlineLevel="0" collapsed="false">
      <c r="A315" s="0" t="str">
        <f aca="false">IF(INDEX(BookTitle,310)="","",INDEX(BookKey,310))</f>
        <v/>
      </c>
      <c r="B315" s="0" t="str">
        <f aca="false">IF(INDEX(BookTitle,310)="","",INDEX(BookGroup,310))</f>
        <v/>
      </c>
      <c r="C315" s="0" t="str">
        <f aca="false">IF(INDEX(BookTitle,310)="","",INDEX(BookCategory,310))</f>
        <v/>
      </c>
      <c r="D315" s="56" t="str">
        <f aca="false">IF(INDEX(BookTitle,310)="","",INDEX(BookTotal,310)*'5. Scenarios'!$B$6/(1+ProductivityDefault*('5. Scenarios'!$B$11-1)))</f>
        <v/>
      </c>
      <c r="E315" s="57" t="str">
        <f aca="false">IF($D315="","",INDEX(BookRate,310)*(1+'5. Scenarios'!$B$10)*$D315)</f>
        <v/>
      </c>
      <c r="F315" s="57" t="str">
        <f aca="false">IF($E315="","",SUMIFS($E$6:$E$2405,$A$6:$A$2405,"&lt;="&amp;$A315))</f>
        <v/>
      </c>
      <c r="G315" s="57" t="str">
        <f aca="false">IF($E315="","",IF($F315&lt;=BankCostEnvelope*'5. Scenarios'!$B$7,1,0))</f>
        <v/>
      </c>
      <c r="H315" s="57" t="str">
        <f aca="false">IF($D315="","",INDEX(BookRate,310)*(1+'5. Scenarios'!$B$10)*(INDEX(BookQ1,310)*(5-MIN(4,1+'5. Scenarios'!$B$8))/4+INDEX(BookQ2,310)*(5-MIN(4,2+'5. Scenarios'!$B$8))/4+INDEX(BookQ3,310)*(5-MIN(4,3+'5. Scenarios'!$B$8))/4+INDEX(BookQ4,310)*(5-MIN(4,4+'5. Scenarios'!$B$8))/4)*'5. Scenarios'!$B$6/(1+ProductivityDefault*('5. Scenarios'!$B$11-1))+INDEX(BookOneOff,310)*$D315)</f>
        <v/>
      </c>
      <c r="I315" s="56" t="str">
        <f aca="false">IF(INDEX(BookTitle,310)="","",INDEX(BookTotal,310)*'5. Scenarios'!$C$6/(1+ProductivityDefault*('5. Scenarios'!$C$11-1)))</f>
        <v/>
      </c>
      <c r="J315" s="57" t="str">
        <f aca="false">IF($I315="","",INDEX(BookRate,310)*(1+'5. Scenarios'!$C$10)*$I315)</f>
        <v/>
      </c>
      <c r="K315" s="57" t="str">
        <f aca="false">IF($J315="","",SUMIFS($J$6:$J$2405,$A$6:$A$2405,"&lt;="&amp;$A315))</f>
        <v/>
      </c>
      <c r="L315" s="57" t="str">
        <f aca="false">IF($J315="","",IF($K315&lt;=BankCostEnvelope*'5. Scenarios'!$C$7,1,0))</f>
        <v/>
      </c>
      <c r="M315" s="57" t="str">
        <f aca="false">IF($I315="","",INDEX(BookRate,310)*(1+'5. Scenarios'!$C$10)*(INDEX(BookQ1,310)*(5-MIN(4,1+'5. Scenarios'!$C$8))/4+INDEX(BookQ2,310)*(5-MIN(4,2+'5. Scenarios'!$C$8))/4+INDEX(BookQ3,310)*(5-MIN(4,3+'5. Scenarios'!$C$8))/4+INDEX(BookQ4,310)*(5-MIN(4,4+'5. Scenarios'!$C$8))/4)*'5. Scenarios'!$C$6/(1+ProductivityDefault*('5. Scenarios'!$C$11-1))+INDEX(BookOneOff,310)*$I315)</f>
        <v/>
      </c>
      <c r="N315" s="56" t="str">
        <f aca="false">IF(INDEX(BookTitle,310)="","",INDEX(BookTotal,310)*'5. Scenarios'!$D$6/(1+ProductivityDefault*('5. Scenarios'!$D$11-1)))</f>
        <v/>
      </c>
      <c r="O315" s="57" t="str">
        <f aca="false">IF($N315="","",INDEX(BookRate,310)*(1+'5. Scenarios'!$D$10)*$N315)</f>
        <v/>
      </c>
      <c r="P315" s="57" t="str">
        <f aca="false">IF($O315="","",SUMIFS($O$6:$O$2405,$A$6:$A$2405,"&lt;="&amp;$A315))</f>
        <v/>
      </c>
      <c r="Q315" s="57" t="str">
        <f aca="false">IF($O315="","",IF($P315&lt;=BankCostEnvelope*'5. Scenarios'!$D$7,1,0))</f>
        <v/>
      </c>
      <c r="R315" s="57" t="str">
        <f aca="false">IF($N315="","",INDEX(BookRate,310)*(1+'5. Scenarios'!$D$10)*(INDEX(BookQ1,310)*(5-MIN(4,1+'5. Scenarios'!$D$8))/4+INDEX(BookQ2,310)*(5-MIN(4,2+'5. Scenarios'!$D$8))/4+INDEX(BookQ3,310)*(5-MIN(4,3+'5. Scenarios'!$D$8))/4+INDEX(BookQ4,310)*(5-MIN(4,4+'5. Scenarios'!$D$8))/4)*'5. Scenarios'!$D$6/(1+ProductivityDefault*('5. Scenarios'!$D$11-1))+INDEX(BookOneOff,310)*$N315)</f>
        <v/>
      </c>
      <c r="S315" s="56" t="str">
        <f aca="false">IF(INDEX(BookTitle,310)="","",INDEX(BookTotal,310)*'5. Scenarios'!$E$6/(1+ProductivityDefault*('5. Scenarios'!$E$11-1)))</f>
        <v/>
      </c>
      <c r="T315" s="57" t="str">
        <f aca="false">IF($S315="","",INDEX(BookRate,310)*(1+'5. Scenarios'!$E$10)*$S315)</f>
        <v/>
      </c>
      <c r="U315" s="57" t="str">
        <f aca="false">IF($T315="","",SUMIFS($T$6:$T$2405,$A$6:$A$2405,"&lt;="&amp;$A315))</f>
        <v/>
      </c>
      <c r="V315" s="57" t="str">
        <f aca="false">IF($T315="","",IF($U315&lt;=BankCostEnvelope*'5. Scenarios'!$E$7,1,0))</f>
        <v/>
      </c>
      <c r="W315" s="57" t="str">
        <f aca="false">IF($S315="","",INDEX(BookRate,310)*(1+'5. Scenarios'!$E$10)*(INDEX(BookQ1,310)*(5-MIN(4,1+'5. Scenarios'!$E$8))/4+INDEX(BookQ2,310)*(5-MIN(4,2+'5. Scenarios'!$E$8))/4+INDEX(BookQ3,310)*(5-MIN(4,3+'5. Scenarios'!$E$8))/4+INDEX(BookQ4,310)*(5-MIN(4,4+'5. Scenarios'!$E$8))/4)*'5. Scenarios'!$E$6/(1+ProductivityDefault*('5. Scenarios'!$E$11-1))+INDEX(BookOneOff,310)*$S315)</f>
        <v/>
      </c>
    </row>
    <row r="316" customFormat="false" ht="15" hidden="false" customHeight="false" outlineLevel="0" collapsed="false">
      <c r="A316" s="0" t="str">
        <f aca="false">IF(INDEX(BookTitle,311)="","",INDEX(BookKey,311))</f>
        <v/>
      </c>
      <c r="B316" s="0" t="str">
        <f aca="false">IF(INDEX(BookTitle,311)="","",INDEX(BookGroup,311))</f>
        <v/>
      </c>
      <c r="C316" s="0" t="str">
        <f aca="false">IF(INDEX(BookTitle,311)="","",INDEX(BookCategory,311))</f>
        <v/>
      </c>
      <c r="D316" s="56" t="str">
        <f aca="false">IF(INDEX(BookTitle,311)="","",INDEX(BookTotal,311)*'5. Scenarios'!$B$6/(1+ProductivityDefault*('5. Scenarios'!$B$11-1)))</f>
        <v/>
      </c>
      <c r="E316" s="57" t="str">
        <f aca="false">IF($D316="","",INDEX(BookRate,311)*(1+'5. Scenarios'!$B$10)*$D316)</f>
        <v/>
      </c>
      <c r="F316" s="57" t="str">
        <f aca="false">IF($E316="","",SUMIFS($E$6:$E$2405,$A$6:$A$2405,"&lt;="&amp;$A316))</f>
        <v/>
      </c>
      <c r="G316" s="57" t="str">
        <f aca="false">IF($E316="","",IF($F316&lt;=BankCostEnvelope*'5. Scenarios'!$B$7,1,0))</f>
        <v/>
      </c>
      <c r="H316" s="57" t="str">
        <f aca="false">IF($D316="","",INDEX(BookRate,311)*(1+'5. Scenarios'!$B$10)*(INDEX(BookQ1,311)*(5-MIN(4,1+'5. Scenarios'!$B$8))/4+INDEX(BookQ2,311)*(5-MIN(4,2+'5. Scenarios'!$B$8))/4+INDEX(BookQ3,311)*(5-MIN(4,3+'5. Scenarios'!$B$8))/4+INDEX(BookQ4,311)*(5-MIN(4,4+'5. Scenarios'!$B$8))/4)*'5. Scenarios'!$B$6/(1+ProductivityDefault*('5. Scenarios'!$B$11-1))+INDEX(BookOneOff,311)*$D316)</f>
        <v/>
      </c>
      <c r="I316" s="56" t="str">
        <f aca="false">IF(INDEX(BookTitle,311)="","",INDEX(BookTotal,311)*'5. Scenarios'!$C$6/(1+ProductivityDefault*('5. Scenarios'!$C$11-1)))</f>
        <v/>
      </c>
      <c r="J316" s="57" t="str">
        <f aca="false">IF($I316="","",INDEX(BookRate,311)*(1+'5. Scenarios'!$C$10)*$I316)</f>
        <v/>
      </c>
      <c r="K316" s="57" t="str">
        <f aca="false">IF($J316="","",SUMIFS($J$6:$J$2405,$A$6:$A$2405,"&lt;="&amp;$A316))</f>
        <v/>
      </c>
      <c r="L316" s="57" t="str">
        <f aca="false">IF($J316="","",IF($K316&lt;=BankCostEnvelope*'5. Scenarios'!$C$7,1,0))</f>
        <v/>
      </c>
      <c r="M316" s="57" t="str">
        <f aca="false">IF($I316="","",INDEX(BookRate,311)*(1+'5. Scenarios'!$C$10)*(INDEX(BookQ1,311)*(5-MIN(4,1+'5. Scenarios'!$C$8))/4+INDEX(BookQ2,311)*(5-MIN(4,2+'5. Scenarios'!$C$8))/4+INDEX(BookQ3,311)*(5-MIN(4,3+'5. Scenarios'!$C$8))/4+INDEX(BookQ4,311)*(5-MIN(4,4+'5. Scenarios'!$C$8))/4)*'5. Scenarios'!$C$6/(1+ProductivityDefault*('5. Scenarios'!$C$11-1))+INDEX(BookOneOff,311)*$I316)</f>
        <v/>
      </c>
      <c r="N316" s="56" t="str">
        <f aca="false">IF(INDEX(BookTitle,311)="","",INDEX(BookTotal,311)*'5. Scenarios'!$D$6/(1+ProductivityDefault*('5. Scenarios'!$D$11-1)))</f>
        <v/>
      </c>
      <c r="O316" s="57" t="str">
        <f aca="false">IF($N316="","",INDEX(BookRate,311)*(1+'5. Scenarios'!$D$10)*$N316)</f>
        <v/>
      </c>
      <c r="P316" s="57" t="str">
        <f aca="false">IF($O316="","",SUMIFS($O$6:$O$2405,$A$6:$A$2405,"&lt;="&amp;$A316))</f>
        <v/>
      </c>
      <c r="Q316" s="57" t="str">
        <f aca="false">IF($O316="","",IF($P316&lt;=BankCostEnvelope*'5. Scenarios'!$D$7,1,0))</f>
        <v/>
      </c>
      <c r="R316" s="57" t="str">
        <f aca="false">IF($N316="","",INDEX(BookRate,311)*(1+'5. Scenarios'!$D$10)*(INDEX(BookQ1,311)*(5-MIN(4,1+'5. Scenarios'!$D$8))/4+INDEX(BookQ2,311)*(5-MIN(4,2+'5. Scenarios'!$D$8))/4+INDEX(BookQ3,311)*(5-MIN(4,3+'5. Scenarios'!$D$8))/4+INDEX(BookQ4,311)*(5-MIN(4,4+'5. Scenarios'!$D$8))/4)*'5. Scenarios'!$D$6/(1+ProductivityDefault*('5. Scenarios'!$D$11-1))+INDEX(BookOneOff,311)*$N316)</f>
        <v/>
      </c>
      <c r="S316" s="56" t="str">
        <f aca="false">IF(INDEX(BookTitle,311)="","",INDEX(BookTotal,311)*'5. Scenarios'!$E$6/(1+ProductivityDefault*('5. Scenarios'!$E$11-1)))</f>
        <v/>
      </c>
      <c r="T316" s="57" t="str">
        <f aca="false">IF($S316="","",INDEX(BookRate,311)*(1+'5. Scenarios'!$E$10)*$S316)</f>
        <v/>
      </c>
      <c r="U316" s="57" t="str">
        <f aca="false">IF($T316="","",SUMIFS($T$6:$T$2405,$A$6:$A$2405,"&lt;="&amp;$A316))</f>
        <v/>
      </c>
      <c r="V316" s="57" t="str">
        <f aca="false">IF($T316="","",IF($U316&lt;=BankCostEnvelope*'5. Scenarios'!$E$7,1,0))</f>
        <v/>
      </c>
      <c r="W316" s="57" t="str">
        <f aca="false">IF($S316="","",INDEX(BookRate,311)*(1+'5. Scenarios'!$E$10)*(INDEX(BookQ1,311)*(5-MIN(4,1+'5. Scenarios'!$E$8))/4+INDEX(BookQ2,311)*(5-MIN(4,2+'5. Scenarios'!$E$8))/4+INDEX(BookQ3,311)*(5-MIN(4,3+'5. Scenarios'!$E$8))/4+INDEX(BookQ4,311)*(5-MIN(4,4+'5. Scenarios'!$E$8))/4)*'5. Scenarios'!$E$6/(1+ProductivityDefault*('5. Scenarios'!$E$11-1))+INDEX(BookOneOff,311)*$S316)</f>
        <v/>
      </c>
    </row>
    <row r="317" customFormat="false" ht="15" hidden="false" customHeight="false" outlineLevel="0" collapsed="false">
      <c r="A317" s="0" t="str">
        <f aca="false">IF(INDEX(BookTitle,312)="","",INDEX(BookKey,312))</f>
        <v/>
      </c>
      <c r="B317" s="0" t="str">
        <f aca="false">IF(INDEX(BookTitle,312)="","",INDEX(BookGroup,312))</f>
        <v/>
      </c>
      <c r="C317" s="0" t="str">
        <f aca="false">IF(INDEX(BookTitle,312)="","",INDEX(BookCategory,312))</f>
        <v/>
      </c>
      <c r="D317" s="56" t="str">
        <f aca="false">IF(INDEX(BookTitle,312)="","",INDEX(BookTotal,312)*'5. Scenarios'!$B$6/(1+ProductivityDefault*('5. Scenarios'!$B$11-1)))</f>
        <v/>
      </c>
      <c r="E317" s="57" t="str">
        <f aca="false">IF($D317="","",INDEX(BookRate,312)*(1+'5. Scenarios'!$B$10)*$D317)</f>
        <v/>
      </c>
      <c r="F317" s="57" t="str">
        <f aca="false">IF($E317="","",SUMIFS($E$6:$E$2405,$A$6:$A$2405,"&lt;="&amp;$A317))</f>
        <v/>
      </c>
      <c r="G317" s="57" t="str">
        <f aca="false">IF($E317="","",IF($F317&lt;=BankCostEnvelope*'5. Scenarios'!$B$7,1,0))</f>
        <v/>
      </c>
      <c r="H317" s="57" t="str">
        <f aca="false">IF($D317="","",INDEX(BookRate,312)*(1+'5. Scenarios'!$B$10)*(INDEX(BookQ1,312)*(5-MIN(4,1+'5. Scenarios'!$B$8))/4+INDEX(BookQ2,312)*(5-MIN(4,2+'5. Scenarios'!$B$8))/4+INDEX(BookQ3,312)*(5-MIN(4,3+'5. Scenarios'!$B$8))/4+INDEX(BookQ4,312)*(5-MIN(4,4+'5. Scenarios'!$B$8))/4)*'5. Scenarios'!$B$6/(1+ProductivityDefault*('5. Scenarios'!$B$11-1))+INDEX(BookOneOff,312)*$D317)</f>
        <v/>
      </c>
      <c r="I317" s="56" t="str">
        <f aca="false">IF(INDEX(BookTitle,312)="","",INDEX(BookTotal,312)*'5. Scenarios'!$C$6/(1+ProductivityDefault*('5. Scenarios'!$C$11-1)))</f>
        <v/>
      </c>
      <c r="J317" s="57" t="str">
        <f aca="false">IF($I317="","",INDEX(BookRate,312)*(1+'5. Scenarios'!$C$10)*$I317)</f>
        <v/>
      </c>
      <c r="K317" s="57" t="str">
        <f aca="false">IF($J317="","",SUMIFS($J$6:$J$2405,$A$6:$A$2405,"&lt;="&amp;$A317))</f>
        <v/>
      </c>
      <c r="L317" s="57" t="str">
        <f aca="false">IF($J317="","",IF($K317&lt;=BankCostEnvelope*'5. Scenarios'!$C$7,1,0))</f>
        <v/>
      </c>
      <c r="M317" s="57" t="str">
        <f aca="false">IF($I317="","",INDEX(BookRate,312)*(1+'5. Scenarios'!$C$10)*(INDEX(BookQ1,312)*(5-MIN(4,1+'5. Scenarios'!$C$8))/4+INDEX(BookQ2,312)*(5-MIN(4,2+'5. Scenarios'!$C$8))/4+INDEX(BookQ3,312)*(5-MIN(4,3+'5. Scenarios'!$C$8))/4+INDEX(BookQ4,312)*(5-MIN(4,4+'5. Scenarios'!$C$8))/4)*'5. Scenarios'!$C$6/(1+ProductivityDefault*('5. Scenarios'!$C$11-1))+INDEX(BookOneOff,312)*$I317)</f>
        <v/>
      </c>
      <c r="N317" s="56" t="str">
        <f aca="false">IF(INDEX(BookTitle,312)="","",INDEX(BookTotal,312)*'5. Scenarios'!$D$6/(1+ProductivityDefault*('5. Scenarios'!$D$11-1)))</f>
        <v/>
      </c>
      <c r="O317" s="57" t="str">
        <f aca="false">IF($N317="","",INDEX(BookRate,312)*(1+'5. Scenarios'!$D$10)*$N317)</f>
        <v/>
      </c>
      <c r="P317" s="57" t="str">
        <f aca="false">IF($O317="","",SUMIFS($O$6:$O$2405,$A$6:$A$2405,"&lt;="&amp;$A317))</f>
        <v/>
      </c>
      <c r="Q317" s="57" t="str">
        <f aca="false">IF($O317="","",IF($P317&lt;=BankCostEnvelope*'5. Scenarios'!$D$7,1,0))</f>
        <v/>
      </c>
      <c r="R317" s="57" t="str">
        <f aca="false">IF($N317="","",INDEX(BookRate,312)*(1+'5. Scenarios'!$D$10)*(INDEX(BookQ1,312)*(5-MIN(4,1+'5. Scenarios'!$D$8))/4+INDEX(BookQ2,312)*(5-MIN(4,2+'5. Scenarios'!$D$8))/4+INDEX(BookQ3,312)*(5-MIN(4,3+'5. Scenarios'!$D$8))/4+INDEX(BookQ4,312)*(5-MIN(4,4+'5. Scenarios'!$D$8))/4)*'5. Scenarios'!$D$6/(1+ProductivityDefault*('5. Scenarios'!$D$11-1))+INDEX(BookOneOff,312)*$N317)</f>
        <v/>
      </c>
      <c r="S317" s="56" t="str">
        <f aca="false">IF(INDEX(BookTitle,312)="","",INDEX(BookTotal,312)*'5. Scenarios'!$E$6/(1+ProductivityDefault*('5. Scenarios'!$E$11-1)))</f>
        <v/>
      </c>
      <c r="T317" s="57" t="str">
        <f aca="false">IF($S317="","",INDEX(BookRate,312)*(1+'5. Scenarios'!$E$10)*$S317)</f>
        <v/>
      </c>
      <c r="U317" s="57" t="str">
        <f aca="false">IF($T317="","",SUMIFS($T$6:$T$2405,$A$6:$A$2405,"&lt;="&amp;$A317))</f>
        <v/>
      </c>
      <c r="V317" s="57" t="str">
        <f aca="false">IF($T317="","",IF($U317&lt;=BankCostEnvelope*'5. Scenarios'!$E$7,1,0))</f>
        <v/>
      </c>
      <c r="W317" s="57" t="str">
        <f aca="false">IF($S317="","",INDEX(BookRate,312)*(1+'5. Scenarios'!$E$10)*(INDEX(BookQ1,312)*(5-MIN(4,1+'5. Scenarios'!$E$8))/4+INDEX(BookQ2,312)*(5-MIN(4,2+'5. Scenarios'!$E$8))/4+INDEX(BookQ3,312)*(5-MIN(4,3+'5. Scenarios'!$E$8))/4+INDEX(BookQ4,312)*(5-MIN(4,4+'5. Scenarios'!$E$8))/4)*'5. Scenarios'!$E$6/(1+ProductivityDefault*('5. Scenarios'!$E$11-1))+INDEX(BookOneOff,312)*$S317)</f>
        <v/>
      </c>
    </row>
    <row r="318" customFormat="false" ht="15" hidden="false" customHeight="false" outlineLevel="0" collapsed="false">
      <c r="A318" s="0" t="str">
        <f aca="false">IF(INDEX(BookTitle,313)="","",INDEX(BookKey,313))</f>
        <v/>
      </c>
      <c r="B318" s="0" t="str">
        <f aca="false">IF(INDEX(BookTitle,313)="","",INDEX(BookGroup,313))</f>
        <v/>
      </c>
      <c r="C318" s="0" t="str">
        <f aca="false">IF(INDEX(BookTitle,313)="","",INDEX(BookCategory,313))</f>
        <v/>
      </c>
      <c r="D318" s="56" t="str">
        <f aca="false">IF(INDEX(BookTitle,313)="","",INDEX(BookTotal,313)*'5. Scenarios'!$B$6/(1+ProductivityDefault*('5. Scenarios'!$B$11-1)))</f>
        <v/>
      </c>
      <c r="E318" s="57" t="str">
        <f aca="false">IF($D318="","",INDEX(BookRate,313)*(1+'5. Scenarios'!$B$10)*$D318)</f>
        <v/>
      </c>
      <c r="F318" s="57" t="str">
        <f aca="false">IF($E318="","",SUMIFS($E$6:$E$2405,$A$6:$A$2405,"&lt;="&amp;$A318))</f>
        <v/>
      </c>
      <c r="G318" s="57" t="str">
        <f aca="false">IF($E318="","",IF($F318&lt;=BankCostEnvelope*'5. Scenarios'!$B$7,1,0))</f>
        <v/>
      </c>
      <c r="H318" s="57" t="str">
        <f aca="false">IF($D318="","",INDEX(BookRate,313)*(1+'5. Scenarios'!$B$10)*(INDEX(BookQ1,313)*(5-MIN(4,1+'5. Scenarios'!$B$8))/4+INDEX(BookQ2,313)*(5-MIN(4,2+'5. Scenarios'!$B$8))/4+INDEX(BookQ3,313)*(5-MIN(4,3+'5. Scenarios'!$B$8))/4+INDEX(BookQ4,313)*(5-MIN(4,4+'5. Scenarios'!$B$8))/4)*'5. Scenarios'!$B$6/(1+ProductivityDefault*('5. Scenarios'!$B$11-1))+INDEX(BookOneOff,313)*$D318)</f>
        <v/>
      </c>
      <c r="I318" s="56" t="str">
        <f aca="false">IF(INDEX(BookTitle,313)="","",INDEX(BookTotal,313)*'5. Scenarios'!$C$6/(1+ProductivityDefault*('5. Scenarios'!$C$11-1)))</f>
        <v/>
      </c>
      <c r="J318" s="57" t="str">
        <f aca="false">IF($I318="","",INDEX(BookRate,313)*(1+'5. Scenarios'!$C$10)*$I318)</f>
        <v/>
      </c>
      <c r="K318" s="57" t="str">
        <f aca="false">IF($J318="","",SUMIFS($J$6:$J$2405,$A$6:$A$2405,"&lt;="&amp;$A318))</f>
        <v/>
      </c>
      <c r="L318" s="57" t="str">
        <f aca="false">IF($J318="","",IF($K318&lt;=BankCostEnvelope*'5. Scenarios'!$C$7,1,0))</f>
        <v/>
      </c>
      <c r="M318" s="57" t="str">
        <f aca="false">IF($I318="","",INDEX(BookRate,313)*(1+'5. Scenarios'!$C$10)*(INDEX(BookQ1,313)*(5-MIN(4,1+'5. Scenarios'!$C$8))/4+INDEX(BookQ2,313)*(5-MIN(4,2+'5. Scenarios'!$C$8))/4+INDEX(BookQ3,313)*(5-MIN(4,3+'5. Scenarios'!$C$8))/4+INDEX(BookQ4,313)*(5-MIN(4,4+'5. Scenarios'!$C$8))/4)*'5. Scenarios'!$C$6/(1+ProductivityDefault*('5. Scenarios'!$C$11-1))+INDEX(BookOneOff,313)*$I318)</f>
        <v/>
      </c>
      <c r="N318" s="56" t="str">
        <f aca="false">IF(INDEX(BookTitle,313)="","",INDEX(BookTotal,313)*'5. Scenarios'!$D$6/(1+ProductivityDefault*('5. Scenarios'!$D$11-1)))</f>
        <v/>
      </c>
      <c r="O318" s="57" t="str">
        <f aca="false">IF($N318="","",INDEX(BookRate,313)*(1+'5. Scenarios'!$D$10)*$N318)</f>
        <v/>
      </c>
      <c r="P318" s="57" t="str">
        <f aca="false">IF($O318="","",SUMIFS($O$6:$O$2405,$A$6:$A$2405,"&lt;="&amp;$A318))</f>
        <v/>
      </c>
      <c r="Q318" s="57" t="str">
        <f aca="false">IF($O318="","",IF($P318&lt;=BankCostEnvelope*'5. Scenarios'!$D$7,1,0))</f>
        <v/>
      </c>
      <c r="R318" s="57" t="str">
        <f aca="false">IF($N318="","",INDEX(BookRate,313)*(1+'5. Scenarios'!$D$10)*(INDEX(BookQ1,313)*(5-MIN(4,1+'5. Scenarios'!$D$8))/4+INDEX(BookQ2,313)*(5-MIN(4,2+'5. Scenarios'!$D$8))/4+INDEX(BookQ3,313)*(5-MIN(4,3+'5. Scenarios'!$D$8))/4+INDEX(BookQ4,313)*(5-MIN(4,4+'5. Scenarios'!$D$8))/4)*'5. Scenarios'!$D$6/(1+ProductivityDefault*('5. Scenarios'!$D$11-1))+INDEX(BookOneOff,313)*$N318)</f>
        <v/>
      </c>
      <c r="S318" s="56" t="str">
        <f aca="false">IF(INDEX(BookTitle,313)="","",INDEX(BookTotal,313)*'5. Scenarios'!$E$6/(1+ProductivityDefault*('5. Scenarios'!$E$11-1)))</f>
        <v/>
      </c>
      <c r="T318" s="57" t="str">
        <f aca="false">IF($S318="","",INDEX(BookRate,313)*(1+'5. Scenarios'!$E$10)*$S318)</f>
        <v/>
      </c>
      <c r="U318" s="57" t="str">
        <f aca="false">IF($T318="","",SUMIFS($T$6:$T$2405,$A$6:$A$2405,"&lt;="&amp;$A318))</f>
        <v/>
      </c>
      <c r="V318" s="57" t="str">
        <f aca="false">IF($T318="","",IF($U318&lt;=BankCostEnvelope*'5. Scenarios'!$E$7,1,0))</f>
        <v/>
      </c>
      <c r="W318" s="57" t="str">
        <f aca="false">IF($S318="","",INDEX(BookRate,313)*(1+'5. Scenarios'!$E$10)*(INDEX(BookQ1,313)*(5-MIN(4,1+'5. Scenarios'!$E$8))/4+INDEX(BookQ2,313)*(5-MIN(4,2+'5. Scenarios'!$E$8))/4+INDEX(BookQ3,313)*(5-MIN(4,3+'5. Scenarios'!$E$8))/4+INDEX(BookQ4,313)*(5-MIN(4,4+'5. Scenarios'!$E$8))/4)*'5. Scenarios'!$E$6/(1+ProductivityDefault*('5. Scenarios'!$E$11-1))+INDEX(BookOneOff,313)*$S318)</f>
        <v/>
      </c>
    </row>
    <row r="319" customFormat="false" ht="15" hidden="false" customHeight="false" outlineLevel="0" collapsed="false">
      <c r="A319" s="0" t="str">
        <f aca="false">IF(INDEX(BookTitle,314)="","",INDEX(BookKey,314))</f>
        <v/>
      </c>
      <c r="B319" s="0" t="str">
        <f aca="false">IF(INDEX(BookTitle,314)="","",INDEX(BookGroup,314))</f>
        <v/>
      </c>
      <c r="C319" s="0" t="str">
        <f aca="false">IF(INDEX(BookTitle,314)="","",INDEX(BookCategory,314))</f>
        <v/>
      </c>
      <c r="D319" s="56" t="str">
        <f aca="false">IF(INDEX(BookTitle,314)="","",INDEX(BookTotal,314)*'5. Scenarios'!$B$6/(1+ProductivityDefault*('5. Scenarios'!$B$11-1)))</f>
        <v/>
      </c>
      <c r="E319" s="57" t="str">
        <f aca="false">IF($D319="","",INDEX(BookRate,314)*(1+'5. Scenarios'!$B$10)*$D319)</f>
        <v/>
      </c>
      <c r="F319" s="57" t="str">
        <f aca="false">IF($E319="","",SUMIFS($E$6:$E$2405,$A$6:$A$2405,"&lt;="&amp;$A319))</f>
        <v/>
      </c>
      <c r="G319" s="57" t="str">
        <f aca="false">IF($E319="","",IF($F319&lt;=BankCostEnvelope*'5. Scenarios'!$B$7,1,0))</f>
        <v/>
      </c>
      <c r="H319" s="57" t="str">
        <f aca="false">IF($D319="","",INDEX(BookRate,314)*(1+'5. Scenarios'!$B$10)*(INDEX(BookQ1,314)*(5-MIN(4,1+'5. Scenarios'!$B$8))/4+INDEX(BookQ2,314)*(5-MIN(4,2+'5. Scenarios'!$B$8))/4+INDEX(BookQ3,314)*(5-MIN(4,3+'5. Scenarios'!$B$8))/4+INDEX(BookQ4,314)*(5-MIN(4,4+'5. Scenarios'!$B$8))/4)*'5. Scenarios'!$B$6/(1+ProductivityDefault*('5. Scenarios'!$B$11-1))+INDEX(BookOneOff,314)*$D319)</f>
        <v/>
      </c>
      <c r="I319" s="56" t="str">
        <f aca="false">IF(INDEX(BookTitle,314)="","",INDEX(BookTotal,314)*'5. Scenarios'!$C$6/(1+ProductivityDefault*('5. Scenarios'!$C$11-1)))</f>
        <v/>
      </c>
      <c r="J319" s="57" t="str">
        <f aca="false">IF($I319="","",INDEX(BookRate,314)*(1+'5. Scenarios'!$C$10)*$I319)</f>
        <v/>
      </c>
      <c r="K319" s="57" t="str">
        <f aca="false">IF($J319="","",SUMIFS($J$6:$J$2405,$A$6:$A$2405,"&lt;="&amp;$A319))</f>
        <v/>
      </c>
      <c r="L319" s="57" t="str">
        <f aca="false">IF($J319="","",IF($K319&lt;=BankCostEnvelope*'5. Scenarios'!$C$7,1,0))</f>
        <v/>
      </c>
      <c r="M319" s="57" t="str">
        <f aca="false">IF($I319="","",INDEX(BookRate,314)*(1+'5. Scenarios'!$C$10)*(INDEX(BookQ1,314)*(5-MIN(4,1+'5. Scenarios'!$C$8))/4+INDEX(BookQ2,314)*(5-MIN(4,2+'5. Scenarios'!$C$8))/4+INDEX(BookQ3,314)*(5-MIN(4,3+'5. Scenarios'!$C$8))/4+INDEX(BookQ4,314)*(5-MIN(4,4+'5. Scenarios'!$C$8))/4)*'5. Scenarios'!$C$6/(1+ProductivityDefault*('5. Scenarios'!$C$11-1))+INDEX(BookOneOff,314)*$I319)</f>
        <v/>
      </c>
      <c r="N319" s="56" t="str">
        <f aca="false">IF(INDEX(BookTitle,314)="","",INDEX(BookTotal,314)*'5. Scenarios'!$D$6/(1+ProductivityDefault*('5. Scenarios'!$D$11-1)))</f>
        <v/>
      </c>
      <c r="O319" s="57" t="str">
        <f aca="false">IF($N319="","",INDEX(BookRate,314)*(1+'5. Scenarios'!$D$10)*$N319)</f>
        <v/>
      </c>
      <c r="P319" s="57" t="str">
        <f aca="false">IF($O319="","",SUMIFS($O$6:$O$2405,$A$6:$A$2405,"&lt;="&amp;$A319))</f>
        <v/>
      </c>
      <c r="Q319" s="57" t="str">
        <f aca="false">IF($O319="","",IF($P319&lt;=BankCostEnvelope*'5. Scenarios'!$D$7,1,0))</f>
        <v/>
      </c>
      <c r="R319" s="57" t="str">
        <f aca="false">IF($N319="","",INDEX(BookRate,314)*(1+'5. Scenarios'!$D$10)*(INDEX(BookQ1,314)*(5-MIN(4,1+'5. Scenarios'!$D$8))/4+INDEX(BookQ2,314)*(5-MIN(4,2+'5. Scenarios'!$D$8))/4+INDEX(BookQ3,314)*(5-MIN(4,3+'5. Scenarios'!$D$8))/4+INDEX(BookQ4,314)*(5-MIN(4,4+'5. Scenarios'!$D$8))/4)*'5. Scenarios'!$D$6/(1+ProductivityDefault*('5. Scenarios'!$D$11-1))+INDEX(BookOneOff,314)*$N319)</f>
        <v/>
      </c>
      <c r="S319" s="56" t="str">
        <f aca="false">IF(INDEX(BookTitle,314)="","",INDEX(BookTotal,314)*'5. Scenarios'!$E$6/(1+ProductivityDefault*('5. Scenarios'!$E$11-1)))</f>
        <v/>
      </c>
      <c r="T319" s="57" t="str">
        <f aca="false">IF($S319="","",INDEX(BookRate,314)*(1+'5. Scenarios'!$E$10)*$S319)</f>
        <v/>
      </c>
      <c r="U319" s="57" t="str">
        <f aca="false">IF($T319="","",SUMIFS($T$6:$T$2405,$A$6:$A$2405,"&lt;="&amp;$A319))</f>
        <v/>
      </c>
      <c r="V319" s="57" t="str">
        <f aca="false">IF($T319="","",IF($U319&lt;=BankCostEnvelope*'5. Scenarios'!$E$7,1,0))</f>
        <v/>
      </c>
      <c r="W319" s="57" t="str">
        <f aca="false">IF($S319="","",INDEX(BookRate,314)*(1+'5. Scenarios'!$E$10)*(INDEX(BookQ1,314)*(5-MIN(4,1+'5. Scenarios'!$E$8))/4+INDEX(BookQ2,314)*(5-MIN(4,2+'5. Scenarios'!$E$8))/4+INDEX(BookQ3,314)*(5-MIN(4,3+'5. Scenarios'!$E$8))/4+INDEX(BookQ4,314)*(5-MIN(4,4+'5. Scenarios'!$E$8))/4)*'5. Scenarios'!$E$6/(1+ProductivityDefault*('5. Scenarios'!$E$11-1))+INDEX(BookOneOff,314)*$S319)</f>
        <v/>
      </c>
    </row>
    <row r="320" customFormat="false" ht="15" hidden="false" customHeight="false" outlineLevel="0" collapsed="false">
      <c r="A320" s="0" t="str">
        <f aca="false">IF(INDEX(BookTitle,315)="","",INDEX(BookKey,315))</f>
        <v/>
      </c>
      <c r="B320" s="0" t="str">
        <f aca="false">IF(INDEX(BookTitle,315)="","",INDEX(BookGroup,315))</f>
        <v/>
      </c>
      <c r="C320" s="0" t="str">
        <f aca="false">IF(INDEX(BookTitle,315)="","",INDEX(BookCategory,315))</f>
        <v/>
      </c>
      <c r="D320" s="56" t="str">
        <f aca="false">IF(INDEX(BookTitle,315)="","",INDEX(BookTotal,315)*'5. Scenarios'!$B$6/(1+ProductivityDefault*('5. Scenarios'!$B$11-1)))</f>
        <v/>
      </c>
      <c r="E320" s="57" t="str">
        <f aca="false">IF($D320="","",INDEX(BookRate,315)*(1+'5. Scenarios'!$B$10)*$D320)</f>
        <v/>
      </c>
      <c r="F320" s="57" t="str">
        <f aca="false">IF($E320="","",SUMIFS($E$6:$E$2405,$A$6:$A$2405,"&lt;="&amp;$A320))</f>
        <v/>
      </c>
      <c r="G320" s="57" t="str">
        <f aca="false">IF($E320="","",IF($F320&lt;=BankCostEnvelope*'5. Scenarios'!$B$7,1,0))</f>
        <v/>
      </c>
      <c r="H320" s="57" t="str">
        <f aca="false">IF($D320="","",INDEX(BookRate,315)*(1+'5. Scenarios'!$B$10)*(INDEX(BookQ1,315)*(5-MIN(4,1+'5. Scenarios'!$B$8))/4+INDEX(BookQ2,315)*(5-MIN(4,2+'5. Scenarios'!$B$8))/4+INDEX(BookQ3,315)*(5-MIN(4,3+'5. Scenarios'!$B$8))/4+INDEX(BookQ4,315)*(5-MIN(4,4+'5. Scenarios'!$B$8))/4)*'5. Scenarios'!$B$6/(1+ProductivityDefault*('5. Scenarios'!$B$11-1))+INDEX(BookOneOff,315)*$D320)</f>
        <v/>
      </c>
      <c r="I320" s="56" t="str">
        <f aca="false">IF(INDEX(BookTitle,315)="","",INDEX(BookTotal,315)*'5. Scenarios'!$C$6/(1+ProductivityDefault*('5. Scenarios'!$C$11-1)))</f>
        <v/>
      </c>
      <c r="J320" s="57" t="str">
        <f aca="false">IF($I320="","",INDEX(BookRate,315)*(1+'5. Scenarios'!$C$10)*$I320)</f>
        <v/>
      </c>
      <c r="K320" s="57" t="str">
        <f aca="false">IF($J320="","",SUMIFS($J$6:$J$2405,$A$6:$A$2405,"&lt;="&amp;$A320))</f>
        <v/>
      </c>
      <c r="L320" s="57" t="str">
        <f aca="false">IF($J320="","",IF($K320&lt;=BankCostEnvelope*'5. Scenarios'!$C$7,1,0))</f>
        <v/>
      </c>
      <c r="M320" s="57" t="str">
        <f aca="false">IF($I320="","",INDEX(BookRate,315)*(1+'5. Scenarios'!$C$10)*(INDEX(BookQ1,315)*(5-MIN(4,1+'5. Scenarios'!$C$8))/4+INDEX(BookQ2,315)*(5-MIN(4,2+'5. Scenarios'!$C$8))/4+INDEX(BookQ3,315)*(5-MIN(4,3+'5. Scenarios'!$C$8))/4+INDEX(BookQ4,315)*(5-MIN(4,4+'5. Scenarios'!$C$8))/4)*'5. Scenarios'!$C$6/(1+ProductivityDefault*('5. Scenarios'!$C$11-1))+INDEX(BookOneOff,315)*$I320)</f>
        <v/>
      </c>
      <c r="N320" s="56" t="str">
        <f aca="false">IF(INDEX(BookTitle,315)="","",INDEX(BookTotal,315)*'5. Scenarios'!$D$6/(1+ProductivityDefault*('5. Scenarios'!$D$11-1)))</f>
        <v/>
      </c>
      <c r="O320" s="57" t="str">
        <f aca="false">IF($N320="","",INDEX(BookRate,315)*(1+'5. Scenarios'!$D$10)*$N320)</f>
        <v/>
      </c>
      <c r="P320" s="57" t="str">
        <f aca="false">IF($O320="","",SUMIFS($O$6:$O$2405,$A$6:$A$2405,"&lt;="&amp;$A320))</f>
        <v/>
      </c>
      <c r="Q320" s="57" t="str">
        <f aca="false">IF($O320="","",IF($P320&lt;=BankCostEnvelope*'5. Scenarios'!$D$7,1,0))</f>
        <v/>
      </c>
      <c r="R320" s="57" t="str">
        <f aca="false">IF($N320="","",INDEX(BookRate,315)*(1+'5. Scenarios'!$D$10)*(INDEX(BookQ1,315)*(5-MIN(4,1+'5. Scenarios'!$D$8))/4+INDEX(BookQ2,315)*(5-MIN(4,2+'5. Scenarios'!$D$8))/4+INDEX(BookQ3,315)*(5-MIN(4,3+'5. Scenarios'!$D$8))/4+INDEX(BookQ4,315)*(5-MIN(4,4+'5. Scenarios'!$D$8))/4)*'5. Scenarios'!$D$6/(1+ProductivityDefault*('5. Scenarios'!$D$11-1))+INDEX(BookOneOff,315)*$N320)</f>
        <v/>
      </c>
      <c r="S320" s="56" t="str">
        <f aca="false">IF(INDEX(BookTitle,315)="","",INDEX(BookTotal,315)*'5. Scenarios'!$E$6/(1+ProductivityDefault*('5. Scenarios'!$E$11-1)))</f>
        <v/>
      </c>
      <c r="T320" s="57" t="str">
        <f aca="false">IF($S320="","",INDEX(BookRate,315)*(1+'5. Scenarios'!$E$10)*$S320)</f>
        <v/>
      </c>
      <c r="U320" s="57" t="str">
        <f aca="false">IF($T320="","",SUMIFS($T$6:$T$2405,$A$6:$A$2405,"&lt;="&amp;$A320))</f>
        <v/>
      </c>
      <c r="V320" s="57" t="str">
        <f aca="false">IF($T320="","",IF($U320&lt;=BankCostEnvelope*'5. Scenarios'!$E$7,1,0))</f>
        <v/>
      </c>
      <c r="W320" s="57" t="str">
        <f aca="false">IF($S320="","",INDEX(BookRate,315)*(1+'5. Scenarios'!$E$10)*(INDEX(BookQ1,315)*(5-MIN(4,1+'5. Scenarios'!$E$8))/4+INDEX(BookQ2,315)*(5-MIN(4,2+'5. Scenarios'!$E$8))/4+INDEX(BookQ3,315)*(5-MIN(4,3+'5. Scenarios'!$E$8))/4+INDEX(BookQ4,315)*(5-MIN(4,4+'5. Scenarios'!$E$8))/4)*'5. Scenarios'!$E$6/(1+ProductivityDefault*('5. Scenarios'!$E$11-1))+INDEX(BookOneOff,315)*$S320)</f>
        <v/>
      </c>
    </row>
    <row r="321" customFormat="false" ht="15" hidden="false" customHeight="false" outlineLevel="0" collapsed="false">
      <c r="A321" s="0" t="str">
        <f aca="false">IF(INDEX(BookTitle,316)="","",INDEX(BookKey,316))</f>
        <v/>
      </c>
      <c r="B321" s="0" t="str">
        <f aca="false">IF(INDEX(BookTitle,316)="","",INDEX(BookGroup,316))</f>
        <v/>
      </c>
      <c r="C321" s="0" t="str">
        <f aca="false">IF(INDEX(BookTitle,316)="","",INDEX(BookCategory,316))</f>
        <v/>
      </c>
      <c r="D321" s="56" t="str">
        <f aca="false">IF(INDEX(BookTitle,316)="","",INDEX(BookTotal,316)*'5. Scenarios'!$B$6/(1+ProductivityDefault*('5. Scenarios'!$B$11-1)))</f>
        <v/>
      </c>
      <c r="E321" s="57" t="str">
        <f aca="false">IF($D321="","",INDEX(BookRate,316)*(1+'5. Scenarios'!$B$10)*$D321)</f>
        <v/>
      </c>
      <c r="F321" s="57" t="str">
        <f aca="false">IF($E321="","",SUMIFS($E$6:$E$2405,$A$6:$A$2405,"&lt;="&amp;$A321))</f>
        <v/>
      </c>
      <c r="G321" s="57" t="str">
        <f aca="false">IF($E321="","",IF($F321&lt;=BankCostEnvelope*'5. Scenarios'!$B$7,1,0))</f>
        <v/>
      </c>
      <c r="H321" s="57" t="str">
        <f aca="false">IF($D321="","",INDEX(BookRate,316)*(1+'5. Scenarios'!$B$10)*(INDEX(BookQ1,316)*(5-MIN(4,1+'5. Scenarios'!$B$8))/4+INDEX(BookQ2,316)*(5-MIN(4,2+'5. Scenarios'!$B$8))/4+INDEX(BookQ3,316)*(5-MIN(4,3+'5. Scenarios'!$B$8))/4+INDEX(BookQ4,316)*(5-MIN(4,4+'5. Scenarios'!$B$8))/4)*'5. Scenarios'!$B$6/(1+ProductivityDefault*('5. Scenarios'!$B$11-1))+INDEX(BookOneOff,316)*$D321)</f>
        <v/>
      </c>
      <c r="I321" s="56" t="str">
        <f aca="false">IF(INDEX(BookTitle,316)="","",INDEX(BookTotal,316)*'5. Scenarios'!$C$6/(1+ProductivityDefault*('5. Scenarios'!$C$11-1)))</f>
        <v/>
      </c>
      <c r="J321" s="57" t="str">
        <f aca="false">IF($I321="","",INDEX(BookRate,316)*(1+'5. Scenarios'!$C$10)*$I321)</f>
        <v/>
      </c>
      <c r="K321" s="57" t="str">
        <f aca="false">IF($J321="","",SUMIFS($J$6:$J$2405,$A$6:$A$2405,"&lt;="&amp;$A321))</f>
        <v/>
      </c>
      <c r="L321" s="57" t="str">
        <f aca="false">IF($J321="","",IF($K321&lt;=BankCostEnvelope*'5. Scenarios'!$C$7,1,0))</f>
        <v/>
      </c>
      <c r="M321" s="57" t="str">
        <f aca="false">IF($I321="","",INDEX(BookRate,316)*(1+'5. Scenarios'!$C$10)*(INDEX(BookQ1,316)*(5-MIN(4,1+'5. Scenarios'!$C$8))/4+INDEX(BookQ2,316)*(5-MIN(4,2+'5. Scenarios'!$C$8))/4+INDEX(BookQ3,316)*(5-MIN(4,3+'5. Scenarios'!$C$8))/4+INDEX(BookQ4,316)*(5-MIN(4,4+'5. Scenarios'!$C$8))/4)*'5. Scenarios'!$C$6/(1+ProductivityDefault*('5. Scenarios'!$C$11-1))+INDEX(BookOneOff,316)*$I321)</f>
        <v/>
      </c>
      <c r="N321" s="56" t="str">
        <f aca="false">IF(INDEX(BookTitle,316)="","",INDEX(BookTotal,316)*'5. Scenarios'!$D$6/(1+ProductivityDefault*('5. Scenarios'!$D$11-1)))</f>
        <v/>
      </c>
      <c r="O321" s="57" t="str">
        <f aca="false">IF($N321="","",INDEX(BookRate,316)*(1+'5. Scenarios'!$D$10)*$N321)</f>
        <v/>
      </c>
      <c r="P321" s="57" t="str">
        <f aca="false">IF($O321="","",SUMIFS($O$6:$O$2405,$A$6:$A$2405,"&lt;="&amp;$A321))</f>
        <v/>
      </c>
      <c r="Q321" s="57" t="str">
        <f aca="false">IF($O321="","",IF($P321&lt;=BankCostEnvelope*'5. Scenarios'!$D$7,1,0))</f>
        <v/>
      </c>
      <c r="R321" s="57" t="str">
        <f aca="false">IF($N321="","",INDEX(BookRate,316)*(1+'5. Scenarios'!$D$10)*(INDEX(BookQ1,316)*(5-MIN(4,1+'5. Scenarios'!$D$8))/4+INDEX(BookQ2,316)*(5-MIN(4,2+'5. Scenarios'!$D$8))/4+INDEX(BookQ3,316)*(5-MIN(4,3+'5. Scenarios'!$D$8))/4+INDEX(BookQ4,316)*(5-MIN(4,4+'5. Scenarios'!$D$8))/4)*'5. Scenarios'!$D$6/(1+ProductivityDefault*('5. Scenarios'!$D$11-1))+INDEX(BookOneOff,316)*$N321)</f>
        <v/>
      </c>
      <c r="S321" s="56" t="str">
        <f aca="false">IF(INDEX(BookTitle,316)="","",INDEX(BookTotal,316)*'5. Scenarios'!$E$6/(1+ProductivityDefault*('5. Scenarios'!$E$11-1)))</f>
        <v/>
      </c>
      <c r="T321" s="57" t="str">
        <f aca="false">IF($S321="","",INDEX(BookRate,316)*(1+'5. Scenarios'!$E$10)*$S321)</f>
        <v/>
      </c>
      <c r="U321" s="57" t="str">
        <f aca="false">IF($T321="","",SUMIFS($T$6:$T$2405,$A$6:$A$2405,"&lt;="&amp;$A321))</f>
        <v/>
      </c>
      <c r="V321" s="57" t="str">
        <f aca="false">IF($T321="","",IF($U321&lt;=BankCostEnvelope*'5. Scenarios'!$E$7,1,0))</f>
        <v/>
      </c>
      <c r="W321" s="57" t="str">
        <f aca="false">IF($S321="","",INDEX(BookRate,316)*(1+'5. Scenarios'!$E$10)*(INDEX(BookQ1,316)*(5-MIN(4,1+'5. Scenarios'!$E$8))/4+INDEX(BookQ2,316)*(5-MIN(4,2+'5. Scenarios'!$E$8))/4+INDEX(BookQ3,316)*(5-MIN(4,3+'5. Scenarios'!$E$8))/4+INDEX(BookQ4,316)*(5-MIN(4,4+'5. Scenarios'!$E$8))/4)*'5. Scenarios'!$E$6/(1+ProductivityDefault*('5. Scenarios'!$E$11-1))+INDEX(BookOneOff,316)*$S321)</f>
        <v/>
      </c>
    </row>
    <row r="322" customFormat="false" ht="15" hidden="false" customHeight="false" outlineLevel="0" collapsed="false">
      <c r="A322" s="0" t="str">
        <f aca="false">IF(INDEX(BookTitle,317)="","",INDEX(BookKey,317))</f>
        <v/>
      </c>
      <c r="B322" s="0" t="str">
        <f aca="false">IF(INDEX(BookTitle,317)="","",INDEX(BookGroup,317))</f>
        <v/>
      </c>
      <c r="C322" s="0" t="str">
        <f aca="false">IF(INDEX(BookTitle,317)="","",INDEX(BookCategory,317))</f>
        <v/>
      </c>
      <c r="D322" s="56" t="str">
        <f aca="false">IF(INDEX(BookTitle,317)="","",INDEX(BookTotal,317)*'5. Scenarios'!$B$6/(1+ProductivityDefault*('5. Scenarios'!$B$11-1)))</f>
        <v/>
      </c>
      <c r="E322" s="57" t="str">
        <f aca="false">IF($D322="","",INDEX(BookRate,317)*(1+'5. Scenarios'!$B$10)*$D322)</f>
        <v/>
      </c>
      <c r="F322" s="57" t="str">
        <f aca="false">IF($E322="","",SUMIFS($E$6:$E$2405,$A$6:$A$2405,"&lt;="&amp;$A322))</f>
        <v/>
      </c>
      <c r="G322" s="57" t="str">
        <f aca="false">IF($E322="","",IF($F322&lt;=BankCostEnvelope*'5. Scenarios'!$B$7,1,0))</f>
        <v/>
      </c>
      <c r="H322" s="57" t="str">
        <f aca="false">IF($D322="","",INDEX(BookRate,317)*(1+'5. Scenarios'!$B$10)*(INDEX(BookQ1,317)*(5-MIN(4,1+'5. Scenarios'!$B$8))/4+INDEX(BookQ2,317)*(5-MIN(4,2+'5. Scenarios'!$B$8))/4+INDEX(BookQ3,317)*(5-MIN(4,3+'5. Scenarios'!$B$8))/4+INDEX(BookQ4,317)*(5-MIN(4,4+'5. Scenarios'!$B$8))/4)*'5. Scenarios'!$B$6/(1+ProductivityDefault*('5. Scenarios'!$B$11-1))+INDEX(BookOneOff,317)*$D322)</f>
        <v/>
      </c>
      <c r="I322" s="56" t="str">
        <f aca="false">IF(INDEX(BookTitle,317)="","",INDEX(BookTotal,317)*'5. Scenarios'!$C$6/(1+ProductivityDefault*('5. Scenarios'!$C$11-1)))</f>
        <v/>
      </c>
      <c r="J322" s="57" t="str">
        <f aca="false">IF($I322="","",INDEX(BookRate,317)*(1+'5. Scenarios'!$C$10)*$I322)</f>
        <v/>
      </c>
      <c r="K322" s="57" t="str">
        <f aca="false">IF($J322="","",SUMIFS($J$6:$J$2405,$A$6:$A$2405,"&lt;="&amp;$A322))</f>
        <v/>
      </c>
      <c r="L322" s="57" t="str">
        <f aca="false">IF($J322="","",IF($K322&lt;=BankCostEnvelope*'5. Scenarios'!$C$7,1,0))</f>
        <v/>
      </c>
      <c r="M322" s="57" t="str">
        <f aca="false">IF($I322="","",INDEX(BookRate,317)*(1+'5. Scenarios'!$C$10)*(INDEX(BookQ1,317)*(5-MIN(4,1+'5. Scenarios'!$C$8))/4+INDEX(BookQ2,317)*(5-MIN(4,2+'5. Scenarios'!$C$8))/4+INDEX(BookQ3,317)*(5-MIN(4,3+'5. Scenarios'!$C$8))/4+INDEX(BookQ4,317)*(5-MIN(4,4+'5. Scenarios'!$C$8))/4)*'5. Scenarios'!$C$6/(1+ProductivityDefault*('5. Scenarios'!$C$11-1))+INDEX(BookOneOff,317)*$I322)</f>
        <v/>
      </c>
      <c r="N322" s="56" t="str">
        <f aca="false">IF(INDEX(BookTitle,317)="","",INDEX(BookTotal,317)*'5. Scenarios'!$D$6/(1+ProductivityDefault*('5. Scenarios'!$D$11-1)))</f>
        <v/>
      </c>
      <c r="O322" s="57" t="str">
        <f aca="false">IF($N322="","",INDEX(BookRate,317)*(1+'5. Scenarios'!$D$10)*$N322)</f>
        <v/>
      </c>
      <c r="P322" s="57" t="str">
        <f aca="false">IF($O322="","",SUMIFS($O$6:$O$2405,$A$6:$A$2405,"&lt;="&amp;$A322))</f>
        <v/>
      </c>
      <c r="Q322" s="57" t="str">
        <f aca="false">IF($O322="","",IF($P322&lt;=BankCostEnvelope*'5. Scenarios'!$D$7,1,0))</f>
        <v/>
      </c>
      <c r="R322" s="57" t="str">
        <f aca="false">IF($N322="","",INDEX(BookRate,317)*(1+'5. Scenarios'!$D$10)*(INDEX(BookQ1,317)*(5-MIN(4,1+'5. Scenarios'!$D$8))/4+INDEX(BookQ2,317)*(5-MIN(4,2+'5. Scenarios'!$D$8))/4+INDEX(BookQ3,317)*(5-MIN(4,3+'5. Scenarios'!$D$8))/4+INDEX(BookQ4,317)*(5-MIN(4,4+'5. Scenarios'!$D$8))/4)*'5. Scenarios'!$D$6/(1+ProductivityDefault*('5. Scenarios'!$D$11-1))+INDEX(BookOneOff,317)*$N322)</f>
        <v/>
      </c>
      <c r="S322" s="56" t="str">
        <f aca="false">IF(INDEX(BookTitle,317)="","",INDEX(BookTotal,317)*'5. Scenarios'!$E$6/(1+ProductivityDefault*('5. Scenarios'!$E$11-1)))</f>
        <v/>
      </c>
      <c r="T322" s="57" t="str">
        <f aca="false">IF($S322="","",INDEX(BookRate,317)*(1+'5. Scenarios'!$E$10)*$S322)</f>
        <v/>
      </c>
      <c r="U322" s="57" t="str">
        <f aca="false">IF($T322="","",SUMIFS($T$6:$T$2405,$A$6:$A$2405,"&lt;="&amp;$A322))</f>
        <v/>
      </c>
      <c r="V322" s="57" t="str">
        <f aca="false">IF($T322="","",IF($U322&lt;=BankCostEnvelope*'5. Scenarios'!$E$7,1,0))</f>
        <v/>
      </c>
      <c r="W322" s="57" t="str">
        <f aca="false">IF($S322="","",INDEX(BookRate,317)*(1+'5. Scenarios'!$E$10)*(INDEX(BookQ1,317)*(5-MIN(4,1+'5. Scenarios'!$E$8))/4+INDEX(BookQ2,317)*(5-MIN(4,2+'5. Scenarios'!$E$8))/4+INDEX(BookQ3,317)*(5-MIN(4,3+'5. Scenarios'!$E$8))/4+INDEX(BookQ4,317)*(5-MIN(4,4+'5. Scenarios'!$E$8))/4)*'5. Scenarios'!$E$6/(1+ProductivityDefault*('5. Scenarios'!$E$11-1))+INDEX(BookOneOff,317)*$S322)</f>
        <v/>
      </c>
    </row>
    <row r="323" customFormat="false" ht="15" hidden="false" customHeight="false" outlineLevel="0" collapsed="false">
      <c r="A323" s="0" t="str">
        <f aca="false">IF(INDEX(BookTitle,318)="","",INDEX(BookKey,318))</f>
        <v/>
      </c>
      <c r="B323" s="0" t="str">
        <f aca="false">IF(INDEX(BookTitle,318)="","",INDEX(BookGroup,318))</f>
        <v/>
      </c>
      <c r="C323" s="0" t="str">
        <f aca="false">IF(INDEX(BookTitle,318)="","",INDEX(BookCategory,318))</f>
        <v/>
      </c>
      <c r="D323" s="56" t="str">
        <f aca="false">IF(INDEX(BookTitle,318)="","",INDEX(BookTotal,318)*'5. Scenarios'!$B$6/(1+ProductivityDefault*('5. Scenarios'!$B$11-1)))</f>
        <v/>
      </c>
      <c r="E323" s="57" t="str">
        <f aca="false">IF($D323="","",INDEX(BookRate,318)*(1+'5. Scenarios'!$B$10)*$D323)</f>
        <v/>
      </c>
      <c r="F323" s="57" t="str">
        <f aca="false">IF($E323="","",SUMIFS($E$6:$E$2405,$A$6:$A$2405,"&lt;="&amp;$A323))</f>
        <v/>
      </c>
      <c r="G323" s="57" t="str">
        <f aca="false">IF($E323="","",IF($F323&lt;=BankCostEnvelope*'5. Scenarios'!$B$7,1,0))</f>
        <v/>
      </c>
      <c r="H323" s="57" t="str">
        <f aca="false">IF($D323="","",INDEX(BookRate,318)*(1+'5. Scenarios'!$B$10)*(INDEX(BookQ1,318)*(5-MIN(4,1+'5. Scenarios'!$B$8))/4+INDEX(BookQ2,318)*(5-MIN(4,2+'5. Scenarios'!$B$8))/4+INDEX(BookQ3,318)*(5-MIN(4,3+'5. Scenarios'!$B$8))/4+INDEX(BookQ4,318)*(5-MIN(4,4+'5. Scenarios'!$B$8))/4)*'5. Scenarios'!$B$6/(1+ProductivityDefault*('5. Scenarios'!$B$11-1))+INDEX(BookOneOff,318)*$D323)</f>
        <v/>
      </c>
      <c r="I323" s="56" t="str">
        <f aca="false">IF(INDEX(BookTitle,318)="","",INDEX(BookTotal,318)*'5. Scenarios'!$C$6/(1+ProductivityDefault*('5. Scenarios'!$C$11-1)))</f>
        <v/>
      </c>
      <c r="J323" s="57" t="str">
        <f aca="false">IF($I323="","",INDEX(BookRate,318)*(1+'5. Scenarios'!$C$10)*$I323)</f>
        <v/>
      </c>
      <c r="K323" s="57" t="str">
        <f aca="false">IF($J323="","",SUMIFS($J$6:$J$2405,$A$6:$A$2405,"&lt;="&amp;$A323))</f>
        <v/>
      </c>
      <c r="L323" s="57" t="str">
        <f aca="false">IF($J323="","",IF($K323&lt;=BankCostEnvelope*'5. Scenarios'!$C$7,1,0))</f>
        <v/>
      </c>
      <c r="M323" s="57" t="str">
        <f aca="false">IF($I323="","",INDEX(BookRate,318)*(1+'5. Scenarios'!$C$10)*(INDEX(BookQ1,318)*(5-MIN(4,1+'5. Scenarios'!$C$8))/4+INDEX(BookQ2,318)*(5-MIN(4,2+'5. Scenarios'!$C$8))/4+INDEX(BookQ3,318)*(5-MIN(4,3+'5. Scenarios'!$C$8))/4+INDEX(BookQ4,318)*(5-MIN(4,4+'5. Scenarios'!$C$8))/4)*'5. Scenarios'!$C$6/(1+ProductivityDefault*('5. Scenarios'!$C$11-1))+INDEX(BookOneOff,318)*$I323)</f>
        <v/>
      </c>
      <c r="N323" s="56" t="str">
        <f aca="false">IF(INDEX(BookTitle,318)="","",INDEX(BookTotal,318)*'5. Scenarios'!$D$6/(1+ProductivityDefault*('5. Scenarios'!$D$11-1)))</f>
        <v/>
      </c>
      <c r="O323" s="57" t="str">
        <f aca="false">IF($N323="","",INDEX(BookRate,318)*(1+'5. Scenarios'!$D$10)*$N323)</f>
        <v/>
      </c>
      <c r="P323" s="57" t="str">
        <f aca="false">IF($O323="","",SUMIFS($O$6:$O$2405,$A$6:$A$2405,"&lt;="&amp;$A323))</f>
        <v/>
      </c>
      <c r="Q323" s="57" t="str">
        <f aca="false">IF($O323="","",IF($P323&lt;=BankCostEnvelope*'5. Scenarios'!$D$7,1,0))</f>
        <v/>
      </c>
      <c r="R323" s="57" t="str">
        <f aca="false">IF($N323="","",INDEX(BookRate,318)*(1+'5. Scenarios'!$D$10)*(INDEX(BookQ1,318)*(5-MIN(4,1+'5. Scenarios'!$D$8))/4+INDEX(BookQ2,318)*(5-MIN(4,2+'5. Scenarios'!$D$8))/4+INDEX(BookQ3,318)*(5-MIN(4,3+'5. Scenarios'!$D$8))/4+INDEX(BookQ4,318)*(5-MIN(4,4+'5. Scenarios'!$D$8))/4)*'5. Scenarios'!$D$6/(1+ProductivityDefault*('5. Scenarios'!$D$11-1))+INDEX(BookOneOff,318)*$N323)</f>
        <v/>
      </c>
      <c r="S323" s="56" t="str">
        <f aca="false">IF(INDEX(BookTitle,318)="","",INDEX(BookTotal,318)*'5. Scenarios'!$E$6/(1+ProductivityDefault*('5. Scenarios'!$E$11-1)))</f>
        <v/>
      </c>
      <c r="T323" s="57" t="str">
        <f aca="false">IF($S323="","",INDEX(BookRate,318)*(1+'5. Scenarios'!$E$10)*$S323)</f>
        <v/>
      </c>
      <c r="U323" s="57" t="str">
        <f aca="false">IF($T323="","",SUMIFS($T$6:$T$2405,$A$6:$A$2405,"&lt;="&amp;$A323))</f>
        <v/>
      </c>
      <c r="V323" s="57" t="str">
        <f aca="false">IF($T323="","",IF($U323&lt;=BankCostEnvelope*'5. Scenarios'!$E$7,1,0))</f>
        <v/>
      </c>
      <c r="W323" s="57" t="str">
        <f aca="false">IF($S323="","",INDEX(BookRate,318)*(1+'5. Scenarios'!$E$10)*(INDEX(BookQ1,318)*(5-MIN(4,1+'5. Scenarios'!$E$8))/4+INDEX(BookQ2,318)*(5-MIN(4,2+'5. Scenarios'!$E$8))/4+INDEX(BookQ3,318)*(5-MIN(4,3+'5. Scenarios'!$E$8))/4+INDEX(BookQ4,318)*(5-MIN(4,4+'5. Scenarios'!$E$8))/4)*'5. Scenarios'!$E$6/(1+ProductivityDefault*('5. Scenarios'!$E$11-1))+INDEX(BookOneOff,318)*$S323)</f>
        <v/>
      </c>
    </row>
    <row r="324" customFormat="false" ht="15" hidden="false" customHeight="false" outlineLevel="0" collapsed="false">
      <c r="A324" s="0" t="str">
        <f aca="false">IF(INDEX(BookTitle,319)="","",INDEX(BookKey,319))</f>
        <v/>
      </c>
      <c r="B324" s="0" t="str">
        <f aca="false">IF(INDEX(BookTitle,319)="","",INDEX(BookGroup,319))</f>
        <v/>
      </c>
      <c r="C324" s="0" t="str">
        <f aca="false">IF(INDEX(BookTitle,319)="","",INDEX(BookCategory,319))</f>
        <v/>
      </c>
      <c r="D324" s="56" t="str">
        <f aca="false">IF(INDEX(BookTitle,319)="","",INDEX(BookTotal,319)*'5. Scenarios'!$B$6/(1+ProductivityDefault*('5. Scenarios'!$B$11-1)))</f>
        <v/>
      </c>
      <c r="E324" s="57" t="str">
        <f aca="false">IF($D324="","",INDEX(BookRate,319)*(1+'5. Scenarios'!$B$10)*$D324)</f>
        <v/>
      </c>
      <c r="F324" s="57" t="str">
        <f aca="false">IF($E324="","",SUMIFS($E$6:$E$2405,$A$6:$A$2405,"&lt;="&amp;$A324))</f>
        <v/>
      </c>
      <c r="G324" s="57" t="str">
        <f aca="false">IF($E324="","",IF($F324&lt;=BankCostEnvelope*'5. Scenarios'!$B$7,1,0))</f>
        <v/>
      </c>
      <c r="H324" s="57" t="str">
        <f aca="false">IF($D324="","",INDEX(BookRate,319)*(1+'5. Scenarios'!$B$10)*(INDEX(BookQ1,319)*(5-MIN(4,1+'5. Scenarios'!$B$8))/4+INDEX(BookQ2,319)*(5-MIN(4,2+'5. Scenarios'!$B$8))/4+INDEX(BookQ3,319)*(5-MIN(4,3+'5. Scenarios'!$B$8))/4+INDEX(BookQ4,319)*(5-MIN(4,4+'5. Scenarios'!$B$8))/4)*'5. Scenarios'!$B$6/(1+ProductivityDefault*('5. Scenarios'!$B$11-1))+INDEX(BookOneOff,319)*$D324)</f>
        <v/>
      </c>
      <c r="I324" s="56" t="str">
        <f aca="false">IF(INDEX(BookTitle,319)="","",INDEX(BookTotal,319)*'5. Scenarios'!$C$6/(1+ProductivityDefault*('5. Scenarios'!$C$11-1)))</f>
        <v/>
      </c>
      <c r="J324" s="57" t="str">
        <f aca="false">IF($I324="","",INDEX(BookRate,319)*(1+'5. Scenarios'!$C$10)*$I324)</f>
        <v/>
      </c>
      <c r="K324" s="57" t="str">
        <f aca="false">IF($J324="","",SUMIFS($J$6:$J$2405,$A$6:$A$2405,"&lt;="&amp;$A324))</f>
        <v/>
      </c>
      <c r="L324" s="57" t="str">
        <f aca="false">IF($J324="","",IF($K324&lt;=BankCostEnvelope*'5. Scenarios'!$C$7,1,0))</f>
        <v/>
      </c>
      <c r="M324" s="57" t="str">
        <f aca="false">IF($I324="","",INDEX(BookRate,319)*(1+'5. Scenarios'!$C$10)*(INDEX(BookQ1,319)*(5-MIN(4,1+'5. Scenarios'!$C$8))/4+INDEX(BookQ2,319)*(5-MIN(4,2+'5. Scenarios'!$C$8))/4+INDEX(BookQ3,319)*(5-MIN(4,3+'5. Scenarios'!$C$8))/4+INDEX(BookQ4,319)*(5-MIN(4,4+'5. Scenarios'!$C$8))/4)*'5. Scenarios'!$C$6/(1+ProductivityDefault*('5. Scenarios'!$C$11-1))+INDEX(BookOneOff,319)*$I324)</f>
        <v/>
      </c>
      <c r="N324" s="56" t="str">
        <f aca="false">IF(INDEX(BookTitle,319)="","",INDEX(BookTotal,319)*'5. Scenarios'!$D$6/(1+ProductivityDefault*('5. Scenarios'!$D$11-1)))</f>
        <v/>
      </c>
      <c r="O324" s="57" t="str">
        <f aca="false">IF($N324="","",INDEX(BookRate,319)*(1+'5. Scenarios'!$D$10)*$N324)</f>
        <v/>
      </c>
      <c r="P324" s="57" t="str">
        <f aca="false">IF($O324="","",SUMIFS($O$6:$O$2405,$A$6:$A$2405,"&lt;="&amp;$A324))</f>
        <v/>
      </c>
      <c r="Q324" s="57" t="str">
        <f aca="false">IF($O324="","",IF($P324&lt;=BankCostEnvelope*'5. Scenarios'!$D$7,1,0))</f>
        <v/>
      </c>
      <c r="R324" s="57" t="str">
        <f aca="false">IF($N324="","",INDEX(BookRate,319)*(1+'5. Scenarios'!$D$10)*(INDEX(BookQ1,319)*(5-MIN(4,1+'5. Scenarios'!$D$8))/4+INDEX(BookQ2,319)*(5-MIN(4,2+'5. Scenarios'!$D$8))/4+INDEX(BookQ3,319)*(5-MIN(4,3+'5. Scenarios'!$D$8))/4+INDEX(BookQ4,319)*(5-MIN(4,4+'5. Scenarios'!$D$8))/4)*'5. Scenarios'!$D$6/(1+ProductivityDefault*('5. Scenarios'!$D$11-1))+INDEX(BookOneOff,319)*$N324)</f>
        <v/>
      </c>
      <c r="S324" s="56" t="str">
        <f aca="false">IF(INDEX(BookTitle,319)="","",INDEX(BookTotal,319)*'5. Scenarios'!$E$6/(1+ProductivityDefault*('5. Scenarios'!$E$11-1)))</f>
        <v/>
      </c>
      <c r="T324" s="57" t="str">
        <f aca="false">IF($S324="","",INDEX(BookRate,319)*(1+'5. Scenarios'!$E$10)*$S324)</f>
        <v/>
      </c>
      <c r="U324" s="57" t="str">
        <f aca="false">IF($T324="","",SUMIFS($T$6:$T$2405,$A$6:$A$2405,"&lt;="&amp;$A324))</f>
        <v/>
      </c>
      <c r="V324" s="57" t="str">
        <f aca="false">IF($T324="","",IF($U324&lt;=BankCostEnvelope*'5. Scenarios'!$E$7,1,0))</f>
        <v/>
      </c>
      <c r="W324" s="57" t="str">
        <f aca="false">IF($S324="","",INDEX(BookRate,319)*(1+'5. Scenarios'!$E$10)*(INDEX(BookQ1,319)*(5-MIN(4,1+'5. Scenarios'!$E$8))/4+INDEX(BookQ2,319)*(5-MIN(4,2+'5. Scenarios'!$E$8))/4+INDEX(BookQ3,319)*(5-MIN(4,3+'5. Scenarios'!$E$8))/4+INDEX(BookQ4,319)*(5-MIN(4,4+'5. Scenarios'!$E$8))/4)*'5. Scenarios'!$E$6/(1+ProductivityDefault*('5. Scenarios'!$E$11-1))+INDEX(BookOneOff,319)*$S324)</f>
        <v/>
      </c>
    </row>
    <row r="325" customFormat="false" ht="15" hidden="false" customHeight="false" outlineLevel="0" collapsed="false">
      <c r="A325" s="0" t="str">
        <f aca="false">IF(INDEX(BookTitle,320)="","",INDEX(BookKey,320))</f>
        <v/>
      </c>
      <c r="B325" s="0" t="str">
        <f aca="false">IF(INDEX(BookTitle,320)="","",INDEX(BookGroup,320))</f>
        <v/>
      </c>
      <c r="C325" s="0" t="str">
        <f aca="false">IF(INDEX(BookTitle,320)="","",INDEX(BookCategory,320))</f>
        <v/>
      </c>
      <c r="D325" s="56" t="str">
        <f aca="false">IF(INDEX(BookTitle,320)="","",INDEX(BookTotal,320)*'5. Scenarios'!$B$6/(1+ProductivityDefault*('5. Scenarios'!$B$11-1)))</f>
        <v/>
      </c>
      <c r="E325" s="57" t="str">
        <f aca="false">IF($D325="","",INDEX(BookRate,320)*(1+'5. Scenarios'!$B$10)*$D325)</f>
        <v/>
      </c>
      <c r="F325" s="57" t="str">
        <f aca="false">IF($E325="","",SUMIFS($E$6:$E$2405,$A$6:$A$2405,"&lt;="&amp;$A325))</f>
        <v/>
      </c>
      <c r="G325" s="57" t="str">
        <f aca="false">IF($E325="","",IF($F325&lt;=BankCostEnvelope*'5. Scenarios'!$B$7,1,0))</f>
        <v/>
      </c>
      <c r="H325" s="57" t="str">
        <f aca="false">IF($D325="","",INDEX(BookRate,320)*(1+'5. Scenarios'!$B$10)*(INDEX(BookQ1,320)*(5-MIN(4,1+'5. Scenarios'!$B$8))/4+INDEX(BookQ2,320)*(5-MIN(4,2+'5. Scenarios'!$B$8))/4+INDEX(BookQ3,320)*(5-MIN(4,3+'5. Scenarios'!$B$8))/4+INDEX(BookQ4,320)*(5-MIN(4,4+'5. Scenarios'!$B$8))/4)*'5. Scenarios'!$B$6/(1+ProductivityDefault*('5. Scenarios'!$B$11-1))+INDEX(BookOneOff,320)*$D325)</f>
        <v/>
      </c>
      <c r="I325" s="56" t="str">
        <f aca="false">IF(INDEX(BookTitle,320)="","",INDEX(BookTotal,320)*'5. Scenarios'!$C$6/(1+ProductivityDefault*('5. Scenarios'!$C$11-1)))</f>
        <v/>
      </c>
      <c r="J325" s="57" t="str">
        <f aca="false">IF($I325="","",INDEX(BookRate,320)*(1+'5. Scenarios'!$C$10)*$I325)</f>
        <v/>
      </c>
      <c r="K325" s="57" t="str">
        <f aca="false">IF($J325="","",SUMIFS($J$6:$J$2405,$A$6:$A$2405,"&lt;="&amp;$A325))</f>
        <v/>
      </c>
      <c r="L325" s="57" t="str">
        <f aca="false">IF($J325="","",IF($K325&lt;=BankCostEnvelope*'5. Scenarios'!$C$7,1,0))</f>
        <v/>
      </c>
      <c r="M325" s="57" t="str">
        <f aca="false">IF($I325="","",INDEX(BookRate,320)*(1+'5. Scenarios'!$C$10)*(INDEX(BookQ1,320)*(5-MIN(4,1+'5. Scenarios'!$C$8))/4+INDEX(BookQ2,320)*(5-MIN(4,2+'5. Scenarios'!$C$8))/4+INDEX(BookQ3,320)*(5-MIN(4,3+'5. Scenarios'!$C$8))/4+INDEX(BookQ4,320)*(5-MIN(4,4+'5. Scenarios'!$C$8))/4)*'5. Scenarios'!$C$6/(1+ProductivityDefault*('5. Scenarios'!$C$11-1))+INDEX(BookOneOff,320)*$I325)</f>
        <v/>
      </c>
      <c r="N325" s="56" t="str">
        <f aca="false">IF(INDEX(BookTitle,320)="","",INDEX(BookTotal,320)*'5. Scenarios'!$D$6/(1+ProductivityDefault*('5. Scenarios'!$D$11-1)))</f>
        <v/>
      </c>
      <c r="O325" s="57" t="str">
        <f aca="false">IF($N325="","",INDEX(BookRate,320)*(1+'5. Scenarios'!$D$10)*$N325)</f>
        <v/>
      </c>
      <c r="P325" s="57" t="str">
        <f aca="false">IF($O325="","",SUMIFS($O$6:$O$2405,$A$6:$A$2405,"&lt;="&amp;$A325))</f>
        <v/>
      </c>
      <c r="Q325" s="57" t="str">
        <f aca="false">IF($O325="","",IF($P325&lt;=BankCostEnvelope*'5. Scenarios'!$D$7,1,0))</f>
        <v/>
      </c>
      <c r="R325" s="57" t="str">
        <f aca="false">IF($N325="","",INDEX(BookRate,320)*(1+'5. Scenarios'!$D$10)*(INDEX(BookQ1,320)*(5-MIN(4,1+'5. Scenarios'!$D$8))/4+INDEX(BookQ2,320)*(5-MIN(4,2+'5. Scenarios'!$D$8))/4+INDEX(BookQ3,320)*(5-MIN(4,3+'5. Scenarios'!$D$8))/4+INDEX(BookQ4,320)*(5-MIN(4,4+'5. Scenarios'!$D$8))/4)*'5. Scenarios'!$D$6/(1+ProductivityDefault*('5. Scenarios'!$D$11-1))+INDEX(BookOneOff,320)*$N325)</f>
        <v/>
      </c>
      <c r="S325" s="56" t="str">
        <f aca="false">IF(INDEX(BookTitle,320)="","",INDEX(BookTotal,320)*'5. Scenarios'!$E$6/(1+ProductivityDefault*('5. Scenarios'!$E$11-1)))</f>
        <v/>
      </c>
      <c r="T325" s="57" t="str">
        <f aca="false">IF($S325="","",INDEX(BookRate,320)*(1+'5. Scenarios'!$E$10)*$S325)</f>
        <v/>
      </c>
      <c r="U325" s="57" t="str">
        <f aca="false">IF($T325="","",SUMIFS($T$6:$T$2405,$A$6:$A$2405,"&lt;="&amp;$A325))</f>
        <v/>
      </c>
      <c r="V325" s="57" t="str">
        <f aca="false">IF($T325="","",IF($U325&lt;=BankCostEnvelope*'5. Scenarios'!$E$7,1,0))</f>
        <v/>
      </c>
      <c r="W325" s="57" t="str">
        <f aca="false">IF($S325="","",INDEX(BookRate,320)*(1+'5. Scenarios'!$E$10)*(INDEX(BookQ1,320)*(5-MIN(4,1+'5. Scenarios'!$E$8))/4+INDEX(BookQ2,320)*(5-MIN(4,2+'5. Scenarios'!$E$8))/4+INDEX(BookQ3,320)*(5-MIN(4,3+'5. Scenarios'!$E$8))/4+INDEX(BookQ4,320)*(5-MIN(4,4+'5. Scenarios'!$E$8))/4)*'5. Scenarios'!$E$6/(1+ProductivityDefault*('5. Scenarios'!$E$11-1))+INDEX(BookOneOff,320)*$S325)</f>
        <v/>
      </c>
    </row>
    <row r="326" customFormat="false" ht="15" hidden="false" customHeight="false" outlineLevel="0" collapsed="false">
      <c r="A326" s="0" t="str">
        <f aca="false">IF(INDEX(BookTitle,321)="","",INDEX(BookKey,321))</f>
        <v/>
      </c>
      <c r="B326" s="0" t="str">
        <f aca="false">IF(INDEX(BookTitle,321)="","",INDEX(BookGroup,321))</f>
        <v/>
      </c>
      <c r="C326" s="0" t="str">
        <f aca="false">IF(INDEX(BookTitle,321)="","",INDEX(BookCategory,321))</f>
        <v/>
      </c>
      <c r="D326" s="56" t="str">
        <f aca="false">IF(INDEX(BookTitle,321)="","",INDEX(BookTotal,321)*'5. Scenarios'!$B$6/(1+ProductivityDefault*('5. Scenarios'!$B$11-1)))</f>
        <v/>
      </c>
      <c r="E326" s="57" t="str">
        <f aca="false">IF($D326="","",INDEX(BookRate,321)*(1+'5. Scenarios'!$B$10)*$D326)</f>
        <v/>
      </c>
      <c r="F326" s="57" t="str">
        <f aca="false">IF($E326="","",SUMIFS($E$6:$E$2405,$A$6:$A$2405,"&lt;="&amp;$A326))</f>
        <v/>
      </c>
      <c r="G326" s="57" t="str">
        <f aca="false">IF($E326="","",IF($F326&lt;=BankCostEnvelope*'5. Scenarios'!$B$7,1,0))</f>
        <v/>
      </c>
      <c r="H326" s="57" t="str">
        <f aca="false">IF($D326="","",INDEX(BookRate,321)*(1+'5. Scenarios'!$B$10)*(INDEX(BookQ1,321)*(5-MIN(4,1+'5. Scenarios'!$B$8))/4+INDEX(BookQ2,321)*(5-MIN(4,2+'5. Scenarios'!$B$8))/4+INDEX(BookQ3,321)*(5-MIN(4,3+'5. Scenarios'!$B$8))/4+INDEX(BookQ4,321)*(5-MIN(4,4+'5. Scenarios'!$B$8))/4)*'5. Scenarios'!$B$6/(1+ProductivityDefault*('5. Scenarios'!$B$11-1))+INDEX(BookOneOff,321)*$D326)</f>
        <v/>
      </c>
      <c r="I326" s="56" t="str">
        <f aca="false">IF(INDEX(BookTitle,321)="","",INDEX(BookTotal,321)*'5. Scenarios'!$C$6/(1+ProductivityDefault*('5. Scenarios'!$C$11-1)))</f>
        <v/>
      </c>
      <c r="J326" s="57" t="str">
        <f aca="false">IF($I326="","",INDEX(BookRate,321)*(1+'5. Scenarios'!$C$10)*$I326)</f>
        <v/>
      </c>
      <c r="K326" s="57" t="str">
        <f aca="false">IF($J326="","",SUMIFS($J$6:$J$2405,$A$6:$A$2405,"&lt;="&amp;$A326))</f>
        <v/>
      </c>
      <c r="L326" s="57" t="str">
        <f aca="false">IF($J326="","",IF($K326&lt;=BankCostEnvelope*'5. Scenarios'!$C$7,1,0))</f>
        <v/>
      </c>
      <c r="M326" s="57" t="str">
        <f aca="false">IF($I326="","",INDEX(BookRate,321)*(1+'5. Scenarios'!$C$10)*(INDEX(BookQ1,321)*(5-MIN(4,1+'5. Scenarios'!$C$8))/4+INDEX(BookQ2,321)*(5-MIN(4,2+'5. Scenarios'!$C$8))/4+INDEX(BookQ3,321)*(5-MIN(4,3+'5. Scenarios'!$C$8))/4+INDEX(BookQ4,321)*(5-MIN(4,4+'5. Scenarios'!$C$8))/4)*'5. Scenarios'!$C$6/(1+ProductivityDefault*('5. Scenarios'!$C$11-1))+INDEX(BookOneOff,321)*$I326)</f>
        <v/>
      </c>
      <c r="N326" s="56" t="str">
        <f aca="false">IF(INDEX(BookTitle,321)="","",INDEX(BookTotal,321)*'5. Scenarios'!$D$6/(1+ProductivityDefault*('5. Scenarios'!$D$11-1)))</f>
        <v/>
      </c>
      <c r="O326" s="57" t="str">
        <f aca="false">IF($N326="","",INDEX(BookRate,321)*(1+'5. Scenarios'!$D$10)*$N326)</f>
        <v/>
      </c>
      <c r="P326" s="57" t="str">
        <f aca="false">IF($O326="","",SUMIFS($O$6:$O$2405,$A$6:$A$2405,"&lt;="&amp;$A326))</f>
        <v/>
      </c>
      <c r="Q326" s="57" t="str">
        <f aca="false">IF($O326="","",IF($P326&lt;=BankCostEnvelope*'5. Scenarios'!$D$7,1,0))</f>
        <v/>
      </c>
      <c r="R326" s="57" t="str">
        <f aca="false">IF($N326="","",INDEX(BookRate,321)*(1+'5. Scenarios'!$D$10)*(INDEX(BookQ1,321)*(5-MIN(4,1+'5. Scenarios'!$D$8))/4+INDEX(BookQ2,321)*(5-MIN(4,2+'5. Scenarios'!$D$8))/4+INDEX(BookQ3,321)*(5-MIN(4,3+'5. Scenarios'!$D$8))/4+INDEX(BookQ4,321)*(5-MIN(4,4+'5. Scenarios'!$D$8))/4)*'5. Scenarios'!$D$6/(1+ProductivityDefault*('5. Scenarios'!$D$11-1))+INDEX(BookOneOff,321)*$N326)</f>
        <v/>
      </c>
      <c r="S326" s="56" t="str">
        <f aca="false">IF(INDEX(BookTitle,321)="","",INDEX(BookTotal,321)*'5. Scenarios'!$E$6/(1+ProductivityDefault*('5. Scenarios'!$E$11-1)))</f>
        <v/>
      </c>
      <c r="T326" s="57" t="str">
        <f aca="false">IF($S326="","",INDEX(BookRate,321)*(1+'5. Scenarios'!$E$10)*$S326)</f>
        <v/>
      </c>
      <c r="U326" s="57" t="str">
        <f aca="false">IF($T326="","",SUMIFS($T$6:$T$2405,$A$6:$A$2405,"&lt;="&amp;$A326))</f>
        <v/>
      </c>
      <c r="V326" s="57" t="str">
        <f aca="false">IF($T326="","",IF($U326&lt;=BankCostEnvelope*'5. Scenarios'!$E$7,1,0))</f>
        <v/>
      </c>
      <c r="W326" s="57" t="str">
        <f aca="false">IF($S326="","",INDEX(BookRate,321)*(1+'5. Scenarios'!$E$10)*(INDEX(BookQ1,321)*(5-MIN(4,1+'5. Scenarios'!$E$8))/4+INDEX(BookQ2,321)*(5-MIN(4,2+'5. Scenarios'!$E$8))/4+INDEX(BookQ3,321)*(5-MIN(4,3+'5. Scenarios'!$E$8))/4+INDEX(BookQ4,321)*(5-MIN(4,4+'5. Scenarios'!$E$8))/4)*'5. Scenarios'!$E$6/(1+ProductivityDefault*('5. Scenarios'!$E$11-1))+INDEX(BookOneOff,321)*$S326)</f>
        <v/>
      </c>
    </row>
    <row r="327" customFormat="false" ht="15" hidden="false" customHeight="false" outlineLevel="0" collapsed="false">
      <c r="A327" s="0" t="str">
        <f aca="false">IF(INDEX(BookTitle,322)="","",INDEX(BookKey,322))</f>
        <v/>
      </c>
      <c r="B327" s="0" t="str">
        <f aca="false">IF(INDEX(BookTitle,322)="","",INDEX(BookGroup,322))</f>
        <v/>
      </c>
      <c r="C327" s="0" t="str">
        <f aca="false">IF(INDEX(BookTitle,322)="","",INDEX(BookCategory,322))</f>
        <v/>
      </c>
      <c r="D327" s="56" t="str">
        <f aca="false">IF(INDEX(BookTitle,322)="","",INDEX(BookTotal,322)*'5. Scenarios'!$B$6/(1+ProductivityDefault*('5. Scenarios'!$B$11-1)))</f>
        <v/>
      </c>
      <c r="E327" s="57" t="str">
        <f aca="false">IF($D327="","",INDEX(BookRate,322)*(1+'5. Scenarios'!$B$10)*$D327)</f>
        <v/>
      </c>
      <c r="F327" s="57" t="str">
        <f aca="false">IF($E327="","",SUMIFS($E$6:$E$2405,$A$6:$A$2405,"&lt;="&amp;$A327))</f>
        <v/>
      </c>
      <c r="G327" s="57" t="str">
        <f aca="false">IF($E327="","",IF($F327&lt;=BankCostEnvelope*'5. Scenarios'!$B$7,1,0))</f>
        <v/>
      </c>
      <c r="H327" s="57" t="str">
        <f aca="false">IF($D327="","",INDEX(BookRate,322)*(1+'5. Scenarios'!$B$10)*(INDEX(BookQ1,322)*(5-MIN(4,1+'5. Scenarios'!$B$8))/4+INDEX(BookQ2,322)*(5-MIN(4,2+'5. Scenarios'!$B$8))/4+INDEX(BookQ3,322)*(5-MIN(4,3+'5. Scenarios'!$B$8))/4+INDEX(BookQ4,322)*(5-MIN(4,4+'5. Scenarios'!$B$8))/4)*'5. Scenarios'!$B$6/(1+ProductivityDefault*('5. Scenarios'!$B$11-1))+INDEX(BookOneOff,322)*$D327)</f>
        <v/>
      </c>
      <c r="I327" s="56" t="str">
        <f aca="false">IF(INDEX(BookTitle,322)="","",INDEX(BookTotal,322)*'5. Scenarios'!$C$6/(1+ProductivityDefault*('5. Scenarios'!$C$11-1)))</f>
        <v/>
      </c>
      <c r="J327" s="57" t="str">
        <f aca="false">IF($I327="","",INDEX(BookRate,322)*(1+'5. Scenarios'!$C$10)*$I327)</f>
        <v/>
      </c>
      <c r="K327" s="57" t="str">
        <f aca="false">IF($J327="","",SUMIFS($J$6:$J$2405,$A$6:$A$2405,"&lt;="&amp;$A327))</f>
        <v/>
      </c>
      <c r="L327" s="57" t="str">
        <f aca="false">IF($J327="","",IF($K327&lt;=BankCostEnvelope*'5. Scenarios'!$C$7,1,0))</f>
        <v/>
      </c>
      <c r="M327" s="57" t="str">
        <f aca="false">IF($I327="","",INDEX(BookRate,322)*(1+'5. Scenarios'!$C$10)*(INDEX(BookQ1,322)*(5-MIN(4,1+'5. Scenarios'!$C$8))/4+INDEX(BookQ2,322)*(5-MIN(4,2+'5. Scenarios'!$C$8))/4+INDEX(BookQ3,322)*(5-MIN(4,3+'5. Scenarios'!$C$8))/4+INDEX(BookQ4,322)*(5-MIN(4,4+'5. Scenarios'!$C$8))/4)*'5. Scenarios'!$C$6/(1+ProductivityDefault*('5. Scenarios'!$C$11-1))+INDEX(BookOneOff,322)*$I327)</f>
        <v/>
      </c>
      <c r="N327" s="56" t="str">
        <f aca="false">IF(INDEX(BookTitle,322)="","",INDEX(BookTotal,322)*'5. Scenarios'!$D$6/(1+ProductivityDefault*('5. Scenarios'!$D$11-1)))</f>
        <v/>
      </c>
      <c r="O327" s="57" t="str">
        <f aca="false">IF($N327="","",INDEX(BookRate,322)*(1+'5. Scenarios'!$D$10)*$N327)</f>
        <v/>
      </c>
      <c r="P327" s="57" t="str">
        <f aca="false">IF($O327="","",SUMIFS($O$6:$O$2405,$A$6:$A$2405,"&lt;="&amp;$A327))</f>
        <v/>
      </c>
      <c r="Q327" s="57" t="str">
        <f aca="false">IF($O327="","",IF($P327&lt;=BankCostEnvelope*'5. Scenarios'!$D$7,1,0))</f>
        <v/>
      </c>
      <c r="R327" s="57" t="str">
        <f aca="false">IF($N327="","",INDEX(BookRate,322)*(1+'5. Scenarios'!$D$10)*(INDEX(BookQ1,322)*(5-MIN(4,1+'5. Scenarios'!$D$8))/4+INDEX(BookQ2,322)*(5-MIN(4,2+'5. Scenarios'!$D$8))/4+INDEX(BookQ3,322)*(5-MIN(4,3+'5. Scenarios'!$D$8))/4+INDEX(BookQ4,322)*(5-MIN(4,4+'5. Scenarios'!$D$8))/4)*'5. Scenarios'!$D$6/(1+ProductivityDefault*('5. Scenarios'!$D$11-1))+INDEX(BookOneOff,322)*$N327)</f>
        <v/>
      </c>
      <c r="S327" s="56" t="str">
        <f aca="false">IF(INDEX(BookTitle,322)="","",INDEX(BookTotal,322)*'5. Scenarios'!$E$6/(1+ProductivityDefault*('5. Scenarios'!$E$11-1)))</f>
        <v/>
      </c>
      <c r="T327" s="57" t="str">
        <f aca="false">IF($S327="","",INDEX(BookRate,322)*(1+'5. Scenarios'!$E$10)*$S327)</f>
        <v/>
      </c>
      <c r="U327" s="57" t="str">
        <f aca="false">IF($T327="","",SUMIFS($T$6:$T$2405,$A$6:$A$2405,"&lt;="&amp;$A327))</f>
        <v/>
      </c>
      <c r="V327" s="57" t="str">
        <f aca="false">IF($T327="","",IF($U327&lt;=BankCostEnvelope*'5. Scenarios'!$E$7,1,0))</f>
        <v/>
      </c>
      <c r="W327" s="57" t="str">
        <f aca="false">IF($S327="","",INDEX(BookRate,322)*(1+'5. Scenarios'!$E$10)*(INDEX(BookQ1,322)*(5-MIN(4,1+'5. Scenarios'!$E$8))/4+INDEX(BookQ2,322)*(5-MIN(4,2+'5. Scenarios'!$E$8))/4+INDEX(BookQ3,322)*(5-MIN(4,3+'5. Scenarios'!$E$8))/4+INDEX(BookQ4,322)*(5-MIN(4,4+'5. Scenarios'!$E$8))/4)*'5. Scenarios'!$E$6/(1+ProductivityDefault*('5. Scenarios'!$E$11-1))+INDEX(BookOneOff,322)*$S327)</f>
        <v/>
      </c>
    </row>
    <row r="328" customFormat="false" ht="15" hidden="false" customHeight="false" outlineLevel="0" collapsed="false">
      <c r="A328" s="0" t="str">
        <f aca="false">IF(INDEX(BookTitle,323)="","",INDEX(BookKey,323))</f>
        <v/>
      </c>
      <c r="B328" s="0" t="str">
        <f aca="false">IF(INDEX(BookTitle,323)="","",INDEX(BookGroup,323))</f>
        <v/>
      </c>
      <c r="C328" s="0" t="str">
        <f aca="false">IF(INDEX(BookTitle,323)="","",INDEX(BookCategory,323))</f>
        <v/>
      </c>
      <c r="D328" s="56" t="str">
        <f aca="false">IF(INDEX(BookTitle,323)="","",INDEX(BookTotal,323)*'5. Scenarios'!$B$6/(1+ProductivityDefault*('5. Scenarios'!$B$11-1)))</f>
        <v/>
      </c>
      <c r="E328" s="57" t="str">
        <f aca="false">IF($D328="","",INDEX(BookRate,323)*(1+'5. Scenarios'!$B$10)*$D328)</f>
        <v/>
      </c>
      <c r="F328" s="57" t="str">
        <f aca="false">IF($E328="","",SUMIFS($E$6:$E$2405,$A$6:$A$2405,"&lt;="&amp;$A328))</f>
        <v/>
      </c>
      <c r="G328" s="57" t="str">
        <f aca="false">IF($E328="","",IF($F328&lt;=BankCostEnvelope*'5. Scenarios'!$B$7,1,0))</f>
        <v/>
      </c>
      <c r="H328" s="57" t="str">
        <f aca="false">IF($D328="","",INDEX(BookRate,323)*(1+'5. Scenarios'!$B$10)*(INDEX(BookQ1,323)*(5-MIN(4,1+'5. Scenarios'!$B$8))/4+INDEX(BookQ2,323)*(5-MIN(4,2+'5. Scenarios'!$B$8))/4+INDEX(BookQ3,323)*(5-MIN(4,3+'5. Scenarios'!$B$8))/4+INDEX(BookQ4,323)*(5-MIN(4,4+'5. Scenarios'!$B$8))/4)*'5. Scenarios'!$B$6/(1+ProductivityDefault*('5. Scenarios'!$B$11-1))+INDEX(BookOneOff,323)*$D328)</f>
        <v/>
      </c>
      <c r="I328" s="56" t="str">
        <f aca="false">IF(INDEX(BookTitle,323)="","",INDEX(BookTotal,323)*'5. Scenarios'!$C$6/(1+ProductivityDefault*('5. Scenarios'!$C$11-1)))</f>
        <v/>
      </c>
      <c r="J328" s="57" t="str">
        <f aca="false">IF($I328="","",INDEX(BookRate,323)*(1+'5. Scenarios'!$C$10)*$I328)</f>
        <v/>
      </c>
      <c r="K328" s="57" t="str">
        <f aca="false">IF($J328="","",SUMIFS($J$6:$J$2405,$A$6:$A$2405,"&lt;="&amp;$A328))</f>
        <v/>
      </c>
      <c r="L328" s="57" t="str">
        <f aca="false">IF($J328="","",IF($K328&lt;=BankCostEnvelope*'5. Scenarios'!$C$7,1,0))</f>
        <v/>
      </c>
      <c r="M328" s="57" t="str">
        <f aca="false">IF($I328="","",INDEX(BookRate,323)*(1+'5. Scenarios'!$C$10)*(INDEX(BookQ1,323)*(5-MIN(4,1+'5. Scenarios'!$C$8))/4+INDEX(BookQ2,323)*(5-MIN(4,2+'5. Scenarios'!$C$8))/4+INDEX(BookQ3,323)*(5-MIN(4,3+'5. Scenarios'!$C$8))/4+INDEX(BookQ4,323)*(5-MIN(4,4+'5. Scenarios'!$C$8))/4)*'5. Scenarios'!$C$6/(1+ProductivityDefault*('5. Scenarios'!$C$11-1))+INDEX(BookOneOff,323)*$I328)</f>
        <v/>
      </c>
      <c r="N328" s="56" t="str">
        <f aca="false">IF(INDEX(BookTitle,323)="","",INDEX(BookTotal,323)*'5. Scenarios'!$D$6/(1+ProductivityDefault*('5. Scenarios'!$D$11-1)))</f>
        <v/>
      </c>
      <c r="O328" s="57" t="str">
        <f aca="false">IF($N328="","",INDEX(BookRate,323)*(1+'5. Scenarios'!$D$10)*$N328)</f>
        <v/>
      </c>
      <c r="P328" s="57" t="str">
        <f aca="false">IF($O328="","",SUMIFS($O$6:$O$2405,$A$6:$A$2405,"&lt;="&amp;$A328))</f>
        <v/>
      </c>
      <c r="Q328" s="57" t="str">
        <f aca="false">IF($O328="","",IF($P328&lt;=BankCostEnvelope*'5. Scenarios'!$D$7,1,0))</f>
        <v/>
      </c>
      <c r="R328" s="57" t="str">
        <f aca="false">IF($N328="","",INDEX(BookRate,323)*(1+'5. Scenarios'!$D$10)*(INDEX(BookQ1,323)*(5-MIN(4,1+'5. Scenarios'!$D$8))/4+INDEX(BookQ2,323)*(5-MIN(4,2+'5. Scenarios'!$D$8))/4+INDEX(BookQ3,323)*(5-MIN(4,3+'5. Scenarios'!$D$8))/4+INDEX(BookQ4,323)*(5-MIN(4,4+'5. Scenarios'!$D$8))/4)*'5. Scenarios'!$D$6/(1+ProductivityDefault*('5. Scenarios'!$D$11-1))+INDEX(BookOneOff,323)*$N328)</f>
        <v/>
      </c>
      <c r="S328" s="56" t="str">
        <f aca="false">IF(INDEX(BookTitle,323)="","",INDEX(BookTotal,323)*'5. Scenarios'!$E$6/(1+ProductivityDefault*('5. Scenarios'!$E$11-1)))</f>
        <v/>
      </c>
      <c r="T328" s="57" t="str">
        <f aca="false">IF($S328="","",INDEX(BookRate,323)*(1+'5. Scenarios'!$E$10)*$S328)</f>
        <v/>
      </c>
      <c r="U328" s="57" t="str">
        <f aca="false">IF($T328="","",SUMIFS($T$6:$T$2405,$A$6:$A$2405,"&lt;="&amp;$A328))</f>
        <v/>
      </c>
      <c r="V328" s="57" t="str">
        <f aca="false">IF($T328="","",IF($U328&lt;=BankCostEnvelope*'5. Scenarios'!$E$7,1,0))</f>
        <v/>
      </c>
      <c r="W328" s="57" t="str">
        <f aca="false">IF($S328="","",INDEX(BookRate,323)*(1+'5. Scenarios'!$E$10)*(INDEX(BookQ1,323)*(5-MIN(4,1+'5. Scenarios'!$E$8))/4+INDEX(BookQ2,323)*(5-MIN(4,2+'5. Scenarios'!$E$8))/4+INDEX(BookQ3,323)*(5-MIN(4,3+'5. Scenarios'!$E$8))/4+INDEX(BookQ4,323)*(5-MIN(4,4+'5. Scenarios'!$E$8))/4)*'5. Scenarios'!$E$6/(1+ProductivityDefault*('5. Scenarios'!$E$11-1))+INDEX(BookOneOff,323)*$S328)</f>
        <v/>
      </c>
    </row>
    <row r="329" customFormat="false" ht="15" hidden="false" customHeight="false" outlineLevel="0" collapsed="false">
      <c r="A329" s="0" t="str">
        <f aca="false">IF(INDEX(BookTitle,324)="","",INDEX(BookKey,324))</f>
        <v/>
      </c>
      <c r="B329" s="0" t="str">
        <f aca="false">IF(INDEX(BookTitle,324)="","",INDEX(BookGroup,324))</f>
        <v/>
      </c>
      <c r="C329" s="0" t="str">
        <f aca="false">IF(INDEX(BookTitle,324)="","",INDEX(BookCategory,324))</f>
        <v/>
      </c>
      <c r="D329" s="56" t="str">
        <f aca="false">IF(INDEX(BookTitle,324)="","",INDEX(BookTotal,324)*'5. Scenarios'!$B$6/(1+ProductivityDefault*('5. Scenarios'!$B$11-1)))</f>
        <v/>
      </c>
      <c r="E329" s="57" t="str">
        <f aca="false">IF($D329="","",INDEX(BookRate,324)*(1+'5. Scenarios'!$B$10)*$D329)</f>
        <v/>
      </c>
      <c r="F329" s="57" t="str">
        <f aca="false">IF($E329="","",SUMIFS($E$6:$E$2405,$A$6:$A$2405,"&lt;="&amp;$A329))</f>
        <v/>
      </c>
      <c r="G329" s="57" t="str">
        <f aca="false">IF($E329="","",IF($F329&lt;=BankCostEnvelope*'5. Scenarios'!$B$7,1,0))</f>
        <v/>
      </c>
      <c r="H329" s="57" t="str">
        <f aca="false">IF($D329="","",INDEX(BookRate,324)*(1+'5. Scenarios'!$B$10)*(INDEX(BookQ1,324)*(5-MIN(4,1+'5. Scenarios'!$B$8))/4+INDEX(BookQ2,324)*(5-MIN(4,2+'5. Scenarios'!$B$8))/4+INDEX(BookQ3,324)*(5-MIN(4,3+'5. Scenarios'!$B$8))/4+INDEX(BookQ4,324)*(5-MIN(4,4+'5. Scenarios'!$B$8))/4)*'5. Scenarios'!$B$6/(1+ProductivityDefault*('5. Scenarios'!$B$11-1))+INDEX(BookOneOff,324)*$D329)</f>
        <v/>
      </c>
      <c r="I329" s="56" t="str">
        <f aca="false">IF(INDEX(BookTitle,324)="","",INDEX(BookTotal,324)*'5. Scenarios'!$C$6/(1+ProductivityDefault*('5. Scenarios'!$C$11-1)))</f>
        <v/>
      </c>
      <c r="J329" s="57" t="str">
        <f aca="false">IF($I329="","",INDEX(BookRate,324)*(1+'5. Scenarios'!$C$10)*$I329)</f>
        <v/>
      </c>
      <c r="K329" s="57" t="str">
        <f aca="false">IF($J329="","",SUMIFS($J$6:$J$2405,$A$6:$A$2405,"&lt;="&amp;$A329))</f>
        <v/>
      </c>
      <c r="L329" s="57" t="str">
        <f aca="false">IF($J329="","",IF($K329&lt;=BankCostEnvelope*'5. Scenarios'!$C$7,1,0))</f>
        <v/>
      </c>
      <c r="M329" s="57" t="str">
        <f aca="false">IF($I329="","",INDEX(BookRate,324)*(1+'5. Scenarios'!$C$10)*(INDEX(BookQ1,324)*(5-MIN(4,1+'5. Scenarios'!$C$8))/4+INDEX(BookQ2,324)*(5-MIN(4,2+'5. Scenarios'!$C$8))/4+INDEX(BookQ3,324)*(5-MIN(4,3+'5. Scenarios'!$C$8))/4+INDEX(BookQ4,324)*(5-MIN(4,4+'5. Scenarios'!$C$8))/4)*'5. Scenarios'!$C$6/(1+ProductivityDefault*('5. Scenarios'!$C$11-1))+INDEX(BookOneOff,324)*$I329)</f>
        <v/>
      </c>
      <c r="N329" s="56" t="str">
        <f aca="false">IF(INDEX(BookTitle,324)="","",INDEX(BookTotal,324)*'5. Scenarios'!$D$6/(1+ProductivityDefault*('5. Scenarios'!$D$11-1)))</f>
        <v/>
      </c>
      <c r="O329" s="57" t="str">
        <f aca="false">IF($N329="","",INDEX(BookRate,324)*(1+'5. Scenarios'!$D$10)*$N329)</f>
        <v/>
      </c>
      <c r="P329" s="57" t="str">
        <f aca="false">IF($O329="","",SUMIFS($O$6:$O$2405,$A$6:$A$2405,"&lt;="&amp;$A329))</f>
        <v/>
      </c>
      <c r="Q329" s="57" t="str">
        <f aca="false">IF($O329="","",IF($P329&lt;=BankCostEnvelope*'5. Scenarios'!$D$7,1,0))</f>
        <v/>
      </c>
      <c r="R329" s="57" t="str">
        <f aca="false">IF($N329="","",INDEX(BookRate,324)*(1+'5. Scenarios'!$D$10)*(INDEX(BookQ1,324)*(5-MIN(4,1+'5. Scenarios'!$D$8))/4+INDEX(BookQ2,324)*(5-MIN(4,2+'5. Scenarios'!$D$8))/4+INDEX(BookQ3,324)*(5-MIN(4,3+'5. Scenarios'!$D$8))/4+INDEX(BookQ4,324)*(5-MIN(4,4+'5. Scenarios'!$D$8))/4)*'5. Scenarios'!$D$6/(1+ProductivityDefault*('5. Scenarios'!$D$11-1))+INDEX(BookOneOff,324)*$N329)</f>
        <v/>
      </c>
      <c r="S329" s="56" t="str">
        <f aca="false">IF(INDEX(BookTitle,324)="","",INDEX(BookTotal,324)*'5. Scenarios'!$E$6/(1+ProductivityDefault*('5. Scenarios'!$E$11-1)))</f>
        <v/>
      </c>
      <c r="T329" s="57" t="str">
        <f aca="false">IF($S329="","",INDEX(BookRate,324)*(1+'5. Scenarios'!$E$10)*$S329)</f>
        <v/>
      </c>
      <c r="U329" s="57" t="str">
        <f aca="false">IF($T329="","",SUMIFS($T$6:$T$2405,$A$6:$A$2405,"&lt;="&amp;$A329))</f>
        <v/>
      </c>
      <c r="V329" s="57" t="str">
        <f aca="false">IF($T329="","",IF($U329&lt;=BankCostEnvelope*'5. Scenarios'!$E$7,1,0))</f>
        <v/>
      </c>
      <c r="W329" s="57" t="str">
        <f aca="false">IF($S329="","",INDEX(BookRate,324)*(1+'5. Scenarios'!$E$10)*(INDEX(BookQ1,324)*(5-MIN(4,1+'5. Scenarios'!$E$8))/4+INDEX(BookQ2,324)*(5-MIN(4,2+'5. Scenarios'!$E$8))/4+INDEX(BookQ3,324)*(5-MIN(4,3+'5. Scenarios'!$E$8))/4+INDEX(BookQ4,324)*(5-MIN(4,4+'5. Scenarios'!$E$8))/4)*'5. Scenarios'!$E$6/(1+ProductivityDefault*('5. Scenarios'!$E$11-1))+INDEX(BookOneOff,324)*$S329)</f>
        <v/>
      </c>
    </row>
    <row r="330" customFormat="false" ht="15" hidden="false" customHeight="false" outlineLevel="0" collapsed="false">
      <c r="A330" s="0" t="str">
        <f aca="false">IF(INDEX(BookTitle,325)="","",INDEX(BookKey,325))</f>
        <v/>
      </c>
      <c r="B330" s="0" t="str">
        <f aca="false">IF(INDEX(BookTitle,325)="","",INDEX(BookGroup,325))</f>
        <v/>
      </c>
      <c r="C330" s="0" t="str">
        <f aca="false">IF(INDEX(BookTitle,325)="","",INDEX(BookCategory,325))</f>
        <v/>
      </c>
      <c r="D330" s="56" t="str">
        <f aca="false">IF(INDEX(BookTitle,325)="","",INDEX(BookTotal,325)*'5. Scenarios'!$B$6/(1+ProductivityDefault*('5. Scenarios'!$B$11-1)))</f>
        <v/>
      </c>
      <c r="E330" s="57" t="str">
        <f aca="false">IF($D330="","",INDEX(BookRate,325)*(1+'5. Scenarios'!$B$10)*$D330)</f>
        <v/>
      </c>
      <c r="F330" s="57" t="str">
        <f aca="false">IF($E330="","",SUMIFS($E$6:$E$2405,$A$6:$A$2405,"&lt;="&amp;$A330))</f>
        <v/>
      </c>
      <c r="G330" s="57" t="str">
        <f aca="false">IF($E330="","",IF($F330&lt;=BankCostEnvelope*'5. Scenarios'!$B$7,1,0))</f>
        <v/>
      </c>
      <c r="H330" s="57" t="str">
        <f aca="false">IF($D330="","",INDEX(BookRate,325)*(1+'5. Scenarios'!$B$10)*(INDEX(BookQ1,325)*(5-MIN(4,1+'5. Scenarios'!$B$8))/4+INDEX(BookQ2,325)*(5-MIN(4,2+'5. Scenarios'!$B$8))/4+INDEX(BookQ3,325)*(5-MIN(4,3+'5. Scenarios'!$B$8))/4+INDEX(BookQ4,325)*(5-MIN(4,4+'5. Scenarios'!$B$8))/4)*'5. Scenarios'!$B$6/(1+ProductivityDefault*('5. Scenarios'!$B$11-1))+INDEX(BookOneOff,325)*$D330)</f>
        <v/>
      </c>
      <c r="I330" s="56" t="str">
        <f aca="false">IF(INDEX(BookTitle,325)="","",INDEX(BookTotal,325)*'5. Scenarios'!$C$6/(1+ProductivityDefault*('5. Scenarios'!$C$11-1)))</f>
        <v/>
      </c>
      <c r="J330" s="57" t="str">
        <f aca="false">IF($I330="","",INDEX(BookRate,325)*(1+'5. Scenarios'!$C$10)*$I330)</f>
        <v/>
      </c>
      <c r="K330" s="57" t="str">
        <f aca="false">IF($J330="","",SUMIFS($J$6:$J$2405,$A$6:$A$2405,"&lt;="&amp;$A330))</f>
        <v/>
      </c>
      <c r="L330" s="57" t="str">
        <f aca="false">IF($J330="","",IF($K330&lt;=BankCostEnvelope*'5. Scenarios'!$C$7,1,0))</f>
        <v/>
      </c>
      <c r="M330" s="57" t="str">
        <f aca="false">IF($I330="","",INDEX(BookRate,325)*(1+'5. Scenarios'!$C$10)*(INDEX(BookQ1,325)*(5-MIN(4,1+'5. Scenarios'!$C$8))/4+INDEX(BookQ2,325)*(5-MIN(4,2+'5. Scenarios'!$C$8))/4+INDEX(BookQ3,325)*(5-MIN(4,3+'5. Scenarios'!$C$8))/4+INDEX(BookQ4,325)*(5-MIN(4,4+'5. Scenarios'!$C$8))/4)*'5. Scenarios'!$C$6/(1+ProductivityDefault*('5. Scenarios'!$C$11-1))+INDEX(BookOneOff,325)*$I330)</f>
        <v/>
      </c>
      <c r="N330" s="56" t="str">
        <f aca="false">IF(INDEX(BookTitle,325)="","",INDEX(BookTotal,325)*'5. Scenarios'!$D$6/(1+ProductivityDefault*('5. Scenarios'!$D$11-1)))</f>
        <v/>
      </c>
      <c r="O330" s="57" t="str">
        <f aca="false">IF($N330="","",INDEX(BookRate,325)*(1+'5. Scenarios'!$D$10)*$N330)</f>
        <v/>
      </c>
      <c r="P330" s="57" t="str">
        <f aca="false">IF($O330="","",SUMIFS($O$6:$O$2405,$A$6:$A$2405,"&lt;="&amp;$A330))</f>
        <v/>
      </c>
      <c r="Q330" s="57" t="str">
        <f aca="false">IF($O330="","",IF($P330&lt;=BankCostEnvelope*'5. Scenarios'!$D$7,1,0))</f>
        <v/>
      </c>
      <c r="R330" s="57" t="str">
        <f aca="false">IF($N330="","",INDEX(BookRate,325)*(1+'5. Scenarios'!$D$10)*(INDEX(BookQ1,325)*(5-MIN(4,1+'5. Scenarios'!$D$8))/4+INDEX(BookQ2,325)*(5-MIN(4,2+'5. Scenarios'!$D$8))/4+INDEX(BookQ3,325)*(5-MIN(4,3+'5. Scenarios'!$D$8))/4+INDEX(BookQ4,325)*(5-MIN(4,4+'5. Scenarios'!$D$8))/4)*'5. Scenarios'!$D$6/(1+ProductivityDefault*('5. Scenarios'!$D$11-1))+INDEX(BookOneOff,325)*$N330)</f>
        <v/>
      </c>
      <c r="S330" s="56" t="str">
        <f aca="false">IF(INDEX(BookTitle,325)="","",INDEX(BookTotal,325)*'5. Scenarios'!$E$6/(1+ProductivityDefault*('5. Scenarios'!$E$11-1)))</f>
        <v/>
      </c>
      <c r="T330" s="57" t="str">
        <f aca="false">IF($S330="","",INDEX(BookRate,325)*(1+'5. Scenarios'!$E$10)*$S330)</f>
        <v/>
      </c>
      <c r="U330" s="57" t="str">
        <f aca="false">IF($T330="","",SUMIFS($T$6:$T$2405,$A$6:$A$2405,"&lt;="&amp;$A330))</f>
        <v/>
      </c>
      <c r="V330" s="57" t="str">
        <f aca="false">IF($T330="","",IF($U330&lt;=BankCostEnvelope*'5. Scenarios'!$E$7,1,0))</f>
        <v/>
      </c>
      <c r="W330" s="57" t="str">
        <f aca="false">IF($S330="","",INDEX(BookRate,325)*(1+'5. Scenarios'!$E$10)*(INDEX(BookQ1,325)*(5-MIN(4,1+'5. Scenarios'!$E$8))/4+INDEX(BookQ2,325)*(5-MIN(4,2+'5. Scenarios'!$E$8))/4+INDEX(BookQ3,325)*(5-MIN(4,3+'5. Scenarios'!$E$8))/4+INDEX(BookQ4,325)*(5-MIN(4,4+'5. Scenarios'!$E$8))/4)*'5. Scenarios'!$E$6/(1+ProductivityDefault*('5. Scenarios'!$E$11-1))+INDEX(BookOneOff,325)*$S330)</f>
        <v/>
      </c>
    </row>
    <row r="331" customFormat="false" ht="15" hidden="false" customHeight="false" outlineLevel="0" collapsed="false">
      <c r="A331" s="0" t="str">
        <f aca="false">IF(INDEX(BookTitle,326)="","",INDEX(BookKey,326))</f>
        <v/>
      </c>
      <c r="B331" s="0" t="str">
        <f aca="false">IF(INDEX(BookTitle,326)="","",INDEX(BookGroup,326))</f>
        <v/>
      </c>
      <c r="C331" s="0" t="str">
        <f aca="false">IF(INDEX(BookTitle,326)="","",INDEX(BookCategory,326))</f>
        <v/>
      </c>
      <c r="D331" s="56" t="str">
        <f aca="false">IF(INDEX(BookTitle,326)="","",INDEX(BookTotal,326)*'5. Scenarios'!$B$6/(1+ProductivityDefault*('5. Scenarios'!$B$11-1)))</f>
        <v/>
      </c>
      <c r="E331" s="57" t="str">
        <f aca="false">IF($D331="","",INDEX(BookRate,326)*(1+'5. Scenarios'!$B$10)*$D331)</f>
        <v/>
      </c>
      <c r="F331" s="57" t="str">
        <f aca="false">IF($E331="","",SUMIFS($E$6:$E$2405,$A$6:$A$2405,"&lt;="&amp;$A331))</f>
        <v/>
      </c>
      <c r="G331" s="57" t="str">
        <f aca="false">IF($E331="","",IF($F331&lt;=BankCostEnvelope*'5. Scenarios'!$B$7,1,0))</f>
        <v/>
      </c>
      <c r="H331" s="57" t="str">
        <f aca="false">IF($D331="","",INDEX(BookRate,326)*(1+'5. Scenarios'!$B$10)*(INDEX(BookQ1,326)*(5-MIN(4,1+'5. Scenarios'!$B$8))/4+INDEX(BookQ2,326)*(5-MIN(4,2+'5. Scenarios'!$B$8))/4+INDEX(BookQ3,326)*(5-MIN(4,3+'5. Scenarios'!$B$8))/4+INDEX(BookQ4,326)*(5-MIN(4,4+'5. Scenarios'!$B$8))/4)*'5. Scenarios'!$B$6/(1+ProductivityDefault*('5. Scenarios'!$B$11-1))+INDEX(BookOneOff,326)*$D331)</f>
        <v/>
      </c>
      <c r="I331" s="56" t="str">
        <f aca="false">IF(INDEX(BookTitle,326)="","",INDEX(BookTotal,326)*'5. Scenarios'!$C$6/(1+ProductivityDefault*('5. Scenarios'!$C$11-1)))</f>
        <v/>
      </c>
      <c r="J331" s="57" t="str">
        <f aca="false">IF($I331="","",INDEX(BookRate,326)*(1+'5. Scenarios'!$C$10)*$I331)</f>
        <v/>
      </c>
      <c r="K331" s="57" t="str">
        <f aca="false">IF($J331="","",SUMIFS($J$6:$J$2405,$A$6:$A$2405,"&lt;="&amp;$A331))</f>
        <v/>
      </c>
      <c r="L331" s="57" t="str">
        <f aca="false">IF($J331="","",IF($K331&lt;=BankCostEnvelope*'5. Scenarios'!$C$7,1,0))</f>
        <v/>
      </c>
      <c r="M331" s="57" t="str">
        <f aca="false">IF($I331="","",INDEX(BookRate,326)*(1+'5. Scenarios'!$C$10)*(INDEX(BookQ1,326)*(5-MIN(4,1+'5. Scenarios'!$C$8))/4+INDEX(BookQ2,326)*(5-MIN(4,2+'5. Scenarios'!$C$8))/4+INDEX(BookQ3,326)*(5-MIN(4,3+'5. Scenarios'!$C$8))/4+INDEX(BookQ4,326)*(5-MIN(4,4+'5. Scenarios'!$C$8))/4)*'5. Scenarios'!$C$6/(1+ProductivityDefault*('5. Scenarios'!$C$11-1))+INDEX(BookOneOff,326)*$I331)</f>
        <v/>
      </c>
      <c r="N331" s="56" t="str">
        <f aca="false">IF(INDEX(BookTitle,326)="","",INDEX(BookTotal,326)*'5. Scenarios'!$D$6/(1+ProductivityDefault*('5. Scenarios'!$D$11-1)))</f>
        <v/>
      </c>
      <c r="O331" s="57" t="str">
        <f aca="false">IF($N331="","",INDEX(BookRate,326)*(1+'5. Scenarios'!$D$10)*$N331)</f>
        <v/>
      </c>
      <c r="P331" s="57" t="str">
        <f aca="false">IF($O331="","",SUMIFS($O$6:$O$2405,$A$6:$A$2405,"&lt;="&amp;$A331))</f>
        <v/>
      </c>
      <c r="Q331" s="57" t="str">
        <f aca="false">IF($O331="","",IF($P331&lt;=BankCostEnvelope*'5. Scenarios'!$D$7,1,0))</f>
        <v/>
      </c>
      <c r="R331" s="57" t="str">
        <f aca="false">IF($N331="","",INDEX(BookRate,326)*(1+'5. Scenarios'!$D$10)*(INDEX(BookQ1,326)*(5-MIN(4,1+'5. Scenarios'!$D$8))/4+INDEX(BookQ2,326)*(5-MIN(4,2+'5. Scenarios'!$D$8))/4+INDEX(BookQ3,326)*(5-MIN(4,3+'5. Scenarios'!$D$8))/4+INDEX(BookQ4,326)*(5-MIN(4,4+'5. Scenarios'!$D$8))/4)*'5. Scenarios'!$D$6/(1+ProductivityDefault*('5. Scenarios'!$D$11-1))+INDEX(BookOneOff,326)*$N331)</f>
        <v/>
      </c>
      <c r="S331" s="56" t="str">
        <f aca="false">IF(INDEX(BookTitle,326)="","",INDEX(BookTotal,326)*'5. Scenarios'!$E$6/(1+ProductivityDefault*('5. Scenarios'!$E$11-1)))</f>
        <v/>
      </c>
      <c r="T331" s="57" t="str">
        <f aca="false">IF($S331="","",INDEX(BookRate,326)*(1+'5. Scenarios'!$E$10)*$S331)</f>
        <v/>
      </c>
      <c r="U331" s="57" t="str">
        <f aca="false">IF($T331="","",SUMIFS($T$6:$T$2405,$A$6:$A$2405,"&lt;="&amp;$A331))</f>
        <v/>
      </c>
      <c r="V331" s="57" t="str">
        <f aca="false">IF($T331="","",IF($U331&lt;=BankCostEnvelope*'5. Scenarios'!$E$7,1,0))</f>
        <v/>
      </c>
      <c r="W331" s="57" t="str">
        <f aca="false">IF($S331="","",INDEX(BookRate,326)*(1+'5. Scenarios'!$E$10)*(INDEX(BookQ1,326)*(5-MIN(4,1+'5. Scenarios'!$E$8))/4+INDEX(BookQ2,326)*(5-MIN(4,2+'5. Scenarios'!$E$8))/4+INDEX(BookQ3,326)*(5-MIN(4,3+'5. Scenarios'!$E$8))/4+INDEX(BookQ4,326)*(5-MIN(4,4+'5. Scenarios'!$E$8))/4)*'5. Scenarios'!$E$6/(1+ProductivityDefault*('5. Scenarios'!$E$11-1))+INDEX(BookOneOff,326)*$S331)</f>
        <v/>
      </c>
    </row>
    <row r="332" customFormat="false" ht="15" hidden="false" customHeight="false" outlineLevel="0" collapsed="false">
      <c r="A332" s="0" t="str">
        <f aca="false">IF(INDEX(BookTitle,327)="","",INDEX(BookKey,327))</f>
        <v/>
      </c>
      <c r="B332" s="0" t="str">
        <f aca="false">IF(INDEX(BookTitle,327)="","",INDEX(BookGroup,327))</f>
        <v/>
      </c>
      <c r="C332" s="0" t="str">
        <f aca="false">IF(INDEX(BookTitle,327)="","",INDEX(BookCategory,327))</f>
        <v/>
      </c>
      <c r="D332" s="56" t="str">
        <f aca="false">IF(INDEX(BookTitle,327)="","",INDEX(BookTotal,327)*'5. Scenarios'!$B$6/(1+ProductivityDefault*('5. Scenarios'!$B$11-1)))</f>
        <v/>
      </c>
      <c r="E332" s="57" t="str">
        <f aca="false">IF($D332="","",INDEX(BookRate,327)*(1+'5. Scenarios'!$B$10)*$D332)</f>
        <v/>
      </c>
      <c r="F332" s="57" t="str">
        <f aca="false">IF($E332="","",SUMIFS($E$6:$E$2405,$A$6:$A$2405,"&lt;="&amp;$A332))</f>
        <v/>
      </c>
      <c r="G332" s="57" t="str">
        <f aca="false">IF($E332="","",IF($F332&lt;=BankCostEnvelope*'5. Scenarios'!$B$7,1,0))</f>
        <v/>
      </c>
      <c r="H332" s="57" t="str">
        <f aca="false">IF($D332="","",INDEX(BookRate,327)*(1+'5. Scenarios'!$B$10)*(INDEX(BookQ1,327)*(5-MIN(4,1+'5. Scenarios'!$B$8))/4+INDEX(BookQ2,327)*(5-MIN(4,2+'5. Scenarios'!$B$8))/4+INDEX(BookQ3,327)*(5-MIN(4,3+'5. Scenarios'!$B$8))/4+INDEX(BookQ4,327)*(5-MIN(4,4+'5. Scenarios'!$B$8))/4)*'5. Scenarios'!$B$6/(1+ProductivityDefault*('5. Scenarios'!$B$11-1))+INDEX(BookOneOff,327)*$D332)</f>
        <v/>
      </c>
      <c r="I332" s="56" t="str">
        <f aca="false">IF(INDEX(BookTitle,327)="","",INDEX(BookTotal,327)*'5. Scenarios'!$C$6/(1+ProductivityDefault*('5. Scenarios'!$C$11-1)))</f>
        <v/>
      </c>
      <c r="J332" s="57" t="str">
        <f aca="false">IF($I332="","",INDEX(BookRate,327)*(1+'5. Scenarios'!$C$10)*$I332)</f>
        <v/>
      </c>
      <c r="K332" s="57" t="str">
        <f aca="false">IF($J332="","",SUMIFS($J$6:$J$2405,$A$6:$A$2405,"&lt;="&amp;$A332))</f>
        <v/>
      </c>
      <c r="L332" s="57" t="str">
        <f aca="false">IF($J332="","",IF($K332&lt;=BankCostEnvelope*'5. Scenarios'!$C$7,1,0))</f>
        <v/>
      </c>
      <c r="M332" s="57" t="str">
        <f aca="false">IF($I332="","",INDEX(BookRate,327)*(1+'5. Scenarios'!$C$10)*(INDEX(BookQ1,327)*(5-MIN(4,1+'5. Scenarios'!$C$8))/4+INDEX(BookQ2,327)*(5-MIN(4,2+'5. Scenarios'!$C$8))/4+INDEX(BookQ3,327)*(5-MIN(4,3+'5. Scenarios'!$C$8))/4+INDEX(BookQ4,327)*(5-MIN(4,4+'5. Scenarios'!$C$8))/4)*'5. Scenarios'!$C$6/(1+ProductivityDefault*('5. Scenarios'!$C$11-1))+INDEX(BookOneOff,327)*$I332)</f>
        <v/>
      </c>
      <c r="N332" s="56" t="str">
        <f aca="false">IF(INDEX(BookTitle,327)="","",INDEX(BookTotal,327)*'5. Scenarios'!$D$6/(1+ProductivityDefault*('5. Scenarios'!$D$11-1)))</f>
        <v/>
      </c>
      <c r="O332" s="57" t="str">
        <f aca="false">IF($N332="","",INDEX(BookRate,327)*(1+'5. Scenarios'!$D$10)*$N332)</f>
        <v/>
      </c>
      <c r="P332" s="57" t="str">
        <f aca="false">IF($O332="","",SUMIFS($O$6:$O$2405,$A$6:$A$2405,"&lt;="&amp;$A332))</f>
        <v/>
      </c>
      <c r="Q332" s="57" t="str">
        <f aca="false">IF($O332="","",IF($P332&lt;=BankCostEnvelope*'5. Scenarios'!$D$7,1,0))</f>
        <v/>
      </c>
      <c r="R332" s="57" t="str">
        <f aca="false">IF($N332="","",INDEX(BookRate,327)*(1+'5. Scenarios'!$D$10)*(INDEX(BookQ1,327)*(5-MIN(4,1+'5. Scenarios'!$D$8))/4+INDEX(BookQ2,327)*(5-MIN(4,2+'5. Scenarios'!$D$8))/4+INDEX(BookQ3,327)*(5-MIN(4,3+'5. Scenarios'!$D$8))/4+INDEX(BookQ4,327)*(5-MIN(4,4+'5. Scenarios'!$D$8))/4)*'5. Scenarios'!$D$6/(1+ProductivityDefault*('5. Scenarios'!$D$11-1))+INDEX(BookOneOff,327)*$N332)</f>
        <v/>
      </c>
      <c r="S332" s="56" t="str">
        <f aca="false">IF(INDEX(BookTitle,327)="","",INDEX(BookTotal,327)*'5. Scenarios'!$E$6/(1+ProductivityDefault*('5. Scenarios'!$E$11-1)))</f>
        <v/>
      </c>
      <c r="T332" s="57" t="str">
        <f aca="false">IF($S332="","",INDEX(BookRate,327)*(1+'5. Scenarios'!$E$10)*$S332)</f>
        <v/>
      </c>
      <c r="U332" s="57" t="str">
        <f aca="false">IF($T332="","",SUMIFS($T$6:$T$2405,$A$6:$A$2405,"&lt;="&amp;$A332))</f>
        <v/>
      </c>
      <c r="V332" s="57" t="str">
        <f aca="false">IF($T332="","",IF($U332&lt;=BankCostEnvelope*'5. Scenarios'!$E$7,1,0))</f>
        <v/>
      </c>
      <c r="W332" s="57" t="str">
        <f aca="false">IF($S332="","",INDEX(BookRate,327)*(1+'5. Scenarios'!$E$10)*(INDEX(BookQ1,327)*(5-MIN(4,1+'5. Scenarios'!$E$8))/4+INDEX(BookQ2,327)*(5-MIN(4,2+'5. Scenarios'!$E$8))/4+INDEX(BookQ3,327)*(5-MIN(4,3+'5. Scenarios'!$E$8))/4+INDEX(BookQ4,327)*(5-MIN(4,4+'5. Scenarios'!$E$8))/4)*'5. Scenarios'!$E$6/(1+ProductivityDefault*('5. Scenarios'!$E$11-1))+INDEX(BookOneOff,327)*$S332)</f>
        <v/>
      </c>
    </row>
    <row r="333" customFormat="false" ht="15" hidden="false" customHeight="false" outlineLevel="0" collapsed="false">
      <c r="A333" s="0" t="str">
        <f aca="false">IF(INDEX(BookTitle,328)="","",INDEX(BookKey,328))</f>
        <v/>
      </c>
      <c r="B333" s="0" t="str">
        <f aca="false">IF(INDEX(BookTitle,328)="","",INDEX(BookGroup,328))</f>
        <v/>
      </c>
      <c r="C333" s="0" t="str">
        <f aca="false">IF(INDEX(BookTitle,328)="","",INDEX(BookCategory,328))</f>
        <v/>
      </c>
      <c r="D333" s="56" t="str">
        <f aca="false">IF(INDEX(BookTitle,328)="","",INDEX(BookTotal,328)*'5. Scenarios'!$B$6/(1+ProductivityDefault*('5. Scenarios'!$B$11-1)))</f>
        <v/>
      </c>
      <c r="E333" s="57" t="str">
        <f aca="false">IF($D333="","",INDEX(BookRate,328)*(1+'5. Scenarios'!$B$10)*$D333)</f>
        <v/>
      </c>
      <c r="F333" s="57" t="str">
        <f aca="false">IF($E333="","",SUMIFS($E$6:$E$2405,$A$6:$A$2405,"&lt;="&amp;$A333))</f>
        <v/>
      </c>
      <c r="G333" s="57" t="str">
        <f aca="false">IF($E333="","",IF($F333&lt;=BankCostEnvelope*'5. Scenarios'!$B$7,1,0))</f>
        <v/>
      </c>
      <c r="H333" s="57" t="str">
        <f aca="false">IF($D333="","",INDEX(BookRate,328)*(1+'5. Scenarios'!$B$10)*(INDEX(BookQ1,328)*(5-MIN(4,1+'5. Scenarios'!$B$8))/4+INDEX(BookQ2,328)*(5-MIN(4,2+'5. Scenarios'!$B$8))/4+INDEX(BookQ3,328)*(5-MIN(4,3+'5. Scenarios'!$B$8))/4+INDEX(BookQ4,328)*(5-MIN(4,4+'5. Scenarios'!$B$8))/4)*'5. Scenarios'!$B$6/(1+ProductivityDefault*('5. Scenarios'!$B$11-1))+INDEX(BookOneOff,328)*$D333)</f>
        <v/>
      </c>
      <c r="I333" s="56" t="str">
        <f aca="false">IF(INDEX(BookTitle,328)="","",INDEX(BookTotal,328)*'5. Scenarios'!$C$6/(1+ProductivityDefault*('5. Scenarios'!$C$11-1)))</f>
        <v/>
      </c>
      <c r="J333" s="57" t="str">
        <f aca="false">IF($I333="","",INDEX(BookRate,328)*(1+'5. Scenarios'!$C$10)*$I333)</f>
        <v/>
      </c>
      <c r="K333" s="57" t="str">
        <f aca="false">IF($J333="","",SUMIFS($J$6:$J$2405,$A$6:$A$2405,"&lt;="&amp;$A333))</f>
        <v/>
      </c>
      <c r="L333" s="57" t="str">
        <f aca="false">IF($J333="","",IF($K333&lt;=BankCostEnvelope*'5. Scenarios'!$C$7,1,0))</f>
        <v/>
      </c>
      <c r="M333" s="57" t="str">
        <f aca="false">IF($I333="","",INDEX(BookRate,328)*(1+'5. Scenarios'!$C$10)*(INDEX(BookQ1,328)*(5-MIN(4,1+'5. Scenarios'!$C$8))/4+INDEX(BookQ2,328)*(5-MIN(4,2+'5. Scenarios'!$C$8))/4+INDEX(BookQ3,328)*(5-MIN(4,3+'5. Scenarios'!$C$8))/4+INDEX(BookQ4,328)*(5-MIN(4,4+'5. Scenarios'!$C$8))/4)*'5. Scenarios'!$C$6/(1+ProductivityDefault*('5. Scenarios'!$C$11-1))+INDEX(BookOneOff,328)*$I333)</f>
        <v/>
      </c>
      <c r="N333" s="56" t="str">
        <f aca="false">IF(INDEX(BookTitle,328)="","",INDEX(BookTotal,328)*'5. Scenarios'!$D$6/(1+ProductivityDefault*('5. Scenarios'!$D$11-1)))</f>
        <v/>
      </c>
      <c r="O333" s="57" t="str">
        <f aca="false">IF($N333="","",INDEX(BookRate,328)*(1+'5. Scenarios'!$D$10)*$N333)</f>
        <v/>
      </c>
      <c r="P333" s="57" t="str">
        <f aca="false">IF($O333="","",SUMIFS($O$6:$O$2405,$A$6:$A$2405,"&lt;="&amp;$A333))</f>
        <v/>
      </c>
      <c r="Q333" s="57" t="str">
        <f aca="false">IF($O333="","",IF($P333&lt;=BankCostEnvelope*'5. Scenarios'!$D$7,1,0))</f>
        <v/>
      </c>
      <c r="R333" s="57" t="str">
        <f aca="false">IF($N333="","",INDEX(BookRate,328)*(1+'5. Scenarios'!$D$10)*(INDEX(BookQ1,328)*(5-MIN(4,1+'5. Scenarios'!$D$8))/4+INDEX(BookQ2,328)*(5-MIN(4,2+'5. Scenarios'!$D$8))/4+INDEX(BookQ3,328)*(5-MIN(4,3+'5. Scenarios'!$D$8))/4+INDEX(BookQ4,328)*(5-MIN(4,4+'5. Scenarios'!$D$8))/4)*'5. Scenarios'!$D$6/(1+ProductivityDefault*('5. Scenarios'!$D$11-1))+INDEX(BookOneOff,328)*$N333)</f>
        <v/>
      </c>
      <c r="S333" s="56" t="str">
        <f aca="false">IF(INDEX(BookTitle,328)="","",INDEX(BookTotal,328)*'5. Scenarios'!$E$6/(1+ProductivityDefault*('5. Scenarios'!$E$11-1)))</f>
        <v/>
      </c>
      <c r="T333" s="57" t="str">
        <f aca="false">IF($S333="","",INDEX(BookRate,328)*(1+'5. Scenarios'!$E$10)*$S333)</f>
        <v/>
      </c>
      <c r="U333" s="57" t="str">
        <f aca="false">IF($T333="","",SUMIFS($T$6:$T$2405,$A$6:$A$2405,"&lt;="&amp;$A333))</f>
        <v/>
      </c>
      <c r="V333" s="57" t="str">
        <f aca="false">IF($T333="","",IF($U333&lt;=BankCostEnvelope*'5. Scenarios'!$E$7,1,0))</f>
        <v/>
      </c>
      <c r="W333" s="57" t="str">
        <f aca="false">IF($S333="","",INDEX(BookRate,328)*(1+'5. Scenarios'!$E$10)*(INDEX(BookQ1,328)*(5-MIN(4,1+'5. Scenarios'!$E$8))/4+INDEX(BookQ2,328)*(5-MIN(4,2+'5. Scenarios'!$E$8))/4+INDEX(BookQ3,328)*(5-MIN(4,3+'5. Scenarios'!$E$8))/4+INDEX(BookQ4,328)*(5-MIN(4,4+'5. Scenarios'!$E$8))/4)*'5. Scenarios'!$E$6/(1+ProductivityDefault*('5. Scenarios'!$E$11-1))+INDEX(BookOneOff,328)*$S333)</f>
        <v/>
      </c>
    </row>
    <row r="334" customFormat="false" ht="15" hidden="false" customHeight="false" outlineLevel="0" collapsed="false">
      <c r="A334" s="0" t="str">
        <f aca="false">IF(INDEX(BookTitle,329)="","",INDEX(BookKey,329))</f>
        <v/>
      </c>
      <c r="B334" s="0" t="str">
        <f aca="false">IF(INDEX(BookTitle,329)="","",INDEX(BookGroup,329))</f>
        <v/>
      </c>
      <c r="C334" s="0" t="str">
        <f aca="false">IF(INDEX(BookTitle,329)="","",INDEX(BookCategory,329))</f>
        <v/>
      </c>
      <c r="D334" s="56" t="str">
        <f aca="false">IF(INDEX(BookTitle,329)="","",INDEX(BookTotal,329)*'5. Scenarios'!$B$6/(1+ProductivityDefault*('5. Scenarios'!$B$11-1)))</f>
        <v/>
      </c>
      <c r="E334" s="57" t="str">
        <f aca="false">IF($D334="","",INDEX(BookRate,329)*(1+'5. Scenarios'!$B$10)*$D334)</f>
        <v/>
      </c>
      <c r="F334" s="57" t="str">
        <f aca="false">IF($E334="","",SUMIFS($E$6:$E$2405,$A$6:$A$2405,"&lt;="&amp;$A334))</f>
        <v/>
      </c>
      <c r="G334" s="57" t="str">
        <f aca="false">IF($E334="","",IF($F334&lt;=BankCostEnvelope*'5. Scenarios'!$B$7,1,0))</f>
        <v/>
      </c>
      <c r="H334" s="57" t="str">
        <f aca="false">IF($D334="","",INDEX(BookRate,329)*(1+'5. Scenarios'!$B$10)*(INDEX(BookQ1,329)*(5-MIN(4,1+'5. Scenarios'!$B$8))/4+INDEX(BookQ2,329)*(5-MIN(4,2+'5. Scenarios'!$B$8))/4+INDEX(BookQ3,329)*(5-MIN(4,3+'5. Scenarios'!$B$8))/4+INDEX(BookQ4,329)*(5-MIN(4,4+'5. Scenarios'!$B$8))/4)*'5. Scenarios'!$B$6/(1+ProductivityDefault*('5. Scenarios'!$B$11-1))+INDEX(BookOneOff,329)*$D334)</f>
        <v/>
      </c>
      <c r="I334" s="56" t="str">
        <f aca="false">IF(INDEX(BookTitle,329)="","",INDEX(BookTotal,329)*'5. Scenarios'!$C$6/(1+ProductivityDefault*('5. Scenarios'!$C$11-1)))</f>
        <v/>
      </c>
      <c r="J334" s="57" t="str">
        <f aca="false">IF($I334="","",INDEX(BookRate,329)*(1+'5. Scenarios'!$C$10)*$I334)</f>
        <v/>
      </c>
      <c r="K334" s="57" t="str">
        <f aca="false">IF($J334="","",SUMIFS($J$6:$J$2405,$A$6:$A$2405,"&lt;="&amp;$A334))</f>
        <v/>
      </c>
      <c r="L334" s="57" t="str">
        <f aca="false">IF($J334="","",IF($K334&lt;=BankCostEnvelope*'5. Scenarios'!$C$7,1,0))</f>
        <v/>
      </c>
      <c r="M334" s="57" t="str">
        <f aca="false">IF($I334="","",INDEX(BookRate,329)*(1+'5. Scenarios'!$C$10)*(INDEX(BookQ1,329)*(5-MIN(4,1+'5. Scenarios'!$C$8))/4+INDEX(BookQ2,329)*(5-MIN(4,2+'5. Scenarios'!$C$8))/4+INDEX(BookQ3,329)*(5-MIN(4,3+'5. Scenarios'!$C$8))/4+INDEX(BookQ4,329)*(5-MIN(4,4+'5. Scenarios'!$C$8))/4)*'5. Scenarios'!$C$6/(1+ProductivityDefault*('5. Scenarios'!$C$11-1))+INDEX(BookOneOff,329)*$I334)</f>
        <v/>
      </c>
      <c r="N334" s="56" t="str">
        <f aca="false">IF(INDEX(BookTitle,329)="","",INDEX(BookTotal,329)*'5. Scenarios'!$D$6/(1+ProductivityDefault*('5. Scenarios'!$D$11-1)))</f>
        <v/>
      </c>
      <c r="O334" s="57" t="str">
        <f aca="false">IF($N334="","",INDEX(BookRate,329)*(1+'5. Scenarios'!$D$10)*$N334)</f>
        <v/>
      </c>
      <c r="P334" s="57" t="str">
        <f aca="false">IF($O334="","",SUMIFS($O$6:$O$2405,$A$6:$A$2405,"&lt;="&amp;$A334))</f>
        <v/>
      </c>
      <c r="Q334" s="57" t="str">
        <f aca="false">IF($O334="","",IF($P334&lt;=BankCostEnvelope*'5. Scenarios'!$D$7,1,0))</f>
        <v/>
      </c>
      <c r="R334" s="57" t="str">
        <f aca="false">IF($N334="","",INDEX(BookRate,329)*(1+'5. Scenarios'!$D$10)*(INDEX(BookQ1,329)*(5-MIN(4,1+'5. Scenarios'!$D$8))/4+INDEX(BookQ2,329)*(5-MIN(4,2+'5. Scenarios'!$D$8))/4+INDEX(BookQ3,329)*(5-MIN(4,3+'5. Scenarios'!$D$8))/4+INDEX(BookQ4,329)*(5-MIN(4,4+'5. Scenarios'!$D$8))/4)*'5. Scenarios'!$D$6/(1+ProductivityDefault*('5. Scenarios'!$D$11-1))+INDEX(BookOneOff,329)*$N334)</f>
        <v/>
      </c>
      <c r="S334" s="56" t="str">
        <f aca="false">IF(INDEX(BookTitle,329)="","",INDEX(BookTotal,329)*'5. Scenarios'!$E$6/(1+ProductivityDefault*('5. Scenarios'!$E$11-1)))</f>
        <v/>
      </c>
      <c r="T334" s="57" t="str">
        <f aca="false">IF($S334="","",INDEX(BookRate,329)*(1+'5. Scenarios'!$E$10)*$S334)</f>
        <v/>
      </c>
      <c r="U334" s="57" t="str">
        <f aca="false">IF($T334="","",SUMIFS($T$6:$T$2405,$A$6:$A$2405,"&lt;="&amp;$A334))</f>
        <v/>
      </c>
      <c r="V334" s="57" t="str">
        <f aca="false">IF($T334="","",IF($U334&lt;=BankCostEnvelope*'5. Scenarios'!$E$7,1,0))</f>
        <v/>
      </c>
      <c r="W334" s="57" t="str">
        <f aca="false">IF($S334="","",INDEX(BookRate,329)*(1+'5. Scenarios'!$E$10)*(INDEX(BookQ1,329)*(5-MIN(4,1+'5. Scenarios'!$E$8))/4+INDEX(BookQ2,329)*(5-MIN(4,2+'5. Scenarios'!$E$8))/4+INDEX(BookQ3,329)*(5-MIN(4,3+'5. Scenarios'!$E$8))/4+INDEX(BookQ4,329)*(5-MIN(4,4+'5. Scenarios'!$E$8))/4)*'5. Scenarios'!$E$6/(1+ProductivityDefault*('5. Scenarios'!$E$11-1))+INDEX(BookOneOff,329)*$S334)</f>
        <v/>
      </c>
    </row>
    <row r="335" customFormat="false" ht="15" hidden="false" customHeight="false" outlineLevel="0" collapsed="false">
      <c r="A335" s="0" t="str">
        <f aca="false">IF(INDEX(BookTitle,330)="","",INDEX(BookKey,330))</f>
        <v/>
      </c>
      <c r="B335" s="0" t="str">
        <f aca="false">IF(INDEX(BookTitle,330)="","",INDEX(BookGroup,330))</f>
        <v/>
      </c>
      <c r="C335" s="0" t="str">
        <f aca="false">IF(INDEX(BookTitle,330)="","",INDEX(BookCategory,330))</f>
        <v/>
      </c>
      <c r="D335" s="56" t="str">
        <f aca="false">IF(INDEX(BookTitle,330)="","",INDEX(BookTotal,330)*'5. Scenarios'!$B$6/(1+ProductivityDefault*('5. Scenarios'!$B$11-1)))</f>
        <v/>
      </c>
      <c r="E335" s="57" t="str">
        <f aca="false">IF($D335="","",INDEX(BookRate,330)*(1+'5. Scenarios'!$B$10)*$D335)</f>
        <v/>
      </c>
      <c r="F335" s="57" t="str">
        <f aca="false">IF($E335="","",SUMIFS($E$6:$E$2405,$A$6:$A$2405,"&lt;="&amp;$A335))</f>
        <v/>
      </c>
      <c r="G335" s="57" t="str">
        <f aca="false">IF($E335="","",IF($F335&lt;=BankCostEnvelope*'5. Scenarios'!$B$7,1,0))</f>
        <v/>
      </c>
      <c r="H335" s="57" t="str">
        <f aca="false">IF($D335="","",INDEX(BookRate,330)*(1+'5. Scenarios'!$B$10)*(INDEX(BookQ1,330)*(5-MIN(4,1+'5. Scenarios'!$B$8))/4+INDEX(BookQ2,330)*(5-MIN(4,2+'5. Scenarios'!$B$8))/4+INDEX(BookQ3,330)*(5-MIN(4,3+'5. Scenarios'!$B$8))/4+INDEX(BookQ4,330)*(5-MIN(4,4+'5. Scenarios'!$B$8))/4)*'5. Scenarios'!$B$6/(1+ProductivityDefault*('5. Scenarios'!$B$11-1))+INDEX(BookOneOff,330)*$D335)</f>
        <v/>
      </c>
      <c r="I335" s="56" t="str">
        <f aca="false">IF(INDEX(BookTitle,330)="","",INDEX(BookTotal,330)*'5. Scenarios'!$C$6/(1+ProductivityDefault*('5. Scenarios'!$C$11-1)))</f>
        <v/>
      </c>
      <c r="J335" s="57" t="str">
        <f aca="false">IF($I335="","",INDEX(BookRate,330)*(1+'5. Scenarios'!$C$10)*$I335)</f>
        <v/>
      </c>
      <c r="K335" s="57" t="str">
        <f aca="false">IF($J335="","",SUMIFS($J$6:$J$2405,$A$6:$A$2405,"&lt;="&amp;$A335))</f>
        <v/>
      </c>
      <c r="L335" s="57" t="str">
        <f aca="false">IF($J335="","",IF($K335&lt;=BankCostEnvelope*'5. Scenarios'!$C$7,1,0))</f>
        <v/>
      </c>
      <c r="M335" s="57" t="str">
        <f aca="false">IF($I335="","",INDEX(BookRate,330)*(1+'5. Scenarios'!$C$10)*(INDEX(BookQ1,330)*(5-MIN(4,1+'5. Scenarios'!$C$8))/4+INDEX(BookQ2,330)*(5-MIN(4,2+'5. Scenarios'!$C$8))/4+INDEX(BookQ3,330)*(5-MIN(4,3+'5. Scenarios'!$C$8))/4+INDEX(BookQ4,330)*(5-MIN(4,4+'5. Scenarios'!$C$8))/4)*'5. Scenarios'!$C$6/(1+ProductivityDefault*('5. Scenarios'!$C$11-1))+INDEX(BookOneOff,330)*$I335)</f>
        <v/>
      </c>
      <c r="N335" s="56" t="str">
        <f aca="false">IF(INDEX(BookTitle,330)="","",INDEX(BookTotal,330)*'5. Scenarios'!$D$6/(1+ProductivityDefault*('5. Scenarios'!$D$11-1)))</f>
        <v/>
      </c>
      <c r="O335" s="57" t="str">
        <f aca="false">IF($N335="","",INDEX(BookRate,330)*(1+'5. Scenarios'!$D$10)*$N335)</f>
        <v/>
      </c>
      <c r="P335" s="57" t="str">
        <f aca="false">IF($O335="","",SUMIFS($O$6:$O$2405,$A$6:$A$2405,"&lt;="&amp;$A335))</f>
        <v/>
      </c>
      <c r="Q335" s="57" t="str">
        <f aca="false">IF($O335="","",IF($P335&lt;=BankCostEnvelope*'5. Scenarios'!$D$7,1,0))</f>
        <v/>
      </c>
      <c r="R335" s="57" t="str">
        <f aca="false">IF($N335="","",INDEX(BookRate,330)*(1+'5. Scenarios'!$D$10)*(INDEX(BookQ1,330)*(5-MIN(4,1+'5. Scenarios'!$D$8))/4+INDEX(BookQ2,330)*(5-MIN(4,2+'5. Scenarios'!$D$8))/4+INDEX(BookQ3,330)*(5-MIN(4,3+'5. Scenarios'!$D$8))/4+INDEX(BookQ4,330)*(5-MIN(4,4+'5. Scenarios'!$D$8))/4)*'5. Scenarios'!$D$6/(1+ProductivityDefault*('5. Scenarios'!$D$11-1))+INDEX(BookOneOff,330)*$N335)</f>
        <v/>
      </c>
      <c r="S335" s="56" t="str">
        <f aca="false">IF(INDEX(BookTitle,330)="","",INDEX(BookTotal,330)*'5. Scenarios'!$E$6/(1+ProductivityDefault*('5. Scenarios'!$E$11-1)))</f>
        <v/>
      </c>
      <c r="T335" s="57" t="str">
        <f aca="false">IF($S335="","",INDEX(BookRate,330)*(1+'5. Scenarios'!$E$10)*$S335)</f>
        <v/>
      </c>
      <c r="U335" s="57" t="str">
        <f aca="false">IF($T335="","",SUMIFS($T$6:$T$2405,$A$6:$A$2405,"&lt;="&amp;$A335))</f>
        <v/>
      </c>
      <c r="V335" s="57" t="str">
        <f aca="false">IF($T335="","",IF($U335&lt;=BankCostEnvelope*'5. Scenarios'!$E$7,1,0))</f>
        <v/>
      </c>
      <c r="W335" s="57" t="str">
        <f aca="false">IF($S335="","",INDEX(BookRate,330)*(1+'5. Scenarios'!$E$10)*(INDEX(BookQ1,330)*(5-MIN(4,1+'5. Scenarios'!$E$8))/4+INDEX(BookQ2,330)*(5-MIN(4,2+'5. Scenarios'!$E$8))/4+INDEX(BookQ3,330)*(5-MIN(4,3+'5. Scenarios'!$E$8))/4+INDEX(BookQ4,330)*(5-MIN(4,4+'5. Scenarios'!$E$8))/4)*'5. Scenarios'!$E$6/(1+ProductivityDefault*('5. Scenarios'!$E$11-1))+INDEX(BookOneOff,330)*$S335)</f>
        <v/>
      </c>
    </row>
    <row r="336" customFormat="false" ht="15" hidden="false" customHeight="false" outlineLevel="0" collapsed="false">
      <c r="A336" s="0" t="str">
        <f aca="false">IF(INDEX(BookTitle,331)="","",INDEX(BookKey,331))</f>
        <v/>
      </c>
      <c r="B336" s="0" t="str">
        <f aca="false">IF(INDEX(BookTitle,331)="","",INDEX(BookGroup,331))</f>
        <v/>
      </c>
      <c r="C336" s="0" t="str">
        <f aca="false">IF(INDEX(BookTitle,331)="","",INDEX(BookCategory,331))</f>
        <v/>
      </c>
      <c r="D336" s="56" t="str">
        <f aca="false">IF(INDEX(BookTitle,331)="","",INDEX(BookTotal,331)*'5. Scenarios'!$B$6/(1+ProductivityDefault*('5. Scenarios'!$B$11-1)))</f>
        <v/>
      </c>
      <c r="E336" s="57" t="str">
        <f aca="false">IF($D336="","",INDEX(BookRate,331)*(1+'5. Scenarios'!$B$10)*$D336)</f>
        <v/>
      </c>
      <c r="F336" s="57" t="str">
        <f aca="false">IF($E336="","",SUMIFS($E$6:$E$2405,$A$6:$A$2405,"&lt;="&amp;$A336))</f>
        <v/>
      </c>
      <c r="G336" s="57" t="str">
        <f aca="false">IF($E336="","",IF($F336&lt;=BankCostEnvelope*'5. Scenarios'!$B$7,1,0))</f>
        <v/>
      </c>
      <c r="H336" s="57" t="str">
        <f aca="false">IF($D336="","",INDEX(BookRate,331)*(1+'5. Scenarios'!$B$10)*(INDEX(BookQ1,331)*(5-MIN(4,1+'5. Scenarios'!$B$8))/4+INDEX(BookQ2,331)*(5-MIN(4,2+'5. Scenarios'!$B$8))/4+INDEX(BookQ3,331)*(5-MIN(4,3+'5. Scenarios'!$B$8))/4+INDEX(BookQ4,331)*(5-MIN(4,4+'5. Scenarios'!$B$8))/4)*'5. Scenarios'!$B$6/(1+ProductivityDefault*('5. Scenarios'!$B$11-1))+INDEX(BookOneOff,331)*$D336)</f>
        <v/>
      </c>
      <c r="I336" s="56" t="str">
        <f aca="false">IF(INDEX(BookTitle,331)="","",INDEX(BookTotal,331)*'5. Scenarios'!$C$6/(1+ProductivityDefault*('5. Scenarios'!$C$11-1)))</f>
        <v/>
      </c>
      <c r="J336" s="57" t="str">
        <f aca="false">IF($I336="","",INDEX(BookRate,331)*(1+'5. Scenarios'!$C$10)*$I336)</f>
        <v/>
      </c>
      <c r="K336" s="57" t="str">
        <f aca="false">IF($J336="","",SUMIFS($J$6:$J$2405,$A$6:$A$2405,"&lt;="&amp;$A336))</f>
        <v/>
      </c>
      <c r="L336" s="57" t="str">
        <f aca="false">IF($J336="","",IF($K336&lt;=BankCostEnvelope*'5. Scenarios'!$C$7,1,0))</f>
        <v/>
      </c>
      <c r="M336" s="57" t="str">
        <f aca="false">IF($I336="","",INDEX(BookRate,331)*(1+'5. Scenarios'!$C$10)*(INDEX(BookQ1,331)*(5-MIN(4,1+'5. Scenarios'!$C$8))/4+INDEX(BookQ2,331)*(5-MIN(4,2+'5. Scenarios'!$C$8))/4+INDEX(BookQ3,331)*(5-MIN(4,3+'5. Scenarios'!$C$8))/4+INDEX(BookQ4,331)*(5-MIN(4,4+'5. Scenarios'!$C$8))/4)*'5. Scenarios'!$C$6/(1+ProductivityDefault*('5. Scenarios'!$C$11-1))+INDEX(BookOneOff,331)*$I336)</f>
        <v/>
      </c>
      <c r="N336" s="56" t="str">
        <f aca="false">IF(INDEX(BookTitle,331)="","",INDEX(BookTotal,331)*'5. Scenarios'!$D$6/(1+ProductivityDefault*('5. Scenarios'!$D$11-1)))</f>
        <v/>
      </c>
      <c r="O336" s="57" t="str">
        <f aca="false">IF($N336="","",INDEX(BookRate,331)*(1+'5. Scenarios'!$D$10)*$N336)</f>
        <v/>
      </c>
      <c r="P336" s="57" t="str">
        <f aca="false">IF($O336="","",SUMIFS($O$6:$O$2405,$A$6:$A$2405,"&lt;="&amp;$A336))</f>
        <v/>
      </c>
      <c r="Q336" s="57" t="str">
        <f aca="false">IF($O336="","",IF($P336&lt;=BankCostEnvelope*'5. Scenarios'!$D$7,1,0))</f>
        <v/>
      </c>
      <c r="R336" s="57" t="str">
        <f aca="false">IF($N336="","",INDEX(BookRate,331)*(1+'5. Scenarios'!$D$10)*(INDEX(BookQ1,331)*(5-MIN(4,1+'5. Scenarios'!$D$8))/4+INDEX(BookQ2,331)*(5-MIN(4,2+'5. Scenarios'!$D$8))/4+INDEX(BookQ3,331)*(5-MIN(4,3+'5. Scenarios'!$D$8))/4+INDEX(BookQ4,331)*(5-MIN(4,4+'5. Scenarios'!$D$8))/4)*'5. Scenarios'!$D$6/(1+ProductivityDefault*('5. Scenarios'!$D$11-1))+INDEX(BookOneOff,331)*$N336)</f>
        <v/>
      </c>
      <c r="S336" s="56" t="str">
        <f aca="false">IF(INDEX(BookTitle,331)="","",INDEX(BookTotal,331)*'5. Scenarios'!$E$6/(1+ProductivityDefault*('5. Scenarios'!$E$11-1)))</f>
        <v/>
      </c>
      <c r="T336" s="57" t="str">
        <f aca="false">IF($S336="","",INDEX(BookRate,331)*(1+'5. Scenarios'!$E$10)*$S336)</f>
        <v/>
      </c>
      <c r="U336" s="57" t="str">
        <f aca="false">IF($T336="","",SUMIFS($T$6:$T$2405,$A$6:$A$2405,"&lt;="&amp;$A336))</f>
        <v/>
      </c>
      <c r="V336" s="57" t="str">
        <f aca="false">IF($T336="","",IF($U336&lt;=BankCostEnvelope*'5. Scenarios'!$E$7,1,0))</f>
        <v/>
      </c>
      <c r="W336" s="57" t="str">
        <f aca="false">IF($S336="","",INDEX(BookRate,331)*(1+'5. Scenarios'!$E$10)*(INDEX(BookQ1,331)*(5-MIN(4,1+'5. Scenarios'!$E$8))/4+INDEX(BookQ2,331)*(5-MIN(4,2+'5. Scenarios'!$E$8))/4+INDEX(BookQ3,331)*(5-MIN(4,3+'5. Scenarios'!$E$8))/4+INDEX(BookQ4,331)*(5-MIN(4,4+'5. Scenarios'!$E$8))/4)*'5. Scenarios'!$E$6/(1+ProductivityDefault*('5. Scenarios'!$E$11-1))+INDEX(BookOneOff,331)*$S336)</f>
        <v/>
      </c>
    </row>
    <row r="337" customFormat="false" ht="15" hidden="false" customHeight="false" outlineLevel="0" collapsed="false">
      <c r="A337" s="0" t="str">
        <f aca="false">IF(INDEX(BookTitle,332)="","",INDEX(BookKey,332))</f>
        <v/>
      </c>
      <c r="B337" s="0" t="str">
        <f aca="false">IF(INDEX(BookTitle,332)="","",INDEX(BookGroup,332))</f>
        <v/>
      </c>
      <c r="C337" s="0" t="str">
        <f aca="false">IF(INDEX(BookTitle,332)="","",INDEX(BookCategory,332))</f>
        <v/>
      </c>
      <c r="D337" s="56" t="str">
        <f aca="false">IF(INDEX(BookTitle,332)="","",INDEX(BookTotal,332)*'5. Scenarios'!$B$6/(1+ProductivityDefault*('5. Scenarios'!$B$11-1)))</f>
        <v/>
      </c>
      <c r="E337" s="57" t="str">
        <f aca="false">IF($D337="","",INDEX(BookRate,332)*(1+'5. Scenarios'!$B$10)*$D337)</f>
        <v/>
      </c>
      <c r="F337" s="57" t="str">
        <f aca="false">IF($E337="","",SUMIFS($E$6:$E$2405,$A$6:$A$2405,"&lt;="&amp;$A337))</f>
        <v/>
      </c>
      <c r="G337" s="57" t="str">
        <f aca="false">IF($E337="","",IF($F337&lt;=BankCostEnvelope*'5. Scenarios'!$B$7,1,0))</f>
        <v/>
      </c>
      <c r="H337" s="57" t="str">
        <f aca="false">IF($D337="","",INDEX(BookRate,332)*(1+'5. Scenarios'!$B$10)*(INDEX(BookQ1,332)*(5-MIN(4,1+'5. Scenarios'!$B$8))/4+INDEX(BookQ2,332)*(5-MIN(4,2+'5. Scenarios'!$B$8))/4+INDEX(BookQ3,332)*(5-MIN(4,3+'5. Scenarios'!$B$8))/4+INDEX(BookQ4,332)*(5-MIN(4,4+'5. Scenarios'!$B$8))/4)*'5. Scenarios'!$B$6/(1+ProductivityDefault*('5. Scenarios'!$B$11-1))+INDEX(BookOneOff,332)*$D337)</f>
        <v/>
      </c>
      <c r="I337" s="56" t="str">
        <f aca="false">IF(INDEX(BookTitle,332)="","",INDEX(BookTotal,332)*'5. Scenarios'!$C$6/(1+ProductivityDefault*('5. Scenarios'!$C$11-1)))</f>
        <v/>
      </c>
      <c r="J337" s="57" t="str">
        <f aca="false">IF($I337="","",INDEX(BookRate,332)*(1+'5. Scenarios'!$C$10)*$I337)</f>
        <v/>
      </c>
      <c r="K337" s="57" t="str">
        <f aca="false">IF($J337="","",SUMIFS($J$6:$J$2405,$A$6:$A$2405,"&lt;="&amp;$A337))</f>
        <v/>
      </c>
      <c r="L337" s="57" t="str">
        <f aca="false">IF($J337="","",IF($K337&lt;=BankCostEnvelope*'5. Scenarios'!$C$7,1,0))</f>
        <v/>
      </c>
      <c r="M337" s="57" t="str">
        <f aca="false">IF($I337="","",INDEX(BookRate,332)*(1+'5. Scenarios'!$C$10)*(INDEX(BookQ1,332)*(5-MIN(4,1+'5. Scenarios'!$C$8))/4+INDEX(BookQ2,332)*(5-MIN(4,2+'5. Scenarios'!$C$8))/4+INDEX(BookQ3,332)*(5-MIN(4,3+'5. Scenarios'!$C$8))/4+INDEX(BookQ4,332)*(5-MIN(4,4+'5. Scenarios'!$C$8))/4)*'5. Scenarios'!$C$6/(1+ProductivityDefault*('5. Scenarios'!$C$11-1))+INDEX(BookOneOff,332)*$I337)</f>
        <v/>
      </c>
      <c r="N337" s="56" t="str">
        <f aca="false">IF(INDEX(BookTitle,332)="","",INDEX(BookTotal,332)*'5. Scenarios'!$D$6/(1+ProductivityDefault*('5. Scenarios'!$D$11-1)))</f>
        <v/>
      </c>
      <c r="O337" s="57" t="str">
        <f aca="false">IF($N337="","",INDEX(BookRate,332)*(1+'5. Scenarios'!$D$10)*$N337)</f>
        <v/>
      </c>
      <c r="P337" s="57" t="str">
        <f aca="false">IF($O337="","",SUMIFS($O$6:$O$2405,$A$6:$A$2405,"&lt;="&amp;$A337))</f>
        <v/>
      </c>
      <c r="Q337" s="57" t="str">
        <f aca="false">IF($O337="","",IF($P337&lt;=BankCostEnvelope*'5. Scenarios'!$D$7,1,0))</f>
        <v/>
      </c>
      <c r="R337" s="57" t="str">
        <f aca="false">IF($N337="","",INDEX(BookRate,332)*(1+'5. Scenarios'!$D$10)*(INDEX(BookQ1,332)*(5-MIN(4,1+'5. Scenarios'!$D$8))/4+INDEX(BookQ2,332)*(5-MIN(4,2+'5. Scenarios'!$D$8))/4+INDEX(BookQ3,332)*(5-MIN(4,3+'5. Scenarios'!$D$8))/4+INDEX(BookQ4,332)*(5-MIN(4,4+'5. Scenarios'!$D$8))/4)*'5. Scenarios'!$D$6/(1+ProductivityDefault*('5. Scenarios'!$D$11-1))+INDEX(BookOneOff,332)*$N337)</f>
        <v/>
      </c>
      <c r="S337" s="56" t="str">
        <f aca="false">IF(INDEX(BookTitle,332)="","",INDEX(BookTotal,332)*'5. Scenarios'!$E$6/(1+ProductivityDefault*('5. Scenarios'!$E$11-1)))</f>
        <v/>
      </c>
      <c r="T337" s="57" t="str">
        <f aca="false">IF($S337="","",INDEX(BookRate,332)*(1+'5. Scenarios'!$E$10)*$S337)</f>
        <v/>
      </c>
      <c r="U337" s="57" t="str">
        <f aca="false">IF($T337="","",SUMIFS($T$6:$T$2405,$A$6:$A$2405,"&lt;="&amp;$A337))</f>
        <v/>
      </c>
      <c r="V337" s="57" t="str">
        <f aca="false">IF($T337="","",IF($U337&lt;=BankCostEnvelope*'5. Scenarios'!$E$7,1,0))</f>
        <v/>
      </c>
      <c r="W337" s="57" t="str">
        <f aca="false">IF($S337="","",INDEX(BookRate,332)*(1+'5. Scenarios'!$E$10)*(INDEX(BookQ1,332)*(5-MIN(4,1+'5. Scenarios'!$E$8))/4+INDEX(BookQ2,332)*(5-MIN(4,2+'5. Scenarios'!$E$8))/4+INDEX(BookQ3,332)*(5-MIN(4,3+'5. Scenarios'!$E$8))/4+INDEX(BookQ4,332)*(5-MIN(4,4+'5. Scenarios'!$E$8))/4)*'5. Scenarios'!$E$6/(1+ProductivityDefault*('5. Scenarios'!$E$11-1))+INDEX(BookOneOff,332)*$S337)</f>
        <v/>
      </c>
    </row>
    <row r="338" customFormat="false" ht="15" hidden="false" customHeight="false" outlineLevel="0" collapsed="false">
      <c r="A338" s="0" t="str">
        <f aca="false">IF(INDEX(BookTitle,333)="","",INDEX(BookKey,333))</f>
        <v/>
      </c>
      <c r="B338" s="0" t="str">
        <f aca="false">IF(INDEX(BookTitle,333)="","",INDEX(BookGroup,333))</f>
        <v/>
      </c>
      <c r="C338" s="0" t="str">
        <f aca="false">IF(INDEX(BookTitle,333)="","",INDEX(BookCategory,333))</f>
        <v/>
      </c>
      <c r="D338" s="56" t="str">
        <f aca="false">IF(INDEX(BookTitle,333)="","",INDEX(BookTotal,333)*'5. Scenarios'!$B$6/(1+ProductivityDefault*('5. Scenarios'!$B$11-1)))</f>
        <v/>
      </c>
      <c r="E338" s="57" t="str">
        <f aca="false">IF($D338="","",INDEX(BookRate,333)*(1+'5. Scenarios'!$B$10)*$D338)</f>
        <v/>
      </c>
      <c r="F338" s="57" t="str">
        <f aca="false">IF($E338="","",SUMIFS($E$6:$E$2405,$A$6:$A$2405,"&lt;="&amp;$A338))</f>
        <v/>
      </c>
      <c r="G338" s="57" t="str">
        <f aca="false">IF($E338="","",IF($F338&lt;=BankCostEnvelope*'5. Scenarios'!$B$7,1,0))</f>
        <v/>
      </c>
      <c r="H338" s="57" t="str">
        <f aca="false">IF($D338="","",INDEX(BookRate,333)*(1+'5. Scenarios'!$B$10)*(INDEX(BookQ1,333)*(5-MIN(4,1+'5. Scenarios'!$B$8))/4+INDEX(BookQ2,333)*(5-MIN(4,2+'5. Scenarios'!$B$8))/4+INDEX(BookQ3,333)*(5-MIN(4,3+'5. Scenarios'!$B$8))/4+INDEX(BookQ4,333)*(5-MIN(4,4+'5. Scenarios'!$B$8))/4)*'5. Scenarios'!$B$6/(1+ProductivityDefault*('5. Scenarios'!$B$11-1))+INDEX(BookOneOff,333)*$D338)</f>
        <v/>
      </c>
      <c r="I338" s="56" t="str">
        <f aca="false">IF(INDEX(BookTitle,333)="","",INDEX(BookTotal,333)*'5. Scenarios'!$C$6/(1+ProductivityDefault*('5. Scenarios'!$C$11-1)))</f>
        <v/>
      </c>
      <c r="J338" s="57" t="str">
        <f aca="false">IF($I338="","",INDEX(BookRate,333)*(1+'5. Scenarios'!$C$10)*$I338)</f>
        <v/>
      </c>
      <c r="K338" s="57" t="str">
        <f aca="false">IF($J338="","",SUMIFS($J$6:$J$2405,$A$6:$A$2405,"&lt;="&amp;$A338))</f>
        <v/>
      </c>
      <c r="L338" s="57" t="str">
        <f aca="false">IF($J338="","",IF($K338&lt;=BankCostEnvelope*'5. Scenarios'!$C$7,1,0))</f>
        <v/>
      </c>
      <c r="M338" s="57" t="str">
        <f aca="false">IF($I338="","",INDEX(BookRate,333)*(1+'5. Scenarios'!$C$10)*(INDEX(BookQ1,333)*(5-MIN(4,1+'5. Scenarios'!$C$8))/4+INDEX(BookQ2,333)*(5-MIN(4,2+'5. Scenarios'!$C$8))/4+INDEX(BookQ3,333)*(5-MIN(4,3+'5. Scenarios'!$C$8))/4+INDEX(BookQ4,333)*(5-MIN(4,4+'5. Scenarios'!$C$8))/4)*'5. Scenarios'!$C$6/(1+ProductivityDefault*('5. Scenarios'!$C$11-1))+INDEX(BookOneOff,333)*$I338)</f>
        <v/>
      </c>
      <c r="N338" s="56" t="str">
        <f aca="false">IF(INDEX(BookTitle,333)="","",INDEX(BookTotal,333)*'5. Scenarios'!$D$6/(1+ProductivityDefault*('5. Scenarios'!$D$11-1)))</f>
        <v/>
      </c>
      <c r="O338" s="57" t="str">
        <f aca="false">IF($N338="","",INDEX(BookRate,333)*(1+'5. Scenarios'!$D$10)*$N338)</f>
        <v/>
      </c>
      <c r="P338" s="57" t="str">
        <f aca="false">IF($O338="","",SUMIFS($O$6:$O$2405,$A$6:$A$2405,"&lt;="&amp;$A338))</f>
        <v/>
      </c>
      <c r="Q338" s="57" t="str">
        <f aca="false">IF($O338="","",IF($P338&lt;=BankCostEnvelope*'5. Scenarios'!$D$7,1,0))</f>
        <v/>
      </c>
      <c r="R338" s="57" t="str">
        <f aca="false">IF($N338="","",INDEX(BookRate,333)*(1+'5. Scenarios'!$D$10)*(INDEX(BookQ1,333)*(5-MIN(4,1+'5. Scenarios'!$D$8))/4+INDEX(BookQ2,333)*(5-MIN(4,2+'5. Scenarios'!$D$8))/4+INDEX(BookQ3,333)*(5-MIN(4,3+'5. Scenarios'!$D$8))/4+INDEX(BookQ4,333)*(5-MIN(4,4+'5. Scenarios'!$D$8))/4)*'5. Scenarios'!$D$6/(1+ProductivityDefault*('5. Scenarios'!$D$11-1))+INDEX(BookOneOff,333)*$N338)</f>
        <v/>
      </c>
      <c r="S338" s="56" t="str">
        <f aca="false">IF(INDEX(BookTitle,333)="","",INDEX(BookTotal,333)*'5. Scenarios'!$E$6/(1+ProductivityDefault*('5. Scenarios'!$E$11-1)))</f>
        <v/>
      </c>
      <c r="T338" s="57" t="str">
        <f aca="false">IF($S338="","",INDEX(BookRate,333)*(1+'5. Scenarios'!$E$10)*$S338)</f>
        <v/>
      </c>
      <c r="U338" s="57" t="str">
        <f aca="false">IF($T338="","",SUMIFS($T$6:$T$2405,$A$6:$A$2405,"&lt;="&amp;$A338))</f>
        <v/>
      </c>
      <c r="V338" s="57" t="str">
        <f aca="false">IF($T338="","",IF($U338&lt;=BankCostEnvelope*'5. Scenarios'!$E$7,1,0))</f>
        <v/>
      </c>
      <c r="W338" s="57" t="str">
        <f aca="false">IF($S338="","",INDEX(BookRate,333)*(1+'5. Scenarios'!$E$10)*(INDEX(BookQ1,333)*(5-MIN(4,1+'5. Scenarios'!$E$8))/4+INDEX(BookQ2,333)*(5-MIN(4,2+'5. Scenarios'!$E$8))/4+INDEX(BookQ3,333)*(5-MIN(4,3+'5. Scenarios'!$E$8))/4+INDEX(BookQ4,333)*(5-MIN(4,4+'5. Scenarios'!$E$8))/4)*'5. Scenarios'!$E$6/(1+ProductivityDefault*('5. Scenarios'!$E$11-1))+INDEX(BookOneOff,333)*$S338)</f>
        <v/>
      </c>
    </row>
    <row r="339" customFormat="false" ht="15" hidden="false" customHeight="false" outlineLevel="0" collapsed="false">
      <c r="A339" s="0" t="str">
        <f aca="false">IF(INDEX(BookTitle,334)="","",INDEX(BookKey,334))</f>
        <v/>
      </c>
      <c r="B339" s="0" t="str">
        <f aca="false">IF(INDEX(BookTitle,334)="","",INDEX(BookGroup,334))</f>
        <v/>
      </c>
      <c r="C339" s="0" t="str">
        <f aca="false">IF(INDEX(BookTitle,334)="","",INDEX(BookCategory,334))</f>
        <v/>
      </c>
      <c r="D339" s="56" t="str">
        <f aca="false">IF(INDEX(BookTitle,334)="","",INDEX(BookTotal,334)*'5. Scenarios'!$B$6/(1+ProductivityDefault*('5. Scenarios'!$B$11-1)))</f>
        <v/>
      </c>
      <c r="E339" s="57" t="str">
        <f aca="false">IF($D339="","",INDEX(BookRate,334)*(1+'5. Scenarios'!$B$10)*$D339)</f>
        <v/>
      </c>
      <c r="F339" s="57" t="str">
        <f aca="false">IF($E339="","",SUMIFS($E$6:$E$2405,$A$6:$A$2405,"&lt;="&amp;$A339))</f>
        <v/>
      </c>
      <c r="G339" s="57" t="str">
        <f aca="false">IF($E339="","",IF($F339&lt;=BankCostEnvelope*'5. Scenarios'!$B$7,1,0))</f>
        <v/>
      </c>
      <c r="H339" s="57" t="str">
        <f aca="false">IF($D339="","",INDEX(BookRate,334)*(1+'5. Scenarios'!$B$10)*(INDEX(BookQ1,334)*(5-MIN(4,1+'5. Scenarios'!$B$8))/4+INDEX(BookQ2,334)*(5-MIN(4,2+'5. Scenarios'!$B$8))/4+INDEX(BookQ3,334)*(5-MIN(4,3+'5. Scenarios'!$B$8))/4+INDEX(BookQ4,334)*(5-MIN(4,4+'5. Scenarios'!$B$8))/4)*'5. Scenarios'!$B$6/(1+ProductivityDefault*('5. Scenarios'!$B$11-1))+INDEX(BookOneOff,334)*$D339)</f>
        <v/>
      </c>
      <c r="I339" s="56" t="str">
        <f aca="false">IF(INDEX(BookTitle,334)="","",INDEX(BookTotal,334)*'5. Scenarios'!$C$6/(1+ProductivityDefault*('5. Scenarios'!$C$11-1)))</f>
        <v/>
      </c>
      <c r="J339" s="57" t="str">
        <f aca="false">IF($I339="","",INDEX(BookRate,334)*(1+'5. Scenarios'!$C$10)*$I339)</f>
        <v/>
      </c>
      <c r="K339" s="57" t="str">
        <f aca="false">IF($J339="","",SUMIFS($J$6:$J$2405,$A$6:$A$2405,"&lt;="&amp;$A339))</f>
        <v/>
      </c>
      <c r="L339" s="57" t="str">
        <f aca="false">IF($J339="","",IF($K339&lt;=BankCostEnvelope*'5. Scenarios'!$C$7,1,0))</f>
        <v/>
      </c>
      <c r="M339" s="57" t="str">
        <f aca="false">IF($I339="","",INDEX(BookRate,334)*(1+'5. Scenarios'!$C$10)*(INDEX(BookQ1,334)*(5-MIN(4,1+'5. Scenarios'!$C$8))/4+INDEX(BookQ2,334)*(5-MIN(4,2+'5. Scenarios'!$C$8))/4+INDEX(BookQ3,334)*(5-MIN(4,3+'5. Scenarios'!$C$8))/4+INDEX(BookQ4,334)*(5-MIN(4,4+'5. Scenarios'!$C$8))/4)*'5. Scenarios'!$C$6/(1+ProductivityDefault*('5. Scenarios'!$C$11-1))+INDEX(BookOneOff,334)*$I339)</f>
        <v/>
      </c>
      <c r="N339" s="56" t="str">
        <f aca="false">IF(INDEX(BookTitle,334)="","",INDEX(BookTotal,334)*'5. Scenarios'!$D$6/(1+ProductivityDefault*('5. Scenarios'!$D$11-1)))</f>
        <v/>
      </c>
      <c r="O339" s="57" t="str">
        <f aca="false">IF($N339="","",INDEX(BookRate,334)*(1+'5. Scenarios'!$D$10)*$N339)</f>
        <v/>
      </c>
      <c r="P339" s="57" t="str">
        <f aca="false">IF($O339="","",SUMIFS($O$6:$O$2405,$A$6:$A$2405,"&lt;="&amp;$A339))</f>
        <v/>
      </c>
      <c r="Q339" s="57" t="str">
        <f aca="false">IF($O339="","",IF($P339&lt;=BankCostEnvelope*'5. Scenarios'!$D$7,1,0))</f>
        <v/>
      </c>
      <c r="R339" s="57" t="str">
        <f aca="false">IF($N339="","",INDEX(BookRate,334)*(1+'5. Scenarios'!$D$10)*(INDEX(BookQ1,334)*(5-MIN(4,1+'5. Scenarios'!$D$8))/4+INDEX(BookQ2,334)*(5-MIN(4,2+'5. Scenarios'!$D$8))/4+INDEX(BookQ3,334)*(5-MIN(4,3+'5. Scenarios'!$D$8))/4+INDEX(BookQ4,334)*(5-MIN(4,4+'5. Scenarios'!$D$8))/4)*'5. Scenarios'!$D$6/(1+ProductivityDefault*('5. Scenarios'!$D$11-1))+INDEX(BookOneOff,334)*$N339)</f>
        <v/>
      </c>
      <c r="S339" s="56" t="str">
        <f aca="false">IF(INDEX(BookTitle,334)="","",INDEX(BookTotal,334)*'5. Scenarios'!$E$6/(1+ProductivityDefault*('5. Scenarios'!$E$11-1)))</f>
        <v/>
      </c>
      <c r="T339" s="57" t="str">
        <f aca="false">IF($S339="","",INDEX(BookRate,334)*(1+'5. Scenarios'!$E$10)*$S339)</f>
        <v/>
      </c>
      <c r="U339" s="57" t="str">
        <f aca="false">IF($T339="","",SUMIFS($T$6:$T$2405,$A$6:$A$2405,"&lt;="&amp;$A339))</f>
        <v/>
      </c>
      <c r="V339" s="57" t="str">
        <f aca="false">IF($T339="","",IF($U339&lt;=BankCostEnvelope*'5. Scenarios'!$E$7,1,0))</f>
        <v/>
      </c>
      <c r="W339" s="57" t="str">
        <f aca="false">IF($S339="","",INDEX(BookRate,334)*(1+'5. Scenarios'!$E$10)*(INDEX(BookQ1,334)*(5-MIN(4,1+'5. Scenarios'!$E$8))/4+INDEX(BookQ2,334)*(5-MIN(4,2+'5. Scenarios'!$E$8))/4+INDEX(BookQ3,334)*(5-MIN(4,3+'5. Scenarios'!$E$8))/4+INDEX(BookQ4,334)*(5-MIN(4,4+'5. Scenarios'!$E$8))/4)*'5. Scenarios'!$E$6/(1+ProductivityDefault*('5. Scenarios'!$E$11-1))+INDEX(BookOneOff,334)*$S339)</f>
        <v/>
      </c>
    </row>
    <row r="340" customFormat="false" ht="15" hidden="false" customHeight="false" outlineLevel="0" collapsed="false">
      <c r="A340" s="0" t="str">
        <f aca="false">IF(INDEX(BookTitle,335)="","",INDEX(BookKey,335))</f>
        <v/>
      </c>
      <c r="B340" s="0" t="str">
        <f aca="false">IF(INDEX(BookTitle,335)="","",INDEX(BookGroup,335))</f>
        <v/>
      </c>
      <c r="C340" s="0" t="str">
        <f aca="false">IF(INDEX(BookTitle,335)="","",INDEX(BookCategory,335))</f>
        <v/>
      </c>
      <c r="D340" s="56" t="str">
        <f aca="false">IF(INDEX(BookTitle,335)="","",INDEX(BookTotal,335)*'5. Scenarios'!$B$6/(1+ProductivityDefault*('5. Scenarios'!$B$11-1)))</f>
        <v/>
      </c>
      <c r="E340" s="57" t="str">
        <f aca="false">IF($D340="","",INDEX(BookRate,335)*(1+'5. Scenarios'!$B$10)*$D340)</f>
        <v/>
      </c>
      <c r="F340" s="57" t="str">
        <f aca="false">IF($E340="","",SUMIFS($E$6:$E$2405,$A$6:$A$2405,"&lt;="&amp;$A340))</f>
        <v/>
      </c>
      <c r="G340" s="57" t="str">
        <f aca="false">IF($E340="","",IF($F340&lt;=BankCostEnvelope*'5. Scenarios'!$B$7,1,0))</f>
        <v/>
      </c>
      <c r="H340" s="57" t="str">
        <f aca="false">IF($D340="","",INDEX(BookRate,335)*(1+'5. Scenarios'!$B$10)*(INDEX(BookQ1,335)*(5-MIN(4,1+'5. Scenarios'!$B$8))/4+INDEX(BookQ2,335)*(5-MIN(4,2+'5. Scenarios'!$B$8))/4+INDEX(BookQ3,335)*(5-MIN(4,3+'5. Scenarios'!$B$8))/4+INDEX(BookQ4,335)*(5-MIN(4,4+'5. Scenarios'!$B$8))/4)*'5. Scenarios'!$B$6/(1+ProductivityDefault*('5. Scenarios'!$B$11-1))+INDEX(BookOneOff,335)*$D340)</f>
        <v/>
      </c>
      <c r="I340" s="56" t="str">
        <f aca="false">IF(INDEX(BookTitle,335)="","",INDEX(BookTotal,335)*'5. Scenarios'!$C$6/(1+ProductivityDefault*('5. Scenarios'!$C$11-1)))</f>
        <v/>
      </c>
      <c r="J340" s="57" t="str">
        <f aca="false">IF($I340="","",INDEX(BookRate,335)*(1+'5. Scenarios'!$C$10)*$I340)</f>
        <v/>
      </c>
      <c r="K340" s="57" t="str">
        <f aca="false">IF($J340="","",SUMIFS($J$6:$J$2405,$A$6:$A$2405,"&lt;="&amp;$A340))</f>
        <v/>
      </c>
      <c r="L340" s="57" t="str">
        <f aca="false">IF($J340="","",IF($K340&lt;=BankCostEnvelope*'5. Scenarios'!$C$7,1,0))</f>
        <v/>
      </c>
      <c r="M340" s="57" t="str">
        <f aca="false">IF($I340="","",INDEX(BookRate,335)*(1+'5. Scenarios'!$C$10)*(INDEX(BookQ1,335)*(5-MIN(4,1+'5. Scenarios'!$C$8))/4+INDEX(BookQ2,335)*(5-MIN(4,2+'5. Scenarios'!$C$8))/4+INDEX(BookQ3,335)*(5-MIN(4,3+'5. Scenarios'!$C$8))/4+INDEX(BookQ4,335)*(5-MIN(4,4+'5. Scenarios'!$C$8))/4)*'5. Scenarios'!$C$6/(1+ProductivityDefault*('5. Scenarios'!$C$11-1))+INDEX(BookOneOff,335)*$I340)</f>
        <v/>
      </c>
      <c r="N340" s="56" t="str">
        <f aca="false">IF(INDEX(BookTitle,335)="","",INDEX(BookTotal,335)*'5. Scenarios'!$D$6/(1+ProductivityDefault*('5. Scenarios'!$D$11-1)))</f>
        <v/>
      </c>
      <c r="O340" s="57" t="str">
        <f aca="false">IF($N340="","",INDEX(BookRate,335)*(1+'5. Scenarios'!$D$10)*$N340)</f>
        <v/>
      </c>
      <c r="P340" s="57" t="str">
        <f aca="false">IF($O340="","",SUMIFS($O$6:$O$2405,$A$6:$A$2405,"&lt;="&amp;$A340))</f>
        <v/>
      </c>
      <c r="Q340" s="57" t="str">
        <f aca="false">IF($O340="","",IF($P340&lt;=BankCostEnvelope*'5. Scenarios'!$D$7,1,0))</f>
        <v/>
      </c>
      <c r="R340" s="57" t="str">
        <f aca="false">IF($N340="","",INDEX(BookRate,335)*(1+'5. Scenarios'!$D$10)*(INDEX(BookQ1,335)*(5-MIN(4,1+'5. Scenarios'!$D$8))/4+INDEX(BookQ2,335)*(5-MIN(4,2+'5. Scenarios'!$D$8))/4+INDEX(BookQ3,335)*(5-MIN(4,3+'5. Scenarios'!$D$8))/4+INDEX(BookQ4,335)*(5-MIN(4,4+'5. Scenarios'!$D$8))/4)*'5. Scenarios'!$D$6/(1+ProductivityDefault*('5. Scenarios'!$D$11-1))+INDEX(BookOneOff,335)*$N340)</f>
        <v/>
      </c>
      <c r="S340" s="56" t="str">
        <f aca="false">IF(INDEX(BookTitle,335)="","",INDEX(BookTotal,335)*'5. Scenarios'!$E$6/(1+ProductivityDefault*('5. Scenarios'!$E$11-1)))</f>
        <v/>
      </c>
      <c r="T340" s="57" t="str">
        <f aca="false">IF($S340="","",INDEX(BookRate,335)*(1+'5. Scenarios'!$E$10)*$S340)</f>
        <v/>
      </c>
      <c r="U340" s="57" t="str">
        <f aca="false">IF($T340="","",SUMIFS($T$6:$T$2405,$A$6:$A$2405,"&lt;="&amp;$A340))</f>
        <v/>
      </c>
      <c r="V340" s="57" t="str">
        <f aca="false">IF($T340="","",IF($U340&lt;=BankCostEnvelope*'5. Scenarios'!$E$7,1,0))</f>
        <v/>
      </c>
      <c r="W340" s="57" t="str">
        <f aca="false">IF($S340="","",INDEX(BookRate,335)*(1+'5. Scenarios'!$E$10)*(INDEX(BookQ1,335)*(5-MIN(4,1+'5. Scenarios'!$E$8))/4+INDEX(BookQ2,335)*(5-MIN(4,2+'5. Scenarios'!$E$8))/4+INDEX(BookQ3,335)*(5-MIN(4,3+'5. Scenarios'!$E$8))/4+INDEX(BookQ4,335)*(5-MIN(4,4+'5. Scenarios'!$E$8))/4)*'5. Scenarios'!$E$6/(1+ProductivityDefault*('5. Scenarios'!$E$11-1))+INDEX(BookOneOff,335)*$S340)</f>
        <v/>
      </c>
    </row>
    <row r="341" customFormat="false" ht="15" hidden="false" customHeight="false" outlineLevel="0" collapsed="false">
      <c r="A341" s="0" t="str">
        <f aca="false">IF(INDEX(BookTitle,336)="","",INDEX(BookKey,336))</f>
        <v/>
      </c>
      <c r="B341" s="0" t="str">
        <f aca="false">IF(INDEX(BookTitle,336)="","",INDEX(BookGroup,336))</f>
        <v/>
      </c>
      <c r="C341" s="0" t="str">
        <f aca="false">IF(INDEX(BookTitle,336)="","",INDEX(BookCategory,336))</f>
        <v/>
      </c>
      <c r="D341" s="56" t="str">
        <f aca="false">IF(INDEX(BookTitle,336)="","",INDEX(BookTotal,336)*'5. Scenarios'!$B$6/(1+ProductivityDefault*('5. Scenarios'!$B$11-1)))</f>
        <v/>
      </c>
      <c r="E341" s="57" t="str">
        <f aca="false">IF($D341="","",INDEX(BookRate,336)*(1+'5. Scenarios'!$B$10)*$D341)</f>
        <v/>
      </c>
      <c r="F341" s="57" t="str">
        <f aca="false">IF($E341="","",SUMIFS($E$6:$E$2405,$A$6:$A$2405,"&lt;="&amp;$A341))</f>
        <v/>
      </c>
      <c r="G341" s="57" t="str">
        <f aca="false">IF($E341="","",IF($F341&lt;=BankCostEnvelope*'5. Scenarios'!$B$7,1,0))</f>
        <v/>
      </c>
      <c r="H341" s="57" t="str">
        <f aca="false">IF($D341="","",INDEX(BookRate,336)*(1+'5. Scenarios'!$B$10)*(INDEX(BookQ1,336)*(5-MIN(4,1+'5. Scenarios'!$B$8))/4+INDEX(BookQ2,336)*(5-MIN(4,2+'5. Scenarios'!$B$8))/4+INDEX(BookQ3,336)*(5-MIN(4,3+'5. Scenarios'!$B$8))/4+INDEX(BookQ4,336)*(5-MIN(4,4+'5. Scenarios'!$B$8))/4)*'5. Scenarios'!$B$6/(1+ProductivityDefault*('5. Scenarios'!$B$11-1))+INDEX(BookOneOff,336)*$D341)</f>
        <v/>
      </c>
      <c r="I341" s="56" t="str">
        <f aca="false">IF(INDEX(BookTitle,336)="","",INDEX(BookTotal,336)*'5. Scenarios'!$C$6/(1+ProductivityDefault*('5. Scenarios'!$C$11-1)))</f>
        <v/>
      </c>
      <c r="J341" s="57" t="str">
        <f aca="false">IF($I341="","",INDEX(BookRate,336)*(1+'5. Scenarios'!$C$10)*$I341)</f>
        <v/>
      </c>
      <c r="K341" s="57" t="str">
        <f aca="false">IF($J341="","",SUMIFS($J$6:$J$2405,$A$6:$A$2405,"&lt;="&amp;$A341))</f>
        <v/>
      </c>
      <c r="L341" s="57" t="str">
        <f aca="false">IF($J341="","",IF($K341&lt;=BankCostEnvelope*'5. Scenarios'!$C$7,1,0))</f>
        <v/>
      </c>
      <c r="M341" s="57" t="str">
        <f aca="false">IF($I341="","",INDEX(BookRate,336)*(1+'5. Scenarios'!$C$10)*(INDEX(BookQ1,336)*(5-MIN(4,1+'5. Scenarios'!$C$8))/4+INDEX(BookQ2,336)*(5-MIN(4,2+'5. Scenarios'!$C$8))/4+INDEX(BookQ3,336)*(5-MIN(4,3+'5. Scenarios'!$C$8))/4+INDEX(BookQ4,336)*(5-MIN(4,4+'5. Scenarios'!$C$8))/4)*'5. Scenarios'!$C$6/(1+ProductivityDefault*('5. Scenarios'!$C$11-1))+INDEX(BookOneOff,336)*$I341)</f>
        <v/>
      </c>
      <c r="N341" s="56" t="str">
        <f aca="false">IF(INDEX(BookTitle,336)="","",INDEX(BookTotal,336)*'5. Scenarios'!$D$6/(1+ProductivityDefault*('5. Scenarios'!$D$11-1)))</f>
        <v/>
      </c>
      <c r="O341" s="57" t="str">
        <f aca="false">IF($N341="","",INDEX(BookRate,336)*(1+'5. Scenarios'!$D$10)*$N341)</f>
        <v/>
      </c>
      <c r="P341" s="57" t="str">
        <f aca="false">IF($O341="","",SUMIFS($O$6:$O$2405,$A$6:$A$2405,"&lt;="&amp;$A341))</f>
        <v/>
      </c>
      <c r="Q341" s="57" t="str">
        <f aca="false">IF($O341="","",IF($P341&lt;=BankCostEnvelope*'5. Scenarios'!$D$7,1,0))</f>
        <v/>
      </c>
      <c r="R341" s="57" t="str">
        <f aca="false">IF($N341="","",INDEX(BookRate,336)*(1+'5. Scenarios'!$D$10)*(INDEX(BookQ1,336)*(5-MIN(4,1+'5. Scenarios'!$D$8))/4+INDEX(BookQ2,336)*(5-MIN(4,2+'5. Scenarios'!$D$8))/4+INDEX(BookQ3,336)*(5-MIN(4,3+'5. Scenarios'!$D$8))/4+INDEX(BookQ4,336)*(5-MIN(4,4+'5. Scenarios'!$D$8))/4)*'5. Scenarios'!$D$6/(1+ProductivityDefault*('5. Scenarios'!$D$11-1))+INDEX(BookOneOff,336)*$N341)</f>
        <v/>
      </c>
      <c r="S341" s="56" t="str">
        <f aca="false">IF(INDEX(BookTitle,336)="","",INDEX(BookTotal,336)*'5. Scenarios'!$E$6/(1+ProductivityDefault*('5. Scenarios'!$E$11-1)))</f>
        <v/>
      </c>
      <c r="T341" s="57" t="str">
        <f aca="false">IF($S341="","",INDEX(BookRate,336)*(1+'5. Scenarios'!$E$10)*$S341)</f>
        <v/>
      </c>
      <c r="U341" s="57" t="str">
        <f aca="false">IF($T341="","",SUMIFS($T$6:$T$2405,$A$6:$A$2405,"&lt;="&amp;$A341))</f>
        <v/>
      </c>
      <c r="V341" s="57" t="str">
        <f aca="false">IF($T341="","",IF($U341&lt;=BankCostEnvelope*'5. Scenarios'!$E$7,1,0))</f>
        <v/>
      </c>
      <c r="W341" s="57" t="str">
        <f aca="false">IF($S341="","",INDEX(BookRate,336)*(1+'5. Scenarios'!$E$10)*(INDEX(BookQ1,336)*(5-MIN(4,1+'5. Scenarios'!$E$8))/4+INDEX(BookQ2,336)*(5-MIN(4,2+'5. Scenarios'!$E$8))/4+INDEX(BookQ3,336)*(5-MIN(4,3+'5. Scenarios'!$E$8))/4+INDEX(BookQ4,336)*(5-MIN(4,4+'5. Scenarios'!$E$8))/4)*'5. Scenarios'!$E$6/(1+ProductivityDefault*('5. Scenarios'!$E$11-1))+INDEX(BookOneOff,336)*$S341)</f>
        <v/>
      </c>
    </row>
    <row r="342" customFormat="false" ht="15" hidden="false" customHeight="false" outlineLevel="0" collapsed="false">
      <c r="A342" s="0" t="str">
        <f aca="false">IF(INDEX(BookTitle,337)="","",INDEX(BookKey,337))</f>
        <v/>
      </c>
      <c r="B342" s="0" t="str">
        <f aca="false">IF(INDEX(BookTitle,337)="","",INDEX(BookGroup,337))</f>
        <v/>
      </c>
      <c r="C342" s="0" t="str">
        <f aca="false">IF(INDEX(BookTitle,337)="","",INDEX(BookCategory,337))</f>
        <v/>
      </c>
      <c r="D342" s="56" t="str">
        <f aca="false">IF(INDEX(BookTitle,337)="","",INDEX(BookTotal,337)*'5. Scenarios'!$B$6/(1+ProductivityDefault*('5. Scenarios'!$B$11-1)))</f>
        <v/>
      </c>
      <c r="E342" s="57" t="str">
        <f aca="false">IF($D342="","",INDEX(BookRate,337)*(1+'5. Scenarios'!$B$10)*$D342)</f>
        <v/>
      </c>
      <c r="F342" s="57" t="str">
        <f aca="false">IF($E342="","",SUMIFS($E$6:$E$2405,$A$6:$A$2405,"&lt;="&amp;$A342))</f>
        <v/>
      </c>
      <c r="G342" s="57" t="str">
        <f aca="false">IF($E342="","",IF($F342&lt;=BankCostEnvelope*'5. Scenarios'!$B$7,1,0))</f>
        <v/>
      </c>
      <c r="H342" s="57" t="str">
        <f aca="false">IF($D342="","",INDEX(BookRate,337)*(1+'5. Scenarios'!$B$10)*(INDEX(BookQ1,337)*(5-MIN(4,1+'5. Scenarios'!$B$8))/4+INDEX(BookQ2,337)*(5-MIN(4,2+'5. Scenarios'!$B$8))/4+INDEX(BookQ3,337)*(5-MIN(4,3+'5. Scenarios'!$B$8))/4+INDEX(BookQ4,337)*(5-MIN(4,4+'5. Scenarios'!$B$8))/4)*'5. Scenarios'!$B$6/(1+ProductivityDefault*('5. Scenarios'!$B$11-1))+INDEX(BookOneOff,337)*$D342)</f>
        <v/>
      </c>
      <c r="I342" s="56" t="str">
        <f aca="false">IF(INDEX(BookTitle,337)="","",INDEX(BookTotal,337)*'5. Scenarios'!$C$6/(1+ProductivityDefault*('5. Scenarios'!$C$11-1)))</f>
        <v/>
      </c>
      <c r="J342" s="57" t="str">
        <f aca="false">IF($I342="","",INDEX(BookRate,337)*(1+'5. Scenarios'!$C$10)*$I342)</f>
        <v/>
      </c>
      <c r="K342" s="57" t="str">
        <f aca="false">IF($J342="","",SUMIFS($J$6:$J$2405,$A$6:$A$2405,"&lt;="&amp;$A342))</f>
        <v/>
      </c>
      <c r="L342" s="57" t="str">
        <f aca="false">IF($J342="","",IF($K342&lt;=BankCostEnvelope*'5. Scenarios'!$C$7,1,0))</f>
        <v/>
      </c>
      <c r="M342" s="57" t="str">
        <f aca="false">IF($I342="","",INDEX(BookRate,337)*(1+'5. Scenarios'!$C$10)*(INDEX(BookQ1,337)*(5-MIN(4,1+'5. Scenarios'!$C$8))/4+INDEX(BookQ2,337)*(5-MIN(4,2+'5. Scenarios'!$C$8))/4+INDEX(BookQ3,337)*(5-MIN(4,3+'5. Scenarios'!$C$8))/4+INDEX(BookQ4,337)*(5-MIN(4,4+'5. Scenarios'!$C$8))/4)*'5. Scenarios'!$C$6/(1+ProductivityDefault*('5. Scenarios'!$C$11-1))+INDEX(BookOneOff,337)*$I342)</f>
        <v/>
      </c>
      <c r="N342" s="56" t="str">
        <f aca="false">IF(INDEX(BookTitle,337)="","",INDEX(BookTotal,337)*'5. Scenarios'!$D$6/(1+ProductivityDefault*('5. Scenarios'!$D$11-1)))</f>
        <v/>
      </c>
      <c r="O342" s="57" t="str">
        <f aca="false">IF($N342="","",INDEX(BookRate,337)*(1+'5. Scenarios'!$D$10)*$N342)</f>
        <v/>
      </c>
      <c r="P342" s="57" t="str">
        <f aca="false">IF($O342="","",SUMIFS($O$6:$O$2405,$A$6:$A$2405,"&lt;="&amp;$A342))</f>
        <v/>
      </c>
      <c r="Q342" s="57" t="str">
        <f aca="false">IF($O342="","",IF($P342&lt;=BankCostEnvelope*'5. Scenarios'!$D$7,1,0))</f>
        <v/>
      </c>
      <c r="R342" s="57" t="str">
        <f aca="false">IF($N342="","",INDEX(BookRate,337)*(1+'5. Scenarios'!$D$10)*(INDEX(BookQ1,337)*(5-MIN(4,1+'5. Scenarios'!$D$8))/4+INDEX(BookQ2,337)*(5-MIN(4,2+'5. Scenarios'!$D$8))/4+INDEX(BookQ3,337)*(5-MIN(4,3+'5. Scenarios'!$D$8))/4+INDEX(BookQ4,337)*(5-MIN(4,4+'5. Scenarios'!$D$8))/4)*'5. Scenarios'!$D$6/(1+ProductivityDefault*('5. Scenarios'!$D$11-1))+INDEX(BookOneOff,337)*$N342)</f>
        <v/>
      </c>
      <c r="S342" s="56" t="str">
        <f aca="false">IF(INDEX(BookTitle,337)="","",INDEX(BookTotal,337)*'5. Scenarios'!$E$6/(1+ProductivityDefault*('5. Scenarios'!$E$11-1)))</f>
        <v/>
      </c>
      <c r="T342" s="57" t="str">
        <f aca="false">IF($S342="","",INDEX(BookRate,337)*(1+'5. Scenarios'!$E$10)*$S342)</f>
        <v/>
      </c>
      <c r="U342" s="57" t="str">
        <f aca="false">IF($T342="","",SUMIFS($T$6:$T$2405,$A$6:$A$2405,"&lt;="&amp;$A342))</f>
        <v/>
      </c>
      <c r="V342" s="57" t="str">
        <f aca="false">IF($T342="","",IF($U342&lt;=BankCostEnvelope*'5. Scenarios'!$E$7,1,0))</f>
        <v/>
      </c>
      <c r="W342" s="57" t="str">
        <f aca="false">IF($S342="","",INDEX(BookRate,337)*(1+'5. Scenarios'!$E$10)*(INDEX(BookQ1,337)*(5-MIN(4,1+'5. Scenarios'!$E$8))/4+INDEX(BookQ2,337)*(5-MIN(4,2+'5. Scenarios'!$E$8))/4+INDEX(BookQ3,337)*(5-MIN(4,3+'5. Scenarios'!$E$8))/4+INDEX(BookQ4,337)*(5-MIN(4,4+'5. Scenarios'!$E$8))/4)*'5. Scenarios'!$E$6/(1+ProductivityDefault*('5. Scenarios'!$E$11-1))+INDEX(BookOneOff,337)*$S342)</f>
        <v/>
      </c>
    </row>
    <row r="343" customFormat="false" ht="15" hidden="false" customHeight="false" outlineLevel="0" collapsed="false">
      <c r="A343" s="0" t="str">
        <f aca="false">IF(INDEX(BookTitle,338)="","",INDEX(BookKey,338))</f>
        <v/>
      </c>
      <c r="B343" s="0" t="str">
        <f aca="false">IF(INDEX(BookTitle,338)="","",INDEX(BookGroup,338))</f>
        <v/>
      </c>
      <c r="C343" s="0" t="str">
        <f aca="false">IF(INDEX(BookTitle,338)="","",INDEX(BookCategory,338))</f>
        <v/>
      </c>
      <c r="D343" s="56" t="str">
        <f aca="false">IF(INDEX(BookTitle,338)="","",INDEX(BookTotal,338)*'5. Scenarios'!$B$6/(1+ProductivityDefault*('5. Scenarios'!$B$11-1)))</f>
        <v/>
      </c>
      <c r="E343" s="57" t="str">
        <f aca="false">IF($D343="","",INDEX(BookRate,338)*(1+'5. Scenarios'!$B$10)*$D343)</f>
        <v/>
      </c>
      <c r="F343" s="57" t="str">
        <f aca="false">IF($E343="","",SUMIFS($E$6:$E$2405,$A$6:$A$2405,"&lt;="&amp;$A343))</f>
        <v/>
      </c>
      <c r="G343" s="57" t="str">
        <f aca="false">IF($E343="","",IF($F343&lt;=BankCostEnvelope*'5. Scenarios'!$B$7,1,0))</f>
        <v/>
      </c>
      <c r="H343" s="57" t="str">
        <f aca="false">IF($D343="","",INDEX(BookRate,338)*(1+'5. Scenarios'!$B$10)*(INDEX(BookQ1,338)*(5-MIN(4,1+'5. Scenarios'!$B$8))/4+INDEX(BookQ2,338)*(5-MIN(4,2+'5. Scenarios'!$B$8))/4+INDEX(BookQ3,338)*(5-MIN(4,3+'5. Scenarios'!$B$8))/4+INDEX(BookQ4,338)*(5-MIN(4,4+'5. Scenarios'!$B$8))/4)*'5. Scenarios'!$B$6/(1+ProductivityDefault*('5. Scenarios'!$B$11-1))+INDEX(BookOneOff,338)*$D343)</f>
        <v/>
      </c>
      <c r="I343" s="56" t="str">
        <f aca="false">IF(INDEX(BookTitle,338)="","",INDEX(BookTotal,338)*'5. Scenarios'!$C$6/(1+ProductivityDefault*('5. Scenarios'!$C$11-1)))</f>
        <v/>
      </c>
      <c r="J343" s="57" t="str">
        <f aca="false">IF($I343="","",INDEX(BookRate,338)*(1+'5. Scenarios'!$C$10)*$I343)</f>
        <v/>
      </c>
      <c r="K343" s="57" t="str">
        <f aca="false">IF($J343="","",SUMIFS($J$6:$J$2405,$A$6:$A$2405,"&lt;="&amp;$A343))</f>
        <v/>
      </c>
      <c r="L343" s="57" t="str">
        <f aca="false">IF($J343="","",IF($K343&lt;=BankCostEnvelope*'5. Scenarios'!$C$7,1,0))</f>
        <v/>
      </c>
      <c r="M343" s="57" t="str">
        <f aca="false">IF($I343="","",INDEX(BookRate,338)*(1+'5. Scenarios'!$C$10)*(INDEX(BookQ1,338)*(5-MIN(4,1+'5. Scenarios'!$C$8))/4+INDEX(BookQ2,338)*(5-MIN(4,2+'5. Scenarios'!$C$8))/4+INDEX(BookQ3,338)*(5-MIN(4,3+'5. Scenarios'!$C$8))/4+INDEX(BookQ4,338)*(5-MIN(4,4+'5. Scenarios'!$C$8))/4)*'5. Scenarios'!$C$6/(1+ProductivityDefault*('5. Scenarios'!$C$11-1))+INDEX(BookOneOff,338)*$I343)</f>
        <v/>
      </c>
      <c r="N343" s="56" t="str">
        <f aca="false">IF(INDEX(BookTitle,338)="","",INDEX(BookTotal,338)*'5. Scenarios'!$D$6/(1+ProductivityDefault*('5. Scenarios'!$D$11-1)))</f>
        <v/>
      </c>
      <c r="O343" s="57" t="str">
        <f aca="false">IF($N343="","",INDEX(BookRate,338)*(1+'5. Scenarios'!$D$10)*$N343)</f>
        <v/>
      </c>
      <c r="P343" s="57" t="str">
        <f aca="false">IF($O343="","",SUMIFS($O$6:$O$2405,$A$6:$A$2405,"&lt;="&amp;$A343))</f>
        <v/>
      </c>
      <c r="Q343" s="57" t="str">
        <f aca="false">IF($O343="","",IF($P343&lt;=BankCostEnvelope*'5. Scenarios'!$D$7,1,0))</f>
        <v/>
      </c>
      <c r="R343" s="57" t="str">
        <f aca="false">IF($N343="","",INDEX(BookRate,338)*(1+'5. Scenarios'!$D$10)*(INDEX(BookQ1,338)*(5-MIN(4,1+'5. Scenarios'!$D$8))/4+INDEX(BookQ2,338)*(5-MIN(4,2+'5. Scenarios'!$D$8))/4+INDEX(BookQ3,338)*(5-MIN(4,3+'5. Scenarios'!$D$8))/4+INDEX(BookQ4,338)*(5-MIN(4,4+'5. Scenarios'!$D$8))/4)*'5. Scenarios'!$D$6/(1+ProductivityDefault*('5. Scenarios'!$D$11-1))+INDEX(BookOneOff,338)*$N343)</f>
        <v/>
      </c>
      <c r="S343" s="56" t="str">
        <f aca="false">IF(INDEX(BookTitle,338)="","",INDEX(BookTotal,338)*'5. Scenarios'!$E$6/(1+ProductivityDefault*('5. Scenarios'!$E$11-1)))</f>
        <v/>
      </c>
      <c r="T343" s="57" t="str">
        <f aca="false">IF($S343="","",INDEX(BookRate,338)*(1+'5. Scenarios'!$E$10)*$S343)</f>
        <v/>
      </c>
      <c r="U343" s="57" t="str">
        <f aca="false">IF($T343="","",SUMIFS($T$6:$T$2405,$A$6:$A$2405,"&lt;="&amp;$A343))</f>
        <v/>
      </c>
      <c r="V343" s="57" t="str">
        <f aca="false">IF($T343="","",IF($U343&lt;=BankCostEnvelope*'5. Scenarios'!$E$7,1,0))</f>
        <v/>
      </c>
      <c r="W343" s="57" t="str">
        <f aca="false">IF($S343="","",INDEX(BookRate,338)*(1+'5. Scenarios'!$E$10)*(INDEX(BookQ1,338)*(5-MIN(4,1+'5. Scenarios'!$E$8))/4+INDEX(BookQ2,338)*(5-MIN(4,2+'5. Scenarios'!$E$8))/4+INDEX(BookQ3,338)*(5-MIN(4,3+'5. Scenarios'!$E$8))/4+INDEX(BookQ4,338)*(5-MIN(4,4+'5. Scenarios'!$E$8))/4)*'5. Scenarios'!$E$6/(1+ProductivityDefault*('5. Scenarios'!$E$11-1))+INDEX(BookOneOff,338)*$S343)</f>
        <v/>
      </c>
    </row>
    <row r="344" customFormat="false" ht="15" hidden="false" customHeight="false" outlineLevel="0" collapsed="false">
      <c r="A344" s="0" t="str">
        <f aca="false">IF(INDEX(BookTitle,339)="","",INDEX(BookKey,339))</f>
        <v/>
      </c>
      <c r="B344" s="0" t="str">
        <f aca="false">IF(INDEX(BookTitle,339)="","",INDEX(BookGroup,339))</f>
        <v/>
      </c>
      <c r="C344" s="0" t="str">
        <f aca="false">IF(INDEX(BookTitle,339)="","",INDEX(BookCategory,339))</f>
        <v/>
      </c>
      <c r="D344" s="56" t="str">
        <f aca="false">IF(INDEX(BookTitle,339)="","",INDEX(BookTotal,339)*'5. Scenarios'!$B$6/(1+ProductivityDefault*('5. Scenarios'!$B$11-1)))</f>
        <v/>
      </c>
      <c r="E344" s="57" t="str">
        <f aca="false">IF($D344="","",INDEX(BookRate,339)*(1+'5. Scenarios'!$B$10)*$D344)</f>
        <v/>
      </c>
      <c r="F344" s="57" t="str">
        <f aca="false">IF($E344="","",SUMIFS($E$6:$E$2405,$A$6:$A$2405,"&lt;="&amp;$A344))</f>
        <v/>
      </c>
      <c r="G344" s="57" t="str">
        <f aca="false">IF($E344="","",IF($F344&lt;=BankCostEnvelope*'5. Scenarios'!$B$7,1,0))</f>
        <v/>
      </c>
      <c r="H344" s="57" t="str">
        <f aca="false">IF($D344="","",INDEX(BookRate,339)*(1+'5. Scenarios'!$B$10)*(INDEX(BookQ1,339)*(5-MIN(4,1+'5. Scenarios'!$B$8))/4+INDEX(BookQ2,339)*(5-MIN(4,2+'5. Scenarios'!$B$8))/4+INDEX(BookQ3,339)*(5-MIN(4,3+'5. Scenarios'!$B$8))/4+INDEX(BookQ4,339)*(5-MIN(4,4+'5. Scenarios'!$B$8))/4)*'5. Scenarios'!$B$6/(1+ProductivityDefault*('5. Scenarios'!$B$11-1))+INDEX(BookOneOff,339)*$D344)</f>
        <v/>
      </c>
      <c r="I344" s="56" t="str">
        <f aca="false">IF(INDEX(BookTitle,339)="","",INDEX(BookTotal,339)*'5. Scenarios'!$C$6/(1+ProductivityDefault*('5. Scenarios'!$C$11-1)))</f>
        <v/>
      </c>
      <c r="J344" s="57" t="str">
        <f aca="false">IF($I344="","",INDEX(BookRate,339)*(1+'5. Scenarios'!$C$10)*$I344)</f>
        <v/>
      </c>
      <c r="K344" s="57" t="str">
        <f aca="false">IF($J344="","",SUMIFS($J$6:$J$2405,$A$6:$A$2405,"&lt;="&amp;$A344))</f>
        <v/>
      </c>
      <c r="L344" s="57" t="str">
        <f aca="false">IF($J344="","",IF($K344&lt;=BankCostEnvelope*'5. Scenarios'!$C$7,1,0))</f>
        <v/>
      </c>
      <c r="M344" s="57" t="str">
        <f aca="false">IF($I344="","",INDEX(BookRate,339)*(1+'5. Scenarios'!$C$10)*(INDEX(BookQ1,339)*(5-MIN(4,1+'5. Scenarios'!$C$8))/4+INDEX(BookQ2,339)*(5-MIN(4,2+'5. Scenarios'!$C$8))/4+INDEX(BookQ3,339)*(5-MIN(4,3+'5. Scenarios'!$C$8))/4+INDEX(BookQ4,339)*(5-MIN(4,4+'5. Scenarios'!$C$8))/4)*'5. Scenarios'!$C$6/(1+ProductivityDefault*('5. Scenarios'!$C$11-1))+INDEX(BookOneOff,339)*$I344)</f>
        <v/>
      </c>
      <c r="N344" s="56" t="str">
        <f aca="false">IF(INDEX(BookTitle,339)="","",INDEX(BookTotal,339)*'5. Scenarios'!$D$6/(1+ProductivityDefault*('5. Scenarios'!$D$11-1)))</f>
        <v/>
      </c>
      <c r="O344" s="57" t="str">
        <f aca="false">IF($N344="","",INDEX(BookRate,339)*(1+'5. Scenarios'!$D$10)*$N344)</f>
        <v/>
      </c>
      <c r="P344" s="57" t="str">
        <f aca="false">IF($O344="","",SUMIFS($O$6:$O$2405,$A$6:$A$2405,"&lt;="&amp;$A344))</f>
        <v/>
      </c>
      <c r="Q344" s="57" t="str">
        <f aca="false">IF($O344="","",IF($P344&lt;=BankCostEnvelope*'5. Scenarios'!$D$7,1,0))</f>
        <v/>
      </c>
      <c r="R344" s="57" t="str">
        <f aca="false">IF($N344="","",INDEX(BookRate,339)*(1+'5. Scenarios'!$D$10)*(INDEX(BookQ1,339)*(5-MIN(4,1+'5. Scenarios'!$D$8))/4+INDEX(BookQ2,339)*(5-MIN(4,2+'5. Scenarios'!$D$8))/4+INDEX(BookQ3,339)*(5-MIN(4,3+'5. Scenarios'!$D$8))/4+INDEX(BookQ4,339)*(5-MIN(4,4+'5. Scenarios'!$D$8))/4)*'5. Scenarios'!$D$6/(1+ProductivityDefault*('5. Scenarios'!$D$11-1))+INDEX(BookOneOff,339)*$N344)</f>
        <v/>
      </c>
      <c r="S344" s="56" t="str">
        <f aca="false">IF(INDEX(BookTitle,339)="","",INDEX(BookTotal,339)*'5. Scenarios'!$E$6/(1+ProductivityDefault*('5. Scenarios'!$E$11-1)))</f>
        <v/>
      </c>
      <c r="T344" s="57" t="str">
        <f aca="false">IF($S344="","",INDEX(BookRate,339)*(1+'5. Scenarios'!$E$10)*$S344)</f>
        <v/>
      </c>
      <c r="U344" s="57" t="str">
        <f aca="false">IF($T344="","",SUMIFS($T$6:$T$2405,$A$6:$A$2405,"&lt;="&amp;$A344))</f>
        <v/>
      </c>
      <c r="V344" s="57" t="str">
        <f aca="false">IF($T344="","",IF($U344&lt;=BankCostEnvelope*'5. Scenarios'!$E$7,1,0))</f>
        <v/>
      </c>
      <c r="W344" s="57" t="str">
        <f aca="false">IF($S344="","",INDEX(BookRate,339)*(1+'5. Scenarios'!$E$10)*(INDEX(BookQ1,339)*(5-MIN(4,1+'5. Scenarios'!$E$8))/4+INDEX(BookQ2,339)*(5-MIN(4,2+'5. Scenarios'!$E$8))/4+INDEX(BookQ3,339)*(5-MIN(4,3+'5. Scenarios'!$E$8))/4+INDEX(BookQ4,339)*(5-MIN(4,4+'5. Scenarios'!$E$8))/4)*'5. Scenarios'!$E$6/(1+ProductivityDefault*('5. Scenarios'!$E$11-1))+INDEX(BookOneOff,339)*$S344)</f>
        <v/>
      </c>
    </row>
    <row r="345" customFormat="false" ht="15" hidden="false" customHeight="false" outlineLevel="0" collapsed="false">
      <c r="A345" s="0" t="str">
        <f aca="false">IF(INDEX(BookTitle,340)="","",INDEX(BookKey,340))</f>
        <v/>
      </c>
      <c r="B345" s="0" t="str">
        <f aca="false">IF(INDEX(BookTitle,340)="","",INDEX(BookGroup,340))</f>
        <v/>
      </c>
      <c r="C345" s="0" t="str">
        <f aca="false">IF(INDEX(BookTitle,340)="","",INDEX(BookCategory,340))</f>
        <v/>
      </c>
      <c r="D345" s="56" t="str">
        <f aca="false">IF(INDEX(BookTitle,340)="","",INDEX(BookTotal,340)*'5. Scenarios'!$B$6/(1+ProductivityDefault*('5. Scenarios'!$B$11-1)))</f>
        <v/>
      </c>
      <c r="E345" s="57" t="str">
        <f aca="false">IF($D345="","",INDEX(BookRate,340)*(1+'5. Scenarios'!$B$10)*$D345)</f>
        <v/>
      </c>
      <c r="F345" s="57" t="str">
        <f aca="false">IF($E345="","",SUMIFS($E$6:$E$2405,$A$6:$A$2405,"&lt;="&amp;$A345))</f>
        <v/>
      </c>
      <c r="G345" s="57" t="str">
        <f aca="false">IF($E345="","",IF($F345&lt;=BankCostEnvelope*'5. Scenarios'!$B$7,1,0))</f>
        <v/>
      </c>
      <c r="H345" s="57" t="str">
        <f aca="false">IF($D345="","",INDEX(BookRate,340)*(1+'5. Scenarios'!$B$10)*(INDEX(BookQ1,340)*(5-MIN(4,1+'5. Scenarios'!$B$8))/4+INDEX(BookQ2,340)*(5-MIN(4,2+'5. Scenarios'!$B$8))/4+INDEX(BookQ3,340)*(5-MIN(4,3+'5. Scenarios'!$B$8))/4+INDEX(BookQ4,340)*(5-MIN(4,4+'5. Scenarios'!$B$8))/4)*'5. Scenarios'!$B$6/(1+ProductivityDefault*('5. Scenarios'!$B$11-1))+INDEX(BookOneOff,340)*$D345)</f>
        <v/>
      </c>
      <c r="I345" s="56" t="str">
        <f aca="false">IF(INDEX(BookTitle,340)="","",INDEX(BookTotal,340)*'5. Scenarios'!$C$6/(1+ProductivityDefault*('5. Scenarios'!$C$11-1)))</f>
        <v/>
      </c>
      <c r="J345" s="57" t="str">
        <f aca="false">IF($I345="","",INDEX(BookRate,340)*(1+'5. Scenarios'!$C$10)*$I345)</f>
        <v/>
      </c>
      <c r="K345" s="57" t="str">
        <f aca="false">IF($J345="","",SUMIFS($J$6:$J$2405,$A$6:$A$2405,"&lt;="&amp;$A345))</f>
        <v/>
      </c>
      <c r="L345" s="57" t="str">
        <f aca="false">IF($J345="","",IF($K345&lt;=BankCostEnvelope*'5. Scenarios'!$C$7,1,0))</f>
        <v/>
      </c>
      <c r="M345" s="57" t="str">
        <f aca="false">IF($I345="","",INDEX(BookRate,340)*(1+'5. Scenarios'!$C$10)*(INDEX(BookQ1,340)*(5-MIN(4,1+'5. Scenarios'!$C$8))/4+INDEX(BookQ2,340)*(5-MIN(4,2+'5. Scenarios'!$C$8))/4+INDEX(BookQ3,340)*(5-MIN(4,3+'5. Scenarios'!$C$8))/4+INDEX(BookQ4,340)*(5-MIN(4,4+'5. Scenarios'!$C$8))/4)*'5. Scenarios'!$C$6/(1+ProductivityDefault*('5. Scenarios'!$C$11-1))+INDEX(BookOneOff,340)*$I345)</f>
        <v/>
      </c>
      <c r="N345" s="56" t="str">
        <f aca="false">IF(INDEX(BookTitle,340)="","",INDEX(BookTotal,340)*'5. Scenarios'!$D$6/(1+ProductivityDefault*('5. Scenarios'!$D$11-1)))</f>
        <v/>
      </c>
      <c r="O345" s="57" t="str">
        <f aca="false">IF($N345="","",INDEX(BookRate,340)*(1+'5. Scenarios'!$D$10)*$N345)</f>
        <v/>
      </c>
      <c r="P345" s="57" t="str">
        <f aca="false">IF($O345="","",SUMIFS($O$6:$O$2405,$A$6:$A$2405,"&lt;="&amp;$A345))</f>
        <v/>
      </c>
      <c r="Q345" s="57" t="str">
        <f aca="false">IF($O345="","",IF($P345&lt;=BankCostEnvelope*'5. Scenarios'!$D$7,1,0))</f>
        <v/>
      </c>
      <c r="R345" s="57" t="str">
        <f aca="false">IF($N345="","",INDEX(BookRate,340)*(1+'5. Scenarios'!$D$10)*(INDEX(BookQ1,340)*(5-MIN(4,1+'5. Scenarios'!$D$8))/4+INDEX(BookQ2,340)*(5-MIN(4,2+'5. Scenarios'!$D$8))/4+INDEX(BookQ3,340)*(5-MIN(4,3+'5. Scenarios'!$D$8))/4+INDEX(BookQ4,340)*(5-MIN(4,4+'5. Scenarios'!$D$8))/4)*'5. Scenarios'!$D$6/(1+ProductivityDefault*('5. Scenarios'!$D$11-1))+INDEX(BookOneOff,340)*$N345)</f>
        <v/>
      </c>
      <c r="S345" s="56" t="str">
        <f aca="false">IF(INDEX(BookTitle,340)="","",INDEX(BookTotal,340)*'5. Scenarios'!$E$6/(1+ProductivityDefault*('5. Scenarios'!$E$11-1)))</f>
        <v/>
      </c>
      <c r="T345" s="57" t="str">
        <f aca="false">IF($S345="","",INDEX(BookRate,340)*(1+'5. Scenarios'!$E$10)*$S345)</f>
        <v/>
      </c>
      <c r="U345" s="57" t="str">
        <f aca="false">IF($T345="","",SUMIFS($T$6:$T$2405,$A$6:$A$2405,"&lt;="&amp;$A345))</f>
        <v/>
      </c>
      <c r="V345" s="57" t="str">
        <f aca="false">IF($T345="","",IF($U345&lt;=BankCostEnvelope*'5. Scenarios'!$E$7,1,0))</f>
        <v/>
      </c>
      <c r="W345" s="57" t="str">
        <f aca="false">IF($S345="","",INDEX(BookRate,340)*(1+'5. Scenarios'!$E$10)*(INDEX(BookQ1,340)*(5-MIN(4,1+'5. Scenarios'!$E$8))/4+INDEX(BookQ2,340)*(5-MIN(4,2+'5. Scenarios'!$E$8))/4+INDEX(BookQ3,340)*(5-MIN(4,3+'5. Scenarios'!$E$8))/4+INDEX(BookQ4,340)*(5-MIN(4,4+'5. Scenarios'!$E$8))/4)*'5. Scenarios'!$E$6/(1+ProductivityDefault*('5. Scenarios'!$E$11-1))+INDEX(BookOneOff,340)*$S345)</f>
        <v/>
      </c>
    </row>
    <row r="346" customFormat="false" ht="15" hidden="false" customHeight="false" outlineLevel="0" collapsed="false">
      <c r="A346" s="0" t="str">
        <f aca="false">IF(INDEX(BookTitle,341)="","",INDEX(BookKey,341))</f>
        <v/>
      </c>
      <c r="B346" s="0" t="str">
        <f aca="false">IF(INDEX(BookTitle,341)="","",INDEX(BookGroup,341))</f>
        <v/>
      </c>
      <c r="C346" s="0" t="str">
        <f aca="false">IF(INDEX(BookTitle,341)="","",INDEX(BookCategory,341))</f>
        <v/>
      </c>
      <c r="D346" s="56" t="str">
        <f aca="false">IF(INDEX(BookTitle,341)="","",INDEX(BookTotal,341)*'5. Scenarios'!$B$6/(1+ProductivityDefault*('5. Scenarios'!$B$11-1)))</f>
        <v/>
      </c>
      <c r="E346" s="57" t="str">
        <f aca="false">IF($D346="","",INDEX(BookRate,341)*(1+'5. Scenarios'!$B$10)*$D346)</f>
        <v/>
      </c>
      <c r="F346" s="57" t="str">
        <f aca="false">IF($E346="","",SUMIFS($E$6:$E$2405,$A$6:$A$2405,"&lt;="&amp;$A346))</f>
        <v/>
      </c>
      <c r="G346" s="57" t="str">
        <f aca="false">IF($E346="","",IF($F346&lt;=BankCostEnvelope*'5. Scenarios'!$B$7,1,0))</f>
        <v/>
      </c>
      <c r="H346" s="57" t="str">
        <f aca="false">IF($D346="","",INDEX(BookRate,341)*(1+'5. Scenarios'!$B$10)*(INDEX(BookQ1,341)*(5-MIN(4,1+'5. Scenarios'!$B$8))/4+INDEX(BookQ2,341)*(5-MIN(4,2+'5. Scenarios'!$B$8))/4+INDEX(BookQ3,341)*(5-MIN(4,3+'5. Scenarios'!$B$8))/4+INDEX(BookQ4,341)*(5-MIN(4,4+'5. Scenarios'!$B$8))/4)*'5. Scenarios'!$B$6/(1+ProductivityDefault*('5. Scenarios'!$B$11-1))+INDEX(BookOneOff,341)*$D346)</f>
        <v/>
      </c>
      <c r="I346" s="56" t="str">
        <f aca="false">IF(INDEX(BookTitle,341)="","",INDEX(BookTotal,341)*'5. Scenarios'!$C$6/(1+ProductivityDefault*('5. Scenarios'!$C$11-1)))</f>
        <v/>
      </c>
      <c r="J346" s="57" t="str">
        <f aca="false">IF($I346="","",INDEX(BookRate,341)*(1+'5. Scenarios'!$C$10)*$I346)</f>
        <v/>
      </c>
      <c r="K346" s="57" t="str">
        <f aca="false">IF($J346="","",SUMIFS($J$6:$J$2405,$A$6:$A$2405,"&lt;="&amp;$A346))</f>
        <v/>
      </c>
      <c r="L346" s="57" t="str">
        <f aca="false">IF($J346="","",IF($K346&lt;=BankCostEnvelope*'5. Scenarios'!$C$7,1,0))</f>
        <v/>
      </c>
      <c r="M346" s="57" t="str">
        <f aca="false">IF($I346="","",INDEX(BookRate,341)*(1+'5. Scenarios'!$C$10)*(INDEX(BookQ1,341)*(5-MIN(4,1+'5. Scenarios'!$C$8))/4+INDEX(BookQ2,341)*(5-MIN(4,2+'5. Scenarios'!$C$8))/4+INDEX(BookQ3,341)*(5-MIN(4,3+'5. Scenarios'!$C$8))/4+INDEX(BookQ4,341)*(5-MIN(4,4+'5. Scenarios'!$C$8))/4)*'5. Scenarios'!$C$6/(1+ProductivityDefault*('5. Scenarios'!$C$11-1))+INDEX(BookOneOff,341)*$I346)</f>
        <v/>
      </c>
      <c r="N346" s="56" t="str">
        <f aca="false">IF(INDEX(BookTitle,341)="","",INDEX(BookTotal,341)*'5. Scenarios'!$D$6/(1+ProductivityDefault*('5. Scenarios'!$D$11-1)))</f>
        <v/>
      </c>
      <c r="O346" s="57" t="str">
        <f aca="false">IF($N346="","",INDEX(BookRate,341)*(1+'5. Scenarios'!$D$10)*$N346)</f>
        <v/>
      </c>
      <c r="P346" s="57" t="str">
        <f aca="false">IF($O346="","",SUMIFS($O$6:$O$2405,$A$6:$A$2405,"&lt;="&amp;$A346))</f>
        <v/>
      </c>
      <c r="Q346" s="57" t="str">
        <f aca="false">IF($O346="","",IF($P346&lt;=BankCostEnvelope*'5. Scenarios'!$D$7,1,0))</f>
        <v/>
      </c>
      <c r="R346" s="57" t="str">
        <f aca="false">IF($N346="","",INDEX(BookRate,341)*(1+'5. Scenarios'!$D$10)*(INDEX(BookQ1,341)*(5-MIN(4,1+'5. Scenarios'!$D$8))/4+INDEX(BookQ2,341)*(5-MIN(4,2+'5. Scenarios'!$D$8))/4+INDEX(BookQ3,341)*(5-MIN(4,3+'5. Scenarios'!$D$8))/4+INDEX(BookQ4,341)*(5-MIN(4,4+'5. Scenarios'!$D$8))/4)*'5. Scenarios'!$D$6/(1+ProductivityDefault*('5. Scenarios'!$D$11-1))+INDEX(BookOneOff,341)*$N346)</f>
        <v/>
      </c>
      <c r="S346" s="56" t="str">
        <f aca="false">IF(INDEX(BookTitle,341)="","",INDEX(BookTotal,341)*'5. Scenarios'!$E$6/(1+ProductivityDefault*('5. Scenarios'!$E$11-1)))</f>
        <v/>
      </c>
      <c r="T346" s="57" t="str">
        <f aca="false">IF($S346="","",INDEX(BookRate,341)*(1+'5. Scenarios'!$E$10)*$S346)</f>
        <v/>
      </c>
      <c r="U346" s="57" t="str">
        <f aca="false">IF($T346="","",SUMIFS($T$6:$T$2405,$A$6:$A$2405,"&lt;="&amp;$A346))</f>
        <v/>
      </c>
      <c r="V346" s="57" t="str">
        <f aca="false">IF($T346="","",IF($U346&lt;=BankCostEnvelope*'5. Scenarios'!$E$7,1,0))</f>
        <v/>
      </c>
      <c r="W346" s="57" t="str">
        <f aca="false">IF($S346="","",INDEX(BookRate,341)*(1+'5. Scenarios'!$E$10)*(INDEX(BookQ1,341)*(5-MIN(4,1+'5. Scenarios'!$E$8))/4+INDEX(BookQ2,341)*(5-MIN(4,2+'5. Scenarios'!$E$8))/4+INDEX(BookQ3,341)*(5-MIN(4,3+'5. Scenarios'!$E$8))/4+INDEX(BookQ4,341)*(5-MIN(4,4+'5. Scenarios'!$E$8))/4)*'5. Scenarios'!$E$6/(1+ProductivityDefault*('5. Scenarios'!$E$11-1))+INDEX(BookOneOff,341)*$S346)</f>
        <v/>
      </c>
    </row>
    <row r="347" customFormat="false" ht="15" hidden="false" customHeight="false" outlineLevel="0" collapsed="false">
      <c r="A347" s="0" t="str">
        <f aca="false">IF(INDEX(BookTitle,342)="","",INDEX(BookKey,342))</f>
        <v/>
      </c>
      <c r="B347" s="0" t="str">
        <f aca="false">IF(INDEX(BookTitle,342)="","",INDEX(BookGroup,342))</f>
        <v/>
      </c>
      <c r="C347" s="0" t="str">
        <f aca="false">IF(INDEX(BookTitle,342)="","",INDEX(BookCategory,342))</f>
        <v/>
      </c>
      <c r="D347" s="56" t="str">
        <f aca="false">IF(INDEX(BookTitle,342)="","",INDEX(BookTotal,342)*'5. Scenarios'!$B$6/(1+ProductivityDefault*('5. Scenarios'!$B$11-1)))</f>
        <v/>
      </c>
      <c r="E347" s="57" t="str">
        <f aca="false">IF($D347="","",INDEX(BookRate,342)*(1+'5. Scenarios'!$B$10)*$D347)</f>
        <v/>
      </c>
      <c r="F347" s="57" t="str">
        <f aca="false">IF($E347="","",SUMIFS($E$6:$E$2405,$A$6:$A$2405,"&lt;="&amp;$A347))</f>
        <v/>
      </c>
      <c r="G347" s="57" t="str">
        <f aca="false">IF($E347="","",IF($F347&lt;=BankCostEnvelope*'5. Scenarios'!$B$7,1,0))</f>
        <v/>
      </c>
      <c r="H347" s="57" t="str">
        <f aca="false">IF($D347="","",INDEX(BookRate,342)*(1+'5. Scenarios'!$B$10)*(INDEX(BookQ1,342)*(5-MIN(4,1+'5. Scenarios'!$B$8))/4+INDEX(BookQ2,342)*(5-MIN(4,2+'5. Scenarios'!$B$8))/4+INDEX(BookQ3,342)*(5-MIN(4,3+'5. Scenarios'!$B$8))/4+INDEX(BookQ4,342)*(5-MIN(4,4+'5. Scenarios'!$B$8))/4)*'5. Scenarios'!$B$6/(1+ProductivityDefault*('5. Scenarios'!$B$11-1))+INDEX(BookOneOff,342)*$D347)</f>
        <v/>
      </c>
      <c r="I347" s="56" t="str">
        <f aca="false">IF(INDEX(BookTitle,342)="","",INDEX(BookTotal,342)*'5. Scenarios'!$C$6/(1+ProductivityDefault*('5. Scenarios'!$C$11-1)))</f>
        <v/>
      </c>
      <c r="J347" s="57" t="str">
        <f aca="false">IF($I347="","",INDEX(BookRate,342)*(1+'5. Scenarios'!$C$10)*$I347)</f>
        <v/>
      </c>
      <c r="K347" s="57" t="str">
        <f aca="false">IF($J347="","",SUMIFS($J$6:$J$2405,$A$6:$A$2405,"&lt;="&amp;$A347))</f>
        <v/>
      </c>
      <c r="L347" s="57" t="str">
        <f aca="false">IF($J347="","",IF($K347&lt;=BankCostEnvelope*'5. Scenarios'!$C$7,1,0))</f>
        <v/>
      </c>
      <c r="M347" s="57" t="str">
        <f aca="false">IF($I347="","",INDEX(BookRate,342)*(1+'5. Scenarios'!$C$10)*(INDEX(BookQ1,342)*(5-MIN(4,1+'5. Scenarios'!$C$8))/4+INDEX(BookQ2,342)*(5-MIN(4,2+'5. Scenarios'!$C$8))/4+INDEX(BookQ3,342)*(5-MIN(4,3+'5. Scenarios'!$C$8))/4+INDEX(BookQ4,342)*(5-MIN(4,4+'5. Scenarios'!$C$8))/4)*'5. Scenarios'!$C$6/(1+ProductivityDefault*('5. Scenarios'!$C$11-1))+INDEX(BookOneOff,342)*$I347)</f>
        <v/>
      </c>
      <c r="N347" s="56" t="str">
        <f aca="false">IF(INDEX(BookTitle,342)="","",INDEX(BookTotal,342)*'5. Scenarios'!$D$6/(1+ProductivityDefault*('5. Scenarios'!$D$11-1)))</f>
        <v/>
      </c>
      <c r="O347" s="57" t="str">
        <f aca="false">IF($N347="","",INDEX(BookRate,342)*(1+'5. Scenarios'!$D$10)*$N347)</f>
        <v/>
      </c>
      <c r="P347" s="57" t="str">
        <f aca="false">IF($O347="","",SUMIFS($O$6:$O$2405,$A$6:$A$2405,"&lt;="&amp;$A347))</f>
        <v/>
      </c>
      <c r="Q347" s="57" t="str">
        <f aca="false">IF($O347="","",IF($P347&lt;=BankCostEnvelope*'5. Scenarios'!$D$7,1,0))</f>
        <v/>
      </c>
      <c r="R347" s="57" t="str">
        <f aca="false">IF($N347="","",INDEX(BookRate,342)*(1+'5. Scenarios'!$D$10)*(INDEX(BookQ1,342)*(5-MIN(4,1+'5. Scenarios'!$D$8))/4+INDEX(BookQ2,342)*(5-MIN(4,2+'5. Scenarios'!$D$8))/4+INDEX(BookQ3,342)*(5-MIN(4,3+'5. Scenarios'!$D$8))/4+INDEX(BookQ4,342)*(5-MIN(4,4+'5. Scenarios'!$D$8))/4)*'5. Scenarios'!$D$6/(1+ProductivityDefault*('5. Scenarios'!$D$11-1))+INDEX(BookOneOff,342)*$N347)</f>
        <v/>
      </c>
      <c r="S347" s="56" t="str">
        <f aca="false">IF(INDEX(BookTitle,342)="","",INDEX(BookTotal,342)*'5. Scenarios'!$E$6/(1+ProductivityDefault*('5. Scenarios'!$E$11-1)))</f>
        <v/>
      </c>
      <c r="T347" s="57" t="str">
        <f aca="false">IF($S347="","",INDEX(BookRate,342)*(1+'5. Scenarios'!$E$10)*$S347)</f>
        <v/>
      </c>
      <c r="U347" s="57" t="str">
        <f aca="false">IF($T347="","",SUMIFS($T$6:$T$2405,$A$6:$A$2405,"&lt;="&amp;$A347))</f>
        <v/>
      </c>
      <c r="V347" s="57" t="str">
        <f aca="false">IF($T347="","",IF($U347&lt;=BankCostEnvelope*'5. Scenarios'!$E$7,1,0))</f>
        <v/>
      </c>
      <c r="W347" s="57" t="str">
        <f aca="false">IF($S347="","",INDEX(BookRate,342)*(1+'5. Scenarios'!$E$10)*(INDEX(BookQ1,342)*(5-MIN(4,1+'5. Scenarios'!$E$8))/4+INDEX(BookQ2,342)*(5-MIN(4,2+'5. Scenarios'!$E$8))/4+INDEX(BookQ3,342)*(5-MIN(4,3+'5. Scenarios'!$E$8))/4+INDEX(BookQ4,342)*(5-MIN(4,4+'5. Scenarios'!$E$8))/4)*'5. Scenarios'!$E$6/(1+ProductivityDefault*('5. Scenarios'!$E$11-1))+INDEX(BookOneOff,342)*$S347)</f>
        <v/>
      </c>
    </row>
    <row r="348" customFormat="false" ht="15" hidden="false" customHeight="false" outlineLevel="0" collapsed="false">
      <c r="A348" s="0" t="str">
        <f aca="false">IF(INDEX(BookTitle,343)="","",INDEX(BookKey,343))</f>
        <v/>
      </c>
      <c r="B348" s="0" t="str">
        <f aca="false">IF(INDEX(BookTitle,343)="","",INDEX(BookGroup,343))</f>
        <v/>
      </c>
      <c r="C348" s="0" t="str">
        <f aca="false">IF(INDEX(BookTitle,343)="","",INDEX(BookCategory,343))</f>
        <v/>
      </c>
      <c r="D348" s="56" t="str">
        <f aca="false">IF(INDEX(BookTitle,343)="","",INDEX(BookTotal,343)*'5. Scenarios'!$B$6/(1+ProductivityDefault*('5. Scenarios'!$B$11-1)))</f>
        <v/>
      </c>
      <c r="E348" s="57" t="str">
        <f aca="false">IF($D348="","",INDEX(BookRate,343)*(1+'5. Scenarios'!$B$10)*$D348)</f>
        <v/>
      </c>
      <c r="F348" s="57" t="str">
        <f aca="false">IF($E348="","",SUMIFS($E$6:$E$2405,$A$6:$A$2405,"&lt;="&amp;$A348))</f>
        <v/>
      </c>
      <c r="G348" s="57" t="str">
        <f aca="false">IF($E348="","",IF($F348&lt;=BankCostEnvelope*'5. Scenarios'!$B$7,1,0))</f>
        <v/>
      </c>
      <c r="H348" s="57" t="str">
        <f aca="false">IF($D348="","",INDEX(BookRate,343)*(1+'5. Scenarios'!$B$10)*(INDEX(BookQ1,343)*(5-MIN(4,1+'5. Scenarios'!$B$8))/4+INDEX(BookQ2,343)*(5-MIN(4,2+'5. Scenarios'!$B$8))/4+INDEX(BookQ3,343)*(5-MIN(4,3+'5. Scenarios'!$B$8))/4+INDEX(BookQ4,343)*(5-MIN(4,4+'5. Scenarios'!$B$8))/4)*'5. Scenarios'!$B$6/(1+ProductivityDefault*('5. Scenarios'!$B$11-1))+INDEX(BookOneOff,343)*$D348)</f>
        <v/>
      </c>
      <c r="I348" s="56" t="str">
        <f aca="false">IF(INDEX(BookTitle,343)="","",INDEX(BookTotal,343)*'5. Scenarios'!$C$6/(1+ProductivityDefault*('5. Scenarios'!$C$11-1)))</f>
        <v/>
      </c>
      <c r="J348" s="57" t="str">
        <f aca="false">IF($I348="","",INDEX(BookRate,343)*(1+'5. Scenarios'!$C$10)*$I348)</f>
        <v/>
      </c>
      <c r="K348" s="57" t="str">
        <f aca="false">IF($J348="","",SUMIFS($J$6:$J$2405,$A$6:$A$2405,"&lt;="&amp;$A348))</f>
        <v/>
      </c>
      <c r="L348" s="57" t="str">
        <f aca="false">IF($J348="","",IF($K348&lt;=BankCostEnvelope*'5. Scenarios'!$C$7,1,0))</f>
        <v/>
      </c>
      <c r="M348" s="57" t="str">
        <f aca="false">IF($I348="","",INDEX(BookRate,343)*(1+'5. Scenarios'!$C$10)*(INDEX(BookQ1,343)*(5-MIN(4,1+'5. Scenarios'!$C$8))/4+INDEX(BookQ2,343)*(5-MIN(4,2+'5. Scenarios'!$C$8))/4+INDEX(BookQ3,343)*(5-MIN(4,3+'5. Scenarios'!$C$8))/4+INDEX(BookQ4,343)*(5-MIN(4,4+'5. Scenarios'!$C$8))/4)*'5. Scenarios'!$C$6/(1+ProductivityDefault*('5. Scenarios'!$C$11-1))+INDEX(BookOneOff,343)*$I348)</f>
        <v/>
      </c>
      <c r="N348" s="56" t="str">
        <f aca="false">IF(INDEX(BookTitle,343)="","",INDEX(BookTotal,343)*'5. Scenarios'!$D$6/(1+ProductivityDefault*('5. Scenarios'!$D$11-1)))</f>
        <v/>
      </c>
      <c r="O348" s="57" t="str">
        <f aca="false">IF($N348="","",INDEX(BookRate,343)*(1+'5. Scenarios'!$D$10)*$N348)</f>
        <v/>
      </c>
      <c r="P348" s="57" t="str">
        <f aca="false">IF($O348="","",SUMIFS($O$6:$O$2405,$A$6:$A$2405,"&lt;="&amp;$A348))</f>
        <v/>
      </c>
      <c r="Q348" s="57" t="str">
        <f aca="false">IF($O348="","",IF($P348&lt;=BankCostEnvelope*'5. Scenarios'!$D$7,1,0))</f>
        <v/>
      </c>
      <c r="R348" s="57" t="str">
        <f aca="false">IF($N348="","",INDEX(BookRate,343)*(1+'5. Scenarios'!$D$10)*(INDEX(BookQ1,343)*(5-MIN(4,1+'5. Scenarios'!$D$8))/4+INDEX(BookQ2,343)*(5-MIN(4,2+'5. Scenarios'!$D$8))/4+INDEX(BookQ3,343)*(5-MIN(4,3+'5. Scenarios'!$D$8))/4+INDEX(BookQ4,343)*(5-MIN(4,4+'5. Scenarios'!$D$8))/4)*'5. Scenarios'!$D$6/(1+ProductivityDefault*('5. Scenarios'!$D$11-1))+INDEX(BookOneOff,343)*$N348)</f>
        <v/>
      </c>
      <c r="S348" s="56" t="str">
        <f aca="false">IF(INDEX(BookTitle,343)="","",INDEX(BookTotal,343)*'5. Scenarios'!$E$6/(1+ProductivityDefault*('5. Scenarios'!$E$11-1)))</f>
        <v/>
      </c>
      <c r="T348" s="57" t="str">
        <f aca="false">IF($S348="","",INDEX(BookRate,343)*(1+'5. Scenarios'!$E$10)*$S348)</f>
        <v/>
      </c>
      <c r="U348" s="57" t="str">
        <f aca="false">IF($T348="","",SUMIFS($T$6:$T$2405,$A$6:$A$2405,"&lt;="&amp;$A348))</f>
        <v/>
      </c>
      <c r="V348" s="57" t="str">
        <f aca="false">IF($T348="","",IF($U348&lt;=BankCostEnvelope*'5. Scenarios'!$E$7,1,0))</f>
        <v/>
      </c>
      <c r="W348" s="57" t="str">
        <f aca="false">IF($S348="","",INDEX(BookRate,343)*(1+'5. Scenarios'!$E$10)*(INDEX(BookQ1,343)*(5-MIN(4,1+'5. Scenarios'!$E$8))/4+INDEX(BookQ2,343)*(5-MIN(4,2+'5. Scenarios'!$E$8))/4+INDEX(BookQ3,343)*(5-MIN(4,3+'5. Scenarios'!$E$8))/4+INDEX(BookQ4,343)*(5-MIN(4,4+'5. Scenarios'!$E$8))/4)*'5. Scenarios'!$E$6/(1+ProductivityDefault*('5. Scenarios'!$E$11-1))+INDEX(BookOneOff,343)*$S348)</f>
        <v/>
      </c>
    </row>
    <row r="349" customFormat="false" ht="15" hidden="false" customHeight="false" outlineLevel="0" collapsed="false">
      <c r="A349" s="0" t="str">
        <f aca="false">IF(INDEX(BookTitle,344)="","",INDEX(BookKey,344))</f>
        <v/>
      </c>
      <c r="B349" s="0" t="str">
        <f aca="false">IF(INDEX(BookTitle,344)="","",INDEX(BookGroup,344))</f>
        <v/>
      </c>
      <c r="C349" s="0" t="str">
        <f aca="false">IF(INDEX(BookTitle,344)="","",INDEX(BookCategory,344))</f>
        <v/>
      </c>
      <c r="D349" s="56" t="str">
        <f aca="false">IF(INDEX(BookTitle,344)="","",INDEX(BookTotal,344)*'5. Scenarios'!$B$6/(1+ProductivityDefault*('5. Scenarios'!$B$11-1)))</f>
        <v/>
      </c>
      <c r="E349" s="57" t="str">
        <f aca="false">IF($D349="","",INDEX(BookRate,344)*(1+'5. Scenarios'!$B$10)*$D349)</f>
        <v/>
      </c>
      <c r="F349" s="57" t="str">
        <f aca="false">IF($E349="","",SUMIFS($E$6:$E$2405,$A$6:$A$2405,"&lt;="&amp;$A349))</f>
        <v/>
      </c>
      <c r="G349" s="57" t="str">
        <f aca="false">IF($E349="","",IF($F349&lt;=BankCostEnvelope*'5. Scenarios'!$B$7,1,0))</f>
        <v/>
      </c>
      <c r="H349" s="57" t="str">
        <f aca="false">IF($D349="","",INDEX(BookRate,344)*(1+'5. Scenarios'!$B$10)*(INDEX(BookQ1,344)*(5-MIN(4,1+'5. Scenarios'!$B$8))/4+INDEX(BookQ2,344)*(5-MIN(4,2+'5. Scenarios'!$B$8))/4+INDEX(BookQ3,344)*(5-MIN(4,3+'5. Scenarios'!$B$8))/4+INDEX(BookQ4,344)*(5-MIN(4,4+'5. Scenarios'!$B$8))/4)*'5. Scenarios'!$B$6/(1+ProductivityDefault*('5. Scenarios'!$B$11-1))+INDEX(BookOneOff,344)*$D349)</f>
        <v/>
      </c>
      <c r="I349" s="56" t="str">
        <f aca="false">IF(INDEX(BookTitle,344)="","",INDEX(BookTotal,344)*'5. Scenarios'!$C$6/(1+ProductivityDefault*('5. Scenarios'!$C$11-1)))</f>
        <v/>
      </c>
      <c r="J349" s="57" t="str">
        <f aca="false">IF($I349="","",INDEX(BookRate,344)*(1+'5. Scenarios'!$C$10)*$I349)</f>
        <v/>
      </c>
      <c r="K349" s="57" t="str">
        <f aca="false">IF($J349="","",SUMIFS($J$6:$J$2405,$A$6:$A$2405,"&lt;="&amp;$A349))</f>
        <v/>
      </c>
      <c r="L349" s="57" t="str">
        <f aca="false">IF($J349="","",IF($K349&lt;=BankCostEnvelope*'5. Scenarios'!$C$7,1,0))</f>
        <v/>
      </c>
      <c r="M349" s="57" t="str">
        <f aca="false">IF($I349="","",INDEX(BookRate,344)*(1+'5. Scenarios'!$C$10)*(INDEX(BookQ1,344)*(5-MIN(4,1+'5. Scenarios'!$C$8))/4+INDEX(BookQ2,344)*(5-MIN(4,2+'5. Scenarios'!$C$8))/4+INDEX(BookQ3,344)*(5-MIN(4,3+'5. Scenarios'!$C$8))/4+INDEX(BookQ4,344)*(5-MIN(4,4+'5. Scenarios'!$C$8))/4)*'5. Scenarios'!$C$6/(1+ProductivityDefault*('5. Scenarios'!$C$11-1))+INDEX(BookOneOff,344)*$I349)</f>
        <v/>
      </c>
      <c r="N349" s="56" t="str">
        <f aca="false">IF(INDEX(BookTitle,344)="","",INDEX(BookTotal,344)*'5. Scenarios'!$D$6/(1+ProductivityDefault*('5. Scenarios'!$D$11-1)))</f>
        <v/>
      </c>
      <c r="O349" s="57" t="str">
        <f aca="false">IF($N349="","",INDEX(BookRate,344)*(1+'5. Scenarios'!$D$10)*$N349)</f>
        <v/>
      </c>
      <c r="P349" s="57" t="str">
        <f aca="false">IF($O349="","",SUMIFS($O$6:$O$2405,$A$6:$A$2405,"&lt;="&amp;$A349))</f>
        <v/>
      </c>
      <c r="Q349" s="57" t="str">
        <f aca="false">IF($O349="","",IF($P349&lt;=BankCostEnvelope*'5. Scenarios'!$D$7,1,0))</f>
        <v/>
      </c>
      <c r="R349" s="57" t="str">
        <f aca="false">IF($N349="","",INDEX(BookRate,344)*(1+'5. Scenarios'!$D$10)*(INDEX(BookQ1,344)*(5-MIN(4,1+'5. Scenarios'!$D$8))/4+INDEX(BookQ2,344)*(5-MIN(4,2+'5. Scenarios'!$D$8))/4+INDEX(BookQ3,344)*(5-MIN(4,3+'5. Scenarios'!$D$8))/4+INDEX(BookQ4,344)*(5-MIN(4,4+'5. Scenarios'!$D$8))/4)*'5. Scenarios'!$D$6/(1+ProductivityDefault*('5. Scenarios'!$D$11-1))+INDEX(BookOneOff,344)*$N349)</f>
        <v/>
      </c>
      <c r="S349" s="56" t="str">
        <f aca="false">IF(INDEX(BookTitle,344)="","",INDEX(BookTotal,344)*'5. Scenarios'!$E$6/(1+ProductivityDefault*('5. Scenarios'!$E$11-1)))</f>
        <v/>
      </c>
      <c r="T349" s="57" t="str">
        <f aca="false">IF($S349="","",INDEX(BookRate,344)*(1+'5. Scenarios'!$E$10)*$S349)</f>
        <v/>
      </c>
      <c r="U349" s="57" t="str">
        <f aca="false">IF($T349="","",SUMIFS($T$6:$T$2405,$A$6:$A$2405,"&lt;="&amp;$A349))</f>
        <v/>
      </c>
      <c r="V349" s="57" t="str">
        <f aca="false">IF($T349="","",IF($U349&lt;=BankCostEnvelope*'5. Scenarios'!$E$7,1,0))</f>
        <v/>
      </c>
      <c r="W349" s="57" t="str">
        <f aca="false">IF($S349="","",INDEX(BookRate,344)*(1+'5. Scenarios'!$E$10)*(INDEX(BookQ1,344)*(5-MIN(4,1+'5. Scenarios'!$E$8))/4+INDEX(BookQ2,344)*(5-MIN(4,2+'5. Scenarios'!$E$8))/4+INDEX(BookQ3,344)*(5-MIN(4,3+'5. Scenarios'!$E$8))/4+INDEX(BookQ4,344)*(5-MIN(4,4+'5. Scenarios'!$E$8))/4)*'5. Scenarios'!$E$6/(1+ProductivityDefault*('5. Scenarios'!$E$11-1))+INDEX(BookOneOff,344)*$S349)</f>
        <v/>
      </c>
    </row>
    <row r="350" customFormat="false" ht="15" hidden="false" customHeight="false" outlineLevel="0" collapsed="false">
      <c r="A350" s="0" t="str">
        <f aca="false">IF(INDEX(BookTitle,345)="","",INDEX(BookKey,345))</f>
        <v/>
      </c>
      <c r="B350" s="0" t="str">
        <f aca="false">IF(INDEX(BookTitle,345)="","",INDEX(BookGroup,345))</f>
        <v/>
      </c>
      <c r="C350" s="0" t="str">
        <f aca="false">IF(INDEX(BookTitle,345)="","",INDEX(BookCategory,345))</f>
        <v/>
      </c>
      <c r="D350" s="56" t="str">
        <f aca="false">IF(INDEX(BookTitle,345)="","",INDEX(BookTotal,345)*'5. Scenarios'!$B$6/(1+ProductivityDefault*('5. Scenarios'!$B$11-1)))</f>
        <v/>
      </c>
      <c r="E350" s="57" t="str">
        <f aca="false">IF($D350="","",INDEX(BookRate,345)*(1+'5. Scenarios'!$B$10)*$D350)</f>
        <v/>
      </c>
      <c r="F350" s="57" t="str">
        <f aca="false">IF($E350="","",SUMIFS($E$6:$E$2405,$A$6:$A$2405,"&lt;="&amp;$A350))</f>
        <v/>
      </c>
      <c r="G350" s="57" t="str">
        <f aca="false">IF($E350="","",IF($F350&lt;=BankCostEnvelope*'5. Scenarios'!$B$7,1,0))</f>
        <v/>
      </c>
      <c r="H350" s="57" t="str">
        <f aca="false">IF($D350="","",INDEX(BookRate,345)*(1+'5. Scenarios'!$B$10)*(INDEX(BookQ1,345)*(5-MIN(4,1+'5. Scenarios'!$B$8))/4+INDEX(BookQ2,345)*(5-MIN(4,2+'5. Scenarios'!$B$8))/4+INDEX(BookQ3,345)*(5-MIN(4,3+'5. Scenarios'!$B$8))/4+INDEX(BookQ4,345)*(5-MIN(4,4+'5. Scenarios'!$B$8))/4)*'5. Scenarios'!$B$6/(1+ProductivityDefault*('5. Scenarios'!$B$11-1))+INDEX(BookOneOff,345)*$D350)</f>
        <v/>
      </c>
      <c r="I350" s="56" t="str">
        <f aca="false">IF(INDEX(BookTitle,345)="","",INDEX(BookTotal,345)*'5. Scenarios'!$C$6/(1+ProductivityDefault*('5. Scenarios'!$C$11-1)))</f>
        <v/>
      </c>
      <c r="J350" s="57" t="str">
        <f aca="false">IF($I350="","",INDEX(BookRate,345)*(1+'5. Scenarios'!$C$10)*$I350)</f>
        <v/>
      </c>
      <c r="K350" s="57" t="str">
        <f aca="false">IF($J350="","",SUMIFS($J$6:$J$2405,$A$6:$A$2405,"&lt;="&amp;$A350))</f>
        <v/>
      </c>
      <c r="L350" s="57" t="str">
        <f aca="false">IF($J350="","",IF($K350&lt;=BankCostEnvelope*'5. Scenarios'!$C$7,1,0))</f>
        <v/>
      </c>
      <c r="M350" s="57" t="str">
        <f aca="false">IF($I350="","",INDEX(BookRate,345)*(1+'5. Scenarios'!$C$10)*(INDEX(BookQ1,345)*(5-MIN(4,1+'5. Scenarios'!$C$8))/4+INDEX(BookQ2,345)*(5-MIN(4,2+'5. Scenarios'!$C$8))/4+INDEX(BookQ3,345)*(5-MIN(4,3+'5. Scenarios'!$C$8))/4+INDEX(BookQ4,345)*(5-MIN(4,4+'5. Scenarios'!$C$8))/4)*'5. Scenarios'!$C$6/(1+ProductivityDefault*('5. Scenarios'!$C$11-1))+INDEX(BookOneOff,345)*$I350)</f>
        <v/>
      </c>
      <c r="N350" s="56" t="str">
        <f aca="false">IF(INDEX(BookTitle,345)="","",INDEX(BookTotal,345)*'5. Scenarios'!$D$6/(1+ProductivityDefault*('5. Scenarios'!$D$11-1)))</f>
        <v/>
      </c>
      <c r="O350" s="57" t="str">
        <f aca="false">IF($N350="","",INDEX(BookRate,345)*(1+'5. Scenarios'!$D$10)*$N350)</f>
        <v/>
      </c>
      <c r="P350" s="57" t="str">
        <f aca="false">IF($O350="","",SUMIFS($O$6:$O$2405,$A$6:$A$2405,"&lt;="&amp;$A350))</f>
        <v/>
      </c>
      <c r="Q350" s="57" t="str">
        <f aca="false">IF($O350="","",IF($P350&lt;=BankCostEnvelope*'5. Scenarios'!$D$7,1,0))</f>
        <v/>
      </c>
      <c r="R350" s="57" t="str">
        <f aca="false">IF($N350="","",INDEX(BookRate,345)*(1+'5. Scenarios'!$D$10)*(INDEX(BookQ1,345)*(5-MIN(4,1+'5. Scenarios'!$D$8))/4+INDEX(BookQ2,345)*(5-MIN(4,2+'5. Scenarios'!$D$8))/4+INDEX(BookQ3,345)*(5-MIN(4,3+'5. Scenarios'!$D$8))/4+INDEX(BookQ4,345)*(5-MIN(4,4+'5. Scenarios'!$D$8))/4)*'5. Scenarios'!$D$6/(1+ProductivityDefault*('5. Scenarios'!$D$11-1))+INDEX(BookOneOff,345)*$N350)</f>
        <v/>
      </c>
      <c r="S350" s="56" t="str">
        <f aca="false">IF(INDEX(BookTitle,345)="","",INDEX(BookTotal,345)*'5. Scenarios'!$E$6/(1+ProductivityDefault*('5. Scenarios'!$E$11-1)))</f>
        <v/>
      </c>
      <c r="T350" s="57" t="str">
        <f aca="false">IF($S350="","",INDEX(BookRate,345)*(1+'5. Scenarios'!$E$10)*$S350)</f>
        <v/>
      </c>
      <c r="U350" s="57" t="str">
        <f aca="false">IF($T350="","",SUMIFS($T$6:$T$2405,$A$6:$A$2405,"&lt;="&amp;$A350))</f>
        <v/>
      </c>
      <c r="V350" s="57" t="str">
        <f aca="false">IF($T350="","",IF($U350&lt;=BankCostEnvelope*'5. Scenarios'!$E$7,1,0))</f>
        <v/>
      </c>
      <c r="W350" s="57" t="str">
        <f aca="false">IF($S350="","",INDEX(BookRate,345)*(1+'5. Scenarios'!$E$10)*(INDEX(BookQ1,345)*(5-MIN(4,1+'5. Scenarios'!$E$8))/4+INDEX(BookQ2,345)*(5-MIN(4,2+'5. Scenarios'!$E$8))/4+INDEX(BookQ3,345)*(5-MIN(4,3+'5. Scenarios'!$E$8))/4+INDEX(BookQ4,345)*(5-MIN(4,4+'5. Scenarios'!$E$8))/4)*'5. Scenarios'!$E$6/(1+ProductivityDefault*('5. Scenarios'!$E$11-1))+INDEX(BookOneOff,345)*$S350)</f>
        <v/>
      </c>
    </row>
    <row r="351" customFormat="false" ht="15" hidden="false" customHeight="false" outlineLevel="0" collapsed="false">
      <c r="A351" s="0" t="str">
        <f aca="false">IF(INDEX(BookTitle,346)="","",INDEX(BookKey,346))</f>
        <v/>
      </c>
      <c r="B351" s="0" t="str">
        <f aca="false">IF(INDEX(BookTitle,346)="","",INDEX(BookGroup,346))</f>
        <v/>
      </c>
      <c r="C351" s="0" t="str">
        <f aca="false">IF(INDEX(BookTitle,346)="","",INDEX(BookCategory,346))</f>
        <v/>
      </c>
      <c r="D351" s="56" t="str">
        <f aca="false">IF(INDEX(BookTitle,346)="","",INDEX(BookTotal,346)*'5. Scenarios'!$B$6/(1+ProductivityDefault*('5. Scenarios'!$B$11-1)))</f>
        <v/>
      </c>
      <c r="E351" s="57" t="str">
        <f aca="false">IF($D351="","",INDEX(BookRate,346)*(1+'5. Scenarios'!$B$10)*$D351)</f>
        <v/>
      </c>
      <c r="F351" s="57" t="str">
        <f aca="false">IF($E351="","",SUMIFS($E$6:$E$2405,$A$6:$A$2405,"&lt;="&amp;$A351))</f>
        <v/>
      </c>
      <c r="G351" s="57" t="str">
        <f aca="false">IF($E351="","",IF($F351&lt;=BankCostEnvelope*'5. Scenarios'!$B$7,1,0))</f>
        <v/>
      </c>
      <c r="H351" s="57" t="str">
        <f aca="false">IF($D351="","",INDEX(BookRate,346)*(1+'5. Scenarios'!$B$10)*(INDEX(BookQ1,346)*(5-MIN(4,1+'5. Scenarios'!$B$8))/4+INDEX(BookQ2,346)*(5-MIN(4,2+'5. Scenarios'!$B$8))/4+INDEX(BookQ3,346)*(5-MIN(4,3+'5. Scenarios'!$B$8))/4+INDEX(BookQ4,346)*(5-MIN(4,4+'5. Scenarios'!$B$8))/4)*'5. Scenarios'!$B$6/(1+ProductivityDefault*('5. Scenarios'!$B$11-1))+INDEX(BookOneOff,346)*$D351)</f>
        <v/>
      </c>
      <c r="I351" s="56" t="str">
        <f aca="false">IF(INDEX(BookTitle,346)="","",INDEX(BookTotal,346)*'5. Scenarios'!$C$6/(1+ProductivityDefault*('5. Scenarios'!$C$11-1)))</f>
        <v/>
      </c>
      <c r="J351" s="57" t="str">
        <f aca="false">IF($I351="","",INDEX(BookRate,346)*(1+'5. Scenarios'!$C$10)*$I351)</f>
        <v/>
      </c>
      <c r="K351" s="57" t="str">
        <f aca="false">IF($J351="","",SUMIFS($J$6:$J$2405,$A$6:$A$2405,"&lt;="&amp;$A351))</f>
        <v/>
      </c>
      <c r="L351" s="57" t="str">
        <f aca="false">IF($J351="","",IF($K351&lt;=BankCostEnvelope*'5. Scenarios'!$C$7,1,0))</f>
        <v/>
      </c>
      <c r="M351" s="57" t="str">
        <f aca="false">IF($I351="","",INDEX(BookRate,346)*(1+'5. Scenarios'!$C$10)*(INDEX(BookQ1,346)*(5-MIN(4,1+'5. Scenarios'!$C$8))/4+INDEX(BookQ2,346)*(5-MIN(4,2+'5. Scenarios'!$C$8))/4+INDEX(BookQ3,346)*(5-MIN(4,3+'5. Scenarios'!$C$8))/4+INDEX(BookQ4,346)*(5-MIN(4,4+'5. Scenarios'!$C$8))/4)*'5. Scenarios'!$C$6/(1+ProductivityDefault*('5. Scenarios'!$C$11-1))+INDEX(BookOneOff,346)*$I351)</f>
        <v/>
      </c>
      <c r="N351" s="56" t="str">
        <f aca="false">IF(INDEX(BookTitle,346)="","",INDEX(BookTotal,346)*'5. Scenarios'!$D$6/(1+ProductivityDefault*('5. Scenarios'!$D$11-1)))</f>
        <v/>
      </c>
      <c r="O351" s="57" t="str">
        <f aca="false">IF($N351="","",INDEX(BookRate,346)*(1+'5. Scenarios'!$D$10)*$N351)</f>
        <v/>
      </c>
      <c r="P351" s="57" t="str">
        <f aca="false">IF($O351="","",SUMIFS($O$6:$O$2405,$A$6:$A$2405,"&lt;="&amp;$A351))</f>
        <v/>
      </c>
      <c r="Q351" s="57" t="str">
        <f aca="false">IF($O351="","",IF($P351&lt;=BankCostEnvelope*'5. Scenarios'!$D$7,1,0))</f>
        <v/>
      </c>
      <c r="R351" s="57" t="str">
        <f aca="false">IF($N351="","",INDEX(BookRate,346)*(1+'5. Scenarios'!$D$10)*(INDEX(BookQ1,346)*(5-MIN(4,1+'5. Scenarios'!$D$8))/4+INDEX(BookQ2,346)*(5-MIN(4,2+'5. Scenarios'!$D$8))/4+INDEX(BookQ3,346)*(5-MIN(4,3+'5. Scenarios'!$D$8))/4+INDEX(BookQ4,346)*(5-MIN(4,4+'5. Scenarios'!$D$8))/4)*'5. Scenarios'!$D$6/(1+ProductivityDefault*('5. Scenarios'!$D$11-1))+INDEX(BookOneOff,346)*$N351)</f>
        <v/>
      </c>
      <c r="S351" s="56" t="str">
        <f aca="false">IF(INDEX(BookTitle,346)="","",INDEX(BookTotal,346)*'5. Scenarios'!$E$6/(1+ProductivityDefault*('5. Scenarios'!$E$11-1)))</f>
        <v/>
      </c>
      <c r="T351" s="57" t="str">
        <f aca="false">IF($S351="","",INDEX(BookRate,346)*(1+'5. Scenarios'!$E$10)*$S351)</f>
        <v/>
      </c>
      <c r="U351" s="57" t="str">
        <f aca="false">IF($T351="","",SUMIFS($T$6:$T$2405,$A$6:$A$2405,"&lt;="&amp;$A351))</f>
        <v/>
      </c>
      <c r="V351" s="57" t="str">
        <f aca="false">IF($T351="","",IF($U351&lt;=BankCostEnvelope*'5. Scenarios'!$E$7,1,0))</f>
        <v/>
      </c>
      <c r="W351" s="57" t="str">
        <f aca="false">IF($S351="","",INDEX(BookRate,346)*(1+'5. Scenarios'!$E$10)*(INDEX(BookQ1,346)*(5-MIN(4,1+'5. Scenarios'!$E$8))/4+INDEX(BookQ2,346)*(5-MIN(4,2+'5. Scenarios'!$E$8))/4+INDEX(BookQ3,346)*(5-MIN(4,3+'5. Scenarios'!$E$8))/4+INDEX(BookQ4,346)*(5-MIN(4,4+'5. Scenarios'!$E$8))/4)*'5. Scenarios'!$E$6/(1+ProductivityDefault*('5. Scenarios'!$E$11-1))+INDEX(BookOneOff,346)*$S351)</f>
        <v/>
      </c>
    </row>
    <row r="352" customFormat="false" ht="15" hidden="false" customHeight="false" outlineLevel="0" collapsed="false">
      <c r="A352" s="0" t="str">
        <f aca="false">IF(INDEX(BookTitle,347)="","",INDEX(BookKey,347))</f>
        <v/>
      </c>
      <c r="B352" s="0" t="str">
        <f aca="false">IF(INDEX(BookTitle,347)="","",INDEX(BookGroup,347))</f>
        <v/>
      </c>
      <c r="C352" s="0" t="str">
        <f aca="false">IF(INDEX(BookTitle,347)="","",INDEX(BookCategory,347))</f>
        <v/>
      </c>
      <c r="D352" s="56" t="str">
        <f aca="false">IF(INDEX(BookTitle,347)="","",INDEX(BookTotal,347)*'5. Scenarios'!$B$6/(1+ProductivityDefault*('5. Scenarios'!$B$11-1)))</f>
        <v/>
      </c>
      <c r="E352" s="57" t="str">
        <f aca="false">IF($D352="","",INDEX(BookRate,347)*(1+'5. Scenarios'!$B$10)*$D352)</f>
        <v/>
      </c>
      <c r="F352" s="57" t="str">
        <f aca="false">IF($E352="","",SUMIFS($E$6:$E$2405,$A$6:$A$2405,"&lt;="&amp;$A352))</f>
        <v/>
      </c>
      <c r="G352" s="57" t="str">
        <f aca="false">IF($E352="","",IF($F352&lt;=BankCostEnvelope*'5. Scenarios'!$B$7,1,0))</f>
        <v/>
      </c>
      <c r="H352" s="57" t="str">
        <f aca="false">IF($D352="","",INDEX(BookRate,347)*(1+'5. Scenarios'!$B$10)*(INDEX(BookQ1,347)*(5-MIN(4,1+'5. Scenarios'!$B$8))/4+INDEX(BookQ2,347)*(5-MIN(4,2+'5. Scenarios'!$B$8))/4+INDEX(BookQ3,347)*(5-MIN(4,3+'5. Scenarios'!$B$8))/4+INDEX(BookQ4,347)*(5-MIN(4,4+'5. Scenarios'!$B$8))/4)*'5. Scenarios'!$B$6/(1+ProductivityDefault*('5. Scenarios'!$B$11-1))+INDEX(BookOneOff,347)*$D352)</f>
        <v/>
      </c>
      <c r="I352" s="56" t="str">
        <f aca="false">IF(INDEX(BookTitle,347)="","",INDEX(BookTotal,347)*'5. Scenarios'!$C$6/(1+ProductivityDefault*('5. Scenarios'!$C$11-1)))</f>
        <v/>
      </c>
      <c r="J352" s="57" t="str">
        <f aca="false">IF($I352="","",INDEX(BookRate,347)*(1+'5. Scenarios'!$C$10)*$I352)</f>
        <v/>
      </c>
      <c r="K352" s="57" t="str">
        <f aca="false">IF($J352="","",SUMIFS($J$6:$J$2405,$A$6:$A$2405,"&lt;="&amp;$A352))</f>
        <v/>
      </c>
      <c r="L352" s="57" t="str">
        <f aca="false">IF($J352="","",IF($K352&lt;=BankCostEnvelope*'5. Scenarios'!$C$7,1,0))</f>
        <v/>
      </c>
      <c r="M352" s="57" t="str">
        <f aca="false">IF($I352="","",INDEX(BookRate,347)*(1+'5. Scenarios'!$C$10)*(INDEX(BookQ1,347)*(5-MIN(4,1+'5. Scenarios'!$C$8))/4+INDEX(BookQ2,347)*(5-MIN(4,2+'5. Scenarios'!$C$8))/4+INDEX(BookQ3,347)*(5-MIN(4,3+'5. Scenarios'!$C$8))/4+INDEX(BookQ4,347)*(5-MIN(4,4+'5. Scenarios'!$C$8))/4)*'5. Scenarios'!$C$6/(1+ProductivityDefault*('5. Scenarios'!$C$11-1))+INDEX(BookOneOff,347)*$I352)</f>
        <v/>
      </c>
      <c r="N352" s="56" t="str">
        <f aca="false">IF(INDEX(BookTitle,347)="","",INDEX(BookTotal,347)*'5. Scenarios'!$D$6/(1+ProductivityDefault*('5. Scenarios'!$D$11-1)))</f>
        <v/>
      </c>
      <c r="O352" s="57" t="str">
        <f aca="false">IF($N352="","",INDEX(BookRate,347)*(1+'5. Scenarios'!$D$10)*$N352)</f>
        <v/>
      </c>
      <c r="P352" s="57" t="str">
        <f aca="false">IF($O352="","",SUMIFS($O$6:$O$2405,$A$6:$A$2405,"&lt;="&amp;$A352))</f>
        <v/>
      </c>
      <c r="Q352" s="57" t="str">
        <f aca="false">IF($O352="","",IF($P352&lt;=BankCostEnvelope*'5. Scenarios'!$D$7,1,0))</f>
        <v/>
      </c>
      <c r="R352" s="57" t="str">
        <f aca="false">IF($N352="","",INDEX(BookRate,347)*(1+'5. Scenarios'!$D$10)*(INDEX(BookQ1,347)*(5-MIN(4,1+'5. Scenarios'!$D$8))/4+INDEX(BookQ2,347)*(5-MIN(4,2+'5. Scenarios'!$D$8))/4+INDEX(BookQ3,347)*(5-MIN(4,3+'5. Scenarios'!$D$8))/4+INDEX(BookQ4,347)*(5-MIN(4,4+'5. Scenarios'!$D$8))/4)*'5. Scenarios'!$D$6/(1+ProductivityDefault*('5. Scenarios'!$D$11-1))+INDEX(BookOneOff,347)*$N352)</f>
        <v/>
      </c>
      <c r="S352" s="56" t="str">
        <f aca="false">IF(INDEX(BookTitle,347)="","",INDEX(BookTotal,347)*'5. Scenarios'!$E$6/(1+ProductivityDefault*('5. Scenarios'!$E$11-1)))</f>
        <v/>
      </c>
      <c r="T352" s="57" t="str">
        <f aca="false">IF($S352="","",INDEX(BookRate,347)*(1+'5. Scenarios'!$E$10)*$S352)</f>
        <v/>
      </c>
      <c r="U352" s="57" t="str">
        <f aca="false">IF($T352="","",SUMIFS($T$6:$T$2405,$A$6:$A$2405,"&lt;="&amp;$A352))</f>
        <v/>
      </c>
      <c r="V352" s="57" t="str">
        <f aca="false">IF($T352="","",IF($U352&lt;=BankCostEnvelope*'5. Scenarios'!$E$7,1,0))</f>
        <v/>
      </c>
      <c r="W352" s="57" t="str">
        <f aca="false">IF($S352="","",INDEX(BookRate,347)*(1+'5. Scenarios'!$E$10)*(INDEX(BookQ1,347)*(5-MIN(4,1+'5. Scenarios'!$E$8))/4+INDEX(BookQ2,347)*(5-MIN(4,2+'5. Scenarios'!$E$8))/4+INDEX(BookQ3,347)*(5-MIN(4,3+'5. Scenarios'!$E$8))/4+INDEX(BookQ4,347)*(5-MIN(4,4+'5. Scenarios'!$E$8))/4)*'5. Scenarios'!$E$6/(1+ProductivityDefault*('5. Scenarios'!$E$11-1))+INDEX(BookOneOff,347)*$S352)</f>
        <v/>
      </c>
    </row>
    <row r="353" customFormat="false" ht="15" hidden="false" customHeight="false" outlineLevel="0" collapsed="false">
      <c r="A353" s="0" t="str">
        <f aca="false">IF(INDEX(BookTitle,348)="","",INDEX(BookKey,348))</f>
        <v/>
      </c>
      <c r="B353" s="0" t="str">
        <f aca="false">IF(INDEX(BookTitle,348)="","",INDEX(BookGroup,348))</f>
        <v/>
      </c>
      <c r="C353" s="0" t="str">
        <f aca="false">IF(INDEX(BookTitle,348)="","",INDEX(BookCategory,348))</f>
        <v/>
      </c>
      <c r="D353" s="56" t="str">
        <f aca="false">IF(INDEX(BookTitle,348)="","",INDEX(BookTotal,348)*'5. Scenarios'!$B$6/(1+ProductivityDefault*('5. Scenarios'!$B$11-1)))</f>
        <v/>
      </c>
      <c r="E353" s="57" t="str">
        <f aca="false">IF($D353="","",INDEX(BookRate,348)*(1+'5. Scenarios'!$B$10)*$D353)</f>
        <v/>
      </c>
      <c r="F353" s="57" t="str">
        <f aca="false">IF($E353="","",SUMIFS($E$6:$E$2405,$A$6:$A$2405,"&lt;="&amp;$A353))</f>
        <v/>
      </c>
      <c r="G353" s="57" t="str">
        <f aca="false">IF($E353="","",IF($F353&lt;=BankCostEnvelope*'5. Scenarios'!$B$7,1,0))</f>
        <v/>
      </c>
      <c r="H353" s="57" t="str">
        <f aca="false">IF($D353="","",INDEX(BookRate,348)*(1+'5. Scenarios'!$B$10)*(INDEX(BookQ1,348)*(5-MIN(4,1+'5. Scenarios'!$B$8))/4+INDEX(BookQ2,348)*(5-MIN(4,2+'5. Scenarios'!$B$8))/4+INDEX(BookQ3,348)*(5-MIN(4,3+'5. Scenarios'!$B$8))/4+INDEX(BookQ4,348)*(5-MIN(4,4+'5. Scenarios'!$B$8))/4)*'5. Scenarios'!$B$6/(1+ProductivityDefault*('5. Scenarios'!$B$11-1))+INDEX(BookOneOff,348)*$D353)</f>
        <v/>
      </c>
      <c r="I353" s="56" t="str">
        <f aca="false">IF(INDEX(BookTitle,348)="","",INDEX(BookTotal,348)*'5. Scenarios'!$C$6/(1+ProductivityDefault*('5. Scenarios'!$C$11-1)))</f>
        <v/>
      </c>
      <c r="J353" s="57" t="str">
        <f aca="false">IF($I353="","",INDEX(BookRate,348)*(1+'5. Scenarios'!$C$10)*$I353)</f>
        <v/>
      </c>
      <c r="K353" s="57" t="str">
        <f aca="false">IF($J353="","",SUMIFS($J$6:$J$2405,$A$6:$A$2405,"&lt;="&amp;$A353))</f>
        <v/>
      </c>
      <c r="L353" s="57" t="str">
        <f aca="false">IF($J353="","",IF($K353&lt;=BankCostEnvelope*'5. Scenarios'!$C$7,1,0))</f>
        <v/>
      </c>
      <c r="M353" s="57" t="str">
        <f aca="false">IF($I353="","",INDEX(BookRate,348)*(1+'5. Scenarios'!$C$10)*(INDEX(BookQ1,348)*(5-MIN(4,1+'5. Scenarios'!$C$8))/4+INDEX(BookQ2,348)*(5-MIN(4,2+'5. Scenarios'!$C$8))/4+INDEX(BookQ3,348)*(5-MIN(4,3+'5. Scenarios'!$C$8))/4+INDEX(BookQ4,348)*(5-MIN(4,4+'5. Scenarios'!$C$8))/4)*'5. Scenarios'!$C$6/(1+ProductivityDefault*('5. Scenarios'!$C$11-1))+INDEX(BookOneOff,348)*$I353)</f>
        <v/>
      </c>
      <c r="N353" s="56" t="str">
        <f aca="false">IF(INDEX(BookTitle,348)="","",INDEX(BookTotal,348)*'5. Scenarios'!$D$6/(1+ProductivityDefault*('5. Scenarios'!$D$11-1)))</f>
        <v/>
      </c>
      <c r="O353" s="57" t="str">
        <f aca="false">IF($N353="","",INDEX(BookRate,348)*(1+'5. Scenarios'!$D$10)*$N353)</f>
        <v/>
      </c>
      <c r="P353" s="57" t="str">
        <f aca="false">IF($O353="","",SUMIFS($O$6:$O$2405,$A$6:$A$2405,"&lt;="&amp;$A353))</f>
        <v/>
      </c>
      <c r="Q353" s="57" t="str">
        <f aca="false">IF($O353="","",IF($P353&lt;=BankCostEnvelope*'5. Scenarios'!$D$7,1,0))</f>
        <v/>
      </c>
      <c r="R353" s="57" t="str">
        <f aca="false">IF($N353="","",INDEX(BookRate,348)*(1+'5. Scenarios'!$D$10)*(INDEX(BookQ1,348)*(5-MIN(4,1+'5. Scenarios'!$D$8))/4+INDEX(BookQ2,348)*(5-MIN(4,2+'5. Scenarios'!$D$8))/4+INDEX(BookQ3,348)*(5-MIN(4,3+'5. Scenarios'!$D$8))/4+INDEX(BookQ4,348)*(5-MIN(4,4+'5. Scenarios'!$D$8))/4)*'5. Scenarios'!$D$6/(1+ProductivityDefault*('5. Scenarios'!$D$11-1))+INDEX(BookOneOff,348)*$N353)</f>
        <v/>
      </c>
      <c r="S353" s="56" t="str">
        <f aca="false">IF(INDEX(BookTitle,348)="","",INDEX(BookTotal,348)*'5. Scenarios'!$E$6/(1+ProductivityDefault*('5. Scenarios'!$E$11-1)))</f>
        <v/>
      </c>
      <c r="T353" s="57" t="str">
        <f aca="false">IF($S353="","",INDEX(BookRate,348)*(1+'5. Scenarios'!$E$10)*$S353)</f>
        <v/>
      </c>
      <c r="U353" s="57" t="str">
        <f aca="false">IF($T353="","",SUMIFS($T$6:$T$2405,$A$6:$A$2405,"&lt;="&amp;$A353))</f>
        <v/>
      </c>
      <c r="V353" s="57" t="str">
        <f aca="false">IF($T353="","",IF($U353&lt;=BankCostEnvelope*'5. Scenarios'!$E$7,1,0))</f>
        <v/>
      </c>
      <c r="W353" s="57" t="str">
        <f aca="false">IF($S353="","",INDEX(BookRate,348)*(1+'5. Scenarios'!$E$10)*(INDEX(BookQ1,348)*(5-MIN(4,1+'5. Scenarios'!$E$8))/4+INDEX(BookQ2,348)*(5-MIN(4,2+'5. Scenarios'!$E$8))/4+INDEX(BookQ3,348)*(5-MIN(4,3+'5. Scenarios'!$E$8))/4+INDEX(BookQ4,348)*(5-MIN(4,4+'5. Scenarios'!$E$8))/4)*'5. Scenarios'!$E$6/(1+ProductivityDefault*('5. Scenarios'!$E$11-1))+INDEX(BookOneOff,348)*$S353)</f>
        <v/>
      </c>
    </row>
    <row r="354" customFormat="false" ht="15" hidden="false" customHeight="false" outlineLevel="0" collapsed="false">
      <c r="A354" s="0" t="str">
        <f aca="false">IF(INDEX(BookTitle,349)="","",INDEX(BookKey,349))</f>
        <v/>
      </c>
      <c r="B354" s="0" t="str">
        <f aca="false">IF(INDEX(BookTitle,349)="","",INDEX(BookGroup,349))</f>
        <v/>
      </c>
      <c r="C354" s="0" t="str">
        <f aca="false">IF(INDEX(BookTitle,349)="","",INDEX(BookCategory,349))</f>
        <v/>
      </c>
      <c r="D354" s="56" t="str">
        <f aca="false">IF(INDEX(BookTitle,349)="","",INDEX(BookTotal,349)*'5. Scenarios'!$B$6/(1+ProductivityDefault*('5. Scenarios'!$B$11-1)))</f>
        <v/>
      </c>
      <c r="E354" s="57" t="str">
        <f aca="false">IF($D354="","",INDEX(BookRate,349)*(1+'5. Scenarios'!$B$10)*$D354)</f>
        <v/>
      </c>
      <c r="F354" s="57" t="str">
        <f aca="false">IF($E354="","",SUMIFS($E$6:$E$2405,$A$6:$A$2405,"&lt;="&amp;$A354))</f>
        <v/>
      </c>
      <c r="G354" s="57" t="str">
        <f aca="false">IF($E354="","",IF($F354&lt;=BankCostEnvelope*'5. Scenarios'!$B$7,1,0))</f>
        <v/>
      </c>
      <c r="H354" s="57" t="str">
        <f aca="false">IF($D354="","",INDEX(BookRate,349)*(1+'5. Scenarios'!$B$10)*(INDEX(BookQ1,349)*(5-MIN(4,1+'5. Scenarios'!$B$8))/4+INDEX(BookQ2,349)*(5-MIN(4,2+'5. Scenarios'!$B$8))/4+INDEX(BookQ3,349)*(5-MIN(4,3+'5. Scenarios'!$B$8))/4+INDEX(BookQ4,349)*(5-MIN(4,4+'5. Scenarios'!$B$8))/4)*'5. Scenarios'!$B$6/(1+ProductivityDefault*('5. Scenarios'!$B$11-1))+INDEX(BookOneOff,349)*$D354)</f>
        <v/>
      </c>
      <c r="I354" s="56" t="str">
        <f aca="false">IF(INDEX(BookTitle,349)="","",INDEX(BookTotal,349)*'5. Scenarios'!$C$6/(1+ProductivityDefault*('5. Scenarios'!$C$11-1)))</f>
        <v/>
      </c>
      <c r="J354" s="57" t="str">
        <f aca="false">IF($I354="","",INDEX(BookRate,349)*(1+'5. Scenarios'!$C$10)*$I354)</f>
        <v/>
      </c>
      <c r="K354" s="57" t="str">
        <f aca="false">IF($J354="","",SUMIFS($J$6:$J$2405,$A$6:$A$2405,"&lt;="&amp;$A354))</f>
        <v/>
      </c>
      <c r="L354" s="57" t="str">
        <f aca="false">IF($J354="","",IF($K354&lt;=BankCostEnvelope*'5. Scenarios'!$C$7,1,0))</f>
        <v/>
      </c>
      <c r="M354" s="57" t="str">
        <f aca="false">IF($I354="","",INDEX(BookRate,349)*(1+'5. Scenarios'!$C$10)*(INDEX(BookQ1,349)*(5-MIN(4,1+'5. Scenarios'!$C$8))/4+INDEX(BookQ2,349)*(5-MIN(4,2+'5. Scenarios'!$C$8))/4+INDEX(BookQ3,349)*(5-MIN(4,3+'5. Scenarios'!$C$8))/4+INDEX(BookQ4,349)*(5-MIN(4,4+'5. Scenarios'!$C$8))/4)*'5. Scenarios'!$C$6/(1+ProductivityDefault*('5. Scenarios'!$C$11-1))+INDEX(BookOneOff,349)*$I354)</f>
        <v/>
      </c>
      <c r="N354" s="56" t="str">
        <f aca="false">IF(INDEX(BookTitle,349)="","",INDEX(BookTotal,349)*'5. Scenarios'!$D$6/(1+ProductivityDefault*('5. Scenarios'!$D$11-1)))</f>
        <v/>
      </c>
      <c r="O354" s="57" t="str">
        <f aca="false">IF($N354="","",INDEX(BookRate,349)*(1+'5. Scenarios'!$D$10)*$N354)</f>
        <v/>
      </c>
      <c r="P354" s="57" t="str">
        <f aca="false">IF($O354="","",SUMIFS($O$6:$O$2405,$A$6:$A$2405,"&lt;="&amp;$A354))</f>
        <v/>
      </c>
      <c r="Q354" s="57" t="str">
        <f aca="false">IF($O354="","",IF($P354&lt;=BankCostEnvelope*'5. Scenarios'!$D$7,1,0))</f>
        <v/>
      </c>
      <c r="R354" s="57" t="str">
        <f aca="false">IF($N354="","",INDEX(BookRate,349)*(1+'5. Scenarios'!$D$10)*(INDEX(BookQ1,349)*(5-MIN(4,1+'5. Scenarios'!$D$8))/4+INDEX(BookQ2,349)*(5-MIN(4,2+'5. Scenarios'!$D$8))/4+INDEX(BookQ3,349)*(5-MIN(4,3+'5. Scenarios'!$D$8))/4+INDEX(BookQ4,349)*(5-MIN(4,4+'5. Scenarios'!$D$8))/4)*'5. Scenarios'!$D$6/(1+ProductivityDefault*('5. Scenarios'!$D$11-1))+INDEX(BookOneOff,349)*$N354)</f>
        <v/>
      </c>
      <c r="S354" s="56" t="str">
        <f aca="false">IF(INDEX(BookTitle,349)="","",INDEX(BookTotal,349)*'5. Scenarios'!$E$6/(1+ProductivityDefault*('5. Scenarios'!$E$11-1)))</f>
        <v/>
      </c>
      <c r="T354" s="57" t="str">
        <f aca="false">IF($S354="","",INDEX(BookRate,349)*(1+'5. Scenarios'!$E$10)*$S354)</f>
        <v/>
      </c>
      <c r="U354" s="57" t="str">
        <f aca="false">IF($T354="","",SUMIFS($T$6:$T$2405,$A$6:$A$2405,"&lt;="&amp;$A354))</f>
        <v/>
      </c>
      <c r="V354" s="57" t="str">
        <f aca="false">IF($T354="","",IF($U354&lt;=BankCostEnvelope*'5. Scenarios'!$E$7,1,0))</f>
        <v/>
      </c>
      <c r="W354" s="57" t="str">
        <f aca="false">IF($S354="","",INDEX(BookRate,349)*(1+'5. Scenarios'!$E$10)*(INDEX(BookQ1,349)*(5-MIN(4,1+'5. Scenarios'!$E$8))/4+INDEX(BookQ2,349)*(5-MIN(4,2+'5. Scenarios'!$E$8))/4+INDEX(BookQ3,349)*(5-MIN(4,3+'5. Scenarios'!$E$8))/4+INDEX(BookQ4,349)*(5-MIN(4,4+'5. Scenarios'!$E$8))/4)*'5. Scenarios'!$E$6/(1+ProductivityDefault*('5. Scenarios'!$E$11-1))+INDEX(BookOneOff,349)*$S354)</f>
        <v/>
      </c>
    </row>
    <row r="355" customFormat="false" ht="15" hidden="false" customHeight="false" outlineLevel="0" collapsed="false">
      <c r="A355" s="0" t="str">
        <f aca="false">IF(INDEX(BookTitle,350)="","",INDEX(BookKey,350))</f>
        <v/>
      </c>
      <c r="B355" s="0" t="str">
        <f aca="false">IF(INDEX(BookTitle,350)="","",INDEX(BookGroup,350))</f>
        <v/>
      </c>
      <c r="C355" s="0" t="str">
        <f aca="false">IF(INDEX(BookTitle,350)="","",INDEX(BookCategory,350))</f>
        <v/>
      </c>
      <c r="D355" s="56" t="str">
        <f aca="false">IF(INDEX(BookTitle,350)="","",INDEX(BookTotal,350)*'5. Scenarios'!$B$6/(1+ProductivityDefault*('5. Scenarios'!$B$11-1)))</f>
        <v/>
      </c>
      <c r="E355" s="57" t="str">
        <f aca="false">IF($D355="","",INDEX(BookRate,350)*(1+'5. Scenarios'!$B$10)*$D355)</f>
        <v/>
      </c>
      <c r="F355" s="57" t="str">
        <f aca="false">IF($E355="","",SUMIFS($E$6:$E$2405,$A$6:$A$2405,"&lt;="&amp;$A355))</f>
        <v/>
      </c>
      <c r="G355" s="57" t="str">
        <f aca="false">IF($E355="","",IF($F355&lt;=BankCostEnvelope*'5. Scenarios'!$B$7,1,0))</f>
        <v/>
      </c>
      <c r="H355" s="57" t="str">
        <f aca="false">IF($D355="","",INDEX(BookRate,350)*(1+'5. Scenarios'!$B$10)*(INDEX(BookQ1,350)*(5-MIN(4,1+'5. Scenarios'!$B$8))/4+INDEX(BookQ2,350)*(5-MIN(4,2+'5. Scenarios'!$B$8))/4+INDEX(BookQ3,350)*(5-MIN(4,3+'5. Scenarios'!$B$8))/4+INDEX(BookQ4,350)*(5-MIN(4,4+'5. Scenarios'!$B$8))/4)*'5. Scenarios'!$B$6/(1+ProductivityDefault*('5. Scenarios'!$B$11-1))+INDEX(BookOneOff,350)*$D355)</f>
        <v/>
      </c>
      <c r="I355" s="56" t="str">
        <f aca="false">IF(INDEX(BookTitle,350)="","",INDEX(BookTotal,350)*'5. Scenarios'!$C$6/(1+ProductivityDefault*('5. Scenarios'!$C$11-1)))</f>
        <v/>
      </c>
      <c r="J355" s="57" t="str">
        <f aca="false">IF($I355="","",INDEX(BookRate,350)*(1+'5. Scenarios'!$C$10)*$I355)</f>
        <v/>
      </c>
      <c r="K355" s="57" t="str">
        <f aca="false">IF($J355="","",SUMIFS($J$6:$J$2405,$A$6:$A$2405,"&lt;="&amp;$A355))</f>
        <v/>
      </c>
      <c r="L355" s="57" t="str">
        <f aca="false">IF($J355="","",IF($K355&lt;=BankCostEnvelope*'5. Scenarios'!$C$7,1,0))</f>
        <v/>
      </c>
      <c r="M355" s="57" t="str">
        <f aca="false">IF($I355="","",INDEX(BookRate,350)*(1+'5. Scenarios'!$C$10)*(INDEX(BookQ1,350)*(5-MIN(4,1+'5. Scenarios'!$C$8))/4+INDEX(BookQ2,350)*(5-MIN(4,2+'5. Scenarios'!$C$8))/4+INDEX(BookQ3,350)*(5-MIN(4,3+'5. Scenarios'!$C$8))/4+INDEX(BookQ4,350)*(5-MIN(4,4+'5. Scenarios'!$C$8))/4)*'5. Scenarios'!$C$6/(1+ProductivityDefault*('5. Scenarios'!$C$11-1))+INDEX(BookOneOff,350)*$I355)</f>
        <v/>
      </c>
      <c r="N355" s="56" t="str">
        <f aca="false">IF(INDEX(BookTitle,350)="","",INDEX(BookTotal,350)*'5. Scenarios'!$D$6/(1+ProductivityDefault*('5. Scenarios'!$D$11-1)))</f>
        <v/>
      </c>
      <c r="O355" s="57" t="str">
        <f aca="false">IF($N355="","",INDEX(BookRate,350)*(1+'5. Scenarios'!$D$10)*$N355)</f>
        <v/>
      </c>
      <c r="P355" s="57" t="str">
        <f aca="false">IF($O355="","",SUMIFS($O$6:$O$2405,$A$6:$A$2405,"&lt;="&amp;$A355))</f>
        <v/>
      </c>
      <c r="Q355" s="57" t="str">
        <f aca="false">IF($O355="","",IF($P355&lt;=BankCostEnvelope*'5. Scenarios'!$D$7,1,0))</f>
        <v/>
      </c>
      <c r="R355" s="57" t="str">
        <f aca="false">IF($N355="","",INDEX(BookRate,350)*(1+'5. Scenarios'!$D$10)*(INDEX(BookQ1,350)*(5-MIN(4,1+'5. Scenarios'!$D$8))/4+INDEX(BookQ2,350)*(5-MIN(4,2+'5. Scenarios'!$D$8))/4+INDEX(BookQ3,350)*(5-MIN(4,3+'5. Scenarios'!$D$8))/4+INDEX(BookQ4,350)*(5-MIN(4,4+'5. Scenarios'!$D$8))/4)*'5. Scenarios'!$D$6/(1+ProductivityDefault*('5. Scenarios'!$D$11-1))+INDEX(BookOneOff,350)*$N355)</f>
        <v/>
      </c>
      <c r="S355" s="56" t="str">
        <f aca="false">IF(INDEX(BookTitle,350)="","",INDEX(BookTotal,350)*'5. Scenarios'!$E$6/(1+ProductivityDefault*('5. Scenarios'!$E$11-1)))</f>
        <v/>
      </c>
      <c r="T355" s="57" t="str">
        <f aca="false">IF($S355="","",INDEX(BookRate,350)*(1+'5. Scenarios'!$E$10)*$S355)</f>
        <v/>
      </c>
      <c r="U355" s="57" t="str">
        <f aca="false">IF($T355="","",SUMIFS($T$6:$T$2405,$A$6:$A$2405,"&lt;="&amp;$A355))</f>
        <v/>
      </c>
      <c r="V355" s="57" t="str">
        <f aca="false">IF($T355="","",IF($U355&lt;=BankCostEnvelope*'5. Scenarios'!$E$7,1,0))</f>
        <v/>
      </c>
      <c r="W355" s="57" t="str">
        <f aca="false">IF($S355="","",INDEX(BookRate,350)*(1+'5. Scenarios'!$E$10)*(INDEX(BookQ1,350)*(5-MIN(4,1+'5. Scenarios'!$E$8))/4+INDEX(BookQ2,350)*(5-MIN(4,2+'5. Scenarios'!$E$8))/4+INDEX(BookQ3,350)*(5-MIN(4,3+'5. Scenarios'!$E$8))/4+INDEX(BookQ4,350)*(5-MIN(4,4+'5. Scenarios'!$E$8))/4)*'5. Scenarios'!$E$6/(1+ProductivityDefault*('5. Scenarios'!$E$11-1))+INDEX(BookOneOff,350)*$S355)</f>
        <v/>
      </c>
    </row>
    <row r="356" customFormat="false" ht="15" hidden="false" customHeight="false" outlineLevel="0" collapsed="false">
      <c r="A356" s="0" t="str">
        <f aca="false">IF(INDEX(BookTitle,351)="","",INDEX(BookKey,351))</f>
        <v/>
      </c>
      <c r="B356" s="0" t="str">
        <f aca="false">IF(INDEX(BookTitle,351)="","",INDEX(BookGroup,351))</f>
        <v/>
      </c>
      <c r="C356" s="0" t="str">
        <f aca="false">IF(INDEX(BookTitle,351)="","",INDEX(BookCategory,351))</f>
        <v/>
      </c>
      <c r="D356" s="56" t="str">
        <f aca="false">IF(INDEX(BookTitle,351)="","",INDEX(BookTotal,351)*'5. Scenarios'!$B$6/(1+ProductivityDefault*('5. Scenarios'!$B$11-1)))</f>
        <v/>
      </c>
      <c r="E356" s="57" t="str">
        <f aca="false">IF($D356="","",INDEX(BookRate,351)*(1+'5. Scenarios'!$B$10)*$D356)</f>
        <v/>
      </c>
      <c r="F356" s="57" t="str">
        <f aca="false">IF($E356="","",SUMIFS($E$6:$E$2405,$A$6:$A$2405,"&lt;="&amp;$A356))</f>
        <v/>
      </c>
      <c r="G356" s="57" t="str">
        <f aca="false">IF($E356="","",IF($F356&lt;=BankCostEnvelope*'5. Scenarios'!$B$7,1,0))</f>
        <v/>
      </c>
      <c r="H356" s="57" t="str">
        <f aca="false">IF($D356="","",INDEX(BookRate,351)*(1+'5. Scenarios'!$B$10)*(INDEX(BookQ1,351)*(5-MIN(4,1+'5. Scenarios'!$B$8))/4+INDEX(BookQ2,351)*(5-MIN(4,2+'5. Scenarios'!$B$8))/4+INDEX(BookQ3,351)*(5-MIN(4,3+'5. Scenarios'!$B$8))/4+INDEX(BookQ4,351)*(5-MIN(4,4+'5. Scenarios'!$B$8))/4)*'5. Scenarios'!$B$6/(1+ProductivityDefault*('5. Scenarios'!$B$11-1))+INDEX(BookOneOff,351)*$D356)</f>
        <v/>
      </c>
      <c r="I356" s="56" t="str">
        <f aca="false">IF(INDEX(BookTitle,351)="","",INDEX(BookTotal,351)*'5. Scenarios'!$C$6/(1+ProductivityDefault*('5. Scenarios'!$C$11-1)))</f>
        <v/>
      </c>
      <c r="J356" s="57" t="str">
        <f aca="false">IF($I356="","",INDEX(BookRate,351)*(1+'5. Scenarios'!$C$10)*$I356)</f>
        <v/>
      </c>
      <c r="K356" s="57" t="str">
        <f aca="false">IF($J356="","",SUMIFS($J$6:$J$2405,$A$6:$A$2405,"&lt;="&amp;$A356))</f>
        <v/>
      </c>
      <c r="L356" s="57" t="str">
        <f aca="false">IF($J356="","",IF($K356&lt;=BankCostEnvelope*'5. Scenarios'!$C$7,1,0))</f>
        <v/>
      </c>
      <c r="M356" s="57" t="str">
        <f aca="false">IF($I356="","",INDEX(BookRate,351)*(1+'5. Scenarios'!$C$10)*(INDEX(BookQ1,351)*(5-MIN(4,1+'5. Scenarios'!$C$8))/4+INDEX(BookQ2,351)*(5-MIN(4,2+'5. Scenarios'!$C$8))/4+INDEX(BookQ3,351)*(5-MIN(4,3+'5. Scenarios'!$C$8))/4+INDEX(BookQ4,351)*(5-MIN(4,4+'5. Scenarios'!$C$8))/4)*'5. Scenarios'!$C$6/(1+ProductivityDefault*('5. Scenarios'!$C$11-1))+INDEX(BookOneOff,351)*$I356)</f>
        <v/>
      </c>
      <c r="N356" s="56" t="str">
        <f aca="false">IF(INDEX(BookTitle,351)="","",INDEX(BookTotal,351)*'5. Scenarios'!$D$6/(1+ProductivityDefault*('5. Scenarios'!$D$11-1)))</f>
        <v/>
      </c>
      <c r="O356" s="57" t="str">
        <f aca="false">IF($N356="","",INDEX(BookRate,351)*(1+'5. Scenarios'!$D$10)*$N356)</f>
        <v/>
      </c>
      <c r="P356" s="57" t="str">
        <f aca="false">IF($O356="","",SUMIFS($O$6:$O$2405,$A$6:$A$2405,"&lt;="&amp;$A356))</f>
        <v/>
      </c>
      <c r="Q356" s="57" t="str">
        <f aca="false">IF($O356="","",IF($P356&lt;=BankCostEnvelope*'5. Scenarios'!$D$7,1,0))</f>
        <v/>
      </c>
      <c r="R356" s="57" t="str">
        <f aca="false">IF($N356="","",INDEX(BookRate,351)*(1+'5. Scenarios'!$D$10)*(INDEX(BookQ1,351)*(5-MIN(4,1+'5. Scenarios'!$D$8))/4+INDEX(BookQ2,351)*(5-MIN(4,2+'5. Scenarios'!$D$8))/4+INDEX(BookQ3,351)*(5-MIN(4,3+'5. Scenarios'!$D$8))/4+INDEX(BookQ4,351)*(5-MIN(4,4+'5. Scenarios'!$D$8))/4)*'5. Scenarios'!$D$6/(1+ProductivityDefault*('5. Scenarios'!$D$11-1))+INDEX(BookOneOff,351)*$N356)</f>
        <v/>
      </c>
      <c r="S356" s="56" t="str">
        <f aca="false">IF(INDEX(BookTitle,351)="","",INDEX(BookTotal,351)*'5. Scenarios'!$E$6/(1+ProductivityDefault*('5. Scenarios'!$E$11-1)))</f>
        <v/>
      </c>
      <c r="T356" s="57" t="str">
        <f aca="false">IF($S356="","",INDEX(BookRate,351)*(1+'5. Scenarios'!$E$10)*$S356)</f>
        <v/>
      </c>
      <c r="U356" s="57" t="str">
        <f aca="false">IF($T356="","",SUMIFS($T$6:$T$2405,$A$6:$A$2405,"&lt;="&amp;$A356))</f>
        <v/>
      </c>
      <c r="V356" s="57" t="str">
        <f aca="false">IF($T356="","",IF($U356&lt;=BankCostEnvelope*'5. Scenarios'!$E$7,1,0))</f>
        <v/>
      </c>
      <c r="W356" s="57" t="str">
        <f aca="false">IF($S356="","",INDEX(BookRate,351)*(1+'5. Scenarios'!$E$10)*(INDEX(BookQ1,351)*(5-MIN(4,1+'5. Scenarios'!$E$8))/4+INDEX(BookQ2,351)*(5-MIN(4,2+'5. Scenarios'!$E$8))/4+INDEX(BookQ3,351)*(5-MIN(4,3+'5. Scenarios'!$E$8))/4+INDEX(BookQ4,351)*(5-MIN(4,4+'5. Scenarios'!$E$8))/4)*'5. Scenarios'!$E$6/(1+ProductivityDefault*('5. Scenarios'!$E$11-1))+INDEX(BookOneOff,351)*$S356)</f>
        <v/>
      </c>
    </row>
    <row r="357" customFormat="false" ht="15" hidden="false" customHeight="false" outlineLevel="0" collapsed="false">
      <c r="A357" s="0" t="str">
        <f aca="false">IF(INDEX(BookTitle,352)="","",INDEX(BookKey,352))</f>
        <v/>
      </c>
      <c r="B357" s="0" t="str">
        <f aca="false">IF(INDEX(BookTitle,352)="","",INDEX(BookGroup,352))</f>
        <v/>
      </c>
      <c r="C357" s="0" t="str">
        <f aca="false">IF(INDEX(BookTitle,352)="","",INDEX(BookCategory,352))</f>
        <v/>
      </c>
      <c r="D357" s="56" t="str">
        <f aca="false">IF(INDEX(BookTitle,352)="","",INDEX(BookTotal,352)*'5. Scenarios'!$B$6/(1+ProductivityDefault*('5. Scenarios'!$B$11-1)))</f>
        <v/>
      </c>
      <c r="E357" s="57" t="str">
        <f aca="false">IF($D357="","",INDEX(BookRate,352)*(1+'5. Scenarios'!$B$10)*$D357)</f>
        <v/>
      </c>
      <c r="F357" s="57" t="str">
        <f aca="false">IF($E357="","",SUMIFS($E$6:$E$2405,$A$6:$A$2405,"&lt;="&amp;$A357))</f>
        <v/>
      </c>
      <c r="G357" s="57" t="str">
        <f aca="false">IF($E357="","",IF($F357&lt;=BankCostEnvelope*'5. Scenarios'!$B$7,1,0))</f>
        <v/>
      </c>
      <c r="H357" s="57" t="str">
        <f aca="false">IF($D357="","",INDEX(BookRate,352)*(1+'5. Scenarios'!$B$10)*(INDEX(BookQ1,352)*(5-MIN(4,1+'5. Scenarios'!$B$8))/4+INDEX(BookQ2,352)*(5-MIN(4,2+'5. Scenarios'!$B$8))/4+INDEX(BookQ3,352)*(5-MIN(4,3+'5. Scenarios'!$B$8))/4+INDEX(BookQ4,352)*(5-MIN(4,4+'5. Scenarios'!$B$8))/4)*'5. Scenarios'!$B$6/(1+ProductivityDefault*('5. Scenarios'!$B$11-1))+INDEX(BookOneOff,352)*$D357)</f>
        <v/>
      </c>
      <c r="I357" s="56" t="str">
        <f aca="false">IF(INDEX(BookTitle,352)="","",INDEX(BookTotal,352)*'5. Scenarios'!$C$6/(1+ProductivityDefault*('5. Scenarios'!$C$11-1)))</f>
        <v/>
      </c>
      <c r="J357" s="57" t="str">
        <f aca="false">IF($I357="","",INDEX(BookRate,352)*(1+'5. Scenarios'!$C$10)*$I357)</f>
        <v/>
      </c>
      <c r="K357" s="57" t="str">
        <f aca="false">IF($J357="","",SUMIFS($J$6:$J$2405,$A$6:$A$2405,"&lt;="&amp;$A357))</f>
        <v/>
      </c>
      <c r="L357" s="57" t="str">
        <f aca="false">IF($J357="","",IF($K357&lt;=BankCostEnvelope*'5. Scenarios'!$C$7,1,0))</f>
        <v/>
      </c>
      <c r="M357" s="57" t="str">
        <f aca="false">IF($I357="","",INDEX(BookRate,352)*(1+'5. Scenarios'!$C$10)*(INDEX(BookQ1,352)*(5-MIN(4,1+'5. Scenarios'!$C$8))/4+INDEX(BookQ2,352)*(5-MIN(4,2+'5. Scenarios'!$C$8))/4+INDEX(BookQ3,352)*(5-MIN(4,3+'5. Scenarios'!$C$8))/4+INDEX(BookQ4,352)*(5-MIN(4,4+'5. Scenarios'!$C$8))/4)*'5. Scenarios'!$C$6/(1+ProductivityDefault*('5. Scenarios'!$C$11-1))+INDEX(BookOneOff,352)*$I357)</f>
        <v/>
      </c>
      <c r="N357" s="56" t="str">
        <f aca="false">IF(INDEX(BookTitle,352)="","",INDEX(BookTotal,352)*'5. Scenarios'!$D$6/(1+ProductivityDefault*('5. Scenarios'!$D$11-1)))</f>
        <v/>
      </c>
      <c r="O357" s="57" t="str">
        <f aca="false">IF($N357="","",INDEX(BookRate,352)*(1+'5. Scenarios'!$D$10)*$N357)</f>
        <v/>
      </c>
      <c r="P357" s="57" t="str">
        <f aca="false">IF($O357="","",SUMIFS($O$6:$O$2405,$A$6:$A$2405,"&lt;="&amp;$A357))</f>
        <v/>
      </c>
      <c r="Q357" s="57" t="str">
        <f aca="false">IF($O357="","",IF($P357&lt;=BankCostEnvelope*'5. Scenarios'!$D$7,1,0))</f>
        <v/>
      </c>
      <c r="R357" s="57" t="str">
        <f aca="false">IF($N357="","",INDEX(BookRate,352)*(1+'5. Scenarios'!$D$10)*(INDEX(BookQ1,352)*(5-MIN(4,1+'5. Scenarios'!$D$8))/4+INDEX(BookQ2,352)*(5-MIN(4,2+'5. Scenarios'!$D$8))/4+INDEX(BookQ3,352)*(5-MIN(4,3+'5. Scenarios'!$D$8))/4+INDEX(BookQ4,352)*(5-MIN(4,4+'5. Scenarios'!$D$8))/4)*'5. Scenarios'!$D$6/(1+ProductivityDefault*('5. Scenarios'!$D$11-1))+INDEX(BookOneOff,352)*$N357)</f>
        <v/>
      </c>
      <c r="S357" s="56" t="str">
        <f aca="false">IF(INDEX(BookTitle,352)="","",INDEX(BookTotal,352)*'5. Scenarios'!$E$6/(1+ProductivityDefault*('5. Scenarios'!$E$11-1)))</f>
        <v/>
      </c>
      <c r="T357" s="57" t="str">
        <f aca="false">IF($S357="","",INDEX(BookRate,352)*(1+'5. Scenarios'!$E$10)*$S357)</f>
        <v/>
      </c>
      <c r="U357" s="57" t="str">
        <f aca="false">IF($T357="","",SUMIFS($T$6:$T$2405,$A$6:$A$2405,"&lt;="&amp;$A357))</f>
        <v/>
      </c>
      <c r="V357" s="57" t="str">
        <f aca="false">IF($T357="","",IF($U357&lt;=BankCostEnvelope*'5. Scenarios'!$E$7,1,0))</f>
        <v/>
      </c>
      <c r="W357" s="57" t="str">
        <f aca="false">IF($S357="","",INDEX(BookRate,352)*(1+'5. Scenarios'!$E$10)*(INDEX(BookQ1,352)*(5-MIN(4,1+'5. Scenarios'!$E$8))/4+INDEX(BookQ2,352)*(5-MIN(4,2+'5. Scenarios'!$E$8))/4+INDEX(BookQ3,352)*(5-MIN(4,3+'5. Scenarios'!$E$8))/4+INDEX(BookQ4,352)*(5-MIN(4,4+'5. Scenarios'!$E$8))/4)*'5. Scenarios'!$E$6/(1+ProductivityDefault*('5. Scenarios'!$E$11-1))+INDEX(BookOneOff,352)*$S357)</f>
        <v/>
      </c>
    </row>
    <row r="358" customFormat="false" ht="15" hidden="false" customHeight="false" outlineLevel="0" collapsed="false">
      <c r="A358" s="0" t="str">
        <f aca="false">IF(INDEX(BookTitle,353)="","",INDEX(BookKey,353))</f>
        <v/>
      </c>
      <c r="B358" s="0" t="str">
        <f aca="false">IF(INDEX(BookTitle,353)="","",INDEX(BookGroup,353))</f>
        <v/>
      </c>
      <c r="C358" s="0" t="str">
        <f aca="false">IF(INDEX(BookTitle,353)="","",INDEX(BookCategory,353))</f>
        <v/>
      </c>
      <c r="D358" s="56" t="str">
        <f aca="false">IF(INDEX(BookTitle,353)="","",INDEX(BookTotal,353)*'5. Scenarios'!$B$6/(1+ProductivityDefault*('5. Scenarios'!$B$11-1)))</f>
        <v/>
      </c>
      <c r="E358" s="57" t="str">
        <f aca="false">IF($D358="","",INDEX(BookRate,353)*(1+'5. Scenarios'!$B$10)*$D358)</f>
        <v/>
      </c>
      <c r="F358" s="57" t="str">
        <f aca="false">IF($E358="","",SUMIFS($E$6:$E$2405,$A$6:$A$2405,"&lt;="&amp;$A358))</f>
        <v/>
      </c>
      <c r="G358" s="57" t="str">
        <f aca="false">IF($E358="","",IF($F358&lt;=BankCostEnvelope*'5. Scenarios'!$B$7,1,0))</f>
        <v/>
      </c>
      <c r="H358" s="57" t="str">
        <f aca="false">IF($D358="","",INDEX(BookRate,353)*(1+'5. Scenarios'!$B$10)*(INDEX(BookQ1,353)*(5-MIN(4,1+'5. Scenarios'!$B$8))/4+INDEX(BookQ2,353)*(5-MIN(4,2+'5. Scenarios'!$B$8))/4+INDEX(BookQ3,353)*(5-MIN(4,3+'5. Scenarios'!$B$8))/4+INDEX(BookQ4,353)*(5-MIN(4,4+'5. Scenarios'!$B$8))/4)*'5. Scenarios'!$B$6/(1+ProductivityDefault*('5. Scenarios'!$B$11-1))+INDEX(BookOneOff,353)*$D358)</f>
        <v/>
      </c>
      <c r="I358" s="56" t="str">
        <f aca="false">IF(INDEX(BookTitle,353)="","",INDEX(BookTotal,353)*'5. Scenarios'!$C$6/(1+ProductivityDefault*('5. Scenarios'!$C$11-1)))</f>
        <v/>
      </c>
      <c r="J358" s="57" t="str">
        <f aca="false">IF($I358="","",INDEX(BookRate,353)*(1+'5. Scenarios'!$C$10)*$I358)</f>
        <v/>
      </c>
      <c r="K358" s="57" t="str">
        <f aca="false">IF($J358="","",SUMIFS($J$6:$J$2405,$A$6:$A$2405,"&lt;="&amp;$A358))</f>
        <v/>
      </c>
      <c r="L358" s="57" t="str">
        <f aca="false">IF($J358="","",IF($K358&lt;=BankCostEnvelope*'5. Scenarios'!$C$7,1,0))</f>
        <v/>
      </c>
      <c r="M358" s="57" t="str">
        <f aca="false">IF($I358="","",INDEX(BookRate,353)*(1+'5. Scenarios'!$C$10)*(INDEX(BookQ1,353)*(5-MIN(4,1+'5. Scenarios'!$C$8))/4+INDEX(BookQ2,353)*(5-MIN(4,2+'5. Scenarios'!$C$8))/4+INDEX(BookQ3,353)*(5-MIN(4,3+'5. Scenarios'!$C$8))/4+INDEX(BookQ4,353)*(5-MIN(4,4+'5. Scenarios'!$C$8))/4)*'5. Scenarios'!$C$6/(1+ProductivityDefault*('5. Scenarios'!$C$11-1))+INDEX(BookOneOff,353)*$I358)</f>
        <v/>
      </c>
      <c r="N358" s="56" t="str">
        <f aca="false">IF(INDEX(BookTitle,353)="","",INDEX(BookTotal,353)*'5. Scenarios'!$D$6/(1+ProductivityDefault*('5. Scenarios'!$D$11-1)))</f>
        <v/>
      </c>
      <c r="O358" s="57" t="str">
        <f aca="false">IF($N358="","",INDEX(BookRate,353)*(1+'5. Scenarios'!$D$10)*$N358)</f>
        <v/>
      </c>
      <c r="P358" s="57" t="str">
        <f aca="false">IF($O358="","",SUMIFS($O$6:$O$2405,$A$6:$A$2405,"&lt;="&amp;$A358))</f>
        <v/>
      </c>
      <c r="Q358" s="57" t="str">
        <f aca="false">IF($O358="","",IF($P358&lt;=BankCostEnvelope*'5. Scenarios'!$D$7,1,0))</f>
        <v/>
      </c>
      <c r="R358" s="57" t="str">
        <f aca="false">IF($N358="","",INDEX(BookRate,353)*(1+'5. Scenarios'!$D$10)*(INDEX(BookQ1,353)*(5-MIN(4,1+'5. Scenarios'!$D$8))/4+INDEX(BookQ2,353)*(5-MIN(4,2+'5. Scenarios'!$D$8))/4+INDEX(BookQ3,353)*(5-MIN(4,3+'5. Scenarios'!$D$8))/4+INDEX(BookQ4,353)*(5-MIN(4,4+'5. Scenarios'!$D$8))/4)*'5. Scenarios'!$D$6/(1+ProductivityDefault*('5. Scenarios'!$D$11-1))+INDEX(BookOneOff,353)*$N358)</f>
        <v/>
      </c>
      <c r="S358" s="56" t="str">
        <f aca="false">IF(INDEX(BookTitle,353)="","",INDEX(BookTotal,353)*'5. Scenarios'!$E$6/(1+ProductivityDefault*('5. Scenarios'!$E$11-1)))</f>
        <v/>
      </c>
      <c r="T358" s="57" t="str">
        <f aca="false">IF($S358="","",INDEX(BookRate,353)*(1+'5. Scenarios'!$E$10)*$S358)</f>
        <v/>
      </c>
      <c r="U358" s="57" t="str">
        <f aca="false">IF($T358="","",SUMIFS($T$6:$T$2405,$A$6:$A$2405,"&lt;="&amp;$A358))</f>
        <v/>
      </c>
      <c r="V358" s="57" t="str">
        <f aca="false">IF($T358="","",IF($U358&lt;=BankCostEnvelope*'5. Scenarios'!$E$7,1,0))</f>
        <v/>
      </c>
      <c r="W358" s="57" t="str">
        <f aca="false">IF($S358="","",INDEX(BookRate,353)*(1+'5. Scenarios'!$E$10)*(INDEX(BookQ1,353)*(5-MIN(4,1+'5. Scenarios'!$E$8))/4+INDEX(BookQ2,353)*(5-MIN(4,2+'5. Scenarios'!$E$8))/4+INDEX(BookQ3,353)*(5-MIN(4,3+'5. Scenarios'!$E$8))/4+INDEX(BookQ4,353)*(5-MIN(4,4+'5. Scenarios'!$E$8))/4)*'5. Scenarios'!$E$6/(1+ProductivityDefault*('5. Scenarios'!$E$11-1))+INDEX(BookOneOff,353)*$S358)</f>
        <v/>
      </c>
    </row>
    <row r="359" customFormat="false" ht="15" hidden="false" customHeight="false" outlineLevel="0" collapsed="false">
      <c r="A359" s="0" t="str">
        <f aca="false">IF(INDEX(BookTitle,354)="","",INDEX(BookKey,354))</f>
        <v/>
      </c>
      <c r="B359" s="0" t="str">
        <f aca="false">IF(INDEX(BookTitle,354)="","",INDEX(BookGroup,354))</f>
        <v/>
      </c>
      <c r="C359" s="0" t="str">
        <f aca="false">IF(INDEX(BookTitle,354)="","",INDEX(BookCategory,354))</f>
        <v/>
      </c>
      <c r="D359" s="56" t="str">
        <f aca="false">IF(INDEX(BookTitle,354)="","",INDEX(BookTotal,354)*'5. Scenarios'!$B$6/(1+ProductivityDefault*('5. Scenarios'!$B$11-1)))</f>
        <v/>
      </c>
      <c r="E359" s="57" t="str">
        <f aca="false">IF($D359="","",INDEX(BookRate,354)*(1+'5. Scenarios'!$B$10)*$D359)</f>
        <v/>
      </c>
      <c r="F359" s="57" t="str">
        <f aca="false">IF($E359="","",SUMIFS($E$6:$E$2405,$A$6:$A$2405,"&lt;="&amp;$A359))</f>
        <v/>
      </c>
      <c r="G359" s="57" t="str">
        <f aca="false">IF($E359="","",IF($F359&lt;=BankCostEnvelope*'5. Scenarios'!$B$7,1,0))</f>
        <v/>
      </c>
      <c r="H359" s="57" t="str">
        <f aca="false">IF($D359="","",INDEX(BookRate,354)*(1+'5. Scenarios'!$B$10)*(INDEX(BookQ1,354)*(5-MIN(4,1+'5. Scenarios'!$B$8))/4+INDEX(BookQ2,354)*(5-MIN(4,2+'5. Scenarios'!$B$8))/4+INDEX(BookQ3,354)*(5-MIN(4,3+'5. Scenarios'!$B$8))/4+INDEX(BookQ4,354)*(5-MIN(4,4+'5. Scenarios'!$B$8))/4)*'5. Scenarios'!$B$6/(1+ProductivityDefault*('5. Scenarios'!$B$11-1))+INDEX(BookOneOff,354)*$D359)</f>
        <v/>
      </c>
      <c r="I359" s="56" t="str">
        <f aca="false">IF(INDEX(BookTitle,354)="","",INDEX(BookTotal,354)*'5. Scenarios'!$C$6/(1+ProductivityDefault*('5. Scenarios'!$C$11-1)))</f>
        <v/>
      </c>
      <c r="J359" s="57" t="str">
        <f aca="false">IF($I359="","",INDEX(BookRate,354)*(1+'5. Scenarios'!$C$10)*$I359)</f>
        <v/>
      </c>
      <c r="K359" s="57" t="str">
        <f aca="false">IF($J359="","",SUMIFS($J$6:$J$2405,$A$6:$A$2405,"&lt;="&amp;$A359))</f>
        <v/>
      </c>
      <c r="L359" s="57" t="str">
        <f aca="false">IF($J359="","",IF($K359&lt;=BankCostEnvelope*'5. Scenarios'!$C$7,1,0))</f>
        <v/>
      </c>
      <c r="M359" s="57" t="str">
        <f aca="false">IF($I359="","",INDEX(BookRate,354)*(1+'5. Scenarios'!$C$10)*(INDEX(BookQ1,354)*(5-MIN(4,1+'5. Scenarios'!$C$8))/4+INDEX(BookQ2,354)*(5-MIN(4,2+'5. Scenarios'!$C$8))/4+INDEX(BookQ3,354)*(5-MIN(4,3+'5. Scenarios'!$C$8))/4+INDEX(BookQ4,354)*(5-MIN(4,4+'5. Scenarios'!$C$8))/4)*'5. Scenarios'!$C$6/(1+ProductivityDefault*('5. Scenarios'!$C$11-1))+INDEX(BookOneOff,354)*$I359)</f>
        <v/>
      </c>
      <c r="N359" s="56" t="str">
        <f aca="false">IF(INDEX(BookTitle,354)="","",INDEX(BookTotal,354)*'5. Scenarios'!$D$6/(1+ProductivityDefault*('5. Scenarios'!$D$11-1)))</f>
        <v/>
      </c>
      <c r="O359" s="57" t="str">
        <f aca="false">IF($N359="","",INDEX(BookRate,354)*(1+'5. Scenarios'!$D$10)*$N359)</f>
        <v/>
      </c>
      <c r="P359" s="57" t="str">
        <f aca="false">IF($O359="","",SUMIFS($O$6:$O$2405,$A$6:$A$2405,"&lt;="&amp;$A359))</f>
        <v/>
      </c>
      <c r="Q359" s="57" t="str">
        <f aca="false">IF($O359="","",IF($P359&lt;=BankCostEnvelope*'5. Scenarios'!$D$7,1,0))</f>
        <v/>
      </c>
      <c r="R359" s="57" t="str">
        <f aca="false">IF($N359="","",INDEX(BookRate,354)*(1+'5. Scenarios'!$D$10)*(INDEX(BookQ1,354)*(5-MIN(4,1+'5. Scenarios'!$D$8))/4+INDEX(BookQ2,354)*(5-MIN(4,2+'5. Scenarios'!$D$8))/4+INDEX(BookQ3,354)*(5-MIN(4,3+'5. Scenarios'!$D$8))/4+INDEX(BookQ4,354)*(5-MIN(4,4+'5. Scenarios'!$D$8))/4)*'5. Scenarios'!$D$6/(1+ProductivityDefault*('5. Scenarios'!$D$11-1))+INDEX(BookOneOff,354)*$N359)</f>
        <v/>
      </c>
      <c r="S359" s="56" t="str">
        <f aca="false">IF(INDEX(BookTitle,354)="","",INDEX(BookTotal,354)*'5. Scenarios'!$E$6/(1+ProductivityDefault*('5. Scenarios'!$E$11-1)))</f>
        <v/>
      </c>
      <c r="T359" s="57" t="str">
        <f aca="false">IF($S359="","",INDEX(BookRate,354)*(1+'5. Scenarios'!$E$10)*$S359)</f>
        <v/>
      </c>
      <c r="U359" s="57" t="str">
        <f aca="false">IF($T359="","",SUMIFS($T$6:$T$2405,$A$6:$A$2405,"&lt;="&amp;$A359))</f>
        <v/>
      </c>
      <c r="V359" s="57" t="str">
        <f aca="false">IF($T359="","",IF($U359&lt;=BankCostEnvelope*'5. Scenarios'!$E$7,1,0))</f>
        <v/>
      </c>
      <c r="W359" s="57" t="str">
        <f aca="false">IF($S359="","",INDEX(BookRate,354)*(1+'5. Scenarios'!$E$10)*(INDEX(BookQ1,354)*(5-MIN(4,1+'5. Scenarios'!$E$8))/4+INDEX(BookQ2,354)*(5-MIN(4,2+'5. Scenarios'!$E$8))/4+INDEX(BookQ3,354)*(5-MIN(4,3+'5. Scenarios'!$E$8))/4+INDEX(BookQ4,354)*(5-MIN(4,4+'5. Scenarios'!$E$8))/4)*'5. Scenarios'!$E$6/(1+ProductivityDefault*('5. Scenarios'!$E$11-1))+INDEX(BookOneOff,354)*$S359)</f>
        <v/>
      </c>
    </row>
    <row r="360" customFormat="false" ht="15" hidden="false" customHeight="false" outlineLevel="0" collapsed="false">
      <c r="A360" s="0" t="str">
        <f aca="false">IF(INDEX(BookTitle,355)="","",INDEX(BookKey,355))</f>
        <v/>
      </c>
      <c r="B360" s="0" t="str">
        <f aca="false">IF(INDEX(BookTitle,355)="","",INDEX(BookGroup,355))</f>
        <v/>
      </c>
      <c r="C360" s="0" t="str">
        <f aca="false">IF(INDEX(BookTitle,355)="","",INDEX(BookCategory,355))</f>
        <v/>
      </c>
      <c r="D360" s="56" t="str">
        <f aca="false">IF(INDEX(BookTitle,355)="","",INDEX(BookTotal,355)*'5. Scenarios'!$B$6/(1+ProductivityDefault*('5. Scenarios'!$B$11-1)))</f>
        <v/>
      </c>
      <c r="E360" s="57" t="str">
        <f aca="false">IF($D360="","",INDEX(BookRate,355)*(1+'5. Scenarios'!$B$10)*$D360)</f>
        <v/>
      </c>
      <c r="F360" s="57" t="str">
        <f aca="false">IF($E360="","",SUMIFS($E$6:$E$2405,$A$6:$A$2405,"&lt;="&amp;$A360))</f>
        <v/>
      </c>
      <c r="G360" s="57" t="str">
        <f aca="false">IF($E360="","",IF($F360&lt;=BankCostEnvelope*'5. Scenarios'!$B$7,1,0))</f>
        <v/>
      </c>
      <c r="H360" s="57" t="str">
        <f aca="false">IF($D360="","",INDEX(BookRate,355)*(1+'5. Scenarios'!$B$10)*(INDEX(BookQ1,355)*(5-MIN(4,1+'5. Scenarios'!$B$8))/4+INDEX(BookQ2,355)*(5-MIN(4,2+'5. Scenarios'!$B$8))/4+INDEX(BookQ3,355)*(5-MIN(4,3+'5. Scenarios'!$B$8))/4+INDEX(BookQ4,355)*(5-MIN(4,4+'5. Scenarios'!$B$8))/4)*'5. Scenarios'!$B$6/(1+ProductivityDefault*('5. Scenarios'!$B$11-1))+INDEX(BookOneOff,355)*$D360)</f>
        <v/>
      </c>
      <c r="I360" s="56" t="str">
        <f aca="false">IF(INDEX(BookTitle,355)="","",INDEX(BookTotal,355)*'5. Scenarios'!$C$6/(1+ProductivityDefault*('5. Scenarios'!$C$11-1)))</f>
        <v/>
      </c>
      <c r="J360" s="57" t="str">
        <f aca="false">IF($I360="","",INDEX(BookRate,355)*(1+'5. Scenarios'!$C$10)*$I360)</f>
        <v/>
      </c>
      <c r="K360" s="57" t="str">
        <f aca="false">IF($J360="","",SUMIFS($J$6:$J$2405,$A$6:$A$2405,"&lt;="&amp;$A360))</f>
        <v/>
      </c>
      <c r="L360" s="57" t="str">
        <f aca="false">IF($J360="","",IF($K360&lt;=BankCostEnvelope*'5. Scenarios'!$C$7,1,0))</f>
        <v/>
      </c>
      <c r="M360" s="57" t="str">
        <f aca="false">IF($I360="","",INDEX(BookRate,355)*(1+'5. Scenarios'!$C$10)*(INDEX(BookQ1,355)*(5-MIN(4,1+'5. Scenarios'!$C$8))/4+INDEX(BookQ2,355)*(5-MIN(4,2+'5. Scenarios'!$C$8))/4+INDEX(BookQ3,355)*(5-MIN(4,3+'5. Scenarios'!$C$8))/4+INDEX(BookQ4,355)*(5-MIN(4,4+'5. Scenarios'!$C$8))/4)*'5. Scenarios'!$C$6/(1+ProductivityDefault*('5. Scenarios'!$C$11-1))+INDEX(BookOneOff,355)*$I360)</f>
        <v/>
      </c>
      <c r="N360" s="56" t="str">
        <f aca="false">IF(INDEX(BookTitle,355)="","",INDEX(BookTotal,355)*'5. Scenarios'!$D$6/(1+ProductivityDefault*('5. Scenarios'!$D$11-1)))</f>
        <v/>
      </c>
      <c r="O360" s="57" t="str">
        <f aca="false">IF($N360="","",INDEX(BookRate,355)*(1+'5. Scenarios'!$D$10)*$N360)</f>
        <v/>
      </c>
      <c r="P360" s="57" t="str">
        <f aca="false">IF($O360="","",SUMIFS($O$6:$O$2405,$A$6:$A$2405,"&lt;="&amp;$A360))</f>
        <v/>
      </c>
      <c r="Q360" s="57" t="str">
        <f aca="false">IF($O360="","",IF($P360&lt;=BankCostEnvelope*'5. Scenarios'!$D$7,1,0))</f>
        <v/>
      </c>
      <c r="R360" s="57" t="str">
        <f aca="false">IF($N360="","",INDEX(BookRate,355)*(1+'5. Scenarios'!$D$10)*(INDEX(BookQ1,355)*(5-MIN(4,1+'5. Scenarios'!$D$8))/4+INDEX(BookQ2,355)*(5-MIN(4,2+'5. Scenarios'!$D$8))/4+INDEX(BookQ3,355)*(5-MIN(4,3+'5. Scenarios'!$D$8))/4+INDEX(BookQ4,355)*(5-MIN(4,4+'5. Scenarios'!$D$8))/4)*'5. Scenarios'!$D$6/(1+ProductivityDefault*('5. Scenarios'!$D$11-1))+INDEX(BookOneOff,355)*$N360)</f>
        <v/>
      </c>
      <c r="S360" s="56" t="str">
        <f aca="false">IF(INDEX(BookTitle,355)="","",INDEX(BookTotal,355)*'5. Scenarios'!$E$6/(1+ProductivityDefault*('5. Scenarios'!$E$11-1)))</f>
        <v/>
      </c>
      <c r="T360" s="57" t="str">
        <f aca="false">IF($S360="","",INDEX(BookRate,355)*(1+'5. Scenarios'!$E$10)*$S360)</f>
        <v/>
      </c>
      <c r="U360" s="57" t="str">
        <f aca="false">IF($T360="","",SUMIFS($T$6:$T$2405,$A$6:$A$2405,"&lt;="&amp;$A360))</f>
        <v/>
      </c>
      <c r="V360" s="57" t="str">
        <f aca="false">IF($T360="","",IF($U360&lt;=BankCostEnvelope*'5. Scenarios'!$E$7,1,0))</f>
        <v/>
      </c>
      <c r="W360" s="57" t="str">
        <f aca="false">IF($S360="","",INDEX(BookRate,355)*(1+'5. Scenarios'!$E$10)*(INDEX(BookQ1,355)*(5-MIN(4,1+'5. Scenarios'!$E$8))/4+INDEX(BookQ2,355)*(5-MIN(4,2+'5. Scenarios'!$E$8))/4+INDEX(BookQ3,355)*(5-MIN(4,3+'5. Scenarios'!$E$8))/4+INDEX(BookQ4,355)*(5-MIN(4,4+'5. Scenarios'!$E$8))/4)*'5. Scenarios'!$E$6/(1+ProductivityDefault*('5. Scenarios'!$E$11-1))+INDEX(BookOneOff,355)*$S360)</f>
        <v/>
      </c>
    </row>
    <row r="361" customFormat="false" ht="15" hidden="false" customHeight="false" outlineLevel="0" collapsed="false">
      <c r="A361" s="0" t="str">
        <f aca="false">IF(INDEX(BookTitle,356)="","",INDEX(BookKey,356))</f>
        <v/>
      </c>
      <c r="B361" s="0" t="str">
        <f aca="false">IF(INDEX(BookTitle,356)="","",INDEX(BookGroup,356))</f>
        <v/>
      </c>
      <c r="C361" s="0" t="str">
        <f aca="false">IF(INDEX(BookTitle,356)="","",INDEX(BookCategory,356))</f>
        <v/>
      </c>
      <c r="D361" s="56" t="str">
        <f aca="false">IF(INDEX(BookTitle,356)="","",INDEX(BookTotal,356)*'5. Scenarios'!$B$6/(1+ProductivityDefault*('5. Scenarios'!$B$11-1)))</f>
        <v/>
      </c>
      <c r="E361" s="57" t="str">
        <f aca="false">IF($D361="","",INDEX(BookRate,356)*(1+'5. Scenarios'!$B$10)*$D361)</f>
        <v/>
      </c>
      <c r="F361" s="57" t="str">
        <f aca="false">IF($E361="","",SUMIFS($E$6:$E$2405,$A$6:$A$2405,"&lt;="&amp;$A361))</f>
        <v/>
      </c>
      <c r="G361" s="57" t="str">
        <f aca="false">IF($E361="","",IF($F361&lt;=BankCostEnvelope*'5. Scenarios'!$B$7,1,0))</f>
        <v/>
      </c>
      <c r="H361" s="57" t="str">
        <f aca="false">IF($D361="","",INDEX(BookRate,356)*(1+'5. Scenarios'!$B$10)*(INDEX(BookQ1,356)*(5-MIN(4,1+'5. Scenarios'!$B$8))/4+INDEX(BookQ2,356)*(5-MIN(4,2+'5. Scenarios'!$B$8))/4+INDEX(BookQ3,356)*(5-MIN(4,3+'5. Scenarios'!$B$8))/4+INDEX(BookQ4,356)*(5-MIN(4,4+'5. Scenarios'!$B$8))/4)*'5. Scenarios'!$B$6/(1+ProductivityDefault*('5. Scenarios'!$B$11-1))+INDEX(BookOneOff,356)*$D361)</f>
        <v/>
      </c>
      <c r="I361" s="56" t="str">
        <f aca="false">IF(INDEX(BookTitle,356)="","",INDEX(BookTotal,356)*'5. Scenarios'!$C$6/(1+ProductivityDefault*('5. Scenarios'!$C$11-1)))</f>
        <v/>
      </c>
      <c r="J361" s="57" t="str">
        <f aca="false">IF($I361="","",INDEX(BookRate,356)*(1+'5. Scenarios'!$C$10)*$I361)</f>
        <v/>
      </c>
      <c r="K361" s="57" t="str">
        <f aca="false">IF($J361="","",SUMIFS($J$6:$J$2405,$A$6:$A$2405,"&lt;="&amp;$A361))</f>
        <v/>
      </c>
      <c r="L361" s="57" t="str">
        <f aca="false">IF($J361="","",IF($K361&lt;=BankCostEnvelope*'5. Scenarios'!$C$7,1,0))</f>
        <v/>
      </c>
      <c r="M361" s="57" t="str">
        <f aca="false">IF($I361="","",INDEX(BookRate,356)*(1+'5. Scenarios'!$C$10)*(INDEX(BookQ1,356)*(5-MIN(4,1+'5. Scenarios'!$C$8))/4+INDEX(BookQ2,356)*(5-MIN(4,2+'5. Scenarios'!$C$8))/4+INDEX(BookQ3,356)*(5-MIN(4,3+'5. Scenarios'!$C$8))/4+INDEX(BookQ4,356)*(5-MIN(4,4+'5. Scenarios'!$C$8))/4)*'5. Scenarios'!$C$6/(1+ProductivityDefault*('5. Scenarios'!$C$11-1))+INDEX(BookOneOff,356)*$I361)</f>
        <v/>
      </c>
      <c r="N361" s="56" t="str">
        <f aca="false">IF(INDEX(BookTitle,356)="","",INDEX(BookTotal,356)*'5. Scenarios'!$D$6/(1+ProductivityDefault*('5. Scenarios'!$D$11-1)))</f>
        <v/>
      </c>
      <c r="O361" s="57" t="str">
        <f aca="false">IF($N361="","",INDEX(BookRate,356)*(1+'5. Scenarios'!$D$10)*$N361)</f>
        <v/>
      </c>
      <c r="P361" s="57" t="str">
        <f aca="false">IF($O361="","",SUMIFS($O$6:$O$2405,$A$6:$A$2405,"&lt;="&amp;$A361))</f>
        <v/>
      </c>
      <c r="Q361" s="57" t="str">
        <f aca="false">IF($O361="","",IF($P361&lt;=BankCostEnvelope*'5. Scenarios'!$D$7,1,0))</f>
        <v/>
      </c>
      <c r="R361" s="57" t="str">
        <f aca="false">IF($N361="","",INDEX(BookRate,356)*(1+'5. Scenarios'!$D$10)*(INDEX(BookQ1,356)*(5-MIN(4,1+'5. Scenarios'!$D$8))/4+INDEX(BookQ2,356)*(5-MIN(4,2+'5. Scenarios'!$D$8))/4+INDEX(BookQ3,356)*(5-MIN(4,3+'5. Scenarios'!$D$8))/4+INDEX(BookQ4,356)*(5-MIN(4,4+'5. Scenarios'!$D$8))/4)*'5. Scenarios'!$D$6/(1+ProductivityDefault*('5. Scenarios'!$D$11-1))+INDEX(BookOneOff,356)*$N361)</f>
        <v/>
      </c>
      <c r="S361" s="56" t="str">
        <f aca="false">IF(INDEX(BookTitle,356)="","",INDEX(BookTotal,356)*'5. Scenarios'!$E$6/(1+ProductivityDefault*('5. Scenarios'!$E$11-1)))</f>
        <v/>
      </c>
      <c r="T361" s="57" t="str">
        <f aca="false">IF($S361="","",INDEX(BookRate,356)*(1+'5. Scenarios'!$E$10)*$S361)</f>
        <v/>
      </c>
      <c r="U361" s="57" t="str">
        <f aca="false">IF($T361="","",SUMIFS($T$6:$T$2405,$A$6:$A$2405,"&lt;="&amp;$A361))</f>
        <v/>
      </c>
      <c r="V361" s="57" t="str">
        <f aca="false">IF($T361="","",IF($U361&lt;=BankCostEnvelope*'5. Scenarios'!$E$7,1,0))</f>
        <v/>
      </c>
      <c r="W361" s="57" t="str">
        <f aca="false">IF($S361="","",INDEX(BookRate,356)*(1+'5. Scenarios'!$E$10)*(INDEX(BookQ1,356)*(5-MIN(4,1+'5. Scenarios'!$E$8))/4+INDEX(BookQ2,356)*(5-MIN(4,2+'5. Scenarios'!$E$8))/4+INDEX(BookQ3,356)*(5-MIN(4,3+'5. Scenarios'!$E$8))/4+INDEX(BookQ4,356)*(5-MIN(4,4+'5. Scenarios'!$E$8))/4)*'5. Scenarios'!$E$6/(1+ProductivityDefault*('5. Scenarios'!$E$11-1))+INDEX(BookOneOff,356)*$S361)</f>
        <v/>
      </c>
    </row>
    <row r="362" customFormat="false" ht="15" hidden="false" customHeight="false" outlineLevel="0" collapsed="false">
      <c r="A362" s="0" t="str">
        <f aca="false">IF(INDEX(BookTitle,357)="","",INDEX(BookKey,357))</f>
        <v/>
      </c>
      <c r="B362" s="0" t="str">
        <f aca="false">IF(INDEX(BookTitle,357)="","",INDEX(BookGroup,357))</f>
        <v/>
      </c>
      <c r="C362" s="0" t="str">
        <f aca="false">IF(INDEX(BookTitle,357)="","",INDEX(BookCategory,357))</f>
        <v/>
      </c>
      <c r="D362" s="56" t="str">
        <f aca="false">IF(INDEX(BookTitle,357)="","",INDEX(BookTotal,357)*'5. Scenarios'!$B$6/(1+ProductivityDefault*('5. Scenarios'!$B$11-1)))</f>
        <v/>
      </c>
      <c r="E362" s="57" t="str">
        <f aca="false">IF($D362="","",INDEX(BookRate,357)*(1+'5. Scenarios'!$B$10)*$D362)</f>
        <v/>
      </c>
      <c r="F362" s="57" t="str">
        <f aca="false">IF($E362="","",SUMIFS($E$6:$E$2405,$A$6:$A$2405,"&lt;="&amp;$A362))</f>
        <v/>
      </c>
      <c r="G362" s="57" t="str">
        <f aca="false">IF($E362="","",IF($F362&lt;=BankCostEnvelope*'5. Scenarios'!$B$7,1,0))</f>
        <v/>
      </c>
      <c r="H362" s="57" t="str">
        <f aca="false">IF($D362="","",INDEX(BookRate,357)*(1+'5. Scenarios'!$B$10)*(INDEX(BookQ1,357)*(5-MIN(4,1+'5. Scenarios'!$B$8))/4+INDEX(BookQ2,357)*(5-MIN(4,2+'5. Scenarios'!$B$8))/4+INDEX(BookQ3,357)*(5-MIN(4,3+'5. Scenarios'!$B$8))/4+INDEX(BookQ4,357)*(5-MIN(4,4+'5. Scenarios'!$B$8))/4)*'5. Scenarios'!$B$6/(1+ProductivityDefault*('5. Scenarios'!$B$11-1))+INDEX(BookOneOff,357)*$D362)</f>
        <v/>
      </c>
      <c r="I362" s="56" t="str">
        <f aca="false">IF(INDEX(BookTitle,357)="","",INDEX(BookTotal,357)*'5. Scenarios'!$C$6/(1+ProductivityDefault*('5. Scenarios'!$C$11-1)))</f>
        <v/>
      </c>
      <c r="J362" s="57" t="str">
        <f aca="false">IF($I362="","",INDEX(BookRate,357)*(1+'5. Scenarios'!$C$10)*$I362)</f>
        <v/>
      </c>
      <c r="K362" s="57" t="str">
        <f aca="false">IF($J362="","",SUMIFS($J$6:$J$2405,$A$6:$A$2405,"&lt;="&amp;$A362))</f>
        <v/>
      </c>
      <c r="L362" s="57" t="str">
        <f aca="false">IF($J362="","",IF($K362&lt;=BankCostEnvelope*'5. Scenarios'!$C$7,1,0))</f>
        <v/>
      </c>
      <c r="M362" s="57" t="str">
        <f aca="false">IF($I362="","",INDEX(BookRate,357)*(1+'5. Scenarios'!$C$10)*(INDEX(BookQ1,357)*(5-MIN(4,1+'5. Scenarios'!$C$8))/4+INDEX(BookQ2,357)*(5-MIN(4,2+'5. Scenarios'!$C$8))/4+INDEX(BookQ3,357)*(5-MIN(4,3+'5. Scenarios'!$C$8))/4+INDEX(BookQ4,357)*(5-MIN(4,4+'5. Scenarios'!$C$8))/4)*'5. Scenarios'!$C$6/(1+ProductivityDefault*('5. Scenarios'!$C$11-1))+INDEX(BookOneOff,357)*$I362)</f>
        <v/>
      </c>
      <c r="N362" s="56" t="str">
        <f aca="false">IF(INDEX(BookTitle,357)="","",INDEX(BookTotal,357)*'5. Scenarios'!$D$6/(1+ProductivityDefault*('5. Scenarios'!$D$11-1)))</f>
        <v/>
      </c>
      <c r="O362" s="57" t="str">
        <f aca="false">IF($N362="","",INDEX(BookRate,357)*(1+'5. Scenarios'!$D$10)*$N362)</f>
        <v/>
      </c>
      <c r="P362" s="57" t="str">
        <f aca="false">IF($O362="","",SUMIFS($O$6:$O$2405,$A$6:$A$2405,"&lt;="&amp;$A362))</f>
        <v/>
      </c>
      <c r="Q362" s="57" t="str">
        <f aca="false">IF($O362="","",IF($P362&lt;=BankCostEnvelope*'5. Scenarios'!$D$7,1,0))</f>
        <v/>
      </c>
      <c r="R362" s="57" t="str">
        <f aca="false">IF($N362="","",INDEX(BookRate,357)*(1+'5. Scenarios'!$D$10)*(INDEX(BookQ1,357)*(5-MIN(4,1+'5. Scenarios'!$D$8))/4+INDEX(BookQ2,357)*(5-MIN(4,2+'5. Scenarios'!$D$8))/4+INDEX(BookQ3,357)*(5-MIN(4,3+'5. Scenarios'!$D$8))/4+INDEX(BookQ4,357)*(5-MIN(4,4+'5. Scenarios'!$D$8))/4)*'5. Scenarios'!$D$6/(1+ProductivityDefault*('5. Scenarios'!$D$11-1))+INDEX(BookOneOff,357)*$N362)</f>
        <v/>
      </c>
      <c r="S362" s="56" t="str">
        <f aca="false">IF(INDEX(BookTitle,357)="","",INDEX(BookTotal,357)*'5. Scenarios'!$E$6/(1+ProductivityDefault*('5. Scenarios'!$E$11-1)))</f>
        <v/>
      </c>
      <c r="T362" s="57" t="str">
        <f aca="false">IF($S362="","",INDEX(BookRate,357)*(1+'5. Scenarios'!$E$10)*$S362)</f>
        <v/>
      </c>
      <c r="U362" s="57" t="str">
        <f aca="false">IF($T362="","",SUMIFS($T$6:$T$2405,$A$6:$A$2405,"&lt;="&amp;$A362))</f>
        <v/>
      </c>
      <c r="V362" s="57" t="str">
        <f aca="false">IF($T362="","",IF($U362&lt;=BankCostEnvelope*'5. Scenarios'!$E$7,1,0))</f>
        <v/>
      </c>
      <c r="W362" s="57" t="str">
        <f aca="false">IF($S362="","",INDEX(BookRate,357)*(1+'5. Scenarios'!$E$10)*(INDEX(BookQ1,357)*(5-MIN(4,1+'5. Scenarios'!$E$8))/4+INDEX(BookQ2,357)*(5-MIN(4,2+'5. Scenarios'!$E$8))/4+INDEX(BookQ3,357)*(5-MIN(4,3+'5. Scenarios'!$E$8))/4+INDEX(BookQ4,357)*(5-MIN(4,4+'5. Scenarios'!$E$8))/4)*'5. Scenarios'!$E$6/(1+ProductivityDefault*('5. Scenarios'!$E$11-1))+INDEX(BookOneOff,357)*$S362)</f>
        <v/>
      </c>
    </row>
    <row r="363" customFormat="false" ht="15" hidden="false" customHeight="false" outlineLevel="0" collapsed="false">
      <c r="A363" s="0" t="str">
        <f aca="false">IF(INDEX(BookTitle,358)="","",INDEX(BookKey,358))</f>
        <v/>
      </c>
      <c r="B363" s="0" t="str">
        <f aca="false">IF(INDEX(BookTitle,358)="","",INDEX(BookGroup,358))</f>
        <v/>
      </c>
      <c r="C363" s="0" t="str">
        <f aca="false">IF(INDEX(BookTitle,358)="","",INDEX(BookCategory,358))</f>
        <v/>
      </c>
      <c r="D363" s="56" t="str">
        <f aca="false">IF(INDEX(BookTitle,358)="","",INDEX(BookTotal,358)*'5. Scenarios'!$B$6/(1+ProductivityDefault*('5. Scenarios'!$B$11-1)))</f>
        <v/>
      </c>
      <c r="E363" s="57" t="str">
        <f aca="false">IF($D363="","",INDEX(BookRate,358)*(1+'5. Scenarios'!$B$10)*$D363)</f>
        <v/>
      </c>
      <c r="F363" s="57" t="str">
        <f aca="false">IF($E363="","",SUMIFS($E$6:$E$2405,$A$6:$A$2405,"&lt;="&amp;$A363))</f>
        <v/>
      </c>
      <c r="G363" s="57" t="str">
        <f aca="false">IF($E363="","",IF($F363&lt;=BankCostEnvelope*'5. Scenarios'!$B$7,1,0))</f>
        <v/>
      </c>
      <c r="H363" s="57" t="str">
        <f aca="false">IF($D363="","",INDEX(BookRate,358)*(1+'5. Scenarios'!$B$10)*(INDEX(BookQ1,358)*(5-MIN(4,1+'5. Scenarios'!$B$8))/4+INDEX(BookQ2,358)*(5-MIN(4,2+'5. Scenarios'!$B$8))/4+INDEX(BookQ3,358)*(5-MIN(4,3+'5. Scenarios'!$B$8))/4+INDEX(BookQ4,358)*(5-MIN(4,4+'5. Scenarios'!$B$8))/4)*'5. Scenarios'!$B$6/(1+ProductivityDefault*('5. Scenarios'!$B$11-1))+INDEX(BookOneOff,358)*$D363)</f>
        <v/>
      </c>
      <c r="I363" s="56" t="str">
        <f aca="false">IF(INDEX(BookTitle,358)="","",INDEX(BookTotal,358)*'5. Scenarios'!$C$6/(1+ProductivityDefault*('5. Scenarios'!$C$11-1)))</f>
        <v/>
      </c>
      <c r="J363" s="57" t="str">
        <f aca="false">IF($I363="","",INDEX(BookRate,358)*(1+'5. Scenarios'!$C$10)*$I363)</f>
        <v/>
      </c>
      <c r="K363" s="57" t="str">
        <f aca="false">IF($J363="","",SUMIFS($J$6:$J$2405,$A$6:$A$2405,"&lt;="&amp;$A363))</f>
        <v/>
      </c>
      <c r="L363" s="57" t="str">
        <f aca="false">IF($J363="","",IF($K363&lt;=BankCostEnvelope*'5. Scenarios'!$C$7,1,0))</f>
        <v/>
      </c>
      <c r="M363" s="57" t="str">
        <f aca="false">IF($I363="","",INDEX(BookRate,358)*(1+'5. Scenarios'!$C$10)*(INDEX(BookQ1,358)*(5-MIN(4,1+'5. Scenarios'!$C$8))/4+INDEX(BookQ2,358)*(5-MIN(4,2+'5. Scenarios'!$C$8))/4+INDEX(BookQ3,358)*(5-MIN(4,3+'5. Scenarios'!$C$8))/4+INDEX(BookQ4,358)*(5-MIN(4,4+'5. Scenarios'!$C$8))/4)*'5. Scenarios'!$C$6/(1+ProductivityDefault*('5. Scenarios'!$C$11-1))+INDEX(BookOneOff,358)*$I363)</f>
        <v/>
      </c>
      <c r="N363" s="56" t="str">
        <f aca="false">IF(INDEX(BookTitle,358)="","",INDEX(BookTotal,358)*'5. Scenarios'!$D$6/(1+ProductivityDefault*('5. Scenarios'!$D$11-1)))</f>
        <v/>
      </c>
      <c r="O363" s="57" t="str">
        <f aca="false">IF($N363="","",INDEX(BookRate,358)*(1+'5. Scenarios'!$D$10)*$N363)</f>
        <v/>
      </c>
      <c r="P363" s="57" t="str">
        <f aca="false">IF($O363="","",SUMIFS($O$6:$O$2405,$A$6:$A$2405,"&lt;="&amp;$A363))</f>
        <v/>
      </c>
      <c r="Q363" s="57" t="str">
        <f aca="false">IF($O363="","",IF($P363&lt;=BankCostEnvelope*'5. Scenarios'!$D$7,1,0))</f>
        <v/>
      </c>
      <c r="R363" s="57" t="str">
        <f aca="false">IF($N363="","",INDEX(BookRate,358)*(1+'5. Scenarios'!$D$10)*(INDEX(BookQ1,358)*(5-MIN(4,1+'5. Scenarios'!$D$8))/4+INDEX(BookQ2,358)*(5-MIN(4,2+'5. Scenarios'!$D$8))/4+INDEX(BookQ3,358)*(5-MIN(4,3+'5. Scenarios'!$D$8))/4+INDEX(BookQ4,358)*(5-MIN(4,4+'5. Scenarios'!$D$8))/4)*'5. Scenarios'!$D$6/(1+ProductivityDefault*('5. Scenarios'!$D$11-1))+INDEX(BookOneOff,358)*$N363)</f>
        <v/>
      </c>
      <c r="S363" s="56" t="str">
        <f aca="false">IF(INDEX(BookTitle,358)="","",INDEX(BookTotal,358)*'5. Scenarios'!$E$6/(1+ProductivityDefault*('5. Scenarios'!$E$11-1)))</f>
        <v/>
      </c>
      <c r="T363" s="57" t="str">
        <f aca="false">IF($S363="","",INDEX(BookRate,358)*(1+'5. Scenarios'!$E$10)*$S363)</f>
        <v/>
      </c>
      <c r="U363" s="57" t="str">
        <f aca="false">IF($T363="","",SUMIFS($T$6:$T$2405,$A$6:$A$2405,"&lt;="&amp;$A363))</f>
        <v/>
      </c>
      <c r="V363" s="57" t="str">
        <f aca="false">IF($T363="","",IF($U363&lt;=BankCostEnvelope*'5. Scenarios'!$E$7,1,0))</f>
        <v/>
      </c>
      <c r="W363" s="57" t="str">
        <f aca="false">IF($S363="","",INDEX(BookRate,358)*(1+'5. Scenarios'!$E$10)*(INDEX(BookQ1,358)*(5-MIN(4,1+'5. Scenarios'!$E$8))/4+INDEX(BookQ2,358)*(5-MIN(4,2+'5. Scenarios'!$E$8))/4+INDEX(BookQ3,358)*(5-MIN(4,3+'5. Scenarios'!$E$8))/4+INDEX(BookQ4,358)*(5-MIN(4,4+'5. Scenarios'!$E$8))/4)*'5. Scenarios'!$E$6/(1+ProductivityDefault*('5. Scenarios'!$E$11-1))+INDEX(BookOneOff,358)*$S363)</f>
        <v/>
      </c>
    </row>
    <row r="364" customFormat="false" ht="15" hidden="false" customHeight="false" outlineLevel="0" collapsed="false">
      <c r="A364" s="0" t="str">
        <f aca="false">IF(INDEX(BookTitle,359)="","",INDEX(BookKey,359))</f>
        <v/>
      </c>
      <c r="B364" s="0" t="str">
        <f aca="false">IF(INDEX(BookTitle,359)="","",INDEX(BookGroup,359))</f>
        <v/>
      </c>
      <c r="C364" s="0" t="str">
        <f aca="false">IF(INDEX(BookTitle,359)="","",INDEX(BookCategory,359))</f>
        <v/>
      </c>
      <c r="D364" s="56" t="str">
        <f aca="false">IF(INDEX(BookTitle,359)="","",INDEX(BookTotal,359)*'5. Scenarios'!$B$6/(1+ProductivityDefault*('5. Scenarios'!$B$11-1)))</f>
        <v/>
      </c>
      <c r="E364" s="57" t="str">
        <f aca="false">IF($D364="","",INDEX(BookRate,359)*(1+'5. Scenarios'!$B$10)*$D364)</f>
        <v/>
      </c>
      <c r="F364" s="57" t="str">
        <f aca="false">IF($E364="","",SUMIFS($E$6:$E$2405,$A$6:$A$2405,"&lt;="&amp;$A364))</f>
        <v/>
      </c>
      <c r="G364" s="57" t="str">
        <f aca="false">IF($E364="","",IF($F364&lt;=BankCostEnvelope*'5. Scenarios'!$B$7,1,0))</f>
        <v/>
      </c>
      <c r="H364" s="57" t="str">
        <f aca="false">IF($D364="","",INDEX(BookRate,359)*(1+'5. Scenarios'!$B$10)*(INDEX(BookQ1,359)*(5-MIN(4,1+'5. Scenarios'!$B$8))/4+INDEX(BookQ2,359)*(5-MIN(4,2+'5. Scenarios'!$B$8))/4+INDEX(BookQ3,359)*(5-MIN(4,3+'5. Scenarios'!$B$8))/4+INDEX(BookQ4,359)*(5-MIN(4,4+'5. Scenarios'!$B$8))/4)*'5. Scenarios'!$B$6/(1+ProductivityDefault*('5. Scenarios'!$B$11-1))+INDEX(BookOneOff,359)*$D364)</f>
        <v/>
      </c>
      <c r="I364" s="56" t="str">
        <f aca="false">IF(INDEX(BookTitle,359)="","",INDEX(BookTotal,359)*'5. Scenarios'!$C$6/(1+ProductivityDefault*('5. Scenarios'!$C$11-1)))</f>
        <v/>
      </c>
      <c r="J364" s="57" t="str">
        <f aca="false">IF($I364="","",INDEX(BookRate,359)*(1+'5. Scenarios'!$C$10)*$I364)</f>
        <v/>
      </c>
      <c r="K364" s="57" t="str">
        <f aca="false">IF($J364="","",SUMIFS($J$6:$J$2405,$A$6:$A$2405,"&lt;="&amp;$A364))</f>
        <v/>
      </c>
      <c r="L364" s="57" t="str">
        <f aca="false">IF($J364="","",IF($K364&lt;=BankCostEnvelope*'5. Scenarios'!$C$7,1,0))</f>
        <v/>
      </c>
      <c r="M364" s="57" t="str">
        <f aca="false">IF($I364="","",INDEX(BookRate,359)*(1+'5. Scenarios'!$C$10)*(INDEX(BookQ1,359)*(5-MIN(4,1+'5. Scenarios'!$C$8))/4+INDEX(BookQ2,359)*(5-MIN(4,2+'5. Scenarios'!$C$8))/4+INDEX(BookQ3,359)*(5-MIN(4,3+'5. Scenarios'!$C$8))/4+INDEX(BookQ4,359)*(5-MIN(4,4+'5. Scenarios'!$C$8))/4)*'5. Scenarios'!$C$6/(1+ProductivityDefault*('5. Scenarios'!$C$11-1))+INDEX(BookOneOff,359)*$I364)</f>
        <v/>
      </c>
      <c r="N364" s="56" t="str">
        <f aca="false">IF(INDEX(BookTitle,359)="","",INDEX(BookTotal,359)*'5. Scenarios'!$D$6/(1+ProductivityDefault*('5. Scenarios'!$D$11-1)))</f>
        <v/>
      </c>
      <c r="O364" s="57" t="str">
        <f aca="false">IF($N364="","",INDEX(BookRate,359)*(1+'5. Scenarios'!$D$10)*$N364)</f>
        <v/>
      </c>
      <c r="P364" s="57" t="str">
        <f aca="false">IF($O364="","",SUMIFS($O$6:$O$2405,$A$6:$A$2405,"&lt;="&amp;$A364))</f>
        <v/>
      </c>
      <c r="Q364" s="57" t="str">
        <f aca="false">IF($O364="","",IF($P364&lt;=BankCostEnvelope*'5. Scenarios'!$D$7,1,0))</f>
        <v/>
      </c>
      <c r="R364" s="57" t="str">
        <f aca="false">IF($N364="","",INDEX(BookRate,359)*(1+'5. Scenarios'!$D$10)*(INDEX(BookQ1,359)*(5-MIN(4,1+'5. Scenarios'!$D$8))/4+INDEX(BookQ2,359)*(5-MIN(4,2+'5. Scenarios'!$D$8))/4+INDEX(BookQ3,359)*(5-MIN(4,3+'5. Scenarios'!$D$8))/4+INDEX(BookQ4,359)*(5-MIN(4,4+'5. Scenarios'!$D$8))/4)*'5. Scenarios'!$D$6/(1+ProductivityDefault*('5. Scenarios'!$D$11-1))+INDEX(BookOneOff,359)*$N364)</f>
        <v/>
      </c>
      <c r="S364" s="56" t="str">
        <f aca="false">IF(INDEX(BookTitle,359)="","",INDEX(BookTotal,359)*'5. Scenarios'!$E$6/(1+ProductivityDefault*('5. Scenarios'!$E$11-1)))</f>
        <v/>
      </c>
      <c r="T364" s="57" t="str">
        <f aca="false">IF($S364="","",INDEX(BookRate,359)*(1+'5. Scenarios'!$E$10)*$S364)</f>
        <v/>
      </c>
      <c r="U364" s="57" t="str">
        <f aca="false">IF($T364="","",SUMIFS($T$6:$T$2405,$A$6:$A$2405,"&lt;="&amp;$A364))</f>
        <v/>
      </c>
      <c r="V364" s="57" t="str">
        <f aca="false">IF($T364="","",IF($U364&lt;=BankCostEnvelope*'5. Scenarios'!$E$7,1,0))</f>
        <v/>
      </c>
      <c r="W364" s="57" t="str">
        <f aca="false">IF($S364="","",INDEX(BookRate,359)*(1+'5. Scenarios'!$E$10)*(INDEX(BookQ1,359)*(5-MIN(4,1+'5. Scenarios'!$E$8))/4+INDEX(BookQ2,359)*(5-MIN(4,2+'5. Scenarios'!$E$8))/4+INDEX(BookQ3,359)*(5-MIN(4,3+'5. Scenarios'!$E$8))/4+INDEX(BookQ4,359)*(5-MIN(4,4+'5. Scenarios'!$E$8))/4)*'5. Scenarios'!$E$6/(1+ProductivityDefault*('5. Scenarios'!$E$11-1))+INDEX(BookOneOff,359)*$S364)</f>
        <v/>
      </c>
    </row>
    <row r="365" customFormat="false" ht="15" hidden="false" customHeight="false" outlineLevel="0" collapsed="false">
      <c r="A365" s="0" t="str">
        <f aca="false">IF(INDEX(BookTitle,360)="","",INDEX(BookKey,360))</f>
        <v/>
      </c>
      <c r="B365" s="0" t="str">
        <f aca="false">IF(INDEX(BookTitle,360)="","",INDEX(BookGroup,360))</f>
        <v/>
      </c>
      <c r="C365" s="0" t="str">
        <f aca="false">IF(INDEX(BookTitle,360)="","",INDEX(BookCategory,360))</f>
        <v/>
      </c>
      <c r="D365" s="56" t="str">
        <f aca="false">IF(INDEX(BookTitle,360)="","",INDEX(BookTotal,360)*'5. Scenarios'!$B$6/(1+ProductivityDefault*('5. Scenarios'!$B$11-1)))</f>
        <v/>
      </c>
      <c r="E365" s="57" t="str">
        <f aca="false">IF($D365="","",INDEX(BookRate,360)*(1+'5. Scenarios'!$B$10)*$D365)</f>
        <v/>
      </c>
      <c r="F365" s="57" t="str">
        <f aca="false">IF($E365="","",SUMIFS($E$6:$E$2405,$A$6:$A$2405,"&lt;="&amp;$A365))</f>
        <v/>
      </c>
      <c r="G365" s="57" t="str">
        <f aca="false">IF($E365="","",IF($F365&lt;=BankCostEnvelope*'5. Scenarios'!$B$7,1,0))</f>
        <v/>
      </c>
      <c r="H365" s="57" t="str">
        <f aca="false">IF($D365="","",INDEX(BookRate,360)*(1+'5. Scenarios'!$B$10)*(INDEX(BookQ1,360)*(5-MIN(4,1+'5. Scenarios'!$B$8))/4+INDEX(BookQ2,360)*(5-MIN(4,2+'5. Scenarios'!$B$8))/4+INDEX(BookQ3,360)*(5-MIN(4,3+'5. Scenarios'!$B$8))/4+INDEX(BookQ4,360)*(5-MIN(4,4+'5. Scenarios'!$B$8))/4)*'5. Scenarios'!$B$6/(1+ProductivityDefault*('5. Scenarios'!$B$11-1))+INDEX(BookOneOff,360)*$D365)</f>
        <v/>
      </c>
      <c r="I365" s="56" t="str">
        <f aca="false">IF(INDEX(BookTitle,360)="","",INDEX(BookTotal,360)*'5. Scenarios'!$C$6/(1+ProductivityDefault*('5. Scenarios'!$C$11-1)))</f>
        <v/>
      </c>
      <c r="J365" s="57" t="str">
        <f aca="false">IF($I365="","",INDEX(BookRate,360)*(1+'5. Scenarios'!$C$10)*$I365)</f>
        <v/>
      </c>
      <c r="K365" s="57" t="str">
        <f aca="false">IF($J365="","",SUMIFS($J$6:$J$2405,$A$6:$A$2405,"&lt;="&amp;$A365))</f>
        <v/>
      </c>
      <c r="L365" s="57" t="str">
        <f aca="false">IF($J365="","",IF($K365&lt;=BankCostEnvelope*'5. Scenarios'!$C$7,1,0))</f>
        <v/>
      </c>
      <c r="M365" s="57" t="str">
        <f aca="false">IF($I365="","",INDEX(BookRate,360)*(1+'5. Scenarios'!$C$10)*(INDEX(BookQ1,360)*(5-MIN(4,1+'5. Scenarios'!$C$8))/4+INDEX(BookQ2,360)*(5-MIN(4,2+'5. Scenarios'!$C$8))/4+INDEX(BookQ3,360)*(5-MIN(4,3+'5. Scenarios'!$C$8))/4+INDEX(BookQ4,360)*(5-MIN(4,4+'5. Scenarios'!$C$8))/4)*'5. Scenarios'!$C$6/(1+ProductivityDefault*('5. Scenarios'!$C$11-1))+INDEX(BookOneOff,360)*$I365)</f>
        <v/>
      </c>
      <c r="N365" s="56" t="str">
        <f aca="false">IF(INDEX(BookTitle,360)="","",INDEX(BookTotal,360)*'5. Scenarios'!$D$6/(1+ProductivityDefault*('5. Scenarios'!$D$11-1)))</f>
        <v/>
      </c>
      <c r="O365" s="57" t="str">
        <f aca="false">IF($N365="","",INDEX(BookRate,360)*(1+'5. Scenarios'!$D$10)*$N365)</f>
        <v/>
      </c>
      <c r="P365" s="57" t="str">
        <f aca="false">IF($O365="","",SUMIFS($O$6:$O$2405,$A$6:$A$2405,"&lt;="&amp;$A365))</f>
        <v/>
      </c>
      <c r="Q365" s="57" t="str">
        <f aca="false">IF($O365="","",IF($P365&lt;=BankCostEnvelope*'5. Scenarios'!$D$7,1,0))</f>
        <v/>
      </c>
      <c r="R365" s="57" t="str">
        <f aca="false">IF($N365="","",INDEX(BookRate,360)*(1+'5. Scenarios'!$D$10)*(INDEX(BookQ1,360)*(5-MIN(4,1+'5. Scenarios'!$D$8))/4+INDEX(BookQ2,360)*(5-MIN(4,2+'5. Scenarios'!$D$8))/4+INDEX(BookQ3,360)*(5-MIN(4,3+'5. Scenarios'!$D$8))/4+INDEX(BookQ4,360)*(5-MIN(4,4+'5. Scenarios'!$D$8))/4)*'5. Scenarios'!$D$6/(1+ProductivityDefault*('5. Scenarios'!$D$11-1))+INDEX(BookOneOff,360)*$N365)</f>
        <v/>
      </c>
      <c r="S365" s="56" t="str">
        <f aca="false">IF(INDEX(BookTitle,360)="","",INDEX(BookTotal,360)*'5. Scenarios'!$E$6/(1+ProductivityDefault*('5. Scenarios'!$E$11-1)))</f>
        <v/>
      </c>
      <c r="T365" s="57" t="str">
        <f aca="false">IF($S365="","",INDEX(BookRate,360)*(1+'5. Scenarios'!$E$10)*$S365)</f>
        <v/>
      </c>
      <c r="U365" s="57" t="str">
        <f aca="false">IF($T365="","",SUMIFS($T$6:$T$2405,$A$6:$A$2405,"&lt;="&amp;$A365))</f>
        <v/>
      </c>
      <c r="V365" s="57" t="str">
        <f aca="false">IF($T365="","",IF($U365&lt;=BankCostEnvelope*'5. Scenarios'!$E$7,1,0))</f>
        <v/>
      </c>
      <c r="W365" s="57" t="str">
        <f aca="false">IF($S365="","",INDEX(BookRate,360)*(1+'5. Scenarios'!$E$10)*(INDEX(BookQ1,360)*(5-MIN(4,1+'5. Scenarios'!$E$8))/4+INDEX(BookQ2,360)*(5-MIN(4,2+'5. Scenarios'!$E$8))/4+INDEX(BookQ3,360)*(5-MIN(4,3+'5. Scenarios'!$E$8))/4+INDEX(BookQ4,360)*(5-MIN(4,4+'5. Scenarios'!$E$8))/4)*'5. Scenarios'!$E$6/(1+ProductivityDefault*('5. Scenarios'!$E$11-1))+INDEX(BookOneOff,360)*$S365)</f>
        <v/>
      </c>
    </row>
    <row r="366" customFormat="false" ht="15" hidden="false" customHeight="false" outlineLevel="0" collapsed="false">
      <c r="A366" s="0" t="str">
        <f aca="false">IF(INDEX(BookTitle,361)="","",INDEX(BookKey,361))</f>
        <v/>
      </c>
      <c r="B366" s="0" t="str">
        <f aca="false">IF(INDEX(BookTitle,361)="","",INDEX(BookGroup,361))</f>
        <v/>
      </c>
      <c r="C366" s="0" t="str">
        <f aca="false">IF(INDEX(BookTitle,361)="","",INDEX(BookCategory,361))</f>
        <v/>
      </c>
      <c r="D366" s="56" t="str">
        <f aca="false">IF(INDEX(BookTitle,361)="","",INDEX(BookTotal,361)*'5. Scenarios'!$B$6/(1+ProductivityDefault*('5. Scenarios'!$B$11-1)))</f>
        <v/>
      </c>
      <c r="E366" s="57" t="str">
        <f aca="false">IF($D366="","",INDEX(BookRate,361)*(1+'5. Scenarios'!$B$10)*$D366)</f>
        <v/>
      </c>
      <c r="F366" s="57" t="str">
        <f aca="false">IF($E366="","",SUMIFS($E$6:$E$2405,$A$6:$A$2405,"&lt;="&amp;$A366))</f>
        <v/>
      </c>
      <c r="G366" s="57" t="str">
        <f aca="false">IF($E366="","",IF($F366&lt;=BankCostEnvelope*'5. Scenarios'!$B$7,1,0))</f>
        <v/>
      </c>
      <c r="H366" s="57" t="str">
        <f aca="false">IF($D366="","",INDEX(BookRate,361)*(1+'5. Scenarios'!$B$10)*(INDEX(BookQ1,361)*(5-MIN(4,1+'5. Scenarios'!$B$8))/4+INDEX(BookQ2,361)*(5-MIN(4,2+'5. Scenarios'!$B$8))/4+INDEX(BookQ3,361)*(5-MIN(4,3+'5. Scenarios'!$B$8))/4+INDEX(BookQ4,361)*(5-MIN(4,4+'5. Scenarios'!$B$8))/4)*'5. Scenarios'!$B$6/(1+ProductivityDefault*('5. Scenarios'!$B$11-1))+INDEX(BookOneOff,361)*$D366)</f>
        <v/>
      </c>
      <c r="I366" s="56" t="str">
        <f aca="false">IF(INDEX(BookTitle,361)="","",INDEX(BookTotal,361)*'5. Scenarios'!$C$6/(1+ProductivityDefault*('5. Scenarios'!$C$11-1)))</f>
        <v/>
      </c>
      <c r="J366" s="57" t="str">
        <f aca="false">IF($I366="","",INDEX(BookRate,361)*(1+'5. Scenarios'!$C$10)*$I366)</f>
        <v/>
      </c>
      <c r="K366" s="57" t="str">
        <f aca="false">IF($J366="","",SUMIFS($J$6:$J$2405,$A$6:$A$2405,"&lt;="&amp;$A366))</f>
        <v/>
      </c>
      <c r="L366" s="57" t="str">
        <f aca="false">IF($J366="","",IF($K366&lt;=BankCostEnvelope*'5. Scenarios'!$C$7,1,0))</f>
        <v/>
      </c>
      <c r="M366" s="57" t="str">
        <f aca="false">IF($I366="","",INDEX(BookRate,361)*(1+'5. Scenarios'!$C$10)*(INDEX(BookQ1,361)*(5-MIN(4,1+'5. Scenarios'!$C$8))/4+INDEX(BookQ2,361)*(5-MIN(4,2+'5. Scenarios'!$C$8))/4+INDEX(BookQ3,361)*(5-MIN(4,3+'5. Scenarios'!$C$8))/4+INDEX(BookQ4,361)*(5-MIN(4,4+'5. Scenarios'!$C$8))/4)*'5. Scenarios'!$C$6/(1+ProductivityDefault*('5. Scenarios'!$C$11-1))+INDEX(BookOneOff,361)*$I366)</f>
        <v/>
      </c>
      <c r="N366" s="56" t="str">
        <f aca="false">IF(INDEX(BookTitle,361)="","",INDEX(BookTotal,361)*'5. Scenarios'!$D$6/(1+ProductivityDefault*('5. Scenarios'!$D$11-1)))</f>
        <v/>
      </c>
      <c r="O366" s="57" t="str">
        <f aca="false">IF($N366="","",INDEX(BookRate,361)*(1+'5. Scenarios'!$D$10)*$N366)</f>
        <v/>
      </c>
      <c r="P366" s="57" t="str">
        <f aca="false">IF($O366="","",SUMIFS($O$6:$O$2405,$A$6:$A$2405,"&lt;="&amp;$A366))</f>
        <v/>
      </c>
      <c r="Q366" s="57" t="str">
        <f aca="false">IF($O366="","",IF($P366&lt;=BankCostEnvelope*'5. Scenarios'!$D$7,1,0))</f>
        <v/>
      </c>
      <c r="R366" s="57" t="str">
        <f aca="false">IF($N366="","",INDEX(BookRate,361)*(1+'5. Scenarios'!$D$10)*(INDEX(BookQ1,361)*(5-MIN(4,1+'5. Scenarios'!$D$8))/4+INDEX(BookQ2,361)*(5-MIN(4,2+'5. Scenarios'!$D$8))/4+INDEX(BookQ3,361)*(5-MIN(4,3+'5. Scenarios'!$D$8))/4+INDEX(BookQ4,361)*(5-MIN(4,4+'5. Scenarios'!$D$8))/4)*'5. Scenarios'!$D$6/(1+ProductivityDefault*('5. Scenarios'!$D$11-1))+INDEX(BookOneOff,361)*$N366)</f>
        <v/>
      </c>
      <c r="S366" s="56" t="str">
        <f aca="false">IF(INDEX(BookTitle,361)="","",INDEX(BookTotal,361)*'5. Scenarios'!$E$6/(1+ProductivityDefault*('5. Scenarios'!$E$11-1)))</f>
        <v/>
      </c>
      <c r="T366" s="57" t="str">
        <f aca="false">IF($S366="","",INDEX(BookRate,361)*(1+'5. Scenarios'!$E$10)*$S366)</f>
        <v/>
      </c>
      <c r="U366" s="57" t="str">
        <f aca="false">IF($T366="","",SUMIFS($T$6:$T$2405,$A$6:$A$2405,"&lt;="&amp;$A366))</f>
        <v/>
      </c>
      <c r="V366" s="57" t="str">
        <f aca="false">IF($T366="","",IF($U366&lt;=BankCostEnvelope*'5. Scenarios'!$E$7,1,0))</f>
        <v/>
      </c>
      <c r="W366" s="57" t="str">
        <f aca="false">IF($S366="","",INDEX(BookRate,361)*(1+'5. Scenarios'!$E$10)*(INDEX(BookQ1,361)*(5-MIN(4,1+'5. Scenarios'!$E$8))/4+INDEX(BookQ2,361)*(5-MIN(4,2+'5. Scenarios'!$E$8))/4+INDEX(BookQ3,361)*(5-MIN(4,3+'5. Scenarios'!$E$8))/4+INDEX(BookQ4,361)*(5-MIN(4,4+'5. Scenarios'!$E$8))/4)*'5. Scenarios'!$E$6/(1+ProductivityDefault*('5. Scenarios'!$E$11-1))+INDEX(BookOneOff,361)*$S366)</f>
        <v/>
      </c>
    </row>
    <row r="367" customFormat="false" ht="15" hidden="false" customHeight="false" outlineLevel="0" collapsed="false">
      <c r="A367" s="0" t="str">
        <f aca="false">IF(INDEX(BookTitle,362)="","",INDEX(BookKey,362))</f>
        <v/>
      </c>
      <c r="B367" s="0" t="str">
        <f aca="false">IF(INDEX(BookTitle,362)="","",INDEX(BookGroup,362))</f>
        <v/>
      </c>
      <c r="C367" s="0" t="str">
        <f aca="false">IF(INDEX(BookTitle,362)="","",INDEX(BookCategory,362))</f>
        <v/>
      </c>
      <c r="D367" s="56" t="str">
        <f aca="false">IF(INDEX(BookTitle,362)="","",INDEX(BookTotal,362)*'5. Scenarios'!$B$6/(1+ProductivityDefault*('5. Scenarios'!$B$11-1)))</f>
        <v/>
      </c>
      <c r="E367" s="57" t="str">
        <f aca="false">IF($D367="","",INDEX(BookRate,362)*(1+'5. Scenarios'!$B$10)*$D367)</f>
        <v/>
      </c>
      <c r="F367" s="57" t="str">
        <f aca="false">IF($E367="","",SUMIFS($E$6:$E$2405,$A$6:$A$2405,"&lt;="&amp;$A367))</f>
        <v/>
      </c>
      <c r="G367" s="57" t="str">
        <f aca="false">IF($E367="","",IF($F367&lt;=BankCostEnvelope*'5. Scenarios'!$B$7,1,0))</f>
        <v/>
      </c>
      <c r="H367" s="57" t="str">
        <f aca="false">IF($D367="","",INDEX(BookRate,362)*(1+'5. Scenarios'!$B$10)*(INDEX(BookQ1,362)*(5-MIN(4,1+'5. Scenarios'!$B$8))/4+INDEX(BookQ2,362)*(5-MIN(4,2+'5. Scenarios'!$B$8))/4+INDEX(BookQ3,362)*(5-MIN(4,3+'5. Scenarios'!$B$8))/4+INDEX(BookQ4,362)*(5-MIN(4,4+'5. Scenarios'!$B$8))/4)*'5. Scenarios'!$B$6/(1+ProductivityDefault*('5. Scenarios'!$B$11-1))+INDEX(BookOneOff,362)*$D367)</f>
        <v/>
      </c>
      <c r="I367" s="56" t="str">
        <f aca="false">IF(INDEX(BookTitle,362)="","",INDEX(BookTotal,362)*'5. Scenarios'!$C$6/(1+ProductivityDefault*('5. Scenarios'!$C$11-1)))</f>
        <v/>
      </c>
      <c r="J367" s="57" t="str">
        <f aca="false">IF($I367="","",INDEX(BookRate,362)*(1+'5. Scenarios'!$C$10)*$I367)</f>
        <v/>
      </c>
      <c r="K367" s="57" t="str">
        <f aca="false">IF($J367="","",SUMIFS($J$6:$J$2405,$A$6:$A$2405,"&lt;="&amp;$A367))</f>
        <v/>
      </c>
      <c r="L367" s="57" t="str">
        <f aca="false">IF($J367="","",IF($K367&lt;=BankCostEnvelope*'5. Scenarios'!$C$7,1,0))</f>
        <v/>
      </c>
      <c r="M367" s="57" t="str">
        <f aca="false">IF($I367="","",INDEX(BookRate,362)*(1+'5. Scenarios'!$C$10)*(INDEX(BookQ1,362)*(5-MIN(4,1+'5. Scenarios'!$C$8))/4+INDEX(BookQ2,362)*(5-MIN(4,2+'5. Scenarios'!$C$8))/4+INDEX(BookQ3,362)*(5-MIN(4,3+'5. Scenarios'!$C$8))/4+INDEX(BookQ4,362)*(5-MIN(4,4+'5. Scenarios'!$C$8))/4)*'5. Scenarios'!$C$6/(1+ProductivityDefault*('5. Scenarios'!$C$11-1))+INDEX(BookOneOff,362)*$I367)</f>
        <v/>
      </c>
      <c r="N367" s="56" t="str">
        <f aca="false">IF(INDEX(BookTitle,362)="","",INDEX(BookTotal,362)*'5. Scenarios'!$D$6/(1+ProductivityDefault*('5. Scenarios'!$D$11-1)))</f>
        <v/>
      </c>
      <c r="O367" s="57" t="str">
        <f aca="false">IF($N367="","",INDEX(BookRate,362)*(1+'5. Scenarios'!$D$10)*$N367)</f>
        <v/>
      </c>
      <c r="P367" s="57" t="str">
        <f aca="false">IF($O367="","",SUMIFS($O$6:$O$2405,$A$6:$A$2405,"&lt;="&amp;$A367))</f>
        <v/>
      </c>
      <c r="Q367" s="57" t="str">
        <f aca="false">IF($O367="","",IF($P367&lt;=BankCostEnvelope*'5. Scenarios'!$D$7,1,0))</f>
        <v/>
      </c>
      <c r="R367" s="57" t="str">
        <f aca="false">IF($N367="","",INDEX(BookRate,362)*(1+'5. Scenarios'!$D$10)*(INDEX(BookQ1,362)*(5-MIN(4,1+'5. Scenarios'!$D$8))/4+INDEX(BookQ2,362)*(5-MIN(4,2+'5. Scenarios'!$D$8))/4+INDEX(BookQ3,362)*(5-MIN(4,3+'5. Scenarios'!$D$8))/4+INDEX(BookQ4,362)*(5-MIN(4,4+'5. Scenarios'!$D$8))/4)*'5. Scenarios'!$D$6/(1+ProductivityDefault*('5. Scenarios'!$D$11-1))+INDEX(BookOneOff,362)*$N367)</f>
        <v/>
      </c>
      <c r="S367" s="56" t="str">
        <f aca="false">IF(INDEX(BookTitle,362)="","",INDEX(BookTotal,362)*'5. Scenarios'!$E$6/(1+ProductivityDefault*('5. Scenarios'!$E$11-1)))</f>
        <v/>
      </c>
      <c r="T367" s="57" t="str">
        <f aca="false">IF($S367="","",INDEX(BookRate,362)*(1+'5. Scenarios'!$E$10)*$S367)</f>
        <v/>
      </c>
      <c r="U367" s="57" t="str">
        <f aca="false">IF($T367="","",SUMIFS($T$6:$T$2405,$A$6:$A$2405,"&lt;="&amp;$A367))</f>
        <v/>
      </c>
      <c r="V367" s="57" t="str">
        <f aca="false">IF($T367="","",IF($U367&lt;=BankCostEnvelope*'5. Scenarios'!$E$7,1,0))</f>
        <v/>
      </c>
      <c r="W367" s="57" t="str">
        <f aca="false">IF($S367="","",INDEX(BookRate,362)*(1+'5. Scenarios'!$E$10)*(INDEX(BookQ1,362)*(5-MIN(4,1+'5. Scenarios'!$E$8))/4+INDEX(BookQ2,362)*(5-MIN(4,2+'5. Scenarios'!$E$8))/4+INDEX(BookQ3,362)*(5-MIN(4,3+'5. Scenarios'!$E$8))/4+INDEX(BookQ4,362)*(5-MIN(4,4+'5. Scenarios'!$E$8))/4)*'5. Scenarios'!$E$6/(1+ProductivityDefault*('5. Scenarios'!$E$11-1))+INDEX(BookOneOff,362)*$S367)</f>
        <v/>
      </c>
    </row>
    <row r="368" customFormat="false" ht="15" hidden="false" customHeight="false" outlineLevel="0" collapsed="false">
      <c r="A368" s="0" t="str">
        <f aca="false">IF(INDEX(BookTitle,363)="","",INDEX(BookKey,363))</f>
        <v/>
      </c>
      <c r="B368" s="0" t="str">
        <f aca="false">IF(INDEX(BookTitle,363)="","",INDEX(BookGroup,363))</f>
        <v/>
      </c>
      <c r="C368" s="0" t="str">
        <f aca="false">IF(INDEX(BookTitle,363)="","",INDEX(BookCategory,363))</f>
        <v/>
      </c>
      <c r="D368" s="56" t="str">
        <f aca="false">IF(INDEX(BookTitle,363)="","",INDEX(BookTotal,363)*'5. Scenarios'!$B$6/(1+ProductivityDefault*('5. Scenarios'!$B$11-1)))</f>
        <v/>
      </c>
      <c r="E368" s="57" t="str">
        <f aca="false">IF($D368="","",INDEX(BookRate,363)*(1+'5. Scenarios'!$B$10)*$D368)</f>
        <v/>
      </c>
      <c r="F368" s="57" t="str">
        <f aca="false">IF($E368="","",SUMIFS($E$6:$E$2405,$A$6:$A$2405,"&lt;="&amp;$A368))</f>
        <v/>
      </c>
      <c r="G368" s="57" t="str">
        <f aca="false">IF($E368="","",IF($F368&lt;=BankCostEnvelope*'5. Scenarios'!$B$7,1,0))</f>
        <v/>
      </c>
      <c r="H368" s="57" t="str">
        <f aca="false">IF($D368="","",INDEX(BookRate,363)*(1+'5. Scenarios'!$B$10)*(INDEX(BookQ1,363)*(5-MIN(4,1+'5. Scenarios'!$B$8))/4+INDEX(BookQ2,363)*(5-MIN(4,2+'5. Scenarios'!$B$8))/4+INDEX(BookQ3,363)*(5-MIN(4,3+'5. Scenarios'!$B$8))/4+INDEX(BookQ4,363)*(5-MIN(4,4+'5. Scenarios'!$B$8))/4)*'5. Scenarios'!$B$6/(1+ProductivityDefault*('5. Scenarios'!$B$11-1))+INDEX(BookOneOff,363)*$D368)</f>
        <v/>
      </c>
      <c r="I368" s="56" t="str">
        <f aca="false">IF(INDEX(BookTitle,363)="","",INDEX(BookTotal,363)*'5. Scenarios'!$C$6/(1+ProductivityDefault*('5. Scenarios'!$C$11-1)))</f>
        <v/>
      </c>
      <c r="J368" s="57" t="str">
        <f aca="false">IF($I368="","",INDEX(BookRate,363)*(1+'5. Scenarios'!$C$10)*$I368)</f>
        <v/>
      </c>
      <c r="K368" s="57" t="str">
        <f aca="false">IF($J368="","",SUMIFS($J$6:$J$2405,$A$6:$A$2405,"&lt;="&amp;$A368))</f>
        <v/>
      </c>
      <c r="L368" s="57" t="str">
        <f aca="false">IF($J368="","",IF($K368&lt;=BankCostEnvelope*'5. Scenarios'!$C$7,1,0))</f>
        <v/>
      </c>
      <c r="M368" s="57" t="str">
        <f aca="false">IF($I368="","",INDEX(BookRate,363)*(1+'5. Scenarios'!$C$10)*(INDEX(BookQ1,363)*(5-MIN(4,1+'5. Scenarios'!$C$8))/4+INDEX(BookQ2,363)*(5-MIN(4,2+'5. Scenarios'!$C$8))/4+INDEX(BookQ3,363)*(5-MIN(4,3+'5. Scenarios'!$C$8))/4+INDEX(BookQ4,363)*(5-MIN(4,4+'5. Scenarios'!$C$8))/4)*'5. Scenarios'!$C$6/(1+ProductivityDefault*('5. Scenarios'!$C$11-1))+INDEX(BookOneOff,363)*$I368)</f>
        <v/>
      </c>
      <c r="N368" s="56" t="str">
        <f aca="false">IF(INDEX(BookTitle,363)="","",INDEX(BookTotal,363)*'5. Scenarios'!$D$6/(1+ProductivityDefault*('5. Scenarios'!$D$11-1)))</f>
        <v/>
      </c>
      <c r="O368" s="57" t="str">
        <f aca="false">IF($N368="","",INDEX(BookRate,363)*(1+'5. Scenarios'!$D$10)*$N368)</f>
        <v/>
      </c>
      <c r="P368" s="57" t="str">
        <f aca="false">IF($O368="","",SUMIFS($O$6:$O$2405,$A$6:$A$2405,"&lt;="&amp;$A368))</f>
        <v/>
      </c>
      <c r="Q368" s="57" t="str">
        <f aca="false">IF($O368="","",IF($P368&lt;=BankCostEnvelope*'5. Scenarios'!$D$7,1,0))</f>
        <v/>
      </c>
      <c r="R368" s="57" t="str">
        <f aca="false">IF($N368="","",INDEX(BookRate,363)*(1+'5. Scenarios'!$D$10)*(INDEX(BookQ1,363)*(5-MIN(4,1+'5. Scenarios'!$D$8))/4+INDEX(BookQ2,363)*(5-MIN(4,2+'5. Scenarios'!$D$8))/4+INDEX(BookQ3,363)*(5-MIN(4,3+'5. Scenarios'!$D$8))/4+INDEX(BookQ4,363)*(5-MIN(4,4+'5. Scenarios'!$D$8))/4)*'5. Scenarios'!$D$6/(1+ProductivityDefault*('5. Scenarios'!$D$11-1))+INDEX(BookOneOff,363)*$N368)</f>
        <v/>
      </c>
      <c r="S368" s="56" t="str">
        <f aca="false">IF(INDEX(BookTitle,363)="","",INDEX(BookTotal,363)*'5. Scenarios'!$E$6/(1+ProductivityDefault*('5. Scenarios'!$E$11-1)))</f>
        <v/>
      </c>
      <c r="T368" s="57" t="str">
        <f aca="false">IF($S368="","",INDEX(BookRate,363)*(1+'5. Scenarios'!$E$10)*$S368)</f>
        <v/>
      </c>
      <c r="U368" s="57" t="str">
        <f aca="false">IF($T368="","",SUMIFS($T$6:$T$2405,$A$6:$A$2405,"&lt;="&amp;$A368))</f>
        <v/>
      </c>
      <c r="V368" s="57" t="str">
        <f aca="false">IF($T368="","",IF($U368&lt;=BankCostEnvelope*'5. Scenarios'!$E$7,1,0))</f>
        <v/>
      </c>
      <c r="W368" s="57" t="str">
        <f aca="false">IF($S368="","",INDEX(BookRate,363)*(1+'5. Scenarios'!$E$10)*(INDEX(BookQ1,363)*(5-MIN(4,1+'5. Scenarios'!$E$8))/4+INDEX(BookQ2,363)*(5-MIN(4,2+'5. Scenarios'!$E$8))/4+INDEX(BookQ3,363)*(5-MIN(4,3+'5. Scenarios'!$E$8))/4+INDEX(BookQ4,363)*(5-MIN(4,4+'5. Scenarios'!$E$8))/4)*'5. Scenarios'!$E$6/(1+ProductivityDefault*('5. Scenarios'!$E$11-1))+INDEX(BookOneOff,363)*$S368)</f>
        <v/>
      </c>
    </row>
    <row r="369" customFormat="false" ht="15" hidden="false" customHeight="false" outlineLevel="0" collapsed="false">
      <c r="A369" s="0" t="str">
        <f aca="false">IF(INDEX(BookTitle,364)="","",INDEX(BookKey,364))</f>
        <v/>
      </c>
      <c r="B369" s="0" t="str">
        <f aca="false">IF(INDEX(BookTitle,364)="","",INDEX(BookGroup,364))</f>
        <v/>
      </c>
      <c r="C369" s="0" t="str">
        <f aca="false">IF(INDEX(BookTitle,364)="","",INDEX(BookCategory,364))</f>
        <v/>
      </c>
      <c r="D369" s="56" t="str">
        <f aca="false">IF(INDEX(BookTitle,364)="","",INDEX(BookTotal,364)*'5. Scenarios'!$B$6/(1+ProductivityDefault*('5. Scenarios'!$B$11-1)))</f>
        <v/>
      </c>
      <c r="E369" s="57" t="str">
        <f aca="false">IF($D369="","",INDEX(BookRate,364)*(1+'5. Scenarios'!$B$10)*$D369)</f>
        <v/>
      </c>
      <c r="F369" s="57" t="str">
        <f aca="false">IF($E369="","",SUMIFS($E$6:$E$2405,$A$6:$A$2405,"&lt;="&amp;$A369))</f>
        <v/>
      </c>
      <c r="G369" s="57" t="str">
        <f aca="false">IF($E369="","",IF($F369&lt;=BankCostEnvelope*'5. Scenarios'!$B$7,1,0))</f>
        <v/>
      </c>
      <c r="H369" s="57" t="str">
        <f aca="false">IF($D369="","",INDEX(BookRate,364)*(1+'5. Scenarios'!$B$10)*(INDEX(BookQ1,364)*(5-MIN(4,1+'5. Scenarios'!$B$8))/4+INDEX(BookQ2,364)*(5-MIN(4,2+'5. Scenarios'!$B$8))/4+INDEX(BookQ3,364)*(5-MIN(4,3+'5. Scenarios'!$B$8))/4+INDEX(BookQ4,364)*(5-MIN(4,4+'5. Scenarios'!$B$8))/4)*'5. Scenarios'!$B$6/(1+ProductivityDefault*('5. Scenarios'!$B$11-1))+INDEX(BookOneOff,364)*$D369)</f>
        <v/>
      </c>
      <c r="I369" s="56" t="str">
        <f aca="false">IF(INDEX(BookTitle,364)="","",INDEX(BookTotal,364)*'5. Scenarios'!$C$6/(1+ProductivityDefault*('5. Scenarios'!$C$11-1)))</f>
        <v/>
      </c>
      <c r="J369" s="57" t="str">
        <f aca="false">IF($I369="","",INDEX(BookRate,364)*(1+'5. Scenarios'!$C$10)*$I369)</f>
        <v/>
      </c>
      <c r="K369" s="57" t="str">
        <f aca="false">IF($J369="","",SUMIFS($J$6:$J$2405,$A$6:$A$2405,"&lt;="&amp;$A369))</f>
        <v/>
      </c>
      <c r="L369" s="57" t="str">
        <f aca="false">IF($J369="","",IF($K369&lt;=BankCostEnvelope*'5. Scenarios'!$C$7,1,0))</f>
        <v/>
      </c>
      <c r="M369" s="57" t="str">
        <f aca="false">IF($I369="","",INDEX(BookRate,364)*(1+'5. Scenarios'!$C$10)*(INDEX(BookQ1,364)*(5-MIN(4,1+'5. Scenarios'!$C$8))/4+INDEX(BookQ2,364)*(5-MIN(4,2+'5. Scenarios'!$C$8))/4+INDEX(BookQ3,364)*(5-MIN(4,3+'5. Scenarios'!$C$8))/4+INDEX(BookQ4,364)*(5-MIN(4,4+'5. Scenarios'!$C$8))/4)*'5. Scenarios'!$C$6/(1+ProductivityDefault*('5. Scenarios'!$C$11-1))+INDEX(BookOneOff,364)*$I369)</f>
        <v/>
      </c>
      <c r="N369" s="56" t="str">
        <f aca="false">IF(INDEX(BookTitle,364)="","",INDEX(BookTotal,364)*'5. Scenarios'!$D$6/(1+ProductivityDefault*('5. Scenarios'!$D$11-1)))</f>
        <v/>
      </c>
      <c r="O369" s="57" t="str">
        <f aca="false">IF($N369="","",INDEX(BookRate,364)*(1+'5. Scenarios'!$D$10)*$N369)</f>
        <v/>
      </c>
      <c r="P369" s="57" t="str">
        <f aca="false">IF($O369="","",SUMIFS($O$6:$O$2405,$A$6:$A$2405,"&lt;="&amp;$A369))</f>
        <v/>
      </c>
      <c r="Q369" s="57" t="str">
        <f aca="false">IF($O369="","",IF($P369&lt;=BankCostEnvelope*'5. Scenarios'!$D$7,1,0))</f>
        <v/>
      </c>
      <c r="R369" s="57" t="str">
        <f aca="false">IF($N369="","",INDEX(BookRate,364)*(1+'5. Scenarios'!$D$10)*(INDEX(BookQ1,364)*(5-MIN(4,1+'5. Scenarios'!$D$8))/4+INDEX(BookQ2,364)*(5-MIN(4,2+'5. Scenarios'!$D$8))/4+INDEX(BookQ3,364)*(5-MIN(4,3+'5. Scenarios'!$D$8))/4+INDEX(BookQ4,364)*(5-MIN(4,4+'5. Scenarios'!$D$8))/4)*'5. Scenarios'!$D$6/(1+ProductivityDefault*('5. Scenarios'!$D$11-1))+INDEX(BookOneOff,364)*$N369)</f>
        <v/>
      </c>
      <c r="S369" s="56" t="str">
        <f aca="false">IF(INDEX(BookTitle,364)="","",INDEX(BookTotal,364)*'5. Scenarios'!$E$6/(1+ProductivityDefault*('5. Scenarios'!$E$11-1)))</f>
        <v/>
      </c>
      <c r="T369" s="57" t="str">
        <f aca="false">IF($S369="","",INDEX(BookRate,364)*(1+'5. Scenarios'!$E$10)*$S369)</f>
        <v/>
      </c>
      <c r="U369" s="57" t="str">
        <f aca="false">IF($T369="","",SUMIFS($T$6:$T$2405,$A$6:$A$2405,"&lt;="&amp;$A369))</f>
        <v/>
      </c>
      <c r="V369" s="57" t="str">
        <f aca="false">IF($T369="","",IF($U369&lt;=BankCostEnvelope*'5. Scenarios'!$E$7,1,0))</f>
        <v/>
      </c>
      <c r="W369" s="57" t="str">
        <f aca="false">IF($S369="","",INDEX(BookRate,364)*(1+'5. Scenarios'!$E$10)*(INDEX(BookQ1,364)*(5-MIN(4,1+'5. Scenarios'!$E$8))/4+INDEX(BookQ2,364)*(5-MIN(4,2+'5. Scenarios'!$E$8))/4+INDEX(BookQ3,364)*(5-MIN(4,3+'5. Scenarios'!$E$8))/4+INDEX(BookQ4,364)*(5-MIN(4,4+'5. Scenarios'!$E$8))/4)*'5. Scenarios'!$E$6/(1+ProductivityDefault*('5. Scenarios'!$E$11-1))+INDEX(BookOneOff,364)*$S369)</f>
        <v/>
      </c>
    </row>
    <row r="370" customFormat="false" ht="15" hidden="false" customHeight="false" outlineLevel="0" collapsed="false">
      <c r="A370" s="0" t="str">
        <f aca="false">IF(INDEX(BookTitle,365)="","",INDEX(BookKey,365))</f>
        <v/>
      </c>
      <c r="B370" s="0" t="str">
        <f aca="false">IF(INDEX(BookTitle,365)="","",INDEX(BookGroup,365))</f>
        <v/>
      </c>
      <c r="C370" s="0" t="str">
        <f aca="false">IF(INDEX(BookTitle,365)="","",INDEX(BookCategory,365))</f>
        <v/>
      </c>
      <c r="D370" s="56" t="str">
        <f aca="false">IF(INDEX(BookTitle,365)="","",INDEX(BookTotal,365)*'5. Scenarios'!$B$6/(1+ProductivityDefault*('5. Scenarios'!$B$11-1)))</f>
        <v/>
      </c>
      <c r="E370" s="57" t="str">
        <f aca="false">IF($D370="","",INDEX(BookRate,365)*(1+'5. Scenarios'!$B$10)*$D370)</f>
        <v/>
      </c>
      <c r="F370" s="57" t="str">
        <f aca="false">IF($E370="","",SUMIFS($E$6:$E$2405,$A$6:$A$2405,"&lt;="&amp;$A370))</f>
        <v/>
      </c>
      <c r="G370" s="57" t="str">
        <f aca="false">IF($E370="","",IF($F370&lt;=BankCostEnvelope*'5. Scenarios'!$B$7,1,0))</f>
        <v/>
      </c>
      <c r="H370" s="57" t="str">
        <f aca="false">IF($D370="","",INDEX(BookRate,365)*(1+'5. Scenarios'!$B$10)*(INDEX(BookQ1,365)*(5-MIN(4,1+'5. Scenarios'!$B$8))/4+INDEX(BookQ2,365)*(5-MIN(4,2+'5. Scenarios'!$B$8))/4+INDEX(BookQ3,365)*(5-MIN(4,3+'5. Scenarios'!$B$8))/4+INDEX(BookQ4,365)*(5-MIN(4,4+'5. Scenarios'!$B$8))/4)*'5. Scenarios'!$B$6/(1+ProductivityDefault*('5. Scenarios'!$B$11-1))+INDEX(BookOneOff,365)*$D370)</f>
        <v/>
      </c>
      <c r="I370" s="56" t="str">
        <f aca="false">IF(INDEX(BookTitle,365)="","",INDEX(BookTotal,365)*'5. Scenarios'!$C$6/(1+ProductivityDefault*('5. Scenarios'!$C$11-1)))</f>
        <v/>
      </c>
      <c r="J370" s="57" t="str">
        <f aca="false">IF($I370="","",INDEX(BookRate,365)*(1+'5. Scenarios'!$C$10)*$I370)</f>
        <v/>
      </c>
      <c r="K370" s="57" t="str">
        <f aca="false">IF($J370="","",SUMIFS($J$6:$J$2405,$A$6:$A$2405,"&lt;="&amp;$A370))</f>
        <v/>
      </c>
      <c r="L370" s="57" t="str">
        <f aca="false">IF($J370="","",IF($K370&lt;=BankCostEnvelope*'5. Scenarios'!$C$7,1,0))</f>
        <v/>
      </c>
      <c r="M370" s="57" t="str">
        <f aca="false">IF($I370="","",INDEX(BookRate,365)*(1+'5. Scenarios'!$C$10)*(INDEX(BookQ1,365)*(5-MIN(4,1+'5. Scenarios'!$C$8))/4+INDEX(BookQ2,365)*(5-MIN(4,2+'5. Scenarios'!$C$8))/4+INDEX(BookQ3,365)*(5-MIN(4,3+'5. Scenarios'!$C$8))/4+INDEX(BookQ4,365)*(5-MIN(4,4+'5. Scenarios'!$C$8))/4)*'5. Scenarios'!$C$6/(1+ProductivityDefault*('5. Scenarios'!$C$11-1))+INDEX(BookOneOff,365)*$I370)</f>
        <v/>
      </c>
      <c r="N370" s="56" t="str">
        <f aca="false">IF(INDEX(BookTitle,365)="","",INDEX(BookTotal,365)*'5. Scenarios'!$D$6/(1+ProductivityDefault*('5. Scenarios'!$D$11-1)))</f>
        <v/>
      </c>
      <c r="O370" s="57" t="str">
        <f aca="false">IF($N370="","",INDEX(BookRate,365)*(1+'5. Scenarios'!$D$10)*$N370)</f>
        <v/>
      </c>
      <c r="P370" s="57" t="str">
        <f aca="false">IF($O370="","",SUMIFS($O$6:$O$2405,$A$6:$A$2405,"&lt;="&amp;$A370))</f>
        <v/>
      </c>
      <c r="Q370" s="57" t="str">
        <f aca="false">IF($O370="","",IF($P370&lt;=BankCostEnvelope*'5. Scenarios'!$D$7,1,0))</f>
        <v/>
      </c>
      <c r="R370" s="57" t="str">
        <f aca="false">IF($N370="","",INDEX(BookRate,365)*(1+'5. Scenarios'!$D$10)*(INDEX(BookQ1,365)*(5-MIN(4,1+'5. Scenarios'!$D$8))/4+INDEX(BookQ2,365)*(5-MIN(4,2+'5. Scenarios'!$D$8))/4+INDEX(BookQ3,365)*(5-MIN(4,3+'5. Scenarios'!$D$8))/4+INDEX(BookQ4,365)*(5-MIN(4,4+'5. Scenarios'!$D$8))/4)*'5. Scenarios'!$D$6/(1+ProductivityDefault*('5. Scenarios'!$D$11-1))+INDEX(BookOneOff,365)*$N370)</f>
        <v/>
      </c>
      <c r="S370" s="56" t="str">
        <f aca="false">IF(INDEX(BookTitle,365)="","",INDEX(BookTotal,365)*'5. Scenarios'!$E$6/(1+ProductivityDefault*('5. Scenarios'!$E$11-1)))</f>
        <v/>
      </c>
      <c r="T370" s="57" t="str">
        <f aca="false">IF($S370="","",INDEX(BookRate,365)*(1+'5. Scenarios'!$E$10)*$S370)</f>
        <v/>
      </c>
      <c r="U370" s="57" t="str">
        <f aca="false">IF($T370="","",SUMIFS($T$6:$T$2405,$A$6:$A$2405,"&lt;="&amp;$A370))</f>
        <v/>
      </c>
      <c r="V370" s="57" t="str">
        <f aca="false">IF($T370="","",IF($U370&lt;=BankCostEnvelope*'5. Scenarios'!$E$7,1,0))</f>
        <v/>
      </c>
      <c r="W370" s="57" t="str">
        <f aca="false">IF($S370="","",INDEX(BookRate,365)*(1+'5. Scenarios'!$E$10)*(INDEX(BookQ1,365)*(5-MIN(4,1+'5. Scenarios'!$E$8))/4+INDEX(BookQ2,365)*(5-MIN(4,2+'5. Scenarios'!$E$8))/4+INDEX(BookQ3,365)*(5-MIN(4,3+'5. Scenarios'!$E$8))/4+INDEX(BookQ4,365)*(5-MIN(4,4+'5. Scenarios'!$E$8))/4)*'5. Scenarios'!$E$6/(1+ProductivityDefault*('5. Scenarios'!$E$11-1))+INDEX(BookOneOff,365)*$S370)</f>
        <v/>
      </c>
    </row>
    <row r="371" customFormat="false" ht="15" hidden="false" customHeight="false" outlineLevel="0" collapsed="false">
      <c r="A371" s="0" t="str">
        <f aca="false">IF(INDEX(BookTitle,366)="","",INDEX(BookKey,366))</f>
        <v/>
      </c>
      <c r="B371" s="0" t="str">
        <f aca="false">IF(INDEX(BookTitle,366)="","",INDEX(BookGroup,366))</f>
        <v/>
      </c>
      <c r="C371" s="0" t="str">
        <f aca="false">IF(INDEX(BookTitle,366)="","",INDEX(BookCategory,366))</f>
        <v/>
      </c>
      <c r="D371" s="56" t="str">
        <f aca="false">IF(INDEX(BookTitle,366)="","",INDEX(BookTotal,366)*'5. Scenarios'!$B$6/(1+ProductivityDefault*('5. Scenarios'!$B$11-1)))</f>
        <v/>
      </c>
      <c r="E371" s="57" t="str">
        <f aca="false">IF($D371="","",INDEX(BookRate,366)*(1+'5. Scenarios'!$B$10)*$D371)</f>
        <v/>
      </c>
      <c r="F371" s="57" t="str">
        <f aca="false">IF($E371="","",SUMIFS($E$6:$E$2405,$A$6:$A$2405,"&lt;="&amp;$A371))</f>
        <v/>
      </c>
      <c r="G371" s="57" t="str">
        <f aca="false">IF($E371="","",IF($F371&lt;=BankCostEnvelope*'5. Scenarios'!$B$7,1,0))</f>
        <v/>
      </c>
      <c r="H371" s="57" t="str">
        <f aca="false">IF($D371="","",INDEX(BookRate,366)*(1+'5. Scenarios'!$B$10)*(INDEX(BookQ1,366)*(5-MIN(4,1+'5. Scenarios'!$B$8))/4+INDEX(BookQ2,366)*(5-MIN(4,2+'5. Scenarios'!$B$8))/4+INDEX(BookQ3,366)*(5-MIN(4,3+'5. Scenarios'!$B$8))/4+INDEX(BookQ4,366)*(5-MIN(4,4+'5. Scenarios'!$B$8))/4)*'5. Scenarios'!$B$6/(1+ProductivityDefault*('5. Scenarios'!$B$11-1))+INDEX(BookOneOff,366)*$D371)</f>
        <v/>
      </c>
      <c r="I371" s="56" t="str">
        <f aca="false">IF(INDEX(BookTitle,366)="","",INDEX(BookTotal,366)*'5. Scenarios'!$C$6/(1+ProductivityDefault*('5. Scenarios'!$C$11-1)))</f>
        <v/>
      </c>
      <c r="J371" s="57" t="str">
        <f aca="false">IF($I371="","",INDEX(BookRate,366)*(1+'5. Scenarios'!$C$10)*$I371)</f>
        <v/>
      </c>
      <c r="K371" s="57" t="str">
        <f aca="false">IF($J371="","",SUMIFS($J$6:$J$2405,$A$6:$A$2405,"&lt;="&amp;$A371))</f>
        <v/>
      </c>
      <c r="L371" s="57" t="str">
        <f aca="false">IF($J371="","",IF($K371&lt;=BankCostEnvelope*'5. Scenarios'!$C$7,1,0))</f>
        <v/>
      </c>
      <c r="M371" s="57" t="str">
        <f aca="false">IF($I371="","",INDEX(BookRate,366)*(1+'5. Scenarios'!$C$10)*(INDEX(BookQ1,366)*(5-MIN(4,1+'5. Scenarios'!$C$8))/4+INDEX(BookQ2,366)*(5-MIN(4,2+'5. Scenarios'!$C$8))/4+INDEX(BookQ3,366)*(5-MIN(4,3+'5. Scenarios'!$C$8))/4+INDEX(BookQ4,366)*(5-MIN(4,4+'5. Scenarios'!$C$8))/4)*'5. Scenarios'!$C$6/(1+ProductivityDefault*('5. Scenarios'!$C$11-1))+INDEX(BookOneOff,366)*$I371)</f>
        <v/>
      </c>
      <c r="N371" s="56" t="str">
        <f aca="false">IF(INDEX(BookTitle,366)="","",INDEX(BookTotal,366)*'5. Scenarios'!$D$6/(1+ProductivityDefault*('5. Scenarios'!$D$11-1)))</f>
        <v/>
      </c>
      <c r="O371" s="57" t="str">
        <f aca="false">IF($N371="","",INDEX(BookRate,366)*(1+'5. Scenarios'!$D$10)*$N371)</f>
        <v/>
      </c>
      <c r="P371" s="57" t="str">
        <f aca="false">IF($O371="","",SUMIFS($O$6:$O$2405,$A$6:$A$2405,"&lt;="&amp;$A371))</f>
        <v/>
      </c>
      <c r="Q371" s="57" t="str">
        <f aca="false">IF($O371="","",IF($P371&lt;=BankCostEnvelope*'5. Scenarios'!$D$7,1,0))</f>
        <v/>
      </c>
      <c r="R371" s="57" t="str">
        <f aca="false">IF($N371="","",INDEX(BookRate,366)*(1+'5. Scenarios'!$D$10)*(INDEX(BookQ1,366)*(5-MIN(4,1+'5. Scenarios'!$D$8))/4+INDEX(BookQ2,366)*(5-MIN(4,2+'5. Scenarios'!$D$8))/4+INDEX(BookQ3,366)*(5-MIN(4,3+'5. Scenarios'!$D$8))/4+INDEX(BookQ4,366)*(5-MIN(4,4+'5. Scenarios'!$D$8))/4)*'5. Scenarios'!$D$6/(1+ProductivityDefault*('5. Scenarios'!$D$11-1))+INDEX(BookOneOff,366)*$N371)</f>
        <v/>
      </c>
      <c r="S371" s="56" t="str">
        <f aca="false">IF(INDEX(BookTitle,366)="","",INDEX(BookTotal,366)*'5. Scenarios'!$E$6/(1+ProductivityDefault*('5. Scenarios'!$E$11-1)))</f>
        <v/>
      </c>
      <c r="T371" s="57" t="str">
        <f aca="false">IF($S371="","",INDEX(BookRate,366)*(1+'5. Scenarios'!$E$10)*$S371)</f>
        <v/>
      </c>
      <c r="U371" s="57" t="str">
        <f aca="false">IF($T371="","",SUMIFS($T$6:$T$2405,$A$6:$A$2405,"&lt;="&amp;$A371))</f>
        <v/>
      </c>
      <c r="V371" s="57" t="str">
        <f aca="false">IF($T371="","",IF($U371&lt;=BankCostEnvelope*'5. Scenarios'!$E$7,1,0))</f>
        <v/>
      </c>
      <c r="W371" s="57" t="str">
        <f aca="false">IF($S371="","",INDEX(BookRate,366)*(1+'5. Scenarios'!$E$10)*(INDEX(BookQ1,366)*(5-MIN(4,1+'5. Scenarios'!$E$8))/4+INDEX(BookQ2,366)*(5-MIN(4,2+'5. Scenarios'!$E$8))/4+INDEX(BookQ3,366)*(5-MIN(4,3+'5. Scenarios'!$E$8))/4+INDEX(BookQ4,366)*(5-MIN(4,4+'5. Scenarios'!$E$8))/4)*'5. Scenarios'!$E$6/(1+ProductivityDefault*('5. Scenarios'!$E$11-1))+INDEX(BookOneOff,366)*$S371)</f>
        <v/>
      </c>
    </row>
    <row r="372" customFormat="false" ht="15" hidden="false" customHeight="false" outlineLevel="0" collapsed="false">
      <c r="A372" s="0" t="str">
        <f aca="false">IF(INDEX(BookTitle,367)="","",INDEX(BookKey,367))</f>
        <v/>
      </c>
      <c r="B372" s="0" t="str">
        <f aca="false">IF(INDEX(BookTitle,367)="","",INDEX(BookGroup,367))</f>
        <v/>
      </c>
      <c r="C372" s="0" t="str">
        <f aca="false">IF(INDEX(BookTitle,367)="","",INDEX(BookCategory,367))</f>
        <v/>
      </c>
      <c r="D372" s="56" t="str">
        <f aca="false">IF(INDEX(BookTitle,367)="","",INDEX(BookTotal,367)*'5. Scenarios'!$B$6/(1+ProductivityDefault*('5. Scenarios'!$B$11-1)))</f>
        <v/>
      </c>
      <c r="E372" s="57" t="str">
        <f aca="false">IF($D372="","",INDEX(BookRate,367)*(1+'5. Scenarios'!$B$10)*$D372)</f>
        <v/>
      </c>
      <c r="F372" s="57" t="str">
        <f aca="false">IF($E372="","",SUMIFS($E$6:$E$2405,$A$6:$A$2405,"&lt;="&amp;$A372))</f>
        <v/>
      </c>
      <c r="G372" s="57" t="str">
        <f aca="false">IF($E372="","",IF($F372&lt;=BankCostEnvelope*'5. Scenarios'!$B$7,1,0))</f>
        <v/>
      </c>
      <c r="H372" s="57" t="str">
        <f aca="false">IF($D372="","",INDEX(BookRate,367)*(1+'5. Scenarios'!$B$10)*(INDEX(BookQ1,367)*(5-MIN(4,1+'5. Scenarios'!$B$8))/4+INDEX(BookQ2,367)*(5-MIN(4,2+'5. Scenarios'!$B$8))/4+INDEX(BookQ3,367)*(5-MIN(4,3+'5. Scenarios'!$B$8))/4+INDEX(BookQ4,367)*(5-MIN(4,4+'5. Scenarios'!$B$8))/4)*'5. Scenarios'!$B$6/(1+ProductivityDefault*('5. Scenarios'!$B$11-1))+INDEX(BookOneOff,367)*$D372)</f>
        <v/>
      </c>
      <c r="I372" s="56" t="str">
        <f aca="false">IF(INDEX(BookTitle,367)="","",INDEX(BookTotal,367)*'5. Scenarios'!$C$6/(1+ProductivityDefault*('5. Scenarios'!$C$11-1)))</f>
        <v/>
      </c>
      <c r="J372" s="57" t="str">
        <f aca="false">IF($I372="","",INDEX(BookRate,367)*(1+'5. Scenarios'!$C$10)*$I372)</f>
        <v/>
      </c>
      <c r="K372" s="57" t="str">
        <f aca="false">IF($J372="","",SUMIFS($J$6:$J$2405,$A$6:$A$2405,"&lt;="&amp;$A372))</f>
        <v/>
      </c>
      <c r="L372" s="57" t="str">
        <f aca="false">IF($J372="","",IF($K372&lt;=BankCostEnvelope*'5. Scenarios'!$C$7,1,0))</f>
        <v/>
      </c>
      <c r="M372" s="57" t="str">
        <f aca="false">IF($I372="","",INDEX(BookRate,367)*(1+'5. Scenarios'!$C$10)*(INDEX(BookQ1,367)*(5-MIN(4,1+'5. Scenarios'!$C$8))/4+INDEX(BookQ2,367)*(5-MIN(4,2+'5. Scenarios'!$C$8))/4+INDEX(BookQ3,367)*(5-MIN(4,3+'5. Scenarios'!$C$8))/4+INDEX(BookQ4,367)*(5-MIN(4,4+'5. Scenarios'!$C$8))/4)*'5. Scenarios'!$C$6/(1+ProductivityDefault*('5. Scenarios'!$C$11-1))+INDEX(BookOneOff,367)*$I372)</f>
        <v/>
      </c>
      <c r="N372" s="56" t="str">
        <f aca="false">IF(INDEX(BookTitle,367)="","",INDEX(BookTotal,367)*'5. Scenarios'!$D$6/(1+ProductivityDefault*('5. Scenarios'!$D$11-1)))</f>
        <v/>
      </c>
      <c r="O372" s="57" t="str">
        <f aca="false">IF($N372="","",INDEX(BookRate,367)*(1+'5. Scenarios'!$D$10)*$N372)</f>
        <v/>
      </c>
      <c r="P372" s="57" t="str">
        <f aca="false">IF($O372="","",SUMIFS($O$6:$O$2405,$A$6:$A$2405,"&lt;="&amp;$A372))</f>
        <v/>
      </c>
      <c r="Q372" s="57" t="str">
        <f aca="false">IF($O372="","",IF($P372&lt;=BankCostEnvelope*'5. Scenarios'!$D$7,1,0))</f>
        <v/>
      </c>
      <c r="R372" s="57" t="str">
        <f aca="false">IF($N372="","",INDEX(BookRate,367)*(1+'5. Scenarios'!$D$10)*(INDEX(BookQ1,367)*(5-MIN(4,1+'5. Scenarios'!$D$8))/4+INDEX(BookQ2,367)*(5-MIN(4,2+'5. Scenarios'!$D$8))/4+INDEX(BookQ3,367)*(5-MIN(4,3+'5. Scenarios'!$D$8))/4+INDEX(BookQ4,367)*(5-MIN(4,4+'5. Scenarios'!$D$8))/4)*'5. Scenarios'!$D$6/(1+ProductivityDefault*('5. Scenarios'!$D$11-1))+INDEX(BookOneOff,367)*$N372)</f>
        <v/>
      </c>
      <c r="S372" s="56" t="str">
        <f aca="false">IF(INDEX(BookTitle,367)="","",INDEX(BookTotal,367)*'5. Scenarios'!$E$6/(1+ProductivityDefault*('5. Scenarios'!$E$11-1)))</f>
        <v/>
      </c>
      <c r="T372" s="57" t="str">
        <f aca="false">IF($S372="","",INDEX(BookRate,367)*(1+'5. Scenarios'!$E$10)*$S372)</f>
        <v/>
      </c>
      <c r="U372" s="57" t="str">
        <f aca="false">IF($T372="","",SUMIFS($T$6:$T$2405,$A$6:$A$2405,"&lt;="&amp;$A372))</f>
        <v/>
      </c>
      <c r="V372" s="57" t="str">
        <f aca="false">IF($T372="","",IF($U372&lt;=BankCostEnvelope*'5. Scenarios'!$E$7,1,0))</f>
        <v/>
      </c>
      <c r="W372" s="57" t="str">
        <f aca="false">IF($S372="","",INDEX(BookRate,367)*(1+'5. Scenarios'!$E$10)*(INDEX(BookQ1,367)*(5-MIN(4,1+'5. Scenarios'!$E$8))/4+INDEX(BookQ2,367)*(5-MIN(4,2+'5. Scenarios'!$E$8))/4+INDEX(BookQ3,367)*(5-MIN(4,3+'5. Scenarios'!$E$8))/4+INDEX(BookQ4,367)*(5-MIN(4,4+'5. Scenarios'!$E$8))/4)*'5. Scenarios'!$E$6/(1+ProductivityDefault*('5. Scenarios'!$E$11-1))+INDEX(BookOneOff,367)*$S372)</f>
        <v/>
      </c>
    </row>
    <row r="373" customFormat="false" ht="15" hidden="false" customHeight="false" outlineLevel="0" collapsed="false">
      <c r="A373" s="0" t="str">
        <f aca="false">IF(INDEX(BookTitle,368)="","",INDEX(BookKey,368))</f>
        <v/>
      </c>
      <c r="B373" s="0" t="str">
        <f aca="false">IF(INDEX(BookTitle,368)="","",INDEX(BookGroup,368))</f>
        <v/>
      </c>
      <c r="C373" s="0" t="str">
        <f aca="false">IF(INDEX(BookTitle,368)="","",INDEX(BookCategory,368))</f>
        <v/>
      </c>
      <c r="D373" s="56" t="str">
        <f aca="false">IF(INDEX(BookTitle,368)="","",INDEX(BookTotal,368)*'5. Scenarios'!$B$6/(1+ProductivityDefault*('5. Scenarios'!$B$11-1)))</f>
        <v/>
      </c>
      <c r="E373" s="57" t="str">
        <f aca="false">IF($D373="","",INDEX(BookRate,368)*(1+'5. Scenarios'!$B$10)*$D373)</f>
        <v/>
      </c>
      <c r="F373" s="57" t="str">
        <f aca="false">IF($E373="","",SUMIFS($E$6:$E$2405,$A$6:$A$2405,"&lt;="&amp;$A373))</f>
        <v/>
      </c>
      <c r="G373" s="57" t="str">
        <f aca="false">IF($E373="","",IF($F373&lt;=BankCostEnvelope*'5. Scenarios'!$B$7,1,0))</f>
        <v/>
      </c>
      <c r="H373" s="57" t="str">
        <f aca="false">IF($D373="","",INDEX(BookRate,368)*(1+'5. Scenarios'!$B$10)*(INDEX(BookQ1,368)*(5-MIN(4,1+'5. Scenarios'!$B$8))/4+INDEX(BookQ2,368)*(5-MIN(4,2+'5. Scenarios'!$B$8))/4+INDEX(BookQ3,368)*(5-MIN(4,3+'5. Scenarios'!$B$8))/4+INDEX(BookQ4,368)*(5-MIN(4,4+'5. Scenarios'!$B$8))/4)*'5. Scenarios'!$B$6/(1+ProductivityDefault*('5. Scenarios'!$B$11-1))+INDEX(BookOneOff,368)*$D373)</f>
        <v/>
      </c>
      <c r="I373" s="56" t="str">
        <f aca="false">IF(INDEX(BookTitle,368)="","",INDEX(BookTotal,368)*'5. Scenarios'!$C$6/(1+ProductivityDefault*('5. Scenarios'!$C$11-1)))</f>
        <v/>
      </c>
      <c r="J373" s="57" t="str">
        <f aca="false">IF($I373="","",INDEX(BookRate,368)*(1+'5. Scenarios'!$C$10)*$I373)</f>
        <v/>
      </c>
      <c r="K373" s="57" t="str">
        <f aca="false">IF($J373="","",SUMIFS($J$6:$J$2405,$A$6:$A$2405,"&lt;="&amp;$A373))</f>
        <v/>
      </c>
      <c r="L373" s="57" t="str">
        <f aca="false">IF($J373="","",IF($K373&lt;=BankCostEnvelope*'5. Scenarios'!$C$7,1,0))</f>
        <v/>
      </c>
      <c r="M373" s="57" t="str">
        <f aca="false">IF($I373="","",INDEX(BookRate,368)*(1+'5. Scenarios'!$C$10)*(INDEX(BookQ1,368)*(5-MIN(4,1+'5. Scenarios'!$C$8))/4+INDEX(BookQ2,368)*(5-MIN(4,2+'5. Scenarios'!$C$8))/4+INDEX(BookQ3,368)*(5-MIN(4,3+'5. Scenarios'!$C$8))/4+INDEX(BookQ4,368)*(5-MIN(4,4+'5. Scenarios'!$C$8))/4)*'5. Scenarios'!$C$6/(1+ProductivityDefault*('5. Scenarios'!$C$11-1))+INDEX(BookOneOff,368)*$I373)</f>
        <v/>
      </c>
      <c r="N373" s="56" t="str">
        <f aca="false">IF(INDEX(BookTitle,368)="","",INDEX(BookTotal,368)*'5. Scenarios'!$D$6/(1+ProductivityDefault*('5. Scenarios'!$D$11-1)))</f>
        <v/>
      </c>
      <c r="O373" s="57" t="str">
        <f aca="false">IF($N373="","",INDEX(BookRate,368)*(1+'5. Scenarios'!$D$10)*$N373)</f>
        <v/>
      </c>
      <c r="P373" s="57" t="str">
        <f aca="false">IF($O373="","",SUMIFS($O$6:$O$2405,$A$6:$A$2405,"&lt;="&amp;$A373))</f>
        <v/>
      </c>
      <c r="Q373" s="57" t="str">
        <f aca="false">IF($O373="","",IF($P373&lt;=BankCostEnvelope*'5. Scenarios'!$D$7,1,0))</f>
        <v/>
      </c>
      <c r="R373" s="57" t="str">
        <f aca="false">IF($N373="","",INDEX(BookRate,368)*(1+'5. Scenarios'!$D$10)*(INDEX(BookQ1,368)*(5-MIN(4,1+'5. Scenarios'!$D$8))/4+INDEX(BookQ2,368)*(5-MIN(4,2+'5. Scenarios'!$D$8))/4+INDEX(BookQ3,368)*(5-MIN(4,3+'5. Scenarios'!$D$8))/4+INDEX(BookQ4,368)*(5-MIN(4,4+'5. Scenarios'!$D$8))/4)*'5. Scenarios'!$D$6/(1+ProductivityDefault*('5. Scenarios'!$D$11-1))+INDEX(BookOneOff,368)*$N373)</f>
        <v/>
      </c>
      <c r="S373" s="56" t="str">
        <f aca="false">IF(INDEX(BookTitle,368)="","",INDEX(BookTotal,368)*'5. Scenarios'!$E$6/(1+ProductivityDefault*('5. Scenarios'!$E$11-1)))</f>
        <v/>
      </c>
      <c r="T373" s="57" t="str">
        <f aca="false">IF($S373="","",INDEX(BookRate,368)*(1+'5. Scenarios'!$E$10)*$S373)</f>
        <v/>
      </c>
      <c r="U373" s="57" t="str">
        <f aca="false">IF($T373="","",SUMIFS($T$6:$T$2405,$A$6:$A$2405,"&lt;="&amp;$A373))</f>
        <v/>
      </c>
      <c r="V373" s="57" t="str">
        <f aca="false">IF($T373="","",IF($U373&lt;=BankCostEnvelope*'5. Scenarios'!$E$7,1,0))</f>
        <v/>
      </c>
      <c r="W373" s="57" t="str">
        <f aca="false">IF($S373="","",INDEX(BookRate,368)*(1+'5. Scenarios'!$E$10)*(INDEX(BookQ1,368)*(5-MIN(4,1+'5. Scenarios'!$E$8))/4+INDEX(BookQ2,368)*(5-MIN(4,2+'5. Scenarios'!$E$8))/4+INDEX(BookQ3,368)*(5-MIN(4,3+'5. Scenarios'!$E$8))/4+INDEX(BookQ4,368)*(5-MIN(4,4+'5. Scenarios'!$E$8))/4)*'5. Scenarios'!$E$6/(1+ProductivityDefault*('5. Scenarios'!$E$11-1))+INDEX(BookOneOff,368)*$S373)</f>
        <v/>
      </c>
    </row>
    <row r="374" customFormat="false" ht="15" hidden="false" customHeight="false" outlineLevel="0" collapsed="false">
      <c r="A374" s="0" t="str">
        <f aca="false">IF(INDEX(BookTitle,369)="","",INDEX(BookKey,369))</f>
        <v/>
      </c>
      <c r="B374" s="0" t="str">
        <f aca="false">IF(INDEX(BookTitle,369)="","",INDEX(BookGroup,369))</f>
        <v/>
      </c>
      <c r="C374" s="0" t="str">
        <f aca="false">IF(INDEX(BookTitle,369)="","",INDEX(BookCategory,369))</f>
        <v/>
      </c>
      <c r="D374" s="56" t="str">
        <f aca="false">IF(INDEX(BookTitle,369)="","",INDEX(BookTotal,369)*'5. Scenarios'!$B$6/(1+ProductivityDefault*('5. Scenarios'!$B$11-1)))</f>
        <v/>
      </c>
      <c r="E374" s="57" t="str">
        <f aca="false">IF($D374="","",INDEX(BookRate,369)*(1+'5. Scenarios'!$B$10)*$D374)</f>
        <v/>
      </c>
      <c r="F374" s="57" t="str">
        <f aca="false">IF($E374="","",SUMIFS($E$6:$E$2405,$A$6:$A$2405,"&lt;="&amp;$A374))</f>
        <v/>
      </c>
      <c r="G374" s="57" t="str">
        <f aca="false">IF($E374="","",IF($F374&lt;=BankCostEnvelope*'5. Scenarios'!$B$7,1,0))</f>
        <v/>
      </c>
      <c r="H374" s="57" t="str">
        <f aca="false">IF($D374="","",INDEX(BookRate,369)*(1+'5. Scenarios'!$B$10)*(INDEX(BookQ1,369)*(5-MIN(4,1+'5. Scenarios'!$B$8))/4+INDEX(BookQ2,369)*(5-MIN(4,2+'5. Scenarios'!$B$8))/4+INDEX(BookQ3,369)*(5-MIN(4,3+'5. Scenarios'!$B$8))/4+INDEX(BookQ4,369)*(5-MIN(4,4+'5. Scenarios'!$B$8))/4)*'5. Scenarios'!$B$6/(1+ProductivityDefault*('5. Scenarios'!$B$11-1))+INDEX(BookOneOff,369)*$D374)</f>
        <v/>
      </c>
      <c r="I374" s="56" t="str">
        <f aca="false">IF(INDEX(BookTitle,369)="","",INDEX(BookTotal,369)*'5. Scenarios'!$C$6/(1+ProductivityDefault*('5. Scenarios'!$C$11-1)))</f>
        <v/>
      </c>
      <c r="J374" s="57" t="str">
        <f aca="false">IF($I374="","",INDEX(BookRate,369)*(1+'5. Scenarios'!$C$10)*$I374)</f>
        <v/>
      </c>
      <c r="K374" s="57" t="str">
        <f aca="false">IF($J374="","",SUMIFS($J$6:$J$2405,$A$6:$A$2405,"&lt;="&amp;$A374))</f>
        <v/>
      </c>
      <c r="L374" s="57" t="str">
        <f aca="false">IF($J374="","",IF($K374&lt;=BankCostEnvelope*'5. Scenarios'!$C$7,1,0))</f>
        <v/>
      </c>
      <c r="M374" s="57" t="str">
        <f aca="false">IF($I374="","",INDEX(BookRate,369)*(1+'5. Scenarios'!$C$10)*(INDEX(BookQ1,369)*(5-MIN(4,1+'5. Scenarios'!$C$8))/4+INDEX(BookQ2,369)*(5-MIN(4,2+'5. Scenarios'!$C$8))/4+INDEX(BookQ3,369)*(5-MIN(4,3+'5. Scenarios'!$C$8))/4+INDEX(BookQ4,369)*(5-MIN(4,4+'5. Scenarios'!$C$8))/4)*'5. Scenarios'!$C$6/(1+ProductivityDefault*('5. Scenarios'!$C$11-1))+INDEX(BookOneOff,369)*$I374)</f>
        <v/>
      </c>
      <c r="N374" s="56" t="str">
        <f aca="false">IF(INDEX(BookTitle,369)="","",INDEX(BookTotal,369)*'5. Scenarios'!$D$6/(1+ProductivityDefault*('5. Scenarios'!$D$11-1)))</f>
        <v/>
      </c>
      <c r="O374" s="57" t="str">
        <f aca="false">IF($N374="","",INDEX(BookRate,369)*(1+'5. Scenarios'!$D$10)*$N374)</f>
        <v/>
      </c>
      <c r="P374" s="57" t="str">
        <f aca="false">IF($O374="","",SUMIFS($O$6:$O$2405,$A$6:$A$2405,"&lt;="&amp;$A374))</f>
        <v/>
      </c>
      <c r="Q374" s="57" t="str">
        <f aca="false">IF($O374="","",IF($P374&lt;=BankCostEnvelope*'5. Scenarios'!$D$7,1,0))</f>
        <v/>
      </c>
      <c r="R374" s="57" t="str">
        <f aca="false">IF($N374="","",INDEX(BookRate,369)*(1+'5. Scenarios'!$D$10)*(INDEX(BookQ1,369)*(5-MIN(4,1+'5. Scenarios'!$D$8))/4+INDEX(BookQ2,369)*(5-MIN(4,2+'5. Scenarios'!$D$8))/4+INDEX(BookQ3,369)*(5-MIN(4,3+'5. Scenarios'!$D$8))/4+INDEX(BookQ4,369)*(5-MIN(4,4+'5. Scenarios'!$D$8))/4)*'5. Scenarios'!$D$6/(1+ProductivityDefault*('5. Scenarios'!$D$11-1))+INDEX(BookOneOff,369)*$N374)</f>
        <v/>
      </c>
      <c r="S374" s="56" t="str">
        <f aca="false">IF(INDEX(BookTitle,369)="","",INDEX(BookTotal,369)*'5. Scenarios'!$E$6/(1+ProductivityDefault*('5. Scenarios'!$E$11-1)))</f>
        <v/>
      </c>
      <c r="T374" s="57" t="str">
        <f aca="false">IF($S374="","",INDEX(BookRate,369)*(1+'5. Scenarios'!$E$10)*$S374)</f>
        <v/>
      </c>
      <c r="U374" s="57" t="str">
        <f aca="false">IF($T374="","",SUMIFS($T$6:$T$2405,$A$6:$A$2405,"&lt;="&amp;$A374))</f>
        <v/>
      </c>
      <c r="V374" s="57" t="str">
        <f aca="false">IF($T374="","",IF($U374&lt;=BankCostEnvelope*'5. Scenarios'!$E$7,1,0))</f>
        <v/>
      </c>
      <c r="W374" s="57" t="str">
        <f aca="false">IF($S374="","",INDEX(BookRate,369)*(1+'5. Scenarios'!$E$10)*(INDEX(BookQ1,369)*(5-MIN(4,1+'5. Scenarios'!$E$8))/4+INDEX(BookQ2,369)*(5-MIN(4,2+'5. Scenarios'!$E$8))/4+INDEX(BookQ3,369)*(5-MIN(4,3+'5. Scenarios'!$E$8))/4+INDEX(BookQ4,369)*(5-MIN(4,4+'5. Scenarios'!$E$8))/4)*'5. Scenarios'!$E$6/(1+ProductivityDefault*('5. Scenarios'!$E$11-1))+INDEX(BookOneOff,369)*$S374)</f>
        <v/>
      </c>
    </row>
    <row r="375" customFormat="false" ht="15" hidden="false" customHeight="false" outlineLevel="0" collapsed="false">
      <c r="A375" s="0" t="str">
        <f aca="false">IF(INDEX(BookTitle,370)="","",INDEX(BookKey,370))</f>
        <v/>
      </c>
      <c r="B375" s="0" t="str">
        <f aca="false">IF(INDEX(BookTitle,370)="","",INDEX(BookGroup,370))</f>
        <v/>
      </c>
      <c r="C375" s="0" t="str">
        <f aca="false">IF(INDEX(BookTitle,370)="","",INDEX(BookCategory,370))</f>
        <v/>
      </c>
      <c r="D375" s="56" t="str">
        <f aca="false">IF(INDEX(BookTitle,370)="","",INDEX(BookTotal,370)*'5. Scenarios'!$B$6/(1+ProductivityDefault*('5. Scenarios'!$B$11-1)))</f>
        <v/>
      </c>
      <c r="E375" s="57" t="str">
        <f aca="false">IF($D375="","",INDEX(BookRate,370)*(1+'5. Scenarios'!$B$10)*$D375)</f>
        <v/>
      </c>
      <c r="F375" s="57" t="str">
        <f aca="false">IF($E375="","",SUMIFS($E$6:$E$2405,$A$6:$A$2405,"&lt;="&amp;$A375))</f>
        <v/>
      </c>
      <c r="G375" s="57" t="str">
        <f aca="false">IF($E375="","",IF($F375&lt;=BankCostEnvelope*'5. Scenarios'!$B$7,1,0))</f>
        <v/>
      </c>
      <c r="H375" s="57" t="str">
        <f aca="false">IF($D375="","",INDEX(BookRate,370)*(1+'5. Scenarios'!$B$10)*(INDEX(BookQ1,370)*(5-MIN(4,1+'5. Scenarios'!$B$8))/4+INDEX(BookQ2,370)*(5-MIN(4,2+'5. Scenarios'!$B$8))/4+INDEX(BookQ3,370)*(5-MIN(4,3+'5. Scenarios'!$B$8))/4+INDEX(BookQ4,370)*(5-MIN(4,4+'5. Scenarios'!$B$8))/4)*'5. Scenarios'!$B$6/(1+ProductivityDefault*('5. Scenarios'!$B$11-1))+INDEX(BookOneOff,370)*$D375)</f>
        <v/>
      </c>
      <c r="I375" s="56" t="str">
        <f aca="false">IF(INDEX(BookTitle,370)="","",INDEX(BookTotal,370)*'5. Scenarios'!$C$6/(1+ProductivityDefault*('5. Scenarios'!$C$11-1)))</f>
        <v/>
      </c>
      <c r="J375" s="57" t="str">
        <f aca="false">IF($I375="","",INDEX(BookRate,370)*(1+'5. Scenarios'!$C$10)*$I375)</f>
        <v/>
      </c>
      <c r="K375" s="57" t="str">
        <f aca="false">IF($J375="","",SUMIFS($J$6:$J$2405,$A$6:$A$2405,"&lt;="&amp;$A375))</f>
        <v/>
      </c>
      <c r="L375" s="57" t="str">
        <f aca="false">IF($J375="","",IF($K375&lt;=BankCostEnvelope*'5. Scenarios'!$C$7,1,0))</f>
        <v/>
      </c>
      <c r="M375" s="57" t="str">
        <f aca="false">IF($I375="","",INDEX(BookRate,370)*(1+'5. Scenarios'!$C$10)*(INDEX(BookQ1,370)*(5-MIN(4,1+'5. Scenarios'!$C$8))/4+INDEX(BookQ2,370)*(5-MIN(4,2+'5. Scenarios'!$C$8))/4+INDEX(BookQ3,370)*(5-MIN(4,3+'5. Scenarios'!$C$8))/4+INDEX(BookQ4,370)*(5-MIN(4,4+'5. Scenarios'!$C$8))/4)*'5. Scenarios'!$C$6/(1+ProductivityDefault*('5. Scenarios'!$C$11-1))+INDEX(BookOneOff,370)*$I375)</f>
        <v/>
      </c>
      <c r="N375" s="56" t="str">
        <f aca="false">IF(INDEX(BookTitle,370)="","",INDEX(BookTotal,370)*'5. Scenarios'!$D$6/(1+ProductivityDefault*('5. Scenarios'!$D$11-1)))</f>
        <v/>
      </c>
      <c r="O375" s="57" t="str">
        <f aca="false">IF($N375="","",INDEX(BookRate,370)*(1+'5. Scenarios'!$D$10)*$N375)</f>
        <v/>
      </c>
      <c r="P375" s="57" t="str">
        <f aca="false">IF($O375="","",SUMIFS($O$6:$O$2405,$A$6:$A$2405,"&lt;="&amp;$A375))</f>
        <v/>
      </c>
      <c r="Q375" s="57" t="str">
        <f aca="false">IF($O375="","",IF($P375&lt;=BankCostEnvelope*'5. Scenarios'!$D$7,1,0))</f>
        <v/>
      </c>
      <c r="R375" s="57" t="str">
        <f aca="false">IF($N375="","",INDEX(BookRate,370)*(1+'5. Scenarios'!$D$10)*(INDEX(BookQ1,370)*(5-MIN(4,1+'5. Scenarios'!$D$8))/4+INDEX(BookQ2,370)*(5-MIN(4,2+'5. Scenarios'!$D$8))/4+INDEX(BookQ3,370)*(5-MIN(4,3+'5. Scenarios'!$D$8))/4+INDEX(BookQ4,370)*(5-MIN(4,4+'5. Scenarios'!$D$8))/4)*'5. Scenarios'!$D$6/(1+ProductivityDefault*('5. Scenarios'!$D$11-1))+INDEX(BookOneOff,370)*$N375)</f>
        <v/>
      </c>
      <c r="S375" s="56" t="str">
        <f aca="false">IF(INDEX(BookTitle,370)="","",INDEX(BookTotal,370)*'5. Scenarios'!$E$6/(1+ProductivityDefault*('5. Scenarios'!$E$11-1)))</f>
        <v/>
      </c>
      <c r="T375" s="57" t="str">
        <f aca="false">IF($S375="","",INDEX(BookRate,370)*(1+'5. Scenarios'!$E$10)*$S375)</f>
        <v/>
      </c>
      <c r="U375" s="57" t="str">
        <f aca="false">IF($T375="","",SUMIFS($T$6:$T$2405,$A$6:$A$2405,"&lt;="&amp;$A375))</f>
        <v/>
      </c>
      <c r="V375" s="57" t="str">
        <f aca="false">IF($T375="","",IF($U375&lt;=BankCostEnvelope*'5. Scenarios'!$E$7,1,0))</f>
        <v/>
      </c>
      <c r="W375" s="57" t="str">
        <f aca="false">IF($S375="","",INDEX(BookRate,370)*(1+'5. Scenarios'!$E$10)*(INDEX(BookQ1,370)*(5-MIN(4,1+'5. Scenarios'!$E$8))/4+INDEX(BookQ2,370)*(5-MIN(4,2+'5. Scenarios'!$E$8))/4+INDEX(BookQ3,370)*(5-MIN(4,3+'5. Scenarios'!$E$8))/4+INDEX(BookQ4,370)*(5-MIN(4,4+'5. Scenarios'!$E$8))/4)*'5. Scenarios'!$E$6/(1+ProductivityDefault*('5. Scenarios'!$E$11-1))+INDEX(BookOneOff,370)*$S375)</f>
        <v/>
      </c>
    </row>
    <row r="376" customFormat="false" ht="15" hidden="false" customHeight="false" outlineLevel="0" collapsed="false">
      <c r="A376" s="0" t="str">
        <f aca="false">IF(INDEX(BookTitle,371)="","",INDEX(BookKey,371))</f>
        <v/>
      </c>
      <c r="B376" s="0" t="str">
        <f aca="false">IF(INDEX(BookTitle,371)="","",INDEX(BookGroup,371))</f>
        <v/>
      </c>
      <c r="C376" s="0" t="str">
        <f aca="false">IF(INDEX(BookTitle,371)="","",INDEX(BookCategory,371))</f>
        <v/>
      </c>
      <c r="D376" s="56" t="str">
        <f aca="false">IF(INDEX(BookTitle,371)="","",INDEX(BookTotal,371)*'5. Scenarios'!$B$6/(1+ProductivityDefault*('5. Scenarios'!$B$11-1)))</f>
        <v/>
      </c>
      <c r="E376" s="57" t="str">
        <f aca="false">IF($D376="","",INDEX(BookRate,371)*(1+'5. Scenarios'!$B$10)*$D376)</f>
        <v/>
      </c>
      <c r="F376" s="57" t="str">
        <f aca="false">IF($E376="","",SUMIFS($E$6:$E$2405,$A$6:$A$2405,"&lt;="&amp;$A376))</f>
        <v/>
      </c>
      <c r="G376" s="57" t="str">
        <f aca="false">IF($E376="","",IF($F376&lt;=BankCostEnvelope*'5. Scenarios'!$B$7,1,0))</f>
        <v/>
      </c>
      <c r="H376" s="57" t="str">
        <f aca="false">IF($D376="","",INDEX(BookRate,371)*(1+'5. Scenarios'!$B$10)*(INDEX(BookQ1,371)*(5-MIN(4,1+'5. Scenarios'!$B$8))/4+INDEX(BookQ2,371)*(5-MIN(4,2+'5. Scenarios'!$B$8))/4+INDEX(BookQ3,371)*(5-MIN(4,3+'5. Scenarios'!$B$8))/4+INDEX(BookQ4,371)*(5-MIN(4,4+'5. Scenarios'!$B$8))/4)*'5. Scenarios'!$B$6/(1+ProductivityDefault*('5. Scenarios'!$B$11-1))+INDEX(BookOneOff,371)*$D376)</f>
        <v/>
      </c>
      <c r="I376" s="56" t="str">
        <f aca="false">IF(INDEX(BookTitle,371)="","",INDEX(BookTotal,371)*'5. Scenarios'!$C$6/(1+ProductivityDefault*('5. Scenarios'!$C$11-1)))</f>
        <v/>
      </c>
      <c r="J376" s="57" t="str">
        <f aca="false">IF($I376="","",INDEX(BookRate,371)*(1+'5. Scenarios'!$C$10)*$I376)</f>
        <v/>
      </c>
      <c r="K376" s="57" t="str">
        <f aca="false">IF($J376="","",SUMIFS($J$6:$J$2405,$A$6:$A$2405,"&lt;="&amp;$A376))</f>
        <v/>
      </c>
      <c r="L376" s="57" t="str">
        <f aca="false">IF($J376="","",IF($K376&lt;=BankCostEnvelope*'5. Scenarios'!$C$7,1,0))</f>
        <v/>
      </c>
      <c r="M376" s="57" t="str">
        <f aca="false">IF($I376="","",INDEX(BookRate,371)*(1+'5. Scenarios'!$C$10)*(INDEX(BookQ1,371)*(5-MIN(4,1+'5. Scenarios'!$C$8))/4+INDEX(BookQ2,371)*(5-MIN(4,2+'5. Scenarios'!$C$8))/4+INDEX(BookQ3,371)*(5-MIN(4,3+'5. Scenarios'!$C$8))/4+INDEX(BookQ4,371)*(5-MIN(4,4+'5. Scenarios'!$C$8))/4)*'5. Scenarios'!$C$6/(1+ProductivityDefault*('5. Scenarios'!$C$11-1))+INDEX(BookOneOff,371)*$I376)</f>
        <v/>
      </c>
      <c r="N376" s="56" t="str">
        <f aca="false">IF(INDEX(BookTitle,371)="","",INDEX(BookTotal,371)*'5. Scenarios'!$D$6/(1+ProductivityDefault*('5. Scenarios'!$D$11-1)))</f>
        <v/>
      </c>
      <c r="O376" s="57" t="str">
        <f aca="false">IF($N376="","",INDEX(BookRate,371)*(1+'5. Scenarios'!$D$10)*$N376)</f>
        <v/>
      </c>
      <c r="P376" s="57" t="str">
        <f aca="false">IF($O376="","",SUMIFS($O$6:$O$2405,$A$6:$A$2405,"&lt;="&amp;$A376))</f>
        <v/>
      </c>
      <c r="Q376" s="57" t="str">
        <f aca="false">IF($O376="","",IF($P376&lt;=BankCostEnvelope*'5. Scenarios'!$D$7,1,0))</f>
        <v/>
      </c>
      <c r="R376" s="57" t="str">
        <f aca="false">IF($N376="","",INDEX(BookRate,371)*(1+'5. Scenarios'!$D$10)*(INDEX(BookQ1,371)*(5-MIN(4,1+'5. Scenarios'!$D$8))/4+INDEX(BookQ2,371)*(5-MIN(4,2+'5. Scenarios'!$D$8))/4+INDEX(BookQ3,371)*(5-MIN(4,3+'5. Scenarios'!$D$8))/4+INDEX(BookQ4,371)*(5-MIN(4,4+'5. Scenarios'!$D$8))/4)*'5. Scenarios'!$D$6/(1+ProductivityDefault*('5. Scenarios'!$D$11-1))+INDEX(BookOneOff,371)*$N376)</f>
        <v/>
      </c>
      <c r="S376" s="56" t="str">
        <f aca="false">IF(INDEX(BookTitle,371)="","",INDEX(BookTotal,371)*'5. Scenarios'!$E$6/(1+ProductivityDefault*('5. Scenarios'!$E$11-1)))</f>
        <v/>
      </c>
      <c r="T376" s="57" t="str">
        <f aca="false">IF($S376="","",INDEX(BookRate,371)*(1+'5. Scenarios'!$E$10)*$S376)</f>
        <v/>
      </c>
      <c r="U376" s="57" t="str">
        <f aca="false">IF($T376="","",SUMIFS($T$6:$T$2405,$A$6:$A$2405,"&lt;="&amp;$A376))</f>
        <v/>
      </c>
      <c r="V376" s="57" t="str">
        <f aca="false">IF($T376="","",IF($U376&lt;=BankCostEnvelope*'5. Scenarios'!$E$7,1,0))</f>
        <v/>
      </c>
      <c r="W376" s="57" t="str">
        <f aca="false">IF($S376="","",INDEX(BookRate,371)*(1+'5. Scenarios'!$E$10)*(INDEX(BookQ1,371)*(5-MIN(4,1+'5. Scenarios'!$E$8))/4+INDEX(BookQ2,371)*(5-MIN(4,2+'5. Scenarios'!$E$8))/4+INDEX(BookQ3,371)*(5-MIN(4,3+'5. Scenarios'!$E$8))/4+INDEX(BookQ4,371)*(5-MIN(4,4+'5. Scenarios'!$E$8))/4)*'5. Scenarios'!$E$6/(1+ProductivityDefault*('5. Scenarios'!$E$11-1))+INDEX(BookOneOff,371)*$S376)</f>
        <v/>
      </c>
    </row>
    <row r="377" customFormat="false" ht="15" hidden="false" customHeight="false" outlineLevel="0" collapsed="false">
      <c r="A377" s="0" t="str">
        <f aca="false">IF(INDEX(BookTitle,372)="","",INDEX(BookKey,372))</f>
        <v/>
      </c>
      <c r="B377" s="0" t="str">
        <f aca="false">IF(INDEX(BookTitle,372)="","",INDEX(BookGroup,372))</f>
        <v/>
      </c>
      <c r="C377" s="0" t="str">
        <f aca="false">IF(INDEX(BookTitle,372)="","",INDEX(BookCategory,372))</f>
        <v/>
      </c>
      <c r="D377" s="56" t="str">
        <f aca="false">IF(INDEX(BookTitle,372)="","",INDEX(BookTotal,372)*'5. Scenarios'!$B$6/(1+ProductivityDefault*('5. Scenarios'!$B$11-1)))</f>
        <v/>
      </c>
      <c r="E377" s="57" t="str">
        <f aca="false">IF($D377="","",INDEX(BookRate,372)*(1+'5. Scenarios'!$B$10)*$D377)</f>
        <v/>
      </c>
      <c r="F377" s="57" t="str">
        <f aca="false">IF($E377="","",SUMIFS($E$6:$E$2405,$A$6:$A$2405,"&lt;="&amp;$A377))</f>
        <v/>
      </c>
      <c r="G377" s="57" t="str">
        <f aca="false">IF($E377="","",IF($F377&lt;=BankCostEnvelope*'5. Scenarios'!$B$7,1,0))</f>
        <v/>
      </c>
      <c r="H377" s="57" t="str">
        <f aca="false">IF($D377="","",INDEX(BookRate,372)*(1+'5. Scenarios'!$B$10)*(INDEX(BookQ1,372)*(5-MIN(4,1+'5. Scenarios'!$B$8))/4+INDEX(BookQ2,372)*(5-MIN(4,2+'5. Scenarios'!$B$8))/4+INDEX(BookQ3,372)*(5-MIN(4,3+'5. Scenarios'!$B$8))/4+INDEX(BookQ4,372)*(5-MIN(4,4+'5. Scenarios'!$B$8))/4)*'5. Scenarios'!$B$6/(1+ProductivityDefault*('5. Scenarios'!$B$11-1))+INDEX(BookOneOff,372)*$D377)</f>
        <v/>
      </c>
      <c r="I377" s="56" t="str">
        <f aca="false">IF(INDEX(BookTitle,372)="","",INDEX(BookTotal,372)*'5. Scenarios'!$C$6/(1+ProductivityDefault*('5. Scenarios'!$C$11-1)))</f>
        <v/>
      </c>
      <c r="J377" s="57" t="str">
        <f aca="false">IF($I377="","",INDEX(BookRate,372)*(1+'5. Scenarios'!$C$10)*$I377)</f>
        <v/>
      </c>
      <c r="K377" s="57" t="str">
        <f aca="false">IF($J377="","",SUMIFS($J$6:$J$2405,$A$6:$A$2405,"&lt;="&amp;$A377))</f>
        <v/>
      </c>
      <c r="L377" s="57" t="str">
        <f aca="false">IF($J377="","",IF($K377&lt;=BankCostEnvelope*'5. Scenarios'!$C$7,1,0))</f>
        <v/>
      </c>
      <c r="M377" s="57" t="str">
        <f aca="false">IF($I377="","",INDEX(BookRate,372)*(1+'5. Scenarios'!$C$10)*(INDEX(BookQ1,372)*(5-MIN(4,1+'5. Scenarios'!$C$8))/4+INDEX(BookQ2,372)*(5-MIN(4,2+'5. Scenarios'!$C$8))/4+INDEX(BookQ3,372)*(5-MIN(4,3+'5. Scenarios'!$C$8))/4+INDEX(BookQ4,372)*(5-MIN(4,4+'5. Scenarios'!$C$8))/4)*'5. Scenarios'!$C$6/(1+ProductivityDefault*('5. Scenarios'!$C$11-1))+INDEX(BookOneOff,372)*$I377)</f>
        <v/>
      </c>
      <c r="N377" s="56" t="str">
        <f aca="false">IF(INDEX(BookTitle,372)="","",INDEX(BookTotal,372)*'5. Scenarios'!$D$6/(1+ProductivityDefault*('5. Scenarios'!$D$11-1)))</f>
        <v/>
      </c>
      <c r="O377" s="57" t="str">
        <f aca="false">IF($N377="","",INDEX(BookRate,372)*(1+'5. Scenarios'!$D$10)*$N377)</f>
        <v/>
      </c>
      <c r="P377" s="57" t="str">
        <f aca="false">IF($O377="","",SUMIFS($O$6:$O$2405,$A$6:$A$2405,"&lt;="&amp;$A377))</f>
        <v/>
      </c>
      <c r="Q377" s="57" t="str">
        <f aca="false">IF($O377="","",IF($P377&lt;=BankCostEnvelope*'5. Scenarios'!$D$7,1,0))</f>
        <v/>
      </c>
      <c r="R377" s="57" t="str">
        <f aca="false">IF($N377="","",INDEX(BookRate,372)*(1+'5. Scenarios'!$D$10)*(INDEX(BookQ1,372)*(5-MIN(4,1+'5. Scenarios'!$D$8))/4+INDEX(BookQ2,372)*(5-MIN(4,2+'5. Scenarios'!$D$8))/4+INDEX(BookQ3,372)*(5-MIN(4,3+'5. Scenarios'!$D$8))/4+INDEX(BookQ4,372)*(5-MIN(4,4+'5. Scenarios'!$D$8))/4)*'5. Scenarios'!$D$6/(1+ProductivityDefault*('5. Scenarios'!$D$11-1))+INDEX(BookOneOff,372)*$N377)</f>
        <v/>
      </c>
      <c r="S377" s="56" t="str">
        <f aca="false">IF(INDEX(BookTitle,372)="","",INDEX(BookTotal,372)*'5. Scenarios'!$E$6/(1+ProductivityDefault*('5. Scenarios'!$E$11-1)))</f>
        <v/>
      </c>
      <c r="T377" s="57" t="str">
        <f aca="false">IF($S377="","",INDEX(BookRate,372)*(1+'5. Scenarios'!$E$10)*$S377)</f>
        <v/>
      </c>
      <c r="U377" s="57" t="str">
        <f aca="false">IF($T377="","",SUMIFS($T$6:$T$2405,$A$6:$A$2405,"&lt;="&amp;$A377))</f>
        <v/>
      </c>
      <c r="V377" s="57" t="str">
        <f aca="false">IF($T377="","",IF($U377&lt;=BankCostEnvelope*'5. Scenarios'!$E$7,1,0))</f>
        <v/>
      </c>
      <c r="W377" s="57" t="str">
        <f aca="false">IF($S377="","",INDEX(BookRate,372)*(1+'5. Scenarios'!$E$10)*(INDEX(BookQ1,372)*(5-MIN(4,1+'5. Scenarios'!$E$8))/4+INDEX(BookQ2,372)*(5-MIN(4,2+'5. Scenarios'!$E$8))/4+INDEX(BookQ3,372)*(5-MIN(4,3+'5. Scenarios'!$E$8))/4+INDEX(BookQ4,372)*(5-MIN(4,4+'5. Scenarios'!$E$8))/4)*'5. Scenarios'!$E$6/(1+ProductivityDefault*('5. Scenarios'!$E$11-1))+INDEX(BookOneOff,372)*$S377)</f>
        <v/>
      </c>
    </row>
    <row r="378" customFormat="false" ht="15" hidden="false" customHeight="false" outlineLevel="0" collapsed="false">
      <c r="A378" s="0" t="str">
        <f aca="false">IF(INDEX(BookTitle,373)="","",INDEX(BookKey,373))</f>
        <v/>
      </c>
      <c r="B378" s="0" t="str">
        <f aca="false">IF(INDEX(BookTitle,373)="","",INDEX(BookGroup,373))</f>
        <v/>
      </c>
      <c r="C378" s="0" t="str">
        <f aca="false">IF(INDEX(BookTitle,373)="","",INDEX(BookCategory,373))</f>
        <v/>
      </c>
      <c r="D378" s="56" t="str">
        <f aca="false">IF(INDEX(BookTitle,373)="","",INDEX(BookTotal,373)*'5. Scenarios'!$B$6/(1+ProductivityDefault*('5. Scenarios'!$B$11-1)))</f>
        <v/>
      </c>
      <c r="E378" s="57" t="str">
        <f aca="false">IF($D378="","",INDEX(BookRate,373)*(1+'5. Scenarios'!$B$10)*$D378)</f>
        <v/>
      </c>
      <c r="F378" s="57" t="str">
        <f aca="false">IF($E378="","",SUMIFS($E$6:$E$2405,$A$6:$A$2405,"&lt;="&amp;$A378))</f>
        <v/>
      </c>
      <c r="G378" s="57" t="str">
        <f aca="false">IF($E378="","",IF($F378&lt;=BankCostEnvelope*'5. Scenarios'!$B$7,1,0))</f>
        <v/>
      </c>
      <c r="H378" s="57" t="str">
        <f aca="false">IF($D378="","",INDEX(BookRate,373)*(1+'5. Scenarios'!$B$10)*(INDEX(BookQ1,373)*(5-MIN(4,1+'5. Scenarios'!$B$8))/4+INDEX(BookQ2,373)*(5-MIN(4,2+'5. Scenarios'!$B$8))/4+INDEX(BookQ3,373)*(5-MIN(4,3+'5. Scenarios'!$B$8))/4+INDEX(BookQ4,373)*(5-MIN(4,4+'5. Scenarios'!$B$8))/4)*'5. Scenarios'!$B$6/(1+ProductivityDefault*('5. Scenarios'!$B$11-1))+INDEX(BookOneOff,373)*$D378)</f>
        <v/>
      </c>
      <c r="I378" s="56" t="str">
        <f aca="false">IF(INDEX(BookTitle,373)="","",INDEX(BookTotal,373)*'5. Scenarios'!$C$6/(1+ProductivityDefault*('5. Scenarios'!$C$11-1)))</f>
        <v/>
      </c>
      <c r="J378" s="57" t="str">
        <f aca="false">IF($I378="","",INDEX(BookRate,373)*(1+'5. Scenarios'!$C$10)*$I378)</f>
        <v/>
      </c>
      <c r="K378" s="57" t="str">
        <f aca="false">IF($J378="","",SUMIFS($J$6:$J$2405,$A$6:$A$2405,"&lt;="&amp;$A378))</f>
        <v/>
      </c>
      <c r="L378" s="57" t="str">
        <f aca="false">IF($J378="","",IF($K378&lt;=BankCostEnvelope*'5. Scenarios'!$C$7,1,0))</f>
        <v/>
      </c>
      <c r="M378" s="57" t="str">
        <f aca="false">IF($I378="","",INDEX(BookRate,373)*(1+'5. Scenarios'!$C$10)*(INDEX(BookQ1,373)*(5-MIN(4,1+'5. Scenarios'!$C$8))/4+INDEX(BookQ2,373)*(5-MIN(4,2+'5. Scenarios'!$C$8))/4+INDEX(BookQ3,373)*(5-MIN(4,3+'5. Scenarios'!$C$8))/4+INDEX(BookQ4,373)*(5-MIN(4,4+'5. Scenarios'!$C$8))/4)*'5. Scenarios'!$C$6/(1+ProductivityDefault*('5. Scenarios'!$C$11-1))+INDEX(BookOneOff,373)*$I378)</f>
        <v/>
      </c>
      <c r="N378" s="56" t="str">
        <f aca="false">IF(INDEX(BookTitle,373)="","",INDEX(BookTotal,373)*'5. Scenarios'!$D$6/(1+ProductivityDefault*('5. Scenarios'!$D$11-1)))</f>
        <v/>
      </c>
      <c r="O378" s="57" t="str">
        <f aca="false">IF($N378="","",INDEX(BookRate,373)*(1+'5. Scenarios'!$D$10)*$N378)</f>
        <v/>
      </c>
      <c r="P378" s="57" t="str">
        <f aca="false">IF($O378="","",SUMIFS($O$6:$O$2405,$A$6:$A$2405,"&lt;="&amp;$A378))</f>
        <v/>
      </c>
      <c r="Q378" s="57" t="str">
        <f aca="false">IF($O378="","",IF($P378&lt;=BankCostEnvelope*'5. Scenarios'!$D$7,1,0))</f>
        <v/>
      </c>
      <c r="R378" s="57" t="str">
        <f aca="false">IF($N378="","",INDEX(BookRate,373)*(1+'5. Scenarios'!$D$10)*(INDEX(BookQ1,373)*(5-MIN(4,1+'5. Scenarios'!$D$8))/4+INDEX(BookQ2,373)*(5-MIN(4,2+'5. Scenarios'!$D$8))/4+INDEX(BookQ3,373)*(5-MIN(4,3+'5. Scenarios'!$D$8))/4+INDEX(BookQ4,373)*(5-MIN(4,4+'5. Scenarios'!$D$8))/4)*'5. Scenarios'!$D$6/(1+ProductivityDefault*('5. Scenarios'!$D$11-1))+INDEX(BookOneOff,373)*$N378)</f>
        <v/>
      </c>
      <c r="S378" s="56" t="str">
        <f aca="false">IF(INDEX(BookTitle,373)="","",INDEX(BookTotal,373)*'5. Scenarios'!$E$6/(1+ProductivityDefault*('5. Scenarios'!$E$11-1)))</f>
        <v/>
      </c>
      <c r="T378" s="57" t="str">
        <f aca="false">IF($S378="","",INDEX(BookRate,373)*(1+'5. Scenarios'!$E$10)*$S378)</f>
        <v/>
      </c>
      <c r="U378" s="57" t="str">
        <f aca="false">IF($T378="","",SUMIFS($T$6:$T$2405,$A$6:$A$2405,"&lt;="&amp;$A378))</f>
        <v/>
      </c>
      <c r="V378" s="57" t="str">
        <f aca="false">IF($T378="","",IF($U378&lt;=BankCostEnvelope*'5. Scenarios'!$E$7,1,0))</f>
        <v/>
      </c>
      <c r="W378" s="57" t="str">
        <f aca="false">IF($S378="","",INDEX(BookRate,373)*(1+'5. Scenarios'!$E$10)*(INDEX(BookQ1,373)*(5-MIN(4,1+'5. Scenarios'!$E$8))/4+INDEX(BookQ2,373)*(5-MIN(4,2+'5. Scenarios'!$E$8))/4+INDEX(BookQ3,373)*(5-MIN(4,3+'5. Scenarios'!$E$8))/4+INDEX(BookQ4,373)*(5-MIN(4,4+'5. Scenarios'!$E$8))/4)*'5. Scenarios'!$E$6/(1+ProductivityDefault*('5. Scenarios'!$E$11-1))+INDEX(BookOneOff,373)*$S378)</f>
        <v/>
      </c>
    </row>
    <row r="379" customFormat="false" ht="15" hidden="false" customHeight="false" outlineLevel="0" collapsed="false">
      <c r="A379" s="0" t="str">
        <f aca="false">IF(INDEX(BookTitle,374)="","",INDEX(BookKey,374))</f>
        <v/>
      </c>
      <c r="B379" s="0" t="str">
        <f aca="false">IF(INDEX(BookTitle,374)="","",INDEX(BookGroup,374))</f>
        <v/>
      </c>
      <c r="C379" s="0" t="str">
        <f aca="false">IF(INDEX(BookTitle,374)="","",INDEX(BookCategory,374))</f>
        <v/>
      </c>
      <c r="D379" s="56" t="str">
        <f aca="false">IF(INDEX(BookTitle,374)="","",INDEX(BookTotal,374)*'5. Scenarios'!$B$6/(1+ProductivityDefault*('5. Scenarios'!$B$11-1)))</f>
        <v/>
      </c>
      <c r="E379" s="57" t="str">
        <f aca="false">IF($D379="","",INDEX(BookRate,374)*(1+'5. Scenarios'!$B$10)*$D379)</f>
        <v/>
      </c>
      <c r="F379" s="57" t="str">
        <f aca="false">IF($E379="","",SUMIFS($E$6:$E$2405,$A$6:$A$2405,"&lt;="&amp;$A379))</f>
        <v/>
      </c>
      <c r="G379" s="57" t="str">
        <f aca="false">IF($E379="","",IF($F379&lt;=BankCostEnvelope*'5. Scenarios'!$B$7,1,0))</f>
        <v/>
      </c>
      <c r="H379" s="57" t="str">
        <f aca="false">IF($D379="","",INDEX(BookRate,374)*(1+'5. Scenarios'!$B$10)*(INDEX(BookQ1,374)*(5-MIN(4,1+'5. Scenarios'!$B$8))/4+INDEX(BookQ2,374)*(5-MIN(4,2+'5. Scenarios'!$B$8))/4+INDEX(BookQ3,374)*(5-MIN(4,3+'5. Scenarios'!$B$8))/4+INDEX(BookQ4,374)*(5-MIN(4,4+'5. Scenarios'!$B$8))/4)*'5. Scenarios'!$B$6/(1+ProductivityDefault*('5. Scenarios'!$B$11-1))+INDEX(BookOneOff,374)*$D379)</f>
        <v/>
      </c>
      <c r="I379" s="56" t="str">
        <f aca="false">IF(INDEX(BookTitle,374)="","",INDEX(BookTotal,374)*'5. Scenarios'!$C$6/(1+ProductivityDefault*('5. Scenarios'!$C$11-1)))</f>
        <v/>
      </c>
      <c r="J379" s="57" t="str">
        <f aca="false">IF($I379="","",INDEX(BookRate,374)*(1+'5. Scenarios'!$C$10)*$I379)</f>
        <v/>
      </c>
      <c r="K379" s="57" t="str">
        <f aca="false">IF($J379="","",SUMIFS($J$6:$J$2405,$A$6:$A$2405,"&lt;="&amp;$A379))</f>
        <v/>
      </c>
      <c r="L379" s="57" t="str">
        <f aca="false">IF($J379="","",IF($K379&lt;=BankCostEnvelope*'5. Scenarios'!$C$7,1,0))</f>
        <v/>
      </c>
      <c r="M379" s="57" t="str">
        <f aca="false">IF($I379="","",INDEX(BookRate,374)*(1+'5. Scenarios'!$C$10)*(INDEX(BookQ1,374)*(5-MIN(4,1+'5. Scenarios'!$C$8))/4+INDEX(BookQ2,374)*(5-MIN(4,2+'5. Scenarios'!$C$8))/4+INDEX(BookQ3,374)*(5-MIN(4,3+'5. Scenarios'!$C$8))/4+INDEX(BookQ4,374)*(5-MIN(4,4+'5. Scenarios'!$C$8))/4)*'5. Scenarios'!$C$6/(1+ProductivityDefault*('5. Scenarios'!$C$11-1))+INDEX(BookOneOff,374)*$I379)</f>
        <v/>
      </c>
      <c r="N379" s="56" t="str">
        <f aca="false">IF(INDEX(BookTitle,374)="","",INDEX(BookTotal,374)*'5. Scenarios'!$D$6/(1+ProductivityDefault*('5. Scenarios'!$D$11-1)))</f>
        <v/>
      </c>
      <c r="O379" s="57" t="str">
        <f aca="false">IF($N379="","",INDEX(BookRate,374)*(1+'5. Scenarios'!$D$10)*$N379)</f>
        <v/>
      </c>
      <c r="P379" s="57" t="str">
        <f aca="false">IF($O379="","",SUMIFS($O$6:$O$2405,$A$6:$A$2405,"&lt;="&amp;$A379))</f>
        <v/>
      </c>
      <c r="Q379" s="57" t="str">
        <f aca="false">IF($O379="","",IF($P379&lt;=BankCostEnvelope*'5. Scenarios'!$D$7,1,0))</f>
        <v/>
      </c>
      <c r="R379" s="57" t="str">
        <f aca="false">IF($N379="","",INDEX(BookRate,374)*(1+'5. Scenarios'!$D$10)*(INDEX(BookQ1,374)*(5-MIN(4,1+'5. Scenarios'!$D$8))/4+INDEX(BookQ2,374)*(5-MIN(4,2+'5. Scenarios'!$D$8))/4+INDEX(BookQ3,374)*(5-MIN(4,3+'5. Scenarios'!$D$8))/4+INDEX(BookQ4,374)*(5-MIN(4,4+'5. Scenarios'!$D$8))/4)*'5. Scenarios'!$D$6/(1+ProductivityDefault*('5. Scenarios'!$D$11-1))+INDEX(BookOneOff,374)*$N379)</f>
        <v/>
      </c>
      <c r="S379" s="56" t="str">
        <f aca="false">IF(INDEX(BookTitle,374)="","",INDEX(BookTotal,374)*'5. Scenarios'!$E$6/(1+ProductivityDefault*('5. Scenarios'!$E$11-1)))</f>
        <v/>
      </c>
      <c r="T379" s="57" t="str">
        <f aca="false">IF($S379="","",INDEX(BookRate,374)*(1+'5. Scenarios'!$E$10)*$S379)</f>
        <v/>
      </c>
      <c r="U379" s="57" t="str">
        <f aca="false">IF($T379="","",SUMIFS($T$6:$T$2405,$A$6:$A$2405,"&lt;="&amp;$A379))</f>
        <v/>
      </c>
      <c r="V379" s="57" t="str">
        <f aca="false">IF($T379="","",IF($U379&lt;=BankCostEnvelope*'5. Scenarios'!$E$7,1,0))</f>
        <v/>
      </c>
      <c r="W379" s="57" t="str">
        <f aca="false">IF($S379="","",INDEX(BookRate,374)*(1+'5. Scenarios'!$E$10)*(INDEX(BookQ1,374)*(5-MIN(4,1+'5. Scenarios'!$E$8))/4+INDEX(BookQ2,374)*(5-MIN(4,2+'5. Scenarios'!$E$8))/4+INDEX(BookQ3,374)*(5-MIN(4,3+'5. Scenarios'!$E$8))/4+INDEX(BookQ4,374)*(5-MIN(4,4+'5. Scenarios'!$E$8))/4)*'5. Scenarios'!$E$6/(1+ProductivityDefault*('5. Scenarios'!$E$11-1))+INDEX(BookOneOff,374)*$S379)</f>
        <v/>
      </c>
    </row>
    <row r="380" customFormat="false" ht="15" hidden="false" customHeight="false" outlineLevel="0" collapsed="false">
      <c r="A380" s="0" t="str">
        <f aca="false">IF(INDEX(BookTitle,375)="","",INDEX(BookKey,375))</f>
        <v/>
      </c>
      <c r="B380" s="0" t="str">
        <f aca="false">IF(INDEX(BookTitle,375)="","",INDEX(BookGroup,375))</f>
        <v/>
      </c>
      <c r="C380" s="0" t="str">
        <f aca="false">IF(INDEX(BookTitle,375)="","",INDEX(BookCategory,375))</f>
        <v/>
      </c>
      <c r="D380" s="56" t="str">
        <f aca="false">IF(INDEX(BookTitle,375)="","",INDEX(BookTotal,375)*'5. Scenarios'!$B$6/(1+ProductivityDefault*('5. Scenarios'!$B$11-1)))</f>
        <v/>
      </c>
      <c r="E380" s="57" t="str">
        <f aca="false">IF($D380="","",INDEX(BookRate,375)*(1+'5. Scenarios'!$B$10)*$D380)</f>
        <v/>
      </c>
      <c r="F380" s="57" t="str">
        <f aca="false">IF($E380="","",SUMIFS($E$6:$E$2405,$A$6:$A$2405,"&lt;="&amp;$A380))</f>
        <v/>
      </c>
      <c r="G380" s="57" t="str">
        <f aca="false">IF($E380="","",IF($F380&lt;=BankCostEnvelope*'5. Scenarios'!$B$7,1,0))</f>
        <v/>
      </c>
      <c r="H380" s="57" t="str">
        <f aca="false">IF($D380="","",INDEX(BookRate,375)*(1+'5. Scenarios'!$B$10)*(INDEX(BookQ1,375)*(5-MIN(4,1+'5. Scenarios'!$B$8))/4+INDEX(BookQ2,375)*(5-MIN(4,2+'5. Scenarios'!$B$8))/4+INDEX(BookQ3,375)*(5-MIN(4,3+'5. Scenarios'!$B$8))/4+INDEX(BookQ4,375)*(5-MIN(4,4+'5. Scenarios'!$B$8))/4)*'5. Scenarios'!$B$6/(1+ProductivityDefault*('5. Scenarios'!$B$11-1))+INDEX(BookOneOff,375)*$D380)</f>
        <v/>
      </c>
      <c r="I380" s="56" t="str">
        <f aca="false">IF(INDEX(BookTitle,375)="","",INDEX(BookTotal,375)*'5. Scenarios'!$C$6/(1+ProductivityDefault*('5. Scenarios'!$C$11-1)))</f>
        <v/>
      </c>
      <c r="J380" s="57" t="str">
        <f aca="false">IF($I380="","",INDEX(BookRate,375)*(1+'5. Scenarios'!$C$10)*$I380)</f>
        <v/>
      </c>
      <c r="K380" s="57" t="str">
        <f aca="false">IF($J380="","",SUMIFS($J$6:$J$2405,$A$6:$A$2405,"&lt;="&amp;$A380))</f>
        <v/>
      </c>
      <c r="L380" s="57" t="str">
        <f aca="false">IF($J380="","",IF($K380&lt;=BankCostEnvelope*'5. Scenarios'!$C$7,1,0))</f>
        <v/>
      </c>
      <c r="M380" s="57" t="str">
        <f aca="false">IF($I380="","",INDEX(BookRate,375)*(1+'5. Scenarios'!$C$10)*(INDEX(BookQ1,375)*(5-MIN(4,1+'5. Scenarios'!$C$8))/4+INDEX(BookQ2,375)*(5-MIN(4,2+'5. Scenarios'!$C$8))/4+INDEX(BookQ3,375)*(5-MIN(4,3+'5. Scenarios'!$C$8))/4+INDEX(BookQ4,375)*(5-MIN(4,4+'5. Scenarios'!$C$8))/4)*'5. Scenarios'!$C$6/(1+ProductivityDefault*('5. Scenarios'!$C$11-1))+INDEX(BookOneOff,375)*$I380)</f>
        <v/>
      </c>
      <c r="N380" s="56" t="str">
        <f aca="false">IF(INDEX(BookTitle,375)="","",INDEX(BookTotal,375)*'5. Scenarios'!$D$6/(1+ProductivityDefault*('5. Scenarios'!$D$11-1)))</f>
        <v/>
      </c>
      <c r="O380" s="57" t="str">
        <f aca="false">IF($N380="","",INDEX(BookRate,375)*(1+'5. Scenarios'!$D$10)*$N380)</f>
        <v/>
      </c>
      <c r="P380" s="57" t="str">
        <f aca="false">IF($O380="","",SUMIFS($O$6:$O$2405,$A$6:$A$2405,"&lt;="&amp;$A380))</f>
        <v/>
      </c>
      <c r="Q380" s="57" t="str">
        <f aca="false">IF($O380="","",IF($P380&lt;=BankCostEnvelope*'5. Scenarios'!$D$7,1,0))</f>
        <v/>
      </c>
      <c r="R380" s="57" t="str">
        <f aca="false">IF($N380="","",INDEX(BookRate,375)*(1+'5. Scenarios'!$D$10)*(INDEX(BookQ1,375)*(5-MIN(4,1+'5. Scenarios'!$D$8))/4+INDEX(BookQ2,375)*(5-MIN(4,2+'5. Scenarios'!$D$8))/4+INDEX(BookQ3,375)*(5-MIN(4,3+'5. Scenarios'!$D$8))/4+INDEX(BookQ4,375)*(5-MIN(4,4+'5. Scenarios'!$D$8))/4)*'5. Scenarios'!$D$6/(1+ProductivityDefault*('5. Scenarios'!$D$11-1))+INDEX(BookOneOff,375)*$N380)</f>
        <v/>
      </c>
      <c r="S380" s="56" t="str">
        <f aca="false">IF(INDEX(BookTitle,375)="","",INDEX(BookTotal,375)*'5. Scenarios'!$E$6/(1+ProductivityDefault*('5. Scenarios'!$E$11-1)))</f>
        <v/>
      </c>
      <c r="T380" s="57" t="str">
        <f aca="false">IF($S380="","",INDEX(BookRate,375)*(1+'5. Scenarios'!$E$10)*$S380)</f>
        <v/>
      </c>
      <c r="U380" s="57" t="str">
        <f aca="false">IF($T380="","",SUMIFS($T$6:$T$2405,$A$6:$A$2405,"&lt;="&amp;$A380))</f>
        <v/>
      </c>
      <c r="V380" s="57" t="str">
        <f aca="false">IF($T380="","",IF($U380&lt;=BankCostEnvelope*'5. Scenarios'!$E$7,1,0))</f>
        <v/>
      </c>
      <c r="W380" s="57" t="str">
        <f aca="false">IF($S380="","",INDEX(BookRate,375)*(1+'5. Scenarios'!$E$10)*(INDEX(BookQ1,375)*(5-MIN(4,1+'5. Scenarios'!$E$8))/4+INDEX(BookQ2,375)*(5-MIN(4,2+'5. Scenarios'!$E$8))/4+INDEX(BookQ3,375)*(5-MIN(4,3+'5. Scenarios'!$E$8))/4+INDEX(BookQ4,375)*(5-MIN(4,4+'5. Scenarios'!$E$8))/4)*'5. Scenarios'!$E$6/(1+ProductivityDefault*('5. Scenarios'!$E$11-1))+INDEX(BookOneOff,375)*$S380)</f>
        <v/>
      </c>
    </row>
    <row r="381" customFormat="false" ht="15" hidden="false" customHeight="false" outlineLevel="0" collapsed="false">
      <c r="A381" s="0" t="str">
        <f aca="false">IF(INDEX(BookTitle,376)="","",INDEX(BookKey,376))</f>
        <v/>
      </c>
      <c r="B381" s="0" t="str">
        <f aca="false">IF(INDEX(BookTitle,376)="","",INDEX(BookGroup,376))</f>
        <v/>
      </c>
      <c r="C381" s="0" t="str">
        <f aca="false">IF(INDEX(BookTitle,376)="","",INDEX(BookCategory,376))</f>
        <v/>
      </c>
      <c r="D381" s="56" t="str">
        <f aca="false">IF(INDEX(BookTitle,376)="","",INDEX(BookTotal,376)*'5. Scenarios'!$B$6/(1+ProductivityDefault*('5. Scenarios'!$B$11-1)))</f>
        <v/>
      </c>
      <c r="E381" s="57" t="str">
        <f aca="false">IF($D381="","",INDEX(BookRate,376)*(1+'5. Scenarios'!$B$10)*$D381)</f>
        <v/>
      </c>
      <c r="F381" s="57" t="str">
        <f aca="false">IF($E381="","",SUMIFS($E$6:$E$2405,$A$6:$A$2405,"&lt;="&amp;$A381))</f>
        <v/>
      </c>
      <c r="G381" s="57" t="str">
        <f aca="false">IF($E381="","",IF($F381&lt;=BankCostEnvelope*'5. Scenarios'!$B$7,1,0))</f>
        <v/>
      </c>
      <c r="H381" s="57" t="str">
        <f aca="false">IF($D381="","",INDEX(BookRate,376)*(1+'5. Scenarios'!$B$10)*(INDEX(BookQ1,376)*(5-MIN(4,1+'5. Scenarios'!$B$8))/4+INDEX(BookQ2,376)*(5-MIN(4,2+'5. Scenarios'!$B$8))/4+INDEX(BookQ3,376)*(5-MIN(4,3+'5. Scenarios'!$B$8))/4+INDEX(BookQ4,376)*(5-MIN(4,4+'5. Scenarios'!$B$8))/4)*'5. Scenarios'!$B$6/(1+ProductivityDefault*('5. Scenarios'!$B$11-1))+INDEX(BookOneOff,376)*$D381)</f>
        <v/>
      </c>
      <c r="I381" s="56" t="str">
        <f aca="false">IF(INDEX(BookTitle,376)="","",INDEX(BookTotal,376)*'5. Scenarios'!$C$6/(1+ProductivityDefault*('5. Scenarios'!$C$11-1)))</f>
        <v/>
      </c>
      <c r="J381" s="57" t="str">
        <f aca="false">IF($I381="","",INDEX(BookRate,376)*(1+'5. Scenarios'!$C$10)*$I381)</f>
        <v/>
      </c>
      <c r="K381" s="57" t="str">
        <f aca="false">IF($J381="","",SUMIFS($J$6:$J$2405,$A$6:$A$2405,"&lt;="&amp;$A381))</f>
        <v/>
      </c>
      <c r="L381" s="57" t="str">
        <f aca="false">IF($J381="","",IF($K381&lt;=BankCostEnvelope*'5. Scenarios'!$C$7,1,0))</f>
        <v/>
      </c>
      <c r="M381" s="57" t="str">
        <f aca="false">IF($I381="","",INDEX(BookRate,376)*(1+'5. Scenarios'!$C$10)*(INDEX(BookQ1,376)*(5-MIN(4,1+'5. Scenarios'!$C$8))/4+INDEX(BookQ2,376)*(5-MIN(4,2+'5. Scenarios'!$C$8))/4+INDEX(BookQ3,376)*(5-MIN(4,3+'5. Scenarios'!$C$8))/4+INDEX(BookQ4,376)*(5-MIN(4,4+'5. Scenarios'!$C$8))/4)*'5. Scenarios'!$C$6/(1+ProductivityDefault*('5. Scenarios'!$C$11-1))+INDEX(BookOneOff,376)*$I381)</f>
        <v/>
      </c>
      <c r="N381" s="56" t="str">
        <f aca="false">IF(INDEX(BookTitle,376)="","",INDEX(BookTotal,376)*'5. Scenarios'!$D$6/(1+ProductivityDefault*('5. Scenarios'!$D$11-1)))</f>
        <v/>
      </c>
      <c r="O381" s="57" t="str">
        <f aca="false">IF($N381="","",INDEX(BookRate,376)*(1+'5. Scenarios'!$D$10)*$N381)</f>
        <v/>
      </c>
      <c r="P381" s="57" t="str">
        <f aca="false">IF($O381="","",SUMIFS($O$6:$O$2405,$A$6:$A$2405,"&lt;="&amp;$A381))</f>
        <v/>
      </c>
      <c r="Q381" s="57" t="str">
        <f aca="false">IF($O381="","",IF($P381&lt;=BankCostEnvelope*'5. Scenarios'!$D$7,1,0))</f>
        <v/>
      </c>
      <c r="R381" s="57" t="str">
        <f aca="false">IF($N381="","",INDEX(BookRate,376)*(1+'5. Scenarios'!$D$10)*(INDEX(BookQ1,376)*(5-MIN(4,1+'5. Scenarios'!$D$8))/4+INDEX(BookQ2,376)*(5-MIN(4,2+'5. Scenarios'!$D$8))/4+INDEX(BookQ3,376)*(5-MIN(4,3+'5. Scenarios'!$D$8))/4+INDEX(BookQ4,376)*(5-MIN(4,4+'5. Scenarios'!$D$8))/4)*'5. Scenarios'!$D$6/(1+ProductivityDefault*('5. Scenarios'!$D$11-1))+INDEX(BookOneOff,376)*$N381)</f>
        <v/>
      </c>
      <c r="S381" s="56" t="str">
        <f aca="false">IF(INDEX(BookTitle,376)="","",INDEX(BookTotal,376)*'5. Scenarios'!$E$6/(1+ProductivityDefault*('5. Scenarios'!$E$11-1)))</f>
        <v/>
      </c>
      <c r="T381" s="57" t="str">
        <f aca="false">IF($S381="","",INDEX(BookRate,376)*(1+'5. Scenarios'!$E$10)*$S381)</f>
        <v/>
      </c>
      <c r="U381" s="57" t="str">
        <f aca="false">IF($T381="","",SUMIFS($T$6:$T$2405,$A$6:$A$2405,"&lt;="&amp;$A381))</f>
        <v/>
      </c>
      <c r="V381" s="57" t="str">
        <f aca="false">IF($T381="","",IF($U381&lt;=BankCostEnvelope*'5. Scenarios'!$E$7,1,0))</f>
        <v/>
      </c>
      <c r="W381" s="57" t="str">
        <f aca="false">IF($S381="","",INDEX(BookRate,376)*(1+'5. Scenarios'!$E$10)*(INDEX(BookQ1,376)*(5-MIN(4,1+'5. Scenarios'!$E$8))/4+INDEX(BookQ2,376)*(5-MIN(4,2+'5. Scenarios'!$E$8))/4+INDEX(BookQ3,376)*(5-MIN(4,3+'5. Scenarios'!$E$8))/4+INDEX(BookQ4,376)*(5-MIN(4,4+'5. Scenarios'!$E$8))/4)*'5. Scenarios'!$E$6/(1+ProductivityDefault*('5. Scenarios'!$E$11-1))+INDEX(BookOneOff,376)*$S381)</f>
        <v/>
      </c>
    </row>
    <row r="382" customFormat="false" ht="15" hidden="false" customHeight="false" outlineLevel="0" collapsed="false">
      <c r="A382" s="0" t="str">
        <f aca="false">IF(INDEX(BookTitle,377)="","",INDEX(BookKey,377))</f>
        <v/>
      </c>
      <c r="B382" s="0" t="str">
        <f aca="false">IF(INDEX(BookTitle,377)="","",INDEX(BookGroup,377))</f>
        <v/>
      </c>
      <c r="C382" s="0" t="str">
        <f aca="false">IF(INDEX(BookTitle,377)="","",INDEX(BookCategory,377))</f>
        <v/>
      </c>
      <c r="D382" s="56" t="str">
        <f aca="false">IF(INDEX(BookTitle,377)="","",INDEX(BookTotal,377)*'5. Scenarios'!$B$6/(1+ProductivityDefault*('5. Scenarios'!$B$11-1)))</f>
        <v/>
      </c>
      <c r="E382" s="57" t="str">
        <f aca="false">IF($D382="","",INDEX(BookRate,377)*(1+'5. Scenarios'!$B$10)*$D382)</f>
        <v/>
      </c>
      <c r="F382" s="57" t="str">
        <f aca="false">IF($E382="","",SUMIFS($E$6:$E$2405,$A$6:$A$2405,"&lt;="&amp;$A382))</f>
        <v/>
      </c>
      <c r="G382" s="57" t="str">
        <f aca="false">IF($E382="","",IF($F382&lt;=BankCostEnvelope*'5. Scenarios'!$B$7,1,0))</f>
        <v/>
      </c>
      <c r="H382" s="57" t="str">
        <f aca="false">IF($D382="","",INDEX(BookRate,377)*(1+'5. Scenarios'!$B$10)*(INDEX(BookQ1,377)*(5-MIN(4,1+'5. Scenarios'!$B$8))/4+INDEX(BookQ2,377)*(5-MIN(4,2+'5. Scenarios'!$B$8))/4+INDEX(BookQ3,377)*(5-MIN(4,3+'5. Scenarios'!$B$8))/4+INDEX(BookQ4,377)*(5-MIN(4,4+'5. Scenarios'!$B$8))/4)*'5. Scenarios'!$B$6/(1+ProductivityDefault*('5. Scenarios'!$B$11-1))+INDEX(BookOneOff,377)*$D382)</f>
        <v/>
      </c>
      <c r="I382" s="56" t="str">
        <f aca="false">IF(INDEX(BookTitle,377)="","",INDEX(BookTotal,377)*'5. Scenarios'!$C$6/(1+ProductivityDefault*('5. Scenarios'!$C$11-1)))</f>
        <v/>
      </c>
      <c r="J382" s="57" t="str">
        <f aca="false">IF($I382="","",INDEX(BookRate,377)*(1+'5. Scenarios'!$C$10)*$I382)</f>
        <v/>
      </c>
      <c r="K382" s="57" t="str">
        <f aca="false">IF($J382="","",SUMIFS($J$6:$J$2405,$A$6:$A$2405,"&lt;="&amp;$A382))</f>
        <v/>
      </c>
      <c r="L382" s="57" t="str">
        <f aca="false">IF($J382="","",IF($K382&lt;=BankCostEnvelope*'5. Scenarios'!$C$7,1,0))</f>
        <v/>
      </c>
      <c r="M382" s="57" t="str">
        <f aca="false">IF($I382="","",INDEX(BookRate,377)*(1+'5. Scenarios'!$C$10)*(INDEX(BookQ1,377)*(5-MIN(4,1+'5. Scenarios'!$C$8))/4+INDEX(BookQ2,377)*(5-MIN(4,2+'5. Scenarios'!$C$8))/4+INDEX(BookQ3,377)*(5-MIN(4,3+'5. Scenarios'!$C$8))/4+INDEX(BookQ4,377)*(5-MIN(4,4+'5. Scenarios'!$C$8))/4)*'5. Scenarios'!$C$6/(1+ProductivityDefault*('5. Scenarios'!$C$11-1))+INDEX(BookOneOff,377)*$I382)</f>
        <v/>
      </c>
      <c r="N382" s="56" t="str">
        <f aca="false">IF(INDEX(BookTitle,377)="","",INDEX(BookTotal,377)*'5. Scenarios'!$D$6/(1+ProductivityDefault*('5. Scenarios'!$D$11-1)))</f>
        <v/>
      </c>
      <c r="O382" s="57" t="str">
        <f aca="false">IF($N382="","",INDEX(BookRate,377)*(1+'5. Scenarios'!$D$10)*$N382)</f>
        <v/>
      </c>
      <c r="P382" s="57" t="str">
        <f aca="false">IF($O382="","",SUMIFS($O$6:$O$2405,$A$6:$A$2405,"&lt;="&amp;$A382))</f>
        <v/>
      </c>
      <c r="Q382" s="57" t="str">
        <f aca="false">IF($O382="","",IF($P382&lt;=BankCostEnvelope*'5. Scenarios'!$D$7,1,0))</f>
        <v/>
      </c>
      <c r="R382" s="57" t="str">
        <f aca="false">IF($N382="","",INDEX(BookRate,377)*(1+'5. Scenarios'!$D$10)*(INDEX(BookQ1,377)*(5-MIN(4,1+'5. Scenarios'!$D$8))/4+INDEX(BookQ2,377)*(5-MIN(4,2+'5. Scenarios'!$D$8))/4+INDEX(BookQ3,377)*(5-MIN(4,3+'5. Scenarios'!$D$8))/4+INDEX(BookQ4,377)*(5-MIN(4,4+'5. Scenarios'!$D$8))/4)*'5. Scenarios'!$D$6/(1+ProductivityDefault*('5. Scenarios'!$D$11-1))+INDEX(BookOneOff,377)*$N382)</f>
        <v/>
      </c>
      <c r="S382" s="56" t="str">
        <f aca="false">IF(INDEX(BookTitle,377)="","",INDEX(BookTotal,377)*'5. Scenarios'!$E$6/(1+ProductivityDefault*('5. Scenarios'!$E$11-1)))</f>
        <v/>
      </c>
      <c r="T382" s="57" t="str">
        <f aca="false">IF($S382="","",INDEX(BookRate,377)*(1+'5. Scenarios'!$E$10)*$S382)</f>
        <v/>
      </c>
      <c r="U382" s="57" t="str">
        <f aca="false">IF($T382="","",SUMIFS($T$6:$T$2405,$A$6:$A$2405,"&lt;="&amp;$A382))</f>
        <v/>
      </c>
      <c r="V382" s="57" t="str">
        <f aca="false">IF($T382="","",IF($U382&lt;=BankCostEnvelope*'5. Scenarios'!$E$7,1,0))</f>
        <v/>
      </c>
      <c r="W382" s="57" t="str">
        <f aca="false">IF($S382="","",INDEX(BookRate,377)*(1+'5. Scenarios'!$E$10)*(INDEX(BookQ1,377)*(5-MIN(4,1+'5. Scenarios'!$E$8))/4+INDEX(BookQ2,377)*(5-MIN(4,2+'5. Scenarios'!$E$8))/4+INDEX(BookQ3,377)*(5-MIN(4,3+'5. Scenarios'!$E$8))/4+INDEX(BookQ4,377)*(5-MIN(4,4+'5. Scenarios'!$E$8))/4)*'5. Scenarios'!$E$6/(1+ProductivityDefault*('5. Scenarios'!$E$11-1))+INDEX(BookOneOff,377)*$S382)</f>
        <v/>
      </c>
    </row>
    <row r="383" customFormat="false" ht="15" hidden="false" customHeight="false" outlineLevel="0" collapsed="false">
      <c r="A383" s="0" t="str">
        <f aca="false">IF(INDEX(BookTitle,378)="","",INDEX(BookKey,378))</f>
        <v/>
      </c>
      <c r="B383" s="0" t="str">
        <f aca="false">IF(INDEX(BookTitle,378)="","",INDEX(BookGroup,378))</f>
        <v/>
      </c>
      <c r="C383" s="0" t="str">
        <f aca="false">IF(INDEX(BookTitle,378)="","",INDEX(BookCategory,378))</f>
        <v/>
      </c>
      <c r="D383" s="56" t="str">
        <f aca="false">IF(INDEX(BookTitle,378)="","",INDEX(BookTotal,378)*'5. Scenarios'!$B$6/(1+ProductivityDefault*('5. Scenarios'!$B$11-1)))</f>
        <v/>
      </c>
      <c r="E383" s="57" t="str">
        <f aca="false">IF($D383="","",INDEX(BookRate,378)*(1+'5. Scenarios'!$B$10)*$D383)</f>
        <v/>
      </c>
      <c r="F383" s="57" t="str">
        <f aca="false">IF($E383="","",SUMIFS($E$6:$E$2405,$A$6:$A$2405,"&lt;="&amp;$A383))</f>
        <v/>
      </c>
      <c r="G383" s="57" t="str">
        <f aca="false">IF($E383="","",IF($F383&lt;=BankCostEnvelope*'5. Scenarios'!$B$7,1,0))</f>
        <v/>
      </c>
      <c r="H383" s="57" t="str">
        <f aca="false">IF($D383="","",INDEX(BookRate,378)*(1+'5. Scenarios'!$B$10)*(INDEX(BookQ1,378)*(5-MIN(4,1+'5. Scenarios'!$B$8))/4+INDEX(BookQ2,378)*(5-MIN(4,2+'5. Scenarios'!$B$8))/4+INDEX(BookQ3,378)*(5-MIN(4,3+'5. Scenarios'!$B$8))/4+INDEX(BookQ4,378)*(5-MIN(4,4+'5. Scenarios'!$B$8))/4)*'5. Scenarios'!$B$6/(1+ProductivityDefault*('5. Scenarios'!$B$11-1))+INDEX(BookOneOff,378)*$D383)</f>
        <v/>
      </c>
      <c r="I383" s="56" t="str">
        <f aca="false">IF(INDEX(BookTitle,378)="","",INDEX(BookTotal,378)*'5. Scenarios'!$C$6/(1+ProductivityDefault*('5. Scenarios'!$C$11-1)))</f>
        <v/>
      </c>
      <c r="J383" s="57" t="str">
        <f aca="false">IF($I383="","",INDEX(BookRate,378)*(1+'5. Scenarios'!$C$10)*$I383)</f>
        <v/>
      </c>
      <c r="K383" s="57" t="str">
        <f aca="false">IF($J383="","",SUMIFS($J$6:$J$2405,$A$6:$A$2405,"&lt;="&amp;$A383))</f>
        <v/>
      </c>
      <c r="L383" s="57" t="str">
        <f aca="false">IF($J383="","",IF($K383&lt;=BankCostEnvelope*'5. Scenarios'!$C$7,1,0))</f>
        <v/>
      </c>
      <c r="M383" s="57" t="str">
        <f aca="false">IF($I383="","",INDEX(BookRate,378)*(1+'5. Scenarios'!$C$10)*(INDEX(BookQ1,378)*(5-MIN(4,1+'5. Scenarios'!$C$8))/4+INDEX(BookQ2,378)*(5-MIN(4,2+'5. Scenarios'!$C$8))/4+INDEX(BookQ3,378)*(5-MIN(4,3+'5. Scenarios'!$C$8))/4+INDEX(BookQ4,378)*(5-MIN(4,4+'5. Scenarios'!$C$8))/4)*'5. Scenarios'!$C$6/(1+ProductivityDefault*('5. Scenarios'!$C$11-1))+INDEX(BookOneOff,378)*$I383)</f>
        <v/>
      </c>
      <c r="N383" s="56" t="str">
        <f aca="false">IF(INDEX(BookTitle,378)="","",INDEX(BookTotal,378)*'5. Scenarios'!$D$6/(1+ProductivityDefault*('5. Scenarios'!$D$11-1)))</f>
        <v/>
      </c>
      <c r="O383" s="57" t="str">
        <f aca="false">IF($N383="","",INDEX(BookRate,378)*(1+'5. Scenarios'!$D$10)*$N383)</f>
        <v/>
      </c>
      <c r="P383" s="57" t="str">
        <f aca="false">IF($O383="","",SUMIFS($O$6:$O$2405,$A$6:$A$2405,"&lt;="&amp;$A383))</f>
        <v/>
      </c>
      <c r="Q383" s="57" t="str">
        <f aca="false">IF($O383="","",IF($P383&lt;=BankCostEnvelope*'5. Scenarios'!$D$7,1,0))</f>
        <v/>
      </c>
      <c r="R383" s="57" t="str">
        <f aca="false">IF($N383="","",INDEX(BookRate,378)*(1+'5. Scenarios'!$D$10)*(INDEX(BookQ1,378)*(5-MIN(4,1+'5. Scenarios'!$D$8))/4+INDEX(BookQ2,378)*(5-MIN(4,2+'5. Scenarios'!$D$8))/4+INDEX(BookQ3,378)*(5-MIN(4,3+'5. Scenarios'!$D$8))/4+INDEX(BookQ4,378)*(5-MIN(4,4+'5. Scenarios'!$D$8))/4)*'5. Scenarios'!$D$6/(1+ProductivityDefault*('5. Scenarios'!$D$11-1))+INDEX(BookOneOff,378)*$N383)</f>
        <v/>
      </c>
      <c r="S383" s="56" t="str">
        <f aca="false">IF(INDEX(BookTitle,378)="","",INDEX(BookTotal,378)*'5. Scenarios'!$E$6/(1+ProductivityDefault*('5. Scenarios'!$E$11-1)))</f>
        <v/>
      </c>
      <c r="T383" s="57" t="str">
        <f aca="false">IF($S383="","",INDEX(BookRate,378)*(1+'5. Scenarios'!$E$10)*$S383)</f>
        <v/>
      </c>
      <c r="U383" s="57" t="str">
        <f aca="false">IF($T383="","",SUMIFS($T$6:$T$2405,$A$6:$A$2405,"&lt;="&amp;$A383))</f>
        <v/>
      </c>
      <c r="V383" s="57" t="str">
        <f aca="false">IF($T383="","",IF($U383&lt;=BankCostEnvelope*'5. Scenarios'!$E$7,1,0))</f>
        <v/>
      </c>
      <c r="W383" s="57" t="str">
        <f aca="false">IF($S383="","",INDEX(BookRate,378)*(1+'5. Scenarios'!$E$10)*(INDEX(BookQ1,378)*(5-MIN(4,1+'5. Scenarios'!$E$8))/4+INDEX(BookQ2,378)*(5-MIN(4,2+'5. Scenarios'!$E$8))/4+INDEX(BookQ3,378)*(5-MIN(4,3+'5. Scenarios'!$E$8))/4+INDEX(BookQ4,378)*(5-MIN(4,4+'5. Scenarios'!$E$8))/4)*'5. Scenarios'!$E$6/(1+ProductivityDefault*('5. Scenarios'!$E$11-1))+INDEX(BookOneOff,378)*$S383)</f>
        <v/>
      </c>
    </row>
    <row r="384" customFormat="false" ht="15" hidden="false" customHeight="false" outlineLevel="0" collapsed="false">
      <c r="A384" s="0" t="str">
        <f aca="false">IF(INDEX(BookTitle,379)="","",INDEX(BookKey,379))</f>
        <v/>
      </c>
      <c r="B384" s="0" t="str">
        <f aca="false">IF(INDEX(BookTitle,379)="","",INDEX(BookGroup,379))</f>
        <v/>
      </c>
      <c r="C384" s="0" t="str">
        <f aca="false">IF(INDEX(BookTitle,379)="","",INDEX(BookCategory,379))</f>
        <v/>
      </c>
      <c r="D384" s="56" t="str">
        <f aca="false">IF(INDEX(BookTitle,379)="","",INDEX(BookTotal,379)*'5. Scenarios'!$B$6/(1+ProductivityDefault*('5. Scenarios'!$B$11-1)))</f>
        <v/>
      </c>
      <c r="E384" s="57" t="str">
        <f aca="false">IF($D384="","",INDEX(BookRate,379)*(1+'5. Scenarios'!$B$10)*$D384)</f>
        <v/>
      </c>
      <c r="F384" s="57" t="str">
        <f aca="false">IF($E384="","",SUMIFS($E$6:$E$2405,$A$6:$A$2405,"&lt;="&amp;$A384))</f>
        <v/>
      </c>
      <c r="G384" s="57" t="str">
        <f aca="false">IF($E384="","",IF($F384&lt;=BankCostEnvelope*'5. Scenarios'!$B$7,1,0))</f>
        <v/>
      </c>
      <c r="H384" s="57" t="str">
        <f aca="false">IF($D384="","",INDEX(BookRate,379)*(1+'5. Scenarios'!$B$10)*(INDEX(BookQ1,379)*(5-MIN(4,1+'5. Scenarios'!$B$8))/4+INDEX(BookQ2,379)*(5-MIN(4,2+'5. Scenarios'!$B$8))/4+INDEX(BookQ3,379)*(5-MIN(4,3+'5. Scenarios'!$B$8))/4+INDEX(BookQ4,379)*(5-MIN(4,4+'5. Scenarios'!$B$8))/4)*'5. Scenarios'!$B$6/(1+ProductivityDefault*('5. Scenarios'!$B$11-1))+INDEX(BookOneOff,379)*$D384)</f>
        <v/>
      </c>
      <c r="I384" s="56" t="str">
        <f aca="false">IF(INDEX(BookTitle,379)="","",INDEX(BookTotal,379)*'5. Scenarios'!$C$6/(1+ProductivityDefault*('5. Scenarios'!$C$11-1)))</f>
        <v/>
      </c>
      <c r="J384" s="57" t="str">
        <f aca="false">IF($I384="","",INDEX(BookRate,379)*(1+'5. Scenarios'!$C$10)*$I384)</f>
        <v/>
      </c>
      <c r="K384" s="57" t="str">
        <f aca="false">IF($J384="","",SUMIFS($J$6:$J$2405,$A$6:$A$2405,"&lt;="&amp;$A384))</f>
        <v/>
      </c>
      <c r="L384" s="57" t="str">
        <f aca="false">IF($J384="","",IF($K384&lt;=BankCostEnvelope*'5. Scenarios'!$C$7,1,0))</f>
        <v/>
      </c>
      <c r="M384" s="57" t="str">
        <f aca="false">IF($I384="","",INDEX(BookRate,379)*(1+'5. Scenarios'!$C$10)*(INDEX(BookQ1,379)*(5-MIN(4,1+'5. Scenarios'!$C$8))/4+INDEX(BookQ2,379)*(5-MIN(4,2+'5. Scenarios'!$C$8))/4+INDEX(BookQ3,379)*(5-MIN(4,3+'5. Scenarios'!$C$8))/4+INDEX(BookQ4,379)*(5-MIN(4,4+'5. Scenarios'!$C$8))/4)*'5. Scenarios'!$C$6/(1+ProductivityDefault*('5. Scenarios'!$C$11-1))+INDEX(BookOneOff,379)*$I384)</f>
        <v/>
      </c>
      <c r="N384" s="56" t="str">
        <f aca="false">IF(INDEX(BookTitle,379)="","",INDEX(BookTotal,379)*'5. Scenarios'!$D$6/(1+ProductivityDefault*('5. Scenarios'!$D$11-1)))</f>
        <v/>
      </c>
      <c r="O384" s="57" t="str">
        <f aca="false">IF($N384="","",INDEX(BookRate,379)*(1+'5. Scenarios'!$D$10)*$N384)</f>
        <v/>
      </c>
      <c r="P384" s="57" t="str">
        <f aca="false">IF($O384="","",SUMIFS($O$6:$O$2405,$A$6:$A$2405,"&lt;="&amp;$A384))</f>
        <v/>
      </c>
      <c r="Q384" s="57" t="str">
        <f aca="false">IF($O384="","",IF($P384&lt;=BankCostEnvelope*'5. Scenarios'!$D$7,1,0))</f>
        <v/>
      </c>
      <c r="R384" s="57" t="str">
        <f aca="false">IF($N384="","",INDEX(BookRate,379)*(1+'5. Scenarios'!$D$10)*(INDEX(BookQ1,379)*(5-MIN(4,1+'5. Scenarios'!$D$8))/4+INDEX(BookQ2,379)*(5-MIN(4,2+'5. Scenarios'!$D$8))/4+INDEX(BookQ3,379)*(5-MIN(4,3+'5. Scenarios'!$D$8))/4+INDEX(BookQ4,379)*(5-MIN(4,4+'5. Scenarios'!$D$8))/4)*'5. Scenarios'!$D$6/(1+ProductivityDefault*('5. Scenarios'!$D$11-1))+INDEX(BookOneOff,379)*$N384)</f>
        <v/>
      </c>
      <c r="S384" s="56" t="str">
        <f aca="false">IF(INDEX(BookTitle,379)="","",INDEX(BookTotal,379)*'5. Scenarios'!$E$6/(1+ProductivityDefault*('5. Scenarios'!$E$11-1)))</f>
        <v/>
      </c>
      <c r="T384" s="57" t="str">
        <f aca="false">IF($S384="","",INDEX(BookRate,379)*(1+'5. Scenarios'!$E$10)*$S384)</f>
        <v/>
      </c>
      <c r="U384" s="57" t="str">
        <f aca="false">IF($T384="","",SUMIFS($T$6:$T$2405,$A$6:$A$2405,"&lt;="&amp;$A384))</f>
        <v/>
      </c>
      <c r="V384" s="57" t="str">
        <f aca="false">IF($T384="","",IF($U384&lt;=BankCostEnvelope*'5. Scenarios'!$E$7,1,0))</f>
        <v/>
      </c>
      <c r="W384" s="57" t="str">
        <f aca="false">IF($S384="","",INDEX(BookRate,379)*(1+'5. Scenarios'!$E$10)*(INDEX(BookQ1,379)*(5-MIN(4,1+'5. Scenarios'!$E$8))/4+INDEX(BookQ2,379)*(5-MIN(4,2+'5. Scenarios'!$E$8))/4+INDEX(BookQ3,379)*(5-MIN(4,3+'5. Scenarios'!$E$8))/4+INDEX(BookQ4,379)*(5-MIN(4,4+'5. Scenarios'!$E$8))/4)*'5. Scenarios'!$E$6/(1+ProductivityDefault*('5. Scenarios'!$E$11-1))+INDEX(BookOneOff,379)*$S384)</f>
        <v/>
      </c>
    </row>
    <row r="385" customFormat="false" ht="15" hidden="false" customHeight="false" outlineLevel="0" collapsed="false">
      <c r="A385" s="0" t="str">
        <f aca="false">IF(INDEX(BookTitle,380)="","",INDEX(BookKey,380))</f>
        <v/>
      </c>
      <c r="B385" s="0" t="str">
        <f aca="false">IF(INDEX(BookTitle,380)="","",INDEX(BookGroup,380))</f>
        <v/>
      </c>
      <c r="C385" s="0" t="str">
        <f aca="false">IF(INDEX(BookTitle,380)="","",INDEX(BookCategory,380))</f>
        <v/>
      </c>
      <c r="D385" s="56" t="str">
        <f aca="false">IF(INDEX(BookTitle,380)="","",INDEX(BookTotal,380)*'5. Scenarios'!$B$6/(1+ProductivityDefault*('5. Scenarios'!$B$11-1)))</f>
        <v/>
      </c>
      <c r="E385" s="57" t="str">
        <f aca="false">IF($D385="","",INDEX(BookRate,380)*(1+'5. Scenarios'!$B$10)*$D385)</f>
        <v/>
      </c>
      <c r="F385" s="57" t="str">
        <f aca="false">IF($E385="","",SUMIFS($E$6:$E$2405,$A$6:$A$2405,"&lt;="&amp;$A385))</f>
        <v/>
      </c>
      <c r="G385" s="57" t="str">
        <f aca="false">IF($E385="","",IF($F385&lt;=BankCostEnvelope*'5. Scenarios'!$B$7,1,0))</f>
        <v/>
      </c>
      <c r="H385" s="57" t="str">
        <f aca="false">IF($D385="","",INDEX(BookRate,380)*(1+'5. Scenarios'!$B$10)*(INDEX(BookQ1,380)*(5-MIN(4,1+'5. Scenarios'!$B$8))/4+INDEX(BookQ2,380)*(5-MIN(4,2+'5. Scenarios'!$B$8))/4+INDEX(BookQ3,380)*(5-MIN(4,3+'5. Scenarios'!$B$8))/4+INDEX(BookQ4,380)*(5-MIN(4,4+'5. Scenarios'!$B$8))/4)*'5. Scenarios'!$B$6/(1+ProductivityDefault*('5. Scenarios'!$B$11-1))+INDEX(BookOneOff,380)*$D385)</f>
        <v/>
      </c>
      <c r="I385" s="56" t="str">
        <f aca="false">IF(INDEX(BookTitle,380)="","",INDEX(BookTotal,380)*'5. Scenarios'!$C$6/(1+ProductivityDefault*('5. Scenarios'!$C$11-1)))</f>
        <v/>
      </c>
      <c r="J385" s="57" t="str">
        <f aca="false">IF($I385="","",INDEX(BookRate,380)*(1+'5. Scenarios'!$C$10)*$I385)</f>
        <v/>
      </c>
      <c r="K385" s="57" t="str">
        <f aca="false">IF($J385="","",SUMIFS($J$6:$J$2405,$A$6:$A$2405,"&lt;="&amp;$A385))</f>
        <v/>
      </c>
      <c r="L385" s="57" t="str">
        <f aca="false">IF($J385="","",IF($K385&lt;=BankCostEnvelope*'5. Scenarios'!$C$7,1,0))</f>
        <v/>
      </c>
      <c r="M385" s="57" t="str">
        <f aca="false">IF($I385="","",INDEX(BookRate,380)*(1+'5. Scenarios'!$C$10)*(INDEX(BookQ1,380)*(5-MIN(4,1+'5. Scenarios'!$C$8))/4+INDEX(BookQ2,380)*(5-MIN(4,2+'5. Scenarios'!$C$8))/4+INDEX(BookQ3,380)*(5-MIN(4,3+'5. Scenarios'!$C$8))/4+INDEX(BookQ4,380)*(5-MIN(4,4+'5. Scenarios'!$C$8))/4)*'5. Scenarios'!$C$6/(1+ProductivityDefault*('5. Scenarios'!$C$11-1))+INDEX(BookOneOff,380)*$I385)</f>
        <v/>
      </c>
      <c r="N385" s="56" t="str">
        <f aca="false">IF(INDEX(BookTitle,380)="","",INDEX(BookTotal,380)*'5. Scenarios'!$D$6/(1+ProductivityDefault*('5. Scenarios'!$D$11-1)))</f>
        <v/>
      </c>
      <c r="O385" s="57" t="str">
        <f aca="false">IF($N385="","",INDEX(BookRate,380)*(1+'5. Scenarios'!$D$10)*$N385)</f>
        <v/>
      </c>
      <c r="P385" s="57" t="str">
        <f aca="false">IF($O385="","",SUMIFS($O$6:$O$2405,$A$6:$A$2405,"&lt;="&amp;$A385))</f>
        <v/>
      </c>
      <c r="Q385" s="57" t="str">
        <f aca="false">IF($O385="","",IF($P385&lt;=BankCostEnvelope*'5. Scenarios'!$D$7,1,0))</f>
        <v/>
      </c>
      <c r="R385" s="57" t="str">
        <f aca="false">IF($N385="","",INDEX(BookRate,380)*(1+'5. Scenarios'!$D$10)*(INDEX(BookQ1,380)*(5-MIN(4,1+'5. Scenarios'!$D$8))/4+INDEX(BookQ2,380)*(5-MIN(4,2+'5. Scenarios'!$D$8))/4+INDEX(BookQ3,380)*(5-MIN(4,3+'5. Scenarios'!$D$8))/4+INDEX(BookQ4,380)*(5-MIN(4,4+'5. Scenarios'!$D$8))/4)*'5. Scenarios'!$D$6/(1+ProductivityDefault*('5. Scenarios'!$D$11-1))+INDEX(BookOneOff,380)*$N385)</f>
        <v/>
      </c>
      <c r="S385" s="56" t="str">
        <f aca="false">IF(INDEX(BookTitle,380)="","",INDEX(BookTotal,380)*'5. Scenarios'!$E$6/(1+ProductivityDefault*('5. Scenarios'!$E$11-1)))</f>
        <v/>
      </c>
      <c r="T385" s="57" t="str">
        <f aca="false">IF($S385="","",INDEX(BookRate,380)*(1+'5. Scenarios'!$E$10)*$S385)</f>
        <v/>
      </c>
      <c r="U385" s="57" t="str">
        <f aca="false">IF($T385="","",SUMIFS($T$6:$T$2405,$A$6:$A$2405,"&lt;="&amp;$A385))</f>
        <v/>
      </c>
      <c r="V385" s="57" t="str">
        <f aca="false">IF($T385="","",IF($U385&lt;=BankCostEnvelope*'5. Scenarios'!$E$7,1,0))</f>
        <v/>
      </c>
      <c r="W385" s="57" t="str">
        <f aca="false">IF($S385="","",INDEX(BookRate,380)*(1+'5. Scenarios'!$E$10)*(INDEX(BookQ1,380)*(5-MIN(4,1+'5. Scenarios'!$E$8))/4+INDEX(BookQ2,380)*(5-MIN(4,2+'5. Scenarios'!$E$8))/4+INDEX(BookQ3,380)*(5-MIN(4,3+'5. Scenarios'!$E$8))/4+INDEX(BookQ4,380)*(5-MIN(4,4+'5. Scenarios'!$E$8))/4)*'5. Scenarios'!$E$6/(1+ProductivityDefault*('5. Scenarios'!$E$11-1))+INDEX(BookOneOff,380)*$S385)</f>
        <v/>
      </c>
    </row>
    <row r="386" customFormat="false" ht="15" hidden="false" customHeight="false" outlineLevel="0" collapsed="false">
      <c r="A386" s="0" t="str">
        <f aca="false">IF(INDEX(BookTitle,381)="","",INDEX(BookKey,381))</f>
        <v/>
      </c>
      <c r="B386" s="0" t="str">
        <f aca="false">IF(INDEX(BookTitle,381)="","",INDEX(BookGroup,381))</f>
        <v/>
      </c>
      <c r="C386" s="0" t="str">
        <f aca="false">IF(INDEX(BookTitle,381)="","",INDEX(BookCategory,381))</f>
        <v/>
      </c>
      <c r="D386" s="56" t="str">
        <f aca="false">IF(INDEX(BookTitle,381)="","",INDEX(BookTotal,381)*'5. Scenarios'!$B$6/(1+ProductivityDefault*('5. Scenarios'!$B$11-1)))</f>
        <v/>
      </c>
      <c r="E386" s="57" t="str">
        <f aca="false">IF($D386="","",INDEX(BookRate,381)*(1+'5. Scenarios'!$B$10)*$D386)</f>
        <v/>
      </c>
      <c r="F386" s="57" t="str">
        <f aca="false">IF($E386="","",SUMIFS($E$6:$E$2405,$A$6:$A$2405,"&lt;="&amp;$A386))</f>
        <v/>
      </c>
      <c r="G386" s="57" t="str">
        <f aca="false">IF($E386="","",IF($F386&lt;=BankCostEnvelope*'5. Scenarios'!$B$7,1,0))</f>
        <v/>
      </c>
      <c r="H386" s="57" t="str">
        <f aca="false">IF($D386="","",INDEX(BookRate,381)*(1+'5. Scenarios'!$B$10)*(INDEX(BookQ1,381)*(5-MIN(4,1+'5. Scenarios'!$B$8))/4+INDEX(BookQ2,381)*(5-MIN(4,2+'5. Scenarios'!$B$8))/4+INDEX(BookQ3,381)*(5-MIN(4,3+'5. Scenarios'!$B$8))/4+INDEX(BookQ4,381)*(5-MIN(4,4+'5. Scenarios'!$B$8))/4)*'5. Scenarios'!$B$6/(1+ProductivityDefault*('5. Scenarios'!$B$11-1))+INDEX(BookOneOff,381)*$D386)</f>
        <v/>
      </c>
      <c r="I386" s="56" t="str">
        <f aca="false">IF(INDEX(BookTitle,381)="","",INDEX(BookTotal,381)*'5. Scenarios'!$C$6/(1+ProductivityDefault*('5. Scenarios'!$C$11-1)))</f>
        <v/>
      </c>
      <c r="J386" s="57" t="str">
        <f aca="false">IF($I386="","",INDEX(BookRate,381)*(1+'5. Scenarios'!$C$10)*$I386)</f>
        <v/>
      </c>
      <c r="K386" s="57" t="str">
        <f aca="false">IF($J386="","",SUMIFS($J$6:$J$2405,$A$6:$A$2405,"&lt;="&amp;$A386))</f>
        <v/>
      </c>
      <c r="L386" s="57" t="str">
        <f aca="false">IF($J386="","",IF($K386&lt;=BankCostEnvelope*'5. Scenarios'!$C$7,1,0))</f>
        <v/>
      </c>
      <c r="M386" s="57" t="str">
        <f aca="false">IF($I386="","",INDEX(BookRate,381)*(1+'5. Scenarios'!$C$10)*(INDEX(BookQ1,381)*(5-MIN(4,1+'5. Scenarios'!$C$8))/4+INDEX(BookQ2,381)*(5-MIN(4,2+'5. Scenarios'!$C$8))/4+INDEX(BookQ3,381)*(5-MIN(4,3+'5. Scenarios'!$C$8))/4+INDEX(BookQ4,381)*(5-MIN(4,4+'5. Scenarios'!$C$8))/4)*'5. Scenarios'!$C$6/(1+ProductivityDefault*('5. Scenarios'!$C$11-1))+INDEX(BookOneOff,381)*$I386)</f>
        <v/>
      </c>
      <c r="N386" s="56" t="str">
        <f aca="false">IF(INDEX(BookTitle,381)="","",INDEX(BookTotal,381)*'5. Scenarios'!$D$6/(1+ProductivityDefault*('5. Scenarios'!$D$11-1)))</f>
        <v/>
      </c>
      <c r="O386" s="57" t="str">
        <f aca="false">IF($N386="","",INDEX(BookRate,381)*(1+'5. Scenarios'!$D$10)*$N386)</f>
        <v/>
      </c>
      <c r="P386" s="57" t="str">
        <f aca="false">IF($O386="","",SUMIFS($O$6:$O$2405,$A$6:$A$2405,"&lt;="&amp;$A386))</f>
        <v/>
      </c>
      <c r="Q386" s="57" t="str">
        <f aca="false">IF($O386="","",IF($P386&lt;=BankCostEnvelope*'5. Scenarios'!$D$7,1,0))</f>
        <v/>
      </c>
      <c r="R386" s="57" t="str">
        <f aca="false">IF($N386="","",INDEX(BookRate,381)*(1+'5. Scenarios'!$D$10)*(INDEX(BookQ1,381)*(5-MIN(4,1+'5. Scenarios'!$D$8))/4+INDEX(BookQ2,381)*(5-MIN(4,2+'5. Scenarios'!$D$8))/4+INDEX(BookQ3,381)*(5-MIN(4,3+'5. Scenarios'!$D$8))/4+INDEX(BookQ4,381)*(5-MIN(4,4+'5. Scenarios'!$D$8))/4)*'5. Scenarios'!$D$6/(1+ProductivityDefault*('5. Scenarios'!$D$11-1))+INDEX(BookOneOff,381)*$N386)</f>
        <v/>
      </c>
      <c r="S386" s="56" t="str">
        <f aca="false">IF(INDEX(BookTitle,381)="","",INDEX(BookTotal,381)*'5. Scenarios'!$E$6/(1+ProductivityDefault*('5. Scenarios'!$E$11-1)))</f>
        <v/>
      </c>
      <c r="T386" s="57" t="str">
        <f aca="false">IF($S386="","",INDEX(BookRate,381)*(1+'5. Scenarios'!$E$10)*$S386)</f>
        <v/>
      </c>
      <c r="U386" s="57" t="str">
        <f aca="false">IF($T386="","",SUMIFS($T$6:$T$2405,$A$6:$A$2405,"&lt;="&amp;$A386))</f>
        <v/>
      </c>
      <c r="V386" s="57" t="str">
        <f aca="false">IF($T386="","",IF($U386&lt;=BankCostEnvelope*'5. Scenarios'!$E$7,1,0))</f>
        <v/>
      </c>
      <c r="W386" s="57" t="str">
        <f aca="false">IF($S386="","",INDEX(BookRate,381)*(1+'5. Scenarios'!$E$10)*(INDEX(BookQ1,381)*(5-MIN(4,1+'5. Scenarios'!$E$8))/4+INDEX(BookQ2,381)*(5-MIN(4,2+'5. Scenarios'!$E$8))/4+INDEX(BookQ3,381)*(5-MIN(4,3+'5. Scenarios'!$E$8))/4+INDEX(BookQ4,381)*(5-MIN(4,4+'5. Scenarios'!$E$8))/4)*'5. Scenarios'!$E$6/(1+ProductivityDefault*('5. Scenarios'!$E$11-1))+INDEX(BookOneOff,381)*$S386)</f>
        <v/>
      </c>
    </row>
    <row r="387" customFormat="false" ht="15" hidden="false" customHeight="false" outlineLevel="0" collapsed="false">
      <c r="A387" s="0" t="str">
        <f aca="false">IF(INDEX(BookTitle,382)="","",INDEX(BookKey,382))</f>
        <v/>
      </c>
      <c r="B387" s="0" t="str">
        <f aca="false">IF(INDEX(BookTitle,382)="","",INDEX(BookGroup,382))</f>
        <v/>
      </c>
      <c r="C387" s="0" t="str">
        <f aca="false">IF(INDEX(BookTitle,382)="","",INDEX(BookCategory,382))</f>
        <v/>
      </c>
      <c r="D387" s="56" t="str">
        <f aca="false">IF(INDEX(BookTitle,382)="","",INDEX(BookTotal,382)*'5. Scenarios'!$B$6/(1+ProductivityDefault*('5. Scenarios'!$B$11-1)))</f>
        <v/>
      </c>
      <c r="E387" s="57" t="str">
        <f aca="false">IF($D387="","",INDEX(BookRate,382)*(1+'5. Scenarios'!$B$10)*$D387)</f>
        <v/>
      </c>
      <c r="F387" s="57" t="str">
        <f aca="false">IF($E387="","",SUMIFS($E$6:$E$2405,$A$6:$A$2405,"&lt;="&amp;$A387))</f>
        <v/>
      </c>
      <c r="G387" s="57" t="str">
        <f aca="false">IF($E387="","",IF($F387&lt;=BankCostEnvelope*'5. Scenarios'!$B$7,1,0))</f>
        <v/>
      </c>
      <c r="H387" s="57" t="str">
        <f aca="false">IF($D387="","",INDEX(BookRate,382)*(1+'5. Scenarios'!$B$10)*(INDEX(BookQ1,382)*(5-MIN(4,1+'5. Scenarios'!$B$8))/4+INDEX(BookQ2,382)*(5-MIN(4,2+'5. Scenarios'!$B$8))/4+INDEX(BookQ3,382)*(5-MIN(4,3+'5. Scenarios'!$B$8))/4+INDEX(BookQ4,382)*(5-MIN(4,4+'5. Scenarios'!$B$8))/4)*'5. Scenarios'!$B$6/(1+ProductivityDefault*('5. Scenarios'!$B$11-1))+INDEX(BookOneOff,382)*$D387)</f>
        <v/>
      </c>
      <c r="I387" s="56" t="str">
        <f aca="false">IF(INDEX(BookTitle,382)="","",INDEX(BookTotal,382)*'5. Scenarios'!$C$6/(1+ProductivityDefault*('5. Scenarios'!$C$11-1)))</f>
        <v/>
      </c>
      <c r="J387" s="57" t="str">
        <f aca="false">IF($I387="","",INDEX(BookRate,382)*(1+'5. Scenarios'!$C$10)*$I387)</f>
        <v/>
      </c>
      <c r="K387" s="57" t="str">
        <f aca="false">IF($J387="","",SUMIFS($J$6:$J$2405,$A$6:$A$2405,"&lt;="&amp;$A387))</f>
        <v/>
      </c>
      <c r="L387" s="57" t="str">
        <f aca="false">IF($J387="","",IF($K387&lt;=BankCostEnvelope*'5. Scenarios'!$C$7,1,0))</f>
        <v/>
      </c>
      <c r="M387" s="57" t="str">
        <f aca="false">IF($I387="","",INDEX(BookRate,382)*(1+'5. Scenarios'!$C$10)*(INDEX(BookQ1,382)*(5-MIN(4,1+'5. Scenarios'!$C$8))/4+INDEX(BookQ2,382)*(5-MIN(4,2+'5. Scenarios'!$C$8))/4+INDEX(BookQ3,382)*(5-MIN(4,3+'5. Scenarios'!$C$8))/4+INDEX(BookQ4,382)*(5-MIN(4,4+'5. Scenarios'!$C$8))/4)*'5. Scenarios'!$C$6/(1+ProductivityDefault*('5. Scenarios'!$C$11-1))+INDEX(BookOneOff,382)*$I387)</f>
        <v/>
      </c>
      <c r="N387" s="56" t="str">
        <f aca="false">IF(INDEX(BookTitle,382)="","",INDEX(BookTotal,382)*'5. Scenarios'!$D$6/(1+ProductivityDefault*('5. Scenarios'!$D$11-1)))</f>
        <v/>
      </c>
      <c r="O387" s="57" t="str">
        <f aca="false">IF($N387="","",INDEX(BookRate,382)*(1+'5. Scenarios'!$D$10)*$N387)</f>
        <v/>
      </c>
      <c r="P387" s="57" t="str">
        <f aca="false">IF($O387="","",SUMIFS($O$6:$O$2405,$A$6:$A$2405,"&lt;="&amp;$A387))</f>
        <v/>
      </c>
      <c r="Q387" s="57" t="str">
        <f aca="false">IF($O387="","",IF($P387&lt;=BankCostEnvelope*'5. Scenarios'!$D$7,1,0))</f>
        <v/>
      </c>
      <c r="R387" s="57" t="str">
        <f aca="false">IF($N387="","",INDEX(BookRate,382)*(1+'5. Scenarios'!$D$10)*(INDEX(BookQ1,382)*(5-MIN(4,1+'5. Scenarios'!$D$8))/4+INDEX(BookQ2,382)*(5-MIN(4,2+'5. Scenarios'!$D$8))/4+INDEX(BookQ3,382)*(5-MIN(4,3+'5. Scenarios'!$D$8))/4+INDEX(BookQ4,382)*(5-MIN(4,4+'5. Scenarios'!$D$8))/4)*'5. Scenarios'!$D$6/(1+ProductivityDefault*('5. Scenarios'!$D$11-1))+INDEX(BookOneOff,382)*$N387)</f>
        <v/>
      </c>
      <c r="S387" s="56" t="str">
        <f aca="false">IF(INDEX(BookTitle,382)="","",INDEX(BookTotal,382)*'5. Scenarios'!$E$6/(1+ProductivityDefault*('5. Scenarios'!$E$11-1)))</f>
        <v/>
      </c>
      <c r="T387" s="57" t="str">
        <f aca="false">IF($S387="","",INDEX(BookRate,382)*(1+'5. Scenarios'!$E$10)*$S387)</f>
        <v/>
      </c>
      <c r="U387" s="57" t="str">
        <f aca="false">IF($T387="","",SUMIFS($T$6:$T$2405,$A$6:$A$2405,"&lt;="&amp;$A387))</f>
        <v/>
      </c>
      <c r="V387" s="57" t="str">
        <f aca="false">IF($T387="","",IF($U387&lt;=BankCostEnvelope*'5. Scenarios'!$E$7,1,0))</f>
        <v/>
      </c>
      <c r="W387" s="57" t="str">
        <f aca="false">IF($S387="","",INDEX(BookRate,382)*(1+'5. Scenarios'!$E$10)*(INDEX(BookQ1,382)*(5-MIN(4,1+'5. Scenarios'!$E$8))/4+INDEX(BookQ2,382)*(5-MIN(4,2+'5. Scenarios'!$E$8))/4+INDEX(BookQ3,382)*(5-MIN(4,3+'5. Scenarios'!$E$8))/4+INDEX(BookQ4,382)*(5-MIN(4,4+'5. Scenarios'!$E$8))/4)*'5. Scenarios'!$E$6/(1+ProductivityDefault*('5. Scenarios'!$E$11-1))+INDEX(BookOneOff,382)*$S387)</f>
        <v/>
      </c>
    </row>
    <row r="388" customFormat="false" ht="15" hidden="false" customHeight="false" outlineLevel="0" collapsed="false">
      <c r="A388" s="0" t="str">
        <f aca="false">IF(INDEX(BookTitle,383)="","",INDEX(BookKey,383))</f>
        <v/>
      </c>
      <c r="B388" s="0" t="str">
        <f aca="false">IF(INDEX(BookTitle,383)="","",INDEX(BookGroup,383))</f>
        <v/>
      </c>
      <c r="C388" s="0" t="str">
        <f aca="false">IF(INDEX(BookTitle,383)="","",INDEX(BookCategory,383))</f>
        <v/>
      </c>
      <c r="D388" s="56" t="str">
        <f aca="false">IF(INDEX(BookTitle,383)="","",INDEX(BookTotal,383)*'5. Scenarios'!$B$6/(1+ProductivityDefault*('5. Scenarios'!$B$11-1)))</f>
        <v/>
      </c>
      <c r="E388" s="57" t="str">
        <f aca="false">IF($D388="","",INDEX(BookRate,383)*(1+'5. Scenarios'!$B$10)*$D388)</f>
        <v/>
      </c>
      <c r="F388" s="57" t="str">
        <f aca="false">IF($E388="","",SUMIFS($E$6:$E$2405,$A$6:$A$2405,"&lt;="&amp;$A388))</f>
        <v/>
      </c>
      <c r="G388" s="57" t="str">
        <f aca="false">IF($E388="","",IF($F388&lt;=BankCostEnvelope*'5. Scenarios'!$B$7,1,0))</f>
        <v/>
      </c>
      <c r="H388" s="57" t="str">
        <f aca="false">IF($D388="","",INDEX(BookRate,383)*(1+'5. Scenarios'!$B$10)*(INDEX(BookQ1,383)*(5-MIN(4,1+'5. Scenarios'!$B$8))/4+INDEX(BookQ2,383)*(5-MIN(4,2+'5. Scenarios'!$B$8))/4+INDEX(BookQ3,383)*(5-MIN(4,3+'5. Scenarios'!$B$8))/4+INDEX(BookQ4,383)*(5-MIN(4,4+'5. Scenarios'!$B$8))/4)*'5. Scenarios'!$B$6/(1+ProductivityDefault*('5. Scenarios'!$B$11-1))+INDEX(BookOneOff,383)*$D388)</f>
        <v/>
      </c>
      <c r="I388" s="56" t="str">
        <f aca="false">IF(INDEX(BookTitle,383)="","",INDEX(BookTotal,383)*'5. Scenarios'!$C$6/(1+ProductivityDefault*('5. Scenarios'!$C$11-1)))</f>
        <v/>
      </c>
      <c r="J388" s="57" t="str">
        <f aca="false">IF($I388="","",INDEX(BookRate,383)*(1+'5. Scenarios'!$C$10)*$I388)</f>
        <v/>
      </c>
      <c r="K388" s="57" t="str">
        <f aca="false">IF($J388="","",SUMIFS($J$6:$J$2405,$A$6:$A$2405,"&lt;="&amp;$A388))</f>
        <v/>
      </c>
      <c r="L388" s="57" t="str">
        <f aca="false">IF($J388="","",IF($K388&lt;=BankCostEnvelope*'5. Scenarios'!$C$7,1,0))</f>
        <v/>
      </c>
      <c r="M388" s="57" t="str">
        <f aca="false">IF($I388="","",INDEX(BookRate,383)*(1+'5. Scenarios'!$C$10)*(INDEX(BookQ1,383)*(5-MIN(4,1+'5. Scenarios'!$C$8))/4+INDEX(BookQ2,383)*(5-MIN(4,2+'5. Scenarios'!$C$8))/4+INDEX(BookQ3,383)*(5-MIN(4,3+'5. Scenarios'!$C$8))/4+INDEX(BookQ4,383)*(5-MIN(4,4+'5. Scenarios'!$C$8))/4)*'5. Scenarios'!$C$6/(1+ProductivityDefault*('5. Scenarios'!$C$11-1))+INDEX(BookOneOff,383)*$I388)</f>
        <v/>
      </c>
      <c r="N388" s="56" t="str">
        <f aca="false">IF(INDEX(BookTitle,383)="","",INDEX(BookTotal,383)*'5. Scenarios'!$D$6/(1+ProductivityDefault*('5. Scenarios'!$D$11-1)))</f>
        <v/>
      </c>
      <c r="O388" s="57" t="str">
        <f aca="false">IF($N388="","",INDEX(BookRate,383)*(1+'5. Scenarios'!$D$10)*$N388)</f>
        <v/>
      </c>
      <c r="P388" s="57" t="str">
        <f aca="false">IF($O388="","",SUMIFS($O$6:$O$2405,$A$6:$A$2405,"&lt;="&amp;$A388))</f>
        <v/>
      </c>
      <c r="Q388" s="57" t="str">
        <f aca="false">IF($O388="","",IF($P388&lt;=BankCostEnvelope*'5. Scenarios'!$D$7,1,0))</f>
        <v/>
      </c>
      <c r="R388" s="57" t="str">
        <f aca="false">IF($N388="","",INDEX(BookRate,383)*(1+'5. Scenarios'!$D$10)*(INDEX(BookQ1,383)*(5-MIN(4,1+'5. Scenarios'!$D$8))/4+INDEX(BookQ2,383)*(5-MIN(4,2+'5. Scenarios'!$D$8))/4+INDEX(BookQ3,383)*(5-MIN(4,3+'5. Scenarios'!$D$8))/4+INDEX(BookQ4,383)*(5-MIN(4,4+'5. Scenarios'!$D$8))/4)*'5. Scenarios'!$D$6/(1+ProductivityDefault*('5. Scenarios'!$D$11-1))+INDEX(BookOneOff,383)*$N388)</f>
        <v/>
      </c>
      <c r="S388" s="56" t="str">
        <f aca="false">IF(INDEX(BookTitle,383)="","",INDEX(BookTotal,383)*'5. Scenarios'!$E$6/(1+ProductivityDefault*('5. Scenarios'!$E$11-1)))</f>
        <v/>
      </c>
      <c r="T388" s="57" t="str">
        <f aca="false">IF($S388="","",INDEX(BookRate,383)*(1+'5. Scenarios'!$E$10)*$S388)</f>
        <v/>
      </c>
      <c r="U388" s="57" t="str">
        <f aca="false">IF($T388="","",SUMIFS($T$6:$T$2405,$A$6:$A$2405,"&lt;="&amp;$A388))</f>
        <v/>
      </c>
      <c r="V388" s="57" t="str">
        <f aca="false">IF($T388="","",IF($U388&lt;=BankCostEnvelope*'5. Scenarios'!$E$7,1,0))</f>
        <v/>
      </c>
      <c r="W388" s="57" t="str">
        <f aca="false">IF($S388="","",INDEX(BookRate,383)*(1+'5. Scenarios'!$E$10)*(INDEX(BookQ1,383)*(5-MIN(4,1+'5. Scenarios'!$E$8))/4+INDEX(BookQ2,383)*(5-MIN(4,2+'5. Scenarios'!$E$8))/4+INDEX(BookQ3,383)*(5-MIN(4,3+'5. Scenarios'!$E$8))/4+INDEX(BookQ4,383)*(5-MIN(4,4+'5. Scenarios'!$E$8))/4)*'5. Scenarios'!$E$6/(1+ProductivityDefault*('5. Scenarios'!$E$11-1))+INDEX(BookOneOff,383)*$S388)</f>
        <v/>
      </c>
    </row>
    <row r="389" customFormat="false" ht="15" hidden="false" customHeight="false" outlineLevel="0" collapsed="false">
      <c r="A389" s="0" t="str">
        <f aca="false">IF(INDEX(BookTitle,384)="","",INDEX(BookKey,384))</f>
        <v/>
      </c>
      <c r="B389" s="0" t="str">
        <f aca="false">IF(INDEX(BookTitle,384)="","",INDEX(BookGroup,384))</f>
        <v/>
      </c>
      <c r="C389" s="0" t="str">
        <f aca="false">IF(INDEX(BookTitle,384)="","",INDEX(BookCategory,384))</f>
        <v/>
      </c>
      <c r="D389" s="56" t="str">
        <f aca="false">IF(INDEX(BookTitle,384)="","",INDEX(BookTotal,384)*'5. Scenarios'!$B$6/(1+ProductivityDefault*('5. Scenarios'!$B$11-1)))</f>
        <v/>
      </c>
      <c r="E389" s="57" t="str">
        <f aca="false">IF($D389="","",INDEX(BookRate,384)*(1+'5. Scenarios'!$B$10)*$D389)</f>
        <v/>
      </c>
      <c r="F389" s="57" t="str">
        <f aca="false">IF($E389="","",SUMIFS($E$6:$E$2405,$A$6:$A$2405,"&lt;="&amp;$A389))</f>
        <v/>
      </c>
      <c r="G389" s="57" t="str">
        <f aca="false">IF($E389="","",IF($F389&lt;=BankCostEnvelope*'5. Scenarios'!$B$7,1,0))</f>
        <v/>
      </c>
      <c r="H389" s="57" t="str">
        <f aca="false">IF($D389="","",INDEX(BookRate,384)*(1+'5. Scenarios'!$B$10)*(INDEX(BookQ1,384)*(5-MIN(4,1+'5. Scenarios'!$B$8))/4+INDEX(BookQ2,384)*(5-MIN(4,2+'5. Scenarios'!$B$8))/4+INDEX(BookQ3,384)*(5-MIN(4,3+'5. Scenarios'!$B$8))/4+INDEX(BookQ4,384)*(5-MIN(4,4+'5. Scenarios'!$B$8))/4)*'5. Scenarios'!$B$6/(1+ProductivityDefault*('5. Scenarios'!$B$11-1))+INDEX(BookOneOff,384)*$D389)</f>
        <v/>
      </c>
      <c r="I389" s="56" t="str">
        <f aca="false">IF(INDEX(BookTitle,384)="","",INDEX(BookTotal,384)*'5. Scenarios'!$C$6/(1+ProductivityDefault*('5. Scenarios'!$C$11-1)))</f>
        <v/>
      </c>
      <c r="J389" s="57" t="str">
        <f aca="false">IF($I389="","",INDEX(BookRate,384)*(1+'5. Scenarios'!$C$10)*$I389)</f>
        <v/>
      </c>
      <c r="K389" s="57" t="str">
        <f aca="false">IF($J389="","",SUMIFS($J$6:$J$2405,$A$6:$A$2405,"&lt;="&amp;$A389))</f>
        <v/>
      </c>
      <c r="L389" s="57" t="str">
        <f aca="false">IF($J389="","",IF($K389&lt;=BankCostEnvelope*'5. Scenarios'!$C$7,1,0))</f>
        <v/>
      </c>
      <c r="M389" s="57" t="str">
        <f aca="false">IF($I389="","",INDEX(BookRate,384)*(1+'5. Scenarios'!$C$10)*(INDEX(BookQ1,384)*(5-MIN(4,1+'5. Scenarios'!$C$8))/4+INDEX(BookQ2,384)*(5-MIN(4,2+'5. Scenarios'!$C$8))/4+INDEX(BookQ3,384)*(5-MIN(4,3+'5. Scenarios'!$C$8))/4+INDEX(BookQ4,384)*(5-MIN(4,4+'5. Scenarios'!$C$8))/4)*'5. Scenarios'!$C$6/(1+ProductivityDefault*('5. Scenarios'!$C$11-1))+INDEX(BookOneOff,384)*$I389)</f>
        <v/>
      </c>
      <c r="N389" s="56" t="str">
        <f aca="false">IF(INDEX(BookTitle,384)="","",INDEX(BookTotal,384)*'5. Scenarios'!$D$6/(1+ProductivityDefault*('5. Scenarios'!$D$11-1)))</f>
        <v/>
      </c>
      <c r="O389" s="57" t="str">
        <f aca="false">IF($N389="","",INDEX(BookRate,384)*(1+'5. Scenarios'!$D$10)*$N389)</f>
        <v/>
      </c>
      <c r="P389" s="57" t="str">
        <f aca="false">IF($O389="","",SUMIFS($O$6:$O$2405,$A$6:$A$2405,"&lt;="&amp;$A389))</f>
        <v/>
      </c>
      <c r="Q389" s="57" t="str">
        <f aca="false">IF($O389="","",IF($P389&lt;=BankCostEnvelope*'5. Scenarios'!$D$7,1,0))</f>
        <v/>
      </c>
      <c r="R389" s="57" t="str">
        <f aca="false">IF($N389="","",INDEX(BookRate,384)*(1+'5. Scenarios'!$D$10)*(INDEX(BookQ1,384)*(5-MIN(4,1+'5. Scenarios'!$D$8))/4+INDEX(BookQ2,384)*(5-MIN(4,2+'5. Scenarios'!$D$8))/4+INDEX(BookQ3,384)*(5-MIN(4,3+'5. Scenarios'!$D$8))/4+INDEX(BookQ4,384)*(5-MIN(4,4+'5. Scenarios'!$D$8))/4)*'5. Scenarios'!$D$6/(1+ProductivityDefault*('5. Scenarios'!$D$11-1))+INDEX(BookOneOff,384)*$N389)</f>
        <v/>
      </c>
      <c r="S389" s="56" t="str">
        <f aca="false">IF(INDEX(BookTitle,384)="","",INDEX(BookTotal,384)*'5. Scenarios'!$E$6/(1+ProductivityDefault*('5. Scenarios'!$E$11-1)))</f>
        <v/>
      </c>
      <c r="T389" s="57" t="str">
        <f aca="false">IF($S389="","",INDEX(BookRate,384)*(1+'5. Scenarios'!$E$10)*$S389)</f>
        <v/>
      </c>
      <c r="U389" s="57" t="str">
        <f aca="false">IF($T389="","",SUMIFS($T$6:$T$2405,$A$6:$A$2405,"&lt;="&amp;$A389))</f>
        <v/>
      </c>
      <c r="V389" s="57" t="str">
        <f aca="false">IF($T389="","",IF($U389&lt;=BankCostEnvelope*'5. Scenarios'!$E$7,1,0))</f>
        <v/>
      </c>
      <c r="W389" s="57" t="str">
        <f aca="false">IF($S389="","",INDEX(BookRate,384)*(1+'5. Scenarios'!$E$10)*(INDEX(BookQ1,384)*(5-MIN(4,1+'5. Scenarios'!$E$8))/4+INDEX(BookQ2,384)*(5-MIN(4,2+'5. Scenarios'!$E$8))/4+INDEX(BookQ3,384)*(5-MIN(4,3+'5. Scenarios'!$E$8))/4+INDEX(BookQ4,384)*(5-MIN(4,4+'5. Scenarios'!$E$8))/4)*'5. Scenarios'!$E$6/(1+ProductivityDefault*('5. Scenarios'!$E$11-1))+INDEX(BookOneOff,384)*$S389)</f>
        <v/>
      </c>
    </row>
    <row r="390" customFormat="false" ht="15" hidden="false" customHeight="false" outlineLevel="0" collapsed="false">
      <c r="A390" s="0" t="str">
        <f aca="false">IF(INDEX(BookTitle,385)="","",INDEX(BookKey,385))</f>
        <v/>
      </c>
      <c r="B390" s="0" t="str">
        <f aca="false">IF(INDEX(BookTitle,385)="","",INDEX(BookGroup,385))</f>
        <v/>
      </c>
      <c r="C390" s="0" t="str">
        <f aca="false">IF(INDEX(BookTitle,385)="","",INDEX(BookCategory,385))</f>
        <v/>
      </c>
      <c r="D390" s="56" t="str">
        <f aca="false">IF(INDEX(BookTitle,385)="","",INDEX(BookTotal,385)*'5. Scenarios'!$B$6/(1+ProductivityDefault*('5. Scenarios'!$B$11-1)))</f>
        <v/>
      </c>
      <c r="E390" s="57" t="str">
        <f aca="false">IF($D390="","",INDEX(BookRate,385)*(1+'5. Scenarios'!$B$10)*$D390)</f>
        <v/>
      </c>
      <c r="F390" s="57" t="str">
        <f aca="false">IF($E390="","",SUMIFS($E$6:$E$2405,$A$6:$A$2405,"&lt;="&amp;$A390))</f>
        <v/>
      </c>
      <c r="G390" s="57" t="str">
        <f aca="false">IF($E390="","",IF($F390&lt;=BankCostEnvelope*'5. Scenarios'!$B$7,1,0))</f>
        <v/>
      </c>
      <c r="H390" s="57" t="str">
        <f aca="false">IF($D390="","",INDEX(BookRate,385)*(1+'5. Scenarios'!$B$10)*(INDEX(BookQ1,385)*(5-MIN(4,1+'5. Scenarios'!$B$8))/4+INDEX(BookQ2,385)*(5-MIN(4,2+'5. Scenarios'!$B$8))/4+INDEX(BookQ3,385)*(5-MIN(4,3+'5. Scenarios'!$B$8))/4+INDEX(BookQ4,385)*(5-MIN(4,4+'5. Scenarios'!$B$8))/4)*'5. Scenarios'!$B$6/(1+ProductivityDefault*('5. Scenarios'!$B$11-1))+INDEX(BookOneOff,385)*$D390)</f>
        <v/>
      </c>
      <c r="I390" s="56" t="str">
        <f aca="false">IF(INDEX(BookTitle,385)="","",INDEX(BookTotal,385)*'5. Scenarios'!$C$6/(1+ProductivityDefault*('5. Scenarios'!$C$11-1)))</f>
        <v/>
      </c>
      <c r="J390" s="57" t="str">
        <f aca="false">IF($I390="","",INDEX(BookRate,385)*(1+'5. Scenarios'!$C$10)*$I390)</f>
        <v/>
      </c>
      <c r="K390" s="57" t="str">
        <f aca="false">IF($J390="","",SUMIFS($J$6:$J$2405,$A$6:$A$2405,"&lt;="&amp;$A390))</f>
        <v/>
      </c>
      <c r="L390" s="57" t="str">
        <f aca="false">IF($J390="","",IF($K390&lt;=BankCostEnvelope*'5. Scenarios'!$C$7,1,0))</f>
        <v/>
      </c>
      <c r="M390" s="57" t="str">
        <f aca="false">IF($I390="","",INDEX(BookRate,385)*(1+'5. Scenarios'!$C$10)*(INDEX(BookQ1,385)*(5-MIN(4,1+'5. Scenarios'!$C$8))/4+INDEX(BookQ2,385)*(5-MIN(4,2+'5. Scenarios'!$C$8))/4+INDEX(BookQ3,385)*(5-MIN(4,3+'5. Scenarios'!$C$8))/4+INDEX(BookQ4,385)*(5-MIN(4,4+'5. Scenarios'!$C$8))/4)*'5. Scenarios'!$C$6/(1+ProductivityDefault*('5. Scenarios'!$C$11-1))+INDEX(BookOneOff,385)*$I390)</f>
        <v/>
      </c>
      <c r="N390" s="56" t="str">
        <f aca="false">IF(INDEX(BookTitle,385)="","",INDEX(BookTotal,385)*'5. Scenarios'!$D$6/(1+ProductivityDefault*('5. Scenarios'!$D$11-1)))</f>
        <v/>
      </c>
      <c r="O390" s="57" t="str">
        <f aca="false">IF($N390="","",INDEX(BookRate,385)*(1+'5. Scenarios'!$D$10)*$N390)</f>
        <v/>
      </c>
      <c r="P390" s="57" t="str">
        <f aca="false">IF($O390="","",SUMIFS($O$6:$O$2405,$A$6:$A$2405,"&lt;="&amp;$A390))</f>
        <v/>
      </c>
      <c r="Q390" s="57" t="str">
        <f aca="false">IF($O390="","",IF($P390&lt;=BankCostEnvelope*'5. Scenarios'!$D$7,1,0))</f>
        <v/>
      </c>
      <c r="R390" s="57" t="str">
        <f aca="false">IF($N390="","",INDEX(BookRate,385)*(1+'5. Scenarios'!$D$10)*(INDEX(BookQ1,385)*(5-MIN(4,1+'5. Scenarios'!$D$8))/4+INDEX(BookQ2,385)*(5-MIN(4,2+'5. Scenarios'!$D$8))/4+INDEX(BookQ3,385)*(5-MIN(4,3+'5. Scenarios'!$D$8))/4+INDEX(BookQ4,385)*(5-MIN(4,4+'5. Scenarios'!$D$8))/4)*'5. Scenarios'!$D$6/(1+ProductivityDefault*('5. Scenarios'!$D$11-1))+INDEX(BookOneOff,385)*$N390)</f>
        <v/>
      </c>
      <c r="S390" s="56" t="str">
        <f aca="false">IF(INDEX(BookTitle,385)="","",INDEX(BookTotal,385)*'5. Scenarios'!$E$6/(1+ProductivityDefault*('5. Scenarios'!$E$11-1)))</f>
        <v/>
      </c>
      <c r="T390" s="57" t="str">
        <f aca="false">IF($S390="","",INDEX(BookRate,385)*(1+'5. Scenarios'!$E$10)*$S390)</f>
        <v/>
      </c>
      <c r="U390" s="57" t="str">
        <f aca="false">IF($T390="","",SUMIFS($T$6:$T$2405,$A$6:$A$2405,"&lt;="&amp;$A390))</f>
        <v/>
      </c>
      <c r="V390" s="57" t="str">
        <f aca="false">IF($T390="","",IF($U390&lt;=BankCostEnvelope*'5. Scenarios'!$E$7,1,0))</f>
        <v/>
      </c>
      <c r="W390" s="57" t="str">
        <f aca="false">IF($S390="","",INDEX(BookRate,385)*(1+'5. Scenarios'!$E$10)*(INDEX(BookQ1,385)*(5-MIN(4,1+'5. Scenarios'!$E$8))/4+INDEX(BookQ2,385)*(5-MIN(4,2+'5. Scenarios'!$E$8))/4+INDEX(BookQ3,385)*(5-MIN(4,3+'5. Scenarios'!$E$8))/4+INDEX(BookQ4,385)*(5-MIN(4,4+'5. Scenarios'!$E$8))/4)*'5. Scenarios'!$E$6/(1+ProductivityDefault*('5. Scenarios'!$E$11-1))+INDEX(BookOneOff,385)*$S390)</f>
        <v/>
      </c>
    </row>
    <row r="391" customFormat="false" ht="15" hidden="false" customHeight="false" outlineLevel="0" collapsed="false">
      <c r="A391" s="0" t="str">
        <f aca="false">IF(INDEX(BookTitle,386)="","",INDEX(BookKey,386))</f>
        <v/>
      </c>
      <c r="B391" s="0" t="str">
        <f aca="false">IF(INDEX(BookTitle,386)="","",INDEX(BookGroup,386))</f>
        <v/>
      </c>
      <c r="C391" s="0" t="str">
        <f aca="false">IF(INDEX(BookTitle,386)="","",INDEX(BookCategory,386))</f>
        <v/>
      </c>
      <c r="D391" s="56" t="str">
        <f aca="false">IF(INDEX(BookTitle,386)="","",INDEX(BookTotal,386)*'5. Scenarios'!$B$6/(1+ProductivityDefault*('5. Scenarios'!$B$11-1)))</f>
        <v/>
      </c>
      <c r="E391" s="57" t="str">
        <f aca="false">IF($D391="","",INDEX(BookRate,386)*(1+'5. Scenarios'!$B$10)*$D391)</f>
        <v/>
      </c>
      <c r="F391" s="57" t="str">
        <f aca="false">IF($E391="","",SUMIFS($E$6:$E$2405,$A$6:$A$2405,"&lt;="&amp;$A391))</f>
        <v/>
      </c>
      <c r="G391" s="57" t="str">
        <f aca="false">IF($E391="","",IF($F391&lt;=BankCostEnvelope*'5. Scenarios'!$B$7,1,0))</f>
        <v/>
      </c>
      <c r="H391" s="57" t="str">
        <f aca="false">IF($D391="","",INDEX(BookRate,386)*(1+'5. Scenarios'!$B$10)*(INDEX(BookQ1,386)*(5-MIN(4,1+'5. Scenarios'!$B$8))/4+INDEX(BookQ2,386)*(5-MIN(4,2+'5. Scenarios'!$B$8))/4+INDEX(BookQ3,386)*(5-MIN(4,3+'5. Scenarios'!$B$8))/4+INDEX(BookQ4,386)*(5-MIN(4,4+'5. Scenarios'!$B$8))/4)*'5. Scenarios'!$B$6/(1+ProductivityDefault*('5. Scenarios'!$B$11-1))+INDEX(BookOneOff,386)*$D391)</f>
        <v/>
      </c>
      <c r="I391" s="56" t="str">
        <f aca="false">IF(INDEX(BookTitle,386)="","",INDEX(BookTotal,386)*'5. Scenarios'!$C$6/(1+ProductivityDefault*('5. Scenarios'!$C$11-1)))</f>
        <v/>
      </c>
      <c r="J391" s="57" t="str">
        <f aca="false">IF($I391="","",INDEX(BookRate,386)*(1+'5. Scenarios'!$C$10)*$I391)</f>
        <v/>
      </c>
      <c r="K391" s="57" t="str">
        <f aca="false">IF($J391="","",SUMIFS($J$6:$J$2405,$A$6:$A$2405,"&lt;="&amp;$A391))</f>
        <v/>
      </c>
      <c r="L391" s="57" t="str">
        <f aca="false">IF($J391="","",IF($K391&lt;=BankCostEnvelope*'5. Scenarios'!$C$7,1,0))</f>
        <v/>
      </c>
      <c r="M391" s="57" t="str">
        <f aca="false">IF($I391="","",INDEX(BookRate,386)*(1+'5. Scenarios'!$C$10)*(INDEX(BookQ1,386)*(5-MIN(4,1+'5. Scenarios'!$C$8))/4+INDEX(BookQ2,386)*(5-MIN(4,2+'5. Scenarios'!$C$8))/4+INDEX(BookQ3,386)*(5-MIN(4,3+'5. Scenarios'!$C$8))/4+INDEX(BookQ4,386)*(5-MIN(4,4+'5. Scenarios'!$C$8))/4)*'5. Scenarios'!$C$6/(1+ProductivityDefault*('5. Scenarios'!$C$11-1))+INDEX(BookOneOff,386)*$I391)</f>
        <v/>
      </c>
      <c r="N391" s="56" t="str">
        <f aca="false">IF(INDEX(BookTitle,386)="","",INDEX(BookTotal,386)*'5. Scenarios'!$D$6/(1+ProductivityDefault*('5. Scenarios'!$D$11-1)))</f>
        <v/>
      </c>
      <c r="O391" s="57" t="str">
        <f aca="false">IF($N391="","",INDEX(BookRate,386)*(1+'5. Scenarios'!$D$10)*$N391)</f>
        <v/>
      </c>
      <c r="P391" s="57" t="str">
        <f aca="false">IF($O391="","",SUMIFS($O$6:$O$2405,$A$6:$A$2405,"&lt;="&amp;$A391))</f>
        <v/>
      </c>
      <c r="Q391" s="57" t="str">
        <f aca="false">IF($O391="","",IF($P391&lt;=BankCostEnvelope*'5. Scenarios'!$D$7,1,0))</f>
        <v/>
      </c>
      <c r="R391" s="57" t="str">
        <f aca="false">IF($N391="","",INDEX(BookRate,386)*(1+'5. Scenarios'!$D$10)*(INDEX(BookQ1,386)*(5-MIN(4,1+'5. Scenarios'!$D$8))/4+INDEX(BookQ2,386)*(5-MIN(4,2+'5. Scenarios'!$D$8))/4+INDEX(BookQ3,386)*(5-MIN(4,3+'5. Scenarios'!$D$8))/4+INDEX(BookQ4,386)*(5-MIN(4,4+'5. Scenarios'!$D$8))/4)*'5. Scenarios'!$D$6/(1+ProductivityDefault*('5. Scenarios'!$D$11-1))+INDEX(BookOneOff,386)*$N391)</f>
        <v/>
      </c>
      <c r="S391" s="56" t="str">
        <f aca="false">IF(INDEX(BookTitle,386)="","",INDEX(BookTotal,386)*'5. Scenarios'!$E$6/(1+ProductivityDefault*('5. Scenarios'!$E$11-1)))</f>
        <v/>
      </c>
      <c r="T391" s="57" t="str">
        <f aca="false">IF($S391="","",INDEX(BookRate,386)*(1+'5. Scenarios'!$E$10)*$S391)</f>
        <v/>
      </c>
      <c r="U391" s="57" t="str">
        <f aca="false">IF($T391="","",SUMIFS($T$6:$T$2405,$A$6:$A$2405,"&lt;="&amp;$A391))</f>
        <v/>
      </c>
      <c r="V391" s="57" t="str">
        <f aca="false">IF($T391="","",IF($U391&lt;=BankCostEnvelope*'5. Scenarios'!$E$7,1,0))</f>
        <v/>
      </c>
      <c r="W391" s="57" t="str">
        <f aca="false">IF($S391="","",INDEX(BookRate,386)*(1+'5. Scenarios'!$E$10)*(INDEX(BookQ1,386)*(5-MIN(4,1+'5. Scenarios'!$E$8))/4+INDEX(BookQ2,386)*(5-MIN(4,2+'5. Scenarios'!$E$8))/4+INDEX(BookQ3,386)*(5-MIN(4,3+'5. Scenarios'!$E$8))/4+INDEX(BookQ4,386)*(5-MIN(4,4+'5. Scenarios'!$E$8))/4)*'5. Scenarios'!$E$6/(1+ProductivityDefault*('5. Scenarios'!$E$11-1))+INDEX(BookOneOff,386)*$S391)</f>
        <v/>
      </c>
    </row>
    <row r="392" customFormat="false" ht="15" hidden="false" customHeight="false" outlineLevel="0" collapsed="false">
      <c r="A392" s="0" t="str">
        <f aca="false">IF(INDEX(BookTitle,387)="","",INDEX(BookKey,387))</f>
        <v/>
      </c>
      <c r="B392" s="0" t="str">
        <f aca="false">IF(INDEX(BookTitle,387)="","",INDEX(BookGroup,387))</f>
        <v/>
      </c>
      <c r="C392" s="0" t="str">
        <f aca="false">IF(INDEX(BookTitle,387)="","",INDEX(BookCategory,387))</f>
        <v/>
      </c>
      <c r="D392" s="56" t="str">
        <f aca="false">IF(INDEX(BookTitle,387)="","",INDEX(BookTotal,387)*'5. Scenarios'!$B$6/(1+ProductivityDefault*('5. Scenarios'!$B$11-1)))</f>
        <v/>
      </c>
      <c r="E392" s="57" t="str">
        <f aca="false">IF($D392="","",INDEX(BookRate,387)*(1+'5. Scenarios'!$B$10)*$D392)</f>
        <v/>
      </c>
      <c r="F392" s="57" t="str">
        <f aca="false">IF($E392="","",SUMIFS($E$6:$E$2405,$A$6:$A$2405,"&lt;="&amp;$A392))</f>
        <v/>
      </c>
      <c r="G392" s="57" t="str">
        <f aca="false">IF($E392="","",IF($F392&lt;=BankCostEnvelope*'5. Scenarios'!$B$7,1,0))</f>
        <v/>
      </c>
      <c r="H392" s="57" t="str">
        <f aca="false">IF($D392="","",INDEX(BookRate,387)*(1+'5. Scenarios'!$B$10)*(INDEX(BookQ1,387)*(5-MIN(4,1+'5. Scenarios'!$B$8))/4+INDEX(BookQ2,387)*(5-MIN(4,2+'5. Scenarios'!$B$8))/4+INDEX(BookQ3,387)*(5-MIN(4,3+'5. Scenarios'!$B$8))/4+INDEX(BookQ4,387)*(5-MIN(4,4+'5. Scenarios'!$B$8))/4)*'5. Scenarios'!$B$6/(1+ProductivityDefault*('5. Scenarios'!$B$11-1))+INDEX(BookOneOff,387)*$D392)</f>
        <v/>
      </c>
      <c r="I392" s="56" t="str">
        <f aca="false">IF(INDEX(BookTitle,387)="","",INDEX(BookTotal,387)*'5. Scenarios'!$C$6/(1+ProductivityDefault*('5. Scenarios'!$C$11-1)))</f>
        <v/>
      </c>
      <c r="J392" s="57" t="str">
        <f aca="false">IF($I392="","",INDEX(BookRate,387)*(1+'5. Scenarios'!$C$10)*$I392)</f>
        <v/>
      </c>
      <c r="K392" s="57" t="str">
        <f aca="false">IF($J392="","",SUMIFS($J$6:$J$2405,$A$6:$A$2405,"&lt;="&amp;$A392))</f>
        <v/>
      </c>
      <c r="L392" s="57" t="str">
        <f aca="false">IF($J392="","",IF($K392&lt;=BankCostEnvelope*'5. Scenarios'!$C$7,1,0))</f>
        <v/>
      </c>
      <c r="M392" s="57" t="str">
        <f aca="false">IF($I392="","",INDEX(BookRate,387)*(1+'5. Scenarios'!$C$10)*(INDEX(BookQ1,387)*(5-MIN(4,1+'5. Scenarios'!$C$8))/4+INDEX(BookQ2,387)*(5-MIN(4,2+'5. Scenarios'!$C$8))/4+INDEX(BookQ3,387)*(5-MIN(4,3+'5. Scenarios'!$C$8))/4+INDEX(BookQ4,387)*(5-MIN(4,4+'5. Scenarios'!$C$8))/4)*'5. Scenarios'!$C$6/(1+ProductivityDefault*('5. Scenarios'!$C$11-1))+INDEX(BookOneOff,387)*$I392)</f>
        <v/>
      </c>
      <c r="N392" s="56" t="str">
        <f aca="false">IF(INDEX(BookTitle,387)="","",INDEX(BookTotal,387)*'5. Scenarios'!$D$6/(1+ProductivityDefault*('5. Scenarios'!$D$11-1)))</f>
        <v/>
      </c>
      <c r="O392" s="57" t="str">
        <f aca="false">IF($N392="","",INDEX(BookRate,387)*(1+'5. Scenarios'!$D$10)*$N392)</f>
        <v/>
      </c>
      <c r="P392" s="57" t="str">
        <f aca="false">IF($O392="","",SUMIFS($O$6:$O$2405,$A$6:$A$2405,"&lt;="&amp;$A392))</f>
        <v/>
      </c>
      <c r="Q392" s="57" t="str">
        <f aca="false">IF($O392="","",IF($P392&lt;=BankCostEnvelope*'5. Scenarios'!$D$7,1,0))</f>
        <v/>
      </c>
      <c r="R392" s="57" t="str">
        <f aca="false">IF($N392="","",INDEX(BookRate,387)*(1+'5. Scenarios'!$D$10)*(INDEX(BookQ1,387)*(5-MIN(4,1+'5. Scenarios'!$D$8))/4+INDEX(BookQ2,387)*(5-MIN(4,2+'5. Scenarios'!$D$8))/4+INDEX(BookQ3,387)*(5-MIN(4,3+'5. Scenarios'!$D$8))/4+INDEX(BookQ4,387)*(5-MIN(4,4+'5. Scenarios'!$D$8))/4)*'5. Scenarios'!$D$6/(1+ProductivityDefault*('5. Scenarios'!$D$11-1))+INDEX(BookOneOff,387)*$N392)</f>
        <v/>
      </c>
      <c r="S392" s="56" t="str">
        <f aca="false">IF(INDEX(BookTitle,387)="","",INDEX(BookTotal,387)*'5. Scenarios'!$E$6/(1+ProductivityDefault*('5. Scenarios'!$E$11-1)))</f>
        <v/>
      </c>
      <c r="T392" s="57" t="str">
        <f aca="false">IF($S392="","",INDEX(BookRate,387)*(1+'5. Scenarios'!$E$10)*$S392)</f>
        <v/>
      </c>
      <c r="U392" s="57" t="str">
        <f aca="false">IF($T392="","",SUMIFS($T$6:$T$2405,$A$6:$A$2405,"&lt;="&amp;$A392))</f>
        <v/>
      </c>
      <c r="V392" s="57" t="str">
        <f aca="false">IF($T392="","",IF($U392&lt;=BankCostEnvelope*'5. Scenarios'!$E$7,1,0))</f>
        <v/>
      </c>
      <c r="W392" s="57" t="str">
        <f aca="false">IF($S392="","",INDEX(BookRate,387)*(1+'5. Scenarios'!$E$10)*(INDEX(BookQ1,387)*(5-MIN(4,1+'5. Scenarios'!$E$8))/4+INDEX(BookQ2,387)*(5-MIN(4,2+'5. Scenarios'!$E$8))/4+INDEX(BookQ3,387)*(5-MIN(4,3+'5. Scenarios'!$E$8))/4+INDEX(BookQ4,387)*(5-MIN(4,4+'5. Scenarios'!$E$8))/4)*'5. Scenarios'!$E$6/(1+ProductivityDefault*('5. Scenarios'!$E$11-1))+INDEX(BookOneOff,387)*$S392)</f>
        <v/>
      </c>
    </row>
    <row r="393" customFormat="false" ht="15" hidden="false" customHeight="false" outlineLevel="0" collapsed="false">
      <c r="A393" s="0" t="str">
        <f aca="false">IF(INDEX(BookTitle,388)="","",INDEX(BookKey,388))</f>
        <v/>
      </c>
      <c r="B393" s="0" t="str">
        <f aca="false">IF(INDEX(BookTitle,388)="","",INDEX(BookGroup,388))</f>
        <v/>
      </c>
      <c r="C393" s="0" t="str">
        <f aca="false">IF(INDEX(BookTitle,388)="","",INDEX(BookCategory,388))</f>
        <v/>
      </c>
      <c r="D393" s="56" t="str">
        <f aca="false">IF(INDEX(BookTitle,388)="","",INDEX(BookTotal,388)*'5. Scenarios'!$B$6/(1+ProductivityDefault*('5. Scenarios'!$B$11-1)))</f>
        <v/>
      </c>
      <c r="E393" s="57" t="str">
        <f aca="false">IF($D393="","",INDEX(BookRate,388)*(1+'5. Scenarios'!$B$10)*$D393)</f>
        <v/>
      </c>
      <c r="F393" s="57" t="str">
        <f aca="false">IF($E393="","",SUMIFS($E$6:$E$2405,$A$6:$A$2405,"&lt;="&amp;$A393))</f>
        <v/>
      </c>
      <c r="G393" s="57" t="str">
        <f aca="false">IF($E393="","",IF($F393&lt;=BankCostEnvelope*'5. Scenarios'!$B$7,1,0))</f>
        <v/>
      </c>
      <c r="H393" s="57" t="str">
        <f aca="false">IF($D393="","",INDEX(BookRate,388)*(1+'5. Scenarios'!$B$10)*(INDEX(BookQ1,388)*(5-MIN(4,1+'5. Scenarios'!$B$8))/4+INDEX(BookQ2,388)*(5-MIN(4,2+'5. Scenarios'!$B$8))/4+INDEX(BookQ3,388)*(5-MIN(4,3+'5. Scenarios'!$B$8))/4+INDEX(BookQ4,388)*(5-MIN(4,4+'5. Scenarios'!$B$8))/4)*'5. Scenarios'!$B$6/(1+ProductivityDefault*('5. Scenarios'!$B$11-1))+INDEX(BookOneOff,388)*$D393)</f>
        <v/>
      </c>
      <c r="I393" s="56" t="str">
        <f aca="false">IF(INDEX(BookTitle,388)="","",INDEX(BookTotal,388)*'5. Scenarios'!$C$6/(1+ProductivityDefault*('5. Scenarios'!$C$11-1)))</f>
        <v/>
      </c>
      <c r="J393" s="57" t="str">
        <f aca="false">IF($I393="","",INDEX(BookRate,388)*(1+'5. Scenarios'!$C$10)*$I393)</f>
        <v/>
      </c>
      <c r="K393" s="57" t="str">
        <f aca="false">IF($J393="","",SUMIFS($J$6:$J$2405,$A$6:$A$2405,"&lt;="&amp;$A393))</f>
        <v/>
      </c>
      <c r="L393" s="57" t="str">
        <f aca="false">IF($J393="","",IF($K393&lt;=BankCostEnvelope*'5. Scenarios'!$C$7,1,0))</f>
        <v/>
      </c>
      <c r="M393" s="57" t="str">
        <f aca="false">IF($I393="","",INDEX(BookRate,388)*(1+'5. Scenarios'!$C$10)*(INDEX(BookQ1,388)*(5-MIN(4,1+'5. Scenarios'!$C$8))/4+INDEX(BookQ2,388)*(5-MIN(4,2+'5. Scenarios'!$C$8))/4+INDEX(BookQ3,388)*(5-MIN(4,3+'5. Scenarios'!$C$8))/4+INDEX(BookQ4,388)*(5-MIN(4,4+'5. Scenarios'!$C$8))/4)*'5. Scenarios'!$C$6/(1+ProductivityDefault*('5. Scenarios'!$C$11-1))+INDEX(BookOneOff,388)*$I393)</f>
        <v/>
      </c>
      <c r="N393" s="56" t="str">
        <f aca="false">IF(INDEX(BookTitle,388)="","",INDEX(BookTotal,388)*'5. Scenarios'!$D$6/(1+ProductivityDefault*('5. Scenarios'!$D$11-1)))</f>
        <v/>
      </c>
      <c r="O393" s="57" t="str">
        <f aca="false">IF($N393="","",INDEX(BookRate,388)*(1+'5. Scenarios'!$D$10)*$N393)</f>
        <v/>
      </c>
      <c r="P393" s="57" t="str">
        <f aca="false">IF($O393="","",SUMIFS($O$6:$O$2405,$A$6:$A$2405,"&lt;="&amp;$A393))</f>
        <v/>
      </c>
      <c r="Q393" s="57" t="str">
        <f aca="false">IF($O393="","",IF($P393&lt;=BankCostEnvelope*'5. Scenarios'!$D$7,1,0))</f>
        <v/>
      </c>
      <c r="R393" s="57" t="str">
        <f aca="false">IF($N393="","",INDEX(BookRate,388)*(1+'5. Scenarios'!$D$10)*(INDEX(BookQ1,388)*(5-MIN(4,1+'5. Scenarios'!$D$8))/4+INDEX(BookQ2,388)*(5-MIN(4,2+'5. Scenarios'!$D$8))/4+INDEX(BookQ3,388)*(5-MIN(4,3+'5. Scenarios'!$D$8))/4+INDEX(BookQ4,388)*(5-MIN(4,4+'5. Scenarios'!$D$8))/4)*'5. Scenarios'!$D$6/(1+ProductivityDefault*('5. Scenarios'!$D$11-1))+INDEX(BookOneOff,388)*$N393)</f>
        <v/>
      </c>
      <c r="S393" s="56" t="str">
        <f aca="false">IF(INDEX(BookTitle,388)="","",INDEX(BookTotal,388)*'5. Scenarios'!$E$6/(1+ProductivityDefault*('5. Scenarios'!$E$11-1)))</f>
        <v/>
      </c>
      <c r="T393" s="57" t="str">
        <f aca="false">IF($S393="","",INDEX(BookRate,388)*(1+'5. Scenarios'!$E$10)*$S393)</f>
        <v/>
      </c>
      <c r="U393" s="57" t="str">
        <f aca="false">IF($T393="","",SUMIFS($T$6:$T$2405,$A$6:$A$2405,"&lt;="&amp;$A393))</f>
        <v/>
      </c>
      <c r="V393" s="57" t="str">
        <f aca="false">IF($T393="","",IF($U393&lt;=BankCostEnvelope*'5. Scenarios'!$E$7,1,0))</f>
        <v/>
      </c>
      <c r="W393" s="57" t="str">
        <f aca="false">IF($S393="","",INDEX(BookRate,388)*(1+'5. Scenarios'!$E$10)*(INDEX(BookQ1,388)*(5-MIN(4,1+'5. Scenarios'!$E$8))/4+INDEX(BookQ2,388)*(5-MIN(4,2+'5. Scenarios'!$E$8))/4+INDEX(BookQ3,388)*(5-MIN(4,3+'5. Scenarios'!$E$8))/4+INDEX(BookQ4,388)*(5-MIN(4,4+'5. Scenarios'!$E$8))/4)*'5. Scenarios'!$E$6/(1+ProductivityDefault*('5. Scenarios'!$E$11-1))+INDEX(BookOneOff,388)*$S393)</f>
        <v/>
      </c>
    </row>
    <row r="394" customFormat="false" ht="15" hidden="false" customHeight="false" outlineLevel="0" collapsed="false">
      <c r="A394" s="0" t="str">
        <f aca="false">IF(INDEX(BookTitle,389)="","",INDEX(BookKey,389))</f>
        <v/>
      </c>
      <c r="B394" s="0" t="str">
        <f aca="false">IF(INDEX(BookTitle,389)="","",INDEX(BookGroup,389))</f>
        <v/>
      </c>
      <c r="C394" s="0" t="str">
        <f aca="false">IF(INDEX(BookTitle,389)="","",INDEX(BookCategory,389))</f>
        <v/>
      </c>
      <c r="D394" s="56" t="str">
        <f aca="false">IF(INDEX(BookTitle,389)="","",INDEX(BookTotal,389)*'5. Scenarios'!$B$6/(1+ProductivityDefault*('5. Scenarios'!$B$11-1)))</f>
        <v/>
      </c>
      <c r="E394" s="57" t="str">
        <f aca="false">IF($D394="","",INDEX(BookRate,389)*(1+'5. Scenarios'!$B$10)*$D394)</f>
        <v/>
      </c>
      <c r="F394" s="57" t="str">
        <f aca="false">IF($E394="","",SUMIFS($E$6:$E$2405,$A$6:$A$2405,"&lt;="&amp;$A394))</f>
        <v/>
      </c>
      <c r="G394" s="57" t="str">
        <f aca="false">IF($E394="","",IF($F394&lt;=BankCostEnvelope*'5. Scenarios'!$B$7,1,0))</f>
        <v/>
      </c>
      <c r="H394" s="57" t="str">
        <f aca="false">IF($D394="","",INDEX(BookRate,389)*(1+'5. Scenarios'!$B$10)*(INDEX(BookQ1,389)*(5-MIN(4,1+'5. Scenarios'!$B$8))/4+INDEX(BookQ2,389)*(5-MIN(4,2+'5. Scenarios'!$B$8))/4+INDEX(BookQ3,389)*(5-MIN(4,3+'5. Scenarios'!$B$8))/4+INDEX(BookQ4,389)*(5-MIN(4,4+'5. Scenarios'!$B$8))/4)*'5. Scenarios'!$B$6/(1+ProductivityDefault*('5. Scenarios'!$B$11-1))+INDEX(BookOneOff,389)*$D394)</f>
        <v/>
      </c>
      <c r="I394" s="56" t="str">
        <f aca="false">IF(INDEX(BookTitle,389)="","",INDEX(BookTotal,389)*'5. Scenarios'!$C$6/(1+ProductivityDefault*('5. Scenarios'!$C$11-1)))</f>
        <v/>
      </c>
      <c r="J394" s="57" t="str">
        <f aca="false">IF($I394="","",INDEX(BookRate,389)*(1+'5. Scenarios'!$C$10)*$I394)</f>
        <v/>
      </c>
      <c r="K394" s="57" t="str">
        <f aca="false">IF($J394="","",SUMIFS($J$6:$J$2405,$A$6:$A$2405,"&lt;="&amp;$A394))</f>
        <v/>
      </c>
      <c r="L394" s="57" t="str">
        <f aca="false">IF($J394="","",IF($K394&lt;=BankCostEnvelope*'5. Scenarios'!$C$7,1,0))</f>
        <v/>
      </c>
      <c r="M394" s="57" t="str">
        <f aca="false">IF($I394="","",INDEX(BookRate,389)*(1+'5. Scenarios'!$C$10)*(INDEX(BookQ1,389)*(5-MIN(4,1+'5. Scenarios'!$C$8))/4+INDEX(BookQ2,389)*(5-MIN(4,2+'5. Scenarios'!$C$8))/4+INDEX(BookQ3,389)*(5-MIN(4,3+'5. Scenarios'!$C$8))/4+INDEX(BookQ4,389)*(5-MIN(4,4+'5. Scenarios'!$C$8))/4)*'5. Scenarios'!$C$6/(1+ProductivityDefault*('5. Scenarios'!$C$11-1))+INDEX(BookOneOff,389)*$I394)</f>
        <v/>
      </c>
      <c r="N394" s="56" t="str">
        <f aca="false">IF(INDEX(BookTitle,389)="","",INDEX(BookTotal,389)*'5. Scenarios'!$D$6/(1+ProductivityDefault*('5. Scenarios'!$D$11-1)))</f>
        <v/>
      </c>
      <c r="O394" s="57" t="str">
        <f aca="false">IF($N394="","",INDEX(BookRate,389)*(1+'5. Scenarios'!$D$10)*$N394)</f>
        <v/>
      </c>
      <c r="P394" s="57" t="str">
        <f aca="false">IF($O394="","",SUMIFS($O$6:$O$2405,$A$6:$A$2405,"&lt;="&amp;$A394))</f>
        <v/>
      </c>
      <c r="Q394" s="57" t="str">
        <f aca="false">IF($O394="","",IF($P394&lt;=BankCostEnvelope*'5. Scenarios'!$D$7,1,0))</f>
        <v/>
      </c>
      <c r="R394" s="57" t="str">
        <f aca="false">IF($N394="","",INDEX(BookRate,389)*(1+'5. Scenarios'!$D$10)*(INDEX(BookQ1,389)*(5-MIN(4,1+'5. Scenarios'!$D$8))/4+INDEX(BookQ2,389)*(5-MIN(4,2+'5. Scenarios'!$D$8))/4+INDEX(BookQ3,389)*(5-MIN(4,3+'5. Scenarios'!$D$8))/4+INDEX(BookQ4,389)*(5-MIN(4,4+'5. Scenarios'!$D$8))/4)*'5. Scenarios'!$D$6/(1+ProductivityDefault*('5. Scenarios'!$D$11-1))+INDEX(BookOneOff,389)*$N394)</f>
        <v/>
      </c>
      <c r="S394" s="56" t="str">
        <f aca="false">IF(INDEX(BookTitle,389)="","",INDEX(BookTotal,389)*'5. Scenarios'!$E$6/(1+ProductivityDefault*('5. Scenarios'!$E$11-1)))</f>
        <v/>
      </c>
      <c r="T394" s="57" t="str">
        <f aca="false">IF($S394="","",INDEX(BookRate,389)*(1+'5. Scenarios'!$E$10)*$S394)</f>
        <v/>
      </c>
      <c r="U394" s="57" t="str">
        <f aca="false">IF($T394="","",SUMIFS($T$6:$T$2405,$A$6:$A$2405,"&lt;="&amp;$A394))</f>
        <v/>
      </c>
      <c r="V394" s="57" t="str">
        <f aca="false">IF($T394="","",IF($U394&lt;=BankCostEnvelope*'5. Scenarios'!$E$7,1,0))</f>
        <v/>
      </c>
      <c r="W394" s="57" t="str">
        <f aca="false">IF($S394="","",INDEX(BookRate,389)*(1+'5. Scenarios'!$E$10)*(INDEX(BookQ1,389)*(5-MIN(4,1+'5. Scenarios'!$E$8))/4+INDEX(BookQ2,389)*(5-MIN(4,2+'5. Scenarios'!$E$8))/4+INDEX(BookQ3,389)*(5-MIN(4,3+'5. Scenarios'!$E$8))/4+INDEX(BookQ4,389)*(5-MIN(4,4+'5. Scenarios'!$E$8))/4)*'5. Scenarios'!$E$6/(1+ProductivityDefault*('5. Scenarios'!$E$11-1))+INDEX(BookOneOff,389)*$S394)</f>
        <v/>
      </c>
    </row>
    <row r="395" customFormat="false" ht="15" hidden="false" customHeight="false" outlineLevel="0" collapsed="false">
      <c r="A395" s="0" t="str">
        <f aca="false">IF(INDEX(BookTitle,390)="","",INDEX(BookKey,390))</f>
        <v/>
      </c>
      <c r="B395" s="0" t="str">
        <f aca="false">IF(INDEX(BookTitle,390)="","",INDEX(BookGroup,390))</f>
        <v/>
      </c>
      <c r="C395" s="0" t="str">
        <f aca="false">IF(INDEX(BookTitle,390)="","",INDEX(BookCategory,390))</f>
        <v/>
      </c>
      <c r="D395" s="56" t="str">
        <f aca="false">IF(INDEX(BookTitle,390)="","",INDEX(BookTotal,390)*'5. Scenarios'!$B$6/(1+ProductivityDefault*('5. Scenarios'!$B$11-1)))</f>
        <v/>
      </c>
      <c r="E395" s="57" t="str">
        <f aca="false">IF($D395="","",INDEX(BookRate,390)*(1+'5. Scenarios'!$B$10)*$D395)</f>
        <v/>
      </c>
      <c r="F395" s="57" t="str">
        <f aca="false">IF($E395="","",SUMIFS($E$6:$E$2405,$A$6:$A$2405,"&lt;="&amp;$A395))</f>
        <v/>
      </c>
      <c r="G395" s="57" t="str">
        <f aca="false">IF($E395="","",IF($F395&lt;=BankCostEnvelope*'5. Scenarios'!$B$7,1,0))</f>
        <v/>
      </c>
      <c r="H395" s="57" t="str">
        <f aca="false">IF($D395="","",INDEX(BookRate,390)*(1+'5. Scenarios'!$B$10)*(INDEX(BookQ1,390)*(5-MIN(4,1+'5. Scenarios'!$B$8))/4+INDEX(BookQ2,390)*(5-MIN(4,2+'5. Scenarios'!$B$8))/4+INDEX(BookQ3,390)*(5-MIN(4,3+'5. Scenarios'!$B$8))/4+INDEX(BookQ4,390)*(5-MIN(4,4+'5. Scenarios'!$B$8))/4)*'5. Scenarios'!$B$6/(1+ProductivityDefault*('5. Scenarios'!$B$11-1))+INDEX(BookOneOff,390)*$D395)</f>
        <v/>
      </c>
      <c r="I395" s="56" t="str">
        <f aca="false">IF(INDEX(BookTitle,390)="","",INDEX(BookTotal,390)*'5. Scenarios'!$C$6/(1+ProductivityDefault*('5. Scenarios'!$C$11-1)))</f>
        <v/>
      </c>
      <c r="J395" s="57" t="str">
        <f aca="false">IF($I395="","",INDEX(BookRate,390)*(1+'5. Scenarios'!$C$10)*$I395)</f>
        <v/>
      </c>
      <c r="K395" s="57" t="str">
        <f aca="false">IF($J395="","",SUMIFS($J$6:$J$2405,$A$6:$A$2405,"&lt;="&amp;$A395))</f>
        <v/>
      </c>
      <c r="L395" s="57" t="str">
        <f aca="false">IF($J395="","",IF($K395&lt;=BankCostEnvelope*'5. Scenarios'!$C$7,1,0))</f>
        <v/>
      </c>
      <c r="M395" s="57" t="str">
        <f aca="false">IF($I395="","",INDEX(BookRate,390)*(1+'5. Scenarios'!$C$10)*(INDEX(BookQ1,390)*(5-MIN(4,1+'5. Scenarios'!$C$8))/4+INDEX(BookQ2,390)*(5-MIN(4,2+'5. Scenarios'!$C$8))/4+INDEX(BookQ3,390)*(5-MIN(4,3+'5. Scenarios'!$C$8))/4+INDEX(BookQ4,390)*(5-MIN(4,4+'5. Scenarios'!$C$8))/4)*'5. Scenarios'!$C$6/(1+ProductivityDefault*('5. Scenarios'!$C$11-1))+INDEX(BookOneOff,390)*$I395)</f>
        <v/>
      </c>
      <c r="N395" s="56" t="str">
        <f aca="false">IF(INDEX(BookTitle,390)="","",INDEX(BookTotal,390)*'5. Scenarios'!$D$6/(1+ProductivityDefault*('5. Scenarios'!$D$11-1)))</f>
        <v/>
      </c>
      <c r="O395" s="57" t="str">
        <f aca="false">IF($N395="","",INDEX(BookRate,390)*(1+'5. Scenarios'!$D$10)*$N395)</f>
        <v/>
      </c>
      <c r="P395" s="57" t="str">
        <f aca="false">IF($O395="","",SUMIFS($O$6:$O$2405,$A$6:$A$2405,"&lt;="&amp;$A395))</f>
        <v/>
      </c>
      <c r="Q395" s="57" t="str">
        <f aca="false">IF($O395="","",IF($P395&lt;=BankCostEnvelope*'5. Scenarios'!$D$7,1,0))</f>
        <v/>
      </c>
      <c r="R395" s="57" t="str">
        <f aca="false">IF($N395="","",INDEX(BookRate,390)*(1+'5. Scenarios'!$D$10)*(INDEX(BookQ1,390)*(5-MIN(4,1+'5. Scenarios'!$D$8))/4+INDEX(BookQ2,390)*(5-MIN(4,2+'5. Scenarios'!$D$8))/4+INDEX(BookQ3,390)*(5-MIN(4,3+'5. Scenarios'!$D$8))/4+INDEX(BookQ4,390)*(5-MIN(4,4+'5. Scenarios'!$D$8))/4)*'5. Scenarios'!$D$6/(1+ProductivityDefault*('5. Scenarios'!$D$11-1))+INDEX(BookOneOff,390)*$N395)</f>
        <v/>
      </c>
      <c r="S395" s="56" t="str">
        <f aca="false">IF(INDEX(BookTitle,390)="","",INDEX(BookTotal,390)*'5. Scenarios'!$E$6/(1+ProductivityDefault*('5. Scenarios'!$E$11-1)))</f>
        <v/>
      </c>
      <c r="T395" s="57" t="str">
        <f aca="false">IF($S395="","",INDEX(BookRate,390)*(1+'5. Scenarios'!$E$10)*$S395)</f>
        <v/>
      </c>
      <c r="U395" s="57" t="str">
        <f aca="false">IF($T395="","",SUMIFS($T$6:$T$2405,$A$6:$A$2405,"&lt;="&amp;$A395))</f>
        <v/>
      </c>
      <c r="V395" s="57" t="str">
        <f aca="false">IF($T395="","",IF($U395&lt;=BankCostEnvelope*'5. Scenarios'!$E$7,1,0))</f>
        <v/>
      </c>
      <c r="W395" s="57" t="str">
        <f aca="false">IF($S395="","",INDEX(BookRate,390)*(1+'5. Scenarios'!$E$10)*(INDEX(BookQ1,390)*(5-MIN(4,1+'5. Scenarios'!$E$8))/4+INDEX(BookQ2,390)*(5-MIN(4,2+'5. Scenarios'!$E$8))/4+INDEX(BookQ3,390)*(5-MIN(4,3+'5. Scenarios'!$E$8))/4+INDEX(BookQ4,390)*(5-MIN(4,4+'5. Scenarios'!$E$8))/4)*'5. Scenarios'!$E$6/(1+ProductivityDefault*('5. Scenarios'!$E$11-1))+INDEX(BookOneOff,390)*$S395)</f>
        <v/>
      </c>
    </row>
    <row r="396" customFormat="false" ht="15" hidden="false" customHeight="false" outlineLevel="0" collapsed="false">
      <c r="A396" s="0" t="str">
        <f aca="false">IF(INDEX(BookTitle,391)="","",INDEX(BookKey,391))</f>
        <v/>
      </c>
      <c r="B396" s="0" t="str">
        <f aca="false">IF(INDEX(BookTitle,391)="","",INDEX(BookGroup,391))</f>
        <v/>
      </c>
      <c r="C396" s="0" t="str">
        <f aca="false">IF(INDEX(BookTitle,391)="","",INDEX(BookCategory,391))</f>
        <v/>
      </c>
      <c r="D396" s="56" t="str">
        <f aca="false">IF(INDEX(BookTitle,391)="","",INDEX(BookTotal,391)*'5. Scenarios'!$B$6/(1+ProductivityDefault*('5. Scenarios'!$B$11-1)))</f>
        <v/>
      </c>
      <c r="E396" s="57" t="str">
        <f aca="false">IF($D396="","",INDEX(BookRate,391)*(1+'5. Scenarios'!$B$10)*$D396)</f>
        <v/>
      </c>
      <c r="F396" s="57" t="str">
        <f aca="false">IF($E396="","",SUMIFS($E$6:$E$2405,$A$6:$A$2405,"&lt;="&amp;$A396))</f>
        <v/>
      </c>
      <c r="G396" s="57" t="str">
        <f aca="false">IF($E396="","",IF($F396&lt;=BankCostEnvelope*'5. Scenarios'!$B$7,1,0))</f>
        <v/>
      </c>
      <c r="H396" s="57" t="str">
        <f aca="false">IF($D396="","",INDEX(BookRate,391)*(1+'5. Scenarios'!$B$10)*(INDEX(BookQ1,391)*(5-MIN(4,1+'5. Scenarios'!$B$8))/4+INDEX(BookQ2,391)*(5-MIN(4,2+'5. Scenarios'!$B$8))/4+INDEX(BookQ3,391)*(5-MIN(4,3+'5. Scenarios'!$B$8))/4+INDEX(BookQ4,391)*(5-MIN(4,4+'5. Scenarios'!$B$8))/4)*'5. Scenarios'!$B$6/(1+ProductivityDefault*('5. Scenarios'!$B$11-1))+INDEX(BookOneOff,391)*$D396)</f>
        <v/>
      </c>
      <c r="I396" s="56" t="str">
        <f aca="false">IF(INDEX(BookTitle,391)="","",INDEX(BookTotal,391)*'5. Scenarios'!$C$6/(1+ProductivityDefault*('5. Scenarios'!$C$11-1)))</f>
        <v/>
      </c>
      <c r="J396" s="57" t="str">
        <f aca="false">IF($I396="","",INDEX(BookRate,391)*(1+'5. Scenarios'!$C$10)*$I396)</f>
        <v/>
      </c>
      <c r="K396" s="57" t="str">
        <f aca="false">IF($J396="","",SUMIFS($J$6:$J$2405,$A$6:$A$2405,"&lt;="&amp;$A396))</f>
        <v/>
      </c>
      <c r="L396" s="57" t="str">
        <f aca="false">IF($J396="","",IF($K396&lt;=BankCostEnvelope*'5. Scenarios'!$C$7,1,0))</f>
        <v/>
      </c>
      <c r="M396" s="57" t="str">
        <f aca="false">IF($I396="","",INDEX(BookRate,391)*(1+'5. Scenarios'!$C$10)*(INDEX(BookQ1,391)*(5-MIN(4,1+'5. Scenarios'!$C$8))/4+INDEX(BookQ2,391)*(5-MIN(4,2+'5. Scenarios'!$C$8))/4+INDEX(BookQ3,391)*(5-MIN(4,3+'5. Scenarios'!$C$8))/4+INDEX(BookQ4,391)*(5-MIN(4,4+'5. Scenarios'!$C$8))/4)*'5. Scenarios'!$C$6/(1+ProductivityDefault*('5. Scenarios'!$C$11-1))+INDEX(BookOneOff,391)*$I396)</f>
        <v/>
      </c>
      <c r="N396" s="56" t="str">
        <f aca="false">IF(INDEX(BookTitle,391)="","",INDEX(BookTotal,391)*'5. Scenarios'!$D$6/(1+ProductivityDefault*('5. Scenarios'!$D$11-1)))</f>
        <v/>
      </c>
      <c r="O396" s="57" t="str">
        <f aca="false">IF($N396="","",INDEX(BookRate,391)*(1+'5. Scenarios'!$D$10)*$N396)</f>
        <v/>
      </c>
      <c r="P396" s="57" t="str">
        <f aca="false">IF($O396="","",SUMIFS($O$6:$O$2405,$A$6:$A$2405,"&lt;="&amp;$A396))</f>
        <v/>
      </c>
      <c r="Q396" s="57" t="str">
        <f aca="false">IF($O396="","",IF($P396&lt;=BankCostEnvelope*'5. Scenarios'!$D$7,1,0))</f>
        <v/>
      </c>
      <c r="R396" s="57" t="str">
        <f aca="false">IF($N396="","",INDEX(BookRate,391)*(1+'5. Scenarios'!$D$10)*(INDEX(BookQ1,391)*(5-MIN(4,1+'5. Scenarios'!$D$8))/4+INDEX(BookQ2,391)*(5-MIN(4,2+'5. Scenarios'!$D$8))/4+INDEX(BookQ3,391)*(5-MIN(4,3+'5. Scenarios'!$D$8))/4+INDEX(BookQ4,391)*(5-MIN(4,4+'5. Scenarios'!$D$8))/4)*'5. Scenarios'!$D$6/(1+ProductivityDefault*('5. Scenarios'!$D$11-1))+INDEX(BookOneOff,391)*$N396)</f>
        <v/>
      </c>
      <c r="S396" s="56" t="str">
        <f aca="false">IF(INDEX(BookTitle,391)="","",INDEX(BookTotal,391)*'5. Scenarios'!$E$6/(1+ProductivityDefault*('5. Scenarios'!$E$11-1)))</f>
        <v/>
      </c>
      <c r="T396" s="57" t="str">
        <f aca="false">IF($S396="","",INDEX(BookRate,391)*(1+'5. Scenarios'!$E$10)*$S396)</f>
        <v/>
      </c>
      <c r="U396" s="57" t="str">
        <f aca="false">IF($T396="","",SUMIFS($T$6:$T$2405,$A$6:$A$2405,"&lt;="&amp;$A396))</f>
        <v/>
      </c>
      <c r="V396" s="57" t="str">
        <f aca="false">IF($T396="","",IF($U396&lt;=BankCostEnvelope*'5. Scenarios'!$E$7,1,0))</f>
        <v/>
      </c>
      <c r="W396" s="57" t="str">
        <f aca="false">IF($S396="","",INDEX(BookRate,391)*(1+'5. Scenarios'!$E$10)*(INDEX(BookQ1,391)*(5-MIN(4,1+'5. Scenarios'!$E$8))/4+INDEX(BookQ2,391)*(5-MIN(4,2+'5. Scenarios'!$E$8))/4+INDEX(BookQ3,391)*(5-MIN(4,3+'5. Scenarios'!$E$8))/4+INDEX(BookQ4,391)*(5-MIN(4,4+'5. Scenarios'!$E$8))/4)*'5. Scenarios'!$E$6/(1+ProductivityDefault*('5. Scenarios'!$E$11-1))+INDEX(BookOneOff,391)*$S396)</f>
        <v/>
      </c>
    </row>
    <row r="397" customFormat="false" ht="15" hidden="false" customHeight="false" outlineLevel="0" collapsed="false">
      <c r="A397" s="0" t="str">
        <f aca="false">IF(INDEX(BookTitle,392)="","",INDEX(BookKey,392))</f>
        <v/>
      </c>
      <c r="B397" s="0" t="str">
        <f aca="false">IF(INDEX(BookTitle,392)="","",INDEX(BookGroup,392))</f>
        <v/>
      </c>
      <c r="C397" s="0" t="str">
        <f aca="false">IF(INDEX(BookTitle,392)="","",INDEX(BookCategory,392))</f>
        <v/>
      </c>
      <c r="D397" s="56" t="str">
        <f aca="false">IF(INDEX(BookTitle,392)="","",INDEX(BookTotal,392)*'5. Scenarios'!$B$6/(1+ProductivityDefault*('5. Scenarios'!$B$11-1)))</f>
        <v/>
      </c>
      <c r="E397" s="57" t="str">
        <f aca="false">IF($D397="","",INDEX(BookRate,392)*(1+'5. Scenarios'!$B$10)*$D397)</f>
        <v/>
      </c>
      <c r="F397" s="57" t="str">
        <f aca="false">IF($E397="","",SUMIFS($E$6:$E$2405,$A$6:$A$2405,"&lt;="&amp;$A397))</f>
        <v/>
      </c>
      <c r="G397" s="57" t="str">
        <f aca="false">IF($E397="","",IF($F397&lt;=BankCostEnvelope*'5. Scenarios'!$B$7,1,0))</f>
        <v/>
      </c>
      <c r="H397" s="57" t="str">
        <f aca="false">IF($D397="","",INDEX(BookRate,392)*(1+'5. Scenarios'!$B$10)*(INDEX(BookQ1,392)*(5-MIN(4,1+'5. Scenarios'!$B$8))/4+INDEX(BookQ2,392)*(5-MIN(4,2+'5. Scenarios'!$B$8))/4+INDEX(BookQ3,392)*(5-MIN(4,3+'5. Scenarios'!$B$8))/4+INDEX(BookQ4,392)*(5-MIN(4,4+'5. Scenarios'!$B$8))/4)*'5. Scenarios'!$B$6/(1+ProductivityDefault*('5. Scenarios'!$B$11-1))+INDEX(BookOneOff,392)*$D397)</f>
        <v/>
      </c>
      <c r="I397" s="56" t="str">
        <f aca="false">IF(INDEX(BookTitle,392)="","",INDEX(BookTotal,392)*'5. Scenarios'!$C$6/(1+ProductivityDefault*('5. Scenarios'!$C$11-1)))</f>
        <v/>
      </c>
      <c r="J397" s="57" t="str">
        <f aca="false">IF($I397="","",INDEX(BookRate,392)*(1+'5. Scenarios'!$C$10)*$I397)</f>
        <v/>
      </c>
      <c r="K397" s="57" t="str">
        <f aca="false">IF($J397="","",SUMIFS($J$6:$J$2405,$A$6:$A$2405,"&lt;="&amp;$A397))</f>
        <v/>
      </c>
      <c r="L397" s="57" t="str">
        <f aca="false">IF($J397="","",IF($K397&lt;=BankCostEnvelope*'5. Scenarios'!$C$7,1,0))</f>
        <v/>
      </c>
      <c r="M397" s="57" t="str">
        <f aca="false">IF($I397="","",INDEX(BookRate,392)*(1+'5. Scenarios'!$C$10)*(INDEX(BookQ1,392)*(5-MIN(4,1+'5. Scenarios'!$C$8))/4+INDEX(BookQ2,392)*(5-MIN(4,2+'5. Scenarios'!$C$8))/4+INDEX(BookQ3,392)*(5-MIN(4,3+'5. Scenarios'!$C$8))/4+INDEX(BookQ4,392)*(5-MIN(4,4+'5. Scenarios'!$C$8))/4)*'5. Scenarios'!$C$6/(1+ProductivityDefault*('5. Scenarios'!$C$11-1))+INDEX(BookOneOff,392)*$I397)</f>
        <v/>
      </c>
      <c r="N397" s="56" t="str">
        <f aca="false">IF(INDEX(BookTitle,392)="","",INDEX(BookTotal,392)*'5. Scenarios'!$D$6/(1+ProductivityDefault*('5. Scenarios'!$D$11-1)))</f>
        <v/>
      </c>
      <c r="O397" s="57" t="str">
        <f aca="false">IF($N397="","",INDEX(BookRate,392)*(1+'5. Scenarios'!$D$10)*$N397)</f>
        <v/>
      </c>
      <c r="P397" s="57" t="str">
        <f aca="false">IF($O397="","",SUMIFS($O$6:$O$2405,$A$6:$A$2405,"&lt;="&amp;$A397))</f>
        <v/>
      </c>
      <c r="Q397" s="57" t="str">
        <f aca="false">IF($O397="","",IF($P397&lt;=BankCostEnvelope*'5. Scenarios'!$D$7,1,0))</f>
        <v/>
      </c>
      <c r="R397" s="57" t="str">
        <f aca="false">IF($N397="","",INDEX(BookRate,392)*(1+'5. Scenarios'!$D$10)*(INDEX(BookQ1,392)*(5-MIN(4,1+'5. Scenarios'!$D$8))/4+INDEX(BookQ2,392)*(5-MIN(4,2+'5. Scenarios'!$D$8))/4+INDEX(BookQ3,392)*(5-MIN(4,3+'5. Scenarios'!$D$8))/4+INDEX(BookQ4,392)*(5-MIN(4,4+'5. Scenarios'!$D$8))/4)*'5. Scenarios'!$D$6/(1+ProductivityDefault*('5. Scenarios'!$D$11-1))+INDEX(BookOneOff,392)*$N397)</f>
        <v/>
      </c>
      <c r="S397" s="56" t="str">
        <f aca="false">IF(INDEX(BookTitle,392)="","",INDEX(BookTotal,392)*'5. Scenarios'!$E$6/(1+ProductivityDefault*('5. Scenarios'!$E$11-1)))</f>
        <v/>
      </c>
      <c r="T397" s="57" t="str">
        <f aca="false">IF($S397="","",INDEX(BookRate,392)*(1+'5. Scenarios'!$E$10)*$S397)</f>
        <v/>
      </c>
      <c r="U397" s="57" t="str">
        <f aca="false">IF($T397="","",SUMIFS($T$6:$T$2405,$A$6:$A$2405,"&lt;="&amp;$A397))</f>
        <v/>
      </c>
      <c r="V397" s="57" t="str">
        <f aca="false">IF($T397="","",IF($U397&lt;=BankCostEnvelope*'5. Scenarios'!$E$7,1,0))</f>
        <v/>
      </c>
      <c r="W397" s="57" t="str">
        <f aca="false">IF($S397="","",INDEX(BookRate,392)*(1+'5. Scenarios'!$E$10)*(INDEX(BookQ1,392)*(5-MIN(4,1+'5. Scenarios'!$E$8))/4+INDEX(BookQ2,392)*(5-MIN(4,2+'5. Scenarios'!$E$8))/4+INDEX(BookQ3,392)*(5-MIN(4,3+'5. Scenarios'!$E$8))/4+INDEX(BookQ4,392)*(5-MIN(4,4+'5. Scenarios'!$E$8))/4)*'5. Scenarios'!$E$6/(1+ProductivityDefault*('5. Scenarios'!$E$11-1))+INDEX(BookOneOff,392)*$S397)</f>
        <v/>
      </c>
    </row>
    <row r="398" customFormat="false" ht="15" hidden="false" customHeight="false" outlineLevel="0" collapsed="false">
      <c r="A398" s="0" t="str">
        <f aca="false">IF(INDEX(BookTitle,393)="","",INDEX(BookKey,393))</f>
        <v/>
      </c>
      <c r="B398" s="0" t="str">
        <f aca="false">IF(INDEX(BookTitle,393)="","",INDEX(BookGroup,393))</f>
        <v/>
      </c>
      <c r="C398" s="0" t="str">
        <f aca="false">IF(INDEX(BookTitle,393)="","",INDEX(BookCategory,393))</f>
        <v/>
      </c>
      <c r="D398" s="56" t="str">
        <f aca="false">IF(INDEX(BookTitle,393)="","",INDEX(BookTotal,393)*'5. Scenarios'!$B$6/(1+ProductivityDefault*('5. Scenarios'!$B$11-1)))</f>
        <v/>
      </c>
      <c r="E398" s="57" t="str">
        <f aca="false">IF($D398="","",INDEX(BookRate,393)*(1+'5. Scenarios'!$B$10)*$D398)</f>
        <v/>
      </c>
      <c r="F398" s="57" t="str">
        <f aca="false">IF($E398="","",SUMIFS($E$6:$E$2405,$A$6:$A$2405,"&lt;="&amp;$A398))</f>
        <v/>
      </c>
      <c r="G398" s="57" t="str">
        <f aca="false">IF($E398="","",IF($F398&lt;=BankCostEnvelope*'5. Scenarios'!$B$7,1,0))</f>
        <v/>
      </c>
      <c r="H398" s="57" t="str">
        <f aca="false">IF($D398="","",INDEX(BookRate,393)*(1+'5. Scenarios'!$B$10)*(INDEX(BookQ1,393)*(5-MIN(4,1+'5. Scenarios'!$B$8))/4+INDEX(BookQ2,393)*(5-MIN(4,2+'5. Scenarios'!$B$8))/4+INDEX(BookQ3,393)*(5-MIN(4,3+'5. Scenarios'!$B$8))/4+INDEX(BookQ4,393)*(5-MIN(4,4+'5. Scenarios'!$B$8))/4)*'5. Scenarios'!$B$6/(1+ProductivityDefault*('5. Scenarios'!$B$11-1))+INDEX(BookOneOff,393)*$D398)</f>
        <v/>
      </c>
      <c r="I398" s="56" t="str">
        <f aca="false">IF(INDEX(BookTitle,393)="","",INDEX(BookTotal,393)*'5. Scenarios'!$C$6/(1+ProductivityDefault*('5. Scenarios'!$C$11-1)))</f>
        <v/>
      </c>
      <c r="J398" s="57" t="str">
        <f aca="false">IF($I398="","",INDEX(BookRate,393)*(1+'5. Scenarios'!$C$10)*$I398)</f>
        <v/>
      </c>
      <c r="K398" s="57" t="str">
        <f aca="false">IF($J398="","",SUMIFS($J$6:$J$2405,$A$6:$A$2405,"&lt;="&amp;$A398))</f>
        <v/>
      </c>
      <c r="L398" s="57" t="str">
        <f aca="false">IF($J398="","",IF($K398&lt;=BankCostEnvelope*'5. Scenarios'!$C$7,1,0))</f>
        <v/>
      </c>
      <c r="M398" s="57" t="str">
        <f aca="false">IF($I398="","",INDEX(BookRate,393)*(1+'5. Scenarios'!$C$10)*(INDEX(BookQ1,393)*(5-MIN(4,1+'5. Scenarios'!$C$8))/4+INDEX(BookQ2,393)*(5-MIN(4,2+'5. Scenarios'!$C$8))/4+INDEX(BookQ3,393)*(5-MIN(4,3+'5. Scenarios'!$C$8))/4+INDEX(BookQ4,393)*(5-MIN(4,4+'5. Scenarios'!$C$8))/4)*'5. Scenarios'!$C$6/(1+ProductivityDefault*('5. Scenarios'!$C$11-1))+INDEX(BookOneOff,393)*$I398)</f>
        <v/>
      </c>
      <c r="N398" s="56" t="str">
        <f aca="false">IF(INDEX(BookTitle,393)="","",INDEX(BookTotal,393)*'5. Scenarios'!$D$6/(1+ProductivityDefault*('5. Scenarios'!$D$11-1)))</f>
        <v/>
      </c>
      <c r="O398" s="57" t="str">
        <f aca="false">IF($N398="","",INDEX(BookRate,393)*(1+'5. Scenarios'!$D$10)*$N398)</f>
        <v/>
      </c>
      <c r="P398" s="57" t="str">
        <f aca="false">IF($O398="","",SUMIFS($O$6:$O$2405,$A$6:$A$2405,"&lt;="&amp;$A398))</f>
        <v/>
      </c>
      <c r="Q398" s="57" t="str">
        <f aca="false">IF($O398="","",IF($P398&lt;=BankCostEnvelope*'5. Scenarios'!$D$7,1,0))</f>
        <v/>
      </c>
      <c r="R398" s="57" t="str">
        <f aca="false">IF($N398="","",INDEX(BookRate,393)*(1+'5. Scenarios'!$D$10)*(INDEX(BookQ1,393)*(5-MIN(4,1+'5. Scenarios'!$D$8))/4+INDEX(BookQ2,393)*(5-MIN(4,2+'5. Scenarios'!$D$8))/4+INDEX(BookQ3,393)*(5-MIN(4,3+'5. Scenarios'!$D$8))/4+INDEX(BookQ4,393)*(5-MIN(4,4+'5. Scenarios'!$D$8))/4)*'5. Scenarios'!$D$6/(1+ProductivityDefault*('5. Scenarios'!$D$11-1))+INDEX(BookOneOff,393)*$N398)</f>
        <v/>
      </c>
      <c r="S398" s="56" t="str">
        <f aca="false">IF(INDEX(BookTitle,393)="","",INDEX(BookTotal,393)*'5. Scenarios'!$E$6/(1+ProductivityDefault*('5. Scenarios'!$E$11-1)))</f>
        <v/>
      </c>
      <c r="T398" s="57" t="str">
        <f aca="false">IF($S398="","",INDEX(BookRate,393)*(1+'5. Scenarios'!$E$10)*$S398)</f>
        <v/>
      </c>
      <c r="U398" s="57" t="str">
        <f aca="false">IF($T398="","",SUMIFS($T$6:$T$2405,$A$6:$A$2405,"&lt;="&amp;$A398))</f>
        <v/>
      </c>
      <c r="V398" s="57" t="str">
        <f aca="false">IF($T398="","",IF($U398&lt;=BankCostEnvelope*'5. Scenarios'!$E$7,1,0))</f>
        <v/>
      </c>
      <c r="W398" s="57" t="str">
        <f aca="false">IF($S398="","",INDEX(BookRate,393)*(1+'5. Scenarios'!$E$10)*(INDEX(BookQ1,393)*(5-MIN(4,1+'5. Scenarios'!$E$8))/4+INDEX(BookQ2,393)*(5-MIN(4,2+'5. Scenarios'!$E$8))/4+INDEX(BookQ3,393)*(5-MIN(4,3+'5. Scenarios'!$E$8))/4+INDEX(BookQ4,393)*(5-MIN(4,4+'5. Scenarios'!$E$8))/4)*'5. Scenarios'!$E$6/(1+ProductivityDefault*('5. Scenarios'!$E$11-1))+INDEX(BookOneOff,393)*$S398)</f>
        <v/>
      </c>
    </row>
    <row r="399" customFormat="false" ht="15" hidden="false" customHeight="false" outlineLevel="0" collapsed="false">
      <c r="A399" s="0" t="str">
        <f aca="false">IF(INDEX(BookTitle,394)="","",INDEX(BookKey,394))</f>
        <v/>
      </c>
      <c r="B399" s="0" t="str">
        <f aca="false">IF(INDEX(BookTitle,394)="","",INDEX(BookGroup,394))</f>
        <v/>
      </c>
      <c r="C399" s="0" t="str">
        <f aca="false">IF(INDEX(BookTitle,394)="","",INDEX(BookCategory,394))</f>
        <v/>
      </c>
      <c r="D399" s="56" t="str">
        <f aca="false">IF(INDEX(BookTitle,394)="","",INDEX(BookTotal,394)*'5. Scenarios'!$B$6/(1+ProductivityDefault*('5. Scenarios'!$B$11-1)))</f>
        <v/>
      </c>
      <c r="E399" s="57" t="str">
        <f aca="false">IF($D399="","",INDEX(BookRate,394)*(1+'5. Scenarios'!$B$10)*$D399)</f>
        <v/>
      </c>
      <c r="F399" s="57" t="str">
        <f aca="false">IF($E399="","",SUMIFS($E$6:$E$2405,$A$6:$A$2405,"&lt;="&amp;$A399))</f>
        <v/>
      </c>
      <c r="G399" s="57" t="str">
        <f aca="false">IF($E399="","",IF($F399&lt;=BankCostEnvelope*'5. Scenarios'!$B$7,1,0))</f>
        <v/>
      </c>
      <c r="H399" s="57" t="str">
        <f aca="false">IF($D399="","",INDEX(BookRate,394)*(1+'5. Scenarios'!$B$10)*(INDEX(BookQ1,394)*(5-MIN(4,1+'5. Scenarios'!$B$8))/4+INDEX(BookQ2,394)*(5-MIN(4,2+'5. Scenarios'!$B$8))/4+INDEX(BookQ3,394)*(5-MIN(4,3+'5. Scenarios'!$B$8))/4+INDEX(BookQ4,394)*(5-MIN(4,4+'5. Scenarios'!$B$8))/4)*'5. Scenarios'!$B$6/(1+ProductivityDefault*('5. Scenarios'!$B$11-1))+INDEX(BookOneOff,394)*$D399)</f>
        <v/>
      </c>
      <c r="I399" s="56" t="str">
        <f aca="false">IF(INDEX(BookTitle,394)="","",INDEX(BookTotal,394)*'5. Scenarios'!$C$6/(1+ProductivityDefault*('5. Scenarios'!$C$11-1)))</f>
        <v/>
      </c>
      <c r="J399" s="57" t="str">
        <f aca="false">IF($I399="","",INDEX(BookRate,394)*(1+'5. Scenarios'!$C$10)*$I399)</f>
        <v/>
      </c>
      <c r="K399" s="57" t="str">
        <f aca="false">IF($J399="","",SUMIFS($J$6:$J$2405,$A$6:$A$2405,"&lt;="&amp;$A399))</f>
        <v/>
      </c>
      <c r="L399" s="57" t="str">
        <f aca="false">IF($J399="","",IF($K399&lt;=BankCostEnvelope*'5. Scenarios'!$C$7,1,0))</f>
        <v/>
      </c>
      <c r="M399" s="57" t="str">
        <f aca="false">IF($I399="","",INDEX(BookRate,394)*(1+'5. Scenarios'!$C$10)*(INDEX(BookQ1,394)*(5-MIN(4,1+'5. Scenarios'!$C$8))/4+INDEX(BookQ2,394)*(5-MIN(4,2+'5. Scenarios'!$C$8))/4+INDEX(BookQ3,394)*(5-MIN(4,3+'5. Scenarios'!$C$8))/4+INDEX(BookQ4,394)*(5-MIN(4,4+'5. Scenarios'!$C$8))/4)*'5. Scenarios'!$C$6/(1+ProductivityDefault*('5. Scenarios'!$C$11-1))+INDEX(BookOneOff,394)*$I399)</f>
        <v/>
      </c>
      <c r="N399" s="56" t="str">
        <f aca="false">IF(INDEX(BookTitle,394)="","",INDEX(BookTotal,394)*'5. Scenarios'!$D$6/(1+ProductivityDefault*('5. Scenarios'!$D$11-1)))</f>
        <v/>
      </c>
      <c r="O399" s="57" t="str">
        <f aca="false">IF($N399="","",INDEX(BookRate,394)*(1+'5. Scenarios'!$D$10)*$N399)</f>
        <v/>
      </c>
      <c r="P399" s="57" t="str">
        <f aca="false">IF($O399="","",SUMIFS($O$6:$O$2405,$A$6:$A$2405,"&lt;="&amp;$A399))</f>
        <v/>
      </c>
      <c r="Q399" s="57" t="str">
        <f aca="false">IF($O399="","",IF($P399&lt;=BankCostEnvelope*'5. Scenarios'!$D$7,1,0))</f>
        <v/>
      </c>
      <c r="R399" s="57" t="str">
        <f aca="false">IF($N399="","",INDEX(BookRate,394)*(1+'5. Scenarios'!$D$10)*(INDEX(BookQ1,394)*(5-MIN(4,1+'5. Scenarios'!$D$8))/4+INDEX(BookQ2,394)*(5-MIN(4,2+'5. Scenarios'!$D$8))/4+INDEX(BookQ3,394)*(5-MIN(4,3+'5. Scenarios'!$D$8))/4+INDEX(BookQ4,394)*(5-MIN(4,4+'5. Scenarios'!$D$8))/4)*'5. Scenarios'!$D$6/(1+ProductivityDefault*('5. Scenarios'!$D$11-1))+INDEX(BookOneOff,394)*$N399)</f>
        <v/>
      </c>
      <c r="S399" s="56" t="str">
        <f aca="false">IF(INDEX(BookTitle,394)="","",INDEX(BookTotal,394)*'5. Scenarios'!$E$6/(1+ProductivityDefault*('5. Scenarios'!$E$11-1)))</f>
        <v/>
      </c>
      <c r="T399" s="57" t="str">
        <f aca="false">IF($S399="","",INDEX(BookRate,394)*(1+'5. Scenarios'!$E$10)*$S399)</f>
        <v/>
      </c>
      <c r="U399" s="57" t="str">
        <f aca="false">IF($T399="","",SUMIFS($T$6:$T$2405,$A$6:$A$2405,"&lt;="&amp;$A399))</f>
        <v/>
      </c>
      <c r="V399" s="57" t="str">
        <f aca="false">IF($T399="","",IF($U399&lt;=BankCostEnvelope*'5. Scenarios'!$E$7,1,0))</f>
        <v/>
      </c>
      <c r="W399" s="57" t="str">
        <f aca="false">IF($S399="","",INDEX(BookRate,394)*(1+'5. Scenarios'!$E$10)*(INDEX(BookQ1,394)*(5-MIN(4,1+'5. Scenarios'!$E$8))/4+INDEX(BookQ2,394)*(5-MIN(4,2+'5. Scenarios'!$E$8))/4+INDEX(BookQ3,394)*(5-MIN(4,3+'5. Scenarios'!$E$8))/4+INDEX(BookQ4,394)*(5-MIN(4,4+'5. Scenarios'!$E$8))/4)*'5. Scenarios'!$E$6/(1+ProductivityDefault*('5. Scenarios'!$E$11-1))+INDEX(BookOneOff,394)*$S399)</f>
        <v/>
      </c>
    </row>
    <row r="400" customFormat="false" ht="15" hidden="false" customHeight="false" outlineLevel="0" collapsed="false">
      <c r="A400" s="0" t="str">
        <f aca="false">IF(INDEX(BookTitle,395)="","",INDEX(BookKey,395))</f>
        <v/>
      </c>
      <c r="B400" s="0" t="str">
        <f aca="false">IF(INDEX(BookTitle,395)="","",INDEX(BookGroup,395))</f>
        <v/>
      </c>
      <c r="C400" s="0" t="str">
        <f aca="false">IF(INDEX(BookTitle,395)="","",INDEX(BookCategory,395))</f>
        <v/>
      </c>
      <c r="D400" s="56" t="str">
        <f aca="false">IF(INDEX(BookTitle,395)="","",INDEX(BookTotal,395)*'5. Scenarios'!$B$6/(1+ProductivityDefault*('5. Scenarios'!$B$11-1)))</f>
        <v/>
      </c>
      <c r="E400" s="57" t="str">
        <f aca="false">IF($D400="","",INDEX(BookRate,395)*(1+'5. Scenarios'!$B$10)*$D400)</f>
        <v/>
      </c>
      <c r="F400" s="57" t="str">
        <f aca="false">IF($E400="","",SUMIFS($E$6:$E$2405,$A$6:$A$2405,"&lt;="&amp;$A400))</f>
        <v/>
      </c>
      <c r="G400" s="57" t="str">
        <f aca="false">IF($E400="","",IF($F400&lt;=BankCostEnvelope*'5. Scenarios'!$B$7,1,0))</f>
        <v/>
      </c>
      <c r="H400" s="57" t="str">
        <f aca="false">IF($D400="","",INDEX(BookRate,395)*(1+'5. Scenarios'!$B$10)*(INDEX(BookQ1,395)*(5-MIN(4,1+'5. Scenarios'!$B$8))/4+INDEX(BookQ2,395)*(5-MIN(4,2+'5. Scenarios'!$B$8))/4+INDEX(BookQ3,395)*(5-MIN(4,3+'5. Scenarios'!$B$8))/4+INDEX(BookQ4,395)*(5-MIN(4,4+'5. Scenarios'!$B$8))/4)*'5. Scenarios'!$B$6/(1+ProductivityDefault*('5. Scenarios'!$B$11-1))+INDEX(BookOneOff,395)*$D400)</f>
        <v/>
      </c>
      <c r="I400" s="56" t="str">
        <f aca="false">IF(INDEX(BookTitle,395)="","",INDEX(BookTotal,395)*'5. Scenarios'!$C$6/(1+ProductivityDefault*('5. Scenarios'!$C$11-1)))</f>
        <v/>
      </c>
      <c r="J400" s="57" t="str">
        <f aca="false">IF($I400="","",INDEX(BookRate,395)*(1+'5. Scenarios'!$C$10)*$I400)</f>
        <v/>
      </c>
      <c r="K400" s="57" t="str">
        <f aca="false">IF($J400="","",SUMIFS($J$6:$J$2405,$A$6:$A$2405,"&lt;="&amp;$A400))</f>
        <v/>
      </c>
      <c r="L400" s="57" t="str">
        <f aca="false">IF($J400="","",IF($K400&lt;=BankCostEnvelope*'5. Scenarios'!$C$7,1,0))</f>
        <v/>
      </c>
      <c r="M400" s="57" t="str">
        <f aca="false">IF($I400="","",INDEX(BookRate,395)*(1+'5. Scenarios'!$C$10)*(INDEX(BookQ1,395)*(5-MIN(4,1+'5. Scenarios'!$C$8))/4+INDEX(BookQ2,395)*(5-MIN(4,2+'5. Scenarios'!$C$8))/4+INDEX(BookQ3,395)*(5-MIN(4,3+'5. Scenarios'!$C$8))/4+INDEX(BookQ4,395)*(5-MIN(4,4+'5. Scenarios'!$C$8))/4)*'5. Scenarios'!$C$6/(1+ProductivityDefault*('5. Scenarios'!$C$11-1))+INDEX(BookOneOff,395)*$I400)</f>
        <v/>
      </c>
      <c r="N400" s="56" t="str">
        <f aca="false">IF(INDEX(BookTitle,395)="","",INDEX(BookTotal,395)*'5. Scenarios'!$D$6/(1+ProductivityDefault*('5. Scenarios'!$D$11-1)))</f>
        <v/>
      </c>
      <c r="O400" s="57" t="str">
        <f aca="false">IF($N400="","",INDEX(BookRate,395)*(1+'5. Scenarios'!$D$10)*$N400)</f>
        <v/>
      </c>
      <c r="P400" s="57" t="str">
        <f aca="false">IF($O400="","",SUMIFS($O$6:$O$2405,$A$6:$A$2405,"&lt;="&amp;$A400))</f>
        <v/>
      </c>
      <c r="Q400" s="57" t="str">
        <f aca="false">IF($O400="","",IF($P400&lt;=BankCostEnvelope*'5. Scenarios'!$D$7,1,0))</f>
        <v/>
      </c>
      <c r="R400" s="57" t="str">
        <f aca="false">IF($N400="","",INDEX(BookRate,395)*(1+'5. Scenarios'!$D$10)*(INDEX(BookQ1,395)*(5-MIN(4,1+'5. Scenarios'!$D$8))/4+INDEX(BookQ2,395)*(5-MIN(4,2+'5. Scenarios'!$D$8))/4+INDEX(BookQ3,395)*(5-MIN(4,3+'5. Scenarios'!$D$8))/4+INDEX(BookQ4,395)*(5-MIN(4,4+'5. Scenarios'!$D$8))/4)*'5. Scenarios'!$D$6/(1+ProductivityDefault*('5. Scenarios'!$D$11-1))+INDEX(BookOneOff,395)*$N400)</f>
        <v/>
      </c>
      <c r="S400" s="56" t="str">
        <f aca="false">IF(INDEX(BookTitle,395)="","",INDEX(BookTotal,395)*'5. Scenarios'!$E$6/(1+ProductivityDefault*('5. Scenarios'!$E$11-1)))</f>
        <v/>
      </c>
      <c r="T400" s="57" t="str">
        <f aca="false">IF($S400="","",INDEX(BookRate,395)*(1+'5. Scenarios'!$E$10)*$S400)</f>
        <v/>
      </c>
      <c r="U400" s="57" t="str">
        <f aca="false">IF($T400="","",SUMIFS($T$6:$T$2405,$A$6:$A$2405,"&lt;="&amp;$A400))</f>
        <v/>
      </c>
      <c r="V400" s="57" t="str">
        <f aca="false">IF($T400="","",IF($U400&lt;=BankCostEnvelope*'5. Scenarios'!$E$7,1,0))</f>
        <v/>
      </c>
      <c r="W400" s="57" t="str">
        <f aca="false">IF($S400="","",INDEX(BookRate,395)*(1+'5. Scenarios'!$E$10)*(INDEX(BookQ1,395)*(5-MIN(4,1+'5. Scenarios'!$E$8))/4+INDEX(BookQ2,395)*(5-MIN(4,2+'5. Scenarios'!$E$8))/4+INDEX(BookQ3,395)*(5-MIN(4,3+'5. Scenarios'!$E$8))/4+INDEX(BookQ4,395)*(5-MIN(4,4+'5. Scenarios'!$E$8))/4)*'5. Scenarios'!$E$6/(1+ProductivityDefault*('5. Scenarios'!$E$11-1))+INDEX(BookOneOff,395)*$S400)</f>
        <v/>
      </c>
    </row>
    <row r="401" customFormat="false" ht="15" hidden="false" customHeight="false" outlineLevel="0" collapsed="false">
      <c r="A401" s="0" t="str">
        <f aca="false">IF(INDEX(BookTitle,396)="","",INDEX(BookKey,396))</f>
        <v/>
      </c>
      <c r="B401" s="0" t="str">
        <f aca="false">IF(INDEX(BookTitle,396)="","",INDEX(BookGroup,396))</f>
        <v/>
      </c>
      <c r="C401" s="0" t="str">
        <f aca="false">IF(INDEX(BookTitle,396)="","",INDEX(BookCategory,396))</f>
        <v/>
      </c>
      <c r="D401" s="56" t="str">
        <f aca="false">IF(INDEX(BookTitle,396)="","",INDEX(BookTotal,396)*'5. Scenarios'!$B$6/(1+ProductivityDefault*('5. Scenarios'!$B$11-1)))</f>
        <v/>
      </c>
      <c r="E401" s="57" t="str">
        <f aca="false">IF($D401="","",INDEX(BookRate,396)*(1+'5. Scenarios'!$B$10)*$D401)</f>
        <v/>
      </c>
      <c r="F401" s="57" t="str">
        <f aca="false">IF($E401="","",SUMIFS($E$6:$E$2405,$A$6:$A$2405,"&lt;="&amp;$A401))</f>
        <v/>
      </c>
      <c r="G401" s="57" t="str">
        <f aca="false">IF($E401="","",IF($F401&lt;=BankCostEnvelope*'5. Scenarios'!$B$7,1,0))</f>
        <v/>
      </c>
      <c r="H401" s="57" t="str">
        <f aca="false">IF($D401="","",INDEX(BookRate,396)*(1+'5. Scenarios'!$B$10)*(INDEX(BookQ1,396)*(5-MIN(4,1+'5. Scenarios'!$B$8))/4+INDEX(BookQ2,396)*(5-MIN(4,2+'5. Scenarios'!$B$8))/4+INDEX(BookQ3,396)*(5-MIN(4,3+'5. Scenarios'!$B$8))/4+INDEX(BookQ4,396)*(5-MIN(4,4+'5. Scenarios'!$B$8))/4)*'5. Scenarios'!$B$6/(1+ProductivityDefault*('5. Scenarios'!$B$11-1))+INDEX(BookOneOff,396)*$D401)</f>
        <v/>
      </c>
      <c r="I401" s="56" t="str">
        <f aca="false">IF(INDEX(BookTitle,396)="","",INDEX(BookTotal,396)*'5. Scenarios'!$C$6/(1+ProductivityDefault*('5. Scenarios'!$C$11-1)))</f>
        <v/>
      </c>
      <c r="J401" s="57" t="str">
        <f aca="false">IF($I401="","",INDEX(BookRate,396)*(1+'5. Scenarios'!$C$10)*$I401)</f>
        <v/>
      </c>
      <c r="K401" s="57" t="str">
        <f aca="false">IF($J401="","",SUMIFS($J$6:$J$2405,$A$6:$A$2405,"&lt;="&amp;$A401))</f>
        <v/>
      </c>
      <c r="L401" s="57" t="str">
        <f aca="false">IF($J401="","",IF($K401&lt;=BankCostEnvelope*'5. Scenarios'!$C$7,1,0))</f>
        <v/>
      </c>
      <c r="M401" s="57" t="str">
        <f aca="false">IF($I401="","",INDEX(BookRate,396)*(1+'5. Scenarios'!$C$10)*(INDEX(BookQ1,396)*(5-MIN(4,1+'5. Scenarios'!$C$8))/4+INDEX(BookQ2,396)*(5-MIN(4,2+'5. Scenarios'!$C$8))/4+INDEX(BookQ3,396)*(5-MIN(4,3+'5. Scenarios'!$C$8))/4+INDEX(BookQ4,396)*(5-MIN(4,4+'5. Scenarios'!$C$8))/4)*'5. Scenarios'!$C$6/(1+ProductivityDefault*('5. Scenarios'!$C$11-1))+INDEX(BookOneOff,396)*$I401)</f>
        <v/>
      </c>
      <c r="N401" s="56" t="str">
        <f aca="false">IF(INDEX(BookTitle,396)="","",INDEX(BookTotal,396)*'5. Scenarios'!$D$6/(1+ProductivityDefault*('5. Scenarios'!$D$11-1)))</f>
        <v/>
      </c>
      <c r="O401" s="57" t="str">
        <f aca="false">IF($N401="","",INDEX(BookRate,396)*(1+'5. Scenarios'!$D$10)*$N401)</f>
        <v/>
      </c>
      <c r="P401" s="57" t="str">
        <f aca="false">IF($O401="","",SUMIFS($O$6:$O$2405,$A$6:$A$2405,"&lt;="&amp;$A401))</f>
        <v/>
      </c>
      <c r="Q401" s="57" t="str">
        <f aca="false">IF($O401="","",IF($P401&lt;=BankCostEnvelope*'5. Scenarios'!$D$7,1,0))</f>
        <v/>
      </c>
      <c r="R401" s="57" t="str">
        <f aca="false">IF($N401="","",INDEX(BookRate,396)*(1+'5. Scenarios'!$D$10)*(INDEX(BookQ1,396)*(5-MIN(4,1+'5. Scenarios'!$D$8))/4+INDEX(BookQ2,396)*(5-MIN(4,2+'5. Scenarios'!$D$8))/4+INDEX(BookQ3,396)*(5-MIN(4,3+'5. Scenarios'!$D$8))/4+INDEX(BookQ4,396)*(5-MIN(4,4+'5. Scenarios'!$D$8))/4)*'5. Scenarios'!$D$6/(1+ProductivityDefault*('5. Scenarios'!$D$11-1))+INDEX(BookOneOff,396)*$N401)</f>
        <v/>
      </c>
      <c r="S401" s="56" t="str">
        <f aca="false">IF(INDEX(BookTitle,396)="","",INDEX(BookTotal,396)*'5. Scenarios'!$E$6/(1+ProductivityDefault*('5. Scenarios'!$E$11-1)))</f>
        <v/>
      </c>
      <c r="T401" s="57" t="str">
        <f aca="false">IF($S401="","",INDEX(BookRate,396)*(1+'5. Scenarios'!$E$10)*$S401)</f>
        <v/>
      </c>
      <c r="U401" s="57" t="str">
        <f aca="false">IF($T401="","",SUMIFS($T$6:$T$2405,$A$6:$A$2405,"&lt;="&amp;$A401))</f>
        <v/>
      </c>
      <c r="V401" s="57" t="str">
        <f aca="false">IF($T401="","",IF($U401&lt;=BankCostEnvelope*'5. Scenarios'!$E$7,1,0))</f>
        <v/>
      </c>
      <c r="W401" s="57" t="str">
        <f aca="false">IF($S401="","",INDEX(BookRate,396)*(1+'5. Scenarios'!$E$10)*(INDEX(BookQ1,396)*(5-MIN(4,1+'5. Scenarios'!$E$8))/4+INDEX(BookQ2,396)*(5-MIN(4,2+'5. Scenarios'!$E$8))/4+INDEX(BookQ3,396)*(5-MIN(4,3+'5. Scenarios'!$E$8))/4+INDEX(BookQ4,396)*(5-MIN(4,4+'5. Scenarios'!$E$8))/4)*'5. Scenarios'!$E$6/(1+ProductivityDefault*('5. Scenarios'!$E$11-1))+INDEX(BookOneOff,396)*$S401)</f>
        <v/>
      </c>
    </row>
    <row r="402" customFormat="false" ht="15" hidden="false" customHeight="false" outlineLevel="0" collapsed="false">
      <c r="A402" s="0" t="str">
        <f aca="false">IF(INDEX(BookTitle,397)="","",INDEX(BookKey,397))</f>
        <v/>
      </c>
      <c r="B402" s="0" t="str">
        <f aca="false">IF(INDEX(BookTitle,397)="","",INDEX(BookGroup,397))</f>
        <v/>
      </c>
      <c r="C402" s="0" t="str">
        <f aca="false">IF(INDEX(BookTitle,397)="","",INDEX(BookCategory,397))</f>
        <v/>
      </c>
      <c r="D402" s="56" t="str">
        <f aca="false">IF(INDEX(BookTitle,397)="","",INDEX(BookTotal,397)*'5. Scenarios'!$B$6/(1+ProductivityDefault*('5. Scenarios'!$B$11-1)))</f>
        <v/>
      </c>
      <c r="E402" s="57" t="str">
        <f aca="false">IF($D402="","",INDEX(BookRate,397)*(1+'5. Scenarios'!$B$10)*$D402)</f>
        <v/>
      </c>
      <c r="F402" s="57" t="str">
        <f aca="false">IF($E402="","",SUMIFS($E$6:$E$2405,$A$6:$A$2405,"&lt;="&amp;$A402))</f>
        <v/>
      </c>
      <c r="G402" s="57" t="str">
        <f aca="false">IF($E402="","",IF($F402&lt;=BankCostEnvelope*'5. Scenarios'!$B$7,1,0))</f>
        <v/>
      </c>
      <c r="H402" s="57" t="str">
        <f aca="false">IF($D402="","",INDEX(BookRate,397)*(1+'5. Scenarios'!$B$10)*(INDEX(BookQ1,397)*(5-MIN(4,1+'5. Scenarios'!$B$8))/4+INDEX(BookQ2,397)*(5-MIN(4,2+'5. Scenarios'!$B$8))/4+INDEX(BookQ3,397)*(5-MIN(4,3+'5. Scenarios'!$B$8))/4+INDEX(BookQ4,397)*(5-MIN(4,4+'5. Scenarios'!$B$8))/4)*'5. Scenarios'!$B$6/(1+ProductivityDefault*('5. Scenarios'!$B$11-1))+INDEX(BookOneOff,397)*$D402)</f>
        <v/>
      </c>
      <c r="I402" s="56" t="str">
        <f aca="false">IF(INDEX(BookTitle,397)="","",INDEX(BookTotal,397)*'5. Scenarios'!$C$6/(1+ProductivityDefault*('5. Scenarios'!$C$11-1)))</f>
        <v/>
      </c>
      <c r="J402" s="57" t="str">
        <f aca="false">IF($I402="","",INDEX(BookRate,397)*(1+'5. Scenarios'!$C$10)*$I402)</f>
        <v/>
      </c>
      <c r="K402" s="57" t="str">
        <f aca="false">IF($J402="","",SUMIFS($J$6:$J$2405,$A$6:$A$2405,"&lt;="&amp;$A402))</f>
        <v/>
      </c>
      <c r="L402" s="57" t="str">
        <f aca="false">IF($J402="","",IF($K402&lt;=BankCostEnvelope*'5. Scenarios'!$C$7,1,0))</f>
        <v/>
      </c>
      <c r="M402" s="57" t="str">
        <f aca="false">IF($I402="","",INDEX(BookRate,397)*(1+'5. Scenarios'!$C$10)*(INDEX(BookQ1,397)*(5-MIN(4,1+'5. Scenarios'!$C$8))/4+INDEX(BookQ2,397)*(5-MIN(4,2+'5. Scenarios'!$C$8))/4+INDEX(BookQ3,397)*(5-MIN(4,3+'5. Scenarios'!$C$8))/4+INDEX(BookQ4,397)*(5-MIN(4,4+'5. Scenarios'!$C$8))/4)*'5. Scenarios'!$C$6/(1+ProductivityDefault*('5. Scenarios'!$C$11-1))+INDEX(BookOneOff,397)*$I402)</f>
        <v/>
      </c>
      <c r="N402" s="56" t="str">
        <f aca="false">IF(INDEX(BookTitle,397)="","",INDEX(BookTotal,397)*'5. Scenarios'!$D$6/(1+ProductivityDefault*('5. Scenarios'!$D$11-1)))</f>
        <v/>
      </c>
      <c r="O402" s="57" t="str">
        <f aca="false">IF($N402="","",INDEX(BookRate,397)*(1+'5. Scenarios'!$D$10)*$N402)</f>
        <v/>
      </c>
      <c r="P402" s="57" t="str">
        <f aca="false">IF($O402="","",SUMIFS($O$6:$O$2405,$A$6:$A$2405,"&lt;="&amp;$A402))</f>
        <v/>
      </c>
      <c r="Q402" s="57" t="str">
        <f aca="false">IF($O402="","",IF($P402&lt;=BankCostEnvelope*'5. Scenarios'!$D$7,1,0))</f>
        <v/>
      </c>
      <c r="R402" s="57" t="str">
        <f aca="false">IF($N402="","",INDEX(BookRate,397)*(1+'5. Scenarios'!$D$10)*(INDEX(BookQ1,397)*(5-MIN(4,1+'5. Scenarios'!$D$8))/4+INDEX(BookQ2,397)*(5-MIN(4,2+'5. Scenarios'!$D$8))/4+INDEX(BookQ3,397)*(5-MIN(4,3+'5. Scenarios'!$D$8))/4+INDEX(BookQ4,397)*(5-MIN(4,4+'5. Scenarios'!$D$8))/4)*'5. Scenarios'!$D$6/(1+ProductivityDefault*('5. Scenarios'!$D$11-1))+INDEX(BookOneOff,397)*$N402)</f>
        <v/>
      </c>
      <c r="S402" s="56" t="str">
        <f aca="false">IF(INDEX(BookTitle,397)="","",INDEX(BookTotal,397)*'5. Scenarios'!$E$6/(1+ProductivityDefault*('5. Scenarios'!$E$11-1)))</f>
        <v/>
      </c>
      <c r="T402" s="57" t="str">
        <f aca="false">IF($S402="","",INDEX(BookRate,397)*(1+'5. Scenarios'!$E$10)*$S402)</f>
        <v/>
      </c>
      <c r="U402" s="57" t="str">
        <f aca="false">IF($T402="","",SUMIFS($T$6:$T$2405,$A$6:$A$2405,"&lt;="&amp;$A402))</f>
        <v/>
      </c>
      <c r="V402" s="57" t="str">
        <f aca="false">IF($T402="","",IF($U402&lt;=BankCostEnvelope*'5. Scenarios'!$E$7,1,0))</f>
        <v/>
      </c>
      <c r="W402" s="57" t="str">
        <f aca="false">IF($S402="","",INDEX(BookRate,397)*(1+'5. Scenarios'!$E$10)*(INDEX(BookQ1,397)*(5-MIN(4,1+'5. Scenarios'!$E$8))/4+INDEX(BookQ2,397)*(5-MIN(4,2+'5. Scenarios'!$E$8))/4+INDEX(BookQ3,397)*(5-MIN(4,3+'5. Scenarios'!$E$8))/4+INDEX(BookQ4,397)*(5-MIN(4,4+'5. Scenarios'!$E$8))/4)*'5. Scenarios'!$E$6/(1+ProductivityDefault*('5. Scenarios'!$E$11-1))+INDEX(BookOneOff,397)*$S402)</f>
        <v/>
      </c>
    </row>
    <row r="403" customFormat="false" ht="15" hidden="false" customHeight="false" outlineLevel="0" collapsed="false">
      <c r="A403" s="0" t="str">
        <f aca="false">IF(INDEX(BookTitle,398)="","",INDEX(BookKey,398))</f>
        <v/>
      </c>
      <c r="B403" s="0" t="str">
        <f aca="false">IF(INDEX(BookTitle,398)="","",INDEX(BookGroup,398))</f>
        <v/>
      </c>
      <c r="C403" s="0" t="str">
        <f aca="false">IF(INDEX(BookTitle,398)="","",INDEX(BookCategory,398))</f>
        <v/>
      </c>
      <c r="D403" s="56" t="str">
        <f aca="false">IF(INDEX(BookTitle,398)="","",INDEX(BookTotal,398)*'5. Scenarios'!$B$6/(1+ProductivityDefault*('5. Scenarios'!$B$11-1)))</f>
        <v/>
      </c>
      <c r="E403" s="57" t="str">
        <f aca="false">IF($D403="","",INDEX(BookRate,398)*(1+'5. Scenarios'!$B$10)*$D403)</f>
        <v/>
      </c>
      <c r="F403" s="57" t="str">
        <f aca="false">IF($E403="","",SUMIFS($E$6:$E$2405,$A$6:$A$2405,"&lt;="&amp;$A403))</f>
        <v/>
      </c>
      <c r="G403" s="57" t="str">
        <f aca="false">IF($E403="","",IF($F403&lt;=BankCostEnvelope*'5. Scenarios'!$B$7,1,0))</f>
        <v/>
      </c>
      <c r="H403" s="57" t="str">
        <f aca="false">IF($D403="","",INDEX(BookRate,398)*(1+'5. Scenarios'!$B$10)*(INDEX(BookQ1,398)*(5-MIN(4,1+'5. Scenarios'!$B$8))/4+INDEX(BookQ2,398)*(5-MIN(4,2+'5. Scenarios'!$B$8))/4+INDEX(BookQ3,398)*(5-MIN(4,3+'5. Scenarios'!$B$8))/4+INDEX(BookQ4,398)*(5-MIN(4,4+'5. Scenarios'!$B$8))/4)*'5. Scenarios'!$B$6/(1+ProductivityDefault*('5. Scenarios'!$B$11-1))+INDEX(BookOneOff,398)*$D403)</f>
        <v/>
      </c>
      <c r="I403" s="56" t="str">
        <f aca="false">IF(INDEX(BookTitle,398)="","",INDEX(BookTotal,398)*'5. Scenarios'!$C$6/(1+ProductivityDefault*('5. Scenarios'!$C$11-1)))</f>
        <v/>
      </c>
      <c r="J403" s="57" t="str">
        <f aca="false">IF($I403="","",INDEX(BookRate,398)*(1+'5. Scenarios'!$C$10)*$I403)</f>
        <v/>
      </c>
      <c r="K403" s="57" t="str">
        <f aca="false">IF($J403="","",SUMIFS($J$6:$J$2405,$A$6:$A$2405,"&lt;="&amp;$A403))</f>
        <v/>
      </c>
      <c r="L403" s="57" t="str">
        <f aca="false">IF($J403="","",IF($K403&lt;=BankCostEnvelope*'5. Scenarios'!$C$7,1,0))</f>
        <v/>
      </c>
      <c r="M403" s="57" t="str">
        <f aca="false">IF($I403="","",INDEX(BookRate,398)*(1+'5. Scenarios'!$C$10)*(INDEX(BookQ1,398)*(5-MIN(4,1+'5. Scenarios'!$C$8))/4+INDEX(BookQ2,398)*(5-MIN(4,2+'5. Scenarios'!$C$8))/4+INDEX(BookQ3,398)*(5-MIN(4,3+'5. Scenarios'!$C$8))/4+INDEX(BookQ4,398)*(5-MIN(4,4+'5. Scenarios'!$C$8))/4)*'5. Scenarios'!$C$6/(1+ProductivityDefault*('5. Scenarios'!$C$11-1))+INDEX(BookOneOff,398)*$I403)</f>
        <v/>
      </c>
      <c r="N403" s="56" t="str">
        <f aca="false">IF(INDEX(BookTitle,398)="","",INDEX(BookTotal,398)*'5. Scenarios'!$D$6/(1+ProductivityDefault*('5. Scenarios'!$D$11-1)))</f>
        <v/>
      </c>
      <c r="O403" s="57" t="str">
        <f aca="false">IF($N403="","",INDEX(BookRate,398)*(1+'5. Scenarios'!$D$10)*$N403)</f>
        <v/>
      </c>
      <c r="P403" s="57" t="str">
        <f aca="false">IF($O403="","",SUMIFS($O$6:$O$2405,$A$6:$A$2405,"&lt;="&amp;$A403))</f>
        <v/>
      </c>
      <c r="Q403" s="57" t="str">
        <f aca="false">IF($O403="","",IF($P403&lt;=BankCostEnvelope*'5. Scenarios'!$D$7,1,0))</f>
        <v/>
      </c>
      <c r="R403" s="57" t="str">
        <f aca="false">IF($N403="","",INDEX(BookRate,398)*(1+'5. Scenarios'!$D$10)*(INDEX(BookQ1,398)*(5-MIN(4,1+'5. Scenarios'!$D$8))/4+INDEX(BookQ2,398)*(5-MIN(4,2+'5. Scenarios'!$D$8))/4+INDEX(BookQ3,398)*(5-MIN(4,3+'5. Scenarios'!$D$8))/4+INDEX(BookQ4,398)*(5-MIN(4,4+'5. Scenarios'!$D$8))/4)*'5. Scenarios'!$D$6/(1+ProductivityDefault*('5. Scenarios'!$D$11-1))+INDEX(BookOneOff,398)*$N403)</f>
        <v/>
      </c>
      <c r="S403" s="56" t="str">
        <f aca="false">IF(INDEX(BookTitle,398)="","",INDEX(BookTotal,398)*'5. Scenarios'!$E$6/(1+ProductivityDefault*('5. Scenarios'!$E$11-1)))</f>
        <v/>
      </c>
      <c r="T403" s="57" t="str">
        <f aca="false">IF($S403="","",INDEX(BookRate,398)*(1+'5. Scenarios'!$E$10)*$S403)</f>
        <v/>
      </c>
      <c r="U403" s="57" t="str">
        <f aca="false">IF($T403="","",SUMIFS($T$6:$T$2405,$A$6:$A$2405,"&lt;="&amp;$A403))</f>
        <v/>
      </c>
      <c r="V403" s="57" t="str">
        <f aca="false">IF($T403="","",IF($U403&lt;=BankCostEnvelope*'5. Scenarios'!$E$7,1,0))</f>
        <v/>
      </c>
      <c r="W403" s="57" t="str">
        <f aca="false">IF($S403="","",INDEX(BookRate,398)*(1+'5. Scenarios'!$E$10)*(INDEX(BookQ1,398)*(5-MIN(4,1+'5. Scenarios'!$E$8))/4+INDEX(BookQ2,398)*(5-MIN(4,2+'5. Scenarios'!$E$8))/4+INDEX(BookQ3,398)*(5-MIN(4,3+'5. Scenarios'!$E$8))/4+INDEX(BookQ4,398)*(5-MIN(4,4+'5. Scenarios'!$E$8))/4)*'5. Scenarios'!$E$6/(1+ProductivityDefault*('5. Scenarios'!$E$11-1))+INDEX(BookOneOff,398)*$S403)</f>
        <v/>
      </c>
    </row>
    <row r="404" customFormat="false" ht="15" hidden="false" customHeight="false" outlineLevel="0" collapsed="false">
      <c r="A404" s="0" t="str">
        <f aca="false">IF(INDEX(BookTitle,399)="","",INDEX(BookKey,399))</f>
        <v/>
      </c>
      <c r="B404" s="0" t="str">
        <f aca="false">IF(INDEX(BookTitle,399)="","",INDEX(BookGroup,399))</f>
        <v/>
      </c>
      <c r="C404" s="0" t="str">
        <f aca="false">IF(INDEX(BookTitle,399)="","",INDEX(BookCategory,399))</f>
        <v/>
      </c>
      <c r="D404" s="56" t="str">
        <f aca="false">IF(INDEX(BookTitle,399)="","",INDEX(BookTotal,399)*'5. Scenarios'!$B$6/(1+ProductivityDefault*('5. Scenarios'!$B$11-1)))</f>
        <v/>
      </c>
      <c r="E404" s="57" t="str">
        <f aca="false">IF($D404="","",INDEX(BookRate,399)*(1+'5. Scenarios'!$B$10)*$D404)</f>
        <v/>
      </c>
      <c r="F404" s="57" t="str">
        <f aca="false">IF($E404="","",SUMIFS($E$6:$E$2405,$A$6:$A$2405,"&lt;="&amp;$A404))</f>
        <v/>
      </c>
      <c r="G404" s="57" t="str">
        <f aca="false">IF($E404="","",IF($F404&lt;=BankCostEnvelope*'5. Scenarios'!$B$7,1,0))</f>
        <v/>
      </c>
      <c r="H404" s="57" t="str">
        <f aca="false">IF($D404="","",INDEX(BookRate,399)*(1+'5. Scenarios'!$B$10)*(INDEX(BookQ1,399)*(5-MIN(4,1+'5. Scenarios'!$B$8))/4+INDEX(BookQ2,399)*(5-MIN(4,2+'5. Scenarios'!$B$8))/4+INDEX(BookQ3,399)*(5-MIN(4,3+'5. Scenarios'!$B$8))/4+INDEX(BookQ4,399)*(5-MIN(4,4+'5. Scenarios'!$B$8))/4)*'5. Scenarios'!$B$6/(1+ProductivityDefault*('5. Scenarios'!$B$11-1))+INDEX(BookOneOff,399)*$D404)</f>
        <v/>
      </c>
      <c r="I404" s="56" t="str">
        <f aca="false">IF(INDEX(BookTitle,399)="","",INDEX(BookTotal,399)*'5. Scenarios'!$C$6/(1+ProductivityDefault*('5. Scenarios'!$C$11-1)))</f>
        <v/>
      </c>
      <c r="J404" s="57" t="str">
        <f aca="false">IF($I404="","",INDEX(BookRate,399)*(1+'5. Scenarios'!$C$10)*$I404)</f>
        <v/>
      </c>
      <c r="K404" s="57" t="str">
        <f aca="false">IF($J404="","",SUMIFS($J$6:$J$2405,$A$6:$A$2405,"&lt;="&amp;$A404))</f>
        <v/>
      </c>
      <c r="L404" s="57" t="str">
        <f aca="false">IF($J404="","",IF($K404&lt;=BankCostEnvelope*'5. Scenarios'!$C$7,1,0))</f>
        <v/>
      </c>
      <c r="M404" s="57" t="str">
        <f aca="false">IF($I404="","",INDEX(BookRate,399)*(1+'5. Scenarios'!$C$10)*(INDEX(BookQ1,399)*(5-MIN(4,1+'5. Scenarios'!$C$8))/4+INDEX(BookQ2,399)*(5-MIN(4,2+'5. Scenarios'!$C$8))/4+INDEX(BookQ3,399)*(5-MIN(4,3+'5. Scenarios'!$C$8))/4+INDEX(BookQ4,399)*(5-MIN(4,4+'5. Scenarios'!$C$8))/4)*'5. Scenarios'!$C$6/(1+ProductivityDefault*('5. Scenarios'!$C$11-1))+INDEX(BookOneOff,399)*$I404)</f>
        <v/>
      </c>
      <c r="N404" s="56" t="str">
        <f aca="false">IF(INDEX(BookTitle,399)="","",INDEX(BookTotal,399)*'5. Scenarios'!$D$6/(1+ProductivityDefault*('5. Scenarios'!$D$11-1)))</f>
        <v/>
      </c>
      <c r="O404" s="57" t="str">
        <f aca="false">IF($N404="","",INDEX(BookRate,399)*(1+'5. Scenarios'!$D$10)*$N404)</f>
        <v/>
      </c>
      <c r="P404" s="57" t="str">
        <f aca="false">IF($O404="","",SUMIFS($O$6:$O$2405,$A$6:$A$2405,"&lt;="&amp;$A404))</f>
        <v/>
      </c>
      <c r="Q404" s="57" t="str">
        <f aca="false">IF($O404="","",IF($P404&lt;=BankCostEnvelope*'5. Scenarios'!$D$7,1,0))</f>
        <v/>
      </c>
      <c r="R404" s="57" t="str">
        <f aca="false">IF($N404="","",INDEX(BookRate,399)*(1+'5. Scenarios'!$D$10)*(INDEX(BookQ1,399)*(5-MIN(4,1+'5. Scenarios'!$D$8))/4+INDEX(BookQ2,399)*(5-MIN(4,2+'5. Scenarios'!$D$8))/4+INDEX(BookQ3,399)*(5-MIN(4,3+'5. Scenarios'!$D$8))/4+INDEX(BookQ4,399)*(5-MIN(4,4+'5. Scenarios'!$D$8))/4)*'5. Scenarios'!$D$6/(1+ProductivityDefault*('5. Scenarios'!$D$11-1))+INDEX(BookOneOff,399)*$N404)</f>
        <v/>
      </c>
      <c r="S404" s="56" t="str">
        <f aca="false">IF(INDEX(BookTitle,399)="","",INDEX(BookTotal,399)*'5. Scenarios'!$E$6/(1+ProductivityDefault*('5. Scenarios'!$E$11-1)))</f>
        <v/>
      </c>
      <c r="T404" s="57" t="str">
        <f aca="false">IF($S404="","",INDEX(BookRate,399)*(1+'5. Scenarios'!$E$10)*$S404)</f>
        <v/>
      </c>
      <c r="U404" s="57" t="str">
        <f aca="false">IF($T404="","",SUMIFS($T$6:$T$2405,$A$6:$A$2405,"&lt;="&amp;$A404))</f>
        <v/>
      </c>
      <c r="V404" s="57" t="str">
        <f aca="false">IF($T404="","",IF($U404&lt;=BankCostEnvelope*'5. Scenarios'!$E$7,1,0))</f>
        <v/>
      </c>
      <c r="W404" s="57" t="str">
        <f aca="false">IF($S404="","",INDEX(BookRate,399)*(1+'5. Scenarios'!$E$10)*(INDEX(BookQ1,399)*(5-MIN(4,1+'5. Scenarios'!$E$8))/4+INDEX(BookQ2,399)*(5-MIN(4,2+'5. Scenarios'!$E$8))/4+INDEX(BookQ3,399)*(5-MIN(4,3+'5. Scenarios'!$E$8))/4+INDEX(BookQ4,399)*(5-MIN(4,4+'5. Scenarios'!$E$8))/4)*'5. Scenarios'!$E$6/(1+ProductivityDefault*('5. Scenarios'!$E$11-1))+INDEX(BookOneOff,399)*$S404)</f>
        <v/>
      </c>
    </row>
    <row r="405" customFormat="false" ht="15" hidden="false" customHeight="false" outlineLevel="0" collapsed="false">
      <c r="A405" s="0" t="str">
        <f aca="false">IF(INDEX(BookTitle,400)="","",INDEX(BookKey,400))</f>
        <v/>
      </c>
      <c r="B405" s="0" t="str">
        <f aca="false">IF(INDEX(BookTitle,400)="","",INDEX(BookGroup,400))</f>
        <v/>
      </c>
      <c r="C405" s="0" t="str">
        <f aca="false">IF(INDEX(BookTitle,400)="","",INDEX(BookCategory,400))</f>
        <v/>
      </c>
      <c r="D405" s="56" t="str">
        <f aca="false">IF(INDEX(BookTitle,400)="","",INDEX(BookTotal,400)*'5. Scenarios'!$B$6/(1+ProductivityDefault*('5. Scenarios'!$B$11-1)))</f>
        <v/>
      </c>
      <c r="E405" s="57" t="str">
        <f aca="false">IF($D405="","",INDEX(BookRate,400)*(1+'5. Scenarios'!$B$10)*$D405)</f>
        <v/>
      </c>
      <c r="F405" s="57" t="str">
        <f aca="false">IF($E405="","",SUMIFS($E$6:$E$2405,$A$6:$A$2405,"&lt;="&amp;$A405))</f>
        <v/>
      </c>
      <c r="G405" s="57" t="str">
        <f aca="false">IF($E405="","",IF($F405&lt;=BankCostEnvelope*'5. Scenarios'!$B$7,1,0))</f>
        <v/>
      </c>
      <c r="H405" s="57" t="str">
        <f aca="false">IF($D405="","",INDEX(BookRate,400)*(1+'5. Scenarios'!$B$10)*(INDEX(BookQ1,400)*(5-MIN(4,1+'5. Scenarios'!$B$8))/4+INDEX(BookQ2,400)*(5-MIN(4,2+'5. Scenarios'!$B$8))/4+INDEX(BookQ3,400)*(5-MIN(4,3+'5. Scenarios'!$B$8))/4+INDEX(BookQ4,400)*(5-MIN(4,4+'5. Scenarios'!$B$8))/4)*'5. Scenarios'!$B$6/(1+ProductivityDefault*('5. Scenarios'!$B$11-1))+INDEX(BookOneOff,400)*$D405)</f>
        <v/>
      </c>
      <c r="I405" s="56" t="str">
        <f aca="false">IF(INDEX(BookTitle,400)="","",INDEX(BookTotal,400)*'5. Scenarios'!$C$6/(1+ProductivityDefault*('5. Scenarios'!$C$11-1)))</f>
        <v/>
      </c>
      <c r="J405" s="57" t="str">
        <f aca="false">IF($I405="","",INDEX(BookRate,400)*(1+'5. Scenarios'!$C$10)*$I405)</f>
        <v/>
      </c>
      <c r="K405" s="57" t="str">
        <f aca="false">IF($J405="","",SUMIFS($J$6:$J$2405,$A$6:$A$2405,"&lt;="&amp;$A405))</f>
        <v/>
      </c>
      <c r="L405" s="57" t="str">
        <f aca="false">IF($J405="","",IF($K405&lt;=BankCostEnvelope*'5. Scenarios'!$C$7,1,0))</f>
        <v/>
      </c>
      <c r="M405" s="57" t="str">
        <f aca="false">IF($I405="","",INDEX(BookRate,400)*(1+'5. Scenarios'!$C$10)*(INDEX(BookQ1,400)*(5-MIN(4,1+'5. Scenarios'!$C$8))/4+INDEX(BookQ2,400)*(5-MIN(4,2+'5. Scenarios'!$C$8))/4+INDEX(BookQ3,400)*(5-MIN(4,3+'5. Scenarios'!$C$8))/4+INDEX(BookQ4,400)*(5-MIN(4,4+'5. Scenarios'!$C$8))/4)*'5. Scenarios'!$C$6/(1+ProductivityDefault*('5. Scenarios'!$C$11-1))+INDEX(BookOneOff,400)*$I405)</f>
        <v/>
      </c>
      <c r="N405" s="56" t="str">
        <f aca="false">IF(INDEX(BookTitle,400)="","",INDEX(BookTotal,400)*'5. Scenarios'!$D$6/(1+ProductivityDefault*('5. Scenarios'!$D$11-1)))</f>
        <v/>
      </c>
      <c r="O405" s="57" t="str">
        <f aca="false">IF($N405="","",INDEX(BookRate,400)*(1+'5. Scenarios'!$D$10)*$N405)</f>
        <v/>
      </c>
      <c r="P405" s="57" t="str">
        <f aca="false">IF($O405="","",SUMIFS($O$6:$O$2405,$A$6:$A$2405,"&lt;="&amp;$A405))</f>
        <v/>
      </c>
      <c r="Q405" s="57" t="str">
        <f aca="false">IF($O405="","",IF($P405&lt;=BankCostEnvelope*'5. Scenarios'!$D$7,1,0))</f>
        <v/>
      </c>
      <c r="R405" s="57" t="str">
        <f aca="false">IF($N405="","",INDEX(BookRate,400)*(1+'5. Scenarios'!$D$10)*(INDEX(BookQ1,400)*(5-MIN(4,1+'5. Scenarios'!$D$8))/4+INDEX(BookQ2,400)*(5-MIN(4,2+'5. Scenarios'!$D$8))/4+INDEX(BookQ3,400)*(5-MIN(4,3+'5. Scenarios'!$D$8))/4+INDEX(BookQ4,400)*(5-MIN(4,4+'5. Scenarios'!$D$8))/4)*'5. Scenarios'!$D$6/(1+ProductivityDefault*('5. Scenarios'!$D$11-1))+INDEX(BookOneOff,400)*$N405)</f>
        <v/>
      </c>
      <c r="S405" s="56" t="str">
        <f aca="false">IF(INDEX(BookTitle,400)="","",INDEX(BookTotal,400)*'5. Scenarios'!$E$6/(1+ProductivityDefault*('5. Scenarios'!$E$11-1)))</f>
        <v/>
      </c>
      <c r="T405" s="57" t="str">
        <f aca="false">IF($S405="","",INDEX(BookRate,400)*(1+'5. Scenarios'!$E$10)*$S405)</f>
        <v/>
      </c>
      <c r="U405" s="57" t="str">
        <f aca="false">IF($T405="","",SUMIFS($T$6:$T$2405,$A$6:$A$2405,"&lt;="&amp;$A405))</f>
        <v/>
      </c>
      <c r="V405" s="57" t="str">
        <f aca="false">IF($T405="","",IF($U405&lt;=BankCostEnvelope*'5. Scenarios'!$E$7,1,0))</f>
        <v/>
      </c>
      <c r="W405" s="57" t="str">
        <f aca="false">IF($S405="","",INDEX(BookRate,400)*(1+'5. Scenarios'!$E$10)*(INDEX(BookQ1,400)*(5-MIN(4,1+'5. Scenarios'!$E$8))/4+INDEX(BookQ2,400)*(5-MIN(4,2+'5. Scenarios'!$E$8))/4+INDEX(BookQ3,400)*(5-MIN(4,3+'5. Scenarios'!$E$8))/4+INDEX(BookQ4,400)*(5-MIN(4,4+'5. Scenarios'!$E$8))/4)*'5. Scenarios'!$E$6/(1+ProductivityDefault*('5. Scenarios'!$E$11-1))+INDEX(BookOneOff,400)*$S405)</f>
        <v/>
      </c>
    </row>
    <row r="406" customFormat="false" ht="15" hidden="false" customHeight="false" outlineLevel="0" collapsed="false">
      <c r="A406" s="0" t="str">
        <f aca="false">IF(INDEX(BookTitle,401)="","",INDEX(BookKey,401))</f>
        <v/>
      </c>
      <c r="B406" s="0" t="str">
        <f aca="false">IF(INDEX(BookTitle,401)="","",INDEX(BookGroup,401))</f>
        <v/>
      </c>
      <c r="C406" s="0" t="str">
        <f aca="false">IF(INDEX(BookTitle,401)="","",INDEX(BookCategory,401))</f>
        <v/>
      </c>
      <c r="D406" s="56" t="str">
        <f aca="false">IF(INDEX(BookTitle,401)="","",INDEX(BookTotal,401)*'5. Scenarios'!$B$6/(1+ProductivityDefault*('5. Scenarios'!$B$11-1)))</f>
        <v/>
      </c>
      <c r="E406" s="57" t="str">
        <f aca="false">IF($D406="","",INDEX(BookRate,401)*(1+'5. Scenarios'!$B$10)*$D406)</f>
        <v/>
      </c>
      <c r="F406" s="57" t="str">
        <f aca="false">IF($E406="","",SUMIFS($E$6:$E$2405,$A$6:$A$2405,"&lt;="&amp;$A406))</f>
        <v/>
      </c>
      <c r="G406" s="57" t="str">
        <f aca="false">IF($E406="","",IF($F406&lt;=BankCostEnvelope*'5. Scenarios'!$B$7,1,0))</f>
        <v/>
      </c>
      <c r="H406" s="57" t="str">
        <f aca="false">IF($D406="","",INDEX(BookRate,401)*(1+'5. Scenarios'!$B$10)*(INDEX(BookQ1,401)*(5-MIN(4,1+'5. Scenarios'!$B$8))/4+INDEX(BookQ2,401)*(5-MIN(4,2+'5. Scenarios'!$B$8))/4+INDEX(BookQ3,401)*(5-MIN(4,3+'5. Scenarios'!$B$8))/4+INDEX(BookQ4,401)*(5-MIN(4,4+'5. Scenarios'!$B$8))/4)*'5. Scenarios'!$B$6/(1+ProductivityDefault*('5. Scenarios'!$B$11-1))+INDEX(BookOneOff,401)*$D406)</f>
        <v/>
      </c>
      <c r="I406" s="56" t="str">
        <f aca="false">IF(INDEX(BookTitle,401)="","",INDEX(BookTotal,401)*'5. Scenarios'!$C$6/(1+ProductivityDefault*('5. Scenarios'!$C$11-1)))</f>
        <v/>
      </c>
      <c r="J406" s="57" t="str">
        <f aca="false">IF($I406="","",INDEX(BookRate,401)*(1+'5. Scenarios'!$C$10)*$I406)</f>
        <v/>
      </c>
      <c r="K406" s="57" t="str">
        <f aca="false">IF($J406="","",SUMIFS($J$6:$J$2405,$A$6:$A$2405,"&lt;="&amp;$A406))</f>
        <v/>
      </c>
      <c r="L406" s="57" t="str">
        <f aca="false">IF($J406="","",IF($K406&lt;=BankCostEnvelope*'5. Scenarios'!$C$7,1,0))</f>
        <v/>
      </c>
      <c r="M406" s="57" t="str">
        <f aca="false">IF($I406="","",INDEX(BookRate,401)*(1+'5. Scenarios'!$C$10)*(INDEX(BookQ1,401)*(5-MIN(4,1+'5. Scenarios'!$C$8))/4+INDEX(BookQ2,401)*(5-MIN(4,2+'5. Scenarios'!$C$8))/4+INDEX(BookQ3,401)*(5-MIN(4,3+'5. Scenarios'!$C$8))/4+INDEX(BookQ4,401)*(5-MIN(4,4+'5. Scenarios'!$C$8))/4)*'5. Scenarios'!$C$6/(1+ProductivityDefault*('5. Scenarios'!$C$11-1))+INDEX(BookOneOff,401)*$I406)</f>
        <v/>
      </c>
      <c r="N406" s="56" t="str">
        <f aca="false">IF(INDEX(BookTitle,401)="","",INDEX(BookTotal,401)*'5. Scenarios'!$D$6/(1+ProductivityDefault*('5. Scenarios'!$D$11-1)))</f>
        <v/>
      </c>
      <c r="O406" s="57" t="str">
        <f aca="false">IF($N406="","",INDEX(BookRate,401)*(1+'5. Scenarios'!$D$10)*$N406)</f>
        <v/>
      </c>
      <c r="P406" s="57" t="str">
        <f aca="false">IF($O406="","",SUMIFS($O$6:$O$2405,$A$6:$A$2405,"&lt;="&amp;$A406))</f>
        <v/>
      </c>
      <c r="Q406" s="57" t="str">
        <f aca="false">IF($O406="","",IF($P406&lt;=BankCostEnvelope*'5. Scenarios'!$D$7,1,0))</f>
        <v/>
      </c>
      <c r="R406" s="57" t="str">
        <f aca="false">IF($N406="","",INDEX(BookRate,401)*(1+'5. Scenarios'!$D$10)*(INDEX(BookQ1,401)*(5-MIN(4,1+'5. Scenarios'!$D$8))/4+INDEX(BookQ2,401)*(5-MIN(4,2+'5. Scenarios'!$D$8))/4+INDEX(BookQ3,401)*(5-MIN(4,3+'5. Scenarios'!$D$8))/4+INDEX(BookQ4,401)*(5-MIN(4,4+'5. Scenarios'!$D$8))/4)*'5. Scenarios'!$D$6/(1+ProductivityDefault*('5. Scenarios'!$D$11-1))+INDEX(BookOneOff,401)*$N406)</f>
        <v/>
      </c>
      <c r="S406" s="56" t="str">
        <f aca="false">IF(INDEX(BookTitle,401)="","",INDEX(BookTotal,401)*'5. Scenarios'!$E$6/(1+ProductivityDefault*('5. Scenarios'!$E$11-1)))</f>
        <v/>
      </c>
      <c r="T406" s="57" t="str">
        <f aca="false">IF($S406="","",INDEX(BookRate,401)*(1+'5. Scenarios'!$E$10)*$S406)</f>
        <v/>
      </c>
      <c r="U406" s="57" t="str">
        <f aca="false">IF($T406="","",SUMIFS($T$6:$T$2405,$A$6:$A$2405,"&lt;="&amp;$A406))</f>
        <v/>
      </c>
      <c r="V406" s="57" t="str">
        <f aca="false">IF($T406="","",IF($U406&lt;=BankCostEnvelope*'5. Scenarios'!$E$7,1,0))</f>
        <v/>
      </c>
      <c r="W406" s="57" t="str">
        <f aca="false">IF($S406="","",INDEX(BookRate,401)*(1+'5. Scenarios'!$E$10)*(INDEX(BookQ1,401)*(5-MIN(4,1+'5. Scenarios'!$E$8))/4+INDEX(BookQ2,401)*(5-MIN(4,2+'5. Scenarios'!$E$8))/4+INDEX(BookQ3,401)*(5-MIN(4,3+'5. Scenarios'!$E$8))/4+INDEX(BookQ4,401)*(5-MIN(4,4+'5. Scenarios'!$E$8))/4)*'5. Scenarios'!$E$6/(1+ProductivityDefault*('5. Scenarios'!$E$11-1))+INDEX(BookOneOff,401)*$S406)</f>
        <v/>
      </c>
    </row>
    <row r="407" customFormat="false" ht="15" hidden="false" customHeight="false" outlineLevel="0" collapsed="false">
      <c r="A407" s="0" t="str">
        <f aca="false">IF(INDEX(BookTitle,402)="","",INDEX(BookKey,402))</f>
        <v/>
      </c>
      <c r="B407" s="0" t="str">
        <f aca="false">IF(INDEX(BookTitle,402)="","",INDEX(BookGroup,402))</f>
        <v/>
      </c>
      <c r="C407" s="0" t="str">
        <f aca="false">IF(INDEX(BookTitle,402)="","",INDEX(BookCategory,402))</f>
        <v/>
      </c>
      <c r="D407" s="56" t="str">
        <f aca="false">IF(INDEX(BookTitle,402)="","",INDEX(BookTotal,402)*'5. Scenarios'!$B$6/(1+ProductivityDefault*('5. Scenarios'!$B$11-1)))</f>
        <v/>
      </c>
      <c r="E407" s="57" t="str">
        <f aca="false">IF($D407="","",INDEX(BookRate,402)*(1+'5. Scenarios'!$B$10)*$D407)</f>
        <v/>
      </c>
      <c r="F407" s="57" t="str">
        <f aca="false">IF($E407="","",SUMIFS($E$6:$E$2405,$A$6:$A$2405,"&lt;="&amp;$A407))</f>
        <v/>
      </c>
      <c r="G407" s="57" t="str">
        <f aca="false">IF($E407="","",IF($F407&lt;=BankCostEnvelope*'5. Scenarios'!$B$7,1,0))</f>
        <v/>
      </c>
      <c r="H407" s="57" t="str">
        <f aca="false">IF($D407="","",INDEX(BookRate,402)*(1+'5. Scenarios'!$B$10)*(INDEX(BookQ1,402)*(5-MIN(4,1+'5. Scenarios'!$B$8))/4+INDEX(BookQ2,402)*(5-MIN(4,2+'5. Scenarios'!$B$8))/4+INDEX(BookQ3,402)*(5-MIN(4,3+'5. Scenarios'!$B$8))/4+INDEX(BookQ4,402)*(5-MIN(4,4+'5. Scenarios'!$B$8))/4)*'5. Scenarios'!$B$6/(1+ProductivityDefault*('5. Scenarios'!$B$11-1))+INDEX(BookOneOff,402)*$D407)</f>
        <v/>
      </c>
      <c r="I407" s="56" t="str">
        <f aca="false">IF(INDEX(BookTitle,402)="","",INDEX(BookTotal,402)*'5. Scenarios'!$C$6/(1+ProductivityDefault*('5. Scenarios'!$C$11-1)))</f>
        <v/>
      </c>
      <c r="J407" s="57" t="str">
        <f aca="false">IF($I407="","",INDEX(BookRate,402)*(1+'5. Scenarios'!$C$10)*$I407)</f>
        <v/>
      </c>
      <c r="K407" s="57" t="str">
        <f aca="false">IF($J407="","",SUMIFS($J$6:$J$2405,$A$6:$A$2405,"&lt;="&amp;$A407))</f>
        <v/>
      </c>
      <c r="L407" s="57" t="str">
        <f aca="false">IF($J407="","",IF($K407&lt;=BankCostEnvelope*'5. Scenarios'!$C$7,1,0))</f>
        <v/>
      </c>
      <c r="M407" s="57" t="str">
        <f aca="false">IF($I407="","",INDEX(BookRate,402)*(1+'5. Scenarios'!$C$10)*(INDEX(BookQ1,402)*(5-MIN(4,1+'5. Scenarios'!$C$8))/4+INDEX(BookQ2,402)*(5-MIN(4,2+'5. Scenarios'!$C$8))/4+INDEX(BookQ3,402)*(5-MIN(4,3+'5. Scenarios'!$C$8))/4+INDEX(BookQ4,402)*(5-MIN(4,4+'5. Scenarios'!$C$8))/4)*'5. Scenarios'!$C$6/(1+ProductivityDefault*('5. Scenarios'!$C$11-1))+INDEX(BookOneOff,402)*$I407)</f>
        <v/>
      </c>
      <c r="N407" s="56" t="str">
        <f aca="false">IF(INDEX(BookTitle,402)="","",INDEX(BookTotal,402)*'5. Scenarios'!$D$6/(1+ProductivityDefault*('5. Scenarios'!$D$11-1)))</f>
        <v/>
      </c>
      <c r="O407" s="57" t="str">
        <f aca="false">IF($N407="","",INDEX(BookRate,402)*(1+'5. Scenarios'!$D$10)*$N407)</f>
        <v/>
      </c>
      <c r="P407" s="57" t="str">
        <f aca="false">IF($O407="","",SUMIFS($O$6:$O$2405,$A$6:$A$2405,"&lt;="&amp;$A407))</f>
        <v/>
      </c>
      <c r="Q407" s="57" t="str">
        <f aca="false">IF($O407="","",IF($P407&lt;=BankCostEnvelope*'5. Scenarios'!$D$7,1,0))</f>
        <v/>
      </c>
      <c r="R407" s="57" t="str">
        <f aca="false">IF($N407="","",INDEX(BookRate,402)*(1+'5. Scenarios'!$D$10)*(INDEX(BookQ1,402)*(5-MIN(4,1+'5. Scenarios'!$D$8))/4+INDEX(BookQ2,402)*(5-MIN(4,2+'5. Scenarios'!$D$8))/4+INDEX(BookQ3,402)*(5-MIN(4,3+'5. Scenarios'!$D$8))/4+INDEX(BookQ4,402)*(5-MIN(4,4+'5. Scenarios'!$D$8))/4)*'5. Scenarios'!$D$6/(1+ProductivityDefault*('5. Scenarios'!$D$11-1))+INDEX(BookOneOff,402)*$N407)</f>
        <v/>
      </c>
      <c r="S407" s="56" t="str">
        <f aca="false">IF(INDEX(BookTitle,402)="","",INDEX(BookTotal,402)*'5. Scenarios'!$E$6/(1+ProductivityDefault*('5. Scenarios'!$E$11-1)))</f>
        <v/>
      </c>
      <c r="T407" s="57" t="str">
        <f aca="false">IF($S407="","",INDEX(BookRate,402)*(1+'5. Scenarios'!$E$10)*$S407)</f>
        <v/>
      </c>
      <c r="U407" s="57" t="str">
        <f aca="false">IF($T407="","",SUMIFS($T$6:$T$2405,$A$6:$A$2405,"&lt;="&amp;$A407))</f>
        <v/>
      </c>
      <c r="V407" s="57" t="str">
        <f aca="false">IF($T407="","",IF($U407&lt;=BankCostEnvelope*'5. Scenarios'!$E$7,1,0))</f>
        <v/>
      </c>
      <c r="W407" s="57" t="str">
        <f aca="false">IF($S407="","",INDEX(BookRate,402)*(1+'5. Scenarios'!$E$10)*(INDEX(BookQ1,402)*(5-MIN(4,1+'5. Scenarios'!$E$8))/4+INDEX(BookQ2,402)*(5-MIN(4,2+'5. Scenarios'!$E$8))/4+INDEX(BookQ3,402)*(5-MIN(4,3+'5. Scenarios'!$E$8))/4+INDEX(BookQ4,402)*(5-MIN(4,4+'5. Scenarios'!$E$8))/4)*'5. Scenarios'!$E$6/(1+ProductivityDefault*('5. Scenarios'!$E$11-1))+INDEX(BookOneOff,402)*$S407)</f>
        <v/>
      </c>
    </row>
    <row r="408" customFormat="false" ht="15" hidden="false" customHeight="false" outlineLevel="0" collapsed="false">
      <c r="A408" s="0" t="str">
        <f aca="false">IF(INDEX(BookTitle,403)="","",INDEX(BookKey,403))</f>
        <v/>
      </c>
      <c r="B408" s="0" t="str">
        <f aca="false">IF(INDEX(BookTitle,403)="","",INDEX(BookGroup,403))</f>
        <v/>
      </c>
      <c r="C408" s="0" t="str">
        <f aca="false">IF(INDEX(BookTitle,403)="","",INDEX(BookCategory,403))</f>
        <v/>
      </c>
      <c r="D408" s="56" t="str">
        <f aca="false">IF(INDEX(BookTitle,403)="","",INDEX(BookTotal,403)*'5. Scenarios'!$B$6/(1+ProductivityDefault*('5. Scenarios'!$B$11-1)))</f>
        <v/>
      </c>
      <c r="E408" s="57" t="str">
        <f aca="false">IF($D408="","",INDEX(BookRate,403)*(1+'5. Scenarios'!$B$10)*$D408)</f>
        <v/>
      </c>
      <c r="F408" s="57" t="str">
        <f aca="false">IF($E408="","",SUMIFS($E$6:$E$2405,$A$6:$A$2405,"&lt;="&amp;$A408))</f>
        <v/>
      </c>
      <c r="G408" s="57" t="str">
        <f aca="false">IF($E408="","",IF($F408&lt;=BankCostEnvelope*'5. Scenarios'!$B$7,1,0))</f>
        <v/>
      </c>
      <c r="H408" s="57" t="str">
        <f aca="false">IF($D408="","",INDEX(BookRate,403)*(1+'5. Scenarios'!$B$10)*(INDEX(BookQ1,403)*(5-MIN(4,1+'5. Scenarios'!$B$8))/4+INDEX(BookQ2,403)*(5-MIN(4,2+'5. Scenarios'!$B$8))/4+INDEX(BookQ3,403)*(5-MIN(4,3+'5. Scenarios'!$B$8))/4+INDEX(BookQ4,403)*(5-MIN(4,4+'5. Scenarios'!$B$8))/4)*'5. Scenarios'!$B$6/(1+ProductivityDefault*('5. Scenarios'!$B$11-1))+INDEX(BookOneOff,403)*$D408)</f>
        <v/>
      </c>
      <c r="I408" s="56" t="str">
        <f aca="false">IF(INDEX(BookTitle,403)="","",INDEX(BookTotal,403)*'5. Scenarios'!$C$6/(1+ProductivityDefault*('5. Scenarios'!$C$11-1)))</f>
        <v/>
      </c>
      <c r="J408" s="57" t="str">
        <f aca="false">IF($I408="","",INDEX(BookRate,403)*(1+'5. Scenarios'!$C$10)*$I408)</f>
        <v/>
      </c>
      <c r="K408" s="57" t="str">
        <f aca="false">IF($J408="","",SUMIFS($J$6:$J$2405,$A$6:$A$2405,"&lt;="&amp;$A408))</f>
        <v/>
      </c>
      <c r="L408" s="57" t="str">
        <f aca="false">IF($J408="","",IF($K408&lt;=BankCostEnvelope*'5. Scenarios'!$C$7,1,0))</f>
        <v/>
      </c>
      <c r="M408" s="57" t="str">
        <f aca="false">IF($I408="","",INDEX(BookRate,403)*(1+'5. Scenarios'!$C$10)*(INDEX(BookQ1,403)*(5-MIN(4,1+'5. Scenarios'!$C$8))/4+INDEX(BookQ2,403)*(5-MIN(4,2+'5. Scenarios'!$C$8))/4+INDEX(BookQ3,403)*(5-MIN(4,3+'5. Scenarios'!$C$8))/4+INDEX(BookQ4,403)*(5-MIN(4,4+'5. Scenarios'!$C$8))/4)*'5. Scenarios'!$C$6/(1+ProductivityDefault*('5. Scenarios'!$C$11-1))+INDEX(BookOneOff,403)*$I408)</f>
        <v/>
      </c>
      <c r="N408" s="56" t="str">
        <f aca="false">IF(INDEX(BookTitle,403)="","",INDEX(BookTotal,403)*'5. Scenarios'!$D$6/(1+ProductivityDefault*('5. Scenarios'!$D$11-1)))</f>
        <v/>
      </c>
      <c r="O408" s="57" t="str">
        <f aca="false">IF($N408="","",INDEX(BookRate,403)*(1+'5. Scenarios'!$D$10)*$N408)</f>
        <v/>
      </c>
      <c r="P408" s="57" t="str">
        <f aca="false">IF($O408="","",SUMIFS($O$6:$O$2405,$A$6:$A$2405,"&lt;="&amp;$A408))</f>
        <v/>
      </c>
      <c r="Q408" s="57" t="str">
        <f aca="false">IF($O408="","",IF($P408&lt;=BankCostEnvelope*'5. Scenarios'!$D$7,1,0))</f>
        <v/>
      </c>
      <c r="R408" s="57" t="str">
        <f aca="false">IF($N408="","",INDEX(BookRate,403)*(1+'5. Scenarios'!$D$10)*(INDEX(BookQ1,403)*(5-MIN(4,1+'5. Scenarios'!$D$8))/4+INDEX(BookQ2,403)*(5-MIN(4,2+'5. Scenarios'!$D$8))/4+INDEX(BookQ3,403)*(5-MIN(4,3+'5. Scenarios'!$D$8))/4+INDEX(BookQ4,403)*(5-MIN(4,4+'5. Scenarios'!$D$8))/4)*'5. Scenarios'!$D$6/(1+ProductivityDefault*('5. Scenarios'!$D$11-1))+INDEX(BookOneOff,403)*$N408)</f>
        <v/>
      </c>
      <c r="S408" s="56" t="str">
        <f aca="false">IF(INDEX(BookTitle,403)="","",INDEX(BookTotal,403)*'5. Scenarios'!$E$6/(1+ProductivityDefault*('5. Scenarios'!$E$11-1)))</f>
        <v/>
      </c>
      <c r="T408" s="57" t="str">
        <f aca="false">IF($S408="","",INDEX(BookRate,403)*(1+'5. Scenarios'!$E$10)*$S408)</f>
        <v/>
      </c>
      <c r="U408" s="57" t="str">
        <f aca="false">IF($T408="","",SUMIFS($T$6:$T$2405,$A$6:$A$2405,"&lt;="&amp;$A408))</f>
        <v/>
      </c>
      <c r="V408" s="57" t="str">
        <f aca="false">IF($T408="","",IF($U408&lt;=BankCostEnvelope*'5. Scenarios'!$E$7,1,0))</f>
        <v/>
      </c>
      <c r="W408" s="57" t="str">
        <f aca="false">IF($S408="","",INDEX(BookRate,403)*(1+'5. Scenarios'!$E$10)*(INDEX(BookQ1,403)*(5-MIN(4,1+'5. Scenarios'!$E$8))/4+INDEX(BookQ2,403)*(5-MIN(4,2+'5. Scenarios'!$E$8))/4+INDEX(BookQ3,403)*(5-MIN(4,3+'5. Scenarios'!$E$8))/4+INDEX(BookQ4,403)*(5-MIN(4,4+'5. Scenarios'!$E$8))/4)*'5. Scenarios'!$E$6/(1+ProductivityDefault*('5. Scenarios'!$E$11-1))+INDEX(BookOneOff,403)*$S408)</f>
        <v/>
      </c>
    </row>
    <row r="409" customFormat="false" ht="15" hidden="false" customHeight="false" outlineLevel="0" collapsed="false">
      <c r="A409" s="0" t="str">
        <f aca="false">IF(INDEX(BookTitle,404)="","",INDEX(BookKey,404))</f>
        <v/>
      </c>
      <c r="B409" s="0" t="str">
        <f aca="false">IF(INDEX(BookTitle,404)="","",INDEX(BookGroup,404))</f>
        <v/>
      </c>
      <c r="C409" s="0" t="str">
        <f aca="false">IF(INDEX(BookTitle,404)="","",INDEX(BookCategory,404))</f>
        <v/>
      </c>
      <c r="D409" s="56" t="str">
        <f aca="false">IF(INDEX(BookTitle,404)="","",INDEX(BookTotal,404)*'5. Scenarios'!$B$6/(1+ProductivityDefault*('5. Scenarios'!$B$11-1)))</f>
        <v/>
      </c>
      <c r="E409" s="57" t="str">
        <f aca="false">IF($D409="","",INDEX(BookRate,404)*(1+'5. Scenarios'!$B$10)*$D409)</f>
        <v/>
      </c>
      <c r="F409" s="57" t="str">
        <f aca="false">IF($E409="","",SUMIFS($E$6:$E$2405,$A$6:$A$2405,"&lt;="&amp;$A409))</f>
        <v/>
      </c>
      <c r="G409" s="57" t="str">
        <f aca="false">IF($E409="","",IF($F409&lt;=BankCostEnvelope*'5. Scenarios'!$B$7,1,0))</f>
        <v/>
      </c>
      <c r="H409" s="57" t="str">
        <f aca="false">IF($D409="","",INDEX(BookRate,404)*(1+'5. Scenarios'!$B$10)*(INDEX(BookQ1,404)*(5-MIN(4,1+'5. Scenarios'!$B$8))/4+INDEX(BookQ2,404)*(5-MIN(4,2+'5. Scenarios'!$B$8))/4+INDEX(BookQ3,404)*(5-MIN(4,3+'5. Scenarios'!$B$8))/4+INDEX(BookQ4,404)*(5-MIN(4,4+'5. Scenarios'!$B$8))/4)*'5. Scenarios'!$B$6/(1+ProductivityDefault*('5. Scenarios'!$B$11-1))+INDEX(BookOneOff,404)*$D409)</f>
        <v/>
      </c>
      <c r="I409" s="56" t="str">
        <f aca="false">IF(INDEX(BookTitle,404)="","",INDEX(BookTotal,404)*'5. Scenarios'!$C$6/(1+ProductivityDefault*('5. Scenarios'!$C$11-1)))</f>
        <v/>
      </c>
      <c r="J409" s="57" t="str">
        <f aca="false">IF($I409="","",INDEX(BookRate,404)*(1+'5. Scenarios'!$C$10)*$I409)</f>
        <v/>
      </c>
      <c r="K409" s="57" t="str">
        <f aca="false">IF($J409="","",SUMIFS($J$6:$J$2405,$A$6:$A$2405,"&lt;="&amp;$A409))</f>
        <v/>
      </c>
      <c r="L409" s="57" t="str">
        <f aca="false">IF($J409="","",IF($K409&lt;=BankCostEnvelope*'5. Scenarios'!$C$7,1,0))</f>
        <v/>
      </c>
      <c r="M409" s="57" t="str">
        <f aca="false">IF($I409="","",INDEX(BookRate,404)*(1+'5. Scenarios'!$C$10)*(INDEX(BookQ1,404)*(5-MIN(4,1+'5. Scenarios'!$C$8))/4+INDEX(BookQ2,404)*(5-MIN(4,2+'5. Scenarios'!$C$8))/4+INDEX(BookQ3,404)*(5-MIN(4,3+'5. Scenarios'!$C$8))/4+INDEX(BookQ4,404)*(5-MIN(4,4+'5. Scenarios'!$C$8))/4)*'5. Scenarios'!$C$6/(1+ProductivityDefault*('5. Scenarios'!$C$11-1))+INDEX(BookOneOff,404)*$I409)</f>
        <v/>
      </c>
      <c r="N409" s="56" t="str">
        <f aca="false">IF(INDEX(BookTitle,404)="","",INDEX(BookTotal,404)*'5. Scenarios'!$D$6/(1+ProductivityDefault*('5. Scenarios'!$D$11-1)))</f>
        <v/>
      </c>
      <c r="O409" s="57" t="str">
        <f aca="false">IF($N409="","",INDEX(BookRate,404)*(1+'5. Scenarios'!$D$10)*$N409)</f>
        <v/>
      </c>
      <c r="P409" s="57" t="str">
        <f aca="false">IF($O409="","",SUMIFS($O$6:$O$2405,$A$6:$A$2405,"&lt;="&amp;$A409))</f>
        <v/>
      </c>
      <c r="Q409" s="57" t="str">
        <f aca="false">IF($O409="","",IF($P409&lt;=BankCostEnvelope*'5. Scenarios'!$D$7,1,0))</f>
        <v/>
      </c>
      <c r="R409" s="57" t="str">
        <f aca="false">IF($N409="","",INDEX(BookRate,404)*(1+'5. Scenarios'!$D$10)*(INDEX(BookQ1,404)*(5-MIN(4,1+'5. Scenarios'!$D$8))/4+INDEX(BookQ2,404)*(5-MIN(4,2+'5. Scenarios'!$D$8))/4+INDEX(BookQ3,404)*(5-MIN(4,3+'5. Scenarios'!$D$8))/4+INDEX(BookQ4,404)*(5-MIN(4,4+'5. Scenarios'!$D$8))/4)*'5. Scenarios'!$D$6/(1+ProductivityDefault*('5. Scenarios'!$D$11-1))+INDEX(BookOneOff,404)*$N409)</f>
        <v/>
      </c>
      <c r="S409" s="56" t="str">
        <f aca="false">IF(INDEX(BookTitle,404)="","",INDEX(BookTotal,404)*'5. Scenarios'!$E$6/(1+ProductivityDefault*('5. Scenarios'!$E$11-1)))</f>
        <v/>
      </c>
      <c r="T409" s="57" t="str">
        <f aca="false">IF($S409="","",INDEX(BookRate,404)*(1+'5. Scenarios'!$E$10)*$S409)</f>
        <v/>
      </c>
      <c r="U409" s="57" t="str">
        <f aca="false">IF($T409="","",SUMIFS($T$6:$T$2405,$A$6:$A$2405,"&lt;="&amp;$A409))</f>
        <v/>
      </c>
      <c r="V409" s="57" t="str">
        <f aca="false">IF($T409="","",IF($U409&lt;=BankCostEnvelope*'5. Scenarios'!$E$7,1,0))</f>
        <v/>
      </c>
      <c r="W409" s="57" t="str">
        <f aca="false">IF($S409="","",INDEX(BookRate,404)*(1+'5. Scenarios'!$E$10)*(INDEX(BookQ1,404)*(5-MIN(4,1+'5. Scenarios'!$E$8))/4+INDEX(BookQ2,404)*(5-MIN(4,2+'5. Scenarios'!$E$8))/4+INDEX(BookQ3,404)*(5-MIN(4,3+'5. Scenarios'!$E$8))/4+INDEX(BookQ4,404)*(5-MIN(4,4+'5. Scenarios'!$E$8))/4)*'5. Scenarios'!$E$6/(1+ProductivityDefault*('5. Scenarios'!$E$11-1))+INDEX(BookOneOff,404)*$S409)</f>
        <v/>
      </c>
    </row>
    <row r="410" customFormat="false" ht="15" hidden="false" customHeight="false" outlineLevel="0" collapsed="false">
      <c r="A410" s="0" t="str">
        <f aca="false">IF(INDEX(BookTitle,405)="","",INDEX(BookKey,405))</f>
        <v/>
      </c>
      <c r="B410" s="0" t="str">
        <f aca="false">IF(INDEX(BookTitle,405)="","",INDEX(BookGroup,405))</f>
        <v/>
      </c>
      <c r="C410" s="0" t="str">
        <f aca="false">IF(INDEX(BookTitle,405)="","",INDEX(BookCategory,405))</f>
        <v/>
      </c>
      <c r="D410" s="56" t="str">
        <f aca="false">IF(INDEX(BookTitle,405)="","",INDEX(BookTotal,405)*'5. Scenarios'!$B$6/(1+ProductivityDefault*('5. Scenarios'!$B$11-1)))</f>
        <v/>
      </c>
      <c r="E410" s="57" t="str">
        <f aca="false">IF($D410="","",INDEX(BookRate,405)*(1+'5. Scenarios'!$B$10)*$D410)</f>
        <v/>
      </c>
      <c r="F410" s="57" t="str">
        <f aca="false">IF($E410="","",SUMIFS($E$6:$E$2405,$A$6:$A$2405,"&lt;="&amp;$A410))</f>
        <v/>
      </c>
      <c r="G410" s="57" t="str">
        <f aca="false">IF($E410="","",IF($F410&lt;=BankCostEnvelope*'5. Scenarios'!$B$7,1,0))</f>
        <v/>
      </c>
      <c r="H410" s="57" t="str">
        <f aca="false">IF($D410="","",INDEX(BookRate,405)*(1+'5. Scenarios'!$B$10)*(INDEX(BookQ1,405)*(5-MIN(4,1+'5. Scenarios'!$B$8))/4+INDEX(BookQ2,405)*(5-MIN(4,2+'5. Scenarios'!$B$8))/4+INDEX(BookQ3,405)*(5-MIN(4,3+'5. Scenarios'!$B$8))/4+INDEX(BookQ4,405)*(5-MIN(4,4+'5. Scenarios'!$B$8))/4)*'5. Scenarios'!$B$6/(1+ProductivityDefault*('5. Scenarios'!$B$11-1))+INDEX(BookOneOff,405)*$D410)</f>
        <v/>
      </c>
      <c r="I410" s="56" t="str">
        <f aca="false">IF(INDEX(BookTitle,405)="","",INDEX(BookTotal,405)*'5. Scenarios'!$C$6/(1+ProductivityDefault*('5. Scenarios'!$C$11-1)))</f>
        <v/>
      </c>
      <c r="J410" s="57" t="str">
        <f aca="false">IF($I410="","",INDEX(BookRate,405)*(1+'5. Scenarios'!$C$10)*$I410)</f>
        <v/>
      </c>
      <c r="K410" s="57" t="str">
        <f aca="false">IF($J410="","",SUMIFS($J$6:$J$2405,$A$6:$A$2405,"&lt;="&amp;$A410))</f>
        <v/>
      </c>
      <c r="L410" s="57" t="str">
        <f aca="false">IF($J410="","",IF($K410&lt;=BankCostEnvelope*'5. Scenarios'!$C$7,1,0))</f>
        <v/>
      </c>
      <c r="M410" s="57" t="str">
        <f aca="false">IF($I410="","",INDEX(BookRate,405)*(1+'5. Scenarios'!$C$10)*(INDEX(BookQ1,405)*(5-MIN(4,1+'5. Scenarios'!$C$8))/4+INDEX(BookQ2,405)*(5-MIN(4,2+'5. Scenarios'!$C$8))/4+INDEX(BookQ3,405)*(5-MIN(4,3+'5. Scenarios'!$C$8))/4+INDEX(BookQ4,405)*(5-MIN(4,4+'5. Scenarios'!$C$8))/4)*'5. Scenarios'!$C$6/(1+ProductivityDefault*('5. Scenarios'!$C$11-1))+INDEX(BookOneOff,405)*$I410)</f>
        <v/>
      </c>
      <c r="N410" s="56" t="str">
        <f aca="false">IF(INDEX(BookTitle,405)="","",INDEX(BookTotal,405)*'5. Scenarios'!$D$6/(1+ProductivityDefault*('5. Scenarios'!$D$11-1)))</f>
        <v/>
      </c>
      <c r="O410" s="57" t="str">
        <f aca="false">IF($N410="","",INDEX(BookRate,405)*(1+'5. Scenarios'!$D$10)*$N410)</f>
        <v/>
      </c>
      <c r="P410" s="57" t="str">
        <f aca="false">IF($O410="","",SUMIFS($O$6:$O$2405,$A$6:$A$2405,"&lt;="&amp;$A410))</f>
        <v/>
      </c>
      <c r="Q410" s="57" t="str">
        <f aca="false">IF($O410="","",IF($P410&lt;=BankCostEnvelope*'5. Scenarios'!$D$7,1,0))</f>
        <v/>
      </c>
      <c r="R410" s="57" t="str">
        <f aca="false">IF($N410="","",INDEX(BookRate,405)*(1+'5. Scenarios'!$D$10)*(INDEX(BookQ1,405)*(5-MIN(4,1+'5. Scenarios'!$D$8))/4+INDEX(BookQ2,405)*(5-MIN(4,2+'5. Scenarios'!$D$8))/4+INDEX(BookQ3,405)*(5-MIN(4,3+'5. Scenarios'!$D$8))/4+INDEX(BookQ4,405)*(5-MIN(4,4+'5. Scenarios'!$D$8))/4)*'5. Scenarios'!$D$6/(1+ProductivityDefault*('5. Scenarios'!$D$11-1))+INDEX(BookOneOff,405)*$N410)</f>
        <v/>
      </c>
      <c r="S410" s="56" t="str">
        <f aca="false">IF(INDEX(BookTitle,405)="","",INDEX(BookTotal,405)*'5. Scenarios'!$E$6/(1+ProductivityDefault*('5. Scenarios'!$E$11-1)))</f>
        <v/>
      </c>
      <c r="T410" s="57" t="str">
        <f aca="false">IF($S410="","",INDEX(BookRate,405)*(1+'5. Scenarios'!$E$10)*$S410)</f>
        <v/>
      </c>
      <c r="U410" s="57" t="str">
        <f aca="false">IF($T410="","",SUMIFS($T$6:$T$2405,$A$6:$A$2405,"&lt;="&amp;$A410))</f>
        <v/>
      </c>
      <c r="V410" s="57" t="str">
        <f aca="false">IF($T410="","",IF($U410&lt;=BankCostEnvelope*'5. Scenarios'!$E$7,1,0))</f>
        <v/>
      </c>
      <c r="W410" s="57" t="str">
        <f aca="false">IF($S410="","",INDEX(BookRate,405)*(1+'5. Scenarios'!$E$10)*(INDEX(BookQ1,405)*(5-MIN(4,1+'5. Scenarios'!$E$8))/4+INDEX(BookQ2,405)*(5-MIN(4,2+'5. Scenarios'!$E$8))/4+INDEX(BookQ3,405)*(5-MIN(4,3+'5. Scenarios'!$E$8))/4+INDEX(BookQ4,405)*(5-MIN(4,4+'5. Scenarios'!$E$8))/4)*'5. Scenarios'!$E$6/(1+ProductivityDefault*('5. Scenarios'!$E$11-1))+INDEX(BookOneOff,405)*$S410)</f>
        <v/>
      </c>
    </row>
    <row r="411" customFormat="false" ht="15" hidden="false" customHeight="false" outlineLevel="0" collapsed="false">
      <c r="A411" s="0" t="str">
        <f aca="false">IF(INDEX(BookTitle,406)="","",INDEX(BookKey,406))</f>
        <v/>
      </c>
      <c r="B411" s="0" t="str">
        <f aca="false">IF(INDEX(BookTitle,406)="","",INDEX(BookGroup,406))</f>
        <v/>
      </c>
      <c r="C411" s="0" t="str">
        <f aca="false">IF(INDEX(BookTitle,406)="","",INDEX(BookCategory,406))</f>
        <v/>
      </c>
      <c r="D411" s="56" t="str">
        <f aca="false">IF(INDEX(BookTitle,406)="","",INDEX(BookTotal,406)*'5. Scenarios'!$B$6/(1+ProductivityDefault*('5. Scenarios'!$B$11-1)))</f>
        <v/>
      </c>
      <c r="E411" s="57" t="str">
        <f aca="false">IF($D411="","",INDEX(BookRate,406)*(1+'5. Scenarios'!$B$10)*$D411)</f>
        <v/>
      </c>
      <c r="F411" s="57" t="str">
        <f aca="false">IF($E411="","",SUMIFS($E$6:$E$2405,$A$6:$A$2405,"&lt;="&amp;$A411))</f>
        <v/>
      </c>
      <c r="G411" s="57" t="str">
        <f aca="false">IF($E411="","",IF($F411&lt;=BankCostEnvelope*'5. Scenarios'!$B$7,1,0))</f>
        <v/>
      </c>
      <c r="H411" s="57" t="str">
        <f aca="false">IF($D411="","",INDEX(BookRate,406)*(1+'5. Scenarios'!$B$10)*(INDEX(BookQ1,406)*(5-MIN(4,1+'5. Scenarios'!$B$8))/4+INDEX(BookQ2,406)*(5-MIN(4,2+'5. Scenarios'!$B$8))/4+INDEX(BookQ3,406)*(5-MIN(4,3+'5. Scenarios'!$B$8))/4+INDEX(BookQ4,406)*(5-MIN(4,4+'5. Scenarios'!$B$8))/4)*'5. Scenarios'!$B$6/(1+ProductivityDefault*('5. Scenarios'!$B$11-1))+INDEX(BookOneOff,406)*$D411)</f>
        <v/>
      </c>
      <c r="I411" s="56" t="str">
        <f aca="false">IF(INDEX(BookTitle,406)="","",INDEX(BookTotal,406)*'5. Scenarios'!$C$6/(1+ProductivityDefault*('5. Scenarios'!$C$11-1)))</f>
        <v/>
      </c>
      <c r="J411" s="57" t="str">
        <f aca="false">IF($I411="","",INDEX(BookRate,406)*(1+'5. Scenarios'!$C$10)*$I411)</f>
        <v/>
      </c>
      <c r="K411" s="57" t="str">
        <f aca="false">IF($J411="","",SUMIFS($J$6:$J$2405,$A$6:$A$2405,"&lt;="&amp;$A411))</f>
        <v/>
      </c>
      <c r="L411" s="57" t="str">
        <f aca="false">IF($J411="","",IF($K411&lt;=BankCostEnvelope*'5. Scenarios'!$C$7,1,0))</f>
        <v/>
      </c>
      <c r="M411" s="57" t="str">
        <f aca="false">IF($I411="","",INDEX(BookRate,406)*(1+'5. Scenarios'!$C$10)*(INDEX(BookQ1,406)*(5-MIN(4,1+'5. Scenarios'!$C$8))/4+INDEX(BookQ2,406)*(5-MIN(4,2+'5. Scenarios'!$C$8))/4+INDEX(BookQ3,406)*(5-MIN(4,3+'5. Scenarios'!$C$8))/4+INDEX(BookQ4,406)*(5-MIN(4,4+'5. Scenarios'!$C$8))/4)*'5. Scenarios'!$C$6/(1+ProductivityDefault*('5. Scenarios'!$C$11-1))+INDEX(BookOneOff,406)*$I411)</f>
        <v/>
      </c>
      <c r="N411" s="56" t="str">
        <f aca="false">IF(INDEX(BookTitle,406)="","",INDEX(BookTotal,406)*'5. Scenarios'!$D$6/(1+ProductivityDefault*('5. Scenarios'!$D$11-1)))</f>
        <v/>
      </c>
      <c r="O411" s="57" t="str">
        <f aca="false">IF($N411="","",INDEX(BookRate,406)*(1+'5. Scenarios'!$D$10)*$N411)</f>
        <v/>
      </c>
      <c r="P411" s="57" t="str">
        <f aca="false">IF($O411="","",SUMIFS($O$6:$O$2405,$A$6:$A$2405,"&lt;="&amp;$A411))</f>
        <v/>
      </c>
      <c r="Q411" s="57" t="str">
        <f aca="false">IF($O411="","",IF($P411&lt;=BankCostEnvelope*'5. Scenarios'!$D$7,1,0))</f>
        <v/>
      </c>
      <c r="R411" s="57" t="str">
        <f aca="false">IF($N411="","",INDEX(BookRate,406)*(1+'5. Scenarios'!$D$10)*(INDEX(BookQ1,406)*(5-MIN(4,1+'5. Scenarios'!$D$8))/4+INDEX(BookQ2,406)*(5-MIN(4,2+'5. Scenarios'!$D$8))/4+INDEX(BookQ3,406)*(5-MIN(4,3+'5. Scenarios'!$D$8))/4+INDEX(BookQ4,406)*(5-MIN(4,4+'5. Scenarios'!$D$8))/4)*'5. Scenarios'!$D$6/(1+ProductivityDefault*('5. Scenarios'!$D$11-1))+INDEX(BookOneOff,406)*$N411)</f>
        <v/>
      </c>
      <c r="S411" s="56" t="str">
        <f aca="false">IF(INDEX(BookTitle,406)="","",INDEX(BookTotal,406)*'5. Scenarios'!$E$6/(1+ProductivityDefault*('5. Scenarios'!$E$11-1)))</f>
        <v/>
      </c>
      <c r="T411" s="57" t="str">
        <f aca="false">IF($S411="","",INDEX(BookRate,406)*(1+'5. Scenarios'!$E$10)*$S411)</f>
        <v/>
      </c>
      <c r="U411" s="57" t="str">
        <f aca="false">IF($T411="","",SUMIFS($T$6:$T$2405,$A$6:$A$2405,"&lt;="&amp;$A411))</f>
        <v/>
      </c>
      <c r="V411" s="57" t="str">
        <f aca="false">IF($T411="","",IF($U411&lt;=BankCostEnvelope*'5. Scenarios'!$E$7,1,0))</f>
        <v/>
      </c>
      <c r="W411" s="57" t="str">
        <f aca="false">IF($S411="","",INDEX(BookRate,406)*(1+'5. Scenarios'!$E$10)*(INDEX(BookQ1,406)*(5-MIN(4,1+'5. Scenarios'!$E$8))/4+INDEX(BookQ2,406)*(5-MIN(4,2+'5. Scenarios'!$E$8))/4+INDEX(BookQ3,406)*(5-MIN(4,3+'5. Scenarios'!$E$8))/4+INDEX(BookQ4,406)*(5-MIN(4,4+'5. Scenarios'!$E$8))/4)*'5. Scenarios'!$E$6/(1+ProductivityDefault*('5. Scenarios'!$E$11-1))+INDEX(BookOneOff,406)*$S411)</f>
        <v/>
      </c>
    </row>
    <row r="412" customFormat="false" ht="15" hidden="false" customHeight="false" outlineLevel="0" collapsed="false">
      <c r="A412" s="0" t="str">
        <f aca="false">IF(INDEX(BookTitle,407)="","",INDEX(BookKey,407))</f>
        <v/>
      </c>
      <c r="B412" s="0" t="str">
        <f aca="false">IF(INDEX(BookTitle,407)="","",INDEX(BookGroup,407))</f>
        <v/>
      </c>
      <c r="C412" s="0" t="str">
        <f aca="false">IF(INDEX(BookTitle,407)="","",INDEX(BookCategory,407))</f>
        <v/>
      </c>
      <c r="D412" s="56" t="str">
        <f aca="false">IF(INDEX(BookTitle,407)="","",INDEX(BookTotal,407)*'5. Scenarios'!$B$6/(1+ProductivityDefault*('5. Scenarios'!$B$11-1)))</f>
        <v/>
      </c>
      <c r="E412" s="57" t="str">
        <f aca="false">IF($D412="","",INDEX(BookRate,407)*(1+'5. Scenarios'!$B$10)*$D412)</f>
        <v/>
      </c>
      <c r="F412" s="57" t="str">
        <f aca="false">IF($E412="","",SUMIFS($E$6:$E$2405,$A$6:$A$2405,"&lt;="&amp;$A412))</f>
        <v/>
      </c>
      <c r="G412" s="57" t="str">
        <f aca="false">IF($E412="","",IF($F412&lt;=BankCostEnvelope*'5. Scenarios'!$B$7,1,0))</f>
        <v/>
      </c>
      <c r="H412" s="57" t="str">
        <f aca="false">IF($D412="","",INDEX(BookRate,407)*(1+'5. Scenarios'!$B$10)*(INDEX(BookQ1,407)*(5-MIN(4,1+'5. Scenarios'!$B$8))/4+INDEX(BookQ2,407)*(5-MIN(4,2+'5. Scenarios'!$B$8))/4+INDEX(BookQ3,407)*(5-MIN(4,3+'5. Scenarios'!$B$8))/4+INDEX(BookQ4,407)*(5-MIN(4,4+'5. Scenarios'!$B$8))/4)*'5. Scenarios'!$B$6/(1+ProductivityDefault*('5. Scenarios'!$B$11-1))+INDEX(BookOneOff,407)*$D412)</f>
        <v/>
      </c>
      <c r="I412" s="56" t="str">
        <f aca="false">IF(INDEX(BookTitle,407)="","",INDEX(BookTotal,407)*'5. Scenarios'!$C$6/(1+ProductivityDefault*('5. Scenarios'!$C$11-1)))</f>
        <v/>
      </c>
      <c r="J412" s="57" t="str">
        <f aca="false">IF($I412="","",INDEX(BookRate,407)*(1+'5. Scenarios'!$C$10)*$I412)</f>
        <v/>
      </c>
      <c r="K412" s="57" t="str">
        <f aca="false">IF($J412="","",SUMIFS($J$6:$J$2405,$A$6:$A$2405,"&lt;="&amp;$A412))</f>
        <v/>
      </c>
      <c r="L412" s="57" t="str">
        <f aca="false">IF($J412="","",IF($K412&lt;=BankCostEnvelope*'5. Scenarios'!$C$7,1,0))</f>
        <v/>
      </c>
      <c r="M412" s="57" t="str">
        <f aca="false">IF($I412="","",INDEX(BookRate,407)*(1+'5. Scenarios'!$C$10)*(INDEX(BookQ1,407)*(5-MIN(4,1+'5. Scenarios'!$C$8))/4+INDEX(BookQ2,407)*(5-MIN(4,2+'5. Scenarios'!$C$8))/4+INDEX(BookQ3,407)*(5-MIN(4,3+'5. Scenarios'!$C$8))/4+INDEX(BookQ4,407)*(5-MIN(4,4+'5. Scenarios'!$C$8))/4)*'5. Scenarios'!$C$6/(1+ProductivityDefault*('5. Scenarios'!$C$11-1))+INDEX(BookOneOff,407)*$I412)</f>
        <v/>
      </c>
      <c r="N412" s="56" t="str">
        <f aca="false">IF(INDEX(BookTitle,407)="","",INDEX(BookTotal,407)*'5. Scenarios'!$D$6/(1+ProductivityDefault*('5. Scenarios'!$D$11-1)))</f>
        <v/>
      </c>
      <c r="O412" s="57" t="str">
        <f aca="false">IF($N412="","",INDEX(BookRate,407)*(1+'5. Scenarios'!$D$10)*$N412)</f>
        <v/>
      </c>
      <c r="P412" s="57" t="str">
        <f aca="false">IF($O412="","",SUMIFS($O$6:$O$2405,$A$6:$A$2405,"&lt;="&amp;$A412))</f>
        <v/>
      </c>
      <c r="Q412" s="57" t="str">
        <f aca="false">IF($O412="","",IF($P412&lt;=BankCostEnvelope*'5. Scenarios'!$D$7,1,0))</f>
        <v/>
      </c>
      <c r="R412" s="57" t="str">
        <f aca="false">IF($N412="","",INDEX(BookRate,407)*(1+'5. Scenarios'!$D$10)*(INDEX(BookQ1,407)*(5-MIN(4,1+'5. Scenarios'!$D$8))/4+INDEX(BookQ2,407)*(5-MIN(4,2+'5. Scenarios'!$D$8))/4+INDEX(BookQ3,407)*(5-MIN(4,3+'5. Scenarios'!$D$8))/4+INDEX(BookQ4,407)*(5-MIN(4,4+'5. Scenarios'!$D$8))/4)*'5. Scenarios'!$D$6/(1+ProductivityDefault*('5. Scenarios'!$D$11-1))+INDEX(BookOneOff,407)*$N412)</f>
        <v/>
      </c>
      <c r="S412" s="56" t="str">
        <f aca="false">IF(INDEX(BookTitle,407)="","",INDEX(BookTotal,407)*'5. Scenarios'!$E$6/(1+ProductivityDefault*('5. Scenarios'!$E$11-1)))</f>
        <v/>
      </c>
      <c r="T412" s="57" t="str">
        <f aca="false">IF($S412="","",INDEX(BookRate,407)*(1+'5. Scenarios'!$E$10)*$S412)</f>
        <v/>
      </c>
      <c r="U412" s="57" t="str">
        <f aca="false">IF($T412="","",SUMIFS($T$6:$T$2405,$A$6:$A$2405,"&lt;="&amp;$A412))</f>
        <v/>
      </c>
      <c r="V412" s="57" t="str">
        <f aca="false">IF($T412="","",IF($U412&lt;=BankCostEnvelope*'5. Scenarios'!$E$7,1,0))</f>
        <v/>
      </c>
      <c r="W412" s="57" t="str">
        <f aca="false">IF($S412="","",INDEX(BookRate,407)*(1+'5. Scenarios'!$E$10)*(INDEX(BookQ1,407)*(5-MIN(4,1+'5. Scenarios'!$E$8))/4+INDEX(BookQ2,407)*(5-MIN(4,2+'5. Scenarios'!$E$8))/4+INDEX(BookQ3,407)*(5-MIN(4,3+'5. Scenarios'!$E$8))/4+INDEX(BookQ4,407)*(5-MIN(4,4+'5. Scenarios'!$E$8))/4)*'5. Scenarios'!$E$6/(1+ProductivityDefault*('5. Scenarios'!$E$11-1))+INDEX(BookOneOff,407)*$S412)</f>
        <v/>
      </c>
    </row>
    <row r="413" customFormat="false" ht="15" hidden="false" customHeight="false" outlineLevel="0" collapsed="false">
      <c r="A413" s="0" t="str">
        <f aca="false">IF(INDEX(BookTitle,408)="","",INDEX(BookKey,408))</f>
        <v/>
      </c>
      <c r="B413" s="0" t="str">
        <f aca="false">IF(INDEX(BookTitle,408)="","",INDEX(BookGroup,408))</f>
        <v/>
      </c>
      <c r="C413" s="0" t="str">
        <f aca="false">IF(INDEX(BookTitle,408)="","",INDEX(BookCategory,408))</f>
        <v/>
      </c>
      <c r="D413" s="56" t="str">
        <f aca="false">IF(INDEX(BookTitle,408)="","",INDEX(BookTotal,408)*'5. Scenarios'!$B$6/(1+ProductivityDefault*('5. Scenarios'!$B$11-1)))</f>
        <v/>
      </c>
      <c r="E413" s="57" t="str">
        <f aca="false">IF($D413="","",INDEX(BookRate,408)*(1+'5. Scenarios'!$B$10)*$D413)</f>
        <v/>
      </c>
      <c r="F413" s="57" t="str">
        <f aca="false">IF($E413="","",SUMIFS($E$6:$E$2405,$A$6:$A$2405,"&lt;="&amp;$A413))</f>
        <v/>
      </c>
      <c r="G413" s="57" t="str">
        <f aca="false">IF($E413="","",IF($F413&lt;=BankCostEnvelope*'5. Scenarios'!$B$7,1,0))</f>
        <v/>
      </c>
      <c r="H413" s="57" t="str">
        <f aca="false">IF($D413="","",INDEX(BookRate,408)*(1+'5. Scenarios'!$B$10)*(INDEX(BookQ1,408)*(5-MIN(4,1+'5. Scenarios'!$B$8))/4+INDEX(BookQ2,408)*(5-MIN(4,2+'5. Scenarios'!$B$8))/4+INDEX(BookQ3,408)*(5-MIN(4,3+'5. Scenarios'!$B$8))/4+INDEX(BookQ4,408)*(5-MIN(4,4+'5. Scenarios'!$B$8))/4)*'5. Scenarios'!$B$6/(1+ProductivityDefault*('5. Scenarios'!$B$11-1))+INDEX(BookOneOff,408)*$D413)</f>
        <v/>
      </c>
      <c r="I413" s="56" t="str">
        <f aca="false">IF(INDEX(BookTitle,408)="","",INDEX(BookTotal,408)*'5. Scenarios'!$C$6/(1+ProductivityDefault*('5. Scenarios'!$C$11-1)))</f>
        <v/>
      </c>
      <c r="J413" s="57" t="str">
        <f aca="false">IF($I413="","",INDEX(BookRate,408)*(1+'5. Scenarios'!$C$10)*$I413)</f>
        <v/>
      </c>
      <c r="K413" s="57" t="str">
        <f aca="false">IF($J413="","",SUMIFS($J$6:$J$2405,$A$6:$A$2405,"&lt;="&amp;$A413))</f>
        <v/>
      </c>
      <c r="L413" s="57" t="str">
        <f aca="false">IF($J413="","",IF($K413&lt;=BankCostEnvelope*'5. Scenarios'!$C$7,1,0))</f>
        <v/>
      </c>
      <c r="M413" s="57" t="str">
        <f aca="false">IF($I413="","",INDEX(BookRate,408)*(1+'5. Scenarios'!$C$10)*(INDEX(BookQ1,408)*(5-MIN(4,1+'5. Scenarios'!$C$8))/4+INDEX(BookQ2,408)*(5-MIN(4,2+'5. Scenarios'!$C$8))/4+INDEX(BookQ3,408)*(5-MIN(4,3+'5. Scenarios'!$C$8))/4+INDEX(BookQ4,408)*(5-MIN(4,4+'5. Scenarios'!$C$8))/4)*'5. Scenarios'!$C$6/(1+ProductivityDefault*('5. Scenarios'!$C$11-1))+INDEX(BookOneOff,408)*$I413)</f>
        <v/>
      </c>
      <c r="N413" s="56" t="str">
        <f aca="false">IF(INDEX(BookTitle,408)="","",INDEX(BookTotal,408)*'5. Scenarios'!$D$6/(1+ProductivityDefault*('5. Scenarios'!$D$11-1)))</f>
        <v/>
      </c>
      <c r="O413" s="57" t="str">
        <f aca="false">IF($N413="","",INDEX(BookRate,408)*(1+'5. Scenarios'!$D$10)*$N413)</f>
        <v/>
      </c>
      <c r="P413" s="57" t="str">
        <f aca="false">IF($O413="","",SUMIFS($O$6:$O$2405,$A$6:$A$2405,"&lt;="&amp;$A413))</f>
        <v/>
      </c>
      <c r="Q413" s="57" t="str">
        <f aca="false">IF($O413="","",IF($P413&lt;=BankCostEnvelope*'5. Scenarios'!$D$7,1,0))</f>
        <v/>
      </c>
      <c r="R413" s="57" t="str">
        <f aca="false">IF($N413="","",INDEX(BookRate,408)*(1+'5. Scenarios'!$D$10)*(INDEX(BookQ1,408)*(5-MIN(4,1+'5. Scenarios'!$D$8))/4+INDEX(BookQ2,408)*(5-MIN(4,2+'5. Scenarios'!$D$8))/4+INDEX(BookQ3,408)*(5-MIN(4,3+'5. Scenarios'!$D$8))/4+INDEX(BookQ4,408)*(5-MIN(4,4+'5. Scenarios'!$D$8))/4)*'5. Scenarios'!$D$6/(1+ProductivityDefault*('5. Scenarios'!$D$11-1))+INDEX(BookOneOff,408)*$N413)</f>
        <v/>
      </c>
      <c r="S413" s="56" t="str">
        <f aca="false">IF(INDEX(BookTitle,408)="","",INDEX(BookTotal,408)*'5. Scenarios'!$E$6/(1+ProductivityDefault*('5. Scenarios'!$E$11-1)))</f>
        <v/>
      </c>
      <c r="T413" s="57" t="str">
        <f aca="false">IF($S413="","",INDEX(BookRate,408)*(1+'5. Scenarios'!$E$10)*$S413)</f>
        <v/>
      </c>
      <c r="U413" s="57" t="str">
        <f aca="false">IF($T413="","",SUMIFS($T$6:$T$2405,$A$6:$A$2405,"&lt;="&amp;$A413))</f>
        <v/>
      </c>
      <c r="V413" s="57" t="str">
        <f aca="false">IF($T413="","",IF($U413&lt;=BankCostEnvelope*'5. Scenarios'!$E$7,1,0))</f>
        <v/>
      </c>
      <c r="W413" s="57" t="str">
        <f aca="false">IF($S413="","",INDEX(BookRate,408)*(1+'5. Scenarios'!$E$10)*(INDEX(BookQ1,408)*(5-MIN(4,1+'5. Scenarios'!$E$8))/4+INDEX(BookQ2,408)*(5-MIN(4,2+'5. Scenarios'!$E$8))/4+INDEX(BookQ3,408)*(5-MIN(4,3+'5. Scenarios'!$E$8))/4+INDEX(BookQ4,408)*(5-MIN(4,4+'5. Scenarios'!$E$8))/4)*'5. Scenarios'!$E$6/(1+ProductivityDefault*('5. Scenarios'!$E$11-1))+INDEX(BookOneOff,408)*$S413)</f>
        <v/>
      </c>
    </row>
    <row r="414" customFormat="false" ht="15" hidden="false" customHeight="false" outlineLevel="0" collapsed="false">
      <c r="A414" s="0" t="str">
        <f aca="false">IF(INDEX(BookTitle,409)="","",INDEX(BookKey,409))</f>
        <v/>
      </c>
      <c r="B414" s="0" t="str">
        <f aca="false">IF(INDEX(BookTitle,409)="","",INDEX(BookGroup,409))</f>
        <v/>
      </c>
      <c r="C414" s="0" t="str">
        <f aca="false">IF(INDEX(BookTitle,409)="","",INDEX(BookCategory,409))</f>
        <v/>
      </c>
      <c r="D414" s="56" t="str">
        <f aca="false">IF(INDEX(BookTitle,409)="","",INDEX(BookTotal,409)*'5. Scenarios'!$B$6/(1+ProductivityDefault*('5. Scenarios'!$B$11-1)))</f>
        <v/>
      </c>
      <c r="E414" s="57" t="str">
        <f aca="false">IF($D414="","",INDEX(BookRate,409)*(1+'5. Scenarios'!$B$10)*$D414)</f>
        <v/>
      </c>
      <c r="F414" s="57" t="str">
        <f aca="false">IF($E414="","",SUMIFS($E$6:$E$2405,$A$6:$A$2405,"&lt;="&amp;$A414))</f>
        <v/>
      </c>
      <c r="G414" s="57" t="str">
        <f aca="false">IF($E414="","",IF($F414&lt;=BankCostEnvelope*'5. Scenarios'!$B$7,1,0))</f>
        <v/>
      </c>
      <c r="H414" s="57" t="str">
        <f aca="false">IF($D414="","",INDEX(BookRate,409)*(1+'5. Scenarios'!$B$10)*(INDEX(BookQ1,409)*(5-MIN(4,1+'5. Scenarios'!$B$8))/4+INDEX(BookQ2,409)*(5-MIN(4,2+'5. Scenarios'!$B$8))/4+INDEX(BookQ3,409)*(5-MIN(4,3+'5. Scenarios'!$B$8))/4+INDEX(BookQ4,409)*(5-MIN(4,4+'5. Scenarios'!$B$8))/4)*'5. Scenarios'!$B$6/(1+ProductivityDefault*('5. Scenarios'!$B$11-1))+INDEX(BookOneOff,409)*$D414)</f>
        <v/>
      </c>
      <c r="I414" s="56" t="str">
        <f aca="false">IF(INDEX(BookTitle,409)="","",INDEX(BookTotal,409)*'5. Scenarios'!$C$6/(1+ProductivityDefault*('5. Scenarios'!$C$11-1)))</f>
        <v/>
      </c>
      <c r="J414" s="57" t="str">
        <f aca="false">IF($I414="","",INDEX(BookRate,409)*(1+'5. Scenarios'!$C$10)*$I414)</f>
        <v/>
      </c>
      <c r="K414" s="57" t="str">
        <f aca="false">IF($J414="","",SUMIFS($J$6:$J$2405,$A$6:$A$2405,"&lt;="&amp;$A414))</f>
        <v/>
      </c>
      <c r="L414" s="57" t="str">
        <f aca="false">IF($J414="","",IF($K414&lt;=BankCostEnvelope*'5. Scenarios'!$C$7,1,0))</f>
        <v/>
      </c>
      <c r="M414" s="57" t="str">
        <f aca="false">IF($I414="","",INDEX(BookRate,409)*(1+'5. Scenarios'!$C$10)*(INDEX(BookQ1,409)*(5-MIN(4,1+'5. Scenarios'!$C$8))/4+INDEX(BookQ2,409)*(5-MIN(4,2+'5. Scenarios'!$C$8))/4+INDEX(BookQ3,409)*(5-MIN(4,3+'5. Scenarios'!$C$8))/4+INDEX(BookQ4,409)*(5-MIN(4,4+'5. Scenarios'!$C$8))/4)*'5. Scenarios'!$C$6/(1+ProductivityDefault*('5. Scenarios'!$C$11-1))+INDEX(BookOneOff,409)*$I414)</f>
        <v/>
      </c>
      <c r="N414" s="56" t="str">
        <f aca="false">IF(INDEX(BookTitle,409)="","",INDEX(BookTotal,409)*'5. Scenarios'!$D$6/(1+ProductivityDefault*('5. Scenarios'!$D$11-1)))</f>
        <v/>
      </c>
      <c r="O414" s="57" t="str">
        <f aca="false">IF($N414="","",INDEX(BookRate,409)*(1+'5. Scenarios'!$D$10)*$N414)</f>
        <v/>
      </c>
      <c r="P414" s="57" t="str">
        <f aca="false">IF($O414="","",SUMIFS($O$6:$O$2405,$A$6:$A$2405,"&lt;="&amp;$A414))</f>
        <v/>
      </c>
      <c r="Q414" s="57" t="str">
        <f aca="false">IF($O414="","",IF($P414&lt;=BankCostEnvelope*'5. Scenarios'!$D$7,1,0))</f>
        <v/>
      </c>
      <c r="R414" s="57" t="str">
        <f aca="false">IF($N414="","",INDEX(BookRate,409)*(1+'5. Scenarios'!$D$10)*(INDEX(BookQ1,409)*(5-MIN(4,1+'5. Scenarios'!$D$8))/4+INDEX(BookQ2,409)*(5-MIN(4,2+'5. Scenarios'!$D$8))/4+INDEX(BookQ3,409)*(5-MIN(4,3+'5. Scenarios'!$D$8))/4+INDEX(BookQ4,409)*(5-MIN(4,4+'5. Scenarios'!$D$8))/4)*'5. Scenarios'!$D$6/(1+ProductivityDefault*('5. Scenarios'!$D$11-1))+INDEX(BookOneOff,409)*$N414)</f>
        <v/>
      </c>
      <c r="S414" s="56" t="str">
        <f aca="false">IF(INDEX(BookTitle,409)="","",INDEX(BookTotal,409)*'5. Scenarios'!$E$6/(1+ProductivityDefault*('5. Scenarios'!$E$11-1)))</f>
        <v/>
      </c>
      <c r="T414" s="57" t="str">
        <f aca="false">IF($S414="","",INDEX(BookRate,409)*(1+'5. Scenarios'!$E$10)*$S414)</f>
        <v/>
      </c>
      <c r="U414" s="57" t="str">
        <f aca="false">IF($T414="","",SUMIFS($T$6:$T$2405,$A$6:$A$2405,"&lt;="&amp;$A414))</f>
        <v/>
      </c>
      <c r="V414" s="57" t="str">
        <f aca="false">IF($T414="","",IF($U414&lt;=BankCostEnvelope*'5. Scenarios'!$E$7,1,0))</f>
        <v/>
      </c>
      <c r="W414" s="57" t="str">
        <f aca="false">IF($S414="","",INDEX(BookRate,409)*(1+'5. Scenarios'!$E$10)*(INDEX(BookQ1,409)*(5-MIN(4,1+'5. Scenarios'!$E$8))/4+INDEX(BookQ2,409)*(5-MIN(4,2+'5. Scenarios'!$E$8))/4+INDEX(BookQ3,409)*(5-MIN(4,3+'5. Scenarios'!$E$8))/4+INDEX(BookQ4,409)*(5-MIN(4,4+'5. Scenarios'!$E$8))/4)*'5. Scenarios'!$E$6/(1+ProductivityDefault*('5. Scenarios'!$E$11-1))+INDEX(BookOneOff,409)*$S414)</f>
        <v/>
      </c>
    </row>
    <row r="415" customFormat="false" ht="15" hidden="false" customHeight="false" outlineLevel="0" collapsed="false">
      <c r="A415" s="0" t="str">
        <f aca="false">IF(INDEX(BookTitle,410)="","",INDEX(BookKey,410))</f>
        <v/>
      </c>
      <c r="B415" s="0" t="str">
        <f aca="false">IF(INDEX(BookTitle,410)="","",INDEX(BookGroup,410))</f>
        <v/>
      </c>
      <c r="C415" s="0" t="str">
        <f aca="false">IF(INDEX(BookTitle,410)="","",INDEX(BookCategory,410))</f>
        <v/>
      </c>
      <c r="D415" s="56" t="str">
        <f aca="false">IF(INDEX(BookTitle,410)="","",INDEX(BookTotal,410)*'5. Scenarios'!$B$6/(1+ProductivityDefault*('5. Scenarios'!$B$11-1)))</f>
        <v/>
      </c>
      <c r="E415" s="57" t="str">
        <f aca="false">IF($D415="","",INDEX(BookRate,410)*(1+'5. Scenarios'!$B$10)*$D415)</f>
        <v/>
      </c>
      <c r="F415" s="57" t="str">
        <f aca="false">IF($E415="","",SUMIFS($E$6:$E$2405,$A$6:$A$2405,"&lt;="&amp;$A415))</f>
        <v/>
      </c>
      <c r="G415" s="57" t="str">
        <f aca="false">IF($E415="","",IF($F415&lt;=BankCostEnvelope*'5. Scenarios'!$B$7,1,0))</f>
        <v/>
      </c>
      <c r="H415" s="57" t="str">
        <f aca="false">IF($D415="","",INDEX(BookRate,410)*(1+'5. Scenarios'!$B$10)*(INDEX(BookQ1,410)*(5-MIN(4,1+'5. Scenarios'!$B$8))/4+INDEX(BookQ2,410)*(5-MIN(4,2+'5. Scenarios'!$B$8))/4+INDEX(BookQ3,410)*(5-MIN(4,3+'5. Scenarios'!$B$8))/4+INDEX(BookQ4,410)*(5-MIN(4,4+'5. Scenarios'!$B$8))/4)*'5. Scenarios'!$B$6/(1+ProductivityDefault*('5. Scenarios'!$B$11-1))+INDEX(BookOneOff,410)*$D415)</f>
        <v/>
      </c>
      <c r="I415" s="56" t="str">
        <f aca="false">IF(INDEX(BookTitle,410)="","",INDEX(BookTotal,410)*'5. Scenarios'!$C$6/(1+ProductivityDefault*('5. Scenarios'!$C$11-1)))</f>
        <v/>
      </c>
      <c r="J415" s="57" t="str">
        <f aca="false">IF($I415="","",INDEX(BookRate,410)*(1+'5. Scenarios'!$C$10)*$I415)</f>
        <v/>
      </c>
      <c r="K415" s="57" t="str">
        <f aca="false">IF($J415="","",SUMIFS($J$6:$J$2405,$A$6:$A$2405,"&lt;="&amp;$A415))</f>
        <v/>
      </c>
      <c r="L415" s="57" t="str">
        <f aca="false">IF($J415="","",IF($K415&lt;=BankCostEnvelope*'5. Scenarios'!$C$7,1,0))</f>
        <v/>
      </c>
      <c r="M415" s="57" t="str">
        <f aca="false">IF($I415="","",INDEX(BookRate,410)*(1+'5. Scenarios'!$C$10)*(INDEX(BookQ1,410)*(5-MIN(4,1+'5. Scenarios'!$C$8))/4+INDEX(BookQ2,410)*(5-MIN(4,2+'5. Scenarios'!$C$8))/4+INDEX(BookQ3,410)*(5-MIN(4,3+'5. Scenarios'!$C$8))/4+INDEX(BookQ4,410)*(5-MIN(4,4+'5. Scenarios'!$C$8))/4)*'5. Scenarios'!$C$6/(1+ProductivityDefault*('5. Scenarios'!$C$11-1))+INDEX(BookOneOff,410)*$I415)</f>
        <v/>
      </c>
      <c r="N415" s="56" t="str">
        <f aca="false">IF(INDEX(BookTitle,410)="","",INDEX(BookTotal,410)*'5. Scenarios'!$D$6/(1+ProductivityDefault*('5. Scenarios'!$D$11-1)))</f>
        <v/>
      </c>
      <c r="O415" s="57" t="str">
        <f aca="false">IF($N415="","",INDEX(BookRate,410)*(1+'5. Scenarios'!$D$10)*$N415)</f>
        <v/>
      </c>
      <c r="P415" s="57" t="str">
        <f aca="false">IF($O415="","",SUMIFS($O$6:$O$2405,$A$6:$A$2405,"&lt;="&amp;$A415))</f>
        <v/>
      </c>
      <c r="Q415" s="57" t="str">
        <f aca="false">IF($O415="","",IF($P415&lt;=BankCostEnvelope*'5. Scenarios'!$D$7,1,0))</f>
        <v/>
      </c>
      <c r="R415" s="57" t="str">
        <f aca="false">IF($N415="","",INDEX(BookRate,410)*(1+'5. Scenarios'!$D$10)*(INDEX(BookQ1,410)*(5-MIN(4,1+'5. Scenarios'!$D$8))/4+INDEX(BookQ2,410)*(5-MIN(4,2+'5. Scenarios'!$D$8))/4+INDEX(BookQ3,410)*(5-MIN(4,3+'5. Scenarios'!$D$8))/4+INDEX(BookQ4,410)*(5-MIN(4,4+'5. Scenarios'!$D$8))/4)*'5. Scenarios'!$D$6/(1+ProductivityDefault*('5. Scenarios'!$D$11-1))+INDEX(BookOneOff,410)*$N415)</f>
        <v/>
      </c>
      <c r="S415" s="56" t="str">
        <f aca="false">IF(INDEX(BookTitle,410)="","",INDEX(BookTotal,410)*'5. Scenarios'!$E$6/(1+ProductivityDefault*('5. Scenarios'!$E$11-1)))</f>
        <v/>
      </c>
      <c r="T415" s="57" t="str">
        <f aca="false">IF($S415="","",INDEX(BookRate,410)*(1+'5. Scenarios'!$E$10)*$S415)</f>
        <v/>
      </c>
      <c r="U415" s="57" t="str">
        <f aca="false">IF($T415="","",SUMIFS($T$6:$T$2405,$A$6:$A$2405,"&lt;="&amp;$A415))</f>
        <v/>
      </c>
      <c r="V415" s="57" t="str">
        <f aca="false">IF($T415="","",IF($U415&lt;=BankCostEnvelope*'5. Scenarios'!$E$7,1,0))</f>
        <v/>
      </c>
      <c r="W415" s="57" t="str">
        <f aca="false">IF($S415="","",INDEX(BookRate,410)*(1+'5. Scenarios'!$E$10)*(INDEX(BookQ1,410)*(5-MIN(4,1+'5. Scenarios'!$E$8))/4+INDEX(BookQ2,410)*(5-MIN(4,2+'5. Scenarios'!$E$8))/4+INDEX(BookQ3,410)*(5-MIN(4,3+'5. Scenarios'!$E$8))/4+INDEX(BookQ4,410)*(5-MIN(4,4+'5. Scenarios'!$E$8))/4)*'5. Scenarios'!$E$6/(1+ProductivityDefault*('5. Scenarios'!$E$11-1))+INDEX(BookOneOff,410)*$S415)</f>
        <v/>
      </c>
    </row>
    <row r="416" customFormat="false" ht="15" hidden="false" customHeight="false" outlineLevel="0" collapsed="false">
      <c r="A416" s="0" t="str">
        <f aca="false">IF(INDEX(BookTitle,411)="","",INDEX(BookKey,411))</f>
        <v/>
      </c>
      <c r="B416" s="0" t="str">
        <f aca="false">IF(INDEX(BookTitle,411)="","",INDEX(BookGroup,411))</f>
        <v/>
      </c>
      <c r="C416" s="0" t="str">
        <f aca="false">IF(INDEX(BookTitle,411)="","",INDEX(BookCategory,411))</f>
        <v/>
      </c>
      <c r="D416" s="56" t="str">
        <f aca="false">IF(INDEX(BookTitle,411)="","",INDEX(BookTotal,411)*'5. Scenarios'!$B$6/(1+ProductivityDefault*('5. Scenarios'!$B$11-1)))</f>
        <v/>
      </c>
      <c r="E416" s="57" t="str">
        <f aca="false">IF($D416="","",INDEX(BookRate,411)*(1+'5. Scenarios'!$B$10)*$D416)</f>
        <v/>
      </c>
      <c r="F416" s="57" t="str">
        <f aca="false">IF($E416="","",SUMIFS($E$6:$E$2405,$A$6:$A$2405,"&lt;="&amp;$A416))</f>
        <v/>
      </c>
      <c r="G416" s="57" t="str">
        <f aca="false">IF($E416="","",IF($F416&lt;=BankCostEnvelope*'5. Scenarios'!$B$7,1,0))</f>
        <v/>
      </c>
      <c r="H416" s="57" t="str">
        <f aca="false">IF($D416="","",INDEX(BookRate,411)*(1+'5. Scenarios'!$B$10)*(INDEX(BookQ1,411)*(5-MIN(4,1+'5. Scenarios'!$B$8))/4+INDEX(BookQ2,411)*(5-MIN(4,2+'5. Scenarios'!$B$8))/4+INDEX(BookQ3,411)*(5-MIN(4,3+'5. Scenarios'!$B$8))/4+INDEX(BookQ4,411)*(5-MIN(4,4+'5. Scenarios'!$B$8))/4)*'5. Scenarios'!$B$6/(1+ProductivityDefault*('5. Scenarios'!$B$11-1))+INDEX(BookOneOff,411)*$D416)</f>
        <v/>
      </c>
      <c r="I416" s="56" t="str">
        <f aca="false">IF(INDEX(BookTitle,411)="","",INDEX(BookTotal,411)*'5. Scenarios'!$C$6/(1+ProductivityDefault*('5. Scenarios'!$C$11-1)))</f>
        <v/>
      </c>
      <c r="J416" s="57" t="str">
        <f aca="false">IF($I416="","",INDEX(BookRate,411)*(1+'5. Scenarios'!$C$10)*$I416)</f>
        <v/>
      </c>
      <c r="K416" s="57" t="str">
        <f aca="false">IF($J416="","",SUMIFS($J$6:$J$2405,$A$6:$A$2405,"&lt;="&amp;$A416))</f>
        <v/>
      </c>
      <c r="L416" s="57" t="str">
        <f aca="false">IF($J416="","",IF($K416&lt;=BankCostEnvelope*'5. Scenarios'!$C$7,1,0))</f>
        <v/>
      </c>
      <c r="M416" s="57" t="str">
        <f aca="false">IF($I416="","",INDEX(BookRate,411)*(1+'5. Scenarios'!$C$10)*(INDEX(BookQ1,411)*(5-MIN(4,1+'5. Scenarios'!$C$8))/4+INDEX(BookQ2,411)*(5-MIN(4,2+'5. Scenarios'!$C$8))/4+INDEX(BookQ3,411)*(5-MIN(4,3+'5. Scenarios'!$C$8))/4+INDEX(BookQ4,411)*(5-MIN(4,4+'5. Scenarios'!$C$8))/4)*'5. Scenarios'!$C$6/(1+ProductivityDefault*('5. Scenarios'!$C$11-1))+INDEX(BookOneOff,411)*$I416)</f>
        <v/>
      </c>
      <c r="N416" s="56" t="str">
        <f aca="false">IF(INDEX(BookTitle,411)="","",INDEX(BookTotal,411)*'5. Scenarios'!$D$6/(1+ProductivityDefault*('5. Scenarios'!$D$11-1)))</f>
        <v/>
      </c>
      <c r="O416" s="57" t="str">
        <f aca="false">IF($N416="","",INDEX(BookRate,411)*(1+'5. Scenarios'!$D$10)*$N416)</f>
        <v/>
      </c>
      <c r="P416" s="57" t="str">
        <f aca="false">IF($O416="","",SUMIFS($O$6:$O$2405,$A$6:$A$2405,"&lt;="&amp;$A416))</f>
        <v/>
      </c>
      <c r="Q416" s="57" t="str">
        <f aca="false">IF($O416="","",IF($P416&lt;=BankCostEnvelope*'5. Scenarios'!$D$7,1,0))</f>
        <v/>
      </c>
      <c r="R416" s="57" t="str">
        <f aca="false">IF($N416="","",INDEX(BookRate,411)*(1+'5. Scenarios'!$D$10)*(INDEX(BookQ1,411)*(5-MIN(4,1+'5. Scenarios'!$D$8))/4+INDEX(BookQ2,411)*(5-MIN(4,2+'5. Scenarios'!$D$8))/4+INDEX(BookQ3,411)*(5-MIN(4,3+'5. Scenarios'!$D$8))/4+INDEX(BookQ4,411)*(5-MIN(4,4+'5. Scenarios'!$D$8))/4)*'5. Scenarios'!$D$6/(1+ProductivityDefault*('5. Scenarios'!$D$11-1))+INDEX(BookOneOff,411)*$N416)</f>
        <v/>
      </c>
      <c r="S416" s="56" t="str">
        <f aca="false">IF(INDEX(BookTitle,411)="","",INDEX(BookTotal,411)*'5. Scenarios'!$E$6/(1+ProductivityDefault*('5. Scenarios'!$E$11-1)))</f>
        <v/>
      </c>
      <c r="T416" s="57" t="str">
        <f aca="false">IF($S416="","",INDEX(BookRate,411)*(1+'5. Scenarios'!$E$10)*$S416)</f>
        <v/>
      </c>
      <c r="U416" s="57" t="str">
        <f aca="false">IF($T416="","",SUMIFS($T$6:$T$2405,$A$6:$A$2405,"&lt;="&amp;$A416))</f>
        <v/>
      </c>
      <c r="V416" s="57" t="str">
        <f aca="false">IF($T416="","",IF($U416&lt;=BankCostEnvelope*'5. Scenarios'!$E$7,1,0))</f>
        <v/>
      </c>
      <c r="W416" s="57" t="str">
        <f aca="false">IF($S416="","",INDEX(BookRate,411)*(1+'5. Scenarios'!$E$10)*(INDEX(BookQ1,411)*(5-MIN(4,1+'5. Scenarios'!$E$8))/4+INDEX(BookQ2,411)*(5-MIN(4,2+'5. Scenarios'!$E$8))/4+INDEX(BookQ3,411)*(5-MIN(4,3+'5. Scenarios'!$E$8))/4+INDEX(BookQ4,411)*(5-MIN(4,4+'5. Scenarios'!$E$8))/4)*'5. Scenarios'!$E$6/(1+ProductivityDefault*('5. Scenarios'!$E$11-1))+INDEX(BookOneOff,411)*$S416)</f>
        <v/>
      </c>
    </row>
    <row r="417" customFormat="false" ht="15" hidden="false" customHeight="false" outlineLevel="0" collapsed="false">
      <c r="A417" s="0" t="str">
        <f aca="false">IF(INDEX(BookTitle,412)="","",INDEX(BookKey,412))</f>
        <v/>
      </c>
      <c r="B417" s="0" t="str">
        <f aca="false">IF(INDEX(BookTitle,412)="","",INDEX(BookGroup,412))</f>
        <v/>
      </c>
      <c r="C417" s="0" t="str">
        <f aca="false">IF(INDEX(BookTitle,412)="","",INDEX(BookCategory,412))</f>
        <v/>
      </c>
      <c r="D417" s="56" t="str">
        <f aca="false">IF(INDEX(BookTitle,412)="","",INDEX(BookTotal,412)*'5. Scenarios'!$B$6/(1+ProductivityDefault*('5. Scenarios'!$B$11-1)))</f>
        <v/>
      </c>
      <c r="E417" s="57" t="str">
        <f aca="false">IF($D417="","",INDEX(BookRate,412)*(1+'5. Scenarios'!$B$10)*$D417)</f>
        <v/>
      </c>
      <c r="F417" s="57" t="str">
        <f aca="false">IF($E417="","",SUMIFS($E$6:$E$2405,$A$6:$A$2405,"&lt;="&amp;$A417))</f>
        <v/>
      </c>
      <c r="G417" s="57" t="str">
        <f aca="false">IF($E417="","",IF($F417&lt;=BankCostEnvelope*'5. Scenarios'!$B$7,1,0))</f>
        <v/>
      </c>
      <c r="H417" s="57" t="str">
        <f aca="false">IF($D417="","",INDEX(BookRate,412)*(1+'5. Scenarios'!$B$10)*(INDEX(BookQ1,412)*(5-MIN(4,1+'5. Scenarios'!$B$8))/4+INDEX(BookQ2,412)*(5-MIN(4,2+'5. Scenarios'!$B$8))/4+INDEX(BookQ3,412)*(5-MIN(4,3+'5. Scenarios'!$B$8))/4+INDEX(BookQ4,412)*(5-MIN(4,4+'5. Scenarios'!$B$8))/4)*'5. Scenarios'!$B$6/(1+ProductivityDefault*('5. Scenarios'!$B$11-1))+INDEX(BookOneOff,412)*$D417)</f>
        <v/>
      </c>
      <c r="I417" s="56" t="str">
        <f aca="false">IF(INDEX(BookTitle,412)="","",INDEX(BookTotal,412)*'5. Scenarios'!$C$6/(1+ProductivityDefault*('5. Scenarios'!$C$11-1)))</f>
        <v/>
      </c>
      <c r="J417" s="57" t="str">
        <f aca="false">IF($I417="","",INDEX(BookRate,412)*(1+'5. Scenarios'!$C$10)*$I417)</f>
        <v/>
      </c>
      <c r="K417" s="57" t="str">
        <f aca="false">IF($J417="","",SUMIFS($J$6:$J$2405,$A$6:$A$2405,"&lt;="&amp;$A417))</f>
        <v/>
      </c>
      <c r="L417" s="57" t="str">
        <f aca="false">IF($J417="","",IF($K417&lt;=BankCostEnvelope*'5. Scenarios'!$C$7,1,0))</f>
        <v/>
      </c>
      <c r="M417" s="57" t="str">
        <f aca="false">IF($I417="","",INDEX(BookRate,412)*(1+'5. Scenarios'!$C$10)*(INDEX(BookQ1,412)*(5-MIN(4,1+'5. Scenarios'!$C$8))/4+INDEX(BookQ2,412)*(5-MIN(4,2+'5. Scenarios'!$C$8))/4+INDEX(BookQ3,412)*(5-MIN(4,3+'5. Scenarios'!$C$8))/4+INDEX(BookQ4,412)*(5-MIN(4,4+'5. Scenarios'!$C$8))/4)*'5. Scenarios'!$C$6/(1+ProductivityDefault*('5. Scenarios'!$C$11-1))+INDEX(BookOneOff,412)*$I417)</f>
        <v/>
      </c>
      <c r="N417" s="56" t="str">
        <f aca="false">IF(INDEX(BookTitle,412)="","",INDEX(BookTotal,412)*'5. Scenarios'!$D$6/(1+ProductivityDefault*('5. Scenarios'!$D$11-1)))</f>
        <v/>
      </c>
      <c r="O417" s="57" t="str">
        <f aca="false">IF($N417="","",INDEX(BookRate,412)*(1+'5. Scenarios'!$D$10)*$N417)</f>
        <v/>
      </c>
      <c r="P417" s="57" t="str">
        <f aca="false">IF($O417="","",SUMIFS($O$6:$O$2405,$A$6:$A$2405,"&lt;="&amp;$A417))</f>
        <v/>
      </c>
      <c r="Q417" s="57" t="str">
        <f aca="false">IF($O417="","",IF($P417&lt;=BankCostEnvelope*'5. Scenarios'!$D$7,1,0))</f>
        <v/>
      </c>
      <c r="R417" s="57" t="str">
        <f aca="false">IF($N417="","",INDEX(BookRate,412)*(1+'5. Scenarios'!$D$10)*(INDEX(BookQ1,412)*(5-MIN(4,1+'5. Scenarios'!$D$8))/4+INDEX(BookQ2,412)*(5-MIN(4,2+'5. Scenarios'!$D$8))/4+INDEX(BookQ3,412)*(5-MIN(4,3+'5. Scenarios'!$D$8))/4+INDEX(BookQ4,412)*(5-MIN(4,4+'5. Scenarios'!$D$8))/4)*'5. Scenarios'!$D$6/(1+ProductivityDefault*('5. Scenarios'!$D$11-1))+INDEX(BookOneOff,412)*$N417)</f>
        <v/>
      </c>
      <c r="S417" s="56" t="str">
        <f aca="false">IF(INDEX(BookTitle,412)="","",INDEX(BookTotal,412)*'5. Scenarios'!$E$6/(1+ProductivityDefault*('5. Scenarios'!$E$11-1)))</f>
        <v/>
      </c>
      <c r="T417" s="57" t="str">
        <f aca="false">IF($S417="","",INDEX(BookRate,412)*(1+'5. Scenarios'!$E$10)*$S417)</f>
        <v/>
      </c>
      <c r="U417" s="57" t="str">
        <f aca="false">IF($T417="","",SUMIFS($T$6:$T$2405,$A$6:$A$2405,"&lt;="&amp;$A417))</f>
        <v/>
      </c>
      <c r="V417" s="57" t="str">
        <f aca="false">IF($T417="","",IF($U417&lt;=BankCostEnvelope*'5. Scenarios'!$E$7,1,0))</f>
        <v/>
      </c>
      <c r="W417" s="57" t="str">
        <f aca="false">IF($S417="","",INDEX(BookRate,412)*(1+'5. Scenarios'!$E$10)*(INDEX(BookQ1,412)*(5-MIN(4,1+'5. Scenarios'!$E$8))/4+INDEX(BookQ2,412)*(5-MIN(4,2+'5. Scenarios'!$E$8))/4+INDEX(BookQ3,412)*(5-MIN(4,3+'5. Scenarios'!$E$8))/4+INDEX(BookQ4,412)*(5-MIN(4,4+'5. Scenarios'!$E$8))/4)*'5. Scenarios'!$E$6/(1+ProductivityDefault*('5. Scenarios'!$E$11-1))+INDEX(BookOneOff,412)*$S417)</f>
        <v/>
      </c>
    </row>
    <row r="418" customFormat="false" ht="15" hidden="false" customHeight="false" outlineLevel="0" collapsed="false">
      <c r="A418" s="0" t="str">
        <f aca="false">IF(INDEX(BookTitle,413)="","",INDEX(BookKey,413))</f>
        <v/>
      </c>
      <c r="B418" s="0" t="str">
        <f aca="false">IF(INDEX(BookTitle,413)="","",INDEX(BookGroup,413))</f>
        <v/>
      </c>
      <c r="C418" s="0" t="str">
        <f aca="false">IF(INDEX(BookTitle,413)="","",INDEX(BookCategory,413))</f>
        <v/>
      </c>
      <c r="D418" s="56" t="str">
        <f aca="false">IF(INDEX(BookTitle,413)="","",INDEX(BookTotal,413)*'5. Scenarios'!$B$6/(1+ProductivityDefault*('5. Scenarios'!$B$11-1)))</f>
        <v/>
      </c>
      <c r="E418" s="57" t="str">
        <f aca="false">IF($D418="","",INDEX(BookRate,413)*(1+'5. Scenarios'!$B$10)*$D418)</f>
        <v/>
      </c>
      <c r="F418" s="57" t="str">
        <f aca="false">IF($E418="","",SUMIFS($E$6:$E$2405,$A$6:$A$2405,"&lt;="&amp;$A418))</f>
        <v/>
      </c>
      <c r="G418" s="57" t="str">
        <f aca="false">IF($E418="","",IF($F418&lt;=BankCostEnvelope*'5. Scenarios'!$B$7,1,0))</f>
        <v/>
      </c>
      <c r="H418" s="57" t="str">
        <f aca="false">IF($D418="","",INDEX(BookRate,413)*(1+'5. Scenarios'!$B$10)*(INDEX(BookQ1,413)*(5-MIN(4,1+'5. Scenarios'!$B$8))/4+INDEX(BookQ2,413)*(5-MIN(4,2+'5. Scenarios'!$B$8))/4+INDEX(BookQ3,413)*(5-MIN(4,3+'5. Scenarios'!$B$8))/4+INDEX(BookQ4,413)*(5-MIN(4,4+'5. Scenarios'!$B$8))/4)*'5. Scenarios'!$B$6/(1+ProductivityDefault*('5. Scenarios'!$B$11-1))+INDEX(BookOneOff,413)*$D418)</f>
        <v/>
      </c>
      <c r="I418" s="56" t="str">
        <f aca="false">IF(INDEX(BookTitle,413)="","",INDEX(BookTotal,413)*'5. Scenarios'!$C$6/(1+ProductivityDefault*('5. Scenarios'!$C$11-1)))</f>
        <v/>
      </c>
      <c r="J418" s="57" t="str">
        <f aca="false">IF($I418="","",INDEX(BookRate,413)*(1+'5. Scenarios'!$C$10)*$I418)</f>
        <v/>
      </c>
      <c r="K418" s="57" t="str">
        <f aca="false">IF($J418="","",SUMIFS($J$6:$J$2405,$A$6:$A$2405,"&lt;="&amp;$A418))</f>
        <v/>
      </c>
      <c r="L418" s="57" t="str">
        <f aca="false">IF($J418="","",IF($K418&lt;=BankCostEnvelope*'5. Scenarios'!$C$7,1,0))</f>
        <v/>
      </c>
      <c r="M418" s="57" t="str">
        <f aca="false">IF($I418="","",INDEX(BookRate,413)*(1+'5. Scenarios'!$C$10)*(INDEX(BookQ1,413)*(5-MIN(4,1+'5. Scenarios'!$C$8))/4+INDEX(BookQ2,413)*(5-MIN(4,2+'5. Scenarios'!$C$8))/4+INDEX(BookQ3,413)*(5-MIN(4,3+'5. Scenarios'!$C$8))/4+INDEX(BookQ4,413)*(5-MIN(4,4+'5. Scenarios'!$C$8))/4)*'5. Scenarios'!$C$6/(1+ProductivityDefault*('5. Scenarios'!$C$11-1))+INDEX(BookOneOff,413)*$I418)</f>
        <v/>
      </c>
      <c r="N418" s="56" t="str">
        <f aca="false">IF(INDEX(BookTitle,413)="","",INDEX(BookTotal,413)*'5. Scenarios'!$D$6/(1+ProductivityDefault*('5. Scenarios'!$D$11-1)))</f>
        <v/>
      </c>
      <c r="O418" s="57" t="str">
        <f aca="false">IF($N418="","",INDEX(BookRate,413)*(1+'5. Scenarios'!$D$10)*$N418)</f>
        <v/>
      </c>
      <c r="P418" s="57" t="str">
        <f aca="false">IF($O418="","",SUMIFS($O$6:$O$2405,$A$6:$A$2405,"&lt;="&amp;$A418))</f>
        <v/>
      </c>
      <c r="Q418" s="57" t="str">
        <f aca="false">IF($O418="","",IF($P418&lt;=BankCostEnvelope*'5. Scenarios'!$D$7,1,0))</f>
        <v/>
      </c>
      <c r="R418" s="57" t="str">
        <f aca="false">IF($N418="","",INDEX(BookRate,413)*(1+'5. Scenarios'!$D$10)*(INDEX(BookQ1,413)*(5-MIN(4,1+'5. Scenarios'!$D$8))/4+INDEX(BookQ2,413)*(5-MIN(4,2+'5. Scenarios'!$D$8))/4+INDEX(BookQ3,413)*(5-MIN(4,3+'5. Scenarios'!$D$8))/4+INDEX(BookQ4,413)*(5-MIN(4,4+'5. Scenarios'!$D$8))/4)*'5. Scenarios'!$D$6/(1+ProductivityDefault*('5. Scenarios'!$D$11-1))+INDEX(BookOneOff,413)*$N418)</f>
        <v/>
      </c>
      <c r="S418" s="56" t="str">
        <f aca="false">IF(INDEX(BookTitle,413)="","",INDEX(BookTotal,413)*'5. Scenarios'!$E$6/(1+ProductivityDefault*('5. Scenarios'!$E$11-1)))</f>
        <v/>
      </c>
      <c r="T418" s="57" t="str">
        <f aca="false">IF($S418="","",INDEX(BookRate,413)*(1+'5. Scenarios'!$E$10)*$S418)</f>
        <v/>
      </c>
      <c r="U418" s="57" t="str">
        <f aca="false">IF($T418="","",SUMIFS($T$6:$T$2405,$A$6:$A$2405,"&lt;="&amp;$A418))</f>
        <v/>
      </c>
      <c r="V418" s="57" t="str">
        <f aca="false">IF($T418="","",IF($U418&lt;=BankCostEnvelope*'5. Scenarios'!$E$7,1,0))</f>
        <v/>
      </c>
      <c r="W418" s="57" t="str">
        <f aca="false">IF($S418="","",INDEX(BookRate,413)*(1+'5. Scenarios'!$E$10)*(INDEX(BookQ1,413)*(5-MIN(4,1+'5. Scenarios'!$E$8))/4+INDEX(BookQ2,413)*(5-MIN(4,2+'5. Scenarios'!$E$8))/4+INDEX(BookQ3,413)*(5-MIN(4,3+'5. Scenarios'!$E$8))/4+INDEX(BookQ4,413)*(5-MIN(4,4+'5. Scenarios'!$E$8))/4)*'5. Scenarios'!$E$6/(1+ProductivityDefault*('5. Scenarios'!$E$11-1))+INDEX(BookOneOff,413)*$S418)</f>
        <v/>
      </c>
    </row>
    <row r="419" customFormat="false" ht="15" hidden="false" customHeight="false" outlineLevel="0" collapsed="false">
      <c r="A419" s="0" t="str">
        <f aca="false">IF(INDEX(BookTitle,414)="","",INDEX(BookKey,414))</f>
        <v/>
      </c>
      <c r="B419" s="0" t="str">
        <f aca="false">IF(INDEX(BookTitle,414)="","",INDEX(BookGroup,414))</f>
        <v/>
      </c>
      <c r="C419" s="0" t="str">
        <f aca="false">IF(INDEX(BookTitle,414)="","",INDEX(BookCategory,414))</f>
        <v/>
      </c>
      <c r="D419" s="56" t="str">
        <f aca="false">IF(INDEX(BookTitle,414)="","",INDEX(BookTotal,414)*'5. Scenarios'!$B$6/(1+ProductivityDefault*('5. Scenarios'!$B$11-1)))</f>
        <v/>
      </c>
      <c r="E419" s="57" t="str">
        <f aca="false">IF($D419="","",INDEX(BookRate,414)*(1+'5. Scenarios'!$B$10)*$D419)</f>
        <v/>
      </c>
      <c r="F419" s="57" t="str">
        <f aca="false">IF($E419="","",SUMIFS($E$6:$E$2405,$A$6:$A$2405,"&lt;="&amp;$A419))</f>
        <v/>
      </c>
      <c r="G419" s="57" t="str">
        <f aca="false">IF($E419="","",IF($F419&lt;=BankCostEnvelope*'5. Scenarios'!$B$7,1,0))</f>
        <v/>
      </c>
      <c r="H419" s="57" t="str">
        <f aca="false">IF($D419="","",INDEX(BookRate,414)*(1+'5. Scenarios'!$B$10)*(INDEX(BookQ1,414)*(5-MIN(4,1+'5. Scenarios'!$B$8))/4+INDEX(BookQ2,414)*(5-MIN(4,2+'5. Scenarios'!$B$8))/4+INDEX(BookQ3,414)*(5-MIN(4,3+'5. Scenarios'!$B$8))/4+INDEX(BookQ4,414)*(5-MIN(4,4+'5. Scenarios'!$B$8))/4)*'5. Scenarios'!$B$6/(1+ProductivityDefault*('5. Scenarios'!$B$11-1))+INDEX(BookOneOff,414)*$D419)</f>
        <v/>
      </c>
      <c r="I419" s="56" t="str">
        <f aca="false">IF(INDEX(BookTitle,414)="","",INDEX(BookTotal,414)*'5. Scenarios'!$C$6/(1+ProductivityDefault*('5. Scenarios'!$C$11-1)))</f>
        <v/>
      </c>
      <c r="J419" s="57" t="str">
        <f aca="false">IF($I419="","",INDEX(BookRate,414)*(1+'5. Scenarios'!$C$10)*$I419)</f>
        <v/>
      </c>
      <c r="K419" s="57" t="str">
        <f aca="false">IF($J419="","",SUMIFS($J$6:$J$2405,$A$6:$A$2405,"&lt;="&amp;$A419))</f>
        <v/>
      </c>
      <c r="L419" s="57" t="str">
        <f aca="false">IF($J419="","",IF($K419&lt;=BankCostEnvelope*'5. Scenarios'!$C$7,1,0))</f>
        <v/>
      </c>
      <c r="M419" s="57" t="str">
        <f aca="false">IF($I419="","",INDEX(BookRate,414)*(1+'5. Scenarios'!$C$10)*(INDEX(BookQ1,414)*(5-MIN(4,1+'5. Scenarios'!$C$8))/4+INDEX(BookQ2,414)*(5-MIN(4,2+'5. Scenarios'!$C$8))/4+INDEX(BookQ3,414)*(5-MIN(4,3+'5. Scenarios'!$C$8))/4+INDEX(BookQ4,414)*(5-MIN(4,4+'5. Scenarios'!$C$8))/4)*'5. Scenarios'!$C$6/(1+ProductivityDefault*('5. Scenarios'!$C$11-1))+INDEX(BookOneOff,414)*$I419)</f>
        <v/>
      </c>
      <c r="N419" s="56" t="str">
        <f aca="false">IF(INDEX(BookTitle,414)="","",INDEX(BookTotal,414)*'5. Scenarios'!$D$6/(1+ProductivityDefault*('5. Scenarios'!$D$11-1)))</f>
        <v/>
      </c>
      <c r="O419" s="57" t="str">
        <f aca="false">IF($N419="","",INDEX(BookRate,414)*(1+'5. Scenarios'!$D$10)*$N419)</f>
        <v/>
      </c>
      <c r="P419" s="57" t="str">
        <f aca="false">IF($O419="","",SUMIFS($O$6:$O$2405,$A$6:$A$2405,"&lt;="&amp;$A419))</f>
        <v/>
      </c>
      <c r="Q419" s="57" t="str">
        <f aca="false">IF($O419="","",IF($P419&lt;=BankCostEnvelope*'5. Scenarios'!$D$7,1,0))</f>
        <v/>
      </c>
      <c r="R419" s="57" t="str">
        <f aca="false">IF($N419="","",INDEX(BookRate,414)*(1+'5. Scenarios'!$D$10)*(INDEX(BookQ1,414)*(5-MIN(4,1+'5. Scenarios'!$D$8))/4+INDEX(BookQ2,414)*(5-MIN(4,2+'5. Scenarios'!$D$8))/4+INDEX(BookQ3,414)*(5-MIN(4,3+'5. Scenarios'!$D$8))/4+INDEX(BookQ4,414)*(5-MIN(4,4+'5. Scenarios'!$D$8))/4)*'5. Scenarios'!$D$6/(1+ProductivityDefault*('5. Scenarios'!$D$11-1))+INDEX(BookOneOff,414)*$N419)</f>
        <v/>
      </c>
      <c r="S419" s="56" t="str">
        <f aca="false">IF(INDEX(BookTitle,414)="","",INDEX(BookTotal,414)*'5. Scenarios'!$E$6/(1+ProductivityDefault*('5. Scenarios'!$E$11-1)))</f>
        <v/>
      </c>
      <c r="T419" s="57" t="str">
        <f aca="false">IF($S419="","",INDEX(BookRate,414)*(1+'5. Scenarios'!$E$10)*$S419)</f>
        <v/>
      </c>
      <c r="U419" s="57" t="str">
        <f aca="false">IF($T419="","",SUMIFS($T$6:$T$2405,$A$6:$A$2405,"&lt;="&amp;$A419))</f>
        <v/>
      </c>
      <c r="V419" s="57" t="str">
        <f aca="false">IF($T419="","",IF($U419&lt;=BankCostEnvelope*'5. Scenarios'!$E$7,1,0))</f>
        <v/>
      </c>
      <c r="W419" s="57" t="str">
        <f aca="false">IF($S419="","",INDEX(BookRate,414)*(1+'5. Scenarios'!$E$10)*(INDEX(BookQ1,414)*(5-MIN(4,1+'5. Scenarios'!$E$8))/4+INDEX(BookQ2,414)*(5-MIN(4,2+'5. Scenarios'!$E$8))/4+INDEX(BookQ3,414)*(5-MIN(4,3+'5. Scenarios'!$E$8))/4+INDEX(BookQ4,414)*(5-MIN(4,4+'5. Scenarios'!$E$8))/4)*'5. Scenarios'!$E$6/(1+ProductivityDefault*('5. Scenarios'!$E$11-1))+INDEX(BookOneOff,414)*$S419)</f>
        <v/>
      </c>
    </row>
    <row r="420" customFormat="false" ht="15" hidden="false" customHeight="false" outlineLevel="0" collapsed="false">
      <c r="A420" s="0" t="str">
        <f aca="false">IF(INDEX(BookTitle,415)="","",INDEX(BookKey,415))</f>
        <v/>
      </c>
      <c r="B420" s="0" t="str">
        <f aca="false">IF(INDEX(BookTitle,415)="","",INDEX(BookGroup,415))</f>
        <v/>
      </c>
      <c r="C420" s="0" t="str">
        <f aca="false">IF(INDEX(BookTitle,415)="","",INDEX(BookCategory,415))</f>
        <v/>
      </c>
      <c r="D420" s="56" t="str">
        <f aca="false">IF(INDEX(BookTitle,415)="","",INDEX(BookTotal,415)*'5. Scenarios'!$B$6/(1+ProductivityDefault*('5. Scenarios'!$B$11-1)))</f>
        <v/>
      </c>
      <c r="E420" s="57" t="str">
        <f aca="false">IF($D420="","",INDEX(BookRate,415)*(1+'5. Scenarios'!$B$10)*$D420)</f>
        <v/>
      </c>
      <c r="F420" s="57" t="str">
        <f aca="false">IF($E420="","",SUMIFS($E$6:$E$2405,$A$6:$A$2405,"&lt;="&amp;$A420))</f>
        <v/>
      </c>
      <c r="G420" s="57" t="str">
        <f aca="false">IF($E420="","",IF($F420&lt;=BankCostEnvelope*'5. Scenarios'!$B$7,1,0))</f>
        <v/>
      </c>
      <c r="H420" s="57" t="str">
        <f aca="false">IF($D420="","",INDEX(BookRate,415)*(1+'5. Scenarios'!$B$10)*(INDEX(BookQ1,415)*(5-MIN(4,1+'5. Scenarios'!$B$8))/4+INDEX(BookQ2,415)*(5-MIN(4,2+'5. Scenarios'!$B$8))/4+INDEX(BookQ3,415)*(5-MIN(4,3+'5. Scenarios'!$B$8))/4+INDEX(BookQ4,415)*(5-MIN(4,4+'5. Scenarios'!$B$8))/4)*'5. Scenarios'!$B$6/(1+ProductivityDefault*('5. Scenarios'!$B$11-1))+INDEX(BookOneOff,415)*$D420)</f>
        <v/>
      </c>
      <c r="I420" s="56" t="str">
        <f aca="false">IF(INDEX(BookTitle,415)="","",INDEX(BookTotal,415)*'5. Scenarios'!$C$6/(1+ProductivityDefault*('5. Scenarios'!$C$11-1)))</f>
        <v/>
      </c>
      <c r="J420" s="57" t="str">
        <f aca="false">IF($I420="","",INDEX(BookRate,415)*(1+'5. Scenarios'!$C$10)*$I420)</f>
        <v/>
      </c>
      <c r="K420" s="57" t="str">
        <f aca="false">IF($J420="","",SUMIFS($J$6:$J$2405,$A$6:$A$2405,"&lt;="&amp;$A420))</f>
        <v/>
      </c>
      <c r="L420" s="57" t="str">
        <f aca="false">IF($J420="","",IF($K420&lt;=BankCostEnvelope*'5. Scenarios'!$C$7,1,0))</f>
        <v/>
      </c>
      <c r="M420" s="57" t="str">
        <f aca="false">IF($I420="","",INDEX(BookRate,415)*(1+'5. Scenarios'!$C$10)*(INDEX(BookQ1,415)*(5-MIN(4,1+'5. Scenarios'!$C$8))/4+INDEX(BookQ2,415)*(5-MIN(4,2+'5. Scenarios'!$C$8))/4+INDEX(BookQ3,415)*(5-MIN(4,3+'5. Scenarios'!$C$8))/4+INDEX(BookQ4,415)*(5-MIN(4,4+'5. Scenarios'!$C$8))/4)*'5. Scenarios'!$C$6/(1+ProductivityDefault*('5. Scenarios'!$C$11-1))+INDEX(BookOneOff,415)*$I420)</f>
        <v/>
      </c>
      <c r="N420" s="56" t="str">
        <f aca="false">IF(INDEX(BookTitle,415)="","",INDEX(BookTotal,415)*'5. Scenarios'!$D$6/(1+ProductivityDefault*('5. Scenarios'!$D$11-1)))</f>
        <v/>
      </c>
      <c r="O420" s="57" t="str">
        <f aca="false">IF($N420="","",INDEX(BookRate,415)*(1+'5. Scenarios'!$D$10)*$N420)</f>
        <v/>
      </c>
      <c r="P420" s="57" t="str">
        <f aca="false">IF($O420="","",SUMIFS($O$6:$O$2405,$A$6:$A$2405,"&lt;="&amp;$A420))</f>
        <v/>
      </c>
      <c r="Q420" s="57" t="str">
        <f aca="false">IF($O420="","",IF($P420&lt;=BankCostEnvelope*'5. Scenarios'!$D$7,1,0))</f>
        <v/>
      </c>
      <c r="R420" s="57" t="str">
        <f aca="false">IF($N420="","",INDEX(BookRate,415)*(1+'5. Scenarios'!$D$10)*(INDEX(BookQ1,415)*(5-MIN(4,1+'5. Scenarios'!$D$8))/4+INDEX(BookQ2,415)*(5-MIN(4,2+'5. Scenarios'!$D$8))/4+INDEX(BookQ3,415)*(5-MIN(4,3+'5. Scenarios'!$D$8))/4+INDEX(BookQ4,415)*(5-MIN(4,4+'5. Scenarios'!$D$8))/4)*'5. Scenarios'!$D$6/(1+ProductivityDefault*('5. Scenarios'!$D$11-1))+INDEX(BookOneOff,415)*$N420)</f>
        <v/>
      </c>
      <c r="S420" s="56" t="str">
        <f aca="false">IF(INDEX(BookTitle,415)="","",INDEX(BookTotal,415)*'5. Scenarios'!$E$6/(1+ProductivityDefault*('5. Scenarios'!$E$11-1)))</f>
        <v/>
      </c>
      <c r="T420" s="57" t="str">
        <f aca="false">IF($S420="","",INDEX(BookRate,415)*(1+'5. Scenarios'!$E$10)*$S420)</f>
        <v/>
      </c>
      <c r="U420" s="57" t="str">
        <f aca="false">IF($T420="","",SUMIFS($T$6:$T$2405,$A$6:$A$2405,"&lt;="&amp;$A420))</f>
        <v/>
      </c>
      <c r="V420" s="57" t="str">
        <f aca="false">IF($T420="","",IF($U420&lt;=BankCostEnvelope*'5. Scenarios'!$E$7,1,0))</f>
        <v/>
      </c>
      <c r="W420" s="57" t="str">
        <f aca="false">IF($S420="","",INDEX(BookRate,415)*(1+'5. Scenarios'!$E$10)*(INDEX(BookQ1,415)*(5-MIN(4,1+'5. Scenarios'!$E$8))/4+INDEX(BookQ2,415)*(5-MIN(4,2+'5. Scenarios'!$E$8))/4+INDEX(BookQ3,415)*(5-MIN(4,3+'5. Scenarios'!$E$8))/4+INDEX(BookQ4,415)*(5-MIN(4,4+'5. Scenarios'!$E$8))/4)*'5. Scenarios'!$E$6/(1+ProductivityDefault*('5. Scenarios'!$E$11-1))+INDEX(BookOneOff,415)*$S420)</f>
        <v/>
      </c>
    </row>
    <row r="421" customFormat="false" ht="15" hidden="false" customHeight="false" outlineLevel="0" collapsed="false">
      <c r="A421" s="0" t="str">
        <f aca="false">IF(INDEX(BookTitle,416)="","",INDEX(BookKey,416))</f>
        <v/>
      </c>
      <c r="B421" s="0" t="str">
        <f aca="false">IF(INDEX(BookTitle,416)="","",INDEX(BookGroup,416))</f>
        <v/>
      </c>
      <c r="C421" s="0" t="str">
        <f aca="false">IF(INDEX(BookTitle,416)="","",INDEX(BookCategory,416))</f>
        <v/>
      </c>
      <c r="D421" s="56" t="str">
        <f aca="false">IF(INDEX(BookTitle,416)="","",INDEX(BookTotal,416)*'5. Scenarios'!$B$6/(1+ProductivityDefault*('5. Scenarios'!$B$11-1)))</f>
        <v/>
      </c>
      <c r="E421" s="57" t="str">
        <f aca="false">IF($D421="","",INDEX(BookRate,416)*(1+'5. Scenarios'!$B$10)*$D421)</f>
        <v/>
      </c>
      <c r="F421" s="57" t="str">
        <f aca="false">IF($E421="","",SUMIFS($E$6:$E$2405,$A$6:$A$2405,"&lt;="&amp;$A421))</f>
        <v/>
      </c>
      <c r="G421" s="57" t="str">
        <f aca="false">IF($E421="","",IF($F421&lt;=BankCostEnvelope*'5. Scenarios'!$B$7,1,0))</f>
        <v/>
      </c>
      <c r="H421" s="57" t="str">
        <f aca="false">IF($D421="","",INDEX(BookRate,416)*(1+'5. Scenarios'!$B$10)*(INDEX(BookQ1,416)*(5-MIN(4,1+'5. Scenarios'!$B$8))/4+INDEX(BookQ2,416)*(5-MIN(4,2+'5. Scenarios'!$B$8))/4+INDEX(BookQ3,416)*(5-MIN(4,3+'5. Scenarios'!$B$8))/4+INDEX(BookQ4,416)*(5-MIN(4,4+'5. Scenarios'!$B$8))/4)*'5. Scenarios'!$B$6/(1+ProductivityDefault*('5. Scenarios'!$B$11-1))+INDEX(BookOneOff,416)*$D421)</f>
        <v/>
      </c>
      <c r="I421" s="56" t="str">
        <f aca="false">IF(INDEX(BookTitle,416)="","",INDEX(BookTotal,416)*'5. Scenarios'!$C$6/(1+ProductivityDefault*('5. Scenarios'!$C$11-1)))</f>
        <v/>
      </c>
      <c r="J421" s="57" t="str">
        <f aca="false">IF($I421="","",INDEX(BookRate,416)*(1+'5. Scenarios'!$C$10)*$I421)</f>
        <v/>
      </c>
      <c r="K421" s="57" t="str">
        <f aca="false">IF($J421="","",SUMIFS($J$6:$J$2405,$A$6:$A$2405,"&lt;="&amp;$A421))</f>
        <v/>
      </c>
      <c r="L421" s="57" t="str">
        <f aca="false">IF($J421="","",IF($K421&lt;=BankCostEnvelope*'5. Scenarios'!$C$7,1,0))</f>
        <v/>
      </c>
      <c r="M421" s="57" t="str">
        <f aca="false">IF($I421="","",INDEX(BookRate,416)*(1+'5. Scenarios'!$C$10)*(INDEX(BookQ1,416)*(5-MIN(4,1+'5. Scenarios'!$C$8))/4+INDEX(BookQ2,416)*(5-MIN(4,2+'5. Scenarios'!$C$8))/4+INDEX(BookQ3,416)*(5-MIN(4,3+'5. Scenarios'!$C$8))/4+INDEX(BookQ4,416)*(5-MIN(4,4+'5. Scenarios'!$C$8))/4)*'5. Scenarios'!$C$6/(1+ProductivityDefault*('5. Scenarios'!$C$11-1))+INDEX(BookOneOff,416)*$I421)</f>
        <v/>
      </c>
      <c r="N421" s="56" t="str">
        <f aca="false">IF(INDEX(BookTitle,416)="","",INDEX(BookTotal,416)*'5. Scenarios'!$D$6/(1+ProductivityDefault*('5. Scenarios'!$D$11-1)))</f>
        <v/>
      </c>
      <c r="O421" s="57" t="str">
        <f aca="false">IF($N421="","",INDEX(BookRate,416)*(1+'5. Scenarios'!$D$10)*$N421)</f>
        <v/>
      </c>
      <c r="P421" s="57" t="str">
        <f aca="false">IF($O421="","",SUMIFS($O$6:$O$2405,$A$6:$A$2405,"&lt;="&amp;$A421))</f>
        <v/>
      </c>
      <c r="Q421" s="57" t="str">
        <f aca="false">IF($O421="","",IF($P421&lt;=BankCostEnvelope*'5. Scenarios'!$D$7,1,0))</f>
        <v/>
      </c>
      <c r="R421" s="57" t="str">
        <f aca="false">IF($N421="","",INDEX(BookRate,416)*(1+'5. Scenarios'!$D$10)*(INDEX(BookQ1,416)*(5-MIN(4,1+'5. Scenarios'!$D$8))/4+INDEX(BookQ2,416)*(5-MIN(4,2+'5. Scenarios'!$D$8))/4+INDEX(BookQ3,416)*(5-MIN(4,3+'5. Scenarios'!$D$8))/4+INDEX(BookQ4,416)*(5-MIN(4,4+'5. Scenarios'!$D$8))/4)*'5. Scenarios'!$D$6/(1+ProductivityDefault*('5. Scenarios'!$D$11-1))+INDEX(BookOneOff,416)*$N421)</f>
        <v/>
      </c>
      <c r="S421" s="56" t="str">
        <f aca="false">IF(INDEX(BookTitle,416)="","",INDEX(BookTotal,416)*'5. Scenarios'!$E$6/(1+ProductivityDefault*('5. Scenarios'!$E$11-1)))</f>
        <v/>
      </c>
      <c r="T421" s="57" t="str">
        <f aca="false">IF($S421="","",INDEX(BookRate,416)*(1+'5. Scenarios'!$E$10)*$S421)</f>
        <v/>
      </c>
      <c r="U421" s="57" t="str">
        <f aca="false">IF($T421="","",SUMIFS($T$6:$T$2405,$A$6:$A$2405,"&lt;="&amp;$A421))</f>
        <v/>
      </c>
      <c r="V421" s="57" t="str">
        <f aca="false">IF($T421="","",IF($U421&lt;=BankCostEnvelope*'5. Scenarios'!$E$7,1,0))</f>
        <v/>
      </c>
      <c r="W421" s="57" t="str">
        <f aca="false">IF($S421="","",INDEX(BookRate,416)*(1+'5. Scenarios'!$E$10)*(INDEX(BookQ1,416)*(5-MIN(4,1+'5. Scenarios'!$E$8))/4+INDEX(BookQ2,416)*(5-MIN(4,2+'5. Scenarios'!$E$8))/4+INDEX(BookQ3,416)*(5-MIN(4,3+'5. Scenarios'!$E$8))/4+INDEX(BookQ4,416)*(5-MIN(4,4+'5. Scenarios'!$E$8))/4)*'5. Scenarios'!$E$6/(1+ProductivityDefault*('5. Scenarios'!$E$11-1))+INDEX(BookOneOff,416)*$S421)</f>
        <v/>
      </c>
    </row>
    <row r="422" customFormat="false" ht="15" hidden="false" customHeight="false" outlineLevel="0" collapsed="false">
      <c r="A422" s="0" t="str">
        <f aca="false">IF(INDEX(BookTitle,417)="","",INDEX(BookKey,417))</f>
        <v/>
      </c>
      <c r="B422" s="0" t="str">
        <f aca="false">IF(INDEX(BookTitle,417)="","",INDEX(BookGroup,417))</f>
        <v/>
      </c>
      <c r="C422" s="0" t="str">
        <f aca="false">IF(INDEX(BookTitle,417)="","",INDEX(BookCategory,417))</f>
        <v/>
      </c>
      <c r="D422" s="56" t="str">
        <f aca="false">IF(INDEX(BookTitle,417)="","",INDEX(BookTotal,417)*'5. Scenarios'!$B$6/(1+ProductivityDefault*('5. Scenarios'!$B$11-1)))</f>
        <v/>
      </c>
      <c r="E422" s="57" t="str">
        <f aca="false">IF($D422="","",INDEX(BookRate,417)*(1+'5. Scenarios'!$B$10)*$D422)</f>
        <v/>
      </c>
      <c r="F422" s="57" t="str">
        <f aca="false">IF($E422="","",SUMIFS($E$6:$E$2405,$A$6:$A$2405,"&lt;="&amp;$A422))</f>
        <v/>
      </c>
      <c r="G422" s="57" t="str">
        <f aca="false">IF($E422="","",IF($F422&lt;=BankCostEnvelope*'5. Scenarios'!$B$7,1,0))</f>
        <v/>
      </c>
      <c r="H422" s="57" t="str">
        <f aca="false">IF($D422="","",INDEX(BookRate,417)*(1+'5. Scenarios'!$B$10)*(INDEX(BookQ1,417)*(5-MIN(4,1+'5. Scenarios'!$B$8))/4+INDEX(BookQ2,417)*(5-MIN(4,2+'5. Scenarios'!$B$8))/4+INDEX(BookQ3,417)*(5-MIN(4,3+'5. Scenarios'!$B$8))/4+INDEX(BookQ4,417)*(5-MIN(4,4+'5. Scenarios'!$B$8))/4)*'5. Scenarios'!$B$6/(1+ProductivityDefault*('5. Scenarios'!$B$11-1))+INDEX(BookOneOff,417)*$D422)</f>
        <v/>
      </c>
      <c r="I422" s="56" t="str">
        <f aca="false">IF(INDEX(BookTitle,417)="","",INDEX(BookTotal,417)*'5. Scenarios'!$C$6/(1+ProductivityDefault*('5. Scenarios'!$C$11-1)))</f>
        <v/>
      </c>
      <c r="J422" s="57" t="str">
        <f aca="false">IF($I422="","",INDEX(BookRate,417)*(1+'5. Scenarios'!$C$10)*$I422)</f>
        <v/>
      </c>
      <c r="K422" s="57" t="str">
        <f aca="false">IF($J422="","",SUMIFS($J$6:$J$2405,$A$6:$A$2405,"&lt;="&amp;$A422))</f>
        <v/>
      </c>
      <c r="L422" s="57" t="str">
        <f aca="false">IF($J422="","",IF($K422&lt;=BankCostEnvelope*'5. Scenarios'!$C$7,1,0))</f>
        <v/>
      </c>
      <c r="M422" s="57" t="str">
        <f aca="false">IF($I422="","",INDEX(BookRate,417)*(1+'5. Scenarios'!$C$10)*(INDEX(BookQ1,417)*(5-MIN(4,1+'5. Scenarios'!$C$8))/4+INDEX(BookQ2,417)*(5-MIN(4,2+'5. Scenarios'!$C$8))/4+INDEX(BookQ3,417)*(5-MIN(4,3+'5. Scenarios'!$C$8))/4+INDEX(BookQ4,417)*(5-MIN(4,4+'5. Scenarios'!$C$8))/4)*'5. Scenarios'!$C$6/(1+ProductivityDefault*('5. Scenarios'!$C$11-1))+INDEX(BookOneOff,417)*$I422)</f>
        <v/>
      </c>
      <c r="N422" s="56" t="str">
        <f aca="false">IF(INDEX(BookTitle,417)="","",INDEX(BookTotal,417)*'5. Scenarios'!$D$6/(1+ProductivityDefault*('5. Scenarios'!$D$11-1)))</f>
        <v/>
      </c>
      <c r="O422" s="57" t="str">
        <f aca="false">IF($N422="","",INDEX(BookRate,417)*(1+'5. Scenarios'!$D$10)*$N422)</f>
        <v/>
      </c>
      <c r="P422" s="57" t="str">
        <f aca="false">IF($O422="","",SUMIFS($O$6:$O$2405,$A$6:$A$2405,"&lt;="&amp;$A422))</f>
        <v/>
      </c>
      <c r="Q422" s="57" t="str">
        <f aca="false">IF($O422="","",IF($P422&lt;=BankCostEnvelope*'5. Scenarios'!$D$7,1,0))</f>
        <v/>
      </c>
      <c r="R422" s="57" t="str">
        <f aca="false">IF($N422="","",INDEX(BookRate,417)*(1+'5. Scenarios'!$D$10)*(INDEX(BookQ1,417)*(5-MIN(4,1+'5. Scenarios'!$D$8))/4+INDEX(BookQ2,417)*(5-MIN(4,2+'5. Scenarios'!$D$8))/4+INDEX(BookQ3,417)*(5-MIN(4,3+'5. Scenarios'!$D$8))/4+INDEX(BookQ4,417)*(5-MIN(4,4+'5. Scenarios'!$D$8))/4)*'5. Scenarios'!$D$6/(1+ProductivityDefault*('5. Scenarios'!$D$11-1))+INDEX(BookOneOff,417)*$N422)</f>
        <v/>
      </c>
      <c r="S422" s="56" t="str">
        <f aca="false">IF(INDEX(BookTitle,417)="","",INDEX(BookTotal,417)*'5. Scenarios'!$E$6/(1+ProductivityDefault*('5. Scenarios'!$E$11-1)))</f>
        <v/>
      </c>
      <c r="T422" s="57" t="str">
        <f aca="false">IF($S422="","",INDEX(BookRate,417)*(1+'5. Scenarios'!$E$10)*$S422)</f>
        <v/>
      </c>
      <c r="U422" s="57" t="str">
        <f aca="false">IF($T422="","",SUMIFS($T$6:$T$2405,$A$6:$A$2405,"&lt;="&amp;$A422))</f>
        <v/>
      </c>
      <c r="V422" s="57" t="str">
        <f aca="false">IF($T422="","",IF($U422&lt;=BankCostEnvelope*'5. Scenarios'!$E$7,1,0))</f>
        <v/>
      </c>
      <c r="W422" s="57" t="str">
        <f aca="false">IF($S422="","",INDEX(BookRate,417)*(1+'5. Scenarios'!$E$10)*(INDEX(BookQ1,417)*(5-MIN(4,1+'5. Scenarios'!$E$8))/4+INDEX(BookQ2,417)*(5-MIN(4,2+'5. Scenarios'!$E$8))/4+INDEX(BookQ3,417)*(5-MIN(4,3+'5. Scenarios'!$E$8))/4+INDEX(BookQ4,417)*(5-MIN(4,4+'5. Scenarios'!$E$8))/4)*'5. Scenarios'!$E$6/(1+ProductivityDefault*('5. Scenarios'!$E$11-1))+INDEX(BookOneOff,417)*$S422)</f>
        <v/>
      </c>
    </row>
    <row r="423" customFormat="false" ht="15" hidden="false" customHeight="false" outlineLevel="0" collapsed="false">
      <c r="A423" s="0" t="str">
        <f aca="false">IF(INDEX(BookTitle,418)="","",INDEX(BookKey,418))</f>
        <v/>
      </c>
      <c r="B423" s="0" t="str">
        <f aca="false">IF(INDEX(BookTitle,418)="","",INDEX(BookGroup,418))</f>
        <v/>
      </c>
      <c r="C423" s="0" t="str">
        <f aca="false">IF(INDEX(BookTitle,418)="","",INDEX(BookCategory,418))</f>
        <v/>
      </c>
      <c r="D423" s="56" t="str">
        <f aca="false">IF(INDEX(BookTitle,418)="","",INDEX(BookTotal,418)*'5. Scenarios'!$B$6/(1+ProductivityDefault*('5. Scenarios'!$B$11-1)))</f>
        <v/>
      </c>
      <c r="E423" s="57" t="str">
        <f aca="false">IF($D423="","",INDEX(BookRate,418)*(1+'5. Scenarios'!$B$10)*$D423)</f>
        <v/>
      </c>
      <c r="F423" s="57" t="str">
        <f aca="false">IF($E423="","",SUMIFS($E$6:$E$2405,$A$6:$A$2405,"&lt;="&amp;$A423))</f>
        <v/>
      </c>
      <c r="G423" s="57" t="str">
        <f aca="false">IF($E423="","",IF($F423&lt;=BankCostEnvelope*'5. Scenarios'!$B$7,1,0))</f>
        <v/>
      </c>
      <c r="H423" s="57" t="str">
        <f aca="false">IF($D423="","",INDEX(BookRate,418)*(1+'5. Scenarios'!$B$10)*(INDEX(BookQ1,418)*(5-MIN(4,1+'5. Scenarios'!$B$8))/4+INDEX(BookQ2,418)*(5-MIN(4,2+'5. Scenarios'!$B$8))/4+INDEX(BookQ3,418)*(5-MIN(4,3+'5. Scenarios'!$B$8))/4+INDEX(BookQ4,418)*(5-MIN(4,4+'5. Scenarios'!$B$8))/4)*'5. Scenarios'!$B$6/(1+ProductivityDefault*('5. Scenarios'!$B$11-1))+INDEX(BookOneOff,418)*$D423)</f>
        <v/>
      </c>
      <c r="I423" s="56" t="str">
        <f aca="false">IF(INDEX(BookTitle,418)="","",INDEX(BookTotal,418)*'5. Scenarios'!$C$6/(1+ProductivityDefault*('5. Scenarios'!$C$11-1)))</f>
        <v/>
      </c>
      <c r="J423" s="57" t="str">
        <f aca="false">IF($I423="","",INDEX(BookRate,418)*(1+'5. Scenarios'!$C$10)*$I423)</f>
        <v/>
      </c>
      <c r="K423" s="57" t="str">
        <f aca="false">IF($J423="","",SUMIFS($J$6:$J$2405,$A$6:$A$2405,"&lt;="&amp;$A423))</f>
        <v/>
      </c>
      <c r="L423" s="57" t="str">
        <f aca="false">IF($J423="","",IF($K423&lt;=BankCostEnvelope*'5. Scenarios'!$C$7,1,0))</f>
        <v/>
      </c>
      <c r="M423" s="57" t="str">
        <f aca="false">IF($I423="","",INDEX(BookRate,418)*(1+'5. Scenarios'!$C$10)*(INDEX(BookQ1,418)*(5-MIN(4,1+'5. Scenarios'!$C$8))/4+INDEX(BookQ2,418)*(5-MIN(4,2+'5. Scenarios'!$C$8))/4+INDEX(BookQ3,418)*(5-MIN(4,3+'5. Scenarios'!$C$8))/4+INDEX(BookQ4,418)*(5-MIN(4,4+'5. Scenarios'!$C$8))/4)*'5. Scenarios'!$C$6/(1+ProductivityDefault*('5. Scenarios'!$C$11-1))+INDEX(BookOneOff,418)*$I423)</f>
        <v/>
      </c>
      <c r="N423" s="56" t="str">
        <f aca="false">IF(INDEX(BookTitle,418)="","",INDEX(BookTotal,418)*'5. Scenarios'!$D$6/(1+ProductivityDefault*('5. Scenarios'!$D$11-1)))</f>
        <v/>
      </c>
      <c r="O423" s="57" t="str">
        <f aca="false">IF($N423="","",INDEX(BookRate,418)*(1+'5. Scenarios'!$D$10)*$N423)</f>
        <v/>
      </c>
      <c r="P423" s="57" t="str">
        <f aca="false">IF($O423="","",SUMIFS($O$6:$O$2405,$A$6:$A$2405,"&lt;="&amp;$A423))</f>
        <v/>
      </c>
      <c r="Q423" s="57" t="str">
        <f aca="false">IF($O423="","",IF($P423&lt;=BankCostEnvelope*'5. Scenarios'!$D$7,1,0))</f>
        <v/>
      </c>
      <c r="R423" s="57" t="str">
        <f aca="false">IF($N423="","",INDEX(BookRate,418)*(1+'5. Scenarios'!$D$10)*(INDEX(BookQ1,418)*(5-MIN(4,1+'5. Scenarios'!$D$8))/4+INDEX(BookQ2,418)*(5-MIN(4,2+'5. Scenarios'!$D$8))/4+INDEX(BookQ3,418)*(5-MIN(4,3+'5. Scenarios'!$D$8))/4+INDEX(BookQ4,418)*(5-MIN(4,4+'5. Scenarios'!$D$8))/4)*'5. Scenarios'!$D$6/(1+ProductivityDefault*('5. Scenarios'!$D$11-1))+INDEX(BookOneOff,418)*$N423)</f>
        <v/>
      </c>
      <c r="S423" s="56" t="str">
        <f aca="false">IF(INDEX(BookTitle,418)="","",INDEX(BookTotal,418)*'5. Scenarios'!$E$6/(1+ProductivityDefault*('5. Scenarios'!$E$11-1)))</f>
        <v/>
      </c>
      <c r="T423" s="57" t="str">
        <f aca="false">IF($S423="","",INDEX(BookRate,418)*(1+'5. Scenarios'!$E$10)*$S423)</f>
        <v/>
      </c>
      <c r="U423" s="57" t="str">
        <f aca="false">IF($T423="","",SUMIFS($T$6:$T$2405,$A$6:$A$2405,"&lt;="&amp;$A423))</f>
        <v/>
      </c>
      <c r="V423" s="57" t="str">
        <f aca="false">IF($T423="","",IF($U423&lt;=BankCostEnvelope*'5. Scenarios'!$E$7,1,0))</f>
        <v/>
      </c>
      <c r="W423" s="57" t="str">
        <f aca="false">IF($S423="","",INDEX(BookRate,418)*(1+'5. Scenarios'!$E$10)*(INDEX(BookQ1,418)*(5-MIN(4,1+'5. Scenarios'!$E$8))/4+INDEX(BookQ2,418)*(5-MIN(4,2+'5. Scenarios'!$E$8))/4+INDEX(BookQ3,418)*(5-MIN(4,3+'5. Scenarios'!$E$8))/4+INDEX(BookQ4,418)*(5-MIN(4,4+'5. Scenarios'!$E$8))/4)*'5. Scenarios'!$E$6/(1+ProductivityDefault*('5. Scenarios'!$E$11-1))+INDEX(BookOneOff,418)*$S423)</f>
        <v/>
      </c>
    </row>
    <row r="424" customFormat="false" ht="15" hidden="false" customHeight="false" outlineLevel="0" collapsed="false">
      <c r="A424" s="0" t="str">
        <f aca="false">IF(INDEX(BookTitle,419)="","",INDEX(BookKey,419))</f>
        <v/>
      </c>
      <c r="B424" s="0" t="str">
        <f aca="false">IF(INDEX(BookTitle,419)="","",INDEX(BookGroup,419))</f>
        <v/>
      </c>
      <c r="C424" s="0" t="str">
        <f aca="false">IF(INDEX(BookTitle,419)="","",INDEX(BookCategory,419))</f>
        <v/>
      </c>
      <c r="D424" s="56" t="str">
        <f aca="false">IF(INDEX(BookTitle,419)="","",INDEX(BookTotal,419)*'5. Scenarios'!$B$6/(1+ProductivityDefault*('5. Scenarios'!$B$11-1)))</f>
        <v/>
      </c>
      <c r="E424" s="57" t="str">
        <f aca="false">IF($D424="","",INDEX(BookRate,419)*(1+'5. Scenarios'!$B$10)*$D424)</f>
        <v/>
      </c>
      <c r="F424" s="57" t="str">
        <f aca="false">IF($E424="","",SUMIFS($E$6:$E$2405,$A$6:$A$2405,"&lt;="&amp;$A424))</f>
        <v/>
      </c>
      <c r="G424" s="57" t="str">
        <f aca="false">IF($E424="","",IF($F424&lt;=BankCostEnvelope*'5. Scenarios'!$B$7,1,0))</f>
        <v/>
      </c>
      <c r="H424" s="57" t="str">
        <f aca="false">IF($D424="","",INDEX(BookRate,419)*(1+'5. Scenarios'!$B$10)*(INDEX(BookQ1,419)*(5-MIN(4,1+'5. Scenarios'!$B$8))/4+INDEX(BookQ2,419)*(5-MIN(4,2+'5. Scenarios'!$B$8))/4+INDEX(BookQ3,419)*(5-MIN(4,3+'5. Scenarios'!$B$8))/4+INDEX(BookQ4,419)*(5-MIN(4,4+'5. Scenarios'!$B$8))/4)*'5. Scenarios'!$B$6/(1+ProductivityDefault*('5. Scenarios'!$B$11-1))+INDEX(BookOneOff,419)*$D424)</f>
        <v/>
      </c>
      <c r="I424" s="56" t="str">
        <f aca="false">IF(INDEX(BookTitle,419)="","",INDEX(BookTotal,419)*'5. Scenarios'!$C$6/(1+ProductivityDefault*('5. Scenarios'!$C$11-1)))</f>
        <v/>
      </c>
      <c r="J424" s="57" t="str">
        <f aca="false">IF($I424="","",INDEX(BookRate,419)*(1+'5. Scenarios'!$C$10)*$I424)</f>
        <v/>
      </c>
      <c r="K424" s="57" t="str">
        <f aca="false">IF($J424="","",SUMIFS($J$6:$J$2405,$A$6:$A$2405,"&lt;="&amp;$A424))</f>
        <v/>
      </c>
      <c r="L424" s="57" t="str">
        <f aca="false">IF($J424="","",IF($K424&lt;=BankCostEnvelope*'5. Scenarios'!$C$7,1,0))</f>
        <v/>
      </c>
      <c r="M424" s="57" t="str">
        <f aca="false">IF($I424="","",INDEX(BookRate,419)*(1+'5. Scenarios'!$C$10)*(INDEX(BookQ1,419)*(5-MIN(4,1+'5. Scenarios'!$C$8))/4+INDEX(BookQ2,419)*(5-MIN(4,2+'5. Scenarios'!$C$8))/4+INDEX(BookQ3,419)*(5-MIN(4,3+'5. Scenarios'!$C$8))/4+INDEX(BookQ4,419)*(5-MIN(4,4+'5. Scenarios'!$C$8))/4)*'5. Scenarios'!$C$6/(1+ProductivityDefault*('5. Scenarios'!$C$11-1))+INDEX(BookOneOff,419)*$I424)</f>
        <v/>
      </c>
      <c r="N424" s="56" t="str">
        <f aca="false">IF(INDEX(BookTitle,419)="","",INDEX(BookTotal,419)*'5. Scenarios'!$D$6/(1+ProductivityDefault*('5. Scenarios'!$D$11-1)))</f>
        <v/>
      </c>
      <c r="O424" s="57" t="str">
        <f aca="false">IF($N424="","",INDEX(BookRate,419)*(1+'5. Scenarios'!$D$10)*$N424)</f>
        <v/>
      </c>
      <c r="P424" s="57" t="str">
        <f aca="false">IF($O424="","",SUMIFS($O$6:$O$2405,$A$6:$A$2405,"&lt;="&amp;$A424))</f>
        <v/>
      </c>
      <c r="Q424" s="57" t="str">
        <f aca="false">IF($O424="","",IF($P424&lt;=BankCostEnvelope*'5. Scenarios'!$D$7,1,0))</f>
        <v/>
      </c>
      <c r="R424" s="57" t="str">
        <f aca="false">IF($N424="","",INDEX(BookRate,419)*(1+'5. Scenarios'!$D$10)*(INDEX(BookQ1,419)*(5-MIN(4,1+'5. Scenarios'!$D$8))/4+INDEX(BookQ2,419)*(5-MIN(4,2+'5. Scenarios'!$D$8))/4+INDEX(BookQ3,419)*(5-MIN(4,3+'5. Scenarios'!$D$8))/4+INDEX(BookQ4,419)*(5-MIN(4,4+'5. Scenarios'!$D$8))/4)*'5. Scenarios'!$D$6/(1+ProductivityDefault*('5. Scenarios'!$D$11-1))+INDEX(BookOneOff,419)*$N424)</f>
        <v/>
      </c>
      <c r="S424" s="56" t="str">
        <f aca="false">IF(INDEX(BookTitle,419)="","",INDEX(BookTotal,419)*'5. Scenarios'!$E$6/(1+ProductivityDefault*('5. Scenarios'!$E$11-1)))</f>
        <v/>
      </c>
      <c r="T424" s="57" t="str">
        <f aca="false">IF($S424="","",INDEX(BookRate,419)*(1+'5. Scenarios'!$E$10)*$S424)</f>
        <v/>
      </c>
      <c r="U424" s="57" t="str">
        <f aca="false">IF($T424="","",SUMIFS($T$6:$T$2405,$A$6:$A$2405,"&lt;="&amp;$A424))</f>
        <v/>
      </c>
      <c r="V424" s="57" t="str">
        <f aca="false">IF($T424="","",IF($U424&lt;=BankCostEnvelope*'5. Scenarios'!$E$7,1,0))</f>
        <v/>
      </c>
      <c r="W424" s="57" t="str">
        <f aca="false">IF($S424="","",INDEX(BookRate,419)*(1+'5. Scenarios'!$E$10)*(INDEX(BookQ1,419)*(5-MIN(4,1+'5. Scenarios'!$E$8))/4+INDEX(BookQ2,419)*(5-MIN(4,2+'5. Scenarios'!$E$8))/4+INDEX(BookQ3,419)*(5-MIN(4,3+'5. Scenarios'!$E$8))/4+INDEX(BookQ4,419)*(5-MIN(4,4+'5. Scenarios'!$E$8))/4)*'5. Scenarios'!$E$6/(1+ProductivityDefault*('5. Scenarios'!$E$11-1))+INDEX(BookOneOff,419)*$S424)</f>
        <v/>
      </c>
    </row>
    <row r="425" customFormat="false" ht="15" hidden="false" customHeight="false" outlineLevel="0" collapsed="false">
      <c r="A425" s="0" t="str">
        <f aca="false">IF(INDEX(BookTitle,420)="","",INDEX(BookKey,420))</f>
        <v/>
      </c>
      <c r="B425" s="0" t="str">
        <f aca="false">IF(INDEX(BookTitle,420)="","",INDEX(BookGroup,420))</f>
        <v/>
      </c>
      <c r="C425" s="0" t="str">
        <f aca="false">IF(INDEX(BookTitle,420)="","",INDEX(BookCategory,420))</f>
        <v/>
      </c>
      <c r="D425" s="56" t="str">
        <f aca="false">IF(INDEX(BookTitle,420)="","",INDEX(BookTotal,420)*'5. Scenarios'!$B$6/(1+ProductivityDefault*('5. Scenarios'!$B$11-1)))</f>
        <v/>
      </c>
      <c r="E425" s="57" t="str">
        <f aca="false">IF($D425="","",INDEX(BookRate,420)*(1+'5. Scenarios'!$B$10)*$D425)</f>
        <v/>
      </c>
      <c r="F425" s="57" t="str">
        <f aca="false">IF($E425="","",SUMIFS($E$6:$E$2405,$A$6:$A$2405,"&lt;="&amp;$A425))</f>
        <v/>
      </c>
      <c r="G425" s="57" t="str">
        <f aca="false">IF($E425="","",IF($F425&lt;=BankCostEnvelope*'5. Scenarios'!$B$7,1,0))</f>
        <v/>
      </c>
      <c r="H425" s="57" t="str">
        <f aca="false">IF($D425="","",INDEX(BookRate,420)*(1+'5. Scenarios'!$B$10)*(INDEX(BookQ1,420)*(5-MIN(4,1+'5. Scenarios'!$B$8))/4+INDEX(BookQ2,420)*(5-MIN(4,2+'5. Scenarios'!$B$8))/4+INDEX(BookQ3,420)*(5-MIN(4,3+'5. Scenarios'!$B$8))/4+INDEX(BookQ4,420)*(5-MIN(4,4+'5. Scenarios'!$B$8))/4)*'5. Scenarios'!$B$6/(1+ProductivityDefault*('5. Scenarios'!$B$11-1))+INDEX(BookOneOff,420)*$D425)</f>
        <v/>
      </c>
      <c r="I425" s="56" t="str">
        <f aca="false">IF(INDEX(BookTitle,420)="","",INDEX(BookTotal,420)*'5. Scenarios'!$C$6/(1+ProductivityDefault*('5. Scenarios'!$C$11-1)))</f>
        <v/>
      </c>
      <c r="J425" s="57" t="str">
        <f aca="false">IF($I425="","",INDEX(BookRate,420)*(1+'5. Scenarios'!$C$10)*$I425)</f>
        <v/>
      </c>
      <c r="K425" s="57" t="str">
        <f aca="false">IF($J425="","",SUMIFS($J$6:$J$2405,$A$6:$A$2405,"&lt;="&amp;$A425))</f>
        <v/>
      </c>
      <c r="L425" s="57" t="str">
        <f aca="false">IF($J425="","",IF($K425&lt;=BankCostEnvelope*'5. Scenarios'!$C$7,1,0))</f>
        <v/>
      </c>
      <c r="M425" s="57" t="str">
        <f aca="false">IF($I425="","",INDEX(BookRate,420)*(1+'5. Scenarios'!$C$10)*(INDEX(BookQ1,420)*(5-MIN(4,1+'5. Scenarios'!$C$8))/4+INDEX(BookQ2,420)*(5-MIN(4,2+'5. Scenarios'!$C$8))/4+INDEX(BookQ3,420)*(5-MIN(4,3+'5. Scenarios'!$C$8))/4+INDEX(BookQ4,420)*(5-MIN(4,4+'5. Scenarios'!$C$8))/4)*'5. Scenarios'!$C$6/(1+ProductivityDefault*('5. Scenarios'!$C$11-1))+INDEX(BookOneOff,420)*$I425)</f>
        <v/>
      </c>
      <c r="N425" s="56" t="str">
        <f aca="false">IF(INDEX(BookTitle,420)="","",INDEX(BookTotal,420)*'5. Scenarios'!$D$6/(1+ProductivityDefault*('5. Scenarios'!$D$11-1)))</f>
        <v/>
      </c>
      <c r="O425" s="57" t="str">
        <f aca="false">IF($N425="","",INDEX(BookRate,420)*(1+'5. Scenarios'!$D$10)*$N425)</f>
        <v/>
      </c>
      <c r="P425" s="57" t="str">
        <f aca="false">IF($O425="","",SUMIFS($O$6:$O$2405,$A$6:$A$2405,"&lt;="&amp;$A425))</f>
        <v/>
      </c>
      <c r="Q425" s="57" t="str">
        <f aca="false">IF($O425="","",IF($P425&lt;=BankCostEnvelope*'5. Scenarios'!$D$7,1,0))</f>
        <v/>
      </c>
      <c r="R425" s="57" t="str">
        <f aca="false">IF($N425="","",INDEX(BookRate,420)*(1+'5. Scenarios'!$D$10)*(INDEX(BookQ1,420)*(5-MIN(4,1+'5. Scenarios'!$D$8))/4+INDEX(BookQ2,420)*(5-MIN(4,2+'5. Scenarios'!$D$8))/4+INDEX(BookQ3,420)*(5-MIN(4,3+'5. Scenarios'!$D$8))/4+INDEX(BookQ4,420)*(5-MIN(4,4+'5. Scenarios'!$D$8))/4)*'5. Scenarios'!$D$6/(1+ProductivityDefault*('5. Scenarios'!$D$11-1))+INDEX(BookOneOff,420)*$N425)</f>
        <v/>
      </c>
      <c r="S425" s="56" t="str">
        <f aca="false">IF(INDEX(BookTitle,420)="","",INDEX(BookTotal,420)*'5. Scenarios'!$E$6/(1+ProductivityDefault*('5. Scenarios'!$E$11-1)))</f>
        <v/>
      </c>
      <c r="T425" s="57" t="str">
        <f aca="false">IF($S425="","",INDEX(BookRate,420)*(1+'5. Scenarios'!$E$10)*$S425)</f>
        <v/>
      </c>
      <c r="U425" s="57" t="str">
        <f aca="false">IF($T425="","",SUMIFS($T$6:$T$2405,$A$6:$A$2405,"&lt;="&amp;$A425))</f>
        <v/>
      </c>
      <c r="V425" s="57" t="str">
        <f aca="false">IF($T425="","",IF($U425&lt;=BankCostEnvelope*'5. Scenarios'!$E$7,1,0))</f>
        <v/>
      </c>
      <c r="W425" s="57" t="str">
        <f aca="false">IF($S425="","",INDEX(BookRate,420)*(1+'5. Scenarios'!$E$10)*(INDEX(BookQ1,420)*(5-MIN(4,1+'5. Scenarios'!$E$8))/4+INDEX(BookQ2,420)*(5-MIN(4,2+'5. Scenarios'!$E$8))/4+INDEX(BookQ3,420)*(5-MIN(4,3+'5. Scenarios'!$E$8))/4+INDEX(BookQ4,420)*(5-MIN(4,4+'5. Scenarios'!$E$8))/4)*'5. Scenarios'!$E$6/(1+ProductivityDefault*('5. Scenarios'!$E$11-1))+INDEX(BookOneOff,420)*$S425)</f>
        <v/>
      </c>
    </row>
    <row r="426" customFormat="false" ht="15" hidden="false" customHeight="false" outlineLevel="0" collapsed="false">
      <c r="A426" s="0" t="str">
        <f aca="false">IF(INDEX(BookTitle,421)="","",INDEX(BookKey,421))</f>
        <v/>
      </c>
      <c r="B426" s="0" t="str">
        <f aca="false">IF(INDEX(BookTitle,421)="","",INDEX(BookGroup,421))</f>
        <v/>
      </c>
      <c r="C426" s="0" t="str">
        <f aca="false">IF(INDEX(BookTitle,421)="","",INDEX(BookCategory,421))</f>
        <v/>
      </c>
      <c r="D426" s="56" t="str">
        <f aca="false">IF(INDEX(BookTitle,421)="","",INDEX(BookTotal,421)*'5. Scenarios'!$B$6/(1+ProductivityDefault*('5. Scenarios'!$B$11-1)))</f>
        <v/>
      </c>
      <c r="E426" s="57" t="str">
        <f aca="false">IF($D426="","",INDEX(BookRate,421)*(1+'5. Scenarios'!$B$10)*$D426)</f>
        <v/>
      </c>
      <c r="F426" s="57" t="str">
        <f aca="false">IF($E426="","",SUMIFS($E$6:$E$2405,$A$6:$A$2405,"&lt;="&amp;$A426))</f>
        <v/>
      </c>
      <c r="G426" s="57" t="str">
        <f aca="false">IF($E426="","",IF($F426&lt;=BankCostEnvelope*'5. Scenarios'!$B$7,1,0))</f>
        <v/>
      </c>
      <c r="H426" s="57" t="str">
        <f aca="false">IF($D426="","",INDEX(BookRate,421)*(1+'5. Scenarios'!$B$10)*(INDEX(BookQ1,421)*(5-MIN(4,1+'5. Scenarios'!$B$8))/4+INDEX(BookQ2,421)*(5-MIN(4,2+'5. Scenarios'!$B$8))/4+INDEX(BookQ3,421)*(5-MIN(4,3+'5. Scenarios'!$B$8))/4+INDEX(BookQ4,421)*(5-MIN(4,4+'5. Scenarios'!$B$8))/4)*'5. Scenarios'!$B$6/(1+ProductivityDefault*('5. Scenarios'!$B$11-1))+INDEX(BookOneOff,421)*$D426)</f>
        <v/>
      </c>
      <c r="I426" s="56" t="str">
        <f aca="false">IF(INDEX(BookTitle,421)="","",INDEX(BookTotal,421)*'5. Scenarios'!$C$6/(1+ProductivityDefault*('5. Scenarios'!$C$11-1)))</f>
        <v/>
      </c>
      <c r="J426" s="57" t="str">
        <f aca="false">IF($I426="","",INDEX(BookRate,421)*(1+'5. Scenarios'!$C$10)*$I426)</f>
        <v/>
      </c>
      <c r="K426" s="57" t="str">
        <f aca="false">IF($J426="","",SUMIFS($J$6:$J$2405,$A$6:$A$2405,"&lt;="&amp;$A426))</f>
        <v/>
      </c>
      <c r="L426" s="57" t="str">
        <f aca="false">IF($J426="","",IF($K426&lt;=BankCostEnvelope*'5. Scenarios'!$C$7,1,0))</f>
        <v/>
      </c>
      <c r="M426" s="57" t="str">
        <f aca="false">IF($I426="","",INDEX(BookRate,421)*(1+'5. Scenarios'!$C$10)*(INDEX(BookQ1,421)*(5-MIN(4,1+'5. Scenarios'!$C$8))/4+INDEX(BookQ2,421)*(5-MIN(4,2+'5. Scenarios'!$C$8))/4+INDEX(BookQ3,421)*(5-MIN(4,3+'5. Scenarios'!$C$8))/4+INDEX(BookQ4,421)*(5-MIN(4,4+'5. Scenarios'!$C$8))/4)*'5. Scenarios'!$C$6/(1+ProductivityDefault*('5. Scenarios'!$C$11-1))+INDEX(BookOneOff,421)*$I426)</f>
        <v/>
      </c>
      <c r="N426" s="56" t="str">
        <f aca="false">IF(INDEX(BookTitle,421)="","",INDEX(BookTotal,421)*'5. Scenarios'!$D$6/(1+ProductivityDefault*('5. Scenarios'!$D$11-1)))</f>
        <v/>
      </c>
      <c r="O426" s="57" t="str">
        <f aca="false">IF($N426="","",INDEX(BookRate,421)*(1+'5. Scenarios'!$D$10)*$N426)</f>
        <v/>
      </c>
      <c r="P426" s="57" t="str">
        <f aca="false">IF($O426="","",SUMIFS($O$6:$O$2405,$A$6:$A$2405,"&lt;="&amp;$A426))</f>
        <v/>
      </c>
      <c r="Q426" s="57" t="str">
        <f aca="false">IF($O426="","",IF($P426&lt;=BankCostEnvelope*'5. Scenarios'!$D$7,1,0))</f>
        <v/>
      </c>
      <c r="R426" s="57" t="str">
        <f aca="false">IF($N426="","",INDEX(BookRate,421)*(1+'5. Scenarios'!$D$10)*(INDEX(BookQ1,421)*(5-MIN(4,1+'5. Scenarios'!$D$8))/4+INDEX(BookQ2,421)*(5-MIN(4,2+'5. Scenarios'!$D$8))/4+INDEX(BookQ3,421)*(5-MIN(4,3+'5. Scenarios'!$D$8))/4+INDEX(BookQ4,421)*(5-MIN(4,4+'5. Scenarios'!$D$8))/4)*'5. Scenarios'!$D$6/(1+ProductivityDefault*('5. Scenarios'!$D$11-1))+INDEX(BookOneOff,421)*$N426)</f>
        <v/>
      </c>
      <c r="S426" s="56" t="str">
        <f aca="false">IF(INDEX(BookTitle,421)="","",INDEX(BookTotal,421)*'5. Scenarios'!$E$6/(1+ProductivityDefault*('5. Scenarios'!$E$11-1)))</f>
        <v/>
      </c>
      <c r="T426" s="57" t="str">
        <f aca="false">IF($S426="","",INDEX(BookRate,421)*(1+'5. Scenarios'!$E$10)*$S426)</f>
        <v/>
      </c>
      <c r="U426" s="57" t="str">
        <f aca="false">IF($T426="","",SUMIFS($T$6:$T$2405,$A$6:$A$2405,"&lt;="&amp;$A426))</f>
        <v/>
      </c>
      <c r="V426" s="57" t="str">
        <f aca="false">IF($T426="","",IF($U426&lt;=BankCostEnvelope*'5. Scenarios'!$E$7,1,0))</f>
        <v/>
      </c>
      <c r="W426" s="57" t="str">
        <f aca="false">IF($S426="","",INDEX(BookRate,421)*(1+'5. Scenarios'!$E$10)*(INDEX(BookQ1,421)*(5-MIN(4,1+'5. Scenarios'!$E$8))/4+INDEX(BookQ2,421)*(5-MIN(4,2+'5. Scenarios'!$E$8))/4+INDEX(BookQ3,421)*(5-MIN(4,3+'5. Scenarios'!$E$8))/4+INDEX(BookQ4,421)*(5-MIN(4,4+'5. Scenarios'!$E$8))/4)*'5. Scenarios'!$E$6/(1+ProductivityDefault*('5. Scenarios'!$E$11-1))+INDEX(BookOneOff,421)*$S426)</f>
        <v/>
      </c>
    </row>
    <row r="427" customFormat="false" ht="15" hidden="false" customHeight="false" outlineLevel="0" collapsed="false">
      <c r="A427" s="0" t="str">
        <f aca="false">IF(INDEX(BookTitle,422)="","",INDEX(BookKey,422))</f>
        <v/>
      </c>
      <c r="B427" s="0" t="str">
        <f aca="false">IF(INDEX(BookTitle,422)="","",INDEX(BookGroup,422))</f>
        <v/>
      </c>
      <c r="C427" s="0" t="str">
        <f aca="false">IF(INDEX(BookTitle,422)="","",INDEX(BookCategory,422))</f>
        <v/>
      </c>
      <c r="D427" s="56" t="str">
        <f aca="false">IF(INDEX(BookTitle,422)="","",INDEX(BookTotal,422)*'5. Scenarios'!$B$6/(1+ProductivityDefault*('5. Scenarios'!$B$11-1)))</f>
        <v/>
      </c>
      <c r="E427" s="57" t="str">
        <f aca="false">IF($D427="","",INDEX(BookRate,422)*(1+'5. Scenarios'!$B$10)*$D427)</f>
        <v/>
      </c>
      <c r="F427" s="57" t="str">
        <f aca="false">IF($E427="","",SUMIFS($E$6:$E$2405,$A$6:$A$2405,"&lt;="&amp;$A427))</f>
        <v/>
      </c>
      <c r="G427" s="57" t="str">
        <f aca="false">IF($E427="","",IF($F427&lt;=BankCostEnvelope*'5. Scenarios'!$B$7,1,0))</f>
        <v/>
      </c>
      <c r="H427" s="57" t="str">
        <f aca="false">IF($D427="","",INDEX(BookRate,422)*(1+'5. Scenarios'!$B$10)*(INDEX(BookQ1,422)*(5-MIN(4,1+'5. Scenarios'!$B$8))/4+INDEX(BookQ2,422)*(5-MIN(4,2+'5. Scenarios'!$B$8))/4+INDEX(BookQ3,422)*(5-MIN(4,3+'5. Scenarios'!$B$8))/4+INDEX(BookQ4,422)*(5-MIN(4,4+'5. Scenarios'!$B$8))/4)*'5. Scenarios'!$B$6/(1+ProductivityDefault*('5. Scenarios'!$B$11-1))+INDEX(BookOneOff,422)*$D427)</f>
        <v/>
      </c>
      <c r="I427" s="56" t="str">
        <f aca="false">IF(INDEX(BookTitle,422)="","",INDEX(BookTotal,422)*'5. Scenarios'!$C$6/(1+ProductivityDefault*('5. Scenarios'!$C$11-1)))</f>
        <v/>
      </c>
      <c r="J427" s="57" t="str">
        <f aca="false">IF($I427="","",INDEX(BookRate,422)*(1+'5. Scenarios'!$C$10)*$I427)</f>
        <v/>
      </c>
      <c r="K427" s="57" t="str">
        <f aca="false">IF($J427="","",SUMIFS($J$6:$J$2405,$A$6:$A$2405,"&lt;="&amp;$A427))</f>
        <v/>
      </c>
      <c r="L427" s="57" t="str">
        <f aca="false">IF($J427="","",IF($K427&lt;=BankCostEnvelope*'5. Scenarios'!$C$7,1,0))</f>
        <v/>
      </c>
      <c r="M427" s="57" t="str">
        <f aca="false">IF($I427="","",INDEX(BookRate,422)*(1+'5. Scenarios'!$C$10)*(INDEX(BookQ1,422)*(5-MIN(4,1+'5. Scenarios'!$C$8))/4+INDEX(BookQ2,422)*(5-MIN(4,2+'5. Scenarios'!$C$8))/4+INDEX(BookQ3,422)*(5-MIN(4,3+'5. Scenarios'!$C$8))/4+INDEX(BookQ4,422)*(5-MIN(4,4+'5. Scenarios'!$C$8))/4)*'5. Scenarios'!$C$6/(1+ProductivityDefault*('5. Scenarios'!$C$11-1))+INDEX(BookOneOff,422)*$I427)</f>
        <v/>
      </c>
      <c r="N427" s="56" t="str">
        <f aca="false">IF(INDEX(BookTitle,422)="","",INDEX(BookTotal,422)*'5. Scenarios'!$D$6/(1+ProductivityDefault*('5. Scenarios'!$D$11-1)))</f>
        <v/>
      </c>
      <c r="O427" s="57" t="str">
        <f aca="false">IF($N427="","",INDEX(BookRate,422)*(1+'5. Scenarios'!$D$10)*$N427)</f>
        <v/>
      </c>
      <c r="P427" s="57" t="str">
        <f aca="false">IF($O427="","",SUMIFS($O$6:$O$2405,$A$6:$A$2405,"&lt;="&amp;$A427))</f>
        <v/>
      </c>
      <c r="Q427" s="57" t="str">
        <f aca="false">IF($O427="","",IF($P427&lt;=BankCostEnvelope*'5. Scenarios'!$D$7,1,0))</f>
        <v/>
      </c>
      <c r="R427" s="57" t="str">
        <f aca="false">IF($N427="","",INDEX(BookRate,422)*(1+'5. Scenarios'!$D$10)*(INDEX(BookQ1,422)*(5-MIN(4,1+'5. Scenarios'!$D$8))/4+INDEX(BookQ2,422)*(5-MIN(4,2+'5. Scenarios'!$D$8))/4+INDEX(BookQ3,422)*(5-MIN(4,3+'5. Scenarios'!$D$8))/4+INDEX(BookQ4,422)*(5-MIN(4,4+'5. Scenarios'!$D$8))/4)*'5. Scenarios'!$D$6/(1+ProductivityDefault*('5. Scenarios'!$D$11-1))+INDEX(BookOneOff,422)*$N427)</f>
        <v/>
      </c>
      <c r="S427" s="56" t="str">
        <f aca="false">IF(INDEX(BookTitle,422)="","",INDEX(BookTotal,422)*'5. Scenarios'!$E$6/(1+ProductivityDefault*('5. Scenarios'!$E$11-1)))</f>
        <v/>
      </c>
      <c r="T427" s="57" t="str">
        <f aca="false">IF($S427="","",INDEX(BookRate,422)*(1+'5. Scenarios'!$E$10)*$S427)</f>
        <v/>
      </c>
      <c r="U427" s="57" t="str">
        <f aca="false">IF($T427="","",SUMIFS($T$6:$T$2405,$A$6:$A$2405,"&lt;="&amp;$A427))</f>
        <v/>
      </c>
      <c r="V427" s="57" t="str">
        <f aca="false">IF($T427="","",IF($U427&lt;=BankCostEnvelope*'5. Scenarios'!$E$7,1,0))</f>
        <v/>
      </c>
      <c r="W427" s="57" t="str">
        <f aca="false">IF($S427="","",INDEX(BookRate,422)*(1+'5. Scenarios'!$E$10)*(INDEX(BookQ1,422)*(5-MIN(4,1+'5. Scenarios'!$E$8))/4+INDEX(BookQ2,422)*(5-MIN(4,2+'5. Scenarios'!$E$8))/4+INDEX(BookQ3,422)*(5-MIN(4,3+'5. Scenarios'!$E$8))/4+INDEX(BookQ4,422)*(5-MIN(4,4+'5. Scenarios'!$E$8))/4)*'5. Scenarios'!$E$6/(1+ProductivityDefault*('5. Scenarios'!$E$11-1))+INDEX(BookOneOff,422)*$S427)</f>
        <v/>
      </c>
    </row>
    <row r="428" customFormat="false" ht="15" hidden="false" customHeight="false" outlineLevel="0" collapsed="false">
      <c r="A428" s="0" t="str">
        <f aca="false">IF(INDEX(BookTitle,423)="","",INDEX(BookKey,423))</f>
        <v/>
      </c>
      <c r="B428" s="0" t="str">
        <f aca="false">IF(INDEX(BookTitle,423)="","",INDEX(BookGroup,423))</f>
        <v/>
      </c>
      <c r="C428" s="0" t="str">
        <f aca="false">IF(INDEX(BookTitle,423)="","",INDEX(BookCategory,423))</f>
        <v/>
      </c>
      <c r="D428" s="56" t="str">
        <f aca="false">IF(INDEX(BookTitle,423)="","",INDEX(BookTotal,423)*'5. Scenarios'!$B$6/(1+ProductivityDefault*('5. Scenarios'!$B$11-1)))</f>
        <v/>
      </c>
      <c r="E428" s="57" t="str">
        <f aca="false">IF($D428="","",INDEX(BookRate,423)*(1+'5. Scenarios'!$B$10)*$D428)</f>
        <v/>
      </c>
      <c r="F428" s="57" t="str">
        <f aca="false">IF($E428="","",SUMIFS($E$6:$E$2405,$A$6:$A$2405,"&lt;="&amp;$A428))</f>
        <v/>
      </c>
      <c r="G428" s="57" t="str">
        <f aca="false">IF($E428="","",IF($F428&lt;=BankCostEnvelope*'5. Scenarios'!$B$7,1,0))</f>
        <v/>
      </c>
      <c r="H428" s="57" t="str">
        <f aca="false">IF($D428="","",INDEX(BookRate,423)*(1+'5. Scenarios'!$B$10)*(INDEX(BookQ1,423)*(5-MIN(4,1+'5. Scenarios'!$B$8))/4+INDEX(BookQ2,423)*(5-MIN(4,2+'5. Scenarios'!$B$8))/4+INDEX(BookQ3,423)*(5-MIN(4,3+'5. Scenarios'!$B$8))/4+INDEX(BookQ4,423)*(5-MIN(4,4+'5. Scenarios'!$B$8))/4)*'5. Scenarios'!$B$6/(1+ProductivityDefault*('5. Scenarios'!$B$11-1))+INDEX(BookOneOff,423)*$D428)</f>
        <v/>
      </c>
      <c r="I428" s="56" t="str">
        <f aca="false">IF(INDEX(BookTitle,423)="","",INDEX(BookTotal,423)*'5. Scenarios'!$C$6/(1+ProductivityDefault*('5. Scenarios'!$C$11-1)))</f>
        <v/>
      </c>
      <c r="J428" s="57" t="str">
        <f aca="false">IF($I428="","",INDEX(BookRate,423)*(1+'5. Scenarios'!$C$10)*$I428)</f>
        <v/>
      </c>
      <c r="K428" s="57" t="str">
        <f aca="false">IF($J428="","",SUMIFS($J$6:$J$2405,$A$6:$A$2405,"&lt;="&amp;$A428))</f>
        <v/>
      </c>
      <c r="L428" s="57" t="str">
        <f aca="false">IF($J428="","",IF($K428&lt;=BankCostEnvelope*'5. Scenarios'!$C$7,1,0))</f>
        <v/>
      </c>
      <c r="M428" s="57" t="str">
        <f aca="false">IF($I428="","",INDEX(BookRate,423)*(1+'5. Scenarios'!$C$10)*(INDEX(BookQ1,423)*(5-MIN(4,1+'5. Scenarios'!$C$8))/4+INDEX(BookQ2,423)*(5-MIN(4,2+'5. Scenarios'!$C$8))/4+INDEX(BookQ3,423)*(5-MIN(4,3+'5. Scenarios'!$C$8))/4+INDEX(BookQ4,423)*(5-MIN(4,4+'5. Scenarios'!$C$8))/4)*'5. Scenarios'!$C$6/(1+ProductivityDefault*('5. Scenarios'!$C$11-1))+INDEX(BookOneOff,423)*$I428)</f>
        <v/>
      </c>
      <c r="N428" s="56" t="str">
        <f aca="false">IF(INDEX(BookTitle,423)="","",INDEX(BookTotal,423)*'5. Scenarios'!$D$6/(1+ProductivityDefault*('5. Scenarios'!$D$11-1)))</f>
        <v/>
      </c>
      <c r="O428" s="57" t="str">
        <f aca="false">IF($N428="","",INDEX(BookRate,423)*(1+'5. Scenarios'!$D$10)*$N428)</f>
        <v/>
      </c>
      <c r="P428" s="57" t="str">
        <f aca="false">IF($O428="","",SUMIFS($O$6:$O$2405,$A$6:$A$2405,"&lt;="&amp;$A428))</f>
        <v/>
      </c>
      <c r="Q428" s="57" t="str">
        <f aca="false">IF($O428="","",IF($P428&lt;=BankCostEnvelope*'5. Scenarios'!$D$7,1,0))</f>
        <v/>
      </c>
      <c r="R428" s="57" t="str">
        <f aca="false">IF($N428="","",INDEX(BookRate,423)*(1+'5. Scenarios'!$D$10)*(INDEX(BookQ1,423)*(5-MIN(4,1+'5. Scenarios'!$D$8))/4+INDEX(BookQ2,423)*(5-MIN(4,2+'5. Scenarios'!$D$8))/4+INDEX(BookQ3,423)*(5-MIN(4,3+'5. Scenarios'!$D$8))/4+INDEX(BookQ4,423)*(5-MIN(4,4+'5. Scenarios'!$D$8))/4)*'5. Scenarios'!$D$6/(1+ProductivityDefault*('5. Scenarios'!$D$11-1))+INDEX(BookOneOff,423)*$N428)</f>
        <v/>
      </c>
      <c r="S428" s="56" t="str">
        <f aca="false">IF(INDEX(BookTitle,423)="","",INDEX(BookTotal,423)*'5. Scenarios'!$E$6/(1+ProductivityDefault*('5. Scenarios'!$E$11-1)))</f>
        <v/>
      </c>
      <c r="T428" s="57" t="str">
        <f aca="false">IF($S428="","",INDEX(BookRate,423)*(1+'5. Scenarios'!$E$10)*$S428)</f>
        <v/>
      </c>
      <c r="U428" s="57" t="str">
        <f aca="false">IF($T428="","",SUMIFS($T$6:$T$2405,$A$6:$A$2405,"&lt;="&amp;$A428))</f>
        <v/>
      </c>
      <c r="V428" s="57" t="str">
        <f aca="false">IF($T428="","",IF($U428&lt;=BankCostEnvelope*'5. Scenarios'!$E$7,1,0))</f>
        <v/>
      </c>
      <c r="W428" s="57" t="str">
        <f aca="false">IF($S428="","",INDEX(BookRate,423)*(1+'5. Scenarios'!$E$10)*(INDEX(BookQ1,423)*(5-MIN(4,1+'5. Scenarios'!$E$8))/4+INDEX(BookQ2,423)*(5-MIN(4,2+'5. Scenarios'!$E$8))/4+INDEX(BookQ3,423)*(5-MIN(4,3+'5. Scenarios'!$E$8))/4+INDEX(BookQ4,423)*(5-MIN(4,4+'5. Scenarios'!$E$8))/4)*'5. Scenarios'!$E$6/(1+ProductivityDefault*('5. Scenarios'!$E$11-1))+INDEX(BookOneOff,423)*$S428)</f>
        <v/>
      </c>
    </row>
    <row r="429" customFormat="false" ht="15" hidden="false" customHeight="false" outlineLevel="0" collapsed="false">
      <c r="A429" s="0" t="str">
        <f aca="false">IF(INDEX(BookTitle,424)="","",INDEX(BookKey,424))</f>
        <v/>
      </c>
      <c r="B429" s="0" t="str">
        <f aca="false">IF(INDEX(BookTitle,424)="","",INDEX(BookGroup,424))</f>
        <v/>
      </c>
      <c r="C429" s="0" t="str">
        <f aca="false">IF(INDEX(BookTitle,424)="","",INDEX(BookCategory,424))</f>
        <v/>
      </c>
      <c r="D429" s="56" t="str">
        <f aca="false">IF(INDEX(BookTitle,424)="","",INDEX(BookTotal,424)*'5. Scenarios'!$B$6/(1+ProductivityDefault*('5. Scenarios'!$B$11-1)))</f>
        <v/>
      </c>
      <c r="E429" s="57" t="str">
        <f aca="false">IF($D429="","",INDEX(BookRate,424)*(1+'5. Scenarios'!$B$10)*$D429)</f>
        <v/>
      </c>
      <c r="F429" s="57" t="str">
        <f aca="false">IF($E429="","",SUMIFS($E$6:$E$2405,$A$6:$A$2405,"&lt;="&amp;$A429))</f>
        <v/>
      </c>
      <c r="G429" s="57" t="str">
        <f aca="false">IF($E429="","",IF($F429&lt;=BankCostEnvelope*'5. Scenarios'!$B$7,1,0))</f>
        <v/>
      </c>
      <c r="H429" s="57" t="str">
        <f aca="false">IF($D429="","",INDEX(BookRate,424)*(1+'5. Scenarios'!$B$10)*(INDEX(BookQ1,424)*(5-MIN(4,1+'5. Scenarios'!$B$8))/4+INDEX(BookQ2,424)*(5-MIN(4,2+'5. Scenarios'!$B$8))/4+INDEX(BookQ3,424)*(5-MIN(4,3+'5. Scenarios'!$B$8))/4+INDEX(BookQ4,424)*(5-MIN(4,4+'5. Scenarios'!$B$8))/4)*'5. Scenarios'!$B$6/(1+ProductivityDefault*('5. Scenarios'!$B$11-1))+INDEX(BookOneOff,424)*$D429)</f>
        <v/>
      </c>
      <c r="I429" s="56" t="str">
        <f aca="false">IF(INDEX(BookTitle,424)="","",INDEX(BookTotal,424)*'5. Scenarios'!$C$6/(1+ProductivityDefault*('5. Scenarios'!$C$11-1)))</f>
        <v/>
      </c>
      <c r="J429" s="57" t="str">
        <f aca="false">IF($I429="","",INDEX(BookRate,424)*(1+'5. Scenarios'!$C$10)*$I429)</f>
        <v/>
      </c>
      <c r="K429" s="57" t="str">
        <f aca="false">IF($J429="","",SUMIFS($J$6:$J$2405,$A$6:$A$2405,"&lt;="&amp;$A429))</f>
        <v/>
      </c>
      <c r="L429" s="57" t="str">
        <f aca="false">IF($J429="","",IF($K429&lt;=BankCostEnvelope*'5. Scenarios'!$C$7,1,0))</f>
        <v/>
      </c>
      <c r="M429" s="57" t="str">
        <f aca="false">IF($I429="","",INDEX(BookRate,424)*(1+'5. Scenarios'!$C$10)*(INDEX(BookQ1,424)*(5-MIN(4,1+'5. Scenarios'!$C$8))/4+INDEX(BookQ2,424)*(5-MIN(4,2+'5. Scenarios'!$C$8))/4+INDEX(BookQ3,424)*(5-MIN(4,3+'5. Scenarios'!$C$8))/4+INDEX(BookQ4,424)*(5-MIN(4,4+'5. Scenarios'!$C$8))/4)*'5. Scenarios'!$C$6/(1+ProductivityDefault*('5. Scenarios'!$C$11-1))+INDEX(BookOneOff,424)*$I429)</f>
        <v/>
      </c>
      <c r="N429" s="56" t="str">
        <f aca="false">IF(INDEX(BookTitle,424)="","",INDEX(BookTotal,424)*'5. Scenarios'!$D$6/(1+ProductivityDefault*('5. Scenarios'!$D$11-1)))</f>
        <v/>
      </c>
      <c r="O429" s="57" t="str">
        <f aca="false">IF($N429="","",INDEX(BookRate,424)*(1+'5. Scenarios'!$D$10)*$N429)</f>
        <v/>
      </c>
      <c r="P429" s="57" t="str">
        <f aca="false">IF($O429="","",SUMIFS($O$6:$O$2405,$A$6:$A$2405,"&lt;="&amp;$A429))</f>
        <v/>
      </c>
      <c r="Q429" s="57" t="str">
        <f aca="false">IF($O429="","",IF($P429&lt;=BankCostEnvelope*'5. Scenarios'!$D$7,1,0))</f>
        <v/>
      </c>
      <c r="R429" s="57" t="str">
        <f aca="false">IF($N429="","",INDEX(BookRate,424)*(1+'5. Scenarios'!$D$10)*(INDEX(BookQ1,424)*(5-MIN(4,1+'5. Scenarios'!$D$8))/4+INDEX(BookQ2,424)*(5-MIN(4,2+'5. Scenarios'!$D$8))/4+INDEX(BookQ3,424)*(5-MIN(4,3+'5. Scenarios'!$D$8))/4+INDEX(BookQ4,424)*(5-MIN(4,4+'5. Scenarios'!$D$8))/4)*'5. Scenarios'!$D$6/(1+ProductivityDefault*('5. Scenarios'!$D$11-1))+INDEX(BookOneOff,424)*$N429)</f>
        <v/>
      </c>
      <c r="S429" s="56" t="str">
        <f aca="false">IF(INDEX(BookTitle,424)="","",INDEX(BookTotal,424)*'5. Scenarios'!$E$6/(1+ProductivityDefault*('5. Scenarios'!$E$11-1)))</f>
        <v/>
      </c>
      <c r="T429" s="57" t="str">
        <f aca="false">IF($S429="","",INDEX(BookRate,424)*(1+'5. Scenarios'!$E$10)*$S429)</f>
        <v/>
      </c>
      <c r="U429" s="57" t="str">
        <f aca="false">IF($T429="","",SUMIFS($T$6:$T$2405,$A$6:$A$2405,"&lt;="&amp;$A429))</f>
        <v/>
      </c>
      <c r="V429" s="57" t="str">
        <f aca="false">IF($T429="","",IF($U429&lt;=BankCostEnvelope*'5. Scenarios'!$E$7,1,0))</f>
        <v/>
      </c>
      <c r="W429" s="57" t="str">
        <f aca="false">IF($S429="","",INDEX(BookRate,424)*(1+'5. Scenarios'!$E$10)*(INDEX(BookQ1,424)*(5-MIN(4,1+'5. Scenarios'!$E$8))/4+INDEX(BookQ2,424)*(5-MIN(4,2+'5. Scenarios'!$E$8))/4+INDEX(BookQ3,424)*(5-MIN(4,3+'5. Scenarios'!$E$8))/4+INDEX(BookQ4,424)*(5-MIN(4,4+'5. Scenarios'!$E$8))/4)*'5. Scenarios'!$E$6/(1+ProductivityDefault*('5. Scenarios'!$E$11-1))+INDEX(BookOneOff,424)*$S429)</f>
        <v/>
      </c>
    </row>
    <row r="430" customFormat="false" ht="15" hidden="false" customHeight="false" outlineLevel="0" collapsed="false">
      <c r="A430" s="0" t="str">
        <f aca="false">IF(INDEX(BookTitle,425)="","",INDEX(BookKey,425))</f>
        <v/>
      </c>
      <c r="B430" s="0" t="str">
        <f aca="false">IF(INDEX(BookTitle,425)="","",INDEX(BookGroup,425))</f>
        <v/>
      </c>
      <c r="C430" s="0" t="str">
        <f aca="false">IF(INDEX(BookTitle,425)="","",INDEX(BookCategory,425))</f>
        <v/>
      </c>
      <c r="D430" s="56" t="str">
        <f aca="false">IF(INDEX(BookTitle,425)="","",INDEX(BookTotal,425)*'5. Scenarios'!$B$6/(1+ProductivityDefault*('5. Scenarios'!$B$11-1)))</f>
        <v/>
      </c>
      <c r="E430" s="57" t="str">
        <f aca="false">IF($D430="","",INDEX(BookRate,425)*(1+'5. Scenarios'!$B$10)*$D430)</f>
        <v/>
      </c>
      <c r="F430" s="57" t="str">
        <f aca="false">IF($E430="","",SUMIFS($E$6:$E$2405,$A$6:$A$2405,"&lt;="&amp;$A430))</f>
        <v/>
      </c>
      <c r="G430" s="57" t="str">
        <f aca="false">IF($E430="","",IF($F430&lt;=BankCostEnvelope*'5. Scenarios'!$B$7,1,0))</f>
        <v/>
      </c>
      <c r="H430" s="57" t="str">
        <f aca="false">IF($D430="","",INDEX(BookRate,425)*(1+'5. Scenarios'!$B$10)*(INDEX(BookQ1,425)*(5-MIN(4,1+'5. Scenarios'!$B$8))/4+INDEX(BookQ2,425)*(5-MIN(4,2+'5. Scenarios'!$B$8))/4+INDEX(BookQ3,425)*(5-MIN(4,3+'5. Scenarios'!$B$8))/4+INDEX(BookQ4,425)*(5-MIN(4,4+'5. Scenarios'!$B$8))/4)*'5. Scenarios'!$B$6/(1+ProductivityDefault*('5. Scenarios'!$B$11-1))+INDEX(BookOneOff,425)*$D430)</f>
        <v/>
      </c>
      <c r="I430" s="56" t="str">
        <f aca="false">IF(INDEX(BookTitle,425)="","",INDEX(BookTotal,425)*'5. Scenarios'!$C$6/(1+ProductivityDefault*('5. Scenarios'!$C$11-1)))</f>
        <v/>
      </c>
      <c r="J430" s="57" t="str">
        <f aca="false">IF($I430="","",INDEX(BookRate,425)*(1+'5. Scenarios'!$C$10)*$I430)</f>
        <v/>
      </c>
      <c r="K430" s="57" t="str">
        <f aca="false">IF($J430="","",SUMIFS($J$6:$J$2405,$A$6:$A$2405,"&lt;="&amp;$A430))</f>
        <v/>
      </c>
      <c r="L430" s="57" t="str">
        <f aca="false">IF($J430="","",IF($K430&lt;=BankCostEnvelope*'5. Scenarios'!$C$7,1,0))</f>
        <v/>
      </c>
      <c r="M430" s="57" t="str">
        <f aca="false">IF($I430="","",INDEX(BookRate,425)*(1+'5. Scenarios'!$C$10)*(INDEX(BookQ1,425)*(5-MIN(4,1+'5. Scenarios'!$C$8))/4+INDEX(BookQ2,425)*(5-MIN(4,2+'5. Scenarios'!$C$8))/4+INDEX(BookQ3,425)*(5-MIN(4,3+'5. Scenarios'!$C$8))/4+INDEX(BookQ4,425)*(5-MIN(4,4+'5. Scenarios'!$C$8))/4)*'5. Scenarios'!$C$6/(1+ProductivityDefault*('5. Scenarios'!$C$11-1))+INDEX(BookOneOff,425)*$I430)</f>
        <v/>
      </c>
      <c r="N430" s="56" t="str">
        <f aca="false">IF(INDEX(BookTitle,425)="","",INDEX(BookTotal,425)*'5. Scenarios'!$D$6/(1+ProductivityDefault*('5. Scenarios'!$D$11-1)))</f>
        <v/>
      </c>
      <c r="O430" s="57" t="str">
        <f aca="false">IF($N430="","",INDEX(BookRate,425)*(1+'5. Scenarios'!$D$10)*$N430)</f>
        <v/>
      </c>
      <c r="P430" s="57" t="str">
        <f aca="false">IF($O430="","",SUMIFS($O$6:$O$2405,$A$6:$A$2405,"&lt;="&amp;$A430))</f>
        <v/>
      </c>
      <c r="Q430" s="57" t="str">
        <f aca="false">IF($O430="","",IF($P430&lt;=BankCostEnvelope*'5. Scenarios'!$D$7,1,0))</f>
        <v/>
      </c>
      <c r="R430" s="57" t="str">
        <f aca="false">IF($N430="","",INDEX(BookRate,425)*(1+'5. Scenarios'!$D$10)*(INDEX(BookQ1,425)*(5-MIN(4,1+'5. Scenarios'!$D$8))/4+INDEX(BookQ2,425)*(5-MIN(4,2+'5. Scenarios'!$D$8))/4+INDEX(BookQ3,425)*(5-MIN(4,3+'5. Scenarios'!$D$8))/4+INDEX(BookQ4,425)*(5-MIN(4,4+'5. Scenarios'!$D$8))/4)*'5. Scenarios'!$D$6/(1+ProductivityDefault*('5. Scenarios'!$D$11-1))+INDEX(BookOneOff,425)*$N430)</f>
        <v/>
      </c>
      <c r="S430" s="56" t="str">
        <f aca="false">IF(INDEX(BookTitle,425)="","",INDEX(BookTotal,425)*'5. Scenarios'!$E$6/(1+ProductivityDefault*('5. Scenarios'!$E$11-1)))</f>
        <v/>
      </c>
      <c r="T430" s="57" t="str">
        <f aca="false">IF($S430="","",INDEX(BookRate,425)*(1+'5. Scenarios'!$E$10)*$S430)</f>
        <v/>
      </c>
      <c r="U430" s="57" t="str">
        <f aca="false">IF($T430="","",SUMIFS($T$6:$T$2405,$A$6:$A$2405,"&lt;="&amp;$A430))</f>
        <v/>
      </c>
      <c r="V430" s="57" t="str">
        <f aca="false">IF($T430="","",IF($U430&lt;=BankCostEnvelope*'5. Scenarios'!$E$7,1,0))</f>
        <v/>
      </c>
      <c r="W430" s="57" t="str">
        <f aca="false">IF($S430="","",INDEX(BookRate,425)*(1+'5. Scenarios'!$E$10)*(INDEX(BookQ1,425)*(5-MIN(4,1+'5. Scenarios'!$E$8))/4+INDEX(BookQ2,425)*(5-MIN(4,2+'5. Scenarios'!$E$8))/4+INDEX(BookQ3,425)*(5-MIN(4,3+'5. Scenarios'!$E$8))/4+INDEX(BookQ4,425)*(5-MIN(4,4+'5. Scenarios'!$E$8))/4)*'5. Scenarios'!$E$6/(1+ProductivityDefault*('5. Scenarios'!$E$11-1))+INDEX(BookOneOff,425)*$S430)</f>
        <v/>
      </c>
    </row>
    <row r="431" customFormat="false" ht="15" hidden="false" customHeight="false" outlineLevel="0" collapsed="false">
      <c r="A431" s="0" t="str">
        <f aca="false">IF(INDEX(BookTitle,426)="","",INDEX(BookKey,426))</f>
        <v/>
      </c>
      <c r="B431" s="0" t="str">
        <f aca="false">IF(INDEX(BookTitle,426)="","",INDEX(BookGroup,426))</f>
        <v/>
      </c>
      <c r="C431" s="0" t="str">
        <f aca="false">IF(INDEX(BookTitle,426)="","",INDEX(BookCategory,426))</f>
        <v/>
      </c>
      <c r="D431" s="56" t="str">
        <f aca="false">IF(INDEX(BookTitle,426)="","",INDEX(BookTotal,426)*'5. Scenarios'!$B$6/(1+ProductivityDefault*('5. Scenarios'!$B$11-1)))</f>
        <v/>
      </c>
      <c r="E431" s="57" t="str">
        <f aca="false">IF($D431="","",INDEX(BookRate,426)*(1+'5. Scenarios'!$B$10)*$D431)</f>
        <v/>
      </c>
      <c r="F431" s="57" t="str">
        <f aca="false">IF($E431="","",SUMIFS($E$6:$E$2405,$A$6:$A$2405,"&lt;="&amp;$A431))</f>
        <v/>
      </c>
      <c r="G431" s="57" t="str">
        <f aca="false">IF($E431="","",IF($F431&lt;=BankCostEnvelope*'5. Scenarios'!$B$7,1,0))</f>
        <v/>
      </c>
      <c r="H431" s="57" t="str">
        <f aca="false">IF($D431="","",INDEX(BookRate,426)*(1+'5. Scenarios'!$B$10)*(INDEX(BookQ1,426)*(5-MIN(4,1+'5. Scenarios'!$B$8))/4+INDEX(BookQ2,426)*(5-MIN(4,2+'5. Scenarios'!$B$8))/4+INDEX(BookQ3,426)*(5-MIN(4,3+'5. Scenarios'!$B$8))/4+INDEX(BookQ4,426)*(5-MIN(4,4+'5. Scenarios'!$B$8))/4)*'5. Scenarios'!$B$6/(1+ProductivityDefault*('5. Scenarios'!$B$11-1))+INDEX(BookOneOff,426)*$D431)</f>
        <v/>
      </c>
      <c r="I431" s="56" t="str">
        <f aca="false">IF(INDEX(BookTitle,426)="","",INDEX(BookTotal,426)*'5. Scenarios'!$C$6/(1+ProductivityDefault*('5. Scenarios'!$C$11-1)))</f>
        <v/>
      </c>
      <c r="J431" s="57" t="str">
        <f aca="false">IF($I431="","",INDEX(BookRate,426)*(1+'5. Scenarios'!$C$10)*$I431)</f>
        <v/>
      </c>
      <c r="K431" s="57" t="str">
        <f aca="false">IF($J431="","",SUMIFS($J$6:$J$2405,$A$6:$A$2405,"&lt;="&amp;$A431))</f>
        <v/>
      </c>
      <c r="L431" s="57" t="str">
        <f aca="false">IF($J431="","",IF($K431&lt;=BankCostEnvelope*'5. Scenarios'!$C$7,1,0))</f>
        <v/>
      </c>
      <c r="M431" s="57" t="str">
        <f aca="false">IF($I431="","",INDEX(BookRate,426)*(1+'5. Scenarios'!$C$10)*(INDEX(BookQ1,426)*(5-MIN(4,1+'5. Scenarios'!$C$8))/4+INDEX(BookQ2,426)*(5-MIN(4,2+'5. Scenarios'!$C$8))/4+INDEX(BookQ3,426)*(5-MIN(4,3+'5. Scenarios'!$C$8))/4+INDEX(BookQ4,426)*(5-MIN(4,4+'5. Scenarios'!$C$8))/4)*'5. Scenarios'!$C$6/(1+ProductivityDefault*('5. Scenarios'!$C$11-1))+INDEX(BookOneOff,426)*$I431)</f>
        <v/>
      </c>
      <c r="N431" s="56" t="str">
        <f aca="false">IF(INDEX(BookTitle,426)="","",INDEX(BookTotal,426)*'5. Scenarios'!$D$6/(1+ProductivityDefault*('5. Scenarios'!$D$11-1)))</f>
        <v/>
      </c>
      <c r="O431" s="57" t="str">
        <f aca="false">IF($N431="","",INDEX(BookRate,426)*(1+'5. Scenarios'!$D$10)*$N431)</f>
        <v/>
      </c>
      <c r="P431" s="57" t="str">
        <f aca="false">IF($O431="","",SUMIFS($O$6:$O$2405,$A$6:$A$2405,"&lt;="&amp;$A431))</f>
        <v/>
      </c>
      <c r="Q431" s="57" t="str">
        <f aca="false">IF($O431="","",IF($P431&lt;=BankCostEnvelope*'5. Scenarios'!$D$7,1,0))</f>
        <v/>
      </c>
      <c r="R431" s="57" t="str">
        <f aca="false">IF($N431="","",INDEX(BookRate,426)*(1+'5. Scenarios'!$D$10)*(INDEX(BookQ1,426)*(5-MIN(4,1+'5. Scenarios'!$D$8))/4+INDEX(BookQ2,426)*(5-MIN(4,2+'5. Scenarios'!$D$8))/4+INDEX(BookQ3,426)*(5-MIN(4,3+'5. Scenarios'!$D$8))/4+INDEX(BookQ4,426)*(5-MIN(4,4+'5. Scenarios'!$D$8))/4)*'5. Scenarios'!$D$6/(1+ProductivityDefault*('5. Scenarios'!$D$11-1))+INDEX(BookOneOff,426)*$N431)</f>
        <v/>
      </c>
      <c r="S431" s="56" t="str">
        <f aca="false">IF(INDEX(BookTitle,426)="","",INDEX(BookTotal,426)*'5. Scenarios'!$E$6/(1+ProductivityDefault*('5. Scenarios'!$E$11-1)))</f>
        <v/>
      </c>
      <c r="T431" s="57" t="str">
        <f aca="false">IF($S431="","",INDEX(BookRate,426)*(1+'5. Scenarios'!$E$10)*$S431)</f>
        <v/>
      </c>
      <c r="U431" s="57" t="str">
        <f aca="false">IF($T431="","",SUMIFS($T$6:$T$2405,$A$6:$A$2405,"&lt;="&amp;$A431))</f>
        <v/>
      </c>
      <c r="V431" s="57" t="str">
        <f aca="false">IF($T431="","",IF($U431&lt;=BankCostEnvelope*'5. Scenarios'!$E$7,1,0))</f>
        <v/>
      </c>
      <c r="W431" s="57" t="str">
        <f aca="false">IF($S431="","",INDEX(BookRate,426)*(1+'5. Scenarios'!$E$10)*(INDEX(BookQ1,426)*(5-MIN(4,1+'5. Scenarios'!$E$8))/4+INDEX(BookQ2,426)*(5-MIN(4,2+'5. Scenarios'!$E$8))/4+INDEX(BookQ3,426)*(5-MIN(4,3+'5. Scenarios'!$E$8))/4+INDEX(BookQ4,426)*(5-MIN(4,4+'5. Scenarios'!$E$8))/4)*'5. Scenarios'!$E$6/(1+ProductivityDefault*('5. Scenarios'!$E$11-1))+INDEX(BookOneOff,426)*$S431)</f>
        <v/>
      </c>
    </row>
    <row r="432" customFormat="false" ht="15" hidden="false" customHeight="false" outlineLevel="0" collapsed="false">
      <c r="A432" s="0" t="str">
        <f aca="false">IF(INDEX(BookTitle,427)="","",INDEX(BookKey,427))</f>
        <v/>
      </c>
      <c r="B432" s="0" t="str">
        <f aca="false">IF(INDEX(BookTitle,427)="","",INDEX(BookGroup,427))</f>
        <v/>
      </c>
      <c r="C432" s="0" t="str">
        <f aca="false">IF(INDEX(BookTitle,427)="","",INDEX(BookCategory,427))</f>
        <v/>
      </c>
      <c r="D432" s="56" t="str">
        <f aca="false">IF(INDEX(BookTitle,427)="","",INDEX(BookTotal,427)*'5. Scenarios'!$B$6/(1+ProductivityDefault*('5. Scenarios'!$B$11-1)))</f>
        <v/>
      </c>
      <c r="E432" s="57" t="str">
        <f aca="false">IF($D432="","",INDEX(BookRate,427)*(1+'5. Scenarios'!$B$10)*$D432)</f>
        <v/>
      </c>
      <c r="F432" s="57" t="str">
        <f aca="false">IF($E432="","",SUMIFS($E$6:$E$2405,$A$6:$A$2405,"&lt;="&amp;$A432))</f>
        <v/>
      </c>
      <c r="G432" s="57" t="str">
        <f aca="false">IF($E432="","",IF($F432&lt;=BankCostEnvelope*'5. Scenarios'!$B$7,1,0))</f>
        <v/>
      </c>
      <c r="H432" s="57" t="str">
        <f aca="false">IF($D432="","",INDEX(BookRate,427)*(1+'5. Scenarios'!$B$10)*(INDEX(BookQ1,427)*(5-MIN(4,1+'5. Scenarios'!$B$8))/4+INDEX(BookQ2,427)*(5-MIN(4,2+'5. Scenarios'!$B$8))/4+INDEX(BookQ3,427)*(5-MIN(4,3+'5. Scenarios'!$B$8))/4+INDEX(BookQ4,427)*(5-MIN(4,4+'5. Scenarios'!$B$8))/4)*'5. Scenarios'!$B$6/(1+ProductivityDefault*('5. Scenarios'!$B$11-1))+INDEX(BookOneOff,427)*$D432)</f>
        <v/>
      </c>
      <c r="I432" s="56" t="str">
        <f aca="false">IF(INDEX(BookTitle,427)="","",INDEX(BookTotal,427)*'5. Scenarios'!$C$6/(1+ProductivityDefault*('5. Scenarios'!$C$11-1)))</f>
        <v/>
      </c>
      <c r="J432" s="57" t="str">
        <f aca="false">IF($I432="","",INDEX(BookRate,427)*(1+'5. Scenarios'!$C$10)*$I432)</f>
        <v/>
      </c>
      <c r="K432" s="57" t="str">
        <f aca="false">IF($J432="","",SUMIFS($J$6:$J$2405,$A$6:$A$2405,"&lt;="&amp;$A432))</f>
        <v/>
      </c>
      <c r="L432" s="57" t="str">
        <f aca="false">IF($J432="","",IF($K432&lt;=BankCostEnvelope*'5. Scenarios'!$C$7,1,0))</f>
        <v/>
      </c>
      <c r="M432" s="57" t="str">
        <f aca="false">IF($I432="","",INDEX(BookRate,427)*(1+'5. Scenarios'!$C$10)*(INDEX(BookQ1,427)*(5-MIN(4,1+'5. Scenarios'!$C$8))/4+INDEX(BookQ2,427)*(5-MIN(4,2+'5. Scenarios'!$C$8))/4+INDEX(BookQ3,427)*(5-MIN(4,3+'5. Scenarios'!$C$8))/4+INDEX(BookQ4,427)*(5-MIN(4,4+'5. Scenarios'!$C$8))/4)*'5. Scenarios'!$C$6/(1+ProductivityDefault*('5. Scenarios'!$C$11-1))+INDEX(BookOneOff,427)*$I432)</f>
        <v/>
      </c>
      <c r="N432" s="56" t="str">
        <f aca="false">IF(INDEX(BookTitle,427)="","",INDEX(BookTotal,427)*'5. Scenarios'!$D$6/(1+ProductivityDefault*('5. Scenarios'!$D$11-1)))</f>
        <v/>
      </c>
      <c r="O432" s="57" t="str">
        <f aca="false">IF($N432="","",INDEX(BookRate,427)*(1+'5. Scenarios'!$D$10)*$N432)</f>
        <v/>
      </c>
      <c r="P432" s="57" t="str">
        <f aca="false">IF($O432="","",SUMIFS($O$6:$O$2405,$A$6:$A$2405,"&lt;="&amp;$A432))</f>
        <v/>
      </c>
      <c r="Q432" s="57" t="str">
        <f aca="false">IF($O432="","",IF($P432&lt;=BankCostEnvelope*'5. Scenarios'!$D$7,1,0))</f>
        <v/>
      </c>
      <c r="R432" s="57" t="str">
        <f aca="false">IF($N432="","",INDEX(BookRate,427)*(1+'5. Scenarios'!$D$10)*(INDEX(BookQ1,427)*(5-MIN(4,1+'5. Scenarios'!$D$8))/4+INDEX(BookQ2,427)*(5-MIN(4,2+'5. Scenarios'!$D$8))/4+INDEX(BookQ3,427)*(5-MIN(4,3+'5. Scenarios'!$D$8))/4+INDEX(BookQ4,427)*(5-MIN(4,4+'5. Scenarios'!$D$8))/4)*'5. Scenarios'!$D$6/(1+ProductivityDefault*('5. Scenarios'!$D$11-1))+INDEX(BookOneOff,427)*$N432)</f>
        <v/>
      </c>
      <c r="S432" s="56" t="str">
        <f aca="false">IF(INDEX(BookTitle,427)="","",INDEX(BookTotal,427)*'5. Scenarios'!$E$6/(1+ProductivityDefault*('5. Scenarios'!$E$11-1)))</f>
        <v/>
      </c>
      <c r="T432" s="57" t="str">
        <f aca="false">IF($S432="","",INDEX(BookRate,427)*(1+'5. Scenarios'!$E$10)*$S432)</f>
        <v/>
      </c>
      <c r="U432" s="57" t="str">
        <f aca="false">IF($T432="","",SUMIFS($T$6:$T$2405,$A$6:$A$2405,"&lt;="&amp;$A432))</f>
        <v/>
      </c>
      <c r="V432" s="57" t="str">
        <f aca="false">IF($T432="","",IF($U432&lt;=BankCostEnvelope*'5. Scenarios'!$E$7,1,0))</f>
        <v/>
      </c>
      <c r="W432" s="57" t="str">
        <f aca="false">IF($S432="","",INDEX(BookRate,427)*(1+'5. Scenarios'!$E$10)*(INDEX(BookQ1,427)*(5-MIN(4,1+'5. Scenarios'!$E$8))/4+INDEX(BookQ2,427)*(5-MIN(4,2+'5. Scenarios'!$E$8))/4+INDEX(BookQ3,427)*(5-MIN(4,3+'5. Scenarios'!$E$8))/4+INDEX(BookQ4,427)*(5-MIN(4,4+'5. Scenarios'!$E$8))/4)*'5. Scenarios'!$E$6/(1+ProductivityDefault*('5. Scenarios'!$E$11-1))+INDEX(BookOneOff,427)*$S432)</f>
        <v/>
      </c>
    </row>
    <row r="433" customFormat="false" ht="15" hidden="false" customHeight="false" outlineLevel="0" collapsed="false">
      <c r="A433" s="0" t="str">
        <f aca="false">IF(INDEX(BookTitle,428)="","",INDEX(BookKey,428))</f>
        <v/>
      </c>
      <c r="B433" s="0" t="str">
        <f aca="false">IF(INDEX(BookTitle,428)="","",INDEX(BookGroup,428))</f>
        <v/>
      </c>
      <c r="C433" s="0" t="str">
        <f aca="false">IF(INDEX(BookTitle,428)="","",INDEX(BookCategory,428))</f>
        <v/>
      </c>
      <c r="D433" s="56" t="str">
        <f aca="false">IF(INDEX(BookTitle,428)="","",INDEX(BookTotal,428)*'5. Scenarios'!$B$6/(1+ProductivityDefault*('5. Scenarios'!$B$11-1)))</f>
        <v/>
      </c>
      <c r="E433" s="57" t="str">
        <f aca="false">IF($D433="","",INDEX(BookRate,428)*(1+'5. Scenarios'!$B$10)*$D433)</f>
        <v/>
      </c>
      <c r="F433" s="57" t="str">
        <f aca="false">IF($E433="","",SUMIFS($E$6:$E$2405,$A$6:$A$2405,"&lt;="&amp;$A433))</f>
        <v/>
      </c>
      <c r="G433" s="57" t="str">
        <f aca="false">IF($E433="","",IF($F433&lt;=BankCostEnvelope*'5. Scenarios'!$B$7,1,0))</f>
        <v/>
      </c>
      <c r="H433" s="57" t="str">
        <f aca="false">IF($D433="","",INDEX(BookRate,428)*(1+'5. Scenarios'!$B$10)*(INDEX(BookQ1,428)*(5-MIN(4,1+'5. Scenarios'!$B$8))/4+INDEX(BookQ2,428)*(5-MIN(4,2+'5. Scenarios'!$B$8))/4+INDEX(BookQ3,428)*(5-MIN(4,3+'5. Scenarios'!$B$8))/4+INDEX(BookQ4,428)*(5-MIN(4,4+'5. Scenarios'!$B$8))/4)*'5. Scenarios'!$B$6/(1+ProductivityDefault*('5. Scenarios'!$B$11-1))+INDEX(BookOneOff,428)*$D433)</f>
        <v/>
      </c>
      <c r="I433" s="56" t="str">
        <f aca="false">IF(INDEX(BookTitle,428)="","",INDEX(BookTotal,428)*'5. Scenarios'!$C$6/(1+ProductivityDefault*('5. Scenarios'!$C$11-1)))</f>
        <v/>
      </c>
      <c r="J433" s="57" t="str">
        <f aca="false">IF($I433="","",INDEX(BookRate,428)*(1+'5. Scenarios'!$C$10)*$I433)</f>
        <v/>
      </c>
      <c r="K433" s="57" t="str">
        <f aca="false">IF($J433="","",SUMIFS($J$6:$J$2405,$A$6:$A$2405,"&lt;="&amp;$A433))</f>
        <v/>
      </c>
      <c r="L433" s="57" t="str">
        <f aca="false">IF($J433="","",IF($K433&lt;=BankCostEnvelope*'5. Scenarios'!$C$7,1,0))</f>
        <v/>
      </c>
      <c r="M433" s="57" t="str">
        <f aca="false">IF($I433="","",INDEX(BookRate,428)*(1+'5. Scenarios'!$C$10)*(INDEX(BookQ1,428)*(5-MIN(4,1+'5. Scenarios'!$C$8))/4+INDEX(BookQ2,428)*(5-MIN(4,2+'5. Scenarios'!$C$8))/4+INDEX(BookQ3,428)*(5-MIN(4,3+'5. Scenarios'!$C$8))/4+INDEX(BookQ4,428)*(5-MIN(4,4+'5. Scenarios'!$C$8))/4)*'5. Scenarios'!$C$6/(1+ProductivityDefault*('5. Scenarios'!$C$11-1))+INDEX(BookOneOff,428)*$I433)</f>
        <v/>
      </c>
      <c r="N433" s="56" t="str">
        <f aca="false">IF(INDEX(BookTitle,428)="","",INDEX(BookTotal,428)*'5. Scenarios'!$D$6/(1+ProductivityDefault*('5. Scenarios'!$D$11-1)))</f>
        <v/>
      </c>
      <c r="O433" s="57" t="str">
        <f aca="false">IF($N433="","",INDEX(BookRate,428)*(1+'5. Scenarios'!$D$10)*$N433)</f>
        <v/>
      </c>
      <c r="P433" s="57" t="str">
        <f aca="false">IF($O433="","",SUMIFS($O$6:$O$2405,$A$6:$A$2405,"&lt;="&amp;$A433))</f>
        <v/>
      </c>
      <c r="Q433" s="57" t="str">
        <f aca="false">IF($O433="","",IF($P433&lt;=BankCostEnvelope*'5. Scenarios'!$D$7,1,0))</f>
        <v/>
      </c>
      <c r="R433" s="57" t="str">
        <f aca="false">IF($N433="","",INDEX(BookRate,428)*(1+'5. Scenarios'!$D$10)*(INDEX(BookQ1,428)*(5-MIN(4,1+'5. Scenarios'!$D$8))/4+INDEX(BookQ2,428)*(5-MIN(4,2+'5. Scenarios'!$D$8))/4+INDEX(BookQ3,428)*(5-MIN(4,3+'5. Scenarios'!$D$8))/4+INDEX(BookQ4,428)*(5-MIN(4,4+'5. Scenarios'!$D$8))/4)*'5. Scenarios'!$D$6/(1+ProductivityDefault*('5. Scenarios'!$D$11-1))+INDEX(BookOneOff,428)*$N433)</f>
        <v/>
      </c>
      <c r="S433" s="56" t="str">
        <f aca="false">IF(INDEX(BookTitle,428)="","",INDEX(BookTotal,428)*'5. Scenarios'!$E$6/(1+ProductivityDefault*('5. Scenarios'!$E$11-1)))</f>
        <v/>
      </c>
      <c r="T433" s="57" t="str">
        <f aca="false">IF($S433="","",INDEX(BookRate,428)*(1+'5. Scenarios'!$E$10)*$S433)</f>
        <v/>
      </c>
      <c r="U433" s="57" t="str">
        <f aca="false">IF($T433="","",SUMIFS($T$6:$T$2405,$A$6:$A$2405,"&lt;="&amp;$A433))</f>
        <v/>
      </c>
      <c r="V433" s="57" t="str">
        <f aca="false">IF($T433="","",IF($U433&lt;=BankCostEnvelope*'5. Scenarios'!$E$7,1,0))</f>
        <v/>
      </c>
      <c r="W433" s="57" t="str">
        <f aca="false">IF($S433="","",INDEX(BookRate,428)*(1+'5. Scenarios'!$E$10)*(INDEX(BookQ1,428)*(5-MIN(4,1+'5. Scenarios'!$E$8))/4+INDEX(BookQ2,428)*(5-MIN(4,2+'5. Scenarios'!$E$8))/4+INDEX(BookQ3,428)*(5-MIN(4,3+'5. Scenarios'!$E$8))/4+INDEX(BookQ4,428)*(5-MIN(4,4+'5. Scenarios'!$E$8))/4)*'5. Scenarios'!$E$6/(1+ProductivityDefault*('5. Scenarios'!$E$11-1))+INDEX(BookOneOff,428)*$S433)</f>
        <v/>
      </c>
    </row>
    <row r="434" customFormat="false" ht="15" hidden="false" customHeight="false" outlineLevel="0" collapsed="false">
      <c r="A434" s="0" t="str">
        <f aca="false">IF(INDEX(BookTitle,429)="","",INDEX(BookKey,429))</f>
        <v/>
      </c>
      <c r="B434" s="0" t="str">
        <f aca="false">IF(INDEX(BookTitle,429)="","",INDEX(BookGroup,429))</f>
        <v/>
      </c>
      <c r="C434" s="0" t="str">
        <f aca="false">IF(INDEX(BookTitle,429)="","",INDEX(BookCategory,429))</f>
        <v/>
      </c>
      <c r="D434" s="56" t="str">
        <f aca="false">IF(INDEX(BookTitle,429)="","",INDEX(BookTotal,429)*'5. Scenarios'!$B$6/(1+ProductivityDefault*('5. Scenarios'!$B$11-1)))</f>
        <v/>
      </c>
      <c r="E434" s="57" t="str">
        <f aca="false">IF($D434="","",INDEX(BookRate,429)*(1+'5. Scenarios'!$B$10)*$D434)</f>
        <v/>
      </c>
      <c r="F434" s="57" t="str">
        <f aca="false">IF($E434="","",SUMIFS($E$6:$E$2405,$A$6:$A$2405,"&lt;="&amp;$A434))</f>
        <v/>
      </c>
      <c r="G434" s="57" t="str">
        <f aca="false">IF($E434="","",IF($F434&lt;=BankCostEnvelope*'5. Scenarios'!$B$7,1,0))</f>
        <v/>
      </c>
      <c r="H434" s="57" t="str">
        <f aca="false">IF($D434="","",INDEX(BookRate,429)*(1+'5. Scenarios'!$B$10)*(INDEX(BookQ1,429)*(5-MIN(4,1+'5. Scenarios'!$B$8))/4+INDEX(BookQ2,429)*(5-MIN(4,2+'5. Scenarios'!$B$8))/4+INDEX(BookQ3,429)*(5-MIN(4,3+'5. Scenarios'!$B$8))/4+INDEX(BookQ4,429)*(5-MIN(4,4+'5. Scenarios'!$B$8))/4)*'5. Scenarios'!$B$6/(1+ProductivityDefault*('5. Scenarios'!$B$11-1))+INDEX(BookOneOff,429)*$D434)</f>
        <v/>
      </c>
      <c r="I434" s="56" t="str">
        <f aca="false">IF(INDEX(BookTitle,429)="","",INDEX(BookTotal,429)*'5. Scenarios'!$C$6/(1+ProductivityDefault*('5. Scenarios'!$C$11-1)))</f>
        <v/>
      </c>
      <c r="J434" s="57" t="str">
        <f aca="false">IF($I434="","",INDEX(BookRate,429)*(1+'5. Scenarios'!$C$10)*$I434)</f>
        <v/>
      </c>
      <c r="K434" s="57" t="str">
        <f aca="false">IF($J434="","",SUMIFS($J$6:$J$2405,$A$6:$A$2405,"&lt;="&amp;$A434))</f>
        <v/>
      </c>
      <c r="L434" s="57" t="str">
        <f aca="false">IF($J434="","",IF($K434&lt;=BankCostEnvelope*'5. Scenarios'!$C$7,1,0))</f>
        <v/>
      </c>
      <c r="M434" s="57" t="str">
        <f aca="false">IF($I434="","",INDEX(BookRate,429)*(1+'5. Scenarios'!$C$10)*(INDEX(BookQ1,429)*(5-MIN(4,1+'5. Scenarios'!$C$8))/4+INDEX(BookQ2,429)*(5-MIN(4,2+'5. Scenarios'!$C$8))/4+INDEX(BookQ3,429)*(5-MIN(4,3+'5. Scenarios'!$C$8))/4+INDEX(BookQ4,429)*(5-MIN(4,4+'5. Scenarios'!$C$8))/4)*'5. Scenarios'!$C$6/(1+ProductivityDefault*('5. Scenarios'!$C$11-1))+INDEX(BookOneOff,429)*$I434)</f>
        <v/>
      </c>
      <c r="N434" s="56" t="str">
        <f aca="false">IF(INDEX(BookTitle,429)="","",INDEX(BookTotal,429)*'5. Scenarios'!$D$6/(1+ProductivityDefault*('5. Scenarios'!$D$11-1)))</f>
        <v/>
      </c>
      <c r="O434" s="57" t="str">
        <f aca="false">IF($N434="","",INDEX(BookRate,429)*(1+'5. Scenarios'!$D$10)*$N434)</f>
        <v/>
      </c>
      <c r="P434" s="57" t="str">
        <f aca="false">IF($O434="","",SUMIFS($O$6:$O$2405,$A$6:$A$2405,"&lt;="&amp;$A434))</f>
        <v/>
      </c>
      <c r="Q434" s="57" t="str">
        <f aca="false">IF($O434="","",IF($P434&lt;=BankCostEnvelope*'5. Scenarios'!$D$7,1,0))</f>
        <v/>
      </c>
      <c r="R434" s="57" t="str">
        <f aca="false">IF($N434="","",INDEX(BookRate,429)*(1+'5. Scenarios'!$D$10)*(INDEX(BookQ1,429)*(5-MIN(4,1+'5. Scenarios'!$D$8))/4+INDEX(BookQ2,429)*(5-MIN(4,2+'5. Scenarios'!$D$8))/4+INDEX(BookQ3,429)*(5-MIN(4,3+'5. Scenarios'!$D$8))/4+INDEX(BookQ4,429)*(5-MIN(4,4+'5. Scenarios'!$D$8))/4)*'5. Scenarios'!$D$6/(1+ProductivityDefault*('5. Scenarios'!$D$11-1))+INDEX(BookOneOff,429)*$N434)</f>
        <v/>
      </c>
      <c r="S434" s="56" t="str">
        <f aca="false">IF(INDEX(BookTitle,429)="","",INDEX(BookTotal,429)*'5. Scenarios'!$E$6/(1+ProductivityDefault*('5. Scenarios'!$E$11-1)))</f>
        <v/>
      </c>
      <c r="T434" s="57" t="str">
        <f aca="false">IF($S434="","",INDEX(BookRate,429)*(1+'5. Scenarios'!$E$10)*$S434)</f>
        <v/>
      </c>
      <c r="U434" s="57" t="str">
        <f aca="false">IF($T434="","",SUMIFS($T$6:$T$2405,$A$6:$A$2405,"&lt;="&amp;$A434))</f>
        <v/>
      </c>
      <c r="V434" s="57" t="str">
        <f aca="false">IF($T434="","",IF($U434&lt;=BankCostEnvelope*'5. Scenarios'!$E$7,1,0))</f>
        <v/>
      </c>
      <c r="W434" s="57" t="str">
        <f aca="false">IF($S434="","",INDEX(BookRate,429)*(1+'5. Scenarios'!$E$10)*(INDEX(BookQ1,429)*(5-MIN(4,1+'5. Scenarios'!$E$8))/4+INDEX(BookQ2,429)*(5-MIN(4,2+'5. Scenarios'!$E$8))/4+INDEX(BookQ3,429)*(5-MIN(4,3+'5. Scenarios'!$E$8))/4+INDEX(BookQ4,429)*(5-MIN(4,4+'5. Scenarios'!$E$8))/4)*'5. Scenarios'!$E$6/(1+ProductivityDefault*('5. Scenarios'!$E$11-1))+INDEX(BookOneOff,429)*$S434)</f>
        <v/>
      </c>
    </row>
    <row r="435" customFormat="false" ht="15" hidden="false" customHeight="false" outlineLevel="0" collapsed="false">
      <c r="A435" s="0" t="str">
        <f aca="false">IF(INDEX(BookTitle,430)="","",INDEX(BookKey,430))</f>
        <v/>
      </c>
      <c r="B435" s="0" t="str">
        <f aca="false">IF(INDEX(BookTitle,430)="","",INDEX(BookGroup,430))</f>
        <v/>
      </c>
      <c r="C435" s="0" t="str">
        <f aca="false">IF(INDEX(BookTitle,430)="","",INDEX(BookCategory,430))</f>
        <v/>
      </c>
      <c r="D435" s="56" t="str">
        <f aca="false">IF(INDEX(BookTitle,430)="","",INDEX(BookTotal,430)*'5. Scenarios'!$B$6/(1+ProductivityDefault*('5. Scenarios'!$B$11-1)))</f>
        <v/>
      </c>
      <c r="E435" s="57" t="str">
        <f aca="false">IF($D435="","",INDEX(BookRate,430)*(1+'5. Scenarios'!$B$10)*$D435)</f>
        <v/>
      </c>
      <c r="F435" s="57" t="str">
        <f aca="false">IF($E435="","",SUMIFS($E$6:$E$2405,$A$6:$A$2405,"&lt;="&amp;$A435))</f>
        <v/>
      </c>
      <c r="G435" s="57" t="str">
        <f aca="false">IF($E435="","",IF($F435&lt;=BankCostEnvelope*'5. Scenarios'!$B$7,1,0))</f>
        <v/>
      </c>
      <c r="H435" s="57" t="str">
        <f aca="false">IF($D435="","",INDEX(BookRate,430)*(1+'5. Scenarios'!$B$10)*(INDEX(BookQ1,430)*(5-MIN(4,1+'5. Scenarios'!$B$8))/4+INDEX(BookQ2,430)*(5-MIN(4,2+'5. Scenarios'!$B$8))/4+INDEX(BookQ3,430)*(5-MIN(4,3+'5. Scenarios'!$B$8))/4+INDEX(BookQ4,430)*(5-MIN(4,4+'5. Scenarios'!$B$8))/4)*'5. Scenarios'!$B$6/(1+ProductivityDefault*('5. Scenarios'!$B$11-1))+INDEX(BookOneOff,430)*$D435)</f>
        <v/>
      </c>
      <c r="I435" s="56" t="str">
        <f aca="false">IF(INDEX(BookTitle,430)="","",INDEX(BookTotal,430)*'5. Scenarios'!$C$6/(1+ProductivityDefault*('5. Scenarios'!$C$11-1)))</f>
        <v/>
      </c>
      <c r="J435" s="57" t="str">
        <f aca="false">IF($I435="","",INDEX(BookRate,430)*(1+'5. Scenarios'!$C$10)*$I435)</f>
        <v/>
      </c>
      <c r="K435" s="57" t="str">
        <f aca="false">IF($J435="","",SUMIFS($J$6:$J$2405,$A$6:$A$2405,"&lt;="&amp;$A435))</f>
        <v/>
      </c>
      <c r="L435" s="57" t="str">
        <f aca="false">IF($J435="","",IF($K435&lt;=BankCostEnvelope*'5. Scenarios'!$C$7,1,0))</f>
        <v/>
      </c>
      <c r="M435" s="57" t="str">
        <f aca="false">IF($I435="","",INDEX(BookRate,430)*(1+'5. Scenarios'!$C$10)*(INDEX(BookQ1,430)*(5-MIN(4,1+'5. Scenarios'!$C$8))/4+INDEX(BookQ2,430)*(5-MIN(4,2+'5. Scenarios'!$C$8))/4+INDEX(BookQ3,430)*(5-MIN(4,3+'5. Scenarios'!$C$8))/4+INDEX(BookQ4,430)*(5-MIN(4,4+'5. Scenarios'!$C$8))/4)*'5. Scenarios'!$C$6/(1+ProductivityDefault*('5. Scenarios'!$C$11-1))+INDEX(BookOneOff,430)*$I435)</f>
        <v/>
      </c>
      <c r="N435" s="56" t="str">
        <f aca="false">IF(INDEX(BookTitle,430)="","",INDEX(BookTotal,430)*'5. Scenarios'!$D$6/(1+ProductivityDefault*('5. Scenarios'!$D$11-1)))</f>
        <v/>
      </c>
      <c r="O435" s="57" t="str">
        <f aca="false">IF($N435="","",INDEX(BookRate,430)*(1+'5. Scenarios'!$D$10)*$N435)</f>
        <v/>
      </c>
      <c r="P435" s="57" t="str">
        <f aca="false">IF($O435="","",SUMIFS($O$6:$O$2405,$A$6:$A$2405,"&lt;="&amp;$A435))</f>
        <v/>
      </c>
      <c r="Q435" s="57" t="str">
        <f aca="false">IF($O435="","",IF($P435&lt;=BankCostEnvelope*'5. Scenarios'!$D$7,1,0))</f>
        <v/>
      </c>
      <c r="R435" s="57" t="str">
        <f aca="false">IF($N435="","",INDEX(BookRate,430)*(1+'5. Scenarios'!$D$10)*(INDEX(BookQ1,430)*(5-MIN(4,1+'5. Scenarios'!$D$8))/4+INDEX(BookQ2,430)*(5-MIN(4,2+'5. Scenarios'!$D$8))/4+INDEX(BookQ3,430)*(5-MIN(4,3+'5. Scenarios'!$D$8))/4+INDEX(BookQ4,430)*(5-MIN(4,4+'5. Scenarios'!$D$8))/4)*'5. Scenarios'!$D$6/(1+ProductivityDefault*('5. Scenarios'!$D$11-1))+INDEX(BookOneOff,430)*$N435)</f>
        <v/>
      </c>
      <c r="S435" s="56" t="str">
        <f aca="false">IF(INDEX(BookTitle,430)="","",INDEX(BookTotal,430)*'5. Scenarios'!$E$6/(1+ProductivityDefault*('5. Scenarios'!$E$11-1)))</f>
        <v/>
      </c>
      <c r="T435" s="57" t="str">
        <f aca="false">IF($S435="","",INDEX(BookRate,430)*(1+'5. Scenarios'!$E$10)*$S435)</f>
        <v/>
      </c>
      <c r="U435" s="57" t="str">
        <f aca="false">IF($T435="","",SUMIFS($T$6:$T$2405,$A$6:$A$2405,"&lt;="&amp;$A435))</f>
        <v/>
      </c>
      <c r="V435" s="57" t="str">
        <f aca="false">IF($T435="","",IF($U435&lt;=BankCostEnvelope*'5. Scenarios'!$E$7,1,0))</f>
        <v/>
      </c>
      <c r="W435" s="57" t="str">
        <f aca="false">IF($S435="","",INDEX(BookRate,430)*(1+'5. Scenarios'!$E$10)*(INDEX(BookQ1,430)*(5-MIN(4,1+'5. Scenarios'!$E$8))/4+INDEX(BookQ2,430)*(5-MIN(4,2+'5. Scenarios'!$E$8))/4+INDEX(BookQ3,430)*(5-MIN(4,3+'5. Scenarios'!$E$8))/4+INDEX(BookQ4,430)*(5-MIN(4,4+'5. Scenarios'!$E$8))/4)*'5. Scenarios'!$E$6/(1+ProductivityDefault*('5. Scenarios'!$E$11-1))+INDEX(BookOneOff,430)*$S435)</f>
        <v/>
      </c>
    </row>
    <row r="436" customFormat="false" ht="15" hidden="false" customHeight="false" outlineLevel="0" collapsed="false">
      <c r="A436" s="0" t="str">
        <f aca="false">IF(INDEX(BookTitle,431)="","",INDEX(BookKey,431))</f>
        <v/>
      </c>
      <c r="B436" s="0" t="str">
        <f aca="false">IF(INDEX(BookTitle,431)="","",INDEX(BookGroup,431))</f>
        <v/>
      </c>
      <c r="C436" s="0" t="str">
        <f aca="false">IF(INDEX(BookTitle,431)="","",INDEX(BookCategory,431))</f>
        <v/>
      </c>
      <c r="D436" s="56" t="str">
        <f aca="false">IF(INDEX(BookTitle,431)="","",INDEX(BookTotal,431)*'5. Scenarios'!$B$6/(1+ProductivityDefault*('5. Scenarios'!$B$11-1)))</f>
        <v/>
      </c>
      <c r="E436" s="57" t="str">
        <f aca="false">IF($D436="","",INDEX(BookRate,431)*(1+'5. Scenarios'!$B$10)*$D436)</f>
        <v/>
      </c>
      <c r="F436" s="57" t="str">
        <f aca="false">IF($E436="","",SUMIFS($E$6:$E$2405,$A$6:$A$2405,"&lt;="&amp;$A436))</f>
        <v/>
      </c>
      <c r="G436" s="57" t="str">
        <f aca="false">IF($E436="","",IF($F436&lt;=BankCostEnvelope*'5. Scenarios'!$B$7,1,0))</f>
        <v/>
      </c>
      <c r="H436" s="57" t="str">
        <f aca="false">IF($D436="","",INDEX(BookRate,431)*(1+'5. Scenarios'!$B$10)*(INDEX(BookQ1,431)*(5-MIN(4,1+'5. Scenarios'!$B$8))/4+INDEX(BookQ2,431)*(5-MIN(4,2+'5. Scenarios'!$B$8))/4+INDEX(BookQ3,431)*(5-MIN(4,3+'5. Scenarios'!$B$8))/4+INDEX(BookQ4,431)*(5-MIN(4,4+'5. Scenarios'!$B$8))/4)*'5. Scenarios'!$B$6/(1+ProductivityDefault*('5. Scenarios'!$B$11-1))+INDEX(BookOneOff,431)*$D436)</f>
        <v/>
      </c>
      <c r="I436" s="56" t="str">
        <f aca="false">IF(INDEX(BookTitle,431)="","",INDEX(BookTotal,431)*'5. Scenarios'!$C$6/(1+ProductivityDefault*('5. Scenarios'!$C$11-1)))</f>
        <v/>
      </c>
      <c r="J436" s="57" t="str">
        <f aca="false">IF($I436="","",INDEX(BookRate,431)*(1+'5. Scenarios'!$C$10)*$I436)</f>
        <v/>
      </c>
      <c r="K436" s="57" t="str">
        <f aca="false">IF($J436="","",SUMIFS($J$6:$J$2405,$A$6:$A$2405,"&lt;="&amp;$A436))</f>
        <v/>
      </c>
      <c r="L436" s="57" t="str">
        <f aca="false">IF($J436="","",IF($K436&lt;=BankCostEnvelope*'5. Scenarios'!$C$7,1,0))</f>
        <v/>
      </c>
      <c r="M436" s="57" t="str">
        <f aca="false">IF($I436="","",INDEX(BookRate,431)*(1+'5. Scenarios'!$C$10)*(INDEX(BookQ1,431)*(5-MIN(4,1+'5. Scenarios'!$C$8))/4+INDEX(BookQ2,431)*(5-MIN(4,2+'5. Scenarios'!$C$8))/4+INDEX(BookQ3,431)*(5-MIN(4,3+'5. Scenarios'!$C$8))/4+INDEX(BookQ4,431)*(5-MIN(4,4+'5. Scenarios'!$C$8))/4)*'5. Scenarios'!$C$6/(1+ProductivityDefault*('5. Scenarios'!$C$11-1))+INDEX(BookOneOff,431)*$I436)</f>
        <v/>
      </c>
      <c r="N436" s="56" t="str">
        <f aca="false">IF(INDEX(BookTitle,431)="","",INDEX(BookTotal,431)*'5. Scenarios'!$D$6/(1+ProductivityDefault*('5. Scenarios'!$D$11-1)))</f>
        <v/>
      </c>
      <c r="O436" s="57" t="str">
        <f aca="false">IF($N436="","",INDEX(BookRate,431)*(1+'5. Scenarios'!$D$10)*$N436)</f>
        <v/>
      </c>
      <c r="P436" s="57" t="str">
        <f aca="false">IF($O436="","",SUMIFS($O$6:$O$2405,$A$6:$A$2405,"&lt;="&amp;$A436))</f>
        <v/>
      </c>
      <c r="Q436" s="57" t="str">
        <f aca="false">IF($O436="","",IF($P436&lt;=BankCostEnvelope*'5. Scenarios'!$D$7,1,0))</f>
        <v/>
      </c>
      <c r="R436" s="57" t="str">
        <f aca="false">IF($N436="","",INDEX(BookRate,431)*(1+'5. Scenarios'!$D$10)*(INDEX(BookQ1,431)*(5-MIN(4,1+'5. Scenarios'!$D$8))/4+INDEX(BookQ2,431)*(5-MIN(4,2+'5. Scenarios'!$D$8))/4+INDEX(BookQ3,431)*(5-MIN(4,3+'5. Scenarios'!$D$8))/4+INDEX(BookQ4,431)*(5-MIN(4,4+'5. Scenarios'!$D$8))/4)*'5. Scenarios'!$D$6/(1+ProductivityDefault*('5. Scenarios'!$D$11-1))+INDEX(BookOneOff,431)*$N436)</f>
        <v/>
      </c>
      <c r="S436" s="56" t="str">
        <f aca="false">IF(INDEX(BookTitle,431)="","",INDEX(BookTotal,431)*'5. Scenarios'!$E$6/(1+ProductivityDefault*('5. Scenarios'!$E$11-1)))</f>
        <v/>
      </c>
      <c r="T436" s="57" t="str">
        <f aca="false">IF($S436="","",INDEX(BookRate,431)*(1+'5. Scenarios'!$E$10)*$S436)</f>
        <v/>
      </c>
      <c r="U436" s="57" t="str">
        <f aca="false">IF($T436="","",SUMIFS($T$6:$T$2405,$A$6:$A$2405,"&lt;="&amp;$A436))</f>
        <v/>
      </c>
      <c r="V436" s="57" t="str">
        <f aca="false">IF($T436="","",IF($U436&lt;=BankCostEnvelope*'5. Scenarios'!$E$7,1,0))</f>
        <v/>
      </c>
      <c r="W436" s="57" t="str">
        <f aca="false">IF($S436="","",INDEX(BookRate,431)*(1+'5. Scenarios'!$E$10)*(INDEX(BookQ1,431)*(5-MIN(4,1+'5. Scenarios'!$E$8))/4+INDEX(BookQ2,431)*(5-MIN(4,2+'5. Scenarios'!$E$8))/4+INDEX(BookQ3,431)*(5-MIN(4,3+'5. Scenarios'!$E$8))/4+INDEX(BookQ4,431)*(5-MIN(4,4+'5. Scenarios'!$E$8))/4)*'5. Scenarios'!$E$6/(1+ProductivityDefault*('5. Scenarios'!$E$11-1))+INDEX(BookOneOff,431)*$S436)</f>
        <v/>
      </c>
    </row>
    <row r="437" customFormat="false" ht="15" hidden="false" customHeight="false" outlineLevel="0" collapsed="false">
      <c r="A437" s="0" t="str">
        <f aca="false">IF(INDEX(BookTitle,432)="","",INDEX(BookKey,432))</f>
        <v/>
      </c>
      <c r="B437" s="0" t="str">
        <f aca="false">IF(INDEX(BookTitle,432)="","",INDEX(BookGroup,432))</f>
        <v/>
      </c>
      <c r="C437" s="0" t="str">
        <f aca="false">IF(INDEX(BookTitle,432)="","",INDEX(BookCategory,432))</f>
        <v/>
      </c>
      <c r="D437" s="56" t="str">
        <f aca="false">IF(INDEX(BookTitle,432)="","",INDEX(BookTotal,432)*'5. Scenarios'!$B$6/(1+ProductivityDefault*('5. Scenarios'!$B$11-1)))</f>
        <v/>
      </c>
      <c r="E437" s="57" t="str">
        <f aca="false">IF($D437="","",INDEX(BookRate,432)*(1+'5. Scenarios'!$B$10)*$D437)</f>
        <v/>
      </c>
      <c r="F437" s="57" t="str">
        <f aca="false">IF($E437="","",SUMIFS($E$6:$E$2405,$A$6:$A$2405,"&lt;="&amp;$A437))</f>
        <v/>
      </c>
      <c r="G437" s="57" t="str">
        <f aca="false">IF($E437="","",IF($F437&lt;=BankCostEnvelope*'5. Scenarios'!$B$7,1,0))</f>
        <v/>
      </c>
      <c r="H437" s="57" t="str">
        <f aca="false">IF($D437="","",INDEX(BookRate,432)*(1+'5. Scenarios'!$B$10)*(INDEX(BookQ1,432)*(5-MIN(4,1+'5. Scenarios'!$B$8))/4+INDEX(BookQ2,432)*(5-MIN(4,2+'5. Scenarios'!$B$8))/4+INDEX(BookQ3,432)*(5-MIN(4,3+'5. Scenarios'!$B$8))/4+INDEX(BookQ4,432)*(5-MIN(4,4+'5. Scenarios'!$B$8))/4)*'5. Scenarios'!$B$6/(1+ProductivityDefault*('5. Scenarios'!$B$11-1))+INDEX(BookOneOff,432)*$D437)</f>
        <v/>
      </c>
      <c r="I437" s="56" t="str">
        <f aca="false">IF(INDEX(BookTitle,432)="","",INDEX(BookTotal,432)*'5. Scenarios'!$C$6/(1+ProductivityDefault*('5. Scenarios'!$C$11-1)))</f>
        <v/>
      </c>
      <c r="J437" s="57" t="str">
        <f aca="false">IF($I437="","",INDEX(BookRate,432)*(1+'5. Scenarios'!$C$10)*$I437)</f>
        <v/>
      </c>
      <c r="K437" s="57" t="str">
        <f aca="false">IF($J437="","",SUMIFS($J$6:$J$2405,$A$6:$A$2405,"&lt;="&amp;$A437))</f>
        <v/>
      </c>
      <c r="L437" s="57" t="str">
        <f aca="false">IF($J437="","",IF($K437&lt;=BankCostEnvelope*'5. Scenarios'!$C$7,1,0))</f>
        <v/>
      </c>
      <c r="M437" s="57" t="str">
        <f aca="false">IF($I437="","",INDEX(BookRate,432)*(1+'5. Scenarios'!$C$10)*(INDEX(BookQ1,432)*(5-MIN(4,1+'5. Scenarios'!$C$8))/4+INDEX(BookQ2,432)*(5-MIN(4,2+'5. Scenarios'!$C$8))/4+INDEX(BookQ3,432)*(5-MIN(4,3+'5. Scenarios'!$C$8))/4+INDEX(BookQ4,432)*(5-MIN(4,4+'5. Scenarios'!$C$8))/4)*'5. Scenarios'!$C$6/(1+ProductivityDefault*('5. Scenarios'!$C$11-1))+INDEX(BookOneOff,432)*$I437)</f>
        <v/>
      </c>
      <c r="N437" s="56" t="str">
        <f aca="false">IF(INDEX(BookTitle,432)="","",INDEX(BookTotal,432)*'5. Scenarios'!$D$6/(1+ProductivityDefault*('5. Scenarios'!$D$11-1)))</f>
        <v/>
      </c>
      <c r="O437" s="57" t="str">
        <f aca="false">IF($N437="","",INDEX(BookRate,432)*(1+'5. Scenarios'!$D$10)*$N437)</f>
        <v/>
      </c>
      <c r="P437" s="57" t="str">
        <f aca="false">IF($O437="","",SUMIFS($O$6:$O$2405,$A$6:$A$2405,"&lt;="&amp;$A437))</f>
        <v/>
      </c>
      <c r="Q437" s="57" t="str">
        <f aca="false">IF($O437="","",IF($P437&lt;=BankCostEnvelope*'5. Scenarios'!$D$7,1,0))</f>
        <v/>
      </c>
      <c r="R437" s="57" t="str">
        <f aca="false">IF($N437="","",INDEX(BookRate,432)*(1+'5. Scenarios'!$D$10)*(INDEX(BookQ1,432)*(5-MIN(4,1+'5. Scenarios'!$D$8))/4+INDEX(BookQ2,432)*(5-MIN(4,2+'5. Scenarios'!$D$8))/4+INDEX(BookQ3,432)*(5-MIN(4,3+'5. Scenarios'!$D$8))/4+INDEX(BookQ4,432)*(5-MIN(4,4+'5. Scenarios'!$D$8))/4)*'5. Scenarios'!$D$6/(1+ProductivityDefault*('5. Scenarios'!$D$11-1))+INDEX(BookOneOff,432)*$N437)</f>
        <v/>
      </c>
      <c r="S437" s="56" t="str">
        <f aca="false">IF(INDEX(BookTitle,432)="","",INDEX(BookTotal,432)*'5. Scenarios'!$E$6/(1+ProductivityDefault*('5. Scenarios'!$E$11-1)))</f>
        <v/>
      </c>
      <c r="T437" s="57" t="str">
        <f aca="false">IF($S437="","",INDEX(BookRate,432)*(1+'5. Scenarios'!$E$10)*$S437)</f>
        <v/>
      </c>
      <c r="U437" s="57" t="str">
        <f aca="false">IF($T437="","",SUMIFS($T$6:$T$2405,$A$6:$A$2405,"&lt;="&amp;$A437))</f>
        <v/>
      </c>
      <c r="V437" s="57" t="str">
        <f aca="false">IF($T437="","",IF($U437&lt;=BankCostEnvelope*'5. Scenarios'!$E$7,1,0))</f>
        <v/>
      </c>
      <c r="W437" s="57" t="str">
        <f aca="false">IF($S437="","",INDEX(BookRate,432)*(1+'5. Scenarios'!$E$10)*(INDEX(BookQ1,432)*(5-MIN(4,1+'5. Scenarios'!$E$8))/4+INDEX(BookQ2,432)*(5-MIN(4,2+'5. Scenarios'!$E$8))/4+INDEX(BookQ3,432)*(5-MIN(4,3+'5. Scenarios'!$E$8))/4+INDEX(BookQ4,432)*(5-MIN(4,4+'5. Scenarios'!$E$8))/4)*'5. Scenarios'!$E$6/(1+ProductivityDefault*('5. Scenarios'!$E$11-1))+INDEX(BookOneOff,432)*$S437)</f>
        <v/>
      </c>
    </row>
    <row r="438" customFormat="false" ht="15" hidden="false" customHeight="false" outlineLevel="0" collapsed="false">
      <c r="A438" s="0" t="str">
        <f aca="false">IF(INDEX(BookTitle,433)="","",INDEX(BookKey,433))</f>
        <v/>
      </c>
      <c r="B438" s="0" t="str">
        <f aca="false">IF(INDEX(BookTitle,433)="","",INDEX(BookGroup,433))</f>
        <v/>
      </c>
      <c r="C438" s="0" t="str">
        <f aca="false">IF(INDEX(BookTitle,433)="","",INDEX(BookCategory,433))</f>
        <v/>
      </c>
      <c r="D438" s="56" t="str">
        <f aca="false">IF(INDEX(BookTitle,433)="","",INDEX(BookTotal,433)*'5. Scenarios'!$B$6/(1+ProductivityDefault*('5. Scenarios'!$B$11-1)))</f>
        <v/>
      </c>
      <c r="E438" s="57" t="str">
        <f aca="false">IF($D438="","",INDEX(BookRate,433)*(1+'5. Scenarios'!$B$10)*$D438)</f>
        <v/>
      </c>
      <c r="F438" s="57" t="str">
        <f aca="false">IF($E438="","",SUMIFS($E$6:$E$2405,$A$6:$A$2405,"&lt;="&amp;$A438))</f>
        <v/>
      </c>
      <c r="G438" s="57" t="str">
        <f aca="false">IF($E438="","",IF($F438&lt;=BankCostEnvelope*'5. Scenarios'!$B$7,1,0))</f>
        <v/>
      </c>
      <c r="H438" s="57" t="str">
        <f aca="false">IF($D438="","",INDEX(BookRate,433)*(1+'5. Scenarios'!$B$10)*(INDEX(BookQ1,433)*(5-MIN(4,1+'5. Scenarios'!$B$8))/4+INDEX(BookQ2,433)*(5-MIN(4,2+'5. Scenarios'!$B$8))/4+INDEX(BookQ3,433)*(5-MIN(4,3+'5. Scenarios'!$B$8))/4+INDEX(BookQ4,433)*(5-MIN(4,4+'5. Scenarios'!$B$8))/4)*'5. Scenarios'!$B$6/(1+ProductivityDefault*('5. Scenarios'!$B$11-1))+INDEX(BookOneOff,433)*$D438)</f>
        <v/>
      </c>
      <c r="I438" s="56" t="str">
        <f aca="false">IF(INDEX(BookTitle,433)="","",INDEX(BookTotal,433)*'5. Scenarios'!$C$6/(1+ProductivityDefault*('5. Scenarios'!$C$11-1)))</f>
        <v/>
      </c>
      <c r="J438" s="57" t="str">
        <f aca="false">IF($I438="","",INDEX(BookRate,433)*(1+'5. Scenarios'!$C$10)*$I438)</f>
        <v/>
      </c>
      <c r="K438" s="57" t="str">
        <f aca="false">IF($J438="","",SUMIFS($J$6:$J$2405,$A$6:$A$2405,"&lt;="&amp;$A438))</f>
        <v/>
      </c>
      <c r="L438" s="57" t="str">
        <f aca="false">IF($J438="","",IF($K438&lt;=BankCostEnvelope*'5. Scenarios'!$C$7,1,0))</f>
        <v/>
      </c>
      <c r="M438" s="57" t="str">
        <f aca="false">IF($I438="","",INDEX(BookRate,433)*(1+'5. Scenarios'!$C$10)*(INDEX(BookQ1,433)*(5-MIN(4,1+'5. Scenarios'!$C$8))/4+INDEX(BookQ2,433)*(5-MIN(4,2+'5. Scenarios'!$C$8))/4+INDEX(BookQ3,433)*(5-MIN(4,3+'5. Scenarios'!$C$8))/4+INDEX(BookQ4,433)*(5-MIN(4,4+'5. Scenarios'!$C$8))/4)*'5. Scenarios'!$C$6/(1+ProductivityDefault*('5. Scenarios'!$C$11-1))+INDEX(BookOneOff,433)*$I438)</f>
        <v/>
      </c>
      <c r="N438" s="56" t="str">
        <f aca="false">IF(INDEX(BookTitle,433)="","",INDEX(BookTotal,433)*'5. Scenarios'!$D$6/(1+ProductivityDefault*('5. Scenarios'!$D$11-1)))</f>
        <v/>
      </c>
      <c r="O438" s="57" t="str">
        <f aca="false">IF($N438="","",INDEX(BookRate,433)*(1+'5. Scenarios'!$D$10)*$N438)</f>
        <v/>
      </c>
      <c r="P438" s="57" t="str">
        <f aca="false">IF($O438="","",SUMIFS($O$6:$O$2405,$A$6:$A$2405,"&lt;="&amp;$A438))</f>
        <v/>
      </c>
      <c r="Q438" s="57" t="str">
        <f aca="false">IF($O438="","",IF($P438&lt;=BankCostEnvelope*'5. Scenarios'!$D$7,1,0))</f>
        <v/>
      </c>
      <c r="R438" s="57" t="str">
        <f aca="false">IF($N438="","",INDEX(BookRate,433)*(1+'5. Scenarios'!$D$10)*(INDEX(BookQ1,433)*(5-MIN(4,1+'5. Scenarios'!$D$8))/4+INDEX(BookQ2,433)*(5-MIN(4,2+'5. Scenarios'!$D$8))/4+INDEX(BookQ3,433)*(5-MIN(4,3+'5. Scenarios'!$D$8))/4+INDEX(BookQ4,433)*(5-MIN(4,4+'5. Scenarios'!$D$8))/4)*'5. Scenarios'!$D$6/(1+ProductivityDefault*('5. Scenarios'!$D$11-1))+INDEX(BookOneOff,433)*$N438)</f>
        <v/>
      </c>
      <c r="S438" s="56" t="str">
        <f aca="false">IF(INDEX(BookTitle,433)="","",INDEX(BookTotal,433)*'5. Scenarios'!$E$6/(1+ProductivityDefault*('5. Scenarios'!$E$11-1)))</f>
        <v/>
      </c>
      <c r="T438" s="57" t="str">
        <f aca="false">IF($S438="","",INDEX(BookRate,433)*(1+'5. Scenarios'!$E$10)*$S438)</f>
        <v/>
      </c>
      <c r="U438" s="57" t="str">
        <f aca="false">IF($T438="","",SUMIFS($T$6:$T$2405,$A$6:$A$2405,"&lt;="&amp;$A438))</f>
        <v/>
      </c>
      <c r="V438" s="57" t="str">
        <f aca="false">IF($T438="","",IF($U438&lt;=BankCostEnvelope*'5. Scenarios'!$E$7,1,0))</f>
        <v/>
      </c>
      <c r="W438" s="57" t="str">
        <f aca="false">IF($S438="","",INDEX(BookRate,433)*(1+'5. Scenarios'!$E$10)*(INDEX(BookQ1,433)*(5-MIN(4,1+'5. Scenarios'!$E$8))/4+INDEX(BookQ2,433)*(5-MIN(4,2+'5. Scenarios'!$E$8))/4+INDEX(BookQ3,433)*(5-MIN(4,3+'5. Scenarios'!$E$8))/4+INDEX(BookQ4,433)*(5-MIN(4,4+'5. Scenarios'!$E$8))/4)*'5. Scenarios'!$E$6/(1+ProductivityDefault*('5. Scenarios'!$E$11-1))+INDEX(BookOneOff,433)*$S438)</f>
        <v/>
      </c>
    </row>
    <row r="439" customFormat="false" ht="15" hidden="false" customHeight="false" outlineLevel="0" collapsed="false">
      <c r="A439" s="0" t="str">
        <f aca="false">IF(INDEX(BookTitle,434)="","",INDEX(BookKey,434))</f>
        <v/>
      </c>
      <c r="B439" s="0" t="str">
        <f aca="false">IF(INDEX(BookTitle,434)="","",INDEX(BookGroup,434))</f>
        <v/>
      </c>
      <c r="C439" s="0" t="str">
        <f aca="false">IF(INDEX(BookTitle,434)="","",INDEX(BookCategory,434))</f>
        <v/>
      </c>
      <c r="D439" s="56" t="str">
        <f aca="false">IF(INDEX(BookTitle,434)="","",INDEX(BookTotal,434)*'5. Scenarios'!$B$6/(1+ProductivityDefault*('5. Scenarios'!$B$11-1)))</f>
        <v/>
      </c>
      <c r="E439" s="57" t="str">
        <f aca="false">IF($D439="","",INDEX(BookRate,434)*(1+'5. Scenarios'!$B$10)*$D439)</f>
        <v/>
      </c>
      <c r="F439" s="57" t="str">
        <f aca="false">IF($E439="","",SUMIFS($E$6:$E$2405,$A$6:$A$2405,"&lt;="&amp;$A439))</f>
        <v/>
      </c>
      <c r="G439" s="57" t="str">
        <f aca="false">IF($E439="","",IF($F439&lt;=BankCostEnvelope*'5. Scenarios'!$B$7,1,0))</f>
        <v/>
      </c>
      <c r="H439" s="57" t="str">
        <f aca="false">IF($D439="","",INDEX(BookRate,434)*(1+'5. Scenarios'!$B$10)*(INDEX(BookQ1,434)*(5-MIN(4,1+'5. Scenarios'!$B$8))/4+INDEX(BookQ2,434)*(5-MIN(4,2+'5. Scenarios'!$B$8))/4+INDEX(BookQ3,434)*(5-MIN(4,3+'5. Scenarios'!$B$8))/4+INDEX(BookQ4,434)*(5-MIN(4,4+'5. Scenarios'!$B$8))/4)*'5. Scenarios'!$B$6/(1+ProductivityDefault*('5. Scenarios'!$B$11-1))+INDEX(BookOneOff,434)*$D439)</f>
        <v/>
      </c>
      <c r="I439" s="56" t="str">
        <f aca="false">IF(INDEX(BookTitle,434)="","",INDEX(BookTotal,434)*'5. Scenarios'!$C$6/(1+ProductivityDefault*('5. Scenarios'!$C$11-1)))</f>
        <v/>
      </c>
      <c r="J439" s="57" t="str">
        <f aca="false">IF($I439="","",INDEX(BookRate,434)*(1+'5. Scenarios'!$C$10)*$I439)</f>
        <v/>
      </c>
      <c r="K439" s="57" t="str">
        <f aca="false">IF($J439="","",SUMIFS($J$6:$J$2405,$A$6:$A$2405,"&lt;="&amp;$A439))</f>
        <v/>
      </c>
      <c r="L439" s="57" t="str">
        <f aca="false">IF($J439="","",IF($K439&lt;=BankCostEnvelope*'5. Scenarios'!$C$7,1,0))</f>
        <v/>
      </c>
      <c r="M439" s="57" t="str">
        <f aca="false">IF($I439="","",INDEX(BookRate,434)*(1+'5. Scenarios'!$C$10)*(INDEX(BookQ1,434)*(5-MIN(4,1+'5. Scenarios'!$C$8))/4+INDEX(BookQ2,434)*(5-MIN(4,2+'5. Scenarios'!$C$8))/4+INDEX(BookQ3,434)*(5-MIN(4,3+'5. Scenarios'!$C$8))/4+INDEX(BookQ4,434)*(5-MIN(4,4+'5. Scenarios'!$C$8))/4)*'5. Scenarios'!$C$6/(1+ProductivityDefault*('5. Scenarios'!$C$11-1))+INDEX(BookOneOff,434)*$I439)</f>
        <v/>
      </c>
      <c r="N439" s="56" t="str">
        <f aca="false">IF(INDEX(BookTitle,434)="","",INDEX(BookTotal,434)*'5. Scenarios'!$D$6/(1+ProductivityDefault*('5. Scenarios'!$D$11-1)))</f>
        <v/>
      </c>
      <c r="O439" s="57" t="str">
        <f aca="false">IF($N439="","",INDEX(BookRate,434)*(1+'5. Scenarios'!$D$10)*$N439)</f>
        <v/>
      </c>
      <c r="P439" s="57" t="str">
        <f aca="false">IF($O439="","",SUMIFS($O$6:$O$2405,$A$6:$A$2405,"&lt;="&amp;$A439))</f>
        <v/>
      </c>
      <c r="Q439" s="57" t="str">
        <f aca="false">IF($O439="","",IF($P439&lt;=BankCostEnvelope*'5. Scenarios'!$D$7,1,0))</f>
        <v/>
      </c>
      <c r="R439" s="57" t="str">
        <f aca="false">IF($N439="","",INDEX(BookRate,434)*(1+'5. Scenarios'!$D$10)*(INDEX(BookQ1,434)*(5-MIN(4,1+'5. Scenarios'!$D$8))/4+INDEX(BookQ2,434)*(5-MIN(4,2+'5. Scenarios'!$D$8))/4+INDEX(BookQ3,434)*(5-MIN(4,3+'5. Scenarios'!$D$8))/4+INDEX(BookQ4,434)*(5-MIN(4,4+'5. Scenarios'!$D$8))/4)*'5. Scenarios'!$D$6/(1+ProductivityDefault*('5. Scenarios'!$D$11-1))+INDEX(BookOneOff,434)*$N439)</f>
        <v/>
      </c>
      <c r="S439" s="56" t="str">
        <f aca="false">IF(INDEX(BookTitle,434)="","",INDEX(BookTotal,434)*'5. Scenarios'!$E$6/(1+ProductivityDefault*('5. Scenarios'!$E$11-1)))</f>
        <v/>
      </c>
      <c r="T439" s="57" t="str">
        <f aca="false">IF($S439="","",INDEX(BookRate,434)*(1+'5. Scenarios'!$E$10)*$S439)</f>
        <v/>
      </c>
      <c r="U439" s="57" t="str">
        <f aca="false">IF($T439="","",SUMIFS($T$6:$T$2405,$A$6:$A$2405,"&lt;="&amp;$A439))</f>
        <v/>
      </c>
      <c r="V439" s="57" t="str">
        <f aca="false">IF($T439="","",IF($U439&lt;=BankCostEnvelope*'5. Scenarios'!$E$7,1,0))</f>
        <v/>
      </c>
      <c r="W439" s="57" t="str">
        <f aca="false">IF($S439="","",INDEX(BookRate,434)*(1+'5. Scenarios'!$E$10)*(INDEX(BookQ1,434)*(5-MIN(4,1+'5. Scenarios'!$E$8))/4+INDEX(BookQ2,434)*(5-MIN(4,2+'5. Scenarios'!$E$8))/4+INDEX(BookQ3,434)*(5-MIN(4,3+'5. Scenarios'!$E$8))/4+INDEX(BookQ4,434)*(5-MIN(4,4+'5. Scenarios'!$E$8))/4)*'5. Scenarios'!$E$6/(1+ProductivityDefault*('5. Scenarios'!$E$11-1))+INDEX(BookOneOff,434)*$S439)</f>
        <v/>
      </c>
    </row>
    <row r="440" customFormat="false" ht="15" hidden="false" customHeight="false" outlineLevel="0" collapsed="false">
      <c r="A440" s="0" t="str">
        <f aca="false">IF(INDEX(BookTitle,435)="","",INDEX(BookKey,435))</f>
        <v/>
      </c>
      <c r="B440" s="0" t="str">
        <f aca="false">IF(INDEX(BookTitle,435)="","",INDEX(BookGroup,435))</f>
        <v/>
      </c>
      <c r="C440" s="0" t="str">
        <f aca="false">IF(INDEX(BookTitle,435)="","",INDEX(BookCategory,435))</f>
        <v/>
      </c>
      <c r="D440" s="56" t="str">
        <f aca="false">IF(INDEX(BookTitle,435)="","",INDEX(BookTotal,435)*'5. Scenarios'!$B$6/(1+ProductivityDefault*('5. Scenarios'!$B$11-1)))</f>
        <v/>
      </c>
      <c r="E440" s="57" t="str">
        <f aca="false">IF($D440="","",INDEX(BookRate,435)*(1+'5. Scenarios'!$B$10)*$D440)</f>
        <v/>
      </c>
      <c r="F440" s="57" t="str">
        <f aca="false">IF($E440="","",SUMIFS($E$6:$E$2405,$A$6:$A$2405,"&lt;="&amp;$A440))</f>
        <v/>
      </c>
      <c r="G440" s="57" t="str">
        <f aca="false">IF($E440="","",IF($F440&lt;=BankCostEnvelope*'5. Scenarios'!$B$7,1,0))</f>
        <v/>
      </c>
      <c r="H440" s="57" t="str">
        <f aca="false">IF($D440="","",INDEX(BookRate,435)*(1+'5. Scenarios'!$B$10)*(INDEX(BookQ1,435)*(5-MIN(4,1+'5. Scenarios'!$B$8))/4+INDEX(BookQ2,435)*(5-MIN(4,2+'5. Scenarios'!$B$8))/4+INDEX(BookQ3,435)*(5-MIN(4,3+'5. Scenarios'!$B$8))/4+INDEX(BookQ4,435)*(5-MIN(4,4+'5. Scenarios'!$B$8))/4)*'5. Scenarios'!$B$6/(1+ProductivityDefault*('5. Scenarios'!$B$11-1))+INDEX(BookOneOff,435)*$D440)</f>
        <v/>
      </c>
      <c r="I440" s="56" t="str">
        <f aca="false">IF(INDEX(BookTitle,435)="","",INDEX(BookTotal,435)*'5. Scenarios'!$C$6/(1+ProductivityDefault*('5. Scenarios'!$C$11-1)))</f>
        <v/>
      </c>
      <c r="J440" s="57" t="str">
        <f aca="false">IF($I440="","",INDEX(BookRate,435)*(1+'5. Scenarios'!$C$10)*$I440)</f>
        <v/>
      </c>
      <c r="K440" s="57" t="str">
        <f aca="false">IF($J440="","",SUMIFS($J$6:$J$2405,$A$6:$A$2405,"&lt;="&amp;$A440))</f>
        <v/>
      </c>
      <c r="L440" s="57" t="str">
        <f aca="false">IF($J440="","",IF($K440&lt;=BankCostEnvelope*'5. Scenarios'!$C$7,1,0))</f>
        <v/>
      </c>
      <c r="M440" s="57" t="str">
        <f aca="false">IF($I440="","",INDEX(BookRate,435)*(1+'5. Scenarios'!$C$10)*(INDEX(BookQ1,435)*(5-MIN(4,1+'5. Scenarios'!$C$8))/4+INDEX(BookQ2,435)*(5-MIN(4,2+'5. Scenarios'!$C$8))/4+INDEX(BookQ3,435)*(5-MIN(4,3+'5. Scenarios'!$C$8))/4+INDEX(BookQ4,435)*(5-MIN(4,4+'5. Scenarios'!$C$8))/4)*'5. Scenarios'!$C$6/(1+ProductivityDefault*('5. Scenarios'!$C$11-1))+INDEX(BookOneOff,435)*$I440)</f>
        <v/>
      </c>
      <c r="N440" s="56" t="str">
        <f aca="false">IF(INDEX(BookTitle,435)="","",INDEX(BookTotal,435)*'5. Scenarios'!$D$6/(1+ProductivityDefault*('5. Scenarios'!$D$11-1)))</f>
        <v/>
      </c>
      <c r="O440" s="57" t="str">
        <f aca="false">IF($N440="","",INDEX(BookRate,435)*(1+'5. Scenarios'!$D$10)*$N440)</f>
        <v/>
      </c>
      <c r="P440" s="57" t="str">
        <f aca="false">IF($O440="","",SUMIFS($O$6:$O$2405,$A$6:$A$2405,"&lt;="&amp;$A440))</f>
        <v/>
      </c>
      <c r="Q440" s="57" t="str">
        <f aca="false">IF($O440="","",IF($P440&lt;=BankCostEnvelope*'5. Scenarios'!$D$7,1,0))</f>
        <v/>
      </c>
      <c r="R440" s="57" t="str">
        <f aca="false">IF($N440="","",INDEX(BookRate,435)*(1+'5. Scenarios'!$D$10)*(INDEX(BookQ1,435)*(5-MIN(4,1+'5. Scenarios'!$D$8))/4+INDEX(BookQ2,435)*(5-MIN(4,2+'5. Scenarios'!$D$8))/4+INDEX(BookQ3,435)*(5-MIN(4,3+'5. Scenarios'!$D$8))/4+INDEX(BookQ4,435)*(5-MIN(4,4+'5. Scenarios'!$D$8))/4)*'5. Scenarios'!$D$6/(1+ProductivityDefault*('5. Scenarios'!$D$11-1))+INDEX(BookOneOff,435)*$N440)</f>
        <v/>
      </c>
      <c r="S440" s="56" t="str">
        <f aca="false">IF(INDEX(BookTitle,435)="","",INDEX(BookTotal,435)*'5. Scenarios'!$E$6/(1+ProductivityDefault*('5. Scenarios'!$E$11-1)))</f>
        <v/>
      </c>
      <c r="T440" s="57" t="str">
        <f aca="false">IF($S440="","",INDEX(BookRate,435)*(1+'5. Scenarios'!$E$10)*$S440)</f>
        <v/>
      </c>
      <c r="U440" s="57" t="str">
        <f aca="false">IF($T440="","",SUMIFS($T$6:$T$2405,$A$6:$A$2405,"&lt;="&amp;$A440))</f>
        <v/>
      </c>
      <c r="V440" s="57" t="str">
        <f aca="false">IF($T440="","",IF($U440&lt;=BankCostEnvelope*'5. Scenarios'!$E$7,1,0))</f>
        <v/>
      </c>
      <c r="W440" s="57" t="str">
        <f aca="false">IF($S440="","",INDEX(BookRate,435)*(1+'5. Scenarios'!$E$10)*(INDEX(BookQ1,435)*(5-MIN(4,1+'5. Scenarios'!$E$8))/4+INDEX(BookQ2,435)*(5-MIN(4,2+'5. Scenarios'!$E$8))/4+INDEX(BookQ3,435)*(5-MIN(4,3+'5. Scenarios'!$E$8))/4+INDEX(BookQ4,435)*(5-MIN(4,4+'5. Scenarios'!$E$8))/4)*'5. Scenarios'!$E$6/(1+ProductivityDefault*('5. Scenarios'!$E$11-1))+INDEX(BookOneOff,435)*$S440)</f>
        <v/>
      </c>
    </row>
    <row r="441" customFormat="false" ht="15" hidden="false" customHeight="false" outlineLevel="0" collapsed="false">
      <c r="A441" s="0" t="str">
        <f aca="false">IF(INDEX(BookTitle,436)="","",INDEX(BookKey,436))</f>
        <v/>
      </c>
      <c r="B441" s="0" t="str">
        <f aca="false">IF(INDEX(BookTitle,436)="","",INDEX(BookGroup,436))</f>
        <v/>
      </c>
      <c r="C441" s="0" t="str">
        <f aca="false">IF(INDEX(BookTitle,436)="","",INDEX(BookCategory,436))</f>
        <v/>
      </c>
      <c r="D441" s="56" t="str">
        <f aca="false">IF(INDEX(BookTitle,436)="","",INDEX(BookTotal,436)*'5. Scenarios'!$B$6/(1+ProductivityDefault*('5. Scenarios'!$B$11-1)))</f>
        <v/>
      </c>
      <c r="E441" s="57" t="str">
        <f aca="false">IF($D441="","",INDEX(BookRate,436)*(1+'5. Scenarios'!$B$10)*$D441)</f>
        <v/>
      </c>
      <c r="F441" s="57" t="str">
        <f aca="false">IF($E441="","",SUMIFS($E$6:$E$2405,$A$6:$A$2405,"&lt;="&amp;$A441))</f>
        <v/>
      </c>
      <c r="G441" s="57" t="str">
        <f aca="false">IF($E441="","",IF($F441&lt;=BankCostEnvelope*'5. Scenarios'!$B$7,1,0))</f>
        <v/>
      </c>
      <c r="H441" s="57" t="str">
        <f aca="false">IF($D441="","",INDEX(BookRate,436)*(1+'5. Scenarios'!$B$10)*(INDEX(BookQ1,436)*(5-MIN(4,1+'5. Scenarios'!$B$8))/4+INDEX(BookQ2,436)*(5-MIN(4,2+'5. Scenarios'!$B$8))/4+INDEX(BookQ3,436)*(5-MIN(4,3+'5. Scenarios'!$B$8))/4+INDEX(BookQ4,436)*(5-MIN(4,4+'5. Scenarios'!$B$8))/4)*'5. Scenarios'!$B$6/(1+ProductivityDefault*('5. Scenarios'!$B$11-1))+INDEX(BookOneOff,436)*$D441)</f>
        <v/>
      </c>
      <c r="I441" s="56" t="str">
        <f aca="false">IF(INDEX(BookTitle,436)="","",INDEX(BookTotal,436)*'5. Scenarios'!$C$6/(1+ProductivityDefault*('5. Scenarios'!$C$11-1)))</f>
        <v/>
      </c>
      <c r="J441" s="57" t="str">
        <f aca="false">IF($I441="","",INDEX(BookRate,436)*(1+'5. Scenarios'!$C$10)*$I441)</f>
        <v/>
      </c>
      <c r="K441" s="57" t="str">
        <f aca="false">IF($J441="","",SUMIFS($J$6:$J$2405,$A$6:$A$2405,"&lt;="&amp;$A441))</f>
        <v/>
      </c>
      <c r="L441" s="57" t="str">
        <f aca="false">IF($J441="","",IF($K441&lt;=BankCostEnvelope*'5. Scenarios'!$C$7,1,0))</f>
        <v/>
      </c>
      <c r="M441" s="57" t="str">
        <f aca="false">IF($I441="","",INDEX(BookRate,436)*(1+'5. Scenarios'!$C$10)*(INDEX(BookQ1,436)*(5-MIN(4,1+'5. Scenarios'!$C$8))/4+INDEX(BookQ2,436)*(5-MIN(4,2+'5. Scenarios'!$C$8))/4+INDEX(BookQ3,436)*(5-MIN(4,3+'5. Scenarios'!$C$8))/4+INDEX(BookQ4,436)*(5-MIN(4,4+'5. Scenarios'!$C$8))/4)*'5. Scenarios'!$C$6/(1+ProductivityDefault*('5. Scenarios'!$C$11-1))+INDEX(BookOneOff,436)*$I441)</f>
        <v/>
      </c>
      <c r="N441" s="56" t="str">
        <f aca="false">IF(INDEX(BookTitle,436)="","",INDEX(BookTotal,436)*'5. Scenarios'!$D$6/(1+ProductivityDefault*('5. Scenarios'!$D$11-1)))</f>
        <v/>
      </c>
      <c r="O441" s="57" t="str">
        <f aca="false">IF($N441="","",INDEX(BookRate,436)*(1+'5. Scenarios'!$D$10)*$N441)</f>
        <v/>
      </c>
      <c r="P441" s="57" t="str">
        <f aca="false">IF($O441="","",SUMIFS($O$6:$O$2405,$A$6:$A$2405,"&lt;="&amp;$A441))</f>
        <v/>
      </c>
      <c r="Q441" s="57" t="str">
        <f aca="false">IF($O441="","",IF($P441&lt;=BankCostEnvelope*'5. Scenarios'!$D$7,1,0))</f>
        <v/>
      </c>
      <c r="R441" s="57" t="str">
        <f aca="false">IF($N441="","",INDEX(BookRate,436)*(1+'5. Scenarios'!$D$10)*(INDEX(BookQ1,436)*(5-MIN(4,1+'5. Scenarios'!$D$8))/4+INDEX(BookQ2,436)*(5-MIN(4,2+'5. Scenarios'!$D$8))/4+INDEX(BookQ3,436)*(5-MIN(4,3+'5. Scenarios'!$D$8))/4+INDEX(BookQ4,436)*(5-MIN(4,4+'5. Scenarios'!$D$8))/4)*'5. Scenarios'!$D$6/(1+ProductivityDefault*('5. Scenarios'!$D$11-1))+INDEX(BookOneOff,436)*$N441)</f>
        <v/>
      </c>
      <c r="S441" s="56" t="str">
        <f aca="false">IF(INDEX(BookTitle,436)="","",INDEX(BookTotal,436)*'5. Scenarios'!$E$6/(1+ProductivityDefault*('5. Scenarios'!$E$11-1)))</f>
        <v/>
      </c>
      <c r="T441" s="57" t="str">
        <f aca="false">IF($S441="","",INDEX(BookRate,436)*(1+'5. Scenarios'!$E$10)*$S441)</f>
        <v/>
      </c>
      <c r="U441" s="57" t="str">
        <f aca="false">IF($T441="","",SUMIFS($T$6:$T$2405,$A$6:$A$2405,"&lt;="&amp;$A441))</f>
        <v/>
      </c>
      <c r="V441" s="57" t="str">
        <f aca="false">IF($T441="","",IF($U441&lt;=BankCostEnvelope*'5. Scenarios'!$E$7,1,0))</f>
        <v/>
      </c>
      <c r="W441" s="57" t="str">
        <f aca="false">IF($S441="","",INDEX(BookRate,436)*(1+'5. Scenarios'!$E$10)*(INDEX(BookQ1,436)*(5-MIN(4,1+'5. Scenarios'!$E$8))/4+INDEX(BookQ2,436)*(5-MIN(4,2+'5. Scenarios'!$E$8))/4+INDEX(BookQ3,436)*(5-MIN(4,3+'5. Scenarios'!$E$8))/4+INDEX(BookQ4,436)*(5-MIN(4,4+'5. Scenarios'!$E$8))/4)*'5. Scenarios'!$E$6/(1+ProductivityDefault*('5. Scenarios'!$E$11-1))+INDEX(BookOneOff,436)*$S441)</f>
        <v/>
      </c>
    </row>
    <row r="442" customFormat="false" ht="15" hidden="false" customHeight="false" outlineLevel="0" collapsed="false">
      <c r="A442" s="0" t="str">
        <f aca="false">IF(INDEX(BookTitle,437)="","",INDEX(BookKey,437))</f>
        <v/>
      </c>
      <c r="B442" s="0" t="str">
        <f aca="false">IF(INDEX(BookTitle,437)="","",INDEX(BookGroup,437))</f>
        <v/>
      </c>
      <c r="C442" s="0" t="str">
        <f aca="false">IF(INDEX(BookTitle,437)="","",INDEX(BookCategory,437))</f>
        <v/>
      </c>
      <c r="D442" s="56" t="str">
        <f aca="false">IF(INDEX(BookTitle,437)="","",INDEX(BookTotal,437)*'5. Scenarios'!$B$6/(1+ProductivityDefault*('5. Scenarios'!$B$11-1)))</f>
        <v/>
      </c>
      <c r="E442" s="57" t="str">
        <f aca="false">IF($D442="","",INDEX(BookRate,437)*(1+'5. Scenarios'!$B$10)*$D442)</f>
        <v/>
      </c>
      <c r="F442" s="57" t="str">
        <f aca="false">IF($E442="","",SUMIFS($E$6:$E$2405,$A$6:$A$2405,"&lt;="&amp;$A442))</f>
        <v/>
      </c>
      <c r="G442" s="57" t="str">
        <f aca="false">IF($E442="","",IF($F442&lt;=BankCostEnvelope*'5. Scenarios'!$B$7,1,0))</f>
        <v/>
      </c>
      <c r="H442" s="57" t="str">
        <f aca="false">IF($D442="","",INDEX(BookRate,437)*(1+'5. Scenarios'!$B$10)*(INDEX(BookQ1,437)*(5-MIN(4,1+'5. Scenarios'!$B$8))/4+INDEX(BookQ2,437)*(5-MIN(4,2+'5. Scenarios'!$B$8))/4+INDEX(BookQ3,437)*(5-MIN(4,3+'5. Scenarios'!$B$8))/4+INDEX(BookQ4,437)*(5-MIN(4,4+'5. Scenarios'!$B$8))/4)*'5. Scenarios'!$B$6/(1+ProductivityDefault*('5. Scenarios'!$B$11-1))+INDEX(BookOneOff,437)*$D442)</f>
        <v/>
      </c>
      <c r="I442" s="56" t="str">
        <f aca="false">IF(INDEX(BookTitle,437)="","",INDEX(BookTotal,437)*'5. Scenarios'!$C$6/(1+ProductivityDefault*('5. Scenarios'!$C$11-1)))</f>
        <v/>
      </c>
      <c r="J442" s="57" t="str">
        <f aca="false">IF($I442="","",INDEX(BookRate,437)*(1+'5. Scenarios'!$C$10)*$I442)</f>
        <v/>
      </c>
      <c r="K442" s="57" t="str">
        <f aca="false">IF($J442="","",SUMIFS($J$6:$J$2405,$A$6:$A$2405,"&lt;="&amp;$A442))</f>
        <v/>
      </c>
      <c r="L442" s="57" t="str">
        <f aca="false">IF($J442="","",IF($K442&lt;=BankCostEnvelope*'5. Scenarios'!$C$7,1,0))</f>
        <v/>
      </c>
      <c r="M442" s="57" t="str">
        <f aca="false">IF($I442="","",INDEX(BookRate,437)*(1+'5. Scenarios'!$C$10)*(INDEX(BookQ1,437)*(5-MIN(4,1+'5. Scenarios'!$C$8))/4+INDEX(BookQ2,437)*(5-MIN(4,2+'5. Scenarios'!$C$8))/4+INDEX(BookQ3,437)*(5-MIN(4,3+'5. Scenarios'!$C$8))/4+INDEX(BookQ4,437)*(5-MIN(4,4+'5. Scenarios'!$C$8))/4)*'5. Scenarios'!$C$6/(1+ProductivityDefault*('5. Scenarios'!$C$11-1))+INDEX(BookOneOff,437)*$I442)</f>
        <v/>
      </c>
      <c r="N442" s="56" t="str">
        <f aca="false">IF(INDEX(BookTitle,437)="","",INDEX(BookTotal,437)*'5. Scenarios'!$D$6/(1+ProductivityDefault*('5. Scenarios'!$D$11-1)))</f>
        <v/>
      </c>
      <c r="O442" s="57" t="str">
        <f aca="false">IF($N442="","",INDEX(BookRate,437)*(1+'5. Scenarios'!$D$10)*$N442)</f>
        <v/>
      </c>
      <c r="P442" s="57" t="str">
        <f aca="false">IF($O442="","",SUMIFS($O$6:$O$2405,$A$6:$A$2405,"&lt;="&amp;$A442))</f>
        <v/>
      </c>
      <c r="Q442" s="57" t="str">
        <f aca="false">IF($O442="","",IF($P442&lt;=BankCostEnvelope*'5. Scenarios'!$D$7,1,0))</f>
        <v/>
      </c>
      <c r="R442" s="57" t="str">
        <f aca="false">IF($N442="","",INDEX(BookRate,437)*(1+'5. Scenarios'!$D$10)*(INDEX(BookQ1,437)*(5-MIN(4,1+'5. Scenarios'!$D$8))/4+INDEX(BookQ2,437)*(5-MIN(4,2+'5. Scenarios'!$D$8))/4+INDEX(BookQ3,437)*(5-MIN(4,3+'5. Scenarios'!$D$8))/4+INDEX(BookQ4,437)*(5-MIN(4,4+'5. Scenarios'!$D$8))/4)*'5. Scenarios'!$D$6/(1+ProductivityDefault*('5. Scenarios'!$D$11-1))+INDEX(BookOneOff,437)*$N442)</f>
        <v/>
      </c>
      <c r="S442" s="56" t="str">
        <f aca="false">IF(INDEX(BookTitle,437)="","",INDEX(BookTotal,437)*'5. Scenarios'!$E$6/(1+ProductivityDefault*('5. Scenarios'!$E$11-1)))</f>
        <v/>
      </c>
      <c r="T442" s="57" t="str">
        <f aca="false">IF($S442="","",INDEX(BookRate,437)*(1+'5. Scenarios'!$E$10)*$S442)</f>
        <v/>
      </c>
      <c r="U442" s="57" t="str">
        <f aca="false">IF($T442="","",SUMIFS($T$6:$T$2405,$A$6:$A$2405,"&lt;="&amp;$A442))</f>
        <v/>
      </c>
      <c r="V442" s="57" t="str">
        <f aca="false">IF($T442="","",IF($U442&lt;=BankCostEnvelope*'5. Scenarios'!$E$7,1,0))</f>
        <v/>
      </c>
      <c r="W442" s="57" t="str">
        <f aca="false">IF($S442="","",INDEX(BookRate,437)*(1+'5. Scenarios'!$E$10)*(INDEX(BookQ1,437)*(5-MIN(4,1+'5. Scenarios'!$E$8))/4+INDEX(BookQ2,437)*(5-MIN(4,2+'5. Scenarios'!$E$8))/4+INDEX(BookQ3,437)*(5-MIN(4,3+'5. Scenarios'!$E$8))/4+INDEX(BookQ4,437)*(5-MIN(4,4+'5. Scenarios'!$E$8))/4)*'5. Scenarios'!$E$6/(1+ProductivityDefault*('5. Scenarios'!$E$11-1))+INDEX(BookOneOff,437)*$S442)</f>
        <v/>
      </c>
    </row>
    <row r="443" customFormat="false" ht="15" hidden="false" customHeight="false" outlineLevel="0" collapsed="false">
      <c r="A443" s="0" t="str">
        <f aca="false">IF(INDEX(BookTitle,438)="","",INDEX(BookKey,438))</f>
        <v/>
      </c>
      <c r="B443" s="0" t="str">
        <f aca="false">IF(INDEX(BookTitle,438)="","",INDEX(BookGroup,438))</f>
        <v/>
      </c>
      <c r="C443" s="0" t="str">
        <f aca="false">IF(INDEX(BookTitle,438)="","",INDEX(BookCategory,438))</f>
        <v/>
      </c>
      <c r="D443" s="56" t="str">
        <f aca="false">IF(INDEX(BookTitle,438)="","",INDEX(BookTotal,438)*'5. Scenarios'!$B$6/(1+ProductivityDefault*('5. Scenarios'!$B$11-1)))</f>
        <v/>
      </c>
      <c r="E443" s="57" t="str">
        <f aca="false">IF($D443="","",INDEX(BookRate,438)*(1+'5. Scenarios'!$B$10)*$D443)</f>
        <v/>
      </c>
      <c r="F443" s="57" t="str">
        <f aca="false">IF($E443="","",SUMIFS($E$6:$E$2405,$A$6:$A$2405,"&lt;="&amp;$A443))</f>
        <v/>
      </c>
      <c r="G443" s="57" t="str">
        <f aca="false">IF($E443="","",IF($F443&lt;=BankCostEnvelope*'5. Scenarios'!$B$7,1,0))</f>
        <v/>
      </c>
      <c r="H443" s="57" t="str">
        <f aca="false">IF($D443="","",INDEX(BookRate,438)*(1+'5. Scenarios'!$B$10)*(INDEX(BookQ1,438)*(5-MIN(4,1+'5. Scenarios'!$B$8))/4+INDEX(BookQ2,438)*(5-MIN(4,2+'5. Scenarios'!$B$8))/4+INDEX(BookQ3,438)*(5-MIN(4,3+'5. Scenarios'!$B$8))/4+INDEX(BookQ4,438)*(5-MIN(4,4+'5. Scenarios'!$B$8))/4)*'5. Scenarios'!$B$6/(1+ProductivityDefault*('5. Scenarios'!$B$11-1))+INDEX(BookOneOff,438)*$D443)</f>
        <v/>
      </c>
      <c r="I443" s="56" t="str">
        <f aca="false">IF(INDEX(BookTitle,438)="","",INDEX(BookTotal,438)*'5. Scenarios'!$C$6/(1+ProductivityDefault*('5. Scenarios'!$C$11-1)))</f>
        <v/>
      </c>
      <c r="J443" s="57" t="str">
        <f aca="false">IF($I443="","",INDEX(BookRate,438)*(1+'5. Scenarios'!$C$10)*$I443)</f>
        <v/>
      </c>
      <c r="K443" s="57" t="str">
        <f aca="false">IF($J443="","",SUMIFS($J$6:$J$2405,$A$6:$A$2405,"&lt;="&amp;$A443))</f>
        <v/>
      </c>
      <c r="L443" s="57" t="str">
        <f aca="false">IF($J443="","",IF($K443&lt;=BankCostEnvelope*'5. Scenarios'!$C$7,1,0))</f>
        <v/>
      </c>
      <c r="M443" s="57" t="str">
        <f aca="false">IF($I443="","",INDEX(BookRate,438)*(1+'5. Scenarios'!$C$10)*(INDEX(BookQ1,438)*(5-MIN(4,1+'5. Scenarios'!$C$8))/4+INDEX(BookQ2,438)*(5-MIN(4,2+'5. Scenarios'!$C$8))/4+INDEX(BookQ3,438)*(5-MIN(4,3+'5. Scenarios'!$C$8))/4+INDEX(BookQ4,438)*(5-MIN(4,4+'5. Scenarios'!$C$8))/4)*'5. Scenarios'!$C$6/(1+ProductivityDefault*('5. Scenarios'!$C$11-1))+INDEX(BookOneOff,438)*$I443)</f>
        <v/>
      </c>
      <c r="N443" s="56" t="str">
        <f aca="false">IF(INDEX(BookTitle,438)="","",INDEX(BookTotal,438)*'5. Scenarios'!$D$6/(1+ProductivityDefault*('5. Scenarios'!$D$11-1)))</f>
        <v/>
      </c>
      <c r="O443" s="57" t="str">
        <f aca="false">IF($N443="","",INDEX(BookRate,438)*(1+'5. Scenarios'!$D$10)*$N443)</f>
        <v/>
      </c>
      <c r="P443" s="57" t="str">
        <f aca="false">IF($O443="","",SUMIFS($O$6:$O$2405,$A$6:$A$2405,"&lt;="&amp;$A443))</f>
        <v/>
      </c>
      <c r="Q443" s="57" t="str">
        <f aca="false">IF($O443="","",IF($P443&lt;=BankCostEnvelope*'5. Scenarios'!$D$7,1,0))</f>
        <v/>
      </c>
      <c r="R443" s="57" t="str">
        <f aca="false">IF($N443="","",INDEX(BookRate,438)*(1+'5. Scenarios'!$D$10)*(INDEX(BookQ1,438)*(5-MIN(4,1+'5. Scenarios'!$D$8))/4+INDEX(BookQ2,438)*(5-MIN(4,2+'5. Scenarios'!$D$8))/4+INDEX(BookQ3,438)*(5-MIN(4,3+'5. Scenarios'!$D$8))/4+INDEX(BookQ4,438)*(5-MIN(4,4+'5. Scenarios'!$D$8))/4)*'5. Scenarios'!$D$6/(1+ProductivityDefault*('5. Scenarios'!$D$11-1))+INDEX(BookOneOff,438)*$N443)</f>
        <v/>
      </c>
      <c r="S443" s="56" t="str">
        <f aca="false">IF(INDEX(BookTitle,438)="","",INDEX(BookTotal,438)*'5. Scenarios'!$E$6/(1+ProductivityDefault*('5. Scenarios'!$E$11-1)))</f>
        <v/>
      </c>
      <c r="T443" s="57" t="str">
        <f aca="false">IF($S443="","",INDEX(BookRate,438)*(1+'5. Scenarios'!$E$10)*$S443)</f>
        <v/>
      </c>
      <c r="U443" s="57" t="str">
        <f aca="false">IF($T443="","",SUMIFS($T$6:$T$2405,$A$6:$A$2405,"&lt;="&amp;$A443))</f>
        <v/>
      </c>
      <c r="V443" s="57" t="str">
        <f aca="false">IF($T443="","",IF($U443&lt;=BankCostEnvelope*'5. Scenarios'!$E$7,1,0))</f>
        <v/>
      </c>
      <c r="W443" s="57" t="str">
        <f aca="false">IF($S443="","",INDEX(BookRate,438)*(1+'5. Scenarios'!$E$10)*(INDEX(BookQ1,438)*(5-MIN(4,1+'5. Scenarios'!$E$8))/4+INDEX(BookQ2,438)*(5-MIN(4,2+'5. Scenarios'!$E$8))/4+INDEX(BookQ3,438)*(5-MIN(4,3+'5. Scenarios'!$E$8))/4+INDEX(BookQ4,438)*(5-MIN(4,4+'5. Scenarios'!$E$8))/4)*'5. Scenarios'!$E$6/(1+ProductivityDefault*('5. Scenarios'!$E$11-1))+INDEX(BookOneOff,438)*$S443)</f>
        <v/>
      </c>
    </row>
    <row r="444" customFormat="false" ht="15" hidden="false" customHeight="false" outlineLevel="0" collapsed="false">
      <c r="A444" s="0" t="str">
        <f aca="false">IF(INDEX(BookTitle,439)="","",INDEX(BookKey,439))</f>
        <v/>
      </c>
      <c r="B444" s="0" t="str">
        <f aca="false">IF(INDEX(BookTitle,439)="","",INDEX(BookGroup,439))</f>
        <v/>
      </c>
      <c r="C444" s="0" t="str">
        <f aca="false">IF(INDEX(BookTitle,439)="","",INDEX(BookCategory,439))</f>
        <v/>
      </c>
      <c r="D444" s="56" t="str">
        <f aca="false">IF(INDEX(BookTitle,439)="","",INDEX(BookTotal,439)*'5. Scenarios'!$B$6/(1+ProductivityDefault*('5. Scenarios'!$B$11-1)))</f>
        <v/>
      </c>
      <c r="E444" s="57" t="str">
        <f aca="false">IF($D444="","",INDEX(BookRate,439)*(1+'5. Scenarios'!$B$10)*$D444)</f>
        <v/>
      </c>
      <c r="F444" s="57" t="str">
        <f aca="false">IF($E444="","",SUMIFS($E$6:$E$2405,$A$6:$A$2405,"&lt;="&amp;$A444))</f>
        <v/>
      </c>
      <c r="G444" s="57" t="str">
        <f aca="false">IF($E444="","",IF($F444&lt;=BankCostEnvelope*'5. Scenarios'!$B$7,1,0))</f>
        <v/>
      </c>
      <c r="H444" s="57" t="str">
        <f aca="false">IF($D444="","",INDEX(BookRate,439)*(1+'5. Scenarios'!$B$10)*(INDEX(BookQ1,439)*(5-MIN(4,1+'5. Scenarios'!$B$8))/4+INDEX(BookQ2,439)*(5-MIN(4,2+'5. Scenarios'!$B$8))/4+INDEX(BookQ3,439)*(5-MIN(4,3+'5. Scenarios'!$B$8))/4+INDEX(BookQ4,439)*(5-MIN(4,4+'5. Scenarios'!$B$8))/4)*'5. Scenarios'!$B$6/(1+ProductivityDefault*('5. Scenarios'!$B$11-1))+INDEX(BookOneOff,439)*$D444)</f>
        <v/>
      </c>
      <c r="I444" s="56" t="str">
        <f aca="false">IF(INDEX(BookTitle,439)="","",INDEX(BookTotal,439)*'5. Scenarios'!$C$6/(1+ProductivityDefault*('5. Scenarios'!$C$11-1)))</f>
        <v/>
      </c>
      <c r="J444" s="57" t="str">
        <f aca="false">IF($I444="","",INDEX(BookRate,439)*(1+'5. Scenarios'!$C$10)*$I444)</f>
        <v/>
      </c>
      <c r="K444" s="57" t="str">
        <f aca="false">IF($J444="","",SUMIFS($J$6:$J$2405,$A$6:$A$2405,"&lt;="&amp;$A444))</f>
        <v/>
      </c>
      <c r="L444" s="57" t="str">
        <f aca="false">IF($J444="","",IF($K444&lt;=BankCostEnvelope*'5. Scenarios'!$C$7,1,0))</f>
        <v/>
      </c>
      <c r="M444" s="57" t="str">
        <f aca="false">IF($I444="","",INDEX(BookRate,439)*(1+'5. Scenarios'!$C$10)*(INDEX(BookQ1,439)*(5-MIN(4,1+'5. Scenarios'!$C$8))/4+INDEX(BookQ2,439)*(5-MIN(4,2+'5. Scenarios'!$C$8))/4+INDEX(BookQ3,439)*(5-MIN(4,3+'5. Scenarios'!$C$8))/4+INDEX(BookQ4,439)*(5-MIN(4,4+'5. Scenarios'!$C$8))/4)*'5. Scenarios'!$C$6/(1+ProductivityDefault*('5. Scenarios'!$C$11-1))+INDEX(BookOneOff,439)*$I444)</f>
        <v/>
      </c>
      <c r="N444" s="56" t="str">
        <f aca="false">IF(INDEX(BookTitle,439)="","",INDEX(BookTotal,439)*'5. Scenarios'!$D$6/(1+ProductivityDefault*('5. Scenarios'!$D$11-1)))</f>
        <v/>
      </c>
      <c r="O444" s="57" t="str">
        <f aca="false">IF($N444="","",INDEX(BookRate,439)*(1+'5. Scenarios'!$D$10)*$N444)</f>
        <v/>
      </c>
      <c r="P444" s="57" t="str">
        <f aca="false">IF($O444="","",SUMIFS($O$6:$O$2405,$A$6:$A$2405,"&lt;="&amp;$A444))</f>
        <v/>
      </c>
      <c r="Q444" s="57" t="str">
        <f aca="false">IF($O444="","",IF($P444&lt;=BankCostEnvelope*'5. Scenarios'!$D$7,1,0))</f>
        <v/>
      </c>
      <c r="R444" s="57" t="str">
        <f aca="false">IF($N444="","",INDEX(BookRate,439)*(1+'5. Scenarios'!$D$10)*(INDEX(BookQ1,439)*(5-MIN(4,1+'5. Scenarios'!$D$8))/4+INDEX(BookQ2,439)*(5-MIN(4,2+'5. Scenarios'!$D$8))/4+INDEX(BookQ3,439)*(5-MIN(4,3+'5. Scenarios'!$D$8))/4+INDEX(BookQ4,439)*(5-MIN(4,4+'5. Scenarios'!$D$8))/4)*'5. Scenarios'!$D$6/(1+ProductivityDefault*('5. Scenarios'!$D$11-1))+INDEX(BookOneOff,439)*$N444)</f>
        <v/>
      </c>
      <c r="S444" s="56" t="str">
        <f aca="false">IF(INDEX(BookTitle,439)="","",INDEX(BookTotal,439)*'5. Scenarios'!$E$6/(1+ProductivityDefault*('5. Scenarios'!$E$11-1)))</f>
        <v/>
      </c>
      <c r="T444" s="57" t="str">
        <f aca="false">IF($S444="","",INDEX(BookRate,439)*(1+'5. Scenarios'!$E$10)*$S444)</f>
        <v/>
      </c>
      <c r="U444" s="57" t="str">
        <f aca="false">IF($T444="","",SUMIFS($T$6:$T$2405,$A$6:$A$2405,"&lt;="&amp;$A444))</f>
        <v/>
      </c>
      <c r="V444" s="57" t="str">
        <f aca="false">IF($T444="","",IF($U444&lt;=BankCostEnvelope*'5. Scenarios'!$E$7,1,0))</f>
        <v/>
      </c>
      <c r="W444" s="57" t="str">
        <f aca="false">IF($S444="","",INDEX(BookRate,439)*(1+'5. Scenarios'!$E$10)*(INDEX(BookQ1,439)*(5-MIN(4,1+'5. Scenarios'!$E$8))/4+INDEX(BookQ2,439)*(5-MIN(4,2+'5. Scenarios'!$E$8))/4+INDEX(BookQ3,439)*(5-MIN(4,3+'5. Scenarios'!$E$8))/4+INDEX(BookQ4,439)*(5-MIN(4,4+'5. Scenarios'!$E$8))/4)*'5. Scenarios'!$E$6/(1+ProductivityDefault*('5. Scenarios'!$E$11-1))+INDEX(BookOneOff,439)*$S444)</f>
        <v/>
      </c>
    </row>
    <row r="445" customFormat="false" ht="15" hidden="false" customHeight="false" outlineLevel="0" collapsed="false">
      <c r="A445" s="0" t="str">
        <f aca="false">IF(INDEX(BookTitle,440)="","",INDEX(BookKey,440))</f>
        <v/>
      </c>
      <c r="B445" s="0" t="str">
        <f aca="false">IF(INDEX(BookTitle,440)="","",INDEX(BookGroup,440))</f>
        <v/>
      </c>
      <c r="C445" s="0" t="str">
        <f aca="false">IF(INDEX(BookTitle,440)="","",INDEX(BookCategory,440))</f>
        <v/>
      </c>
      <c r="D445" s="56" t="str">
        <f aca="false">IF(INDEX(BookTitle,440)="","",INDEX(BookTotal,440)*'5. Scenarios'!$B$6/(1+ProductivityDefault*('5. Scenarios'!$B$11-1)))</f>
        <v/>
      </c>
      <c r="E445" s="57" t="str">
        <f aca="false">IF($D445="","",INDEX(BookRate,440)*(1+'5. Scenarios'!$B$10)*$D445)</f>
        <v/>
      </c>
      <c r="F445" s="57" t="str">
        <f aca="false">IF($E445="","",SUMIFS($E$6:$E$2405,$A$6:$A$2405,"&lt;="&amp;$A445))</f>
        <v/>
      </c>
      <c r="G445" s="57" t="str">
        <f aca="false">IF($E445="","",IF($F445&lt;=BankCostEnvelope*'5. Scenarios'!$B$7,1,0))</f>
        <v/>
      </c>
      <c r="H445" s="57" t="str">
        <f aca="false">IF($D445="","",INDEX(BookRate,440)*(1+'5. Scenarios'!$B$10)*(INDEX(BookQ1,440)*(5-MIN(4,1+'5. Scenarios'!$B$8))/4+INDEX(BookQ2,440)*(5-MIN(4,2+'5. Scenarios'!$B$8))/4+INDEX(BookQ3,440)*(5-MIN(4,3+'5. Scenarios'!$B$8))/4+INDEX(BookQ4,440)*(5-MIN(4,4+'5. Scenarios'!$B$8))/4)*'5. Scenarios'!$B$6/(1+ProductivityDefault*('5. Scenarios'!$B$11-1))+INDEX(BookOneOff,440)*$D445)</f>
        <v/>
      </c>
      <c r="I445" s="56" t="str">
        <f aca="false">IF(INDEX(BookTitle,440)="","",INDEX(BookTotal,440)*'5. Scenarios'!$C$6/(1+ProductivityDefault*('5. Scenarios'!$C$11-1)))</f>
        <v/>
      </c>
      <c r="J445" s="57" t="str">
        <f aca="false">IF($I445="","",INDEX(BookRate,440)*(1+'5. Scenarios'!$C$10)*$I445)</f>
        <v/>
      </c>
      <c r="K445" s="57" t="str">
        <f aca="false">IF($J445="","",SUMIFS($J$6:$J$2405,$A$6:$A$2405,"&lt;="&amp;$A445))</f>
        <v/>
      </c>
      <c r="L445" s="57" t="str">
        <f aca="false">IF($J445="","",IF($K445&lt;=BankCostEnvelope*'5. Scenarios'!$C$7,1,0))</f>
        <v/>
      </c>
      <c r="M445" s="57" t="str">
        <f aca="false">IF($I445="","",INDEX(BookRate,440)*(1+'5. Scenarios'!$C$10)*(INDEX(BookQ1,440)*(5-MIN(4,1+'5. Scenarios'!$C$8))/4+INDEX(BookQ2,440)*(5-MIN(4,2+'5. Scenarios'!$C$8))/4+INDEX(BookQ3,440)*(5-MIN(4,3+'5. Scenarios'!$C$8))/4+INDEX(BookQ4,440)*(5-MIN(4,4+'5. Scenarios'!$C$8))/4)*'5. Scenarios'!$C$6/(1+ProductivityDefault*('5. Scenarios'!$C$11-1))+INDEX(BookOneOff,440)*$I445)</f>
        <v/>
      </c>
      <c r="N445" s="56" t="str">
        <f aca="false">IF(INDEX(BookTitle,440)="","",INDEX(BookTotal,440)*'5. Scenarios'!$D$6/(1+ProductivityDefault*('5. Scenarios'!$D$11-1)))</f>
        <v/>
      </c>
      <c r="O445" s="57" t="str">
        <f aca="false">IF($N445="","",INDEX(BookRate,440)*(1+'5. Scenarios'!$D$10)*$N445)</f>
        <v/>
      </c>
      <c r="P445" s="57" t="str">
        <f aca="false">IF($O445="","",SUMIFS($O$6:$O$2405,$A$6:$A$2405,"&lt;="&amp;$A445))</f>
        <v/>
      </c>
      <c r="Q445" s="57" t="str">
        <f aca="false">IF($O445="","",IF($P445&lt;=BankCostEnvelope*'5. Scenarios'!$D$7,1,0))</f>
        <v/>
      </c>
      <c r="R445" s="57" t="str">
        <f aca="false">IF($N445="","",INDEX(BookRate,440)*(1+'5. Scenarios'!$D$10)*(INDEX(BookQ1,440)*(5-MIN(4,1+'5. Scenarios'!$D$8))/4+INDEX(BookQ2,440)*(5-MIN(4,2+'5. Scenarios'!$D$8))/4+INDEX(BookQ3,440)*(5-MIN(4,3+'5. Scenarios'!$D$8))/4+INDEX(BookQ4,440)*(5-MIN(4,4+'5. Scenarios'!$D$8))/4)*'5. Scenarios'!$D$6/(1+ProductivityDefault*('5. Scenarios'!$D$11-1))+INDEX(BookOneOff,440)*$N445)</f>
        <v/>
      </c>
      <c r="S445" s="56" t="str">
        <f aca="false">IF(INDEX(BookTitle,440)="","",INDEX(BookTotal,440)*'5. Scenarios'!$E$6/(1+ProductivityDefault*('5. Scenarios'!$E$11-1)))</f>
        <v/>
      </c>
      <c r="T445" s="57" t="str">
        <f aca="false">IF($S445="","",INDEX(BookRate,440)*(1+'5. Scenarios'!$E$10)*$S445)</f>
        <v/>
      </c>
      <c r="U445" s="57" t="str">
        <f aca="false">IF($T445="","",SUMIFS($T$6:$T$2405,$A$6:$A$2405,"&lt;="&amp;$A445))</f>
        <v/>
      </c>
      <c r="V445" s="57" t="str">
        <f aca="false">IF($T445="","",IF($U445&lt;=BankCostEnvelope*'5. Scenarios'!$E$7,1,0))</f>
        <v/>
      </c>
      <c r="W445" s="57" t="str">
        <f aca="false">IF($S445="","",INDEX(BookRate,440)*(1+'5. Scenarios'!$E$10)*(INDEX(BookQ1,440)*(5-MIN(4,1+'5. Scenarios'!$E$8))/4+INDEX(BookQ2,440)*(5-MIN(4,2+'5. Scenarios'!$E$8))/4+INDEX(BookQ3,440)*(5-MIN(4,3+'5. Scenarios'!$E$8))/4+INDEX(BookQ4,440)*(5-MIN(4,4+'5. Scenarios'!$E$8))/4)*'5. Scenarios'!$E$6/(1+ProductivityDefault*('5. Scenarios'!$E$11-1))+INDEX(BookOneOff,440)*$S445)</f>
        <v/>
      </c>
    </row>
    <row r="446" customFormat="false" ht="15" hidden="false" customHeight="false" outlineLevel="0" collapsed="false">
      <c r="A446" s="0" t="str">
        <f aca="false">IF(INDEX(BookTitle,441)="","",INDEX(BookKey,441))</f>
        <v/>
      </c>
      <c r="B446" s="0" t="str">
        <f aca="false">IF(INDEX(BookTitle,441)="","",INDEX(BookGroup,441))</f>
        <v/>
      </c>
      <c r="C446" s="0" t="str">
        <f aca="false">IF(INDEX(BookTitle,441)="","",INDEX(BookCategory,441))</f>
        <v/>
      </c>
      <c r="D446" s="56" t="str">
        <f aca="false">IF(INDEX(BookTitle,441)="","",INDEX(BookTotal,441)*'5. Scenarios'!$B$6/(1+ProductivityDefault*('5. Scenarios'!$B$11-1)))</f>
        <v/>
      </c>
      <c r="E446" s="57" t="str">
        <f aca="false">IF($D446="","",INDEX(BookRate,441)*(1+'5. Scenarios'!$B$10)*$D446)</f>
        <v/>
      </c>
      <c r="F446" s="57" t="str">
        <f aca="false">IF($E446="","",SUMIFS($E$6:$E$2405,$A$6:$A$2405,"&lt;="&amp;$A446))</f>
        <v/>
      </c>
      <c r="G446" s="57" t="str">
        <f aca="false">IF($E446="","",IF($F446&lt;=BankCostEnvelope*'5. Scenarios'!$B$7,1,0))</f>
        <v/>
      </c>
      <c r="H446" s="57" t="str">
        <f aca="false">IF($D446="","",INDEX(BookRate,441)*(1+'5. Scenarios'!$B$10)*(INDEX(BookQ1,441)*(5-MIN(4,1+'5. Scenarios'!$B$8))/4+INDEX(BookQ2,441)*(5-MIN(4,2+'5. Scenarios'!$B$8))/4+INDEX(BookQ3,441)*(5-MIN(4,3+'5. Scenarios'!$B$8))/4+INDEX(BookQ4,441)*(5-MIN(4,4+'5. Scenarios'!$B$8))/4)*'5. Scenarios'!$B$6/(1+ProductivityDefault*('5. Scenarios'!$B$11-1))+INDEX(BookOneOff,441)*$D446)</f>
        <v/>
      </c>
      <c r="I446" s="56" t="str">
        <f aca="false">IF(INDEX(BookTitle,441)="","",INDEX(BookTotal,441)*'5. Scenarios'!$C$6/(1+ProductivityDefault*('5. Scenarios'!$C$11-1)))</f>
        <v/>
      </c>
      <c r="J446" s="57" t="str">
        <f aca="false">IF($I446="","",INDEX(BookRate,441)*(1+'5. Scenarios'!$C$10)*$I446)</f>
        <v/>
      </c>
      <c r="K446" s="57" t="str">
        <f aca="false">IF($J446="","",SUMIFS($J$6:$J$2405,$A$6:$A$2405,"&lt;="&amp;$A446))</f>
        <v/>
      </c>
      <c r="L446" s="57" t="str">
        <f aca="false">IF($J446="","",IF($K446&lt;=BankCostEnvelope*'5. Scenarios'!$C$7,1,0))</f>
        <v/>
      </c>
      <c r="M446" s="57" t="str">
        <f aca="false">IF($I446="","",INDEX(BookRate,441)*(1+'5. Scenarios'!$C$10)*(INDEX(BookQ1,441)*(5-MIN(4,1+'5. Scenarios'!$C$8))/4+INDEX(BookQ2,441)*(5-MIN(4,2+'5. Scenarios'!$C$8))/4+INDEX(BookQ3,441)*(5-MIN(4,3+'5. Scenarios'!$C$8))/4+INDEX(BookQ4,441)*(5-MIN(4,4+'5. Scenarios'!$C$8))/4)*'5. Scenarios'!$C$6/(1+ProductivityDefault*('5. Scenarios'!$C$11-1))+INDEX(BookOneOff,441)*$I446)</f>
        <v/>
      </c>
      <c r="N446" s="56" t="str">
        <f aca="false">IF(INDEX(BookTitle,441)="","",INDEX(BookTotal,441)*'5. Scenarios'!$D$6/(1+ProductivityDefault*('5. Scenarios'!$D$11-1)))</f>
        <v/>
      </c>
      <c r="O446" s="57" t="str">
        <f aca="false">IF($N446="","",INDEX(BookRate,441)*(1+'5. Scenarios'!$D$10)*$N446)</f>
        <v/>
      </c>
      <c r="P446" s="57" t="str">
        <f aca="false">IF($O446="","",SUMIFS($O$6:$O$2405,$A$6:$A$2405,"&lt;="&amp;$A446))</f>
        <v/>
      </c>
      <c r="Q446" s="57" t="str">
        <f aca="false">IF($O446="","",IF($P446&lt;=BankCostEnvelope*'5. Scenarios'!$D$7,1,0))</f>
        <v/>
      </c>
      <c r="R446" s="57" t="str">
        <f aca="false">IF($N446="","",INDEX(BookRate,441)*(1+'5. Scenarios'!$D$10)*(INDEX(BookQ1,441)*(5-MIN(4,1+'5. Scenarios'!$D$8))/4+INDEX(BookQ2,441)*(5-MIN(4,2+'5. Scenarios'!$D$8))/4+INDEX(BookQ3,441)*(5-MIN(4,3+'5. Scenarios'!$D$8))/4+INDEX(BookQ4,441)*(5-MIN(4,4+'5. Scenarios'!$D$8))/4)*'5. Scenarios'!$D$6/(1+ProductivityDefault*('5. Scenarios'!$D$11-1))+INDEX(BookOneOff,441)*$N446)</f>
        <v/>
      </c>
      <c r="S446" s="56" t="str">
        <f aca="false">IF(INDEX(BookTitle,441)="","",INDEX(BookTotal,441)*'5. Scenarios'!$E$6/(1+ProductivityDefault*('5. Scenarios'!$E$11-1)))</f>
        <v/>
      </c>
      <c r="T446" s="57" t="str">
        <f aca="false">IF($S446="","",INDEX(BookRate,441)*(1+'5. Scenarios'!$E$10)*$S446)</f>
        <v/>
      </c>
      <c r="U446" s="57" t="str">
        <f aca="false">IF($T446="","",SUMIFS($T$6:$T$2405,$A$6:$A$2405,"&lt;="&amp;$A446))</f>
        <v/>
      </c>
      <c r="V446" s="57" t="str">
        <f aca="false">IF($T446="","",IF($U446&lt;=BankCostEnvelope*'5. Scenarios'!$E$7,1,0))</f>
        <v/>
      </c>
      <c r="W446" s="57" t="str">
        <f aca="false">IF($S446="","",INDEX(BookRate,441)*(1+'5. Scenarios'!$E$10)*(INDEX(BookQ1,441)*(5-MIN(4,1+'5. Scenarios'!$E$8))/4+INDEX(BookQ2,441)*(5-MIN(4,2+'5. Scenarios'!$E$8))/4+INDEX(BookQ3,441)*(5-MIN(4,3+'5. Scenarios'!$E$8))/4+INDEX(BookQ4,441)*(5-MIN(4,4+'5. Scenarios'!$E$8))/4)*'5. Scenarios'!$E$6/(1+ProductivityDefault*('5. Scenarios'!$E$11-1))+INDEX(BookOneOff,441)*$S446)</f>
        <v/>
      </c>
    </row>
    <row r="447" customFormat="false" ht="15" hidden="false" customHeight="false" outlineLevel="0" collapsed="false">
      <c r="A447" s="0" t="str">
        <f aca="false">IF(INDEX(BookTitle,442)="","",INDEX(BookKey,442))</f>
        <v/>
      </c>
      <c r="B447" s="0" t="str">
        <f aca="false">IF(INDEX(BookTitle,442)="","",INDEX(BookGroup,442))</f>
        <v/>
      </c>
      <c r="C447" s="0" t="str">
        <f aca="false">IF(INDEX(BookTitle,442)="","",INDEX(BookCategory,442))</f>
        <v/>
      </c>
      <c r="D447" s="56" t="str">
        <f aca="false">IF(INDEX(BookTitle,442)="","",INDEX(BookTotal,442)*'5. Scenarios'!$B$6/(1+ProductivityDefault*('5. Scenarios'!$B$11-1)))</f>
        <v/>
      </c>
      <c r="E447" s="57" t="str">
        <f aca="false">IF($D447="","",INDEX(BookRate,442)*(1+'5. Scenarios'!$B$10)*$D447)</f>
        <v/>
      </c>
      <c r="F447" s="57" t="str">
        <f aca="false">IF($E447="","",SUMIFS($E$6:$E$2405,$A$6:$A$2405,"&lt;="&amp;$A447))</f>
        <v/>
      </c>
      <c r="G447" s="57" t="str">
        <f aca="false">IF($E447="","",IF($F447&lt;=BankCostEnvelope*'5. Scenarios'!$B$7,1,0))</f>
        <v/>
      </c>
      <c r="H447" s="57" t="str">
        <f aca="false">IF($D447="","",INDEX(BookRate,442)*(1+'5. Scenarios'!$B$10)*(INDEX(BookQ1,442)*(5-MIN(4,1+'5. Scenarios'!$B$8))/4+INDEX(BookQ2,442)*(5-MIN(4,2+'5. Scenarios'!$B$8))/4+INDEX(BookQ3,442)*(5-MIN(4,3+'5. Scenarios'!$B$8))/4+INDEX(BookQ4,442)*(5-MIN(4,4+'5. Scenarios'!$B$8))/4)*'5. Scenarios'!$B$6/(1+ProductivityDefault*('5. Scenarios'!$B$11-1))+INDEX(BookOneOff,442)*$D447)</f>
        <v/>
      </c>
      <c r="I447" s="56" t="str">
        <f aca="false">IF(INDEX(BookTitle,442)="","",INDEX(BookTotal,442)*'5. Scenarios'!$C$6/(1+ProductivityDefault*('5. Scenarios'!$C$11-1)))</f>
        <v/>
      </c>
      <c r="J447" s="57" t="str">
        <f aca="false">IF($I447="","",INDEX(BookRate,442)*(1+'5. Scenarios'!$C$10)*$I447)</f>
        <v/>
      </c>
      <c r="K447" s="57" t="str">
        <f aca="false">IF($J447="","",SUMIFS($J$6:$J$2405,$A$6:$A$2405,"&lt;="&amp;$A447))</f>
        <v/>
      </c>
      <c r="L447" s="57" t="str">
        <f aca="false">IF($J447="","",IF($K447&lt;=BankCostEnvelope*'5. Scenarios'!$C$7,1,0))</f>
        <v/>
      </c>
      <c r="M447" s="57" t="str">
        <f aca="false">IF($I447="","",INDEX(BookRate,442)*(1+'5. Scenarios'!$C$10)*(INDEX(BookQ1,442)*(5-MIN(4,1+'5. Scenarios'!$C$8))/4+INDEX(BookQ2,442)*(5-MIN(4,2+'5. Scenarios'!$C$8))/4+INDEX(BookQ3,442)*(5-MIN(4,3+'5. Scenarios'!$C$8))/4+INDEX(BookQ4,442)*(5-MIN(4,4+'5. Scenarios'!$C$8))/4)*'5. Scenarios'!$C$6/(1+ProductivityDefault*('5. Scenarios'!$C$11-1))+INDEX(BookOneOff,442)*$I447)</f>
        <v/>
      </c>
      <c r="N447" s="56" t="str">
        <f aca="false">IF(INDEX(BookTitle,442)="","",INDEX(BookTotal,442)*'5. Scenarios'!$D$6/(1+ProductivityDefault*('5. Scenarios'!$D$11-1)))</f>
        <v/>
      </c>
      <c r="O447" s="57" t="str">
        <f aca="false">IF($N447="","",INDEX(BookRate,442)*(1+'5. Scenarios'!$D$10)*$N447)</f>
        <v/>
      </c>
      <c r="P447" s="57" t="str">
        <f aca="false">IF($O447="","",SUMIFS($O$6:$O$2405,$A$6:$A$2405,"&lt;="&amp;$A447))</f>
        <v/>
      </c>
      <c r="Q447" s="57" t="str">
        <f aca="false">IF($O447="","",IF($P447&lt;=BankCostEnvelope*'5. Scenarios'!$D$7,1,0))</f>
        <v/>
      </c>
      <c r="R447" s="57" t="str">
        <f aca="false">IF($N447="","",INDEX(BookRate,442)*(1+'5. Scenarios'!$D$10)*(INDEX(BookQ1,442)*(5-MIN(4,1+'5. Scenarios'!$D$8))/4+INDEX(BookQ2,442)*(5-MIN(4,2+'5. Scenarios'!$D$8))/4+INDEX(BookQ3,442)*(5-MIN(4,3+'5. Scenarios'!$D$8))/4+INDEX(BookQ4,442)*(5-MIN(4,4+'5. Scenarios'!$D$8))/4)*'5. Scenarios'!$D$6/(1+ProductivityDefault*('5. Scenarios'!$D$11-1))+INDEX(BookOneOff,442)*$N447)</f>
        <v/>
      </c>
      <c r="S447" s="56" t="str">
        <f aca="false">IF(INDEX(BookTitle,442)="","",INDEX(BookTotal,442)*'5. Scenarios'!$E$6/(1+ProductivityDefault*('5. Scenarios'!$E$11-1)))</f>
        <v/>
      </c>
      <c r="T447" s="57" t="str">
        <f aca="false">IF($S447="","",INDEX(BookRate,442)*(1+'5. Scenarios'!$E$10)*$S447)</f>
        <v/>
      </c>
      <c r="U447" s="57" t="str">
        <f aca="false">IF($T447="","",SUMIFS($T$6:$T$2405,$A$6:$A$2405,"&lt;="&amp;$A447))</f>
        <v/>
      </c>
      <c r="V447" s="57" t="str">
        <f aca="false">IF($T447="","",IF($U447&lt;=BankCostEnvelope*'5. Scenarios'!$E$7,1,0))</f>
        <v/>
      </c>
      <c r="W447" s="57" t="str">
        <f aca="false">IF($S447="","",INDEX(BookRate,442)*(1+'5. Scenarios'!$E$10)*(INDEX(BookQ1,442)*(5-MIN(4,1+'5. Scenarios'!$E$8))/4+INDEX(BookQ2,442)*(5-MIN(4,2+'5. Scenarios'!$E$8))/4+INDEX(BookQ3,442)*(5-MIN(4,3+'5. Scenarios'!$E$8))/4+INDEX(BookQ4,442)*(5-MIN(4,4+'5. Scenarios'!$E$8))/4)*'5. Scenarios'!$E$6/(1+ProductivityDefault*('5. Scenarios'!$E$11-1))+INDEX(BookOneOff,442)*$S447)</f>
        <v/>
      </c>
    </row>
    <row r="448" customFormat="false" ht="15" hidden="false" customHeight="false" outlineLevel="0" collapsed="false">
      <c r="A448" s="0" t="str">
        <f aca="false">IF(INDEX(BookTitle,443)="","",INDEX(BookKey,443))</f>
        <v/>
      </c>
      <c r="B448" s="0" t="str">
        <f aca="false">IF(INDEX(BookTitle,443)="","",INDEX(BookGroup,443))</f>
        <v/>
      </c>
      <c r="C448" s="0" t="str">
        <f aca="false">IF(INDEX(BookTitle,443)="","",INDEX(BookCategory,443))</f>
        <v/>
      </c>
      <c r="D448" s="56" t="str">
        <f aca="false">IF(INDEX(BookTitle,443)="","",INDEX(BookTotal,443)*'5. Scenarios'!$B$6/(1+ProductivityDefault*('5. Scenarios'!$B$11-1)))</f>
        <v/>
      </c>
      <c r="E448" s="57" t="str">
        <f aca="false">IF($D448="","",INDEX(BookRate,443)*(1+'5. Scenarios'!$B$10)*$D448)</f>
        <v/>
      </c>
      <c r="F448" s="57" t="str">
        <f aca="false">IF($E448="","",SUMIFS($E$6:$E$2405,$A$6:$A$2405,"&lt;="&amp;$A448))</f>
        <v/>
      </c>
      <c r="G448" s="57" t="str">
        <f aca="false">IF($E448="","",IF($F448&lt;=BankCostEnvelope*'5. Scenarios'!$B$7,1,0))</f>
        <v/>
      </c>
      <c r="H448" s="57" t="str">
        <f aca="false">IF($D448="","",INDEX(BookRate,443)*(1+'5. Scenarios'!$B$10)*(INDEX(BookQ1,443)*(5-MIN(4,1+'5. Scenarios'!$B$8))/4+INDEX(BookQ2,443)*(5-MIN(4,2+'5. Scenarios'!$B$8))/4+INDEX(BookQ3,443)*(5-MIN(4,3+'5. Scenarios'!$B$8))/4+INDEX(BookQ4,443)*(5-MIN(4,4+'5. Scenarios'!$B$8))/4)*'5. Scenarios'!$B$6/(1+ProductivityDefault*('5. Scenarios'!$B$11-1))+INDEX(BookOneOff,443)*$D448)</f>
        <v/>
      </c>
      <c r="I448" s="56" t="str">
        <f aca="false">IF(INDEX(BookTitle,443)="","",INDEX(BookTotal,443)*'5. Scenarios'!$C$6/(1+ProductivityDefault*('5. Scenarios'!$C$11-1)))</f>
        <v/>
      </c>
      <c r="J448" s="57" t="str">
        <f aca="false">IF($I448="","",INDEX(BookRate,443)*(1+'5. Scenarios'!$C$10)*$I448)</f>
        <v/>
      </c>
      <c r="K448" s="57" t="str">
        <f aca="false">IF($J448="","",SUMIFS($J$6:$J$2405,$A$6:$A$2405,"&lt;="&amp;$A448))</f>
        <v/>
      </c>
      <c r="L448" s="57" t="str">
        <f aca="false">IF($J448="","",IF($K448&lt;=BankCostEnvelope*'5. Scenarios'!$C$7,1,0))</f>
        <v/>
      </c>
      <c r="M448" s="57" t="str">
        <f aca="false">IF($I448="","",INDEX(BookRate,443)*(1+'5. Scenarios'!$C$10)*(INDEX(BookQ1,443)*(5-MIN(4,1+'5. Scenarios'!$C$8))/4+INDEX(BookQ2,443)*(5-MIN(4,2+'5. Scenarios'!$C$8))/4+INDEX(BookQ3,443)*(5-MIN(4,3+'5. Scenarios'!$C$8))/4+INDEX(BookQ4,443)*(5-MIN(4,4+'5. Scenarios'!$C$8))/4)*'5. Scenarios'!$C$6/(1+ProductivityDefault*('5. Scenarios'!$C$11-1))+INDEX(BookOneOff,443)*$I448)</f>
        <v/>
      </c>
      <c r="N448" s="56" t="str">
        <f aca="false">IF(INDEX(BookTitle,443)="","",INDEX(BookTotal,443)*'5. Scenarios'!$D$6/(1+ProductivityDefault*('5. Scenarios'!$D$11-1)))</f>
        <v/>
      </c>
      <c r="O448" s="57" t="str">
        <f aca="false">IF($N448="","",INDEX(BookRate,443)*(1+'5. Scenarios'!$D$10)*$N448)</f>
        <v/>
      </c>
      <c r="P448" s="57" t="str">
        <f aca="false">IF($O448="","",SUMIFS($O$6:$O$2405,$A$6:$A$2405,"&lt;="&amp;$A448))</f>
        <v/>
      </c>
      <c r="Q448" s="57" t="str">
        <f aca="false">IF($O448="","",IF($P448&lt;=BankCostEnvelope*'5. Scenarios'!$D$7,1,0))</f>
        <v/>
      </c>
      <c r="R448" s="57" t="str">
        <f aca="false">IF($N448="","",INDEX(BookRate,443)*(1+'5. Scenarios'!$D$10)*(INDEX(BookQ1,443)*(5-MIN(4,1+'5. Scenarios'!$D$8))/4+INDEX(BookQ2,443)*(5-MIN(4,2+'5. Scenarios'!$D$8))/4+INDEX(BookQ3,443)*(5-MIN(4,3+'5. Scenarios'!$D$8))/4+INDEX(BookQ4,443)*(5-MIN(4,4+'5. Scenarios'!$D$8))/4)*'5. Scenarios'!$D$6/(1+ProductivityDefault*('5. Scenarios'!$D$11-1))+INDEX(BookOneOff,443)*$N448)</f>
        <v/>
      </c>
      <c r="S448" s="56" t="str">
        <f aca="false">IF(INDEX(BookTitle,443)="","",INDEX(BookTotal,443)*'5. Scenarios'!$E$6/(1+ProductivityDefault*('5. Scenarios'!$E$11-1)))</f>
        <v/>
      </c>
      <c r="T448" s="57" t="str">
        <f aca="false">IF($S448="","",INDEX(BookRate,443)*(1+'5. Scenarios'!$E$10)*$S448)</f>
        <v/>
      </c>
      <c r="U448" s="57" t="str">
        <f aca="false">IF($T448="","",SUMIFS($T$6:$T$2405,$A$6:$A$2405,"&lt;="&amp;$A448))</f>
        <v/>
      </c>
      <c r="V448" s="57" t="str">
        <f aca="false">IF($T448="","",IF($U448&lt;=BankCostEnvelope*'5. Scenarios'!$E$7,1,0))</f>
        <v/>
      </c>
      <c r="W448" s="57" t="str">
        <f aca="false">IF($S448="","",INDEX(BookRate,443)*(1+'5. Scenarios'!$E$10)*(INDEX(BookQ1,443)*(5-MIN(4,1+'5. Scenarios'!$E$8))/4+INDEX(BookQ2,443)*(5-MIN(4,2+'5. Scenarios'!$E$8))/4+INDEX(BookQ3,443)*(5-MIN(4,3+'5. Scenarios'!$E$8))/4+INDEX(BookQ4,443)*(5-MIN(4,4+'5. Scenarios'!$E$8))/4)*'5. Scenarios'!$E$6/(1+ProductivityDefault*('5. Scenarios'!$E$11-1))+INDEX(BookOneOff,443)*$S448)</f>
        <v/>
      </c>
    </row>
    <row r="449" customFormat="false" ht="15" hidden="false" customHeight="false" outlineLevel="0" collapsed="false">
      <c r="A449" s="0" t="str">
        <f aca="false">IF(INDEX(BookTitle,444)="","",INDEX(BookKey,444))</f>
        <v/>
      </c>
      <c r="B449" s="0" t="str">
        <f aca="false">IF(INDEX(BookTitle,444)="","",INDEX(BookGroup,444))</f>
        <v/>
      </c>
      <c r="C449" s="0" t="str">
        <f aca="false">IF(INDEX(BookTitle,444)="","",INDEX(BookCategory,444))</f>
        <v/>
      </c>
      <c r="D449" s="56" t="str">
        <f aca="false">IF(INDEX(BookTitle,444)="","",INDEX(BookTotal,444)*'5. Scenarios'!$B$6/(1+ProductivityDefault*('5. Scenarios'!$B$11-1)))</f>
        <v/>
      </c>
      <c r="E449" s="57" t="str">
        <f aca="false">IF($D449="","",INDEX(BookRate,444)*(1+'5. Scenarios'!$B$10)*$D449)</f>
        <v/>
      </c>
      <c r="F449" s="57" t="str">
        <f aca="false">IF($E449="","",SUMIFS($E$6:$E$2405,$A$6:$A$2405,"&lt;="&amp;$A449))</f>
        <v/>
      </c>
      <c r="G449" s="57" t="str">
        <f aca="false">IF($E449="","",IF($F449&lt;=BankCostEnvelope*'5. Scenarios'!$B$7,1,0))</f>
        <v/>
      </c>
      <c r="H449" s="57" t="str">
        <f aca="false">IF($D449="","",INDEX(BookRate,444)*(1+'5. Scenarios'!$B$10)*(INDEX(BookQ1,444)*(5-MIN(4,1+'5. Scenarios'!$B$8))/4+INDEX(BookQ2,444)*(5-MIN(4,2+'5. Scenarios'!$B$8))/4+INDEX(BookQ3,444)*(5-MIN(4,3+'5. Scenarios'!$B$8))/4+INDEX(BookQ4,444)*(5-MIN(4,4+'5. Scenarios'!$B$8))/4)*'5. Scenarios'!$B$6/(1+ProductivityDefault*('5. Scenarios'!$B$11-1))+INDEX(BookOneOff,444)*$D449)</f>
        <v/>
      </c>
      <c r="I449" s="56" t="str">
        <f aca="false">IF(INDEX(BookTitle,444)="","",INDEX(BookTotal,444)*'5. Scenarios'!$C$6/(1+ProductivityDefault*('5. Scenarios'!$C$11-1)))</f>
        <v/>
      </c>
      <c r="J449" s="57" t="str">
        <f aca="false">IF($I449="","",INDEX(BookRate,444)*(1+'5. Scenarios'!$C$10)*$I449)</f>
        <v/>
      </c>
      <c r="K449" s="57" t="str">
        <f aca="false">IF($J449="","",SUMIFS($J$6:$J$2405,$A$6:$A$2405,"&lt;="&amp;$A449))</f>
        <v/>
      </c>
      <c r="L449" s="57" t="str">
        <f aca="false">IF($J449="","",IF($K449&lt;=BankCostEnvelope*'5. Scenarios'!$C$7,1,0))</f>
        <v/>
      </c>
      <c r="M449" s="57" t="str">
        <f aca="false">IF($I449="","",INDEX(BookRate,444)*(1+'5. Scenarios'!$C$10)*(INDEX(BookQ1,444)*(5-MIN(4,1+'5. Scenarios'!$C$8))/4+INDEX(BookQ2,444)*(5-MIN(4,2+'5. Scenarios'!$C$8))/4+INDEX(BookQ3,444)*(5-MIN(4,3+'5. Scenarios'!$C$8))/4+INDEX(BookQ4,444)*(5-MIN(4,4+'5. Scenarios'!$C$8))/4)*'5. Scenarios'!$C$6/(1+ProductivityDefault*('5. Scenarios'!$C$11-1))+INDEX(BookOneOff,444)*$I449)</f>
        <v/>
      </c>
      <c r="N449" s="56" t="str">
        <f aca="false">IF(INDEX(BookTitle,444)="","",INDEX(BookTotal,444)*'5. Scenarios'!$D$6/(1+ProductivityDefault*('5. Scenarios'!$D$11-1)))</f>
        <v/>
      </c>
      <c r="O449" s="57" t="str">
        <f aca="false">IF($N449="","",INDEX(BookRate,444)*(1+'5. Scenarios'!$D$10)*$N449)</f>
        <v/>
      </c>
      <c r="P449" s="57" t="str">
        <f aca="false">IF($O449="","",SUMIFS($O$6:$O$2405,$A$6:$A$2405,"&lt;="&amp;$A449))</f>
        <v/>
      </c>
      <c r="Q449" s="57" t="str">
        <f aca="false">IF($O449="","",IF($P449&lt;=BankCostEnvelope*'5. Scenarios'!$D$7,1,0))</f>
        <v/>
      </c>
      <c r="R449" s="57" t="str">
        <f aca="false">IF($N449="","",INDEX(BookRate,444)*(1+'5. Scenarios'!$D$10)*(INDEX(BookQ1,444)*(5-MIN(4,1+'5. Scenarios'!$D$8))/4+INDEX(BookQ2,444)*(5-MIN(4,2+'5. Scenarios'!$D$8))/4+INDEX(BookQ3,444)*(5-MIN(4,3+'5. Scenarios'!$D$8))/4+INDEX(BookQ4,444)*(5-MIN(4,4+'5. Scenarios'!$D$8))/4)*'5. Scenarios'!$D$6/(1+ProductivityDefault*('5. Scenarios'!$D$11-1))+INDEX(BookOneOff,444)*$N449)</f>
        <v/>
      </c>
      <c r="S449" s="56" t="str">
        <f aca="false">IF(INDEX(BookTitle,444)="","",INDEX(BookTotal,444)*'5. Scenarios'!$E$6/(1+ProductivityDefault*('5. Scenarios'!$E$11-1)))</f>
        <v/>
      </c>
      <c r="T449" s="57" t="str">
        <f aca="false">IF($S449="","",INDEX(BookRate,444)*(1+'5. Scenarios'!$E$10)*$S449)</f>
        <v/>
      </c>
      <c r="U449" s="57" t="str">
        <f aca="false">IF($T449="","",SUMIFS($T$6:$T$2405,$A$6:$A$2405,"&lt;="&amp;$A449))</f>
        <v/>
      </c>
      <c r="V449" s="57" t="str">
        <f aca="false">IF($T449="","",IF($U449&lt;=BankCostEnvelope*'5. Scenarios'!$E$7,1,0))</f>
        <v/>
      </c>
      <c r="W449" s="57" t="str">
        <f aca="false">IF($S449="","",INDEX(BookRate,444)*(1+'5. Scenarios'!$E$10)*(INDEX(BookQ1,444)*(5-MIN(4,1+'5. Scenarios'!$E$8))/4+INDEX(BookQ2,444)*(5-MIN(4,2+'5. Scenarios'!$E$8))/4+INDEX(BookQ3,444)*(5-MIN(4,3+'5. Scenarios'!$E$8))/4+INDEX(BookQ4,444)*(5-MIN(4,4+'5. Scenarios'!$E$8))/4)*'5. Scenarios'!$E$6/(1+ProductivityDefault*('5. Scenarios'!$E$11-1))+INDEX(BookOneOff,444)*$S449)</f>
        <v/>
      </c>
    </row>
    <row r="450" customFormat="false" ht="15" hidden="false" customHeight="false" outlineLevel="0" collapsed="false">
      <c r="A450" s="0" t="str">
        <f aca="false">IF(INDEX(BookTitle,445)="","",INDEX(BookKey,445))</f>
        <v/>
      </c>
      <c r="B450" s="0" t="str">
        <f aca="false">IF(INDEX(BookTitle,445)="","",INDEX(BookGroup,445))</f>
        <v/>
      </c>
      <c r="C450" s="0" t="str">
        <f aca="false">IF(INDEX(BookTitle,445)="","",INDEX(BookCategory,445))</f>
        <v/>
      </c>
      <c r="D450" s="56" t="str">
        <f aca="false">IF(INDEX(BookTitle,445)="","",INDEX(BookTotal,445)*'5. Scenarios'!$B$6/(1+ProductivityDefault*('5. Scenarios'!$B$11-1)))</f>
        <v/>
      </c>
      <c r="E450" s="57" t="str">
        <f aca="false">IF($D450="","",INDEX(BookRate,445)*(1+'5. Scenarios'!$B$10)*$D450)</f>
        <v/>
      </c>
      <c r="F450" s="57" t="str">
        <f aca="false">IF($E450="","",SUMIFS($E$6:$E$2405,$A$6:$A$2405,"&lt;="&amp;$A450))</f>
        <v/>
      </c>
      <c r="G450" s="57" t="str">
        <f aca="false">IF($E450="","",IF($F450&lt;=BankCostEnvelope*'5. Scenarios'!$B$7,1,0))</f>
        <v/>
      </c>
      <c r="H450" s="57" t="str">
        <f aca="false">IF($D450="","",INDEX(BookRate,445)*(1+'5. Scenarios'!$B$10)*(INDEX(BookQ1,445)*(5-MIN(4,1+'5. Scenarios'!$B$8))/4+INDEX(BookQ2,445)*(5-MIN(4,2+'5. Scenarios'!$B$8))/4+INDEX(BookQ3,445)*(5-MIN(4,3+'5. Scenarios'!$B$8))/4+INDEX(BookQ4,445)*(5-MIN(4,4+'5. Scenarios'!$B$8))/4)*'5. Scenarios'!$B$6/(1+ProductivityDefault*('5. Scenarios'!$B$11-1))+INDEX(BookOneOff,445)*$D450)</f>
        <v/>
      </c>
      <c r="I450" s="56" t="str">
        <f aca="false">IF(INDEX(BookTitle,445)="","",INDEX(BookTotal,445)*'5. Scenarios'!$C$6/(1+ProductivityDefault*('5. Scenarios'!$C$11-1)))</f>
        <v/>
      </c>
      <c r="J450" s="57" t="str">
        <f aca="false">IF($I450="","",INDEX(BookRate,445)*(1+'5. Scenarios'!$C$10)*$I450)</f>
        <v/>
      </c>
      <c r="K450" s="57" t="str">
        <f aca="false">IF($J450="","",SUMIFS($J$6:$J$2405,$A$6:$A$2405,"&lt;="&amp;$A450))</f>
        <v/>
      </c>
      <c r="L450" s="57" t="str">
        <f aca="false">IF($J450="","",IF($K450&lt;=BankCostEnvelope*'5. Scenarios'!$C$7,1,0))</f>
        <v/>
      </c>
      <c r="M450" s="57" t="str">
        <f aca="false">IF($I450="","",INDEX(BookRate,445)*(1+'5. Scenarios'!$C$10)*(INDEX(BookQ1,445)*(5-MIN(4,1+'5. Scenarios'!$C$8))/4+INDEX(BookQ2,445)*(5-MIN(4,2+'5. Scenarios'!$C$8))/4+INDEX(BookQ3,445)*(5-MIN(4,3+'5. Scenarios'!$C$8))/4+INDEX(BookQ4,445)*(5-MIN(4,4+'5. Scenarios'!$C$8))/4)*'5. Scenarios'!$C$6/(1+ProductivityDefault*('5. Scenarios'!$C$11-1))+INDEX(BookOneOff,445)*$I450)</f>
        <v/>
      </c>
      <c r="N450" s="56" t="str">
        <f aca="false">IF(INDEX(BookTitle,445)="","",INDEX(BookTotal,445)*'5. Scenarios'!$D$6/(1+ProductivityDefault*('5. Scenarios'!$D$11-1)))</f>
        <v/>
      </c>
      <c r="O450" s="57" t="str">
        <f aca="false">IF($N450="","",INDEX(BookRate,445)*(1+'5. Scenarios'!$D$10)*$N450)</f>
        <v/>
      </c>
      <c r="P450" s="57" t="str">
        <f aca="false">IF($O450="","",SUMIFS($O$6:$O$2405,$A$6:$A$2405,"&lt;="&amp;$A450))</f>
        <v/>
      </c>
      <c r="Q450" s="57" t="str">
        <f aca="false">IF($O450="","",IF($P450&lt;=BankCostEnvelope*'5. Scenarios'!$D$7,1,0))</f>
        <v/>
      </c>
      <c r="R450" s="57" t="str">
        <f aca="false">IF($N450="","",INDEX(BookRate,445)*(1+'5. Scenarios'!$D$10)*(INDEX(BookQ1,445)*(5-MIN(4,1+'5. Scenarios'!$D$8))/4+INDEX(BookQ2,445)*(5-MIN(4,2+'5. Scenarios'!$D$8))/4+INDEX(BookQ3,445)*(5-MIN(4,3+'5. Scenarios'!$D$8))/4+INDEX(BookQ4,445)*(5-MIN(4,4+'5. Scenarios'!$D$8))/4)*'5. Scenarios'!$D$6/(1+ProductivityDefault*('5. Scenarios'!$D$11-1))+INDEX(BookOneOff,445)*$N450)</f>
        <v/>
      </c>
      <c r="S450" s="56" t="str">
        <f aca="false">IF(INDEX(BookTitle,445)="","",INDEX(BookTotal,445)*'5. Scenarios'!$E$6/(1+ProductivityDefault*('5. Scenarios'!$E$11-1)))</f>
        <v/>
      </c>
      <c r="T450" s="57" t="str">
        <f aca="false">IF($S450="","",INDEX(BookRate,445)*(1+'5. Scenarios'!$E$10)*$S450)</f>
        <v/>
      </c>
      <c r="U450" s="57" t="str">
        <f aca="false">IF($T450="","",SUMIFS($T$6:$T$2405,$A$6:$A$2405,"&lt;="&amp;$A450))</f>
        <v/>
      </c>
      <c r="V450" s="57" t="str">
        <f aca="false">IF($T450="","",IF($U450&lt;=BankCostEnvelope*'5. Scenarios'!$E$7,1,0))</f>
        <v/>
      </c>
      <c r="W450" s="57" t="str">
        <f aca="false">IF($S450="","",INDEX(BookRate,445)*(1+'5. Scenarios'!$E$10)*(INDEX(BookQ1,445)*(5-MIN(4,1+'5. Scenarios'!$E$8))/4+INDEX(BookQ2,445)*(5-MIN(4,2+'5. Scenarios'!$E$8))/4+INDEX(BookQ3,445)*(5-MIN(4,3+'5. Scenarios'!$E$8))/4+INDEX(BookQ4,445)*(5-MIN(4,4+'5. Scenarios'!$E$8))/4)*'5. Scenarios'!$E$6/(1+ProductivityDefault*('5. Scenarios'!$E$11-1))+INDEX(BookOneOff,445)*$S450)</f>
        <v/>
      </c>
    </row>
    <row r="451" customFormat="false" ht="15" hidden="false" customHeight="false" outlineLevel="0" collapsed="false">
      <c r="A451" s="0" t="str">
        <f aca="false">IF(INDEX(BookTitle,446)="","",INDEX(BookKey,446))</f>
        <v/>
      </c>
      <c r="B451" s="0" t="str">
        <f aca="false">IF(INDEX(BookTitle,446)="","",INDEX(BookGroup,446))</f>
        <v/>
      </c>
      <c r="C451" s="0" t="str">
        <f aca="false">IF(INDEX(BookTitle,446)="","",INDEX(BookCategory,446))</f>
        <v/>
      </c>
      <c r="D451" s="56" t="str">
        <f aca="false">IF(INDEX(BookTitle,446)="","",INDEX(BookTotal,446)*'5. Scenarios'!$B$6/(1+ProductivityDefault*('5. Scenarios'!$B$11-1)))</f>
        <v/>
      </c>
      <c r="E451" s="57" t="str">
        <f aca="false">IF($D451="","",INDEX(BookRate,446)*(1+'5. Scenarios'!$B$10)*$D451)</f>
        <v/>
      </c>
      <c r="F451" s="57" t="str">
        <f aca="false">IF($E451="","",SUMIFS($E$6:$E$2405,$A$6:$A$2405,"&lt;="&amp;$A451))</f>
        <v/>
      </c>
      <c r="G451" s="57" t="str">
        <f aca="false">IF($E451="","",IF($F451&lt;=BankCostEnvelope*'5. Scenarios'!$B$7,1,0))</f>
        <v/>
      </c>
      <c r="H451" s="57" t="str">
        <f aca="false">IF($D451="","",INDEX(BookRate,446)*(1+'5. Scenarios'!$B$10)*(INDEX(BookQ1,446)*(5-MIN(4,1+'5. Scenarios'!$B$8))/4+INDEX(BookQ2,446)*(5-MIN(4,2+'5. Scenarios'!$B$8))/4+INDEX(BookQ3,446)*(5-MIN(4,3+'5. Scenarios'!$B$8))/4+INDEX(BookQ4,446)*(5-MIN(4,4+'5. Scenarios'!$B$8))/4)*'5. Scenarios'!$B$6/(1+ProductivityDefault*('5. Scenarios'!$B$11-1))+INDEX(BookOneOff,446)*$D451)</f>
        <v/>
      </c>
      <c r="I451" s="56" t="str">
        <f aca="false">IF(INDEX(BookTitle,446)="","",INDEX(BookTotal,446)*'5. Scenarios'!$C$6/(1+ProductivityDefault*('5. Scenarios'!$C$11-1)))</f>
        <v/>
      </c>
      <c r="J451" s="57" t="str">
        <f aca="false">IF($I451="","",INDEX(BookRate,446)*(1+'5. Scenarios'!$C$10)*$I451)</f>
        <v/>
      </c>
      <c r="K451" s="57" t="str">
        <f aca="false">IF($J451="","",SUMIFS($J$6:$J$2405,$A$6:$A$2405,"&lt;="&amp;$A451))</f>
        <v/>
      </c>
      <c r="L451" s="57" t="str">
        <f aca="false">IF($J451="","",IF($K451&lt;=BankCostEnvelope*'5. Scenarios'!$C$7,1,0))</f>
        <v/>
      </c>
      <c r="M451" s="57" t="str">
        <f aca="false">IF($I451="","",INDEX(BookRate,446)*(1+'5. Scenarios'!$C$10)*(INDEX(BookQ1,446)*(5-MIN(4,1+'5. Scenarios'!$C$8))/4+INDEX(BookQ2,446)*(5-MIN(4,2+'5. Scenarios'!$C$8))/4+INDEX(BookQ3,446)*(5-MIN(4,3+'5. Scenarios'!$C$8))/4+INDEX(BookQ4,446)*(5-MIN(4,4+'5. Scenarios'!$C$8))/4)*'5. Scenarios'!$C$6/(1+ProductivityDefault*('5. Scenarios'!$C$11-1))+INDEX(BookOneOff,446)*$I451)</f>
        <v/>
      </c>
      <c r="N451" s="56" t="str">
        <f aca="false">IF(INDEX(BookTitle,446)="","",INDEX(BookTotal,446)*'5. Scenarios'!$D$6/(1+ProductivityDefault*('5. Scenarios'!$D$11-1)))</f>
        <v/>
      </c>
      <c r="O451" s="57" t="str">
        <f aca="false">IF($N451="","",INDEX(BookRate,446)*(1+'5. Scenarios'!$D$10)*$N451)</f>
        <v/>
      </c>
      <c r="P451" s="57" t="str">
        <f aca="false">IF($O451="","",SUMIFS($O$6:$O$2405,$A$6:$A$2405,"&lt;="&amp;$A451))</f>
        <v/>
      </c>
      <c r="Q451" s="57" t="str">
        <f aca="false">IF($O451="","",IF($P451&lt;=BankCostEnvelope*'5. Scenarios'!$D$7,1,0))</f>
        <v/>
      </c>
      <c r="R451" s="57" t="str">
        <f aca="false">IF($N451="","",INDEX(BookRate,446)*(1+'5. Scenarios'!$D$10)*(INDEX(BookQ1,446)*(5-MIN(4,1+'5. Scenarios'!$D$8))/4+INDEX(BookQ2,446)*(5-MIN(4,2+'5. Scenarios'!$D$8))/4+INDEX(BookQ3,446)*(5-MIN(4,3+'5. Scenarios'!$D$8))/4+INDEX(BookQ4,446)*(5-MIN(4,4+'5. Scenarios'!$D$8))/4)*'5. Scenarios'!$D$6/(1+ProductivityDefault*('5. Scenarios'!$D$11-1))+INDEX(BookOneOff,446)*$N451)</f>
        <v/>
      </c>
      <c r="S451" s="56" t="str">
        <f aca="false">IF(INDEX(BookTitle,446)="","",INDEX(BookTotal,446)*'5. Scenarios'!$E$6/(1+ProductivityDefault*('5. Scenarios'!$E$11-1)))</f>
        <v/>
      </c>
      <c r="T451" s="57" t="str">
        <f aca="false">IF($S451="","",INDEX(BookRate,446)*(1+'5. Scenarios'!$E$10)*$S451)</f>
        <v/>
      </c>
      <c r="U451" s="57" t="str">
        <f aca="false">IF($T451="","",SUMIFS($T$6:$T$2405,$A$6:$A$2405,"&lt;="&amp;$A451))</f>
        <v/>
      </c>
      <c r="V451" s="57" t="str">
        <f aca="false">IF($T451="","",IF($U451&lt;=BankCostEnvelope*'5. Scenarios'!$E$7,1,0))</f>
        <v/>
      </c>
      <c r="W451" s="57" t="str">
        <f aca="false">IF($S451="","",INDEX(BookRate,446)*(1+'5. Scenarios'!$E$10)*(INDEX(BookQ1,446)*(5-MIN(4,1+'5. Scenarios'!$E$8))/4+INDEX(BookQ2,446)*(5-MIN(4,2+'5. Scenarios'!$E$8))/4+INDEX(BookQ3,446)*(5-MIN(4,3+'5. Scenarios'!$E$8))/4+INDEX(BookQ4,446)*(5-MIN(4,4+'5. Scenarios'!$E$8))/4)*'5. Scenarios'!$E$6/(1+ProductivityDefault*('5. Scenarios'!$E$11-1))+INDEX(BookOneOff,446)*$S451)</f>
        <v/>
      </c>
    </row>
    <row r="452" customFormat="false" ht="15" hidden="false" customHeight="false" outlineLevel="0" collapsed="false">
      <c r="A452" s="0" t="str">
        <f aca="false">IF(INDEX(BookTitle,447)="","",INDEX(BookKey,447))</f>
        <v/>
      </c>
      <c r="B452" s="0" t="str">
        <f aca="false">IF(INDEX(BookTitle,447)="","",INDEX(BookGroup,447))</f>
        <v/>
      </c>
      <c r="C452" s="0" t="str">
        <f aca="false">IF(INDEX(BookTitle,447)="","",INDEX(BookCategory,447))</f>
        <v/>
      </c>
      <c r="D452" s="56" t="str">
        <f aca="false">IF(INDEX(BookTitle,447)="","",INDEX(BookTotal,447)*'5. Scenarios'!$B$6/(1+ProductivityDefault*('5. Scenarios'!$B$11-1)))</f>
        <v/>
      </c>
      <c r="E452" s="57" t="str">
        <f aca="false">IF($D452="","",INDEX(BookRate,447)*(1+'5. Scenarios'!$B$10)*$D452)</f>
        <v/>
      </c>
      <c r="F452" s="57" t="str">
        <f aca="false">IF($E452="","",SUMIFS($E$6:$E$2405,$A$6:$A$2405,"&lt;="&amp;$A452))</f>
        <v/>
      </c>
      <c r="G452" s="57" t="str">
        <f aca="false">IF($E452="","",IF($F452&lt;=BankCostEnvelope*'5. Scenarios'!$B$7,1,0))</f>
        <v/>
      </c>
      <c r="H452" s="57" t="str">
        <f aca="false">IF($D452="","",INDEX(BookRate,447)*(1+'5. Scenarios'!$B$10)*(INDEX(BookQ1,447)*(5-MIN(4,1+'5. Scenarios'!$B$8))/4+INDEX(BookQ2,447)*(5-MIN(4,2+'5. Scenarios'!$B$8))/4+INDEX(BookQ3,447)*(5-MIN(4,3+'5. Scenarios'!$B$8))/4+INDEX(BookQ4,447)*(5-MIN(4,4+'5. Scenarios'!$B$8))/4)*'5. Scenarios'!$B$6/(1+ProductivityDefault*('5. Scenarios'!$B$11-1))+INDEX(BookOneOff,447)*$D452)</f>
        <v/>
      </c>
      <c r="I452" s="56" t="str">
        <f aca="false">IF(INDEX(BookTitle,447)="","",INDEX(BookTotal,447)*'5. Scenarios'!$C$6/(1+ProductivityDefault*('5. Scenarios'!$C$11-1)))</f>
        <v/>
      </c>
      <c r="J452" s="57" t="str">
        <f aca="false">IF($I452="","",INDEX(BookRate,447)*(1+'5. Scenarios'!$C$10)*$I452)</f>
        <v/>
      </c>
      <c r="K452" s="57" t="str">
        <f aca="false">IF($J452="","",SUMIFS($J$6:$J$2405,$A$6:$A$2405,"&lt;="&amp;$A452))</f>
        <v/>
      </c>
      <c r="L452" s="57" t="str">
        <f aca="false">IF($J452="","",IF($K452&lt;=BankCostEnvelope*'5. Scenarios'!$C$7,1,0))</f>
        <v/>
      </c>
      <c r="M452" s="57" t="str">
        <f aca="false">IF($I452="","",INDEX(BookRate,447)*(1+'5. Scenarios'!$C$10)*(INDEX(BookQ1,447)*(5-MIN(4,1+'5. Scenarios'!$C$8))/4+INDEX(BookQ2,447)*(5-MIN(4,2+'5. Scenarios'!$C$8))/4+INDEX(BookQ3,447)*(5-MIN(4,3+'5. Scenarios'!$C$8))/4+INDEX(BookQ4,447)*(5-MIN(4,4+'5. Scenarios'!$C$8))/4)*'5. Scenarios'!$C$6/(1+ProductivityDefault*('5. Scenarios'!$C$11-1))+INDEX(BookOneOff,447)*$I452)</f>
        <v/>
      </c>
      <c r="N452" s="56" t="str">
        <f aca="false">IF(INDEX(BookTitle,447)="","",INDEX(BookTotal,447)*'5. Scenarios'!$D$6/(1+ProductivityDefault*('5. Scenarios'!$D$11-1)))</f>
        <v/>
      </c>
      <c r="O452" s="57" t="str">
        <f aca="false">IF($N452="","",INDEX(BookRate,447)*(1+'5. Scenarios'!$D$10)*$N452)</f>
        <v/>
      </c>
      <c r="P452" s="57" t="str">
        <f aca="false">IF($O452="","",SUMIFS($O$6:$O$2405,$A$6:$A$2405,"&lt;="&amp;$A452))</f>
        <v/>
      </c>
      <c r="Q452" s="57" t="str">
        <f aca="false">IF($O452="","",IF($P452&lt;=BankCostEnvelope*'5. Scenarios'!$D$7,1,0))</f>
        <v/>
      </c>
      <c r="R452" s="57" t="str">
        <f aca="false">IF($N452="","",INDEX(BookRate,447)*(1+'5. Scenarios'!$D$10)*(INDEX(BookQ1,447)*(5-MIN(4,1+'5. Scenarios'!$D$8))/4+INDEX(BookQ2,447)*(5-MIN(4,2+'5. Scenarios'!$D$8))/4+INDEX(BookQ3,447)*(5-MIN(4,3+'5. Scenarios'!$D$8))/4+INDEX(BookQ4,447)*(5-MIN(4,4+'5. Scenarios'!$D$8))/4)*'5. Scenarios'!$D$6/(1+ProductivityDefault*('5. Scenarios'!$D$11-1))+INDEX(BookOneOff,447)*$N452)</f>
        <v/>
      </c>
      <c r="S452" s="56" t="str">
        <f aca="false">IF(INDEX(BookTitle,447)="","",INDEX(BookTotal,447)*'5. Scenarios'!$E$6/(1+ProductivityDefault*('5. Scenarios'!$E$11-1)))</f>
        <v/>
      </c>
      <c r="T452" s="57" t="str">
        <f aca="false">IF($S452="","",INDEX(BookRate,447)*(1+'5. Scenarios'!$E$10)*$S452)</f>
        <v/>
      </c>
      <c r="U452" s="57" t="str">
        <f aca="false">IF($T452="","",SUMIFS($T$6:$T$2405,$A$6:$A$2405,"&lt;="&amp;$A452))</f>
        <v/>
      </c>
      <c r="V452" s="57" t="str">
        <f aca="false">IF($T452="","",IF($U452&lt;=BankCostEnvelope*'5. Scenarios'!$E$7,1,0))</f>
        <v/>
      </c>
      <c r="W452" s="57" t="str">
        <f aca="false">IF($S452="","",INDEX(BookRate,447)*(1+'5. Scenarios'!$E$10)*(INDEX(BookQ1,447)*(5-MIN(4,1+'5. Scenarios'!$E$8))/4+INDEX(BookQ2,447)*(5-MIN(4,2+'5. Scenarios'!$E$8))/4+INDEX(BookQ3,447)*(5-MIN(4,3+'5. Scenarios'!$E$8))/4+INDEX(BookQ4,447)*(5-MIN(4,4+'5. Scenarios'!$E$8))/4)*'5. Scenarios'!$E$6/(1+ProductivityDefault*('5. Scenarios'!$E$11-1))+INDEX(BookOneOff,447)*$S452)</f>
        <v/>
      </c>
    </row>
    <row r="453" customFormat="false" ht="15" hidden="false" customHeight="false" outlineLevel="0" collapsed="false">
      <c r="A453" s="0" t="str">
        <f aca="false">IF(INDEX(BookTitle,448)="","",INDEX(BookKey,448))</f>
        <v/>
      </c>
      <c r="B453" s="0" t="str">
        <f aca="false">IF(INDEX(BookTitle,448)="","",INDEX(BookGroup,448))</f>
        <v/>
      </c>
      <c r="C453" s="0" t="str">
        <f aca="false">IF(INDEX(BookTitle,448)="","",INDEX(BookCategory,448))</f>
        <v/>
      </c>
      <c r="D453" s="56" t="str">
        <f aca="false">IF(INDEX(BookTitle,448)="","",INDEX(BookTotal,448)*'5. Scenarios'!$B$6/(1+ProductivityDefault*('5. Scenarios'!$B$11-1)))</f>
        <v/>
      </c>
      <c r="E453" s="57" t="str">
        <f aca="false">IF($D453="","",INDEX(BookRate,448)*(1+'5. Scenarios'!$B$10)*$D453)</f>
        <v/>
      </c>
      <c r="F453" s="57" t="str">
        <f aca="false">IF($E453="","",SUMIFS($E$6:$E$2405,$A$6:$A$2405,"&lt;="&amp;$A453))</f>
        <v/>
      </c>
      <c r="G453" s="57" t="str">
        <f aca="false">IF($E453="","",IF($F453&lt;=BankCostEnvelope*'5. Scenarios'!$B$7,1,0))</f>
        <v/>
      </c>
      <c r="H453" s="57" t="str">
        <f aca="false">IF($D453="","",INDEX(BookRate,448)*(1+'5. Scenarios'!$B$10)*(INDEX(BookQ1,448)*(5-MIN(4,1+'5. Scenarios'!$B$8))/4+INDEX(BookQ2,448)*(5-MIN(4,2+'5. Scenarios'!$B$8))/4+INDEX(BookQ3,448)*(5-MIN(4,3+'5. Scenarios'!$B$8))/4+INDEX(BookQ4,448)*(5-MIN(4,4+'5. Scenarios'!$B$8))/4)*'5. Scenarios'!$B$6/(1+ProductivityDefault*('5. Scenarios'!$B$11-1))+INDEX(BookOneOff,448)*$D453)</f>
        <v/>
      </c>
      <c r="I453" s="56" t="str">
        <f aca="false">IF(INDEX(BookTitle,448)="","",INDEX(BookTotal,448)*'5. Scenarios'!$C$6/(1+ProductivityDefault*('5. Scenarios'!$C$11-1)))</f>
        <v/>
      </c>
      <c r="J453" s="57" t="str">
        <f aca="false">IF($I453="","",INDEX(BookRate,448)*(1+'5. Scenarios'!$C$10)*$I453)</f>
        <v/>
      </c>
      <c r="K453" s="57" t="str">
        <f aca="false">IF($J453="","",SUMIFS($J$6:$J$2405,$A$6:$A$2405,"&lt;="&amp;$A453))</f>
        <v/>
      </c>
      <c r="L453" s="57" t="str">
        <f aca="false">IF($J453="","",IF($K453&lt;=BankCostEnvelope*'5. Scenarios'!$C$7,1,0))</f>
        <v/>
      </c>
      <c r="M453" s="57" t="str">
        <f aca="false">IF($I453="","",INDEX(BookRate,448)*(1+'5. Scenarios'!$C$10)*(INDEX(BookQ1,448)*(5-MIN(4,1+'5. Scenarios'!$C$8))/4+INDEX(BookQ2,448)*(5-MIN(4,2+'5. Scenarios'!$C$8))/4+INDEX(BookQ3,448)*(5-MIN(4,3+'5. Scenarios'!$C$8))/4+INDEX(BookQ4,448)*(5-MIN(4,4+'5. Scenarios'!$C$8))/4)*'5. Scenarios'!$C$6/(1+ProductivityDefault*('5. Scenarios'!$C$11-1))+INDEX(BookOneOff,448)*$I453)</f>
        <v/>
      </c>
      <c r="N453" s="56" t="str">
        <f aca="false">IF(INDEX(BookTitle,448)="","",INDEX(BookTotal,448)*'5. Scenarios'!$D$6/(1+ProductivityDefault*('5. Scenarios'!$D$11-1)))</f>
        <v/>
      </c>
      <c r="O453" s="57" t="str">
        <f aca="false">IF($N453="","",INDEX(BookRate,448)*(1+'5. Scenarios'!$D$10)*$N453)</f>
        <v/>
      </c>
      <c r="P453" s="57" t="str">
        <f aca="false">IF($O453="","",SUMIFS($O$6:$O$2405,$A$6:$A$2405,"&lt;="&amp;$A453))</f>
        <v/>
      </c>
      <c r="Q453" s="57" t="str">
        <f aca="false">IF($O453="","",IF($P453&lt;=BankCostEnvelope*'5. Scenarios'!$D$7,1,0))</f>
        <v/>
      </c>
      <c r="R453" s="57" t="str">
        <f aca="false">IF($N453="","",INDEX(BookRate,448)*(1+'5. Scenarios'!$D$10)*(INDEX(BookQ1,448)*(5-MIN(4,1+'5. Scenarios'!$D$8))/4+INDEX(BookQ2,448)*(5-MIN(4,2+'5. Scenarios'!$D$8))/4+INDEX(BookQ3,448)*(5-MIN(4,3+'5. Scenarios'!$D$8))/4+INDEX(BookQ4,448)*(5-MIN(4,4+'5. Scenarios'!$D$8))/4)*'5. Scenarios'!$D$6/(1+ProductivityDefault*('5. Scenarios'!$D$11-1))+INDEX(BookOneOff,448)*$N453)</f>
        <v/>
      </c>
      <c r="S453" s="56" t="str">
        <f aca="false">IF(INDEX(BookTitle,448)="","",INDEX(BookTotal,448)*'5. Scenarios'!$E$6/(1+ProductivityDefault*('5. Scenarios'!$E$11-1)))</f>
        <v/>
      </c>
      <c r="T453" s="57" t="str">
        <f aca="false">IF($S453="","",INDEX(BookRate,448)*(1+'5. Scenarios'!$E$10)*$S453)</f>
        <v/>
      </c>
      <c r="U453" s="57" t="str">
        <f aca="false">IF($T453="","",SUMIFS($T$6:$T$2405,$A$6:$A$2405,"&lt;="&amp;$A453))</f>
        <v/>
      </c>
      <c r="V453" s="57" t="str">
        <f aca="false">IF($T453="","",IF($U453&lt;=BankCostEnvelope*'5. Scenarios'!$E$7,1,0))</f>
        <v/>
      </c>
      <c r="W453" s="57" t="str">
        <f aca="false">IF($S453="","",INDEX(BookRate,448)*(1+'5. Scenarios'!$E$10)*(INDEX(BookQ1,448)*(5-MIN(4,1+'5. Scenarios'!$E$8))/4+INDEX(BookQ2,448)*(5-MIN(4,2+'5. Scenarios'!$E$8))/4+INDEX(BookQ3,448)*(5-MIN(4,3+'5. Scenarios'!$E$8))/4+INDEX(BookQ4,448)*(5-MIN(4,4+'5. Scenarios'!$E$8))/4)*'5. Scenarios'!$E$6/(1+ProductivityDefault*('5. Scenarios'!$E$11-1))+INDEX(BookOneOff,448)*$S453)</f>
        <v/>
      </c>
    </row>
    <row r="454" customFormat="false" ht="15" hidden="false" customHeight="false" outlineLevel="0" collapsed="false">
      <c r="A454" s="0" t="str">
        <f aca="false">IF(INDEX(BookTitle,449)="","",INDEX(BookKey,449))</f>
        <v/>
      </c>
      <c r="B454" s="0" t="str">
        <f aca="false">IF(INDEX(BookTitle,449)="","",INDEX(BookGroup,449))</f>
        <v/>
      </c>
      <c r="C454" s="0" t="str">
        <f aca="false">IF(INDEX(BookTitle,449)="","",INDEX(BookCategory,449))</f>
        <v/>
      </c>
      <c r="D454" s="56" t="str">
        <f aca="false">IF(INDEX(BookTitle,449)="","",INDEX(BookTotal,449)*'5. Scenarios'!$B$6/(1+ProductivityDefault*('5. Scenarios'!$B$11-1)))</f>
        <v/>
      </c>
      <c r="E454" s="57" t="str">
        <f aca="false">IF($D454="","",INDEX(BookRate,449)*(1+'5. Scenarios'!$B$10)*$D454)</f>
        <v/>
      </c>
      <c r="F454" s="57" t="str">
        <f aca="false">IF($E454="","",SUMIFS($E$6:$E$2405,$A$6:$A$2405,"&lt;="&amp;$A454))</f>
        <v/>
      </c>
      <c r="G454" s="57" t="str">
        <f aca="false">IF($E454="","",IF($F454&lt;=BankCostEnvelope*'5. Scenarios'!$B$7,1,0))</f>
        <v/>
      </c>
      <c r="H454" s="57" t="str">
        <f aca="false">IF($D454="","",INDEX(BookRate,449)*(1+'5. Scenarios'!$B$10)*(INDEX(BookQ1,449)*(5-MIN(4,1+'5. Scenarios'!$B$8))/4+INDEX(BookQ2,449)*(5-MIN(4,2+'5. Scenarios'!$B$8))/4+INDEX(BookQ3,449)*(5-MIN(4,3+'5. Scenarios'!$B$8))/4+INDEX(BookQ4,449)*(5-MIN(4,4+'5. Scenarios'!$B$8))/4)*'5. Scenarios'!$B$6/(1+ProductivityDefault*('5. Scenarios'!$B$11-1))+INDEX(BookOneOff,449)*$D454)</f>
        <v/>
      </c>
      <c r="I454" s="56" t="str">
        <f aca="false">IF(INDEX(BookTitle,449)="","",INDEX(BookTotal,449)*'5. Scenarios'!$C$6/(1+ProductivityDefault*('5. Scenarios'!$C$11-1)))</f>
        <v/>
      </c>
      <c r="J454" s="57" t="str">
        <f aca="false">IF($I454="","",INDEX(BookRate,449)*(1+'5. Scenarios'!$C$10)*$I454)</f>
        <v/>
      </c>
      <c r="K454" s="57" t="str">
        <f aca="false">IF($J454="","",SUMIFS($J$6:$J$2405,$A$6:$A$2405,"&lt;="&amp;$A454))</f>
        <v/>
      </c>
      <c r="L454" s="57" t="str">
        <f aca="false">IF($J454="","",IF($K454&lt;=BankCostEnvelope*'5. Scenarios'!$C$7,1,0))</f>
        <v/>
      </c>
      <c r="M454" s="57" t="str">
        <f aca="false">IF($I454="","",INDEX(BookRate,449)*(1+'5. Scenarios'!$C$10)*(INDEX(BookQ1,449)*(5-MIN(4,1+'5. Scenarios'!$C$8))/4+INDEX(BookQ2,449)*(5-MIN(4,2+'5. Scenarios'!$C$8))/4+INDEX(BookQ3,449)*(5-MIN(4,3+'5. Scenarios'!$C$8))/4+INDEX(BookQ4,449)*(5-MIN(4,4+'5. Scenarios'!$C$8))/4)*'5. Scenarios'!$C$6/(1+ProductivityDefault*('5. Scenarios'!$C$11-1))+INDEX(BookOneOff,449)*$I454)</f>
        <v/>
      </c>
      <c r="N454" s="56" t="str">
        <f aca="false">IF(INDEX(BookTitle,449)="","",INDEX(BookTotal,449)*'5. Scenarios'!$D$6/(1+ProductivityDefault*('5. Scenarios'!$D$11-1)))</f>
        <v/>
      </c>
      <c r="O454" s="57" t="str">
        <f aca="false">IF($N454="","",INDEX(BookRate,449)*(1+'5. Scenarios'!$D$10)*$N454)</f>
        <v/>
      </c>
      <c r="P454" s="57" t="str">
        <f aca="false">IF($O454="","",SUMIFS($O$6:$O$2405,$A$6:$A$2405,"&lt;="&amp;$A454))</f>
        <v/>
      </c>
      <c r="Q454" s="57" t="str">
        <f aca="false">IF($O454="","",IF($P454&lt;=BankCostEnvelope*'5. Scenarios'!$D$7,1,0))</f>
        <v/>
      </c>
      <c r="R454" s="57" t="str">
        <f aca="false">IF($N454="","",INDEX(BookRate,449)*(1+'5. Scenarios'!$D$10)*(INDEX(BookQ1,449)*(5-MIN(4,1+'5. Scenarios'!$D$8))/4+INDEX(BookQ2,449)*(5-MIN(4,2+'5. Scenarios'!$D$8))/4+INDEX(BookQ3,449)*(5-MIN(4,3+'5. Scenarios'!$D$8))/4+INDEX(BookQ4,449)*(5-MIN(4,4+'5. Scenarios'!$D$8))/4)*'5. Scenarios'!$D$6/(1+ProductivityDefault*('5. Scenarios'!$D$11-1))+INDEX(BookOneOff,449)*$N454)</f>
        <v/>
      </c>
      <c r="S454" s="56" t="str">
        <f aca="false">IF(INDEX(BookTitle,449)="","",INDEX(BookTotal,449)*'5. Scenarios'!$E$6/(1+ProductivityDefault*('5. Scenarios'!$E$11-1)))</f>
        <v/>
      </c>
      <c r="T454" s="57" t="str">
        <f aca="false">IF($S454="","",INDEX(BookRate,449)*(1+'5. Scenarios'!$E$10)*$S454)</f>
        <v/>
      </c>
      <c r="U454" s="57" t="str">
        <f aca="false">IF($T454="","",SUMIFS($T$6:$T$2405,$A$6:$A$2405,"&lt;="&amp;$A454))</f>
        <v/>
      </c>
      <c r="V454" s="57" t="str">
        <f aca="false">IF($T454="","",IF($U454&lt;=BankCostEnvelope*'5. Scenarios'!$E$7,1,0))</f>
        <v/>
      </c>
      <c r="W454" s="57" t="str">
        <f aca="false">IF($S454="","",INDEX(BookRate,449)*(1+'5. Scenarios'!$E$10)*(INDEX(BookQ1,449)*(5-MIN(4,1+'5. Scenarios'!$E$8))/4+INDEX(BookQ2,449)*(5-MIN(4,2+'5. Scenarios'!$E$8))/4+INDEX(BookQ3,449)*(5-MIN(4,3+'5. Scenarios'!$E$8))/4+INDEX(BookQ4,449)*(5-MIN(4,4+'5. Scenarios'!$E$8))/4)*'5. Scenarios'!$E$6/(1+ProductivityDefault*('5. Scenarios'!$E$11-1))+INDEX(BookOneOff,449)*$S454)</f>
        <v/>
      </c>
    </row>
    <row r="455" customFormat="false" ht="15" hidden="false" customHeight="false" outlineLevel="0" collapsed="false">
      <c r="A455" s="0" t="str">
        <f aca="false">IF(INDEX(BookTitle,450)="","",INDEX(BookKey,450))</f>
        <v/>
      </c>
      <c r="B455" s="0" t="str">
        <f aca="false">IF(INDEX(BookTitle,450)="","",INDEX(BookGroup,450))</f>
        <v/>
      </c>
      <c r="C455" s="0" t="str">
        <f aca="false">IF(INDEX(BookTitle,450)="","",INDEX(BookCategory,450))</f>
        <v/>
      </c>
      <c r="D455" s="56" t="str">
        <f aca="false">IF(INDEX(BookTitle,450)="","",INDEX(BookTotal,450)*'5. Scenarios'!$B$6/(1+ProductivityDefault*('5. Scenarios'!$B$11-1)))</f>
        <v/>
      </c>
      <c r="E455" s="57" t="str">
        <f aca="false">IF($D455="","",INDEX(BookRate,450)*(1+'5. Scenarios'!$B$10)*$D455)</f>
        <v/>
      </c>
      <c r="F455" s="57" t="str">
        <f aca="false">IF($E455="","",SUMIFS($E$6:$E$2405,$A$6:$A$2405,"&lt;="&amp;$A455))</f>
        <v/>
      </c>
      <c r="G455" s="57" t="str">
        <f aca="false">IF($E455="","",IF($F455&lt;=BankCostEnvelope*'5. Scenarios'!$B$7,1,0))</f>
        <v/>
      </c>
      <c r="H455" s="57" t="str">
        <f aca="false">IF($D455="","",INDEX(BookRate,450)*(1+'5. Scenarios'!$B$10)*(INDEX(BookQ1,450)*(5-MIN(4,1+'5. Scenarios'!$B$8))/4+INDEX(BookQ2,450)*(5-MIN(4,2+'5. Scenarios'!$B$8))/4+INDEX(BookQ3,450)*(5-MIN(4,3+'5. Scenarios'!$B$8))/4+INDEX(BookQ4,450)*(5-MIN(4,4+'5. Scenarios'!$B$8))/4)*'5. Scenarios'!$B$6/(1+ProductivityDefault*('5. Scenarios'!$B$11-1))+INDEX(BookOneOff,450)*$D455)</f>
        <v/>
      </c>
      <c r="I455" s="56" t="str">
        <f aca="false">IF(INDEX(BookTitle,450)="","",INDEX(BookTotal,450)*'5. Scenarios'!$C$6/(1+ProductivityDefault*('5. Scenarios'!$C$11-1)))</f>
        <v/>
      </c>
      <c r="J455" s="57" t="str">
        <f aca="false">IF($I455="","",INDEX(BookRate,450)*(1+'5. Scenarios'!$C$10)*$I455)</f>
        <v/>
      </c>
      <c r="K455" s="57" t="str">
        <f aca="false">IF($J455="","",SUMIFS($J$6:$J$2405,$A$6:$A$2405,"&lt;="&amp;$A455))</f>
        <v/>
      </c>
      <c r="L455" s="57" t="str">
        <f aca="false">IF($J455="","",IF($K455&lt;=BankCostEnvelope*'5. Scenarios'!$C$7,1,0))</f>
        <v/>
      </c>
      <c r="M455" s="57" t="str">
        <f aca="false">IF($I455="","",INDEX(BookRate,450)*(1+'5. Scenarios'!$C$10)*(INDEX(BookQ1,450)*(5-MIN(4,1+'5. Scenarios'!$C$8))/4+INDEX(BookQ2,450)*(5-MIN(4,2+'5. Scenarios'!$C$8))/4+INDEX(BookQ3,450)*(5-MIN(4,3+'5. Scenarios'!$C$8))/4+INDEX(BookQ4,450)*(5-MIN(4,4+'5. Scenarios'!$C$8))/4)*'5. Scenarios'!$C$6/(1+ProductivityDefault*('5. Scenarios'!$C$11-1))+INDEX(BookOneOff,450)*$I455)</f>
        <v/>
      </c>
      <c r="N455" s="56" t="str">
        <f aca="false">IF(INDEX(BookTitle,450)="","",INDEX(BookTotal,450)*'5. Scenarios'!$D$6/(1+ProductivityDefault*('5. Scenarios'!$D$11-1)))</f>
        <v/>
      </c>
      <c r="O455" s="57" t="str">
        <f aca="false">IF($N455="","",INDEX(BookRate,450)*(1+'5. Scenarios'!$D$10)*$N455)</f>
        <v/>
      </c>
      <c r="P455" s="57" t="str">
        <f aca="false">IF($O455="","",SUMIFS($O$6:$O$2405,$A$6:$A$2405,"&lt;="&amp;$A455))</f>
        <v/>
      </c>
      <c r="Q455" s="57" t="str">
        <f aca="false">IF($O455="","",IF($P455&lt;=BankCostEnvelope*'5. Scenarios'!$D$7,1,0))</f>
        <v/>
      </c>
      <c r="R455" s="57" t="str">
        <f aca="false">IF($N455="","",INDEX(BookRate,450)*(1+'5. Scenarios'!$D$10)*(INDEX(BookQ1,450)*(5-MIN(4,1+'5. Scenarios'!$D$8))/4+INDEX(BookQ2,450)*(5-MIN(4,2+'5. Scenarios'!$D$8))/4+INDEX(BookQ3,450)*(5-MIN(4,3+'5. Scenarios'!$D$8))/4+INDEX(BookQ4,450)*(5-MIN(4,4+'5. Scenarios'!$D$8))/4)*'5. Scenarios'!$D$6/(1+ProductivityDefault*('5. Scenarios'!$D$11-1))+INDEX(BookOneOff,450)*$N455)</f>
        <v/>
      </c>
      <c r="S455" s="56" t="str">
        <f aca="false">IF(INDEX(BookTitle,450)="","",INDEX(BookTotal,450)*'5. Scenarios'!$E$6/(1+ProductivityDefault*('5. Scenarios'!$E$11-1)))</f>
        <v/>
      </c>
      <c r="T455" s="57" t="str">
        <f aca="false">IF($S455="","",INDEX(BookRate,450)*(1+'5. Scenarios'!$E$10)*$S455)</f>
        <v/>
      </c>
      <c r="U455" s="57" t="str">
        <f aca="false">IF($T455="","",SUMIFS($T$6:$T$2405,$A$6:$A$2405,"&lt;="&amp;$A455))</f>
        <v/>
      </c>
      <c r="V455" s="57" t="str">
        <f aca="false">IF($T455="","",IF($U455&lt;=BankCostEnvelope*'5. Scenarios'!$E$7,1,0))</f>
        <v/>
      </c>
      <c r="W455" s="57" t="str">
        <f aca="false">IF($S455="","",INDEX(BookRate,450)*(1+'5. Scenarios'!$E$10)*(INDEX(BookQ1,450)*(5-MIN(4,1+'5. Scenarios'!$E$8))/4+INDEX(BookQ2,450)*(5-MIN(4,2+'5. Scenarios'!$E$8))/4+INDEX(BookQ3,450)*(5-MIN(4,3+'5. Scenarios'!$E$8))/4+INDEX(BookQ4,450)*(5-MIN(4,4+'5. Scenarios'!$E$8))/4)*'5. Scenarios'!$E$6/(1+ProductivityDefault*('5. Scenarios'!$E$11-1))+INDEX(BookOneOff,450)*$S455)</f>
        <v/>
      </c>
    </row>
    <row r="456" customFormat="false" ht="15" hidden="false" customHeight="false" outlineLevel="0" collapsed="false">
      <c r="A456" s="0" t="str">
        <f aca="false">IF(INDEX(BookTitle,451)="","",INDEX(BookKey,451))</f>
        <v/>
      </c>
      <c r="B456" s="0" t="str">
        <f aca="false">IF(INDEX(BookTitle,451)="","",INDEX(BookGroup,451))</f>
        <v/>
      </c>
      <c r="C456" s="0" t="str">
        <f aca="false">IF(INDEX(BookTitle,451)="","",INDEX(BookCategory,451))</f>
        <v/>
      </c>
      <c r="D456" s="56" t="str">
        <f aca="false">IF(INDEX(BookTitle,451)="","",INDEX(BookTotal,451)*'5. Scenarios'!$B$6/(1+ProductivityDefault*('5. Scenarios'!$B$11-1)))</f>
        <v/>
      </c>
      <c r="E456" s="57" t="str">
        <f aca="false">IF($D456="","",INDEX(BookRate,451)*(1+'5. Scenarios'!$B$10)*$D456)</f>
        <v/>
      </c>
      <c r="F456" s="57" t="str">
        <f aca="false">IF($E456="","",SUMIFS($E$6:$E$2405,$A$6:$A$2405,"&lt;="&amp;$A456))</f>
        <v/>
      </c>
      <c r="G456" s="57" t="str">
        <f aca="false">IF($E456="","",IF($F456&lt;=BankCostEnvelope*'5. Scenarios'!$B$7,1,0))</f>
        <v/>
      </c>
      <c r="H456" s="57" t="str">
        <f aca="false">IF($D456="","",INDEX(BookRate,451)*(1+'5. Scenarios'!$B$10)*(INDEX(BookQ1,451)*(5-MIN(4,1+'5. Scenarios'!$B$8))/4+INDEX(BookQ2,451)*(5-MIN(4,2+'5. Scenarios'!$B$8))/4+INDEX(BookQ3,451)*(5-MIN(4,3+'5. Scenarios'!$B$8))/4+INDEX(BookQ4,451)*(5-MIN(4,4+'5. Scenarios'!$B$8))/4)*'5. Scenarios'!$B$6/(1+ProductivityDefault*('5. Scenarios'!$B$11-1))+INDEX(BookOneOff,451)*$D456)</f>
        <v/>
      </c>
      <c r="I456" s="56" t="str">
        <f aca="false">IF(INDEX(BookTitle,451)="","",INDEX(BookTotal,451)*'5. Scenarios'!$C$6/(1+ProductivityDefault*('5. Scenarios'!$C$11-1)))</f>
        <v/>
      </c>
      <c r="J456" s="57" t="str">
        <f aca="false">IF($I456="","",INDEX(BookRate,451)*(1+'5. Scenarios'!$C$10)*$I456)</f>
        <v/>
      </c>
      <c r="K456" s="57" t="str">
        <f aca="false">IF($J456="","",SUMIFS($J$6:$J$2405,$A$6:$A$2405,"&lt;="&amp;$A456))</f>
        <v/>
      </c>
      <c r="L456" s="57" t="str">
        <f aca="false">IF($J456="","",IF($K456&lt;=BankCostEnvelope*'5. Scenarios'!$C$7,1,0))</f>
        <v/>
      </c>
      <c r="M456" s="57" t="str">
        <f aca="false">IF($I456="","",INDEX(BookRate,451)*(1+'5. Scenarios'!$C$10)*(INDEX(BookQ1,451)*(5-MIN(4,1+'5. Scenarios'!$C$8))/4+INDEX(BookQ2,451)*(5-MIN(4,2+'5. Scenarios'!$C$8))/4+INDEX(BookQ3,451)*(5-MIN(4,3+'5. Scenarios'!$C$8))/4+INDEX(BookQ4,451)*(5-MIN(4,4+'5. Scenarios'!$C$8))/4)*'5. Scenarios'!$C$6/(1+ProductivityDefault*('5. Scenarios'!$C$11-1))+INDEX(BookOneOff,451)*$I456)</f>
        <v/>
      </c>
      <c r="N456" s="56" t="str">
        <f aca="false">IF(INDEX(BookTitle,451)="","",INDEX(BookTotal,451)*'5. Scenarios'!$D$6/(1+ProductivityDefault*('5. Scenarios'!$D$11-1)))</f>
        <v/>
      </c>
      <c r="O456" s="57" t="str">
        <f aca="false">IF($N456="","",INDEX(BookRate,451)*(1+'5. Scenarios'!$D$10)*$N456)</f>
        <v/>
      </c>
      <c r="P456" s="57" t="str">
        <f aca="false">IF($O456="","",SUMIFS($O$6:$O$2405,$A$6:$A$2405,"&lt;="&amp;$A456))</f>
        <v/>
      </c>
      <c r="Q456" s="57" t="str">
        <f aca="false">IF($O456="","",IF($P456&lt;=BankCostEnvelope*'5. Scenarios'!$D$7,1,0))</f>
        <v/>
      </c>
      <c r="R456" s="57" t="str">
        <f aca="false">IF($N456="","",INDEX(BookRate,451)*(1+'5. Scenarios'!$D$10)*(INDEX(BookQ1,451)*(5-MIN(4,1+'5. Scenarios'!$D$8))/4+INDEX(BookQ2,451)*(5-MIN(4,2+'5. Scenarios'!$D$8))/4+INDEX(BookQ3,451)*(5-MIN(4,3+'5. Scenarios'!$D$8))/4+INDEX(BookQ4,451)*(5-MIN(4,4+'5. Scenarios'!$D$8))/4)*'5. Scenarios'!$D$6/(1+ProductivityDefault*('5. Scenarios'!$D$11-1))+INDEX(BookOneOff,451)*$N456)</f>
        <v/>
      </c>
      <c r="S456" s="56" t="str">
        <f aca="false">IF(INDEX(BookTitle,451)="","",INDEX(BookTotal,451)*'5. Scenarios'!$E$6/(1+ProductivityDefault*('5. Scenarios'!$E$11-1)))</f>
        <v/>
      </c>
      <c r="T456" s="57" t="str">
        <f aca="false">IF($S456="","",INDEX(BookRate,451)*(1+'5. Scenarios'!$E$10)*$S456)</f>
        <v/>
      </c>
      <c r="U456" s="57" t="str">
        <f aca="false">IF($T456="","",SUMIFS($T$6:$T$2405,$A$6:$A$2405,"&lt;="&amp;$A456))</f>
        <v/>
      </c>
      <c r="V456" s="57" t="str">
        <f aca="false">IF($T456="","",IF($U456&lt;=BankCostEnvelope*'5. Scenarios'!$E$7,1,0))</f>
        <v/>
      </c>
      <c r="W456" s="57" t="str">
        <f aca="false">IF($S456="","",INDEX(BookRate,451)*(1+'5. Scenarios'!$E$10)*(INDEX(BookQ1,451)*(5-MIN(4,1+'5. Scenarios'!$E$8))/4+INDEX(BookQ2,451)*(5-MIN(4,2+'5. Scenarios'!$E$8))/4+INDEX(BookQ3,451)*(5-MIN(4,3+'5. Scenarios'!$E$8))/4+INDEX(BookQ4,451)*(5-MIN(4,4+'5. Scenarios'!$E$8))/4)*'5. Scenarios'!$E$6/(1+ProductivityDefault*('5. Scenarios'!$E$11-1))+INDEX(BookOneOff,451)*$S456)</f>
        <v/>
      </c>
    </row>
    <row r="457" customFormat="false" ht="15" hidden="false" customHeight="false" outlineLevel="0" collapsed="false">
      <c r="A457" s="0" t="str">
        <f aca="false">IF(INDEX(BookTitle,452)="","",INDEX(BookKey,452))</f>
        <v/>
      </c>
      <c r="B457" s="0" t="str">
        <f aca="false">IF(INDEX(BookTitle,452)="","",INDEX(BookGroup,452))</f>
        <v/>
      </c>
      <c r="C457" s="0" t="str">
        <f aca="false">IF(INDEX(BookTitle,452)="","",INDEX(BookCategory,452))</f>
        <v/>
      </c>
      <c r="D457" s="56" t="str">
        <f aca="false">IF(INDEX(BookTitle,452)="","",INDEX(BookTotal,452)*'5. Scenarios'!$B$6/(1+ProductivityDefault*('5. Scenarios'!$B$11-1)))</f>
        <v/>
      </c>
      <c r="E457" s="57" t="str">
        <f aca="false">IF($D457="","",INDEX(BookRate,452)*(1+'5. Scenarios'!$B$10)*$D457)</f>
        <v/>
      </c>
      <c r="F457" s="57" t="str">
        <f aca="false">IF($E457="","",SUMIFS($E$6:$E$2405,$A$6:$A$2405,"&lt;="&amp;$A457))</f>
        <v/>
      </c>
      <c r="G457" s="57" t="str">
        <f aca="false">IF($E457="","",IF($F457&lt;=BankCostEnvelope*'5. Scenarios'!$B$7,1,0))</f>
        <v/>
      </c>
      <c r="H457" s="57" t="str">
        <f aca="false">IF($D457="","",INDEX(BookRate,452)*(1+'5. Scenarios'!$B$10)*(INDEX(BookQ1,452)*(5-MIN(4,1+'5. Scenarios'!$B$8))/4+INDEX(BookQ2,452)*(5-MIN(4,2+'5. Scenarios'!$B$8))/4+INDEX(BookQ3,452)*(5-MIN(4,3+'5. Scenarios'!$B$8))/4+INDEX(BookQ4,452)*(5-MIN(4,4+'5. Scenarios'!$B$8))/4)*'5. Scenarios'!$B$6/(1+ProductivityDefault*('5. Scenarios'!$B$11-1))+INDEX(BookOneOff,452)*$D457)</f>
        <v/>
      </c>
      <c r="I457" s="56" t="str">
        <f aca="false">IF(INDEX(BookTitle,452)="","",INDEX(BookTotal,452)*'5. Scenarios'!$C$6/(1+ProductivityDefault*('5. Scenarios'!$C$11-1)))</f>
        <v/>
      </c>
      <c r="J457" s="57" t="str">
        <f aca="false">IF($I457="","",INDEX(BookRate,452)*(1+'5. Scenarios'!$C$10)*$I457)</f>
        <v/>
      </c>
      <c r="K457" s="57" t="str">
        <f aca="false">IF($J457="","",SUMIFS($J$6:$J$2405,$A$6:$A$2405,"&lt;="&amp;$A457))</f>
        <v/>
      </c>
      <c r="L457" s="57" t="str">
        <f aca="false">IF($J457="","",IF($K457&lt;=BankCostEnvelope*'5. Scenarios'!$C$7,1,0))</f>
        <v/>
      </c>
      <c r="M457" s="57" t="str">
        <f aca="false">IF($I457="","",INDEX(BookRate,452)*(1+'5. Scenarios'!$C$10)*(INDEX(BookQ1,452)*(5-MIN(4,1+'5. Scenarios'!$C$8))/4+INDEX(BookQ2,452)*(5-MIN(4,2+'5. Scenarios'!$C$8))/4+INDEX(BookQ3,452)*(5-MIN(4,3+'5. Scenarios'!$C$8))/4+INDEX(BookQ4,452)*(5-MIN(4,4+'5. Scenarios'!$C$8))/4)*'5. Scenarios'!$C$6/(1+ProductivityDefault*('5. Scenarios'!$C$11-1))+INDEX(BookOneOff,452)*$I457)</f>
        <v/>
      </c>
      <c r="N457" s="56" t="str">
        <f aca="false">IF(INDEX(BookTitle,452)="","",INDEX(BookTotal,452)*'5. Scenarios'!$D$6/(1+ProductivityDefault*('5. Scenarios'!$D$11-1)))</f>
        <v/>
      </c>
      <c r="O457" s="57" t="str">
        <f aca="false">IF($N457="","",INDEX(BookRate,452)*(1+'5. Scenarios'!$D$10)*$N457)</f>
        <v/>
      </c>
      <c r="P457" s="57" t="str">
        <f aca="false">IF($O457="","",SUMIFS($O$6:$O$2405,$A$6:$A$2405,"&lt;="&amp;$A457))</f>
        <v/>
      </c>
      <c r="Q457" s="57" t="str">
        <f aca="false">IF($O457="","",IF($P457&lt;=BankCostEnvelope*'5. Scenarios'!$D$7,1,0))</f>
        <v/>
      </c>
      <c r="R457" s="57" t="str">
        <f aca="false">IF($N457="","",INDEX(BookRate,452)*(1+'5. Scenarios'!$D$10)*(INDEX(BookQ1,452)*(5-MIN(4,1+'5. Scenarios'!$D$8))/4+INDEX(BookQ2,452)*(5-MIN(4,2+'5. Scenarios'!$D$8))/4+INDEX(BookQ3,452)*(5-MIN(4,3+'5. Scenarios'!$D$8))/4+INDEX(BookQ4,452)*(5-MIN(4,4+'5. Scenarios'!$D$8))/4)*'5. Scenarios'!$D$6/(1+ProductivityDefault*('5. Scenarios'!$D$11-1))+INDEX(BookOneOff,452)*$N457)</f>
        <v/>
      </c>
      <c r="S457" s="56" t="str">
        <f aca="false">IF(INDEX(BookTitle,452)="","",INDEX(BookTotal,452)*'5. Scenarios'!$E$6/(1+ProductivityDefault*('5. Scenarios'!$E$11-1)))</f>
        <v/>
      </c>
      <c r="T457" s="57" t="str">
        <f aca="false">IF($S457="","",INDEX(BookRate,452)*(1+'5. Scenarios'!$E$10)*$S457)</f>
        <v/>
      </c>
      <c r="U457" s="57" t="str">
        <f aca="false">IF($T457="","",SUMIFS($T$6:$T$2405,$A$6:$A$2405,"&lt;="&amp;$A457))</f>
        <v/>
      </c>
      <c r="V457" s="57" t="str">
        <f aca="false">IF($T457="","",IF($U457&lt;=BankCostEnvelope*'5. Scenarios'!$E$7,1,0))</f>
        <v/>
      </c>
      <c r="W457" s="57" t="str">
        <f aca="false">IF($S457="","",INDEX(BookRate,452)*(1+'5. Scenarios'!$E$10)*(INDEX(BookQ1,452)*(5-MIN(4,1+'5. Scenarios'!$E$8))/4+INDEX(BookQ2,452)*(5-MIN(4,2+'5. Scenarios'!$E$8))/4+INDEX(BookQ3,452)*(5-MIN(4,3+'5. Scenarios'!$E$8))/4+INDEX(BookQ4,452)*(5-MIN(4,4+'5. Scenarios'!$E$8))/4)*'5. Scenarios'!$E$6/(1+ProductivityDefault*('5. Scenarios'!$E$11-1))+INDEX(BookOneOff,452)*$S457)</f>
        <v/>
      </c>
    </row>
    <row r="458" customFormat="false" ht="15" hidden="false" customHeight="false" outlineLevel="0" collapsed="false">
      <c r="A458" s="0" t="str">
        <f aca="false">IF(INDEX(BookTitle,453)="","",INDEX(BookKey,453))</f>
        <v/>
      </c>
      <c r="B458" s="0" t="str">
        <f aca="false">IF(INDEX(BookTitle,453)="","",INDEX(BookGroup,453))</f>
        <v/>
      </c>
      <c r="C458" s="0" t="str">
        <f aca="false">IF(INDEX(BookTitle,453)="","",INDEX(BookCategory,453))</f>
        <v/>
      </c>
      <c r="D458" s="56" t="str">
        <f aca="false">IF(INDEX(BookTitle,453)="","",INDEX(BookTotal,453)*'5. Scenarios'!$B$6/(1+ProductivityDefault*('5. Scenarios'!$B$11-1)))</f>
        <v/>
      </c>
      <c r="E458" s="57" t="str">
        <f aca="false">IF($D458="","",INDEX(BookRate,453)*(1+'5. Scenarios'!$B$10)*$D458)</f>
        <v/>
      </c>
      <c r="F458" s="57" t="str">
        <f aca="false">IF($E458="","",SUMIFS($E$6:$E$2405,$A$6:$A$2405,"&lt;="&amp;$A458))</f>
        <v/>
      </c>
      <c r="G458" s="57" t="str">
        <f aca="false">IF($E458="","",IF($F458&lt;=BankCostEnvelope*'5. Scenarios'!$B$7,1,0))</f>
        <v/>
      </c>
      <c r="H458" s="57" t="str">
        <f aca="false">IF($D458="","",INDEX(BookRate,453)*(1+'5. Scenarios'!$B$10)*(INDEX(BookQ1,453)*(5-MIN(4,1+'5. Scenarios'!$B$8))/4+INDEX(BookQ2,453)*(5-MIN(4,2+'5. Scenarios'!$B$8))/4+INDEX(BookQ3,453)*(5-MIN(4,3+'5. Scenarios'!$B$8))/4+INDEX(BookQ4,453)*(5-MIN(4,4+'5. Scenarios'!$B$8))/4)*'5. Scenarios'!$B$6/(1+ProductivityDefault*('5. Scenarios'!$B$11-1))+INDEX(BookOneOff,453)*$D458)</f>
        <v/>
      </c>
      <c r="I458" s="56" t="str">
        <f aca="false">IF(INDEX(BookTitle,453)="","",INDEX(BookTotal,453)*'5. Scenarios'!$C$6/(1+ProductivityDefault*('5. Scenarios'!$C$11-1)))</f>
        <v/>
      </c>
      <c r="J458" s="57" t="str">
        <f aca="false">IF($I458="","",INDEX(BookRate,453)*(1+'5. Scenarios'!$C$10)*$I458)</f>
        <v/>
      </c>
      <c r="K458" s="57" t="str">
        <f aca="false">IF($J458="","",SUMIFS($J$6:$J$2405,$A$6:$A$2405,"&lt;="&amp;$A458))</f>
        <v/>
      </c>
      <c r="L458" s="57" t="str">
        <f aca="false">IF($J458="","",IF($K458&lt;=BankCostEnvelope*'5. Scenarios'!$C$7,1,0))</f>
        <v/>
      </c>
      <c r="M458" s="57" t="str">
        <f aca="false">IF($I458="","",INDEX(BookRate,453)*(1+'5. Scenarios'!$C$10)*(INDEX(BookQ1,453)*(5-MIN(4,1+'5. Scenarios'!$C$8))/4+INDEX(BookQ2,453)*(5-MIN(4,2+'5. Scenarios'!$C$8))/4+INDEX(BookQ3,453)*(5-MIN(4,3+'5. Scenarios'!$C$8))/4+INDEX(BookQ4,453)*(5-MIN(4,4+'5. Scenarios'!$C$8))/4)*'5. Scenarios'!$C$6/(1+ProductivityDefault*('5. Scenarios'!$C$11-1))+INDEX(BookOneOff,453)*$I458)</f>
        <v/>
      </c>
      <c r="N458" s="56" t="str">
        <f aca="false">IF(INDEX(BookTitle,453)="","",INDEX(BookTotal,453)*'5. Scenarios'!$D$6/(1+ProductivityDefault*('5. Scenarios'!$D$11-1)))</f>
        <v/>
      </c>
      <c r="O458" s="57" t="str">
        <f aca="false">IF($N458="","",INDEX(BookRate,453)*(1+'5. Scenarios'!$D$10)*$N458)</f>
        <v/>
      </c>
      <c r="P458" s="57" t="str">
        <f aca="false">IF($O458="","",SUMIFS($O$6:$O$2405,$A$6:$A$2405,"&lt;="&amp;$A458))</f>
        <v/>
      </c>
      <c r="Q458" s="57" t="str">
        <f aca="false">IF($O458="","",IF($P458&lt;=BankCostEnvelope*'5. Scenarios'!$D$7,1,0))</f>
        <v/>
      </c>
      <c r="R458" s="57" t="str">
        <f aca="false">IF($N458="","",INDEX(BookRate,453)*(1+'5. Scenarios'!$D$10)*(INDEX(BookQ1,453)*(5-MIN(4,1+'5. Scenarios'!$D$8))/4+INDEX(BookQ2,453)*(5-MIN(4,2+'5. Scenarios'!$D$8))/4+INDEX(BookQ3,453)*(5-MIN(4,3+'5. Scenarios'!$D$8))/4+INDEX(BookQ4,453)*(5-MIN(4,4+'5. Scenarios'!$D$8))/4)*'5. Scenarios'!$D$6/(1+ProductivityDefault*('5. Scenarios'!$D$11-1))+INDEX(BookOneOff,453)*$N458)</f>
        <v/>
      </c>
      <c r="S458" s="56" t="str">
        <f aca="false">IF(INDEX(BookTitle,453)="","",INDEX(BookTotal,453)*'5. Scenarios'!$E$6/(1+ProductivityDefault*('5. Scenarios'!$E$11-1)))</f>
        <v/>
      </c>
      <c r="T458" s="57" t="str">
        <f aca="false">IF($S458="","",INDEX(BookRate,453)*(1+'5. Scenarios'!$E$10)*$S458)</f>
        <v/>
      </c>
      <c r="U458" s="57" t="str">
        <f aca="false">IF($T458="","",SUMIFS($T$6:$T$2405,$A$6:$A$2405,"&lt;="&amp;$A458))</f>
        <v/>
      </c>
      <c r="V458" s="57" t="str">
        <f aca="false">IF($T458="","",IF($U458&lt;=BankCostEnvelope*'5. Scenarios'!$E$7,1,0))</f>
        <v/>
      </c>
      <c r="W458" s="57" t="str">
        <f aca="false">IF($S458="","",INDEX(BookRate,453)*(1+'5. Scenarios'!$E$10)*(INDEX(BookQ1,453)*(5-MIN(4,1+'5. Scenarios'!$E$8))/4+INDEX(BookQ2,453)*(5-MIN(4,2+'5. Scenarios'!$E$8))/4+INDEX(BookQ3,453)*(5-MIN(4,3+'5. Scenarios'!$E$8))/4+INDEX(BookQ4,453)*(5-MIN(4,4+'5. Scenarios'!$E$8))/4)*'5. Scenarios'!$E$6/(1+ProductivityDefault*('5. Scenarios'!$E$11-1))+INDEX(BookOneOff,453)*$S458)</f>
        <v/>
      </c>
    </row>
    <row r="459" customFormat="false" ht="15" hidden="false" customHeight="false" outlineLevel="0" collapsed="false">
      <c r="A459" s="0" t="str">
        <f aca="false">IF(INDEX(BookTitle,454)="","",INDEX(BookKey,454))</f>
        <v/>
      </c>
      <c r="B459" s="0" t="str">
        <f aca="false">IF(INDEX(BookTitle,454)="","",INDEX(BookGroup,454))</f>
        <v/>
      </c>
      <c r="C459" s="0" t="str">
        <f aca="false">IF(INDEX(BookTitle,454)="","",INDEX(BookCategory,454))</f>
        <v/>
      </c>
      <c r="D459" s="56" t="str">
        <f aca="false">IF(INDEX(BookTitle,454)="","",INDEX(BookTotal,454)*'5. Scenarios'!$B$6/(1+ProductivityDefault*('5. Scenarios'!$B$11-1)))</f>
        <v/>
      </c>
      <c r="E459" s="57" t="str">
        <f aca="false">IF($D459="","",INDEX(BookRate,454)*(1+'5. Scenarios'!$B$10)*$D459)</f>
        <v/>
      </c>
      <c r="F459" s="57" t="str">
        <f aca="false">IF($E459="","",SUMIFS($E$6:$E$2405,$A$6:$A$2405,"&lt;="&amp;$A459))</f>
        <v/>
      </c>
      <c r="G459" s="57" t="str">
        <f aca="false">IF($E459="","",IF($F459&lt;=BankCostEnvelope*'5. Scenarios'!$B$7,1,0))</f>
        <v/>
      </c>
      <c r="H459" s="57" t="str">
        <f aca="false">IF($D459="","",INDEX(BookRate,454)*(1+'5. Scenarios'!$B$10)*(INDEX(BookQ1,454)*(5-MIN(4,1+'5. Scenarios'!$B$8))/4+INDEX(BookQ2,454)*(5-MIN(4,2+'5. Scenarios'!$B$8))/4+INDEX(BookQ3,454)*(5-MIN(4,3+'5. Scenarios'!$B$8))/4+INDEX(BookQ4,454)*(5-MIN(4,4+'5. Scenarios'!$B$8))/4)*'5. Scenarios'!$B$6/(1+ProductivityDefault*('5. Scenarios'!$B$11-1))+INDEX(BookOneOff,454)*$D459)</f>
        <v/>
      </c>
      <c r="I459" s="56" t="str">
        <f aca="false">IF(INDEX(BookTitle,454)="","",INDEX(BookTotal,454)*'5. Scenarios'!$C$6/(1+ProductivityDefault*('5. Scenarios'!$C$11-1)))</f>
        <v/>
      </c>
      <c r="J459" s="57" t="str">
        <f aca="false">IF($I459="","",INDEX(BookRate,454)*(1+'5. Scenarios'!$C$10)*$I459)</f>
        <v/>
      </c>
      <c r="K459" s="57" t="str">
        <f aca="false">IF($J459="","",SUMIFS($J$6:$J$2405,$A$6:$A$2405,"&lt;="&amp;$A459))</f>
        <v/>
      </c>
      <c r="L459" s="57" t="str">
        <f aca="false">IF($J459="","",IF($K459&lt;=BankCostEnvelope*'5. Scenarios'!$C$7,1,0))</f>
        <v/>
      </c>
      <c r="M459" s="57" t="str">
        <f aca="false">IF($I459="","",INDEX(BookRate,454)*(1+'5. Scenarios'!$C$10)*(INDEX(BookQ1,454)*(5-MIN(4,1+'5. Scenarios'!$C$8))/4+INDEX(BookQ2,454)*(5-MIN(4,2+'5. Scenarios'!$C$8))/4+INDEX(BookQ3,454)*(5-MIN(4,3+'5. Scenarios'!$C$8))/4+INDEX(BookQ4,454)*(5-MIN(4,4+'5. Scenarios'!$C$8))/4)*'5. Scenarios'!$C$6/(1+ProductivityDefault*('5. Scenarios'!$C$11-1))+INDEX(BookOneOff,454)*$I459)</f>
        <v/>
      </c>
      <c r="N459" s="56" t="str">
        <f aca="false">IF(INDEX(BookTitle,454)="","",INDEX(BookTotal,454)*'5. Scenarios'!$D$6/(1+ProductivityDefault*('5. Scenarios'!$D$11-1)))</f>
        <v/>
      </c>
      <c r="O459" s="57" t="str">
        <f aca="false">IF($N459="","",INDEX(BookRate,454)*(1+'5. Scenarios'!$D$10)*$N459)</f>
        <v/>
      </c>
      <c r="P459" s="57" t="str">
        <f aca="false">IF($O459="","",SUMIFS($O$6:$O$2405,$A$6:$A$2405,"&lt;="&amp;$A459))</f>
        <v/>
      </c>
      <c r="Q459" s="57" t="str">
        <f aca="false">IF($O459="","",IF($P459&lt;=BankCostEnvelope*'5. Scenarios'!$D$7,1,0))</f>
        <v/>
      </c>
      <c r="R459" s="57" t="str">
        <f aca="false">IF($N459="","",INDEX(BookRate,454)*(1+'5. Scenarios'!$D$10)*(INDEX(BookQ1,454)*(5-MIN(4,1+'5. Scenarios'!$D$8))/4+INDEX(BookQ2,454)*(5-MIN(4,2+'5. Scenarios'!$D$8))/4+INDEX(BookQ3,454)*(5-MIN(4,3+'5. Scenarios'!$D$8))/4+INDEX(BookQ4,454)*(5-MIN(4,4+'5. Scenarios'!$D$8))/4)*'5. Scenarios'!$D$6/(1+ProductivityDefault*('5. Scenarios'!$D$11-1))+INDEX(BookOneOff,454)*$N459)</f>
        <v/>
      </c>
      <c r="S459" s="56" t="str">
        <f aca="false">IF(INDEX(BookTitle,454)="","",INDEX(BookTotal,454)*'5. Scenarios'!$E$6/(1+ProductivityDefault*('5. Scenarios'!$E$11-1)))</f>
        <v/>
      </c>
      <c r="T459" s="57" t="str">
        <f aca="false">IF($S459="","",INDEX(BookRate,454)*(1+'5. Scenarios'!$E$10)*$S459)</f>
        <v/>
      </c>
      <c r="U459" s="57" t="str">
        <f aca="false">IF($T459="","",SUMIFS($T$6:$T$2405,$A$6:$A$2405,"&lt;="&amp;$A459))</f>
        <v/>
      </c>
      <c r="V459" s="57" t="str">
        <f aca="false">IF($T459="","",IF($U459&lt;=BankCostEnvelope*'5. Scenarios'!$E$7,1,0))</f>
        <v/>
      </c>
      <c r="W459" s="57" t="str">
        <f aca="false">IF($S459="","",INDEX(BookRate,454)*(1+'5. Scenarios'!$E$10)*(INDEX(BookQ1,454)*(5-MIN(4,1+'5. Scenarios'!$E$8))/4+INDEX(BookQ2,454)*(5-MIN(4,2+'5. Scenarios'!$E$8))/4+INDEX(BookQ3,454)*(5-MIN(4,3+'5. Scenarios'!$E$8))/4+INDEX(BookQ4,454)*(5-MIN(4,4+'5. Scenarios'!$E$8))/4)*'5. Scenarios'!$E$6/(1+ProductivityDefault*('5. Scenarios'!$E$11-1))+INDEX(BookOneOff,454)*$S459)</f>
        <v/>
      </c>
    </row>
    <row r="460" customFormat="false" ht="15" hidden="false" customHeight="false" outlineLevel="0" collapsed="false">
      <c r="A460" s="0" t="str">
        <f aca="false">IF(INDEX(BookTitle,455)="","",INDEX(BookKey,455))</f>
        <v/>
      </c>
      <c r="B460" s="0" t="str">
        <f aca="false">IF(INDEX(BookTitle,455)="","",INDEX(BookGroup,455))</f>
        <v/>
      </c>
      <c r="C460" s="0" t="str">
        <f aca="false">IF(INDEX(BookTitle,455)="","",INDEX(BookCategory,455))</f>
        <v/>
      </c>
      <c r="D460" s="56" t="str">
        <f aca="false">IF(INDEX(BookTitle,455)="","",INDEX(BookTotal,455)*'5. Scenarios'!$B$6/(1+ProductivityDefault*('5. Scenarios'!$B$11-1)))</f>
        <v/>
      </c>
      <c r="E460" s="57" t="str">
        <f aca="false">IF($D460="","",INDEX(BookRate,455)*(1+'5. Scenarios'!$B$10)*$D460)</f>
        <v/>
      </c>
      <c r="F460" s="57" t="str">
        <f aca="false">IF($E460="","",SUMIFS($E$6:$E$2405,$A$6:$A$2405,"&lt;="&amp;$A460))</f>
        <v/>
      </c>
      <c r="G460" s="57" t="str">
        <f aca="false">IF($E460="","",IF($F460&lt;=BankCostEnvelope*'5. Scenarios'!$B$7,1,0))</f>
        <v/>
      </c>
      <c r="H460" s="57" t="str">
        <f aca="false">IF($D460="","",INDEX(BookRate,455)*(1+'5. Scenarios'!$B$10)*(INDEX(BookQ1,455)*(5-MIN(4,1+'5. Scenarios'!$B$8))/4+INDEX(BookQ2,455)*(5-MIN(4,2+'5. Scenarios'!$B$8))/4+INDEX(BookQ3,455)*(5-MIN(4,3+'5. Scenarios'!$B$8))/4+INDEX(BookQ4,455)*(5-MIN(4,4+'5. Scenarios'!$B$8))/4)*'5. Scenarios'!$B$6/(1+ProductivityDefault*('5. Scenarios'!$B$11-1))+INDEX(BookOneOff,455)*$D460)</f>
        <v/>
      </c>
      <c r="I460" s="56" t="str">
        <f aca="false">IF(INDEX(BookTitle,455)="","",INDEX(BookTotal,455)*'5. Scenarios'!$C$6/(1+ProductivityDefault*('5. Scenarios'!$C$11-1)))</f>
        <v/>
      </c>
      <c r="J460" s="57" t="str">
        <f aca="false">IF($I460="","",INDEX(BookRate,455)*(1+'5. Scenarios'!$C$10)*$I460)</f>
        <v/>
      </c>
      <c r="K460" s="57" t="str">
        <f aca="false">IF($J460="","",SUMIFS($J$6:$J$2405,$A$6:$A$2405,"&lt;="&amp;$A460))</f>
        <v/>
      </c>
      <c r="L460" s="57" t="str">
        <f aca="false">IF($J460="","",IF($K460&lt;=BankCostEnvelope*'5. Scenarios'!$C$7,1,0))</f>
        <v/>
      </c>
      <c r="M460" s="57" t="str">
        <f aca="false">IF($I460="","",INDEX(BookRate,455)*(1+'5. Scenarios'!$C$10)*(INDEX(BookQ1,455)*(5-MIN(4,1+'5. Scenarios'!$C$8))/4+INDEX(BookQ2,455)*(5-MIN(4,2+'5. Scenarios'!$C$8))/4+INDEX(BookQ3,455)*(5-MIN(4,3+'5. Scenarios'!$C$8))/4+INDEX(BookQ4,455)*(5-MIN(4,4+'5. Scenarios'!$C$8))/4)*'5. Scenarios'!$C$6/(1+ProductivityDefault*('5. Scenarios'!$C$11-1))+INDEX(BookOneOff,455)*$I460)</f>
        <v/>
      </c>
      <c r="N460" s="56" t="str">
        <f aca="false">IF(INDEX(BookTitle,455)="","",INDEX(BookTotal,455)*'5. Scenarios'!$D$6/(1+ProductivityDefault*('5. Scenarios'!$D$11-1)))</f>
        <v/>
      </c>
      <c r="O460" s="57" t="str">
        <f aca="false">IF($N460="","",INDEX(BookRate,455)*(1+'5. Scenarios'!$D$10)*$N460)</f>
        <v/>
      </c>
      <c r="P460" s="57" t="str">
        <f aca="false">IF($O460="","",SUMIFS($O$6:$O$2405,$A$6:$A$2405,"&lt;="&amp;$A460))</f>
        <v/>
      </c>
      <c r="Q460" s="57" t="str">
        <f aca="false">IF($O460="","",IF($P460&lt;=BankCostEnvelope*'5. Scenarios'!$D$7,1,0))</f>
        <v/>
      </c>
      <c r="R460" s="57" t="str">
        <f aca="false">IF($N460="","",INDEX(BookRate,455)*(1+'5. Scenarios'!$D$10)*(INDEX(BookQ1,455)*(5-MIN(4,1+'5. Scenarios'!$D$8))/4+INDEX(BookQ2,455)*(5-MIN(4,2+'5. Scenarios'!$D$8))/4+INDEX(BookQ3,455)*(5-MIN(4,3+'5. Scenarios'!$D$8))/4+INDEX(BookQ4,455)*(5-MIN(4,4+'5. Scenarios'!$D$8))/4)*'5. Scenarios'!$D$6/(1+ProductivityDefault*('5. Scenarios'!$D$11-1))+INDEX(BookOneOff,455)*$N460)</f>
        <v/>
      </c>
      <c r="S460" s="56" t="str">
        <f aca="false">IF(INDEX(BookTitle,455)="","",INDEX(BookTotal,455)*'5. Scenarios'!$E$6/(1+ProductivityDefault*('5. Scenarios'!$E$11-1)))</f>
        <v/>
      </c>
      <c r="T460" s="57" t="str">
        <f aca="false">IF($S460="","",INDEX(BookRate,455)*(1+'5. Scenarios'!$E$10)*$S460)</f>
        <v/>
      </c>
      <c r="U460" s="57" t="str">
        <f aca="false">IF($T460="","",SUMIFS($T$6:$T$2405,$A$6:$A$2405,"&lt;="&amp;$A460))</f>
        <v/>
      </c>
      <c r="V460" s="57" t="str">
        <f aca="false">IF($T460="","",IF($U460&lt;=BankCostEnvelope*'5. Scenarios'!$E$7,1,0))</f>
        <v/>
      </c>
      <c r="W460" s="57" t="str">
        <f aca="false">IF($S460="","",INDEX(BookRate,455)*(1+'5. Scenarios'!$E$10)*(INDEX(BookQ1,455)*(5-MIN(4,1+'5. Scenarios'!$E$8))/4+INDEX(BookQ2,455)*(5-MIN(4,2+'5. Scenarios'!$E$8))/4+INDEX(BookQ3,455)*(5-MIN(4,3+'5. Scenarios'!$E$8))/4+INDEX(BookQ4,455)*(5-MIN(4,4+'5. Scenarios'!$E$8))/4)*'5. Scenarios'!$E$6/(1+ProductivityDefault*('5. Scenarios'!$E$11-1))+INDEX(BookOneOff,455)*$S460)</f>
        <v/>
      </c>
    </row>
    <row r="461" customFormat="false" ht="15" hidden="false" customHeight="false" outlineLevel="0" collapsed="false">
      <c r="A461" s="0" t="str">
        <f aca="false">IF(INDEX(BookTitle,456)="","",INDEX(BookKey,456))</f>
        <v/>
      </c>
      <c r="B461" s="0" t="str">
        <f aca="false">IF(INDEX(BookTitle,456)="","",INDEX(BookGroup,456))</f>
        <v/>
      </c>
      <c r="C461" s="0" t="str">
        <f aca="false">IF(INDEX(BookTitle,456)="","",INDEX(BookCategory,456))</f>
        <v/>
      </c>
      <c r="D461" s="56" t="str">
        <f aca="false">IF(INDEX(BookTitle,456)="","",INDEX(BookTotal,456)*'5. Scenarios'!$B$6/(1+ProductivityDefault*('5. Scenarios'!$B$11-1)))</f>
        <v/>
      </c>
      <c r="E461" s="57" t="str">
        <f aca="false">IF($D461="","",INDEX(BookRate,456)*(1+'5. Scenarios'!$B$10)*$D461)</f>
        <v/>
      </c>
      <c r="F461" s="57" t="str">
        <f aca="false">IF($E461="","",SUMIFS($E$6:$E$2405,$A$6:$A$2405,"&lt;="&amp;$A461))</f>
        <v/>
      </c>
      <c r="G461" s="57" t="str">
        <f aca="false">IF($E461="","",IF($F461&lt;=BankCostEnvelope*'5. Scenarios'!$B$7,1,0))</f>
        <v/>
      </c>
      <c r="H461" s="57" t="str">
        <f aca="false">IF($D461="","",INDEX(BookRate,456)*(1+'5. Scenarios'!$B$10)*(INDEX(BookQ1,456)*(5-MIN(4,1+'5. Scenarios'!$B$8))/4+INDEX(BookQ2,456)*(5-MIN(4,2+'5. Scenarios'!$B$8))/4+INDEX(BookQ3,456)*(5-MIN(4,3+'5. Scenarios'!$B$8))/4+INDEX(BookQ4,456)*(5-MIN(4,4+'5. Scenarios'!$B$8))/4)*'5. Scenarios'!$B$6/(1+ProductivityDefault*('5. Scenarios'!$B$11-1))+INDEX(BookOneOff,456)*$D461)</f>
        <v/>
      </c>
      <c r="I461" s="56" t="str">
        <f aca="false">IF(INDEX(BookTitle,456)="","",INDEX(BookTotal,456)*'5. Scenarios'!$C$6/(1+ProductivityDefault*('5. Scenarios'!$C$11-1)))</f>
        <v/>
      </c>
      <c r="J461" s="57" t="str">
        <f aca="false">IF($I461="","",INDEX(BookRate,456)*(1+'5. Scenarios'!$C$10)*$I461)</f>
        <v/>
      </c>
      <c r="K461" s="57" t="str">
        <f aca="false">IF($J461="","",SUMIFS($J$6:$J$2405,$A$6:$A$2405,"&lt;="&amp;$A461))</f>
        <v/>
      </c>
      <c r="L461" s="57" t="str">
        <f aca="false">IF($J461="","",IF($K461&lt;=BankCostEnvelope*'5. Scenarios'!$C$7,1,0))</f>
        <v/>
      </c>
      <c r="M461" s="57" t="str">
        <f aca="false">IF($I461="","",INDEX(BookRate,456)*(1+'5. Scenarios'!$C$10)*(INDEX(BookQ1,456)*(5-MIN(4,1+'5. Scenarios'!$C$8))/4+INDEX(BookQ2,456)*(5-MIN(4,2+'5. Scenarios'!$C$8))/4+INDEX(BookQ3,456)*(5-MIN(4,3+'5. Scenarios'!$C$8))/4+INDEX(BookQ4,456)*(5-MIN(4,4+'5. Scenarios'!$C$8))/4)*'5. Scenarios'!$C$6/(1+ProductivityDefault*('5. Scenarios'!$C$11-1))+INDEX(BookOneOff,456)*$I461)</f>
        <v/>
      </c>
      <c r="N461" s="56" t="str">
        <f aca="false">IF(INDEX(BookTitle,456)="","",INDEX(BookTotal,456)*'5. Scenarios'!$D$6/(1+ProductivityDefault*('5. Scenarios'!$D$11-1)))</f>
        <v/>
      </c>
      <c r="O461" s="57" t="str">
        <f aca="false">IF($N461="","",INDEX(BookRate,456)*(1+'5. Scenarios'!$D$10)*$N461)</f>
        <v/>
      </c>
      <c r="P461" s="57" t="str">
        <f aca="false">IF($O461="","",SUMIFS($O$6:$O$2405,$A$6:$A$2405,"&lt;="&amp;$A461))</f>
        <v/>
      </c>
      <c r="Q461" s="57" t="str">
        <f aca="false">IF($O461="","",IF($P461&lt;=BankCostEnvelope*'5. Scenarios'!$D$7,1,0))</f>
        <v/>
      </c>
      <c r="R461" s="57" t="str">
        <f aca="false">IF($N461="","",INDEX(BookRate,456)*(1+'5. Scenarios'!$D$10)*(INDEX(BookQ1,456)*(5-MIN(4,1+'5. Scenarios'!$D$8))/4+INDEX(BookQ2,456)*(5-MIN(4,2+'5. Scenarios'!$D$8))/4+INDEX(BookQ3,456)*(5-MIN(4,3+'5. Scenarios'!$D$8))/4+INDEX(BookQ4,456)*(5-MIN(4,4+'5. Scenarios'!$D$8))/4)*'5. Scenarios'!$D$6/(1+ProductivityDefault*('5. Scenarios'!$D$11-1))+INDEX(BookOneOff,456)*$N461)</f>
        <v/>
      </c>
      <c r="S461" s="56" t="str">
        <f aca="false">IF(INDEX(BookTitle,456)="","",INDEX(BookTotal,456)*'5. Scenarios'!$E$6/(1+ProductivityDefault*('5. Scenarios'!$E$11-1)))</f>
        <v/>
      </c>
      <c r="T461" s="57" t="str">
        <f aca="false">IF($S461="","",INDEX(BookRate,456)*(1+'5. Scenarios'!$E$10)*$S461)</f>
        <v/>
      </c>
      <c r="U461" s="57" t="str">
        <f aca="false">IF($T461="","",SUMIFS($T$6:$T$2405,$A$6:$A$2405,"&lt;="&amp;$A461))</f>
        <v/>
      </c>
      <c r="V461" s="57" t="str">
        <f aca="false">IF($T461="","",IF($U461&lt;=BankCostEnvelope*'5. Scenarios'!$E$7,1,0))</f>
        <v/>
      </c>
      <c r="W461" s="57" t="str">
        <f aca="false">IF($S461="","",INDEX(BookRate,456)*(1+'5. Scenarios'!$E$10)*(INDEX(BookQ1,456)*(5-MIN(4,1+'5. Scenarios'!$E$8))/4+INDEX(BookQ2,456)*(5-MIN(4,2+'5. Scenarios'!$E$8))/4+INDEX(BookQ3,456)*(5-MIN(4,3+'5. Scenarios'!$E$8))/4+INDEX(BookQ4,456)*(5-MIN(4,4+'5. Scenarios'!$E$8))/4)*'5. Scenarios'!$E$6/(1+ProductivityDefault*('5. Scenarios'!$E$11-1))+INDEX(BookOneOff,456)*$S461)</f>
        <v/>
      </c>
    </row>
    <row r="462" customFormat="false" ht="15" hidden="false" customHeight="false" outlineLevel="0" collapsed="false">
      <c r="A462" s="0" t="str">
        <f aca="false">IF(INDEX(BookTitle,457)="","",INDEX(BookKey,457))</f>
        <v/>
      </c>
      <c r="B462" s="0" t="str">
        <f aca="false">IF(INDEX(BookTitle,457)="","",INDEX(BookGroup,457))</f>
        <v/>
      </c>
      <c r="C462" s="0" t="str">
        <f aca="false">IF(INDEX(BookTitle,457)="","",INDEX(BookCategory,457))</f>
        <v/>
      </c>
      <c r="D462" s="56" t="str">
        <f aca="false">IF(INDEX(BookTitle,457)="","",INDEX(BookTotal,457)*'5. Scenarios'!$B$6/(1+ProductivityDefault*('5. Scenarios'!$B$11-1)))</f>
        <v/>
      </c>
      <c r="E462" s="57" t="str">
        <f aca="false">IF($D462="","",INDEX(BookRate,457)*(1+'5. Scenarios'!$B$10)*$D462)</f>
        <v/>
      </c>
      <c r="F462" s="57" t="str">
        <f aca="false">IF($E462="","",SUMIFS($E$6:$E$2405,$A$6:$A$2405,"&lt;="&amp;$A462))</f>
        <v/>
      </c>
      <c r="G462" s="57" t="str">
        <f aca="false">IF($E462="","",IF($F462&lt;=BankCostEnvelope*'5. Scenarios'!$B$7,1,0))</f>
        <v/>
      </c>
      <c r="H462" s="57" t="str">
        <f aca="false">IF($D462="","",INDEX(BookRate,457)*(1+'5. Scenarios'!$B$10)*(INDEX(BookQ1,457)*(5-MIN(4,1+'5. Scenarios'!$B$8))/4+INDEX(BookQ2,457)*(5-MIN(4,2+'5. Scenarios'!$B$8))/4+INDEX(BookQ3,457)*(5-MIN(4,3+'5. Scenarios'!$B$8))/4+INDEX(BookQ4,457)*(5-MIN(4,4+'5. Scenarios'!$B$8))/4)*'5. Scenarios'!$B$6/(1+ProductivityDefault*('5. Scenarios'!$B$11-1))+INDEX(BookOneOff,457)*$D462)</f>
        <v/>
      </c>
      <c r="I462" s="56" t="str">
        <f aca="false">IF(INDEX(BookTitle,457)="","",INDEX(BookTotal,457)*'5. Scenarios'!$C$6/(1+ProductivityDefault*('5. Scenarios'!$C$11-1)))</f>
        <v/>
      </c>
      <c r="J462" s="57" t="str">
        <f aca="false">IF($I462="","",INDEX(BookRate,457)*(1+'5. Scenarios'!$C$10)*$I462)</f>
        <v/>
      </c>
      <c r="K462" s="57" t="str">
        <f aca="false">IF($J462="","",SUMIFS($J$6:$J$2405,$A$6:$A$2405,"&lt;="&amp;$A462))</f>
        <v/>
      </c>
      <c r="L462" s="57" t="str">
        <f aca="false">IF($J462="","",IF($K462&lt;=BankCostEnvelope*'5. Scenarios'!$C$7,1,0))</f>
        <v/>
      </c>
      <c r="M462" s="57" t="str">
        <f aca="false">IF($I462="","",INDEX(BookRate,457)*(1+'5. Scenarios'!$C$10)*(INDEX(BookQ1,457)*(5-MIN(4,1+'5. Scenarios'!$C$8))/4+INDEX(BookQ2,457)*(5-MIN(4,2+'5. Scenarios'!$C$8))/4+INDEX(BookQ3,457)*(5-MIN(4,3+'5. Scenarios'!$C$8))/4+INDEX(BookQ4,457)*(5-MIN(4,4+'5. Scenarios'!$C$8))/4)*'5. Scenarios'!$C$6/(1+ProductivityDefault*('5. Scenarios'!$C$11-1))+INDEX(BookOneOff,457)*$I462)</f>
        <v/>
      </c>
      <c r="N462" s="56" t="str">
        <f aca="false">IF(INDEX(BookTitle,457)="","",INDEX(BookTotal,457)*'5. Scenarios'!$D$6/(1+ProductivityDefault*('5. Scenarios'!$D$11-1)))</f>
        <v/>
      </c>
      <c r="O462" s="57" t="str">
        <f aca="false">IF($N462="","",INDEX(BookRate,457)*(1+'5. Scenarios'!$D$10)*$N462)</f>
        <v/>
      </c>
      <c r="P462" s="57" t="str">
        <f aca="false">IF($O462="","",SUMIFS($O$6:$O$2405,$A$6:$A$2405,"&lt;="&amp;$A462))</f>
        <v/>
      </c>
      <c r="Q462" s="57" t="str">
        <f aca="false">IF($O462="","",IF($P462&lt;=BankCostEnvelope*'5. Scenarios'!$D$7,1,0))</f>
        <v/>
      </c>
      <c r="R462" s="57" t="str">
        <f aca="false">IF($N462="","",INDEX(BookRate,457)*(1+'5. Scenarios'!$D$10)*(INDEX(BookQ1,457)*(5-MIN(4,1+'5. Scenarios'!$D$8))/4+INDEX(BookQ2,457)*(5-MIN(4,2+'5. Scenarios'!$D$8))/4+INDEX(BookQ3,457)*(5-MIN(4,3+'5. Scenarios'!$D$8))/4+INDEX(BookQ4,457)*(5-MIN(4,4+'5. Scenarios'!$D$8))/4)*'5. Scenarios'!$D$6/(1+ProductivityDefault*('5. Scenarios'!$D$11-1))+INDEX(BookOneOff,457)*$N462)</f>
        <v/>
      </c>
      <c r="S462" s="56" t="str">
        <f aca="false">IF(INDEX(BookTitle,457)="","",INDEX(BookTotal,457)*'5. Scenarios'!$E$6/(1+ProductivityDefault*('5. Scenarios'!$E$11-1)))</f>
        <v/>
      </c>
      <c r="T462" s="57" t="str">
        <f aca="false">IF($S462="","",INDEX(BookRate,457)*(1+'5. Scenarios'!$E$10)*$S462)</f>
        <v/>
      </c>
      <c r="U462" s="57" t="str">
        <f aca="false">IF($T462="","",SUMIFS($T$6:$T$2405,$A$6:$A$2405,"&lt;="&amp;$A462))</f>
        <v/>
      </c>
      <c r="V462" s="57" t="str">
        <f aca="false">IF($T462="","",IF($U462&lt;=BankCostEnvelope*'5. Scenarios'!$E$7,1,0))</f>
        <v/>
      </c>
      <c r="W462" s="57" t="str">
        <f aca="false">IF($S462="","",INDEX(BookRate,457)*(1+'5. Scenarios'!$E$10)*(INDEX(BookQ1,457)*(5-MIN(4,1+'5. Scenarios'!$E$8))/4+INDEX(BookQ2,457)*(5-MIN(4,2+'5. Scenarios'!$E$8))/4+INDEX(BookQ3,457)*(5-MIN(4,3+'5. Scenarios'!$E$8))/4+INDEX(BookQ4,457)*(5-MIN(4,4+'5. Scenarios'!$E$8))/4)*'5. Scenarios'!$E$6/(1+ProductivityDefault*('5. Scenarios'!$E$11-1))+INDEX(BookOneOff,457)*$S462)</f>
        <v/>
      </c>
    </row>
    <row r="463" customFormat="false" ht="15" hidden="false" customHeight="false" outlineLevel="0" collapsed="false">
      <c r="A463" s="0" t="str">
        <f aca="false">IF(INDEX(BookTitle,458)="","",INDEX(BookKey,458))</f>
        <v/>
      </c>
      <c r="B463" s="0" t="str">
        <f aca="false">IF(INDEX(BookTitle,458)="","",INDEX(BookGroup,458))</f>
        <v/>
      </c>
      <c r="C463" s="0" t="str">
        <f aca="false">IF(INDEX(BookTitle,458)="","",INDEX(BookCategory,458))</f>
        <v/>
      </c>
      <c r="D463" s="56" t="str">
        <f aca="false">IF(INDEX(BookTitle,458)="","",INDEX(BookTotal,458)*'5. Scenarios'!$B$6/(1+ProductivityDefault*('5. Scenarios'!$B$11-1)))</f>
        <v/>
      </c>
      <c r="E463" s="57" t="str">
        <f aca="false">IF($D463="","",INDEX(BookRate,458)*(1+'5. Scenarios'!$B$10)*$D463)</f>
        <v/>
      </c>
      <c r="F463" s="57" t="str">
        <f aca="false">IF($E463="","",SUMIFS($E$6:$E$2405,$A$6:$A$2405,"&lt;="&amp;$A463))</f>
        <v/>
      </c>
      <c r="G463" s="57" t="str">
        <f aca="false">IF($E463="","",IF($F463&lt;=BankCostEnvelope*'5. Scenarios'!$B$7,1,0))</f>
        <v/>
      </c>
      <c r="H463" s="57" t="str">
        <f aca="false">IF($D463="","",INDEX(BookRate,458)*(1+'5. Scenarios'!$B$10)*(INDEX(BookQ1,458)*(5-MIN(4,1+'5. Scenarios'!$B$8))/4+INDEX(BookQ2,458)*(5-MIN(4,2+'5. Scenarios'!$B$8))/4+INDEX(BookQ3,458)*(5-MIN(4,3+'5. Scenarios'!$B$8))/4+INDEX(BookQ4,458)*(5-MIN(4,4+'5. Scenarios'!$B$8))/4)*'5. Scenarios'!$B$6/(1+ProductivityDefault*('5. Scenarios'!$B$11-1))+INDEX(BookOneOff,458)*$D463)</f>
        <v/>
      </c>
      <c r="I463" s="56" t="str">
        <f aca="false">IF(INDEX(BookTitle,458)="","",INDEX(BookTotal,458)*'5. Scenarios'!$C$6/(1+ProductivityDefault*('5. Scenarios'!$C$11-1)))</f>
        <v/>
      </c>
      <c r="J463" s="57" t="str">
        <f aca="false">IF($I463="","",INDEX(BookRate,458)*(1+'5. Scenarios'!$C$10)*$I463)</f>
        <v/>
      </c>
      <c r="K463" s="57" t="str">
        <f aca="false">IF($J463="","",SUMIFS($J$6:$J$2405,$A$6:$A$2405,"&lt;="&amp;$A463))</f>
        <v/>
      </c>
      <c r="L463" s="57" t="str">
        <f aca="false">IF($J463="","",IF($K463&lt;=BankCostEnvelope*'5. Scenarios'!$C$7,1,0))</f>
        <v/>
      </c>
      <c r="M463" s="57" t="str">
        <f aca="false">IF($I463="","",INDEX(BookRate,458)*(1+'5. Scenarios'!$C$10)*(INDEX(BookQ1,458)*(5-MIN(4,1+'5. Scenarios'!$C$8))/4+INDEX(BookQ2,458)*(5-MIN(4,2+'5. Scenarios'!$C$8))/4+INDEX(BookQ3,458)*(5-MIN(4,3+'5. Scenarios'!$C$8))/4+INDEX(BookQ4,458)*(5-MIN(4,4+'5. Scenarios'!$C$8))/4)*'5. Scenarios'!$C$6/(1+ProductivityDefault*('5. Scenarios'!$C$11-1))+INDEX(BookOneOff,458)*$I463)</f>
        <v/>
      </c>
      <c r="N463" s="56" t="str">
        <f aca="false">IF(INDEX(BookTitle,458)="","",INDEX(BookTotal,458)*'5. Scenarios'!$D$6/(1+ProductivityDefault*('5. Scenarios'!$D$11-1)))</f>
        <v/>
      </c>
      <c r="O463" s="57" t="str">
        <f aca="false">IF($N463="","",INDEX(BookRate,458)*(1+'5. Scenarios'!$D$10)*$N463)</f>
        <v/>
      </c>
      <c r="P463" s="57" t="str">
        <f aca="false">IF($O463="","",SUMIFS($O$6:$O$2405,$A$6:$A$2405,"&lt;="&amp;$A463))</f>
        <v/>
      </c>
      <c r="Q463" s="57" t="str">
        <f aca="false">IF($O463="","",IF($P463&lt;=BankCostEnvelope*'5. Scenarios'!$D$7,1,0))</f>
        <v/>
      </c>
      <c r="R463" s="57" t="str">
        <f aca="false">IF($N463="","",INDEX(BookRate,458)*(1+'5. Scenarios'!$D$10)*(INDEX(BookQ1,458)*(5-MIN(4,1+'5. Scenarios'!$D$8))/4+INDEX(BookQ2,458)*(5-MIN(4,2+'5. Scenarios'!$D$8))/4+INDEX(BookQ3,458)*(5-MIN(4,3+'5. Scenarios'!$D$8))/4+INDEX(BookQ4,458)*(5-MIN(4,4+'5. Scenarios'!$D$8))/4)*'5. Scenarios'!$D$6/(1+ProductivityDefault*('5. Scenarios'!$D$11-1))+INDEX(BookOneOff,458)*$N463)</f>
        <v/>
      </c>
      <c r="S463" s="56" t="str">
        <f aca="false">IF(INDEX(BookTitle,458)="","",INDEX(BookTotal,458)*'5. Scenarios'!$E$6/(1+ProductivityDefault*('5. Scenarios'!$E$11-1)))</f>
        <v/>
      </c>
      <c r="T463" s="57" t="str">
        <f aca="false">IF($S463="","",INDEX(BookRate,458)*(1+'5. Scenarios'!$E$10)*$S463)</f>
        <v/>
      </c>
      <c r="U463" s="57" t="str">
        <f aca="false">IF($T463="","",SUMIFS($T$6:$T$2405,$A$6:$A$2405,"&lt;="&amp;$A463))</f>
        <v/>
      </c>
      <c r="V463" s="57" t="str">
        <f aca="false">IF($T463="","",IF($U463&lt;=BankCostEnvelope*'5. Scenarios'!$E$7,1,0))</f>
        <v/>
      </c>
      <c r="W463" s="57" t="str">
        <f aca="false">IF($S463="","",INDEX(BookRate,458)*(1+'5. Scenarios'!$E$10)*(INDEX(BookQ1,458)*(5-MIN(4,1+'5. Scenarios'!$E$8))/4+INDEX(BookQ2,458)*(5-MIN(4,2+'5. Scenarios'!$E$8))/4+INDEX(BookQ3,458)*(5-MIN(4,3+'5. Scenarios'!$E$8))/4+INDEX(BookQ4,458)*(5-MIN(4,4+'5. Scenarios'!$E$8))/4)*'5. Scenarios'!$E$6/(1+ProductivityDefault*('5. Scenarios'!$E$11-1))+INDEX(BookOneOff,458)*$S463)</f>
        <v/>
      </c>
    </row>
    <row r="464" customFormat="false" ht="15" hidden="false" customHeight="false" outlineLevel="0" collapsed="false">
      <c r="A464" s="0" t="str">
        <f aca="false">IF(INDEX(BookTitle,459)="","",INDEX(BookKey,459))</f>
        <v/>
      </c>
      <c r="B464" s="0" t="str">
        <f aca="false">IF(INDEX(BookTitle,459)="","",INDEX(BookGroup,459))</f>
        <v/>
      </c>
      <c r="C464" s="0" t="str">
        <f aca="false">IF(INDEX(BookTitle,459)="","",INDEX(BookCategory,459))</f>
        <v/>
      </c>
      <c r="D464" s="56" t="str">
        <f aca="false">IF(INDEX(BookTitle,459)="","",INDEX(BookTotal,459)*'5. Scenarios'!$B$6/(1+ProductivityDefault*('5. Scenarios'!$B$11-1)))</f>
        <v/>
      </c>
      <c r="E464" s="57" t="str">
        <f aca="false">IF($D464="","",INDEX(BookRate,459)*(1+'5. Scenarios'!$B$10)*$D464)</f>
        <v/>
      </c>
      <c r="F464" s="57" t="str">
        <f aca="false">IF($E464="","",SUMIFS($E$6:$E$2405,$A$6:$A$2405,"&lt;="&amp;$A464))</f>
        <v/>
      </c>
      <c r="G464" s="57" t="str">
        <f aca="false">IF($E464="","",IF($F464&lt;=BankCostEnvelope*'5. Scenarios'!$B$7,1,0))</f>
        <v/>
      </c>
      <c r="H464" s="57" t="str">
        <f aca="false">IF($D464="","",INDEX(BookRate,459)*(1+'5. Scenarios'!$B$10)*(INDEX(BookQ1,459)*(5-MIN(4,1+'5. Scenarios'!$B$8))/4+INDEX(BookQ2,459)*(5-MIN(4,2+'5. Scenarios'!$B$8))/4+INDEX(BookQ3,459)*(5-MIN(4,3+'5. Scenarios'!$B$8))/4+INDEX(BookQ4,459)*(5-MIN(4,4+'5. Scenarios'!$B$8))/4)*'5. Scenarios'!$B$6/(1+ProductivityDefault*('5. Scenarios'!$B$11-1))+INDEX(BookOneOff,459)*$D464)</f>
        <v/>
      </c>
      <c r="I464" s="56" t="str">
        <f aca="false">IF(INDEX(BookTitle,459)="","",INDEX(BookTotal,459)*'5. Scenarios'!$C$6/(1+ProductivityDefault*('5. Scenarios'!$C$11-1)))</f>
        <v/>
      </c>
      <c r="J464" s="57" t="str">
        <f aca="false">IF($I464="","",INDEX(BookRate,459)*(1+'5. Scenarios'!$C$10)*$I464)</f>
        <v/>
      </c>
      <c r="K464" s="57" t="str">
        <f aca="false">IF($J464="","",SUMIFS($J$6:$J$2405,$A$6:$A$2405,"&lt;="&amp;$A464))</f>
        <v/>
      </c>
      <c r="L464" s="57" t="str">
        <f aca="false">IF($J464="","",IF($K464&lt;=BankCostEnvelope*'5. Scenarios'!$C$7,1,0))</f>
        <v/>
      </c>
      <c r="M464" s="57" t="str">
        <f aca="false">IF($I464="","",INDEX(BookRate,459)*(1+'5. Scenarios'!$C$10)*(INDEX(BookQ1,459)*(5-MIN(4,1+'5. Scenarios'!$C$8))/4+INDEX(BookQ2,459)*(5-MIN(4,2+'5. Scenarios'!$C$8))/4+INDEX(BookQ3,459)*(5-MIN(4,3+'5. Scenarios'!$C$8))/4+INDEX(BookQ4,459)*(5-MIN(4,4+'5. Scenarios'!$C$8))/4)*'5. Scenarios'!$C$6/(1+ProductivityDefault*('5. Scenarios'!$C$11-1))+INDEX(BookOneOff,459)*$I464)</f>
        <v/>
      </c>
      <c r="N464" s="56" t="str">
        <f aca="false">IF(INDEX(BookTitle,459)="","",INDEX(BookTotal,459)*'5. Scenarios'!$D$6/(1+ProductivityDefault*('5. Scenarios'!$D$11-1)))</f>
        <v/>
      </c>
      <c r="O464" s="57" t="str">
        <f aca="false">IF($N464="","",INDEX(BookRate,459)*(1+'5. Scenarios'!$D$10)*$N464)</f>
        <v/>
      </c>
      <c r="P464" s="57" t="str">
        <f aca="false">IF($O464="","",SUMIFS($O$6:$O$2405,$A$6:$A$2405,"&lt;="&amp;$A464))</f>
        <v/>
      </c>
      <c r="Q464" s="57" t="str">
        <f aca="false">IF($O464="","",IF($P464&lt;=BankCostEnvelope*'5. Scenarios'!$D$7,1,0))</f>
        <v/>
      </c>
      <c r="R464" s="57" t="str">
        <f aca="false">IF($N464="","",INDEX(BookRate,459)*(1+'5. Scenarios'!$D$10)*(INDEX(BookQ1,459)*(5-MIN(4,1+'5. Scenarios'!$D$8))/4+INDEX(BookQ2,459)*(5-MIN(4,2+'5. Scenarios'!$D$8))/4+INDEX(BookQ3,459)*(5-MIN(4,3+'5. Scenarios'!$D$8))/4+INDEX(BookQ4,459)*(5-MIN(4,4+'5. Scenarios'!$D$8))/4)*'5. Scenarios'!$D$6/(1+ProductivityDefault*('5. Scenarios'!$D$11-1))+INDEX(BookOneOff,459)*$N464)</f>
        <v/>
      </c>
      <c r="S464" s="56" t="str">
        <f aca="false">IF(INDEX(BookTitle,459)="","",INDEX(BookTotal,459)*'5. Scenarios'!$E$6/(1+ProductivityDefault*('5. Scenarios'!$E$11-1)))</f>
        <v/>
      </c>
      <c r="T464" s="57" t="str">
        <f aca="false">IF($S464="","",INDEX(BookRate,459)*(1+'5. Scenarios'!$E$10)*$S464)</f>
        <v/>
      </c>
      <c r="U464" s="57" t="str">
        <f aca="false">IF($T464="","",SUMIFS($T$6:$T$2405,$A$6:$A$2405,"&lt;="&amp;$A464))</f>
        <v/>
      </c>
      <c r="V464" s="57" t="str">
        <f aca="false">IF($T464="","",IF($U464&lt;=BankCostEnvelope*'5. Scenarios'!$E$7,1,0))</f>
        <v/>
      </c>
      <c r="W464" s="57" t="str">
        <f aca="false">IF($S464="","",INDEX(BookRate,459)*(1+'5. Scenarios'!$E$10)*(INDEX(BookQ1,459)*(5-MIN(4,1+'5. Scenarios'!$E$8))/4+INDEX(BookQ2,459)*(5-MIN(4,2+'5. Scenarios'!$E$8))/4+INDEX(BookQ3,459)*(5-MIN(4,3+'5. Scenarios'!$E$8))/4+INDEX(BookQ4,459)*(5-MIN(4,4+'5. Scenarios'!$E$8))/4)*'5. Scenarios'!$E$6/(1+ProductivityDefault*('5. Scenarios'!$E$11-1))+INDEX(BookOneOff,459)*$S464)</f>
        <v/>
      </c>
    </row>
    <row r="465" customFormat="false" ht="15" hidden="false" customHeight="false" outlineLevel="0" collapsed="false">
      <c r="A465" s="0" t="str">
        <f aca="false">IF(INDEX(BookTitle,460)="","",INDEX(BookKey,460))</f>
        <v/>
      </c>
      <c r="B465" s="0" t="str">
        <f aca="false">IF(INDEX(BookTitle,460)="","",INDEX(BookGroup,460))</f>
        <v/>
      </c>
      <c r="C465" s="0" t="str">
        <f aca="false">IF(INDEX(BookTitle,460)="","",INDEX(BookCategory,460))</f>
        <v/>
      </c>
      <c r="D465" s="56" t="str">
        <f aca="false">IF(INDEX(BookTitle,460)="","",INDEX(BookTotal,460)*'5. Scenarios'!$B$6/(1+ProductivityDefault*('5. Scenarios'!$B$11-1)))</f>
        <v/>
      </c>
      <c r="E465" s="57" t="str">
        <f aca="false">IF($D465="","",INDEX(BookRate,460)*(1+'5. Scenarios'!$B$10)*$D465)</f>
        <v/>
      </c>
      <c r="F465" s="57" t="str">
        <f aca="false">IF($E465="","",SUMIFS($E$6:$E$2405,$A$6:$A$2405,"&lt;="&amp;$A465))</f>
        <v/>
      </c>
      <c r="G465" s="57" t="str">
        <f aca="false">IF($E465="","",IF($F465&lt;=BankCostEnvelope*'5. Scenarios'!$B$7,1,0))</f>
        <v/>
      </c>
      <c r="H465" s="57" t="str">
        <f aca="false">IF($D465="","",INDEX(BookRate,460)*(1+'5. Scenarios'!$B$10)*(INDEX(BookQ1,460)*(5-MIN(4,1+'5. Scenarios'!$B$8))/4+INDEX(BookQ2,460)*(5-MIN(4,2+'5. Scenarios'!$B$8))/4+INDEX(BookQ3,460)*(5-MIN(4,3+'5. Scenarios'!$B$8))/4+INDEX(BookQ4,460)*(5-MIN(4,4+'5. Scenarios'!$B$8))/4)*'5. Scenarios'!$B$6/(1+ProductivityDefault*('5. Scenarios'!$B$11-1))+INDEX(BookOneOff,460)*$D465)</f>
        <v/>
      </c>
      <c r="I465" s="56" t="str">
        <f aca="false">IF(INDEX(BookTitle,460)="","",INDEX(BookTotal,460)*'5. Scenarios'!$C$6/(1+ProductivityDefault*('5. Scenarios'!$C$11-1)))</f>
        <v/>
      </c>
      <c r="J465" s="57" t="str">
        <f aca="false">IF($I465="","",INDEX(BookRate,460)*(1+'5. Scenarios'!$C$10)*$I465)</f>
        <v/>
      </c>
      <c r="K465" s="57" t="str">
        <f aca="false">IF($J465="","",SUMIFS($J$6:$J$2405,$A$6:$A$2405,"&lt;="&amp;$A465))</f>
        <v/>
      </c>
      <c r="L465" s="57" t="str">
        <f aca="false">IF($J465="","",IF($K465&lt;=BankCostEnvelope*'5. Scenarios'!$C$7,1,0))</f>
        <v/>
      </c>
      <c r="M465" s="57" t="str">
        <f aca="false">IF($I465="","",INDEX(BookRate,460)*(1+'5. Scenarios'!$C$10)*(INDEX(BookQ1,460)*(5-MIN(4,1+'5. Scenarios'!$C$8))/4+INDEX(BookQ2,460)*(5-MIN(4,2+'5. Scenarios'!$C$8))/4+INDEX(BookQ3,460)*(5-MIN(4,3+'5. Scenarios'!$C$8))/4+INDEX(BookQ4,460)*(5-MIN(4,4+'5. Scenarios'!$C$8))/4)*'5. Scenarios'!$C$6/(1+ProductivityDefault*('5. Scenarios'!$C$11-1))+INDEX(BookOneOff,460)*$I465)</f>
        <v/>
      </c>
      <c r="N465" s="56" t="str">
        <f aca="false">IF(INDEX(BookTitle,460)="","",INDEX(BookTotal,460)*'5. Scenarios'!$D$6/(1+ProductivityDefault*('5. Scenarios'!$D$11-1)))</f>
        <v/>
      </c>
      <c r="O465" s="57" t="str">
        <f aca="false">IF($N465="","",INDEX(BookRate,460)*(1+'5. Scenarios'!$D$10)*$N465)</f>
        <v/>
      </c>
      <c r="P465" s="57" t="str">
        <f aca="false">IF($O465="","",SUMIFS($O$6:$O$2405,$A$6:$A$2405,"&lt;="&amp;$A465))</f>
        <v/>
      </c>
      <c r="Q465" s="57" t="str">
        <f aca="false">IF($O465="","",IF($P465&lt;=BankCostEnvelope*'5. Scenarios'!$D$7,1,0))</f>
        <v/>
      </c>
      <c r="R465" s="57" t="str">
        <f aca="false">IF($N465="","",INDEX(BookRate,460)*(1+'5. Scenarios'!$D$10)*(INDEX(BookQ1,460)*(5-MIN(4,1+'5. Scenarios'!$D$8))/4+INDEX(BookQ2,460)*(5-MIN(4,2+'5. Scenarios'!$D$8))/4+INDEX(BookQ3,460)*(5-MIN(4,3+'5. Scenarios'!$D$8))/4+INDEX(BookQ4,460)*(5-MIN(4,4+'5. Scenarios'!$D$8))/4)*'5. Scenarios'!$D$6/(1+ProductivityDefault*('5. Scenarios'!$D$11-1))+INDEX(BookOneOff,460)*$N465)</f>
        <v/>
      </c>
      <c r="S465" s="56" t="str">
        <f aca="false">IF(INDEX(BookTitle,460)="","",INDEX(BookTotal,460)*'5. Scenarios'!$E$6/(1+ProductivityDefault*('5. Scenarios'!$E$11-1)))</f>
        <v/>
      </c>
      <c r="T465" s="57" t="str">
        <f aca="false">IF($S465="","",INDEX(BookRate,460)*(1+'5. Scenarios'!$E$10)*$S465)</f>
        <v/>
      </c>
      <c r="U465" s="57" t="str">
        <f aca="false">IF($T465="","",SUMIFS($T$6:$T$2405,$A$6:$A$2405,"&lt;="&amp;$A465))</f>
        <v/>
      </c>
      <c r="V465" s="57" t="str">
        <f aca="false">IF($T465="","",IF($U465&lt;=BankCostEnvelope*'5. Scenarios'!$E$7,1,0))</f>
        <v/>
      </c>
      <c r="W465" s="57" t="str">
        <f aca="false">IF($S465="","",INDEX(BookRate,460)*(1+'5. Scenarios'!$E$10)*(INDEX(BookQ1,460)*(5-MIN(4,1+'5. Scenarios'!$E$8))/4+INDEX(BookQ2,460)*(5-MIN(4,2+'5. Scenarios'!$E$8))/4+INDEX(BookQ3,460)*(5-MIN(4,3+'5. Scenarios'!$E$8))/4+INDEX(BookQ4,460)*(5-MIN(4,4+'5. Scenarios'!$E$8))/4)*'5. Scenarios'!$E$6/(1+ProductivityDefault*('5. Scenarios'!$E$11-1))+INDEX(BookOneOff,460)*$S465)</f>
        <v/>
      </c>
    </row>
    <row r="466" customFormat="false" ht="15" hidden="false" customHeight="false" outlineLevel="0" collapsed="false">
      <c r="A466" s="0" t="str">
        <f aca="false">IF(INDEX(BookTitle,461)="","",INDEX(BookKey,461))</f>
        <v/>
      </c>
      <c r="B466" s="0" t="str">
        <f aca="false">IF(INDEX(BookTitle,461)="","",INDEX(BookGroup,461))</f>
        <v/>
      </c>
      <c r="C466" s="0" t="str">
        <f aca="false">IF(INDEX(BookTitle,461)="","",INDEX(BookCategory,461))</f>
        <v/>
      </c>
      <c r="D466" s="56" t="str">
        <f aca="false">IF(INDEX(BookTitle,461)="","",INDEX(BookTotal,461)*'5. Scenarios'!$B$6/(1+ProductivityDefault*('5. Scenarios'!$B$11-1)))</f>
        <v/>
      </c>
      <c r="E466" s="57" t="str">
        <f aca="false">IF($D466="","",INDEX(BookRate,461)*(1+'5. Scenarios'!$B$10)*$D466)</f>
        <v/>
      </c>
      <c r="F466" s="57" t="str">
        <f aca="false">IF($E466="","",SUMIFS($E$6:$E$2405,$A$6:$A$2405,"&lt;="&amp;$A466))</f>
        <v/>
      </c>
      <c r="G466" s="57" t="str">
        <f aca="false">IF($E466="","",IF($F466&lt;=BankCostEnvelope*'5. Scenarios'!$B$7,1,0))</f>
        <v/>
      </c>
      <c r="H466" s="57" t="str">
        <f aca="false">IF($D466="","",INDEX(BookRate,461)*(1+'5. Scenarios'!$B$10)*(INDEX(BookQ1,461)*(5-MIN(4,1+'5. Scenarios'!$B$8))/4+INDEX(BookQ2,461)*(5-MIN(4,2+'5. Scenarios'!$B$8))/4+INDEX(BookQ3,461)*(5-MIN(4,3+'5. Scenarios'!$B$8))/4+INDEX(BookQ4,461)*(5-MIN(4,4+'5. Scenarios'!$B$8))/4)*'5. Scenarios'!$B$6/(1+ProductivityDefault*('5. Scenarios'!$B$11-1))+INDEX(BookOneOff,461)*$D466)</f>
        <v/>
      </c>
      <c r="I466" s="56" t="str">
        <f aca="false">IF(INDEX(BookTitle,461)="","",INDEX(BookTotal,461)*'5. Scenarios'!$C$6/(1+ProductivityDefault*('5. Scenarios'!$C$11-1)))</f>
        <v/>
      </c>
      <c r="J466" s="57" t="str">
        <f aca="false">IF($I466="","",INDEX(BookRate,461)*(1+'5. Scenarios'!$C$10)*$I466)</f>
        <v/>
      </c>
      <c r="K466" s="57" t="str">
        <f aca="false">IF($J466="","",SUMIFS($J$6:$J$2405,$A$6:$A$2405,"&lt;="&amp;$A466))</f>
        <v/>
      </c>
      <c r="L466" s="57" t="str">
        <f aca="false">IF($J466="","",IF($K466&lt;=BankCostEnvelope*'5. Scenarios'!$C$7,1,0))</f>
        <v/>
      </c>
      <c r="M466" s="57" t="str">
        <f aca="false">IF($I466="","",INDEX(BookRate,461)*(1+'5. Scenarios'!$C$10)*(INDEX(BookQ1,461)*(5-MIN(4,1+'5. Scenarios'!$C$8))/4+INDEX(BookQ2,461)*(5-MIN(4,2+'5. Scenarios'!$C$8))/4+INDEX(BookQ3,461)*(5-MIN(4,3+'5. Scenarios'!$C$8))/4+INDEX(BookQ4,461)*(5-MIN(4,4+'5. Scenarios'!$C$8))/4)*'5. Scenarios'!$C$6/(1+ProductivityDefault*('5. Scenarios'!$C$11-1))+INDEX(BookOneOff,461)*$I466)</f>
        <v/>
      </c>
      <c r="N466" s="56" t="str">
        <f aca="false">IF(INDEX(BookTitle,461)="","",INDEX(BookTotal,461)*'5. Scenarios'!$D$6/(1+ProductivityDefault*('5. Scenarios'!$D$11-1)))</f>
        <v/>
      </c>
      <c r="O466" s="57" t="str">
        <f aca="false">IF($N466="","",INDEX(BookRate,461)*(1+'5. Scenarios'!$D$10)*$N466)</f>
        <v/>
      </c>
      <c r="P466" s="57" t="str">
        <f aca="false">IF($O466="","",SUMIFS($O$6:$O$2405,$A$6:$A$2405,"&lt;="&amp;$A466))</f>
        <v/>
      </c>
      <c r="Q466" s="57" t="str">
        <f aca="false">IF($O466="","",IF($P466&lt;=BankCostEnvelope*'5. Scenarios'!$D$7,1,0))</f>
        <v/>
      </c>
      <c r="R466" s="57" t="str">
        <f aca="false">IF($N466="","",INDEX(BookRate,461)*(1+'5. Scenarios'!$D$10)*(INDEX(BookQ1,461)*(5-MIN(4,1+'5. Scenarios'!$D$8))/4+INDEX(BookQ2,461)*(5-MIN(4,2+'5. Scenarios'!$D$8))/4+INDEX(BookQ3,461)*(5-MIN(4,3+'5. Scenarios'!$D$8))/4+INDEX(BookQ4,461)*(5-MIN(4,4+'5. Scenarios'!$D$8))/4)*'5. Scenarios'!$D$6/(1+ProductivityDefault*('5. Scenarios'!$D$11-1))+INDEX(BookOneOff,461)*$N466)</f>
        <v/>
      </c>
      <c r="S466" s="56" t="str">
        <f aca="false">IF(INDEX(BookTitle,461)="","",INDEX(BookTotal,461)*'5. Scenarios'!$E$6/(1+ProductivityDefault*('5. Scenarios'!$E$11-1)))</f>
        <v/>
      </c>
      <c r="T466" s="57" t="str">
        <f aca="false">IF($S466="","",INDEX(BookRate,461)*(1+'5. Scenarios'!$E$10)*$S466)</f>
        <v/>
      </c>
      <c r="U466" s="57" t="str">
        <f aca="false">IF($T466="","",SUMIFS($T$6:$T$2405,$A$6:$A$2405,"&lt;="&amp;$A466))</f>
        <v/>
      </c>
      <c r="V466" s="57" t="str">
        <f aca="false">IF($T466="","",IF($U466&lt;=BankCostEnvelope*'5. Scenarios'!$E$7,1,0))</f>
        <v/>
      </c>
      <c r="W466" s="57" t="str">
        <f aca="false">IF($S466="","",INDEX(BookRate,461)*(1+'5. Scenarios'!$E$10)*(INDEX(BookQ1,461)*(5-MIN(4,1+'5. Scenarios'!$E$8))/4+INDEX(BookQ2,461)*(5-MIN(4,2+'5. Scenarios'!$E$8))/4+INDEX(BookQ3,461)*(5-MIN(4,3+'5. Scenarios'!$E$8))/4+INDEX(BookQ4,461)*(5-MIN(4,4+'5. Scenarios'!$E$8))/4)*'5. Scenarios'!$E$6/(1+ProductivityDefault*('5. Scenarios'!$E$11-1))+INDEX(BookOneOff,461)*$S466)</f>
        <v/>
      </c>
    </row>
    <row r="467" customFormat="false" ht="15" hidden="false" customHeight="false" outlineLevel="0" collapsed="false">
      <c r="A467" s="0" t="str">
        <f aca="false">IF(INDEX(BookTitle,462)="","",INDEX(BookKey,462))</f>
        <v/>
      </c>
      <c r="B467" s="0" t="str">
        <f aca="false">IF(INDEX(BookTitle,462)="","",INDEX(BookGroup,462))</f>
        <v/>
      </c>
      <c r="C467" s="0" t="str">
        <f aca="false">IF(INDEX(BookTitle,462)="","",INDEX(BookCategory,462))</f>
        <v/>
      </c>
      <c r="D467" s="56" t="str">
        <f aca="false">IF(INDEX(BookTitle,462)="","",INDEX(BookTotal,462)*'5. Scenarios'!$B$6/(1+ProductivityDefault*('5. Scenarios'!$B$11-1)))</f>
        <v/>
      </c>
      <c r="E467" s="57" t="str">
        <f aca="false">IF($D467="","",INDEX(BookRate,462)*(1+'5. Scenarios'!$B$10)*$D467)</f>
        <v/>
      </c>
      <c r="F467" s="57" t="str">
        <f aca="false">IF($E467="","",SUMIFS($E$6:$E$2405,$A$6:$A$2405,"&lt;="&amp;$A467))</f>
        <v/>
      </c>
      <c r="G467" s="57" t="str">
        <f aca="false">IF($E467="","",IF($F467&lt;=BankCostEnvelope*'5. Scenarios'!$B$7,1,0))</f>
        <v/>
      </c>
      <c r="H467" s="57" t="str">
        <f aca="false">IF($D467="","",INDEX(BookRate,462)*(1+'5. Scenarios'!$B$10)*(INDEX(BookQ1,462)*(5-MIN(4,1+'5. Scenarios'!$B$8))/4+INDEX(BookQ2,462)*(5-MIN(4,2+'5. Scenarios'!$B$8))/4+INDEX(BookQ3,462)*(5-MIN(4,3+'5. Scenarios'!$B$8))/4+INDEX(BookQ4,462)*(5-MIN(4,4+'5. Scenarios'!$B$8))/4)*'5. Scenarios'!$B$6/(1+ProductivityDefault*('5. Scenarios'!$B$11-1))+INDEX(BookOneOff,462)*$D467)</f>
        <v/>
      </c>
      <c r="I467" s="56" t="str">
        <f aca="false">IF(INDEX(BookTitle,462)="","",INDEX(BookTotal,462)*'5. Scenarios'!$C$6/(1+ProductivityDefault*('5. Scenarios'!$C$11-1)))</f>
        <v/>
      </c>
      <c r="J467" s="57" t="str">
        <f aca="false">IF($I467="","",INDEX(BookRate,462)*(1+'5. Scenarios'!$C$10)*$I467)</f>
        <v/>
      </c>
      <c r="K467" s="57" t="str">
        <f aca="false">IF($J467="","",SUMIFS($J$6:$J$2405,$A$6:$A$2405,"&lt;="&amp;$A467))</f>
        <v/>
      </c>
      <c r="L467" s="57" t="str">
        <f aca="false">IF($J467="","",IF($K467&lt;=BankCostEnvelope*'5. Scenarios'!$C$7,1,0))</f>
        <v/>
      </c>
      <c r="M467" s="57" t="str">
        <f aca="false">IF($I467="","",INDEX(BookRate,462)*(1+'5. Scenarios'!$C$10)*(INDEX(BookQ1,462)*(5-MIN(4,1+'5. Scenarios'!$C$8))/4+INDEX(BookQ2,462)*(5-MIN(4,2+'5. Scenarios'!$C$8))/4+INDEX(BookQ3,462)*(5-MIN(4,3+'5. Scenarios'!$C$8))/4+INDEX(BookQ4,462)*(5-MIN(4,4+'5. Scenarios'!$C$8))/4)*'5. Scenarios'!$C$6/(1+ProductivityDefault*('5. Scenarios'!$C$11-1))+INDEX(BookOneOff,462)*$I467)</f>
        <v/>
      </c>
      <c r="N467" s="56" t="str">
        <f aca="false">IF(INDEX(BookTitle,462)="","",INDEX(BookTotal,462)*'5. Scenarios'!$D$6/(1+ProductivityDefault*('5. Scenarios'!$D$11-1)))</f>
        <v/>
      </c>
      <c r="O467" s="57" t="str">
        <f aca="false">IF($N467="","",INDEX(BookRate,462)*(1+'5. Scenarios'!$D$10)*$N467)</f>
        <v/>
      </c>
      <c r="P467" s="57" t="str">
        <f aca="false">IF($O467="","",SUMIFS($O$6:$O$2405,$A$6:$A$2405,"&lt;="&amp;$A467))</f>
        <v/>
      </c>
      <c r="Q467" s="57" t="str">
        <f aca="false">IF($O467="","",IF($P467&lt;=BankCostEnvelope*'5. Scenarios'!$D$7,1,0))</f>
        <v/>
      </c>
      <c r="R467" s="57" t="str">
        <f aca="false">IF($N467="","",INDEX(BookRate,462)*(1+'5. Scenarios'!$D$10)*(INDEX(BookQ1,462)*(5-MIN(4,1+'5. Scenarios'!$D$8))/4+INDEX(BookQ2,462)*(5-MIN(4,2+'5. Scenarios'!$D$8))/4+INDEX(BookQ3,462)*(5-MIN(4,3+'5. Scenarios'!$D$8))/4+INDEX(BookQ4,462)*(5-MIN(4,4+'5. Scenarios'!$D$8))/4)*'5. Scenarios'!$D$6/(1+ProductivityDefault*('5. Scenarios'!$D$11-1))+INDEX(BookOneOff,462)*$N467)</f>
        <v/>
      </c>
      <c r="S467" s="56" t="str">
        <f aca="false">IF(INDEX(BookTitle,462)="","",INDEX(BookTotal,462)*'5. Scenarios'!$E$6/(1+ProductivityDefault*('5. Scenarios'!$E$11-1)))</f>
        <v/>
      </c>
      <c r="T467" s="57" t="str">
        <f aca="false">IF($S467="","",INDEX(BookRate,462)*(1+'5. Scenarios'!$E$10)*$S467)</f>
        <v/>
      </c>
      <c r="U467" s="57" t="str">
        <f aca="false">IF($T467="","",SUMIFS($T$6:$T$2405,$A$6:$A$2405,"&lt;="&amp;$A467))</f>
        <v/>
      </c>
      <c r="V467" s="57" t="str">
        <f aca="false">IF($T467="","",IF($U467&lt;=BankCostEnvelope*'5. Scenarios'!$E$7,1,0))</f>
        <v/>
      </c>
      <c r="W467" s="57" t="str">
        <f aca="false">IF($S467="","",INDEX(BookRate,462)*(1+'5. Scenarios'!$E$10)*(INDEX(BookQ1,462)*(5-MIN(4,1+'5. Scenarios'!$E$8))/4+INDEX(BookQ2,462)*(5-MIN(4,2+'5. Scenarios'!$E$8))/4+INDEX(BookQ3,462)*(5-MIN(4,3+'5. Scenarios'!$E$8))/4+INDEX(BookQ4,462)*(5-MIN(4,4+'5. Scenarios'!$E$8))/4)*'5. Scenarios'!$E$6/(1+ProductivityDefault*('5. Scenarios'!$E$11-1))+INDEX(BookOneOff,462)*$S467)</f>
        <v/>
      </c>
    </row>
    <row r="468" customFormat="false" ht="15" hidden="false" customHeight="false" outlineLevel="0" collapsed="false">
      <c r="A468" s="0" t="str">
        <f aca="false">IF(INDEX(BookTitle,463)="","",INDEX(BookKey,463))</f>
        <v/>
      </c>
      <c r="B468" s="0" t="str">
        <f aca="false">IF(INDEX(BookTitle,463)="","",INDEX(BookGroup,463))</f>
        <v/>
      </c>
      <c r="C468" s="0" t="str">
        <f aca="false">IF(INDEX(BookTitle,463)="","",INDEX(BookCategory,463))</f>
        <v/>
      </c>
      <c r="D468" s="56" t="str">
        <f aca="false">IF(INDEX(BookTitle,463)="","",INDEX(BookTotal,463)*'5. Scenarios'!$B$6/(1+ProductivityDefault*('5. Scenarios'!$B$11-1)))</f>
        <v/>
      </c>
      <c r="E468" s="57" t="str">
        <f aca="false">IF($D468="","",INDEX(BookRate,463)*(1+'5. Scenarios'!$B$10)*$D468)</f>
        <v/>
      </c>
      <c r="F468" s="57" t="str">
        <f aca="false">IF($E468="","",SUMIFS($E$6:$E$2405,$A$6:$A$2405,"&lt;="&amp;$A468))</f>
        <v/>
      </c>
      <c r="G468" s="57" t="str">
        <f aca="false">IF($E468="","",IF($F468&lt;=BankCostEnvelope*'5. Scenarios'!$B$7,1,0))</f>
        <v/>
      </c>
      <c r="H468" s="57" t="str">
        <f aca="false">IF($D468="","",INDEX(BookRate,463)*(1+'5. Scenarios'!$B$10)*(INDEX(BookQ1,463)*(5-MIN(4,1+'5. Scenarios'!$B$8))/4+INDEX(BookQ2,463)*(5-MIN(4,2+'5. Scenarios'!$B$8))/4+INDEX(BookQ3,463)*(5-MIN(4,3+'5. Scenarios'!$B$8))/4+INDEX(BookQ4,463)*(5-MIN(4,4+'5. Scenarios'!$B$8))/4)*'5. Scenarios'!$B$6/(1+ProductivityDefault*('5. Scenarios'!$B$11-1))+INDEX(BookOneOff,463)*$D468)</f>
        <v/>
      </c>
      <c r="I468" s="56" t="str">
        <f aca="false">IF(INDEX(BookTitle,463)="","",INDEX(BookTotal,463)*'5. Scenarios'!$C$6/(1+ProductivityDefault*('5. Scenarios'!$C$11-1)))</f>
        <v/>
      </c>
      <c r="J468" s="57" t="str">
        <f aca="false">IF($I468="","",INDEX(BookRate,463)*(1+'5. Scenarios'!$C$10)*$I468)</f>
        <v/>
      </c>
      <c r="K468" s="57" t="str">
        <f aca="false">IF($J468="","",SUMIFS($J$6:$J$2405,$A$6:$A$2405,"&lt;="&amp;$A468))</f>
        <v/>
      </c>
      <c r="L468" s="57" t="str">
        <f aca="false">IF($J468="","",IF($K468&lt;=BankCostEnvelope*'5. Scenarios'!$C$7,1,0))</f>
        <v/>
      </c>
      <c r="M468" s="57" t="str">
        <f aca="false">IF($I468="","",INDEX(BookRate,463)*(1+'5. Scenarios'!$C$10)*(INDEX(BookQ1,463)*(5-MIN(4,1+'5. Scenarios'!$C$8))/4+INDEX(BookQ2,463)*(5-MIN(4,2+'5. Scenarios'!$C$8))/4+INDEX(BookQ3,463)*(5-MIN(4,3+'5. Scenarios'!$C$8))/4+INDEX(BookQ4,463)*(5-MIN(4,4+'5. Scenarios'!$C$8))/4)*'5. Scenarios'!$C$6/(1+ProductivityDefault*('5. Scenarios'!$C$11-1))+INDEX(BookOneOff,463)*$I468)</f>
        <v/>
      </c>
      <c r="N468" s="56" t="str">
        <f aca="false">IF(INDEX(BookTitle,463)="","",INDEX(BookTotal,463)*'5. Scenarios'!$D$6/(1+ProductivityDefault*('5. Scenarios'!$D$11-1)))</f>
        <v/>
      </c>
      <c r="O468" s="57" t="str">
        <f aca="false">IF($N468="","",INDEX(BookRate,463)*(1+'5. Scenarios'!$D$10)*$N468)</f>
        <v/>
      </c>
      <c r="P468" s="57" t="str">
        <f aca="false">IF($O468="","",SUMIFS($O$6:$O$2405,$A$6:$A$2405,"&lt;="&amp;$A468))</f>
        <v/>
      </c>
      <c r="Q468" s="57" t="str">
        <f aca="false">IF($O468="","",IF($P468&lt;=BankCostEnvelope*'5. Scenarios'!$D$7,1,0))</f>
        <v/>
      </c>
      <c r="R468" s="57" t="str">
        <f aca="false">IF($N468="","",INDEX(BookRate,463)*(1+'5. Scenarios'!$D$10)*(INDEX(BookQ1,463)*(5-MIN(4,1+'5. Scenarios'!$D$8))/4+INDEX(BookQ2,463)*(5-MIN(4,2+'5. Scenarios'!$D$8))/4+INDEX(BookQ3,463)*(5-MIN(4,3+'5. Scenarios'!$D$8))/4+INDEX(BookQ4,463)*(5-MIN(4,4+'5. Scenarios'!$D$8))/4)*'5. Scenarios'!$D$6/(1+ProductivityDefault*('5. Scenarios'!$D$11-1))+INDEX(BookOneOff,463)*$N468)</f>
        <v/>
      </c>
      <c r="S468" s="56" t="str">
        <f aca="false">IF(INDEX(BookTitle,463)="","",INDEX(BookTotal,463)*'5. Scenarios'!$E$6/(1+ProductivityDefault*('5. Scenarios'!$E$11-1)))</f>
        <v/>
      </c>
      <c r="T468" s="57" t="str">
        <f aca="false">IF($S468="","",INDEX(BookRate,463)*(1+'5. Scenarios'!$E$10)*$S468)</f>
        <v/>
      </c>
      <c r="U468" s="57" t="str">
        <f aca="false">IF($T468="","",SUMIFS($T$6:$T$2405,$A$6:$A$2405,"&lt;="&amp;$A468))</f>
        <v/>
      </c>
      <c r="V468" s="57" t="str">
        <f aca="false">IF($T468="","",IF($U468&lt;=BankCostEnvelope*'5. Scenarios'!$E$7,1,0))</f>
        <v/>
      </c>
      <c r="W468" s="57" t="str">
        <f aca="false">IF($S468="","",INDEX(BookRate,463)*(1+'5. Scenarios'!$E$10)*(INDEX(BookQ1,463)*(5-MIN(4,1+'5. Scenarios'!$E$8))/4+INDEX(BookQ2,463)*(5-MIN(4,2+'5. Scenarios'!$E$8))/4+INDEX(BookQ3,463)*(5-MIN(4,3+'5. Scenarios'!$E$8))/4+INDEX(BookQ4,463)*(5-MIN(4,4+'5. Scenarios'!$E$8))/4)*'5. Scenarios'!$E$6/(1+ProductivityDefault*('5. Scenarios'!$E$11-1))+INDEX(BookOneOff,463)*$S468)</f>
        <v/>
      </c>
    </row>
    <row r="469" customFormat="false" ht="15" hidden="false" customHeight="false" outlineLevel="0" collapsed="false">
      <c r="A469" s="0" t="str">
        <f aca="false">IF(INDEX(BookTitle,464)="","",INDEX(BookKey,464))</f>
        <v/>
      </c>
      <c r="B469" s="0" t="str">
        <f aca="false">IF(INDEX(BookTitle,464)="","",INDEX(BookGroup,464))</f>
        <v/>
      </c>
      <c r="C469" s="0" t="str">
        <f aca="false">IF(INDEX(BookTitle,464)="","",INDEX(BookCategory,464))</f>
        <v/>
      </c>
      <c r="D469" s="56" t="str">
        <f aca="false">IF(INDEX(BookTitle,464)="","",INDEX(BookTotal,464)*'5. Scenarios'!$B$6/(1+ProductivityDefault*('5. Scenarios'!$B$11-1)))</f>
        <v/>
      </c>
      <c r="E469" s="57" t="str">
        <f aca="false">IF($D469="","",INDEX(BookRate,464)*(1+'5. Scenarios'!$B$10)*$D469)</f>
        <v/>
      </c>
      <c r="F469" s="57" t="str">
        <f aca="false">IF($E469="","",SUMIFS($E$6:$E$2405,$A$6:$A$2405,"&lt;="&amp;$A469))</f>
        <v/>
      </c>
      <c r="G469" s="57" t="str">
        <f aca="false">IF($E469="","",IF($F469&lt;=BankCostEnvelope*'5. Scenarios'!$B$7,1,0))</f>
        <v/>
      </c>
      <c r="H469" s="57" t="str">
        <f aca="false">IF($D469="","",INDEX(BookRate,464)*(1+'5. Scenarios'!$B$10)*(INDEX(BookQ1,464)*(5-MIN(4,1+'5. Scenarios'!$B$8))/4+INDEX(BookQ2,464)*(5-MIN(4,2+'5. Scenarios'!$B$8))/4+INDEX(BookQ3,464)*(5-MIN(4,3+'5. Scenarios'!$B$8))/4+INDEX(BookQ4,464)*(5-MIN(4,4+'5. Scenarios'!$B$8))/4)*'5. Scenarios'!$B$6/(1+ProductivityDefault*('5. Scenarios'!$B$11-1))+INDEX(BookOneOff,464)*$D469)</f>
        <v/>
      </c>
      <c r="I469" s="56" t="str">
        <f aca="false">IF(INDEX(BookTitle,464)="","",INDEX(BookTotal,464)*'5. Scenarios'!$C$6/(1+ProductivityDefault*('5. Scenarios'!$C$11-1)))</f>
        <v/>
      </c>
      <c r="J469" s="57" t="str">
        <f aca="false">IF($I469="","",INDEX(BookRate,464)*(1+'5. Scenarios'!$C$10)*$I469)</f>
        <v/>
      </c>
      <c r="K469" s="57" t="str">
        <f aca="false">IF($J469="","",SUMIFS($J$6:$J$2405,$A$6:$A$2405,"&lt;="&amp;$A469))</f>
        <v/>
      </c>
      <c r="L469" s="57" t="str">
        <f aca="false">IF($J469="","",IF($K469&lt;=BankCostEnvelope*'5. Scenarios'!$C$7,1,0))</f>
        <v/>
      </c>
      <c r="M469" s="57" t="str">
        <f aca="false">IF($I469="","",INDEX(BookRate,464)*(1+'5. Scenarios'!$C$10)*(INDEX(BookQ1,464)*(5-MIN(4,1+'5. Scenarios'!$C$8))/4+INDEX(BookQ2,464)*(5-MIN(4,2+'5. Scenarios'!$C$8))/4+INDEX(BookQ3,464)*(5-MIN(4,3+'5. Scenarios'!$C$8))/4+INDEX(BookQ4,464)*(5-MIN(4,4+'5. Scenarios'!$C$8))/4)*'5. Scenarios'!$C$6/(1+ProductivityDefault*('5. Scenarios'!$C$11-1))+INDEX(BookOneOff,464)*$I469)</f>
        <v/>
      </c>
      <c r="N469" s="56" t="str">
        <f aca="false">IF(INDEX(BookTitle,464)="","",INDEX(BookTotal,464)*'5. Scenarios'!$D$6/(1+ProductivityDefault*('5. Scenarios'!$D$11-1)))</f>
        <v/>
      </c>
      <c r="O469" s="57" t="str">
        <f aca="false">IF($N469="","",INDEX(BookRate,464)*(1+'5. Scenarios'!$D$10)*$N469)</f>
        <v/>
      </c>
      <c r="P469" s="57" t="str">
        <f aca="false">IF($O469="","",SUMIFS($O$6:$O$2405,$A$6:$A$2405,"&lt;="&amp;$A469))</f>
        <v/>
      </c>
      <c r="Q469" s="57" t="str">
        <f aca="false">IF($O469="","",IF($P469&lt;=BankCostEnvelope*'5. Scenarios'!$D$7,1,0))</f>
        <v/>
      </c>
      <c r="R469" s="57" t="str">
        <f aca="false">IF($N469="","",INDEX(BookRate,464)*(1+'5. Scenarios'!$D$10)*(INDEX(BookQ1,464)*(5-MIN(4,1+'5. Scenarios'!$D$8))/4+INDEX(BookQ2,464)*(5-MIN(4,2+'5. Scenarios'!$D$8))/4+INDEX(BookQ3,464)*(5-MIN(4,3+'5. Scenarios'!$D$8))/4+INDEX(BookQ4,464)*(5-MIN(4,4+'5. Scenarios'!$D$8))/4)*'5. Scenarios'!$D$6/(1+ProductivityDefault*('5. Scenarios'!$D$11-1))+INDEX(BookOneOff,464)*$N469)</f>
        <v/>
      </c>
      <c r="S469" s="56" t="str">
        <f aca="false">IF(INDEX(BookTitle,464)="","",INDEX(BookTotal,464)*'5. Scenarios'!$E$6/(1+ProductivityDefault*('5. Scenarios'!$E$11-1)))</f>
        <v/>
      </c>
      <c r="T469" s="57" t="str">
        <f aca="false">IF($S469="","",INDEX(BookRate,464)*(1+'5. Scenarios'!$E$10)*$S469)</f>
        <v/>
      </c>
      <c r="U469" s="57" t="str">
        <f aca="false">IF($T469="","",SUMIFS($T$6:$T$2405,$A$6:$A$2405,"&lt;="&amp;$A469))</f>
        <v/>
      </c>
      <c r="V469" s="57" t="str">
        <f aca="false">IF($T469="","",IF($U469&lt;=BankCostEnvelope*'5. Scenarios'!$E$7,1,0))</f>
        <v/>
      </c>
      <c r="W469" s="57" t="str">
        <f aca="false">IF($S469="","",INDEX(BookRate,464)*(1+'5. Scenarios'!$E$10)*(INDEX(BookQ1,464)*(5-MIN(4,1+'5. Scenarios'!$E$8))/4+INDEX(BookQ2,464)*(5-MIN(4,2+'5. Scenarios'!$E$8))/4+INDEX(BookQ3,464)*(5-MIN(4,3+'5. Scenarios'!$E$8))/4+INDEX(BookQ4,464)*(5-MIN(4,4+'5. Scenarios'!$E$8))/4)*'5. Scenarios'!$E$6/(1+ProductivityDefault*('5. Scenarios'!$E$11-1))+INDEX(BookOneOff,464)*$S469)</f>
        <v/>
      </c>
    </row>
    <row r="470" customFormat="false" ht="15" hidden="false" customHeight="false" outlineLevel="0" collapsed="false">
      <c r="A470" s="0" t="str">
        <f aca="false">IF(INDEX(BookTitle,465)="","",INDEX(BookKey,465))</f>
        <v/>
      </c>
      <c r="B470" s="0" t="str">
        <f aca="false">IF(INDEX(BookTitle,465)="","",INDEX(BookGroup,465))</f>
        <v/>
      </c>
      <c r="C470" s="0" t="str">
        <f aca="false">IF(INDEX(BookTitle,465)="","",INDEX(BookCategory,465))</f>
        <v/>
      </c>
      <c r="D470" s="56" t="str">
        <f aca="false">IF(INDEX(BookTitle,465)="","",INDEX(BookTotal,465)*'5. Scenarios'!$B$6/(1+ProductivityDefault*('5. Scenarios'!$B$11-1)))</f>
        <v/>
      </c>
      <c r="E470" s="57" t="str">
        <f aca="false">IF($D470="","",INDEX(BookRate,465)*(1+'5. Scenarios'!$B$10)*$D470)</f>
        <v/>
      </c>
      <c r="F470" s="57" t="str">
        <f aca="false">IF($E470="","",SUMIFS($E$6:$E$2405,$A$6:$A$2405,"&lt;="&amp;$A470))</f>
        <v/>
      </c>
      <c r="G470" s="57" t="str">
        <f aca="false">IF($E470="","",IF($F470&lt;=BankCostEnvelope*'5. Scenarios'!$B$7,1,0))</f>
        <v/>
      </c>
      <c r="H470" s="57" t="str">
        <f aca="false">IF($D470="","",INDEX(BookRate,465)*(1+'5. Scenarios'!$B$10)*(INDEX(BookQ1,465)*(5-MIN(4,1+'5. Scenarios'!$B$8))/4+INDEX(BookQ2,465)*(5-MIN(4,2+'5. Scenarios'!$B$8))/4+INDEX(BookQ3,465)*(5-MIN(4,3+'5. Scenarios'!$B$8))/4+INDEX(BookQ4,465)*(5-MIN(4,4+'5. Scenarios'!$B$8))/4)*'5. Scenarios'!$B$6/(1+ProductivityDefault*('5. Scenarios'!$B$11-1))+INDEX(BookOneOff,465)*$D470)</f>
        <v/>
      </c>
      <c r="I470" s="56" t="str">
        <f aca="false">IF(INDEX(BookTitle,465)="","",INDEX(BookTotal,465)*'5. Scenarios'!$C$6/(1+ProductivityDefault*('5. Scenarios'!$C$11-1)))</f>
        <v/>
      </c>
      <c r="J470" s="57" t="str">
        <f aca="false">IF($I470="","",INDEX(BookRate,465)*(1+'5. Scenarios'!$C$10)*$I470)</f>
        <v/>
      </c>
      <c r="K470" s="57" t="str">
        <f aca="false">IF($J470="","",SUMIFS($J$6:$J$2405,$A$6:$A$2405,"&lt;="&amp;$A470))</f>
        <v/>
      </c>
      <c r="L470" s="57" t="str">
        <f aca="false">IF($J470="","",IF($K470&lt;=BankCostEnvelope*'5. Scenarios'!$C$7,1,0))</f>
        <v/>
      </c>
      <c r="M470" s="57" t="str">
        <f aca="false">IF($I470="","",INDEX(BookRate,465)*(1+'5. Scenarios'!$C$10)*(INDEX(BookQ1,465)*(5-MIN(4,1+'5. Scenarios'!$C$8))/4+INDEX(BookQ2,465)*(5-MIN(4,2+'5. Scenarios'!$C$8))/4+INDEX(BookQ3,465)*(5-MIN(4,3+'5. Scenarios'!$C$8))/4+INDEX(BookQ4,465)*(5-MIN(4,4+'5. Scenarios'!$C$8))/4)*'5. Scenarios'!$C$6/(1+ProductivityDefault*('5. Scenarios'!$C$11-1))+INDEX(BookOneOff,465)*$I470)</f>
        <v/>
      </c>
      <c r="N470" s="56" t="str">
        <f aca="false">IF(INDEX(BookTitle,465)="","",INDEX(BookTotal,465)*'5. Scenarios'!$D$6/(1+ProductivityDefault*('5. Scenarios'!$D$11-1)))</f>
        <v/>
      </c>
      <c r="O470" s="57" t="str">
        <f aca="false">IF($N470="","",INDEX(BookRate,465)*(1+'5. Scenarios'!$D$10)*$N470)</f>
        <v/>
      </c>
      <c r="P470" s="57" t="str">
        <f aca="false">IF($O470="","",SUMIFS($O$6:$O$2405,$A$6:$A$2405,"&lt;="&amp;$A470))</f>
        <v/>
      </c>
      <c r="Q470" s="57" t="str">
        <f aca="false">IF($O470="","",IF($P470&lt;=BankCostEnvelope*'5. Scenarios'!$D$7,1,0))</f>
        <v/>
      </c>
      <c r="R470" s="57" t="str">
        <f aca="false">IF($N470="","",INDEX(BookRate,465)*(1+'5. Scenarios'!$D$10)*(INDEX(BookQ1,465)*(5-MIN(4,1+'5. Scenarios'!$D$8))/4+INDEX(BookQ2,465)*(5-MIN(4,2+'5. Scenarios'!$D$8))/4+INDEX(BookQ3,465)*(5-MIN(4,3+'5. Scenarios'!$D$8))/4+INDEX(BookQ4,465)*(5-MIN(4,4+'5. Scenarios'!$D$8))/4)*'5. Scenarios'!$D$6/(1+ProductivityDefault*('5. Scenarios'!$D$11-1))+INDEX(BookOneOff,465)*$N470)</f>
        <v/>
      </c>
      <c r="S470" s="56" t="str">
        <f aca="false">IF(INDEX(BookTitle,465)="","",INDEX(BookTotal,465)*'5. Scenarios'!$E$6/(1+ProductivityDefault*('5. Scenarios'!$E$11-1)))</f>
        <v/>
      </c>
      <c r="T470" s="57" t="str">
        <f aca="false">IF($S470="","",INDEX(BookRate,465)*(1+'5. Scenarios'!$E$10)*$S470)</f>
        <v/>
      </c>
      <c r="U470" s="57" t="str">
        <f aca="false">IF($T470="","",SUMIFS($T$6:$T$2405,$A$6:$A$2405,"&lt;="&amp;$A470))</f>
        <v/>
      </c>
      <c r="V470" s="57" t="str">
        <f aca="false">IF($T470="","",IF($U470&lt;=BankCostEnvelope*'5. Scenarios'!$E$7,1,0))</f>
        <v/>
      </c>
      <c r="W470" s="57" t="str">
        <f aca="false">IF($S470="","",INDEX(BookRate,465)*(1+'5. Scenarios'!$E$10)*(INDEX(BookQ1,465)*(5-MIN(4,1+'5. Scenarios'!$E$8))/4+INDEX(BookQ2,465)*(5-MIN(4,2+'5. Scenarios'!$E$8))/4+INDEX(BookQ3,465)*(5-MIN(4,3+'5. Scenarios'!$E$8))/4+INDEX(BookQ4,465)*(5-MIN(4,4+'5. Scenarios'!$E$8))/4)*'5. Scenarios'!$E$6/(1+ProductivityDefault*('5. Scenarios'!$E$11-1))+INDEX(BookOneOff,465)*$S470)</f>
        <v/>
      </c>
    </row>
    <row r="471" customFormat="false" ht="15" hidden="false" customHeight="false" outlineLevel="0" collapsed="false">
      <c r="A471" s="0" t="str">
        <f aca="false">IF(INDEX(BookTitle,466)="","",INDEX(BookKey,466))</f>
        <v/>
      </c>
      <c r="B471" s="0" t="str">
        <f aca="false">IF(INDEX(BookTitle,466)="","",INDEX(BookGroup,466))</f>
        <v/>
      </c>
      <c r="C471" s="0" t="str">
        <f aca="false">IF(INDEX(BookTitle,466)="","",INDEX(BookCategory,466))</f>
        <v/>
      </c>
      <c r="D471" s="56" t="str">
        <f aca="false">IF(INDEX(BookTitle,466)="","",INDEX(BookTotal,466)*'5. Scenarios'!$B$6/(1+ProductivityDefault*('5. Scenarios'!$B$11-1)))</f>
        <v/>
      </c>
      <c r="E471" s="57" t="str">
        <f aca="false">IF($D471="","",INDEX(BookRate,466)*(1+'5. Scenarios'!$B$10)*$D471)</f>
        <v/>
      </c>
      <c r="F471" s="57" t="str">
        <f aca="false">IF($E471="","",SUMIFS($E$6:$E$2405,$A$6:$A$2405,"&lt;="&amp;$A471))</f>
        <v/>
      </c>
      <c r="G471" s="57" t="str">
        <f aca="false">IF($E471="","",IF($F471&lt;=BankCostEnvelope*'5. Scenarios'!$B$7,1,0))</f>
        <v/>
      </c>
      <c r="H471" s="57" t="str">
        <f aca="false">IF($D471="","",INDEX(BookRate,466)*(1+'5. Scenarios'!$B$10)*(INDEX(BookQ1,466)*(5-MIN(4,1+'5. Scenarios'!$B$8))/4+INDEX(BookQ2,466)*(5-MIN(4,2+'5. Scenarios'!$B$8))/4+INDEX(BookQ3,466)*(5-MIN(4,3+'5. Scenarios'!$B$8))/4+INDEX(BookQ4,466)*(5-MIN(4,4+'5. Scenarios'!$B$8))/4)*'5. Scenarios'!$B$6/(1+ProductivityDefault*('5. Scenarios'!$B$11-1))+INDEX(BookOneOff,466)*$D471)</f>
        <v/>
      </c>
      <c r="I471" s="56" t="str">
        <f aca="false">IF(INDEX(BookTitle,466)="","",INDEX(BookTotal,466)*'5. Scenarios'!$C$6/(1+ProductivityDefault*('5. Scenarios'!$C$11-1)))</f>
        <v/>
      </c>
      <c r="J471" s="57" t="str">
        <f aca="false">IF($I471="","",INDEX(BookRate,466)*(1+'5. Scenarios'!$C$10)*$I471)</f>
        <v/>
      </c>
      <c r="K471" s="57" t="str">
        <f aca="false">IF($J471="","",SUMIFS($J$6:$J$2405,$A$6:$A$2405,"&lt;="&amp;$A471))</f>
        <v/>
      </c>
      <c r="L471" s="57" t="str">
        <f aca="false">IF($J471="","",IF($K471&lt;=BankCostEnvelope*'5. Scenarios'!$C$7,1,0))</f>
        <v/>
      </c>
      <c r="M471" s="57" t="str">
        <f aca="false">IF($I471="","",INDEX(BookRate,466)*(1+'5. Scenarios'!$C$10)*(INDEX(BookQ1,466)*(5-MIN(4,1+'5. Scenarios'!$C$8))/4+INDEX(BookQ2,466)*(5-MIN(4,2+'5. Scenarios'!$C$8))/4+INDEX(BookQ3,466)*(5-MIN(4,3+'5. Scenarios'!$C$8))/4+INDEX(BookQ4,466)*(5-MIN(4,4+'5. Scenarios'!$C$8))/4)*'5. Scenarios'!$C$6/(1+ProductivityDefault*('5. Scenarios'!$C$11-1))+INDEX(BookOneOff,466)*$I471)</f>
        <v/>
      </c>
      <c r="N471" s="56" t="str">
        <f aca="false">IF(INDEX(BookTitle,466)="","",INDEX(BookTotal,466)*'5. Scenarios'!$D$6/(1+ProductivityDefault*('5. Scenarios'!$D$11-1)))</f>
        <v/>
      </c>
      <c r="O471" s="57" t="str">
        <f aca="false">IF($N471="","",INDEX(BookRate,466)*(1+'5. Scenarios'!$D$10)*$N471)</f>
        <v/>
      </c>
      <c r="P471" s="57" t="str">
        <f aca="false">IF($O471="","",SUMIFS($O$6:$O$2405,$A$6:$A$2405,"&lt;="&amp;$A471))</f>
        <v/>
      </c>
      <c r="Q471" s="57" t="str">
        <f aca="false">IF($O471="","",IF($P471&lt;=BankCostEnvelope*'5. Scenarios'!$D$7,1,0))</f>
        <v/>
      </c>
      <c r="R471" s="57" t="str">
        <f aca="false">IF($N471="","",INDEX(BookRate,466)*(1+'5. Scenarios'!$D$10)*(INDEX(BookQ1,466)*(5-MIN(4,1+'5. Scenarios'!$D$8))/4+INDEX(BookQ2,466)*(5-MIN(4,2+'5. Scenarios'!$D$8))/4+INDEX(BookQ3,466)*(5-MIN(4,3+'5. Scenarios'!$D$8))/4+INDEX(BookQ4,466)*(5-MIN(4,4+'5. Scenarios'!$D$8))/4)*'5. Scenarios'!$D$6/(1+ProductivityDefault*('5. Scenarios'!$D$11-1))+INDEX(BookOneOff,466)*$N471)</f>
        <v/>
      </c>
      <c r="S471" s="56" t="str">
        <f aca="false">IF(INDEX(BookTitle,466)="","",INDEX(BookTotal,466)*'5. Scenarios'!$E$6/(1+ProductivityDefault*('5. Scenarios'!$E$11-1)))</f>
        <v/>
      </c>
      <c r="T471" s="57" t="str">
        <f aca="false">IF($S471="","",INDEX(BookRate,466)*(1+'5. Scenarios'!$E$10)*$S471)</f>
        <v/>
      </c>
      <c r="U471" s="57" t="str">
        <f aca="false">IF($T471="","",SUMIFS($T$6:$T$2405,$A$6:$A$2405,"&lt;="&amp;$A471))</f>
        <v/>
      </c>
      <c r="V471" s="57" t="str">
        <f aca="false">IF($T471="","",IF($U471&lt;=BankCostEnvelope*'5. Scenarios'!$E$7,1,0))</f>
        <v/>
      </c>
      <c r="W471" s="57" t="str">
        <f aca="false">IF($S471="","",INDEX(BookRate,466)*(1+'5. Scenarios'!$E$10)*(INDEX(BookQ1,466)*(5-MIN(4,1+'5. Scenarios'!$E$8))/4+INDEX(BookQ2,466)*(5-MIN(4,2+'5. Scenarios'!$E$8))/4+INDEX(BookQ3,466)*(5-MIN(4,3+'5. Scenarios'!$E$8))/4+INDEX(BookQ4,466)*(5-MIN(4,4+'5. Scenarios'!$E$8))/4)*'5. Scenarios'!$E$6/(1+ProductivityDefault*('5. Scenarios'!$E$11-1))+INDEX(BookOneOff,466)*$S471)</f>
        <v/>
      </c>
    </row>
    <row r="472" customFormat="false" ht="15" hidden="false" customHeight="false" outlineLevel="0" collapsed="false">
      <c r="A472" s="0" t="str">
        <f aca="false">IF(INDEX(BookTitle,467)="","",INDEX(BookKey,467))</f>
        <v/>
      </c>
      <c r="B472" s="0" t="str">
        <f aca="false">IF(INDEX(BookTitle,467)="","",INDEX(BookGroup,467))</f>
        <v/>
      </c>
      <c r="C472" s="0" t="str">
        <f aca="false">IF(INDEX(BookTitle,467)="","",INDEX(BookCategory,467))</f>
        <v/>
      </c>
      <c r="D472" s="56" t="str">
        <f aca="false">IF(INDEX(BookTitle,467)="","",INDEX(BookTotal,467)*'5. Scenarios'!$B$6/(1+ProductivityDefault*('5. Scenarios'!$B$11-1)))</f>
        <v/>
      </c>
      <c r="E472" s="57" t="str">
        <f aca="false">IF($D472="","",INDEX(BookRate,467)*(1+'5. Scenarios'!$B$10)*$D472)</f>
        <v/>
      </c>
      <c r="F472" s="57" t="str">
        <f aca="false">IF($E472="","",SUMIFS($E$6:$E$2405,$A$6:$A$2405,"&lt;="&amp;$A472))</f>
        <v/>
      </c>
      <c r="G472" s="57" t="str">
        <f aca="false">IF($E472="","",IF($F472&lt;=BankCostEnvelope*'5. Scenarios'!$B$7,1,0))</f>
        <v/>
      </c>
      <c r="H472" s="57" t="str">
        <f aca="false">IF($D472="","",INDEX(BookRate,467)*(1+'5. Scenarios'!$B$10)*(INDEX(BookQ1,467)*(5-MIN(4,1+'5. Scenarios'!$B$8))/4+INDEX(BookQ2,467)*(5-MIN(4,2+'5. Scenarios'!$B$8))/4+INDEX(BookQ3,467)*(5-MIN(4,3+'5. Scenarios'!$B$8))/4+INDEX(BookQ4,467)*(5-MIN(4,4+'5. Scenarios'!$B$8))/4)*'5. Scenarios'!$B$6/(1+ProductivityDefault*('5. Scenarios'!$B$11-1))+INDEX(BookOneOff,467)*$D472)</f>
        <v/>
      </c>
      <c r="I472" s="56" t="str">
        <f aca="false">IF(INDEX(BookTitle,467)="","",INDEX(BookTotal,467)*'5. Scenarios'!$C$6/(1+ProductivityDefault*('5. Scenarios'!$C$11-1)))</f>
        <v/>
      </c>
      <c r="J472" s="57" t="str">
        <f aca="false">IF($I472="","",INDEX(BookRate,467)*(1+'5. Scenarios'!$C$10)*$I472)</f>
        <v/>
      </c>
      <c r="K472" s="57" t="str">
        <f aca="false">IF($J472="","",SUMIFS($J$6:$J$2405,$A$6:$A$2405,"&lt;="&amp;$A472))</f>
        <v/>
      </c>
      <c r="L472" s="57" t="str">
        <f aca="false">IF($J472="","",IF($K472&lt;=BankCostEnvelope*'5. Scenarios'!$C$7,1,0))</f>
        <v/>
      </c>
      <c r="M472" s="57" t="str">
        <f aca="false">IF($I472="","",INDEX(BookRate,467)*(1+'5. Scenarios'!$C$10)*(INDEX(BookQ1,467)*(5-MIN(4,1+'5. Scenarios'!$C$8))/4+INDEX(BookQ2,467)*(5-MIN(4,2+'5. Scenarios'!$C$8))/4+INDEX(BookQ3,467)*(5-MIN(4,3+'5. Scenarios'!$C$8))/4+INDEX(BookQ4,467)*(5-MIN(4,4+'5. Scenarios'!$C$8))/4)*'5. Scenarios'!$C$6/(1+ProductivityDefault*('5. Scenarios'!$C$11-1))+INDEX(BookOneOff,467)*$I472)</f>
        <v/>
      </c>
      <c r="N472" s="56" t="str">
        <f aca="false">IF(INDEX(BookTitle,467)="","",INDEX(BookTotal,467)*'5. Scenarios'!$D$6/(1+ProductivityDefault*('5. Scenarios'!$D$11-1)))</f>
        <v/>
      </c>
      <c r="O472" s="57" t="str">
        <f aca="false">IF($N472="","",INDEX(BookRate,467)*(1+'5. Scenarios'!$D$10)*$N472)</f>
        <v/>
      </c>
      <c r="P472" s="57" t="str">
        <f aca="false">IF($O472="","",SUMIFS($O$6:$O$2405,$A$6:$A$2405,"&lt;="&amp;$A472))</f>
        <v/>
      </c>
      <c r="Q472" s="57" t="str">
        <f aca="false">IF($O472="","",IF($P472&lt;=BankCostEnvelope*'5. Scenarios'!$D$7,1,0))</f>
        <v/>
      </c>
      <c r="R472" s="57" t="str">
        <f aca="false">IF($N472="","",INDEX(BookRate,467)*(1+'5. Scenarios'!$D$10)*(INDEX(BookQ1,467)*(5-MIN(4,1+'5. Scenarios'!$D$8))/4+INDEX(BookQ2,467)*(5-MIN(4,2+'5. Scenarios'!$D$8))/4+INDEX(BookQ3,467)*(5-MIN(4,3+'5. Scenarios'!$D$8))/4+INDEX(BookQ4,467)*(5-MIN(4,4+'5. Scenarios'!$D$8))/4)*'5. Scenarios'!$D$6/(1+ProductivityDefault*('5. Scenarios'!$D$11-1))+INDEX(BookOneOff,467)*$N472)</f>
        <v/>
      </c>
      <c r="S472" s="56" t="str">
        <f aca="false">IF(INDEX(BookTitle,467)="","",INDEX(BookTotal,467)*'5. Scenarios'!$E$6/(1+ProductivityDefault*('5. Scenarios'!$E$11-1)))</f>
        <v/>
      </c>
      <c r="T472" s="57" t="str">
        <f aca="false">IF($S472="","",INDEX(BookRate,467)*(1+'5. Scenarios'!$E$10)*$S472)</f>
        <v/>
      </c>
      <c r="U472" s="57" t="str">
        <f aca="false">IF($T472="","",SUMIFS($T$6:$T$2405,$A$6:$A$2405,"&lt;="&amp;$A472))</f>
        <v/>
      </c>
      <c r="V472" s="57" t="str">
        <f aca="false">IF($T472="","",IF($U472&lt;=BankCostEnvelope*'5. Scenarios'!$E$7,1,0))</f>
        <v/>
      </c>
      <c r="W472" s="57" t="str">
        <f aca="false">IF($S472="","",INDEX(BookRate,467)*(1+'5. Scenarios'!$E$10)*(INDEX(BookQ1,467)*(5-MIN(4,1+'5. Scenarios'!$E$8))/4+INDEX(BookQ2,467)*(5-MIN(4,2+'5. Scenarios'!$E$8))/4+INDEX(BookQ3,467)*(5-MIN(4,3+'5. Scenarios'!$E$8))/4+INDEX(BookQ4,467)*(5-MIN(4,4+'5. Scenarios'!$E$8))/4)*'5. Scenarios'!$E$6/(1+ProductivityDefault*('5. Scenarios'!$E$11-1))+INDEX(BookOneOff,467)*$S472)</f>
        <v/>
      </c>
    </row>
    <row r="473" customFormat="false" ht="15" hidden="false" customHeight="false" outlineLevel="0" collapsed="false">
      <c r="A473" s="0" t="str">
        <f aca="false">IF(INDEX(BookTitle,468)="","",INDEX(BookKey,468))</f>
        <v/>
      </c>
      <c r="B473" s="0" t="str">
        <f aca="false">IF(INDEX(BookTitle,468)="","",INDEX(BookGroup,468))</f>
        <v/>
      </c>
      <c r="C473" s="0" t="str">
        <f aca="false">IF(INDEX(BookTitle,468)="","",INDEX(BookCategory,468))</f>
        <v/>
      </c>
      <c r="D473" s="56" t="str">
        <f aca="false">IF(INDEX(BookTitle,468)="","",INDEX(BookTotal,468)*'5. Scenarios'!$B$6/(1+ProductivityDefault*('5. Scenarios'!$B$11-1)))</f>
        <v/>
      </c>
      <c r="E473" s="57" t="str">
        <f aca="false">IF($D473="","",INDEX(BookRate,468)*(1+'5. Scenarios'!$B$10)*$D473)</f>
        <v/>
      </c>
      <c r="F473" s="57" t="str">
        <f aca="false">IF($E473="","",SUMIFS($E$6:$E$2405,$A$6:$A$2405,"&lt;="&amp;$A473))</f>
        <v/>
      </c>
      <c r="G473" s="57" t="str">
        <f aca="false">IF($E473="","",IF($F473&lt;=BankCostEnvelope*'5. Scenarios'!$B$7,1,0))</f>
        <v/>
      </c>
      <c r="H473" s="57" t="str">
        <f aca="false">IF($D473="","",INDEX(BookRate,468)*(1+'5. Scenarios'!$B$10)*(INDEX(BookQ1,468)*(5-MIN(4,1+'5. Scenarios'!$B$8))/4+INDEX(BookQ2,468)*(5-MIN(4,2+'5. Scenarios'!$B$8))/4+INDEX(BookQ3,468)*(5-MIN(4,3+'5. Scenarios'!$B$8))/4+INDEX(BookQ4,468)*(5-MIN(4,4+'5. Scenarios'!$B$8))/4)*'5. Scenarios'!$B$6/(1+ProductivityDefault*('5. Scenarios'!$B$11-1))+INDEX(BookOneOff,468)*$D473)</f>
        <v/>
      </c>
      <c r="I473" s="56" t="str">
        <f aca="false">IF(INDEX(BookTitle,468)="","",INDEX(BookTotal,468)*'5. Scenarios'!$C$6/(1+ProductivityDefault*('5. Scenarios'!$C$11-1)))</f>
        <v/>
      </c>
      <c r="J473" s="57" t="str">
        <f aca="false">IF($I473="","",INDEX(BookRate,468)*(1+'5. Scenarios'!$C$10)*$I473)</f>
        <v/>
      </c>
      <c r="K473" s="57" t="str">
        <f aca="false">IF($J473="","",SUMIFS($J$6:$J$2405,$A$6:$A$2405,"&lt;="&amp;$A473))</f>
        <v/>
      </c>
      <c r="L473" s="57" t="str">
        <f aca="false">IF($J473="","",IF($K473&lt;=BankCostEnvelope*'5. Scenarios'!$C$7,1,0))</f>
        <v/>
      </c>
      <c r="M473" s="57" t="str">
        <f aca="false">IF($I473="","",INDEX(BookRate,468)*(1+'5. Scenarios'!$C$10)*(INDEX(BookQ1,468)*(5-MIN(4,1+'5. Scenarios'!$C$8))/4+INDEX(BookQ2,468)*(5-MIN(4,2+'5. Scenarios'!$C$8))/4+INDEX(BookQ3,468)*(5-MIN(4,3+'5. Scenarios'!$C$8))/4+INDEX(BookQ4,468)*(5-MIN(4,4+'5. Scenarios'!$C$8))/4)*'5. Scenarios'!$C$6/(1+ProductivityDefault*('5. Scenarios'!$C$11-1))+INDEX(BookOneOff,468)*$I473)</f>
        <v/>
      </c>
      <c r="N473" s="56" t="str">
        <f aca="false">IF(INDEX(BookTitle,468)="","",INDEX(BookTotal,468)*'5. Scenarios'!$D$6/(1+ProductivityDefault*('5. Scenarios'!$D$11-1)))</f>
        <v/>
      </c>
      <c r="O473" s="57" t="str">
        <f aca="false">IF($N473="","",INDEX(BookRate,468)*(1+'5. Scenarios'!$D$10)*$N473)</f>
        <v/>
      </c>
      <c r="P473" s="57" t="str">
        <f aca="false">IF($O473="","",SUMIFS($O$6:$O$2405,$A$6:$A$2405,"&lt;="&amp;$A473))</f>
        <v/>
      </c>
      <c r="Q473" s="57" t="str">
        <f aca="false">IF($O473="","",IF($P473&lt;=BankCostEnvelope*'5. Scenarios'!$D$7,1,0))</f>
        <v/>
      </c>
      <c r="R473" s="57" t="str">
        <f aca="false">IF($N473="","",INDEX(BookRate,468)*(1+'5. Scenarios'!$D$10)*(INDEX(BookQ1,468)*(5-MIN(4,1+'5. Scenarios'!$D$8))/4+INDEX(BookQ2,468)*(5-MIN(4,2+'5. Scenarios'!$D$8))/4+INDEX(BookQ3,468)*(5-MIN(4,3+'5. Scenarios'!$D$8))/4+INDEX(BookQ4,468)*(5-MIN(4,4+'5. Scenarios'!$D$8))/4)*'5. Scenarios'!$D$6/(1+ProductivityDefault*('5. Scenarios'!$D$11-1))+INDEX(BookOneOff,468)*$N473)</f>
        <v/>
      </c>
      <c r="S473" s="56" t="str">
        <f aca="false">IF(INDEX(BookTitle,468)="","",INDEX(BookTotal,468)*'5. Scenarios'!$E$6/(1+ProductivityDefault*('5. Scenarios'!$E$11-1)))</f>
        <v/>
      </c>
      <c r="T473" s="57" t="str">
        <f aca="false">IF($S473="","",INDEX(BookRate,468)*(1+'5. Scenarios'!$E$10)*$S473)</f>
        <v/>
      </c>
      <c r="U473" s="57" t="str">
        <f aca="false">IF($T473="","",SUMIFS($T$6:$T$2405,$A$6:$A$2405,"&lt;="&amp;$A473))</f>
        <v/>
      </c>
      <c r="V473" s="57" t="str">
        <f aca="false">IF($T473="","",IF($U473&lt;=BankCostEnvelope*'5. Scenarios'!$E$7,1,0))</f>
        <v/>
      </c>
      <c r="W473" s="57" t="str">
        <f aca="false">IF($S473="","",INDEX(BookRate,468)*(1+'5. Scenarios'!$E$10)*(INDEX(BookQ1,468)*(5-MIN(4,1+'5. Scenarios'!$E$8))/4+INDEX(BookQ2,468)*(5-MIN(4,2+'5. Scenarios'!$E$8))/4+INDEX(BookQ3,468)*(5-MIN(4,3+'5. Scenarios'!$E$8))/4+INDEX(BookQ4,468)*(5-MIN(4,4+'5. Scenarios'!$E$8))/4)*'5. Scenarios'!$E$6/(1+ProductivityDefault*('5. Scenarios'!$E$11-1))+INDEX(BookOneOff,468)*$S473)</f>
        <v/>
      </c>
    </row>
    <row r="474" customFormat="false" ht="15" hidden="false" customHeight="false" outlineLevel="0" collapsed="false">
      <c r="A474" s="0" t="str">
        <f aca="false">IF(INDEX(BookTitle,469)="","",INDEX(BookKey,469))</f>
        <v/>
      </c>
      <c r="B474" s="0" t="str">
        <f aca="false">IF(INDEX(BookTitle,469)="","",INDEX(BookGroup,469))</f>
        <v/>
      </c>
      <c r="C474" s="0" t="str">
        <f aca="false">IF(INDEX(BookTitle,469)="","",INDEX(BookCategory,469))</f>
        <v/>
      </c>
      <c r="D474" s="56" t="str">
        <f aca="false">IF(INDEX(BookTitle,469)="","",INDEX(BookTotal,469)*'5. Scenarios'!$B$6/(1+ProductivityDefault*('5. Scenarios'!$B$11-1)))</f>
        <v/>
      </c>
      <c r="E474" s="57" t="str">
        <f aca="false">IF($D474="","",INDEX(BookRate,469)*(1+'5. Scenarios'!$B$10)*$D474)</f>
        <v/>
      </c>
      <c r="F474" s="57" t="str">
        <f aca="false">IF($E474="","",SUMIFS($E$6:$E$2405,$A$6:$A$2405,"&lt;="&amp;$A474))</f>
        <v/>
      </c>
      <c r="G474" s="57" t="str">
        <f aca="false">IF($E474="","",IF($F474&lt;=BankCostEnvelope*'5. Scenarios'!$B$7,1,0))</f>
        <v/>
      </c>
      <c r="H474" s="57" t="str">
        <f aca="false">IF($D474="","",INDEX(BookRate,469)*(1+'5. Scenarios'!$B$10)*(INDEX(BookQ1,469)*(5-MIN(4,1+'5. Scenarios'!$B$8))/4+INDEX(BookQ2,469)*(5-MIN(4,2+'5. Scenarios'!$B$8))/4+INDEX(BookQ3,469)*(5-MIN(4,3+'5. Scenarios'!$B$8))/4+INDEX(BookQ4,469)*(5-MIN(4,4+'5. Scenarios'!$B$8))/4)*'5. Scenarios'!$B$6/(1+ProductivityDefault*('5. Scenarios'!$B$11-1))+INDEX(BookOneOff,469)*$D474)</f>
        <v/>
      </c>
      <c r="I474" s="56" t="str">
        <f aca="false">IF(INDEX(BookTitle,469)="","",INDEX(BookTotal,469)*'5. Scenarios'!$C$6/(1+ProductivityDefault*('5. Scenarios'!$C$11-1)))</f>
        <v/>
      </c>
      <c r="J474" s="57" t="str">
        <f aca="false">IF($I474="","",INDEX(BookRate,469)*(1+'5. Scenarios'!$C$10)*$I474)</f>
        <v/>
      </c>
      <c r="K474" s="57" t="str">
        <f aca="false">IF($J474="","",SUMIFS($J$6:$J$2405,$A$6:$A$2405,"&lt;="&amp;$A474))</f>
        <v/>
      </c>
      <c r="L474" s="57" t="str">
        <f aca="false">IF($J474="","",IF($K474&lt;=BankCostEnvelope*'5. Scenarios'!$C$7,1,0))</f>
        <v/>
      </c>
      <c r="M474" s="57" t="str">
        <f aca="false">IF($I474="","",INDEX(BookRate,469)*(1+'5. Scenarios'!$C$10)*(INDEX(BookQ1,469)*(5-MIN(4,1+'5. Scenarios'!$C$8))/4+INDEX(BookQ2,469)*(5-MIN(4,2+'5. Scenarios'!$C$8))/4+INDEX(BookQ3,469)*(5-MIN(4,3+'5. Scenarios'!$C$8))/4+INDEX(BookQ4,469)*(5-MIN(4,4+'5. Scenarios'!$C$8))/4)*'5. Scenarios'!$C$6/(1+ProductivityDefault*('5. Scenarios'!$C$11-1))+INDEX(BookOneOff,469)*$I474)</f>
        <v/>
      </c>
      <c r="N474" s="56" t="str">
        <f aca="false">IF(INDEX(BookTitle,469)="","",INDEX(BookTotal,469)*'5. Scenarios'!$D$6/(1+ProductivityDefault*('5. Scenarios'!$D$11-1)))</f>
        <v/>
      </c>
      <c r="O474" s="57" t="str">
        <f aca="false">IF($N474="","",INDEX(BookRate,469)*(1+'5. Scenarios'!$D$10)*$N474)</f>
        <v/>
      </c>
      <c r="P474" s="57" t="str">
        <f aca="false">IF($O474="","",SUMIFS($O$6:$O$2405,$A$6:$A$2405,"&lt;="&amp;$A474))</f>
        <v/>
      </c>
      <c r="Q474" s="57" t="str">
        <f aca="false">IF($O474="","",IF($P474&lt;=BankCostEnvelope*'5. Scenarios'!$D$7,1,0))</f>
        <v/>
      </c>
      <c r="R474" s="57" t="str">
        <f aca="false">IF($N474="","",INDEX(BookRate,469)*(1+'5. Scenarios'!$D$10)*(INDEX(BookQ1,469)*(5-MIN(4,1+'5. Scenarios'!$D$8))/4+INDEX(BookQ2,469)*(5-MIN(4,2+'5. Scenarios'!$D$8))/4+INDEX(BookQ3,469)*(5-MIN(4,3+'5. Scenarios'!$D$8))/4+INDEX(BookQ4,469)*(5-MIN(4,4+'5. Scenarios'!$D$8))/4)*'5. Scenarios'!$D$6/(1+ProductivityDefault*('5. Scenarios'!$D$11-1))+INDEX(BookOneOff,469)*$N474)</f>
        <v/>
      </c>
      <c r="S474" s="56" t="str">
        <f aca="false">IF(INDEX(BookTitle,469)="","",INDEX(BookTotal,469)*'5. Scenarios'!$E$6/(1+ProductivityDefault*('5. Scenarios'!$E$11-1)))</f>
        <v/>
      </c>
      <c r="T474" s="57" t="str">
        <f aca="false">IF($S474="","",INDEX(BookRate,469)*(1+'5. Scenarios'!$E$10)*$S474)</f>
        <v/>
      </c>
      <c r="U474" s="57" t="str">
        <f aca="false">IF($T474="","",SUMIFS($T$6:$T$2405,$A$6:$A$2405,"&lt;="&amp;$A474))</f>
        <v/>
      </c>
      <c r="V474" s="57" t="str">
        <f aca="false">IF($T474="","",IF($U474&lt;=BankCostEnvelope*'5. Scenarios'!$E$7,1,0))</f>
        <v/>
      </c>
      <c r="W474" s="57" t="str">
        <f aca="false">IF($S474="","",INDEX(BookRate,469)*(1+'5. Scenarios'!$E$10)*(INDEX(BookQ1,469)*(5-MIN(4,1+'5. Scenarios'!$E$8))/4+INDEX(BookQ2,469)*(5-MIN(4,2+'5. Scenarios'!$E$8))/4+INDEX(BookQ3,469)*(5-MIN(4,3+'5. Scenarios'!$E$8))/4+INDEX(BookQ4,469)*(5-MIN(4,4+'5. Scenarios'!$E$8))/4)*'5. Scenarios'!$E$6/(1+ProductivityDefault*('5. Scenarios'!$E$11-1))+INDEX(BookOneOff,469)*$S474)</f>
        <v/>
      </c>
    </row>
    <row r="475" customFormat="false" ht="15" hidden="false" customHeight="false" outlineLevel="0" collapsed="false">
      <c r="A475" s="0" t="str">
        <f aca="false">IF(INDEX(BookTitle,470)="","",INDEX(BookKey,470))</f>
        <v/>
      </c>
      <c r="B475" s="0" t="str">
        <f aca="false">IF(INDEX(BookTitle,470)="","",INDEX(BookGroup,470))</f>
        <v/>
      </c>
      <c r="C475" s="0" t="str">
        <f aca="false">IF(INDEX(BookTitle,470)="","",INDEX(BookCategory,470))</f>
        <v/>
      </c>
      <c r="D475" s="56" t="str">
        <f aca="false">IF(INDEX(BookTitle,470)="","",INDEX(BookTotal,470)*'5. Scenarios'!$B$6/(1+ProductivityDefault*('5. Scenarios'!$B$11-1)))</f>
        <v/>
      </c>
      <c r="E475" s="57" t="str">
        <f aca="false">IF($D475="","",INDEX(BookRate,470)*(1+'5. Scenarios'!$B$10)*$D475)</f>
        <v/>
      </c>
      <c r="F475" s="57" t="str">
        <f aca="false">IF($E475="","",SUMIFS($E$6:$E$2405,$A$6:$A$2405,"&lt;="&amp;$A475))</f>
        <v/>
      </c>
      <c r="G475" s="57" t="str">
        <f aca="false">IF($E475="","",IF($F475&lt;=BankCostEnvelope*'5. Scenarios'!$B$7,1,0))</f>
        <v/>
      </c>
      <c r="H475" s="57" t="str">
        <f aca="false">IF($D475="","",INDEX(BookRate,470)*(1+'5. Scenarios'!$B$10)*(INDEX(BookQ1,470)*(5-MIN(4,1+'5. Scenarios'!$B$8))/4+INDEX(BookQ2,470)*(5-MIN(4,2+'5. Scenarios'!$B$8))/4+INDEX(BookQ3,470)*(5-MIN(4,3+'5. Scenarios'!$B$8))/4+INDEX(BookQ4,470)*(5-MIN(4,4+'5. Scenarios'!$B$8))/4)*'5. Scenarios'!$B$6/(1+ProductivityDefault*('5. Scenarios'!$B$11-1))+INDEX(BookOneOff,470)*$D475)</f>
        <v/>
      </c>
      <c r="I475" s="56" t="str">
        <f aca="false">IF(INDEX(BookTitle,470)="","",INDEX(BookTotal,470)*'5. Scenarios'!$C$6/(1+ProductivityDefault*('5. Scenarios'!$C$11-1)))</f>
        <v/>
      </c>
      <c r="J475" s="57" t="str">
        <f aca="false">IF($I475="","",INDEX(BookRate,470)*(1+'5. Scenarios'!$C$10)*$I475)</f>
        <v/>
      </c>
      <c r="K475" s="57" t="str">
        <f aca="false">IF($J475="","",SUMIFS($J$6:$J$2405,$A$6:$A$2405,"&lt;="&amp;$A475))</f>
        <v/>
      </c>
      <c r="L475" s="57" t="str">
        <f aca="false">IF($J475="","",IF($K475&lt;=BankCostEnvelope*'5. Scenarios'!$C$7,1,0))</f>
        <v/>
      </c>
      <c r="M475" s="57" t="str">
        <f aca="false">IF($I475="","",INDEX(BookRate,470)*(1+'5. Scenarios'!$C$10)*(INDEX(BookQ1,470)*(5-MIN(4,1+'5. Scenarios'!$C$8))/4+INDEX(BookQ2,470)*(5-MIN(4,2+'5. Scenarios'!$C$8))/4+INDEX(BookQ3,470)*(5-MIN(4,3+'5. Scenarios'!$C$8))/4+INDEX(BookQ4,470)*(5-MIN(4,4+'5. Scenarios'!$C$8))/4)*'5. Scenarios'!$C$6/(1+ProductivityDefault*('5. Scenarios'!$C$11-1))+INDEX(BookOneOff,470)*$I475)</f>
        <v/>
      </c>
      <c r="N475" s="56" t="str">
        <f aca="false">IF(INDEX(BookTitle,470)="","",INDEX(BookTotal,470)*'5. Scenarios'!$D$6/(1+ProductivityDefault*('5. Scenarios'!$D$11-1)))</f>
        <v/>
      </c>
      <c r="O475" s="57" t="str">
        <f aca="false">IF($N475="","",INDEX(BookRate,470)*(1+'5. Scenarios'!$D$10)*$N475)</f>
        <v/>
      </c>
      <c r="P475" s="57" t="str">
        <f aca="false">IF($O475="","",SUMIFS($O$6:$O$2405,$A$6:$A$2405,"&lt;="&amp;$A475))</f>
        <v/>
      </c>
      <c r="Q475" s="57" t="str">
        <f aca="false">IF($O475="","",IF($P475&lt;=BankCostEnvelope*'5. Scenarios'!$D$7,1,0))</f>
        <v/>
      </c>
      <c r="R475" s="57" t="str">
        <f aca="false">IF($N475="","",INDEX(BookRate,470)*(1+'5. Scenarios'!$D$10)*(INDEX(BookQ1,470)*(5-MIN(4,1+'5. Scenarios'!$D$8))/4+INDEX(BookQ2,470)*(5-MIN(4,2+'5. Scenarios'!$D$8))/4+INDEX(BookQ3,470)*(5-MIN(4,3+'5. Scenarios'!$D$8))/4+INDEX(BookQ4,470)*(5-MIN(4,4+'5. Scenarios'!$D$8))/4)*'5. Scenarios'!$D$6/(1+ProductivityDefault*('5. Scenarios'!$D$11-1))+INDEX(BookOneOff,470)*$N475)</f>
        <v/>
      </c>
      <c r="S475" s="56" t="str">
        <f aca="false">IF(INDEX(BookTitle,470)="","",INDEX(BookTotal,470)*'5. Scenarios'!$E$6/(1+ProductivityDefault*('5. Scenarios'!$E$11-1)))</f>
        <v/>
      </c>
      <c r="T475" s="57" t="str">
        <f aca="false">IF($S475="","",INDEX(BookRate,470)*(1+'5. Scenarios'!$E$10)*$S475)</f>
        <v/>
      </c>
      <c r="U475" s="57" t="str">
        <f aca="false">IF($T475="","",SUMIFS($T$6:$T$2405,$A$6:$A$2405,"&lt;="&amp;$A475))</f>
        <v/>
      </c>
      <c r="V475" s="57" t="str">
        <f aca="false">IF($T475="","",IF($U475&lt;=BankCostEnvelope*'5. Scenarios'!$E$7,1,0))</f>
        <v/>
      </c>
      <c r="W475" s="57" t="str">
        <f aca="false">IF($S475="","",INDEX(BookRate,470)*(1+'5. Scenarios'!$E$10)*(INDEX(BookQ1,470)*(5-MIN(4,1+'5. Scenarios'!$E$8))/4+INDEX(BookQ2,470)*(5-MIN(4,2+'5. Scenarios'!$E$8))/4+INDEX(BookQ3,470)*(5-MIN(4,3+'5. Scenarios'!$E$8))/4+INDEX(BookQ4,470)*(5-MIN(4,4+'5. Scenarios'!$E$8))/4)*'5. Scenarios'!$E$6/(1+ProductivityDefault*('5. Scenarios'!$E$11-1))+INDEX(BookOneOff,470)*$S475)</f>
        <v/>
      </c>
    </row>
    <row r="476" customFormat="false" ht="15" hidden="false" customHeight="false" outlineLevel="0" collapsed="false">
      <c r="A476" s="0" t="str">
        <f aca="false">IF(INDEX(BookTitle,471)="","",INDEX(BookKey,471))</f>
        <v/>
      </c>
      <c r="B476" s="0" t="str">
        <f aca="false">IF(INDEX(BookTitle,471)="","",INDEX(BookGroup,471))</f>
        <v/>
      </c>
      <c r="C476" s="0" t="str">
        <f aca="false">IF(INDEX(BookTitle,471)="","",INDEX(BookCategory,471))</f>
        <v/>
      </c>
      <c r="D476" s="56" t="str">
        <f aca="false">IF(INDEX(BookTitle,471)="","",INDEX(BookTotal,471)*'5. Scenarios'!$B$6/(1+ProductivityDefault*('5. Scenarios'!$B$11-1)))</f>
        <v/>
      </c>
      <c r="E476" s="57" t="str">
        <f aca="false">IF($D476="","",INDEX(BookRate,471)*(1+'5. Scenarios'!$B$10)*$D476)</f>
        <v/>
      </c>
      <c r="F476" s="57" t="str">
        <f aca="false">IF($E476="","",SUMIFS($E$6:$E$2405,$A$6:$A$2405,"&lt;="&amp;$A476))</f>
        <v/>
      </c>
      <c r="G476" s="57" t="str">
        <f aca="false">IF($E476="","",IF($F476&lt;=BankCostEnvelope*'5. Scenarios'!$B$7,1,0))</f>
        <v/>
      </c>
      <c r="H476" s="57" t="str">
        <f aca="false">IF($D476="","",INDEX(BookRate,471)*(1+'5. Scenarios'!$B$10)*(INDEX(BookQ1,471)*(5-MIN(4,1+'5. Scenarios'!$B$8))/4+INDEX(BookQ2,471)*(5-MIN(4,2+'5. Scenarios'!$B$8))/4+INDEX(BookQ3,471)*(5-MIN(4,3+'5. Scenarios'!$B$8))/4+INDEX(BookQ4,471)*(5-MIN(4,4+'5. Scenarios'!$B$8))/4)*'5. Scenarios'!$B$6/(1+ProductivityDefault*('5. Scenarios'!$B$11-1))+INDEX(BookOneOff,471)*$D476)</f>
        <v/>
      </c>
      <c r="I476" s="56" t="str">
        <f aca="false">IF(INDEX(BookTitle,471)="","",INDEX(BookTotal,471)*'5. Scenarios'!$C$6/(1+ProductivityDefault*('5. Scenarios'!$C$11-1)))</f>
        <v/>
      </c>
      <c r="J476" s="57" t="str">
        <f aca="false">IF($I476="","",INDEX(BookRate,471)*(1+'5. Scenarios'!$C$10)*$I476)</f>
        <v/>
      </c>
      <c r="K476" s="57" t="str">
        <f aca="false">IF($J476="","",SUMIFS($J$6:$J$2405,$A$6:$A$2405,"&lt;="&amp;$A476))</f>
        <v/>
      </c>
      <c r="L476" s="57" t="str">
        <f aca="false">IF($J476="","",IF($K476&lt;=BankCostEnvelope*'5. Scenarios'!$C$7,1,0))</f>
        <v/>
      </c>
      <c r="M476" s="57" t="str">
        <f aca="false">IF($I476="","",INDEX(BookRate,471)*(1+'5. Scenarios'!$C$10)*(INDEX(BookQ1,471)*(5-MIN(4,1+'5. Scenarios'!$C$8))/4+INDEX(BookQ2,471)*(5-MIN(4,2+'5. Scenarios'!$C$8))/4+INDEX(BookQ3,471)*(5-MIN(4,3+'5. Scenarios'!$C$8))/4+INDEX(BookQ4,471)*(5-MIN(4,4+'5. Scenarios'!$C$8))/4)*'5. Scenarios'!$C$6/(1+ProductivityDefault*('5. Scenarios'!$C$11-1))+INDEX(BookOneOff,471)*$I476)</f>
        <v/>
      </c>
      <c r="N476" s="56" t="str">
        <f aca="false">IF(INDEX(BookTitle,471)="","",INDEX(BookTotal,471)*'5. Scenarios'!$D$6/(1+ProductivityDefault*('5. Scenarios'!$D$11-1)))</f>
        <v/>
      </c>
      <c r="O476" s="57" t="str">
        <f aca="false">IF($N476="","",INDEX(BookRate,471)*(1+'5. Scenarios'!$D$10)*$N476)</f>
        <v/>
      </c>
      <c r="P476" s="57" t="str">
        <f aca="false">IF($O476="","",SUMIFS($O$6:$O$2405,$A$6:$A$2405,"&lt;="&amp;$A476))</f>
        <v/>
      </c>
      <c r="Q476" s="57" t="str">
        <f aca="false">IF($O476="","",IF($P476&lt;=BankCostEnvelope*'5. Scenarios'!$D$7,1,0))</f>
        <v/>
      </c>
      <c r="R476" s="57" t="str">
        <f aca="false">IF($N476="","",INDEX(BookRate,471)*(1+'5. Scenarios'!$D$10)*(INDEX(BookQ1,471)*(5-MIN(4,1+'5. Scenarios'!$D$8))/4+INDEX(BookQ2,471)*(5-MIN(4,2+'5. Scenarios'!$D$8))/4+INDEX(BookQ3,471)*(5-MIN(4,3+'5. Scenarios'!$D$8))/4+INDEX(BookQ4,471)*(5-MIN(4,4+'5. Scenarios'!$D$8))/4)*'5. Scenarios'!$D$6/(1+ProductivityDefault*('5. Scenarios'!$D$11-1))+INDEX(BookOneOff,471)*$N476)</f>
        <v/>
      </c>
      <c r="S476" s="56" t="str">
        <f aca="false">IF(INDEX(BookTitle,471)="","",INDEX(BookTotal,471)*'5. Scenarios'!$E$6/(1+ProductivityDefault*('5. Scenarios'!$E$11-1)))</f>
        <v/>
      </c>
      <c r="T476" s="57" t="str">
        <f aca="false">IF($S476="","",INDEX(BookRate,471)*(1+'5. Scenarios'!$E$10)*$S476)</f>
        <v/>
      </c>
      <c r="U476" s="57" t="str">
        <f aca="false">IF($T476="","",SUMIFS($T$6:$T$2405,$A$6:$A$2405,"&lt;="&amp;$A476))</f>
        <v/>
      </c>
      <c r="V476" s="57" t="str">
        <f aca="false">IF($T476="","",IF($U476&lt;=BankCostEnvelope*'5. Scenarios'!$E$7,1,0))</f>
        <v/>
      </c>
      <c r="W476" s="57" t="str">
        <f aca="false">IF($S476="","",INDEX(BookRate,471)*(1+'5. Scenarios'!$E$10)*(INDEX(BookQ1,471)*(5-MIN(4,1+'5. Scenarios'!$E$8))/4+INDEX(BookQ2,471)*(5-MIN(4,2+'5. Scenarios'!$E$8))/4+INDEX(BookQ3,471)*(5-MIN(4,3+'5. Scenarios'!$E$8))/4+INDEX(BookQ4,471)*(5-MIN(4,4+'5. Scenarios'!$E$8))/4)*'5. Scenarios'!$E$6/(1+ProductivityDefault*('5. Scenarios'!$E$11-1))+INDEX(BookOneOff,471)*$S476)</f>
        <v/>
      </c>
    </row>
    <row r="477" customFormat="false" ht="15" hidden="false" customHeight="false" outlineLevel="0" collapsed="false">
      <c r="A477" s="0" t="str">
        <f aca="false">IF(INDEX(BookTitle,472)="","",INDEX(BookKey,472))</f>
        <v/>
      </c>
      <c r="B477" s="0" t="str">
        <f aca="false">IF(INDEX(BookTitle,472)="","",INDEX(BookGroup,472))</f>
        <v/>
      </c>
      <c r="C477" s="0" t="str">
        <f aca="false">IF(INDEX(BookTitle,472)="","",INDEX(BookCategory,472))</f>
        <v/>
      </c>
      <c r="D477" s="56" t="str">
        <f aca="false">IF(INDEX(BookTitle,472)="","",INDEX(BookTotal,472)*'5. Scenarios'!$B$6/(1+ProductivityDefault*('5. Scenarios'!$B$11-1)))</f>
        <v/>
      </c>
      <c r="E477" s="57" t="str">
        <f aca="false">IF($D477="","",INDEX(BookRate,472)*(1+'5. Scenarios'!$B$10)*$D477)</f>
        <v/>
      </c>
      <c r="F477" s="57" t="str">
        <f aca="false">IF($E477="","",SUMIFS($E$6:$E$2405,$A$6:$A$2405,"&lt;="&amp;$A477))</f>
        <v/>
      </c>
      <c r="G477" s="57" t="str">
        <f aca="false">IF($E477="","",IF($F477&lt;=BankCostEnvelope*'5. Scenarios'!$B$7,1,0))</f>
        <v/>
      </c>
      <c r="H477" s="57" t="str">
        <f aca="false">IF($D477="","",INDEX(BookRate,472)*(1+'5. Scenarios'!$B$10)*(INDEX(BookQ1,472)*(5-MIN(4,1+'5. Scenarios'!$B$8))/4+INDEX(BookQ2,472)*(5-MIN(4,2+'5. Scenarios'!$B$8))/4+INDEX(BookQ3,472)*(5-MIN(4,3+'5. Scenarios'!$B$8))/4+INDEX(BookQ4,472)*(5-MIN(4,4+'5. Scenarios'!$B$8))/4)*'5. Scenarios'!$B$6/(1+ProductivityDefault*('5. Scenarios'!$B$11-1))+INDEX(BookOneOff,472)*$D477)</f>
        <v/>
      </c>
      <c r="I477" s="56" t="str">
        <f aca="false">IF(INDEX(BookTitle,472)="","",INDEX(BookTotal,472)*'5. Scenarios'!$C$6/(1+ProductivityDefault*('5. Scenarios'!$C$11-1)))</f>
        <v/>
      </c>
      <c r="J477" s="57" t="str">
        <f aca="false">IF($I477="","",INDEX(BookRate,472)*(1+'5. Scenarios'!$C$10)*$I477)</f>
        <v/>
      </c>
      <c r="K477" s="57" t="str">
        <f aca="false">IF($J477="","",SUMIFS($J$6:$J$2405,$A$6:$A$2405,"&lt;="&amp;$A477))</f>
        <v/>
      </c>
      <c r="L477" s="57" t="str">
        <f aca="false">IF($J477="","",IF($K477&lt;=BankCostEnvelope*'5. Scenarios'!$C$7,1,0))</f>
        <v/>
      </c>
      <c r="M477" s="57" t="str">
        <f aca="false">IF($I477="","",INDEX(BookRate,472)*(1+'5. Scenarios'!$C$10)*(INDEX(BookQ1,472)*(5-MIN(4,1+'5. Scenarios'!$C$8))/4+INDEX(BookQ2,472)*(5-MIN(4,2+'5. Scenarios'!$C$8))/4+INDEX(BookQ3,472)*(5-MIN(4,3+'5. Scenarios'!$C$8))/4+INDEX(BookQ4,472)*(5-MIN(4,4+'5. Scenarios'!$C$8))/4)*'5. Scenarios'!$C$6/(1+ProductivityDefault*('5. Scenarios'!$C$11-1))+INDEX(BookOneOff,472)*$I477)</f>
        <v/>
      </c>
      <c r="N477" s="56" t="str">
        <f aca="false">IF(INDEX(BookTitle,472)="","",INDEX(BookTotal,472)*'5. Scenarios'!$D$6/(1+ProductivityDefault*('5. Scenarios'!$D$11-1)))</f>
        <v/>
      </c>
      <c r="O477" s="57" t="str">
        <f aca="false">IF($N477="","",INDEX(BookRate,472)*(1+'5. Scenarios'!$D$10)*$N477)</f>
        <v/>
      </c>
      <c r="P477" s="57" t="str">
        <f aca="false">IF($O477="","",SUMIFS($O$6:$O$2405,$A$6:$A$2405,"&lt;="&amp;$A477))</f>
        <v/>
      </c>
      <c r="Q477" s="57" t="str">
        <f aca="false">IF($O477="","",IF($P477&lt;=BankCostEnvelope*'5. Scenarios'!$D$7,1,0))</f>
        <v/>
      </c>
      <c r="R477" s="57" t="str">
        <f aca="false">IF($N477="","",INDEX(BookRate,472)*(1+'5. Scenarios'!$D$10)*(INDEX(BookQ1,472)*(5-MIN(4,1+'5. Scenarios'!$D$8))/4+INDEX(BookQ2,472)*(5-MIN(4,2+'5. Scenarios'!$D$8))/4+INDEX(BookQ3,472)*(5-MIN(4,3+'5. Scenarios'!$D$8))/4+INDEX(BookQ4,472)*(5-MIN(4,4+'5. Scenarios'!$D$8))/4)*'5. Scenarios'!$D$6/(1+ProductivityDefault*('5. Scenarios'!$D$11-1))+INDEX(BookOneOff,472)*$N477)</f>
        <v/>
      </c>
      <c r="S477" s="56" t="str">
        <f aca="false">IF(INDEX(BookTitle,472)="","",INDEX(BookTotal,472)*'5. Scenarios'!$E$6/(1+ProductivityDefault*('5. Scenarios'!$E$11-1)))</f>
        <v/>
      </c>
      <c r="T477" s="57" t="str">
        <f aca="false">IF($S477="","",INDEX(BookRate,472)*(1+'5. Scenarios'!$E$10)*$S477)</f>
        <v/>
      </c>
      <c r="U477" s="57" t="str">
        <f aca="false">IF($T477="","",SUMIFS($T$6:$T$2405,$A$6:$A$2405,"&lt;="&amp;$A477))</f>
        <v/>
      </c>
      <c r="V477" s="57" t="str">
        <f aca="false">IF($T477="","",IF($U477&lt;=BankCostEnvelope*'5. Scenarios'!$E$7,1,0))</f>
        <v/>
      </c>
      <c r="W477" s="57" t="str">
        <f aca="false">IF($S477="","",INDEX(BookRate,472)*(1+'5. Scenarios'!$E$10)*(INDEX(BookQ1,472)*(5-MIN(4,1+'5. Scenarios'!$E$8))/4+INDEX(BookQ2,472)*(5-MIN(4,2+'5. Scenarios'!$E$8))/4+INDEX(BookQ3,472)*(5-MIN(4,3+'5. Scenarios'!$E$8))/4+INDEX(BookQ4,472)*(5-MIN(4,4+'5. Scenarios'!$E$8))/4)*'5. Scenarios'!$E$6/(1+ProductivityDefault*('5. Scenarios'!$E$11-1))+INDEX(BookOneOff,472)*$S477)</f>
        <v/>
      </c>
    </row>
    <row r="478" customFormat="false" ht="15" hidden="false" customHeight="false" outlineLevel="0" collapsed="false">
      <c r="A478" s="0" t="str">
        <f aca="false">IF(INDEX(BookTitle,473)="","",INDEX(BookKey,473))</f>
        <v/>
      </c>
      <c r="B478" s="0" t="str">
        <f aca="false">IF(INDEX(BookTitle,473)="","",INDEX(BookGroup,473))</f>
        <v/>
      </c>
      <c r="C478" s="0" t="str">
        <f aca="false">IF(INDEX(BookTitle,473)="","",INDEX(BookCategory,473))</f>
        <v/>
      </c>
      <c r="D478" s="56" t="str">
        <f aca="false">IF(INDEX(BookTitle,473)="","",INDEX(BookTotal,473)*'5. Scenarios'!$B$6/(1+ProductivityDefault*('5. Scenarios'!$B$11-1)))</f>
        <v/>
      </c>
      <c r="E478" s="57" t="str">
        <f aca="false">IF($D478="","",INDEX(BookRate,473)*(1+'5. Scenarios'!$B$10)*$D478)</f>
        <v/>
      </c>
      <c r="F478" s="57" t="str">
        <f aca="false">IF($E478="","",SUMIFS($E$6:$E$2405,$A$6:$A$2405,"&lt;="&amp;$A478))</f>
        <v/>
      </c>
      <c r="G478" s="57" t="str">
        <f aca="false">IF($E478="","",IF($F478&lt;=BankCostEnvelope*'5. Scenarios'!$B$7,1,0))</f>
        <v/>
      </c>
      <c r="H478" s="57" t="str">
        <f aca="false">IF($D478="","",INDEX(BookRate,473)*(1+'5. Scenarios'!$B$10)*(INDEX(BookQ1,473)*(5-MIN(4,1+'5. Scenarios'!$B$8))/4+INDEX(BookQ2,473)*(5-MIN(4,2+'5. Scenarios'!$B$8))/4+INDEX(BookQ3,473)*(5-MIN(4,3+'5. Scenarios'!$B$8))/4+INDEX(BookQ4,473)*(5-MIN(4,4+'5. Scenarios'!$B$8))/4)*'5. Scenarios'!$B$6/(1+ProductivityDefault*('5. Scenarios'!$B$11-1))+INDEX(BookOneOff,473)*$D478)</f>
        <v/>
      </c>
      <c r="I478" s="56" t="str">
        <f aca="false">IF(INDEX(BookTitle,473)="","",INDEX(BookTotal,473)*'5. Scenarios'!$C$6/(1+ProductivityDefault*('5. Scenarios'!$C$11-1)))</f>
        <v/>
      </c>
      <c r="J478" s="57" t="str">
        <f aca="false">IF($I478="","",INDEX(BookRate,473)*(1+'5. Scenarios'!$C$10)*$I478)</f>
        <v/>
      </c>
      <c r="K478" s="57" t="str">
        <f aca="false">IF($J478="","",SUMIFS($J$6:$J$2405,$A$6:$A$2405,"&lt;="&amp;$A478))</f>
        <v/>
      </c>
      <c r="L478" s="57" t="str">
        <f aca="false">IF($J478="","",IF($K478&lt;=BankCostEnvelope*'5. Scenarios'!$C$7,1,0))</f>
        <v/>
      </c>
      <c r="M478" s="57" t="str">
        <f aca="false">IF($I478="","",INDEX(BookRate,473)*(1+'5. Scenarios'!$C$10)*(INDEX(BookQ1,473)*(5-MIN(4,1+'5. Scenarios'!$C$8))/4+INDEX(BookQ2,473)*(5-MIN(4,2+'5. Scenarios'!$C$8))/4+INDEX(BookQ3,473)*(5-MIN(4,3+'5. Scenarios'!$C$8))/4+INDEX(BookQ4,473)*(5-MIN(4,4+'5. Scenarios'!$C$8))/4)*'5. Scenarios'!$C$6/(1+ProductivityDefault*('5. Scenarios'!$C$11-1))+INDEX(BookOneOff,473)*$I478)</f>
        <v/>
      </c>
      <c r="N478" s="56" t="str">
        <f aca="false">IF(INDEX(BookTitle,473)="","",INDEX(BookTotal,473)*'5. Scenarios'!$D$6/(1+ProductivityDefault*('5. Scenarios'!$D$11-1)))</f>
        <v/>
      </c>
      <c r="O478" s="57" t="str">
        <f aca="false">IF($N478="","",INDEX(BookRate,473)*(1+'5. Scenarios'!$D$10)*$N478)</f>
        <v/>
      </c>
      <c r="P478" s="57" t="str">
        <f aca="false">IF($O478="","",SUMIFS($O$6:$O$2405,$A$6:$A$2405,"&lt;="&amp;$A478))</f>
        <v/>
      </c>
      <c r="Q478" s="57" t="str">
        <f aca="false">IF($O478="","",IF($P478&lt;=BankCostEnvelope*'5. Scenarios'!$D$7,1,0))</f>
        <v/>
      </c>
      <c r="R478" s="57" t="str">
        <f aca="false">IF($N478="","",INDEX(BookRate,473)*(1+'5. Scenarios'!$D$10)*(INDEX(BookQ1,473)*(5-MIN(4,1+'5. Scenarios'!$D$8))/4+INDEX(BookQ2,473)*(5-MIN(4,2+'5. Scenarios'!$D$8))/4+INDEX(BookQ3,473)*(5-MIN(4,3+'5. Scenarios'!$D$8))/4+INDEX(BookQ4,473)*(5-MIN(4,4+'5. Scenarios'!$D$8))/4)*'5. Scenarios'!$D$6/(1+ProductivityDefault*('5. Scenarios'!$D$11-1))+INDEX(BookOneOff,473)*$N478)</f>
        <v/>
      </c>
      <c r="S478" s="56" t="str">
        <f aca="false">IF(INDEX(BookTitle,473)="","",INDEX(BookTotal,473)*'5. Scenarios'!$E$6/(1+ProductivityDefault*('5. Scenarios'!$E$11-1)))</f>
        <v/>
      </c>
      <c r="T478" s="57" t="str">
        <f aca="false">IF($S478="","",INDEX(BookRate,473)*(1+'5. Scenarios'!$E$10)*$S478)</f>
        <v/>
      </c>
      <c r="U478" s="57" t="str">
        <f aca="false">IF($T478="","",SUMIFS($T$6:$T$2405,$A$6:$A$2405,"&lt;="&amp;$A478))</f>
        <v/>
      </c>
      <c r="V478" s="57" t="str">
        <f aca="false">IF($T478="","",IF($U478&lt;=BankCostEnvelope*'5. Scenarios'!$E$7,1,0))</f>
        <v/>
      </c>
      <c r="W478" s="57" t="str">
        <f aca="false">IF($S478="","",INDEX(BookRate,473)*(1+'5. Scenarios'!$E$10)*(INDEX(BookQ1,473)*(5-MIN(4,1+'5. Scenarios'!$E$8))/4+INDEX(BookQ2,473)*(5-MIN(4,2+'5. Scenarios'!$E$8))/4+INDEX(BookQ3,473)*(5-MIN(4,3+'5. Scenarios'!$E$8))/4+INDEX(BookQ4,473)*(5-MIN(4,4+'5. Scenarios'!$E$8))/4)*'5. Scenarios'!$E$6/(1+ProductivityDefault*('5. Scenarios'!$E$11-1))+INDEX(BookOneOff,473)*$S478)</f>
        <v/>
      </c>
    </row>
    <row r="479" customFormat="false" ht="15" hidden="false" customHeight="false" outlineLevel="0" collapsed="false">
      <c r="A479" s="0" t="str">
        <f aca="false">IF(INDEX(BookTitle,474)="","",INDEX(BookKey,474))</f>
        <v/>
      </c>
      <c r="B479" s="0" t="str">
        <f aca="false">IF(INDEX(BookTitle,474)="","",INDEX(BookGroup,474))</f>
        <v/>
      </c>
      <c r="C479" s="0" t="str">
        <f aca="false">IF(INDEX(BookTitle,474)="","",INDEX(BookCategory,474))</f>
        <v/>
      </c>
      <c r="D479" s="56" t="str">
        <f aca="false">IF(INDEX(BookTitle,474)="","",INDEX(BookTotal,474)*'5. Scenarios'!$B$6/(1+ProductivityDefault*('5. Scenarios'!$B$11-1)))</f>
        <v/>
      </c>
      <c r="E479" s="57" t="str">
        <f aca="false">IF($D479="","",INDEX(BookRate,474)*(1+'5. Scenarios'!$B$10)*$D479)</f>
        <v/>
      </c>
      <c r="F479" s="57" t="str">
        <f aca="false">IF($E479="","",SUMIFS($E$6:$E$2405,$A$6:$A$2405,"&lt;="&amp;$A479))</f>
        <v/>
      </c>
      <c r="G479" s="57" t="str">
        <f aca="false">IF($E479="","",IF($F479&lt;=BankCostEnvelope*'5. Scenarios'!$B$7,1,0))</f>
        <v/>
      </c>
      <c r="H479" s="57" t="str">
        <f aca="false">IF($D479="","",INDEX(BookRate,474)*(1+'5. Scenarios'!$B$10)*(INDEX(BookQ1,474)*(5-MIN(4,1+'5. Scenarios'!$B$8))/4+INDEX(BookQ2,474)*(5-MIN(4,2+'5. Scenarios'!$B$8))/4+INDEX(BookQ3,474)*(5-MIN(4,3+'5. Scenarios'!$B$8))/4+INDEX(BookQ4,474)*(5-MIN(4,4+'5. Scenarios'!$B$8))/4)*'5. Scenarios'!$B$6/(1+ProductivityDefault*('5. Scenarios'!$B$11-1))+INDEX(BookOneOff,474)*$D479)</f>
        <v/>
      </c>
      <c r="I479" s="56" t="str">
        <f aca="false">IF(INDEX(BookTitle,474)="","",INDEX(BookTotal,474)*'5. Scenarios'!$C$6/(1+ProductivityDefault*('5. Scenarios'!$C$11-1)))</f>
        <v/>
      </c>
      <c r="J479" s="57" t="str">
        <f aca="false">IF($I479="","",INDEX(BookRate,474)*(1+'5. Scenarios'!$C$10)*$I479)</f>
        <v/>
      </c>
      <c r="K479" s="57" t="str">
        <f aca="false">IF($J479="","",SUMIFS($J$6:$J$2405,$A$6:$A$2405,"&lt;="&amp;$A479))</f>
        <v/>
      </c>
      <c r="L479" s="57" t="str">
        <f aca="false">IF($J479="","",IF($K479&lt;=BankCostEnvelope*'5. Scenarios'!$C$7,1,0))</f>
        <v/>
      </c>
      <c r="M479" s="57" t="str">
        <f aca="false">IF($I479="","",INDEX(BookRate,474)*(1+'5. Scenarios'!$C$10)*(INDEX(BookQ1,474)*(5-MIN(4,1+'5. Scenarios'!$C$8))/4+INDEX(BookQ2,474)*(5-MIN(4,2+'5. Scenarios'!$C$8))/4+INDEX(BookQ3,474)*(5-MIN(4,3+'5. Scenarios'!$C$8))/4+INDEX(BookQ4,474)*(5-MIN(4,4+'5. Scenarios'!$C$8))/4)*'5. Scenarios'!$C$6/(1+ProductivityDefault*('5. Scenarios'!$C$11-1))+INDEX(BookOneOff,474)*$I479)</f>
        <v/>
      </c>
      <c r="N479" s="56" t="str">
        <f aca="false">IF(INDEX(BookTitle,474)="","",INDEX(BookTotal,474)*'5. Scenarios'!$D$6/(1+ProductivityDefault*('5. Scenarios'!$D$11-1)))</f>
        <v/>
      </c>
      <c r="O479" s="57" t="str">
        <f aca="false">IF($N479="","",INDEX(BookRate,474)*(1+'5. Scenarios'!$D$10)*$N479)</f>
        <v/>
      </c>
      <c r="P479" s="57" t="str">
        <f aca="false">IF($O479="","",SUMIFS($O$6:$O$2405,$A$6:$A$2405,"&lt;="&amp;$A479))</f>
        <v/>
      </c>
      <c r="Q479" s="57" t="str">
        <f aca="false">IF($O479="","",IF($P479&lt;=BankCostEnvelope*'5. Scenarios'!$D$7,1,0))</f>
        <v/>
      </c>
      <c r="R479" s="57" t="str">
        <f aca="false">IF($N479="","",INDEX(BookRate,474)*(1+'5. Scenarios'!$D$10)*(INDEX(BookQ1,474)*(5-MIN(4,1+'5. Scenarios'!$D$8))/4+INDEX(BookQ2,474)*(5-MIN(4,2+'5. Scenarios'!$D$8))/4+INDEX(BookQ3,474)*(5-MIN(4,3+'5. Scenarios'!$D$8))/4+INDEX(BookQ4,474)*(5-MIN(4,4+'5. Scenarios'!$D$8))/4)*'5. Scenarios'!$D$6/(1+ProductivityDefault*('5. Scenarios'!$D$11-1))+INDEX(BookOneOff,474)*$N479)</f>
        <v/>
      </c>
      <c r="S479" s="56" t="str">
        <f aca="false">IF(INDEX(BookTitle,474)="","",INDEX(BookTotal,474)*'5. Scenarios'!$E$6/(1+ProductivityDefault*('5. Scenarios'!$E$11-1)))</f>
        <v/>
      </c>
      <c r="T479" s="57" t="str">
        <f aca="false">IF($S479="","",INDEX(BookRate,474)*(1+'5. Scenarios'!$E$10)*$S479)</f>
        <v/>
      </c>
      <c r="U479" s="57" t="str">
        <f aca="false">IF($T479="","",SUMIFS($T$6:$T$2405,$A$6:$A$2405,"&lt;="&amp;$A479))</f>
        <v/>
      </c>
      <c r="V479" s="57" t="str">
        <f aca="false">IF($T479="","",IF($U479&lt;=BankCostEnvelope*'5. Scenarios'!$E$7,1,0))</f>
        <v/>
      </c>
      <c r="W479" s="57" t="str">
        <f aca="false">IF($S479="","",INDEX(BookRate,474)*(1+'5. Scenarios'!$E$10)*(INDEX(BookQ1,474)*(5-MIN(4,1+'5. Scenarios'!$E$8))/4+INDEX(BookQ2,474)*(5-MIN(4,2+'5. Scenarios'!$E$8))/4+INDEX(BookQ3,474)*(5-MIN(4,3+'5. Scenarios'!$E$8))/4+INDEX(BookQ4,474)*(5-MIN(4,4+'5. Scenarios'!$E$8))/4)*'5. Scenarios'!$E$6/(1+ProductivityDefault*('5. Scenarios'!$E$11-1))+INDEX(BookOneOff,474)*$S479)</f>
        <v/>
      </c>
    </row>
    <row r="480" customFormat="false" ht="15" hidden="false" customHeight="false" outlineLevel="0" collapsed="false">
      <c r="A480" s="0" t="str">
        <f aca="false">IF(INDEX(BookTitle,475)="","",INDEX(BookKey,475))</f>
        <v/>
      </c>
      <c r="B480" s="0" t="str">
        <f aca="false">IF(INDEX(BookTitle,475)="","",INDEX(BookGroup,475))</f>
        <v/>
      </c>
      <c r="C480" s="0" t="str">
        <f aca="false">IF(INDEX(BookTitle,475)="","",INDEX(BookCategory,475))</f>
        <v/>
      </c>
      <c r="D480" s="56" t="str">
        <f aca="false">IF(INDEX(BookTitle,475)="","",INDEX(BookTotal,475)*'5. Scenarios'!$B$6/(1+ProductivityDefault*('5. Scenarios'!$B$11-1)))</f>
        <v/>
      </c>
      <c r="E480" s="57" t="str">
        <f aca="false">IF($D480="","",INDEX(BookRate,475)*(1+'5. Scenarios'!$B$10)*$D480)</f>
        <v/>
      </c>
      <c r="F480" s="57" t="str">
        <f aca="false">IF($E480="","",SUMIFS($E$6:$E$2405,$A$6:$A$2405,"&lt;="&amp;$A480))</f>
        <v/>
      </c>
      <c r="G480" s="57" t="str">
        <f aca="false">IF($E480="","",IF($F480&lt;=BankCostEnvelope*'5. Scenarios'!$B$7,1,0))</f>
        <v/>
      </c>
      <c r="H480" s="57" t="str">
        <f aca="false">IF($D480="","",INDEX(BookRate,475)*(1+'5. Scenarios'!$B$10)*(INDEX(BookQ1,475)*(5-MIN(4,1+'5. Scenarios'!$B$8))/4+INDEX(BookQ2,475)*(5-MIN(4,2+'5. Scenarios'!$B$8))/4+INDEX(BookQ3,475)*(5-MIN(4,3+'5. Scenarios'!$B$8))/4+INDEX(BookQ4,475)*(5-MIN(4,4+'5. Scenarios'!$B$8))/4)*'5. Scenarios'!$B$6/(1+ProductivityDefault*('5. Scenarios'!$B$11-1))+INDEX(BookOneOff,475)*$D480)</f>
        <v/>
      </c>
      <c r="I480" s="56" t="str">
        <f aca="false">IF(INDEX(BookTitle,475)="","",INDEX(BookTotal,475)*'5. Scenarios'!$C$6/(1+ProductivityDefault*('5. Scenarios'!$C$11-1)))</f>
        <v/>
      </c>
      <c r="J480" s="57" t="str">
        <f aca="false">IF($I480="","",INDEX(BookRate,475)*(1+'5. Scenarios'!$C$10)*$I480)</f>
        <v/>
      </c>
      <c r="K480" s="57" t="str">
        <f aca="false">IF($J480="","",SUMIFS($J$6:$J$2405,$A$6:$A$2405,"&lt;="&amp;$A480))</f>
        <v/>
      </c>
      <c r="L480" s="57" t="str">
        <f aca="false">IF($J480="","",IF($K480&lt;=BankCostEnvelope*'5. Scenarios'!$C$7,1,0))</f>
        <v/>
      </c>
      <c r="M480" s="57" t="str">
        <f aca="false">IF($I480="","",INDEX(BookRate,475)*(1+'5. Scenarios'!$C$10)*(INDEX(BookQ1,475)*(5-MIN(4,1+'5. Scenarios'!$C$8))/4+INDEX(BookQ2,475)*(5-MIN(4,2+'5. Scenarios'!$C$8))/4+INDEX(BookQ3,475)*(5-MIN(4,3+'5. Scenarios'!$C$8))/4+INDEX(BookQ4,475)*(5-MIN(4,4+'5. Scenarios'!$C$8))/4)*'5. Scenarios'!$C$6/(1+ProductivityDefault*('5. Scenarios'!$C$11-1))+INDEX(BookOneOff,475)*$I480)</f>
        <v/>
      </c>
      <c r="N480" s="56" t="str">
        <f aca="false">IF(INDEX(BookTitle,475)="","",INDEX(BookTotal,475)*'5. Scenarios'!$D$6/(1+ProductivityDefault*('5. Scenarios'!$D$11-1)))</f>
        <v/>
      </c>
      <c r="O480" s="57" t="str">
        <f aca="false">IF($N480="","",INDEX(BookRate,475)*(1+'5. Scenarios'!$D$10)*$N480)</f>
        <v/>
      </c>
      <c r="P480" s="57" t="str">
        <f aca="false">IF($O480="","",SUMIFS($O$6:$O$2405,$A$6:$A$2405,"&lt;="&amp;$A480))</f>
        <v/>
      </c>
      <c r="Q480" s="57" t="str">
        <f aca="false">IF($O480="","",IF($P480&lt;=BankCostEnvelope*'5. Scenarios'!$D$7,1,0))</f>
        <v/>
      </c>
      <c r="R480" s="57" t="str">
        <f aca="false">IF($N480="","",INDEX(BookRate,475)*(1+'5. Scenarios'!$D$10)*(INDEX(BookQ1,475)*(5-MIN(4,1+'5. Scenarios'!$D$8))/4+INDEX(BookQ2,475)*(5-MIN(4,2+'5. Scenarios'!$D$8))/4+INDEX(BookQ3,475)*(5-MIN(4,3+'5. Scenarios'!$D$8))/4+INDEX(BookQ4,475)*(5-MIN(4,4+'5. Scenarios'!$D$8))/4)*'5. Scenarios'!$D$6/(1+ProductivityDefault*('5. Scenarios'!$D$11-1))+INDEX(BookOneOff,475)*$N480)</f>
        <v/>
      </c>
      <c r="S480" s="56" t="str">
        <f aca="false">IF(INDEX(BookTitle,475)="","",INDEX(BookTotal,475)*'5. Scenarios'!$E$6/(1+ProductivityDefault*('5. Scenarios'!$E$11-1)))</f>
        <v/>
      </c>
      <c r="T480" s="57" t="str">
        <f aca="false">IF($S480="","",INDEX(BookRate,475)*(1+'5. Scenarios'!$E$10)*$S480)</f>
        <v/>
      </c>
      <c r="U480" s="57" t="str">
        <f aca="false">IF($T480="","",SUMIFS($T$6:$T$2405,$A$6:$A$2405,"&lt;="&amp;$A480))</f>
        <v/>
      </c>
      <c r="V480" s="57" t="str">
        <f aca="false">IF($T480="","",IF($U480&lt;=BankCostEnvelope*'5. Scenarios'!$E$7,1,0))</f>
        <v/>
      </c>
      <c r="W480" s="57" t="str">
        <f aca="false">IF($S480="","",INDEX(BookRate,475)*(1+'5. Scenarios'!$E$10)*(INDEX(BookQ1,475)*(5-MIN(4,1+'5. Scenarios'!$E$8))/4+INDEX(BookQ2,475)*(5-MIN(4,2+'5. Scenarios'!$E$8))/4+INDEX(BookQ3,475)*(5-MIN(4,3+'5. Scenarios'!$E$8))/4+INDEX(BookQ4,475)*(5-MIN(4,4+'5. Scenarios'!$E$8))/4)*'5. Scenarios'!$E$6/(1+ProductivityDefault*('5. Scenarios'!$E$11-1))+INDEX(BookOneOff,475)*$S480)</f>
        <v/>
      </c>
    </row>
    <row r="481" customFormat="false" ht="15" hidden="false" customHeight="false" outlineLevel="0" collapsed="false">
      <c r="A481" s="0" t="str">
        <f aca="false">IF(INDEX(BookTitle,476)="","",INDEX(BookKey,476))</f>
        <v/>
      </c>
      <c r="B481" s="0" t="str">
        <f aca="false">IF(INDEX(BookTitle,476)="","",INDEX(BookGroup,476))</f>
        <v/>
      </c>
      <c r="C481" s="0" t="str">
        <f aca="false">IF(INDEX(BookTitle,476)="","",INDEX(BookCategory,476))</f>
        <v/>
      </c>
      <c r="D481" s="56" t="str">
        <f aca="false">IF(INDEX(BookTitle,476)="","",INDEX(BookTotal,476)*'5. Scenarios'!$B$6/(1+ProductivityDefault*('5. Scenarios'!$B$11-1)))</f>
        <v/>
      </c>
      <c r="E481" s="57" t="str">
        <f aca="false">IF($D481="","",INDEX(BookRate,476)*(1+'5. Scenarios'!$B$10)*$D481)</f>
        <v/>
      </c>
      <c r="F481" s="57" t="str">
        <f aca="false">IF($E481="","",SUMIFS($E$6:$E$2405,$A$6:$A$2405,"&lt;="&amp;$A481))</f>
        <v/>
      </c>
      <c r="G481" s="57" t="str">
        <f aca="false">IF($E481="","",IF($F481&lt;=BankCostEnvelope*'5. Scenarios'!$B$7,1,0))</f>
        <v/>
      </c>
      <c r="H481" s="57" t="str">
        <f aca="false">IF($D481="","",INDEX(BookRate,476)*(1+'5. Scenarios'!$B$10)*(INDEX(BookQ1,476)*(5-MIN(4,1+'5. Scenarios'!$B$8))/4+INDEX(BookQ2,476)*(5-MIN(4,2+'5. Scenarios'!$B$8))/4+INDEX(BookQ3,476)*(5-MIN(4,3+'5. Scenarios'!$B$8))/4+INDEX(BookQ4,476)*(5-MIN(4,4+'5. Scenarios'!$B$8))/4)*'5. Scenarios'!$B$6/(1+ProductivityDefault*('5. Scenarios'!$B$11-1))+INDEX(BookOneOff,476)*$D481)</f>
        <v/>
      </c>
      <c r="I481" s="56" t="str">
        <f aca="false">IF(INDEX(BookTitle,476)="","",INDEX(BookTotal,476)*'5. Scenarios'!$C$6/(1+ProductivityDefault*('5. Scenarios'!$C$11-1)))</f>
        <v/>
      </c>
      <c r="J481" s="57" t="str">
        <f aca="false">IF($I481="","",INDEX(BookRate,476)*(1+'5. Scenarios'!$C$10)*$I481)</f>
        <v/>
      </c>
      <c r="K481" s="57" t="str">
        <f aca="false">IF($J481="","",SUMIFS($J$6:$J$2405,$A$6:$A$2405,"&lt;="&amp;$A481))</f>
        <v/>
      </c>
      <c r="L481" s="57" t="str">
        <f aca="false">IF($J481="","",IF($K481&lt;=BankCostEnvelope*'5. Scenarios'!$C$7,1,0))</f>
        <v/>
      </c>
      <c r="M481" s="57" t="str">
        <f aca="false">IF($I481="","",INDEX(BookRate,476)*(1+'5. Scenarios'!$C$10)*(INDEX(BookQ1,476)*(5-MIN(4,1+'5. Scenarios'!$C$8))/4+INDEX(BookQ2,476)*(5-MIN(4,2+'5. Scenarios'!$C$8))/4+INDEX(BookQ3,476)*(5-MIN(4,3+'5. Scenarios'!$C$8))/4+INDEX(BookQ4,476)*(5-MIN(4,4+'5. Scenarios'!$C$8))/4)*'5. Scenarios'!$C$6/(1+ProductivityDefault*('5. Scenarios'!$C$11-1))+INDEX(BookOneOff,476)*$I481)</f>
        <v/>
      </c>
      <c r="N481" s="56" t="str">
        <f aca="false">IF(INDEX(BookTitle,476)="","",INDEX(BookTotal,476)*'5. Scenarios'!$D$6/(1+ProductivityDefault*('5. Scenarios'!$D$11-1)))</f>
        <v/>
      </c>
      <c r="O481" s="57" t="str">
        <f aca="false">IF($N481="","",INDEX(BookRate,476)*(1+'5. Scenarios'!$D$10)*$N481)</f>
        <v/>
      </c>
      <c r="P481" s="57" t="str">
        <f aca="false">IF($O481="","",SUMIFS($O$6:$O$2405,$A$6:$A$2405,"&lt;="&amp;$A481))</f>
        <v/>
      </c>
      <c r="Q481" s="57" t="str">
        <f aca="false">IF($O481="","",IF($P481&lt;=BankCostEnvelope*'5. Scenarios'!$D$7,1,0))</f>
        <v/>
      </c>
      <c r="R481" s="57" t="str">
        <f aca="false">IF($N481="","",INDEX(BookRate,476)*(1+'5. Scenarios'!$D$10)*(INDEX(BookQ1,476)*(5-MIN(4,1+'5. Scenarios'!$D$8))/4+INDEX(BookQ2,476)*(5-MIN(4,2+'5. Scenarios'!$D$8))/4+INDEX(BookQ3,476)*(5-MIN(4,3+'5. Scenarios'!$D$8))/4+INDEX(BookQ4,476)*(5-MIN(4,4+'5. Scenarios'!$D$8))/4)*'5. Scenarios'!$D$6/(1+ProductivityDefault*('5. Scenarios'!$D$11-1))+INDEX(BookOneOff,476)*$N481)</f>
        <v/>
      </c>
      <c r="S481" s="56" t="str">
        <f aca="false">IF(INDEX(BookTitle,476)="","",INDEX(BookTotal,476)*'5. Scenarios'!$E$6/(1+ProductivityDefault*('5. Scenarios'!$E$11-1)))</f>
        <v/>
      </c>
      <c r="T481" s="57" t="str">
        <f aca="false">IF($S481="","",INDEX(BookRate,476)*(1+'5. Scenarios'!$E$10)*$S481)</f>
        <v/>
      </c>
      <c r="U481" s="57" t="str">
        <f aca="false">IF($T481="","",SUMIFS($T$6:$T$2405,$A$6:$A$2405,"&lt;="&amp;$A481))</f>
        <v/>
      </c>
      <c r="V481" s="57" t="str">
        <f aca="false">IF($T481="","",IF($U481&lt;=BankCostEnvelope*'5. Scenarios'!$E$7,1,0))</f>
        <v/>
      </c>
      <c r="W481" s="57" t="str">
        <f aca="false">IF($S481="","",INDEX(BookRate,476)*(1+'5. Scenarios'!$E$10)*(INDEX(BookQ1,476)*(5-MIN(4,1+'5. Scenarios'!$E$8))/4+INDEX(BookQ2,476)*(5-MIN(4,2+'5. Scenarios'!$E$8))/4+INDEX(BookQ3,476)*(5-MIN(4,3+'5. Scenarios'!$E$8))/4+INDEX(BookQ4,476)*(5-MIN(4,4+'5. Scenarios'!$E$8))/4)*'5. Scenarios'!$E$6/(1+ProductivityDefault*('5. Scenarios'!$E$11-1))+INDEX(BookOneOff,476)*$S481)</f>
        <v/>
      </c>
    </row>
    <row r="482" customFormat="false" ht="15" hidden="false" customHeight="false" outlineLevel="0" collapsed="false">
      <c r="A482" s="0" t="str">
        <f aca="false">IF(INDEX(BookTitle,477)="","",INDEX(BookKey,477))</f>
        <v/>
      </c>
      <c r="B482" s="0" t="str">
        <f aca="false">IF(INDEX(BookTitle,477)="","",INDEX(BookGroup,477))</f>
        <v/>
      </c>
      <c r="C482" s="0" t="str">
        <f aca="false">IF(INDEX(BookTitle,477)="","",INDEX(BookCategory,477))</f>
        <v/>
      </c>
      <c r="D482" s="56" t="str">
        <f aca="false">IF(INDEX(BookTitle,477)="","",INDEX(BookTotal,477)*'5. Scenarios'!$B$6/(1+ProductivityDefault*('5. Scenarios'!$B$11-1)))</f>
        <v/>
      </c>
      <c r="E482" s="57" t="str">
        <f aca="false">IF($D482="","",INDEX(BookRate,477)*(1+'5. Scenarios'!$B$10)*$D482)</f>
        <v/>
      </c>
      <c r="F482" s="57" t="str">
        <f aca="false">IF($E482="","",SUMIFS($E$6:$E$2405,$A$6:$A$2405,"&lt;="&amp;$A482))</f>
        <v/>
      </c>
      <c r="G482" s="57" t="str">
        <f aca="false">IF($E482="","",IF($F482&lt;=BankCostEnvelope*'5. Scenarios'!$B$7,1,0))</f>
        <v/>
      </c>
      <c r="H482" s="57" t="str">
        <f aca="false">IF($D482="","",INDEX(BookRate,477)*(1+'5. Scenarios'!$B$10)*(INDEX(BookQ1,477)*(5-MIN(4,1+'5. Scenarios'!$B$8))/4+INDEX(BookQ2,477)*(5-MIN(4,2+'5. Scenarios'!$B$8))/4+INDEX(BookQ3,477)*(5-MIN(4,3+'5. Scenarios'!$B$8))/4+INDEX(BookQ4,477)*(5-MIN(4,4+'5. Scenarios'!$B$8))/4)*'5. Scenarios'!$B$6/(1+ProductivityDefault*('5. Scenarios'!$B$11-1))+INDEX(BookOneOff,477)*$D482)</f>
        <v/>
      </c>
      <c r="I482" s="56" t="str">
        <f aca="false">IF(INDEX(BookTitle,477)="","",INDEX(BookTotal,477)*'5. Scenarios'!$C$6/(1+ProductivityDefault*('5. Scenarios'!$C$11-1)))</f>
        <v/>
      </c>
      <c r="J482" s="57" t="str">
        <f aca="false">IF($I482="","",INDEX(BookRate,477)*(1+'5. Scenarios'!$C$10)*$I482)</f>
        <v/>
      </c>
      <c r="K482" s="57" t="str">
        <f aca="false">IF($J482="","",SUMIFS($J$6:$J$2405,$A$6:$A$2405,"&lt;="&amp;$A482))</f>
        <v/>
      </c>
      <c r="L482" s="57" t="str">
        <f aca="false">IF($J482="","",IF($K482&lt;=BankCostEnvelope*'5. Scenarios'!$C$7,1,0))</f>
        <v/>
      </c>
      <c r="M482" s="57" t="str">
        <f aca="false">IF($I482="","",INDEX(BookRate,477)*(1+'5. Scenarios'!$C$10)*(INDEX(BookQ1,477)*(5-MIN(4,1+'5. Scenarios'!$C$8))/4+INDEX(BookQ2,477)*(5-MIN(4,2+'5. Scenarios'!$C$8))/4+INDEX(BookQ3,477)*(5-MIN(4,3+'5. Scenarios'!$C$8))/4+INDEX(BookQ4,477)*(5-MIN(4,4+'5. Scenarios'!$C$8))/4)*'5. Scenarios'!$C$6/(1+ProductivityDefault*('5. Scenarios'!$C$11-1))+INDEX(BookOneOff,477)*$I482)</f>
        <v/>
      </c>
      <c r="N482" s="56" t="str">
        <f aca="false">IF(INDEX(BookTitle,477)="","",INDEX(BookTotal,477)*'5. Scenarios'!$D$6/(1+ProductivityDefault*('5. Scenarios'!$D$11-1)))</f>
        <v/>
      </c>
      <c r="O482" s="57" t="str">
        <f aca="false">IF($N482="","",INDEX(BookRate,477)*(1+'5. Scenarios'!$D$10)*$N482)</f>
        <v/>
      </c>
      <c r="P482" s="57" t="str">
        <f aca="false">IF($O482="","",SUMIFS($O$6:$O$2405,$A$6:$A$2405,"&lt;="&amp;$A482))</f>
        <v/>
      </c>
      <c r="Q482" s="57" t="str">
        <f aca="false">IF($O482="","",IF($P482&lt;=BankCostEnvelope*'5. Scenarios'!$D$7,1,0))</f>
        <v/>
      </c>
      <c r="R482" s="57" t="str">
        <f aca="false">IF($N482="","",INDEX(BookRate,477)*(1+'5. Scenarios'!$D$10)*(INDEX(BookQ1,477)*(5-MIN(4,1+'5. Scenarios'!$D$8))/4+INDEX(BookQ2,477)*(5-MIN(4,2+'5. Scenarios'!$D$8))/4+INDEX(BookQ3,477)*(5-MIN(4,3+'5. Scenarios'!$D$8))/4+INDEX(BookQ4,477)*(5-MIN(4,4+'5. Scenarios'!$D$8))/4)*'5. Scenarios'!$D$6/(1+ProductivityDefault*('5. Scenarios'!$D$11-1))+INDEX(BookOneOff,477)*$N482)</f>
        <v/>
      </c>
      <c r="S482" s="56" t="str">
        <f aca="false">IF(INDEX(BookTitle,477)="","",INDEX(BookTotal,477)*'5. Scenarios'!$E$6/(1+ProductivityDefault*('5. Scenarios'!$E$11-1)))</f>
        <v/>
      </c>
      <c r="T482" s="57" t="str">
        <f aca="false">IF($S482="","",INDEX(BookRate,477)*(1+'5. Scenarios'!$E$10)*$S482)</f>
        <v/>
      </c>
      <c r="U482" s="57" t="str">
        <f aca="false">IF($T482="","",SUMIFS($T$6:$T$2405,$A$6:$A$2405,"&lt;="&amp;$A482))</f>
        <v/>
      </c>
      <c r="V482" s="57" t="str">
        <f aca="false">IF($T482="","",IF($U482&lt;=BankCostEnvelope*'5. Scenarios'!$E$7,1,0))</f>
        <v/>
      </c>
      <c r="W482" s="57" t="str">
        <f aca="false">IF($S482="","",INDEX(BookRate,477)*(1+'5. Scenarios'!$E$10)*(INDEX(BookQ1,477)*(5-MIN(4,1+'5. Scenarios'!$E$8))/4+INDEX(BookQ2,477)*(5-MIN(4,2+'5. Scenarios'!$E$8))/4+INDEX(BookQ3,477)*(5-MIN(4,3+'5. Scenarios'!$E$8))/4+INDEX(BookQ4,477)*(5-MIN(4,4+'5. Scenarios'!$E$8))/4)*'5. Scenarios'!$E$6/(1+ProductivityDefault*('5. Scenarios'!$E$11-1))+INDEX(BookOneOff,477)*$S482)</f>
        <v/>
      </c>
    </row>
    <row r="483" customFormat="false" ht="15" hidden="false" customHeight="false" outlineLevel="0" collapsed="false">
      <c r="A483" s="0" t="str">
        <f aca="false">IF(INDEX(BookTitle,478)="","",INDEX(BookKey,478))</f>
        <v/>
      </c>
      <c r="B483" s="0" t="str">
        <f aca="false">IF(INDEX(BookTitle,478)="","",INDEX(BookGroup,478))</f>
        <v/>
      </c>
      <c r="C483" s="0" t="str">
        <f aca="false">IF(INDEX(BookTitle,478)="","",INDEX(BookCategory,478))</f>
        <v/>
      </c>
      <c r="D483" s="56" t="str">
        <f aca="false">IF(INDEX(BookTitle,478)="","",INDEX(BookTotal,478)*'5. Scenarios'!$B$6/(1+ProductivityDefault*('5. Scenarios'!$B$11-1)))</f>
        <v/>
      </c>
      <c r="E483" s="57" t="str">
        <f aca="false">IF($D483="","",INDEX(BookRate,478)*(1+'5. Scenarios'!$B$10)*$D483)</f>
        <v/>
      </c>
      <c r="F483" s="57" t="str">
        <f aca="false">IF($E483="","",SUMIFS($E$6:$E$2405,$A$6:$A$2405,"&lt;="&amp;$A483))</f>
        <v/>
      </c>
      <c r="G483" s="57" t="str">
        <f aca="false">IF($E483="","",IF($F483&lt;=BankCostEnvelope*'5. Scenarios'!$B$7,1,0))</f>
        <v/>
      </c>
      <c r="H483" s="57" t="str">
        <f aca="false">IF($D483="","",INDEX(BookRate,478)*(1+'5. Scenarios'!$B$10)*(INDEX(BookQ1,478)*(5-MIN(4,1+'5. Scenarios'!$B$8))/4+INDEX(BookQ2,478)*(5-MIN(4,2+'5. Scenarios'!$B$8))/4+INDEX(BookQ3,478)*(5-MIN(4,3+'5. Scenarios'!$B$8))/4+INDEX(BookQ4,478)*(5-MIN(4,4+'5. Scenarios'!$B$8))/4)*'5. Scenarios'!$B$6/(1+ProductivityDefault*('5. Scenarios'!$B$11-1))+INDEX(BookOneOff,478)*$D483)</f>
        <v/>
      </c>
      <c r="I483" s="56" t="str">
        <f aca="false">IF(INDEX(BookTitle,478)="","",INDEX(BookTotal,478)*'5. Scenarios'!$C$6/(1+ProductivityDefault*('5. Scenarios'!$C$11-1)))</f>
        <v/>
      </c>
      <c r="J483" s="57" t="str">
        <f aca="false">IF($I483="","",INDEX(BookRate,478)*(1+'5. Scenarios'!$C$10)*$I483)</f>
        <v/>
      </c>
      <c r="K483" s="57" t="str">
        <f aca="false">IF($J483="","",SUMIFS($J$6:$J$2405,$A$6:$A$2405,"&lt;="&amp;$A483))</f>
        <v/>
      </c>
      <c r="L483" s="57" t="str">
        <f aca="false">IF($J483="","",IF($K483&lt;=BankCostEnvelope*'5. Scenarios'!$C$7,1,0))</f>
        <v/>
      </c>
      <c r="M483" s="57" t="str">
        <f aca="false">IF($I483="","",INDEX(BookRate,478)*(1+'5. Scenarios'!$C$10)*(INDEX(BookQ1,478)*(5-MIN(4,1+'5. Scenarios'!$C$8))/4+INDEX(BookQ2,478)*(5-MIN(4,2+'5. Scenarios'!$C$8))/4+INDEX(BookQ3,478)*(5-MIN(4,3+'5. Scenarios'!$C$8))/4+INDEX(BookQ4,478)*(5-MIN(4,4+'5. Scenarios'!$C$8))/4)*'5. Scenarios'!$C$6/(1+ProductivityDefault*('5. Scenarios'!$C$11-1))+INDEX(BookOneOff,478)*$I483)</f>
        <v/>
      </c>
      <c r="N483" s="56" t="str">
        <f aca="false">IF(INDEX(BookTitle,478)="","",INDEX(BookTotal,478)*'5. Scenarios'!$D$6/(1+ProductivityDefault*('5. Scenarios'!$D$11-1)))</f>
        <v/>
      </c>
      <c r="O483" s="57" t="str">
        <f aca="false">IF($N483="","",INDEX(BookRate,478)*(1+'5. Scenarios'!$D$10)*$N483)</f>
        <v/>
      </c>
      <c r="P483" s="57" t="str">
        <f aca="false">IF($O483="","",SUMIFS($O$6:$O$2405,$A$6:$A$2405,"&lt;="&amp;$A483))</f>
        <v/>
      </c>
      <c r="Q483" s="57" t="str">
        <f aca="false">IF($O483="","",IF($P483&lt;=BankCostEnvelope*'5. Scenarios'!$D$7,1,0))</f>
        <v/>
      </c>
      <c r="R483" s="57" t="str">
        <f aca="false">IF($N483="","",INDEX(BookRate,478)*(1+'5. Scenarios'!$D$10)*(INDEX(BookQ1,478)*(5-MIN(4,1+'5. Scenarios'!$D$8))/4+INDEX(BookQ2,478)*(5-MIN(4,2+'5. Scenarios'!$D$8))/4+INDEX(BookQ3,478)*(5-MIN(4,3+'5. Scenarios'!$D$8))/4+INDEX(BookQ4,478)*(5-MIN(4,4+'5. Scenarios'!$D$8))/4)*'5. Scenarios'!$D$6/(1+ProductivityDefault*('5. Scenarios'!$D$11-1))+INDEX(BookOneOff,478)*$N483)</f>
        <v/>
      </c>
      <c r="S483" s="56" t="str">
        <f aca="false">IF(INDEX(BookTitle,478)="","",INDEX(BookTotal,478)*'5. Scenarios'!$E$6/(1+ProductivityDefault*('5. Scenarios'!$E$11-1)))</f>
        <v/>
      </c>
      <c r="T483" s="57" t="str">
        <f aca="false">IF($S483="","",INDEX(BookRate,478)*(1+'5. Scenarios'!$E$10)*$S483)</f>
        <v/>
      </c>
      <c r="U483" s="57" t="str">
        <f aca="false">IF($T483="","",SUMIFS($T$6:$T$2405,$A$6:$A$2405,"&lt;="&amp;$A483))</f>
        <v/>
      </c>
      <c r="V483" s="57" t="str">
        <f aca="false">IF($T483="","",IF($U483&lt;=BankCostEnvelope*'5. Scenarios'!$E$7,1,0))</f>
        <v/>
      </c>
      <c r="W483" s="57" t="str">
        <f aca="false">IF($S483="","",INDEX(BookRate,478)*(1+'5. Scenarios'!$E$10)*(INDEX(BookQ1,478)*(5-MIN(4,1+'5. Scenarios'!$E$8))/4+INDEX(BookQ2,478)*(5-MIN(4,2+'5. Scenarios'!$E$8))/4+INDEX(BookQ3,478)*(5-MIN(4,3+'5. Scenarios'!$E$8))/4+INDEX(BookQ4,478)*(5-MIN(4,4+'5. Scenarios'!$E$8))/4)*'5. Scenarios'!$E$6/(1+ProductivityDefault*('5. Scenarios'!$E$11-1))+INDEX(BookOneOff,478)*$S483)</f>
        <v/>
      </c>
    </row>
    <row r="484" customFormat="false" ht="15" hidden="false" customHeight="false" outlineLevel="0" collapsed="false">
      <c r="A484" s="0" t="str">
        <f aca="false">IF(INDEX(BookTitle,479)="","",INDEX(BookKey,479))</f>
        <v/>
      </c>
      <c r="B484" s="0" t="str">
        <f aca="false">IF(INDEX(BookTitle,479)="","",INDEX(BookGroup,479))</f>
        <v/>
      </c>
      <c r="C484" s="0" t="str">
        <f aca="false">IF(INDEX(BookTitle,479)="","",INDEX(BookCategory,479))</f>
        <v/>
      </c>
      <c r="D484" s="56" t="str">
        <f aca="false">IF(INDEX(BookTitle,479)="","",INDEX(BookTotal,479)*'5. Scenarios'!$B$6/(1+ProductivityDefault*('5. Scenarios'!$B$11-1)))</f>
        <v/>
      </c>
      <c r="E484" s="57" t="str">
        <f aca="false">IF($D484="","",INDEX(BookRate,479)*(1+'5. Scenarios'!$B$10)*$D484)</f>
        <v/>
      </c>
      <c r="F484" s="57" t="str">
        <f aca="false">IF($E484="","",SUMIFS($E$6:$E$2405,$A$6:$A$2405,"&lt;="&amp;$A484))</f>
        <v/>
      </c>
      <c r="G484" s="57" t="str">
        <f aca="false">IF($E484="","",IF($F484&lt;=BankCostEnvelope*'5. Scenarios'!$B$7,1,0))</f>
        <v/>
      </c>
      <c r="H484" s="57" t="str">
        <f aca="false">IF($D484="","",INDEX(BookRate,479)*(1+'5. Scenarios'!$B$10)*(INDEX(BookQ1,479)*(5-MIN(4,1+'5. Scenarios'!$B$8))/4+INDEX(BookQ2,479)*(5-MIN(4,2+'5. Scenarios'!$B$8))/4+INDEX(BookQ3,479)*(5-MIN(4,3+'5. Scenarios'!$B$8))/4+INDEX(BookQ4,479)*(5-MIN(4,4+'5. Scenarios'!$B$8))/4)*'5. Scenarios'!$B$6/(1+ProductivityDefault*('5. Scenarios'!$B$11-1))+INDEX(BookOneOff,479)*$D484)</f>
        <v/>
      </c>
      <c r="I484" s="56" t="str">
        <f aca="false">IF(INDEX(BookTitle,479)="","",INDEX(BookTotal,479)*'5. Scenarios'!$C$6/(1+ProductivityDefault*('5. Scenarios'!$C$11-1)))</f>
        <v/>
      </c>
      <c r="J484" s="57" t="str">
        <f aca="false">IF($I484="","",INDEX(BookRate,479)*(1+'5. Scenarios'!$C$10)*$I484)</f>
        <v/>
      </c>
      <c r="K484" s="57" t="str">
        <f aca="false">IF($J484="","",SUMIFS($J$6:$J$2405,$A$6:$A$2405,"&lt;="&amp;$A484))</f>
        <v/>
      </c>
      <c r="L484" s="57" t="str">
        <f aca="false">IF($J484="","",IF($K484&lt;=BankCostEnvelope*'5. Scenarios'!$C$7,1,0))</f>
        <v/>
      </c>
      <c r="M484" s="57" t="str">
        <f aca="false">IF($I484="","",INDEX(BookRate,479)*(1+'5. Scenarios'!$C$10)*(INDEX(BookQ1,479)*(5-MIN(4,1+'5. Scenarios'!$C$8))/4+INDEX(BookQ2,479)*(5-MIN(4,2+'5. Scenarios'!$C$8))/4+INDEX(BookQ3,479)*(5-MIN(4,3+'5. Scenarios'!$C$8))/4+INDEX(BookQ4,479)*(5-MIN(4,4+'5. Scenarios'!$C$8))/4)*'5. Scenarios'!$C$6/(1+ProductivityDefault*('5. Scenarios'!$C$11-1))+INDEX(BookOneOff,479)*$I484)</f>
        <v/>
      </c>
      <c r="N484" s="56" t="str">
        <f aca="false">IF(INDEX(BookTitle,479)="","",INDEX(BookTotal,479)*'5. Scenarios'!$D$6/(1+ProductivityDefault*('5. Scenarios'!$D$11-1)))</f>
        <v/>
      </c>
      <c r="O484" s="57" t="str">
        <f aca="false">IF($N484="","",INDEX(BookRate,479)*(1+'5. Scenarios'!$D$10)*$N484)</f>
        <v/>
      </c>
      <c r="P484" s="57" t="str">
        <f aca="false">IF($O484="","",SUMIFS($O$6:$O$2405,$A$6:$A$2405,"&lt;="&amp;$A484))</f>
        <v/>
      </c>
      <c r="Q484" s="57" t="str">
        <f aca="false">IF($O484="","",IF($P484&lt;=BankCostEnvelope*'5. Scenarios'!$D$7,1,0))</f>
        <v/>
      </c>
      <c r="R484" s="57" t="str">
        <f aca="false">IF($N484="","",INDEX(BookRate,479)*(1+'5. Scenarios'!$D$10)*(INDEX(BookQ1,479)*(5-MIN(4,1+'5. Scenarios'!$D$8))/4+INDEX(BookQ2,479)*(5-MIN(4,2+'5. Scenarios'!$D$8))/4+INDEX(BookQ3,479)*(5-MIN(4,3+'5. Scenarios'!$D$8))/4+INDEX(BookQ4,479)*(5-MIN(4,4+'5. Scenarios'!$D$8))/4)*'5. Scenarios'!$D$6/(1+ProductivityDefault*('5. Scenarios'!$D$11-1))+INDEX(BookOneOff,479)*$N484)</f>
        <v/>
      </c>
      <c r="S484" s="56" t="str">
        <f aca="false">IF(INDEX(BookTitle,479)="","",INDEX(BookTotal,479)*'5. Scenarios'!$E$6/(1+ProductivityDefault*('5. Scenarios'!$E$11-1)))</f>
        <v/>
      </c>
      <c r="T484" s="57" t="str">
        <f aca="false">IF($S484="","",INDEX(BookRate,479)*(1+'5. Scenarios'!$E$10)*$S484)</f>
        <v/>
      </c>
      <c r="U484" s="57" t="str">
        <f aca="false">IF($T484="","",SUMIFS($T$6:$T$2405,$A$6:$A$2405,"&lt;="&amp;$A484))</f>
        <v/>
      </c>
      <c r="V484" s="57" t="str">
        <f aca="false">IF($T484="","",IF($U484&lt;=BankCostEnvelope*'5. Scenarios'!$E$7,1,0))</f>
        <v/>
      </c>
      <c r="W484" s="57" t="str">
        <f aca="false">IF($S484="","",INDEX(BookRate,479)*(1+'5. Scenarios'!$E$10)*(INDEX(BookQ1,479)*(5-MIN(4,1+'5. Scenarios'!$E$8))/4+INDEX(BookQ2,479)*(5-MIN(4,2+'5. Scenarios'!$E$8))/4+INDEX(BookQ3,479)*(5-MIN(4,3+'5. Scenarios'!$E$8))/4+INDEX(BookQ4,479)*(5-MIN(4,4+'5. Scenarios'!$E$8))/4)*'5. Scenarios'!$E$6/(1+ProductivityDefault*('5. Scenarios'!$E$11-1))+INDEX(BookOneOff,479)*$S484)</f>
        <v/>
      </c>
    </row>
    <row r="485" customFormat="false" ht="15" hidden="false" customHeight="false" outlineLevel="0" collapsed="false">
      <c r="A485" s="0" t="str">
        <f aca="false">IF(INDEX(BookTitle,480)="","",INDEX(BookKey,480))</f>
        <v/>
      </c>
      <c r="B485" s="0" t="str">
        <f aca="false">IF(INDEX(BookTitle,480)="","",INDEX(BookGroup,480))</f>
        <v/>
      </c>
      <c r="C485" s="0" t="str">
        <f aca="false">IF(INDEX(BookTitle,480)="","",INDEX(BookCategory,480))</f>
        <v/>
      </c>
      <c r="D485" s="56" t="str">
        <f aca="false">IF(INDEX(BookTitle,480)="","",INDEX(BookTotal,480)*'5. Scenarios'!$B$6/(1+ProductivityDefault*('5. Scenarios'!$B$11-1)))</f>
        <v/>
      </c>
      <c r="E485" s="57" t="str">
        <f aca="false">IF($D485="","",INDEX(BookRate,480)*(1+'5. Scenarios'!$B$10)*$D485)</f>
        <v/>
      </c>
      <c r="F485" s="57" t="str">
        <f aca="false">IF($E485="","",SUMIFS($E$6:$E$2405,$A$6:$A$2405,"&lt;="&amp;$A485))</f>
        <v/>
      </c>
      <c r="G485" s="57" t="str">
        <f aca="false">IF($E485="","",IF($F485&lt;=BankCostEnvelope*'5. Scenarios'!$B$7,1,0))</f>
        <v/>
      </c>
      <c r="H485" s="57" t="str">
        <f aca="false">IF($D485="","",INDEX(BookRate,480)*(1+'5. Scenarios'!$B$10)*(INDEX(BookQ1,480)*(5-MIN(4,1+'5. Scenarios'!$B$8))/4+INDEX(BookQ2,480)*(5-MIN(4,2+'5. Scenarios'!$B$8))/4+INDEX(BookQ3,480)*(5-MIN(4,3+'5. Scenarios'!$B$8))/4+INDEX(BookQ4,480)*(5-MIN(4,4+'5. Scenarios'!$B$8))/4)*'5. Scenarios'!$B$6/(1+ProductivityDefault*('5. Scenarios'!$B$11-1))+INDEX(BookOneOff,480)*$D485)</f>
        <v/>
      </c>
      <c r="I485" s="56" t="str">
        <f aca="false">IF(INDEX(BookTitle,480)="","",INDEX(BookTotal,480)*'5. Scenarios'!$C$6/(1+ProductivityDefault*('5. Scenarios'!$C$11-1)))</f>
        <v/>
      </c>
      <c r="J485" s="57" t="str">
        <f aca="false">IF($I485="","",INDEX(BookRate,480)*(1+'5. Scenarios'!$C$10)*$I485)</f>
        <v/>
      </c>
      <c r="K485" s="57" t="str">
        <f aca="false">IF($J485="","",SUMIFS($J$6:$J$2405,$A$6:$A$2405,"&lt;="&amp;$A485))</f>
        <v/>
      </c>
      <c r="L485" s="57" t="str">
        <f aca="false">IF($J485="","",IF($K485&lt;=BankCostEnvelope*'5. Scenarios'!$C$7,1,0))</f>
        <v/>
      </c>
      <c r="M485" s="57" t="str">
        <f aca="false">IF($I485="","",INDEX(BookRate,480)*(1+'5. Scenarios'!$C$10)*(INDEX(BookQ1,480)*(5-MIN(4,1+'5. Scenarios'!$C$8))/4+INDEX(BookQ2,480)*(5-MIN(4,2+'5. Scenarios'!$C$8))/4+INDEX(BookQ3,480)*(5-MIN(4,3+'5. Scenarios'!$C$8))/4+INDEX(BookQ4,480)*(5-MIN(4,4+'5. Scenarios'!$C$8))/4)*'5. Scenarios'!$C$6/(1+ProductivityDefault*('5. Scenarios'!$C$11-1))+INDEX(BookOneOff,480)*$I485)</f>
        <v/>
      </c>
      <c r="N485" s="56" t="str">
        <f aca="false">IF(INDEX(BookTitle,480)="","",INDEX(BookTotal,480)*'5. Scenarios'!$D$6/(1+ProductivityDefault*('5. Scenarios'!$D$11-1)))</f>
        <v/>
      </c>
      <c r="O485" s="57" t="str">
        <f aca="false">IF($N485="","",INDEX(BookRate,480)*(1+'5. Scenarios'!$D$10)*$N485)</f>
        <v/>
      </c>
      <c r="P485" s="57" t="str">
        <f aca="false">IF($O485="","",SUMIFS($O$6:$O$2405,$A$6:$A$2405,"&lt;="&amp;$A485))</f>
        <v/>
      </c>
      <c r="Q485" s="57" t="str">
        <f aca="false">IF($O485="","",IF($P485&lt;=BankCostEnvelope*'5. Scenarios'!$D$7,1,0))</f>
        <v/>
      </c>
      <c r="R485" s="57" t="str">
        <f aca="false">IF($N485="","",INDEX(BookRate,480)*(1+'5. Scenarios'!$D$10)*(INDEX(BookQ1,480)*(5-MIN(4,1+'5. Scenarios'!$D$8))/4+INDEX(BookQ2,480)*(5-MIN(4,2+'5. Scenarios'!$D$8))/4+INDEX(BookQ3,480)*(5-MIN(4,3+'5. Scenarios'!$D$8))/4+INDEX(BookQ4,480)*(5-MIN(4,4+'5. Scenarios'!$D$8))/4)*'5. Scenarios'!$D$6/(1+ProductivityDefault*('5. Scenarios'!$D$11-1))+INDEX(BookOneOff,480)*$N485)</f>
        <v/>
      </c>
      <c r="S485" s="56" t="str">
        <f aca="false">IF(INDEX(BookTitle,480)="","",INDEX(BookTotal,480)*'5. Scenarios'!$E$6/(1+ProductivityDefault*('5. Scenarios'!$E$11-1)))</f>
        <v/>
      </c>
      <c r="T485" s="57" t="str">
        <f aca="false">IF($S485="","",INDEX(BookRate,480)*(1+'5. Scenarios'!$E$10)*$S485)</f>
        <v/>
      </c>
      <c r="U485" s="57" t="str">
        <f aca="false">IF($T485="","",SUMIFS($T$6:$T$2405,$A$6:$A$2405,"&lt;="&amp;$A485))</f>
        <v/>
      </c>
      <c r="V485" s="57" t="str">
        <f aca="false">IF($T485="","",IF($U485&lt;=BankCostEnvelope*'5. Scenarios'!$E$7,1,0))</f>
        <v/>
      </c>
      <c r="W485" s="57" t="str">
        <f aca="false">IF($S485="","",INDEX(BookRate,480)*(1+'5. Scenarios'!$E$10)*(INDEX(BookQ1,480)*(5-MIN(4,1+'5. Scenarios'!$E$8))/4+INDEX(BookQ2,480)*(5-MIN(4,2+'5. Scenarios'!$E$8))/4+INDEX(BookQ3,480)*(5-MIN(4,3+'5. Scenarios'!$E$8))/4+INDEX(BookQ4,480)*(5-MIN(4,4+'5. Scenarios'!$E$8))/4)*'5. Scenarios'!$E$6/(1+ProductivityDefault*('5. Scenarios'!$E$11-1))+INDEX(BookOneOff,480)*$S485)</f>
        <v/>
      </c>
    </row>
    <row r="486" customFormat="false" ht="15" hidden="false" customHeight="false" outlineLevel="0" collapsed="false">
      <c r="A486" s="0" t="str">
        <f aca="false">IF(INDEX(BookTitle,481)="","",INDEX(BookKey,481))</f>
        <v/>
      </c>
      <c r="B486" s="0" t="str">
        <f aca="false">IF(INDEX(BookTitle,481)="","",INDEX(BookGroup,481))</f>
        <v/>
      </c>
      <c r="C486" s="0" t="str">
        <f aca="false">IF(INDEX(BookTitle,481)="","",INDEX(BookCategory,481))</f>
        <v/>
      </c>
      <c r="D486" s="56" t="str">
        <f aca="false">IF(INDEX(BookTitle,481)="","",INDEX(BookTotal,481)*'5. Scenarios'!$B$6/(1+ProductivityDefault*('5. Scenarios'!$B$11-1)))</f>
        <v/>
      </c>
      <c r="E486" s="57" t="str">
        <f aca="false">IF($D486="","",INDEX(BookRate,481)*(1+'5. Scenarios'!$B$10)*$D486)</f>
        <v/>
      </c>
      <c r="F486" s="57" t="str">
        <f aca="false">IF($E486="","",SUMIFS($E$6:$E$2405,$A$6:$A$2405,"&lt;="&amp;$A486))</f>
        <v/>
      </c>
      <c r="G486" s="57" t="str">
        <f aca="false">IF($E486="","",IF($F486&lt;=BankCostEnvelope*'5. Scenarios'!$B$7,1,0))</f>
        <v/>
      </c>
      <c r="H486" s="57" t="str">
        <f aca="false">IF($D486="","",INDEX(BookRate,481)*(1+'5. Scenarios'!$B$10)*(INDEX(BookQ1,481)*(5-MIN(4,1+'5. Scenarios'!$B$8))/4+INDEX(BookQ2,481)*(5-MIN(4,2+'5. Scenarios'!$B$8))/4+INDEX(BookQ3,481)*(5-MIN(4,3+'5. Scenarios'!$B$8))/4+INDEX(BookQ4,481)*(5-MIN(4,4+'5. Scenarios'!$B$8))/4)*'5. Scenarios'!$B$6/(1+ProductivityDefault*('5. Scenarios'!$B$11-1))+INDEX(BookOneOff,481)*$D486)</f>
        <v/>
      </c>
      <c r="I486" s="56" t="str">
        <f aca="false">IF(INDEX(BookTitle,481)="","",INDEX(BookTotal,481)*'5. Scenarios'!$C$6/(1+ProductivityDefault*('5. Scenarios'!$C$11-1)))</f>
        <v/>
      </c>
      <c r="J486" s="57" t="str">
        <f aca="false">IF($I486="","",INDEX(BookRate,481)*(1+'5. Scenarios'!$C$10)*$I486)</f>
        <v/>
      </c>
      <c r="K486" s="57" t="str">
        <f aca="false">IF($J486="","",SUMIFS($J$6:$J$2405,$A$6:$A$2405,"&lt;="&amp;$A486))</f>
        <v/>
      </c>
      <c r="L486" s="57" t="str">
        <f aca="false">IF($J486="","",IF($K486&lt;=BankCostEnvelope*'5. Scenarios'!$C$7,1,0))</f>
        <v/>
      </c>
      <c r="M486" s="57" t="str">
        <f aca="false">IF($I486="","",INDEX(BookRate,481)*(1+'5. Scenarios'!$C$10)*(INDEX(BookQ1,481)*(5-MIN(4,1+'5. Scenarios'!$C$8))/4+INDEX(BookQ2,481)*(5-MIN(4,2+'5. Scenarios'!$C$8))/4+INDEX(BookQ3,481)*(5-MIN(4,3+'5. Scenarios'!$C$8))/4+INDEX(BookQ4,481)*(5-MIN(4,4+'5. Scenarios'!$C$8))/4)*'5. Scenarios'!$C$6/(1+ProductivityDefault*('5. Scenarios'!$C$11-1))+INDEX(BookOneOff,481)*$I486)</f>
        <v/>
      </c>
      <c r="N486" s="56" t="str">
        <f aca="false">IF(INDEX(BookTitle,481)="","",INDEX(BookTotal,481)*'5. Scenarios'!$D$6/(1+ProductivityDefault*('5. Scenarios'!$D$11-1)))</f>
        <v/>
      </c>
      <c r="O486" s="57" t="str">
        <f aca="false">IF($N486="","",INDEX(BookRate,481)*(1+'5. Scenarios'!$D$10)*$N486)</f>
        <v/>
      </c>
      <c r="P486" s="57" t="str">
        <f aca="false">IF($O486="","",SUMIFS($O$6:$O$2405,$A$6:$A$2405,"&lt;="&amp;$A486))</f>
        <v/>
      </c>
      <c r="Q486" s="57" t="str">
        <f aca="false">IF($O486="","",IF($P486&lt;=BankCostEnvelope*'5. Scenarios'!$D$7,1,0))</f>
        <v/>
      </c>
      <c r="R486" s="57" t="str">
        <f aca="false">IF($N486="","",INDEX(BookRate,481)*(1+'5. Scenarios'!$D$10)*(INDEX(BookQ1,481)*(5-MIN(4,1+'5. Scenarios'!$D$8))/4+INDEX(BookQ2,481)*(5-MIN(4,2+'5. Scenarios'!$D$8))/4+INDEX(BookQ3,481)*(5-MIN(4,3+'5. Scenarios'!$D$8))/4+INDEX(BookQ4,481)*(5-MIN(4,4+'5. Scenarios'!$D$8))/4)*'5. Scenarios'!$D$6/(1+ProductivityDefault*('5. Scenarios'!$D$11-1))+INDEX(BookOneOff,481)*$N486)</f>
        <v/>
      </c>
      <c r="S486" s="56" t="str">
        <f aca="false">IF(INDEX(BookTitle,481)="","",INDEX(BookTotal,481)*'5. Scenarios'!$E$6/(1+ProductivityDefault*('5. Scenarios'!$E$11-1)))</f>
        <v/>
      </c>
      <c r="T486" s="57" t="str">
        <f aca="false">IF($S486="","",INDEX(BookRate,481)*(1+'5. Scenarios'!$E$10)*$S486)</f>
        <v/>
      </c>
      <c r="U486" s="57" t="str">
        <f aca="false">IF($T486="","",SUMIFS($T$6:$T$2405,$A$6:$A$2405,"&lt;="&amp;$A486))</f>
        <v/>
      </c>
      <c r="V486" s="57" t="str">
        <f aca="false">IF($T486="","",IF($U486&lt;=BankCostEnvelope*'5. Scenarios'!$E$7,1,0))</f>
        <v/>
      </c>
      <c r="W486" s="57" t="str">
        <f aca="false">IF($S486="","",INDEX(BookRate,481)*(1+'5. Scenarios'!$E$10)*(INDEX(BookQ1,481)*(5-MIN(4,1+'5. Scenarios'!$E$8))/4+INDEX(BookQ2,481)*(5-MIN(4,2+'5. Scenarios'!$E$8))/4+INDEX(BookQ3,481)*(5-MIN(4,3+'5. Scenarios'!$E$8))/4+INDEX(BookQ4,481)*(5-MIN(4,4+'5. Scenarios'!$E$8))/4)*'5. Scenarios'!$E$6/(1+ProductivityDefault*('5. Scenarios'!$E$11-1))+INDEX(BookOneOff,481)*$S486)</f>
        <v/>
      </c>
    </row>
    <row r="487" customFormat="false" ht="15" hidden="false" customHeight="false" outlineLevel="0" collapsed="false">
      <c r="A487" s="0" t="str">
        <f aca="false">IF(INDEX(BookTitle,482)="","",INDEX(BookKey,482))</f>
        <v/>
      </c>
      <c r="B487" s="0" t="str">
        <f aca="false">IF(INDEX(BookTitle,482)="","",INDEX(BookGroup,482))</f>
        <v/>
      </c>
      <c r="C487" s="0" t="str">
        <f aca="false">IF(INDEX(BookTitle,482)="","",INDEX(BookCategory,482))</f>
        <v/>
      </c>
      <c r="D487" s="56" t="str">
        <f aca="false">IF(INDEX(BookTitle,482)="","",INDEX(BookTotal,482)*'5. Scenarios'!$B$6/(1+ProductivityDefault*('5. Scenarios'!$B$11-1)))</f>
        <v/>
      </c>
      <c r="E487" s="57" t="str">
        <f aca="false">IF($D487="","",INDEX(BookRate,482)*(1+'5. Scenarios'!$B$10)*$D487)</f>
        <v/>
      </c>
      <c r="F487" s="57" t="str">
        <f aca="false">IF($E487="","",SUMIFS($E$6:$E$2405,$A$6:$A$2405,"&lt;="&amp;$A487))</f>
        <v/>
      </c>
      <c r="G487" s="57" t="str">
        <f aca="false">IF($E487="","",IF($F487&lt;=BankCostEnvelope*'5. Scenarios'!$B$7,1,0))</f>
        <v/>
      </c>
      <c r="H487" s="57" t="str">
        <f aca="false">IF($D487="","",INDEX(BookRate,482)*(1+'5. Scenarios'!$B$10)*(INDEX(BookQ1,482)*(5-MIN(4,1+'5. Scenarios'!$B$8))/4+INDEX(BookQ2,482)*(5-MIN(4,2+'5. Scenarios'!$B$8))/4+INDEX(BookQ3,482)*(5-MIN(4,3+'5. Scenarios'!$B$8))/4+INDEX(BookQ4,482)*(5-MIN(4,4+'5. Scenarios'!$B$8))/4)*'5. Scenarios'!$B$6/(1+ProductivityDefault*('5. Scenarios'!$B$11-1))+INDEX(BookOneOff,482)*$D487)</f>
        <v/>
      </c>
      <c r="I487" s="56" t="str">
        <f aca="false">IF(INDEX(BookTitle,482)="","",INDEX(BookTotal,482)*'5. Scenarios'!$C$6/(1+ProductivityDefault*('5. Scenarios'!$C$11-1)))</f>
        <v/>
      </c>
      <c r="J487" s="57" t="str">
        <f aca="false">IF($I487="","",INDEX(BookRate,482)*(1+'5. Scenarios'!$C$10)*$I487)</f>
        <v/>
      </c>
      <c r="K487" s="57" t="str">
        <f aca="false">IF($J487="","",SUMIFS($J$6:$J$2405,$A$6:$A$2405,"&lt;="&amp;$A487))</f>
        <v/>
      </c>
      <c r="L487" s="57" t="str">
        <f aca="false">IF($J487="","",IF($K487&lt;=BankCostEnvelope*'5. Scenarios'!$C$7,1,0))</f>
        <v/>
      </c>
      <c r="M487" s="57" t="str">
        <f aca="false">IF($I487="","",INDEX(BookRate,482)*(1+'5. Scenarios'!$C$10)*(INDEX(BookQ1,482)*(5-MIN(4,1+'5. Scenarios'!$C$8))/4+INDEX(BookQ2,482)*(5-MIN(4,2+'5. Scenarios'!$C$8))/4+INDEX(BookQ3,482)*(5-MIN(4,3+'5. Scenarios'!$C$8))/4+INDEX(BookQ4,482)*(5-MIN(4,4+'5. Scenarios'!$C$8))/4)*'5. Scenarios'!$C$6/(1+ProductivityDefault*('5. Scenarios'!$C$11-1))+INDEX(BookOneOff,482)*$I487)</f>
        <v/>
      </c>
      <c r="N487" s="56" t="str">
        <f aca="false">IF(INDEX(BookTitle,482)="","",INDEX(BookTotal,482)*'5. Scenarios'!$D$6/(1+ProductivityDefault*('5. Scenarios'!$D$11-1)))</f>
        <v/>
      </c>
      <c r="O487" s="57" t="str">
        <f aca="false">IF($N487="","",INDEX(BookRate,482)*(1+'5. Scenarios'!$D$10)*$N487)</f>
        <v/>
      </c>
      <c r="P487" s="57" t="str">
        <f aca="false">IF($O487="","",SUMIFS($O$6:$O$2405,$A$6:$A$2405,"&lt;="&amp;$A487))</f>
        <v/>
      </c>
      <c r="Q487" s="57" t="str">
        <f aca="false">IF($O487="","",IF($P487&lt;=BankCostEnvelope*'5. Scenarios'!$D$7,1,0))</f>
        <v/>
      </c>
      <c r="R487" s="57" t="str">
        <f aca="false">IF($N487="","",INDEX(BookRate,482)*(1+'5. Scenarios'!$D$10)*(INDEX(BookQ1,482)*(5-MIN(4,1+'5. Scenarios'!$D$8))/4+INDEX(BookQ2,482)*(5-MIN(4,2+'5. Scenarios'!$D$8))/4+INDEX(BookQ3,482)*(5-MIN(4,3+'5. Scenarios'!$D$8))/4+INDEX(BookQ4,482)*(5-MIN(4,4+'5. Scenarios'!$D$8))/4)*'5. Scenarios'!$D$6/(1+ProductivityDefault*('5. Scenarios'!$D$11-1))+INDEX(BookOneOff,482)*$N487)</f>
        <v/>
      </c>
      <c r="S487" s="56" t="str">
        <f aca="false">IF(INDEX(BookTitle,482)="","",INDEX(BookTotal,482)*'5. Scenarios'!$E$6/(1+ProductivityDefault*('5. Scenarios'!$E$11-1)))</f>
        <v/>
      </c>
      <c r="T487" s="57" t="str">
        <f aca="false">IF($S487="","",INDEX(BookRate,482)*(1+'5. Scenarios'!$E$10)*$S487)</f>
        <v/>
      </c>
      <c r="U487" s="57" t="str">
        <f aca="false">IF($T487="","",SUMIFS($T$6:$T$2405,$A$6:$A$2405,"&lt;="&amp;$A487))</f>
        <v/>
      </c>
      <c r="V487" s="57" t="str">
        <f aca="false">IF($T487="","",IF($U487&lt;=BankCostEnvelope*'5. Scenarios'!$E$7,1,0))</f>
        <v/>
      </c>
      <c r="W487" s="57" t="str">
        <f aca="false">IF($S487="","",INDEX(BookRate,482)*(1+'5. Scenarios'!$E$10)*(INDEX(BookQ1,482)*(5-MIN(4,1+'5. Scenarios'!$E$8))/4+INDEX(BookQ2,482)*(5-MIN(4,2+'5. Scenarios'!$E$8))/4+INDEX(BookQ3,482)*(5-MIN(4,3+'5. Scenarios'!$E$8))/4+INDEX(BookQ4,482)*(5-MIN(4,4+'5. Scenarios'!$E$8))/4)*'5. Scenarios'!$E$6/(1+ProductivityDefault*('5. Scenarios'!$E$11-1))+INDEX(BookOneOff,482)*$S487)</f>
        <v/>
      </c>
    </row>
    <row r="488" customFormat="false" ht="15" hidden="false" customHeight="false" outlineLevel="0" collapsed="false">
      <c r="A488" s="0" t="str">
        <f aca="false">IF(INDEX(BookTitle,483)="","",INDEX(BookKey,483))</f>
        <v/>
      </c>
      <c r="B488" s="0" t="str">
        <f aca="false">IF(INDEX(BookTitle,483)="","",INDEX(BookGroup,483))</f>
        <v/>
      </c>
      <c r="C488" s="0" t="str">
        <f aca="false">IF(INDEX(BookTitle,483)="","",INDEX(BookCategory,483))</f>
        <v/>
      </c>
      <c r="D488" s="56" t="str">
        <f aca="false">IF(INDEX(BookTitle,483)="","",INDEX(BookTotal,483)*'5. Scenarios'!$B$6/(1+ProductivityDefault*('5. Scenarios'!$B$11-1)))</f>
        <v/>
      </c>
      <c r="E488" s="57" t="str">
        <f aca="false">IF($D488="","",INDEX(BookRate,483)*(1+'5. Scenarios'!$B$10)*$D488)</f>
        <v/>
      </c>
      <c r="F488" s="57" t="str">
        <f aca="false">IF($E488="","",SUMIFS($E$6:$E$2405,$A$6:$A$2405,"&lt;="&amp;$A488))</f>
        <v/>
      </c>
      <c r="G488" s="57" t="str">
        <f aca="false">IF($E488="","",IF($F488&lt;=BankCostEnvelope*'5. Scenarios'!$B$7,1,0))</f>
        <v/>
      </c>
      <c r="H488" s="57" t="str">
        <f aca="false">IF($D488="","",INDEX(BookRate,483)*(1+'5. Scenarios'!$B$10)*(INDEX(BookQ1,483)*(5-MIN(4,1+'5. Scenarios'!$B$8))/4+INDEX(BookQ2,483)*(5-MIN(4,2+'5. Scenarios'!$B$8))/4+INDEX(BookQ3,483)*(5-MIN(4,3+'5. Scenarios'!$B$8))/4+INDEX(BookQ4,483)*(5-MIN(4,4+'5. Scenarios'!$B$8))/4)*'5. Scenarios'!$B$6/(1+ProductivityDefault*('5. Scenarios'!$B$11-1))+INDEX(BookOneOff,483)*$D488)</f>
        <v/>
      </c>
      <c r="I488" s="56" t="str">
        <f aca="false">IF(INDEX(BookTitle,483)="","",INDEX(BookTotal,483)*'5. Scenarios'!$C$6/(1+ProductivityDefault*('5. Scenarios'!$C$11-1)))</f>
        <v/>
      </c>
      <c r="J488" s="57" t="str">
        <f aca="false">IF($I488="","",INDEX(BookRate,483)*(1+'5. Scenarios'!$C$10)*$I488)</f>
        <v/>
      </c>
      <c r="K488" s="57" t="str">
        <f aca="false">IF($J488="","",SUMIFS($J$6:$J$2405,$A$6:$A$2405,"&lt;="&amp;$A488))</f>
        <v/>
      </c>
      <c r="L488" s="57" t="str">
        <f aca="false">IF($J488="","",IF($K488&lt;=BankCostEnvelope*'5. Scenarios'!$C$7,1,0))</f>
        <v/>
      </c>
      <c r="M488" s="57" t="str">
        <f aca="false">IF($I488="","",INDEX(BookRate,483)*(1+'5. Scenarios'!$C$10)*(INDEX(BookQ1,483)*(5-MIN(4,1+'5. Scenarios'!$C$8))/4+INDEX(BookQ2,483)*(5-MIN(4,2+'5. Scenarios'!$C$8))/4+INDEX(BookQ3,483)*(5-MIN(4,3+'5. Scenarios'!$C$8))/4+INDEX(BookQ4,483)*(5-MIN(4,4+'5. Scenarios'!$C$8))/4)*'5. Scenarios'!$C$6/(1+ProductivityDefault*('5. Scenarios'!$C$11-1))+INDEX(BookOneOff,483)*$I488)</f>
        <v/>
      </c>
      <c r="N488" s="56" t="str">
        <f aca="false">IF(INDEX(BookTitle,483)="","",INDEX(BookTotal,483)*'5. Scenarios'!$D$6/(1+ProductivityDefault*('5. Scenarios'!$D$11-1)))</f>
        <v/>
      </c>
      <c r="O488" s="57" t="str">
        <f aca="false">IF($N488="","",INDEX(BookRate,483)*(1+'5. Scenarios'!$D$10)*$N488)</f>
        <v/>
      </c>
      <c r="P488" s="57" t="str">
        <f aca="false">IF($O488="","",SUMIFS($O$6:$O$2405,$A$6:$A$2405,"&lt;="&amp;$A488))</f>
        <v/>
      </c>
      <c r="Q488" s="57" t="str">
        <f aca="false">IF($O488="","",IF($P488&lt;=BankCostEnvelope*'5. Scenarios'!$D$7,1,0))</f>
        <v/>
      </c>
      <c r="R488" s="57" t="str">
        <f aca="false">IF($N488="","",INDEX(BookRate,483)*(1+'5. Scenarios'!$D$10)*(INDEX(BookQ1,483)*(5-MIN(4,1+'5. Scenarios'!$D$8))/4+INDEX(BookQ2,483)*(5-MIN(4,2+'5. Scenarios'!$D$8))/4+INDEX(BookQ3,483)*(5-MIN(4,3+'5. Scenarios'!$D$8))/4+INDEX(BookQ4,483)*(5-MIN(4,4+'5. Scenarios'!$D$8))/4)*'5. Scenarios'!$D$6/(1+ProductivityDefault*('5. Scenarios'!$D$11-1))+INDEX(BookOneOff,483)*$N488)</f>
        <v/>
      </c>
      <c r="S488" s="56" t="str">
        <f aca="false">IF(INDEX(BookTitle,483)="","",INDEX(BookTotal,483)*'5. Scenarios'!$E$6/(1+ProductivityDefault*('5. Scenarios'!$E$11-1)))</f>
        <v/>
      </c>
      <c r="T488" s="57" t="str">
        <f aca="false">IF($S488="","",INDEX(BookRate,483)*(1+'5. Scenarios'!$E$10)*$S488)</f>
        <v/>
      </c>
      <c r="U488" s="57" t="str">
        <f aca="false">IF($T488="","",SUMIFS($T$6:$T$2405,$A$6:$A$2405,"&lt;="&amp;$A488))</f>
        <v/>
      </c>
      <c r="V488" s="57" t="str">
        <f aca="false">IF($T488="","",IF($U488&lt;=BankCostEnvelope*'5. Scenarios'!$E$7,1,0))</f>
        <v/>
      </c>
      <c r="W488" s="57" t="str">
        <f aca="false">IF($S488="","",INDEX(BookRate,483)*(1+'5. Scenarios'!$E$10)*(INDEX(BookQ1,483)*(5-MIN(4,1+'5. Scenarios'!$E$8))/4+INDEX(BookQ2,483)*(5-MIN(4,2+'5. Scenarios'!$E$8))/4+INDEX(BookQ3,483)*(5-MIN(4,3+'5. Scenarios'!$E$8))/4+INDEX(BookQ4,483)*(5-MIN(4,4+'5. Scenarios'!$E$8))/4)*'5. Scenarios'!$E$6/(1+ProductivityDefault*('5. Scenarios'!$E$11-1))+INDEX(BookOneOff,483)*$S488)</f>
        <v/>
      </c>
    </row>
    <row r="489" customFormat="false" ht="15" hidden="false" customHeight="false" outlineLevel="0" collapsed="false">
      <c r="A489" s="0" t="str">
        <f aca="false">IF(INDEX(BookTitle,484)="","",INDEX(BookKey,484))</f>
        <v/>
      </c>
      <c r="B489" s="0" t="str">
        <f aca="false">IF(INDEX(BookTitle,484)="","",INDEX(BookGroup,484))</f>
        <v/>
      </c>
      <c r="C489" s="0" t="str">
        <f aca="false">IF(INDEX(BookTitle,484)="","",INDEX(BookCategory,484))</f>
        <v/>
      </c>
      <c r="D489" s="56" t="str">
        <f aca="false">IF(INDEX(BookTitle,484)="","",INDEX(BookTotal,484)*'5. Scenarios'!$B$6/(1+ProductivityDefault*('5. Scenarios'!$B$11-1)))</f>
        <v/>
      </c>
      <c r="E489" s="57" t="str">
        <f aca="false">IF($D489="","",INDEX(BookRate,484)*(1+'5. Scenarios'!$B$10)*$D489)</f>
        <v/>
      </c>
      <c r="F489" s="57" t="str">
        <f aca="false">IF($E489="","",SUMIFS($E$6:$E$2405,$A$6:$A$2405,"&lt;="&amp;$A489))</f>
        <v/>
      </c>
      <c r="G489" s="57" t="str">
        <f aca="false">IF($E489="","",IF($F489&lt;=BankCostEnvelope*'5. Scenarios'!$B$7,1,0))</f>
        <v/>
      </c>
      <c r="H489" s="57" t="str">
        <f aca="false">IF($D489="","",INDEX(BookRate,484)*(1+'5. Scenarios'!$B$10)*(INDEX(BookQ1,484)*(5-MIN(4,1+'5. Scenarios'!$B$8))/4+INDEX(BookQ2,484)*(5-MIN(4,2+'5. Scenarios'!$B$8))/4+INDEX(BookQ3,484)*(5-MIN(4,3+'5. Scenarios'!$B$8))/4+INDEX(BookQ4,484)*(5-MIN(4,4+'5. Scenarios'!$B$8))/4)*'5. Scenarios'!$B$6/(1+ProductivityDefault*('5. Scenarios'!$B$11-1))+INDEX(BookOneOff,484)*$D489)</f>
        <v/>
      </c>
      <c r="I489" s="56" t="str">
        <f aca="false">IF(INDEX(BookTitle,484)="","",INDEX(BookTotal,484)*'5. Scenarios'!$C$6/(1+ProductivityDefault*('5. Scenarios'!$C$11-1)))</f>
        <v/>
      </c>
      <c r="J489" s="57" t="str">
        <f aca="false">IF($I489="","",INDEX(BookRate,484)*(1+'5. Scenarios'!$C$10)*$I489)</f>
        <v/>
      </c>
      <c r="K489" s="57" t="str">
        <f aca="false">IF($J489="","",SUMIFS($J$6:$J$2405,$A$6:$A$2405,"&lt;="&amp;$A489))</f>
        <v/>
      </c>
      <c r="L489" s="57" t="str">
        <f aca="false">IF($J489="","",IF($K489&lt;=BankCostEnvelope*'5. Scenarios'!$C$7,1,0))</f>
        <v/>
      </c>
      <c r="M489" s="57" t="str">
        <f aca="false">IF($I489="","",INDEX(BookRate,484)*(1+'5. Scenarios'!$C$10)*(INDEX(BookQ1,484)*(5-MIN(4,1+'5. Scenarios'!$C$8))/4+INDEX(BookQ2,484)*(5-MIN(4,2+'5. Scenarios'!$C$8))/4+INDEX(BookQ3,484)*(5-MIN(4,3+'5. Scenarios'!$C$8))/4+INDEX(BookQ4,484)*(5-MIN(4,4+'5. Scenarios'!$C$8))/4)*'5. Scenarios'!$C$6/(1+ProductivityDefault*('5. Scenarios'!$C$11-1))+INDEX(BookOneOff,484)*$I489)</f>
        <v/>
      </c>
      <c r="N489" s="56" t="str">
        <f aca="false">IF(INDEX(BookTitle,484)="","",INDEX(BookTotal,484)*'5. Scenarios'!$D$6/(1+ProductivityDefault*('5. Scenarios'!$D$11-1)))</f>
        <v/>
      </c>
      <c r="O489" s="57" t="str">
        <f aca="false">IF($N489="","",INDEX(BookRate,484)*(1+'5. Scenarios'!$D$10)*$N489)</f>
        <v/>
      </c>
      <c r="P489" s="57" t="str">
        <f aca="false">IF($O489="","",SUMIFS($O$6:$O$2405,$A$6:$A$2405,"&lt;="&amp;$A489))</f>
        <v/>
      </c>
      <c r="Q489" s="57" t="str">
        <f aca="false">IF($O489="","",IF($P489&lt;=BankCostEnvelope*'5. Scenarios'!$D$7,1,0))</f>
        <v/>
      </c>
      <c r="R489" s="57" t="str">
        <f aca="false">IF($N489="","",INDEX(BookRate,484)*(1+'5. Scenarios'!$D$10)*(INDEX(BookQ1,484)*(5-MIN(4,1+'5. Scenarios'!$D$8))/4+INDEX(BookQ2,484)*(5-MIN(4,2+'5. Scenarios'!$D$8))/4+INDEX(BookQ3,484)*(5-MIN(4,3+'5. Scenarios'!$D$8))/4+INDEX(BookQ4,484)*(5-MIN(4,4+'5. Scenarios'!$D$8))/4)*'5. Scenarios'!$D$6/(1+ProductivityDefault*('5. Scenarios'!$D$11-1))+INDEX(BookOneOff,484)*$N489)</f>
        <v/>
      </c>
      <c r="S489" s="56" t="str">
        <f aca="false">IF(INDEX(BookTitle,484)="","",INDEX(BookTotal,484)*'5. Scenarios'!$E$6/(1+ProductivityDefault*('5. Scenarios'!$E$11-1)))</f>
        <v/>
      </c>
      <c r="T489" s="57" t="str">
        <f aca="false">IF($S489="","",INDEX(BookRate,484)*(1+'5. Scenarios'!$E$10)*$S489)</f>
        <v/>
      </c>
      <c r="U489" s="57" t="str">
        <f aca="false">IF($T489="","",SUMIFS($T$6:$T$2405,$A$6:$A$2405,"&lt;="&amp;$A489))</f>
        <v/>
      </c>
      <c r="V489" s="57" t="str">
        <f aca="false">IF($T489="","",IF($U489&lt;=BankCostEnvelope*'5. Scenarios'!$E$7,1,0))</f>
        <v/>
      </c>
      <c r="W489" s="57" t="str">
        <f aca="false">IF($S489="","",INDEX(BookRate,484)*(1+'5. Scenarios'!$E$10)*(INDEX(BookQ1,484)*(5-MIN(4,1+'5. Scenarios'!$E$8))/4+INDEX(BookQ2,484)*(5-MIN(4,2+'5. Scenarios'!$E$8))/4+INDEX(BookQ3,484)*(5-MIN(4,3+'5. Scenarios'!$E$8))/4+INDEX(BookQ4,484)*(5-MIN(4,4+'5. Scenarios'!$E$8))/4)*'5. Scenarios'!$E$6/(1+ProductivityDefault*('5. Scenarios'!$E$11-1))+INDEX(BookOneOff,484)*$S489)</f>
        <v/>
      </c>
    </row>
    <row r="490" customFormat="false" ht="15" hidden="false" customHeight="false" outlineLevel="0" collapsed="false">
      <c r="A490" s="0" t="str">
        <f aca="false">IF(INDEX(BookTitle,485)="","",INDEX(BookKey,485))</f>
        <v/>
      </c>
      <c r="B490" s="0" t="str">
        <f aca="false">IF(INDEX(BookTitle,485)="","",INDEX(BookGroup,485))</f>
        <v/>
      </c>
      <c r="C490" s="0" t="str">
        <f aca="false">IF(INDEX(BookTitle,485)="","",INDEX(BookCategory,485))</f>
        <v/>
      </c>
      <c r="D490" s="56" t="str">
        <f aca="false">IF(INDEX(BookTitle,485)="","",INDEX(BookTotal,485)*'5. Scenarios'!$B$6/(1+ProductivityDefault*('5. Scenarios'!$B$11-1)))</f>
        <v/>
      </c>
      <c r="E490" s="57" t="str">
        <f aca="false">IF($D490="","",INDEX(BookRate,485)*(1+'5. Scenarios'!$B$10)*$D490)</f>
        <v/>
      </c>
      <c r="F490" s="57" t="str">
        <f aca="false">IF($E490="","",SUMIFS($E$6:$E$2405,$A$6:$A$2405,"&lt;="&amp;$A490))</f>
        <v/>
      </c>
      <c r="G490" s="57" t="str">
        <f aca="false">IF($E490="","",IF($F490&lt;=BankCostEnvelope*'5. Scenarios'!$B$7,1,0))</f>
        <v/>
      </c>
      <c r="H490" s="57" t="str">
        <f aca="false">IF($D490="","",INDEX(BookRate,485)*(1+'5. Scenarios'!$B$10)*(INDEX(BookQ1,485)*(5-MIN(4,1+'5. Scenarios'!$B$8))/4+INDEX(BookQ2,485)*(5-MIN(4,2+'5. Scenarios'!$B$8))/4+INDEX(BookQ3,485)*(5-MIN(4,3+'5. Scenarios'!$B$8))/4+INDEX(BookQ4,485)*(5-MIN(4,4+'5. Scenarios'!$B$8))/4)*'5. Scenarios'!$B$6/(1+ProductivityDefault*('5. Scenarios'!$B$11-1))+INDEX(BookOneOff,485)*$D490)</f>
        <v/>
      </c>
      <c r="I490" s="56" t="str">
        <f aca="false">IF(INDEX(BookTitle,485)="","",INDEX(BookTotal,485)*'5. Scenarios'!$C$6/(1+ProductivityDefault*('5. Scenarios'!$C$11-1)))</f>
        <v/>
      </c>
      <c r="J490" s="57" t="str">
        <f aca="false">IF($I490="","",INDEX(BookRate,485)*(1+'5. Scenarios'!$C$10)*$I490)</f>
        <v/>
      </c>
      <c r="K490" s="57" t="str">
        <f aca="false">IF($J490="","",SUMIFS($J$6:$J$2405,$A$6:$A$2405,"&lt;="&amp;$A490))</f>
        <v/>
      </c>
      <c r="L490" s="57" t="str">
        <f aca="false">IF($J490="","",IF($K490&lt;=BankCostEnvelope*'5. Scenarios'!$C$7,1,0))</f>
        <v/>
      </c>
      <c r="M490" s="57" t="str">
        <f aca="false">IF($I490="","",INDEX(BookRate,485)*(1+'5. Scenarios'!$C$10)*(INDEX(BookQ1,485)*(5-MIN(4,1+'5. Scenarios'!$C$8))/4+INDEX(BookQ2,485)*(5-MIN(4,2+'5. Scenarios'!$C$8))/4+INDEX(BookQ3,485)*(5-MIN(4,3+'5. Scenarios'!$C$8))/4+INDEX(BookQ4,485)*(5-MIN(4,4+'5. Scenarios'!$C$8))/4)*'5. Scenarios'!$C$6/(1+ProductivityDefault*('5. Scenarios'!$C$11-1))+INDEX(BookOneOff,485)*$I490)</f>
        <v/>
      </c>
      <c r="N490" s="56" t="str">
        <f aca="false">IF(INDEX(BookTitle,485)="","",INDEX(BookTotal,485)*'5. Scenarios'!$D$6/(1+ProductivityDefault*('5. Scenarios'!$D$11-1)))</f>
        <v/>
      </c>
      <c r="O490" s="57" t="str">
        <f aca="false">IF($N490="","",INDEX(BookRate,485)*(1+'5. Scenarios'!$D$10)*$N490)</f>
        <v/>
      </c>
      <c r="P490" s="57" t="str">
        <f aca="false">IF($O490="","",SUMIFS($O$6:$O$2405,$A$6:$A$2405,"&lt;="&amp;$A490))</f>
        <v/>
      </c>
      <c r="Q490" s="57" t="str">
        <f aca="false">IF($O490="","",IF($P490&lt;=BankCostEnvelope*'5. Scenarios'!$D$7,1,0))</f>
        <v/>
      </c>
      <c r="R490" s="57" t="str">
        <f aca="false">IF($N490="","",INDEX(BookRate,485)*(1+'5. Scenarios'!$D$10)*(INDEX(BookQ1,485)*(5-MIN(4,1+'5. Scenarios'!$D$8))/4+INDEX(BookQ2,485)*(5-MIN(4,2+'5. Scenarios'!$D$8))/4+INDEX(BookQ3,485)*(5-MIN(4,3+'5. Scenarios'!$D$8))/4+INDEX(BookQ4,485)*(5-MIN(4,4+'5. Scenarios'!$D$8))/4)*'5. Scenarios'!$D$6/(1+ProductivityDefault*('5. Scenarios'!$D$11-1))+INDEX(BookOneOff,485)*$N490)</f>
        <v/>
      </c>
      <c r="S490" s="56" t="str">
        <f aca="false">IF(INDEX(BookTitle,485)="","",INDEX(BookTotal,485)*'5. Scenarios'!$E$6/(1+ProductivityDefault*('5. Scenarios'!$E$11-1)))</f>
        <v/>
      </c>
      <c r="T490" s="57" t="str">
        <f aca="false">IF($S490="","",INDEX(BookRate,485)*(1+'5. Scenarios'!$E$10)*$S490)</f>
        <v/>
      </c>
      <c r="U490" s="57" t="str">
        <f aca="false">IF($T490="","",SUMIFS($T$6:$T$2405,$A$6:$A$2405,"&lt;="&amp;$A490))</f>
        <v/>
      </c>
      <c r="V490" s="57" t="str">
        <f aca="false">IF($T490="","",IF($U490&lt;=BankCostEnvelope*'5. Scenarios'!$E$7,1,0))</f>
        <v/>
      </c>
      <c r="W490" s="57" t="str">
        <f aca="false">IF($S490="","",INDEX(BookRate,485)*(1+'5. Scenarios'!$E$10)*(INDEX(BookQ1,485)*(5-MIN(4,1+'5. Scenarios'!$E$8))/4+INDEX(BookQ2,485)*(5-MIN(4,2+'5. Scenarios'!$E$8))/4+INDEX(BookQ3,485)*(5-MIN(4,3+'5. Scenarios'!$E$8))/4+INDEX(BookQ4,485)*(5-MIN(4,4+'5. Scenarios'!$E$8))/4)*'5. Scenarios'!$E$6/(1+ProductivityDefault*('5. Scenarios'!$E$11-1))+INDEX(BookOneOff,485)*$S490)</f>
        <v/>
      </c>
    </row>
    <row r="491" customFormat="false" ht="15" hidden="false" customHeight="false" outlineLevel="0" collapsed="false">
      <c r="A491" s="0" t="str">
        <f aca="false">IF(INDEX(BookTitle,486)="","",INDEX(BookKey,486))</f>
        <v/>
      </c>
      <c r="B491" s="0" t="str">
        <f aca="false">IF(INDEX(BookTitle,486)="","",INDEX(BookGroup,486))</f>
        <v/>
      </c>
      <c r="C491" s="0" t="str">
        <f aca="false">IF(INDEX(BookTitle,486)="","",INDEX(BookCategory,486))</f>
        <v/>
      </c>
      <c r="D491" s="56" t="str">
        <f aca="false">IF(INDEX(BookTitle,486)="","",INDEX(BookTotal,486)*'5. Scenarios'!$B$6/(1+ProductivityDefault*('5. Scenarios'!$B$11-1)))</f>
        <v/>
      </c>
      <c r="E491" s="57" t="str">
        <f aca="false">IF($D491="","",INDEX(BookRate,486)*(1+'5. Scenarios'!$B$10)*$D491)</f>
        <v/>
      </c>
      <c r="F491" s="57" t="str">
        <f aca="false">IF($E491="","",SUMIFS($E$6:$E$2405,$A$6:$A$2405,"&lt;="&amp;$A491))</f>
        <v/>
      </c>
      <c r="G491" s="57" t="str">
        <f aca="false">IF($E491="","",IF($F491&lt;=BankCostEnvelope*'5. Scenarios'!$B$7,1,0))</f>
        <v/>
      </c>
      <c r="H491" s="57" t="str">
        <f aca="false">IF($D491="","",INDEX(BookRate,486)*(1+'5. Scenarios'!$B$10)*(INDEX(BookQ1,486)*(5-MIN(4,1+'5. Scenarios'!$B$8))/4+INDEX(BookQ2,486)*(5-MIN(4,2+'5. Scenarios'!$B$8))/4+INDEX(BookQ3,486)*(5-MIN(4,3+'5. Scenarios'!$B$8))/4+INDEX(BookQ4,486)*(5-MIN(4,4+'5. Scenarios'!$B$8))/4)*'5. Scenarios'!$B$6/(1+ProductivityDefault*('5. Scenarios'!$B$11-1))+INDEX(BookOneOff,486)*$D491)</f>
        <v/>
      </c>
      <c r="I491" s="56" t="str">
        <f aca="false">IF(INDEX(BookTitle,486)="","",INDEX(BookTotal,486)*'5. Scenarios'!$C$6/(1+ProductivityDefault*('5. Scenarios'!$C$11-1)))</f>
        <v/>
      </c>
      <c r="J491" s="57" t="str">
        <f aca="false">IF($I491="","",INDEX(BookRate,486)*(1+'5. Scenarios'!$C$10)*$I491)</f>
        <v/>
      </c>
      <c r="K491" s="57" t="str">
        <f aca="false">IF($J491="","",SUMIFS($J$6:$J$2405,$A$6:$A$2405,"&lt;="&amp;$A491))</f>
        <v/>
      </c>
      <c r="L491" s="57" t="str">
        <f aca="false">IF($J491="","",IF($K491&lt;=BankCostEnvelope*'5. Scenarios'!$C$7,1,0))</f>
        <v/>
      </c>
      <c r="M491" s="57" t="str">
        <f aca="false">IF($I491="","",INDEX(BookRate,486)*(1+'5. Scenarios'!$C$10)*(INDEX(BookQ1,486)*(5-MIN(4,1+'5. Scenarios'!$C$8))/4+INDEX(BookQ2,486)*(5-MIN(4,2+'5. Scenarios'!$C$8))/4+INDEX(BookQ3,486)*(5-MIN(4,3+'5. Scenarios'!$C$8))/4+INDEX(BookQ4,486)*(5-MIN(4,4+'5. Scenarios'!$C$8))/4)*'5. Scenarios'!$C$6/(1+ProductivityDefault*('5. Scenarios'!$C$11-1))+INDEX(BookOneOff,486)*$I491)</f>
        <v/>
      </c>
      <c r="N491" s="56" t="str">
        <f aca="false">IF(INDEX(BookTitle,486)="","",INDEX(BookTotal,486)*'5. Scenarios'!$D$6/(1+ProductivityDefault*('5. Scenarios'!$D$11-1)))</f>
        <v/>
      </c>
      <c r="O491" s="57" t="str">
        <f aca="false">IF($N491="","",INDEX(BookRate,486)*(1+'5. Scenarios'!$D$10)*$N491)</f>
        <v/>
      </c>
      <c r="P491" s="57" t="str">
        <f aca="false">IF($O491="","",SUMIFS($O$6:$O$2405,$A$6:$A$2405,"&lt;="&amp;$A491))</f>
        <v/>
      </c>
      <c r="Q491" s="57" t="str">
        <f aca="false">IF($O491="","",IF($P491&lt;=BankCostEnvelope*'5. Scenarios'!$D$7,1,0))</f>
        <v/>
      </c>
      <c r="R491" s="57" t="str">
        <f aca="false">IF($N491="","",INDEX(BookRate,486)*(1+'5. Scenarios'!$D$10)*(INDEX(BookQ1,486)*(5-MIN(4,1+'5. Scenarios'!$D$8))/4+INDEX(BookQ2,486)*(5-MIN(4,2+'5. Scenarios'!$D$8))/4+INDEX(BookQ3,486)*(5-MIN(4,3+'5. Scenarios'!$D$8))/4+INDEX(BookQ4,486)*(5-MIN(4,4+'5. Scenarios'!$D$8))/4)*'5. Scenarios'!$D$6/(1+ProductivityDefault*('5. Scenarios'!$D$11-1))+INDEX(BookOneOff,486)*$N491)</f>
        <v/>
      </c>
      <c r="S491" s="56" t="str">
        <f aca="false">IF(INDEX(BookTitle,486)="","",INDEX(BookTotal,486)*'5. Scenarios'!$E$6/(1+ProductivityDefault*('5. Scenarios'!$E$11-1)))</f>
        <v/>
      </c>
      <c r="T491" s="57" t="str">
        <f aca="false">IF($S491="","",INDEX(BookRate,486)*(1+'5. Scenarios'!$E$10)*$S491)</f>
        <v/>
      </c>
      <c r="U491" s="57" t="str">
        <f aca="false">IF($T491="","",SUMIFS($T$6:$T$2405,$A$6:$A$2405,"&lt;="&amp;$A491))</f>
        <v/>
      </c>
      <c r="V491" s="57" t="str">
        <f aca="false">IF($T491="","",IF($U491&lt;=BankCostEnvelope*'5. Scenarios'!$E$7,1,0))</f>
        <v/>
      </c>
      <c r="W491" s="57" t="str">
        <f aca="false">IF($S491="","",INDEX(BookRate,486)*(1+'5. Scenarios'!$E$10)*(INDEX(BookQ1,486)*(5-MIN(4,1+'5. Scenarios'!$E$8))/4+INDEX(BookQ2,486)*(5-MIN(4,2+'5. Scenarios'!$E$8))/4+INDEX(BookQ3,486)*(5-MIN(4,3+'5. Scenarios'!$E$8))/4+INDEX(BookQ4,486)*(5-MIN(4,4+'5. Scenarios'!$E$8))/4)*'5. Scenarios'!$E$6/(1+ProductivityDefault*('5. Scenarios'!$E$11-1))+INDEX(BookOneOff,486)*$S491)</f>
        <v/>
      </c>
    </row>
    <row r="492" customFormat="false" ht="15" hidden="false" customHeight="false" outlineLevel="0" collapsed="false">
      <c r="A492" s="0" t="str">
        <f aca="false">IF(INDEX(BookTitle,487)="","",INDEX(BookKey,487))</f>
        <v/>
      </c>
      <c r="B492" s="0" t="str">
        <f aca="false">IF(INDEX(BookTitle,487)="","",INDEX(BookGroup,487))</f>
        <v/>
      </c>
      <c r="C492" s="0" t="str">
        <f aca="false">IF(INDEX(BookTitle,487)="","",INDEX(BookCategory,487))</f>
        <v/>
      </c>
      <c r="D492" s="56" t="str">
        <f aca="false">IF(INDEX(BookTitle,487)="","",INDEX(BookTotal,487)*'5. Scenarios'!$B$6/(1+ProductivityDefault*('5. Scenarios'!$B$11-1)))</f>
        <v/>
      </c>
      <c r="E492" s="57" t="str">
        <f aca="false">IF($D492="","",INDEX(BookRate,487)*(1+'5. Scenarios'!$B$10)*$D492)</f>
        <v/>
      </c>
      <c r="F492" s="57" t="str">
        <f aca="false">IF($E492="","",SUMIFS($E$6:$E$2405,$A$6:$A$2405,"&lt;="&amp;$A492))</f>
        <v/>
      </c>
      <c r="G492" s="57" t="str">
        <f aca="false">IF($E492="","",IF($F492&lt;=BankCostEnvelope*'5. Scenarios'!$B$7,1,0))</f>
        <v/>
      </c>
      <c r="H492" s="57" t="str">
        <f aca="false">IF($D492="","",INDEX(BookRate,487)*(1+'5. Scenarios'!$B$10)*(INDEX(BookQ1,487)*(5-MIN(4,1+'5. Scenarios'!$B$8))/4+INDEX(BookQ2,487)*(5-MIN(4,2+'5. Scenarios'!$B$8))/4+INDEX(BookQ3,487)*(5-MIN(4,3+'5. Scenarios'!$B$8))/4+INDEX(BookQ4,487)*(5-MIN(4,4+'5. Scenarios'!$B$8))/4)*'5. Scenarios'!$B$6/(1+ProductivityDefault*('5. Scenarios'!$B$11-1))+INDEX(BookOneOff,487)*$D492)</f>
        <v/>
      </c>
      <c r="I492" s="56" t="str">
        <f aca="false">IF(INDEX(BookTitle,487)="","",INDEX(BookTotal,487)*'5. Scenarios'!$C$6/(1+ProductivityDefault*('5. Scenarios'!$C$11-1)))</f>
        <v/>
      </c>
      <c r="J492" s="57" t="str">
        <f aca="false">IF($I492="","",INDEX(BookRate,487)*(1+'5. Scenarios'!$C$10)*$I492)</f>
        <v/>
      </c>
      <c r="K492" s="57" t="str">
        <f aca="false">IF($J492="","",SUMIFS($J$6:$J$2405,$A$6:$A$2405,"&lt;="&amp;$A492))</f>
        <v/>
      </c>
      <c r="L492" s="57" t="str">
        <f aca="false">IF($J492="","",IF($K492&lt;=BankCostEnvelope*'5. Scenarios'!$C$7,1,0))</f>
        <v/>
      </c>
      <c r="M492" s="57" t="str">
        <f aca="false">IF($I492="","",INDEX(BookRate,487)*(1+'5. Scenarios'!$C$10)*(INDEX(BookQ1,487)*(5-MIN(4,1+'5. Scenarios'!$C$8))/4+INDEX(BookQ2,487)*(5-MIN(4,2+'5. Scenarios'!$C$8))/4+INDEX(BookQ3,487)*(5-MIN(4,3+'5. Scenarios'!$C$8))/4+INDEX(BookQ4,487)*(5-MIN(4,4+'5. Scenarios'!$C$8))/4)*'5. Scenarios'!$C$6/(1+ProductivityDefault*('5. Scenarios'!$C$11-1))+INDEX(BookOneOff,487)*$I492)</f>
        <v/>
      </c>
      <c r="N492" s="56" t="str">
        <f aca="false">IF(INDEX(BookTitle,487)="","",INDEX(BookTotal,487)*'5. Scenarios'!$D$6/(1+ProductivityDefault*('5. Scenarios'!$D$11-1)))</f>
        <v/>
      </c>
      <c r="O492" s="57" t="str">
        <f aca="false">IF($N492="","",INDEX(BookRate,487)*(1+'5. Scenarios'!$D$10)*$N492)</f>
        <v/>
      </c>
      <c r="P492" s="57" t="str">
        <f aca="false">IF($O492="","",SUMIFS($O$6:$O$2405,$A$6:$A$2405,"&lt;="&amp;$A492))</f>
        <v/>
      </c>
      <c r="Q492" s="57" t="str">
        <f aca="false">IF($O492="","",IF($P492&lt;=BankCostEnvelope*'5. Scenarios'!$D$7,1,0))</f>
        <v/>
      </c>
      <c r="R492" s="57" t="str">
        <f aca="false">IF($N492="","",INDEX(BookRate,487)*(1+'5. Scenarios'!$D$10)*(INDEX(BookQ1,487)*(5-MIN(4,1+'5. Scenarios'!$D$8))/4+INDEX(BookQ2,487)*(5-MIN(4,2+'5. Scenarios'!$D$8))/4+INDEX(BookQ3,487)*(5-MIN(4,3+'5. Scenarios'!$D$8))/4+INDEX(BookQ4,487)*(5-MIN(4,4+'5. Scenarios'!$D$8))/4)*'5. Scenarios'!$D$6/(1+ProductivityDefault*('5. Scenarios'!$D$11-1))+INDEX(BookOneOff,487)*$N492)</f>
        <v/>
      </c>
      <c r="S492" s="56" t="str">
        <f aca="false">IF(INDEX(BookTitle,487)="","",INDEX(BookTotal,487)*'5. Scenarios'!$E$6/(1+ProductivityDefault*('5. Scenarios'!$E$11-1)))</f>
        <v/>
      </c>
      <c r="T492" s="57" t="str">
        <f aca="false">IF($S492="","",INDEX(BookRate,487)*(1+'5. Scenarios'!$E$10)*$S492)</f>
        <v/>
      </c>
      <c r="U492" s="57" t="str">
        <f aca="false">IF($T492="","",SUMIFS($T$6:$T$2405,$A$6:$A$2405,"&lt;="&amp;$A492))</f>
        <v/>
      </c>
      <c r="V492" s="57" t="str">
        <f aca="false">IF($T492="","",IF($U492&lt;=BankCostEnvelope*'5. Scenarios'!$E$7,1,0))</f>
        <v/>
      </c>
      <c r="W492" s="57" t="str">
        <f aca="false">IF($S492="","",INDEX(BookRate,487)*(1+'5. Scenarios'!$E$10)*(INDEX(BookQ1,487)*(5-MIN(4,1+'5. Scenarios'!$E$8))/4+INDEX(BookQ2,487)*(5-MIN(4,2+'5. Scenarios'!$E$8))/4+INDEX(BookQ3,487)*(5-MIN(4,3+'5. Scenarios'!$E$8))/4+INDEX(BookQ4,487)*(5-MIN(4,4+'5. Scenarios'!$E$8))/4)*'5. Scenarios'!$E$6/(1+ProductivityDefault*('5. Scenarios'!$E$11-1))+INDEX(BookOneOff,487)*$S492)</f>
        <v/>
      </c>
    </row>
    <row r="493" customFormat="false" ht="15" hidden="false" customHeight="false" outlineLevel="0" collapsed="false">
      <c r="A493" s="0" t="str">
        <f aca="false">IF(INDEX(BookTitle,488)="","",INDEX(BookKey,488))</f>
        <v/>
      </c>
      <c r="B493" s="0" t="str">
        <f aca="false">IF(INDEX(BookTitle,488)="","",INDEX(BookGroup,488))</f>
        <v/>
      </c>
      <c r="C493" s="0" t="str">
        <f aca="false">IF(INDEX(BookTitle,488)="","",INDEX(BookCategory,488))</f>
        <v/>
      </c>
      <c r="D493" s="56" t="str">
        <f aca="false">IF(INDEX(BookTitle,488)="","",INDEX(BookTotal,488)*'5. Scenarios'!$B$6/(1+ProductivityDefault*('5. Scenarios'!$B$11-1)))</f>
        <v/>
      </c>
      <c r="E493" s="57" t="str">
        <f aca="false">IF($D493="","",INDEX(BookRate,488)*(1+'5. Scenarios'!$B$10)*$D493)</f>
        <v/>
      </c>
      <c r="F493" s="57" t="str">
        <f aca="false">IF($E493="","",SUMIFS($E$6:$E$2405,$A$6:$A$2405,"&lt;="&amp;$A493))</f>
        <v/>
      </c>
      <c r="G493" s="57" t="str">
        <f aca="false">IF($E493="","",IF($F493&lt;=BankCostEnvelope*'5. Scenarios'!$B$7,1,0))</f>
        <v/>
      </c>
      <c r="H493" s="57" t="str">
        <f aca="false">IF($D493="","",INDEX(BookRate,488)*(1+'5. Scenarios'!$B$10)*(INDEX(BookQ1,488)*(5-MIN(4,1+'5. Scenarios'!$B$8))/4+INDEX(BookQ2,488)*(5-MIN(4,2+'5. Scenarios'!$B$8))/4+INDEX(BookQ3,488)*(5-MIN(4,3+'5. Scenarios'!$B$8))/4+INDEX(BookQ4,488)*(5-MIN(4,4+'5. Scenarios'!$B$8))/4)*'5. Scenarios'!$B$6/(1+ProductivityDefault*('5. Scenarios'!$B$11-1))+INDEX(BookOneOff,488)*$D493)</f>
        <v/>
      </c>
      <c r="I493" s="56" t="str">
        <f aca="false">IF(INDEX(BookTitle,488)="","",INDEX(BookTotal,488)*'5. Scenarios'!$C$6/(1+ProductivityDefault*('5. Scenarios'!$C$11-1)))</f>
        <v/>
      </c>
      <c r="J493" s="57" t="str">
        <f aca="false">IF($I493="","",INDEX(BookRate,488)*(1+'5. Scenarios'!$C$10)*$I493)</f>
        <v/>
      </c>
      <c r="K493" s="57" t="str">
        <f aca="false">IF($J493="","",SUMIFS($J$6:$J$2405,$A$6:$A$2405,"&lt;="&amp;$A493))</f>
        <v/>
      </c>
      <c r="L493" s="57" t="str">
        <f aca="false">IF($J493="","",IF($K493&lt;=BankCostEnvelope*'5. Scenarios'!$C$7,1,0))</f>
        <v/>
      </c>
      <c r="M493" s="57" t="str">
        <f aca="false">IF($I493="","",INDEX(BookRate,488)*(1+'5. Scenarios'!$C$10)*(INDEX(BookQ1,488)*(5-MIN(4,1+'5. Scenarios'!$C$8))/4+INDEX(BookQ2,488)*(5-MIN(4,2+'5. Scenarios'!$C$8))/4+INDEX(BookQ3,488)*(5-MIN(4,3+'5. Scenarios'!$C$8))/4+INDEX(BookQ4,488)*(5-MIN(4,4+'5. Scenarios'!$C$8))/4)*'5. Scenarios'!$C$6/(1+ProductivityDefault*('5. Scenarios'!$C$11-1))+INDEX(BookOneOff,488)*$I493)</f>
        <v/>
      </c>
      <c r="N493" s="56" t="str">
        <f aca="false">IF(INDEX(BookTitle,488)="","",INDEX(BookTotal,488)*'5. Scenarios'!$D$6/(1+ProductivityDefault*('5. Scenarios'!$D$11-1)))</f>
        <v/>
      </c>
      <c r="O493" s="57" t="str">
        <f aca="false">IF($N493="","",INDEX(BookRate,488)*(1+'5. Scenarios'!$D$10)*$N493)</f>
        <v/>
      </c>
      <c r="P493" s="57" t="str">
        <f aca="false">IF($O493="","",SUMIFS($O$6:$O$2405,$A$6:$A$2405,"&lt;="&amp;$A493))</f>
        <v/>
      </c>
      <c r="Q493" s="57" t="str">
        <f aca="false">IF($O493="","",IF($P493&lt;=BankCostEnvelope*'5. Scenarios'!$D$7,1,0))</f>
        <v/>
      </c>
      <c r="R493" s="57" t="str">
        <f aca="false">IF($N493="","",INDEX(BookRate,488)*(1+'5. Scenarios'!$D$10)*(INDEX(BookQ1,488)*(5-MIN(4,1+'5. Scenarios'!$D$8))/4+INDEX(BookQ2,488)*(5-MIN(4,2+'5. Scenarios'!$D$8))/4+INDEX(BookQ3,488)*(5-MIN(4,3+'5. Scenarios'!$D$8))/4+INDEX(BookQ4,488)*(5-MIN(4,4+'5. Scenarios'!$D$8))/4)*'5. Scenarios'!$D$6/(1+ProductivityDefault*('5. Scenarios'!$D$11-1))+INDEX(BookOneOff,488)*$N493)</f>
        <v/>
      </c>
      <c r="S493" s="56" t="str">
        <f aca="false">IF(INDEX(BookTitle,488)="","",INDEX(BookTotal,488)*'5. Scenarios'!$E$6/(1+ProductivityDefault*('5. Scenarios'!$E$11-1)))</f>
        <v/>
      </c>
      <c r="T493" s="57" t="str">
        <f aca="false">IF($S493="","",INDEX(BookRate,488)*(1+'5. Scenarios'!$E$10)*$S493)</f>
        <v/>
      </c>
      <c r="U493" s="57" t="str">
        <f aca="false">IF($T493="","",SUMIFS($T$6:$T$2405,$A$6:$A$2405,"&lt;="&amp;$A493))</f>
        <v/>
      </c>
      <c r="V493" s="57" t="str">
        <f aca="false">IF($T493="","",IF($U493&lt;=BankCostEnvelope*'5. Scenarios'!$E$7,1,0))</f>
        <v/>
      </c>
      <c r="W493" s="57" t="str">
        <f aca="false">IF($S493="","",INDEX(BookRate,488)*(1+'5. Scenarios'!$E$10)*(INDEX(BookQ1,488)*(5-MIN(4,1+'5. Scenarios'!$E$8))/4+INDEX(BookQ2,488)*(5-MIN(4,2+'5. Scenarios'!$E$8))/4+INDEX(BookQ3,488)*(5-MIN(4,3+'5. Scenarios'!$E$8))/4+INDEX(BookQ4,488)*(5-MIN(4,4+'5. Scenarios'!$E$8))/4)*'5. Scenarios'!$E$6/(1+ProductivityDefault*('5. Scenarios'!$E$11-1))+INDEX(BookOneOff,488)*$S493)</f>
        <v/>
      </c>
    </row>
    <row r="494" customFormat="false" ht="15" hidden="false" customHeight="false" outlineLevel="0" collapsed="false">
      <c r="A494" s="0" t="str">
        <f aca="false">IF(INDEX(BookTitle,489)="","",INDEX(BookKey,489))</f>
        <v/>
      </c>
      <c r="B494" s="0" t="str">
        <f aca="false">IF(INDEX(BookTitle,489)="","",INDEX(BookGroup,489))</f>
        <v/>
      </c>
      <c r="C494" s="0" t="str">
        <f aca="false">IF(INDEX(BookTitle,489)="","",INDEX(BookCategory,489))</f>
        <v/>
      </c>
      <c r="D494" s="56" t="str">
        <f aca="false">IF(INDEX(BookTitle,489)="","",INDEX(BookTotal,489)*'5. Scenarios'!$B$6/(1+ProductivityDefault*('5. Scenarios'!$B$11-1)))</f>
        <v/>
      </c>
      <c r="E494" s="57" t="str">
        <f aca="false">IF($D494="","",INDEX(BookRate,489)*(1+'5. Scenarios'!$B$10)*$D494)</f>
        <v/>
      </c>
      <c r="F494" s="57" t="str">
        <f aca="false">IF($E494="","",SUMIFS($E$6:$E$2405,$A$6:$A$2405,"&lt;="&amp;$A494))</f>
        <v/>
      </c>
      <c r="G494" s="57" t="str">
        <f aca="false">IF($E494="","",IF($F494&lt;=BankCostEnvelope*'5. Scenarios'!$B$7,1,0))</f>
        <v/>
      </c>
      <c r="H494" s="57" t="str">
        <f aca="false">IF($D494="","",INDEX(BookRate,489)*(1+'5. Scenarios'!$B$10)*(INDEX(BookQ1,489)*(5-MIN(4,1+'5. Scenarios'!$B$8))/4+INDEX(BookQ2,489)*(5-MIN(4,2+'5. Scenarios'!$B$8))/4+INDEX(BookQ3,489)*(5-MIN(4,3+'5. Scenarios'!$B$8))/4+INDEX(BookQ4,489)*(5-MIN(4,4+'5. Scenarios'!$B$8))/4)*'5. Scenarios'!$B$6/(1+ProductivityDefault*('5. Scenarios'!$B$11-1))+INDEX(BookOneOff,489)*$D494)</f>
        <v/>
      </c>
      <c r="I494" s="56" t="str">
        <f aca="false">IF(INDEX(BookTitle,489)="","",INDEX(BookTotal,489)*'5. Scenarios'!$C$6/(1+ProductivityDefault*('5. Scenarios'!$C$11-1)))</f>
        <v/>
      </c>
      <c r="J494" s="57" t="str">
        <f aca="false">IF($I494="","",INDEX(BookRate,489)*(1+'5. Scenarios'!$C$10)*$I494)</f>
        <v/>
      </c>
      <c r="K494" s="57" t="str">
        <f aca="false">IF($J494="","",SUMIFS($J$6:$J$2405,$A$6:$A$2405,"&lt;="&amp;$A494))</f>
        <v/>
      </c>
      <c r="L494" s="57" t="str">
        <f aca="false">IF($J494="","",IF($K494&lt;=BankCostEnvelope*'5. Scenarios'!$C$7,1,0))</f>
        <v/>
      </c>
      <c r="M494" s="57" t="str">
        <f aca="false">IF($I494="","",INDEX(BookRate,489)*(1+'5. Scenarios'!$C$10)*(INDEX(BookQ1,489)*(5-MIN(4,1+'5. Scenarios'!$C$8))/4+INDEX(BookQ2,489)*(5-MIN(4,2+'5. Scenarios'!$C$8))/4+INDEX(BookQ3,489)*(5-MIN(4,3+'5. Scenarios'!$C$8))/4+INDEX(BookQ4,489)*(5-MIN(4,4+'5. Scenarios'!$C$8))/4)*'5. Scenarios'!$C$6/(1+ProductivityDefault*('5. Scenarios'!$C$11-1))+INDEX(BookOneOff,489)*$I494)</f>
        <v/>
      </c>
      <c r="N494" s="56" t="str">
        <f aca="false">IF(INDEX(BookTitle,489)="","",INDEX(BookTotal,489)*'5. Scenarios'!$D$6/(1+ProductivityDefault*('5. Scenarios'!$D$11-1)))</f>
        <v/>
      </c>
      <c r="O494" s="57" t="str">
        <f aca="false">IF($N494="","",INDEX(BookRate,489)*(1+'5. Scenarios'!$D$10)*$N494)</f>
        <v/>
      </c>
      <c r="P494" s="57" t="str">
        <f aca="false">IF($O494="","",SUMIFS($O$6:$O$2405,$A$6:$A$2405,"&lt;="&amp;$A494))</f>
        <v/>
      </c>
      <c r="Q494" s="57" t="str">
        <f aca="false">IF($O494="","",IF($P494&lt;=BankCostEnvelope*'5. Scenarios'!$D$7,1,0))</f>
        <v/>
      </c>
      <c r="R494" s="57" t="str">
        <f aca="false">IF($N494="","",INDEX(BookRate,489)*(1+'5. Scenarios'!$D$10)*(INDEX(BookQ1,489)*(5-MIN(4,1+'5. Scenarios'!$D$8))/4+INDEX(BookQ2,489)*(5-MIN(4,2+'5. Scenarios'!$D$8))/4+INDEX(BookQ3,489)*(5-MIN(4,3+'5. Scenarios'!$D$8))/4+INDEX(BookQ4,489)*(5-MIN(4,4+'5. Scenarios'!$D$8))/4)*'5. Scenarios'!$D$6/(1+ProductivityDefault*('5. Scenarios'!$D$11-1))+INDEX(BookOneOff,489)*$N494)</f>
        <v/>
      </c>
      <c r="S494" s="56" t="str">
        <f aca="false">IF(INDEX(BookTitle,489)="","",INDEX(BookTotal,489)*'5. Scenarios'!$E$6/(1+ProductivityDefault*('5. Scenarios'!$E$11-1)))</f>
        <v/>
      </c>
      <c r="T494" s="57" t="str">
        <f aca="false">IF($S494="","",INDEX(BookRate,489)*(1+'5. Scenarios'!$E$10)*$S494)</f>
        <v/>
      </c>
      <c r="U494" s="57" t="str">
        <f aca="false">IF($T494="","",SUMIFS($T$6:$T$2405,$A$6:$A$2405,"&lt;="&amp;$A494))</f>
        <v/>
      </c>
      <c r="V494" s="57" t="str">
        <f aca="false">IF($T494="","",IF($U494&lt;=BankCostEnvelope*'5. Scenarios'!$E$7,1,0))</f>
        <v/>
      </c>
      <c r="W494" s="57" t="str">
        <f aca="false">IF($S494="","",INDEX(BookRate,489)*(1+'5. Scenarios'!$E$10)*(INDEX(BookQ1,489)*(5-MIN(4,1+'5. Scenarios'!$E$8))/4+INDEX(BookQ2,489)*(5-MIN(4,2+'5. Scenarios'!$E$8))/4+INDEX(BookQ3,489)*(5-MIN(4,3+'5. Scenarios'!$E$8))/4+INDEX(BookQ4,489)*(5-MIN(4,4+'5. Scenarios'!$E$8))/4)*'5. Scenarios'!$E$6/(1+ProductivityDefault*('5. Scenarios'!$E$11-1))+INDEX(BookOneOff,489)*$S494)</f>
        <v/>
      </c>
    </row>
    <row r="495" customFormat="false" ht="15" hidden="false" customHeight="false" outlineLevel="0" collapsed="false">
      <c r="A495" s="0" t="str">
        <f aca="false">IF(INDEX(BookTitle,490)="","",INDEX(BookKey,490))</f>
        <v/>
      </c>
      <c r="B495" s="0" t="str">
        <f aca="false">IF(INDEX(BookTitle,490)="","",INDEX(BookGroup,490))</f>
        <v/>
      </c>
      <c r="C495" s="0" t="str">
        <f aca="false">IF(INDEX(BookTitle,490)="","",INDEX(BookCategory,490))</f>
        <v/>
      </c>
      <c r="D495" s="56" t="str">
        <f aca="false">IF(INDEX(BookTitle,490)="","",INDEX(BookTotal,490)*'5. Scenarios'!$B$6/(1+ProductivityDefault*('5. Scenarios'!$B$11-1)))</f>
        <v/>
      </c>
      <c r="E495" s="57" t="str">
        <f aca="false">IF($D495="","",INDEX(BookRate,490)*(1+'5. Scenarios'!$B$10)*$D495)</f>
        <v/>
      </c>
      <c r="F495" s="57" t="str">
        <f aca="false">IF($E495="","",SUMIFS($E$6:$E$2405,$A$6:$A$2405,"&lt;="&amp;$A495))</f>
        <v/>
      </c>
      <c r="G495" s="57" t="str">
        <f aca="false">IF($E495="","",IF($F495&lt;=BankCostEnvelope*'5. Scenarios'!$B$7,1,0))</f>
        <v/>
      </c>
      <c r="H495" s="57" t="str">
        <f aca="false">IF($D495="","",INDEX(BookRate,490)*(1+'5. Scenarios'!$B$10)*(INDEX(BookQ1,490)*(5-MIN(4,1+'5. Scenarios'!$B$8))/4+INDEX(BookQ2,490)*(5-MIN(4,2+'5. Scenarios'!$B$8))/4+INDEX(BookQ3,490)*(5-MIN(4,3+'5. Scenarios'!$B$8))/4+INDEX(BookQ4,490)*(5-MIN(4,4+'5. Scenarios'!$B$8))/4)*'5. Scenarios'!$B$6/(1+ProductivityDefault*('5. Scenarios'!$B$11-1))+INDEX(BookOneOff,490)*$D495)</f>
        <v/>
      </c>
      <c r="I495" s="56" t="str">
        <f aca="false">IF(INDEX(BookTitle,490)="","",INDEX(BookTotal,490)*'5. Scenarios'!$C$6/(1+ProductivityDefault*('5. Scenarios'!$C$11-1)))</f>
        <v/>
      </c>
      <c r="J495" s="57" t="str">
        <f aca="false">IF($I495="","",INDEX(BookRate,490)*(1+'5. Scenarios'!$C$10)*$I495)</f>
        <v/>
      </c>
      <c r="K495" s="57" t="str">
        <f aca="false">IF($J495="","",SUMIFS($J$6:$J$2405,$A$6:$A$2405,"&lt;="&amp;$A495))</f>
        <v/>
      </c>
      <c r="L495" s="57" t="str">
        <f aca="false">IF($J495="","",IF($K495&lt;=BankCostEnvelope*'5. Scenarios'!$C$7,1,0))</f>
        <v/>
      </c>
      <c r="M495" s="57" t="str">
        <f aca="false">IF($I495="","",INDEX(BookRate,490)*(1+'5. Scenarios'!$C$10)*(INDEX(BookQ1,490)*(5-MIN(4,1+'5. Scenarios'!$C$8))/4+INDEX(BookQ2,490)*(5-MIN(4,2+'5. Scenarios'!$C$8))/4+INDEX(BookQ3,490)*(5-MIN(4,3+'5. Scenarios'!$C$8))/4+INDEX(BookQ4,490)*(5-MIN(4,4+'5. Scenarios'!$C$8))/4)*'5. Scenarios'!$C$6/(1+ProductivityDefault*('5. Scenarios'!$C$11-1))+INDEX(BookOneOff,490)*$I495)</f>
        <v/>
      </c>
      <c r="N495" s="56" t="str">
        <f aca="false">IF(INDEX(BookTitle,490)="","",INDEX(BookTotal,490)*'5. Scenarios'!$D$6/(1+ProductivityDefault*('5. Scenarios'!$D$11-1)))</f>
        <v/>
      </c>
      <c r="O495" s="57" t="str">
        <f aca="false">IF($N495="","",INDEX(BookRate,490)*(1+'5. Scenarios'!$D$10)*$N495)</f>
        <v/>
      </c>
      <c r="P495" s="57" t="str">
        <f aca="false">IF($O495="","",SUMIFS($O$6:$O$2405,$A$6:$A$2405,"&lt;="&amp;$A495))</f>
        <v/>
      </c>
      <c r="Q495" s="57" t="str">
        <f aca="false">IF($O495="","",IF($P495&lt;=BankCostEnvelope*'5. Scenarios'!$D$7,1,0))</f>
        <v/>
      </c>
      <c r="R495" s="57" t="str">
        <f aca="false">IF($N495="","",INDEX(BookRate,490)*(1+'5. Scenarios'!$D$10)*(INDEX(BookQ1,490)*(5-MIN(4,1+'5. Scenarios'!$D$8))/4+INDEX(BookQ2,490)*(5-MIN(4,2+'5. Scenarios'!$D$8))/4+INDEX(BookQ3,490)*(5-MIN(4,3+'5. Scenarios'!$D$8))/4+INDEX(BookQ4,490)*(5-MIN(4,4+'5. Scenarios'!$D$8))/4)*'5. Scenarios'!$D$6/(1+ProductivityDefault*('5. Scenarios'!$D$11-1))+INDEX(BookOneOff,490)*$N495)</f>
        <v/>
      </c>
      <c r="S495" s="56" t="str">
        <f aca="false">IF(INDEX(BookTitle,490)="","",INDEX(BookTotal,490)*'5. Scenarios'!$E$6/(1+ProductivityDefault*('5. Scenarios'!$E$11-1)))</f>
        <v/>
      </c>
      <c r="T495" s="57" t="str">
        <f aca="false">IF($S495="","",INDEX(BookRate,490)*(1+'5. Scenarios'!$E$10)*$S495)</f>
        <v/>
      </c>
      <c r="U495" s="57" t="str">
        <f aca="false">IF($T495="","",SUMIFS($T$6:$T$2405,$A$6:$A$2405,"&lt;="&amp;$A495))</f>
        <v/>
      </c>
      <c r="V495" s="57" t="str">
        <f aca="false">IF($T495="","",IF($U495&lt;=BankCostEnvelope*'5. Scenarios'!$E$7,1,0))</f>
        <v/>
      </c>
      <c r="W495" s="57" t="str">
        <f aca="false">IF($S495="","",INDEX(BookRate,490)*(1+'5. Scenarios'!$E$10)*(INDEX(BookQ1,490)*(5-MIN(4,1+'5. Scenarios'!$E$8))/4+INDEX(BookQ2,490)*(5-MIN(4,2+'5. Scenarios'!$E$8))/4+INDEX(BookQ3,490)*(5-MIN(4,3+'5. Scenarios'!$E$8))/4+INDEX(BookQ4,490)*(5-MIN(4,4+'5. Scenarios'!$E$8))/4)*'5. Scenarios'!$E$6/(1+ProductivityDefault*('5. Scenarios'!$E$11-1))+INDEX(BookOneOff,490)*$S495)</f>
        <v/>
      </c>
    </row>
    <row r="496" customFormat="false" ht="15" hidden="false" customHeight="false" outlineLevel="0" collapsed="false">
      <c r="A496" s="0" t="str">
        <f aca="false">IF(INDEX(BookTitle,491)="","",INDEX(BookKey,491))</f>
        <v/>
      </c>
      <c r="B496" s="0" t="str">
        <f aca="false">IF(INDEX(BookTitle,491)="","",INDEX(BookGroup,491))</f>
        <v/>
      </c>
      <c r="C496" s="0" t="str">
        <f aca="false">IF(INDEX(BookTitle,491)="","",INDEX(BookCategory,491))</f>
        <v/>
      </c>
      <c r="D496" s="56" t="str">
        <f aca="false">IF(INDEX(BookTitle,491)="","",INDEX(BookTotal,491)*'5. Scenarios'!$B$6/(1+ProductivityDefault*('5. Scenarios'!$B$11-1)))</f>
        <v/>
      </c>
      <c r="E496" s="57" t="str">
        <f aca="false">IF($D496="","",INDEX(BookRate,491)*(1+'5. Scenarios'!$B$10)*$D496)</f>
        <v/>
      </c>
      <c r="F496" s="57" t="str">
        <f aca="false">IF($E496="","",SUMIFS($E$6:$E$2405,$A$6:$A$2405,"&lt;="&amp;$A496))</f>
        <v/>
      </c>
      <c r="G496" s="57" t="str">
        <f aca="false">IF($E496="","",IF($F496&lt;=BankCostEnvelope*'5. Scenarios'!$B$7,1,0))</f>
        <v/>
      </c>
      <c r="H496" s="57" t="str">
        <f aca="false">IF($D496="","",INDEX(BookRate,491)*(1+'5. Scenarios'!$B$10)*(INDEX(BookQ1,491)*(5-MIN(4,1+'5. Scenarios'!$B$8))/4+INDEX(BookQ2,491)*(5-MIN(4,2+'5. Scenarios'!$B$8))/4+INDEX(BookQ3,491)*(5-MIN(4,3+'5. Scenarios'!$B$8))/4+INDEX(BookQ4,491)*(5-MIN(4,4+'5. Scenarios'!$B$8))/4)*'5. Scenarios'!$B$6/(1+ProductivityDefault*('5. Scenarios'!$B$11-1))+INDEX(BookOneOff,491)*$D496)</f>
        <v/>
      </c>
      <c r="I496" s="56" t="str">
        <f aca="false">IF(INDEX(BookTitle,491)="","",INDEX(BookTotal,491)*'5. Scenarios'!$C$6/(1+ProductivityDefault*('5. Scenarios'!$C$11-1)))</f>
        <v/>
      </c>
      <c r="J496" s="57" t="str">
        <f aca="false">IF($I496="","",INDEX(BookRate,491)*(1+'5. Scenarios'!$C$10)*$I496)</f>
        <v/>
      </c>
      <c r="K496" s="57" t="str">
        <f aca="false">IF($J496="","",SUMIFS($J$6:$J$2405,$A$6:$A$2405,"&lt;="&amp;$A496))</f>
        <v/>
      </c>
      <c r="L496" s="57" t="str">
        <f aca="false">IF($J496="","",IF($K496&lt;=BankCostEnvelope*'5. Scenarios'!$C$7,1,0))</f>
        <v/>
      </c>
      <c r="M496" s="57" t="str">
        <f aca="false">IF($I496="","",INDEX(BookRate,491)*(1+'5. Scenarios'!$C$10)*(INDEX(BookQ1,491)*(5-MIN(4,1+'5. Scenarios'!$C$8))/4+INDEX(BookQ2,491)*(5-MIN(4,2+'5. Scenarios'!$C$8))/4+INDEX(BookQ3,491)*(5-MIN(4,3+'5. Scenarios'!$C$8))/4+INDEX(BookQ4,491)*(5-MIN(4,4+'5. Scenarios'!$C$8))/4)*'5. Scenarios'!$C$6/(1+ProductivityDefault*('5. Scenarios'!$C$11-1))+INDEX(BookOneOff,491)*$I496)</f>
        <v/>
      </c>
      <c r="N496" s="56" t="str">
        <f aca="false">IF(INDEX(BookTitle,491)="","",INDEX(BookTotal,491)*'5. Scenarios'!$D$6/(1+ProductivityDefault*('5. Scenarios'!$D$11-1)))</f>
        <v/>
      </c>
      <c r="O496" s="57" t="str">
        <f aca="false">IF($N496="","",INDEX(BookRate,491)*(1+'5. Scenarios'!$D$10)*$N496)</f>
        <v/>
      </c>
      <c r="P496" s="57" t="str">
        <f aca="false">IF($O496="","",SUMIFS($O$6:$O$2405,$A$6:$A$2405,"&lt;="&amp;$A496))</f>
        <v/>
      </c>
      <c r="Q496" s="57" t="str">
        <f aca="false">IF($O496="","",IF($P496&lt;=BankCostEnvelope*'5. Scenarios'!$D$7,1,0))</f>
        <v/>
      </c>
      <c r="R496" s="57" t="str">
        <f aca="false">IF($N496="","",INDEX(BookRate,491)*(1+'5. Scenarios'!$D$10)*(INDEX(BookQ1,491)*(5-MIN(4,1+'5. Scenarios'!$D$8))/4+INDEX(BookQ2,491)*(5-MIN(4,2+'5. Scenarios'!$D$8))/4+INDEX(BookQ3,491)*(5-MIN(4,3+'5. Scenarios'!$D$8))/4+INDEX(BookQ4,491)*(5-MIN(4,4+'5. Scenarios'!$D$8))/4)*'5. Scenarios'!$D$6/(1+ProductivityDefault*('5. Scenarios'!$D$11-1))+INDEX(BookOneOff,491)*$N496)</f>
        <v/>
      </c>
      <c r="S496" s="56" t="str">
        <f aca="false">IF(INDEX(BookTitle,491)="","",INDEX(BookTotal,491)*'5. Scenarios'!$E$6/(1+ProductivityDefault*('5. Scenarios'!$E$11-1)))</f>
        <v/>
      </c>
      <c r="T496" s="57" t="str">
        <f aca="false">IF($S496="","",INDEX(BookRate,491)*(1+'5. Scenarios'!$E$10)*$S496)</f>
        <v/>
      </c>
      <c r="U496" s="57" t="str">
        <f aca="false">IF($T496="","",SUMIFS($T$6:$T$2405,$A$6:$A$2405,"&lt;="&amp;$A496))</f>
        <v/>
      </c>
      <c r="V496" s="57" t="str">
        <f aca="false">IF($T496="","",IF($U496&lt;=BankCostEnvelope*'5. Scenarios'!$E$7,1,0))</f>
        <v/>
      </c>
      <c r="W496" s="57" t="str">
        <f aca="false">IF($S496="","",INDEX(BookRate,491)*(1+'5. Scenarios'!$E$10)*(INDEX(BookQ1,491)*(5-MIN(4,1+'5. Scenarios'!$E$8))/4+INDEX(BookQ2,491)*(5-MIN(4,2+'5. Scenarios'!$E$8))/4+INDEX(BookQ3,491)*(5-MIN(4,3+'5. Scenarios'!$E$8))/4+INDEX(BookQ4,491)*(5-MIN(4,4+'5. Scenarios'!$E$8))/4)*'5. Scenarios'!$E$6/(1+ProductivityDefault*('5. Scenarios'!$E$11-1))+INDEX(BookOneOff,491)*$S496)</f>
        <v/>
      </c>
    </row>
    <row r="497" customFormat="false" ht="15" hidden="false" customHeight="false" outlineLevel="0" collapsed="false">
      <c r="A497" s="0" t="str">
        <f aca="false">IF(INDEX(BookTitle,492)="","",INDEX(BookKey,492))</f>
        <v/>
      </c>
      <c r="B497" s="0" t="str">
        <f aca="false">IF(INDEX(BookTitle,492)="","",INDEX(BookGroup,492))</f>
        <v/>
      </c>
      <c r="C497" s="0" t="str">
        <f aca="false">IF(INDEX(BookTitle,492)="","",INDEX(BookCategory,492))</f>
        <v/>
      </c>
      <c r="D497" s="56" t="str">
        <f aca="false">IF(INDEX(BookTitle,492)="","",INDEX(BookTotal,492)*'5. Scenarios'!$B$6/(1+ProductivityDefault*('5. Scenarios'!$B$11-1)))</f>
        <v/>
      </c>
      <c r="E497" s="57" t="str">
        <f aca="false">IF($D497="","",INDEX(BookRate,492)*(1+'5. Scenarios'!$B$10)*$D497)</f>
        <v/>
      </c>
      <c r="F497" s="57" t="str">
        <f aca="false">IF($E497="","",SUMIFS($E$6:$E$2405,$A$6:$A$2405,"&lt;="&amp;$A497))</f>
        <v/>
      </c>
      <c r="G497" s="57" t="str">
        <f aca="false">IF($E497="","",IF($F497&lt;=BankCostEnvelope*'5. Scenarios'!$B$7,1,0))</f>
        <v/>
      </c>
      <c r="H497" s="57" t="str">
        <f aca="false">IF($D497="","",INDEX(BookRate,492)*(1+'5. Scenarios'!$B$10)*(INDEX(BookQ1,492)*(5-MIN(4,1+'5. Scenarios'!$B$8))/4+INDEX(BookQ2,492)*(5-MIN(4,2+'5. Scenarios'!$B$8))/4+INDEX(BookQ3,492)*(5-MIN(4,3+'5. Scenarios'!$B$8))/4+INDEX(BookQ4,492)*(5-MIN(4,4+'5. Scenarios'!$B$8))/4)*'5. Scenarios'!$B$6/(1+ProductivityDefault*('5. Scenarios'!$B$11-1))+INDEX(BookOneOff,492)*$D497)</f>
        <v/>
      </c>
      <c r="I497" s="56" t="str">
        <f aca="false">IF(INDEX(BookTitle,492)="","",INDEX(BookTotal,492)*'5. Scenarios'!$C$6/(1+ProductivityDefault*('5. Scenarios'!$C$11-1)))</f>
        <v/>
      </c>
      <c r="J497" s="57" t="str">
        <f aca="false">IF($I497="","",INDEX(BookRate,492)*(1+'5. Scenarios'!$C$10)*$I497)</f>
        <v/>
      </c>
      <c r="K497" s="57" t="str">
        <f aca="false">IF($J497="","",SUMIFS($J$6:$J$2405,$A$6:$A$2405,"&lt;="&amp;$A497))</f>
        <v/>
      </c>
      <c r="L497" s="57" t="str">
        <f aca="false">IF($J497="","",IF($K497&lt;=BankCostEnvelope*'5. Scenarios'!$C$7,1,0))</f>
        <v/>
      </c>
      <c r="M497" s="57" t="str">
        <f aca="false">IF($I497="","",INDEX(BookRate,492)*(1+'5. Scenarios'!$C$10)*(INDEX(BookQ1,492)*(5-MIN(4,1+'5. Scenarios'!$C$8))/4+INDEX(BookQ2,492)*(5-MIN(4,2+'5. Scenarios'!$C$8))/4+INDEX(BookQ3,492)*(5-MIN(4,3+'5. Scenarios'!$C$8))/4+INDEX(BookQ4,492)*(5-MIN(4,4+'5. Scenarios'!$C$8))/4)*'5. Scenarios'!$C$6/(1+ProductivityDefault*('5. Scenarios'!$C$11-1))+INDEX(BookOneOff,492)*$I497)</f>
        <v/>
      </c>
      <c r="N497" s="56" t="str">
        <f aca="false">IF(INDEX(BookTitle,492)="","",INDEX(BookTotal,492)*'5. Scenarios'!$D$6/(1+ProductivityDefault*('5. Scenarios'!$D$11-1)))</f>
        <v/>
      </c>
      <c r="O497" s="57" t="str">
        <f aca="false">IF($N497="","",INDEX(BookRate,492)*(1+'5. Scenarios'!$D$10)*$N497)</f>
        <v/>
      </c>
      <c r="P497" s="57" t="str">
        <f aca="false">IF($O497="","",SUMIFS($O$6:$O$2405,$A$6:$A$2405,"&lt;="&amp;$A497))</f>
        <v/>
      </c>
      <c r="Q497" s="57" t="str">
        <f aca="false">IF($O497="","",IF($P497&lt;=BankCostEnvelope*'5. Scenarios'!$D$7,1,0))</f>
        <v/>
      </c>
      <c r="R497" s="57" t="str">
        <f aca="false">IF($N497="","",INDEX(BookRate,492)*(1+'5. Scenarios'!$D$10)*(INDEX(BookQ1,492)*(5-MIN(4,1+'5. Scenarios'!$D$8))/4+INDEX(BookQ2,492)*(5-MIN(4,2+'5. Scenarios'!$D$8))/4+INDEX(BookQ3,492)*(5-MIN(4,3+'5. Scenarios'!$D$8))/4+INDEX(BookQ4,492)*(5-MIN(4,4+'5. Scenarios'!$D$8))/4)*'5. Scenarios'!$D$6/(1+ProductivityDefault*('5. Scenarios'!$D$11-1))+INDEX(BookOneOff,492)*$N497)</f>
        <v/>
      </c>
      <c r="S497" s="56" t="str">
        <f aca="false">IF(INDEX(BookTitle,492)="","",INDEX(BookTotal,492)*'5. Scenarios'!$E$6/(1+ProductivityDefault*('5. Scenarios'!$E$11-1)))</f>
        <v/>
      </c>
      <c r="T497" s="57" t="str">
        <f aca="false">IF($S497="","",INDEX(BookRate,492)*(1+'5. Scenarios'!$E$10)*$S497)</f>
        <v/>
      </c>
      <c r="U497" s="57" t="str">
        <f aca="false">IF($T497="","",SUMIFS($T$6:$T$2405,$A$6:$A$2405,"&lt;="&amp;$A497))</f>
        <v/>
      </c>
      <c r="V497" s="57" t="str">
        <f aca="false">IF($T497="","",IF($U497&lt;=BankCostEnvelope*'5. Scenarios'!$E$7,1,0))</f>
        <v/>
      </c>
      <c r="W497" s="57" t="str">
        <f aca="false">IF($S497="","",INDEX(BookRate,492)*(1+'5. Scenarios'!$E$10)*(INDEX(BookQ1,492)*(5-MIN(4,1+'5. Scenarios'!$E$8))/4+INDEX(BookQ2,492)*(5-MIN(4,2+'5. Scenarios'!$E$8))/4+INDEX(BookQ3,492)*(5-MIN(4,3+'5. Scenarios'!$E$8))/4+INDEX(BookQ4,492)*(5-MIN(4,4+'5. Scenarios'!$E$8))/4)*'5. Scenarios'!$E$6/(1+ProductivityDefault*('5. Scenarios'!$E$11-1))+INDEX(BookOneOff,492)*$S497)</f>
        <v/>
      </c>
    </row>
    <row r="498" customFormat="false" ht="15" hidden="false" customHeight="false" outlineLevel="0" collapsed="false">
      <c r="A498" s="0" t="str">
        <f aca="false">IF(INDEX(BookTitle,493)="","",INDEX(BookKey,493))</f>
        <v/>
      </c>
      <c r="B498" s="0" t="str">
        <f aca="false">IF(INDEX(BookTitle,493)="","",INDEX(BookGroup,493))</f>
        <v/>
      </c>
      <c r="C498" s="0" t="str">
        <f aca="false">IF(INDEX(BookTitle,493)="","",INDEX(BookCategory,493))</f>
        <v/>
      </c>
      <c r="D498" s="56" t="str">
        <f aca="false">IF(INDEX(BookTitle,493)="","",INDEX(BookTotal,493)*'5. Scenarios'!$B$6/(1+ProductivityDefault*('5. Scenarios'!$B$11-1)))</f>
        <v/>
      </c>
      <c r="E498" s="57" t="str">
        <f aca="false">IF($D498="","",INDEX(BookRate,493)*(1+'5. Scenarios'!$B$10)*$D498)</f>
        <v/>
      </c>
      <c r="F498" s="57" t="str">
        <f aca="false">IF($E498="","",SUMIFS($E$6:$E$2405,$A$6:$A$2405,"&lt;="&amp;$A498))</f>
        <v/>
      </c>
      <c r="G498" s="57" t="str">
        <f aca="false">IF($E498="","",IF($F498&lt;=BankCostEnvelope*'5. Scenarios'!$B$7,1,0))</f>
        <v/>
      </c>
      <c r="H498" s="57" t="str">
        <f aca="false">IF($D498="","",INDEX(BookRate,493)*(1+'5. Scenarios'!$B$10)*(INDEX(BookQ1,493)*(5-MIN(4,1+'5. Scenarios'!$B$8))/4+INDEX(BookQ2,493)*(5-MIN(4,2+'5. Scenarios'!$B$8))/4+INDEX(BookQ3,493)*(5-MIN(4,3+'5. Scenarios'!$B$8))/4+INDEX(BookQ4,493)*(5-MIN(4,4+'5. Scenarios'!$B$8))/4)*'5. Scenarios'!$B$6/(1+ProductivityDefault*('5. Scenarios'!$B$11-1))+INDEX(BookOneOff,493)*$D498)</f>
        <v/>
      </c>
      <c r="I498" s="56" t="str">
        <f aca="false">IF(INDEX(BookTitle,493)="","",INDEX(BookTotal,493)*'5. Scenarios'!$C$6/(1+ProductivityDefault*('5. Scenarios'!$C$11-1)))</f>
        <v/>
      </c>
      <c r="J498" s="57" t="str">
        <f aca="false">IF($I498="","",INDEX(BookRate,493)*(1+'5. Scenarios'!$C$10)*$I498)</f>
        <v/>
      </c>
      <c r="K498" s="57" t="str">
        <f aca="false">IF($J498="","",SUMIFS($J$6:$J$2405,$A$6:$A$2405,"&lt;="&amp;$A498))</f>
        <v/>
      </c>
      <c r="L498" s="57" t="str">
        <f aca="false">IF($J498="","",IF($K498&lt;=BankCostEnvelope*'5. Scenarios'!$C$7,1,0))</f>
        <v/>
      </c>
      <c r="M498" s="57" t="str">
        <f aca="false">IF($I498="","",INDEX(BookRate,493)*(1+'5. Scenarios'!$C$10)*(INDEX(BookQ1,493)*(5-MIN(4,1+'5. Scenarios'!$C$8))/4+INDEX(BookQ2,493)*(5-MIN(4,2+'5. Scenarios'!$C$8))/4+INDEX(BookQ3,493)*(5-MIN(4,3+'5. Scenarios'!$C$8))/4+INDEX(BookQ4,493)*(5-MIN(4,4+'5. Scenarios'!$C$8))/4)*'5. Scenarios'!$C$6/(1+ProductivityDefault*('5. Scenarios'!$C$11-1))+INDEX(BookOneOff,493)*$I498)</f>
        <v/>
      </c>
      <c r="N498" s="56" t="str">
        <f aca="false">IF(INDEX(BookTitle,493)="","",INDEX(BookTotal,493)*'5. Scenarios'!$D$6/(1+ProductivityDefault*('5. Scenarios'!$D$11-1)))</f>
        <v/>
      </c>
      <c r="O498" s="57" t="str">
        <f aca="false">IF($N498="","",INDEX(BookRate,493)*(1+'5. Scenarios'!$D$10)*$N498)</f>
        <v/>
      </c>
      <c r="P498" s="57" t="str">
        <f aca="false">IF($O498="","",SUMIFS($O$6:$O$2405,$A$6:$A$2405,"&lt;="&amp;$A498))</f>
        <v/>
      </c>
      <c r="Q498" s="57" t="str">
        <f aca="false">IF($O498="","",IF($P498&lt;=BankCostEnvelope*'5. Scenarios'!$D$7,1,0))</f>
        <v/>
      </c>
      <c r="R498" s="57" t="str">
        <f aca="false">IF($N498="","",INDEX(BookRate,493)*(1+'5. Scenarios'!$D$10)*(INDEX(BookQ1,493)*(5-MIN(4,1+'5. Scenarios'!$D$8))/4+INDEX(BookQ2,493)*(5-MIN(4,2+'5. Scenarios'!$D$8))/4+INDEX(BookQ3,493)*(5-MIN(4,3+'5. Scenarios'!$D$8))/4+INDEX(BookQ4,493)*(5-MIN(4,4+'5. Scenarios'!$D$8))/4)*'5. Scenarios'!$D$6/(1+ProductivityDefault*('5. Scenarios'!$D$11-1))+INDEX(BookOneOff,493)*$N498)</f>
        <v/>
      </c>
      <c r="S498" s="56" t="str">
        <f aca="false">IF(INDEX(BookTitle,493)="","",INDEX(BookTotal,493)*'5. Scenarios'!$E$6/(1+ProductivityDefault*('5. Scenarios'!$E$11-1)))</f>
        <v/>
      </c>
      <c r="T498" s="57" t="str">
        <f aca="false">IF($S498="","",INDEX(BookRate,493)*(1+'5. Scenarios'!$E$10)*$S498)</f>
        <v/>
      </c>
      <c r="U498" s="57" t="str">
        <f aca="false">IF($T498="","",SUMIFS($T$6:$T$2405,$A$6:$A$2405,"&lt;="&amp;$A498))</f>
        <v/>
      </c>
      <c r="V498" s="57" t="str">
        <f aca="false">IF($T498="","",IF($U498&lt;=BankCostEnvelope*'5. Scenarios'!$E$7,1,0))</f>
        <v/>
      </c>
      <c r="W498" s="57" t="str">
        <f aca="false">IF($S498="","",INDEX(BookRate,493)*(1+'5. Scenarios'!$E$10)*(INDEX(BookQ1,493)*(5-MIN(4,1+'5. Scenarios'!$E$8))/4+INDEX(BookQ2,493)*(5-MIN(4,2+'5. Scenarios'!$E$8))/4+INDEX(BookQ3,493)*(5-MIN(4,3+'5. Scenarios'!$E$8))/4+INDEX(BookQ4,493)*(5-MIN(4,4+'5. Scenarios'!$E$8))/4)*'5. Scenarios'!$E$6/(1+ProductivityDefault*('5. Scenarios'!$E$11-1))+INDEX(BookOneOff,493)*$S498)</f>
        <v/>
      </c>
    </row>
    <row r="499" customFormat="false" ht="15" hidden="false" customHeight="false" outlineLevel="0" collapsed="false">
      <c r="A499" s="0" t="str">
        <f aca="false">IF(INDEX(BookTitle,494)="","",INDEX(BookKey,494))</f>
        <v/>
      </c>
      <c r="B499" s="0" t="str">
        <f aca="false">IF(INDEX(BookTitle,494)="","",INDEX(BookGroup,494))</f>
        <v/>
      </c>
      <c r="C499" s="0" t="str">
        <f aca="false">IF(INDEX(BookTitle,494)="","",INDEX(BookCategory,494))</f>
        <v/>
      </c>
      <c r="D499" s="56" t="str">
        <f aca="false">IF(INDEX(BookTitle,494)="","",INDEX(BookTotal,494)*'5. Scenarios'!$B$6/(1+ProductivityDefault*('5. Scenarios'!$B$11-1)))</f>
        <v/>
      </c>
      <c r="E499" s="57" t="str">
        <f aca="false">IF($D499="","",INDEX(BookRate,494)*(1+'5. Scenarios'!$B$10)*$D499)</f>
        <v/>
      </c>
      <c r="F499" s="57" t="str">
        <f aca="false">IF($E499="","",SUMIFS($E$6:$E$2405,$A$6:$A$2405,"&lt;="&amp;$A499))</f>
        <v/>
      </c>
      <c r="G499" s="57" t="str">
        <f aca="false">IF($E499="","",IF($F499&lt;=BankCostEnvelope*'5. Scenarios'!$B$7,1,0))</f>
        <v/>
      </c>
      <c r="H499" s="57" t="str">
        <f aca="false">IF($D499="","",INDEX(BookRate,494)*(1+'5. Scenarios'!$B$10)*(INDEX(BookQ1,494)*(5-MIN(4,1+'5. Scenarios'!$B$8))/4+INDEX(BookQ2,494)*(5-MIN(4,2+'5. Scenarios'!$B$8))/4+INDEX(BookQ3,494)*(5-MIN(4,3+'5. Scenarios'!$B$8))/4+INDEX(BookQ4,494)*(5-MIN(4,4+'5. Scenarios'!$B$8))/4)*'5. Scenarios'!$B$6/(1+ProductivityDefault*('5. Scenarios'!$B$11-1))+INDEX(BookOneOff,494)*$D499)</f>
        <v/>
      </c>
      <c r="I499" s="56" t="str">
        <f aca="false">IF(INDEX(BookTitle,494)="","",INDEX(BookTotal,494)*'5. Scenarios'!$C$6/(1+ProductivityDefault*('5. Scenarios'!$C$11-1)))</f>
        <v/>
      </c>
      <c r="J499" s="57" t="str">
        <f aca="false">IF($I499="","",INDEX(BookRate,494)*(1+'5. Scenarios'!$C$10)*$I499)</f>
        <v/>
      </c>
      <c r="K499" s="57" t="str">
        <f aca="false">IF($J499="","",SUMIFS($J$6:$J$2405,$A$6:$A$2405,"&lt;="&amp;$A499))</f>
        <v/>
      </c>
      <c r="L499" s="57" t="str">
        <f aca="false">IF($J499="","",IF($K499&lt;=BankCostEnvelope*'5. Scenarios'!$C$7,1,0))</f>
        <v/>
      </c>
      <c r="M499" s="57" t="str">
        <f aca="false">IF($I499="","",INDEX(BookRate,494)*(1+'5. Scenarios'!$C$10)*(INDEX(BookQ1,494)*(5-MIN(4,1+'5. Scenarios'!$C$8))/4+INDEX(BookQ2,494)*(5-MIN(4,2+'5. Scenarios'!$C$8))/4+INDEX(BookQ3,494)*(5-MIN(4,3+'5. Scenarios'!$C$8))/4+INDEX(BookQ4,494)*(5-MIN(4,4+'5. Scenarios'!$C$8))/4)*'5. Scenarios'!$C$6/(1+ProductivityDefault*('5. Scenarios'!$C$11-1))+INDEX(BookOneOff,494)*$I499)</f>
        <v/>
      </c>
      <c r="N499" s="56" t="str">
        <f aca="false">IF(INDEX(BookTitle,494)="","",INDEX(BookTotal,494)*'5. Scenarios'!$D$6/(1+ProductivityDefault*('5. Scenarios'!$D$11-1)))</f>
        <v/>
      </c>
      <c r="O499" s="57" t="str">
        <f aca="false">IF($N499="","",INDEX(BookRate,494)*(1+'5. Scenarios'!$D$10)*$N499)</f>
        <v/>
      </c>
      <c r="P499" s="57" t="str">
        <f aca="false">IF($O499="","",SUMIFS($O$6:$O$2405,$A$6:$A$2405,"&lt;="&amp;$A499))</f>
        <v/>
      </c>
      <c r="Q499" s="57" t="str">
        <f aca="false">IF($O499="","",IF($P499&lt;=BankCostEnvelope*'5. Scenarios'!$D$7,1,0))</f>
        <v/>
      </c>
      <c r="R499" s="57" t="str">
        <f aca="false">IF($N499="","",INDEX(BookRate,494)*(1+'5. Scenarios'!$D$10)*(INDEX(BookQ1,494)*(5-MIN(4,1+'5. Scenarios'!$D$8))/4+INDEX(BookQ2,494)*(5-MIN(4,2+'5. Scenarios'!$D$8))/4+INDEX(BookQ3,494)*(5-MIN(4,3+'5. Scenarios'!$D$8))/4+INDEX(BookQ4,494)*(5-MIN(4,4+'5. Scenarios'!$D$8))/4)*'5. Scenarios'!$D$6/(1+ProductivityDefault*('5. Scenarios'!$D$11-1))+INDEX(BookOneOff,494)*$N499)</f>
        <v/>
      </c>
      <c r="S499" s="56" t="str">
        <f aca="false">IF(INDEX(BookTitle,494)="","",INDEX(BookTotal,494)*'5. Scenarios'!$E$6/(1+ProductivityDefault*('5. Scenarios'!$E$11-1)))</f>
        <v/>
      </c>
      <c r="T499" s="57" t="str">
        <f aca="false">IF($S499="","",INDEX(BookRate,494)*(1+'5. Scenarios'!$E$10)*$S499)</f>
        <v/>
      </c>
      <c r="U499" s="57" t="str">
        <f aca="false">IF($T499="","",SUMIFS($T$6:$T$2405,$A$6:$A$2405,"&lt;="&amp;$A499))</f>
        <v/>
      </c>
      <c r="V499" s="57" t="str">
        <f aca="false">IF($T499="","",IF($U499&lt;=BankCostEnvelope*'5. Scenarios'!$E$7,1,0))</f>
        <v/>
      </c>
      <c r="W499" s="57" t="str">
        <f aca="false">IF($S499="","",INDEX(BookRate,494)*(1+'5. Scenarios'!$E$10)*(INDEX(BookQ1,494)*(5-MIN(4,1+'5. Scenarios'!$E$8))/4+INDEX(BookQ2,494)*(5-MIN(4,2+'5. Scenarios'!$E$8))/4+INDEX(BookQ3,494)*(5-MIN(4,3+'5. Scenarios'!$E$8))/4+INDEX(BookQ4,494)*(5-MIN(4,4+'5. Scenarios'!$E$8))/4)*'5. Scenarios'!$E$6/(1+ProductivityDefault*('5. Scenarios'!$E$11-1))+INDEX(BookOneOff,494)*$S499)</f>
        <v/>
      </c>
    </row>
    <row r="500" customFormat="false" ht="15" hidden="false" customHeight="false" outlineLevel="0" collapsed="false">
      <c r="A500" s="0" t="str">
        <f aca="false">IF(INDEX(BookTitle,495)="","",INDEX(BookKey,495))</f>
        <v/>
      </c>
      <c r="B500" s="0" t="str">
        <f aca="false">IF(INDEX(BookTitle,495)="","",INDEX(BookGroup,495))</f>
        <v/>
      </c>
      <c r="C500" s="0" t="str">
        <f aca="false">IF(INDEX(BookTitle,495)="","",INDEX(BookCategory,495))</f>
        <v/>
      </c>
      <c r="D500" s="56" t="str">
        <f aca="false">IF(INDEX(BookTitle,495)="","",INDEX(BookTotal,495)*'5. Scenarios'!$B$6/(1+ProductivityDefault*('5. Scenarios'!$B$11-1)))</f>
        <v/>
      </c>
      <c r="E500" s="57" t="str">
        <f aca="false">IF($D500="","",INDEX(BookRate,495)*(1+'5. Scenarios'!$B$10)*$D500)</f>
        <v/>
      </c>
      <c r="F500" s="57" t="str">
        <f aca="false">IF($E500="","",SUMIFS($E$6:$E$2405,$A$6:$A$2405,"&lt;="&amp;$A500))</f>
        <v/>
      </c>
      <c r="G500" s="57" t="str">
        <f aca="false">IF($E500="","",IF($F500&lt;=BankCostEnvelope*'5. Scenarios'!$B$7,1,0))</f>
        <v/>
      </c>
      <c r="H500" s="57" t="str">
        <f aca="false">IF($D500="","",INDEX(BookRate,495)*(1+'5. Scenarios'!$B$10)*(INDEX(BookQ1,495)*(5-MIN(4,1+'5. Scenarios'!$B$8))/4+INDEX(BookQ2,495)*(5-MIN(4,2+'5. Scenarios'!$B$8))/4+INDEX(BookQ3,495)*(5-MIN(4,3+'5. Scenarios'!$B$8))/4+INDEX(BookQ4,495)*(5-MIN(4,4+'5. Scenarios'!$B$8))/4)*'5. Scenarios'!$B$6/(1+ProductivityDefault*('5. Scenarios'!$B$11-1))+INDEX(BookOneOff,495)*$D500)</f>
        <v/>
      </c>
      <c r="I500" s="56" t="str">
        <f aca="false">IF(INDEX(BookTitle,495)="","",INDEX(BookTotal,495)*'5. Scenarios'!$C$6/(1+ProductivityDefault*('5. Scenarios'!$C$11-1)))</f>
        <v/>
      </c>
      <c r="J500" s="57" t="str">
        <f aca="false">IF($I500="","",INDEX(BookRate,495)*(1+'5. Scenarios'!$C$10)*$I500)</f>
        <v/>
      </c>
      <c r="K500" s="57" t="str">
        <f aca="false">IF($J500="","",SUMIFS($J$6:$J$2405,$A$6:$A$2405,"&lt;="&amp;$A500))</f>
        <v/>
      </c>
      <c r="L500" s="57" t="str">
        <f aca="false">IF($J500="","",IF($K500&lt;=BankCostEnvelope*'5. Scenarios'!$C$7,1,0))</f>
        <v/>
      </c>
      <c r="M500" s="57" t="str">
        <f aca="false">IF($I500="","",INDEX(BookRate,495)*(1+'5. Scenarios'!$C$10)*(INDEX(BookQ1,495)*(5-MIN(4,1+'5. Scenarios'!$C$8))/4+INDEX(BookQ2,495)*(5-MIN(4,2+'5. Scenarios'!$C$8))/4+INDEX(BookQ3,495)*(5-MIN(4,3+'5. Scenarios'!$C$8))/4+INDEX(BookQ4,495)*(5-MIN(4,4+'5. Scenarios'!$C$8))/4)*'5. Scenarios'!$C$6/(1+ProductivityDefault*('5. Scenarios'!$C$11-1))+INDEX(BookOneOff,495)*$I500)</f>
        <v/>
      </c>
      <c r="N500" s="56" t="str">
        <f aca="false">IF(INDEX(BookTitle,495)="","",INDEX(BookTotal,495)*'5. Scenarios'!$D$6/(1+ProductivityDefault*('5. Scenarios'!$D$11-1)))</f>
        <v/>
      </c>
      <c r="O500" s="57" t="str">
        <f aca="false">IF($N500="","",INDEX(BookRate,495)*(1+'5. Scenarios'!$D$10)*$N500)</f>
        <v/>
      </c>
      <c r="P500" s="57" t="str">
        <f aca="false">IF($O500="","",SUMIFS($O$6:$O$2405,$A$6:$A$2405,"&lt;="&amp;$A500))</f>
        <v/>
      </c>
      <c r="Q500" s="57" t="str">
        <f aca="false">IF($O500="","",IF($P500&lt;=BankCostEnvelope*'5. Scenarios'!$D$7,1,0))</f>
        <v/>
      </c>
      <c r="R500" s="57" t="str">
        <f aca="false">IF($N500="","",INDEX(BookRate,495)*(1+'5. Scenarios'!$D$10)*(INDEX(BookQ1,495)*(5-MIN(4,1+'5. Scenarios'!$D$8))/4+INDEX(BookQ2,495)*(5-MIN(4,2+'5. Scenarios'!$D$8))/4+INDEX(BookQ3,495)*(5-MIN(4,3+'5. Scenarios'!$D$8))/4+INDEX(BookQ4,495)*(5-MIN(4,4+'5. Scenarios'!$D$8))/4)*'5. Scenarios'!$D$6/(1+ProductivityDefault*('5. Scenarios'!$D$11-1))+INDEX(BookOneOff,495)*$N500)</f>
        <v/>
      </c>
      <c r="S500" s="56" t="str">
        <f aca="false">IF(INDEX(BookTitle,495)="","",INDEX(BookTotal,495)*'5. Scenarios'!$E$6/(1+ProductivityDefault*('5. Scenarios'!$E$11-1)))</f>
        <v/>
      </c>
      <c r="T500" s="57" t="str">
        <f aca="false">IF($S500="","",INDEX(BookRate,495)*(1+'5. Scenarios'!$E$10)*$S500)</f>
        <v/>
      </c>
      <c r="U500" s="57" t="str">
        <f aca="false">IF($T500="","",SUMIFS($T$6:$T$2405,$A$6:$A$2405,"&lt;="&amp;$A500))</f>
        <v/>
      </c>
      <c r="V500" s="57" t="str">
        <f aca="false">IF($T500="","",IF($U500&lt;=BankCostEnvelope*'5. Scenarios'!$E$7,1,0))</f>
        <v/>
      </c>
      <c r="W500" s="57" t="str">
        <f aca="false">IF($S500="","",INDEX(BookRate,495)*(1+'5. Scenarios'!$E$10)*(INDEX(BookQ1,495)*(5-MIN(4,1+'5. Scenarios'!$E$8))/4+INDEX(BookQ2,495)*(5-MIN(4,2+'5. Scenarios'!$E$8))/4+INDEX(BookQ3,495)*(5-MIN(4,3+'5. Scenarios'!$E$8))/4+INDEX(BookQ4,495)*(5-MIN(4,4+'5. Scenarios'!$E$8))/4)*'5. Scenarios'!$E$6/(1+ProductivityDefault*('5. Scenarios'!$E$11-1))+INDEX(BookOneOff,495)*$S500)</f>
        <v/>
      </c>
    </row>
    <row r="501" customFormat="false" ht="15" hidden="false" customHeight="false" outlineLevel="0" collapsed="false">
      <c r="A501" s="0" t="str">
        <f aca="false">IF(INDEX(BookTitle,496)="","",INDEX(BookKey,496))</f>
        <v/>
      </c>
      <c r="B501" s="0" t="str">
        <f aca="false">IF(INDEX(BookTitle,496)="","",INDEX(BookGroup,496))</f>
        <v/>
      </c>
      <c r="C501" s="0" t="str">
        <f aca="false">IF(INDEX(BookTitle,496)="","",INDEX(BookCategory,496))</f>
        <v/>
      </c>
      <c r="D501" s="56" t="str">
        <f aca="false">IF(INDEX(BookTitle,496)="","",INDEX(BookTotal,496)*'5. Scenarios'!$B$6/(1+ProductivityDefault*('5. Scenarios'!$B$11-1)))</f>
        <v/>
      </c>
      <c r="E501" s="57" t="str">
        <f aca="false">IF($D501="","",INDEX(BookRate,496)*(1+'5. Scenarios'!$B$10)*$D501)</f>
        <v/>
      </c>
      <c r="F501" s="57" t="str">
        <f aca="false">IF($E501="","",SUMIFS($E$6:$E$2405,$A$6:$A$2405,"&lt;="&amp;$A501))</f>
        <v/>
      </c>
      <c r="G501" s="57" t="str">
        <f aca="false">IF($E501="","",IF($F501&lt;=BankCostEnvelope*'5. Scenarios'!$B$7,1,0))</f>
        <v/>
      </c>
      <c r="H501" s="57" t="str">
        <f aca="false">IF($D501="","",INDEX(BookRate,496)*(1+'5. Scenarios'!$B$10)*(INDEX(BookQ1,496)*(5-MIN(4,1+'5. Scenarios'!$B$8))/4+INDEX(BookQ2,496)*(5-MIN(4,2+'5. Scenarios'!$B$8))/4+INDEX(BookQ3,496)*(5-MIN(4,3+'5. Scenarios'!$B$8))/4+INDEX(BookQ4,496)*(5-MIN(4,4+'5. Scenarios'!$B$8))/4)*'5. Scenarios'!$B$6/(1+ProductivityDefault*('5. Scenarios'!$B$11-1))+INDEX(BookOneOff,496)*$D501)</f>
        <v/>
      </c>
      <c r="I501" s="56" t="str">
        <f aca="false">IF(INDEX(BookTitle,496)="","",INDEX(BookTotal,496)*'5. Scenarios'!$C$6/(1+ProductivityDefault*('5. Scenarios'!$C$11-1)))</f>
        <v/>
      </c>
      <c r="J501" s="57" t="str">
        <f aca="false">IF($I501="","",INDEX(BookRate,496)*(1+'5. Scenarios'!$C$10)*$I501)</f>
        <v/>
      </c>
      <c r="K501" s="57" t="str">
        <f aca="false">IF($J501="","",SUMIFS($J$6:$J$2405,$A$6:$A$2405,"&lt;="&amp;$A501))</f>
        <v/>
      </c>
      <c r="L501" s="57" t="str">
        <f aca="false">IF($J501="","",IF($K501&lt;=BankCostEnvelope*'5. Scenarios'!$C$7,1,0))</f>
        <v/>
      </c>
      <c r="M501" s="57" t="str">
        <f aca="false">IF($I501="","",INDEX(BookRate,496)*(1+'5. Scenarios'!$C$10)*(INDEX(BookQ1,496)*(5-MIN(4,1+'5. Scenarios'!$C$8))/4+INDEX(BookQ2,496)*(5-MIN(4,2+'5. Scenarios'!$C$8))/4+INDEX(BookQ3,496)*(5-MIN(4,3+'5. Scenarios'!$C$8))/4+INDEX(BookQ4,496)*(5-MIN(4,4+'5. Scenarios'!$C$8))/4)*'5. Scenarios'!$C$6/(1+ProductivityDefault*('5. Scenarios'!$C$11-1))+INDEX(BookOneOff,496)*$I501)</f>
        <v/>
      </c>
      <c r="N501" s="56" t="str">
        <f aca="false">IF(INDEX(BookTitle,496)="","",INDEX(BookTotal,496)*'5. Scenarios'!$D$6/(1+ProductivityDefault*('5. Scenarios'!$D$11-1)))</f>
        <v/>
      </c>
      <c r="O501" s="57" t="str">
        <f aca="false">IF($N501="","",INDEX(BookRate,496)*(1+'5. Scenarios'!$D$10)*$N501)</f>
        <v/>
      </c>
      <c r="P501" s="57" t="str">
        <f aca="false">IF($O501="","",SUMIFS($O$6:$O$2405,$A$6:$A$2405,"&lt;="&amp;$A501))</f>
        <v/>
      </c>
      <c r="Q501" s="57" t="str">
        <f aca="false">IF($O501="","",IF($P501&lt;=BankCostEnvelope*'5. Scenarios'!$D$7,1,0))</f>
        <v/>
      </c>
      <c r="R501" s="57" t="str">
        <f aca="false">IF($N501="","",INDEX(BookRate,496)*(1+'5. Scenarios'!$D$10)*(INDEX(BookQ1,496)*(5-MIN(4,1+'5. Scenarios'!$D$8))/4+INDEX(BookQ2,496)*(5-MIN(4,2+'5. Scenarios'!$D$8))/4+INDEX(BookQ3,496)*(5-MIN(4,3+'5. Scenarios'!$D$8))/4+INDEX(BookQ4,496)*(5-MIN(4,4+'5. Scenarios'!$D$8))/4)*'5. Scenarios'!$D$6/(1+ProductivityDefault*('5. Scenarios'!$D$11-1))+INDEX(BookOneOff,496)*$N501)</f>
        <v/>
      </c>
      <c r="S501" s="56" t="str">
        <f aca="false">IF(INDEX(BookTitle,496)="","",INDEX(BookTotal,496)*'5. Scenarios'!$E$6/(1+ProductivityDefault*('5. Scenarios'!$E$11-1)))</f>
        <v/>
      </c>
      <c r="T501" s="57" t="str">
        <f aca="false">IF($S501="","",INDEX(BookRate,496)*(1+'5. Scenarios'!$E$10)*$S501)</f>
        <v/>
      </c>
      <c r="U501" s="57" t="str">
        <f aca="false">IF($T501="","",SUMIFS($T$6:$T$2405,$A$6:$A$2405,"&lt;="&amp;$A501))</f>
        <v/>
      </c>
      <c r="V501" s="57" t="str">
        <f aca="false">IF($T501="","",IF($U501&lt;=BankCostEnvelope*'5. Scenarios'!$E$7,1,0))</f>
        <v/>
      </c>
      <c r="W501" s="57" t="str">
        <f aca="false">IF($S501="","",INDEX(BookRate,496)*(1+'5. Scenarios'!$E$10)*(INDEX(BookQ1,496)*(5-MIN(4,1+'5. Scenarios'!$E$8))/4+INDEX(BookQ2,496)*(5-MIN(4,2+'5. Scenarios'!$E$8))/4+INDEX(BookQ3,496)*(5-MIN(4,3+'5. Scenarios'!$E$8))/4+INDEX(BookQ4,496)*(5-MIN(4,4+'5. Scenarios'!$E$8))/4)*'5. Scenarios'!$E$6/(1+ProductivityDefault*('5. Scenarios'!$E$11-1))+INDEX(BookOneOff,496)*$S501)</f>
        <v/>
      </c>
    </row>
    <row r="502" customFormat="false" ht="15" hidden="false" customHeight="false" outlineLevel="0" collapsed="false">
      <c r="A502" s="0" t="str">
        <f aca="false">IF(INDEX(BookTitle,497)="","",INDEX(BookKey,497))</f>
        <v/>
      </c>
      <c r="B502" s="0" t="str">
        <f aca="false">IF(INDEX(BookTitle,497)="","",INDEX(BookGroup,497))</f>
        <v/>
      </c>
      <c r="C502" s="0" t="str">
        <f aca="false">IF(INDEX(BookTitle,497)="","",INDEX(BookCategory,497))</f>
        <v/>
      </c>
      <c r="D502" s="56" t="str">
        <f aca="false">IF(INDEX(BookTitle,497)="","",INDEX(BookTotal,497)*'5. Scenarios'!$B$6/(1+ProductivityDefault*('5. Scenarios'!$B$11-1)))</f>
        <v/>
      </c>
      <c r="E502" s="57" t="str">
        <f aca="false">IF($D502="","",INDEX(BookRate,497)*(1+'5. Scenarios'!$B$10)*$D502)</f>
        <v/>
      </c>
      <c r="F502" s="57" t="str">
        <f aca="false">IF($E502="","",SUMIFS($E$6:$E$2405,$A$6:$A$2405,"&lt;="&amp;$A502))</f>
        <v/>
      </c>
      <c r="G502" s="57" t="str">
        <f aca="false">IF($E502="","",IF($F502&lt;=BankCostEnvelope*'5. Scenarios'!$B$7,1,0))</f>
        <v/>
      </c>
      <c r="H502" s="57" t="str">
        <f aca="false">IF($D502="","",INDEX(BookRate,497)*(1+'5. Scenarios'!$B$10)*(INDEX(BookQ1,497)*(5-MIN(4,1+'5. Scenarios'!$B$8))/4+INDEX(BookQ2,497)*(5-MIN(4,2+'5. Scenarios'!$B$8))/4+INDEX(BookQ3,497)*(5-MIN(4,3+'5. Scenarios'!$B$8))/4+INDEX(BookQ4,497)*(5-MIN(4,4+'5. Scenarios'!$B$8))/4)*'5. Scenarios'!$B$6/(1+ProductivityDefault*('5. Scenarios'!$B$11-1))+INDEX(BookOneOff,497)*$D502)</f>
        <v/>
      </c>
      <c r="I502" s="56" t="str">
        <f aca="false">IF(INDEX(BookTitle,497)="","",INDEX(BookTotal,497)*'5. Scenarios'!$C$6/(1+ProductivityDefault*('5. Scenarios'!$C$11-1)))</f>
        <v/>
      </c>
      <c r="J502" s="57" t="str">
        <f aca="false">IF($I502="","",INDEX(BookRate,497)*(1+'5. Scenarios'!$C$10)*$I502)</f>
        <v/>
      </c>
      <c r="K502" s="57" t="str">
        <f aca="false">IF($J502="","",SUMIFS($J$6:$J$2405,$A$6:$A$2405,"&lt;="&amp;$A502))</f>
        <v/>
      </c>
      <c r="L502" s="57" t="str">
        <f aca="false">IF($J502="","",IF($K502&lt;=BankCostEnvelope*'5. Scenarios'!$C$7,1,0))</f>
        <v/>
      </c>
      <c r="M502" s="57" t="str">
        <f aca="false">IF($I502="","",INDEX(BookRate,497)*(1+'5. Scenarios'!$C$10)*(INDEX(BookQ1,497)*(5-MIN(4,1+'5. Scenarios'!$C$8))/4+INDEX(BookQ2,497)*(5-MIN(4,2+'5. Scenarios'!$C$8))/4+INDEX(BookQ3,497)*(5-MIN(4,3+'5. Scenarios'!$C$8))/4+INDEX(BookQ4,497)*(5-MIN(4,4+'5. Scenarios'!$C$8))/4)*'5. Scenarios'!$C$6/(1+ProductivityDefault*('5. Scenarios'!$C$11-1))+INDEX(BookOneOff,497)*$I502)</f>
        <v/>
      </c>
      <c r="N502" s="56" t="str">
        <f aca="false">IF(INDEX(BookTitle,497)="","",INDEX(BookTotal,497)*'5. Scenarios'!$D$6/(1+ProductivityDefault*('5. Scenarios'!$D$11-1)))</f>
        <v/>
      </c>
      <c r="O502" s="57" t="str">
        <f aca="false">IF($N502="","",INDEX(BookRate,497)*(1+'5. Scenarios'!$D$10)*$N502)</f>
        <v/>
      </c>
      <c r="P502" s="57" t="str">
        <f aca="false">IF($O502="","",SUMIFS($O$6:$O$2405,$A$6:$A$2405,"&lt;="&amp;$A502))</f>
        <v/>
      </c>
      <c r="Q502" s="57" t="str">
        <f aca="false">IF($O502="","",IF($P502&lt;=BankCostEnvelope*'5. Scenarios'!$D$7,1,0))</f>
        <v/>
      </c>
      <c r="R502" s="57" t="str">
        <f aca="false">IF($N502="","",INDEX(BookRate,497)*(1+'5. Scenarios'!$D$10)*(INDEX(BookQ1,497)*(5-MIN(4,1+'5. Scenarios'!$D$8))/4+INDEX(BookQ2,497)*(5-MIN(4,2+'5. Scenarios'!$D$8))/4+INDEX(BookQ3,497)*(5-MIN(4,3+'5. Scenarios'!$D$8))/4+INDEX(BookQ4,497)*(5-MIN(4,4+'5. Scenarios'!$D$8))/4)*'5. Scenarios'!$D$6/(1+ProductivityDefault*('5. Scenarios'!$D$11-1))+INDEX(BookOneOff,497)*$N502)</f>
        <v/>
      </c>
      <c r="S502" s="56" t="str">
        <f aca="false">IF(INDEX(BookTitle,497)="","",INDEX(BookTotal,497)*'5. Scenarios'!$E$6/(1+ProductivityDefault*('5. Scenarios'!$E$11-1)))</f>
        <v/>
      </c>
      <c r="T502" s="57" t="str">
        <f aca="false">IF($S502="","",INDEX(BookRate,497)*(1+'5. Scenarios'!$E$10)*$S502)</f>
        <v/>
      </c>
      <c r="U502" s="57" t="str">
        <f aca="false">IF($T502="","",SUMIFS($T$6:$T$2405,$A$6:$A$2405,"&lt;="&amp;$A502))</f>
        <v/>
      </c>
      <c r="V502" s="57" t="str">
        <f aca="false">IF($T502="","",IF($U502&lt;=BankCostEnvelope*'5. Scenarios'!$E$7,1,0))</f>
        <v/>
      </c>
      <c r="W502" s="57" t="str">
        <f aca="false">IF($S502="","",INDEX(BookRate,497)*(1+'5. Scenarios'!$E$10)*(INDEX(BookQ1,497)*(5-MIN(4,1+'5. Scenarios'!$E$8))/4+INDEX(BookQ2,497)*(5-MIN(4,2+'5. Scenarios'!$E$8))/4+INDEX(BookQ3,497)*(5-MIN(4,3+'5. Scenarios'!$E$8))/4+INDEX(BookQ4,497)*(5-MIN(4,4+'5. Scenarios'!$E$8))/4)*'5. Scenarios'!$E$6/(1+ProductivityDefault*('5. Scenarios'!$E$11-1))+INDEX(BookOneOff,497)*$S502)</f>
        <v/>
      </c>
    </row>
    <row r="503" customFormat="false" ht="15" hidden="false" customHeight="false" outlineLevel="0" collapsed="false">
      <c r="A503" s="0" t="str">
        <f aca="false">IF(INDEX(BookTitle,498)="","",INDEX(BookKey,498))</f>
        <v/>
      </c>
      <c r="B503" s="0" t="str">
        <f aca="false">IF(INDEX(BookTitle,498)="","",INDEX(BookGroup,498))</f>
        <v/>
      </c>
      <c r="C503" s="0" t="str">
        <f aca="false">IF(INDEX(BookTitle,498)="","",INDEX(BookCategory,498))</f>
        <v/>
      </c>
      <c r="D503" s="56" t="str">
        <f aca="false">IF(INDEX(BookTitle,498)="","",INDEX(BookTotal,498)*'5. Scenarios'!$B$6/(1+ProductivityDefault*('5. Scenarios'!$B$11-1)))</f>
        <v/>
      </c>
      <c r="E503" s="57" t="str">
        <f aca="false">IF($D503="","",INDEX(BookRate,498)*(1+'5. Scenarios'!$B$10)*$D503)</f>
        <v/>
      </c>
      <c r="F503" s="57" t="str">
        <f aca="false">IF($E503="","",SUMIFS($E$6:$E$2405,$A$6:$A$2405,"&lt;="&amp;$A503))</f>
        <v/>
      </c>
      <c r="G503" s="57" t="str">
        <f aca="false">IF($E503="","",IF($F503&lt;=BankCostEnvelope*'5. Scenarios'!$B$7,1,0))</f>
        <v/>
      </c>
      <c r="H503" s="57" t="str">
        <f aca="false">IF($D503="","",INDEX(BookRate,498)*(1+'5. Scenarios'!$B$10)*(INDEX(BookQ1,498)*(5-MIN(4,1+'5. Scenarios'!$B$8))/4+INDEX(BookQ2,498)*(5-MIN(4,2+'5. Scenarios'!$B$8))/4+INDEX(BookQ3,498)*(5-MIN(4,3+'5. Scenarios'!$B$8))/4+INDEX(BookQ4,498)*(5-MIN(4,4+'5. Scenarios'!$B$8))/4)*'5. Scenarios'!$B$6/(1+ProductivityDefault*('5. Scenarios'!$B$11-1))+INDEX(BookOneOff,498)*$D503)</f>
        <v/>
      </c>
      <c r="I503" s="56" t="str">
        <f aca="false">IF(INDEX(BookTitle,498)="","",INDEX(BookTotal,498)*'5. Scenarios'!$C$6/(1+ProductivityDefault*('5. Scenarios'!$C$11-1)))</f>
        <v/>
      </c>
      <c r="J503" s="57" t="str">
        <f aca="false">IF($I503="","",INDEX(BookRate,498)*(1+'5. Scenarios'!$C$10)*$I503)</f>
        <v/>
      </c>
      <c r="K503" s="57" t="str">
        <f aca="false">IF($J503="","",SUMIFS($J$6:$J$2405,$A$6:$A$2405,"&lt;="&amp;$A503))</f>
        <v/>
      </c>
      <c r="L503" s="57" t="str">
        <f aca="false">IF($J503="","",IF($K503&lt;=BankCostEnvelope*'5. Scenarios'!$C$7,1,0))</f>
        <v/>
      </c>
      <c r="M503" s="57" t="str">
        <f aca="false">IF($I503="","",INDEX(BookRate,498)*(1+'5. Scenarios'!$C$10)*(INDEX(BookQ1,498)*(5-MIN(4,1+'5. Scenarios'!$C$8))/4+INDEX(BookQ2,498)*(5-MIN(4,2+'5. Scenarios'!$C$8))/4+INDEX(BookQ3,498)*(5-MIN(4,3+'5. Scenarios'!$C$8))/4+INDEX(BookQ4,498)*(5-MIN(4,4+'5. Scenarios'!$C$8))/4)*'5. Scenarios'!$C$6/(1+ProductivityDefault*('5. Scenarios'!$C$11-1))+INDEX(BookOneOff,498)*$I503)</f>
        <v/>
      </c>
      <c r="N503" s="56" t="str">
        <f aca="false">IF(INDEX(BookTitle,498)="","",INDEX(BookTotal,498)*'5. Scenarios'!$D$6/(1+ProductivityDefault*('5. Scenarios'!$D$11-1)))</f>
        <v/>
      </c>
      <c r="O503" s="57" t="str">
        <f aca="false">IF($N503="","",INDEX(BookRate,498)*(1+'5. Scenarios'!$D$10)*$N503)</f>
        <v/>
      </c>
      <c r="P503" s="57" t="str">
        <f aca="false">IF($O503="","",SUMIFS($O$6:$O$2405,$A$6:$A$2405,"&lt;="&amp;$A503))</f>
        <v/>
      </c>
      <c r="Q503" s="57" t="str">
        <f aca="false">IF($O503="","",IF($P503&lt;=BankCostEnvelope*'5. Scenarios'!$D$7,1,0))</f>
        <v/>
      </c>
      <c r="R503" s="57" t="str">
        <f aca="false">IF($N503="","",INDEX(BookRate,498)*(1+'5. Scenarios'!$D$10)*(INDEX(BookQ1,498)*(5-MIN(4,1+'5. Scenarios'!$D$8))/4+INDEX(BookQ2,498)*(5-MIN(4,2+'5. Scenarios'!$D$8))/4+INDEX(BookQ3,498)*(5-MIN(4,3+'5. Scenarios'!$D$8))/4+INDEX(BookQ4,498)*(5-MIN(4,4+'5. Scenarios'!$D$8))/4)*'5. Scenarios'!$D$6/(1+ProductivityDefault*('5. Scenarios'!$D$11-1))+INDEX(BookOneOff,498)*$N503)</f>
        <v/>
      </c>
      <c r="S503" s="56" t="str">
        <f aca="false">IF(INDEX(BookTitle,498)="","",INDEX(BookTotal,498)*'5. Scenarios'!$E$6/(1+ProductivityDefault*('5. Scenarios'!$E$11-1)))</f>
        <v/>
      </c>
      <c r="T503" s="57" t="str">
        <f aca="false">IF($S503="","",INDEX(BookRate,498)*(1+'5. Scenarios'!$E$10)*$S503)</f>
        <v/>
      </c>
      <c r="U503" s="57" t="str">
        <f aca="false">IF($T503="","",SUMIFS($T$6:$T$2405,$A$6:$A$2405,"&lt;="&amp;$A503))</f>
        <v/>
      </c>
      <c r="V503" s="57" t="str">
        <f aca="false">IF($T503="","",IF($U503&lt;=BankCostEnvelope*'5. Scenarios'!$E$7,1,0))</f>
        <v/>
      </c>
      <c r="W503" s="57" t="str">
        <f aca="false">IF($S503="","",INDEX(BookRate,498)*(1+'5. Scenarios'!$E$10)*(INDEX(BookQ1,498)*(5-MIN(4,1+'5. Scenarios'!$E$8))/4+INDEX(BookQ2,498)*(5-MIN(4,2+'5. Scenarios'!$E$8))/4+INDEX(BookQ3,498)*(5-MIN(4,3+'5. Scenarios'!$E$8))/4+INDEX(BookQ4,498)*(5-MIN(4,4+'5. Scenarios'!$E$8))/4)*'5. Scenarios'!$E$6/(1+ProductivityDefault*('5. Scenarios'!$E$11-1))+INDEX(BookOneOff,498)*$S503)</f>
        <v/>
      </c>
    </row>
    <row r="504" customFormat="false" ht="15" hidden="false" customHeight="false" outlineLevel="0" collapsed="false">
      <c r="A504" s="0" t="str">
        <f aca="false">IF(INDEX(BookTitle,499)="","",INDEX(BookKey,499))</f>
        <v/>
      </c>
      <c r="B504" s="0" t="str">
        <f aca="false">IF(INDEX(BookTitle,499)="","",INDEX(BookGroup,499))</f>
        <v/>
      </c>
      <c r="C504" s="0" t="str">
        <f aca="false">IF(INDEX(BookTitle,499)="","",INDEX(BookCategory,499))</f>
        <v/>
      </c>
      <c r="D504" s="56" t="str">
        <f aca="false">IF(INDEX(BookTitle,499)="","",INDEX(BookTotal,499)*'5. Scenarios'!$B$6/(1+ProductivityDefault*('5. Scenarios'!$B$11-1)))</f>
        <v/>
      </c>
      <c r="E504" s="57" t="str">
        <f aca="false">IF($D504="","",INDEX(BookRate,499)*(1+'5. Scenarios'!$B$10)*$D504)</f>
        <v/>
      </c>
      <c r="F504" s="57" t="str">
        <f aca="false">IF($E504="","",SUMIFS($E$6:$E$2405,$A$6:$A$2405,"&lt;="&amp;$A504))</f>
        <v/>
      </c>
      <c r="G504" s="57" t="str">
        <f aca="false">IF($E504="","",IF($F504&lt;=BankCostEnvelope*'5. Scenarios'!$B$7,1,0))</f>
        <v/>
      </c>
      <c r="H504" s="57" t="str">
        <f aca="false">IF($D504="","",INDEX(BookRate,499)*(1+'5. Scenarios'!$B$10)*(INDEX(BookQ1,499)*(5-MIN(4,1+'5. Scenarios'!$B$8))/4+INDEX(BookQ2,499)*(5-MIN(4,2+'5. Scenarios'!$B$8))/4+INDEX(BookQ3,499)*(5-MIN(4,3+'5. Scenarios'!$B$8))/4+INDEX(BookQ4,499)*(5-MIN(4,4+'5. Scenarios'!$B$8))/4)*'5. Scenarios'!$B$6/(1+ProductivityDefault*('5. Scenarios'!$B$11-1))+INDEX(BookOneOff,499)*$D504)</f>
        <v/>
      </c>
      <c r="I504" s="56" t="str">
        <f aca="false">IF(INDEX(BookTitle,499)="","",INDEX(BookTotal,499)*'5. Scenarios'!$C$6/(1+ProductivityDefault*('5. Scenarios'!$C$11-1)))</f>
        <v/>
      </c>
      <c r="J504" s="57" t="str">
        <f aca="false">IF($I504="","",INDEX(BookRate,499)*(1+'5. Scenarios'!$C$10)*$I504)</f>
        <v/>
      </c>
      <c r="K504" s="57" t="str">
        <f aca="false">IF($J504="","",SUMIFS($J$6:$J$2405,$A$6:$A$2405,"&lt;="&amp;$A504))</f>
        <v/>
      </c>
      <c r="L504" s="57" t="str">
        <f aca="false">IF($J504="","",IF($K504&lt;=BankCostEnvelope*'5. Scenarios'!$C$7,1,0))</f>
        <v/>
      </c>
      <c r="M504" s="57" t="str">
        <f aca="false">IF($I504="","",INDEX(BookRate,499)*(1+'5. Scenarios'!$C$10)*(INDEX(BookQ1,499)*(5-MIN(4,1+'5. Scenarios'!$C$8))/4+INDEX(BookQ2,499)*(5-MIN(4,2+'5. Scenarios'!$C$8))/4+INDEX(BookQ3,499)*(5-MIN(4,3+'5. Scenarios'!$C$8))/4+INDEX(BookQ4,499)*(5-MIN(4,4+'5. Scenarios'!$C$8))/4)*'5. Scenarios'!$C$6/(1+ProductivityDefault*('5. Scenarios'!$C$11-1))+INDEX(BookOneOff,499)*$I504)</f>
        <v/>
      </c>
      <c r="N504" s="56" t="str">
        <f aca="false">IF(INDEX(BookTitle,499)="","",INDEX(BookTotal,499)*'5. Scenarios'!$D$6/(1+ProductivityDefault*('5. Scenarios'!$D$11-1)))</f>
        <v/>
      </c>
      <c r="O504" s="57" t="str">
        <f aca="false">IF($N504="","",INDEX(BookRate,499)*(1+'5. Scenarios'!$D$10)*$N504)</f>
        <v/>
      </c>
      <c r="P504" s="57" t="str">
        <f aca="false">IF($O504="","",SUMIFS($O$6:$O$2405,$A$6:$A$2405,"&lt;="&amp;$A504))</f>
        <v/>
      </c>
      <c r="Q504" s="57" t="str">
        <f aca="false">IF($O504="","",IF($P504&lt;=BankCostEnvelope*'5. Scenarios'!$D$7,1,0))</f>
        <v/>
      </c>
      <c r="R504" s="57" t="str">
        <f aca="false">IF($N504="","",INDEX(BookRate,499)*(1+'5. Scenarios'!$D$10)*(INDEX(BookQ1,499)*(5-MIN(4,1+'5. Scenarios'!$D$8))/4+INDEX(BookQ2,499)*(5-MIN(4,2+'5. Scenarios'!$D$8))/4+INDEX(BookQ3,499)*(5-MIN(4,3+'5. Scenarios'!$D$8))/4+INDEX(BookQ4,499)*(5-MIN(4,4+'5. Scenarios'!$D$8))/4)*'5. Scenarios'!$D$6/(1+ProductivityDefault*('5. Scenarios'!$D$11-1))+INDEX(BookOneOff,499)*$N504)</f>
        <v/>
      </c>
      <c r="S504" s="56" t="str">
        <f aca="false">IF(INDEX(BookTitle,499)="","",INDEX(BookTotal,499)*'5. Scenarios'!$E$6/(1+ProductivityDefault*('5. Scenarios'!$E$11-1)))</f>
        <v/>
      </c>
      <c r="T504" s="57" t="str">
        <f aca="false">IF($S504="","",INDEX(BookRate,499)*(1+'5. Scenarios'!$E$10)*$S504)</f>
        <v/>
      </c>
      <c r="U504" s="57" t="str">
        <f aca="false">IF($T504="","",SUMIFS($T$6:$T$2405,$A$6:$A$2405,"&lt;="&amp;$A504))</f>
        <v/>
      </c>
      <c r="V504" s="57" t="str">
        <f aca="false">IF($T504="","",IF($U504&lt;=BankCostEnvelope*'5. Scenarios'!$E$7,1,0))</f>
        <v/>
      </c>
      <c r="W504" s="57" t="str">
        <f aca="false">IF($S504="","",INDEX(BookRate,499)*(1+'5. Scenarios'!$E$10)*(INDEX(BookQ1,499)*(5-MIN(4,1+'5. Scenarios'!$E$8))/4+INDEX(BookQ2,499)*(5-MIN(4,2+'5. Scenarios'!$E$8))/4+INDEX(BookQ3,499)*(5-MIN(4,3+'5. Scenarios'!$E$8))/4+INDEX(BookQ4,499)*(5-MIN(4,4+'5. Scenarios'!$E$8))/4)*'5. Scenarios'!$E$6/(1+ProductivityDefault*('5. Scenarios'!$E$11-1))+INDEX(BookOneOff,499)*$S504)</f>
        <v/>
      </c>
    </row>
    <row r="505" customFormat="false" ht="15" hidden="false" customHeight="false" outlineLevel="0" collapsed="false">
      <c r="A505" s="0" t="str">
        <f aca="false">IF(INDEX(BookTitle,500)="","",INDEX(BookKey,500))</f>
        <v/>
      </c>
      <c r="B505" s="0" t="str">
        <f aca="false">IF(INDEX(BookTitle,500)="","",INDEX(BookGroup,500))</f>
        <v/>
      </c>
      <c r="C505" s="0" t="str">
        <f aca="false">IF(INDEX(BookTitle,500)="","",INDEX(BookCategory,500))</f>
        <v/>
      </c>
      <c r="D505" s="56" t="str">
        <f aca="false">IF(INDEX(BookTitle,500)="","",INDEX(BookTotal,500)*'5. Scenarios'!$B$6/(1+ProductivityDefault*('5. Scenarios'!$B$11-1)))</f>
        <v/>
      </c>
      <c r="E505" s="57" t="str">
        <f aca="false">IF($D505="","",INDEX(BookRate,500)*(1+'5. Scenarios'!$B$10)*$D505)</f>
        <v/>
      </c>
      <c r="F505" s="57" t="str">
        <f aca="false">IF($E505="","",SUMIFS($E$6:$E$2405,$A$6:$A$2405,"&lt;="&amp;$A505))</f>
        <v/>
      </c>
      <c r="G505" s="57" t="str">
        <f aca="false">IF($E505="","",IF($F505&lt;=BankCostEnvelope*'5. Scenarios'!$B$7,1,0))</f>
        <v/>
      </c>
      <c r="H505" s="57" t="str">
        <f aca="false">IF($D505="","",INDEX(BookRate,500)*(1+'5. Scenarios'!$B$10)*(INDEX(BookQ1,500)*(5-MIN(4,1+'5. Scenarios'!$B$8))/4+INDEX(BookQ2,500)*(5-MIN(4,2+'5. Scenarios'!$B$8))/4+INDEX(BookQ3,500)*(5-MIN(4,3+'5. Scenarios'!$B$8))/4+INDEX(BookQ4,500)*(5-MIN(4,4+'5. Scenarios'!$B$8))/4)*'5. Scenarios'!$B$6/(1+ProductivityDefault*('5. Scenarios'!$B$11-1))+INDEX(BookOneOff,500)*$D505)</f>
        <v/>
      </c>
      <c r="I505" s="56" t="str">
        <f aca="false">IF(INDEX(BookTitle,500)="","",INDEX(BookTotal,500)*'5. Scenarios'!$C$6/(1+ProductivityDefault*('5. Scenarios'!$C$11-1)))</f>
        <v/>
      </c>
      <c r="J505" s="57" t="str">
        <f aca="false">IF($I505="","",INDEX(BookRate,500)*(1+'5. Scenarios'!$C$10)*$I505)</f>
        <v/>
      </c>
      <c r="K505" s="57" t="str">
        <f aca="false">IF($J505="","",SUMIFS($J$6:$J$2405,$A$6:$A$2405,"&lt;="&amp;$A505))</f>
        <v/>
      </c>
      <c r="L505" s="57" t="str">
        <f aca="false">IF($J505="","",IF($K505&lt;=BankCostEnvelope*'5. Scenarios'!$C$7,1,0))</f>
        <v/>
      </c>
      <c r="M505" s="57" t="str">
        <f aca="false">IF($I505="","",INDEX(BookRate,500)*(1+'5. Scenarios'!$C$10)*(INDEX(BookQ1,500)*(5-MIN(4,1+'5. Scenarios'!$C$8))/4+INDEX(BookQ2,500)*(5-MIN(4,2+'5. Scenarios'!$C$8))/4+INDEX(BookQ3,500)*(5-MIN(4,3+'5. Scenarios'!$C$8))/4+INDEX(BookQ4,500)*(5-MIN(4,4+'5. Scenarios'!$C$8))/4)*'5. Scenarios'!$C$6/(1+ProductivityDefault*('5. Scenarios'!$C$11-1))+INDEX(BookOneOff,500)*$I505)</f>
        <v/>
      </c>
      <c r="N505" s="56" t="str">
        <f aca="false">IF(INDEX(BookTitle,500)="","",INDEX(BookTotal,500)*'5. Scenarios'!$D$6/(1+ProductivityDefault*('5. Scenarios'!$D$11-1)))</f>
        <v/>
      </c>
      <c r="O505" s="57" t="str">
        <f aca="false">IF($N505="","",INDEX(BookRate,500)*(1+'5. Scenarios'!$D$10)*$N505)</f>
        <v/>
      </c>
      <c r="P505" s="57" t="str">
        <f aca="false">IF($O505="","",SUMIFS($O$6:$O$2405,$A$6:$A$2405,"&lt;="&amp;$A505))</f>
        <v/>
      </c>
      <c r="Q505" s="57" t="str">
        <f aca="false">IF($O505="","",IF($P505&lt;=BankCostEnvelope*'5. Scenarios'!$D$7,1,0))</f>
        <v/>
      </c>
      <c r="R505" s="57" t="str">
        <f aca="false">IF($N505="","",INDEX(BookRate,500)*(1+'5. Scenarios'!$D$10)*(INDEX(BookQ1,500)*(5-MIN(4,1+'5. Scenarios'!$D$8))/4+INDEX(BookQ2,500)*(5-MIN(4,2+'5. Scenarios'!$D$8))/4+INDEX(BookQ3,500)*(5-MIN(4,3+'5. Scenarios'!$D$8))/4+INDEX(BookQ4,500)*(5-MIN(4,4+'5. Scenarios'!$D$8))/4)*'5. Scenarios'!$D$6/(1+ProductivityDefault*('5. Scenarios'!$D$11-1))+INDEX(BookOneOff,500)*$N505)</f>
        <v/>
      </c>
      <c r="S505" s="56" t="str">
        <f aca="false">IF(INDEX(BookTitle,500)="","",INDEX(BookTotal,500)*'5. Scenarios'!$E$6/(1+ProductivityDefault*('5. Scenarios'!$E$11-1)))</f>
        <v/>
      </c>
      <c r="T505" s="57" t="str">
        <f aca="false">IF($S505="","",INDEX(BookRate,500)*(1+'5. Scenarios'!$E$10)*$S505)</f>
        <v/>
      </c>
      <c r="U505" s="57" t="str">
        <f aca="false">IF($T505="","",SUMIFS($T$6:$T$2405,$A$6:$A$2405,"&lt;="&amp;$A505))</f>
        <v/>
      </c>
      <c r="V505" s="57" t="str">
        <f aca="false">IF($T505="","",IF($U505&lt;=BankCostEnvelope*'5. Scenarios'!$E$7,1,0))</f>
        <v/>
      </c>
      <c r="W505" s="57" t="str">
        <f aca="false">IF($S505="","",INDEX(BookRate,500)*(1+'5. Scenarios'!$E$10)*(INDEX(BookQ1,500)*(5-MIN(4,1+'5. Scenarios'!$E$8))/4+INDEX(BookQ2,500)*(5-MIN(4,2+'5. Scenarios'!$E$8))/4+INDEX(BookQ3,500)*(5-MIN(4,3+'5. Scenarios'!$E$8))/4+INDEX(BookQ4,500)*(5-MIN(4,4+'5. Scenarios'!$E$8))/4)*'5. Scenarios'!$E$6/(1+ProductivityDefault*('5. Scenarios'!$E$11-1))+INDEX(BookOneOff,500)*$S505)</f>
        <v/>
      </c>
    </row>
    <row r="506" customFormat="false" ht="15" hidden="false" customHeight="false" outlineLevel="0" collapsed="false">
      <c r="A506" s="0" t="str">
        <f aca="false">IF(INDEX(BookTitle,501)="","",INDEX(BookKey,501))</f>
        <v/>
      </c>
      <c r="B506" s="0" t="str">
        <f aca="false">IF(INDEX(BookTitle,501)="","",INDEX(BookGroup,501))</f>
        <v/>
      </c>
      <c r="C506" s="0" t="str">
        <f aca="false">IF(INDEX(BookTitle,501)="","",INDEX(BookCategory,501))</f>
        <v/>
      </c>
      <c r="D506" s="56" t="str">
        <f aca="false">IF(INDEX(BookTitle,501)="","",INDEX(BookTotal,501)*'5. Scenarios'!$B$6/(1+ProductivityDefault*('5. Scenarios'!$B$11-1)))</f>
        <v/>
      </c>
      <c r="E506" s="57" t="str">
        <f aca="false">IF($D506="","",INDEX(BookRate,501)*(1+'5. Scenarios'!$B$10)*$D506)</f>
        <v/>
      </c>
      <c r="F506" s="57" t="str">
        <f aca="false">IF($E506="","",SUMIFS($E$6:$E$2405,$A$6:$A$2405,"&lt;="&amp;$A506))</f>
        <v/>
      </c>
      <c r="G506" s="57" t="str">
        <f aca="false">IF($E506="","",IF($F506&lt;=BankCostEnvelope*'5. Scenarios'!$B$7,1,0))</f>
        <v/>
      </c>
      <c r="H506" s="57" t="str">
        <f aca="false">IF($D506="","",INDEX(BookRate,501)*(1+'5. Scenarios'!$B$10)*(INDEX(BookQ1,501)*(5-MIN(4,1+'5. Scenarios'!$B$8))/4+INDEX(BookQ2,501)*(5-MIN(4,2+'5. Scenarios'!$B$8))/4+INDEX(BookQ3,501)*(5-MIN(4,3+'5. Scenarios'!$B$8))/4+INDEX(BookQ4,501)*(5-MIN(4,4+'5. Scenarios'!$B$8))/4)*'5. Scenarios'!$B$6/(1+ProductivityDefault*('5. Scenarios'!$B$11-1))+INDEX(BookOneOff,501)*$D506)</f>
        <v/>
      </c>
      <c r="I506" s="56" t="str">
        <f aca="false">IF(INDEX(BookTitle,501)="","",INDEX(BookTotal,501)*'5. Scenarios'!$C$6/(1+ProductivityDefault*('5. Scenarios'!$C$11-1)))</f>
        <v/>
      </c>
      <c r="J506" s="57" t="str">
        <f aca="false">IF($I506="","",INDEX(BookRate,501)*(1+'5. Scenarios'!$C$10)*$I506)</f>
        <v/>
      </c>
      <c r="K506" s="57" t="str">
        <f aca="false">IF($J506="","",SUMIFS($J$6:$J$2405,$A$6:$A$2405,"&lt;="&amp;$A506))</f>
        <v/>
      </c>
      <c r="L506" s="57" t="str">
        <f aca="false">IF($J506="","",IF($K506&lt;=BankCostEnvelope*'5. Scenarios'!$C$7,1,0))</f>
        <v/>
      </c>
      <c r="M506" s="57" t="str">
        <f aca="false">IF($I506="","",INDEX(BookRate,501)*(1+'5. Scenarios'!$C$10)*(INDEX(BookQ1,501)*(5-MIN(4,1+'5. Scenarios'!$C$8))/4+INDEX(BookQ2,501)*(5-MIN(4,2+'5. Scenarios'!$C$8))/4+INDEX(BookQ3,501)*(5-MIN(4,3+'5. Scenarios'!$C$8))/4+INDEX(BookQ4,501)*(5-MIN(4,4+'5. Scenarios'!$C$8))/4)*'5. Scenarios'!$C$6/(1+ProductivityDefault*('5. Scenarios'!$C$11-1))+INDEX(BookOneOff,501)*$I506)</f>
        <v/>
      </c>
      <c r="N506" s="56" t="str">
        <f aca="false">IF(INDEX(BookTitle,501)="","",INDEX(BookTotal,501)*'5. Scenarios'!$D$6/(1+ProductivityDefault*('5. Scenarios'!$D$11-1)))</f>
        <v/>
      </c>
      <c r="O506" s="57" t="str">
        <f aca="false">IF($N506="","",INDEX(BookRate,501)*(1+'5. Scenarios'!$D$10)*$N506)</f>
        <v/>
      </c>
      <c r="P506" s="57" t="str">
        <f aca="false">IF($O506="","",SUMIFS($O$6:$O$2405,$A$6:$A$2405,"&lt;="&amp;$A506))</f>
        <v/>
      </c>
      <c r="Q506" s="57" t="str">
        <f aca="false">IF($O506="","",IF($P506&lt;=BankCostEnvelope*'5. Scenarios'!$D$7,1,0))</f>
        <v/>
      </c>
      <c r="R506" s="57" t="str">
        <f aca="false">IF($N506="","",INDEX(BookRate,501)*(1+'5. Scenarios'!$D$10)*(INDEX(BookQ1,501)*(5-MIN(4,1+'5. Scenarios'!$D$8))/4+INDEX(BookQ2,501)*(5-MIN(4,2+'5. Scenarios'!$D$8))/4+INDEX(BookQ3,501)*(5-MIN(4,3+'5. Scenarios'!$D$8))/4+INDEX(BookQ4,501)*(5-MIN(4,4+'5. Scenarios'!$D$8))/4)*'5. Scenarios'!$D$6/(1+ProductivityDefault*('5. Scenarios'!$D$11-1))+INDEX(BookOneOff,501)*$N506)</f>
        <v/>
      </c>
      <c r="S506" s="56" t="str">
        <f aca="false">IF(INDEX(BookTitle,501)="","",INDEX(BookTotal,501)*'5. Scenarios'!$E$6/(1+ProductivityDefault*('5. Scenarios'!$E$11-1)))</f>
        <v/>
      </c>
      <c r="T506" s="57" t="str">
        <f aca="false">IF($S506="","",INDEX(BookRate,501)*(1+'5. Scenarios'!$E$10)*$S506)</f>
        <v/>
      </c>
      <c r="U506" s="57" t="str">
        <f aca="false">IF($T506="","",SUMIFS($T$6:$T$2405,$A$6:$A$2405,"&lt;="&amp;$A506))</f>
        <v/>
      </c>
      <c r="V506" s="57" t="str">
        <f aca="false">IF($T506="","",IF($U506&lt;=BankCostEnvelope*'5. Scenarios'!$E$7,1,0))</f>
        <v/>
      </c>
      <c r="W506" s="57" t="str">
        <f aca="false">IF($S506="","",INDEX(BookRate,501)*(1+'5. Scenarios'!$E$10)*(INDEX(BookQ1,501)*(5-MIN(4,1+'5. Scenarios'!$E$8))/4+INDEX(BookQ2,501)*(5-MIN(4,2+'5. Scenarios'!$E$8))/4+INDEX(BookQ3,501)*(5-MIN(4,3+'5. Scenarios'!$E$8))/4+INDEX(BookQ4,501)*(5-MIN(4,4+'5. Scenarios'!$E$8))/4)*'5. Scenarios'!$E$6/(1+ProductivityDefault*('5. Scenarios'!$E$11-1))+INDEX(BookOneOff,501)*$S506)</f>
        <v/>
      </c>
    </row>
    <row r="507" customFormat="false" ht="15" hidden="false" customHeight="false" outlineLevel="0" collapsed="false">
      <c r="A507" s="0" t="str">
        <f aca="false">IF(INDEX(BookTitle,502)="","",INDEX(BookKey,502))</f>
        <v/>
      </c>
      <c r="B507" s="0" t="str">
        <f aca="false">IF(INDEX(BookTitle,502)="","",INDEX(BookGroup,502))</f>
        <v/>
      </c>
      <c r="C507" s="0" t="str">
        <f aca="false">IF(INDEX(BookTitle,502)="","",INDEX(BookCategory,502))</f>
        <v/>
      </c>
      <c r="D507" s="56" t="str">
        <f aca="false">IF(INDEX(BookTitle,502)="","",INDEX(BookTotal,502)*'5. Scenarios'!$B$6/(1+ProductivityDefault*('5. Scenarios'!$B$11-1)))</f>
        <v/>
      </c>
      <c r="E507" s="57" t="str">
        <f aca="false">IF($D507="","",INDEX(BookRate,502)*(1+'5. Scenarios'!$B$10)*$D507)</f>
        <v/>
      </c>
      <c r="F507" s="57" t="str">
        <f aca="false">IF($E507="","",SUMIFS($E$6:$E$2405,$A$6:$A$2405,"&lt;="&amp;$A507))</f>
        <v/>
      </c>
      <c r="G507" s="57" t="str">
        <f aca="false">IF($E507="","",IF($F507&lt;=BankCostEnvelope*'5. Scenarios'!$B$7,1,0))</f>
        <v/>
      </c>
      <c r="H507" s="57" t="str">
        <f aca="false">IF($D507="","",INDEX(BookRate,502)*(1+'5. Scenarios'!$B$10)*(INDEX(BookQ1,502)*(5-MIN(4,1+'5. Scenarios'!$B$8))/4+INDEX(BookQ2,502)*(5-MIN(4,2+'5. Scenarios'!$B$8))/4+INDEX(BookQ3,502)*(5-MIN(4,3+'5. Scenarios'!$B$8))/4+INDEX(BookQ4,502)*(5-MIN(4,4+'5. Scenarios'!$B$8))/4)*'5. Scenarios'!$B$6/(1+ProductivityDefault*('5. Scenarios'!$B$11-1))+INDEX(BookOneOff,502)*$D507)</f>
        <v/>
      </c>
      <c r="I507" s="56" t="str">
        <f aca="false">IF(INDEX(BookTitle,502)="","",INDEX(BookTotal,502)*'5. Scenarios'!$C$6/(1+ProductivityDefault*('5. Scenarios'!$C$11-1)))</f>
        <v/>
      </c>
      <c r="J507" s="57" t="str">
        <f aca="false">IF($I507="","",INDEX(BookRate,502)*(1+'5. Scenarios'!$C$10)*$I507)</f>
        <v/>
      </c>
      <c r="K507" s="57" t="str">
        <f aca="false">IF($J507="","",SUMIFS($J$6:$J$2405,$A$6:$A$2405,"&lt;="&amp;$A507))</f>
        <v/>
      </c>
      <c r="L507" s="57" t="str">
        <f aca="false">IF($J507="","",IF($K507&lt;=BankCostEnvelope*'5. Scenarios'!$C$7,1,0))</f>
        <v/>
      </c>
      <c r="M507" s="57" t="str">
        <f aca="false">IF($I507="","",INDEX(BookRate,502)*(1+'5. Scenarios'!$C$10)*(INDEX(BookQ1,502)*(5-MIN(4,1+'5. Scenarios'!$C$8))/4+INDEX(BookQ2,502)*(5-MIN(4,2+'5. Scenarios'!$C$8))/4+INDEX(BookQ3,502)*(5-MIN(4,3+'5. Scenarios'!$C$8))/4+INDEX(BookQ4,502)*(5-MIN(4,4+'5. Scenarios'!$C$8))/4)*'5. Scenarios'!$C$6/(1+ProductivityDefault*('5. Scenarios'!$C$11-1))+INDEX(BookOneOff,502)*$I507)</f>
        <v/>
      </c>
      <c r="N507" s="56" t="str">
        <f aca="false">IF(INDEX(BookTitle,502)="","",INDEX(BookTotal,502)*'5. Scenarios'!$D$6/(1+ProductivityDefault*('5. Scenarios'!$D$11-1)))</f>
        <v/>
      </c>
      <c r="O507" s="57" t="str">
        <f aca="false">IF($N507="","",INDEX(BookRate,502)*(1+'5. Scenarios'!$D$10)*$N507)</f>
        <v/>
      </c>
      <c r="P507" s="57" t="str">
        <f aca="false">IF($O507="","",SUMIFS($O$6:$O$2405,$A$6:$A$2405,"&lt;="&amp;$A507))</f>
        <v/>
      </c>
      <c r="Q507" s="57" t="str">
        <f aca="false">IF($O507="","",IF($P507&lt;=BankCostEnvelope*'5. Scenarios'!$D$7,1,0))</f>
        <v/>
      </c>
      <c r="R507" s="57" t="str">
        <f aca="false">IF($N507="","",INDEX(BookRate,502)*(1+'5. Scenarios'!$D$10)*(INDEX(BookQ1,502)*(5-MIN(4,1+'5. Scenarios'!$D$8))/4+INDEX(BookQ2,502)*(5-MIN(4,2+'5. Scenarios'!$D$8))/4+INDEX(BookQ3,502)*(5-MIN(4,3+'5. Scenarios'!$D$8))/4+INDEX(BookQ4,502)*(5-MIN(4,4+'5. Scenarios'!$D$8))/4)*'5. Scenarios'!$D$6/(1+ProductivityDefault*('5. Scenarios'!$D$11-1))+INDEX(BookOneOff,502)*$N507)</f>
        <v/>
      </c>
      <c r="S507" s="56" t="str">
        <f aca="false">IF(INDEX(BookTitle,502)="","",INDEX(BookTotal,502)*'5. Scenarios'!$E$6/(1+ProductivityDefault*('5. Scenarios'!$E$11-1)))</f>
        <v/>
      </c>
      <c r="T507" s="57" t="str">
        <f aca="false">IF($S507="","",INDEX(BookRate,502)*(1+'5. Scenarios'!$E$10)*$S507)</f>
        <v/>
      </c>
      <c r="U507" s="57" t="str">
        <f aca="false">IF($T507="","",SUMIFS($T$6:$T$2405,$A$6:$A$2405,"&lt;="&amp;$A507))</f>
        <v/>
      </c>
      <c r="V507" s="57" t="str">
        <f aca="false">IF($T507="","",IF($U507&lt;=BankCostEnvelope*'5. Scenarios'!$E$7,1,0))</f>
        <v/>
      </c>
      <c r="W507" s="57" t="str">
        <f aca="false">IF($S507="","",INDEX(BookRate,502)*(1+'5. Scenarios'!$E$10)*(INDEX(BookQ1,502)*(5-MIN(4,1+'5. Scenarios'!$E$8))/4+INDEX(BookQ2,502)*(5-MIN(4,2+'5. Scenarios'!$E$8))/4+INDEX(BookQ3,502)*(5-MIN(4,3+'5. Scenarios'!$E$8))/4+INDEX(BookQ4,502)*(5-MIN(4,4+'5. Scenarios'!$E$8))/4)*'5. Scenarios'!$E$6/(1+ProductivityDefault*('5. Scenarios'!$E$11-1))+INDEX(BookOneOff,502)*$S507)</f>
        <v/>
      </c>
    </row>
    <row r="508" customFormat="false" ht="15" hidden="false" customHeight="false" outlineLevel="0" collapsed="false">
      <c r="A508" s="0" t="str">
        <f aca="false">IF(INDEX(BookTitle,503)="","",INDEX(BookKey,503))</f>
        <v/>
      </c>
      <c r="B508" s="0" t="str">
        <f aca="false">IF(INDEX(BookTitle,503)="","",INDEX(BookGroup,503))</f>
        <v/>
      </c>
      <c r="C508" s="0" t="str">
        <f aca="false">IF(INDEX(BookTitle,503)="","",INDEX(BookCategory,503))</f>
        <v/>
      </c>
      <c r="D508" s="56" t="str">
        <f aca="false">IF(INDEX(BookTitle,503)="","",INDEX(BookTotal,503)*'5. Scenarios'!$B$6/(1+ProductivityDefault*('5. Scenarios'!$B$11-1)))</f>
        <v/>
      </c>
      <c r="E508" s="57" t="str">
        <f aca="false">IF($D508="","",INDEX(BookRate,503)*(1+'5. Scenarios'!$B$10)*$D508)</f>
        <v/>
      </c>
      <c r="F508" s="57" t="str">
        <f aca="false">IF($E508="","",SUMIFS($E$6:$E$2405,$A$6:$A$2405,"&lt;="&amp;$A508))</f>
        <v/>
      </c>
      <c r="G508" s="57" t="str">
        <f aca="false">IF($E508="","",IF($F508&lt;=BankCostEnvelope*'5. Scenarios'!$B$7,1,0))</f>
        <v/>
      </c>
      <c r="H508" s="57" t="str">
        <f aca="false">IF($D508="","",INDEX(BookRate,503)*(1+'5. Scenarios'!$B$10)*(INDEX(BookQ1,503)*(5-MIN(4,1+'5. Scenarios'!$B$8))/4+INDEX(BookQ2,503)*(5-MIN(4,2+'5. Scenarios'!$B$8))/4+INDEX(BookQ3,503)*(5-MIN(4,3+'5. Scenarios'!$B$8))/4+INDEX(BookQ4,503)*(5-MIN(4,4+'5. Scenarios'!$B$8))/4)*'5. Scenarios'!$B$6/(1+ProductivityDefault*('5. Scenarios'!$B$11-1))+INDEX(BookOneOff,503)*$D508)</f>
        <v/>
      </c>
      <c r="I508" s="56" t="str">
        <f aca="false">IF(INDEX(BookTitle,503)="","",INDEX(BookTotal,503)*'5. Scenarios'!$C$6/(1+ProductivityDefault*('5. Scenarios'!$C$11-1)))</f>
        <v/>
      </c>
      <c r="J508" s="57" t="str">
        <f aca="false">IF($I508="","",INDEX(BookRate,503)*(1+'5. Scenarios'!$C$10)*$I508)</f>
        <v/>
      </c>
      <c r="K508" s="57" t="str">
        <f aca="false">IF($J508="","",SUMIFS($J$6:$J$2405,$A$6:$A$2405,"&lt;="&amp;$A508))</f>
        <v/>
      </c>
      <c r="L508" s="57" t="str">
        <f aca="false">IF($J508="","",IF($K508&lt;=BankCostEnvelope*'5. Scenarios'!$C$7,1,0))</f>
        <v/>
      </c>
      <c r="M508" s="57" t="str">
        <f aca="false">IF($I508="","",INDEX(BookRate,503)*(1+'5. Scenarios'!$C$10)*(INDEX(BookQ1,503)*(5-MIN(4,1+'5. Scenarios'!$C$8))/4+INDEX(BookQ2,503)*(5-MIN(4,2+'5. Scenarios'!$C$8))/4+INDEX(BookQ3,503)*(5-MIN(4,3+'5. Scenarios'!$C$8))/4+INDEX(BookQ4,503)*(5-MIN(4,4+'5. Scenarios'!$C$8))/4)*'5. Scenarios'!$C$6/(1+ProductivityDefault*('5. Scenarios'!$C$11-1))+INDEX(BookOneOff,503)*$I508)</f>
        <v/>
      </c>
      <c r="N508" s="56" t="str">
        <f aca="false">IF(INDEX(BookTitle,503)="","",INDEX(BookTotal,503)*'5. Scenarios'!$D$6/(1+ProductivityDefault*('5. Scenarios'!$D$11-1)))</f>
        <v/>
      </c>
      <c r="O508" s="57" t="str">
        <f aca="false">IF($N508="","",INDEX(BookRate,503)*(1+'5. Scenarios'!$D$10)*$N508)</f>
        <v/>
      </c>
      <c r="P508" s="57" t="str">
        <f aca="false">IF($O508="","",SUMIFS($O$6:$O$2405,$A$6:$A$2405,"&lt;="&amp;$A508))</f>
        <v/>
      </c>
      <c r="Q508" s="57" t="str">
        <f aca="false">IF($O508="","",IF($P508&lt;=BankCostEnvelope*'5. Scenarios'!$D$7,1,0))</f>
        <v/>
      </c>
      <c r="R508" s="57" t="str">
        <f aca="false">IF($N508="","",INDEX(BookRate,503)*(1+'5. Scenarios'!$D$10)*(INDEX(BookQ1,503)*(5-MIN(4,1+'5. Scenarios'!$D$8))/4+INDEX(BookQ2,503)*(5-MIN(4,2+'5. Scenarios'!$D$8))/4+INDEX(BookQ3,503)*(5-MIN(4,3+'5. Scenarios'!$D$8))/4+INDEX(BookQ4,503)*(5-MIN(4,4+'5. Scenarios'!$D$8))/4)*'5. Scenarios'!$D$6/(1+ProductivityDefault*('5. Scenarios'!$D$11-1))+INDEX(BookOneOff,503)*$N508)</f>
        <v/>
      </c>
      <c r="S508" s="56" t="str">
        <f aca="false">IF(INDEX(BookTitle,503)="","",INDEX(BookTotal,503)*'5. Scenarios'!$E$6/(1+ProductivityDefault*('5. Scenarios'!$E$11-1)))</f>
        <v/>
      </c>
      <c r="T508" s="57" t="str">
        <f aca="false">IF($S508="","",INDEX(BookRate,503)*(1+'5. Scenarios'!$E$10)*$S508)</f>
        <v/>
      </c>
      <c r="U508" s="57" t="str">
        <f aca="false">IF($T508="","",SUMIFS($T$6:$T$2405,$A$6:$A$2405,"&lt;="&amp;$A508))</f>
        <v/>
      </c>
      <c r="V508" s="57" t="str">
        <f aca="false">IF($T508="","",IF($U508&lt;=BankCostEnvelope*'5. Scenarios'!$E$7,1,0))</f>
        <v/>
      </c>
      <c r="W508" s="57" t="str">
        <f aca="false">IF($S508="","",INDEX(BookRate,503)*(1+'5. Scenarios'!$E$10)*(INDEX(BookQ1,503)*(5-MIN(4,1+'5. Scenarios'!$E$8))/4+INDEX(BookQ2,503)*(5-MIN(4,2+'5. Scenarios'!$E$8))/4+INDEX(BookQ3,503)*(5-MIN(4,3+'5. Scenarios'!$E$8))/4+INDEX(BookQ4,503)*(5-MIN(4,4+'5. Scenarios'!$E$8))/4)*'5. Scenarios'!$E$6/(1+ProductivityDefault*('5. Scenarios'!$E$11-1))+INDEX(BookOneOff,503)*$S508)</f>
        <v/>
      </c>
    </row>
    <row r="509" customFormat="false" ht="15" hidden="false" customHeight="false" outlineLevel="0" collapsed="false">
      <c r="A509" s="0" t="str">
        <f aca="false">IF(INDEX(BookTitle,504)="","",INDEX(BookKey,504))</f>
        <v/>
      </c>
      <c r="B509" s="0" t="str">
        <f aca="false">IF(INDEX(BookTitle,504)="","",INDEX(BookGroup,504))</f>
        <v/>
      </c>
      <c r="C509" s="0" t="str">
        <f aca="false">IF(INDEX(BookTitle,504)="","",INDEX(BookCategory,504))</f>
        <v/>
      </c>
      <c r="D509" s="56" t="str">
        <f aca="false">IF(INDEX(BookTitle,504)="","",INDEX(BookTotal,504)*'5. Scenarios'!$B$6/(1+ProductivityDefault*('5. Scenarios'!$B$11-1)))</f>
        <v/>
      </c>
      <c r="E509" s="57" t="str">
        <f aca="false">IF($D509="","",INDEX(BookRate,504)*(1+'5. Scenarios'!$B$10)*$D509)</f>
        <v/>
      </c>
      <c r="F509" s="57" t="str">
        <f aca="false">IF($E509="","",SUMIFS($E$6:$E$2405,$A$6:$A$2405,"&lt;="&amp;$A509))</f>
        <v/>
      </c>
      <c r="G509" s="57" t="str">
        <f aca="false">IF($E509="","",IF($F509&lt;=BankCostEnvelope*'5. Scenarios'!$B$7,1,0))</f>
        <v/>
      </c>
      <c r="H509" s="57" t="str">
        <f aca="false">IF($D509="","",INDEX(BookRate,504)*(1+'5. Scenarios'!$B$10)*(INDEX(BookQ1,504)*(5-MIN(4,1+'5. Scenarios'!$B$8))/4+INDEX(BookQ2,504)*(5-MIN(4,2+'5. Scenarios'!$B$8))/4+INDEX(BookQ3,504)*(5-MIN(4,3+'5. Scenarios'!$B$8))/4+INDEX(BookQ4,504)*(5-MIN(4,4+'5. Scenarios'!$B$8))/4)*'5. Scenarios'!$B$6/(1+ProductivityDefault*('5. Scenarios'!$B$11-1))+INDEX(BookOneOff,504)*$D509)</f>
        <v/>
      </c>
      <c r="I509" s="56" t="str">
        <f aca="false">IF(INDEX(BookTitle,504)="","",INDEX(BookTotal,504)*'5. Scenarios'!$C$6/(1+ProductivityDefault*('5. Scenarios'!$C$11-1)))</f>
        <v/>
      </c>
      <c r="J509" s="57" t="str">
        <f aca="false">IF($I509="","",INDEX(BookRate,504)*(1+'5. Scenarios'!$C$10)*$I509)</f>
        <v/>
      </c>
      <c r="K509" s="57" t="str">
        <f aca="false">IF($J509="","",SUMIFS($J$6:$J$2405,$A$6:$A$2405,"&lt;="&amp;$A509))</f>
        <v/>
      </c>
      <c r="L509" s="57" t="str">
        <f aca="false">IF($J509="","",IF($K509&lt;=BankCostEnvelope*'5. Scenarios'!$C$7,1,0))</f>
        <v/>
      </c>
      <c r="M509" s="57" t="str">
        <f aca="false">IF($I509="","",INDEX(BookRate,504)*(1+'5. Scenarios'!$C$10)*(INDEX(BookQ1,504)*(5-MIN(4,1+'5. Scenarios'!$C$8))/4+INDEX(BookQ2,504)*(5-MIN(4,2+'5. Scenarios'!$C$8))/4+INDEX(BookQ3,504)*(5-MIN(4,3+'5. Scenarios'!$C$8))/4+INDEX(BookQ4,504)*(5-MIN(4,4+'5. Scenarios'!$C$8))/4)*'5. Scenarios'!$C$6/(1+ProductivityDefault*('5. Scenarios'!$C$11-1))+INDEX(BookOneOff,504)*$I509)</f>
        <v/>
      </c>
      <c r="N509" s="56" t="str">
        <f aca="false">IF(INDEX(BookTitle,504)="","",INDEX(BookTotal,504)*'5. Scenarios'!$D$6/(1+ProductivityDefault*('5. Scenarios'!$D$11-1)))</f>
        <v/>
      </c>
      <c r="O509" s="57" t="str">
        <f aca="false">IF($N509="","",INDEX(BookRate,504)*(1+'5. Scenarios'!$D$10)*$N509)</f>
        <v/>
      </c>
      <c r="P509" s="57" t="str">
        <f aca="false">IF($O509="","",SUMIFS($O$6:$O$2405,$A$6:$A$2405,"&lt;="&amp;$A509))</f>
        <v/>
      </c>
      <c r="Q509" s="57" t="str">
        <f aca="false">IF($O509="","",IF($P509&lt;=BankCostEnvelope*'5. Scenarios'!$D$7,1,0))</f>
        <v/>
      </c>
      <c r="R509" s="57" t="str">
        <f aca="false">IF($N509="","",INDEX(BookRate,504)*(1+'5. Scenarios'!$D$10)*(INDEX(BookQ1,504)*(5-MIN(4,1+'5. Scenarios'!$D$8))/4+INDEX(BookQ2,504)*(5-MIN(4,2+'5. Scenarios'!$D$8))/4+INDEX(BookQ3,504)*(5-MIN(4,3+'5. Scenarios'!$D$8))/4+INDEX(BookQ4,504)*(5-MIN(4,4+'5. Scenarios'!$D$8))/4)*'5. Scenarios'!$D$6/(1+ProductivityDefault*('5. Scenarios'!$D$11-1))+INDEX(BookOneOff,504)*$N509)</f>
        <v/>
      </c>
      <c r="S509" s="56" t="str">
        <f aca="false">IF(INDEX(BookTitle,504)="","",INDEX(BookTotal,504)*'5. Scenarios'!$E$6/(1+ProductivityDefault*('5. Scenarios'!$E$11-1)))</f>
        <v/>
      </c>
      <c r="T509" s="57" t="str">
        <f aca="false">IF($S509="","",INDEX(BookRate,504)*(1+'5. Scenarios'!$E$10)*$S509)</f>
        <v/>
      </c>
      <c r="U509" s="57" t="str">
        <f aca="false">IF($T509="","",SUMIFS($T$6:$T$2405,$A$6:$A$2405,"&lt;="&amp;$A509))</f>
        <v/>
      </c>
      <c r="V509" s="57" t="str">
        <f aca="false">IF($T509="","",IF($U509&lt;=BankCostEnvelope*'5. Scenarios'!$E$7,1,0))</f>
        <v/>
      </c>
      <c r="W509" s="57" t="str">
        <f aca="false">IF($S509="","",INDEX(BookRate,504)*(1+'5. Scenarios'!$E$10)*(INDEX(BookQ1,504)*(5-MIN(4,1+'5. Scenarios'!$E$8))/4+INDEX(BookQ2,504)*(5-MIN(4,2+'5. Scenarios'!$E$8))/4+INDEX(BookQ3,504)*(5-MIN(4,3+'5. Scenarios'!$E$8))/4+INDEX(BookQ4,504)*(5-MIN(4,4+'5. Scenarios'!$E$8))/4)*'5. Scenarios'!$E$6/(1+ProductivityDefault*('5. Scenarios'!$E$11-1))+INDEX(BookOneOff,504)*$S509)</f>
        <v/>
      </c>
    </row>
    <row r="510" customFormat="false" ht="15" hidden="false" customHeight="false" outlineLevel="0" collapsed="false">
      <c r="A510" s="0" t="str">
        <f aca="false">IF(INDEX(BookTitle,505)="","",INDEX(BookKey,505))</f>
        <v/>
      </c>
      <c r="B510" s="0" t="str">
        <f aca="false">IF(INDEX(BookTitle,505)="","",INDEX(BookGroup,505))</f>
        <v/>
      </c>
      <c r="C510" s="0" t="str">
        <f aca="false">IF(INDEX(BookTitle,505)="","",INDEX(BookCategory,505))</f>
        <v/>
      </c>
      <c r="D510" s="56" t="str">
        <f aca="false">IF(INDEX(BookTitle,505)="","",INDEX(BookTotal,505)*'5. Scenarios'!$B$6/(1+ProductivityDefault*('5. Scenarios'!$B$11-1)))</f>
        <v/>
      </c>
      <c r="E510" s="57" t="str">
        <f aca="false">IF($D510="","",INDEX(BookRate,505)*(1+'5. Scenarios'!$B$10)*$D510)</f>
        <v/>
      </c>
      <c r="F510" s="57" t="str">
        <f aca="false">IF($E510="","",SUMIFS($E$6:$E$2405,$A$6:$A$2405,"&lt;="&amp;$A510))</f>
        <v/>
      </c>
      <c r="G510" s="57" t="str">
        <f aca="false">IF($E510="","",IF($F510&lt;=BankCostEnvelope*'5. Scenarios'!$B$7,1,0))</f>
        <v/>
      </c>
      <c r="H510" s="57" t="str">
        <f aca="false">IF($D510="","",INDEX(BookRate,505)*(1+'5. Scenarios'!$B$10)*(INDEX(BookQ1,505)*(5-MIN(4,1+'5. Scenarios'!$B$8))/4+INDEX(BookQ2,505)*(5-MIN(4,2+'5. Scenarios'!$B$8))/4+INDEX(BookQ3,505)*(5-MIN(4,3+'5. Scenarios'!$B$8))/4+INDEX(BookQ4,505)*(5-MIN(4,4+'5. Scenarios'!$B$8))/4)*'5. Scenarios'!$B$6/(1+ProductivityDefault*('5. Scenarios'!$B$11-1))+INDEX(BookOneOff,505)*$D510)</f>
        <v/>
      </c>
      <c r="I510" s="56" t="str">
        <f aca="false">IF(INDEX(BookTitle,505)="","",INDEX(BookTotal,505)*'5. Scenarios'!$C$6/(1+ProductivityDefault*('5. Scenarios'!$C$11-1)))</f>
        <v/>
      </c>
      <c r="J510" s="57" t="str">
        <f aca="false">IF($I510="","",INDEX(BookRate,505)*(1+'5. Scenarios'!$C$10)*$I510)</f>
        <v/>
      </c>
      <c r="K510" s="57" t="str">
        <f aca="false">IF($J510="","",SUMIFS($J$6:$J$2405,$A$6:$A$2405,"&lt;="&amp;$A510))</f>
        <v/>
      </c>
      <c r="L510" s="57" t="str">
        <f aca="false">IF($J510="","",IF($K510&lt;=BankCostEnvelope*'5. Scenarios'!$C$7,1,0))</f>
        <v/>
      </c>
      <c r="M510" s="57" t="str">
        <f aca="false">IF($I510="","",INDEX(BookRate,505)*(1+'5. Scenarios'!$C$10)*(INDEX(BookQ1,505)*(5-MIN(4,1+'5. Scenarios'!$C$8))/4+INDEX(BookQ2,505)*(5-MIN(4,2+'5. Scenarios'!$C$8))/4+INDEX(BookQ3,505)*(5-MIN(4,3+'5. Scenarios'!$C$8))/4+INDEX(BookQ4,505)*(5-MIN(4,4+'5. Scenarios'!$C$8))/4)*'5. Scenarios'!$C$6/(1+ProductivityDefault*('5. Scenarios'!$C$11-1))+INDEX(BookOneOff,505)*$I510)</f>
        <v/>
      </c>
      <c r="N510" s="56" t="str">
        <f aca="false">IF(INDEX(BookTitle,505)="","",INDEX(BookTotal,505)*'5. Scenarios'!$D$6/(1+ProductivityDefault*('5. Scenarios'!$D$11-1)))</f>
        <v/>
      </c>
      <c r="O510" s="57" t="str">
        <f aca="false">IF($N510="","",INDEX(BookRate,505)*(1+'5. Scenarios'!$D$10)*$N510)</f>
        <v/>
      </c>
      <c r="P510" s="57" t="str">
        <f aca="false">IF($O510="","",SUMIFS($O$6:$O$2405,$A$6:$A$2405,"&lt;="&amp;$A510))</f>
        <v/>
      </c>
      <c r="Q510" s="57" t="str">
        <f aca="false">IF($O510="","",IF($P510&lt;=BankCostEnvelope*'5. Scenarios'!$D$7,1,0))</f>
        <v/>
      </c>
      <c r="R510" s="57" t="str">
        <f aca="false">IF($N510="","",INDEX(BookRate,505)*(1+'5. Scenarios'!$D$10)*(INDEX(BookQ1,505)*(5-MIN(4,1+'5. Scenarios'!$D$8))/4+INDEX(BookQ2,505)*(5-MIN(4,2+'5. Scenarios'!$D$8))/4+INDEX(BookQ3,505)*(5-MIN(4,3+'5. Scenarios'!$D$8))/4+INDEX(BookQ4,505)*(5-MIN(4,4+'5. Scenarios'!$D$8))/4)*'5. Scenarios'!$D$6/(1+ProductivityDefault*('5. Scenarios'!$D$11-1))+INDEX(BookOneOff,505)*$N510)</f>
        <v/>
      </c>
      <c r="S510" s="56" t="str">
        <f aca="false">IF(INDEX(BookTitle,505)="","",INDEX(BookTotal,505)*'5. Scenarios'!$E$6/(1+ProductivityDefault*('5. Scenarios'!$E$11-1)))</f>
        <v/>
      </c>
      <c r="T510" s="57" t="str">
        <f aca="false">IF($S510="","",INDEX(BookRate,505)*(1+'5. Scenarios'!$E$10)*$S510)</f>
        <v/>
      </c>
      <c r="U510" s="57" t="str">
        <f aca="false">IF($T510="","",SUMIFS($T$6:$T$2405,$A$6:$A$2405,"&lt;="&amp;$A510))</f>
        <v/>
      </c>
      <c r="V510" s="57" t="str">
        <f aca="false">IF($T510="","",IF($U510&lt;=BankCostEnvelope*'5. Scenarios'!$E$7,1,0))</f>
        <v/>
      </c>
      <c r="W510" s="57" t="str">
        <f aca="false">IF($S510="","",INDEX(BookRate,505)*(1+'5. Scenarios'!$E$10)*(INDEX(BookQ1,505)*(5-MIN(4,1+'5. Scenarios'!$E$8))/4+INDEX(BookQ2,505)*(5-MIN(4,2+'5. Scenarios'!$E$8))/4+INDEX(BookQ3,505)*(5-MIN(4,3+'5. Scenarios'!$E$8))/4+INDEX(BookQ4,505)*(5-MIN(4,4+'5. Scenarios'!$E$8))/4)*'5. Scenarios'!$E$6/(1+ProductivityDefault*('5. Scenarios'!$E$11-1))+INDEX(BookOneOff,505)*$S510)</f>
        <v/>
      </c>
    </row>
    <row r="511" customFormat="false" ht="15" hidden="false" customHeight="false" outlineLevel="0" collapsed="false">
      <c r="A511" s="0" t="str">
        <f aca="false">IF(INDEX(BookTitle,506)="","",INDEX(BookKey,506))</f>
        <v/>
      </c>
      <c r="B511" s="0" t="str">
        <f aca="false">IF(INDEX(BookTitle,506)="","",INDEX(BookGroup,506))</f>
        <v/>
      </c>
      <c r="C511" s="0" t="str">
        <f aca="false">IF(INDEX(BookTitle,506)="","",INDEX(BookCategory,506))</f>
        <v/>
      </c>
      <c r="D511" s="56" t="str">
        <f aca="false">IF(INDEX(BookTitle,506)="","",INDEX(BookTotal,506)*'5. Scenarios'!$B$6/(1+ProductivityDefault*('5. Scenarios'!$B$11-1)))</f>
        <v/>
      </c>
      <c r="E511" s="57" t="str">
        <f aca="false">IF($D511="","",INDEX(BookRate,506)*(1+'5. Scenarios'!$B$10)*$D511)</f>
        <v/>
      </c>
      <c r="F511" s="57" t="str">
        <f aca="false">IF($E511="","",SUMIFS($E$6:$E$2405,$A$6:$A$2405,"&lt;="&amp;$A511))</f>
        <v/>
      </c>
      <c r="G511" s="57" t="str">
        <f aca="false">IF($E511="","",IF($F511&lt;=BankCostEnvelope*'5. Scenarios'!$B$7,1,0))</f>
        <v/>
      </c>
      <c r="H511" s="57" t="str">
        <f aca="false">IF($D511="","",INDEX(BookRate,506)*(1+'5. Scenarios'!$B$10)*(INDEX(BookQ1,506)*(5-MIN(4,1+'5. Scenarios'!$B$8))/4+INDEX(BookQ2,506)*(5-MIN(4,2+'5. Scenarios'!$B$8))/4+INDEX(BookQ3,506)*(5-MIN(4,3+'5. Scenarios'!$B$8))/4+INDEX(BookQ4,506)*(5-MIN(4,4+'5. Scenarios'!$B$8))/4)*'5. Scenarios'!$B$6/(1+ProductivityDefault*('5. Scenarios'!$B$11-1))+INDEX(BookOneOff,506)*$D511)</f>
        <v/>
      </c>
      <c r="I511" s="56" t="str">
        <f aca="false">IF(INDEX(BookTitle,506)="","",INDEX(BookTotal,506)*'5. Scenarios'!$C$6/(1+ProductivityDefault*('5. Scenarios'!$C$11-1)))</f>
        <v/>
      </c>
      <c r="J511" s="57" t="str">
        <f aca="false">IF($I511="","",INDEX(BookRate,506)*(1+'5. Scenarios'!$C$10)*$I511)</f>
        <v/>
      </c>
      <c r="K511" s="57" t="str">
        <f aca="false">IF($J511="","",SUMIFS($J$6:$J$2405,$A$6:$A$2405,"&lt;="&amp;$A511))</f>
        <v/>
      </c>
      <c r="L511" s="57" t="str">
        <f aca="false">IF($J511="","",IF($K511&lt;=BankCostEnvelope*'5. Scenarios'!$C$7,1,0))</f>
        <v/>
      </c>
      <c r="M511" s="57" t="str">
        <f aca="false">IF($I511="","",INDEX(BookRate,506)*(1+'5. Scenarios'!$C$10)*(INDEX(BookQ1,506)*(5-MIN(4,1+'5. Scenarios'!$C$8))/4+INDEX(BookQ2,506)*(5-MIN(4,2+'5. Scenarios'!$C$8))/4+INDEX(BookQ3,506)*(5-MIN(4,3+'5. Scenarios'!$C$8))/4+INDEX(BookQ4,506)*(5-MIN(4,4+'5. Scenarios'!$C$8))/4)*'5. Scenarios'!$C$6/(1+ProductivityDefault*('5. Scenarios'!$C$11-1))+INDEX(BookOneOff,506)*$I511)</f>
        <v/>
      </c>
      <c r="N511" s="56" t="str">
        <f aca="false">IF(INDEX(BookTitle,506)="","",INDEX(BookTotal,506)*'5. Scenarios'!$D$6/(1+ProductivityDefault*('5. Scenarios'!$D$11-1)))</f>
        <v/>
      </c>
      <c r="O511" s="57" t="str">
        <f aca="false">IF($N511="","",INDEX(BookRate,506)*(1+'5. Scenarios'!$D$10)*$N511)</f>
        <v/>
      </c>
      <c r="P511" s="57" t="str">
        <f aca="false">IF($O511="","",SUMIFS($O$6:$O$2405,$A$6:$A$2405,"&lt;="&amp;$A511))</f>
        <v/>
      </c>
      <c r="Q511" s="57" t="str">
        <f aca="false">IF($O511="","",IF($P511&lt;=BankCostEnvelope*'5. Scenarios'!$D$7,1,0))</f>
        <v/>
      </c>
      <c r="R511" s="57" t="str">
        <f aca="false">IF($N511="","",INDEX(BookRate,506)*(1+'5. Scenarios'!$D$10)*(INDEX(BookQ1,506)*(5-MIN(4,1+'5. Scenarios'!$D$8))/4+INDEX(BookQ2,506)*(5-MIN(4,2+'5. Scenarios'!$D$8))/4+INDEX(BookQ3,506)*(5-MIN(4,3+'5. Scenarios'!$D$8))/4+INDEX(BookQ4,506)*(5-MIN(4,4+'5. Scenarios'!$D$8))/4)*'5. Scenarios'!$D$6/(1+ProductivityDefault*('5. Scenarios'!$D$11-1))+INDEX(BookOneOff,506)*$N511)</f>
        <v/>
      </c>
      <c r="S511" s="56" t="str">
        <f aca="false">IF(INDEX(BookTitle,506)="","",INDEX(BookTotal,506)*'5. Scenarios'!$E$6/(1+ProductivityDefault*('5. Scenarios'!$E$11-1)))</f>
        <v/>
      </c>
      <c r="T511" s="57" t="str">
        <f aca="false">IF($S511="","",INDEX(BookRate,506)*(1+'5. Scenarios'!$E$10)*$S511)</f>
        <v/>
      </c>
      <c r="U511" s="57" t="str">
        <f aca="false">IF($T511="","",SUMIFS($T$6:$T$2405,$A$6:$A$2405,"&lt;="&amp;$A511))</f>
        <v/>
      </c>
      <c r="V511" s="57" t="str">
        <f aca="false">IF($T511="","",IF($U511&lt;=BankCostEnvelope*'5. Scenarios'!$E$7,1,0))</f>
        <v/>
      </c>
      <c r="W511" s="57" t="str">
        <f aca="false">IF($S511="","",INDEX(BookRate,506)*(1+'5. Scenarios'!$E$10)*(INDEX(BookQ1,506)*(5-MIN(4,1+'5. Scenarios'!$E$8))/4+INDEX(BookQ2,506)*(5-MIN(4,2+'5. Scenarios'!$E$8))/4+INDEX(BookQ3,506)*(5-MIN(4,3+'5. Scenarios'!$E$8))/4+INDEX(BookQ4,506)*(5-MIN(4,4+'5. Scenarios'!$E$8))/4)*'5. Scenarios'!$E$6/(1+ProductivityDefault*('5. Scenarios'!$E$11-1))+INDEX(BookOneOff,506)*$S511)</f>
        <v/>
      </c>
    </row>
    <row r="512" customFormat="false" ht="15" hidden="false" customHeight="false" outlineLevel="0" collapsed="false">
      <c r="A512" s="0" t="str">
        <f aca="false">IF(INDEX(BookTitle,507)="","",INDEX(BookKey,507))</f>
        <v/>
      </c>
      <c r="B512" s="0" t="str">
        <f aca="false">IF(INDEX(BookTitle,507)="","",INDEX(BookGroup,507))</f>
        <v/>
      </c>
      <c r="C512" s="0" t="str">
        <f aca="false">IF(INDEX(BookTitle,507)="","",INDEX(BookCategory,507))</f>
        <v/>
      </c>
      <c r="D512" s="56" t="str">
        <f aca="false">IF(INDEX(BookTitle,507)="","",INDEX(BookTotal,507)*'5. Scenarios'!$B$6/(1+ProductivityDefault*('5. Scenarios'!$B$11-1)))</f>
        <v/>
      </c>
      <c r="E512" s="57" t="str">
        <f aca="false">IF($D512="","",INDEX(BookRate,507)*(1+'5. Scenarios'!$B$10)*$D512)</f>
        <v/>
      </c>
      <c r="F512" s="57" t="str">
        <f aca="false">IF($E512="","",SUMIFS($E$6:$E$2405,$A$6:$A$2405,"&lt;="&amp;$A512))</f>
        <v/>
      </c>
      <c r="G512" s="57" t="str">
        <f aca="false">IF($E512="","",IF($F512&lt;=BankCostEnvelope*'5. Scenarios'!$B$7,1,0))</f>
        <v/>
      </c>
      <c r="H512" s="57" t="str">
        <f aca="false">IF($D512="","",INDEX(BookRate,507)*(1+'5. Scenarios'!$B$10)*(INDEX(BookQ1,507)*(5-MIN(4,1+'5. Scenarios'!$B$8))/4+INDEX(BookQ2,507)*(5-MIN(4,2+'5. Scenarios'!$B$8))/4+INDEX(BookQ3,507)*(5-MIN(4,3+'5. Scenarios'!$B$8))/4+INDEX(BookQ4,507)*(5-MIN(4,4+'5. Scenarios'!$B$8))/4)*'5. Scenarios'!$B$6/(1+ProductivityDefault*('5. Scenarios'!$B$11-1))+INDEX(BookOneOff,507)*$D512)</f>
        <v/>
      </c>
      <c r="I512" s="56" t="str">
        <f aca="false">IF(INDEX(BookTitle,507)="","",INDEX(BookTotal,507)*'5. Scenarios'!$C$6/(1+ProductivityDefault*('5. Scenarios'!$C$11-1)))</f>
        <v/>
      </c>
      <c r="J512" s="57" t="str">
        <f aca="false">IF($I512="","",INDEX(BookRate,507)*(1+'5. Scenarios'!$C$10)*$I512)</f>
        <v/>
      </c>
      <c r="K512" s="57" t="str">
        <f aca="false">IF($J512="","",SUMIFS($J$6:$J$2405,$A$6:$A$2405,"&lt;="&amp;$A512))</f>
        <v/>
      </c>
      <c r="L512" s="57" t="str">
        <f aca="false">IF($J512="","",IF($K512&lt;=BankCostEnvelope*'5. Scenarios'!$C$7,1,0))</f>
        <v/>
      </c>
      <c r="M512" s="57" t="str">
        <f aca="false">IF($I512="","",INDEX(BookRate,507)*(1+'5. Scenarios'!$C$10)*(INDEX(BookQ1,507)*(5-MIN(4,1+'5. Scenarios'!$C$8))/4+INDEX(BookQ2,507)*(5-MIN(4,2+'5. Scenarios'!$C$8))/4+INDEX(BookQ3,507)*(5-MIN(4,3+'5. Scenarios'!$C$8))/4+INDEX(BookQ4,507)*(5-MIN(4,4+'5. Scenarios'!$C$8))/4)*'5. Scenarios'!$C$6/(1+ProductivityDefault*('5. Scenarios'!$C$11-1))+INDEX(BookOneOff,507)*$I512)</f>
        <v/>
      </c>
      <c r="N512" s="56" t="str">
        <f aca="false">IF(INDEX(BookTitle,507)="","",INDEX(BookTotal,507)*'5. Scenarios'!$D$6/(1+ProductivityDefault*('5. Scenarios'!$D$11-1)))</f>
        <v/>
      </c>
      <c r="O512" s="57" t="str">
        <f aca="false">IF($N512="","",INDEX(BookRate,507)*(1+'5. Scenarios'!$D$10)*$N512)</f>
        <v/>
      </c>
      <c r="P512" s="57" t="str">
        <f aca="false">IF($O512="","",SUMIFS($O$6:$O$2405,$A$6:$A$2405,"&lt;="&amp;$A512))</f>
        <v/>
      </c>
      <c r="Q512" s="57" t="str">
        <f aca="false">IF($O512="","",IF($P512&lt;=BankCostEnvelope*'5. Scenarios'!$D$7,1,0))</f>
        <v/>
      </c>
      <c r="R512" s="57" t="str">
        <f aca="false">IF($N512="","",INDEX(BookRate,507)*(1+'5. Scenarios'!$D$10)*(INDEX(BookQ1,507)*(5-MIN(4,1+'5. Scenarios'!$D$8))/4+INDEX(BookQ2,507)*(5-MIN(4,2+'5. Scenarios'!$D$8))/4+INDEX(BookQ3,507)*(5-MIN(4,3+'5. Scenarios'!$D$8))/4+INDEX(BookQ4,507)*(5-MIN(4,4+'5. Scenarios'!$D$8))/4)*'5. Scenarios'!$D$6/(1+ProductivityDefault*('5. Scenarios'!$D$11-1))+INDEX(BookOneOff,507)*$N512)</f>
        <v/>
      </c>
      <c r="S512" s="56" t="str">
        <f aca="false">IF(INDEX(BookTitle,507)="","",INDEX(BookTotal,507)*'5. Scenarios'!$E$6/(1+ProductivityDefault*('5. Scenarios'!$E$11-1)))</f>
        <v/>
      </c>
      <c r="T512" s="57" t="str">
        <f aca="false">IF($S512="","",INDEX(BookRate,507)*(1+'5. Scenarios'!$E$10)*$S512)</f>
        <v/>
      </c>
      <c r="U512" s="57" t="str">
        <f aca="false">IF($T512="","",SUMIFS($T$6:$T$2405,$A$6:$A$2405,"&lt;="&amp;$A512))</f>
        <v/>
      </c>
      <c r="V512" s="57" t="str">
        <f aca="false">IF($T512="","",IF($U512&lt;=BankCostEnvelope*'5. Scenarios'!$E$7,1,0))</f>
        <v/>
      </c>
      <c r="W512" s="57" t="str">
        <f aca="false">IF($S512="","",INDEX(BookRate,507)*(1+'5. Scenarios'!$E$10)*(INDEX(BookQ1,507)*(5-MIN(4,1+'5. Scenarios'!$E$8))/4+INDEX(BookQ2,507)*(5-MIN(4,2+'5. Scenarios'!$E$8))/4+INDEX(BookQ3,507)*(5-MIN(4,3+'5. Scenarios'!$E$8))/4+INDEX(BookQ4,507)*(5-MIN(4,4+'5. Scenarios'!$E$8))/4)*'5. Scenarios'!$E$6/(1+ProductivityDefault*('5. Scenarios'!$E$11-1))+INDEX(BookOneOff,507)*$S512)</f>
        <v/>
      </c>
    </row>
    <row r="513" customFormat="false" ht="15" hidden="false" customHeight="false" outlineLevel="0" collapsed="false">
      <c r="A513" s="0" t="str">
        <f aca="false">IF(INDEX(BookTitle,508)="","",INDEX(BookKey,508))</f>
        <v/>
      </c>
      <c r="B513" s="0" t="str">
        <f aca="false">IF(INDEX(BookTitle,508)="","",INDEX(BookGroup,508))</f>
        <v/>
      </c>
      <c r="C513" s="0" t="str">
        <f aca="false">IF(INDEX(BookTitle,508)="","",INDEX(BookCategory,508))</f>
        <v/>
      </c>
      <c r="D513" s="56" t="str">
        <f aca="false">IF(INDEX(BookTitle,508)="","",INDEX(BookTotal,508)*'5. Scenarios'!$B$6/(1+ProductivityDefault*('5. Scenarios'!$B$11-1)))</f>
        <v/>
      </c>
      <c r="E513" s="57" t="str">
        <f aca="false">IF($D513="","",INDEX(BookRate,508)*(1+'5. Scenarios'!$B$10)*$D513)</f>
        <v/>
      </c>
      <c r="F513" s="57" t="str">
        <f aca="false">IF($E513="","",SUMIFS($E$6:$E$2405,$A$6:$A$2405,"&lt;="&amp;$A513))</f>
        <v/>
      </c>
      <c r="G513" s="57" t="str">
        <f aca="false">IF($E513="","",IF($F513&lt;=BankCostEnvelope*'5. Scenarios'!$B$7,1,0))</f>
        <v/>
      </c>
      <c r="H513" s="57" t="str">
        <f aca="false">IF($D513="","",INDEX(BookRate,508)*(1+'5. Scenarios'!$B$10)*(INDEX(BookQ1,508)*(5-MIN(4,1+'5. Scenarios'!$B$8))/4+INDEX(BookQ2,508)*(5-MIN(4,2+'5. Scenarios'!$B$8))/4+INDEX(BookQ3,508)*(5-MIN(4,3+'5. Scenarios'!$B$8))/4+INDEX(BookQ4,508)*(5-MIN(4,4+'5. Scenarios'!$B$8))/4)*'5. Scenarios'!$B$6/(1+ProductivityDefault*('5. Scenarios'!$B$11-1))+INDEX(BookOneOff,508)*$D513)</f>
        <v/>
      </c>
      <c r="I513" s="56" t="str">
        <f aca="false">IF(INDEX(BookTitle,508)="","",INDEX(BookTotal,508)*'5. Scenarios'!$C$6/(1+ProductivityDefault*('5. Scenarios'!$C$11-1)))</f>
        <v/>
      </c>
      <c r="J513" s="57" t="str">
        <f aca="false">IF($I513="","",INDEX(BookRate,508)*(1+'5. Scenarios'!$C$10)*$I513)</f>
        <v/>
      </c>
      <c r="K513" s="57" t="str">
        <f aca="false">IF($J513="","",SUMIFS($J$6:$J$2405,$A$6:$A$2405,"&lt;="&amp;$A513))</f>
        <v/>
      </c>
      <c r="L513" s="57" t="str">
        <f aca="false">IF($J513="","",IF($K513&lt;=BankCostEnvelope*'5. Scenarios'!$C$7,1,0))</f>
        <v/>
      </c>
      <c r="M513" s="57" t="str">
        <f aca="false">IF($I513="","",INDEX(BookRate,508)*(1+'5. Scenarios'!$C$10)*(INDEX(BookQ1,508)*(5-MIN(4,1+'5. Scenarios'!$C$8))/4+INDEX(BookQ2,508)*(5-MIN(4,2+'5. Scenarios'!$C$8))/4+INDEX(BookQ3,508)*(5-MIN(4,3+'5. Scenarios'!$C$8))/4+INDEX(BookQ4,508)*(5-MIN(4,4+'5. Scenarios'!$C$8))/4)*'5. Scenarios'!$C$6/(1+ProductivityDefault*('5. Scenarios'!$C$11-1))+INDEX(BookOneOff,508)*$I513)</f>
        <v/>
      </c>
      <c r="N513" s="56" t="str">
        <f aca="false">IF(INDEX(BookTitle,508)="","",INDEX(BookTotal,508)*'5. Scenarios'!$D$6/(1+ProductivityDefault*('5. Scenarios'!$D$11-1)))</f>
        <v/>
      </c>
      <c r="O513" s="57" t="str">
        <f aca="false">IF($N513="","",INDEX(BookRate,508)*(1+'5. Scenarios'!$D$10)*$N513)</f>
        <v/>
      </c>
      <c r="P513" s="57" t="str">
        <f aca="false">IF($O513="","",SUMIFS($O$6:$O$2405,$A$6:$A$2405,"&lt;="&amp;$A513))</f>
        <v/>
      </c>
      <c r="Q513" s="57" t="str">
        <f aca="false">IF($O513="","",IF($P513&lt;=BankCostEnvelope*'5. Scenarios'!$D$7,1,0))</f>
        <v/>
      </c>
      <c r="R513" s="57" t="str">
        <f aca="false">IF($N513="","",INDEX(BookRate,508)*(1+'5. Scenarios'!$D$10)*(INDEX(BookQ1,508)*(5-MIN(4,1+'5. Scenarios'!$D$8))/4+INDEX(BookQ2,508)*(5-MIN(4,2+'5. Scenarios'!$D$8))/4+INDEX(BookQ3,508)*(5-MIN(4,3+'5. Scenarios'!$D$8))/4+INDEX(BookQ4,508)*(5-MIN(4,4+'5. Scenarios'!$D$8))/4)*'5. Scenarios'!$D$6/(1+ProductivityDefault*('5. Scenarios'!$D$11-1))+INDEX(BookOneOff,508)*$N513)</f>
        <v/>
      </c>
      <c r="S513" s="56" t="str">
        <f aca="false">IF(INDEX(BookTitle,508)="","",INDEX(BookTotal,508)*'5. Scenarios'!$E$6/(1+ProductivityDefault*('5. Scenarios'!$E$11-1)))</f>
        <v/>
      </c>
      <c r="T513" s="57" t="str">
        <f aca="false">IF($S513="","",INDEX(BookRate,508)*(1+'5. Scenarios'!$E$10)*$S513)</f>
        <v/>
      </c>
      <c r="U513" s="57" t="str">
        <f aca="false">IF($T513="","",SUMIFS($T$6:$T$2405,$A$6:$A$2405,"&lt;="&amp;$A513))</f>
        <v/>
      </c>
      <c r="V513" s="57" t="str">
        <f aca="false">IF($T513="","",IF($U513&lt;=BankCostEnvelope*'5. Scenarios'!$E$7,1,0))</f>
        <v/>
      </c>
      <c r="W513" s="57" t="str">
        <f aca="false">IF($S513="","",INDEX(BookRate,508)*(1+'5. Scenarios'!$E$10)*(INDEX(BookQ1,508)*(5-MIN(4,1+'5. Scenarios'!$E$8))/4+INDEX(BookQ2,508)*(5-MIN(4,2+'5. Scenarios'!$E$8))/4+INDEX(BookQ3,508)*(5-MIN(4,3+'5. Scenarios'!$E$8))/4+INDEX(BookQ4,508)*(5-MIN(4,4+'5. Scenarios'!$E$8))/4)*'5. Scenarios'!$E$6/(1+ProductivityDefault*('5. Scenarios'!$E$11-1))+INDEX(BookOneOff,508)*$S513)</f>
        <v/>
      </c>
    </row>
    <row r="514" customFormat="false" ht="15" hidden="false" customHeight="false" outlineLevel="0" collapsed="false">
      <c r="A514" s="0" t="str">
        <f aca="false">IF(INDEX(BookTitle,509)="","",INDEX(BookKey,509))</f>
        <v/>
      </c>
      <c r="B514" s="0" t="str">
        <f aca="false">IF(INDEX(BookTitle,509)="","",INDEX(BookGroup,509))</f>
        <v/>
      </c>
      <c r="C514" s="0" t="str">
        <f aca="false">IF(INDEX(BookTitle,509)="","",INDEX(BookCategory,509))</f>
        <v/>
      </c>
      <c r="D514" s="56" t="str">
        <f aca="false">IF(INDEX(BookTitle,509)="","",INDEX(BookTotal,509)*'5. Scenarios'!$B$6/(1+ProductivityDefault*('5. Scenarios'!$B$11-1)))</f>
        <v/>
      </c>
      <c r="E514" s="57" t="str">
        <f aca="false">IF($D514="","",INDEX(BookRate,509)*(1+'5. Scenarios'!$B$10)*$D514)</f>
        <v/>
      </c>
      <c r="F514" s="57" t="str">
        <f aca="false">IF($E514="","",SUMIFS($E$6:$E$2405,$A$6:$A$2405,"&lt;="&amp;$A514))</f>
        <v/>
      </c>
      <c r="G514" s="57" t="str">
        <f aca="false">IF($E514="","",IF($F514&lt;=BankCostEnvelope*'5. Scenarios'!$B$7,1,0))</f>
        <v/>
      </c>
      <c r="H514" s="57" t="str">
        <f aca="false">IF($D514="","",INDEX(BookRate,509)*(1+'5. Scenarios'!$B$10)*(INDEX(BookQ1,509)*(5-MIN(4,1+'5. Scenarios'!$B$8))/4+INDEX(BookQ2,509)*(5-MIN(4,2+'5. Scenarios'!$B$8))/4+INDEX(BookQ3,509)*(5-MIN(4,3+'5. Scenarios'!$B$8))/4+INDEX(BookQ4,509)*(5-MIN(4,4+'5. Scenarios'!$B$8))/4)*'5. Scenarios'!$B$6/(1+ProductivityDefault*('5. Scenarios'!$B$11-1))+INDEX(BookOneOff,509)*$D514)</f>
        <v/>
      </c>
      <c r="I514" s="56" t="str">
        <f aca="false">IF(INDEX(BookTitle,509)="","",INDEX(BookTotal,509)*'5. Scenarios'!$C$6/(1+ProductivityDefault*('5. Scenarios'!$C$11-1)))</f>
        <v/>
      </c>
      <c r="J514" s="57" t="str">
        <f aca="false">IF($I514="","",INDEX(BookRate,509)*(1+'5. Scenarios'!$C$10)*$I514)</f>
        <v/>
      </c>
      <c r="K514" s="57" t="str">
        <f aca="false">IF($J514="","",SUMIFS($J$6:$J$2405,$A$6:$A$2405,"&lt;="&amp;$A514))</f>
        <v/>
      </c>
      <c r="L514" s="57" t="str">
        <f aca="false">IF($J514="","",IF($K514&lt;=BankCostEnvelope*'5. Scenarios'!$C$7,1,0))</f>
        <v/>
      </c>
      <c r="M514" s="57" t="str">
        <f aca="false">IF($I514="","",INDEX(BookRate,509)*(1+'5. Scenarios'!$C$10)*(INDEX(BookQ1,509)*(5-MIN(4,1+'5. Scenarios'!$C$8))/4+INDEX(BookQ2,509)*(5-MIN(4,2+'5. Scenarios'!$C$8))/4+INDEX(BookQ3,509)*(5-MIN(4,3+'5. Scenarios'!$C$8))/4+INDEX(BookQ4,509)*(5-MIN(4,4+'5. Scenarios'!$C$8))/4)*'5. Scenarios'!$C$6/(1+ProductivityDefault*('5. Scenarios'!$C$11-1))+INDEX(BookOneOff,509)*$I514)</f>
        <v/>
      </c>
      <c r="N514" s="56" t="str">
        <f aca="false">IF(INDEX(BookTitle,509)="","",INDEX(BookTotal,509)*'5. Scenarios'!$D$6/(1+ProductivityDefault*('5. Scenarios'!$D$11-1)))</f>
        <v/>
      </c>
      <c r="O514" s="57" t="str">
        <f aca="false">IF($N514="","",INDEX(BookRate,509)*(1+'5. Scenarios'!$D$10)*$N514)</f>
        <v/>
      </c>
      <c r="P514" s="57" t="str">
        <f aca="false">IF($O514="","",SUMIFS($O$6:$O$2405,$A$6:$A$2405,"&lt;="&amp;$A514))</f>
        <v/>
      </c>
      <c r="Q514" s="57" t="str">
        <f aca="false">IF($O514="","",IF($P514&lt;=BankCostEnvelope*'5. Scenarios'!$D$7,1,0))</f>
        <v/>
      </c>
      <c r="R514" s="57" t="str">
        <f aca="false">IF($N514="","",INDEX(BookRate,509)*(1+'5. Scenarios'!$D$10)*(INDEX(BookQ1,509)*(5-MIN(4,1+'5. Scenarios'!$D$8))/4+INDEX(BookQ2,509)*(5-MIN(4,2+'5. Scenarios'!$D$8))/4+INDEX(BookQ3,509)*(5-MIN(4,3+'5. Scenarios'!$D$8))/4+INDEX(BookQ4,509)*(5-MIN(4,4+'5. Scenarios'!$D$8))/4)*'5. Scenarios'!$D$6/(1+ProductivityDefault*('5. Scenarios'!$D$11-1))+INDEX(BookOneOff,509)*$N514)</f>
        <v/>
      </c>
      <c r="S514" s="56" t="str">
        <f aca="false">IF(INDEX(BookTitle,509)="","",INDEX(BookTotal,509)*'5. Scenarios'!$E$6/(1+ProductivityDefault*('5. Scenarios'!$E$11-1)))</f>
        <v/>
      </c>
      <c r="T514" s="57" t="str">
        <f aca="false">IF($S514="","",INDEX(BookRate,509)*(1+'5. Scenarios'!$E$10)*$S514)</f>
        <v/>
      </c>
      <c r="U514" s="57" t="str">
        <f aca="false">IF($T514="","",SUMIFS($T$6:$T$2405,$A$6:$A$2405,"&lt;="&amp;$A514))</f>
        <v/>
      </c>
      <c r="V514" s="57" t="str">
        <f aca="false">IF($T514="","",IF($U514&lt;=BankCostEnvelope*'5. Scenarios'!$E$7,1,0))</f>
        <v/>
      </c>
      <c r="W514" s="57" t="str">
        <f aca="false">IF($S514="","",INDEX(BookRate,509)*(1+'5. Scenarios'!$E$10)*(INDEX(BookQ1,509)*(5-MIN(4,1+'5. Scenarios'!$E$8))/4+INDEX(BookQ2,509)*(5-MIN(4,2+'5. Scenarios'!$E$8))/4+INDEX(BookQ3,509)*(5-MIN(4,3+'5. Scenarios'!$E$8))/4+INDEX(BookQ4,509)*(5-MIN(4,4+'5. Scenarios'!$E$8))/4)*'5. Scenarios'!$E$6/(1+ProductivityDefault*('5. Scenarios'!$E$11-1))+INDEX(BookOneOff,509)*$S514)</f>
        <v/>
      </c>
    </row>
    <row r="515" customFormat="false" ht="15" hidden="false" customHeight="false" outlineLevel="0" collapsed="false">
      <c r="A515" s="0" t="str">
        <f aca="false">IF(INDEX(BookTitle,510)="","",INDEX(BookKey,510))</f>
        <v/>
      </c>
      <c r="B515" s="0" t="str">
        <f aca="false">IF(INDEX(BookTitle,510)="","",INDEX(BookGroup,510))</f>
        <v/>
      </c>
      <c r="C515" s="0" t="str">
        <f aca="false">IF(INDEX(BookTitle,510)="","",INDEX(BookCategory,510))</f>
        <v/>
      </c>
      <c r="D515" s="56" t="str">
        <f aca="false">IF(INDEX(BookTitle,510)="","",INDEX(BookTotal,510)*'5. Scenarios'!$B$6/(1+ProductivityDefault*('5. Scenarios'!$B$11-1)))</f>
        <v/>
      </c>
      <c r="E515" s="57" t="str">
        <f aca="false">IF($D515="","",INDEX(BookRate,510)*(1+'5. Scenarios'!$B$10)*$D515)</f>
        <v/>
      </c>
      <c r="F515" s="57" t="str">
        <f aca="false">IF($E515="","",SUMIFS($E$6:$E$2405,$A$6:$A$2405,"&lt;="&amp;$A515))</f>
        <v/>
      </c>
      <c r="G515" s="57" t="str">
        <f aca="false">IF($E515="","",IF($F515&lt;=BankCostEnvelope*'5. Scenarios'!$B$7,1,0))</f>
        <v/>
      </c>
      <c r="H515" s="57" t="str">
        <f aca="false">IF($D515="","",INDEX(BookRate,510)*(1+'5. Scenarios'!$B$10)*(INDEX(BookQ1,510)*(5-MIN(4,1+'5. Scenarios'!$B$8))/4+INDEX(BookQ2,510)*(5-MIN(4,2+'5. Scenarios'!$B$8))/4+INDEX(BookQ3,510)*(5-MIN(4,3+'5. Scenarios'!$B$8))/4+INDEX(BookQ4,510)*(5-MIN(4,4+'5. Scenarios'!$B$8))/4)*'5. Scenarios'!$B$6/(1+ProductivityDefault*('5. Scenarios'!$B$11-1))+INDEX(BookOneOff,510)*$D515)</f>
        <v/>
      </c>
      <c r="I515" s="56" t="str">
        <f aca="false">IF(INDEX(BookTitle,510)="","",INDEX(BookTotal,510)*'5. Scenarios'!$C$6/(1+ProductivityDefault*('5. Scenarios'!$C$11-1)))</f>
        <v/>
      </c>
      <c r="J515" s="57" t="str">
        <f aca="false">IF($I515="","",INDEX(BookRate,510)*(1+'5. Scenarios'!$C$10)*$I515)</f>
        <v/>
      </c>
      <c r="K515" s="57" t="str">
        <f aca="false">IF($J515="","",SUMIFS($J$6:$J$2405,$A$6:$A$2405,"&lt;="&amp;$A515))</f>
        <v/>
      </c>
      <c r="L515" s="57" t="str">
        <f aca="false">IF($J515="","",IF($K515&lt;=BankCostEnvelope*'5. Scenarios'!$C$7,1,0))</f>
        <v/>
      </c>
      <c r="M515" s="57" t="str">
        <f aca="false">IF($I515="","",INDEX(BookRate,510)*(1+'5. Scenarios'!$C$10)*(INDEX(BookQ1,510)*(5-MIN(4,1+'5. Scenarios'!$C$8))/4+INDEX(BookQ2,510)*(5-MIN(4,2+'5. Scenarios'!$C$8))/4+INDEX(BookQ3,510)*(5-MIN(4,3+'5. Scenarios'!$C$8))/4+INDEX(BookQ4,510)*(5-MIN(4,4+'5. Scenarios'!$C$8))/4)*'5. Scenarios'!$C$6/(1+ProductivityDefault*('5. Scenarios'!$C$11-1))+INDEX(BookOneOff,510)*$I515)</f>
        <v/>
      </c>
      <c r="N515" s="56" t="str">
        <f aca="false">IF(INDEX(BookTitle,510)="","",INDEX(BookTotal,510)*'5. Scenarios'!$D$6/(1+ProductivityDefault*('5. Scenarios'!$D$11-1)))</f>
        <v/>
      </c>
      <c r="O515" s="57" t="str">
        <f aca="false">IF($N515="","",INDEX(BookRate,510)*(1+'5. Scenarios'!$D$10)*$N515)</f>
        <v/>
      </c>
      <c r="P515" s="57" t="str">
        <f aca="false">IF($O515="","",SUMIFS($O$6:$O$2405,$A$6:$A$2405,"&lt;="&amp;$A515))</f>
        <v/>
      </c>
      <c r="Q515" s="57" t="str">
        <f aca="false">IF($O515="","",IF($P515&lt;=BankCostEnvelope*'5. Scenarios'!$D$7,1,0))</f>
        <v/>
      </c>
      <c r="R515" s="57" t="str">
        <f aca="false">IF($N515="","",INDEX(BookRate,510)*(1+'5. Scenarios'!$D$10)*(INDEX(BookQ1,510)*(5-MIN(4,1+'5. Scenarios'!$D$8))/4+INDEX(BookQ2,510)*(5-MIN(4,2+'5. Scenarios'!$D$8))/4+INDEX(BookQ3,510)*(5-MIN(4,3+'5. Scenarios'!$D$8))/4+INDEX(BookQ4,510)*(5-MIN(4,4+'5. Scenarios'!$D$8))/4)*'5. Scenarios'!$D$6/(1+ProductivityDefault*('5. Scenarios'!$D$11-1))+INDEX(BookOneOff,510)*$N515)</f>
        <v/>
      </c>
      <c r="S515" s="56" t="str">
        <f aca="false">IF(INDEX(BookTitle,510)="","",INDEX(BookTotal,510)*'5. Scenarios'!$E$6/(1+ProductivityDefault*('5. Scenarios'!$E$11-1)))</f>
        <v/>
      </c>
      <c r="T515" s="57" t="str">
        <f aca="false">IF($S515="","",INDEX(BookRate,510)*(1+'5. Scenarios'!$E$10)*$S515)</f>
        <v/>
      </c>
      <c r="U515" s="57" t="str">
        <f aca="false">IF($T515="","",SUMIFS($T$6:$T$2405,$A$6:$A$2405,"&lt;="&amp;$A515))</f>
        <v/>
      </c>
      <c r="V515" s="57" t="str">
        <f aca="false">IF($T515="","",IF($U515&lt;=BankCostEnvelope*'5. Scenarios'!$E$7,1,0))</f>
        <v/>
      </c>
      <c r="W515" s="57" t="str">
        <f aca="false">IF($S515="","",INDEX(BookRate,510)*(1+'5. Scenarios'!$E$10)*(INDEX(BookQ1,510)*(5-MIN(4,1+'5. Scenarios'!$E$8))/4+INDEX(BookQ2,510)*(5-MIN(4,2+'5. Scenarios'!$E$8))/4+INDEX(BookQ3,510)*(5-MIN(4,3+'5. Scenarios'!$E$8))/4+INDEX(BookQ4,510)*(5-MIN(4,4+'5. Scenarios'!$E$8))/4)*'5. Scenarios'!$E$6/(1+ProductivityDefault*('5. Scenarios'!$E$11-1))+INDEX(BookOneOff,510)*$S515)</f>
        <v/>
      </c>
    </row>
    <row r="516" customFormat="false" ht="15" hidden="false" customHeight="false" outlineLevel="0" collapsed="false">
      <c r="A516" s="0" t="str">
        <f aca="false">IF(INDEX(BookTitle,511)="","",INDEX(BookKey,511))</f>
        <v/>
      </c>
      <c r="B516" s="0" t="str">
        <f aca="false">IF(INDEX(BookTitle,511)="","",INDEX(BookGroup,511))</f>
        <v/>
      </c>
      <c r="C516" s="0" t="str">
        <f aca="false">IF(INDEX(BookTitle,511)="","",INDEX(BookCategory,511))</f>
        <v/>
      </c>
      <c r="D516" s="56" t="str">
        <f aca="false">IF(INDEX(BookTitle,511)="","",INDEX(BookTotal,511)*'5. Scenarios'!$B$6/(1+ProductivityDefault*('5. Scenarios'!$B$11-1)))</f>
        <v/>
      </c>
      <c r="E516" s="57" t="str">
        <f aca="false">IF($D516="","",INDEX(BookRate,511)*(1+'5. Scenarios'!$B$10)*$D516)</f>
        <v/>
      </c>
      <c r="F516" s="57" t="str">
        <f aca="false">IF($E516="","",SUMIFS($E$6:$E$2405,$A$6:$A$2405,"&lt;="&amp;$A516))</f>
        <v/>
      </c>
      <c r="G516" s="57" t="str">
        <f aca="false">IF($E516="","",IF($F516&lt;=BankCostEnvelope*'5. Scenarios'!$B$7,1,0))</f>
        <v/>
      </c>
      <c r="H516" s="57" t="str">
        <f aca="false">IF($D516="","",INDEX(BookRate,511)*(1+'5. Scenarios'!$B$10)*(INDEX(BookQ1,511)*(5-MIN(4,1+'5. Scenarios'!$B$8))/4+INDEX(BookQ2,511)*(5-MIN(4,2+'5. Scenarios'!$B$8))/4+INDEX(BookQ3,511)*(5-MIN(4,3+'5. Scenarios'!$B$8))/4+INDEX(BookQ4,511)*(5-MIN(4,4+'5. Scenarios'!$B$8))/4)*'5. Scenarios'!$B$6/(1+ProductivityDefault*('5. Scenarios'!$B$11-1))+INDEX(BookOneOff,511)*$D516)</f>
        <v/>
      </c>
      <c r="I516" s="56" t="str">
        <f aca="false">IF(INDEX(BookTitle,511)="","",INDEX(BookTotal,511)*'5. Scenarios'!$C$6/(1+ProductivityDefault*('5. Scenarios'!$C$11-1)))</f>
        <v/>
      </c>
      <c r="J516" s="57" t="str">
        <f aca="false">IF($I516="","",INDEX(BookRate,511)*(1+'5. Scenarios'!$C$10)*$I516)</f>
        <v/>
      </c>
      <c r="K516" s="57" t="str">
        <f aca="false">IF($J516="","",SUMIFS($J$6:$J$2405,$A$6:$A$2405,"&lt;="&amp;$A516))</f>
        <v/>
      </c>
      <c r="L516" s="57" t="str">
        <f aca="false">IF($J516="","",IF($K516&lt;=BankCostEnvelope*'5. Scenarios'!$C$7,1,0))</f>
        <v/>
      </c>
      <c r="M516" s="57" t="str">
        <f aca="false">IF($I516="","",INDEX(BookRate,511)*(1+'5. Scenarios'!$C$10)*(INDEX(BookQ1,511)*(5-MIN(4,1+'5. Scenarios'!$C$8))/4+INDEX(BookQ2,511)*(5-MIN(4,2+'5. Scenarios'!$C$8))/4+INDEX(BookQ3,511)*(5-MIN(4,3+'5. Scenarios'!$C$8))/4+INDEX(BookQ4,511)*(5-MIN(4,4+'5. Scenarios'!$C$8))/4)*'5. Scenarios'!$C$6/(1+ProductivityDefault*('5. Scenarios'!$C$11-1))+INDEX(BookOneOff,511)*$I516)</f>
        <v/>
      </c>
      <c r="N516" s="56" t="str">
        <f aca="false">IF(INDEX(BookTitle,511)="","",INDEX(BookTotal,511)*'5. Scenarios'!$D$6/(1+ProductivityDefault*('5. Scenarios'!$D$11-1)))</f>
        <v/>
      </c>
      <c r="O516" s="57" t="str">
        <f aca="false">IF($N516="","",INDEX(BookRate,511)*(1+'5. Scenarios'!$D$10)*$N516)</f>
        <v/>
      </c>
      <c r="P516" s="57" t="str">
        <f aca="false">IF($O516="","",SUMIFS($O$6:$O$2405,$A$6:$A$2405,"&lt;="&amp;$A516))</f>
        <v/>
      </c>
      <c r="Q516" s="57" t="str">
        <f aca="false">IF($O516="","",IF($P516&lt;=BankCostEnvelope*'5. Scenarios'!$D$7,1,0))</f>
        <v/>
      </c>
      <c r="R516" s="57" t="str">
        <f aca="false">IF($N516="","",INDEX(BookRate,511)*(1+'5. Scenarios'!$D$10)*(INDEX(BookQ1,511)*(5-MIN(4,1+'5. Scenarios'!$D$8))/4+INDEX(BookQ2,511)*(5-MIN(4,2+'5. Scenarios'!$D$8))/4+INDEX(BookQ3,511)*(5-MIN(4,3+'5. Scenarios'!$D$8))/4+INDEX(BookQ4,511)*(5-MIN(4,4+'5. Scenarios'!$D$8))/4)*'5. Scenarios'!$D$6/(1+ProductivityDefault*('5. Scenarios'!$D$11-1))+INDEX(BookOneOff,511)*$N516)</f>
        <v/>
      </c>
      <c r="S516" s="56" t="str">
        <f aca="false">IF(INDEX(BookTitle,511)="","",INDEX(BookTotal,511)*'5. Scenarios'!$E$6/(1+ProductivityDefault*('5. Scenarios'!$E$11-1)))</f>
        <v/>
      </c>
      <c r="T516" s="57" t="str">
        <f aca="false">IF($S516="","",INDEX(BookRate,511)*(1+'5. Scenarios'!$E$10)*$S516)</f>
        <v/>
      </c>
      <c r="U516" s="57" t="str">
        <f aca="false">IF($T516="","",SUMIFS($T$6:$T$2405,$A$6:$A$2405,"&lt;="&amp;$A516))</f>
        <v/>
      </c>
      <c r="V516" s="57" t="str">
        <f aca="false">IF($T516="","",IF($U516&lt;=BankCostEnvelope*'5. Scenarios'!$E$7,1,0))</f>
        <v/>
      </c>
      <c r="W516" s="57" t="str">
        <f aca="false">IF($S516="","",INDEX(BookRate,511)*(1+'5. Scenarios'!$E$10)*(INDEX(BookQ1,511)*(5-MIN(4,1+'5. Scenarios'!$E$8))/4+INDEX(BookQ2,511)*(5-MIN(4,2+'5. Scenarios'!$E$8))/4+INDEX(BookQ3,511)*(5-MIN(4,3+'5. Scenarios'!$E$8))/4+INDEX(BookQ4,511)*(5-MIN(4,4+'5. Scenarios'!$E$8))/4)*'5. Scenarios'!$E$6/(1+ProductivityDefault*('5. Scenarios'!$E$11-1))+INDEX(BookOneOff,511)*$S516)</f>
        <v/>
      </c>
    </row>
    <row r="517" customFormat="false" ht="15" hidden="false" customHeight="false" outlineLevel="0" collapsed="false">
      <c r="A517" s="0" t="str">
        <f aca="false">IF(INDEX(BookTitle,512)="","",INDEX(BookKey,512))</f>
        <v/>
      </c>
      <c r="B517" s="0" t="str">
        <f aca="false">IF(INDEX(BookTitle,512)="","",INDEX(BookGroup,512))</f>
        <v/>
      </c>
      <c r="C517" s="0" t="str">
        <f aca="false">IF(INDEX(BookTitle,512)="","",INDEX(BookCategory,512))</f>
        <v/>
      </c>
      <c r="D517" s="56" t="str">
        <f aca="false">IF(INDEX(BookTitle,512)="","",INDEX(BookTotal,512)*'5. Scenarios'!$B$6/(1+ProductivityDefault*('5. Scenarios'!$B$11-1)))</f>
        <v/>
      </c>
      <c r="E517" s="57" t="str">
        <f aca="false">IF($D517="","",INDEX(BookRate,512)*(1+'5. Scenarios'!$B$10)*$D517)</f>
        <v/>
      </c>
      <c r="F517" s="57" t="str">
        <f aca="false">IF($E517="","",SUMIFS($E$6:$E$2405,$A$6:$A$2405,"&lt;="&amp;$A517))</f>
        <v/>
      </c>
      <c r="G517" s="57" t="str">
        <f aca="false">IF($E517="","",IF($F517&lt;=BankCostEnvelope*'5. Scenarios'!$B$7,1,0))</f>
        <v/>
      </c>
      <c r="H517" s="57" t="str">
        <f aca="false">IF($D517="","",INDEX(BookRate,512)*(1+'5. Scenarios'!$B$10)*(INDEX(BookQ1,512)*(5-MIN(4,1+'5. Scenarios'!$B$8))/4+INDEX(BookQ2,512)*(5-MIN(4,2+'5. Scenarios'!$B$8))/4+INDEX(BookQ3,512)*(5-MIN(4,3+'5. Scenarios'!$B$8))/4+INDEX(BookQ4,512)*(5-MIN(4,4+'5. Scenarios'!$B$8))/4)*'5. Scenarios'!$B$6/(1+ProductivityDefault*('5. Scenarios'!$B$11-1))+INDEX(BookOneOff,512)*$D517)</f>
        <v/>
      </c>
      <c r="I517" s="56" t="str">
        <f aca="false">IF(INDEX(BookTitle,512)="","",INDEX(BookTotal,512)*'5. Scenarios'!$C$6/(1+ProductivityDefault*('5. Scenarios'!$C$11-1)))</f>
        <v/>
      </c>
      <c r="J517" s="57" t="str">
        <f aca="false">IF($I517="","",INDEX(BookRate,512)*(1+'5. Scenarios'!$C$10)*$I517)</f>
        <v/>
      </c>
      <c r="K517" s="57" t="str">
        <f aca="false">IF($J517="","",SUMIFS($J$6:$J$2405,$A$6:$A$2405,"&lt;="&amp;$A517))</f>
        <v/>
      </c>
      <c r="L517" s="57" t="str">
        <f aca="false">IF($J517="","",IF($K517&lt;=BankCostEnvelope*'5. Scenarios'!$C$7,1,0))</f>
        <v/>
      </c>
      <c r="M517" s="57" t="str">
        <f aca="false">IF($I517="","",INDEX(BookRate,512)*(1+'5. Scenarios'!$C$10)*(INDEX(BookQ1,512)*(5-MIN(4,1+'5. Scenarios'!$C$8))/4+INDEX(BookQ2,512)*(5-MIN(4,2+'5. Scenarios'!$C$8))/4+INDEX(BookQ3,512)*(5-MIN(4,3+'5. Scenarios'!$C$8))/4+INDEX(BookQ4,512)*(5-MIN(4,4+'5. Scenarios'!$C$8))/4)*'5. Scenarios'!$C$6/(1+ProductivityDefault*('5. Scenarios'!$C$11-1))+INDEX(BookOneOff,512)*$I517)</f>
        <v/>
      </c>
      <c r="N517" s="56" t="str">
        <f aca="false">IF(INDEX(BookTitle,512)="","",INDEX(BookTotal,512)*'5. Scenarios'!$D$6/(1+ProductivityDefault*('5. Scenarios'!$D$11-1)))</f>
        <v/>
      </c>
      <c r="O517" s="57" t="str">
        <f aca="false">IF($N517="","",INDEX(BookRate,512)*(1+'5. Scenarios'!$D$10)*$N517)</f>
        <v/>
      </c>
      <c r="P517" s="57" t="str">
        <f aca="false">IF($O517="","",SUMIFS($O$6:$O$2405,$A$6:$A$2405,"&lt;="&amp;$A517))</f>
        <v/>
      </c>
      <c r="Q517" s="57" t="str">
        <f aca="false">IF($O517="","",IF($P517&lt;=BankCostEnvelope*'5. Scenarios'!$D$7,1,0))</f>
        <v/>
      </c>
      <c r="R517" s="57" t="str">
        <f aca="false">IF($N517="","",INDEX(BookRate,512)*(1+'5. Scenarios'!$D$10)*(INDEX(BookQ1,512)*(5-MIN(4,1+'5. Scenarios'!$D$8))/4+INDEX(BookQ2,512)*(5-MIN(4,2+'5. Scenarios'!$D$8))/4+INDEX(BookQ3,512)*(5-MIN(4,3+'5. Scenarios'!$D$8))/4+INDEX(BookQ4,512)*(5-MIN(4,4+'5. Scenarios'!$D$8))/4)*'5. Scenarios'!$D$6/(1+ProductivityDefault*('5. Scenarios'!$D$11-1))+INDEX(BookOneOff,512)*$N517)</f>
        <v/>
      </c>
      <c r="S517" s="56" t="str">
        <f aca="false">IF(INDEX(BookTitle,512)="","",INDEX(BookTotal,512)*'5. Scenarios'!$E$6/(1+ProductivityDefault*('5. Scenarios'!$E$11-1)))</f>
        <v/>
      </c>
      <c r="T517" s="57" t="str">
        <f aca="false">IF($S517="","",INDEX(BookRate,512)*(1+'5. Scenarios'!$E$10)*$S517)</f>
        <v/>
      </c>
      <c r="U517" s="57" t="str">
        <f aca="false">IF($T517="","",SUMIFS($T$6:$T$2405,$A$6:$A$2405,"&lt;="&amp;$A517))</f>
        <v/>
      </c>
      <c r="V517" s="57" t="str">
        <f aca="false">IF($T517="","",IF($U517&lt;=BankCostEnvelope*'5. Scenarios'!$E$7,1,0))</f>
        <v/>
      </c>
      <c r="W517" s="57" t="str">
        <f aca="false">IF($S517="","",INDEX(BookRate,512)*(1+'5. Scenarios'!$E$10)*(INDEX(BookQ1,512)*(5-MIN(4,1+'5. Scenarios'!$E$8))/4+INDEX(BookQ2,512)*(5-MIN(4,2+'5. Scenarios'!$E$8))/4+INDEX(BookQ3,512)*(5-MIN(4,3+'5. Scenarios'!$E$8))/4+INDEX(BookQ4,512)*(5-MIN(4,4+'5. Scenarios'!$E$8))/4)*'5. Scenarios'!$E$6/(1+ProductivityDefault*('5. Scenarios'!$E$11-1))+INDEX(BookOneOff,512)*$S517)</f>
        <v/>
      </c>
    </row>
    <row r="518" customFormat="false" ht="15" hidden="false" customHeight="false" outlineLevel="0" collapsed="false">
      <c r="A518" s="0" t="str">
        <f aca="false">IF(INDEX(BookTitle,513)="","",INDEX(BookKey,513))</f>
        <v/>
      </c>
      <c r="B518" s="0" t="str">
        <f aca="false">IF(INDEX(BookTitle,513)="","",INDEX(BookGroup,513))</f>
        <v/>
      </c>
      <c r="C518" s="0" t="str">
        <f aca="false">IF(INDEX(BookTitle,513)="","",INDEX(BookCategory,513))</f>
        <v/>
      </c>
      <c r="D518" s="56" t="str">
        <f aca="false">IF(INDEX(BookTitle,513)="","",INDEX(BookTotal,513)*'5. Scenarios'!$B$6/(1+ProductivityDefault*('5. Scenarios'!$B$11-1)))</f>
        <v/>
      </c>
      <c r="E518" s="57" t="str">
        <f aca="false">IF($D518="","",INDEX(BookRate,513)*(1+'5. Scenarios'!$B$10)*$D518)</f>
        <v/>
      </c>
      <c r="F518" s="57" t="str">
        <f aca="false">IF($E518="","",SUMIFS($E$6:$E$2405,$A$6:$A$2405,"&lt;="&amp;$A518))</f>
        <v/>
      </c>
      <c r="G518" s="57" t="str">
        <f aca="false">IF($E518="","",IF($F518&lt;=BankCostEnvelope*'5. Scenarios'!$B$7,1,0))</f>
        <v/>
      </c>
      <c r="H518" s="57" t="str">
        <f aca="false">IF($D518="","",INDEX(BookRate,513)*(1+'5. Scenarios'!$B$10)*(INDEX(BookQ1,513)*(5-MIN(4,1+'5. Scenarios'!$B$8))/4+INDEX(BookQ2,513)*(5-MIN(4,2+'5. Scenarios'!$B$8))/4+INDEX(BookQ3,513)*(5-MIN(4,3+'5. Scenarios'!$B$8))/4+INDEX(BookQ4,513)*(5-MIN(4,4+'5. Scenarios'!$B$8))/4)*'5. Scenarios'!$B$6/(1+ProductivityDefault*('5. Scenarios'!$B$11-1))+INDEX(BookOneOff,513)*$D518)</f>
        <v/>
      </c>
      <c r="I518" s="56" t="str">
        <f aca="false">IF(INDEX(BookTitle,513)="","",INDEX(BookTotal,513)*'5. Scenarios'!$C$6/(1+ProductivityDefault*('5. Scenarios'!$C$11-1)))</f>
        <v/>
      </c>
      <c r="J518" s="57" t="str">
        <f aca="false">IF($I518="","",INDEX(BookRate,513)*(1+'5. Scenarios'!$C$10)*$I518)</f>
        <v/>
      </c>
      <c r="K518" s="57" t="str">
        <f aca="false">IF($J518="","",SUMIFS($J$6:$J$2405,$A$6:$A$2405,"&lt;="&amp;$A518))</f>
        <v/>
      </c>
      <c r="L518" s="57" t="str">
        <f aca="false">IF($J518="","",IF($K518&lt;=BankCostEnvelope*'5. Scenarios'!$C$7,1,0))</f>
        <v/>
      </c>
      <c r="M518" s="57" t="str">
        <f aca="false">IF($I518="","",INDEX(BookRate,513)*(1+'5. Scenarios'!$C$10)*(INDEX(BookQ1,513)*(5-MIN(4,1+'5. Scenarios'!$C$8))/4+INDEX(BookQ2,513)*(5-MIN(4,2+'5. Scenarios'!$C$8))/4+INDEX(BookQ3,513)*(5-MIN(4,3+'5. Scenarios'!$C$8))/4+INDEX(BookQ4,513)*(5-MIN(4,4+'5. Scenarios'!$C$8))/4)*'5. Scenarios'!$C$6/(1+ProductivityDefault*('5. Scenarios'!$C$11-1))+INDEX(BookOneOff,513)*$I518)</f>
        <v/>
      </c>
      <c r="N518" s="56" t="str">
        <f aca="false">IF(INDEX(BookTitle,513)="","",INDEX(BookTotal,513)*'5. Scenarios'!$D$6/(1+ProductivityDefault*('5. Scenarios'!$D$11-1)))</f>
        <v/>
      </c>
      <c r="O518" s="57" t="str">
        <f aca="false">IF($N518="","",INDEX(BookRate,513)*(1+'5. Scenarios'!$D$10)*$N518)</f>
        <v/>
      </c>
      <c r="P518" s="57" t="str">
        <f aca="false">IF($O518="","",SUMIFS($O$6:$O$2405,$A$6:$A$2405,"&lt;="&amp;$A518))</f>
        <v/>
      </c>
      <c r="Q518" s="57" t="str">
        <f aca="false">IF($O518="","",IF($P518&lt;=BankCostEnvelope*'5. Scenarios'!$D$7,1,0))</f>
        <v/>
      </c>
      <c r="R518" s="57" t="str">
        <f aca="false">IF($N518="","",INDEX(BookRate,513)*(1+'5. Scenarios'!$D$10)*(INDEX(BookQ1,513)*(5-MIN(4,1+'5. Scenarios'!$D$8))/4+INDEX(BookQ2,513)*(5-MIN(4,2+'5. Scenarios'!$D$8))/4+INDEX(BookQ3,513)*(5-MIN(4,3+'5. Scenarios'!$D$8))/4+INDEX(BookQ4,513)*(5-MIN(4,4+'5. Scenarios'!$D$8))/4)*'5. Scenarios'!$D$6/(1+ProductivityDefault*('5. Scenarios'!$D$11-1))+INDEX(BookOneOff,513)*$N518)</f>
        <v/>
      </c>
      <c r="S518" s="56" t="str">
        <f aca="false">IF(INDEX(BookTitle,513)="","",INDEX(BookTotal,513)*'5. Scenarios'!$E$6/(1+ProductivityDefault*('5. Scenarios'!$E$11-1)))</f>
        <v/>
      </c>
      <c r="T518" s="57" t="str">
        <f aca="false">IF($S518="","",INDEX(BookRate,513)*(1+'5. Scenarios'!$E$10)*$S518)</f>
        <v/>
      </c>
      <c r="U518" s="57" t="str">
        <f aca="false">IF($T518="","",SUMIFS($T$6:$T$2405,$A$6:$A$2405,"&lt;="&amp;$A518))</f>
        <v/>
      </c>
      <c r="V518" s="57" t="str">
        <f aca="false">IF($T518="","",IF($U518&lt;=BankCostEnvelope*'5. Scenarios'!$E$7,1,0))</f>
        <v/>
      </c>
      <c r="W518" s="57" t="str">
        <f aca="false">IF($S518="","",INDEX(BookRate,513)*(1+'5. Scenarios'!$E$10)*(INDEX(BookQ1,513)*(5-MIN(4,1+'5. Scenarios'!$E$8))/4+INDEX(BookQ2,513)*(5-MIN(4,2+'5. Scenarios'!$E$8))/4+INDEX(BookQ3,513)*(5-MIN(4,3+'5. Scenarios'!$E$8))/4+INDEX(BookQ4,513)*(5-MIN(4,4+'5. Scenarios'!$E$8))/4)*'5. Scenarios'!$E$6/(1+ProductivityDefault*('5. Scenarios'!$E$11-1))+INDEX(BookOneOff,513)*$S518)</f>
        <v/>
      </c>
    </row>
    <row r="519" customFormat="false" ht="15" hidden="false" customHeight="false" outlineLevel="0" collapsed="false">
      <c r="A519" s="0" t="str">
        <f aca="false">IF(INDEX(BookTitle,514)="","",INDEX(BookKey,514))</f>
        <v/>
      </c>
      <c r="B519" s="0" t="str">
        <f aca="false">IF(INDEX(BookTitle,514)="","",INDEX(BookGroup,514))</f>
        <v/>
      </c>
      <c r="C519" s="0" t="str">
        <f aca="false">IF(INDEX(BookTitle,514)="","",INDEX(BookCategory,514))</f>
        <v/>
      </c>
      <c r="D519" s="56" t="str">
        <f aca="false">IF(INDEX(BookTitle,514)="","",INDEX(BookTotal,514)*'5. Scenarios'!$B$6/(1+ProductivityDefault*('5. Scenarios'!$B$11-1)))</f>
        <v/>
      </c>
      <c r="E519" s="57" t="str">
        <f aca="false">IF($D519="","",INDEX(BookRate,514)*(1+'5. Scenarios'!$B$10)*$D519)</f>
        <v/>
      </c>
      <c r="F519" s="57" t="str">
        <f aca="false">IF($E519="","",SUMIFS($E$6:$E$2405,$A$6:$A$2405,"&lt;="&amp;$A519))</f>
        <v/>
      </c>
      <c r="G519" s="57" t="str">
        <f aca="false">IF($E519="","",IF($F519&lt;=BankCostEnvelope*'5. Scenarios'!$B$7,1,0))</f>
        <v/>
      </c>
      <c r="H519" s="57" t="str">
        <f aca="false">IF($D519="","",INDEX(BookRate,514)*(1+'5. Scenarios'!$B$10)*(INDEX(BookQ1,514)*(5-MIN(4,1+'5. Scenarios'!$B$8))/4+INDEX(BookQ2,514)*(5-MIN(4,2+'5. Scenarios'!$B$8))/4+INDEX(BookQ3,514)*(5-MIN(4,3+'5. Scenarios'!$B$8))/4+INDEX(BookQ4,514)*(5-MIN(4,4+'5. Scenarios'!$B$8))/4)*'5. Scenarios'!$B$6/(1+ProductivityDefault*('5. Scenarios'!$B$11-1))+INDEX(BookOneOff,514)*$D519)</f>
        <v/>
      </c>
      <c r="I519" s="56" t="str">
        <f aca="false">IF(INDEX(BookTitle,514)="","",INDEX(BookTotal,514)*'5. Scenarios'!$C$6/(1+ProductivityDefault*('5. Scenarios'!$C$11-1)))</f>
        <v/>
      </c>
      <c r="J519" s="57" t="str">
        <f aca="false">IF($I519="","",INDEX(BookRate,514)*(1+'5. Scenarios'!$C$10)*$I519)</f>
        <v/>
      </c>
      <c r="K519" s="57" t="str">
        <f aca="false">IF($J519="","",SUMIFS($J$6:$J$2405,$A$6:$A$2405,"&lt;="&amp;$A519))</f>
        <v/>
      </c>
      <c r="L519" s="57" t="str">
        <f aca="false">IF($J519="","",IF($K519&lt;=BankCostEnvelope*'5. Scenarios'!$C$7,1,0))</f>
        <v/>
      </c>
      <c r="M519" s="57" t="str">
        <f aca="false">IF($I519="","",INDEX(BookRate,514)*(1+'5. Scenarios'!$C$10)*(INDEX(BookQ1,514)*(5-MIN(4,1+'5. Scenarios'!$C$8))/4+INDEX(BookQ2,514)*(5-MIN(4,2+'5. Scenarios'!$C$8))/4+INDEX(BookQ3,514)*(5-MIN(4,3+'5. Scenarios'!$C$8))/4+INDEX(BookQ4,514)*(5-MIN(4,4+'5. Scenarios'!$C$8))/4)*'5. Scenarios'!$C$6/(1+ProductivityDefault*('5. Scenarios'!$C$11-1))+INDEX(BookOneOff,514)*$I519)</f>
        <v/>
      </c>
      <c r="N519" s="56" t="str">
        <f aca="false">IF(INDEX(BookTitle,514)="","",INDEX(BookTotal,514)*'5. Scenarios'!$D$6/(1+ProductivityDefault*('5. Scenarios'!$D$11-1)))</f>
        <v/>
      </c>
      <c r="O519" s="57" t="str">
        <f aca="false">IF($N519="","",INDEX(BookRate,514)*(1+'5. Scenarios'!$D$10)*$N519)</f>
        <v/>
      </c>
      <c r="P519" s="57" t="str">
        <f aca="false">IF($O519="","",SUMIFS($O$6:$O$2405,$A$6:$A$2405,"&lt;="&amp;$A519))</f>
        <v/>
      </c>
      <c r="Q519" s="57" t="str">
        <f aca="false">IF($O519="","",IF($P519&lt;=BankCostEnvelope*'5. Scenarios'!$D$7,1,0))</f>
        <v/>
      </c>
      <c r="R519" s="57" t="str">
        <f aca="false">IF($N519="","",INDEX(BookRate,514)*(1+'5. Scenarios'!$D$10)*(INDEX(BookQ1,514)*(5-MIN(4,1+'5. Scenarios'!$D$8))/4+INDEX(BookQ2,514)*(5-MIN(4,2+'5. Scenarios'!$D$8))/4+INDEX(BookQ3,514)*(5-MIN(4,3+'5. Scenarios'!$D$8))/4+INDEX(BookQ4,514)*(5-MIN(4,4+'5. Scenarios'!$D$8))/4)*'5. Scenarios'!$D$6/(1+ProductivityDefault*('5. Scenarios'!$D$11-1))+INDEX(BookOneOff,514)*$N519)</f>
        <v/>
      </c>
      <c r="S519" s="56" t="str">
        <f aca="false">IF(INDEX(BookTitle,514)="","",INDEX(BookTotal,514)*'5. Scenarios'!$E$6/(1+ProductivityDefault*('5. Scenarios'!$E$11-1)))</f>
        <v/>
      </c>
      <c r="T519" s="57" t="str">
        <f aca="false">IF($S519="","",INDEX(BookRate,514)*(1+'5. Scenarios'!$E$10)*$S519)</f>
        <v/>
      </c>
      <c r="U519" s="57" t="str">
        <f aca="false">IF($T519="","",SUMIFS($T$6:$T$2405,$A$6:$A$2405,"&lt;="&amp;$A519))</f>
        <v/>
      </c>
      <c r="V519" s="57" t="str">
        <f aca="false">IF($T519="","",IF($U519&lt;=BankCostEnvelope*'5. Scenarios'!$E$7,1,0))</f>
        <v/>
      </c>
      <c r="W519" s="57" t="str">
        <f aca="false">IF($S519="","",INDEX(BookRate,514)*(1+'5. Scenarios'!$E$10)*(INDEX(BookQ1,514)*(5-MIN(4,1+'5. Scenarios'!$E$8))/4+INDEX(BookQ2,514)*(5-MIN(4,2+'5. Scenarios'!$E$8))/4+INDEX(BookQ3,514)*(5-MIN(4,3+'5. Scenarios'!$E$8))/4+INDEX(BookQ4,514)*(5-MIN(4,4+'5. Scenarios'!$E$8))/4)*'5. Scenarios'!$E$6/(1+ProductivityDefault*('5. Scenarios'!$E$11-1))+INDEX(BookOneOff,514)*$S519)</f>
        <v/>
      </c>
    </row>
    <row r="520" customFormat="false" ht="15" hidden="false" customHeight="false" outlineLevel="0" collapsed="false">
      <c r="A520" s="0" t="str">
        <f aca="false">IF(INDEX(BookTitle,515)="","",INDEX(BookKey,515))</f>
        <v/>
      </c>
      <c r="B520" s="0" t="str">
        <f aca="false">IF(INDEX(BookTitle,515)="","",INDEX(BookGroup,515))</f>
        <v/>
      </c>
      <c r="C520" s="0" t="str">
        <f aca="false">IF(INDEX(BookTitle,515)="","",INDEX(BookCategory,515))</f>
        <v/>
      </c>
      <c r="D520" s="56" t="str">
        <f aca="false">IF(INDEX(BookTitle,515)="","",INDEX(BookTotal,515)*'5. Scenarios'!$B$6/(1+ProductivityDefault*('5. Scenarios'!$B$11-1)))</f>
        <v/>
      </c>
      <c r="E520" s="57" t="str">
        <f aca="false">IF($D520="","",INDEX(BookRate,515)*(1+'5. Scenarios'!$B$10)*$D520)</f>
        <v/>
      </c>
      <c r="F520" s="57" t="str">
        <f aca="false">IF($E520="","",SUMIFS($E$6:$E$2405,$A$6:$A$2405,"&lt;="&amp;$A520))</f>
        <v/>
      </c>
      <c r="G520" s="57" t="str">
        <f aca="false">IF($E520="","",IF($F520&lt;=BankCostEnvelope*'5. Scenarios'!$B$7,1,0))</f>
        <v/>
      </c>
      <c r="H520" s="57" t="str">
        <f aca="false">IF($D520="","",INDEX(BookRate,515)*(1+'5. Scenarios'!$B$10)*(INDEX(BookQ1,515)*(5-MIN(4,1+'5. Scenarios'!$B$8))/4+INDEX(BookQ2,515)*(5-MIN(4,2+'5. Scenarios'!$B$8))/4+INDEX(BookQ3,515)*(5-MIN(4,3+'5. Scenarios'!$B$8))/4+INDEX(BookQ4,515)*(5-MIN(4,4+'5. Scenarios'!$B$8))/4)*'5. Scenarios'!$B$6/(1+ProductivityDefault*('5. Scenarios'!$B$11-1))+INDEX(BookOneOff,515)*$D520)</f>
        <v/>
      </c>
      <c r="I520" s="56" t="str">
        <f aca="false">IF(INDEX(BookTitle,515)="","",INDEX(BookTotal,515)*'5. Scenarios'!$C$6/(1+ProductivityDefault*('5. Scenarios'!$C$11-1)))</f>
        <v/>
      </c>
      <c r="J520" s="57" t="str">
        <f aca="false">IF($I520="","",INDEX(BookRate,515)*(1+'5. Scenarios'!$C$10)*$I520)</f>
        <v/>
      </c>
      <c r="K520" s="57" t="str">
        <f aca="false">IF($J520="","",SUMIFS($J$6:$J$2405,$A$6:$A$2405,"&lt;="&amp;$A520))</f>
        <v/>
      </c>
      <c r="L520" s="57" t="str">
        <f aca="false">IF($J520="","",IF($K520&lt;=BankCostEnvelope*'5. Scenarios'!$C$7,1,0))</f>
        <v/>
      </c>
      <c r="M520" s="57" t="str">
        <f aca="false">IF($I520="","",INDEX(BookRate,515)*(1+'5. Scenarios'!$C$10)*(INDEX(BookQ1,515)*(5-MIN(4,1+'5. Scenarios'!$C$8))/4+INDEX(BookQ2,515)*(5-MIN(4,2+'5. Scenarios'!$C$8))/4+INDEX(BookQ3,515)*(5-MIN(4,3+'5. Scenarios'!$C$8))/4+INDEX(BookQ4,515)*(5-MIN(4,4+'5. Scenarios'!$C$8))/4)*'5. Scenarios'!$C$6/(1+ProductivityDefault*('5. Scenarios'!$C$11-1))+INDEX(BookOneOff,515)*$I520)</f>
        <v/>
      </c>
      <c r="N520" s="56" t="str">
        <f aca="false">IF(INDEX(BookTitle,515)="","",INDEX(BookTotal,515)*'5. Scenarios'!$D$6/(1+ProductivityDefault*('5. Scenarios'!$D$11-1)))</f>
        <v/>
      </c>
      <c r="O520" s="57" t="str">
        <f aca="false">IF($N520="","",INDEX(BookRate,515)*(1+'5. Scenarios'!$D$10)*$N520)</f>
        <v/>
      </c>
      <c r="P520" s="57" t="str">
        <f aca="false">IF($O520="","",SUMIFS($O$6:$O$2405,$A$6:$A$2405,"&lt;="&amp;$A520))</f>
        <v/>
      </c>
      <c r="Q520" s="57" t="str">
        <f aca="false">IF($O520="","",IF($P520&lt;=BankCostEnvelope*'5. Scenarios'!$D$7,1,0))</f>
        <v/>
      </c>
      <c r="R520" s="57" t="str">
        <f aca="false">IF($N520="","",INDEX(BookRate,515)*(1+'5. Scenarios'!$D$10)*(INDEX(BookQ1,515)*(5-MIN(4,1+'5. Scenarios'!$D$8))/4+INDEX(BookQ2,515)*(5-MIN(4,2+'5. Scenarios'!$D$8))/4+INDEX(BookQ3,515)*(5-MIN(4,3+'5. Scenarios'!$D$8))/4+INDEX(BookQ4,515)*(5-MIN(4,4+'5. Scenarios'!$D$8))/4)*'5. Scenarios'!$D$6/(1+ProductivityDefault*('5. Scenarios'!$D$11-1))+INDEX(BookOneOff,515)*$N520)</f>
        <v/>
      </c>
      <c r="S520" s="56" t="str">
        <f aca="false">IF(INDEX(BookTitle,515)="","",INDEX(BookTotal,515)*'5. Scenarios'!$E$6/(1+ProductivityDefault*('5. Scenarios'!$E$11-1)))</f>
        <v/>
      </c>
      <c r="T520" s="57" t="str">
        <f aca="false">IF($S520="","",INDEX(BookRate,515)*(1+'5. Scenarios'!$E$10)*$S520)</f>
        <v/>
      </c>
      <c r="U520" s="57" t="str">
        <f aca="false">IF($T520="","",SUMIFS($T$6:$T$2405,$A$6:$A$2405,"&lt;="&amp;$A520))</f>
        <v/>
      </c>
      <c r="V520" s="57" t="str">
        <f aca="false">IF($T520="","",IF($U520&lt;=BankCostEnvelope*'5. Scenarios'!$E$7,1,0))</f>
        <v/>
      </c>
      <c r="W520" s="57" t="str">
        <f aca="false">IF($S520="","",INDEX(BookRate,515)*(1+'5. Scenarios'!$E$10)*(INDEX(BookQ1,515)*(5-MIN(4,1+'5. Scenarios'!$E$8))/4+INDEX(BookQ2,515)*(5-MIN(4,2+'5. Scenarios'!$E$8))/4+INDEX(BookQ3,515)*(5-MIN(4,3+'5. Scenarios'!$E$8))/4+INDEX(BookQ4,515)*(5-MIN(4,4+'5. Scenarios'!$E$8))/4)*'5. Scenarios'!$E$6/(1+ProductivityDefault*('5. Scenarios'!$E$11-1))+INDEX(BookOneOff,515)*$S520)</f>
        <v/>
      </c>
    </row>
    <row r="521" customFormat="false" ht="15" hidden="false" customHeight="false" outlineLevel="0" collapsed="false">
      <c r="A521" s="0" t="str">
        <f aca="false">IF(INDEX(BookTitle,516)="","",INDEX(BookKey,516))</f>
        <v/>
      </c>
      <c r="B521" s="0" t="str">
        <f aca="false">IF(INDEX(BookTitle,516)="","",INDEX(BookGroup,516))</f>
        <v/>
      </c>
      <c r="C521" s="0" t="str">
        <f aca="false">IF(INDEX(BookTitle,516)="","",INDEX(BookCategory,516))</f>
        <v/>
      </c>
      <c r="D521" s="56" t="str">
        <f aca="false">IF(INDEX(BookTitle,516)="","",INDEX(BookTotal,516)*'5. Scenarios'!$B$6/(1+ProductivityDefault*('5. Scenarios'!$B$11-1)))</f>
        <v/>
      </c>
      <c r="E521" s="57" t="str">
        <f aca="false">IF($D521="","",INDEX(BookRate,516)*(1+'5. Scenarios'!$B$10)*$D521)</f>
        <v/>
      </c>
      <c r="F521" s="57" t="str">
        <f aca="false">IF($E521="","",SUMIFS($E$6:$E$2405,$A$6:$A$2405,"&lt;="&amp;$A521))</f>
        <v/>
      </c>
      <c r="G521" s="57" t="str">
        <f aca="false">IF($E521="","",IF($F521&lt;=BankCostEnvelope*'5. Scenarios'!$B$7,1,0))</f>
        <v/>
      </c>
      <c r="H521" s="57" t="str">
        <f aca="false">IF($D521="","",INDEX(BookRate,516)*(1+'5. Scenarios'!$B$10)*(INDEX(BookQ1,516)*(5-MIN(4,1+'5. Scenarios'!$B$8))/4+INDEX(BookQ2,516)*(5-MIN(4,2+'5. Scenarios'!$B$8))/4+INDEX(BookQ3,516)*(5-MIN(4,3+'5. Scenarios'!$B$8))/4+INDEX(BookQ4,516)*(5-MIN(4,4+'5. Scenarios'!$B$8))/4)*'5. Scenarios'!$B$6/(1+ProductivityDefault*('5. Scenarios'!$B$11-1))+INDEX(BookOneOff,516)*$D521)</f>
        <v/>
      </c>
      <c r="I521" s="56" t="str">
        <f aca="false">IF(INDEX(BookTitle,516)="","",INDEX(BookTotal,516)*'5. Scenarios'!$C$6/(1+ProductivityDefault*('5. Scenarios'!$C$11-1)))</f>
        <v/>
      </c>
      <c r="J521" s="57" t="str">
        <f aca="false">IF($I521="","",INDEX(BookRate,516)*(1+'5. Scenarios'!$C$10)*$I521)</f>
        <v/>
      </c>
      <c r="K521" s="57" t="str">
        <f aca="false">IF($J521="","",SUMIFS($J$6:$J$2405,$A$6:$A$2405,"&lt;="&amp;$A521))</f>
        <v/>
      </c>
      <c r="L521" s="57" t="str">
        <f aca="false">IF($J521="","",IF($K521&lt;=BankCostEnvelope*'5. Scenarios'!$C$7,1,0))</f>
        <v/>
      </c>
      <c r="M521" s="57" t="str">
        <f aca="false">IF($I521="","",INDEX(BookRate,516)*(1+'5. Scenarios'!$C$10)*(INDEX(BookQ1,516)*(5-MIN(4,1+'5. Scenarios'!$C$8))/4+INDEX(BookQ2,516)*(5-MIN(4,2+'5. Scenarios'!$C$8))/4+INDEX(BookQ3,516)*(5-MIN(4,3+'5. Scenarios'!$C$8))/4+INDEX(BookQ4,516)*(5-MIN(4,4+'5. Scenarios'!$C$8))/4)*'5. Scenarios'!$C$6/(1+ProductivityDefault*('5. Scenarios'!$C$11-1))+INDEX(BookOneOff,516)*$I521)</f>
        <v/>
      </c>
      <c r="N521" s="56" t="str">
        <f aca="false">IF(INDEX(BookTitle,516)="","",INDEX(BookTotal,516)*'5. Scenarios'!$D$6/(1+ProductivityDefault*('5. Scenarios'!$D$11-1)))</f>
        <v/>
      </c>
      <c r="O521" s="57" t="str">
        <f aca="false">IF($N521="","",INDEX(BookRate,516)*(1+'5. Scenarios'!$D$10)*$N521)</f>
        <v/>
      </c>
      <c r="P521" s="57" t="str">
        <f aca="false">IF($O521="","",SUMIFS($O$6:$O$2405,$A$6:$A$2405,"&lt;="&amp;$A521))</f>
        <v/>
      </c>
      <c r="Q521" s="57" t="str">
        <f aca="false">IF($O521="","",IF($P521&lt;=BankCostEnvelope*'5. Scenarios'!$D$7,1,0))</f>
        <v/>
      </c>
      <c r="R521" s="57" t="str">
        <f aca="false">IF($N521="","",INDEX(BookRate,516)*(1+'5. Scenarios'!$D$10)*(INDEX(BookQ1,516)*(5-MIN(4,1+'5. Scenarios'!$D$8))/4+INDEX(BookQ2,516)*(5-MIN(4,2+'5. Scenarios'!$D$8))/4+INDEX(BookQ3,516)*(5-MIN(4,3+'5. Scenarios'!$D$8))/4+INDEX(BookQ4,516)*(5-MIN(4,4+'5. Scenarios'!$D$8))/4)*'5. Scenarios'!$D$6/(1+ProductivityDefault*('5. Scenarios'!$D$11-1))+INDEX(BookOneOff,516)*$N521)</f>
        <v/>
      </c>
      <c r="S521" s="56" t="str">
        <f aca="false">IF(INDEX(BookTitle,516)="","",INDEX(BookTotal,516)*'5. Scenarios'!$E$6/(1+ProductivityDefault*('5. Scenarios'!$E$11-1)))</f>
        <v/>
      </c>
      <c r="T521" s="57" t="str">
        <f aca="false">IF($S521="","",INDEX(BookRate,516)*(1+'5. Scenarios'!$E$10)*$S521)</f>
        <v/>
      </c>
      <c r="U521" s="57" t="str">
        <f aca="false">IF($T521="","",SUMIFS($T$6:$T$2405,$A$6:$A$2405,"&lt;="&amp;$A521))</f>
        <v/>
      </c>
      <c r="V521" s="57" t="str">
        <f aca="false">IF($T521="","",IF($U521&lt;=BankCostEnvelope*'5. Scenarios'!$E$7,1,0))</f>
        <v/>
      </c>
      <c r="W521" s="57" t="str">
        <f aca="false">IF($S521="","",INDEX(BookRate,516)*(1+'5. Scenarios'!$E$10)*(INDEX(BookQ1,516)*(5-MIN(4,1+'5. Scenarios'!$E$8))/4+INDEX(BookQ2,516)*(5-MIN(4,2+'5. Scenarios'!$E$8))/4+INDEX(BookQ3,516)*(5-MIN(4,3+'5. Scenarios'!$E$8))/4+INDEX(BookQ4,516)*(5-MIN(4,4+'5. Scenarios'!$E$8))/4)*'5. Scenarios'!$E$6/(1+ProductivityDefault*('5. Scenarios'!$E$11-1))+INDEX(BookOneOff,516)*$S521)</f>
        <v/>
      </c>
    </row>
    <row r="522" customFormat="false" ht="15" hidden="false" customHeight="false" outlineLevel="0" collapsed="false">
      <c r="A522" s="0" t="str">
        <f aca="false">IF(INDEX(BookTitle,517)="","",INDEX(BookKey,517))</f>
        <v/>
      </c>
      <c r="B522" s="0" t="str">
        <f aca="false">IF(INDEX(BookTitle,517)="","",INDEX(BookGroup,517))</f>
        <v/>
      </c>
      <c r="C522" s="0" t="str">
        <f aca="false">IF(INDEX(BookTitle,517)="","",INDEX(BookCategory,517))</f>
        <v/>
      </c>
      <c r="D522" s="56" t="str">
        <f aca="false">IF(INDEX(BookTitle,517)="","",INDEX(BookTotal,517)*'5. Scenarios'!$B$6/(1+ProductivityDefault*('5. Scenarios'!$B$11-1)))</f>
        <v/>
      </c>
      <c r="E522" s="57" t="str">
        <f aca="false">IF($D522="","",INDEX(BookRate,517)*(1+'5. Scenarios'!$B$10)*$D522)</f>
        <v/>
      </c>
      <c r="F522" s="57" t="str">
        <f aca="false">IF($E522="","",SUMIFS($E$6:$E$2405,$A$6:$A$2405,"&lt;="&amp;$A522))</f>
        <v/>
      </c>
      <c r="G522" s="57" t="str">
        <f aca="false">IF($E522="","",IF($F522&lt;=BankCostEnvelope*'5. Scenarios'!$B$7,1,0))</f>
        <v/>
      </c>
      <c r="H522" s="57" t="str">
        <f aca="false">IF($D522="","",INDEX(BookRate,517)*(1+'5. Scenarios'!$B$10)*(INDEX(BookQ1,517)*(5-MIN(4,1+'5. Scenarios'!$B$8))/4+INDEX(BookQ2,517)*(5-MIN(4,2+'5. Scenarios'!$B$8))/4+INDEX(BookQ3,517)*(5-MIN(4,3+'5. Scenarios'!$B$8))/4+INDEX(BookQ4,517)*(5-MIN(4,4+'5. Scenarios'!$B$8))/4)*'5. Scenarios'!$B$6/(1+ProductivityDefault*('5. Scenarios'!$B$11-1))+INDEX(BookOneOff,517)*$D522)</f>
        <v/>
      </c>
      <c r="I522" s="56" t="str">
        <f aca="false">IF(INDEX(BookTitle,517)="","",INDEX(BookTotal,517)*'5. Scenarios'!$C$6/(1+ProductivityDefault*('5. Scenarios'!$C$11-1)))</f>
        <v/>
      </c>
      <c r="J522" s="57" t="str">
        <f aca="false">IF($I522="","",INDEX(BookRate,517)*(1+'5. Scenarios'!$C$10)*$I522)</f>
        <v/>
      </c>
      <c r="K522" s="57" t="str">
        <f aca="false">IF($J522="","",SUMIFS($J$6:$J$2405,$A$6:$A$2405,"&lt;="&amp;$A522))</f>
        <v/>
      </c>
      <c r="L522" s="57" t="str">
        <f aca="false">IF($J522="","",IF($K522&lt;=BankCostEnvelope*'5. Scenarios'!$C$7,1,0))</f>
        <v/>
      </c>
      <c r="M522" s="57" t="str">
        <f aca="false">IF($I522="","",INDEX(BookRate,517)*(1+'5. Scenarios'!$C$10)*(INDEX(BookQ1,517)*(5-MIN(4,1+'5. Scenarios'!$C$8))/4+INDEX(BookQ2,517)*(5-MIN(4,2+'5. Scenarios'!$C$8))/4+INDEX(BookQ3,517)*(5-MIN(4,3+'5. Scenarios'!$C$8))/4+INDEX(BookQ4,517)*(5-MIN(4,4+'5. Scenarios'!$C$8))/4)*'5. Scenarios'!$C$6/(1+ProductivityDefault*('5. Scenarios'!$C$11-1))+INDEX(BookOneOff,517)*$I522)</f>
        <v/>
      </c>
      <c r="N522" s="56" t="str">
        <f aca="false">IF(INDEX(BookTitle,517)="","",INDEX(BookTotal,517)*'5. Scenarios'!$D$6/(1+ProductivityDefault*('5. Scenarios'!$D$11-1)))</f>
        <v/>
      </c>
      <c r="O522" s="57" t="str">
        <f aca="false">IF($N522="","",INDEX(BookRate,517)*(1+'5. Scenarios'!$D$10)*$N522)</f>
        <v/>
      </c>
      <c r="P522" s="57" t="str">
        <f aca="false">IF($O522="","",SUMIFS($O$6:$O$2405,$A$6:$A$2405,"&lt;="&amp;$A522))</f>
        <v/>
      </c>
      <c r="Q522" s="57" t="str">
        <f aca="false">IF($O522="","",IF($P522&lt;=BankCostEnvelope*'5. Scenarios'!$D$7,1,0))</f>
        <v/>
      </c>
      <c r="R522" s="57" t="str">
        <f aca="false">IF($N522="","",INDEX(BookRate,517)*(1+'5. Scenarios'!$D$10)*(INDEX(BookQ1,517)*(5-MIN(4,1+'5. Scenarios'!$D$8))/4+INDEX(BookQ2,517)*(5-MIN(4,2+'5. Scenarios'!$D$8))/4+INDEX(BookQ3,517)*(5-MIN(4,3+'5. Scenarios'!$D$8))/4+INDEX(BookQ4,517)*(5-MIN(4,4+'5. Scenarios'!$D$8))/4)*'5. Scenarios'!$D$6/(1+ProductivityDefault*('5. Scenarios'!$D$11-1))+INDEX(BookOneOff,517)*$N522)</f>
        <v/>
      </c>
      <c r="S522" s="56" t="str">
        <f aca="false">IF(INDEX(BookTitle,517)="","",INDEX(BookTotal,517)*'5. Scenarios'!$E$6/(1+ProductivityDefault*('5. Scenarios'!$E$11-1)))</f>
        <v/>
      </c>
      <c r="T522" s="57" t="str">
        <f aca="false">IF($S522="","",INDEX(BookRate,517)*(1+'5. Scenarios'!$E$10)*$S522)</f>
        <v/>
      </c>
      <c r="U522" s="57" t="str">
        <f aca="false">IF($T522="","",SUMIFS($T$6:$T$2405,$A$6:$A$2405,"&lt;="&amp;$A522))</f>
        <v/>
      </c>
      <c r="V522" s="57" t="str">
        <f aca="false">IF($T522="","",IF($U522&lt;=BankCostEnvelope*'5. Scenarios'!$E$7,1,0))</f>
        <v/>
      </c>
      <c r="W522" s="57" t="str">
        <f aca="false">IF($S522="","",INDEX(BookRate,517)*(1+'5. Scenarios'!$E$10)*(INDEX(BookQ1,517)*(5-MIN(4,1+'5. Scenarios'!$E$8))/4+INDEX(BookQ2,517)*(5-MIN(4,2+'5. Scenarios'!$E$8))/4+INDEX(BookQ3,517)*(5-MIN(4,3+'5. Scenarios'!$E$8))/4+INDEX(BookQ4,517)*(5-MIN(4,4+'5. Scenarios'!$E$8))/4)*'5. Scenarios'!$E$6/(1+ProductivityDefault*('5. Scenarios'!$E$11-1))+INDEX(BookOneOff,517)*$S522)</f>
        <v/>
      </c>
    </row>
    <row r="523" customFormat="false" ht="15" hidden="false" customHeight="false" outlineLevel="0" collapsed="false">
      <c r="A523" s="0" t="str">
        <f aca="false">IF(INDEX(BookTitle,518)="","",INDEX(BookKey,518))</f>
        <v/>
      </c>
      <c r="B523" s="0" t="str">
        <f aca="false">IF(INDEX(BookTitle,518)="","",INDEX(BookGroup,518))</f>
        <v/>
      </c>
      <c r="C523" s="0" t="str">
        <f aca="false">IF(INDEX(BookTitle,518)="","",INDEX(BookCategory,518))</f>
        <v/>
      </c>
      <c r="D523" s="56" t="str">
        <f aca="false">IF(INDEX(BookTitle,518)="","",INDEX(BookTotal,518)*'5. Scenarios'!$B$6/(1+ProductivityDefault*('5. Scenarios'!$B$11-1)))</f>
        <v/>
      </c>
      <c r="E523" s="57" t="str">
        <f aca="false">IF($D523="","",INDEX(BookRate,518)*(1+'5. Scenarios'!$B$10)*$D523)</f>
        <v/>
      </c>
      <c r="F523" s="57" t="str">
        <f aca="false">IF($E523="","",SUMIFS($E$6:$E$2405,$A$6:$A$2405,"&lt;="&amp;$A523))</f>
        <v/>
      </c>
      <c r="G523" s="57" t="str">
        <f aca="false">IF($E523="","",IF($F523&lt;=BankCostEnvelope*'5. Scenarios'!$B$7,1,0))</f>
        <v/>
      </c>
      <c r="H523" s="57" t="str">
        <f aca="false">IF($D523="","",INDEX(BookRate,518)*(1+'5. Scenarios'!$B$10)*(INDEX(BookQ1,518)*(5-MIN(4,1+'5. Scenarios'!$B$8))/4+INDEX(BookQ2,518)*(5-MIN(4,2+'5. Scenarios'!$B$8))/4+INDEX(BookQ3,518)*(5-MIN(4,3+'5. Scenarios'!$B$8))/4+INDEX(BookQ4,518)*(5-MIN(4,4+'5. Scenarios'!$B$8))/4)*'5. Scenarios'!$B$6/(1+ProductivityDefault*('5. Scenarios'!$B$11-1))+INDEX(BookOneOff,518)*$D523)</f>
        <v/>
      </c>
      <c r="I523" s="56" t="str">
        <f aca="false">IF(INDEX(BookTitle,518)="","",INDEX(BookTotal,518)*'5. Scenarios'!$C$6/(1+ProductivityDefault*('5. Scenarios'!$C$11-1)))</f>
        <v/>
      </c>
      <c r="J523" s="57" t="str">
        <f aca="false">IF($I523="","",INDEX(BookRate,518)*(1+'5. Scenarios'!$C$10)*$I523)</f>
        <v/>
      </c>
      <c r="K523" s="57" t="str">
        <f aca="false">IF($J523="","",SUMIFS($J$6:$J$2405,$A$6:$A$2405,"&lt;="&amp;$A523))</f>
        <v/>
      </c>
      <c r="L523" s="57" t="str">
        <f aca="false">IF($J523="","",IF($K523&lt;=BankCostEnvelope*'5. Scenarios'!$C$7,1,0))</f>
        <v/>
      </c>
      <c r="M523" s="57" t="str">
        <f aca="false">IF($I523="","",INDEX(BookRate,518)*(1+'5. Scenarios'!$C$10)*(INDEX(BookQ1,518)*(5-MIN(4,1+'5. Scenarios'!$C$8))/4+INDEX(BookQ2,518)*(5-MIN(4,2+'5. Scenarios'!$C$8))/4+INDEX(BookQ3,518)*(5-MIN(4,3+'5. Scenarios'!$C$8))/4+INDEX(BookQ4,518)*(5-MIN(4,4+'5. Scenarios'!$C$8))/4)*'5. Scenarios'!$C$6/(1+ProductivityDefault*('5. Scenarios'!$C$11-1))+INDEX(BookOneOff,518)*$I523)</f>
        <v/>
      </c>
      <c r="N523" s="56" t="str">
        <f aca="false">IF(INDEX(BookTitle,518)="","",INDEX(BookTotal,518)*'5. Scenarios'!$D$6/(1+ProductivityDefault*('5. Scenarios'!$D$11-1)))</f>
        <v/>
      </c>
      <c r="O523" s="57" t="str">
        <f aca="false">IF($N523="","",INDEX(BookRate,518)*(1+'5. Scenarios'!$D$10)*$N523)</f>
        <v/>
      </c>
      <c r="P523" s="57" t="str">
        <f aca="false">IF($O523="","",SUMIFS($O$6:$O$2405,$A$6:$A$2405,"&lt;="&amp;$A523))</f>
        <v/>
      </c>
      <c r="Q523" s="57" t="str">
        <f aca="false">IF($O523="","",IF($P523&lt;=BankCostEnvelope*'5. Scenarios'!$D$7,1,0))</f>
        <v/>
      </c>
      <c r="R523" s="57" t="str">
        <f aca="false">IF($N523="","",INDEX(BookRate,518)*(1+'5. Scenarios'!$D$10)*(INDEX(BookQ1,518)*(5-MIN(4,1+'5. Scenarios'!$D$8))/4+INDEX(BookQ2,518)*(5-MIN(4,2+'5. Scenarios'!$D$8))/4+INDEX(BookQ3,518)*(5-MIN(4,3+'5. Scenarios'!$D$8))/4+INDEX(BookQ4,518)*(5-MIN(4,4+'5. Scenarios'!$D$8))/4)*'5. Scenarios'!$D$6/(1+ProductivityDefault*('5. Scenarios'!$D$11-1))+INDEX(BookOneOff,518)*$N523)</f>
        <v/>
      </c>
      <c r="S523" s="56" t="str">
        <f aca="false">IF(INDEX(BookTitle,518)="","",INDEX(BookTotal,518)*'5. Scenarios'!$E$6/(1+ProductivityDefault*('5. Scenarios'!$E$11-1)))</f>
        <v/>
      </c>
      <c r="T523" s="57" t="str">
        <f aca="false">IF($S523="","",INDEX(BookRate,518)*(1+'5. Scenarios'!$E$10)*$S523)</f>
        <v/>
      </c>
      <c r="U523" s="57" t="str">
        <f aca="false">IF($T523="","",SUMIFS($T$6:$T$2405,$A$6:$A$2405,"&lt;="&amp;$A523))</f>
        <v/>
      </c>
      <c r="V523" s="57" t="str">
        <f aca="false">IF($T523="","",IF($U523&lt;=BankCostEnvelope*'5. Scenarios'!$E$7,1,0))</f>
        <v/>
      </c>
      <c r="W523" s="57" t="str">
        <f aca="false">IF($S523="","",INDEX(BookRate,518)*(1+'5. Scenarios'!$E$10)*(INDEX(BookQ1,518)*(5-MIN(4,1+'5. Scenarios'!$E$8))/4+INDEX(BookQ2,518)*(5-MIN(4,2+'5. Scenarios'!$E$8))/4+INDEX(BookQ3,518)*(5-MIN(4,3+'5. Scenarios'!$E$8))/4+INDEX(BookQ4,518)*(5-MIN(4,4+'5. Scenarios'!$E$8))/4)*'5. Scenarios'!$E$6/(1+ProductivityDefault*('5. Scenarios'!$E$11-1))+INDEX(BookOneOff,518)*$S523)</f>
        <v/>
      </c>
    </row>
    <row r="524" customFormat="false" ht="15" hidden="false" customHeight="false" outlineLevel="0" collapsed="false">
      <c r="A524" s="0" t="str">
        <f aca="false">IF(INDEX(BookTitle,519)="","",INDEX(BookKey,519))</f>
        <v/>
      </c>
      <c r="B524" s="0" t="str">
        <f aca="false">IF(INDEX(BookTitle,519)="","",INDEX(BookGroup,519))</f>
        <v/>
      </c>
      <c r="C524" s="0" t="str">
        <f aca="false">IF(INDEX(BookTitle,519)="","",INDEX(BookCategory,519))</f>
        <v/>
      </c>
      <c r="D524" s="56" t="str">
        <f aca="false">IF(INDEX(BookTitle,519)="","",INDEX(BookTotal,519)*'5. Scenarios'!$B$6/(1+ProductivityDefault*('5. Scenarios'!$B$11-1)))</f>
        <v/>
      </c>
      <c r="E524" s="57" t="str">
        <f aca="false">IF($D524="","",INDEX(BookRate,519)*(1+'5. Scenarios'!$B$10)*$D524)</f>
        <v/>
      </c>
      <c r="F524" s="57" t="str">
        <f aca="false">IF($E524="","",SUMIFS($E$6:$E$2405,$A$6:$A$2405,"&lt;="&amp;$A524))</f>
        <v/>
      </c>
      <c r="G524" s="57" t="str">
        <f aca="false">IF($E524="","",IF($F524&lt;=BankCostEnvelope*'5. Scenarios'!$B$7,1,0))</f>
        <v/>
      </c>
      <c r="H524" s="57" t="str">
        <f aca="false">IF($D524="","",INDEX(BookRate,519)*(1+'5. Scenarios'!$B$10)*(INDEX(BookQ1,519)*(5-MIN(4,1+'5. Scenarios'!$B$8))/4+INDEX(BookQ2,519)*(5-MIN(4,2+'5. Scenarios'!$B$8))/4+INDEX(BookQ3,519)*(5-MIN(4,3+'5. Scenarios'!$B$8))/4+INDEX(BookQ4,519)*(5-MIN(4,4+'5. Scenarios'!$B$8))/4)*'5. Scenarios'!$B$6/(1+ProductivityDefault*('5. Scenarios'!$B$11-1))+INDEX(BookOneOff,519)*$D524)</f>
        <v/>
      </c>
      <c r="I524" s="56" t="str">
        <f aca="false">IF(INDEX(BookTitle,519)="","",INDEX(BookTotal,519)*'5. Scenarios'!$C$6/(1+ProductivityDefault*('5. Scenarios'!$C$11-1)))</f>
        <v/>
      </c>
      <c r="J524" s="57" t="str">
        <f aca="false">IF($I524="","",INDEX(BookRate,519)*(1+'5. Scenarios'!$C$10)*$I524)</f>
        <v/>
      </c>
      <c r="K524" s="57" t="str">
        <f aca="false">IF($J524="","",SUMIFS($J$6:$J$2405,$A$6:$A$2405,"&lt;="&amp;$A524))</f>
        <v/>
      </c>
      <c r="L524" s="57" t="str">
        <f aca="false">IF($J524="","",IF($K524&lt;=BankCostEnvelope*'5. Scenarios'!$C$7,1,0))</f>
        <v/>
      </c>
      <c r="M524" s="57" t="str">
        <f aca="false">IF($I524="","",INDEX(BookRate,519)*(1+'5. Scenarios'!$C$10)*(INDEX(BookQ1,519)*(5-MIN(4,1+'5. Scenarios'!$C$8))/4+INDEX(BookQ2,519)*(5-MIN(4,2+'5. Scenarios'!$C$8))/4+INDEX(BookQ3,519)*(5-MIN(4,3+'5. Scenarios'!$C$8))/4+INDEX(BookQ4,519)*(5-MIN(4,4+'5. Scenarios'!$C$8))/4)*'5. Scenarios'!$C$6/(1+ProductivityDefault*('5. Scenarios'!$C$11-1))+INDEX(BookOneOff,519)*$I524)</f>
        <v/>
      </c>
      <c r="N524" s="56" t="str">
        <f aca="false">IF(INDEX(BookTitle,519)="","",INDEX(BookTotal,519)*'5. Scenarios'!$D$6/(1+ProductivityDefault*('5. Scenarios'!$D$11-1)))</f>
        <v/>
      </c>
      <c r="O524" s="57" t="str">
        <f aca="false">IF($N524="","",INDEX(BookRate,519)*(1+'5. Scenarios'!$D$10)*$N524)</f>
        <v/>
      </c>
      <c r="P524" s="57" t="str">
        <f aca="false">IF($O524="","",SUMIFS($O$6:$O$2405,$A$6:$A$2405,"&lt;="&amp;$A524))</f>
        <v/>
      </c>
      <c r="Q524" s="57" t="str">
        <f aca="false">IF($O524="","",IF($P524&lt;=BankCostEnvelope*'5. Scenarios'!$D$7,1,0))</f>
        <v/>
      </c>
      <c r="R524" s="57" t="str">
        <f aca="false">IF($N524="","",INDEX(BookRate,519)*(1+'5. Scenarios'!$D$10)*(INDEX(BookQ1,519)*(5-MIN(4,1+'5. Scenarios'!$D$8))/4+INDEX(BookQ2,519)*(5-MIN(4,2+'5. Scenarios'!$D$8))/4+INDEX(BookQ3,519)*(5-MIN(4,3+'5. Scenarios'!$D$8))/4+INDEX(BookQ4,519)*(5-MIN(4,4+'5. Scenarios'!$D$8))/4)*'5. Scenarios'!$D$6/(1+ProductivityDefault*('5. Scenarios'!$D$11-1))+INDEX(BookOneOff,519)*$N524)</f>
        <v/>
      </c>
      <c r="S524" s="56" t="str">
        <f aca="false">IF(INDEX(BookTitle,519)="","",INDEX(BookTotal,519)*'5. Scenarios'!$E$6/(1+ProductivityDefault*('5. Scenarios'!$E$11-1)))</f>
        <v/>
      </c>
      <c r="T524" s="57" t="str">
        <f aca="false">IF($S524="","",INDEX(BookRate,519)*(1+'5. Scenarios'!$E$10)*$S524)</f>
        <v/>
      </c>
      <c r="U524" s="57" t="str">
        <f aca="false">IF($T524="","",SUMIFS($T$6:$T$2405,$A$6:$A$2405,"&lt;="&amp;$A524))</f>
        <v/>
      </c>
      <c r="V524" s="57" t="str">
        <f aca="false">IF($T524="","",IF($U524&lt;=BankCostEnvelope*'5. Scenarios'!$E$7,1,0))</f>
        <v/>
      </c>
      <c r="W524" s="57" t="str">
        <f aca="false">IF($S524="","",INDEX(BookRate,519)*(1+'5. Scenarios'!$E$10)*(INDEX(BookQ1,519)*(5-MIN(4,1+'5. Scenarios'!$E$8))/4+INDEX(BookQ2,519)*(5-MIN(4,2+'5. Scenarios'!$E$8))/4+INDEX(BookQ3,519)*(5-MIN(4,3+'5. Scenarios'!$E$8))/4+INDEX(BookQ4,519)*(5-MIN(4,4+'5. Scenarios'!$E$8))/4)*'5. Scenarios'!$E$6/(1+ProductivityDefault*('5. Scenarios'!$E$11-1))+INDEX(BookOneOff,519)*$S524)</f>
        <v/>
      </c>
    </row>
    <row r="525" customFormat="false" ht="15" hidden="false" customHeight="false" outlineLevel="0" collapsed="false">
      <c r="A525" s="0" t="str">
        <f aca="false">IF(INDEX(BookTitle,520)="","",INDEX(BookKey,520))</f>
        <v/>
      </c>
      <c r="B525" s="0" t="str">
        <f aca="false">IF(INDEX(BookTitle,520)="","",INDEX(BookGroup,520))</f>
        <v/>
      </c>
      <c r="C525" s="0" t="str">
        <f aca="false">IF(INDEX(BookTitle,520)="","",INDEX(BookCategory,520))</f>
        <v/>
      </c>
      <c r="D525" s="56" t="str">
        <f aca="false">IF(INDEX(BookTitle,520)="","",INDEX(BookTotal,520)*'5. Scenarios'!$B$6/(1+ProductivityDefault*('5. Scenarios'!$B$11-1)))</f>
        <v/>
      </c>
      <c r="E525" s="57" t="str">
        <f aca="false">IF($D525="","",INDEX(BookRate,520)*(1+'5. Scenarios'!$B$10)*$D525)</f>
        <v/>
      </c>
      <c r="F525" s="57" t="str">
        <f aca="false">IF($E525="","",SUMIFS($E$6:$E$2405,$A$6:$A$2405,"&lt;="&amp;$A525))</f>
        <v/>
      </c>
      <c r="G525" s="57" t="str">
        <f aca="false">IF($E525="","",IF($F525&lt;=BankCostEnvelope*'5. Scenarios'!$B$7,1,0))</f>
        <v/>
      </c>
      <c r="H525" s="57" t="str">
        <f aca="false">IF($D525="","",INDEX(BookRate,520)*(1+'5. Scenarios'!$B$10)*(INDEX(BookQ1,520)*(5-MIN(4,1+'5. Scenarios'!$B$8))/4+INDEX(BookQ2,520)*(5-MIN(4,2+'5. Scenarios'!$B$8))/4+INDEX(BookQ3,520)*(5-MIN(4,3+'5. Scenarios'!$B$8))/4+INDEX(BookQ4,520)*(5-MIN(4,4+'5. Scenarios'!$B$8))/4)*'5. Scenarios'!$B$6/(1+ProductivityDefault*('5. Scenarios'!$B$11-1))+INDEX(BookOneOff,520)*$D525)</f>
        <v/>
      </c>
      <c r="I525" s="56" t="str">
        <f aca="false">IF(INDEX(BookTitle,520)="","",INDEX(BookTotal,520)*'5. Scenarios'!$C$6/(1+ProductivityDefault*('5. Scenarios'!$C$11-1)))</f>
        <v/>
      </c>
      <c r="J525" s="57" t="str">
        <f aca="false">IF($I525="","",INDEX(BookRate,520)*(1+'5. Scenarios'!$C$10)*$I525)</f>
        <v/>
      </c>
      <c r="K525" s="57" t="str">
        <f aca="false">IF($J525="","",SUMIFS($J$6:$J$2405,$A$6:$A$2405,"&lt;="&amp;$A525))</f>
        <v/>
      </c>
      <c r="L525" s="57" t="str">
        <f aca="false">IF($J525="","",IF($K525&lt;=BankCostEnvelope*'5. Scenarios'!$C$7,1,0))</f>
        <v/>
      </c>
      <c r="M525" s="57" t="str">
        <f aca="false">IF($I525="","",INDEX(BookRate,520)*(1+'5. Scenarios'!$C$10)*(INDEX(BookQ1,520)*(5-MIN(4,1+'5. Scenarios'!$C$8))/4+INDEX(BookQ2,520)*(5-MIN(4,2+'5. Scenarios'!$C$8))/4+INDEX(BookQ3,520)*(5-MIN(4,3+'5. Scenarios'!$C$8))/4+INDEX(BookQ4,520)*(5-MIN(4,4+'5. Scenarios'!$C$8))/4)*'5. Scenarios'!$C$6/(1+ProductivityDefault*('5. Scenarios'!$C$11-1))+INDEX(BookOneOff,520)*$I525)</f>
        <v/>
      </c>
      <c r="N525" s="56" t="str">
        <f aca="false">IF(INDEX(BookTitle,520)="","",INDEX(BookTotal,520)*'5. Scenarios'!$D$6/(1+ProductivityDefault*('5. Scenarios'!$D$11-1)))</f>
        <v/>
      </c>
      <c r="O525" s="57" t="str">
        <f aca="false">IF($N525="","",INDEX(BookRate,520)*(1+'5. Scenarios'!$D$10)*$N525)</f>
        <v/>
      </c>
      <c r="P525" s="57" t="str">
        <f aca="false">IF($O525="","",SUMIFS($O$6:$O$2405,$A$6:$A$2405,"&lt;="&amp;$A525))</f>
        <v/>
      </c>
      <c r="Q525" s="57" t="str">
        <f aca="false">IF($O525="","",IF($P525&lt;=BankCostEnvelope*'5. Scenarios'!$D$7,1,0))</f>
        <v/>
      </c>
      <c r="R525" s="57" t="str">
        <f aca="false">IF($N525="","",INDEX(BookRate,520)*(1+'5. Scenarios'!$D$10)*(INDEX(BookQ1,520)*(5-MIN(4,1+'5. Scenarios'!$D$8))/4+INDEX(BookQ2,520)*(5-MIN(4,2+'5. Scenarios'!$D$8))/4+INDEX(BookQ3,520)*(5-MIN(4,3+'5. Scenarios'!$D$8))/4+INDEX(BookQ4,520)*(5-MIN(4,4+'5. Scenarios'!$D$8))/4)*'5. Scenarios'!$D$6/(1+ProductivityDefault*('5. Scenarios'!$D$11-1))+INDEX(BookOneOff,520)*$N525)</f>
        <v/>
      </c>
      <c r="S525" s="56" t="str">
        <f aca="false">IF(INDEX(BookTitle,520)="","",INDEX(BookTotal,520)*'5. Scenarios'!$E$6/(1+ProductivityDefault*('5. Scenarios'!$E$11-1)))</f>
        <v/>
      </c>
      <c r="T525" s="57" t="str">
        <f aca="false">IF($S525="","",INDEX(BookRate,520)*(1+'5. Scenarios'!$E$10)*$S525)</f>
        <v/>
      </c>
      <c r="U525" s="57" t="str">
        <f aca="false">IF($T525="","",SUMIFS($T$6:$T$2405,$A$6:$A$2405,"&lt;="&amp;$A525))</f>
        <v/>
      </c>
      <c r="V525" s="57" t="str">
        <f aca="false">IF($T525="","",IF($U525&lt;=BankCostEnvelope*'5. Scenarios'!$E$7,1,0))</f>
        <v/>
      </c>
      <c r="W525" s="57" t="str">
        <f aca="false">IF($S525="","",INDEX(BookRate,520)*(1+'5. Scenarios'!$E$10)*(INDEX(BookQ1,520)*(5-MIN(4,1+'5. Scenarios'!$E$8))/4+INDEX(BookQ2,520)*(5-MIN(4,2+'5. Scenarios'!$E$8))/4+INDEX(BookQ3,520)*(5-MIN(4,3+'5. Scenarios'!$E$8))/4+INDEX(BookQ4,520)*(5-MIN(4,4+'5. Scenarios'!$E$8))/4)*'5. Scenarios'!$E$6/(1+ProductivityDefault*('5. Scenarios'!$E$11-1))+INDEX(BookOneOff,520)*$S525)</f>
        <v/>
      </c>
    </row>
    <row r="526" customFormat="false" ht="15" hidden="false" customHeight="false" outlineLevel="0" collapsed="false">
      <c r="A526" s="0" t="str">
        <f aca="false">IF(INDEX(BookTitle,521)="","",INDEX(BookKey,521))</f>
        <v/>
      </c>
      <c r="B526" s="0" t="str">
        <f aca="false">IF(INDEX(BookTitle,521)="","",INDEX(BookGroup,521))</f>
        <v/>
      </c>
      <c r="C526" s="0" t="str">
        <f aca="false">IF(INDEX(BookTitle,521)="","",INDEX(BookCategory,521))</f>
        <v/>
      </c>
      <c r="D526" s="56" t="str">
        <f aca="false">IF(INDEX(BookTitle,521)="","",INDEX(BookTotal,521)*'5. Scenarios'!$B$6/(1+ProductivityDefault*('5. Scenarios'!$B$11-1)))</f>
        <v/>
      </c>
      <c r="E526" s="57" t="str">
        <f aca="false">IF($D526="","",INDEX(BookRate,521)*(1+'5. Scenarios'!$B$10)*$D526)</f>
        <v/>
      </c>
      <c r="F526" s="57" t="str">
        <f aca="false">IF($E526="","",SUMIFS($E$6:$E$2405,$A$6:$A$2405,"&lt;="&amp;$A526))</f>
        <v/>
      </c>
      <c r="G526" s="57" t="str">
        <f aca="false">IF($E526="","",IF($F526&lt;=BankCostEnvelope*'5. Scenarios'!$B$7,1,0))</f>
        <v/>
      </c>
      <c r="H526" s="57" t="str">
        <f aca="false">IF($D526="","",INDEX(BookRate,521)*(1+'5. Scenarios'!$B$10)*(INDEX(BookQ1,521)*(5-MIN(4,1+'5. Scenarios'!$B$8))/4+INDEX(BookQ2,521)*(5-MIN(4,2+'5. Scenarios'!$B$8))/4+INDEX(BookQ3,521)*(5-MIN(4,3+'5. Scenarios'!$B$8))/4+INDEX(BookQ4,521)*(5-MIN(4,4+'5. Scenarios'!$B$8))/4)*'5. Scenarios'!$B$6/(1+ProductivityDefault*('5. Scenarios'!$B$11-1))+INDEX(BookOneOff,521)*$D526)</f>
        <v/>
      </c>
      <c r="I526" s="56" t="str">
        <f aca="false">IF(INDEX(BookTitle,521)="","",INDEX(BookTotal,521)*'5. Scenarios'!$C$6/(1+ProductivityDefault*('5. Scenarios'!$C$11-1)))</f>
        <v/>
      </c>
      <c r="J526" s="57" t="str">
        <f aca="false">IF($I526="","",INDEX(BookRate,521)*(1+'5. Scenarios'!$C$10)*$I526)</f>
        <v/>
      </c>
      <c r="K526" s="57" t="str">
        <f aca="false">IF($J526="","",SUMIFS($J$6:$J$2405,$A$6:$A$2405,"&lt;="&amp;$A526))</f>
        <v/>
      </c>
      <c r="L526" s="57" t="str">
        <f aca="false">IF($J526="","",IF($K526&lt;=BankCostEnvelope*'5. Scenarios'!$C$7,1,0))</f>
        <v/>
      </c>
      <c r="M526" s="57" t="str">
        <f aca="false">IF($I526="","",INDEX(BookRate,521)*(1+'5. Scenarios'!$C$10)*(INDEX(BookQ1,521)*(5-MIN(4,1+'5. Scenarios'!$C$8))/4+INDEX(BookQ2,521)*(5-MIN(4,2+'5. Scenarios'!$C$8))/4+INDEX(BookQ3,521)*(5-MIN(4,3+'5. Scenarios'!$C$8))/4+INDEX(BookQ4,521)*(5-MIN(4,4+'5. Scenarios'!$C$8))/4)*'5. Scenarios'!$C$6/(1+ProductivityDefault*('5. Scenarios'!$C$11-1))+INDEX(BookOneOff,521)*$I526)</f>
        <v/>
      </c>
      <c r="N526" s="56" t="str">
        <f aca="false">IF(INDEX(BookTitle,521)="","",INDEX(BookTotal,521)*'5. Scenarios'!$D$6/(1+ProductivityDefault*('5. Scenarios'!$D$11-1)))</f>
        <v/>
      </c>
      <c r="O526" s="57" t="str">
        <f aca="false">IF($N526="","",INDEX(BookRate,521)*(1+'5. Scenarios'!$D$10)*$N526)</f>
        <v/>
      </c>
      <c r="P526" s="57" t="str">
        <f aca="false">IF($O526="","",SUMIFS($O$6:$O$2405,$A$6:$A$2405,"&lt;="&amp;$A526))</f>
        <v/>
      </c>
      <c r="Q526" s="57" t="str">
        <f aca="false">IF($O526="","",IF($P526&lt;=BankCostEnvelope*'5. Scenarios'!$D$7,1,0))</f>
        <v/>
      </c>
      <c r="R526" s="57" t="str">
        <f aca="false">IF($N526="","",INDEX(BookRate,521)*(1+'5. Scenarios'!$D$10)*(INDEX(BookQ1,521)*(5-MIN(4,1+'5. Scenarios'!$D$8))/4+INDEX(BookQ2,521)*(5-MIN(4,2+'5. Scenarios'!$D$8))/4+INDEX(BookQ3,521)*(5-MIN(4,3+'5. Scenarios'!$D$8))/4+INDEX(BookQ4,521)*(5-MIN(4,4+'5. Scenarios'!$D$8))/4)*'5. Scenarios'!$D$6/(1+ProductivityDefault*('5. Scenarios'!$D$11-1))+INDEX(BookOneOff,521)*$N526)</f>
        <v/>
      </c>
      <c r="S526" s="56" t="str">
        <f aca="false">IF(INDEX(BookTitle,521)="","",INDEX(BookTotal,521)*'5. Scenarios'!$E$6/(1+ProductivityDefault*('5. Scenarios'!$E$11-1)))</f>
        <v/>
      </c>
      <c r="T526" s="57" t="str">
        <f aca="false">IF($S526="","",INDEX(BookRate,521)*(1+'5. Scenarios'!$E$10)*$S526)</f>
        <v/>
      </c>
      <c r="U526" s="57" t="str">
        <f aca="false">IF($T526="","",SUMIFS($T$6:$T$2405,$A$6:$A$2405,"&lt;="&amp;$A526))</f>
        <v/>
      </c>
      <c r="V526" s="57" t="str">
        <f aca="false">IF($T526="","",IF($U526&lt;=BankCostEnvelope*'5. Scenarios'!$E$7,1,0))</f>
        <v/>
      </c>
      <c r="W526" s="57" t="str">
        <f aca="false">IF($S526="","",INDEX(BookRate,521)*(1+'5. Scenarios'!$E$10)*(INDEX(BookQ1,521)*(5-MIN(4,1+'5. Scenarios'!$E$8))/4+INDEX(BookQ2,521)*(5-MIN(4,2+'5. Scenarios'!$E$8))/4+INDEX(BookQ3,521)*(5-MIN(4,3+'5. Scenarios'!$E$8))/4+INDEX(BookQ4,521)*(5-MIN(4,4+'5. Scenarios'!$E$8))/4)*'5. Scenarios'!$E$6/(1+ProductivityDefault*('5. Scenarios'!$E$11-1))+INDEX(BookOneOff,521)*$S526)</f>
        <v/>
      </c>
    </row>
    <row r="527" customFormat="false" ht="15" hidden="false" customHeight="false" outlineLevel="0" collapsed="false">
      <c r="A527" s="0" t="str">
        <f aca="false">IF(INDEX(BookTitle,522)="","",INDEX(BookKey,522))</f>
        <v/>
      </c>
      <c r="B527" s="0" t="str">
        <f aca="false">IF(INDEX(BookTitle,522)="","",INDEX(BookGroup,522))</f>
        <v/>
      </c>
      <c r="C527" s="0" t="str">
        <f aca="false">IF(INDEX(BookTitle,522)="","",INDEX(BookCategory,522))</f>
        <v/>
      </c>
      <c r="D527" s="56" t="str">
        <f aca="false">IF(INDEX(BookTitle,522)="","",INDEX(BookTotal,522)*'5. Scenarios'!$B$6/(1+ProductivityDefault*('5. Scenarios'!$B$11-1)))</f>
        <v/>
      </c>
      <c r="E527" s="57" t="str">
        <f aca="false">IF($D527="","",INDEX(BookRate,522)*(1+'5. Scenarios'!$B$10)*$D527)</f>
        <v/>
      </c>
      <c r="F527" s="57" t="str">
        <f aca="false">IF($E527="","",SUMIFS($E$6:$E$2405,$A$6:$A$2405,"&lt;="&amp;$A527))</f>
        <v/>
      </c>
      <c r="G527" s="57" t="str">
        <f aca="false">IF($E527="","",IF($F527&lt;=BankCostEnvelope*'5. Scenarios'!$B$7,1,0))</f>
        <v/>
      </c>
      <c r="H527" s="57" t="str">
        <f aca="false">IF($D527="","",INDEX(BookRate,522)*(1+'5. Scenarios'!$B$10)*(INDEX(BookQ1,522)*(5-MIN(4,1+'5. Scenarios'!$B$8))/4+INDEX(BookQ2,522)*(5-MIN(4,2+'5. Scenarios'!$B$8))/4+INDEX(BookQ3,522)*(5-MIN(4,3+'5. Scenarios'!$B$8))/4+INDEX(BookQ4,522)*(5-MIN(4,4+'5. Scenarios'!$B$8))/4)*'5. Scenarios'!$B$6/(1+ProductivityDefault*('5. Scenarios'!$B$11-1))+INDEX(BookOneOff,522)*$D527)</f>
        <v/>
      </c>
      <c r="I527" s="56" t="str">
        <f aca="false">IF(INDEX(BookTitle,522)="","",INDEX(BookTotal,522)*'5. Scenarios'!$C$6/(1+ProductivityDefault*('5. Scenarios'!$C$11-1)))</f>
        <v/>
      </c>
      <c r="J527" s="57" t="str">
        <f aca="false">IF($I527="","",INDEX(BookRate,522)*(1+'5. Scenarios'!$C$10)*$I527)</f>
        <v/>
      </c>
      <c r="K527" s="57" t="str">
        <f aca="false">IF($J527="","",SUMIFS($J$6:$J$2405,$A$6:$A$2405,"&lt;="&amp;$A527))</f>
        <v/>
      </c>
      <c r="L527" s="57" t="str">
        <f aca="false">IF($J527="","",IF($K527&lt;=BankCostEnvelope*'5. Scenarios'!$C$7,1,0))</f>
        <v/>
      </c>
      <c r="M527" s="57" t="str">
        <f aca="false">IF($I527="","",INDEX(BookRate,522)*(1+'5. Scenarios'!$C$10)*(INDEX(BookQ1,522)*(5-MIN(4,1+'5. Scenarios'!$C$8))/4+INDEX(BookQ2,522)*(5-MIN(4,2+'5. Scenarios'!$C$8))/4+INDEX(BookQ3,522)*(5-MIN(4,3+'5. Scenarios'!$C$8))/4+INDEX(BookQ4,522)*(5-MIN(4,4+'5. Scenarios'!$C$8))/4)*'5. Scenarios'!$C$6/(1+ProductivityDefault*('5. Scenarios'!$C$11-1))+INDEX(BookOneOff,522)*$I527)</f>
        <v/>
      </c>
      <c r="N527" s="56" t="str">
        <f aca="false">IF(INDEX(BookTitle,522)="","",INDEX(BookTotal,522)*'5. Scenarios'!$D$6/(1+ProductivityDefault*('5. Scenarios'!$D$11-1)))</f>
        <v/>
      </c>
      <c r="O527" s="57" t="str">
        <f aca="false">IF($N527="","",INDEX(BookRate,522)*(1+'5. Scenarios'!$D$10)*$N527)</f>
        <v/>
      </c>
      <c r="P527" s="57" t="str">
        <f aca="false">IF($O527="","",SUMIFS($O$6:$O$2405,$A$6:$A$2405,"&lt;="&amp;$A527))</f>
        <v/>
      </c>
      <c r="Q527" s="57" t="str">
        <f aca="false">IF($O527="","",IF($P527&lt;=BankCostEnvelope*'5. Scenarios'!$D$7,1,0))</f>
        <v/>
      </c>
      <c r="R527" s="57" t="str">
        <f aca="false">IF($N527="","",INDEX(BookRate,522)*(1+'5. Scenarios'!$D$10)*(INDEX(BookQ1,522)*(5-MIN(4,1+'5. Scenarios'!$D$8))/4+INDEX(BookQ2,522)*(5-MIN(4,2+'5. Scenarios'!$D$8))/4+INDEX(BookQ3,522)*(5-MIN(4,3+'5. Scenarios'!$D$8))/4+INDEX(BookQ4,522)*(5-MIN(4,4+'5. Scenarios'!$D$8))/4)*'5. Scenarios'!$D$6/(1+ProductivityDefault*('5. Scenarios'!$D$11-1))+INDEX(BookOneOff,522)*$N527)</f>
        <v/>
      </c>
      <c r="S527" s="56" t="str">
        <f aca="false">IF(INDEX(BookTitle,522)="","",INDEX(BookTotal,522)*'5. Scenarios'!$E$6/(1+ProductivityDefault*('5. Scenarios'!$E$11-1)))</f>
        <v/>
      </c>
      <c r="T527" s="57" t="str">
        <f aca="false">IF($S527="","",INDEX(BookRate,522)*(1+'5. Scenarios'!$E$10)*$S527)</f>
        <v/>
      </c>
      <c r="U527" s="57" t="str">
        <f aca="false">IF($T527="","",SUMIFS($T$6:$T$2405,$A$6:$A$2405,"&lt;="&amp;$A527))</f>
        <v/>
      </c>
      <c r="V527" s="57" t="str">
        <f aca="false">IF($T527="","",IF($U527&lt;=BankCostEnvelope*'5. Scenarios'!$E$7,1,0))</f>
        <v/>
      </c>
      <c r="W527" s="57" t="str">
        <f aca="false">IF($S527="","",INDEX(BookRate,522)*(1+'5. Scenarios'!$E$10)*(INDEX(BookQ1,522)*(5-MIN(4,1+'5. Scenarios'!$E$8))/4+INDEX(BookQ2,522)*(5-MIN(4,2+'5. Scenarios'!$E$8))/4+INDEX(BookQ3,522)*(5-MIN(4,3+'5. Scenarios'!$E$8))/4+INDEX(BookQ4,522)*(5-MIN(4,4+'5. Scenarios'!$E$8))/4)*'5. Scenarios'!$E$6/(1+ProductivityDefault*('5. Scenarios'!$E$11-1))+INDEX(BookOneOff,522)*$S527)</f>
        <v/>
      </c>
    </row>
    <row r="528" customFormat="false" ht="15" hidden="false" customHeight="false" outlineLevel="0" collapsed="false">
      <c r="A528" s="0" t="str">
        <f aca="false">IF(INDEX(BookTitle,523)="","",INDEX(BookKey,523))</f>
        <v/>
      </c>
      <c r="B528" s="0" t="str">
        <f aca="false">IF(INDEX(BookTitle,523)="","",INDEX(BookGroup,523))</f>
        <v/>
      </c>
      <c r="C528" s="0" t="str">
        <f aca="false">IF(INDEX(BookTitle,523)="","",INDEX(BookCategory,523))</f>
        <v/>
      </c>
      <c r="D528" s="56" t="str">
        <f aca="false">IF(INDEX(BookTitle,523)="","",INDEX(BookTotal,523)*'5. Scenarios'!$B$6/(1+ProductivityDefault*('5. Scenarios'!$B$11-1)))</f>
        <v/>
      </c>
      <c r="E528" s="57" t="str">
        <f aca="false">IF($D528="","",INDEX(BookRate,523)*(1+'5. Scenarios'!$B$10)*$D528)</f>
        <v/>
      </c>
      <c r="F528" s="57" t="str">
        <f aca="false">IF($E528="","",SUMIFS($E$6:$E$2405,$A$6:$A$2405,"&lt;="&amp;$A528))</f>
        <v/>
      </c>
      <c r="G528" s="57" t="str">
        <f aca="false">IF($E528="","",IF($F528&lt;=BankCostEnvelope*'5. Scenarios'!$B$7,1,0))</f>
        <v/>
      </c>
      <c r="H528" s="57" t="str">
        <f aca="false">IF($D528="","",INDEX(BookRate,523)*(1+'5. Scenarios'!$B$10)*(INDEX(BookQ1,523)*(5-MIN(4,1+'5. Scenarios'!$B$8))/4+INDEX(BookQ2,523)*(5-MIN(4,2+'5. Scenarios'!$B$8))/4+INDEX(BookQ3,523)*(5-MIN(4,3+'5. Scenarios'!$B$8))/4+INDEX(BookQ4,523)*(5-MIN(4,4+'5. Scenarios'!$B$8))/4)*'5. Scenarios'!$B$6/(1+ProductivityDefault*('5. Scenarios'!$B$11-1))+INDEX(BookOneOff,523)*$D528)</f>
        <v/>
      </c>
      <c r="I528" s="56" t="str">
        <f aca="false">IF(INDEX(BookTitle,523)="","",INDEX(BookTotal,523)*'5. Scenarios'!$C$6/(1+ProductivityDefault*('5. Scenarios'!$C$11-1)))</f>
        <v/>
      </c>
      <c r="J528" s="57" t="str">
        <f aca="false">IF($I528="","",INDEX(BookRate,523)*(1+'5. Scenarios'!$C$10)*$I528)</f>
        <v/>
      </c>
      <c r="K528" s="57" t="str">
        <f aca="false">IF($J528="","",SUMIFS($J$6:$J$2405,$A$6:$A$2405,"&lt;="&amp;$A528))</f>
        <v/>
      </c>
      <c r="L528" s="57" t="str">
        <f aca="false">IF($J528="","",IF($K528&lt;=BankCostEnvelope*'5. Scenarios'!$C$7,1,0))</f>
        <v/>
      </c>
      <c r="M528" s="57" t="str">
        <f aca="false">IF($I528="","",INDEX(BookRate,523)*(1+'5. Scenarios'!$C$10)*(INDEX(BookQ1,523)*(5-MIN(4,1+'5. Scenarios'!$C$8))/4+INDEX(BookQ2,523)*(5-MIN(4,2+'5. Scenarios'!$C$8))/4+INDEX(BookQ3,523)*(5-MIN(4,3+'5. Scenarios'!$C$8))/4+INDEX(BookQ4,523)*(5-MIN(4,4+'5. Scenarios'!$C$8))/4)*'5. Scenarios'!$C$6/(1+ProductivityDefault*('5. Scenarios'!$C$11-1))+INDEX(BookOneOff,523)*$I528)</f>
        <v/>
      </c>
      <c r="N528" s="56" t="str">
        <f aca="false">IF(INDEX(BookTitle,523)="","",INDEX(BookTotal,523)*'5. Scenarios'!$D$6/(1+ProductivityDefault*('5. Scenarios'!$D$11-1)))</f>
        <v/>
      </c>
      <c r="O528" s="57" t="str">
        <f aca="false">IF($N528="","",INDEX(BookRate,523)*(1+'5. Scenarios'!$D$10)*$N528)</f>
        <v/>
      </c>
      <c r="P528" s="57" t="str">
        <f aca="false">IF($O528="","",SUMIFS($O$6:$O$2405,$A$6:$A$2405,"&lt;="&amp;$A528))</f>
        <v/>
      </c>
      <c r="Q528" s="57" t="str">
        <f aca="false">IF($O528="","",IF($P528&lt;=BankCostEnvelope*'5. Scenarios'!$D$7,1,0))</f>
        <v/>
      </c>
      <c r="R528" s="57" t="str">
        <f aca="false">IF($N528="","",INDEX(BookRate,523)*(1+'5. Scenarios'!$D$10)*(INDEX(BookQ1,523)*(5-MIN(4,1+'5. Scenarios'!$D$8))/4+INDEX(BookQ2,523)*(5-MIN(4,2+'5. Scenarios'!$D$8))/4+INDEX(BookQ3,523)*(5-MIN(4,3+'5. Scenarios'!$D$8))/4+INDEX(BookQ4,523)*(5-MIN(4,4+'5. Scenarios'!$D$8))/4)*'5. Scenarios'!$D$6/(1+ProductivityDefault*('5. Scenarios'!$D$11-1))+INDEX(BookOneOff,523)*$N528)</f>
        <v/>
      </c>
      <c r="S528" s="56" t="str">
        <f aca="false">IF(INDEX(BookTitle,523)="","",INDEX(BookTotal,523)*'5. Scenarios'!$E$6/(1+ProductivityDefault*('5. Scenarios'!$E$11-1)))</f>
        <v/>
      </c>
      <c r="T528" s="57" t="str">
        <f aca="false">IF($S528="","",INDEX(BookRate,523)*(1+'5. Scenarios'!$E$10)*$S528)</f>
        <v/>
      </c>
      <c r="U528" s="57" t="str">
        <f aca="false">IF($T528="","",SUMIFS($T$6:$T$2405,$A$6:$A$2405,"&lt;="&amp;$A528))</f>
        <v/>
      </c>
      <c r="V528" s="57" t="str">
        <f aca="false">IF($T528="","",IF($U528&lt;=BankCostEnvelope*'5. Scenarios'!$E$7,1,0))</f>
        <v/>
      </c>
      <c r="W528" s="57" t="str">
        <f aca="false">IF($S528="","",INDEX(BookRate,523)*(1+'5. Scenarios'!$E$10)*(INDEX(BookQ1,523)*(5-MIN(4,1+'5. Scenarios'!$E$8))/4+INDEX(BookQ2,523)*(5-MIN(4,2+'5. Scenarios'!$E$8))/4+INDEX(BookQ3,523)*(5-MIN(4,3+'5. Scenarios'!$E$8))/4+INDEX(BookQ4,523)*(5-MIN(4,4+'5. Scenarios'!$E$8))/4)*'5. Scenarios'!$E$6/(1+ProductivityDefault*('5. Scenarios'!$E$11-1))+INDEX(BookOneOff,523)*$S528)</f>
        <v/>
      </c>
    </row>
    <row r="529" customFormat="false" ht="15" hidden="false" customHeight="false" outlineLevel="0" collapsed="false">
      <c r="A529" s="0" t="str">
        <f aca="false">IF(INDEX(BookTitle,524)="","",INDEX(BookKey,524))</f>
        <v/>
      </c>
      <c r="B529" s="0" t="str">
        <f aca="false">IF(INDEX(BookTitle,524)="","",INDEX(BookGroup,524))</f>
        <v/>
      </c>
      <c r="C529" s="0" t="str">
        <f aca="false">IF(INDEX(BookTitle,524)="","",INDEX(BookCategory,524))</f>
        <v/>
      </c>
      <c r="D529" s="56" t="str">
        <f aca="false">IF(INDEX(BookTitle,524)="","",INDEX(BookTotal,524)*'5. Scenarios'!$B$6/(1+ProductivityDefault*('5. Scenarios'!$B$11-1)))</f>
        <v/>
      </c>
      <c r="E529" s="57" t="str">
        <f aca="false">IF($D529="","",INDEX(BookRate,524)*(1+'5. Scenarios'!$B$10)*$D529)</f>
        <v/>
      </c>
      <c r="F529" s="57" t="str">
        <f aca="false">IF($E529="","",SUMIFS($E$6:$E$2405,$A$6:$A$2405,"&lt;="&amp;$A529))</f>
        <v/>
      </c>
      <c r="G529" s="57" t="str">
        <f aca="false">IF($E529="","",IF($F529&lt;=BankCostEnvelope*'5. Scenarios'!$B$7,1,0))</f>
        <v/>
      </c>
      <c r="H529" s="57" t="str">
        <f aca="false">IF($D529="","",INDEX(BookRate,524)*(1+'5. Scenarios'!$B$10)*(INDEX(BookQ1,524)*(5-MIN(4,1+'5. Scenarios'!$B$8))/4+INDEX(BookQ2,524)*(5-MIN(4,2+'5. Scenarios'!$B$8))/4+INDEX(BookQ3,524)*(5-MIN(4,3+'5. Scenarios'!$B$8))/4+INDEX(BookQ4,524)*(5-MIN(4,4+'5. Scenarios'!$B$8))/4)*'5. Scenarios'!$B$6/(1+ProductivityDefault*('5. Scenarios'!$B$11-1))+INDEX(BookOneOff,524)*$D529)</f>
        <v/>
      </c>
      <c r="I529" s="56" t="str">
        <f aca="false">IF(INDEX(BookTitle,524)="","",INDEX(BookTotal,524)*'5. Scenarios'!$C$6/(1+ProductivityDefault*('5. Scenarios'!$C$11-1)))</f>
        <v/>
      </c>
      <c r="J529" s="57" t="str">
        <f aca="false">IF($I529="","",INDEX(BookRate,524)*(1+'5. Scenarios'!$C$10)*$I529)</f>
        <v/>
      </c>
      <c r="K529" s="57" t="str">
        <f aca="false">IF($J529="","",SUMIFS($J$6:$J$2405,$A$6:$A$2405,"&lt;="&amp;$A529))</f>
        <v/>
      </c>
      <c r="L529" s="57" t="str">
        <f aca="false">IF($J529="","",IF($K529&lt;=BankCostEnvelope*'5. Scenarios'!$C$7,1,0))</f>
        <v/>
      </c>
      <c r="M529" s="57" t="str">
        <f aca="false">IF($I529="","",INDEX(BookRate,524)*(1+'5. Scenarios'!$C$10)*(INDEX(BookQ1,524)*(5-MIN(4,1+'5. Scenarios'!$C$8))/4+INDEX(BookQ2,524)*(5-MIN(4,2+'5. Scenarios'!$C$8))/4+INDEX(BookQ3,524)*(5-MIN(4,3+'5. Scenarios'!$C$8))/4+INDEX(BookQ4,524)*(5-MIN(4,4+'5. Scenarios'!$C$8))/4)*'5. Scenarios'!$C$6/(1+ProductivityDefault*('5. Scenarios'!$C$11-1))+INDEX(BookOneOff,524)*$I529)</f>
        <v/>
      </c>
      <c r="N529" s="56" t="str">
        <f aca="false">IF(INDEX(BookTitle,524)="","",INDEX(BookTotal,524)*'5. Scenarios'!$D$6/(1+ProductivityDefault*('5. Scenarios'!$D$11-1)))</f>
        <v/>
      </c>
      <c r="O529" s="57" t="str">
        <f aca="false">IF($N529="","",INDEX(BookRate,524)*(1+'5. Scenarios'!$D$10)*$N529)</f>
        <v/>
      </c>
      <c r="P529" s="57" t="str">
        <f aca="false">IF($O529="","",SUMIFS($O$6:$O$2405,$A$6:$A$2405,"&lt;="&amp;$A529))</f>
        <v/>
      </c>
      <c r="Q529" s="57" t="str">
        <f aca="false">IF($O529="","",IF($P529&lt;=BankCostEnvelope*'5. Scenarios'!$D$7,1,0))</f>
        <v/>
      </c>
      <c r="R529" s="57" t="str">
        <f aca="false">IF($N529="","",INDEX(BookRate,524)*(1+'5. Scenarios'!$D$10)*(INDEX(BookQ1,524)*(5-MIN(4,1+'5. Scenarios'!$D$8))/4+INDEX(BookQ2,524)*(5-MIN(4,2+'5. Scenarios'!$D$8))/4+INDEX(BookQ3,524)*(5-MIN(4,3+'5. Scenarios'!$D$8))/4+INDEX(BookQ4,524)*(5-MIN(4,4+'5. Scenarios'!$D$8))/4)*'5. Scenarios'!$D$6/(1+ProductivityDefault*('5. Scenarios'!$D$11-1))+INDEX(BookOneOff,524)*$N529)</f>
        <v/>
      </c>
      <c r="S529" s="56" t="str">
        <f aca="false">IF(INDEX(BookTitle,524)="","",INDEX(BookTotal,524)*'5. Scenarios'!$E$6/(1+ProductivityDefault*('5. Scenarios'!$E$11-1)))</f>
        <v/>
      </c>
      <c r="T529" s="57" t="str">
        <f aca="false">IF($S529="","",INDEX(BookRate,524)*(1+'5. Scenarios'!$E$10)*$S529)</f>
        <v/>
      </c>
      <c r="U529" s="57" t="str">
        <f aca="false">IF($T529="","",SUMIFS($T$6:$T$2405,$A$6:$A$2405,"&lt;="&amp;$A529))</f>
        <v/>
      </c>
      <c r="V529" s="57" t="str">
        <f aca="false">IF($T529="","",IF($U529&lt;=BankCostEnvelope*'5. Scenarios'!$E$7,1,0))</f>
        <v/>
      </c>
      <c r="W529" s="57" t="str">
        <f aca="false">IF($S529="","",INDEX(BookRate,524)*(1+'5. Scenarios'!$E$10)*(INDEX(BookQ1,524)*(5-MIN(4,1+'5. Scenarios'!$E$8))/4+INDEX(BookQ2,524)*(5-MIN(4,2+'5. Scenarios'!$E$8))/4+INDEX(BookQ3,524)*(5-MIN(4,3+'5. Scenarios'!$E$8))/4+INDEX(BookQ4,524)*(5-MIN(4,4+'5. Scenarios'!$E$8))/4)*'5. Scenarios'!$E$6/(1+ProductivityDefault*('5. Scenarios'!$E$11-1))+INDEX(BookOneOff,524)*$S529)</f>
        <v/>
      </c>
    </row>
    <row r="530" customFormat="false" ht="15" hidden="false" customHeight="false" outlineLevel="0" collapsed="false">
      <c r="A530" s="0" t="str">
        <f aca="false">IF(INDEX(BookTitle,525)="","",INDEX(BookKey,525))</f>
        <v/>
      </c>
      <c r="B530" s="0" t="str">
        <f aca="false">IF(INDEX(BookTitle,525)="","",INDEX(BookGroup,525))</f>
        <v/>
      </c>
      <c r="C530" s="0" t="str">
        <f aca="false">IF(INDEX(BookTitle,525)="","",INDEX(BookCategory,525))</f>
        <v/>
      </c>
      <c r="D530" s="56" t="str">
        <f aca="false">IF(INDEX(BookTitle,525)="","",INDEX(BookTotal,525)*'5. Scenarios'!$B$6/(1+ProductivityDefault*('5. Scenarios'!$B$11-1)))</f>
        <v/>
      </c>
      <c r="E530" s="57" t="str">
        <f aca="false">IF($D530="","",INDEX(BookRate,525)*(1+'5. Scenarios'!$B$10)*$D530)</f>
        <v/>
      </c>
      <c r="F530" s="57" t="str">
        <f aca="false">IF($E530="","",SUMIFS($E$6:$E$2405,$A$6:$A$2405,"&lt;="&amp;$A530))</f>
        <v/>
      </c>
      <c r="G530" s="57" t="str">
        <f aca="false">IF($E530="","",IF($F530&lt;=BankCostEnvelope*'5. Scenarios'!$B$7,1,0))</f>
        <v/>
      </c>
      <c r="H530" s="57" t="str">
        <f aca="false">IF($D530="","",INDEX(BookRate,525)*(1+'5. Scenarios'!$B$10)*(INDEX(BookQ1,525)*(5-MIN(4,1+'5. Scenarios'!$B$8))/4+INDEX(BookQ2,525)*(5-MIN(4,2+'5. Scenarios'!$B$8))/4+INDEX(BookQ3,525)*(5-MIN(4,3+'5. Scenarios'!$B$8))/4+INDEX(BookQ4,525)*(5-MIN(4,4+'5. Scenarios'!$B$8))/4)*'5. Scenarios'!$B$6/(1+ProductivityDefault*('5. Scenarios'!$B$11-1))+INDEX(BookOneOff,525)*$D530)</f>
        <v/>
      </c>
      <c r="I530" s="56" t="str">
        <f aca="false">IF(INDEX(BookTitle,525)="","",INDEX(BookTotal,525)*'5. Scenarios'!$C$6/(1+ProductivityDefault*('5. Scenarios'!$C$11-1)))</f>
        <v/>
      </c>
      <c r="J530" s="57" t="str">
        <f aca="false">IF($I530="","",INDEX(BookRate,525)*(1+'5. Scenarios'!$C$10)*$I530)</f>
        <v/>
      </c>
      <c r="K530" s="57" t="str">
        <f aca="false">IF($J530="","",SUMIFS($J$6:$J$2405,$A$6:$A$2405,"&lt;="&amp;$A530))</f>
        <v/>
      </c>
      <c r="L530" s="57" t="str">
        <f aca="false">IF($J530="","",IF($K530&lt;=BankCostEnvelope*'5. Scenarios'!$C$7,1,0))</f>
        <v/>
      </c>
      <c r="M530" s="57" t="str">
        <f aca="false">IF($I530="","",INDEX(BookRate,525)*(1+'5. Scenarios'!$C$10)*(INDEX(BookQ1,525)*(5-MIN(4,1+'5. Scenarios'!$C$8))/4+INDEX(BookQ2,525)*(5-MIN(4,2+'5. Scenarios'!$C$8))/4+INDEX(BookQ3,525)*(5-MIN(4,3+'5. Scenarios'!$C$8))/4+INDEX(BookQ4,525)*(5-MIN(4,4+'5. Scenarios'!$C$8))/4)*'5. Scenarios'!$C$6/(1+ProductivityDefault*('5. Scenarios'!$C$11-1))+INDEX(BookOneOff,525)*$I530)</f>
        <v/>
      </c>
      <c r="N530" s="56" t="str">
        <f aca="false">IF(INDEX(BookTitle,525)="","",INDEX(BookTotal,525)*'5. Scenarios'!$D$6/(1+ProductivityDefault*('5. Scenarios'!$D$11-1)))</f>
        <v/>
      </c>
      <c r="O530" s="57" t="str">
        <f aca="false">IF($N530="","",INDEX(BookRate,525)*(1+'5. Scenarios'!$D$10)*$N530)</f>
        <v/>
      </c>
      <c r="P530" s="57" t="str">
        <f aca="false">IF($O530="","",SUMIFS($O$6:$O$2405,$A$6:$A$2405,"&lt;="&amp;$A530))</f>
        <v/>
      </c>
      <c r="Q530" s="57" t="str">
        <f aca="false">IF($O530="","",IF($P530&lt;=BankCostEnvelope*'5. Scenarios'!$D$7,1,0))</f>
        <v/>
      </c>
      <c r="R530" s="57" t="str">
        <f aca="false">IF($N530="","",INDEX(BookRate,525)*(1+'5. Scenarios'!$D$10)*(INDEX(BookQ1,525)*(5-MIN(4,1+'5. Scenarios'!$D$8))/4+INDEX(BookQ2,525)*(5-MIN(4,2+'5. Scenarios'!$D$8))/4+INDEX(BookQ3,525)*(5-MIN(4,3+'5. Scenarios'!$D$8))/4+INDEX(BookQ4,525)*(5-MIN(4,4+'5. Scenarios'!$D$8))/4)*'5. Scenarios'!$D$6/(1+ProductivityDefault*('5. Scenarios'!$D$11-1))+INDEX(BookOneOff,525)*$N530)</f>
        <v/>
      </c>
      <c r="S530" s="56" t="str">
        <f aca="false">IF(INDEX(BookTitle,525)="","",INDEX(BookTotal,525)*'5. Scenarios'!$E$6/(1+ProductivityDefault*('5. Scenarios'!$E$11-1)))</f>
        <v/>
      </c>
      <c r="T530" s="57" t="str">
        <f aca="false">IF($S530="","",INDEX(BookRate,525)*(1+'5. Scenarios'!$E$10)*$S530)</f>
        <v/>
      </c>
      <c r="U530" s="57" t="str">
        <f aca="false">IF($T530="","",SUMIFS($T$6:$T$2405,$A$6:$A$2405,"&lt;="&amp;$A530))</f>
        <v/>
      </c>
      <c r="V530" s="57" t="str">
        <f aca="false">IF($T530="","",IF($U530&lt;=BankCostEnvelope*'5. Scenarios'!$E$7,1,0))</f>
        <v/>
      </c>
      <c r="W530" s="57" t="str">
        <f aca="false">IF($S530="","",INDEX(BookRate,525)*(1+'5. Scenarios'!$E$10)*(INDEX(BookQ1,525)*(5-MIN(4,1+'5. Scenarios'!$E$8))/4+INDEX(BookQ2,525)*(5-MIN(4,2+'5. Scenarios'!$E$8))/4+INDEX(BookQ3,525)*(5-MIN(4,3+'5. Scenarios'!$E$8))/4+INDEX(BookQ4,525)*(5-MIN(4,4+'5. Scenarios'!$E$8))/4)*'5. Scenarios'!$E$6/(1+ProductivityDefault*('5. Scenarios'!$E$11-1))+INDEX(BookOneOff,525)*$S530)</f>
        <v/>
      </c>
    </row>
    <row r="531" customFormat="false" ht="15" hidden="false" customHeight="false" outlineLevel="0" collapsed="false">
      <c r="A531" s="0" t="str">
        <f aca="false">IF(INDEX(BookTitle,526)="","",INDEX(BookKey,526))</f>
        <v/>
      </c>
      <c r="B531" s="0" t="str">
        <f aca="false">IF(INDEX(BookTitle,526)="","",INDEX(BookGroup,526))</f>
        <v/>
      </c>
      <c r="C531" s="0" t="str">
        <f aca="false">IF(INDEX(BookTitle,526)="","",INDEX(BookCategory,526))</f>
        <v/>
      </c>
      <c r="D531" s="56" t="str">
        <f aca="false">IF(INDEX(BookTitle,526)="","",INDEX(BookTotal,526)*'5. Scenarios'!$B$6/(1+ProductivityDefault*('5. Scenarios'!$B$11-1)))</f>
        <v/>
      </c>
      <c r="E531" s="57" t="str">
        <f aca="false">IF($D531="","",INDEX(BookRate,526)*(1+'5. Scenarios'!$B$10)*$D531)</f>
        <v/>
      </c>
      <c r="F531" s="57" t="str">
        <f aca="false">IF($E531="","",SUMIFS($E$6:$E$2405,$A$6:$A$2405,"&lt;="&amp;$A531))</f>
        <v/>
      </c>
      <c r="G531" s="57" t="str">
        <f aca="false">IF($E531="","",IF($F531&lt;=BankCostEnvelope*'5. Scenarios'!$B$7,1,0))</f>
        <v/>
      </c>
      <c r="H531" s="57" t="str">
        <f aca="false">IF($D531="","",INDEX(BookRate,526)*(1+'5. Scenarios'!$B$10)*(INDEX(BookQ1,526)*(5-MIN(4,1+'5. Scenarios'!$B$8))/4+INDEX(BookQ2,526)*(5-MIN(4,2+'5. Scenarios'!$B$8))/4+INDEX(BookQ3,526)*(5-MIN(4,3+'5. Scenarios'!$B$8))/4+INDEX(BookQ4,526)*(5-MIN(4,4+'5. Scenarios'!$B$8))/4)*'5. Scenarios'!$B$6/(1+ProductivityDefault*('5. Scenarios'!$B$11-1))+INDEX(BookOneOff,526)*$D531)</f>
        <v/>
      </c>
      <c r="I531" s="56" t="str">
        <f aca="false">IF(INDEX(BookTitle,526)="","",INDEX(BookTotal,526)*'5. Scenarios'!$C$6/(1+ProductivityDefault*('5. Scenarios'!$C$11-1)))</f>
        <v/>
      </c>
      <c r="J531" s="57" t="str">
        <f aca="false">IF($I531="","",INDEX(BookRate,526)*(1+'5. Scenarios'!$C$10)*$I531)</f>
        <v/>
      </c>
      <c r="K531" s="57" t="str">
        <f aca="false">IF($J531="","",SUMIFS($J$6:$J$2405,$A$6:$A$2405,"&lt;="&amp;$A531))</f>
        <v/>
      </c>
      <c r="L531" s="57" t="str">
        <f aca="false">IF($J531="","",IF($K531&lt;=BankCostEnvelope*'5. Scenarios'!$C$7,1,0))</f>
        <v/>
      </c>
      <c r="M531" s="57" t="str">
        <f aca="false">IF($I531="","",INDEX(BookRate,526)*(1+'5. Scenarios'!$C$10)*(INDEX(BookQ1,526)*(5-MIN(4,1+'5. Scenarios'!$C$8))/4+INDEX(BookQ2,526)*(5-MIN(4,2+'5. Scenarios'!$C$8))/4+INDEX(BookQ3,526)*(5-MIN(4,3+'5. Scenarios'!$C$8))/4+INDEX(BookQ4,526)*(5-MIN(4,4+'5. Scenarios'!$C$8))/4)*'5. Scenarios'!$C$6/(1+ProductivityDefault*('5. Scenarios'!$C$11-1))+INDEX(BookOneOff,526)*$I531)</f>
        <v/>
      </c>
      <c r="N531" s="56" t="str">
        <f aca="false">IF(INDEX(BookTitle,526)="","",INDEX(BookTotal,526)*'5. Scenarios'!$D$6/(1+ProductivityDefault*('5. Scenarios'!$D$11-1)))</f>
        <v/>
      </c>
      <c r="O531" s="57" t="str">
        <f aca="false">IF($N531="","",INDEX(BookRate,526)*(1+'5. Scenarios'!$D$10)*$N531)</f>
        <v/>
      </c>
      <c r="P531" s="57" t="str">
        <f aca="false">IF($O531="","",SUMIFS($O$6:$O$2405,$A$6:$A$2405,"&lt;="&amp;$A531))</f>
        <v/>
      </c>
      <c r="Q531" s="57" t="str">
        <f aca="false">IF($O531="","",IF($P531&lt;=BankCostEnvelope*'5. Scenarios'!$D$7,1,0))</f>
        <v/>
      </c>
      <c r="R531" s="57" t="str">
        <f aca="false">IF($N531="","",INDEX(BookRate,526)*(1+'5. Scenarios'!$D$10)*(INDEX(BookQ1,526)*(5-MIN(4,1+'5. Scenarios'!$D$8))/4+INDEX(BookQ2,526)*(5-MIN(4,2+'5. Scenarios'!$D$8))/4+INDEX(BookQ3,526)*(5-MIN(4,3+'5. Scenarios'!$D$8))/4+INDEX(BookQ4,526)*(5-MIN(4,4+'5. Scenarios'!$D$8))/4)*'5. Scenarios'!$D$6/(1+ProductivityDefault*('5. Scenarios'!$D$11-1))+INDEX(BookOneOff,526)*$N531)</f>
        <v/>
      </c>
      <c r="S531" s="56" t="str">
        <f aca="false">IF(INDEX(BookTitle,526)="","",INDEX(BookTotal,526)*'5. Scenarios'!$E$6/(1+ProductivityDefault*('5. Scenarios'!$E$11-1)))</f>
        <v/>
      </c>
      <c r="T531" s="57" t="str">
        <f aca="false">IF($S531="","",INDEX(BookRate,526)*(1+'5. Scenarios'!$E$10)*$S531)</f>
        <v/>
      </c>
      <c r="U531" s="57" t="str">
        <f aca="false">IF($T531="","",SUMIFS($T$6:$T$2405,$A$6:$A$2405,"&lt;="&amp;$A531))</f>
        <v/>
      </c>
      <c r="V531" s="57" t="str">
        <f aca="false">IF($T531="","",IF($U531&lt;=BankCostEnvelope*'5. Scenarios'!$E$7,1,0))</f>
        <v/>
      </c>
      <c r="W531" s="57" t="str">
        <f aca="false">IF($S531="","",INDEX(BookRate,526)*(1+'5. Scenarios'!$E$10)*(INDEX(BookQ1,526)*(5-MIN(4,1+'5. Scenarios'!$E$8))/4+INDEX(BookQ2,526)*(5-MIN(4,2+'5. Scenarios'!$E$8))/4+INDEX(BookQ3,526)*(5-MIN(4,3+'5. Scenarios'!$E$8))/4+INDEX(BookQ4,526)*(5-MIN(4,4+'5. Scenarios'!$E$8))/4)*'5. Scenarios'!$E$6/(1+ProductivityDefault*('5. Scenarios'!$E$11-1))+INDEX(BookOneOff,526)*$S531)</f>
        <v/>
      </c>
    </row>
    <row r="532" customFormat="false" ht="15" hidden="false" customHeight="false" outlineLevel="0" collapsed="false">
      <c r="A532" s="0" t="str">
        <f aca="false">IF(INDEX(BookTitle,527)="","",INDEX(BookKey,527))</f>
        <v/>
      </c>
      <c r="B532" s="0" t="str">
        <f aca="false">IF(INDEX(BookTitle,527)="","",INDEX(BookGroup,527))</f>
        <v/>
      </c>
      <c r="C532" s="0" t="str">
        <f aca="false">IF(INDEX(BookTitle,527)="","",INDEX(BookCategory,527))</f>
        <v/>
      </c>
      <c r="D532" s="56" t="str">
        <f aca="false">IF(INDEX(BookTitle,527)="","",INDEX(BookTotal,527)*'5. Scenarios'!$B$6/(1+ProductivityDefault*('5. Scenarios'!$B$11-1)))</f>
        <v/>
      </c>
      <c r="E532" s="57" t="str">
        <f aca="false">IF($D532="","",INDEX(BookRate,527)*(1+'5. Scenarios'!$B$10)*$D532)</f>
        <v/>
      </c>
      <c r="F532" s="57" t="str">
        <f aca="false">IF($E532="","",SUMIFS($E$6:$E$2405,$A$6:$A$2405,"&lt;="&amp;$A532))</f>
        <v/>
      </c>
      <c r="G532" s="57" t="str">
        <f aca="false">IF($E532="","",IF($F532&lt;=BankCostEnvelope*'5. Scenarios'!$B$7,1,0))</f>
        <v/>
      </c>
      <c r="H532" s="57" t="str">
        <f aca="false">IF($D532="","",INDEX(BookRate,527)*(1+'5. Scenarios'!$B$10)*(INDEX(BookQ1,527)*(5-MIN(4,1+'5. Scenarios'!$B$8))/4+INDEX(BookQ2,527)*(5-MIN(4,2+'5. Scenarios'!$B$8))/4+INDEX(BookQ3,527)*(5-MIN(4,3+'5. Scenarios'!$B$8))/4+INDEX(BookQ4,527)*(5-MIN(4,4+'5. Scenarios'!$B$8))/4)*'5. Scenarios'!$B$6/(1+ProductivityDefault*('5. Scenarios'!$B$11-1))+INDEX(BookOneOff,527)*$D532)</f>
        <v/>
      </c>
      <c r="I532" s="56" t="str">
        <f aca="false">IF(INDEX(BookTitle,527)="","",INDEX(BookTotal,527)*'5. Scenarios'!$C$6/(1+ProductivityDefault*('5. Scenarios'!$C$11-1)))</f>
        <v/>
      </c>
      <c r="J532" s="57" t="str">
        <f aca="false">IF($I532="","",INDEX(BookRate,527)*(1+'5. Scenarios'!$C$10)*$I532)</f>
        <v/>
      </c>
      <c r="K532" s="57" t="str">
        <f aca="false">IF($J532="","",SUMIFS($J$6:$J$2405,$A$6:$A$2405,"&lt;="&amp;$A532))</f>
        <v/>
      </c>
      <c r="L532" s="57" t="str">
        <f aca="false">IF($J532="","",IF($K532&lt;=BankCostEnvelope*'5. Scenarios'!$C$7,1,0))</f>
        <v/>
      </c>
      <c r="M532" s="57" t="str">
        <f aca="false">IF($I532="","",INDEX(BookRate,527)*(1+'5. Scenarios'!$C$10)*(INDEX(BookQ1,527)*(5-MIN(4,1+'5. Scenarios'!$C$8))/4+INDEX(BookQ2,527)*(5-MIN(4,2+'5. Scenarios'!$C$8))/4+INDEX(BookQ3,527)*(5-MIN(4,3+'5. Scenarios'!$C$8))/4+INDEX(BookQ4,527)*(5-MIN(4,4+'5. Scenarios'!$C$8))/4)*'5. Scenarios'!$C$6/(1+ProductivityDefault*('5. Scenarios'!$C$11-1))+INDEX(BookOneOff,527)*$I532)</f>
        <v/>
      </c>
      <c r="N532" s="56" t="str">
        <f aca="false">IF(INDEX(BookTitle,527)="","",INDEX(BookTotal,527)*'5. Scenarios'!$D$6/(1+ProductivityDefault*('5. Scenarios'!$D$11-1)))</f>
        <v/>
      </c>
      <c r="O532" s="57" t="str">
        <f aca="false">IF($N532="","",INDEX(BookRate,527)*(1+'5. Scenarios'!$D$10)*$N532)</f>
        <v/>
      </c>
      <c r="P532" s="57" t="str">
        <f aca="false">IF($O532="","",SUMIFS($O$6:$O$2405,$A$6:$A$2405,"&lt;="&amp;$A532))</f>
        <v/>
      </c>
      <c r="Q532" s="57" t="str">
        <f aca="false">IF($O532="","",IF($P532&lt;=BankCostEnvelope*'5. Scenarios'!$D$7,1,0))</f>
        <v/>
      </c>
      <c r="R532" s="57" t="str">
        <f aca="false">IF($N532="","",INDEX(BookRate,527)*(1+'5. Scenarios'!$D$10)*(INDEX(BookQ1,527)*(5-MIN(4,1+'5. Scenarios'!$D$8))/4+INDEX(BookQ2,527)*(5-MIN(4,2+'5. Scenarios'!$D$8))/4+INDEX(BookQ3,527)*(5-MIN(4,3+'5. Scenarios'!$D$8))/4+INDEX(BookQ4,527)*(5-MIN(4,4+'5. Scenarios'!$D$8))/4)*'5. Scenarios'!$D$6/(1+ProductivityDefault*('5. Scenarios'!$D$11-1))+INDEX(BookOneOff,527)*$N532)</f>
        <v/>
      </c>
      <c r="S532" s="56" t="str">
        <f aca="false">IF(INDEX(BookTitle,527)="","",INDEX(BookTotal,527)*'5. Scenarios'!$E$6/(1+ProductivityDefault*('5. Scenarios'!$E$11-1)))</f>
        <v/>
      </c>
      <c r="T532" s="57" t="str">
        <f aca="false">IF($S532="","",INDEX(BookRate,527)*(1+'5. Scenarios'!$E$10)*$S532)</f>
        <v/>
      </c>
      <c r="U532" s="57" t="str">
        <f aca="false">IF($T532="","",SUMIFS($T$6:$T$2405,$A$6:$A$2405,"&lt;="&amp;$A532))</f>
        <v/>
      </c>
      <c r="V532" s="57" t="str">
        <f aca="false">IF($T532="","",IF($U532&lt;=BankCostEnvelope*'5. Scenarios'!$E$7,1,0))</f>
        <v/>
      </c>
      <c r="W532" s="57" t="str">
        <f aca="false">IF($S532="","",INDEX(BookRate,527)*(1+'5. Scenarios'!$E$10)*(INDEX(BookQ1,527)*(5-MIN(4,1+'5. Scenarios'!$E$8))/4+INDEX(BookQ2,527)*(5-MIN(4,2+'5. Scenarios'!$E$8))/4+INDEX(BookQ3,527)*(5-MIN(4,3+'5. Scenarios'!$E$8))/4+INDEX(BookQ4,527)*(5-MIN(4,4+'5. Scenarios'!$E$8))/4)*'5. Scenarios'!$E$6/(1+ProductivityDefault*('5. Scenarios'!$E$11-1))+INDEX(BookOneOff,527)*$S532)</f>
        <v/>
      </c>
    </row>
    <row r="533" customFormat="false" ht="15" hidden="false" customHeight="false" outlineLevel="0" collapsed="false">
      <c r="A533" s="0" t="str">
        <f aca="false">IF(INDEX(BookTitle,528)="","",INDEX(BookKey,528))</f>
        <v/>
      </c>
      <c r="B533" s="0" t="str">
        <f aca="false">IF(INDEX(BookTitle,528)="","",INDEX(BookGroup,528))</f>
        <v/>
      </c>
      <c r="C533" s="0" t="str">
        <f aca="false">IF(INDEX(BookTitle,528)="","",INDEX(BookCategory,528))</f>
        <v/>
      </c>
      <c r="D533" s="56" t="str">
        <f aca="false">IF(INDEX(BookTitle,528)="","",INDEX(BookTotal,528)*'5. Scenarios'!$B$6/(1+ProductivityDefault*('5. Scenarios'!$B$11-1)))</f>
        <v/>
      </c>
      <c r="E533" s="57" t="str">
        <f aca="false">IF($D533="","",INDEX(BookRate,528)*(1+'5. Scenarios'!$B$10)*$D533)</f>
        <v/>
      </c>
      <c r="F533" s="57" t="str">
        <f aca="false">IF($E533="","",SUMIFS($E$6:$E$2405,$A$6:$A$2405,"&lt;="&amp;$A533))</f>
        <v/>
      </c>
      <c r="G533" s="57" t="str">
        <f aca="false">IF($E533="","",IF($F533&lt;=BankCostEnvelope*'5. Scenarios'!$B$7,1,0))</f>
        <v/>
      </c>
      <c r="H533" s="57" t="str">
        <f aca="false">IF($D533="","",INDEX(BookRate,528)*(1+'5. Scenarios'!$B$10)*(INDEX(BookQ1,528)*(5-MIN(4,1+'5. Scenarios'!$B$8))/4+INDEX(BookQ2,528)*(5-MIN(4,2+'5. Scenarios'!$B$8))/4+INDEX(BookQ3,528)*(5-MIN(4,3+'5. Scenarios'!$B$8))/4+INDEX(BookQ4,528)*(5-MIN(4,4+'5. Scenarios'!$B$8))/4)*'5. Scenarios'!$B$6/(1+ProductivityDefault*('5. Scenarios'!$B$11-1))+INDEX(BookOneOff,528)*$D533)</f>
        <v/>
      </c>
      <c r="I533" s="56" t="str">
        <f aca="false">IF(INDEX(BookTitle,528)="","",INDEX(BookTotal,528)*'5. Scenarios'!$C$6/(1+ProductivityDefault*('5. Scenarios'!$C$11-1)))</f>
        <v/>
      </c>
      <c r="J533" s="57" t="str">
        <f aca="false">IF($I533="","",INDEX(BookRate,528)*(1+'5. Scenarios'!$C$10)*$I533)</f>
        <v/>
      </c>
      <c r="K533" s="57" t="str">
        <f aca="false">IF($J533="","",SUMIFS($J$6:$J$2405,$A$6:$A$2405,"&lt;="&amp;$A533))</f>
        <v/>
      </c>
      <c r="L533" s="57" t="str">
        <f aca="false">IF($J533="","",IF($K533&lt;=BankCostEnvelope*'5. Scenarios'!$C$7,1,0))</f>
        <v/>
      </c>
      <c r="M533" s="57" t="str">
        <f aca="false">IF($I533="","",INDEX(BookRate,528)*(1+'5. Scenarios'!$C$10)*(INDEX(BookQ1,528)*(5-MIN(4,1+'5. Scenarios'!$C$8))/4+INDEX(BookQ2,528)*(5-MIN(4,2+'5. Scenarios'!$C$8))/4+INDEX(BookQ3,528)*(5-MIN(4,3+'5. Scenarios'!$C$8))/4+INDEX(BookQ4,528)*(5-MIN(4,4+'5. Scenarios'!$C$8))/4)*'5. Scenarios'!$C$6/(1+ProductivityDefault*('5. Scenarios'!$C$11-1))+INDEX(BookOneOff,528)*$I533)</f>
        <v/>
      </c>
      <c r="N533" s="56" t="str">
        <f aca="false">IF(INDEX(BookTitle,528)="","",INDEX(BookTotal,528)*'5. Scenarios'!$D$6/(1+ProductivityDefault*('5. Scenarios'!$D$11-1)))</f>
        <v/>
      </c>
      <c r="O533" s="57" t="str">
        <f aca="false">IF($N533="","",INDEX(BookRate,528)*(1+'5. Scenarios'!$D$10)*$N533)</f>
        <v/>
      </c>
      <c r="P533" s="57" t="str">
        <f aca="false">IF($O533="","",SUMIFS($O$6:$O$2405,$A$6:$A$2405,"&lt;="&amp;$A533))</f>
        <v/>
      </c>
      <c r="Q533" s="57" t="str">
        <f aca="false">IF($O533="","",IF($P533&lt;=BankCostEnvelope*'5. Scenarios'!$D$7,1,0))</f>
        <v/>
      </c>
      <c r="R533" s="57" t="str">
        <f aca="false">IF($N533="","",INDEX(BookRate,528)*(1+'5. Scenarios'!$D$10)*(INDEX(BookQ1,528)*(5-MIN(4,1+'5. Scenarios'!$D$8))/4+INDEX(BookQ2,528)*(5-MIN(4,2+'5. Scenarios'!$D$8))/4+INDEX(BookQ3,528)*(5-MIN(4,3+'5. Scenarios'!$D$8))/4+INDEX(BookQ4,528)*(5-MIN(4,4+'5. Scenarios'!$D$8))/4)*'5. Scenarios'!$D$6/(1+ProductivityDefault*('5. Scenarios'!$D$11-1))+INDEX(BookOneOff,528)*$N533)</f>
        <v/>
      </c>
      <c r="S533" s="56" t="str">
        <f aca="false">IF(INDEX(BookTitle,528)="","",INDEX(BookTotal,528)*'5. Scenarios'!$E$6/(1+ProductivityDefault*('5. Scenarios'!$E$11-1)))</f>
        <v/>
      </c>
      <c r="T533" s="57" t="str">
        <f aca="false">IF($S533="","",INDEX(BookRate,528)*(1+'5. Scenarios'!$E$10)*$S533)</f>
        <v/>
      </c>
      <c r="U533" s="57" t="str">
        <f aca="false">IF($T533="","",SUMIFS($T$6:$T$2405,$A$6:$A$2405,"&lt;="&amp;$A533))</f>
        <v/>
      </c>
      <c r="V533" s="57" t="str">
        <f aca="false">IF($T533="","",IF($U533&lt;=BankCostEnvelope*'5. Scenarios'!$E$7,1,0))</f>
        <v/>
      </c>
      <c r="W533" s="57" t="str">
        <f aca="false">IF($S533="","",INDEX(BookRate,528)*(1+'5. Scenarios'!$E$10)*(INDEX(BookQ1,528)*(5-MIN(4,1+'5. Scenarios'!$E$8))/4+INDEX(BookQ2,528)*(5-MIN(4,2+'5. Scenarios'!$E$8))/4+INDEX(BookQ3,528)*(5-MIN(4,3+'5. Scenarios'!$E$8))/4+INDEX(BookQ4,528)*(5-MIN(4,4+'5. Scenarios'!$E$8))/4)*'5. Scenarios'!$E$6/(1+ProductivityDefault*('5. Scenarios'!$E$11-1))+INDEX(BookOneOff,528)*$S533)</f>
        <v/>
      </c>
    </row>
    <row r="534" customFormat="false" ht="15" hidden="false" customHeight="false" outlineLevel="0" collapsed="false">
      <c r="A534" s="0" t="str">
        <f aca="false">IF(INDEX(BookTitle,529)="","",INDEX(BookKey,529))</f>
        <v/>
      </c>
      <c r="B534" s="0" t="str">
        <f aca="false">IF(INDEX(BookTitle,529)="","",INDEX(BookGroup,529))</f>
        <v/>
      </c>
      <c r="C534" s="0" t="str">
        <f aca="false">IF(INDEX(BookTitle,529)="","",INDEX(BookCategory,529))</f>
        <v/>
      </c>
      <c r="D534" s="56" t="str">
        <f aca="false">IF(INDEX(BookTitle,529)="","",INDEX(BookTotal,529)*'5. Scenarios'!$B$6/(1+ProductivityDefault*('5. Scenarios'!$B$11-1)))</f>
        <v/>
      </c>
      <c r="E534" s="57" t="str">
        <f aca="false">IF($D534="","",INDEX(BookRate,529)*(1+'5. Scenarios'!$B$10)*$D534)</f>
        <v/>
      </c>
      <c r="F534" s="57" t="str">
        <f aca="false">IF($E534="","",SUMIFS($E$6:$E$2405,$A$6:$A$2405,"&lt;="&amp;$A534))</f>
        <v/>
      </c>
      <c r="G534" s="57" t="str">
        <f aca="false">IF($E534="","",IF($F534&lt;=BankCostEnvelope*'5. Scenarios'!$B$7,1,0))</f>
        <v/>
      </c>
      <c r="H534" s="57" t="str">
        <f aca="false">IF($D534="","",INDEX(BookRate,529)*(1+'5. Scenarios'!$B$10)*(INDEX(BookQ1,529)*(5-MIN(4,1+'5. Scenarios'!$B$8))/4+INDEX(BookQ2,529)*(5-MIN(4,2+'5. Scenarios'!$B$8))/4+INDEX(BookQ3,529)*(5-MIN(4,3+'5. Scenarios'!$B$8))/4+INDEX(BookQ4,529)*(5-MIN(4,4+'5. Scenarios'!$B$8))/4)*'5. Scenarios'!$B$6/(1+ProductivityDefault*('5. Scenarios'!$B$11-1))+INDEX(BookOneOff,529)*$D534)</f>
        <v/>
      </c>
      <c r="I534" s="56" t="str">
        <f aca="false">IF(INDEX(BookTitle,529)="","",INDEX(BookTotal,529)*'5. Scenarios'!$C$6/(1+ProductivityDefault*('5. Scenarios'!$C$11-1)))</f>
        <v/>
      </c>
      <c r="J534" s="57" t="str">
        <f aca="false">IF($I534="","",INDEX(BookRate,529)*(1+'5. Scenarios'!$C$10)*$I534)</f>
        <v/>
      </c>
      <c r="K534" s="57" t="str">
        <f aca="false">IF($J534="","",SUMIFS($J$6:$J$2405,$A$6:$A$2405,"&lt;="&amp;$A534))</f>
        <v/>
      </c>
      <c r="L534" s="57" t="str">
        <f aca="false">IF($J534="","",IF($K534&lt;=BankCostEnvelope*'5. Scenarios'!$C$7,1,0))</f>
        <v/>
      </c>
      <c r="M534" s="57" t="str">
        <f aca="false">IF($I534="","",INDEX(BookRate,529)*(1+'5. Scenarios'!$C$10)*(INDEX(BookQ1,529)*(5-MIN(4,1+'5. Scenarios'!$C$8))/4+INDEX(BookQ2,529)*(5-MIN(4,2+'5. Scenarios'!$C$8))/4+INDEX(BookQ3,529)*(5-MIN(4,3+'5. Scenarios'!$C$8))/4+INDEX(BookQ4,529)*(5-MIN(4,4+'5. Scenarios'!$C$8))/4)*'5. Scenarios'!$C$6/(1+ProductivityDefault*('5. Scenarios'!$C$11-1))+INDEX(BookOneOff,529)*$I534)</f>
        <v/>
      </c>
      <c r="N534" s="56" t="str">
        <f aca="false">IF(INDEX(BookTitle,529)="","",INDEX(BookTotal,529)*'5. Scenarios'!$D$6/(1+ProductivityDefault*('5. Scenarios'!$D$11-1)))</f>
        <v/>
      </c>
      <c r="O534" s="57" t="str">
        <f aca="false">IF($N534="","",INDEX(BookRate,529)*(1+'5. Scenarios'!$D$10)*$N534)</f>
        <v/>
      </c>
      <c r="P534" s="57" t="str">
        <f aca="false">IF($O534="","",SUMIFS($O$6:$O$2405,$A$6:$A$2405,"&lt;="&amp;$A534))</f>
        <v/>
      </c>
      <c r="Q534" s="57" t="str">
        <f aca="false">IF($O534="","",IF($P534&lt;=BankCostEnvelope*'5. Scenarios'!$D$7,1,0))</f>
        <v/>
      </c>
      <c r="R534" s="57" t="str">
        <f aca="false">IF($N534="","",INDEX(BookRate,529)*(1+'5. Scenarios'!$D$10)*(INDEX(BookQ1,529)*(5-MIN(4,1+'5. Scenarios'!$D$8))/4+INDEX(BookQ2,529)*(5-MIN(4,2+'5. Scenarios'!$D$8))/4+INDEX(BookQ3,529)*(5-MIN(4,3+'5. Scenarios'!$D$8))/4+INDEX(BookQ4,529)*(5-MIN(4,4+'5. Scenarios'!$D$8))/4)*'5. Scenarios'!$D$6/(1+ProductivityDefault*('5. Scenarios'!$D$11-1))+INDEX(BookOneOff,529)*$N534)</f>
        <v/>
      </c>
      <c r="S534" s="56" t="str">
        <f aca="false">IF(INDEX(BookTitle,529)="","",INDEX(BookTotal,529)*'5. Scenarios'!$E$6/(1+ProductivityDefault*('5. Scenarios'!$E$11-1)))</f>
        <v/>
      </c>
      <c r="T534" s="57" t="str">
        <f aca="false">IF($S534="","",INDEX(BookRate,529)*(1+'5. Scenarios'!$E$10)*$S534)</f>
        <v/>
      </c>
      <c r="U534" s="57" t="str">
        <f aca="false">IF($T534="","",SUMIFS($T$6:$T$2405,$A$6:$A$2405,"&lt;="&amp;$A534))</f>
        <v/>
      </c>
      <c r="V534" s="57" t="str">
        <f aca="false">IF($T534="","",IF($U534&lt;=BankCostEnvelope*'5. Scenarios'!$E$7,1,0))</f>
        <v/>
      </c>
      <c r="W534" s="57" t="str">
        <f aca="false">IF($S534="","",INDEX(BookRate,529)*(1+'5. Scenarios'!$E$10)*(INDEX(BookQ1,529)*(5-MIN(4,1+'5. Scenarios'!$E$8))/4+INDEX(BookQ2,529)*(5-MIN(4,2+'5. Scenarios'!$E$8))/4+INDEX(BookQ3,529)*(5-MIN(4,3+'5. Scenarios'!$E$8))/4+INDEX(BookQ4,529)*(5-MIN(4,4+'5. Scenarios'!$E$8))/4)*'5. Scenarios'!$E$6/(1+ProductivityDefault*('5. Scenarios'!$E$11-1))+INDEX(BookOneOff,529)*$S534)</f>
        <v/>
      </c>
    </row>
    <row r="535" customFormat="false" ht="15" hidden="false" customHeight="false" outlineLevel="0" collapsed="false">
      <c r="A535" s="0" t="str">
        <f aca="false">IF(INDEX(BookTitle,530)="","",INDEX(BookKey,530))</f>
        <v/>
      </c>
      <c r="B535" s="0" t="str">
        <f aca="false">IF(INDEX(BookTitle,530)="","",INDEX(BookGroup,530))</f>
        <v/>
      </c>
      <c r="C535" s="0" t="str">
        <f aca="false">IF(INDEX(BookTitle,530)="","",INDEX(BookCategory,530))</f>
        <v/>
      </c>
      <c r="D535" s="56" t="str">
        <f aca="false">IF(INDEX(BookTitle,530)="","",INDEX(BookTotal,530)*'5. Scenarios'!$B$6/(1+ProductivityDefault*('5. Scenarios'!$B$11-1)))</f>
        <v/>
      </c>
      <c r="E535" s="57" t="str">
        <f aca="false">IF($D535="","",INDEX(BookRate,530)*(1+'5. Scenarios'!$B$10)*$D535)</f>
        <v/>
      </c>
      <c r="F535" s="57" t="str">
        <f aca="false">IF($E535="","",SUMIFS($E$6:$E$2405,$A$6:$A$2405,"&lt;="&amp;$A535))</f>
        <v/>
      </c>
      <c r="G535" s="57" t="str">
        <f aca="false">IF($E535="","",IF($F535&lt;=BankCostEnvelope*'5. Scenarios'!$B$7,1,0))</f>
        <v/>
      </c>
      <c r="H535" s="57" t="str">
        <f aca="false">IF($D535="","",INDEX(BookRate,530)*(1+'5. Scenarios'!$B$10)*(INDEX(BookQ1,530)*(5-MIN(4,1+'5. Scenarios'!$B$8))/4+INDEX(BookQ2,530)*(5-MIN(4,2+'5. Scenarios'!$B$8))/4+INDEX(BookQ3,530)*(5-MIN(4,3+'5. Scenarios'!$B$8))/4+INDEX(BookQ4,530)*(5-MIN(4,4+'5. Scenarios'!$B$8))/4)*'5. Scenarios'!$B$6/(1+ProductivityDefault*('5. Scenarios'!$B$11-1))+INDEX(BookOneOff,530)*$D535)</f>
        <v/>
      </c>
      <c r="I535" s="56" t="str">
        <f aca="false">IF(INDEX(BookTitle,530)="","",INDEX(BookTotal,530)*'5. Scenarios'!$C$6/(1+ProductivityDefault*('5. Scenarios'!$C$11-1)))</f>
        <v/>
      </c>
      <c r="J535" s="57" t="str">
        <f aca="false">IF($I535="","",INDEX(BookRate,530)*(1+'5. Scenarios'!$C$10)*$I535)</f>
        <v/>
      </c>
      <c r="K535" s="57" t="str">
        <f aca="false">IF($J535="","",SUMIFS($J$6:$J$2405,$A$6:$A$2405,"&lt;="&amp;$A535))</f>
        <v/>
      </c>
      <c r="L535" s="57" t="str">
        <f aca="false">IF($J535="","",IF($K535&lt;=BankCostEnvelope*'5. Scenarios'!$C$7,1,0))</f>
        <v/>
      </c>
      <c r="M535" s="57" t="str">
        <f aca="false">IF($I535="","",INDEX(BookRate,530)*(1+'5. Scenarios'!$C$10)*(INDEX(BookQ1,530)*(5-MIN(4,1+'5. Scenarios'!$C$8))/4+INDEX(BookQ2,530)*(5-MIN(4,2+'5. Scenarios'!$C$8))/4+INDEX(BookQ3,530)*(5-MIN(4,3+'5. Scenarios'!$C$8))/4+INDEX(BookQ4,530)*(5-MIN(4,4+'5. Scenarios'!$C$8))/4)*'5. Scenarios'!$C$6/(1+ProductivityDefault*('5. Scenarios'!$C$11-1))+INDEX(BookOneOff,530)*$I535)</f>
        <v/>
      </c>
      <c r="N535" s="56" t="str">
        <f aca="false">IF(INDEX(BookTitle,530)="","",INDEX(BookTotal,530)*'5. Scenarios'!$D$6/(1+ProductivityDefault*('5. Scenarios'!$D$11-1)))</f>
        <v/>
      </c>
      <c r="O535" s="57" t="str">
        <f aca="false">IF($N535="","",INDEX(BookRate,530)*(1+'5. Scenarios'!$D$10)*$N535)</f>
        <v/>
      </c>
      <c r="P535" s="57" t="str">
        <f aca="false">IF($O535="","",SUMIFS($O$6:$O$2405,$A$6:$A$2405,"&lt;="&amp;$A535))</f>
        <v/>
      </c>
      <c r="Q535" s="57" t="str">
        <f aca="false">IF($O535="","",IF($P535&lt;=BankCostEnvelope*'5. Scenarios'!$D$7,1,0))</f>
        <v/>
      </c>
      <c r="R535" s="57" t="str">
        <f aca="false">IF($N535="","",INDEX(BookRate,530)*(1+'5. Scenarios'!$D$10)*(INDEX(BookQ1,530)*(5-MIN(4,1+'5. Scenarios'!$D$8))/4+INDEX(BookQ2,530)*(5-MIN(4,2+'5. Scenarios'!$D$8))/4+INDEX(BookQ3,530)*(5-MIN(4,3+'5. Scenarios'!$D$8))/4+INDEX(BookQ4,530)*(5-MIN(4,4+'5. Scenarios'!$D$8))/4)*'5. Scenarios'!$D$6/(1+ProductivityDefault*('5. Scenarios'!$D$11-1))+INDEX(BookOneOff,530)*$N535)</f>
        <v/>
      </c>
      <c r="S535" s="56" t="str">
        <f aca="false">IF(INDEX(BookTitle,530)="","",INDEX(BookTotal,530)*'5. Scenarios'!$E$6/(1+ProductivityDefault*('5. Scenarios'!$E$11-1)))</f>
        <v/>
      </c>
      <c r="T535" s="57" t="str">
        <f aca="false">IF($S535="","",INDEX(BookRate,530)*(1+'5. Scenarios'!$E$10)*$S535)</f>
        <v/>
      </c>
      <c r="U535" s="57" t="str">
        <f aca="false">IF($T535="","",SUMIFS($T$6:$T$2405,$A$6:$A$2405,"&lt;="&amp;$A535))</f>
        <v/>
      </c>
      <c r="V535" s="57" t="str">
        <f aca="false">IF($T535="","",IF($U535&lt;=BankCostEnvelope*'5. Scenarios'!$E$7,1,0))</f>
        <v/>
      </c>
      <c r="W535" s="57" t="str">
        <f aca="false">IF($S535="","",INDEX(BookRate,530)*(1+'5. Scenarios'!$E$10)*(INDEX(BookQ1,530)*(5-MIN(4,1+'5. Scenarios'!$E$8))/4+INDEX(BookQ2,530)*(5-MIN(4,2+'5. Scenarios'!$E$8))/4+INDEX(BookQ3,530)*(5-MIN(4,3+'5. Scenarios'!$E$8))/4+INDEX(BookQ4,530)*(5-MIN(4,4+'5. Scenarios'!$E$8))/4)*'5. Scenarios'!$E$6/(1+ProductivityDefault*('5. Scenarios'!$E$11-1))+INDEX(BookOneOff,530)*$S535)</f>
        <v/>
      </c>
    </row>
    <row r="536" customFormat="false" ht="15" hidden="false" customHeight="false" outlineLevel="0" collapsed="false">
      <c r="A536" s="0" t="str">
        <f aca="false">IF(INDEX(BookTitle,531)="","",INDEX(BookKey,531))</f>
        <v/>
      </c>
      <c r="B536" s="0" t="str">
        <f aca="false">IF(INDEX(BookTitle,531)="","",INDEX(BookGroup,531))</f>
        <v/>
      </c>
      <c r="C536" s="0" t="str">
        <f aca="false">IF(INDEX(BookTitle,531)="","",INDEX(BookCategory,531))</f>
        <v/>
      </c>
      <c r="D536" s="56" t="str">
        <f aca="false">IF(INDEX(BookTitle,531)="","",INDEX(BookTotal,531)*'5. Scenarios'!$B$6/(1+ProductivityDefault*('5. Scenarios'!$B$11-1)))</f>
        <v/>
      </c>
      <c r="E536" s="57" t="str">
        <f aca="false">IF($D536="","",INDEX(BookRate,531)*(1+'5. Scenarios'!$B$10)*$D536)</f>
        <v/>
      </c>
      <c r="F536" s="57" t="str">
        <f aca="false">IF($E536="","",SUMIFS($E$6:$E$2405,$A$6:$A$2405,"&lt;="&amp;$A536))</f>
        <v/>
      </c>
      <c r="G536" s="57" t="str">
        <f aca="false">IF($E536="","",IF($F536&lt;=BankCostEnvelope*'5. Scenarios'!$B$7,1,0))</f>
        <v/>
      </c>
      <c r="H536" s="57" t="str">
        <f aca="false">IF($D536="","",INDEX(BookRate,531)*(1+'5. Scenarios'!$B$10)*(INDEX(BookQ1,531)*(5-MIN(4,1+'5. Scenarios'!$B$8))/4+INDEX(BookQ2,531)*(5-MIN(4,2+'5. Scenarios'!$B$8))/4+INDEX(BookQ3,531)*(5-MIN(4,3+'5. Scenarios'!$B$8))/4+INDEX(BookQ4,531)*(5-MIN(4,4+'5. Scenarios'!$B$8))/4)*'5. Scenarios'!$B$6/(1+ProductivityDefault*('5. Scenarios'!$B$11-1))+INDEX(BookOneOff,531)*$D536)</f>
        <v/>
      </c>
      <c r="I536" s="56" t="str">
        <f aca="false">IF(INDEX(BookTitle,531)="","",INDEX(BookTotal,531)*'5. Scenarios'!$C$6/(1+ProductivityDefault*('5. Scenarios'!$C$11-1)))</f>
        <v/>
      </c>
      <c r="J536" s="57" t="str">
        <f aca="false">IF($I536="","",INDEX(BookRate,531)*(1+'5. Scenarios'!$C$10)*$I536)</f>
        <v/>
      </c>
      <c r="K536" s="57" t="str">
        <f aca="false">IF($J536="","",SUMIFS($J$6:$J$2405,$A$6:$A$2405,"&lt;="&amp;$A536))</f>
        <v/>
      </c>
      <c r="L536" s="57" t="str">
        <f aca="false">IF($J536="","",IF($K536&lt;=BankCostEnvelope*'5. Scenarios'!$C$7,1,0))</f>
        <v/>
      </c>
      <c r="M536" s="57" t="str">
        <f aca="false">IF($I536="","",INDEX(BookRate,531)*(1+'5. Scenarios'!$C$10)*(INDEX(BookQ1,531)*(5-MIN(4,1+'5. Scenarios'!$C$8))/4+INDEX(BookQ2,531)*(5-MIN(4,2+'5. Scenarios'!$C$8))/4+INDEX(BookQ3,531)*(5-MIN(4,3+'5. Scenarios'!$C$8))/4+INDEX(BookQ4,531)*(5-MIN(4,4+'5. Scenarios'!$C$8))/4)*'5. Scenarios'!$C$6/(1+ProductivityDefault*('5. Scenarios'!$C$11-1))+INDEX(BookOneOff,531)*$I536)</f>
        <v/>
      </c>
      <c r="N536" s="56" t="str">
        <f aca="false">IF(INDEX(BookTitle,531)="","",INDEX(BookTotal,531)*'5. Scenarios'!$D$6/(1+ProductivityDefault*('5. Scenarios'!$D$11-1)))</f>
        <v/>
      </c>
      <c r="O536" s="57" t="str">
        <f aca="false">IF($N536="","",INDEX(BookRate,531)*(1+'5. Scenarios'!$D$10)*$N536)</f>
        <v/>
      </c>
      <c r="P536" s="57" t="str">
        <f aca="false">IF($O536="","",SUMIFS($O$6:$O$2405,$A$6:$A$2405,"&lt;="&amp;$A536))</f>
        <v/>
      </c>
      <c r="Q536" s="57" t="str">
        <f aca="false">IF($O536="","",IF($P536&lt;=BankCostEnvelope*'5. Scenarios'!$D$7,1,0))</f>
        <v/>
      </c>
      <c r="R536" s="57" t="str">
        <f aca="false">IF($N536="","",INDEX(BookRate,531)*(1+'5. Scenarios'!$D$10)*(INDEX(BookQ1,531)*(5-MIN(4,1+'5. Scenarios'!$D$8))/4+INDEX(BookQ2,531)*(5-MIN(4,2+'5. Scenarios'!$D$8))/4+INDEX(BookQ3,531)*(5-MIN(4,3+'5. Scenarios'!$D$8))/4+INDEX(BookQ4,531)*(5-MIN(4,4+'5. Scenarios'!$D$8))/4)*'5. Scenarios'!$D$6/(1+ProductivityDefault*('5. Scenarios'!$D$11-1))+INDEX(BookOneOff,531)*$N536)</f>
        <v/>
      </c>
      <c r="S536" s="56" t="str">
        <f aca="false">IF(INDEX(BookTitle,531)="","",INDEX(BookTotal,531)*'5. Scenarios'!$E$6/(1+ProductivityDefault*('5. Scenarios'!$E$11-1)))</f>
        <v/>
      </c>
      <c r="T536" s="57" t="str">
        <f aca="false">IF($S536="","",INDEX(BookRate,531)*(1+'5. Scenarios'!$E$10)*$S536)</f>
        <v/>
      </c>
      <c r="U536" s="57" t="str">
        <f aca="false">IF($T536="","",SUMIFS($T$6:$T$2405,$A$6:$A$2405,"&lt;="&amp;$A536))</f>
        <v/>
      </c>
      <c r="V536" s="57" t="str">
        <f aca="false">IF($T536="","",IF($U536&lt;=BankCostEnvelope*'5. Scenarios'!$E$7,1,0))</f>
        <v/>
      </c>
      <c r="W536" s="57" t="str">
        <f aca="false">IF($S536="","",INDEX(BookRate,531)*(1+'5. Scenarios'!$E$10)*(INDEX(BookQ1,531)*(5-MIN(4,1+'5. Scenarios'!$E$8))/4+INDEX(BookQ2,531)*(5-MIN(4,2+'5. Scenarios'!$E$8))/4+INDEX(BookQ3,531)*(5-MIN(4,3+'5. Scenarios'!$E$8))/4+INDEX(BookQ4,531)*(5-MIN(4,4+'5. Scenarios'!$E$8))/4)*'5. Scenarios'!$E$6/(1+ProductivityDefault*('5. Scenarios'!$E$11-1))+INDEX(BookOneOff,531)*$S536)</f>
        <v/>
      </c>
    </row>
    <row r="537" customFormat="false" ht="15" hidden="false" customHeight="false" outlineLevel="0" collapsed="false">
      <c r="A537" s="0" t="str">
        <f aca="false">IF(INDEX(BookTitle,532)="","",INDEX(BookKey,532))</f>
        <v/>
      </c>
      <c r="B537" s="0" t="str">
        <f aca="false">IF(INDEX(BookTitle,532)="","",INDEX(BookGroup,532))</f>
        <v/>
      </c>
      <c r="C537" s="0" t="str">
        <f aca="false">IF(INDEX(BookTitle,532)="","",INDEX(BookCategory,532))</f>
        <v/>
      </c>
      <c r="D537" s="56" t="str">
        <f aca="false">IF(INDEX(BookTitle,532)="","",INDEX(BookTotal,532)*'5. Scenarios'!$B$6/(1+ProductivityDefault*('5. Scenarios'!$B$11-1)))</f>
        <v/>
      </c>
      <c r="E537" s="57" t="str">
        <f aca="false">IF($D537="","",INDEX(BookRate,532)*(1+'5. Scenarios'!$B$10)*$D537)</f>
        <v/>
      </c>
      <c r="F537" s="57" t="str">
        <f aca="false">IF($E537="","",SUMIFS($E$6:$E$2405,$A$6:$A$2405,"&lt;="&amp;$A537))</f>
        <v/>
      </c>
      <c r="G537" s="57" t="str">
        <f aca="false">IF($E537="","",IF($F537&lt;=BankCostEnvelope*'5. Scenarios'!$B$7,1,0))</f>
        <v/>
      </c>
      <c r="H537" s="57" t="str">
        <f aca="false">IF($D537="","",INDEX(BookRate,532)*(1+'5. Scenarios'!$B$10)*(INDEX(BookQ1,532)*(5-MIN(4,1+'5. Scenarios'!$B$8))/4+INDEX(BookQ2,532)*(5-MIN(4,2+'5. Scenarios'!$B$8))/4+INDEX(BookQ3,532)*(5-MIN(4,3+'5. Scenarios'!$B$8))/4+INDEX(BookQ4,532)*(5-MIN(4,4+'5. Scenarios'!$B$8))/4)*'5. Scenarios'!$B$6/(1+ProductivityDefault*('5. Scenarios'!$B$11-1))+INDEX(BookOneOff,532)*$D537)</f>
        <v/>
      </c>
      <c r="I537" s="56" t="str">
        <f aca="false">IF(INDEX(BookTitle,532)="","",INDEX(BookTotal,532)*'5. Scenarios'!$C$6/(1+ProductivityDefault*('5. Scenarios'!$C$11-1)))</f>
        <v/>
      </c>
      <c r="J537" s="57" t="str">
        <f aca="false">IF($I537="","",INDEX(BookRate,532)*(1+'5. Scenarios'!$C$10)*$I537)</f>
        <v/>
      </c>
      <c r="K537" s="57" t="str">
        <f aca="false">IF($J537="","",SUMIFS($J$6:$J$2405,$A$6:$A$2405,"&lt;="&amp;$A537))</f>
        <v/>
      </c>
      <c r="L537" s="57" t="str">
        <f aca="false">IF($J537="","",IF($K537&lt;=BankCostEnvelope*'5. Scenarios'!$C$7,1,0))</f>
        <v/>
      </c>
      <c r="M537" s="57" t="str">
        <f aca="false">IF($I537="","",INDEX(BookRate,532)*(1+'5. Scenarios'!$C$10)*(INDEX(BookQ1,532)*(5-MIN(4,1+'5. Scenarios'!$C$8))/4+INDEX(BookQ2,532)*(5-MIN(4,2+'5. Scenarios'!$C$8))/4+INDEX(BookQ3,532)*(5-MIN(4,3+'5. Scenarios'!$C$8))/4+INDEX(BookQ4,532)*(5-MIN(4,4+'5. Scenarios'!$C$8))/4)*'5. Scenarios'!$C$6/(1+ProductivityDefault*('5. Scenarios'!$C$11-1))+INDEX(BookOneOff,532)*$I537)</f>
        <v/>
      </c>
      <c r="N537" s="56" t="str">
        <f aca="false">IF(INDEX(BookTitle,532)="","",INDEX(BookTotal,532)*'5. Scenarios'!$D$6/(1+ProductivityDefault*('5. Scenarios'!$D$11-1)))</f>
        <v/>
      </c>
      <c r="O537" s="57" t="str">
        <f aca="false">IF($N537="","",INDEX(BookRate,532)*(1+'5. Scenarios'!$D$10)*$N537)</f>
        <v/>
      </c>
      <c r="P537" s="57" t="str">
        <f aca="false">IF($O537="","",SUMIFS($O$6:$O$2405,$A$6:$A$2405,"&lt;="&amp;$A537))</f>
        <v/>
      </c>
      <c r="Q537" s="57" t="str">
        <f aca="false">IF($O537="","",IF($P537&lt;=BankCostEnvelope*'5. Scenarios'!$D$7,1,0))</f>
        <v/>
      </c>
      <c r="R537" s="57" t="str">
        <f aca="false">IF($N537="","",INDEX(BookRate,532)*(1+'5. Scenarios'!$D$10)*(INDEX(BookQ1,532)*(5-MIN(4,1+'5. Scenarios'!$D$8))/4+INDEX(BookQ2,532)*(5-MIN(4,2+'5. Scenarios'!$D$8))/4+INDEX(BookQ3,532)*(5-MIN(4,3+'5. Scenarios'!$D$8))/4+INDEX(BookQ4,532)*(5-MIN(4,4+'5. Scenarios'!$D$8))/4)*'5. Scenarios'!$D$6/(1+ProductivityDefault*('5. Scenarios'!$D$11-1))+INDEX(BookOneOff,532)*$N537)</f>
        <v/>
      </c>
      <c r="S537" s="56" t="str">
        <f aca="false">IF(INDEX(BookTitle,532)="","",INDEX(BookTotal,532)*'5. Scenarios'!$E$6/(1+ProductivityDefault*('5. Scenarios'!$E$11-1)))</f>
        <v/>
      </c>
      <c r="T537" s="57" t="str">
        <f aca="false">IF($S537="","",INDEX(BookRate,532)*(1+'5. Scenarios'!$E$10)*$S537)</f>
        <v/>
      </c>
      <c r="U537" s="57" t="str">
        <f aca="false">IF($T537="","",SUMIFS($T$6:$T$2405,$A$6:$A$2405,"&lt;="&amp;$A537))</f>
        <v/>
      </c>
      <c r="V537" s="57" t="str">
        <f aca="false">IF($T537="","",IF($U537&lt;=BankCostEnvelope*'5. Scenarios'!$E$7,1,0))</f>
        <v/>
      </c>
      <c r="W537" s="57" t="str">
        <f aca="false">IF($S537="","",INDEX(BookRate,532)*(1+'5. Scenarios'!$E$10)*(INDEX(BookQ1,532)*(5-MIN(4,1+'5. Scenarios'!$E$8))/4+INDEX(BookQ2,532)*(5-MIN(4,2+'5. Scenarios'!$E$8))/4+INDEX(BookQ3,532)*(5-MIN(4,3+'5. Scenarios'!$E$8))/4+INDEX(BookQ4,532)*(5-MIN(4,4+'5. Scenarios'!$E$8))/4)*'5. Scenarios'!$E$6/(1+ProductivityDefault*('5. Scenarios'!$E$11-1))+INDEX(BookOneOff,532)*$S537)</f>
        <v/>
      </c>
    </row>
    <row r="538" customFormat="false" ht="15" hidden="false" customHeight="false" outlineLevel="0" collapsed="false">
      <c r="A538" s="0" t="str">
        <f aca="false">IF(INDEX(BookTitle,533)="","",INDEX(BookKey,533))</f>
        <v/>
      </c>
      <c r="B538" s="0" t="str">
        <f aca="false">IF(INDEX(BookTitle,533)="","",INDEX(BookGroup,533))</f>
        <v/>
      </c>
      <c r="C538" s="0" t="str">
        <f aca="false">IF(INDEX(BookTitle,533)="","",INDEX(BookCategory,533))</f>
        <v/>
      </c>
      <c r="D538" s="56" t="str">
        <f aca="false">IF(INDEX(BookTitle,533)="","",INDEX(BookTotal,533)*'5. Scenarios'!$B$6/(1+ProductivityDefault*('5. Scenarios'!$B$11-1)))</f>
        <v/>
      </c>
      <c r="E538" s="57" t="str">
        <f aca="false">IF($D538="","",INDEX(BookRate,533)*(1+'5. Scenarios'!$B$10)*$D538)</f>
        <v/>
      </c>
      <c r="F538" s="57" t="str">
        <f aca="false">IF($E538="","",SUMIFS($E$6:$E$2405,$A$6:$A$2405,"&lt;="&amp;$A538))</f>
        <v/>
      </c>
      <c r="G538" s="57" t="str">
        <f aca="false">IF($E538="","",IF($F538&lt;=BankCostEnvelope*'5. Scenarios'!$B$7,1,0))</f>
        <v/>
      </c>
      <c r="H538" s="57" t="str">
        <f aca="false">IF($D538="","",INDEX(BookRate,533)*(1+'5. Scenarios'!$B$10)*(INDEX(BookQ1,533)*(5-MIN(4,1+'5. Scenarios'!$B$8))/4+INDEX(BookQ2,533)*(5-MIN(4,2+'5. Scenarios'!$B$8))/4+INDEX(BookQ3,533)*(5-MIN(4,3+'5. Scenarios'!$B$8))/4+INDEX(BookQ4,533)*(5-MIN(4,4+'5. Scenarios'!$B$8))/4)*'5. Scenarios'!$B$6/(1+ProductivityDefault*('5. Scenarios'!$B$11-1))+INDEX(BookOneOff,533)*$D538)</f>
        <v/>
      </c>
      <c r="I538" s="56" t="str">
        <f aca="false">IF(INDEX(BookTitle,533)="","",INDEX(BookTotal,533)*'5. Scenarios'!$C$6/(1+ProductivityDefault*('5. Scenarios'!$C$11-1)))</f>
        <v/>
      </c>
      <c r="J538" s="57" t="str">
        <f aca="false">IF($I538="","",INDEX(BookRate,533)*(1+'5. Scenarios'!$C$10)*$I538)</f>
        <v/>
      </c>
      <c r="K538" s="57" t="str">
        <f aca="false">IF($J538="","",SUMIFS($J$6:$J$2405,$A$6:$A$2405,"&lt;="&amp;$A538))</f>
        <v/>
      </c>
      <c r="L538" s="57" t="str">
        <f aca="false">IF($J538="","",IF($K538&lt;=BankCostEnvelope*'5. Scenarios'!$C$7,1,0))</f>
        <v/>
      </c>
      <c r="M538" s="57" t="str">
        <f aca="false">IF($I538="","",INDEX(BookRate,533)*(1+'5. Scenarios'!$C$10)*(INDEX(BookQ1,533)*(5-MIN(4,1+'5. Scenarios'!$C$8))/4+INDEX(BookQ2,533)*(5-MIN(4,2+'5. Scenarios'!$C$8))/4+INDEX(BookQ3,533)*(5-MIN(4,3+'5. Scenarios'!$C$8))/4+INDEX(BookQ4,533)*(5-MIN(4,4+'5. Scenarios'!$C$8))/4)*'5. Scenarios'!$C$6/(1+ProductivityDefault*('5. Scenarios'!$C$11-1))+INDEX(BookOneOff,533)*$I538)</f>
        <v/>
      </c>
      <c r="N538" s="56" t="str">
        <f aca="false">IF(INDEX(BookTitle,533)="","",INDEX(BookTotal,533)*'5. Scenarios'!$D$6/(1+ProductivityDefault*('5. Scenarios'!$D$11-1)))</f>
        <v/>
      </c>
      <c r="O538" s="57" t="str">
        <f aca="false">IF($N538="","",INDEX(BookRate,533)*(1+'5. Scenarios'!$D$10)*$N538)</f>
        <v/>
      </c>
      <c r="P538" s="57" t="str">
        <f aca="false">IF($O538="","",SUMIFS($O$6:$O$2405,$A$6:$A$2405,"&lt;="&amp;$A538))</f>
        <v/>
      </c>
      <c r="Q538" s="57" t="str">
        <f aca="false">IF($O538="","",IF($P538&lt;=BankCostEnvelope*'5. Scenarios'!$D$7,1,0))</f>
        <v/>
      </c>
      <c r="R538" s="57" t="str">
        <f aca="false">IF($N538="","",INDEX(BookRate,533)*(1+'5. Scenarios'!$D$10)*(INDEX(BookQ1,533)*(5-MIN(4,1+'5. Scenarios'!$D$8))/4+INDEX(BookQ2,533)*(5-MIN(4,2+'5. Scenarios'!$D$8))/4+INDEX(BookQ3,533)*(5-MIN(4,3+'5. Scenarios'!$D$8))/4+INDEX(BookQ4,533)*(5-MIN(4,4+'5. Scenarios'!$D$8))/4)*'5. Scenarios'!$D$6/(1+ProductivityDefault*('5. Scenarios'!$D$11-1))+INDEX(BookOneOff,533)*$N538)</f>
        <v/>
      </c>
      <c r="S538" s="56" t="str">
        <f aca="false">IF(INDEX(BookTitle,533)="","",INDEX(BookTotal,533)*'5. Scenarios'!$E$6/(1+ProductivityDefault*('5. Scenarios'!$E$11-1)))</f>
        <v/>
      </c>
      <c r="T538" s="57" t="str">
        <f aca="false">IF($S538="","",INDEX(BookRate,533)*(1+'5. Scenarios'!$E$10)*$S538)</f>
        <v/>
      </c>
      <c r="U538" s="57" t="str">
        <f aca="false">IF($T538="","",SUMIFS($T$6:$T$2405,$A$6:$A$2405,"&lt;="&amp;$A538))</f>
        <v/>
      </c>
      <c r="V538" s="57" t="str">
        <f aca="false">IF($T538="","",IF($U538&lt;=BankCostEnvelope*'5. Scenarios'!$E$7,1,0))</f>
        <v/>
      </c>
      <c r="W538" s="57" t="str">
        <f aca="false">IF($S538="","",INDEX(BookRate,533)*(1+'5. Scenarios'!$E$10)*(INDEX(BookQ1,533)*(5-MIN(4,1+'5. Scenarios'!$E$8))/4+INDEX(BookQ2,533)*(5-MIN(4,2+'5. Scenarios'!$E$8))/4+INDEX(BookQ3,533)*(5-MIN(4,3+'5. Scenarios'!$E$8))/4+INDEX(BookQ4,533)*(5-MIN(4,4+'5. Scenarios'!$E$8))/4)*'5. Scenarios'!$E$6/(1+ProductivityDefault*('5. Scenarios'!$E$11-1))+INDEX(BookOneOff,533)*$S538)</f>
        <v/>
      </c>
    </row>
    <row r="539" customFormat="false" ht="15" hidden="false" customHeight="false" outlineLevel="0" collapsed="false">
      <c r="A539" s="0" t="str">
        <f aca="false">IF(INDEX(BookTitle,534)="","",INDEX(BookKey,534))</f>
        <v/>
      </c>
      <c r="B539" s="0" t="str">
        <f aca="false">IF(INDEX(BookTitle,534)="","",INDEX(BookGroup,534))</f>
        <v/>
      </c>
      <c r="C539" s="0" t="str">
        <f aca="false">IF(INDEX(BookTitle,534)="","",INDEX(BookCategory,534))</f>
        <v/>
      </c>
      <c r="D539" s="56" t="str">
        <f aca="false">IF(INDEX(BookTitle,534)="","",INDEX(BookTotal,534)*'5. Scenarios'!$B$6/(1+ProductivityDefault*('5. Scenarios'!$B$11-1)))</f>
        <v/>
      </c>
      <c r="E539" s="57" t="str">
        <f aca="false">IF($D539="","",INDEX(BookRate,534)*(1+'5. Scenarios'!$B$10)*$D539)</f>
        <v/>
      </c>
      <c r="F539" s="57" t="str">
        <f aca="false">IF($E539="","",SUMIFS($E$6:$E$2405,$A$6:$A$2405,"&lt;="&amp;$A539))</f>
        <v/>
      </c>
      <c r="G539" s="57" t="str">
        <f aca="false">IF($E539="","",IF($F539&lt;=BankCostEnvelope*'5. Scenarios'!$B$7,1,0))</f>
        <v/>
      </c>
      <c r="H539" s="57" t="str">
        <f aca="false">IF($D539="","",INDEX(BookRate,534)*(1+'5. Scenarios'!$B$10)*(INDEX(BookQ1,534)*(5-MIN(4,1+'5. Scenarios'!$B$8))/4+INDEX(BookQ2,534)*(5-MIN(4,2+'5. Scenarios'!$B$8))/4+INDEX(BookQ3,534)*(5-MIN(4,3+'5. Scenarios'!$B$8))/4+INDEX(BookQ4,534)*(5-MIN(4,4+'5. Scenarios'!$B$8))/4)*'5. Scenarios'!$B$6/(1+ProductivityDefault*('5. Scenarios'!$B$11-1))+INDEX(BookOneOff,534)*$D539)</f>
        <v/>
      </c>
      <c r="I539" s="56" t="str">
        <f aca="false">IF(INDEX(BookTitle,534)="","",INDEX(BookTotal,534)*'5. Scenarios'!$C$6/(1+ProductivityDefault*('5. Scenarios'!$C$11-1)))</f>
        <v/>
      </c>
      <c r="J539" s="57" t="str">
        <f aca="false">IF($I539="","",INDEX(BookRate,534)*(1+'5. Scenarios'!$C$10)*$I539)</f>
        <v/>
      </c>
      <c r="K539" s="57" t="str">
        <f aca="false">IF($J539="","",SUMIFS($J$6:$J$2405,$A$6:$A$2405,"&lt;="&amp;$A539))</f>
        <v/>
      </c>
      <c r="L539" s="57" t="str">
        <f aca="false">IF($J539="","",IF($K539&lt;=BankCostEnvelope*'5. Scenarios'!$C$7,1,0))</f>
        <v/>
      </c>
      <c r="M539" s="57" t="str">
        <f aca="false">IF($I539="","",INDEX(BookRate,534)*(1+'5. Scenarios'!$C$10)*(INDEX(BookQ1,534)*(5-MIN(4,1+'5. Scenarios'!$C$8))/4+INDEX(BookQ2,534)*(5-MIN(4,2+'5. Scenarios'!$C$8))/4+INDEX(BookQ3,534)*(5-MIN(4,3+'5. Scenarios'!$C$8))/4+INDEX(BookQ4,534)*(5-MIN(4,4+'5. Scenarios'!$C$8))/4)*'5. Scenarios'!$C$6/(1+ProductivityDefault*('5. Scenarios'!$C$11-1))+INDEX(BookOneOff,534)*$I539)</f>
        <v/>
      </c>
      <c r="N539" s="56" t="str">
        <f aca="false">IF(INDEX(BookTitle,534)="","",INDEX(BookTotal,534)*'5. Scenarios'!$D$6/(1+ProductivityDefault*('5. Scenarios'!$D$11-1)))</f>
        <v/>
      </c>
      <c r="O539" s="57" t="str">
        <f aca="false">IF($N539="","",INDEX(BookRate,534)*(1+'5. Scenarios'!$D$10)*$N539)</f>
        <v/>
      </c>
      <c r="P539" s="57" t="str">
        <f aca="false">IF($O539="","",SUMIFS($O$6:$O$2405,$A$6:$A$2405,"&lt;="&amp;$A539))</f>
        <v/>
      </c>
      <c r="Q539" s="57" t="str">
        <f aca="false">IF($O539="","",IF($P539&lt;=BankCostEnvelope*'5. Scenarios'!$D$7,1,0))</f>
        <v/>
      </c>
      <c r="R539" s="57" t="str">
        <f aca="false">IF($N539="","",INDEX(BookRate,534)*(1+'5. Scenarios'!$D$10)*(INDEX(BookQ1,534)*(5-MIN(4,1+'5. Scenarios'!$D$8))/4+INDEX(BookQ2,534)*(5-MIN(4,2+'5. Scenarios'!$D$8))/4+INDEX(BookQ3,534)*(5-MIN(4,3+'5. Scenarios'!$D$8))/4+INDEX(BookQ4,534)*(5-MIN(4,4+'5. Scenarios'!$D$8))/4)*'5. Scenarios'!$D$6/(1+ProductivityDefault*('5. Scenarios'!$D$11-1))+INDEX(BookOneOff,534)*$N539)</f>
        <v/>
      </c>
      <c r="S539" s="56" t="str">
        <f aca="false">IF(INDEX(BookTitle,534)="","",INDEX(BookTotal,534)*'5. Scenarios'!$E$6/(1+ProductivityDefault*('5. Scenarios'!$E$11-1)))</f>
        <v/>
      </c>
      <c r="T539" s="57" t="str">
        <f aca="false">IF($S539="","",INDEX(BookRate,534)*(1+'5. Scenarios'!$E$10)*$S539)</f>
        <v/>
      </c>
      <c r="U539" s="57" t="str">
        <f aca="false">IF($T539="","",SUMIFS($T$6:$T$2405,$A$6:$A$2405,"&lt;="&amp;$A539))</f>
        <v/>
      </c>
      <c r="V539" s="57" t="str">
        <f aca="false">IF($T539="","",IF($U539&lt;=BankCostEnvelope*'5. Scenarios'!$E$7,1,0))</f>
        <v/>
      </c>
      <c r="W539" s="57" t="str">
        <f aca="false">IF($S539="","",INDEX(BookRate,534)*(1+'5. Scenarios'!$E$10)*(INDEX(BookQ1,534)*(5-MIN(4,1+'5. Scenarios'!$E$8))/4+INDEX(BookQ2,534)*(5-MIN(4,2+'5. Scenarios'!$E$8))/4+INDEX(BookQ3,534)*(5-MIN(4,3+'5. Scenarios'!$E$8))/4+INDEX(BookQ4,534)*(5-MIN(4,4+'5. Scenarios'!$E$8))/4)*'5. Scenarios'!$E$6/(1+ProductivityDefault*('5. Scenarios'!$E$11-1))+INDEX(BookOneOff,534)*$S539)</f>
        <v/>
      </c>
    </row>
    <row r="540" customFormat="false" ht="15" hidden="false" customHeight="false" outlineLevel="0" collapsed="false">
      <c r="A540" s="0" t="str">
        <f aca="false">IF(INDEX(BookTitle,535)="","",INDEX(BookKey,535))</f>
        <v/>
      </c>
      <c r="B540" s="0" t="str">
        <f aca="false">IF(INDEX(BookTitle,535)="","",INDEX(BookGroup,535))</f>
        <v/>
      </c>
      <c r="C540" s="0" t="str">
        <f aca="false">IF(INDEX(BookTitle,535)="","",INDEX(BookCategory,535))</f>
        <v/>
      </c>
      <c r="D540" s="56" t="str">
        <f aca="false">IF(INDEX(BookTitle,535)="","",INDEX(BookTotal,535)*'5. Scenarios'!$B$6/(1+ProductivityDefault*('5. Scenarios'!$B$11-1)))</f>
        <v/>
      </c>
      <c r="E540" s="57" t="str">
        <f aca="false">IF($D540="","",INDEX(BookRate,535)*(1+'5. Scenarios'!$B$10)*$D540)</f>
        <v/>
      </c>
      <c r="F540" s="57" t="str">
        <f aca="false">IF($E540="","",SUMIFS($E$6:$E$2405,$A$6:$A$2405,"&lt;="&amp;$A540))</f>
        <v/>
      </c>
      <c r="G540" s="57" t="str">
        <f aca="false">IF($E540="","",IF($F540&lt;=BankCostEnvelope*'5. Scenarios'!$B$7,1,0))</f>
        <v/>
      </c>
      <c r="H540" s="57" t="str">
        <f aca="false">IF($D540="","",INDEX(BookRate,535)*(1+'5. Scenarios'!$B$10)*(INDEX(BookQ1,535)*(5-MIN(4,1+'5. Scenarios'!$B$8))/4+INDEX(BookQ2,535)*(5-MIN(4,2+'5. Scenarios'!$B$8))/4+INDEX(BookQ3,535)*(5-MIN(4,3+'5. Scenarios'!$B$8))/4+INDEX(BookQ4,535)*(5-MIN(4,4+'5. Scenarios'!$B$8))/4)*'5. Scenarios'!$B$6/(1+ProductivityDefault*('5. Scenarios'!$B$11-1))+INDEX(BookOneOff,535)*$D540)</f>
        <v/>
      </c>
      <c r="I540" s="56" t="str">
        <f aca="false">IF(INDEX(BookTitle,535)="","",INDEX(BookTotal,535)*'5. Scenarios'!$C$6/(1+ProductivityDefault*('5. Scenarios'!$C$11-1)))</f>
        <v/>
      </c>
      <c r="J540" s="57" t="str">
        <f aca="false">IF($I540="","",INDEX(BookRate,535)*(1+'5. Scenarios'!$C$10)*$I540)</f>
        <v/>
      </c>
      <c r="K540" s="57" t="str">
        <f aca="false">IF($J540="","",SUMIFS($J$6:$J$2405,$A$6:$A$2405,"&lt;="&amp;$A540))</f>
        <v/>
      </c>
      <c r="L540" s="57" t="str">
        <f aca="false">IF($J540="","",IF($K540&lt;=BankCostEnvelope*'5. Scenarios'!$C$7,1,0))</f>
        <v/>
      </c>
      <c r="M540" s="57" t="str">
        <f aca="false">IF($I540="","",INDEX(BookRate,535)*(1+'5. Scenarios'!$C$10)*(INDEX(BookQ1,535)*(5-MIN(4,1+'5. Scenarios'!$C$8))/4+INDEX(BookQ2,535)*(5-MIN(4,2+'5. Scenarios'!$C$8))/4+INDEX(BookQ3,535)*(5-MIN(4,3+'5. Scenarios'!$C$8))/4+INDEX(BookQ4,535)*(5-MIN(4,4+'5. Scenarios'!$C$8))/4)*'5. Scenarios'!$C$6/(1+ProductivityDefault*('5. Scenarios'!$C$11-1))+INDEX(BookOneOff,535)*$I540)</f>
        <v/>
      </c>
      <c r="N540" s="56" t="str">
        <f aca="false">IF(INDEX(BookTitle,535)="","",INDEX(BookTotal,535)*'5. Scenarios'!$D$6/(1+ProductivityDefault*('5. Scenarios'!$D$11-1)))</f>
        <v/>
      </c>
      <c r="O540" s="57" t="str">
        <f aca="false">IF($N540="","",INDEX(BookRate,535)*(1+'5. Scenarios'!$D$10)*$N540)</f>
        <v/>
      </c>
      <c r="P540" s="57" t="str">
        <f aca="false">IF($O540="","",SUMIFS($O$6:$O$2405,$A$6:$A$2405,"&lt;="&amp;$A540))</f>
        <v/>
      </c>
      <c r="Q540" s="57" t="str">
        <f aca="false">IF($O540="","",IF($P540&lt;=BankCostEnvelope*'5. Scenarios'!$D$7,1,0))</f>
        <v/>
      </c>
      <c r="R540" s="57" t="str">
        <f aca="false">IF($N540="","",INDEX(BookRate,535)*(1+'5. Scenarios'!$D$10)*(INDEX(BookQ1,535)*(5-MIN(4,1+'5. Scenarios'!$D$8))/4+INDEX(BookQ2,535)*(5-MIN(4,2+'5. Scenarios'!$D$8))/4+INDEX(BookQ3,535)*(5-MIN(4,3+'5. Scenarios'!$D$8))/4+INDEX(BookQ4,535)*(5-MIN(4,4+'5. Scenarios'!$D$8))/4)*'5. Scenarios'!$D$6/(1+ProductivityDefault*('5. Scenarios'!$D$11-1))+INDEX(BookOneOff,535)*$N540)</f>
        <v/>
      </c>
      <c r="S540" s="56" t="str">
        <f aca="false">IF(INDEX(BookTitle,535)="","",INDEX(BookTotal,535)*'5. Scenarios'!$E$6/(1+ProductivityDefault*('5. Scenarios'!$E$11-1)))</f>
        <v/>
      </c>
      <c r="T540" s="57" t="str">
        <f aca="false">IF($S540="","",INDEX(BookRate,535)*(1+'5. Scenarios'!$E$10)*$S540)</f>
        <v/>
      </c>
      <c r="U540" s="57" t="str">
        <f aca="false">IF($T540="","",SUMIFS($T$6:$T$2405,$A$6:$A$2405,"&lt;="&amp;$A540))</f>
        <v/>
      </c>
      <c r="V540" s="57" t="str">
        <f aca="false">IF($T540="","",IF($U540&lt;=BankCostEnvelope*'5. Scenarios'!$E$7,1,0))</f>
        <v/>
      </c>
      <c r="W540" s="57" t="str">
        <f aca="false">IF($S540="","",INDEX(BookRate,535)*(1+'5. Scenarios'!$E$10)*(INDEX(BookQ1,535)*(5-MIN(4,1+'5. Scenarios'!$E$8))/4+INDEX(BookQ2,535)*(5-MIN(4,2+'5. Scenarios'!$E$8))/4+INDEX(BookQ3,535)*(5-MIN(4,3+'5. Scenarios'!$E$8))/4+INDEX(BookQ4,535)*(5-MIN(4,4+'5. Scenarios'!$E$8))/4)*'5. Scenarios'!$E$6/(1+ProductivityDefault*('5. Scenarios'!$E$11-1))+INDEX(BookOneOff,535)*$S540)</f>
        <v/>
      </c>
    </row>
    <row r="541" customFormat="false" ht="15" hidden="false" customHeight="false" outlineLevel="0" collapsed="false">
      <c r="A541" s="0" t="str">
        <f aca="false">IF(INDEX(BookTitle,536)="","",INDEX(BookKey,536))</f>
        <v/>
      </c>
      <c r="B541" s="0" t="str">
        <f aca="false">IF(INDEX(BookTitle,536)="","",INDEX(BookGroup,536))</f>
        <v/>
      </c>
      <c r="C541" s="0" t="str">
        <f aca="false">IF(INDEX(BookTitle,536)="","",INDEX(BookCategory,536))</f>
        <v/>
      </c>
      <c r="D541" s="56" t="str">
        <f aca="false">IF(INDEX(BookTitle,536)="","",INDEX(BookTotal,536)*'5. Scenarios'!$B$6/(1+ProductivityDefault*('5. Scenarios'!$B$11-1)))</f>
        <v/>
      </c>
      <c r="E541" s="57" t="str">
        <f aca="false">IF($D541="","",INDEX(BookRate,536)*(1+'5. Scenarios'!$B$10)*$D541)</f>
        <v/>
      </c>
      <c r="F541" s="57" t="str">
        <f aca="false">IF($E541="","",SUMIFS($E$6:$E$2405,$A$6:$A$2405,"&lt;="&amp;$A541))</f>
        <v/>
      </c>
      <c r="G541" s="57" t="str">
        <f aca="false">IF($E541="","",IF($F541&lt;=BankCostEnvelope*'5. Scenarios'!$B$7,1,0))</f>
        <v/>
      </c>
      <c r="H541" s="57" t="str">
        <f aca="false">IF($D541="","",INDEX(BookRate,536)*(1+'5. Scenarios'!$B$10)*(INDEX(BookQ1,536)*(5-MIN(4,1+'5. Scenarios'!$B$8))/4+INDEX(BookQ2,536)*(5-MIN(4,2+'5. Scenarios'!$B$8))/4+INDEX(BookQ3,536)*(5-MIN(4,3+'5. Scenarios'!$B$8))/4+INDEX(BookQ4,536)*(5-MIN(4,4+'5. Scenarios'!$B$8))/4)*'5. Scenarios'!$B$6/(1+ProductivityDefault*('5. Scenarios'!$B$11-1))+INDEX(BookOneOff,536)*$D541)</f>
        <v/>
      </c>
      <c r="I541" s="56" t="str">
        <f aca="false">IF(INDEX(BookTitle,536)="","",INDEX(BookTotal,536)*'5. Scenarios'!$C$6/(1+ProductivityDefault*('5. Scenarios'!$C$11-1)))</f>
        <v/>
      </c>
      <c r="J541" s="57" t="str">
        <f aca="false">IF($I541="","",INDEX(BookRate,536)*(1+'5. Scenarios'!$C$10)*$I541)</f>
        <v/>
      </c>
      <c r="K541" s="57" t="str">
        <f aca="false">IF($J541="","",SUMIFS($J$6:$J$2405,$A$6:$A$2405,"&lt;="&amp;$A541))</f>
        <v/>
      </c>
      <c r="L541" s="57" t="str">
        <f aca="false">IF($J541="","",IF($K541&lt;=BankCostEnvelope*'5. Scenarios'!$C$7,1,0))</f>
        <v/>
      </c>
      <c r="M541" s="57" t="str">
        <f aca="false">IF($I541="","",INDEX(BookRate,536)*(1+'5. Scenarios'!$C$10)*(INDEX(BookQ1,536)*(5-MIN(4,1+'5. Scenarios'!$C$8))/4+INDEX(BookQ2,536)*(5-MIN(4,2+'5. Scenarios'!$C$8))/4+INDEX(BookQ3,536)*(5-MIN(4,3+'5. Scenarios'!$C$8))/4+INDEX(BookQ4,536)*(5-MIN(4,4+'5. Scenarios'!$C$8))/4)*'5. Scenarios'!$C$6/(1+ProductivityDefault*('5. Scenarios'!$C$11-1))+INDEX(BookOneOff,536)*$I541)</f>
        <v/>
      </c>
      <c r="N541" s="56" t="str">
        <f aca="false">IF(INDEX(BookTitle,536)="","",INDEX(BookTotal,536)*'5. Scenarios'!$D$6/(1+ProductivityDefault*('5. Scenarios'!$D$11-1)))</f>
        <v/>
      </c>
      <c r="O541" s="57" t="str">
        <f aca="false">IF($N541="","",INDEX(BookRate,536)*(1+'5. Scenarios'!$D$10)*$N541)</f>
        <v/>
      </c>
      <c r="P541" s="57" t="str">
        <f aca="false">IF($O541="","",SUMIFS($O$6:$O$2405,$A$6:$A$2405,"&lt;="&amp;$A541))</f>
        <v/>
      </c>
      <c r="Q541" s="57" t="str">
        <f aca="false">IF($O541="","",IF($P541&lt;=BankCostEnvelope*'5. Scenarios'!$D$7,1,0))</f>
        <v/>
      </c>
      <c r="R541" s="57" t="str">
        <f aca="false">IF($N541="","",INDEX(BookRate,536)*(1+'5. Scenarios'!$D$10)*(INDEX(BookQ1,536)*(5-MIN(4,1+'5. Scenarios'!$D$8))/4+INDEX(BookQ2,536)*(5-MIN(4,2+'5. Scenarios'!$D$8))/4+INDEX(BookQ3,536)*(5-MIN(4,3+'5. Scenarios'!$D$8))/4+INDEX(BookQ4,536)*(5-MIN(4,4+'5. Scenarios'!$D$8))/4)*'5. Scenarios'!$D$6/(1+ProductivityDefault*('5. Scenarios'!$D$11-1))+INDEX(BookOneOff,536)*$N541)</f>
        <v/>
      </c>
      <c r="S541" s="56" t="str">
        <f aca="false">IF(INDEX(BookTitle,536)="","",INDEX(BookTotal,536)*'5. Scenarios'!$E$6/(1+ProductivityDefault*('5. Scenarios'!$E$11-1)))</f>
        <v/>
      </c>
      <c r="T541" s="57" t="str">
        <f aca="false">IF($S541="","",INDEX(BookRate,536)*(1+'5. Scenarios'!$E$10)*$S541)</f>
        <v/>
      </c>
      <c r="U541" s="57" t="str">
        <f aca="false">IF($T541="","",SUMIFS($T$6:$T$2405,$A$6:$A$2405,"&lt;="&amp;$A541))</f>
        <v/>
      </c>
      <c r="V541" s="57" t="str">
        <f aca="false">IF($T541="","",IF($U541&lt;=BankCostEnvelope*'5. Scenarios'!$E$7,1,0))</f>
        <v/>
      </c>
      <c r="W541" s="57" t="str">
        <f aca="false">IF($S541="","",INDEX(BookRate,536)*(1+'5. Scenarios'!$E$10)*(INDEX(BookQ1,536)*(5-MIN(4,1+'5. Scenarios'!$E$8))/4+INDEX(BookQ2,536)*(5-MIN(4,2+'5. Scenarios'!$E$8))/4+INDEX(BookQ3,536)*(5-MIN(4,3+'5. Scenarios'!$E$8))/4+INDEX(BookQ4,536)*(5-MIN(4,4+'5. Scenarios'!$E$8))/4)*'5. Scenarios'!$E$6/(1+ProductivityDefault*('5. Scenarios'!$E$11-1))+INDEX(BookOneOff,536)*$S541)</f>
        <v/>
      </c>
    </row>
    <row r="542" customFormat="false" ht="15" hidden="false" customHeight="false" outlineLevel="0" collapsed="false">
      <c r="A542" s="0" t="str">
        <f aca="false">IF(INDEX(BookTitle,537)="","",INDEX(BookKey,537))</f>
        <v/>
      </c>
      <c r="B542" s="0" t="str">
        <f aca="false">IF(INDEX(BookTitle,537)="","",INDEX(BookGroup,537))</f>
        <v/>
      </c>
      <c r="C542" s="0" t="str">
        <f aca="false">IF(INDEX(BookTitle,537)="","",INDEX(BookCategory,537))</f>
        <v/>
      </c>
      <c r="D542" s="56" t="str">
        <f aca="false">IF(INDEX(BookTitle,537)="","",INDEX(BookTotal,537)*'5. Scenarios'!$B$6/(1+ProductivityDefault*('5. Scenarios'!$B$11-1)))</f>
        <v/>
      </c>
      <c r="E542" s="57" t="str">
        <f aca="false">IF($D542="","",INDEX(BookRate,537)*(1+'5. Scenarios'!$B$10)*$D542)</f>
        <v/>
      </c>
      <c r="F542" s="57" t="str">
        <f aca="false">IF($E542="","",SUMIFS($E$6:$E$2405,$A$6:$A$2405,"&lt;="&amp;$A542))</f>
        <v/>
      </c>
      <c r="G542" s="57" t="str">
        <f aca="false">IF($E542="","",IF($F542&lt;=BankCostEnvelope*'5. Scenarios'!$B$7,1,0))</f>
        <v/>
      </c>
      <c r="H542" s="57" t="str">
        <f aca="false">IF($D542="","",INDEX(BookRate,537)*(1+'5. Scenarios'!$B$10)*(INDEX(BookQ1,537)*(5-MIN(4,1+'5. Scenarios'!$B$8))/4+INDEX(BookQ2,537)*(5-MIN(4,2+'5. Scenarios'!$B$8))/4+INDEX(BookQ3,537)*(5-MIN(4,3+'5. Scenarios'!$B$8))/4+INDEX(BookQ4,537)*(5-MIN(4,4+'5. Scenarios'!$B$8))/4)*'5. Scenarios'!$B$6/(1+ProductivityDefault*('5. Scenarios'!$B$11-1))+INDEX(BookOneOff,537)*$D542)</f>
        <v/>
      </c>
      <c r="I542" s="56" t="str">
        <f aca="false">IF(INDEX(BookTitle,537)="","",INDEX(BookTotal,537)*'5. Scenarios'!$C$6/(1+ProductivityDefault*('5. Scenarios'!$C$11-1)))</f>
        <v/>
      </c>
      <c r="J542" s="57" t="str">
        <f aca="false">IF($I542="","",INDEX(BookRate,537)*(1+'5. Scenarios'!$C$10)*$I542)</f>
        <v/>
      </c>
      <c r="K542" s="57" t="str">
        <f aca="false">IF($J542="","",SUMIFS($J$6:$J$2405,$A$6:$A$2405,"&lt;="&amp;$A542))</f>
        <v/>
      </c>
      <c r="L542" s="57" t="str">
        <f aca="false">IF($J542="","",IF($K542&lt;=BankCostEnvelope*'5. Scenarios'!$C$7,1,0))</f>
        <v/>
      </c>
      <c r="M542" s="57" t="str">
        <f aca="false">IF($I542="","",INDEX(BookRate,537)*(1+'5. Scenarios'!$C$10)*(INDEX(BookQ1,537)*(5-MIN(4,1+'5. Scenarios'!$C$8))/4+INDEX(BookQ2,537)*(5-MIN(4,2+'5. Scenarios'!$C$8))/4+INDEX(BookQ3,537)*(5-MIN(4,3+'5. Scenarios'!$C$8))/4+INDEX(BookQ4,537)*(5-MIN(4,4+'5. Scenarios'!$C$8))/4)*'5. Scenarios'!$C$6/(1+ProductivityDefault*('5. Scenarios'!$C$11-1))+INDEX(BookOneOff,537)*$I542)</f>
        <v/>
      </c>
      <c r="N542" s="56" t="str">
        <f aca="false">IF(INDEX(BookTitle,537)="","",INDEX(BookTotal,537)*'5. Scenarios'!$D$6/(1+ProductivityDefault*('5. Scenarios'!$D$11-1)))</f>
        <v/>
      </c>
      <c r="O542" s="57" t="str">
        <f aca="false">IF($N542="","",INDEX(BookRate,537)*(1+'5. Scenarios'!$D$10)*$N542)</f>
        <v/>
      </c>
      <c r="P542" s="57" t="str">
        <f aca="false">IF($O542="","",SUMIFS($O$6:$O$2405,$A$6:$A$2405,"&lt;="&amp;$A542))</f>
        <v/>
      </c>
      <c r="Q542" s="57" t="str">
        <f aca="false">IF($O542="","",IF($P542&lt;=BankCostEnvelope*'5. Scenarios'!$D$7,1,0))</f>
        <v/>
      </c>
      <c r="R542" s="57" t="str">
        <f aca="false">IF($N542="","",INDEX(BookRate,537)*(1+'5. Scenarios'!$D$10)*(INDEX(BookQ1,537)*(5-MIN(4,1+'5. Scenarios'!$D$8))/4+INDEX(BookQ2,537)*(5-MIN(4,2+'5. Scenarios'!$D$8))/4+INDEX(BookQ3,537)*(5-MIN(4,3+'5. Scenarios'!$D$8))/4+INDEX(BookQ4,537)*(5-MIN(4,4+'5. Scenarios'!$D$8))/4)*'5. Scenarios'!$D$6/(1+ProductivityDefault*('5. Scenarios'!$D$11-1))+INDEX(BookOneOff,537)*$N542)</f>
        <v/>
      </c>
      <c r="S542" s="56" t="str">
        <f aca="false">IF(INDEX(BookTitle,537)="","",INDEX(BookTotal,537)*'5. Scenarios'!$E$6/(1+ProductivityDefault*('5. Scenarios'!$E$11-1)))</f>
        <v/>
      </c>
      <c r="T542" s="57" t="str">
        <f aca="false">IF($S542="","",INDEX(BookRate,537)*(1+'5. Scenarios'!$E$10)*$S542)</f>
        <v/>
      </c>
      <c r="U542" s="57" t="str">
        <f aca="false">IF($T542="","",SUMIFS($T$6:$T$2405,$A$6:$A$2405,"&lt;="&amp;$A542))</f>
        <v/>
      </c>
      <c r="V542" s="57" t="str">
        <f aca="false">IF($T542="","",IF($U542&lt;=BankCostEnvelope*'5. Scenarios'!$E$7,1,0))</f>
        <v/>
      </c>
      <c r="W542" s="57" t="str">
        <f aca="false">IF($S542="","",INDEX(BookRate,537)*(1+'5. Scenarios'!$E$10)*(INDEX(BookQ1,537)*(5-MIN(4,1+'5. Scenarios'!$E$8))/4+INDEX(BookQ2,537)*(5-MIN(4,2+'5. Scenarios'!$E$8))/4+INDEX(BookQ3,537)*(5-MIN(4,3+'5. Scenarios'!$E$8))/4+INDEX(BookQ4,537)*(5-MIN(4,4+'5. Scenarios'!$E$8))/4)*'5. Scenarios'!$E$6/(1+ProductivityDefault*('5. Scenarios'!$E$11-1))+INDEX(BookOneOff,537)*$S542)</f>
        <v/>
      </c>
    </row>
    <row r="543" customFormat="false" ht="15" hidden="false" customHeight="false" outlineLevel="0" collapsed="false">
      <c r="A543" s="0" t="str">
        <f aca="false">IF(INDEX(BookTitle,538)="","",INDEX(BookKey,538))</f>
        <v/>
      </c>
      <c r="B543" s="0" t="str">
        <f aca="false">IF(INDEX(BookTitle,538)="","",INDEX(BookGroup,538))</f>
        <v/>
      </c>
      <c r="C543" s="0" t="str">
        <f aca="false">IF(INDEX(BookTitle,538)="","",INDEX(BookCategory,538))</f>
        <v/>
      </c>
      <c r="D543" s="56" t="str">
        <f aca="false">IF(INDEX(BookTitle,538)="","",INDEX(BookTotal,538)*'5. Scenarios'!$B$6/(1+ProductivityDefault*('5. Scenarios'!$B$11-1)))</f>
        <v/>
      </c>
      <c r="E543" s="57" t="str">
        <f aca="false">IF($D543="","",INDEX(BookRate,538)*(1+'5. Scenarios'!$B$10)*$D543)</f>
        <v/>
      </c>
      <c r="F543" s="57" t="str">
        <f aca="false">IF($E543="","",SUMIFS($E$6:$E$2405,$A$6:$A$2405,"&lt;="&amp;$A543))</f>
        <v/>
      </c>
      <c r="G543" s="57" t="str">
        <f aca="false">IF($E543="","",IF($F543&lt;=BankCostEnvelope*'5. Scenarios'!$B$7,1,0))</f>
        <v/>
      </c>
      <c r="H543" s="57" t="str">
        <f aca="false">IF($D543="","",INDEX(BookRate,538)*(1+'5. Scenarios'!$B$10)*(INDEX(BookQ1,538)*(5-MIN(4,1+'5. Scenarios'!$B$8))/4+INDEX(BookQ2,538)*(5-MIN(4,2+'5. Scenarios'!$B$8))/4+INDEX(BookQ3,538)*(5-MIN(4,3+'5. Scenarios'!$B$8))/4+INDEX(BookQ4,538)*(5-MIN(4,4+'5. Scenarios'!$B$8))/4)*'5. Scenarios'!$B$6/(1+ProductivityDefault*('5. Scenarios'!$B$11-1))+INDEX(BookOneOff,538)*$D543)</f>
        <v/>
      </c>
      <c r="I543" s="56" t="str">
        <f aca="false">IF(INDEX(BookTitle,538)="","",INDEX(BookTotal,538)*'5. Scenarios'!$C$6/(1+ProductivityDefault*('5. Scenarios'!$C$11-1)))</f>
        <v/>
      </c>
      <c r="J543" s="57" t="str">
        <f aca="false">IF($I543="","",INDEX(BookRate,538)*(1+'5. Scenarios'!$C$10)*$I543)</f>
        <v/>
      </c>
      <c r="K543" s="57" t="str">
        <f aca="false">IF($J543="","",SUMIFS($J$6:$J$2405,$A$6:$A$2405,"&lt;="&amp;$A543))</f>
        <v/>
      </c>
      <c r="L543" s="57" t="str">
        <f aca="false">IF($J543="","",IF($K543&lt;=BankCostEnvelope*'5. Scenarios'!$C$7,1,0))</f>
        <v/>
      </c>
      <c r="M543" s="57" t="str">
        <f aca="false">IF($I543="","",INDEX(BookRate,538)*(1+'5. Scenarios'!$C$10)*(INDEX(BookQ1,538)*(5-MIN(4,1+'5. Scenarios'!$C$8))/4+INDEX(BookQ2,538)*(5-MIN(4,2+'5. Scenarios'!$C$8))/4+INDEX(BookQ3,538)*(5-MIN(4,3+'5. Scenarios'!$C$8))/4+INDEX(BookQ4,538)*(5-MIN(4,4+'5. Scenarios'!$C$8))/4)*'5. Scenarios'!$C$6/(1+ProductivityDefault*('5. Scenarios'!$C$11-1))+INDEX(BookOneOff,538)*$I543)</f>
        <v/>
      </c>
      <c r="N543" s="56" t="str">
        <f aca="false">IF(INDEX(BookTitle,538)="","",INDEX(BookTotal,538)*'5. Scenarios'!$D$6/(1+ProductivityDefault*('5. Scenarios'!$D$11-1)))</f>
        <v/>
      </c>
      <c r="O543" s="57" t="str">
        <f aca="false">IF($N543="","",INDEX(BookRate,538)*(1+'5. Scenarios'!$D$10)*$N543)</f>
        <v/>
      </c>
      <c r="P543" s="57" t="str">
        <f aca="false">IF($O543="","",SUMIFS($O$6:$O$2405,$A$6:$A$2405,"&lt;="&amp;$A543))</f>
        <v/>
      </c>
      <c r="Q543" s="57" t="str">
        <f aca="false">IF($O543="","",IF($P543&lt;=BankCostEnvelope*'5. Scenarios'!$D$7,1,0))</f>
        <v/>
      </c>
      <c r="R543" s="57" t="str">
        <f aca="false">IF($N543="","",INDEX(BookRate,538)*(1+'5. Scenarios'!$D$10)*(INDEX(BookQ1,538)*(5-MIN(4,1+'5. Scenarios'!$D$8))/4+INDEX(BookQ2,538)*(5-MIN(4,2+'5. Scenarios'!$D$8))/4+INDEX(BookQ3,538)*(5-MIN(4,3+'5. Scenarios'!$D$8))/4+INDEX(BookQ4,538)*(5-MIN(4,4+'5. Scenarios'!$D$8))/4)*'5. Scenarios'!$D$6/(1+ProductivityDefault*('5. Scenarios'!$D$11-1))+INDEX(BookOneOff,538)*$N543)</f>
        <v/>
      </c>
      <c r="S543" s="56" t="str">
        <f aca="false">IF(INDEX(BookTitle,538)="","",INDEX(BookTotal,538)*'5. Scenarios'!$E$6/(1+ProductivityDefault*('5. Scenarios'!$E$11-1)))</f>
        <v/>
      </c>
      <c r="T543" s="57" t="str">
        <f aca="false">IF($S543="","",INDEX(BookRate,538)*(1+'5. Scenarios'!$E$10)*$S543)</f>
        <v/>
      </c>
      <c r="U543" s="57" t="str">
        <f aca="false">IF($T543="","",SUMIFS($T$6:$T$2405,$A$6:$A$2405,"&lt;="&amp;$A543))</f>
        <v/>
      </c>
      <c r="V543" s="57" t="str">
        <f aca="false">IF($T543="","",IF($U543&lt;=BankCostEnvelope*'5. Scenarios'!$E$7,1,0))</f>
        <v/>
      </c>
      <c r="W543" s="57" t="str">
        <f aca="false">IF($S543="","",INDEX(BookRate,538)*(1+'5. Scenarios'!$E$10)*(INDEX(BookQ1,538)*(5-MIN(4,1+'5. Scenarios'!$E$8))/4+INDEX(BookQ2,538)*(5-MIN(4,2+'5. Scenarios'!$E$8))/4+INDEX(BookQ3,538)*(5-MIN(4,3+'5. Scenarios'!$E$8))/4+INDEX(BookQ4,538)*(5-MIN(4,4+'5. Scenarios'!$E$8))/4)*'5. Scenarios'!$E$6/(1+ProductivityDefault*('5. Scenarios'!$E$11-1))+INDEX(BookOneOff,538)*$S543)</f>
        <v/>
      </c>
    </row>
    <row r="544" customFormat="false" ht="15" hidden="false" customHeight="false" outlineLevel="0" collapsed="false">
      <c r="A544" s="0" t="str">
        <f aca="false">IF(INDEX(BookTitle,539)="","",INDEX(BookKey,539))</f>
        <v/>
      </c>
      <c r="B544" s="0" t="str">
        <f aca="false">IF(INDEX(BookTitle,539)="","",INDEX(BookGroup,539))</f>
        <v/>
      </c>
      <c r="C544" s="0" t="str">
        <f aca="false">IF(INDEX(BookTitle,539)="","",INDEX(BookCategory,539))</f>
        <v/>
      </c>
      <c r="D544" s="56" t="str">
        <f aca="false">IF(INDEX(BookTitle,539)="","",INDEX(BookTotal,539)*'5. Scenarios'!$B$6/(1+ProductivityDefault*('5. Scenarios'!$B$11-1)))</f>
        <v/>
      </c>
      <c r="E544" s="57" t="str">
        <f aca="false">IF($D544="","",INDEX(BookRate,539)*(1+'5. Scenarios'!$B$10)*$D544)</f>
        <v/>
      </c>
      <c r="F544" s="57" t="str">
        <f aca="false">IF($E544="","",SUMIFS($E$6:$E$2405,$A$6:$A$2405,"&lt;="&amp;$A544))</f>
        <v/>
      </c>
      <c r="G544" s="57" t="str">
        <f aca="false">IF($E544="","",IF($F544&lt;=BankCostEnvelope*'5. Scenarios'!$B$7,1,0))</f>
        <v/>
      </c>
      <c r="H544" s="57" t="str">
        <f aca="false">IF($D544="","",INDEX(BookRate,539)*(1+'5. Scenarios'!$B$10)*(INDEX(BookQ1,539)*(5-MIN(4,1+'5. Scenarios'!$B$8))/4+INDEX(BookQ2,539)*(5-MIN(4,2+'5. Scenarios'!$B$8))/4+INDEX(BookQ3,539)*(5-MIN(4,3+'5. Scenarios'!$B$8))/4+INDEX(BookQ4,539)*(5-MIN(4,4+'5. Scenarios'!$B$8))/4)*'5. Scenarios'!$B$6/(1+ProductivityDefault*('5. Scenarios'!$B$11-1))+INDEX(BookOneOff,539)*$D544)</f>
        <v/>
      </c>
      <c r="I544" s="56" t="str">
        <f aca="false">IF(INDEX(BookTitle,539)="","",INDEX(BookTotal,539)*'5. Scenarios'!$C$6/(1+ProductivityDefault*('5. Scenarios'!$C$11-1)))</f>
        <v/>
      </c>
      <c r="J544" s="57" t="str">
        <f aca="false">IF($I544="","",INDEX(BookRate,539)*(1+'5. Scenarios'!$C$10)*$I544)</f>
        <v/>
      </c>
      <c r="K544" s="57" t="str">
        <f aca="false">IF($J544="","",SUMIFS($J$6:$J$2405,$A$6:$A$2405,"&lt;="&amp;$A544))</f>
        <v/>
      </c>
      <c r="L544" s="57" t="str">
        <f aca="false">IF($J544="","",IF($K544&lt;=BankCostEnvelope*'5. Scenarios'!$C$7,1,0))</f>
        <v/>
      </c>
      <c r="M544" s="57" t="str">
        <f aca="false">IF($I544="","",INDEX(BookRate,539)*(1+'5. Scenarios'!$C$10)*(INDEX(BookQ1,539)*(5-MIN(4,1+'5. Scenarios'!$C$8))/4+INDEX(BookQ2,539)*(5-MIN(4,2+'5. Scenarios'!$C$8))/4+INDEX(BookQ3,539)*(5-MIN(4,3+'5. Scenarios'!$C$8))/4+INDEX(BookQ4,539)*(5-MIN(4,4+'5. Scenarios'!$C$8))/4)*'5. Scenarios'!$C$6/(1+ProductivityDefault*('5. Scenarios'!$C$11-1))+INDEX(BookOneOff,539)*$I544)</f>
        <v/>
      </c>
      <c r="N544" s="56" t="str">
        <f aca="false">IF(INDEX(BookTitle,539)="","",INDEX(BookTotal,539)*'5. Scenarios'!$D$6/(1+ProductivityDefault*('5. Scenarios'!$D$11-1)))</f>
        <v/>
      </c>
      <c r="O544" s="57" t="str">
        <f aca="false">IF($N544="","",INDEX(BookRate,539)*(1+'5. Scenarios'!$D$10)*$N544)</f>
        <v/>
      </c>
      <c r="P544" s="57" t="str">
        <f aca="false">IF($O544="","",SUMIFS($O$6:$O$2405,$A$6:$A$2405,"&lt;="&amp;$A544))</f>
        <v/>
      </c>
      <c r="Q544" s="57" t="str">
        <f aca="false">IF($O544="","",IF($P544&lt;=BankCostEnvelope*'5. Scenarios'!$D$7,1,0))</f>
        <v/>
      </c>
      <c r="R544" s="57" t="str">
        <f aca="false">IF($N544="","",INDEX(BookRate,539)*(1+'5. Scenarios'!$D$10)*(INDEX(BookQ1,539)*(5-MIN(4,1+'5. Scenarios'!$D$8))/4+INDEX(BookQ2,539)*(5-MIN(4,2+'5. Scenarios'!$D$8))/4+INDEX(BookQ3,539)*(5-MIN(4,3+'5. Scenarios'!$D$8))/4+INDEX(BookQ4,539)*(5-MIN(4,4+'5. Scenarios'!$D$8))/4)*'5. Scenarios'!$D$6/(1+ProductivityDefault*('5. Scenarios'!$D$11-1))+INDEX(BookOneOff,539)*$N544)</f>
        <v/>
      </c>
      <c r="S544" s="56" t="str">
        <f aca="false">IF(INDEX(BookTitle,539)="","",INDEX(BookTotal,539)*'5. Scenarios'!$E$6/(1+ProductivityDefault*('5. Scenarios'!$E$11-1)))</f>
        <v/>
      </c>
      <c r="T544" s="57" t="str">
        <f aca="false">IF($S544="","",INDEX(BookRate,539)*(1+'5. Scenarios'!$E$10)*$S544)</f>
        <v/>
      </c>
      <c r="U544" s="57" t="str">
        <f aca="false">IF($T544="","",SUMIFS($T$6:$T$2405,$A$6:$A$2405,"&lt;="&amp;$A544))</f>
        <v/>
      </c>
      <c r="V544" s="57" t="str">
        <f aca="false">IF($T544="","",IF($U544&lt;=BankCostEnvelope*'5. Scenarios'!$E$7,1,0))</f>
        <v/>
      </c>
      <c r="W544" s="57" t="str">
        <f aca="false">IF($S544="","",INDEX(BookRate,539)*(1+'5. Scenarios'!$E$10)*(INDEX(BookQ1,539)*(5-MIN(4,1+'5. Scenarios'!$E$8))/4+INDEX(BookQ2,539)*(5-MIN(4,2+'5. Scenarios'!$E$8))/4+INDEX(BookQ3,539)*(5-MIN(4,3+'5. Scenarios'!$E$8))/4+INDEX(BookQ4,539)*(5-MIN(4,4+'5. Scenarios'!$E$8))/4)*'5. Scenarios'!$E$6/(1+ProductivityDefault*('5. Scenarios'!$E$11-1))+INDEX(BookOneOff,539)*$S544)</f>
        <v/>
      </c>
    </row>
    <row r="545" customFormat="false" ht="15" hidden="false" customHeight="false" outlineLevel="0" collapsed="false">
      <c r="A545" s="0" t="str">
        <f aca="false">IF(INDEX(BookTitle,540)="","",INDEX(BookKey,540))</f>
        <v/>
      </c>
      <c r="B545" s="0" t="str">
        <f aca="false">IF(INDEX(BookTitle,540)="","",INDEX(BookGroup,540))</f>
        <v/>
      </c>
      <c r="C545" s="0" t="str">
        <f aca="false">IF(INDEX(BookTitle,540)="","",INDEX(BookCategory,540))</f>
        <v/>
      </c>
      <c r="D545" s="56" t="str">
        <f aca="false">IF(INDEX(BookTitle,540)="","",INDEX(BookTotal,540)*'5. Scenarios'!$B$6/(1+ProductivityDefault*('5. Scenarios'!$B$11-1)))</f>
        <v/>
      </c>
      <c r="E545" s="57" t="str">
        <f aca="false">IF($D545="","",INDEX(BookRate,540)*(1+'5. Scenarios'!$B$10)*$D545)</f>
        <v/>
      </c>
      <c r="F545" s="57" t="str">
        <f aca="false">IF($E545="","",SUMIFS($E$6:$E$2405,$A$6:$A$2405,"&lt;="&amp;$A545))</f>
        <v/>
      </c>
      <c r="G545" s="57" t="str">
        <f aca="false">IF($E545="","",IF($F545&lt;=BankCostEnvelope*'5. Scenarios'!$B$7,1,0))</f>
        <v/>
      </c>
      <c r="H545" s="57" t="str">
        <f aca="false">IF($D545="","",INDEX(BookRate,540)*(1+'5. Scenarios'!$B$10)*(INDEX(BookQ1,540)*(5-MIN(4,1+'5. Scenarios'!$B$8))/4+INDEX(BookQ2,540)*(5-MIN(4,2+'5. Scenarios'!$B$8))/4+INDEX(BookQ3,540)*(5-MIN(4,3+'5. Scenarios'!$B$8))/4+INDEX(BookQ4,540)*(5-MIN(4,4+'5. Scenarios'!$B$8))/4)*'5. Scenarios'!$B$6/(1+ProductivityDefault*('5. Scenarios'!$B$11-1))+INDEX(BookOneOff,540)*$D545)</f>
        <v/>
      </c>
      <c r="I545" s="56" t="str">
        <f aca="false">IF(INDEX(BookTitle,540)="","",INDEX(BookTotal,540)*'5. Scenarios'!$C$6/(1+ProductivityDefault*('5. Scenarios'!$C$11-1)))</f>
        <v/>
      </c>
      <c r="J545" s="57" t="str">
        <f aca="false">IF($I545="","",INDEX(BookRate,540)*(1+'5. Scenarios'!$C$10)*$I545)</f>
        <v/>
      </c>
      <c r="K545" s="57" t="str">
        <f aca="false">IF($J545="","",SUMIFS($J$6:$J$2405,$A$6:$A$2405,"&lt;="&amp;$A545))</f>
        <v/>
      </c>
      <c r="L545" s="57" t="str">
        <f aca="false">IF($J545="","",IF($K545&lt;=BankCostEnvelope*'5. Scenarios'!$C$7,1,0))</f>
        <v/>
      </c>
      <c r="M545" s="57" t="str">
        <f aca="false">IF($I545="","",INDEX(BookRate,540)*(1+'5. Scenarios'!$C$10)*(INDEX(BookQ1,540)*(5-MIN(4,1+'5. Scenarios'!$C$8))/4+INDEX(BookQ2,540)*(5-MIN(4,2+'5. Scenarios'!$C$8))/4+INDEX(BookQ3,540)*(5-MIN(4,3+'5. Scenarios'!$C$8))/4+INDEX(BookQ4,540)*(5-MIN(4,4+'5. Scenarios'!$C$8))/4)*'5. Scenarios'!$C$6/(1+ProductivityDefault*('5. Scenarios'!$C$11-1))+INDEX(BookOneOff,540)*$I545)</f>
        <v/>
      </c>
      <c r="N545" s="56" t="str">
        <f aca="false">IF(INDEX(BookTitle,540)="","",INDEX(BookTotal,540)*'5. Scenarios'!$D$6/(1+ProductivityDefault*('5. Scenarios'!$D$11-1)))</f>
        <v/>
      </c>
      <c r="O545" s="57" t="str">
        <f aca="false">IF($N545="","",INDEX(BookRate,540)*(1+'5. Scenarios'!$D$10)*$N545)</f>
        <v/>
      </c>
      <c r="P545" s="57" t="str">
        <f aca="false">IF($O545="","",SUMIFS($O$6:$O$2405,$A$6:$A$2405,"&lt;="&amp;$A545))</f>
        <v/>
      </c>
      <c r="Q545" s="57" t="str">
        <f aca="false">IF($O545="","",IF($P545&lt;=BankCostEnvelope*'5. Scenarios'!$D$7,1,0))</f>
        <v/>
      </c>
      <c r="R545" s="57" t="str">
        <f aca="false">IF($N545="","",INDEX(BookRate,540)*(1+'5. Scenarios'!$D$10)*(INDEX(BookQ1,540)*(5-MIN(4,1+'5. Scenarios'!$D$8))/4+INDEX(BookQ2,540)*(5-MIN(4,2+'5. Scenarios'!$D$8))/4+INDEX(BookQ3,540)*(5-MIN(4,3+'5. Scenarios'!$D$8))/4+INDEX(BookQ4,540)*(5-MIN(4,4+'5. Scenarios'!$D$8))/4)*'5. Scenarios'!$D$6/(1+ProductivityDefault*('5. Scenarios'!$D$11-1))+INDEX(BookOneOff,540)*$N545)</f>
        <v/>
      </c>
      <c r="S545" s="56" t="str">
        <f aca="false">IF(INDEX(BookTitle,540)="","",INDEX(BookTotal,540)*'5. Scenarios'!$E$6/(1+ProductivityDefault*('5. Scenarios'!$E$11-1)))</f>
        <v/>
      </c>
      <c r="T545" s="57" t="str">
        <f aca="false">IF($S545="","",INDEX(BookRate,540)*(1+'5. Scenarios'!$E$10)*$S545)</f>
        <v/>
      </c>
      <c r="U545" s="57" t="str">
        <f aca="false">IF($T545="","",SUMIFS($T$6:$T$2405,$A$6:$A$2405,"&lt;="&amp;$A545))</f>
        <v/>
      </c>
      <c r="V545" s="57" t="str">
        <f aca="false">IF($T545="","",IF($U545&lt;=BankCostEnvelope*'5. Scenarios'!$E$7,1,0))</f>
        <v/>
      </c>
      <c r="W545" s="57" t="str">
        <f aca="false">IF($S545="","",INDEX(BookRate,540)*(1+'5. Scenarios'!$E$10)*(INDEX(BookQ1,540)*(5-MIN(4,1+'5. Scenarios'!$E$8))/4+INDEX(BookQ2,540)*(5-MIN(4,2+'5. Scenarios'!$E$8))/4+INDEX(BookQ3,540)*(5-MIN(4,3+'5. Scenarios'!$E$8))/4+INDEX(BookQ4,540)*(5-MIN(4,4+'5. Scenarios'!$E$8))/4)*'5. Scenarios'!$E$6/(1+ProductivityDefault*('5. Scenarios'!$E$11-1))+INDEX(BookOneOff,540)*$S545)</f>
        <v/>
      </c>
    </row>
    <row r="546" customFormat="false" ht="15" hidden="false" customHeight="false" outlineLevel="0" collapsed="false">
      <c r="A546" s="0" t="str">
        <f aca="false">IF(INDEX(BookTitle,541)="","",INDEX(BookKey,541))</f>
        <v/>
      </c>
      <c r="B546" s="0" t="str">
        <f aca="false">IF(INDEX(BookTitle,541)="","",INDEX(BookGroup,541))</f>
        <v/>
      </c>
      <c r="C546" s="0" t="str">
        <f aca="false">IF(INDEX(BookTitle,541)="","",INDEX(BookCategory,541))</f>
        <v/>
      </c>
      <c r="D546" s="56" t="str">
        <f aca="false">IF(INDEX(BookTitle,541)="","",INDEX(BookTotal,541)*'5. Scenarios'!$B$6/(1+ProductivityDefault*('5. Scenarios'!$B$11-1)))</f>
        <v/>
      </c>
      <c r="E546" s="57" t="str">
        <f aca="false">IF($D546="","",INDEX(BookRate,541)*(1+'5. Scenarios'!$B$10)*$D546)</f>
        <v/>
      </c>
      <c r="F546" s="57" t="str">
        <f aca="false">IF($E546="","",SUMIFS($E$6:$E$2405,$A$6:$A$2405,"&lt;="&amp;$A546))</f>
        <v/>
      </c>
      <c r="G546" s="57" t="str">
        <f aca="false">IF($E546="","",IF($F546&lt;=BankCostEnvelope*'5. Scenarios'!$B$7,1,0))</f>
        <v/>
      </c>
      <c r="H546" s="57" t="str">
        <f aca="false">IF($D546="","",INDEX(BookRate,541)*(1+'5. Scenarios'!$B$10)*(INDEX(BookQ1,541)*(5-MIN(4,1+'5. Scenarios'!$B$8))/4+INDEX(BookQ2,541)*(5-MIN(4,2+'5. Scenarios'!$B$8))/4+INDEX(BookQ3,541)*(5-MIN(4,3+'5. Scenarios'!$B$8))/4+INDEX(BookQ4,541)*(5-MIN(4,4+'5. Scenarios'!$B$8))/4)*'5. Scenarios'!$B$6/(1+ProductivityDefault*('5. Scenarios'!$B$11-1))+INDEX(BookOneOff,541)*$D546)</f>
        <v/>
      </c>
      <c r="I546" s="56" t="str">
        <f aca="false">IF(INDEX(BookTitle,541)="","",INDEX(BookTotal,541)*'5. Scenarios'!$C$6/(1+ProductivityDefault*('5. Scenarios'!$C$11-1)))</f>
        <v/>
      </c>
      <c r="J546" s="57" t="str">
        <f aca="false">IF($I546="","",INDEX(BookRate,541)*(1+'5. Scenarios'!$C$10)*$I546)</f>
        <v/>
      </c>
      <c r="K546" s="57" t="str">
        <f aca="false">IF($J546="","",SUMIFS($J$6:$J$2405,$A$6:$A$2405,"&lt;="&amp;$A546))</f>
        <v/>
      </c>
      <c r="L546" s="57" t="str">
        <f aca="false">IF($J546="","",IF($K546&lt;=BankCostEnvelope*'5. Scenarios'!$C$7,1,0))</f>
        <v/>
      </c>
      <c r="M546" s="57" t="str">
        <f aca="false">IF($I546="","",INDEX(BookRate,541)*(1+'5. Scenarios'!$C$10)*(INDEX(BookQ1,541)*(5-MIN(4,1+'5. Scenarios'!$C$8))/4+INDEX(BookQ2,541)*(5-MIN(4,2+'5. Scenarios'!$C$8))/4+INDEX(BookQ3,541)*(5-MIN(4,3+'5. Scenarios'!$C$8))/4+INDEX(BookQ4,541)*(5-MIN(4,4+'5. Scenarios'!$C$8))/4)*'5. Scenarios'!$C$6/(1+ProductivityDefault*('5. Scenarios'!$C$11-1))+INDEX(BookOneOff,541)*$I546)</f>
        <v/>
      </c>
      <c r="N546" s="56" t="str">
        <f aca="false">IF(INDEX(BookTitle,541)="","",INDEX(BookTotal,541)*'5. Scenarios'!$D$6/(1+ProductivityDefault*('5. Scenarios'!$D$11-1)))</f>
        <v/>
      </c>
      <c r="O546" s="57" t="str">
        <f aca="false">IF($N546="","",INDEX(BookRate,541)*(1+'5. Scenarios'!$D$10)*$N546)</f>
        <v/>
      </c>
      <c r="P546" s="57" t="str">
        <f aca="false">IF($O546="","",SUMIFS($O$6:$O$2405,$A$6:$A$2405,"&lt;="&amp;$A546))</f>
        <v/>
      </c>
      <c r="Q546" s="57" t="str">
        <f aca="false">IF($O546="","",IF($P546&lt;=BankCostEnvelope*'5. Scenarios'!$D$7,1,0))</f>
        <v/>
      </c>
      <c r="R546" s="57" t="str">
        <f aca="false">IF($N546="","",INDEX(BookRate,541)*(1+'5. Scenarios'!$D$10)*(INDEX(BookQ1,541)*(5-MIN(4,1+'5. Scenarios'!$D$8))/4+INDEX(BookQ2,541)*(5-MIN(4,2+'5. Scenarios'!$D$8))/4+INDEX(BookQ3,541)*(5-MIN(4,3+'5. Scenarios'!$D$8))/4+INDEX(BookQ4,541)*(5-MIN(4,4+'5. Scenarios'!$D$8))/4)*'5. Scenarios'!$D$6/(1+ProductivityDefault*('5. Scenarios'!$D$11-1))+INDEX(BookOneOff,541)*$N546)</f>
        <v/>
      </c>
      <c r="S546" s="56" t="str">
        <f aca="false">IF(INDEX(BookTitle,541)="","",INDEX(BookTotal,541)*'5. Scenarios'!$E$6/(1+ProductivityDefault*('5. Scenarios'!$E$11-1)))</f>
        <v/>
      </c>
      <c r="T546" s="57" t="str">
        <f aca="false">IF($S546="","",INDEX(BookRate,541)*(1+'5. Scenarios'!$E$10)*$S546)</f>
        <v/>
      </c>
      <c r="U546" s="57" t="str">
        <f aca="false">IF($T546="","",SUMIFS($T$6:$T$2405,$A$6:$A$2405,"&lt;="&amp;$A546))</f>
        <v/>
      </c>
      <c r="V546" s="57" t="str">
        <f aca="false">IF($T546="","",IF($U546&lt;=BankCostEnvelope*'5. Scenarios'!$E$7,1,0))</f>
        <v/>
      </c>
      <c r="W546" s="57" t="str">
        <f aca="false">IF($S546="","",INDEX(BookRate,541)*(1+'5. Scenarios'!$E$10)*(INDEX(BookQ1,541)*(5-MIN(4,1+'5. Scenarios'!$E$8))/4+INDEX(BookQ2,541)*(5-MIN(4,2+'5. Scenarios'!$E$8))/4+INDEX(BookQ3,541)*(5-MIN(4,3+'5. Scenarios'!$E$8))/4+INDEX(BookQ4,541)*(5-MIN(4,4+'5. Scenarios'!$E$8))/4)*'5. Scenarios'!$E$6/(1+ProductivityDefault*('5. Scenarios'!$E$11-1))+INDEX(BookOneOff,541)*$S546)</f>
        <v/>
      </c>
    </row>
    <row r="547" customFormat="false" ht="15" hidden="false" customHeight="false" outlineLevel="0" collapsed="false">
      <c r="A547" s="0" t="str">
        <f aca="false">IF(INDEX(BookTitle,542)="","",INDEX(BookKey,542))</f>
        <v/>
      </c>
      <c r="B547" s="0" t="str">
        <f aca="false">IF(INDEX(BookTitle,542)="","",INDEX(BookGroup,542))</f>
        <v/>
      </c>
      <c r="C547" s="0" t="str">
        <f aca="false">IF(INDEX(BookTitle,542)="","",INDEX(BookCategory,542))</f>
        <v/>
      </c>
      <c r="D547" s="56" t="str">
        <f aca="false">IF(INDEX(BookTitle,542)="","",INDEX(BookTotal,542)*'5. Scenarios'!$B$6/(1+ProductivityDefault*('5. Scenarios'!$B$11-1)))</f>
        <v/>
      </c>
      <c r="E547" s="57" t="str">
        <f aca="false">IF($D547="","",INDEX(BookRate,542)*(1+'5. Scenarios'!$B$10)*$D547)</f>
        <v/>
      </c>
      <c r="F547" s="57" t="str">
        <f aca="false">IF($E547="","",SUMIFS($E$6:$E$2405,$A$6:$A$2405,"&lt;="&amp;$A547))</f>
        <v/>
      </c>
      <c r="G547" s="57" t="str">
        <f aca="false">IF($E547="","",IF($F547&lt;=BankCostEnvelope*'5. Scenarios'!$B$7,1,0))</f>
        <v/>
      </c>
      <c r="H547" s="57" t="str">
        <f aca="false">IF($D547="","",INDEX(BookRate,542)*(1+'5. Scenarios'!$B$10)*(INDEX(BookQ1,542)*(5-MIN(4,1+'5. Scenarios'!$B$8))/4+INDEX(BookQ2,542)*(5-MIN(4,2+'5. Scenarios'!$B$8))/4+INDEX(BookQ3,542)*(5-MIN(4,3+'5. Scenarios'!$B$8))/4+INDEX(BookQ4,542)*(5-MIN(4,4+'5. Scenarios'!$B$8))/4)*'5. Scenarios'!$B$6/(1+ProductivityDefault*('5. Scenarios'!$B$11-1))+INDEX(BookOneOff,542)*$D547)</f>
        <v/>
      </c>
      <c r="I547" s="56" t="str">
        <f aca="false">IF(INDEX(BookTitle,542)="","",INDEX(BookTotal,542)*'5. Scenarios'!$C$6/(1+ProductivityDefault*('5. Scenarios'!$C$11-1)))</f>
        <v/>
      </c>
      <c r="J547" s="57" t="str">
        <f aca="false">IF($I547="","",INDEX(BookRate,542)*(1+'5. Scenarios'!$C$10)*$I547)</f>
        <v/>
      </c>
      <c r="K547" s="57" t="str">
        <f aca="false">IF($J547="","",SUMIFS($J$6:$J$2405,$A$6:$A$2405,"&lt;="&amp;$A547))</f>
        <v/>
      </c>
      <c r="L547" s="57" t="str">
        <f aca="false">IF($J547="","",IF($K547&lt;=BankCostEnvelope*'5. Scenarios'!$C$7,1,0))</f>
        <v/>
      </c>
      <c r="M547" s="57" t="str">
        <f aca="false">IF($I547="","",INDEX(BookRate,542)*(1+'5. Scenarios'!$C$10)*(INDEX(BookQ1,542)*(5-MIN(4,1+'5. Scenarios'!$C$8))/4+INDEX(BookQ2,542)*(5-MIN(4,2+'5. Scenarios'!$C$8))/4+INDEX(BookQ3,542)*(5-MIN(4,3+'5. Scenarios'!$C$8))/4+INDEX(BookQ4,542)*(5-MIN(4,4+'5. Scenarios'!$C$8))/4)*'5. Scenarios'!$C$6/(1+ProductivityDefault*('5. Scenarios'!$C$11-1))+INDEX(BookOneOff,542)*$I547)</f>
        <v/>
      </c>
      <c r="N547" s="56" t="str">
        <f aca="false">IF(INDEX(BookTitle,542)="","",INDEX(BookTotal,542)*'5. Scenarios'!$D$6/(1+ProductivityDefault*('5. Scenarios'!$D$11-1)))</f>
        <v/>
      </c>
      <c r="O547" s="57" t="str">
        <f aca="false">IF($N547="","",INDEX(BookRate,542)*(1+'5. Scenarios'!$D$10)*$N547)</f>
        <v/>
      </c>
      <c r="P547" s="57" t="str">
        <f aca="false">IF($O547="","",SUMIFS($O$6:$O$2405,$A$6:$A$2405,"&lt;="&amp;$A547))</f>
        <v/>
      </c>
      <c r="Q547" s="57" t="str">
        <f aca="false">IF($O547="","",IF($P547&lt;=BankCostEnvelope*'5. Scenarios'!$D$7,1,0))</f>
        <v/>
      </c>
      <c r="R547" s="57" t="str">
        <f aca="false">IF($N547="","",INDEX(BookRate,542)*(1+'5. Scenarios'!$D$10)*(INDEX(BookQ1,542)*(5-MIN(4,1+'5. Scenarios'!$D$8))/4+INDEX(BookQ2,542)*(5-MIN(4,2+'5. Scenarios'!$D$8))/4+INDEX(BookQ3,542)*(5-MIN(4,3+'5. Scenarios'!$D$8))/4+INDEX(BookQ4,542)*(5-MIN(4,4+'5. Scenarios'!$D$8))/4)*'5. Scenarios'!$D$6/(1+ProductivityDefault*('5. Scenarios'!$D$11-1))+INDEX(BookOneOff,542)*$N547)</f>
        <v/>
      </c>
      <c r="S547" s="56" t="str">
        <f aca="false">IF(INDEX(BookTitle,542)="","",INDEX(BookTotal,542)*'5. Scenarios'!$E$6/(1+ProductivityDefault*('5. Scenarios'!$E$11-1)))</f>
        <v/>
      </c>
      <c r="T547" s="57" t="str">
        <f aca="false">IF($S547="","",INDEX(BookRate,542)*(1+'5. Scenarios'!$E$10)*$S547)</f>
        <v/>
      </c>
      <c r="U547" s="57" t="str">
        <f aca="false">IF($T547="","",SUMIFS($T$6:$T$2405,$A$6:$A$2405,"&lt;="&amp;$A547))</f>
        <v/>
      </c>
      <c r="V547" s="57" t="str">
        <f aca="false">IF($T547="","",IF($U547&lt;=BankCostEnvelope*'5. Scenarios'!$E$7,1,0))</f>
        <v/>
      </c>
      <c r="W547" s="57" t="str">
        <f aca="false">IF($S547="","",INDEX(BookRate,542)*(1+'5. Scenarios'!$E$10)*(INDEX(BookQ1,542)*(5-MIN(4,1+'5. Scenarios'!$E$8))/4+INDEX(BookQ2,542)*(5-MIN(4,2+'5. Scenarios'!$E$8))/4+INDEX(BookQ3,542)*(5-MIN(4,3+'5. Scenarios'!$E$8))/4+INDEX(BookQ4,542)*(5-MIN(4,4+'5. Scenarios'!$E$8))/4)*'5. Scenarios'!$E$6/(1+ProductivityDefault*('5. Scenarios'!$E$11-1))+INDEX(BookOneOff,542)*$S547)</f>
        <v/>
      </c>
    </row>
    <row r="548" customFormat="false" ht="15" hidden="false" customHeight="false" outlineLevel="0" collapsed="false">
      <c r="A548" s="0" t="str">
        <f aca="false">IF(INDEX(BookTitle,543)="","",INDEX(BookKey,543))</f>
        <v/>
      </c>
      <c r="B548" s="0" t="str">
        <f aca="false">IF(INDEX(BookTitle,543)="","",INDEX(BookGroup,543))</f>
        <v/>
      </c>
      <c r="C548" s="0" t="str">
        <f aca="false">IF(INDEX(BookTitle,543)="","",INDEX(BookCategory,543))</f>
        <v/>
      </c>
      <c r="D548" s="56" t="str">
        <f aca="false">IF(INDEX(BookTitle,543)="","",INDEX(BookTotal,543)*'5. Scenarios'!$B$6/(1+ProductivityDefault*('5. Scenarios'!$B$11-1)))</f>
        <v/>
      </c>
      <c r="E548" s="57" t="str">
        <f aca="false">IF($D548="","",INDEX(BookRate,543)*(1+'5. Scenarios'!$B$10)*$D548)</f>
        <v/>
      </c>
      <c r="F548" s="57" t="str">
        <f aca="false">IF($E548="","",SUMIFS($E$6:$E$2405,$A$6:$A$2405,"&lt;="&amp;$A548))</f>
        <v/>
      </c>
      <c r="G548" s="57" t="str">
        <f aca="false">IF($E548="","",IF($F548&lt;=BankCostEnvelope*'5. Scenarios'!$B$7,1,0))</f>
        <v/>
      </c>
      <c r="H548" s="57" t="str">
        <f aca="false">IF($D548="","",INDEX(BookRate,543)*(1+'5. Scenarios'!$B$10)*(INDEX(BookQ1,543)*(5-MIN(4,1+'5. Scenarios'!$B$8))/4+INDEX(BookQ2,543)*(5-MIN(4,2+'5. Scenarios'!$B$8))/4+INDEX(BookQ3,543)*(5-MIN(4,3+'5. Scenarios'!$B$8))/4+INDEX(BookQ4,543)*(5-MIN(4,4+'5. Scenarios'!$B$8))/4)*'5. Scenarios'!$B$6/(1+ProductivityDefault*('5. Scenarios'!$B$11-1))+INDEX(BookOneOff,543)*$D548)</f>
        <v/>
      </c>
      <c r="I548" s="56" t="str">
        <f aca="false">IF(INDEX(BookTitle,543)="","",INDEX(BookTotal,543)*'5. Scenarios'!$C$6/(1+ProductivityDefault*('5. Scenarios'!$C$11-1)))</f>
        <v/>
      </c>
      <c r="J548" s="57" t="str">
        <f aca="false">IF($I548="","",INDEX(BookRate,543)*(1+'5. Scenarios'!$C$10)*$I548)</f>
        <v/>
      </c>
      <c r="K548" s="57" t="str">
        <f aca="false">IF($J548="","",SUMIFS($J$6:$J$2405,$A$6:$A$2405,"&lt;="&amp;$A548))</f>
        <v/>
      </c>
      <c r="L548" s="57" t="str">
        <f aca="false">IF($J548="","",IF($K548&lt;=BankCostEnvelope*'5. Scenarios'!$C$7,1,0))</f>
        <v/>
      </c>
      <c r="M548" s="57" t="str">
        <f aca="false">IF($I548="","",INDEX(BookRate,543)*(1+'5. Scenarios'!$C$10)*(INDEX(BookQ1,543)*(5-MIN(4,1+'5. Scenarios'!$C$8))/4+INDEX(BookQ2,543)*(5-MIN(4,2+'5. Scenarios'!$C$8))/4+INDEX(BookQ3,543)*(5-MIN(4,3+'5. Scenarios'!$C$8))/4+INDEX(BookQ4,543)*(5-MIN(4,4+'5. Scenarios'!$C$8))/4)*'5. Scenarios'!$C$6/(1+ProductivityDefault*('5. Scenarios'!$C$11-1))+INDEX(BookOneOff,543)*$I548)</f>
        <v/>
      </c>
      <c r="N548" s="56" t="str">
        <f aca="false">IF(INDEX(BookTitle,543)="","",INDEX(BookTotal,543)*'5. Scenarios'!$D$6/(1+ProductivityDefault*('5. Scenarios'!$D$11-1)))</f>
        <v/>
      </c>
      <c r="O548" s="57" t="str">
        <f aca="false">IF($N548="","",INDEX(BookRate,543)*(1+'5. Scenarios'!$D$10)*$N548)</f>
        <v/>
      </c>
      <c r="P548" s="57" t="str">
        <f aca="false">IF($O548="","",SUMIFS($O$6:$O$2405,$A$6:$A$2405,"&lt;="&amp;$A548))</f>
        <v/>
      </c>
      <c r="Q548" s="57" t="str">
        <f aca="false">IF($O548="","",IF($P548&lt;=BankCostEnvelope*'5. Scenarios'!$D$7,1,0))</f>
        <v/>
      </c>
      <c r="R548" s="57" t="str">
        <f aca="false">IF($N548="","",INDEX(BookRate,543)*(1+'5. Scenarios'!$D$10)*(INDEX(BookQ1,543)*(5-MIN(4,1+'5. Scenarios'!$D$8))/4+INDEX(BookQ2,543)*(5-MIN(4,2+'5. Scenarios'!$D$8))/4+INDEX(BookQ3,543)*(5-MIN(4,3+'5. Scenarios'!$D$8))/4+INDEX(BookQ4,543)*(5-MIN(4,4+'5. Scenarios'!$D$8))/4)*'5. Scenarios'!$D$6/(1+ProductivityDefault*('5. Scenarios'!$D$11-1))+INDEX(BookOneOff,543)*$N548)</f>
        <v/>
      </c>
      <c r="S548" s="56" t="str">
        <f aca="false">IF(INDEX(BookTitle,543)="","",INDEX(BookTotal,543)*'5. Scenarios'!$E$6/(1+ProductivityDefault*('5. Scenarios'!$E$11-1)))</f>
        <v/>
      </c>
      <c r="T548" s="57" t="str">
        <f aca="false">IF($S548="","",INDEX(BookRate,543)*(1+'5. Scenarios'!$E$10)*$S548)</f>
        <v/>
      </c>
      <c r="U548" s="57" t="str">
        <f aca="false">IF($T548="","",SUMIFS($T$6:$T$2405,$A$6:$A$2405,"&lt;="&amp;$A548))</f>
        <v/>
      </c>
      <c r="V548" s="57" t="str">
        <f aca="false">IF($T548="","",IF($U548&lt;=BankCostEnvelope*'5. Scenarios'!$E$7,1,0))</f>
        <v/>
      </c>
      <c r="W548" s="57" t="str">
        <f aca="false">IF($S548="","",INDEX(BookRate,543)*(1+'5. Scenarios'!$E$10)*(INDEX(BookQ1,543)*(5-MIN(4,1+'5. Scenarios'!$E$8))/4+INDEX(BookQ2,543)*(5-MIN(4,2+'5. Scenarios'!$E$8))/4+INDEX(BookQ3,543)*(5-MIN(4,3+'5. Scenarios'!$E$8))/4+INDEX(BookQ4,543)*(5-MIN(4,4+'5. Scenarios'!$E$8))/4)*'5. Scenarios'!$E$6/(1+ProductivityDefault*('5. Scenarios'!$E$11-1))+INDEX(BookOneOff,543)*$S548)</f>
        <v/>
      </c>
    </row>
    <row r="549" customFormat="false" ht="15" hidden="false" customHeight="false" outlineLevel="0" collapsed="false">
      <c r="A549" s="0" t="str">
        <f aca="false">IF(INDEX(BookTitle,544)="","",INDEX(BookKey,544))</f>
        <v/>
      </c>
      <c r="B549" s="0" t="str">
        <f aca="false">IF(INDEX(BookTitle,544)="","",INDEX(BookGroup,544))</f>
        <v/>
      </c>
      <c r="C549" s="0" t="str">
        <f aca="false">IF(INDEX(BookTitle,544)="","",INDEX(BookCategory,544))</f>
        <v/>
      </c>
      <c r="D549" s="56" t="str">
        <f aca="false">IF(INDEX(BookTitle,544)="","",INDEX(BookTotal,544)*'5. Scenarios'!$B$6/(1+ProductivityDefault*('5. Scenarios'!$B$11-1)))</f>
        <v/>
      </c>
      <c r="E549" s="57" t="str">
        <f aca="false">IF($D549="","",INDEX(BookRate,544)*(1+'5. Scenarios'!$B$10)*$D549)</f>
        <v/>
      </c>
      <c r="F549" s="57" t="str">
        <f aca="false">IF($E549="","",SUMIFS($E$6:$E$2405,$A$6:$A$2405,"&lt;="&amp;$A549))</f>
        <v/>
      </c>
      <c r="G549" s="57" t="str">
        <f aca="false">IF($E549="","",IF($F549&lt;=BankCostEnvelope*'5. Scenarios'!$B$7,1,0))</f>
        <v/>
      </c>
      <c r="H549" s="57" t="str">
        <f aca="false">IF($D549="","",INDEX(BookRate,544)*(1+'5. Scenarios'!$B$10)*(INDEX(BookQ1,544)*(5-MIN(4,1+'5. Scenarios'!$B$8))/4+INDEX(BookQ2,544)*(5-MIN(4,2+'5. Scenarios'!$B$8))/4+INDEX(BookQ3,544)*(5-MIN(4,3+'5. Scenarios'!$B$8))/4+INDEX(BookQ4,544)*(5-MIN(4,4+'5. Scenarios'!$B$8))/4)*'5. Scenarios'!$B$6/(1+ProductivityDefault*('5. Scenarios'!$B$11-1))+INDEX(BookOneOff,544)*$D549)</f>
        <v/>
      </c>
      <c r="I549" s="56" t="str">
        <f aca="false">IF(INDEX(BookTitle,544)="","",INDEX(BookTotal,544)*'5. Scenarios'!$C$6/(1+ProductivityDefault*('5. Scenarios'!$C$11-1)))</f>
        <v/>
      </c>
      <c r="J549" s="57" t="str">
        <f aca="false">IF($I549="","",INDEX(BookRate,544)*(1+'5. Scenarios'!$C$10)*$I549)</f>
        <v/>
      </c>
      <c r="K549" s="57" t="str">
        <f aca="false">IF($J549="","",SUMIFS($J$6:$J$2405,$A$6:$A$2405,"&lt;="&amp;$A549))</f>
        <v/>
      </c>
      <c r="L549" s="57" t="str">
        <f aca="false">IF($J549="","",IF($K549&lt;=BankCostEnvelope*'5. Scenarios'!$C$7,1,0))</f>
        <v/>
      </c>
      <c r="M549" s="57" t="str">
        <f aca="false">IF($I549="","",INDEX(BookRate,544)*(1+'5. Scenarios'!$C$10)*(INDEX(BookQ1,544)*(5-MIN(4,1+'5. Scenarios'!$C$8))/4+INDEX(BookQ2,544)*(5-MIN(4,2+'5. Scenarios'!$C$8))/4+INDEX(BookQ3,544)*(5-MIN(4,3+'5. Scenarios'!$C$8))/4+INDEX(BookQ4,544)*(5-MIN(4,4+'5. Scenarios'!$C$8))/4)*'5. Scenarios'!$C$6/(1+ProductivityDefault*('5. Scenarios'!$C$11-1))+INDEX(BookOneOff,544)*$I549)</f>
        <v/>
      </c>
      <c r="N549" s="56" t="str">
        <f aca="false">IF(INDEX(BookTitle,544)="","",INDEX(BookTotal,544)*'5. Scenarios'!$D$6/(1+ProductivityDefault*('5. Scenarios'!$D$11-1)))</f>
        <v/>
      </c>
      <c r="O549" s="57" t="str">
        <f aca="false">IF($N549="","",INDEX(BookRate,544)*(1+'5. Scenarios'!$D$10)*$N549)</f>
        <v/>
      </c>
      <c r="P549" s="57" t="str">
        <f aca="false">IF($O549="","",SUMIFS($O$6:$O$2405,$A$6:$A$2405,"&lt;="&amp;$A549))</f>
        <v/>
      </c>
      <c r="Q549" s="57" t="str">
        <f aca="false">IF($O549="","",IF($P549&lt;=BankCostEnvelope*'5. Scenarios'!$D$7,1,0))</f>
        <v/>
      </c>
      <c r="R549" s="57" t="str">
        <f aca="false">IF($N549="","",INDEX(BookRate,544)*(1+'5. Scenarios'!$D$10)*(INDEX(BookQ1,544)*(5-MIN(4,1+'5. Scenarios'!$D$8))/4+INDEX(BookQ2,544)*(5-MIN(4,2+'5. Scenarios'!$D$8))/4+INDEX(BookQ3,544)*(5-MIN(4,3+'5. Scenarios'!$D$8))/4+INDEX(BookQ4,544)*(5-MIN(4,4+'5. Scenarios'!$D$8))/4)*'5. Scenarios'!$D$6/(1+ProductivityDefault*('5. Scenarios'!$D$11-1))+INDEX(BookOneOff,544)*$N549)</f>
        <v/>
      </c>
      <c r="S549" s="56" t="str">
        <f aca="false">IF(INDEX(BookTitle,544)="","",INDEX(BookTotal,544)*'5. Scenarios'!$E$6/(1+ProductivityDefault*('5. Scenarios'!$E$11-1)))</f>
        <v/>
      </c>
      <c r="T549" s="57" t="str">
        <f aca="false">IF($S549="","",INDEX(BookRate,544)*(1+'5. Scenarios'!$E$10)*$S549)</f>
        <v/>
      </c>
      <c r="U549" s="57" t="str">
        <f aca="false">IF($T549="","",SUMIFS($T$6:$T$2405,$A$6:$A$2405,"&lt;="&amp;$A549))</f>
        <v/>
      </c>
      <c r="V549" s="57" t="str">
        <f aca="false">IF($T549="","",IF($U549&lt;=BankCostEnvelope*'5. Scenarios'!$E$7,1,0))</f>
        <v/>
      </c>
      <c r="W549" s="57" t="str">
        <f aca="false">IF($S549="","",INDEX(BookRate,544)*(1+'5. Scenarios'!$E$10)*(INDEX(BookQ1,544)*(5-MIN(4,1+'5. Scenarios'!$E$8))/4+INDEX(BookQ2,544)*(5-MIN(4,2+'5. Scenarios'!$E$8))/4+INDEX(BookQ3,544)*(5-MIN(4,3+'5. Scenarios'!$E$8))/4+INDEX(BookQ4,544)*(5-MIN(4,4+'5. Scenarios'!$E$8))/4)*'5. Scenarios'!$E$6/(1+ProductivityDefault*('5. Scenarios'!$E$11-1))+INDEX(BookOneOff,544)*$S549)</f>
        <v/>
      </c>
    </row>
    <row r="550" customFormat="false" ht="15" hidden="false" customHeight="false" outlineLevel="0" collapsed="false">
      <c r="A550" s="0" t="str">
        <f aca="false">IF(INDEX(BookTitle,545)="","",INDEX(BookKey,545))</f>
        <v/>
      </c>
      <c r="B550" s="0" t="str">
        <f aca="false">IF(INDEX(BookTitle,545)="","",INDEX(BookGroup,545))</f>
        <v/>
      </c>
      <c r="C550" s="0" t="str">
        <f aca="false">IF(INDEX(BookTitle,545)="","",INDEX(BookCategory,545))</f>
        <v/>
      </c>
      <c r="D550" s="56" t="str">
        <f aca="false">IF(INDEX(BookTitle,545)="","",INDEX(BookTotal,545)*'5. Scenarios'!$B$6/(1+ProductivityDefault*('5. Scenarios'!$B$11-1)))</f>
        <v/>
      </c>
      <c r="E550" s="57" t="str">
        <f aca="false">IF($D550="","",INDEX(BookRate,545)*(1+'5. Scenarios'!$B$10)*$D550)</f>
        <v/>
      </c>
      <c r="F550" s="57" t="str">
        <f aca="false">IF($E550="","",SUMIFS($E$6:$E$2405,$A$6:$A$2405,"&lt;="&amp;$A550))</f>
        <v/>
      </c>
      <c r="G550" s="57" t="str">
        <f aca="false">IF($E550="","",IF($F550&lt;=BankCostEnvelope*'5. Scenarios'!$B$7,1,0))</f>
        <v/>
      </c>
      <c r="H550" s="57" t="str">
        <f aca="false">IF($D550="","",INDEX(BookRate,545)*(1+'5. Scenarios'!$B$10)*(INDEX(BookQ1,545)*(5-MIN(4,1+'5. Scenarios'!$B$8))/4+INDEX(BookQ2,545)*(5-MIN(4,2+'5. Scenarios'!$B$8))/4+INDEX(BookQ3,545)*(5-MIN(4,3+'5. Scenarios'!$B$8))/4+INDEX(BookQ4,545)*(5-MIN(4,4+'5. Scenarios'!$B$8))/4)*'5. Scenarios'!$B$6/(1+ProductivityDefault*('5. Scenarios'!$B$11-1))+INDEX(BookOneOff,545)*$D550)</f>
        <v/>
      </c>
      <c r="I550" s="56" t="str">
        <f aca="false">IF(INDEX(BookTitle,545)="","",INDEX(BookTotal,545)*'5. Scenarios'!$C$6/(1+ProductivityDefault*('5. Scenarios'!$C$11-1)))</f>
        <v/>
      </c>
      <c r="J550" s="57" t="str">
        <f aca="false">IF($I550="","",INDEX(BookRate,545)*(1+'5. Scenarios'!$C$10)*$I550)</f>
        <v/>
      </c>
      <c r="K550" s="57" t="str">
        <f aca="false">IF($J550="","",SUMIFS($J$6:$J$2405,$A$6:$A$2405,"&lt;="&amp;$A550))</f>
        <v/>
      </c>
      <c r="L550" s="57" t="str">
        <f aca="false">IF($J550="","",IF($K550&lt;=BankCostEnvelope*'5. Scenarios'!$C$7,1,0))</f>
        <v/>
      </c>
      <c r="M550" s="57" t="str">
        <f aca="false">IF($I550="","",INDEX(BookRate,545)*(1+'5. Scenarios'!$C$10)*(INDEX(BookQ1,545)*(5-MIN(4,1+'5. Scenarios'!$C$8))/4+INDEX(BookQ2,545)*(5-MIN(4,2+'5. Scenarios'!$C$8))/4+INDEX(BookQ3,545)*(5-MIN(4,3+'5. Scenarios'!$C$8))/4+INDEX(BookQ4,545)*(5-MIN(4,4+'5. Scenarios'!$C$8))/4)*'5. Scenarios'!$C$6/(1+ProductivityDefault*('5. Scenarios'!$C$11-1))+INDEX(BookOneOff,545)*$I550)</f>
        <v/>
      </c>
      <c r="N550" s="56" t="str">
        <f aca="false">IF(INDEX(BookTitle,545)="","",INDEX(BookTotal,545)*'5. Scenarios'!$D$6/(1+ProductivityDefault*('5. Scenarios'!$D$11-1)))</f>
        <v/>
      </c>
      <c r="O550" s="57" t="str">
        <f aca="false">IF($N550="","",INDEX(BookRate,545)*(1+'5. Scenarios'!$D$10)*$N550)</f>
        <v/>
      </c>
      <c r="P550" s="57" t="str">
        <f aca="false">IF($O550="","",SUMIFS($O$6:$O$2405,$A$6:$A$2405,"&lt;="&amp;$A550))</f>
        <v/>
      </c>
      <c r="Q550" s="57" t="str">
        <f aca="false">IF($O550="","",IF($P550&lt;=BankCostEnvelope*'5. Scenarios'!$D$7,1,0))</f>
        <v/>
      </c>
      <c r="R550" s="57" t="str">
        <f aca="false">IF($N550="","",INDEX(BookRate,545)*(1+'5. Scenarios'!$D$10)*(INDEX(BookQ1,545)*(5-MIN(4,1+'5. Scenarios'!$D$8))/4+INDEX(BookQ2,545)*(5-MIN(4,2+'5. Scenarios'!$D$8))/4+INDEX(BookQ3,545)*(5-MIN(4,3+'5. Scenarios'!$D$8))/4+INDEX(BookQ4,545)*(5-MIN(4,4+'5. Scenarios'!$D$8))/4)*'5. Scenarios'!$D$6/(1+ProductivityDefault*('5. Scenarios'!$D$11-1))+INDEX(BookOneOff,545)*$N550)</f>
        <v/>
      </c>
      <c r="S550" s="56" t="str">
        <f aca="false">IF(INDEX(BookTitle,545)="","",INDEX(BookTotal,545)*'5. Scenarios'!$E$6/(1+ProductivityDefault*('5. Scenarios'!$E$11-1)))</f>
        <v/>
      </c>
      <c r="T550" s="57" t="str">
        <f aca="false">IF($S550="","",INDEX(BookRate,545)*(1+'5. Scenarios'!$E$10)*$S550)</f>
        <v/>
      </c>
      <c r="U550" s="57" t="str">
        <f aca="false">IF($T550="","",SUMIFS($T$6:$T$2405,$A$6:$A$2405,"&lt;="&amp;$A550))</f>
        <v/>
      </c>
      <c r="V550" s="57" t="str">
        <f aca="false">IF($T550="","",IF($U550&lt;=BankCostEnvelope*'5. Scenarios'!$E$7,1,0))</f>
        <v/>
      </c>
      <c r="W550" s="57" t="str">
        <f aca="false">IF($S550="","",INDEX(BookRate,545)*(1+'5. Scenarios'!$E$10)*(INDEX(BookQ1,545)*(5-MIN(4,1+'5. Scenarios'!$E$8))/4+INDEX(BookQ2,545)*(5-MIN(4,2+'5. Scenarios'!$E$8))/4+INDEX(BookQ3,545)*(5-MIN(4,3+'5. Scenarios'!$E$8))/4+INDEX(BookQ4,545)*(5-MIN(4,4+'5. Scenarios'!$E$8))/4)*'5. Scenarios'!$E$6/(1+ProductivityDefault*('5. Scenarios'!$E$11-1))+INDEX(BookOneOff,545)*$S550)</f>
        <v/>
      </c>
    </row>
    <row r="551" customFormat="false" ht="15" hidden="false" customHeight="false" outlineLevel="0" collapsed="false">
      <c r="A551" s="0" t="str">
        <f aca="false">IF(INDEX(BookTitle,546)="","",INDEX(BookKey,546))</f>
        <v/>
      </c>
      <c r="B551" s="0" t="str">
        <f aca="false">IF(INDEX(BookTitle,546)="","",INDEX(BookGroup,546))</f>
        <v/>
      </c>
      <c r="C551" s="0" t="str">
        <f aca="false">IF(INDEX(BookTitle,546)="","",INDEX(BookCategory,546))</f>
        <v/>
      </c>
      <c r="D551" s="56" t="str">
        <f aca="false">IF(INDEX(BookTitle,546)="","",INDEX(BookTotal,546)*'5. Scenarios'!$B$6/(1+ProductivityDefault*('5. Scenarios'!$B$11-1)))</f>
        <v/>
      </c>
      <c r="E551" s="57" t="str">
        <f aca="false">IF($D551="","",INDEX(BookRate,546)*(1+'5. Scenarios'!$B$10)*$D551)</f>
        <v/>
      </c>
      <c r="F551" s="57" t="str">
        <f aca="false">IF($E551="","",SUMIFS($E$6:$E$2405,$A$6:$A$2405,"&lt;="&amp;$A551))</f>
        <v/>
      </c>
      <c r="G551" s="57" t="str">
        <f aca="false">IF($E551="","",IF($F551&lt;=BankCostEnvelope*'5. Scenarios'!$B$7,1,0))</f>
        <v/>
      </c>
      <c r="H551" s="57" t="str">
        <f aca="false">IF($D551="","",INDEX(BookRate,546)*(1+'5. Scenarios'!$B$10)*(INDEX(BookQ1,546)*(5-MIN(4,1+'5. Scenarios'!$B$8))/4+INDEX(BookQ2,546)*(5-MIN(4,2+'5. Scenarios'!$B$8))/4+INDEX(BookQ3,546)*(5-MIN(4,3+'5. Scenarios'!$B$8))/4+INDEX(BookQ4,546)*(5-MIN(4,4+'5. Scenarios'!$B$8))/4)*'5. Scenarios'!$B$6/(1+ProductivityDefault*('5. Scenarios'!$B$11-1))+INDEX(BookOneOff,546)*$D551)</f>
        <v/>
      </c>
      <c r="I551" s="56" t="str">
        <f aca="false">IF(INDEX(BookTitle,546)="","",INDEX(BookTotal,546)*'5. Scenarios'!$C$6/(1+ProductivityDefault*('5. Scenarios'!$C$11-1)))</f>
        <v/>
      </c>
      <c r="J551" s="57" t="str">
        <f aca="false">IF($I551="","",INDEX(BookRate,546)*(1+'5. Scenarios'!$C$10)*$I551)</f>
        <v/>
      </c>
      <c r="K551" s="57" t="str">
        <f aca="false">IF($J551="","",SUMIFS($J$6:$J$2405,$A$6:$A$2405,"&lt;="&amp;$A551))</f>
        <v/>
      </c>
      <c r="L551" s="57" t="str">
        <f aca="false">IF($J551="","",IF($K551&lt;=BankCostEnvelope*'5. Scenarios'!$C$7,1,0))</f>
        <v/>
      </c>
      <c r="M551" s="57" t="str">
        <f aca="false">IF($I551="","",INDEX(BookRate,546)*(1+'5. Scenarios'!$C$10)*(INDEX(BookQ1,546)*(5-MIN(4,1+'5. Scenarios'!$C$8))/4+INDEX(BookQ2,546)*(5-MIN(4,2+'5. Scenarios'!$C$8))/4+INDEX(BookQ3,546)*(5-MIN(4,3+'5. Scenarios'!$C$8))/4+INDEX(BookQ4,546)*(5-MIN(4,4+'5. Scenarios'!$C$8))/4)*'5. Scenarios'!$C$6/(1+ProductivityDefault*('5. Scenarios'!$C$11-1))+INDEX(BookOneOff,546)*$I551)</f>
        <v/>
      </c>
      <c r="N551" s="56" t="str">
        <f aca="false">IF(INDEX(BookTitle,546)="","",INDEX(BookTotal,546)*'5. Scenarios'!$D$6/(1+ProductivityDefault*('5. Scenarios'!$D$11-1)))</f>
        <v/>
      </c>
      <c r="O551" s="57" t="str">
        <f aca="false">IF($N551="","",INDEX(BookRate,546)*(1+'5. Scenarios'!$D$10)*$N551)</f>
        <v/>
      </c>
      <c r="P551" s="57" t="str">
        <f aca="false">IF($O551="","",SUMIFS($O$6:$O$2405,$A$6:$A$2405,"&lt;="&amp;$A551))</f>
        <v/>
      </c>
      <c r="Q551" s="57" t="str">
        <f aca="false">IF($O551="","",IF($P551&lt;=BankCostEnvelope*'5. Scenarios'!$D$7,1,0))</f>
        <v/>
      </c>
      <c r="R551" s="57" t="str">
        <f aca="false">IF($N551="","",INDEX(BookRate,546)*(1+'5. Scenarios'!$D$10)*(INDEX(BookQ1,546)*(5-MIN(4,1+'5. Scenarios'!$D$8))/4+INDEX(BookQ2,546)*(5-MIN(4,2+'5. Scenarios'!$D$8))/4+INDEX(BookQ3,546)*(5-MIN(4,3+'5. Scenarios'!$D$8))/4+INDEX(BookQ4,546)*(5-MIN(4,4+'5. Scenarios'!$D$8))/4)*'5. Scenarios'!$D$6/(1+ProductivityDefault*('5. Scenarios'!$D$11-1))+INDEX(BookOneOff,546)*$N551)</f>
        <v/>
      </c>
      <c r="S551" s="56" t="str">
        <f aca="false">IF(INDEX(BookTitle,546)="","",INDEX(BookTotal,546)*'5. Scenarios'!$E$6/(1+ProductivityDefault*('5. Scenarios'!$E$11-1)))</f>
        <v/>
      </c>
      <c r="T551" s="57" t="str">
        <f aca="false">IF($S551="","",INDEX(BookRate,546)*(1+'5. Scenarios'!$E$10)*$S551)</f>
        <v/>
      </c>
      <c r="U551" s="57" t="str">
        <f aca="false">IF($T551="","",SUMIFS($T$6:$T$2405,$A$6:$A$2405,"&lt;="&amp;$A551))</f>
        <v/>
      </c>
      <c r="V551" s="57" t="str">
        <f aca="false">IF($T551="","",IF($U551&lt;=BankCostEnvelope*'5. Scenarios'!$E$7,1,0))</f>
        <v/>
      </c>
      <c r="W551" s="57" t="str">
        <f aca="false">IF($S551="","",INDEX(BookRate,546)*(1+'5. Scenarios'!$E$10)*(INDEX(BookQ1,546)*(5-MIN(4,1+'5. Scenarios'!$E$8))/4+INDEX(BookQ2,546)*(5-MIN(4,2+'5. Scenarios'!$E$8))/4+INDEX(BookQ3,546)*(5-MIN(4,3+'5. Scenarios'!$E$8))/4+INDEX(BookQ4,546)*(5-MIN(4,4+'5. Scenarios'!$E$8))/4)*'5. Scenarios'!$E$6/(1+ProductivityDefault*('5. Scenarios'!$E$11-1))+INDEX(BookOneOff,546)*$S551)</f>
        <v/>
      </c>
    </row>
    <row r="552" customFormat="false" ht="15" hidden="false" customHeight="false" outlineLevel="0" collapsed="false">
      <c r="A552" s="0" t="str">
        <f aca="false">IF(INDEX(BookTitle,547)="","",INDEX(BookKey,547))</f>
        <v/>
      </c>
      <c r="B552" s="0" t="str">
        <f aca="false">IF(INDEX(BookTitle,547)="","",INDEX(BookGroup,547))</f>
        <v/>
      </c>
      <c r="C552" s="0" t="str">
        <f aca="false">IF(INDEX(BookTitle,547)="","",INDEX(BookCategory,547))</f>
        <v/>
      </c>
      <c r="D552" s="56" t="str">
        <f aca="false">IF(INDEX(BookTitle,547)="","",INDEX(BookTotal,547)*'5. Scenarios'!$B$6/(1+ProductivityDefault*('5. Scenarios'!$B$11-1)))</f>
        <v/>
      </c>
      <c r="E552" s="57" t="str">
        <f aca="false">IF($D552="","",INDEX(BookRate,547)*(1+'5. Scenarios'!$B$10)*$D552)</f>
        <v/>
      </c>
      <c r="F552" s="57" t="str">
        <f aca="false">IF($E552="","",SUMIFS($E$6:$E$2405,$A$6:$A$2405,"&lt;="&amp;$A552))</f>
        <v/>
      </c>
      <c r="G552" s="57" t="str">
        <f aca="false">IF($E552="","",IF($F552&lt;=BankCostEnvelope*'5. Scenarios'!$B$7,1,0))</f>
        <v/>
      </c>
      <c r="H552" s="57" t="str">
        <f aca="false">IF($D552="","",INDEX(BookRate,547)*(1+'5. Scenarios'!$B$10)*(INDEX(BookQ1,547)*(5-MIN(4,1+'5. Scenarios'!$B$8))/4+INDEX(BookQ2,547)*(5-MIN(4,2+'5. Scenarios'!$B$8))/4+INDEX(BookQ3,547)*(5-MIN(4,3+'5. Scenarios'!$B$8))/4+INDEX(BookQ4,547)*(5-MIN(4,4+'5. Scenarios'!$B$8))/4)*'5. Scenarios'!$B$6/(1+ProductivityDefault*('5. Scenarios'!$B$11-1))+INDEX(BookOneOff,547)*$D552)</f>
        <v/>
      </c>
      <c r="I552" s="56" t="str">
        <f aca="false">IF(INDEX(BookTitle,547)="","",INDEX(BookTotal,547)*'5. Scenarios'!$C$6/(1+ProductivityDefault*('5. Scenarios'!$C$11-1)))</f>
        <v/>
      </c>
      <c r="J552" s="57" t="str">
        <f aca="false">IF($I552="","",INDEX(BookRate,547)*(1+'5. Scenarios'!$C$10)*$I552)</f>
        <v/>
      </c>
      <c r="K552" s="57" t="str">
        <f aca="false">IF($J552="","",SUMIFS($J$6:$J$2405,$A$6:$A$2405,"&lt;="&amp;$A552))</f>
        <v/>
      </c>
      <c r="L552" s="57" t="str">
        <f aca="false">IF($J552="","",IF($K552&lt;=BankCostEnvelope*'5. Scenarios'!$C$7,1,0))</f>
        <v/>
      </c>
      <c r="M552" s="57" t="str">
        <f aca="false">IF($I552="","",INDEX(BookRate,547)*(1+'5. Scenarios'!$C$10)*(INDEX(BookQ1,547)*(5-MIN(4,1+'5. Scenarios'!$C$8))/4+INDEX(BookQ2,547)*(5-MIN(4,2+'5. Scenarios'!$C$8))/4+INDEX(BookQ3,547)*(5-MIN(4,3+'5. Scenarios'!$C$8))/4+INDEX(BookQ4,547)*(5-MIN(4,4+'5. Scenarios'!$C$8))/4)*'5. Scenarios'!$C$6/(1+ProductivityDefault*('5. Scenarios'!$C$11-1))+INDEX(BookOneOff,547)*$I552)</f>
        <v/>
      </c>
      <c r="N552" s="56" t="str">
        <f aca="false">IF(INDEX(BookTitle,547)="","",INDEX(BookTotal,547)*'5. Scenarios'!$D$6/(1+ProductivityDefault*('5. Scenarios'!$D$11-1)))</f>
        <v/>
      </c>
      <c r="O552" s="57" t="str">
        <f aca="false">IF($N552="","",INDEX(BookRate,547)*(1+'5. Scenarios'!$D$10)*$N552)</f>
        <v/>
      </c>
      <c r="P552" s="57" t="str">
        <f aca="false">IF($O552="","",SUMIFS($O$6:$O$2405,$A$6:$A$2405,"&lt;="&amp;$A552))</f>
        <v/>
      </c>
      <c r="Q552" s="57" t="str">
        <f aca="false">IF($O552="","",IF($P552&lt;=BankCostEnvelope*'5. Scenarios'!$D$7,1,0))</f>
        <v/>
      </c>
      <c r="R552" s="57" t="str">
        <f aca="false">IF($N552="","",INDEX(BookRate,547)*(1+'5. Scenarios'!$D$10)*(INDEX(BookQ1,547)*(5-MIN(4,1+'5. Scenarios'!$D$8))/4+INDEX(BookQ2,547)*(5-MIN(4,2+'5. Scenarios'!$D$8))/4+INDEX(BookQ3,547)*(5-MIN(4,3+'5. Scenarios'!$D$8))/4+INDEX(BookQ4,547)*(5-MIN(4,4+'5. Scenarios'!$D$8))/4)*'5. Scenarios'!$D$6/(1+ProductivityDefault*('5. Scenarios'!$D$11-1))+INDEX(BookOneOff,547)*$N552)</f>
        <v/>
      </c>
      <c r="S552" s="56" t="str">
        <f aca="false">IF(INDEX(BookTitle,547)="","",INDEX(BookTotal,547)*'5. Scenarios'!$E$6/(1+ProductivityDefault*('5. Scenarios'!$E$11-1)))</f>
        <v/>
      </c>
      <c r="T552" s="57" t="str">
        <f aca="false">IF($S552="","",INDEX(BookRate,547)*(1+'5. Scenarios'!$E$10)*$S552)</f>
        <v/>
      </c>
      <c r="U552" s="57" t="str">
        <f aca="false">IF($T552="","",SUMIFS($T$6:$T$2405,$A$6:$A$2405,"&lt;="&amp;$A552))</f>
        <v/>
      </c>
      <c r="V552" s="57" t="str">
        <f aca="false">IF($T552="","",IF($U552&lt;=BankCostEnvelope*'5. Scenarios'!$E$7,1,0))</f>
        <v/>
      </c>
      <c r="W552" s="57" t="str">
        <f aca="false">IF($S552="","",INDEX(BookRate,547)*(1+'5. Scenarios'!$E$10)*(INDEX(BookQ1,547)*(5-MIN(4,1+'5. Scenarios'!$E$8))/4+INDEX(BookQ2,547)*(5-MIN(4,2+'5. Scenarios'!$E$8))/4+INDEX(BookQ3,547)*(5-MIN(4,3+'5. Scenarios'!$E$8))/4+INDEX(BookQ4,547)*(5-MIN(4,4+'5. Scenarios'!$E$8))/4)*'5. Scenarios'!$E$6/(1+ProductivityDefault*('5. Scenarios'!$E$11-1))+INDEX(BookOneOff,547)*$S552)</f>
        <v/>
      </c>
    </row>
    <row r="553" customFormat="false" ht="15" hidden="false" customHeight="false" outlineLevel="0" collapsed="false">
      <c r="A553" s="0" t="str">
        <f aca="false">IF(INDEX(BookTitle,548)="","",INDEX(BookKey,548))</f>
        <v/>
      </c>
      <c r="B553" s="0" t="str">
        <f aca="false">IF(INDEX(BookTitle,548)="","",INDEX(BookGroup,548))</f>
        <v/>
      </c>
      <c r="C553" s="0" t="str">
        <f aca="false">IF(INDEX(BookTitle,548)="","",INDEX(BookCategory,548))</f>
        <v/>
      </c>
      <c r="D553" s="56" t="str">
        <f aca="false">IF(INDEX(BookTitle,548)="","",INDEX(BookTotal,548)*'5. Scenarios'!$B$6/(1+ProductivityDefault*('5. Scenarios'!$B$11-1)))</f>
        <v/>
      </c>
      <c r="E553" s="57" t="str">
        <f aca="false">IF($D553="","",INDEX(BookRate,548)*(1+'5. Scenarios'!$B$10)*$D553)</f>
        <v/>
      </c>
      <c r="F553" s="57" t="str">
        <f aca="false">IF($E553="","",SUMIFS($E$6:$E$2405,$A$6:$A$2405,"&lt;="&amp;$A553))</f>
        <v/>
      </c>
      <c r="G553" s="57" t="str">
        <f aca="false">IF($E553="","",IF($F553&lt;=BankCostEnvelope*'5. Scenarios'!$B$7,1,0))</f>
        <v/>
      </c>
      <c r="H553" s="57" t="str">
        <f aca="false">IF($D553="","",INDEX(BookRate,548)*(1+'5. Scenarios'!$B$10)*(INDEX(BookQ1,548)*(5-MIN(4,1+'5. Scenarios'!$B$8))/4+INDEX(BookQ2,548)*(5-MIN(4,2+'5. Scenarios'!$B$8))/4+INDEX(BookQ3,548)*(5-MIN(4,3+'5. Scenarios'!$B$8))/4+INDEX(BookQ4,548)*(5-MIN(4,4+'5. Scenarios'!$B$8))/4)*'5. Scenarios'!$B$6/(1+ProductivityDefault*('5. Scenarios'!$B$11-1))+INDEX(BookOneOff,548)*$D553)</f>
        <v/>
      </c>
      <c r="I553" s="56" t="str">
        <f aca="false">IF(INDEX(BookTitle,548)="","",INDEX(BookTotal,548)*'5. Scenarios'!$C$6/(1+ProductivityDefault*('5. Scenarios'!$C$11-1)))</f>
        <v/>
      </c>
      <c r="J553" s="57" t="str">
        <f aca="false">IF($I553="","",INDEX(BookRate,548)*(1+'5. Scenarios'!$C$10)*$I553)</f>
        <v/>
      </c>
      <c r="K553" s="57" t="str">
        <f aca="false">IF($J553="","",SUMIFS($J$6:$J$2405,$A$6:$A$2405,"&lt;="&amp;$A553))</f>
        <v/>
      </c>
      <c r="L553" s="57" t="str">
        <f aca="false">IF($J553="","",IF($K553&lt;=BankCostEnvelope*'5. Scenarios'!$C$7,1,0))</f>
        <v/>
      </c>
      <c r="M553" s="57" t="str">
        <f aca="false">IF($I553="","",INDEX(BookRate,548)*(1+'5. Scenarios'!$C$10)*(INDEX(BookQ1,548)*(5-MIN(4,1+'5. Scenarios'!$C$8))/4+INDEX(BookQ2,548)*(5-MIN(4,2+'5. Scenarios'!$C$8))/4+INDEX(BookQ3,548)*(5-MIN(4,3+'5. Scenarios'!$C$8))/4+INDEX(BookQ4,548)*(5-MIN(4,4+'5. Scenarios'!$C$8))/4)*'5. Scenarios'!$C$6/(1+ProductivityDefault*('5. Scenarios'!$C$11-1))+INDEX(BookOneOff,548)*$I553)</f>
        <v/>
      </c>
      <c r="N553" s="56" t="str">
        <f aca="false">IF(INDEX(BookTitle,548)="","",INDEX(BookTotal,548)*'5. Scenarios'!$D$6/(1+ProductivityDefault*('5. Scenarios'!$D$11-1)))</f>
        <v/>
      </c>
      <c r="O553" s="57" t="str">
        <f aca="false">IF($N553="","",INDEX(BookRate,548)*(1+'5. Scenarios'!$D$10)*$N553)</f>
        <v/>
      </c>
      <c r="P553" s="57" t="str">
        <f aca="false">IF($O553="","",SUMIFS($O$6:$O$2405,$A$6:$A$2405,"&lt;="&amp;$A553))</f>
        <v/>
      </c>
      <c r="Q553" s="57" t="str">
        <f aca="false">IF($O553="","",IF($P553&lt;=BankCostEnvelope*'5. Scenarios'!$D$7,1,0))</f>
        <v/>
      </c>
      <c r="R553" s="57" t="str">
        <f aca="false">IF($N553="","",INDEX(BookRate,548)*(1+'5. Scenarios'!$D$10)*(INDEX(BookQ1,548)*(5-MIN(4,1+'5. Scenarios'!$D$8))/4+INDEX(BookQ2,548)*(5-MIN(4,2+'5. Scenarios'!$D$8))/4+INDEX(BookQ3,548)*(5-MIN(4,3+'5. Scenarios'!$D$8))/4+INDEX(BookQ4,548)*(5-MIN(4,4+'5. Scenarios'!$D$8))/4)*'5. Scenarios'!$D$6/(1+ProductivityDefault*('5. Scenarios'!$D$11-1))+INDEX(BookOneOff,548)*$N553)</f>
        <v/>
      </c>
      <c r="S553" s="56" t="str">
        <f aca="false">IF(INDEX(BookTitle,548)="","",INDEX(BookTotal,548)*'5. Scenarios'!$E$6/(1+ProductivityDefault*('5. Scenarios'!$E$11-1)))</f>
        <v/>
      </c>
      <c r="T553" s="57" t="str">
        <f aca="false">IF($S553="","",INDEX(BookRate,548)*(1+'5. Scenarios'!$E$10)*$S553)</f>
        <v/>
      </c>
      <c r="U553" s="57" t="str">
        <f aca="false">IF($T553="","",SUMIFS($T$6:$T$2405,$A$6:$A$2405,"&lt;="&amp;$A553))</f>
        <v/>
      </c>
      <c r="V553" s="57" t="str">
        <f aca="false">IF($T553="","",IF($U553&lt;=BankCostEnvelope*'5. Scenarios'!$E$7,1,0))</f>
        <v/>
      </c>
      <c r="W553" s="57" t="str">
        <f aca="false">IF($S553="","",INDEX(BookRate,548)*(1+'5. Scenarios'!$E$10)*(INDEX(BookQ1,548)*(5-MIN(4,1+'5. Scenarios'!$E$8))/4+INDEX(BookQ2,548)*(5-MIN(4,2+'5. Scenarios'!$E$8))/4+INDEX(BookQ3,548)*(5-MIN(4,3+'5. Scenarios'!$E$8))/4+INDEX(BookQ4,548)*(5-MIN(4,4+'5. Scenarios'!$E$8))/4)*'5. Scenarios'!$E$6/(1+ProductivityDefault*('5. Scenarios'!$E$11-1))+INDEX(BookOneOff,548)*$S553)</f>
        <v/>
      </c>
    </row>
    <row r="554" customFormat="false" ht="15" hidden="false" customHeight="false" outlineLevel="0" collapsed="false">
      <c r="A554" s="0" t="str">
        <f aca="false">IF(INDEX(BookTitle,549)="","",INDEX(BookKey,549))</f>
        <v/>
      </c>
      <c r="B554" s="0" t="str">
        <f aca="false">IF(INDEX(BookTitle,549)="","",INDEX(BookGroup,549))</f>
        <v/>
      </c>
      <c r="C554" s="0" t="str">
        <f aca="false">IF(INDEX(BookTitle,549)="","",INDEX(BookCategory,549))</f>
        <v/>
      </c>
      <c r="D554" s="56" t="str">
        <f aca="false">IF(INDEX(BookTitle,549)="","",INDEX(BookTotal,549)*'5. Scenarios'!$B$6/(1+ProductivityDefault*('5. Scenarios'!$B$11-1)))</f>
        <v/>
      </c>
      <c r="E554" s="57" t="str">
        <f aca="false">IF($D554="","",INDEX(BookRate,549)*(1+'5. Scenarios'!$B$10)*$D554)</f>
        <v/>
      </c>
      <c r="F554" s="57" t="str">
        <f aca="false">IF($E554="","",SUMIFS($E$6:$E$2405,$A$6:$A$2405,"&lt;="&amp;$A554))</f>
        <v/>
      </c>
      <c r="G554" s="57" t="str">
        <f aca="false">IF($E554="","",IF($F554&lt;=BankCostEnvelope*'5. Scenarios'!$B$7,1,0))</f>
        <v/>
      </c>
      <c r="H554" s="57" t="str">
        <f aca="false">IF($D554="","",INDEX(BookRate,549)*(1+'5. Scenarios'!$B$10)*(INDEX(BookQ1,549)*(5-MIN(4,1+'5. Scenarios'!$B$8))/4+INDEX(BookQ2,549)*(5-MIN(4,2+'5. Scenarios'!$B$8))/4+INDEX(BookQ3,549)*(5-MIN(4,3+'5. Scenarios'!$B$8))/4+INDEX(BookQ4,549)*(5-MIN(4,4+'5. Scenarios'!$B$8))/4)*'5. Scenarios'!$B$6/(1+ProductivityDefault*('5. Scenarios'!$B$11-1))+INDEX(BookOneOff,549)*$D554)</f>
        <v/>
      </c>
      <c r="I554" s="56" t="str">
        <f aca="false">IF(INDEX(BookTitle,549)="","",INDEX(BookTotal,549)*'5. Scenarios'!$C$6/(1+ProductivityDefault*('5. Scenarios'!$C$11-1)))</f>
        <v/>
      </c>
      <c r="J554" s="57" t="str">
        <f aca="false">IF($I554="","",INDEX(BookRate,549)*(1+'5. Scenarios'!$C$10)*$I554)</f>
        <v/>
      </c>
      <c r="K554" s="57" t="str">
        <f aca="false">IF($J554="","",SUMIFS($J$6:$J$2405,$A$6:$A$2405,"&lt;="&amp;$A554))</f>
        <v/>
      </c>
      <c r="L554" s="57" t="str">
        <f aca="false">IF($J554="","",IF($K554&lt;=BankCostEnvelope*'5. Scenarios'!$C$7,1,0))</f>
        <v/>
      </c>
      <c r="M554" s="57" t="str">
        <f aca="false">IF($I554="","",INDEX(BookRate,549)*(1+'5. Scenarios'!$C$10)*(INDEX(BookQ1,549)*(5-MIN(4,1+'5. Scenarios'!$C$8))/4+INDEX(BookQ2,549)*(5-MIN(4,2+'5. Scenarios'!$C$8))/4+INDEX(BookQ3,549)*(5-MIN(4,3+'5. Scenarios'!$C$8))/4+INDEX(BookQ4,549)*(5-MIN(4,4+'5. Scenarios'!$C$8))/4)*'5. Scenarios'!$C$6/(1+ProductivityDefault*('5. Scenarios'!$C$11-1))+INDEX(BookOneOff,549)*$I554)</f>
        <v/>
      </c>
      <c r="N554" s="56" t="str">
        <f aca="false">IF(INDEX(BookTitle,549)="","",INDEX(BookTotal,549)*'5. Scenarios'!$D$6/(1+ProductivityDefault*('5. Scenarios'!$D$11-1)))</f>
        <v/>
      </c>
      <c r="O554" s="57" t="str">
        <f aca="false">IF($N554="","",INDEX(BookRate,549)*(1+'5. Scenarios'!$D$10)*$N554)</f>
        <v/>
      </c>
      <c r="P554" s="57" t="str">
        <f aca="false">IF($O554="","",SUMIFS($O$6:$O$2405,$A$6:$A$2405,"&lt;="&amp;$A554))</f>
        <v/>
      </c>
      <c r="Q554" s="57" t="str">
        <f aca="false">IF($O554="","",IF($P554&lt;=BankCostEnvelope*'5. Scenarios'!$D$7,1,0))</f>
        <v/>
      </c>
      <c r="R554" s="57" t="str">
        <f aca="false">IF($N554="","",INDEX(BookRate,549)*(1+'5. Scenarios'!$D$10)*(INDEX(BookQ1,549)*(5-MIN(4,1+'5. Scenarios'!$D$8))/4+INDEX(BookQ2,549)*(5-MIN(4,2+'5. Scenarios'!$D$8))/4+INDEX(BookQ3,549)*(5-MIN(4,3+'5. Scenarios'!$D$8))/4+INDEX(BookQ4,549)*(5-MIN(4,4+'5. Scenarios'!$D$8))/4)*'5. Scenarios'!$D$6/(1+ProductivityDefault*('5. Scenarios'!$D$11-1))+INDEX(BookOneOff,549)*$N554)</f>
        <v/>
      </c>
      <c r="S554" s="56" t="str">
        <f aca="false">IF(INDEX(BookTitle,549)="","",INDEX(BookTotal,549)*'5. Scenarios'!$E$6/(1+ProductivityDefault*('5. Scenarios'!$E$11-1)))</f>
        <v/>
      </c>
      <c r="T554" s="57" t="str">
        <f aca="false">IF($S554="","",INDEX(BookRate,549)*(1+'5. Scenarios'!$E$10)*$S554)</f>
        <v/>
      </c>
      <c r="U554" s="57" t="str">
        <f aca="false">IF($T554="","",SUMIFS($T$6:$T$2405,$A$6:$A$2405,"&lt;="&amp;$A554))</f>
        <v/>
      </c>
      <c r="V554" s="57" t="str">
        <f aca="false">IF($T554="","",IF($U554&lt;=BankCostEnvelope*'5. Scenarios'!$E$7,1,0))</f>
        <v/>
      </c>
      <c r="W554" s="57" t="str">
        <f aca="false">IF($S554="","",INDEX(BookRate,549)*(1+'5. Scenarios'!$E$10)*(INDEX(BookQ1,549)*(5-MIN(4,1+'5. Scenarios'!$E$8))/4+INDEX(BookQ2,549)*(5-MIN(4,2+'5. Scenarios'!$E$8))/4+INDEX(BookQ3,549)*(5-MIN(4,3+'5. Scenarios'!$E$8))/4+INDEX(BookQ4,549)*(5-MIN(4,4+'5. Scenarios'!$E$8))/4)*'5. Scenarios'!$E$6/(1+ProductivityDefault*('5. Scenarios'!$E$11-1))+INDEX(BookOneOff,549)*$S554)</f>
        <v/>
      </c>
    </row>
    <row r="555" customFormat="false" ht="15" hidden="false" customHeight="false" outlineLevel="0" collapsed="false">
      <c r="A555" s="0" t="str">
        <f aca="false">IF(INDEX(BookTitle,550)="","",INDEX(BookKey,550))</f>
        <v/>
      </c>
      <c r="B555" s="0" t="str">
        <f aca="false">IF(INDEX(BookTitle,550)="","",INDEX(BookGroup,550))</f>
        <v/>
      </c>
      <c r="C555" s="0" t="str">
        <f aca="false">IF(INDEX(BookTitle,550)="","",INDEX(BookCategory,550))</f>
        <v/>
      </c>
      <c r="D555" s="56" t="str">
        <f aca="false">IF(INDEX(BookTitle,550)="","",INDEX(BookTotal,550)*'5. Scenarios'!$B$6/(1+ProductivityDefault*('5. Scenarios'!$B$11-1)))</f>
        <v/>
      </c>
      <c r="E555" s="57" t="str">
        <f aca="false">IF($D555="","",INDEX(BookRate,550)*(1+'5. Scenarios'!$B$10)*$D555)</f>
        <v/>
      </c>
      <c r="F555" s="57" t="str">
        <f aca="false">IF($E555="","",SUMIFS($E$6:$E$2405,$A$6:$A$2405,"&lt;="&amp;$A555))</f>
        <v/>
      </c>
      <c r="G555" s="57" t="str">
        <f aca="false">IF($E555="","",IF($F555&lt;=BankCostEnvelope*'5. Scenarios'!$B$7,1,0))</f>
        <v/>
      </c>
      <c r="H555" s="57" t="str">
        <f aca="false">IF($D555="","",INDEX(BookRate,550)*(1+'5. Scenarios'!$B$10)*(INDEX(BookQ1,550)*(5-MIN(4,1+'5. Scenarios'!$B$8))/4+INDEX(BookQ2,550)*(5-MIN(4,2+'5. Scenarios'!$B$8))/4+INDEX(BookQ3,550)*(5-MIN(4,3+'5. Scenarios'!$B$8))/4+INDEX(BookQ4,550)*(5-MIN(4,4+'5. Scenarios'!$B$8))/4)*'5. Scenarios'!$B$6/(1+ProductivityDefault*('5. Scenarios'!$B$11-1))+INDEX(BookOneOff,550)*$D555)</f>
        <v/>
      </c>
      <c r="I555" s="56" t="str">
        <f aca="false">IF(INDEX(BookTitle,550)="","",INDEX(BookTotal,550)*'5. Scenarios'!$C$6/(1+ProductivityDefault*('5. Scenarios'!$C$11-1)))</f>
        <v/>
      </c>
      <c r="J555" s="57" t="str">
        <f aca="false">IF($I555="","",INDEX(BookRate,550)*(1+'5. Scenarios'!$C$10)*$I555)</f>
        <v/>
      </c>
      <c r="K555" s="57" t="str">
        <f aca="false">IF($J555="","",SUMIFS($J$6:$J$2405,$A$6:$A$2405,"&lt;="&amp;$A555))</f>
        <v/>
      </c>
      <c r="L555" s="57" t="str">
        <f aca="false">IF($J555="","",IF($K555&lt;=BankCostEnvelope*'5. Scenarios'!$C$7,1,0))</f>
        <v/>
      </c>
      <c r="M555" s="57" t="str">
        <f aca="false">IF($I555="","",INDEX(BookRate,550)*(1+'5. Scenarios'!$C$10)*(INDEX(BookQ1,550)*(5-MIN(4,1+'5. Scenarios'!$C$8))/4+INDEX(BookQ2,550)*(5-MIN(4,2+'5. Scenarios'!$C$8))/4+INDEX(BookQ3,550)*(5-MIN(4,3+'5. Scenarios'!$C$8))/4+INDEX(BookQ4,550)*(5-MIN(4,4+'5. Scenarios'!$C$8))/4)*'5. Scenarios'!$C$6/(1+ProductivityDefault*('5. Scenarios'!$C$11-1))+INDEX(BookOneOff,550)*$I555)</f>
        <v/>
      </c>
      <c r="N555" s="56" t="str">
        <f aca="false">IF(INDEX(BookTitle,550)="","",INDEX(BookTotal,550)*'5. Scenarios'!$D$6/(1+ProductivityDefault*('5. Scenarios'!$D$11-1)))</f>
        <v/>
      </c>
      <c r="O555" s="57" t="str">
        <f aca="false">IF($N555="","",INDEX(BookRate,550)*(1+'5. Scenarios'!$D$10)*$N555)</f>
        <v/>
      </c>
      <c r="P555" s="57" t="str">
        <f aca="false">IF($O555="","",SUMIFS($O$6:$O$2405,$A$6:$A$2405,"&lt;="&amp;$A555))</f>
        <v/>
      </c>
      <c r="Q555" s="57" t="str">
        <f aca="false">IF($O555="","",IF($P555&lt;=BankCostEnvelope*'5. Scenarios'!$D$7,1,0))</f>
        <v/>
      </c>
      <c r="R555" s="57" t="str">
        <f aca="false">IF($N555="","",INDEX(BookRate,550)*(1+'5. Scenarios'!$D$10)*(INDEX(BookQ1,550)*(5-MIN(4,1+'5. Scenarios'!$D$8))/4+INDEX(BookQ2,550)*(5-MIN(4,2+'5. Scenarios'!$D$8))/4+INDEX(BookQ3,550)*(5-MIN(4,3+'5. Scenarios'!$D$8))/4+INDEX(BookQ4,550)*(5-MIN(4,4+'5. Scenarios'!$D$8))/4)*'5. Scenarios'!$D$6/(1+ProductivityDefault*('5. Scenarios'!$D$11-1))+INDEX(BookOneOff,550)*$N555)</f>
        <v/>
      </c>
      <c r="S555" s="56" t="str">
        <f aca="false">IF(INDEX(BookTitle,550)="","",INDEX(BookTotal,550)*'5. Scenarios'!$E$6/(1+ProductivityDefault*('5. Scenarios'!$E$11-1)))</f>
        <v/>
      </c>
      <c r="T555" s="57" t="str">
        <f aca="false">IF($S555="","",INDEX(BookRate,550)*(1+'5. Scenarios'!$E$10)*$S555)</f>
        <v/>
      </c>
      <c r="U555" s="57" t="str">
        <f aca="false">IF($T555="","",SUMIFS($T$6:$T$2405,$A$6:$A$2405,"&lt;="&amp;$A555))</f>
        <v/>
      </c>
      <c r="V555" s="57" t="str">
        <f aca="false">IF($T555="","",IF($U555&lt;=BankCostEnvelope*'5. Scenarios'!$E$7,1,0))</f>
        <v/>
      </c>
      <c r="W555" s="57" t="str">
        <f aca="false">IF($S555="","",INDEX(BookRate,550)*(1+'5. Scenarios'!$E$10)*(INDEX(BookQ1,550)*(5-MIN(4,1+'5. Scenarios'!$E$8))/4+INDEX(BookQ2,550)*(5-MIN(4,2+'5. Scenarios'!$E$8))/4+INDEX(BookQ3,550)*(5-MIN(4,3+'5. Scenarios'!$E$8))/4+INDEX(BookQ4,550)*(5-MIN(4,4+'5. Scenarios'!$E$8))/4)*'5. Scenarios'!$E$6/(1+ProductivityDefault*('5. Scenarios'!$E$11-1))+INDEX(BookOneOff,550)*$S555)</f>
        <v/>
      </c>
    </row>
    <row r="556" customFormat="false" ht="15" hidden="false" customHeight="false" outlineLevel="0" collapsed="false">
      <c r="A556" s="0" t="str">
        <f aca="false">IF(INDEX(BookTitle,551)="","",INDEX(BookKey,551))</f>
        <v/>
      </c>
      <c r="B556" s="0" t="str">
        <f aca="false">IF(INDEX(BookTitle,551)="","",INDEX(BookGroup,551))</f>
        <v/>
      </c>
      <c r="C556" s="0" t="str">
        <f aca="false">IF(INDEX(BookTitle,551)="","",INDEX(BookCategory,551))</f>
        <v/>
      </c>
      <c r="D556" s="56" t="str">
        <f aca="false">IF(INDEX(BookTitle,551)="","",INDEX(BookTotal,551)*'5. Scenarios'!$B$6/(1+ProductivityDefault*('5. Scenarios'!$B$11-1)))</f>
        <v/>
      </c>
      <c r="E556" s="57" t="str">
        <f aca="false">IF($D556="","",INDEX(BookRate,551)*(1+'5. Scenarios'!$B$10)*$D556)</f>
        <v/>
      </c>
      <c r="F556" s="57" t="str">
        <f aca="false">IF($E556="","",SUMIFS($E$6:$E$2405,$A$6:$A$2405,"&lt;="&amp;$A556))</f>
        <v/>
      </c>
      <c r="G556" s="57" t="str">
        <f aca="false">IF($E556="","",IF($F556&lt;=BankCostEnvelope*'5. Scenarios'!$B$7,1,0))</f>
        <v/>
      </c>
      <c r="H556" s="57" t="str">
        <f aca="false">IF($D556="","",INDEX(BookRate,551)*(1+'5. Scenarios'!$B$10)*(INDEX(BookQ1,551)*(5-MIN(4,1+'5. Scenarios'!$B$8))/4+INDEX(BookQ2,551)*(5-MIN(4,2+'5. Scenarios'!$B$8))/4+INDEX(BookQ3,551)*(5-MIN(4,3+'5. Scenarios'!$B$8))/4+INDEX(BookQ4,551)*(5-MIN(4,4+'5. Scenarios'!$B$8))/4)*'5. Scenarios'!$B$6/(1+ProductivityDefault*('5. Scenarios'!$B$11-1))+INDEX(BookOneOff,551)*$D556)</f>
        <v/>
      </c>
      <c r="I556" s="56" t="str">
        <f aca="false">IF(INDEX(BookTitle,551)="","",INDEX(BookTotal,551)*'5. Scenarios'!$C$6/(1+ProductivityDefault*('5. Scenarios'!$C$11-1)))</f>
        <v/>
      </c>
      <c r="J556" s="57" t="str">
        <f aca="false">IF($I556="","",INDEX(BookRate,551)*(1+'5. Scenarios'!$C$10)*$I556)</f>
        <v/>
      </c>
      <c r="K556" s="57" t="str">
        <f aca="false">IF($J556="","",SUMIFS($J$6:$J$2405,$A$6:$A$2405,"&lt;="&amp;$A556))</f>
        <v/>
      </c>
      <c r="L556" s="57" t="str">
        <f aca="false">IF($J556="","",IF($K556&lt;=BankCostEnvelope*'5. Scenarios'!$C$7,1,0))</f>
        <v/>
      </c>
      <c r="M556" s="57" t="str">
        <f aca="false">IF($I556="","",INDEX(BookRate,551)*(1+'5. Scenarios'!$C$10)*(INDEX(BookQ1,551)*(5-MIN(4,1+'5. Scenarios'!$C$8))/4+INDEX(BookQ2,551)*(5-MIN(4,2+'5. Scenarios'!$C$8))/4+INDEX(BookQ3,551)*(5-MIN(4,3+'5. Scenarios'!$C$8))/4+INDEX(BookQ4,551)*(5-MIN(4,4+'5. Scenarios'!$C$8))/4)*'5. Scenarios'!$C$6/(1+ProductivityDefault*('5. Scenarios'!$C$11-1))+INDEX(BookOneOff,551)*$I556)</f>
        <v/>
      </c>
      <c r="N556" s="56" t="str">
        <f aca="false">IF(INDEX(BookTitle,551)="","",INDEX(BookTotal,551)*'5. Scenarios'!$D$6/(1+ProductivityDefault*('5. Scenarios'!$D$11-1)))</f>
        <v/>
      </c>
      <c r="O556" s="57" t="str">
        <f aca="false">IF($N556="","",INDEX(BookRate,551)*(1+'5. Scenarios'!$D$10)*$N556)</f>
        <v/>
      </c>
      <c r="P556" s="57" t="str">
        <f aca="false">IF($O556="","",SUMIFS($O$6:$O$2405,$A$6:$A$2405,"&lt;="&amp;$A556))</f>
        <v/>
      </c>
      <c r="Q556" s="57" t="str">
        <f aca="false">IF($O556="","",IF($P556&lt;=BankCostEnvelope*'5. Scenarios'!$D$7,1,0))</f>
        <v/>
      </c>
      <c r="R556" s="57" t="str">
        <f aca="false">IF($N556="","",INDEX(BookRate,551)*(1+'5. Scenarios'!$D$10)*(INDEX(BookQ1,551)*(5-MIN(4,1+'5. Scenarios'!$D$8))/4+INDEX(BookQ2,551)*(5-MIN(4,2+'5. Scenarios'!$D$8))/4+INDEX(BookQ3,551)*(5-MIN(4,3+'5. Scenarios'!$D$8))/4+INDEX(BookQ4,551)*(5-MIN(4,4+'5. Scenarios'!$D$8))/4)*'5. Scenarios'!$D$6/(1+ProductivityDefault*('5. Scenarios'!$D$11-1))+INDEX(BookOneOff,551)*$N556)</f>
        <v/>
      </c>
      <c r="S556" s="56" t="str">
        <f aca="false">IF(INDEX(BookTitle,551)="","",INDEX(BookTotal,551)*'5. Scenarios'!$E$6/(1+ProductivityDefault*('5. Scenarios'!$E$11-1)))</f>
        <v/>
      </c>
      <c r="T556" s="57" t="str">
        <f aca="false">IF($S556="","",INDEX(BookRate,551)*(1+'5. Scenarios'!$E$10)*$S556)</f>
        <v/>
      </c>
      <c r="U556" s="57" t="str">
        <f aca="false">IF($T556="","",SUMIFS($T$6:$T$2405,$A$6:$A$2405,"&lt;="&amp;$A556))</f>
        <v/>
      </c>
      <c r="V556" s="57" t="str">
        <f aca="false">IF($T556="","",IF($U556&lt;=BankCostEnvelope*'5. Scenarios'!$E$7,1,0))</f>
        <v/>
      </c>
      <c r="W556" s="57" t="str">
        <f aca="false">IF($S556="","",INDEX(BookRate,551)*(1+'5. Scenarios'!$E$10)*(INDEX(BookQ1,551)*(5-MIN(4,1+'5. Scenarios'!$E$8))/4+INDEX(BookQ2,551)*(5-MIN(4,2+'5. Scenarios'!$E$8))/4+INDEX(BookQ3,551)*(5-MIN(4,3+'5. Scenarios'!$E$8))/4+INDEX(BookQ4,551)*(5-MIN(4,4+'5. Scenarios'!$E$8))/4)*'5. Scenarios'!$E$6/(1+ProductivityDefault*('5. Scenarios'!$E$11-1))+INDEX(BookOneOff,551)*$S556)</f>
        <v/>
      </c>
    </row>
    <row r="557" customFormat="false" ht="15" hidden="false" customHeight="false" outlineLevel="0" collapsed="false">
      <c r="A557" s="0" t="str">
        <f aca="false">IF(INDEX(BookTitle,552)="","",INDEX(BookKey,552))</f>
        <v/>
      </c>
      <c r="B557" s="0" t="str">
        <f aca="false">IF(INDEX(BookTitle,552)="","",INDEX(BookGroup,552))</f>
        <v/>
      </c>
      <c r="C557" s="0" t="str">
        <f aca="false">IF(INDEX(BookTitle,552)="","",INDEX(BookCategory,552))</f>
        <v/>
      </c>
      <c r="D557" s="56" t="str">
        <f aca="false">IF(INDEX(BookTitle,552)="","",INDEX(BookTotal,552)*'5. Scenarios'!$B$6/(1+ProductivityDefault*('5. Scenarios'!$B$11-1)))</f>
        <v/>
      </c>
      <c r="E557" s="57" t="str">
        <f aca="false">IF($D557="","",INDEX(BookRate,552)*(1+'5. Scenarios'!$B$10)*$D557)</f>
        <v/>
      </c>
      <c r="F557" s="57" t="str">
        <f aca="false">IF($E557="","",SUMIFS($E$6:$E$2405,$A$6:$A$2405,"&lt;="&amp;$A557))</f>
        <v/>
      </c>
      <c r="G557" s="57" t="str">
        <f aca="false">IF($E557="","",IF($F557&lt;=BankCostEnvelope*'5. Scenarios'!$B$7,1,0))</f>
        <v/>
      </c>
      <c r="H557" s="57" t="str">
        <f aca="false">IF($D557="","",INDEX(BookRate,552)*(1+'5. Scenarios'!$B$10)*(INDEX(BookQ1,552)*(5-MIN(4,1+'5. Scenarios'!$B$8))/4+INDEX(BookQ2,552)*(5-MIN(4,2+'5. Scenarios'!$B$8))/4+INDEX(BookQ3,552)*(5-MIN(4,3+'5. Scenarios'!$B$8))/4+INDEX(BookQ4,552)*(5-MIN(4,4+'5. Scenarios'!$B$8))/4)*'5. Scenarios'!$B$6/(1+ProductivityDefault*('5. Scenarios'!$B$11-1))+INDEX(BookOneOff,552)*$D557)</f>
        <v/>
      </c>
      <c r="I557" s="56" t="str">
        <f aca="false">IF(INDEX(BookTitle,552)="","",INDEX(BookTotal,552)*'5. Scenarios'!$C$6/(1+ProductivityDefault*('5. Scenarios'!$C$11-1)))</f>
        <v/>
      </c>
      <c r="J557" s="57" t="str">
        <f aca="false">IF($I557="","",INDEX(BookRate,552)*(1+'5. Scenarios'!$C$10)*$I557)</f>
        <v/>
      </c>
      <c r="K557" s="57" t="str">
        <f aca="false">IF($J557="","",SUMIFS($J$6:$J$2405,$A$6:$A$2405,"&lt;="&amp;$A557))</f>
        <v/>
      </c>
      <c r="L557" s="57" t="str">
        <f aca="false">IF($J557="","",IF($K557&lt;=BankCostEnvelope*'5. Scenarios'!$C$7,1,0))</f>
        <v/>
      </c>
      <c r="M557" s="57" t="str">
        <f aca="false">IF($I557="","",INDEX(BookRate,552)*(1+'5. Scenarios'!$C$10)*(INDEX(BookQ1,552)*(5-MIN(4,1+'5. Scenarios'!$C$8))/4+INDEX(BookQ2,552)*(5-MIN(4,2+'5. Scenarios'!$C$8))/4+INDEX(BookQ3,552)*(5-MIN(4,3+'5. Scenarios'!$C$8))/4+INDEX(BookQ4,552)*(5-MIN(4,4+'5. Scenarios'!$C$8))/4)*'5. Scenarios'!$C$6/(1+ProductivityDefault*('5. Scenarios'!$C$11-1))+INDEX(BookOneOff,552)*$I557)</f>
        <v/>
      </c>
      <c r="N557" s="56" t="str">
        <f aca="false">IF(INDEX(BookTitle,552)="","",INDEX(BookTotal,552)*'5. Scenarios'!$D$6/(1+ProductivityDefault*('5. Scenarios'!$D$11-1)))</f>
        <v/>
      </c>
      <c r="O557" s="57" t="str">
        <f aca="false">IF($N557="","",INDEX(BookRate,552)*(1+'5. Scenarios'!$D$10)*$N557)</f>
        <v/>
      </c>
      <c r="P557" s="57" t="str">
        <f aca="false">IF($O557="","",SUMIFS($O$6:$O$2405,$A$6:$A$2405,"&lt;="&amp;$A557))</f>
        <v/>
      </c>
      <c r="Q557" s="57" t="str">
        <f aca="false">IF($O557="","",IF($P557&lt;=BankCostEnvelope*'5. Scenarios'!$D$7,1,0))</f>
        <v/>
      </c>
      <c r="R557" s="57" t="str">
        <f aca="false">IF($N557="","",INDEX(BookRate,552)*(1+'5. Scenarios'!$D$10)*(INDEX(BookQ1,552)*(5-MIN(4,1+'5. Scenarios'!$D$8))/4+INDEX(BookQ2,552)*(5-MIN(4,2+'5. Scenarios'!$D$8))/4+INDEX(BookQ3,552)*(5-MIN(4,3+'5. Scenarios'!$D$8))/4+INDEX(BookQ4,552)*(5-MIN(4,4+'5. Scenarios'!$D$8))/4)*'5. Scenarios'!$D$6/(1+ProductivityDefault*('5. Scenarios'!$D$11-1))+INDEX(BookOneOff,552)*$N557)</f>
        <v/>
      </c>
      <c r="S557" s="56" t="str">
        <f aca="false">IF(INDEX(BookTitle,552)="","",INDEX(BookTotal,552)*'5. Scenarios'!$E$6/(1+ProductivityDefault*('5. Scenarios'!$E$11-1)))</f>
        <v/>
      </c>
      <c r="T557" s="57" t="str">
        <f aca="false">IF($S557="","",INDEX(BookRate,552)*(1+'5. Scenarios'!$E$10)*$S557)</f>
        <v/>
      </c>
      <c r="U557" s="57" t="str">
        <f aca="false">IF($T557="","",SUMIFS($T$6:$T$2405,$A$6:$A$2405,"&lt;="&amp;$A557))</f>
        <v/>
      </c>
      <c r="V557" s="57" t="str">
        <f aca="false">IF($T557="","",IF($U557&lt;=BankCostEnvelope*'5. Scenarios'!$E$7,1,0))</f>
        <v/>
      </c>
      <c r="W557" s="57" t="str">
        <f aca="false">IF($S557="","",INDEX(BookRate,552)*(1+'5. Scenarios'!$E$10)*(INDEX(BookQ1,552)*(5-MIN(4,1+'5. Scenarios'!$E$8))/4+INDEX(BookQ2,552)*(5-MIN(4,2+'5. Scenarios'!$E$8))/4+INDEX(BookQ3,552)*(5-MIN(4,3+'5. Scenarios'!$E$8))/4+INDEX(BookQ4,552)*(5-MIN(4,4+'5. Scenarios'!$E$8))/4)*'5. Scenarios'!$E$6/(1+ProductivityDefault*('5. Scenarios'!$E$11-1))+INDEX(BookOneOff,552)*$S557)</f>
        <v/>
      </c>
    </row>
    <row r="558" customFormat="false" ht="15" hidden="false" customHeight="false" outlineLevel="0" collapsed="false">
      <c r="A558" s="0" t="str">
        <f aca="false">IF(INDEX(BookTitle,553)="","",INDEX(BookKey,553))</f>
        <v/>
      </c>
      <c r="B558" s="0" t="str">
        <f aca="false">IF(INDEX(BookTitle,553)="","",INDEX(BookGroup,553))</f>
        <v/>
      </c>
      <c r="C558" s="0" t="str">
        <f aca="false">IF(INDEX(BookTitle,553)="","",INDEX(BookCategory,553))</f>
        <v/>
      </c>
      <c r="D558" s="56" t="str">
        <f aca="false">IF(INDEX(BookTitle,553)="","",INDEX(BookTotal,553)*'5. Scenarios'!$B$6/(1+ProductivityDefault*('5. Scenarios'!$B$11-1)))</f>
        <v/>
      </c>
      <c r="E558" s="57" t="str">
        <f aca="false">IF($D558="","",INDEX(BookRate,553)*(1+'5. Scenarios'!$B$10)*$D558)</f>
        <v/>
      </c>
      <c r="F558" s="57" t="str">
        <f aca="false">IF($E558="","",SUMIFS($E$6:$E$2405,$A$6:$A$2405,"&lt;="&amp;$A558))</f>
        <v/>
      </c>
      <c r="G558" s="57" t="str">
        <f aca="false">IF($E558="","",IF($F558&lt;=BankCostEnvelope*'5. Scenarios'!$B$7,1,0))</f>
        <v/>
      </c>
      <c r="H558" s="57" t="str">
        <f aca="false">IF($D558="","",INDEX(BookRate,553)*(1+'5. Scenarios'!$B$10)*(INDEX(BookQ1,553)*(5-MIN(4,1+'5. Scenarios'!$B$8))/4+INDEX(BookQ2,553)*(5-MIN(4,2+'5. Scenarios'!$B$8))/4+INDEX(BookQ3,553)*(5-MIN(4,3+'5. Scenarios'!$B$8))/4+INDEX(BookQ4,553)*(5-MIN(4,4+'5. Scenarios'!$B$8))/4)*'5. Scenarios'!$B$6/(1+ProductivityDefault*('5. Scenarios'!$B$11-1))+INDEX(BookOneOff,553)*$D558)</f>
        <v/>
      </c>
      <c r="I558" s="56" t="str">
        <f aca="false">IF(INDEX(BookTitle,553)="","",INDEX(BookTotal,553)*'5. Scenarios'!$C$6/(1+ProductivityDefault*('5. Scenarios'!$C$11-1)))</f>
        <v/>
      </c>
      <c r="J558" s="57" t="str">
        <f aca="false">IF($I558="","",INDEX(BookRate,553)*(1+'5. Scenarios'!$C$10)*$I558)</f>
        <v/>
      </c>
      <c r="K558" s="57" t="str">
        <f aca="false">IF($J558="","",SUMIFS($J$6:$J$2405,$A$6:$A$2405,"&lt;="&amp;$A558))</f>
        <v/>
      </c>
      <c r="L558" s="57" t="str">
        <f aca="false">IF($J558="","",IF($K558&lt;=BankCostEnvelope*'5. Scenarios'!$C$7,1,0))</f>
        <v/>
      </c>
      <c r="M558" s="57" t="str">
        <f aca="false">IF($I558="","",INDEX(BookRate,553)*(1+'5. Scenarios'!$C$10)*(INDEX(BookQ1,553)*(5-MIN(4,1+'5. Scenarios'!$C$8))/4+INDEX(BookQ2,553)*(5-MIN(4,2+'5. Scenarios'!$C$8))/4+INDEX(BookQ3,553)*(5-MIN(4,3+'5. Scenarios'!$C$8))/4+INDEX(BookQ4,553)*(5-MIN(4,4+'5. Scenarios'!$C$8))/4)*'5. Scenarios'!$C$6/(1+ProductivityDefault*('5. Scenarios'!$C$11-1))+INDEX(BookOneOff,553)*$I558)</f>
        <v/>
      </c>
      <c r="N558" s="56" t="str">
        <f aca="false">IF(INDEX(BookTitle,553)="","",INDEX(BookTotal,553)*'5. Scenarios'!$D$6/(1+ProductivityDefault*('5. Scenarios'!$D$11-1)))</f>
        <v/>
      </c>
      <c r="O558" s="57" t="str">
        <f aca="false">IF($N558="","",INDEX(BookRate,553)*(1+'5. Scenarios'!$D$10)*$N558)</f>
        <v/>
      </c>
      <c r="P558" s="57" t="str">
        <f aca="false">IF($O558="","",SUMIFS($O$6:$O$2405,$A$6:$A$2405,"&lt;="&amp;$A558))</f>
        <v/>
      </c>
      <c r="Q558" s="57" t="str">
        <f aca="false">IF($O558="","",IF($P558&lt;=BankCostEnvelope*'5. Scenarios'!$D$7,1,0))</f>
        <v/>
      </c>
      <c r="R558" s="57" t="str">
        <f aca="false">IF($N558="","",INDEX(BookRate,553)*(1+'5. Scenarios'!$D$10)*(INDEX(BookQ1,553)*(5-MIN(4,1+'5. Scenarios'!$D$8))/4+INDEX(BookQ2,553)*(5-MIN(4,2+'5. Scenarios'!$D$8))/4+INDEX(BookQ3,553)*(5-MIN(4,3+'5. Scenarios'!$D$8))/4+INDEX(BookQ4,553)*(5-MIN(4,4+'5. Scenarios'!$D$8))/4)*'5. Scenarios'!$D$6/(1+ProductivityDefault*('5. Scenarios'!$D$11-1))+INDEX(BookOneOff,553)*$N558)</f>
        <v/>
      </c>
      <c r="S558" s="56" t="str">
        <f aca="false">IF(INDEX(BookTitle,553)="","",INDEX(BookTotal,553)*'5. Scenarios'!$E$6/(1+ProductivityDefault*('5. Scenarios'!$E$11-1)))</f>
        <v/>
      </c>
      <c r="T558" s="57" t="str">
        <f aca="false">IF($S558="","",INDEX(BookRate,553)*(1+'5. Scenarios'!$E$10)*$S558)</f>
        <v/>
      </c>
      <c r="U558" s="57" t="str">
        <f aca="false">IF($T558="","",SUMIFS($T$6:$T$2405,$A$6:$A$2405,"&lt;="&amp;$A558))</f>
        <v/>
      </c>
      <c r="V558" s="57" t="str">
        <f aca="false">IF($T558="","",IF($U558&lt;=BankCostEnvelope*'5. Scenarios'!$E$7,1,0))</f>
        <v/>
      </c>
      <c r="W558" s="57" t="str">
        <f aca="false">IF($S558="","",INDEX(BookRate,553)*(1+'5. Scenarios'!$E$10)*(INDEX(BookQ1,553)*(5-MIN(4,1+'5. Scenarios'!$E$8))/4+INDEX(BookQ2,553)*(5-MIN(4,2+'5. Scenarios'!$E$8))/4+INDEX(BookQ3,553)*(5-MIN(4,3+'5. Scenarios'!$E$8))/4+INDEX(BookQ4,553)*(5-MIN(4,4+'5. Scenarios'!$E$8))/4)*'5. Scenarios'!$E$6/(1+ProductivityDefault*('5. Scenarios'!$E$11-1))+INDEX(BookOneOff,553)*$S558)</f>
        <v/>
      </c>
    </row>
    <row r="559" customFormat="false" ht="15" hidden="false" customHeight="false" outlineLevel="0" collapsed="false">
      <c r="A559" s="0" t="str">
        <f aca="false">IF(INDEX(BookTitle,554)="","",INDEX(BookKey,554))</f>
        <v/>
      </c>
      <c r="B559" s="0" t="str">
        <f aca="false">IF(INDEX(BookTitle,554)="","",INDEX(BookGroup,554))</f>
        <v/>
      </c>
      <c r="C559" s="0" t="str">
        <f aca="false">IF(INDEX(BookTitle,554)="","",INDEX(BookCategory,554))</f>
        <v/>
      </c>
      <c r="D559" s="56" t="str">
        <f aca="false">IF(INDEX(BookTitle,554)="","",INDEX(BookTotal,554)*'5. Scenarios'!$B$6/(1+ProductivityDefault*('5. Scenarios'!$B$11-1)))</f>
        <v/>
      </c>
      <c r="E559" s="57" t="str">
        <f aca="false">IF($D559="","",INDEX(BookRate,554)*(1+'5. Scenarios'!$B$10)*$D559)</f>
        <v/>
      </c>
      <c r="F559" s="57" t="str">
        <f aca="false">IF($E559="","",SUMIFS($E$6:$E$2405,$A$6:$A$2405,"&lt;="&amp;$A559))</f>
        <v/>
      </c>
      <c r="G559" s="57" t="str">
        <f aca="false">IF($E559="","",IF($F559&lt;=BankCostEnvelope*'5. Scenarios'!$B$7,1,0))</f>
        <v/>
      </c>
      <c r="H559" s="57" t="str">
        <f aca="false">IF($D559="","",INDEX(BookRate,554)*(1+'5. Scenarios'!$B$10)*(INDEX(BookQ1,554)*(5-MIN(4,1+'5. Scenarios'!$B$8))/4+INDEX(BookQ2,554)*(5-MIN(4,2+'5. Scenarios'!$B$8))/4+INDEX(BookQ3,554)*(5-MIN(4,3+'5. Scenarios'!$B$8))/4+INDEX(BookQ4,554)*(5-MIN(4,4+'5. Scenarios'!$B$8))/4)*'5. Scenarios'!$B$6/(1+ProductivityDefault*('5. Scenarios'!$B$11-1))+INDEX(BookOneOff,554)*$D559)</f>
        <v/>
      </c>
      <c r="I559" s="56" t="str">
        <f aca="false">IF(INDEX(BookTitle,554)="","",INDEX(BookTotal,554)*'5. Scenarios'!$C$6/(1+ProductivityDefault*('5. Scenarios'!$C$11-1)))</f>
        <v/>
      </c>
      <c r="J559" s="57" t="str">
        <f aca="false">IF($I559="","",INDEX(BookRate,554)*(1+'5. Scenarios'!$C$10)*$I559)</f>
        <v/>
      </c>
      <c r="K559" s="57" t="str">
        <f aca="false">IF($J559="","",SUMIFS($J$6:$J$2405,$A$6:$A$2405,"&lt;="&amp;$A559))</f>
        <v/>
      </c>
      <c r="L559" s="57" t="str">
        <f aca="false">IF($J559="","",IF($K559&lt;=BankCostEnvelope*'5. Scenarios'!$C$7,1,0))</f>
        <v/>
      </c>
      <c r="M559" s="57" t="str">
        <f aca="false">IF($I559="","",INDEX(BookRate,554)*(1+'5. Scenarios'!$C$10)*(INDEX(BookQ1,554)*(5-MIN(4,1+'5. Scenarios'!$C$8))/4+INDEX(BookQ2,554)*(5-MIN(4,2+'5. Scenarios'!$C$8))/4+INDEX(BookQ3,554)*(5-MIN(4,3+'5. Scenarios'!$C$8))/4+INDEX(BookQ4,554)*(5-MIN(4,4+'5. Scenarios'!$C$8))/4)*'5. Scenarios'!$C$6/(1+ProductivityDefault*('5. Scenarios'!$C$11-1))+INDEX(BookOneOff,554)*$I559)</f>
        <v/>
      </c>
      <c r="N559" s="56" t="str">
        <f aca="false">IF(INDEX(BookTitle,554)="","",INDEX(BookTotal,554)*'5. Scenarios'!$D$6/(1+ProductivityDefault*('5. Scenarios'!$D$11-1)))</f>
        <v/>
      </c>
      <c r="O559" s="57" t="str">
        <f aca="false">IF($N559="","",INDEX(BookRate,554)*(1+'5. Scenarios'!$D$10)*$N559)</f>
        <v/>
      </c>
      <c r="P559" s="57" t="str">
        <f aca="false">IF($O559="","",SUMIFS($O$6:$O$2405,$A$6:$A$2405,"&lt;="&amp;$A559))</f>
        <v/>
      </c>
      <c r="Q559" s="57" t="str">
        <f aca="false">IF($O559="","",IF($P559&lt;=BankCostEnvelope*'5. Scenarios'!$D$7,1,0))</f>
        <v/>
      </c>
      <c r="R559" s="57" t="str">
        <f aca="false">IF($N559="","",INDEX(BookRate,554)*(1+'5. Scenarios'!$D$10)*(INDEX(BookQ1,554)*(5-MIN(4,1+'5. Scenarios'!$D$8))/4+INDEX(BookQ2,554)*(5-MIN(4,2+'5. Scenarios'!$D$8))/4+INDEX(BookQ3,554)*(5-MIN(4,3+'5. Scenarios'!$D$8))/4+INDEX(BookQ4,554)*(5-MIN(4,4+'5. Scenarios'!$D$8))/4)*'5. Scenarios'!$D$6/(1+ProductivityDefault*('5. Scenarios'!$D$11-1))+INDEX(BookOneOff,554)*$N559)</f>
        <v/>
      </c>
      <c r="S559" s="56" t="str">
        <f aca="false">IF(INDEX(BookTitle,554)="","",INDEX(BookTotal,554)*'5. Scenarios'!$E$6/(1+ProductivityDefault*('5. Scenarios'!$E$11-1)))</f>
        <v/>
      </c>
      <c r="T559" s="57" t="str">
        <f aca="false">IF($S559="","",INDEX(BookRate,554)*(1+'5. Scenarios'!$E$10)*$S559)</f>
        <v/>
      </c>
      <c r="U559" s="57" t="str">
        <f aca="false">IF($T559="","",SUMIFS($T$6:$T$2405,$A$6:$A$2405,"&lt;="&amp;$A559))</f>
        <v/>
      </c>
      <c r="V559" s="57" t="str">
        <f aca="false">IF($T559="","",IF($U559&lt;=BankCostEnvelope*'5. Scenarios'!$E$7,1,0))</f>
        <v/>
      </c>
      <c r="W559" s="57" t="str">
        <f aca="false">IF($S559="","",INDEX(BookRate,554)*(1+'5. Scenarios'!$E$10)*(INDEX(BookQ1,554)*(5-MIN(4,1+'5. Scenarios'!$E$8))/4+INDEX(BookQ2,554)*(5-MIN(4,2+'5. Scenarios'!$E$8))/4+INDEX(BookQ3,554)*(5-MIN(4,3+'5. Scenarios'!$E$8))/4+INDEX(BookQ4,554)*(5-MIN(4,4+'5. Scenarios'!$E$8))/4)*'5. Scenarios'!$E$6/(1+ProductivityDefault*('5. Scenarios'!$E$11-1))+INDEX(BookOneOff,554)*$S559)</f>
        <v/>
      </c>
    </row>
    <row r="560" customFormat="false" ht="15" hidden="false" customHeight="false" outlineLevel="0" collapsed="false">
      <c r="A560" s="0" t="str">
        <f aca="false">IF(INDEX(BookTitle,555)="","",INDEX(BookKey,555))</f>
        <v/>
      </c>
      <c r="B560" s="0" t="str">
        <f aca="false">IF(INDEX(BookTitle,555)="","",INDEX(BookGroup,555))</f>
        <v/>
      </c>
      <c r="C560" s="0" t="str">
        <f aca="false">IF(INDEX(BookTitle,555)="","",INDEX(BookCategory,555))</f>
        <v/>
      </c>
      <c r="D560" s="56" t="str">
        <f aca="false">IF(INDEX(BookTitle,555)="","",INDEX(BookTotal,555)*'5. Scenarios'!$B$6/(1+ProductivityDefault*('5. Scenarios'!$B$11-1)))</f>
        <v/>
      </c>
      <c r="E560" s="57" t="str">
        <f aca="false">IF($D560="","",INDEX(BookRate,555)*(1+'5. Scenarios'!$B$10)*$D560)</f>
        <v/>
      </c>
      <c r="F560" s="57" t="str">
        <f aca="false">IF($E560="","",SUMIFS($E$6:$E$2405,$A$6:$A$2405,"&lt;="&amp;$A560))</f>
        <v/>
      </c>
      <c r="G560" s="57" t="str">
        <f aca="false">IF($E560="","",IF($F560&lt;=BankCostEnvelope*'5. Scenarios'!$B$7,1,0))</f>
        <v/>
      </c>
      <c r="H560" s="57" t="str">
        <f aca="false">IF($D560="","",INDEX(BookRate,555)*(1+'5. Scenarios'!$B$10)*(INDEX(BookQ1,555)*(5-MIN(4,1+'5. Scenarios'!$B$8))/4+INDEX(BookQ2,555)*(5-MIN(4,2+'5. Scenarios'!$B$8))/4+INDEX(BookQ3,555)*(5-MIN(4,3+'5. Scenarios'!$B$8))/4+INDEX(BookQ4,555)*(5-MIN(4,4+'5. Scenarios'!$B$8))/4)*'5. Scenarios'!$B$6/(1+ProductivityDefault*('5. Scenarios'!$B$11-1))+INDEX(BookOneOff,555)*$D560)</f>
        <v/>
      </c>
      <c r="I560" s="56" t="str">
        <f aca="false">IF(INDEX(BookTitle,555)="","",INDEX(BookTotal,555)*'5. Scenarios'!$C$6/(1+ProductivityDefault*('5. Scenarios'!$C$11-1)))</f>
        <v/>
      </c>
      <c r="J560" s="57" t="str">
        <f aca="false">IF($I560="","",INDEX(BookRate,555)*(1+'5. Scenarios'!$C$10)*$I560)</f>
        <v/>
      </c>
      <c r="K560" s="57" t="str">
        <f aca="false">IF($J560="","",SUMIFS($J$6:$J$2405,$A$6:$A$2405,"&lt;="&amp;$A560))</f>
        <v/>
      </c>
      <c r="L560" s="57" t="str">
        <f aca="false">IF($J560="","",IF($K560&lt;=BankCostEnvelope*'5. Scenarios'!$C$7,1,0))</f>
        <v/>
      </c>
      <c r="M560" s="57" t="str">
        <f aca="false">IF($I560="","",INDEX(BookRate,555)*(1+'5. Scenarios'!$C$10)*(INDEX(BookQ1,555)*(5-MIN(4,1+'5. Scenarios'!$C$8))/4+INDEX(BookQ2,555)*(5-MIN(4,2+'5. Scenarios'!$C$8))/4+INDEX(BookQ3,555)*(5-MIN(4,3+'5. Scenarios'!$C$8))/4+INDEX(BookQ4,555)*(5-MIN(4,4+'5. Scenarios'!$C$8))/4)*'5. Scenarios'!$C$6/(1+ProductivityDefault*('5. Scenarios'!$C$11-1))+INDEX(BookOneOff,555)*$I560)</f>
        <v/>
      </c>
      <c r="N560" s="56" t="str">
        <f aca="false">IF(INDEX(BookTitle,555)="","",INDEX(BookTotal,555)*'5. Scenarios'!$D$6/(1+ProductivityDefault*('5. Scenarios'!$D$11-1)))</f>
        <v/>
      </c>
      <c r="O560" s="57" t="str">
        <f aca="false">IF($N560="","",INDEX(BookRate,555)*(1+'5. Scenarios'!$D$10)*$N560)</f>
        <v/>
      </c>
      <c r="P560" s="57" t="str">
        <f aca="false">IF($O560="","",SUMIFS($O$6:$O$2405,$A$6:$A$2405,"&lt;="&amp;$A560))</f>
        <v/>
      </c>
      <c r="Q560" s="57" t="str">
        <f aca="false">IF($O560="","",IF($P560&lt;=BankCostEnvelope*'5. Scenarios'!$D$7,1,0))</f>
        <v/>
      </c>
      <c r="R560" s="57" t="str">
        <f aca="false">IF($N560="","",INDEX(BookRate,555)*(1+'5. Scenarios'!$D$10)*(INDEX(BookQ1,555)*(5-MIN(4,1+'5. Scenarios'!$D$8))/4+INDEX(BookQ2,555)*(5-MIN(4,2+'5. Scenarios'!$D$8))/4+INDEX(BookQ3,555)*(5-MIN(4,3+'5. Scenarios'!$D$8))/4+INDEX(BookQ4,555)*(5-MIN(4,4+'5. Scenarios'!$D$8))/4)*'5. Scenarios'!$D$6/(1+ProductivityDefault*('5. Scenarios'!$D$11-1))+INDEX(BookOneOff,555)*$N560)</f>
        <v/>
      </c>
      <c r="S560" s="56" t="str">
        <f aca="false">IF(INDEX(BookTitle,555)="","",INDEX(BookTotal,555)*'5. Scenarios'!$E$6/(1+ProductivityDefault*('5. Scenarios'!$E$11-1)))</f>
        <v/>
      </c>
      <c r="T560" s="57" t="str">
        <f aca="false">IF($S560="","",INDEX(BookRate,555)*(1+'5. Scenarios'!$E$10)*$S560)</f>
        <v/>
      </c>
      <c r="U560" s="57" t="str">
        <f aca="false">IF($T560="","",SUMIFS($T$6:$T$2405,$A$6:$A$2405,"&lt;="&amp;$A560))</f>
        <v/>
      </c>
      <c r="V560" s="57" t="str">
        <f aca="false">IF($T560="","",IF($U560&lt;=BankCostEnvelope*'5. Scenarios'!$E$7,1,0))</f>
        <v/>
      </c>
      <c r="W560" s="57" t="str">
        <f aca="false">IF($S560="","",INDEX(BookRate,555)*(1+'5. Scenarios'!$E$10)*(INDEX(BookQ1,555)*(5-MIN(4,1+'5. Scenarios'!$E$8))/4+INDEX(BookQ2,555)*(5-MIN(4,2+'5. Scenarios'!$E$8))/4+INDEX(BookQ3,555)*(5-MIN(4,3+'5. Scenarios'!$E$8))/4+INDEX(BookQ4,555)*(5-MIN(4,4+'5. Scenarios'!$E$8))/4)*'5. Scenarios'!$E$6/(1+ProductivityDefault*('5. Scenarios'!$E$11-1))+INDEX(BookOneOff,555)*$S560)</f>
        <v/>
      </c>
    </row>
    <row r="561" customFormat="false" ht="15" hidden="false" customHeight="false" outlineLevel="0" collapsed="false">
      <c r="A561" s="0" t="str">
        <f aca="false">IF(INDEX(BookTitle,556)="","",INDEX(BookKey,556))</f>
        <v/>
      </c>
      <c r="B561" s="0" t="str">
        <f aca="false">IF(INDEX(BookTitle,556)="","",INDEX(BookGroup,556))</f>
        <v/>
      </c>
      <c r="C561" s="0" t="str">
        <f aca="false">IF(INDEX(BookTitle,556)="","",INDEX(BookCategory,556))</f>
        <v/>
      </c>
      <c r="D561" s="56" t="str">
        <f aca="false">IF(INDEX(BookTitle,556)="","",INDEX(BookTotal,556)*'5. Scenarios'!$B$6/(1+ProductivityDefault*('5. Scenarios'!$B$11-1)))</f>
        <v/>
      </c>
      <c r="E561" s="57" t="str">
        <f aca="false">IF($D561="","",INDEX(BookRate,556)*(1+'5. Scenarios'!$B$10)*$D561)</f>
        <v/>
      </c>
      <c r="F561" s="57" t="str">
        <f aca="false">IF($E561="","",SUMIFS($E$6:$E$2405,$A$6:$A$2405,"&lt;="&amp;$A561))</f>
        <v/>
      </c>
      <c r="G561" s="57" t="str">
        <f aca="false">IF($E561="","",IF($F561&lt;=BankCostEnvelope*'5. Scenarios'!$B$7,1,0))</f>
        <v/>
      </c>
      <c r="H561" s="57" t="str">
        <f aca="false">IF($D561="","",INDEX(BookRate,556)*(1+'5. Scenarios'!$B$10)*(INDEX(BookQ1,556)*(5-MIN(4,1+'5. Scenarios'!$B$8))/4+INDEX(BookQ2,556)*(5-MIN(4,2+'5. Scenarios'!$B$8))/4+INDEX(BookQ3,556)*(5-MIN(4,3+'5. Scenarios'!$B$8))/4+INDEX(BookQ4,556)*(5-MIN(4,4+'5. Scenarios'!$B$8))/4)*'5. Scenarios'!$B$6/(1+ProductivityDefault*('5. Scenarios'!$B$11-1))+INDEX(BookOneOff,556)*$D561)</f>
        <v/>
      </c>
      <c r="I561" s="56" t="str">
        <f aca="false">IF(INDEX(BookTitle,556)="","",INDEX(BookTotal,556)*'5. Scenarios'!$C$6/(1+ProductivityDefault*('5. Scenarios'!$C$11-1)))</f>
        <v/>
      </c>
      <c r="J561" s="57" t="str">
        <f aca="false">IF($I561="","",INDEX(BookRate,556)*(1+'5. Scenarios'!$C$10)*$I561)</f>
        <v/>
      </c>
      <c r="K561" s="57" t="str">
        <f aca="false">IF($J561="","",SUMIFS($J$6:$J$2405,$A$6:$A$2405,"&lt;="&amp;$A561))</f>
        <v/>
      </c>
      <c r="L561" s="57" t="str">
        <f aca="false">IF($J561="","",IF($K561&lt;=BankCostEnvelope*'5. Scenarios'!$C$7,1,0))</f>
        <v/>
      </c>
      <c r="M561" s="57" t="str">
        <f aca="false">IF($I561="","",INDEX(BookRate,556)*(1+'5. Scenarios'!$C$10)*(INDEX(BookQ1,556)*(5-MIN(4,1+'5. Scenarios'!$C$8))/4+INDEX(BookQ2,556)*(5-MIN(4,2+'5. Scenarios'!$C$8))/4+INDEX(BookQ3,556)*(5-MIN(4,3+'5. Scenarios'!$C$8))/4+INDEX(BookQ4,556)*(5-MIN(4,4+'5. Scenarios'!$C$8))/4)*'5. Scenarios'!$C$6/(1+ProductivityDefault*('5. Scenarios'!$C$11-1))+INDEX(BookOneOff,556)*$I561)</f>
        <v/>
      </c>
      <c r="N561" s="56" t="str">
        <f aca="false">IF(INDEX(BookTitle,556)="","",INDEX(BookTotal,556)*'5. Scenarios'!$D$6/(1+ProductivityDefault*('5. Scenarios'!$D$11-1)))</f>
        <v/>
      </c>
      <c r="O561" s="57" t="str">
        <f aca="false">IF($N561="","",INDEX(BookRate,556)*(1+'5. Scenarios'!$D$10)*$N561)</f>
        <v/>
      </c>
      <c r="P561" s="57" t="str">
        <f aca="false">IF($O561="","",SUMIFS($O$6:$O$2405,$A$6:$A$2405,"&lt;="&amp;$A561))</f>
        <v/>
      </c>
      <c r="Q561" s="57" t="str">
        <f aca="false">IF($O561="","",IF($P561&lt;=BankCostEnvelope*'5. Scenarios'!$D$7,1,0))</f>
        <v/>
      </c>
      <c r="R561" s="57" t="str">
        <f aca="false">IF($N561="","",INDEX(BookRate,556)*(1+'5. Scenarios'!$D$10)*(INDEX(BookQ1,556)*(5-MIN(4,1+'5. Scenarios'!$D$8))/4+INDEX(BookQ2,556)*(5-MIN(4,2+'5. Scenarios'!$D$8))/4+INDEX(BookQ3,556)*(5-MIN(4,3+'5. Scenarios'!$D$8))/4+INDEX(BookQ4,556)*(5-MIN(4,4+'5. Scenarios'!$D$8))/4)*'5. Scenarios'!$D$6/(1+ProductivityDefault*('5. Scenarios'!$D$11-1))+INDEX(BookOneOff,556)*$N561)</f>
        <v/>
      </c>
      <c r="S561" s="56" t="str">
        <f aca="false">IF(INDEX(BookTitle,556)="","",INDEX(BookTotal,556)*'5. Scenarios'!$E$6/(1+ProductivityDefault*('5. Scenarios'!$E$11-1)))</f>
        <v/>
      </c>
      <c r="T561" s="57" t="str">
        <f aca="false">IF($S561="","",INDEX(BookRate,556)*(1+'5. Scenarios'!$E$10)*$S561)</f>
        <v/>
      </c>
      <c r="U561" s="57" t="str">
        <f aca="false">IF($T561="","",SUMIFS($T$6:$T$2405,$A$6:$A$2405,"&lt;="&amp;$A561))</f>
        <v/>
      </c>
      <c r="V561" s="57" t="str">
        <f aca="false">IF($T561="","",IF($U561&lt;=BankCostEnvelope*'5. Scenarios'!$E$7,1,0))</f>
        <v/>
      </c>
      <c r="W561" s="57" t="str">
        <f aca="false">IF($S561="","",INDEX(BookRate,556)*(1+'5. Scenarios'!$E$10)*(INDEX(BookQ1,556)*(5-MIN(4,1+'5. Scenarios'!$E$8))/4+INDEX(BookQ2,556)*(5-MIN(4,2+'5. Scenarios'!$E$8))/4+INDEX(BookQ3,556)*(5-MIN(4,3+'5. Scenarios'!$E$8))/4+INDEX(BookQ4,556)*(5-MIN(4,4+'5. Scenarios'!$E$8))/4)*'5. Scenarios'!$E$6/(1+ProductivityDefault*('5. Scenarios'!$E$11-1))+INDEX(BookOneOff,556)*$S561)</f>
        <v/>
      </c>
    </row>
    <row r="562" customFormat="false" ht="15" hidden="false" customHeight="false" outlineLevel="0" collapsed="false">
      <c r="A562" s="0" t="str">
        <f aca="false">IF(INDEX(BookTitle,557)="","",INDEX(BookKey,557))</f>
        <v/>
      </c>
      <c r="B562" s="0" t="str">
        <f aca="false">IF(INDEX(BookTitle,557)="","",INDEX(BookGroup,557))</f>
        <v/>
      </c>
      <c r="C562" s="0" t="str">
        <f aca="false">IF(INDEX(BookTitle,557)="","",INDEX(BookCategory,557))</f>
        <v/>
      </c>
      <c r="D562" s="56" t="str">
        <f aca="false">IF(INDEX(BookTitle,557)="","",INDEX(BookTotal,557)*'5. Scenarios'!$B$6/(1+ProductivityDefault*('5. Scenarios'!$B$11-1)))</f>
        <v/>
      </c>
      <c r="E562" s="57" t="str">
        <f aca="false">IF($D562="","",INDEX(BookRate,557)*(1+'5. Scenarios'!$B$10)*$D562)</f>
        <v/>
      </c>
      <c r="F562" s="57" t="str">
        <f aca="false">IF($E562="","",SUMIFS($E$6:$E$2405,$A$6:$A$2405,"&lt;="&amp;$A562))</f>
        <v/>
      </c>
      <c r="G562" s="57" t="str">
        <f aca="false">IF($E562="","",IF($F562&lt;=BankCostEnvelope*'5. Scenarios'!$B$7,1,0))</f>
        <v/>
      </c>
      <c r="H562" s="57" t="str">
        <f aca="false">IF($D562="","",INDEX(BookRate,557)*(1+'5. Scenarios'!$B$10)*(INDEX(BookQ1,557)*(5-MIN(4,1+'5. Scenarios'!$B$8))/4+INDEX(BookQ2,557)*(5-MIN(4,2+'5. Scenarios'!$B$8))/4+INDEX(BookQ3,557)*(5-MIN(4,3+'5. Scenarios'!$B$8))/4+INDEX(BookQ4,557)*(5-MIN(4,4+'5. Scenarios'!$B$8))/4)*'5. Scenarios'!$B$6/(1+ProductivityDefault*('5. Scenarios'!$B$11-1))+INDEX(BookOneOff,557)*$D562)</f>
        <v/>
      </c>
      <c r="I562" s="56" t="str">
        <f aca="false">IF(INDEX(BookTitle,557)="","",INDEX(BookTotal,557)*'5. Scenarios'!$C$6/(1+ProductivityDefault*('5. Scenarios'!$C$11-1)))</f>
        <v/>
      </c>
      <c r="J562" s="57" t="str">
        <f aca="false">IF($I562="","",INDEX(BookRate,557)*(1+'5. Scenarios'!$C$10)*$I562)</f>
        <v/>
      </c>
      <c r="K562" s="57" t="str">
        <f aca="false">IF($J562="","",SUMIFS($J$6:$J$2405,$A$6:$A$2405,"&lt;="&amp;$A562))</f>
        <v/>
      </c>
      <c r="L562" s="57" t="str">
        <f aca="false">IF($J562="","",IF($K562&lt;=BankCostEnvelope*'5. Scenarios'!$C$7,1,0))</f>
        <v/>
      </c>
      <c r="M562" s="57" t="str">
        <f aca="false">IF($I562="","",INDEX(BookRate,557)*(1+'5. Scenarios'!$C$10)*(INDEX(BookQ1,557)*(5-MIN(4,1+'5. Scenarios'!$C$8))/4+INDEX(BookQ2,557)*(5-MIN(4,2+'5. Scenarios'!$C$8))/4+INDEX(BookQ3,557)*(5-MIN(4,3+'5. Scenarios'!$C$8))/4+INDEX(BookQ4,557)*(5-MIN(4,4+'5. Scenarios'!$C$8))/4)*'5. Scenarios'!$C$6/(1+ProductivityDefault*('5. Scenarios'!$C$11-1))+INDEX(BookOneOff,557)*$I562)</f>
        <v/>
      </c>
      <c r="N562" s="56" t="str">
        <f aca="false">IF(INDEX(BookTitle,557)="","",INDEX(BookTotal,557)*'5. Scenarios'!$D$6/(1+ProductivityDefault*('5. Scenarios'!$D$11-1)))</f>
        <v/>
      </c>
      <c r="O562" s="57" t="str">
        <f aca="false">IF($N562="","",INDEX(BookRate,557)*(1+'5. Scenarios'!$D$10)*$N562)</f>
        <v/>
      </c>
      <c r="P562" s="57" t="str">
        <f aca="false">IF($O562="","",SUMIFS($O$6:$O$2405,$A$6:$A$2405,"&lt;="&amp;$A562))</f>
        <v/>
      </c>
      <c r="Q562" s="57" t="str">
        <f aca="false">IF($O562="","",IF($P562&lt;=BankCostEnvelope*'5. Scenarios'!$D$7,1,0))</f>
        <v/>
      </c>
      <c r="R562" s="57" t="str">
        <f aca="false">IF($N562="","",INDEX(BookRate,557)*(1+'5. Scenarios'!$D$10)*(INDEX(BookQ1,557)*(5-MIN(4,1+'5. Scenarios'!$D$8))/4+INDEX(BookQ2,557)*(5-MIN(4,2+'5. Scenarios'!$D$8))/4+INDEX(BookQ3,557)*(5-MIN(4,3+'5. Scenarios'!$D$8))/4+INDEX(BookQ4,557)*(5-MIN(4,4+'5. Scenarios'!$D$8))/4)*'5. Scenarios'!$D$6/(1+ProductivityDefault*('5. Scenarios'!$D$11-1))+INDEX(BookOneOff,557)*$N562)</f>
        <v/>
      </c>
      <c r="S562" s="56" t="str">
        <f aca="false">IF(INDEX(BookTitle,557)="","",INDEX(BookTotal,557)*'5. Scenarios'!$E$6/(1+ProductivityDefault*('5. Scenarios'!$E$11-1)))</f>
        <v/>
      </c>
      <c r="T562" s="57" t="str">
        <f aca="false">IF($S562="","",INDEX(BookRate,557)*(1+'5. Scenarios'!$E$10)*$S562)</f>
        <v/>
      </c>
      <c r="U562" s="57" t="str">
        <f aca="false">IF($T562="","",SUMIFS($T$6:$T$2405,$A$6:$A$2405,"&lt;="&amp;$A562))</f>
        <v/>
      </c>
      <c r="V562" s="57" t="str">
        <f aca="false">IF($T562="","",IF($U562&lt;=BankCostEnvelope*'5. Scenarios'!$E$7,1,0))</f>
        <v/>
      </c>
      <c r="W562" s="57" t="str">
        <f aca="false">IF($S562="","",INDEX(BookRate,557)*(1+'5. Scenarios'!$E$10)*(INDEX(BookQ1,557)*(5-MIN(4,1+'5. Scenarios'!$E$8))/4+INDEX(BookQ2,557)*(5-MIN(4,2+'5. Scenarios'!$E$8))/4+INDEX(BookQ3,557)*(5-MIN(4,3+'5. Scenarios'!$E$8))/4+INDEX(BookQ4,557)*(5-MIN(4,4+'5. Scenarios'!$E$8))/4)*'5. Scenarios'!$E$6/(1+ProductivityDefault*('5. Scenarios'!$E$11-1))+INDEX(BookOneOff,557)*$S562)</f>
        <v/>
      </c>
    </row>
    <row r="563" customFormat="false" ht="15" hidden="false" customHeight="false" outlineLevel="0" collapsed="false">
      <c r="A563" s="0" t="str">
        <f aca="false">IF(INDEX(BookTitle,558)="","",INDEX(BookKey,558))</f>
        <v/>
      </c>
      <c r="B563" s="0" t="str">
        <f aca="false">IF(INDEX(BookTitle,558)="","",INDEX(BookGroup,558))</f>
        <v/>
      </c>
      <c r="C563" s="0" t="str">
        <f aca="false">IF(INDEX(BookTitle,558)="","",INDEX(BookCategory,558))</f>
        <v/>
      </c>
      <c r="D563" s="56" t="str">
        <f aca="false">IF(INDEX(BookTitle,558)="","",INDEX(BookTotal,558)*'5. Scenarios'!$B$6/(1+ProductivityDefault*('5. Scenarios'!$B$11-1)))</f>
        <v/>
      </c>
      <c r="E563" s="57" t="str">
        <f aca="false">IF($D563="","",INDEX(BookRate,558)*(1+'5. Scenarios'!$B$10)*$D563)</f>
        <v/>
      </c>
      <c r="F563" s="57" t="str">
        <f aca="false">IF($E563="","",SUMIFS($E$6:$E$2405,$A$6:$A$2405,"&lt;="&amp;$A563))</f>
        <v/>
      </c>
      <c r="G563" s="57" t="str">
        <f aca="false">IF($E563="","",IF($F563&lt;=BankCostEnvelope*'5. Scenarios'!$B$7,1,0))</f>
        <v/>
      </c>
      <c r="H563" s="57" t="str">
        <f aca="false">IF($D563="","",INDEX(BookRate,558)*(1+'5. Scenarios'!$B$10)*(INDEX(BookQ1,558)*(5-MIN(4,1+'5. Scenarios'!$B$8))/4+INDEX(BookQ2,558)*(5-MIN(4,2+'5. Scenarios'!$B$8))/4+INDEX(BookQ3,558)*(5-MIN(4,3+'5. Scenarios'!$B$8))/4+INDEX(BookQ4,558)*(5-MIN(4,4+'5. Scenarios'!$B$8))/4)*'5. Scenarios'!$B$6/(1+ProductivityDefault*('5. Scenarios'!$B$11-1))+INDEX(BookOneOff,558)*$D563)</f>
        <v/>
      </c>
      <c r="I563" s="56" t="str">
        <f aca="false">IF(INDEX(BookTitle,558)="","",INDEX(BookTotal,558)*'5. Scenarios'!$C$6/(1+ProductivityDefault*('5. Scenarios'!$C$11-1)))</f>
        <v/>
      </c>
      <c r="J563" s="57" t="str">
        <f aca="false">IF($I563="","",INDEX(BookRate,558)*(1+'5. Scenarios'!$C$10)*$I563)</f>
        <v/>
      </c>
      <c r="K563" s="57" t="str">
        <f aca="false">IF($J563="","",SUMIFS($J$6:$J$2405,$A$6:$A$2405,"&lt;="&amp;$A563))</f>
        <v/>
      </c>
      <c r="L563" s="57" t="str">
        <f aca="false">IF($J563="","",IF($K563&lt;=BankCostEnvelope*'5. Scenarios'!$C$7,1,0))</f>
        <v/>
      </c>
      <c r="M563" s="57" t="str">
        <f aca="false">IF($I563="","",INDEX(BookRate,558)*(1+'5. Scenarios'!$C$10)*(INDEX(BookQ1,558)*(5-MIN(4,1+'5. Scenarios'!$C$8))/4+INDEX(BookQ2,558)*(5-MIN(4,2+'5. Scenarios'!$C$8))/4+INDEX(BookQ3,558)*(5-MIN(4,3+'5. Scenarios'!$C$8))/4+INDEX(BookQ4,558)*(5-MIN(4,4+'5. Scenarios'!$C$8))/4)*'5. Scenarios'!$C$6/(1+ProductivityDefault*('5. Scenarios'!$C$11-1))+INDEX(BookOneOff,558)*$I563)</f>
        <v/>
      </c>
      <c r="N563" s="56" t="str">
        <f aca="false">IF(INDEX(BookTitle,558)="","",INDEX(BookTotal,558)*'5. Scenarios'!$D$6/(1+ProductivityDefault*('5. Scenarios'!$D$11-1)))</f>
        <v/>
      </c>
      <c r="O563" s="57" t="str">
        <f aca="false">IF($N563="","",INDEX(BookRate,558)*(1+'5. Scenarios'!$D$10)*$N563)</f>
        <v/>
      </c>
      <c r="P563" s="57" t="str">
        <f aca="false">IF($O563="","",SUMIFS($O$6:$O$2405,$A$6:$A$2405,"&lt;="&amp;$A563))</f>
        <v/>
      </c>
      <c r="Q563" s="57" t="str">
        <f aca="false">IF($O563="","",IF($P563&lt;=BankCostEnvelope*'5. Scenarios'!$D$7,1,0))</f>
        <v/>
      </c>
      <c r="R563" s="57" t="str">
        <f aca="false">IF($N563="","",INDEX(BookRate,558)*(1+'5. Scenarios'!$D$10)*(INDEX(BookQ1,558)*(5-MIN(4,1+'5. Scenarios'!$D$8))/4+INDEX(BookQ2,558)*(5-MIN(4,2+'5. Scenarios'!$D$8))/4+INDEX(BookQ3,558)*(5-MIN(4,3+'5. Scenarios'!$D$8))/4+INDEX(BookQ4,558)*(5-MIN(4,4+'5. Scenarios'!$D$8))/4)*'5. Scenarios'!$D$6/(1+ProductivityDefault*('5. Scenarios'!$D$11-1))+INDEX(BookOneOff,558)*$N563)</f>
        <v/>
      </c>
      <c r="S563" s="56" t="str">
        <f aca="false">IF(INDEX(BookTitle,558)="","",INDEX(BookTotal,558)*'5. Scenarios'!$E$6/(1+ProductivityDefault*('5. Scenarios'!$E$11-1)))</f>
        <v/>
      </c>
      <c r="T563" s="57" t="str">
        <f aca="false">IF($S563="","",INDEX(BookRate,558)*(1+'5. Scenarios'!$E$10)*$S563)</f>
        <v/>
      </c>
      <c r="U563" s="57" t="str">
        <f aca="false">IF($T563="","",SUMIFS($T$6:$T$2405,$A$6:$A$2405,"&lt;="&amp;$A563))</f>
        <v/>
      </c>
      <c r="V563" s="57" t="str">
        <f aca="false">IF($T563="","",IF($U563&lt;=BankCostEnvelope*'5. Scenarios'!$E$7,1,0))</f>
        <v/>
      </c>
      <c r="W563" s="57" t="str">
        <f aca="false">IF($S563="","",INDEX(BookRate,558)*(1+'5. Scenarios'!$E$10)*(INDEX(BookQ1,558)*(5-MIN(4,1+'5. Scenarios'!$E$8))/4+INDEX(BookQ2,558)*(5-MIN(4,2+'5. Scenarios'!$E$8))/4+INDEX(BookQ3,558)*(5-MIN(4,3+'5. Scenarios'!$E$8))/4+INDEX(BookQ4,558)*(5-MIN(4,4+'5. Scenarios'!$E$8))/4)*'5. Scenarios'!$E$6/(1+ProductivityDefault*('5. Scenarios'!$E$11-1))+INDEX(BookOneOff,558)*$S563)</f>
        <v/>
      </c>
    </row>
    <row r="564" customFormat="false" ht="15" hidden="false" customHeight="false" outlineLevel="0" collapsed="false">
      <c r="A564" s="0" t="str">
        <f aca="false">IF(INDEX(BookTitle,559)="","",INDEX(BookKey,559))</f>
        <v/>
      </c>
      <c r="B564" s="0" t="str">
        <f aca="false">IF(INDEX(BookTitle,559)="","",INDEX(BookGroup,559))</f>
        <v/>
      </c>
      <c r="C564" s="0" t="str">
        <f aca="false">IF(INDEX(BookTitle,559)="","",INDEX(BookCategory,559))</f>
        <v/>
      </c>
      <c r="D564" s="56" t="str">
        <f aca="false">IF(INDEX(BookTitle,559)="","",INDEX(BookTotal,559)*'5. Scenarios'!$B$6/(1+ProductivityDefault*('5. Scenarios'!$B$11-1)))</f>
        <v/>
      </c>
      <c r="E564" s="57" t="str">
        <f aca="false">IF($D564="","",INDEX(BookRate,559)*(1+'5. Scenarios'!$B$10)*$D564)</f>
        <v/>
      </c>
      <c r="F564" s="57" t="str">
        <f aca="false">IF($E564="","",SUMIFS($E$6:$E$2405,$A$6:$A$2405,"&lt;="&amp;$A564))</f>
        <v/>
      </c>
      <c r="G564" s="57" t="str">
        <f aca="false">IF($E564="","",IF($F564&lt;=BankCostEnvelope*'5. Scenarios'!$B$7,1,0))</f>
        <v/>
      </c>
      <c r="H564" s="57" t="str">
        <f aca="false">IF($D564="","",INDEX(BookRate,559)*(1+'5. Scenarios'!$B$10)*(INDEX(BookQ1,559)*(5-MIN(4,1+'5. Scenarios'!$B$8))/4+INDEX(BookQ2,559)*(5-MIN(4,2+'5. Scenarios'!$B$8))/4+INDEX(BookQ3,559)*(5-MIN(4,3+'5. Scenarios'!$B$8))/4+INDEX(BookQ4,559)*(5-MIN(4,4+'5. Scenarios'!$B$8))/4)*'5. Scenarios'!$B$6/(1+ProductivityDefault*('5. Scenarios'!$B$11-1))+INDEX(BookOneOff,559)*$D564)</f>
        <v/>
      </c>
      <c r="I564" s="56" t="str">
        <f aca="false">IF(INDEX(BookTitle,559)="","",INDEX(BookTotal,559)*'5. Scenarios'!$C$6/(1+ProductivityDefault*('5. Scenarios'!$C$11-1)))</f>
        <v/>
      </c>
      <c r="J564" s="57" t="str">
        <f aca="false">IF($I564="","",INDEX(BookRate,559)*(1+'5. Scenarios'!$C$10)*$I564)</f>
        <v/>
      </c>
      <c r="K564" s="57" t="str">
        <f aca="false">IF($J564="","",SUMIFS($J$6:$J$2405,$A$6:$A$2405,"&lt;="&amp;$A564))</f>
        <v/>
      </c>
      <c r="L564" s="57" t="str">
        <f aca="false">IF($J564="","",IF($K564&lt;=BankCostEnvelope*'5. Scenarios'!$C$7,1,0))</f>
        <v/>
      </c>
      <c r="M564" s="57" t="str">
        <f aca="false">IF($I564="","",INDEX(BookRate,559)*(1+'5. Scenarios'!$C$10)*(INDEX(BookQ1,559)*(5-MIN(4,1+'5. Scenarios'!$C$8))/4+INDEX(BookQ2,559)*(5-MIN(4,2+'5. Scenarios'!$C$8))/4+INDEX(BookQ3,559)*(5-MIN(4,3+'5. Scenarios'!$C$8))/4+INDEX(BookQ4,559)*(5-MIN(4,4+'5. Scenarios'!$C$8))/4)*'5. Scenarios'!$C$6/(1+ProductivityDefault*('5. Scenarios'!$C$11-1))+INDEX(BookOneOff,559)*$I564)</f>
        <v/>
      </c>
      <c r="N564" s="56" t="str">
        <f aca="false">IF(INDEX(BookTitle,559)="","",INDEX(BookTotal,559)*'5. Scenarios'!$D$6/(1+ProductivityDefault*('5. Scenarios'!$D$11-1)))</f>
        <v/>
      </c>
      <c r="O564" s="57" t="str">
        <f aca="false">IF($N564="","",INDEX(BookRate,559)*(1+'5. Scenarios'!$D$10)*$N564)</f>
        <v/>
      </c>
      <c r="P564" s="57" t="str">
        <f aca="false">IF($O564="","",SUMIFS($O$6:$O$2405,$A$6:$A$2405,"&lt;="&amp;$A564))</f>
        <v/>
      </c>
      <c r="Q564" s="57" t="str">
        <f aca="false">IF($O564="","",IF($P564&lt;=BankCostEnvelope*'5. Scenarios'!$D$7,1,0))</f>
        <v/>
      </c>
      <c r="R564" s="57" t="str">
        <f aca="false">IF($N564="","",INDEX(BookRate,559)*(1+'5. Scenarios'!$D$10)*(INDEX(BookQ1,559)*(5-MIN(4,1+'5. Scenarios'!$D$8))/4+INDEX(BookQ2,559)*(5-MIN(4,2+'5. Scenarios'!$D$8))/4+INDEX(BookQ3,559)*(5-MIN(4,3+'5. Scenarios'!$D$8))/4+INDEX(BookQ4,559)*(5-MIN(4,4+'5. Scenarios'!$D$8))/4)*'5. Scenarios'!$D$6/(1+ProductivityDefault*('5. Scenarios'!$D$11-1))+INDEX(BookOneOff,559)*$N564)</f>
        <v/>
      </c>
      <c r="S564" s="56" t="str">
        <f aca="false">IF(INDEX(BookTitle,559)="","",INDEX(BookTotal,559)*'5. Scenarios'!$E$6/(1+ProductivityDefault*('5. Scenarios'!$E$11-1)))</f>
        <v/>
      </c>
      <c r="T564" s="57" t="str">
        <f aca="false">IF($S564="","",INDEX(BookRate,559)*(1+'5. Scenarios'!$E$10)*$S564)</f>
        <v/>
      </c>
      <c r="U564" s="57" t="str">
        <f aca="false">IF($T564="","",SUMIFS($T$6:$T$2405,$A$6:$A$2405,"&lt;="&amp;$A564))</f>
        <v/>
      </c>
      <c r="V564" s="57" t="str">
        <f aca="false">IF($T564="","",IF($U564&lt;=BankCostEnvelope*'5. Scenarios'!$E$7,1,0))</f>
        <v/>
      </c>
      <c r="W564" s="57" t="str">
        <f aca="false">IF($S564="","",INDEX(BookRate,559)*(1+'5. Scenarios'!$E$10)*(INDEX(BookQ1,559)*(5-MIN(4,1+'5. Scenarios'!$E$8))/4+INDEX(BookQ2,559)*(5-MIN(4,2+'5. Scenarios'!$E$8))/4+INDEX(BookQ3,559)*(5-MIN(4,3+'5. Scenarios'!$E$8))/4+INDEX(BookQ4,559)*(5-MIN(4,4+'5. Scenarios'!$E$8))/4)*'5. Scenarios'!$E$6/(1+ProductivityDefault*('5. Scenarios'!$E$11-1))+INDEX(BookOneOff,559)*$S564)</f>
        <v/>
      </c>
    </row>
    <row r="565" customFormat="false" ht="15" hidden="false" customHeight="false" outlineLevel="0" collapsed="false">
      <c r="A565" s="0" t="str">
        <f aca="false">IF(INDEX(BookTitle,560)="","",INDEX(BookKey,560))</f>
        <v/>
      </c>
      <c r="B565" s="0" t="str">
        <f aca="false">IF(INDEX(BookTitle,560)="","",INDEX(BookGroup,560))</f>
        <v/>
      </c>
      <c r="C565" s="0" t="str">
        <f aca="false">IF(INDEX(BookTitle,560)="","",INDEX(BookCategory,560))</f>
        <v/>
      </c>
      <c r="D565" s="56" t="str">
        <f aca="false">IF(INDEX(BookTitle,560)="","",INDEX(BookTotal,560)*'5. Scenarios'!$B$6/(1+ProductivityDefault*('5. Scenarios'!$B$11-1)))</f>
        <v/>
      </c>
      <c r="E565" s="57" t="str">
        <f aca="false">IF($D565="","",INDEX(BookRate,560)*(1+'5. Scenarios'!$B$10)*$D565)</f>
        <v/>
      </c>
      <c r="F565" s="57" t="str">
        <f aca="false">IF($E565="","",SUMIFS($E$6:$E$2405,$A$6:$A$2405,"&lt;="&amp;$A565))</f>
        <v/>
      </c>
      <c r="G565" s="57" t="str">
        <f aca="false">IF($E565="","",IF($F565&lt;=BankCostEnvelope*'5. Scenarios'!$B$7,1,0))</f>
        <v/>
      </c>
      <c r="H565" s="57" t="str">
        <f aca="false">IF($D565="","",INDEX(BookRate,560)*(1+'5. Scenarios'!$B$10)*(INDEX(BookQ1,560)*(5-MIN(4,1+'5. Scenarios'!$B$8))/4+INDEX(BookQ2,560)*(5-MIN(4,2+'5. Scenarios'!$B$8))/4+INDEX(BookQ3,560)*(5-MIN(4,3+'5. Scenarios'!$B$8))/4+INDEX(BookQ4,560)*(5-MIN(4,4+'5. Scenarios'!$B$8))/4)*'5. Scenarios'!$B$6/(1+ProductivityDefault*('5. Scenarios'!$B$11-1))+INDEX(BookOneOff,560)*$D565)</f>
        <v/>
      </c>
      <c r="I565" s="56" t="str">
        <f aca="false">IF(INDEX(BookTitle,560)="","",INDEX(BookTotal,560)*'5. Scenarios'!$C$6/(1+ProductivityDefault*('5. Scenarios'!$C$11-1)))</f>
        <v/>
      </c>
      <c r="J565" s="57" t="str">
        <f aca="false">IF($I565="","",INDEX(BookRate,560)*(1+'5. Scenarios'!$C$10)*$I565)</f>
        <v/>
      </c>
      <c r="K565" s="57" t="str">
        <f aca="false">IF($J565="","",SUMIFS($J$6:$J$2405,$A$6:$A$2405,"&lt;="&amp;$A565))</f>
        <v/>
      </c>
      <c r="L565" s="57" t="str">
        <f aca="false">IF($J565="","",IF($K565&lt;=BankCostEnvelope*'5. Scenarios'!$C$7,1,0))</f>
        <v/>
      </c>
      <c r="M565" s="57" t="str">
        <f aca="false">IF($I565="","",INDEX(BookRate,560)*(1+'5. Scenarios'!$C$10)*(INDEX(BookQ1,560)*(5-MIN(4,1+'5. Scenarios'!$C$8))/4+INDEX(BookQ2,560)*(5-MIN(4,2+'5. Scenarios'!$C$8))/4+INDEX(BookQ3,560)*(5-MIN(4,3+'5. Scenarios'!$C$8))/4+INDEX(BookQ4,560)*(5-MIN(4,4+'5. Scenarios'!$C$8))/4)*'5. Scenarios'!$C$6/(1+ProductivityDefault*('5. Scenarios'!$C$11-1))+INDEX(BookOneOff,560)*$I565)</f>
        <v/>
      </c>
      <c r="N565" s="56" t="str">
        <f aca="false">IF(INDEX(BookTitle,560)="","",INDEX(BookTotal,560)*'5. Scenarios'!$D$6/(1+ProductivityDefault*('5. Scenarios'!$D$11-1)))</f>
        <v/>
      </c>
      <c r="O565" s="57" t="str">
        <f aca="false">IF($N565="","",INDEX(BookRate,560)*(1+'5. Scenarios'!$D$10)*$N565)</f>
        <v/>
      </c>
      <c r="P565" s="57" t="str">
        <f aca="false">IF($O565="","",SUMIFS($O$6:$O$2405,$A$6:$A$2405,"&lt;="&amp;$A565))</f>
        <v/>
      </c>
      <c r="Q565" s="57" t="str">
        <f aca="false">IF($O565="","",IF($P565&lt;=BankCostEnvelope*'5. Scenarios'!$D$7,1,0))</f>
        <v/>
      </c>
      <c r="R565" s="57" t="str">
        <f aca="false">IF($N565="","",INDEX(BookRate,560)*(1+'5. Scenarios'!$D$10)*(INDEX(BookQ1,560)*(5-MIN(4,1+'5. Scenarios'!$D$8))/4+INDEX(BookQ2,560)*(5-MIN(4,2+'5. Scenarios'!$D$8))/4+INDEX(BookQ3,560)*(5-MIN(4,3+'5. Scenarios'!$D$8))/4+INDEX(BookQ4,560)*(5-MIN(4,4+'5. Scenarios'!$D$8))/4)*'5. Scenarios'!$D$6/(1+ProductivityDefault*('5. Scenarios'!$D$11-1))+INDEX(BookOneOff,560)*$N565)</f>
        <v/>
      </c>
      <c r="S565" s="56" t="str">
        <f aca="false">IF(INDEX(BookTitle,560)="","",INDEX(BookTotal,560)*'5. Scenarios'!$E$6/(1+ProductivityDefault*('5. Scenarios'!$E$11-1)))</f>
        <v/>
      </c>
      <c r="T565" s="57" t="str">
        <f aca="false">IF($S565="","",INDEX(BookRate,560)*(1+'5. Scenarios'!$E$10)*$S565)</f>
        <v/>
      </c>
      <c r="U565" s="57" t="str">
        <f aca="false">IF($T565="","",SUMIFS($T$6:$T$2405,$A$6:$A$2405,"&lt;="&amp;$A565))</f>
        <v/>
      </c>
      <c r="V565" s="57" t="str">
        <f aca="false">IF($T565="","",IF($U565&lt;=BankCostEnvelope*'5. Scenarios'!$E$7,1,0))</f>
        <v/>
      </c>
      <c r="W565" s="57" t="str">
        <f aca="false">IF($S565="","",INDEX(BookRate,560)*(1+'5. Scenarios'!$E$10)*(INDEX(BookQ1,560)*(5-MIN(4,1+'5. Scenarios'!$E$8))/4+INDEX(BookQ2,560)*(5-MIN(4,2+'5. Scenarios'!$E$8))/4+INDEX(BookQ3,560)*(5-MIN(4,3+'5. Scenarios'!$E$8))/4+INDEX(BookQ4,560)*(5-MIN(4,4+'5. Scenarios'!$E$8))/4)*'5. Scenarios'!$E$6/(1+ProductivityDefault*('5. Scenarios'!$E$11-1))+INDEX(BookOneOff,560)*$S565)</f>
        <v/>
      </c>
    </row>
    <row r="566" customFormat="false" ht="15" hidden="false" customHeight="false" outlineLevel="0" collapsed="false">
      <c r="A566" s="0" t="str">
        <f aca="false">IF(INDEX(BookTitle,561)="","",INDEX(BookKey,561))</f>
        <v/>
      </c>
      <c r="B566" s="0" t="str">
        <f aca="false">IF(INDEX(BookTitle,561)="","",INDEX(BookGroup,561))</f>
        <v/>
      </c>
      <c r="C566" s="0" t="str">
        <f aca="false">IF(INDEX(BookTitle,561)="","",INDEX(BookCategory,561))</f>
        <v/>
      </c>
      <c r="D566" s="56" t="str">
        <f aca="false">IF(INDEX(BookTitle,561)="","",INDEX(BookTotal,561)*'5. Scenarios'!$B$6/(1+ProductivityDefault*('5. Scenarios'!$B$11-1)))</f>
        <v/>
      </c>
      <c r="E566" s="57" t="str">
        <f aca="false">IF($D566="","",INDEX(BookRate,561)*(1+'5. Scenarios'!$B$10)*$D566)</f>
        <v/>
      </c>
      <c r="F566" s="57" t="str">
        <f aca="false">IF($E566="","",SUMIFS($E$6:$E$2405,$A$6:$A$2405,"&lt;="&amp;$A566))</f>
        <v/>
      </c>
      <c r="G566" s="57" t="str">
        <f aca="false">IF($E566="","",IF($F566&lt;=BankCostEnvelope*'5. Scenarios'!$B$7,1,0))</f>
        <v/>
      </c>
      <c r="H566" s="57" t="str">
        <f aca="false">IF($D566="","",INDEX(BookRate,561)*(1+'5. Scenarios'!$B$10)*(INDEX(BookQ1,561)*(5-MIN(4,1+'5. Scenarios'!$B$8))/4+INDEX(BookQ2,561)*(5-MIN(4,2+'5. Scenarios'!$B$8))/4+INDEX(BookQ3,561)*(5-MIN(4,3+'5. Scenarios'!$B$8))/4+INDEX(BookQ4,561)*(5-MIN(4,4+'5. Scenarios'!$B$8))/4)*'5. Scenarios'!$B$6/(1+ProductivityDefault*('5. Scenarios'!$B$11-1))+INDEX(BookOneOff,561)*$D566)</f>
        <v/>
      </c>
      <c r="I566" s="56" t="str">
        <f aca="false">IF(INDEX(BookTitle,561)="","",INDEX(BookTotal,561)*'5. Scenarios'!$C$6/(1+ProductivityDefault*('5. Scenarios'!$C$11-1)))</f>
        <v/>
      </c>
      <c r="J566" s="57" t="str">
        <f aca="false">IF($I566="","",INDEX(BookRate,561)*(1+'5. Scenarios'!$C$10)*$I566)</f>
        <v/>
      </c>
      <c r="K566" s="57" t="str">
        <f aca="false">IF($J566="","",SUMIFS($J$6:$J$2405,$A$6:$A$2405,"&lt;="&amp;$A566))</f>
        <v/>
      </c>
      <c r="L566" s="57" t="str">
        <f aca="false">IF($J566="","",IF($K566&lt;=BankCostEnvelope*'5. Scenarios'!$C$7,1,0))</f>
        <v/>
      </c>
      <c r="M566" s="57" t="str">
        <f aca="false">IF($I566="","",INDEX(BookRate,561)*(1+'5. Scenarios'!$C$10)*(INDEX(BookQ1,561)*(5-MIN(4,1+'5. Scenarios'!$C$8))/4+INDEX(BookQ2,561)*(5-MIN(4,2+'5. Scenarios'!$C$8))/4+INDEX(BookQ3,561)*(5-MIN(4,3+'5. Scenarios'!$C$8))/4+INDEX(BookQ4,561)*(5-MIN(4,4+'5. Scenarios'!$C$8))/4)*'5. Scenarios'!$C$6/(1+ProductivityDefault*('5. Scenarios'!$C$11-1))+INDEX(BookOneOff,561)*$I566)</f>
        <v/>
      </c>
      <c r="N566" s="56" t="str">
        <f aca="false">IF(INDEX(BookTitle,561)="","",INDEX(BookTotal,561)*'5. Scenarios'!$D$6/(1+ProductivityDefault*('5. Scenarios'!$D$11-1)))</f>
        <v/>
      </c>
      <c r="O566" s="57" t="str">
        <f aca="false">IF($N566="","",INDEX(BookRate,561)*(1+'5. Scenarios'!$D$10)*$N566)</f>
        <v/>
      </c>
      <c r="P566" s="57" t="str">
        <f aca="false">IF($O566="","",SUMIFS($O$6:$O$2405,$A$6:$A$2405,"&lt;="&amp;$A566))</f>
        <v/>
      </c>
      <c r="Q566" s="57" t="str">
        <f aca="false">IF($O566="","",IF($P566&lt;=BankCostEnvelope*'5. Scenarios'!$D$7,1,0))</f>
        <v/>
      </c>
      <c r="R566" s="57" t="str">
        <f aca="false">IF($N566="","",INDEX(BookRate,561)*(1+'5. Scenarios'!$D$10)*(INDEX(BookQ1,561)*(5-MIN(4,1+'5. Scenarios'!$D$8))/4+INDEX(BookQ2,561)*(5-MIN(4,2+'5. Scenarios'!$D$8))/4+INDEX(BookQ3,561)*(5-MIN(4,3+'5. Scenarios'!$D$8))/4+INDEX(BookQ4,561)*(5-MIN(4,4+'5. Scenarios'!$D$8))/4)*'5. Scenarios'!$D$6/(1+ProductivityDefault*('5. Scenarios'!$D$11-1))+INDEX(BookOneOff,561)*$N566)</f>
        <v/>
      </c>
      <c r="S566" s="56" t="str">
        <f aca="false">IF(INDEX(BookTitle,561)="","",INDEX(BookTotal,561)*'5. Scenarios'!$E$6/(1+ProductivityDefault*('5. Scenarios'!$E$11-1)))</f>
        <v/>
      </c>
      <c r="T566" s="57" t="str">
        <f aca="false">IF($S566="","",INDEX(BookRate,561)*(1+'5. Scenarios'!$E$10)*$S566)</f>
        <v/>
      </c>
      <c r="U566" s="57" t="str">
        <f aca="false">IF($T566="","",SUMIFS($T$6:$T$2405,$A$6:$A$2405,"&lt;="&amp;$A566))</f>
        <v/>
      </c>
      <c r="V566" s="57" t="str">
        <f aca="false">IF($T566="","",IF($U566&lt;=BankCostEnvelope*'5. Scenarios'!$E$7,1,0))</f>
        <v/>
      </c>
      <c r="W566" s="57" t="str">
        <f aca="false">IF($S566="","",INDEX(BookRate,561)*(1+'5. Scenarios'!$E$10)*(INDEX(BookQ1,561)*(5-MIN(4,1+'5. Scenarios'!$E$8))/4+INDEX(BookQ2,561)*(5-MIN(4,2+'5. Scenarios'!$E$8))/4+INDEX(BookQ3,561)*(5-MIN(4,3+'5. Scenarios'!$E$8))/4+INDEX(BookQ4,561)*(5-MIN(4,4+'5. Scenarios'!$E$8))/4)*'5. Scenarios'!$E$6/(1+ProductivityDefault*('5. Scenarios'!$E$11-1))+INDEX(BookOneOff,561)*$S566)</f>
        <v/>
      </c>
    </row>
    <row r="567" customFormat="false" ht="15" hidden="false" customHeight="false" outlineLevel="0" collapsed="false">
      <c r="A567" s="0" t="str">
        <f aca="false">IF(INDEX(BookTitle,562)="","",INDEX(BookKey,562))</f>
        <v/>
      </c>
      <c r="B567" s="0" t="str">
        <f aca="false">IF(INDEX(BookTitle,562)="","",INDEX(BookGroup,562))</f>
        <v/>
      </c>
      <c r="C567" s="0" t="str">
        <f aca="false">IF(INDEX(BookTitle,562)="","",INDEX(BookCategory,562))</f>
        <v/>
      </c>
      <c r="D567" s="56" t="str">
        <f aca="false">IF(INDEX(BookTitle,562)="","",INDEX(BookTotal,562)*'5. Scenarios'!$B$6/(1+ProductivityDefault*('5. Scenarios'!$B$11-1)))</f>
        <v/>
      </c>
      <c r="E567" s="57" t="str">
        <f aca="false">IF($D567="","",INDEX(BookRate,562)*(1+'5. Scenarios'!$B$10)*$D567)</f>
        <v/>
      </c>
      <c r="F567" s="57" t="str">
        <f aca="false">IF($E567="","",SUMIFS($E$6:$E$2405,$A$6:$A$2405,"&lt;="&amp;$A567))</f>
        <v/>
      </c>
      <c r="G567" s="57" t="str">
        <f aca="false">IF($E567="","",IF($F567&lt;=BankCostEnvelope*'5. Scenarios'!$B$7,1,0))</f>
        <v/>
      </c>
      <c r="H567" s="57" t="str">
        <f aca="false">IF($D567="","",INDEX(BookRate,562)*(1+'5. Scenarios'!$B$10)*(INDEX(BookQ1,562)*(5-MIN(4,1+'5. Scenarios'!$B$8))/4+INDEX(BookQ2,562)*(5-MIN(4,2+'5. Scenarios'!$B$8))/4+INDEX(BookQ3,562)*(5-MIN(4,3+'5. Scenarios'!$B$8))/4+INDEX(BookQ4,562)*(5-MIN(4,4+'5. Scenarios'!$B$8))/4)*'5. Scenarios'!$B$6/(1+ProductivityDefault*('5. Scenarios'!$B$11-1))+INDEX(BookOneOff,562)*$D567)</f>
        <v/>
      </c>
      <c r="I567" s="56" t="str">
        <f aca="false">IF(INDEX(BookTitle,562)="","",INDEX(BookTotal,562)*'5. Scenarios'!$C$6/(1+ProductivityDefault*('5. Scenarios'!$C$11-1)))</f>
        <v/>
      </c>
      <c r="J567" s="57" t="str">
        <f aca="false">IF($I567="","",INDEX(BookRate,562)*(1+'5. Scenarios'!$C$10)*$I567)</f>
        <v/>
      </c>
      <c r="K567" s="57" t="str">
        <f aca="false">IF($J567="","",SUMIFS($J$6:$J$2405,$A$6:$A$2405,"&lt;="&amp;$A567))</f>
        <v/>
      </c>
      <c r="L567" s="57" t="str">
        <f aca="false">IF($J567="","",IF($K567&lt;=BankCostEnvelope*'5. Scenarios'!$C$7,1,0))</f>
        <v/>
      </c>
      <c r="M567" s="57" t="str">
        <f aca="false">IF($I567="","",INDEX(BookRate,562)*(1+'5. Scenarios'!$C$10)*(INDEX(BookQ1,562)*(5-MIN(4,1+'5. Scenarios'!$C$8))/4+INDEX(BookQ2,562)*(5-MIN(4,2+'5. Scenarios'!$C$8))/4+INDEX(BookQ3,562)*(5-MIN(4,3+'5. Scenarios'!$C$8))/4+INDEX(BookQ4,562)*(5-MIN(4,4+'5. Scenarios'!$C$8))/4)*'5. Scenarios'!$C$6/(1+ProductivityDefault*('5. Scenarios'!$C$11-1))+INDEX(BookOneOff,562)*$I567)</f>
        <v/>
      </c>
      <c r="N567" s="56" t="str">
        <f aca="false">IF(INDEX(BookTitle,562)="","",INDEX(BookTotal,562)*'5. Scenarios'!$D$6/(1+ProductivityDefault*('5. Scenarios'!$D$11-1)))</f>
        <v/>
      </c>
      <c r="O567" s="57" t="str">
        <f aca="false">IF($N567="","",INDEX(BookRate,562)*(1+'5. Scenarios'!$D$10)*$N567)</f>
        <v/>
      </c>
      <c r="P567" s="57" t="str">
        <f aca="false">IF($O567="","",SUMIFS($O$6:$O$2405,$A$6:$A$2405,"&lt;="&amp;$A567))</f>
        <v/>
      </c>
      <c r="Q567" s="57" t="str">
        <f aca="false">IF($O567="","",IF($P567&lt;=BankCostEnvelope*'5. Scenarios'!$D$7,1,0))</f>
        <v/>
      </c>
      <c r="R567" s="57" t="str">
        <f aca="false">IF($N567="","",INDEX(BookRate,562)*(1+'5. Scenarios'!$D$10)*(INDEX(BookQ1,562)*(5-MIN(4,1+'5. Scenarios'!$D$8))/4+INDEX(BookQ2,562)*(5-MIN(4,2+'5. Scenarios'!$D$8))/4+INDEX(BookQ3,562)*(5-MIN(4,3+'5. Scenarios'!$D$8))/4+INDEX(BookQ4,562)*(5-MIN(4,4+'5. Scenarios'!$D$8))/4)*'5. Scenarios'!$D$6/(1+ProductivityDefault*('5. Scenarios'!$D$11-1))+INDEX(BookOneOff,562)*$N567)</f>
        <v/>
      </c>
      <c r="S567" s="56" t="str">
        <f aca="false">IF(INDEX(BookTitle,562)="","",INDEX(BookTotal,562)*'5. Scenarios'!$E$6/(1+ProductivityDefault*('5. Scenarios'!$E$11-1)))</f>
        <v/>
      </c>
      <c r="T567" s="57" t="str">
        <f aca="false">IF($S567="","",INDEX(BookRate,562)*(1+'5. Scenarios'!$E$10)*$S567)</f>
        <v/>
      </c>
      <c r="U567" s="57" t="str">
        <f aca="false">IF($T567="","",SUMIFS($T$6:$T$2405,$A$6:$A$2405,"&lt;="&amp;$A567))</f>
        <v/>
      </c>
      <c r="V567" s="57" t="str">
        <f aca="false">IF($T567="","",IF($U567&lt;=BankCostEnvelope*'5. Scenarios'!$E$7,1,0))</f>
        <v/>
      </c>
      <c r="W567" s="57" t="str">
        <f aca="false">IF($S567="","",INDEX(BookRate,562)*(1+'5. Scenarios'!$E$10)*(INDEX(BookQ1,562)*(5-MIN(4,1+'5. Scenarios'!$E$8))/4+INDEX(BookQ2,562)*(5-MIN(4,2+'5. Scenarios'!$E$8))/4+INDEX(BookQ3,562)*(5-MIN(4,3+'5. Scenarios'!$E$8))/4+INDEX(BookQ4,562)*(5-MIN(4,4+'5. Scenarios'!$E$8))/4)*'5. Scenarios'!$E$6/(1+ProductivityDefault*('5. Scenarios'!$E$11-1))+INDEX(BookOneOff,562)*$S567)</f>
        <v/>
      </c>
    </row>
    <row r="568" customFormat="false" ht="15" hidden="false" customHeight="false" outlineLevel="0" collapsed="false">
      <c r="A568" s="0" t="str">
        <f aca="false">IF(INDEX(BookTitle,563)="","",INDEX(BookKey,563))</f>
        <v/>
      </c>
      <c r="B568" s="0" t="str">
        <f aca="false">IF(INDEX(BookTitle,563)="","",INDEX(BookGroup,563))</f>
        <v/>
      </c>
      <c r="C568" s="0" t="str">
        <f aca="false">IF(INDEX(BookTitle,563)="","",INDEX(BookCategory,563))</f>
        <v/>
      </c>
      <c r="D568" s="56" t="str">
        <f aca="false">IF(INDEX(BookTitle,563)="","",INDEX(BookTotal,563)*'5. Scenarios'!$B$6/(1+ProductivityDefault*('5. Scenarios'!$B$11-1)))</f>
        <v/>
      </c>
      <c r="E568" s="57" t="str">
        <f aca="false">IF($D568="","",INDEX(BookRate,563)*(1+'5. Scenarios'!$B$10)*$D568)</f>
        <v/>
      </c>
      <c r="F568" s="57" t="str">
        <f aca="false">IF($E568="","",SUMIFS($E$6:$E$2405,$A$6:$A$2405,"&lt;="&amp;$A568))</f>
        <v/>
      </c>
      <c r="G568" s="57" t="str">
        <f aca="false">IF($E568="","",IF($F568&lt;=BankCostEnvelope*'5. Scenarios'!$B$7,1,0))</f>
        <v/>
      </c>
      <c r="H568" s="57" t="str">
        <f aca="false">IF($D568="","",INDEX(BookRate,563)*(1+'5. Scenarios'!$B$10)*(INDEX(BookQ1,563)*(5-MIN(4,1+'5. Scenarios'!$B$8))/4+INDEX(BookQ2,563)*(5-MIN(4,2+'5. Scenarios'!$B$8))/4+INDEX(BookQ3,563)*(5-MIN(4,3+'5. Scenarios'!$B$8))/4+INDEX(BookQ4,563)*(5-MIN(4,4+'5. Scenarios'!$B$8))/4)*'5. Scenarios'!$B$6/(1+ProductivityDefault*('5. Scenarios'!$B$11-1))+INDEX(BookOneOff,563)*$D568)</f>
        <v/>
      </c>
      <c r="I568" s="56" t="str">
        <f aca="false">IF(INDEX(BookTitle,563)="","",INDEX(BookTotal,563)*'5. Scenarios'!$C$6/(1+ProductivityDefault*('5. Scenarios'!$C$11-1)))</f>
        <v/>
      </c>
      <c r="J568" s="57" t="str">
        <f aca="false">IF($I568="","",INDEX(BookRate,563)*(1+'5. Scenarios'!$C$10)*$I568)</f>
        <v/>
      </c>
      <c r="K568" s="57" t="str">
        <f aca="false">IF($J568="","",SUMIFS($J$6:$J$2405,$A$6:$A$2405,"&lt;="&amp;$A568))</f>
        <v/>
      </c>
      <c r="L568" s="57" t="str">
        <f aca="false">IF($J568="","",IF($K568&lt;=BankCostEnvelope*'5. Scenarios'!$C$7,1,0))</f>
        <v/>
      </c>
      <c r="M568" s="57" t="str">
        <f aca="false">IF($I568="","",INDEX(BookRate,563)*(1+'5. Scenarios'!$C$10)*(INDEX(BookQ1,563)*(5-MIN(4,1+'5. Scenarios'!$C$8))/4+INDEX(BookQ2,563)*(5-MIN(4,2+'5. Scenarios'!$C$8))/4+INDEX(BookQ3,563)*(5-MIN(4,3+'5. Scenarios'!$C$8))/4+INDEX(BookQ4,563)*(5-MIN(4,4+'5. Scenarios'!$C$8))/4)*'5. Scenarios'!$C$6/(1+ProductivityDefault*('5. Scenarios'!$C$11-1))+INDEX(BookOneOff,563)*$I568)</f>
        <v/>
      </c>
      <c r="N568" s="56" t="str">
        <f aca="false">IF(INDEX(BookTitle,563)="","",INDEX(BookTotal,563)*'5. Scenarios'!$D$6/(1+ProductivityDefault*('5. Scenarios'!$D$11-1)))</f>
        <v/>
      </c>
      <c r="O568" s="57" t="str">
        <f aca="false">IF($N568="","",INDEX(BookRate,563)*(1+'5. Scenarios'!$D$10)*$N568)</f>
        <v/>
      </c>
      <c r="P568" s="57" t="str">
        <f aca="false">IF($O568="","",SUMIFS($O$6:$O$2405,$A$6:$A$2405,"&lt;="&amp;$A568))</f>
        <v/>
      </c>
      <c r="Q568" s="57" t="str">
        <f aca="false">IF($O568="","",IF($P568&lt;=BankCostEnvelope*'5. Scenarios'!$D$7,1,0))</f>
        <v/>
      </c>
      <c r="R568" s="57" t="str">
        <f aca="false">IF($N568="","",INDEX(BookRate,563)*(1+'5. Scenarios'!$D$10)*(INDEX(BookQ1,563)*(5-MIN(4,1+'5. Scenarios'!$D$8))/4+INDEX(BookQ2,563)*(5-MIN(4,2+'5. Scenarios'!$D$8))/4+INDEX(BookQ3,563)*(5-MIN(4,3+'5. Scenarios'!$D$8))/4+INDEX(BookQ4,563)*(5-MIN(4,4+'5. Scenarios'!$D$8))/4)*'5. Scenarios'!$D$6/(1+ProductivityDefault*('5. Scenarios'!$D$11-1))+INDEX(BookOneOff,563)*$N568)</f>
        <v/>
      </c>
      <c r="S568" s="56" t="str">
        <f aca="false">IF(INDEX(BookTitle,563)="","",INDEX(BookTotal,563)*'5. Scenarios'!$E$6/(1+ProductivityDefault*('5. Scenarios'!$E$11-1)))</f>
        <v/>
      </c>
      <c r="T568" s="57" t="str">
        <f aca="false">IF($S568="","",INDEX(BookRate,563)*(1+'5. Scenarios'!$E$10)*$S568)</f>
        <v/>
      </c>
      <c r="U568" s="57" t="str">
        <f aca="false">IF($T568="","",SUMIFS($T$6:$T$2405,$A$6:$A$2405,"&lt;="&amp;$A568))</f>
        <v/>
      </c>
      <c r="V568" s="57" t="str">
        <f aca="false">IF($T568="","",IF($U568&lt;=BankCostEnvelope*'5. Scenarios'!$E$7,1,0))</f>
        <v/>
      </c>
      <c r="W568" s="57" t="str">
        <f aca="false">IF($S568="","",INDEX(BookRate,563)*(1+'5. Scenarios'!$E$10)*(INDEX(BookQ1,563)*(5-MIN(4,1+'5. Scenarios'!$E$8))/4+INDEX(BookQ2,563)*(5-MIN(4,2+'5. Scenarios'!$E$8))/4+INDEX(BookQ3,563)*(5-MIN(4,3+'5. Scenarios'!$E$8))/4+INDEX(BookQ4,563)*(5-MIN(4,4+'5. Scenarios'!$E$8))/4)*'5. Scenarios'!$E$6/(1+ProductivityDefault*('5. Scenarios'!$E$11-1))+INDEX(BookOneOff,563)*$S568)</f>
        <v/>
      </c>
    </row>
    <row r="569" customFormat="false" ht="15" hidden="false" customHeight="false" outlineLevel="0" collapsed="false">
      <c r="A569" s="0" t="str">
        <f aca="false">IF(INDEX(BookTitle,564)="","",INDEX(BookKey,564))</f>
        <v/>
      </c>
      <c r="B569" s="0" t="str">
        <f aca="false">IF(INDEX(BookTitle,564)="","",INDEX(BookGroup,564))</f>
        <v/>
      </c>
      <c r="C569" s="0" t="str">
        <f aca="false">IF(INDEX(BookTitle,564)="","",INDEX(BookCategory,564))</f>
        <v/>
      </c>
      <c r="D569" s="56" t="str">
        <f aca="false">IF(INDEX(BookTitle,564)="","",INDEX(BookTotal,564)*'5. Scenarios'!$B$6/(1+ProductivityDefault*('5. Scenarios'!$B$11-1)))</f>
        <v/>
      </c>
      <c r="E569" s="57" t="str">
        <f aca="false">IF($D569="","",INDEX(BookRate,564)*(1+'5. Scenarios'!$B$10)*$D569)</f>
        <v/>
      </c>
      <c r="F569" s="57" t="str">
        <f aca="false">IF($E569="","",SUMIFS($E$6:$E$2405,$A$6:$A$2405,"&lt;="&amp;$A569))</f>
        <v/>
      </c>
      <c r="G569" s="57" t="str">
        <f aca="false">IF($E569="","",IF($F569&lt;=BankCostEnvelope*'5. Scenarios'!$B$7,1,0))</f>
        <v/>
      </c>
      <c r="H569" s="57" t="str">
        <f aca="false">IF($D569="","",INDEX(BookRate,564)*(1+'5. Scenarios'!$B$10)*(INDEX(BookQ1,564)*(5-MIN(4,1+'5. Scenarios'!$B$8))/4+INDEX(BookQ2,564)*(5-MIN(4,2+'5. Scenarios'!$B$8))/4+INDEX(BookQ3,564)*(5-MIN(4,3+'5. Scenarios'!$B$8))/4+INDEX(BookQ4,564)*(5-MIN(4,4+'5. Scenarios'!$B$8))/4)*'5. Scenarios'!$B$6/(1+ProductivityDefault*('5. Scenarios'!$B$11-1))+INDEX(BookOneOff,564)*$D569)</f>
        <v/>
      </c>
      <c r="I569" s="56" t="str">
        <f aca="false">IF(INDEX(BookTitle,564)="","",INDEX(BookTotal,564)*'5. Scenarios'!$C$6/(1+ProductivityDefault*('5. Scenarios'!$C$11-1)))</f>
        <v/>
      </c>
      <c r="J569" s="57" t="str">
        <f aca="false">IF($I569="","",INDEX(BookRate,564)*(1+'5. Scenarios'!$C$10)*$I569)</f>
        <v/>
      </c>
      <c r="K569" s="57" t="str">
        <f aca="false">IF($J569="","",SUMIFS($J$6:$J$2405,$A$6:$A$2405,"&lt;="&amp;$A569))</f>
        <v/>
      </c>
      <c r="L569" s="57" t="str">
        <f aca="false">IF($J569="","",IF($K569&lt;=BankCostEnvelope*'5. Scenarios'!$C$7,1,0))</f>
        <v/>
      </c>
      <c r="M569" s="57" t="str">
        <f aca="false">IF($I569="","",INDEX(BookRate,564)*(1+'5. Scenarios'!$C$10)*(INDEX(BookQ1,564)*(5-MIN(4,1+'5. Scenarios'!$C$8))/4+INDEX(BookQ2,564)*(5-MIN(4,2+'5. Scenarios'!$C$8))/4+INDEX(BookQ3,564)*(5-MIN(4,3+'5. Scenarios'!$C$8))/4+INDEX(BookQ4,564)*(5-MIN(4,4+'5. Scenarios'!$C$8))/4)*'5. Scenarios'!$C$6/(1+ProductivityDefault*('5. Scenarios'!$C$11-1))+INDEX(BookOneOff,564)*$I569)</f>
        <v/>
      </c>
      <c r="N569" s="56" t="str">
        <f aca="false">IF(INDEX(BookTitle,564)="","",INDEX(BookTotal,564)*'5. Scenarios'!$D$6/(1+ProductivityDefault*('5. Scenarios'!$D$11-1)))</f>
        <v/>
      </c>
      <c r="O569" s="57" t="str">
        <f aca="false">IF($N569="","",INDEX(BookRate,564)*(1+'5. Scenarios'!$D$10)*$N569)</f>
        <v/>
      </c>
      <c r="P569" s="57" t="str">
        <f aca="false">IF($O569="","",SUMIFS($O$6:$O$2405,$A$6:$A$2405,"&lt;="&amp;$A569))</f>
        <v/>
      </c>
      <c r="Q569" s="57" t="str">
        <f aca="false">IF($O569="","",IF($P569&lt;=BankCostEnvelope*'5. Scenarios'!$D$7,1,0))</f>
        <v/>
      </c>
      <c r="R569" s="57" t="str">
        <f aca="false">IF($N569="","",INDEX(BookRate,564)*(1+'5. Scenarios'!$D$10)*(INDEX(BookQ1,564)*(5-MIN(4,1+'5. Scenarios'!$D$8))/4+INDEX(BookQ2,564)*(5-MIN(4,2+'5. Scenarios'!$D$8))/4+INDEX(BookQ3,564)*(5-MIN(4,3+'5. Scenarios'!$D$8))/4+INDEX(BookQ4,564)*(5-MIN(4,4+'5. Scenarios'!$D$8))/4)*'5. Scenarios'!$D$6/(1+ProductivityDefault*('5. Scenarios'!$D$11-1))+INDEX(BookOneOff,564)*$N569)</f>
        <v/>
      </c>
      <c r="S569" s="56" t="str">
        <f aca="false">IF(INDEX(BookTitle,564)="","",INDEX(BookTotal,564)*'5. Scenarios'!$E$6/(1+ProductivityDefault*('5. Scenarios'!$E$11-1)))</f>
        <v/>
      </c>
      <c r="T569" s="57" t="str">
        <f aca="false">IF($S569="","",INDEX(BookRate,564)*(1+'5. Scenarios'!$E$10)*$S569)</f>
        <v/>
      </c>
      <c r="U569" s="57" t="str">
        <f aca="false">IF($T569="","",SUMIFS($T$6:$T$2405,$A$6:$A$2405,"&lt;="&amp;$A569))</f>
        <v/>
      </c>
      <c r="V569" s="57" t="str">
        <f aca="false">IF($T569="","",IF($U569&lt;=BankCostEnvelope*'5. Scenarios'!$E$7,1,0))</f>
        <v/>
      </c>
      <c r="W569" s="57" t="str">
        <f aca="false">IF($S569="","",INDEX(BookRate,564)*(1+'5. Scenarios'!$E$10)*(INDEX(BookQ1,564)*(5-MIN(4,1+'5. Scenarios'!$E$8))/4+INDEX(BookQ2,564)*(5-MIN(4,2+'5. Scenarios'!$E$8))/4+INDEX(BookQ3,564)*(5-MIN(4,3+'5. Scenarios'!$E$8))/4+INDEX(BookQ4,564)*(5-MIN(4,4+'5. Scenarios'!$E$8))/4)*'5. Scenarios'!$E$6/(1+ProductivityDefault*('5. Scenarios'!$E$11-1))+INDEX(BookOneOff,564)*$S569)</f>
        <v/>
      </c>
    </row>
    <row r="570" customFormat="false" ht="15" hidden="false" customHeight="false" outlineLevel="0" collapsed="false">
      <c r="A570" s="0" t="str">
        <f aca="false">IF(INDEX(BookTitle,565)="","",INDEX(BookKey,565))</f>
        <v/>
      </c>
      <c r="B570" s="0" t="str">
        <f aca="false">IF(INDEX(BookTitle,565)="","",INDEX(BookGroup,565))</f>
        <v/>
      </c>
      <c r="C570" s="0" t="str">
        <f aca="false">IF(INDEX(BookTitle,565)="","",INDEX(BookCategory,565))</f>
        <v/>
      </c>
      <c r="D570" s="56" t="str">
        <f aca="false">IF(INDEX(BookTitle,565)="","",INDEX(BookTotal,565)*'5. Scenarios'!$B$6/(1+ProductivityDefault*('5. Scenarios'!$B$11-1)))</f>
        <v/>
      </c>
      <c r="E570" s="57" t="str">
        <f aca="false">IF($D570="","",INDEX(BookRate,565)*(1+'5. Scenarios'!$B$10)*$D570)</f>
        <v/>
      </c>
      <c r="F570" s="57" t="str">
        <f aca="false">IF($E570="","",SUMIFS($E$6:$E$2405,$A$6:$A$2405,"&lt;="&amp;$A570))</f>
        <v/>
      </c>
      <c r="G570" s="57" t="str">
        <f aca="false">IF($E570="","",IF($F570&lt;=BankCostEnvelope*'5. Scenarios'!$B$7,1,0))</f>
        <v/>
      </c>
      <c r="H570" s="57" t="str">
        <f aca="false">IF($D570="","",INDEX(BookRate,565)*(1+'5. Scenarios'!$B$10)*(INDEX(BookQ1,565)*(5-MIN(4,1+'5. Scenarios'!$B$8))/4+INDEX(BookQ2,565)*(5-MIN(4,2+'5. Scenarios'!$B$8))/4+INDEX(BookQ3,565)*(5-MIN(4,3+'5. Scenarios'!$B$8))/4+INDEX(BookQ4,565)*(5-MIN(4,4+'5. Scenarios'!$B$8))/4)*'5. Scenarios'!$B$6/(1+ProductivityDefault*('5. Scenarios'!$B$11-1))+INDEX(BookOneOff,565)*$D570)</f>
        <v/>
      </c>
      <c r="I570" s="56" t="str">
        <f aca="false">IF(INDEX(BookTitle,565)="","",INDEX(BookTotal,565)*'5. Scenarios'!$C$6/(1+ProductivityDefault*('5. Scenarios'!$C$11-1)))</f>
        <v/>
      </c>
      <c r="J570" s="57" t="str">
        <f aca="false">IF($I570="","",INDEX(BookRate,565)*(1+'5. Scenarios'!$C$10)*$I570)</f>
        <v/>
      </c>
      <c r="K570" s="57" t="str">
        <f aca="false">IF($J570="","",SUMIFS($J$6:$J$2405,$A$6:$A$2405,"&lt;="&amp;$A570))</f>
        <v/>
      </c>
      <c r="L570" s="57" t="str">
        <f aca="false">IF($J570="","",IF($K570&lt;=BankCostEnvelope*'5. Scenarios'!$C$7,1,0))</f>
        <v/>
      </c>
      <c r="M570" s="57" t="str">
        <f aca="false">IF($I570="","",INDEX(BookRate,565)*(1+'5. Scenarios'!$C$10)*(INDEX(BookQ1,565)*(5-MIN(4,1+'5. Scenarios'!$C$8))/4+INDEX(BookQ2,565)*(5-MIN(4,2+'5. Scenarios'!$C$8))/4+INDEX(BookQ3,565)*(5-MIN(4,3+'5. Scenarios'!$C$8))/4+INDEX(BookQ4,565)*(5-MIN(4,4+'5. Scenarios'!$C$8))/4)*'5. Scenarios'!$C$6/(1+ProductivityDefault*('5. Scenarios'!$C$11-1))+INDEX(BookOneOff,565)*$I570)</f>
        <v/>
      </c>
      <c r="N570" s="56" t="str">
        <f aca="false">IF(INDEX(BookTitle,565)="","",INDEX(BookTotal,565)*'5. Scenarios'!$D$6/(1+ProductivityDefault*('5. Scenarios'!$D$11-1)))</f>
        <v/>
      </c>
      <c r="O570" s="57" t="str">
        <f aca="false">IF($N570="","",INDEX(BookRate,565)*(1+'5. Scenarios'!$D$10)*$N570)</f>
        <v/>
      </c>
      <c r="P570" s="57" t="str">
        <f aca="false">IF($O570="","",SUMIFS($O$6:$O$2405,$A$6:$A$2405,"&lt;="&amp;$A570))</f>
        <v/>
      </c>
      <c r="Q570" s="57" t="str">
        <f aca="false">IF($O570="","",IF($P570&lt;=BankCostEnvelope*'5. Scenarios'!$D$7,1,0))</f>
        <v/>
      </c>
      <c r="R570" s="57" t="str">
        <f aca="false">IF($N570="","",INDEX(BookRate,565)*(1+'5. Scenarios'!$D$10)*(INDEX(BookQ1,565)*(5-MIN(4,1+'5. Scenarios'!$D$8))/4+INDEX(BookQ2,565)*(5-MIN(4,2+'5. Scenarios'!$D$8))/4+INDEX(BookQ3,565)*(5-MIN(4,3+'5. Scenarios'!$D$8))/4+INDEX(BookQ4,565)*(5-MIN(4,4+'5. Scenarios'!$D$8))/4)*'5. Scenarios'!$D$6/(1+ProductivityDefault*('5. Scenarios'!$D$11-1))+INDEX(BookOneOff,565)*$N570)</f>
        <v/>
      </c>
      <c r="S570" s="56" t="str">
        <f aca="false">IF(INDEX(BookTitle,565)="","",INDEX(BookTotal,565)*'5. Scenarios'!$E$6/(1+ProductivityDefault*('5. Scenarios'!$E$11-1)))</f>
        <v/>
      </c>
      <c r="T570" s="57" t="str">
        <f aca="false">IF($S570="","",INDEX(BookRate,565)*(1+'5. Scenarios'!$E$10)*$S570)</f>
        <v/>
      </c>
      <c r="U570" s="57" t="str">
        <f aca="false">IF($T570="","",SUMIFS($T$6:$T$2405,$A$6:$A$2405,"&lt;="&amp;$A570))</f>
        <v/>
      </c>
      <c r="V570" s="57" t="str">
        <f aca="false">IF($T570="","",IF($U570&lt;=BankCostEnvelope*'5. Scenarios'!$E$7,1,0))</f>
        <v/>
      </c>
      <c r="W570" s="57" t="str">
        <f aca="false">IF($S570="","",INDEX(BookRate,565)*(1+'5. Scenarios'!$E$10)*(INDEX(BookQ1,565)*(5-MIN(4,1+'5. Scenarios'!$E$8))/4+INDEX(BookQ2,565)*(5-MIN(4,2+'5. Scenarios'!$E$8))/4+INDEX(BookQ3,565)*(5-MIN(4,3+'5. Scenarios'!$E$8))/4+INDEX(BookQ4,565)*(5-MIN(4,4+'5. Scenarios'!$E$8))/4)*'5. Scenarios'!$E$6/(1+ProductivityDefault*('5. Scenarios'!$E$11-1))+INDEX(BookOneOff,565)*$S570)</f>
        <v/>
      </c>
    </row>
    <row r="571" customFormat="false" ht="15" hidden="false" customHeight="false" outlineLevel="0" collapsed="false">
      <c r="A571" s="0" t="str">
        <f aca="false">IF(INDEX(BookTitle,566)="","",INDEX(BookKey,566))</f>
        <v/>
      </c>
      <c r="B571" s="0" t="str">
        <f aca="false">IF(INDEX(BookTitle,566)="","",INDEX(BookGroup,566))</f>
        <v/>
      </c>
      <c r="C571" s="0" t="str">
        <f aca="false">IF(INDEX(BookTitle,566)="","",INDEX(BookCategory,566))</f>
        <v/>
      </c>
      <c r="D571" s="56" t="str">
        <f aca="false">IF(INDEX(BookTitle,566)="","",INDEX(BookTotal,566)*'5. Scenarios'!$B$6/(1+ProductivityDefault*('5. Scenarios'!$B$11-1)))</f>
        <v/>
      </c>
      <c r="E571" s="57" t="str">
        <f aca="false">IF($D571="","",INDEX(BookRate,566)*(1+'5. Scenarios'!$B$10)*$D571)</f>
        <v/>
      </c>
      <c r="F571" s="57" t="str">
        <f aca="false">IF($E571="","",SUMIFS($E$6:$E$2405,$A$6:$A$2405,"&lt;="&amp;$A571))</f>
        <v/>
      </c>
      <c r="G571" s="57" t="str">
        <f aca="false">IF($E571="","",IF($F571&lt;=BankCostEnvelope*'5. Scenarios'!$B$7,1,0))</f>
        <v/>
      </c>
      <c r="H571" s="57" t="str">
        <f aca="false">IF($D571="","",INDEX(BookRate,566)*(1+'5. Scenarios'!$B$10)*(INDEX(BookQ1,566)*(5-MIN(4,1+'5. Scenarios'!$B$8))/4+INDEX(BookQ2,566)*(5-MIN(4,2+'5. Scenarios'!$B$8))/4+INDEX(BookQ3,566)*(5-MIN(4,3+'5. Scenarios'!$B$8))/4+INDEX(BookQ4,566)*(5-MIN(4,4+'5. Scenarios'!$B$8))/4)*'5. Scenarios'!$B$6/(1+ProductivityDefault*('5. Scenarios'!$B$11-1))+INDEX(BookOneOff,566)*$D571)</f>
        <v/>
      </c>
      <c r="I571" s="56" t="str">
        <f aca="false">IF(INDEX(BookTitle,566)="","",INDEX(BookTotal,566)*'5. Scenarios'!$C$6/(1+ProductivityDefault*('5. Scenarios'!$C$11-1)))</f>
        <v/>
      </c>
      <c r="J571" s="57" t="str">
        <f aca="false">IF($I571="","",INDEX(BookRate,566)*(1+'5. Scenarios'!$C$10)*$I571)</f>
        <v/>
      </c>
      <c r="K571" s="57" t="str">
        <f aca="false">IF($J571="","",SUMIFS($J$6:$J$2405,$A$6:$A$2405,"&lt;="&amp;$A571))</f>
        <v/>
      </c>
      <c r="L571" s="57" t="str">
        <f aca="false">IF($J571="","",IF($K571&lt;=BankCostEnvelope*'5. Scenarios'!$C$7,1,0))</f>
        <v/>
      </c>
      <c r="M571" s="57" t="str">
        <f aca="false">IF($I571="","",INDEX(BookRate,566)*(1+'5. Scenarios'!$C$10)*(INDEX(BookQ1,566)*(5-MIN(4,1+'5. Scenarios'!$C$8))/4+INDEX(BookQ2,566)*(5-MIN(4,2+'5. Scenarios'!$C$8))/4+INDEX(BookQ3,566)*(5-MIN(4,3+'5. Scenarios'!$C$8))/4+INDEX(BookQ4,566)*(5-MIN(4,4+'5. Scenarios'!$C$8))/4)*'5. Scenarios'!$C$6/(1+ProductivityDefault*('5. Scenarios'!$C$11-1))+INDEX(BookOneOff,566)*$I571)</f>
        <v/>
      </c>
      <c r="N571" s="56" t="str">
        <f aca="false">IF(INDEX(BookTitle,566)="","",INDEX(BookTotal,566)*'5. Scenarios'!$D$6/(1+ProductivityDefault*('5. Scenarios'!$D$11-1)))</f>
        <v/>
      </c>
      <c r="O571" s="57" t="str">
        <f aca="false">IF($N571="","",INDEX(BookRate,566)*(1+'5. Scenarios'!$D$10)*$N571)</f>
        <v/>
      </c>
      <c r="P571" s="57" t="str">
        <f aca="false">IF($O571="","",SUMIFS($O$6:$O$2405,$A$6:$A$2405,"&lt;="&amp;$A571))</f>
        <v/>
      </c>
      <c r="Q571" s="57" t="str">
        <f aca="false">IF($O571="","",IF($P571&lt;=BankCostEnvelope*'5. Scenarios'!$D$7,1,0))</f>
        <v/>
      </c>
      <c r="R571" s="57" t="str">
        <f aca="false">IF($N571="","",INDEX(BookRate,566)*(1+'5. Scenarios'!$D$10)*(INDEX(BookQ1,566)*(5-MIN(4,1+'5. Scenarios'!$D$8))/4+INDEX(BookQ2,566)*(5-MIN(4,2+'5. Scenarios'!$D$8))/4+INDEX(BookQ3,566)*(5-MIN(4,3+'5. Scenarios'!$D$8))/4+INDEX(BookQ4,566)*(5-MIN(4,4+'5. Scenarios'!$D$8))/4)*'5. Scenarios'!$D$6/(1+ProductivityDefault*('5. Scenarios'!$D$11-1))+INDEX(BookOneOff,566)*$N571)</f>
        <v/>
      </c>
      <c r="S571" s="56" t="str">
        <f aca="false">IF(INDEX(BookTitle,566)="","",INDEX(BookTotal,566)*'5. Scenarios'!$E$6/(1+ProductivityDefault*('5. Scenarios'!$E$11-1)))</f>
        <v/>
      </c>
      <c r="T571" s="57" t="str">
        <f aca="false">IF($S571="","",INDEX(BookRate,566)*(1+'5. Scenarios'!$E$10)*$S571)</f>
        <v/>
      </c>
      <c r="U571" s="57" t="str">
        <f aca="false">IF($T571="","",SUMIFS($T$6:$T$2405,$A$6:$A$2405,"&lt;="&amp;$A571))</f>
        <v/>
      </c>
      <c r="V571" s="57" t="str">
        <f aca="false">IF($T571="","",IF($U571&lt;=BankCostEnvelope*'5. Scenarios'!$E$7,1,0))</f>
        <v/>
      </c>
      <c r="W571" s="57" t="str">
        <f aca="false">IF($S571="","",INDEX(BookRate,566)*(1+'5. Scenarios'!$E$10)*(INDEX(BookQ1,566)*(5-MIN(4,1+'5. Scenarios'!$E$8))/4+INDEX(BookQ2,566)*(5-MIN(4,2+'5. Scenarios'!$E$8))/4+INDEX(BookQ3,566)*(5-MIN(4,3+'5. Scenarios'!$E$8))/4+INDEX(BookQ4,566)*(5-MIN(4,4+'5. Scenarios'!$E$8))/4)*'5. Scenarios'!$E$6/(1+ProductivityDefault*('5. Scenarios'!$E$11-1))+INDEX(BookOneOff,566)*$S571)</f>
        <v/>
      </c>
    </row>
    <row r="572" customFormat="false" ht="15" hidden="false" customHeight="false" outlineLevel="0" collapsed="false">
      <c r="A572" s="0" t="str">
        <f aca="false">IF(INDEX(BookTitle,567)="","",INDEX(BookKey,567))</f>
        <v/>
      </c>
      <c r="B572" s="0" t="str">
        <f aca="false">IF(INDEX(BookTitle,567)="","",INDEX(BookGroup,567))</f>
        <v/>
      </c>
      <c r="C572" s="0" t="str">
        <f aca="false">IF(INDEX(BookTitle,567)="","",INDEX(BookCategory,567))</f>
        <v/>
      </c>
      <c r="D572" s="56" t="str">
        <f aca="false">IF(INDEX(BookTitle,567)="","",INDEX(BookTotal,567)*'5. Scenarios'!$B$6/(1+ProductivityDefault*('5. Scenarios'!$B$11-1)))</f>
        <v/>
      </c>
      <c r="E572" s="57" t="str">
        <f aca="false">IF($D572="","",INDEX(BookRate,567)*(1+'5. Scenarios'!$B$10)*$D572)</f>
        <v/>
      </c>
      <c r="F572" s="57" t="str">
        <f aca="false">IF($E572="","",SUMIFS($E$6:$E$2405,$A$6:$A$2405,"&lt;="&amp;$A572))</f>
        <v/>
      </c>
      <c r="G572" s="57" t="str">
        <f aca="false">IF($E572="","",IF($F572&lt;=BankCostEnvelope*'5. Scenarios'!$B$7,1,0))</f>
        <v/>
      </c>
      <c r="H572" s="57" t="str">
        <f aca="false">IF($D572="","",INDEX(BookRate,567)*(1+'5. Scenarios'!$B$10)*(INDEX(BookQ1,567)*(5-MIN(4,1+'5. Scenarios'!$B$8))/4+INDEX(BookQ2,567)*(5-MIN(4,2+'5. Scenarios'!$B$8))/4+INDEX(BookQ3,567)*(5-MIN(4,3+'5. Scenarios'!$B$8))/4+INDEX(BookQ4,567)*(5-MIN(4,4+'5. Scenarios'!$B$8))/4)*'5. Scenarios'!$B$6/(1+ProductivityDefault*('5. Scenarios'!$B$11-1))+INDEX(BookOneOff,567)*$D572)</f>
        <v/>
      </c>
      <c r="I572" s="56" t="str">
        <f aca="false">IF(INDEX(BookTitle,567)="","",INDEX(BookTotal,567)*'5. Scenarios'!$C$6/(1+ProductivityDefault*('5. Scenarios'!$C$11-1)))</f>
        <v/>
      </c>
      <c r="J572" s="57" t="str">
        <f aca="false">IF($I572="","",INDEX(BookRate,567)*(1+'5. Scenarios'!$C$10)*$I572)</f>
        <v/>
      </c>
      <c r="K572" s="57" t="str">
        <f aca="false">IF($J572="","",SUMIFS($J$6:$J$2405,$A$6:$A$2405,"&lt;="&amp;$A572))</f>
        <v/>
      </c>
      <c r="L572" s="57" t="str">
        <f aca="false">IF($J572="","",IF($K572&lt;=BankCostEnvelope*'5. Scenarios'!$C$7,1,0))</f>
        <v/>
      </c>
      <c r="M572" s="57" t="str">
        <f aca="false">IF($I572="","",INDEX(BookRate,567)*(1+'5. Scenarios'!$C$10)*(INDEX(BookQ1,567)*(5-MIN(4,1+'5. Scenarios'!$C$8))/4+INDEX(BookQ2,567)*(5-MIN(4,2+'5. Scenarios'!$C$8))/4+INDEX(BookQ3,567)*(5-MIN(4,3+'5. Scenarios'!$C$8))/4+INDEX(BookQ4,567)*(5-MIN(4,4+'5. Scenarios'!$C$8))/4)*'5. Scenarios'!$C$6/(1+ProductivityDefault*('5. Scenarios'!$C$11-1))+INDEX(BookOneOff,567)*$I572)</f>
        <v/>
      </c>
      <c r="N572" s="56" t="str">
        <f aca="false">IF(INDEX(BookTitle,567)="","",INDEX(BookTotal,567)*'5. Scenarios'!$D$6/(1+ProductivityDefault*('5. Scenarios'!$D$11-1)))</f>
        <v/>
      </c>
      <c r="O572" s="57" t="str">
        <f aca="false">IF($N572="","",INDEX(BookRate,567)*(1+'5. Scenarios'!$D$10)*$N572)</f>
        <v/>
      </c>
      <c r="P572" s="57" t="str">
        <f aca="false">IF($O572="","",SUMIFS($O$6:$O$2405,$A$6:$A$2405,"&lt;="&amp;$A572))</f>
        <v/>
      </c>
      <c r="Q572" s="57" t="str">
        <f aca="false">IF($O572="","",IF($P572&lt;=BankCostEnvelope*'5. Scenarios'!$D$7,1,0))</f>
        <v/>
      </c>
      <c r="R572" s="57" t="str">
        <f aca="false">IF($N572="","",INDEX(BookRate,567)*(1+'5. Scenarios'!$D$10)*(INDEX(BookQ1,567)*(5-MIN(4,1+'5. Scenarios'!$D$8))/4+INDEX(BookQ2,567)*(5-MIN(4,2+'5. Scenarios'!$D$8))/4+INDEX(BookQ3,567)*(5-MIN(4,3+'5. Scenarios'!$D$8))/4+INDEX(BookQ4,567)*(5-MIN(4,4+'5. Scenarios'!$D$8))/4)*'5. Scenarios'!$D$6/(1+ProductivityDefault*('5. Scenarios'!$D$11-1))+INDEX(BookOneOff,567)*$N572)</f>
        <v/>
      </c>
      <c r="S572" s="56" t="str">
        <f aca="false">IF(INDEX(BookTitle,567)="","",INDEX(BookTotal,567)*'5. Scenarios'!$E$6/(1+ProductivityDefault*('5. Scenarios'!$E$11-1)))</f>
        <v/>
      </c>
      <c r="T572" s="57" t="str">
        <f aca="false">IF($S572="","",INDEX(BookRate,567)*(1+'5. Scenarios'!$E$10)*$S572)</f>
        <v/>
      </c>
      <c r="U572" s="57" t="str">
        <f aca="false">IF($T572="","",SUMIFS($T$6:$T$2405,$A$6:$A$2405,"&lt;="&amp;$A572))</f>
        <v/>
      </c>
      <c r="V572" s="57" t="str">
        <f aca="false">IF($T572="","",IF($U572&lt;=BankCostEnvelope*'5. Scenarios'!$E$7,1,0))</f>
        <v/>
      </c>
      <c r="W572" s="57" t="str">
        <f aca="false">IF($S572="","",INDEX(BookRate,567)*(1+'5. Scenarios'!$E$10)*(INDEX(BookQ1,567)*(5-MIN(4,1+'5. Scenarios'!$E$8))/4+INDEX(BookQ2,567)*(5-MIN(4,2+'5. Scenarios'!$E$8))/4+INDEX(BookQ3,567)*(5-MIN(4,3+'5. Scenarios'!$E$8))/4+INDEX(BookQ4,567)*(5-MIN(4,4+'5. Scenarios'!$E$8))/4)*'5. Scenarios'!$E$6/(1+ProductivityDefault*('5. Scenarios'!$E$11-1))+INDEX(BookOneOff,567)*$S572)</f>
        <v/>
      </c>
    </row>
    <row r="573" customFormat="false" ht="15" hidden="false" customHeight="false" outlineLevel="0" collapsed="false">
      <c r="A573" s="0" t="str">
        <f aca="false">IF(INDEX(BookTitle,568)="","",INDEX(BookKey,568))</f>
        <v/>
      </c>
      <c r="B573" s="0" t="str">
        <f aca="false">IF(INDEX(BookTitle,568)="","",INDEX(BookGroup,568))</f>
        <v/>
      </c>
      <c r="C573" s="0" t="str">
        <f aca="false">IF(INDEX(BookTitle,568)="","",INDEX(BookCategory,568))</f>
        <v/>
      </c>
      <c r="D573" s="56" t="str">
        <f aca="false">IF(INDEX(BookTitle,568)="","",INDEX(BookTotal,568)*'5. Scenarios'!$B$6/(1+ProductivityDefault*('5. Scenarios'!$B$11-1)))</f>
        <v/>
      </c>
      <c r="E573" s="57" t="str">
        <f aca="false">IF($D573="","",INDEX(BookRate,568)*(1+'5. Scenarios'!$B$10)*$D573)</f>
        <v/>
      </c>
      <c r="F573" s="57" t="str">
        <f aca="false">IF($E573="","",SUMIFS($E$6:$E$2405,$A$6:$A$2405,"&lt;="&amp;$A573))</f>
        <v/>
      </c>
      <c r="G573" s="57" t="str">
        <f aca="false">IF($E573="","",IF($F573&lt;=BankCostEnvelope*'5. Scenarios'!$B$7,1,0))</f>
        <v/>
      </c>
      <c r="H573" s="57" t="str">
        <f aca="false">IF($D573="","",INDEX(BookRate,568)*(1+'5. Scenarios'!$B$10)*(INDEX(BookQ1,568)*(5-MIN(4,1+'5. Scenarios'!$B$8))/4+INDEX(BookQ2,568)*(5-MIN(4,2+'5. Scenarios'!$B$8))/4+INDEX(BookQ3,568)*(5-MIN(4,3+'5. Scenarios'!$B$8))/4+INDEX(BookQ4,568)*(5-MIN(4,4+'5. Scenarios'!$B$8))/4)*'5. Scenarios'!$B$6/(1+ProductivityDefault*('5. Scenarios'!$B$11-1))+INDEX(BookOneOff,568)*$D573)</f>
        <v/>
      </c>
      <c r="I573" s="56" t="str">
        <f aca="false">IF(INDEX(BookTitle,568)="","",INDEX(BookTotal,568)*'5. Scenarios'!$C$6/(1+ProductivityDefault*('5. Scenarios'!$C$11-1)))</f>
        <v/>
      </c>
      <c r="J573" s="57" t="str">
        <f aca="false">IF($I573="","",INDEX(BookRate,568)*(1+'5. Scenarios'!$C$10)*$I573)</f>
        <v/>
      </c>
      <c r="K573" s="57" t="str">
        <f aca="false">IF($J573="","",SUMIFS($J$6:$J$2405,$A$6:$A$2405,"&lt;="&amp;$A573))</f>
        <v/>
      </c>
      <c r="L573" s="57" t="str">
        <f aca="false">IF($J573="","",IF($K573&lt;=BankCostEnvelope*'5. Scenarios'!$C$7,1,0))</f>
        <v/>
      </c>
      <c r="M573" s="57" t="str">
        <f aca="false">IF($I573="","",INDEX(BookRate,568)*(1+'5. Scenarios'!$C$10)*(INDEX(BookQ1,568)*(5-MIN(4,1+'5. Scenarios'!$C$8))/4+INDEX(BookQ2,568)*(5-MIN(4,2+'5. Scenarios'!$C$8))/4+INDEX(BookQ3,568)*(5-MIN(4,3+'5. Scenarios'!$C$8))/4+INDEX(BookQ4,568)*(5-MIN(4,4+'5. Scenarios'!$C$8))/4)*'5. Scenarios'!$C$6/(1+ProductivityDefault*('5. Scenarios'!$C$11-1))+INDEX(BookOneOff,568)*$I573)</f>
        <v/>
      </c>
      <c r="N573" s="56" t="str">
        <f aca="false">IF(INDEX(BookTitle,568)="","",INDEX(BookTotal,568)*'5. Scenarios'!$D$6/(1+ProductivityDefault*('5. Scenarios'!$D$11-1)))</f>
        <v/>
      </c>
      <c r="O573" s="57" t="str">
        <f aca="false">IF($N573="","",INDEX(BookRate,568)*(1+'5. Scenarios'!$D$10)*$N573)</f>
        <v/>
      </c>
      <c r="P573" s="57" t="str">
        <f aca="false">IF($O573="","",SUMIFS($O$6:$O$2405,$A$6:$A$2405,"&lt;="&amp;$A573))</f>
        <v/>
      </c>
      <c r="Q573" s="57" t="str">
        <f aca="false">IF($O573="","",IF($P573&lt;=BankCostEnvelope*'5. Scenarios'!$D$7,1,0))</f>
        <v/>
      </c>
      <c r="R573" s="57" t="str">
        <f aca="false">IF($N573="","",INDEX(BookRate,568)*(1+'5. Scenarios'!$D$10)*(INDEX(BookQ1,568)*(5-MIN(4,1+'5. Scenarios'!$D$8))/4+INDEX(BookQ2,568)*(5-MIN(4,2+'5. Scenarios'!$D$8))/4+INDEX(BookQ3,568)*(5-MIN(4,3+'5. Scenarios'!$D$8))/4+INDEX(BookQ4,568)*(5-MIN(4,4+'5. Scenarios'!$D$8))/4)*'5. Scenarios'!$D$6/(1+ProductivityDefault*('5. Scenarios'!$D$11-1))+INDEX(BookOneOff,568)*$N573)</f>
        <v/>
      </c>
      <c r="S573" s="56" t="str">
        <f aca="false">IF(INDEX(BookTitle,568)="","",INDEX(BookTotal,568)*'5. Scenarios'!$E$6/(1+ProductivityDefault*('5. Scenarios'!$E$11-1)))</f>
        <v/>
      </c>
      <c r="T573" s="57" t="str">
        <f aca="false">IF($S573="","",INDEX(BookRate,568)*(1+'5. Scenarios'!$E$10)*$S573)</f>
        <v/>
      </c>
      <c r="U573" s="57" t="str">
        <f aca="false">IF($T573="","",SUMIFS($T$6:$T$2405,$A$6:$A$2405,"&lt;="&amp;$A573))</f>
        <v/>
      </c>
      <c r="V573" s="57" t="str">
        <f aca="false">IF($T573="","",IF($U573&lt;=BankCostEnvelope*'5. Scenarios'!$E$7,1,0))</f>
        <v/>
      </c>
      <c r="W573" s="57" t="str">
        <f aca="false">IF($S573="","",INDEX(BookRate,568)*(1+'5. Scenarios'!$E$10)*(INDEX(BookQ1,568)*(5-MIN(4,1+'5. Scenarios'!$E$8))/4+INDEX(BookQ2,568)*(5-MIN(4,2+'5. Scenarios'!$E$8))/4+INDEX(BookQ3,568)*(5-MIN(4,3+'5. Scenarios'!$E$8))/4+INDEX(BookQ4,568)*(5-MIN(4,4+'5. Scenarios'!$E$8))/4)*'5. Scenarios'!$E$6/(1+ProductivityDefault*('5. Scenarios'!$E$11-1))+INDEX(BookOneOff,568)*$S573)</f>
        <v/>
      </c>
    </row>
    <row r="574" customFormat="false" ht="15" hidden="false" customHeight="false" outlineLevel="0" collapsed="false">
      <c r="A574" s="0" t="str">
        <f aca="false">IF(INDEX(BookTitle,569)="","",INDEX(BookKey,569))</f>
        <v/>
      </c>
      <c r="B574" s="0" t="str">
        <f aca="false">IF(INDEX(BookTitle,569)="","",INDEX(BookGroup,569))</f>
        <v/>
      </c>
      <c r="C574" s="0" t="str">
        <f aca="false">IF(INDEX(BookTitle,569)="","",INDEX(BookCategory,569))</f>
        <v/>
      </c>
      <c r="D574" s="56" t="str">
        <f aca="false">IF(INDEX(BookTitle,569)="","",INDEX(BookTotal,569)*'5. Scenarios'!$B$6/(1+ProductivityDefault*('5. Scenarios'!$B$11-1)))</f>
        <v/>
      </c>
      <c r="E574" s="57" t="str">
        <f aca="false">IF($D574="","",INDEX(BookRate,569)*(1+'5. Scenarios'!$B$10)*$D574)</f>
        <v/>
      </c>
      <c r="F574" s="57" t="str">
        <f aca="false">IF($E574="","",SUMIFS($E$6:$E$2405,$A$6:$A$2405,"&lt;="&amp;$A574))</f>
        <v/>
      </c>
      <c r="G574" s="57" t="str">
        <f aca="false">IF($E574="","",IF($F574&lt;=BankCostEnvelope*'5. Scenarios'!$B$7,1,0))</f>
        <v/>
      </c>
      <c r="H574" s="57" t="str">
        <f aca="false">IF($D574="","",INDEX(BookRate,569)*(1+'5. Scenarios'!$B$10)*(INDEX(BookQ1,569)*(5-MIN(4,1+'5. Scenarios'!$B$8))/4+INDEX(BookQ2,569)*(5-MIN(4,2+'5. Scenarios'!$B$8))/4+INDEX(BookQ3,569)*(5-MIN(4,3+'5. Scenarios'!$B$8))/4+INDEX(BookQ4,569)*(5-MIN(4,4+'5. Scenarios'!$B$8))/4)*'5. Scenarios'!$B$6/(1+ProductivityDefault*('5. Scenarios'!$B$11-1))+INDEX(BookOneOff,569)*$D574)</f>
        <v/>
      </c>
      <c r="I574" s="56" t="str">
        <f aca="false">IF(INDEX(BookTitle,569)="","",INDEX(BookTotal,569)*'5. Scenarios'!$C$6/(1+ProductivityDefault*('5. Scenarios'!$C$11-1)))</f>
        <v/>
      </c>
      <c r="J574" s="57" t="str">
        <f aca="false">IF($I574="","",INDEX(BookRate,569)*(1+'5. Scenarios'!$C$10)*$I574)</f>
        <v/>
      </c>
      <c r="K574" s="57" t="str">
        <f aca="false">IF($J574="","",SUMIFS($J$6:$J$2405,$A$6:$A$2405,"&lt;="&amp;$A574))</f>
        <v/>
      </c>
      <c r="L574" s="57" t="str">
        <f aca="false">IF($J574="","",IF($K574&lt;=BankCostEnvelope*'5. Scenarios'!$C$7,1,0))</f>
        <v/>
      </c>
      <c r="M574" s="57" t="str">
        <f aca="false">IF($I574="","",INDEX(BookRate,569)*(1+'5. Scenarios'!$C$10)*(INDEX(BookQ1,569)*(5-MIN(4,1+'5. Scenarios'!$C$8))/4+INDEX(BookQ2,569)*(5-MIN(4,2+'5. Scenarios'!$C$8))/4+INDEX(BookQ3,569)*(5-MIN(4,3+'5. Scenarios'!$C$8))/4+INDEX(BookQ4,569)*(5-MIN(4,4+'5. Scenarios'!$C$8))/4)*'5. Scenarios'!$C$6/(1+ProductivityDefault*('5. Scenarios'!$C$11-1))+INDEX(BookOneOff,569)*$I574)</f>
        <v/>
      </c>
      <c r="N574" s="56" t="str">
        <f aca="false">IF(INDEX(BookTitle,569)="","",INDEX(BookTotal,569)*'5. Scenarios'!$D$6/(1+ProductivityDefault*('5. Scenarios'!$D$11-1)))</f>
        <v/>
      </c>
      <c r="O574" s="57" t="str">
        <f aca="false">IF($N574="","",INDEX(BookRate,569)*(1+'5. Scenarios'!$D$10)*$N574)</f>
        <v/>
      </c>
      <c r="P574" s="57" t="str">
        <f aca="false">IF($O574="","",SUMIFS($O$6:$O$2405,$A$6:$A$2405,"&lt;="&amp;$A574))</f>
        <v/>
      </c>
      <c r="Q574" s="57" t="str">
        <f aca="false">IF($O574="","",IF($P574&lt;=BankCostEnvelope*'5. Scenarios'!$D$7,1,0))</f>
        <v/>
      </c>
      <c r="R574" s="57" t="str">
        <f aca="false">IF($N574="","",INDEX(BookRate,569)*(1+'5. Scenarios'!$D$10)*(INDEX(BookQ1,569)*(5-MIN(4,1+'5. Scenarios'!$D$8))/4+INDEX(BookQ2,569)*(5-MIN(4,2+'5. Scenarios'!$D$8))/4+INDEX(BookQ3,569)*(5-MIN(4,3+'5. Scenarios'!$D$8))/4+INDEX(BookQ4,569)*(5-MIN(4,4+'5. Scenarios'!$D$8))/4)*'5. Scenarios'!$D$6/(1+ProductivityDefault*('5. Scenarios'!$D$11-1))+INDEX(BookOneOff,569)*$N574)</f>
        <v/>
      </c>
      <c r="S574" s="56" t="str">
        <f aca="false">IF(INDEX(BookTitle,569)="","",INDEX(BookTotal,569)*'5. Scenarios'!$E$6/(1+ProductivityDefault*('5. Scenarios'!$E$11-1)))</f>
        <v/>
      </c>
      <c r="T574" s="57" t="str">
        <f aca="false">IF($S574="","",INDEX(BookRate,569)*(1+'5. Scenarios'!$E$10)*$S574)</f>
        <v/>
      </c>
      <c r="U574" s="57" t="str">
        <f aca="false">IF($T574="","",SUMIFS($T$6:$T$2405,$A$6:$A$2405,"&lt;="&amp;$A574))</f>
        <v/>
      </c>
      <c r="V574" s="57" t="str">
        <f aca="false">IF($T574="","",IF($U574&lt;=BankCostEnvelope*'5. Scenarios'!$E$7,1,0))</f>
        <v/>
      </c>
      <c r="W574" s="57" t="str">
        <f aca="false">IF($S574="","",INDEX(BookRate,569)*(1+'5. Scenarios'!$E$10)*(INDEX(BookQ1,569)*(5-MIN(4,1+'5. Scenarios'!$E$8))/4+INDEX(BookQ2,569)*(5-MIN(4,2+'5. Scenarios'!$E$8))/4+INDEX(BookQ3,569)*(5-MIN(4,3+'5. Scenarios'!$E$8))/4+INDEX(BookQ4,569)*(5-MIN(4,4+'5. Scenarios'!$E$8))/4)*'5. Scenarios'!$E$6/(1+ProductivityDefault*('5. Scenarios'!$E$11-1))+INDEX(BookOneOff,569)*$S574)</f>
        <v/>
      </c>
    </row>
    <row r="575" customFormat="false" ht="15" hidden="false" customHeight="false" outlineLevel="0" collapsed="false">
      <c r="A575" s="0" t="str">
        <f aca="false">IF(INDEX(BookTitle,570)="","",INDEX(BookKey,570))</f>
        <v/>
      </c>
      <c r="B575" s="0" t="str">
        <f aca="false">IF(INDEX(BookTitle,570)="","",INDEX(BookGroup,570))</f>
        <v/>
      </c>
      <c r="C575" s="0" t="str">
        <f aca="false">IF(INDEX(BookTitle,570)="","",INDEX(BookCategory,570))</f>
        <v/>
      </c>
      <c r="D575" s="56" t="str">
        <f aca="false">IF(INDEX(BookTitle,570)="","",INDEX(BookTotal,570)*'5. Scenarios'!$B$6/(1+ProductivityDefault*('5. Scenarios'!$B$11-1)))</f>
        <v/>
      </c>
      <c r="E575" s="57" t="str">
        <f aca="false">IF($D575="","",INDEX(BookRate,570)*(1+'5. Scenarios'!$B$10)*$D575)</f>
        <v/>
      </c>
      <c r="F575" s="57" t="str">
        <f aca="false">IF($E575="","",SUMIFS($E$6:$E$2405,$A$6:$A$2405,"&lt;="&amp;$A575))</f>
        <v/>
      </c>
      <c r="G575" s="57" t="str">
        <f aca="false">IF($E575="","",IF($F575&lt;=BankCostEnvelope*'5. Scenarios'!$B$7,1,0))</f>
        <v/>
      </c>
      <c r="H575" s="57" t="str">
        <f aca="false">IF($D575="","",INDEX(BookRate,570)*(1+'5. Scenarios'!$B$10)*(INDEX(BookQ1,570)*(5-MIN(4,1+'5. Scenarios'!$B$8))/4+INDEX(BookQ2,570)*(5-MIN(4,2+'5. Scenarios'!$B$8))/4+INDEX(BookQ3,570)*(5-MIN(4,3+'5. Scenarios'!$B$8))/4+INDEX(BookQ4,570)*(5-MIN(4,4+'5. Scenarios'!$B$8))/4)*'5. Scenarios'!$B$6/(1+ProductivityDefault*('5. Scenarios'!$B$11-1))+INDEX(BookOneOff,570)*$D575)</f>
        <v/>
      </c>
      <c r="I575" s="56" t="str">
        <f aca="false">IF(INDEX(BookTitle,570)="","",INDEX(BookTotal,570)*'5. Scenarios'!$C$6/(1+ProductivityDefault*('5. Scenarios'!$C$11-1)))</f>
        <v/>
      </c>
      <c r="J575" s="57" t="str">
        <f aca="false">IF($I575="","",INDEX(BookRate,570)*(1+'5. Scenarios'!$C$10)*$I575)</f>
        <v/>
      </c>
      <c r="K575" s="57" t="str">
        <f aca="false">IF($J575="","",SUMIFS($J$6:$J$2405,$A$6:$A$2405,"&lt;="&amp;$A575))</f>
        <v/>
      </c>
      <c r="L575" s="57" t="str">
        <f aca="false">IF($J575="","",IF($K575&lt;=BankCostEnvelope*'5. Scenarios'!$C$7,1,0))</f>
        <v/>
      </c>
      <c r="M575" s="57" t="str">
        <f aca="false">IF($I575="","",INDEX(BookRate,570)*(1+'5. Scenarios'!$C$10)*(INDEX(BookQ1,570)*(5-MIN(4,1+'5. Scenarios'!$C$8))/4+INDEX(BookQ2,570)*(5-MIN(4,2+'5. Scenarios'!$C$8))/4+INDEX(BookQ3,570)*(5-MIN(4,3+'5. Scenarios'!$C$8))/4+INDEX(BookQ4,570)*(5-MIN(4,4+'5. Scenarios'!$C$8))/4)*'5. Scenarios'!$C$6/(1+ProductivityDefault*('5. Scenarios'!$C$11-1))+INDEX(BookOneOff,570)*$I575)</f>
        <v/>
      </c>
      <c r="N575" s="56" t="str">
        <f aca="false">IF(INDEX(BookTitle,570)="","",INDEX(BookTotal,570)*'5. Scenarios'!$D$6/(1+ProductivityDefault*('5. Scenarios'!$D$11-1)))</f>
        <v/>
      </c>
      <c r="O575" s="57" t="str">
        <f aca="false">IF($N575="","",INDEX(BookRate,570)*(1+'5. Scenarios'!$D$10)*$N575)</f>
        <v/>
      </c>
      <c r="P575" s="57" t="str">
        <f aca="false">IF($O575="","",SUMIFS($O$6:$O$2405,$A$6:$A$2405,"&lt;="&amp;$A575))</f>
        <v/>
      </c>
      <c r="Q575" s="57" t="str">
        <f aca="false">IF($O575="","",IF($P575&lt;=BankCostEnvelope*'5. Scenarios'!$D$7,1,0))</f>
        <v/>
      </c>
      <c r="R575" s="57" t="str">
        <f aca="false">IF($N575="","",INDEX(BookRate,570)*(1+'5. Scenarios'!$D$10)*(INDEX(BookQ1,570)*(5-MIN(4,1+'5. Scenarios'!$D$8))/4+INDEX(BookQ2,570)*(5-MIN(4,2+'5. Scenarios'!$D$8))/4+INDEX(BookQ3,570)*(5-MIN(4,3+'5. Scenarios'!$D$8))/4+INDEX(BookQ4,570)*(5-MIN(4,4+'5. Scenarios'!$D$8))/4)*'5. Scenarios'!$D$6/(1+ProductivityDefault*('5. Scenarios'!$D$11-1))+INDEX(BookOneOff,570)*$N575)</f>
        <v/>
      </c>
      <c r="S575" s="56" t="str">
        <f aca="false">IF(INDEX(BookTitle,570)="","",INDEX(BookTotal,570)*'5. Scenarios'!$E$6/(1+ProductivityDefault*('5. Scenarios'!$E$11-1)))</f>
        <v/>
      </c>
      <c r="T575" s="57" t="str">
        <f aca="false">IF($S575="","",INDEX(BookRate,570)*(1+'5. Scenarios'!$E$10)*$S575)</f>
        <v/>
      </c>
      <c r="U575" s="57" t="str">
        <f aca="false">IF($T575="","",SUMIFS($T$6:$T$2405,$A$6:$A$2405,"&lt;="&amp;$A575))</f>
        <v/>
      </c>
      <c r="V575" s="57" t="str">
        <f aca="false">IF($T575="","",IF($U575&lt;=BankCostEnvelope*'5. Scenarios'!$E$7,1,0))</f>
        <v/>
      </c>
      <c r="W575" s="57" t="str">
        <f aca="false">IF($S575="","",INDEX(BookRate,570)*(1+'5. Scenarios'!$E$10)*(INDEX(BookQ1,570)*(5-MIN(4,1+'5. Scenarios'!$E$8))/4+INDEX(BookQ2,570)*(5-MIN(4,2+'5. Scenarios'!$E$8))/4+INDEX(BookQ3,570)*(5-MIN(4,3+'5. Scenarios'!$E$8))/4+INDEX(BookQ4,570)*(5-MIN(4,4+'5. Scenarios'!$E$8))/4)*'5. Scenarios'!$E$6/(1+ProductivityDefault*('5. Scenarios'!$E$11-1))+INDEX(BookOneOff,570)*$S575)</f>
        <v/>
      </c>
    </row>
    <row r="576" customFormat="false" ht="15" hidden="false" customHeight="false" outlineLevel="0" collapsed="false">
      <c r="A576" s="0" t="str">
        <f aca="false">IF(INDEX(BookTitle,571)="","",INDEX(BookKey,571))</f>
        <v/>
      </c>
      <c r="B576" s="0" t="str">
        <f aca="false">IF(INDEX(BookTitle,571)="","",INDEX(BookGroup,571))</f>
        <v/>
      </c>
      <c r="C576" s="0" t="str">
        <f aca="false">IF(INDEX(BookTitle,571)="","",INDEX(BookCategory,571))</f>
        <v/>
      </c>
      <c r="D576" s="56" t="str">
        <f aca="false">IF(INDEX(BookTitle,571)="","",INDEX(BookTotal,571)*'5. Scenarios'!$B$6/(1+ProductivityDefault*('5. Scenarios'!$B$11-1)))</f>
        <v/>
      </c>
      <c r="E576" s="57" t="str">
        <f aca="false">IF($D576="","",INDEX(BookRate,571)*(1+'5. Scenarios'!$B$10)*$D576)</f>
        <v/>
      </c>
      <c r="F576" s="57" t="str">
        <f aca="false">IF($E576="","",SUMIFS($E$6:$E$2405,$A$6:$A$2405,"&lt;="&amp;$A576))</f>
        <v/>
      </c>
      <c r="G576" s="57" t="str">
        <f aca="false">IF($E576="","",IF($F576&lt;=BankCostEnvelope*'5. Scenarios'!$B$7,1,0))</f>
        <v/>
      </c>
      <c r="H576" s="57" t="str">
        <f aca="false">IF($D576="","",INDEX(BookRate,571)*(1+'5. Scenarios'!$B$10)*(INDEX(BookQ1,571)*(5-MIN(4,1+'5. Scenarios'!$B$8))/4+INDEX(BookQ2,571)*(5-MIN(4,2+'5. Scenarios'!$B$8))/4+INDEX(BookQ3,571)*(5-MIN(4,3+'5. Scenarios'!$B$8))/4+INDEX(BookQ4,571)*(5-MIN(4,4+'5. Scenarios'!$B$8))/4)*'5. Scenarios'!$B$6/(1+ProductivityDefault*('5. Scenarios'!$B$11-1))+INDEX(BookOneOff,571)*$D576)</f>
        <v/>
      </c>
      <c r="I576" s="56" t="str">
        <f aca="false">IF(INDEX(BookTitle,571)="","",INDEX(BookTotal,571)*'5. Scenarios'!$C$6/(1+ProductivityDefault*('5. Scenarios'!$C$11-1)))</f>
        <v/>
      </c>
      <c r="J576" s="57" t="str">
        <f aca="false">IF($I576="","",INDEX(BookRate,571)*(1+'5. Scenarios'!$C$10)*$I576)</f>
        <v/>
      </c>
      <c r="K576" s="57" t="str">
        <f aca="false">IF($J576="","",SUMIFS($J$6:$J$2405,$A$6:$A$2405,"&lt;="&amp;$A576))</f>
        <v/>
      </c>
      <c r="L576" s="57" t="str">
        <f aca="false">IF($J576="","",IF($K576&lt;=BankCostEnvelope*'5. Scenarios'!$C$7,1,0))</f>
        <v/>
      </c>
      <c r="M576" s="57" t="str">
        <f aca="false">IF($I576="","",INDEX(BookRate,571)*(1+'5. Scenarios'!$C$10)*(INDEX(BookQ1,571)*(5-MIN(4,1+'5. Scenarios'!$C$8))/4+INDEX(BookQ2,571)*(5-MIN(4,2+'5. Scenarios'!$C$8))/4+INDEX(BookQ3,571)*(5-MIN(4,3+'5. Scenarios'!$C$8))/4+INDEX(BookQ4,571)*(5-MIN(4,4+'5. Scenarios'!$C$8))/4)*'5. Scenarios'!$C$6/(1+ProductivityDefault*('5. Scenarios'!$C$11-1))+INDEX(BookOneOff,571)*$I576)</f>
        <v/>
      </c>
      <c r="N576" s="56" t="str">
        <f aca="false">IF(INDEX(BookTitle,571)="","",INDEX(BookTotal,571)*'5. Scenarios'!$D$6/(1+ProductivityDefault*('5. Scenarios'!$D$11-1)))</f>
        <v/>
      </c>
      <c r="O576" s="57" t="str">
        <f aca="false">IF($N576="","",INDEX(BookRate,571)*(1+'5. Scenarios'!$D$10)*$N576)</f>
        <v/>
      </c>
      <c r="P576" s="57" t="str">
        <f aca="false">IF($O576="","",SUMIFS($O$6:$O$2405,$A$6:$A$2405,"&lt;="&amp;$A576))</f>
        <v/>
      </c>
      <c r="Q576" s="57" t="str">
        <f aca="false">IF($O576="","",IF($P576&lt;=BankCostEnvelope*'5. Scenarios'!$D$7,1,0))</f>
        <v/>
      </c>
      <c r="R576" s="57" t="str">
        <f aca="false">IF($N576="","",INDEX(BookRate,571)*(1+'5. Scenarios'!$D$10)*(INDEX(BookQ1,571)*(5-MIN(4,1+'5. Scenarios'!$D$8))/4+INDEX(BookQ2,571)*(5-MIN(4,2+'5. Scenarios'!$D$8))/4+INDEX(BookQ3,571)*(5-MIN(4,3+'5. Scenarios'!$D$8))/4+INDEX(BookQ4,571)*(5-MIN(4,4+'5. Scenarios'!$D$8))/4)*'5. Scenarios'!$D$6/(1+ProductivityDefault*('5. Scenarios'!$D$11-1))+INDEX(BookOneOff,571)*$N576)</f>
        <v/>
      </c>
      <c r="S576" s="56" t="str">
        <f aca="false">IF(INDEX(BookTitle,571)="","",INDEX(BookTotal,571)*'5. Scenarios'!$E$6/(1+ProductivityDefault*('5. Scenarios'!$E$11-1)))</f>
        <v/>
      </c>
      <c r="T576" s="57" t="str">
        <f aca="false">IF($S576="","",INDEX(BookRate,571)*(1+'5. Scenarios'!$E$10)*$S576)</f>
        <v/>
      </c>
      <c r="U576" s="57" t="str">
        <f aca="false">IF($T576="","",SUMIFS($T$6:$T$2405,$A$6:$A$2405,"&lt;="&amp;$A576))</f>
        <v/>
      </c>
      <c r="V576" s="57" t="str">
        <f aca="false">IF($T576="","",IF($U576&lt;=BankCostEnvelope*'5. Scenarios'!$E$7,1,0))</f>
        <v/>
      </c>
      <c r="W576" s="57" t="str">
        <f aca="false">IF($S576="","",INDEX(BookRate,571)*(1+'5. Scenarios'!$E$10)*(INDEX(BookQ1,571)*(5-MIN(4,1+'5. Scenarios'!$E$8))/4+INDEX(BookQ2,571)*(5-MIN(4,2+'5. Scenarios'!$E$8))/4+INDEX(BookQ3,571)*(5-MIN(4,3+'5. Scenarios'!$E$8))/4+INDEX(BookQ4,571)*(5-MIN(4,4+'5. Scenarios'!$E$8))/4)*'5. Scenarios'!$E$6/(1+ProductivityDefault*('5. Scenarios'!$E$11-1))+INDEX(BookOneOff,571)*$S576)</f>
        <v/>
      </c>
    </row>
    <row r="577" customFormat="false" ht="15" hidden="false" customHeight="false" outlineLevel="0" collapsed="false">
      <c r="A577" s="0" t="str">
        <f aca="false">IF(INDEX(BookTitle,572)="","",INDEX(BookKey,572))</f>
        <v/>
      </c>
      <c r="B577" s="0" t="str">
        <f aca="false">IF(INDEX(BookTitle,572)="","",INDEX(BookGroup,572))</f>
        <v/>
      </c>
      <c r="C577" s="0" t="str">
        <f aca="false">IF(INDEX(BookTitle,572)="","",INDEX(BookCategory,572))</f>
        <v/>
      </c>
      <c r="D577" s="56" t="str">
        <f aca="false">IF(INDEX(BookTitle,572)="","",INDEX(BookTotal,572)*'5. Scenarios'!$B$6/(1+ProductivityDefault*('5. Scenarios'!$B$11-1)))</f>
        <v/>
      </c>
      <c r="E577" s="57" t="str">
        <f aca="false">IF($D577="","",INDEX(BookRate,572)*(1+'5. Scenarios'!$B$10)*$D577)</f>
        <v/>
      </c>
      <c r="F577" s="57" t="str">
        <f aca="false">IF($E577="","",SUMIFS($E$6:$E$2405,$A$6:$A$2405,"&lt;="&amp;$A577))</f>
        <v/>
      </c>
      <c r="G577" s="57" t="str">
        <f aca="false">IF($E577="","",IF($F577&lt;=BankCostEnvelope*'5. Scenarios'!$B$7,1,0))</f>
        <v/>
      </c>
      <c r="H577" s="57" t="str">
        <f aca="false">IF($D577="","",INDEX(BookRate,572)*(1+'5. Scenarios'!$B$10)*(INDEX(BookQ1,572)*(5-MIN(4,1+'5. Scenarios'!$B$8))/4+INDEX(BookQ2,572)*(5-MIN(4,2+'5. Scenarios'!$B$8))/4+INDEX(BookQ3,572)*(5-MIN(4,3+'5. Scenarios'!$B$8))/4+INDEX(BookQ4,572)*(5-MIN(4,4+'5. Scenarios'!$B$8))/4)*'5. Scenarios'!$B$6/(1+ProductivityDefault*('5. Scenarios'!$B$11-1))+INDEX(BookOneOff,572)*$D577)</f>
        <v/>
      </c>
      <c r="I577" s="56" t="str">
        <f aca="false">IF(INDEX(BookTitle,572)="","",INDEX(BookTotal,572)*'5. Scenarios'!$C$6/(1+ProductivityDefault*('5. Scenarios'!$C$11-1)))</f>
        <v/>
      </c>
      <c r="J577" s="57" t="str">
        <f aca="false">IF($I577="","",INDEX(BookRate,572)*(1+'5. Scenarios'!$C$10)*$I577)</f>
        <v/>
      </c>
      <c r="K577" s="57" t="str">
        <f aca="false">IF($J577="","",SUMIFS($J$6:$J$2405,$A$6:$A$2405,"&lt;="&amp;$A577))</f>
        <v/>
      </c>
      <c r="L577" s="57" t="str">
        <f aca="false">IF($J577="","",IF($K577&lt;=BankCostEnvelope*'5. Scenarios'!$C$7,1,0))</f>
        <v/>
      </c>
      <c r="M577" s="57" t="str">
        <f aca="false">IF($I577="","",INDEX(BookRate,572)*(1+'5. Scenarios'!$C$10)*(INDEX(BookQ1,572)*(5-MIN(4,1+'5. Scenarios'!$C$8))/4+INDEX(BookQ2,572)*(5-MIN(4,2+'5. Scenarios'!$C$8))/4+INDEX(BookQ3,572)*(5-MIN(4,3+'5. Scenarios'!$C$8))/4+INDEX(BookQ4,572)*(5-MIN(4,4+'5. Scenarios'!$C$8))/4)*'5. Scenarios'!$C$6/(1+ProductivityDefault*('5. Scenarios'!$C$11-1))+INDEX(BookOneOff,572)*$I577)</f>
        <v/>
      </c>
      <c r="N577" s="56" t="str">
        <f aca="false">IF(INDEX(BookTitle,572)="","",INDEX(BookTotal,572)*'5. Scenarios'!$D$6/(1+ProductivityDefault*('5. Scenarios'!$D$11-1)))</f>
        <v/>
      </c>
      <c r="O577" s="57" t="str">
        <f aca="false">IF($N577="","",INDEX(BookRate,572)*(1+'5. Scenarios'!$D$10)*$N577)</f>
        <v/>
      </c>
      <c r="P577" s="57" t="str">
        <f aca="false">IF($O577="","",SUMIFS($O$6:$O$2405,$A$6:$A$2405,"&lt;="&amp;$A577))</f>
        <v/>
      </c>
      <c r="Q577" s="57" t="str">
        <f aca="false">IF($O577="","",IF($P577&lt;=BankCostEnvelope*'5. Scenarios'!$D$7,1,0))</f>
        <v/>
      </c>
      <c r="R577" s="57" t="str">
        <f aca="false">IF($N577="","",INDEX(BookRate,572)*(1+'5. Scenarios'!$D$10)*(INDEX(BookQ1,572)*(5-MIN(4,1+'5. Scenarios'!$D$8))/4+INDEX(BookQ2,572)*(5-MIN(4,2+'5. Scenarios'!$D$8))/4+INDEX(BookQ3,572)*(5-MIN(4,3+'5. Scenarios'!$D$8))/4+INDEX(BookQ4,572)*(5-MIN(4,4+'5. Scenarios'!$D$8))/4)*'5. Scenarios'!$D$6/(1+ProductivityDefault*('5. Scenarios'!$D$11-1))+INDEX(BookOneOff,572)*$N577)</f>
        <v/>
      </c>
      <c r="S577" s="56" t="str">
        <f aca="false">IF(INDEX(BookTitle,572)="","",INDEX(BookTotal,572)*'5. Scenarios'!$E$6/(1+ProductivityDefault*('5. Scenarios'!$E$11-1)))</f>
        <v/>
      </c>
      <c r="T577" s="57" t="str">
        <f aca="false">IF($S577="","",INDEX(BookRate,572)*(1+'5. Scenarios'!$E$10)*$S577)</f>
        <v/>
      </c>
      <c r="U577" s="57" t="str">
        <f aca="false">IF($T577="","",SUMIFS($T$6:$T$2405,$A$6:$A$2405,"&lt;="&amp;$A577))</f>
        <v/>
      </c>
      <c r="V577" s="57" t="str">
        <f aca="false">IF($T577="","",IF($U577&lt;=BankCostEnvelope*'5. Scenarios'!$E$7,1,0))</f>
        <v/>
      </c>
      <c r="W577" s="57" t="str">
        <f aca="false">IF($S577="","",INDEX(BookRate,572)*(1+'5. Scenarios'!$E$10)*(INDEX(BookQ1,572)*(5-MIN(4,1+'5. Scenarios'!$E$8))/4+INDEX(BookQ2,572)*(5-MIN(4,2+'5. Scenarios'!$E$8))/4+INDEX(BookQ3,572)*(5-MIN(4,3+'5. Scenarios'!$E$8))/4+INDEX(BookQ4,572)*(5-MIN(4,4+'5. Scenarios'!$E$8))/4)*'5. Scenarios'!$E$6/(1+ProductivityDefault*('5. Scenarios'!$E$11-1))+INDEX(BookOneOff,572)*$S577)</f>
        <v/>
      </c>
    </row>
    <row r="578" customFormat="false" ht="15" hidden="false" customHeight="false" outlineLevel="0" collapsed="false">
      <c r="A578" s="0" t="str">
        <f aca="false">IF(INDEX(BookTitle,573)="","",INDEX(BookKey,573))</f>
        <v/>
      </c>
      <c r="B578" s="0" t="str">
        <f aca="false">IF(INDEX(BookTitle,573)="","",INDEX(BookGroup,573))</f>
        <v/>
      </c>
      <c r="C578" s="0" t="str">
        <f aca="false">IF(INDEX(BookTitle,573)="","",INDEX(BookCategory,573))</f>
        <v/>
      </c>
      <c r="D578" s="56" t="str">
        <f aca="false">IF(INDEX(BookTitle,573)="","",INDEX(BookTotal,573)*'5. Scenarios'!$B$6/(1+ProductivityDefault*('5. Scenarios'!$B$11-1)))</f>
        <v/>
      </c>
      <c r="E578" s="57" t="str">
        <f aca="false">IF($D578="","",INDEX(BookRate,573)*(1+'5. Scenarios'!$B$10)*$D578)</f>
        <v/>
      </c>
      <c r="F578" s="57" t="str">
        <f aca="false">IF($E578="","",SUMIFS($E$6:$E$2405,$A$6:$A$2405,"&lt;="&amp;$A578))</f>
        <v/>
      </c>
      <c r="G578" s="57" t="str">
        <f aca="false">IF($E578="","",IF($F578&lt;=BankCostEnvelope*'5. Scenarios'!$B$7,1,0))</f>
        <v/>
      </c>
      <c r="H578" s="57" t="str">
        <f aca="false">IF($D578="","",INDEX(BookRate,573)*(1+'5. Scenarios'!$B$10)*(INDEX(BookQ1,573)*(5-MIN(4,1+'5. Scenarios'!$B$8))/4+INDEX(BookQ2,573)*(5-MIN(4,2+'5. Scenarios'!$B$8))/4+INDEX(BookQ3,573)*(5-MIN(4,3+'5. Scenarios'!$B$8))/4+INDEX(BookQ4,573)*(5-MIN(4,4+'5. Scenarios'!$B$8))/4)*'5. Scenarios'!$B$6/(1+ProductivityDefault*('5. Scenarios'!$B$11-1))+INDEX(BookOneOff,573)*$D578)</f>
        <v/>
      </c>
      <c r="I578" s="56" t="str">
        <f aca="false">IF(INDEX(BookTitle,573)="","",INDEX(BookTotal,573)*'5. Scenarios'!$C$6/(1+ProductivityDefault*('5. Scenarios'!$C$11-1)))</f>
        <v/>
      </c>
      <c r="J578" s="57" t="str">
        <f aca="false">IF($I578="","",INDEX(BookRate,573)*(1+'5. Scenarios'!$C$10)*$I578)</f>
        <v/>
      </c>
      <c r="K578" s="57" t="str">
        <f aca="false">IF($J578="","",SUMIFS($J$6:$J$2405,$A$6:$A$2405,"&lt;="&amp;$A578))</f>
        <v/>
      </c>
      <c r="L578" s="57" t="str">
        <f aca="false">IF($J578="","",IF($K578&lt;=BankCostEnvelope*'5. Scenarios'!$C$7,1,0))</f>
        <v/>
      </c>
      <c r="M578" s="57" t="str">
        <f aca="false">IF($I578="","",INDEX(BookRate,573)*(1+'5. Scenarios'!$C$10)*(INDEX(BookQ1,573)*(5-MIN(4,1+'5. Scenarios'!$C$8))/4+INDEX(BookQ2,573)*(5-MIN(4,2+'5. Scenarios'!$C$8))/4+INDEX(BookQ3,573)*(5-MIN(4,3+'5. Scenarios'!$C$8))/4+INDEX(BookQ4,573)*(5-MIN(4,4+'5. Scenarios'!$C$8))/4)*'5. Scenarios'!$C$6/(1+ProductivityDefault*('5. Scenarios'!$C$11-1))+INDEX(BookOneOff,573)*$I578)</f>
        <v/>
      </c>
      <c r="N578" s="56" t="str">
        <f aca="false">IF(INDEX(BookTitle,573)="","",INDEX(BookTotal,573)*'5. Scenarios'!$D$6/(1+ProductivityDefault*('5. Scenarios'!$D$11-1)))</f>
        <v/>
      </c>
      <c r="O578" s="57" t="str">
        <f aca="false">IF($N578="","",INDEX(BookRate,573)*(1+'5. Scenarios'!$D$10)*$N578)</f>
        <v/>
      </c>
      <c r="P578" s="57" t="str">
        <f aca="false">IF($O578="","",SUMIFS($O$6:$O$2405,$A$6:$A$2405,"&lt;="&amp;$A578))</f>
        <v/>
      </c>
      <c r="Q578" s="57" t="str">
        <f aca="false">IF($O578="","",IF($P578&lt;=BankCostEnvelope*'5. Scenarios'!$D$7,1,0))</f>
        <v/>
      </c>
      <c r="R578" s="57" t="str">
        <f aca="false">IF($N578="","",INDEX(BookRate,573)*(1+'5. Scenarios'!$D$10)*(INDEX(BookQ1,573)*(5-MIN(4,1+'5. Scenarios'!$D$8))/4+INDEX(BookQ2,573)*(5-MIN(4,2+'5. Scenarios'!$D$8))/4+INDEX(BookQ3,573)*(5-MIN(4,3+'5. Scenarios'!$D$8))/4+INDEX(BookQ4,573)*(5-MIN(4,4+'5. Scenarios'!$D$8))/4)*'5. Scenarios'!$D$6/(1+ProductivityDefault*('5. Scenarios'!$D$11-1))+INDEX(BookOneOff,573)*$N578)</f>
        <v/>
      </c>
      <c r="S578" s="56" t="str">
        <f aca="false">IF(INDEX(BookTitle,573)="","",INDEX(BookTotal,573)*'5. Scenarios'!$E$6/(1+ProductivityDefault*('5. Scenarios'!$E$11-1)))</f>
        <v/>
      </c>
      <c r="T578" s="57" t="str">
        <f aca="false">IF($S578="","",INDEX(BookRate,573)*(1+'5. Scenarios'!$E$10)*$S578)</f>
        <v/>
      </c>
      <c r="U578" s="57" t="str">
        <f aca="false">IF($T578="","",SUMIFS($T$6:$T$2405,$A$6:$A$2405,"&lt;="&amp;$A578))</f>
        <v/>
      </c>
      <c r="V578" s="57" t="str">
        <f aca="false">IF($T578="","",IF($U578&lt;=BankCostEnvelope*'5. Scenarios'!$E$7,1,0))</f>
        <v/>
      </c>
      <c r="W578" s="57" t="str">
        <f aca="false">IF($S578="","",INDEX(BookRate,573)*(1+'5. Scenarios'!$E$10)*(INDEX(BookQ1,573)*(5-MIN(4,1+'5. Scenarios'!$E$8))/4+INDEX(BookQ2,573)*(5-MIN(4,2+'5. Scenarios'!$E$8))/4+INDEX(BookQ3,573)*(5-MIN(4,3+'5. Scenarios'!$E$8))/4+INDEX(BookQ4,573)*(5-MIN(4,4+'5. Scenarios'!$E$8))/4)*'5. Scenarios'!$E$6/(1+ProductivityDefault*('5. Scenarios'!$E$11-1))+INDEX(BookOneOff,573)*$S578)</f>
        <v/>
      </c>
    </row>
    <row r="579" customFormat="false" ht="15" hidden="false" customHeight="false" outlineLevel="0" collapsed="false">
      <c r="A579" s="0" t="str">
        <f aca="false">IF(INDEX(BookTitle,574)="","",INDEX(BookKey,574))</f>
        <v/>
      </c>
      <c r="B579" s="0" t="str">
        <f aca="false">IF(INDEX(BookTitle,574)="","",INDEX(BookGroup,574))</f>
        <v/>
      </c>
      <c r="C579" s="0" t="str">
        <f aca="false">IF(INDEX(BookTitle,574)="","",INDEX(BookCategory,574))</f>
        <v/>
      </c>
      <c r="D579" s="56" t="str">
        <f aca="false">IF(INDEX(BookTitle,574)="","",INDEX(BookTotal,574)*'5. Scenarios'!$B$6/(1+ProductivityDefault*('5. Scenarios'!$B$11-1)))</f>
        <v/>
      </c>
      <c r="E579" s="57" t="str">
        <f aca="false">IF($D579="","",INDEX(BookRate,574)*(1+'5. Scenarios'!$B$10)*$D579)</f>
        <v/>
      </c>
      <c r="F579" s="57" t="str">
        <f aca="false">IF($E579="","",SUMIFS($E$6:$E$2405,$A$6:$A$2405,"&lt;="&amp;$A579))</f>
        <v/>
      </c>
      <c r="G579" s="57" t="str">
        <f aca="false">IF($E579="","",IF($F579&lt;=BankCostEnvelope*'5. Scenarios'!$B$7,1,0))</f>
        <v/>
      </c>
      <c r="H579" s="57" t="str">
        <f aca="false">IF($D579="","",INDEX(BookRate,574)*(1+'5. Scenarios'!$B$10)*(INDEX(BookQ1,574)*(5-MIN(4,1+'5. Scenarios'!$B$8))/4+INDEX(BookQ2,574)*(5-MIN(4,2+'5. Scenarios'!$B$8))/4+INDEX(BookQ3,574)*(5-MIN(4,3+'5. Scenarios'!$B$8))/4+INDEX(BookQ4,574)*(5-MIN(4,4+'5. Scenarios'!$B$8))/4)*'5. Scenarios'!$B$6/(1+ProductivityDefault*('5. Scenarios'!$B$11-1))+INDEX(BookOneOff,574)*$D579)</f>
        <v/>
      </c>
      <c r="I579" s="56" t="str">
        <f aca="false">IF(INDEX(BookTitle,574)="","",INDEX(BookTotal,574)*'5. Scenarios'!$C$6/(1+ProductivityDefault*('5. Scenarios'!$C$11-1)))</f>
        <v/>
      </c>
      <c r="J579" s="57" t="str">
        <f aca="false">IF($I579="","",INDEX(BookRate,574)*(1+'5. Scenarios'!$C$10)*$I579)</f>
        <v/>
      </c>
      <c r="K579" s="57" t="str">
        <f aca="false">IF($J579="","",SUMIFS($J$6:$J$2405,$A$6:$A$2405,"&lt;="&amp;$A579))</f>
        <v/>
      </c>
      <c r="L579" s="57" t="str">
        <f aca="false">IF($J579="","",IF($K579&lt;=BankCostEnvelope*'5. Scenarios'!$C$7,1,0))</f>
        <v/>
      </c>
      <c r="M579" s="57" t="str">
        <f aca="false">IF($I579="","",INDEX(BookRate,574)*(1+'5. Scenarios'!$C$10)*(INDEX(BookQ1,574)*(5-MIN(4,1+'5. Scenarios'!$C$8))/4+INDEX(BookQ2,574)*(5-MIN(4,2+'5. Scenarios'!$C$8))/4+INDEX(BookQ3,574)*(5-MIN(4,3+'5. Scenarios'!$C$8))/4+INDEX(BookQ4,574)*(5-MIN(4,4+'5. Scenarios'!$C$8))/4)*'5. Scenarios'!$C$6/(1+ProductivityDefault*('5. Scenarios'!$C$11-1))+INDEX(BookOneOff,574)*$I579)</f>
        <v/>
      </c>
      <c r="N579" s="56" t="str">
        <f aca="false">IF(INDEX(BookTitle,574)="","",INDEX(BookTotal,574)*'5. Scenarios'!$D$6/(1+ProductivityDefault*('5. Scenarios'!$D$11-1)))</f>
        <v/>
      </c>
      <c r="O579" s="57" t="str">
        <f aca="false">IF($N579="","",INDEX(BookRate,574)*(1+'5. Scenarios'!$D$10)*$N579)</f>
        <v/>
      </c>
      <c r="P579" s="57" t="str">
        <f aca="false">IF($O579="","",SUMIFS($O$6:$O$2405,$A$6:$A$2405,"&lt;="&amp;$A579))</f>
        <v/>
      </c>
      <c r="Q579" s="57" t="str">
        <f aca="false">IF($O579="","",IF($P579&lt;=BankCostEnvelope*'5. Scenarios'!$D$7,1,0))</f>
        <v/>
      </c>
      <c r="R579" s="57" t="str">
        <f aca="false">IF($N579="","",INDEX(BookRate,574)*(1+'5. Scenarios'!$D$10)*(INDEX(BookQ1,574)*(5-MIN(4,1+'5. Scenarios'!$D$8))/4+INDEX(BookQ2,574)*(5-MIN(4,2+'5. Scenarios'!$D$8))/4+INDEX(BookQ3,574)*(5-MIN(4,3+'5. Scenarios'!$D$8))/4+INDEX(BookQ4,574)*(5-MIN(4,4+'5. Scenarios'!$D$8))/4)*'5. Scenarios'!$D$6/(1+ProductivityDefault*('5. Scenarios'!$D$11-1))+INDEX(BookOneOff,574)*$N579)</f>
        <v/>
      </c>
      <c r="S579" s="56" t="str">
        <f aca="false">IF(INDEX(BookTitle,574)="","",INDEX(BookTotal,574)*'5. Scenarios'!$E$6/(1+ProductivityDefault*('5. Scenarios'!$E$11-1)))</f>
        <v/>
      </c>
      <c r="T579" s="57" t="str">
        <f aca="false">IF($S579="","",INDEX(BookRate,574)*(1+'5. Scenarios'!$E$10)*$S579)</f>
        <v/>
      </c>
      <c r="U579" s="57" t="str">
        <f aca="false">IF($T579="","",SUMIFS($T$6:$T$2405,$A$6:$A$2405,"&lt;="&amp;$A579))</f>
        <v/>
      </c>
      <c r="V579" s="57" t="str">
        <f aca="false">IF($T579="","",IF($U579&lt;=BankCostEnvelope*'5. Scenarios'!$E$7,1,0))</f>
        <v/>
      </c>
      <c r="W579" s="57" t="str">
        <f aca="false">IF($S579="","",INDEX(BookRate,574)*(1+'5. Scenarios'!$E$10)*(INDEX(BookQ1,574)*(5-MIN(4,1+'5. Scenarios'!$E$8))/4+INDEX(BookQ2,574)*(5-MIN(4,2+'5. Scenarios'!$E$8))/4+INDEX(BookQ3,574)*(5-MIN(4,3+'5. Scenarios'!$E$8))/4+INDEX(BookQ4,574)*(5-MIN(4,4+'5. Scenarios'!$E$8))/4)*'5. Scenarios'!$E$6/(1+ProductivityDefault*('5. Scenarios'!$E$11-1))+INDEX(BookOneOff,574)*$S579)</f>
        <v/>
      </c>
    </row>
    <row r="580" customFormat="false" ht="15" hidden="false" customHeight="false" outlineLevel="0" collapsed="false">
      <c r="A580" s="0" t="str">
        <f aca="false">IF(INDEX(BookTitle,575)="","",INDEX(BookKey,575))</f>
        <v/>
      </c>
      <c r="B580" s="0" t="str">
        <f aca="false">IF(INDEX(BookTitle,575)="","",INDEX(BookGroup,575))</f>
        <v/>
      </c>
      <c r="C580" s="0" t="str">
        <f aca="false">IF(INDEX(BookTitle,575)="","",INDEX(BookCategory,575))</f>
        <v/>
      </c>
      <c r="D580" s="56" t="str">
        <f aca="false">IF(INDEX(BookTitle,575)="","",INDEX(BookTotal,575)*'5. Scenarios'!$B$6/(1+ProductivityDefault*('5. Scenarios'!$B$11-1)))</f>
        <v/>
      </c>
      <c r="E580" s="57" t="str">
        <f aca="false">IF($D580="","",INDEX(BookRate,575)*(1+'5. Scenarios'!$B$10)*$D580)</f>
        <v/>
      </c>
      <c r="F580" s="57" t="str">
        <f aca="false">IF($E580="","",SUMIFS($E$6:$E$2405,$A$6:$A$2405,"&lt;="&amp;$A580))</f>
        <v/>
      </c>
      <c r="G580" s="57" t="str">
        <f aca="false">IF($E580="","",IF($F580&lt;=BankCostEnvelope*'5. Scenarios'!$B$7,1,0))</f>
        <v/>
      </c>
      <c r="H580" s="57" t="str">
        <f aca="false">IF($D580="","",INDEX(BookRate,575)*(1+'5. Scenarios'!$B$10)*(INDEX(BookQ1,575)*(5-MIN(4,1+'5. Scenarios'!$B$8))/4+INDEX(BookQ2,575)*(5-MIN(4,2+'5. Scenarios'!$B$8))/4+INDEX(BookQ3,575)*(5-MIN(4,3+'5. Scenarios'!$B$8))/4+INDEX(BookQ4,575)*(5-MIN(4,4+'5. Scenarios'!$B$8))/4)*'5. Scenarios'!$B$6/(1+ProductivityDefault*('5. Scenarios'!$B$11-1))+INDEX(BookOneOff,575)*$D580)</f>
        <v/>
      </c>
      <c r="I580" s="56" t="str">
        <f aca="false">IF(INDEX(BookTitle,575)="","",INDEX(BookTotal,575)*'5. Scenarios'!$C$6/(1+ProductivityDefault*('5. Scenarios'!$C$11-1)))</f>
        <v/>
      </c>
      <c r="J580" s="57" t="str">
        <f aca="false">IF($I580="","",INDEX(BookRate,575)*(1+'5. Scenarios'!$C$10)*$I580)</f>
        <v/>
      </c>
      <c r="K580" s="57" t="str">
        <f aca="false">IF($J580="","",SUMIFS($J$6:$J$2405,$A$6:$A$2405,"&lt;="&amp;$A580))</f>
        <v/>
      </c>
      <c r="L580" s="57" t="str">
        <f aca="false">IF($J580="","",IF($K580&lt;=BankCostEnvelope*'5. Scenarios'!$C$7,1,0))</f>
        <v/>
      </c>
      <c r="M580" s="57" t="str">
        <f aca="false">IF($I580="","",INDEX(BookRate,575)*(1+'5. Scenarios'!$C$10)*(INDEX(BookQ1,575)*(5-MIN(4,1+'5. Scenarios'!$C$8))/4+INDEX(BookQ2,575)*(5-MIN(4,2+'5. Scenarios'!$C$8))/4+INDEX(BookQ3,575)*(5-MIN(4,3+'5. Scenarios'!$C$8))/4+INDEX(BookQ4,575)*(5-MIN(4,4+'5. Scenarios'!$C$8))/4)*'5. Scenarios'!$C$6/(1+ProductivityDefault*('5. Scenarios'!$C$11-1))+INDEX(BookOneOff,575)*$I580)</f>
        <v/>
      </c>
      <c r="N580" s="56" t="str">
        <f aca="false">IF(INDEX(BookTitle,575)="","",INDEX(BookTotal,575)*'5. Scenarios'!$D$6/(1+ProductivityDefault*('5. Scenarios'!$D$11-1)))</f>
        <v/>
      </c>
      <c r="O580" s="57" t="str">
        <f aca="false">IF($N580="","",INDEX(BookRate,575)*(1+'5. Scenarios'!$D$10)*$N580)</f>
        <v/>
      </c>
      <c r="P580" s="57" t="str">
        <f aca="false">IF($O580="","",SUMIFS($O$6:$O$2405,$A$6:$A$2405,"&lt;="&amp;$A580))</f>
        <v/>
      </c>
      <c r="Q580" s="57" t="str">
        <f aca="false">IF($O580="","",IF($P580&lt;=BankCostEnvelope*'5. Scenarios'!$D$7,1,0))</f>
        <v/>
      </c>
      <c r="R580" s="57" t="str">
        <f aca="false">IF($N580="","",INDEX(BookRate,575)*(1+'5. Scenarios'!$D$10)*(INDEX(BookQ1,575)*(5-MIN(4,1+'5. Scenarios'!$D$8))/4+INDEX(BookQ2,575)*(5-MIN(4,2+'5. Scenarios'!$D$8))/4+INDEX(BookQ3,575)*(5-MIN(4,3+'5. Scenarios'!$D$8))/4+INDEX(BookQ4,575)*(5-MIN(4,4+'5. Scenarios'!$D$8))/4)*'5. Scenarios'!$D$6/(1+ProductivityDefault*('5. Scenarios'!$D$11-1))+INDEX(BookOneOff,575)*$N580)</f>
        <v/>
      </c>
      <c r="S580" s="56" t="str">
        <f aca="false">IF(INDEX(BookTitle,575)="","",INDEX(BookTotal,575)*'5. Scenarios'!$E$6/(1+ProductivityDefault*('5. Scenarios'!$E$11-1)))</f>
        <v/>
      </c>
      <c r="T580" s="57" t="str">
        <f aca="false">IF($S580="","",INDEX(BookRate,575)*(1+'5. Scenarios'!$E$10)*$S580)</f>
        <v/>
      </c>
      <c r="U580" s="57" t="str">
        <f aca="false">IF($T580="","",SUMIFS($T$6:$T$2405,$A$6:$A$2405,"&lt;="&amp;$A580))</f>
        <v/>
      </c>
      <c r="V580" s="57" t="str">
        <f aca="false">IF($T580="","",IF($U580&lt;=BankCostEnvelope*'5. Scenarios'!$E$7,1,0))</f>
        <v/>
      </c>
      <c r="W580" s="57" t="str">
        <f aca="false">IF($S580="","",INDEX(BookRate,575)*(1+'5. Scenarios'!$E$10)*(INDEX(BookQ1,575)*(5-MIN(4,1+'5. Scenarios'!$E$8))/4+INDEX(BookQ2,575)*(5-MIN(4,2+'5. Scenarios'!$E$8))/4+INDEX(BookQ3,575)*(5-MIN(4,3+'5. Scenarios'!$E$8))/4+INDEX(BookQ4,575)*(5-MIN(4,4+'5. Scenarios'!$E$8))/4)*'5. Scenarios'!$E$6/(1+ProductivityDefault*('5. Scenarios'!$E$11-1))+INDEX(BookOneOff,575)*$S580)</f>
        <v/>
      </c>
    </row>
    <row r="581" customFormat="false" ht="15" hidden="false" customHeight="false" outlineLevel="0" collapsed="false">
      <c r="A581" s="0" t="str">
        <f aca="false">IF(INDEX(BookTitle,576)="","",INDEX(BookKey,576))</f>
        <v/>
      </c>
      <c r="B581" s="0" t="str">
        <f aca="false">IF(INDEX(BookTitle,576)="","",INDEX(BookGroup,576))</f>
        <v/>
      </c>
      <c r="C581" s="0" t="str">
        <f aca="false">IF(INDEX(BookTitle,576)="","",INDEX(BookCategory,576))</f>
        <v/>
      </c>
      <c r="D581" s="56" t="str">
        <f aca="false">IF(INDEX(BookTitle,576)="","",INDEX(BookTotal,576)*'5. Scenarios'!$B$6/(1+ProductivityDefault*('5. Scenarios'!$B$11-1)))</f>
        <v/>
      </c>
      <c r="E581" s="57" t="str">
        <f aca="false">IF($D581="","",INDEX(BookRate,576)*(1+'5. Scenarios'!$B$10)*$D581)</f>
        <v/>
      </c>
      <c r="F581" s="57" t="str">
        <f aca="false">IF($E581="","",SUMIFS($E$6:$E$2405,$A$6:$A$2405,"&lt;="&amp;$A581))</f>
        <v/>
      </c>
      <c r="G581" s="57" t="str">
        <f aca="false">IF($E581="","",IF($F581&lt;=BankCostEnvelope*'5. Scenarios'!$B$7,1,0))</f>
        <v/>
      </c>
      <c r="H581" s="57" t="str">
        <f aca="false">IF($D581="","",INDEX(BookRate,576)*(1+'5. Scenarios'!$B$10)*(INDEX(BookQ1,576)*(5-MIN(4,1+'5. Scenarios'!$B$8))/4+INDEX(BookQ2,576)*(5-MIN(4,2+'5. Scenarios'!$B$8))/4+INDEX(BookQ3,576)*(5-MIN(4,3+'5. Scenarios'!$B$8))/4+INDEX(BookQ4,576)*(5-MIN(4,4+'5. Scenarios'!$B$8))/4)*'5. Scenarios'!$B$6/(1+ProductivityDefault*('5. Scenarios'!$B$11-1))+INDEX(BookOneOff,576)*$D581)</f>
        <v/>
      </c>
      <c r="I581" s="56" t="str">
        <f aca="false">IF(INDEX(BookTitle,576)="","",INDEX(BookTotal,576)*'5. Scenarios'!$C$6/(1+ProductivityDefault*('5. Scenarios'!$C$11-1)))</f>
        <v/>
      </c>
      <c r="J581" s="57" t="str">
        <f aca="false">IF($I581="","",INDEX(BookRate,576)*(1+'5. Scenarios'!$C$10)*$I581)</f>
        <v/>
      </c>
      <c r="K581" s="57" t="str">
        <f aca="false">IF($J581="","",SUMIFS($J$6:$J$2405,$A$6:$A$2405,"&lt;="&amp;$A581))</f>
        <v/>
      </c>
      <c r="L581" s="57" t="str">
        <f aca="false">IF($J581="","",IF($K581&lt;=BankCostEnvelope*'5. Scenarios'!$C$7,1,0))</f>
        <v/>
      </c>
      <c r="M581" s="57" t="str">
        <f aca="false">IF($I581="","",INDEX(BookRate,576)*(1+'5. Scenarios'!$C$10)*(INDEX(BookQ1,576)*(5-MIN(4,1+'5. Scenarios'!$C$8))/4+INDEX(BookQ2,576)*(5-MIN(4,2+'5. Scenarios'!$C$8))/4+INDEX(BookQ3,576)*(5-MIN(4,3+'5. Scenarios'!$C$8))/4+INDEX(BookQ4,576)*(5-MIN(4,4+'5. Scenarios'!$C$8))/4)*'5. Scenarios'!$C$6/(1+ProductivityDefault*('5. Scenarios'!$C$11-1))+INDEX(BookOneOff,576)*$I581)</f>
        <v/>
      </c>
      <c r="N581" s="56" t="str">
        <f aca="false">IF(INDEX(BookTitle,576)="","",INDEX(BookTotal,576)*'5. Scenarios'!$D$6/(1+ProductivityDefault*('5. Scenarios'!$D$11-1)))</f>
        <v/>
      </c>
      <c r="O581" s="57" t="str">
        <f aca="false">IF($N581="","",INDEX(BookRate,576)*(1+'5. Scenarios'!$D$10)*$N581)</f>
        <v/>
      </c>
      <c r="P581" s="57" t="str">
        <f aca="false">IF($O581="","",SUMIFS($O$6:$O$2405,$A$6:$A$2405,"&lt;="&amp;$A581))</f>
        <v/>
      </c>
      <c r="Q581" s="57" t="str">
        <f aca="false">IF($O581="","",IF($P581&lt;=BankCostEnvelope*'5. Scenarios'!$D$7,1,0))</f>
        <v/>
      </c>
      <c r="R581" s="57" t="str">
        <f aca="false">IF($N581="","",INDEX(BookRate,576)*(1+'5. Scenarios'!$D$10)*(INDEX(BookQ1,576)*(5-MIN(4,1+'5. Scenarios'!$D$8))/4+INDEX(BookQ2,576)*(5-MIN(4,2+'5. Scenarios'!$D$8))/4+INDEX(BookQ3,576)*(5-MIN(4,3+'5. Scenarios'!$D$8))/4+INDEX(BookQ4,576)*(5-MIN(4,4+'5. Scenarios'!$D$8))/4)*'5. Scenarios'!$D$6/(1+ProductivityDefault*('5. Scenarios'!$D$11-1))+INDEX(BookOneOff,576)*$N581)</f>
        <v/>
      </c>
      <c r="S581" s="56" t="str">
        <f aca="false">IF(INDEX(BookTitle,576)="","",INDEX(BookTotal,576)*'5. Scenarios'!$E$6/(1+ProductivityDefault*('5. Scenarios'!$E$11-1)))</f>
        <v/>
      </c>
      <c r="T581" s="57" t="str">
        <f aca="false">IF($S581="","",INDEX(BookRate,576)*(1+'5. Scenarios'!$E$10)*$S581)</f>
        <v/>
      </c>
      <c r="U581" s="57" t="str">
        <f aca="false">IF($T581="","",SUMIFS($T$6:$T$2405,$A$6:$A$2405,"&lt;="&amp;$A581))</f>
        <v/>
      </c>
      <c r="V581" s="57" t="str">
        <f aca="false">IF($T581="","",IF($U581&lt;=BankCostEnvelope*'5. Scenarios'!$E$7,1,0))</f>
        <v/>
      </c>
      <c r="W581" s="57" t="str">
        <f aca="false">IF($S581="","",INDEX(BookRate,576)*(1+'5. Scenarios'!$E$10)*(INDEX(BookQ1,576)*(5-MIN(4,1+'5. Scenarios'!$E$8))/4+INDEX(BookQ2,576)*(5-MIN(4,2+'5. Scenarios'!$E$8))/4+INDEX(BookQ3,576)*(5-MIN(4,3+'5. Scenarios'!$E$8))/4+INDEX(BookQ4,576)*(5-MIN(4,4+'5. Scenarios'!$E$8))/4)*'5. Scenarios'!$E$6/(1+ProductivityDefault*('5. Scenarios'!$E$11-1))+INDEX(BookOneOff,576)*$S581)</f>
        <v/>
      </c>
    </row>
    <row r="582" customFormat="false" ht="15" hidden="false" customHeight="false" outlineLevel="0" collapsed="false">
      <c r="A582" s="0" t="str">
        <f aca="false">IF(INDEX(BookTitle,577)="","",INDEX(BookKey,577))</f>
        <v/>
      </c>
      <c r="B582" s="0" t="str">
        <f aca="false">IF(INDEX(BookTitle,577)="","",INDEX(BookGroup,577))</f>
        <v/>
      </c>
      <c r="C582" s="0" t="str">
        <f aca="false">IF(INDEX(BookTitle,577)="","",INDEX(BookCategory,577))</f>
        <v/>
      </c>
      <c r="D582" s="56" t="str">
        <f aca="false">IF(INDEX(BookTitle,577)="","",INDEX(BookTotal,577)*'5. Scenarios'!$B$6/(1+ProductivityDefault*('5. Scenarios'!$B$11-1)))</f>
        <v/>
      </c>
      <c r="E582" s="57" t="str">
        <f aca="false">IF($D582="","",INDEX(BookRate,577)*(1+'5. Scenarios'!$B$10)*$D582)</f>
        <v/>
      </c>
      <c r="F582" s="57" t="str">
        <f aca="false">IF($E582="","",SUMIFS($E$6:$E$2405,$A$6:$A$2405,"&lt;="&amp;$A582))</f>
        <v/>
      </c>
      <c r="G582" s="57" t="str">
        <f aca="false">IF($E582="","",IF($F582&lt;=BankCostEnvelope*'5. Scenarios'!$B$7,1,0))</f>
        <v/>
      </c>
      <c r="H582" s="57" t="str">
        <f aca="false">IF($D582="","",INDEX(BookRate,577)*(1+'5. Scenarios'!$B$10)*(INDEX(BookQ1,577)*(5-MIN(4,1+'5. Scenarios'!$B$8))/4+INDEX(BookQ2,577)*(5-MIN(4,2+'5. Scenarios'!$B$8))/4+INDEX(BookQ3,577)*(5-MIN(4,3+'5. Scenarios'!$B$8))/4+INDEX(BookQ4,577)*(5-MIN(4,4+'5. Scenarios'!$B$8))/4)*'5. Scenarios'!$B$6/(1+ProductivityDefault*('5. Scenarios'!$B$11-1))+INDEX(BookOneOff,577)*$D582)</f>
        <v/>
      </c>
      <c r="I582" s="56" t="str">
        <f aca="false">IF(INDEX(BookTitle,577)="","",INDEX(BookTotal,577)*'5. Scenarios'!$C$6/(1+ProductivityDefault*('5. Scenarios'!$C$11-1)))</f>
        <v/>
      </c>
      <c r="J582" s="57" t="str">
        <f aca="false">IF($I582="","",INDEX(BookRate,577)*(1+'5. Scenarios'!$C$10)*$I582)</f>
        <v/>
      </c>
      <c r="K582" s="57" t="str">
        <f aca="false">IF($J582="","",SUMIFS($J$6:$J$2405,$A$6:$A$2405,"&lt;="&amp;$A582))</f>
        <v/>
      </c>
      <c r="L582" s="57" t="str">
        <f aca="false">IF($J582="","",IF($K582&lt;=BankCostEnvelope*'5. Scenarios'!$C$7,1,0))</f>
        <v/>
      </c>
      <c r="M582" s="57" t="str">
        <f aca="false">IF($I582="","",INDEX(BookRate,577)*(1+'5. Scenarios'!$C$10)*(INDEX(BookQ1,577)*(5-MIN(4,1+'5. Scenarios'!$C$8))/4+INDEX(BookQ2,577)*(5-MIN(4,2+'5. Scenarios'!$C$8))/4+INDEX(BookQ3,577)*(5-MIN(4,3+'5. Scenarios'!$C$8))/4+INDEX(BookQ4,577)*(5-MIN(4,4+'5. Scenarios'!$C$8))/4)*'5. Scenarios'!$C$6/(1+ProductivityDefault*('5. Scenarios'!$C$11-1))+INDEX(BookOneOff,577)*$I582)</f>
        <v/>
      </c>
      <c r="N582" s="56" t="str">
        <f aca="false">IF(INDEX(BookTitle,577)="","",INDEX(BookTotal,577)*'5. Scenarios'!$D$6/(1+ProductivityDefault*('5. Scenarios'!$D$11-1)))</f>
        <v/>
      </c>
      <c r="O582" s="57" t="str">
        <f aca="false">IF($N582="","",INDEX(BookRate,577)*(1+'5. Scenarios'!$D$10)*$N582)</f>
        <v/>
      </c>
      <c r="P582" s="57" t="str">
        <f aca="false">IF($O582="","",SUMIFS($O$6:$O$2405,$A$6:$A$2405,"&lt;="&amp;$A582))</f>
        <v/>
      </c>
      <c r="Q582" s="57" t="str">
        <f aca="false">IF($O582="","",IF($P582&lt;=BankCostEnvelope*'5. Scenarios'!$D$7,1,0))</f>
        <v/>
      </c>
      <c r="R582" s="57" t="str">
        <f aca="false">IF($N582="","",INDEX(BookRate,577)*(1+'5. Scenarios'!$D$10)*(INDEX(BookQ1,577)*(5-MIN(4,1+'5. Scenarios'!$D$8))/4+INDEX(BookQ2,577)*(5-MIN(4,2+'5. Scenarios'!$D$8))/4+INDEX(BookQ3,577)*(5-MIN(4,3+'5. Scenarios'!$D$8))/4+INDEX(BookQ4,577)*(5-MIN(4,4+'5. Scenarios'!$D$8))/4)*'5. Scenarios'!$D$6/(1+ProductivityDefault*('5. Scenarios'!$D$11-1))+INDEX(BookOneOff,577)*$N582)</f>
        <v/>
      </c>
      <c r="S582" s="56" t="str">
        <f aca="false">IF(INDEX(BookTitle,577)="","",INDEX(BookTotal,577)*'5. Scenarios'!$E$6/(1+ProductivityDefault*('5. Scenarios'!$E$11-1)))</f>
        <v/>
      </c>
      <c r="T582" s="57" t="str">
        <f aca="false">IF($S582="","",INDEX(BookRate,577)*(1+'5. Scenarios'!$E$10)*$S582)</f>
        <v/>
      </c>
      <c r="U582" s="57" t="str">
        <f aca="false">IF($T582="","",SUMIFS($T$6:$T$2405,$A$6:$A$2405,"&lt;="&amp;$A582))</f>
        <v/>
      </c>
      <c r="V582" s="57" t="str">
        <f aca="false">IF($T582="","",IF($U582&lt;=BankCostEnvelope*'5. Scenarios'!$E$7,1,0))</f>
        <v/>
      </c>
      <c r="W582" s="57" t="str">
        <f aca="false">IF($S582="","",INDEX(BookRate,577)*(1+'5. Scenarios'!$E$10)*(INDEX(BookQ1,577)*(5-MIN(4,1+'5. Scenarios'!$E$8))/4+INDEX(BookQ2,577)*(5-MIN(4,2+'5. Scenarios'!$E$8))/4+INDEX(BookQ3,577)*(5-MIN(4,3+'5. Scenarios'!$E$8))/4+INDEX(BookQ4,577)*(5-MIN(4,4+'5. Scenarios'!$E$8))/4)*'5. Scenarios'!$E$6/(1+ProductivityDefault*('5. Scenarios'!$E$11-1))+INDEX(BookOneOff,577)*$S582)</f>
        <v/>
      </c>
    </row>
    <row r="583" customFormat="false" ht="15" hidden="false" customHeight="false" outlineLevel="0" collapsed="false">
      <c r="A583" s="0" t="str">
        <f aca="false">IF(INDEX(BookTitle,578)="","",INDEX(BookKey,578))</f>
        <v/>
      </c>
      <c r="B583" s="0" t="str">
        <f aca="false">IF(INDEX(BookTitle,578)="","",INDEX(BookGroup,578))</f>
        <v/>
      </c>
      <c r="C583" s="0" t="str">
        <f aca="false">IF(INDEX(BookTitle,578)="","",INDEX(BookCategory,578))</f>
        <v/>
      </c>
      <c r="D583" s="56" t="str">
        <f aca="false">IF(INDEX(BookTitle,578)="","",INDEX(BookTotal,578)*'5. Scenarios'!$B$6/(1+ProductivityDefault*('5. Scenarios'!$B$11-1)))</f>
        <v/>
      </c>
      <c r="E583" s="57" t="str">
        <f aca="false">IF($D583="","",INDEX(BookRate,578)*(1+'5. Scenarios'!$B$10)*$D583)</f>
        <v/>
      </c>
      <c r="F583" s="57" t="str">
        <f aca="false">IF($E583="","",SUMIFS($E$6:$E$2405,$A$6:$A$2405,"&lt;="&amp;$A583))</f>
        <v/>
      </c>
      <c r="G583" s="57" t="str">
        <f aca="false">IF($E583="","",IF($F583&lt;=BankCostEnvelope*'5. Scenarios'!$B$7,1,0))</f>
        <v/>
      </c>
      <c r="H583" s="57" t="str">
        <f aca="false">IF($D583="","",INDEX(BookRate,578)*(1+'5. Scenarios'!$B$10)*(INDEX(BookQ1,578)*(5-MIN(4,1+'5. Scenarios'!$B$8))/4+INDEX(BookQ2,578)*(5-MIN(4,2+'5. Scenarios'!$B$8))/4+INDEX(BookQ3,578)*(5-MIN(4,3+'5. Scenarios'!$B$8))/4+INDEX(BookQ4,578)*(5-MIN(4,4+'5. Scenarios'!$B$8))/4)*'5. Scenarios'!$B$6/(1+ProductivityDefault*('5. Scenarios'!$B$11-1))+INDEX(BookOneOff,578)*$D583)</f>
        <v/>
      </c>
      <c r="I583" s="56" t="str">
        <f aca="false">IF(INDEX(BookTitle,578)="","",INDEX(BookTotal,578)*'5. Scenarios'!$C$6/(1+ProductivityDefault*('5. Scenarios'!$C$11-1)))</f>
        <v/>
      </c>
      <c r="J583" s="57" t="str">
        <f aca="false">IF($I583="","",INDEX(BookRate,578)*(1+'5. Scenarios'!$C$10)*$I583)</f>
        <v/>
      </c>
      <c r="K583" s="57" t="str">
        <f aca="false">IF($J583="","",SUMIFS($J$6:$J$2405,$A$6:$A$2405,"&lt;="&amp;$A583))</f>
        <v/>
      </c>
      <c r="L583" s="57" t="str">
        <f aca="false">IF($J583="","",IF($K583&lt;=BankCostEnvelope*'5. Scenarios'!$C$7,1,0))</f>
        <v/>
      </c>
      <c r="M583" s="57" t="str">
        <f aca="false">IF($I583="","",INDEX(BookRate,578)*(1+'5. Scenarios'!$C$10)*(INDEX(BookQ1,578)*(5-MIN(4,1+'5. Scenarios'!$C$8))/4+INDEX(BookQ2,578)*(5-MIN(4,2+'5. Scenarios'!$C$8))/4+INDEX(BookQ3,578)*(5-MIN(4,3+'5. Scenarios'!$C$8))/4+INDEX(BookQ4,578)*(5-MIN(4,4+'5. Scenarios'!$C$8))/4)*'5. Scenarios'!$C$6/(1+ProductivityDefault*('5. Scenarios'!$C$11-1))+INDEX(BookOneOff,578)*$I583)</f>
        <v/>
      </c>
      <c r="N583" s="56" t="str">
        <f aca="false">IF(INDEX(BookTitle,578)="","",INDEX(BookTotal,578)*'5. Scenarios'!$D$6/(1+ProductivityDefault*('5. Scenarios'!$D$11-1)))</f>
        <v/>
      </c>
      <c r="O583" s="57" t="str">
        <f aca="false">IF($N583="","",INDEX(BookRate,578)*(1+'5. Scenarios'!$D$10)*$N583)</f>
        <v/>
      </c>
      <c r="P583" s="57" t="str">
        <f aca="false">IF($O583="","",SUMIFS($O$6:$O$2405,$A$6:$A$2405,"&lt;="&amp;$A583))</f>
        <v/>
      </c>
      <c r="Q583" s="57" t="str">
        <f aca="false">IF($O583="","",IF($P583&lt;=BankCostEnvelope*'5. Scenarios'!$D$7,1,0))</f>
        <v/>
      </c>
      <c r="R583" s="57" t="str">
        <f aca="false">IF($N583="","",INDEX(BookRate,578)*(1+'5. Scenarios'!$D$10)*(INDEX(BookQ1,578)*(5-MIN(4,1+'5. Scenarios'!$D$8))/4+INDEX(BookQ2,578)*(5-MIN(4,2+'5. Scenarios'!$D$8))/4+INDEX(BookQ3,578)*(5-MIN(4,3+'5. Scenarios'!$D$8))/4+INDEX(BookQ4,578)*(5-MIN(4,4+'5. Scenarios'!$D$8))/4)*'5. Scenarios'!$D$6/(1+ProductivityDefault*('5. Scenarios'!$D$11-1))+INDEX(BookOneOff,578)*$N583)</f>
        <v/>
      </c>
      <c r="S583" s="56" t="str">
        <f aca="false">IF(INDEX(BookTitle,578)="","",INDEX(BookTotal,578)*'5. Scenarios'!$E$6/(1+ProductivityDefault*('5. Scenarios'!$E$11-1)))</f>
        <v/>
      </c>
      <c r="T583" s="57" t="str">
        <f aca="false">IF($S583="","",INDEX(BookRate,578)*(1+'5. Scenarios'!$E$10)*$S583)</f>
        <v/>
      </c>
      <c r="U583" s="57" t="str">
        <f aca="false">IF($T583="","",SUMIFS($T$6:$T$2405,$A$6:$A$2405,"&lt;="&amp;$A583))</f>
        <v/>
      </c>
      <c r="V583" s="57" t="str">
        <f aca="false">IF($T583="","",IF($U583&lt;=BankCostEnvelope*'5. Scenarios'!$E$7,1,0))</f>
        <v/>
      </c>
      <c r="W583" s="57" t="str">
        <f aca="false">IF($S583="","",INDEX(BookRate,578)*(1+'5. Scenarios'!$E$10)*(INDEX(BookQ1,578)*(5-MIN(4,1+'5. Scenarios'!$E$8))/4+INDEX(BookQ2,578)*(5-MIN(4,2+'5. Scenarios'!$E$8))/4+INDEX(BookQ3,578)*(5-MIN(4,3+'5. Scenarios'!$E$8))/4+INDEX(BookQ4,578)*(5-MIN(4,4+'5. Scenarios'!$E$8))/4)*'5. Scenarios'!$E$6/(1+ProductivityDefault*('5. Scenarios'!$E$11-1))+INDEX(BookOneOff,578)*$S583)</f>
        <v/>
      </c>
    </row>
    <row r="584" customFormat="false" ht="15" hidden="false" customHeight="false" outlineLevel="0" collapsed="false">
      <c r="A584" s="0" t="str">
        <f aca="false">IF(INDEX(BookTitle,579)="","",INDEX(BookKey,579))</f>
        <v/>
      </c>
      <c r="B584" s="0" t="str">
        <f aca="false">IF(INDEX(BookTitle,579)="","",INDEX(BookGroup,579))</f>
        <v/>
      </c>
      <c r="C584" s="0" t="str">
        <f aca="false">IF(INDEX(BookTitle,579)="","",INDEX(BookCategory,579))</f>
        <v/>
      </c>
      <c r="D584" s="56" t="str">
        <f aca="false">IF(INDEX(BookTitle,579)="","",INDEX(BookTotal,579)*'5. Scenarios'!$B$6/(1+ProductivityDefault*('5. Scenarios'!$B$11-1)))</f>
        <v/>
      </c>
      <c r="E584" s="57" t="str">
        <f aca="false">IF($D584="","",INDEX(BookRate,579)*(1+'5. Scenarios'!$B$10)*$D584)</f>
        <v/>
      </c>
      <c r="F584" s="57" t="str">
        <f aca="false">IF($E584="","",SUMIFS($E$6:$E$2405,$A$6:$A$2405,"&lt;="&amp;$A584))</f>
        <v/>
      </c>
      <c r="G584" s="57" t="str">
        <f aca="false">IF($E584="","",IF($F584&lt;=BankCostEnvelope*'5. Scenarios'!$B$7,1,0))</f>
        <v/>
      </c>
      <c r="H584" s="57" t="str">
        <f aca="false">IF($D584="","",INDEX(BookRate,579)*(1+'5. Scenarios'!$B$10)*(INDEX(BookQ1,579)*(5-MIN(4,1+'5. Scenarios'!$B$8))/4+INDEX(BookQ2,579)*(5-MIN(4,2+'5. Scenarios'!$B$8))/4+INDEX(BookQ3,579)*(5-MIN(4,3+'5. Scenarios'!$B$8))/4+INDEX(BookQ4,579)*(5-MIN(4,4+'5. Scenarios'!$B$8))/4)*'5. Scenarios'!$B$6/(1+ProductivityDefault*('5. Scenarios'!$B$11-1))+INDEX(BookOneOff,579)*$D584)</f>
        <v/>
      </c>
      <c r="I584" s="56" t="str">
        <f aca="false">IF(INDEX(BookTitle,579)="","",INDEX(BookTotal,579)*'5. Scenarios'!$C$6/(1+ProductivityDefault*('5. Scenarios'!$C$11-1)))</f>
        <v/>
      </c>
      <c r="J584" s="57" t="str">
        <f aca="false">IF($I584="","",INDEX(BookRate,579)*(1+'5. Scenarios'!$C$10)*$I584)</f>
        <v/>
      </c>
      <c r="K584" s="57" t="str">
        <f aca="false">IF($J584="","",SUMIFS($J$6:$J$2405,$A$6:$A$2405,"&lt;="&amp;$A584))</f>
        <v/>
      </c>
      <c r="L584" s="57" t="str">
        <f aca="false">IF($J584="","",IF($K584&lt;=BankCostEnvelope*'5. Scenarios'!$C$7,1,0))</f>
        <v/>
      </c>
      <c r="M584" s="57" t="str">
        <f aca="false">IF($I584="","",INDEX(BookRate,579)*(1+'5. Scenarios'!$C$10)*(INDEX(BookQ1,579)*(5-MIN(4,1+'5. Scenarios'!$C$8))/4+INDEX(BookQ2,579)*(5-MIN(4,2+'5. Scenarios'!$C$8))/4+INDEX(BookQ3,579)*(5-MIN(4,3+'5. Scenarios'!$C$8))/4+INDEX(BookQ4,579)*(5-MIN(4,4+'5. Scenarios'!$C$8))/4)*'5. Scenarios'!$C$6/(1+ProductivityDefault*('5. Scenarios'!$C$11-1))+INDEX(BookOneOff,579)*$I584)</f>
        <v/>
      </c>
      <c r="N584" s="56" t="str">
        <f aca="false">IF(INDEX(BookTitle,579)="","",INDEX(BookTotal,579)*'5. Scenarios'!$D$6/(1+ProductivityDefault*('5. Scenarios'!$D$11-1)))</f>
        <v/>
      </c>
      <c r="O584" s="57" t="str">
        <f aca="false">IF($N584="","",INDEX(BookRate,579)*(1+'5. Scenarios'!$D$10)*$N584)</f>
        <v/>
      </c>
      <c r="P584" s="57" t="str">
        <f aca="false">IF($O584="","",SUMIFS($O$6:$O$2405,$A$6:$A$2405,"&lt;="&amp;$A584))</f>
        <v/>
      </c>
      <c r="Q584" s="57" t="str">
        <f aca="false">IF($O584="","",IF($P584&lt;=BankCostEnvelope*'5. Scenarios'!$D$7,1,0))</f>
        <v/>
      </c>
      <c r="R584" s="57" t="str">
        <f aca="false">IF($N584="","",INDEX(BookRate,579)*(1+'5. Scenarios'!$D$10)*(INDEX(BookQ1,579)*(5-MIN(4,1+'5. Scenarios'!$D$8))/4+INDEX(BookQ2,579)*(5-MIN(4,2+'5. Scenarios'!$D$8))/4+INDEX(BookQ3,579)*(5-MIN(4,3+'5. Scenarios'!$D$8))/4+INDEX(BookQ4,579)*(5-MIN(4,4+'5. Scenarios'!$D$8))/4)*'5. Scenarios'!$D$6/(1+ProductivityDefault*('5. Scenarios'!$D$11-1))+INDEX(BookOneOff,579)*$N584)</f>
        <v/>
      </c>
      <c r="S584" s="56" t="str">
        <f aca="false">IF(INDEX(BookTitle,579)="","",INDEX(BookTotal,579)*'5. Scenarios'!$E$6/(1+ProductivityDefault*('5. Scenarios'!$E$11-1)))</f>
        <v/>
      </c>
      <c r="T584" s="57" t="str">
        <f aca="false">IF($S584="","",INDEX(BookRate,579)*(1+'5. Scenarios'!$E$10)*$S584)</f>
        <v/>
      </c>
      <c r="U584" s="57" t="str">
        <f aca="false">IF($T584="","",SUMIFS($T$6:$T$2405,$A$6:$A$2405,"&lt;="&amp;$A584))</f>
        <v/>
      </c>
      <c r="V584" s="57" t="str">
        <f aca="false">IF($T584="","",IF($U584&lt;=BankCostEnvelope*'5. Scenarios'!$E$7,1,0))</f>
        <v/>
      </c>
      <c r="W584" s="57" t="str">
        <f aca="false">IF($S584="","",INDEX(BookRate,579)*(1+'5. Scenarios'!$E$10)*(INDEX(BookQ1,579)*(5-MIN(4,1+'5. Scenarios'!$E$8))/4+INDEX(BookQ2,579)*(5-MIN(4,2+'5. Scenarios'!$E$8))/4+INDEX(BookQ3,579)*(5-MIN(4,3+'5. Scenarios'!$E$8))/4+INDEX(BookQ4,579)*(5-MIN(4,4+'5. Scenarios'!$E$8))/4)*'5. Scenarios'!$E$6/(1+ProductivityDefault*('5. Scenarios'!$E$11-1))+INDEX(BookOneOff,579)*$S584)</f>
        <v/>
      </c>
    </row>
    <row r="585" customFormat="false" ht="15" hidden="false" customHeight="false" outlineLevel="0" collapsed="false">
      <c r="A585" s="0" t="str">
        <f aca="false">IF(INDEX(BookTitle,580)="","",INDEX(BookKey,580))</f>
        <v/>
      </c>
      <c r="B585" s="0" t="str">
        <f aca="false">IF(INDEX(BookTitle,580)="","",INDEX(BookGroup,580))</f>
        <v/>
      </c>
      <c r="C585" s="0" t="str">
        <f aca="false">IF(INDEX(BookTitle,580)="","",INDEX(BookCategory,580))</f>
        <v/>
      </c>
      <c r="D585" s="56" t="str">
        <f aca="false">IF(INDEX(BookTitle,580)="","",INDEX(BookTotal,580)*'5. Scenarios'!$B$6/(1+ProductivityDefault*('5. Scenarios'!$B$11-1)))</f>
        <v/>
      </c>
      <c r="E585" s="57" t="str">
        <f aca="false">IF($D585="","",INDEX(BookRate,580)*(1+'5. Scenarios'!$B$10)*$D585)</f>
        <v/>
      </c>
      <c r="F585" s="57" t="str">
        <f aca="false">IF($E585="","",SUMIFS($E$6:$E$2405,$A$6:$A$2405,"&lt;="&amp;$A585))</f>
        <v/>
      </c>
      <c r="G585" s="57" t="str">
        <f aca="false">IF($E585="","",IF($F585&lt;=BankCostEnvelope*'5. Scenarios'!$B$7,1,0))</f>
        <v/>
      </c>
      <c r="H585" s="57" t="str">
        <f aca="false">IF($D585="","",INDEX(BookRate,580)*(1+'5. Scenarios'!$B$10)*(INDEX(BookQ1,580)*(5-MIN(4,1+'5. Scenarios'!$B$8))/4+INDEX(BookQ2,580)*(5-MIN(4,2+'5. Scenarios'!$B$8))/4+INDEX(BookQ3,580)*(5-MIN(4,3+'5. Scenarios'!$B$8))/4+INDEX(BookQ4,580)*(5-MIN(4,4+'5. Scenarios'!$B$8))/4)*'5. Scenarios'!$B$6/(1+ProductivityDefault*('5. Scenarios'!$B$11-1))+INDEX(BookOneOff,580)*$D585)</f>
        <v/>
      </c>
      <c r="I585" s="56" t="str">
        <f aca="false">IF(INDEX(BookTitle,580)="","",INDEX(BookTotal,580)*'5. Scenarios'!$C$6/(1+ProductivityDefault*('5. Scenarios'!$C$11-1)))</f>
        <v/>
      </c>
      <c r="J585" s="57" t="str">
        <f aca="false">IF($I585="","",INDEX(BookRate,580)*(1+'5. Scenarios'!$C$10)*$I585)</f>
        <v/>
      </c>
      <c r="K585" s="57" t="str">
        <f aca="false">IF($J585="","",SUMIFS($J$6:$J$2405,$A$6:$A$2405,"&lt;="&amp;$A585))</f>
        <v/>
      </c>
      <c r="L585" s="57" t="str">
        <f aca="false">IF($J585="","",IF($K585&lt;=BankCostEnvelope*'5. Scenarios'!$C$7,1,0))</f>
        <v/>
      </c>
      <c r="M585" s="57" t="str">
        <f aca="false">IF($I585="","",INDEX(BookRate,580)*(1+'5. Scenarios'!$C$10)*(INDEX(BookQ1,580)*(5-MIN(4,1+'5. Scenarios'!$C$8))/4+INDEX(BookQ2,580)*(5-MIN(4,2+'5. Scenarios'!$C$8))/4+INDEX(BookQ3,580)*(5-MIN(4,3+'5. Scenarios'!$C$8))/4+INDEX(BookQ4,580)*(5-MIN(4,4+'5. Scenarios'!$C$8))/4)*'5. Scenarios'!$C$6/(1+ProductivityDefault*('5. Scenarios'!$C$11-1))+INDEX(BookOneOff,580)*$I585)</f>
        <v/>
      </c>
      <c r="N585" s="56" t="str">
        <f aca="false">IF(INDEX(BookTitle,580)="","",INDEX(BookTotal,580)*'5. Scenarios'!$D$6/(1+ProductivityDefault*('5. Scenarios'!$D$11-1)))</f>
        <v/>
      </c>
      <c r="O585" s="57" t="str">
        <f aca="false">IF($N585="","",INDEX(BookRate,580)*(1+'5. Scenarios'!$D$10)*$N585)</f>
        <v/>
      </c>
      <c r="P585" s="57" t="str">
        <f aca="false">IF($O585="","",SUMIFS($O$6:$O$2405,$A$6:$A$2405,"&lt;="&amp;$A585))</f>
        <v/>
      </c>
      <c r="Q585" s="57" t="str">
        <f aca="false">IF($O585="","",IF($P585&lt;=BankCostEnvelope*'5. Scenarios'!$D$7,1,0))</f>
        <v/>
      </c>
      <c r="R585" s="57" t="str">
        <f aca="false">IF($N585="","",INDEX(BookRate,580)*(1+'5. Scenarios'!$D$10)*(INDEX(BookQ1,580)*(5-MIN(4,1+'5. Scenarios'!$D$8))/4+INDEX(BookQ2,580)*(5-MIN(4,2+'5. Scenarios'!$D$8))/4+INDEX(BookQ3,580)*(5-MIN(4,3+'5. Scenarios'!$D$8))/4+INDEX(BookQ4,580)*(5-MIN(4,4+'5. Scenarios'!$D$8))/4)*'5. Scenarios'!$D$6/(1+ProductivityDefault*('5. Scenarios'!$D$11-1))+INDEX(BookOneOff,580)*$N585)</f>
        <v/>
      </c>
      <c r="S585" s="56" t="str">
        <f aca="false">IF(INDEX(BookTitle,580)="","",INDEX(BookTotal,580)*'5. Scenarios'!$E$6/(1+ProductivityDefault*('5. Scenarios'!$E$11-1)))</f>
        <v/>
      </c>
      <c r="T585" s="57" t="str">
        <f aca="false">IF($S585="","",INDEX(BookRate,580)*(1+'5. Scenarios'!$E$10)*$S585)</f>
        <v/>
      </c>
      <c r="U585" s="57" t="str">
        <f aca="false">IF($T585="","",SUMIFS($T$6:$T$2405,$A$6:$A$2405,"&lt;="&amp;$A585))</f>
        <v/>
      </c>
      <c r="V585" s="57" t="str">
        <f aca="false">IF($T585="","",IF($U585&lt;=BankCostEnvelope*'5. Scenarios'!$E$7,1,0))</f>
        <v/>
      </c>
      <c r="W585" s="57" t="str">
        <f aca="false">IF($S585="","",INDEX(BookRate,580)*(1+'5. Scenarios'!$E$10)*(INDEX(BookQ1,580)*(5-MIN(4,1+'5. Scenarios'!$E$8))/4+INDEX(BookQ2,580)*(5-MIN(4,2+'5. Scenarios'!$E$8))/4+INDEX(BookQ3,580)*(5-MIN(4,3+'5. Scenarios'!$E$8))/4+INDEX(BookQ4,580)*(5-MIN(4,4+'5. Scenarios'!$E$8))/4)*'5. Scenarios'!$E$6/(1+ProductivityDefault*('5. Scenarios'!$E$11-1))+INDEX(BookOneOff,580)*$S585)</f>
        <v/>
      </c>
    </row>
    <row r="586" customFormat="false" ht="15" hidden="false" customHeight="false" outlineLevel="0" collapsed="false">
      <c r="A586" s="0" t="str">
        <f aca="false">IF(INDEX(BookTitle,581)="","",INDEX(BookKey,581))</f>
        <v/>
      </c>
      <c r="B586" s="0" t="str">
        <f aca="false">IF(INDEX(BookTitle,581)="","",INDEX(BookGroup,581))</f>
        <v/>
      </c>
      <c r="C586" s="0" t="str">
        <f aca="false">IF(INDEX(BookTitle,581)="","",INDEX(BookCategory,581))</f>
        <v/>
      </c>
      <c r="D586" s="56" t="str">
        <f aca="false">IF(INDEX(BookTitle,581)="","",INDEX(BookTotal,581)*'5. Scenarios'!$B$6/(1+ProductivityDefault*('5. Scenarios'!$B$11-1)))</f>
        <v/>
      </c>
      <c r="E586" s="57" t="str">
        <f aca="false">IF($D586="","",INDEX(BookRate,581)*(1+'5. Scenarios'!$B$10)*$D586)</f>
        <v/>
      </c>
      <c r="F586" s="57" t="str">
        <f aca="false">IF($E586="","",SUMIFS($E$6:$E$2405,$A$6:$A$2405,"&lt;="&amp;$A586))</f>
        <v/>
      </c>
      <c r="G586" s="57" t="str">
        <f aca="false">IF($E586="","",IF($F586&lt;=BankCostEnvelope*'5. Scenarios'!$B$7,1,0))</f>
        <v/>
      </c>
      <c r="H586" s="57" t="str">
        <f aca="false">IF($D586="","",INDEX(BookRate,581)*(1+'5. Scenarios'!$B$10)*(INDEX(BookQ1,581)*(5-MIN(4,1+'5. Scenarios'!$B$8))/4+INDEX(BookQ2,581)*(5-MIN(4,2+'5. Scenarios'!$B$8))/4+INDEX(BookQ3,581)*(5-MIN(4,3+'5. Scenarios'!$B$8))/4+INDEX(BookQ4,581)*(5-MIN(4,4+'5. Scenarios'!$B$8))/4)*'5. Scenarios'!$B$6/(1+ProductivityDefault*('5. Scenarios'!$B$11-1))+INDEX(BookOneOff,581)*$D586)</f>
        <v/>
      </c>
      <c r="I586" s="56" t="str">
        <f aca="false">IF(INDEX(BookTitle,581)="","",INDEX(BookTotal,581)*'5. Scenarios'!$C$6/(1+ProductivityDefault*('5. Scenarios'!$C$11-1)))</f>
        <v/>
      </c>
      <c r="J586" s="57" t="str">
        <f aca="false">IF($I586="","",INDEX(BookRate,581)*(1+'5. Scenarios'!$C$10)*$I586)</f>
        <v/>
      </c>
      <c r="K586" s="57" t="str">
        <f aca="false">IF($J586="","",SUMIFS($J$6:$J$2405,$A$6:$A$2405,"&lt;="&amp;$A586))</f>
        <v/>
      </c>
      <c r="L586" s="57" t="str">
        <f aca="false">IF($J586="","",IF($K586&lt;=BankCostEnvelope*'5. Scenarios'!$C$7,1,0))</f>
        <v/>
      </c>
      <c r="M586" s="57" t="str">
        <f aca="false">IF($I586="","",INDEX(BookRate,581)*(1+'5. Scenarios'!$C$10)*(INDEX(BookQ1,581)*(5-MIN(4,1+'5. Scenarios'!$C$8))/4+INDEX(BookQ2,581)*(5-MIN(4,2+'5. Scenarios'!$C$8))/4+INDEX(BookQ3,581)*(5-MIN(4,3+'5. Scenarios'!$C$8))/4+INDEX(BookQ4,581)*(5-MIN(4,4+'5. Scenarios'!$C$8))/4)*'5. Scenarios'!$C$6/(1+ProductivityDefault*('5. Scenarios'!$C$11-1))+INDEX(BookOneOff,581)*$I586)</f>
        <v/>
      </c>
      <c r="N586" s="56" t="str">
        <f aca="false">IF(INDEX(BookTitle,581)="","",INDEX(BookTotal,581)*'5. Scenarios'!$D$6/(1+ProductivityDefault*('5. Scenarios'!$D$11-1)))</f>
        <v/>
      </c>
      <c r="O586" s="57" t="str">
        <f aca="false">IF($N586="","",INDEX(BookRate,581)*(1+'5. Scenarios'!$D$10)*$N586)</f>
        <v/>
      </c>
      <c r="P586" s="57" t="str">
        <f aca="false">IF($O586="","",SUMIFS($O$6:$O$2405,$A$6:$A$2405,"&lt;="&amp;$A586))</f>
        <v/>
      </c>
      <c r="Q586" s="57" t="str">
        <f aca="false">IF($O586="","",IF($P586&lt;=BankCostEnvelope*'5. Scenarios'!$D$7,1,0))</f>
        <v/>
      </c>
      <c r="R586" s="57" t="str">
        <f aca="false">IF($N586="","",INDEX(BookRate,581)*(1+'5. Scenarios'!$D$10)*(INDEX(BookQ1,581)*(5-MIN(4,1+'5. Scenarios'!$D$8))/4+INDEX(BookQ2,581)*(5-MIN(4,2+'5. Scenarios'!$D$8))/4+INDEX(BookQ3,581)*(5-MIN(4,3+'5. Scenarios'!$D$8))/4+INDEX(BookQ4,581)*(5-MIN(4,4+'5. Scenarios'!$D$8))/4)*'5. Scenarios'!$D$6/(1+ProductivityDefault*('5. Scenarios'!$D$11-1))+INDEX(BookOneOff,581)*$N586)</f>
        <v/>
      </c>
      <c r="S586" s="56" t="str">
        <f aca="false">IF(INDEX(BookTitle,581)="","",INDEX(BookTotal,581)*'5. Scenarios'!$E$6/(1+ProductivityDefault*('5. Scenarios'!$E$11-1)))</f>
        <v/>
      </c>
      <c r="T586" s="57" t="str">
        <f aca="false">IF($S586="","",INDEX(BookRate,581)*(1+'5. Scenarios'!$E$10)*$S586)</f>
        <v/>
      </c>
      <c r="U586" s="57" t="str">
        <f aca="false">IF($T586="","",SUMIFS($T$6:$T$2405,$A$6:$A$2405,"&lt;="&amp;$A586))</f>
        <v/>
      </c>
      <c r="V586" s="57" t="str">
        <f aca="false">IF($T586="","",IF($U586&lt;=BankCostEnvelope*'5. Scenarios'!$E$7,1,0))</f>
        <v/>
      </c>
      <c r="W586" s="57" t="str">
        <f aca="false">IF($S586="","",INDEX(BookRate,581)*(1+'5. Scenarios'!$E$10)*(INDEX(BookQ1,581)*(5-MIN(4,1+'5. Scenarios'!$E$8))/4+INDEX(BookQ2,581)*(5-MIN(4,2+'5. Scenarios'!$E$8))/4+INDEX(BookQ3,581)*(5-MIN(4,3+'5. Scenarios'!$E$8))/4+INDEX(BookQ4,581)*(5-MIN(4,4+'5. Scenarios'!$E$8))/4)*'5. Scenarios'!$E$6/(1+ProductivityDefault*('5. Scenarios'!$E$11-1))+INDEX(BookOneOff,581)*$S586)</f>
        <v/>
      </c>
    </row>
    <row r="587" customFormat="false" ht="15" hidden="false" customHeight="false" outlineLevel="0" collapsed="false">
      <c r="A587" s="0" t="str">
        <f aca="false">IF(INDEX(BookTitle,582)="","",INDEX(BookKey,582))</f>
        <v/>
      </c>
      <c r="B587" s="0" t="str">
        <f aca="false">IF(INDEX(BookTitle,582)="","",INDEX(BookGroup,582))</f>
        <v/>
      </c>
      <c r="C587" s="0" t="str">
        <f aca="false">IF(INDEX(BookTitle,582)="","",INDEX(BookCategory,582))</f>
        <v/>
      </c>
      <c r="D587" s="56" t="str">
        <f aca="false">IF(INDEX(BookTitle,582)="","",INDEX(BookTotal,582)*'5. Scenarios'!$B$6/(1+ProductivityDefault*('5. Scenarios'!$B$11-1)))</f>
        <v/>
      </c>
      <c r="E587" s="57" t="str">
        <f aca="false">IF($D587="","",INDEX(BookRate,582)*(1+'5. Scenarios'!$B$10)*$D587)</f>
        <v/>
      </c>
      <c r="F587" s="57" t="str">
        <f aca="false">IF($E587="","",SUMIFS($E$6:$E$2405,$A$6:$A$2405,"&lt;="&amp;$A587))</f>
        <v/>
      </c>
      <c r="G587" s="57" t="str">
        <f aca="false">IF($E587="","",IF($F587&lt;=BankCostEnvelope*'5. Scenarios'!$B$7,1,0))</f>
        <v/>
      </c>
      <c r="H587" s="57" t="str">
        <f aca="false">IF($D587="","",INDEX(BookRate,582)*(1+'5. Scenarios'!$B$10)*(INDEX(BookQ1,582)*(5-MIN(4,1+'5. Scenarios'!$B$8))/4+INDEX(BookQ2,582)*(5-MIN(4,2+'5. Scenarios'!$B$8))/4+INDEX(BookQ3,582)*(5-MIN(4,3+'5. Scenarios'!$B$8))/4+INDEX(BookQ4,582)*(5-MIN(4,4+'5. Scenarios'!$B$8))/4)*'5. Scenarios'!$B$6/(1+ProductivityDefault*('5. Scenarios'!$B$11-1))+INDEX(BookOneOff,582)*$D587)</f>
        <v/>
      </c>
      <c r="I587" s="56" t="str">
        <f aca="false">IF(INDEX(BookTitle,582)="","",INDEX(BookTotal,582)*'5. Scenarios'!$C$6/(1+ProductivityDefault*('5. Scenarios'!$C$11-1)))</f>
        <v/>
      </c>
      <c r="J587" s="57" t="str">
        <f aca="false">IF($I587="","",INDEX(BookRate,582)*(1+'5. Scenarios'!$C$10)*$I587)</f>
        <v/>
      </c>
      <c r="K587" s="57" t="str">
        <f aca="false">IF($J587="","",SUMIFS($J$6:$J$2405,$A$6:$A$2405,"&lt;="&amp;$A587))</f>
        <v/>
      </c>
      <c r="L587" s="57" t="str">
        <f aca="false">IF($J587="","",IF($K587&lt;=BankCostEnvelope*'5. Scenarios'!$C$7,1,0))</f>
        <v/>
      </c>
      <c r="M587" s="57" t="str">
        <f aca="false">IF($I587="","",INDEX(BookRate,582)*(1+'5. Scenarios'!$C$10)*(INDEX(BookQ1,582)*(5-MIN(4,1+'5. Scenarios'!$C$8))/4+INDEX(BookQ2,582)*(5-MIN(4,2+'5. Scenarios'!$C$8))/4+INDEX(BookQ3,582)*(5-MIN(4,3+'5. Scenarios'!$C$8))/4+INDEX(BookQ4,582)*(5-MIN(4,4+'5. Scenarios'!$C$8))/4)*'5. Scenarios'!$C$6/(1+ProductivityDefault*('5. Scenarios'!$C$11-1))+INDEX(BookOneOff,582)*$I587)</f>
        <v/>
      </c>
      <c r="N587" s="56" t="str">
        <f aca="false">IF(INDEX(BookTitle,582)="","",INDEX(BookTotal,582)*'5. Scenarios'!$D$6/(1+ProductivityDefault*('5. Scenarios'!$D$11-1)))</f>
        <v/>
      </c>
      <c r="O587" s="57" t="str">
        <f aca="false">IF($N587="","",INDEX(BookRate,582)*(1+'5. Scenarios'!$D$10)*$N587)</f>
        <v/>
      </c>
      <c r="P587" s="57" t="str">
        <f aca="false">IF($O587="","",SUMIFS($O$6:$O$2405,$A$6:$A$2405,"&lt;="&amp;$A587))</f>
        <v/>
      </c>
      <c r="Q587" s="57" t="str">
        <f aca="false">IF($O587="","",IF($P587&lt;=BankCostEnvelope*'5. Scenarios'!$D$7,1,0))</f>
        <v/>
      </c>
      <c r="R587" s="57" t="str">
        <f aca="false">IF($N587="","",INDEX(BookRate,582)*(1+'5. Scenarios'!$D$10)*(INDEX(BookQ1,582)*(5-MIN(4,1+'5. Scenarios'!$D$8))/4+INDEX(BookQ2,582)*(5-MIN(4,2+'5. Scenarios'!$D$8))/4+INDEX(BookQ3,582)*(5-MIN(4,3+'5. Scenarios'!$D$8))/4+INDEX(BookQ4,582)*(5-MIN(4,4+'5. Scenarios'!$D$8))/4)*'5. Scenarios'!$D$6/(1+ProductivityDefault*('5. Scenarios'!$D$11-1))+INDEX(BookOneOff,582)*$N587)</f>
        <v/>
      </c>
      <c r="S587" s="56" t="str">
        <f aca="false">IF(INDEX(BookTitle,582)="","",INDEX(BookTotal,582)*'5. Scenarios'!$E$6/(1+ProductivityDefault*('5. Scenarios'!$E$11-1)))</f>
        <v/>
      </c>
      <c r="T587" s="57" t="str">
        <f aca="false">IF($S587="","",INDEX(BookRate,582)*(1+'5. Scenarios'!$E$10)*$S587)</f>
        <v/>
      </c>
      <c r="U587" s="57" t="str">
        <f aca="false">IF($T587="","",SUMIFS($T$6:$T$2405,$A$6:$A$2405,"&lt;="&amp;$A587))</f>
        <v/>
      </c>
      <c r="V587" s="57" t="str">
        <f aca="false">IF($T587="","",IF($U587&lt;=BankCostEnvelope*'5. Scenarios'!$E$7,1,0))</f>
        <v/>
      </c>
      <c r="W587" s="57" t="str">
        <f aca="false">IF($S587="","",INDEX(BookRate,582)*(1+'5. Scenarios'!$E$10)*(INDEX(BookQ1,582)*(5-MIN(4,1+'5. Scenarios'!$E$8))/4+INDEX(BookQ2,582)*(5-MIN(4,2+'5. Scenarios'!$E$8))/4+INDEX(BookQ3,582)*(5-MIN(4,3+'5. Scenarios'!$E$8))/4+INDEX(BookQ4,582)*(5-MIN(4,4+'5. Scenarios'!$E$8))/4)*'5. Scenarios'!$E$6/(1+ProductivityDefault*('5. Scenarios'!$E$11-1))+INDEX(BookOneOff,582)*$S587)</f>
        <v/>
      </c>
    </row>
    <row r="588" customFormat="false" ht="15" hidden="false" customHeight="false" outlineLevel="0" collapsed="false">
      <c r="A588" s="0" t="str">
        <f aca="false">IF(INDEX(BookTitle,583)="","",INDEX(BookKey,583))</f>
        <v/>
      </c>
      <c r="B588" s="0" t="str">
        <f aca="false">IF(INDEX(BookTitle,583)="","",INDEX(BookGroup,583))</f>
        <v/>
      </c>
      <c r="C588" s="0" t="str">
        <f aca="false">IF(INDEX(BookTitle,583)="","",INDEX(BookCategory,583))</f>
        <v/>
      </c>
      <c r="D588" s="56" t="str">
        <f aca="false">IF(INDEX(BookTitle,583)="","",INDEX(BookTotal,583)*'5. Scenarios'!$B$6/(1+ProductivityDefault*('5. Scenarios'!$B$11-1)))</f>
        <v/>
      </c>
      <c r="E588" s="57" t="str">
        <f aca="false">IF($D588="","",INDEX(BookRate,583)*(1+'5. Scenarios'!$B$10)*$D588)</f>
        <v/>
      </c>
      <c r="F588" s="57" t="str">
        <f aca="false">IF($E588="","",SUMIFS($E$6:$E$2405,$A$6:$A$2405,"&lt;="&amp;$A588))</f>
        <v/>
      </c>
      <c r="G588" s="57" t="str">
        <f aca="false">IF($E588="","",IF($F588&lt;=BankCostEnvelope*'5. Scenarios'!$B$7,1,0))</f>
        <v/>
      </c>
      <c r="H588" s="57" t="str">
        <f aca="false">IF($D588="","",INDEX(BookRate,583)*(1+'5. Scenarios'!$B$10)*(INDEX(BookQ1,583)*(5-MIN(4,1+'5. Scenarios'!$B$8))/4+INDEX(BookQ2,583)*(5-MIN(4,2+'5. Scenarios'!$B$8))/4+INDEX(BookQ3,583)*(5-MIN(4,3+'5. Scenarios'!$B$8))/4+INDEX(BookQ4,583)*(5-MIN(4,4+'5. Scenarios'!$B$8))/4)*'5. Scenarios'!$B$6/(1+ProductivityDefault*('5. Scenarios'!$B$11-1))+INDEX(BookOneOff,583)*$D588)</f>
        <v/>
      </c>
      <c r="I588" s="56" t="str">
        <f aca="false">IF(INDEX(BookTitle,583)="","",INDEX(BookTotal,583)*'5. Scenarios'!$C$6/(1+ProductivityDefault*('5. Scenarios'!$C$11-1)))</f>
        <v/>
      </c>
      <c r="J588" s="57" t="str">
        <f aca="false">IF($I588="","",INDEX(BookRate,583)*(1+'5. Scenarios'!$C$10)*$I588)</f>
        <v/>
      </c>
      <c r="K588" s="57" t="str">
        <f aca="false">IF($J588="","",SUMIFS($J$6:$J$2405,$A$6:$A$2405,"&lt;="&amp;$A588))</f>
        <v/>
      </c>
      <c r="L588" s="57" t="str">
        <f aca="false">IF($J588="","",IF($K588&lt;=BankCostEnvelope*'5. Scenarios'!$C$7,1,0))</f>
        <v/>
      </c>
      <c r="M588" s="57" t="str">
        <f aca="false">IF($I588="","",INDEX(BookRate,583)*(1+'5. Scenarios'!$C$10)*(INDEX(BookQ1,583)*(5-MIN(4,1+'5. Scenarios'!$C$8))/4+INDEX(BookQ2,583)*(5-MIN(4,2+'5. Scenarios'!$C$8))/4+INDEX(BookQ3,583)*(5-MIN(4,3+'5. Scenarios'!$C$8))/4+INDEX(BookQ4,583)*(5-MIN(4,4+'5. Scenarios'!$C$8))/4)*'5. Scenarios'!$C$6/(1+ProductivityDefault*('5. Scenarios'!$C$11-1))+INDEX(BookOneOff,583)*$I588)</f>
        <v/>
      </c>
      <c r="N588" s="56" t="str">
        <f aca="false">IF(INDEX(BookTitle,583)="","",INDEX(BookTotal,583)*'5. Scenarios'!$D$6/(1+ProductivityDefault*('5. Scenarios'!$D$11-1)))</f>
        <v/>
      </c>
      <c r="O588" s="57" t="str">
        <f aca="false">IF($N588="","",INDEX(BookRate,583)*(1+'5. Scenarios'!$D$10)*$N588)</f>
        <v/>
      </c>
      <c r="P588" s="57" t="str">
        <f aca="false">IF($O588="","",SUMIFS($O$6:$O$2405,$A$6:$A$2405,"&lt;="&amp;$A588))</f>
        <v/>
      </c>
      <c r="Q588" s="57" t="str">
        <f aca="false">IF($O588="","",IF($P588&lt;=BankCostEnvelope*'5. Scenarios'!$D$7,1,0))</f>
        <v/>
      </c>
      <c r="R588" s="57" t="str">
        <f aca="false">IF($N588="","",INDEX(BookRate,583)*(1+'5. Scenarios'!$D$10)*(INDEX(BookQ1,583)*(5-MIN(4,1+'5. Scenarios'!$D$8))/4+INDEX(BookQ2,583)*(5-MIN(4,2+'5. Scenarios'!$D$8))/4+INDEX(BookQ3,583)*(5-MIN(4,3+'5. Scenarios'!$D$8))/4+INDEX(BookQ4,583)*(5-MIN(4,4+'5. Scenarios'!$D$8))/4)*'5. Scenarios'!$D$6/(1+ProductivityDefault*('5. Scenarios'!$D$11-1))+INDEX(BookOneOff,583)*$N588)</f>
        <v/>
      </c>
      <c r="S588" s="56" t="str">
        <f aca="false">IF(INDEX(BookTitle,583)="","",INDEX(BookTotal,583)*'5. Scenarios'!$E$6/(1+ProductivityDefault*('5. Scenarios'!$E$11-1)))</f>
        <v/>
      </c>
      <c r="T588" s="57" t="str">
        <f aca="false">IF($S588="","",INDEX(BookRate,583)*(1+'5. Scenarios'!$E$10)*$S588)</f>
        <v/>
      </c>
      <c r="U588" s="57" t="str">
        <f aca="false">IF($T588="","",SUMIFS($T$6:$T$2405,$A$6:$A$2405,"&lt;="&amp;$A588))</f>
        <v/>
      </c>
      <c r="V588" s="57" t="str">
        <f aca="false">IF($T588="","",IF($U588&lt;=BankCostEnvelope*'5. Scenarios'!$E$7,1,0))</f>
        <v/>
      </c>
      <c r="W588" s="57" t="str">
        <f aca="false">IF($S588="","",INDEX(BookRate,583)*(1+'5. Scenarios'!$E$10)*(INDEX(BookQ1,583)*(5-MIN(4,1+'5. Scenarios'!$E$8))/4+INDEX(BookQ2,583)*(5-MIN(4,2+'5. Scenarios'!$E$8))/4+INDEX(BookQ3,583)*(5-MIN(4,3+'5. Scenarios'!$E$8))/4+INDEX(BookQ4,583)*(5-MIN(4,4+'5. Scenarios'!$E$8))/4)*'5. Scenarios'!$E$6/(1+ProductivityDefault*('5. Scenarios'!$E$11-1))+INDEX(BookOneOff,583)*$S588)</f>
        <v/>
      </c>
    </row>
    <row r="589" customFormat="false" ht="15" hidden="false" customHeight="false" outlineLevel="0" collapsed="false">
      <c r="A589" s="0" t="str">
        <f aca="false">IF(INDEX(BookTitle,584)="","",INDEX(BookKey,584))</f>
        <v/>
      </c>
      <c r="B589" s="0" t="str">
        <f aca="false">IF(INDEX(BookTitle,584)="","",INDEX(BookGroup,584))</f>
        <v/>
      </c>
      <c r="C589" s="0" t="str">
        <f aca="false">IF(INDEX(BookTitle,584)="","",INDEX(BookCategory,584))</f>
        <v/>
      </c>
      <c r="D589" s="56" t="str">
        <f aca="false">IF(INDEX(BookTitle,584)="","",INDEX(BookTotal,584)*'5. Scenarios'!$B$6/(1+ProductivityDefault*('5. Scenarios'!$B$11-1)))</f>
        <v/>
      </c>
      <c r="E589" s="57" t="str">
        <f aca="false">IF($D589="","",INDEX(BookRate,584)*(1+'5. Scenarios'!$B$10)*$D589)</f>
        <v/>
      </c>
      <c r="F589" s="57" t="str">
        <f aca="false">IF($E589="","",SUMIFS($E$6:$E$2405,$A$6:$A$2405,"&lt;="&amp;$A589))</f>
        <v/>
      </c>
      <c r="G589" s="57" t="str">
        <f aca="false">IF($E589="","",IF($F589&lt;=BankCostEnvelope*'5. Scenarios'!$B$7,1,0))</f>
        <v/>
      </c>
      <c r="H589" s="57" t="str">
        <f aca="false">IF($D589="","",INDEX(BookRate,584)*(1+'5. Scenarios'!$B$10)*(INDEX(BookQ1,584)*(5-MIN(4,1+'5. Scenarios'!$B$8))/4+INDEX(BookQ2,584)*(5-MIN(4,2+'5. Scenarios'!$B$8))/4+INDEX(BookQ3,584)*(5-MIN(4,3+'5. Scenarios'!$B$8))/4+INDEX(BookQ4,584)*(5-MIN(4,4+'5. Scenarios'!$B$8))/4)*'5. Scenarios'!$B$6/(1+ProductivityDefault*('5. Scenarios'!$B$11-1))+INDEX(BookOneOff,584)*$D589)</f>
        <v/>
      </c>
      <c r="I589" s="56" t="str">
        <f aca="false">IF(INDEX(BookTitle,584)="","",INDEX(BookTotal,584)*'5. Scenarios'!$C$6/(1+ProductivityDefault*('5. Scenarios'!$C$11-1)))</f>
        <v/>
      </c>
      <c r="J589" s="57" t="str">
        <f aca="false">IF($I589="","",INDEX(BookRate,584)*(1+'5. Scenarios'!$C$10)*$I589)</f>
        <v/>
      </c>
      <c r="K589" s="57" t="str">
        <f aca="false">IF($J589="","",SUMIFS($J$6:$J$2405,$A$6:$A$2405,"&lt;="&amp;$A589))</f>
        <v/>
      </c>
      <c r="L589" s="57" t="str">
        <f aca="false">IF($J589="","",IF($K589&lt;=BankCostEnvelope*'5. Scenarios'!$C$7,1,0))</f>
        <v/>
      </c>
      <c r="M589" s="57" t="str">
        <f aca="false">IF($I589="","",INDEX(BookRate,584)*(1+'5. Scenarios'!$C$10)*(INDEX(BookQ1,584)*(5-MIN(4,1+'5. Scenarios'!$C$8))/4+INDEX(BookQ2,584)*(5-MIN(4,2+'5. Scenarios'!$C$8))/4+INDEX(BookQ3,584)*(5-MIN(4,3+'5. Scenarios'!$C$8))/4+INDEX(BookQ4,584)*(5-MIN(4,4+'5. Scenarios'!$C$8))/4)*'5. Scenarios'!$C$6/(1+ProductivityDefault*('5. Scenarios'!$C$11-1))+INDEX(BookOneOff,584)*$I589)</f>
        <v/>
      </c>
      <c r="N589" s="56" t="str">
        <f aca="false">IF(INDEX(BookTitle,584)="","",INDEX(BookTotal,584)*'5. Scenarios'!$D$6/(1+ProductivityDefault*('5. Scenarios'!$D$11-1)))</f>
        <v/>
      </c>
      <c r="O589" s="57" t="str">
        <f aca="false">IF($N589="","",INDEX(BookRate,584)*(1+'5. Scenarios'!$D$10)*$N589)</f>
        <v/>
      </c>
      <c r="P589" s="57" t="str">
        <f aca="false">IF($O589="","",SUMIFS($O$6:$O$2405,$A$6:$A$2405,"&lt;="&amp;$A589))</f>
        <v/>
      </c>
      <c r="Q589" s="57" t="str">
        <f aca="false">IF($O589="","",IF($P589&lt;=BankCostEnvelope*'5. Scenarios'!$D$7,1,0))</f>
        <v/>
      </c>
      <c r="R589" s="57" t="str">
        <f aca="false">IF($N589="","",INDEX(BookRate,584)*(1+'5. Scenarios'!$D$10)*(INDEX(BookQ1,584)*(5-MIN(4,1+'5. Scenarios'!$D$8))/4+INDEX(BookQ2,584)*(5-MIN(4,2+'5. Scenarios'!$D$8))/4+INDEX(BookQ3,584)*(5-MIN(4,3+'5. Scenarios'!$D$8))/4+INDEX(BookQ4,584)*(5-MIN(4,4+'5. Scenarios'!$D$8))/4)*'5. Scenarios'!$D$6/(1+ProductivityDefault*('5. Scenarios'!$D$11-1))+INDEX(BookOneOff,584)*$N589)</f>
        <v/>
      </c>
      <c r="S589" s="56" t="str">
        <f aca="false">IF(INDEX(BookTitle,584)="","",INDEX(BookTotal,584)*'5. Scenarios'!$E$6/(1+ProductivityDefault*('5. Scenarios'!$E$11-1)))</f>
        <v/>
      </c>
      <c r="T589" s="57" t="str">
        <f aca="false">IF($S589="","",INDEX(BookRate,584)*(1+'5. Scenarios'!$E$10)*$S589)</f>
        <v/>
      </c>
      <c r="U589" s="57" t="str">
        <f aca="false">IF($T589="","",SUMIFS($T$6:$T$2405,$A$6:$A$2405,"&lt;="&amp;$A589))</f>
        <v/>
      </c>
      <c r="V589" s="57" t="str">
        <f aca="false">IF($T589="","",IF($U589&lt;=BankCostEnvelope*'5. Scenarios'!$E$7,1,0))</f>
        <v/>
      </c>
      <c r="W589" s="57" t="str">
        <f aca="false">IF($S589="","",INDEX(BookRate,584)*(1+'5. Scenarios'!$E$10)*(INDEX(BookQ1,584)*(5-MIN(4,1+'5. Scenarios'!$E$8))/4+INDEX(BookQ2,584)*(5-MIN(4,2+'5. Scenarios'!$E$8))/4+INDEX(BookQ3,584)*(5-MIN(4,3+'5. Scenarios'!$E$8))/4+INDEX(BookQ4,584)*(5-MIN(4,4+'5. Scenarios'!$E$8))/4)*'5. Scenarios'!$E$6/(1+ProductivityDefault*('5. Scenarios'!$E$11-1))+INDEX(BookOneOff,584)*$S589)</f>
        <v/>
      </c>
    </row>
    <row r="590" customFormat="false" ht="15" hidden="false" customHeight="false" outlineLevel="0" collapsed="false">
      <c r="A590" s="0" t="str">
        <f aca="false">IF(INDEX(BookTitle,585)="","",INDEX(BookKey,585))</f>
        <v/>
      </c>
      <c r="B590" s="0" t="str">
        <f aca="false">IF(INDEX(BookTitle,585)="","",INDEX(BookGroup,585))</f>
        <v/>
      </c>
      <c r="C590" s="0" t="str">
        <f aca="false">IF(INDEX(BookTitle,585)="","",INDEX(BookCategory,585))</f>
        <v/>
      </c>
      <c r="D590" s="56" t="str">
        <f aca="false">IF(INDEX(BookTitle,585)="","",INDEX(BookTotal,585)*'5. Scenarios'!$B$6/(1+ProductivityDefault*('5. Scenarios'!$B$11-1)))</f>
        <v/>
      </c>
      <c r="E590" s="57" t="str">
        <f aca="false">IF($D590="","",INDEX(BookRate,585)*(1+'5. Scenarios'!$B$10)*$D590)</f>
        <v/>
      </c>
      <c r="F590" s="57" t="str">
        <f aca="false">IF($E590="","",SUMIFS($E$6:$E$2405,$A$6:$A$2405,"&lt;="&amp;$A590))</f>
        <v/>
      </c>
      <c r="G590" s="57" t="str">
        <f aca="false">IF($E590="","",IF($F590&lt;=BankCostEnvelope*'5. Scenarios'!$B$7,1,0))</f>
        <v/>
      </c>
      <c r="H590" s="57" t="str">
        <f aca="false">IF($D590="","",INDEX(BookRate,585)*(1+'5. Scenarios'!$B$10)*(INDEX(BookQ1,585)*(5-MIN(4,1+'5. Scenarios'!$B$8))/4+INDEX(BookQ2,585)*(5-MIN(4,2+'5. Scenarios'!$B$8))/4+INDEX(BookQ3,585)*(5-MIN(4,3+'5. Scenarios'!$B$8))/4+INDEX(BookQ4,585)*(5-MIN(4,4+'5. Scenarios'!$B$8))/4)*'5. Scenarios'!$B$6/(1+ProductivityDefault*('5. Scenarios'!$B$11-1))+INDEX(BookOneOff,585)*$D590)</f>
        <v/>
      </c>
      <c r="I590" s="56" t="str">
        <f aca="false">IF(INDEX(BookTitle,585)="","",INDEX(BookTotal,585)*'5. Scenarios'!$C$6/(1+ProductivityDefault*('5. Scenarios'!$C$11-1)))</f>
        <v/>
      </c>
      <c r="J590" s="57" t="str">
        <f aca="false">IF($I590="","",INDEX(BookRate,585)*(1+'5. Scenarios'!$C$10)*$I590)</f>
        <v/>
      </c>
      <c r="K590" s="57" t="str">
        <f aca="false">IF($J590="","",SUMIFS($J$6:$J$2405,$A$6:$A$2405,"&lt;="&amp;$A590))</f>
        <v/>
      </c>
      <c r="L590" s="57" t="str">
        <f aca="false">IF($J590="","",IF($K590&lt;=BankCostEnvelope*'5. Scenarios'!$C$7,1,0))</f>
        <v/>
      </c>
      <c r="M590" s="57" t="str">
        <f aca="false">IF($I590="","",INDEX(BookRate,585)*(1+'5. Scenarios'!$C$10)*(INDEX(BookQ1,585)*(5-MIN(4,1+'5. Scenarios'!$C$8))/4+INDEX(BookQ2,585)*(5-MIN(4,2+'5. Scenarios'!$C$8))/4+INDEX(BookQ3,585)*(5-MIN(4,3+'5. Scenarios'!$C$8))/4+INDEX(BookQ4,585)*(5-MIN(4,4+'5. Scenarios'!$C$8))/4)*'5. Scenarios'!$C$6/(1+ProductivityDefault*('5. Scenarios'!$C$11-1))+INDEX(BookOneOff,585)*$I590)</f>
        <v/>
      </c>
      <c r="N590" s="56" t="str">
        <f aca="false">IF(INDEX(BookTitle,585)="","",INDEX(BookTotal,585)*'5. Scenarios'!$D$6/(1+ProductivityDefault*('5. Scenarios'!$D$11-1)))</f>
        <v/>
      </c>
      <c r="O590" s="57" t="str">
        <f aca="false">IF($N590="","",INDEX(BookRate,585)*(1+'5. Scenarios'!$D$10)*$N590)</f>
        <v/>
      </c>
      <c r="P590" s="57" t="str">
        <f aca="false">IF($O590="","",SUMIFS($O$6:$O$2405,$A$6:$A$2405,"&lt;="&amp;$A590))</f>
        <v/>
      </c>
      <c r="Q590" s="57" t="str">
        <f aca="false">IF($O590="","",IF($P590&lt;=BankCostEnvelope*'5. Scenarios'!$D$7,1,0))</f>
        <v/>
      </c>
      <c r="R590" s="57" t="str">
        <f aca="false">IF($N590="","",INDEX(BookRate,585)*(1+'5. Scenarios'!$D$10)*(INDEX(BookQ1,585)*(5-MIN(4,1+'5. Scenarios'!$D$8))/4+INDEX(BookQ2,585)*(5-MIN(4,2+'5. Scenarios'!$D$8))/4+INDEX(BookQ3,585)*(5-MIN(4,3+'5. Scenarios'!$D$8))/4+INDEX(BookQ4,585)*(5-MIN(4,4+'5. Scenarios'!$D$8))/4)*'5. Scenarios'!$D$6/(1+ProductivityDefault*('5. Scenarios'!$D$11-1))+INDEX(BookOneOff,585)*$N590)</f>
        <v/>
      </c>
      <c r="S590" s="56" t="str">
        <f aca="false">IF(INDEX(BookTitle,585)="","",INDEX(BookTotal,585)*'5. Scenarios'!$E$6/(1+ProductivityDefault*('5. Scenarios'!$E$11-1)))</f>
        <v/>
      </c>
      <c r="T590" s="57" t="str">
        <f aca="false">IF($S590="","",INDEX(BookRate,585)*(1+'5. Scenarios'!$E$10)*$S590)</f>
        <v/>
      </c>
      <c r="U590" s="57" t="str">
        <f aca="false">IF($T590="","",SUMIFS($T$6:$T$2405,$A$6:$A$2405,"&lt;="&amp;$A590))</f>
        <v/>
      </c>
      <c r="V590" s="57" t="str">
        <f aca="false">IF($T590="","",IF($U590&lt;=BankCostEnvelope*'5. Scenarios'!$E$7,1,0))</f>
        <v/>
      </c>
      <c r="W590" s="57" t="str">
        <f aca="false">IF($S590="","",INDEX(BookRate,585)*(1+'5. Scenarios'!$E$10)*(INDEX(BookQ1,585)*(5-MIN(4,1+'5. Scenarios'!$E$8))/4+INDEX(BookQ2,585)*(5-MIN(4,2+'5. Scenarios'!$E$8))/4+INDEX(BookQ3,585)*(5-MIN(4,3+'5. Scenarios'!$E$8))/4+INDEX(BookQ4,585)*(5-MIN(4,4+'5. Scenarios'!$E$8))/4)*'5. Scenarios'!$E$6/(1+ProductivityDefault*('5. Scenarios'!$E$11-1))+INDEX(BookOneOff,585)*$S590)</f>
        <v/>
      </c>
    </row>
    <row r="591" customFormat="false" ht="15" hidden="false" customHeight="false" outlineLevel="0" collapsed="false">
      <c r="A591" s="0" t="str">
        <f aca="false">IF(INDEX(BookTitle,586)="","",INDEX(BookKey,586))</f>
        <v/>
      </c>
      <c r="B591" s="0" t="str">
        <f aca="false">IF(INDEX(BookTitle,586)="","",INDEX(BookGroup,586))</f>
        <v/>
      </c>
      <c r="C591" s="0" t="str">
        <f aca="false">IF(INDEX(BookTitle,586)="","",INDEX(BookCategory,586))</f>
        <v/>
      </c>
      <c r="D591" s="56" t="str">
        <f aca="false">IF(INDEX(BookTitle,586)="","",INDEX(BookTotal,586)*'5. Scenarios'!$B$6/(1+ProductivityDefault*('5. Scenarios'!$B$11-1)))</f>
        <v/>
      </c>
      <c r="E591" s="57" t="str">
        <f aca="false">IF($D591="","",INDEX(BookRate,586)*(1+'5. Scenarios'!$B$10)*$D591)</f>
        <v/>
      </c>
      <c r="F591" s="57" t="str">
        <f aca="false">IF($E591="","",SUMIFS($E$6:$E$2405,$A$6:$A$2405,"&lt;="&amp;$A591))</f>
        <v/>
      </c>
      <c r="G591" s="57" t="str">
        <f aca="false">IF($E591="","",IF($F591&lt;=BankCostEnvelope*'5. Scenarios'!$B$7,1,0))</f>
        <v/>
      </c>
      <c r="H591" s="57" t="str">
        <f aca="false">IF($D591="","",INDEX(BookRate,586)*(1+'5. Scenarios'!$B$10)*(INDEX(BookQ1,586)*(5-MIN(4,1+'5. Scenarios'!$B$8))/4+INDEX(BookQ2,586)*(5-MIN(4,2+'5. Scenarios'!$B$8))/4+INDEX(BookQ3,586)*(5-MIN(4,3+'5. Scenarios'!$B$8))/4+INDEX(BookQ4,586)*(5-MIN(4,4+'5. Scenarios'!$B$8))/4)*'5. Scenarios'!$B$6/(1+ProductivityDefault*('5. Scenarios'!$B$11-1))+INDEX(BookOneOff,586)*$D591)</f>
        <v/>
      </c>
      <c r="I591" s="56" t="str">
        <f aca="false">IF(INDEX(BookTitle,586)="","",INDEX(BookTotal,586)*'5. Scenarios'!$C$6/(1+ProductivityDefault*('5. Scenarios'!$C$11-1)))</f>
        <v/>
      </c>
      <c r="J591" s="57" t="str">
        <f aca="false">IF($I591="","",INDEX(BookRate,586)*(1+'5. Scenarios'!$C$10)*$I591)</f>
        <v/>
      </c>
      <c r="K591" s="57" t="str">
        <f aca="false">IF($J591="","",SUMIFS($J$6:$J$2405,$A$6:$A$2405,"&lt;="&amp;$A591))</f>
        <v/>
      </c>
      <c r="L591" s="57" t="str">
        <f aca="false">IF($J591="","",IF($K591&lt;=BankCostEnvelope*'5. Scenarios'!$C$7,1,0))</f>
        <v/>
      </c>
      <c r="M591" s="57" t="str">
        <f aca="false">IF($I591="","",INDEX(BookRate,586)*(1+'5. Scenarios'!$C$10)*(INDEX(BookQ1,586)*(5-MIN(4,1+'5. Scenarios'!$C$8))/4+INDEX(BookQ2,586)*(5-MIN(4,2+'5. Scenarios'!$C$8))/4+INDEX(BookQ3,586)*(5-MIN(4,3+'5. Scenarios'!$C$8))/4+INDEX(BookQ4,586)*(5-MIN(4,4+'5. Scenarios'!$C$8))/4)*'5. Scenarios'!$C$6/(1+ProductivityDefault*('5. Scenarios'!$C$11-1))+INDEX(BookOneOff,586)*$I591)</f>
        <v/>
      </c>
      <c r="N591" s="56" t="str">
        <f aca="false">IF(INDEX(BookTitle,586)="","",INDEX(BookTotal,586)*'5. Scenarios'!$D$6/(1+ProductivityDefault*('5. Scenarios'!$D$11-1)))</f>
        <v/>
      </c>
      <c r="O591" s="57" t="str">
        <f aca="false">IF($N591="","",INDEX(BookRate,586)*(1+'5. Scenarios'!$D$10)*$N591)</f>
        <v/>
      </c>
      <c r="P591" s="57" t="str">
        <f aca="false">IF($O591="","",SUMIFS($O$6:$O$2405,$A$6:$A$2405,"&lt;="&amp;$A591))</f>
        <v/>
      </c>
      <c r="Q591" s="57" t="str">
        <f aca="false">IF($O591="","",IF($P591&lt;=BankCostEnvelope*'5. Scenarios'!$D$7,1,0))</f>
        <v/>
      </c>
      <c r="R591" s="57" t="str">
        <f aca="false">IF($N591="","",INDEX(BookRate,586)*(1+'5. Scenarios'!$D$10)*(INDEX(BookQ1,586)*(5-MIN(4,1+'5. Scenarios'!$D$8))/4+INDEX(BookQ2,586)*(5-MIN(4,2+'5. Scenarios'!$D$8))/4+INDEX(BookQ3,586)*(5-MIN(4,3+'5. Scenarios'!$D$8))/4+INDEX(BookQ4,586)*(5-MIN(4,4+'5. Scenarios'!$D$8))/4)*'5. Scenarios'!$D$6/(1+ProductivityDefault*('5. Scenarios'!$D$11-1))+INDEX(BookOneOff,586)*$N591)</f>
        <v/>
      </c>
      <c r="S591" s="56" t="str">
        <f aca="false">IF(INDEX(BookTitle,586)="","",INDEX(BookTotal,586)*'5. Scenarios'!$E$6/(1+ProductivityDefault*('5. Scenarios'!$E$11-1)))</f>
        <v/>
      </c>
      <c r="T591" s="57" t="str">
        <f aca="false">IF($S591="","",INDEX(BookRate,586)*(1+'5. Scenarios'!$E$10)*$S591)</f>
        <v/>
      </c>
      <c r="U591" s="57" t="str">
        <f aca="false">IF($T591="","",SUMIFS($T$6:$T$2405,$A$6:$A$2405,"&lt;="&amp;$A591))</f>
        <v/>
      </c>
      <c r="V591" s="57" t="str">
        <f aca="false">IF($T591="","",IF($U591&lt;=BankCostEnvelope*'5. Scenarios'!$E$7,1,0))</f>
        <v/>
      </c>
      <c r="W591" s="57" t="str">
        <f aca="false">IF($S591="","",INDEX(BookRate,586)*(1+'5. Scenarios'!$E$10)*(INDEX(BookQ1,586)*(5-MIN(4,1+'5. Scenarios'!$E$8))/4+INDEX(BookQ2,586)*(5-MIN(4,2+'5. Scenarios'!$E$8))/4+INDEX(BookQ3,586)*(5-MIN(4,3+'5. Scenarios'!$E$8))/4+INDEX(BookQ4,586)*(5-MIN(4,4+'5. Scenarios'!$E$8))/4)*'5. Scenarios'!$E$6/(1+ProductivityDefault*('5. Scenarios'!$E$11-1))+INDEX(BookOneOff,586)*$S591)</f>
        <v/>
      </c>
    </row>
    <row r="592" customFormat="false" ht="15" hidden="false" customHeight="false" outlineLevel="0" collapsed="false">
      <c r="A592" s="0" t="str">
        <f aca="false">IF(INDEX(BookTitle,587)="","",INDEX(BookKey,587))</f>
        <v/>
      </c>
      <c r="B592" s="0" t="str">
        <f aca="false">IF(INDEX(BookTitle,587)="","",INDEX(BookGroup,587))</f>
        <v/>
      </c>
      <c r="C592" s="0" t="str">
        <f aca="false">IF(INDEX(BookTitle,587)="","",INDEX(BookCategory,587))</f>
        <v/>
      </c>
      <c r="D592" s="56" t="str">
        <f aca="false">IF(INDEX(BookTitle,587)="","",INDEX(BookTotal,587)*'5. Scenarios'!$B$6/(1+ProductivityDefault*('5. Scenarios'!$B$11-1)))</f>
        <v/>
      </c>
      <c r="E592" s="57" t="str">
        <f aca="false">IF($D592="","",INDEX(BookRate,587)*(1+'5. Scenarios'!$B$10)*$D592)</f>
        <v/>
      </c>
      <c r="F592" s="57" t="str">
        <f aca="false">IF($E592="","",SUMIFS($E$6:$E$2405,$A$6:$A$2405,"&lt;="&amp;$A592))</f>
        <v/>
      </c>
      <c r="G592" s="57" t="str">
        <f aca="false">IF($E592="","",IF($F592&lt;=BankCostEnvelope*'5. Scenarios'!$B$7,1,0))</f>
        <v/>
      </c>
      <c r="H592" s="57" t="str">
        <f aca="false">IF($D592="","",INDEX(BookRate,587)*(1+'5. Scenarios'!$B$10)*(INDEX(BookQ1,587)*(5-MIN(4,1+'5. Scenarios'!$B$8))/4+INDEX(BookQ2,587)*(5-MIN(4,2+'5. Scenarios'!$B$8))/4+INDEX(BookQ3,587)*(5-MIN(4,3+'5. Scenarios'!$B$8))/4+INDEX(BookQ4,587)*(5-MIN(4,4+'5. Scenarios'!$B$8))/4)*'5. Scenarios'!$B$6/(1+ProductivityDefault*('5. Scenarios'!$B$11-1))+INDEX(BookOneOff,587)*$D592)</f>
        <v/>
      </c>
      <c r="I592" s="56" t="str">
        <f aca="false">IF(INDEX(BookTitle,587)="","",INDEX(BookTotal,587)*'5. Scenarios'!$C$6/(1+ProductivityDefault*('5. Scenarios'!$C$11-1)))</f>
        <v/>
      </c>
      <c r="J592" s="57" t="str">
        <f aca="false">IF($I592="","",INDEX(BookRate,587)*(1+'5. Scenarios'!$C$10)*$I592)</f>
        <v/>
      </c>
      <c r="K592" s="57" t="str">
        <f aca="false">IF($J592="","",SUMIFS($J$6:$J$2405,$A$6:$A$2405,"&lt;="&amp;$A592))</f>
        <v/>
      </c>
      <c r="L592" s="57" t="str">
        <f aca="false">IF($J592="","",IF($K592&lt;=BankCostEnvelope*'5. Scenarios'!$C$7,1,0))</f>
        <v/>
      </c>
      <c r="M592" s="57" t="str">
        <f aca="false">IF($I592="","",INDEX(BookRate,587)*(1+'5. Scenarios'!$C$10)*(INDEX(BookQ1,587)*(5-MIN(4,1+'5. Scenarios'!$C$8))/4+INDEX(BookQ2,587)*(5-MIN(4,2+'5. Scenarios'!$C$8))/4+INDEX(BookQ3,587)*(5-MIN(4,3+'5. Scenarios'!$C$8))/4+INDEX(BookQ4,587)*(5-MIN(4,4+'5. Scenarios'!$C$8))/4)*'5. Scenarios'!$C$6/(1+ProductivityDefault*('5. Scenarios'!$C$11-1))+INDEX(BookOneOff,587)*$I592)</f>
        <v/>
      </c>
      <c r="N592" s="56" t="str">
        <f aca="false">IF(INDEX(BookTitle,587)="","",INDEX(BookTotal,587)*'5. Scenarios'!$D$6/(1+ProductivityDefault*('5. Scenarios'!$D$11-1)))</f>
        <v/>
      </c>
      <c r="O592" s="57" t="str">
        <f aca="false">IF($N592="","",INDEX(BookRate,587)*(1+'5. Scenarios'!$D$10)*$N592)</f>
        <v/>
      </c>
      <c r="P592" s="57" t="str">
        <f aca="false">IF($O592="","",SUMIFS($O$6:$O$2405,$A$6:$A$2405,"&lt;="&amp;$A592))</f>
        <v/>
      </c>
      <c r="Q592" s="57" t="str">
        <f aca="false">IF($O592="","",IF($P592&lt;=BankCostEnvelope*'5. Scenarios'!$D$7,1,0))</f>
        <v/>
      </c>
      <c r="R592" s="57" t="str">
        <f aca="false">IF($N592="","",INDEX(BookRate,587)*(1+'5. Scenarios'!$D$10)*(INDEX(BookQ1,587)*(5-MIN(4,1+'5. Scenarios'!$D$8))/4+INDEX(BookQ2,587)*(5-MIN(4,2+'5. Scenarios'!$D$8))/4+INDEX(BookQ3,587)*(5-MIN(4,3+'5. Scenarios'!$D$8))/4+INDEX(BookQ4,587)*(5-MIN(4,4+'5. Scenarios'!$D$8))/4)*'5. Scenarios'!$D$6/(1+ProductivityDefault*('5. Scenarios'!$D$11-1))+INDEX(BookOneOff,587)*$N592)</f>
        <v/>
      </c>
      <c r="S592" s="56" t="str">
        <f aca="false">IF(INDEX(BookTitle,587)="","",INDEX(BookTotal,587)*'5. Scenarios'!$E$6/(1+ProductivityDefault*('5. Scenarios'!$E$11-1)))</f>
        <v/>
      </c>
      <c r="T592" s="57" t="str">
        <f aca="false">IF($S592="","",INDEX(BookRate,587)*(1+'5. Scenarios'!$E$10)*$S592)</f>
        <v/>
      </c>
      <c r="U592" s="57" t="str">
        <f aca="false">IF($T592="","",SUMIFS($T$6:$T$2405,$A$6:$A$2405,"&lt;="&amp;$A592))</f>
        <v/>
      </c>
      <c r="V592" s="57" t="str">
        <f aca="false">IF($T592="","",IF($U592&lt;=BankCostEnvelope*'5. Scenarios'!$E$7,1,0))</f>
        <v/>
      </c>
      <c r="W592" s="57" t="str">
        <f aca="false">IF($S592="","",INDEX(BookRate,587)*(1+'5. Scenarios'!$E$10)*(INDEX(BookQ1,587)*(5-MIN(4,1+'5. Scenarios'!$E$8))/4+INDEX(BookQ2,587)*(5-MIN(4,2+'5. Scenarios'!$E$8))/4+INDEX(BookQ3,587)*(5-MIN(4,3+'5. Scenarios'!$E$8))/4+INDEX(BookQ4,587)*(5-MIN(4,4+'5. Scenarios'!$E$8))/4)*'5. Scenarios'!$E$6/(1+ProductivityDefault*('5. Scenarios'!$E$11-1))+INDEX(BookOneOff,587)*$S592)</f>
        <v/>
      </c>
    </row>
    <row r="593" customFormat="false" ht="15" hidden="false" customHeight="false" outlineLevel="0" collapsed="false">
      <c r="A593" s="0" t="str">
        <f aca="false">IF(INDEX(BookTitle,588)="","",INDEX(BookKey,588))</f>
        <v/>
      </c>
      <c r="B593" s="0" t="str">
        <f aca="false">IF(INDEX(BookTitle,588)="","",INDEX(BookGroup,588))</f>
        <v/>
      </c>
      <c r="C593" s="0" t="str">
        <f aca="false">IF(INDEX(BookTitle,588)="","",INDEX(BookCategory,588))</f>
        <v/>
      </c>
      <c r="D593" s="56" t="str">
        <f aca="false">IF(INDEX(BookTitle,588)="","",INDEX(BookTotal,588)*'5. Scenarios'!$B$6/(1+ProductivityDefault*('5. Scenarios'!$B$11-1)))</f>
        <v/>
      </c>
      <c r="E593" s="57" t="str">
        <f aca="false">IF($D593="","",INDEX(BookRate,588)*(1+'5. Scenarios'!$B$10)*$D593)</f>
        <v/>
      </c>
      <c r="F593" s="57" t="str">
        <f aca="false">IF($E593="","",SUMIFS($E$6:$E$2405,$A$6:$A$2405,"&lt;="&amp;$A593))</f>
        <v/>
      </c>
      <c r="G593" s="57" t="str">
        <f aca="false">IF($E593="","",IF($F593&lt;=BankCostEnvelope*'5. Scenarios'!$B$7,1,0))</f>
        <v/>
      </c>
      <c r="H593" s="57" t="str">
        <f aca="false">IF($D593="","",INDEX(BookRate,588)*(1+'5. Scenarios'!$B$10)*(INDEX(BookQ1,588)*(5-MIN(4,1+'5. Scenarios'!$B$8))/4+INDEX(BookQ2,588)*(5-MIN(4,2+'5. Scenarios'!$B$8))/4+INDEX(BookQ3,588)*(5-MIN(4,3+'5. Scenarios'!$B$8))/4+INDEX(BookQ4,588)*(5-MIN(4,4+'5. Scenarios'!$B$8))/4)*'5. Scenarios'!$B$6/(1+ProductivityDefault*('5. Scenarios'!$B$11-1))+INDEX(BookOneOff,588)*$D593)</f>
        <v/>
      </c>
      <c r="I593" s="56" t="str">
        <f aca="false">IF(INDEX(BookTitle,588)="","",INDEX(BookTotal,588)*'5. Scenarios'!$C$6/(1+ProductivityDefault*('5. Scenarios'!$C$11-1)))</f>
        <v/>
      </c>
      <c r="J593" s="57" t="str">
        <f aca="false">IF($I593="","",INDEX(BookRate,588)*(1+'5. Scenarios'!$C$10)*$I593)</f>
        <v/>
      </c>
      <c r="K593" s="57" t="str">
        <f aca="false">IF($J593="","",SUMIFS($J$6:$J$2405,$A$6:$A$2405,"&lt;="&amp;$A593))</f>
        <v/>
      </c>
      <c r="L593" s="57" t="str">
        <f aca="false">IF($J593="","",IF($K593&lt;=BankCostEnvelope*'5. Scenarios'!$C$7,1,0))</f>
        <v/>
      </c>
      <c r="M593" s="57" t="str">
        <f aca="false">IF($I593="","",INDEX(BookRate,588)*(1+'5. Scenarios'!$C$10)*(INDEX(BookQ1,588)*(5-MIN(4,1+'5. Scenarios'!$C$8))/4+INDEX(BookQ2,588)*(5-MIN(4,2+'5. Scenarios'!$C$8))/4+INDEX(BookQ3,588)*(5-MIN(4,3+'5. Scenarios'!$C$8))/4+INDEX(BookQ4,588)*(5-MIN(4,4+'5. Scenarios'!$C$8))/4)*'5. Scenarios'!$C$6/(1+ProductivityDefault*('5. Scenarios'!$C$11-1))+INDEX(BookOneOff,588)*$I593)</f>
        <v/>
      </c>
      <c r="N593" s="56" t="str">
        <f aca="false">IF(INDEX(BookTitle,588)="","",INDEX(BookTotal,588)*'5. Scenarios'!$D$6/(1+ProductivityDefault*('5. Scenarios'!$D$11-1)))</f>
        <v/>
      </c>
      <c r="O593" s="57" t="str">
        <f aca="false">IF($N593="","",INDEX(BookRate,588)*(1+'5. Scenarios'!$D$10)*$N593)</f>
        <v/>
      </c>
      <c r="P593" s="57" t="str">
        <f aca="false">IF($O593="","",SUMIFS($O$6:$O$2405,$A$6:$A$2405,"&lt;="&amp;$A593))</f>
        <v/>
      </c>
      <c r="Q593" s="57" t="str">
        <f aca="false">IF($O593="","",IF($P593&lt;=BankCostEnvelope*'5. Scenarios'!$D$7,1,0))</f>
        <v/>
      </c>
      <c r="R593" s="57" t="str">
        <f aca="false">IF($N593="","",INDEX(BookRate,588)*(1+'5. Scenarios'!$D$10)*(INDEX(BookQ1,588)*(5-MIN(4,1+'5. Scenarios'!$D$8))/4+INDEX(BookQ2,588)*(5-MIN(4,2+'5. Scenarios'!$D$8))/4+INDEX(BookQ3,588)*(5-MIN(4,3+'5. Scenarios'!$D$8))/4+INDEX(BookQ4,588)*(5-MIN(4,4+'5. Scenarios'!$D$8))/4)*'5. Scenarios'!$D$6/(1+ProductivityDefault*('5. Scenarios'!$D$11-1))+INDEX(BookOneOff,588)*$N593)</f>
        <v/>
      </c>
      <c r="S593" s="56" t="str">
        <f aca="false">IF(INDEX(BookTitle,588)="","",INDEX(BookTotal,588)*'5. Scenarios'!$E$6/(1+ProductivityDefault*('5. Scenarios'!$E$11-1)))</f>
        <v/>
      </c>
      <c r="T593" s="57" t="str">
        <f aca="false">IF($S593="","",INDEX(BookRate,588)*(1+'5. Scenarios'!$E$10)*$S593)</f>
        <v/>
      </c>
      <c r="U593" s="57" t="str">
        <f aca="false">IF($T593="","",SUMIFS($T$6:$T$2405,$A$6:$A$2405,"&lt;="&amp;$A593))</f>
        <v/>
      </c>
      <c r="V593" s="57" t="str">
        <f aca="false">IF($T593="","",IF($U593&lt;=BankCostEnvelope*'5. Scenarios'!$E$7,1,0))</f>
        <v/>
      </c>
      <c r="W593" s="57" t="str">
        <f aca="false">IF($S593="","",INDEX(BookRate,588)*(1+'5. Scenarios'!$E$10)*(INDEX(BookQ1,588)*(5-MIN(4,1+'5. Scenarios'!$E$8))/4+INDEX(BookQ2,588)*(5-MIN(4,2+'5. Scenarios'!$E$8))/4+INDEX(BookQ3,588)*(5-MIN(4,3+'5. Scenarios'!$E$8))/4+INDEX(BookQ4,588)*(5-MIN(4,4+'5. Scenarios'!$E$8))/4)*'5. Scenarios'!$E$6/(1+ProductivityDefault*('5. Scenarios'!$E$11-1))+INDEX(BookOneOff,588)*$S593)</f>
        <v/>
      </c>
    </row>
    <row r="594" customFormat="false" ht="15" hidden="false" customHeight="false" outlineLevel="0" collapsed="false">
      <c r="A594" s="0" t="str">
        <f aca="false">IF(INDEX(BookTitle,589)="","",INDEX(BookKey,589))</f>
        <v/>
      </c>
      <c r="B594" s="0" t="str">
        <f aca="false">IF(INDEX(BookTitle,589)="","",INDEX(BookGroup,589))</f>
        <v/>
      </c>
      <c r="C594" s="0" t="str">
        <f aca="false">IF(INDEX(BookTitle,589)="","",INDEX(BookCategory,589))</f>
        <v/>
      </c>
      <c r="D594" s="56" t="str">
        <f aca="false">IF(INDEX(BookTitle,589)="","",INDEX(BookTotal,589)*'5. Scenarios'!$B$6/(1+ProductivityDefault*('5. Scenarios'!$B$11-1)))</f>
        <v/>
      </c>
      <c r="E594" s="57" t="str">
        <f aca="false">IF($D594="","",INDEX(BookRate,589)*(1+'5. Scenarios'!$B$10)*$D594)</f>
        <v/>
      </c>
      <c r="F594" s="57" t="str">
        <f aca="false">IF($E594="","",SUMIFS($E$6:$E$2405,$A$6:$A$2405,"&lt;="&amp;$A594))</f>
        <v/>
      </c>
      <c r="G594" s="57" t="str">
        <f aca="false">IF($E594="","",IF($F594&lt;=BankCostEnvelope*'5. Scenarios'!$B$7,1,0))</f>
        <v/>
      </c>
      <c r="H594" s="57" t="str">
        <f aca="false">IF($D594="","",INDEX(BookRate,589)*(1+'5. Scenarios'!$B$10)*(INDEX(BookQ1,589)*(5-MIN(4,1+'5. Scenarios'!$B$8))/4+INDEX(BookQ2,589)*(5-MIN(4,2+'5. Scenarios'!$B$8))/4+INDEX(BookQ3,589)*(5-MIN(4,3+'5. Scenarios'!$B$8))/4+INDEX(BookQ4,589)*(5-MIN(4,4+'5. Scenarios'!$B$8))/4)*'5. Scenarios'!$B$6/(1+ProductivityDefault*('5. Scenarios'!$B$11-1))+INDEX(BookOneOff,589)*$D594)</f>
        <v/>
      </c>
      <c r="I594" s="56" t="str">
        <f aca="false">IF(INDEX(BookTitle,589)="","",INDEX(BookTotal,589)*'5. Scenarios'!$C$6/(1+ProductivityDefault*('5. Scenarios'!$C$11-1)))</f>
        <v/>
      </c>
      <c r="J594" s="57" t="str">
        <f aca="false">IF($I594="","",INDEX(BookRate,589)*(1+'5. Scenarios'!$C$10)*$I594)</f>
        <v/>
      </c>
      <c r="K594" s="57" t="str">
        <f aca="false">IF($J594="","",SUMIFS($J$6:$J$2405,$A$6:$A$2405,"&lt;="&amp;$A594))</f>
        <v/>
      </c>
      <c r="L594" s="57" t="str">
        <f aca="false">IF($J594="","",IF($K594&lt;=BankCostEnvelope*'5. Scenarios'!$C$7,1,0))</f>
        <v/>
      </c>
      <c r="M594" s="57" t="str">
        <f aca="false">IF($I594="","",INDEX(BookRate,589)*(1+'5. Scenarios'!$C$10)*(INDEX(BookQ1,589)*(5-MIN(4,1+'5. Scenarios'!$C$8))/4+INDEX(BookQ2,589)*(5-MIN(4,2+'5. Scenarios'!$C$8))/4+INDEX(BookQ3,589)*(5-MIN(4,3+'5. Scenarios'!$C$8))/4+INDEX(BookQ4,589)*(5-MIN(4,4+'5. Scenarios'!$C$8))/4)*'5. Scenarios'!$C$6/(1+ProductivityDefault*('5. Scenarios'!$C$11-1))+INDEX(BookOneOff,589)*$I594)</f>
        <v/>
      </c>
      <c r="N594" s="56" t="str">
        <f aca="false">IF(INDEX(BookTitle,589)="","",INDEX(BookTotal,589)*'5. Scenarios'!$D$6/(1+ProductivityDefault*('5. Scenarios'!$D$11-1)))</f>
        <v/>
      </c>
      <c r="O594" s="57" t="str">
        <f aca="false">IF($N594="","",INDEX(BookRate,589)*(1+'5. Scenarios'!$D$10)*$N594)</f>
        <v/>
      </c>
      <c r="P594" s="57" t="str">
        <f aca="false">IF($O594="","",SUMIFS($O$6:$O$2405,$A$6:$A$2405,"&lt;="&amp;$A594))</f>
        <v/>
      </c>
      <c r="Q594" s="57" t="str">
        <f aca="false">IF($O594="","",IF($P594&lt;=BankCostEnvelope*'5. Scenarios'!$D$7,1,0))</f>
        <v/>
      </c>
      <c r="R594" s="57" t="str">
        <f aca="false">IF($N594="","",INDEX(BookRate,589)*(1+'5. Scenarios'!$D$10)*(INDEX(BookQ1,589)*(5-MIN(4,1+'5. Scenarios'!$D$8))/4+INDEX(BookQ2,589)*(5-MIN(4,2+'5. Scenarios'!$D$8))/4+INDEX(BookQ3,589)*(5-MIN(4,3+'5. Scenarios'!$D$8))/4+INDEX(BookQ4,589)*(5-MIN(4,4+'5. Scenarios'!$D$8))/4)*'5. Scenarios'!$D$6/(1+ProductivityDefault*('5. Scenarios'!$D$11-1))+INDEX(BookOneOff,589)*$N594)</f>
        <v/>
      </c>
      <c r="S594" s="56" t="str">
        <f aca="false">IF(INDEX(BookTitle,589)="","",INDEX(BookTotal,589)*'5. Scenarios'!$E$6/(1+ProductivityDefault*('5. Scenarios'!$E$11-1)))</f>
        <v/>
      </c>
      <c r="T594" s="57" t="str">
        <f aca="false">IF($S594="","",INDEX(BookRate,589)*(1+'5. Scenarios'!$E$10)*$S594)</f>
        <v/>
      </c>
      <c r="U594" s="57" t="str">
        <f aca="false">IF($T594="","",SUMIFS($T$6:$T$2405,$A$6:$A$2405,"&lt;="&amp;$A594))</f>
        <v/>
      </c>
      <c r="V594" s="57" t="str">
        <f aca="false">IF($T594="","",IF($U594&lt;=BankCostEnvelope*'5. Scenarios'!$E$7,1,0))</f>
        <v/>
      </c>
      <c r="W594" s="57" t="str">
        <f aca="false">IF($S594="","",INDEX(BookRate,589)*(1+'5. Scenarios'!$E$10)*(INDEX(BookQ1,589)*(5-MIN(4,1+'5. Scenarios'!$E$8))/4+INDEX(BookQ2,589)*(5-MIN(4,2+'5. Scenarios'!$E$8))/4+INDEX(BookQ3,589)*(5-MIN(4,3+'5. Scenarios'!$E$8))/4+INDEX(BookQ4,589)*(5-MIN(4,4+'5. Scenarios'!$E$8))/4)*'5. Scenarios'!$E$6/(1+ProductivityDefault*('5. Scenarios'!$E$11-1))+INDEX(BookOneOff,589)*$S594)</f>
        <v/>
      </c>
    </row>
    <row r="595" customFormat="false" ht="15" hidden="false" customHeight="false" outlineLevel="0" collapsed="false">
      <c r="A595" s="0" t="str">
        <f aca="false">IF(INDEX(BookTitle,590)="","",INDEX(BookKey,590))</f>
        <v/>
      </c>
      <c r="B595" s="0" t="str">
        <f aca="false">IF(INDEX(BookTitle,590)="","",INDEX(BookGroup,590))</f>
        <v/>
      </c>
      <c r="C595" s="0" t="str">
        <f aca="false">IF(INDEX(BookTitle,590)="","",INDEX(BookCategory,590))</f>
        <v/>
      </c>
      <c r="D595" s="56" t="str">
        <f aca="false">IF(INDEX(BookTitle,590)="","",INDEX(BookTotal,590)*'5. Scenarios'!$B$6/(1+ProductivityDefault*('5. Scenarios'!$B$11-1)))</f>
        <v/>
      </c>
      <c r="E595" s="57" t="str">
        <f aca="false">IF($D595="","",INDEX(BookRate,590)*(1+'5. Scenarios'!$B$10)*$D595)</f>
        <v/>
      </c>
      <c r="F595" s="57" t="str">
        <f aca="false">IF($E595="","",SUMIFS($E$6:$E$2405,$A$6:$A$2405,"&lt;="&amp;$A595))</f>
        <v/>
      </c>
      <c r="G595" s="57" t="str">
        <f aca="false">IF($E595="","",IF($F595&lt;=BankCostEnvelope*'5. Scenarios'!$B$7,1,0))</f>
        <v/>
      </c>
      <c r="H595" s="57" t="str">
        <f aca="false">IF($D595="","",INDEX(BookRate,590)*(1+'5. Scenarios'!$B$10)*(INDEX(BookQ1,590)*(5-MIN(4,1+'5. Scenarios'!$B$8))/4+INDEX(BookQ2,590)*(5-MIN(4,2+'5. Scenarios'!$B$8))/4+INDEX(BookQ3,590)*(5-MIN(4,3+'5. Scenarios'!$B$8))/4+INDEX(BookQ4,590)*(5-MIN(4,4+'5. Scenarios'!$B$8))/4)*'5. Scenarios'!$B$6/(1+ProductivityDefault*('5. Scenarios'!$B$11-1))+INDEX(BookOneOff,590)*$D595)</f>
        <v/>
      </c>
      <c r="I595" s="56" t="str">
        <f aca="false">IF(INDEX(BookTitle,590)="","",INDEX(BookTotal,590)*'5. Scenarios'!$C$6/(1+ProductivityDefault*('5. Scenarios'!$C$11-1)))</f>
        <v/>
      </c>
      <c r="J595" s="57" t="str">
        <f aca="false">IF($I595="","",INDEX(BookRate,590)*(1+'5. Scenarios'!$C$10)*$I595)</f>
        <v/>
      </c>
      <c r="K595" s="57" t="str">
        <f aca="false">IF($J595="","",SUMIFS($J$6:$J$2405,$A$6:$A$2405,"&lt;="&amp;$A595))</f>
        <v/>
      </c>
      <c r="L595" s="57" t="str">
        <f aca="false">IF($J595="","",IF($K595&lt;=BankCostEnvelope*'5. Scenarios'!$C$7,1,0))</f>
        <v/>
      </c>
      <c r="M595" s="57" t="str">
        <f aca="false">IF($I595="","",INDEX(BookRate,590)*(1+'5. Scenarios'!$C$10)*(INDEX(BookQ1,590)*(5-MIN(4,1+'5. Scenarios'!$C$8))/4+INDEX(BookQ2,590)*(5-MIN(4,2+'5. Scenarios'!$C$8))/4+INDEX(BookQ3,590)*(5-MIN(4,3+'5. Scenarios'!$C$8))/4+INDEX(BookQ4,590)*(5-MIN(4,4+'5. Scenarios'!$C$8))/4)*'5. Scenarios'!$C$6/(1+ProductivityDefault*('5. Scenarios'!$C$11-1))+INDEX(BookOneOff,590)*$I595)</f>
        <v/>
      </c>
      <c r="N595" s="56" t="str">
        <f aca="false">IF(INDEX(BookTitle,590)="","",INDEX(BookTotal,590)*'5. Scenarios'!$D$6/(1+ProductivityDefault*('5. Scenarios'!$D$11-1)))</f>
        <v/>
      </c>
      <c r="O595" s="57" t="str">
        <f aca="false">IF($N595="","",INDEX(BookRate,590)*(1+'5. Scenarios'!$D$10)*$N595)</f>
        <v/>
      </c>
      <c r="P595" s="57" t="str">
        <f aca="false">IF($O595="","",SUMIFS($O$6:$O$2405,$A$6:$A$2405,"&lt;="&amp;$A595))</f>
        <v/>
      </c>
      <c r="Q595" s="57" t="str">
        <f aca="false">IF($O595="","",IF($P595&lt;=BankCostEnvelope*'5. Scenarios'!$D$7,1,0))</f>
        <v/>
      </c>
      <c r="R595" s="57" t="str">
        <f aca="false">IF($N595="","",INDEX(BookRate,590)*(1+'5. Scenarios'!$D$10)*(INDEX(BookQ1,590)*(5-MIN(4,1+'5. Scenarios'!$D$8))/4+INDEX(BookQ2,590)*(5-MIN(4,2+'5. Scenarios'!$D$8))/4+INDEX(BookQ3,590)*(5-MIN(4,3+'5. Scenarios'!$D$8))/4+INDEX(BookQ4,590)*(5-MIN(4,4+'5. Scenarios'!$D$8))/4)*'5. Scenarios'!$D$6/(1+ProductivityDefault*('5. Scenarios'!$D$11-1))+INDEX(BookOneOff,590)*$N595)</f>
        <v/>
      </c>
      <c r="S595" s="56" t="str">
        <f aca="false">IF(INDEX(BookTitle,590)="","",INDEX(BookTotal,590)*'5. Scenarios'!$E$6/(1+ProductivityDefault*('5. Scenarios'!$E$11-1)))</f>
        <v/>
      </c>
      <c r="T595" s="57" t="str">
        <f aca="false">IF($S595="","",INDEX(BookRate,590)*(1+'5. Scenarios'!$E$10)*$S595)</f>
        <v/>
      </c>
      <c r="U595" s="57" t="str">
        <f aca="false">IF($T595="","",SUMIFS($T$6:$T$2405,$A$6:$A$2405,"&lt;="&amp;$A595))</f>
        <v/>
      </c>
      <c r="V595" s="57" t="str">
        <f aca="false">IF($T595="","",IF($U595&lt;=BankCostEnvelope*'5. Scenarios'!$E$7,1,0))</f>
        <v/>
      </c>
      <c r="W595" s="57" t="str">
        <f aca="false">IF($S595="","",INDEX(BookRate,590)*(1+'5. Scenarios'!$E$10)*(INDEX(BookQ1,590)*(5-MIN(4,1+'5. Scenarios'!$E$8))/4+INDEX(BookQ2,590)*(5-MIN(4,2+'5. Scenarios'!$E$8))/4+INDEX(BookQ3,590)*(5-MIN(4,3+'5. Scenarios'!$E$8))/4+INDEX(BookQ4,590)*(5-MIN(4,4+'5. Scenarios'!$E$8))/4)*'5. Scenarios'!$E$6/(1+ProductivityDefault*('5. Scenarios'!$E$11-1))+INDEX(BookOneOff,590)*$S595)</f>
        <v/>
      </c>
    </row>
    <row r="596" customFormat="false" ht="15" hidden="false" customHeight="false" outlineLevel="0" collapsed="false">
      <c r="A596" s="0" t="str">
        <f aca="false">IF(INDEX(BookTitle,591)="","",INDEX(BookKey,591))</f>
        <v/>
      </c>
      <c r="B596" s="0" t="str">
        <f aca="false">IF(INDEX(BookTitle,591)="","",INDEX(BookGroup,591))</f>
        <v/>
      </c>
      <c r="C596" s="0" t="str">
        <f aca="false">IF(INDEX(BookTitle,591)="","",INDEX(BookCategory,591))</f>
        <v/>
      </c>
      <c r="D596" s="56" t="str">
        <f aca="false">IF(INDEX(BookTitle,591)="","",INDEX(BookTotal,591)*'5. Scenarios'!$B$6/(1+ProductivityDefault*('5. Scenarios'!$B$11-1)))</f>
        <v/>
      </c>
      <c r="E596" s="57" t="str">
        <f aca="false">IF($D596="","",INDEX(BookRate,591)*(1+'5. Scenarios'!$B$10)*$D596)</f>
        <v/>
      </c>
      <c r="F596" s="57" t="str">
        <f aca="false">IF($E596="","",SUMIFS($E$6:$E$2405,$A$6:$A$2405,"&lt;="&amp;$A596))</f>
        <v/>
      </c>
      <c r="G596" s="57" t="str">
        <f aca="false">IF($E596="","",IF($F596&lt;=BankCostEnvelope*'5. Scenarios'!$B$7,1,0))</f>
        <v/>
      </c>
      <c r="H596" s="57" t="str">
        <f aca="false">IF($D596="","",INDEX(BookRate,591)*(1+'5. Scenarios'!$B$10)*(INDEX(BookQ1,591)*(5-MIN(4,1+'5. Scenarios'!$B$8))/4+INDEX(BookQ2,591)*(5-MIN(4,2+'5. Scenarios'!$B$8))/4+INDEX(BookQ3,591)*(5-MIN(4,3+'5. Scenarios'!$B$8))/4+INDEX(BookQ4,591)*(5-MIN(4,4+'5. Scenarios'!$B$8))/4)*'5. Scenarios'!$B$6/(1+ProductivityDefault*('5. Scenarios'!$B$11-1))+INDEX(BookOneOff,591)*$D596)</f>
        <v/>
      </c>
      <c r="I596" s="56" t="str">
        <f aca="false">IF(INDEX(BookTitle,591)="","",INDEX(BookTotal,591)*'5. Scenarios'!$C$6/(1+ProductivityDefault*('5. Scenarios'!$C$11-1)))</f>
        <v/>
      </c>
      <c r="J596" s="57" t="str">
        <f aca="false">IF($I596="","",INDEX(BookRate,591)*(1+'5. Scenarios'!$C$10)*$I596)</f>
        <v/>
      </c>
      <c r="K596" s="57" t="str">
        <f aca="false">IF($J596="","",SUMIFS($J$6:$J$2405,$A$6:$A$2405,"&lt;="&amp;$A596))</f>
        <v/>
      </c>
      <c r="L596" s="57" t="str">
        <f aca="false">IF($J596="","",IF($K596&lt;=BankCostEnvelope*'5. Scenarios'!$C$7,1,0))</f>
        <v/>
      </c>
      <c r="M596" s="57" t="str">
        <f aca="false">IF($I596="","",INDEX(BookRate,591)*(1+'5. Scenarios'!$C$10)*(INDEX(BookQ1,591)*(5-MIN(4,1+'5. Scenarios'!$C$8))/4+INDEX(BookQ2,591)*(5-MIN(4,2+'5. Scenarios'!$C$8))/4+INDEX(BookQ3,591)*(5-MIN(4,3+'5. Scenarios'!$C$8))/4+INDEX(BookQ4,591)*(5-MIN(4,4+'5. Scenarios'!$C$8))/4)*'5. Scenarios'!$C$6/(1+ProductivityDefault*('5. Scenarios'!$C$11-1))+INDEX(BookOneOff,591)*$I596)</f>
        <v/>
      </c>
      <c r="N596" s="56" t="str">
        <f aca="false">IF(INDEX(BookTitle,591)="","",INDEX(BookTotal,591)*'5. Scenarios'!$D$6/(1+ProductivityDefault*('5. Scenarios'!$D$11-1)))</f>
        <v/>
      </c>
      <c r="O596" s="57" t="str">
        <f aca="false">IF($N596="","",INDEX(BookRate,591)*(1+'5. Scenarios'!$D$10)*$N596)</f>
        <v/>
      </c>
      <c r="P596" s="57" t="str">
        <f aca="false">IF($O596="","",SUMIFS($O$6:$O$2405,$A$6:$A$2405,"&lt;="&amp;$A596))</f>
        <v/>
      </c>
      <c r="Q596" s="57" t="str">
        <f aca="false">IF($O596="","",IF($P596&lt;=BankCostEnvelope*'5. Scenarios'!$D$7,1,0))</f>
        <v/>
      </c>
      <c r="R596" s="57" t="str">
        <f aca="false">IF($N596="","",INDEX(BookRate,591)*(1+'5. Scenarios'!$D$10)*(INDEX(BookQ1,591)*(5-MIN(4,1+'5. Scenarios'!$D$8))/4+INDEX(BookQ2,591)*(5-MIN(4,2+'5. Scenarios'!$D$8))/4+INDEX(BookQ3,591)*(5-MIN(4,3+'5. Scenarios'!$D$8))/4+INDEX(BookQ4,591)*(5-MIN(4,4+'5. Scenarios'!$D$8))/4)*'5. Scenarios'!$D$6/(1+ProductivityDefault*('5. Scenarios'!$D$11-1))+INDEX(BookOneOff,591)*$N596)</f>
        <v/>
      </c>
      <c r="S596" s="56" t="str">
        <f aca="false">IF(INDEX(BookTitle,591)="","",INDEX(BookTotal,591)*'5. Scenarios'!$E$6/(1+ProductivityDefault*('5. Scenarios'!$E$11-1)))</f>
        <v/>
      </c>
      <c r="T596" s="57" t="str">
        <f aca="false">IF($S596="","",INDEX(BookRate,591)*(1+'5. Scenarios'!$E$10)*$S596)</f>
        <v/>
      </c>
      <c r="U596" s="57" t="str">
        <f aca="false">IF($T596="","",SUMIFS($T$6:$T$2405,$A$6:$A$2405,"&lt;="&amp;$A596))</f>
        <v/>
      </c>
      <c r="V596" s="57" t="str">
        <f aca="false">IF($T596="","",IF($U596&lt;=BankCostEnvelope*'5. Scenarios'!$E$7,1,0))</f>
        <v/>
      </c>
      <c r="W596" s="57" t="str">
        <f aca="false">IF($S596="","",INDEX(BookRate,591)*(1+'5. Scenarios'!$E$10)*(INDEX(BookQ1,591)*(5-MIN(4,1+'5. Scenarios'!$E$8))/4+INDEX(BookQ2,591)*(5-MIN(4,2+'5. Scenarios'!$E$8))/4+INDEX(BookQ3,591)*(5-MIN(4,3+'5. Scenarios'!$E$8))/4+INDEX(BookQ4,591)*(5-MIN(4,4+'5. Scenarios'!$E$8))/4)*'5. Scenarios'!$E$6/(1+ProductivityDefault*('5. Scenarios'!$E$11-1))+INDEX(BookOneOff,591)*$S596)</f>
        <v/>
      </c>
    </row>
    <row r="597" customFormat="false" ht="15" hidden="false" customHeight="false" outlineLevel="0" collapsed="false">
      <c r="A597" s="0" t="str">
        <f aca="false">IF(INDEX(BookTitle,592)="","",INDEX(BookKey,592))</f>
        <v/>
      </c>
      <c r="B597" s="0" t="str">
        <f aca="false">IF(INDEX(BookTitle,592)="","",INDEX(BookGroup,592))</f>
        <v/>
      </c>
      <c r="C597" s="0" t="str">
        <f aca="false">IF(INDEX(BookTitle,592)="","",INDEX(BookCategory,592))</f>
        <v/>
      </c>
      <c r="D597" s="56" t="str">
        <f aca="false">IF(INDEX(BookTitle,592)="","",INDEX(BookTotal,592)*'5. Scenarios'!$B$6/(1+ProductivityDefault*('5. Scenarios'!$B$11-1)))</f>
        <v/>
      </c>
      <c r="E597" s="57" t="str">
        <f aca="false">IF($D597="","",INDEX(BookRate,592)*(1+'5. Scenarios'!$B$10)*$D597)</f>
        <v/>
      </c>
      <c r="F597" s="57" t="str">
        <f aca="false">IF($E597="","",SUMIFS($E$6:$E$2405,$A$6:$A$2405,"&lt;="&amp;$A597))</f>
        <v/>
      </c>
      <c r="G597" s="57" t="str">
        <f aca="false">IF($E597="","",IF($F597&lt;=BankCostEnvelope*'5. Scenarios'!$B$7,1,0))</f>
        <v/>
      </c>
      <c r="H597" s="57" t="str">
        <f aca="false">IF($D597="","",INDEX(BookRate,592)*(1+'5. Scenarios'!$B$10)*(INDEX(BookQ1,592)*(5-MIN(4,1+'5. Scenarios'!$B$8))/4+INDEX(BookQ2,592)*(5-MIN(4,2+'5. Scenarios'!$B$8))/4+INDEX(BookQ3,592)*(5-MIN(4,3+'5. Scenarios'!$B$8))/4+INDEX(BookQ4,592)*(5-MIN(4,4+'5. Scenarios'!$B$8))/4)*'5. Scenarios'!$B$6/(1+ProductivityDefault*('5. Scenarios'!$B$11-1))+INDEX(BookOneOff,592)*$D597)</f>
        <v/>
      </c>
      <c r="I597" s="56" t="str">
        <f aca="false">IF(INDEX(BookTitle,592)="","",INDEX(BookTotal,592)*'5. Scenarios'!$C$6/(1+ProductivityDefault*('5. Scenarios'!$C$11-1)))</f>
        <v/>
      </c>
      <c r="J597" s="57" t="str">
        <f aca="false">IF($I597="","",INDEX(BookRate,592)*(1+'5. Scenarios'!$C$10)*$I597)</f>
        <v/>
      </c>
      <c r="K597" s="57" t="str">
        <f aca="false">IF($J597="","",SUMIFS($J$6:$J$2405,$A$6:$A$2405,"&lt;="&amp;$A597))</f>
        <v/>
      </c>
      <c r="L597" s="57" t="str">
        <f aca="false">IF($J597="","",IF($K597&lt;=BankCostEnvelope*'5. Scenarios'!$C$7,1,0))</f>
        <v/>
      </c>
      <c r="M597" s="57" t="str">
        <f aca="false">IF($I597="","",INDEX(BookRate,592)*(1+'5. Scenarios'!$C$10)*(INDEX(BookQ1,592)*(5-MIN(4,1+'5. Scenarios'!$C$8))/4+INDEX(BookQ2,592)*(5-MIN(4,2+'5. Scenarios'!$C$8))/4+INDEX(BookQ3,592)*(5-MIN(4,3+'5. Scenarios'!$C$8))/4+INDEX(BookQ4,592)*(5-MIN(4,4+'5. Scenarios'!$C$8))/4)*'5. Scenarios'!$C$6/(1+ProductivityDefault*('5. Scenarios'!$C$11-1))+INDEX(BookOneOff,592)*$I597)</f>
        <v/>
      </c>
      <c r="N597" s="56" t="str">
        <f aca="false">IF(INDEX(BookTitle,592)="","",INDEX(BookTotal,592)*'5. Scenarios'!$D$6/(1+ProductivityDefault*('5. Scenarios'!$D$11-1)))</f>
        <v/>
      </c>
      <c r="O597" s="57" t="str">
        <f aca="false">IF($N597="","",INDEX(BookRate,592)*(1+'5. Scenarios'!$D$10)*$N597)</f>
        <v/>
      </c>
      <c r="P597" s="57" t="str">
        <f aca="false">IF($O597="","",SUMIFS($O$6:$O$2405,$A$6:$A$2405,"&lt;="&amp;$A597))</f>
        <v/>
      </c>
      <c r="Q597" s="57" t="str">
        <f aca="false">IF($O597="","",IF($P597&lt;=BankCostEnvelope*'5. Scenarios'!$D$7,1,0))</f>
        <v/>
      </c>
      <c r="R597" s="57" t="str">
        <f aca="false">IF($N597="","",INDEX(BookRate,592)*(1+'5. Scenarios'!$D$10)*(INDEX(BookQ1,592)*(5-MIN(4,1+'5. Scenarios'!$D$8))/4+INDEX(BookQ2,592)*(5-MIN(4,2+'5. Scenarios'!$D$8))/4+INDEX(BookQ3,592)*(5-MIN(4,3+'5. Scenarios'!$D$8))/4+INDEX(BookQ4,592)*(5-MIN(4,4+'5. Scenarios'!$D$8))/4)*'5. Scenarios'!$D$6/(1+ProductivityDefault*('5. Scenarios'!$D$11-1))+INDEX(BookOneOff,592)*$N597)</f>
        <v/>
      </c>
      <c r="S597" s="56" t="str">
        <f aca="false">IF(INDEX(BookTitle,592)="","",INDEX(BookTotal,592)*'5. Scenarios'!$E$6/(1+ProductivityDefault*('5. Scenarios'!$E$11-1)))</f>
        <v/>
      </c>
      <c r="T597" s="57" t="str">
        <f aca="false">IF($S597="","",INDEX(BookRate,592)*(1+'5. Scenarios'!$E$10)*$S597)</f>
        <v/>
      </c>
      <c r="U597" s="57" t="str">
        <f aca="false">IF($T597="","",SUMIFS($T$6:$T$2405,$A$6:$A$2405,"&lt;="&amp;$A597))</f>
        <v/>
      </c>
      <c r="V597" s="57" t="str">
        <f aca="false">IF($T597="","",IF($U597&lt;=BankCostEnvelope*'5. Scenarios'!$E$7,1,0))</f>
        <v/>
      </c>
      <c r="W597" s="57" t="str">
        <f aca="false">IF($S597="","",INDEX(BookRate,592)*(1+'5. Scenarios'!$E$10)*(INDEX(BookQ1,592)*(5-MIN(4,1+'5. Scenarios'!$E$8))/4+INDEX(BookQ2,592)*(5-MIN(4,2+'5. Scenarios'!$E$8))/4+INDEX(BookQ3,592)*(5-MIN(4,3+'5. Scenarios'!$E$8))/4+INDEX(BookQ4,592)*(5-MIN(4,4+'5. Scenarios'!$E$8))/4)*'5. Scenarios'!$E$6/(1+ProductivityDefault*('5. Scenarios'!$E$11-1))+INDEX(BookOneOff,592)*$S597)</f>
        <v/>
      </c>
    </row>
    <row r="598" customFormat="false" ht="15" hidden="false" customHeight="false" outlineLevel="0" collapsed="false">
      <c r="A598" s="0" t="str">
        <f aca="false">IF(INDEX(BookTitle,593)="","",INDEX(BookKey,593))</f>
        <v/>
      </c>
      <c r="B598" s="0" t="str">
        <f aca="false">IF(INDEX(BookTitle,593)="","",INDEX(BookGroup,593))</f>
        <v/>
      </c>
      <c r="C598" s="0" t="str">
        <f aca="false">IF(INDEX(BookTitle,593)="","",INDEX(BookCategory,593))</f>
        <v/>
      </c>
      <c r="D598" s="56" t="str">
        <f aca="false">IF(INDEX(BookTitle,593)="","",INDEX(BookTotal,593)*'5. Scenarios'!$B$6/(1+ProductivityDefault*('5. Scenarios'!$B$11-1)))</f>
        <v/>
      </c>
      <c r="E598" s="57" t="str">
        <f aca="false">IF($D598="","",INDEX(BookRate,593)*(1+'5. Scenarios'!$B$10)*$D598)</f>
        <v/>
      </c>
      <c r="F598" s="57" t="str">
        <f aca="false">IF($E598="","",SUMIFS($E$6:$E$2405,$A$6:$A$2405,"&lt;="&amp;$A598))</f>
        <v/>
      </c>
      <c r="G598" s="57" t="str">
        <f aca="false">IF($E598="","",IF($F598&lt;=BankCostEnvelope*'5. Scenarios'!$B$7,1,0))</f>
        <v/>
      </c>
      <c r="H598" s="57" t="str">
        <f aca="false">IF($D598="","",INDEX(BookRate,593)*(1+'5. Scenarios'!$B$10)*(INDEX(BookQ1,593)*(5-MIN(4,1+'5. Scenarios'!$B$8))/4+INDEX(BookQ2,593)*(5-MIN(4,2+'5. Scenarios'!$B$8))/4+INDEX(BookQ3,593)*(5-MIN(4,3+'5. Scenarios'!$B$8))/4+INDEX(BookQ4,593)*(5-MIN(4,4+'5. Scenarios'!$B$8))/4)*'5. Scenarios'!$B$6/(1+ProductivityDefault*('5. Scenarios'!$B$11-1))+INDEX(BookOneOff,593)*$D598)</f>
        <v/>
      </c>
      <c r="I598" s="56" t="str">
        <f aca="false">IF(INDEX(BookTitle,593)="","",INDEX(BookTotal,593)*'5. Scenarios'!$C$6/(1+ProductivityDefault*('5. Scenarios'!$C$11-1)))</f>
        <v/>
      </c>
      <c r="J598" s="57" t="str">
        <f aca="false">IF($I598="","",INDEX(BookRate,593)*(1+'5. Scenarios'!$C$10)*$I598)</f>
        <v/>
      </c>
      <c r="K598" s="57" t="str">
        <f aca="false">IF($J598="","",SUMIFS($J$6:$J$2405,$A$6:$A$2405,"&lt;="&amp;$A598))</f>
        <v/>
      </c>
      <c r="L598" s="57" t="str">
        <f aca="false">IF($J598="","",IF($K598&lt;=BankCostEnvelope*'5. Scenarios'!$C$7,1,0))</f>
        <v/>
      </c>
      <c r="M598" s="57" t="str">
        <f aca="false">IF($I598="","",INDEX(BookRate,593)*(1+'5. Scenarios'!$C$10)*(INDEX(BookQ1,593)*(5-MIN(4,1+'5. Scenarios'!$C$8))/4+INDEX(BookQ2,593)*(5-MIN(4,2+'5. Scenarios'!$C$8))/4+INDEX(BookQ3,593)*(5-MIN(4,3+'5. Scenarios'!$C$8))/4+INDEX(BookQ4,593)*(5-MIN(4,4+'5. Scenarios'!$C$8))/4)*'5. Scenarios'!$C$6/(1+ProductivityDefault*('5. Scenarios'!$C$11-1))+INDEX(BookOneOff,593)*$I598)</f>
        <v/>
      </c>
      <c r="N598" s="56" t="str">
        <f aca="false">IF(INDEX(BookTitle,593)="","",INDEX(BookTotal,593)*'5. Scenarios'!$D$6/(1+ProductivityDefault*('5. Scenarios'!$D$11-1)))</f>
        <v/>
      </c>
      <c r="O598" s="57" t="str">
        <f aca="false">IF($N598="","",INDEX(BookRate,593)*(1+'5. Scenarios'!$D$10)*$N598)</f>
        <v/>
      </c>
      <c r="P598" s="57" t="str">
        <f aca="false">IF($O598="","",SUMIFS($O$6:$O$2405,$A$6:$A$2405,"&lt;="&amp;$A598))</f>
        <v/>
      </c>
      <c r="Q598" s="57" t="str">
        <f aca="false">IF($O598="","",IF($P598&lt;=BankCostEnvelope*'5. Scenarios'!$D$7,1,0))</f>
        <v/>
      </c>
      <c r="R598" s="57" t="str">
        <f aca="false">IF($N598="","",INDEX(BookRate,593)*(1+'5. Scenarios'!$D$10)*(INDEX(BookQ1,593)*(5-MIN(4,1+'5. Scenarios'!$D$8))/4+INDEX(BookQ2,593)*(5-MIN(4,2+'5. Scenarios'!$D$8))/4+INDEX(BookQ3,593)*(5-MIN(4,3+'5. Scenarios'!$D$8))/4+INDEX(BookQ4,593)*(5-MIN(4,4+'5. Scenarios'!$D$8))/4)*'5. Scenarios'!$D$6/(1+ProductivityDefault*('5. Scenarios'!$D$11-1))+INDEX(BookOneOff,593)*$N598)</f>
        <v/>
      </c>
      <c r="S598" s="56" t="str">
        <f aca="false">IF(INDEX(BookTitle,593)="","",INDEX(BookTotal,593)*'5. Scenarios'!$E$6/(1+ProductivityDefault*('5. Scenarios'!$E$11-1)))</f>
        <v/>
      </c>
      <c r="T598" s="57" t="str">
        <f aca="false">IF($S598="","",INDEX(BookRate,593)*(1+'5. Scenarios'!$E$10)*$S598)</f>
        <v/>
      </c>
      <c r="U598" s="57" t="str">
        <f aca="false">IF($T598="","",SUMIFS($T$6:$T$2405,$A$6:$A$2405,"&lt;="&amp;$A598))</f>
        <v/>
      </c>
      <c r="V598" s="57" t="str">
        <f aca="false">IF($T598="","",IF($U598&lt;=BankCostEnvelope*'5. Scenarios'!$E$7,1,0))</f>
        <v/>
      </c>
      <c r="W598" s="57" t="str">
        <f aca="false">IF($S598="","",INDEX(BookRate,593)*(1+'5. Scenarios'!$E$10)*(INDEX(BookQ1,593)*(5-MIN(4,1+'5. Scenarios'!$E$8))/4+INDEX(BookQ2,593)*(5-MIN(4,2+'5. Scenarios'!$E$8))/4+INDEX(BookQ3,593)*(5-MIN(4,3+'5. Scenarios'!$E$8))/4+INDEX(BookQ4,593)*(5-MIN(4,4+'5. Scenarios'!$E$8))/4)*'5. Scenarios'!$E$6/(1+ProductivityDefault*('5. Scenarios'!$E$11-1))+INDEX(BookOneOff,593)*$S598)</f>
        <v/>
      </c>
    </row>
    <row r="599" customFormat="false" ht="15" hidden="false" customHeight="false" outlineLevel="0" collapsed="false">
      <c r="A599" s="0" t="str">
        <f aca="false">IF(INDEX(BookTitle,594)="","",INDEX(BookKey,594))</f>
        <v/>
      </c>
      <c r="B599" s="0" t="str">
        <f aca="false">IF(INDEX(BookTitle,594)="","",INDEX(BookGroup,594))</f>
        <v/>
      </c>
      <c r="C599" s="0" t="str">
        <f aca="false">IF(INDEX(BookTitle,594)="","",INDEX(BookCategory,594))</f>
        <v/>
      </c>
      <c r="D599" s="56" t="str">
        <f aca="false">IF(INDEX(BookTitle,594)="","",INDEX(BookTotal,594)*'5. Scenarios'!$B$6/(1+ProductivityDefault*('5. Scenarios'!$B$11-1)))</f>
        <v/>
      </c>
      <c r="E599" s="57" t="str">
        <f aca="false">IF($D599="","",INDEX(BookRate,594)*(1+'5. Scenarios'!$B$10)*$D599)</f>
        <v/>
      </c>
      <c r="F599" s="57" t="str">
        <f aca="false">IF($E599="","",SUMIFS($E$6:$E$2405,$A$6:$A$2405,"&lt;="&amp;$A599))</f>
        <v/>
      </c>
      <c r="G599" s="57" t="str">
        <f aca="false">IF($E599="","",IF($F599&lt;=BankCostEnvelope*'5. Scenarios'!$B$7,1,0))</f>
        <v/>
      </c>
      <c r="H599" s="57" t="str">
        <f aca="false">IF($D599="","",INDEX(BookRate,594)*(1+'5. Scenarios'!$B$10)*(INDEX(BookQ1,594)*(5-MIN(4,1+'5. Scenarios'!$B$8))/4+INDEX(BookQ2,594)*(5-MIN(4,2+'5. Scenarios'!$B$8))/4+INDEX(BookQ3,594)*(5-MIN(4,3+'5. Scenarios'!$B$8))/4+INDEX(BookQ4,594)*(5-MIN(4,4+'5. Scenarios'!$B$8))/4)*'5. Scenarios'!$B$6/(1+ProductivityDefault*('5. Scenarios'!$B$11-1))+INDEX(BookOneOff,594)*$D599)</f>
        <v/>
      </c>
      <c r="I599" s="56" t="str">
        <f aca="false">IF(INDEX(BookTitle,594)="","",INDEX(BookTotal,594)*'5. Scenarios'!$C$6/(1+ProductivityDefault*('5. Scenarios'!$C$11-1)))</f>
        <v/>
      </c>
      <c r="J599" s="57" t="str">
        <f aca="false">IF($I599="","",INDEX(BookRate,594)*(1+'5. Scenarios'!$C$10)*$I599)</f>
        <v/>
      </c>
      <c r="K599" s="57" t="str">
        <f aca="false">IF($J599="","",SUMIFS($J$6:$J$2405,$A$6:$A$2405,"&lt;="&amp;$A599))</f>
        <v/>
      </c>
      <c r="L599" s="57" t="str">
        <f aca="false">IF($J599="","",IF($K599&lt;=BankCostEnvelope*'5. Scenarios'!$C$7,1,0))</f>
        <v/>
      </c>
      <c r="M599" s="57" t="str">
        <f aca="false">IF($I599="","",INDEX(BookRate,594)*(1+'5. Scenarios'!$C$10)*(INDEX(BookQ1,594)*(5-MIN(4,1+'5. Scenarios'!$C$8))/4+INDEX(BookQ2,594)*(5-MIN(4,2+'5. Scenarios'!$C$8))/4+INDEX(BookQ3,594)*(5-MIN(4,3+'5. Scenarios'!$C$8))/4+INDEX(BookQ4,594)*(5-MIN(4,4+'5. Scenarios'!$C$8))/4)*'5. Scenarios'!$C$6/(1+ProductivityDefault*('5. Scenarios'!$C$11-1))+INDEX(BookOneOff,594)*$I599)</f>
        <v/>
      </c>
      <c r="N599" s="56" t="str">
        <f aca="false">IF(INDEX(BookTitle,594)="","",INDEX(BookTotal,594)*'5. Scenarios'!$D$6/(1+ProductivityDefault*('5. Scenarios'!$D$11-1)))</f>
        <v/>
      </c>
      <c r="O599" s="57" t="str">
        <f aca="false">IF($N599="","",INDEX(BookRate,594)*(1+'5. Scenarios'!$D$10)*$N599)</f>
        <v/>
      </c>
      <c r="P599" s="57" t="str">
        <f aca="false">IF($O599="","",SUMIFS($O$6:$O$2405,$A$6:$A$2405,"&lt;="&amp;$A599))</f>
        <v/>
      </c>
      <c r="Q599" s="57" t="str">
        <f aca="false">IF($O599="","",IF($P599&lt;=BankCostEnvelope*'5. Scenarios'!$D$7,1,0))</f>
        <v/>
      </c>
      <c r="R599" s="57" t="str">
        <f aca="false">IF($N599="","",INDEX(BookRate,594)*(1+'5. Scenarios'!$D$10)*(INDEX(BookQ1,594)*(5-MIN(4,1+'5. Scenarios'!$D$8))/4+INDEX(BookQ2,594)*(5-MIN(4,2+'5. Scenarios'!$D$8))/4+INDEX(BookQ3,594)*(5-MIN(4,3+'5. Scenarios'!$D$8))/4+INDEX(BookQ4,594)*(5-MIN(4,4+'5. Scenarios'!$D$8))/4)*'5. Scenarios'!$D$6/(1+ProductivityDefault*('5. Scenarios'!$D$11-1))+INDEX(BookOneOff,594)*$N599)</f>
        <v/>
      </c>
      <c r="S599" s="56" t="str">
        <f aca="false">IF(INDEX(BookTitle,594)="","",INDEX(BookTotal,594)*'5. Scenarios'!$E$6/(1+ProductivityDefault*('5. Scenarios'!$E$11-1)))</f>
        <v/>
      </c>
      <c r="T599" s="57" t="str">
        <f aca="false">IF($S599="","",INDEX(BookRate,594)*(1+'5. Scenarios'!$E$10)*$S599)</f>
        <v/>
      </c>
      <c r="U599" s="57" t="str">
        <f aca="false">IF($T599="","",SUMIFS($T$6:$T$2405,$A$6:$A$2405,"&lt;="&amp;$A599))</f>
        <v/>
      </c>
      <c r="V599" s="57" t="str">
        <f aca="false">IF($T599="","",IF($U599&lt;=BankCostEnvelope*'5. Scenarios'!$E$7,1,0))</f>
        <v/>
      </c>
      <c r="W599" s="57" t="str">
        <f aca="false">IF($S599="","",INDEX(BookRate,594)*(1+'5. Scenarios'!$E$10)*(INDEX(BookQ1,594)*(5-MIN(4,1+'5. Scenarios'!$E$8))/4+INDEX(BookQ2,594)*(5-MIN(4,2+'5. Scenarios'!$E$8))/4+INDEX(BookQ3,594)*(5-MIN(4,3+'5. Scenarios'!$E$8))/4+INDEX(BookQ4,594)*(5-MIN(4,4+'5. Scenarios'!$E$8))/4)*'5. Scenarios'!$E$6/(1+ProductivityDefault*('5. Scenarios'!$E$11-1))+INDEX(BookOneOff,594)*$S599)</f>
        <v/>
      </c>
    </row>
    <row r="600" customFormat="false" ht="15" hidden="false" customHeight="false" outlineLevel="0" collapsed="false">
      <c r="A600" s="0" t="str">
        <f aca="false">IF(INDEX(BookTitle,595)="","",INDEX(BookKey,595))</f>
        <v/>
      </c>
      <c r="B600" s="0" t="str">
        <f aca="false">IF(INDEX(BookTitle,595)="","",INDEX(BookGroup,595))</f>
        <v/>
      </c>
      <c r="C600" s="0" t="str">
        <f aca="false">IF(INDEX(BookTitle,595)="","",INDEX(BookCategory,595))</f>
        <v/>
      </c>
      <c r="D600" s="56" t="str">
        <f aca="false">IF(INDEX(BookTitle,595)="","",INDEX(BookTotal,595)*'5. Scenarios'!$B$6/(1+ProductivityDefault*('5. Scenarios'!$B$11-1)))</f>
        <v/>
      </c>
      <c r="E600" s="57" t="str">
        <f aca="false">IF($D600="","",INDEX(BookRate,595)*(1+'5. Scenarios'!$B$10)*$D600)</f>
        <v/>
      </c>
      <c r="F600" s="57" t="str">
        <f aca="false">IF($E600="","",SUMIFS($E$6:$E$2405,$A$6:$A$2405,"&lt;="&amp;$A600))</f>
        <v/>
      </c>
      <c r="G600" s="57" t="str">
        <f aca="false">IF($E600="","",IF($F600&lt;=BankCostEnvelope*'5. Scenarios'!$B$7,1,0))</f>
        <v/>
      </c>
      <c r="H600" s="57" t="str">
        <f aca="false">IF($D600="","",INDEX(BookRate,595)*(1+'5. Scenarios'!$B$10)*(INDEX(BookQ1,595)*(5-MIN(4,1+'5. Scenarios'!$B$8))/4+INDEX(BookQ2,595)*(5-MIN(4,2+'5. Scenarios'!$B$8))/4+INDEX(BookQ3,595)*(5-MIN(4,3+'5. Scenarios'!$B$8))/4+INDEX(BookQ4,595)*(5-MIN(4,4+'5. Scenarios'!$B$8))/4)*'5. Scenarios'!$B$6/(1+ProductivityDefault*('5. Scenarios'!$B$11-1))+INDEX(BookOneOff,595)*$D600)</f>
        <v/>
      </c>
      <c r="I600" s="56" t="str">
        <f aca="false">IF(INDEX(BookTitle,595)="","",INDEX(BookTotal,595)*'5. Scenarios'!$C$6/(1+ProductivityDefault*('5. Scenarios'!$C$11-1)))</f>
        <v/>
      </c>
      <c r="J600" s="57" t="str">
        <f aca="false">IF($I600="","",INDEX(BookRate,595)*(1+'5. Scenarios'!$C$10)*$I600)</f>
        <v/>
      </c>
      <c r="K600" s="57" t="str">
        <f aca="false">IF($J600="","",SUMIFS($J$6:$J$2405,$A$6:$A$2405,"&lt;="&amp;$A600))</f>
        <v/>
      </c>
      <c r="L600" s="57" t="str">
        <f aca="false">IF($J600="","",IF($K600&lt;=BankCostEnvelope*'5. Scenarios'!$C$7,1,0))</f>
        <v/>
      </c>
      <c r="M600" s="57" t="str">
        <f aca="false">IF($I600="","",INDEX(BookRate,595)*(1+'5. Scenarios'!$C$10)*(INDEX(BookQ1,595)*(5-MIN(4,1+'5. Scenarios'!$C$8))/4+INDEX(BookQ2,595)*(5-MIN(4,2+'5. Scenarios'!$C$8))/4+INDEX(BookQ3,595)*(5-MIN(4,3+'5. Scenarios'!$C$8))/4+INDEX(BookQ4,595)*(5-MIN(4,4+'5. Scenarios'!$C$8))/4)*'5. Scenarios'!$C$6/(1+ProductivityDefault*('5. Scenarios'!$C$11-1))+INDEX(BookOneOff,595)*$I600)</f>
        <v/>
      </c>
      <c r="N600" s="56" t="str">
        <f aca="false">IF(INDEX(BookTitle,595)="","",INDEX(BookTotal,595)*'5. Scenarios'!$D$6/(1+ProductivityDefault*('5. Scenarios'!$D$11-1)))</f>
        <v/>
      </c>
      <c r="O600" s="57" t="str">
        <f aca="false">IF($N600="","",INDEX(BookRate,595)*(1+'5. Scenarios'!$D$10)*$N600)</f>
        <v/>
      </c>
      <c r="P600" s="57" t="str">
        <f aca="false">IF($O600="","",SUMIFS($O$6:$O$2405,$A$6:$A$2405,"&lt;="&amp;$A600))</f>
        <v/>
      </c>
      <c r="Q600" s="57" t="str">
        <f aca="false">IF($O600="","",IF($P600&lt;=BankCostEnvelope*'5. Scenarios'!$D$7,1,0))</f>
        <v/>
      </c>
      <c r="R600" s="57" t="str">
        <f aca="false">IF($N600="","",INDEX(BookRate,595)*(1+'5. Scenarios'!$D$10)*(INDEX(BookQ1,595)*(5-MIN(4,1+'5. Scenarios'!$D$8))/4+INDEX(BookQ2,595)*(5-MIN(4,2+'5. Scenarios'!$D$8))/4+INDEX(BookQ3,595)*(5-MIN(4,3+'5. Scenarios'!$D$8))/4+INDEX(BookQ4,595)*(5-MIN(4,4+'5. Scenarios'!$D$8))/4)*'5. Scenarios'!$D$6/(1+ProductivityDefault*('5. Scenarios'!$D$11-1))+INDEX(BookOneOff,595)*$N600)</f>
        <v/>
      </c>
      <c r="S600" s="56" t="str">
        <f aca="false">IF(INDEX(BookTitle,595)="","",INDEX(BookTotal,595)*'5. Scenarios'!$E$6/(1+ProductivityDefault*('5. Scenarios'!$E$11-1)))</f>
        <v/>
      </c>
      <c r="T600" s="57" t="str">
        <f aca="false">IF($S600="","",INDEX(BookRate,595)*(1+'5. Scenarios'!$E$10)*$S600)</f>
        <v/>
      </c>
      <c r="U600" s="57" t="str">
        <f aca="false">IF($T600="","",SUMIFS($T$6:$T$2405,$A$6:$A$2405,"&lt;="&amp;$A600))</f>
        <v/>
      </c>
      <c r="V600" s="57" t="str">
        <f aca="false">IF($T600="","",IF($U600&lt;=BankCostEnvelope*'5. Scenarios'!$E$7,1,0))</f>
        <v/>
      </c>
      <c r="W600" s="57" t="str">
        <f aca="false">IF($S600="","",INDEX(BookRate,595)*(1+'5. Scenarios'!$E$10)*(INDEX(BookQ1,595)*(5-MIN(4,1+'5. Scenarios'!$E$8))/4+INDEX(BookQ2,595)*(5-MIN(4,2+'5. Scenarios'!$E$8))/4+INDEX(BookQ3,595)*(5-MIN(4,3+'5. Scenarios'!$E$8))/4+INDEX(BookQ4,595)*(5-MIN(4,4+'5. Scenarios'!$E$8))/4)*'5. Scenarios'!$E$6/(1+ProductivityDefault*('5. Scenarios'!$E$11-1))+INDEX(BookOneOff,595)*$S600)</f>
        <v/>
      </c>
    </row>
    <row r="601" customFormat="false" ht="15" hidden="false" customHeight="false" outlineLevel="0" collapsed="false">
      <c r="A601" s="0" t="str">
        <f aca="false">IF(INDEX(BookTitle,596)="","",INDEX(BookKey,596))</f>
        <v/>
      </c>
      <c r="B601" s="0" t="str">
        <f aca="false">IF(INDEX(BookTitle,596)="","",INDEX(BookGroup,596))</f>
        <v/>
      </c>
      <c r="C601" s="0" t="str">
        <f aca="false">IF(INDEX(BookTitle,596)="","",INDEX(BookCategory,596))</f>
        <v/>
      </c>
      <c r="D601" s="56" t="str">
        <f aca="false">IF(INDEX(BookTitle,596)="","",INDEX(BookTotal,596)*'5. Scenarios'!$B$6/(1+ProductivityDefault*('5. Scenarios'!$B$11-1)))</f>
        <v/>
      </c>
      <c r="E601" s="57" t="str">
        <f aca="false">IF($D601="","",INDEX(BookRate,596)*(1+'5. Scenarios'!$B$10)*$D601)</f>
        <v/>
      </c>
      <c r="F601" s="57" t="str">
        <f aca="false">IF($E601="","",SUMIFS($E$6:$E$2405,$A$6:$A$2405,"&lt;="&amp;$A601))</f>
        <v/>
      </c>
      <c r="G601" s="57" t="str">
        <f aca="false">IF($E601="","",IF($F601&lt;=BankCostEnvelope*'5. Scenarios'!$B$7,1,0))</f>
        <v/>
      </c>
      <c r="H601" s="57" t="str">
        <f aca="false">IF($D601="","",INDEX(BookRate,596)*(1+'5. Scenarios'!$B$10)*(INDEX(BookQ1,596)*(5-MIN(4,1+'5. Scenarios'!$B$8))/4+INDEX(BookQ2,596)*(5-MIN(4,2+'5. Scenarios'!$B$8))/4+INDEX(BookQ3,596)*(5-MIN(4,3+'5. Scenarios'!$B$8))/4+INDEX(BookQ4,596)*(5-MIN(4,4+'5. Scenarios'!$B$8))/4)*'5. Scenarios'!$B$6/(1+ProductivityDefault*('5. Scenarios'!$B$11-1))+INDEX(BookOneOff,596)*$D601)</f>
        <v/>
      </c>
      <c r="I601" s="56" t="str">
        <f aca="false">IF(INDEX(BookTitle,596)="","",INDEX(BookTotal,596)*'5. Scenarios'!$C$6/(1+ProductivityDefault*('5. Scenarios'!$C$11-1)))</f>
        <v/>
      </c>
      <c r="J601" s="57" t="str">
        <f aca="false">IF($I601="","",INDEX(BookRate,596)*(1+'5. Scenarios'!$C$10)*$I601)</f>
        <v/>
      </c>
      <c r="K601" s="57" t="str">
        <f aca="false">IF($J601="","",SUMIFS($J$6:$J$2405,$A$6:$A$2405,"&lt;="&amp;$A601))</f>
        <v/>
      </c>
      <c r="L601" s="57" t="str">
        <f aca="false">IF($J601="","",IF($K601&lt;=BankCostEnvelope*'5. Scenarios'!$C$7,1,0))</f>
        <v/>
      </c>
      <c r="M601" s="57" t="str">
        <f aca="false">IF($I601="","",INDEX(BookRate,596)*(1+'5. Scenarios'!$C$10)*(INDEX(BookQ1,596)*(5-MIN(4,1+'5. Scenarios'!$C$8))/4+INDEX(BookQ2,596)*(5-MIN(4,2+'5. Scenarios'!$C$8))/4+INDEX(BookQ3,596)*(5-MIN(4,3+'5. Scenarios'!$C$8))/4+INDEX(BookQ4,596)*(5-MIN(4,4+'5. Scenarios'!$C$8))/4)*'5. Scenarios'!$C$6/(1+ProductivityDefault*('5. Scenarios'!$C$11-1))+INDEX(BookOneOff,596)*$I601)</f>
        <v/>
      </c>
      <c r="N601" s="56" t="str">
        <f aca="false">IF(INDEX(BookTitle,596)="","",INDEX(BookTotal,596)*'5. Scenarios'!$D$6/(1+ProductivityDefault*('5. Scenarios'!$D$11-1)))</f>
        <v/>
      </c>
      <c r="O601" s="57" t="str">
        <f aca="false">IF($N601="","",INDEX(BookRate,596)*(1+'5. Scenarios'!$D$10)*$N601)</f>
        <v/>
      </c>
      <c r="P601" s="57" t="str">
        <f aca="false">IF($O601="","",SUMIFS($O$6:$O$2405,$A$6:$A$2405,"&lt;="&amp;$A601))</f>
        <v/>
      </c>
      <c r="Q601" s="57" t="str">
        <f aca="false">IF($O601="","",IF($P601&lt;=BankCostEnvelope*'5. Scenarios'!$D$7,1,0))</f>
        <v/>
      </c>
      <c r="R601" s="57" t="str">
        <f aca="false">IF($N601="","",INDEX(BookRate,596)*(1+'5. Scenarios'!$D$10)*(INDEX(BookQ1,596)*(5-MIN(4,1+'5. Scenarios'!$D$8))/4+INDEX(BookQ2,596)*(5-MIN(4,2+'5. Scenarios'!$D$8))/4+INDEX(BookQ3,596)*(5-MIN(4,3+'5. Scenarios'!$D$8))/4+INDEX(BookQ4,596)*(5-MIN(4,4+'5. Scenarios'!$D$8))/4)*'5. Scenarios'!$D$6/(1+ProductivityDefault*('5. Scenarios'!$D$11-1))+INDEX(BookOneOff,596)*$N601)</f>
        <v/>
      </c>
      <c r="S601" s="56" t="str">
        <f aca="false">IF(INDEX(BookTitle,596)="","",INDEX(BookTotal,596)*'5. Scenarios'!$E$6/(1+ProductivityDefault*('5. Scenarios'!$E$11-1)))</f>
        <v/>
      </c>
      <c r="T601" s="57" t="str">
        <f aca="false">IF($S601="","",INDEX(BookRate,596)*(1+'5. Scenarios'!$E$10)*$S601)</f>
        <v/>
      </c>
      <c r="U601" s="57" t="str">
        <f aca="false">IF($T601="","",SUMIFS($T$6:$T$2405,$A$6:$A$2405,"&lt;="&amp;$A601))</f>
        <v/>
      </c>
      <c r="V601" s="57" t="str">
        <f aca="false">IF($T601="","",IF($U601&lt;=BankCostEnvelope*'5. Scenarios'!$E$7,1,0))</f>
        <v/>
      </c>
      <c r="W601" s="57" t="str">
        <f aca="false">IF($S601="","",INDEX(BookRate,596)*(1+'5. Scenarios'!$E$10)*(INDEX(BookQ1,596)*(5-MIN(4,1+'5. Scenarios'!$E$8))/4+INDEX(BookQ2,596)*(5-MIN(4,2+'5. Scenarios'!$E$8))/4+INDEX(BookQ3,596)*(5-MIN(4,3+'5. Scenarios'!$E$8))/4+INDEX(BookQ4,596)*(5-MIN(4,4+'5. Scenarios'!$E$8))/4)*'5. Scenarios'!$E$6/(1+ProductivityDefault*('5. Scenarios'!$E$11-1))+INDEX(BookOneOff,596)*$S601)</f>
        <v/>
      </c>
    </row>
    <row r="602" customFormat="false" ht="15" hidden="false" customHeight="false" outlineLevel="0" collapsed="false">
      <c r="A602" s="0" t="str">
        <f aca="false">IF(INDEX(BookTitle,597)="","",INDEX(BookKey,597))</f>
        <v/>
      </c>
      <c r="B602" s="0" t="str">
        <f aca="false">IF(INDEX(BookTitle,597)="","",INDEX(BookGroup,597))</f>
        <v/>
      </c>
      <c r="C602" s="0" t="str">
        <f aca="false">IF(INDEX(BookTitle,597)="","",INDEX(BookCategory,597))</f>
        <v/>
      </c>
      <c r="D602" s="56" t="str">
        <f aca="false">IF(INDEX(BookTitle,597)="","",INDEX(BookTotal,597)*'5. Scenarios'!$B$6/(1+ProductivityDefault*('5. Scenarios'!$B$11-1)))</f>
        <v/>
      </c>
      <c r="E602" s="57" t="str">
        <f aca="false">IF($D602="","",INDEX(BookRate,597)*(1+'5. Scenarios'!$B$10)*$D602)</f>
        <v/>
      </c>
      <c r="F602" s="57" t="str">
        <f aca="false">IF($E602="","",SUMIFS($E$6:$E$2405,$A$6:$A$2405,"&lt;="&amp;$A602))</f>
        <v/>
      </c>
      <c r="G602" s="57" t="str">
        <f aca="false">IF($E602="","",IF($F602&lt;=BankCostEnvelope*'5. Scenarios'!$B$7,1,0))</f>
        <v/>
      </c>
      <c r="H602" s="57" t="str">
        <f aca="false">IF($D602="","",INDEX(BookRate,597)*(1+'5. Scenarios'!$B$10)*(INDEX(BookQ1,597)*(5-MIN(4,1+'5. Scenarios'!$B$8))/4+INDEX(BookQ2,597)*(5-MIN(4,2+'5. Scenarios'!$B$8))/4+INDEX(BookQ3,597)*(5-MIN(4,3+'5. Scenarios'!$B$8))/4+INDEX(BookQ4,597)*(5-MIN(4,4+'5. Scenarios'!$B$8))/4)*'5. Scenarios'!$B$6/(1+ProductivityDefault*('5. Scenarios'!$B$11-1))+INDEX(BookOneOff,597)*$D602)</f>
        <v/>
      </c>
      <c r="I602" s="56" t="str">
        <f aca="false">IF(INDEX(BookTitle,597)="","",INDEX(BookTotal,597)*'5. Scenarios'!$C$6/(1+ProductivityDefault*('5. Scenarios'!$C$11-1)))</f>
        <v/>
      </c>
      <c r="J602" s="57" t="str">
        <f aca="false">IF($I602="","",INDEX(BookRate,597)*(1+'5. Scenarios'!$C$10)*$I602)</f>
        <v/>
      </c>
      <c r="K602" s="57" t="str">
        <f aca="false">IF($J602="","",SUMIFS($J$6:$J$2405,$A$6:$A$2405,"&lt;="&amp;$A602))</f>
        <v/>
      </c>
      <c r="L602" s="57" t="str">
        <f aca="false">IF($J602="","",IF($K602&lt;=BankCostEnvelope*'5. Scenarios'!$C$7,1,0))</f>
        <v/>
      </c>
      <c r="M602" s="57" t="str">
        <f aca="false">IF($I602="","",INDEX(BookRate,597)*(1+'5. Scenarios'!$C$10)*(INDEX(BookQ1,597)*(5-MIN(4,1+'5. Scenarios'!$C$8))/4+INDEX(BookQ2,597)*(5-MIN(4,2+'5. Scenarios'!$C$8))/4+INDEX(BookQ3,597)*(5-MIN(4,3+'5. Scenarios'!$C$8))/4+INDEX(BookQ4,597)*(5-MIN(4,4+'5. Scenarios'!$C$8))/4)*'5. Scenarios'!$C$6/(1+ProductivityDefault*('5. Scenarios'!$C$11-1))+INDEX(BookOneOff,597)*$I602)</f>
        <v/>
      </c>
      <c r="N602" s="56" t="str">
        <f aca="false">IF(INDEX(BookTitle,597)="","",INDEX(BookTotal,597)*'5. Scenarios'!$D$6/(1+ProductivityDefault*('5. Scenarios'!$D$11-1)))</f>
        <v/>
      </c>
      <c r="O602" s="57" t="str">
        <f aca="false">IF($N602="","",INDEX(BookRate,597)*(1+'5. Scenarios'!$D$10)*$N602)</f>
        <v/>
      </c>
      <c r="P602" s="57" t="str">
        <f aca="false">IF($O602="","",SUMIFS($O$6:$O$2405,$A$6:$A$2405,"&lt;="&amp;$A602))</f>
        <v/>
      </c>
      <c r="Q602" s="57" t="str">
        <f aca="false">IF($O602="","",IF($P602&lt;=BankCostEnvelope*'5. Scenarios'!$D$7,1,0))</f>
        <v/>
      </c>
      <c r="R602" s="57" t="str">
        <f aca="false">IF($N602="","",INDEX(BookRate,597)*(1+'5. Scenarios'!$D$10)*(INDEX(BookQ1,597)*(5-MIN(4,1+'5. Scenarios'!$D$8))/4+INDEX(BookQ2,597)*(5-MIN(4,2+'5. Scenarios'!$D$8))/4+INDEX(BookQ3,597)*(5-MIN(4,3+'5. Scenarios'!$D$8))/4+INDEX(BookQ4,597)*(5-MIN(4,4+'5. Scenarios'!$D$8))/4)*'5. Scenarios'!$D$6/(1+ProductivityDefault*('5. Scenarios'!$D$11-1))+INDEX(BookOneOff,597)*$N602)</f>
        <v/>
      </c>
      <c r="S602" s="56" t="str">
        <f aca="false">IF(INDEX(BookTitle,597)="","",INDEX(BookTotal,597)*'5. Scenarios'!$E$6/(1+ProductivityDefault*('5. Scenarios'!$E$11-1)))</f>
        <v/>
      </c>
      <c r="T602" s="57" t="str">
        <f aca="false">IF($S602="","",INDEX(BookRate,597)*(1+'5. Scenarios'!$E$10)*$S602)</f>
        <v/>
      </c>
      <c r="U602" s="57" t="str">
        <f aca="false">IF($T602="","",SUMIFS($T$6:$T$2405,$A$6:$A$2405,"&lt;="&amp;$A602))</f>
        <v/>
      </c>
      <c r="V602" s="57" t="str">
        <f aca="false">IF($T602="","",IF($U602&lt;=BankCostEnvelope*'5. Scenarios'!$E$7,1,0))</f>
        <v/>
      </c>
      <c r="W602" s="57" t="str">
        <f aca="false">IF($S602="","",INDEX(BookRate,597)*(1+'5. Scenarios'!$E$10)*(INDEX(BookQ1,597)*(5-MIN(4,1+'5. Scenarios'!$E$8))/4+INDEX(BookQ2,597)*(5-MIN(4,2+'5. Scenarios'!$E$8))/4+INDEX(BookQ3,597)*(5-MIN(4,3+'5. Scenarios'!$E$8))/4+INDEX(BookQ4,597)*(5-MIN(4,4+'5. Scenarios'!$E$8))/4)*'5. Scenarios'!$E$6/(1+ProductivityDefault*('5. Scenarios'!$E$11-1))+INDEX(BookOneOff,597)*$S602)</f>
        <v/>
      </c>
    </row>
    <row r="603" customFormat="false" ht="15" hidden="false" customHeight="false" outlineLevel="0" collapsed="false">
      <c r="A603" s="0" t="str">
        <f aca="false">IF(INDEX(BookTitle,598)="","",INDEX(BookKey,598))</f>
        <v/>
      </c>
      <c r="B603" s="0" t="str">
        <f aca="false">IF(INDEX(BookTitle,598)="","",INDEX(BookGroup,598))</f>
        <v/>
      </c>
      <c r="C603" s="0" t="str">
        <f aca="false">IF(INDEX(BookTitle,598)="","",INDEX(BookCategory,598))</f>
        <v/>
      </c>
      <c r="D603" s="56" t="str">
        <f aca="false">IF(INDEX(BookTitle,598)="","",INDEX(BookTotal,598)*'5. Scenarios'!$B$6/(1+ProductivityDefault*('5. Scenarios'!$B$11-1)))</f>
        <v/>
      </c>
      <c r="E603" s="57" t="str">
        <f aca="false">IF($D603="","",INDEX(BookRate,598)*(1+'5. Scenarios'!$B$10)*$D603)</f>
        <v/>
      </c>
      <c r="F603" s="57" t="str">
        <f aca="false">IF($E603="","",SUMIFS($E$6:$E$2405,$A$6:$A$2405,"&lt;="&amp;$A603))</f>
        <v/>
      </c>
      <c r="G603" s="57" t="str">
        <f aca="false">IF($E603="","",IF($F603&lt;=BankCostEnvelope*'5. Scenarios'!$B$7,1,0))</f>
        <v/>
      </c>
      <c r="H603" s="57" t="str">
        <f aca="false">IF($D603="","",INDEX(BookRate,598)*(1+'5. Scenarios'!$B$10)*(INDEX(BookQ1,598)*(5-MIN(4,1+'5. Scenarios'!$B$8))/4+INDEX(BookQ2,598)*(5-MIN(4,2+'5. Scenarios'!$B$8))/4+INDEX(BookQ3,598)*(5-MIN(4,3+'5. Scenarios'!$B$8))/4+INDEX(BookQ4,598)*(5-MIN(4,4+'5. Scenarios'!$B$8))/4)*'5. Scenarios'!$B$6/(1+ProductivityDefault*('5. Scenarios'!$B$11-1))+INDEX(BookOneOff,598)*$D603)</f>
        <v/>
      </c>
      <c r="I603" s="56" t="str">
        <f aca="false">IF(INDEX(BookTitle,598)="","",INDEX(BookTotal,598)*'5. Scenarios'!$C$6/(1+ProductivityDefault*('5. Scenarios'!$C$11-1)))</f>
        <v/>
      </c>
      <c r="J603" s="57" t="str">
        <f aca="false">IF($I603="","",INDEX(BookRate,598)*(1+'5. Scenarios'!$C$10)*$I603)</f>
        <v/>
      </c>
      <c r="K603" s="57" t="str">
        <f aca="false">IF($J603="","",SUMIFS($J$6:$J$2405,$A$6:$A$2405,"&lt;="&amp;$A603))</f>
        <v/>
      </c>
      <c r="L603" s="57" t="str">
        <f aca="false">IF($J603="","",IF($K603&lt;=BankCostEnvelope*'5. Scenarios'!$C$7,1,0))</f>
        <v/>
      </c>
      <c r="M603" s="57" t="str">
        <f aca="false">IF($I603="","",INDEX(BookRate,598)*(1+'5. Scenarios'!$C$10)*(INDEX(BookQ1,598)*(5-MIN(4,1+'5. Scenarios'!$C$8))/4+INDEX(BookQ2,598)*(5-MIN(4,2+'5. Scenarios'!$C$8))/4+INDEX(BookQ3,598)*(5-MIN(4,3+'5. Scenarios'!$C$8))/4+INDEX(BookQ4,598)*(5-MIN(4,4+'5. Scenarios'!$C$8))/4)*'5. Scenarios'!$C$6/(1+ProductivityDefault*('5. Scenarios'!$C$11-1))+INDEX(BookOneOff,598)*$I603)</f>
        <v/>
      </c>
      <c r="N603" s="56" t="str">
        <f aca="false">IF(INDEX(BookTitle,598)="","",INDEX(BookTotal,598)*'5. Scenarios'!$D$6/(1+ProductivityDefault*('5. Scenarios'!$D$11-1)))</f>
        <v/>
      </c>
      <c r="O603" s="57" t="str">
        <f aca="false">IF($N603="","",INDEX(BookRate,598)*(1+'5. Scenarios'!$D$10)*$N603)</f>
        <v/>
      </c>
      <c r="P603" s="57" t="str">
        <f aca="false">IF($O603="","",SUMIFS($O$6:$O$2405,$A$6:$A$2405,"&lt;="&amp;$A603))</f>
        <v/>
      </c>
      <c r="Q603" s="57" t="str">
        <f aca="false">IF($O603="","",IF($P603&lt;=BankCostEnvelope*'5. Scenarios'!$D$7,1,0))</f>
        <v/>
      </c>
      <c r="R603" s="57" t="str">
        <f aca="false">IF($N603="","",INDEX(BookRate,598)*(1+'5. Scenarios'!$D$10)*(INDEX(BookQ1,598)*(5-MIN(4,1+'5. Scenarios'!$D$8))/4+INDEX(BookQ2,598)*(5-MIN(4,2+'5. Scenarios'!$D$8))/4+INDEX(BookQ3,598)*(5-MIN(4,3+'5. Scenarios'!$D$8))/4+INDEX(BookQ4,598)*(5-MIN(4,4+'5. Scenarios'!$D$8))/4)*'5. Scenarios'!$D$6/(1+ProductivityDefault*('5. Scenarios'!$D$11-1))+INDEX(BookOneOff,598)*$N603)</f>
        <v/>
      </c>
      <c r="S603" s="56" t="str">
        <f aca="false">IF(INDEX(BookTitle,598)="","",INDEX(BookTotal,598)*'5. Scenarios'!$E$6/(1+ProductivityDefault*('5. Scenarios'!$E$11-1)))</f>
        <v/>
      </c>
      <c r="T603" s="57" t="str">
        <f aca="false">IF($S603="","",INDEX(BookRate,598)*(1+'5. Scenarios'!$E$10)*$S603)</f>
        <v/>
      </c>
      <c r="U603" s="57" t="str">
        <f aca="false">IF($T603="","",SUMIFS($T$6:$T$2405,$A$6:$A$2405,"&lt;="&amp;$A603))</f>
        <v/>
      </c>
      <c r="V603" s="57" t="str">
        <f aca="false">IF($T603="","",IF($U603&lt;=BankCostEnvelope*'5. Scenarios'!$E$7,1,0))</f>
        <v/>
      </c>
      <c r="W603" s="57" t="str">
        <f aca="false">IF($S603="","",INDEX(BookRate,598)*(1+'5. Scenarios'!$E$10)*(INDEX(BookQ1,598)*(5-MIN(4,1+'5. Scenarios'!$E$8))/4+INDEX(BookQ2,598)*(5-MIN(4,2+'5. Scenarios'!$E$8))/4+INDEX(BookQ3,598)*(5-MIN(4,3+'5. Scenarios'!$E$8))/4+INDEX(BookQ4,598)*(5-MIN(4,4+'5. Scenarios'!$E$8))/4)*'5. Scenarios'!$E$6/(1+ProductivityDefault*('5. Scenarios'!$E$11-1))+INDEX(BookOneOff,598)*$S603)</f>
        <v/>
      </c>
    </row>
    <row r="604" customFormat="false" ht="15" hidden="false" customHeight="false" outlineLevel="0" collapsed="false">
      <c r="A604" s="0" t="str">
        <f aca="false">IF(INDEX(BookTitle,599)="","",INDEX(BookKey,599))</f>
        <v/>
      </c>
      <c r="B604" s="0" t="str">
        <f aca="false">IF(INDEX(BookTitle,599)="","",INDEX(BookGroup,599))</f>
        <v/>
      </c>
      <c r="C604" s="0" t="str">
        <f aca="false">IF(INDEX(BookTitle,599)="","",INDEX(BookCategory,599))</f>
        <v/>
      </c>
      <c r="D604" s="56" t="str">
        <f aca="false">IF(INDEX(BookTitle,599)="","",INDEX(BookTotal,599)*'5. Scenarios'!$B$6/(1+ProductivityDefault*('5. Scenarios'!$B$11-1)))</f>
        <v/>
      </c>
      <c r="E604" s="57" t="str">
        <f aca="false">IF($D604="","",INDEX(BookRate,599)*(1+'5. Scenarios'!$B$10)*$D604)</f>
        <v/>
      </c>
      <c r="F604" s="57" t="str">
        <f aca="false">IF($E604="","",SUMIFS($E$6:$E$2405,$A$6:$A$2405,"&lt;="&amp;$A604))</f>
        <v/>
      </c>
      <c r="G604" s="57" t="str">
        <f aca="false">IF($E604="","",IF($F604&lt;=BankCostEnvelope*'5. Scenarios'!$B$7,1,0))</f>
        <v/>
      </c>
      <c r="H604" s="57" t="str">
        <f aca="false">IF($D604="","",INDEX(BookRate,599)*(1+'5. Scenarios'!$B$10)*(INDEX(BookQ1,599)*(5-MIN(4,1+'5. Scenarios'!$B$8))/4+INDEX(BookQ2,599)*(5-MIN(4,2+'5. Scenarios'!$B$8))/4+INDEX(BookQ3,599)*(5-MIN(4,3+'5. Scenarios'!$B$8))/4+INDEX(BookQ4,599)*(5-MIN(4,4+'5. Scenarios'!$B$8))/4)*'5. Scenarios'!$B$6/(1+ProductivityDefault*('5. Scenarios'!$B$11-1))+INDEX(BookOneOff,599)*$D604)</f>
        <v/>
      </c>
      <c r="I604" s="56" t="str">
        <f aca="false">IF(INDEX(BookTitle,599)="","",INDEX(BookTotal,599)*'5. Scenarios'!$C$6/(1+ProductivityDefault*('5. Scenarios'!$C$11-1)))</f>
        <v/>
      </c>
      <c r="J604" s="57" t="str">
        <f aca="false">IF($I604="","",INDEX(BookRate,599)*(1+'5. Scenarios'!$C$10)*$I604)</f>
        <v/>
      </c>
      <c r="K604" s="57" t="str">
        <f aca="false">IF($J604="","",SUMIFS($J$6:$J$2405,$A$6:$A$2405,"&lt;="&amp;$A604))</f>
        <v/>
      </c>
      <c r="L604" s="57" t="str">
        <f aca="false">IF($J604="","",IF($K604&lt;=BankCostEnvelope*'5. Scenarios'!$C$7,1,0))</f>
        <v/>
      </c>
      <c r="M604" s="57" t="str">
        <f aca="false">IF($I604="","",INDEX(BookRate,599)*(1+'5. Scenarios'!$C$10)*(INDEX(BookQ1,599)*(5-MIN(4,1+'5. Scenarios'!$C$8))/4+INDEX(BookQ2,599)*(5-MIN(4,2+'5. Scenarios'!$C$8))/4+INDEX(BookQ3,599)*(5-MIN(4,3+'5. Scenarios'!$C$8))/4+INDEX(BookQ4,599)*(5-MIN(4,4+'5. Scenarios'!$C$8))/4)*'5. Scenarios'!$C$6/(1+ProductivityDefault*('5. Scenarios'!$C$11-1))+INDEX(BookOneOff,599)*$I604)</f>
        <v/>
      </c>
      <c r="N604" s="56" t="str">
        <f aca="false">IF(INDEX(BookTitle,599)="","",INDEX(BookTotal,599)*'5. Scenarios'!$D$6/(1+ProductivityDefault*('5. Scenarios'!$D$11-1)))</f>
        <v/>
      </c>
      <c r="O604" s="57" t="str">
        <f aca="false">IF($N604="","",INDEX(BookRate,599)*(1+'5. Scenarios'!$D$10)*$N604)</f>
        <v/>
      </c>
      <c r="P604" s="57" t="str">
        <f aca="false">IF($O604="","",SUMIFS($O$6:$O$2405,$A$6:$A$2405,"&lt;="&amp;$A604))</f>
        <v/>
      </c>
      <c r="Q604" s="57" t="str">
        <f aca="false">IF($O604="","",IF($P604&lt;=BankCostEnvelope*'5. Scenarios'!$D$7,1,0))</f>
        <v/>
      </c>
      <c r="R604" s="57" t="str">
        <f aca="false">IF($N604="","",INDEX(BookRate,599)*(1+'5. Scenarios'!$D$10)*(INDEX(BookQ1,599)*(5-MIN(4,1+'5. Scenarios'!$D$8))/4+INDEX(BookQ2,599)*(5-MIN(4,2+'5. Scenarios'!$D$8))/4+INDEX(BookQ3,599)*(5-MIN(4,3+'5. Scenarios'!$D$8))/4+INDEX(BookQ4,599)*(5-MIN(4,4+'5. Scenarios'!$D$8))/4)*'5. Scenarios'!$D$6/(1+ProductivityDefault*('5. Scenarios'!$D$11-1))+INDEX(BookOneOff,599)*$N604)</f>
        <v/>
      </c>
      <c r="S604" s="56" t="str">
        <f aca="false">IF(INDEX(BookTitle,599)="","",INDEX(BookTotal,599)*'5. Scenarios'!$E$6/(1+ProductivityDefault*('5. Scenarios'!$E$11-1)))</f>
        <v/>
      </c>
      <c r="T604" s="57" t="str">
        <f aca="false">IF($S604="","",INDEX(BookRate,599)*(1+'5. Scenarios'!$E$10)*$S604)</f>
        <v/>
      </c>
      <c r="U604" s="57" t="str">
        <f aca="false">IF($T604="","",SUMIFS($T$6:$T$2405,$A$6:$A$2405,"&lt;="&amp;$A604))</f>
        <v/>
      </c>
      <c r="V604" s="57" t="str">
        <f aca="false">IF($T604="","",IF($U604&lt;=BankCostEnvelope*'5. Scenarios'!$E$7,1,0))</f>
        <v/>
      </c>
      <c r="W604" s="57" t="str">
        <f aca="false">IF($S604="","",INDEX(BookRate,599)*(1+'5. Scenarios'!$E$10)*(INDEX(BookQ1,599)*(5-MIN(4,1+'5. Scenarios'!$E$8))/4+INDEX(BookQ2,599)*(5-MIN(4,2+'5. Scenarios'!$E$8))/4+INDEX(BookQ3,599)*(5-MIN(4,3+'5. Scenarios'!$E$8))/4+INDEX(BookQ4,599)*(5-MIN(4,4+'5. Scenarios'!$E$8))/4)*'5. Scenarios'!$E$6/(1+ProductivityDefault*('5. Scenarios'!$E$11-1))+INDEX(BookOneOff,599)*$S604)</f>
        <v/>
      </c>
    </row>
    <row r="605" customFormat="false" ht="15" hidden="false" customHeight="false" outlineLevel="0" collapsed="false">
      <c r="A605" s="0" t="str">
        <f aca="false">IF(INDEX(BookTitle,600)="","",INDEX(BookKey,600))</f>
        <v/>
      </c>
      <c r="B605" s="0" t="str">
        <f aca="false">IF(INDEX(BookTitle,600)="","",INDEX(BookGroup,600))</f>
        <v/>
      </c>
      <c r="C605" s="0" t="str">
        <f aca="false">IF(INDEX(BookTitle,600)="","",INDEX(BookCategory,600))</f>
        <v/>
      </c>
      <c r="D605" s="56" t="str">
        <f aca="false">IF(INDEX(BookTitle,600)="","",INDEX(BookTotal,600)*'5. Scenarios'!$B$6/(1+ProductivityDefault*('5. Scenarios'!$B$11-1)))</f>
        <v/>
      </c>
      <c r="E605" s="57" t="str">
        <f aca="false">IF($D605="","",INDEX(BookRate,600)*(1+'5. Scenarios'!$B$10)*$D605)</f>
        <v/>
      </c>
      <c r="F605" s="57" t="str">
        <f aca="false">IF($E605="","",SUMIFS($E$6:$E$2405,$A$6:$A$2405,"&lt;="&amp;$A605))</f>
        <v/>
      </c>
      <c r="G605" s="57" t="str">
        <f aca="false">IF($E605="","",IF($F605&lt;=BankCostEnvelope*'5. Scenarios'!$B$7,1,0))</f>
        <v/>
      </c>
      <c r="H605" s="57" t="str">
        <f aca="false">IF($D605="","",INDEX(BookRate,600)*(1+'5. Scenarios'!$B$10)*(INDEX(BookQ1,600)*(5-MIN(4,1+'5. Scenarios'!$B$8))/4+INDEX(BookQ2,600)*(5-MIN(4,2+'5. Scenarios'!$B$8))/4+INDEX(BookQ3,600)*(5-MIN(4,3+'5. Scenarios'!$B$8))/4+INDEX(BookQ4,600)*(5-MIN(4,4+'5. Scenarios'!$B$8))/4)*'5. Scenarios'!$B$6/(1+ProductivityDefault*('5. Scenarios'!$B$11-1))+INDEX(BookOneOff,600)*$D605)</f>
        <v/>
      </c>
      <c r="I605" s="56" t="str">
        <f aca="false">IF(INDEX(BookTitle,600)="","",INDEX(BookTotal,600)*'5. Scenarios'!$C$6/(1+ProductivityDefault*('5. Scenarios'!$C$11-1)))</f>
        <v/>
      </c>
      <c r="J605" s="57" t="str">
        <f aca="false">IF($I605="","",INDEX(BookRate,600)*(1+'5. Scenarios'!$C$10)*$I605)</f>
        <v/>
      </c>
      <c r="K605" s="57" t="str">
        <f aca="false">IF($J605="","",SUMIFS($J$6:$J$2405,$A$6:$A$2405,"&lt;="&amp;$A605))</f>
        <v/>
      </c>
      <c r="L605" s="57" t="str">
        <f aca="false">IF($J605="","",IF($K605&lt;=BankCostEnvelope*'5. Scenarios'!$C$7,1,0))</f>
        <v/>
      </c>
      <c r="M605" s="57" t="str">
        <f aca="false">IF($I605="","",INDEX(BookRate,600)*(1+'5. Scenarios'!$C$10)*(INDEX(BookQ1,600)*(5-MIN(4,1+'5. Scenarios'!$C$8))/4+INDEX(BookQ2,600)*(5-MIN(4,2+'5. Scenarios'!$C$8))/4+INDEX(BookQ3,600)*(5-MIN(4,3+'5. Scenarios'!$C$8))/4+INDEX(BookQ4,600)*(5-MIN(4,4+'5. Scenarios'!$C$8))/4)*'5. Scenarios'!$C$6/(1+ProductivityDefault*('5. Scenarios'!$C$11-1))+INDEX(BookOneOff,600)*$I605)</f>
        <v/>
      </c>
      <c r="N605" s="56" t="str">
        <f aca="false">IF(INDEX(BookTitle,600)="","",INDEX(BookTotal,600)*'5. Scenarios'!$D$6/(1+ProductivityDefault*('5. Scenarios'!$D$11-1)))</f>
        <v/>
      </c>
      <c r="O605" s="57" t="str">
        <f aca="false">IF($N605="","",INDEX(BookRate,600)*(1+'5. Scenarios'!$D$10)*$N605)</f>
        <v/>
      </c>
      <c r="P605" s="57" t="str">
        <f aca="false">IF($O605="","",SUMIFS($O$6:$O$2405,$A$6:$A$2405,"&lt;="&amp;$A605))</f>
        <v/>
      </c>
      <c r="Q605" s="57" t="str">
        <f aca="false">IF($O605="","",IF($P605&lt;=BankCostEnvelope*'5. Scenarios'!$D$7,1,0))</f>
        <v/>
      </c>
      <c r="R605" s="57" t="str">
        <f aca="false">IF($N605="","",INDEX(BookRate,600)*(1+'5. Scenarios'!$D$10)*(INDEX(BookQ1,600)*(5-MIN(4,1+'5. Scenarios'!$D$8))/4+INDEX(BookQ2,600)*(5-MIN(4,2+'5. Scenarios'!$D$8))/4+INDEX(BookQ3,600)*(5-MIN(4,3+'5. Scenarios'!$D$8))/4+INDEX(BookQ4,600)*(5-MIN(4,4+'5. Scenarios'!$D$8))/4)*'5. Scenarios'!$D$6/(1+ProductivityDefault*('5. Scenarios'!$D$11-1))+INDEX(BookOneOff,600)*$N605)</f>
        <v/>
      </c>
      <c r="S605" s="56" t="str">
        <f aca="false">IF(INDEX(BookTitle,600)="","",INDEX(BookTotal,600)*'5. Scenarios'!$E$6/(1+ProductivityDefault*('5. Scenarios'!$E$11-1)))</f>
        <v/>
      </c>
      <c r="T605" s="57" t="str">
        <f aca="false">IF($S605="","",INDEX(BookRate,600)*(1+'5. Scenarios'!$E$10)*$S605)</f>
        <v/>
      </c>
      <c r="U605" s="57" t="str">
        <f aca="false">IF($T605="","",SUMIFS($T$6:$T$2405,$A$6:$A$2405,"&lt;="&amp;$A605))</f>
        <v/>
      </c>
      <c r="V605" s="57" t="str">
        <f aca="false">IF($T605="","",IF($U605&lt;=BankCostEnvelope*'5. Scenarios'!$E$7,1,0))</f>
        <v/>
      </c>
      <c r="W605" s="57" t="str">
        <f aca="false">IF($S605="","",INDEX(BookRate,600)*(1+'5. Scenarios'!$E$10)*(INDEX(BookQ1,600)*(5-MIN(4,1+'5. Scenarios'!$E$8))/4+INDEX(BookQ2,600)*(5-MIN(4,2+'5. Scenarios'!$E$8))/4+INDEX(BookQ3,600)*(5-MIN(4,3+'5. Scenarios'!$E$8))/4+INDEX(BookQ4,600)*(5-MIN(4,4+'5. Scenarios'!$E$8))/4)*'5. Scenarios'!$E$6/(1+ProductivityDefault*('5. Scenarios'!$E$11-1))+INDEX(BookOneOff,600)*$S605)</f>
        <v/>
      </c>
    </row>
    <row r="606" customFormat="false" ht="15" hidden="false" customHeight="false" outlineLevel="0" collapsed="false">
      <c r="A606" s="0" t="str">
        <f aca="false">IF(INDEX(BookTitle,601)="","",INDEX(BookKey,601))</f>
        <v/>
      </c>
      <c r="B606" s="0" t="str">
        <f aca="false">IF(INDEX(BookTitle,601)="","",INDEX(BookGroup,601))</f>
        <v/>
      </c>
      <c r="C606" s="0" t="str">
        <f aca="false">IF(INDEX(BookTitle,601)="","",INDEX(BookCategory,601))</f>
        <v/>
      </c>
      <c r="D606" s="56" t="str">
        <f aca="false">IF(INDEX(BookTitle,601)="","",INDEX(BookTotal,601)*'5. Scenarios'!$B$6/(1+ProductivityDefault*('5. Scenarios'!$B$11-1)))</f>
        <v/>
      </c>
      <c r="E606" s="57" t="str">
        <f aca="false">IF($D606="","",INDEX(BookRate,601)*(1+'5. Scenarios'!$B$10)*$D606)</f>
        <v/>
      </c>
      <c r="F606" s="57" t="str">
        <f aca="false">IF($E606="","",SUMIFS($E$6:$E$2405,$A$6:$A$2405,"&lt;="&amp;$A606))</f>
        <v/>
      </c>
      <c r="G606" s="57" t="str">
        <f aca="false">IF($E606="","",IF($F606&lt;=BankCostEnvelope*'5. Scenarios'!$B$7,1,0))</f>
        <v/>
      </c>
      <c r="H606" s="57" t="str">
        <f aca="false">IF($D606="","",INDEX(BookRate,601)*(1+'5. Scenarios'!$B$10)*(INDEX(BookQ1,601)*(5-MIN(4,1+'5. Scenarios'!$B$8))/4+INDEX(BookQ2,601)*(5-MIN(4,2+'5. Scenarios'!$B$8))/4+INDEX(BookQ3,601)*(5-MIN(4,3+'5. Scenarios'!$B$8))/4+INDEX(BookQ4,601)*(5-MIN(4,4+'5. Scenarios'!$B$8))/4)*'5. Scenarios'!$B$6/(1+ProductivityDefault*('5. Scenarios'!$B$11-1))+INDEX(BookOneOff,601)*$D606)</f>
        <v/>
      </c>
      <c r="I606" s="56" t="str">
        <f aca="false">IF(INDEX(BookTitle,601)="","",INDEX(BookTotal,601)*'5. Scenarios'!$C$6/(1+ProductivityDefault*('5. Scenarios'!$C$11-1)))</f>
        <v/>
      </c>
      <c r="J606" s="57" t="str">
        <f aca="false">IF($I606="","",INDEX(BookRate,601)*(1+'5. Scenarios'!$C$10)*$I606)</f>
        <v/>
      </c>
      <c r="K606" s="57" t="str">
        <f aca="false">IF($J606="","",SUMIFS($J$6:$J$2405,$A$6:$A$2405,"&lt;="&amp;$A606))</f>
        <v/>
      </c>
      <c r="L606" s="57" t="str">
        <f aca="false">IF($J606="","",IF($K606&lt;=BankCostEnvelope*'5. Scenarios'!$C$7,1,0))</f>
        <v/>
      </c>
      <c r="M606" s="57" t="str">
        <f aca="false">IF($I606="","",INDEX(BookRate,601)*(1+'5. Scenarios'!$C$10)*(INDEX(BookQ1,601)*(5-MIN(4,1+'5. Scenarios'!$C$8))/4+INDEX(BookQ2,601)*(5-MIN(4,2+'5. Scenarios'!$C$8))/4+INDEX(BookQ3,601)*(5-MIN(4,3+'5. Scenarios'!$C$8))/4+INDEX(BookQ4,601)*(5-MIN(4,4+'5. Scenarios'!$C$8))/4)*'5. Scenarios'!$C$6/(1+ProductivityDefault*('5. Scenarios'!$C$11-1))+INDEX(BookOneOff,601)*$I606)</f>
        <v/>
      </c>
      <c r="N606" s="56" t="str">
        <f aca="false">IF(INDEX(BookTitle,601)="","",INDEX(BookTotal,601)*'5. Scenarios'!$D$6/(1+ProductivityDefault*('5. Scenarios'!$D$11-1)))</f>
        <v/>
      </c>
      <c r="O606" s="57" t="str">
        <f aca="false">IF($N606="","",INDEX(BookRate,601)*(1+'5. Scenarios'!$D$10)*$N606)</f>
        <v/>
      </c>
      <c r="P606" s="57" t="str">
        <f aca="false">IF($O606="","",SUMIFS($O$6:$O$2405,$A$6:$A$2405,"&lt;="&amp;$A606))</f>
        <v/>
      </c>
      <c r="Q606" s="57" t="str">
        <f aca="false">IF($O606="","",IF($P606&lt;=BankCostEnvelope*'5. Scenarios'!$D$7,1,0))</f>
        <v/>
      </c>
      <c r="R606" s="57" t="str">
        <f aca="false">IF($N606="","",INDEX(BookRate,601)*(1+'5. Scenarios'!$D$10)*(INDEX(BookQ1,601)*(5-MIN(4,1+'5. Scenarios'!$D$8))/4+INDEX(BookQ2,601)*(5-MIN(4,2+'5. Scenarios'!$D$8))/4+INDEX(BookQ3,601)*(5-MIN(4,3+'5. Scenarios'!$D$8))/4+INDEX(BookQ4,601)*(5-MIN(4,4+'5. Scenarios'!$D$8))/4)*'5. Scenarios'!$D$6/(1+ProductivityDefault*('5. Scenarios'!$D$11-1))+INDEX(BookOneOff,601)*$N606)</f>
        <v/>
      </c>
      <c r="S606" s="56" t="str">
        <f aca="false">IF(INDEX(BookTitle,601)="","",INDEX(BookTotal,601)*'5. Scenarios'!$E$6/(1+ProductivityDefault*('5. Scenarios'!$E$11-1)))</f>
        <v/>
      </c>
      <c r="T606" s="57" t="str">
        <f aca="false">IF($S606="","",INDEX(BookRate,601)*(1+'5. Scenarios'!$E$10)*$S606)</f>
        <v/>
      </c>
      <c r="U606" s="57" t="str">
        <f aca="false">IF($T606="","",SUMIFS($T$6:$T$2405,$A$6:$A$2405,"&lt;="&amp;$A606))</f>
        <v/>
      </c>
      <c r="V606" s="57" t="str">
        <f aca="false">IF($T606="","",IF($U606&lt;=BankCostEnvelope*'5. Scenarios'!$E$7,1,0))</f>
        <v/>
      </c>
      <c r="W606" s="57" t="str">
        <f aca="false">IF($S606="","",INDEX(BookRate,601)*(1+'5. Scenarios'!$E$10)*(INDEX(BookQ1,601)*(5-MIN(4,1+'5. Scenarios'!$E$8))/4+INDEX(BookQ2,601)*(5-MIN(4,2+'5. Scenarios'!$E$8))/4+INDEX(BookQ3,601)*(5-MIN(4,3+'5. Scenarios'!$E$8))/4+INDEX(BookQ4,601)*(5-MIN(4,4+'5. Scenarios'!$E$8))/4)*'5. Scenarios'!$E$6/(1+ProductivityDefault*('5. Scenarios'!$E$11-1))+INDEX(BookOneOff,601)*$S606)</f>
        <v/>
      </c>
    </row>
    <row r="607" customFormat="false" ht="15" hidden="false" customHeight="false" outlineLevel="0" collapsed="false">
      <c r="A607" s="0" t="str">
        <f aca="false">IF(INDEX(BookTitle,602)="","",INDEX(BookKey,602))</f>
        <v/>
      </c>
      <c r="B607" s="0" t="str">
        <f aca="false">IF(INDEX(BookTitle,602)="","",INDEX(BookGroup,602))</f>
        <v/>
      </c>
      <c r="C607" s="0" t="str">
        <f aca="false">IF(INDEX(BookTitle,602)="","",INDEX(BookCategory,602))</f>
        <v/>
      </c>
      <c r="D607" s="56" t="str">
        <f aca="false">IF(INDEX(BookTitle,602)="","",INDEX(BookTotal,602)*'5. Scenarios'!$B$6/(1+ProductivityDefault*('5. Scenarios'!$B$11-1)))</f>
        <v/>
      </c>
      <c r="E607" s="57" t="str">
        <f aca="false">IF($D607="","",INDEX(BookRate,602)*(1+'5. Scenarios'!$B$10)*$D607)</f>
        <v/>
      </c>
      <c r="F607" s="57" t="str">
        <f aca="false">IF($E607="","",SUMIFS($E$6:$E$2405,$A$6:$A$2405,"&lt;="&amp;$A607))</f>
        <v/>
      </c>
      <c r="G607" s="57" t="str">
        <f aca="false">IF($E607="","",IF($F607&lt;=BankCostEnvelope*'5. Scenarios'!$B$7,1,0))</f>
        <v/>
      </c>
      <c r="H607" s="57" t="str">
        <f aca="false">IF($D607="","",INDEX(BookRate,602)*(1+'5. Scenarios'!$B$10)*(INDEX(BookQ1,602)*(5-MIN(4,1+'5. Scenarios'!$B$8))/4+INDEX(BookQ2,602)*(5-MIN(4,2+'5. Scenarios'!$B$8))/4+INDEX(BookQ3,602)*(5-MIN(4,3+'5. Scenarios'!$B$8))/4+INDEX(BookQ4,602)*(5-MIN(4,4+'5. Scenarios'!$B$8))/4)*'5. Scenarios'!$B$6/(1+ProductivityDefault*('5. Scenarios'!$B$11-1))+INDEX(BookOneOff,602)*$D607)</f>
        <v/>
      </c>
      <c r="I607" s="56" t="str">
        <f aca="false">IF(INDEX(BookTitle,602)="","",INDEX(BookTotal,602)*'5. Scenarios'!$C$6/(1+ProductivityDefault*('5. Scenarios'!$C$11-1)))</f>
        <v/>
      </c>
      <c r="J607" s="57" t="str">
        <f aca="false">IF($I607="","",INDEX(BookRate,602)*(1+'5. Scenarios'!$C$10)*$I607)</f>
        <v/>
      </c>
      <c r="K607" s="57" t="str">
        <f aca="false">IF($J607="","",SUMIFS($J$6:$J$2405,$A$6:$A$2405,"&lt;="&amp;$A607))</f>
        <v/>
      </c>
      <c r="L607" s="57" t="str">
        <f aca="false">IF($J607="","",IF($K607&lt;=BankCostEnvelope*'5. Scenarios'!$C$7,1,0))</f>
        <v/>
      </c>
      <c r="M607" s="57" t="str">
        <f aca="false">IF($I607="","",INDEX(BookRate,602)*(1+'5. Scenarios'!$C$10)*(INDEX(BookQ1,602)*(5-MIN(4,1+'5. Scenarios'!$C$8))/4+INDEX(BookQ2,602)*(5-MIN(4,2+'5. Scenarios'!$C$8))/4+INDEX(BookQ3,602)*(5-MIN(4,3+'5. Scenarios'!$C$8))/4+INDEX(BookQ4,602)*(5-MIN(4,4+'5. Scenarios'!$C$8))/4)*'5. Scenarios'!$C$6/(1+ProductivityDefault*('5. Scenarios'!$C$11-1))+INDEX(BookOneOff,602)*$I607)</f>
        <v/>
      </c>
      <c r="N607" s="56" t="str">
        <f aca="false">IF(INDEX(BookTitle,602)="","",INDEX(BookTotal,602)*'5. Scenarios'!$D$6/(1+ProductivityDefault*('5. Scenarios'!$D$11-1)))</f>
        <v/>
      </c>
      <c r="O607" s="57" t="str">
        <f aca="false">IF($N607="","",INDEX(BookRate,602)*(1+'5. Scenarios'!$D$10)*$N607)</f>
        <v/>
      </c>
      <c r="P607" s="57" t="str">
        <f aca="false">IF($O607="","",SUMIFS($O$6:$O$2405,$A$6:$A$2405,"&lt;="&amp;$A607))</f>
        <v/>
      </c>
      <c r="Q607" s="57" t="str">
        <f aca="false">IF($O607="","",IF($P607&lt;=BankCostEnvelope*'5. Scenarios'!$D$7,1,0))</f>
        <v/>
      </c>
      <c r="R607" s="57" t="str">
        <f aca="false">IF($N607="","",INDEX(BookRate,602)*(1+'5. Scenarios'!$D$10)*(INDEX(BookQ1,602)*(5-MIN(4,1+'5. Scenarios'!$D$8))/4+INDEX(BookQ2,602)*(5-MIN(4,2+'5. Scenarios'!$D$8))/4+INDEX(BookQ3,602)*(5-MIN(4,3+'5. Scenarios'!$D$8))/4+INDEX(BookQ4,602)*(5-MIN(4,4+'5. Scenarios'!$D$8))/4)*'5. Scenarios'!$D$6/(1+ProductivityDefault*('5. Scenarios'!$D$11-1))+INDEX(BookOneOff,602)*$N607)</f>
        <v/>
      </c>
      <c r="S607" s="56" t="str">
        <f aca="false">IF(INDEX(BookTitle,602)="","",INDEX(BookTotal,602)*'5. Scenarios'!$E$6/(1+ProductivityDefault*('5. Scenarios'!$E$11-1)))</f>
        <v/>
      </c>
      <c r="T607" s="57" t="str">
        <f aca="false">IF($S607="","",INDEX(BookRate,602)*(1+'5. Scenarios'!$E$10)*$S607)</f>
        <v/>
      </c>
      <c r="U607" s="57" t="str">
        <f aca="false">IF($T607="","",SUMIFS($T$6:$T$2405,$A$6:$A$2405,"&lt;="&amp;$A607))</f>
        <v/>
      </c>
      <c r="V607" s="57" t="str">
        <f aca="false">IF($T607="","",IF($U607&lt;=BankCostEnvelope*'5. Scenarios'!$E$7,1,0))</f>
        <v/>
      </c>
      <c r="W607" s="57" t="str">
        <f aca="false">IF($S607="","",INDEX(BookRate,602)*(1+'5. Scenarios'!$E$10)*(INDEX(BookQ1,602)*(5-MIN(4,1+'5. Scenarios'!$E$8))/4+INDEX(BookQ2,602)*(5-MIN(4,2+'5. Scenarios'!$E$8))/4+INDEX(BookQ3,602)*(5-MIN(4,3+'5. Scenarios'!$E$8))/4+INDEX(BookQ4,602)*(5-MIN(4,4+'5. Scenarios'!$E$8))/4)*'5. Scenarios'!$E$6/(1+ProductivityDefault*('5. Scenarios'!$E$11-1))+INDEX(BookOneOff,602)*$S607)</f>
        <v/>
      </c>
    </row>
    <row r="608" customFormat="false" ht="15" hidden="false" customHeight="false" outlineLevel="0" collapsed="false">
      <c r="A608" s="0" t="str">
        <f aca="false">IF(INDEX(BookTitle,603)="","",INDEX(BookKey,603))</f>
        <v/>
      </c>
      <c r="B608" s="0" t="str">
        <f aca="false">IF(INDEX(BookTitle,603)="","",INDEX(BookGroup,603))</f>
        <v/>
      </c>
      <c r="C608" s="0" t="str">
        <f aca="false">IF(INDEX(BookTitle,603)="","",INDEX(BookCategory,603))</f>
        <v/>
      </c>
      <c r="D608" s="56" t="str">
        <f aca="false">IF(INDEX(BookTitle,603)="","",INDEX(BookTotal,603)*'5. Scenarios'!$B$6/(1+ProductivityDefault*('5. Scenarios'!$B$11-1)))</f>
        <v/>
      </c>
      <c r="E608" s="57" t="str">
        <f aca="false">IF($D608="","",INDEX(BookRate,603)*(1+'5. Scenarios'!$B$10)*$D608)</f>
        <v/>
      </c>
      <c r="F608" s="57" t="str">
        <f aca="false">IF($E608="","",SUMIFS($E$6:$E$2405,$A$6:$A$2405,"&lt;="&amp;$A608))</f>
        <v/>
      </c>
      <c r="G608" s="57" t="str">
        <f aca="false">IF($E608="","",IF($F608&lt;=BankCostEnvelope*'5. Scenarios'!$B$7,1,0))</f>
        <v/>
      </c>
      <c r="H608" s="57" t="str">
        <f aca="false">IF($D608="","",INDEX(BookRate,603)*(1+'5. Scenarios'!$B$10)*(INDEX(BookQ1,603)*(5-MIN(4,1+'5. Scenarios'!$B$8))/4+INDEX(BookQ2,603)*(5-MIN(4,2+'5. Scenarios'!$B$8))/4+INDEX(BookQ3,603)*(5-MIN(4,3+'5. Scenarios'!$B$8))/4+INDEX(BookQ4,603)*(5-MIN(4,4+'5. Scenarios'!$B$8))/4)*'5. Scenarios'!$B$6/(1+ProductivityDefault*('5. Scenarios'!$B$11-1))+INDEX(BookOneOff,603)*$D608)</f>
        <v/>
      </c>
      <c r="I608" s="56" t="str">
        <f aca="false">IF(INDEX(BookTitle,603)="","",INDEX(BookTotal,603)*'5. Scenarios'!$C$6/(1+ProductivityDefault*('5. Scenarios'!$C$11-1)))</f>
        <v/>
      </c>
      <c r="J608" s="57" t="str">
        <f aca="false">IF($I608="","",INDEX(BookRate,603)*(1+'5. Scenarios'!$C$10)*$I608)</f>
        <v/>
      </c>
      <c r="K608" s="57" t="str">
        <f aca="false">IF($J608="","",SUMIFS($J$6:$J$2405,$A$6:$A$2405,"&lt;="&amp;$A608))</f>
        <v/>
      </c>
      <c r="L608" s="57" t="str">
        <f aca="false">IF($J608="","",IF($K608&lt;=BankCostEnvelope*'5. Scenarios'!$C$7,1,0))</f>
        <v/>
      </c>
      <c r="M608" s="57" t="str">
        <f aca="false">IF($I608="","",INDEX(BookRate,603)*(1+'5. Scenarios'!$C$10)*(INDEX(BookQ1,603)*(5-MIN(4,1+'5. Scenarios'!$C$8))/4+INDEX(BookQ2,603)*(5-MIN(4,2+'5. Scenarios'!$C$8))/4+INDEX(BookQ3,603)*(5-MIN(4,3+'5. Scenarios'!$C$8))/4+INDEX(BookQ4,603)*(5-MIN(4,4+'5. Scenarios'!$C$8))/4)*'5. Scenarios'!$C$6/(1+ProductivityDefault*('5. Scenarios'!$C$11-1))+INDEX(BookOneOff,603)*$I608)</f>
        <v/>
      </c>
      <c r="N608" s="56" t="str">
        <f aca="false">IF(INDEX(BookTitle,603)="","",INDEX(BookTotal,603)*'5. Scenarios'!$D$6/(1+ProductivityDefault*('5. Scenarios'!$D$11-1)))</f>
        <v/>
      </c>
      <c r="O608" s="57" t="str">
        <f aca="false">IF($N608="","",INDEX(BookRate,603)*(1+'5. Scenarios'!$D$10)*$N608)</f>
        <v/>
      </c>
      <c r="P608" s="57" t="str">
        <f aca="false">IF($O608="","",SUMIFS($O$6:$O$2405,$A$6:$A$2405,"&lt;="&amp;$A608))</f>
        <v/>
      </c>
      <c r="Q608" s="57" t="str">
        <f aca="false">IF($O608="","",IF($P608&lt;=BankCostEnvelope*'5. Scenarios'!$D$7,1,0))</f>
        <v/>
      </c>
      <c r="R608" s="57" t="str">
        <f aca="false">IF($N608="","",INDEX(BookRate,603)*(1+'5. Scenarios'!$D$10)*(INDEX(BookQ1,603)*(5-MIN(4,1+'5. Scenarios'!$D$8))/4+INDEX(BookQ2,603)*(5-MIN(4,2+'5. Scenarios'!$D$8))/4+INDEX(BookQ3,603)*(5-MIN(4,3+'5. Scenarios'!$D$8))/4+INDEX(BookQ4,603)*(5-MIN(4,4+'5. Scenarios'!$D$8))/4)*'5. Scenarios'!$D$6/(1+ProductivityDefault*('5. Scenarios'!$D$11-1))+INDEX(BookOneOff,603)*$N608)</f>
        <v/>
      </c>
      <c r="S608" s="56" t="str">
        <f aca="false">IF(INDEX(BookTitle,603)="","",INDEX(BookTotal,603)*'5. Scenarios'!$E$6/(1+ProductivityDefault*('5. Scenarios'!$E$11-1)))</f>
        <v/>
      </c>
      <c r="T608" s="57" t="str">
        <f aca="false">IF($S608="","",INDEX(BookRate,603)*(1+'5. Scenarios'!$E$10)*$S608)</f>
        <v/>
      </c>
      <c r="U608" s="57" t="str">
        <f aca="false">IF($T608="","",SUMIFS($T$6:$T$2405,$A$6:$A$2405,"&lt;="&amp;$A608))</f>
        <v/>
      </c>
      <c r="V608" s="57" t="str">
        <f aca="false">IF($T608="","",IF($U608&lt;=BankCostEnvelope*'5. Scenarios'!$E$7,1,0))</f>
        <v/>
      </c>
      <c r="W608" s="57" t="str">
        <f aca="false">IF($S608="","",INDEX(BookRate,603)*(1+'5. Scenarios'!$E$10)*(INDEX(BookQ1,603)*(5-MIN(4,1+'5. Scenarios'!$E$8))/4+INDEX(BookQ2,603)*(5-MIN(4,2+'5. Scenarios'!$E$8))/4+INDEX(BookQ3,603)*(5-MIN(4,3+'5. Scenarios'!$E$8))/4+INDEX(BookQ4,603)*(5-MIN(4,4+'5. Scenarios'!$E$8))/4)*'5. Scenarios'!$E$6/(1+ProductivityDefault*('5. Scenarios'!$E$11-1))+INDEX(BookOneOff,603)*$S608)</f>
        <v/>
      </c>
    </row>
    <row r="609" customFormat="false" ht="15" hidden="false" customHeight="false" outlineLevel="0" collapsed="false">
      <c r="A609" s="0" t="str">
        <f aca="false">IF(INDEX(BookTitle,604)="","",INDEX(BookKey,604))</f>
        <v/>
      </c>
      <c r="B609" s="0" t="str">
        <f aca="false">IF(INDEX(BookTitle,604)="","",INDEX(BookGroup,604))</f>
        <v/>
      </c>
      <c r="C609" s="0" t="str">
        <f aca="false">IF(INDEX(BookTitle,604)="","",INDEX(BookCategory,604))</f>
        <v/>
      </c>
      <c r="D609" s="56" t="str">
        <f aca="false">IF(INDEX(BookTitle,604)="","",INDEX(BookTotal,604)*'5. Scenarios'!$B$6/(1+ProductivityDefault*('5. Scenarios'!$B$11-1)))</f>
        <v/>
      </c>
      <c r="E609" s="57" t="str">
        <f aca="false">IF($D609="","",INDEX(BookRate,604)*(1+'5. Scenarios'!$B$10)*$D609)</f>
        <v/>
      </c>
      <c r="F609" s="57" t="str">
        <f aca="false">IF($E609="","",SUMIFS($E$6:$E$2405,$A$6:$A$2405,"&lt;="&amp;$A609))</f>
        <v/>
      </c>
      <c r="G609" s="57" t="str">
        <f aca="false">IF($E609="","",IF($F609&lt;=BankCostEnvelope*'5. Scenarios'!$B$7,1,0))</f>
        <v/>
      </c>
      <c r="H609" s="57" t="str">
        <f aca="false">IF($D609="","",INDEX(BookRate,604)*(1+'5. Scenarios'!$B$10)*(INDEX(BookQ1,604)*(5-MIN(4,1+'5. Scenarios'!$B$8))/4+INDEX(BookQ2,604)*(5-MIN(4,2+'5. Scenarios'!$B$8))/4+INDEX(BookQ3,604)*(5-MIN(4,3+'5. Scenarios'!$B$8))/4+INDEX(BookQ4,604)*(5-MIN(4,4+'5. Scenarios'!$B$8))/4)*'5. Scenarios'!$B$6/(1+ProductivityDefault*('5. Scenarios'!$B$11-1))+INDEX(BookOneOff,604)*$D609)</f>
        <v/>
      </c>
      <c r="I609" s="56" t="str">
        <f aca="false">IF(INDEX(BookTitle,604)="","",INDEX(BookTotal,604)*'5. Scenarios'!$C$6/(1+ProductivityDefault*('5. Scenarios'!$C$11-1)))</f>
        <v/>
      </c>
      <c r="J609" s="57" t="str">
        <f aca="false">IF($I609="","",INDEX(BookRate,604)*(1+'5. Scenarios'!$C$10)*$I609)</f>
        <v/>
      </c>
      <c r="K609" s="57" t="str">
        <f aca="false">IF($J609="","",SUMIFS($J$6:$J$2405,$A$6:$A$2405,"&lt;="&amp;$A609))</f>
        <v/>
      </c>
      <c r="L609" s="57" t="str">
        <f aca="false">IF($J609="","",IF($K609&lt;=BankCostEnvelope*'5. Scenarios'!$C$7,1,0))</f>
        <v/>
      </c>
      <c r="M609" s="57" t="str">
        <f aca="false">IF($I609="","",INDEX(BookRate,604)*(1+'5. Scenarios'!$C$10)*(INDEX(BookQ1,604)*(5-MIN(4,1+'5. Scenarios'!$C$8))/4+INDEX(BookQ2,604)*(5-MIN(4,2+'5. Scenarios'!$C$8))/4+INDEX(BookQ3,604)*(5-MIN(4,3+'5. Scenarios'!$C$8))/4+INDEX(BookQ4,604)*(5-MIN(4,4+'5. Scenarios'!$C$8))/4)*'5. Scenarios'!$C$6/(1+ProductivityDefault*('5. Scenarios'!$C$11-1))+INDEX(BookOneOff,604)*$I609)</f>
        <v/>
      </c>
      <c r="N609" s="56" t="str">
        <f aca="false">IF(INDEX(BookTitle,604)="","",INDEX(BookTotal,604)*'5. Scenarios'!$D$6/(1+ProductivityDefault*('5. Scenarios'!$D$11-1)))</f>
        <v/>
      </c>
      <c r="O609" s="57" t="str">
        <f aca="false">IF($N609="","",INDEX(BookRate,604)*(1+'5. Scenarios'!$D$10)*$N609)</f>
        <v/>
      </c>
      <c r="P609" s="57" t="str">
        <f aca="false">IF($O609="","",SUMIFS($O$6:$O$2405,$A$6:$A$2405,"&lt;="&amp;$A609))</f>
        <v/>
      </c>
      <c r="Q609" s="57" t="str">
        <f aca="false">IF($O609="","",IF($P609&lt;=BankCostEnvelope*'5. Scenarios'!$D$7,1,0))</f>
        <v/>
      </c>
      <c r="R609" s="57" t="str">
        <f aca="false">IF($N609="","",INDEX(BookRate,604)*(1+'5. Scenarios'!$D$10)*(INDEX(BookQ1,604)*(5-MIN(4,1+'5. Scenarios'!$D$8))/4+INDEX(BookQ2,604)*(5-MIN(4,2+'5. Scenarios'!$D$8))/4+INDEX(BookQ3,604)*(5-MIN(4,3+'5. Scenarios'!$D$8))/4+INDEX(BookQ4,604)*(5-MIN(4,4+'5. Scenarios'!$D$8))/4)*'5. Scenarios'!$D$6/(1+ProductivityDefault*('5. Scenarios'!$D$11-1))+INDEX(BookOneOff,604)*$N609)</f>
        <v/>
      </c>
      <c r="S609" s="56" t="str">
        <f aca="false">IF(INDEX(BookTitle,604)="","",INDEX(BookTotal,604)*'5. Scenarios'!$E$6/(1+ProductivityDefault*('5. Scenarios'!$E$11-1)))</f>
        <v/>
      </c>
      <c r="T609" s="57" t="str">
        <f aca="false">IF($S609="","",INDEX(BookRate,604)*(1+'5. Scenarios'!$E$10)*$S609)</f>
        <v/>
      </c>
      <c r="U609" s="57" t="str">
        <f aca="false">IF($T609="","",SUMIFS($T$6:$T$2405,$A$6:$A$2405,"&lt;="&amp;$A609))</f>
        <v/>
      </c>
      <c r="V609" s="57" t="str">
        <f aca="false">IF($T609="","",IF($U609&lt;=BankCostEnvelope*'5. Scenarios'!$E$7,1,0))</f>
        <v/>
      </c>
      <c r="W609" s="57" t="str">
        <f aca="false">IF($S609="","",INDEX(BookRate,604)*(1+'5. Scenarios'!$E$10)*(INDEX(BookQ1,604)*(5-MIN(4,1+'5. Scenarios'!$E$8))/4+INDEX(BookQ2,604)*(5-MIN(4,2+'5. Scenarios'!$E$8))/4+INDEX(BookQ3,604)*(5-MIN(4,3+'5. Scenarios'!$E$8))/4+INDEX(BookQ4,604)*(5-MIN(4,4+'5. Scenarios'!$E$8))/4)*'5. Scenarios'!$E$6/(1+ProductivityDefault*('5. Scenarios'!$E$11-1))+INDEX(BookOneOff,604)*$S609)</f>
        <v/>
      </c>
    </row>
    <row r="610" customFormat="false" ht="15" hidden="false" customHeight="false" outlineLevel="0" collapsed="false">
      <c r="A610" s="0" t="str">
        <f aca="false">IF(INDEX(BookTitle,605)="","",INDEX(BookKey,605))</f>
        <v/>
      </c>
      <c r="B610" s="0" t="str">
        <f aca="false">IF(INDEX(BookTitle,605)="","",INDEX(BookGroup,605))</f>
        <v/>
      </c>
      <c r="C610" s="0" t="str">
        <f aca="false">IF(INDEX(BookTitle,605)="","",INDEX(BookCategory,605))</f>
        <v/>
      </c>
      <c r="D610" s="56" t="str">
        <f aca="false">IF(INDEX(BookTitle,605)="","",INDEX(BookTotal,605)*'5. Scenarios'!$B$6/(1+ProductivityDefault*('5. Scenarios'!$B$11-1)))</f>
        <v/>
      </c>
      <c r="E610" s="57" t="str">
        <f aca="false">IF($D610="","",INDEX(BookRate,605)*(1+'5. Scenarios'!$B$10)*$D610)</f>
        <v/>
      </c>
      <c r="F610" s="57" t="str">
        <f aca="false">IF($E610="","",SUMIFS($E$6:$E$2405,$A$6:$A$2405,"&lt;="&amp;$A610))</f>
        <v/>
      </c>
      <c r="G610" s="57" t="str">
        <f aca="false">IF($E610="","",IF($F610&lt;=BankCostEnvelope*'5. Scenarios'!$B$7,1,0))</f>
        <v/>
      </c>
      <c r="H610" s="57" t="str">
        <f aca="false">IF($D610="","",INDEX(BookRate,605)*(1+'5. Scenarios'!$B$10)*(INDEX(BookQ1,605)*(5-MIN(4,1+'5. Scenarios'!$B$8))/4+INDEX(BookQ2,605)*(5-MIN(4,2+'5. Scenarios'!$B$8))/4+INDEX(BookQ3,605)*(5-MIN(4,3+'5. Scenarios'!$B$8))/4+INDEX(BookQ4,605)*(5-MIN(4,4+'5. Scenarios'!$B$8))/4)*'5. Scenarios'!$B$6/(1+ProductivityDefault*('5. Scenarios'!$B$11-1))+INDEX(BookOneOff,605)*$D610)</f>
        <v/>
      </c>
      <c r="I610" s="56" t="str">
        <f aca="false">IF(INDEX(BookTitle,605)="","",INDEX(BookTotal,605)*'5. Scenarios'!$C$6/(1+ProductivityDefault*('5. Scenarios'!$C$11-1)))</f>
        <v/>
      </c>
      <c r="J610" s="57" t="str">
        <f aca="false">IF($I610="","",INDEX(BookRate,605)*(1+'5. Scenarios'!$C$10)*$I610)</f>
        <v/>
      </c>
      <c r="K610" s="57" t="str">
        <f aca="false">IF($J610="","",SUMIFS($J$6:$J$2405,$A$6:$A$2405,"&lt;="&amp;$A610))</f>
        <v/>
      </c>
      <c r="L610" s="57" t="str">
        <f aca="false">IF($J610="","",IF($K610&lt;=BankCostEnvelope*'5. Scenarios'!$C$7,1,0))</f>
        <v/>
      </c>
      <c r="M610" s="57" t="str">
        <f aca="false">IF($I610="","",INDEX(BookRate,605)*(1+'5. Scenarios'!$C$10)*(INDEX(BookQ1,605)*(5-MIN(4,1+'5. Scenarios'!$C$8))/4+INDEX(BookQ2,605)*(5-MIN(4,2+'5. Scenarios'!$C$8))/4+INDEX(BookQ3,605)*(5-MIN(4,3+'5. Scenarios'!$C$8))/4+INDEX(BookQ4,605)*(5-MIN(4,4+'5. Scenarios'!$C$8))/4)*'5. Scenarios'!$C$6/(1+ProductivityDefault*('5. Scenarios'!$C$11-1))+INDEX(BookOneOff,605)*$I610)</f>
        <v/>
      </c>
      <c r="N610" s="56" t="str">
        <f aca="false">IF(INDEX(BookTitle,605)="","",INDEX(BookTotal,605)*'5. Scenarios'!$D$6/(1+ProductivityDefault*('5. Scenarios'!$D$11-1)))</f>
        <v/>
      </c>
      <c r="O610" s="57" t="str">
        <f aca="false">IF($N610="","",INDEX(BookRate,605)*(1+'5. Scenarios'!$D$10)*$N610)</f>
        <v/>
      </c>
      <c r="P610" s="57" t="str">
        <f aca="false">IF($O610="","",SUMIFS($O$6:$O$2405,$A$6:$A$2405,"&lt;="&amp;$A610))</f>
        <v/>
      </c>
      <c r="Q610" s="57" t="str">
        <f aca="false">IF($O610="","",IF($P610&lt;=BankCostEnvelope*'5. Scenarios'!$D$7,1,0))</f>
        <v/>
      </c>
      <c r="R610" s="57" t="str">
        <f aca="false">IF($N610="","",INDEX(BookRate,605)*(1+'5. Scenarios'!$D$10)*(INDEX(BookQ1,605)*(5-MIN(4,1+'5. Scenarios'!$D$8))/4+INDEX(BookQ2,605)*(5-MIN(4,2+'5. Scenarios'!$D$8))/4+INDEX(BookQ3,605)*(5-MIN(4,3+'5. Scenarios'!$D$8))/4+INDEX(BookQ4,605)*(5-MIN(4,4+'5. Scenarios'!$D$8))/4)*'5. Scenarios'!$D$6/(1+ProductivityDefault*('5. Scenarios'!$D$11-1))+INDEX(BookOneOff,605)*$N610)</f>
        <v/>
      </c>
      <c r="S610" s="56" t="str">
        <f aca="false">IF(INDEX(BookTitle,605)="","",INDEX(BookTotal,605)*'5. Scenarios'!$E$6/(1+ProductivityDefault*('5. Scenarios'!$E$11-1)))</f>
        <v/>
      </c>
      <c r="T610" s="57" t="str">
        <f aca="false">IF($S610="","",INDEX(BookRate,605)*(1+'5. Scenarios'!$E$10)*$S610)</f>
        <v/>
      </c>
      <c r="U610" s="57" t="str">
        <f aca="false">IF($T610="","",SUMIFS($T$6:$T$2405,$A$6:$A$2405,"&lt;="&amp;$A610))</f>
        <v/>
      </c>
      <c r="V610" s="57" t="str">
        <f aca="false">IF($T610="","",IF($U610&lt;=BankCostEnvelope*'5. Scenarios'!$E$7,1,0))</f>
        <v/>
      </c>
      <c r="W610" s="57" t="str">
        <f aca="false">IF($S610="","",INDEX(BookRate,605)*(1+'5. Scenarios'!$E$10)*(INDEX(BookQ1,605)*(5-MIN(4,1+'5. Scenarios'!$E$8))/4+INDEX(BookQ2,605)*(5-MIN(4,2+'5. Scenarios'!$E$8))/4+INDEX(BookQ3,605)*(5-MIN(4,3+'5. Scenarios'!$E$8))/4+INDEX(BookQ4,605)*(5-MIN(4,4+'5. Scenarios'!$E$8))/4)*'5. Scenarios'!$E$6/(1+ProductivityDefault*('5. Scenarios'!$E$11-1))+INDEX(BookOneOff,605)*$S610)</f>
        <v/>
      </c>
    </row>
    <row r="611" customFormat="false" ht="15" hidden="false" customHeight="false" outlineLevel="0" collapsed="false">
      <c r="A611" s="0" t="str">
        <f aca="false">IF(INDEX(BookTitle,606)="","",INDEX(BookKey,606))</f>
        <v/>
      </c>
      <c r="B611" s="0" t="str">
        <f aca="false">IF(INDEX(BookTitle,606)="","",INDEX(BookGroup,606))</f>
        <v/>
      </c>
      <c r="C611" s="0" t="str">
        <f aca="false">IF(INDEX(BookTitle,606)="","",INDEX(BookCategory,606))</f>
        <v/>
      </c>
      <c r="D611" s="56" t="str">
        <f aca="false">IF(INDEX(BookTitle,606)="","",INDEX(BookTotal,606)*'5. Scenarios'!$B$6/(1+ProductivityDefault*('5. Scenarios'!$B$11-1)))</f>
        <v/>
      </c>
      <c r="E611" s="57" t="str">
        <f aca="false">IF($D611="","",INDEX(BookRate,606)*(1+'5. Scenarios'!$B$10)*$D611)</f>
        <v/>
      </c>
      <c r="F611" s="57" t="str">
        <f aca="false">IF($E611="","",SUMIFS($E$6:$E$2405,$A$6:$A$2405,"&lt;="&amp;$A611))</f>
        <v/>
      </c>
      <c r="G611" s="57" t="str">
        <f aca="false">IF($E611="","",IF($F611&lt;=BankCostEnvelope*'5. Scenarios'!$B$7,1,0))</f>
        <v/>
      </c>
      <c r="H611" s="57" t="str">
        <f aca="false">IF($D611="","",INDEX(BookRate,606)*(1+'5. Scenarios'!$B$10)*(INDEX(BookQ1,606)*(5-MIN(4,1+'5. Scenarios'!$B$8))/4+INDEX(BookQ2,606)*(5-MIN(4,2+'5. Scenarios'!$B$8))/4+INDEX(BookQ3,606)*(5-MIN(4,3+'5. Scenarios'!$B$8))/4+INDEX(BookQ4,606)*(5-MIN(4,4+'5. Scenarios'!$B$8))/4)*'5. Scenarios'!$B$6/(1+ProductivityDefault*('5. Scenarios'!$B$11-1))+INDEX(BookOneOff,606)*$D611)</f>
        <v/>
      </c>
      <c r="I611" s="56" t="str">
        <f aca="false">IF(INDEX(BookTitle,606)="","",INDEX(BookTotal,606)*'5. Scenarios'!$C$6/(1+ProductivityDefault*('5. Scenarios'!$C$11-1)))</f>
        <v/>
      </c>
      <c r="J611" s="57" t="str">
        <f aca="false">IF($I611="","",INDEX(BookRate,606)*(1+'5. Scenarios'!$C$10)*$I611)</f>
        <v/>
      </c>
      <c r="K611" s="57" t="str">
        <f aca="false">IF($J611="","",SUMIFS($J$6:$J$2405,$A$6:$A$2405,"&lt;="&amp;$A611))</f>
        <v/>
      </c>
      <c r="L611" s="57" t="str">
        <f aca="false">IF($J611="","",IF($K611&lt;=BankCostEnvelope*'5. Scenarios'!$C$7,1,0))</f>
        <v/>
      </c>
      <c r="M611" s="57" t="str">
        <f aca="false">IF($I611="","",INDEX(BookRate,606)*(1+'5. Scenarios'!$C$10)*(INDEX(BookQ1,606)*(5-MIN(4,1+'5. Scenarios'!$C$8))/4+INDEX(BookQ2,606)*(5-MIN(4,2+'5. Scenarios'!$C$8))/4+INDEX(BookQ3,606)*(5-MIN(4,3+'5. Scenarios'!$C$8))/4+INDEX(BookQ4,606)*(5-MIN(4,4+'5. Scenarios'!$C$8))/4)*'5. Scenarios'!$C$6/(1+ProductivityDefault*('5. Scenarios'!$C$11-1))+INDEX(BookOneOff,606)*$I611)</f>
        <v/>
      </c>
      <c r="N611" s="56" t="str">
        <f aca="false">IF(INDEX(BookTitle,606)="","",INDEX(BookTotal,606)*'5. Scenarios'!$D$6/(1+ProductivityDefault*('5. Scenarios'!$D$11-1)))</f>
        <v/>
      </c>
      <c r="O611" s="57" t="str">
        <f aca="false">IF($N611="","",INDEX(BookRate,606)*(1+'5. Scenarios'!$D$10)*$N611)</f>
        <v/>
      </c>
      <c r="P611" s="57" t="str">
        <f aca="false">IF($O611="","",SUMIFS($O$6:$O$2405,$A$6:$A$2405,"&lt;="&amp;$A611))</f>
        <v/>
      </c>
      <c r="Q611" s="57" t="str">
        <f aca="false">IF($O611="","",IF($P611&lt;=BankCostEnvelope*'5. Scenarios'!$D$7,1,0))</f>
        <v/>
      </c>
      <c r="R611" s="57" t="str">
        <f aca="false">IF($N611="","",INDEX(BookRate,606)*(1+'5. Scenarios'!$D$10)*(INDEX(BookQ1,606)*(5-MIN(4,1+'5. Scenarios'!$D$8))/4+INDEX(BookQ2,606)*(5-MIN(4,2+'5. Scenarios'!$D$8))/4+INDEX(BookQ3,606)*(5-MIN(4,3+'5. Scenarios'!$D$8))/4+INDEX(BookQ4,606)*(5-MIN(4,4+'5. Scenarios'!$D$8))/4)*'5. Scenarios'!$D$6/(1+ProductivityDefault*('5. Scenarios'!$D$11-1))+INDEX(BookOneOff,606)*$N611)</f>
        <v/>
      </c>
      <c r="S611" s="56" t="str">
        <f aca="false">IF(INDEX(BookTitle,606)="","",INDEX(BookTotal,606)*'5. Scenarios'!$E$6/(1+ProductivityDefault*('5. Scenarios'!$E$11-1)))</f>
        <v/>
      </c>
      <c r="T611" s="57" t="str">
        <f aca="false">IF($S611="","",INDEX(BookRate,606)*(1+'5. Scenarios'!$E$10)*$S611)</f>
        <v/>
      </c>
      <c r="U611" s="57" t="str">
        <f aca="false">IF($T611="","",SUMIFS($T$6:$T$2405,$A$6:$A$2405,"&lt;="&amp;$A611))</f>
        <v/>
      </c>
      <c r="V611" s="57" t="str">
        <f aca="false">IF($T611="","",IF($U611&lt;=BankCostEnvelope*'5. Scenarios'!$E$7,1,0))</f>
        <v/>
      </c>
      <c r="W611" s="57" t="str">
        <f aca="false">IF($S611="","",INDEX(BookRate,606)*(1+'5. Scenarios'!$E$10)*(INDEX(BookQ1,606)*(5-MIN(4,1+'5. Scenarios'!$E$8))/4+INDEX(BookQ2,606)*(5-MIN(4,2+'5. Scenarios'!$E$8))/4+INDEX(BookQ3,606)*(5-MIN(4,3+'5. Scenarios'!$E$8))/4+INDEX(BookQ4,606)*(5-MIN(4,4+'5. Scenarios'!$E$8))/4)*'5. Scenarios'!$E$6/(1+ProductivityDefault*('5. Scenarios'!$E$11-1))+INDEX(BookOneOff,606)*$S611)</f>
        <v/>
      </c>
    </row>
    <row r="612" customFormat="false" ht="15" hidden="false" customHeight="false" outlineLevel="0" collapsed="false">
      <c r="A612" s="0" t="str">
        <f aca="false">IF(INDEX(BookTitle,607)="","",INDEX(BookKey,607))</f>
        <v/>
      </c>
      <c r="B612" s="0" t="str">
        <f aca="false">IF(INDEX(BookTitle,607)="","",INDEX(BookGroup,607))</f>
        <v/>
      </c>
      <c r="C612" s="0" t="str">
        <f aca="false">IF(INDEX(BookTitle,607)="","",INDEX(BookCategory,607))</f>
        <v/>
      </c>
      <c r="D612" s="56" t="str">
        <f aca="false">IF(INDEX(BookTitle,607)="","",INDEX(BookTotal,607)*'5. Scenarios'!$B$6/(1+ProductivityDefault*('5. Scenarios'!$B$11-1)))</f>
        <v/>
      </c>
      <c r="E612" s="57" t="str">
        <f aca="false">IF($D612="","",INDEX(BookRate,607)*(1+'5. Scenarios'!$B$10)*$D612)</f>
        <v/>
      </c>
      <c r="F612" s="57" t="str">
        <f aca="false">IF($E612="","",SUMIFS($E$6:$E$2405,$A$6:$A$2405,"&lt;="&amp;$A612))</f>
        <v/>
      </c>
      <c r="G612" s="57" t="str">
        <f aca="false">IF($E612="","",IF($F612&lt;=BankCostEnvelope*'5. Scenarios'!$B$7,1,0))</f>
        <v/>
      </c>
      <c r="H612" s="57" t="str">
        <f aca="false">IF($D612="","",INDEX(BookRate,607)*(1+'5. Scenarios'!$B$10)*(INDEX(BookQ1,607)*(5-MIN(4,1+'5. Scenarios'!$B$8))/4+INDEX(BookQ2,607)*(5-MIN(4,2+'5. Scenarios'!$B$8))/4+INDEX(BookQ3,607)*(5-MIN(4,3+'5. Scenarios'!$B$8))/4+INDEX(BookQ4,607)*(5-MIN(4,4+'5. Scenarios'!$B$8))/4)*'5. Scenarios'!$B$6/(1+ProductivityDefault*('5. Scenarios'!$B$11-1))+INDEX(BookOneOff,607)*$D612)</f>
        <v/>
      </c>
      <c r="I612" s="56" t="str">
        <f aca="false">IF(INDEX(BookTitle,607)="","",INDEX(BookTotal,607)*'5. Scenarios'!$C$6/(1+ProductivityDefault*('5. Scenarios'!$C$11-1)))</f>
        <v/>
      </c>
      <c r="J612" s="57" t="str">
        <f aca="false">IF($I612="","",INDEX(BookRate,607)*(1+'5. Scenarios'!$C$10)*$I612)</f>
        <v/>
      </c>
      <c r="K612" s="57" t="str">
        <f aca="false">IF($J612="","",SUMIFS($J$6:$J$2405,$A$6:$A$2405,"&lt;="&amp;$A612))</f>
        <v/>
      </c>
      <c r="L612" s="57" t="str">
        <f aca="false">IF($J612="","",IF($K612&lt;=BankCostEnvelope*'5. Scenarios'!$C$7,1,0))</f>
        <v/>
      </c>
      <c r="M612" s="57" t="str">
        <f aca="false">IF($I612="","",INDEX(BookRate,607)*(1+'5. Scenarios'!$C$10)*(INDEX(BookQ1,607)*(5-MIN(4,1+'5. Scenarios'!$C$8))/4+INDEX(BookQ2,607)*(5-MIN(4,2+'5. Scenarios'!$C$8))/4+INDEX(BookQ3,607)*(5-MIN(4,3+'5. Scenarios'!$C$8))/4+INDEX(BookQ4,607)*(5-MIN(4,4+'5. Scenarios'!$C$8))/4)*'5. Scenarios'!$C$6/(1+ProductivityDefault*('5. Scenarios'!$C$11-1))+INDEX(BookOneOff,607)*$I612)</f>
        <v/>
      </c>
      <c r="N612" s="56" t="str">
        <f aca="false">IF(INDEX(BookTitle,607)="","",INDEX(BookTotal,607)*'5. Scenarios'!$D$6/(1+ProductivityDefault*('5. Scenarios'!$D$11-1)))</f>
        <v/>
      </c>
      <c r="O612" s="57" t="str">
        <f aca="false">IF($N612="","",INDEX(BookRate,607)*(1+'5. Scenarios'!$D$10)*$N612)</f>
        <v/>
      </c>
      <c r="P612" s="57" t="str">
        <f aca="false">IF($O612="","",SUMIFS($O$6:$O$2405,$A$6:$A$2405,"&lt;="&amp;$A612))</f>
        <v/>
      </c>
      <c r="Q612" s="57" t="str">
        <f aca="false">IF($O612="","",IF($P612&lt;=BankCostEnvelope*'5. Scenarios'!$D$7,1,0))</f>
        <v/>
      </c>
      <c r="R612" s="57" t="str">
        <f aca="false">IF($N612="","",INDEX(BookRate,607)*(1+'5. Scenarios'!$D$10)*(INDEX(BookQ1,607)*(5-MIN(4,1+'5. Scenarios'!$D$8))/4+INDEX(BookQ2,607)*(5-MIN(4,2+'5. Scenarios'!$D$8))/4+INDEX(BookQ3,607)*(5-MIN(4,3+'5. Scenarios'!$D$8))/4+INDEX(BookQ4,607)*(5-MIN(4,4+'5. Scenarios'!$D$8))/4)*'5. Scenarios'!$D$6/(1+ProductivityDefault*('5. Scenarios'!$D$11-1))+INDEX(BookOneOff,607)*$N612)</f>
        <v/>
      </c>
      <c r="S612" s="56" t="str">
        <f aca="false">IF(INDEX(BookTitle,607)="","",INDEX(BookTotal,607)*'5. Scenarios'!$E$6/(1+ProductivityDefault*('5. Scenarios'!$E$11-1)))</f>
        <v/>
      </c>
      <c r="T612" s="57" t="str">
        <f aca="false">IF($S612="","",INDEX(BookRate,607)*(1+'5. Scenarios'!$E$10)*$S612)</f>
        <v/>
      </c>
      <c r="U612" s="57" t="str">
        <f aca="false">IF($T612="","",SUMIFS($T$6:$T$2405,$A$6:$A$2405,"&lt;="&amp;$A612))</f>
        <v/>
      </c>
      <c r="V612" s="57" t="str">
        <f aca="false">IF($T612="","",IF($U612&lt;=BankCostEnvelope*'5. Scenarios'!$E$7,1,0))</f>
        <v/>
      </c>
      <c r="W612" s="57" t="str">
        <f aca="false">IF($S612="","",INDEX(BookRate,607)*(1+'5. Scenarios'!$E$10)*(INDEX(BookQ1,607)*(5-MIN(4,1+'5. Scenarios'!$E$8))/4+INDEX(BookQ2,607)*(5-MIN(4,2+'5. Scenarios'!$E$8))/4+INDEX(BookQ3,607)*(5-MIN(4,3+'5. Scenarios'!$E$8))/4+INDEX(BookQ4,607)*(5-MIN(4,4+'5. Scenarios'!$E$8))/4)*'5. Scenarios'!$E$6/(1+ProductivityDefault*('5. Scenarios'!$E$11-1))+INDEX(BookOneOff,607)*$S612)</f>
        <v/>
      </c>
    </row>
    <row r="613" customFormat="false" ht="15" hidden="false" customHeight="false" outlineLevel="0" collapsed="false">
      <c r="A613" s="0" t="str">
        <f aca="false">IF(INDEX(BookTitle,608)="","",INDEX(BookKey,608))</f>
        <v/>
      </c>
      <c r="B613" s="0" t="str">
        <f aca="false">IF(INDEX(BookTitle,608)="","",INDEX(BookGroup,608))</f>
        <v/>
      </c>
      <c r="C613" s="0" t="str">
        <f aca="false">IF(INDEX(BookTitle,608)="","",INDEX(BookCategory,608))</f>
        <v/>
      </c>
      <c r="D613" s="56" t="str">
        <f aca="false">IF(INDEX(BookTitle,608)="","",INDEX(BookTotal,608)*'5. Scenarios'!$B$6/(1+ProductivityDefault*('5. Scenarios'!$B$11-1)))</f>
        <v/>
      </c>
      <c r="E613" s="57" t="str">
        <f aca="false">IF($D613="","",INDEX(BookRate,608)*(1+'5. Scenarios'!$B$10)*$D613)</f>
        <v/>
      </c>
      <c r="F613" s="57" t="str">
        <f aca="false">IF($E613="","",SUMIFS($E$6:$E$2405,$A$6:$A$2405,"&lt;="&amp;$A613))</f>
        <v/>
      </c>
      <c r="G613" s="57" t="str">
        <f aca="false">IF($E613="","",IF($F613&lt;=BankCostEnvelope*'5. Scenarios'!$B$7,1,0))</f>
        <v/>
      </c>
      <c r="H613" s="57" t="str">
        <f aca="false">IF($D613="","",INDEX(BookRate,608)*(1+'5. Scenarios'!$B$10)*(INDEX(BookQ1,608)*(5-MIN(4,1+'5. Scenarios'!$B$8))/4+INDEX(BookQ2,608)*(5-MIN(4,2+'5. Scenarios'!$B$8))/4+INDEX(BookQ3,608)*(5-MIN(4,3+'5. Scenarios'!$B$8))/4+INDEX(BookQ4,608)*(5-MIN(4,4+'5. Scenarios'!$B$8))/4)*'5. Scenarios'!$B$6/(1+ProductivityDefault*('5. Scenarios'!$B$11-1))+INDEX(BookOneOff,608)*$D613)</f>
        <v/>
      </c>
      <c r="I613" s="56" t="str">
        <f aca="false">IF(INDEX(BookTitle,608)="","",INDEX(BookTotal,608)*'5. Scenarios'!$C$6/(1+ProductivityDefault*('5. Scenarios'!$C$11-1)))</f>
        <v/>
      </c>
      <c r="J613" s="57" t="str">
        <f aca="false">IF($I613="","",INDEX(BookRate,608)*(1+'5. Scenarios'!$C$10)*$I613)</f>
        <v/>
      </c>
      <c r="K613" s="57" t="str">
        <f aca="false">IF($J613="","",SUMIFS($J$6:$J$2405,$A$6:$A$2405,"&lt;="&amp;$A613))</f>
        <v/>
      </c>
      <c r="L613" s="57" t="str">
        <f aca="false">IF($J613="","",IF($K613&lt;=BankCostEnvelope*'5. Scenarios'!$C$7,1,0))</f>
        <v/>
      </c>
      <c r="M613" s="57" t="str">
        <f aca="false">IF($I613="","",INDEX(BookRate,608)*(1+'5. Scenarios'!$C$10)*(INDEX(BookQ1,608)*(5-MIN(4,1+'5. Scenarios'!$C$8))/4+INDEX(BookQ2,608)*(5-MIN(4,2+'5. Scenarios'!$C$8))/4+INDEX(BookQ3,608)*(5-MIN(4,3+'5. Scenarios'!$C$8))/4+INDEX(BookQ4,608)*(5-MIN(4,4+'5. Scenarios'!$C$8))/4)*'5. Scenarios'!$C$6/(1+ProductivityDefault*('5. Scenarios'!$C$11-1))+INDEX(BookOneOff,608)*$I613)</f>
        <v/>
      </c>
      <c r="N613" s="56" t="str">
        <f aca="false">IF(INDEX(BookTitle,608)="","",INDEX(BookTotal,608)*'5. Scenarios'!$D$6/(1+ProductivityDefault*('5. Scenarios'!$D$11-1)))</f>
        <v/>
      </c>
      <c r="O613" s="57" t="str">
        <f aca="false">IF($N613="","",INDEX(BookRate,608)*(1+'5. Scenarios'!$D$10)*$N613)</f>
        <v/>
      </c>
      <c r="P613" s="57" t="str">
        <f aca="false">IF($O613="","",SUMIFS($O$6:$O$2405,$A$6:$A$2405,"&lt;="&amp;$A613))</f>
        <v/>
      </c>
      <c r="Q613" s="57" t="str">
        <f aca="false">IF($O613="","",IF($P613&lt;=BankCostEnvelope*'5. Scenarios'!$D$7,1,0))</f>
        <v/>
      </c>
      <c r="R613" s="57" t="str">
        <f aca="false">IF($N613="","",INDEX(BookRate,608)*(1+'5. Scenarios'!$D$10)*(INDEX(BookQ1,608)*(5-MIN(4,1+'5. Scenarios'!$D$8))/4+INDEX(BookQ2,608)*(5-MIN(4,2+'5. Scenarios'!$D$8))/4+INDEX(BookQ3,608)*(5-MIN(4,3+'5. Scenarios'!$D$8))/4+INDEX(BookQ4,608)*(5-MIN(4,4+'5. Scenarios'!$D$8))/4)*'5. Scenarios'!$D$6/(1+ProductivityDefault*('5. Scenarios'!$D$11-1))+INDEX(BookOneOff,608)*$N613)</f>
        <v/>
      </c>
      <c r="S613" s="56" t="str">
        <f aca="false">IF(INDEX(BookTitle,608)="","",INDEX(BookTotal,608)*'5. Scenarios'!$E$6/(1+ProductivityDefault*('5. Scenarios'!$E$11-1)))</f>
        <v/>
      </c>
      <c r="T613" s="57" t="str">
        <f aca="false">IF($S613="","",INDEX(BookRate,608)*(1+'5. Scenarios'!$E$10)*$S613)</f>
        <v/>
      </c>
      <c r="U613" s="57" t="str">
        <f aca="false">IF($T613="","",SUMIFS($T$6:$T$2405,$A$6:$A$2405,"&lt;="&amp;$A613))</f>
        <v/>
      </c>
      <c r="V613" s="57" t="str">
        <f aca="false">IF($T613="","",IF($U613&lt;=BankCostEnvelope*'5. Scenarios'!$E$7,1,0))</f>
        <v/>
      </c>
      <c r="W613" s="57" t="str">
        <f aca="false">IF($S613="","",INDEX(BookRate,608)*(1+'5. Scenarios'!$E$10)*(INDEX(BookQ1,608)*(5-MIN(4,1+'5. Scenarios'!$E$8))/4+INDEX(BookQ2,608)*(5-MIN(4,2+'5. Scenarios'!$E$8))/4+INDEX(BookQ3,608)*(5-MIN(4,3+'5. Scenarios'!$E$8))/4+INDEX(BookQ4,608)*(5-MIN(4,4+'5. Scenarios'!$E$8))/4)*'5. Scenarios'!$E$6/(1+ProductivityDefault*('5. Scenarios'!$E$11-1))+INDEX(BookOneOff,608)*$S613)</f>
        <v/>
      </c>
    </row>
    <row r="614" customFormat="false" ht="15" hidden="false" customHeight="false" outlineLevel="0" collapsed="false">
      <c r="A614" s="0" t="str">
        <f aca="false">IF(INDEX(BookTitle,609)="","",INDEX(BookKey,609))</f>
        <v/>
      </c>
      <c r="B614" s="0" t="str">
        <f aca="false">IF(INDEX(BookTitle,609)="","",INDEX(BookGroup,609))</f>
        <v/>
      </c>
      <c r="C614" s="0" t="str">
        <f aca="false">IF(INDEX(BookTitle,609)="","",INDEX(BookCategory,609))</f>
        <v/>
      </c>
      <c r="D614" s="56" t="str">
        <f aca="false">IF(INDEX(BookTitle,609)="","",INDEX(BookTotal,609)*'5. Scenarios'!$B$6/(1+ProductivityDefault*('5. Scenarios'!$B$11-1)))</f>
        <v/>
      </c>
      <c r="E614" s="57" t="str">
        <f aca="false">IF($D614="","",INDEX(BookRate,609)*(1+'5. Scenarios'!$B$10)*$D614)</f>
        <v/>
      </c>
      <c r="F614" s="57" t="str">
        <f aca="false">IF($E614="","",SUMIFS($E$6:$E$2405,$A$6:$A$2405,"&lt;="&amp;$A614))</f>
        <v/>
      </c>
      <c r="G614" s="57" t="str">
        <f aca="false">IF($E614="","",IF($F614&lt;=BankCostEnvelope*'5. Scenarios'!$B$7,1,0))</f>
        <v/>
      </c>
      <c r="H614" s="57" t="str">
        <f aca="false">IF($D614="","",INDEX(BookRate,609)*(1+'5. Scenarios'!$B$10)*(INDEX(BookQ1,609)*(5-MIN(4,1+'5. Scenarios'!$B$8))/4+INDEX(BookQ2,609)*(5-MIN(4,2+'5. Scenarios'!$B$8))/4+INDEX(BookQ3,609)*(5-MIN(4,3+'5. Scenarios'!$B$8))/4+INDEX(BookQ4,609)*(5-MIN(4,4+'5. Scenarios'!$B$8))/4)*'5. Scenarios'!$B$6/(1+ProductivityDefault*('5. Scenarios'!$B$11-1))+INDEX(BookOneOff,609)*$D614)</f>
        <v/>
      </c>
      <c r="I614" s="56" t="str">
        <f aca="false">IF(INDEX(BookTitle,609)="","",INDEX(BookTotal,609)*'5. Scenarios'!$C$6/(1+ProductivityDefault*('5. Scenarios'!$C$11-1)))</f>
        <v/>
      </c>
      <c r="J614" s="57" t="str">
        <f aca="false">IF($I614="","",INDEX(BookRate,609)*(1+'5. Scenarios'!$C$10)*$I614)</f>
        <v/>
      </c>
      <c r="K614" s="57" t="str">
        <f aca="false">IF($J614="","",SUMIFS($J$6:$J$2405,$A$6:$A$2405,"&lt;="&amp;$A614))</f>
        <v/>
      </c>
      <c r="L614" s="57" t="str">
        <f aca="false">IF($J614="","",IF($K614&lt;=BankCostEnvelope*'5. Scenarios'!$C$7,1,0))</f>
        <v/>
      </c>
      <c r="M614" s="57" t="str">
        <f aca="false">IF($I614="","",INDEX(BookRate,609)*(1+'5. Scenarios'!$C$10)*(INDEX(BookQ1,609)*(5-MIN(4,1+'5. Scenarios'!$C$8))/4+INDEX(BookQ2,609)*(5-MIN(4,2+'5. Scenarios'!$C$8))/4+INDEX(BookQ3,609)*(5-MIN(4,3+'5. Scenarios'!$C$8))/4+INDEX(BookQ4,609)*(5-MIN(4,4+'5. Scenarios'!$C$8))/4)*'5. Scenarios'!$C$6/(1+ProductivityDefault*('5. Scenarios'!$C$11-1))+INDEX(BookOneOff,609)*$I614)</f>
        <v/>
      </c>
      <c r="N614" s="56" t="str">
        <f aca="false">IF(INDEX(BookTitle,609)="","",INDEX(BookTotal,609)*'5. Scenarios'!$D$6/(1+ProductivityDefault*('5. Scenarios'!$D$11-1)))</f>
        <v/>
      </c>
      <c r="O614" s="57" t="str">
        <f aca="false">IF($N614="","",INDEX(BookRate,609)*(1+'5. Scenarios'!$D$10)*$N614)</f>
        <v/>
      </c>
      <c r="P614" s="57" t="str">
        <f aca="false">IF($O614="","",SUMIFS($O$6:$O$2405,$A$6:$A$2405,"&lt;="&amp;$A614))</f>
        <v/>
      </c>
      <c r="Q614" s="57" t="str">
        <f aca="false">IF($O614="","",IF($P614&lt;=BankCostEnvelope*'5. Scenarios'!$D$7,1,0))</f>
        <v/>
      </c>
      <c r="R614" s="57" t="str">
        <f aca="false">IF($N614="","",INDEX(BookRate,609)*(1+'5. Scenarios'!$D$10)*(INDEX(BookQ1,609)*(5-MIN(4,1+'5. Scenarios'!$D$8))/4+INDEX(BookQ2,609)*(5-MIN(4,2+'5. Scenarios'!$D$8))/4+INDEX(BookQ3,609)*(5-MIN(4,3+'5. Scenarios'!$D$8))/4+INDEX(BookQ4,609)*(5-MIN(4,4+'5. Scenarios'!$D$8))/4)*'5. Scenarios'!$D$6/(1+ProductivityDefault*('5. Scenarios'!$D$11-1))+INDEX(BookOneOff,609)*$N614)</f>
        <v/>
      </c>
      <c r="S614" s="56" t="str">
        <f aca="false">IF(INDEX(BookTitle,609)="","",INDEX(BookTotal,609)*'5. Scenarios'!$E$6/(1+ProductivityDefault*('5. Scenarios'!$E$11-1)))</f>
        <v/>
      </c>
      <c r="T614" s="57" t="str">
        <f aca="false">IF($S614="","",INDEX(BookRate,609)*(1+'5. Scenarios'!$E$10)*$S614)</f>
        <v/>
      </c>
      <c r="U614" s="57" t="str">
        <f aca="false">IF($T614="","",SUMIFS($T$6:$T$2405,$A$6:$A$2405,"&lt;="&amp;$A614))</f>
        <v/>
      </c>
      <c r="V614" s="57" t="str">
        <f aca="false">IF($T614="","",IF($U614&lt;=BankCostEnvelope*'5. Scenarios'!$E$7,1,0))</f>
        <v/>
      </c>
      <c r="W614" s="57" t="str">
        <f aca="false">IF($S614="","",INDEX(BookRate,609)*(1+'5. Scenarios'!$E$10)*(INDEX(BookQ1,609)*(5-MIN(4,1+'5. Scenarios'!$E$8))/4+INDEX(BookQ2,609)*(5-MIN(4,2+'5. Scenarios'!$E$8))/4+INDEX(BookQ3,609)*(5-MIN(4,3+'5. Scenarios'!$E$8))/4+INDEX(BookQ4,609)*(5-MIN(4,4+'5. Scenarios'!$E$8))/4)*'5. Scenarios'!$E$6/(1+ProductivityDefault*('5. Scenarios'!$E$11-1))+INDEX(BookOneOff,609)*$S614)</f>
        <v/>
      </c>
    </row>
    <row r="615" customFormat="false" ht="15" hidden="false" customHeight="false" outlineLevel="0" collapsed="false">
      <c r="A615" s="0" t="str">
        <f aca="false">IF(INDEX(BookTitle,610)="","",INDEX(BookKey,610))</f>
        <v/>
      </c>
      <c r="B615" s="0" t="str">
        <f aca="false">IF(INDEX(BookTitle,610)="","",INDEX(BookGroup,610))</f>
        <v/>
      </c>
      <c r="C615" s="0" t="str">
        <f aca="false">IF(INDEX(BookTitle,610)="","",INDEX(BookCategory,610))</f>
        <v/>
      </c>
      <c r="D615" s="56" t="str">
        <f aca="false">IF(INDEX(BookTitle,610)="","",INDEX(BookTotal,610)*'5. Scenarios'!$B$6/(1+ProductivityDefault*('5. Scenarios'!$B$11-1)))</f>
        <v/>
      </c>
      <c r="E615" s="57" t="str">
        <f aca="false">IF($D615="","",INDEX(BookRate,610)*(1+'5. Scenarios'!$B$10)*$D615)</f>
        <v/>
      </c>
      <c r="F615" s="57" t="str">
        <f aca="false">IF($E615="","",SUMIFS($E$6:$E$2405,$A$6:$A$2405,"&lt;="&amp;$A615))</f>
        <v/>
      </c>
      <c r="G615" s="57" t="str">
        <f aca="false">IF($E615="","",IF($F615&lt;=BankCostEnvelope*'5. Scenarios'!$B$7,1,0))</f>
        <v/>
      </c>
      <c r="H615" s="57" t="str">
        <f aca="false">IF($D615="","",INDEX(BookRate,610)*(1+'5. Scenarios'!$B$10)*(INDEX(BookQ1,610)*(5-MIN(4,1+'5. Scenarios'!$B$8))/4+INDEX(BookQ2,610)*(5-MIN(4,2+'5. Scenarios'!$B$8))/4+INDEX(BookQ3,610)*(5-MIN(4,3+'5. Scenarios'!$B$8))/4+INDEX(BookQ4,610)*(5-MIN(4,4+'5. Scenarios'!$B$8))/4)*'5. Scenarios'!$B$6/(1+ProductivityDefault*('5. Scenarios'!$B$11-1))+INDEX(BookOneOff,610)*$D615)</f>
        <v/>
      </c>
      <c r="I615" s="56" t="str">
        <f aca="false">IF(INDEX(BookTitle,610)="","",INDEX(BookTotal,610)*'5. Scenarios'!$C$6/(1+ProductivityDefault*('5. Scenarios'!$C$11-1)))</f>
        <v/>
      </c>
      <c r="J615" s="57" t="str">
        <f aca="false">IF($I615="","",INDEX(BookRate,610)*(1+'5. Scenarios'!$C$10)*$I615)</f>
        <v/>
      </c>
      <c r="K615" s="57" t="str">
        <f aca="false">IF($J615="","",SUMIFS($J$6:$J$2405,$A$6:$A$2405,"&lt;="&amp;$A615))</f>
        <v/>
      </c>
      <c r="L615" s="57" t="str">
        <f aca="false">IF($J615="","",IF($K615&lt;=BankCostEnvelope*'5. Scenarios'!$C$7,1,0))</f>
        <v/>
      </c>
      <c r="M615" s="57" t="str">
        <f aca="false">IF($I615="","",INDEX(BookRate,610)*(1+'5. Scenarios'!$C$10)*(INDEX(BookQ1,610)*(5-MIN(4,1+'5. Scenarios'!$C$8))/4+INDEX(BookQ2,610)*(5-MIN(4,2+'5. Scenarios'!$C$8))/4+INDEX(BookQ3,610)*(5-MIN(4,3+'5. Scenarios'!$C$8))/4+INDEX(BookQ4,610)*(5-MIN(4,4+'5. Scenarios'!$C$8))/4)*'5. Scenarios'!$C$6/(1+ProductivityDefault*('5. Scenarios'!$C$11-1))+INDEX(BookOneOff,610)*$I615)</f>
        <v/>
      </c>
      <c r="N615" s="56" t="str">
        <f aca="false">IF(INDEX(BookTitle,610)="","",INDEX(BookTotal,610)*'5. Scenarios'!$D$6/(1+ProductivityDefault*('5. Scenarios'!$D$11-1)))</f>
        <v/>
      </c>
      <c r="O615" s="57" t="str">
        <f aca="false">IF($N615="","",INDEX(BookRate,610)*(1+'5. Scenarios'!$D$10)*$N615)</f>
        <v/>
      </c>
      <c r="P615" s="57" t="str">
        <f aca="false">IF($O615="","",SUMIFS($O$6:$O$2405,$A$6:$A$2405,"&lt;="&amp;$A615))</f>
        <v/>
      </c>
      <c r="Q615" s="57" t="str">
        <f aca="false">IF($O615="","",IF($P615&lt;=BankCostEnvelope*'5. Scenarios'!$D$7,1,0))</f>
        <v/>
      </c>
      <c r="R615" s="57" t="str">
        <f aca="false">IF($N615="","",INDEX(BookRate,610)*(1+'5. Scenarios'!$D$10)*(INDEX(BookQ1,610)*(5-MIN(4,1+'5. Scenarios'!$D$8))/4+INDEX(BookQ2,610)*(5-MIN(4,2+'5. Scenarios'!$D$8))/4+INDEX(BookQ3,610)*(5-MIN(4,3+'5. Scenarios'!$D$8))/4+INDEX(BookQ4,610)*(5-MIN(4,4+'5. Scenarios'!$D$8))/4)*'5. Scenarios'!$D$6/(1+ProductivityDefault*('5. Scenarios'!$D$11-1))+INDEX(BookOneOff,610)*$N615)</f>
        <v/>
      </c>
      <c r="S615" s="56" t="str">
        <f aca="false">IF(INDEX(BookTitle,610)="","",INDEX(BookTotal,610)*'5. Scenarios'!$E$6/(1+ProductivityDefault*('5. Scenarios'!$E$11-1)))</f>
        <v/>
      </c>
      <c r="T615" s="57" t="str">
        <f aca="false">IF($S615="","",INDEX(BookRate,610)*(1+'5. Scenarios'!$E$10)*$S615)</f>
        <v/>
      </c>
      <c r="U615" s="57" t="str">
        <f aca="false">IF($T615="","",SUMIFS($T$6:$T$2405,$A$6:$A$2405,"&lt;="&amp;$A615))</f>
        <v/>
      </c>
      <c r="V615" s="57" t="str">
        <f aca="false">IF($T615="","",IF($U615&lt;=BankCostEnvelope*'5. Scenarios'!$E$7,1,0))</f>
        <v/>
      </c>
      <c r="W615" s="57" t="str">
        <f aca="false">IF($S615="","",INDEX(BookRate,610)*(1+'5. Scenarios'!$E$10)*(INDEX(BookQ1,610)*(5-MIN(4,1+'5. Scenarios'!$E$8))/4+INDEX(BookQ2,610)*(5-MIN(4,2+'5. Scenarios'!$E$8))/4+INDEX(BookQ3,610)*(5-MIN(4,3+'5. Scenarios'!$E$8))/4+INDEX(BookQ4,610)*(5-MIN(4,4+'5. Scenarios'!$E$8))/4)*'5. Scenarios'!$E$6/(1+ProductivityDefault*('5. Scenarios'!$E$11-1))+INDEX(BookOneOff,610)*$S615)</f>
        <v/>
      </c>
    </row>
    <row r="616" customFormat="false" ht="15" hidden="false" customHeight="false" outlineLevel="0" collapsed="false">
      <c r="A616" s="0" t="str">
        <f aca="false">IF(INDEX(BookTitle,611)="","",INDEX(BookKey,611))</f>
        <v/>
      </c>
      <c r="B616" s="0" t="str">
        <f aca="false">IF(INDEX(BookTitle,611)="","",INDEX(BookGroup,611))</f>
        <v/>
      </c>
      <c r="C616" s="0" t="str">
        <f aca="false">IF(INDEX(BookTitle,611)="","",INDEX(BookCategory,611))</f>
        <v/>
      </c>
      <c r="D616" s="56" t="str">
        <f aca="false">IF(INDEX(BookTitle,611)="","",INDEX(BookTotal,611)*'5. Scenarios'!$B$6/(1+ProductivityDefault*('5. Scenarios'!$B$11-1)))</f>
        <v/>
      </c>
      <c r="E616" s="57" t="str">
        <f aca="false">IF($D616="","",INDEX(BookRate,611)*(1+'5. Scenarios'!$B$10)*$D616)</f>
        <v/>
      </c>
      <c r="F616" s="57" t="str">
        <f aca="false">IF($E616="","",SUMIFS($E$6:$E$2405,$A$6:$A$2405,"&lt;="&amp;$A616))</f>
        <v/>
      </c>
      <c r="G616" s="57" t="str">
        <f aca="false">IF($E616="","",IF($F616&lt;=BankCostEnvelope*'5. Scenarios'!$B$7,1,0))</f>
        <v/>
      </c>
      <c r="H616" s="57" t="str">
        <f aca="false">IF($D616="","",INDEX(BookRate,611)*(1+'5. Scenarios'!$B$10)*(INDEX(BookQ1,611)*(5-MIN(4,1+'5. Scenarios'!$B$8))/4+INDEX(BookQ2,611)*(5-MIN(4,2+'5. Scenarios'!$B$8))/4+INDEX(BookQ3,611)*(5-MIN(4,3+'5. Scenarios'!$B$8))/4+INDEX(BookQ4,611)*(5-MIN(4,4+'5. Scenarios'!$B$8))/4)*'5. Scenarios'!$B$6/(1+ProductivityDefault*('5. Scenarios'!$B$11-1))+INDEX(BookOneOff,611)*$D616)</f>
        <v/>
      </c>
      <c r="I616" s="56" t="str">
        <f aca="false">IF(INDEX(BookTitle,611)="","",INDEX(BookTotal,611)*'5. Scenarios'!$C$6/(1+ProductivityDefault*('5. Scenarios'!$C$11-1)))</f>
        <v/>
      </c>
      <c r="J616" s="57" t="str">
        <f aca="false">IF($I616="","",INDEX(BookRate,611)*(1+'5. Scenarios'!$C$10)*$I616)</f>
        <v/>
      </c>
      <c r="K616" s="57" t="str">
        <f aca="false">IF($J616="","",SUMIFS($J$6:$J$2405,$A$6:$A$2405,"&lt;="&amp;$A616))</f>
        <v/>
      </c>
      <c r="L616" s="57" t="str">
        <f aca="false">IF($J616="","",IF($K616&lt;=BankCostEnvelope*'5. Scenarios'!$C$7,1,0))</f>
        <v/>
      </c>
      <c r="M616" s="57" t="str">
        <f aca="false">IF($I616="","",INDEX(BookRate,611)*(1+'5. Scenarios'!$C$10)*(INDEX(BookQ1,611)*(5-MIN(4,1+'5. Scenarios'!$C$8))/4+INDEX(BookQ2,611)*(5-MIN(4,2+'5. Scenarios'!$C$8))/4+INDEX(BookQ3,611)*(5-MIN(4,3+'5. Scenarios'!$C$8))/4+INDEX(BookQ4,611)*(5-MIN(4,4+'5. Scenarios'!$C$8))/4)*'5. Scenarios'!$C$6/(1+ProductivityDefault*('5. Scenarios'!$C$11-1))+INDEX(BookOneOff,611)*$I616)</f>
        <v/>
      </c>
      <c r="N616" s="56" t="str">
        <f aca="false">IF(INDEX(BookTitle,611)="","",INDEX(BookTotal,611)*'5. Scenarios'!$D$6/(1+ProductivityDefault*('5. Scenarios'!$D$11-1)))</f>
        <v/>
      </c>
      <c r="O616" s="57" t="str">
        <f aca="false">IF($N616="","",INDEX(BookRate,611)*(1+'5. Scenarios'!$D$10)*$N616)</f>
        <v/>
      </c>
      <c r="P616" s="57" t="str">
        <f aca="false">IF($O616="","",SUMIFS($O$6:$O$2405,$A$6:$A$2405,"&lt;="&amp;$A616))</f>
        <v/>
      </c>
      <c r="Q616" s="57" t="str">
        <f aca="false">IF($O616="","",IF($P616&lt;=BankCostEnvelope*'5. Scenarios'!$D$7,1,0))</f>
        <v/>
      </c>
      <c r="R616" s="57" t="str">
        <f aca="false">IF($N616="","",INDEX(BookRate,611)*(1+'5. Scenarios'!$D$10)*(INDEX(BookQ1,611)*(5-MIN(4,1+'5. Scenarios'!$D$8))/4+INDEX(BookQ2,611)*(5-MIN(4,2+'5. Scenarios'!$D$8))/4+INDEX(BookQ3,611)*(5-MIN(4,3+'5. Scenarios'!$D$8))/4+INDEX(BookQ4,611)*(5-MIN(4,4+'5. Scenarios'!$D$8))/4)*'5. Scenarios'!$D$6/(1+ProductivityDefault*('5. Scenarios'!$D$11-1))+INDEX(BookOneOff,611)*$N616)</f>
        <v/>
      </c>
      <c r="S616" s="56" t="str">
        <f aca="false">IF(INDEX(BookTitle,611)="","",INDEX(BookTotal,611)*'5. Scenarios'!$E$6/(1+ProductivityDefault*('5. Scenarios'!$E$11-1)))</f>
        <v/>
      </c>
      <c r="T616" s="57" t="str">
        <f aca="false">IF($S616="","",INDEX(BookRate,611)*(1+'5. Scenarios'!$E$10)*$S616)</f>
        <v/>
      </c>
      <c r="U616" s="57" t="str">
        <f aca="false">IF($T616="","",SUMIFS($T$6:$T$2405,$A$6:$A$2405,"&lt;="&amp;$A616))</f>
        <v/>
      </c>
      <c r="V616" s="57" t="str">
        <f aca="false">IF($T616="","",IF($U616&lt;=BankCostEnvelope*'5. Scenarios'!$E$7,1,0))</f>
        <v/>
      </c>
      <c r="W616" s="57" t="str">
        <f aca="false">IF($S616="","",INDEX(BookRate,611)*(1+'5. Scenarios'!$E$10)*(INDEX(BookQ1,611)*(5-MIN(4,1+'5. Scenarios'!$E$8))/4+INDEX(BookQ2,611)*(5-MIN(4,2+'5. Scenarios'!$E$8))/4+INDEX(BookQ3,611)*(5-MIN(4,3+'5. Scenarios'!$E$8))/4+INDEX(BookQ4,611)*(5-MIN(4,4+'5. Scenarios'!$E$8))/4)*'5. Scenarios'!$E$6/(1+ProductivityDefault*('5. Scenarios'!$E$11-1))+INDEX(BookOneOff,611)*$S616)</f>
        <v/>
      </c>
    </row>
    <row r="617" customFormat="false" ht="15" hidden="false" customHeight="false" outlineLevel="0" collapsed="false">
      <c r="A617" s="0" t="str">
        <f aca="false">IF(INDEX(BookTitle,612)="","",INDEX(BookKey,612))</f>
        <v/>
      </c>
      <c r="B617" s="0" t="str">
        <f aca="false">IF(INDEX(BookTitle,612)="","",INDEX(BookGroup,612))</f>
        <v/>
      </c>
      <c r="C617" s="0" t="str">
        <f aca="false">IF(INDEX(BookTitle,612)="","",INDEX(BookCategory,612))</f>
        <v/>
      </c>
      <c r="D617" s="56" t="str">
        <f aca="false">IF(INDEX(BookTitle,612)="","",INDEX(BookTotal,612)*'5. Scenarios'!$B$6/(1+ProductivityDefault*('5. Scenarios'!$B$11-1)))</f>
        <v/>
      </c>
      <c r="E617" s="57" t="str">
        <f aca="false">IF($D617="","",INDEX(BookRate,612)*(1+'5. Scenarios'!$B$10)*$D617)</f>
        <v/>
      </c>
      <c r="F617" s="57" t="str">
        <f aca="false">IF($E617="","",SUMIFS($E$6:$E$2405,$A$6:$A$2405,"&lt;="&amp;$A617))</f>
        <v/>
      </c>
      <c r="G617" s="57" t="str">
        <f aca="false">IF($E617="","",IF($F617&lt;=BankCostEnvelope*'5. Scenarios'!$B$7,1,0))</f>
        <v/>
      </c>
      <c r="H617" s="57" t="str">
        <f aca="false">IF($D617="","",INDEX(BookRate,612)*(1+'5. Scenarios'!$B$10)*(INDEX(BookQ1,612)*(5-MIN(4,1+'5. Scenarios'!$B$8))/4+INDEX(BookQ2,612)*(5-MIN(4,2+'5. Scenarios'!$B$8))/4+INDEX(BookQ3,612)*(5-MIN(4,3+'5. Scenarios'!$B$8))/4+INDEX(BookQ4,612)*(5-MIN(4,4+'5. Scenarios'!$B$8))/4)*'5. Scenarios'!$B$6/(1+ProductivityDefault*('5. Scenarios'!$B$11-1))+INDEX(BookOneOff,612)*$D617)</f>
        <v/>
      </c>
      <c r="I617" s="56" t="str">
        <f aca="false">IF(INDEX(BookTitle,612)="","",INDEX(BookTotal,612)*'5. Scenarios'!$C$6/(1+ProductivityDefault*('5. Scenarios'!$C$11-1)))</f>
        <v/>
      </c>
      <c r="J617" s="57" t="str">
        <f aca="false">IF($I617="","",INDEX(BookRate,612)*(1+'5. Scenarios'!$C$10)*$I617)</f>
        <v/>
      </c>
      <c r="K617" s="57" t="str">
        <f aca="false">IF($J617="","",SUMIFS($J$6:$J$2405,$A$6:$A$2405,"&lt;="&amp;$A617))</f>
        <v/>
      </c>
      <c r="L617" s="57" t="str">
        <f aca="false">IF($J617="","",IF($K617&lt;=BankCostEnvelope*'5. Scenarios'!$C$7,1,0))</f>
        <v/>
      </c>
      <c r="M617" s="57" t="str">
        <f aca="false">IF($I617="","",INDEX(BookRate,612)*(1+'5. Scenarios'!$C$10)*(INDEX(BookQ1,612)*(5-MIN(4,1+'5. Scenarios'!$C$8))/4+INDEX(BookQ2,612)*(5-MIN(4,2+'5. Scenarios'!$C$8))/4+INDEX(BookQ3,612)*(5-MIN(4,3+'5. Scenarios'!$C$8))/4+INDEX(BookQ4,612)*(5-MIN(4,4+'5. Scenarios'!$C$8))/4)*'5. Scenarios'!$C$6/(1+ProductivityDefault*('5. Scenarios'!$C$11-1))+INDEX(BookOneOff,612)*$I617)</f>
        <v/>
      </c>
      <c r="N617" s="56" t="str">
        <f aca="false">IF(INDEX(BookTitle,612)="","",INDEX(BookTotal,612)*'5. Scenarios'!$D$6/(1+ProductivityDefault*('5. Scenarios'!$D$11-1)))</f>
        <v/>
      </c>
      <c r="O617" s="57" t="str">
        <f aca="false">IF($N617="","",INDEX(BookRate,612)*(1+'5. Scenarios'!$D$10)*$N617)</f>
        <v/>
      </c>
      <c r="P617" s="57" t="str">
        <f aca="false">IF($O617="","",SUMIFS($O$6:$O$2405,$A$6:$A$2405,"&lt;="&amp;$A617))</f>
        <v/>
      </c>
      <c r="Q617" s="57" t="str">
        <f aca="false">IF($O617="","",IF($P617&lt;=BankCostEnvelope*'5. Scenarios'!$D$7,1,0))</f>
        <v/>
      </c>
      <c r="R617" s="57" t="str">
        <f aca="false">IF($N617="","",INDEX(BookRate,612)*(1+'5. Scenarios'!$D$10)*(INDEX(BookQ1,612)*(5-MIN(4,1+'5. Scenarios'!$D$8))/4+INDEX(BookQ2,612)*(5-MIN(4,2+'5. Scenarios'!$D$8))/4+INDEX(BookQ3,612)*(5-MIN(4,3+'5. Scenarios'!$D$8))/4+INDEX(BookQ4,612)*(5-MIN(4,4+'5. Scenarios'!$D$8))/4)*'5. Scenarios'!$D$6/(1+ProductivityDefault*('5. Scenarios'!$D$11-1))+INDEX(BookOneOff,612)*$N617)</f>
        <v/>
      </c>
      <c r="S617" s="56" t="str">
        <f aca="false">IF(INDEX(BookTitle,612)="","",INDEX(BookTotal,612)*'5. Scenarios'!$E$6/(1+ProductivityDefault*('5. Scenarios'!$E$11-1)))</f>
        <v/>
      </c>
      <c r="T617" s="57" t="str">
        <f aca="false">IF($S617="","",INDEX(BookRate,612)*(1+'5. Scenarios'!$E$10)*$S617)</f>
        <v/>
      </c>
      <c r="U617" s="57" t="str">
        <f aca="false">IF($T617="","",SUMIFS($T$6:$T$2405,$A$6:$A$2405,"&lt;="&amp;$A617))</f>
        <v/>
      </c>
      <c r="V617" s="57" t="str">
        <f aca="false">IF($T617="","",IF($U617&lt;=BankCostEnvelope*'5. Scenarios'!$E$7,1,0))</f>
        <v/>
      </c>
      <c r="W617" s="57" t="str">
        <f aca="false">IF($S617="","",INDEX(BookRate,612)*(1+'5. Scenarios'!$E$10)*(INDEX(BookQ1,612)*(5-MIN(4,1+'5. Scenarios'!$E$8))/4+INDEX(BookQ2,612)*(5-MIN(4,2+'5. Scenarios'!$E$8))/4+INDEX(BookQ3,612)*(5-MIN(4,3+'5. Scenarios'!$E$8))/4+INDEX(BookQ4,612)*(5-MIN(4,4+'5. Scenarios'!$E$8))/4)*'5. Scenarios'!$E$6/(1+ProductivityDefault*('5. Scenarios'!$E$11-1))+INDEX(BookOneOff,612)*$S617)</f>
        <v/>
      </c>
    </row>
    <row r="618" customFormat="false" ht="15" hidden="false" customHeight="false" outlineLevel="0" collapsed="false">
      <c r="A618" s="0" t="str">
        <f aca="false">IF(INDEX(BookTitle,613)="","",INDEX(BookKey,613))</f>
        <v/>
      </c>
      <c r="B618" s="0" t="str">
        <f aca="false">IF(INDEX(BookTitle,613)="","",INDEX(BookGroup,613))</f>
        <v/>
      </c>
      <c r="C618" s="0" t="str">
        <f aca="false">IF(INDEX(BookTitle,613)="","",INDEX(BookCategory,613))</f>
        <v/>
      </c>
      <c r="D618" s="56" t="str">
        <f aca="false">IF(INDEX(BookTitle,613)="","",INDEX(BookTotal,613)*'5. Scenarios'!$B$6/(1+ProductivityDefault*('5. Scenarios'!$B$11-1)))</f>
        <v/>
      </c>
      <c r="E618" s="57" t="str">
        <f aca="false">IF($D618="","",INDEX(BookRate,613)*(1+'5. Scenarios'!$B$10)*$D618)</f>
        <v/>
      </c>
      <c r="F618" s="57" t="str">
        <f aca="false">IF($E618="","",SUMIFS($E$6:$E$2405,$A$6:$A$2405,"&lt;="&amp;$A618))</f>
        <v/>
      </c>
      <c r="G618" s="57" t="str">
        <f aca="false">IF($E618="","",IF($F618&lt;=BankCostEnvelope*'5. Scenarios'!$B$7,1,0))</f>
        <v/>
      </c>
      <c r="H618" s="57" t="str">
        <f aca="false">IF($D618="","",INDEX(BookRate,613)*(1+'5. Scenarios'!$B$10)*(INDEX(BookQ1,613)*(5-MIN(4,1+'5. Scenarios'!$B$8))/4+INDEX(BookQ2,613)*(5-MIN(4,2+'5. Scenarios'!$B$8))/4+INDEX(BookQ3,613)*(5-MIN(4,3+'5. Scenarios'!$B$8))/4+INDEX(BookQ4,613)*(5-MIN(4,4+'5. Scenarios'!$B$8))/4)*'5. Scenarios'!$B$6/(1+ProductivityDefault*('5. Scenarios'!$B$11-1))+INDEX(BookOneOff,613)*$D618)</f>
        <v/>
      </c>
      <c r="I618" s="56" t="str">
        <f aca="false">IF(INDEX(BookTitle,613)="","",INDEX(BookTotal,613)*'5. Scenarios'!$C$6/(1+ProductivityDefault*('5. Scenarios'!$C$11-1)))</f>
        <v/>
      </c>
      <c r="J618" s="57" t="str">
        <f aca="false">IF($I618="","",INDEX(BookRate,613)*(1+'5. Scenarios'!$C$10)*$I618)</f>
        <v/>
      </c>
      <c r="K618" s="57" t="str">
        <f aca="false">IF($J618="","",SUMIFS($J$6:$J$2405,$A$6:$A$2405,"&lt;="&amp;$A618))</f>
        <v/>
      </c>
      <c r="L618" s="57" t="str">
        <f aca="false">IF($J618="","",IF($K618&lt;=BankCostEnvelope*'5. Scenarios'!$C$7,1,0))</f>
        <v/>
      </c>
      <c r="M618" s="57" t="str">
        <f aca="false">IF($I618="","",INDEX(BookRate,613)*(1+'5. Scenarios'!$C$10)*(INDEX(BookQ1,613)*(5-MIN(4,1+'5. Scenarios'!$C$8))/4+INDEX(BookQ2,613)*(5-MIN(4,2+'5. Scenarios'!$C$8))/4+INDEX(BookQ3,613)*(5-MIN(4,3+'5. Scenarios'!$C$8))/4+INDEX(BookQ4,613)*(5-MIN(4,4+'5. Scenarios'!$C$8))/4)*'5. Scenarios'!$C$6/(1+ProductivityDefault*('5. Scenarios'!$C$11-1))+INDEX(BookOneOff,613)*$I618)</f>
        <v/>
      </c>
      <c r="N618" s="56" t="str">
        <f aca="false">IF(INDEX(BookTitle,613)="","",INDEX(BookTotal,613)*'5. Scenarios'!$D$6/(1+ProductivityDefault*('5. Scenarios'!$D$11-1)))</f>
        <v/>
      </c>
      <c r="O618" s="57" t="str">
        <f aca="false">IF($N618="","",INDEX(BookRate,613)*(1+'5. Scenarios'!$D$10)*$N618)</f>
        <v/>
      </c>
      <c r="P618" s="57" t="str">
        <f aca="false">IF($O618="","",SUMIFS($O$6:$O$2405,$A$6:$A$2405,"&lt;="&amp;$A618))</f>
        <v/>
      </c>
      <c r="Q618" s="57" t="str">
        <f aca="false">IF($O618="","",IF($P618&lt;=BankCostEnvelope*'5. Scenarios'!$D$7,1,0))</f>
        <v/>
      </c>
      <c r="R618" s="57" t="str">
        <f aca="false">IF($N618="","",INDEX(BookRate,613)*(1+'5. Scenarios'!$D$10)*(INDEX(BookQ1,613)*(5-MIN(4,1+'5. Scenarios'!$D$8))/4+INDEX(BookQ2,613)*(5-MIN(4,2+'5. Scenarios'!$D$8))/4+INDEX(BookQ3,613)*(5-MIN(4,3+'5. Scenarios'!$D$8))/4+INDEX(BookQ4,613)*(5-MIN(4,4+'5. Scenarios'!$D$8))/4)*'5. Scenarios'!$D$6/(1+ProductivityDefault*('5. Scenarios'!$D$11-1))+INDEX(BookOneOff,613)*$N618)</f>
        <v/>
      </c>
      <c r="S618" s="56" t="str">
        <f aca="false">IF(INDEX(BookTitle,613)="","",INDEX(BookTotal,613)*'5. Scenarios'!$E$6/(1+ProductivityDefault*('5. Scenarios'!$E$11-1)))</f>
        <v/>
      </c>
      <c r="T618" s="57" t="str">
        <f aca="false">IF($S618="","",INDEX(BookRate,613)*(1+'5. Scenarios'!$E$10)*$S618)</f>
        <v/>
      </c>
      <c r="U618" s="57" t="str">
        <f aca="false">IF($T618="","",SUMIFS($T$6:$T$2405,$A$6:$A$2405,"&lt;="&amp;$A618))</f>
        <v/>
      </c>
      <c r="V618" s="57" t="str">
        <f aca="false">IF($T618="","",IF($U618&lt;=BankCostEnvelope*'5. Scenarios'!$E$7,1,0))</f>
        <v/>
      </c>
      <c r="W618" s="57" t="str">
        <f aca="false">IF($S618="","",INDEX(BookRate,613)*(1+'5. Scenarios'!$E$10)*(INDEX(BookQ1,613)*(5-MIN(4,1+'5. Scenarios'!$E$8))/4+INDEX(BookQ2,613)*(5-MIN(4,2+'5. Scenarios'!$E$8))/4+INDEX(BookQ3,613)*(5-MIN(4,3+'5. Scenarios'!$E$8))/4+INDEX(BookQ4,613)*(5-MIN(4,4+'5. Scenarios'!$E$8))/4)*'5. Scenarios'!$E$6/(1+ProductivityDefault*('5. Scenarios'!$E$11-1))+INDEX(BookOneOff,613)*$S618)</f>
        <v/>
      </c>
    </row>
    <row r="619" customFormat="false" ht="15" hidden="false" customHeight="false" outlineLevel="0" collapsed="false">
      <c r="A619" s="0" t="str">
        <f aca="false">IF(INDEX(BookTitle,614)="","",INDEX(BookKey,614))</f>
        <v/>
      </c>
      <c r="B619" s="0" t="str">
        <f aca="false">IF(INDEX(BookTitle,614)="","",INDEX(BookGroup,614))</f>
        <v/>
      </c>
      <c r="C619" s="0" t="str">
        <f aca="false">IF(INDEX(BookTitle,614)="","",INDEX(BookCategory,614))</f>
        <v/>
      </c>
      <c r="D619" s="56" t="str">
        <f aca="false">IF(INDEX(BookTitle,614)="","",INDEX(BookTotal,614)*'5. Scenarios'!$B$6/(1+ProductivityDefault*('5. Scenarios'!$B$11-1)))</f>
        <v/>
      </c>
      <c r="E619" s="57" t="str">
        <f aca="false">IF($D619="","",INDEX(BookRate,614)*(1+'5. Scenarios'!$B$10)*$D619)</f>
        <v/>
      </c>
      <c r="F619" s="57" t="str">
        <f aca="false">IF($E619="","",SUMIFS($E$6:$E$2405,$A$6:$A$2405,"&lt;="&amp;$A619))</f>
        <v/>
      </c>
      <c r="G619" s="57" t="str">
        <f aca="false">IF($E619="","",IF($F619&lt;=BankCostEnvelope*'5. Scenarios'!$B$7,1,0))</f>
        <v/>
      </c>
      <c r="H619" s="57" t="str">
        <f aca="false">IF($D619="","",INDEX(BookRate,614)*(1+'5. Scenarios'!$B$10)*(INDEX(BookQ1,614)*(5-MIN(4,1+'5. Scenarios'!$B$8))/4+INDEX(BookQ2,614)*(5-MIN(4,2+'5. Scenarios'!$B$8))/4+INDEX(BookQ3,614)*(5-MIN(4,3+'5. Scenarios'!$B$8))/4+INDEX(BookQ4,614)*(5-MIN(4,4+'5. Scenarios'!$B$8))/4)*'5. Scenarios'!$B$6/(1+ProductivityDefault*('5. Scenarios'!$B$11-1))+INDEX(BookOneOff,614)*$D619)</f>
        <v/>
      </c>
      <c r="I619" s="56" t="str">
        <f aca="false">IF(INDEX(BookTitle,614)="","",INDEX(BookTotal,614)*'5. Scenarios'!$C$6/(1+ProductivityDefault*('5. Scenarios'!$C$11-1)))</f>
        <v/>
      </c>
      <c r="J619" s="57" t="str">
        <f aca="false">IF($I619="","",INDEX(BookRate,614)*(1+'5. Scenarios'!$C$10)*$I619)</f>
        <v/>
      </c>
      <c r="K619" s="57" t="str">
        <f aca="false">IF($J619="","",SUMIFS($J$6:$J$2405,$A$6:$A$2405,"&lt;="&amp;$A619))</f>
        <v/>
      </c>
      <c r="L619" s="57" t="str">
        <f aca="false">IF($J619="","",IF($K619&lt;=BankCostEnvelope*'5. Scenarios'!$C$7,1,0))</f>
        <v/>
      </c>
      <c r="M619" s="57" t="str">
        <f aca="false">IF($I619="","",INDEX(BookRate,614)*(1+'5. Scenarios'!$C$10)*(INDEX(BookQ1,614)*(5-MIN(4,1+'5. Scenarios'!$C$8))/4+INDEX(BookQ2,614)*(5-MIN(4,2+'5. Scenarios'!$C$8))/4+INDEX(BookQ3,614)*(5-MIN(4,3+'5. Scenarios'!$C$8))/4+INDEX(BookQ4,614)*(5-MIN(4,4+'5. Scenarios'!$C$8))/4)*'5. Scenarios'!$C$6/(1+ProductivityDefault*('5. Scenarios'!$C$11-1))+INDEX(BookOneOff,614)*$I619)</f>
        <v/>
      </c>
      <c r="N619" s="56" t="str">
        <f aca="false">IF(INDEX(BookTitle,614)="","",INDEX(BookTotal,614)*'5. Scenarios'!$D$6/(1+ProductivityDefault*('5. Scenarios'!$D$11-1)))</f>
        <v/>
      </c>
      <c r="O619" s="57" t="str">
        <f aca="false">IF($N619="","",INDEX(BookRate,614)*(1+'5. Scenarios'!$D$10)*$N619)</f>
        <v/>
      </c>
      <c r="P619" s="57" t="str">
        <f aca="false">IF($O619="","",SUMIFS($O$6:$O$2405,$A$6:$A$2405,"&lt;="&amp;$A619))</f>
        <v/>
      </c>
      <c r="Q619" s="57" t="str">
        <f aca="false">IF($O619="","",IF($P619&lt;=BankCostEnvelope*'5. Scenarios'!$D$7,1,0))</f>
        <v/>
      </c>
      <c r="R619" s="57" t="str">
        <f aca="false">IF($N619="","",INDEX(BookRate,614)*(1+'5. Scenarios'!$D$10)*(INDEX(BookQ1,614)*(5-MIN(4,1+'5. Scenarios'!$D$8))/4+INDEX(BookQ2,614)*(5-MIN(4,2+'5. Scenarios'!$D$8))/4+INDEX(BookQ3,614)*(5-MIN(4,3+'5. Scenarios'!$D$8))/4+INDEX(BookQ4,614)*(5-MIN(4,4+'5. Scenarios'!$D$8))/4)*'5. Scenarios'!$D$6/(1+ProductivityDefault*('5. Scenarios'!$D$11-1))+INDEX(BookOneOff,614)*$N619)</f>
        <v/>
      </c>
      <c r="S619" s="56" t="str">
        <f aca="false">IF(INDEX(BookTitle,614)="","",INDEX(BookTotal,614)*'5. Scenarios'!$E$6/(1+ProductivityDefault*('5. Scenarios'!$E$11-1)))</f>
        <v/>
      </c>
      <c r="T619" s="57" t="str">
        <f aca="false">IF($S619="","",INDEX(BookRate,614)*(1+'5. Scenarios'!$E$10)*$S619)</f>
        <v/>
      </c>
      <c r="U619" s="57" t="str">
        <f aca="false">IF($T619="","",SUMIFS($T$6:$T$2405,$A$6:$A$2405,"&lt;="&amp;$A619))</f>
        <v/>
      </c>
      <c r="V619" s="57" t="str">
        <f aca="false">IF($T619="","",IF($U619&lt;=BankCostEnvelope*'5. Scenarios'!$E$7,1,0))</f>
        <v/>
      </c>
      <c r="W619" s="57" t="str">
        <f aca="false">IF($S619="","",INDEX(BookRate,614)*(1+'5. Scenarios'!$E$10)*(INDEX(BookQ1,614)*(5-MIN(4,1+'5. Scenarios'!$E$8))/4+INDEX(BookQ2,614)*(5-MIN(4,2+'5. Scenarios'!$E$8))/4+INDEX(BookQ3,614)*(5-MIN(4,3+'5. Scenarios'!$E$8))/4+INDEX(BookQ4,614)*(5-MIN(4,4+'5. Scenarios'!$E$8))/4)*'5. Scenarios'!$E$6/(1+ProductivityDefault*('5. Scenarios'!$E$11-1))+INDEX(BookOneOff,614)*$S619)</f>
        <v/>
      </c>
    </row>
    <row r="620" customFormat="false" ht="15" hidden="false" customHeight="false" outlineLevel="0" collapsed="false">
      <c r="A620" s="0" t="str">
        <f aca="false">IF(INDEX(BookTitle,615)="","",INDEX(BookKey,615))</f>
        <v/>
      </c>
      <c r="B620" s="0" t="str">
        <f aca="false">IF(INDEX(BookTitle,615)="","",INDEX(BookGroup,615))</f>
        <v/>
      </c>
      <c r="C620" s="0" t="str">
        <f aca="false">IF(INDEX(BookTitle,615)="","",INDEX(BookCategory,615))</f>
        <v/>
      </c>
      <c r="D620" s="56" t="str">
        <f aca="false">IF(INDEX(BookTitle,615)="","",INDEX(BookTotal,615)*'5. Scenarios'!$B$6/(1+ProductivityDefault*('5. Scenarios'!$B$11-1)))</f>
        <v/>
      </c>
      <c r="E620" s="57" t="str">
        <f aca="false">IF($D620="","",INDEX(BookRate,615)*(1+'5. Scenarios'!$B$10)*$D620)</f>
        <v/>
      </c>
      <c r="F620" s="57" t="str">
        <f aca="false">IF($E620="","",SUMIFS($E$6:$E$2405,$A$6:$A$2405,"&lt;="&amp;$A620))</f>
        <v/>
      </c>
      <c r="G620" s="57" t="str">
        <f aca="false">IF($E620="","",IF($F620&lt;=BankCostEnvelope*'5. Scenarios'!$B$7,1,0))</f>
        <v/>
      </c>
      <c r="H620" s="57" t="str">
        <f aca="false">IF($D620="","",INDEX(BookRate,615)*(1+'5. Scenarios'!$B$10)*(INDEX(BookQ1,615)*(5-MIN(4,1+'5. Scenarios'!$B$8))/4+INDEX(BookQ2,615)*(5-MIN(4,2+'5. Scenarios'!$B$8))/4+INDEX(BookQ3,615)*(5-MIN(4,3+'5. Scenarios'!$B$8))/4+INDEX(BookQ4,615)*(5-MIN(4,4+'5. Scenarios'!$B$8))/4)*'5. Scenarios'!$B$6/(1+ProductivityDefault*('5. Scenarios'!$B$11-1))+INDEX(BookOneOff,615)*$D620)</f>
        <v/>
      </c>
      <c r="I620" s="56" t="str">
        <f aca="false">IF(INDEX(BookTitle,615)="","",INDEX(BookTotal,615)*'5. Scenarios'!$C$6/(1+ProductivityDefault*('5. Scenarios'!$C$11-1)))</f>
        <v/>
      </c>
      <c r="J620" s="57" t="str">
        <f aca="false">IF($I620="","",INDEX(BookRate,615)*(1+'5. Scenarios'!$C$10)*$I620)</f>
        <v/>
      </c>
      <c r="K620" s="57" t="str">
        <f aca="false">IF($J620="","",SUMIFS($J$6:$J$2405,$A$6:$A$2405,"&lt;="&amp;$A620))</f>
        <v/>
      </c>
      <c r="L620" s="57" t="str">
        <f aca="false">IF($J620="","",IF($K620&lt;=BankCostEnvelope*'5. Scenarios'!$C$7,1,0))</f>
        <v/>
      </c>
      <c r="M620" s="57" t="str">
        <f aca="false">IF($I620="","",INDEX(BookRate,615)*(1+'5. Scenarios'!$C$10)*(INDEX(BookQ1,615)*(5-MIN(4,1+'5. Scenarios'!$C$8))/4+INDEX(BookQ2,615)*(5-MIN(4,2+'5. Scenarios'!$C$8))/4+INDEX(BookQ3,615)*(5-MIN(4,3+'5. Scenarios'!$C$8))/4+INDEX(BookQ4,615)*(5-MIN(4,4+'5. Scenarios'!$C$8))/4)*'5. Scenarios'!$C$6/(1+ProductivityDefault*('5. Scenarios'!$C$11-1))+INDEX(BookOneOff,615)*$I620)</f>
        <v/>
      </c>
      <c r="N620" s="56" t="str">
        <f aca="false">IF(INDEX(BookTitle,615)="","",INDEX(BookTotal,615)*'5. Scenarios'!$D$6/(1+ProductivityDefault*('5. Scenarios'!$D$11-1)))</f>
        <v/>
      </c>
      <c r="O620" s="57" t="str">
        <f aca="false">IF($N620="","",INDEX(BookRate,615)*(1+'5. Scenarios'!$D$10)*$N620)</f>
        <v/>
      </c>
      <c r="P620" s="57" t="str">
        <f aca="false">IF($O620="","",SUMIFS($O$6:$O$2405,$A$6:$A$2405,"&lt;="&amp;$A620))</f>
        <v/>
      </c>
      <c r="Q620" s="57" t="str">
        <f aca="false">IF($O620="","",IF($P620&lt;=BankCostEnvelope*'5. Scenarios'!$D$7,1,0))</f>
        <v/>
      </c>
      <c r="R620" s="57" t="str">
        <f aca="false">IF($N620="","",INDEX(BookRate,615)*(1+'5. Scenarios'!$D$10)*(INDEX(BookQ1,615)*(5-MIN(4,1+'5. Scenarios'!$D$8))/4+INDEX(BookQ2,615)*(5-MIN(4,2+'5. Scenarios'!$D$8))/4+INDEX(BookQ3,615)*(5-MIN(4,3+'5. Scenarios'!$D$8))/4+INDEX(BookQ4,615)*(5-MIN(4,4+'5. Scenarios'!$D$8))/4)*'5. Scenarios'!$D$6/(1+ProductivityDefault*('5. Scenarios'!$D$11-1))+INDEX(BookOneOff,615)*$N620)</f>
        <v/>
      </c>
      <c r="S620" s="56" t="str">
        <f aca="false">IF(INDEX(BookTitle,615)="","",INDEX(BookTotal,615)*'5. Scenarios'!$E$6/(1+ProductivityDefault*('5. Scenarios'!$E$11-1)))</f>
        <v/>
      </c>
      <c r="T620" s="57" t="str">
        <f aca="false">IF($S620="","",INDEX(BookRate,615)*(1+'5. Scenarios'!$E$10)*$S620)</f>
        <v/>
      </c>
      <c r="U620" s="57" t="str">
        <f aca="false">IF($T620="","",SUMIFS($T$6:$T$2405,$A$6:$A$2405,"&lt;="&amp;$A620))</f>
        <v/>
      </c>
      <c r="V620" s="57" t="str">
        <f aca="false">IF($T620="","",IF($U620&lt;=BankCostEnvelope*'5. Scenarios'!$E$7,1,0))</f>
        <v/>
      </c>
      <c r="W620" s="57" t="str">
        <f aca="false">IF($S620="","",INDEX(BookRate,615)*(1+'5. Scenarios'!$E$10)*(INDEX(BookQ1,615)*(5-MIN(4,1+'5. Scenarios'!$E$8))/4+INDEX(BookQ2,615)*(5-MIN(4,2+'5. Scenarios'!$E$8))/4+INDEX(BookQ3,615)*(5-MIN(4,3+'5. Scenarios'!$E$8))/4+INDEX(BookQ4,615)*(5-MIN(4,4+'5. Scenarios'!$E$8))/4)*'5. Scenarios'!$E$6/(1+ProductivityDefault*('5. Scenarios'!$E$11-1))+INDEX(BookOneOff,615)*$S620)</f>
        <v/>
      </c>
    </row>
    <row r="621" customFormat="false" ht="15" hidden="false" customHeight="false" outlineLevel="0" collapsed="false">
      <c r="A621" s="0" t="str">
        <f aca="false">IF(INDEX(BookTitle,616)="","",INDEX(BookKey,616))</f>
        <v/>
      </c>
      <c r="B621" s="0" t="str">
        <f aca="false">IF(INDEX(BookTitle,616)="","",INDEX(BookGroup,616))</f>
        <v/>
      </c>
      <c r="C621" s="0" t="str">
        <f aca="false">IF(INDEX(BookTitle,616)="","",INDEX(BookCategory,616))</f>
        <v/>
      </c>
      <c r="D621" s="56" t="str">
        <f aca="false">IF(INDEX(BookTitle,616)="","",INDEX(BookTotal,616)*'5. Scenarios'!$B$6/(1+ProductivityDefault*('5. Scenarios'!$B$11-1)))</f>
        <v/>
      </c>
      <c r="E621" s="57" t="str">
        <f aca="false">IF($D621="","",INDEX(BookRate,616)*(1+'5. Scenarios'!$B$10)*$D621)</f>
        <v/>
      </c>
      <c r="F621" s="57" t="str">
        <f aca="false">IF($E621="","",SUMIFS($E$6:$E$2405,$A$6:$A$2405,"&lt;="&amp;$A621))</f>
        <v/>
      </c>
      <c r="G621" s="57" t="str">
        <f aca="false">IF($E621="","",IF($F621&lt;=BankCostEnvelope*'5. Scenarios'!$B$7,1,0))</f>
        <v/>
      </c>
      <c r="H621" s="57" t="str">
        <f aca="false">IF($D621="","",INDEX(BookRate,616)*(1+'5. Scenarios'!$B$10)*(INDEX(BookQ1,616)*(5-MIN(4,1+'5. Scenarios'!$B$8))/4+INDEX(BookQ2,616)*(5-MIN(4,2+'5. Scenarios'!$B$8))/4+INDEX(BookQ3,616)*(5-MIN(4,3+'5. Scenarios'!$B$8))/4+INDEX(BookQ4,616)*(5-MIN(4,4+'5. Scenarios'!$B$8))/4)*'5. Scenarios'!$B$6/(1+ProductivityDefault*('5. Scenarios'!$B$11-1))+INDEX(BookOneOff,616)*$D621)</f>
        <v/>
      </c>
      <c r="I621" s="56" t="str">
        <f aca="false">IF(INDEX(BookTitle,616)="","",INDEX(BookTotal,616)*'5. Scenarios'!$C$6/(1+ProductivityDefault*('5. Scenarios'!$C$11-1)))</f>
        <v/>
      </c>
      <c r="J621" s="57" t="str">
        <f aca="false">IF($I621="","",INDEX(BookRate,616)*(1+'5. Scenarios'!$C$10)*$I621)</f>
        <v/>
      </c>
      <c r="K621" s="57" t="str">
        <f aca="false">IF($J621="","",SUMIFS($J$6:$J$2405,$A$6:$A$2405,"&lt;="&amp;$A621))</f>
        <v/>
      </c>
      <c r="L621" s="57" t="str">
        <f aca="false">IF($J621="","",IF($K621&lt;=BankCostEnvelope*'5. Scenarios'!$C$7,1,0))</f>
        <v/>
      </c>
      <c r="M621" s="57" t="str">
        <f aca="false">IF($I621="","",INDEX(BookRate,616)*(1+'5. Scenarios'!$C$10)*(INDEX(BookQ1,616)*(5-MIN(4,1+'5. Scenarios'!$C$8))/4+INDEX(BookQ2,616)*(5-MIN(4,2+'5. Scenarios'!$C$8))/4+INDEX(BookQ3,616)*(5-MIN(4,3+'5. Scenarios'!$C$8))/4+INDEX(BookQ4,616)*(5-MIN(4,4+'5. Scenarios'!$C$8))/4)*'5. Scenarios'!$C$6/(1+ProductivityDefault*('5. Scenarios'!$C$11-1))+INDEX(BookOneOff,616)*$I621)</f>
        <v/>
      </c>
      <c r="N621" s="56" t="str">
        <f aca="false">IF(INDEX(BookTitle,616)="","",INDEX(BookTotal,616)*'5. Scenarios'!$D$6/(1+ProductivityDefault*('5. Scenarios'!$D$11-1)))</f>
        <v/>
      </c>
      <c r="O621" s="57" t="str">
        <f aca="false">IF($N621="","",INDEX(BookRate,616)*(1+'5. Scenarios'!$D$10)*$N621)</f>
        <v/>
      </c>
      <c r="P621" s="57" t="str">
        <f aca="false">IF($O621="","",SUMIFS($O$6:$O$2405,$A$6:$A$2405,"&lt;="&amp;$A621))</f>
        <v/>
      </c>
      <c r="Q621" s="57" t="str">
        <f aca="false">IF($O621="","",IF($P621&lt;=BankCostEnvelope*'5. Scenarios'!$D$7,1,0))</f>
        <v/>
      </c>
      <c r="R621" s="57" t="str">
        <f aca="false">IF($N621="","",INDEX(BookRate,616)*(1+'5. Scenarios'!$D$10)*(INDEX(BookQ1,616)*(5-MIN(4,1+'5. Scenarios'!$D$8))/4+INDEX(BookQ2,616)*(5-MIN(4,2+'5. Scenarios'!$D$8))/4+INDEX(BookQ3,616)*(5-MIN(4,3+'5. Scenarios'!$D$8))/4+INDEX(BookQ4,616)*(5-MIN(4,4+'5. Scenarios'!$D$8))/4)*'5. Scenarios'!$D$6/(1+ProductivityDefault*('5. Scenarios'!$D$11-1))+INDEX(BookOneOff,616)*$N621)</f>
        <v/>
      </c>
      <c r="S621" s="56" t="str">
        <f aca="false">IF(INDEX(BookTitle,616)="","",INDEX(BookTotal,616)*'5. Scenarios'!$E$6/(1+ProductivityDefault*('5. Scenarios'!$E$11-1)))</f>
        <v/>
      </c>
      <c r="T621" s="57" t="str">
        <f aca="false">IF($S621="","",INDEX(BookRate,616)*(1+'5. Scenarios'!$E$10)*$S621)</f>
        <v/>
      </c>
      <c r="U621" s="57" t="str">
        <f aca="false">IF($T621="","",SUMIFS($T$6:$T$2405,$A$6:$A$2405,"&lt;="&amp;$A621))</f>
        <v/>
      </c>
      <c r="V621" s="57" t="str">
        <f aca="false">IF($T621="","",IF($U621&lt;=BankCostEnvelope*'5. Scenarios'!$E$7,1,0))</f>
        <v/>
      </c>
      <c r="W621" s="57" t="str">
        <f aca="false">IF($S621="","",INDEX(BookRate,616)*(1+'5. Scenarios'!$E$10)*(INDEX(BookQ1,616)*(5-MIN(4,1+'5. Scenarios'!$E$8))/4+INDEX(BookQ2,616)*(5-MIN(4,2+'5. Scenarios'!$E$8))/4+INDEX(BookQ3,616)*(5-MIN(4,3+'5. Scenarios'!$E$8))/4+INDEX(BookQ4,616)*(5-MIN(4,4+'5. Scenarios'!$E$8))/4)*'5. Scenarios'!$E$6/(1+ProductivityDefault*('5. Scenarios'!$E$11-1))+INDEX(BookOneOff,616)*$S621)</f>
        <v/>
      </c>
    </row>
    <row r="622" customFormat="false" ht="15" hidden="false" customHeight="false" outlineLevel="0" collapsed="false">
      <c r="A622" s="0" t="str">
        <f aca="false">IF(INDEX(BookTitle,617)="","",INDEX(BookKey,617))</f>
        <v/>
      </c>
      <c r="B622" s="0" t="str">
        <f aca="false">IF(INDEX(BookTitle,617)="","",INDEX(BookGroup,617))</f>
        <v/>
      </c>
      <c r="C622" s="0" t="str">
        <f aca="false">IF(INDEX(BookTitle,617)="","",INDEX(BookCategory,617))</f>
        <v/>
      </c>
      <c r="D622" s="56" t="str">
        <f aca="false">IF(INDEX(BookTitle,617)="","",INDEX(BookTotal,617)*'5. Scenarios'!$B$6/(1+ProductivityDefault*('5. Scenarios'!$B$11-1)))</f>
        <v/>
      </c>
      <c r="E622" s="57" t="str">
        <f aca="false">IF($D622="","",INDEX(BookRate,617)*(1+'5. Scenarios'!$B$10)*$D622)</f>
        <v/>
      </c>
      <c r="F622" s="57" t="str">
        <f aca="false">IF($E622="","",SUMIFS($E$6:$E$2405,$A$6:$A$2405,"&lt;="&amp;$A622))</f>
        <v/>
      </c>
      <c r="G622" s="57" t="str">
        <f aca="false">IF($E622="","",IF($F622&lt;=BankCostEnvelope*'5. Scenarios'!$B$7,1,0))</f>
        <v/>
      </c>
      <c r="H622" s="57" t="str">
        <f aca="false">IF($D622="","",INDEX(BookRate,617)*(1+'5. Scenarios'!$B$10)*(INDEX(BookQ1,617)*(5-MIN(4,1+'5. Scenarios'!$B$8))/4+INDEX(BookQ2,617)*(5-MIN(4,2+'5. Scenarios'!$B$8))/4+INDEX(BookQ3,617)*(5-MIN(4,3+'5. Scenarios'!$B$8))/4+INDEX(BookQ4,617)*(5-MIN(4,4+'5. Scenarios'!$B$8))/4)*'5. Scenarios'!$B$6/(1+ProductivityDefault*('5. Scenarios'!$B$11-1))+INDEX(BookOneOff,617)*$D622)</f>
        <v/>
      </c>
      <c r="I622" s="56" t="str">
        <f aca="false">IF(INDEX(BookTitle,617)="","",INDEX(BookTotal,617)*'5. Scenarios'!$C$6/(1+ProductivityDefault*('5. Scenarios'!$C$11-1)))</f>
        <v/>
      </c>
      <c r="J622" s="57" t="str">
        <f aca="false">IF($I622="","",INDEX(BookRate,617)*(1+'5. Scenarios'!$C$10)*$I622)</f>
        <v/>
      </c>
      <c r="K622" s="57" t="str">
        <f aca="false">IF($J622="","",SUMIFS($J$6:$J$2405,$A$6:$A$2405,"&lt;="&amp;$A622))</f>
        <v/>
      </c>
      <c r="L622" s="57" t="str">
        <f aca="false">IF($J622="","",IF($K622&lt;=BankCostEnvelope*'5. Scenarios'!$C$7,1,0))</f>
        <v/>
      </c>
      <c r="M622" s="57" t="str">
        <f aca="false">IF($I622="","",INDEX(BookRate,617)*(1+'5. Scenarios'!$C$10)*(INDEX(BookQ1,617)*(5-MIN(4,1+'5. Scenarios'!$C$8))/4+INDEX(BookQ2,617)*(5-MIN(4,2+'5. Scenarios'!$C$8))/4+INDEX(BookQ3,617)*(5-MIN(4,3+'5. Scenarios'!$C$8))/4+INDEX(BookQ4,617)*(5-MIN(4,4+'5. Scenarios'!$C$8))/4)*'5. Scenarios'!$C$6/(1+ProductivityDefault*('5. Scenarios'!$C$11-1))+INDEX(BookOneOff,617)*$I622)</f>
        <v/>
      </c>
      <c r="N622" s="56" t="str">
        <f aca="false">IF(INDEX(BookTitle,617)="","",INDEX(BookTotal,617)*'5. Scenarios'!$D$6/(1+ProductivityDefault*('5. Scenarios'!$D$11-1)))</f>
        <v/>
      </c>
      <c r="O622" s="57" t="str">
        <f aca="false">IF($N622="","",INDEX(BookRate,617)*(1+'5. Scenarios'!$D$10)*$N622)</f>
        <v/>
      </c>
      <c r="P622" s="57" t="str">
        <f aca="false">IF($O622="","",SUMIFS($O$6:$O$2405,$A$6:$A$2405,"&lt;="&amp;$A622))</f>
        <v/>
      </c>
      <c r="Q622" s="57" t="str">
        <f aca="false">IF($O622="","",IF($P622&lt;=BankCostEnvelope*'5. Scenarios'!$D$7,1,0))</f>
        <v/>
      </c>
      <c r="R622" s="57" t="str">
        <f aca="false">IF($N622="","",INDEX(BookRate,617)*(1+'5. Scenarios'!$D$10)*(INDEX(BookQ1,617)*(5-MIN(4,1+'5. Scenarios'!$D$8))/4+INDEX(BookQ2,617)*(5-MIN(4,2+'5. Scenarios'!$D$8))/4+INDEX(BookQ3,617)*(5-MIN(4,3+'5. Scenarios'!$D$8))/4+INDEX(BookQ4,617)*(5-MIN(4,4+'5. Scenarios'!$D$8))/4)*'5. Scenarios'!$D$6/(1+ProductivityDefault*('5. Scenarios'!$D$11-1))+INDEX(BookOneOff,617)*$N622)</f>
        <v/>
      </c>
      <c r="S622" s="56" t="str">
        <f aca="false">IF(INDEX(BookTitle,617)="","",INDEX(BookTotal,617)*'5. Scenarios'!$E$6/(1+ProductivityDefault*('5. Scenarios'!$E$11-1)))</f>
        <v/>
      </c>
      <c r="T622" s="57" t="str">
        <f aca="false">IF($S622="","",INDEX(BookRate,617)*(1+'5. Scenarios'!$E$10)*$S622)</f>
        <v/>
      </c>
      <c r="U622" s="57" t="str">
        <f aca="false">IF($T622="","",SUMIFS($T$6:$T$2405,$A$6:$A$2405,"&lt;="&amp;$A622))</f>
        <v/>
      </c>
      <c r="V622" s="57" t="str">
        <f aca="false">IF($T622="","",IF($U622&lt;=BankCostEnvelope*'5. Scenarios'!$E$7,1,0))</f>
        <v/>
      </c>
      <c r="W622" s="57" t="str">
        <f aca="false">IF($S622="","",INDEX(BookRate,617)*(1+'5. Scenarios'!$E$10)*(INDEX(BookQ1,617)*(5-MIN(4,1+'5. Scenarios'!$E$8))/4+INDEX(BookQ2,617)*(5-MIN(4,2+'5. Scenarios'!$E$8))/4+INDEX(BookQ3,617)*(5-MIN(4,3+'5. Scenarios'!$E$8))/4+INDEX(BookQ4,617)*(5-MIN(4,4+'5. Scenarios'!$E$8))/4)*'5. Scenarios'!$E$6/(1+ProductivityDefault*('5. Scenarios'!$E$11-1))+INDEX(BookOneOff,617)*$S622)</f>
        <v/>
      </c>
    </row>
    <row r="623" customFormat="false" ht="15" hidden="false" customHeight="false" outlineLevel="0" collapsed="false">
      <c r="A623" s="0" t="str">
        <f aca="false">IF(INDEX(BookTitle,618)="","",INDEX(BookKey,618))</f>
        <v/>
      </c>
      <c r="B623" s="0" t="str">
        <f aca="false">IF(INDEX(BookTitle,618)="","",INDEX(BookGroup,618))</f>
        <v/>
      </c>
      <c r="C623" s="0" t="str">
        <f aca="false">IF(INDEX(BookTitle,618)="","",INDEX(BookCategory,618))</f>
        <v/>
      </c>
      <c r="D623" s="56" t="str">
        <f aca="false">IF(INDEX(BookTitle,618)="","",INDEX(BookTotal,618)*'5. Scenarios'!$B$6/(1+ProductivityDefault*('5. Scenarios'!$B$11-1)))</f>
        <v/>
      </c>
      <c r="E623" s="57" t="str">
        <f aca="false">IF($D623="","",INDEX(BookRate,618)*(1+'5. Scenarios'!$B$10)*$D623)</f>
        <v/>
      </c>
      <c r="F623" s="57" t="str">
        <f aca="false">IF($E623="","",SUMIFS($E$6:$E$2405,$A$6:$A$2405,"&lt;="&amp;$A623))</f>
        <v/>
      </c>
      <c r="G623" s="57" t="str">
        <f aca="false">IF($E623="","",IF($F623&lt;=BankCostEnvelope*'5. Scenarios'!$B$7,1,0))</f>
        <v/>
      </c>
      <c r="H623" s="57" t="str">
        <f aca="false">IF($D623="","",INDEX(BookRate,618)*(1+'5. Scenarios'!$B$10)*(INDEX(BookQ1,618)*(5-MIN(4,1+'5. Scenarios'!$B$8))/4+INDEX(BookQ2,618)*(5-MIN(4,2+'5. Scenarios'!$B$8))/4+INDEX(BookQ3,618)*(5-MIN(4,3+'5. Scenarios'!$B$8))/4+INDEX(BookQ4,618)*(5-MIN(4,4+'5. Scenarios'!$B$8))/4)*'5. Scenarios'!$B$6/(1+ProductivityDefault*('5. Scenarios'!$B$11-1))+INDEX(BookOneOff,618)*$D623)</f>
        <v/>
      </c>
      <c r="I623" s="56" t="str">
        <f aca="false">IF(INDEX(BookTitle,618)="","",INDEX(BookTotal,618)*'5. Scenarios'!$C$6/(1+ProductivityDefault*('5. Scenarios'!$C$11-1)))</f>
        <v/>
      </c>
      <c r="J623" s="57" t="str">
        <f aca="false">IF($I623="","",INDEX(BookRate,618)*(1+'5. Scenarios'!$C$10)*$I623)</f>
        <v/>
      </c>
      <c r="K623" s="57" t="str">
        <f aca="false">IF($J623="","",SUMIFS($J$6:$J$2405,$A$6:$A$2405,"&lt;="&amp;$A623))</f>
        <v/>
      </c>
      <c r="L623" s="57" t="str">
        <f aca="false">IF($J623="","",IF($K623&lt;=BankCostEnvelope*'5. Scenarios'!$C$7,1,0))</f>
        <v/>
      </c>
      <c r="M623" s="57" t="str">
        <f aca="false">IF($I623="","",INDEX(BookRate,618)*(1+'5. Scenarios'!$C$10)*(INDEX(BookQ1,618)*(5-MIN(4,1+'5. Scenarios'!$C$8))/4+INDEX(BookQ2,618)*(5-MIN(4,2+'5. Scenarios'!$C$8))/4+INDEX(BookQ3,618)*(5-MIN(4,3+'5. Scenarios'!$C$8))/4+INDEX(BookQ4,618)*(5-MIN(4,4+'5. Scenarios'!$C$8))/4)*'5. Scenarios'!$C$6/(1+ProductivityDefault*('5. Scenarios'!$C$11-1))+INDEX(BookOneOff,618)*$I623)</f>
        <v/>
      </c>
      <c r="N623" s="56" t="str">
        <f aca="false">IF(INDEX(BookTitle,618)="","",INDEX(BookTotal,618)*'5. Scenarios'!$D$6/(1+ProductivityDefault*('5. Scenarios'!$D$11-1)))</f>
        <v/>
      </c>
      <c r="O623" s="57" t="str">
        <f aca="false">IF($N623="","",INDEX(BookRate,618)*(1+'5. Scenarios'!$D$10)*$N623)</f>
        <v/>
      </c>
      <c r="P623" s="57" t="str">
        <f aca="false">IF($O623="","",SUMIFS($O$6:$O$2405,$A$6:$A$2405,"&lt;="&amp;$A623))</f>
        <v/>
      </c>
      <c r="Q623" s="57" t="str">
        <f aca="false">IF($O623="","",IF($P623&lt;=BankCostEnvelope*'5. Scenarios'!$D$7,1,0))</f>
        <v/>
      </c>
      <c r="R623" s="57" t="str">
        <f aca="false">IF($N623="","",INDEX(BookRate,618)*(1+'5. Scenarios'!$D$10)*(INDEX(BookQ1,618)*(5-MIN(4,1+'5. Scenarios'!$D$8))/4+INDEX(BookQ2,618)*(5-MIN(4,2+'5. Scenarios'!$D$8))/4+INDEX(BookQ3,618)*(5-MIN(4,3+'5. Scenarios'!$D$8))/4+INDEX(BookQ4,618)*(5-MIN(4,4+'5. Scenarios'!$D$8))/4)*'5. Scenarios'!$D$6/(1+ProductivityDefault*('5. Scenarios'!$D$11-1))+INDEX(BookOneOff,618)*$N623)</f>
        <v/>
      </c>
      <c r="S623" s="56" t="str">
        <f aca="false">IF(INDEX(BookTitle,618)="","",INDEX(BookTotal,618)*'5. Scenarios'!$E$6/(1+ProductivityDefault*('5. Scenarios'!$E$11-1)))</f>
        <v/>
      </c>
      <c r="T623" s="57" t="str">
        <f aca="false">IF($S623="","",INDEX(BookRate,618)*(1+'5. Scenarios'!$E$10)*$S623)</f>
        <v/>
      </c>
      <c r="U623" s="57" t="str">
        <f aca="false">IF($T623="","",SUMIFS($T$6:$T$2405,$A$6:$A$2405,"&lt;="&amp;$A623))</f>
        <v/>
      </c>
      <c r="V623" s="57" t="str">
        <f aca="false">IF($T623="","",IF($U623&lt;=BankCostEnvelope*'5. Scenarios'!$E$7,1,0))</f>
        <v/>
      </c>
      <c r="W623" s="57" t="str">
        <f aca="false">IF($S623="","",INDEX(BookRate,618)*(1+'5. Scenarios'!$E$10)*(INDEX(BookQ1,618)*(5-MIN(4,1+'5. Scenarios'!$E$8))/4+INDEX(BookQ2,618)*(5-MIN(4,2+'5. Scenarios'!$E$8))/4+INDEX(BookQ3,618)*(5-MIN(4,3+'5. Scenarios'!$E$8))/4+INDEX(BookQ4,618)*(5-MIN(4,4+'5. Scenarios'!$E$8))/4)*'5. Scenarios'!$E$6/(1+ProductivityDefault*('5. Scenarios'!$E$11-1))+INDEX(BookOneOff,618)*$S623)</f>
        <v/>
      </c>
    </row>
    <row r="624" customFormat="false" ht="15" hidden="false" customHeight="false" outlineLevel="0" collapsed="false">
      <c r="A624" s="0" t="str">
        <f aca="false">IF(INDEX(BookTitle,619)="","",INDEX(BookKey,619))</f>
        <v/>
      </c>
      <c r="B624" s="0" t="str">
        <f aca="false">IF(INDEX(BookTitle,619)="","",INDEX(BookGroup,619))</f>
        <v/>
      </c>
      <c r="C624" s="0" t="str">
        <f aca="false">IF(INDEX(BookTitle,619)="","",INDEX(BookCategory,619))</f>
        <v/>
      </c>
      <c r="D624" s="56" t="str">
        <f aca="false">IF(INDEX(BookTitle,619)="","",INDEX(BookTotal,619)*'5. Scenarios'!$B$6/(1+ProductivityDefault*('5. Scenarios'!$B$11-1)))</f>
        <v/>
      </c>
      <c r="E624" s="57" t="str">
        <f aca="false">IF($D624="","",INDEX(BookRate,619)*(1+'5. Scenarios'!$B$10)*$D624)</f>
        <v/>
      </c>
      <c r="F624" s="57" t="str">
        <f aca="false">IF($E624="","",SUMIFS($E$6:$E$2405,$A$6:$A$2405,"&lt;="&amp;$A624))</f>
        <v/>
      </c>
      <c r="G624" s="57" t="str">
        <f aca="false">IF($E624="","",IF($F624&lt;=BankCostEnvelope*'5. Scenarios'!$B$7,1,0))</f>
        <v/>
      </c>
      <c r="H624" s="57" t="str">
        <f aca="false">IF($D624="","",INDEX(BookRate,619)*(1+'5. Scenarios'!$B$10)*(INDEX(BookQ1,619)*(5-MIN(4,1+'5. Scenarios'!$B$8))/4+INDEX(BookQ2,619)*(5-MIN(4,2+'5. Scenarios'!$B$8))/4+INDEX(BookQ3,619)*(5-MIN(4,3+'5. Scenarios'!$B$8))/4+INDEX(BookQ4,619)*(5-MIN(4,4+'5. Scenarios'!$B$8))/4)*'5. Scenarios'!$B$6/(1+ProductivityDefault*('5. Scenarios'!$B$11-1))+INDEX(BookOneOff,619)*$D624)</f>
        <v/>
      </c>
      <c r="I624" s="56" t="str">
        <f aca="false">IF(INDEX(BookTitle,619)="","",INDEX(BookTotal,619)*'5. Scenarios'!$C$6/(1+ProductivityDefault*('5. Scenarios'!$C$11-1)))</f>
        <v/>
      </c>
      <c r="J624" s="57" t="str">
        <f aca="false">IF($I624="","",INDEX(BookRate,619)*(1+'5. Scenarios'!$C$10)*$I624)</f>
        <v/>
      </c>
      <c r="K624" s="57" t="str">
        <f aca="false">IF($J624="","",SUMIFS($J$6:$J$2405,$A$6:$A$2405,"&lt;="&amp;$A624))</f>
        <v/>
      </c>
      <c r="L624" s="57" t="str">
        <f aca="false">IF($J624="","",IF($K624&lt;=BankCostEnvelope*'5. Scenarios'!$C$7,1,0))</f>
        <v/>
      </c>
      <c r="M624" s="57" t="str">
        <f aca="false">IF($I624="","",INDEX(BookRate,619)*(1+'5. Scenarios'!$C$10)*(INDEX(BookQ1,619)*(5-MIN(4,1+'5. Scenarios'!$C$8))/4+INDEX(BookQ2,619)*(5-MIN(4,2+'5. Scenarios'!$C$8))/4+INDEX(BookQ3,619)*(5-MIN(4,3+'5. Scenarios'!$C$8))/4+INDEX(BookQ4,619)*(5-MIN(4,4+'5. Scenarios'!$C$8))/4)*'5. Scenarios'!$C$6/(1+ProductivityDefault*('5. Scenarios'!$C$11-1))+INDEX(BookOneOff,619)*$I624)</f>
        <v/>
      </c>
      <c r="N624" s="56" t="str">
        <f aca="false">IF(INDEX(BookTitle,619)="","",INDEX(BookTotal,619)*'5. Scenarios'!$D$6/(1+ProductivityDefault*('5. Scenarios'!$D$11-1)))</f>
        <v/>
      </c>
      <c r="O624" s="57" t="str">
        <f aca="false">IF($N624="","",INDEX(BookRate,619)*(1+'5. Scenarios'!$D$10)*$N624)</f>
        <v/>
      </c>
      <c r="P624" s="57" t="str">
        <f aca="false">IF($O624="","",SUMIFS($O$6:$O$2405,$A$6:$A$2405,"&lt;="&amp;$A624))</f>
        <v/>
      </c>
      <c r="Q624" s="57" t="str">
        <f aca="false">IF($O624="","",IF($P624&lt;=BankCostEnvelope*'5. Scenarios'!$D$7,1,0))</f>
        <v/>
      </c>
      <c r="R624" s="57" t="str">
        <f aca="false">IF($N624="","",INDEX(BookRate,619)*(1+'5. Scenarios'!$D$10)*(INDEX(BookQ1,619)*(5-MIN(4,1+'5. Scenarios'!$D$8))/4+INDEX(BookQ2,619)*(5-MIN(4,2+'5. Scenarios'!$D$8))/4+INDEX(BookQ3,619)*(5-MIN(4,3+'5. Scenarios'!$D$8))/4+INDEX(BookQ4,619)*(5-MIN(4,4+'5. Scenarios'!$D$8))/4)*'5. Scenarios'!$D$6/(1+ProductivityDefault*('5. Scenarios'!$D$11-1))+INDEX(BookOneOff,619)*$N624)</f>
        <v/>
      </c>
      <c r="S624" s="56" t="str">
        <f aca="false">IF(INDEX(BookTitle,619)="","",INDEX(BookTotal,619)*'5. Scenarios'!$E$6/(1+ProductivityDefault*('5. Scenarios'!$E$11-1)))</f>
        <v/>
      </c>
      <c r="T624" s="57" t="str">
        <f aca="false">IF($S624="","",INDEX(BookRate,619)*(1+'5. Scenarios'!$E$10)*$S624)</f>
        <v/>
      </c>
      <c r="U624" s="57" t="str">
        <f aca="false">IF($T624="","",SUMIFS($T$6:$T$2405,$A$6:$A$2405,"&lt;="&amp;$A624))</f>
        <v/>
      </c>
      <c r="V624" s="57" t="str">
        <f aca="false">IF($T624="","",IF($U624&lt;=BankCostEnvelope*'5. Scenarios'!$E$7,1,0))</f>
        <v/>
      </c>
      <c r="W624" s="57" t="str">
        <f aca="false">IF($S624="","",INDEX(BookRate,619)*(1+'5. Scenarios'!$E$10)*(INDEX(BookQ1,619)*(5-MIN(4,1+'5. Scenarios'!$E$8))/4+INDEX(BookQ2,619)*(5-MIN(4,2+'5. Scenarios'!$E$8))/4+INDEX(BookQ3,619)*(5-MIN(4,3+'5. Scenarios'!$E$8))/4+INDEX(BookQ4,619)*(5-MIN(4,4+'5. Scenarios'!$E$8))/4)*'5. Scenarios'!$E$6/(1+ProductivityDefault*('5. Scenarios'!$E$11-1))+INDEX(BookOneOff,619)*$S624)</f>
        <v/>
      </c>
    </row>
    <row r="625" customFormat="false" ht="15" hidden="false" customHeight="false" outlineLevel="0" collapsed="false">
      <c r="A625" s="0" t="str">
        <f aca="false">IF(INDEX(BookTitle,620)="","",INDEX(BookKey,620))</f>
        <v/>
      </c>
      <c r="B625" s="0" t="str">
        <f aca="false">IF(INDEX(BookTitle,620)="","",INDEX(BookGroup,620))</f>
        <v/>
      </c>
      <c r="C625" s="0" t="str">
        <f aca="false">IF(INDEX(BookTitle,620)="","",INDEX(BookCategory,620))</f>
        <v/>
      </c>
      <c r="D625" s="56" t="str">
        <f aca="false">IF(INDEX(BookTitle,620)="","",INDEX(BookTotal,620)*'5. Scenarios'!$B$6/(1+ProductivityDefault*('5. Scenarios'!$B$11-1)))</f>
        <v/>
      </c>
      <c r="E625" s="57" t="str">
        <f aca="false">IF($D625="","",INDEX(BookRate,620)*(1+'5. Scenarios'!$B$10)*$D625)</f>
        <v/>
      </c>
      <c r="F625" s="57" t="str">
        <f aca="false">IF($E625="","",SUMIFS($E$6:$E$2405,$A$6:$A$2405,"&lt;="&amp;$A625))</f>
        <v/>
      </c>
      <c r="G625" s="57" t="str">
        <f aca="false">IF($E625="","",IF($F625&lt;=BankCostEnvelope*'5. Scenarios'!$B$7,1,0))</f>
        <v/>
      </c>
      <c r="H625" s="57" t="str">
        <f aca="false">IF($D625="","",INDEX(BookRate,620)*(1+'5. Scenarios'!$B$10)*(INDEX(BookQ1,620)*(5-MIN(4,1+'5. Scenarios'!$B$8))/4+INDEX(BookQ2,620)*(5-MIN(4,2+'5. Scenarios'!$B$8))/4+INDEX(BookQ3,620)*(5-MIN(4,3+'5. Scenarios'!$B$8))/4+INDEX(BookQ4,620)*(5-MIN(4,4+'5. Scenarios'!$B$8))/4)*'5. Scenarios'!$B$6/(1+ProductivityDefault*('5. Scenarios'!$B$11-1))+INDEX(BookOneOff,620)*$D625)</f>
        <v/>
      </c>
      <c r="I625" s="56" t="str">
        <f aca="false">IF(INDEX(BookTitle,620)="","",INDEX(BookTotal,620)*'5. Scenarios'!$C$6/(1+ProductivityDefault*('5. Scenarios'!$C$11-1)))</f>
        <v/>
      </c>
      <c r="J625" s="57" t="str">
        <f aca="false">IF($I625="","",INDEX(BookRate,620)*(1+'5. Scenarios'!$C$10)*$I625)</f>
        <v/>
      </c>
      <c r="K625" s="57" t="str">
        <f aca="false">IF($J625="","",SUMIFS($J$6:$J$2405,$A$6:$A$2405,"&lt;="&amp;$A625))</f>
        <v/>
      </c>
      <c r="L625" s="57" t="str">
        <f aca="false">IF($J625="","",IF($K625&lt;=BankCostEnvelope*'5. Scenarios'!$C$7,1,0))</f>
        <v/>
      </c>
      <c r="M625" s="57" t="str">
        <f aca="false">IF($I625="","",INDEX(BookRate,620)*(1+'5. Scenarios'!$C$10)*(INDEX(BookQ1,620)*(5-MIN(4,1+'5. Scenarios'!$C$8))/4+INDEX(BookQ2,620)*(5-MIN(4,2+'5. Scenarios'!$C$8))/4+INDEX(BookQ3,620)*(5-MIN(4,3+'5. Scenarios'!$C$8))/4+INDEX(BookQ4,620)*(5-MIN(4,4+'5. Scenarios'!$C$8))/4)*'5. Scenarios'!$C$6/(1+ProductivityDefault*('5. Scenarios'!$C$11-1))+INDEX(BookOneOff,620)*$I625)</f>
        <v/>
      </c>
      <c r="N625" s="56" t="str">
        <f aca="false">IF(INDEX(BookTitle,620)="","",INDEX(BookTotal,620)*'5. Scenarios'!$D$6/(1+ProductivityDefault*('5. Scenarios'!$D$11-1)))</f>
        <v/>
      </c>
      <c r="O625" s="57" t="str">
        <f aca="false">IF($N625="","",INDEX(BookRate,620)*(1+'5. Scenarios'!$D$10)*$N625)</f>
        <v/>
      </c>
      <c r="P625" s="57" t="str">
        <f aca="false">IF($O625="","",SUMIFS($O$6:$O$2405,$A$6:$A$2405,"&lt;="&amp;$A625))</f>
        <v/>
      </c>
      <c r="Q625" s="57" t="str">
        <f aca="false">IF($O625="","",IF($P625&lt;=BankCostEnvelope*'5. Scenarios'!$D$7,1,0))</f>
        <v/>
      </c>
      <c r="R625" s="57" t="str">
        <f aca="false">IF($N625="","",INDEX(BookRate,620)*(1+'5. Scenarios'!$D$10)*(INDEX(BookQ1,620)*(5-MIN(4,1+'5. Scenarios'!$D$8))/4+INDEX(BookQ2,620)*(5-MIN(4,2+'5. Scenarios'!$D$8))/4+INDEX(BookQ3,620)*(5-MIN(4,3+'5. Scenarios'!$D$8))/4+INDEX(BookQ4,620)*(5-MIN(4,4+'5. Scenarios'!$D$8))/4)*'5. Scenarios'!$D$6/(1+ProductivityDefault*('5. Scenarios'!$D$11-1))+INDEX(BookOneOff,620)*$N625)</f>
        <v/>
      </c>
      <c r="S625" s="56" t="str">
        <f aca="false">IF(INDEX(BookTitle,620)="","",INDEX(BookTotal,620)*'5. Scenarios'!$E$6/(1+ProductivityDefault*('5. Scenarios'!$E$11-1)))</f>
        <v/>
      </c>
      <c r="T625" s="57" t="str">
        <f aca="false">IF($S625="","",INDEX(BookRate,620)*(1+'5. Scenarios'!$E$10)*$S625)</f>
        <v/>
      </c>
      <c r="U625" s="57" t="str">
        <f aca="false">IF($T625="","",SUMIFS($T$6:$T$2405,$A$6:$A$2405,"&lt;="&amp;$A625))</f>
        <v/>
      </c>
      <c r="V625" s="57" t="str">
        <f aca="false">IF($T625="","",IF($U625&lt;=BankCostEnvelope*'5. Scenarios'!$E$7,1,0))</f>
        <v/>
      </c>
      <c r="W625" s="57" t="str">
        <f aca="false">IF($S625="","",INDEX(BookRate,620)*(1+'5. Scenarios'!$E$10)*(INDEX(BookQ1,620)*(5-MIN(4,1+'5. Scenarios'!$E$8))/4+INDEX(BookQ2,620)*(5-MIN(4,2+'5. Scenarios'!$E$8))/4+INDEX(BookQ3,620)*(5-MIN(4,3+'5. Scenarios'!$E$8))/4+INDEX(BookQ4,620)*(5-MIN(4,4+'5. Scenarios'!$E$8))/4)*'5. Scenarios'!$E$6/(1+ProductivityDefault*('5. Scenarios'!$E$11-1))+INDEX(BookOneOff,620)*$S625)</f>
        <v/>
      </c>
    </row>
    <row r="626" customFormat="false" ht="15" hidden="false" customHeight="false" outlineLevel="0" collapsed="false">
      <c r="A626" s="0" t="str">
        <f aca="false">IF(INDEX(BookTitle,621)="","",INDEX(BookKey,621))</f>
        <v/>
      </c>
      <c r="B626" s="0" t="str">
        <f aca="false">IF(INDEX(BookTitle,621)="","",INDEX(BookGroup,621))</f>
        <v/>
      </c>
      <c r="C626" s="0" t="str">
        <f aca="false">IF(INDEX(BookTitle,621)="","",INDEX(BookCategory,621))</f>
        <v/>
      </c>
      <c r="D626" s="56" t="str">
        <f aca="false">IF(INDEX(BookTitle,621)="","",INDEX(BookTotal,621)*'5. Scenarios'!$B$6/(1+ProductivityDefault*('5. Scenarios'!$B$11-1)))</f>
        <v/>
      </c>
      <c r="E626" s="57" t="str">
        <f aca="false">IF($D626="","",INDEX(BookRate,621)*(1+'5. Scenarios'!$B$10)*$D626)</f>
        <v/>
      </c>
      <c r="F626" s="57" t="str">
        <f aca="false">IF($E626="","",SUMIFS($E$6:$E$2405,$A$6:$A$2405,"&lt;="&amp;$A626))</f>
        <v/>
      </c>
      <c r="G626" s="57" t="str">
        <f aca="false">IF($E626="","",IF($F626&lt;=BankCostEnvelope*'5. Scenarios'!$B$7,1,0))</f>
        <v/>
      </c>
      <c r="H626" s="57" t="str">
        <f aca="false">IF($D626="","",INDEX(BookRate,621)*(1+'5. Scenarios'!$B$10)*(INDEX(BookQ1,621)*(5-MIN(4,1+'5. Scenarios'!$B$8))/4+INDEX(BookQ2,621)*(5-MIN(4,2+'5. Scenarios'!$B$8))/4+INDEX(BookQ3,621)*(5-MIN(4,3+'5. Scenarios'!$B$8))/4+INDEX(BookQ4,621)*(5-MIN(4,4+'5. Scenarios'!$B$8))/4)*'5. Scenarios'!$B$6/(1+ProductivityDefault*('5. Scenarios'!$B$11-1))+INDEX(BookOneOff,621)*$D626)</f>
        <v/>
      </c>
      <c r="I626" s="56" t="str">
        <f aca="false">IF(INDEX(BookTitle,621)="","",INDEX(BookTotal,621)*'5. Scenarios'!$C$6/(1+ProductivityDefault*('5. Scenarios'!$C$11-1)))</f>
        <v/>
      </c>
      <c r="J626" s="57" t="str">
        <f aca="false">IF($I626="","",INDEX(BookRate,621)*(1+'5. Scenarios'!$C$10)*$I626)</f>
        <v/>
      </c>
      <c r="K626" s="57" t="str">
        <f aca="false">IF($J626="","",SUMIFS($J$6:$J$2405,$A$6:$A$2405,"&lt;="&amp;$A626))</f>
        <v/>
      </c>
      <c r="L626" s="57" t="str">
        <f aca="false">IF($J626="","",IF($K626&lt;=BankCostEnvelope*'5. Scenarios'!$C$7,1,0))</f>
        <v/>
      </c>
      <c r="M626" s="57" t="str">
        <f aca="false">IF($I626="","",INDEX(BookRate,621)*(1+'5. Scenarios'!$C$10)*(INDEX(BookQ1,621)*(5-MIN(4,1+'5. Scenarios'!$C$8))/4+INDEX(BookQ2,621)*(5-MIN(4,2+'5. Scenarios'!$C$8))/4+INDEX(BookQ3,621)*(5-MIN(4,3+'5. Scenarios'!$C$8))/4+INDEX(BookQ4,621)*(5-MIN(4,4+'5. Scenarios'!$C$8))/4)*'5. Scenarios'!$C$6/(1+ProductivityDefault*('5. Scenarios'!$C$11-1))+INDEX(BookOneOff,621)*$I626)</f>
        <v/>
      </c>
      <c r="N626" s="56" t="str">
        <f aca="false">IF(INDEX(BookTitle,621)="","",INDEX(BookTotal,621)*'5. Scenarios'!$D$6/(1+ProductivityDefault*('5. Scenarios'!$D$11-1)))</f>
        <v/>
      </c>
      <c r="O626" s="57" t="str">
        <f aca="false">IF($N626="","",INDEX(BookRate,621)*(1+'5. Scenarios'!$D$10)*$N626)</f>
        <v/>
      </c>
      <c r="P626" s="57" t="str">
        <f aca="false">IF($O626="","",SUMIFS($O$6:$O$2405,$A$6:$A$2405,"&lt;="&amp;$A626))</f>
        <v/>
      </c>
      <c r="Q626" s="57" t="str">
        <f aca="false">IF($O626="","",IF($P626&lt;=BankCostEnvelope*'5. Scenarios'!$D$7,1,0))</f>
        <v/>
      </c>
      <c r="R626" s="57" t="str">
        <f aca="false">IF($N626="","",INDEX(BookRate,621)*(1+'5. Scenarios'!$D$10)*(INDEX(BookQ1,621)*(5-MIN(4,1+'5. Scenarios'!$D$8))/4+INDEX(BookQ2,621)*(5-MIN(4,2+'5. Scenarios'!$D$8))/4+INDEX(BookQ3,621)*(5-MIN(4,3+'5. Scenarios'!$D$8))/4+INDEX(BookQ4,621)*(5-MIN(4,4+'5. Scenarios'!$D$8))/4)*'5. Scenarios'!$D$6/(1+ProductivityDefault*('5. Scenarios'!$D$11-1))+INDEX(BookOneOff,621)*$N626)</f>
        <v/>
      </c>
      <c r="S626" s="56" t="str">
        <f aca="false">IF(INDEX(BookTitle,621)="","",INDEX(BookTotal,621)*'5. Scenarios'!$E$6/(1+ProductivityDefault*('5. Scenarios'!$E$11-1)))</f>
        <v/>
      </c>
      <c r="T626" s="57" t="str">
        <f aca="false">IF($S626="","",INDEX(BookRate,621)*(1+'5. Scenarios'!$E$10)*$S626)</f>
        <v/>
      </c>
      <c r="U626" s="57" t="str">
        <f aca="false">IF($T626="","",SUMIFS($T$6:$T$2405,$A$6:$A$2405,"&lt;="&amp;$A626))</f>
        <v/>
      </c>
      <c r="V626" s="57" t="str">
        <f aca="false">IF($T626="","",IF($U626&lt;=BankCostEnvelope*'5. Scenarios'!$E$7,1,0))</f>
        <v/>
      </c>
      <c r="W626" s="57" t="str">
        <f aca="false">IF($S626="","",INDEX(BookRate,621)*(1+'5. Scenarios'!$E$10)*(INDEX(BookQ1,621)*(5-MIN(4,1+'5. Scenarios'!$E$8))/4+INDEX(BookQ2,621)*(5-MIN(4,2+'5. Scenarios'!$E$8))/4+INDEX(BookQ3,621)*(5-MIN(4,3+'5. Scenarios'!$E$8))/4+INDEX(BookQ4,621)*(5-MIN(4,4+'5. Scenarios'!$E$8))/4)*'5. Scenarios'!$E$6/(1+ProductivityDefault*('5. Scenarios'!$E$11-1))+INDEX(BookOneOff,621)*$S626)</f>
        <v/>
      </c>
    </row>
    <row r="627" customFormat="false" ht="15" hidden="false" customHeight="false" outlineLevel="0" collapsed="false">
      <c r="A627" s="0" t="str">
        <f aca="false">IF(INDEX(BookTitle,622)="","",INDEX(BookKey,622))</f>
        <v/>
      </c>
      <c r="B627" s="0" t="str">
        <f aca="false">IF(INDEX(BookTitle,622)="","",INDEX(BookGroup,622))</f>
        <v/>
      </c>
      <c r="C627" s="0" t="str">
        <f aca="false">IF(INDEX(BookTitle,622)="","",INDEX(BookCategory,622))</f>
        <v/>
      </c>
      <c r="D627" s="56" t="str">
        <f aca="false">IF(INDEX(BookTitle,622)="","",INDEX(BookTotal,622)*'5. Scenarios'!$B$6/(1+ProductivityDefault*('5. Scenarios'!$B$11-1)))</f>
        <v/>
      </c>
      <c r="E627" s="57" t="str">
        <f aca="false">IF($D627="","",INDEX(BookRate,622)*(1+'5. Scenarios'!$B$10)*$D627)</f>
        <v/>
      </c>
      <c r="F627" s="57" t="str">
        <f aca="false">IF($E627="","",SUMIFS($E$6:$E$2405,$A$6:$A$2405,"&lt;="&amp;$A627))</f>
        <v/>
      </c>
      <c r="G627" s="57" t="str">
        <f aca="false">IF($E627="","",IF($F627&lt;=BankCostEnvelope*'5. Scenarios'!$B$7,1,0))</f>
        <v/>
      </c>
      <c r="H627" s="57" t="str">
        <f aca="false">IF($D627="","",INDEX(BookRate,622)*(1+'5. Scenarios'!$B$10)*(INDEX(BookQ1,622)*(5-MIN(4,1+'5. Scenarios'!$B$8))/4+INDEX(BookQ2,622)*(5-MIN(4,2+'5. Scenarios'!$B$8))/4+INDEX(BookQ3,622)*(5-MIN(4,3+'5. Scenarios'!$B$8))/4+INDEX(BookQ4,622)*(5-MIN(4,4+'5. Scenarios'!$B$8))/4)*'5. Scenarios'!$B$6/(1+ProductivityDefault*('5. Scenarios'!$B$11-1))+INDEX(BookOneOff,622)*$D627)</f>
        <v/>
      </c>
      <c r="I627" s="56" t="str">
        <f aca="false">IF(INDEX(BookTitle,622)="","",INDEX(BookTotal,622)*'5. Scenarios'!$C$6/(1+ProductivityDefault*('5. Scenarios'!$C$11-1)))</f>
        <v/>
      </c>
      <c r="J627" s="57" t="str">
        <f aca="false">IF($I627="","",INDEX(BookRate,622)*(1+'5. Scenarios'!$C$10)*$I627)</f>
        <v/>
      </c>
      <c r="K627" s="57" t="str">
        <f aca="false">IF($J627="","",SUMIFS($J$6:$J$2405,$A$6:$A$2405,"&lt;="&amp;$A627))</f>
        <v/>
      </c>
      <c r="L627" s="57" t="str">
        <f aca="false">IF($J627="","",IF($K627&lt;=BankCostEnvelope*'5. Scenarios'!$C$7,1,0))</f>
        <v/>
      </c>
      <c r="M627" s="57" t="str">
        <f aca="false">IF($I627="","",INDEX(BookRate,622)*(1+'5. Scenarios'!$C$10)*(INDEX(BookQ1,622)*(5-MIN(4,1+'5. Scenarios'!$C$8))/4+INDEX(BookQ2,622)*(5-MIN(4,2+'5. Scenarios'!$C$8))/4+INDEX(BookQ3,622)*(5-MIN(4,3+'5. Scenarios'!$C$8))/4+INDEX(BookQ4,622)*(5-MIN(4,4+'5. Scenarios'!$C$8))/4)*'5. Scenarios'!$C$6/(1+ProductivityDefault*('5. Scenarios'!$C$11-1))+INDEX(BookOneOff,622)*$I627)</f>
        <v/>
      </c>
      <c r="N627" s="56" t="str">
        <f aca="false">IF(INDEX(BookTitle,622)="","",INDEX(BookTotal,622)*'5. Scenarios'!$D$6/(1+ProductivityDefault*('5. Scenarios'!$D$11-1)))</f>
        <v/>
      </c>
      <c r="O627" s="57" t="str">
        <f aca="false">IF($N627="","",INDEX(BookRate,622)*(1+'5. Scenarios'!$D$10)*$N627)</f>
        <v/>
      </c>
      <c r="P627" s="57" t="str">
        <f aca="false">IF($O627="","",SUMIFS($O$6:$O$2405,$A$6:$A$2405,"&lt;="&amp;$A627))</f>
        <v/>
      </c>
      <c r="Q627" s="57" t="str">
        <f aca="false">IF($O627="","",IF($P627&lt;=BankCostEnvelope*'5. Scenarios'!$D$7,1,0))</f>
        <v/>
      </c>
      <c r="R627" s="57" t="str">
        <f aca="false">IF($N627="","",INDEX(BookRate,622)*(1+'5. Scenarios'!$D$10)*(INDEX(BookQ1,622)*(5-MIN(4,1+'5. Scenarios'!$D$8))/4+INDEX(BookQ2,622)*(5-MIN(4,2+'5. Scenarios'!$D$8))/4+INDEX(BookQ3,622)*(5-MIN(4,3+'5. Scenarios'!$D$8))/4+INDEX(BookQ4,622)*(5-MIN(4,4+'5. Scenarios'!$D$8))/4)*'5. Scenarios'!$D$6/(1+ProductivityDefault*('5. Scenarios'!$D$11-1))+INDEX(BookOneOff,622)*$N627)</f>
        <v/>
      </c>
      <c r="S627" s="56" t="str">
        <f aca="false">IF(INDEX(BookTitle,622)="","",INDEX(BookTotal,622)*'5. Scenarios'!$E$6/(1+ProductivityDefault*('5. Scenarios'!$E$11-1)))</f>
        <v/>
      </c>
      <c r="T627" s="57" t="str">
        <f aca="false">IF($S627="","",INDEX(BookRate,622)*(1+'5. Scenarios'!$E$10)*$S627)</f>
        <v/>
      </c>
      <c r="U627" s="57" t="str">
        <f aca="false">IF($T627="","",SUMIFS($T$6:$T$2405,$A$6:$A$2405,"&lt;="&amp;$A627))</f>
        <v/>
      </c>
      <c r="V627" s="57" t="str">
        <f aca="false">IF($T627="","",IF($U627&lt;=BankCostEnvelope*'5. Scenarios'!$E$7,1,0))</f>
        <v/>
      </c>
      <c r="W627" s="57" t="str">
        <f aca="false">IF($S627="","",INDEX(BookRate,622)*(1+'5. Scenarios'!$E$10)*(INDEX(BookQ1,622)*(5-MIN(4,1+'5. Scenarios'!$E$8))/4+INDEX(BookQ2,622)*(5-MIN(4,2+'5. Scenarios'!$E$8))/4+INDEX(BookQ3,622)*(5-MIN(4,3+'5. Scenarios'!$E$8))/4+INDEX(BookQ4,622)*(5-MIN(4,4+'5. Scenarios'!$E$8))/4)*'5. Scenarios'!$E$6/(1+ProductivityDefault*('5. Scenarios'!$E$11-1))+INDEX(BookOneOff,622)*$S627)</f>
        <v/>
      </c>
    </row>
    <row r="628" customFormat="false" ht="15" hidden="false" customHeight="false" outlineLevel="0" collapsed="false">
      <c r="A628" s="0" t="str">
        <f aca="false">IF(INDEX(BookTitle,623)="","",INDEX(BookKey,623))</f>
        <v/>
      </c>
      <c r="B628" s="0" t="str">
        <f aca="false">IF(INDEX(BookTitle,623)="","",INDEX(BookGroup,623))</f>
        <v/>
      </c>
      <c r="C628" s="0" t="str">
        <f aca="false">IF(INDEX(BookTitle,623)="","",INDEX(BookCategory,623))</f>
        <v/>
      </c>
      <c r="D628" s="56" t="str">
        <f aca="false">IF(INDEX(BookTitle,623)="","",INDEX(BookTotal,623)*'5. Scenarios'!$B$6/(1+ProductivityDefault*('5. Scenarios'!$B$11-1)))</f>
        <v/>
      </c>
      <c r="E628" s="57" t="str">
        <f aca="false">IF($D628="","",INDEX(BookRate,623)*(1+'5. Scenarios'!$B$10)*$D628)</f>
        <v/>
      </c>
      <c r="F628" s="57" t="str">
        <f aca="false">IF($E628="","",SUMIFS($E$6:$E$2405,$A$6:$A$2405,"&lt;="&amp;$A628))</f>
        <v/>
      </c>
      <c r="G628" s="57" t="str">
        <f aca="false">IF($E628="","",IF($F628&lt;=BankCostEnvelope*'5. Scenarios'!$B$7,1,0))</f>
        <v/>
      </c>
      <c r="H628" s="57" t="str">
        <f aca="false">IF($D628="","",INDEX(BookRate,623)*(1+'5. Scenarios'!$B$10)*(INDEX(BookQ1,623)*(5-MIN(4,1+'5. Scenarios'!$B$8))/4+INDEX(BookQ2,623)*(5-MIN(4,2+'5. Scenarios'!$B$8))/4+INDEX(BookQ3,623)*(5-MIN(4,3+'5. Scenarios'!$B$8))/4+INDEX(BookQ4,623)*(5-MIN(4,4+'5. Scenarios'!$B$8))/4)*'5. Scenarios'!$B$6/(1+ProductivityDefault*('5. Scenarios'!$B$11-1))+INDEX(BookOneOff,623)*$D628)</f>
        <v/>
      </c>
      <c r="I628" s="56" t="str">
        <f aca="false">IF(INDEX(BookTitle,623)="","",INDEX(BookTotal,623)*'5. Scenarios'!$C$6/(1+ProductivityDefault*('5. Scenarios'!$C$11-1)))</f>
        <v/>
      </c>
      <c r="J628" s="57" t="str">
        <f aca="false">IF($I628="","",INDEX(BookRate,623)*(1+'5. Scenarios'!$C$10)*$I628)</f>
        <v/>
      </c>
      <c r="K628" s="57" t="str">
        <f aca="false">IF($J628="","",SUMIFS($J$6:$J$2405,$A$6:$A$2405,"&lt;="&amp;$A628))</f>
        <v/>
      </c>
      <c r="L628" s="57" t="str">
        <f aca="false">IF($J628="","",IF($K628&lt;=BankCostEnvelope*'5. Scenarios'!$C$7,1,0))</f>
        <v/>
      </c>
      <c r="M628" s="57" t="str">
        <f aca="false">IF($I628="","",INDEX(BookRate,623)*(1+'5. Scenarios'!$C$10)*(INDEX(BookQ1,623)*(5-MIN(4,1+'5. Scenarios'!$C$8))/4+INDEX(BookQ2,623)*(5-MIN(4,2+'5. Scenarios'!$C$8))/4+INDEX(BookQ3,623)*(5-MIN(4,3+'5. Scenarios'!$C$8))/4+INDEX(BookQ4,623)*(5-MIN(4,4+'5. Scenarios'!$C$8))/4)*'5. Scenarios'!$C$6/(1+ProductivityDefault*('5. Scenarios'!$C$11-1))+INDEX(BookOneOff,623)*$I628)</f>
        <v/>
      </c>
      <c r="N628" s="56" t="str">
        <f aca="false">IF(INDEX(BookTitle,623)="","",INDEX(BookTotal,623)*'5. Scenarios'!$D$6/(1+ProductivityDefault*('5. Scenarios'!$D$11-1)))</f>
        <v/>
      </c>
      <c r="O628" s="57" t="str">
        <f aca="false">IF($N628="","",INDEX(BookRate,623)*(1+'5. Scenarios'!$D$10)*$N628)</f>
        <v/>
      </c>
      <c r="P628" s="57" t="str">
        <f aca="false">IF($O628="","",SUMIFS($O$6:$O$2405,$A$6:$A$2405,"&lt;="&amp;$A628))</f>
        <v/>
      </c>
      <c r="Q628" s="57" t="str">
        <f aca="false">IF($O628="","",IF($P628&lt;=BankCostEnvelope*'5. Scenarios'!$D$7,1,0))</f>
        <v/>
      </c>
      <c r="R628" s="57" t="str">
        <f aca="false">IF($N628="","",INDEX(BookRate,623)*(1+'5. Scenarios'!$D$10)*(INDEX(BookQ1,623)*(5-MIN(4,1+'5. Scenarios'!$D$8))/4+INDEX(BookQ2,623)*(5-MIN(4,2+'5. Scenarios'!$D$8))/4+INDEX(BookQ3,623)*(5-MIN(4,3+'5. Scenarios'!$D$8))/4+INDEX(BookQ4,623)*(5-MIN(4,4+'5. Scenarios'!$D$8))/4)*'5. Scenarios'!$D$6/(1+ProductivityDefault*('5. Scenarios'!$D$11-1))+INDEX(BookOneOff,623)*$N628)</f>
        <v/>
      </c>
      <c r="S628" s="56" t="str">
        <f aca="false">IF(INDEX(BookTitle,623)="","",INDEX(BookTotal,623)*'5. Scenarios'!$E$6/(1+ProductivityDefault*('5. Scenarios'!$E$11-1)))</f>
        <v/>
      </c>
      <c r="T628" s="57" t="str">
        <f aca="false">IF($S628="","",INDEX(BookRate,623)*(1+'5. Scenarios'!$E$10)*$S628)</f>
        <v/>
      </c>
      <c r="U628" s="57" t="str">
        <f aca="false">IF($T628="","",SUMIFS($T$6:$T$2405,$A$6:$A$2405,"&lt;="&amp;$A628))</f>
        <v/>
      </c>
      <c r="V628" s="57" t="str">
        <f aca="false">IF($T628="","",IF($U628&lt;=BankCostEnvelope*'5. Scenarios'!$E$7,1,0))</f>
        <v/>
      </c>
      <c r="W628" s="57" t="str">
        <f aca="false">IF($S628="","",INDEX(BookRate,623)*(1+'5. Scenarios'!$E$10)*(INDEX(BookQ1,623)*(5-MIN(4,1+'5. Scenarios'!$E$8))/4+INDEX(BookQ2,623)*(5-MIN(4,2+'5. Scenarios'!$E$8))/4+INDEX(BookQ3,623)*(5-MIN(4,3+'5. Scenarios'!$E$8))/4+INDEX(BookQ4,623)*(5-MIN(4,4+'5. Scenarios'!$E$8))/4)*'5. Scenarios'!$E$6/(1+ProductivityDefault*('5. Scenarios'!$E$11-1))+INDEX(BookOneOff,623)*$S628)</f>
        <v/>
      </c>
    </row>
    <row r="629" customFormat="false" ht="15" hidden="false" customHeight="false" outlineLevel="0" collapsed="false">
      <c r="A629" s="0" t="str">
        <f aca="false">IF(INDEX(BookTitle,624)="","",INDEX(BookKey,624))</f>
        <v/>
      </c>
      <c r="B629" s="0" t="str">
        <f aca="false">IF(INDEX(BookTitle,624)="","",INDEX(BookGroup,624))</f>
        <v/>
      </c>
      <c r="C629" s="0" t="str">
        <f aca="false">IF(INDEX(BookTitle,624)="","",INDEX(BookCategory,624))</f>
        <v/>
      </c>
      <c r="D629" s="56" t="str">
        <f aca="false">IF(INDEX(BookTitle,624)="","",INDEX(BookTotal,624)*'5. Scenarios'!$B$6/(1+ProductivityDefault*('5. Scenarios'!$B$11-1)))</f>
        <v/>
      </c>
      <c r="E629" s="57" t="str">
        <f aca="false">IF($D629="","",INDEX(BookRate,624)*(1+'5. Scenarios'!$B$10)*$D629)</f>
        <v/>
      </c>
      <c r="F629" s="57" t="str">
        <f aca="false">IF($E629="","",SUMIFS($E$6:$E$2405,$A$6:$A$2405,"&lt;="&amp;$A629))</f>
        <v/>
      </c>
      <c r="G629" s="57" t="str">
        <f aca="false">IF($E629="","",IF($F629&lt;=BankCostEnvelope*'5. Scenarios'!$B$7,1,0))</f>
        <v/>
      </c>
      <c r="H629" s="57" t="str">
        <f aca="false">IF($D629="","",INDEX(BookRate,624)*(1+'5. Scenarios'!$B$10)*(INDEX(BookQ1,624)*(5-MIN(4,1+'5. Scenarios'!$B$8))/4+INDEX(BookQ2,624)*(5-MIN(4,2+'5. Scenarios'!$B$8))/4+INDEX(BookQ3,624)*(5-MIN(4,3+'5. Scenarios'!$B$8))/4+INDEX(BookQ4,624)*(5-MIN(4,4+'5. Scenarios'!$B$8))/4)*'5. Scenarios'!$B$6/(1+ProductivityDefault*('5. Scenarios'!$B$11-1))+INDEX(BookOneOff,624)*$D629)</f>
        <v/>
      </c>
      <c r="I629" s="56" t="str">
        <f aca="false">IF(INDEX(BookTitle,624)="","",INDEX(BookTotal,624)*'5. Scenarios'!$C$6/(1+ProductivityDefault*('5. Scenarios'!$C$11-1)))</f>
        <v/>
      </c>
      <c r="J629" s="57" t="str">
        <f aca="false">IF($I629="","",INDEX(BookRate,624)*(1+'5. Scenarios'!$C$10)*$I629)</f>
        <v/>
      </c>
      <c r="K629" s="57" t="str">
        <f aca="false">IF($J629="","",SUMIFS($J$6:$J$2405,$A$6:$A$2405,"&lt;="&amp;$A629))</f>
        <v/>
      </c>
      <c r="L629" s="57" t="str">
        <f aca="false">IF($J629="","",IF($K629&lt;=BankCostEnvelope*'5. Scenarios'!$C$7,1,0))</f>
        <v/>
      </c>
      <c r="M629" s="57" t="str">
        <f aca="false">IF($I629="","",INDEX(BookRate,624)*(1+'5. Scenarios'!$C$10)*(INDEX(BookQ1,624)*(5-MIN(4,1+'5. Scenarios'!$C$8))/4+INDEX(BookQ2,624)*(5-MIN(4,2+'5. Scenarios'!$C$8))/4+INDEX(BookQ3,624)*(5-MIN(4,3+'5. Scenarios'!$C$8))/4+INDEX(BookQ4,624)*(5-MIN(4,4+'5. Scenarios'!$C$8))/4)*'5. Scenarios'!$C$6/(1+ProductivityDefault*('5. Scenarios'!$C$11-1))+INDEX(BookOneOff,624)*$I629)</f>
        <v/>
      </c>
      <c r="N629" s="56" t="str">
        <f aca="false">IF(INDEX(BookTitle,624)="","",INDEX(BookTotal,624)*'5. Scenarios'!$D$6/(1+ProductivityDefault*('5. Scenarios'!$D$11-1)))</f>
        <v/>
      </c>
      <c r="O629" s="57" t="str">
        <f aca="false">IF($N629="","",INDEX(BookRate,624)*(1+'5. Scenarios'!$D$10)*$N629)</f>
        <v/>
      </c>
      <c r="P629" s="57" t="str">
        <f aca="false">IF($O629="","",SUMIFS($O$6:$O$2405,$A$6:$A$2405,"&lt;="&amp;$A629))</f>
        <v/>
      </c>
      <c r="Q629" s="57" t="str">
        <f aca="false">IF($O629="","",IF($P629&lt;=BankCostEnvelope*'5. Scenarios'!$D$7,1,0))</f>
        <v/>
      </c>
      <c r="R629" s="57" t="str">
        <f aca="false">IF($N629="","",INDEX(BookRate,624)*(1+'5. Scenarios'!$D$10)*(INDEX(BookQ1,624)*(5-MIN(4,1+'5. Scenarios'!$D$8))/4+INDEX(BookQ2,624)*(5-MIN(4,2+'5. Scenarios'!$D$8))/4+INDEX(BookQ3,624)*(5-MIN(4,3+'5. Scenarios'!$D$8))/4+INDEX(BookQ4,624)*(5-MIN(4,4+'5. Scenarios'!$D$8))/4)*'5. Scenarios'!$D$6/(1+ProductivityDefault*('5. Scenarios'!$D$11-1))+INDEX(BookOneOff,624)*$N629)</f>
        <v/>
      </c>
      <c r="S629" s="56" t="str">
        <f aca="false">IF(INDEX(BookTitle,624)="","",INDEX(BookTotal,624)*'5. Scenarios'!$E$6/(1+ProductivityDefault*('5. Scenarios'!$E$11-1)))</f>
        <v/>
      </c>
      <c r="T629" s="57" t="str">
        <f aca="false">IF($S629="","",INDEX(BookRate,624)*(1+'5. Scenarios'!$E$10)*$S629)</f>
        <v/>
      </c>
      <c r="U629" s="57" t="str">
        <f aca="false">IF($T629="","",SUMIFS($T$6:$T$2405,$A$6:$A$2405,"&lt;="&amp;$A629))</f>
        <v/>
      </c>
      <c r="V629" s="57" t="str">
        <f aca="false">IF($T629="","",IF($U629&lt;=BankCostEnvelope*'5. Scenarios'!$E$7,1,0))</f>
        <v/>
      </c>
      <c r="W629" s="57" t="str">
        <f aca="false">IF($S629="","",INDEX(BookRate,624)*(1+'5. Scenarios'!$E$10)*(INDEX(BookQ1,624)*(5-MIN(4,1+'5. Scenarios'!$E$8))/4+INDEX(BookQ2,624)*(5-MIN(4,2+'5. Scenarios'!$E$8))/4+INDEX(BookQ3,624)*(5-MIN(4,3+'5. Scenarios'!$E$8))/4+INDEX(BookQ4,624)*(5-MIN(4,4+'5. Scenarios'!$E$8))/4)*'5. Scenarios'!$E$6/(1+ProductivityDefault*('5. Scenarios'!$E$11-1))+INDEX(BookOneOff,624)*$S629)</f>
        <v/>
      </c>
    </row>
    <row r="630" customFormat="false" ht="15" hidden="false" customHeight="false" outlineLevel="0" collapsed="false">
      <c r="A630" s="0" t="str">
        <f aca="false">IF(INDEX(BookTitle,625)="","",INDEX(BookKey,625))</f>
        <v/>
      </c>
      <c r="B630" s="0" t="str">
        <f aca="false">IF(INDEX(BookTitle,625)="","",INDEX(BookGroup,625))</f>
        <v/>
      </c>
      <c r="C630" s="0" t="str">
        <f aca="false">IF(INDEX(BookTitle,625)="","",INDEX(BookCategory,625))</f>
        <v/>
      </c>
      <c r="D630" s="56" t="str">
        <f aca="false">IF(INDEX(BookTitle,625)="","",INDEX(BookTotal,625)*'5. Scenarios'!$B$6/(1+ProductivityDefault*('5. Scenarios'!$B$11-1)))</f>
        <v/>
      </c>
      <c r="E630" s="57" t="str">
        <f aca="false">IF($D630="","",INDEX(BookRate,625)*(1+'5. Scenarios'!$B$10)*$D630)</f>
        <v/>
      </c>
      <c r="F630" s="57" t="str">
        <f aca="false">IF($E630="","",SUMIFS($E$6:$E$2405,$A$6:$A$2405,"&lt;="&amp;$A630))</f>
        <v/>
      </c>
      <c r="G630" s="57" t="str">
        <f aca="false">IF($E630="","",IF($F630&lt;=BankCostEnvelope*'5. Scenarios'!$B$7,1,0))</f>
        <v/>
      </c>
      <c r="H630" s="57" t="str">
        <f aca="false">IF($D630="","",INDEX(BookRate,625)*(1+'5. Scenarios'!$B$10)*(INDEX(BookQ1,625)*(5-MIN(4,1+'5. Scenarios'!$B$8))/4+INDEX(BookQ2,625)*(5-MIN(4,2+'5. Scenarios'!$B$8))/4+INDEX(BookQ3,625)*(5-MIN(4,3+'5. Scenarios'!$B$8))/4+INDEX(BookQ4,625)*(5-MIN(4,4+'5. Scenarios'!$B$8))/4)*'5. Scenarios'!$B$6/(1+ProductivityDefault*('5. Scenarios'!$B$11-1))+INDEX(BookOneOff,625)*$D630)</f>
        <v/>
      </c>
      <c r="I630" s="56" t="str">
        <f aca="false">IF(INDEX(BookTitle,625)="","",INDEX(BookTotal,625)*'5. Scenarios'!$C$6/(1+ProductivityDefault*('5. Scenarios'!$C$11-1)))</f>
        <v/>
      </c>
      <c r="J630" s="57" t="str">
        <f aca="false">IF($I630="","",INDEX(BookRate,625)*(1+'5. Scenarios'!$C$10)*$I630)</f>
        <v/>
      </c>
      <c r="K630" s="57" t="str">
        <f aca="false">IF($J630="","",SUMIFS($J$6:$J$2405,$A$6:$A$2405,"&lt;="&amp;$A630))</f>
        <v/>
      </c>
      <c r="L630" s="57" t="str">
        <f aca="false">IF($J630="","",IF($K630&lt;=BankCostEnvelope*'5. Scenarios'!$C$7,1,0))</f>
        <v/>
      </c>
      <c r="M630" s="57" t="str">
        <f aca="false">IF($I630="","",INDEX(BookRate,625)*(1+'5. Scenarios'!$C$10)*(INDEX(BookQ1,625)*(5-MIN(4,1+'5. Scenarios'!$C$8))/4+INDEX(BookQ2,625)*(5-MIN(4,2+'5. Scenarios'!$C$8))/4+INDEX(BookQ3,625)*(5-MIN(4,3+'5. Scenarios'!$C$8))/4+INDEX(BookQ4,625)*(5-MIN(4,4+'5. Scenarios'!$C$8))/4)*'5. Scenarios'!$C$6/(1+ProductivityDefault*('5. Scenarios'!$C$11-1))+INDEX(BookOneOff,625)*$I630)</f>
        <v/>
      </c>
      <c r="N630" s="56" t="str">
        <f aca="false">IF(INDEX(BookTitle,625)="","",INDEX(BookTotal,625)*'5. Scenarios'!$D$6/(1+ProductivityDefault*('5. Scenarios'!$D$11-1)))</f>
        <v/>
      </c>
      <c r="O630" s="57" t="str">
        <f aca="false">IF($N630="","",INDEX(BookRate,625)*(1+'5. Scenarios'!$D$10)*$N630)</f>
        <v/>
      </c>
      <c r="P630" s="57" t="str">
        <f aca="false">IF($O630="","",SUMIFS($O$6:$O$2405,$A$6:$A$2405,"&lt;="&amp;$A630))</f>
        <v/>
      </c>
      <c r="Q630" s="57" t="str">
        <f aca="false">IF($O630="","",IF($P630&lt;=BankCostEnvelope*'5. Scenarios'!$D$7,1,0))</f>
        <v/>
      </c>
      <c r="R630" s="57" t="str">
        <f aca="false">IF($N630="","",INDEX(BookRate,625)*(1+'5. Scenarios'!$D$10)*(INDEX(BookQ1,625)*(5-MIN(4,1+'5. Scenarios'!$D$8))/4+INDEX(BookQ2,625)*(5-MIN(4,2+'5. Scenarios'!$D$8))/4+INDEX(BookQ3,625)*(5-MIN(4,3+'5. Scenarios'!$D$8))/4+INDEX(BookQ4,625)*(5-MIN(4,4+'5. Scenarios'!$D$8))/4)*'5. Scenarios'!$D$6/(1+ProductivityDefault*('5. Scenarios'!$D$11-1))+INDEX(BookOneOff,625)*$N630)</f>
        <v/>
      </c>
      <c r="S630" s="56" t="str">
        <f aca="false">IF(INDEX(BookTitle,625)="","",INDEX(BookTotal,625)*'5. Scenarios'!$E$6/(1+ProductivityDefault*('5. Scenarios'!$E$11-1)))</f>
        <v/>
      </c>
      <c r="T630" s="57" t="str">
        <f aca="false">IF($S630="","",INDEX(BookRate,625)*(1+'5. Scenarios'!$E$10)*$S630)</f>
        <v/>
      </c>
      <c r="U630" s="57" t="str">
        <f aca="false">IF($T630="","",SUMIFS($T$6:$T$2405,$A$6:$A$2405,"&lt;="&amp;$A630))</f>
        <v/>
      </c>
      <c r="V630" s="57" t="str">
        <f aca="false">IF($T630="","",IF($U630&lt;=BankCostEnvelope*'5. Scenarios'!$E$7,1,0))</f>
        <v/>
      </c>
      <c r="W630" s="57" t="str">
        <f aca="false">IF($S630="","",INDEX(BookRate,625)*(1+'5. Scenarios'!$E$10)*(INDEX(BookQ1,625)*(5-MIN(4,1+'5. Scenarios'!$E$8))/4+INDEX(BookQ2,625)*(5-MIN(4,2+'5. Scenarios'!$E$8))/4+INDEX(BookQ3,625)*(5-MIN(4,3+'5. Scenarios'!$E$8))/4+INDEX(BookQ4,625)*(5-MIN(4,4+'5. Scenarios'!$E$8))/4)*'5. Scenarios'!$E$6/(1+ProductivityDefault*('5. Scenarios'!$E$11-1))+INDEX(BookOneOff,625)*$S630)</f>
        <v/>
      </c>
    </row>
    <row r="631" customFormat="false" ht="15" hidden="false" customHeight="false" outlineLevel="0" collapsed="false">
      <c r="A631" s="0" t="str">
        <f aca="false">IF(INDEX(BookTitle,626)="","",INDEX(BookKey,626))</f>
        <v/>
      </c>
      <c r="B631" s="0" t="str">
        <f aca="false">IF(INDEX(BookTitle,626)="","",INDEX(BookGroup,626))</f>
        <v/>
      </c>
      <c r="C631" s="0" t="str">
        <f aca="false">IF(INDEX(BookTitle,626)="","",INDEX(BookCategory,626))</f>
        <v/>
      </c>
      <c r="D631" s="56" t="str">
        <f aca="false">IF(INDEX(BookTitle,626)="","",INDEX(BookTotal,626)*'5. Scenarios'!$B$6/(1+ProductivityDefault*('5. Scenarios'!$B$11-1)))</f>
        <v/>
      </c>
      <c r="E631" s="57" t="str">
        <f aca="false">IF($D631="","",INDEX(BookRate,626)*(1+'5. Scenarios'!$B$10)*$D631)</f>
        <v/>
      </c>
      <c r="F631" s="57" t="str">
        <f aca="false">IF($E631="","",SUMIFS($E$6:$E$2405,$A$6:$A$2405,"&lt;="&amp;$A631))</f>
        <v/>
      </c>
      <c r="G631" s="57" t="str">
        <f aca="false">IF($E631="","",IF($F631&lt;=BankCostEnvelope*'5. Scenarios'!$B$7,1,0))</f>
        <v/>
      </c>
      <c r="H631" s="57" t="str">
        <f aca="false">IF($D631="","",INDEX(BookRate,626)*(1+'5. Scenarios'!$B$10)*(INDEX(BookQ1,626)*(5-MIN(4,1+'5. Scenarios'!$B$8))/4+INDEX(BookQ2,626)*(5-MIN(4,2+'5. Scenarios'!$B$8))/4+INDEX(BookQ3,626)*(5-MIN(4,3+'5. Scenarios'!$B$8))/4+INDEX(BookQ4,626)*(5-MIN(4,4+'5. Scenarios'!$B$8))/4)*'5. Scenarios'!$B$6/(1+ProductivityDefault*('5. Scenarios'!$B$11-1))+INDEX(BookOneOff,626)*$D631)</f>
        <v/>
      </c>
      <c r="I631" s="56" t="str">
        <f aca="false">IF(INDEX(BookTitle,626)="","",INDEX(BookTotal,626)*'5. Scenarios'!$C$6/(1+ProductivityDefault*('5. Scenarios'!$C$11-1)))</f>
        <v/>
      </c>
      <c r="J631" s="57" t="str">
        <f aca="false">IF($I631="","",INDEX(BookRate,626)*(1+'5. Scenarios'!$C$10)*$I631)</f>
        <v/>
      </c>
      <c r="K631" s="57" t="str">
        <f aca="false">IF($J631="","",SUMIFS($J$6:$J$2405,$A$6:$A$2405,"&lt;="&amp;$A631))</f>
        <v/>
      </c>
      <c r="L631" s="57" t="str">
        <f aca="false">IF($J631="","",IF($K631&lt;=BankCostEnvelope*'5. Scenarios'!$C$7,1,0))</f>
        <v/>
      </c>
      <c r="M631" s="57" t="str">
        <f aca="false">IF($I631="","",INDEX(BookRate,626)*(1+'5. Scenarios'!$C$10)*(INDEX(BookQ1,626)*(5-MIN(4,1+'5. Scenarios'!$C$8))/4+INDEX(BookQ2,626)*(5-MIN(4,2+'5. Scenarios'!$C$8))/4+INDEX(BookQ3,626)*(5-MIN(4,3+'5. Scenarios'!$C$8))/4+INDEX(BookQ4,626)*(5-MIN(4,4+'5. Scenarios'!$C$8))/4)*'5. Scenarios'!$C$6/(1+ProductivityDefault*('5. Scenarios'!$C$11-1))+INDEX(BookOneOff,626)*$I631)</f>
        <v/>
      </c>
      <c r="N631" s="56" t="str">
        <f aca="false">IF(INDEX(BookTitle,626)="","",INDEX(BookTotal,626)*'5. Scenarios'!$D$6/(1+ProductivityDefault*('5. Scenarios'!$D$11-1)))</f>
        <v/>
      </c>
      <c r="O631" s="57" t="str">
        <f aca="false">IF($N631="","",INDEX(BookRate,626)*(1+'5. Scenarios'!$D$10)*$N631)</f>
        <v/>
      </c>
      <c r="P631" s="57" t="str">
        <f aca="false">IF($O631="","",SUMIFS($O$6:$O$2405,$A$6:$A$2405,"&lt;="&amp;$A631))</f>
        <v/>
      </c>
      <c r="Q631" s="57" t="str">
        <f aca="false">IF($O631="","",IF($P631&lt;=BankCostEnvelope*'5. Scenarios'!$D$7,1,0))</f>
        <v/>
      </c>
      <c r="R631" s="57" t="str">
        <f aca="false">IF($N631="","",INDEX(BookRate,626)*(1+'5. Scenarios'!$D$10)*(INDEX(BookQ1,626)*(5-MIN(4,1+'5. Scenarios'!$D$8))/4+INDEX(BookQ2,626)*(5-MIN(4,2+'5. Scenarios'!$D$8))/4+INDEX(BookQ3,626)*(5-MIN(4,3+'5. Scenarios'!$D$8))/4+INDEX(BookQ4,626)*(5-MIN(4,4+'5. Scenarios'!$D$8))/4)*'5. Scenarios'!$D$6/(1+ProductivityDefault*('5. Scenarios'!$D$11-1))+INDEX(BookOneOff,626)*$N631)</f>
        <v/>
      </c>
      <c r="S631" s="56" t="str">
        <f aca="false">IF(INDEX(BookTitle,626)="","",INDEX(BookTotal,626)*'5. Scenarios'!$E$6/(1+ProductivityDefault*('5. Scenarios'!$E$11-1)))</f>
        <v/>
      </c>
      <c r="T631" s="57" t="str">
        <f aca="false">IF($S631="","",INDEX(BookRate,626)*(1+'5. Scenarios'!$E$10)*$S631)</f>
        <v/>
      </c>
      <c r="U631" s="57" t="str">
        <f aca="false">IF($T631="","",SUMIFS($T$6:$T$2405,$A$6:$A$2405,"&lt;="&amp;$A631))</f>
        <v/>
      </c>
      <c r="V631" s="57" t="str">
        <f aca="false">IF($T631="","",IF($U631&lt;=BankCostEnvelope*'5. Scenarios'!$E$7,1,0))</f>
        <v/>
      </c>
      <c r="W631" s="57" t="str">
        <f aca="false">IF($S631="","",INDEX(BookRate,626)*(1+'5. Scenarios'!$E$10)*(INDEX(BookQ1,626)*(5-MIN(4,1+'5. Scenarios'!$E$8))/4+INDEX(BookQ2,626)*(5-MIN(4,2+'5. Scenarios'!$E$8))/4+INDEX(BookQ3,626)*(5-MIN(4,3+'5. Scenarios'!$E$8))/4+INDEX(BookQ4,626)*(5-MIN(4,4+'5. Scenarios'!$E$8))/4)*'5. Scenarios'!$E$6/(1+ProductivityDefault*('5. Scenarios'!$E$11-1))+INDEX(BookOneOff,626)*$S631)</f>
        <v/>
      </c>
    </row>
    <row r="632" customFormat="false" ht="15" hidden="false" customHeight="false" outlineLevel="0" collapsed="false">
      <c r="A632" s="0" t="str">
        <f aca="false">IF(INDEX(BookTitle,627)="","",INDEX(BookKey,627))</f>
        <v/>
      </c>
      <c r="B632" s="0" t="str">
        <f aca="false">IF(INDEX(BookTitle,627)="","",INDEX(BookGroup,627))</f>
        <v/>
      </c>
      <c r="C632" s="0" t="str">
        <f aca="false">IF(INDEX(BookTitle,627)="","",INDEX(BookCategory,627))</f>
        <v/>
      </c>
      <c r="D632" s="56" t="str">
        <f aca="false">IF(INDEX(BookTitle,627)="","",INDEX(BookTotal,627)*'5. Scenarios'!$B$6/(1+ProductivityDefault*('5. Scenarios'!$B$11-1)))</f>
        <v/>
      </c>
      <c r="E632" s="57" t="str">
        <f aca="false">IF($D632="","",INDEX(BookRate,627)*(1+'5. Scenarios'!$B$10)*$D632)</f>
        <v/>
      </c>
      <c r="F632" s="57" t="str">
        <f aca="false">IF($E632="","",SUMIFS($E$6:$E$2405,$A$6:$A$2405,"&lt;="&amp;$A632))</f>
        <v/>
      </c>
      <c r="G632" s="57" t="str">
        <f aca="false">IF($E632="","",IF($F632&lt;=BankCostEnvelope*'5. Scenarios'!$B$7,1,0))</f>
        <v/>
      </c>
      <c r="H632" s="57" t="str">
        <f aca="false">IF($D632="","",INDEX(BookRate,627)*(1+'5. Scenarios'!$B$10)*(INDEX(BookQ1,627)*(5-MIN(4,1+'5. Scenarios'!$B$8))/4+INDEX(BookQ2,627)*(5-MIN(4,2+'5. Scenarios'!$B$8))/4+INDEX(BookQ3,627)*(5-MIN(4,3+'5. Scenarios'!$B$8))/4+INDEX(BookQ4,627)*(5-MIN(4,4+'5. Scenarios'!$B$8))/4)*'5. Scenarios'!$B$6/(1+ProductivityDefault*('5. Scenarios'!$B$11-1))+INDEX(BookOneOff,627)*$D632)</f>
        <v/>
      </c>
      <c r="I632" s="56" t="str">
        <f aca="false">IF(INDEX(BookTitle,627)="","",INDEX(BookTotal,627)*'5. Scenarios'!$C$6/(1+ProductivityDefault*('5. Scenarios'!$C$11-1)))</f>
        <v/>
      </c>
      <c r="J632" s="57" t="str">
        <f aca="false">IF($I632="","",INDEX(BookRate,627)*(1+'5. Scenarios'!$C$10)*$I632)</f>
        <v/>
      </c>
      <c r="K632" s="57" t="str">
        <f aca="false">IF($J632="","",SUMIFS($J$6:$J$2405,$A$6:$A$2405,"&lt;="&amp;$A632))</f>
        <v/>
      </c>
      <c r="L632" s="57" t="str">
        <f aca="false">IF($J632="","",IF($K632&lt;=BankCostEnvelope*'5. Scenarios'!$C$7,1,0))</f>
        <v/>
      </c>
      <c r="M632" s="57" t="str">
        <f aca="false">IF($I632="","",INDEX(BookRate,627)*(1+'5. Scenarios'!$C$10)*(INDEX(BookQ1,627)*(5-MIN(4,1+'5. Scenarios'!$C$8))/4+INDEX(BookQ2,627)*(5-MIN(4,2+'5. Scenarios'!$C$8))/4+INDEX(BookQ3,627)*(5-MIN(4,3+'5. Scenarios'!$C$8))/4+INDEX(BookQ4,627)*(5-MIN(4,4+'5. Scenarios'!$C$8))/4)*'5. Scenarios'!$C$6/(1+ProductivityDefault*('5. Scenarios'!$C$11-1))+INDEX(BookOneOff,627)*$I632)</f>
        <v/>
      </c>
      <c r="N632" s="56" t="str">
        <f aca="false">IF(INDEX(BookTitle,627)="","",INDEX(BookTotal,627)*'5. Scenarios'!$D$6/(1+ProductivityDefault*('5. Scenarios'!$D$11-1)))</f>
        <v/>
      </c>
      <c r="O632" s="57" t="str">
        <f aca="false">IF($N632="","",INDEX(BookRate,627)*(1+'5. Scenarios'!$D$10)*$N632)</f>
        <v/>
      </c>
      <c r="P632" s="57" t="str">
        <f aca="false">IF($O632="","",SUMIFS($O$6:$O$2405,$A$6:$A$2405,"&lt;="&amp;$A632))</f>
        <v/>
      </c>
      <c r="Q632" s="57" t="str">
        <f aca="false">IF($O632="","",IF($P632&lt;=BankCostEnvelope*'5. Scenarios'!$D$7,1,0))</f>
        <v/>
      </c>
      <c r="R632" s="57" t="str">
        <f aca="false">IF($N632="","",INDEX(BookRate,627)*(1+'5. Scenarios'!$D$10)*(INDEX(BookQ1,627)*(5-MIN(4,1+'5. Scenarios'!$D$8))/4+INDEX(BookQ2,627)*(5-MIN(4,2+'5. Scenarios'!$D$8))/4+INDEX(BookQ3,627)*(5-MIN(4,3+'5. Scenarios'!$D$8))/4+INDEX(BookQ4,627)*(5-MIN(4,4+'5. Scenarios'!$D$8))/4)*'5. Scenarios'!$D$6/(1+ProductivityDefault*('5. Scenarios'!$D$11-1))+INDEX(BookOneOff,627)*$N632)</f>
        <v/>
      </c>
      <c r="S632" s="56" t="str">
        <f aca="false">IF(INDEX(BookTitle,627)="","",INDEX(BookTotal,627)*'5. Scenarios'!$E$6/(1+ProductivityDefault*('5. Scenarios'!$E$11-1)))</f>
        <v/>
      </c>
      <c r="T632" s="57" t="str">
        <f aca="false">IF($S632="","",INDEX(BookRate,627)*(1+'5. Scenarios'!$E$10)*$S632)</f>
        <v/>
      </c>
      <c r="U632" s="57" t="str">
        <f aca="false">IF($T632="","",SUMIFS($T$6:$T$2405,$A$6:$A$2405,"&lt;="&amp;$A632))</f>
        <v/>
      </c>
      <c r="V632" s="57" t="str">
        <f aca="false">IF($T632="","",IF($U632&lt;=BankCostEnvelope*'5. Scenarios'!$E$7,1,0))</f>
        <v/>
      </c>
      <c r="W632" s="57" t="str">
        <f aca="false">IF($S632="","",INDEX(BookRate,627)*(1+'5. Scenarios'!$E$10)*(INDEX(BookQ1,627)*(5-MIN(4,1+'5. Scenarios'!$E$8))/4+INDEX(BookQ2,627)*(5-MIN(4,2+'5. Scenarios'!$E$8))/4+INDEX(BookQ3,627)*(5-MIN(4,3+'5. Scenarios'!$E$8))/4+INDEX(BookQ4,627)*(5-MIN(4,4+'5. Scenarios'!$E$8))/4)*'5. Scenarios'!$E$6/(1+ProductivityDefault*('5. Scenarios'!$E$11-1))+INDEX(BookOneOff,627)*$S632)</f>
        <v/>
      </c>
    </row>
    <row r="633" customFormat="false" ht="15" hidden="false" customHeight="false" outlineLevel="0" collapsed="false">
      <c r="A633" s="0" t="str">
        <f aca="false">IF(INDEX(BookTitle,628)="","",INDEX(BookKey,628))</f>
        <v/>
      </c>
      <c r="B633" s="0" t="str">
        <f aca="false">IF(INDEX(BookTitle,628)="","",INDEX(BookGroup,628))</f>
        <v/>
      </c>
      <c r="C633" s="0" t="str">
        <f aca="false">IF(INDEX(BookTitle,628)="","",INDEX(BookCategory,628))</f>
        <v/>
      </c>
      <c r="D633" s="56" t="str">
        <f aca="false">IF(INDEX(BookTitle,628)="","",INDEX(BookTotal,628)*'5. Scenarios'!$B$6/(1+ProductivityDefault*('5. Scenarios'!$B$11-1)))</f>
        <v/>
      </c>
      <c r="E633" s="57" t="str">
        <f aca="false">IF($D633="","",INDEX(BookRate,628)*(1+'5. Scenarios'!$B$10)*$D633)</f>
        <v/>
      </c>
      <c r="F633" s="57" t="str">
        <f aca="false">IF($E633="","",SUMIFS($E$6:$E$2405,$A$6:$A$2405,"&lt;="&amp;$A633))</f>
        <v/>
      </c>
      <c r="G633" s="57" t="str">
        <f aca="false">IF($E633="","",IF($F633&lt;=BankCostEnvelope*'5. Scenarios'!$B$7,1,0))</f>
        <v/>
      </c>
      <c r="H633" s="57" t="str">
        <f aca="false">IF($D633="","",INDEX(BookRate,628)*(1+'5. Scenarios'!$B$10)*(INDEX(BookQ1,628)*(5-MIN(4,1+'5. Scenarios'!$B$8))/4+INDEX(BookQ2,628)*(5-MIN(4,2+'5. Scenarios'!$B$8))/4+INDEX(BookQ3,628)*(5-MIN(4,3+'5. Scenarios'!$B$8))/4+INDEX(BookQ4,628)*(5-MIN(4,4+'5. Scenarios'!$B$8))/4)*'5. Scenarios'!$B$6/(1+ProductivityDefault*('5. Scenarios'!$B$11-1))+INDEX(BookOneOff,628)*$D633)</f>
        <v/>
      </c>
      <c r="I633" s="56" t="str">
        <f aca="false">IF(INDEX(BookTitle,628)="","",INDEX(BookTotal,628)*'5. Scenarios'!$C$6/(1+ProductivityDefault*('5. Scenarios'!$C$11-1)))</f>
        <v/>
      </c>
      <c r="J633" s="57" t="str">
        <f aca="false">IF($I633="","",INDEX(BookRate,628)*(1+'5. Scenarios'!$C$10)*$I633)</f>
        <v/>
      </c>
      <c r="K633" s="57" t="str">
        <f aca="false">IF($J633="","",SUMIFS($J$6:$J$2405,$A$6:$A$2405,"&lt;="&amp;$A633))</f>
        <v/>
      </c>
      <c r="L633" s="57" t="str">
        <f aca="false">IF($J633="","",IF($K633&lt;=BankCostEnvelope*'5. Scenarios'!$C$7,1,0))</f>
        <v/>
      </c>
      <c r="M633" s="57" t="str">
        <f aca="false">IF($I633="","",INDEX(BookRate,628)*(1+'5. Scenarios'!$C$10)*(INDEX(BookQ1,628)*(5-MIN(4,1+'5. Scenarios'!$C$8))/4+INDEX(BookQ2,628)*(5-MIN(4,2+'5. Scenarios'!$C$8))/4+INDEX(BookQ3,628)*(5-MIN(4,3+'5. Scenarios'!$C$8))/4+INDEX(BookQ4,628)*(5-MIN(4,4+'5. Scenarios'!$C$8))/4)*'5. Scenarios'!$C$6/(1+ProductivityDefault*('5. Scenarios'!$C$11-1))+INDEX(BookOneOff,628)*$I633)</f>
        <v/>
      </c>
      <c r="N633" s="56" t="str">
        <f aca="false">IF(INDEX(BookTitle,628)="","",INDEX(BookTotal,628)*'5. Scenarios'!$D$6/(1+ProductivityDefault*('5. Scenarios'!$D$11-1)))</f>
        <v/>
      </c>
      <c r="O633" s="57" t="str">
        <f aca="false">IF($N633="","",INDEX(BookRate,628)*(1+'5. Scenarios'!$D$10)*$N633)</f>
        <v/>
      </c>
      <c r="P633" s="57" t="str">
        <f aca="false">IF($O633="","",SUMIFS($O$6:$O$2405,$A$6:$A$2405,"&lt;="&amp;$A633))</f>
        <v/>
      </c>
      <c r="Q633" s="57" t="str">
        <f aca="false">IF($O633="","",IF($P633&lt;=BankCostEnvelope*'5. Scenarios'!$D$7,1,0))</f>
        <v/>
      </c>
      <c r="R633" s="57" t="str">
        <f aca="false">IF($N633="","",INDEX(BookRate,628)*(1+'5. Scenarios'!$D$10)*(INDEX(BookQ1,628)*(5-MIN(4,1+'5. Scenarios'!$D$8))/4+INDEX(BookQ2,628)*(5-MIN(4,2+'5. Scenarios'!$D$8))/4+INDEX(BookQ3,628)*(5-MIN(4,3+'5. Scenarios'!$D$8))/4+INDEX(BookQ4,628)*(5-MIN(4,4+'5. Scenarios'!$D$8))/4)*'5. Scenarios'!$D$6/(1+ProductivityDefault*('5. Scenarios'!$D$11-1))+INDEX(BookOneOff,628)*$N633)</f>
        <v/>
      </c>
      <c r="S633" s="56" t="str">
        <f aca="false">IF(INDEX(BookTitle,628)="","",INDEX(BookTotal,628)*'5. Scenarios'!$E$6/(1+ProductivityDefault*('5. Scenarios'!$E$11-1)))</f>
        <v/>
      </c>
      <c r="T633" s="57" t="str">
        <f aca="false">IF($S633="","",INDEX(BookRate,628)*(1+'5. Scenarios'!$E$10)*$S633)</f>
        <v/>
      </c>
      <c r="U633" s="57" t="str">
        <f aca="false">IF($T633="","",SUMIFS($T$6:$T$2405,$A$6:$A$2405,"&lt;="&amp;$A633))</f>
        <v/>
      </c>
      <c r="V633" s="57" t="str">
        <f aca="false">IF($T633="","",IF($U633&lt;=BankCostEnvelope*'5. Scenarios'!$E$7,1,0))</f>
        <v/>
      </c>
      <c r="W633" s="57" t="str">
        <f aca="false">IF($S633="","",INDEX(BookRate,628)*(1+'5. Scenarios'!$E$10)*(INDEX(BookQ1,628)*(5-MIN(4,1+'5. Scenarios'!$E$8))/4+INDEX(BookQ2,628)*(5-MIN(4,2+'5. Scenarios'!$E$8))/4+INDEX(BookQ3,628)*(5-MIN(4,3+'5. Scenarios'!$E$8))/4+INDEX(BookQ4,628)*(5-MIN(4,4+'5. Scenarios'!$E$8))/4)*'5. Scenarios'!$E$6/(1+ProductivityDefault*('5. Scenarios'!$E$11-1))+INDEX(BookOneOff,628)*$S633)</f>
        <v/>
      </c>
    </row>
    <row r="634" customFormat="false" ht="15" hidden="false" customHeight="false" outlineLevel="0" collapsed="false">
      <c r="A634" s="0" t="str">
        <f aca="false">IF(INDEX(BookTitle,629)="","",INDEX(BookKey,629))</f>
        <v/>
      </c>
      <c r="B634" s="0" t="str">
        <f aca="false">IF(INDEX(BookTitle,629)="","",INDEX(BookGroup,629))</f>
        <v/>
      </c>
      <c r="C634" s="0" t="str">
        <f aca="false">IF(INDEX(BookTitle,629)="","",INDEX(BookCategory,629))</f>
        <v/>
      </c>
      <c r="D634" s="56" t="str">
        <f aca="false">IF(INDEX(BookTitle,629)="","",INDEX(BookTotal,629)*'5. Scenarios'!$B$6/(1+ProductivityDefault*('5. Scenarios'!$B$11-1)))</f>
        <v/>
      </c>
      <c r="E634" s="57" t="str">
        <f aca="false">IF($D634="","",INDEX(BookRate,629)*(1+'5. Scenarios'!$B$10)*$D634)</f>
        <v/>
      </c>
      <c r="F634" s="57" t="str">
        <f aca="false">IF($E634="","",SUMIFS($E$6:$E$2405,$A$6:$A$2405,"&lt;="&amp;$A634))</f>
        <v/>
      </c>
      <c r="G634" s="57" t="str">
        <f aca="false">IF($E634="","",IF($F634&lt;=BankCostEnvelope*'5. Scenarios'!$B$7,1,0))</f>
        <v/>
      </c>
      <c r="H634" s="57" t="str">
        <f aca="false">IF($D634="","",INDEX(BookRate,629)*(1+'5. Scenarios'!$B$10)*(INDEX(BookQ1,629)*(5-MIN(4,1+'5. Scenarios'!$B$8))/4+INDEX(BookQ2,629)*(5-MIN(4,2+'5. Scenarios'!$B$8))/4+INDEX(BookQ3,629)*(5-MIN(4,3+'5. Scenarios'!$B$8))/4+INDEX(BookQ4,629)*(5-MIN(4,4+'5. Scenarios'!$B$8))/4)*'5. Scenarios'!$B$6/(1+ProductivityDefault*('5. Scenarios'!$B$11-1))+INDEX(BookOneOff,629)*$D634)</f>
        <v/>
      </c>
      <c r="I634" s="56" t="str">
        <f aca="false">IF(INDEX(BookTitle,629)="","",INDEX(BookTotal,629)*'5. Scenarios'!$C$6/(1+ProductivityDefault*('5. Scenarios'!$C$11-1)))</f>
        <v/>
      </c>
      <c r="J634" s="57" t="str">
        <f aca="false">IF($I634="","",INDEX(BookRate,629)*(1+'5. Scenarios'!$C$10)*$I634)</f>
        <v/>
      </c>
      <c r="K634" s="57" t="str">
        <f aca="false">IF($J634="","",SUMIFS($J$6:$J$2405,$A$6:$A$2405,"&lt;="&amp;$A634))</f>
        <v/>
      </c>
      <c r="L634" s="57" t="str">
        <f aca="false">IF($J634="","",IF($K634&lt;=BankCostEnvelope*'5. Scenarios'!$C$7,1,0))</f>
        <v/>
      </c>
      <c r="M634" s="57" t="str">
        <f aca="false">IF($I634="","",INDEX(BookRate,629)*(1+'5. Scenarios'!$C$10)*(INDEX(BookQ1,629)*(5-MIN(4,1+'5. Scenarios'!$C$8))/4+INDEX(BookQ2,629)*(5-MIN(4,2+'5. Scenarios'!$C$8))/4+INDEX(BookQ3,629)*(5-MIN(4,3+'5. Scenarios'!$C$8))/4+INDEX(BookQ4,629)*(5-MIN(4,4+'5. Scenarios'!$C$8))/4)*'5. Scenarios'!$C$6/(1+ProductivityDefault*('5. Scenarios'!$C$11-1))+INDEX(BookOneOff,629)*$I634)</f>
        <v/>
      </c>
      <c r="N634" s="56" t="str">
        <f aca="false">IF(INDEX(BookTitle,629)="","",INDEX(BookTotal,629)*'5. Scenarios'!$D$6/(1+ProductivityDefault*('5. Scenarios'!$D$11-1)))</f>
        <v/>
      </c>
      <c r="O634" s="57" t="str">
        <f aca="false">IF($N634="","",INDEX(BookRate,629)*(1+'5. Scenarios'!$D$10)*$N634)</f>
        <v/>
      </c>
      <c r="P634" s="57" t="str">
        <f aca="false">IF($O634="","",SUMIFS($O$6:$O$2405,$A$6:$A$2405,"&lt;="&amp;$A634))</f>
        <v/>
      </c>
      <c r="Q634" s="57" t="str">
        <f aca="false">IF($O634="","",IF($P634&lt;=BankCostEnvelope*'5. Scenarios'!$D$7,1,0))</f>
        <v/>
      </c>
      <c r="R634" s="57" t="str">
        <f aca="false">IF($N634="","",INDEX(BookRate,629)*(1+'5. Scenarios'!$D$10)*(INDEX(BookQ1,629)*(5-MIN(4,1+'5. Scenarios'!$D$8))/4+INDEX(BookQ2,629)*(5-MIN(4,2+'5. Scenarios'!$D$8))/4+INDEX(BookQ3,629)*(5-MIN(4,3+'5. Scenarios'!$D$8))/4+INDEX(BookQ4,629)*(5-MIN(4,4+'5. Scenarios'!$D$8))/4)*'5. Scenarios'!$D$6/(1+ProductivityDefault*('5. Scenarios'!$D$11-1))+INDEX(BookOneOff,629)*$N634)</f>
        <v/>
      </c>
      <c r="S634" s="56" t="str">
        <f aca="false">IF(INDEX(BookTitle,629)="","",INDEX(BookTotal,629)*'5. Scenarios'!$E$6/(1+ProductivityDefault*('5. Scenarios'!$E$11-1)))</f>
        <v/>
      </c>
      <c r="T634" s="57" t="str">
        <f aca="false">IF($S634="","",INDEX(BookRate,629)*(1+'5. Scenarios'!$E$10)*$S634)</f>
        <v/>
      </c>
      <c r="U634" s="57" t="str">
        <f aca="false">IF($T634="","",SUMIFS($T$6:$T$2405,$A$6:$A$2405,"&lt;="&amp;$A634))</f>
        <v/>
      </c>
      <c r="V634" s="57" t="str">
        <f aca="false">IF($T634="","",IF($U634&lt;=BankCostEnvelope*'5. Scenarios'!$E$7,1,0))</f>
        <v/>
      </c>
      <c r="W634" s="57" t="str">
        <f aca="false">IF($S634="","",INDEX(BookRate,629)*(1+'5. Scenarios'!$E$10)*(INDEX(BookQ1,629)*(5-MIN(4,1+'5. Scenarios'!$E$8))/4+INDEX(BookQ2,629)*(5-MIN(4,2+'5. Scenarios'!$E$8))/4+INDEX(BookQ3,629)*(5-MIN(4,3+'5. Scenarios'!$E$8))/4+INDEX(BookQ4,629)*(5-MIN(4,4+'5. Scenarios'!$E$8))/4)*'5. Scenarios'!$E$6/(1+ProductivityDefault*('5. Scenarios'!$E$11-1))+INDEX(BookOneOff,629)*$S634)</f>
        <v/>
      </c>
    </row>
    <row r="635" customFormat="false" ht="15" hidden="false" customHeight="false" outlineLevel="0" collapsed="false">
      <c r="A635" s="0" t="str">
        <f aca="false">IF(INDEX(BookTitle,630)="","",INDEX(BookKey,630))</f>
        <v/>
      </c>
      <c r="B635" s="0" t="str">
        <f aca="false">IF(INDEX(BookTitle,630)="","",INDEX(BookGroup,630))</f>
        <v/>
      </c>
      <c r="C635" s="0" t="str">
        <f aca="false">IF(INDEX(BookTitle,630)="","",INDEX(BookCategory,630))</f>
        <v/>
      </c>
      <c r="D635" s="56" t="str">
        <f aca="false">IF(INDEX(BookTitle,630)="","",INDEX(BookTotal,630)*'5. Scenarios'!$B$6/(1+ProductivityDefault*('5. Scenarios'!$B$11-1)))</f>
        <v/>
      </c>
      <c r="E635" s="57" t="str">
        <f aca="false">IF($D635="","",INDEX(BookRate,630)*(1+'5. Scenarios'!$B$10)*$D635)</f>
        <v/>
      </c>
      <c r="F635" s="57" t="str">
        <f aca="false">IF($E635="","",SUMIFS($E$6:$E$2405,$A$6:$A$2405,"&lt;="&amp;$A635))</f>
        <v/>
      </c>
      <c r="G635" s="57" t="str">
        <f aca="false">IF($E635="","",IF($F635&lt;=BankCostEnvelope*'5. Scenarios'!$B$7,1,0))</f>
        <v/>
      </c>
      <c r="H635" s="57" t="str">
        <f aca="false">IF($D635="","",INDEX(BookRate,630)*(1+'5. Scenarios'!$B$10)*(INDEX(BookQ1,630)*(5-MIN(4,1+'5. Scenarios'!$B$8))/4+INDEX(BookQ2,630)*(5-MIN(4,2+'5. Scenarios'!$B$8))/4+INDEX(BookQ3,630)*(5-MIN(4,3+'5. Scenarios'!$B$8))/4+INDEX(BookQ4,630)*(5-MIN(4,4+'5. Scenarios'!$B$8))/4)*'5. Scenarios'!$B$6/(1+ProductivityDefault*('5. Scenarios'!$B$11-1))+INDEX(BookOneOff,630)*$D635)</f>
        <v/>
      </c>
      <c r="I635" s="56" t="str">
        <f aca="false">IF(INDEX(BookTitle,630)="","",INDEX(BookTotal,630)*'5. Scenarios'!$C$6/(1+ProductivityDefault*('5. Scenarios'!$C$11-1)))</f>
        <v/>
      </c>
      <c r="J635" s="57" t="str">
        <f aca="false">IF($I635="","",INDEX(BookRate,630)*(1+'5. Scenarios'!$C$10)*$I635)</f>
        <v/>
      </c>
      <c r="K635" s="57" t="str">
        <f aca="false">IF($J635="","",SUMIFS($J$6:$J$2405,$A$6:$A$2405,"&lt;="&amp;$A635))</f>
        <v/>
      </c>
      <c r="L635" s="57" t="str">
        <f aca="false">IF($J635="","",IF($K635&lt;=BankCostEnvelope*'5. Scenarios'!$C$7,1,0))</f>
        <v/>
      </c>
      <c r="M635" s="57" t="str">
        <f aca="false">IF($I635="","",INDEX(BookRate,630)*(1+'5. Scenarios'!$C$10)*(INDEX(BookQ1,630)*(5-MIN(4,1+'5. Scenarios'!$C$8))/4+INDEX(BookQ2,630)*(5-MIN(4,2+'5. Scenarios'!$C$8))/4+INDEX(BookQ3,630)*(5-MIN(4,3+'5. Scenarios'!$C$8))/4+INDEX(BookQ4,630)*(5-MIN(4,4+'5. Scenarios'!$C$8))/4)*'5. Scenarios'!$C$6/(1+ProductivityDefault*('5. Scenarios'!$C$11-1))+INDEX(BookOneOff,630)*$I635)</f>
        <v/>
      </c>
      <c r="N635" s="56" t="str">
        <f aca="false">IF(INDEX(BookTitle,630)="","",INDEX(BookTotal,630)*'5. Scenarios'!$D$6/(1+ProductivityDefault*('5. Scenarios'!$D$11-1)))</f>
        <v/>
      </c>
      <c r="O635" s="57" t="str">
        <f aca="false">IF($N635="","",INDEX(BookRate,630)*(1+'5. Scenarios'!$D$10)*$N635)</f>
        <v/>
      </c>
      <c r="P635" s="57" t="str">
        <f aca="false">IF($O635="","",SUMIFS($O$6:$O$2405,$A$6:$A$2405,"&lt;="&amp;$A635))</f>
        <v/>
      </c>
      <c r="Q635" s="57" t="str">
        <f aca="false">IF($O635="","",IF($P635&lt;=BankCostEnvelope*'5. Scenarios'!$D$7,1,0))</f>
        <v/>
      </c>
      <c r="R635" s="57" t="str">
        <f aca="false">IF($N635="","",INDEX(BookRate,630)*(1+'5. Scenarios'!$D$10)*(INDEX(BookQ1,630)*(5-MIN(4,1+'5. Scenarios'!$D$8))/4+INDEX(BookQ2,630)*(5-MIN(4,2+'5. Scenarios'!$D$8))/4+INDEX(BookQ3,630)*(5-MIN(4,3+'5. Scenarios'!$D$8))/4+INDEX(BookQ4,630)*(5-MIN(4,4+'5. Scenarios'!$D$8))/4)*'5. Scenarios'!$D$6/(1+ProductivityDefault*('5. Scenarios'!$D$11-1))+INDEX(BookOneOff,630)*$N635)</f>
        <v/>
      </c>
      <c r="S635" s="56" t="str">
        <f aca="false">IF(INDEX(BookTitle,630)="","",INDEX(BookTotal,630)*'5. Scenarios'!$E$6/(1+ProductivityDefault*('5. Scenarios'!$E$11-1)))</f>
        <v/>
      </c>
      <c r="T635" s="57" t="str">
        <f aca="false">IF($S635="","",INDEX(BookRate,630)*(1+'5. Scenarios'!$E$10)*$S635)</f>
        <v/>
      </c>
      <c r="U635" s="57" t="str">
        <f aca="false">IF($T635="","",SUMIFS($T$6:$T$2405,$A$6:$A$2405,"&lt;="&amp;$A635))</f>
        <v/>
      </c>
      <c r="V635" s="57" t="str">
        <f aca="false">IF($T635="","",IF($U635&lt;=BankCostEnvelope*'5. Scenarios'!$E$7,1,0))</f>
        <v/>
      </c>
      <c r="W635" s="57" t="str">
        <f aca="false">IF($S635="","",INDEX(BookRate,630)*(1+'5. Scenarios'!$E$10)*(INDEX(BookQ1,630)*(5-MIN(4,1+'5. Scenarios'!$E$8))/4+INDEX(BookQ2,630)*(5-MIN(4,2+'5. Scenarios'!$E$8))/4+INDEX(BookQ3,630)*(5-MIN(4,3+'5. Scenarios'!$E$8))/4+INDEX(BookQ4,630)*(5-MIN(4,4+'5. Scenarios'!$E$8))/4)*'5. Scenarios'!$E$6/(1+ProductivityDefault*('5. Scenarios'!$E$11-1))+INDEX(BookOneOff,630)*$S635)</f>
        <v/>
      </c>
    </row>
    <row r="636" customFormat="false" ht="15" hidden="false" customHeight="false" outlineLevel="0" collapsed="false">
      <c r="A636" s="0" t="str">
        <f aca="false">IF(INDEX(BookTitle,631)="","",INDEX(BookKey,631))</f>
        <v/>
      </c>
      <c r="B636" s="0" t="str">
        <f aca="false">IF(INDEX(BookTitle,631)="","",INDEX(BookGroup,631))</f>
        <v/>
      </c>
      <c r="C636" s="0" t="str">
        <f aca="false">IF(INDEX(BookTitle,631)="","",INDEX(BookCategory,631))</f>
        <v/>
      </c>
      <c r="D636" s="56" t="str">
        <f aca="false">IF(INDEX(BookTitle,631)="","",INDEX(BookTotal,631)*'5. Scenarios'!$B$6/(1+ProductivityDefault*('5. Scenarios'!$B$11-1)))</f>
        <v/>
      </c>
      <c r="E636" s="57" t="str">
        <f aca="false">IF($D636="","",INDEX(BookRate,631)*(1+'5. Scenarios'!$B$10)*$D636)</f>
        <v/>
      </c>
      <c r="F636" s="57" t="str">
        <f aca="false">IF($E636="","",SUMIFS($E$6:$E$2405,$A$6:$A$2405,"&lt;="&amp;$A636))</f>
        <v/>
      </c>
      <c r="G636" s="57" t="str">
        <f aca="false">IF($E636="","",IF($F636&lt;=BankCostEnvelope*'5. Scenarios'!$B$7,1,0))</f>
        <v/>
      </c>
      <c r="H636" s="57" t="str">
        <f aca="false">IF($D636="","",INDEX(BookRate,631)*(1+'5. Scenarios'!$B$10)*(INDEX(BookQ1,631)*(5-MIN(4,1+'5. Scenarios'!$B$8))/4+INDEX(BookQ2,631)*(5-MIN(4,2+'5. Scenarios'!$B$8))/4+INDEX(BookQ3,631)*(5-MIN(4,3+'5. Scenarios'!$B$8))/4+INDEX(BookQ4,631)*(5-MIN(4,4+'5. Scenarios'!$B$8))/4)*'5. Scenarios'!$B$6/(1+ProductivityDefault*('5. Scenarios'!$B$11-1))+INDEX(BookOneOff,631)*$D636)</f>
        <v/>
      </c>
      <c r="I636" s="56" t="str">
        <f aca="false">IF(INDEX(BookTitle,631)="","",INDEX(BookTotal,631)*'5. Scenarios'!$C$6/(1+ProductivityDefault*('5. Scenarios'!$C$11-1)))</f>
        <v/>
      </c>
      <c r="J636" s="57" t="str">
        <f aca="false">IF($I636="","",INDEX(BookRate,631)*(1+'5. Scenarios'!$C$10)*$I636)</f>
        <v/>
      </c>
      <c r="K636" s="57" t="str">
        <f aca="false">IF($J636="","",SUMIFS($J$6:$J$2405,$A$6:$A$2405,"&lt;="&amp;$A636))</f>
        <v/>
      </c>
      <c r="L636" s="57" t="str">
        <f aca="false">IF($J636="","",IF($K636&lt;=BankCostEnvelope*'5. Scenarios'!$C$7,1,0))</f>
        <v/>
      </c>
      <c r="M636" s="57" t="str">
        <f aca="false">IF($I636="","",INDEX(BookRate,631)*(1+'5. Scenarios'!$C$10)*(INDEX(BookQ1,631)*(5-MIN(4,1+'5. Scenarios'!$C$8))/4+INDEX(BookQ2,631)*(5-MIN(4,2+'5. Scenarios'!$C$8))/4+INDEX(BookQ3,631)*(5-MIN(4,3+'5. Scenarios'!$C$8))/4+INDEX(BookQ4,631)*(5-MIN(4,4+'5. Scenarios'!$C$8))/4)*'5. Scenarios'!$C$6/(1+ProductivityDefault*('5. Scenarios'!$C$11-1))+INDEX(BookOneOff,631)*$I636)</f>
        <v/>
      </c>
      <c r="N636" s="56" t="str">
        <f aca="false">IF(INDEX(BookTitle,631)="","",INDEX(BookTotal,631)*'5. Scenarios'!$D$6/(1+ProductivityDefault*('5. Scenarios'!$D$11-1)))</f>
        <v/>
      </c>
      <c r="O636" s="57" t="str">
        <f aca="false">IF($N636="","",INDEX(BookRate,631)*(1+'5. Scenarios'!$D$10)*$N636)</f>
        <v/>
      </c>
      <c r="P636" s="57" t="str">
        <f aca="false">IF($O636="","",SUMIFS($O$6:$O$2405,$A$6:$A$2405,"&lt;="&amp;$A636))</f>
        <v/>
      </c>
      <c r="Q636" s="57" t="str">
        <f aca="false">IF($O636="","",IF($P636&lt;=BankCostEnvelope*'5. Scenarios'!$D$7,1,0))</f>
        <v/>
      </c>
      <c r="R636" s="57" t="str">
        <f aca="false">IF($N636="","",INDEX(BookRate,631)*(1+'5. Scenarios'!$D$10)*(INDEX(BookQ1,631)*(5-MIN(4,1+'5. Scenarios'!$D$8))/4+INDEX(BookQ2,631)*(5-MIN(4,2+'5. Scenarios'!$D$8))/4+INDEX(BookQ3,631)*(5-MIN(4,3+'5. Scenarios'!$D$8))/4+INDEX(BookQ4,631)*(5-MIN(4,4+'5. Scenarios'!$D$8))/4)*'5. Scenarios'!$D$6/(1+ProductivityDefault*('5. Scenarios'!$D$11-1))+INDEX(BookOneOff,631)*$N636)</f>
        <v/>
      </c>
      <c r="S636" s="56" t="str">
        <f aca="false">IF(INDEX(BookTitle,631)="","",INDEX(BookTotal,631)*'5. Scenarios'!$E$6/(1+ProductivityDefault*('5. Scenarios'!$E$11-1)))</f>
        <v/>
      </c>
      <c r="T636" s="57" t="str">
        <f aca="false">IF($S636="","",INDEX(BookRate,631)*(1+'5. Scenarios'!$E$10)*$S636)</f>
        <v/>
      </c>
      <c r="U636" s="57" t="str">
        <f aca="false">IF($T636="","",SUMIFS($T$6:$T$2405,$A$6:$A$2405,"&lt;="&amp;$A636))</f>
        <v/>
      </c>
      <c r="V636" s="57" t="str">
        <f aca="false">IF($T636="","",IF($U636&lt;=BankCostEnvelope*'5. Scenarios'!$E$7,1,0))</f>
        <v/>
      </c>
      <c r="W636" s="57" t="str">
        <f aca="false">IF($S636="","",INDEX(BookRate,631)*(1+'5. Scenarios'!$E$10)*(INDEX(BookQ1,631)*(5-MIN(4,1+'5. Scenarios'!$E$8))/4+INDEX(BookQ2,631)*(5-MIN(4,2+'5. Scenarios'!$E$8))/4+INDEX(BookQ3,631)*(5-MIN(4,3+'5. Scenarios'!$E$8))/4+INDEX(BookQ4,631)*(5-MIN(4,4+'5. Scenarios'!$E$8))/4)*'5. Scenarios'!$E$6/(1+ProductivityDefault*('5. Scenarios'!$E$11-1))+INDEX(BookOneOff,631)*$S636)</f>
        <v/>
      </c>
    </row>
    <row r="637" customFormat="false" ht="15" hidden="false" customHeight="false" outlineLevel="0" collapsed="false">
      <c r="A637" s="0" t="str">
        <f aca="false">IF(INDEX(BookTitle,632)="","",INDEX(BookKey,632))</f>
        <v/>
      </c>
      <c r="B637" s="0" t="str">
        <f aca="false">IF(INDEX(BookTitle,632)="","",INDEX(BookGroup,632))</f>
        <v/>
      </c>
      <c r="C637" s="0" t="str">
        <f aca="false">IF(INDEX(BookTitle,632)="","",INDEX(BookCategory,632))</f>
        <v/>
      </c>
      <c r="D637" s="56" t="str">
        <f aca="false">IF(INDEX(BookTitle,632)="","",INDEX(BookTotal,632)*'5. Scenarios'!$B$6/(1+ProductivityDefault*('5. Scenarios'!$B$11-1)))</f>
        <v/>
      </c>
      <c r="E637" s="57" t="str">
        <f aca="false">IF($D637="","",INDEX(BookRate,632)*(1+'5. Scenarios'!$B$10)*$D637)</f>
        <v/>
      </c>
      <c r="F637" s="57" t="str">
        <f aca="false">IF($E637="","",SUMIFS($E$6:$E$2405,$A$6:$A$2405,"&lt;="&amp;$A637))</f>
        <v/>
      </c>
      <c r="G637" s="57" t="str">
        <f aca="false">IF($E637="","",IF($F637&lt;=BankCostEnvelope*'5. Scenarios'!$B$7,1,0))</f>
        <v/>
      </c>
      <c r="H637" s="57" t="str">
        <f aca="false">IF($D637="","",INDEX(BookRate,632)*(1+'5. Scenarios'!$B$10)*(INDEX(BookQ1,632)*(5-MIN(4,1+'5. Scenarios'!$B$8))/4+INDEX(BookQ2,632)*(5-MIN(4,2+'5. Scenarios'!$B$8))/4+INDEX(BookQ3,632)*(5-MIN(4,3+'5. Scenarios'!$B$8))/4+INDEX(BookQ4,632)*(5-MIN(4,4+'5. Scenarios'!$B$8))/4)*'5. Scenarios'!$B$6/(1+ProductivityDefault*('5. Scenarios'!$B$11-1))+INDEX(BookOneOff,632)*$D637)</f>
        <v/>
      </c>
      <c r="I637" s="56" t="str">
        <f aca="false">IF(INDEX(BookTitle,632)="","",INDEX(BookTotal,632)*'5. Scenarios'!$C$6/(1+ProductivityDefault*('5. Scenarios'!$C$11-1)))</f>
        <v/>
      </c>
      <c r="J637" s="57" t="str">
        <f aca="false">IF($I637="","",INDEX(BookRate,632)*(1+'5. Scenarios'!$C$10)*$I637)</f>
        <v/>
      </c>
      <c r="K637" s="57" t="str">
        <f aca="false">IF($J637="","",SUMIFS($J$6:$J$2405,$A$6:$A$2405,"&lt;="&amp;$A637))</f>
        <v/>
      </c>
      <c r="L637" s="57" t="str">
        <f aca="false">IF($J637="","",IF($K637&lt;=BankCostEnvelope*'5. Scenarios'!$C$7,1,0))</f>
        <v/>
      </c>
      <c r="M637" s="57" t="str">
        <f aca="false">IF($I637="","",INDEX(BookRate,632)*(1+'5. Scenarios'!$C$10)*(INDEX(BookQ1,632)*(5-MIN(4,1+'5. Scenarios'!$C$8))/4+INDEX(BookQ2,632)*(5-MIN(4,2+'5. Scenarios'!$C$8))/4+INDEX(BookQ3,632)*(5-MIN(4,3+'5. Scenarios'!$C$8))/4+INDEX(BookQ4,632)*(5-MIN(4,4+'5. Scenarios'!$C$8))/4)*'5. Scenarios'!$C$6/(1+ProductivityDefault*('5. Scenarios'!$C$11-1))+INDEX(BookOneOff,632)*$I637)</f>
        <v/>
      </c>
      <c r="N637" s="56" t="str">
        <f aca="false">IF(INDEX(BookTitle,632)="","",INDEX(BookTotal,632)*'5. Scenarios'!$D$6/(1+ProductivityDefault*('5. Scenarios'!$D$11-1)))</f>
        <v/>
      </c>
      <c r="O637" s="57" t="str">
        <f aca="false">IF($N637="","",INDEX(BookRate,632)*(1+'5. Scenarios'!$D$10)*$N637)</f>
        <v/>
      </c>
      <c r="P637" s="57" t="str">
        <f aca="false">IF($O637="","",SUMIFS($O$6:$O$2405,$A$6:$A$2405,"&lt;="&amp;$A637))</f>
        <v/>
      </c>
      <c r="Q637" s="57" t="str">
        <f aca="false">IF($O637="","",IF($P637&lt;=BankCostEnvelope*'5. Scenarios'!$D$7,1,0))</f>
        <v/>
      </c>
      <c r="R637" s="57" t="str">
        <f aca="false">IF($N637="","",INDEX(BookRate,632)*(1+'5. Scenarios'!$D$10)*(INDEX(BookQ1,632)*(5-MIN(4,1+'5. Scenarios'!$D$8))/4+INDEX(BookQ2,632)*(5-MIN(4,2+'5. Scenarios'!$D$8))/4+INDEX(BookQ3,632)*(5-MIN(4,3+'5. Scenarios'!$D$8))/4+INDEX(BookQ4,632)*(5-MIN(4,4+'5. Scenarios'!$D$8))/4)*'5. Scenarios'!$D$6/(1+ProductivityDefault*('5. Scenarios'!$D$11-1))+INDEX(BookOneOff,632)*$N637)</f>
        <v/>
      </c>
      <c r="S637" s="56" t="str">
        <f aca="false">IF(INDEX(BookTitle,632)="","",INDEX(BookTotal,632)*'5. Scenarios'!$E$6/(1+ProductivityDefault*('5. Scenarios'!$E$11-1)))</f>
        <v/>
      </c>
      <c r="T637" s="57" t="str">
        <f aca="false">IF($S637="","",INDEX(BookRate,632)*(1+'5. Scenarios'!$E$10)*$S637)</f>
        <v/>
      </c>
      <c r="U637" s="57" t="str">
        <f aca="false">IF($T637="","",SUMIFS($T$6:$T$2405,$A$6:$A$2405,"&lt;="&amp;$A637))</f>
        <v/>
      </c>
      <c r="V637" s="57" t="str">
        <f aca="false">IF($T637="","",IF($U637&lt;=BankCostEnvelope*'5. Scenarios'!$E$7,1,0))</f>
        <v/>
      </c>
      <c r="W637" s="57" t="str">
        <f aca="false">IF($S637="","",INDEX(BookRate,632)*(1+'5. Scenarios'!$E$10)*(INDEX(BookQ1,632)*(5-MIN(4,1+'5. Scenarios'!$E$8))/4+INDEX(BookQ2,632)*(5-MIN(4,2+'5. Scenarios'!$E$8))/4+INDEX(BookQ3,632)*(5-MIN(4,3+'5. Scenarios'!$E$8))/4+INDEX(BookQ4,632)*(5-MIN(4,4+'5. Scenarios'!$E$8))/4)*'5. Scenarios'!$E$6/(1+ProductivityDefault*('5. Scenarios'!$E$11-1))+INDEX(BookOneOff,632)*$S637)</f>
        <v/>
      </c>
    </row>
    <row r="638" customFormat="false" ht="15" hidden="false" customHeight="false" outlineLevel="0" collapsed="false">
      <c r="A638" s="0" t="str">
        <f aca="false">IF(INDEX(BookTitle,633)="","",INDEX(BookKey,633))</f>
        <v/>
      </c>
      <c r="B638" s="0" t="str">
        <f aca="false">IF(INDEX(BookTitle,633)="","",INDEX(BookGroup,633))</f>
        <v/>
      </c>
      <c r="C638" s="0" t="str">
        <f aca="false">IF(INDEX(BookTitle,633)="","",INDEX(BookCategory,633))</f>
        <v/>
      </c>
      <c r="D638" s="56" t="str">
        <f aca="false">IF(INDEX(BookTitle,633)="","",INDEX(BookTotal,633)*'5. Scenarios'!$B$6/(1+ProductivityDefault*('5. Scenarios'!$B$11-1)))</f>
        <v/>
      </c>
      <c r="E638" s="57" t="str">
        <f aca="false">IF($D638="","",INDEX(BookRate,633)*(1+'5. Scenarios'!$B$10)*$D638)</f>
        <v/>
      </c>
      <c r="F638" s="57" t="str">
        <f aca="false">IF($E638="","",SUMIFS($E$6:$E$2405,$A$6:$A$2405,"&lt;="&amp;$A638))</f>
        <v/>
      </c>
      <c r="G638" s="57" t="str">
        <f aca="false">IF($E638="","",IF($F638&lt;=BankCostEnvelope*'5. Scenarios'!$B$7,1,0))</f>
        <v/>
      </c>
      <c r="H638" s="57" t="str">
        <f aca="false">IF($D638="","",INDEX(BookRate,633)*(1+'5. Scenarios'!$B$10)*(INDEX(BookQ1,633)*(5-MIN(4,1+'5. Scenarios'!$B$8))/4+INDEX(BookQ2,633)*(5-MIN(4,2+'5. Scenarios'!$B$8))/4+INDEX(BookQ3,633)*(5-MIN(4,3+'5. Scenarios'!$B$8))/4+INDEX(BookQ4,633)*(5-MIN(4,4+'5. Scenarios'!$B$8))/4)*'5. Scenarios'!$B$6/(1+ProductivityDefault*('5. Scenarios'!$B$11-1))+INDEX(BookOneOff,633)*$D638)</f>
        <v/>
      </c>
      <c r="I638" s="56" t="str">
        <f aca="false">IF(INDEX(BookTitle,633)="","",INDEX(BookTotal,633)*'5. Scenarios'!$C$6/(1+ProductivityDefault*('5. Scenarios'!$C$11-1)))</f>
        <v/>
      </c>
      <c r="J638" s="57" t="str">
        <f aca="false">IF($I638="","",INDEX(BookRate,633)*(1+'5. Scenarios'!$C$10)*$I638)</f>
        <v/>
      </c>
      <c r="K638" s="57" t="str">
        <f aca="false">IF($J638="","",SUMIFS($J$6:$J$2405,$A$6:$A$2405,"&lt;="&amp;$A638))</f>
        <v/>
      </c>
      <c r="L638" s="57" t="str">
        <f aca="false">IF($J638="","",IF($K638&lt;=BankCostEnvelope*'5. Scenarios'!$C$7,1,0))</f>
        <v/>
      </c>
      <c r="M638" s="57" t="str">
        <f aca="false">IF($I638="","",INDEX(BookRate,633)*(1+'5. Scenarios'!$C$10)*(INDEX(BookQ1,633)*(5-MIN(4,1+'5. Scenarios'!$C$8))/4+INDEX(BookQ2,633)*(5-MIN(4,2+'5. Scenarios'!$C$8))/4+INDEX(BookQ3,633)*(5-MIN(4,3+'5. Scenarios'!$C$8))/4+INDEX(BookQ4,633)*(5-MIN(4,4+'5. Scenarios'!$C$8))/4)*'5. Scenarios'!$C$6/(1+ProductivityDefault*('5. Scenarios'!$C$11-1))+INDEX(BookOneOff,633)*$I638)</f>
        <v/>
      </c>
      <c r="N638" s="56" t="str">
        <f aca="false">IF(INDEX(BookTitle,633)="","",INDEX(BookTotal,633)*'5. Scenarios'!$D$6/(1+ProductivityDefault*('5. Scenarios'!$D$11-1)))</f>
        <v/>
      </c>
      <c r="O638" s="57" t="str">
        <f aca="false">IF($N638="","",INDEX(BookRate,633)*(1+'5. Scenarios'!$D$10)*$N638)</f>
        <v/>
      </c>
      <c r="P638" s="57" t="str">
        <f aca="false">IF($O638="","",SUMIFS($O$6:$O$2405,$A$6:$A$2405,"&lt;="&amp;$A638))</f>
        <v/>
      </c>
      <c r="Q638" s="57" t="str">
        <f aca="false">IF($O638="","",IF($P638&lt;=BankCostEnvelope*'5. Scenarios'!$D$7,1,0))</f>
        <v/>
      </c>
      <c r="R638" s="57" t="str">
        <f aca="false">IF($N638="","",INDEX(BookRate,633)*(1+'5. Scenarios'!$D$10)*(INDEX(BookQ1,633)*(5-MIN(4,1+'5. Scenarios'!$D$8))/4+INDEX(BookQ2,633)*(5-MIN(4,2+'5. Scenarios'!$D$8))/4+INDEX(BookQ3,633)*(5-MIN(4,3+'5. Scenarios'!$D$8))/4+INDEX(BookQ4,633)*(5-MIN(4,4+'5. Scenarios'!$D$8))/4)*'5. Scenarios'!$D$6/(1+ProductivityDefault*('5. Scenarios'!$D$11-1))+INDEX(BookOneOff,633)*$N638)</f>
        <v/>
      </c>
      <c r="S638" s="56" t="str">
        <f aca="false">IF(INDEX(BookTitle,633)="","",INDEX(BookTotal,633)*'5. Scenarios'!$E$6/(1+ProductivityDefault*('5. Scenarios'!$E$11-1)))</f>
        <v/>
      </c>
      <c r="T638" s="57" t="str">
        <f aca="false">IF($S638="","",INDEX(BookRate,633)*(1+'5. Scenarios'!$E$10)*$S638)</f>
        <v/>
      </c>
      <c r="U638" s="57" t="str">
        <f aca="false">IF($T638="","",SUMIFS($T$6:$T$2405,$A$6:$A$2405,"&lt;="&amp;$A638))</f>
        <v/>
      </c>
      <c r="V638" s="57" t="str">
        <f aca="false">IF($T638="","",IF($U638&lt;=BankCostEnvelope*'5. Scenarios'!$E$7,1,0))</f>
        <v/>
      </c>
      <c r="W638" s="57" t="str">
        <f aca="false">IF($S638="","",INDEX(BookRate,633)*(1+'5. Scenarios'!$E$10)*(INDEX(BookQ1,633)*(5-MIN(4,1+'5. Scenarios'!$E$8))/4+INDEX(BookQ2,633)*(5-MIN(4,2+'5. Scenarios'!$E$8))/4+INDEX(BookQ3,633)*(5-MIN(4,3+'5. Scenarios'!$E$8))/4+INDEX(BookQ4,633)*(5-MIN(4,4+'5. Scenarios'!$E$8))/4)*'5. Scenarios'!$E$6/(1+ProductivityDefault*('5. Scenarios'!$E$11-1))+INDEX(BookOneOff,633)*$S638)</f>
        <v/>
      </c>
    </row>
    <row r="639" customFormat="false" ht="15" hidden="false" customHeight="false" outlineLevel="0" collapsed="false">
      <c r="A639" s="0" t="str">
        <f aca="false">IF(INDEX(BookTitle,634)="","",INDEX(BookKey,634))</f>
        <v/>
      </c>
      <c r="B639" s="0" t="str">
        <f aca="false">IF(INDEX(BookTitle,634)="","",INDEX(BookGroup,634))</f>
        <v/>
      </c>
      <c r="C639" s="0" t="str">
        <f aca="false">IF(INDEX(BookTitle,634)="","",INDEX(BookCategory,634))</f>
        <v/>
      </c>
      <c r="D639" s="56" t="str">
        <f aca="false">IF(INDEX(BookTitle,634)="","",INDEX(BookTotal,634)*'5. Scenarios'!$B$6/(1+ProductivityDefault*('5. Scenarios'!$B$11-1)))</f>
        <v/>
      </c>
      <c r="E639" s="57" t="str">
        <f aca="false">IF($D639="","",INDEX(BookRate,634)*(1+'5. Scenarios'!$B$10)*$D639)</f>
        <v/>
      </c>
      <c r="F639" s="57" t="str">
        <f aca="false">IF($E639="","",SUMIFS($E$6:$E$2405,$A$6:$A$2405,"&lt;="&amp;$A639))</f>
        <v/>
      </c>
      <c r="G639" s="57" t="str">
        <f aca="false">IF($E639="","",IF($F639&lt;=BankCostEnvelope*'5. Scenarios'!$B$7,1,0))</f>
        <v/>
      </c>
      <c r="H639" s="57" t="str">
        <f aca="false">IF($D639="","",INDEX(BookRate,634)*(1+'5. Scenarios'!$B$10)*(INDEX(BookQ1,634)*(5-MIN(4,1+'5. Scenarios'!$B$8))/4+INDEX(BookQ2,634)*(5-MIN(4,2+'5. Scenarios'!$B$8))/4+INDEX(BookQ3,634)*(5-MIN(4,3+'5. Scenarios'!$B$8))/4+INDEX(BookQ4,634)*(5-MIN(4,4+'5. Scenarios'!$B$8))/4)*'5. Scenarios'!$B$6/(1+ProductivityDefault*('5. Scenarios'!$B$11-1))+INDEX(BookOneOff,634)*$D639)</f>
        <v/>
      </c>
      <c r="I639" s="56" t="str">
        <f aca="false">IF(INDEX(BookTitle,634)="","",INDEX(BookTotal,634)*'5. Scenarios'!$C$6/(1+ProductivityDefault*('5. Scenarios'!$C$11-1)))</f>
        <v/>
      </c>
      <c r="J639" s="57" t="str">
        <f aca="false">IF($I639="","",INDEX(BookRate,634)*(1+'5. Scenarios'!$C$10)*$I639)</f>
        <v/>
      </c>
      <c r="K639" s="57" t="str">
        <f aca="false">IF($J639="","",SUMIFS($J$6:$J$2405,$A$6:$A$2405,"&lt;="&amp;$A639))</f>
        <v/>
      </c>
      <c r="L639" s="57" t="str">
        <f aca="false">IF($J639="","",IF($K639&lt;=BankCostEnvelope*'5. Scenarios'!$C$7,1,0))</f>
        <v/>
      </c>
      <c r="M639" s="57" t="str">
        <f aca="false">IF($I639="","",INDEX(BookRate,634)*(1+'5. Scenarios'!$C$10)*(INDEX(BookQ1,634)*(5-MIN(4,1+'5. Scenarios'!$C$8))/4+INDEX(BookQ2,634)*(5-MIN(4,2+'5. Scenarios'!$C$8))/4+INDEX(BookQ3,634)*(5-MIN(4,3+'5. Scenarios'!$C$8))/4+INDEX(BookQ4,634)*(5-MIN(4,4+'5. Scenarios'!$C$8))/4)*'5. Scenarios'!$C$6/(1+ProductivityDefault*('5. Scenarios'!$C$11-1))+INDEX(BookOneOff,634)*$I639)</f>
        <v/>
      </c>
      <c r="N639" s="56" t="str">
        <f aca="false">IF(INDEX(BookTitle,634)="","",INDEX(BookTotal,634)*'5. Scenarios'!$D$6/(1+ProductivityDefault*('5. Scenarios'!$D$11-1)))</f>
        <v/>
      </c>
      <c r="O639" s="57" t="str">
        <f aca="false">IF($N639="","",INDEX(BookRate,634)*(1+'5. Scenarios'!$D$10)*$N639)</f>
        <v/>
      </c>
      <c r="P639" s="57" t="str">
        <f aca="false">IF($O639="","",SUMIFS($O$6:$O$2405,$A$6:$A$2405,"&lt;="&amp;$A639))</f>
        <v/>
      </c>
      <c r="Q639" s="57" t="str">
        <f aca="false">IF($O639="","",IF($P639&lt;=BankCostEnvelope*'5. Scenarios'!$D$7,1,0))</f>
        <v/>
      </c>
      <c r="R639" s="57" t="str">
        <f aca="false">IF($N639="","",INDEX(BookRate,634)*(1+'5. Scenarios'!$D$10)*(INDEX(BookQ1,634)*(5-MIN(4,1+'5. Scenarios'!$D$8))/4+INDEX(BookQ2,634)*(5-MIN(4,2+'5. Scenarios'!$D$8))/4+INDEX(BookQ3,634)*(5-MIN(4,3+'5. Scenarios'!$D$8))/4+INDEX(BookQ4,634)*(5-MIN(4,4+'5. Scenarios'!$D$8))/4)*'5. Scenarios'!$D$6/(1+ProductivityDefault*('5. Scenarios'!$D$11-1))+INDEX(BookOneOff,634)*$N639)</f>
        <v/>
      </c>
      <c r="S639" s="56" t="str">
        <f aca="false">IF(INDEX(BookTitle,634)="","",INDEX(BookTotal,634)*'5. Scenarios'!$E$6/(1+ProductivityDefault*('5. Scenarios'!$E$11-1)))</f>
        <v/>
      </c>
      <c r="T639" s="57" t="str">
        <f aca="false">IF($S639="","",INDEX(BookRate,634)*(1+'5. Scenarios'!$E$10)*$S639)</f>
        <v/>
      </c>
      <c r="U639" s="57" t="str">
        <f aca="false">IF($T639="","",SUMIFS($T$6:$T$2405,$A$6:$A$2405,"&lt;="&amp;$A639))</f>
        <v/>
      </c>
      <c r="V639" s="57" t="str">
        <f aca="false">IF($T639="","",IF($U639&lt;=BankCostEnvelope*'5. Scenarios'!$E$7,1,0))</f>
        <v/>
      </c>
      <c r="W639" s="57" t="str">
        <f aca="false">IF($S639="","",INDEX(BookRate,634)*(1+'5. Scenarios'!$E$10)*(INDEX(BookQ1,634)*(5-MIN(4,1+'5. Scenarios'!$E$8))/4+INDEX(BookQ2,634)*(5-MIN(4,2+'5. Scenarios'!$E$8))/4+INDEX(BookQ3,634)*(5-MIN(4,3+'5. Scenarios'!$E$8))/4+INDEX(BookQ4,634)*(5-MIN(4,4+'5. Scenarios'!$E$8))/4)*'5. Scenarios'!$E$6/(1+ProductivityDefault*('5. Scenarios'!$E$11-1))+INDEX(BookOneOff,634)*$S639)</f>
        <v/>
      </c>
    </row>
    <row r="640" customFormat="false" ht="15" hidden="false" customHeight="false" outlineLevel="0" collapsed="false">
      <c r="A640" s="0" t="str">
        <f aca="false">IF(INDEX(BookTitle,635)="","",INDEX(BookKey,635))</f>
        <v/>
      </c>
      <c r="B640" s="0" t="str">
        <f aca="false">IF(INDEX(BookTitle,635)="","",INDEX(BookGroup,635))</f>
        <v/>
      </c>
      <c r="C640" s="0" t="str">
        <f aca="false">IF(INDEX(BookTitle,635)="","",INDEX(BookCategory,635))</f>
        <v/>
      </c>
      <c r="D640" s="56" t="str">
        <f aca="false">IF(INDEX(BookTitle,635)="","",INDEX(BookTotal,635)*'5. Scenarios'!$B$6/(1+ProductivityDefault*('5. Scenarios'!$B$11-1)))</f>
        <v/>
      </c>
      <c r="E640" s="57" t="str">
        <f aca="false">IF($D640="","",INDEX(BookRate,635)*(1+'5. Scenarios'!$B$10)*$D640)</f>
        <v/>
      </c>
      <c r="F640" s="57" t="str">
        <f aca="false">IF($E640="","",SUMIFS($E$6:$E$2405,$A$6:$A$2405,"&lt;="&amp;$A640))</f>
        <v/>
      </c>
      <c r="G640" s="57" t="str">
        <f aca="false">IF($E640="","",IF($F640&lt;=BankCostEnvelope*'5. Scenarios'!$B$7,1,0))</f>
        <v/>
      </c>
      <c r="H640" s="57" t="str">
        <f aca="false">IF($D640="","",INDEX(BookRate,635)*(1+'5. Scenarios'!$B$10)*(INDEX(BookQ1,635)*(5-MIN(4,1+'5. Scenarios'!$B$8))/4+INDEX(BookQ2,635)*(5-MIN(4,2+'5. Scenarios'!$B$8))/4+INDEX(BookQ3,635)*(5-MIN(4,3+'5. Scenarios'!$B$8))/4+INDEX(BookQ4,635)*(5-MIN(4,4+'5. Scenarios'!$B$8))/4)*'5. Scenarios'!$B$6/(1+ProductivityDefault*('5. Scenarios'!$B$11-1))+INDEX(BookOneOff,635)*$D640)</f>
        <v/>
      </c>
      <c r="I640" s="56" t="str">
        <f aca="false">IF(INDEX(BookTitle,635)="","",INDEX(BookTotal,635)*'5. Scenarios'!$C$6/(1+ProductivityDefault*('5. Scenarios'!$C$11-1)))</f>
        <v/>
      </c>
      <c r="J640" s="57" t="str">
        <f aca="false">IF($I640="","",INDEX(BookRate,635)*(1+'5. Scenarios'!$C$10)*$I640)</f>
        <v/>
      </c>
      <c r="K640" s="57" t="str">
        <f aca="false">IF($J640="","",SUMIFS($J$6:$J$2405,$A$6:$A$2405,"&lt;="&amp;$A640))</f>
        <v/>
      </c>
      <c r="L640" s="57" t="str">
        <f aca="false">IF($J640="","",IF($K640&lt;=BankCostEnvelope*'5. Scenarios'!$C$7,1,0))</f>
        <v/>
      </c>
      <c r="M640" s="57" t="str">
        <f aca="false">IF($I640="","",INDEX(BookRate,635)*(1+'5. Scenarios'!$C$10)*(INDEX(BookQ1,635)*(5-MIN(4,1+'5. Scenarios'!$C$8))/4+INDEX(BookQ2,635)*(5-MIN(4,2+'5. Scenarios'!$C$8))/4+INDEX(BookQ3,635)*(5-MIN(4,3+'5. Scenarios'!$C$8))/4+INDEX(BookQ4,635)*(5-MIN(4,4+'5. Scenarios'!$C$8))/4)*'5. Scenarios'!$C$6/(1+ProductivityDefault*('5. Scenarios'!$C$11-1))+INDEX(BookOneOff,635)*$I640)</f>
        <v/>
      </c>
      <c r="N640" s="56" t="str">
        <f aca="false">IF(INDEX(BookTitle,635)="","",INDEX(BookTotal,635)*'5. Scenarios'!$D$6/(1+ProductivityDefault*('5. Scenarios'!$D$11-1)))</f>
        <v/>
      </c>
      <c r="O640" s="57" t="str">
        <f aca="false">IF($N640="","",INDEX(BookRate,635)*(1+'5. Scenarios'!$D$10)*$N640)</f>
        <v/>
      </c>
      <c r="P640" s="57" t="str">
        <f aca="false">IF($O640="","",SUMIFS($O$6:$O$2405,$A$6:$A$2405,"&lt;="&amp;$A640))</f>
        <v/>
      </c>
      <c r="Q640" s="57" t="str">
        <f aca="false">IF($O640="","",IF($P640&lt;=BankCostEnvelope*'5. Scenarios'!$D$7,1,0))</f>
        <v/>
      </c>
      <c r="R640" s="57" t="str">
        <f aca="false">IF($N640="","",INDEX(BookRate,635)*(1+'5. Scenarios'!$D$10)*(INDEX(BookQ1,635)*(5-MIN(4,1+'5. Scenarios'!$D$8))/4+INDEX(BookQ2,635)*(5-MIN(4,2+'5. Scenarios'!$D$8))/4+INDEX(BookQ3,635)*(5-MIN(4,3+'5. Scenarios'!$D$8))/4+INDEX(BookQ4,635)*(5-MIN(4,4+'5. Scenarios'!$D$8))/4)*'5. Scenarios'!$D$6/(1+ProductivityDefault*('5. Scenarios'!$D$11-1))+INDEX(BookOneOff,635)*$N640)</f>
        <v/>
      </c>
      <c r="S640" s="56" t="str">
        <f aca="false">IF(INDEX(BookTitle,635)="","",INDEX(BookTotal,635)*'5. Scenarios'!$E$6/(1+ProductivityDefault*('5. Scenarios'!$E$11-1)))</f>
        <v/>
      </c>
      <c r="T640" s="57" t="str">
        <f aca="false">IF($S640="","",INDEX(BookRate,635)*(1+'5. Scenarios'!$E$10)*$S640)</f>
        <v/>
      </c>
      <c r="U640" s="57" t="str">
        <f aca="false">IF($T640="","",SUMIFS($T$6:$T$2405,$A$6:$A$2405,"&lt;="&amp;$A640))</f>
        <v/>
      </c>
      <c r="V640" s="57" t="str">
        <f aca="false">IF($T640="","",IF($U640&lt;=BankCostEnvelope*'5. Scenarios'!$E$7,1,0))</f>
        <v/>
      </c>
      <c r="W640" s="57" t="str">
        <f aca="false">IF($S640="","",INDEX(BookRate,635)*(1+'5. Scenarios'!$E$10)*(INDEX(BookQ1,635)*(5-MIN(4,1+'5. Scenarios'!$E$8))/4+INDEX(BookQ2,635)*(5-MIN(4,2+'5. Scenarios'!$E$8))/4+INDEX(BookQ3,635)*(5-MIN(4,3+'5. Scenarios'!$E$8))/4+INDEX(BookQ4,635)*(5-MIN(4,4+'5. Scenarios'!$E$8))/4)*'5. Scenarios'!$E$6/(1+ProductivityDefault*('5. Scenarios'!$E$11-1))+INDEX(BookOneOff,635)*$S640)</f>
        <v/>
      </c>
    </row>
    <row r="641" customFormat="false" ht="15" hidden="false" customHeight="false" outlineLevel="0" collapsed="false">
      <c r="A641" s="0" t="str">
        <f aca="false">IF(INDEX(BookTitle,636)="","",INDEX(BookKey,636))</f>
        <v/>
      </c>
      <c r="B641" s="0" t="str">
        <f aca="false">IF(INDEX(BookTitle,636)="","",INDEX(BookGroup,636))</f>
        <v/>
      </c>
      <c r="C641" s="0" t="str">
        <f aca="false">IF(INDEX(BookTitle,636)="","",INDEX(BookCategory,636))</f>
        <v/>
      </c>
      <c r="D641" s="56" t="str">
        <f aca="false">IF(INDEX(BookTitle,636)="","",INDEX(BookTotal,636)*'5. Scenarios'!$B$6/(1+ProductivityDefault*('5. Scenarios'!$B$11-1)))</f>
        <v/>
      </c>
      <c r="E641" s="57" t="str">
        <f aca="false">IF($D641="","",INDEX(BookRate,636)*(1+'5. Scenarios'!$B$10)*$D641)</f>
        <v/>
      </c>
      <c r="F641" s="57" t="str">
        <f aca="false">IF($E641="","",SUMIFS($E$6:$E$2405,$A$6:$A$2405,"&lt;="&amp;$A641))</f>
        <v/>
      </c>
      <c r="G641" s="57" t="str">
        <f aca="false">IF($E641="","",IF($F641&lt;=BankCostEnvelope*'5. Scenarios'!$B$7,1,0))</f>
        <v/>
      </c>
      <c r="H641" s="57" t="str">
        <f aca="false">IF($D641="","",INDEX(BookRate,636)*(1+'5. Scenarios'!$B$10)*(INDEX(BookQ1,636)*(5-MIN(4,1+'5. Scenarios'!$B$8))/4+INDEX(BookQ2,636)*(5-MIN(4,2+'5. Scenarios'!$B$8))/4+INDEX(BookQ3,636)*(5-MIN(4,3+'5. Scenarios'!$B$8))/4+INDEX(BookQ4,636)*(5-MIN(4,4+'5. Scenarios'!$B$8))/4)*'5. Scenarios'!$B$6/(1+ProductivityDefault*('5. Scenarios'!$B$11-1))+INDEX(BookOneOff,636)*$D641)</f>
        <v/>
      </c>
      <c r="I641" s="56" t="str">
        <f aca="false">IF(INDEX(BookTitle,636)="","",INDEX(BookTotal,636)*'5. Scenarios'!$C$6/(1+ProductivityDefault*('5. Scenarios'!$C$11-1)))</f>
        <v/>
      </c>
      <c r="J641" s="57" t="str">
        <f aca="false">IF($I641="","",INDEX(BookRate,636)*(1+'5. Scenarios'!$C$10)*$I641)</f>
        <v/>
      </c>
      <c r="K641" s="57" t="str">
        <f aca="false">IF($J641="","",SUMIFS($J$6:$J$2405,$A$6:$A$2405,"&lt;="&amp;$A641))</f>
        <v/>
      </c>
      <c r="L641" s="57" t="str">
        <f aca="false">IF($J641="","",IF($K641&lt;=BankCostEnvelope*'5. Scenarios'!$C$7,1,0))</f>
        <v/>
      </c>
      <c r="M641" s="57" t="str">
        <f aca="false">IF($I641="","",INDEX(BookRate,636)*(1+'5. Scenarios'!$C$10)*(INDEX(BookQ1,636)*(5-MIN(4,1+'5. Scenarios'!$C$8))/4+INDEX(BookQ2,636)*(5-MIN(4,2+'5. Scenarios'!$C$8))/4+INDEX(BookQ3,636)*(5-MIN(4,3+'5. Scenarios'!$C$8))/4+INDEX(BookQ4,636)*(5-MIN(4,4+'5. Scenarios'!$C$8))/4)*'5. Scenarios'!$C$6/(1+ProductivityDefault*('5. Scenarios'!$C$11-1))+INDEX(BookOneOff,636)*$I641)</f>
        <v/>
      </c>
      <c r="N641" s="56" t="str">
        <f aca="false">IF(INDEX(BookTitle,636)="","",INDEX(BookTotal,636)*'5. Scenarios'!$D$6/(1+ProductivityDefault*('5. Scenarios'!$D$11-1)))</f>
        <v/>
      </c>
      <c r="O641" s="57" t="str">
        <f aca="false">IF($N641="","",INDEX(BookRate,636)*(1+'5. Scenarios'!$D$10)*$N641)</f>
        <v/>
      </c>
      <c r="P641" s="57" t="str">
        <f aca="false">IF($O641="","",SUMIFS($O$6:$O$2405,$A$6:$A$2405,"&lt;="&amp;$A641))</f>
        <v/>
      </c>
      <c r="Q641" s="57" t="str">
        <f aca="false">IF($O641="","",IF($P641&lt;=BankCostEnvelope*'5. Scenarios'!$D$7,1,0))</f>
        <v/>
      </c>
      <c r="R641" s="57" t="str">
        <f aca="false">IF($N641="","",INDEX(BookRate,636)*(1+'5. Scenarios'!$D$10)*(INDEX(BookQ1,636)*(5-MIN(4,1+'5. Scenarios'!$D$8))/4+INDEX(BookQ2,636)*(5-MIN(4,2+'5. Scenarios'!$D$8))/4+INDEX(BookQ3,636)*(5-MIN(4,3+'5. Scenarios'!$D$8))/4+INDEX(BookQ4,636)*(5-MIN(4,4+'5. Scenarios'!$D$8))/4)*'5. Scenarios'!$D$6/(1+ProductivityDefault*('5. Scenarios'!$D$11-1))+INDEX(BookOneOff,636)*$N641)</f>
        <v/>
      </c>
      <c r="S641" s="56" t="str">
        <f aca="false">IF(INDEX(BookTitle,636)="","",INDEX(BookTotal,636)*'5. Scenarios'!$E$6/(1+ProductivityDefault*('5. Scenarios'!$E$11-1)))</f>
        <v/>
      </c>
      <c r="T641" s="57" t="str">
        <f aca="false">IF($S641="","",INDEX(BookRate,636)*(1+'5. Scenarios'!$E$10)*$S641)</f>
        <v/>
      </c>
      <c r="U641" s="57" t="str">
        <f aca="false">IF($T641="","",SUMIFS($T$6:$T$2405,$A$6:$A$2405,"&lt;="&amp;$A641))</f>
        <v/>
      </c>
      <c r="V641" s="57" t="str">
        <f aca="false">IF($T641="","",IF($U641&lt;=BankCostEnvelope*'5. Scenarios'!$E$7,1,0))</f>
        <v/>
      </c>
      <c r="W641" s="57" t="str">
        <f aca="false">IF($S641="","",INDEX(BookRate,636)*(1+'5. Scenarios'!$E$10)*(INDEX(BookQ1,636)*(5-MIN(4,1+'5. Scenarios'!$E$8))/4+INDEX(BookQ2,636)*(5-MIN(4,2+'5. Scenarios'!$E$8))/4+INDEX(BookQ3,636)*(5-MIN(4,3+'5. Scenarios'!$E$8))/4+INDEX(BookQ4,636)*(5-MIN(4,4+'5. Scenarios'!$E$8))/4)*'5. Scenarios'!$E$6/(1+ProductivityDefault*('5. Scenarios'!$E$11-1))+INDEX(BookOneOff,636)*$S641)</f>
        <v/>
      </c>
    </row>
    <row r="642" customFormat="false" ht="15" hidden="false" customHeight="false" outlineLevel="0" collapsed="false">
      <c r="A642" s="0" t="str">
        <f aca="false">IF(INDEX(BookTitle,637)="","",INDEX(BookKey,637))</f>
        <v/>
      </c>
      <c r="B642" s="0" t="str">
        <f aca="false">IF(INDEX(BookTitle,637)="","",INDEX(BookGroup,637))</f>
        <v/>
      </c>
      <c r="C642" s="0" t="str">
        <f aca="false">IF(INDEX(BookTitle,637)="","",INDEX(BookCategory,637))</f>
        <v/>
      </c>
      <c r="D642" s="56" t="str">
        <f aca="false">IF(INDEX(BookTitle,637)="","",INDEX(BookTotal,637)*'5. Scenarios'!$B$6/(1+ProductivityDefault*('5. Scenarios'!$B$11-1)))</f>
        <v/>
      </c>
      <c r="E642" s="57" t="str">
        <f aca="false">IF($D642="","",INDEX(BookRate,637)*(1+'5. Scenarios'!$B$10)*$D642)</f>
        <v/>
      </c>
      <c r="F642" s="57" t="str">
        <f aca="false">IF($E642="","",SUMIFS($E$6:$E$2405,$A$6:$A$2405,"&lt;="&amp;$A642))</f>
        <v/>
      </c>
      <c r="G642" s="57" t="str">
        <f aca="false">IF($E642="","",IF($F642&lt;=BankCostEnvelope*'5. Scenarios'!$B$7,1,0))</f>
        <v/>
      </c>
      <c r="H642" s="57" t="str">
        <f aca="false">IF($D642="","",INDEX(BookRate,637)*(1+'5. Scenarios'!$B$10)*(INDEX(BookQ1,637)*(5-MIN(4,1+'5. Scenarios'!$B$8))/4+INDEX(BookQ2,637)*(5-MIN(4,2+'5. Scenarios'!$B$8))/4+INDEX(BookQ3,637)*(5-MIN(4,3+'5. Scenarios'!$B$8))/4+INDEX(BookQ4,637)*(5-MIN(4,4+'5. Scenarios'!$B$8))/4)*'5. Scenarios'!$B$6/(1+ProductivityDefault*('5. Scenarios'!$B$11-1))+INDEX(BookOneOff,637)*$D642)</f>
        <v/>
      </c>
      <c r="I642" s="56" t="str">
        <f aca="false">IF(INDEX(BookTitle,637)="","",INDEX(BookTotal,637)*'5. Scenarios'!$C$6/(1+ProductivityDefault*('5. Scenarios'!$C$11-1)))</f>
        <v/>
      </c>
      <c r="J642" s="57" t="str">
        <f aca="false">IF($I642="","",INDEX(BookRate,637)*(1+'5. Scenarios'!$C$10)*$I642)</f>
        <v/>
      </c>
      <c r="K642" s="57" t="str">
        <f aca="false">IF($J642="","",SUMIFS($J$6:$J$2405,$A$6:$A$2405,"&lt;="&amp;$A642))</f>
        <v/>
      </c>
      <c r="L642" s="57" t="str">
        <f aca="false">IF($J642="","",IF($K642&lt;=BankCostEnvelope*'5. Scenarios'!$C$7,1,0))</f>
        <v/>
      </c>
      <c r="M642" s="57" t="str">
        <f aca="false">IF($I642="","",INDEX(BookRate,637)*(1+'5. Scenarios'!$C$10)*(INDEX(BookQ1,637)*(5-MIN(4,1+'5. Scenarios'!$C$8))/4+INDEX(BookQ2,637)*(5-MIN(4,2+'5. Scenarios'!$C$8))/4+INDEX(BookQ3,637)*(5-MIN(4,3+'5. Scenarios'!$C$8))/4+INDEX(BookQ4,637)*(5-MIN(4,4+'5. Scenarios'!$C$8))/4)*'5. Scenarios'!$C$6/(1+ProductivityDefault*('5. Scenarios'!$C$11-1))+INDEX(BookOneOff,637)*$I642)</f>
        <v/>
      </c>
      <c r="N642" s="56" t="str">
        <f aca="false">IF(INDEX(BookTitle,637)="","",INDEX(BookTotal,637)*'5. Scenarios'!$D$6/(1+ProductivityDefault*('5. Scenarios'!$D$11-1)))</f>
        <v/>
      </c>
      <c r="O642" s="57" t="str">
        <f aca="false">IF($N642="","",INDEX(BookRate,637)*(1+'5. Scenarios'!$D$10)*$N642)</f>
        <v/>
      </c>
      <c r="P642" s="57" t="str">
        <f aca="false">IF($O642="","",SUMIFS($O$6:$O$2405,$A$6:$A$2405,"&lt;="&amp;$A642))</f>
        <v/>
      </c>
      <c r="Q642" s="57" t="str">
        <f aca="false">IF($O642="","",IF($P642&lt;=BankCostEnvelope*'5. Scenarios'!$D$7,1,0))</f>
        <v/>
      </c>
      <c r="R642" s="57" t="str">
        <f aca="false">IF($N642="","",INDEX(BookRate,637)*(1+'5. Scenarios'!$D$10)*(INDEX(BookQ1,637)*(5-MIN(4,1+'5. Scenarios'!$D$8))/4+INDEX(BookQ2,637)*(5-MIN(4,2+'5. Scenarios'!$D$8))/4+INDEX(BookQ3,637)*(5-MIN(4,3+'5. Scenarios'!$D$8))/4+INDEX(BookQ4,637)*(5-MIN(4,4+'5. Scenarios'!$D$8))/4)*'5. Scenarios'!$D$6/(1+ProductivityDefault*('5. Scenarios'!$D$11-1))+INDEX(BookOneOff,637)*$N642)</f>
        <v/>
      </c>
      <c r="S642" s="56" t="str">
        <f aca="false">IF(INDEX(BookTitle,637)="","",INDEX(BookTotal,637)*'5. Scenarios'!$E$6/(1+ProductivityDefault*('5. Scenarios'!$E$11-1)))</f>
        <v/>
      </c>
      <c r="T642" s="57" t="str">
        <f aca="false">IF($S642="","",INDEX(BookRate,637)*(1+'5. Scenarios'!$E$10)*$S642)</f>
        <v/>
      </c>
      <c r="U642" s="57" t="str">
        <f aca="false">IF($T642="","",SUMIFS($T$6:$T$2405,$A$6:$A$2405,"&lt;="&amp;$A642))</f>
        <v/>
      </c>
      <c r="V642" s="57" t="str">
        <f aca="false">IF($T642="","",IF($U642&lt;=BankCostEnvelope*'5. Scenarios'!$E$7,1,0))</f>
        <v/>
      </c>
      <c r="W642" s="57" t="str">
        <f aca="false">IF($S642="","",INDEX(BookRate,637)*(1+'5. Scenarios'!$E$10)*(INDEX(BookQ1,637)*(5-MIN(4,1+'5. Scenarios'!$E$8))/4+INDEX(BookQ2,637)*(5-MIN(4,2+'5. Scenarios'!$E$8))/4+INDEX(BookQ3,637)*(5-MIN(4,3+'5. Scenarios'!$E$8))/4+INDEX(BookQ4,637)*(5-MIN(4,4+'5. Scenarios'!$E$8))/4)*'5. Scenarios'!$E$6/(1+ProductivityDefault*('5. Scenarios'!$E$11-1))+INDEX(BookOneOff,637)*$S642)</f>
        <v/>
      </c>
    </row>
    <row r="643" customFormat="false" ht="15" hidden="false" customHeight="false" outlineLevel="0" collapsed="false">
      <c r="A643" s="0" t="str">
        <f aca="false">IF(INDEX(BookTitle,638)="","",INDEX(BookKey,638))</f>
        <v/>
      </c>
      <c r="B643" s="0" t="str">
        <f aca="false">IF(INDEX(BookTitle,638)="","",INDEX(BookGroup,638))</f>
        <v/>
      </c>
      <c r="C643" s="0" t="str">
        <f aca="false">IF(INDEX(BookTitle,638)="","",INDEX(BookCategory,638))</f>
        <v/>
      </c>
      <c r="D643" s="56" t="str">
        <f aca="false">IF(INDEX(BookTitle,638)="","",INDEX(BookTotal,638)*'5. Scenarios'!$B$6/(1+ProductivityDefault*('5. Scenarios'!$B$11-1)))</f>
        <v/>
      </c>
      <c r="E643" s="57" t="str">
        <f aca="false">IF($D643="","",INDEX(BookRate,638)*(1+'5. Scenarios'!$B$10)*$D643)</f>
        <v/>
      </c>
      <c r="F643" s="57" t="str">
        <f aca="false">IF($E643="","",SUMIFS($E$6:$E$2405,$A$6:$A$2405,"&lt;="&amp;$A643))</f>
        <v/>
      </c>
      <c r="G643" s="57" t="str">
        <f aca="false">IF($E643="","",IF($F643&lt;=BankCostEnvelope*'5. Scenarios'!$B$7,1,0))</f>
        <v/>
      </c>
      <c r="H643" s="57" t="str">
        <f aca="false">IF($D643="","",INDEX(BookRate,638)*(1+'5. Scenarios'!$B$10)*(INDEX(BookQ1,638)*(5-MIN(4,1+'5. Scenarios'!$B$8))/4+INDEX(BookQ2,638)*(5-MIN(4,2+'5. Scenarios'!$B$8))/4+INDEX(BookQ3,638)*(5-MIN(4,3+'5. Scenarios'!$B$8))/4+INDEX(BookQ4,638)*(5-MIN(4,4+'5. Scenarios'!$B$8))/4)*'5. Scenarios'!$B$6/(1+ProductivityDefault*('5. Scenarios'!$B$11-1))+INDEX(BookOneOff,638)*$D643)</f>
        <v/>
      </c>
      <c r="I643" s="56" t="str">
        <f aca="false">IF(INDEX(BookTitle,638)="","",INDEX(BookTotal,638)*'5. Scenarios'!$C$6/(1+ProductivityDefault*('5. Scenarios'!$C$11-1)))</f>
        <v/>
      </c>
      <c r="J643" s="57" t="str">
        <f aca="false">IF($I643="","",INDEX(BookRate,638)*(1+'5. Scenarios'!$C$10)*$I643)</f>
        <v/>
      </c>
      <c r="K643" s="57" t="str">
        <f aca="false">IF($J643="","",SUMIFS($J$6:$J$2405,$A$6:$A$2405,"&lt;="&amp;$A643))</f>
        <v/>
      </c>
      <c r="L643" s="57" t="str">
        <f aca="false">IF($J643="","",IF($K643&lt;=BankCostEnvelope*'5. Scenarios'!$C$7,1,0))</f>
        <v/>
      </c>
      <c r="M643" s="57" t="str">
        <f aca="false">IF($I643="","",INDEX(BookRate,638)*(1+'5. Scenarios'!$C$10)*(INDEX(BookQ1,638)*(5-MIN(4,1+'5. Scenarios'!$C$8))/4+INDEX(BookQ2,638)*(5-MIN(4,2+'5. Scenarios'!$C$8))/4+INDEX(BookQ3,638)*(5-MIN(4,3+'5. Scenarios'!$C$8))/4+INDEX(BookQ4,638)*(5-MIN(4,4+'5. Scenarios'!$C$8))/4)*'5. Scenarios'!$C$6/(1+ProductivityDefault*('5. Scenarios'!$C$11-1))+INDEX(BookOneOff,638)*$I643)</f>
        <v/>
      </c>
      <c r="N643" s="56" t="str">
        <f aca="false">IF(INDEX(BookTitle,638)="","",INDEX(BookTotal,638)*'5. Scenarios'!$D$6/(1+ProductivityDefault*('5. Scenarios'!$D$11-1)))</f>
        <v/>
      </c>
      <c r="O643" s="57" t="str">
        <f aca="false">IF($N643="","",INDEX(BookRate,638)*(1+'5. Scenarios'!$D$10)*$N643)</f>
        <v/>
      </c>
      <c r="P643" s="57" t="str">
        <f aca="false">IF($O643="","",SUMIFS($O$6:$O$2405,$A$6:$A$2405,"&lt;="&amp;$A643))</f>
        <v/>
      </c>
      <c r="Q643" s="57" t="str">
        <f aca="false">IF($O643="","",IF($P643&lt;=BankCostEnvelope*'5. Scenarios'!$D$7,1,0))</f>
        <v/>
      </c>
      <c r="R643" s="57" t="str">
        <f aca="false">IF($N643="","",INDEX(BookRate,638)*(1+'5. Scenarios'!$D$10)*(INDEX(BookQ1,638)*(5-MIN(4,1+'5. Scenarios'!$D$8))/4+INDEX(BookQ2,638)*(5-MIN(4,2+'5. Scenarios'!$D$8))/4+INDEX(BookQ3,638)*(5-MIN(4,3+'5. Scenarios'!$D$8))/4+INDEX(BookQ4,638)*(5-MIN(4,4+'5. Scenarios'!$D$8))/4)*'5. Scenarios'!$D$6/(1+ProductivityDefault*('5. Scenarios'!$D$11-1))+INDEX(BookOneOff,638)*$N643)</f>
        <v/>
      </c>
      <c r="S643" s="56" t="str">
        <f aca="false">IF(INDEX(BookTitle,638)="","",INDEX(BookTotal,638)*'5. Scenarios'!$E$6/(1+ProductivityDefault*('5. Scenarios'!$E$11-1)))</f>
        <v/>
      </c>
      <c r="T643" s="57" t="str">
        <f aca="false">IF($S643="","",INDEX(BookRate,638)*(1+'5. Scenarios'!$E$10)*$S643)</f>
        <v/>
      </c>
      <c r="U643" s="57" t="str">
        <f aca="false">IF($T643="","",SUMIFS($T$6:$T$2405,$A$6:$A$2405,"&lt;="&amp;$A643))</f>
        <v/>
      </c>
      <c r="V643" s="57" t="str">
        <f aca="false">IF($T643="","",IF($U643&lt;=BankCostEnvelope*'5. Scenarios'!$E$7,1,0))</f>
        <v/>
      </c>
      <c r="W643" s="57" t="str">
        <f aca="false">IF($S643="","",INDEX(BookRate,638)*(1+'5. Scenarios'!$E$10)*(INDEX(BookQ1,638)*(5-MIN(4,1+'5. Scenarios'!$E$8))/4+INDEX(BookQ2,638)*(5-MIN(4,2+'5. Scenarios'!$E$8))/4+INDEX(BookQ3,638)*(5-MIN(4,3+'5. Scenarios'!$E$8))/4+INDEX(BookQ4,638)*(5-MIN(4,4+'5. Scenarios'!$E$8))/4)*'5. Scenarios'!$E$6/(1+ProductivityDefault*('5. Scenarios'!$E$11-1))+INDEX(BookOneOff,638)*$S643)</f>
        <v/>
      </c>
    </row>
    <row r="644" customFormat="false" ht="15" hidden="false" customHeight="false" outlineLevel="0" collapsed="false">
      <c r="A644" s="0" t="str">
        <f aca="false">IF(INDEX(BookTitle,639)="","",INDEX(BookKey,639))</f>
        <v/>
      </c>
      <c r="B644" s="0" t="str">
        <f aca="false">IF(INDEX(BookTitle,639)="","",INDEX(BookGroup,639))</f>
        <v/>
      </c>
      <c r="C644" s="0" t="str">
        <f aca="false">IF(INDEX(BookTitle,639)="","",INDEX(BookCategory,639))</f>
        <v/>
      </c>
      <c r="D644" s="56" t="str">
        <f aca="false">IF(INDEX(BookTitle,639)="","",INDEX(BookTotal,639)*'5. Scenarios'!$B$6/(1+ProductivityDefault*('5. Scenarios'!$B$11-1)))</f>
        <v/>
      </c>
      <c r="E644" s="57" t="str">
        <f aca="false">IF($D644="","",INDEX(BookRate,639)*(1+'5. Scenarios'!$B$10)*$D644)</f>
        <v/>
      </c>
      <c r="F644" s="57" t="str">
        <f aca="false">IF($E644="","",SUMIFS($E$6:$E$2405,$A$6:$A$2405,"&lt;="&amp;$A644))</f>
        <v/>
      </c>
      <c r="G644" s="57" t="str">
        <f aca="false">IF($E644="","",IF($F644&lt;=BankCostEnvelope*'5. Scenarios'!$B$7,1,0))</f>
        <v/>
      </c>
      <c r="H644" s="57" t="str">
        <f aca="false">IF($D644="","",INDEX(BookRate,639)*(1+'5. Scenarios'!$B$10)*(INDEX(BookQ1,639)*(5-MIN(4,1+'5. Scenarios'!$B$8))/4+INDEX(BookQ2,639)*(5-MIN(4,2+'5. Scenarios'!$B$8))/4+INDEX(BookQ3,639)*(5-MIN(4,3+'5. Scenarios'!$B$8))/4+INDEX(BookQ4,639)*(5-MIN(4,4+'5. Scenarios'!$B$8))/4)*'5. Scenarios'!$B$6/(1+ProductivityDefault*('5. Scenarios'!$B$11-1))+INDEX(BookOneOff,639)*$D644)</f>
        <v/>
      </c>
      <c r="I644" s="56" t="str">
        <f aca="false">IF(INDEX(BookTitle,639)="","",INDEX(BookTotal,639)*'5. Scenarios'!$C$6/(1+ProductivityDefault*('5. Scenarios'!$C$11-1)))</f>
        <v/>
      </c>
      <c r="J644" s="57" t="str">
        <f aca="false">IF($I644="","",INDEX(BookRate,639)*(1+'5. Scenarios'!$C$10)*$I644)</f>
        <v/>
      </c>
      <c r="K644" s="57" t="str">
        <f aca="false">IF($J644="","",SUMIFS($J$6:$J$2405,$A$6:$A$2405,"&lt;="&amp;$A644))</f>
        <v/>
      </c>
      <c r="L644" s="57" t="str">
        <f aca="false">IF($J644="","",IF($K644&lt;=BankCostEnvelope*'5. Scenarios'!$C$7,1,0))</f>
        <v/>
      </c>
      <c r="M644" s="57" t="str">
        <f aca="false">IF($I644="","",INDEX(BookRate,639)*(1+'5. Scenarios'!$C$10)*(INDEX(BookQ1,639)*(5-MIN(4,1+'5. Scenarios'!$C$8))/4+INDEX(BookQ2,639)*(5-MIN(4,2+'5. Scenarios'!$C$8))/4+INDEX(BookQ3,639)*(5-MIN(4,3+'5. Scenarios'!$C$8))/4+INDEX(BookQ4,639)*(5-MIN(4,4+'5. Scenarios'!$C$8))/4)*'5. Scenarios'!$C$6/(1+ProductivityDefault*('5. Scenarios'!$C$11-1))+INDEX(BookOneOff,639)*$I644)</f>
        <v/>
      </c>
      <c r="N644" s="56" t="str">
        <f aca="false">IF(INDEX(BookTitle,639)="","",INDEX(BookTotal,639)*'5. Scenarios'!$D$6/(1+ProductivityDefault*('5. Scenarios'!$D$11-1)))</f>
        <v/>
      </c>
      <c r="O644" s="57" t="str">
        <f aca="false">IF($N644="","",INDEX(BookRate,639)*(1+'5. Scenarios'!$D$10)*$N644)</f>
        <v/>
      </c>
      <c r="P644" s="57" t="str">
        <f aca="false">IF($O644="","",SUMIFS($O$6:$O$2405,$A$6:$A$2405,"&lt;="&amp;$A644))</f>
        <v/>
      </c>
      <c r="Q644" s="57" t="str">
        <f aca="false">IF($O644="","",IF($P644&lt;=BankCostEnvelope*'5. Scenarios'!$D$7,1,0))</f>
        <v/>
      </c>
      <c r="R644" s="57" t="str">
        <f aca="false">IF($N644="","",INDEX(BookRate,639)*(1+'5. Scenarios'!$D$10)*(INDEX(BookQ1,639)*(5-MIN(4,1+'5. Scenarios'!$D$8))/4+INDEX(BookQ2,639)*(5-MIN(4,2+'5. Scenarios'!$D$8))/4+INDEX(BookQ3,639)*(5-MIN(4,3+'5. Scenarios'!$D$8))/4+INDEX(BookQ4,639)*(5-MIN(4,4+'5. Scenarios'!$D$8))/4)*'5. Scenarios'!$D$6/(1+ProductivityDefault*('5. Scenarios'!$D$11-1))+INDEX(BookOneOff,639)*$N644)</f>
        <v/>
      </c>
      <c r="S644" s="56" t="str">
        <f aca="false">IF(INDEX(BookTitle,639)="","",INDEX(BookTotal,639)*'5. Scenarios'!$E$6/(1+ProductivityDefault*('5. Scenarios'!$E$11-1)))</f>
        <v/>
      </c>
      <c r="T644" s="57" t="str">
        <f aca="false">IF($S644="","",INDEX(BookRate,639)*(1+'5. Scenarios'!$E$10)*$S644)</f>
        <v/>
      </c>
      <c r="U644" s="57" t="str">
        <f aca="false">IF($T644="","",SUMIFS($T$6:$T$2405,$A$6:$A$2405,"&lt;="&amp;$A644))</f>
        <v/>
      </c>
      <c r="V644" s="57" t="str">
        <f aca="false">IF($T644="","",IF($U644&lt;=BankCostEnvelope*'5. Scenarios'!$E$7,1,0))</f>
        <v/>
      </c>
      <c r="W644" s="57" t="str">
        <f aca="false">IF($S644="","",INDEX(BookRate,639)*(1+'5. Scenarios'!$E$10)*(INDEX(BookQ1,639)*(5-MIN(4,1+'5. Scenarios'!$E$8))/4+INDEX(BookQ2,639)*(5-MIN(4,2+'5. Scenarios'!$E$8))/4+INDEX(BookQ3,639)*(5-MIN(4,3+'5. Scenarios'!$E$8))/4+INDEX(BookQ4,639)*(5-MIN(4,4+'5. Scenarios'!$E$8))/4)*'5. Scenarios'!$E$6/(1+ProductivityDefault*('5. Scenarios'!$E$11-1))+INDEX(BookOneOff,639)*$S644)</f>
        <v/>
      </c>
    </row>
    <row r="645" customFormat="false" ht="15" hidden="false" customHeight="false" outlineLevel="0" collapsed="false">
      <c r="A645" s="0" t="str">
        <f aca="false">IF(INDEX(BookTitle,640)="","",INDEX(BookKey,640))</f>
        <v/>
      </c>
      <c r="B645" s="0" t="str">
        <f aca="false">IF(INDEX(BookTitle,640)="","",INDEX(BookGroup,640))</f>
        <v/>
      </c>
      <c r="C645" s="0" t="str">
        <f aca="false">IF(INDEX(BookTitle,640)="","",INDEX(BookCategory,640))</f>
        <v/>
      </c>
      <c r="D645" s="56" t="str">
        <f aca="false">IF(INDEX(BookTitle,640)="","",INDEX(BookTotal,640)*'5. Scenarios'!$B$6/(1+ProductivityDefault*('5. Scenarios'!$B$11-1)))</f>
        <v/>
      </c>
      <c r="E645" s="57" t="str">
        <f aca="false">IF($D645="","",INDEX(BookRate,640)*(1+'5. Scenarios'!$B$10)*$D645)</f>
        <v/>
      </c>
      <c r="F645" s="57" t="str">
        <f aca="false">IF($E645="","",SUMIFS($E$6:$E$2405,$A$6:$A$2405,"&lt;="&amp;$A645))</f>
        <v/>
      </c>
      <c r="G645" s="57" t="str">
        <f aca="false">IF($E645="","",IF($F645&lt;=BankCostEnvelope*'5. Scenarios'!$B$7,1,0))</f>
        <v/>
      </c>
      <c r="H645" s="57" t="str">
        <f aca="false">IF($D645="","",INDEX(BookRate,640)*(1+'5. Scenarios'!$B$10)*(INDEX(BookQ1,640)*(5-MIN(4,1+'5. Scenarios'!$B$8))/4+INDEX(BookQ2,640)*(5-MIN(4,2+'5. Scenarios'!$B$8))/4+INDEX(BookQ3,640)*(5-MIN(4,3+'5. Scenarios'!$B$8))/4+INDEX(BookQ4,640)*(5-MIN(4,4+'5. Scenarios'!$B$8))/4)*'5. Scenarios'!$B$6/(1+ProductivityDefault*('5. Scenarios'!$B$11-1))+INDEX(BookOneOff,640)*$D645)</f>
        <v/>
      </c>
      <c r="I645" s="56" t="str">
        <f aca="false">IF(INDEX(BookTitle,640)="","",INDEX(BookTotal,640)*'5. Scenarios'!$C$6/(1+ProductivityDefault*('5. Scenarios'!$C$11-1)))</f>
        <v/>
      </c>
      <c r="J645" s="57" t="str">
        <f aca="false">IF($I645="","",INDEX(BookRate,640)*(1+'5. Scenarios'!$C$10)*$I645)</f>
        <v/>
      </c>
      <c r="K645" s="57" t="str">
        <f aca="false">IF($J645="","",SUMIFS($J$6:$J$2405,$A$6:$A$2405,"&lt;="&amp;$A645))</f>
        <v/>
      </c>
      <c r="L645" s="57" t="str">
        <f aca="false">IF($J645="","",IF($K645&lt;=BankCostEnvelope*'5. Scenarios'!$C$7,1,0))</f>
        <v/>
      </c>
      <c r="M645" s="57" t="str">
        <f aca="false">IF($I645="","",INDEX(BookRate,640)*(1+'5. Scenarios'!$C$10)*(INDEX(BookQ1,640)*(5-MIN(4,1+'5. Scenarios'!$C$8))/4+INDEX(BookQ2,640)*(5-MIN(4,2+'5. Scenarios'!$C$8))/4+INDEX(BookQ3,640)*(5-MIN(4,3+'5. Scenarios'!$C$8))/4+INDEX(BookQ4,640)*(5-MIN(4,4+'5. Scenarios'!$C$8))/4)*'5. Scenarios'!$C$6/(1+ProductivityDefault*('5. Scenarios'!$C$11-1))+INDEX(BookOneOff,640)*$I645)</f>
        <v/>
      </c>
      <c r="N645" s="56" t="str">
        <f aca="false">IF(INDEX(BookTitle,640)="","",INDEX(BookTotal,640)*'5. Scenarios'!$D$6/(1+ProductivityDefault*('5. Scenarios'!$D$11-1)))</f>
        <v/>
      </c>
      <c r="O645" s="57" t="str">
        <f aca="false">IF($N645="","",INDEX(BookRate,640)*(1+'5. Scenarios'!$D$10)*$N645)</f>
        <v/>
      </c>
      <c r="P645" s="57" t="str">
        <f aca="false">IF($O645="","",SUMIFS($O$6:$O$2405,$A$6:$A$2405,"&lt;="&amp;$A645))</f>
        <v/>
      </c>
      <c r="Q645" s="57" t="str">
        <f aca="false">IF($O645="","",IF($P645&lt;=BankCostEnvelope*'5. Scenarios'!$D$7,1,0))</f>
        <v/>
      </c>
      <c r="R645" s="57" t="str">
        <f aca="false">IF($N645="","",INDEX(BookRate,640)*(1+'5. Scenarios'!$D$10)*(INDEX(BookQ1,640)*(5-MIN(4,1+'5. Scenarios'!$D$8))/4+INDEX(BookQ2,640)*(5-MIN(4,2+'5. Scenarios'!$D$8))/4+INDEX(BookQ3,640)*(5-MIN(4,3+'5. Scenarios'!$D$8))/4+INDEX(BookQ4,640)*(5-MIN(4,4+'5. Scenarios'!$D$8))/4)*'5. Scenarios'!$D$6/(1+ProductivityDefault*('5. Scenarios'!$D$11-1))+INDEX(BookOneOff,640)*$N645)</f>
        <v/>
      </c>
      <c r="S645" s="56" t="str">
        <f aca="false">IF(INDEX(BookTitle,640)="","",INDEX(BookTotal,640)*'5. Scenarios'!$E$6/(1+ProductivityDefault*('5. Scenarios'!$E$11-1)))</f>
        <v/>
      </c>
      <c r="T645" s="57" t="str">
        <f aca="false">IF($S645="","",INDEX(BookRate,640)*(1+'5. Scenarios'!$E$10)*$S645)</f>
        <v/>
      </c>
      <c r="U645" s="57" t="str">
        <f aca="false">IF($T645="","",SUMIFS($T$6:$T$2405,$A$6:$A$2405,"&lt;="&amp;$A645))</f>
        <v/>
      </c>
      <c r="V645" s="57" t="str">
        <f aca="false">IF($T645="","",IF($U645&lt;=BankCostEnvelope*'5. Scenarios'!$E$7,1,0))</f>
        <v/>
      </c>
      <c r="W645" s="57" t="str">
        <f aca="false">IF($S645="","",INDEX(BookRate,640)*(1+'5. Scenarios'!$E$10)*(INDEX(BookQ1,640)*(5-MIN(4,1+'5. Scenarios'!$E$8))/4+INDEX(BookQ2,640)*(5-MIN(4,2+'5. Scenarios'!$E$8))/4+INDEX(BookQ3,640)*(5-MIN(4,3+'5. Scenarios'!$E$8))/4+INDEX(BookQ4,640)*(5-MIN(4,4+'5. Scenarios'!$E$8))/4)*'5. Scenarios'!$E$6/(1+ProductivityDefault*('5. Scenarios'!$E$11-1))+INDEX(BookOneOff,640)*$S645)</f>
        <v/>
      </c>
    </row>
    <row r="646" customFormat="false" ht="15" hidden="false" customHeight="false" outlineLevel="0" collapsed="false">
      <c r="A646" s="0" t="str">
        <f aca="false">IF(INDEX(BookTitle,641)="","",INDEX(BookKey,641))</f>
        <v/>
      </c>
      <c r="B646" s="0" t="str">
        <f aca="false">IF(INDEX(BookTitle,641)="","",INDEX(BookGroup,641))</f>
        <v/>
      </c>
      <c r="C646" s="0" t="str">
        <f aca="false">IF(INDEX(BookTitle,641)="","",INDEX(BookCategory,641))</f>
        <v/>
      </c>
      <c r="D646" s="56" t="str">
        <f aca="false">IF(INDEX(BookTitle,641)="","",INDEX(BookTotal,641)*'5. Scenarios'!$B$6/(1+ProductivityDefault*('5. Scenarios'!$B$11-1)))</f>
        <v/>
      </c>
      <c r="E646" s="57" t="str">
        <f aca="false">IF($D646="","",INDEX(BookRate,641)*(1+'5. Scenarios'!$B$10)*$D646)</f>
        <v/>
      </c>
      <c r="F646" s="57" t="str">
        <f aca="false">IF($E646="","",SUMIFS($E$6:$E$2405,$A$6:$A$2405,"&lt;="&amp;$A646))</f>
        <v/>
      </c>
      <c r="G646" s="57" t="str">
        <f aca="false">IF($E646="","",IF($F646&lt;=BankCostEnvelope*'5. Scenarios'!$B$7,1,0))</f>
        <v/>
      </c>
      <c r="H646" s="57" t="str">
        <f aca="false">IF($D646="","",INDEX(BookRate,641)*(1+'5. Scenarios'!$B$10)*(INDEX(BookQ1,641)*(5-MIN(4,1+'5. Scenarios'!$B$8))/4+INDEX(BookQ2,641)*(5-MIN(4,2+'5. Scenarios'!$B$8))/4+INDEX(BookQ3,641)*(5-MIN(4,3+'5. Scenarios'!$B$8))/4+INDEX(BookQ4,641)*(5-MIN(4,4+'5. Scenarios'!$B$8))/4)*'5. Scenarios'!$B$6/(1+ProductivityDefault*('5. Scenarios'!$B$11-1))+INDEX(BookOneOff,641)*$D646)</f>
        <v/>
      </c>
      <c r="I646" s="56" t="str">
        <f aca="false">IF(INDEX(BookTitle,641)="","",INDEX(BookTotal,641)*'5. Scenarios'!$C$6/(1+ProductivityDefault*('5. Scenarios'!$C$11-1)))</f>
        <v/>
      </c>
      <c r="J646" s="57" t="str">
        <f aca="false">IF($I646="","",INDEX(BookRate,641)*(1+'5. Scenarios'!$C$10)*$I646)</f>
        <v/>
      </c>
      <c r="K646" s="57" t="str">
        <f aca="false">IF($J646="","",SUMIFS($J$6:$J$2405,$A$6:$A$2405,"&lt;="&amp;$A646))</f>
        <v/>
      </c>
      <c r="L646" s="57" t="str">
        <f aca="false">IF($J646="","",IF($K646&lt;=BankCostEnvelope*'5. Scenarios'!$C$7,1,0))</f>
        <v/>
      </c>
      <c r="M646" s="57" t="str">
        <f aca="false">IF($I646="","",INDEX(BookRate,641)*(1+'5. Scenarios'!$C$10)*(INDEX(BookQ1,641)*(5-MIN(4,1+'5. Scenarios'!$C$8))/4+INDEX(BookQ2,641)*(5-MIN(4,2+'5. Scenarios'!$C$8))/4+INDEX(BookQ3,641)*(5-MIN(4,3+'5. Scenarios'!$C$8))/4+INDEX(BookQ4,641)*(5-MIN(4,4+'5. Scenarios'!$C$8))/4)*'5. Scenarios'!$C$6/(1+ProductivityDefault*('5. Scenarios'!$C$11-1))+INDEX(BookOneOff,641)*$I646)</f>
        <v/>
      </c>
      <c r="N646" s="56" t="str">
        <f aca="false">IF(INDEX(BookTitle,641)="","",INDEX(BookTotal,641)*'5. Scenarios'!$D$6/(1+ProductivityDefault*('5. Scenarios'!$D$11-1)))</f>
        <v/>
      </c>
      <c r="O646" s="57" t="str">
        <f aca="false">IF($N646="","",INDEX(BookRate,641)*(1+'5. Scenarios'!$D$10)*$N646)</f>
        <v/>
      </c>
      <c r="P646" s="57" t="str">
        <f aca="false">IF($O646="","",SUMIFS($O$6:$O$2405,$A$6:$A$2405,"&lt;="&amp;$A646))</f>
        <v/>
      </c>
      <c r="Q646" s="57" t="str">
        <f aca="false">IF($O646="","",IF($P646&lt;=BankCostEnvelope*'5. Scenarios'!$D$7,1,0))</f>
        <v/>
      </c>
      <c r="R646" s="57" t="str">
        <f aca="false">IF($N646="","",INDEX(BookRate,641)*(1+'5. Scenarios'!$D$10)*(INDEX(BookQ1,641)*(5-MIN(4,1+'5. Scenarios'!$D$8))/4+INDEX(BookQ2,641)*(5-MIN(4,2+'5. Scenarios'!$D$8))/4+INDEX(BookQ3,641)*(5-MIN(4,3+'5. Scenarios'!$D$8))/4+INDEX(BookQ4,641)*(5-MIN(4,4+'5. Scenarios'!$D$8))/4)*'5. Scenarios'!$D$6/(1+ProductivityDefault*('5. Scenarios'!$D$11-1))+INDEX(BookOneOff,641)*$N646)</f>
        <v/>
      </c>
      <c r="S646" s="56" t="str">
        <f aca="false">IF(INDEX(BookTitle,641)="","",INDEX(BookTotal,641)*'5. Scenarios'!$E$6/(1+ProductivityDefault*('5. Scenarios'!$E$11-1)))</f>
        <v/>
      </c>
      <c r="T646" s="57" t="str">
        <f aca="false">IF($S646="","",INDEX(BookRate,641)*(1+'5. Scenarios'!$E$10)*$S646)</f>
        <v/>
      </c>
      <c r="U646" s="57" t="str">
        <f aca="false">IF($T646="","",SUMIFS($T$6:$T$2405,$A$6:$A$2405,"&lt;="&amp;$A646))</f>
        <v/>
      </c>
      <c r="V646" s="57" t="str">
        <f aca="false">IF($T646="","",IF($U646&lt;=BankCostEnvelope*'5. Scenarios'!$E$7,1,0))</f>
        <v/>
      </c>
      <c r="W646" s="57" t="str">
        <f aca="false">IF($S646="","",INDEX(BookRate,641)*(1+'5. Scenarios'!$E$10)*(INDEX(BookQ1,641)*(5-MIN(4,1+'5. Scenarios'!$E$8))/4+INDEX(BookQ2,641)*(5-MIN(4,2+'5. Scenarios'!$E$8))/4+INDEX(BookQ3,641)*(5-MIN(4,3+'5. Scenarios'!$E$8))/4+INDEX(BookQ4,641)*(5-MIN(4,4+'5. Scenarios'!$E$8))/4)*'5. Scenarios'!$E$6/(1+ProductivityDefault*('5. Scenarios'!$E$11-1))+INDEX(BookOneOff,641)*$S646)</f>
        <v/>
      </c>
    </row>
    <row r="647" customFormat="false" ht="15" hidden="false" customHeight="false" outlineLevel="0" collapsed="false">
      <c r="A647" s="0" t="str">
        <f aca="false">IF(INDEX(BookTitle,642)="","",INDEX(BookKey,642))</f>
        <v/>
      </c>
      <c r="B647" s="0" t="str">
        <f aca="false">IF(INDEX(BookTitle,642)="","",INDEX(BookGroup,642))</f>
        <v/>
      </c>
      <c r="C647" s="0" t="str">
        <f aca="false">IF(INDEX(BookTitle,642)="","",INDEX(BookCategory,642))</f>
        <v/>
      </c>
      <c r="D647" s="56" t="str">
        <f aca="false">IF(INDEX(BookTitle,642)="","",INDEX(BookTotal,642)*'5. Scenarios'!$B$6/(1+ProductivityDefault*('5. Scenarios'!$B$11-1)))</f>
        <v/>
      </c>
      <c r="E647" s="57" t="str">
        <f aca="false">IF($D647="","",INDEX(BookRate,642)*(1+'5. Scenarios'!$B$10)*$D647)</f>
        <v/>
      </c>
      <c r="F647" s="57" t="str">
        <f aca="false">IF($E647="","",SUMIFS($E$6:$E$2405,$A$6:$A$2405,"&lt;="&amp;$A647))</f>
        <v/>
      </c>
      <c r="G647" s="57" t="str">
        <f aca="false">IF($E647="","",IF($F647&lt;=BankCostEnvelope*'5. Scenarios'!$B$7,1,0))</f>
        <v/>
      </c>
      <c r="H647" s="57" t="str">
        <f aca="false">IF($D647="","",INDEX(BookRate,642)*(1+'5. Scenarios'!$B$10)*(INDEX(BookQ1,642)*(5-MIN(4,1+'5. Scenarios'!$B$8))/4+INDEX(BookQ2,642)*(5-MIN(4,2+'5. Scenarios'!$B$8))/4+INDEX(BookQ3,642)*(5-MIN(4,3+'5. Scenarios'!$B$8))/4+INDEX(BookQ4,642)*(5-MIN(4,4+'5. Scenarios'!$B$8))/4)*'5. Scenarios'!$B$6/(1+ProductivityDefault*('5. Scenarios'!$B$11-1))+INDEX(BookOneOff,642)*$D647)</f>
        <v/>
      </c>
      <c r="I647" s="56" t="str">
        <f aca="false">IF(INDEX(BookTitle,642)="","",INDEX(BookTotal,642)*'5. Scenarios'!$C$6/(1+ProductivityDefault*('5. Scenarios'!$C$11-1)))</f>
        <v/>
      </c>
      <c r="J647" s="57" t="str">
        <f aca="false">IF($I647="","",INDEX(BookRate,642)*(1+'5. Scenarios'!$C$10)*$I647)</f>
        <v/>
      </c>
      <c r="K647" s="57" t="str">
        <f aca="false">IF($J647="","",SUMIFS($J$6:$J$2405,$A$6:$A$2405,"&lt;="&amp;$A647))</f>
        <v/>
      </c>
      <c r="L647" s="57" t="str">
        <f aca="false">IF($J647="","",IF($K647&lt;=BankCostEnvelope*'5. Scenarios'!$C$7,1,0))</f>
        <v/>
      </c>
      <c r="M647" s="57" t="str">
        <f aca="false">IF($I647="","",INDEX(BookRate,642)*(1+'5. Scenarios'!$C$10)*(INDEX(BookQ1,642)*(5-MIN(4,1+'5. Scenarios'!$C$8))/4+INDEX(BookQ2,642)*(5-MIN(4,2+'5. Scenarios'!$C$8))/4+INDEX(BookQ3,642)*(5-MIN(4,3+'5. Scenarios'!$C$8))/4+INDEX(BookQ4,642)*(5-MIN(4,4+'5. Scenarios'!$C$8))/4)*'5. Scenarios'!$C$6/(1+ProductivityDefault*('5. Scenarios'!$C$11-1))+INDEX(BookOneOff,642)*$I647)</f>
        <v/>
      </c>
      <c r="N647" s="56" t="str">
        <f aca="false">IF(INDEX(BookTitle,642)="","",INDEX(BookTotal,642)*'5. Scenarios'!$D$6/(1+ProductivityDefault*('5. Scenarios'!$D$11-1)))</f>
        <v/>
      </c>
      <c r="O647" s="57" t="str">
        <f aca="false">IF($N647="","",INDEX(BookRate,642)*(1+'5. Scenarios'!$D$10)*$N647)</f>
        <v/>
      </c>
      <c r="P647" s="57" t="str">
        <f aca="false">IF($O647="","",SUMIFS($O$6:$O$2405,$A$6:$A$2405,"&lt;="&amp;$A647))</f>
        <v/>
      </c>
      <c r="Q647" s="57" t="str">
        <f aca="false">IF($O647="","",IF($P647&lt;=BankCostEnvelope*'5. Scenarios'!$D$7,1,0))</f>
        <v/>
      </c>
      <c r="R647" s="57" t="str">
        <f aca="false">IF($N647="","",INDEX(BookRate,642)*(1+'5. Scenarios'!$D$10)*(INDEX(BookQ1,642)*(5-MIN(4,1+'5. Scenarios'!$D$8))/4+INDEX(BookQ2,642)*(5-MIN(4,2+'5. Scenarios'!$D$8))/4+INDEX(BookQ3,642)*(5-MIN(4,3+'5. Scenarios'!$D$8))/4+INDEX(BookQ4,642)*(5-MIN(4,4+'5. Scenarios'!$D$8))/4)*'5. Scenarios'!$D$6/(1+ProductivityDefault*('5. Scenarios'!$D$11-1))+INDEX(BookOneOff,642)*$N647)</f>
        <v/>
      </c>
      <c r="S647" s="56" t="str">
        <f aca="false">IF(INDEX(BookTitle,642)="","",INDEX(BookTotal,642)*'5. Scenarios'!$E$6/(1+ProductivityDefault*('5. Scenarios'!$E$11-1)))</f>
        <v/>
      </c>
      <c r="T647" s="57" t="str">
        <f aca="false">IF($S647="","",INDEX(BookRate,642)*(1+'5. Scenarios'!$E$10)*$S647)</f>
        <v/>
      </c>
      <c r="U647" s="57" t="str">
        <f aca="false">IF($T647="","",SUMIFS($T$6:$T$2405,$A$6:$A$2405,"&lt;="&amp;$A647))</f>
        <v/>
      </c>
      <c r="V647" s="57" t="str">
        <f aca="false">IF($T647="","",IF($U647&lt;=BankCostEnvelope*'5. Scenarios'!$E$7,1,0))</f>
        <v/>
      </c>
      <c r="W647" s="57" t="str">
        <f aca="false">IF($S647="","",INDEX(BookRate,642)*(1+'5. Scenarios'!$E$10)*(INDEX(BookQ1,642)*(5-MIN(4,1+'5. Scenarios'!$E$8))/4+INDEX(BookQ2,642)*(5-MIN(4,2+'5. Scenarios'!$E$8))/4+INDEX(BookQ3,642)*(5-MIN(4,3+'5. Scenarios'!$E$8))/4+INDEX(BookQ4,642)*(5-MIN(4,4+'5. Scenarios'!$E$8))/4)*'5. Scenarios'!$E$6/(1+ProductivityDefault*('5. Scenarios'!$E$11-1))+INDEX(BookOneOff,642)*$S647)</f>
        <v/>
      </c>
    </row>
    <row r="648" customFormat="false" ht="15" hidden="false" customHeight="false" outlineLevel="0" collapsed="false">
      <c r="A648" s="0" t="str">
        <f aca="false">IF(INDEX(BookTitle,643)="","",INDEX(BookKey,643))</f>
        <v/>
      </c>
      <c r="B648" s="0" t="str">
        <f aca="false">IF(INDEX(BookTitle,643)="","",INDEX(BookGroup,643))</f>
        <v/>
      </c>
      <c r="C648" s="0" t="str">
        <f aca="false">IF(INDEX(BookTitle,643)="","",INDEX(BookCategory,643))</f>
        <v/>
      </c>
      <c r="D648" s="56" t="str">
        <f aca="false">IF(INDEX(BookTitle,643)="","",INDEX(BookTotal,643)*'5. Scenarios'!$B$6/(1+ProductivityDefault*('5. Scenarios'!$B$11-1)))</f>
        <v/>
      </c>
      <c r="E648" s="57" t="str">
        <f aca="false">IF($D648="","",INDEX(BookRate,643)*(1+'5. Scenarios'!$B$10)*$D648)</f>
        <v/>
      </c>
      <c r="F648" s="57" t="str">
        <f aca="false">IF($E648="","",SUMIFS($E$6:$E$2405,$A$6:$A$2405,"&lt;="&amp;$A648))</f>
        <v/>
      </c>
      <c r="G648" s="57" t="str">
        <f aca="false">IF($E648="","",IF($F648&lt;=BankCostEnvelope*'5. Scenarios'!$B$7,1,0))</f>
        <v/>
      </c>
      <c r="H648" s="57" t="str">
        <f aca="false">IF($D648="","",INDEX(BookRate,643)*(1+'5. Scenarios'!$B$10)*(INDEX(BookQ1,643)*(5-MIN(4,1+'5. Scenarios'!$B$8))/4+INDEX(BookQ2,643)*(5-MIN(4,2+'5. Scenarios'!$B$8))/4+INDEX(BookQ3,643)*(5-MIN(4,3+'5. Scenarios'!$B$8))/4+INDEX(BookQ4,643)*(5-MIN(4,4+'5. Scenarios'!$B$8))/4)*'5. Scenarios'!$B$6/(1+ProductivityDefault*('5. Scenarios'!$B$11-1))+INDEX(BookOneOff,643)*$D648)</f>
        <v/>
      </c>
      <c r="I648" s="56" t="str">
        <f aca="false">IF(INDEX(BookTitle,643)="","",INDEX(BookTotal,643)*'5. Scenarios'!$C$6/(1+ProductivityDefault*('5. Scenarios'!$C$11-1)))</f>
        <v/>
      </c>
      <c r="J648" s="57" t="str">
        <f aca="false">IF($I648="","",INDEX(BookRate,643)*(1+'5. Scenarios'!$C$10)*$I648)</f>
        <v/>
      </c>
      <c r="K648" s="57" t="str">
        <f aca="false">IF($J648="","",SUMIFS($J$6:$J$2405,$A$6:$A$2405,"&lt;="&amp;$A648))</f>
        <v/>
      </c>
      <c r="L648" s="57" t="str">
        <f aca="false">IF($J648="","",IF($K648&lt;=BankCostEnvelope*'5. Scenarios'!$C$7,1,0))</f>
        <v/>
      </c>
      <c r="M648" s="57" t="str">
        <f aca="false">IF($I648="","",INDEX(BookRate,643)*(1+'5. Scenarios'!$C$10)*(INDEX(BookQ1,643)*(5-MIN(4,1+'5. Scenarios'!$C$8))/4+INDEX(BookQ2,643)*(5-MIN(4,2+'5. Scenarios'!$C$8))/4+INDEX(BookQ3,643)*(5-MIN(4,3+'5. Scenarios'!$C$8))/4+INDEX(BookQ4,643)*(5-MIN(4,4+'5. Scenarios'!$C$8))/4)*'5. Scenarios'!$C$6/(1+ProductivityDefault*('5. Scenarios'!$C$11-1))+INDEX(BookOneOff,643)*$I648)</f>
        <v/>
      </c>
      <c r="N648" s="56" t="str">
        <f aca="false">IF(INDEX(BookTitle,643)="","",INDEX(BookTotal,643)*'5. Scenarios'!$D$6/(1+ProductivityDefault*('5. Scenarios'!$D$11-1)))</f>
        <v/>
      </c>
      <c r="O648" s="57" t="str">
        <f aca="false">IF($N648="","",INDEX(BookRate,643)*(1+'5. Scenarios'!$D$10)*$N648)</f>
        <v/>
      </c>
      <c r="P648" s="57" t="str">
        <f aca="false">IF($O648="","",SUMIFS($O$6:$O$2405,$A$6:$A$2405,"&lt;="&amp;$A648))</f>
        <v/>
      </c>
      <c r="Q648" s="57" t="str">
        <f aca="false">IF($O648="","",IF($P648&lt;=BankCostEnvelope*'5. Scenarios'!$D$7,1,0))</f>
        <v/>
      </c>
      <c r="R648" s="57" t="str">
        <f aca="false">IF($N648="","",INDEX(BookRate,643)*(1+'5. Scenarios'!$D$10)*(INDEX(BookQ1,643)*(5-MIN(4,1+'5. Scenarios'!$D$8))/4+INDEX(BookQ2,643)*(5-MIN(4,2+'5. Scenarios'!$D$8))/4+INDEX(BookQ3,643)*(5-MIN(4,3+'5. Scenarios'!$D$8))/4+INDEX(BookQ4,643)*(5-MIN(4,4+'5. Scenarios'!$D$8))/4)*'5. Scenarios'!$D$6/(1+ProductivityDefault*('5. Scenarios'!$D$11-1))+INDEX(BookOneOff,643)*$N648)</f>
        <v/>
      </c>
      <c r="S648" s="56" t="str">
        <f aca="false">IF(INDEX(BookTitle,643)="","",INDEX(BookTotal,643)*'5. Scenarios'!$E$6/(1+ProductivityDefault*('5. Scenarios'!$E$11-1)))</f>
        <v/>
      </c>
      <c r="T648" s="57" t="str">
        <f aca="false">IF($S648="","",INDEX(BookRate,643)*(1+'5. Scenarios'!$E$10)*$S648)</f>
        <v/>
      </c>
      <c r="U648" s="57" t="str">
        <f aca="false">IF($T648="","",SUMIFS($T$6:$T$2405,$A$6:$A$2405,"&lt;="&amp;$A648))</f>
        <v/>
      </c>
      <c r="V648" s="57" t="str">
        <f aca="false">IF($T648="","",IF($U648&lt;=BankCostEnvelope*'5. Scenarios'!$E$7,1,0))</f>
        <v/>
      </c>
      <c r="W648" s="57" t="str">
        <f aca="false">IF($S648="","",INDEX(BookRate,643)*(1+'5. Scenarios'!$E$10)*(INDEX(BookQ1,643)*(5-MIN(4,1+'5. Scenarios'!$E$8))/4+INDEX(BookQ2,643)*(5-MIN(4,2+'5. Scenarios'!$E$8))/4+INDEX(BookQ3,643)*(5-MIN(4,3+'5. Scenarios'!$E$8))/4+INDEX(BookQ4,643)*(5-MIN(4,4+'5. Scenarios'!$E$8))/4)*'5. Scenarios'!$E$6/(1+ProductivityDefault*('5. Scenarios'!$E$11-1))+INDEX(BookOneOff,643)*$S648)</f>
        <v/>
      </c>
    </row>
    <row r="649" customFormat="false" ht="15" hidden="false" customHeight="false" outlineLevel="0" collapsed="false">
      <c r="A649" s="0" t="str">
        <f aca="false">IF(INDEX(BookTitle,644)="","",INDEX(BookKey,644))</f>
        <v/>
      </c>
      <c r="B649" s="0" t="str">
        <f aca="false">IF(INDEX(BookTitle,644)="","",INDEX(BookGroup,644))</f>
        <v/>
      </c>
      <c r="C649" s="0" t="str">
        <f aca="false">IF(INDEX(BookTitle,644)="","",INDEX(BookCategory,644))</f>
        <v/>
      </c>
      <c r="D649" s="56" t="str">
        <f aca="false">IF(INDEX(BookTitle,644)="","",INDEX(BookTotal,644)*'5. Scenarios'!$B$6/(1+ProductivityDefault*('5. Scenarios'!$B$11-1)))</f>
        <v/>
      </c>
      <c r="E649" s="57" t="str">
        <f aca="false">IF($D649="","",INDEX(BookRate,644)*(1+'5. Scenarios'!$B$10)*$D649)</f>
        <v/>
      </c>
      <c r="F649" s="57" t="str">
        <f aca="false">IF($E649="","",SUMIFS($E$6:$E$2405,$A$6:$A$2405,"&lt;="&amp;$A649))</f>
        <v/>
      </c>
      <c r="G649" s="57" t="str">
        <f aca="false">IF($E649="","",IF($F649&lt;=BankCostEnvelope*'5. Scenarios'!$B$7,1,0))</f>
        <v/>
      </c>
      <c r="H649" s="57" t="str">
        <f aca="false">IF($D649="","",INDEX(BookRate,644)*(1+'5. Scenarios'!$B$10)*(INDEX(BookQ1,644)*(5-MIN(4,1+'5. Scenarios'!$B$8))/4+INDEX(BookQ2,644)*(5-MIN(4,2+'5. Scenarios'!$B$8))/4+INDEX(BookQ3,644)*(5-MIN(4,3+'5. Scenarios'!$B$8))/4+INDEX(BookQ4,644)*(5-MIN(4,4+'5. Scenarios'!$B$8))/4)*'5. Scenarios'!$B$6/(1+ProductivityDefault*('5. Scenarios'!$B$11-1))+INDEX(BookOneOff,644)*$D649)</f>
        <v/>
      </c>
      <c r="I649" s="56" t="str">
        <f aca="false">IF(INDEX(BookTitle,644)="","",INDEX(BookTotal,644)*'5. Scenarios'!$C$6/(1+ProductivityDefault*('5. Scenarios'!$C$11-1)))</f>
        <v/>
      </c>
      <c r="J649" s="57" t="str">
        <f aca="false">IF($I649="","",INDEX(BookRate,644)*(1+'5. Scenarios'!$C$10)*$I649)</f>
        <v/>
      </c>
      <c r="K649" s="57" t="str">
        <f aca="false">IF($J649="","",SUMIFS($J$6:$J$2405,$A$6:$A$2405,"&lt;="&amp;$A649))</f>
        <v/>
      </c>
      <c r="L649" s="57" t="str">
        <f aca="false">IF($J649="","",IF($K649&lt;=BankCostEnvelope*'5. Scenarios'!$C$7,1,0))</f>
        <v/>
      </c>
      <c r="M649" s="57" t="str">
        <f aca="false">IF($I649="","",INDEX(BookRate,644)*(1+'5. Scenarios'!$C$10)*(INDEX(BookQ1,644)*(5-MIN(4,1+'5. Scenarios'!$C$8))/4+INDEX(BookQ2,644)*(5-MIN(4,2+'5. Scenarios'!$C$8))/4+INDEX(BookQ3,644)*(5-MIN(4,3+'5. Scenarios'!$C$8))/4+INDEX(BookQ4,644)*(5-MIN(4,4+'5. Scenarios'!$C$8))/4)*'5. Scenarios'!$C$6/(1+ProductivityDefault*('5. Scenarios'!$C$11-1))+INDEX(BookOneOff,644)*$I649)</f>
        <v/>
      </c>
      <c r="N649" s="56" t="str">
        <f aca="false">IF(INDEX(BookTitle,644)="","",INDEX(BookTotal,644)*'5. Scenarios'!$D$6/(1+ProductivityDefault*('5. Scenarios'!$D$11-1)))</f>
        <v/>
      </c>
      <c r="O649" s="57" t="str">
        <f aca="false">IF($N649="","",INDEX(BookRate,644)*(1+'5. Scenarios'!$D$10)*$N649)</f>
        <v/>
      </c>
      <c r="P649" s="57" t="str">
        <f aca="false">IF($O649="","",SUMIFS($O$6:$O$2405,$A$6:$A$2405,"&lt;="&amp;$A649))</f>
        <v/>
      </c>
      <c r="Q649" s="57" t="str">
        <f aca="false">IF($O649="","",IF($P649&lt;=BankCostEnvelope*'5. Scenarios'!$D$7,1,0))</f>
        <v/>
      </c>
      <c r="R649" s="57" t="str">
        <f aca="false">IF($N649="","",INDEX(BookRate,644)*(1+'5. Scenarios'!$D$10)*(INDEX(BookQ1,644)*(5-MIN(4,1+'5. Scenarios'!$D$8))/4+INDEX(BookQ2,644)*(5-MIN(4,2+'5. Scenarios'!$D$8))/4+INDEX(BookQ3,644)*(5-MIN(4,3+'5. Scenarios'!$D$8))/4+INDEX(BookQ4,644)*(5-MIN(4,4+'5. Scenarios'!$D$8))/4)*'5. Scenarios'!$D$6/(1+ProductivityDefault*('5. Scenarios'!$D$11-1))+INDEX(BookOneOff,644)*$N649)</f>
        <v/>
      </c>
      <c r="S649" s="56" t="str">
        <f aca="false">IF(INDEX(BookTitle,644)="","",INDEX(BookTotal,644)*'5. Scenarios'!$E$6/(1+ProductivityDefault*('5. Scenarios'!$E$11-1)))</f>
        <v/>
      </c>
      <c r="T649" s="57" t="str">
        <f aca="false">IF($S649="","",INDEX(BookRate,644)*(1+'5. Scenarios'!$E$10)*$S649)</f>
        <v/>
      </c>
      <c r="U649" s="57" t="str">
        <f aca="false">IF($T649="","",SUMIFS($T$6:$T$2405,$A$6:$A$2405,"&lt;="&amp;$A649))</f>
        <v/>
      </c>
      <c r="V649" s="57" t="str">
        <f aca="false">IF($T649="","",IF($U649&lt;=BankCostEnvelope*'5. Scenarios'!$E$7,1,0))</f>
        <v/>
      </c>
      <c r="W649" s="57" t="str">
        <f aca="false">IF($S649="","",INDEX(BookRate,644)*(1+'5. Scenarios'!$E$10)*(INDEX(BookQ1,644)*(5-MIN(4,1+'5. Scenarios'!$E$8))/4+INDEX(BookQ2,644)*(5-MIN(4,2+'5. Scenarios'!$E$8))/4+INDEX(BookQ3,644)*(5-MIN(4,3+'5. Scenarios'!$E$8))/4+INDEX(BookQ4,644)*(5-MIN(4,4+'5. Scenarios'!$E$8))/4)*'5. Scenarios'!$E$6/(1+ProductivityDefault*('5. Scenarios'!$E$11-1))+INDEX(BookOneOff,644)*$S649)</f>
        <v/>
      </c>
    </row>
    <row r="650" customFormat="false" ht="15" hidden="false" customHeight="false" outlineLevel="0" collapsed="false">
      <c r="A650" s="0" t="str">
        <f aca="false">IF(INDEX(BookTitle,645)="","",INDEX(BookKey,645))</f>
        <v/>
      </c>
      <c r="B650" s="0" t="str">
        <f aca="false">IF(INDEX(BookTitle,645)="","",INDEX(BookGroup,645))</f>
        <v/>
      </c>
      <c r="C650" s="0" t="str">
        <f aca="false">IF(INDEX(BookTitle,645)="","",INDEX(BookCategory,645))</f>
        <v/>
      </c>
      <c r="D650" s="56" t="str">
        <f aca="false">IF(INDEX(BookTitle,645)="","",INDEX(BookTotal,645)*'5. Scenarios'!$B$6/(1+ProductivityDefault*('5. Scenarios'!$B$11-1)))</f>
        <v/>
      </c>
      <c r="E650" s="57" t="str">
        <f aca="false">IF($D650="","",INDEX(BookRate,645)*(1+'5. Scenarios'!$B$10)*$D650)</f>
        <v/>
      </c>
      <c r="F650" s="57" t="str">
        <f aca="false">IF($E650="","",SUMIFS($E$6:$E$2405,$A$6:$A$2405,"&lt;="&amp;$A650))</f>
        <v/>
      </c>
      <c r="G650" s="57" t="str">
        <f aca="false">IF($E650="","",IF($F650&lt;=BankCostEnvelope*'5. Scenarios'!$B$7,1,0))</f>
        <v/>
      </c>
      <c r="H650" s="57" t="str">
        <f aca="false">IF($D650="","",INDEX(BookRate,645)*(1+'5. Scenarios'!$B$10)*(INDEX(BookQ1,645)*(5-MIN(4,1+'5. Scenarios'!$B$8))/4+INDEX(BookQ2,645)*(5-MIN(4,2+'5. Scenarios'!$B$8))/4+INDEX(BookQ3,645)*(5-MIN(4,3+'5. Scenarios'!$B$8))/4+INDEX(BookQ4,645)*(5-MIN(4,4+'5. Scenarios'!$B$8))/4)*'5. Scenarios'!$B$6/(1+ProductivityDefault*('5. Scenarios'!$B$11-1))+INDEX(BookOneOff,645)*$D650)</f>
        <v/>
      </c>
      <c r="I650" s="56" t="str">
        <f aca="false">IF(INDEX(BookTitle,645)="","",INDEX(BookTotal,645)*'5. Scenarios'!$C$6/(1+ProductivityDefault*('5. Scenarios'!$C$11-1)))</f>
        <v/>
      </c>
      <c r="J650" s="57" t="str">
        <f aca="false">IF($I650="","",INDEX(BookRate,645)*(1+'5. Scenarios'!$C$10)*$I650)</f>
        <v/>
      </c>
      <c r="K650" s="57" t="str">
        <f aca="false">IF($J650="","",SUMIFS($J$6:$J$2405,$A$6:$A$2405,"&lt;="&amp;$A650))</f>
        <v/>
      </c>
      <c r="L650" s="57" t="str">
        <f aca="false">IF($J650="","",IF($K650&lt;=BankCostEnvelope*'5. Scenarios'!$C$7,1,0))</f>
        <v/>
      </c>
      <c r="M650" s="57" t="str">
        <f aca="false">IF($I650="","",INDEX(BookRate,645)*(1+'5. Scenarios'!$C$10)*(INDEX(BookQ1,645)*(5-MIN(4,1+'5. Scenarios'!$C$8))/4+INDEX(BookQ2,645)*(5-MIN(4,2+'5. Scenarios'!$C$8))/4+INDEX(BookQ3,645)*(5-MIN(4,3+'5. Scenarios'!$C$8))/4+INDEX(BookQ4,645)*(5-MIN(4,4+'5. Scenarios'!$C$8))/4)*'5. Scenarios'!$C$6/(1+ProductivityDefault*('5. Scenarios'!$C$11-1))+INDEX(BookOneOff,645)*$I650)</f>
        <v/>
      </c>
      <c r="N650" s="56" t="str">
        <f aca="false">IF(INDEX(BookTitle,645)="","",INDEX(BookTotal,645)*'5. Scenarios'!$D$6/(1+ProductivityDefault*('5. Scenarios'!$D$11-1)))</f>
        <v/>
      </c>
      <c r="O650" s="57" t="str">
        <f aca="false">IF($N650="","",INDEX(BookRate,645)*(1+'5. Scenarios'!$D$10)*$N650)</f>
        <v/>
      </c>
      <c r="P650" s="57" t="str">
        <f aca="false">IF($O650="","",SUMIFS($O$6:$O$2405,$A$6:$A$2405,"&lt;="&amp;$A650))</f>
        <v/>
      </c>
      <c r="Q650" s="57" t="str">
        <f aca="false">IF($O650="","",IF($P650&lt;=BankCostEnvelope*'5. Scenarios'!$D$7,1,0))</f>
        <v/>
      </c>
      <c r="R650" s="57" t="str">
        <f aca="false">IF($N650="","",INDEX(BookRate,645)*(1+'5. Scenarios'!$D$10)*(INDEX(BookQ1,645)*(5-MIN(4,1+'5. Scenarios'!$D$8))/4+INDEX(BookQ2,645)*(5-MIN(4,2+'5. Scenarios'!$D$8))/4+INDEX(BookQ3,645)*(5-MIN(4,3+'5. Scenarios'!$D$8))/4+INDEX(BookQ4,645)*(5-MIN(4,4+'5. Scenarios'!$D$8))/4)*'5. Scenarios'!$D$6/(1+ProductivityDefault*('5. Scenarios'!$D$11-1))+INDEX(BookOneOff,645)*$N650)</f>
        <v/>
      </c>
      <c r="S650" s="56" t="str">
        <f aca="false">IF(INDEX(BookTitle,645)="","",INDEX(BookTotal,645)*'5. Scenarios'!$E$6/(1+ProductivityDefault*('5. Scenarios'!$E$11-1)))</f>
        <v/>
      </c>
      <c r="T650" s="57" t="str">
        <f aca="false">IF($S650="","",INDEX(BookRate,645)*(1+'5. Scenarios'!$E$10)*$S650)</f>
        <v/>
      </c>
      <c r="U650" s="57" t="str">
        <f aca="false">IF($T650="","",SUMIFS($T$6:$T$2405,$A$6:$A$2405,"&lt;="&amp;$A650))</f>
        <v/>
      </c>
      <c r="V650" s="57" t="str">
        <f aca="false">IF($T650="","",IF($U650&lt;=BankCostEnvelope*'5. Scenarios'!$E$7,1,0))</f>
        <v/>
      </c>
      <c r="W650" s="57" t="str">
        <f aca="false">IF($S650="","",INDEX(BookRate,645)*(1+'5. Scenarios'!$E$10)*(INDEX(BookQ1,645)*(5-MIN(4,1+'5. Scenarios'!$E$8))/4+INDEX(BookQ2,645)*(5-MIN(4,2+'5. Scenarios'!$E$8))/4+INDEX(BookQ3,645)*(5-MIN(4,3+'5. Scenarios'!$E$8))/4+INDEX(BookQ4,645)*(5-MIN(4,4+'5. Scenarios'!$E$8))/4)*'5. Scenarios'!$E$6/(1+ProductivityDefault*('5. Scenarios'!$E$11-1))+INDEX(BookOneOff,645)*$S650)</f>
        <v/>
      </c>
    </row>
    <row r="651" customFormat="false" ht="15" hidden="false" customHeight="false" outlineLevel="0" collapsed="false">
      <c r="A651" s="0" t="str">
        <f aca="false">IF(INDEX(BookTitle,646)="","",INDEX(BookKey,646))</f>
        <v/>
      </c>
      <c r="B651" s="0" t="str">
        <f aca="false">IF(INDEX(BookTitle,646)="","",INDEX(BookGroup,646))</f>
        <v/>
      </c>
      <c r="C651" s="0" t="str">
        <f aca="false">IF(INDEX(BookTitle,646)="","",INDEX(BookCategory,646))</f>
        <v/>
      </c>
      <c r="D651" s="56" t="str">
        <f aca="false">IF(INDEX(BookTitle,646)="","",INDEX(BookTotal,646)*'5. Scenarios'!$B$6/(1+ProductivityDefault*('5. Scenarios'!$B$11-1)))</f>
        <v/>
      </c>
      <c r="E651" s="57" t="str">
        <f aca="false">IF($D651="","",INDEX(BookRate,646)*(1+'5. Scenarios'!$B$10)*$D651)</f>
        <v/>
      </c>
      <c r="F651" s="57" t="str">
        <f aca="false">IF($E651="","",SUMIFS($E$6:$E$2405,$A$6:$A$2405,"&lt;="&amp;$A651))</f>
        <v/>
      </c>
      <c r="G651" s="57" t="str">
        <f aca="false">IF($E651="","",IF($F651&lt;=BankCostEnvelope*'5. Scenarios'!$B$7,1,0))</f>
        <v/>
      </c>
      <c r="H651" s="57" t="str">
        <f aca="false">IF($D651="","",INDEX(BookRate,646)*(1+'5. Scenarios'!$B$10)*(INDEX(BookQ1,646)*(5-MIN(4,1+'5. Scenarios'!$B$8))/4+INDEX(BookQ2,646)*(5-MIN(4,2+'5. Scenarios'!$B$8))/4+INDEX(BookQ3,646)*(5-MIN(4,3+'5. Scenarios'!$B$8))/4+INDEX(BookQ4,646)*(5-MIN(4,4+'5. Scenarios'!$B$8))/4)*'5. Scenarios'!$B$6/(1+ProductivityDefault*('5. Scenarios'!$B$11-1))+INDEX(BookOneOff,646)*$D651)</f>
        <v/>
      </c>
      <c r="I651" s="56" t="str">
        <f aca="false">IF(INDEX(BookTitle,646)="","",INDEX(BookTotal,646)*'5. Scenarios'!$C$6/(1+ProductivityDefault*('5. Scenarios'!$C$11-1)))</f>
        <v/>
      </c>
      <c r="J651" s="57" t="str">
        <f aca="false">IF($I651="","",INDEX(BookRate,646)*(1+'5. Scenarios'!$C$10)*$I651)</f>
        <v/>
      </c>
      <c r="K651" s="57" t="str">
        <f aca="false">IF($J651="","",SUMIFS($J$6:$J$2405,$A$6:$A$2405,"&lt;="&amp;$A651))</f>
        <v/>
      </c>
      <c r="L651" s="57" t="str">
        <f aca="false">IF($J651="","",IF($K651&lt;=BankCostEnvelope*'5. Scenarios'!$C$7,1,0))</f>
        <v/>
      </c>
      <c r="M651" s="57" t="str">
        <f aca="false">IF($I651="","",INDEX(BookRate,646)*(1+'5. Scenarios'!$C$10)*(INDEX(BookQ1,646)*(5-MIN(4,1+'5. Scenarios'!$C$8))/4+INDEX(BookQ2,646)*(5-MIN(4,2+'5. Scenarios'!$C$8))/4+INDEX(BookQ3,646)*(5-MIN(4,3+'5. Scenarios'!$C$8))/4+INDEX(BookQ4,646)*(5-MIN(4,4+'5. Scenarios'!$C$8))/4)*'5. Scenarios'!$C$6/(1+ProductivityDefault*('5. Scenarios'!$C$11-1))+INDEX(BookOneOff,646)*$I651)</f>
        <v/>
      </c>
      <c r="N651" s="56" t="str">
        <f aca="false">IF(INDEX(BookTitle,646)="","",INDEX(BookTotal,646)*'5. Scenarios'!$D$6/(1+ProductivityDefault*('5. Scenarios'!$D$11-1)))</f>
        <v/>
      </c>
      <c r="O651" s="57" t="str">
        <f aca="false">IF($N651="","",INDEX(BookRate,646)*(1+'5. Scenarios'!$D$10)*$N651)</f>
        <v/>
      </c>
      <c r="P651" s="57" t="str">
        <f aca="false">IF($O651="","",SUMIFS($O$6:$O$2405,$A$6:$A$2405,"&lt;="&amp;$A651))</f>
        <v/>
      </c>
      <c r="Q651" s="57" t="str">
        <f aca="false">IF($O651="","",IF($P651&lt;=BankCostEnvelope*'5. Scenarios'!$D$7,1,0))</f>
        <v/>
      </c>
      <c r="R651" s="57" t="str">
        <f aca="false">IF($N651="","",INDEX(BookRate,646)*(1+'5. Scenarios'!$D$10)*(INDEX(BookQ1,646)*(5-MIN(4,1+'5. Scenarios'!$D$8))/4+INDEX(BookQ2,646)*(5-MIN(4,2+'5. Scenarios'!$D$8))/4+INDEX(BookQ3,646)*(5-MIN(4,3+'5. Scenarios'!$D$8))/4+INDEX(BookQ4,646)*(5-MIN(4,4+'5. Scenarios'!$D$8))/4)*'5. Scenarios'!$D$6/(1+ProductivityDefault*('5. Scenarios'!$D$11-1))+INDEX(BookOneOff,646)*$N651)</f>
        <v/>
      </c>
      <c r="S651" s="56" t="str">
        <f aca="false">IF(INDEX(BookTitle,646)="","",INDEX(BookTotal,646)*'5. Scenarios'!$E$6/(1+ProductivityDefault*('5. Scenarios'!$E$11-1)))</f>
        <v/>
      </c>
      <c r="T651" s="57" t="str">
        <f aca="false">IF($S651="","",INDEX(BookRate,646)*(1+'5. Scenarios'!$E$10)*$S651)</f>
        <v/>
      </c>
      <c r="U651" s="57" t="str">
        <f aca="false">IF($T651="","",SUMIFS($T$6:$T$2405,$A$6:$A$2405,"&lt;="&amp;$A651))</f>
        <v/>
      </c>
      <c r="V651" s="57" t="str">
        <f aca="false">IF($T651="","",IF($U651&lt;=BankCostEnvelope*'5. Scenarios'!$E$7,1,0))</f>
        <v/>
      </c>
      <c r="W651" s="57" t="str">
        <f aca="false">IF($S651="","",INDEX(BookRate,646)*(1+'5. Scenarios'!$E$10)*(INDEX(BookQ1,646)*(5-MIN(4,1+'5. Scenarios'!$E$8))/4+INDEX(BookQ2,646)*(5-MIN(4,2+'5. Scenarios'!$E$8))/4+INDEX(BookQ3,646)*(5-MIN(4,3+'5. Scenarios'!$E$8))/4+INDEX(BookQ4,646)*(5-MIN(4,4+'5. Scenarios'!$E$8))/4)*'5. Scenarios'!$E$6/(1+ProductivityDefault*('5. Scenarios'!$E$11-1))+INDEX(BookOneOff,646)*$S651)</f>
        <v/>
      </c>
    </row>
    <row r="652" customFormat="false" ht="15" hidden="false" customHeight="false" outlineLevel="0" collapsed="false">
      <c r="A652" s="0" t="str">
        <f aca="false">IF(INDEX(BookTitle,647)="","",INDEX(BookKey,647))</f>
        <v/>
      </c>
      <c r="B652" s="0" t="str">
        <f aca="false">IF(INDEX(BookTitle,647)="","",INDEX(BookGroup,647))</f>
        <v/>
      </c>
      <c r="C652" s="0" t="str">
        <f aca="false">IF(INDEX(BookTitle,647)="","",INDEX(BookCategory,647))</f>
        <v/>
      </c>
      <c r="D652" s="56" t="str">
        <f aca="false">IF(INDEX(BookTitle,647)="","",INDEX(BookTotal,647)*'5. Scenarios'!$B$6/(1+ProductivityDefault*('5. Scenarios'!$B$11-1)))</f>
        <v/>
      </c>
      <c r="E652" s="57" t="str">
        <f aca="false">IF($D652="","",INDEX(BookRate,647)*(1+'5. Scenarios'!$B$10)*$D652)</f>
        <v/>
      </c>
      <c r="F652" s="57" t="str">
        <f aca="false">IF($E652="","",SUMIFS($E$6:$E$2405,$A$6:$A$2405,"&lt;="&amp;$A652))</f>
        <v/>
      </c>
      <c r="G652" s="57" t="str">
        <f aca="false">IF($E652="","",IF($F652&lt;=BankCostEnvelope*'5. Scenarios'!$B$7,1,0))</f>
        <v/>
      </c>
      <c r="H652" s="57" t="str">
        <f aca="false">IF($D652="","",INDEX(BookRate,647)*(1+'5. Scenarios'!$B$10)*(INDEX(BookQ1,647)*(5-MIN(4,1+'5. Scenarios'!$B$8))/4+INDEX(BookQ2,647)*(5-MIN(4,2+'5. Scenarios'!$B$8))/4+INDEX(BookQ3,647)*(5-MIN(4,3+'5. Scenarios'!$B$8))/4+INDEX(BookQ4,647)*(5-MIN(4,4+'5. Scenarios'!$B$8))/4)*'5. Scenarios'!$B$6/(1+ProductivityDefault*('5. Scenarios'!$B$11-1))+INDEX(BookOneOff,647)*$D652)</f>
        <v/>
      </c>
      <c r="I652" s="56" t="str">
        <f aca="false">IF(INDEX(BookTitle,647)="","",INDEX(BookTotal,647)*'5. Scenarios'!$C$6/(1+ProductivityDefault*('5. Scenarios'!$C$11-1)))</f>
        <v/>
      </c>
      <c r="J652" s="57" t="str">
        <f aca="false">IF($I652="","",INDEX(BookRate,647)*(1+'5. Scenarios'!$C$10)*$I652)</f>
        <v/>
      </c>
      <c r="K652" s="57" t="str">
        <f aca="false">IF($J652="","",SUMIFS($J$6:$J$2405,$A$6:$A$2405,"&lt;="&amp;$A652))</f>
        <v/>
      </c>
      <c r="L652" s="57" t="str">
        <f aca="false">IF($J652="","",IF($K652&lt;=BankCostEnvelope*'5. Scenarios'!$C$7,1,0))</f>
        <v/>
      </c>
      <c r="M652" s="57" t="str">
        <f aca="false">IF($I652="","",INDEX(BookRate,647)*(1+'5. Scenarios'!$C$10)*(INDEX(BookQ1,647)*(5-MIN(4,1+'5. Scenarios'!$C$8))/4+INDEX(BookQ2,647)*(5-MIN(4,2+'5. Scenarios'!$C$8))/4+INDEX(BookQ3,647)*(5-MIN(4,3+'5. Scenarios'!$C$8))/4+INDEX(BookQ4,647)*(5-MIN(4,4+'5. Scenarios'!$C$8))/4)*'5. Scenarios'!$C$6/(1+ProductivityDefault*('5. Scenarios'!$C$11-1))+INDEX(BookOneOff,647)*$I652)</f>
        <v/>
      </c>
      <c r="N652" s="56" t="str">
        <f aca="false">IF(INDEX(BookTitle,647)="","",INDEX(BookTotal,647)*'5. Scenarios'!$D$6/(1+ProductivityDefault*('5. Scenarios'!$D$11-1)))</f>
        <v/>
      </c>
      <c r="O652" s="57" t="str">
        <f aca="false">IF($N652="","",INDEX(BookRate,647)*(1+'5. Scenarios'!$D$10)*$N652)</f>
        <v/>
      </c>
      <c r="P652" s="57" t="str">
        <f aca="false">IF($O652="","",SUMIFS($O$6:$O$2405,$A$6:$A$2405,"&lt;="&amp;$A652))</f>
        <v/>
      </c>
      <c r="Q652" s="57" t="str">
        <f aca="false">IF($O652="","",IF($P652&lt;=BankCostEnvelope*'5. Scenarios'!$D$7,1,0))</f>
        <v/>
      </c>
      <c r="R652" s="57" t="str">
        <f aca="false">IF($N652="","",INDEX(BookRate,647)*(1+'5. Scenarios'!$D$10)*(INDEX(BookQ1,647)*(5-MIN(4,1+'5. Scenarios'!$D$8))/4+INDEX(BookQ2,647)*(5-MIN(4,2+'5. Scenarios'!$D$8))/4+INDEX(BookQ3,647)*(5-MIN(4,3+'5. Scenarios'!$D$8))/4+INDEX(BookQ4,647)*(5-MIN(4,4+'5. Scenarios'!$D$8))/4)*'5. Scenarios'!$D$6/(1+ProductivityDefault*('5. Scenarios'!$D$11-1))+INDEX(BookOneOff,647)*$N652)</f>
        <v/>
      </c>
      <c r="S652" s="56" t="str">
        <f aca="false">IF(INDEX(BookTitle,647)="","",INDEX(BookTotal,647)*'5. Scenarios'!$E$6/(1+ProductivityDefault*('5. Scenarios'!$E$11-1)))</f>
        <v/>
      </c>
      <c r="T652" s="57" t="str">
        <f aca="false">IF($S652="","",INDEX(BookRate,647)*(1+'5. Scenarios'!$E$10)*$S652)</f>
        <v/>
      </c>
      <c r="U652" s="57" t="str">
        <f aca="false">IF($T652="","",SUMIFS($T$6:$T$2405,$A$6:$A$2405,"&lt;="&amp;$A652))</f>
        <v/>
      </c>
      <c r="V652" s="57" t="str">
        <f aca="false">IF($T652="","",IF($U652&lt;=BankCostEnvelope*'5. Scenarios'!$E$7,1,0))</f>
        <v/>
      </c>
      <c r="W652" s="57" t="str">
        <f aca="false">IF($S652="","",INDEX(BookRate,647)*(1+'5. Scenarios'!$E$10)*(INDEX(BookQ1,647)*(5-MIN(4,1+'5. Scenarios'!$E$8))/4+INDEX(BookQ2,647)*(5-MIN(4,2+'5. Scenarios'!$E$8))/4+INDEX(BookQ3,647)*(5-MIN(4,3+'5. Scenarios'!$E$8))/4+INDEX(BookQ4,647)*(5-MIN(4,4+'5. Scenarios'!$E$8))/4)*'5. Scenarios'!$E$6/(1+ProductivityDefault*('5. Scenarios'!$E$11-1))+INDEX(BookOneOff,647)*$S652)</f>
        <v/>
      </c>
    </row>
    <row r="653" customFormat="false" ht="15" hidden="false" customHeight="false" outlineLevel="0" collapsed="false">
      <c r="A653" s="0" t="str">
        <f aca="false">IF(INDEX(BookTitle,648)="","",INDEX(BookKey,648))</f>
        <v/>
      </c>
      <c r="B653" s="0" t="str">
        <f aca="false">IF(INDEX(BookTitle,648)="","",INDEX(BookGroup,648))</f>
        <v/>
      </c>
      <c r="C653" s="0" t="str">
        <f aca="false">IF(INDEX(BookTitle,648)="","",INDEX(BookCategory,648))</f>
        <v/>
      </c>
      <c r="D653" s="56" t="str">
        <f aca="false">IF(INDEX(BookTitle,648)="","",INDEX(BookTotal,648)*'5. Scenarios'!$B$6/(1+ProductivityDefault*('5. Scenarios'!$B$11-1)))</f>
        <v/>
      </c>
      <c r="E653" s="57" t="str">
        <f aca="false">IF($D653="","",INDEX(BookRate,648)*(1+'5. Scenarios'!$B$10)*$D653)</f>
        <v/>
      </c>
      <c r="F653" s="57" t="str">
        <f aca="false">IF($E653="","",SUMIFS($E$6:$E$2405,$A$6:$A$2405,"&lt;="&amp;$A653))</f>
        <v/>
      </c>
      <c r="G653" s="57" t="str">
        <f aca="false">IF($E653="","",IF($F653&lt;=BankCostEnvelope*'5. Scenarios'!$B$7,1,0))</f>
        <v/>
      </c>
      <c r="H653" s="57" t="str">
        <f aca="false">IF($D653="","",INDEX(BookRate,648)*(1+'5. Scenarios'!$B$10)*(INDEX(BookQ1,648)*(5-MIN(4,1+'5. Scenarios'!$B$8))/4+INDEX(BookQ2,648)*(5-MIN(4,2+'5. Scenarios'!$B$8))/4+INDEX(BookQ3,648)*(5-MIN(4,3+'5. Scenarios'!$B$8))/4+INDEX(BookQ4,648)*(5-MIN(4,4+'5. Scenarios'!$B$8))/4)*'5. Scenarios'!$B$6/(1+ProductivityDefault*('5. Scenarios'!$B$11-1))+INDEX(BookOneOff,648)*$D653)</f>
        <v/>
      </c>
      <c r="I653" s="56" t="str">
        <f aca="false">IF(INDEX(BookTitle,648)="","",INDEX(BookTotal,648)*'5. Scenarios'!$C$6/(1+ProductivityDefault*('5. Scenarios'!$C$11-1)))</f>
        <v/>
      </c>
      <c r="J653" s="57" t="str">
        <f aca="false">IF($I653="","",INDEX(BookRate,648)*(1+'5. Scenarios'!$C$10)*$I653)</f>
        <v/>
      </c>
      <c r="K653" s="57" t="str">
        <f aca="false">IF($J653="","",SUMIFS($J$6:$J$2405,$A$6:$A$2405,"&lt;="&amp;$A653))</f>
        <v/>
      </c>
      <c r="L653" s="57" t="str">
        <f aca="false">IF($J653="","",IF($K653&lt;=BankCostEnvelope*'5. Scenarios'!$C$7,1,0))</f>
        <v/>
      </c>
      <c r="M653" s="57" t="str">
        <f aca="false">IF($I653="","",INDEX(BookRate,648)*(1+'5. Scenarios'!$C$10)*(INDEX(BookQ1,648)*(5-MIN(4,1+'5. Scenarios'!$C$8))/4+INDEX(BookQ2,648)*(5-MIN(4,2+'5. Scenarios'!$C$8))/4+INDEX(BookQ3,648)*(5-MIN(4,3+'5. Scenarios'!$C$8))/4+INDEX(BookQ4,648)*(5-MIN(4,4+'5. Scenarios'!$C$8))/4)*'5. Scenarios'!$C$6/(1+ProductivityDefault*('5. Scenarios'!$C$11-1))+INDEX(BookOneOff,648)*$I653)</f>
        <v/>
      </c>
      <c r="N653" s="56" t="str">
        <f aca="false">IF(INDEX(BookTitle,648)="","",INDEX(BookTotal,648)*'5. Scenarios'!$D$6/(1+ProductivityDefault*('5. Scenarios'!$D$11-1)))</f>
        <v/>
      </c>
      <c r="O653" s="57" t="str">
        <f aca="false">IF($N653="","",INDEX(BookRate,648)*(1+'5. Scenarios'!$D$10)*$N653)</f>
        <v/>
      </c>
      <c r="P653" s="57" t="str">
        <f aca="false">IF($O653="","",SUMIFS($O$6:$O$2405,$A$6:$A$2405,"&lt;="&amp;$A653))</f>
        <v/>
      </c>
      <c r="Q653" s="57" t="str">
        <f aca="false">IF($O653="","",IF($P653&lt;=BankCostEnvelope*'5. Scenarios'!$D$7,1,0))</f>
        <v/>
      </c>
      <c r="R653" s="57" t="str">
        <f aca="false">IF($N653="","",INDEX(BookRate,648)*(1+'5. Scenarios'!$D$10)*(INDEX(BookQ1,648)*(5-MIN(4,1+'5. Scenarios'!$D$8))/4+INDEX(BookQ2,648)*(5-MIN(4,2+'5. Scenarios'!$D$8))/4+INDEX(BookQ3,648)*(5-MIN(4,3+'5. Scenarios'!$D$8))/4+INDEX(BookQ4,648)*(5-MIN(4,4+'5. Scenarios'!$D$8))/4)*'5. Scenarios'!$D$6/(1+ProductivityDefault*('5. Scenarios'!$D$11-1))+INDEX(BookOneOff,648)*$N653)</f>
        <v/>
      </c>
      <c r="S653" s="56" t="str">
        <f aca="false">IF(INDEX(BookTitle,648)="","",INDEX(BookTotal,648)*'5. Scenarios'!$E$6/(1+ProductivityDefault*('5. Scenarios'!$E$11-1)))</f>
        <v/>
      </c>
      <c r="T653" s="57" t="str">
        <f aca="false">IF($S653="","",INDEX(BookRate,648)*(1+'5. Scenarios'!$E$10)*$S653)</f>
        <v/>
      </c>
      <c r="U653" s="57" t="str">
        <f aca="false">IF($T653="","",SUMIFS($T$6:$T$2405,$A$6:$A$2405,"&lt;="&amp;$A653))</f>
        <v/>
      </c>
      <c r="V653" s="57" t="str">
        <f aca="false">IF($T653="","",IF($U653&lt;=BankCostEnvelope*'5. Scenarios'!$E$7,1,0))</f>
        <v/>
      </c>
      <c r="W653" s="57" t="str">
        <f aca="false">IF($S653="","",INDEX(BookRate,648)*(1+'5. Scenarios'!$E$10)*(INDEX(BookQ1,648)*(5-MIN(4,1+'5. Scenarios'!$E$8))/4+INDEX(BookQ2,648)*(5-MIN(4,2+'5. Scenarios'!$E$8))/4+INDEX(BookQ3,648)*(5-MIN(4,3+'5. Scenarios'!$E$8))/4+INDEX(BookQ4,648)*(5-MIN(4,4+'5. Scenarios'!$E$8))/4)*'5. Scenarios'!$E$6/(1+ProductivityDefault*('5. Scenarios'!$E$11-1))+INDEX(BookOneOff,648)*$S653)</f>
        <v/>
      </c>
    </row>
    <row r="654" customFormat="false" ht="15" hidden="false" customHeight="false" outlineLevel="0" collapsed="false">
      <c r="A654" s="0" t="str">
        <f aca="false">IF(INDEX(BookTitle,649)="","",INDEX(BookKey,649))</f>
        <v/>
      </c>
      <c r="B654" s="0" t="str">
        <f aca="false">IF(INDEX(BookTitle,649)="","",INDEX(BookGroup,649))</f>
        <v/>
      </c>
      <c r="C654" s="0" t="str">
        <f aca="false">IF(INDEX(BookTitle,649)="","",INDEX(BookCategory,649))</f>
        <v/>
      </c>
      <c r="D654" s="56" t="str">
        <f aca="false">IF(INDEX(BookTitle,649)="","",INDEX(BookTotal,649)*'5. Scenarios'!$B$6/(1+ProductivityDefault*('5. Scenarios'!$B$11-1)))</f>
        <v/>
      </c>
      <c r="E654" s="57" t="str">
        <f aca="false">IF($D654="","",INDEX(BookRate,649)*(1+'5. Scenarios'!$B$10)*$D654)</f>
        <v/>
      </c>
      <c r="F654" s="57" t="str">
        <f aca="false">IF($E654="","",SUMIFS($E$6:$E$2405,$A$6:$A$2405,"&lt;="&amp;$A654))</f>
        <v/>
      </c>
      <c r="G654" s="57" t="str">
        <f aca="false">IF($E654="","",IF($F654&lt;=BankCostEnvelope*'5. Scenarios'!$B$7,1,0))</f>
        <v/>
      </c>
      <c r="H654" s="57" t="str">
        <f aca="false">IF($D654="","",INDEX(BookRate,649)*(1+'5. Scenarios'!$B$10)*(INDEX(BookQ1,649)*(5-MIN(4,1+'5. Scenarios'!$B$8))/4+INDEX(BookQ2,649)*(5-MIN(4,2+'5. Scenarios'!$B$8))/4+INDEX(BookQ3,649)*(5-MIN(4,3+'5. Scenarios'!$B$8))/4+INDEX(BookQ4,649)*(5-MIN(4,4+'5. Scenarios'!$B$8))/4)*'5. Scenarios'!$B$6/(1+ProductivityDefault*('5. Scenarios'!$B$11-1))+INDEX(BookOneOff,649)*$D654)</f>
        <v/>
      </c>
      <c r="I654" s="56" t="str">
        <f aca="false">IF(INDEX(BookTitle,649)="","",INDEX(BookTotal,649)*'5. Scenarios'!$C$6/(1+ProductivityDefault*('5. Scenarios'!$C$11-1)))</f>
        <v/>
      </c>
      <c r="J654" s="57" t="str">
        <f aca="false">IF($I654="","",INDEX(BookRate,649)*(1+'5. Scenarios'!$C$10)*$I654)</f>
        <v/>
      </c>
      <c r="K654" s="57" t="str">
        <f aca="false">IF($J654="","",SUMIFS($J$6:$J$2405,$A$6:$A$2405,"&lt;="&amp;$A654))</f>
        <v/>
      </c>
      <c r="L654" s="57" t="str">
        <f aca="false">IF($J654="","",IF($K654&lt;=BankCostEnvelope*'5. Scenarios'!$C$7,1,0))</f>
        <v/>
      </c>
      <c r="M654" s="57" t="str">
        <f aca="false">IF($I654="","",INDEX(BookRate,649)*(1+'5. Scenarios'!$C$10)*(INDEX(BookQ1,649)*(5-MIN(4,1+'5. Scenarios'!$C$8))/4+INDEX(BookQ2,649)*(5-MIN(4,2+'5. Scenarios'!$C$8))/4+INDEX(BookQ3,649)*(5-MIN(4,3+'5. Scenarios'!$C$8))/4+INDEX(BookQ4,649)*(5-MIN(4,4+'5. Scenarios'!$C$8))/4)*'5. Scenarios'!$C$6/(1+ProductivityDefault*('5. Scenarios'!$C$11-1))+INDEX(BookOneOff,649)*$I654)</f>
        <v/>
      </c>
      <c r="N654" s="56" t="str">
        <f aca="false">IF(INDEX(BookTitle,649)="","",INDEX(BookTotal,649)*'5. Scenarios'!$D$6/(1+ProductivityDefault*('5. Scenarios'!$D$11-1)))</f>
        <v/>
      </c>
      <c r="O654" s="57" t="str">
        <f aca="false">IF($N654="","",INDEX(BookRate,649)*(1+'5. Scenarios'!$D$10)*$N654)</f>
        <v/>
      </c>
      <c r="P654" s="57" t="str">
        <f aca="false">IF($O654="","",SUMIFS($O$6:$O$2405,$A$6:$A$2405,"&lt;="&amp;$A654))</f>
        <v/>
      </c>
      <c r="Q654" s="57" t="str">
        <f aca="false">IF($O654="","",IF($P654&lt;=BankCostEnvelope*'5. Scenarios'!$D$7,1,0))</f>
        <v/>
      </c>
      <c r="R654" s="57" t="str">
        <f aca="false">IF($N654="","",INDEX(BookRate,649)*(1+'5. Scenarios'!$D$10)*(INDEX(BookQ1,649)*(5-MIN(4,1+'5. Scenarios'!$D$8))/4+INDEX(BookQ2,649)*(5-MIN(4,2+'5. Scenarios'!$D$8))/4+INDEX(BookQ3,649)*(5-MIN(4,3+'5. Scenarios'!$D$8))/4+INDEX(BookQ4,649)*(5-MIN(4,4+'5. Scenarios'!$D$8))/4)*'5. Scenarios'!$D$6/(1+ProductivityDefault*('5. Scenarios'!$D$11-1))+INDEX(BookOneOff,649)*$N654)</f>
        <v/>
      </c>
      <c r="S654" s="56" t="str">
        <f aca="false">IF(INDEX(BookTitle,649)="","",INDEX(BookTotal,649)*'5. Scenarios'!$E$6/(1+ProductivityDefault*('5. Scenarios'!$E$11-1)))</f>
        <v/>
      </c>
      <c r="T654" s="57" t="str">
        <f aca="false">IF($S654="","",INDEX(BookRate,649)*(1+'5. Scenarios'!$E$10)*$S654)</f>
        <v/>
      </c>
      <c r="U654" s="57" t="str">
        <f aca="false">IF($T654="","",SUMIFS($T$6:$T$2405,$A$6:$A$2405,"&lt;="&amp;$A654))</f>
        <v/>
      </c>
      <c r="V654" s="57" t="str">
        <f aca="false">IF($T654="","",IF($U654&lt;=BankCostEnvelope*'5. Scenarios'!$E$7,1,0))</f>
        <v/>
      </c>
      <c r="W654" s="57" t="str">
        <f aca="false">IF($S654="","",INDEX(BookRate,649)*(1+'5. Scenarios'!$E$10)*(INDEX(BookQ1,649)*(5-MIN(4,1+'5. Scenarios'!$E$8))/4+INDEX(BookQ2,649)*(5-MIN(4,2+'5. Scenarios'!$E$8))/4+INDEX(BookQ3,649)*(5-MIN(4,3+'5. Scenarios'!$E$8))/4+INDEX(BookQ4,649)*(5-MIN(4,4+'5. Scenarios'!$E$8))/4)*'5. Scenarios'!$E$6/(1+ProductivityDefault*('5. Scenarios'!$E$11-1))+INDEX(BookOneOff,649)*$S654)</f>
        <v/>
      </c>
    </row>
    <row r="655" customFormat="false" ht="15" hidden="false" customHeight="false" outlineLevel="0" collapsed="false">
      <c r="A655" s="0" t="str">
        <f aca="false">IF(INDEX(BookTitle,650)="","",INDEX(BookKey,650))</f>
        <v/>
      </c>
      <c r="B655" s="0" t="str">
        <f aca="false">IF(INDEX(BookTitle,650)="","",INDEX(BookGroup,650))</f>
        <v/>
      </c>
      <c r="C655" s="0" t="str">
        <f aca="false">IF(INDEX(BookTitle,650)="","",INDEX(BookCategory,650))</f>
        <v/>
      </c>
      <c r="D655" s="56" t="str">
        <f aca="false">IF(INDEX(BookTitle,650)="","",INDEX(BookTotal,650)*'5. Scenarios'!$B$6/(1+ProductivityDefault*('5. Scenarios'!$B$11-1)))</f>
        <v/>
      </c>
      <c r="E655" s="57" t="str">
        <f aca="false">IF($D655="","",INDEX(BookRate,650)*(1+'5. Scenarios'!$B$10)*$D655)</f>
        <v/>
      </c>
      <c r="F655" s="57" t="str">
        <f aca="false">IF($E655="","",SUMIFS($E$6:$E$2405,$A$6:$A$2405,"&lt;="&amp;$A655))</f>
        <v/>
      </c>
      <c r="G655" s="57" t="str">
        <f aca="false">IF($E655="","",IF($F655&lt;=BankCostEnvelope*'5. Scenarios'!$B$7,1,0))</f>
        <v/>
      </c>
      <c r="H655" s="57" t="str">
        <f aca="false">IF($D655="","",INDEX(BookRate,650)*(1+'5. Scenarios'!$B$10)*(INDEX(BookQ1,650)*(5-MIN(4,1+'5. Scenarios'!$B$8))/4+INDEX(BookQ2,650)*(5-MIN(4,2+'5. Scenarios'!$B$8))/4+INDEX(BookQ3,650)*(5-MIN(4,3+'5. Scenarios'!$B$8))/4+INDEX(BookQ4,650)*(5-MIN(4,4+'5. Scenarios'!$B$8))/4)*'5. Scenarios'!$B$6/(1+ProductivityDefault*('5. Scenarios'!$B$11-1))+INDEX(BookOneOff,650)*$D655)</f>
        <v/>
      </c>
      <c r="I655" s="56" t="str">
        <f aca="false">IF(INDEX(BookTitle,650)="","",INDEX(BookTotal,650)*'5. Scenarios'!$C$6/(1+ProductivityDefault*('5. Scenarios'!$C$11-1)))</f>
        <v/>
      </c>
      <c r="J655" s="57" t="str">
        <f aca="false">IF($I655="","",INDEX(BookRate,650)*(1+'5. Scenarios'!$C$10)*$I655)</f>
        <v/>
      </c>
      <c r="K655" s="57" t="str">
        <f aca="false">IF($J655="","",SUMIFS($J$6:$J$2405,$A$6:$A$2405,"&lt;="&amp;$A655))</f>
        <v/>
      </c>
      <c r="L655" s="57" t="str">
        <f aca="false">IF($J655="","",IF($K655&lt;=BankCostEnvelope*'5. Scenarios'!$C$7,1,0))</f>
        <v/>
      </c>
      <c r="M655" s="57" t="str">
        <f aca="false">IF($I655="","",INDEX(BookRate,650)*(1+'5. Scenarios'!$C$10)*(INDEX(BookQ1,650)*(5-MIN(4,1+'5. Scenarios'!$C$8))/4+INDEX(BookQ2,650)*(5-MIN(4,2+'5. Scenarios'!$C$8))/4+INDEX(BookQ3,650)*(5-MIN(4,3+'5. Scenarios'!$C$8))/4+INDEX(BookQ4,650)*(5-MIN(4,4+'5. Scenarios'!$C$8))/4)*'5. Scenarios'!$C$6/(1+ProductivityDefault*('5. Scenarios'!$C$11-1))+INDEX(BookOneOff,650)*$I655)</f>
        <v/>
      </c>
      <c r="N655" s="56" t="str">
        <f aca="false">IF(INDEX(BookTitle,650)="","",INDEX(BookTotal,650)*'5. Scenarios'!$D$6/(1+ProductivityDefault*('5. Scenarios'!$D$11-1)))</f>
        <v/>
      </c>
      <c r="O655" s="57" t="str">
        <f aca="false">IF($N655="","",INDEX(BookRate,650)*(1+'5. Scenarios'!$D$10)*$N655)</f>
        <v/>
      </c>
      <c r="P655" s="57" t="str">
        <f aca="false">IF($O655="","",SUMIFS($O$6:$O$2405,$A$6:$A$2405,"&lt;="&amp;$A655))</f>
        <v/>
      </c>
      <c r="Q655" s="57" t="str">
        <f aca="false">IF($O655="","",IF($P655&lt;=BankCostEnvelope*'5. Scenarios'!$D$7,1,0))</f>
        <v/>
      </c>
      <c r="R655" s="57" t="str">
        <f aca="false">IF($N655="","",INDEX(BookRate,650)*(1+'5. Scenarios'!$D$10)*(INDEX(BookQ1,650)*(5-MIN(4,1+'5. Scenarios'!$D$8))/4+INDEX(BookQ2,650)*(5-MIN(4,2+'5. Scenarios'!$D$8))/4+INDEX(BookQ3,650)*(5-MIN(4,3+'5. Scenarios'!$D$8))/4+INDEX(BookQ4,650)*(5-MIN(4,4+'5. Scenarios'!$D$8))/4)*'5. Scenarios'!$D$6/(1+ProductivityDefault*('5. Scenarios'!$D$11-1))+INDEX(BookOneOff,650)*$N655)</f>
        <v/>
      </c>
      <c r="S655" s="56" t="str">
        <f aca="false">IF(INDEX(BookTitle,650)="","",INDEX(BookTotal,650)*'5. Scenarios'!$E$6/(1+ProductivityDefault*('5. Scenarios'!$E$11-1)))</f>
        <v/>
      </c>
      <c r="T655" s="57" t="str">
        <f aca="false">IF($S655="","",INDEX(BookRate,650)*(1+'5. Scenarios'!$E$10)*$S655)</f>
        <v/>
      </c>
      <c r="U655" s="57" t="str">
        <f aca="false">IF($T655="","",SUMIFS($T$6:$T$2405,$A$6:$A$2405,"&lt;="&amp;$A655))</f>
        <v/>
      </c>
      <c r="V655" s="57" t="str">
        <f aca="false">IF($T655="","",IF($U655&lt;=BankCostEnvelope*'5. Scenarios'!$E$7,1,0))</f>
        <v/>
      </c>
      <c r="W655" s="57" t="str">
        <f aca="false">IF($S655="","",INDEX(BookRate,650)*(1+'5. Scenarios'!$E$10)*(INDEX(BookQ1,650)*(5-MIN(4,1+'5. Scenarios'!$E$8))/4+INDEX(BookQ2,650)*(5-MIN(4,2+'5. Scenarios'!$E$8))/4+INDEX(BookQ3,650)*(5-MIN(4,3+'5. Scenarios'!$E$8))/4+INDEX(BookQ4,650)*(5-MIN(4,4+'5. Scenarios'!$E$8))/4)*'5. Scenarios'!$E$6/(1+ProductivityDefault*('5. Scenarios'!$E$11-1))+INDEX(BookOneOff,650)*$S655)</f>
        <v/>
      </c>
    </row>
    <row r="656" customFormat="false" ht="15" hidden="false" customHeight="false" outlineLevel="0" collapsed="false">
      <c r="A656" s="0" t="str">
        <f aca="false">IF(INDEX(BookTitle,651)="","",INDEX(BookKey,651))</f>
        <v/>
      </c>
      <c r="B656" s="0" t="str">
        <f aca="false">IF(INDEX(BookTitle,651)="","",INDEX(BookGroup,651))</f>
        <v/>
      </c>
      <c r="C656" s="0" t="str">
        <f aca="false">IF(INDEX(BookTitle,651)="","",INDEX(BookCategory,651))</f>
        <v/>
      </c>
      <c r="D656" s="56" t="str">
        <f aca="false">IF(INDEX(BookTitle,651)="","",INDEX(BookTotal,651)*'5. Scenarios'!$B$6/(1+ProductivityDefault*('5. Scenarios'!$B$11-1)))</f>
        <v/>
      </c>
      <c r="E656" s="57" t="str">
        <f aca="false">IF($D656="","",INDEX(BookRate,651)*(1+'5. Scenarios'!$B$10)*$D656)</f>
        <v/>
      </c>
      <c r="F656" s="57" t="str">
        <f aca="false">IF($E656="","",SUMIFS($E$6:$E$2405,$A$6:$A$2405,"&lt;="&amp;$A656))</f>
        <v/>
      </c>
      <c r="G656" s="57" t="str">
        <f aca="false">IF($E656="","",IF($F656&lt;=BankCostEnvelope*'5. Scenarios'!$B$7,1,0))</f>
        <v/>
      </c>
      <c r="H656" s="57" t="str">
        <f aca="false">IF($D656="","",INDEX(BookRate,651)*(1+'5. Scenarios'!$B$10)*(INDEX(BookQ1,651)*(5-MIN(4,1+'5. Scenarios'!$B$8))/4+INDEX(BookQ2,651)*(5-MIN(4,2+'5. Scenarios'!$B$8))/4+INDEX(BookQ3,651)*(5-MIN(4,3+'5. Scenarios'!$B$8))/4+INDEX(BookQ4,651)*(5-MIN(4,4+'5. Scenarios'!$B$8))/4)*'5. Scenarios'!$B$6/(1+ProductivityDefault*('5. Scenarios'!$B$11-1))+INDEX(BookOneOff,651)*$D656)</f>
        <v/>
      </c>
      <c r="I656" s="56" t="str">
        <f aca="false">IF(INDEX(BookTitle,651)="","",INDEX(BookTotal,651)*'5. Scenarios'!$C$6/(1+ProductivityDefault*('5. Scenarios'!$C$11-1)))</f>
        <v/>
      </c>
      <c r="J656" s="57" t="str">
        <f aca="false">IF($I656="","",INDEX(BookRate,651)*(1+'5. Scenarios'!$C$10)*$I656)</f>
        <v/>
      </c>
      <c r="K656" s="57" t="str">
        <f aca="false">IF($J656="","",SUMIFS($J$6:$J$2405,$A$6:$A$2405,"&lt;="&amp;$A656))</f>
        <v/>
      </c>
      <c r="L656" s="57" t="str">
        <f aca="false">IF($J656="","",IF($K656&lt;=BankCostEnvelope*'5. Scenarios'!$C$7,1,0))</f>
        <v/>
      </c>
      <c r="M656" s="57" t="str">
        <f aca="false">IF($I656="","",INDEX(BookRate,651)*(1+'5. Scenarios'!$C$10)*(INDEX(BookQ1,651)*(5-MIN(4,1+'5. Scenarios'!$C$8))/4+INDEX(BookQ2,651)*(5-MIN(4,2+'5. Scenarios'!$C$8))/4+INDEX(BookQ3,651)*(5-MIN(4,3+'5. Scenarios'!$C$8))/4+INDEX(BookQ4,651)*(5-MIN(4,4+'5. Scenarios'!$C$8))/4)*'5. Scenarios'!$C$6/(1+ProductivityDefault*('5. Scenarios'!$C$11-1))+INDEX(BookOneOff,651)*$I656)</f>
        <v/>
      </c>
      <c r="N656" s="56" t="str">
        <f aca="false">IF(INDEX(BookTitle,651)="","",INDEX(BookTotal,651)*'5. Scenarios'!$D$6/(1+ProductivityDefault*('5. Scenarios'!$D$11-1)))</f>
        <v/>
      </c>
      <c r="O656" s="57" t="str">
        <f aca="false">IF($N656="","",INDEX(BookRate,651)*(1+'5. Scenarios'!$D$10)*$N656)</f>
        <v/>
      </c>
      <c r="P656" s="57" t="str">
        <f aca="false">IF($O656="","",SUMIFS($O$6:$O$2405,$A$6:$A$2405,"&lt;="&amp;$A656))</f>
        <v/>
      </c>
      <c r="Q656" s="57" t="str">
        <f aca="false">IF($O656="","",IF($P656&lt;=BankCostEnvelope*'5. Scenarios'!$D$7,1,0))</f>
        <v/>
      </c>
      <c r="R656" s="57" t="str">
        <f aca="false">IF($N656="","",INDEX(BookRate,651)*(1+'5. Scenarios'!$D$10)*(INDEX(BookQ1,651)*(5-MIN(4,1+'5. Scenarios'!$D$8))/4+INDEX(BookQ2,651)*(5-MIN(4,2+'5. Scenarios'!$D$8))/4+INDEX(BookQ3,651)*(5-MIN(4,3+'5. Scenarios'!$D$8))/4+INDEX(BookQ4,651)*(5-MIN(4,4+'5. Scenarios'!$D$8))/4)*'5. Scenarios'!$D$6/(1+ProductivityDefault*('5. Scenarios'!$D$11-1))+INDEX(BookOneOff,651)*$N656)</f>
        <v/>
      </c>
      <c r="S656" s="56" t="str">
        <f aca="false">IF(INDEX(BookTitle,651)="","",INDEX(BookTotal,651)*'5. Scenarios'!$E$6/(1+ProductivityDefault*('5. Scenarios'!$E$11-1)))</f>
        <v/>
      </c>
      <c r="T656" s="57" t="str">
        <f aca="false">IF($S656="","",INDEX(BookRate,651)*(1+'5. Scenarios'!$E$10)*$S656)</f>
        <v/>
      </c>
      <c r="U656" s="57" t="str">
        <f aca="false">IF($T656="","",SUMIFS($T$6:$T$2405,$A$6:$A$2405,"&lt;="&amp;$A656))</f>
        <v/>
      </c>
      <c r="V656" s="57" t="str">
        <f aca="false">IF($T656="","",IF($U656&lt;=BankCostEnvelope*'5. Scenarios'!$E$7,1,0))</f>
        <v/>
      </c>
      <c r="W656" s="57" t="str">
        <f aca="false">IF($S656="","",INDEX(BookRate,651)*(1+'5. Scenarios'!$E$10)*(INDEX(BookQ1,651)*(5-MIN(4,1+'5. Scenarios'!$E$8))/4+INDEX(BookQ2,651)*(5-MIN(4,2+'5. Scenarios'!$E$8))/4+INDEX(BookQ3,651)*(5-MIN(4,3+'5. Scenarios'!$E$8))/4+INDEX(BookQ4,651)*(5-MIN(4,4+'5. Scenarios'!$E$8))/4)*'5. Scenarios'!$E$6/(1+ProductivityDefault*('5. Scenarios'!$E$11-1))+INDEX(BookOneOff,651)*$S656)</f>
        <v/>
      </c>
    </row>
    <row r="657" customFormat="false" ht="15" hidden="false" customHeight="false" outlineLevel="0" collapsed="false">
      <c r="A657" s="0" t="str">
        <f aca="false">IF(INDEX(BookTitle,652)="","",INDEX(BookKey,652))</f>
        <v/>
      </c>
      <c r="B657" s="0" t="str">
        <f aca="false">IF(INDEX(BookTitle,652)="","",INDEX(BookGroup,652))</f>
        <v/>
      </c>
      <c r="C657" s="0" t="str">
        <f aca="false">IF(INDEX(BookTitle,652)="","",INDEX(BookCategory,652))</f>
        <v/>
      </c>
      <c r="D657" s="56" t="str">
        <f aca="false">IF(INDEX(BookTitle,652)="","",INDEX(BookTotal,652)*'5. Scenarios'!$B$6/(1+ProductivityDefault*('5. Scenarios'!$B$11-1)))</f>
        <v/>
      </c>
      <c r="E657" s="57" t="str">
        <f aca="false">IF($D657="","",INDEX(BookRate,652)*(1+'5. Scenarios'!$B$10)*$D657)</f>
        <v/>
      </c>
      <c r="F657" s="57" t="str">
        <f aca="false">IF($E657="","",SUMIFS($E$6:$E$2405,$A$6:$A$2405,"&lt;="&amp;$A657))</f>
        <v/>
      </c>
      <c r="G657" s="57" t="str">
        <f aca="false">IF($E657="","",IF($F657&lt;=BankCostEnvelope*'5. Scenarios'!$B$7,1,0))</f>
        <v/>
      </c>
      <c r="H657" s="57" t="str">
        <f aca="false">IF($D657="","",INDEX(BookRate,652)*(1+'5. Scenarios'!$B$10)*(INDEX(BookQ1,652)*(5-MIN(4,1+'5. Scenarios'!$B$8))/4+INDEX(BookQ2,652)*(5-MIN(4,2+'5. Scenarios'!$B$8))/4+INDEX(BookQ3,652)*(5-MIN(4,3+'5. Scenarios'!$B$8))/4+INDEX(BookQ4,652)*(5-MIN(4,4+'5. Scenarios'!$B$8))/4)*'5. Scenarios'!$B$6/(1+ProductivityDefault*('5. Scenarios'!$B$11-1))+INDEX(BookOneOff,652)*$D657)</f>
        <v/>
      </c>
      <c r="I657" s="56" t="str">
        <f aca="false">IF(INDEX(BookTitle,652)="","",INDEX(BookTotal,652)*'5. Scenarios'!$C$6/(1+ProductivityDefault*('5. Scenarios'!$C$11-1)))</f>
        <v/>
      </c>
      <c r="J657" s="57" t="str">
        <f aca="false">IF($I657="","",INDEX(BookRate,652)*(1+'5. Scenarios'!$C$10)*$I657)</f>
        <v/>
      </c>
      <c r="K657" s="57" t="str">
        <f aca="false">IF($J657="","",SUMIFS($J$6:$J$2405,$A$6:$A$2405,"&lt;="&amp;$A657))</f>
        <v/>
      </c>
      <c r="L657" s="57" t="str">
        <f aca="false">IF($J657="","",IF($K657&lt;=BankCostEnvelope*'5. Scenarios'!$C$7,1,0))</f>
        <v/>
      </c>
      <c r="M657" s="57" t="str">
        <f aca="false">IF($I657="","",INDEX(BookRate,652)*(1+'5. Scenarios'!$C$10)*(INDEX(BookQ1,652)*(5-MIN(4,1+'5. Scenarios'!$C$8))/4+INDEX(BookQ2,652)*(5-MIN(4,2+'5. Scenarios'!$C$8))/4+INDEX(BookQ3,652)*(5-MIN(4,3+'5. Scenarios'!$C$8))/4+INDEX(BookQ4,652)*(5-MIN(4,4+'5. Scenarios'!$C$8))/4)*'5. Scenarios'!$C$6/(1+ProductivityDefault*('5. Scenarios'!$C$11-1))+INDEX(BookOneOff,652)*$I657)</f>
        <v/>
      </c>
      <c r="N657" s="56" t="str">
        <f aca="false">IF(INDEX(BookTitle,652)="","",INDEX(BookTotal,652)*'5. Scenarios'!$D$6/(1+ProductivityDefault*('5. Scenarios'!$D$11-1)))</f>
        <v/>
      </c>
      <c r="O657" s="57" t="str">
        <f aca="false">IF($N657="","",INDEX(BookRate,652)*(1+'5. Scenarios'!$D$10)*$N657)</f>
        <v/>
      </c>
      <c r="P657" s="57" t="str">
        <f aca="false">IF($O657="","",SUMIFS($O$6:$O$2405,$A$6:$A$2405,"&lt;="&amp;$A657))</f>
        <v/>
      </c>
      <c r="Q657" s="57" t="str">
        <f aca="false">IF($O657="","",IF($P657&lt;=BankCostEnvelope*'5. Scenarios'!$D$7,1,0))</f>
        <v/>
      </c>
      <c r="R657" s="57" t="str">
        <f aca="false">IF($N657="","",INDEX(BookRate,652)*(1+'5. Scenarios'!$D$10)*(INDEX(BookQ1,652)*(5-MIN(4,1+'5. Scenarios'!$D$8))/4+INDEX(BookQ2,652)*(5-MIN(4,2+'5. Scenarios'!$D$8))/4+INDEX(BookQ3,652)*(5-MIN(4,3+'5. Scenarios'!$D$8))/4+INDEX(BookQ4,652)*(5-MIN(4,4+'5. Scenarios'!$D$8))/4)*'5. Scenarios'!$D$6/(1+ProductivityDefault*('5. Scenarios'!$D$11-1))+INDEX(BookOneOff,652)*$N657)</f>
        <v/>
      </c>
      <c r="S657" s="56" t="str">
        <f aca="false">IF(INDEX(BookTitle,652)="","",INDEX(BookTotal,652)*'5. Scenarios'!$E$6/(1+ProductivityDefault*('5. Scenarios'!$E$11-1)))</f>
        <v/>
      </c>
      <c r="T657" s="57" t="str">
        <f aca="false">IF($S657="","",INDEX(BookRate,652)*(1+'5. Scenarios'!$E$10)*$S657)</f>
        <v/>
      </c>
      <c r="U657" s="57" t="str">
        <f aca="false">IF($T657="","",SUMIFS($T$6:$T$2405,$A$6:$A$2405,"&lt;="&amp;$A657))</f>
        <v/>
      </c>
      <c r="V657" s="57" t="str">
        <f aca="false">IF($T657="","",IF($U657&lt;=BankCostEnvelope*'5. Scenarios'!$E$7,1,0))</f>
        <v/>
      </c>
      <c r="W657" s="57" t="str">
        <f aca="false">IF($S657="","",INDEX(BookRate,652)*(1+'5. Scenarios'!$E$10)*(INDEX(BookQ1,652)*(5-MIN(4,1+'5. Scenarios'!$E$8))/4+INDEX(BookQ2,652)*(5-MIN(4,2+'5. Scenarios'!$E$8))/4+INDEX(BookQ3,652)*(5-MIN(4,3+'5. Scenarios'!$E$8))/4+INDEX(BookQ4,652)*(5-MIN(4,4+'5. Scenarios'!$E$8))/4)*'5. Scenarios'!$E$6/(1+ProductivityDefault*('5. Scenarios'!$E$11-1))+INDEX(BookOneOff,652)*$S657)</f>
        <v/>
      </c>
    </row>
    <row r="658" customFormat="false" ht="15" hidden="false" customHeight="false" outlineLevel="0" collapsed="false">
      <c r="A658" s="0" t="str">
        <f aca="false">IF(INDEX(BookTitle,653)="","",INDEX(BookKey,653))</f>
        <v/>
      </c>
      <c r="B658" s="0" t="str">
        <f aca="false">IF(INDEX(BookTitle,653)="","",INDEX(BookGroup,653))</f>
        <v/>
      </c>
      <c r="C658" s="0" t="str">
        <f aca="false">IF(INDEX(BookTitle,653)="","",INDEX(BookCategory,653))</f>
        <v/>
      </c>
      <c r="D658" s="56" t="str">
        <f aca="false">IF(INDEX(BookTitle,653)="","",INDEX(BookTotal,653)*'5. Scenarios'!$B$6/(1+ProductivityDefault*('5. Scenarios'!$B$11-1)))</f>
        <v/>
      </c>
      <c r="E658" s="57" t="str">
        <f aca="false">IF($D658="","",INDEX(BookRate,653)*(1+'5. Scenarios'!$B$10)*$D658)</f>
        <v/>
      </c>
      <c r="F658" s="57" t="str">
        <f aca="false">IF($E658="","",SUMIFS($E$6:$E$2405,$A$6:$A$2405,"&lt;="&amp;$A658))</f>
        <v/>
      </c>
      <c r="G658" s="57" t="str">
        <f aca="false">IF($E658="","",IF($F658&lt;=BankCostEnvelope*'5. Scenarios'!$B$7,1,0))</f>
        <v/>
      </c>
      <c r="H658" s="57" t="str">
        <f aca="false">IF($D658="","",INDEX(BookRate,653)*(1+'5. Scenarios'!$B$10)*(INDEX(BookQ1,653)*(5-MIN(4,1+'5. Scenarios'!$B$8))/4+INDEX(BookQ2,653)*(5-MIN(4,2+'5. Scenarios'!$B$8))/4+INDEX(BookQ3,653)*(5-MIN(4,3+'5. Scenarios'!$B$8))/4+INDEX(BookQ4,653)*(5-MIN(4,4+'5. Scenarios'!$B$8))/4)*'5. Scenarios'!$B$6/(1+ProductivityDefault*('5. Scenarios'!$B$11-1))+INDEX(BookOneOff,653)*$D658)</f>
        <v/>
      </c>
      <c r="I658" s="56" t="str">
        <f aca="false">IF(INDEX(BookTitle,653)="","",INDEX(BookTotal,653)*'5. Scenarios'!$C$6/(1+ProductivityDefault*('5. Scenarios'!$C$11-1)))</f>
        <v/>
      </c>
      <c r="J658" s="57" t="str">
        <f aca="false">IF($I658="","",INDEX(BookRate,653)*(1+'5. Scenarios'!$C$10)*$I658)</f>
        <v/>
      </c>
      <c r="K658" s="57" t="str">
        <f aca="false">IF($J658="","",SUMIFS($J$6:$J$2405,$A$6:$A$2405,"&lt;="&amp;$A658))</f>
        <v/>
      </c>
      <c r="L658" s="57" t="str">
        <f aca="false">IF($J658="","",IF($K658&lt;=BankCostEnvelope*'5. Scenarios'!$C$7,1,0))</f>
        <v/>
      </c>
      <c r="M658" s="57" t="str">
        <f aca="false">IF($I658="","",INDEX(BookRate,653)*(1+'5. Scenarios'!$C$10)*(INDEX(BookQ1,653)*(5-MIN(4,1+'5. Scenarios'!$C$8))/4+INDEX(BookQ2,653)*(5-MIN(4,2+'5. Scenarios'!$C$8))/4+INDEX(BookQ3,653)*(5-MIN(4,3+'5. Scenarios'!$C$8))/4+INDEX(BookQ4,653)*(5-MIN(4,4+'5. Scenarios'!$C$8))/4)*'5. Scenarios'!$C$6/(1+ProductivityDefault*('5. Scenarios'!$C$11-1))+INDEX(BookOneOff,653)*$I658)</f>
        <v/>
      </c>
      <c r="N658" s="56" t="str">
        <f aca="false">IF(INDEX(BookTitle,653)="","",INDEX(BookTotal,653)*'5. Scenarios'!$D$6/(1+ProductivityDefault*('5. Scenarios'!$D$11-1)))</f>
        <v/>
      </c>
      <c r="O658" s="57" t="str">
        <f aca="false">IF($N658="","",INDEX(BookRate,653)*(1+'5. Scenarios'!$D$10)*$N658)</f>
        <v/>
      </c>
      <c r="P658" s="57" t="str">
        <f aca="false">IF($O658="","",SUMIFS($O$6:$O$2405,$A$6:$A$2405,"&lt;="&amp;$A658))</f>
        <v/>
      </c>
      <c r="Q658" s="57" t="str">
        <f aca="false">IF($O658="","",IF($P658&lt;=BankCostEnvelope*'5. Scenarios'!$D$7,1,0))</f>
        <v/>
      </c>
      <c r="R658" s="57" t="str">
        <f aca="false">IF($N658="","",INDEX(BookRate,653)*(1+'5. Scenarios'!$D$10)*(INDEX(BookQ1,653)*(5-MIN(4,1+'5. Scenarios'!$D$8))/4+INDEX(BookQ2,653)*(5-MIN(4,2+'5. Scenarios'!$D$8))/4+INDEX(BookQ3,653)*(5-MIN(4,3+'5. Scenarios'!$D$8))/4+INDEX(BookQ4,653)*(5-MIN(4,4+'5. Scenarios'!$D$8))/4)*'5. Scenarios'!$D$6/(1+ProductivityDefault*('5. Scenarios'!$D$11-1))+INDEX(BookOneOff,653)*$N658)</f>
        <v/>
      </c>
      <c r="S658" s="56" t="str">
        <f aca="false">IF(INDEX(BookTitle,653)="","",INDEX(BookTotal,653)*'5. Scenarios'!$E$6/(1+ProductivityDefault*('5. Scenarios'!$E$11-1)))</f>
        <v/>
      </c>
      <c r="T658" s="57" t="str">
        <f aca="false">IF($S658="","",INDEX(BookRate,653)*(1+'5. Scenarios'!$E$10)*$S658)</f>
        <v/>
      </c>
      <c r="U658" s="57" t="str">
        <f aca="false">IF($T658="","",SUMIFS($T$6:$T$2405,$A$6:$A$2405,"&lt;="&amp;$A658))</f>
        <v/>
      </c>
      <c r="V658" s="57" t="str">
        <f aca="false">IF($T658="","",IF($U658&lt;=BankCostEnvelope*'5. Scenarios'!$E$7,1,0))</f>
        <v/>
      </c>
      <c r="W658" s="57" t="str">
        <f aca="false">IF($S658="","",INDEX(BookRate,653)*(1+'5. Scenarios'!$E$10)*(INDEX(BookQ1,653)*(5-MIN(4,1+'5. Scenarios'!$E$8))/4+INDEX(BookQ2,653)*(5-MIN(4,2+'5. Scenarios'!$E$8))/4+INDEX(BookQ3,653)*(5-MIN(4,3+'5. Scenarios'!$E$8))/4+INDEX(BookQ4,653)*(5-MIN(4,4+'5. Scenarios'!$E$8))/4)*'5. Scenarios'!$E$6/(1+ProductivityDefault*('5. Scenarios'!$E$11-1))+INDEX(BookOneOff,653)*$S658)</f>
        <v/>
      </c>
    </row>
    <row r="659" customFormat="false" ht="15" hidden="false" customHeight="false" outlineLevel="0" collapsed="false">
      <c r="A659" s="0" t="str">
        <f aca="false">IF(INDEX(BookTitle,654)="","",INDEX(BookKey,654))</f>
        <v/>
      </c>
      <c r="B659" s="0" t="str">
        <f aca="false">IF(INDEX(BookTitle,654)="","",INDEX(BookGroup,654))</f>
        <v/>
      </c>
      <c r="C659" s="0" t="str">
        <f aca="false">IF(INDEX(BookTitle,654)="","",INDEX(BookCategory,654))</f>
        <v/>
      </c>
      <c r="D659" s="56" t="str">
        <f aca="false">IF(INDEX(BookTitle,654)="","",INDEX(BookTotal,654)*'5. Scenarios'!$B$6/(1+ProductivityDefault*('5. Scenarios'!$B$11-1)))</f>
        <v/>
      </c>
      <c r="E659" s="57" t="str">
        <f aca="false">IF($D659="","",INDEX(BookRate,654)*(1+'5. Scenarios'!$B$10)*$D659)</f>
        <v/>
      </c>
      <c r="F659" s="57" t="str">
        <f aca="false">IF($E659="","",SUMIFS($E$6:$E$2405,$A$6:$A$2405,"&lt;="&amp;$A659))</f>
        <v/>
      </c>
      <c r="G659" s="57" t="str">
        <f aca="false">IF($E659="","",IF($F659&lt;=BankCostEnvelope*'5. Scenarios'!$B$7,1,0))</f>
        <v/>
      </c>
      <c r="H659" s="57" t="str">
        <f aca="false">IF($D659="","",INDEX(BookRate,654)*(1+'5. Scenarios'!$B$10)*(INDEX(BookQ1,654)*(5-MIN(4,1+'5. Scenarios'!$B$8))/4+INDEX(BookQ2,654)*(5-MIN(4,2+'5. Scenarios'!$B$8))/4+INDEX(BookQ3,654)*(5-MIN(4,3+'5. Scenarios'!$B$8))/4+INDEX(BookQ4,654)*(5-MIN(4,4+'5. Scenarios'!$B$8))/4)*'5. Scenarios'!$B$6/(1+ProductivityDefault*('5. Scenarios'!$B$11-1))+INDEX(BookOneOff,654)*$D659)</f>
        <v/>
      </c>
      <c r="I659" s="56" t="str">
        <f aca="false">IF(INDEX(BookTitle,654)="","",INDEX(BookTotal,654)*'5. Scenarios'!$C$6/(1+ProductivityDefault*('5. Scenarios'!$C$11-1)))</f>
        <v/>
      </c>
      <c r="J659" s="57" t="str">
        <f aca="false">IF($I659="","",INDEX(BookRate,654)*(1+'5. Scenarios'!$C$10)*$I659)</f>
        <v/>
      </c>
      <c r="K659" s="57" t="str">
        <f aca="false">IF($J659="","",SUMIFS($J$6:$J$2405,$A$6:$A$2405,"&lt;="&amp;$A659))</f>
        <v/>
      </c>
      <c r="L659" s="57" t="str">
        <f aca="false">IF($J659="","",IF($K659&lt;=BankCostEnvelope*'5. Scenarios'!$C$7,1,0))</f>
        <v/>
      </c>
      <c r="M659" s="57" t="str">
        <f aca="false">IF($I659="","",INDEX(BookRate,654)*(1+'5. Scenarios'!$C$10)*(INDEX(BookQ1,654)*(5-MIN(4,1+'5. Scenarios'!$C$8))/4+INDEX(BookQ2,654)*(5-MIN(4,2+'5. Scenarios'!$C$8))/4+INDEX(BookQ3,654)*(5-MIN(4,3+'5. Scenarios'!$C$8))/4+INDEX(BookQ4,654)*(5-MIN(4,4+'5. Scenarios'!$C$8))/4)*'5. Scenarios'!$C$6/(1+ProductivityDefault*('5. Scenarios'!$C$11-1))+INDEX(BookOneOff,654)*$I659)</f>
        <v/>
      </c>
      <c r="N659" s="56" t="str">
        <f aca="false">IF(INDEX(BookTitle,654)="","",INDEX(BookTotal,654)*'5. Scenarios'!$D$6/(1+ProductivityDefault*('5. Scenarios'!$D$11-1)))</f>
        <v/>
      </c>
      <c r="O659" s="57" t="str">
        <f aca="false">IF($N659="","",INDEX(BookRate,654)*(1+'5. Scenarios'!$D$10)*$N659)</f>
        <v/>
      </c>
      <c r="P659" s="57" t="str">
        <f aca="false">IF($O659="","",SUMIFS($O$6:$O$2405,$A$6:$A$2405,"&lt;="&amp;$A659))</f>
        <v/>
      </c>
      <c r="Q659" s="57" t="str">
        <f aca="false">IF($O659="","",IF($P659&lt;=BankCostEnvelope*'5. Scenarios'!$D$7,1,0))</f>
        <v/>
      </c>
      <c r="R659" s="57" t="str">
        <f aca="false">IF($N659="","",INDEX(BookRate,654)*(1+'5. Scenarios'!$D$10)*(INDEX(BookQ1,654)*(5-MIN(4,1+'5. Scenarios'!$D$8))/4+INDEX(BookQ2,654)*(5-MIN(4,2+'5. Scenarios'!$D$8))/4+INDEX(BookQ3,654)*(5-MIN(4,3+'5. Scenarios'!$D$8))/4+INDEX(BookQ4,654)*(5-MIN(4,4+'5. Scenarios'!$D$8))/4)*'5. Scenarios'!$D$6/(1+ProductivityDefault*('5. Scenarios'!$D$11-1))+INDEX(BookOneOff,654)*$N659)</f>
        <v/>
      </c>
      <c r="S659" s="56" t="str">
        <f aca="false">IF(INDEX(BookTitle,654)="","",INDEX(BookTotal,654)*'5. Scenarios'!$E$6/(1+ProductivityDefault*('5. Scenarios'!$E$11-1)))</f>
        <v/>
      </c>
      <c r="T659" s="57" t="str">
        <f aca="false">IF($S659="","",INDEX(BookRate,654)*(1+'5. Scenarios'!$E$10)*$S659)</f>
        <v/>
      </c>
      <c r="U659" s="57" t="str">
        <f aca="false">IF($T659="","",SUMIFS($T$6:$T$2405,$A$6:$A$2405,"&lt;="&amp;$A659))</f>
        <v/>
      </c>
      <c r="V659" s="57" t="str">
        <f aca="false">IF($T659="","",IF($U659&lt;=BankCostEnvelope*'5. Scenarios'!$E$7,1,0))</f>
        <v/>
      </c>
      <c r="W659" s="57" t="str">
        <f aca="false">IF($S659="","",INDEX(BookRate,654)*(1+'5. Scenarios'!$E$10)*(INDEX(BookQ1,654)*(5-MIN(4,1+'5. Scenarios'!$E$8))/4+INDEX(BookQ2,654)*(5-MIN(4,2+'5. Scenarios'!$E$8))/4+INDEX(BookQ3,654)*(5-MIN(4,3+'5. Scenarios'!$E$8))/4+INDEX(BookQ4,654)*(5-MIN(4,4+'5. Scenarios'!$E$8))/4)*'5. Scenarios'!$E$6/(1+ProductivityDefault*('5. Scenarios'!$E$11-1))+INDEX(BookOneOff,654)*$S659)</f>
        <v/>
      </c>
    </row>
    <row r="660" customFormat="false" ht="15" hidden="false" customHeight="false" outlineLevel="0" collapsed="false">
      <c r="A660" s="0" t="str">
        <f aca="false">IF(INDEX(BookTitle,655)="","",INDEX(BookKey,655))</f>
        <v/>
      </c>
      <c r="B660" s="0" t="str">
        <f aca="false">IF(INDEX(BookTitle,655)="","",INDEX(BookGroup,655))</f>
        <v/>
      </c>
      <c r="C660" s="0" t="str">
        <f aca="false">IF(INDEX(BookTitle,655)="","",INDEX(BookCategory,655))</f>
        <v/>
      </c>
      <c r="D660" s="56" t="str">
        <f aca="false">IF(INDEX(BookTitle,655)="","",INDEX(BookTotal,655)*'5. Scenarios'!$B$6/(1+ProductivityDefault*('5. Scenarios'!$B$11-1)))</f>
        <v/>
      </c>
      <c r="E660" s="57" t="str">
        <f aca="false">IF($D660="","",INDEX(BookRate,655)*(1+'5. Scenarios'!$B$10)*$D660)</f>
        <v/>
      </c>
      <c r="F660" s="57" t="str">
        <f aca="false">IF($E660="","",SUMIFS($E$6:$E$2405,$A$6:$A$2405,"&lt;="&amp;$A660))</f>
        <v/>
      </c>
      <c r="G660" s="57" t="str">
        <f aca="false">IF($E660="","",IF($F660&lt;=BankCostEnvelope*'5. Scenarios'!$B$7,1,0))</f>
        <v/>
      </c>
      <c r="H660" s="57" t="str">
        <f aca="false">IF($D660="","",INDEX(BookRate,655)*(1+'5. Scenarios'!$B$10)*(INDEX(BookQ1,655)*(5-MIN(4,1+'5. Scenarios'!$B$8))/4+INDEX(BookQ2,655)*(5-MIN(4,2+'5. Scenarios'!$B$8))/4+INDEX(BookQ3,655)*(5-MIN(4,3+'5. Scenarios'!$B$8))/4+INDEX(BookQ4,655)*(5-MIN(4,4+'5. Scenarios'!$B$8))/4)*'5. Scenarios'!$B$6/(1+ProductivityDefault*('5. Scenarios'!$B$11-1))+INDEX(BookOneOff,655)*$D660)</f>
        <v/>
      </c>
      <c r="I660" s="56" t="str">
        <f aca="false">IF(INDEX(BookTitle,655)="","",INDEX(BookTotal,655)*'5. Scenarios'!$C$6/(1+ProductivityDefault*('5. Scenarios'!$C$11-1)))</f>
        <v/>
      </c>
      <c r="J660" s="57" t="str">
        <f aca="false">IF($I660="","",INDEX(BookRate,655)*(1+'5. Scenarios'!$C$10)*$I660)</f>
        <v/>
      </c>
      <c r="K660" s="57" t="str">
        <f aca="false">IF($J660="","",SUMIFS($J$6:$J$2405,$A$6:$A$2405,"&lt;="&amp;$A660))</f>
        <v/>
      </c>
      <c r="L660" s="57" t="str">
        <f aca="false">IF($J660="","",IF($K660&lt;=BankCostEnvelope*'5. Scenarios'!$C$7,1,0))</f>
        <v/>
      </c>
      <c r="M660" s="57" t="str">
        <f aca="false">IF($I660="","",INDEX(BookRate,655)*(1+'5. Scenarios'!$C$10)*(INDEX(BookQ1,655)*(5-MIN(4,1+'5. Scenarios'!$C$8))/4+INDEX(BookQ2,655)*(5-MIN(4,2+'5. Scenarios'!$C$8))/4+INDEX(BookQ3,655)*(5-MIN(4,3+'5. Scenarios'!$C$8))/4+INDEX(BookQ4,655)*(5-MIN(4,4+'5. Scenarios'!$C$8))/4)*'5. Scenarios'!$C$6/(1+ProductivityDefault*('5. Scenarios'!$C$11-1))+INDEX(BookOneOff,655)*$I660)</f>
        <v/>
      </c>
      <c r="N660" s="56" t="str">
        <f aca="false">IF(INDEX(BookTitle,655)="","",INDEX(BookTotal,655)*'5. Scenarios'!$D$6/(1+ProductivityDefault*('5. Scenarios'!$D$11-1)))</f>
        <v/>
      </c>
      <c r="O660" s="57" t="str">
        <f aca="false">IF($N660="","",INDEX(BookRate,655)*(1+'5. Scenarios'!$D$10)*$N660)</f>
        <v/>
      </c>
      <c r="P660" s="57" t="str">
        <f aca="false">IF($O660="","",SUMIFS($O$6:$O$2405,$A$6:$A$2405,"&lt;="&amp;$A660))</f>
        <v/>
      </c>
      <c r="Q660" s="57" t="str">
        <f aca="false">IF($O660="","",IF($P660&lt;=BankCostEnvelope*'5. Scenarios'!$D$7,1,0))</f>
        <v/>
      </c>
      <c r="R660" s="57" t="str">
        <f aca="false">IF($N660="","",INDEX(BookRate,655)*(1+'5. Scenarios'!$D$10)*(INDEX(BookQ1,655)*(5-MIN(4,1+'5. Scenarios'!$D$8))/4+INDEX(BookQ2,655)*(5-MIN(4,2+'5. Scenarios'!$D$8))/4+INDEX(BookQ3,655)*(5-MIN(4,3+'5. Scenarios'!$D$8))/4+INDEX(BookQ4,655)*(5-MIN(4,4+'5. Scenarios'!$D$8))/4)*'5. Scenarios'!$D$6/(1+ProductivityDefault*('5. Scenarios'!$D$11-1))+INDEX(BookOneOff,655)*$N660)</f>
        <v/>
      </c>
      <c r="S660" s="56" t="str">
        <f aca="false">IF(INDEX(BookTitle,655)="","",INDEX(BookTotal,655)*'5. Scenarios'!$E$6/(1+ProductivityDefault*('5. Scenarios'!$E$11-1)))</f>
        <v/>
      </c>
      <c r="T660" s="57" t="str">
        <f aca="false">IF($S660="","",INDEX(BookRate,655)*(1+'5. Scenarios'!$E$10)*$S660)</f>
        <v/>
      </c>
      <c r="U660" s="57" t="str">
        <f aca="false">IF($T660="","",SUMIFS($T$6:$T$2405,$A$6:$A$2405,"&lt;="&amp;$A660))</f>
        <v/>
      </c>
      <c r="V660" s="57" t="str">
        <f aca="false">IF($T660="","",IF($U660&lt;=BankCostEnvelope*'5. Scenarios'!$E$7,1,0))</f>
        <v/>
      </c>
      <c r="W660" s="57" t="str">
        <f aca="false">IF($S660="","",INDEX(BookRate,655)*(1+'5. Scenarios'!$E$10)*(INDEX(BookQ1,655)*(5-MIN(4,1+'5. Scenarios'!$E$8))/4+INDEX(BookQ2,655)*(5-MIN(4,2+'5. Scenarios'!$E$8))/4+INDEX(BookQ3,655)*(5-MIN(4,3+'5. Scenarios'!$E$8))/4+INDEX(BookQ4,655)*(5-MIN(4,4+'5. Scenarios'!$E$8))/4)*'5. Scenarios'!$E$6/(1+ProductivityDefault*('5. Scenarios'!$E$11-1))+INDEX(BookOneOff,655)*$S660)</f>
        <v/>
      </c>
    </row>
    <row r="661" customFormat="false" ht="15" hidden="false" customHeight="false" outlineLevel="0" collapsed="false">
      <c r="A661" s="0" t="str">
        <f aca="false">IF(INDEX(BookTitle,656)="","",INDEX(BookKey,656))</f>
        <v/>
      </c>
      <c r="B661" s="0" t="str">
        <f aca="false">IF(INDEX(BookTitle,656)="","",INDEX(BookGroup,656))</f>
        <v/>
      </c>
      <c r="C661" s="0" t="str">
        <f aca="false">IF(INDEX(BookTitle,656)="","",INDEX(BookCategory,656))</f>
        <v/>
      </c>
      <c r="D661" s="56" t="str">
        <f aca="false">IF(INDEX(BookTitle,656)="","",INDEX(BookTotal,656)*'5. Scenarios'!$B$6/(1+ProductivityDefault*('5. Scenarios'!$B$11-1)))</f>
        <v/>
      </c>
      <c r="E661" s="57" t="str">
        <f aca="false">IF($D661="","",INDEX(BookRate,656)*(1+'5. Scenarios'!$B$10)*$D661)</f>
        <v/>
      </c>
      <c r="F661" s="57" t="str">
        <f aca="false">IF($E661="","",SUMIFS($E$6:$E$2405,$A$6:$A$2405,"&lt;="&amp;$A661))</f>
        <v/>
      </c>
      <c r="G661" s="57" t="str">
        <f aca="false">IF($E661="","",IF($F661&lt;=BankCostEnvelope*'5. Scenarios'!$B$7,1,0))</f>
        <v/>
      </c>
      <c r="H661" s="57" t="str">
        <f aca="false">IF($D661="","",INDEX(BookRate,656)*(1+'5. Scenarios'!$B$10)*(INDEX(BookQ1,656)*(5-MIN(4,1+'5. Scenarios'!$B$8))/4+INDEX(BookQ2,656)*(5-MIN(4,2+'5. Scenarios'!$B$8))/4+INDEX(BookQ3,656)*(5-MIN(4,3+'5. Scenarios'!$B$8))/4+INDEX(BookQ4,656)*(5-MIN(4,4+'5. Scenarios'!$B$8))/4)*'5. Scenarios'!$B$6/(1+ProductivityDefault*('5. Scenarios'!$B$11-1))+INDEX(BookOneOff,656)*$D661)</f>
        <v/>
      </c>
      <c r="I661" s="56" t="str">
        <f aca="false">IF(INDEX(BookTitle,656)="","",INDEX(BookTotal,656)*'5. Scenarios'!$C$6/(1+ProductivityDefault*('5. Scenarios'!$C$11-1)))</f>
        <v/>
      </c>
      <c r="J661" s="57" t="str">
        <f aca="false">IF($I661="","",INDEX(BookRate,656)*(1+'5. Scenarios'!$C$10)*$I661)</f>
        <v/>
      </c>
      <c r="K661" s="57" t="str">
        <f aca="false">IF($J661="","",SUMIFS($J$6:$J$2405,$A$6:$A$2405,"&lt;="&amp;$A661))</f>
        <v/>
      </c>
      <c r="L661" s="57" t="str">
        <f aca="false">IF($J661="","",IF($K661&lt;=BankCostEnvelope*'5. Scenarios'!$C$7,1,0))</f>
        <v/>
      </c>
      <c r="M661" s="57" t="str">
        <f aca="false">IF($I661="","",INDEX(BookRate,656)*(1+'5. Scenarios'!$C$10)*(INDEX(BookQ1,656)*(5-MIN(4,1+'5. Scenarios'!$C$8))/4+INDEX(BookQ2,656)*(5-MIN(4,2+'5. Scenarios'!$C$8))/4+INDEX(BookQ3,656)*(5-MIN(4,3+'5. Scenarios'!$C$8))/4+INDEX(BookQ4,656)*(5-MIN(4,4+'5. Scenarios'!$C$8))/4)*'5. Scenarios'!$C$6/(1+ProductivityDefault*('5. Scenarios'!$C$11-1))+INDEX(BookOneOff,656)*$I661)</f>
        <v/>
      </c>
      <c r="N661" s="56" t="str">
        <f aca="false">IF(INDEX(BookTitle,656)="","",INDEX(BookTotal,656)*'5. Scenarios'!$D$6/(1+ProductivityDefault*('5. Scenarios'!$D$11-1)))</f>
        <v/>
      </c>
      <c r="O661" s="57" t="str">
        <f aca="false">IF($N661="","",INDEX(BookRate,656)*(1+'5. Scenarios'!$D$10)*$N661)</f>
        <v/>
      </c>
      <c r="P661" s="57" t="str">
        <f aca="false">IF($O661="","",SUMIFS($O$6:$O$2405,$A$6:$A$2405,"&lt;="&amp;$A661))</f>
        <v/>
      </c>
      <c r="Q661" s="57" t="str">
        <f aca="false">IF($O661="","",IF($P661&lt;=BankCostEnvelope*'5. Scenarios'!$D$7,1,0))</f>
        <v/>
      </c>
      <c r="R661" s="57" t="str">
        <f aca="false">IF($N661="","",INDEX(BookRate,656)*(1+'5. Scenarios'!$D$10)*(INDEX(BookQ1,656)*(5-MIN(4,1+'5. Scenarios'!$D$8))/4+INDEX(BookQ2,656)*(5-MIN(4,2+'5. Scenarios'!$D$8))/4+INDEX(BookQ3,656)*(5-MIN(4,3+'5. Scenarios'!$D$8))/4+INDEX(BookQ4,656)*(5-MIN(4,4+'5. Scenarios'!$D$8))/4)*'5. Scenarios'!$D$6/(1+ProductivityDefault*('5. Scenarios'!$D$11-1))+INDEX(BookOneOff,656)*$N661)</f>
        <v/>
      </c>
      <c r="S661" s="56" t="str">
        <f aca="false">IF(INDEX(BookTitle,656)="","",INDEX(BookTotal,656)*'5. Scenarios'!$E$6/(1+ProductivityDefault*('5. Scenarios'!$E$11-1)))</f>
        <v/>
      </c>
      <c r="T661" s="57" t="str">
        <f aca="false">IF($S661="","",INDEX(BookRate,656)*(1+'5. Scenarios'!$E$10)*$S661)</f>
        <v/>
      </c>
      <c r="U661" s="57" t="str">
        <f aca="false">IF($T661="","",SUMIFS($T$6:$T$2405,$A$6:$A$2405,"&lt;="&amp;$A661))</f>
        <v/>
      </c>
      <c r="V661" s="57" t="str">
        <f aca="false">IF($T661="","",IF($U661&lt;=BankCostEnvelope*'5. Scenarios'!$E$7,1,0))</f>
        <v/>
      </c>
      <c r="W661" s="57" t="str">
        <f aca="false">IF($S661="","",INDEX(BookRate,656)*(1+'5. Scenarios'!$E$10)*(INDEX(BookQ1,656)*(5-MIN(4,1+'5. Scenarios'!$E$8))/4+INDEX(BookQ2,656)*(5-MIN(4,2+'5. Scenarios'!$E$8))/4+INDEX(BookQ3,656)*(5-MIN(4,3+'5. Scenarios'!$E$8))/4+INDEX(BookQ4,656)*(5-MIN(4,4+'5. Scenarios'!$E$8))/4)*'5. Scenarios'!$E$6/(1+ProductivityDefault*('5. Scenarios'!$E$11-1))+INDEX(BookOneOff,656)*$S661)</f>
        <v/>
      </c>
    </row>
    <row r="662" customFormat="false" ht="15" hidden="false" customHeight="false" outlineLevel="0" collapsed="false">
      <c r="A662" s="0" t="str">
        <f aca="false">IF(INDEX(BookTitle,657)="","",INDEX(BookKey,657))</f>
        <v/>
      </c>
      <c r="B662" s="0" t="str">
        <f aca="false">IF(INDEX(BookTitle,657)="","",INDEX(BookGroup,657))</f>
        <v/>
      </c>
      <c r="C662" s="0" t="str">
        <f aca="false">IF(INDEX(BookTitle,657)="","",INDEX(BookCategory,657))</f>
        <v/>
      </c>
      <c r="D662" s="56" t="str">
        <f aca="false">IF(INDEX(BookTitle,657)="","",INDEX(BookTotal,657)*'5. Scenarios'!$B$6/(1+ProductivityDefault*('5. Scenarios'!$B$11-1)))</f>
        <v/>
      </c>
      <c r="E662" s="57" t="str">
        <f aca="false">IF($D662="","",INDEX(BookRate,657)*(1+'5. Scenarios'!$B$10)*$D662)</f>
        <v/>
      </c>
      <c r="F662" s="57" t="str">
        <f aca="false">IF($E662="","",SUMIFS($E$6:$E$2405,$A$6:$A$2405,"&lt;="&amp;$A662))</f>
        <v/>
      </c>
      <c r="G662" s="57" t="str">
        <f aca="false">IF($E662="","",IF($F662&lt;=BankCostEnvelope*'5. Scenarios'!$B$7,1,0))</f>
        <v/>
      </c>
      <c r="H662" s="57" t="str">
        <f aca="false">IF($D662="","",INDEX(BookRate,657)*(1+'5. Scenarios'!$B$10)*(INDEX(BookQ1,657)*(5-MIN(4,1+'5. Scenarios'!$B$8))/4+INDEX(BookQ2,657)*(5-MIN(4,2+'5. Scenarios'!$B$8))/4+INDEX(BookQ3,657)*(5-MIN(4,3+'5. Scenarios'!$B$8))/4+INDEX(BookQ4,657)*(5-MIN(4,4+'5. Scenarios'!$B$8))/4)*'5. Scenarios'!$B$6/(1+ProductivityDefault*('5. Scenarios'!$B$11-1))+INDEX(BookOneOff,657)*$D662)</f>
        <v/>
      </c>
      <c r="I662" s="56" t="str">
        <f aca="false">IF(INDEX(BookTitle,657)="","",INDEX(BookTotal,657)*'5. Scenarios'!$C$6/(1+ProductivityDefault*('5. Scenarios'!$C$11-1)))</f>
        <v/>
      </c>
      <c r="J662" s="57" t="str">
        <f aca="false">IF($I662="","",INDEX(BookRate,657)*(1+'5. Scenarios'!$C$10)*$I662)</f>
        <v/>
      </c>
      <c r="K662" s="57" t="str">
        <f aca="false">IF($J662="","",SUMIFS($J$6:$J$2405,$A$6:$A$2405,"&lt;="&amp;$A662))</f>
        <v/>
      </c>
      <c r="L662" s="57" t="str">
        <f aca="false">IF($J662="","",IF($K662&lt;=BankCostEnvelope*'5. Scenarios'!$C$7,1,0))</f>
        <v/>
      </c>
      <c r="M662" s="57" t="str">
        <f aca="false">IF($I662="","",INDEX(BookRate,657)*(1+'5. Scenarios'!$C$10)*(INDEX(BookQ1,657)*(5-MIN(4,1+'5. Scenarios'!$C$8))/4+INDEX(BookQ2,657)*(5-MIN(4,2+'5. Scenarios'!$C$8))/4+INDEX(BookQ3,657)*(5-MIN(4,3+'5. Scenarios'!$C$8))/4+INDEX(BookQ4,657)*(5-MIN(4,4+'5. Scenarios'!$C$8))/4)*'5. Scenarios'!$C$6/(1+ProductivityDefault*('5. Scenarios'!$C$11-1))+INDEX(BookOneOff,657)*$I662)</f>
        <v/>
      </c>
      <c r="N662" s="56" t="str">
        <f aca="false">IF(INDEX(BookTitle,657)="","",INDEX(BookTotal,657)*'5. Scenarios'!$D$6/(1+ProductivityDefault*('5. Scenarios'!$D$11-1)))</f>
        <v/>
      </c>
      <c r="O662" s="57" t="str">
        <f aca="false">IF($N662="","",INDEX(BookRate,657)*(1+'5. Scenarios'!$D$10)*$N662)</f>
        <v/>
      </c>
      <c r="P662" s="57" t="str">
        <f aca="false">IF($O662="","",SUMIFS($O$6:$O$2405,$A$6:$A$2405,"&lt;="&amp;$A662))</f>
        <v/>
      </c>
      <c r="Q662" s="57" t="str">
        <f aca="false">IF($O662="","",IF($P662&lt;=BankCostEnvelope*'5. Scenarios'!$D$7,1,0))</f>
        <v/>
      </c>
      <c r="R662" s="57" t="str">
        <f aca="false">IF($N662="","",INDEX(BookRate,657)*(1+'5. Scenarios'!$D$10)*(INDEX(BookQ1,657)*(5-MIN(4,1+'5. Scenarios'!$D$8))/4+INDEX(BookQ2,657)*(5-MIN(4,2+'5. Scenarios'!$D$8))/4+INDEX(BookQ3,657)*(5-MIN(4,3+'5. Scenarios'!$D$8))/4+INDEX(BookQ4,657)*(5-MIN(4,4+'5. Scenarios'!$D$8))/4)*'5. Scenarios'!$D$6/(1+ProductivityDefault*('5. Scenarios'!$D$11-1))+INDEX(BookOneOff,657)*$N662)</f>
        <v/>
      </c>
      <c r="S662" s="56" t="str">
        <f aca="false">IF(INDEX(BookTitle,657)="","",INDEX(BookTotal,657)*'5. Scenarios'!$E$6/(1+ProductivityDefault*('5. Scenarios'!$E$11-1)))</f>
        <v/>
      </c>
      <c r="T662" s="57" t="str">
        <f aca="false">IF($S662="","",INDEX(BookRate,657)*(1+'5. Scenarios'!$E$10)*$S662)</f>
        <v/>
      </c>
      <c r="U662" s="57" t="str">
        <f aca="false">IF($T662="","",SUMIFS($T$6:$T$2405,$A$6:$A$2405,"&lt;="&amp;$A662))</f>
        <v/>
      </c>
      <c r="V662" s="57" t="str">
        <f aca="false">IF($T662="","",IF($U662&lt;=BankCostEnvelope*'5. Scenarios'!$E$7,1,0))</f>
        <v/>
      </c>
      <c r="W662" s="57" t="str">
        <f aca="false">IF($S662="","",INDEX(BookRate,657)*(1+'5. Scenarios'!$E$10)*(INDEX(BookQ1,657)*(5-MIN(4,1+'5. Scenarios'!$E$8))/4+INDEX(BookQ2,657)*(5-MIN(4,2+'5. Scenarios'!$E$8))/4+INDEX(BookQ3,657)*(5-MIN(4,3+'5. Scenarios'!$E$8))/4+INDEX(BookQ4,657)*(5-MIN(4,4+'5. Scenarios'!$E$8))/4)*'5. Scenarios'!$E$6/(1+ProductivityDefault*('5. Scenarios'!$E$11-1))+INDEX(BookOneOff,657)*$S662)</f>
        <v/>
      </c>
    </row>
    <row r="663" customFormat="false" ht="15" hidden="false" customHeight="false" outlineLevel="0" collapsed="false">
      <c r="A663" s="0" t="str">
        <f aca="false">IF(INDEX(BookTitle,658)="","",INDEX(BookKey,658))</f>
        <v/>
      </c>
      <c r="B663" s="0" t="str">
        <f aca="false">IF(INDEX(BookTitle,658)="","",INDEX(BookGroup,658))</f>
        <v/>
      </c>
      <c r="C663" s="0" t="str">
        <f aca="false">IF(INDEX(BookTitle,658)="","",INDEX(BookCategory,658))</f>
        <v/>
      </c>
      <c r="D663" s="56" t="str">
        <f aca="false">IF(INDEX(BookTitle,658)="","",INDEX(BookTotal,658)*'5. Scenarios'!$B$6/(1+ProductivityDefault*('5. Scenarios'!$B$11-1)))</f>
        <v/>
      </c>
      <c r="E663" s="57" t="str">
        <f aca="false">IF($D663="","",INDEX(BookRate,658)*(1+'5. Scenarios'!$B$10)*$D663)</f>
        <v/>
      </c>
      <c r="F663" s="57" t="str">
        <f aca="false">IF($E663="","",SUMIFS($E$6:$E$2405,$A$6:$A$2405,"&lt;="&amp;$A663))</f>
        <v/>
      </c>
      <c r="G663" s="57" t="str">
        <f aca="false">IF($E663="","",IF($F663&lt;=BankCostEnvelope*'5. Scenarios'!$B$7,1,0))</f>
        <v/>
      </c>
      <c r="H663" s="57" t="str">
        <f aca="false">IF($D663="","",INDEX(BookRate,658)*(1+'5. Scenarios'!$B$10)*(INDEX(BookQ1,658)*(5-MIN(4,1+'5. Scenarios'!$B$8))/4+INDEX(BookQ2,658)*(5-MIN(4,2+'5. Scenarios'!$B$8))/4+INDEX(BookQ3,658)*(5-MIN(4,3+'5. Scenarios'!$B$8))/4+INDEX(BookQ4,658)*(5-MIN(4,4+'5. Scenarios'!$B$8))/4)*'5. Scenarios'!$B$6/(1+ProductivityDefault*('5. Scenarios'!$B$11-1))+INDEX(BookOneOff,658)*$D663)</f>
        <v/>
      </c>
      <c r="I663" s="56" t="str">
        <f aca="false">IF(INDEX(BookTitle,658)="","",INDEX(BookTotal,658)*'5. Scenarios'!$C$6/(1+ProductivityDefault*('5. Scenarios'!$C$11-1)))</f>
        <v/>
      </c>
      <c r="J663" s="57" t="str">
        <f aca="false">IF($I663="","",INDEX(BookRate,658)*(1+'5. Scenarios'!$C$10)*$I663)</f>
        <v/>
      </c>
      <c r="K663" s="57" t="str">
        <f aca="false">IF($J663="","",SUMIFS($J$6:$J$2405,$A$6:$A$2405,"&lt;="&amp;$A663))</f>
        <v/>
      </c>
      <c r="L663" s="57" t="str">
        <f aca="false">IF($J663="","",IF($K663&lt;=BankCostEnvelope*'5. Scenarios'!$C$7,1,0))</f>
        <v/>
      </c>
      <c r="M663" s="57" t="str">
        <f aca="false">IF($I663="","",INDEX(BookRate,658)*(1+'5. Scenarios'!$C$10)*(INDEX(BookQ1,658)*(5-MIN(4,1+'5. Scenarios'!$C$8))/4+INDEX(BookQ2,658)*(5-MIN(4,2+'5. Scenarios'!$C$8))/4+INDEX(BookQ3,658)*(5-MIN(4,3+'5. Scenarios'!$C$8))/4+INDEX(BookQ4,658)*(5-MIN(4,4+'5. Scenarios'!$C$8))/4)*'5. Scenarios'!$C$6/(1+ProductivityDefault*('5. Scenarios'!$C$11-1))+INDEX(BookOneOff,658)*$I663)</f>
        <v/>
      </c>
      <c r="N663" s="56" t="str">
        <f aca="false">IF(INDEX(BookTitle,658)="","",INDEX(BookTotal,658)*'5. Scenarios'!$D$6/(1+ProductivityDefault*('5. Scenarios'!$D$11-1)))</f>
        <v/>
      </c>
      <c r="O663" s="57" t="str">
        <f aca="false">IF($N663="","",INDEX(BookRate,658)*(1+'5. Scenarios'!$D$10)*$N663)</f>
        <v/>
      </c>
      <c r="P663" s="57" t="str">
        <f aca="false">IF($O663="","",SUMIFS($O$6:$O$2405,$A$6:$A$2405,"&lt;="&amp;$A663))</f>
        <v/>
      </c>
      <c r="Q663" s="57" t="str">
        <f aca="false">IF($O663="","",IF($P663&lt;=BankCostEnvelope*'5. Scenarios'!$D$7,1,0))</f>
        <v/>
      </c>
      <c r="R663" s="57" t="str">
        <f aca="false">IF($N663="","",INDEX(BookRate,658)*(1+'5. Scenarios'!$D$10)*(INDEX(BookQ1,658)*(5-MIN(4,1+'5. Scenarios'!$D$8))/4+INDEX(BookQ2,658)*(5-MIN(4,2+'5. Scenarios'!$D$8))/4+INDEX(BookQ3,658)*(5-MIN(4,3+'5. Scenarios'!$D$8))/4+INDEX(BookQ4,658)*(5-MIN(4,4+'5. Scenarios'!$D$8))/4)*'5. Scenarios'!$D$6/(1+ProductivityDefault*('5. Scenarios'!$D$11-1))+INDEX(BookOneOff,658)*$N663)</f>
        <v/>
      </c>
      <c r="S663" s="56" t="str">
        <f aca="false">IF(INDEX(BookTitle,658)="","",INDEX(BookTotal,658)*'5. Scenarios'!$E$6/(1+ProductivityDefault*('5. Scenarios'!$E$11-1)))</f>
        <v/>
      </c>
      <c r="T663" s="57" t="str">
        <f aca="false">IF($S663="","",INDEX(BookRate,658)*(1+'5. Scenarios'!$E$10)*$S663)</f>
        <v/>
      </c>
      <c r="U663" s="57" t="str">
        <f aca="false">IF($T663="","",SUMIFS($T$6:$T$2405,$A$6:$A$2405,"&lt;="&amp;$A663))</f>
        <v/>
      </c>
      <c r="V663" s="57" t="str">
        <f aca="false">IF($T663="","",IF($U663&lt;=BankCostEnvelope*'5. Scenarios'!$E$7,1,0))</f>
        <v/>
      </c>
      <c r="W663" s="57" t="str">
        <f aca="false">IF($S663="","",INDEX(BookRate,658)*(1+'5. Scenarios'!$E$10)*(INDEX(BookQ1,658)*(5-MIN(4,1+'5. Scenarios'!$E$8))/4+INDEX(BookQ2,658)*(5-MIN(4,2+'5. Scenarios'!$E$8))/4+INDEX(BookQ3,658)*(5-MIN(4,3+'5. Scenarios'!$E$8))/4+INDEX(BookQ4,658)*(5-MIN(4,4+'5. Scenarios'!$E$8))/4)*'5. Scenarios'!$E$6/(1+ProductivityDefault*('5. Scenarios'!$E$11-1))+INDEX(BookOneOff,658)*$S663)</f>
        <v/>
      </c>
    </row>
    <row r="664" customFormat="false" ht="15" hidden="false" customHeight="false" outlineLevel="0" collapsed="false">
      <c r="A664" s="0" t="str">
        <f aca="false">IF(INDEX(BookTitle,659)="","",INDEX(BookKey,659))</f>
        <v/>
      </c>
      <c r="B664" s="0" t="str">
        <f aca="false">IF(INDEX(BookTitle,659)="","",INDEX(BookGroup,659))</f>
        <v/>
      </c>
      <c r="C664" s="0" t="str">
        <f aca="false">IF(INDEX(BookTitle,659)="","",INDEX(BookCategory,659))</f>
        <v/>
      </c>
      <c r="D664" s="56" t="str">
        <f aca="false">IF(INDEX(BookTitle,659)="","",INDEX(BookTotal,659)*'5. Scenarios'!$B$6/(1+ProductivityDefault*('5. Scenarios'!$B$11-1)))</f>
        <v/>
      </c>
      <c r="E664" s="57" t="str">
        <f aca="false">IF($D664="","",INDEX(BookRate,659)*(1+'5. Scenarios'!$B$10)*$D664)</f>
        <v/>
      </c>
      <c r="F664" s="57" t="str">
        <f aca="false">IF($E664="","",SUMIFS($E$6:$E$2405,$A$6:$A$2405,"&lt;="&amp;$A664))</f>
        <v/>
      </c>
      <c r="G664" s="57" t="str">
        <f aca="false">IF($E664="","",IF($F664&lt;=BankCostEnvelope*'5. Scenarios'!$B$7,1,0))</f>
        <v/>
      </c>
      <c r="H664" s="57" t="str">
        <f aca="false">IF($D664="","",INDEX(BookRate,659)*(1+'5. Scenarios'!$B$10)*(INDEX(BookQ1,659)*(5-MIN(4,1+'5. Scenarios'!$B$8))/4+INDEX(BookQ2,659)*(5-MIN(4,2+'5. Scenarios'!$B$8))/4+INDEX(BookQ3,659)*(5-MIN(4,3+'5. Scenarios'!$B$8))/4+INDEX(BookQ4,659)*(5-MIN(4,4+'5. Scenarios'!$B$8))/4)*'5. Scenarios'!$B$6/(1+ProductivityDefault*('5. Scenarios'!$B$11-1))+INDEX(BookOneOff,659)*$D664)</f>
        <v/>
      </c>
      <c r="I664" s="56" t="str">
        <f aca="false">IF(INDEX(BookTitle,659)="","",INDEX(BookTotal,659)*'5. Scenarios'!$C$6/(1+ProductivityDefault*('5. Scenarios'!$C$11-1)))</f>
        <v/>
      </c>
      <c r="J664" s="57" t="str">
        <f aca="false">IF($I664="","",INDEX(BookRate,659)*(1+'5. Scenarios'!$C$10)*$I664)</f>
        <v/>
      </c>
      <c r="K664" s="57" t="str">
        <f aca="false">IF($J664="","",SUMIFS($J$6:$J$2405,$A$6:$A$2405,"&lt;="&amp;$A664))</f>
        <v/>
      </c>
      <c r="L664" s="57" t="str">
        <f aca="false">IF($J664="","",IF($K664&lt;=BankCostEnvelope*'5. Scenarios'!$C$7,1,0))</f>
        <v/>
      </c>
      <c r="M664" s="57" t="str">
        <f aca="false">IF($I664="","",INDEX(BookRate,659)*(1+'5. Scenarios'!$C$10)*(INDEX(BookQ1,659)*(5-MIN(4,1+'5. Scenarios'!$C$8))/4+INDEX(BookQ2,659)*(5-MIN(4,2+'5. Scenarios'!$C$8))/4+INDEX(BookQ3,659)*(5-MIN(4,3+'5. Scenarios'!$C$8))/4+INDEX(BookQ4,659)*(5-MIN(4,4+'5. Scenarios'!$C$8))/4)*'5. Scenarios'!$C$6/(1+ProductivityDefault*('5. Scenarios'!$C$11-1))+INDEX(BookOneOff,659)*$I664)</f>
        <v/>
      </c>
      <c r="N664" s="56" t="str">
        <f aca="false">IF(INDEX(BookTitle,659)="","",INDEX(BookTotal,659)*'5. Scenarios'!$D$6/(1+ProductivityDefault*('5. Scenarios'!$D$11-1)))</f>
        <v/>
      </c>
      <c r="O664" s="57" t="str">
        <f aca="false">IF($N664="","",INDEX(BookRate,659)*(1+'5. Scenarios'!$D$10)*$N664)</f>
        <v/>
      </c>
      <c r="P664" s="57" t="str">
        <f aca="false">IF($O664="","",SUMIFS($O$6:$O$2405,$A$6:$A$2405,"&lt;="&amp;$A664))</f>
        <v/>
      </c>
      <c r="Q664" s="57" t="str">
        <f aca="false">IF($O664="","",IF($P664&lt;=BankCostEnvelope*'5. Scenarios'!$D$7,1,0))</f>
        <v/>
      </c>
      <c r="R664" s="57" t="str">
        <f aca="false">IF($N664="","",INDEX(BookRate,659)*(1+'5. Scenarios'!$D$10)*(INDEX(BookQ1,659)*(5-MIN(4,1+'5. Scenarios'!$D$8))/4+INDEX(BookQ2,659)*(5-MIN(4,2+'5. Scenarios'!$D$8))/4+INDEX(BookQ3,659)*(5-MIN(4,3+'5. Scenarios'!$D$8))/4+INDEX(BookQ4,659)*(5-MIN(4,4+'5. Scenarios'!$D$8))/4)*'5. Scenarios'!$D$6/(1+ProductivityDefault*('5. Scenarios'!$D$11-1))+INDEX(BookOneOff,659)*$N664)</f>
        <v/>
      </c>
      <c r="S664" s="56" t="str">
        <f aca="false">IF(INDEX(BookTitle,659)="","",INDEX(BookTotal,659)*'5. Scenarios'!$E$6/(1+ProductivityDefault*('5. Scenarios'!$E$11-1)))</f>
        <v/>
      </c>
      <c r="T664" s="57" t="str">
        <f aca="false">IF($S664="","",INDEX(BookRate,659)*(1+'5. Scenarios'!$E$10)*$S664)</f>
        <v/>
      </c>
      <c r="U664" s="57" t="str">
        <f aca="false">IF($T664="","",SUMIFS($T$6:$T$2405,$A$6:$A$2405,"&lt;="&amp;$A664))</f>
        <v/>
      </c>
      <c r="V664" s="57" t="str">
        <f aca="false">IF($T664="","",IF($U664&lt;=BankCostEnvelope*'5. Scenarios'!$E$7,1,0))</f>
        <v/>
      </c>
      <c r="W664" s="57" t="str">
        <f aca="false">IF($S664="","",INDEX(BookRate,659)*(1+'5. Scenarios'!$E$10)*(INDEX(BookQ1,659)*(5-MIN(4,1+'5. Scenarios'!$E$8))/4+INDEX(BookQ2,659)*(5-MIN(4,2+'5. Scenarios'!$E$8))/4+INDEX(BookQ3,659)*(5-MIN(4,3+'5. Scenarios'!$E$8))/4+INDEX(BookQ4,659)*(5-MIN(4,4+'5. Scenarios'!$E$8))/4)*'5. Scenarios'!$E$6/(1+ProductivityDefault*('5. Scenarios'!$E$11-1))+INDEX(BookOneOff,659)*$S664)</f>
        <v/>
      </c>
    </row>
    <row r="665" customFormat="false" ht="15" hidden="false" customHeight="false" outlineLevel="0" collapsed="false">
      <c r="A665" s="0" t="str">
        <f aca="false">IF(INDEX(BookTitle,660)="","",INDEX(BookKey,660))</f>
        <v/>
      </c>
      <c r="B665" s="0" t="str">
        <f aca="false">IF(INDEX(BookTitle,660)="","",INDEX(BookGroup,660))</f>
        <v/>
      </c>
      <c r="C665" s="0" t="str">
        <f aca="false">IF(INDEX(BookTitle,660)="","",INDEX(BookCategory,660))</f>
        <v/>
      </c>
      <c r="D665" s="56" t="str">
        <f aca="false">IF(INDEX(BookTitle,660)="","",INDEX(BookTotal,660)*'5. Scenarios'!$B$6/(1+ProductivityDefault*('5. Scenarios'!$B$11-1)))</f>
        <v/>
      </c>
      <c r="E665" s="57" t="str">
        <f aca="false">IF($D665="","",INDEX(BookRate,660)*(1+'5. Scenarios'!$B$10)*$D665)</f>
        <v/>
      </c>
      <c r="F665" s="57" t="str">
        <f aca="false">IF($E665="","",SUMIFS($E$6:$E$2405,$A$6:$A$2405,"&lt;="&amp;$A665))</f>
        <v/>
      </c>
      <c r="G665" s="57" t="str">
        <f aca="false">IF($E665="","",IF($F665&lt;=BankCostEnvelope*'5. Scenarios'!$B$7,1,0))</f>
        <v/>
      </c>
      <c r="H665" s="57" t="str">
        <f aca="false">IF($D665="","",INDEX(BookRate,660)*(1+'5. Scenarios'!$B$10)*(INDEX(BookQ1,660)*(5-MIN(4,1+'5. Scenarios'!$B$8))/4+INDEX(BookQ2,660)*(5-MIN(4,2+'5. Scenarios'!$B$8))/4+INDEX(BookQ3,660)*(5-MIN(4,3+'5. Scenarios'!$B$8))/4+INDEX(BookQ4,660)*(5-MIN(4,4+'5. Scenarios'!$B$8))/4)*'5. Scenarios'!$B$6/(1+ProductivityDefault*('5. Scenarios'!$B$11-1))+INDEX(BookOneOff,660)*$D665)</f>
        <v/>
      </c>
      <c r="I665" s="56" t="str">
        <f aca="false">IF(INDEX(BookTitle,660)="","",INDEX(BookTotal,660)*'5. Scenarios'!$C$6/(1+ProductivityDefault*('5. Scenarios'!$C$11-1)))</f>
        <v/>
      </c>
      <c r="J665" s="57" t="str">
        <f aca="false">IF($I665="","",INDEX(BookRate,660)*(1+'5. Scenarios'!$C$10)*$I665)</f>
        <v/>
      </c>
      <c r="K665" s="57" t="str">
        <f aca="false">IF($J665="","",SUMIFS($J$6:$J$2405,$A$6:$A$2405,"&lt;="&amp;$A665))</f>
        <v/>
      </c>
      <c r="L665" s="57" t="str">
        <f aca="false">IF($J665="","",IF($K665&lt;=BankCostEnvelope*'5. Scenarios'!$C$7,1,0))</f>
        <v/>
      </c>
      <c r="M665" s="57" t="str">
        <f aca="false">IF($I665="","",INDEX(BookRate,660)*(1+'5. Scenarios'!$C$10)*(INDEX(BookQ1,660)*(5-MIN(4,1+'5. Scenarios'!$C$8))/4+INDEX(BookQ2,660)*(5-MIN(4,2+'5. Scenarios'!$C$8))/4+INDEX(BookQ3,660)*(5-MIN(4,3+'5. Scenarios'!$C$8))/4+INDEX(BookQ4,660)*(5-MIN(4,4+'5. Scenarios'!$C$8))/4)*'5. Scenarios'!$C$6/(1+ProductivityDefault*('5. Scenarios'!$C$11-1))+INDEX(BookOneOff,660)*$I665)</f>
        <v/>
      </c>
      <c r="N665" s="56" t="str">
        <f aca="false">IF(INDEX(BookTitle,660)="","",INDEX(BookTotal,660)*'5. Scenarios'!$D$6/(1+ProductivityDefault*('5. Scenarios'!$D$11-1)))</f>
        <v/>
      </c>
      <c r="O665" s="57" t="str">
        <f aca="false">IF($N665="","",INDEX(BookRate,660)*(1+'5. Scenarios'!$D$10)*$N665)</f>
        <v/>
      </c>
      <c r="P665" s="57" t="str">
        <f aca="false">IF($O665="","",SUMIFS($O$6:$O$2405,$A$6:$A$2405,"&lt;="&amp;$A665))</f>
        <v/>
      </c>
      <c r="Q665" s="57" t="str">
        <f aca="false">IF($O665="","",IF($P665&lt;=BankCostEnvelope*'5. Scenarios'!$D$7,1,0))</f>
        <v/>
      </c>
      <c r="R665" s="57" t="str">
        <f aca="false">IF($N665="","",INDEX(BookRate,660)*(1+'5. Scenarios'!$D$10)*(INDEX(BookQ1,660)*(5-MIN(4,1+'5. Scenarios'!$D$8))/4+INDEX(BookQ2,660)*(5-MIN(4,2+'5. Scenarios'!$D$8))/4+INDEX(BookQ3,660)*(5-MIN(4,3+'5. Scenarios'!$D$8))/4+INDEX(BookQ4,660)*(5-MIN(4,4+'5. Scenarios'!$D$8))/4)*'5. Scenarios'!$D$6/(1+ProductivityDefault*('5. Scenarios'!$D$11-1))+INDEX(BookOneOff,660)*$N665)</f>
        <v/>
      </c>
      <c r="S665" s="56" t="str">
        <f aca="false">IF(INDEX(BookTitle,660)="","",INDEX(BookTotal,660)*'5. Scenarios'!$E$6/(1+ProductivityDefault*('5. Scenarios'!$E$11-1)))</f>
        <v/>
      </c>
      <c r="T665" s="57" t="str">
        <f aca="false">IF($S665="","",INDEX(BookRate,660)*(1+'5. Scenarios'!$E$10)*$S665)</f>
        <v/>
      </c>
      <c r="U665" s="57" t="str">
        <f aca="false">IF($T665="","",SUMIFS($T$6:$T$2405,$A$6:$A$2405,"&lt;="&amp;$A665))</f>
        <v/>
      </c>
      <c r="V665" s="57" t="str">
        <f aca="false">IF($T665="","",IF($U665&lt;=BankCostEnvelope*'5. Scenarios'!$E$7,1,0))</f>
        <v/>
      </c>
      <c r="W665" s="57" t="str">
        <f aca="false">IF($S665="","",INDEX(BookRate,660)*(1+'5. Scenarios'!$E$10)*(INDEX(BookQ1,660)*(5-MIN(4,1+'5. Scenarios'!$E$8))/4+INDEX(BookQ2,660)*(5-MIN(4,2+'5. Scenarios'!$E$8))/4+INDEX(BookQ3,660)*(5-MIN(4,3+'5. Scenarios'!$E$8))/4+INDEX(BookQ4,660)*(5-MIN(4,4+'5. Scenarios'!$E$8))/4)*'5. Scenarios'!$E$6/(1+ProductivityDefault*('5. Scenarios'!$E$11-1))+INDEX(BookOneOff,660)*$S665)</f>
        <v/>
      </c>
    </row>
    <row r="666" customFormat="false" ht="15" hidden="false" customHeight="false" outlineLevel="0" collapsed="false">
      <c r="A666" s="0" t="str">
        <f aca="false">IF(INDEX(BookTitle,661)="","",INDEX(BookKey,661))</f>
        <v/>
      </c>
      <c r="B666" s="0" t="str">
        <f aca="false">IF(INDEX(BookTitle,661)="","",INDEX(BookGroup,661))</f>
        <v/>
      </c>
      <c r="C666" s="0" t="str">
        <f aca="false">IF(INDEX(BookTitle,661)="","",INDEX(BookCategory,661))</f>
        <v/>
      </c>
      <c r="D666" s="56" t="str">
        <f aca="false">IF(INDEX(BookTitle,661)="","",INDEX(BookTotal,661)*'5. Scenarios'!$B$6/(1+ProductivityDefault*('5. Scenarios'!$B$11-1)))</f>
        <v/>
      </c>
      <c r="E666" s="57" t="str">
        <f aca="false">IF($D666="","",INDEX(BookRate,661)*(1+'5. Scenarios'!$B$10)*$D666)</f>
        <v/>
      </c>
      <c r="F666" s="57" t="str">
        <f aca="false">IF($E666="","",SUMIFS($E$6:$E$2405,$A$6:$A$2405,"&lt;="&amp;$A666))</f>
        <v/>
      </c>
      <c r="G666" s="57" t="str">
        <f aca="false">IF($E666="","",IF($F666&lt;=BankCostEnvelope*'5. Scenarios'!$B$7,1,0))</f>
        <v/>
      </c>
      <c r="H666" s="57" t="str">
        <f aca="false">IF($D666="","",INDEX(BookRate,661)*(1+'5. Scenarios'!$B$10)*(INDEX(BookQ1,661)*(5-MIN(4,1+'5. Scenarios'!$B$8))/4+INDEX(BookQ2,661)*(5-MIN(4,2+'5. Scenarios'!$B$8))/4+INDEX(BookQ3,661)*(5-MIN(4,3+'5. Scenarios'!$B$8))/4+INDEX(BookQ4,661)*(5-MIN(4,4+'5. Scenarios'!$B$8))/4)*'5. Scenarios'!$B$6/(1+ProductivityDefault*('5. Scenarios'!$B$11-1))+INDEX(BookOneOff,661)*$D666)</f>
        <v/>
      </c>
      <c r="I666" s="56" t="str">
        <f aca="false">IF(INDEX(BookTitle,661)="","",INDEX(BookTotal,661)*'5. Scenarios'!$C$6/(1+ProductivityDefault*('5. Scenarios'!$C$11-1)))</f>
        <v/>
      </c>
      <c r="J666" s="57" t="str">
        <f aca="false">IF($I666="","",INDEX(BookRate,661)*(1+'5. Scenarios'!$C$10)*$I666)</f>
        <v/>
      </c>
      <c r="K666" s="57" t="str">
        <f aca="false">IF($J666="","",SUMIFS($J$6:$J$2405,$A$6:$A$2405,"&lt;="&amp;$A666))</f>
        <v/>
      </c>
      <c r="L666" s="57" t="str">
        <f aca="false">IF($J666="","",IF($K666&lt;=BankCostEnvelope*'5. Scenarios'!$C$7,1,0))</f>
        <v/>
      </c>
      <c r="M666" s="57" t="str">
        <f aca="false">IF($I666="","",INDEX(BookRate,661)*(1+'5. Scenarios'!$C$10)*(INDEX(BookQ1,661)*(5-MIN(4,1+'5. Scenarios'!$C$8))/4+INDEX(BookQ2,661)*(5-MIN(4,2+'5. Scenarios'!$C$8))/4+INDEX(BookQ3,661)*(5-MIN(4,3+'5. Scenarios'!$C$8))/4+INDEX(BookQ4,661)*(5-MIN(4,4+'5. Scenarios'!$C$8))/4)*'5. Scenarios'!$C$6/(1+ProductivityDefault*('5. Scenarios'!$C$11-1))+INDEX(BookOneOff,661)*$I666)</f>
        <v/>
      </c>
      <c r="N666" s="56" t="str">
        <f aca="false">IF(INDEX(BookTitle,661)="","",INDEX(BookTotal,661)*'5. Scenarios'!$D$6/(1+ProductivityDefault*('5. Scenarios'!$D$11-1)))</f>
        <v/>
      </c>
      <c r="O666" s="57" t="str">
        <f aca="false">IF($N666="","",INDEX(BookRate,661)*(1+'5. Scenarios'!$D$10)*$N666)</f>
        <v/>
      </c>
      <c r="P666" s="57" t="str">
        <f aca="false">IF($O666="","",SUMIFS($O$6:$O$2405,$A$6:$A$2405,"&lt;="&amp;$A666))</f>
        <v/>
      </c>
      <c r="Q666" s="57" t="str">
        <f aca="false">IF($O666="","",IF($P666&lt;=BankCostEnvelope*'5. Scenarios'!$D$7,1,0))</f>
        <v/>
      </c>
      <c r="R666" s="57" t="str">
        <f aca="false">IF($N666="","",INDEX(BookRate,661)*(1+'5. Scenarios'!$D$10)*(INDEX(BookQ1,661)*(5-MIN(4,1+'5. Scenarios'!$D$8))/4+INDEX(BookQ2,661)*(5-MIN(4,2+'5. Scenarios'!$D$8))/4+INDEX(BookQ3,661)*(5-MIN(4,3+'5. Scenarios'!$D$8))/4+INDEX(BookQ4,661)*(5-MIN(4,4+'5. Scenarios'!$D$8))/4)*'5. Scenarios'!$D$6/(1+ProductivityDefault*('5. Scenarios'!$D$11-1))+INDEX(BookOneOff,661)*$N666)</f>
        <v/>
      </c>
      <c r="S666" s="56" t="str">
        <f aca="false">IF(INDEX(BookTitle,661)="","",INDEX(BookTotal,661)*'5. Scenarios'!$E$6/(1+ProductivityDefault*('5. Scenarios'!$E$11-1)))</f>
        <v/>
      </c>
      <c r="T666" s="57" t="str">
        <f aca="false">IF($S666="","",INDEX(BookRate,661)*(1+'5. Scenarios'!$E$10)*$S666)</f>
        <v/>
      </c>
      <c r="U666" s="57" t="str">
        <f aca="false">IF($T666="","",SUMIFS($T$6:$T$2405,$A$6:$A$2405,"&lt;="&amp;$A666))</f>
        <v/>
      </c>
      <c r="V666" s="57" t="str">
        <f aca="false">IF($T666="","",IF($U666&lt;=BankCostEnvelope*'5. Scenarios'!$E$7,1,0))</f>
        <v/>
      </c>
      <c r="W666" s="57" t="str">
        <f aca="false">IF($S666="","",INDEX(BookRate,661)*(1+'5. Scenarios'!$E$10)*(INDEX(BookQ1,661)*(5-MIN(4,1+'5. Scenarios'!$E$8))/4+INDEX(BookQ2,661)*(5-MIN(4,2+'5. Scenarios'!$E$8))/4+INDEX(BookQ3,661)*(5-MIN(4,3+'5. Scenarios'!$E$8))/4+INDEX(BookQ4,661)*(5-MIN(4,4+'5. Scenarios'!$E$8))/4)*'5. Scenarios'!$E$6/(1+ProductivityDefault*('5. Scenarios'!$E$11-1))+INDEX(BookOneOff,661)*$S666)</f>
        <v/>
      </c>
    </row>
    <row r="667" customFormat="false" ht="15" hidden="false" customHeight="false" outlineLevel="0" collapsed="false">
      <c r="A667" s="0" t="str">
        <f aca="false">IF(INDEX(BookTitle,662)="","",INDEX(BookKey,662))</f>
        <v/>
      </c>
      <c r="B667" s="0" t="str">
        <f aca="false">IF(INDEX(BookTitle,662)="","",INDEX(BookGroup,662))</f>
        <v/>
      </c>
      <c r="C667" s="0" t="str">
        <f aca="false">IF(INDEX(BookTitle,662)="","",INDEX(BookCategory,662))</f>
        <v/>
      </c>
      <c r="D667" s="56" t="str">
        <f aca="false">IF(INDEX(BookTitle,662)="","",INDEX(BookTotal,662)*'5. Scenarios'!$B$6/(1+ProductivityDefault*('5. Scenarios'!$B$11-1)))</f>
        <v/>
      </c>
      <c r="E667" s="57" t="str">
        <f aca="false">IF($D667="","",INDEX(BookRate,662)*(1+'5. Scenarios'!$B$10)*$D667)</f>
        <v/>
      </c>
      <c r="F667" s="57" t="str">
        <f aca="false">IF($E667="","",SUMIFS($E$6:$E$2405,$A$6:$A$2405,"&lt;="&amp;$A667))</f>
        <v/>
      </c>
      <c r="G667" s="57" t="str">
        <f aca="false">IF($E667="","",IF($F667&lt;=BankCostEnvelope*'5. Scenarios'!$B$7,1,0))</f>
        <v/>
      </c>
      <c r="H667" s="57" t="str">
        <f aca="false">IF($D667="","",INDEX(BookRate,662)*(1+'5. Scenarios'!$B$10)*(INDEX(BookQ1,662)*(5-MIN(4,1+'5. Scenarios'!$B$8))/4+INDEX(BookQ2,662)*(5-MIN(4,2+'5. Scenarios'!$B$8))/4+INDEX(BookQ3,662)*(5-MIN(4,3+'5. Scenarios'!$B$8))/4+INDEX(BookQ4,662)*(5-MIN(4,4+'5. Scenarios'!$B$8))/4)*'5. Scenarios'!$B$6/(1+ProductivityDefault*('5. Scenarios'!$B$11-1))+INDEX(BookOneOff,662)*$D667)</f>
        <v/>
      </c>
      <c r="I667" s="56" t="str">
        <f aca="false">IF(INDEX(BookTitle,662)="","",INDEX(BookTotal,662)*'5. Scenarios'!$C$6/(1+ProductivityDefault*('5. Scenarios'!$C$11-1)))</f>
        <v/>
      </c>
      <c r="J667" s="57" t="str">
        <f aca="false">IF($I667="","",INDEX(BookRate,662)*(1+'5. Scenarios'!$C$10)*$I667)</f>
        <v/>
      </c>
      <c r="K667" s="57" t="str">
        <f aca="false">IF($J667="","",SUMIFS($J$6:$J$2405,$A$6:$A$2405,"&lt;="&amp;$A667))</f>
        <v/>
      </c>
      <c r="L667" s="57" t="str">
        <f aca="false">IF($J667="","",IF($K667&lt;=BankCostEnvelope*'5. Scenarios'!$C$7,1,0))</f>
        <v/>
      </c>
      <c r="M667" s="57" t="str">
        <f aca="false">IF($I667="","",INDEX(BookRate,662)*(1+'5. Scenarios'!$C$10)*(INDEX(BookQ1,662)*(5-MIN(4,1+'5. Scenarios'!$C$8))/4+INDEX(BookQ2,662)*(5-MIN(4,2+'5. Scenarios'!$C$8))/4+INDEX(BookQ3,662)*(5-MIN(4,3+'5. Scenarios'!$C$8))/4+INDEX(BookQ4,662)*(5-MIN(4,4+'5. Scenarios'!$C$8))/4)*'5. Scenarios'!$C$6/(1+ProductivityDefault*('5. Scenarios'!$C$11-1))+INDEX(BookOneOff,662)*$I667)</f>
        <v/>
      </c>
      <c r="N667" s="56" t="str">
        <f aca="false">IF(INDEX(BookTitle,662)="","",INDEX(BookTotal,662)*'5. Scenarios'!$D$6/(1+ProductivityDefault*('5. Scenarios'!$D$11-1)))</f>
        <v/>
      </c>
      <c r="O667" s="57" t="str">
        <f aca="false">IF($N667="","",INDEX(BookRate,662)*(1+'5. Scenarios'!$D$10)*$N667)</f>
        <v/>
      </c>
      <c r="P667" s="57" t="str">
        <f aca="false">IF($O667="","",SUMIFS($O$6:$O$2405,$A$6:$A$2405,"&lt;="&amp;$A667))</f>
        <v/>
      </c>
      <c r="Q667" s="57" t="str">
        <f aca="false">IF($O667="","",IF($P667&lt;=BankCostEnvelope*'5. Scenarios'!$D$7,1,0))</f>
        <v/>
      </c>
      <c r="R667" s="57" t="str">
        <f aca="false">IF($N667="","",INDEX(BookRate,662)*(1+'5. Scenarios'!$D$10)*(INDEX(BookQ1,662)*(5-MIN(4,1+'5. Scenarios'!$D$8))/4+INDEX(BookQ2,662)*(5-MIN(4,2+'5. Scenarios'!$D$8))/4+INDEX(BookQ3,662)*(5-MIN(4,3+'5. Scenarios'!$D$8))/4+INDEX(BookQ4,662)*(5-MIN(4,4+'5. Scenarios'!$D$8))/4)*'5. Scenarios'!$D$6/(1+ProductivityDefault*('5. Scenarios'!$D$11-1))+INDEX(BookOneOff,662)*$N667)</f>
        <v/>
      </c>
      <c r="S667" s="56" t="str">
        <f aca="false">IF(INDEX(BookTitle,662)="","",INDEX(BookTotal,662)*'5. Scenarios'!$E$6/(1+ProductivityDefault*('5. Scenarios'!$E$11-1)))</f>
        <v/>
      </c>
      <c r="T667" s="57" t="str">
        <f aca="false">IF($S667="","",INDEX(BookRate,662)*(1+'5. Scenarios'!$E$10)*$S667)</f>
        <v/>
      </c>
      <c r="U667" s="57" t="str">
        <f aca="false">IF($T667="","",SUMIFS($T$6:$T$2405,$A$6:$A$2405,"&lt;="&amp;$A667))</f>
        <v/>
      </c>
      <c r="V667" s="57" t="str">
        <f aca="false">IF($T667="","",IF($U667&lt;=BankCostEnvelope*'5. Scenarios'!$E$7,1,0))</f>
        <v/>
      </c>
      <c r="W667" s="57" t="str">
        <f aca="false">IF($S667="","",INDEX(BookRate,662)*(1+'5. Scenarios'!$E$10)*(INDEX(BookQ1,662)*(5-MIN(4,1+'5. Scenarios'!$E$8))/4+INDEX(BookQ2,662)*(5-MIN(4,2+'5. Scenarios'!$E$8))/4+INDEX(BookQ3,662)*(5-MIN(4,3+'5. Scenarios'!$E$8))/4+INDEX(BookQ4,662)*(5-MIN(4,4+'5. Scenarios'!$E$8))/4)*'5. Scenarios'!$E$6/(1+ProductivityDefault*('5. Scenarios'!$E$11-1))+INDEX(BookOneOff,662)*$S667)</f>
        <v/>
      </c>
    </row>
    <row r="668" customFormat="false" ht="15" hidden="false" customHeight="false" outlineLevel="0" collapsed="false">
      <c r="A668" s="0" t="str">
        <f aca="false">IF(INDEX(BookTitle,663)="","",INDEX(BookKey,663))</f>
        <v/>
      </c>
      <c r="B668" s="0" t="str">
        <f aca="false">IF(INDEX(BookTitle,663)="","",INDEX(BookGroup,663))</f>
        <v/>
      </c>
      <c r="C668" s="0" t="str">
        <f aca="false">IF(INDEX(BookTitle,663)="","",INDEX(BookCategory,663))</f>
        <v/>
      </c>
      <c r="D668" s="56" t="str">
        <f aca="false">IF(INDEX(BookTitle,663)="","",INDEX(BookTotal,663)*'5. Scenarios'!$B$6/(1+ProductivityDefault*('5. Scenarios'!$B$11-1)))</f>
        <v/>
      </c>
      <c r="E668" s="57" t="str">
        <f aca="false">IF($D668="","",INDEX(BookRate,663)*(1+'5. Scenarios'!$B$10)*$D668)</f>
        <v/>
      </c>
      <c r="F668" s="57" t="str">
        <f aca="false">IF($E668="","",SUMIFS($E$6:$E$2405,$A$6:$A$2405,"&lt;="&amp;$A668))</f>
        <v/>
      </c>
      <c r="G668" s="57" t="str">
        <f aca="false">IF($E668="","",IF($F668&lt;=BankCostEnvelope*'5. Scenarios'!$B$7,1,0))</f>
        <v/>
      </c>
      <c r="H668" s="57" t="str">
        <f aca="false">IF($D668="","",INDEX(BookRate,663)*(1+'5. Scenarios'!$B$10)*(INDEX(BookQ1,663)*(5-MIN(4,1+'5. Scenarios'!$B$8))/4+INDEX(BookQ2,663)*(5-MIN(4,2+'5. Scenarios'!$B$8))/4+INDEX(BookQ3,663)*(5-MIN(4,3+'5. Scenarios'!$B$8))/4+INDEX(BookQ4,663)*(5-MIN(4,4+'5. Scenarios'!$B$8))/4)*'5. Scenarios'!$B$6/(1+ProductivityDefault*('5. Scenarios'!$B$11-1))+INDEX(BookOneOff,663)*$D668)</f>
        <v/>
      </c>
      <c r="I668" s="56" t="str">
        <f aca="false">IF(INDEX(BookTitle,663)="","",INDEX(BookTotal,663)*'5. Scenarios'!$C$6/(1+ProductivityDefault*('5. Scenarios'!$C$11-1)))</f>
        <v/>
      </c>
      <c r="J668" s="57" t="str">
        <f aca="false">IF($I668="","",INDEX(BookRate,663)*(1+'5. Scenarios'!$C$10)*$I668)</f>
        <v/>
      </c>
      <c r="K668" s="57" t="str">
        <f aca="false">IF($J668="","",SUMIFS($J$6:$J$2405,$A$6:$A$2405,"&lt;="&amp;$A668))</f>
        <v/>
      </c>
      <c r="L668" s="57" t="str">
        <f aca="false">IF($J668="","",IF($K668&lt;=BankCostEnvelope*'5. Scenarios'!$C$7,1,0))</f>
        <v/>
      </c>
      <c r="M668" s="57" t="str">
        <f aca="false">IF($I668="","",INDEX(BookRate,663)*(1+'5. Scenarios'!$C$10)*(INDEX(BookQ1,663)*(5-MIN(4,1+'5. Scenarios'!$C$8))/4+INDEX(BookQ2,663)*(5-MIN(4,2+'5. Scenarios'!$C$8))/4+INDEX(BookQ3,663)*(5-MIN(4,3+'5. Scenarios'!$C$8))/4+INDEX(BookQ4,663)*(5-MIN(4,4+'5. Scenarios'!$C$8))/4)*'5. Scenarios'!$C$6/(1+ProductivityDefault*('5. Scenarios'!$C$11-1))+INDEX(BookOneOff,663)*$I668)</f>
        <v/>
      </c>
      <c r="N668" s="56" t="str">
        <f aca="false">IF(INDEX(BookTitle,663)="","",INDEX(BookTotal,663)*'5. Scenarios'!$D$6/(1+ProductivityDefault*('5. Scenarios'!$D$11-1)))</f>
        <v/>
      </c>
      <c r="O668" s="57" t="str">
        <f aca="false">IF($N668="","",INDEX(BookRate,663)*(1+'5. Scenarios'!$D$10)*$N668)</f>
        <v/>
      </c>
      <c r="P668" s="57" t="str">
        <f aca="false">IF($O668="","",SUMIFS($O$6:$O$2405,$A$6:$A$2405,"&lt;="&amp;$A668))</f>
        <v/>
      </c>
      <c r="Q668" s="57" t="str">
        <f aca="false">IF($O668="","",IF($P668&lt;=BankCostEnvelope*'5. Scenarios'!$D$7,1,0))</f>
        <v/>
      </c>
      <c r="R668" s="57" t="str">
        <f aca="false">IF($N668="","",INDEX(BookRate,663)*(1+'5. Scenarios'!$D$10)*(INDEX(BookQ1,663)*(5-MIN(4,1+'5. Scenarios'!$D$8))/4+INDEX(BookQ2,663)*(5-MIN(4,2+'5. Scenarios'!$D$8))/4+INDEX(BookQ3,663)*(5-MIN(4,3+'5. Scenarios'!$D$8))/4+INDEX(BookQ4,663)*(5-MIN(4,4+'5. Scenarios'!$D$8))/4)*'5. Scenarios'!$D$6/(1+ProductivityDefault*('5. Scenarios'!$D$11-1))+INDEX(BookOneOff,663)*$N668)</f>
        <v/>
      </c>
      <c r="S668" s="56" t="str">
        <f aca="false">IF(INDEX(BookTitle,663)="","",INDEX(BookTotal,663)*'5. Scenarios'!$E$6/(1+ProductivityDefault*('5. Scenarios'!$E$11-1)))</f>
        <v/>
      </c>
      <c r="T668" s="57" t="str">
        <f aca="false">IF($S668="","",INDEX(BookRate,663)*(1+'5. Scenarios'!$E$10)*$S668)</f>
        <v/>
      </c>
      <c r="U668" s="57" t="str">
        <f aca="false">IF($T668="","",SUMIFS($T$6:$T$2405,$A$6:$A$2405,"&lt;="&amp;$A668))</f>
        <v/>
      </c>
      <c r="V668" s="57" t="str">
        <f aca="false">IF($T668="","",IF($U668&lt;=BankCostEnvelope*'5. Scenarios'!$E$7,1,0))</f>
        <v/>
      </c>
      <c r="W668" s="57" t="str">
        <f aca="false">IF($S668="","",INDEX(BookRate,663)*(1+'5. Scenarios'!$E$10)*(INDEX(BookQ1,663)*(5-MIN(4,1+'5. Scenarios'!$E$8))/4+INDEX(BookQ2,663)*(5-MIN(4,2+'5. Scenarios'!$E$8))/4+INDEX(BookQ3,663)*(5-MIN(4,3+'5. Scenarios'!$E$8))/4+INDEX(BookQ4,663)*(5-MIN(4,4+'5. Scenarios'!$E$8))/4)*'5. Scenarios'!$E$6/(1+ProductivityDefault*('5. Scenarios'!$E$11-1))+INDEX(BookOneOff,663)*$S668)</f>
        <v/>
      </c>
    </row>
    <row r="669" customFormat="false" ht="15" hidden="false" customHeight="false" outlineLevel="0" collapsed="false">
      <c r="A669" s="0" t="str">
        <f aca="false">IF(INDEX(BookTitle,664)="","",INDEX(BookKey,664))</f>
        <v/>
      </c>
      <c r="B669" s="0" t="str">
        <f aca="false">IF(INDEX(BookTitle,664)="","",INDEX(BookGroup,664))</f>
        <v/>
      </c>
      <c r="C669" s="0" t="str">
        <f aca="false">IF(INDEX(BookTitle,664)="","",INDEX(BookCategory,664))</f>
        <v/>
      </c>
      <c r="D669" s="56" t="str">
        <f aca="false">IF(INDEX(BookTitle,664)="","",INDEX(BookTotal,664)*'5. Scenarios'!$B$6/(1+ProductivityDefault*('5. Scenarios'!$B$11-1)))</f>
        <v/>
      </c>
      <c r="E669" s="57" t="str">
        <f aca="false">IF($D669="","",INDEX(BookRate,664)*(1+'5. Scenarios'!$B$10)*$D669)</f>
        <v/>
      </c>
      <c r="F669" s="57" t="str">
        <f aca="false">IF($E669="","",SUMIFS($E$6:$E$2405,$A$6:$A$2405,"&lt;="&amp;$A669))</f>
        <v/>
      </c>
      <c r="G669" s="57" t="str">
        <f aca="false">IF($E669="","",IF($F669&lt;=BankCostEnvelope*'5. Scenarios'!$B$7,1,0))</f>
        <v/>
      </c>
      <c r="H669" s="57" t="str">
        <f aca="false">IF($D669="","",INDEX(BookRate,664)*(1+'5. Scenarios'!$B$10)*(INDEX(BookQ1,664)*(5-MIN(4,1+'5. Scenarios'!$B$8))/4+INDEX(BookQ2,664)*(5-MIN(4,2+'5. Scenarios'!$B$8))/4+INDEX(BookQ3,664)*(5-MIN(4,3+'5. Scenarios'!$B$8))/4+INDEX(BookQ4,664)*(5-MIN(4,4+'5. Scenarios'!$B$8))/4)*'5. Scenarios'!$B$6/(1+ProductivityDefault*('5. Scenarios'!$B$11-1))+INDEX(BookOneOff,664)*$D669)</f>
        <v/>
      </c>
      <c r="I669" s="56" t="str">
        <f aca="false">IF(INDEX(BookTitle,664)="","",INDEX(BookTotal,664)*'5. Scenarios'!$C$6/(1+ProductivityDefault*('5. Scenarios'!$C$11-1)))</f>
        <v/>
      </c>
      <c r="J669" s="57" t="str">
        <f aca="false">IF($I669="","",INDEX(BookRate,664)*(1+'5. Scenarios'!$C$10)*$I669)</f>
        <v/>
      </c>
      <c r="K669" s="57" t="str">
        <f aca="false">IF($J669="","",SUMIFS($J$6:$J$2405,$A$6:$A$2405,"&lt;="&amp;$A669))</f>
        <v/>
      </c>
      <c r="L669" s="57" t="str">
        <f aca="false">IF($J669="","",IF($K669&lt;=BankCostEnvelope*'5. Scenarios'!$C$7,1,0))</f>
        <v/>
      </c>
      <c r="M669" s="57" t="str">
        <f aca="false">IF($I669="","",INDEX(BookRate,664)*(1+'5. Scenarios'!$C$10)*(INDEX(BookQ1,664)*(5-MIN(4,1+'5. Scenarios'!$C$8))/4+INDEX(BookQ2,664)*(5-MIN(4,2+'5. Scenarios'!$C$8))/4+INDEX(BookQ3,664)*(5-MIN(4,3+'5. Scenarios'!$C$8))/4+INDEX(BookQ4,664)*(5-MIN(4,4+'5. Scenarios'!$C$8))/4)*'5. Scenarios'!$C$6/(1+ProductivityDefault*('5. Scenarios'!$C$11-1))+INDEX(BookOneOff,664)*$I669)</f>
        <v/>
      </c>
      <c r="N669" s="56" t="str">
        <f aca="false">IF(INDEX(BookTitle,664)="","",INDEX(BookTotal,664)*'5. Scenarios'!$D$6/(1+ProductivityDefault*('5. Scenarios'!$D$11-1)))</f>
        <v/>
      </c>
      <c r="O669" s="57" t="str">
        <f aca="false">IF($N669="","",INDEX(BookRate,664)*(1+'5. Scenarios'!$D$10)*$N669)</f>
        <v/>
      </c>
      <c r="P669" s="57" t="str">
        <f aca="false">IF($O669="","",SUMIFS($O$6:$O$2405,$A$6:$A$2405,"&lt;="&amp;$A669))</f>
        <v/>
      </c>
      <c r="Q669" s="57" t="str">
        <f aca="false">IF($O669="","",IF($P669&lt;=BankCostEnvelope*'5. Scenarios'!$D$7,1,0))</f>
        <v/>
      </c>
      <c r="R669" s="57" t="str">
        <f aca="false">IF($N669="","",INDEX(BookRate,664)*(1+'5. Scenarios'!$D$10)*(INDEX(BookQ1,664)*(5-MIN(4,1+'5. Scenarios'!$D$8))/4+INDEX(BookQ2,664)*(5-MIN(4,2+'5. Scenarios'!$D$8))/4+INDEX(BookQ3,664)*(5-MIN(4,3+'5. Scenarios'!$D$8))/4+INDEX(BookQ4,664)*(5-MIN(4,4+'5. Scenarios'!$D$8))/4)*'5. Scenarios'!$D$6/(1+ProductivityDefault*('5. Scenarios'!$D$11-1))+INDEX(BookOneOff,664)*$N669)</f>
        <v/>
      </c>
      <c r="S669" s="56" t="str">
        <f aca="false">IF(INDEX(BookTitle,664)="","",INDEX(BookTotal,664)*'5. Scenarios'!$E$6/(1+ProductivityDefault*('5. Scenarios'!$E$11-1)))</f>
        <v/>
      </c>
      <c r="T669" s="57" t="str">
        <f aca="false">IF($S669="","",INDEX(BookRate,664)*(1+'5. Scenarios'!$E$10)*$S669)</f>
        <v/>
      </c>
      <c r="U669" s="57" t="str">
        <f aca="false">IF($T669="","",SUMIFS($T$6:$T$2405,$A$6:$A$2405,"&lt;="&amp;$A669))</f>
        <v/>
      </c>
      <c r="V669" s="57" t="str">
        <f aca="false">IF($T669="","",IF($U669&lt;=BankCostEnvelope*'5. Scenarios'!$E$7,1,0))</f>
        <v/>
      </c>
      <c r="W669" s="57" t="str">
        <f aca="false">IF($S669="","",INDEX(BookRate,664)*(1+'5. Scenarios'!$E$10)*(INDEX(BookQ1,664)*(5-MIN(4,1+'5. Scenarios'!$E$8))/4+INDEX(BookQ2,664)*(5-MIN(4,2+'5. Scenarios'!$E$8))/4+INDEX(BookQ3,664)*(5-MIN(4,3+'5. Scenarios'!$E$8))/4+INDEX(BookQ4,664)*(5-MIN(4,4+'5. Scenarios'!$E$8))/4)*'5. Scenarios'!$E$6/(1+ProductivityDefault*('5. Scenarios'!$E$11-1))+INDEX(BookOneOff,664)*$S669)</f>
        <v/>
      </c>
    </row>
    <row r="670" customFormat="false" ht="15" hidden="false" customHeight="false" outlineLevel="0" collapsed="false">
      <c r="A670" s="0" t="str">
        <f aca="false">IF(INDEX(BookTitle,665)="","",INDEX(BookKey,665))</f>
        <v/>
      </c>
      <c r="B670" s="0" t="str">
        <f aca="false">IF(INDEX(BookTitle,665)="","",INDEX(BookGroup,665))</f>
        <v/>
      </c>
      <c r="C670" s="0" t="str">
        <f aca="false">IF(INDEX(BookTitle,665)="","",INDEX(BookCategory,665))</f>
        <v/>
      </c>
      <c r="D670" s="56" t="str">
        <f aca="false">IF(INDEX(BookTitle,665)="","",INDEX(BookTotal,665)*'5. Scenarios'!$B$6/(1+ProductivityDefault*('5. Scenarios'!$B$11-1)))</f>
        <v/>
      </c>
      <c r="E670" s="57" t="str">
        <f aca="false">IF($D670="","",INDEX(BookRate,665)*(1+'5. Scenarios'!$B$10)*$D670)</f>
        <v/>
      </c>
      <c r="F670" s="57" t="str">
        <f aca="false">IF($E670="","",SUMIFS($E$6:$E$2405,$A$6:$A$2405,"&lt;="&amp;$A670))</f>
        <v/>
      </c>
      <c r="G670" s="57" t="str">
        <f aca="false">IF($E670="","",IF($F670&lt;=BankCostEnvelope*'5. Scenarios'!$B$7,1,0))</f>
        <v/>
      </c>
      <c r="H670" s="57" t="str">
        <f aca="false">IF($D670="","",INDEX(BookRate,665)*(1+'5. Scenarios'!$B$10)*(INDEX(BookQ1,665)*(5-MIN(4,1+'5. Scenarios'!$B$8))/4+INDEX(BookQ2,665)*(5-MIN(4,2+'5. Scenarios'!$B$8))/4+INDEX(BookQ3,665)*(5-MIN(4,3+'5. Scenarios'!$B$8))/4+INDEX(BookQ4,665)*(5-MIN(4,4+'5. Scenarios'!$B$8))/4)*'5. Scenarios'!$B$6/(1+ProductivityDefault*('5. Scenarios'!$B$11-1))+INDEX(BookOneOff,665)*$D670)</f>
        <v/>
      </c>
      <c r="I670" s="56" t="str">
        <f aca="false">IF(INDEX(BookTitle,665)="","",INDEX(BookTotal,665)*'5. Scenarios'!$C$6/(1+ProductivityDefault*('5. Scenarios'!$C$11-1)))</f>
        <v/>
      </c>
      <c r="J670" s="57" t="str">
        <f aca="false">IF($I670="","",INDEX(BookRate,665)*(1+'5. Scenarios'!$C$10)*$I670)</f>
        <v/>
      </c>
      <c r="K670" s="57" t="str">
        <f aca="false">IF($J670="","",SUMIFS($J$6:$J$2405,$A$6:$A$2405,"&lt;="&amp;$A670))</f>
        <v/>
      </c>
      <c r="L670" s="57" t="str">
        <f aca="false">IF($J670="","",IF($K670&lt;=BankCostEnvelope*'5. Scenarios'!$C$7,1,0))</f>
        <v/>
      </c>
      <c r="M670" s="57" t="str">
        <f aca="false">IF($I670="","",INDEX(BookRate,665)*(1+'5. Scenarios'!$C$10)*(INDEX(BookQ1,665)*(5-MIN(4,1+'5. Scenarios'!$C$8))/4+INDEX(BookQ2,665)*(5-MIN(4,2+'5. Scenarios'!$C$8))/4+INDEX(BookQ3,665)*(5-MIN(4,3+'5. Scenarios'!$C$8))/4+INDEX(BookQ4,665)*(5-MIN(4,4+'5. Scenarios'!$C$8))/4)*'5. Scenarios'!$C$6/(1+ProductivityDefault*('5. Scenarios'!$C$11-1))+INDEX(BookOneOff,665)*$I670)</f>
        <v/>
      </c>
      <c r="N670" s="56" t="str">
        <f aca="false">IF(INDEX(BookTitle,665)="","",INDEX(BookTotal,665)*'5. Scenarios'!$D$6/(1+ProductivityDefault*('5. Scenarios'!$D$11-1)))</f>
        <v/>
      </c>
      <c r="O670" s="57" t="str">
        <f aca="false">IF($N670="","",INDEX(BookRate,665)*(1+'5. Scenarios'!$D$10)*$N670)</f>
        <v/>
      </c>
      <c r="P670" s="57" t="str">
        <f aca="false">IF($O670="","",SUMIFS($O$6:$O$2405,$A$6:$A$2405,"&lt;="&amp;$A670))</f>
        <v/>
      </c>
      <c r="Q670" s="57" t="str">
        <f aca="false">IF($O670="","",IF($P670&lt;=BankCostEnvelope*'5. Scenarios'!$D$7,1,0))</f>
        <v/>
      </c>
      <c r="R670" s="57" t="str">
        <f aca="false">IF($N670="","",INDEX(BookRate,665)*(1+'5. Scenarios'!$D$10)*(INDEX(BookQ1,665)*(5-MIN(4,1+'5. Scenarios'!$D$8))/4+INDEX(BookQ2,665)*(5-MIN(4,2+'5. Scenarios'!$D$8))/4+INDEX(BookQ3,665)*(5-MIN(4,3+'5. Scenarios'!$D$8))/4+INDEX(BookQ4,665)*(5-MIN(4,4+'5. Scenarios'!$D$8))/4)*'5. Scenarios'!$D$6/(1+ProductivityDefault*('5. Scenarios'!$D$11-1))+INDEX(BookOneOff,665)*$N670)</f>
        <v/>
      </c>
      <c r="S670" s="56" t="str">
        <f aca="false">IF(INDEX(BookTitle,665)="","",INDEX(BookTotal,665)*'5. Scenarios'!$E$6/(1+ProductivityDefault*('5. Scenarios'!$E$11-1)))</f>
        <v/>
      </c>
      <c r="T670" s="57" t="str">
        <f aca="false">IF($S670="","",INDEX(BookRate,665)*(1+'5. Scenarios'!$E$10)*$S670)</f>
        <v/>
      </c>
      <c r="U670" s="57" t="str">
        <f aca="false">IF($T670="","",SUMIFS($T$6:$T$2405,$A$6:$A$2405,"&lt;="&amp;$A670))</f>
        <v/>
      </c>
      <c r="V670" s="57" t="str">
        <f aca="false">IF($T670="","",IF($U670&lt;=BankCostEnvelope*'5. Scenarios'!$E$7,1,0))</f>
        <v/>
      </c>
      <c r="W670" s="57" t="str">
        <f aca="false">IF($S670="","",INDEX(BookRate,665)*(1+'5. Scenarios'!$E$10)*(INDEX(BookQ1,665)*(5-MIN(4,1+'5. Scenarios'!$E$8))/4+INDEX(BookQ2,665)*(5-MIN(4,2+'5. Scenarios'!$E$8))/4+INDEX(BookQ3,665)*(5-MIN(4,3+'5. Scenarios'!$E$8))/4+INDEX(BookQ4,665)*(5-MIN(4,4+'5. Scenarios'!$E$8))/4)*'5. Scenarios'!$E$6/(1+ProductivityDefault*('5. Scenarios'!$E$11-1))+INDEX(BookOneOff,665)*$S670)</f>
        <v/>
      </c>
    </row>
    <row r="671" customFormat="false" ht="15" hidden="false" customHeight="false" outlineLevel="0" collapsed="false">
      <c r="A671" s="0" t="str">
        <f aca="false">IF(INDEX(BookTitle,666)="","",INDEX(BookKey,666))</f>
        <v/>
      </c>
      <c r="B671" s="0" t="str">
        <f aca="false">IF(INDEX(BookTitle,666)="","",INDEX(BookGroup,666))</f>
        <v/>
      </c>
      <c r="C671" s="0" t="str">
        <f aca="false">IF(INDEX(BookTitle,666)="","",INDEX(BookCategory,666))</f>
        <v/>
      </c>
      <c r="D671" s="56" t="str">
        <f aca="false">IF(INDEX(BookTitle,666)="","",INDEX(BookTotal,666)*'5. Scenarios'!$B$6/(1+ProductivityDefault*('5. Scenarios'!$B$11-1)))</f>
        <v/>
      </c>
      <c r="E671" s="57" t="str">
        <f aca="false">IF($D671="","",INDEX(BookRate,666)*(1+'5. Scenarios'!$B$10)*$D671)</f>
        <v/>
      </c>
      <c r="F671" s="57" t="str">
        <f aca="false">IF($E671="","",SUMIFS($E$6:$E$2405,$A$6:$A$2405,"&lt;="&amp;$A671))</f>
        <v/>
      </c>
      <c r="G671" s="57" t="str">
        <f aca="false">IF($E671="","",IF($F671&lt;=BankCostEnvelope*'5. Scenarios'!$B$7,1,0))</f>
        <v/>
      </c>
      <c r="H671" s="57" t="str">
        <f aca="false">IF($D671="","",INDEX(BookRate,666)*(1+'5. Scenarios'!$B$10)*(INDEX(BookQ1,666)*(5-MIN(4,1+'5. Scenarios'!$B$8))/4+INDEX(BookQ2,666)*(5-MIN(4,2+'5. Scenarios'!$B$8))/4+INDEX(BookQ3,666)*(5-MIN(4,3+'5. Scenarios'!$B$8))/4+INDEX(BookQ4,666)*(5-MIN(4,4+'5. Scenarios'!$B$8))/4)*'5. Scenarios'!$B$6/(1+ProductivityDefault*('5. Scenarios'!$B$11-1))+INDEX(BookOneOff,666)*$D671)</f>
        <v/>
      </c>
      <c r="I671" s="56" t="str">
        <f aca="false">IF(INDEX(BookTitle,666)="","",INDEX(BookTotal,666)*'5. Scenarios'!$C$6/(1+ProductivityDefault*('5. Scenarios'!$C$11-1)))</f>
        <v/>
      </c>
      <c r="J671" s="57" t="str">
        <f aca="false">IF($I671="","",INDEX(BookRate,666)*(1+'5. Scenarios'!$C$10)*$I671)</f>
        <v/>
      </c>
      <c r="K671" s="57" t="str">
        <f aca="false">IF($J671="","",SUMIFS($J$6:$J$2405,$A$6:$A$2405,"&lt;="&amp;$A671))</f>
        <v/>
      </c>
      <c r="L671" s="57" t="str">
        <f aca="false">IF($J671="","",IF($K671&lt;=BankCostEnvelope*'5. Scenarios'!$C$7,1,0))</f>
        <v/>
      </c>
      <c r="M671" s="57" t="str">
        <f aca="false">IF($I671="","",INDEX(BookRate,666)*(1+'5. Scenarios'!$C$10)*(INDEX(BookQ1,666)*(5-MIN(4,1+'5. Scenarios'!$C$8))/4+INDEX(BookQ2,666)*(5-MIN(4,2+'5. Scenarios'!$C$8))/4+INDEX(BookQ3,666)*(5-MIN(4,3+'5. Scenarios'!$C$8))/4+INDEX(BookQ4,666)*(5-MIN(4,4+'5. Scenarios'!$C$8))/4)*'5. Scenarios'!$C$6/(1+ProductivityDefault*('5. Scenarios'!$C$11-1))+INDEX(BookOneOff,666)*$I671)</f>
        <v/>
      </c>
      <c r="N671" s="56" t="str">
        <f aca="false">IF(INDEX(BookTitle,666)="","",INDEX(BookTotal,666)*'5. Scenarios'!$D$6/(1+ProductivityDefault*('5. Scenarios'!$D$11-1)))</f>
        <v/>
      </c>
      <c r="O671" s="57" t="str">
        <f aca="false">IF($N671="","",INDEX(BookRate,666)*(1+'5. Scenarios'!$D$10)*$N671)</f>
        <v/>
      </c>
      <c r="P671" s="57" t="str">
        <f aca="false">IF($O671="","",SUMIFS($O$6:$O$2405,$A$6:$A$2405,"&lt;="&amp;$A671))</f>
        <v/>
      </c>
      <c r="Q671" s="57" t="str">
        <f aca="false">IF($O671="","",IF($P671&lt;=BankCostEnvelope*'5. Scenarios'!$D$7,1,0))</f>
        <v/>
      </c>
      <c r="R671" s="57" t="str">
        <f aca="false">IF($N671="","",INDEX(BookRate,666)*(1+'5. Scenarios'!$D$10)*(INDEX(BookQ1,666)*(5-MIN(4,1+'5. Scenarios'!$D$8))/4+INDEX(BookQ2,666)*(5-MIN(4,2+'5. Scenarios'!$D$8))/4+INDEX(BookQ3,666)*(5-MIN(4,3+'5. Scenarios'!$D$8))/4+INDEX(BookQ4,666)*(5-MIN(4,4+'5. Scenarios'!$D$8))/4)*'5. Scenarios'!$D$6/(1+ProductivityDefault*('5. Scenarios'!$D$11-1))+INDEX(BookOneOff,666)*$N671)</f>
        <v/>
      </c>
      <c r="S671" s="56" t="str">
        <f aca="false">IF(INDEX(BookTitle,666)="","",INDEX(BookTotal,666)*'5. Scenarios'!$E$6/(1+ProductivityDefault*('5. Scenarios'!$E$11-1)))</f>
        <v/>
      </c>
      <c r="T671" s="57" t="str">
        <f aca="false">IF($S671="","",INDEX(BookRate,666)*(1+'5. Scenarios'!$E$10)*$S671)</f>
        <v/>
      </c>
      <c r="U671" s="57" t="str">
        <f aca="false">IF($T671="","",SUMIFS($T$6:$T$2405,$A$6:$A$2405,"&lt;="&amp;$A671))</f>
        <v/>
      </c>
      <c r="V671" s="57" t="str">
        <f aca="false">IF($T671="","",IF($U671&lt;=BankCostEnvelope*'5. Scenarios'!$E$7,1,0))</f>
        <v/>
      </c>
      <c r="W671" s="57" t="str">
        <f aca="false">IF($S671="","",INDEX(BookRate,666)*(1+'5. Scenarios'!$E$10)*(INDEX(BookQ1,666)*(5-MIN(4,1+'5. Scenarios'!$E$8))/4+INDEX(BookQ2,666)*(5-MIN(4,2+'5. Scenarios'!$E$8))/4+INDEX(BookQ3,666)*(5-MIN(4,3+'5. Scenarios'!$E$8))/4+INDEX(BookQ4,666)*(5-MIN(4,4+'5. Scenarios'!$E$8))/4)*'5. Scenarios'!$E$6/(1+ProductivityDefault*('5. Scenarios'!$E$11-1))+INDEX(BookOneOff,666)*$S671)</f>
        <v/>
      </c>
    </row>
    <row r="672" customFormat="false" ht="15" hidden="false" customHeight="false" outlineLevel="0" collapsed="false">
      <c r="A672" s="0" t="str">
        <f aca="false">IF(INDEX(BookTitle,667)="","",INDEX(BookKey,667))</f>
        <v/>
      </c>
      <c r="B672" s="0" t="str">
        <f aca="false">IF(INDEX(BookTitle,667)="","",INDEX(BookGroup,667))</f>
        <v/>
      </c>
      <c r="C672" s="0" t="str">
        <f aca="false">IF(INDEX(BookTitle,667)="","",INDEX(BookCategory,667))</f>
        <v/>
      </c>
      <c r="D672" s="56" t="str">
        <f aca="false">IF(INDEX(BookTitle,667)="","",INDEX(BookTotal,667)*'5. Scenarios'!$B$6/(1+ProductivityDefault*('5. Scenarios'!$B$11-1)))</f>
        <v/>
      </c>
      <c r="E672" s="57" t="str">
        <f aca="false">IF($D672="","",INDEX(BookRate,667)*(1+'5. Scenarios'!$B$10)*$D672)</f>
        <v/>
      </c>
      <c r="F672" s="57" t="str">
        <f aca="false">IF($E672="","",SUMIFS($E$6:$E$2405,$A$6:$A$2405,"&lt;="&amp;$A672))</f>
        <v/>
      </c>
      <c r="G672" s="57" t="str">
        <f aca="false">IF($E672="","",IF($F672&lt;=BankCostEnvelope*'5. Scenarios'!$B$7,1,0))</f>
        <v/>
      </c>
      <c r="H672" s="57" t="str">
        <f aca="false">IF($D672="","",INDEX(BookRate,667)*(1+'5. Scenarios'!$B$10)*(INDEX(BookQ1,667)*(5-MIN(4,1+'5. Scenarios'!$B$8))/4+INDEX(BookQ2,667)*(5-MIN(4,2+'5. Scenarios'!$B$8))/4+INDEX(BookQ3,667)*(5-MIN(4,3+'5. Scenarios'!$B$8))/4+INDEX(BookQ4,667)*(5-MIN(4,4+'5. Scenarios'!$B$8))/4)*'5. Scenarios'!$B$6/(1+ProductivityDefault*('5. Scenarios'!$B$11-1))+INDEX(BookOneOff,667)*$D672)</f>
        <v/>
      </c>
      <c r="I672" s="56" t="str">
        <f aca="false">IF(INDEX(BookTitle,667)="","",INDEX(BookTotal,667)*'5. Scenarios'!$C$6/(1+ProductivityDefault*('5. Scenarios'!$C$11-1)))</f>
        <v/>
      </c>
      <c r="J672" s="57" t="str">
        <f aca="false">IF($I672="","",INDEX(BookRate,667)*(1+'5. Scenarios'!$C$10)*$I672)</f>
        <v/>
      </c>
      <c r="K672" s="57" t="str">
        <f aca="false">IF($J672="","",SUMIFS($J$6:$J$2405,$A$6:$A$2405,"&lt;="&amp;$A672))</f>
        <v/>
      </c>
      <c r="L672" s="57" t="str">
        <f aca="false">IF($J672="","",IF($K672&lt;=BankCostEnvelope*'5. Scenarios'!$C$7,1,0))</f>
        <v/>
      </c>
      <c r="M672" s="57" t="str">
        <f aca="false">IF($I672="","",INDEX(BookRate,667)*(1+'5. Scenarios'!$C$10)*(INDEX(BookQ1,667)*(5-MIN(4,1+'5. Scenarios'!$C$8))/4+INDEX(BookQ2,667)*(5-MIN(4,2+'5. Scenarios'!$C$8))/4+INDEX(BookQ3,667)*(5-MIN(4,3+'5. Scenarios'!$C$8))/4+INDEX(BookQ4,667)*(5-MIN(4,4+'5. Scenarios'!$C$8))/4)*'5. Scenarios'!$C$6/(1+ProductivityDefault*('5. Scenarios'!$C$11-1))+INDEX(BookOneOff,667)*$I672)</f>
        <v/>
      </c>
      <c r="N672" s="56" t="str">
        <f aca="false">IF(INDEX(BookTitle,667)="","",INDEX(BookTotal,667)*'5. Scenarios'!$D$6/(1+ProductivityDefault*('5. Scenarios'!$D$11-1)))</f>
        <v/>
      </c>
      <c r="O672" s="57" t="str">
        <f aca="false">IF($N672="","",INDEX(BookRate,667)*(1+'5. Scenarios'!$D$10)*$N672)</f>
        <v/>
      </c>
      <c r="P672" s="57" t="str">
        <f aca="false">IF($O672="","",SUMIFS($O$6:$O$2405,$A$6:$A$2405,"&lt;="&amp;$A672))</f>
        <v/>
      </c>
      <c r="Q672" s="57" t="str">
        <f aca="false">IF($O672="","",IF($P672&lt;=BankCostEnvelope*'5. Scenarios'!$D$7,1,0))</f>
        <v/>
      </c>
      <c r="R672" s="57" t="str">
        <f aca="false">IF($N672="","",INDEX(BookRate,667)*(1+'5. Scenarios'!$D$10)*(INDEX(BookQ1,667)*(5-MIN(4,1+'5. Scenarios'!$D$8))/4+INDEX(BookQ2,667)*(5-MIN(4,2+'5. Scenarios'!$D$8))/4+INDEX(BookQ3,667)*(5-MIN(4,3+'5. Scenarios'!$D$8))/4+INDEX(BookQ4,667)*(5-MIN(4,4+'5. Scenarios'!$D$8))/4)*'5. Scenarios'!$D$6/(1+ProductivityDefault*('5. Scenarios'!$D$11-1))+INDEX(BookOneOff,667)*$N672)</f>
        <v/>
      </c>
      <c r="S672" s="56" t="str">
        <f aca="false">IF(INDEX(BookTitle,667)="","",INDEX(BookTotal,667)*'5. Scenarios'!$E$6/(1+ProductivityDefault*('5. Scenarios'!$E$11-1)))</f>
        <v/>
      </c>
      <c r="T672" s="57" t="str">
        <f aca="false">IF($S672="","",INDEX(BookRate,667)*(1+'5. Scenarios'!$E$10)*$S672)</f>
        <v/>
      </c>
      <c r="U672" s="57" t="str">
        <f aca="false">IF($T672="","",SUMIFS($T$6:$T$2405,$A$6:$A$2405,"&lt;="&amp;$A672))</f>
        <v/>
      </c>
      <c r="V672" s="57" t="str">
        <f aca="false">IF($T672="","",IF($U672&lt;=BankCostEnvelope*'5. Scenarios'!$E$7,1,0))</f>
        <v/>
      </c>
      <c r="W672" s="57" t="str">
        <f aca="false">IF($S672="","",INDEX(BookRate,667)*(1+'5. Scenarios'!$E$10)*(INDEX(BookQ1,667)*(5-MIN(4,1+'5. Scenarios'!$E$8))/4+INDEX(BookQ2,667)*(5-MIN(4,2+'5. Scenarios'!$E$8))/4+INDEX(BookQ3,667)*(5-MIN(4,3+'5. Scenarios'!$E$8))/4+INDEX(BookQ4,667)*(5-MIN(4,4+'5. Scenarios'!$E$8))/4)*'5. Scenarios'!$E$6/(1+ProductivityDefault*('5. Scenarios'!$E$11-1))+INDEX(BookOneOff,667)*$S672)</f>
        <v/>
      </c>
    </row>
    <row r="673" customFormat="false" ht="15" hidden="false" customHeight="false" outlineLevel="0" collapsed="false">
      <c r="A673" s="0" t="str">
        <f aca="false">IF(INDEX(BookTitle,668)="","",INDEX(BookKey,668))</f>
        <v/>
      </c>
      <c r="B673" s="0" t="str">
        <f aca="false">IF(INDEX(BookTitle,668)="","",INDEX(BookGroup,668))</f>
        <v/>
      </c>
      <c r="C673" s="0" t="str">
        <f aca="false">IF(INDEX(BookTitle,668)="","",INDEX(BookCategory,668))</f>
        <v/>
      </c>
      <c r="D673" s="56" t="str">
        <f aca="false">IF(INDEX(BookTitle,668)="","",INDEX(BookTotal,668)*'5. Scenarios'!$B$6/(1+ProductivityDefault*('5. Scenarios'!$B$11-1)))</f>
        <v/>
      </c>
      <c r="E673" s="57" t="str">
        <f aca="false">IF($D673="","",INDEX(BookRate,668)*(1+'5. Scenarios'!$B$10)*$D673)</f>
        <v/>
      </c>
      <c r="F673" s="57" t="str">
        <f aca="false">IF($E673="","",SUMIFS($E$6:$E$2405,$A$6:$A$2405,"&lt;="&amp;$A673))</f>
        <v/>
      </c>
      <c r="G673" s="57" t="str">
        <f aca="false">IF($E673="","",IF($F673&lt;=BankCostEnvelope*'5. Scenarios'!$B$7,1,0))</f>
        <v/>
      </c>
      <c r="H673" s="57" t="str">
        <f aca="false">IF($D673="","",INDEX(BookRate,668)*(1+'5. Scenarios'!$B$10)*(INDEX(BookQ1,668)*(5-MIN(4,1+'5. Scenarios'!$B$8))/4+INDEX(BookQ2,668)*(5-MIN(4,2+'5. Scenarios'!$B$8))/4+INDEX(BookQ3,668)*(5-MIN(4,3+'5. Scenarios'!$B$8))/4+INDEX(BookQ4,668)*(5-MIN(4,4+'5. Scenarios'!$B$8))/4)*'5. Scenarios'!$B$6/(1+ProductivityDefault*('5. Scenarios'!$B$11-1))+INDEX(BookOneOff,668)*$D673)</f>
        <v/>
      </c>
      <c r="I673" s="56" t="str">
        <f aca="false">IF(INDEX(BookTitle,668)="","",INDEX(BookTotal,668)*'5. Scenarios'!$C$6/(1+ProductivityDefault*('5. Scenarios'!$C$11-1)))</f>
        <v/>
      </c>
      <c r="J673" s="57" t="str">
        <f aca="false">IF($I673="","",INDEX(BookRate,668)*(1+'5. Scenarios'!$C$10)*$I673)</f>
        <v/>
      </c>
      <c r="K673" s="57" t="str">
        <f aca="false">IF($J673="","",SUMIFS($J$6:$J$2405,$A$6:$A$2405,"&lt;="&amp;$A673))</f>
        <v/>
      </c>
      <c r="L673" s="57" t="str">
        <f aca="false">IF($J673="","",IF($K673&lt;=BankCostEnvelope*'5. Scenarios'!$C$7,1,0))</f>
        <v/>
      </c>
      <c r="M673" s="57" t="str">
        <f aca="false">IF($I673="","",INDEX(BookRate,668)*(1+'5. Scenarios'!$C$10)*(INDEX(BookQ1,668)*(5-MIN(4,1+'5. Scenarios'!$C$8))/4+INDEX(BookQ2,668)*(5-MIN(4,2+'5. Scenarios'!$C$8))/4+INDEX(BookQ3,668)*(5-MIN(4,3+'5. Scenarios'!$C$8))/4+INDEX(BookQ4,668)*(5-MIN(4,4+'5. Scenarios'!$C$8))/4)*'5. Scenarios'!$C$6/(1+ProductivityDefault*('5. Scenarios'!$C$11-1))+INDEX(BookOneOff,668)*$I673)</f>
        <v/>
      </c>
      <c r="N673" s="56" t="str">
        <f aca="false">IF(INDEX(BookTitle,668)="","",INDEX(BookTotal,668)*'5. Scenarios'!$D$6/(1+ProductivityDefault*('5. Scenarios'!$D$11-1)))</f>
        <v/>
      </c>
      <c r="O673" s="57" t="str">
        <f aca="false">IF($N673="","",INDEX(BookRate,668)*(1+'5. Scenarios'!$D$10)*$N673)</f>
        <v/>
      </c>
      <c r="P673" s="57" t="str">
        <f aca="false">IF($O673="","",SUMIFS($O$6:$O$2405,$A$6:$A$2405,"&lt;="&amp;$A673))</f>
        <v/>
      </c>
      <c r="Q673" s="57" t="str">
        <f aca="false">IF($O673="","",IF($P673&lt;=BankCostEnvelope*'5. Scenarios'!$D$7,1,0))</f>
        <v/>
      </c>
      <c r="R673" s="57" t="str">
        <f aca="false">IF($N673="","",INDEX(BookRate,668)*(1+'5. Scenarios'!$D$10)*(INDEX(BookQ1,668)*(5-MIN(4,1+'5. Scenarios'!$D$8))/4+INDEX(BookQ2,668)*(5-MIN(4,2+'5. Scenarios'!$D$8))/4+INDEX(BookQ3,668)*(5-MIN(4,3+'5. Scenarios'!$D$8))/4+INDEX(BookQ4,668)*(5-MIN(4,4+'5. Scenarios'!$D$8))/4)*'5. Scenarios'!$D$6/(1+ProductivityDefault*('5. Scenarios'!$D$11-1))+INDEX(BookOneOff,668)*$N673)</f>
        <v/>
      </c>
      <c r="S673" s="56" t="str">
        <f aca="false">IF(INDEX(BookTitle,668)="","",INDEX(BookTotal,668)*'5. Scenarios'!$E$6/(1+ProductivityDefault*('5. Scenarios'!$E$11-1)))</f>
        <v/>
      </c>
      <c r="T673" s="57" t="str">
        <f aca="false">IF($S673="","",INDEX(BookRate,668)*(1+'5. Scenarios'!$E$10)*$S673)</f>
        <v/>
      </c>
      <c r="U673" s="57" t="str">
        <f aca="false">IF($T673="","",SUMIFS($T$6:$T$2405,$A$6:$A$2405,"&lt;="&amp;$A673))</f>
        <v/>
      </c>
      <c r="V673" s="57" t="str">
        <f aca="false">IF($T673="","",IF($U673&lt;=BankCostEnvelope*'5. Scenarios'!$E$7,1,0))</f>
        <v/>
      </c>
      <c r="W673" s="57" t="str">
        <f aca="false">IF($S673="","",INDEX(BookRate,668)*(1+'5. Scenarios'!$E$10)*(INDEX(BookQ1,668)*(5-MIN(4,1+'5. Scenarios'!$E$8))/4+INDEX(BookQ2,668)*(5-MIN(4,2+'5. Scenarios'!$E$8))/4+INDEX(BookQ3,668)*(5-MIN(4,3+'5. Scenarios'!$E$8))/4+INDEX(BookQ4,668)*(5-MIN(4,4+'5. Scenarios'!$E$8))/4)*'5. Scenarios'!$E$6/(1+ProductivityDefault*('5. Scenarios'!$E$11-1))+INDEX(BookOneOff,668)*$S673)</f>
        <v/>
      </c>
    </row>
    <row r="674" customFormat="false" ht="15" hidden="false" customHeight="false" outlineLevel="0" collapsed="false">
      <c r="A674" s="0" t="str">
        <f aca="false">IF(INDEX(BookTitle,669)="","",INDEX(BookKey,669))</f>
        <v/>
      </c>
      <c r="B674" s="0" t="str">
        <f aca="false">IF(INDEX(BookTitle,669)="","",INDEX(BookGroup,669))</f>
        <v/>
      </c>
      <c r="C674" s="0" t="str">
        <f aca="false">IF(INDEX(BookTitle,669)="","",INDEX(BookCategory,669))</f>
        <v/>
      </c>
      <c r="D674" s="56" t="str">
        <f aca="false">IF(INDEX(BookTitle,669)="","",INDEX(BookTotal,669)*'5. Scenarios'!$B$6/(1+ProductivityDefault*('5. Scenarios'!$B$11-1)))</f>
        <v/>
      </c>
      <c r="E674" s="57" t="str">
        <f aca="false">IF($D674="","",INDEX(BookRate,669)*(1+'5. Scenarios'!$B$10)*$D674)</f>
        <v/>
      </c>
      <c r="F674" s="57" t="str">
        <f aca="false">IF($E674="","",SUMIFS($E$6:$E$2405,$A$6:$A$2405,"&lt;="&amp;$A674))</f>
        <v/>
      </c>
      <c r="G674" s="57" t="str">
        <f aca="false">IF($E674="","",IF($F674&lt;=BankCostEnvelope*'5. Scenarios'!$B$7,1,0))</f>
        <v/>
      </c>
      <c r="H674" s="57" t="str">
        <f aca="false">IF($D674="","",INDEX(BookRate,669)*(1+'5. Scenarios'!$B$10)*(INDEX(BookQ1,669)*(5-MIN(4,1+'5. Scenarios'!$B$8))/4+INDEX(BookQ2,669)*(5-MIN(4,2+'5. Scenarios'!$B$8))/4+INDEX(BookQ3,669)*(5-MIN(4,3+'5. Scenarios'!$B$8))/4+INDEX(BookQ4,669)*(5-MIN(4,4+'5. Scenarios'!$B$8))/4)*'5. Scenarios'!$B$6/(1+ProductivityDefault*('5. Scenarios'!$B$11-1))+INDEX(BookOneOff,669)*$D674)</f>
        <v/>
      </c>
      <c r="I674" s="56" t="str">
        <f aca="false">IF(INDEX(BookTitle,669)="","",INDEX(BookTotal,669)*'5. Scenarios'!$C$6/(1+ProductivityDefault*('5. Scenarios'!$C$11-1)))</f>
        <v/>
      </c>
      <c r="J674" s="57" t="str">
        <f aca="false">IF($I674="","",INDEX(BookRate,669)*(1+'5. Scenarios'!$C$10)*$I674)</f>
        <v/>
      </c>
      <c r="K674" s="57" t="str">
        <f aca="false">IF($J674="","",SUMIFS($J$6:$J$2405,$A$6:$A$2405,"&lt;="&amp;$A674))</f>
        <v/>
      </c>
      <c r="L674" s="57" t="str">
        <f aca="false">IF($J674="","",IF($K674&lt;=BankCostEnvelope*'5. Scenarios'!$C$7,1,0))</f>
        <v/>
      </c>
      <c r="M674" s="57" t="str">
        <f aca="false">IF($I674="","",INDEX(BookRate,669)*(1+'5. Scenarios'!$C$10)*(INDEX(BookQ1,669)*(5-MIN(4,1+'5. Scenarios'!$C$8))/4+INDEX(BookQ2,669)*(5-MIN(4,2+'5. Scenarios'!$C$8))/4+INDEX(BookQ3,669)*(5-MIN(4,3+'5. Scenarios'!$C$8))/4+INDEX(BookQ4,669)*(5-MIN(4,4+'5. Scenarios'!$C$8))/4)*'5. Scenarios'!$C$6/(1+ProductivityDefault*('5. Scenarios'!$C$11-1))+INDEX(BookOneOff,669)*$I674)</f>
        <v/>
      </c>
      <c r="N674" s="56" t="str">
        <f aca="false">IF(INDEX(BookTitle,669)="","",INDEX(BookTotal,669)*'5. Scenarios'!$D$6/(1+ProductivityDefault*('5. Scenarios'!$D$11-1)))</f>
        <v/>
      </c>
      <c r="O674" s="57" t="str">
        <f aca="false">IF($N674="","",INDEX(BookRate,669)*(1+'5. Scenarios'!$D$10)*$N674)</f>
        <v/>
      </c>
      <c r="P674" s="57" t="str">
        <f aca="false">IF($O674="","",SUMIFS($O$6:$O$2405,$A$6:$A$2405,"&lt;="&amp;$A674))</f>
        <v/>
      </c>
      <c r="Q674" s="57" t="str">
        <f aca="false">IF($O674="","",IF($P674&lt;=BankCostEnvelope*'5. Scenarios'!$D$7,1,0))</f>
        <v/>
      </c>
      <c r="R674" s="57" t="str">
        <f aca="false">IF($N674="","",INDEX(BookRate,669)*(1+'5. Scenarios'!$D$10)*(INDEX(BookQ1,669)*(5-MIN(4,1+'5. Scenarios'!$D$8))/4+INDEX(BookQ2,669)*(5-MIN(4,2+'5. Scenarios'!$D$8))/4+INDEX(BookQ3,669)*(5-MIN(4,3+'5. Scenarios'!$D$8))/4+INDEX(BookQ4,669)*(5-MIN(4,4+'5. Scenarios'!$D$8))/4)*'5. Scenarios'!$D$6/(1+ProductivityDefault*('5. Scenarios'!$D$11-1))+INDEX(BookOneOff,669)*$N674)</f>
        <v/>
      </c>
      <c r="S674" s="56" t="str">
        <f aca="false">IF(INDEX(BookTitle,669)="","",INDEX(BookTotal,669)*'5. Scenarios'!$E$6/(1+ProductivityDefault*('5. Scenarios'!$E$11-1)))</f>
        <v/>
      </c>
      <c r="T674" s="57" t="str">
        <f aca="false">IF($S674="","",INDEX(BookRate,669)*(1+'5. Scenarios'!$E$10)*$S674)</f>
        <v/>
      </c>
      <c r="U674" s="57" t="str">
        <f aca="false">IF($T674="","",SUMIFS($T$6:$T$2405,$A$6:$A$2405,"&lt;="&amp;$A674))</f>
        <v/>
      </c>
      <c r="V674" s="57" t="str">
        <f aca="false">IF($T674="","",IF($U674&lt;=BankCostEnvelope*'5. Scenarios'!$E$7,1,0))</f>
        <v/>
      </c>
      <c r="W674" s="57" t="str">
        <f aca="false">IF($S674="","",INDEX(BookRate,669)*(1+'5. Scenarios'!$E$10)*(INDEX(BookQ1,669)*(5-MIN(4,1+'5. Scenarios'!$E$8))/4+INDEX(BookQ2,669)*(5-MIN(4,2+'5. Scenarios'!$E$8))/4+INDEX(BookQ3,669)*(5-MIN(4,3+'5. Scenarios'!$E$8))/4+INDEX(BookQ4,669)*(5-MIN(4,4+'5. Scenarios'!$E$8))/4)*'5. Scenarios'!$E$6/(1+ProductivityDefault*('5. Scenarios'!$E$11-1))+INDEX(BookOneOff,669)*$S674)</f>
        <v/>
      </c>
    </row>
    <row r="675" customFormat="false" ht="15" hidden="false" customHeight="false" outlineLevel="0" collapsed="false">
      <c r="A675" s="0" t="str">
        <f aca="false">IF(INDEX(BookTitle,670)="","",INDEX(BookKey,670))</f>
        <v/>
      </c>
      <c r="B675" s="0" t="str">
        <f aca="false">IF(INDEX(BookTitle,670)="","",INDEX(BookGroup,670))</f>
        <v/>
      </c>
      <c r="C675" s="0" t="str">
        <f aca="false">IF(INDEX(BookTitle,670)="","",INDEX(BookCategory,670))</f>
        <v/>
      </c>
      <c r="D675" s="56" t="str">
        <f aca="false">IF(INDEX(BookTitle,670)="","",INDEX(BookTotal,670)*'5. Scenarios'!$B$6/(1+ProductivityDefault*('5. Scenarios'!$B$11-1)))</f>
        <v/>
      </c>
      <c r="E675" s="57" t="str">
        <f aca="false">IF($D675="","",INDEX(BookRate,670)*(1+'5. Scenarios'!$B$10)*$D675)</f>
        <v/>
      </c>
      <c r="F675" s="57" t="str">
        <f aca="false">IF($E675="","",SUMIFS($E$6:$E$2405,$A$6:$A$2405,"&lt;="&amp;$A675))</f>
        <v/>
      </c>
      <c r="G675" s="57" t="str">
        <f aca="false">IF($E675="","",IF($F675&lt;=BankCostEnvelope*'5. Scenarios'!$B$7,1,0))</f>
        <v/>
      </c>
      <c r="H675" s="57" t="str">
        <f aca="false">IF($D675="","",INDEX(BookRate,670)*(1+'5. Scenarios'!$B$10)*(INDEX(BookQ1,670)*(5-MIN(4,1+'5. Scenarios'!$B$8))/4+INDEX(BookQ2,670)*(5-MIN(4,2+'5. Scenarios'!$B$8))/4+INDEX(BookQ3,670)*(5-MIN(4,3+'5. Scenarios'!$B$8))/4+INDEX(BookQ4,670)*(5-MIN(4,4+'5. Scenarios'!$B$8))/4)*'5. Scenarios'!$B$6/(1+ProductivityDefault*('5. Scenarios'!$B$11-1))+INDEX(BookOneOff,670)*$D675)</f>
        <v/>
      </c>
      <c r="I675" s="56" t="str">
        <f aca="false">IF(INDEX(BookTitle,670)="","",INDEX(BookTotal,670)*'5. Scenarios'!$C$6/(1+ProductivityDefault*('5. Scenarios'!$C$11-1)))</f>
        <v/>
      </c>
      <c r="J675" s="57" t="str">
        <f aca="false">IF($I675="","",INDEX(BookRate,670)*(1+'5. Scenarios'!$C$10)*$I675)</f>
        <v/>
      </c>
      <c r="K675" s="57" t="str">
        <f aca="false">IF($J675="","",SUMIFS($J$6:$J$2405,$A$6:$A$2405,"&lt;="&amp;$A675))</f>
        <v/>
      </c>
      <c r="L675" s="57" t="str">
        <f aca="false">IF($J675="","",IF($K675&lt;=BankCostEnvelope*'5. Scenarios'!$C$7,1,0))</f>
        <v/>
      </c>
      <c r="M675" s="57" t="str">
        <f aca="false">IF($I675="","",INDEX(BookRate,670)*(1+'5. Scenarios'!$C$10)*(INDEX(BookQ1,670)*(5-MIN(4,1+'5. Scenarios'!$C$8))/4+INDEX(BookQ2,670)*(5-MIN(4,2+'5. Scenarios'!$C$8))/4+INDEX(BookQ3,670)*(5-MIN(4,3+'5. Scenarios'!$C$8))/4+INDEX(BookQ4,670)*(5-MIN(4,4+'5. Scenarios'!$C$8))/4)*'5. Scenarios'!$C$6/(1+ProductivityDefault*('5. Scenarios'!$C$11-1))+INDEX(BookOneOff,670)*$I675)</f>
        <v/>
      </c>
      <c r="N675" s="56" t="str">
        <f aca="false">IF(INDEX(BookTitle,670)="","",INDEX(BookTotal,670)*'5. Scenarios'!$D$6/(1+ProductivityDefault*('5. Scenarios'!$D$11-1)))</f>
        <v/>
      </c>
      <c r="O675" s="57" t="str">
        <f aca="false">IF($N675="","",INDEX(BookRate,670)*(1+'5. Scenarios'!$D$10)*$N675)</f>
        <v/>
      </c>
      <c r="P675" s="57" t="str">
        <f aca="false">IF($O675="","",SUMIFS($O$6:$O$2405,$A$6:$A$2405,"&lt;="&amp;$A675))</f>
        <v/>
      </c>
      <c r="Q675" s="57" t="str">
        <f aca="false">IF($O675="","",IF($P675&lt;=BankCostEnvelope*'5. Scenarios'!$D$7,1,0))</f>
        <v/>
      </c>
      <c r="R675" s="57" t="str">
        <f aca="false">IF($N675="","",INDEX(BookRate,670)*(1+'5. Scenarios'!$D$10)*(INDEX(BookQ1,670)*(5-MIN(4,1+'5. Scenarios'!$D$8))/4+INDEX(BookQ2,670)*(5-MIN(4,2+'5. Scenarios'!$D$8))/4+INDEX(BookQ3,670)*(5-MIN(4,3+'5. Scenarios'!$D$8))/4+INDEX(BookQ4,670)*(5-MIN(4,4+'5. Scenarios'!$D$8))/4)*'5. Scenarios'!$D$6/(1+ProductivityDefault*('5. Scenarios'!$D$11-1))+INDEX(BookOneOff,670)*$N675)</f>
        <v/>
      </c>
      <c r="S675" s="56" t="str">
        <f aca="false">IF(INDEX(BookTitle,670)="","",INDEX(BookTotal,670)*'5. Scenarios'!$E$6/(1+ProductivityDefault*('5. Scenarios'!$E$11-1)))</f>
        <v/>
      </c>
      <c r="T675" s="57" t="str">
        <f aca="false">IF($S675="","",INDEX(BookRate,670)*(1+'5. Scenarios'!$E$10)*$S675)</f>
        <v/>
      </c>
      <c r="U675" s="57" t="str">
        <f aca="false">IF($T675="","",SUMIFS($T$6:$T$2405,$A$6:$A$2405,"&lt;="&amp;$A675))</f>
        <v/>
      </c>
      <c r="V675" s="57" t="str">
        <f aca="false">IF($T675="","",IF($U675&lt;=BankCostEnvelope*'5. Scenarios'!$E$7,1,0))</f>
        <v/>
      </c>
      <c r="W675" s="57" t="str">
        <f aca="false">IF($S675="","",INDEX(BookRate,670)*(1+'5. Scenarios'!$E$10)*(INDEX(BookQ1,670)*(5-MIN(4,1+'5. Scenarios'!$E$8))/4+INDEX(BookQ2,670)*(5-MIN(4,2+'5. Scenarios'!$E$8))/4+INDEX(BookQ3,670)*(5-MIN(4,3+'5. Scenarios'!$E$8))/4+INDEX(BookQ4,670)*(5-MIN(4,4+'5. Scenarios'!$E$8))/4)*'5. Scenarios'!$E$6/(1+ProductivityDefault*('5. Scenarios'!$E$11-1))+INDEX(BookOneOff,670)*$S675)</f>
        <v/>
      </c>
    </row>
    <row r="676" customFormat="false" ht="15" hidden="false" customHeight="false" outlineLevel="0" collapsed="false">
      <c r="A676" s="0" t="str">
        <f aca="false">IF(INDEX(BookTitle,671)="","",INDEX(BookKey,671))</f>
        <v/>
      </c>
      <c r="B676" s="0" t="str">
        <f aca="false">IF(INDEX(BookTitle,671)="","",INDEX(BookGroup,671))</f>
        <v/>
      </c>
      <c r="C676" s="0" t="str">
        <f aca="false">IF(INDEX(BookTitle,671)="","",INDEX(BookCategory,671))</f>
        <v/>
      </c>
      <c r="D676" s="56" t="str">
        <f aca="false">IF(INDEX(BookTitle,671)="","",INDEX(BookTotal,671)*'5. Scenarios'!$B$6/(1+ProductivityDefault*('5. Scenarios'!$B$11-1)))</f>
        <v/>
      </c>
      <c r="E676" s="57" t="str">
        <f aca="false">IF($D676="","",INDEX(BookRate,671)*(1+'5. Scenarios'!$B$10)*$D676)</f>
        <v/>
      </c>
      <c r="F676" s="57" t="str">
        <f aca="false">IF($E676="","",SUMIFS($E$6:$E$2405,$A$6:$A$2405,"&lt;="&amp;$A676))</f>
        <v/>
      </c>
      <c r="G676" s="57" t="str">
        <f aca="false">IF($E676="","",IF($F676&lt;=BankCostEnvelope*'5. Scenarios'!$B$7,1,0))</f>
        <v/>
      </c>
      <c r="H676" s="57" t="str">
        <f aca="false">IF($D676="","",INDEX(BookRate,671)*(1+'5. Scenarios'!$B$10)*(INDEX(BookQ1,671)*(5-MIN(4,1+'5. Scenarios'!$B$8))/4+INDEX(BookQ2,671)*(5-MIN(4,2+'5. Scenarios'!$B$8))/4+INDEX(BookQ3,671)*(5-MIN(4,3+'5. Scenarios'!$B$8))/4+INDEX(BookQ4,671)*(5-MIN(4,4+'5. Scenarios'!$B$8))/4)*'5. Scenarios'!$B$6/(1+ProductivityDefault*('5. Scenarios'!$B$11-1))+INDEX(BookOneOff,671)*$D676)</f>
        <v/>
      </c>
      <c r="I676" s="56" t="str">
        <f aca="false">IF(INDEX(BookTitle,671)="","",INDEX(BookTotal,671)*'5. Scenarios'!$C$6/(1+ProductivityDefault*('5. Scenarios'!$C$11-1)))</f>
        <v/>
      </c>
      <c r="J676" s="57" t="str">
        <f aca="false">IF($I676="","",INDEX(BookRate,671)*(1+'5. Scenarios'!$C$10)*$I676)</f>
        <v/>
      </c>
      <c r="K676" s="57" t="str">
        <f aca="false">IF($J676="","",SUMIFS($J$6:$J$2405,$A$6:$A$2405,"&lt;="&amp;$A676))</f>
        <v/>
      </c>
      <c r="L676" s="57" t="str">
        <f aca="false">IF($J676="","",IF($K676&lt;=BankCostEnvelope*'5. Scenarios'!$C$7,1,0))</f>
        <v/>
      </c>
      <c r="M676" s="57" t="str">
        <f aca="false">IF($I676="","",INDEX(BookRate,671)*(1+'5. Scenarios'!$C$10)*(INDEX(BookQ1,671)*(5-MIN(4,1+'5. Scenarios'!$C$8))/4+INDEX(BookQ2,671)*(5-MIN(4,2+'5. Scenarios'!$C$8))/4+INDEX(BookQ3,671)*(5-MIN(4,3+'5. Scenarios'!$C$8))/4+INDEX(BookQ4,671)*(5-MIN(4,4+'5. Scenarios'!$C$8))/4)*'5. Scenarios'!$C$6/(1+ProductivityDefault*('5. Scenarios'!$C$11-1))+INDEX(BookOneOff,671)*$I676)</f>
        <v/>
      </c>
      <c r="N676" s="56" t="str">
        <f aca="false">IF(INDEX(BookTitle,671)="","",INDEX(BookTotal,671)*'5. Scenarios'!$D$6/(1+ProductivityDefault*('5. Scenarios'!$D$11-1)))</f>
        <v/>
      </c>
      <c r="O676" s="57" t="str">
        <f aca="false">IF($N676="","",INDEX(BookRate,671)*(1+'5. Scenarios'!$D$10)*$N676)</f>
        <v/>
      </c>
      <c r="P676" s="57" t="str">
        <f aca="false">IF($O676="","",SUMIFS($O$6:$O$2405,$A$6:$A$2405,"&lt;="&amp;$A676))</f>
        <v/>
      </c>
      <c r="Q676" s="57" t="str">
        <f aca="false">IF($O676="","",IF($P676&lt;=BankCostEnvelope*'5. Scenarios'!$D$7,1,0))</f>
        <v/>
      </c>
      <c r="R676" s="57" t="str">
        <f aca="false">IF($N676="","",INDEX(BookRate,671)*(1+'5. Scenarios'!$D$10)*(INDEX(BookQ1,671)*(5-MIN(4,1+'5. Scenarios'!$D$8))/4+INDEX(BookQ2,671)*(5-MIN(4,2+'5. Scenarios'!$D$8))/4+INDEX(BookQ3,671)*(5-MIN(4,3+'5. Scenarios'!$D$8))/4+INDEX(BookQ4,671)*(5-MIN(4,4+'5. Scenarios'!$D$8))/4)*'5. Scenarios'!$D$6/(1+ProductivityDefault*('5. Scenarios'!$D$11-1))+INDEX(BookOneOff,671)*$N676)</f>
        <v/>
      </c>
      <c r="S676" s="56" t="str">
        <f aca="false">IF(INDEX(BookTitle,671)="","",INDEX(BookTotal,671)*'5. Scenarios'!$E$6/(1+ProductivityDefault*('5. Scenarios'!$E$11-1)))</f>
        <v/>
      </c>
      <c r="T676" s="57" t="str">
        <f aca="false">IF($S676="","",INDEX(BookRate,671)*(1+'5. Scenarios'!$E$10)*$S676)</f>
        <v/>
      </c>
      <c r="U676" s="57" t="str">
        <f aca="false">IF($T676="","",SUMIFS($T$6:$T$2405,$A$6:$A$2405,"&lt;="&amp;$A676))</f>
        <v/>
      </c>
      <c r="V676" s="57" t="str">
        <f aca="false">IF($T676="","",IF($U676&lt;=BankCostEnvelope*'5. Scenarios'!$E$7,1,0))</f>
        <v/>
      </c>
      <c r="W676" s="57" t="str">
        <f aca="false">IF($S676="","",INDEX(BookRate,671)*(1+'5. Scenarios'!$E$10)*(INDEX(BookQ1,671)*(5-MIN(4,1+'5. Scenarios'!$E$8))/4+INDEX(BookQ2,671)*(5-MIN(4,2+'5. Scenarios'!$E$8))/4+INDEX(BookQ3,671)*(5-MIN(4,3+'5. Scenarios'!$E$8))/4+INDEX(BookQ4,671)*(5-MIN(4,4+'5. Scenarios'!$E$8))/4)*'5. Scenarios'!$E$6/(1+ProductivityDefault*('5. Scenarios'!$E$11-1))+INDEX(BookOneOff,671)*$S676)</f>
        <v/>
      </c>
    </row>
    <row r="677" customFormat="false" ht="15" hidden="false" customHeight="false" outlineLevel="0" collapsed="false">
      <c r="A677" s="0" t="str">
        <f aca="false">IF(INDEX(BookTitle,672)="","",INDEX(BookKey,672))</f>
        <v/>
      </c>
      <c r="B677" s="0" t="str">
        <f aca="false">IF(INDEX(BookTitle,672)="","",INDEX(BookGroup,672))</f>
        <v/>
      </c>
      <c r="C677" s="0" t="str">
        <f aca="false">IF(INDEX(BookTitle,672)="","",INDEX(BookCategory,672))</f>
        <v/>
      </c>
      <c r="D677" s="56" t="str">
        <f aca="false">IF(INDEX(BookTitle,672)="","",INDEX(BookTotal,672)*'5. Scenarios'!$B$6/(1+ProductivityDefault*('5. Scenarios'!$B$11-1)))</f>
        <v/>
      </c>
      <c r="E677" s="57" t="str">
        <f aca="false">IF($D677="","",INDEX(BookRate,672)*(1+'5. Scenarios'!$B$10)*$D677)</f>
        <v/>
      </c>
      <c r="F677" s="57" t="str">
        <f aca="false">IF($E677="","",SUMIFS($E$6:$E$2405,$A$6:$A$2405,"&lt;="&amp;$A677))</f>
        <v/>
      </c>
      <c r="G677" s="57" t="str">
        <f aca="false">IF($E677="","",IF($F677&lt;=BankCostEnvelope*'5. Scenarios'!$B$7,1,0))</f>
        <v/>
      </c>
      <c r="H677" s="57" t="str">
        <f aca="false">IF($D677="","",INDEX(BookRate,672)*(1+'5. Scenarios'!$B$10)*(INDEX(BookQ1,672)*(5-MIN(4,1+'5. Scenarios'!$B$8))/4+INDEX(BookQ2,672)*(5-MIN(4,2+'5. Scenarios'!$B$8))/4+INDEX(BookQ3,672)*(5-MIN(4,3+'5. Scenarios'!$B$8))/4+INDEX(BookQ4,672)*(5-MIN(4,4+'5. Scenarios'!$B$8))/4)*'5. Scenarios'!$B$6/(1+ProductivityDefault*('5. Scenarios'!$B$11-1))+INDEX(BookOneOff,672)*$D677)</f>
        <v/>
      </c>
      <c r="I677" s="56" t="str">
        <f aca="false">IF(INDEX(BookTitle,672)="","",INDEX(BookTotal,672)*'5. Scenarios'!$C$6/(1+ProductivityDefault*('5. Scenarios'!$C$11-1)))</f>
        <v/>
      </c>
      <c r="J677" s="57" t="str">
        <f aca="false">IF($I677="","",INDEX(BookRate,672)*(1+'5. Scenarios'!$C$10)*$I677)</f>
        <v/>
      </c>
      <c r="K677" s="57" t="str">
        <f aca="false">IF($J677="","",SUMIFS($J$6:$J$2405,$A$6:$A$2405,"&lt;="&amp;$A677))</f>
        <v/>
      </c>
      <c r="L677" s="57" t="str">
        <f aca="false">IF($J677="","",IF($K677&lt;=BankCostEnvelope*'5. Scenarios'!$C$7,1,0))</f>
        <v/>
      </c>
      <c r="M677" s="57" t="str">
        <f aca="false">IF($I677="","",INDEX(BookRate,672)*(1+'5. Scenarios'!$C$10)*(INDEX(BookQ1,672)*(5-MIN(4,1+'5. Scenarios'!$C$8))/4+INDEX(BookQ2,672)*(5-MIN(4,2+'5. Scenarios'!$C$8))/4+INDEX(BookQ3,672)*(5-MIN(4,3+'5. Scenarios'!$C$8))/4+INDEX(BookQ4,672)*(5-MIN(4,4+'5. Scenarios'!$C$8))/4)*'5. Scenarios'!$C$6/(1+ProductivityDefault*('5. Scenarios'!$C$11-1))+INDEX(BookOneOff,672)*$I677)</f>
        <v/>
      </c>
      <c r="N677" s="56" t="str">
        <f aca="false">IF(INDEX(BookTitle,672)="","",INDEX(BookTotal,672)*'5. Scenarios'!$D$6/(1+ProductivityDefault*('5. Scenarios'!$D$11-1)))</f>
        <v/>
      </c>
      <c r="O677" s="57" t="str">
        <f aca="false">IF($N677="","",INDEX(BookRate,672)*(1+'5. Scenarios'!$D$10)*$N677)</f>
        <v/>
      </c>
      <c r="P677" s="57" t="str">
        <f aca="false">IF($O677="","",SUMIFS($O$6:$O$2405,$A$6:$A$2405,"&lt;="&amp;$A677))</f>
        <v/>
      </c>
      <c r="Q677" s="57" t="str">
        <f aca="false">IF($O677="","",IF($P677&lt;=BankCostEnvelope*'5. Scenarios'!$D$7,1,0))</f>
        <v/>
      </c>
      <c r="R677" s="57" t="str">
        <f aca="false">IF($N677="","",INDEX(BookRate,672)*(1+'5. Scenarios'!$D$10)*(INDEX(BookQ1,672)*(5-MIN(4,1+'5. Scenarios'!$D$8))/4+INDEX(BookQ2,672)*(5-MIN(4,2+'5. Scenarios'!$D$8))/4+INDEX(BookQ3,672)*(5-MIN(4,3+'5. Scenarios'!$D$8))/4+INDEX(BookQ4,672)*(5-MIN(4,4+'5. Scenarios'!$D$8))/4)*'5. Scenarios'!$D$6/(1+ProductivityDefault*('5. Scenarios'!$D$11-1))+INDEX(BookOneOff,672)*$N677)</f>
        <v/>
      </c>
      <c r="S677" s="56" t="str">
        <f aca="false">IF(INDEX(BookTitle,672)="","",INDEX(BookTotal,672)*'5. Scenarios'!$E$6/(1+ProductivityDefault*('5. Scenarios'!$E$11-1)))</f>
        <v/>
      </c>
      <c r="T677" s="57" t="str">
        <f aca="false">IF($S677="","",INDEX(BookRate,672)*(1+'5. Scenarios'!$E$10)*$S677)</f>
        <v/>
      </c>
      <c r="U677" s="57" t="str">
        <f aca="false">IF($T677="","",SUMIFS($T$6:$T$2405,$A$6:$A$2405,"&lt;="&amp;$A677))</f>
        <v/>
      </c>
      <c r="V677" s="57" t="str">
        <f aca="false">IF($T677="","",IF($U677&lt;=BankCostEnvelope*'5. Scenarios'!$E$7,1,0))</f>
        <v/>
      </c>
      <c r="W677" s="57" t="str">
        <f aca="false">IF($S677="","",INDEX(BookRate,672)*(1+'5. Scenarios'!$E$10)*(INDEX(BookQ1,672)*(5-MIN(4,1+'5. Scenarios'!$E$8))/4+INDEX(BookQ2,672)*(5-MIN(4,2+'5. Scenarios'!$E$8))/4+INDEX(BookQ3,672)*(5-MIN(4,3+'5. Scenarios'!$E$8))/4+INDEX(BookQ4,672)*(5-MIN(4,4+'5. Scenarios'!$E$8))/4)*'5. Scenarios'!$E$6/(1+ProductivityDefault*('5. Scenarios'!$E$11-1))+INDEX(BookOneOff,672)*$S677)</f>
        <v/>
      </c>
    </row>
    <row r="678" customFormat="false" ht="15" hidden="false" customHeight="false" outlineLevel="0" collapsed="false">
      <c r="A678" s="0" t="str">
        <f aca="false">IF(INDEX(BookTitle,673)="","",INDEX(BookKey,673))</f>
        <v/>
      </c>
      <c r="B678" s="0" t="str">
        <f aca="false">IF(INDEX(BookTitle,673)="","",INDEX(BookGroup,673))</f>
        <v/>
      </c>
      <c r="C678" s="0" t="str">
        <f aca="false">IF(INDEX(BookTitle,673)="","",INDEX(BookCategory,673))</f>
        <v/>
      </c>
      <c r="D678" s="56" t="str">
        <f aca="false">IF(INDEX(BookTitle,673)="","",INDEX(BookTotal,673)*'5. Scenarios'!$B$6/(1+ProductivityDefault*('5. Scenarios'!$B$11-1)))</f>
        <v/>
      </c>
      <c r="E678" s="57" t="str">
        <f aca="false">IF($D678="","",INDEX(BookRate,673)*(1+'5. Scenarios'!$B$10)*$D678)</f>
        <v/>
      </c>
      <c r="F678" s="57" t="str">
        <f aca="false">IF($E678="","",SUMIFS($E$6:$E$2405,$A$6:$A$2405,"&lt;="&amp;$A678))</f>
        <v/>
      </c>
      <c r="G678" s="57" t="str">
        <f aca="false">IF($E678="","",IF($F678&lt;=BankCostEnvelope*'5. Scenarios'!$B$7,1,0))</f>
        <v/>
      </c>
      <c r="H678" s="57" t="str">
        <f aca="false">IF($D678="","",INDEX(BookRate,673)*(1+'5. Scenarios'!$B$10)*(INDEX(BookQ1,673)*(5-MIN(4,1+'5. Scenarios'!$B$8))/4+INDEX(BookQ2,673)*(5-MIN(4,2+'5. Scenarios'!$B$8))/4+INDEX(BookQ3,673)*(5-MIN(4,3+'5. Scenarios'!$B$8))/4+INDEX(BookQ4,673)*(5-MIN(4,4+'5. Scenarios'!$B$8))/4)*'5. Scenarios'!$B$6/(1+ProductivityDefault*('5. Scenarios'!$B$11-1))+INDEX(BookOneOff,673)*$D678)</f>
        <v/>
      </c>
      <c r="I678" s="56" t="str">
        <f aca="false">IF(INDEX(BookTitle,673)="","",INDEX(BookTotal,673)*'5. Scenarios'!$C$6/(1+ProductivityDefault*('5. Scenarios'!$C$11-1)))</f>
        <v/>
      </c>
      <c r="J678" s="57" t="str">
        <f aca="false">IF($I678="","",INDEX(BookRate,673)*(1+'5. Scenarios'!$C$10)*$I678)</f>
        <v/>
      </c>
      <c r="K678" s="57" t="str">
        <f aca="false">IF($J678="","",SUMIFS($J$6:$J$2405,$A$6:$A$2405,"&lt;="&amp;$A678))</f>
        <v/>
      </c>
      <c r="L678" s="57" t="str">
        <f aca="false">IF($J678="","",IF($K678&lt;=BankCostEnvelope*'5. Scenarios'!$C$7,1,0))</f>
        <v/>
      </c>
      <c r="M678" s="57" t="str">
        <f aca="false">IF($I678="","",INDEX(BookRate,673)*(1+'5. Scenarios'!$C$10)*(INDEX(BookQ1,673)*(5-MIN(4,1+'5. Scenarios'!$C$8))/4+INDEX(BookQ2,673)*(5-MIN(4,2+'5. Scenarios'!$C$8))/4+INDEX(BookQ3,673)*(5-MIN(4,3+'5. Scenarios'!$C$8))/4+INDEX(BookQ4,673)*(5-MIN(4,4+'5. Scenarios'!$C$8))/4)*'5. Scenarios'!$C$6/(1+ProductivityDefault*('5. Scenarios'!$C$11-1))+INDEX(BookOneOff,673)*$I678)</f>
        <v/>
      </c>
      <c r="N678" s="56" t="str">
        <f aca="false">IF(INDEX(BookTitle,673)="","",INDEX(BookTotal,673)*'5. Scenarios'!$D$6/(1+ProductivityDefault*('5. Scenarios'!$D$11-1)))</f>
        <v/>
      </c>
      <c r="O678" s="57" t="str">
        <f aca="false">IF($N678="","",INDEX(BookRate,673)*(1+'5. Scenarios'!$D$10)*$N678)</f>
        <v/>
      </c>
      <c r="P678" s="57" t="str">
        <f aca="false">IF($O678="","",SUMIFS($O$6:$O$2405,$A$6:$A$2405,"&lt;="&amp;$A678))</f>
        <v/>
      </c>
      <c r="Q678" s="57" t="str">
        <f aca="false">IF($O678="","",IF($P678&lt;=BankCostEnvelope*'5. Scenarios'!$D$7,1,0))</f>
        <v/>
      </c>
      <c r="R678" s="57" t="str">
        <f aca="false">IF($N678="","",INDEX(BookRate,673)*(1+'5. Scenarios'!$D$10)*(INDEX(BookQ1,673)*(5-MIN(4,1+'5. Scenarios'!$D$8))/4+INDEX(BookQ2,673)*(5-MIN(4,2+'5. Scenarios'!$D$8))/4+INDEX(BookQ3,673)*(5-MIN(4,3+'5. Scenarios'!$D$8))/4+INDEX(BookQ4,673)*(5-MIN(4,4+'5. Scenarios'!$D$8))/4)*'5. Scenarios'!$D$6/(1+ProductivityDefault*('5. Scenarios'!$D$11-1))+INDEX(BookOneOff,673)*$N678)</f>
        <v/>
      </c>
      <c r="S678" s="56" t="str">
        <f aca="false">IF(INDEX(BookTitle,673)="","",INDEX(BookTotal,673)*'5. Scenarios'!$E$6/(1+ProductivityDefault*('5. Scenarios'!$E$11-1)))</f>
        <v/>
      </c>
      <c r="T678" s="57" t="str">
        <f aca="false">IF($S678="","",INDEX(BookRate,673)*(1+'5. Scenarios'!$E$10)*$S678)</f>
        <v/>
      </c>
      <c r="U678" s="57" t="str">
        <f aca="false">IF($T678="","",SUMIFS($T$6:$T$2405,$A$6:$A$2405,"&lt;="&amp;$A678))</f>
        <v/>
      </c>
      <c r="V678" s="57" t="str">
        <f aca="false">IF($T678="","",IF($U678&lt;=BankCostEnvelope*'5. Scenarios'!$E$7,1,0))</f>
        <v/>
      </c>
      <c r="W678" s="57" t="str">
        <f aca="false">IF($S678="","",INDEX(BookRate,673)*(1+'5. Scenarios'!$E$10)*(INDEX(BookQ1,673)*(5-MIN(4,1+'5. Scenarios'!$E$8))/4+INDEX(BookQ2,673)*(5-MIN(4,2+'5. Scenarios'!$E$8))/4+INDEX(BookQ3,673)*(5-MIN(4,3+'5. Scenarios'!$E$8))/4+INDEX(BookQ4,673)*(5-MIN(4,4+'5. Scenarios'!$E$8))/4)*'5. Scenarios'!$E$6/(1+ProductivityDefault*('5. Scenarios'!$E$11-1))+INDEX(BookOneOff,673)*$S678)</f>
        <v/>
      </c>
    </row>
    <row r="679" customFormat="false" ht="15" hidden="false" customHeight="false" outlineLevel="0" collapsed="false">
      <c r="A679" s="0" t="str">
        <f aca="false">IF(INDEX(BookTitle,674)="","",INDEX(BookKey,674))</f>
        <v/>
      </c>
      <c r="B679" s="0" t="str">
        <f aca="false">IF(INDEX(BookTitle,674)="","",INDEX(BookGroup,674))</f>
        <v/>
      </c>
      <c r="C679" s="0" t="str">
        <f aca="false">IF(INDEX(BookTitle,674)="","",INDEX(BookCategory,674))</f>
        <v/>
      </c>
      <c r="D679" s="56" t="str">
        <f aca="false">IF(INDEX(BookTitle,674)="","",INDEX(BookTotal,674)*'5. Scenarios'!$B$6/(1+ProductivityDefault*('5. Scenarios'!$B$11-1)))</f>
        <v/>
      </c>
      <c r="E679" s="57" t="str">
        <f aca="false">IF($D679="","",INDEX(BookRate,674)*(1+'5. Scenarios'!$B$10)*$D679)</f>
        <v/>
      </c>
      <c r="F679" s="57" t="str">
        <f aca="false">IF($E679="","",SUMIFS($E$6:$E$2405,$A$6:$A$2405,"&lt;="&amp;$A679))</f>
        <v/>
      </c>
      <c r="G679" s="57" t="str">
        <f aca="false">IF($E679="","",IF($F679&lt;=BankCostEnvelope*'5. Scenarios'!$B$7,1,0))</f>
        <v/>
      </c>
      <c r="H679" s="57" t="str">
        <f aca="false">IF($D679="","",INDEX(BookRate,674)*(1+'5. Scenarios'!$B$10)*(INDEX(BookQ1,674)*(5-MIN(4,1+'5. Scenarios'!$B$8))/4+INDEX(BookQ2,674)*(5-MIN(4,2+'5. Scenarios'!$B$8))/4+INDEX(BookQ3,674)*(5-MIN(4,3+'5. Scenarios'!$B$8))/4+INDEX(BookQ4,674)*(5-MIN(4,4+'5. Scenarios'!$B$8))/4)*'5. Scenarios'!$B$6/(1+ProductivityDefault*('5. Scenarios'!$B$11-1))+INDEX(BookOneOff,674)*$D679)</f>
        <v/>
      </c>
      <c r="I679" s="56" t="str">
        <f aca="false">IF(INDEX(BookTitle,674)="","",INDEX(BookTotal,674)*'5. Scenarios'!$C$6/(1+ProductivityDefault*('5. Scenarios'!$C$11-1)))</f>
        <v/>
      </c>
      <c r="J679" s="57" t="str">
        <f aca="false">IF($I679="","",INDEX(BookRate,674)*(1+'5. Scenarios'!$C$10)*$I679)</f>
        <v/>
      </c>
      <c r="K679" s="57" t="str">
        <f aca="false">IF($J679="","",SUMIFS($J$6:$J$2405,$A$6:$A$2405,"&lt;="&amp;$A679))</f>
        <v/>
      </c>
      <c r="L679" s="57" t="str">
        <f aca="false">IF($J679="","",IF($K679&lt;=BankCostEnvelope*'5. Scenarios'!$C$7,1,0))</f>
        <v/>
      </c>
      <c r="M679" s="57" t="str">
        <f aca="false">IF($I679="","",INDEX(BookRate,674)*(1+'5. Scenarios'!$C$10)*(INDEX(BookQ1,674)*(5-MIN(4,1+'5. Scenarios'!$C$8))/4+INDEX(BookQ2,674)*(5-MIN(4,2+'5. Scenarios'!$C$8))/4+INDEX(BookQ3,674)*(5-MIN(4,3+'5. Scenarios'!$C$8))/4+INDEX(BookQ4,674)*(5-MIN(4,4+'5. Scenarios'!$C$8))/4)*'5. Scenarios'!$C$6/(1+ProductivityDefault*('5. Scenarios'!$C$11-1))+INDEX(BookOneOff,674)*$I679)</f>
        <v/>
      </c>
      <c r="N679" s="56" t="str">
        <f aca="false">IF(INDEX(BookTitle,674)="","",INDEX(BookTotal,674)*'5. Scenarios'!$D$6/(1+ProductivityDefault*('5. Scenarios'!$D$11-1)))</f>
        <v/>
      </c>
      <c r="O679" s="57" t="str">
        <f aca="false">IF($N679="","",INDEX(BookRate,674)*(1+'5. Scenarios'!$D$10)*$N679)</f>
        <v/>
      </c>
      <c r="P679" s="57" t="str">
        <f aca="false">IF($O679="","",SUMIFS($O$6:$O$2405,$A$6:$A$2405,"&lt;="&amp;$A679))</f>
        <v/>
      </c>
      <c r="Q679" s="57" t="str">
        <f aca="false">IF($O679="","",IF($P679&lt;=BankCostEnvelope*'5. Scenarios'!$D$7,1,0))</f>
        <v/>
      </c>
      <c r="R679" s="57" t="str">
        <f aca="false">IF($N679="","",INDEX(BookRate,674)*(1+'5. Scenarios'!$D$10)*(INDEX(BookQ1,674)*(5-MIN(4,1+'5. Scenarios'!$D$8))/4+INDEX(BookQ2,674)*(5-MIN(4,2+'5. Scenarios'!$D$8))/4+INDEX(BookQ3,674)*(5-MIN(4,3+'5. Scenarios'!$D$8))/4+INDEX(BookQ4,674)*(5-MIN(4,4+'5. Scenarios'!$D$8))/4)*'5. Scenarios'!$D$6/(1+ProductivityDefault*('5. Scenarios'!$D$11-1))+INDEX(BookOneOff,674)*$N679)</f>
        <v/>
      </c>
      <c r="S679" s="56" t="str">
        <f aca="false">IF(INDEX(BookTitle,674)="","",INDEX(BookTotal,674)*'5. Scenarios'!$E$6/(1+ProductivityDefault*('5. Scenarios'!$E$11-1)))</f>
        <v/>
      </c>
      <c r="T679" s="57" t="str">
        <f aca="false">IF($S679="","",INDEX(BookRate,674)*(1+'5. Scenarios'!$E$10)*$S679)</f>
        <v/>
      </c>
      <c r="U679" s="57" t="str">
        <f aca="false">IF($T679="","",SUMIFS($T$6:$T$2405,$A$6:$A$2405,"&lt;="&amp;$A679))</f>
        <v/>
      </c>
      <c r="V679" s="57" t="str">
        <f aca="false">IF($T679="","",IF($U679&lt;=BankCostEnvelope*'5. Scenarios'!$E$7,1,0))</f>
        <v/>
      </c>
      <c r="W679" s="57" t="str">
        <f aca="false">IF($S679="","",INDEX(BookRate,674)*(1+'5. Scenarios'!$E$10)*(INDEX(BookQ1,674)*(5-MIN(4,1+'5. Scenarios'!$E$8))/4+INDEX(BookQ2,674)*(5-MIN(4,2+'5. Scenarios'!$E$8))/4+INDEX(BookQ3,674)*(5-MIN(4,3+'5. Scenarios'!$E$8))/4+INDEX(BookQ4,674)*(5-MIN(4,4+'5. Scenarios'!$E$8))/4)*'5. Scenarios'!$E$6/(1+ProductivityDefault*('5. Scenarios'!$E$11-1))+INDEX(BookOneOff,674)*$S679)</f>
        <v/>
      </c>
    </row>
    <row r="680" customFormat="false" ht="15" hidden="false" customHeight="false" outlineLevel="0" collapsed="false">
      <c r="A680" s="0" t="str">
        <f aca="false">IF(INDEX(BookTitle,675)="","",INDEX(BookKey,675))</f>
        <v/>
      </c>
      <c r="B680" s="0" t="str">
        <f aca="false">IF(INDEX(BookTitle,675)="","",INDEX(BookGroup,675))</f>
        <v/>
      </c>
      <c r="C680" s="0" t="str">
        <f aca="false">IF(INDEX(BookTitle,675)="","",INDEX(BookCategory,675))</f>
        <v/>
      </c>
      <c r="D680" s="56" t="str">
        <f aca="false">IF(INDEX(BookTitle,675)="","",INDEX(BookTotal,675)*'5. Scenarios'!$B$6/(1+ProductivityDefault*('5. Scenarios'!$B$11-1)))</f>
        <v/>
      </c>
      <c r="E680" s="57" t="str">
        <f aca="false">IF($D680="","",INDEX(BookRate,675)*(1+'5. Scenarios'!$B$10)*$D680)</f>
        <v/>
      </c>
      <c r="F680" s="57" t="str">
        <f aca="false">IF($E680="","",SUMIFS($E$6:$E$2405,$A$6:$A$2405,"&lt;="&amp;$A680))</f>
        <v/>
      </c>
      <c r="G680" s="57" t="str">
        <f aca="false">IF($E680="","",IF($F680&lt;=BankCostEnvelope*'5. Scenarios'!$B$7,1,0))</f>
        <v/>
      </c>
      <c r="H680" s="57" t="str">
        <f aca="false">IF($D680="","",INDEX(BookRate,675)*(1+'5. Scenarios'!$B$10)*(INDEX(BookQ1,675)*(5-MIN(4,1+'5. Scenarios'!$B$8))/4+INDEX(BookQ2,675)*(5-MIN(4,2+'5. Scenarios'!$B$8))/4+INDEX(BookQ3,675)*(5-MIN(4,3+'5. Scenarios'!$B$8))/4+INDEX(BookQ4,675)*(5-MIN(4,4+'5. Scenarios'!$B$8))/4)*'5. Scenarios'!$B$6/(1+ProductivityDefault*('5. Scenarios'!$B$11-1))+INDEX(BookOneOff,675)*$D680)</f>
        <v/>
      </c>
      <c r="I680" s="56" t="str">
        <f aca="false">IF(INDEX(BookTitle,675)="","",INDEX(BookTotal,675)*'5. Scenarios'!$C$6/(1+ProductivityDefault*('5. Scenarios'!$C$11-1)))</f>
        <v/>
      </c>
      <c r="J680" s="57" t="str">
        <f aca="false">IF($I680="","",INDEX(BookRate,675)*(1+'5. Scenarios'!$C$10)*$I680)</f>
        <v/>
      </c>
      <c r="K680" s="57" t="str">
        <f aca="false">IF($J680="","",SUMIFS($J$6:$J$2405,$A$6:$A$2405,"&lt;="&amp;$A680))</f>
        <v/>
      </c>
      <c r="L680" s="57" t="str">
        <f aca="false">IF($J680="","",IF($K680&lt;=BankCostEnvelope*'5. Scenarios'!$C$7,1,0))</f>
        <v/>
      </c>
      <c r="M680" s="57" t="str">
        <f aca="false">IF($I680="","",INDEX(BookRate,675)*(1+'5. Scenarios'!$C$10)*(INDEX(BookQ1,675)*(5-MIN(4,1+'5. Scenarios'!$C$8))/4+INDEX(BookQ2,675)*(5-MIN(4,2+'5. Scenarios'!$C$8))/4+INDEX(BookQ3,675)*(5-MIN(4,3+'5. Scenarios'!$C$8))/4+INDEX(BookQ4,675)*(5-MIN(4,4+'5. Scenarios'!$C$8))/4)*'5. Scenarios'!$C$6/(1+ProductivityDefault*('5. Scenarios'!$C$11-1))+INDEX(BookOneOff,675)*$I680)</f>
        <v/>
      </c>
      <c r="N680" s="56" t="str">
        <f aca="false">IF(INDEX(BookTitle,675)="","",INDEX(BookTotal,675)*'5. Scenarios'!$D$6/(1+ProductivityDefault*('5. Scenarios'!$D$11-1)))</f>
        <v/>
      </c>
      <c r="O680" s="57" t="str">
        <f aca="false">IF($N680="","",INDEX(BookRate,675)*(1+'5. Scenarios'!$D$10)*$N680)</f>
        <v/>
      </c>
      <c r="P680" s="57" t="str">
        <f aca="false">IF($O680="","",SUMIFS($O$6:$O$2405,$A$6:$A$2405,"&lt;="&amp;$A680))</f>
        <v/>
      </c>
      <c r="Q680" s="57" t="str">
        <f aca="false">IF($O680="","",IF($P680&lt;=BankCostEnvelope*'5. Scenarios'!$D$7,1,0))</f>
        <v/>
      </c>
      <c r="R680" s="57" t="str">
        <f aca="false">IF($N680="","",INDEX(BookRate,675)*(1+'5. Scenarios'!$D$10)*(INDEX(BookQ1,675)*(5-MIN(4,1+'5. Scenarios'!$D$8))/4+INDEX(BookQ2,675)*(5-MIN(4,2+'5. Scenarios'!$D$8))/4+INDEX(BookQ3,675)*(5-MIN(4,3+'5. Scenarios'!$D$8))/4+INDEX(BookQ4,675)*(5-MIN(4,4+'5. Scenarios'!$D$8))/4)*'5. Scenarios'!$D$6/(1+ProductivityDefault*('5. Scenarios'!$D$11-1))+INDEX(BookOneOff,675)*$N680)</f>
        <v/>
      </c>
      <c r="S680" s="56" t="str">
        <f aca="false">IF(INDEX(BookTitle,675)="","",INDEX(BookTotal,675)*'5. Scenarios'!$E$6/(1+ProductivityDefault*('5. Scenarios'!$E$11-1)))</f>
        <v/>
      </c>
      <c r="T680" s="57" t="str">
        <f aca="false">IF($S680="","",INDEX(BookRate,675)*(1+'5. Scenarios'!$E$10)*$S680)</f>
        <v/>
      </c>
      <c r="U680" s="57" t="str">
        <f aca="false">IF($T680="","",SUMIFS($T$6:$T$2405,$A$6:$A$2405,"&lt;="&amp;$A680))</f>
        <v/>
      </c>
      <c r="V680" s="57" t="str">
        <f aca="false">IF($T680="","",IF($U680&lt;=BankCostEnvelope*'5. Scenarios'!$E$7,1,0))</f>
        <v/>
      </c>
      <c r="W680" s="57" t="str">
        <f aca="false">IF($S680="","",INDEX(BookRate,675)*(1+'5. Scenarios'!$E$10)*(INDEX(BookQ1,675)*(5-MIN(4,1+'5. Scenarios'!$E$8))/4+INDEX(BookQ2,675)*(5-MIN(4,2+'5. Scenarios'!$E$8))/4+INDEX(BookQ3,675)*(5-MIN(4,3+'5. Scenarios'!$E$8))/4+INDEX(BookQ4,675)*(5-MIN(4,4+'5. Scenarios'!$E$8))/4)*'5. Scenarios'!$E$6/(1+ProductivityDefault*('5. Scenarios'!$E$11-1))+INDEX(BookOneOff,675)*$S680)</f>
        <v/>
      </c>
    </row>
    <row r="681" customFormat="false" ht="15" hidden="false" customHeight="false" outlineLevel="0" collapsed="false">
      <c r="A681" s="0" t="str">
        <f aca="false">IF(INDEX(BookTitle,676)="","",INDEX(BookKey,676))</f>
        <v/>
      </c>
      <c r="B681" s="0" t="str">
        <f aca="false">IF(INDEX(BookTitle,676)="","",INDEX(BookGroup,676))</f>
        <v/>
      </c>
      <c r="C681" s="0" t="str">
        <f aca="false">IF(INDEX(BookTitle,676)="","",INDEX(BookCategory,676))</f>
        <v/>
      </c>
      <c r="D681" s="56" t="str">
        <f aca="false">IF(INDEX(BookTitle,676)="","",INDEX(BookTotal,676)*'5. Scenarios'!$B$6/(1+ProductivityDefault*('5. Scenarios'!$B$11-1)))</f>
        <v/>
      </c>
      <c r="E681" s="57" t="str">
        <f aca="false">IF($D681="","",INDEX(BookRate,676)*(1+'5. Scenarios'!$B$10)*$D681)</f>
        <v/>
      </c>
      <c r="F681" s="57" t="str">
        <f aca="false">IF($E681="","",SUMIFS($E$6:$E$2405,$A$6:$A$2405,"&lt;="&amp;$A681))</f>
        <v/>
      </c>
      <c r="G681" s="57" t="str">
        <f aca="false">IF($E681="","",IF($F681&lt;=BankCostEnvelope*'5. Scenarios'!$B$7,1,0))</f>
        <v/>
      </c>
      <c r="H681" s="57" t="str">
        <f aca="false">IF($D681="","",INDEX(BookRate,676)*(1+'5. Scenarios'!$B$10)*(INDEX(BookQ1,676)*(5-MIN(4,1+'5. Scenarios'!$B$8))/4+INDEX(BookQ2,676)*(5-MIN(4,2+'5. Scenarios'!$B$8))/4+INDEX(BookQ3,676)*(5-MIN(4,3+'5. Scenarios'!$B$8))/4+INDEX(BookQ4,676)*(5-MIN(4,4+'5. Scenarios'!$B$8))/4)*'5. Scenarios'!$B$6/(1+ProductivityDefault*('5. Scenarios'!$B$11-1))+INDEX(BookOneOff,676)*$D681)</f>
        <v/>
      </c>
      <c r="I681" s="56" t="str">
        <f aca="false">IF(INDEX(BookTitle,676)="","",INDEX(BookTotal,676)*'5. Scenarios'!$C$6/(1+ProductivityDefault*('5. Scenarios'!$C$11-1)))</f>
        <v/>
      </c>
      <c r="J681" s="57" t="str">
        <f aca="false">IF($I681="","",INDEX(BookRate,676)*(1+'5. Scenarios'!$C$10)*$I681)</f>
        <v/>
      </c>
      <c r="K681" s="57" t="str">
        <f aca="false">IF($J681="","",SUMIFS($J$6:$J$2405,$A$6:$A$2405,"&lt;="&amp;$A681))</f>
        <v/>
      </c>
      <c r="L681" s="57" t="str">
        <f aca="false">IF($J681="","",IF($K681&lt;=BankCostEnvelope*'5. Scenarios'!$C$7,1,0))</f>
        <v/>
      </c>
      <c r="M681" s="57" t="str">
        <f aca="false">IF($I681="","",INDEX(BookRate,676)*(1+'5. Scenarios'!$C$10)*(INDEX(BookQ1,676)*(5-MIN(4,1+'5. Scenarios'!$C$8))/4+INDEX(BookQ2,676)*(5-MIN(4,2+'5. Scenarios'!$C$8))/4+INDEX(BookQ3,676)*(5-MIN(4,3+'5. Scenarios'!$C$8))/4+INDEX(BookQ4,676)*(5-MIN(4,4+'5. Scenarios'!$C$8))/4)*'5. Scenarios'!$C$6/(1+ProductivityDefault*('5. Scenarios'!$C$11-1))+INDEX(BookOneOff,676)*$I681)</f>
        <v/>
      </c>
      <c r="N681" s="56" t="str">
        <f aca="false">IF(INDEX(BookTitle,676)="","",INDEX(BookTotal,676)*'5. Scenarios'!$D$6/(1+ProductivityDefault*('5. Scenarios'!$D$11-1)))</f>
        <v/>
      </c>
      <c r="O681" s="57" t="str">
        <f aca="false">IF($N681="","",INDEX(BookRate,676)*(1+'5. Scenarios'!$D$10)*$N681)</f>
        <v/>
      </c>
      <c r="P681" s="57" t="str">
        <f aca="false">IF($O681="","",SUMIFS($O$6:$O$2405,$A$6:$A$2405,"&lt;="&amp;$A681))</f>
        <v/>
      </c>
      <c r="Q681" s="57" t="str">
        <f aca="false">IF($O681="","",IF($P681&lt;=BankCostEnvelope*'5. Scenarios'!$D$7,1,0))</f>
        <v/>
      </c>
      <c r="R681" s="57" t="str">
        <f aca="false">IF($N681="","",INDEX(BookRate,676)*(1+'5. Scenarios'!$D$10)*(INDEX(BookQ1,676)*(5-MIN(4,1+'5. Scenarios'!$D$8))/4+INDEX(BookQ2,676)*(5-MIN(4,2+'5. Scenarios'!$D$8))/4+INDEX(BookQ3,676)*(5-MIN(4,3+'5. Scenarios'!$D$8))/4+INDEX(BookQ4,676)*(5-MIN(4,4+'5. Scenarios'!$D$8))/4)*'5. Scenarios'!$D$6/(1+ProductivityDefault*('5. Scenarios'!$D$11-1))+INDEX(BookOneOff,676)*$N681)</f>
        <v/>
      </c>
      <c r="S681" s="56" t="str">
        <f aca="false">IF(INDEX(BookTitle,676)="","",INDEX(BookTotal,676)*'5. Scenarios'!$E$6/(1+ProductivityDefault*('5. Scenarios'!$E$11-1)))</f>
        <v/>
      </c>
      <c r="T681" s="57" t="str">
        <f aca="false">IF($S681="","",INDEX(BookRate,676)*(1+'5. Scenarios'!$E$10)*$S681)</f>
        <v/>
      </c>
      <c r="U681" s="57" t="str">
        <f aca="false">IF($T681="","",SUMIFS($T$6:$T$2405,$A$6:$A$2405,"&lt;="&amp;$A681))</f>
        <v/>
      </c>
      <c r="V681" s="57" t="str">
        <f aca="false">IF($T681="","",IF($U681&lt;=BankCostEnvelope*'5. Scenarios'!$E$7,1,0))</f>
        <v/>
      </c>
      <c r="W681" s="57" t="str">
        <f aca="false">IF($S681="","",INDEX(BookRate,676)*(1+'5. Scenarios'!$E$10)*(INDEX(BookQ1,676)*(5-MIN(4,1+'5. Scenarios'!$E$8))/4+INDEX(BookQ2,676)*(5-MIN(4,2+'5. Scenarios'!$E$8))/4+INDEX(BookQ3,676)*(5-MIN(4,3+'5. Scenarios'!$E$8))/4+INDEX(BookQ4,676)*(5-MIN(4,4+'5. Scenarios'!$E$8))/4)*'5. Scenarios'!$E$6/(1+ProductivityDefault*('5. Scenarios'!$E$11-1))+INDEX(BookOneOff,676)*$S681)</f>
        <v/>
      </c>
    </row>
    <row r="682" customFormat="false" ht="15" hidden="false" customHeight="false" outlineLevel="0" collapsed="false">
      <c r="A682" s="0" t="str">
        <f aca="false">IF(INDEX(BookTitle,677)="","",INDEX(BookKey,677))</f>
        <v/>
      </c>
      <c r="B682" s="0" t="str">
        <f aca="false">IF(INDEX(BookTitle,677)="","",INDEX(BookGroup,677))</f>
        <v/>
      </c>
      <c r="C682" s="0" t="str">
        <f aca="false">IF(INDEX(BookTitle,677)="","",INDEX(BookCategory,677))</f>
        <v/>
      </c>
      <c r="D682" s="56" t="str">
        <f aca="false">IF(INDEX(BookTitle,677)="","",INDEX(BookTotal,677)*'5. Scenarios'!$B$6/(1+ProductivityDefault*('5. Scenarios'!$B$11-1)))</f>
        <v/>
      </c>
      <c r="E682" s="57" t="str">
        <f aca="false">IF($D682="","",INDEX(BookRate,677)*(1+'5. Scenarios'!$B$10)*$D682)</f>
        <v/>
      </c>
      <c r="F682" s="57" t="str">
        <f aca="false">IF($E682="","",SUMIFS($E$6:$E$2405,$A$6:$A$2405,"&lt;="&amp;$A682))</f>
        <v/>
      </c>
      <c r="G682" s="57" t="str">
        <f aca="false">IF($E682="","",IF($F682&lt;=BankCostEnvelope*'5. Scenarios'!$B$7,1,0))</f>
        <v/>
      </c>
      <c r="H682" s="57" t="str">
        <f aca="false">IF($D682="","",INDEX(BookRate,677)*(1+'5. Scenarios'!$B$10)*(INDEX(BookQ1,677)*(5-MIN(4,1+'5. Scenarios'!$B$8))/4+INDEX(BookQ2,677)*(5-MIN(4,2+'5. Scenarios'!$B$8))/4+INDEX(BookQ3,677)*(5-MIN(4,3+'5. Scenarios'!$B$8))/4+INDEX(BookQ4,677)*(5-MIN(4,4+'5. Scenarios'!$B$8))/4)*'5. Scenarios'!$B$6/(1+ProductivityDefault*('5. Scenarios'!$B$11-1))+INDEX(BookOneOff,677)*$D682)</f>
        <v/>
      </c>
      <c r="I682" s="56" t="str">
        <f aca="false">IF(INDEX(BookTitle,677)="","",INDEX(BookTotal,677)*'5. Scenarios'!$C$6/(1+ProductivityDefault*('5. Scenarios'!$C$11-1)))</f>
        <v/>
      </c>
      <c r="J682" s="57" t="str">
        <f aca="false">IF($I682="","",INDEX(BookRate,677)*(1+'5. Scenarios'!$C$10)*$I682)</f>
        <v/>
      </c>
      <c r="K682" s="57" t="str">
        <f aca="false">IF($J682="","",SUMIFS($J$6:$J$2405,$A$6:$A$2405,"&lt;="&amp;$A682))</f>
        <v/>
      </c>
      <c r="L682" s="57" t="str">
        <f aca="false">IF($J682="","",IF($K682&lt;=BankCostEnvelope*'5. Scenarios'!$C$7,1,0))</f>
        <v/>
      </c>
      <c r="M682" s="57" t="str">
        <f aca="false">IF($I682="","",INDEX(BookRate,677)*(1+'5. Scenarios'!$C$10)*(INDEX(BookQ1,677)*(5-MIN(4,1+'5. Scenarios'!$C$8))/4+INDEX(BookQ2,677)*(5-MIN(4,2+'5. Scenarios'!$C$8))/4+INDEX(BookQ3,677)*(5-MIN(4,3+'5. Scenarios'!$C$8))/4+INDEX(BookQ4,677)*(5-MIN(4,4+'5. Scenarios'!$C$8))/4)*'5. Scenarios'!$C$6/(1+ProductivityDefault*('5. Scenarios'!$C$11-1))+INDEX(BookOneOff,677)*$I682)</f>
        <v/>
      </c>
      <c r="N682" s="56" t="str">
        <f aca="false">IF(INDEX(BookTitle,677)="","",INDEX(BookTotal,677)*'5. Scenarios'!$D$6/(1+ProductivityDefault*('5. Scenarios'!$D$11-1)))</f>
        <v/>
      </c>
      <c r="O682" s="57" t="str">
        <f aca="false">IF($N682="","",INDEX(BookRate,677)*(1+'5. Scenarios'!$D$10)*$N682)</f>
        <v/>
      </c>
      <c r="P682" s="57" t="str">
        <f aca="false">IF($O682="","",SUMIFS($O$6:$O$2405,$A$6:$A$2405,"&lt;="&amp;$A682))</f>
        <v/>
      </c>
      <c r="Q682" s="57" t="str">
        <f aca="false">IF($O682="","",IF($P682&lt;=BankCostEnvelope*'5. Scenarios'!$D$7,1,0))</f>
        <v/>
      </c>
      <c r="R682" s="57" t="str">
        <f aca="false">IF($N682="","",INDEX(BookRate,677)*(1+'5. Scenarios'!$D$10)*(INDEX(BookQ1,677)*(5-MIN(4,1+'5. Scenarios'!$D$8))/4+INDEX(BookQ2,677)*(5-MIN(4,2+'5. Scenarios'!$D$8))/4+INDEX(BookQ3,677)*(5-MIN(4,3+'5. Scenarios'!$D$8))/4+INDEX(BookQ4,677)*(5-MIN(4,4+'5. Scenarios'!$D$8))/4)*'5. Scenarios'!$D$6/(1+ProductivityDefault*('5. Scenarios'!$D$11-1))+INDEX(BookOneOff,677)*$N682)</f>
        <v/>
      </c>
      <c r="S682" s="56" t="str">
        <f aca="false">IF(INDEX(BookTitle,677)="","",INDEX(BookTotal,677)*'5. Scenarios'!$E$6/(1+ProductivityDefault*('5. Scenarios'!$E$11-1)))</f>
        <v/>
      </c>
      <c r="T682" s="57" t="str">
        <f aca="false">IF($S682="","",INDEX(BookRate,677)*(1+'5. Scenarios'!$E$10)*$S682)</f>
        <v/>
      </c>
      <c r="U682" s="57" t="str">
        <f aca="false">IF($T682="","",SUMIFS($T$6:$T$2405,$A$6:$A$2405,"&lt;="&amp;$A682))</f>
        <v/>
      </c>
      <c r="V682" s="57" t="str">
        <f aca="false">IF($T682="","",IF($U682&lt;=BankCostEnvelope*'5. Scenarios'!$E$7,1,0))</f>
        <v/>
      </c>
      <c r="W682" s="57" t="str">
        <f aca="false">IF($S682="","",INDEX(BookRate,677)*(1+'5. Scenarios'!$E$10)*(INDEX(BookQ1,677)*(5-MIN(4,1+'5. Scenarios'!$E$8))/4+INDEX(BookQ2,677)*(5-MIN(4,2+'5. Scenarios'!$E$8))/4+INDEX(BookQ3,677)*(5-MIN(4,3+'5. Scenarios'!$E$8))/4+INDEX(BookQ4,677)*(5-MIN(4,4+'5. Scenarios'!$E$8))/4)*'5. Scenarios'!$E$6/(1+ProductivityDefault*('5. Scenarios'!$E$11-1))+INDEX(BookOneOff,677)*$S682)</f>
        <v/>
      </c>
    </row>
    <row r="683" customFormat="false" ht="15" hidden="false" customHeight="false" outlineLevel="0" collapsed="false">
      <c r="A683" s="0" t="str">
        <f aca="false">IF(INDEX(BookTitle,678)="","",INDEX(BookKey,678))</f>
        <v/>
      </c>
      <c r="B683" s="0" t="str">
        <f aca="false">IF(INDEX(BookTitle,678)="","",INDEX(BookGroup,678))</f>
        <v/>
      </c>
      <c r="C683" s="0" t="str">
        <f aca="false">IF(INDEX(BookTitle,678)="","",INDEX(BookCategory,678))</f>
        <v/>
      </c>
      <c r="D683" s="56" t="str">
        <f aca="false">IF(INDEX(BookTitle,678)="","",INDEX(BookTotal,678)*'5. Scenarios'!$B$6/(1+ProductivityDefault*('5. Scenarios'!$B$11-1)))</f>
        <v/>
      </c>
      <c r="E683" s="57" t="str">
        <f aca="false">IF($D683="","",INDEX(BookRate,678)*(1+'5. Scenarios'!$B$10)*$D683)</f>
        <v/>
      </c>
      <c r="F683" s="57" t="str">
        <f aca="false">IF($E683="","",SUMIFS($E$6:$E$2405,$A$6:$A$2405,"&lt;="&amp;$A683))</f>
        <v/>
      </c>
      <c r="G683" s="57" t="str">
        <f aca="false">IF($E683="","",IF($F683&lt;=BankCostEnvelope*'5. Scenarios'!$B$7,1,0))</f>
        <v/>
      </c>
      <c r="H683" s="57" t="str">
        <f aca="false">IF($D683="","",INDEX(BookRate,678)*(1+'5. Scenarios'!$B$10)*(INDEX(BookQ1,678)*(5-MIN(4,1+'5. Scenarios'!$B$8))/4+INDEX(BookQ2,678)*(5-MIN(4,2+'5. Scenarios'!$B$8))/4+INDEX(BookQ3,678)*(5-MIN(4,3+'5. Scenarios'!$B$8))/4+INDEX(BookQ4,678)*(5-MIN(4,4+'5. Scenarios'!$B$8))/4)*'5. Scenarios'!$B$6/(1+ProductivityDefault*('5. Scenarios'!$B$11-1))+INDEX(BookOneOff,678)*$D683)</f>
        <v/>
      </c>
      <c r="I683" s="56" t="str">
        <f aca="false">IF(INDEX(BookTitle,678)="","",INDEX(BookTotal,678)*'5. Scenarios'!$C$6/(1+ProductivityDefault*('5. Scenarios'!$C$11-1)))</f>
        <v/>
      </c>
      <c r="J683" s="57" t="str">
        <f aca="false">IF($I683="","",INDEX(BookRate,678)*(1+'5. Scenarios'!$C$10)*$I683)</f>
        <v/>
      </c>
      <c r="K683" s="57" t="str">
        <f aca="false">IF($J683="","",SUMIFS($J$6:$J$2405,$A$6:$A$2405,"&lt;="&amp;$A683))</f>
        <v/>
      </c>
      <c r="L683" s="57" t="str">
        <f aca="false">IF($J683="","",IF($K683&lt;=BankCostEnvelope*'5. Scenarios'!$C$7,1,0))</f>
        <v/>
      </c>
      <c r="M683" s="57" t="str">
        <f aca="false">IF($I683="","",INDEX(BookRate,678)*(1+'5. Scenarios'!$C$10)*(INDEX(BookQ1,678)*(5-MIN(4,1+'5. Scenarios'!$C$8))/4+INDEX(BookQ2,678)*(5-MIN(4,2+'5. Scenarios'!$C$8))/4+INDEX(BookQ3,678)*(5-MIN(4,3+'5. Scenarios'!$C$8))/4+INDEX(BookQ4,678)*(5-MIN(4,4+'5. Scenarios'!$C$8))/4)*'5. Scenarios'!$C$6/(1+ProductivityDefault*('5. Scenarios'!$C$11-1))+INDEX(BookOneOff,678)*$I683)</f>
        <v/>
      </c>
      <c r="N683" s="56" t="str">
        <f aca="false">IF(INDEX(BookTitle,678)="","",INDEX(BookTotal,678)*'5. Scenarios'!$D$6/(1+ProductivityDefault*('5. Scenarios'!$D$11-1)))</f>
        <v/>
      </c>
      <c r="O683" s="57" t="str">
        <f aca="false">IF($N683="","",INDEX(BookRate,678)*(1+'5. Scenarios'!$D$10)*$N683)</f>
        <v/>
      </c>
      <c r="P683" s="57" t="str">
        <f aca="false">IF($O683="","",SUMIFS($O$6:$O$2405,$A$6:$A$2405,"&lt;="&amp;$A683))</f>
        <v/>
      </c>
      <c r="Q683" s="57" t="str">
        <f aca="false">IF($O683="","",IF($P683&lt;=BankCostEnvelope*'5. Scenarios'!$D$7,1,0))</f>
        <v/>
      </c>
      <c r="R683" s="57" t="str">
        <f aca="false">IF($N683="","",INDEX(BookRate,678)*(1+'5. Scenarios'!$D$10)*(INDEX(BookQ1,678)*(5-MIN(4,1+'5. Scenarios'!$D$8))/4+INDEX(BookQ2,678)*(5-MIN(4,2+'5. Scenarios'!$D$8))/4+INDEX(BookQ3,678)*(5-MIN(4,3+'5. Scenarios'!$D$8))/4+INDEX(BookQ4,678)*(5-MIN(4,4+'5. Scenarios'!$D$8))/4)*'5. Scenarios'!$D$6/(1+ProductivityDefault*('5. Scenarios'!$D$11-1))+INDEX(BookOneOff,678)*$N683)</f>
        <v/>
      </c>
      <c r="S683" s="56" t="str">
        <f aca="false">IF(INDEX(BookTitle,678)="","",INDEX(BookTotal,678)*'5. Scenarios'!$E$6/(1+ProductivityDefault*('5. Scenarios'!$E$11-1)))</f>
        <v/>
      </c>
      <c r="T683" s="57" t="str">
        <f aca="false">IF($S683="","",INDEX(BookRate,678)*(1+'5. Scenarios'!$E$10)*$S683)</f>
        <v/>
      </c>
      <c r="U683" s="57" t="str">
        <f aca="false">IF($T683="","",SUMIFS($T$6:$T$2405,$A$6:$A$2405,"&lt;="&amp;$A683))</f>
        <v/>
      </c>
      <c r="V683" s="57" t="str">
        <f aca="false">IF($T683="","",IF($U683&lt;=BankCostEnvelope*'5. Scenarios'!$E$7,1,0))</f>
        <v/>
      </c>
      <c r="W683" s="57" t="str">
        <f aca="false">IF($S683="","",INDEX(BookRate,678)*(1+'5. Scenarios'!$E$10)*(INDEX(BookQ1,678)*(5-MIN(4,1+'5. Scenarios'!$E$8))/4+INDEX(BookQ2,678)*(5-MIN(4,2+'5. Scenarios'!$E$8))/4+INDEX(BookQ3,678)*(5-MIN(4,3+'5. Scenarios'!$E$8))/4+INDEX(BookQ4,678)*(5-MIN(4,4+'5. Scenarios'!$E$8))/4)*'5. Scenarios'!$E$6/(1+ProductivityDefault*('5. Scenarios'!$E$11-1))+INDEX(BookOneOff,678)*$S683)</f>
        <v/>
      </c>
    </row>
    <row r="684" customFormat="false" ht="15" hidden="false" customHeight="false" outlineLevel="0" collapsed="false">
      <c r="A684" s="0" t="str">
        <f aca="false">IF(INDEX(BookTitle,679)="","",INDEX(BookKey,679))</f>
        <v/>
      </c>
      <c r="B684" s="0" t="str">
        <f aca="false">IF(INDEX(BookTitle,679)="","",INDEX(BookGroup,679))</f>
        <v/>
      </c>
      <c r="C684" s="0" t="str">
        <f aca="false">IF(INDEX(BookTitle,679)="","",INDEX(BookCategory,679))</f>
        <v/>
      </c>
      <c r="D684" s="56" t="str">
        <f aca="false">IF(INDEX(BookTitle,679)="","",INDEX(BookTotal,679)*'5. Scenarios'!$B$6/(1+ProductivityDefault*('5. Scenarios'!$B$11-1)))</f>
        <v/>
      </c>
      <c r="E684" s="57" t="str">
        <f aca="false">IF($D684="","",INDEX(BookRate,679)*(1+'5. Scenarios'!$B$10)*$D684)</f>
        <v/>
      </c>
      <c r="F684" s="57" t="str">
        <f aca="false">IF($E684="","",SUMIFS($E$6:$E$2405,$A$6:$A$2405,"&lt;="&amp;$A684))</f>
        <v/>
      </c>
      <c r="G684" s="57" t="str">
        <f aca="false">IF($E684="","",IF($F684&lt;=BankCostEnvelope*'5. Scenarios'!$B$7,1,0))</f>
        <v/>
      </c>
      <c r="H684" s="57" t="str">
        <f aca="false">IF($D684="","",INDEX(BookRate,679)*(1+'5. Scenarios'!$B$10)*(INDEX(BookQ1,679)*(5-MIN(4,1+'5. Scenarios'!$B$8))/4+INDEX(BookQ2,679)*(5-MIN(4,2+'5. Scenarios'!$B$8))/4+INDEX(BookQ3,679)*(5-MIN(4,3+'5. Scenarios'!$B$8))/4+INDEX(BookQ4,679)*(5-MIN(4,4+'5. Scenarios'!$B$8))/4)*'5. Scenarios'!$B$6/(1+ProductivityDefault*('5. Scenarios'!$B$11-1))+INDEX(BookOneOff,679)*$D684)</f>
        <v/>
      </c>
      <c r="I684" s="56" t="str">
        <f aca="false">IF(INDEX(BookTitle,679)="","",INDEX(BookTotal,679)*'5. Scenarios'!$C$6/(1+ProductivityDefault*('5. Scenarios'!$C$11-1)))</f>
        <v/>
      </c>
      <c r="J684" s="57" t="str">
        <f aca="false">IF($I684="","",INDEX(BookRate,679)*(1+'5. Scenarios'!$C$10)*$I684)</f>
        <v/>
      </c>
      <c r="K684" s="57" t="str">
        <f aca="false">IF($J684="","",SUMIFS($J$6:$J$2405,$A$6:$A$2405,"&lt;="&amp;$A684))</f>
        <v/>
      </c>
      <c r="L684" s="57" t="str">
        <f aca="false">IF($J684="","",IF($K684&lt;=BankCostEnvelope*'5. Scenarios'!$C$7,1,0))</f>
        <v/>
      </c>
      <c r="M684" s="57" t="str">
        <f aca="false">IF($I684="","",INDEX(BookRate,679)*(1+'5. Scenarios'!$C$10)*(INDEX(BookQ1,679)*(5-MIN(4,1+'5. Scenarios'!$C$8))/4+INDEX(BookQ2,679)*(5-MIN(4,2+'5. Scenarios'!$C$8))/4+INDEX(BookQ3,679)*(5-MIN(4,3+'5. Scenarios'!$C$8))/4+INDEX(BookQ4,679)*(5-MIN(4,4+'5. Scenarios'!$C$8))/4)*'5. Scenarios'!$C$6/(1+ProductivityDefault*('5. Scenarios'!$C$11-1))+INDEX(BookOneOff,679)*$I684)</f>
        <v/>
      </c>
      <c r="N684" s="56" t="str">
        <f aca="false">IF(INDEX(BookTitle,679)="","",INDEX(BookTotal,679)*'5. Scenarios'!$D$6/(1+ProductivityDefault*('5. Scenarios'!$D$11-1)))</f>
        <v/>
      </c>
      <c r="O684" s="57" t="str">
        <f aca="false">IF($N684="","",INDEX(BookRate,679)*(1+'5. Scenarios'!$D$10)*$N684)</f>
        <v/>
      </c>
      <c r="P684" s="57" t="str">
        <f aca="false">IF($O684="","",SUMIFS($O$6:$O$2405,$A$6:$A$2405,"&lt;="&amp;$A684))</f>
        <v/>
      </c>
      <c r="Q684" s="57" t="str">
        <f aca="false">IF($O684="","",IF($P684&lt;=BankCostEnvelope*'5. Scenarios'!$D$7,1,0))</f>
        <v/>
      </c>
      <c r="R684" s="57" t="str">
        <f aca="false">IF($N684="","",INDEX(BookRate,679)*(1+'5. Scenarios'!$D$10)*(INDEX(BookQ1,679)*(5-MIN(4,1+'5. Scenarios'!$D$8))/4+INDEX(BookQ2,679)*(5-MIN(4,2+'5. Scenarios'!$D$8))/4+INDEX(BookQ3,679)*(5-MIN(4,3+'5. Scenarios'!$D$8))/4+INDEX(BookQ4,679)*(5-MIN(4,4+'5. Scenarios'!$D$8))/4)*'5. Scenarios'!$D$6/(1+ProductivityDefault*('5. Scenarios'!$D$11-1))+INDEX(BookOneOff,679)*$N684)</f>
        <v/>
      </c>
      <c r="S684" s="56" t="str">
        <f aca="false">IF(INDEX(BookTitle,679)="","",INDEX(BookTotal,679)*'5. Scenarios'!$E$6/(1+ProductivityDefault*('5. Scenarios'!$E$11-1)))</f>
        <v/>
      </c>
      <c r="T684" s="57" t="str">
        <f aca="false">IF($S684="","",INDEX(BookRate,679)*(1+'5. Scenarios'!$E$10)*$S684)</f>
        <v/>
      </c>
      <c r="U684" s="57" t="str">
        <f aca="false">IF($T684="","",SUMIFS($T$6:$T$2405,$A$6:$A$2405,"&lt;="&amp;$A684))</f>
        <v/>
      </c>
      <c r="V684" s="57" t="str">
        <f aca="false">IF($T684="","",IF($U684&lt;=BankCostEnvelope*'5. Scenarios'!$E$7,1,0))</f>
        <v/>
      </c>
      <c r="W684" s="57" t="str">
        <f aca="false">IF($S684="","",INDEX(BookRate,679)*(1+'5. Scenarios'!$E$10)*(INDEX(BookQ1,679)*(5-MIN(4,1+'5. Scenarios'!$E$8))/4+INDEX(BookQ2,679)*(5-MIN(4,2+'5. Scenarios'!$E$8))/4+INDEX(BookQ3,679)*(5-MIN(4,3+'5. Scenarios'!$E$8))/4+INDEX(BookQ4,679)*(5-MIN(4,4+'5. Scenarios'!$E$8))/4)*'5. Scenarios'!$E$6/(1+ProductivityDefault*('5. Scenarios'!$E$11-1))+INDEX(BookOneOff,679)*$S684)</f>
        <v/>
      </c>
    </row>
    <row r="685" customFormat="false" ht="15" hidden="false" customHeight="false" outlineLevel="0" collapsed="false">
      <c r="A685" s="0" t="str">
        <f aca="false">IF(INDEX(BookTitle,680)="","",INDEX(BookKey,680))</f>
        <v/>
      </c>
      <c r="B685" s="0" t="str">
        <f aca="false">IF(INDEX(BookTitle,680)="","",INDEX(BookGroup,680))</f>
        <v/>
      </c>
      <c r="C685" s="0" t="str">
        <f aca="false">IF(INDEX(BookTitle,680)="","",INDEX(BookCategory,680))</f>
        <v/>
      </c>
      <c r="D685" s="56" t="str">
        <f aca="false">IF(INDEX(BookTitle,680)="","",INDEX(BookTotal,680)*'5. Scenarios'!$B$6/(1+ProductivityDefault*('5. Scenarios'!$B$11-1)))</f>
        <v/>
      </c>
      <c r="E685" s="57" t="str">
        <f aca="false">IF($D685="","",INDEX(BookRate,680)*(1+'5. Scenarios'!$B$10)*$D685)</f>
        <v/>
      </c>
      <c r="F685" s="57" t="str">
        <f aca="false">IF($E685="","",SUMIFS($E$6:$E$2405,$A$6:$A$2405,"&lt;="&amp;$A685))</f>
        <v/>
      </c>
      <c r="G685" s="57" t="str">
        <f aca="false">IF($E685="","",IF($F685&lt;=BankCostEnvelope*'5. Scenarios'!$B$7,1,0))</f>
        <v/>
      </c>
      <c r="H685" s="57" t="str">
        <f aca="false">IF($D685="","",INDEX(BookRate,680)*(1+'5. Scenarios'!$B$10)*(INDEX(BookQ1,680)*(5-MIN(4,1+'5. Scenarios'!$B$8))/4+INDEX(BookQ2,680)*(5-MIN(4,2+'5. Scenarios'!$B$8))/4+INDEX(BookQ3,680)*(5-MIN(4,3+'5. Scenarios'!$B$8))/4+INDEX(BookQ4,680)*(5-MIN(4,4+'5. Scenarios'!$B$8))/4)*'5. Scenarios'!$B$6/(1+ProductivityDefault*('5. Scenarios'!$B$11-1))+INDEX(BookOneOff,680)*$D685)</f>
        <v/>
      </c>
      <c r="I685" s="56" t="str">
        <f aca="false">IF(INDEX(BookTitle,680)="","",INDEX(BookTotal,680)*'5. Scenarios'!$C$6/(1+ProductivityDefault*('5. Scenarios'!$C$11-1)))</f>
        <v/>
      </c>
      <c r="J685" s="57" t="str">
        <f aca="false">IF($I685="","",INDEX(BookRate,680)*(1+'5. Scenarios'!$C$10)*$I685)</f>
        <v/>
      </c>
      <c r="K685" s="57" t="str">
        <f aca="false">IF($J685="","",SUMIFS($J$6:$J$2405,$A$6:$A$2405,"&lt;="&amp;$A685))</f>
        <v/>
      </c>
      <c r="L685" s="57" t="str">
        <f aca="false">IF($J685="","",IF($K685&lt;=BankCostEnvelope*'5. Scenarios'!$C$7,1,0))</f>
        <v/>
      </c>
      <c r="M685" s="57" t="str">
        <f aca="false">IF($I685="","",INDEX(BookRate,680)*(1+'5. Scenarios'!$C$10)*(INDEX(BookQ1,680)*(5-MIN(4,1+'5. Scenarios'!$C$8))/4+INDEX(BookQ2,680)*(5-MIN(4,2+'5. Scenarios'!$C$8))/4+INDEX(BookQ3,680)*(5-MIN(4,3+'5. Scenarios'!$C$8))/4+INDEX(BookQ4,680)*(5-MIN(4,4+'5. Scenarios'!$C$8))/4)*'5. Scenarios'!$C$6/(1+ProductivityDefault*('5. Scenarios'!$C$11-1))+INDEX(BookOneOff,680)*$I685)</f>
        <v/>
      </c>
      <c r="N685" s="56" t="str">
        <f aca="false">IF(INDEX(BookTitle,680)="","",INDEX(BookTotal,680)*'5. Scenarios'!$D$6/(1+ProductivityDefault*('5. Scenarios'!$D$11-1)))</f>
        <v/>
      </c>
      <c r="O685" s="57" t="str">
        <f aca="false">IF($N685="","",INDEX(BookRate,680)*(1+'5. Scenarios'!$D$10)*$N685)</f>
        <v/>
      </c>
      <c r="P685" s="57" t="str">
        <f aca="false">IF($O685="","",SUMIFS($O$6:$O$2405,$A$6:$A$2405,"&lt;="&amp;$A685))</f>
        <v/>
      </c>
      <c r="Q685" s="57" t="str">
        <f aca="false">IF($O685="","",IF($P685&lt;=BankCostEnvelope*'5. Scenarios'!$D$7,1,0))</f>
        <v/>
      </c>
      <c r="R685" s="57" t="str">
        <f aca="false">IF($N685="","",INDEX(BookRate,680)*(1+'5. Scenarios'!$D$10)*(INDEX(BookQ1,680)*(5-MIN(4,1+'5. Scenarios'!$D$8))/4+INDEX(BookQ2,680)*(5-MIN(4,2+'5. Scenarios'!$D$8))/4+INDEX(BookQ3,680)*(5-MIN(4,3+'5. Scenarios'!$D$8))/4+INDEX(BookQ4,680)*(5-MIN(4,4+'5. Scenarios'!$D$8))/4)*'5. Scenarios'!$D$6/(1+ProductivityDefault*('5. Scenarios'!$D$11-1))+INDEX(BookOneOff,680)*$N685)</f>
        <v/>
      </c>
      <c r="S685" s="56" t="str">
        <f aca="false">IF(INDEX(BookTitle,680)="","",INDEX(BookTotal,680)*'5. Scenarios'!$E$6/(1+ProductivityDefault*('5. Scenarios'!$E$11-1)))</f>
        <v/>
      </c>
      <c r="T685" s="57" t="str">
        <f aca="false">IF($S685="","",INDEX(BookRate,680)*(1+'5. Scenarios'!$E$10)*$S685)</f>
        <v/>
      </c>
      <c r="U685" s="57" t="str">
        <f aca="false">IF($T685="","",SUMIFS($T$6:$T$2405,$A$6:$A$2405,"&lt;="&amp;$A685))</f>
        <v/>
      </c>
      <c r="V685" s="57" t="str">
        <f aca="false">IF($T685="","",IF($U685&lt;=BankCostEnvelope*'5. Scenarios'!$E$7,1,0))</f>
        <v/>
      </c>
      <c r="W685" s="57" t="str">
        <f aca="false">IF($S685="","",INDEX(BookRate,680)*(1+'5. Scenarios'!$E$10)*(INDEX(BookQ1,680)*(5-MIN(4,1+'5. Scenarios'!$E$8))/4+INDEX(BookQ2,680)*(5-MIN(4,2+'5. Scenarios'!$E$8))/4+INDEX(BookQ3,680)*(5-MIN(4,3+'5. Scenarios'!$E$8))/4+INDEX(BookQ4,680)*(5-MIN(4,4+'5. Scenarios'!$E$8))/4)*'5. Scenarios'!$E$6/(1+ProductivityDefault*('5. Scenarios'!$E$11-1))+INDEX(BookOneOff,680)*$S685)</f>
        <v/>
      </c>
    </row>
    <row r="686" customFormat="false" ht="15" hidden="false" customHeight="false" outlineLevel="0" collapsed="false">
      <c r="A686" s="0" t="str">
        <f aca="false">IF(INDEX(BookTitle,681)="","",INDEX(BookKey,681))</f>
        <v/>
      </c>
      <c r="B686" s="0" t="str">
        <f aca="false">IF(INDEX(BookTitle,681)="","",INDEX(BookGroup,681))</f>
        <v/>
      </c>
      <c r="C686" s="0" t="str">
        <f aca="false">IF(INDEX(BookTitle,681)="","",INDEX(BookCategory,681))</f>
        <v/>
      </c>
      <c r="D686" s="56" t="str">
        <f aca="false">IF(INDEX(BookTitle,681)="","",INDEX(BookTotal,681)*'5. Scenarios'!$B$6/(1+ProductivityDefault*('5. Scenarios'!$B$11-1)))</f>
        <v/>
      </c>
      <c r="E686" s="57" t="str">
        <f aca="false">IF($D686="","",INDEX(BookRate,681)*(1+'5. Scenarios'!$B$10)*$D686)</f>
        <v/>
      </c>
      <c r="F686" s="57" t="str">
        <f aca="false">IF($E686="","",SUMIFS($E$6:$E$2405,$A$6:$A$2405,"&lt;="&amp;$A686))</f>
        <v/>
      </c>
      <c r="G686" s="57" t="str">
        <f aca="false">IF($E686="","",IF($F686&lt;=BankCostEnvelope*'5. Scenarios'!$B$7,1,0))</f>
        <v/>
      </c>
      <c r="H686" s="57" t="str">
        <f aca="false">IF($D686="","",INDEX(BookRate,681)*(1+'5. Scenarios'!$B$10)*(INDEX(BookQ1,681)*(5-MIN(4,1+'5. Scenarios'!$B$8))/4+INDEX(BookQ2,681)*(5-MIN(4,2+'5. Scenarios'!$B$8))/4+INDEX(BookQ3,681)*(5-MIN(4,3+'5. Scenarios'!$B$8))/4+INDEX(BookQ4,681)*(5-MIN(4,4+'5. Scenarios'!$B$8))/4)*'5. Scenarios'!$B$6/(1+ProductivityDefault*('5. Scenarios'!$B$11-1))+INDEX(BookOneOff,681)*$D686)</f>
        <v/>
      </c>
      <c r="I686" s="56" t="str">
        <f aca="false">IF(INDEX(BookTitle,681)="","",INDEX(BookTotal,681)*'5. Scenarios'!$C$6/(1+ProductivityDefault*('5. Scenarios'!$C$11-1)))</f>
        <v/>
      </c>
      <c r="J686" s="57" t="str">
        <f aca="false">IF($I686="","",INDEX(BookRate,681)*(1+'5. Scenarios'!$C$10)*$I686)</f>
        <v/>
      </c>
      <c r="K686" s="57" t="str">
        <f aca="false">IF($J686="","",SUMIFS($J$6:$J$2405,$A$6:$A$2405,"&lt;="&amp;$A686))</f>
        <v/>
      </c>
      <c r="L686" s="57" t="str">
        <f aca="false">IF($J686="","",IF($K686&lt;=BankCostEnvelope*'5. Scenarios'!$C$7,1,0))</f>
        <v/>
      </c>
      <c r="M686" s="57" t="str">
        <f aca="false">IF($I686="","",INDEX(BookRate,681)*(1+'5. Scenarios'!$C$10)*(INDEX(BookQ1,681)*(5-MIN(4,1+'5. Scenarios'!$C$8))/4+INDEX(BookQ2,681)*(5-MIN(4,2+'5. Scenarios'!$C$8))/4+INDEX(BookQ3,681)*(5-MIN(4,3+'5. Scenarios'!$C$8))/4+INDEX(BookQ4,681)*(5-MIN(4,4+'5. Scenarios'!$C$8))/4)*'5. Scenarios'!$C$6/(1+ProductivityDefault*('5. Scenarios'!$C$11-1))+INDEX(BookOneOff,681)*$I686)</f>
        <v/>
      </c>
      <c r="N686" s="56" t="str">
        <f aca="false">IF(INDEX(BookTitle,681)="","",INDEX(BookTotal,681)*'5. Scenarios'!$D$6/(1+ProductivityDefault*('5. Scenarios'!$D$11-1)))</f>
        <v/>
      </c>
      <c r="O686" s="57" t="str">
        <f aca="false">IF($N686="","",INDEX(BookRate,681)*(1+'5. Scenarios'!$D$10)*$N686)</f>
        <v/>
      </c>
      <c r="P686" s="57" t="str">
        <f aca="false">IF($O686="","",SUMIFS($O$6:$O$2405,$A$6:$A$2405,"&lt;="&amp;$A686))</f>
        <v/>
      </c>
      <c r="Q686" s="57" t="str">
        <f aca="false">IF($O686="","",IF($P686&lt;=BankCostEnvelope*'5. Scenarios'!$D$7,1,0))</f>
        <v/>
      </c>
      <c r="R686" s="57" t="str">
        <f aca="false">IF($N686="","",INDEX(BookRate,681)*(1+'5. Scenarios'!$D$10)*(INDEX(BookQ1,681)*(5-MIN(4,1+'5. Scenarios'!$D$8))/4+INDEX(BookQ2,681)*(5-MIN(4,2+'5. Scenarios'!$D$8))/4+INDEX(BookQ3,681)*(5-MIN(4,3+'5. Scenarios'!$D$8))/4+INDEX(BookQ4,681)*(5-MIN(4,4+'5. Scenarios'!$D$8))/4)*'5. Scenarios'!$D$6/(1+ProductivityDefault*('5. Scenarios'!$D$11-1))+INDEX(BookOneOff,681)*$N686)</f>
        <v/>
      </c>
      <c r="S686" s="56" t="str">
        <f aca="false">IF(INDEX(BookTitle,681)="","",INDEX(BookTotal,681)*'5. Scenarios'!$E$6/(1+ProductivityDefault*('5. Scenarios'!$E$11-1)))</f>
        <v/>
      </c>
      <c r="T686" s="57" t="str">
        <f aca="false">IF($S686="","",INDEX(BookRate,681)*(1+'5. Scenarios'!$E$10)*$S686)</f>
        <v/>
      </c>
      <c r="U686" s="57" t="str">
        <f aca="false">IF($T686="","",SUMIFS($T$6:$T$2405,$A$6:$A$2405,"&lt;="&amp;$A686))</f>
        <v/>
      </c>
      <c r="V686" s="57" t="str">
        <f aca="false">IF($T686="","",IF($U686&lt;=BankCostEnvelope*'5. Scenarios'!$E$7,1,0))</f>
        <v/>
      </c>
      <c r="W686" s="57" t="str">
        <f aca="false">IF($S686="","",INDEX(BookRate,681)*(1+'5. Scenarios'!$E$10)*(INDEX(BookQ1,681)*(5-MIN(4,1+'5. Scenarios'!$E$8))/4+INDEX(BookQ2,681)*(5-MIN(4,2+'5. Scenarios'!$E$8))/4+INDEX(BookQ3,681)*(5-MIN(4,3+'5. Scenarios'!$E$8))/4+INDEX(BookQ4,681)*(5-MIN(4,4+'5. Scenarios'!$E$8))/4)*'5. Scenarios'!$E$6/(1+ProductivityDefault*('5. Scenarios'!$E$11-1))+INDEX(BookOneOff,681)*$S686)</f>
        <v/>
      </c>
    </row>
    <row r="687" customFormat="false" ht="15" hidden="false" customHeight="false" outlineLevel="0" collapsed="false">
      <c r="A687" s="0" t="str">
        <f aca="false">IF(INDEX(BookTitle,682)="","",INDEX(BookKey,682))</f>
        <v/>
      </c>
      <c r="B687" s="0" t="str">
        <f aca="false">IF(INDEX(BookTitle,682)="","",INDEX(BookGroup,682))</f>
        <v/>
      </c>
      <c r="C687" s="0" t="str">
        <f aca="false">IF(INDEX(BookTitle,682)="","",INDEX(BookCategory,682))</f>
        <v/>
      </c>
      <c r="D687" s="56" t="str">
        <f aca="false">IF(INDEX(BookTitle,682)="","",INDEX(BookTotal,682)*'5. Scenarios'!$B$6/(1+ProductivityDefault*('5. Scenarios'!$B$11-1)))</f>
        <v/>
      </c>
      <c r="E687" s="57" t="str">
        <f aca="false">IF($D687="","",INDEX(BookRate,682)*(1+'5. Scenarios'!$B$10)*$D687)</f>
        <v/>
      </c>
      <c r="F687" s="57" t="str">
        <f aca="false">IF($E687="","",SUMIFS($E$6:$E$2405,$A$6:$A$2405,"&lt;="&amp;$A687))</f>
        <v/>
      </c>
      <c r="G687" s="57" t="str">
        <f aca="false">IF($E687="","",IF($F687&lt;=BankCostEnvelope*'5. Scenarios'!$B$7,1,0))</f>
        <v/>
      </c>
      <c r="H687" s="57" t="str">
        <f aca="false">IF($D687="","",INDEX(BookRate,682)*(1+'5. Scenarios'!$B$10)*(INDEX(BookQ1,682)*(5-MIN(4,1+'5. Scenarios'!$B$8))/4+INDEX(BookQ2,682)*(5-MIN(4,2+'5. Scenarios'!$B$8))/4+INDEX(BookQ3,682)*(5-MIN(4,3+'5. Scenarios'!$B$8))/4+INDEX(BookQ4,682)*(5-MIN(4,4+'5. Scenarios'!$B$8))/4)*'5. Scenarios'!$B$6/(1+ProductivityDefault*('5. Scenarios'!$B$11-1))+INDEX(BookOneOff,682)*$D687)</f>
        <v/>
      </c>
      <c r="I687" s="56" t="str">
        <f aca="false">IF(INDEX(BookTitle,682)="","",INDEX(BookTotal,682)*'5. Scenarios'!$C$6/(1+ProductivityDefault*('5. Scenarios'!$C$11-1)))</f>
        <v/>
      </c>
      <c r="J687" s="57" t="str">
        <f aca="false">IF($I687="","",INDEX(BookRate,682)*(1+'5. Scenarios'!$C$10)*$I687)</f>
        <v/>
      </c>
      <c r="K687" s="57" t="str">
        <f aca="false">IF($J687="","",SUMIFS($J$6:$J$2405,$A$6:$A$2405,"&lt;="&amp;$A687))</f>
        <v/>
      </c>
      <c r="L687" s="57" t="str">
        <f aca="false">IF($J687="","",IF($K687&lt;=BankCostEnvelope*'5. Scenarios'!$C$7,1,0))</f>
        <v/>
      </c>
      <c r="M687" s="57" t="str">
        <f aca="false">IF($I687="","",INDEX(BookRate,682)*(1+'5. Scenarios'!$C$10)*(INDEX(BookQ1,682)*(5-MIN(4,1+'5. Scenarios'!$C$8))/4+INDEX(BookQ2,682)*(5-MIN(4,2+'5. Scenarios'!$C$8))/4+INDEX(BookQ3,682)*(5-MIN(4,3+'5. Scenarios'!$C$8))/4+INDEX(BookQ4,682)*(5-MIN(4,4+'5. Scenarios'!$C$8))/4)*'5. Scenarios'!$C$6/(1+ProductivityDefault*('5. Scenarios'!$C$11-1))+INDEX(BookOneOff,682)*$I687)</f>
        <v/>
      </c>
      <c r="N687" s="56" t="str">
        <f aca="false">IF(INDEX(BookTitle,682)="","",INDEX(BookTotal,682)*'5. Scenarios'!$D$6/(1+ProductivityDefault*('5. Scenarios'!$D$11-1)))</f>
        <v/>
      </c>
      <c r="O687" s="57" t="str">
        <f aca="false">IF($N687="","",INDEX(BookRate,682)*(1+'5. Scenarios'!$D$10)*$N687)</f>
        <v/>
      </c>
      <c r="P687" s="57" t="str">
        <f aca="false">IF($O687="","",SUMIFS($O$6:$O$2405,$A$6:$A$2405,"&lt;="&amp;$A687))</f>
        <v/>
      </c>
      <c r="Q687" s="57" t="str">
        <f aca="false">IF($O687="","",IF($P687&lt;=BankCostEnvelope*'5. Scenarios'!$D$7,1,0))</f>
        <v/>
      </c>
      <c r="R687" s="57" t="str">
        <f aca="false">IF($N687="","",INDEX(BookRate,682)*(1+'5. Scenarios'!$D$10)*(INDEX(BookQ1,682)*(5-MIN(4,1+'5. Scenarios'!$D$8))/4+INDEX(BookQ2,682)*(5-MIN(4,2+'5. Scenarios'!$D$8))/4+INDEX(BookQ3,682)*(5-MIN(4,3+'5. Scenarios'!$D$8))/4+INDEX(BookQ4,682)*(5-MIN(4,4+'5. Scenarios'!$D$8))/4)*'5. Scenarios'!$D$6/(1+ProductivityDefault*('5. Scenarios'!$D$11-1))+INDEX(BookOneOff,682)*$N687)</f>
        <v/>
      </c>
      <c r="S687" s="56" t="str">
        <f aca="false">IF(INDEX(BookTitle,682)="","",INDEX(BookTotal,682)*'5. Scenarios'!$E$6/(1+ProductivityDefault*('5. Scenarios'!$E$11-1)))</f>
        <v/>
      </c>
      <c r="T687" s="57" t="str">
        <f aca="false">IF($S687="","",INDEX(BookRate,682)*(1+'5. Scenarios'!$E$10)*$S687)</f>
        <v/>
      </c>
      <c r="U687" s="57" t="str">
        <f aca="false">IF($T687="","",SUMIFS($T$6:$T$2405,$A$6:$A$2405,"&lt;="&amp;$A687))</f>
        <v/>
      </c>
      <c r="V687" s="57" t="str">
        <f aca="false">IF($T687="","",IF($U687&lt;=BankCostEnvelope*'5. Scenarios'!$E$7,1,0))</f>
        <v/>
      </c>
      <c r="W687" s="57" t="str">
        <f aca="false">IF($S687="","",INDEX(BookRate,682)*(1+'5. Scenarios'!$E$10)*(INDEX(BookQ1,682)*(5-MIN(4,1+'5. Scenarios'!$E$8))/4+INDEX(BookQ2,682)*(5-MIN(4,2+'5. Scenarios'!$E$8))/4+INDEX(BookQ3,682)*(5-MIN(4,3+'5. Scenarios'!$E$8))/4+INDEX(BookQ4,682)*(5-MIN(4,4+'5. Scenarios'!$E$8))/4)*'5. Scenarios'!$E$6/(1+ProductivityDefault*('5. Scenarios'!$E$11-1))+INDEX(BookOneOff,682)*$S687)</f>
        <v/>
      </c>
    </row>
    <row r="688" customFormat="false" ht="15" hidden="false" customHeight="false" outlineLevel="0" collapsed="false">
      <c r="A688" s="0" t="str">
        <f aca="false">IF(INDEX(BookTitle,683)="","",INDEX(BookKey,683))</f>
        <v/>
      </c>
      <c r="B688" s="0" t="str">
        <f aca="false">IF(INDEX(BookTitle,683)="","",INDEX(BookGroup,683))</f>
        <v/>
      </c>
      <c r="C688" s="0" t="str">
        <f aca="false">IF(INDEX(BookTitle,683)="","",INDEX(BookCategory,683))</f>
        <v/>
      </c>
      <c r="D688" s="56" t="str">
        <f aca="false">IF(INDEX(BookTitle,683)="","",INDEX(BookTotal,683)*'5. Scenarios'!$B$6/(1+ProductivityDefault*('5. Scenarios'!$B$11-1)))</f>
        <v/>
      </c>
      <c r="E688" s="57" t="str">
        <f aca="false">IF($D688="","",INDEX(BookRate,683)*(1+'5. Scenarios'!$B$10)*$D688)</f>
        <v/>
      </c>
      <c r="F688" s="57" t="str">
        <f aca="false">IF($E688="","",SUMIFS($E$6:$E$2405,$A$6:$A$2405,"&lt;="&amp;$A688))</f>
        <v/>
      </c>
      <c r="G688" s="57" t="str">
        <f aca="false">IF($E688="","",IF($F688&lt;=BankCostEnvelope*'5. Scenarios'!$B$7,1,0))</f>
        <v/>
      </c>
      <c r="H688" s="57" t="str">
        <f aca="false">IF($D688="","",INDEX(BookRate,683)*(1+'5. Scenarios'!$B$10)*(INDEX(BookQ1,683)*(5-MIN(4,1+'5. Scenarios'!$B$8))/4+INDEX(BookQ2,683)*(5-MIN(4,2+'5. Scenarios'!$B$8))/4+INDEX(BookQ3,683)*(5-MIN(4,3+'5. Scenarios'!$B$8))/4+INDEX(BookQ4,683)*(5-MIN(4,4+'5. Scenarios'!$B$8))/4)*'5. Scenarios'!$B$6/(1+ProductivityDefault*('5. Scenarios'!$B$11-1))+INDEX(BookOneOff,683)*$D688)</f>
        <v/>
      </c>
      <c r="I688" s="56" t="str">
        <f aca="false">IF(INDEX(BookTitle,683)="","",INDEX(BookTotal,683)*'5. Scenarios'!$C$6/(1+ProductivityDefault*('5. Scenarios'!$C$11-1)))</f>
        <v/>
      </c>
      <c r="J688" s="57" t="str">
        <f aca="false">IF($I688="","",INDEX(BookRate,683)*(1+'5. Scenarios'!$C$10)*$I688)</f>
        <v/>
      </c>
      <c r="K688" s="57" t="str">
        <f aca="false">IF($J688="","",SUMIFS($J$6:$J$2405,$A$6:$A$2405,"&lt;="&amp;$A688))</f>
        <v/>
      </c>
      <c r="L688" s="57" t="str">
        <f aca="false">IF($J688="","",IF($K688&lt;=BankCostEnvelope*'5. Scenarios'!$C$7,1,0))</f>
        <v/>
      </c>
      <c r="M688" s="57" t="str">
        <f aca="false">IF($I688="","",INDEX(BookRate,683)*(1+'5. Scenarios'!$C$10)*(INDEX(BookQ1,683)*(5-MIN(4,1+'5. Scenarios'!$C$8))/4+INDEX(BookQ2,683)*(5-MIN(4,2+'5. Scenarios'!$C$8))/4+INDEX(BookQ3,683)*(5-MIN(4,3+'5. Scenarios'!$C$8))/4+INDEX(BookQ4,683)*(5-MIN(4,4+'5. Scenarios'!$C$8))/4)*'5. Scenarios'!$C$6/(1+ProductivityDefault*('5. Scenarios'!$C$11-1))+INDEX(BookOneOff,683)*$I688)</f>
        <v/>
      </c>
      <c r="N688" s="56" t="str">
        <f aca="false">IF(INDEX(BookTitle,683)="","",INDEX(BookTotal,683)*'5. Scenarios'!$D$6/(1+ProductivityDefault*('5. Scenarios'!$D$11-1)))</f>
        <v/>
      </c>
      <c r="O688" s="57" t="str">
        <f aca="false">IF($N688="","",INDEX(BookRate,683)*(1+'5. Scenarios'!$D$10)*$N688)</f>
        <v/>
      </c>
      <c r="P688" s="57" t="str">
        <f aca="false">IF($O688="","",SUMIFS($O$6:$O$2405,$A$6:$A$2405,"&lt;="&amp;$A688))</f>
        <v/>
      </c>
      <c r="Q688" s="57" t="str">
        <f aca="false">IF($O688="","",IF($P688&lt;=BankCostEnvelope*'5. Scenarios'!$D$7,1,0))</f>
        <v/>
      </c>
      <c r="R688" s="57" t="str">
        <f aca="false">IF($N688="","",INDEX(BookRate,683)*(1+'5. Scenarios'!$D$10)*(INDEX(BookQ1,683)*(5-MIN(4,1+'5. Scenarios'!$D$8))/4+INDEX(BookQ2,683)*(5-MIN(4,2+'5. Scenarios'!$D$8))/4+INDEX(BookQ3,683)*(5-MIN(4,3+'5. Scenarios'!$D$8))/4+INDEX(BookQ4,683)*(5-MIN(4,4+'5. Scenarios'!$D$8))/4)*'5. Scenarios'!$D$6/(1+ProductivityDefault*('5. Scenarios'!$D$11-1))+INDEX(BookOneOff,683)*$N688)</f>
        <v/>
      </c>
      <c r="S688" s="56" t="str">
        <f aca="false">IF(INDEX(BookTitle,683)="","",INDEX(BookTotal,683)*'5. Scenarios'!$E$6/(1+ProductivityDefault*('5. Scenarios'!$E$11-1)))</f>
        <v/>
      </c>
      <c r="T688" s="57" t="str">
        <f aca="false">IF($S688="","",INDEX(BookRate,683)*(1+'5. Scenarios'!$E$10)*$S688)</f>
        <v/>
      </c>
      <c r="U688" s="57" t="str">
        <f aca="false">IF($T688="","",SUMIFS($T$6:$T$2405,$A$6:$A$2405,"&lt;="&amp;$A688))</f>
        <v/>
      </c>
      <c r="V688" s="57" t="str">
        <f aca="false">IF($T688="","",IF($U688&lt;=BankCostEnvelope*'5. Scenarios'!$E$7,1,0))</f>
        <v/>
      </c>
      <c r="W688" s="57" t="str">
        <f aca="false">IF($S688="","",INDEX(BookRate,683)*(1+'5. Scenarios'!$E$10)*(INDEX(BookQ1,683)*(5-MIN(4,1+'5. Scenarios'!$E$8))/4+INDEX(BookQ2,683)*(5-MIN(4,2+'5. Scenarios'!$E$8))/4+INDEX(BookQ3,683)*(5-MIN(4,3+'5. Scenarios'!$E$8))/4+INDEX(BookQ4,683)*(5-MIN(4,4+'5. Scenarios'!$E$8))/4)*'5. Scenarios'!$E$6/(1+ProductivityDefault*('5. Scenarios'!$E$11-1))+INDEX(BookOneOff,683)*$S688)</f>
        <v/>
      </c>
    </row>
    <row r="689" customFormat="false" ht="15" hidden="false" customHeight="false" outlineLevel="0" collapsed="false">
      <c r="A689" s="0" t="str">
        <f aca="false">IF(INDEX(BookTitle,684)="","",INDEX(BookKey,684))</f>
        <v/>
      </c>
      <c r="B689" s="0" t="str">
        <f aca="false">IF(INDEX(BookTitle,684)="","",INDEX(BookGroup,684))</f>
        <v/>
      </c>
      <c r="C689" s="0" t="str">
        <f aca="false">IF(INDEX(BookTitle,684)="","",INDEX(BookCategory,684))</f>
        <v/>
      </c>
      <c r="D689" s="56" t="str">
        <f aca="false">IF(INDEX(BookTitle,684)="","",INDEX(BookTotal,684)*'5. Scenarios'!$B$6/(1+ProductivityDefault*('5. Scenarios'!$B$11-1)))</f>
        <v/>
      </c>
      <c r="E689" s="57" t="str">
        <f aca="false">IF($D689="","",INDEX(BookRate,684)*(1+'5. Scenarios'!$B$10)*$D689)</f>
        <v/>
      </c>
      <c r="F689" s="57" t="str">
        <f aca="false">IF($E689="","",SUMIFS($E$6:$E$2405,$A$6:$A$2405,"&lt;="&amp;$A689))</f>
        <v/>
      </c>
      <c r="G689" s="57" t="str">
        <f aca="false">IF($E689="","",IF($F689&lt;=BankCostEnvelope*'5. Scenarios'!$B$7,1,0))</f>
        <v/>
      </c>
      <c r="H689" s="57" t="str">
        <f aca="false">IF($D689="","",INDEX(BookRate,684)*(1+'5. Scenarios'!$B$10)*(INDEX(BookQ1,684)*(5-MIN(4,1+'5. Scenarios'!$B$8))/4+INDEX(BookQ2,684)*(5-MIN(4,2+'5. Scenarios'!$B$8))/4+INDEX(BookQ3,684)*(5-MIN(4,3+'5. Scenarios'!$B$8))/4+INDEX(BookQ4,684)*(5-MIN(4,4+'5. Scenarios'!$B$8))/4)*'5. Scenarios'!$B$6/(1+ProductivityDefault*('5. Scenarios'!$B$11-1))+INDEX(BookOneOff,684)*$D689)</f>
        <v/>
      </c>
      <c r="I689" s="56" t="str">
        <f aca="false">IF(INDEX(BookTitle,684)="","",INDEX(BookTotal,684)*'5. Scenarios'!$C$6/(1+ProductivityDefault*('5. Scenarios'!$C$11-1)))</f>
        <v/>
      </c>
      <c r="J689" s="57" t="str">
        <f aca="false">IF($I689="","",INDEX(BookRate,684)*(1+'5. Scenarios'!$C$10)*$I689)</f>
        <v/>
      </c>
      <c r="K689" s="57" t="str">
        <f aca="false">IF($J689="","",SUMIFS($J$6:$J$2405,$A$6:$A$2405,"&lt;="&amp;$A689))</f>
        <v/>
      </c>
      <c r="L689" s="57" t="str">
        <f aca="false">IF($J689="","",IF($K689&lt;=BankCostEnvelope*'5. Scenarios'!$C$7,1,0))</f>
        <v/>
      </c>
      <c r="M689" s="57" t="str">
        <f aca="false">IF($I689="","",INDEX(BookRate,684)*(1+'5. Scenarios'!$C$10)*(INDEX(BookQ1,684)*(5-MIN(4,1+'5. Scenarios'!$C$8))/4+INDEX(BookQ2,684)*(5-MIN(4,2+'5. Scenarios'!$C$8))/4+INDEX(BookQ3,684)*(5-MIN(4,3+'5. Scenarios'!$C$8))/4+INDEX(BookQ4,684)*(5-MIN(4,4+'5. Scenarios'!$C$8))/4)*'5. Scenarios'!$C$6/(1+ProductivityDefault*('5. Scenarios'!$C$11-1))+INDEX(BookOneOff,684)*$I689)</f>
        <v/>
      </c>
      <c r="N689" s="56" t="str">
        <f aca="false">IF(INDEX(BookTitle,684)="","",INDEX(BookTotal,684)*'5. Scenarios'!$D$6/(1+ProductivityDefault*('5. Scenarios'!$D$11-1)))</f>
        <v/>
      </c>
      <c r="O689" s="57" t="str">
        <f aca="false">IF($N689="","",INDEX(BookRate,684)*(1+'5. Scenarios'!$D$10)*$N689)</f>
        <v/>
      </c>
      <c r="P689" s="57" t="str">
        <f aca="false">IF($O689="","",SUMIFS($O$6:$O$2405,$A$6:$A$2405,"&lt;="&amp;$A689))</f>
        <v/>
      </c>
      <c r="Q689" s="57" t="str">
        <f aca="false">IF($O689="","",IF($P689&lt;=BankCostEnvelope*'5. Scenarios'!$D$7,1,0))</f>
        <v/>
      </c>
      <c r="R689" s="57" t="str">
        <f aca="false">IF($N689="","",INDEX(BookRate,684)*(1+'5. Scenarios'!$D$10)*(INDEX(BookQ1,684)*(5-MIN(4,1+'5. Scenarios'!$D$8))/4+INDEX(BookQ2,684)*(5-MIN(4,2+'5. Scenarios'!$D$8))/4+INDEX(BookQ3,684)*(5-MIN(4,3+'5. Scenarios'!$D$8))/4+INDEX(BookQ4,684)*(5-MIN(4,4+'5. Scenarios'!$D$8))/4)*'5. Scenarios'!$D$6/(1+ProductivityDefault*('5. Scenarios'!$D$11-1))+INDEX(BookOneOff,684)*$N689)</f>
        <v/>
      </c>
      <c r="S689" s="56" t="str">
        <f aca="false">IF(INDEX(BookTitle,684)="","",INDEX(BookTotal,684)*'5. Scenarios'!$E$6/(1+ProductivityDefault*('5. Scenarios'!$E$11-1)))</f>
        <v/>
      </c>
      <c r="T689" s="57" t="str">
        <f aca="false">IF($S689="","",INDEX(BookRate,684)*(1+'5. Scenarios'!$E$10)*$S689)</f>
        <v/>
      </c>
      <c r="U689" s="57" t="str">
        <f aca="false">IF($T689="","",SUMIFS($T$6:$T$2405,$A$6:$A$2405,"&lt;="&amp;$A689))</f>
        <v/>
      </c>
      <c r="V689" s="57" t="str">
        <f aca="false">IF($T689="","",IF($U689&lt;=BankCostEnvelope*'5. Scenarios'!$E$7,1,0))</f>
        <v/>
      </c>
      <c r="W689" s="57" t="str">
        <f aca="false">IF($S689="","",INDEX(BookRate,684)*(1+'5. Scenarios'!$E$10)*(INDEX(BookQ1,684)*(5-MIN(4,1+'5. Scenarios'!$E$8))/4+INDEX(BookQ2,684)*(5-MIN(4,2+'5. Scenarios'!$E$8))/4+INDEX(BookQ3,684)*(5-MIN(4,3+'5. Scenarios'!$E$8))/4+INDEX(BookQ4,684)*(5-MIN(4,4+'5. Scenarios'!$E$8))/4)*'5. Scenarios'!$E$6/(1+ProductivityDefault*('5. Scenarios'!$E$11-1))+INDEX(BookOneOff,684)*$S689)</f>
        <v/>
      </c>
    </row>
    <row r="690" customFormat="false" ht="15" hidden="false" customHeight="false" outlineLevel="0" collapsed="false">
      <c r="A690" s="0" t="str">
        <f aca="false">IF(INDEX(BookTitle,685)="","",INDEX(BookKey,685))</f>
        <v/>
      </c>
      <c r="B690" s="0" t="str">
        <f aca="false">IF(INDEX(BookTitle,685)="","",INDEX(BookGroup,685))</f>
        <v/>
      </c>
      <c r="C690" s="0" t="str">
        <f aca="false">IF(INDEX(BookTitle,685)="","",INDEX(BookCategory,685))</f>
        <v/>
      </c>
      <c r="D690" s="56" t="str">
        <f aca="false">IF(INDEX(BookTitle,685)="","",INDEX(BookTotal,685)*'5. Scenarios'!$B$6/(1+ProductivityDefault*('5. Scenarios'!$B$11-1)))</f>
        <v/>
      </c>
      <c r="E690" s="57" t="str">
        <f aca="false">IF($D690="","",INDEX(BookRate,685)*(1+'5. Scenarios'!$B$10)*$D690)</f>
        <v/>
      </c>
      <c r="F690" s="57" t="str">
        <f aca="false">IF($E690="","",SUMIFS($E$6:$E$2405,$A$6:$A$2405,"&lt;="&amp;$A690))</f>
        <v/>
      </c>
      <c r="G690" s="57" t="str">
        <f aca="false">IF($E690="","",IF($F690&lt;=BankCostEnvelope*'5. Scenarios'!$B$7,1,0))</f>
        <v/>
      </c>
      <c r="H690" s="57" t="str">
        <f aca="false">IF($D690="","",INDEX(BookRate,685)*(1+'5. Scenarios'!$B$10)*(INDEX(BookQ1,685)*(5-MIN(4,1+'5. Scenarios'!$B$8))/4+INDEX(BookQ2,685)*(5-MIN(4,2+'5. Scenarios'!$B$8))/4+INDEX(BookQ3,685)*(5-MIN(4,3+'5. Scenarios'!$B$8))/4+INDEX(BookQ4,685)*(5-MIN(4,4+'5. Scenarios'!$B$8))/4)*'5. Scenarios'!$B$6/(1+ProductivityDefault*('5. Scenarios'!$B$11-1))+INDEX(BookOneOff,685)*$D690)</f>
        <v/>
      </c>
      <c r="I690" s="56" t="str">
        <f aca="false">IF(INDEX(BookTitle,685)="","",INDEX(BookTotal,685)*'5. Scenarios'!$C$6/(1+ProductivityDefault*('5. Scenarios'!$C$11-1)))</f>
        <v/>
      </c>
      <c r="J690" s="57" t="str">
        <f aca="false">IF($I690="","",INDEX(BookRate,685)*(1+'5. Scenarios'!$C$10)*$I690)</f>
        <v/>
      </c>
      <c r="K690" s="57" t="str">
        <f aca="false">IF($J690="","",SUMIFS($J$6:$J$2405,$A$6:$A$2405,"&lt;="&amp;$A690))</f>
        <v/>
      </c>
      <c r="L690" s="57" t="str">
        <f aca="false">IF($J690="","",IF($K690&lt;=BankCostEnvelope*'5. Scenarios'!$C$7,1,0))</f>
        <v/>
      </c>
      <c r="M690" s="57" t="str">
        <f aca="false">IF($I690="","",INDEX(BookRate,685)*(1+'5. Scenarios'!$C$10)*(INDEX(BookQ1,685)*(5-MIN(4,1+'5. Scenarios'!$C$8))/4+INDEX(BookQ2,685)*(5-MIN(4,2+'5. Scenarios'!$C$8))/4+INDEX(BookQ3,685)*(5-MIN(4,3+'5. Scenarios'!$C$8))/4+INDEX(BookQ4,685)*(5-MIN(4,4+'5. Scenarios'!$C$8))/4)*'5. Scenarios'!$C$6/(1+ProductivityDefault*('5. Scenarios'!$C$11-1))+INDEX(BookOneOff,685)*$I690)</f>
        <v/>
      </c>
      <c r="N690" s="56" t="str">
        <f aca="false">IF(INDEX(BookTitle,685)="","",INDEX(BookTotal,685)*'5. Scenarios'!$D$6/(1+ProductivityDefault*('5. Scenarios'!$D$11-1)))</f>
        <v/>
      </c>
      <c r="O690" s="57" t="str">
        <f aca="false">IF($N690="","",INDEX(BookRate,685)*(1+'5. Scenarios'!$D$10)*$N690)</f>
        <v/>
      </c>
      <c r="P690" s="57" t="str">
        <f aca="false">IF($O690="","",SUMIFS($O$6:$O$2405,$A$6:$A$2405,"&lt;="&amp;$A690))</f>
        <v/>
      </c>
      <c r="Q690" s="57" t="str">
        <f aca="false">IF($O690="","",IF($P690&lt;=BankCostEnvelope*'5. Scenarios'!$D$7,1,0))</f>
        <v/>
      </c>
      <c r="R690" s="57" t="str">
        <f aca="false">IF($N690="","",INDEX(BookRate,685)*(1+'5. Scenarios'!$D$10)*(INDEX(BookQ1,685)*(5-MIN(4,1+'5. Scenarios'!$D$8))/4+INDEX(BookQ2,685)*(5-MIN(4,2+'5. Scenarios'!$D$8))/4+INDEX(BookQ3,685)*(5-MIN(4,3+'5. Scenarios'!$D$8))/4+INDEX(BookQ4,685)*(5-MIN(4,4+'5. Scenarios'!$D$8))/4)*'5. Scenarios'!$D$6/(1+ProductivityDefault*('5. Scenarios'!$D$11-1))+INDEX(BookOneOff,685)*$N690)</f>
        <v/>
      </c>
      <c r="S690" s="56" t="str">
        <f aca="false">IF(INDEX(BookTitle,685)="","",INDEX(BookTotal,685)*'5. Scenarios'!$E$6/(1+ProductivityDefault*('5. Scenarios'!$E$11-1)))</f>
        <v/>
      </c>
      <c r="T690" s="57" t="str">
        <f aca="false">IF($S690="","",INDEX(BookRate,685)*(1+'5. Scenarios'!$E$10)*$S690)</f>
        <v/>
      </c>
      <c r="U690" s="57" t="str">
        <f aca="false">IF($T690="","",SUMIFS($T$6:$T$2405,$A$6:$A$2405,"&lt;="&amp;$A690))</f>
        <v/>
      </c>
      <c r="V690" s="57" t="str">
        <f aca="false">IF($T690="","",IF($U690&lt;=BankCostEnvelope*'5. Scenarios'!$E$7,1,0))</f>
        <v/>
      </c>
      <c r="W690" s="57" t="str">
        <f aca="false">IF($S690="","",INDEX(BookRate,685)*(1+'5. Scenarios'!$E$10)*(INDEX(BookQ1,685)*(5-MIN(4,1+'5. Scenarios'!$E$8))/4+INDEX(BookQ2,685)*(5-MIN(4,2+'5. Scenarios'!$E$8))/4+INDEX(BookQ3,685)*(5-MIN(4,3+'5. Scenarios'!$E$8))/4+INDEX(BookQ4,685)*(5-MIN(4,4+'5. Scenarios'!$E$8))/4)*'5. Scenarios'!$E$6/(1+ProductivityDefault*('5. Scenarios'!$E$11-1))+INDEX(BookOneOff,685)*$S690)</f>
        <v/>
      </c>
    </row>
    <row r="691" customFormat="false" ht="15" hidden="false" customHeight="false" outlineLevel="0" collapsed="false">
      <c r="A691" s="0" t="str">
        <f aca="false">IF(INDEX(BookTitle,686)="","",INDEX(BookKey,686))</f>
        <v/>
      </c>
      <c r="B691" s="0" t="str">
        <f aca="false">IF(INDEX(BookTitle,686)="","",INDEX(BookGroup,686))</f>
        <v/>
      </c>
      <c r="C691" s="0" t="str">
        <f aca="false">IF(INDEX(BookTitle,686)="","",INDEX(BookCategory,686))</f>
        <v/>
      </c>
      <c r="D691" s="56" t="str">
        <f aca="false">IF(INDEX(BookTitle,686)="","",INDEX(BookTotal,686)*'5. Scenarios'!$B$6/(1+ProductivityDefault*('5. Scenarios'!$B$11-1)))</f>
        <v/>
      </c>
      <c r="E691" s="57" t="str">
        <f aca="false">IF($D691="","",INDEX(BookRate,686)*(1+'5. Scenarios'!$B$10)*$D691)</f>
        <v/>
      </c>
      <c r="F691" s="57" t="str">
        <f aca="false">IF($E691="","",SUMIFS($E$6:$E$2405,$A$6:$A$2405,"&lt;="&amp;$A691))</f>
        <v/>
      </c>
      <c r="G691" s="57" t="str">
        <f aca="false">IF($E691="","",IF($F691&lt;=BankCostEnvelope*'5. Scenarios'!$B$7,1,0))</f>
        <v/>
      </c>
      <c r="H691" s="57" t="str">
        <f aca="false">IF($D691="","",INDEX(BookRate,686)*(1+'5. Scenarios'!$B$10)*(INDEX(BookQ1,686)*(5-MIN(4,1+'5. Scenarios'!$B$8))/4+INDEX(BookQ2,686)*(5-MIN(4,2+'5. Scenarios'!$B$8))/4+INDEX(BookQ3,686)*(5-MIN(4,3+'5. Scenarios'!$B$8))/4+INDEX(BookQ4,686)*(5-MIN(4,4+'5. Scenarios'!$B$8))/4)*'5. Scenarios'!$B$6/(1+ProductivityDefault*('5. Scenarios'!$B$11-1))+INDEX(BookOneOff,686)*$D691)</f>
        <v/>
      </c>
      <c r="I691" s="56" t="str">
        <f aca="false">IF(INDEX(BookTitle,686)="","",INDEX(BookTotal,686)*'5. Scenarios'!$C$6/(1+ProductivityDefault*('5. Scenarios'!$C$11-1)))</f>
        <v/>
      </c>
      <c r="J691" s="57" t="str">
        <f aca="false">IF($I691="","",INDEX(BookRate,686)*(1+'5. Scenarios'!$C$10)*$I691)</f>
        <v/>
      </c>
      <c r="K691" s="57" t="str">
        <f aca="false">IF($J691="","",SUMIFS($J$6:$J$2405,$A$6:$A$2405,"&lt;="&amp;$A691))</f>
        <v/>
      </c>
      <c r="L691" s="57" t="str">
        <f aca="false">IF($J691="","",IF($K691&lt;=BankCostEnvelope*'5. Scenarios'!$C$7,1,0))</f>
        <v/>
      </c>
      <c r="M691" s="57" t="str">
        <f aca="false">IF($I691="","",INDEX(BookRate,686)*(1+'5. Scenarios'!$C$10)*(INDEX(BookQ1,686)*(5-MIN(4,1+'5. Scenarios'!$C$8))/4+INDEX(BookQ2,686)*(5-MIN(4,2+'5. Scenarios'!$C$8))/4+INDEX(BookQ3,686)*(5-MIN(4,3+'5. Scenarios'!$C$8))/4+INDEX(BookQ4,686)*(5-MIN(4,4+'5. Scenarios'!$C$8))/4)*'5. Scenarios'!$C$6/(1+ProductivityDefault*('5. Scenarios'!$C$11-1))+INDEX(BookOneOff,686)*$I691)</f>
        <v/>
      </c>
      <c r="N691" s="56" t="str">
        <f aca="false">IF(INDEX(BookTitle,686)="","",INDEX(BookTotal,686)*'5. Scenarios'!$D$6/(1+ProductivityDefault*('5. Scenarios'!$D$11-1)))</f>
        <v/>
      </c>
      <c r="O691" s="57" t="str">
        <f aca="false">IF($N691="","",INDEX(BookRate,686)*(1+'5. Scenarios'!$D$10)*$N691)</f>
        <v/>
      </c>
      <c r="P691" s="57" t="str">
        <f aca="false">IF($O691="","",SUMIFS($O$6:$O$2405,$A$6:$A$2405,"&lt;="&amp;$A691))</f>
        <v/>
      </c>
      <c r="Q691" s="57" t="str">
        <f aca="false">IF($O691="","",IF($P691&lt;=BankCostEnvelope*'5. Scenarios'!$D$7,1,0))</f>
        <v/>
      </c>
      <c r="R691" s="57" t="str">
        <f aca="false">IF($N691="","",INDEX(BookRate,686)*(1+'5. Scenarios'!$D$10)*(INDEX(BookQ1,686)*(5-MIN(4,1+'5. Scenarios'!$D$8))/4+INDEX(BookQ2,686)*(5-MIN(4,2+'5. Scenarios'!$D$8))/4+INDEX(BookQ3,686)*(5-MIN(4,3+'5. Scenarios'!$D$8))/4+INDEX(BookQ4,686)*(5-MIN(4,4+'5. Scenarios'!$D$8))/4)*'5. Scenarios'!$D$6/(1+ProductivityDefault*('5. Scenarios'!$D$11-1))+INDEX(BookOneOff,686)*$N691)</f>
        <v/>
      </c>
      <c r="S691" s="56" t="str">
        <f aca="false">IF(INDEX(BookTitle,686)="","",INDEX(BookTotal,686)*'5. Scenarios'!$E$6/(1+ProductivityDefault*('5. Scenarios'!$E$11-1)))</f>
        <v/>
      </c>
      <c r="T691" s="57" t="str">
        <f aca="false">IF($S691="","",INDEX(BookRate,686)*(1+'5. Scenarios'!$E$10)*$S691)</f>
        <v/>
      </c>
      <c r="U691" s="57" t="str">
        <f aca="false">IF($T691="","",SUMIFS($T$6:$T$2405,$A$6:$A$2405,"&lt;="&amp;$A691))</f>
        <v/>
      </c>
      <c r="V691" s="57" t="str">
        <f aca="false">IF($T691="","",IF($U691&lt;=BankCostEnvelope*'5. Scenarios'!$E$7,1,0))</f>
        <v/>
      </c>
      <c r="W691" s="57" t="str">
        <f aca="false">IF($S691="","",INDEX(BookRate,686)*(1+'5. Scenarios'!$E$10)*(INDEX(BookQ1,686)*(5-MIN(4,1+'5. Scenarios'!$E$8))/4+INDEX(BookQ2,686)*(5-MIN(4,2+'5. Scenarios'!$E$8))/4+INDEX(BookQ3,686)*(5-MIN(4,3+'5. Scenarios'!$E$8))/4+INDEX(BookQ4,686)*(5-MIN(4,4+'5. Scenarios'!$E$8))/4)*'5. Scenarios'!$E$6/(1+ProductivityDefault*('5. Scenarios'!$E$11-1))+INDEX(BookOneOff,686)*$S691)</f>
        <v/>
      </c>
    </row>
    <row r="692" customFormat="false" ht="15" hidden="false" customHeight="false" outlineLevel="0" collapsed="false">
      <c r="A692" s="0" t="str">
        <f aca="false">IF(INDEX(BookTitle,687)="","",INDEX(BookKey,687))</f>
        <v/>
      </c>
      <c r="B692" s="0" t="str">
        <f aca="false">IF(INDEX(BookTitle,687)="","",INDEX(BookGroup,687))</f>
        <v/>
      </c>
      <c r="C692" s="0" t="str">
        <f aca="false">IF(INDEX(BookTitle,687)="","",INDEX(BookCategory,687))</f>
        <v/>
      </c>
      <c r="D692" s="56" t="str">
        <f aca="false">IF(INDEX(BookTitle,687)="","",INDEX(BookTotal,687)*'5. Scenarios'!$B$6/(1+ProductivityDefault*('5. Scenarios'!$B$11-1)))</f>
        <v/>
      </c>
      <c r="E692" s="57" t="str">
        <f aca="false">IF($D692="","",INDEX(BookRate,687)*(1+'5. Scenarios'!$B$10)*$D692)</f>
        <v/>
      </c>
      <c r="F692" s="57" t="str">
        <f aca="false">IF($E692="","",SUMIFS($E$6:$E$2405,$A$6:$A$2405,"&lt;="&amp;$A692))</f>
        <v/>
      </c>
      <c r="G692" s="57" t="str">
        <f aca="false">IF($E692="","",IF($F692&lt;=BankCostEnvelope*'5. Scenarios'!$B$7,1,0))</f>
        <v/>
      </c>
      <c r="H692" s="57" t="str">
        <f aca="false">IF($D692="","",INDEX(BookRate,687)*(1+'5. Scenarios'!$B$10)*(INDEX(BookQ1,687)*(5-MIN(4,1+'5. Scenarios'!$B$8))/4+INDEX(BookQ2,687)*(5-MIN(4,2+'5. Scenarios'!$B$8))/4+INDEX(BookQ3,687)*(5-MIN(4,3+'5. Scenarios'!$B$8))/4+INDEX(BookQ4,687)*(5-MIN(4,4+'5. Scenarios'!$B$8))/4)*'5. Scenarios'!$B$6/(1+ProductivityDefault*('5. Scenarios'!$B$11-1))+INDEX(BookOneOff,687)*$D692)</f>
        <v/>
      </c>
      <c r="I692" s="56" t="str">
        <f aca="false">IF(INDEX(BookTitle,687)="","",INDEX(BookTotal,687)*'5. Scenarios'!$C$6/(1+ProductivityDefault*('5. Scenarios'!$C$11-1)))</f>
        <v/>
      </c>
      <c r="J692" s="57" t="str">
        <f aca="false">IF($I692="","",INDEX(BookRate,687)*(1+'5. Scenarios'!$C$10)*$I692)</f>
        <v/>
      </c>
      <c r="K692" s="57" t="str">
        <f aca="false">IF($J692="","",SUMIFS($J$6:$J$2405,$A$6:$A$2405,"&lt;="&amp;$A692))</f>
        <v/>
      </c>
      <c r="L692" s="57" t="str">
        <f aca="false">IF($J692="","",IF($K692&lt;=BankCostEnvelope*'5. Scenarios'!$C$7,1,0))</f>
        <v/>
      </c>
      <c r="M692" s="57" t="str">
        <f aca="false">IF($I692="","",INDEX(BookRate,687)*(1+'5. Scenarios'!$C$10)*(INDEX(BookQ1,687)*(5-MIN(4,1+'5. Scenarios'!$C$8))/4+INDEX(BookQ2,687)*(5-MIN(4,2+'5. Scenarios'!$C$8))/4+INDEX(BookQ3,687)*(5-MIN(4,3+'5. Scenarios'!$C$8))/4+INDEX(BookQ4,687)*(5-MIN(4,4+'5. Scenarios'!$C$8))/4)*'5. Scenarios'!$C$6/(1+ProductivityDefault*('5. Scenarios'!$C$11-1))+INDEX(BookOneOff,687)*$I692)</f>
        <v/>
      </c>
      <c r="N692" s="56" t="str">
        <f aca="false">IF(INDEX(BookTitle,687)="","",INDEX(BookTotal,687)*'5. Scenarios'!$D$6/(1+ProductivityDefault*('5. Scenarios'!$D$11-1)))</f>
        <v/>
      </c>
      <c r="O692" s="57" t="str">
        <f aca="false">IF($N692="","",INDEX(BookRate,687)*(1+'5. Scenarios'!$D$10)*$N692)</f>
        <v/>
      </c>
      <c r="P692" s="57" t="str">
        <f aca="false">IF($O692="","",SUMIFS($O$6:$O$2405,$A$6:$A$2405,"&lt;="&amp;$A692))</f>
        <v/>
      </c>
      <c r="Q692" s="57" t="str">
        <f aca="false">IF($O692="","",IF($P692&lt;=BankCostEnvelope*'5. Scenarios'!$D$7,1,0))</f>
        <v/>
      </c>
      <c r="R692" s="57" t="str">
        <f aca="false">IF($N692="","",INDEX(BookRate,687)*(1+'5. Scenarios'!$D$10)*(INDEX(BookQ1,687)*(5-MIN(4,1+'5. Scenarios'!$D$8))/4+INDEX(BookQ2,687)*(5-MIN(4,2+'5. Scenarios'!$D$8))/4+INDEX(BookQ3,687)*(5-MIN(4,3+'5. Scenarios'!$D$8))/4+INDEX(BookQ4,687)*(5-MIN(4,4+'5. Scenarios'!$D$8))/4)*'5. Scenarios'!$D$6/(1+ProductivityDefault*('5. Scenarios'!$D$11-1))+INDEX(BookOneOff,687)*$N692)</f>
        <v/>
      </c>
      <c r="S692" s="56" t="str">
        <f aca="false">IF(INDEX(BookTitle,687)="","",INDEX(BookTotal,687)*'5. Scenarios'!$E$6/(1+ProductivityDefault*('5. Scenarios'!$E$11-1)))</f>
        <v/>
      </c>
      <c r="T692" s="57" t="str">
        <f aca="false">IF($S692="","",INDEX(BookRate,687)*(1+'5. Scenarios'!$E$10)*$S692)</f>
        <v/>
      </c>
      <c r="U692" s="57" t="str">
        <f aca="false">IF($T692="","",SUMIFS($T$6:$T$2405,$A$6:$A$2405,"&lt;="&amp;$A692))</f>
        <v/>
      </c>
      <c r="V692" s="57" t="str">
        <f aca="false">IF($T692="","",IF($U692&lt;=BankCostEnvelope*'5. Scenarios'!$E$7,1,0))</f>
        <v/>
      </c>
      <c r="W692" s="57" t="str">
        <f aca="false">IF($S692="","",INDEX(BookRate,687)*(1+'5. Scenarios'!$E$10)*(INDEX(BookQ1,687)*(5-MIN(4,1+'5. Scenarios'!$E$8))/4+INDEX(BookQ2,687)*(5-MIN(4,2+'5. Scenarios'!$E$8))/4+INDEX(BookQ3,687)*(5-MIN(4,3+'5. Scenarios'!$E$8))/4+INDEX(BookQ4,687)*(5-MIN(4,4+'5. Scenarios'!$E$8))/4)*'5. Scenarios'!$E$6/(1+ProductivityDefault*('5. Scenarios'!$E$11-1))+INDEX(BookOneOff,687)*$S692)</f>
        <v/>
      </c>
    </row>
    <row r="693" customFormat="false" ht="15" hidden="false" customHeight="false" outlineLevel="0" collapsed="false">
      <c r="A693" s="0" t="str">
        <f aca="false">IF(INDEX(BookTitle,688)="","",INDEX(BookKey,688))</f>
        <v/>
      </c>
      <c r="B693" s="0" t="str">
        <f aca="false">IF(INDEX(BookTitle,688)="","",INDEX(BookGroup,688))</f>
        <v/>
      </c>
      <c r="C693" s="0" t="str">
        <f aca="false">IF(INDEX(BookTitle,688)="","",INDEX(BookCategory,688))</f>
        <v/>
      </c>
      <c r="D693" s="56" t="str">
        <f aca="false">IF(INDEX(BookTitle,688)="","",INDEX(BookTotal,688)*'5. Scenarios'!$B$6/(1+ProductivityDefault*('5. Scenarios'!$B$11-1)))</f>
        <v/>
      </c>
      <c r="E693" s="57" t="str">
        <f aca="false">IF($D693="","",INDEX(BookRate,688)*(1+'5. Scenarios'!$B$10)*$D693)</f>
        <v/>
      </c>
      <c r="F693" s="57" t="str">
        <f aca="false">IF($E693="","",SUMIFS($E$6:$E$2405,$A$6:$A$2405,"&lt;="&amp;$A693))</f>
        <v/>
      </c>
      <c r="G693" s="57" t="str">
        <f aca="false">IF($E693="","",IF($F693&lt;=BankCostEnvelope*'5. Scenarios'!$B$7,1,0))</f>
        <v/>
      </c>
      <c r="H693" s="57" t="str">
        <f aca="false">IF($D693="","",INDEX(BookRate,688)*(1+'5. Scenarios'!$B$10)*(INDEX(BookQ1,688)*(5-MIN(4,1+'5. Scenarios'!$B$8))/4+INDEX(BookQ2,688)*(5-MIN(4,2+'5. Scenarios'!$B$8))/4+INDEX(BookQ3,688)*(5-MIN(4,3+'5. Scenarios'!$B$8))/4+INDEX(BookQ4,688)*(5-MIN(4,4+'5. Scenarios'!$B$8))/4)*'5. Scenarios'!$B$6/(1+ProductivityDefault*('5. Scenarios'!$B$11-1))+INDEX(BookOneOff,688)*$D693)</f>
        <v/>
      </c>
      <c r="I693" s="56" t="str">
        <f aca="false">IF(INDEX(BookTitle,688)="","",INDEX(BookTotal,688)*'5. Scenarios'!$C$6/(1+ProductivityDefault*('5. Scenarios'!$C$11-1)))</f>
        <v/>
      </c>
      <c r="J693" s="57" t="str">
        <f aca="false">IF($I693="","",INDEX(BookRate,688)*(1+'5. Scenarios'!$C$10)*$I693)</f>
        <v/>
      </c>
      <c r="K693" s="57" t="str">
        <f aca="false">IF($J693="","",SUMIFS($J$6:$J$2405,$A$6:$A$2405,"&lt;="&amp;$A693))</f>
        <v/>
      </c>
      <c r="L693" s="57" t="str">
        <f aca="false">IF($J693="","",IF($K693&lt;=BankCostEnvelope*'5. Scenarios'!$C$7,1,0))</f>
        <v/>
      </c>
      <c r="M693" s="57" t="str">
        <f aca="false">IF($I693="","",INDEX(BookRate,688)*(1+'5. Scenarios'!$C$10)*(INDEX(BookQ1,688)*(5-MIN(4,1+'5. Scenarios'!$C$8))/4+INDEX(BookQ2,688)*(5-MIN(4,2+'5. Scenarios'!$C$8))/4+INDEX(BookQ3,688)*(5-MIN(4,3+'5. Scenarios'!$C$8))/4+INDEX(BookQ4,688)*(5-MIN(4,4+'5. Scenarios'!$C$8))/4)*'5. Scenarios'!$C$6/(1+ProductivityDefault*('5. Scenarios'!$C$11-1))+INDEX(BookOneOff,688)*$I693)</f>
        <v/>
      </c>
      <c r="N693" s="56" t="str">
        <f aca="false">IF(INDEX(BookTitle,688)="","",INDEX(BookTotal,688)*'5. Scenarios'!$D$6/(1+ProductivityDefault*('5. Scenarios'!$D$11-1)))</f>
        <v/>
      </c>
      <c r="O693" s="57" t="str">
        <f aca="false">IF($N693="","",INDEX(BookRate,688)*(1+'5. Scenarios'!$D$10)*$N693)</f>
        <v/>
      </c>
      <c r="P693" s="57" t="str">
        <f aca="false">IF($O693="","",SUMIFS($O$6:$O$2405,$A$6:$A$2405,"&lt;="&amp;$A693))</f>
        <v/>
      </c>
      <c r="Q693" s="57" t="str">
        <f aca="false">IF($O693="","",IF($P693&lt;=BankCostEnvelope*'5. Scenarios'!$D$7,1,0))</f>
        <v/>
      </c>
      <c r="R693" s="57" t="str">
        <f aca="false">IF($N693="","",INDEX(BookRate,688)*(1+'5. Scenarios'!$D$10)*(INDEX(BookQ1,688)*(5-MIN(4,1+'5. Scenarios'!$D$8))/4+INDEX(BookQ2,688)*(5-MIN(4,2+'5. Scenarios'!$D$8))/4+INDEX(BookQ3,688)*(5-MIN(4,3+'5. Scenarios'!$D$8))/4+INDEX(BookQ4,688)*(5-MIN(4,4+'5. Scenarios'!$D$8))/4)*'5. Scenarios'!$D$6/(1+ProductivityDefault*('5. Scenarios'!$D$11-1))+INDEX(BookOneOff,688)*$N693)</f>
        <v/>
      </c>
      <c r="S693" s="56" t="str">
        <f aca="false">IF(INDEX(BookTitle,688)="","",INDEX(BookTotal,688)*'5. Scenarios'!$E$6/(1+ProductivityDefault*('5. Scenarios'!$E$11-1)))</f>
        <v/>
      </c>
      <c r="T693" s="57" t="str">
        <f aca="false">IF($S693="","",INDEX(BookRate,688)*(1+'5. Scenarios'!$E$10)*$S693)</f>
        <v/>
      </c>
      <c r="U693" s="57" t="str">
        <f aca="false">IF($T693="","",SUMIFS($T$6:$T$2405,$A$6:$A$2405,"&lt;="&amp;$A693))</f>
        <v/>
      </c>
      <c r="V693" s="57" t="str">
        <f aca="false">IF($T693="","",IF($U693&lt;=BankCostEnvelope*'5. Scenarios'!$E$7,1,0))</f>
        <v/>
      </c>
      <c r="W693" s="57" t="str">
        <f aca="false">IF($S693="","",INDEX(BookRate,688)*(1+'5. Scenarios'!$E$10)*(INDEX(BookQ1,688)*(5-MIN(4,1+'5. Scenarios'!$E$8))/4+INDEX(BookQ2,688)*(5-MIN(4,2+'5. Scenarios'!$E$8))/4+INDEX(BookQ3,688)*(5-MIN(4,3+'5. Scenarios'!$E$8))/4+INDEX(BookQ4,688)*(5-MIN(4,4+'5. Scenarios'!$E$8))/4)*'5. Scenarios'!$E$6/(1+ProductivityDefault*('5. Scenarios'!$E$11-1))+INDEX(BookOneOff,688)*$S693)</f>
        <v/>
      </c>
    </row>
    <row r="694" customFormat="false" ht="15" hidden="false" customHeight="false" outlineLevel="0" collapsed="false">
      <c r="A694" s="0" t="str">
        <f aca="false">IF(INDEX(BookTitle,689)="","",INDEX(BookKey,689))</f>
        <v/>
      </c>
      <c r="B694" s="0" t="str">
        <f aca="false">IF(INDEX(BookTitle,689)="","",INDEX(BookGroup,689))</f>
        <v/>
      </c>
      <c r="C694" s="0" t="str">
        <f aca="false">IF(INDEX(BookTitle,689)="","",INDEX(BookCategory,689))</f>
        <v/>
      </c>
      <c r="D694" s="56" t="str">
        <f aca="false">IF(INDEX(BookTitle,689)="","",INDEX(BookTotal,689)*'5. Scenarios'!$B$6/(1+ProductivityDefault*('5. Scenarios'!$B$11-1)))</f>
        <v/>
      </c>
      <c r="E694" s="57" t="str">
        <f aca="false">IF($D694="","",INDEX(BookRate,689)*(1+'5. Scenarios'!$B$10)*$D694)</f>
        <v/>
      </c>
      <c r="F694" s="57" t="str">
        <f aca="false">IF($E694="","",SUMIFS($E$6:$E$2405,$A$6:$A$2405,"&lt;="&amp;$A694))</f>
        <v/>
      </c>
      <c r="G694" s="57" t="str">
        <f aca="false">IF($E694="","",IF($F694&lt;=BankCostEnvelope*'5. Scenarios'!$B$7,1,0))</f>
        <v/>
      </c>
      <c r="H694" s="57" t="str">
        <f aca="false">IF($D694="","",INDEX(BookRate,689)*(1+'5. Scenarios'!$B$10)*(INDEX(BookQ1,689)*(5-MIN(4,1+'5. Scenarios'!$B$8))/4+INDEX(BookQ2,689)*(5-MIN(4,2+'5. Scenarios'!$B$8))/4+INDEX(BookQ3,689)*(5-MIN(4,3+'5. Scenarios'!$B$8))/4+INDEX(BookQ4,689)*(5-MIN(4,4+'5. Scenarios'!$B$8))/4)*'5. Scenarios'!$B$6/(1+ProductivityDefault*('5. Scenarios'!$B$11-1))+INDEX(BookOneOff,689)*$D694)</f>
        <v/>
      </c>
      <c r="I694" s="56" t="str">
        <f aca="false">IF(INDEX(BookTitle,689)="","",INDEX(BookTotal,689)*'5. Scenarios'!$C$6/(1+ProductivityDefault*('5. Scenarios'!$C$11-1)))</f>
        <v/>
      </c>
      <c r="J694" s="57" t="str">
        <f aca="false">IF($I694="","",INDEX(BookRate,689)*(1+'5. Scenarios'!$C$10)*$I694)</f>
        <v/>
      </c>
      <c r="K694" s="57" t="str">
        <f aca="false">IF($J694="","",SUMIFS($J$6:$J$2405,$A$6:$A$2405,"&lt;="&amp;$A694))</f>
        <v/>
      </c>
      <c r="L694" s="57" t="str">
        <f aca="false">IF($J694="","",IF($K694&lt;=BankCostEnvelope*'5. Scenarios'!$C$7,1,0))</f>
        <v/>
      </c>
      <c r="M694" s="57" t="str">
        <f aca="false">IF($I694="","",INDEX(BookRate,689)*(1+'5. Scenarios'!$C$10)*(INDEX(BookQ1,689)*(5-MIN(4,1+'5. Scenarios'!$C$8))/4+INDEX(BookQ2,689)*(5-MIN(4,2+'5. Scenarios'!$C$8))/4+INDEX(BookQ3,689)*(5-MIN(4,3+'5. Scenarios'!$C$8))/4+INDEX(BookQ4,689)*(5-MIN(4,4+'5. Scenarios'!$C$8))/4)*'5. Scenarios'!$C$6/(1+ProductivityDefault*('5. Scenarios'!$C$11-1))+INDEX(BookOneOff,689)*$I694)</f>
        <v/>
      </c>
      <c r="N694" s="56" t="str">
        <f aca="false">IF(INDEX(BookTitle,689)="","",INDEX(BookTotal,689)*'5. Scenarios'!$D$6/(1+ProductivityDefault*('5. Scenarios'!$D$11-1)))</f>
        <v/>
      </c>
      <c r="O694" s="57" t="str">
        <f aca="false">IF($N694="","",INDEX(BookRate,689)*(1+'5. Scenarios'!$D$10)*$N694)</f>
        <v/>
      </c>
      <c r="P694" s="57" t="str">
        <f aca="false">IF($O694="","",SUMIFS($O$6:$O$2405,$A$6:$A$2405,"&lt;="&amp;$A694))</f>
        <v/>
      </c>
      <c r="Q694" s="57" t="str">
        <f aca="false">IF($O694="","",IF($P694&lt;=BankCostEnvelope*'5. Scenarios'!$D$7,1,0))</f>
        <v/>
      </c>
      <c r="R694" s="57" t="str">
        <f aca="false">IF($N694="","",INDEX(BookRate,689)*(1+'5. Scenarios'!$D$10)*(INDEX(BookQ1,689)*(5-MIN(4,1+'5. Scenarios'!$D$8))/4+INDEX(BookQ2,689)*(5-MIN(4,2+'5. Scenarios'!$D$8))/4+INDEX(BookQ3,689)*(5-MIN(4,3+'5. Scenarios'!$D$8))/4+INDEX(BookQ4,689)*(5-MIN(4,4+'5. Scenarios'!$D$8))/4)*'5. Scenarios'!$D$6/(1+ProductivityDefault*('5. Scenarios'!$D$11-1))+INDEX(BookOneOff,689)*$N694)</f>
        <v/>
      </c>
      <c r="S694" s="56" t="str">
        <f aca="false">IF(INDEX(BookTitle,689)="","",INDEX(BookTotal,689)*'5. Scenarios'!$E$6/(1+ProductivityDefault*('5. Scenarios'!$E$11-1)))</f>
        <v/>
      </c>
      <c r="T694" s="57" t="str">
        <f aca="false">IF($S694="","",INDEX(BookRate,689)*(1+'5. Scenarios'!$E$10)*$S694)</f>
        <v/>
      </c>
      <c r="U694" s="57" t="str">
        <f aca="false">IF($T694="","",SUMIFS($T$6:$T$2405,$A$6:$A$2405,"&lt;="&amp;$A694))</f>
        <v/>
      </c>
      <c r="V694" s="57" t="str">
        <f aca="false">IF($T694="","",IF($U694&lt;=BankCostEnvelope*'5. Scenarios'!$E$7,1,0))</f>
        <v/>
      </c>
      <c r="W694" s="57" t="str">
        <f aca="false">IF($S694="","",INDEX(BookRate,689)*(1+'5. Scenarios'!$E$10)*(INDEX(BookQ1,689)*(5-MIN(4,1+'5. Scenarios'!$E$8))/4+INDEX(BookQ2,689)*(5-MIN(4,2+'5. Scenarios'!$E$8))/4+INDEX(BookQ3,689)*(5-MIN(4,3+'5. Scenarios'!$E$8))/4+INDEX(BookQ4,689)*(5-MIN(4,4+'5. Scenarios'!$E$8))/4)*'5. Scenarios'!$E$6/(1+ProductivityDefault*('5. Scenarios'!$E$11-1))+INDEX(BookOneOff,689)*$S694)</f>
        <v/>
      </c>
    </row>
    <row r="695" customFormat="false" ht="15" hidden="false" customHeight="false" outlineLevel="0" collapsed="false">
      <c r="A695" s="0" t="str">
        <f aca="false">IF(INDEX(BookTitle,690)="","",INDEX(BookKey,690))</f>
        <v/>
      </c>
      <c r="B695" s="0" t="str">
        <f aca="false">IF(INDEX(BookTitle,690)="","",INDEX(BookGroup,690))</f>
        <v/>
      </c>
      <c r="C695" s="0" t="str">
        <f aca="false">IF(INDEX(BookTitle,690)="","",INDEX(BookCategory,690))</f>
        <v/>
      </c>
      <c r="D695" s="56" t="str">
        <f aca="false">IF(INDEX(BookTitle,690)="","",INDEX(BookTotal,690)*'5. Scenarios'!$B$6/(1+ProductivityDefault*('5. Scenarios'!$B$11-1)))</f>
        <v/>
      </c>
      <c r="E695" s="57" t="str">
        <f aca="false">IF($D695="","",INDEX(BookRate,690)*(1+'5. Scenarios'!$B$10)*$D695)</f>
        <v/>
      </c>
      <c r="F695" s="57" t="str">
        <f aca="false">IF($E695="","",SUMIFS($E$6:$E$2405,$A$6:$A$2405,"&lt;="&amp;$A695))</f>
        <v/>
      </c>
      <c r="G695" s="57" t="str">
        <f aca="false">IF($E695="","",IF($F695&lt;=BankCostEnvelope*'5. Scenarios'!$B$7,1,0))</f>
        <v/>
      </c>
      <c r="H695" s="57" t="str">
        <f aca="false">IF($D695="","",INDEX(BookRate,690)*(1+'5. Scenarios'!$B$10)*(INDEX(BookQ1,690)*(5-MIN(4,1+'5. Scenarios'!$B$8))/4+INDEX(BookQ2,690)*(5-MIN(4,2+'5. Scenarios'!$B$8))/4+INDEX(BookQ3,690)*(5-MIN(4,3+'5. Scenarios'!$B$8))/4+INDEX(BookQ4,690)*(5-MIN(4,4+'5. Scenarios'!$B$8))/4)*'5. Scenarios'!$B$6/(1+ProductivityDefault*('5. Scenarios'!$B$11-1))+INDEX(BookOneOff,690)*$D695)</f>
        <v/>
      </c>
      <c r="I695" s="56" t="str">
        <f aca="false">IF(INDEX(BookTitle,690)="","",INDEX(BookTotal,690)*'5. Scenarios'!$C$6/(1+ProductivityDefault*('5. Scenarios'!$C$11-1)))</f>
        <v/>
      </c>
      <c r="J695" s="57" t="str">
        <f aca="false">IF($I695="","",INDEX(BookRate,690)*(1+'5. Scenarios'!$C$10)*$I695)</f>
        <v/>
      </c>
      <c r="K695" s="57" t="str">
        <f aca="false">IF($J695="","",SUMIFS($J$6:$J$2405,$A$6:$A$2405,"&lt;="&amp;$A695))</f>
        <v/>
      </c>
      <c r="L695" s="57" t="str">
        <f aca="false">IF($J695="","",IF($K695&lt;=BankCostEnvelope*'5. Scenarios'!$C$7,1,0))</f>
        <v/>
      </c>
      <c r="M695" s="57" t="str">
        <f aca="false">IF($I695="","",INDEX(BookRate,690)*(1+'5. Scenarios'!$C$10)*(INDEX(BookQ1,690)*(5-MIN(4,1+'5. Scenarios'!$C$8))/4+INDEX(BookQ2,690)*(5-MIN(4,2+'5. Scenarios'!$C$8))/4+INDEX(BookQ3,690)*(5-MIN(4,3+'5. Scenarios'!$C$8))/4+INDEX(BookQ4,690)*(5-MIN(4,4+'5. Scenarios'!$C$8))/4)*'5. Scenarios'!$C$6/(1+ProductivityDefault*('5. Scenarios'!$C$11-1))+INDEX(BookOneOff,690)*$I695)</f>
        <v/>
      </c>
      <c r="N695" s="56" t="str">
        <f aca="false">IF(INDEX(BookTitle,690)="","",INDEX(BookTotal,690)*'5. Scenarios'!$D$6/(1+ProductivityDefault*('5. Scenarios'!$D$11-1)))</f>
        <v/>
      </c>
      <c r="O695" s="57" t="str">
        <f aca="false">IF($N695="","",INDEX(BookRate,690)*(1+'5. Scenarios'!$D$10)*$N695)</f>
        <v/>
      </c>
      <c r="P695" s="57" t="str">
        <f aca="false">IF($O695="","",SUMIFS($O$6:$O$2405,$A$6:$A$2405,"&lt;="&amp;$A695))</f>
        <v/>
      </c>
      <c r="Q695" s="57" t="str">
        <f aca="false">IF($O695="","",IF($P695&lt;=BankCostEnvelope*'5. Scenarios'!$D$7,1,0))</f>
        <v/>
      </c>
      <c r="R695" s="57" t="str">
        <f aca="false">IF($N695="","",INDEX(BookRate,690)*(1+'5. Scenarios'!$D$10)*(INDEX(BookQ1,690)*(5-MIN(4,1+'5. Scenarios'!$D$8))/4+INDEX(BookQ2,690)*(5-MIN(4,2+'5. Scenarios'!$D$8))/4+INDEX(BookQ3,690)*(5-MIN(4,3+'5. Scenarios'!$D$8))/4+INDEX(BookQ4,690)*(5-MIN(4,4+'5. Scenarios'!$D$8))/4)*'5. Scenarios'!$D$6/(1+ProductivityDefault*('5. Scenarios'!$D$11-1))+INDEX(BookOneOff,690)*$N695)</f>
        <v/>
      </c>
      <c r="S695" s="56" t="str">
        <f aca="false">IF(INDEX(BookTitle,690)="","",INDEX(BookTotal,690)*'5. Scenarios'!$E$6/(1+ProductivityDefault*('5. Scenarios'!$E$11-1)))</f>
        <v/>
      </c>
      <c r="T695" s="57" t="str">
        <f aca="false">IF($S695="","",INDEX(BookRate,690)*(1+'5. Scenarios'!$E$10)*$S695)</f>
        <v/>
      </c>
      <c r="U695" s="57" t="str">
        <f aca="false">IF($T695="","",SUMIFS($T$6:$T$2405,$A$6:$A$2405,"&lt;="&amp;$A695))</f>
        <v/>
      </c>
      <c r="V695" s="57" t="str">
        <f aca="false">IF($T695="","",IF($U695&lt;=BankCostEnvelope*'5. Scenarios'!$E$7,1,0))</f>
        <v/>
      </c>
      <c r="W695" s="57" t="str">
        <f aca="false">IF($S695="","",INDEX(BookRate,690)*(1+'5. Scenarios'!$E$10)*(INDEX(BookQ1,690)*(5-MIN(4,1+'5. Scenarios'!$E$8))/4+INDEX(BookQ2,690)*(5-MIN(4,2+'5. Scenarios'!$E$8))/4+INDEX(BookQ3,690)*(5-MIN(4,3+'5. Scenarios'!$E$8))/4+INDEX(BookQ4,690)*(5-MIN(4,4+'5. Scenarios'!$E$8))/4)*'5. Scenarios'!$E$6/(1+ProductivityDefault*('5. Scenarios'!$E$11-1))+INDEX(BookOneOff,690)*$S695)</f>
        <v/>
      </c>
    </row>
    <row r="696" customFormat="false" ht="15" hidden="false" customHeight="false" outlineLevel="0" collapsed="false">
      <c r="A696" s="0" t="str">
        <f aca="false">IF(INDEX(BookTitle,691)="","",INDEX(BookKey,691))</f>
        <v/>
      </c>
      <c r="B696" s="0" t="str">
        <f aca="false">IF(INDEX(BookTitle,691)="","",INDEX(BookGroup,691))</f>
        <v/>
      </c>
      <c r="C696" s="0" t="str">
        <f aca="false">IF(INDEX(BookTitle,691)="","",INDEX(BookCategory,691))</f>
        <v/>
      </c>
      <c r="D696" s="56" t="str">
        <f aca="false">IF(INDEX(BookTitle,691)="","",INDEX(BookTotal,691)*'5. Scenarios'!$B$6/(1+ProductivityDefault*('5. Scenarios'!$B$11-1)))</f>
        <v/>
      </c>
      <c r="E696" s="57" t="str">
        <f aca="false">IF($D696="","",INDEX(BookRate,691)*(1+'5. Scenarios'!$B$10)*$D696)</f>
        <v/>
      </c>
      <c r="F696" s="57" t="str">
        <f aca="false">IF($E696="","",SUMIFS($E$6:$E$2405,$A$6:$A$2405,"&lt;="&amp;$A696))</f>
        <v/>
      </c>
      <c r="G696" s="57" t="str">
        <f aca="false">IF($E696="","",IF($F696&lt;=BankCostEnvelope*'5. Scenarios'!$B$7,1,0))</f>
        <v/>
      </c>
      <c r="H696" s="57" t="str">
        <f aca="false">IF($D696="","",INDEX(BookRate,691)*(1+'5. Scenarios'!$B$10)*(INDEX(BookQ1,691)*(5-MIN(4,1+'5. Scenarios'!$B$8))/4+INDEX(BookQ2,691)*(5-MIN(4,2+'5. Scenarios'!$B$8))/4+INDEX(BookQ3,691)*(5-MIN(4,3+'5. Scenarios'!$B$8))/4+INDEX(BookQ4,691)*(5-MIN(4,4+'5. Scenarios'!$B$8))/4)*'5. Scenarios'!$B$6/(1+ProductivityDefault*('5. Scenarios'!$B$11-1))+INDEX(BookOneOff,691)*$D696)</f>
        <v/>
      </c>
      <c r="I696" s="56" t="str">
        <f aca="false">IF(INDEX(BookTitle,691)="","",INDEX(BookTotal,691)*'5. Scenarios'!$C$6/(1+ProductivityDefault*('5. Scenarios'!$C$11-1)))</f>
        <v/>
      </c>
      <c r="J696" s="57" t="str">
        <f aca="false">IF($I696="","",INDEX(BookRate,691)*(1+'5. Scenarios'!$C$10)*$I696)</f>
        <v/>
      </c>
      <c r="K696" s="57" t="str">
        <f aca="false">IF($J696="","",SUMIFS($J$6:$J$2405,$A$6:$A$2405,"&lt;="&amp;$A696))</f>
        <v/>
      </c>
      <c r="L696" s="57" t="str">
        <f aca="false">IF($J696="","",IF($K696&lt;=BankCostEnvelope*'5. Scenarios'!$C$7,1,0))</f>
        <v/>
      </c>
      <c r="M696" s="57" t="str">
        <f aca="false">IF($I696="","",INDEX(BookRate,691)*(1+'5. Scenarios'!$C$10)*(INDEX(BookQ1,691)*(5-MIN(4,1+'5. Scenarios'!$C$8))/4+INDEX(BookQ2,691)*(5-MIN(4,2+'5. Scenarios'!$C$8))/4+INDEX(BookQ3,691)*(5-MIN(4,3+'5. Scenarios'!$C$8))/4+INDEX(BookQ4,691)*(5-MIN(4,4+'5. Scenarios'!$C$8))/4)*'5. Scenarios'!$C$6/(1+ProductivityDefault*('5. Scenarios'!$C$11-1))+INDEX(BookOneOff,691)*$I696)</f>
        <v/>
      </c>
      <c r="N696" s="56" t="str">
        <f aca="false">IF(INDEX(BookTitle,691)="","",INDEX(BookTotal,691)*'5. Scenarios'!$D$6/(1+ProductivityDefault*('5. Scenarios'!$D$11-1)))</f>
        <v/>
      </c>
      <c r="O696" s="57" t="str">
        <f aca="false">IF($N696="","",INDEX(BookRate,691)*(1+'5. Scenarios'!$D$10)*$N696)</f>
        <v/>
      </c>
      <c r="P696" s="57" t="str">
        <f aca="false">IF($O696="","",SUMIFS($O$6:$O$2405,$A$6:$A$2405,"&lt;="&amp;$A696))</f>
        <v/>
      </c>
      <c r="Q696" s="57" t="str">
        <f aca="false">IF($O696="","",IF($P696&lt;=BankCostEnvelope*'5. Scenarios'!$D$7,1,0))</f>
        <v/>
      </c>
      <c r="R696" s="57" t="str">
        <f aca="false">IF($N696="","",INDEX(BookRate,691)*(1+'5. Scenarios'!$D$10)*(INDEX(BookQ1,691)*(5-MIN(4,1+'5. Scenarios'!$D$8))/4+INDEX(BookQ2,691)*(5-MIN(4,2+'5. Scenarios'!$D$8))/4+INDEX(BookQ3,691)*(5-MIN(4,3+'5. Scenarios'!$D$8))/4+INDEX(BookQ4,691)*(5-MIN(4,4+'5. Scenarios'!$D$8))/4)*'5. Scenarios'!$D$6/(1+ProductivityDefault*('5. Scenarios'!$D$11-1))+INDEX(BookOneOff,691)*$N696)</f>
        <v/>
      </c>
      <c r="S696" s="56" t="str">
        <f aca="false">IF(INDEX(BookTitle,691)="","",INDEX(BookTotal,691)*'5. Scenarios'!$E$6/(1+ProductivityDefault*('5. Scenarios'!$E$11-1)))</f>
        <v/>
      </c>
      <c r="T696" s="57" t="str">
        <f aca="false">IF($S696="","",INDEX(BookRate,691)*(1+'5. Scenarios'!$E$10)*$S696)</f>
        <v/>
      </c>
      <c r="U696" s="57" t="str">
        <f aca="false">IF($T696="","",SUMIFS($T$6:$T$2405,$A$6:$A$2405,"&lt;="&amp;$A696))</f>
        <v/>
      </c>
      <c r="V696" s="57" t="str">
        <f aca="false">IF($T696="","",IF($U696&lt;=BankCostEnvelope*'5. Scenarios'!$E$7,1,0))</f>
        <v/>
      </c>
      <c r="W696" s="57" t="str">
        <f aca="false">IF($S696="","",INDEX(BookRate,691)*(1+'5. Scenarios'!$E$10)*(INDEX(BookQ1,691)*(5-MIN(4,1+'5. Scenarios'!$E$8))/4+INDEX(BookQ2,691)*(5-MIN(4,2+'5. Scenarios'!$E$8))/4+INDEX(BookQ3,691)*(5-MIN(4,3+'5. Scenarios'!$E$8))/4+INDEX(BookQ4,691)*(5-MIN(4,4+'5. Scenarios'!$E$8))/4)*'5. Scenarios'!$E$6/(1+ProductivityDefault*('5. Scenarios'!$E$11-1))+INDEX(BookOneOff,691)*$S696)</f>
        <v/>
      </c>
    </row>
    <row r="697" customFormat="false" ht="15" hidden="false" customHeight="false" outlineLevel="0" collapsed="false">
      <c r="A697" s="0" t="str">
        <f aca="false">IF(INDEX(BookTitle,692)="","",INDEX(BookKey,692))</f>
        <v/>
      </c>
      <c r="B697" s="0" t="str">
        <f aca="false">IF(INDEX(BookTitle,692)="","",INDEX(BookGroup,692))</f>
        <v/>
      </c>
      <c r="C697" s="0" t="str">
        <f aca="false">IF(INDEX(BookTitle,692)="","",INDEX(BookCategory,692))</f>
        <v/>
      </c>
      <c r="D697" s="56" t="str">
        <f aca="false">IF(INDEX(BookTitle,692)="","",INDEX(BookTotal,692)*'5. Scenarios'!$B$6/(1+ProductivityDefault*('5. Scenarios'!$B$11-1)))</f>
        <v/>
      </c>
      <c r="E697" s="57" t="str">
        <f aca="false">IF($D697="","",INDEX(BookRate,692)*(1+'5. Scenarios'!$B$10)*$D697)</f>
        <v/>
      </c>
      <c r="F697" s="57" t="str">
        <f aca="false">IF($E697="","",SUMIFS($E$6:$E$2405,$A$6:$A$2405,"&lt;="&amp;$A697))</f>
        <v/>
      </c>
      <c r="G697" s="57" t="str">
        <f aca="false">IF($E697="","",IF($F697&lt;=BankCostEnvelope*'5. Scenarios'!$B$7,1,0))</f>
        <v/>
      </c>
      <c r="H697" s="57" t="str">
        <f aca="false">IF($D697="","",INDEX(BookRate,692)*(1+'5. Scenarios'!$B$10)*(INDEX(BookQ1,692)*(5-MIN(4,1+'5. Scenarios'!$B$8))/4+INDEX(BookQ2,692)*(5-MIN(4,2+'5. Scenarios'!$B$8))/4+INDEX(BookQ3,692)*(5-MIN(4,3+'5. Scenarios'!$B$8))/4+INDEX(BookQ4,692)*(5-MIN(4,4+'5. Scenarios'!$B$8))/4)*'5. Scenarios'!$B$6/(1+ProductivityDefault*('5. Scenarios'!$B$11-1))+INDEX(BookOneOff,692)*$D697)</f>
        <v/>
      </c>
      <c r="I697" s="56" t="str">
        <f aca="false">IF(INDEX(BookTitle,692)="","",INDEX(BookTotal,692)*'5. Scenarios'!$C$6/(1+ProductivityDefault*('5. Scenarios'!$C$11-1)))</f>
        <v/>
      </c>
      <c r="J697" s="57" t="str">
        <f aca="false">IF($I697="","",INDEX(BookRate,692)*(1+'5. Scenarios'!$C$10)*$I697)</f>
        <v/>
      </c>
      <c r="K697" s="57" t="str">
        <f aca="false">IF($J697="","",SUMIFS($J$6:$J$2405,$A$6:$A$2405,"&lt;="&amp;$A697))</f>
        <v/>
      </c>
      <c r="L697" s="57" t="str">
        <f aca="false">IF($J697="","",IF($K697&lt;=BankCostEnvelope*'5. Scenarios'!$C$7,1,0))</f>
        <v/>
      </c>
      <c r="M697" s="57" t="str">
        <f aca="false">IF($I697="","",INDEX(BookRate,692)*(1+'5. Scenarios'!$C$10)*(INDEX(BookQ1,692)*(5-MIN(4,1+'5. Scenarios'!$C$8))/4+INDEX(BookQ2,692)*(5-MIN(4,2+'5. Scenarios'!$C$8))/4+INDEX(BookQ3,692)*(5-MIN(4,3+'5. Scenarios'!$C$8))/4+INDEX(BookQ4,692)*(5-MIN(4,4+'5. Scenarios'!$C$8))/4)*'5. Scenarios'!$C$6/(1+ProductivityDefault*('5. Scenarios'!$C$11-1))+INDEX(BookOneOff,692)*$I697)</f>
        <v/>
      </c>
      <c r="N697" s="56" t="str">
        <f aca="false">IF(INDEX(BookTitle,692)="","",INDEX(BookTotal,692)*'5. Scenarios'!$D$6/(1+ProductivityDefault*('5. Scenarios'!$D$11-1)))</f>
        <v/>
      </c>
      <c r="O697" s="57" t="str">
        <f aca="false">IF($N697="","",INDEX(BookRate,692)*(1+'5. Scenarios'!$D$10)*$N697)</f>
        <v/>
      </c>
      <c r="P697" s="57" t="str">
        <f aca="false">IF($O697="","",SUMIFS($O$6:$O$2405,$A$6:$A$2405,"&lt;="&amp;$A697))</f>
        <v/>
      </c>
      <c r="Q697" s="57" t="str">
        <f aca="false">IF($O697="","",IF($P697&lt;=BankCostEnvelope*'5. Scenarios'!$D$7,1,0))</f>
        <v/>
      </c>
      <c r="R697" s="57" t="str">
        <f aca="false">IF($N697="","",INDEX(BookRate,692)*(1+'5. Scenarios'!$D$10)*(INDEX(BookQ1,692)*(5-MIN(4,1+'5. Scenarios'!$D$8))/4+INDEX(BookQ2,692)*(5-MIN(4,2+'5. Scenarios'!$D$8))/4+INDEX(BookQ3,692)*(5-MIN(4,3+'5. Scenarios'!$D$8))/4+INDEX(BookQ4,692)*(5-MIN(4,4+'5. Scenarios'!$D$8))/4)*'5. Scenarios'!$D$6/(1+ProductivityDefault*('5. Scenarios'!$D$11-1))+INDEX(BookOneOff,692)*$N697)</f>
        <v/>
      </c>
      <c r="S697" s="56" t="str">
        <f aca="false">IF(INDEX(BookTitle,692)="","",INDEX(BookTotal,692)*'5. Scenarios'!$E$6/(1+ProductivityDefault*('5. Scenarios'!$E$11-1)))</f>
        <v/>
      </c>
      <c r="T697" s="57" t="str">
        <f aca="false">IF($S697="","",INDEX(BookRate,692)*(1+'5. Scenarios'!$E$10)*$S697)</f>
        <v/>
      </c>
      <c r="U697" s="57" t="str">
        <f aca="false">IF($T697="","",SUMIFS($T$6:$T$2405,$A$6:$A$2405,"&lt;="&amp;$A697))</f>
        <v/>
      </c>
      <c r="V697" s="57" t="str">
        <f aca="false">IF($T697="","",IF($U697&lt;=BankCostEnvelope*'5. Scenarios'!$E$7,1,0))</f>
        <v/>
      </c>
      <c r="W697" s="57" t="str">
        <f aca="false">IF($S697="","",INDEX(BookRate,692)*(1+'5. Scenarios'!$E$10)*(INDEX(BookQ1,692)*(5-MIN(4,1+'5. Scenarios'!$E$8))/4+INDEX(BookQ2,692)*(5-MIN(4,2+'5. Scenarios'!$E$8))/4+INDEX(BookQ3,692)*(5-MIN(4,3+'5. Scenarios'!$E$8))/4+INDEX(BookQ4,692)*(5-MIN(4,4+'5. Scenarios'!$E$8))/4)*'5. Scenarios'!$E$6/(1+ProductivityDefault*('5. Scenarios'!$E$11-1))+INDEX(BookOneOff,692)*$S697)</f>
        <v/>
      </c>
    </row>
    <row r="698" customFormat="false" ht="15" hidden="false" customHeight="false" outlineLevel="0" collapsed="false">
      <c r="A698" s="0" t="str">
        <f aca="false">IF(INDEX(BookTitle,693)="","",INDEX(BookKey,693))</f>
        <v/>
      </c>
      <c r="B698" s="0" t="str">
        <f aca="false">IF(INDEX(BookTitle,693)="","",INDEX(BookGroup,693))</f>
        <v/>
      </c>
      <c r="C698" s="0" t="str">
        <f aca="false">IF(INDEX(BookTitle,693)="","",INDEX(BookCategory,693))</f>
        <v/>
      </c>
      <c r="D698" s="56" t="str">
        <f aca="false">IF(INDEX(BookTitle,693)="","",INDEX(BookTotal,693)*'5. Scenarios'!$B$6/(1+ProductivityDefault*('5. Scenarios'!$B$11-1)))</f>
        <v/>
      </c>
      <c r="E698" s="57" t="str">
        <f aca="false">IF($D698="","",INDEX(BookRate,693)*(1+'5. Scenarios'!$B$10)*$D698)</f>
        <v/>
      </c>
      <c r="F698" s="57" t="str">
        <f aca="false">IF($E698="","",SUMIFS($E$6:$E$2405,$A$6:$A$2405,"&lt;="&amp;$A698))</f>
        <v/>
      </c>
      <c r="G698" s="57" t="str">
        <f aca="false">IF($E698="","",IF($F698&lt;=BankCostEnvelope*'5. Scenarios'!$B$7,1,0))</f>
        <v/>
      </c>
      <c r="H698" s="57" t="str">
        <f aca="false">IF($D698="","",INDEX(BookRate,693)*(1+'5. Scenarios'!$B$10)*(INDEX(BookQ1,693)*(5-MIN(4,1+'5. Scenarios'!$B$8))/4+INDEX(BookQ2,693)*(5-MIN(4,2+'5. Scenarios'!$B$8))/4+INDEX(BookQ3,693)*(5-MIN(4,3+'5. Scenarios'!$B$8))/4+INDEX(BookQ4,693)*(5-MIN(4,4+'5. Scenarios'!$B$8))/4)*'5. Scenarios'!$B$6/(1+ProductivityDefault*('5. Scenarios'!$B$11-1))+INDEX(BookOneOff,693)*$D698)</f>
        <v/>
      </c>
      <c r="I698" s="56" t="str">
        <f aca="false">IF(INDEX(BookTitle,693)="","",INDEX(BookTotal,693)*'5. Scenarios'!$C$6/(1+ProductivityDefault*('5. Scenarios'!$C$11-1)))</f>
        <v/>
      </c>
      <c r="J698" s="57" t="str">
        <f aca="false">IF($I698="","",INDEX(BookRate,693)*(1+'5. Scenarios'!$C$10)*$I698)</f>
        <v/>
      </c>
      <c r="K698" s="57" t="str">
        <f aca="false">IF($J698="","",SUMIFS($J$6:$J$2405,$A$6:$A$2405,"&lt;="&amp;$A698))</f>
        <v/>
      </c>
      <c r="L698" s="57" t="str">
        <f aca="false">IF($J698="","",IF($K698&lt;=BankCostEnvelope*'5. Scenarios'!$C$7,1,0))</f>
        <v/>
      </c>
      <c r="M698" s="57" t="str">
        <f aca="false">IF($I698="","",INDEX(BookRate,693)*(1+'5. Scenarios'!$C$10)*(INDEX(BookQ1,693)*(5-MIN(4,1+'5. Scenarios'!$C$8))/4+INDEX(BookQ2,693)*(5-MIN(4,2+'5. Scenarios'!$C$8))/4+INDEX(BookQ3,693)*(5-MIN(4,3+'5. Scenarios'!$C$8))/4+INDEX(BookQ4,693)*(5-MIN(4,4+'5. Scenarios'!$C$8))/4)*'5. Scenarios'!$C$6/(1+ProductivityDefault*('5. Scenarios'!$C$11-1))+INDEX(BookOneOff,693)*$I698)</f>
        <v/>
      </c>
      <c r="N698" s="56" t="str">
        <f aca="false">IF(INDEX(BookTitle,693)="","",INDEX(BookTotal,693)*'5. Scenarios'!$D$6/(1+ProductivityDefault*('5. Scenarios'!$D$11-1)))</f>
        <v/>
      </c>
      <c r="O698" s="57" t="str">
        <f aca="false">IF($N698="","",INDEX(BookRate,693)*(1+'5. Scenarios'!$D$10)*$N698)</f>
        <v/>
      </c>
      <c r="P698" s="57" t="str">
        <f aca="false">IF($O698="","",SUMIFS($O$6:$O$2405,$A$6:$A$2405,"&lt;="&amp;$A698))</f>
        <v/>
      </c>
      <c r="Q698" s="57" t="str">
        <f aca="false">IF($O698="","",IF($P698&lt;=BankCostEnvelope*'5. Scenarios'!$D$7,1,0))</f>
        <v/>
      </c>
      <c r="R698" s="57" t="str">
        <f aca="false">IF($N698="","",INDEX(BookRate,693)*(1+'5. Scenarios'!$D$10)*(INDEX(BookQ1,693)*(5-MIN(4,1+'5. Scenarios'!$D$8))/4+INDEX(BookQ2,693)*(5-MIN(4,2+'5. Scenarios'!$D$8))/4+INDEX(BookQ3,693)*(5-MIN(4,3+'5. Scenarios'!$D$8))/4+INDEX(BookQ4,693)*(5-MIN(4,4+'5. Scenarios'!$D$8))/4)*'5. Scenarios'!$D$6/(1+ProductivityDefault*('5. Scenarios'!$D$11-1))+INDEX(BookOneOff,693)*$N698)</f>
        <v/>
      </c>
      <c r="S698" s="56" t="str">
        <f aca="false">IF(INDEX(BookTitle,693)="","",INDEX(BookTotal,693)*'5. Scenarios'!$E$6/(1+ProductivityDefault*('5. Scenarios'!$E$11-1)))</f>
        <v/>
      </c>
      <c r="T698" s="57" t="str">
        <f aca="false">IF($S698="","",INDEX(BookRate,693)*(1+'5. Scenarios'!$E$10)*$S698)</f>
        <v/>
      </c>
      <c r="U698" s="57" t="str">
        <f aca="false">IF($T698="","",SUMIFS($T$6:$T$2405,$A$6:$A$2405,"&lt;="&amp;$A698))</f>
        <v/>
      </c>
      <c r="V698" s="57" t="str">
        <f aca="false">IF($T698="","",IF($U698&lt;=BankCostEnvelope*'5. Scenarios'!$E$7,1,0))</f>
        <v/>
      </c>
      <c r="W698" s="57" t="str">
        <f aca="false">IF($S698="","",INDEX(BookRate,693)*(1+'5. Scenarios'!$E$10)*(INDEX(BookQ1,693)*(5-MIN(4,1+'5. Scenarios'!$E$8))/4+INDEX(BookQ2,693)*(5-MIN(4,2+'5. Scenarios'!$E$8))/4+INDEX(BookQ3,693)*(5-MIN(4,3+'5. Scenarios'!$E$8))/4+INDEX(BookQ4,693)*(5-MIN(4,4+'5. Scenarios'!$E$8))/4)*'5. Scenarios'!$E$6/(1+ProductivityDefault*('5. Scenarios'!$E$11-1))+INDEX(BookOneOff,693)*$S698)</f>
        <v/>
      </c>
    </row>
    <row r="699" customFormat="false" ht="15" hidden="false" customHeight="false" outlineLevel="0" collapsed="false">
      <c r="A699" s="0" t="str">
        <f aca="false">IF(INDEX(BookTitle,694)="","",INDEX(BookKey,694))</f>
        <v/>
      </c>
      <c r="B699" s="0" t="str">
        <f aca="false">IF(INDEX(BookTitle,694)="","",INDEX(BookGroup,694))</f>
        <v/>
      </c>
      <c r="C699" s="0" t="str">
        <f aca="false">IF(INDEX(BookTitle,694)="","",INDEX(BookCategory,694))</f>
        <v/>
      </c>
      <c r="D699" s="56" t="str">
        <f aca="false">IF(INDEX(BookTitle,694)="","",INDEX(BookTotal,694)*'5. Scenarios'!$B$6/(1+ProductivityDefault*('5. Scenarios'!$B$11-1)))</f>
        <v/>
      </c>
      <c r="E699" s="57" t="str">
        <f aca="false">IF($D699="","",INDEX(BookRate,694)*(1+'5. Scenarios'!$B$10)*$D699)</f>
        <v/>
      </c>
      <c r="F699" s="57" t="str">
        <f aca="false">IF($E699="","",SUMIFS($E$6:$E$2405,$A$6:$A$2405,"&lt;="&amp;$A699))</f>
        <v/>
      </c>
      <c r="G699" s="57" t="str">
        <f aca="false">IF($E699="","",IF($F699&lt;=BankCostEnvelope*'5. Scenarios'!$B$7,1,0))</f>
        <v/>
      </c>
      <c r="H699" s="57" t="str">
        <f aca="false">IF($D699="","",INDEX(BookRate,694)*(1+'5. Scenarios'!$B$10)*(INDEX(BookQ1,694)*(5-MIN(4,1+'5. Scenarios'!$B$8))/4+INDEX(BookQ2,694)*(5-MIN(4,2+'5. Scenarios'!$B$8))/4+INDEX(BookQ3,694)*(5-MIN(4,3+'5. Scenarios'!$B$8))/4+INDEX(BookQ4,694)*(5-MIN(4,4+'5. Scenarios'!$B$8))/4)*'5. Scenarios'!$B$6/(1+ProductivityDefault*('5. Scenarios'!$B$11-1))+INDEX(BookOneOff,694)*$D699)</f>
        <v/>
      </c>
      <c r="I699" s="56" t="str">
        <f aca="false">IF(INDEX(BookTitle,694)="","",INDEX(BookTotal,694)*'5. Scenarios'!$C$6/(1+ProductivityDefault*('5. Scenarios'!$C$11-1)))</f>
        <v/>
      </c>
      <c r="J699" s="57" t="str">
        <f aca="false">IF($I699="","",INDEX(BookRate,694)*(1+'5. Scenarios'!$C$10)*$I699)</f>
        <v/>
      </c>
      <c r="K699" s="57" t="str">
        <f aca="false">IF($J699="","",SUMIFS($J$6:$J$2405,$A$6:$A$2405,"&lt;="&amp;$A699))</f>
        <v/>
      </c>
      <c r="L699" s="57" t="str">
        <f aca="false">IF($J699="","",IF($K699&lt;=BankCostEnvelope*'5. Scenarios'!$C$7,1,0))</f>
        <v/>
      </c>
      <c r="M699" s="57" t="str">
        <f aca="false">IF($I699="","",INDEX(BookRate,694)*(1+'5. Scenarios'!$C$10)*(INDEX(BookQ1,694)*(5-MIN(4,1+'5. Scenarios'!$C$8))/4+INDEX(BookQ2,694)*(5-MIN(4,2+'5. Scenarios'!$C$8))/4+INDEX(BookQ3,694)*(5-MIN(4,3+'5. Scenarios'!$C$8))/4+INDEX(BookQ4,694)*(5-MIN(4,4+'5. Scenarios'!$C$8))/4)*'5. Scenarios'!$C$6/(1+ProductivityDefault*('5. Scenarios'!$C$11-1))+INDEX(BookOneOff,694)*$I699)</f>
        <v/>
      </c>
      <c r="N699" s="56" t="str">
        <f aca="false">IF(INDEX(BookTitle,694)="","",INDEX(BookTotal,694)*'5. Scenarios'!$D$6/(1+ProductivityDefault*('5. Scenarios'!$D$11-1)))</f>
        <v/>
      </c>
      <c r="O699" s="57" t="str">
        <f aca="false">IF($N699="","",INDEX(BookRate,694)*(1+'5. Scenarios'!$D$10)*$N699)</f>
        <v/>
      </c>
      <c r="P699" s="57" t="str">
        <f aca="false">IF($O699="","",SUMIFS($O$6:$O$2405,$A$6:$A$2405,"&lt;="&amp;$A699))</f>
        <v/>
      </c>
      <c r="Q699" s="57" t="str">
        <f aca="false">IF($O699="","",IF($P699&lt;=BankCostEnvelope*'5. Scenarios'!$D$7,1,0))</f>
        <v/>
      </c>
      <c r="R699" s="57" t="str">
        <f aca="false">IF($N699="","",INDEX(BookRate,694)*(1+'5. Scenarios'!$D$10)*(INDEX(BookQ1,694)*(5-MIN(4,1+'5. Scenarios'!$D$8))/4+INDEX(BookQ2,694)*(5-MIN(4,2+'5. Scenarios'!$D$8))/4+INDEX(BookQ3,694)*(5-MIN(4,3+'5. Scenarios'!$D$8))/4+INDEX(BookQ4,694)*(5-MIN(4,4+'5. Scenarios'!$D$8))/4)*'5. Scenarios'!$D$6/(1+ProductivityDefault*('5. Scenarios'!$D$11-1))+INDEX(BookOneOff,694)*$N699)</f>
        <v/>
      </c>
      <c r="S699" s="56" t="str">
        <f aca="false">IF(INDEX(BookTitle,694)="","",INDEX(BookTotal,694)*'5. Scenarios'!$E$6/(1+ProductivityDefault*('5. Scenarios'!$E$11-1)))</f>
        <v/>
      </c>
      <c r="T699" s="57" t="str">
        <f aca="false">IF($S699="","",INDEX(BookRate,694)*(1+'5. Scenarios'!$E$10)*$S699)</f>
        <v/>
      </c>
      <c r="U699" s="57" t="str">
        <f aca="false">IF($T699="","",SUMIFS($T$6:$T$2405,$A$6:$A$2405,"&lt;="&amp;$A699))</f>
        <v/>
      </c>
      <c r="V699" s="57" t="str">
        <f aca="false">IF($T699="","",IF($U699&lt;=BankCostEnvelope*'5. Scenarios'!$E$7,1,0))</f>
        <v/>
      </c>
      <c r="W699" s="57" t="str">
        <f aca="false">IF($S699="","",INDEX(BookRate,694)*(1+'5. Scenarios'!$E$10)*(INDEX(BookQ1,694)*(5-MIN(4,1+'5. Scenarios'!$E$8))/4+INDEX(BookQ2,694)*(5-MIN(4,2+'5. Scenarios'!$E$8))/4+INDEX(BookQ3,694)*(5-MIN(4,3+'5. Scenarios'!$E$8))/4+INDEX(BookQ4,694)*(5-MIN(4,4+'5. Scenarios'!$E$8))/4)*'5. Scenarios'!$E$6/(1+ProductivityDefault*('5. Scenarios'!$E$11-1))+INDEX(BookOneOff,694)*$S699)</f>
        <v/>
      </c>
    </row>
    <row r="700" customFormat="false" ht="15" hidden="false" customHeight="false" outlineLevel="0" collapsed="false">
      <c r="A700" s="0" t="str">
        <f aca="false">IF(INDEX(BookTitle,695)="","",INDEX(BookKey,695))</f>
        <v/>
      </c>
      <c r="B700" s="0" t="str">
        <f aca="false">IF(INDEX(BookTitle,695)="","",INDEX(BookGroup,695))</f>
        <v/>
      </c>
      <c r="C700" s="0" t="str">
        <f aca="false">IF(INDEX(BookTitle,695)="","",INDEX(BookCategory,695))</f>
        <v/>
      </c>
      <c r="D700" s="56" t="str">
        <f aca="false">IF(INDEX(BookTitle,695)="","",INDEX(BookTotal,695)*'5. Scenarios'!$B$6/(1+ProductivityDefault*('5. Scenarios'!$B$11-1)))</f>
        <v/>
      </c>
      <c r="E700" s="57" t="str">
        <f aca="false">IF($D700="","",INDEX(BookRate,695)*(1+'5. Scenarios'!$B$10)*$D700)</f>
        <v/>
      </c>
      <c r="F700" s="57" t="str">
        <f aca="false">IF($E700="","",SUMIFS($E$6:$E$2405,$A$6:$A$2405,"&lt;="&amp;$A700))</f>
        <v/>
      </c>
      <c r="G700" s="57" t="str">
        <f aca="false">IF($E700="","",IF($F700&lt;=BankCostEnvelope*'5. Scenarios'!$B$7,1,0))</f>
        <v/>
      </c>
      <c r="H700" s="57" t="str">
        <f aca="false">IF($D700="","",INDEX(BookRate,695)*(1+'5. Scenarios'!$B$10)*(INDEX(BookQ1,695)*(5-MIN(4,1+'5. Scenarios'!$B$8))/4+INDEX(BookQ2,695)*(5-MIN(4,2+'5. Scenarios'!$B$8))/4+INDEX(BookQ3,695)*(5-MIN(4,3+'5. Scenarios'!$B$8))/4+INDEX(BookQ4,695)*(5-MIN(4,4+'5. Scenarios'!$B$8))/4)*'5. Scenarios'!$B$6/(1+ProductivityDefault*('5. Scenarios'!$B$11-1))+INDEX(BookOneOff,695)*$D700)</f>
        <v/>
      </c>
      <c r="I700" s="56" t="str">
        <f aca="false">IF(INDEX(BookTitle,695)="","",INDEX(BookTotal,695)*'5. Scenarios'!$C$6/(1+ProductivityDefault*('5. Scenarios'!$C$11-1)))</f>
        <v/>
      </c>
      <c r="J700" s="57" t="str">
        <f aca="false">IF($I700="","",INDEX(BookRate,695)*(1+'5. Scenarios'!$C$10)*$I700)</f>
        <v/>
      </c>
      <c r="K700" s="57" t="str">
        <f aca="false">IF($J700="","",SUMIFS($J$6:$J$2405,$A$6:$A$2405,"&lt;="&amp;$A700))</f>
        <v/>
      </c>
      <c r="L700" s="57" t="str">
        <f aca="false">IF($J700="","",IF($K700&lt;=BankCostEnvelope*'5. Scenarios'!$C$7,1,0))</f>
        <v/>
      </c>
      <c r="M700" s="57" t="str">
        <f aca="false">IF($I700="","",INDEX(BookRate,695)*(1+'5. Scenarios'!$C$10)*(INDEX(BookQ1,695)*(5-MIN(4,1+'5. Scenarios'!$C$8))/4+INDEX(BookQ2,695)*(5-MIN(4,2+'5. Scenarios'!$C$8))/4+INDEX(BookQ3,695)*(5-MIN(4,3+'5. Scenarios'!$C$8))/4+INDEX(BookQ4,695)*(5-MIN(4,4+'5. Scenarios'!$C$8))/4)*'5. Scenarios'!$C$6/(1+ProductivityDefault*('5. Scenarios'!$C$11-1))+INDEX(BookOneOff,695)*$I700)</f>
        <v/>
      </c>
      <c r="N700" s="56" t="str">
        <f aca="false">IF(INDEX(BookTitle,695)="","",INDEX(BookTotal,695)*'5. Scenarios'!$D$6/(1+ProductivityDefault*('5. Scenarios'!$D$11-1)))</f>
        <v/>
      </c>
      <c r="O700" s="57" t="str">
        <f aca="false">IF($N700="","",INDEX(BookRate,695)*(1+'5. Scenarios'!$D$10)*$N700)</f>
        <v/>
      </c>
      <c r="P700" s="57" t="str">
        <f aca="false">IF($O700="","",SUMIFS($O$6:$O$2405,$A$6:$A$2405,"&lt;="&amp;$A700))</f>
        <v/>
      </c>
      <c r="Q700" s="57" t="str">
        <f aca="false">IF($O700="","",IF($P700&lt;=BankCostEnvelope*'5. Scenarios'!$D$7,1,0))</f>
        <v/>
      </c>
      <c r="R700" s="57" t="str">
        <f aca="false">IF($N700="","",INDEX(BookRate,695)*(1+'5. Scenarios'!$D$10)*(INDEX(BookQ1,695)*(5-MIN(4,1+'5. Scenarios'!$D$8))/4+INDEX(BookQ2,695)*(5-MIN(4,2+'5. Scenarios'!$D$8))/4+INDEX(BookQ3,695)*(5-MIN(4,3+'5. Scenarios'!$D$8))/4+INDEX(BookQ4,695)*(5-MIN(4,4+'5. Scenarios'!$D$8))/4)*'5. Scenarios'!$D$6/(1+ProductivityDefault*('5. Scenarios'!$D$11-1))+INDEX(BookOneOff,695)*$N700)</f>
        <v/>
      </c>
      <c r="S700" s="56" t="str">
        <f aca="false">IF(INDEX(BookTitle,695)="","",INDEX(BookTotal,695)*'5. Scenarios'!$E$6/(1+ProductivityDefault*('5. Scenarios'!$E$11-1)))</f>
        <v/>
      </c>
      <c r="T700" s="57" t="str">
        <f aca="false">IF($S700="","",INDEX(BookRate,695)*(1+'5. Scenarios'!$E$10)*$S700)</f>
        <v/>
      </c>
      <c r="U700" s="57" t="str">
        <f aca="false">IF($T700="","",SUMIFS($T$6:$T$2405,$A$6:$A$2405,"&lt;="&amp;$A700))</f>
        <v/>
      </c>
      <c r="V700" s="57" t="str">
        <f aca="false">IF($T700="","",IF($U700&lt;=BankCostEnvelope*'5. Scenarios'!$E$7,1,0))</f>
        <v/>
      </c>
      <c r="W700" s="57" t="str">
        <f aca="false">IF($S700="","",INDEX(BookRate,695)*(1+'5. Scenarios'!$E$10)*(INDEX(BookQ1,695)*(5-MIN(4,1+'5. Scenarios'!$E$8))/4+INDEX(BookQ2,695)*(5-MIN(4,2+'5. Scenarios'!$E$8))/4+INDEX(BookQ3,695)*(5-MIN(4,3+'5. Scenarios'!$E$8))/4+INDEX(BookQ4,695)*(5-MIN(4,4+'5. Scenarios'!$E$8))/4)*'5. Scenarios'!$E$6/(1+ProductivityDefault*('5. Scenarios'!$E$11-1))+INDEX(BookOneOff,695)*$S700)</f>
        <v/>
      </c>
    </row>
    <row r="701" customFormat="false" ht="15" hidden="false" customHeight="false" outlineLevel="0" collapsed="false">
      <c r="A701" s="0" t="str">
        <f aca="false">IF(INDEX(BookTitle,696)="","",INDEX(BookKey,696))</f>
        <v/>
      </c>
      <c r="B701" s="0" t="str">
        <f aca="false">IF(INDEX(BookTitle,696)="","",INDEX(BookGroup,696))</f>
        <v/>
      </c>
      <c r="C701" s="0" t="str">
        <f aca="false">IF(INDEX(BookTitle,696)="","",INDEX(BookCategory,696))</f>
        <v/>
      </c>
      <c r="D701" s="56" t="str">
        <f aca="false">IF(INDEX(BookTitle,696)="","",INDEX(BookTotal,696)*'5. Scenarios'!$B$6/(1+ProductivityDefault*('5. Scenarios'!$B$11-1)))</f>
        <v/>
      </c>
      <c r="E701" s="57" t="str">
        <f aca="false">IF($D701="","",INDEX(BookRate,696)*(1+'5. Scenarios'!$B$10)*$D701)</f>
        <v/>
      </c>
      <c r="F701" s="57" t="str">
        <f aca="false">IF($E701="","",SUMIFS($E$6:$E$2405,$A$6:$A$2405,"&lt;="&amp;$A701))</f>
        <v/>
      </c>
      <c r="G701" s="57" t="str">
        <f aca="false">IF($E701="","",IF($F701&lt;=BankCostEnvelope*'5. Scenarios'!$B$7,1,0))</f>
        <v/>
      </c>
      <c r="H701" s="57" t="str">
        <f aca="false">IF($D701="","",INDEX(BookRate,696)*(1+'5. Scenarios'!$B$10)*(INDEX(BookQ1,696)*(5-MIN(4,1+'5. Scenarios'!$B$8))/4+INDEX(BookQ2,696)*(5-MIN(4,2+'5. Scenarios'!$B$8))/4+INDEX(BookQ3,696)*(5-MIN(4,3+'5. Scenarios'!$B$8))/4+INDEX(BookQ4,696)*(5-MIN(4,4+'5. Scenarios'!$B$8))/4)*'5. Scenarios'!$B$6/(1+ProductivityDefault*('5. Scenarios'!$B$11-1))+INDEX(BookOneOff,696)*$D701)</f>
        <v/>
      </c>
      <c r="I701" s="56" t="str">
        <f aca="false">IF(INDEX(BookTitle,696)="","",INDEX(BookTotal,696)*'5. Scenarios'!$C$6/(1+ProductivityDefault*('5. Scenarios'!$C$11-1)))</f>
        <v/>
      </c>
      <c r="J701" s="57" t="str">
        <f aca="false">IF($I701="","",INDEX(BookRate,696)*(1+'5. Scenarios'!$C$10)*$I701)</f>
        <v/>
      </c>
      <c r="K701" s="57" t="str">
        <f aca="false">IF($J701="","",SUMIFS($J$6:$J$2405,$A$6:$A$2405,"&lt;="&amp;$A701))</f>
        <v/>
      </c>
      <c r="L701" s="57" t="str">
        <f aca="false">IF($J701="","",IF($K701&lt;=BankCostEnvelope*'5. Scenarios'!$C$7,1,0))</f>
        <v/>
      </c>
      <c r="M701" s="57" t="str">
        <f aca="false">IF($I701="","",INDEX(BookRate,696)*(1+'5. Scenarios'!$C$10)*(INDEX(BookQ1,696)*(5-MIN(4,1+'5. Scenarios'!$C$8))/4+INDEX(BookQ2,696)*(5-MIN(4,2+'5. Scenarios'!$C$8))/4+INDEX(BookQ3,696)*(5-MIN(4,3+'5. Scenarios'!$C$8))/4+INDEX(BookQ4,696)*(5-MIN(4,4+'5. Scenarios'!$C$8))/4)*'5. Scenarios'!$C$6/(1+ProductivityDefault*('5. Scenarios'!$C$11-1))+INDEX(BookOneOff,696)*$I701)</f>
        <v/>
      </c>
      <c r="N701" s="56" t="str">
        <f aca="false">IF(INDEX(BookTitle,696)="","",INDEX(BookTotal,696)*'5. Scenarios'!$D$6/(1+ProductivityDefault*('5. Scenarios'!$D$11-1)))</f>
        <v/>
      </c>
      <c r="O701" s="57" t="str">
        <f aca="false">IF($N701="","",INDEX(BookRate,696)*(1+'5. Scenarios'!$D$10)*$N701)</f>
        <v/>
      </c>
      <c r="P701" s="57" t="str">
        <f aca="false">IF($O701="","",SUMIFS($O$6:$O$2405,$A$6:$A$2405,"&lt;="&amp;$A701))</f>
        <v/>
      </c>
      <c r="Q701" s="57" t="str">
        <f aca="false">IF($O701="","",IF($P701&lt;=BankCostEnvelope*'5. Scenarios'!$D$7,1,0))</f>
        <v/>
      </c>
      <c r="R701" s="57" t="str">
        <f aca="false">IF($N701="","",INDEX(BookRate,696)*(1+'5. Scenarios'!$D$10)*(INDEX(BookQ1,696)*(5-MIN(4,1+'5. Scenarios'!$D$8))/4+INDEX(BookQ2,696)*(5-MIN(4,2+'5. Scenarios'!$D$8))/4+INDEX(BookQ3,696)*(5-MIN(4,3+'5. Scenarios'!$D$8))/4+INDEX(BookQ4,696)*(5-MIN(4,4+'5. Scenarios'!$D$8))/4)*'5. Scenarios'!$D$6/(1+ProductivityDefault*('5. Scenarios'!$D$11-1))+INDEX(BookOneOff,696)*$N701)</f>
        <v/>
      </c>
      <c r="S701" s="56" t="str">
        <f aca="false">IF(INDEX(BookTitle,696)="","",INDEX(BookTotal,696)*'5. Scenarios'!$E$6/(1+ProductivityDefault*('5. Scenarios'!$E$11-1)))</f>
        <v/>
      </c>
      <c r="T701" s="57" t="str">
        <f aca="false">IF($S701="","",INDEX(BookRate,696)*(1+'5. Scenarios'!$E$10)*$S701)</f>
        <v/>
      </c>
      <c r="U701" s="57" t="str">
        <f aca="false">IF($T701="","",SUMIFS($T$6:$T$2405,$A$6:$A$2405,"&lt;="&amp;$A701))</f>
        <v/>
      </c>
      <c r="V701" s="57" t="str">
        <f aca="false">IF($T701="","",IF($U701&lt;=BankCostEnvelope*'5. Scenarios'!$E$7,1,0))</f>
        <v/>
      </c>
      <c r="W701" s="57" t="str">
        <f aca="false">IF($S701="","",INDEX(BookRate,696)*(1+'5. Scenarios'!$E$10)*(INDEX(BookQ1,696)*(5-MIN(4,1+'5. Scenarios'!$E$8))/4+INDEX(BookQ2,696)*(5-MIN(4,2+'5. Scenarios'!$E$8))/4+INDEX(BookQ3,696)*(5-MIN(4,3+'5. Scenarios'!$E$8))/4+INDEX(BookQ4,696)*(5-MIN(4,4+'5. Scenarios'!$E$8))/4)*'5. Scenarios'!$E$6/(1+ProductivityDefault*('5. Scenarios'!$E$11-1))+INDEX(BookOneOff,696)*$S701)</f>
        <v/>
      </c>
    </row>
    <row r="702" customFormat="false" ht="15" hidden="false" customHeight="false" outlineLevel="0" collapsed="false">
      <c r="A702" s="0" t="str">
        <f aca="false">IF(INDEX(BookTitle,697)="","",INDEX(BookKey,697))</f>
        <v/>
      </c>
      <c r="B702" s="0" t="str">
        <f aca="false">IF(INDEX(BookTitle,697)="","",INDEX(BookGroup,697))</f>
        <v/>
      </c>
      <c r="C702" s="0" t="str">
        <f aca="false">IF(INDEX(BookTitle,697)="","",INDEX(BookCategory,697))</f>
        <v/>
      </c>
      <c r="D702" s="56" t="str">
        <f aca="false">IF(INDEX(BookTitle,697)="","",INDEX(BookTotal,697)*'5. Scenarios'!$B$6/(1+ProductivityDefault*('5. Scenarios'!$B$11-1)))</f>
        <v/>
      </c>
      <c r="E702" s="57" t="str">
        <f aca="false">IF($D702="","",INDEX(BookRate,697)*(1+'5. Scenarios'!$B$10)*$D702)</f>
        <v/>
      </c>
      <c r="F702" s="57" t="str">
        <f aca="false">IF($E702="","",SUMIFS($E$6:$E$2405,$A$6:$A$2405,"&lt;="&amp;$A702))</f>
        <v/>
      </c>
      <c r="G702" s="57" t="str">
        <f aca="false">IF($E702="","",IF($F702&lt;=BankCostEnvelope*'5. Scenarios'!$B$7,1,0))</f>
        <v/>
      </c>
      <c r="H702" s="57" t="str">
        <f aca="false">IF($D702="","",INDEX(BookRate,697)*(1+'5. Scenarios'!$B$10)*(INDEX(BookQ1,697)*(5-MIN(4,1+'5. Scenarios'!$B$8))/4+INDEX(BookQ2,697)*(5-MIN(4,2+'5. Scenarios'!$B$8))/4+INDEX(BookQ3,697)*(5-MIN(4,3+'5. Scenarios'!$B$8))/4+INDEX(BookQ4,697)*(5-MIN(4,4+'5. Scenarios'!$B$8))/4)*'5. Scenarios'!$B$6/(1+ProductivityDefault*('5. Scenarios'!$B$11-1))+INDEX(BookOneOff,697)*$D702)</f>
        <v/>
      </c>
      <c r="I702" s="56" t="str">
        <f aca="false">IF(INDEX(BookTitle,697)="","",INDEX(BookTotal,697)*'5. Scenarios'!$C$6/(1+ProductivityDefault*('5. Scenarios'!$C$11-1)))</f>
        <v/>
      </c>
      <c r="J702" s="57" t="str">
        <f aca="false">IF($I702="","",INDEX(BookRate,697)*(1+'5. Scenarios'!$C$10)*$I702)</f>
        <v/>
      </c>
      <c r="K702" s="57" t="str">
        <f aca="false">IF($J702="","",SUMIFS($J$6:$J$2405,$A$6:$A$2405,"&lt;="&amp;$A702))</f>
        <v/>
      </c>
      <c r="L702" s="57" t="str">
        <f aca="false">IF($J702="","",IF($K702&lt;=BankCostEnvelope*'5. Scenarios'!$C$7,1,0))</f>
        <v/>
      </c>
      <c r="M702" s="57" t="str">
        <f aca="false">IF($I702="","",INDEX(BookRate,697)*(1+'5. Scenarios'!$C$10)*(INDEX(BookQ1,697)*(5-MIN(4,1+'5. Scenarios'!$C$8))/4+INDEX(BookQ2,697)*(5-MIN(4,2+'5. Scenarios'!$C$8))/4+INDEX(BookQ3,697)*(5-MIN(4,3+'5. Scenarios'!$C$8))/4+INDEX(BookQ4,697)*(5-MIN(4,4+'5. Scenarios'!$C$8))/4)*'5. Scenarios'!$C$6/(1+ProductivityDefault*('5. Scenarios'!$C$11-1))+INDEX(BookOneOff,697)*$I702)</f>
        <v/>
      </c>
      <c r="N702" s="56" t="str">
        <f aca="false">IF(INDEX(BookTitle,697)="","",INDEX(BookTotal,697)*'5. Scenarios'!$D$6/(1+ProductivityDefault*('5. Scenarios'!$D$11-1)))</f>
        <v/>
      </c>
      <c r="O702" s="57" t="str">
        <f aca="false">IF($N702="","",INDEX(BookRate,697)*(1+'5. Scenarios'!$D$10)*$N702)</f>
        <v/>
      </c>
      <c r="P702" s="57" t="str">
        <f aca="false">IF($O702="","",SUMIFS($O$6:$O$2405,$A$6:$A$2405,"&lt;="&amp;$A702))</f>
        <v/>
      </c>
      <c r="Q702" s="57" t="str">
        <f aca="false">IF($O702="","",IF($P702&lt;=BankCostEnvelope*'5. Scenarios'!$D$7,1,0))</f>
        <v/>
      </c>
      <c r="R702" s="57" t="str">
        <f aca="false">IF($N702="","",INDEX(BookRate,697)*(1+'5. Scenarios'!$D$10)*(INDEX(BookQ1,697)*(5-MIN(4,1+'5. Scenarios'!$D$8))/4+INDEX(BookQ2,697)*(5-MIN(4,2+'5. Scenarios'!$D$8))/4+INDEX(BookQ3,697)*(5-MIN(4,3+'5. Scenarios'!$D$8))/4+INDEX(BookQ4,697)*(5-MIN(4,4+'5. Scenarios'!$D$8))/4)*'5. Scenarios'!$D$6/(1+ProductivityDefault*('5. Scenarios'!$D$11-1))+INDEX(BookOneOff,697)*$N702)</f>
        <v/>
      </c>
      <c r="S702" s="56" t="str">
        <f aca="false">IF(INDEX(BookTitle,697)="","",INDEX(BookTotal,697)*'5. Scenarios'!$E$6/(1+ProductivityDefault*('5. Scenarios'!$E$11-1)))</f>
        <v/>
      </c>
      <c r="T702" s="57" t="str">
        <f aca="false">IF($S702="","",INDEX(BookRate,697)*(1+'5. Scenarios'!$E$10)*$S702)</f>
        <v/>
      </c>
      <c r="U702" s="57" t="str">
        <f aca="false">IF($T702="","",SUMIFS($T$6:$T$2405,$A$6:$A$2405,"&lt;="&amp;$A702))</f>
        <v/>
      </c>
      <c r="V702" s="57" t="str">
        <f aca="false">IF($T702="","",IF($U702&lt;=BankCostEnvelope*'5. Scenarios'!$E$7,1,0))</f>
        <v/>
      </c>
      <c r="W702" s="57" t="str">
        <f aca="false">IF($S702="","",INDEX(BookRate,697)*(1+'5. Scenarios'!$E$10)*(INDEX(BookQ1,697)*(5-MIN(4,1+'5. Scenarios'!$E$8))/4+INDEX(BookQ2,697)*(5-MIN(4,2+'5. Scenarios'!$E$8))/4+INDEX(BookQ3,697)*(5-MIN(4,3+'5. Scenarios'!$E$8))/4+INDEX(BookQ4,697)*(5-MIN(4,4+'5. Scenarios'!$E$8))/4)*'5. Scenarios'!$E$6/(1+ProductivityDefault*('5. Scenarios'!$E$11-1))+INDEX(BookOneOff,697)*$S702)</f>
        <v/>
      </c>
    </row>
    <row r="703" customFormat="false" ht="15" hidden="false" customHeight="false" outlineLevel="0" collapsed="false">
      <c r="A703" s="0" t="str">
        <f aca="false">IF(INDEX(BookTitle,698)="","",INDEX(BookKey,698))</f>
        <v/>
      </c>
      <c r="B703" s="0" t="str">
        <f aca="false">IF(INDEX(BookTitle,698)="","",INDEX(BookGroup,698))</f>
        <v/>
      </c>
      <c r="C703" s="0" t="str">
        <f aca="false">IF(INDEX(BookTitle,698)="","",INDEX(BookCategory,698))</f>
        <v/>
      </c>
      <c r="D703" s="56" t="str">
        <f aca="false">IF(INDEX(BookTitle,698)="","",INDEX(BookTotal,698)*'5. Scenarios'!$B$6/(1+ProductivityDefault*('5. Scenarios'!$B$11-1)))</f>
        <v/>
      </c>
      <c r="E703" s="57" t="str">
        <f aca="false">IF($D703="","",INDEX(BookRate,698)*(1+'5. Scenarios'!$B$10)*$D703)</f>
        <v/>
      </c>
      <c r="F703" s="57" t="str">
        <f aca="false">IF($E703="","",SUMIFS($E$6:$E$2405,$A$6:$A$2405,"&lt;="&amp;$A703))</f>
        <v/>
      </c>
      <c r="G703" s="57" t="str">
        <f aca="false">IF($E703="","",IF($F703&lt;=BankCostEnvelope*'5. Scenarios'!$B$7,1,0))</f>
        <v/>
      </c>
      <c r="H703" s="57" t="str">
        <f aca="false">IF($D703="","",INDEX(BookRate,698)*(1+'5. Scenarios'!$B$10)*(INDEX(BookQ1,698)*(5-MIN(4,1+'5. Scenarios'!$B$8))/4+INDEX(BookQ2,698)*(5-MIN(4,2+'5. Scenarios'!$B$8))/4+INDEX(BookQ3,698)*(5-MIN(4,3+'5. Scenarios'!$B$8))/4+INDEX(BookQ4,698)*(5-MIN(4,4+'5. Scenarios'!$B$8))/4)*'5. Scenarios'!$B$6/(1+ProductivityDefault*('5. Scenarios'!$B$11-1))+INDEX(BookOneOff,698)*$D703)</f>
        <v/>
      </c>
      <c r="I703" s="56" t="str">
        <f aca="false">IF(INDEX(BookTitle,698)="","",INDEX(BookTotal,698)*'5. Scenarios'!$C$6/(1+ProductivityDefault*('5. Scenarios'!$C$11-1)))</f>
        <v/>
      </c>
      <c r="J703" s="57" t="str">
        <f aca="false">IF($I703="","",INDEX(BookRate,698)*(1+'5. Scenarios'!$C$10)*$I703)</f>
        <v/>
      </c>
      <c r="K703" s="57" t="str">
        <f aca="false">IF($J703="","",SUMIFS($J$6:$J$2405,$A$6:$A$2405,"&lt;="&amp;$A703))</f>
        <v/>
      </c>
      <c r="L703" s="57" t="str">
        <f aca="false">IF($J703="","",IF($K703&lt;=BankCostEnvelope*'5. Scenarios'!$C$7,1,0))</f>
        <v/>
      </c>
      <c r="M703" s="57" t="str">
        <f aca="false">IF($I703="","",INDEX(BookRate,698)*(1+'5. Scenarios'!$C$10)*(INDEX(BookQ1,698)*(5-MIN(4,1+'5. Scenarios'!$C$8))/4+INDEX(BookQ2,698)*(5-MIN(4,2+'5. Scenarios'!$C$8))/4+INDEX(BookQ3,698)*(5-MIN(4,3+'5. Scenarios'!$C$8))/4+INDEX(BookQ4,698)*(5-MIN(4,4+'5. Scenarios'!$C$8))/4)*'5. Scenarios'!$C$6/(1+ProductivityDefault*('5. Scenarios'!$C$11-1))+INDEX(BookOneOff,698)*$I703)</f>
        <v/>
      </c>
      <c r="N703" s="56" t="str">
        <f aca="false">IF(INDEX(BookTitle,698)="","",INDEX(BookTotal,698)*'5. Scenarios'!$D$6/(1+ProductivityDefault*('5. Scenarios'!$D$11-1)))</f>
        <v/>
      </c>
      <c r="O703" s="57" t="str">
        <f aca="false">IF($N703="","",INDEX(BookRate,698)*(1+'5. Scenarios'!$D$10)*$N703)</f>
        <v/>
      </c>
      <c r="P703" s="57" t="str">
        <f aca="false">IF($O703="","",SUMIFS($O$6:$O$2405,$A$6:$A$2405,"&lt;="&amp;$A703))</f>
        <v/>
      </c>
      <c r="Q703" s="57" t="str">
        <f aca="false">IF($O703="","",IF($P703&lt;=BankCostEnvelope*'5. Scenarios'!$D$7,1,0))</f>
        <v/>
      </c>
      <c r="R703" s="57" t="str">
        <f aca="false">IF($N703="","",INDEX(BookRate,698)*(1+'5. Scenarios'!$D$10)*(INDEX(BookQ1,698)*(5-MIN(4,1+'5. Scenarios'!$D$8))/4+INDEX(BookQ2,698)*(5-MIN(4,2+'5. Scenarios'!$D$8))/4+INDEX(BookQ3,698)*(5-MIN(4,3+'5. Scenarios'!$D$8))/4+INDEX(BookQ4,698)*(5-MIN(4,4+'5. Scenarios'!$D$8))/4)*'5. Scenarios'!$D$6/(1+ProductivityDefault*('5. Scenarios'!$D$11-1))+INDEX(BookOneOff,698)*$N703)</f>
        <v/>
      </c>
      <c r="S703" s="56" t="str">
        <f aca="false">IF(INDEX(BookTitle,698)="","",INDEX(BookTotal,698)*'5. Scenarios'!$E$6/(1+ProductivityDefault*('5. Scenarios'!$E$11-1)))</f>
        <v/>
      </c>
      <c r="T703" s="57" t="str">
        <f aca="false">IF($S703="","",INDEX(BookRate,698)*(1+'5. Scenarios'!$E$10)*$S703)</f>
        <v/>
      </c>
      <c r="U703" s="57" t="str">
        <f aca="false">IF($T703="","",SUMIFS($T$6:$T$2405,$A$6:$A$2405,"&lt;="&amp;$A703))</f>
        <v/>
      </c>
      <c r="V703" s="57" t="str">
        <f aca="false">IF($T703="","",IF($U703&lt;=BankCostEnvelope*'5. Scenarios'!$E$7,1,0))</f>
        <v/>
      </c>
      <c r="W703" s="57" t="str">
        <f aca="false">IF($S703="","",INDEX(BookRate,698)*(1+'5. Scenarios'!$E$10)*(INDEX(BookQ1,698)*(5-MIN(4,1+'5. Scenarios'!$E$8))/4+INDEX(BookQ2,698)*(5-MIN(4,2+'5. Scenarios'!$E$8))/4+INDEX(BookQ3,698)*(5-MIN(4,3+'5. Scenarios'!$E$8))/4+INDEX(BookQ4,698)*(5-MIN(4,4+'5. Scenarios'!$E$8))/4)*'5. Scenarios'!$E$6/(1+ProductivityDefault*('5. Scenarios'!$E$11-1))+INDEX(BookOneOff,698)*$S703)</f>
        <v/>
      </c>
    </row>
    <row r="704" customFormat="false" ht="15" hidden="false" customHeight="false" outlineLevel="0" collapsed="false">
      <c r="A704" s="0" t="str">
        <f aca="false">IF(INDEX(BookTitle,699)="","",INDEX(BookKey,699))</f>
        <v/>
      </c>
      <c r="B704" s="0" t="str">
        <f aca="false">IF(INDEX(BookTitle,699)="","",INDEX(BookGroup,699))</f>
        <v/>
      </c>
      <c r="C704" s="0" t="str">
        <f aca="false">IF(INDEX(BookTitle,699)="","",INDEX(BookCategory,699))</f>
        <v/>
      </c>
      <c r="D704" s="56" t="str">
        <f aca="false">IF(INDEX(BookTitle,699)="","",INDEX(BookTotal,699)*'5. Scenarios'!$B$6/(1+ProductivityDefault*('5. Scenarios'!$B$11-1)))</f>
        <v/>
      </c>
      <c r="E704" s="57" t="str">
        <f aca="false">IF($D704="","",INDEX(BookRate,699)*(1+'5. Scenarios'!$B$10)*$D704)</f>
        <v/>
      </c>
      <c r="F704" s="57" t="str">
        <f aca="false">IF($E704="","",SUMIFS($E$6:$E$2405,$A$6:$A$2405,"&lt;="&amp;$A704))</f>
        <v/>
      </c>
      <c r="G704" s="57" t="str">
        <f aca="false">IF($E704="","",IF($F704&lt;=BankCostEnvelope*'5. Scenarios'!$B$7,1,0))</f>
        <v/>
      </c>
      <c r="H704" s="57" t="str">
        <f aca="false">IF($D704="","",INDEX(BookRate,699)*(1+'5. Scenarios'!$B$10)*(INDEX(BookQ1,699)*(5-MIN(4,1+'5. Scenarios'!$B$8))/4+INDEX(BookQ2,699)*(5-MIN(4,2+'5. Scenarios'!$B$8))/4+INDEX(BookQ3,699)*(5-MIN(4,3+'5. Scenarios'!$B$8))/4+INDEX(BookQ4,699)*(5-MIN(4,4+'5. Scenarios'!$B$8))/4)*'5. Scenarios'!$B$6/(1+ProductivityDefault*('5. Scenarios'!$B$11-1))+INDEX(BookOneOff,699)*$D704)</f>
        <v/>
      </c>
      <c r="I704" s="56" t="str">
        <f aca="false">IF(INDEX(BookTitle,699)="","",INDEX(BookTotal,699)*'5. Scenarios'!$C$6/(1+ProductivityDefault*('5. Scenarios'!$C$11-1)))</f>
        <v/>
      </c>
      <c r="J704" s="57" t="str">
        <f aca="false">IF($I704="","",INDEX(BookRate,699)*(1+'5. Scenarios'!$C$10)*$I704)</f>
        <v/>
      </c>
      <c r="K704" s="57" t="str">
        <f aca="false">IF($J704="","",SUMIFS($J$6:$J$2405,$A$6:$A$2405,"&lt;="&amp;$A704))</f>
        <v/>
      </c>
      <c r="L704" s="57" t="str">
        <f aca="false">IF($J704="","",IF($K704&lt;=BankCostEnvelope*'5. Scenarios'!$C$7,1,0))</f>
        <v/>
      </c>
      <c r="M704" s="57" t="str">
        <f aca="false">IF($I704="","",INDEX(BookRate,699)*(1+'5. Scenarios'!$C$10)*(INDEX(BookQ1,699)*(5-MIN(4,1+'5. Scenarios'!$C$8))/4+INDEX(BookQ2,699)*(5-MIN(4,2+'5. Scenarios'!$C$8))/4+INDEX(BookQ3,699)*(5-MIN(4,3+'5. Scenarios'!$C$8))/4+INDEX(BookQ4,699)*(5-MIN(4,4+'5. Scenarios'!$C$8))/4)*'5. Scenarios'!$C$6/(1+ProductivityDefault*('5. Scenarios'!$C$11-1))+INDEX(BookOneOff,699)*$I704)</f>
        <v/>
      </c>
      <c r="N704" s="56" t="str">
        <f aca="false">IF(INDEX(BookTitle,699)="","",INDEX(BookTotal,699)*'5. Scenarios'!$D$6/(1+ProductivityDefault*('5. Scenarios'!$D$11-1)))</f>
        <v/>
      </c>
      <c r="O704" s="57" t="str">
        <f aca="false">IF($N704="","",INDEX(BookRate,699)*(1+'5. Scenarios'!$D$10)*$N704)</f>
        <v/>
      </c>
      <c r="P704" s="57" t="str">
        <f aca="false">IF($O704="","",SUMIFS($O$6:$O$2405,$A$6:$A$2405,"&lt;="&amp;$A704))</f>
        <v/>
      </c>
      <c r="Q704" s="57" t="str">
        <f aca="false">IF($O704="","",IF($P704&lt;=BankCostEnvelope*'5. Scenarios'!$D$7,1,0))</f>
        <v/>
      </c>
      <c r="R704" s="57" t="str">
        <f aca="false">IF($N704="","",INDEX(BookRate,699)*(1+'5. Scenarios'!$D$10)*(INDEX(BookQ1,699)*(5-MIN(4,1+'5. Scenarios'!$D$8))/4+INDEX(BookQ2,699)*(5-MIN(4,2+'5. Scenarios'!$D$8))/4+INDEX(BookQ3,699)*(5-MIN(4,3+'5. Scenarios'!$D$8))/4+INDEX(BookQ4,699)*(5-MIN(4,4+'5. Scenarios'!$D$8))/4)*'5. Scenarios'!$D$6/(1+ProductivityDefault*('5. Scenarios'!$D$11-1))+INDEX(BookOneOff,699)*$N704)</f>
        <v/>
      </c>
      <c r="S704" s="56" t="str">
        <f aca="false">IF(INDEX(BookTitle,699)="","",INDEX(BookTotal,699)*'5. Scenarios'!$E$6/(1+ProductivityDefault*('5. Scenarios'!$E$11-1)))</f>
        <v/>
      </c>
      <c r="T704" s="57" t="str">
        <f aca="false">IF($S704="","",INDEX(BookRate,699)*(1+'5. Scenarios'!$E$10)*$S704)</f>
        <v/>
      </c>
      <c r="U704" s="57" t="str">
        <f aca="false">IF($T704="","",SUMIFS($T$6:$T$2405,$A$6:$A$2405,"&lt;="&amp;$A704))</f>
        <v/>
      </c>
      <c r="V704" s="57" t="str">
        <f aca="false">IF($T704="","",IF($U704&lt;=BankCostEnvelope*'5. Scenarios'!$E$7,1,0))</f>
        <v/>
      </c>
      <c r="W704" s="57" t="str">
        <f aca="false">IF($S704="","",INDEX(BookRate,699)*(1+'5. Scenarios'!$E$10)*(INDEX(BookQ1,699)*(5-MIN(4,1+'5. Scenarios'!$E$8))/4+INDEX(BookQ2,699)*(5-MIN(4,2+'5. Scenarios'!$E$8))/4+INDEX(BookQ3,699)*(5-MIN(4,3+'5. Scenarios'!$E$8))/4+INDEX(BookQ4,699)*(5-MIN(4,4+'5. Scenarios'!$E$8))/4)*'5. Scenarios'!$E$6/(1+ProductivityDefault*('5. Scenarios'!$E$11-1))+INDEX(BookOneOff,699)*$S704)</f>
        <v/>
      </c>
    </row>
    <row r="705" customFormat="false" ht="15" hidden="false" customHeight="false" outlineLevel="0" collapsed="false">
      <c r="A705" s="0" t="str">
        <f aca="false">IF(INDEX(BookTitle,700)="","",INDEX(BookKey,700))</f>
        <v/>
      </c>
      <c r="B705" s="0" t="str">
        <f aca="false">IF(INDEX(BookTitle,700)="","",INDEX(BookGroup,700))</f>
        <v/>
      </c>
      <c r="C705" s="0" t="str">
        <f aca="false">IF(INDEX(BookTitle,700)="","",INDEX(BookCategory,700))</f>
        <v/>
      </c>
      <c r="D705" s="56" t="str">
        <f aca="false">IF(INDEX(BookTitle,700)="","",INDEX(BookTotal,700)*'5. Scenarios'!$B$6/(1+ProductivityDefault*('5. Scenarios'!$B$11-1)))</f>
        <v/>
      </c>
      <c r="E705" s="57" t="str">
        <f aca="false">IF($D705="","",INDEX(BookRate,700)*(1+'5. Scenarios'!$B$10)*$D705)</f>
        <v/>
      </c>
      <c r="F705" s="57" t="str">
        <f aca="false">IF($E705="","",SUMIFS($E$6:$E$2405,$A$6:$A$2405,"&lt;="&amp;$A705))</f>
        <v/>
      </c>
      <c r="G705" s="57" t="str">
        <f aca="false">IF($E705="","",IF($F705&lt;=BankCostEnvelope*'5. Scenarios'!$B$7,1,0))</f>
        <v/>
      </c>
      <c r="H705" s="57" t="str">
        <f aca="false">IF($D705="","",INDEX(BookRate,700)*(1+'5. Scenarios'!$B$10)*(INDEX(BookQ1,700)*(5-MIN(4,1+'5. Scenarios'!$B$8))/4+INDEX(BookQ2,700)*(5-MIN(4,2+'5. Scenarios'!$B$8))/4+INDEX(BookQ3,700)*(5-MIN(4,3+'5. Scenarios'!$B$8))/4+INDEX(BookQ4,700)*(5-MIN(4,4+'5. Scenarios'!$B$8))/4)*'5. Scenarios'!$B$6/(1+ProductivityDefault*('5. Scenarios'!$B$11-1))+INDEX(BookOneOff,700)*$D705)</f>
        <v/>
      </c>
      <c r="I705" s="56" t="str">
        <f aca="false">IF(INDEX(BookTitle,700)="","",INDEX(BookTotal,700)*'5. Scenarios'!$C$6/(1+ProductivityDefault*('5. Scenarios'!$C$11-1)))</f>
        <v/>
      </c>
      <c r="J705" s="57" t="str">
        <f aca="false">IF($I705="","",INDEX(BookRate,700)*(1+'5. Scenarios'!$C$10)*$I705)</f>
        <v/>
      </c>
      <c r="K705" s="57" t="str">
        <f aca="false">IF($J705="","",SUMIFS($J$6:$J$2405,$A$6:$A$2405,"&lt;="&amp;$A705))</f>
        <v/>
      </c>
      <c r="L705" s="57" t="str">
        <f aca="false">IF($J705="","",IF($K705&lt;=BankCostEnvelope*'5. Scenarios'!$C$7,1,0))</f>
        <v/>
      </c>
      <c r="M705" s="57" t="str">
        <f aca="false">IF($I705="","",INDEX(BookRate,700)*(1+'5. Scenarios'!$C$10)*(INDEX(BookQ1,700)*(5-MIN(4,1+'5. Scenarios'!$C$8))/4+INDEX(BookQ2,700)*(5-MIN(4,2+'5. Scenarios'!$C$8))/4+INDEX(BookQ3,700)*(5-MIN(4,3+'5. Scenarios'!$C$8))/4+INDEX(BookQ4,700)*(5-MIN(4,4+'5. Scenarios'!$C$8))/4)*'5. Scenarios'!$C$6/(1+ProductivityDefault*('5. Scenarios'!$C$11-1))+INDEX(BookOneOff,700)*$I705)</f>
        <v/>
      </c>
      <c r="N705" s="56" t="str">
        <f aca="false">IF(INDEX(BookTitle,700)="","",INDEX(BookTotal,700)*'5. Scenarios'!$D$6/(1+ProductivityDefault*('5. Scenarios'!$D$11-1)))</f>
        <v/>
      </c>
      <c r="O705" s="57" t="str">
        <f aca="false">IF($N705="","",INDEX(BookRate,700)*(1+'5. Scenarios'!$D$10)*$N705)</f>
        <v/>
      </c>
      <c r="P705" s="57" t="str">
        <f aca="false">IF($O705="","",SUMIFS($O$6:$O$2405,$A$6:$A$2405,"&lt;="&amp;$A705))</f>
        <v/>
      </c>
      <c r="Q705" s="57" t="str">
        <f aca="false">IF($O705="","",IF($P705&lt;=BankCostEnvelope*'5. Scenarios'!$D$7,1,0))</f>
        <v/>
      </c>
      <c r="R705" s="57" t="str">
        <f aca="false">IF($N705="","",INDEX(BookRate,700)*(1+'5. Scenarios'!$D$10)*(INDEX(BookQ1,700)*(5-MIN(4,1+'5. Scenarios'!$D$8))/4+INDEX(BookQ2,700)*(5-MIN(4,2+'5. Scenarios'!$D$8))/4+INDEX(BookQ3,700)*(5-MIN(4,3+'5. Scenarios'!$D$8))/4+INDEX(BookQ4,700)*(5-MIN(4,4+'5. Scenarios'!$D$8))/4)*'5. Scenarios'!$D$6/(1+ProductivityDefault*('5. Scenarios'!$D$11-1))+INDEX(BookOneOff,700)*$N705)</f>
        <v/>
      </c>
      <c r="S705" s="56" t="str">
        <f aca="false">IF(INDEX(BookTitle,700)="","",INDEX(BookTotal,700)*'5. Scenarios'!$E$6/(1+ProductivityDefault*('5. Scenarios'!$E$11-1)))</f>
        <v/>
      </c>
      <c r="T705" s="57" t="str">
        <f aca="false">IF($S705="","",INDEX(BookRate,700)*(1+'5. Scenarios'!$E$10)*$S705)</f>
        <v/>
      </c>
      <c r="U705" s="57" t="str">
        <f aca="false">IF($T705="","",SUMIFS($T$6:$T$2405,$A$6:$A$2405,"&lt;="&amp;$A705))</f>
        <v/>
      </c>
      <c r="V705" s="57" t="str">
        <f aca="false">IF($T705="","",IF($U705&lt;=BankCostEnvelope*'5. Scenarios'!$E$7,1,0))</f>
        <v/>
      </c>
      <c r="W705" s="57" t="str">
        <f aca="false">IF($S705="","",INDEX(BookRate,700)*(1+'5. Scenarios'!$E$10)*(INDEX(BookQ1,700)*(5-MIN(4,1+'5. Scenarios'!$E$8))/4+INDEX(BookQ2,700)*(5-MIN(4,2+'5. Scenarios'!$E$8))/4+INDEX(BookQ3,700)*(5-MIN(4,3+'5. Scenarios'!$E$8))/4+INDEX(BookQ4,700)*(5-MIN(4,4+'5. Scenarios'!$E$8))/4)*'5. Scenarios'!$E$6/(1+ProductivityDefault*('5. Scenarios'!$E$11-1))+INDEX(BookOneOff,700)*$S705)</f>
        <v/>
      </c>
    </row>
    <row r="706" customFormat="false" ht="15" hidden="false" customHeight="false" outlineLevel="0" collapsed="false">
      <c r="A706" s="0" t="str">
        <f aca="false">IF(INDEX(BookTitle,701)="","",INDEX(BookKey,701))</f>
        <v/>
      </c>
      <c r="B706" s="0" t="str">
        <f aca="false">IF(INDEX(BookTitle,701)="","",INDEX(BookGroup,701))</f>
        <v/>
      </c>
      <c r="C706" s="0" t="str">
        <f aca="false">IF(INDEX(BookTitle,701)="","",INDEX(BookCategory,701))</f>
        <v/>
      </c>
      <c r="D706" s="56" t="str">
        <f aca="false">IF(INDEX(BookTitle,701)="","",INDEX(BookTotal,701)*'5. Scenarios'!$B$6/(1+ProductivityDefault*('5. Scenarios'!$B$11-1)))</f>
        <v/>
      </c>
      <c r="E706" s="57" t="str">
        <f aca="false">IF($D706="","",INDEX(BookRate,701)*(1+'5. Scenarios'!$B$10)*$D706)</f>
        <v/>
      </c>
      <c r="F706" s="57" t="str">
        <f aca="false">IF($E706="","",SUMIFS($E$6:$E$2405,$A$6:$A$2405,"&lt;="&amp;$A706))</f>
        <v/>
      </c>
      <c r="G706" s="57" t="str">
        <f aca="false">IF($E706="","",IF($F706&lt;=BankCostEnvelope*'5. Scenarios'!$B$7,1,0))</f>
        <v/>
      </c>
      <c r="H706" s="57" t="str">
        <f aca="false">IF($D706="","",INDEX(BookRate,701)*(1+'5. Scenarios'!$B$10)*(INDEX(BookQ1,701)*(5-MIN(4,1+'5. Scenarios'!$B$8))/4+INDEX(BookQ2,701)*(5-MIN(4,2+'5. Scenarios'!$B$8))/4+INDEX(BookQ3,701)*(5-MIN(4,3+'5. Scenarios'!$B$8))/4+INDEX(BookQ4,701)*(5-MIN(4,4+'5. Scenarios'!$B$8))/4)*'5. Scenarios'!$B$6/(1+ProductivityDefault*('5. Scenarios'!$B$11-1))+INDEX(BookOneOff,701)*$D706)</f>
        <v/>
      </c>
      <c r="I706" s="56" t="str">
        <f aca="false">IF(INDEX(BookTitle,701)="","",INDEX(BookTotal,701)*'5. Scenarios'!$C$6/(1+ProductivityDefault*('5. Scenarios'!$C$11-1)))</f>
        <v/>
      </c>
      <c r="J706" s="57" t="str">
        <f aca="false">IF($I706="","",INDEX(BookRate,701)*(1+'5. Scenarios'!$C$10)*$I706)</f>
        <v/>
      </c>
      <c r="K706" s="57" t="str">
        <f aca="false">IF($J706="","",SUMIFS($J$6:$J$2405,$A$6:$A$2405,"&lt;="&amp;$A706))</f>
        <v/>
      </c>
      <c r="L706" s="57" t="str">
        <f aca="false">IF($J706="","",IF($K706&lt;=BankCostEnvelope*'5. Scenarios'!$C$7,1,0))</f>
        <v/>
      </c>
      <c r="M706" s="57" t="str">
        <f aca="false">IF($I706="","",INDEX(BookRate,701)*(1+'5. Scenarios'!$C$10)*(INDEX(BookQ1,701)*(5-MIN(4,1+'5. Scenarios'!$C$8))/4+INDEX(BookQ2,701)*(5-MIN(4,2+'5. Scenarios'!$C$8))/4+INDEX(BookQ3,701)*(5-MIN(4,3+'5. Scenarios'!$C$8))/4+INDEX(BookQ4,701)*(5-MIN(4,4+'5. Scenarios'!$C$8))/4)*'5. Scenarios'!$C$6/(1+ProductivityDefault*('5. Scenarios'!$C$11-1))+INDEX(BookOneOff,701)*$I706)</f>
        <v/>
      </c>
      <c r="N706" s="56" t="str">
        <f aca="false">IF(INDEX(BookTitle,701)="","",INDEX(BookTotal,701)*'5. Scenarios'!$D$6/(1+ProductivityDefault*('5. Scenarios'!$D$11-1)))</f>
        <v/>
      </c>
      <c r="O706" s="57" t="str">
        <f aca="false">IF($N706="","",INDEX(BookRate,701)*(1+'5. Scenarios'!$D$10)*$N706)</f>
        <v/>
      </c>
      <c r="P706" s="57" t="str">
        <f aca="false">IF($O706="","",SUMIFS($O$6:$O$2405,$A$6:$A$2405,"&lt;="&amp;$A706))</f>
        <v/>
      </c>
      <c r="Q706" s="57" t="str">
        <f aca="false">IF($O706="","",IF($P706&lt;=BankCostEnvelope*'5. Scenarios'!$D$7,1,0))</f>
        <v/>
      </c>
      <c r="R706" s="57" t="str">
        <f aca="false">IF($N706="","",INDEX(BookRate,701)*(1+'5. Scenarios'!$D$10)*(INDEX(BookQ1,701)*(5-MIN(4,1+'5. Scenarios'!$D$8))/4+INDEX(BookQ2,701)*(5-MIN(4,2+'5. Scenarios'!$D$8))/4+INDEX(BookQ3,701)*(5-MIN(4,3+'5. Scenarios'!$D$8))/4+INDEX(BookQ4,701)*(5-MIN(4,4+'5. Scenarios'!$D$8))/4)*'5. Scenarios'!$D$6/(1+ProductivityDefault*('5. Scenarios'!$D$11-1))+INDEX(BookOneOff,701)*$N706)</f>
        <v/>
      </c>
      <c r="S706" s="56" t="str">
        <f aca="false">IF(INDEX(BookTitle,701)="","",INDEX(BookTotal,701)*'5. Scenarios'!$E$6/(1+ProductivityDefault*('5. Scenarios'!$E$11-1)))</f>
        <v/>
      </c>
      <c r="T706" s="57" t="str">
        <f aca="false">IF($S706="","",INDEX(BookRate,701)*(1+'5. Scenarios'!$E$10)*$S706)</f>
        <v/>
      </c>
      <c r="U706" s="57" t="str">
        <f aca="false">IF($T706="","",SUMIFS($T$6:$T$2405,$A$6:$A$2405,"&lt;="&amp;$A706))</f>
        <v/>
      </c>
      <c r="V706" s="57" t="str">
        <f aca="false">IF($T706="","",IF($U706&lt;=BankCostEnvelope*'5. Scenarios'!$E$7,1,0))</f>
        <v/>
      </c>
      <c r="W706" s="57" t="str">
        <f aca="false">IF($S706="","",INDEX(BookRate,701)*(1+'5. Scenarios'!$E$10)*(INDEX(BookQ1,701)*(5-MIN(4,1+'5. Scenarios'!$E$8))/4+INDEX(BookQ2,701)*(5-MIN(4,2+'5. Scenarios'!$E$8))/4+INDEX(BookQ3,701)*(5-MIN(4,3+'5. Scenarios'!$E$8))/4+INDEX(BookQ4,701)*(5-MIN(4,4+'5. Scenarios'!$E$8))/4)*'5. Scenarios'!$E$6/(1+ProductivityDefault*('5. Scenarios'!$E$11-1))+INDEX(BookOneOff,701)*$S706)</f>
        <v/>
      </c>
    </row>
    <row r="707" customFormat="false" ht="15" hidden="false" customHeight="false" outlineLevel="0" collapsed="false">
      <c r="A707" s="0" t="str">
        <f aca="false">IF(INDEX(BookTitle,702)="","",INDEX(BookKey,702))</f>
        <v/>
      </c>
      <c r="B707" s="0" t="str">
        <f aca="false">IF(INDEX(BookTitle,702)="","",INDEX(BookGroup,702))</f>
        <v/>
      </c>
      <c r="C707" s="0" t="str">
        <f aca="false">IF(INDEX(BookTitle,702)="","",INDEX(BookCategory,702))</f>
        <v/>
      </c>
      <c r="D707" s="56" t="str">
        <f aca="false">IF(INDEX(BookTitle,702)="","",INDEX(BookTotal,702)*'5. Scenarios'!$B$6/(1+ProductivityDefault*('5. Scenarios'!$B$11-1)))</f>
        <v/>
      </c>
      <c r="E707" s="57" t="str">
        <f aca="false">IF($D707="","",INDEX(BookRate,702)*(1+'5. Scenarios'!$B$10)*$D707)</f>
        <v/>
      </c>
      <c r="F707" s="57" t="str">
        <f aca="false">IF($E707="","",SUMIFS($E$6:$E$2405,$A$6:$A$2405,"&lt;="&amp;$A707))</f>
        <v/>
      </c>
      <c r="G707" s="57" t="str">
        <f aca="false">IF($E707="","",IF($F707&lt;=BankCostEnvelope*'5. Scenarios'!$B$7,1,0))</f>
        <v/>
      </c>
      <c r="H707" s="57" t="str">
        <f aca="false">IF($D707="","",INDEX(BookRate,702)*(1+'5. Scenarios'!$B$10)*(INDEX(BookQ1,702)*(5-MIN(4,1+'5. Scenarios'!$B$8))/4+INDEX(BookQ2,702)*(5-MIN(4,2+'5. Scenarios'!$B$8))/4+INDEX(BookQ3,702)*(5-MIN(4,3+'5. Scenarios'!$B$8))/4+INDEX(BookQ4,702)*(5-MIN(4,4+'5. Scenarios'!$B$8))/4)*'5. Scenarios'!$B$6/(1+ProductivityDefault*('5. Scenarios'!$B$11-1))+INDEX(BookOneOff,702)*$D707)</f>
        <v/>
      </c>
      <c r="I707" s="56" t="str">
        <f aca="false">IF(INDEX(BookTitle,702)="","",INDEX(BookTotal,702)*'5. Scenarios'!$C$6/(1+ProductivityDefault*('5. Scenarios'!$C$11-1)))</f>
        <v/>
      </c>
      <c r="J707" s="57" t="str">
        <f aca="false">IF($I707="","",INDEX(BookRate,702)*(1+'5. Scenarios'!$C$10)*$I707)</f>
        <v/>
      </c>
      <c r="K707" s="57" t="str">
        <f aca="false">IF($J707="","",SUMIFS($J$6:$J$2405,$A$6:$A$2405,"&lt;="&amp;$A707))</f>
        <v/>
      </c>
      <c r="L707" s="57" t="str">
        <f aca="false">IF($J707="","",IF($K707&lt;=BankCostEnvelope*'5. Scenarios'!$C$7,1,0))</f>
        <v/>
      </c>
      <c r="M707" s="57" t="str">
        <f aca="false">IF($I707="","",INDEX(BookRate,702)*(1+'5. Scenarios'!$C$10)*(INDEX(BookQ1,702)*(5-MIN(4,1+'5. Scenarios'!$C$8))/4+INDEX(BookQ2,702)*(5-MIN(4,2+'5. Scenarios'!$C$8))/4+INDEX(BookQ3,702)*(5-MIN(4,3+'5. Scenarios'!$C$8))/4+INDEX(BookQ4,702)*(5-MIN(4,4+'5. Scenarios'!$C$8))/4)*'5. Scenarios'!$C$6/(1+ProductivityDefault*('5. Scenarios'!$C$11-1))+INDEX(BookOneOff,702)*$I707)</f>
        <v/>
      </c>
      <c r="N707" s="56" t="str">
        <f aca="false">IF(INDEX(BookTitle,702)="","",INDEX(BookTotal,702)*'5. Scenarios'!$D$6/(1+ProductivityDefault*('5. Scenarios'!$D$11-1)))</f>
        <v/>
      </c>
      <c r="O707" s="57" t="str">
        <f aca="false">IF($N707="","",INDEX(BookRate,702)*(1+'5. Scenarios'!$D$10)*$N707)</f>
        <v/>
      </c>
      <c r="P707" s="57" t="str">
        <f aca="false">IF($O707="","",SUMIFS($O$6:$O$2405,$A$6:$A$2405,"&lt;="&amp;$A707))</f>
        <v/>
      </c>
      <c r="Q707" s="57" t="str">
        <f aca="false">IF($O707="","",IF($P707&lt;=BankCostEnvelope*'5. Scenarios'!$D$7,1,0))</f>
        <v/>
      </c>
      <c r="R707" s="57" t="str">
        <f aca="false">IF($N707="","",INDEX(BookRate,702)*(1+'5. Scenarios'!$D$10)*(INDEX(BookQ1,702)*(5-MIN(4,1+'5. Scenarios'!$D$8))/4+INDEX(BookQ2,702)*(5-MIN(4,2+'5. Scenarios'!$D$8))/4+INDEX(BookQ3,702)*(5-MIN(4,3+'5. Scenarios'!$D$8))/4+INDEX(BookQ4,702)*(5-MIN(4,4+'5. Scenarios'!$D$8))/4)*'5. Scenarios'!$D$6/(1+ProductivityDefault*('5. Scenarios'!$D$11-1))+INDEX(BookOneOff,702)*$N707)</f>
        <v/>
      </c>
      <c r="S707" s="56" t="str">
        <f aca="false">IF(INDEX(BookTitle,702)="","",INDEX(BookTotal,702)*'5. Scenarios'!$E$6/(1+ProductivityDefault*('5. Scenarios'!$E$11-1)))</f>
        <v/>
      </c>
      <c r="T707" s="57" t="str">
        <f aca="false">IF($S707="","",INDEX(BookRate,702)*(1+'5. Scenarios'!$E$10)*$S707)</f>
        <v/>
      </c>
      <c r="U707" s="57" t="str">
        <f aca="false">IF($T707="","",SUMIFS($T$6:$T$2405,$A$6:$A$2405,"&lt;="&amp;$A707))</f>
        <v/>
      </c>
      <c r="V707" s="57" t="str">
        <f aca="false">IF($T707="","",IF($U707&lt;=BankCostEnvelope*'5. Scenarios'!$E$7,1,0))</f>
        <v/>
      </c>
      <c r="W707" s="57" t="str">
        <f aca="false">IF($S707="","",INDEX(BookRate,702)*(1+'5. Scenarios'!$E$10)*(INDEX(BookQ1,702)*(5-MIN(4,1+'5. Scenarios'!$E$8))/4+INDEX(BookQ2,702)*(5-MIN(4,2+'5. Scenarios'!$E$8))/4+INDEX(BookQ3,702)*(5-MIN(4,3+'5. Scenarios'!$E$8))/4+INDEX(BookQ4,702)*(5-MIN(4,4+'5. Scenarios'!$E$8))/4)*'5. Scenarios'!$E$6/(1+ProductivityDefault*('5. Scenarios'!$E$11-1))+INDEX(BookOneOff,702)*$S707)</f>
        <v/>
      </c>
    </row>
    <row r="708" customFormat="false" ht="15" hidden="false" customHeight="false" outlineLevel="0" collapsed="false">
      <c r="A708" s="0" t="str">
        <f aca="false">IF(INDEX(BookTitle,703)="","",INDEX(BookKey,703))</f>
        <v/>
      </c>
      <c r="B708" s="0" t="str">
        <f aca="false">IF(INDEX(BookTitle,703)="","",INDEX(BookGroup,703))</f>
        <v/>
      </c>
      <c r="C708" s="0" t="str">
        <f aca="false">IF(INDEX(BookTitle,703)="","",INDEX(BookCategory,703))</f>
        <v/>
      </c>
      <c r="D708" s="56" t="str">
        <f aca="false">IF(INDEX(BookTitle,703)="","",INDEX(BookTotal,703)*'5. Scenarios'!$B$6/(1+ProductivityDefault*('5. Scenarios'!$B$11-1)))</f>
        <v/>
      </c>
      <c r="E708" s="57" t="str">
        <f aca="false">IF($D708="","",INDEX(BookRate,703)*(1+'5. Scenarios'!$B$10)*$D708)</f>
        <v/>
      </c>
      <c r="F708" s="57" t="str">
        <f aca="false">IF($E708="","",SUMIFS($E$6:$E$2405,$A$6:$A$2405,"&lt;="&amp;$A708))</f>
        <v/>
      </c>
      <c r="G708" s="57" t="str">
        <f aca="false">IF($E708="","",IF($F708&lt;=BankCostEnvelope*'5. Scenarios'!$B$7,1,0))</f>
        <v/>
      </c>
      <c r="H708" s="57" t="str">
        <f aca="false">IF($D708="","",INDEX(BookRate,703)*(1+'5. Scenarios'!$B$10)*(INDEX(BookQ1,703)*(5-MIN(4,1+'5. Scenarios'!$B$8))/4+INDEX(BookQ2,703)*(5-MIN(4,2+'5. Scenarios'!$B$8))/4+INDEX(BookQ3,703)*(5-MIN(4,3+'5. Scenarios'!$B$8))/4+INDEX(BookQ4,703)*(5-MIN(4,4+'5. Scenarios'!$B$8))/4)*'5. Scenarios'!$B$6/(1+ProductivityDefault*('5. Scenarios'!$B$11-1))+INDEX(BookOneOff,703)*$D708)</f>
        <v/>
      </c>
      <c r="I708" s="56" t="str">
        <f aca="false">IF(INDEX(BookTitle,703)="","",INDEX(BookTotal,703)*'5. Scenarios'!$C$6/(1+ProductivityDefault*('5. Scenarios'!$C$11-1)))</f>
        <v/>
      </c>
      <c r="J708" s="57" t="str">
        <f aca="false">IF($I708="","",INDEX(BookRate,703)*(1+'5. Scenarios'!$C$10)*$I708)</f>
        <v/>
      </c>
      <c r="K708" s="57" t="str">
        <f aca="false">IF($J708="","",SUMIFS($J$6:$J$2405,$A$6:$A$2405,"&lt;="&amp;$A708))</f>
        <v/>
      </c>
      <c r="L708" s="57" t="str">
        <f aca="false">IF($J708="","",IF($K708&lt;=BankCostEnvelope*'5. Scenarios'!$C$7,1,0))</f>
        <v/>
      </c>
      <c r="M708" s="57" t="str">
        <f aca="false">IF($I708="","",INDEX(BookRate,703)*(1+'5. Scenarios'!$C$10)*(INDEX(BookQ1,703)*(5-MIN(4,1+'5. Scenarios'!$C$8))/4+INDEX(BookQ2,703)*(5-MIN(4,2+'5. Scenarios'!$C$8))/4+INDEX(BookQ3,703)*(5-MIN(4,3+'5. Scenarios'!$C$8))/4+INDEX(BookQ4,703)*(5-MIN(4,4+'5. Scenarios'!$C$8))/4)*'5. Scenarios'!$C$6/(1+ProductivityDefault*('5. Scenarios'!$C$11-1))+INDEX(BookOneOff,703)*$I708)</f>
        <v/>
      </c>
      <c r="N708" s="56" t="str">
        <f aca="false">IF(INDEX(BookTitle,703)="","",INDEX(BookTotal,703)*'5. Scenarios'!$D$6/(1+ProductivityDefault*('5. Scenarios'!$D$11-1)))</f>
        <v/>
      </c>
      <c r="O708" s="57" t="str">
        <f aca="false">IF($N708="","",INDEX(BookRate,703)*(1+'5. Scenarios'!$D$10)*$N708)</f>
        <v/>
      </c>
      <c r="P708" s="57" t="str">
        <f aca="false">IF($O708="","",SUMIFS($O$6:$O$2405,$A$6:$A$2405,"&lt;="&amp;$A708))</f>
        <v/>
      </c>
      <c r="Q708" s="57" t="str">
        <f aca="false">IF($O708="","",IF($P708&lt;=BankCostEnvelope*'5. Scenarios'!$D$7,1,0))</f>
        <v/>
      </c>
      <c r="R708" s="57" t="str">
        <f aca="false">IF($N708="","",INDEX(BookRate,703)*(1+'5. Scenarios'!$D$10)*(INDEX(BookQ1,703)*(5-MIN(4,1+'5. Scenarios'!$D$8))/4+INDEX(BookQ2,703)*(5-MIN(4,2+'5. Scenarios'!$D$8))/4+INDEX(BookQ3,703)*(5-MIN(4,3+'5. Scenarios'!$D$8))/4+INDEX(BookQ4,703)*(5-MIN(4,4+'5. Scenarios'!$D$8))/4)*'5. Scenarios'!$D$6/(1+ProductivityDefault*('5. Scenarios'!$D$11-1))+INDEX(BookOneOff,703)*$N708)</f>
        <v/>
      </c>
      <c r="S708" s="56" t="str">
        <f aca="false">IF(INDEX(BookTitle,703)="","",INDEX(BookTotal,703)*'5. Scenarios'!$E$6/(1+ProductivityDefault*('5. Scenarios'!$E$11-1)))</f>
        <v/>
      </c>
      <c r="T708" s="57" t="str">
        <f aca="false">IF($S708="","",INDEX(BookRate,703)*(1+'5. Scenarios'!$E$10)*$S708)</f>
        <v/>
      </c>
      <c r="U708" s="57" t="str">
        <f aca="false">IF($T708="","",SUMIFS($T$6:$T$2405,$A$6:$A$2405,"&lt;="&amp;$A708))</f>
        <v/>
      </c>
      <c r="V708" s="57" t="str">
        <f aca="false">IF($T708="","",IF($U708&lt;=BankCostEnvelope*'5. Scenarios'!$E$7,1,0))</f>
        <v/>
      </c>
      <c r="W708" s="57" t="str">
        <f aca="false">IF($S708="","",INDEX(BookRate,703)*(1+'5. Scenarios'!$E$10)*(INDEX(BookQ1,703)*(5-MIN(4,1+'5. Scenarios'!$E$8))/4+INDEX(BookQ2,703)*(5-MIN(4,2+'5. Scenarios'!$E$8))/4+INDEX(BookQ3,703)*(5-MIN(4,3+'5. Scenarios'!$E$8))/4+INDEX(BookQ4,703)*(5-MIN(4,4+'5. Scenarios'!$E$8))/4)*'5. Scenarios'!$E$6/(1+ProductivityDefault*('5. Scenarios'!$E$11-1))+INDEX(BookOneOff,703)*$S708)</f>
        <v/>
      </c>
    </row>
    <row r="709" customFormat="false" ht="15" hidden="false" customHeight="false" outlineLevel="0" collapsed="false">
      <c r="A709" s="0" t="str">
        <f aca="false">IF(INDEX(BookTitle,704)="","",INDEX(BookKey,704))</f>
        <v/>
      </c>
      <c r="B709" s="0" t="str">
        <f aca="false">IF(INDEX(BookTitle,704)="","",INDEX(BookGroup,704))</f>
        <v/>
      </c>
      <c r="C709" s="0" t="str">
        <f aca="false">IF(INDEX(BookTitle,704)="","",INDEX(BookCategory,704))</f>
        <v/>
      </c>
      <c r="D709" s="56" t="str">
        <f aca="false">IF(INDEX(BookTitle,704)="","",INDEX(BookTotal,704)*'5. Scenarios'!$B$6/(1+ProductivityDefault*('5. Scenarios'!$B$11-1)))</f>
        <v/>
      </c>
      <c r="E709" s="57" t="str">
        <f aca="false">IF($D709="","",INDEX(BookRate,704)*(1+'5. Scenarios'!$B$10)*$D709)</f>
        <v/>
      </c>
      <c r="F709" s="57" t="str">
        <f aca="false">IF($E709="","",SUMIFS($E$6:$E$2405,$A$6:$A$2405,"&lt;="&amp;$A709))</f>
        <v/>
      </c>
      <c r="G709" s="57" t="str">
        <f aca="false">IF($E709="","",IF($F709&lt;=BankCostEnvelope*'5. Scenarios'!$B$7,1,0))</f>
        <v/>
      </c>
      <c r="H709" s="57" t="str">
        <f aca="false">IF($D709="","",INDEX(BookRate,704)*(1+'5. Scenarios'!$B$10)*(INDEX(BookQ1,704)*(5-MIN(4,1+'5. Scenarios'!$B$8))/4+INDEX(BookQ2,704)*(5-MIN(4,2+'5. Scenarios'!$B$8))/4+INDEX(BookQ3,704)*(5-MIN(4,3+'5. Scenarios'!$B$8))/4+INDEX(BookQ4,704)*(5-MIN(4,4+'5. Scenarios'!$B$8))/4)*'5. Scenarios'!$B$6/(1+ProductivityDefault*('5. Scenarios'!$B$11-1))+INDEX(BookOneOff,704)*$D709)</f>
        <v/>
      </c>
      <c r="I709" s="56" t="str">
        <f aca="false">IF(INDEX(BookTitle,704)="","",INDEX(BookTotal,704)*'5. Scenarios'!$C$6/(1+ProductivityDefault*('5. Scenarios'!$C$11-1)))</f>
        <v/>
      </c>
      <c r="J709" s="57" t="str">
        <f aca="false">IF($I709="","",INDEX(BookRate,704)*(1+'5. Scenarios'!$C$10)*$I709)</f>
        <v/>
      </c>
      <c r="K709" s="57" t="str">
        <f aca="false">IF($J709="","",SUMIFS($J$6:$J$2405,$A$6:$A$2405,"&lt;="&amp;$A709))</f>
        <v/>
      </c>
      <c r="L709" s="57" t="str">
        <f aca="false">IF($J709="","",IF($K709&lt;=BankCostEnvelope*'5. Scenarios'!$C$7,1,0))</f>
        <v/>
      </c>
      <c r="M709" s="57" t="str">
        <f aca="false">IF($I709="","",INDEX(BookRate,704)*(1+'5. Scenarios'!$C$10)*(INDEX(BookQ1,704)*(5-MIN(4,1+'5. Scenarios'!$C$8))/4+INDEX(BookQ2,704)*(5-MIN(4,2+'5. Scenarios'!$C$8))/4+INDEX(BookQ3,704)*(5-MIN(4,3+'5. Scenarios'!$C$8))/4+INDEX(BookQ4,704)*(5-MIN(4,4+'5. Scenarios'!$C$8))/4)*'5. Scenarios'!$C$6/(1+ProductivityDefault*('5. Scenarios'!$C$11-1))+INDEX(BookOneOff,704)*$I709)</f>
        <v/>
      </c>
      <c r="N709" s="56" t="str">
        <f aca="false">IF(INDEX(BookTitle,704)="","",INDEX(BookTotal,704)*'5. Scenarios'!$D$6/(1+ProductivityDefault*('5. Scenarios'!$D$11-1)))</f>
        <v/>
      </c>
      <c r="O709" s="57" t="str">
        <f aca="false">IF($N709="","",INDEX(BookRate,704)*(1+'5. Scenarios'!$D$10)*$N709)</f>
        <v/>
      </c>
      <c r="P709" s="57" t="str">
        <f aca="false">IF($O709="","",SUMIFS($O$6:$O$2405,$A$6:$A$2405,"&lt;="&amp;$A709))</f>
        <v/>
      </c>
      <c r="Q709" s="57" t="str">
        <f aca="false">IF($O709="","",IF($P709&lt;=BankCostEnvelope*'5. Scenarios'!$D$7,1,0))</f>
        <v/>
      </c>
      <c r="R709" s="57" t="str">
        <f aca="false">IF($N709="","",INDEX(BookRate,704)*(1+'5. Scenarios'!$D$10)*(INDEX(BookQ1,704)*(5-MIN(4,1+'5. Scenarios'!$D$8))/4+INDEX(BookQ2,704)*(5-MIN(4,2+'5. Scenarios'!$D$8))/4+INDEX(BookQ3,704)*(5-MIN(4,3+'5. Scenarios'!$D$8))/4+INDEX(BookQ4,704)*(5-MIN(4,4+'5. Scenarios'!$D$8))/4)*'5. Scenarios'!$D$6/(1+ProductivityDefault*('5. Scenarios'!$D$11-1))+INDEX(BookOneOff,704)*$N709)</f>
        <v/>
      </c>
      <c r="S709" s="56" t="str">
        <f aca="false">IF(INDEX(BookTitle,704)="","",INDEX(BookTotal,704)*'5. Scenarios'!$E$6/(1+ProductivityDefault*('5. Scenarios'!$E$11-1)))</f>
        <v/>
      </c>
      <c r="T709" s="57" t="str">
        <f aca="false">IF($S709="","",INDEX(BookRate,704)*(1+'5. Scenarios'!$E$10)*$S709)</f>
        <v/>
      </c>
      <c r="U709" s="57" t="str">
        <f aca="false">IF($T709="","",SUMIFS($T$6:$T$2405,$A$6:$A$2405,"&lt;="&amp;$A709))</f>
        <v/>
      </c>
      <c r="V709" s="57" t="str">
        <f aca="false">IF($T709="","",IF($U709&lt;=BankCostEnvelope*'5. Scenarios'!$E$7,1,0))</f>
        <v/>
      </c>
      <c r="W709" s="57" t="str">
        <f aca="false">IF($S709="","",INDEX(BookRate,704)*(1+'5. Scenarios'!$E$10)*(INDEX(BookQ1,704)*(5-MIN(4,1+'5. Scenarios'!$E$8))/4+INDEX(BookQ2,704)*(5-MIN(4,2+'5. Scenarios'!$E$8))/4+INDEX(BookQ3,704)*(5-MIN(4,3+'5. Scenarios'!$E$8))/4+INDEX(BookQ4,704)*(5-MIN(4,4+'5. Scenarios'!$E$8))/4)*'5. Scenarios'!$E$6/(1+ProductivityDefault*('5. Scenarios'!$E$11-1))+INDEX(BookOneOff,704)*$S709)</f>
        <v/>
      </c>
    </row>
    <row r="710" customFormat="false" ht="15" hidden="false" customHeight="false" outlineLevel="0" collapsed="false">
      <c r="A710" s="0" t="str">
        <f aca="false">IF(INDEX(BookTitle,705)="","",INDEX(BookKey,705))</f>
        <v/>
      </c>
      <c r="B710" s="0" t="str">
        <f aca="false">IF(INDEX(BookTitle,705)="","",INDEX(BookGroup,705))</f>
        <v/>
      </c>
      <c r="C710" s="0" t="str">
        <f aca="false">IF(INDEX(BookTitle,705)="","",INDEX(BookCategory,705))</f>
        <v/>
      </c>
      <c r="D710" s="56" t="str">
        <f aca="false">IF(INDEX(BookTitle,705)="","",INDEX(BookTotal,705)*'5. Scenarios'!$B$6/(1+ProductivityDefault*('5. Scenarios'!$B$11-1)))</f>
        <v/>
      </c>
      <c r="E710" s="57" t="str">
        <f aca="false">IF($D710="","",INDEX(BookRate,705)*(1+'5. Scenarios'!$B$10)*$D710)</f>
        <v/>
      </c>
      <c r="F710" s="57" t="str">
        <f aca="false">IF($E710="","",SUMIFS($E$6:$E$2405,$A$6:$A$2405,"&lt;="&amp;$A710))</f>
        <v/>
      </c>
      <c r="G710" s="57" t="str">
        <f aca="false">IF($E710="","",IF($F710&lt;=BankCostEnvelope*'5. Scenarios'!$B$7,1,0))</f>
        <v/>
      </c>
      <c r="H710" s="57" t="str">
        <f aca="false">IF($D710="","",INDEX(BookRate,705)*(1+'5. Scenarios'!$B$10)*(INDEX(BookQ1,705)*(5-MIN(4,1+'5. Scenarios'!$B$8))/4+INDEX(BookQ2,705)*(5-MIN(4,2+'5. Scenarios'!$B$8))/4+INDEX(BookQ3,705)*(5-MIN(4,3+'5. Scenarios'!$B$8))/4+INDEX(BookQ4,705)*(5-MIN(4,4+'5. Scenarios'!$B$8))/4)*'5. Scenarios'!$B$6/(1+ProductivityDefault*('5. Scenarios'!$B$11-1))+INDEX(BookOneOff,705)*$D710)</f>
        <v/>
      </c>
      <c r="I710" s="56" t="str">
        <f aca="false">IF(INDEX(BookTitle,705)="","",INDEX(BookTotal,705)*'5. Scenarios'!$C$6/(1+ProductivityDefault*('5. Scenarios'!$C$11-1)))</f>
        <v/>
      </c>
      <c r="J710" s="57" t="str">
        <f aca="false">IF($I710="","",INDEX(BookRate,705)*(1+'5. Scenarios'!$C$10)*$I710)</f>
        <v/>
      </c>
      <c r="K710" s="57" t="str">
        <f aca="false">IF($J710="","",SUMIFS($J$6:$J$2405,$A$6:$A$2405,"&lt;="&amp;$A710))</f>
        <v/>
      </c>
      <c r="L710" s="57" t="str">
        <f aca="false">IF($J710="","",IF($K710&lt;=BankCostEnvelope*'5. Scenarios'!$C$7,1,0))</f>
        <v/>
      </c>
      <c r="M710" s="57" t="str">
        <f aca="false">IF($I710="","",INDEX(BookRate,705)*(1+'5. Scenarios'!$C$10)*(INDEX(BookQ1,705)*(5-MIN(4,1+'5. Scenarios'!$C$8))/4+INDEX(BookQ2,705)*(5-MIN(4,2+'5. Scenarios'!$C$8))/4+INDEX(BookQ3,705)*(5-MIN(4,3+'5. Scenarios'!$C$8))/4+INDEX(BookQ4,705)*(5-MIN(4,4+'5. Scenarios'!$C$8))/4)*'5. Scenarios'!$C$6/(1+ProductivityDefault*('5. Scenarios'!$C$11-1))+INDEX(BookOneOff,705)*$I710)</f>
        <v/>
      </c>
      <c r="N710" s="56" t="str">
        <f aca="false">IF(INDEX(BookTitle,705)="","",INDEX(BookTotal,705)*'5. Scenarios'!$D$6/(1+ProductivityDefault*('5. Scenarios'!$D$11-1)))</f>
        <v/>
      </c>
      <c r="O710" s="57" t="str">
        <f aca="false">IF($N710="","",INDEX(BookRate,705)*(1+'5. Scenarios'!$D$10)*$N710)</f>
        <v/>
      </c>
      <c r="P710" s="57" t="str">
        <f aca="false">IF($O710="","",SUMIFS($O$6:$O$2405,$A$6:$A$2405,"&lt;="&amp;$A710))</f>
        <v/>
      </c>
      <c r="Q710" s="57" t="str">
        <f aca="false">IF($O710="","",IF($P710&lt;=BankCostEnvelope*'5. Scenarios'!$D$7,1,0))</f>
        <v/>
      </c>
      <c r="R710" s="57" t="str">
        <f aca="false">IF($N710="","",INDEX(BookRate,705)*(1+'5. Scenarios'!$D$10)*(INDEX(BookQ1,705)*(5-MIN(4,1+'5. Scenarios'!$D$8))/4+INDEX(BookQ2,705)*(5-MIN(4,2+'5. Scenarios'!$D$8))/4+INDEX(BookQ3,705)*(5-MIN(4,3+'5. Scenarios'!$D$8))/4+INDEX(BookQ4,705)*(5-MIN(4,4+'5. Scenarios'!$D$8))/4)*'5. Scenarios'!$D$6/(1+ProductivityDefault*('5. Scenarios'!$D$11-1))+INDEX(BookOneOff,705)*$N710)</f>
        <v/>
      </c>
      <c r="S710" s="56" t="str">
        <f aca="false">IF(INDEX(BookTitle,705)="","",INDEX(BookTotal,705)*'5. Scenarios'!$E$6/(1+ProductivityDefault*('5. Scenarios'!$E$11-1)))</f>
        <v/>
      </c>
      <c r="T710" s="57" t="str">
        <f aca="false">IF($S710="","",INDEX(BookRate,705)*(1+'5. Scenarios'!$E$10)*$S710)</f>
        <v/>
      </c>
      <c r="U710" s="57" t="str">
        <f aca="false">IF($T710="","",SUMIFS($T$6:$T$2405,$A$6:$A$2405,"&lt;="&amp;$A710))</f>
        <v/>
      </c>
      <c r="V710" s="57" t="str">
        <f aca="false">IF($T710="","",IF($U710&lt;=BankCostEnvelope*'5. Scenarios'!$E$7,1,0))</f>
        <v/>
      </c>
      <c r="W710" s="57" t="str">
        <f aca="false">IF($S710="","",INDEX(BookRate,705)*(1+'5. Scenarios'!$E$10)*(INDEX(BookQ1,705)*(5-MIN(4,1+'5. Scenarios'!$E$8))/4+INDEX(BookQ2,705)*(5-MIN(4,2+'5. Scenarios'!$E$8))/4+INDEX(BookQ3,705)*(5-MIN(4,3+'5. Scenarios'!$E$8))/4+INDEX(BookQ4,705)*(5-MIN(4,4+'5. Scenarios'!$E$8))/4)*'5. Scenarios'!$E$6/(1+ProductivityDefault*('5. Scenarios'!$E$11-1))+INDEX(BookOneOff,705)*$S710)</f>
        <v/>
      </c>
    </row>
    <row r="711" customFormat="false" ht="15" hidden="false" customHeight="false" outlineLevel="0" collapsed="false">
      <c r="A711" s="0" t="str">
        <f aca="false">IF(INDEX(BookTitle,706)="","",INDEX(BookKey,706))</f>
        <v/>
      </c>
      <c r="B711" s="0" t="str">
        <f aca="false">IF(INDEX(BookTitle,706)="","",INDEX(BookGroup,706))</f>
        <v/>
      </c>
      <c r="C711" s="0" t="str">
        <f aca="false">IF(INDEX(BookTitle,706)="","",INDEX(BookCategory,706))</f>
        <v/>
      </c>
      <c r="D711" s="56" t="str">
        <f aca="false">IF(INDEX(BookTitle,706)="","",INDEX(BookTotal,706)*'5. Scenarios'!$B$6/(1+ProductivityDefault*('5. Scenarios'!$B$11-1)))</f>
        <v/>
      </c>
      <c r="E711" s="57" t="str">
        <f aca="false">IF($D711="","",INDEX(BookRate,706)*(1+'5. Scenarios'!$B$10)*$D711)</f>
        <v/>
      </c>
      <c r="F711" s="57" t="str">
        <f aca="false">IF($E711="","",SUMIFS($E$6:$E$2405,$A$6:$A$2405,"&lt;="&amp;$A711))</f>
        <v/>
      </c>
      <c r="G711" s="57" t="str">
        <f aca="false">IF($E711="","",IF($F711&lt;=BankCostEnvelope*'5. Scenarios'!$B$7,1,0))</f>
        <v/>
      </c>
      <c r="H711" s="57" t="str">
        <f aca="false">IF($D711="","",INDEX(BookRate,706)*(1+'5. Scenarios'!$B$10)*(INDEX(BookQ1,706)*(5-MIN(4,1+'5. Scenarios'!$B$8))/4+INDEX(BookQ2,706)*(5-MIN(4,2+'5. Scenarios'!$B$8))/4+INDEX(BookQ3,706)*(5-MIN(4,3+'5. Scenarios'!$B$8))/4+INDEX(BookQ4,706)*(5-MIN(4,4+'5. Scenarios'!$B$8))/4)*'5. Scenarios'!$B$6/(1+ProductivityDefault*('5. Scenarios'!$B$11-1))+INDEX(BookOneOff,706)*$D711)</f>
        <v/>
      </c>
      <c r="I711" s="56" t="str">
        <f aca="false">IF(INDEX(BookTitle,706)="","",INDEX(BookTotal,706)*'5. Scenarios'!$C$6/(1+ProductivityDefault*('5. Scenarios'!$C$11-1)))</f>
        <v/>
      </c>
      <c r="J711" s="57" t="str">
        <f aca="false">IF($I711="","",INDEX(BookRate,706)*(1+'5. Scenarios'!$C$10)*$I711)</f>
        <v/>
      </c>
      <c r="K711" s="57" t="str">
        <f aca="false">IF($J711="","",SUMIFS($J$6:$J$2405,$A$6:$A$2405,"&lt;="&amp;$A711))</f>
        <v/>
      </c>
      <c r="L711" s="57" t="str">
        <f aca="false">IF($J711="","",IF($K711&lt;=BankCostEnvelope*'5. Scenarios'!$C$7,1,0))</f>
        <v/>
      </c>
      <c r="M711" s="57" t="str">
        <f aca="false">IF($I711="","",INDEX(BookRate,706)*(1+'5. Scenarios'!$C$10)*(INDEX(BookQ1,706)*(5-MIN(4,1+'5. Scenarios'!$C$8))/4+INDEX(BookQ2,706)*(5-MIN(4,2+'5. Scenarios'!$C$8))/4+INDEX(BookQ3,706)*(5-MIN(4,3+'5. Scenarios'!$C$8))/4+INDEX(BookQ4,706)*(5-MIN(4,4+'5. Scenarios'!$C$8))/4)*'5. Scenarios'!$C$6/(1+ProductivityDefault*('5. Scenarios'!$C$11-1))+INDEX(BookOneOff,706)*$I711)</f>
        <v/>
      </c>
      <c r="N711" s="56" t="str">
        <f aca="false">IF(INDEX(BookTitle,706)="","",INDEX(BookTotal,706)*'5. Scenarios'!$D$6/(1+ProductivityDefault*('5. Scenarios'!$D$11-1)))</f>
        <v/>
      </c>
      <c r="O711" s="57" t="str">
        <f aca="false">IF($N711="","",INDEX(BookRate,706)*(1+'5. Scenarios'!$D$10)*$N711)</f>
        <v/>
      </c>
      <c r="P711" s="57" t="str">
        <f aca="false">IF($O711="","",SUMIFS($O$6:$O$2405,$A$6:$A$2405,"&lt;="&amp;$A711))</f>
        <v/>
      </c>
      <c r="Q711" s="57" t="str">
        <f aca="false">IF($O711="","",IF($P711&lt;=BankCostEnvelope*'5. Scenarios'!$D$7,1,0))</f>
        <v/>
      </c>
      <c r="R711" s="57" t="str">
        <f aca="false">IF($N711="","",INDEX(BookRate,706)*(1+'5. Scenarios'!$D$10)*(INDEX(BookQ1,706)*(5-MIN(4,1+'5. Scenarios'!$D$8))/4+INDEX(BookQ2,706)*(5-MIN(4,2+'5. Scenarios'!$D$8))/4+INDEX(BookQ3,706)*(5-MIN(4,3+'5. Scenarios'!$D$8))/4+INDEX(BookQ4,706)*(5-MIN(4,4+'5. Scenarios'!$D$8))/4)*'5. Scenarios'!$D$6/(1+ProductivityDefault*('5. Scenarios'!$D$11-1))+INDEX(BookOneOff,706)*$N711)</f>
        <v/>
      </c>
      <c r="S711" s="56" t="str">
        <f aca="false">IF(INDEX(BookTitle,706)="","",INDEX(BookTotal,706)*'5. Scenarios'!$E$6/(1+ProductivityDefault*('5. Scenarios'!$E$11-1)))</f>
        <v/>
      </c>
      <c r="T711" s="57" t="str">
        <f aca="false">IF($S711="","",INDEX(BookRate,706)*(1+'5. Scenarios'!$E$10)*$S711)</f>
        <v/>
      </c>
      <c r="U711" s="57" t="str">
        <f aca="false">IF($T711="","",SUMIFS($T$6:$T$2405,$A$6:$A$2405,"&lt;="&amp;$A711))</f>
        <v/>
      </c>
      <c r="V711" s="57" t="str">
        <f aca="false">IF($T711="","",IF($U711&lt;=BankCostEnvelope*'5. Scenarios'!$E$7,1,0))</f>
        <v/>
      </c>
      <c r="W711" s="57" t="str">
        <f aca="false">IF($S711="","",INDEX(BookRate,706)*(1+'5. Scenarios'!$E$10)*(INDEX(BookQ1,706)*(5-MIN(4,1+'5. Scenarios'!$E$8))/4+INDEX(BookQ2,706)*(5-MIN(4,2+'5. Scenarios'!$E$8))/4+INDEX(BookQ3,706)*(5-MIN(4,3+'5. Scenarios'!$E$8))/4+INDEX(BookQ4,706)*(5-MIN(4,4+'5. Scenarios'!$E$8))/4)*'5. Scenarios'!$E$6/(1+ProductivityDefault*('5. Scenarios'!$E$11-1))+INDEX(BookOneOff,706)*$S711)</f>
        <v/>
      </c>
    </row>
    <row r="712" customFormat="false" ht="15" hidden="false" customHeight="false" outlineLevel="0" collapsed="false">
      <c r="A712" s="0" t="str">
        <f aca="false">IF(INDEX(BookTitle,707)="","",INDEX(BookKey,707))</f>
        <v/>
      </c>
      <c r="B712" s="0" t="str">
        <f aca="false">IF(INDEX(BookTitle,707)="","",INDEX(BookGroup,707))</f>
        <v/>
      </c>
      <c r="C712" s="0" t="str">
        <f aca="false">IF(INDEX(BookTitle,707)="","",INDEX(BookCategory,707))</f>
        <v/>
      </c>
      <c r="D712" s="56" t="str">
        <f aca="false">IF(INDEX(BookTitle,707)="","",INDEX(BookTotal,707)*'5. Scenarios'!$B$6/(1+ProductivityDefault*('5. Scenarios'!$B$11-1)))</f>
        <v/>
      </c>
      <c r="E712" s="57" t="str">
        <f aca="false">IF($D712="","",INDEX(BookRate,707)*(1+'5. Scenarios'!$B$10)*$D712)</f>
        <v/>
      </c>
      <c r="F712" s="57" t="str">
        <f aca="false">IF($E712="","",SUMIFS($E$6:$E$2405,$A$6:$A$2405,"&lt;="&amp;$A712))</f>
        <v/>
      </c>
      <c r="G712" s="57" t="str">
        <f aca="false">IF($E712="","",IF($F712&lt;=BankCostEnvelope*'5. Scenarios'!$B$7,1,0))</f>
        <v/>
      </c>
      <c r="H712" s="57" t="str">
        <f aca="false">IF($D712="","",INDEX(BookRate,707)*(1+'5. Scenarios'!$B$10)*(INDEX(BookQ1,707)*(5-MIN(4,1+'5. Scenarios'!$B$8))/4+INDEX(BookQ2,707)*(5-MIN(4,2+'5. Scenarios'!$B$8))/4+INDEX(BookQ3,707)*(5-MIN(4,3+'5. Scenarios'!$B$8))/4+INDEX(BookQ4,707)*(5-MIN(4,4+'5. Scenarios'!$B$8))/4)*'5. Scenarios'!$B$6/(1+ProductivityDefault*('5. Scenarios'!$B$11-1))+INDEX(BookOneOff,707)*$D712)</f>
        <v/>
      </c>
      <c r="I712" s="56" t="str">
        <f aca="false">IF(INDEX(BookTitle,707)="","",INDEX(BookTotal,707)*'5. Scenarios'!$C$6/(1+ProductivityDefault*('5. Scenarios'!$C$11-1)))</f>
        <v/>
      </c>
      <c r="J712" s="57" t="str">
        <f aca="false">IF($I712="","",INDEX(BookRate,707)*(1+'5. Scenarios'!$C$10)*$I712)</f>
        <v/>
      </c>
      <c r="K712" s="57" t="str">
        <f aca="false">IF($J712="","",SUMIFS($J$6:$J$2405,$A$6:$A$2405,"&lt;="&amp;$A712))</f>
        <v/>
      </c>
      <c r="L712" s="57" t="str">
        <f aca="false">IF($J712="","",IF($K712&lt;=BankCostEnvelope*'5. Scenarios'!$C$7,1,0))</f>
        <v/>
      </c>
      <c r="M712" s="57" t="str">
        <f aca="false">IF($I712="","",INDEX(BookRate,707)*(1+'5. Scenarios'!$C$10)*(INDEX(BookQ1,707)*(5-MIN(4,1+'5. Scenarios'!$C$8))/4+INDEX(BookQ2,707)*(5-MIN(4,2+'5. Scenarios'!$C$8))/4+INDEX(BookQ3,707)*(5-MIN(4,3+'5. Scenarios'!$C$8))/4+INDEX(BookQ4,707)*(5-MIN(4,4+'5. Scenarios'!$C$8))/4)*'5. Scenarios'!$C$6/(1+ProductivityDefault*('5. Scenarios'!$C$11-1))+INDEX(BookOneOff,707)*$I712)</f>
        <v/>
      </c>
      <c r="N712" s="56" t="str">
        <f aca="false">IF(INDEX(BookTitle,707)="","",INDEX(BookTotal,707)*'5. Scenarios'!$D$6/(1+ProductivityDefault*('5. Scenarios'!$D$11-1)))</f>
        <v/>
      </c>
      <c r="O712" s="57" t="str">
        <f aca="false">IF($N712="","",INDEX(BookRate,707)*(1+'5. Scenarios'!$D$10)*$N712)</f>
        <v/>
      </c>
      <c r="P712" s="57" t="str">
        <f aca="false">IF($O712="","",SUMIFS($O$6:$O$2405,$A$6:$A$2405,"&lt;="&amp;$A712))</f>
        <v/>
      </c>
      <c r="Q712" s="57" t="str">
        <f aca="false">IF($O712="","",IF($P712&lt;=BankCostEnvelope*'5. Scenarios'!$D$7,1,0))</f>
        <v/>
      </c>
      <c r="R712" s="57" t="str">
        <f aca="false">IF($N712="","",INDEX(BookRate,707)*(1+'5. Scenarios'!$D$10)*(INDEX(BookQ1,707)*(5-MIN(4,1+'5. Scenarios'!$D$8))/4+INDEX(BookQ2,707)*(5-MIN(4,2+'5. Scenarios'!$D$8))/4+INDEX(BookQ3,707)*(5-MIN(4,3+'5. Scenarios'!$D$8))/4+INDEX(BookQ4,707)*(5-MIN(4,4+'5. Scenarios'!$D$8))/4)*'5. Scenarios'!$D$6/(1+ProductivityDefault*('5. Scenarios'!$D$11-1))+INDEX(BookOneOff,707)*$N712)</f>
        <v/>
      </c>
      <c r="S712" s="56" t="str">
        <f aca="false">IF(INDEX(BookTitle,707)="","",INDEX(BookTotal,707)*'5. Scenarios'!$E$6/(1+ProductivityDefault*('5. Scenarios'!$E$11-1)))</f>
        <v/>
      </c>
      <c r="T712" s="57" t="str">
        <f aca="false">IF($S712="","",INDEX(BookRate,707)*(1+'5. Scenarios'!$E$10)*$S712)</f>
        <v/>
      </c>
      <c r="U712" s="57" t="str">
        <f aca="false">IF($T712="","",SUMIFS($T$6:$T$2405,$A$6:$A$2405,"&lt;="&amp;$A712))</f>
        <v/>
      </c>
      <c r="V712" s="57" t="str">
        <f aca="false">IF($T712="","",IF($U712&lt;=BankCostEnvelope*'5. Scenarios'!$E$7,1,0))</f>
        <v/>
      </c>
      <c r="W712" s="57" t="str">
        <f aca="false">IF($S712="","",INDEX(BookRate,707)*(1+'5. Scenarios'!$E$10)*(INDEX(BookQ1,707)*(5-MIN(4,1+'5. Scenarios'!$E$8))/4+INDEX(BookQ2,707)*(5-MIN(4,2+'5. Scenarios'!$E$8))/4+INDEX(BookQ3,707)*(5-MIN(4,3+'5. Scenarios'!$E$8))/4+INDEX(BookQ4,707)*(5-MIN(4,4+'5. Scenarios'!$E$8))/4)*'5. Scenarios'!$E$6/(1+ProductivityDefault*('5. Scenarios'!$E$11-1))+INDEX(BookOneOff,707)*$S712)</f>
        <v/>
      </c>
    </row>
    <row r="713" customFormat="false" ht="15" hidden="false" customHeight="false" outlineLevel="0" collapsed="false">
      <c r="A713" s="0" t="str">
        <f aca="false">IF(INDEX(BookTitle,708)="","",INDEX(BookKey,708))</f>
        <v/>
      </c>
      <c r="B713" s="0" t="str">
        <f aca="false">IF(INDEX(BookTitle,708)="","",INDEX(BookGroup,708))</f>
        <v/>
      </c>
      <c r="C713" s="0" t="str">
        <f aca="false">IF(INDEX(BookTitle,708)="","",INDEX(BookCategory,708))</f>
        <v/>
      </c>
      <c r="D713" s="56" t="str">
        <f aca="false">IF(INDEX(BookTitle,708)="","",INDEX(BookTotal,708)*'5. Scenarios'!$B$6/(1+ProductivityDefault*('5. Scenarios'!$B$11-1)))</f>
        <v/>
      </c>
      <c r="E713" s="57" t="str">
        <f aca="false">IF($D713="","",INDEX(BookRate,708)*(1+'5. Scenarios'!$B$10)*$D713)</f>
        <v/>
      </c>
      <c r="F713" s="57" t="str">
        <f aca="false">IF($E713="","",SUMIFS($E$6:$E$2405,$A$6:$A$2405,"&lt;="&amp;$A713))</f>
        <v/>
      </c>
      <c r="G713" s="57" t="str">
        <f aca="false">IF($E713="","",IF($F713&lt;=BankCostEnvelope*'5. Scenarios'!$B$7,1,0))</f>
        <v/>
      </c>
      <c r="H713" s="57" t="str">
        <f aca="false">IF($D713="","",INDEX(BookRate,708)*(1+'5. Scenarios'!$B$10)*(INDEX(BookQ1,708)*(5-MIN(4,1+'5. Scenarios'!$B$8))/4+INDEX(BookQ2,708)*(5-MIN(4,2+'5. Scenarios'!$B$8))/4+INDEX(BookQ3,708)*(5-MIN(4,3+'5. Scenarios'!$B$8))/4+INDEX(BookQ4,708)*(5-MIN(4,4+'5. Scenarios'!$B$8))/4)*'5. Scenarios'!$B$6/(1+ProductivityDefault*('5. Scenarios'!$B$11-1))+INDEX(BookOneOff,708)*$D713)</f>
        <v/>
      </c>
      <c r="I713" s="56" t="str">
        <f aca="false">IF(INDEX(BookTitle,708)="","",INDEX(BookTotal,708)*'5. Scenarios'!$C$6/(1+ProductivityDefault*('5. Scenarios'!$C$11-1)))</f>
        <v/>
      </c>
      <c r="J713" s="57" t="str">
        <f aca="false">IF($I713="","",INDEX(BookRate,708)*(1+'5. Scenarios'!$C$10)*$I713)</f>
        <v/>
      </c>
      <c r="K713" s="57" t="str">
        <f aca="false">IF($J713="","",SUMIFS($J$6:$J$2405,$A$6:$A$2405,"&lt;="&amp;$A713))</f>
        <v/>
      </c>
      <c r="L713" s="57" t="str">
        <f aca="false">IF($J713="","",IF($K713&lt;=BankCostEnvelope*'5. Scenarios'!$C$7,1,0))</f>
        <v/>
      </c>
      <c r="M713" s="57" t="str">
        <f aca="false">IF($I713="","",INDEX(BookRate,708)*(1+'5. Scenarios'!$C$10)*(INDEX(BookQ1,708)*(5-MIN(4,1+'5. Scenarios'!$C$8))/4+INDEX(BookQ2,708)*(5-MIN(4,2+'5. Scenarios'!$C$8))/4+INDEX(BookQ3,708)*(5-MIN(4,3+'5. Scenarios'!$C$8))/4+INDEX(BookQ4,708)*(5-MIN(4,4+'5. Scenarios'!$C$8))/4)*'5. Scenarios'!$C$6/(1+ProductivityDefault*('5. Scenarios'!$C$11-1))+INDEX(BookOneOff,708)*$I713)</f>
        <v/>
      </c>
      <c r="N713" s="56" t="str">
        <f aca="false">IF(INDEX(BookTitle,708)="","",INDEX(BookTotal,708)*'5. Scenarios'!$D$6/(1+ProductivityDefault*('5. Scenarios'!$D$11-1)))</f>
        <v/>
      </c>
      <c r="O713" s="57" t="str">
        <f aca="false">IF($N713="","",INDEX(BookRate,708)*(1+'5. Scenarios'!$D$10)*$N713)</f>
        <v/>
      </c>
      <c r="P713" s="57" t="str">
        <f aca="false">IF($O713="","",SUMIFS($O$6:$O$2405,$A$6:$A$2405,"&lt;="&amp;$A713))</f>
        <v/>
      </c>
      <c r="Q713" s="57" t="str">
        <f aca="false">IF($O713="","",IF($P713&lt;=BankCostEnvelope*'5. Scenarios'!$D$7,1,0))</f>
        <v/>
      </c>
      <c r="R713" s="57" t="str">
        <f aca="false">IF($N713="","",INDEX(BookRate,708)*(1+'5. Scenarios'!$D$10)*(INDEX(BookQ1,708)*(5-MIN(4,1+'5. Scenarios'!$D$8))/4+INDEX(BookQ2,708)*(5-MIN(4,2+'5. Scenarios'!$D$8))/4+INDEX(BookQ3,708)*(5-MIN(4,3+'5. Scenarios'!$D$8))/4+INDEX(BookQ4,708)*(5-MIN(4,4+'5. Scenarios'!$D$8))/4)*'5. Scenarios'!$D$6/(1+ProductivityDefault*('5. Scenarios'!$D$11-1))+INDEX(BookOneOff,708)*$N713)</f>
        <v/>
      </c>
      <c r="S713" s="56" t="str">
        <f aca="false">IF(INDEX(BookTitle,708)="","",INDEX(BookTotal,708)*'5. Scenarios'!$E$6/(1+ProductivityDefault*('5. Scenarios'!$E$11-1)))</f>
        <v/>
      </c>
      <c r="T713" s="57" t="str">
        <f aca="false">IF($S713="","",INDEX(BookRate,708)*(1+'5. Scenarios'!$E$10)*$S713)</f>
        <v/>
      </c>
      <c r="U713" s="57" t="str">
        <f aca="false">IF($T713="","",SUMIFS($T$6:$T$2405,$A$6:$A$2405,"&lt;="&amp;$A713))</f>
        <v/>
      </c>
      <c r="V713" s="57" t="str">
        <f aca="false">IF($T713="","",IF($U713&lt;=BankCostEnvelope*'5. Scenarios'!$E$7,1,0))</f>
        <v/>
      </c>
      <c r="W713" s="57" t="str">
        <f aca="false">IF($S713="","",INDEX(BookRate,708)*(1+'5. Scenarios'!$E$10)*(INDEX(BookQ1,708)*(5-MIN(4,1+'5. Scenarios'!$E$8))/4+INDEX(BookQ2,708)*(5-MIN(4,2+'5. Scenarios'!$E$8))/4+INDEX(BookQ3,708)*(5-MIN(4,3+'5. Scenarios'!$E$8))/4+INDEX(BookQ4,708)*(5-MIN(4,4+'5. Scenarios'!$E$8))/4)*'5. Scenarios'!$E$6/(1+ProductivityDefault*('5. Scenarios'!$E$11-1))+INDEX(BookOneOff,708)*$S713)</f>
        <v/>
      </c>
    </row>
    <row r="714" customFormat="false" ht="15" hidden="false" customHeight="false" outlineLevel="0" collapsed="false">
      <c r="A714" s="0" t="str">
        <f aca="false">IF(INDEX(BookTitle,709)="","",INDEX(BookKey,709))</f>
        <v/>
      </c>
      <c r="B714" s="0" t="str">
        <f aca="false">IF(INDEX(BookTitle,709)="","",INDEX(BookGroup,709))</f>
        <v/>
      </c>
      <c r="C714" s="0" t="str">
        <f aca="false">IF(INDEX(BookTitle,709)="","",INDEX(BookCategory,709))</f>
        <v/>
      </c>
      <c r="D714" s="56" t="str">
        <f aca="false">IF(INDEX(BookTitle,709)="","",INDEX(BookTotal,709)*'5. Scenarios'!$B$6/(1+ProductivityDefault*('5. Scenarios'!$B$11-1)))</f>
        <v/>
      </c>
      <c r="E714" s="57" t="str">
        <f aca="false">IF($D714="","",INDEX(BookRate,709)*(1+'5. Scenarios'!$B$10)*$D714)</f>
        <v/>
      </c>
      <c r="F714" s="57" t="str">
        <f aca="false">IF($E714="","",SUMIFS($E$6:$E$2405,$A$6:$A$2405,"&lt;="&amp;$A714))</f>
        <v/>
      </c>
      <c r="G714" s="57" t="str">
        <f aca="false">IF($E714="","",IF($F714&lt;=BankCostEnvelope*'5. Scenarios'!$B$7,1,0))</f>
        <v/>
      </c>
      <c r="H714" s="57" t="str">
        <f aca="false">IF($D714="","",INDEX(BookRate,709)*(1+'5. Scenarios'!$B$10)*(INDEX(BookQ1,709)*(5-MIN(4,1+'5. Scenarios'!$B$8))/4+INDEX(BookQ2,709)*(5-MIN(4,2+'5. Scenarios'!$B$8))/4+INDEX(BookQ3,709)*(5-MIN(4,3+'5. Scenarios'!$B$8))/4+INDEX(BookQ4,709)*(5-MIN(4,4+'5. Scenarios'!$B$8))/4)*'5. Scenarios'!$B$6/(1+ProductivityDefault*('5. Scenarios'!$B$11-1))+INDEX(BookOneOff,709)*$D714)</f>
        <v/>
      </c>
      <c r="I714" s="56" t="str">
        <f aca="false">IF(INDEX(BookTitle,709)="","",INDEX(BookTotal,709)*'5. Scenarios'!$C$6/(1+ProductivityDefault*('5. Scenarios'!$C$11-1)))</f>
        <v/>
      </c>
      <c r="J714" s="57" t="str">
        <f aca="false">IF($I714="","",INDEX(BookRate,709)*(1+'5. Scenarios'!$C$10)*$I714)</f>
        <v/>
      </c>
      <c r="K714" s="57" t="str">
        <f aca="false">IF($J714="","",SUMIFS($J$6:$J$2405,$A$6:$A$2405,"&lt;="&amp;$A714))</f>
        <v/>
      </c>
      <c r="L714" s="57" t="str">
        <f aca="false">IF($J714="","",IF($K714&lt;=BankCostEnvelope*'5. Scenarios'!$C$7,1,0))</f>
        <v/>
      </c>
      <c r="M714" s="57" t="str">
        <f aca="false">IF($I714="","",INDEX(BookRate,709)*(1+'5. Scenarios'!$C$10)*(INDEX(BookQ1,709)*(5-MIN(4,1+'5. Scenarios'!$C$8))/4+INDEX(BookQ2,709)*(5-MIN(4,2+'5. Scenarios'!$C$8))/4+INDEX(BookQ3,709)*(5-MIN(4,3+'5. Scenarios'!$C$8))/4+INDEX(BookQ4,709)*(5-MIN(4,4+'5. Scenarios'!$C$8))/4)*'5. Scenarios'!$C$6/(1+ProductivityDefault*('5. Scenarios'!$C$11-1))+INDEX(BookOneOff,709)*$I714)</f>
        <v/>
      </c>
      <c r="N714" s="56" t="str">
        <f aca="false">IF(INDEX(BookTitle,709)="","",INDEX(BookTotal,709)*'5. Scenarios'!$D$6/(1+ProductivityDefault*('5. Scenarios'!$D$11-1)))</f>
        <v/>
      </c>
      <c r="O714" s="57" t="str">
        <f aca="false">IF($N714="","",INDEX(BookRate,709)*(1+'5. Scenarios'!$D$10)*$N714)</f>
        <v/>
      </c>
      <c r="P714" s="57" t="str">
        <f aca="false">IF($O714="","",SUMIFS($O$6:$O$2405,$A$6:$A$2405,"&lt;="&amp;$A714))</f>
        <v/>
      </c>
      <c r="Q714" s="57" t="str">
        <f aca="false">IF($O714="","",IF($P714&lt;=BankCostEnvelope*'5. Scenarios'!$D$7,1,0))</f>
        <v/>
      </c>
      <c r="R714" s="57" t="str">
        <f aca="false">IF($N714="","",INDEX(BookRate,709)*(1+'5. Scenarios'!$D$10)*(INDEX(BookQ1,709)*(5-MIN(4,1+'5. Scenarios'!$D$8))/4+INDEX(BookQ2,709)*(5-MIN(4,2+'5. Scenarios'!$D$8))/4+INDEX(BookQ3,709)*(5-MIN(4,3+'5. Scenarios'!$D$8))/4+INDEX(BookQ4,709)*(5-MIN(4,4+'5. Scenarios'!$D$8))/4)*'5. Scenarios'!$D$6/(1+ProductivityDefault*('5. Scenarios'!$D$11-1))+INDEX(BookOneOff,709)*$N714)</f>
        <v/>
      </c>
      <c r="S714" s="56" t="str">
        <f aca="false">IF(INDEX(BookTitle,709)="","",INDEX(BookTotal,709)*'5. Scenarios'!$E$6/(1+ProductivityDefault*('5. Scenarios'!$E$11-1)))</f>
        <v/>
      </c>
      <c r="T714" s="57" t="str">
        <f aca="false">IF($S714="","",INDEX(BookRate,709)*(1+'5. Scenarios'!$E$10)*$S714)</f>
        <v/>
      </c>
      <c r="U714" s="57" t="str">
        <f aca="false">IF($T714="","",SUMIFS($T$6:$T$2405,$A$6:$A$2405,"&lt;="&amp;$A714))</f>
        <v/>
      </c>
      <c r="V714" s="57" t="str">
        <f aca="false">IF($T714="","",IF($U714&lt;=BankCostEnvelope*'5. Scenarios'!$E$7,1,0))</f>
        <v/>
      </c>
      <c r="W714" s="57" t="str">
        <f aca="false">IF($S714="","",INDEX(BookRate,709)*(1+'5. Scenarios'!$E$10)*(INDEX(BookQ1,709)*(5-MIN(4,1+'5. Scenarios'!$E$8))/4+INDEX(BookQ2,709)*(5-MIN(4,2+'5. Scenarios'!$E$8))/4+INDEX(BookQ3,709)*(5-MIN(4,3+'5. Scenarios'!$E$8))/4+INDEX(BookQ4,709)*(5-MIN(4,4+'5. Scenarios'!$E$8))/4)*'5. Scenarios'!$E$6/(1+ProductivityDefault*('5. Scenarios'!$E$11-1))+INDEX(BookOneOff,709)*$S714)</f>
        <v/>
      </c>
    </row>
    <row r="715" customFormat="false" ht="15" hidden="false" customHeight="false" outlineLevel="0" collapsed="false">
      <c r="A715" s="0" t="str">
        <f aca="false">IF(INDEX(BookTitle,710)="","",INDEX(BookKey,710))</f>
        <v/>
      </c>
      <c r="B715" s="0" t="str">
        <f aca="false">IF(INDEX(BookTitle,710)="","",INDEX(BookGroup,710))</f>
        <v/>
      </c>
      <c r="C715" s="0" t="str">
        <f aca="false">IF(INDEX(BookTitle,710)="","",INDEX(BookCategory,710))</f>
        <v/>
      </c>
      <c r="D715" s="56" t="str">
        <f aca="false">IF(INDEX(BookTitle,710)="","",INDEX(BookTotal,710)*'5. Scenarios'!$B$6/(1+ProductivityDefault*('5. Scenarios'!$B$11-1)))</f>
        <v/>
      </c>
      <c r="E715" s="57" t="str">
        <f aca="false">IF($D715="","",INDEX(BookRate,710)*(1+'5. Scenarios'!$B$10)*$D715)</f>
        <v/>
      </c>
      <c r="F715" s="57" t="str">
        <f aca="false">IF($E715="","",SUMIFS($E$6:$E$2405,$A$6:$A$2405,"&lt;="&amp;$A715))</f>
        <v/>
      </c>
      <c r="G715" s="57" t="str">
        <f aca="false">IF($E715="","",IF($F715&lt;=BankCostEnvelope*'5. Scenarios'!$B$7,1,0))</f>
        <v/>
      </c>
      <c r="H715" s="57" t="str">
        <f aca="false">IF($D715="","",INDEX(BookRate,710)*(1+'5. Scenarios'!$B$10)*(INDEX(BookQ1,710)*(5-MIN(4,1+'5. Scenarios'!$B$8))/4+INDEX(BookQ2,710)*(5-MIN(4,2+'5. Scenarios'!$B$8))/4+INDEX(BookQ3,710)*(5-MIN(4,3+'5. Scenarios'!$B$8))/4+INDEX(BookQ4,710)*(5-MIN(4,4+'5. Scenarios'!$B$8))/4)*'5. Scenarios'!$B$6/(1+ProductivityDefault*('5. Scenarios'!$B$11-1))+INDEX(BookOneOff,710)*$D715)</f>
        <v/>
      </c>
      <c r="I715" s="56" t="str">
        <f aca="false">IF(INDEX(BookTitle,710)="","",INDEX(BookTotal,710)*'5. Scenarios'!$C$6/(1+ProductivityDefault*('5. Scenarios'!$C$11-1)))</f>
        <v/>
      </c>
      <c r="J715" s="57" t="str">
        <f aca="false">IF($I715="","",INDEX(BookRate,710)*(1+'5. Scenarios'!$C$10)*$I715)</f>
        <v/>
      </c>
      <c r="K715" s="57" t="str">
        <f aca="false">IF($J715="","",SUMIFS($J$6:$J$2405,$A$6:$A$2405,"&lt;="&amp;$A715))</f>
        <v/>
      </c>
      <c r="L715" s="57" t="str">
        <f aca="false">IF($J715="","",IF($K715&lt;=BankCostEnvelope*'5. Scenarios'!$C$7,1,0))</f>
        <v/>
      </c>
      <c r="M715" s="57" t="str">
        <f aca="false">IF($I715="","",INDEX(BookRate,710)*(1+'5. Scenarios'!$C$10)*(INDEX(BookQ1,710)*(5-MIN(4,1+'5. Scenarios'!$C$8))/4+INDEX(BookQ2,710)*(5-MIN(4,2+'5. Scenarios'!$C$8))/4+INDEX(BookQ3,710)*(5-MIN(4,3+'5. Scenarios'!$C$8))/4+INDEX(BookQ4,710)*(5-MIN(4,4+'5. Scenarios'!$C$8))/4)*'5. Scenarios'!$C$6/(1+ProductivityDefault*('5. Scenarios'!$C$11-1))+INDEX(BookOneOff,710)*$I715)</f>
        <v/>
      </c>
      <c r="N715" s="56" t="str">
        <f aca="false">IF(INDEX(BookTitle,710)="","",INDEX(BookTotal,710)*'5. Scenarios'!$D$6/(1+ProductivityDefault*('5. Scenarios'!$D$11-1)))</f>
        <v/>
      </c>
      <c r="O715" s="57" t="str">
        <f aca="false">IF($N715="","",INDEX(BookRate,710)*(1+'5. Scenarios'!$D$10)*$N715)</f>
        <v/>
      </c>
      <c r="P715" s="57" t="str">
        <f aca="false">IF($O715="","",SUMIFS($O$6:$O$2405,$A$6:$A$2405,"&lt;="&amp;$A715))</f>
        <v/>
      </c>
      <c r="Q715" s="57" t="str">
        <f aca="false">IF($O715="","",IF($P715&lt;=BankCostEnvelope*'5. Scenarios'!$D$7,1,0))</f>
        <v/>
      </c>
      <c r="R715" s="57" t="str">
        <f aca="false">IF($N715="","",INDEX(BookRate,710)*(1+'5. Scenarios'!$D$10)*(INDEX(BookQ1,710)*(5-MIN(4,1+'5. Scenarios'!$D$8))/4+INDEX(BookQ2,710)*(5-MIN(4,2+'5. Scenarios'!$D$8))/4+INDEX(BookQ3,710)*(5-MIN(4,3+'5. Scenarios'!$D$8))/4+INDEX(BookQ4,710)*(5-MIN(4,4+'5. Scenarios'!$D$8))/4)*'5. Scenarios'!$D$6/(1+ProductivityDefault*('5. Scenarios'!$D$11-1))+INDEX(BookOneOff,710)*$N715)</f>
        <v/>
      </c>
      <c r="S715" s="56" t="str">
        <f aca="false">IF(INDEX(BookTitle,710)="","",INDEX(BookTotal,710)*'5. Scenarios'!$E$6/(1+ProductivityDefault*('5. Scenarios'!$E$11-1)))</f>
        <v/>
      </c>
      <c r="T715" s="57" t="str">
        <f aca="false">IF($S715="","",INDEX(BookRate,710)*(1+'5. Scenarios'!$E$10)*$S715)</f>
        <v/>
      </c>
      <c r="U715" s="57" t="str">
        <f aca="false">IF($T715="","",SUMIFS($T$6:$T$2405,$A$6:$A$2405,"&lt;="&amp;$A715))</f>
        <v/>
      </c>
      <c r="V715" s="57" t="str">
        <f aca="false">IF($T715="","",IF($U715&lt;=BankCostEnvelope*'5. Scenarios'!$E$7,1,0))</f>
        <v/>
      </c>
      <c r="W715" s="57" t="str">
        <f aca="false">IF($S715="","",INDEX(BookRate,710)*(1+'5. Scenarios'!$E$10)*(INDEX(BookQ1,710)*(5-MIN(4,1+'5. Scenarios'!$E$8))/4+INDEX(BookQ2,710)*(5-MIN(4,2+'5. Scenarios'!$E$8))/4+INDEX(BookQ3,710)*(5-MIN(4,3+'5. Scenarios'!$E$8))/4+INDEX(BookQ4,710)*(5-MIN(4,4+'5. Scenarios'!$E$8))/4)*'5. Scenarios'!$E$6/(1+ProductivityDefault*('5. Scenarios'!$E$11-1))+INDEX(BookOneOff,710)*$S715)</f>
        <v/>
      </c>
    </row>
    <row r="716" customFormat="false" ht="15" hidden="false" customHeight="false" outlineLevel="0" collapsed="false">
      <c r="A716" s="0" t="str">
        <f aca="false">IF(INDEX(BookTitle,711)="","",INDEX(BookKey,711))</f>
        <v/>
      </c>
      <c r="B716" s="0" t="str">
        <f aca="false">IF(INDEX(BookTitle,711)="","",INDEX(BookGroup,711))</f>
        <v/>
      </c>
      <c r="C716" s="0" t="str">
        <f aca="false">IF(INDEX(BookTitle,711)="","",INDEX(BookCategory,711))</f>
        <v/>
      </c>
      <c r="D716" s="56" t="str">
        <f aca="false">IF(INDEX(BookTitle,711)="","",INDEX(BookTotal,711)*'5. Scenarios'!$B$6/(1+ProductivityDefault*('5. Scenarios'!$B$11-1)))</f>
        <v/>
      </c>
      <c r="E716" s="57" t="str">
        <f aca="false">IF($D716="","",INDEX(BookRate,711)*(1+'5. Scenarios'!$B$10)*$D716)</f>
        <v/>
      </c>
      <c r="F716" s="57" t="str">
        <f aca="false">IF($E716="","",SUMIFS($E$6:$E$2405,$A$6:$A$2405,"&lt;="&amp;$A716))</f>
        <v/>
      </c>
      <c r="G716" s="57" t="str">
        <f aca="false">IF($E716="","",IF($F716&lt;=BankCostEnvelope*'5. Scenarios'!$B$7,1,0))</f>
        <v/>
      </c>
      <c r="H716" s="57" t="str">
        <f aca="false">IF($D716="","",INDEX(BookRate,711)*(1+'5. Scenarios'!$B$10)*(INDEX(BookQ1,711)*(5-MIN(4,1+'5. Scenarios'!$B$8))/4+INDEX(BookQ2,711)*(5-MIN(4,2+'5. Scenarios'!$B$8))/4+INDEX(BookQ3,711)*(5-MIN(4,3+'5. Scenarios'!$B$8))/4+INDEX(BookQ4,711)*(5-MIN(4,4+'5. Scenarios'!$B$8))/4)*'5. Scenarios'!$B$6/(1+ProductivityDefault*('5. Scenarios'!$B$11-1))+INDEX(BookOneOff,711)*$D716)</f>
        <v/>
      </c>
      <c r="I716" s="56" t="str">
        <f aca="false">IF(INDEX(BookTitle,711)="","",INDEX(BookTotal,711)*'5. Scenarios'!$C$6/(1+ProductivityDefault*('5. Scenarios'!$C$11-1)))</f>
        <v/>
      </c>
      <c r="J716" s="57" t="str">
        <f aca="false">IF($I716="","",INDEX(BookRate,711)*(1+'5. Scenarios'!$C$10)*$I716)</f>
        <v/>
      </c>
      <c r="K716" s="57" t="str">
        <f aca="false">IF($J716="","",SUMIFS($J$6:$J$2405,$A$6:$A$2405,"&lt;="&amp;$A716))</f>
        <v/>
      </c>
      <c r="L716" s="57" t="str">
        <f aca="false">IF($J716="","",IF($K716&lt;=BankCostEnvelope*'5. Scenarios'!$C$7,1,0))</f>
        <v/>
      </c>
      <c r="M716" s="57" t="str">
        <f aca="false">IF($I716="","",INDEX(BookRate,711)*(1+'5. Scenarios'!$C$10)*(INDEX(BookQ1,711)*(5-MIN(4,1+'5. Scenarios'!$C$8))/4+INDEX(BookQ2,711)*(5-MIN(4,2+'5. Scenarios'!$C$8))/4+INDEX(BookQ3,711)*(5-MIN(4,3+'5. Scenarios'!$C$8))/4+INDEX(BookQ4,711)*(5-MIN(4,4+'5. Scenarios'!$C$8))/4)*'5. Scenarios'!$C$6/(1+ProductivityDefault*('5. Scenarios'!$C$11-1))+INDEX(BookOneOff,711)*$I716)</f>
        <v/>
      </c>
      <c r="N716" s="56" t="str">
        <f aca="false">IF(INDEX(BookTitle,711)="","",INDEX(BookTotal,711)*'5. Scenarios'!$D$6/(1+ProductivityDefault*('5. Scenarios'!$D$11-1)))</f>
        <v/>
      </c>
      <c r="O716" s="57" t="str">
        <f aca="false">IF($N716="","",INDEX(BookRate,711)*(1+'5. Scenarios'!$D$10)*$N716)</f>
        <v/>
      </c>
      <c r="P716" s="57" t="str">
        <f aca="false">IF($O716="","",SUMIFS($O$6:$O$2405,$A$6:$A$2405,"&lt;="&amp;$A716))</f>
        <v/>
      </c>
      <c r="Q716" s="57" t="str">
        <f aca="false">IF($O716="","",IF($P716&lt;=BankCostEnvelope*'5. Scenarios'!$D$7,1,0))</f>
        <v/>
      </c>
      <c r="R716" s="57" t="str">
        <f aca="false">IF($N716="","",INDEX(BookRate,711)*(1+'5. Scenarios'!$D$10)*(INDEX(BookQ1,711)*(5-MIN(4,1+'5. Scenarios'!$D$8))/4+INDEX(BookQ2,711)*(5-MIN(4,2+'5. Scenarios'!$D$8))/4+INDEX(BookQ3,711)*(5-MIN(4,3+'5. Scenarios'!$D$8))/4+INDEX(BookQ4,711)*(5-MIN(4,4+'5. Scenarios'!$D$8))/4)*'5. Scenarios'!$D$6/(1+ProductivityDefault*('5. Scenarios'!$D$11-1))+INDEX(BookOneOff,711)*$N716)</f>
        <v/>
      </c>
      <c r="S716" s="56" t="str">
        <f aca="false">IF(INDEX(BookTitle,711)="","",INDEX(BookTotal,711)*'5. Scenarios'!$E$6/(1+ProductivityDefault*('5. Scenarios'!$E$11-1)))</f>
        <v/>
      </c>
      <c r="T716" s="57" t="str">
        <f aca="false">IF($S716="","",INDEX(BookRate,711)*(1+'5. Scenarios'!$E$10)*$S716)</f>
        <v/>
      </c>
      <c r="U716" s="57" t="str">
        <f aca="false">IF($T716="","",SUMIFS($T$6:$T$2405,$A$6:$A$2405,"&lt;="&amp;$A716))</f>
        <v/>
      </c>
      <c r="V716" s="57" t="str">
        <f aca="false">IF($T716="","",IF($U716&lt;=BankCostEnvelope*'5. Scenarios'!$E$7,1,0))</f>
        <v/>
      </c>
      <c r="W716" s="57" t="str">
        <f aca="false">IF($S716="","",INDEX(BookRate,711)*(1+'5. Scenarios'!$E$10)*(INDEX(BookQ1,711)*(5-MIN(4,1+'5. Scenarios'!$E$8))/4+INDEX(BookQ2,711)*(5-MIN(4,2+'5. Scenarios'!$E$8))/4+INDEX(BookQ3,711)*(5-MIN(4,3+'5. Scenarios'!$E$8))/4+INDEX(BookQ4,711)*(5-MIN(4,4+'5. Scenarios'!$E$8))/4)*'5. Scenarios'!$E$6/(1+ProductivityDefault*('5. Scenarios'!$E$11-1))+INDEX(BookOneOff,711)*$S716)</f>
        <v/>
      </c>
    </row>
    <row r="717" customFormat="false" ht="15" hidden="false" customHeight="false" outlineLevel="0" collapsed="false">
      <c r="A717" s="0" t="str">
        <f aca="false">IF(INDEX(BookTitle,712)="","",INDEX(BookKey,712))</f>
        <v/>
      </c>
      <c r="B717" s="0" t="str">
        <f aca="false">IF(INDEX(BookTitle,712)="","",INDEX(BookGroup,712))</f>
        <v/>
      </c>
      <c r="C717" s="0" t="str">
        <f aca="false">IF(INDEX(BookTitle,712)="","",INDEX(BookCategory,712))</f>
        <v/>
      </c>
      <c r="D717" s="56" t="str">
        <f aca="false">IF(INDEX(BookTitle,712)="","",INDEX(BookTotal,712)*'5. Scenarios'!$B$6/(1+ProductivityDefault*('5. Scenarios'!$B$11-1)))</f>
        <v/>
      </c>
      <c r="E717" s="57" t="str">
        <f aca="false">IF($D717="","",INDEX(BookRate,712)*(1+'5. Scenarios'!$B$10)*$D717)</f>
        <v/>
      </c>
      <c r="F717" s="57" t="str">
        <f aca="false">IF($E717="","",SUMIFS($E$6:$E$2405,$A$6:$A$2405,"&lt;="&amp;$A717))</f>
        <v/>
      </c>
      <c r="G717" s="57" t="str">
        <f aca="false">IF($E717="","",IF($F717&lt;=BankCostEnvelope*'5. Scenarios'!$B$7,1,0))</f>
        <v/>
      </c>
      <c r="H717" s="57" t="str">
        <f aca="false">IF($D717="","",INDEX(BookRate,712)*(1+'5. Scenarios'!$B$10)*(INDEX(BookQ1,712)*(5-MIN(4,1+'5. Scenarios'!$B$8))/4+INDEX(BookQ2,712)*(5-MIN(4,2+'5. Scenarios'!$B$8))/4+INDEX(BookQ3,712)*(5-MIN(4,3+'5. Scenarios'!$B$8))/4+INDEX(BookQ4,712)*(5-MIN(4,4+'5. Scenarios'!$B$8))/4)*'5. Scenarios'!$B$6/(1+ProductivityDefault*('5. Scenarios'!$B$11-1))+INDEX(BookOneOff,712)*$D717)</f>
        <v/>
      </c>
      <c r="I717" s="56" t="str">
        <f aca="false">IF(INDEX(BookTitle,712)="","",INDEX(BookTotal,712)*'5. Scenarios'!$C$6/(1+ProductivityDefault*('5. Scenarios'!$C$11-1)))</f>
        <v/>
      </c>
      <c r="J717" s="57" t="str">
        <f aca="false">IF($I717="","",INDEX(BookRate,712)*(1+'5. Scenarios'!$C$10)*$I717)</f>
        <v/>
      </c>
      <c r="K717" s="57" t="str">
        <f aca="false">IF($J717="","",SUMIFS($J$6:$J$2405,$A$6:$A$2405,"&lt;="&amp;$A717))</f>
        <v/>
      </c>
      <c r="L717" s="57" t="str">
        <f aca="false">IF($J717="","",IF($K717&lt;=BankCostEnvelope*'5. Scenarios'!$C$7,1,0))</f>
        <v/>
      </c>
      <c r="M717" s="57" t="str">
        <f aca="false">IF($I717="","",INDEX(BookRate,712)*(1+'5. Scenarios'!$C$10)*(INDEX(BookQ1,712)*(5-MIN(4,1+'5. Scenarios'!$C$8))/4+INDEX(BookQ2,712)*(5-MIN(4,2+'5. Scenarios'!$C$8))/4+INDEX(BookQ3,712)*(5-MIN(4,3+'5. Scenarios'!$C$8))/4+INDEX(BookQ4,712)*(5-MIN(4,4+'5. Scenarios'!$C$8))/4)*'5. Scenarios'!$C$6/(1+ProductivityDefault*('5. Scenarios'!$C$11-1))+INDEX(BookOneOff,712)*$I717)</f>
        <v/>
      </c>
      <c r="N717" s="56" t="str">
        <f aca="false">IF(INDEX(BookTitle,712)="","",INDEX(BookTotal,712)*'5. Scenarios'!$D$6/(1+ProductivityDefault*('5. Scenarios'!$D$11-1)))</f>
        <v/>
      </c>
      <c r="O717" s="57" t="str">
        <f aca="false">IF($N717="","",INDEX(BookRate,712)*(1+'5. Scenarios'!$D$10)*$N717)</f>
        <v/>
      </c>
      <c r="P717" s="57" t="str">
        <f aca="false">IF($O717="","",SUMIFS($O$6:$O$2405,$A$6:$A$2405,"&lt;="&amp;$A717))</f>
        <v/>
      </c>
      <c r="Q717" s="57" t="str">
        <f aca="false">IF($O717="","",IF($P717&lt;=BankCostEnvelope*'5. Scenarios'!$D$7,1,0))</f>
        <v/>
      </c>
      <c r="R717" s="57" t="str">
        <f aca="false">IF($N717="","",INDEX(BookRate,712)*(1+'5. Scenarios'!$D$10)*(INDEX(BookQ1,712)*(5-MIN(4,1+'5. Scenarios'!$D$8))/4+INDEX(BookQ2,712)*(5-MIN(4,2+'5. Scenarios'!$D$8))/4+INDEX(BookQ3,712)*(5-MIN(4,3+'5. Scenarios'!$D$8))/4+INDEX(BookQ4,712)*(5-MIN(4,4+'5. Scenarios'!$D$8))/4)*'5. Scenarios'!$D$6/(1+ProductivityDefault*('5. Scenarios'!$D$11-1))+INDEX(BookOneOff,712)*$N717)</f>
        <v/>
      </c>
      <c r="S717" s="56" t="str">
        <f aca="false">IF(INDEX(BookTitle,712)="","",INDEX(BookTotal,712)*'5. Scenarios'!$E$6/(1+ProductivityDefault*('5. Scenarios'!$E$11-1)))</f>
        <v/>
      </c>
      <c r="T717" s="57" t="str">
        <f aca="false">IF($S717="","",INDEX(BookRate,712)*(1+'5. Scenarios'!$E$10)*$S717)</f>
        <v/>
      </c>
      <c r="U717" s="57" t="str">
        <f aca="false">IF($T717="","",SUMIFS($T$6:$T$2405,$A$6:$A$2405,"&lt;="&amp;$A717))</f>
        <v/>
      </c>
      <c r="V717" s="57" t="str">
        <f aca="false">IF($T717="","",IF($U717&lt;=BankCostEnvelope*'5. Scenarios'!$E$7,1,0))</f>
        <v/>
      </c>
      <c r="W717" s="57" t="str">
        <f aca="false">IF($S717="","",INDEX(BookRate,712)*(1+'5. Scenarios'!$E$10)*(INDEX(BookQ1,712)*(5-MIN(4,1+'5. Scenarios'!$E$8))/4+INDEX(BookQ2,712)*(5-MIN(4,2+'5. Scenarios'!$E$8))/4+INDEX(BookQ3,712)*(5-MIN(4,3+'5. Scenarios'!$E$8))/4+INDEX(BookQ4,712)*(5-MIN(4,4+'5. Scenarios'!$E$8))/4)*'5. Scenarios'!$E$6/(1+ProductivityDefault*('5. Scenarios'!$E$11-1))+INDEX(BookOneOff,712)*$S717)</f>
        <v/>
      </c>
    </row>
    <row r="718" customFormat="false" ht="15" hidden="false" customHeight="false" outlineLevel="0" collapsed="false">
      <c r="A718" s="0" t="str">
        <f aca="false">IF(INDEX(BookTitle,713)="","",INDEX(BookKey,713))</f>
        <v/>
      </c>
      <c r="B718" s="0" t="str">
        <f aca="false">IF(INDEX(BookTitle,713)="","",INDEX(BookGroup,713))</f>
        <v/>
      </c>
      <c r="C718" s="0" t="str">
        <f aca="false">IF(INDEX(BookTitle,713)="","",INDEX(BookCategory,713))</f>
        <v/>
      </c>
      <c r="D718" s="56" t="str">
        <f aca="false">IF(INDEX(BookTitle,713)="","",INDEX(BookTotal,713)*'5. Scenarios'!$B$6/(1+ProductivityDefault*('5. Scenarios'!$B$11-1)))</f>
        <v/>
      </c>
      <c r="E718" s="57" t="str">
        <f aca="false">IF($D718="","",INDEX(BookRate,713)*(1+'5. Scenarios'!$B$10)*$D718)</f>
        <v/>
      </c>
      <c r="F718" s="57" t="str">
        <f aca="false">IF($E718="","",SUMIFS($E$6:$E$2405,$A$6:$A$2405,"&lt;="&amp;$A718))</f>
        <v/>
      </c>
      <c r="G718" s="57" t="str">
        <f aca="false">IF($E718="","",IF($F718&lt;=BankCostEnvelope*'5. Scenarios'!$B$7,1,0))</f>
        <v/>
      </c>
      <c r="H718" s="57" t="str">
        <f aca="false">IF($D718="","",INDEX(BookRate,713)*(1+'5. Scenarios'!$B$10)*(INDEX(BookQ1,713)*(5-MIN(4,1+'5. Scenarios'!$B$8))/4+INDEX(BookQ2,713)*(5-MIN(4,2+'5. Scenarios'!$B$8))/4+INDEX(BookQ3,713)*(5-MIN(4,3+'5. Scenarios'!$B$8))/4+INDEX(BookQ4,713)*(5-MIN(4,4+'5. Scenarios'!$B$8))/4)*'5. Scenarios'!$B$6/(1+ProductivityDefault*('5. Scenarios'!$B$11-1))+INDEX(BookOneOff,713)*$D718)</f>
        <v/>
      </c>
      <c r="I718" s="56" t="str">
        <f aca="false">IF(INDEX(BookTitle,713)="","",INDEX(BookTotal,713)*'5. Scenarios'!$C$6/(1+ProductivityDefault*('5. Scenarios'!$C$11-1)))</f>
        <v/>
      </c>
      <c r="J718" s="57" t="str">
        <f aca="false">IF($I718="","",INDEX(BookRate,713)*(1+'5. Scenarios'!$C$10)*$I718)</f>
        <v/>
      </c>
      <c r="K718" s="57" t="str">
        <f aca="false">IF($J718="","",SUMIFS($J$6:$J$2405,$A$6:$A$2405,"&lt;="&amp;$A718))</f>
        <v/>
      </c>
      <c r="L718" s="57" t="str">
        <f aca="false">IF($J718="","",IF($K718&lt;=BankCostEnvelope*'5. Scenarios'!$C$7,1,0))</f>
        <v/>
      </c>
      <c r="M718" s="57" t="str">
        <f aca="false">IF($I718="","",INDEX(BookRate,713)*(1+'5. Scenarios'!$C$10)*(INDEX(BookQ1,713)*(5-MIN(4,1+'5. Scenarios'!$C$8))/4+INDEX(BookQ2,713)*(5-MIN(4,2+'5. Scenarios'!$C$8))/4+INDEX(BookQ3,713)*(5-MIN(4,3+'5. Scenarios'!$C$8))/4+INDEX(BookQ4,713)*(5-MIN(4,4+'5. Scenarios'!$C$8))/4)*'5. Scenarios'!$C$6/(1+ProductivityDefault*('5. Scenarios'!$C$11-1))+INDEX(BookOneOff,713)*$I718)</f>
        <v/>
      </c>
      <c r="N718" s="56" t="str">
        <f aca="false">IF(INDEX(BookTitle,713)="","",INDEX(BookTotal,713)*'5. Scenarios'!$D$6/(1+ProductivityDefault*('5. Scenarios'!$D$11-1)))</f>
        <v/>
      </c>
      <c r="O718" s="57" t="str">
        <f aca="false">IF($N718="","",INDEX(BookRate,713)*(1+'5. Scenarios'!$D$10)*$N718)</f>
        <v/>
      </c>
      <c r="P718" s="57" t="str">
        <f aca="false">IF($O718="","",SUMIFS($O$6:$O$2405,$A$6:$A$2405,"&lt;="&amp;$A718))</f>
        <v/>
      </c>
      <c r="Q718" s="57" t="str">
        <f aca="false">IF($O718="","",IF($P718&lt;=BankCostEnvelope*'5. Scenarios'!$D$7,1,0))</f>
        <v/>
      </c>
      <c r="R718" s="57" t="str">
        <f aca="false">IF($N718="","",INDEX(BookRate,713)*(1+'5. Scenarios'!$D$10)*(INDEX(BookQ1,713)*(5-MIN(4,1+'5. Scenarios'!$D$8))/4+INDEX(BookQ2,713)*(5-MIN(4,2+'5. Scenarios'!$D$8))/4+INDEX(BookQ3,713)*(5-MIN(4,3+'5. Scenarios'!$D$8))/4+INDEX(BookQ4,713)*(5-MIN(4,4+'5. Scenarios'!$D$8))/4)*'5. Scenarios'!$D$6/(1+ProductivityDefault*('5. Scenarios'!$D$11-1))+INDEX(BookOneOff,713)*$N718)</f>
        <v/>
      </c>
      <c r="S718" s="56" t="str">
        <f aca="false">IF(INDEX(BookTitle,713)="","",INDEX(BookTotal,713)*'5. Scenarios'!$E$6/(1+ProductivityDefault*('5. Scenarios'!$E$11-1)))</f>
        <v/>
      </c>
      <c r="T718" s="57" t="str">
        <f aca="false">IF($S718="","",INDEX(BookRate,713)*(1+'5. Scenarios'!$E$10)*$S718)</f>
        <v/>
      </c>
      <c r="U718" s="57" t="str">
        <f aca="false">IF($T718="","",SUMIFS($T$6:$T$2405,$A$6:$A$2405,"&lt;="&amp;$A718))</f>
        <v/>
      </c>
      <c r="V718" s="57" t="str">
        <f aca="false">IF($T718="","",IF($U718&lt;=BankCostEnvelope*'5. Scenarios'!$E$7,1,0))</f>
        <v/>
      </c>
      <c r="W718" s="57" t="str">
        <f aca="false">IF($S718="","",INDEX(BookRate,713)*(1+'5. Scenarios'!$E$10)*(INDEX(BookQ1,713)*(5-MIN(4,1+'5. Scenarios'!$E$8))/4+INDEX(BookQ2,713)*(5-MIN(4,2+'5. Scenarios'!$E$8))/4+INDEX(BookQ3,713)*(5-MIN(4,3+'5. Scenarios'!$E$8))/4+INDEX(BookQ4,713)*(5-MIN(4,4+'5. Scenarios'!$E$8))/4)*'5. Scenarios'!$E$6/(1+ProductivityDefault*('5. Scenarios'!$E$11-1))+INDEX(BookOneOff,713)*$S718)</f>
        <v/>
      </c>
    </row>
    <row r="719" customFormat="false" ht="15" hidden="false" customHeight="false" outlineLevel="0" collapsed="false">
      <c r="A719" s="0" t="str">
        <f aca="false">IF(INDEX(BookTitle,714)="","",INDEX(BookKey,714))</f>
        <v/>
      </c>
      <c r="B719" s="0" t="str">
        <f aca="false">IF(INDEX(BookTitle,714)="","",INDEX(BookGroup,714))</f>
        <v/>
      </c>
      <c r="C719" s="0" t="str">
        <f aca="false">IF(INDEX(BookTitle,714)="","",INDEX(BookCategory,714))</f>
        <v/>
      </c>
      <c r="D719" s="56" t="str">
        <f aca="false">IF(INDEX(BookTitle,714)="","",INDEX(BookTotal,714)*'5. Scenarios'!$B$6/(1+ProductivityDefault*('5. Scenarios'!$B$11-1)))</f>
        <v/>
      </c>
      <c r="E719" s="57" t="str">
        <f aca="false">IF($D719="","",INDEX(BookRate,714)*(1+'5. Scenarios'!$B$10)*$D719)</f>
        <v/>
      </c>
      <c r="F719" s="57" t="str">
        <f aca="false">IF($E719="","",SUMIFS($E$6:$E$2405,$A$6:$A$2405,"&lt;="&amp;$A719))</f>
        <v/>
      </c>
      <c r="G719" s="57" t="str">
        <f aca="false">IF($E719="","",IF($F719&lt;=BankCostEnvelope*'5. Scenarios'!$B$7,1,0))</f>
        <v/>
      </c>
      <c r="H719" s="57" t="str">
        <f aca="false">IF($D719="","",INDEX(BookRate,714)*(1+'5. Scenarios'!$B$10)*(INDEX(BookQ1,714)*(5-MIN(4,1+'5. Scenarios'!$B$8))/4+INDEX(BookQ2,714)*(5-MIN(4,2+'5. Scenarios'!$B$8))/4+INDEX(BookQ3,714)*(5-MIN(4,3+'5. Scenarios'!$B$8))/4+INDEX(BookQ4,714)*(5-MIN(4,4+'5. Scenarios'!$B$8))/4)*'5. Scenarios'!$B$6/(1+ProductivityDefault*('5. Scenarios'!$B$11-1))+INDEX(BookOneOff,714)*$D719)</f>
        <v/>
      </c>
      <c r="I719" s="56" t="str">
        <f aca="false">IF(INDEX(BookTitle,714)="","",INDEX(BookTotal,714)*'5. Scenarios'!$C$6/(1+ProductivityDefault*('5. Scenarios'!$C$11-1)))</f>
        <v/>
      </c>
      <c r="J719" s="57" t="str">
        <f aca="false">IF($I719="","",INDEX(BookRate,714)*(1+'5. Scenarios'!$C$10)*$I719)</f>
        <v/>
      </c>
      <c r="K719" s="57" t="str">
        <f aca="false">IF($J719="","",SUMIFS($J$6:$J$2405,$A$6:$A$2405,"&lt;="&amp;$A719))</f>
        <v/>
      </c>
      <c r="L719" s="57" t="str">
        <f aca="false">IF($J719="","",IF($K719&lt;=BankCostEnvelope*'5. Scenarios'!$C$7,1,0))</f>
        <v/>
      </c>
      <c r="M719" s="57" t="str">
        <f aca="false">IF($I719="","",INDEX(BookRate,714)*(1+'5. Scenarios'!$C$10)*(INDEX(BookQ1,714)*(5-MIN(4,1+'5. Scenarios'!$C$8))/4+INDEX(BookQ2,714)*(5-MIN(4,2+'5. Scenarios'!$C$8))/4+INDEX(BookQ3,714)*(5-MIN(4,3+'5. Scenarios'!$C$8))/4+INDEX(BookQ4,714)*(5-MIN(4,4+'5. Scenarios'!$C$8))/4)*'5. Scenarios'!$C$6/(1+ProductivityDefault*('5. Scenarios'!$C$11-1))+INDEX(BookOneOff,714)*$I719)</f>
        <v/>
      </c>
      <c r="N719" s="56" t="str">
        <f aca="false">IF(INDEX(BookTitle,714)="","",INDEX(BookTotal,714)*'5. Scenarios'!$D$6/(1+ProductivityDefault*('5. Scenarios'!$D$11-1)))</f>
        <v/>
      </c>
      <c r="O719" s="57" t="str">
        <f aca="false">IF($N719="","",INDEX(BookRate,714)*(1+'5. Scenarios'!$D$10)*$N719)</f>
        <v/>
      </c>
      <c r="P719" s="57" t="str">
        <f aca="false">IF($O719="","",SUMIFS($O$6:$O$2405,$A$6:$A$2405,"&lt;="&amp;$A719))</f>
        <v/>
      </c>
      <c r="Q719" s="57" t="str">
        <f aca="false">IF($O719="","",IF($P719&lt;=BankCostEnvelope*'5. Scenarios'!$D$7,1,0))</f>
        <v/>
      </c>
      <c r="R719" s="57" t="str">
        <f aca="false">IF($N719="","",INDEX(BookRate,714)*(1+'5. Scenarios'!$D$10)*(INDEX(BookQ1,714)*(5-MIN(4,1+'5. Scenarios'!$D$8))/4+INDEX(BookQ2,714)*(5-MIN(4,2+'5. Scenarios'!$D$8))/4+INDEX(BookQ3,714)*(5-MIN(4,3+'5. Scenarios'!$D$8))/4+INDEX(BookQ4,714)*(5-MIN(4,4+'5. Scenarios'!$D$8))/4)*'5. Scenarios'!$D$6/(1+ProductivityDefault*('5. Scenarios'!$D$11-1))+INDEX(BookOneOff,714)*$N719)</f>
        <v/>
      </c>
      <c r="S719" s="56" t="str">
        <f aca="false">IF(INDEX(BookTitle,714)="","",INDEX(BookTotal,714)*'5. Scenarios'!$E$6/(1+ProductivityDefault*('5. Scenarios'!$E$11-1)))</f>
        <v/>
      </c>
      <c r="T719" s="57" t="str">
        <f aca="false">IF($S719="","",INDEX(BookRate,714)*(1+'5. Scenarios'!$E$10)*$S719)</f>
        <v/>
      </c>
      <c r="U719" s="57" t="str">
        <f aca="false">IF($T719="","",SUMIFS($T$6:$T$2405,$A$6:$A$2405,"&lt;="&amp;$A719))</f>
        <v/>
      </c>
      <c r="V719" s="57" t="str">
        <f aca="false">IF($T719="","",IF($U719&lt;=BankCostEnvelope*'5. Scenarios'!$E$7,1,0))</f>
        <v/>
      </c>
      <c r="W719" s="57" t="str">
        <f aca="false">IF($S719="","",INDEX(BookRate,714)*(1+'5. Scenarios'!$E$10)*(INDEX(BookQ1,714)*(5-MIN(4,1+'5. Scenarios'!$E$8))/4+INDEX(BookQ2,714)*(5-MIN(4,2+'5. Scenarios'!$E$8))/4+INDEX(BookQ3,714)*(5-MIN(4,3+'5. Scenarios'!$E$8))/4+INDEX(BookQ4,714)*(5-MIN(4,4+'5. Scenarios'!$E$8))/4)*'5. Scenarios'!$E$6/(1+ProductivityDefault*('5. Scenarios'!$E$11-1))+INDEX(BookOneOff,714)*$S719)</f>
        <v/>
      </c>
    </row>
    <row r="720" customFormat="false" ht="15" hidden="false" customHeight="false" outlineLevel="0" collapsed="false">
      <c r="A720" s="0" t="str">
        <f aca="false">IF(INDEX(BookTitle,715)="","",INDEX(BookKey,715))</f>
        <v/>
      </c>
      <c r="B720" s="0" t="str">
        <f aca="false">IF(INDEX(BookTitle,715)="","",INDEX(BookGroup,715))</f>
        <v/>
      </c>
      <c r="C720" s="0" t="str">
        <f aca="false">IF(INDEX(BookTitle,715)="","",INDEX(BookCategory,715))</f>
        <v/>
      </c>
      <c r="D720" s="56" t="str">
        <f aca="false">IF(INDEX(BookTitle,715)="","",INDEX(BookTotal,715)*'5. Scenarios'!$B$6/(1+ProductivityDefault*('5. Scenarios'!$B$11-1)))</f>
        <v/>
      </c>
      <c r="E720" s="57" t="str">
        <f aca="false">IF($D720="","",INDEX(BookRate,715)*(1+'5. Scenarios'!$B$10)*$D720)</f>
        <v/>
      </c>
      <c r="F720" s="57" t="str">
        <f aca="false">IF($E720="","",SUMIFS($E$6:$E$2405,$A$6:$A$2405,"&lt;="&amp;$A720))</f>
        <v/>
      </c>
      <c r="G720" s="57" t="str">
        <f aca="false">IF($E720="","",IF($F720&lt;=BankCostEnvelope*'5. Scenarios'!$B$7,1,0))</f>
        <v/>
      </c>
      <c r="H720" s="57" t="str">
        <f aca="false">IF($D720="","",INDEX(BookRate,715)*(1+'5. Scenarios'!$B$10)*(INDEX(BookQ1,715)*(5-MIN(4,1+'5. Scenarios'!$B$8))/4+INDEX(BookQ2,715)*(5-MIN(4,2+'5. Scenarios'!$B$8))/4+INDEX(BookQ3,715)*(5-MIN(4,3+'5. Scenarios'!$B$8))/4+INDEX(BookQ4,715)*(5-MIN(4,4+'5. Scenarios'!$B$8))/4)*'5. Scenarios'!$B$6/(1+ProductivityDefault*('5. Scenarios'!$B$11-1))+INDEX(BookOneOff,715)*$D720)</f>
        <v/>
      </c>
      <c r="I720" s="56" t="str">
        <f aca="false">IF(INDEX(BookTitle,715)="","",INDEX(BookTotal,715)*'5. Scenarios'!$C$6/(1+ProductivityDefault*('5. Scenarios'!$C$11-1)))</f>
        <v/>
      </c>
      <c r="J720" s="57" t="str">
        <f aca="false">IF($I720="","",INDEX(BookRate,715)*(1+'5. Scenarios'!$C$10)*$I720)</f>
        <v/>
      </c>
      <c r="K720" s="57" t="str">
        <f aca="false">IF($J720="","",SUMIFS($J$6:$J$2405,$A$6:$A$2405,"&lt;="&amp;$A720))</f>
        <v/>
      </c>
      <c r="L720" s="57" t="str">
        <f aca="false">IF($J720="","",IF($K720&lt;=BankCostEnvelope*'5. Scenarios'!$C$7,1,0))</f>
        <v/>
      </c>
      <c r="M720" s="57" t="str">
        <f aca="false">IF($I720="","",INDEX(BookRate,715)*(1+'5. Scenarios'!$C$10)*(INDEX(BookQ1,715)*(5-MIN(4,1+'5. Scenarios'!$C$8))/4+INDEX(BookQ2,715)*(5-MIN(4,2+'5. Scenarios'!$C$8))/4+INDEX(BookQ3,715)*(5-MIN(4,3+'5. Scenarios'!$C$8))/4+INDEX(BookQ4,715)*(5-MIN(4,4+'5. Scenarios'!$C$8))/4)*'5. Scenarios'!$C$6/(1+ProductivityDefault*('5. Scenarios'!$C$11-1))+INDEX(BookOneOff,715)*$I720)</f>
        <v/>
      </c>
      <c r="N720" s="56" t="str">
        <f aca="false">IF(INDEX(BookTitle,715)="","",INDEX(BookTotal,715)*'5. Scenarios'!$D$6/(1+ProductivityDefault*('5. Scenarios'!$D$11-1)))</f>
        <v/>
      </c>
      <c r="O720" s="57" t="str">
        <f aca="false">IF($N720="","",INDEX(BookRate,715)*(1+'5. Scenarios'!$D$10)*$N720)</f>
        <v/>
      </c>
      <c r="P720" s="57" t="str">
        <f aca="false">IF($O720="","",SUMIFS($O$6:$O$2405,$A$6:$A$2405,"&lt;="&amp;$A720))</f>
        <v/>
      </c>
      <c r="Q720" s="57" t="str">
        <f aca="false">IF($O720="","",IF($P720&lt;=BankCostEnvelope*'5. Scenarios'!$D$7,1,0))</f>
        <v/>
      </c>
      <c r="R720" s="57" t="str">
        <f aca="false">IF($N720="","",INDEX(BookRate,715)*(1+'5. Scenarios'!$D$10)*(INDEX(BookQ1,715)*(5-MIN(4,1+'5. Scenarios'!$D$8))/4+INDEX(BookQ2,715)*(5-MIN(4,2+'5. Scenarios'!$D$8))/4+INDEX(BookQ3,715)*(5-MIN(4,3+'5. Scenarios'!$D$8))/4+INDEX(BookQ4,715)*(5-MIN(4,4+'5. Scenarios'!$D$8))/4)*'5. Scenarios'!$D$6/(1+ProductivityDefault*('5. Scenarios'!$D$11-1))+INDEX(BookOneOff,715)*$N720)</f>
        <v/>
      </c>
      <c r="S720" s="56" t="str">
        <f aca="false">IF(INDEX(BookTitle,715)="","",INDEX(BookTotal,715)*'5. Scenarios'!$E$6/(1+ProductivityDefault*('5. Scenarios'!$E$11-1)))</f>
        <v/>
      </c>
      <c r="T720" s="57" t="str">
        <f aca="false">IF($S720="","",INDEX(BookRate,715)*(1+'5. Scenarios'!$E$10)*$S720)</f>
        <v/>
      </c>
      <c r="U720" s="57" t="str">
        <f aca="false">IF($T720="","",SUMIFS($T$6:$T$2405,$A$6:$A$2405,"&lt;="&amp;$A720))</f>
        <v/>
      </c>
      <c r="V720" s="57" t="str">
        <f aca="false">IF($T720="","",IF($U720&lt;=BankCostEnvelope*'5. Scenarios'!$E$7,1,0))</f>
        <v/>
      </c>
      <c r="W720" s="57" t="str">
        <f aca="false">IF($S720="","",INDEX(BookRate,715)*(1+'5. Scenarios'!$E$10)*(INDEX(BookQ1,715)*(5-MIN(4,1+'5. Scenarios'!$E$8))/4+INDEX(BookQ2,715)*(5-MIN(4,2+'5. Scenarios'!$E$8))/4+INDEX(BookQ3,715)*(5-MIN(4,3+'5. Scenarios'!$E$8))/4+INDEX(BookQ4,715)*(5-MIN(4,4+'5. Scenarios'!$E$8))/4)*'5. Scenarios'!$E$6/(1+ProductivityDefault*('5. Scenarios'!$E$11-1))+INDEX(BookOneOff,715)*$S720)</f>
        <v/>
      </c>
    </row>
    <row r="721" customFormat="false" ht="15" hidden="false" customHeight="false" outlineLevel="0" collapsed="false">
      <c r="A721" s="0" t="str">
        <f aca="false">IF(INDEX(BookTitle,716)="","",INDEX(BookKey,716))</f>
        <v/>
      </c>
      <c r="B721" s="0" t="str">
        <f aca="false">IF(INDEX(BookTitle,716)="","",INDEX(BookGroup,716))</f>
        <v/>
      </c>
      <c r="C721" s="0" t="str">
        <f aca="false">IF(INDEX(BookTitle,716)="","",INDEX(BookCategory,716))</f>
        <v/>
      </c>
      <c r="D721" s="56" t="str">
        <f aca="false">IF(INDEX(BookTitle,716)="","",INDEX(BookTotal,716)*'5. Scenarios'!$B$6/(1+ProductivityDefault*('5. Scenarios'!$B$11-1)))</f>
        <v/>
      </c>
      <c r="E721" s="57" t="str">
        <f aca="false">IF($D721="","",INDEX(BookRate,716)*(1+'5. Scenarios'!$B$10)*$D721)</f>
        <v/>
      </c>
      <c r="F721" s="57" t="str">
        <f aca="false">IF($E721="","",SUMIFS($E$6:$E$2405,$A$6:$A$2405,"&lt;="&amp;$A721))</f>
        <v/>
      </c>
      <c r="G721" s="57" t="str">
        <f aca="false">IF($E721="","",IF($F721&lt;=BankCostEnvelope*'5. Scenarios'!$B$7,1,0))</f>
        <v/>
      </c>
      <c r="H721" s="57" t="str">
        <f aca="false">IF($D721="","",INDEX(BookRate,716)*(1+'5. Scenarios'!$B$10)*(INDEX(BookQ1,716)*(5-MIN(4,1+'5. Scenarios'!$B$8))/4+INDEX(BookQ2,716)*(5-MIN(4,2+'5. Scenarios'!$B$8))/4+INDEX(BookQ3,716)*(5-MIN(4,3+'5. Scenarios'!$B$8))/4+INDEX(BookQ4,716)*(5-MIN(4,4+'5. Scenarios'!$B$8))/4)*'5. Scenarios'!$B$6/(1+ProductivityDefault*('5. Scenarios'!$B$11-1))+INDEX(BookOneOff,716)*$D721)</f>
        <v/>
      </c>
      <c r="I721" s="56" t="str">
        <f aca="false">IF(INDEX(BookTitle,716)="","",INDEX(BookTotal,716)*'5. Scenarios'!$C$6/(1+ProductivityDefault*('5. Scenarios'!$C$11-1)))</f>
        <v/>
      </c>
      <c r="J721" s="57" t="str">
        <f aca="false">IF($I721="","",INDEX(BookRate,716)*(1+'5. Scenarios'!$C$10)*$I721)</f>
        <v/>
      </c>
      <c r="K721" s="57" t="str">
        <f aca="false">IF($J721="","",SUMIFS($J$6:$J$2405,$A$6:$A$2405,"&lt;="&amp;$A721))</f>
        <v/>
      </c>
      <c r="L721" s="57" t="str">
        <f aca="false">IF($J721="","",IF($K721&lt;=BankCostEnvelope*'5. Scenarios'!$C$7,1,0))</f>
        <v/>
      </c>
      <c r="M721" s="57" t="str">
        <f aca="false">IF($I721="","",INDEX(BookRate,716)*(1+'5. Scenarios'!$C$10)*(INDEX(BookQ1,716)*(5-MIN(4,1+'5. Scenarios'!$C$8))/4+INDEX(BookQ2,716)*(5-MIN(4,2+'5. Scenarios'!$C$8))/4+INDEX(BookQ3,716)*(5-MIN(4,3+'5. Scenarios'!$C$8))/4+INDEX(BookQ4,716)*(5-MIN(4,4+'5. Scenarios'!$C$8))/4)*'5. Scenarios'!$C$6/(1+ProductivityDefault*('5. Scenarios'!$C$11-1))+INDEX(BookOneOff,716)*$I721)</f>
        <v/>
      </c>
      <c r="N721" s="56" t="str">
        <f aca="false">IF(INDEX(BookTitle,716)="","",INDEX(BookTotal,716)*'5. Scenarios'!$D$6/(1+ProductivityDefault*('5. Scenarios'!$D$11-1)))</f>
        <v/>
      </c>
      <c r="O721" s="57" t="str">
        <f aca="false">IF($N721="","",INDEX(BookRate,716)*(1+'5. Scenarios'!$D$10)*$N721)</f>
        <v/>
      </c>
      <c r="P721" s="57" t="str">
        <f aca="false">IF($O721="","",SUMIFS($O$6:$O$2405,$A$6:$A$2405,"&lt;="&amp;$A721))</f>
        <v/>
      </c>
      <c r="Q721" s="57" t="str">
        <f aca="false">IF($O721="","",IF($P721&lt;=BankCostEnvelope*'5. Scenarios'!$D$7,1,0))</f>
        <v/>
      </c>
      <c r="R721" s="57" t="str">
        <f aca="false">IF($N721="","",INDEX(BookRate,716)*(1+'5. Scenarios'!$D$10)*(INDEX(BookQ1,716)*(5-MIN(4,1+'5. Scenarios'!$D$8))/4+INDEX(BookQ2,716)*(5-MIN(4,2+'5. Scenarios'!$D$8))/4+INDEX(BookQ3,716)*(5-MIN(4,3+'5. Scenarios'!$D$8))/4+INDEX(BookQ4,716)*(5-MIN(4,4+'5. Scenarios'!$D$8))/4)*'5. Scenarios'!$D$6/(1+ProductivityDefault*('5. Scenarios'!$D$11-1))+INDEX(BookOneOff,716)*$N721)</f>
        <v/>
      </c>
      <c r="S721" s="56" t="str">
        <f aca="false">IF(INDEX(BookTitle,716)="","",INDEX(BookTotal,716)*'5. Scenarios'!$E$6/(1+ProductivityDefault*('5. Scenarios'!$E$11-1)))</f>
        <v/>
      </c>
      <c r="T721" s="57" t="str">
        <f aca="false">IF($S721="","",INDEX(BookRate,716)*(1+'5. Scenarios'!$E$10)*$S721)</f>
        <v/>
      </c>
      <c r="U721" s="57" t="str">
        <f aca="false">IF($T721="","",SUMIFS($T$6:$T$2405,$A$6:$A$2405,"&lt;="&amp;$A721))</f>
        <v/>
      </c>
      <c r="V721" s="57" t="str">
        <f aca="false">IF($T721="","",IF($U721&lt;=BankCostEnvelope*'5. Scenarios'!$E$7,1,0))</f>
        <v/>
      </c>
      <c r="W721" s="57" t="str">
        <f aca="false">IF($S721="","",INDEX(BookRate,716)*(1+'5. Scenarios'!$E$10)*(INDEX(BookQ1,716)*(5-MIN(4,1+'5. Scenarios'!$E$8))/4+INDEX(BookQ2,716)*(5-MIN(4,2+'5. Scenarios'!$E$8))/4+INDEX(BookQ3,716)*(5-MIN(4,3+'5. Scenarios'!$E$8))/4+INDEX(BookQ4,716)*(5-MIN(4,4+'5. Scenarios'!$E$8))/4)*'5. Scenarios'!$E$6/(1+ProductivityDefault*('5. Scenarios'!$E$11-1))+INDEX(BookOneOff,716)*$S721)</f>
        <v/>
      </c>
    </row>
    <row r="722" customFormat="false" ht="15" hidden="false" customHeight="false" outlineLevel="0" collapsed="false">
      <c r="A722" s="0" t="str">
        <f aca="false">IF(INDEX(BookTitle,717)="","",INDEX(BookKey,717))</f>
        <v/>
      </c>
      <c r="B722" s="0" t="str">
        <f aca="false">IF(INDEX(BookTitle,717)="","",INDEX(BookGroup,717))</f>
        <v/>
      </c>
      <c r="C722" s="0" t="str">
        <f aca="false">IF(INDEX(BookTitle,717)="","",INDEX(BookCategory,717))</f>
        <v/>
      </c>
      <c r="D722" s="56" t="str">
        <f aca="false">IF(INDEX(BookTitle,717)="","",INDEX(BookTotal,717)*'5. Scenarios'!$B$6/(1+ProductivityDefault*('5. Scenarios'!$B$11-1)))</f>
        <v/>
      </c>
      <c r="E722" s="57" t="str">
        <f aca="false">IF($D722="","",INDEX(BookRate,717)*(1+'5. Scenarios'!$B$10)*$D722)</f>
        <v/>
      </c>
      <c r="F722" s="57" t="str">
        <f aca="false">IF($E722="","",SUMIFS($E$6:$E$2405,$A$6:$A$2405,"&lt;="&amp;$A722))</f>
        <v/>
      </c>
      <c r="G722" s="57" t="str">
        <f aca="false">IF($E722="","",IF($F722&lt;=BankCostEnvelope*'5. Scenarios'!$B$7,1,0))</f>
        <v/>
      </c>
      <c r="H722" s="57" t="str">
        <f aca="false">IF($D722="","",INDEX(BookRate,717)*(1+'5. Scenarios'!$B$10)*(INDEX(BookQ1,717)*(5-MIN(4,1+'5. Scenarios'!$B$8))/4+INDEX(BookQ2,717)*(5-MIN(4,2+'5. Scenarios'!$B$8))/4+INDEX(BookQ3,717)*(5-MIN(4,3+'5. Scenarios'!$B$8))/4+INDEX(BookQ4,717)*(5-MIN(4,4+'5. Scenarios'!$B$8))/4)*'5. Scenarios'!$B$6/(1+ProductivityDefault*('5. Scenarios'!$B$11-1))+INDEX(BookOneOff,717)*$D722)</f>
        <v/>
      </c>
      <c r="I722" s="56" t="str">
        <f aca="false">IF(INDEX(BookTitle,717)="","",INDEX(BookTotal,717)*'5. Scenarios'!$C$6/(1+ProductivityDefault*('5. Scenarios'!$C$11-1)))</f>
        <v/>
      </c>
      <c r="J722" s="57" t="str">
        <f aca="false">IF($I722="","",INDEX(BookRate,717)*(1+'5. Scenarios'!$C$10)*$I722)</f>
        <v/>
      </c>
      <c r="K722" s="57" t="str">
        <f aca="false">IF($J722="","",SUMIFS($J$6:$J$2405,$A$6:$A$2405,"&lt;="&amp;$A722))</f>
        <v/>
      </c>
      <c r="L722" s="57" t="str">
        <f aca="false">IF($J722="","",IF($K722&lt;=BankCostEnvelope*'5. Scenarios'!$C$7,1,0))</f>
        <v/>
      </c>
      <c r="M722" s="57" t="str">
        <f aca="false">IF($I722="","",INDEX(BookRate,717)*(1+'5. Scenarios'!$C$10)*(INDEX(BookQ1,717)*(5-MIN(4,1+'5. Scenarios'!$C$8))/4+INDEX(BookQ2,717)*(5-MIN(4,2+'5. Scenarios'!$C$8))/4+INDEX(BookQ3,717)*(5-MIN(4,3+'5. Scenarios'!$C$8))/4+INDEX(BookQ4,717)*(5-MIN(4,4+'5. Scenarios'!$C$8))/4)*'5. Scenarios'!$C$6/(1+ProductivityDefault*('5. Scenarios'!$C$11-1))+INDEX(BookOneOff,717)*$I722)</f>
        <v/>
      </c>
      <c r="N722" s="56" t="str">
        <f aca="false">IF(INDEX(BookTitle,717)="","",INDEX(BookTotal,717)*'5. Scenarios'!$D$6/(1+ProductivityDefault*('5. Scenarios'!$D$11-1)))</f>
        <v/>
      </c>
      <c r="O722" s="57" t="str">
        <f aca="false">IF($N722="","",INDEX(BookRate,717)*(1+'5. Scenarios'!$D$10)*$N722)</f>
        <v/>
      </c>
      <c r="P722" s="57" t="str">
        <f aca="false">IF($O722="","",SUMIFS($O$6:$O$2405,$A$6:$A$2405,"&lt;="&amp;$A722))</f>
        <v/>
      </c>
      <c r="Q722" s="57" t="str">
        <f aca="false">IF($O722="","",IF($P722&lt;=BankCostEnvelope*'5. Scenarios'!$D$7,1,0))</f>
        <v/>
      </c>
      <c r="R722" s="57" t="str">
        <f aca="false">IF($N722="","",INDEX(BookRate,717)*(1+'5. Scenarios'!$D$10)*(INDEX(BookQ1,717)*(5-MIN(4,1+'5. Scenarios'!$D$8))/4+INDEX(BookQ2,717)*(5-MIN(4,2+'5. Scenarios'!$D$8))/4+INDEX(BookQ3,717)*(5-MIN(4,3+'5. Scenarios'!$D$8))/4+INDEX(BookQ4,717)*(5-MIN(4,4+'5. Scenarios'!$D$8))/4)*'5. Scenarios'!$D$6/(1+ProductivityDefault*('5. Scenarios'!$D$11-1))+INDEX(BookOneOff,717)*$N722)</f>
        <v/>
      </c>
      <c r="S722" s="56" t="str">
        <f aca="false">IF(INDEX(BookTitle,717)="","",INDEX(BookTotal,717)*'5. Scenarios'!$E$6/(1+ProductivityDefault*('5. Scenarios'!$E$11-1)))</f>
        <v/>
      </c>
      <c r="T722" s="57" t="str">
        <f aca="false">IF($S722="","",INDEX(BookRate,717)*(1+'5. Scenarios'!$E$10)*$S722)</f>
        <v/>
      </c>
      <c r="U722" s="57" t="str">
        <f aca="false">IF($T722="","",SUMIFS($T$6:$T$2405,$A$6:$A$2405,"&lt;="&amp;$A722))</f>
        <v/>
      </c>
      <c r="V722" s="57" t="str">
        <f aca="false">IF($T722="","",IF($U722&lt;=BankCostEnvelope*'5. Scenarios'!$E$7,1,0))</f>
        <v/>
      </c>
      <c r="W722" s="57" t="str">
        <f aca="false">IF($S722="","",INDEX(BookRate,717)*(1+'5. Scenarios'!$E$10)*(INDEX(BookQ1,717)*(5-MIN(4,1+'5. Scenarios'!$E$8))/4+INDEX(BookQ2,717)*(5-MIN(4,2+'5. Scenarios'!$E$8))/4+INDEX(BookQ3,717)*(5-MIN(4,3+'5. Scenarios'!$E$8))/4+INDEX(BookQ4,717)*(5-MIN(4,4+'5. Scenarios'!$E$8))/4)*'5. Scenarios'!$E$6/(1+ProductivityDefault*('5. Scenarios'!$E$11-1))+INDEX(BookOneOff,717)*$S722)</f>
        <v/>
      </c>
    </row>
    <row r="723" customFormat="false" ht="15" hidden="false" customHeight="false" outlineLevel="0" collapsed="false">
      <c r="A723" s="0" t="str">
        <f aca="false">IF(INDEX(BookTitle,718)="","",INDEX(BookKey,718))</f>
        <v/>
      </c>
      <c r="B723" s="0" t="str">
        <f aca="false">IF(INDEX(BookTitle,718)="","",INDEX(BookGroup,718))</f>
        <v/>
      </c>
      <c r="C723" s="0" t="str">
        <f aca="false">IF(INDEX(BookTitle,718)="","",INDEX(BookCategory,718))</f>
        <v/>
      </c>
      <c r="D723" s="56" t="str">
        <f aca="false">IF(INDEX(BookTitle,718)="","",INDEX(BookTotal,718)*'5. Scenarios'!$B$6/(1+ProductivityDefault*('5. Scenarios'!$B$11-1)))</f>
        <v/>
      </c>
      <c r="E723" s="57" t="str">
        <f aca="false">IF($D723="","",INDEX(BookRate,718)*(1+'5. Scenarios'!$B$10)*$D723)</f>
        <v/>
      </c>
      <c r="F723" s="57" t="str">
        <f aca="false">IF($E723="","",SUMIFS($E$6:$E$2405,$A$6:$A$2405,"&lt;="&amp;$A723))</f>
        <v/>
      </c>
      <c r="G723" s="57" t="str">
        <f aca="false">IF($E723="","",IF($F723&lt;=BankCostEnvelope*'5. Scenarios'!$B$7,1,0))</f>
        <v/>
      </c>
      <c r="H723" s="57" t="str">
        <f aca="false">IF($D723="","",INDEX(BookRate,718)*(1+'5. Scenarios'!$B$10)*(INDEX(BookQ1,718)*(5-MIN(4,1+'5. Scenarios'!$B$8))/4+INDEX(BookQ2,718)*(5-MIN(4,2+'5. Scenarios'!$B$8))/4+INDEX(BookQ3,718)*(5-MIN(4,3+'5. Scenarios'!$B$8))/4+INDEX(BookQ4,718)*(5-MIN(4,4+'5. Scenarios'!$B$8))/4)*'5. Scenarios'!$B$6/(1+ProductivityDefault*('5. Scenarios'!$B$11-1))+INDEX(BookOneOff,718)*$D723)</f>
        <v/>
      </c>
      <c r="I723" s="56" t="str">
        <f aca="false">IF(INDEX(BookTitle,718)="","",INDEX(BookTotal,718)*'5. Scenarios'!$C$6/(1+ProductivityDefault*('5. Scenarios'!$C$11-1)))</f>
        <v/>
      </c>
      <c r="J723" s="57" t="str">
        <f aca="false">IF($I723="","",INDEX(BookRate,718)*(1+'5. Scenarios'!$C$10)*$I723)</f>
        <v/>
      </c>
      <c r="K723" s="57" t="str">
        <f aca="false">IF($J723="","",SUMIFS($J$6:$J$2405,$A$6:$A$2405,"&lt;="&amp;$A723))</f>
        <v/>
      </c>
      <c r="L723" s="57" t="str">
        <f aca="false">IF($J723="","",IF($K723&lt;=BankCostEnvelope*'5. Scenarios'!$C$7,1,0))</f>
        <v/>
      </c>
      <c r="M723" s="57" t="str">
        <f aca="false">IF($I723="","",INDEX(BookRate,718)*(1+'5. Scenarios'!$C$10)*(INDEX(BookQ1,718)*(5-MIN(4,1+'5. Scenarios'!$C$8))/4+INDEX(BookQ2,718)*(5-MIN(4,2+'5. Scenarios'!$C$8))/4+INDEX(BookQ3,718)*(5-MIN(4,3+'5. Scenarios'!$C$8))/4+INDEX(BookQ4,718)*(5-MIN(4,4+'5. Scenarios'!$C$8))/4)*'5. Scenarios'!$C$6/(1+ProductivityDefault*('5. Scenarios'!$C$11-1))+INDEX(BookOneOff,718)*$I723)</f>
        <v/>
      </c>
      <c r="N723" s="56" t="str">
        <f aca="false">IF(INDEX(BookTitle,718)="","",INDEX(BookTotal,718)*'5. Scenarios'!$D$6/(1+ProductivityDefault*('5. Scenarios'!$D$11-1)))</f>
        <v/>
      </c>
      <c r="O723" s="57" t="str">
        <f aca="false">IF($N723="","",INDEX(BookRate,718)*(1+'5. Scenarios'!$D$10)*$N723)</f>
        <v/>
      </c>
      <c r="P723" s="57" t="str">
        <f aca="false">IF($O723="","",SUMIFS($O$6:$O$2405,$A$6:$A$2405,"&lt;="&amp;$A723))</f>
        <v/>
      </c>
      <c r="Q723" s="57" t="str">
        <f aca="false">IF($O723="","",IF($P723&lt;=BankCostEnvelope*'5. Scenarios'!$D$7,1,0))</f>
        <v/>
      </c>
      <c r="R723" s="57" t="str">
        <f aca="false">IF($N723="","",INDEX(BookRate,718)*(1+'5. Scenarios'!$D$10)*(INDEX(BookQ1,718)*(5-MIN(4,1+'5. Scenarios'!$D$8))/4+INDEX(BookQ2,718)*(5-MIN(4,2+'5. Scenarios'!$D$8))/4+INDEX(BookQ3,718)*(5-MIN(4,3+'5. Scenarios'!$D$8))/4+INDEX(BookQ4,718)*(5-MIN(4,4+'5. Scenarios'!$D$8))/4)*'5. Scenarios'!$D$6/(1+ProductivityDefault*('5. Scenarios'!$D$11-1))+INDEX(BookOneOff,718)*$N723)</f>
        <v/>
      </c>
      <c r="S723" s="56" t="str">
        <f aca="false">IF(INDEX(BookTitle,718)="","",INDEX(BookTotal,718)*'5. Scenarios'!$E$6/(1+ProductivityDefault*('5. Scenarios'!$E$11-1)))</f>
        <v/>
      </c>
      <c r="T723" s="57" t="str">
        <f aca="false">IF($S723="","",INDEX(BookRate,718)*(1+'5. Scenarios'!$E$10)*$S723)</f>
        <v/>
      </c>
      <c r="U723" s="57" t="str">
        <f aca="false">IF($T723="","",SUMIFS($T$6:$T$2405,$A$6:$A$2405,"&lt;="&amp;$A723))</f>
        <v/>
      </c>
      <c r="V723" s="57" t="str">
        <f aca="false">IF($T723="","",IF($U723&lt;=BankCostEnvelope*'5. Scenarios'!$E$7,1,0))</f>
        <v/>
      </c>
      <c r="W723" s="57" t="str">
        <f aca="false">IF($S723="","",INDEX(BookRate,718)*(1+'5. Scenarios'!$E$10)*(INDEX(BookQ1,718)*(5-MIN(4,1+'5. Scenarios'!$E$8))/4+INDEX(BookQ2,718)*(5-MIN(4,2+'5. Scenarios'!$E$8))/4+INDEX(BookQ3,718)*(5-MIN(4,3+'5. Scenarios'!$E$8))/4+INDEX(BookQ4,718)*(5-MIN(4,4+'5. Scenarios'!$E$8))/4)*'5. Scenarios'!$E$6/(1+ProductivityDefault*('5. Scenarios'!$E$11-1))+INDEX(BookOneOff,718)*$S723)</f>
        <v/>
      </c>
    </row>
    <row r="724" customFormat="false" ht="15" hidden="false" customHeight="false" outlineLevel="0" collapsed="false">
      <c r="A724" s="0" t="str">
        <f aca="false">IF(INDEX(BookTitle,719)="","",INDEX(BookKey,719))</f>
        <v/>
      </c>
      <c r="B724" s="0" t="str">
        <f aca="false">IF(INDEX(BookTitle,719)="","",INDEX(BookGroup,719))</f>
        <v/>
      </c>
      <c r="C724" s="0" t="str">
        <f aca="false">IF(INDEX(BookTitle,719)="","",INDEX(BookCategory,719))</f>
        <v/>
      </c>
      <c r="D724" s="56" t="str">
        <f aca="false">IF(INDEX(BookTitle,719)="","",INDEX(BookTotal,719)*'5. Scenarios'!$B$6/(1+ProductivityDefault*('5. Scenarios'!$B$11-1)))</f>
        <v/>
      </c>
      <c r="E724" s="57" t="str">
        <f aca="false">IF($D724="","",INDEX(BookRate,719)*(1+'5. Scenarios'!$B$10)*$D724)</f>
        <v/>
      </c>
      <c r="F724" s="57" t="str">
        <f aca="false">IF($E724="","",SUMIFS($E$6:$E$2405,$A$6:$A$2405,"&lt;="&amp;$A724))</f>
        <v/>
      </c>
      <c r="G724" s="57" t="str">
        <f aca="false">IF($E724="","",IF($F724&lt;=BankCostEnvelope*'5. Scenarios'!$B$7,1,0))</f>
        <v/>
      </c>
      <c r="H724" s="57" t="str">
        <f aca="false">IF($D724="","",INDEX(BookRate,719)*(1+'5. Scenarios'!$B$10)*(INDEX(BookQ1,719)*(5-MIN(4,1+'5. Scenarios'!$B$8))/4+INDEX(BookQ2,719)*(5-MIN(4,2+'5. Scenarios'!$B$8))/4+INDEX(BookQ3,719)*(5-MIN(4,3+'5. Scenarios'!$B$8))/4+INDEX(BookQ4,719)*(5-MIN(4,4+'5. Scenarios'!$B$8))/4)*'5. Scenarios'!$B$6/(1+ProductivityDefault*('5. Scenarios'!$B$11-1))+INDEX(BookOneOff,719)*$D724)</f>
        <v/>
      </c>
      <c r="I724" s="56" t="str">
        <f aca="false">IF(INDEX(BookTitle,719)="","",INDEX(BookTotal,719)*'5. Scenarios'!$C$6/(1+ProductivityDefault*('5. Scenarios'!$C$11-1)))</f>
        <v/>
      </c>
      <c r="J724" s="57" t="str">
        <f aca="false">IF($I724="","",INDEX(BookRate,719)*(1+'5. Scenarios'!$C$10)*$I724)</f>
        <v/>
      </c>
      <c r="K724" s="57" t="str">
        <f aca="false">IF($J724="","",SUMIFS($J$6:$J$2405,$A$6:$A$2405,"&lt;="&amp;$A724))</f>
        <v/>
      </c>
      <c r="L724" s="57" t="str">
        <f aca="false">IF($J724="","",IF($K724&lt;=BankCostEnvelope*'5. Scenarios'!$C$7,1,0))</f>
        <v/>
      </c>
      <c r="M724" s="57" t="str">
        <f aca="false">IF($I724="","",INDEX(BookRate,719)*(1+'5. Scenarios'!$C$10)*(INDEX(BookQ1,719)*(5-MIN(4,1+'5. Scenarios'!$C$8))/4+INDEX(BookQ2,719)*(5-MIN(4,2+'5. Scenarios'!$C$8))/4+INDEX(BookQ3,719)*(5-MIN(4,3+'5. Scenarios'!$C$8))/4+INDEX(BookQ4,719)*(5-MIN(4,4+'5. Scenarios'!$C$8))/4)*'5. Scenarios'!$C$6/(1+ProductivityDefault*('5. Scenarios'!$C$11-1))+INDEX(BookOneOff,719)*$I724)</f>
        <v/>
      </c>
      <c r="N724" s="56" t="str">
        <f aca="false">IF(INDEX(BookTitle,719)="","",INDEX(BookTotal,719)*'5. Scenarios'!$D$6/(1+ProductivityDefault*('5. Scenarios'!$D$11-1)))</f>
        <v/>
      </c>
      <c r="O724" s="57" t="str">
        <f aca="false">IF($N724="","",INDEX(BookRate,719)*(1+'5. Scenarios'!$D$10)*$N724)</f>
        <v/>
      </c>
      <c r="P724" s="57" t="str">
        <f aca="false">IF($O724="","",SUMIFS($O$6:$O$2405,$A$6:$A$2405,"&lt;="&amp;$A724))</f>
        <v/>
      </c>
      <c r="Q724" s="57" t="str">
        <f aca="false">IF($O724="","",IF($P724&lt;=BankCostEnvelope*'5. Scenarios'!$D$7,1,0))</f>
        <v/>
      </c>
      <c r="R724" s="57" t="str">
        <f aca="false">IF($N724="","",INDEX(BookRate,719)*(1+'5. Scenarios'!$D$10)*(INDEX(BookQ1,719)*(5-MIN(4,1+'5. Scenarios'!$D$8))/4+INDEX(BookQ2,719)*(5-MIN(4,2+'5. Scenarios'!$D$8))/4+INDEX(BookQ3,719)*(5-MIN(4,3+'5. Scenarios'!$D$8))/4+INDEX(BookQ4,719)*(5-MIN(4,4+'5. Scenarios'!$D$8))/4)*'5. Scenarios'!$D$6/(1+ProductivityDefault*('5. Scenarios'!$D$11-1))+INDEX(BookOneOff,719)*$N724)</f>
        <v/>
      </c>
      <c r="S724" s="56" t="str">
        <f aca="false">IF(INDEX(BookTitle,719)="","",INDEX(BookTotal,719)*'5. Scenarios'!$E$6/(1+ProductivityDefault*('5. Scenarios'!$E$11-1)))</f>
        <v/>
      </c>
      <c r="T724" s="57" t="str">
        <f aca="false">IF($S724="","",INDEX(BookRate,719)*(1+'5. Scenarios'!$E$10)*$S724)</f>
        <v/>
      </c>
      <c r="U724" s="57" t="str">
        <f aca="false">IF($T724="","",SUMIFS($T$6:$T$2405,$A$6:$A$2405,"&lt;="&amp;$A724))</f>
        <v/>
      </c>
      <c r="V724" s="57" t="str">
        <f aca="false">IF($T724="","",IF($U724&lt;=BankCostEnvelope*'5. Scenarios'!$E$7,1,0))</f>
        <v/>
      </c>
      <c r="W724" s="57" t="str">
        <f aca="false">IF($S724="","",INDEX(BookRate,719)*(1+'5. Scenarios'!$E$10)*(INDEX(BookQ1,719)*(5-MIN(4,1+'5. Scenarios'!$E$8))/4+INDEX(BookQ2,719)*(5-MIN(4,2+'5. Scenarios'!$E$8))/4+INDEX(BookQ3,719)*(5-MIN(4,3+'5. Scenarios'!$E$8))/4+INDEX(BookQ4,719)*(5-MIN(4,4+'5. Scenarios'!$E$8))/4)*'5. Scenarios'!$E$6/(1+ProductivityDefault*('5. Scenarios'!$E$11-1))+INDEX(BookOneOff,719)*$S724)</f>
        <v/>
      </c>
    </row>
    <row r="725" customFormat="false" ht="15" hidden="false" customHeight="false" outlineLevel="0" collapsed="false">
      <c r="A725" s="0" t="str">
        <f aca="false">IF(INDEX(BookTitle,720)="","",INDEX(BookKey,720))</f>
        <v/>
      </c>
      <c r="B725" s="0" t="str">
        <f aca="false">IF(INDEX(BookTitle,720)="","",INDEX(BookGroup,720))</f>
        <v/>
      </c>
      <c r="C725" s="0" t="str">
        <f aca="false">IF(INDEX(BookTitle,720)="","",INDEX(BookCategory,720))</f>
        <v/>
      </c>
      <c r="D725" s="56" t="str">
        <f aca="false">IF(INDEX(BookTitle,720)="","",INDEX(BookTotal,720)*'5. Scenarios'!$B$6/(1+ProductivityDefault*('5. Scenarios'!$B$11-1)))</f>
        <v/>
      </c>
      <c r="E725" s="57" t="str">
        <f aca="false">IF($D725="","",INDEX(BookRate,720)*(1+'5. Scenarios'!$B$10)*$D725)</f>
        <v/>
      </c>
      <c r="F725" s="57" t="str">
        <f aca="false">IF($E725="","",SUMIFS($E$6:$E$2405,$A$6:$A$2405,"&lt;="&amp;$A725))</f>
        <v/>
      </c>
      <c r="G725" s="57" t="str">
        <f aca="false">IF($E725="","",IF($F725&lt;=BankCostEnvelope*'5. Scenarios'!$B$7,1,0))</f>
        <v/>
      </c>
      <c r="H725" s="57" t="str">
        <f aca="false">IF($D725="","",INDEX(BookRate,720)*(1+'5. Scenarios'!$B$10)*(INDEX(BookQ1,720)*(5-MIN(4,1+'5. Scenarios'!$B$8))/4+INDEX(BookQ2,720)*(5-MIN(4,2+'5. Scenarios'!$B$8))/4+INDEX(BookQ3,720)*(5-MIN(4,3+'5. Scenarios'!$B$8))/4+INDEX(BookQ4,720)*(5-MIN(4,4+'5. Scenarios'!$B$8))/4)*'5. Scenarios'!$B$6/(1+ProductivityDefault*('5. Scenarios'!$B$11-1))+INDEX(BookOneOff,720)*$D725)</f>
        <v/>
      </c>
      <c r="I725" s="56" t="str">
        <f aca="false">IF(INDEX(BookTitle,720)="","",INDEX(BookTotal,720)*'5. Scenarios'!$C$6/(1+ProductivityDefault*('5. Scenarios'!$C$11-1)))</f>
        <v/>
      </c>
      <c r="J725" s="57" t="str">
        <f aca="false">IF($I725="","",INDEX(BookRate,720)*(1+'5. Scenarios'!$C$10)*$I725)</f>
        <v/>
      </c>
      <c r="K725" s="57" t="str">
        <f aca="false">IF($J725="","",SUMIFS($J$6:$J$2405,$A$6:$A$2405,"&lt;="&amp;$A725))</f>
        <v/>
      </c>
      <c r="L725" s="57" t="str">
        <f aca="false">IF($J725="","",IF($K725&lt;=BankCostEnvelope*'5. Scenarios'!$C$7,1,0))</f>
        <v/>
      </c>
      <c r="M725" s="57" t="str">
        <f aca="false">IF($I725="","",INDEX(BookRate,720)*(1+'5. Scenarios'!$C$10)*(INDEX(BookQ1,720)*(5-MIN(4,1+'5. Scenarios'!$C$8))/4+INDEX(BookQ2,720)*(5-MIN(4,2+'5. Scenarios'!$C$8))/4+INDEX(BookQ3,720)*(5-MIN(4,3+'5. Scenarios'!$C$8))/4+INDEX(BookQ4,720)*(5-MIN(4,4+'5. Scenarios'!$C$8))/4)*'5. Scenarios'!$C$6/(1+ProductivityDefault*('5. Scenarios'!$C$11-1))+INDEX(BookOneOff,720)*$I725)</f>
        <v/>
      </c>
      <c r="N725" s="56" t="str">
        <f aca="false">IF(INDEX(BookTitle,720)="","",INDEX(BookTotal,720)*'5. Scenarios'!$D$6/(1+ProductivityDefault*('5. Scenarios'!$D$11-1)))</f>
        <v/>
      </c>
      <c r="O725" s="57" t="str">
        <f aca="false">IF($N725="","",INDEX(BookRate,720)*(1+'5. Scenarios'!$D$10)*$N725)</f>
        <v/>
      </c>
      <c r="P725" s="57" t="str">
        <f aca="false">IF($O725="","",SUMIFS($O$6:$O$2405,$A$6:$A$2405,"&lt;="&amp;$A725))</f>
        <v/>
      </c>
      <c r="Q725" s="57" t="str">
        <f aca="false">IF($O725="","",IF($P725&lt;=BankCostEnvelope*'5. Scenarios'!$D$7,1,0))</f>
        <v/>
      </c>
      <c r="R725" s="57" t="str">
        <f aca="false">IF($N725="","",INDEX(BookRate,720)*(1+'5. Scenarios'!$D$10)*(INDEX(BookQ1,720)*(5-MIN(4,1+'5. Scenarios'!$D$8))/4+INDEX(BookQ2,720)*(5-MIN(4,2+'5. Scenarios'!$D$8))/4+INDEX(BookQ3,720)*(5-MIN(4,3+'5. Scenarios'!$D$8))/4+INDEX(BookQ4,720)*(5-MIN(4,4+'5. Scenarios'!$D$8))/4)*'5. Scenarios'!$D$6/(1+ProductivityDefault*('5. Scenarios'!$D$11-1))+INDEX(BookOneOff,720)*$N725)</f>
        <v/>
      </c>
      <c r="S725" s="56" t="str">
        <f aca="false">IF(INDEX(BookTitle,720)="","",INDEX(BookTotal,720)*'5. Scenarios'!$E$6/(1+ProductivityDefault*('5. Scenarios'!$E$11-1)))</f>
        <v/>
      </c>
      <c r="T725" s="57" t="str">
        <f aca="false">IF($S725="","",INDEX(BookRate,720)*(1+'5. Scenarios'!$E$10)*$S725)</f>
        <v/>
      </c>
      <c r="U725" s="57" t="str">
        <f aca="false">IF($T725="","",SUMIFS($T$6:$T$2405,$A$6:$A$2405,"&lt;="&amp;$A725))</f>
        <v/>
      </c>
      <c r="V725" s="57" t="str">
        <f aca="false">IF($T725="","",IF($U725&lt;=BankCostEnvelope*'5. Scenarios'!$E$7,1,0))</f>
        <v/>
      </c>
      <c r="W725" s="57" t="str">
        <f aca="false">IF($S725="","",INDEX(BookRate,720)*(1+'5. Scenarios'!$E$10)*(INDEX(BookQ1,720)*(5-MIN(4,1+'5. Scenarios'!$E$8))/4+INDEX(BookQ2,720)*(5-MIN(4,2+'5. Scenarios'!$E$8))/4+INDEX(BookQ3,720)*(5-MIN(4,3+'5. Scenarios'!$E$8))/4+INDEX(BookQ4,720)*(5-MIN(4,4+'5. Scenarios'!$E$8))/4)*'5. Scenarios'!$E$6/(1+ProductivityDefault*('5. Scenarios'!$E$11-1))+INDEX(BookOneOff,720)*$S725)</f>
        <v/>
      </c>
    </row>
    <row r="726" customFormat="false" ht="15" hidden="false" customHeight="false" outlineLevel="0" collapsed="false">
      <c r="A726" s="0" t="str">
        <f aca="false">IF(INDEX(BookTitle,721)="","",INDEX(BookKey,721))</f>
        <v/>
      </c>
      <c r="B726" s="0" t="str">
        <f aca="false">IF(INDEX(BookTitle,721)="","",INDEX(BookGroup,721))</f>
        <v/>
      </c>
      <c r="C726" s="0" t="str">
        <f aca="false">IF(INDEX(BookTitle,721)="","",INDEX(BookCategory,721))</f>
        <v/>
      </c>
      <c r="D726" s="56" t="str">
        <f aca="false">IF(INDEX(BookTitle,721)="","",INDEX(BookTotal,721)*'5. Scenarios'!$B$6/(1+ProductivityDefault*('5. Scenarios'!$B$11-1)))</f>
        <v/>
      </c>
      <c r="E726" s="57" t="str">
        <f aca="false">IF($D726="","",INDEX(BookRate,721)*(1+'5. Scenarios'!$B$10)*$D726)</f>
        <v/>
      </c>
      <c r="F726" s="57" t="str">
        <f aca="false">IF($E726="","",SUMIFS($E$6:$E$2405,$A$6:$A$2405,"&lt;="&amp;$A726))</f>
        <v/>
      </c>
      <c r="G726" s="57" t="str">
        <f aca="false">IF($E726="","",IF($F726&lt;=BankCostEnvelope*'5. Scenarios'!$B$7,1,0))</f>
        <v/>
      </c>
      <c r="H726" s="57" t="str">
        <f aca="false">IF($D726="","",INDEX(BookRate,721)*(1+'5. Scenarios'!$B$10)*(INDEX(BookQ1,721)*(5-MIN(4,1+'5. Scenarios'!$B$8))/4+INDEX(BookQ2,721)*(5-MIN(4,2+'5. Scenarios'!$B$8))/4+INDEX(BookQ3,721)*(5-MIN(4,3+'5. Scenarios'!$B$8))/4+INDEX(BookQ4,721)*(5-MIN(4,4+'5. Scenarios'!$B$8))/4)*'5. Scenarios'!$B$6/(1+ProductivityDefault*('5. Scenarios'!$B$11-1))+INDEX(BookOneOff,721)*$D726)</f>
        <v/>
      </c>
      <c r="I726" s="56" t="str">
        <f aca="false">IF(INDEX(BookTitle,721)="","",INDEX(BookTotal,721)*'5. Scenarios'!$C$6/(1+ProductivityDefault*('5. Scenarios'!$C$11-1)))</f>
        <v/>
      </c>
      <c r="J726" s="57" t="str">
        <f aca="false">IF($I726="","",INDEX(BookRate,721)*(1+'5. Scenarios'!$C$10)*$I726)</f>
        <v/>
      </c>
      <c r="K726" s="57" t="str">
        <f aca="false">IF($J726="","",SUMIFS($J$6:$J$2405,$A$6:$A$2405,"&lt;="&amp;$A726))</f>
        <v/>
      </c>
      <c r="L726" s="57" t="str">
        <f aca="false">IF($J726="","",IF($K726&lt;=BankCostEnvelope*'5. Scenarios'!$C$7,1,0))</f>
        <v/>
      </c>
      <c r="M726" s="57" t="str">
        <f aca="false">IF($I726="","",INDEX(BookRate,721)*(1+'5. Scenarios'!$C$10)*(INDEX(BookQ1,721)*(5-MIN(4,1+'5. Scenarios'!$C$8))/4+INDEX(BookQ2,721)*(5-MIN(4,2+'5. Scenarios'!$C$8))/4+INDEX(BookQ3,721)*(5-MIN(4,3+'5. Scenarios'!$C$8))/4+INDEX(BookQ4,721)*(5-MIN(4,4+'5. Scenarios'!$C$8))/4)*'5. Scenarios'!$C$6/(1+ProductivityDefault*('5. Scenarios'!$C$11-1))+INDEX(BookOneOff,721)*$I726)</f>
        <v/>
      </c>
      <c r="N726" s="56" t="str">
        <f aca="false">IF(INDEX(BookTitle,721)="","",INDEX(BookTotal,721)*'5. Scenarios'!$D$6/(1+ProductivityDefault*('5. Scenarios'!$D$11-1)))</f>
        <v/>
      </c>
      <c r="O726" s="57" t="str">
        <f aca="false">IF($N726="","",INDEX(BookRate,721)*(1+'5. Scenarios'!$D$10)*$N726)</f>
        <v/>
      </c>
      <c r="P726" s="57" t="str">
        <f aca="false">IF($O726="","",SUMIFS($O$6:$O$2405,$A$6:$A$2405,"&lt;="&amp;$A726))</f>
        <v/>
      </c>
      <c r="Q726" s="57" t="str">
        <f aca="false">IF($O726="","",IF($P726&lt;=BankCostEnvelope*'5. Scenarios'!$D$7,1,0))</f>
        <v/>
      </c>
      <c r="R726" s="57" t="str">
        <f aca="false">IF($N726="","",INDEX(BookRate,721)*(1+'5. Scenarios'!$D$10)*(INDEX(BookQ1,721)*(5-MIN(4,1+'5. Scenarios'!$D$8))/4+INDEX(BookQ2,721)*(5-MIN(4,2+'5. Scenarios'!$D$8))/4+INDEX(BookQ3,721)*(5-MIN(4,3+'5. Scenarios'!$D$8))/4+INDEX(BookQ4,721)*(5-MIN(4,4+'5. Scenarios'!$D$8))/4)*'5. Scenarios'!$D$6/(1+ProductivityDefault*('5. Scenarios'!$D$11-1))+INDEX(BookOneOff,721)*$N726)</f>
        <v/>
      </c>
      <c r="S726" s="56" t="str">
        <f aca="false">IF(INDEX(BookTitle,721)="","",INDEX(BookTotal,721)*'5. Scenarios'!$E$6/(1+ProductivityDefault*('5. Scenarios'!$E$11-1)))</f>
        <v/>
      </c>
      <c r="T726" s="57" t="str">
        <f aca="false">IF($S726="","",INDEX(BookRate,721)*(1+'5. Scenarios'!$E$10)*$S726)</f>
        <v/>
      </c>
      <c r="U726" s="57" t="str">
        <f aca="false">IF($T726="","",SUMIFS($T$6:$T$2405,$A$6:$A$2405,"&lt;="&amp;$A726))</f>
        <v/>
      </c>
      <c r="V726" s="57" t="str">
        <f aca="false">IF($T726="","",IF($U726&lt;=BankCostEnvelope*'5. Scenarios'!$E$7,1,0))</f>
        <v/>
      </c>
      <c r="W726" s="57" t="str">
        <f aca="false">IF($S726="","",INDEX(BookRate,721)*(1+'5. Scenarios'!$E$10)*(INDEX(BookQ1,721)*(5-MIN(4,1+'5. Scenarios'!$E$8))/4+INDEX(BookQ2,721)*(5-MIN(4,2+'5. Scenarios'!$E$8))/4+INDEX(BookQ3,721)*(5-MIN(4,3+'5. Scenarios'!$E$8))/4+INDEX(BookQ4,721)*(5-MIN(4,4+'5. Scenarios'!$E$8))/4)*'5. Scenarios'!$E$6/(1+ProductivityDefault*('5. Scenarios'!$E$11-1))+INDEX(BookOneOff,721)*$S726)</f>
        <v/>
      </c>
    </row>
    <row r="727" customFormat="false" ht="15" hidden="false" customHeight="false" outlineLevel="0" collapsed="false">
      <c r="A727" s="0" t="str">
        <f aca="false">IF(INDEX(BookTitle,722)="","",INDEX(BookKey,722))</f>
        <v/>
      </c>
      <c r="B727" s="0" t="str">
        <f aca="false">IF(INDEX(BookTitle,722)="","",INDEX(BookGroup,722))</f>
        <v/>
      </c>
      <c r="C727" s="0" t="str">
        <f aca="false">IF(INDEX(BookTitle,722)="","",INDEX(BookCategory,722))</f>
        <v/>
      </c>
      <c r="D727" s="56" t="str">
        <f aca="false">IF(INDEX(BookTitle,722)="","",INDEX(BookTotal,722)*'5. Scenarios'!$B$6/(1+ProductivityDefault*('5. Scenarios'!$B$11-1)))</f>
        <v/>
      </c>
      <c r="E727" s="57" t="str">
        <f aca="false">IF($D727="","",INDEX(BookRate,722)*(1+'5. Scenarios'!$B$10)*$D727)</f>
        <v/>
      </c>
      <c r="F727" s="57" t="str">
        <f aca="false">IF($E727="","",SUMIFS($E$6:$E$2405,$A$6:$A$2405,"&lt;="&amp;$A727))</f>
        <v/>
      </c>
      <c r="G727" s="57" t="str">
        <f aca="false">IF($E727="","",IF($F727&lt;=BankCostEnvelope*'5. Scenarios'!$B$7,1,0))</f>
        <v/>
      </c>
      <c r="H727" s="57" t="str">
        <f aca="false">IF($D727="","",INDEX(BookRate,722)*(1+'5. Scenarios'!$B$10)*(INDEX(BookQ1,722)*(5-MIN(4,1+'5. Scenarios'!$B$8))/4+INDEX(BookQ2,722)*(5-MIN(4,2+'5. Scenarios'!$B$8))/4+INDEX(BookQ3,722)*(5-MIN(4,3+'5. Scenarios'!$B$8))/4+INDEX(BookQ4,722)*(5-MIN(4,4+'5. Scenarios'!$B$8))/4)*'5. Scenarios'!$B$6/(1+ProductivityDefault*('5. Scenarios'!$B$11-1))+INDEX(BookOneOff,722)*$D727)</f>
        <v/>
      </c>
      <c r="I727" s="56" t="str">
        <f aca="false">IF(INDEX(BookTitle,722)="","",INDEX(BookTotal,722)*'5. Scenarios'!$C$6/(1+ProductivityDefault*('5. Scenarios'!$C$11-1)))</f>
        <v/>
      </c>
      <c r="J727" s="57" t="str">
        <f aca="false">IF($I727="","",INDEX(BookRate,722)*(1+'5. Scenarios'!$C$10)*$I727)</f>
        <v/>
      </c>
      <c r="K727" s="57" t="str">
        <f aca="false">IF($J727="","",SUMIFS($J$6:$J$2405,$A$6:$A$2405,"&lt;="&amp;$A727))</f>
        <v/>
      </c>
      <c r="L727" s="57" t="str">
        <f aca="false">IF($J727="","",IF($K727&lt;=BankCostEnvelope*'5. Scenarios'!$C$7,1,0))</f>
        <v/>
      </c>
      <c r="M727" s="57" t="str">
        <f aca="false">IF($I727="","",INDEX(BookRate,722)*(1+'5. Scenarios'!$C$10)*(INDEX(BookQ1,722)*(5-MIN(4,1+'5. Scenarios'!$C$8))/4+INDEX(BookQ2,722)*(5-MIN(4,2+'5. Scenarios'!$C$8))/4+INDEX(BookQ3,722)*(5-MIN(4,3+'5. Scenarios'!$C$8))/4+INDEX(BookQ4,722)*(5-MIN(4,4+'5. Scenarios'!$C$8))/4)*'5. Scenarios'!$C$6/(1+ProductivityDefault*('5. Scenarios'!$C$11-1))+INDEX(BookOneOff,722)*$I727)</f>
        <v/>
      </c>
      <c r="N727" s="56" t="str">
        <f aca="false">IF(INDEX(BookTitle,722)="","",INDEX(BookTotal,722)*'5. Scenarios'!$D$6/(1+ProductivityDefault*('5. Scenarios'!$D$11-1)))</f>
        <v/>
      </c>
      <c r="O727" s="57" t="str">
        <f aca="false">IF($N727="","",INDEX(BookRate,722)*(1+'5. Scenarios'!$D$10)*$N727)</f>
        <v/>
      </c>
      <c r="P727" s="57" t="str">
        <f aca="false">IF($O727="","",SUMIFS($O$6:$O$2405,$A$6:$A$2405,"&lt;="&amp;$A727))</f>
        <v/>
      </c>
      <c r="Q727" s="57" t="str">
        <f aca="false">IF($O727="","",IF($P727&lt;=BankCostEnvelope*'5. Scenarios'!$D$7,1,0))</f>
        <v/>
      </c>
      <c r="R727" s="57" t="str">
        <f aca="false">IF($N727="","",INDEX(BookRate,722)*(1+'5. Scenarios'!$D$10)*(INDEX(BookQ1,722)*(5-MIN(4,1+'5. Scenarios'!$D$8))/4+INDEX(BookQ2,722)*(5-MIN(4,2+'5. Scenarios'!$D$8))/4+INDEX(BookQ3,722)*(5-MIN(4,3+'5. Scenarios'!$D$8))/4+INDEX(BookQ4,722)*(5-MIN(4,4+'5. Scenarios'!$D$8))/4)*'5. Scenarios'!$D$6/(1+ProductivityDefault*('5. Scenarios'!$D$11-1))+INDEX(BookOneOff,722)*$N727)</f>
        <v/>
      </c>
      <c r="S727" s="56" t="str">
        <f aca="false">IF(INDEX(BookTitle,722)="","",INDEX(BookTotal,722)*'5. Scenarios'!$E$6/(1+ProductivityDefault*('5. Scenarios'!$E$11-1)))</f>
        <v/>
      </c>
      <c r="T727" s="57" t="str">
        <f aca="false">IF($S727="","",INDEX(BookRate,722)*(1+'5. Scenarios'!$E$10)*$S727)</f>
        <v/>
      </c>
      <c r="U727" s="57" t="str">
        <f aca="false">IF($T727="","",SUMIFS($T$6:$T$2405,$A$6:$A$2405,"&lt;="&amp;$A727))</f>
        <v/>
      </c>
      <c r="V727" s="57" t="str">
        <f aca="false">IF($T727="","",IF($U727&lt;=BankCostEnvelope*'5. Scenarios'!$E$7,1,0))</f>
        <v/>
      </c>
      <c r="W727" s="57" t="str">
        <f aca="false">IF($S727="","",INDEX(BookRate,722)*(1+'5. Scenarios'!$E$10)*(INDEX(BookQ1,722)*(5-MIN(4,1+'5. Scenarios'!$E$8))/4+INDEX(BookQ2,722)*(5-MIN(4,2+'5. Scenarios'!$E$8))/4+INDEX(BookQ3,722)*(5-MIN(4,3+'5. Scenarios'!$E$8))/4+INDEX(BookQ4,722)*(5-MIN(4,4+'5. Scenarios'!$E$8))/4)*'5. Scenarios'!$E$6/(1+ProductivityDefault*('5. Scenarios'!$E$11-1))+INDEX(BookOneOff,722)*$S727)</f>
        <v/>
      </c>
    </row>
    <row r="728" customFormat="false" ht="15" hidden="false" customHeight="false" outlineLevel="0" collapsed="false">
      <c r="A728" s="0" t="str">
        <f aca="false">IF(INDEX(BookTitle,723)="","",INDEX(BookKey,723))</f>
        <v/>
      </c>
      <c r="B728" s="0" t="str">
        <f aca="false">IF(INDEX(BookTitle,723)="","",INDEX(BookGroup,723))</f>
        <v/>
      </c>
      <c r="C728" s="0" t="str">
        <f aca="false">IF(INDEX(BookTitle,723)="","",INDEX(BookCategory,723))</f>
        <v/>
      </c>
      <c r="D728" s="56" t="str">
        <f aca="false">IF(INDEX(BookTitle,723)="","",INDEX(BookTotal,723)*'5. Scenarios'!$B$6/(1+ProductivityDefault*('5. Scenarios'!$B$11-1)))</f>
        <v/>
      </c>
      <c r="E728" s="57" t="str">
        <f aca="false">IF($D728="","",INDEX(BookRate,723)*(1+'5. Scenarios'!$B$10)*$D728)</f>
        <v/>
      </c>
      <c r="F728" s="57" t="str">
        <f aca="false">IF($E728="","",SUMIFS($E$6:$E$2405,$A$6:$A$2405,"&lt;="&amp;$A728))</f>
        <v/>
      </c>
      <c r="G728" s="57" t="str">
        <f aca="false">IF($E728="","",IF($F728&lt;=BankCostEnvelope*'5. Scenarios'!$B$7,1,0))</f>
        <v/>
      </c>
      <c r="H728" s="57" t="str">
        <f aca="false">IF($D728="","",INDEX(BookRate,723)*(1+'5. Scenarios'!$B$10)*(INDEX(BookQ1,723)*(5-MIN(4,1+'5. Scenarios'!$B$8))/4+INDEX(BookQ2,723)*(5-MIN(4,2+'5. Scenarios'!$B$8))/4+INDEX(BookQ3,723)*(5-MIN(4,3+'5. Scenarios'!$B$8))/4+INDEX(BookQ4,723)*(5-MIN(4,4+'5. Scenarios'!$B$8))/4)*'5. Scenarios'!$B$6/(1+ProductivityDefault*('5. Scenarios'!$B$11-1))+INDEX(BookOneOff,723)*$D728)</f>
        <v/>
      </c>
      <c r="I728" s="56" t="str">
        <f aca="false">IF(INDEX(BookTitle,723)="","",INDEX(BookTotal,723)*'5. Scenarios'!$C$6/(1+ProductivityDefault*('5. Scenarios'!$C$11-1)))</f>
        <v/>
      </c>
      <c r="J728" s="57" t="str">
        <f aca="false">IF($I728="","",INDEX(BookRate,723)*(1+'5. Scenarios'!$C$10)*$I728)</f>
        <v/>
      </c>
      <c r="K728" s="57" t="str">
        <f aca="false">IF($J728="","",SUMIFS($J$6:$J$2405,$A$6:$A$2405,"&lt;="&amp;$A728))</f>
        <v/>
      </c>
      <c r="L728" s="57" t="str">
        <f aca="false">IF($J728="","",IF($K728&lt;=BankCostEnvelope*'5. Scenarios'!$C$7,1,0))</f>
        <v/>
      </c>
      <c r="M728" s="57" t="str">
        <f aca="false">IF($I728="","",INDEX(BookRate,723)*(1+'5. Scenarios'!$C$10)*(INDEX(BookQ1,723)*(5-MIN(4,1+'5. Scenarios'!$C$8))/4+INDEX(BookQ2,723)*(5-MIN(4,2+'5. Scenarios'!$C$8))/4+INDEX(BookQ3,723)*(5-MIN(4,3+'5. Scenarios'!$C$8))/4+INDEX(BookQ4,723)*(5-MIN(4,4+'5. Scenarios'!$C$8))/4)*'5. Scenarios'!$C$6/(1+ProductivityDefault*('5. Scenarios'!$C$11-1))+INDEX(BookOneOff,723)*$I728)</f>
        <v/>
      </c>
      <c r="N728" s="56" t="str">
        <f aca="false">IF(INDEX(BookTitle,723)="","",INDEX(BookTotal,723)*'5. Scenarios'!$D$6/(1+ProductivityDefault*('5. Scenarios'!$D$11-1)))</f>
        <v/>
      </c>
      <c r="O728" s="57" t="str">
        <f aca="false">IF($N728="","",INDEX(BookRate,723)*(1+'5. Scenarios'!$D$10)*$N728)</f>
        <v/>
      </c>
      <c r="P728" s="57" t="str">
        <f aca="false">IF($O728="","",SUMIFS($O$6:$O$2405,$A$6:$A$2405,"&lt;="&amp;$A728))</f>
        <v/>
      </c>
      <c r="Q728" s="57" t="str">
        <f aca="false">IF($O728="","",IF($P728&lt;=BankCostEnvelope*'5. Scenarios'!$D$7,1,0))</f>
        <v/>
      </c>
      <c r="R728" s="57" t="str">
        <f aca="false">IF($N728="","",INDEX(BookRate,723)*(1+'5. Scenarios'!$D$10)*(INDEX(BookQ1,723)*(5-MIN(4,1+'5. Scenarios'!$D$8))/4+INDEX(BookQ2,723)*(5-MIN(4,2+'5. Scenarios'!$D$8))/4+INDEX(BookQ3,723)*(5-MIN(4,3+'5. Scenarios'!$D$8))/4+INDEX(BookQ4,723)*(5-MIN(4,4+'5. Scenarios'!$D$8))/4)*'5. Scenarios'!$D$6/(1+ProductivityDefault*('5. Scenarios'!$D$11-1))+INDEX(BookOneOff,723)*$N728)</f>
        <v/>
      </c>
      <c r="S728" s="56" t="str">
        <f aca="false">IF(INDEX(BookTitle,723)="","",INDEX(BookTotal,723)*'5. Scenarios'!$E$6/(1+ProductivityDefault*('5. Scenarios'!$E$11-1)))</f>
        <v/>
      </c>
      <c r="T728" s="57" t="str">
        <f aca="false">IF($S728="","",INDEX(BookRate,723)*(1+'5. Scenarios'!$E$10)*$S728)</f>
        <v/>
      </c>
      <c r="U728" s="57" t="str">
        <f aca="false">IF($T728="","",SUMIFS($T$6:$T$2405,$A$6:$A$2405,"&lt;="&amp;$A728))</f>
        <v/>
      </c>
      <c r="V728" s="57" t="str">
        <f aca="false">IF($T728="","",IF($U728&lt;=BankCostEnvelope*'5. Scenarios'!$E$7,1,0))</f>
        <v/>
      </c>
      <c r="W728" s="57" t="str">
        <f aca="false">IF($S728="","",INDEX(BookRate,723)*(1+'5. Scenarios'!$E$10)*(INDEX(BookQ1,723)*(5-MIN(4,1+'5. Scenarios'!$E$8))/4+INDEX(BookQ2,723)*(5-MIN(4,2+'5. Scenarios'!$E$8))/4+INDEX(BookQ3,723)*(5-MIN(4,3+'5. Scenarios'!$E$8))/4+INDEX(BookQ4,723)*(5-MIN(4,4+'5. Scenarios'!$E$8))/4)*'5. Scenarios'!$E$6/(1+ProductivityDefault*('5. Scenarios'!$E$11-1))+INDEX(BookOneOff,723)*$S728)</f>
        <v/>
      </c>
    </row>
    <row r="729" customFormat="false" ht="15" hidden="false" customHeight="false" outlineLevel="0" collapsed="false">
      <c r="A729" s="0" t="str">
        <f aca="false">IF(INDEX(BookTitle,724)="","",INDEX(BookKey,724))</f>
        <v/>
      </c>
      <c r="B729" s="0" t="str">
        <f aca="false">IF(INDEX(BookTitle,724)="","",INDEX(BookGroup,724))</f>
        <v/>
      </c>
      <c r="C729" s="0" t="str">
        <f aca="false">IF(INDEX(BookTitle,724)="","",INDEX(BookCategory,724))</f>
        <v/>
      </c>
      <c r="D729" s="56" t="str">
        <f aca="false">IF(INDEX(BookTitle,724)="","",INDEX(BookTotal,724)*'5. Scenarios'!$B$6/(1+ProductivityDefault*('5. Scenarios'!$B$11-1)))</f>
        <v/>
      </c>
      <c r="E729" s="57" t="str">
        <f aca="false">IF($D729="","",INDEX(BookRate,724)*(1+'5. Scenarios'!$B$10)*$D729)</f>
        <v/>
      </c>
      <c r="F729" s="57" t="str">
        <f aca="false">IF($E729="","",SUMIFS($E$6:$E$2405,$A$6:$A$2405,"&lt;="&amp;$A729))</f>
        <v/>
      </c>
      <c r="G729" s="57" t="str">
        <f aca="false">IF($E729="","",IF($F729&lt;=BankCostEnvelope*'5. Scenarios'!$B$7,1,0))</f>
        <v/>
      </c>
      <c r="H729" s="57" t="str">
        <f aca="false">IF($D729="","",INDEX(BookRate,724)*(1+'5. Scenarios'!$B$10)*(INDEX(BookQ1,724)*(5-MIN(4,1+'5. Scenarios'!$B$8))/4+INDEX(BookQ2,724)*(5-MIN(4,2+'5. Scenarios'!$B$8))/4+INDEX(BookQ3,724)*(5-MIN(4,3+'5. Scenarios'!$B$8))/4+INDEX(BookQ4,724)*(5-MIN(4,4+'5. Scenarios'!$B$8))/4)*'5. Scenarios'!$B$6/(1+ProductivityDefault*('5. Scenarios'!$B$11-1))+INDEX(BookOneOff,724)*$D729)</f>
        <v/>
      </c>
      <c r="I729" s="56" t="str">
        <f aca="false">IF(INDEX(BookTitle,724)="","",INDEX(BookTotal,724)*'5. Scenarios'!$C$6/(1+ProductivityDefault*('5. Scenarios'!$C$11-1)))</f>
        <v/>
      </c>
      <c r="J729" s="57" t="str">
        <f aca="false">IF($I729="","",INDEX(BookRate,724)*(1+'5. Scenarios'!$C$10)*$I729)</f>
        <v/>
      </c>
      <c r="K729" s="57" t="str">
        <f aca="false">IF($J729="","",SUMIFS($J$6:$J$2405,$A$6:$A$2405,"&lt;="&amp;$A729))</f>
        <v/>
      </c>
      <c r="L729" s="57" t="str">
        <f aca="false">IF($J729="","",IF($K729&lt;=BankCostEnvelope*'5. Scenarios'!$C$7,1,0))</f>
        <v/>
      </c>
      <c r="M729" s="57" t="str">
        <f aca="false">IF($I729="","",INDEX(BookRate,724)*(1+'5. Scenarios'!$C$10)*(INDEX(BookQ1,724)*(5-MIN(4,1+'5. Scenarios'!$C$8))/4+INDEX(BookQ2,724)*(5-MIN(4,2+'5. Scenarios'!$C$8))/4+INDEX(BookQ3,724)*(5-MIN(4,3+'5. Scenarios'!$C$8))/4+INDEX(BookQ4,724)*(5-MIN(4,4+'5. Scenarios'!$C$8))/4)*'5. Scenarios'!$C$6/(1+ProductivityDefault*('5. Scenarios'!$C$11-1))+INDEX(BookOneOff,724)*$I729)</f>
        <v/>
      </c>
      <c r="N729" s="56" t="str">
        <f aca="false">IF(INDEX(BookTitle,724)="","",INDEX(BookTotal,724)*'5. Scenarios'!$D$6/(1+ProductivityDefault*('5. Scenarios'!$D$11-1)))</f>
        <v/>
      </c>
      <c r="O729" s="57" t="str">
        <f aca="false">IF($N729="","",INDEX(BookRate,724)*(1+'5. Scenarios'!$D$10)*$N729)</f>
        <v/>
      </c>
      <c r="P729" s="57" t="str">
        <f aca="false">IF($O729="","",SUMIFS($O$6:$O$2405,$A$6:$A$2405,"&lt;="&amp;$A729))</f>
        <v/>
      </c>
      <c r="Q729" s="57" t="str">
        <f aca="false">IF($O729="","",IF($P729&lt;=BankCostEnvelope*'5. Scenarios'!$D$7,1,0))</f>
        <v/>
      </c>
      <c r="R729" s="57" t="str">
        <f aca="false">IF($N729="","",INDEX(BookRate,724)*(1+'5. Scenarios'!$D$10)*(INDEX(BookQ1,724)*(5-MIN(4,1+'5. Scenarios'!$D$8))/4+INDEX(BookQ2,724)*(5-MIN(4,2+'5. Scenarios'!$D$8))/4+INDEX(BookQ3,724)*(5-MIN(4,3+'5. Scenarios'!$D$8))/4+INDEX(BookQ4,724)*(5-MIN(4,4+'5. Scenarios'!$D$8))/4)*'5. Scenarios'!$D$6/(1+ProductivityDefault*('5. Scenarios'!$D$11-1))+INDEX(BookOneOff,724)*$N729)</f>
        <v/>
      </c>
      <c r="S729" s="56" t="str">
        <f aca="false">IF(INDEX(BookTitle,724)="","",INDEX(BookTotal,724)*'5. Scenarios'!$E$6/(1+ProductivityDefault*('5. Scenarios'!$E$11-1)))</f>
        <v/>
      </c>
      <c r="T729" s="57" t="str">
        <f aca="false">IF($S729="","",INDEX(BookRate,724)*(1+'5. Scenarios'!$E$10)*$S729)</f>
        <v/>
      </c>
      <c r="U729" s="57" t="str">
        <f aca="false">IF($T729="","",SUMIFS($T$6:$T$2405,$A$6:$A$2405,"&lt;="&amp;$A729))</f>
        <v/>
      </c>
      <c r="V729" s="57" t="str">
        <f aca="false">IF($T729="","",IF($U729&lt;=BankCostEnvelope*'5. Scenarios'!$E$7,1,0))</f>
        <v/>
      </c>
      <c r="W729" s="57" t="str">
        <f aca="false">IF($S729="","",INDEX(BookRate,724)*(1+'5. Scenarios'!$E$10)*(INDEX(BookQ1,724)*(5-MIN(4,1+'5. Scenarios'!$E$8))/4+INDEX(BookQ2,724)*(5-MIN(4,2+'5. Scenarios'!$E$8))/4+INDEX(BookQ3,724)*(5-MIN(4,3+'5. Scenarios'!$E$8))/4+INDEX(BookQ4,724)*(5-MIN(4,4+'5. Scenarios'!$E$8))/4)*'5. Scenarios'!$E$6/(1+ProductivityDefault*('5. Scenarios'!$E$11-1))+INDEX(BookOneOff,724)*$S729)</f>
        <v/>
      </c>
    </row>
    <row r="730" customFormat="false" ht="15" hidden="false" customHeight="false" outlineLevel="0" collapsed="false">
      <c r="A730" s="0" t="str">
        <f aca="false">IF(INDEX(BookTitle,725)="","",INDEX(BookKey,725))</f>
        <v/>
      </c>
      <c r="B730" s="0" t="str">
        <f aca="false">IF(INDEX(BookTitle,725)="","",INDEX(BookGroup,725))</f>
        <v/>
      </c>
      <c r="C730" s="0" t="str">
        <f aca="false">IF(INDEX(BookTitle,725)="","",INDEX(BookCategory,725))</f>
        <v/>
      </c>
      <c r="D730" s="56" t="str">
        <f aca="false">IF(INDEX(BookTitle,725)="","",INDEX(BookTotal,725)*'5. Scenarios'!$B$6/(1+ProductivityDefault*('5. Scenarios'!$B$11-1)))</f>
        <v/>
      </c>
      <c r="E730" s="57" t="str">
        <f aca="false">IF($D730="","",INDEX(BookRate,725)*(1+'5. Scenarios'!$B$10)*$D730)</f>
        <v/>
      </c>
      <c r="F730" s="57" t="str">
        <f aca="false">IF($E730="","",SUMIFS($E$6:$E$2405,$A$6:$A$2405,"&lt;="&amp;$A730))</f>
        <v/>
      </c>
      <c r="G730" s="57" t="str">
        <f aca="false">IF($E730="","",IF($F730&lt;=BankCostEnvelope*'5. Scenarios'!$B$7,1,0))</f>
        <v/>
      </c>
      <c r="H730" s="57" t="str">
        <f aca="false">IF($D730="","",INDEX(BookRate,725)*(1+'5. Scenarios'!$B$10)*(INDEX(BookQ1,725)*(5-MIN(4,1+'5. Scenarios'!$B$8))/4+INDEX(BookQ2,725)*(5-MIN(4,2+'5. Scenarios'!$B$8))/4+INDEX(BookQ3,725)*(5-MIN(4,3+'5. Scenarios'!$B$8))/4+INDEX(BookQ4,725)*(5-MIN(4,4+'5. Scenarios'!$B$8))/4)*'5. Scenarios'!$B$6/(1+ProductivityDefault*('5. Scenarios'!$B$11-1))+INDEX(BookOneOff,725)*$D730)</f>
        <v/>
      </c>
      <c r="I730" s="56" t="str">
        <f aca="false">IF(INDEX(BookTitle,725)="","",INDEX(BookTotal,725)*'5. Scenarios'!$C$6/(1+ProductivityDefault*('5. Scenarios'!$C$11-1)))</f>
        <v/>
      </c>
      <c r="J730" s="57" t="str">
        <f aca="false">IF($I730="","",INDEX(BookRate,725)*(1+'5. Scenarios'!$C$10)*$I730)</f>
        <v/>
      </c>
      <c r="K730" s="57" t="str">
        <f aca="false">IF($J730="","",SUMIFS($J$6:$J$2405,$A$6:$A$2405,"&lt;="&amp;$A730))</f>
        <v/>
      </c>
      <c r="L730" s="57" t="str">
        <f aca="false">IF($J730="","",IF($K730&lt;=BankCostEnvelope*'5. Scenarios'!$C$7,1,0))</f>
        <v/>
      </c>
      <c r="M730" s="57" t="str">
        <f aca="false">IF($I730="","",INDEX(BookRate,725)*(1+'5. Scenarios'!$C$10)*(INDEX(BookQ1,725)*(5-MIN(4,1+'5. Scenarios'!$C$8))/4+INDEX(BookQ2,725)*(5-MIN(4,2+'5. Scenarios'!$C$8))/4+INDEX(BookQ3,725)*(5-MIN(4,3+'5. Scenarios'!$C$8))/4+INDEX(BookQ4,725)*(5-MIN(4,4+'5. Scenarios'!$C$8))/4)*'5. Scenarios'!$C$6/(1+ProductivityDefault*('5. Scenarios'!$C$11-1))+INDEX(BookOneOff,725)*$I730)</f>
        <v/>
      </c>
      <c r="N730" s="56" t="str">
        <f aca="false">IF(INDEX(BookTitle,725)="","",INDEX(BookTotal,725)*'5. Scenarios'!$D$6/(1+ProductivityDefault*('5. Scenarios'!$D$11-1)))</f>
        <v/>
      </c>
      <c r="O730" s="57" t="str">
        <f aca="false">IF($N730="","",INDEX(BookRate,725)*(1+'5. Scenarios'!$D$10)*$N730)</f>
        <v/>
      </c>
      <c r="P730" s="57" t="str">
        <f aca="false">IF($O730="","",SUMIFS($O$6:$O$2405,$A$6:$A$2405,"&lt;="&amp;$A730))</f>
        <v/>
      </c>
      <c r="Q730" s="57" t="str">
        <f aca="false">IF($O730="","",IF($P730&lt;=BankCostEnvelope*'5. Scenarios'!$D$7,1,0))</f>
        <v/>
      </c>
      <c r="R730" s="57" t="str">
        <f aca="false">IF($N730="","",INDEX(BookRate,725)*(1+'5. Scenarios'!$D$10)*(INDEX(BookQ1,725)*(5-MIN(4,1+'5. Scenarios'!$D$8))/4+INDEX(BookQ2,725)*(5-MIN(4,2+'5. Scenarios'!$D$8))/4+INDEX(BookQ3,725)*(5-MIN(4,3+'5. Scenarios'!$D$8))/4+INDEX(BookQ4,725)*(5-MIN(4,4+'5. Scenarios'!$D$8))/4)*'5. Scenarios'!$D$6/(1+ProductivityDefault*('5. Scenarios'!$D$11-1))+INDEX(BookOneOff,725)*$N730)</f>
        <v/>
      </c>
      <c r="S730" s="56" t="str">
        <f aca="false">IF(INDEX(BookTitle,725)="","",INDEX(BookTotal,725)*'5. Scenarios'!$E$6/(1+ProductivityDefault*('5. Scenarios'!$E$11-1)))</f>
        <v/>
      </c>
      <c r="T730" s="57" t="str">
        <f aca="false">IF($S730="","",INDEX(BookRate,725)*(1+'5. Scenarios'!$E$10)*$S730)</f>
        <v/>
      </c>
      <c r="U730" s="57" t="str">
        <f aca="false">IF($T730="","",SUMIFS($T$6:$T$2405,$A$6:$A$2405,"&lt;="&amp;$A730))</f>
        <v/>
      </c>
      <c r="V730" s="57" t="str">
        <f aca="false">IF($T730="","",IF($U730&lt;=BankCostEnvelope*'5. Scenarios'!$E$7,1,0))</f>
        <v/>
      </c>
      <c r="W730" s="57" t="str">
        <f aca="false">IF($S730="","",INDEX(BookRate,725)*(1+'5. Scenarios'!$E$10)*(INDEX(BookQ1,725)*(5-MIN(4,1+'5. Scenarios'!$E$8))/4+INDEX(BookQ2,725)*(5-MIN(4,2+'5. Scenarios'!$E$8))/4+INDEX(BookQ3,725)*(5-MIN(4,3+'5. Scenarios'!$E$8))/4+INDEX(BookQ4,725)*(5-MIN(4,4+'5. Scenarios'!$E$8))/4)*'5. Scenarios'!$E$6/(1+ProductivityDefault*('5. Scenarios'!$E$11-1))+INDEX(BookOneOff,725)*$S730)</f>
        <v/>
      </c>
    </row>
    <row r="731" customFormat="false" ht="15" hidden="false" customHeight="false" outlineLevel="0" collapsed="false">
      <c r="A731" s="0" t="str">
        <f aca="false">IF(INDEX(BookTitle,726)="","",INDEX(BookKey,726))</f>
        <v/>
      </c>
      <c r="B731" s="0" t="str">
        <f aca="false">IF(INDEX(BookTitle,726)="","",INDEX(BookGroup,726))</f>
        <v/>
      </c>
      <c r="C731" s="0" t="str">
        <f aca="false">IF(INDEX(BookTitle,726)="","",INDEX(BookCategory,726))</f>
        <v/>
      </c>
      <c r="D731" s="56" t="str">
        <f aca="false">IF(INDEX(BookTitle,726)="","",INDEX(BookTotal,726)*'5. Scenarios'!$B$6/(1+ProductivityDefault*('5. Scenarios'!$B$11-1)))</f>
        <v/>
      </c>
      <c r="E731" s="57" t="str">
        <f aca="false">IF($D731="","",INDEX(BookRate,726)*(1+'5. Scenarios'!$B$10)*$D731)</f>
        <v/>
      </c>
      <c r="F731" s="57" t="str">
        <f aca="false">IF($E731="","",SUMIFS($E$6:$E$2405,$A$6:$A$2405,"&lt;="&amp;$A731))</f>
        <v/>
      </c>
      <c r="G731" s="57" t="str">
        <f aca="false">IF($E731="","",IF($F731&lt;=BankCostEnvelope*'5. Scenarios'!$B$7,1,0))</f>
        <v/>
      </c>
      <c r="H731" s="57" t="str">
        <f aca="false">IF($D731="","",INDEX(BookRate,726)*(1+'5. Scenarios'!$B$10)*(INDEX(BookQ1,726)*(5-MIN(4,1+'5. Scenarios'!$B$8))/4+INDEX(BookQ2,726)*(5-MIN(4,2+'5. Scenarios'!$B$8))/4+INDEX(BookQ3,726)*(5-MIN(4,3+'5. Scenarios'!$B$8))/4+INDEX(BookQ4,726)*(5-MIN(4,4+'5. Scenarios'!$B$8))/4)*'5. Scenarios'!$B$6/(1+ProductivityDefault*('5. Scenarios'!$B$11-1))+INDEX(BookOneOff,726)*$D731)</f>
        <v/>
      </c>
      <c r="I731" s="56" t="str">
        <f aca="false">IF(INDEX(BookTitle,726)="","",INDEX(BookTotal,726)*'5. Scenarios'!$C$6/(1+ProductivityDefault*('5. Scenarios'!$C$11-1)))</f>
        <v/>
      </c>
      <c r="J731" s="57" t="str">
        <f aca="false">IF($I731="","",INDEX(BookRate,726)*(1+'5. Scenarios'!$C$10)*$I731)</f>
        <v/>
      </c>
      <c r="K731" s="57" t="str">
        <f aca="false">IF($J731="","",SUMIFS($J$6:$J$2405,$A$6:$A$2405,"&lt;="&amp;$A731))</f>
        <v/>
      </c>
      <c r="L731" s="57" t="str">
        <f aca="false">IF($J731="","",IF($K731&lt;=BankCostEnvelope*'5. Scenarios'!$C$7,1,0))</f>
        <v/>
      </c>
      <c r="M731" s="57" t="str">
        <f aca="false">IF($I731="","",INDEX(BookRate,726)*(1+'5. Scenarios'!$C$10)*(INDEX(BookQ1,726)*(5-MIN(4,1+'5. Scenarios'!$C$8))/4+INDEX(BookQ2,726)*(5-MIN(4,2+'5. Scenarios'!$C$8))/4+INDEX(BookQ3,726)*(5-MIN(4,3+'5. Scenarios'!$C$8))/4+INDEX(BookQ4,726)*(5-MIN(4,4+'5. Scenarios'!$C$8))/4)*'5. Scenarios'!$C$6/(1+ProductivityDefault*('5. Scenarios'!$C$11-1))+INDEX(BookOneOff,726)*$I731)</f>
        <v/>
      </c>
      <c r="N731" s="56" t="str">
        <f aca="false">IF(INDEX(BookTitle,726)="","",INDEX(BookTotal,726)*'5. Scenarios'!$D$6/(1+ProductivityDefault*('5. Scenarios'!$D$11-1)))</f>
        <v/>
      </c>
      <c r="O731" s="57" t="str">
        <f aca="false">IF($N731="","",INDEX(BookRate,726)*(1+'5. Scenarios'!$D$10)*$N731)</f>
        <v/>
      </c>
      <c r="P731" s="57" t="str">
        <f aca="false">IF($O731="","",SUMIFS($O$6:$O$2405,$A$6:$A$2405,"&lt;="&amp;$A731))</f>
        <v/>
      </c>
      <c r="Q731" s="57" t="str">
        <f aca="false">IF($O731="","",IF($P731&lt;=BankCostEnvelope*'5. Scenarios'!$D$7,1,0))</f>
        <v/>
      </c>
      <c r="R731" s="57" t="str">
        <f aca="false">IF($N731="","",INDEX(BookRate,726)*(1+'5. Scenarios'!$D$10)*(INDEX(BookQ1,726)*(5-MIN(4,1+'5. Scenarios'!$D$8))/4+INDEX(BookQ2,726)*(5-MIN(4,2+'5. Scenarios'!$D$8))/4+INDEX(BookQ3,726)*(5-MIN(4,3+'5. Scenarios'!$D$8))/4+INDEX(BookQ4,726)*(5-MIN(4,4+'5. Scenarios'!$D$8))/4)*'5. Scenarios'!$D$6/(1+ProductivityDefault*('5. Scenarios'!$D$11-1))+INDEX(BookOneOff,726)*$N731)</f>
        <v/>
      </c>
      <c r="S731" s="56" t="str">
        <f aca="false">IF(INDEX(BookTitle,726)="","",INDEX(BookTotal,726)*'5. Scenarios'!$E$6/(1+ProductivityDefault*('5. Scenarios'!$E$11-1)))</f>
        <v/>
      </c>
      <c r="T731" s="57" t="str">
        <f aca="false">IF($S731="","",INDEX(BookRate,726)*(1+'5. Scenarios'!$E$10)*$S731)</f>
        <v/>
      </c>
      <c r="U731" s="57" t="str">
        <f aca="false">IF($T731="","",SUMIFS($T$6:$T$2405,$A$6:$A$2405,"&lt;="&amp;$A731))</f>
        <v/>
      </c>
      <c r="V731" s="57" t="str">
        <f aca="false">IF($T731="","",IF($U731&lt;=BankCostEnvelope*'5. Scenarios'!$E$7,1,0))</f>
        <v/>
      </c>
      <c r="W731" s="57" t="str">
        <f aca="false">IF($S731="","",INDEX(BookRate,726)*(1+'5. Scenarios'!$E$10)*(INDEX(BookQ1,726)*(5-MIN(4,1+'5. Scenarios'!$E$8))/4+INDEX(BookQ2,726)*(5-MIN(4,2+'5. Scenarios'!$E$8))/4+INDEX(BookQ3,726)*(5-MIN(4,3+'5. Scenarios'!$E$8))/4+INDEX(BookQ4,726)*(5-MIN(4,4+'5. Scenarios'!$E$8))/4)*'5. Scenarios'!$E$6/(1+ProductivityDefault*('5. Scenarios'!$E$11-1))+INDEX(BookOneOff,726)*$S731)</f>
        <v/>
      </c>
    </row>
    <row r="732" customFormat="false" ht="15" hidden="false" customHeight="false" outlineLevel="0" collapsed="false">
      <c r="A732" s="0" t="str">
        <f aca="false">IF(INDEX(BookTitle,727)="","",INDEX(BookKey,727))</f>
        <v/>
      </c>
      <c r="B732" s="0" t="str">
        <f aca="false">IF(INDEX(BookTitle,727)="","",INDEX(BookGroup,727))</f>
        <v/>
      </c>
      <c r="C732" s="0" t="str">
        <f aca="false">IF(INDEX(BookTitle,727)="","",INDEX(BookCategory,727))</f>
        <v/>
      </c>
      <c r="D732" s="56" t="str">
        <f aca="false">IF(INDEX(BookTitle,727)="","",INDEX(BookTotal,727)*'5. Scenarios'!$B$6/(1+ProductivityDefault*('5. Scenarios'!$B$11-1)))</f>
        <v/>
      </c>
      <c r="E732" s="57" t="str">
        <f aca="false">IF($D732="","",INDEX(BookRate,727)*(1+'5. Scenarios'!$B$10)*$D732)</f>
        <v/>
      </c>
      <c r="F732" s="57" t="str">
        <f aca="false">IF($E732="","",SUMIFS($E$6:$E$2405,$A$6:$A$2405,"&lt;="&amp;$A732))</f>
        <v/>
      </c>
      <c r="G732" s="57" t="str">
        <f aca="false">IF($E732="","",IF($F732&lt;=BankCostEnvelope*'5. Scenarios'!$B$7,1,0))</f>
        <v/>
      </c>
      <c r="H732" s="57" t="str">
        <f aca="false">IF($D732="","",INDEX(BookRate,727)*(1+'5. Scenarios'!$B$10)*(INDEX(BookQ1,727)*(5-MIN(4,1+'5. Scenarios'!$B$8))/4+INDEX(BookQ2,727)*(5-MIN(4,2+'5. Scenarios'!$B$8))/4+INDEX(BookQ3,727)*(5-MIN(4,3+'5. Scenarios'!$B$8))/4+INDEX(BookQ4,727)*(5-MIN(4,4+'5. Scenarios'!$B$8))/4)*'5. Scenarios'!$B$6/(1+ProductivityDefault*('5. Scenarios'!$B$11-1))+INDEX(BookOneOff,727)*$D732)</f>
        <v/>
      </c>
      <c r="I732" s="56" t="str">
        <f aca="false">IF(INDEX(BookTitle,727)="","",INDEX(BookTotal,727)*'5. Scenarios'!$C$6/(1+ProductivityDefault*('5. Scenarios'!$C$11-1)))</f>
        <v/>
      </c>
      <c r="J732" s="57" t="str">
        <f aca="false">IF($I732="","",INDEX(BookRate,727)*(1+'5. Scenarios'!$C$10)*$I732)</f>
        <v/>
      </c>
      <c r="K732" s="57" t="str">
        <f aca="false">IF($J732="","",SUMIFS($J$6:$J$2405,$A$6:$A$2405,"&lt;="&amp;$A732))</f>
        <v/>
      </c>
      <c r="L732" s="57" t="str">
        <f aca="false">IF($J732="","",IF($K732&lt;=BankCostEnvelope*'5. Scenarios'!$C$7,1,0))</f>
        <v/>
      </c>
      <c r="M732" s="57" t="str">
        <f aca="false">IF($I732="","",INDEX(BookRate,727)*(1+'5. Scenarios'!$C$10)*(INDEX(BookQ1,727)*(5-MIN(4,1+'5. Scenarios'!$C$8))/4+INDEX(BookQ2,727)*(5-MIN(4,2+'5. Scenarios'!$C$8))/4+INDEX(BookQ3,727)*(5-MIN(4,3+'5. Scenarios'!$C$8))/4+INDEX(BookQ4,727)*(5-MIN(4,4+'5. Scenarios'!$C$8))/4)*'5. Scenarios'!$C$6/(1+ProductivityDefault*('5. Scenarios'!$C$11-1))+INDEX(BookOneOff,727)*$I732)</f>
        <v/>
      </c>
      <c r="N732" s="56" t="str">
        <f aca="false">IF(INDEX(BookTitle,727)="","",INDEX(BookTotal,727)*'5. Scenarios'!$D$6/(1+ProductivityDefault*('5. Scenarios'!$D$11-1)))</f>
        <v/>
      </c>
      <c r="O732" s="57" t="str">
        <f aca="false">IF($N732="","",INDEX(BookRate,727)*(1+'5. Scenarios'!$D$10)*$N732)</f>
        <v/>
      </c>
      <c r="P732" s="57" t="str">
        <f aca="false">IF($O732="","",SUMIFS($O$6:$O$2405,$A$6:$A$2405,"&lt;="&amp;$A732))</f>
        <v/>
      </c>
      <c r="Q732" s="57" t="str">
        <f aca="false">IF($O732="","",IF($P732&lt;=BankCostEnvelope*'5. Scenarios'!$D$7,1,0))</f>
        <v/>
      </c>
      <c r="R732" s="57" t="str">
        <f aca="false">IF($N732="","",INDEX(BookRate,727)*(1+'5. Scenarios'!$D$10)*(INDEX(BookQ1,727)*(5-MIN(4,1+'5. Scenarios'!$D$8))/4+INDEX(BookQ2,727)*(5-MIN(4,2+'5. Scenarios'!$D$8))/4+INDEX(BookQ3,727)*(5-MIN(4,3+'5. Scenarios'!$D$8))/4+INDEX(BookQ4,727)*(5-MIN(4,4+'5. Scenarios'!$D$8))/4)*'5. Scenarios'!$D$6/(1+ProductivityDefault*('5. Scenarios'!$D$11-1))+INDEX(BookOneOff,727)*$N732)</f>
        <v/>
      </c>
      <c r="S732" s="56" t="str">
        <f aca="false">IF(INDEX(BookTitle,727)="","",INDEX(BookTotal,727)*'5. Scenarios'!$E$6/(1+ProductivityDefault*('5. Scenarios'!$E$11-1)))</f>
        <v/>
      </c>
      <c r="T732" s="57" t="str">
        <f aca="false">IF($S732="","",INDEX(BookRate,727)*(1+'5. Scenarios'!$E$10)*$S732)</f>
        <v/>
      </c>
      <c r="U732" s="57" t="str">
        <f aca="false">IF($T732="","",SUMIFS($T$6:$T$2405,$A$6:$A$2405,"&lt;="&amp;$A732))</f>
        <v/>
      </c>
      <c r="V732" s="57" t="str">
        <f aca="false">IF($T732="","",IF($U732&lt;=BankCostEnvelope*'5. Scenarios'!$E$7,1,0))</f>
        <v/>
      </c>
      <c r="W732" s="57" t="str">
        <f aca="false">IF($S732="","",INDEX(BookRate,727)*(1+'5. Scenarios'!$E$10)*(INDEX(BookQ1,727)*(5-MIN(4,1+'5. Scenarios'!$E$8))/4+INDEX(BookQ2,727)*(5-MIN(4,2+'5. Scenarios'!$E$8))/4+INDEX(BookQ3,727)*(5-MIN(4,3+'5. Scenarios'!$E$8))/4+INDEX(BookQ4,727)*(5-MIN(4,4+'5. Scenarios'!$E$8))/4)*'5. Scenarios'!$E$6/(1+ProductivityDefault*('5. Scenarios'!$E$11-1))+INDEX(BookOneOff,727)*$S732)</f>
        <v/>
      </c>
    </row>
    <row r="733" customFormat="false" ht="15" hidden="false" customHeight="false" outlineLevel="0" collapsed="false">
      <c r="A733" s="0" t="str">
        <f aca="false">IF(INDEX(BookTitle,728)="","",INDEX(BookKey,728))</f>
        <v/>
      </c>
      <c r="B733" s="0" t="str">
        <f aca="false">IF(INDEX(BookTitle,728)="","",INDEX(BookGroup,728))</f>
        <v/>
      </c>
      <c r="C733" s="0" t="str">
        <f aca="false">IF(INDEX(BookTitle,728)="","",INDEX(BookCategory,728))</f>
        <v/>
      </c>
      <c r="D733" s="56" t="str">
        <f aca="false">IF(INDEX(BookTitle,728)="","",INDEX(BookTotal,728)*'5. Scenarios'!$B$6/(1+ProductivityDefault*('5. Scenarios'!$B$11-1)))</f>
        <v/>
      </c>
      <c r="E733" s="57" t="str">
        <f aca="false">IF($D733="","",INDEX(BookRate,728)*(1+'5. Scenarios'!$B$10)*$D733)</f>
        <v/>
      </c>
      <c r="F733" s="57" t="str">
        <f aca="false">IF($E733="","",SUMIFS($E$6:$E$2405,$A$6:$A$2405,"&lt;="&amp;$A733))</f>
        <v/>
      </c>
      <c r="G733" s="57" t="str">
        <f aca="false">IF($E733="","",IF($F733&lt;=BankCostEnvelope*'5. Scenarios'!$B$7,1,0))</f>
        <v/>
      </c>
      <c r="H733" s="57" t="str">
        <f aca="false">IF($D733="","",INDEX(BookRate,728)*(1+'5. Scenarios'!$B$10)*(INDEX(BookQ1,728)*(5-MIN(4,1+'5. Scenarios'!$B$8))/4+INDEX(BookQ2,728)*(5-MIN(4,2+'5. Scenarios'!$B$8))/4+INDEX(BookQ3,728)*(5-MIN(4,3+'5. Scenarios'!$B$8))/4+INDEX(BookQ4,728)*(5-MIN(4,4+'5. Scenarios'!$B$8))/4)*'5. Scenarios'!$B$6/(1+ProductivityDefault*('5. Scenarios'!$B$11-1))+INDEX(BookOneOff,728)*$D733)</f>
        <v/>
      </c>
      <c r="I733" s="56" t="str">
        <f aca="false">IF(INDEX(BookTitle,728)="","",INDEX(BookTotal,728)*'5. Scenarios'!$C$6/(1+ProductivityDefault*('5. Scenarios'!$C$11-1)))</f>
        <v/>
      </c>
      <c r="J733" s="57" t="str">
        <f aca="false">IF($I733="","",INDEX(BookRate,728)*(1+'5. Scenarios'!$C$10)*$I733)</f>
        <v/>
      </c>
      <c r="K733" s="57" t="str">
        <f aca="false">IF($J733="","",SUMIFS($J$6:$J$2405,$A$6:$A$2405,"&lt;="&amp;$A733))</f>
        <v/>
      </c>
      <c r="L733" s="57" t="str">
        <f aca="false">IF($J733="","",IF($K733&lt;=BankCostEnvelope*'5. Scenarios'!$C$7,1,0))</f>
        <v/>
      </c>
      <c r="M733" s="57" t="str">
        <f aca="false">IF($I733="","",INDEX(BookRate,728)*(1+'5. Scenarios'!$C$10)*(INDEX(BookQ1,728)*(5-MIN(4,1+'5. Scenarios'!$C$8))/4+INDEX(BookQ2,728)*(5-MIN(4,2+'5. Scenarios'!$C$8))/4+INDEX(BookQ3,728)*(5-MIN(4,3+'5. Scenarios'!$C$8))/4+INDEX(BookQ4,728)*(5-MIN(4,4+'5. Scenarios'!$C$8))/4)*'5. Scenarios'!$C$6/(1+ProductivityDefault*('5. Scenarios'!$C$11-1))+INDEX(BookOneOff,728)*$I733)</f>
        <v/>
      </c>
      <c r="N733" s="56" t="str">
        <f aca="false">IF(INDEX(BookTitle,728)="","",INDEX(BookTotal,728)*'5. Scenarios'!$D$6/(1+ProductivityDefault*('5. Scenarios'!$D$11-1)))</f>
        <v/>
      </c>
      <c r="O733" s="57" t="str">
        <f aca="false">IF($N733="","",INDEX(BookRate,728)*(1+'5. Scenarios'!$D$10)*$N733)</f>
        <v/>
      </c>
      <c r="P733" s="57" t="str">
        <f aca="false">IF($O733="","",SUMIFS($O$6:$O$2405,$A$6:$A$2405,"&lt;="&amp;$A733))</f>
        <v/>
      </c>
      <c r="Q733" s="57" t="str">
        <f aca="false">IF($O733="","",IF($P733&lt;=BankCostEnvelope*'5. Scenarios'!$D$7,1,0))</f>
        <v/>
      </c>
      <c r="R733" s="57" t="str">
        <f aca="false">IF($N733="","",INDEX(BookRate,728)*(1+'5. Scenarios'!$D$10)*(INDEX(BookQ1,728)*(5-MIN(4,1+'5. Scenarios'!$D$8))/4+INDEX(BookQ2,728)*(5-MIN(4,2+'5. Scenarios'!$D$8))/4+INDEX(BookQ3,728)*(5-MIN(4,3+'5. Scenarios'!$D$8))/4+INDEX(BookQ4,728)*(5-MIN(4,4+'5. Scenarios'!$D$8))/4)*'5. Scenarios'!$D$6/(1+ProductivityDefault*('5. Scenarios'!$D$11-1))+INDEX(BookOneOff,728)*$N733)</f>
        <v/>
      </c>
      <c r="S733" s="56" t="str">
        <f aca="false">IF(INDEX(BookTitle,728)="","",INDEX(BookTotal,728)*'5. Scenarios'!$E$6/(1+ProductivityDefault*('5. Scenarios'!$E$11-1)))</f>
        <v/>
      </c>
      <c r="T733" s="57" t="str">
        <f aca="false">IF($S733="","",INDEX(BookRate,728)*(1+'5. Scenarios'!$E$10)*$S733)</f>
        <v/>
      </c>
      <c r="U733" s="57" t="str">
        <f aca="false">IF($T733="","",SUMIFS($T$6:$T$2405,$A$6:$A$2405,"&lt;="&amp;$A733))</f>
        <v/>
      </c>
      <c r="V733" s="57" t="str">
        <f aca="false">IF($T733="","",IF($U733&lt;=BankCostEnvelope*'5. Scenarios'!$E$7,1,0))</f>
        <v/>
      </c>
      <c r="W733" s="57" t="str">
        <f aca="false">IF($S733="","",INDEX(BookRate,728)*(1+'5. Scenarios'!$E$10)*(INDEX(BookQ1,728)*(5-MIN(4,1+'5. Scenarios'!$E$8))/4+INDEX(BookQ2,728)*(5-MIN(4,2+'5. Scenarios'!$E$8))/4+INDEX(BookQ3,728)*(5-MIN(4,3+'5. Scenarios'!$E$8))/4+INDEX(BookQ4,728)*(5-MIN(4,4+'5. Scenarios'!$E$8))/4)*'5. Scenarios'!$E$6/(1+ProductivityDefault*('5. Scenarios'!$E$11-1))+INDEX(BookOneOff,728)*$S733)</f>
        <v/>
      </c>
    </row>
    <row r="734" customFormat="false" ht="15" hidden="false" customHeight="false" outlineLevel="0" collapsed="false">
      <c r="A734" s="0" t="str">
        <f aca="false">IF(INDEX(BookTitle,729)="","",INDEX(BookKey,729))</f>
        <v/>
      </c>
      <c r="B734" s="0" t="str">
        <f aca="false">IF(INDEX(BookTitle,729)="","",INDEX(BookGroup,729))</f>
        <v/>
      </c>
      <c r="C734" s="0" t="str">
        <f aca="false">IF(INDEX(BookTitle,729)="","",INDEX(BookCategory,729))</f>
        <v/>
      </c>
      <c r="D734" s="56" t="str">
        <f aca="false">IF(INDEX(BookTitle,729)="","",INDEX(BookTotal,729)*'5. Scenarios'!$B$6/(1+ProductivityDefault*('5. Scenarios'!$B$11-1)))</f>
        <v/>
      </c>
      <c r="E734" s="57" t="str">
        <f aca="false">IF($D734="","",INDEX(BookRate,729)*(1+'5. Scenarios'!$B$10)*$D734)</f>
        <v/>
      </c>
      <c r="F734" s="57" t="str">
        <f aca="false">IF($E734="","",SUMIFS($E$6:$E$2405,$A$6:$A$2405,"&lt;="&amp;$A734))</f>
        <v/>
      </c>
      <c r="G734" s="57" t="str">
        <f aca="false">IF($E734="","",IF($F734&lt;=BankCostEnvelope*'5. Scenarios'!$B$7,1,0))</f>
        <v/>
      </c>
      <c r="H734" s="57" t="str">
        <f aca="false">IF($D734="","",INDEX(BookRate,729)*(1+'5. Scenarios'!$B$10)*(INDEX(BookQ1,729)*(5-MIN(4,1+'5. Scenarios'!$B$8))/4+INDEX(BookQ2,729)*(5-MIN(4,2+'5. Scenarios'!$B$8))/4+INDEX(BookQ3,729)*(5-MIN(4,3+'5. Scenarios'!$B$8))/4+INDEX(BookQ4,729)*(5-MIN(4,4+'5. Scenarios'!$B$8))/4)*'5. Scenarios'!$B$6/(1+ProductivityDefault*('5. Scenarios'!$B$11-1))+INDEX(BookOneOff,729)*$D734)</f>
        <v/>
      </c>
      <c r="I734" s="56" t="str">
        <f aca="false">IF(INDEX(BookTitle,729)="","",INDEX(BookTotal,729)*'5. Scenarios'!$C$6/(1+ProductivityDefault*('5. Scenarios'!$C$11-1)))</f>
        <v/>
      </c>
      <c r="J734" s="57" t="str">
        <f aca="false">IF($I734="","",INDEX(BookRate,729)*(1+'5. Scenarios'!$C$10)*$I734)</f>
        <v/>
      </c>
      <c r="K734" s="57" t="str">
        <f aca="false">IF($J734="","",SUMIFS($J$6:$J$2405,$A$6:$A$2405,"&lt;="&amp;$A734))</f>
        <v/>
      </c>
      <c r="L734" s="57" t="str">
        <f aca="false">IF($J734="","",IF($K734&lt;=BankCostEnvelope*'5. Scenarios'!$C$7,1,0))</f>
        <v/>
      </c>
      <c r="M734" s="57" t="str">
        <f aca="false">IF($I734="","",INDEX(BookRate,729)*(1+'5. Scenarios'!$C$10)*(INDEX(BookQ1,729)*(5-MIN(4,1+'5. Scenarios'!$C$8))/4+INDEX(BookQ2,729)*(5-MIN(4,2+'5. Scenarios'!$C$8))/4+INDEX(BookQ3,729)*(5-MIN(4,3+'5. Scenarios'!$C$8))/4+INDEX(BookQ4,729)*(5-MIN(4,4+'5. Scenarios'!$C$8))/4)*'5. Scenarios'!$C$6/(1+ProductivityDefault*('5. Scenarios'!$C$11-1))+INDEX(BookOneOff,729)*$I734)</f>
        <v/>
      </c>
      <c r="N734" s="56" t="str">
        <f aca="false">IF(INDEX(BookTitle,729)="","",INDEX(BookTotal,729)*'5. Scenarios'!$D$6/(1+ProductivityDefault*('5. Scenarios'!$D$11-1)))</f>
        <v/>
      </c>
      <c r="O734" s="57" t="str">
        <f aca="false">IF($N734="","",INDEX(BookRate,729)*(1+'5. Scenarios'!$D$10)*$N734)</f>
        <v/>
      </c>
      <c r="P734" s="57" t="str">
        <f aca="false">IF($O734="","",SUMIFS($O$6:$O$2405,$A$6:$A$2405,"&lt;="&amp;$A734))</f>
        <v/>
      </c>
      <c r="Q734" s="57" t="str">
        <f aca="false">IF($O734="","",IF($P734&lt;=BankCostEnvelope*'5. Scenarios'!$D$7,1,0))</f>
        <v/>
      </c>
      <c r="R734" s="57" t="str">
        <f aca="false">IF($N734="","",INDEX(BookRate,729)*(1+'5. Scenarios'!$D$10)*(INDEX(BookQ1,729)*(5-MIN(4,1+'5. Scenarios'!$D$8))/4+INDEX(BookQ2,729)*(5-MIN(4,2+'5. Scenarios'!$D$8))/4+INDEX(BookQ3,729)*(5-MIN(4,3+'5. Scenarios'!$D$8))/4+INDEX(BookQ4,729)*(5-MIN(4,4+'5. Scenarios'!$D$8))/4)*'5. Scenarios'!$D$6/(1+ProductivityDefault*('5. Scenarios'!$D$11-1))+INDEX(BookOneOff,729)*$N734)</f>
        <v/>
      </c>
      <c r="S734" s="56" t="str">
        <f aca="false">IF(INDEX(BookTitle,729)="","",INDEX(BookTotal,729)*'5. Scenarios'!$E$6/(1+ProductivityDefault*('5. Scenarios'!$E$11-1)))</f>
        <v/>
      </c>
      <c r="T734" s="57" t="str">
        <f aca="false">IF($S734="","",INDEX(BookRate,729)*(1+'5. Scenarios'!$E$10)*$S734)</f>
        <v/>
      </c>
      <c r="U734" s="57" t="str">
        <f aca="false">IF($T734="","",SUMIFS($T$6:$T$2405,$A$6:$A$2405,"&lt;="&amp;$A734))</f>
        <v/>
      </c>
      <c r="V734" s="57" t="str">
        <f aca="false">IF($T734="","",IF($U734&lt;=BankCostEnvelope*'5. Scenarios'!$E$7,1,0))</f>
        <v/>
      </c>
      <c r="W734" s="57" t="str">
        <f aca="false">IF($S734="","",INDEX(BookRate,729)*(1+'5. Scenarios'!$E$10)*(INDEX(BookQ1,729)*(5-MIN(4,1+'5. Scenarios'!$E$8))/4+INDEX(BookQ2,729)*(5-MIN(4,2+'5. Scenarios'!$E$8))/4+INDEX(BookQ3,729)*(5-MIN(4,3+'5. Scenarios'!$E$8))/4+INDEX(BookQ4,729)*(5-MIN(4,4+'5. Scenarios'!$E$8))/4)*'5. Scenarios'!$E$6/(1+ProductivityDefault*('5. Scenarios'!$E$11-1))+INDEX(BookOneOff,729)*$S734)</f>
        <v/>
      </c>
    </row>
    <row r="735" customFormat="false" ht="15" hidden="false" customHeight="false" outlineLevel="0" collapsed="false">
      <c r="A735" s="0" t="str">
        <f aca="false">IF(INDEX(BookTitle,730)="","",INDEX(BookKey,730))</f>
        <v/>
      </c>
      <c r="B735" s="0" t="str">
        <f aca="false">IF(INDEX(BookTitle,730)="","",INDEX(BookGroup,730))</f>
        <v/>
      </c>
      <c r="C735" s="0" t="str">
        <f aca="false">IF(INDEX(BookTitle,730)="","",INDEX(BookCategory,730))</f>
        <v/>
      </c>
      <c r="D735" s="56" t="str">
        <f aca="false">IF(INDEX(BookTitle,730)="","",INDEX(BookTotal,730)*'5. Scenarios'!$B$6/(1+ProductivityDefault*('5. Scenarios'!$B$11-1)))</f>
        <v/>
      </c>
      <c r="E735" s="57" t="str">
        <f aca="false">IF($D735="","",INDEX(BookRate,730)*(1+'5. Scenarios'!$B$10)*$D735)</f>
        <v/>
      </c>
      <c r="F735" s="57" t="str">
        <f aca="false">IF($E735="","",SUMIFS($E$6:$E$2405,$A$6:$A$2405,"&lt;="&amp;$A735))</f>
        <v/>
      </c>
      <c r="G735" s="57" t="str">
        <f aca="false">IF($E735="","",IF($F735&lt;=BankCostEnvelope*'5. Scenarios'!$B$7,1,0))</f>
        <v/>
      </c>
      <c r="H735" s="57" t="str">
        <f aca="false">IF($D735="","",INDEX(BookRate,730)*(1+'5. Scenarios'!$B$10)*(INDEX(BookQ1,730)*(5-MIN(4,1+'5. Scenarios'!$B$8))/4+INDEX(BookQ2,730)*(5-MIN(4,2+'5. Scenarios'!$B$8))/4+INDEX(BookQ3,730)*(5-MIN(4,3+'5. Scenarios'!$B$8))/4+INDEX(BookQ4,730)*(5-MIN(4,4+'5. Scenarios'!$B$8))/4)*'5. Scenarios'!$B$6/(1+ProductivityDefault*('5. Scenarios'!$B$11-1))+INDEX(BookOneOff,730)*$D735)</f>
        <v/>
      </c>
      <c r="I735" s="56" t="str">
        <f aca="false">IF(INDEX(BookTitle,730)="","",INDEX(BookTotal,730)*'5. Scenarios'!$C$6/(1+ProductivityDefault*('5. Scenarios'!$C$11-1)))</f>
        <v/>
      </c>
      <c r="J735" s="57" t="str">
        <f aca="false">IF($I735="","",INDEX(BookRate,730)*(1+'5. Scenarios'!$C$10)*$I735)</f>
        <v/>
      </c>
      <c r="K735" s="57" t="str">
        <f aca="false">IF($J735="","",SUMIFS($J$6:$J$2405,$A$6:$A$2405,"&lt;="&amp;$A735))</f>
        <v/>
      </c>
      <c r="L735" s="57" t="str">
        <f aca="false">IF($J735="","",IF($K735&lt;=BankCostEnvelope*'5. Scenarios'!$C$7,1,0))</f>
        <v/>
      </c>
      <c r="M735" s="57" t="str">
        <f aca="false">IF($I735="","",INDEX(BookRate,730)*(1+'5. Scenarios'!$C$10)*(INDEX(BookQ1,730)*(5-MIN(4,1+'5. Scenarios'!$C$8))/4+INDEX(BookQ2,730)*(5-MIN(4,2+'5. Scenarios'!$C$8))/4+INDEX(BookQ3,730)*(5-MIN(4,3+'5. Scenarios'!$C$8))/4+INDEX(BookQ4,730)*(5-MIN(4,4+'5. Scenarios'!$C$8))/4)*'5. Scenarios'!$C$6/(1+ProductivityDefault*('5. Scenarios'!$C$11-1))+INDEX(BookOneOff,730)*$I735)</f>
        <v/>
      </c>
      <c r="N735" s="56" t="str">
        <f aca="false">IF(INDEX(BookTitle,730)="","",INDEX(BookTotal,730)*'5. Scenarios'!$D$6/(1+ProductivityDefault*('5. Scenarios'!$D$11-1)))</f>
        <v/>
      </c>
      <c r="O735" s="57" t="str">
        <f aca="false">IF($N735="","",INDEX(BookRate,730)*(1+'5. Scenarios'!$D$10)*$N735)</f>
        <v/>
      </c>
      <c r="P735" s="57" t="str">
        <f aca="false">IF($O735="","",SUMIFS($O$6:$O$2405,$A$6:$A$2405,"&lt;="&amp;$A735))</f>
        <v/>
      </c>
      <c r="Q735" s="57" t="str">
        <f aca="false">IF($O735="","",IF($P735&lt;=BankCostEnvelope*'5. Scenarios'!$D$7,1,0))</f>
        <v/>
      </c>
      <c r="R735" s="57" t="str">
        <f aca="false">IF($N735="","",INDEX(BookRate,730)*(1+'5. Scenarios'!$D$10)*(INDEX(BookQ1,730)*(5-MIN(4,1+'5. Scenarios'!$D$8))/4+INDEX(BookQ2,730)*(5-MIN(4,2+'5. Scenarios'!$D$8))/4+INDEX(BookQ3,730)*(5-MIN(4,3+'5. Scenarios'!$D$8))/4+INDEX(BookQ4,730)*(5-MIN(4,4+'5. Scenarios'!$D$8))/4)*'5. Scenarios'!$D$6/(1+ProductivityDefault*('5. Scenarios'!$D$11-1))+INDEX(BookOneOff,730)*$N735)</f>
        <v/>
      </c>
      <c r="S735" s="56" t="str">
        <f aca="false">IF(INDEX(BookTitle,730)="","",INDEX(BookTotal,730)*'5. Scenarios'!$E$6/(1+ProductivityDefault*('5. Scenarios'!$E$11-1)))</f>
        <v/>
      </c>
      <c r="T735" s="57" t="str">
        <f aca="false">IF($S735="","",INDEX(BookRate,730)*(1+'5. Scenarios'!$E$10)*$S735)</f>
        <v/>
      </c>
      <c r="U735" s="57" t="str">
        <f aca="false">IF($T735="","",SUMIFS($T$6:$T$2405,$A$6:$A$2405,"&lt;="&amp;$A735))</f>
        <v/>
      </c>
      <c r="V735" s="57" t="str">
        <f aca="false">IF($T735="","",IF($U735&lt;=BankCostEnvelope*'5. Scenarios'!$E$7,1,0))</f>
        <v/>
      </c>
      <c r="W735" s="57" t="str">
        <f aca="false">IF($S735="","",INDEX(BookRate,730)*(1+'5. Scenarios'!$E$10)*(INDEX(BookQ1,730)*(5-MIN(4,1+'5. Scenarios'!$E$8))/4+INDEX(BookQ2,730)*(5-MIN(4,2+'5. Scenarios'!$E$8))/4+INDEX(BookQ3,730)*(5-MIN(4,3+'5. Scenarios'!$E$8))/4+INDEX(BookQ4,730)*(5-MIN(4,4+'5. Scenarios'!$E$8))/4)*'5. Scenarios'!$E$6/(1+ProductivityDefault*('5. Scenarios'!$E$11-1))+INDEX(BookOneOff,730)*$S735)</f>
        <v/>
      </c>
    </row>
    <row r="736" customFormat="false" ht="15" hidden="false" customHeight="false" outlineLevel="0" collapsed="false">
      <c r="A736" s="0" t="str">
        <f aca="false">IF(INDEX(BookTitle,731)="","",INDEX(BookKey,731))</f>
        <v/>
      </c>
      <c r="B736" s="0" t="str">
        <f aca="false">IF(INDEX(BookTitle,731)="","",INDEX(BookGroup,731))</f>
        <v/>
      </c>
      <c r="C736" s="0" t="str">
        <f aca="false">IF(INDEX(BookTitle,731)="","",INDEX(BookCategory,731))</f>
        <v/>
      </c>
      <c r="D736" s="56" t="str">
        <f aca="false">IF(INDEX(BookTitle,731)="","",INDEX(BookTotal,731)*'5. Scenarios'!$B$6/(1+ProductivityDefault*('5. Scenarios'!$B$11-1)))</f>
        <v/>
      </c>
      <c r="E736" s="57" t="str">
        <f aca="false">IF($D736="","",INDEX(BookRate,731)*(1+'5. Scenarios'!$B$10)*$D736)</f>
        <v/>
      </c>
      <c r="F736" s="57" t="str">
        <f aca="false">IF($E736="","",SUMIFS($E$6:$E$2405,$A$6:$A$2405,"&lt;="&amp;$A736))</f>
        <v/>
      </c>
      <c r="G736" s="57" t="str">
        <f aca="false">IF($E736="","",IF($F736&lt;=BankCostEnvelope*'5. Scenarios'!$B$7,1,0))</f>
        <v/>
      </c>
      <c r="H736" s="57" t="str">
        <f aca="false">IF($D736="","",INDEX(BookRate,731)*(1+'5. Scenarios'!$B$10)*(INDEX(BookQ1,731)*(5-MIN(4,1+'5. Scenarios'!$B$8))/4+INDEX(BookQ2,731)*(5-MIN(4,2+'5. Scenarios'!$B$8))/4+INDEX(BookQ3,731)*(5-MIN(4,3+'5. Scenarios'!$B$8))/4+INDEX(BookQ4,731)*(5-MIN(4,4+'5. Scenarios'!$B$8))/4)*'5. Scenarios'!$B$6/(1+ProductivityDefault*('5. Scenarios'!$B$11-1))+INDEX(BookOneOff,731)*$D736)</f>
        <v/>
      </c>
      <c r="I736" s="56" t="str">
        <f aca="false">IF(INDEX(BookTitle,731)="","",INDEX(BookTotal,731)*'5. Scenarios'!$C$6/(1+ProductivityDefault*('5. Scenarios'!$C$11-1)))</f>
        <v/>
      </c>
      <c r="J736" s="57" t="str">
        <f aca="false">IF($I736="","",INDEX(BookRate,731)*(1+'5. Scenarios'!$C$10)*$I736)</f>
        <v/>
      </c>
      <c r="K736" s="57" t="str">
        <f aca="false">IF($J736="","",SUMIFS($J$6:$J$2405,$A$6:$A$2405,"&lt;="&amp;$A736))</f>
        <v/>
      </c>
      <c r="L736" s="57" t="str">
        <f aca="false">IF($J736="","",IF($K736&lt;=BankCostEnvelope*'5. Scenarios'!$C$7,1,0))</f>
        <v/>
      </c>
      <c r="M736" s="57" t="str">
        <f aca="false">IF($I736="","",INDEX(BookRate,731)*(1+'5. Scenarios'!$C$10)*(INDEX(BookQ1,731)*(5-MIN(4,1+'5. Scenarios'!$C$8))/4+INDEX(BookQ2,731)*(5-MIN(4,2+'5. Scenarios'!$C$8))/4+INDEX(BookQ3,731)*(5-MIN(4,3+'5. Scenarios'!$C$8))/4+INDEX(BookQ4,731)*(5-MIN(4,4+'5. Scenarios'!$C$8))/4)*'5. Scenarios'!$C$6/(1+ProductivityDefault*('5. Scenarios'!$C$11-1))+INDEX(BookOneOff,731)*$I736)</f>
        <v/>
      </c>
      <c r="N736" s="56" t="str">
        <f aca="false">IF(INDEX(BookTitle,731)="","",INDEX(BookTotal,731)*'5. Scenarios'!$D$6/(1+ProductivityDefault*('5. Scenarios'!$D$11-1)))</f>
        <v/>
      </c>
      <c r="O736" s="57" t="str">
        <f aca="false">IF($N736="","",INDEX(BookRate,731)*(1+'5. Scenarios'!$D$10)*$N736)</f>
        <v/>
      </c>
      <c r="P736" s="57" t="str">
        <f aca="false">IF($O736="","",SUMIFS($O$6:$O$2405,$A$6:$A$2405,"&lt;="&amp;$A736))</f>
        <v/>
      </c>
      <c r="Q736" s="57" t="str">
        <f aca="false">IF($O736="","",IF($P736&lt;=BankCostEnvelope*'5. Scenarios'!$D$7,1,0))</f>
        <v/>
      </c>
      <c r="R736" s="57" t="str">
        <f aca="false">IF($N736="","",INDEX(BookRate,731)*(1+'5. Scenarios'!$D$10)*(INDEX(BookQ1,731)*(5-MIN(4,1+'5. Scenarios'!$D$8))/4+INDEX(BookQ2,731)*(5-MIN(4,2+'5. Scenarios'!$D$8))/4+INDEX(BookQ3,731)*(5-MIN(4,3+'5. Scenarios'!$D$8))/4+INDEX(BookQ4,731)*(5-MIN(4,4+'5. Scenarios'!$D$8))/4)*'5. Scenarios'!$D$6/(1+ProductivityDefault*('5. Scenarios'!$D$11-1))+INDEX(BookOneOff,731)*$N736)</f>
        <v/>
      </c>
      <c r="S736" s="56" t="str">
        <f aca="false">IF(INDEX(BookTitle,731)="","",INDEX(BookTotal,731)*'5. Scenarios'!$E$6/(1+ProductivityDefault*('5. Scenarios'!$E$11-1)))</f>
        <v/>
      </c>
      <c r="T736" s="57" t="str">
        <f aca="false">IF($S736="","",INDEX(BookRate,731)*(1+'5. Scenarios'!$E$10)*$S736)</f>
        <v/>
      </c>
      <c r="U736" s="57" t="str">
        <f aca="false">IF($T736="","",SUMIFS($T$6:$T$2405,$A$6:$A$2405,"&lt;="&amp;$A736))</f>
        <v/>
      </c>
      <c r="V736" s="57" t="str">
        <f aca="false">IF($T736="","",IF($U736&lt;=BankCostEnvelope*'5. Scenarios'!$E$7,1,0))</f>
        <v/>
      </c>
      <c r="W736" s="57" t="str">
        <f aca="false">IF($S736="","",INDEX(BookRate,731)*(1+'5. Scenarios'!$E$10)*(INDEX(BookQ1,731)*(5-MIN(4,1+'5. Scenarios'!$E$8))/4+INDEX(BookQ2,731)*(5-MIN(4,2+'5. Scenarios'!$E$8))/4+INDEX(BookQ3,731)*(5-MIN(4,3+'5. Scenarios'!$E$8))/4+INDEX(BookQ4,731)*(5-MIN(4,4+'5. Scenarios'!$E$8))/4)*'5. Scenarios'!$E$6/(1+ProductivityDefault*('5. Scenarios'!$E$11-1))+INDEX(BookOneOff,731)*$S736)</f>
        <v/>
      </c>
    </row>
    <row r="737" customFormat="false" ht="15" hidden="false" customHeight="false" outlineLevel="0" collapsed="false">
      <c r="A737" s="0" t="str">
        <f aca="false">IF(INDEX(BookTitle,732)="","",INDEX(BookKey,732))</f>
        <v/>
      </c>
      <c r="B737" s="0" t="str">
        <f aca="false">IF(INDEX(BookTitle,732)="","",INDEX(BookGroup,732))</f>
        <v/>
      </c>
      <c r="C737" s="0" t="str">
        <f aca="false">IF(INDEX(BookTitle,732)="","",INDEX(BookCategory,732))</f>
        <v/>
      </c>
      <c r="D737" s="56" t="str">
        <f aca="false">IF(INDEX(BookTitle,732)="","",INDEX(BookTotal,732)*'5. Scenarios'!$B$6/(1+ProductivityDefault*('5. Scenarios'!$B$11-1)))</f>
        <v/>
      </c>
      <c r="E737" s="57" t="str">
        <f aca="false">IF($D737="","",INDEX(BookRate,732)*(1+'5. Scenarios'!$B$10)*$D737)</f>
        <v/>
      </c>
      <c r="F737" s="57" t="str">
        <f aca="false">IF($E737="","",SUMIFS($E$6:$E$2405,$A$6:$A$2405,"&lt;="&amp;$A737))</f>
        <v/>
      </c>
      <c r="G737" s="57" t="str">
        <f aca="false">IF($E737="","",IF($F737&lt;=BankCostEnvelope*'5. Scenarios'!$B$7,1,0))</f>
        <v/>
      </c>
      <c r="H737" s="57" t="str">
        <f aca="false">IF($D737="","",INDEX(BookRate,732)*(1+'5. Scenarios'!$B$10)*(INDEX(BookQ1,732)*(5-MIN(4,1+'5. Scenarios'!$B$8))/4+INDEX(BookQ2,732)*(5-MIN(4,2+'5. Scenarios'!$B$8))/4+INDEX(BookQ3,732)*(5-MIN(4,3+'5. Scenarios'!$B$8))/4+INDEX(BookQ4,732)*(5-MIN(4,4+'5. Scenarios'!$B$8))/4)*'5. Scenarios'!$B$6/(1+ProductivityDefault*('5. Scenarios'!$B$11-1))+INDEX(BookOneOff,732)*$D737)</f>
        <v/>
      </c>
      <c r="I737" s="56" t="str">
        <f aca="false">IF(INDEX(BookTitle,732)="","",INDEX(BookTotal,732)*'5. Scenarios'!$C$6/(1+ProductivityDefault*('5. Scenarios'!$C$11-1)))</f>
        <v/>
      </c>
      <c r="J737" s="57" t="str">
        <f aca="false">IF($I737="","",INDEX(BookRate,732)*(1+'5. Scenarios'!$C$10)*$I737)</f>
        <v/>
      </c>
      <c r="K737" s="57" t="str">
        <f aca="false">IF($J737="","",SUMIFS($J$6:$J$2405,$A$6:$A$2405,"&lt;="&amp;$A737))</f>
        <v/>
      </c>
      <c r="L737" s="57" t="str">
        <f aca="false">IF($J737="","",IF($K737&lt;=BankCostEnvelope*'5. Scenarios'!$C$7,1,0))</f>
        <v/>
      </c>
      <c r="M737" s="57" t="str">
        <f aca="false">IF($I737="","",INDEX(BookRate,732)*(1+'5. Scenarios'!$C$10)*(INDEX(BookQ1,732)*(5-MIN(4,1+'5. Scenarios'!$C$8))/4+INDEX(BookQ2,732)*(5-MIN(4,2+'5. Scenarios'!$C$8))/4+INDEX(BookQ3,732)*(5-MIN(4,3+'5. Scenarios'!$C$8))/4+INDEX(BookQ4,732)*(5-MIN(4,4+'5. Scenarios'!$C$8))/4)*'5. Scenarios'!$C$6/(1+ProductivityDefault*('5. Scenarios'!$C$11-1))+INDEX(BookOneOff,732)*$I737)</f>
        <v/>
      </c>
      <c r="N737" s="56" t="str">
        <f aca="false">IF(INDEX(BookTitle,732)="","",INDEX(BookTotal,732)*'5. Scenarios'!$D$6/(1+ProductivityDefault*('5. Scenarios'!$D$11-1)))</f>
        <v/>
      </c>
      <c r="O737" s="57" t="str">
        <f aca="false">IF($N737="","",INDEX(BookRate,732)*(1+'5. Scenarios'!$D$10)*$N737)</f>
        <v/>
      </c>
      <c r="P737" s="57" t="str">
        <f aca="false">IF($O737="","",SUMIFS($O$6:$O$2405,$A$6:$A$2405,"&lt;="&amp;$A737))</f>
        <v/>
      </c>
      <c r="Q737" s="57" t="str">
        <f aca="false">IF($O737="","",IF($P737&lt;=BankCostEnvelope*'5. Scenarios'!$D$7,1,0))</f>
        <v/>
      </c>
      <c r="R737" s="57" t="str">
        <f aca="false">IF($N737="","",INDEX(BookRate,732)*(1+'5. Scenarios'!$D$10)*(INDEX(BookQ1,732)*(5-MIN(4,1+'5. Scenarios'!$D$8))/4+INDEX(BookQ2,732)*(5-MIN(4,2+'5. Scenarios'!$D$8))/4+INDEX(BookQ3,732)*(5-MIN(4,3+'5. Scenarios'!$D$8))/4+INDEX(BookQ4,732)*(5-MIN(4,4+'5. Scenarios'!$D$8))/4)*'5. Scenarios'!$D$6/(1+ProductivityDefault*('5. Scenarios'!$D$11-1))+INDEX(BookOneOff,732)*$N737)</f>
        <v/>
      </c>
      <c r="S737" s="56" t="str">
        <f aca="false">IF(INDEX(BookTitle,732)="","",INDEX(BookTotal,732)*'5. Scenarios'!$E$6/(1+ProductivityDefault*('5. Scenarios'!$E$11-1)))</f>
        <v/>
      </c>
      <c r="T737" s="57" t="str">
        <f aca="false">IF($S737="","",INDEX(BookRate,732)*(1+'5. Scenarios'!$E$10)*$S737)</f>
        <v/>
      </c>
      <c r="U737" s="57" t="str">
        <f aca="false">IF($T737="","",SUMIFS($T$6:$T$2405,$A$6:$A$2405,"&lt;="&amp;$A737))</f>
        <v/>
      </c>
      <c r="V737" s="57" t="str">
        <f aca="false">IF($T737="","",IF($U737&lt;=BankCostEnvelope*'5. Scenarios'!$E$7,1,0))</f>
        <v/>
      </c>
      <c r="W737" s="57" t="str">
        <f aca="false">IF($S737="","",INDEX(BookRate,732)*(1+'5. Scenarios'!$E$10)*(INDEX(BookQ1,732)*(5-MIN(4,1+'5. Scenarios'!$E$8))/4+INDEX(BookQ2,732)*(5-MIN(4,2+'5. Scenarios'!$E$8))/4+INDEX(BookQ3,732)*(5-MIN(4,3+'5. Scenarios'!$E$8))/4+INDEX(BookQ4,732)*(5-MIN(4,4+'5. Scenarios'!$E$8))/4)*'5. Scenarios'!$E$6/(1+ProductivityDefault*('5. Scenarios'!$E$11-1))+INDEX(BookOneOff,732)*$S737)</f>
        <v/>
      </c>
    </row>
    <row r="738" customFormat="false" ht="15" hidden="false" customHeight="false" outlineLevel="0" collapsed="false">
      <c r="A738" s="0" t="str">
        <f aca="false">IF(INDEX(BookTitle,733)="","",INDEX(BookKey,733))</f>
        <v/>
      </c>
      <c r="B738" s="0" t="str">
        <f aca="false">IF(INDEX(BookTitle,733)="","",INDEX(BookGroup,733))</f>
        <v/>
      </c>
      <c r="C738" s="0" t="str">
        <f aca="false">IF(INDEX(BookTitle,733)="","",INDEX(BookCategory,733))</f>
        <v/>
      </c>
      <c r="D738" s="56" t="str">
        <f aca="false">IF(INDEX(BookTitle,733)="","",INDEX(BookTotal,733)*'5. Scenarios'!$B$6/(1+ProductivityDefault*('5. Scenarios'!$B$11-1)))</f>
        <v/>
      </c>
      <c r="E738" s="57" t="str">
        <f aca="false">IF($D738="","",INDEX(BookRate,733)*(1+'5. Scenarios'!$B$10)*$D738)</f>
        <v/>
      </c>
      <c r="F738" s="57" t="str">
        <f aca="false">IF($E738="","",SUMIFS($E$6:$E$2405,$A$6:$A$2405,"&lt;="&amp;$A738))</f>
        <v/>
      </c>
      <c r="G738" s="57" t="str">
        <f aca="false">IF($E738="","",IF($F738&lt;=BankCostEnvelope*'5. Scenarios'!$B$7,1,0))</f>
        <v/>
      </c>
      <c r="H738" s="57" t="str">
        <f aca="false">IF($D738="","",INDEX(BookRate,733)*(1+'5. Scenarios'!$B$10)*(INDEX(BookQ1,733)*(5-MIN(4,1+'5. Scenarios'!$B$8))/4+INDEX(BookQ2,733)*(5-MIN(4,2+'5. Scenarios'!$B$8))/4+INDEX(BookQ3,733)*(5-MIN(4,3+'5. Scenarios'!$B$8))/4+INDEX(BookQ4,733)*(5-MIN(4,4+'5. Scenarios'!$B$8))/4)*'5. Scenarios'!$B$6/(1+ProductivityDefault*('5. Scenarios'!$B$11-1))+INDEX(BookOneOff,733)*$D738)</f>
        <v/>
      </c>
      <c r="I738" s="56" t="str">
        <f aca="false">IF(INDEX(BookTitle,733)="","",INDEX(BookTotal,733)*'5. Scenarios'!$C$6/(1+ProductivityDefault*('5. Scenarios'!$C$11-1)))</f>
        <v/>
      </c>
      <c r="J738" s="57" t="str">
        <f aca="false">IF($I738="","",INDEX(BookRate,733)*(1+'5. Scenarios'!$C$10)*$I738)</f>
        <v/>
      </c>
      <c r="K738" s="57" t="str">
        <f aca="false">IF($J738="","",SUMIFS($J$6:$J$2405,$A$6:$A$2405,"&lt;="&amp;$A738))</f>
        <v/>
      </c>
      <c r="L738" s="57" t="str">
        <f aca="false">IF($J738="","",IF($K738&lt;=BankCostEnvelope*'5. Scenarios'!$C$7,1,0))</f>
        <v/>
      </c>
      <c r="M738" s="57" t="str">
        <f aca="false">IF($I738="","",INDEX(BookRate,733)*(1+'5. Scenarios'!$C$10)*(INDEX(BookQ1,733)*(5-MIN(4,1+'5. Scenarios'!$C$8))/4+INDEX(BookQ2,733)*(5-MIN(4,2+'5. Scenarios'!$C$8))/4+INDEX(BookQ3,733)*(5-MIN(4,3+'5. Scenarios'!$C$8))/4+INDEX(BookQ4,733)*(5-MIN(4,4+'5. Scenarios'!$C$8))/4)*'5. Scenarios'!$C$6/(1+ProductivityDefault*('5. Scenarios'!$C$11-1))+INDEX(BookOneOff,733)*$I738)</f>
        <v/>
      </c>
      <c r="N738" s="56" t="str">
        <f aca="false">IF(INDEX(BookTitle,733)="","",INDEX(BookTotal,733)*'5. Scenarios'!$D$6/(1+ProductivityDefault*('5. Scenarios'!$D$11-1)))</f>
        <v/>
      </c>
      <c r="O738" s="57" t="str">
        <f aca="false">IF($N738="","",INDEX(BookRate,733)*(1+'5. Scenarios'!$D$10)*$N738)</f>
        <v/>
      </c>
      <c r="P738" s="57" t="str">
        <f aca="false">IF($O738="","",SUMIFS($O$6:$O$2405,$A$6:$A$2405,"&lt;="&amp;$A738))</f>
        <v/>
      </c>
      <c r="Q738" s="57" t="str">
        <f aca="false">IF($O738="","",IF($P738&lt;=BankCostEnvelope*'5. Scenarios'!$D$7,1,0))</f>
        <v/>
      </c>
      <c r="R738" s="57" t="str">
        <f aca="false">IF($N738="","",INDEX(BookRate,733)*(1+'5. Scenarios'!$D$10)*(INDEX(BookQ1,733)*(5-MIN(4,1+'5. Scenarios'!$D$8))/4+INDEX(BookQ2,733)*(5-MIN(4,2+'5. Scenarios'!$D$8))/4+INDEX(BookQ3,733)*(5-MIN(4,3+'5. Scenarios'!$D$8))/4+INDEX(BookQ4,733)*(5-MIN(4,4+'5. Scenarios'!$D$8))/4)*'5. Scenarios'!$D$6/(1+ProductivityDefault*('5. Scenarios'!$D$11-1))+INDEX(BookOneOff,733)*$N738)</f>
        <v/>
      </c>
      <c r="S738" s="56" t="str">
        <f aca="false">IF(INDEX(BookTitle,733)="","",INDEX(BookTotal,733)*'5. Scenarios'!$E$6/(1+ProductivityDefault*('5. Scenarios'!$E$11-1)))</f>
        <v/>
      </c>
      <c r="T738" s="57" t="str">
        <f aca="false">IF($S738="","",INDEX(BookRate,733)*(1+'5. Scenarios'!$E$10)*$S738)</f>
        <v/>
      </c>
      <c r="U738" s="57" t="str">
        <f aca="false">IF($T738="","",SUMIFS($T$6:$T$2405,$A$6:$A$2405,"&lt;="&amp;$A738))</f>
        <v/>
      </c>
      <c r="V738" s="57" t="str">
        <f aca="false">IF($T738="","",IF($U738&lt;=BankCostEnvelope*'5. Scenarios'!$E$7,1,0))</f>
        <v/>
      </c>
      <c r="W738" s="57" t="str">
        <f aca="false">IF($S738="","",INDEX(BookRate,733)*(1+'5. Scenarios'!$E$10)*(INDEX(BookQ1,733)*(5-MIN(4,1+'5. Scenarios'!$E$8))/4+INDEX(BookQ2,733)*(5-MIN(4,2+'5. Scenarios'!$E$8))/4+INDEX(BookQ3,733)*(5-MIN(4,3+'5. Scenarios'!$E$8))/4+INDEX(BookQ4,733)*(5-MIN(4,4+'5. Scenarios'!$E$8))/4)*'5. Scenarios'!$E$6/(1+ProductivityDefault*('5. Scenarios'!$E$11-1))+INDEX(BookOneOff,733)*$S738)</f>
        <v/>
      </c>
    </row>
    <row r="739" customFormat="false" ht="15" hidden="false" customHeight="false" outlineLevel="0" collapsed="false">
      <c r="A739" s="0" t="str">
        <f aca="false">IF(INDEX(BookTitle,734)="","",INDEX(BookKey,734))</f>
        <v/>
      </c>
      <c r="B739" s="0" t="str">
        <f aca="false">IF(INDEX(BookTitle,734)="","",INDEX(BookGroup,734))</f>
        <v/>
      </c>
      <c r="C739" s="0" t="str">
        <f aca="false">IF(INDEX(BookTitle,734)="","",INDEX(BookCategory,734))</f>
        <v/>
      </c>
      <c r="D739" s="56" t="str">
        <f aca="false">IF(INDEX(BookTitle,734)="","",INDEX(BookTotal,734)*'5. Scenarios'!$B$6/(1+ProductivityDefault*('5. Scenarios'!$B$11-1)))</f>
        <v/>
      </c>
      <c r="E739" s="57" t="str">
        <f aca="false">IF($D739="","",INDEX(BookRate,734)*(1+'5. Scenarios'!$B$10)*$D739)</f>
        <v/>
      </c>
      <c r="F739" s="57" t="str">
        <f aca="false">IF($E739="","",SUMIFS($E$6:$E$2405,$A$6:$A$2405,"&lt;="&amp;$A739))</f>
        <v/>
      </c>
      <c r="G739" s="57" t="str">
        <f aca="false">IF($E739="","",IF($F739&lt;=BankCostEnvelope*'5. Scenarios'!$B$7,1,0))</f>
        <v/>
      </c>
      <c r="H739" s="57" t="str">
        <f aca="false">IF($D739="","",INDEX(BookRate,734)*(1+'5. Scenarios'!$B$10)*(INDEX(BookQ1,734)*(5-MIN(4,1+'5. Scenarios'!$B$8))/4+INDEX(BookQ2,734)*(5-MIN(4,2+'5. Scenarios'!$B$8))/4+INDEX(BookQ3,734)*(5-MIN(4,3+'5. Scenarios'!$B$8))/4+INDEX(BookQ4,734)*(5-MIN(4,4+'5. Scenarios'!$B$8))/4)*'5. Scenarios'!$B$6/(1+ProductivityDefault*('5. Scenarios'!$B$11-1))+INDEX(BookOneOff,734)*$D739)</f>
        <v/>
      </c>
      <c r="I739" s="56" t="str">
        <f aca="false">IF(INDEX(BookTitle,734)="","",INDEX(BookTotal,734)*'5. Scenarios'!$C$6/(1+ProductivityDefault*('5. Scenarios'!$C$11-1)))</f>
        <v/>
      </c>
      <c r="J739" s="57" t="str">
        <f aca="false">IF($I739="","",INDEX(BookRate,734)*(1+'5. Scenarios'!$C$10)*$I739)</f>
        <v/>
      </c>
      <c r="K739" s="57" t="str">
        <f aca="false">IF($J739="","",SUMIFS($J$6:$J$2405,$A$6:$A$2405,"&lt;="&amp;$A739))</f>
        <v/>
      </c>
      <c r="L739" s="57" t="str">
        <f aca="false">IF($J739="","",IF($K739&lt;=BankCostEnvelope*'5. Scenarios'!$C$7,1,0))</f>
        <v/>
      </c>
      <c r="M739" s="57" t="str">
        <f aca="false">IF($I739="","",INDEX(BookRate,734)*(1+'5. Scenarios'!$C$10)*(INDEX(BookQ1,734)*(5-MIN(4,1+'5. Scenarios'!$C$8))/4+INDEX(BookQ2,734)*(5-MIN(4,2+'5. Scenarios'!$C$8))/4+INDEX(BookQ3,734)*(5-MIN(4,3+'5. Scenarios'!$C$8))/4+INDEX(BookQ4,734)*(5-MIN(4,4+'5. Scenarios'!$C$8))/4)*'5. Scenarios'!$C$6/(1+ProductivityDefault*('5. Scenarios'!$C$11-1))+INDEX(BookOneOff,734)*$I739)</f>
        <v/>
      </c>
      <c r="N739" s="56" t="str">
        <f aca="false">IF(INDEX(BookTitle,734)="","",INDEX(BookTotal,734)*'5. Scenarios'!$D$6/(1+ProductivityDefault*('5. Scenarios'!$D$11-1)))</f>
        <v/>
      </c>
      <c r="O739" s="57" t="str">
        <f aca="false">IF($N739="","",INDEX(BookRate,734)*(1+'5. Scenarios'!$D$10)*$N739)</f>
        <v/>
      </c>
      <c r="P739" s="57" t="str">
        <f aca="false">IF($O739="","",SUMIFS($O$6:$O$2405,$A$6:$A$2405,"&lt;="&amp;$A739))</f>
        <v/>
      </c>
      <c r="Q739" s="57" t="str">
        <f aca="false">IF($O739="","",IF($P739&lt;=BankCostEnvelope*'5. Scenarios'!$D$7,1,0))</f>
        <v/>
      </c>
      <c r="R739" s="57" t="str">
        <f aca="false">IF($N739="","",INDEX(BookRate,734)*(1+'5. Scenarios'!$D$10)*(INDEX(BookQ1,734)*(5-MIN(4,1+'5. Scenarios'!$D$8))/4+INDEX(BookQ2,734)*(5-MIN(4,2+'5. Scenarios'!$D$8))/4+INDEX(BookQ3,734)*(5-MIN(4,3+'5. Scenarios'!$D$8))/4+INDEX(BookQ4,734)*(5-MIN(4,4+'5. Scenarios'!$D$8))/4)*'5. Scenarios'!$D$6/(1+ProductivityDefault*('5. Scenarios'!$D$11-1))+INDEX(BookOneOff,734)*$N739)</f>
        <v/>
      </c>
      <c r="S739" s="56" t="str">
        <f aca="false">IF(INDEX(BookTitle,734)="","",INDEX(BookTotal,734)*'5. Scenarios'!$E$6/(1+ProductivityDefault*('5. Scenarios'!$E$11-1)))</f>
        <v/>
      </c>
      <c r="T739" s="57" t="str">
        <f aca="false">IF($S739="","",INDEX(BookRate,734)*(1+'5. Scenarios'!$E$10)*$S739)</f>
        <v/>
      </c>
      <c r="U739" s="57" t="str">
        <f aca="false">IF($T739="","",SUMIFS($T$6:$T$2405,$A$6:$A$2405,"&lt;="&amp;$A739))</f>
        <v/>
      </c>
      <c r="V739" s="57" t="str">
        <f aca="false">IF($T739="","",IF($U739&lt;=BankCostEnvelope*'5. Scenarios'!$E$7,1,0))</f>
        <v/>
      </c>
      <c r="W739" s="57" t="str">
        <f aca="false">IF($S739="","",INDEX(BookRate,734)*(1+'5. Scenarios'!$E$10)*(INDEX(BookQ1,734)*(5-MIN(4,1+'5. Scenarios'!$E$8))/4+INDEX(BookQ2,734)*(5-MIN(4,2+'5. Scenarios'!$E$8))/4+INDEX(BookQ3,734)*(5-MIN(4,3+'5. Scenarios'!$E$8))/4+INDEX(BookQ4,734)*(5-MIN(4,4+'5. Scenarios'!$E$8))/4)*'5. Scenarios'!$E$6/(1+ProductivityDefault*('5. Scenarios'!$E$11-1))+INDEX(BookOneOff,734)*$S739)</f>
        <v/>
      </c>
    </row>
    <row r="740" customFormat="false" ht="15" hidden="false" customHeight="false" outlineLevel="0" collapsed="false">
      <c r="A740" s="0" t="str">
        <f aca="false">IF(INDEX(BookTitle,735)="","",INDEX(BookKey,735))</f>
        <v/>
      </c>
      <c r="B740" s="0" t="str">
        <f aca="false">IF(INDEX(BookTitle,735)="","",INDEX(BookGroup,735))</f>
        <v/>
      </c>
      <c r="C740" s="0" t="str">
        <f aca="false">IF(INDEX(BookTitle,735)="","",INDEX(BookCategory,735))</f>
        <v/>
      </c>
      <c r="D740" s="56" t="str">
        <f aca="false">IF(INDEX(BookTitle,735)="","",INDEX(BookTotal,735)*'5. Scenarios'!$B$6/(1+ProductivityDefault*('5. Scenarios'!$B$11-1)))</f>
        <v/>
      </c>
      <c r="E740" s="57" t="str">
        <f aca="false">IF($D740="","",INDEX(BookRate,735)*(1+'5. Scenarios'!$B$10)*$D740)</f>
        <v/>
      </c>
      <c r="F740" s="57" t="str">
        <f aca="false">IF($E740="","",SUMIFS($E$6:$E$2405,$A$6:$A$2405,"&lt;="&amp;$A740))</f>
        <v/>
      </c>
      <c r="G740" s="57" t="str">
        <f aca="false">IF($E740="","",IF($F740&lt;=BankCostEnvelope*'5. Scenarios'!$B$7,1,0))</f>
        <v/>
      </c>
      <c r="H740" s="57" t="str">
        <f aca="false">IF($D740="","",INDEX(BookRate,735)*(1+'5. Scenarios'!$B$10)*(INDEX(BookQ1,735)*(5-MIN(4,1+'5. Scenarios'!$B$8))/4+INDEX(BookQ2,735)*(5-MIN(4,2+'5. Scenarios'!$B$8))/4+INDEX(BookQ3,735)*(5-MIN(4,3+'5. Scenarios'!$B$8))/4+INDEX(BookQ4,735)*(5-MIN(4,4+'5. Scenarios'!$B$8))/4)*'5. Scenarios'!$B$6/(1+ProductivityDefault*('5. Scenarios'!$B$11-1))+INDEX(BookOneOff,735)*$D740)</f>
        <v/>
      </c>
      <c r="I740" s="56" t="str">
        <f aca="false">IF(INDEX(BookTitle,735)="","",INDEX(BookTotal,735)*'5. Scenarios'!$C$6/(1+ProductivityDefault*('5. Scenarios'!$C$11-1)))</f>
        <v/>
      </c>
      <c r="J740" s="57" t="str">
        <f aca="false">IF($I740="","",INDEX(BookRate,735)*(1+'5. Scenarios'!$C$10)*$I740)</f>
        <v/>
      </c>
      <c r="K740" s="57" t="str">
        <f aca="false">IF($J740="","",SUMIFS($J$6:$J$2405,$A$6:$A$2405,"&lt;="&amp;$A740))</f>
        <v/>
      </c>
      <c r="L740" s="57" t="str">
        <f aca="false">IF($J740="","",IF($K740&lt;=BankCostEnvelope*'5. Scenarios'!$C$7,1,0))</f>
        <v/>
      </c>
      <c r="M740" s="57" t="str">
        <f aca="false">IF($I740="","",INDEX(BookRate,735)*(1+'5. Scenarios'!$C$10)*(INDEX(BookQ1,735)*(5-MIN(4,1+'5. Scenarios'!$C$8))/4+INDEX(BookQ2,735)*(5-MIN(4,2+'5. Scenarios'!$C$8))/4+INDEX(BookQ3,735)*(5-MIN(4,3+'5. Scenarios'!$C$8))/4+INDEX(BookQ4,735)*(5-MIN(4,4+'5. Scenarios'!$C$8))/4)*'5. Scenarios'!$C$6/(1+ProductivityDefault*('5. Scenarios'!$C$11-1))+INDEX(BookOneOff,735)*$I740)</f>
        <v/>
      </c>
      <c r="N740" s="56" t="str">
        <f aca="false">IF(INDEX(BookTitle,735)="","",INDEX(BookTotal,735)*'5. Scenarios'!$D$6/(1+ProductivityDefault*('5. Scenarios'!$D$11-1)))</f>
        <v/>
      </c>
      <c r="O740" s="57" t="str">
        <f aca="false">IF($N740="","",INDEX(BookRate,735)*(1+'5. Scenarios'!$D$10)*$N740)</f>
        <v/>
      </c>
      <c r="P740" s="57" t="str">
        <f aca="false">IF($O740="","",SUMIFS($O$6:$O$2405,$A$6:$A$2405,"&lt;="&amp;$A740))</f>
        <v/>
      </c>
      <c r="Q740" s="57" t="str">
        <f aca="false">IF($O740="","",IF($P740&lt;=BankCostEnvelope*'5. Scenarios'!$D$7,1,0))</f>
        <v/>
      </c>
      <c r="R740" s="57" t="str">
        <f aca="false">IF($N740="","",INDEX(BookRate,735)*(1+'5. Scenarios'!$D$10)*(INDEX(BookQ1,735)*(5-MIN(4,1+'5. Scenarios'!$D$8))/4+INDEX(BookQ2,735)*(5-MIN(4,2+'5. Scenarios'!$D$8))/4+INDEX(BookQ3,735)*(5-MIN(4,3+'5. Scenarios'!$D$8))/4+INDEX(BookQ4,735)*(5-MIN(4,4+'5. Scenarios'!$D$8))/4)*'5. Scenarios'!$D$6/(1+ProductivityDefault*('5. Scenarios'!$D$11-1))+INDEX(BookOneOff,735)*$N740)</f>
        <v/>
      </c>
      <c r="S740" s="56" t="str">
        <f aca="false">IF(INDEX(BookTitle,735)="","",INDEX(BookTotal,735)*'5. Scenarios'!$E$6/(1+ProductivityDefault*('5. Scenarios'!$E$11-1)))</f>
        <v/>
      </c>
      <c r="T740" s="57" t="str">
        <f aca="false">IF($S740="","",INDEX(BookRate,735)*(1+'5. Scenarios'!$E$10)*$S740)</f>
        <v/>
      </c>
      <c r="U740" s="57" t="str">
        <f aca="false">IF($T740="","",SUMIFS($T$6:$T$2405,$A$6:$A$2405,"&lt;="&amp;$A740))</f>
        <v/>
      </c>
      <c r="V740" s="57" t="str">
        <f aca="false">IF($T740="","",IF($U740&lt;=BankCostEnvelope*'5. Scenarios'!$E$7,1,0))</f>
        <v/>
      </c>
      <c r="W740" s="57" t="str">
        <f aca="false">IF($S740="","",INDEX(BookRate,735)*(1+'5. Scenarios'!$E$10)*(INDEX(BookQ1,735)*(5-MIN(4,1+'5. Scenarios'!$E$8))/4+INDEX(BookQ2,735)*(5-MIN(4,2+'5. Scenarios'!$E$8))/4+INDEX(BookQ3,735)*(5-MIN(4,3+'5. Scenarios'!$E$8))/4+INDEX(BookQ4,735)*(5-MIN(4,4+'5. Scenarios'!$E$8))/4)*'5. Scenarios'!$E$6/(1+ProductivityDefault*('5. Scenarios'!$E$11-1))+INDEX(BookOneOff,735)*$S740)</f>
        <v/>
      </c>
    </row>
    <row r="741" customFormat="false" ht="15" hidden="false" customHeight="false" outlineLevel="0" collapsed="false">
      <c r="A741" s="0" t="str">
        <f aca="false">IF(INDEX(BookTitle,736)="","",INDEX(BookKey,736))</f>
        <v/>
      </c>
      <c r="B741" s="0" t="str">
        <f aca="false">IF(INDEX(BookTitle,736)="","",INDEX(BookGroup,736))</f>
        <v/>
      </c>
      <c r="C741" s="0" t="str">
        <f aca="false">IF(INDEX(BookTitle,736)="","",INDEX(BookCategory,736))</f>
        <v/>
      </c>
      <c r="D741" s="56" t="str">
        <f aca="false">IF(INDEX(BookTitle,736)="","",INDEX(BookTotal,736)*'5. Scenarios'!$B$6/(1+ProductivityDefault*('5. Scenarios'!$B$11-1)))</f>
        <v/>
      </c>
      <c r="E741" s="57" t="str">
        <f aca="false">IF($D741="","",INDEX(BookRate,736)*(1+'5. Scenarios'!$B$10)*$D741)</f>
        <v/>
      </c>
      <c r="F741" s="57" t="str">
        <f aca="false">IF($E741="","",SUMIFS($E$6:$E$2405,$A$6:$A$2405,"&lt;="&amp;$A741))</f>
        <v/>
      </c>
      <c r="G741" s="57" t="str">
        <f aca="false">IF($E741="","",IF($F741&lt;=BankCostEnvelope*'5. Scenarios'!$B$7,1,0))</f>
        <v/>
      </c>
      <c r="H741" s="57" t="str">
        <f aca="false">IF($D741="","",INDEX(BookRate,736)*(1+'5. Scenarios'!$B$10)*(INDEX(BookQ1,736)*(5-MIN(4,1+'5. Scenarios'!$B$8))/4+INDEX(BookQ2,736)*(5-MIN(4,2+'5. Scenarios'!$B$8))/4+INDEX(BookQ3,736)*(5-MIN(4,3+'5. Scenarios'!$B$8))/4+INDEX(BookQ4,736)*(5-MIN(4,4+'5. Scenarios'!$B$8))/4)*'5. Scenarios'!$B$6/(1+ProductivityDefault*('5. Scenarios'!$B$11-1))+INDEX(BookOneOff,736)*$D741)</f>
        <v/>
      </c>
      <c r="I741" s="56" t="str">
        <f aca="false">IF(INDEX(BookTitle,736)="","",INDEX(BookTotal,736)*'5. Scenarios'!$C$6/(1+ProductivityDefault*('5. Scenarios'!$C$11-1)))</f>
        <v/>
      </c>
      <c r="J741" s="57" t="str">
        <f aca="false">IF($I741="","",INDEX(BookRate,736)*(1+'5. Scenarios'!$C$10)*$I741)</f>
        <v/>
      </c>
      <c r="K741" s="57" t="str">
        <f aca="false">IF($J741="","",SUMIFS($J$6:$J$2405,$A$6:$A$2405,"&lt;="&amp;$A741))</f>
        <v/>
      </c>
      <c r="L741" s="57" t="str">
        <f aca="false">IF($J741="","",IF($K741&lt;=BankCostEnvelope*'5. Scenarios'!$C$7,1,0))</f>
        <v/>
      </c>
      <c r="M741" s="57" t="str">
        <f aca="false">IF($I741="","",INDEX(BookRate,736)*(1+'5. Scenarios'!$C$10)*(INDEX(BookQ1,736)*(5-MIN(4,1+'5. Scenarios'!$C$8))/4+INDEX(BookQ2,736)*(5-MIN(4,2+'5. Scenarios'!$C$8))/4+INDEX(BookQ3,736)*(5-MIN(4,3+'5. Scenarios'!$C$8))/4+INDEX(BookQ4,736)*(5-MIN(4,4+'5. Scenarios'!$C$8))/4)*'5. Scenarios'!$C$6/(1+ProductivityDefault*('5. Scenarios'!$C$11-1))+INDEX(BookOneOff,736)*$I741)</f>
        <v/>
      </c>
      <c r="N741" s="56" t="str">
        <f aca="false">IF(INDEX(BookTitle,736)="","",INDEX(BookTotal,736)*'5. Scenarios'!$D$6/(1+ProductivityDefault*('5. Scenarios'!$D$11-1)))</f>
        <v/>
      </c>
      <c r="O741" s="57" t="str">
        <f aca="false">IF($N741="","",INDEX(BookRate,736)*(1+'5. Scenarios'!$D$10)*$N741)</f>
        <v/>
      </c>
      <c r="P741" s="57" t="str">
        <f aca="false">IF($O741="","",SUMIFS($O$6:$O$2405,$A$6:$A$2405,"&lt;="&amp;$A741))</f>
        <v/>
      </c>
      <c r="Q741" s="57" t="str">
        <f aca="false">IF($O741="","",IF($P741&lt;=BankCostEnvelope*'5. Scenarios'!$D$7,1,0))</f>
        <v/>
      </c>
      <c r="R741" s="57" t="str">
        <f aca="false">IF($N741="","",INDEX(BookRate,736)*(1+'5. Scenarios'!$D$10)*(INDEX(BookQ1,736)*(5-MIN(4,1+'5. Scenarios'!$D$8))/4+INDEX(BookQ2,736)*(5-MIN(4,2+'5. Scenarios'!$D$8))/4+INDEX(BookQ3,736)*(5-MIN(4,3+'5. Scenarios'!$D$8))/4+INDEX(BookQ4,736)*(5-MIN(4,4+'5. Scenarios'!$D$8))/4)*'5. Scenarios'!$D$6/(1+ProductivityDefault*('5. Scenarios'!$D$11-1))+INDEX(BookOneOff,736)*$N741)</f>
        <v/>
      </c>
      <c r="S741" s="56" t="str">
        <f aca="false">IF(INDEX(BookTitle,736)="","",INDEX(BookTotal,736)*'5. Scenarios'!$E$6/(1+ProductivityDefault*('5. Scenarios'!$E$11-1)))</f>
        <v/>
      </c>
      <c r="T741" s="57" t="str">
        <f aca="false">IF($S741="","",INDEX(BookRate,736)*(1+'5. Scenarios'!$E$10)*$S741)</f>
        <v/>
      </c>
      <c r="U741" s="57" t="str">
        <f aca="false">IF($T741="","",SUMIFS($T$6:$T$2405,$A$6:$A$2405,"&lt;="&amp;$A741))</f>
        <v/>
      </c>
      <c r="V741" s="57" t="str">
        <f aca="false">IF($T741="","",IF($U741&lt;=BankCostEnvelope*'5. Scenarios'!$E$7,1,0))</f>
        <v/>
      </c>
      <c r="W741" s="57" t="str">
        <f aca="false">IF($S741="","",INDEX(BookRate,736)*(1+'5. Scenarios'!$E$10)*(INDEX(BookQ1,736)*(5-MIN(4,1+'5. Scenarios'!$E$8))/4+INDEX(BookQ2,736)*(5-MIN(4,2+'5. Scenarios'!$E$8))/4+INDEX(BookQ3,736)*(5-MIN(4,3+'5. Scenarios'!$E$8))/4+INDEX(BookQ4,736)*(5-MIN(4,4+'5. Scenarios'!$E$8))/4)*'5. Scenarios'!$E$6/(1+ProductivityDefault*('5. Scenarios'!$E$11-1))+INDEX(BookOneOff,736)*$S741)</f>
        <v/>
      </c>
    </row>
    <row r="742" customFormat="false" ht="15" hidden="false" customHeight="false" outlineLevel="0" collapsed="false">
      <c r="A742" s="0" t="str">
        <f aca="false">IF(INDEX(BookTitle,737)="","",INDEX(BookKey,737))</f>
        <v/>
      </c>
      <c r="B742" s="0" t="str">
        <f aca="false">IF(INDEX(BookTitle,737)="","",INDEX(BookGroup,737))</f>
        <v/>
      </c>
      <c r="C742" s="0" t="str">
        <f aca="false">IF(INDEX(BookTitle,737)="","",INDEX(BookCategory,737))</f>
        <v/>
      </c>
      <c r="D742" s="56" t="str">
        <f aca="false">IF(INDEX(BookTitle,737)="","",INDEX(BookTotal,737)*'5. Scenarios'!$B$6/(1+ProductivityDefault*('5. Scenarios'!$B$11-1)))</f>
        <v/>
      </c>
      <c r="E742" s="57" t="str">
        <f aca="false">IF($D742="","",INDEX(BookRate,737)*(1+'5. Scenarios'!$B$10)*$D742)</f>
        <v/>
      </c>
      <c r="F742" s="57" t="str">
        <f aca="false">IF($E742="","",SUMIFS($E$6:$E$2405,$A$6:$A$2405,"&lt;="&amp;$A742))</f>
        <v/>
      </c>
      <c r="G742" s="57" t="str">
        <f aca="false">IF($E742="","",IF($F742&lt;=BankCostEnvelope*'5. Scenarios'!$B$7,1,0))</f>
        <v/>
      </c>
      <c r="H742" s="57" t="str">
        <f aca="false">IF($D742="","",INDEX(BookRate,737)*(1+'5. Scenarios'!$B$10)*(INDEX(BookQ1,737)*(5-MIN(4,1+'5. Scenarios'!$B$8))/4+INDEX(BookQ2,737)*(5-MIN(4,2+'5. Scenarios'!$B$8))/4+INDEX(BookQ3,737)*(5-MIN(4,3+'5. Scenarios'!$B$8))/4+INDEX(BookQ4,737)*(5-MIN(4,4+'5. Scenarios'!$B$8))/4)*'5. Scenarios'!$B$6/(1+ProductivityDefault*('5. Scenarios'!$B$11-1))+INDEX(BookOneOff,737)*$D742)</f>
        <v/>
      </c>
      <c r="I742" s="56" t="str">
        <f aca="false">IF(INDEX(BookTitle,737)="","",INDEX(BookTotal,737)*'5. Scenarios'!$C$6/(1+ProductivityDefault*('5. Scenarios'!$C$11-1)))</f>
        <v/>
      </c>
      <c r="J742" s="57" t="str">
        <f aca="false">IF($I742="","",INDEX(BookRate,737)*(1+'5. Scenarios'!$C$10)*$I742)</f>
        <v/>
      </c>
      <c r="K742" s="57" t="str">
        <f aca="false">IF($J742="","",SUMIFS($J$6:$J$2405,$A$6:$A$2405,"&lt;="&amp;$A742))</f>
        <v/>
      </c>
      <c r="L742" s="57" t="str">
        <f aca="false">IF($J742="","",IF($K742&lt;=BankCostEnvelope*'5. Scenarios'!$C$7,1,0))</f>
        <v/>
      </c>
      <c r="M742" s="57" t="str">
        <f aca="false">IF($I742="","",INDEX(BookRate,737)*(1+'5. Scenarios'!$C$10)*(INDEX(BookQ1,737)*(5-MIN(4,1+'5. Scenarios'!$C$8))/4+INDEX(BookQ2,737)*(5-MIN(4,2+'5. Scenarios'!$C$8))/4+INDEX(BookQ3,737)*(5-MIN(4,3+'5. Scenarios'!$C$8))/4+INDEX(BookQ4,737)*(5-MIN(4,4+'5. Scenarios'!$C$8))/4)*'5. Scenarios'!$C$6/(1+ProductivityDefault*('5. Scenarios'!$C$11-1))+INDEX(BookOneOff,737)*$I742)</f>
        <v/>
      </c>
      <c r="N742" s="56" t="str">
        <f aca="false">IF(INDEX(BookTitle,737)="","",INDEX(BookTotal,737)*'5. Scenarios'!$D$6/(1+ProductivityDefault*('5. Scenarios'!$D$11-1)))</f>
        <v/>
      </c>
      <c r="O742" s="57" t="str">
        <f aca="false">IF($N742="","",INDEX(BookRate,737)*(1+'5. Scenarios'!$D$10)*$N742)</f>
        <v/>
      </c>
      <c r="P742" s="57" t="str">
        <f aca="false">IF($O742="","",SUMIFS($O$6:$O$2405,$A$6:$A$2405,"&lt;="&amp;$A742))</f>
        <v/>
      </c>
      <c r="Q742" s="57" t="str">
        <f aca="false">IF($O742="","",IF($P742&lt;=BankCostEnvelope*'5. Scenarios'!$D$7,1,0))</f>
        <v/>
      </c>
      <c r="R742" s="57" t="str">
        <f aca="false">IF($N742="","",INDEX(BookRate,737)*(1+'5. Scenarios'!$D$10)*(INDEX(BookQ1,737)*(5-MIN(4,1+'5. Scenarios'!$D$8))/4+INDEX(BookQ2,737)*(5-MIN(4,2+'5. Scenarios'!$D$8))/4+INDEX(BookQ3,737)*(5-MIN(4,3+'5. Scenarios'!$D$8))/4+INDEX(BookQ4,737)*(5-MIN(4,4+'5. Scenarios'!$D$8))/4)*'5. Scenarios'!$D$6/(1+ProductivityDefault*('5. Scenarios'!$D$11-1))+INDEX(BookOneOff,737)*$N742)</f>
        <v/>
      </c>
      <c r="S742" s="56" t="str">
        <f aca="false">IF(INDEX(BookTitle,737)="","",INDEX(BookTotal,737)*'5. Scenarios'!$E$6/(1+ProductivityDefault*('5. Scenarios'!$E$11-1)))</f>
        <v/>
      </c>
      <c r="T742" s="57" t="str">
        <f aca="false">IF($S742="","",INDEX(BookRate,737)*(1+'5. Scenarios'!$E$10)*$S742)</f>
        <v/>
      </c>
      <c r="U742" s="57" t="str">
        <f aca="false">IF($T742="","",SUMIFS($T$6:$T$2405,$A$6:$A$2405,"&lt;="&amp;$A742))</f>
        <v/>
      </c>
      <c r="V742" s="57" t="str">
        <f aca="false">IF($T742="","",IF($U742&lt;=BankCostEnvelope*'5. Scenarios'!$E$7,1,0))</f>
        <v/>
      </c>
      <c r="W742" s="57" t="str">
        <f aca="false">IF($S742="","",INDEX(BookRate,737)*(1+'5. Scenarios'!$E$10)*(INDEX(BookQ1,737)*(5-MIN(4,1+'5. Scenarios'!$E$8))/4+INDEX(BookQ2,737)*(5-MIN(4,2+'5. Scenarios'!$E$8))/4+INDEX(BookQ3,737)*(5-MIN(4,3+'5. Scenarios'!$E$8))/4+INDEX(BookQ4,737)*(5-MIN(4,4+'5. Scenarios'!$E$8))/4)*'5. Scenarios'!$E$6/(1+ProductivityDefault*('5. Scenarios'!$E$11-1))+INDEX(BookOneOff,737)*$S742)</f>
        <v/>
      </c>
    </row>
    <row r="743" customFormat="false" ht="15" hidden="false" customHeight="false" outlineLevel="0" collapsed="false">
      <c r="A743" s="0" t="str">
        <f aca="false">IF(INDEX(BookTitle,738)="","",INDEX(BookKey,738))</f>
        <v/>
      </c>
      <c r="B743" s="0" t="str">
        <f aca="false">IF(INDEX(BookTitle,738)="","",INDEX(BookGroup,738))</f>
        <v/>
      </c>
      <c r="C743" s="0" t="str">
        <f aca="false">IF(INDEX(BookTitle,738)="","",INDEX(BookCategory,738))</f>
        <v/>
      </c>
      <c r="D743" s="56" t="str">
        <f aca="false">IF(INDEX(BookTitle,738)="","",INDEX(BookTotal,738)*'5. Scenarios'!$B$6/(1+ProductivityDefault*('5. Scenarios'!$B$11-1)))</f>
        <v/>
      </c>
      <c r="E743" s="57" t="str">
        <f aca="false">IF($D743="","",INDEX(BookRate,738)*(1+'5. Scenarios'!$B$10)*$D743)</f>
        <v/>
      </c>
      <c r="F743" s="57" t="str">
        <f aca="false">IF($E743="","",SUMIFS($E$6:$E$2405,$A$6:$A$2405,"&lt;="&amp;$A743))</f>
        <v/>
      </c>
      <c r="G743" s="57" t="str">
        <f aca="false">IF($E743="","",IF($F743&lt;=BankCostEnvelope*'5. Scenarios'!$B$7,1,0))</f>
        <v/>
      </c>
      <c r="H743" s="57" t="str">
        <f aca="false">IF($D743="","",INDEX(BookRate,738)*(1+'5. Scenarios'!$B$10)*(INDEX(BookQ1,738)*(5-MIN(4,1+'5. Scenarios'!$B$8))/4+INDEX(BookQ2,738)*(5-MIN(4,2+'5. Scenarios'!$B$8))/4+INDEX(BookQ3,738)*(5-MIN(4,3+'5. Scenarios'!$B$8))/4+INDEX(BookQ4,738)*(5-MIN(4,4+'5. Scenarios'!$B$8))/4)*'5. Scenarios'!$B$6/(1+ProductivityDefault*('5. Scenarios'!$B$11-1))+INDEX(BookOneOff,738)*$D743)</f>
        <v/>
      </c>
      <c r="I743" s="56" t="str">
        <f aca="false">IF(INDEX(BookTitle,738)="","",INDEX(BookTotal,738)*'5. Scenarios'!$C$6/(1+ProductivityDefault*('5. Scenarios'!$C$11-1)))</f>
        <v/>
      </c>
      <c r="J743" s="57" t="str">
        <f aca="false">IF($I743="","",INDEX(BookRate,738)*(1+'5. Scenarios'!$C$10)*$I743)</f>
        <v/>
      </c>
      <c r="K743" s="57" t="str">
        <f aca="false">IF($J743="","",SUMIFS($J$6:$J$2405,$A$6:$A$2405,"&lt;="&amp;$A743))</f>
        <v/>
      </c>
      <c r="L743" s="57" t="str">
        <f aca="false">IF($J743="","",IF($K743&lt;=BankCostEnvelope*'5. Scenarios'!$C$7,1,0))</f>
        <v/>
      </c>
      <c r="M743" s="57" t="str">
        <f aca="false">IF($I743="","",INDEX(BookRate,738)*(1+'5. Scenarios'!$C$10)*(INDEX(BookQ1,738)*(5-MIN(4,1+'5. Scenarios'!$C$8))/4+INDEX(BookQ2,738)*(5-MIN(4,2+'5. Scenarios'!$C$8))/4+INDEX(BookQ3,738)*(5-MIN(4,3+'5. Scenarios'!$C$8))/4+INDEX(BookQ4,738)*(5-MIN(4,4+'5. Scenarios'!$C$8))/4)*'5. Scenarios'!$C$6/(1+ProductivityDefault*('5. Scenarios'!$C$11-1))+INDEX(BookOneOff,738)*$I743)</f>
        <v/>
      </c>
      <c r="N743" s="56" t="str">
        <f aca="false">IF(INDEX(BookTitle,738)="","",INDEX(BookTotal,738)*'5. Scenarios'!$D$6/(1+ProductivityDefault*('5. Scenarios'!$D$11-1)))</f>
        <v/>
      </c>
      <c r="O743" s="57" t="str">
        <f aca="false">IF($N743="","",INDEX(BookRate,738)*(1+'5. Scenarios'!$D$10)*$N743)</f>
        <v/>
      </c>
      <c r="P743" s="57" t="str">
        <f aca="false">IF($O743="","",SUMIFS($O$6:$O$2405,$A$6:$A$2405,"&lt;="&amp;$A743))</f>
        <v/>
      </c>
      <c r="Q743" s="57" t="str">
        <f aca="false">IF($O743="","",IF($P743&lt;=BankCostEnvelope*'5. Scenarios'!$D$7,1,0))</f>
        <v/>
      </c>
      <c r="R743" s="57" t="str">
        <f aca="false">IF($N743="","",INDEX(BookRate,738)*(1+'5. Scenarios'!$D$10)*(INDEX(BookQ1,738)*(5-MIN(4,1+'5. Scenarios'!$D$8))/4+INDEX(BookQ2,738)*(5-MIN(4,2+'5. Scenarios'!$D$8))/4+INDEX(BookQ3,738)*(5-MIN(4,3+'5. Scenarios'!$D$8))/4+INDEX(BookQ4,738)*(5-MIN(4,4+'5. Scenarios'!$D$8))/4)*'5. Scenarios'!$D$6/(1+ProductivityDefault*('5. Scenarios'!$D$11-1))+INDEX(BookOneOff,738)*$N743)</f>
        <v/>
      </c>
      <c r="S743" s="56" t="str">
        <f aca="false">IF(INDEX(BookTitle,738)="","",INDEX(BookTotal,738)*'5. Scenarios'!$E$6/(1+ProductivityDefault*('5. Scenarios'!$E$11-1)))</f>
        <v/>
      </c>
      <c r="T743" s="57" t="str">
        <f aca="false">IF($S743="","",INDEX(BookRate,738)*(1+'5. Scenarios'!$E$10)*$S743)</f>
        <v/>
      </c>
      <c r="U743" s="57" t="str">
        <f aca="false">IF($T743="","",SUMIFS($T$6:$T$2405,$A$6:$A$2405,"&lt;="&amp;$A743))</f>
        <v/>
      </c>
      <c r="V743" s="57" t="str">
        <f aca="false">IF($T743="","",IF($U743&lt;=BankCostEnvelope*'5. Scenarios'!$E$7,1,0))</f>
        <v/>
      </c>
      <c r="W743" s="57" t="str">
        <f aca="false">IF($S743="","",INDEX(BookRate,738)*(1+'5. Scenarios'!$E$10)*(INDEX(BookQ1,738)*(5-MIN(4,1+'5. Scenarios'!$E$8))/4+INDEX(BookQ2,738)*(5-MIN(4,2+'5. Scenarios'!$E$8))/4+INDEX(BookQ3,738)*(5-MIN(4,3+'5. Scenarios'!$E$8))/4+INDEX(BookQ4,738)*(5-MIN(4,4+'5. Scenarios'!$E$8))/4)*'5. Scenarios'!$E$6/(1+ProductivityDefault*('5. Scenarios'!$E$11-1))+INDEX(BookOneOff,738)*$S743)</f>
        <v/>
      </c>
    </row>
    <row r="744" customFormat="false" ht="15" hidden="false" customHeight="false" outlineLevel="0" collapsed="false">
      <c r="A744" s="0" t="str">
        <f aca="false">IF(INDEX(BookTitle,739)="","",INDEX(BookKey,739))</f>
        <v/>
      </c>
      <c r="B744" s="0" t="str">
        <f aca="false">IF(INDEX(BookTitle,739)="","",INDEX(BookGroup,739))</f>
        <v/>
      </c>
      <c r="C744" s="0" t="str">
        <f aca="false">IF(INDEX(BookTitle,739)="","",INDEX(BookCategory,739))</f>
        <v/>
      </c>
      <c r="D744" s="56" t="str">
        <f aca="false">IF(INDEX(BookTitle,739)="","",INDEX(BookTotal,739)*'5. Scenarios'!$B$6/(1+ProductivityDefault*('5. Scenarios'!$B$11-1)))</f>
        <v/>
      </c>
      <c r="E744" s="57" t="str">
        <f aca="false">IF($D744="","",INDEX(BookRate,739)*(1+'5. Scenarios'!$B$10)*$D744)</f>
        <v/>
      </c>
      <c r="F744" s="57" t="str">
        <f aca="false">IF($E744="","",SUMIFS($E$6:$E$2405,$A$6:$A$2405,"&lt;="&amp;$A744))</f>
        <v/>
      </c>
      <c r="G744" s="57" t="str">
        <f aca="false">IF($E744="","",IF($F744&lt;=BankCostEnvelope*'5. Scenarios'!$B$7,1,0))</f>
        <v/>
      </c>
      <c r="H744" s="57" t="str">
        <f aca="false">IF($D744="","",INDEX(BookRate,739)*(1+'5. Scenarios'!$B$10)*(INDEX(BookQ1,739)*(5-MIN(4,1+'5. Scenarios'!$B$8))/4+INDEX(BookQ2,739)*(5-MIN(4,2+'5. Scenarios'!$B$8))/4+INDEX(BookQ3,739)*(5-MIN(4,3+'5. Scenarios'!$B$8))/4+INDEX(BookQ4,739)*(5-MIN(4,4+'5. Scenarios'!$B$8))/4)*'5. Scenarios'!$B$6/(1+ProductivityDefault*('5. Scenarios'!$B$11-1))+INDEX(BookOneOff,739)*$D744)</f>
        <v/>
      </c>
      <c r="I744" s="56" t="str">
        <f aca="false">IF(INDEX(BookTitle,739)="","",INDEX(BookTotal,739)*'5. Scenarios'!$C$6/(1+ProductivityDefault*('5. Scenarios'!$C$11-1)))</f>
        <v/>
      </c>
      <c r="J744" s="57" t="str">
        <f aca="false">IF($I744="","",INDEX(BookRate,739)*(1+'5. Scenarios'!$C$10)*$I744)</f>
        <v/>
      </c>
      <c r="K744" s="57" t="str">
        <f aca="false">IF($J744="","",SUMIFS($J$6:$J$2405,$A$6:$A$2405,"&lt;="&amp;$A744))</f>
        <v/>
      </c>
      <c r="L744" s="57" t="str">
        <f aca="false">IF($J744="","",IF($K744&lt;=BankCostEnvelope*'5. Scenarios'!$C$7,1,0))</f>
        <v/>
      </c>
      <c r="M744" s="57" t="str">
        <f aca="false">IF($I744="","",INDEX(BookRate,739)*(1+'5. Scenarios'!$C$10)*(INDEX(BookQ1,739)*(5-MIN(4,1+'5. Scenarios'!$C$8))/4+INDEX(BookQ2,739)*(5-MIN(4,2+'5. Scenarios'!$C$8))/4+INDEX(BookQ3,739)*(5-MIN(4,3+'5. Scenarios'!$C$8))/4+INDEX(BookQ4,739)*(5-MIN(4,4+'5. Scenarios'!$C$8))/4)*'5. Scenarios'!$C$6/(1+ProductivityDefault*('5. Scenarios'!$C$11-1))+INDEX(BookOneOff,739)*$I744)</f>
        <v/>
      </c>
      <c r="N744" s="56" t="str">
        <f aca="false">IF(INDEX(BookTitle,739)="","",INDEX(BookTotal,739)*'5. Scenarios'!$D$6/(1+ProductivityDefault*('5. Scenarios'!$D$11-1)))</f>
        <v/>
      </c>
      <c r="O744" s="57" t="str">
        <f aca="false">IF($N744="","",INDEX(BookRate,739)*(1+'5. Scenarios'!$D$10)*$N744)</f>
        <v/>
      </c>
      <c r="P744" s="57" t="str">
        <f aca="false">IF($O744="","",SUMIFS($O$6:$O$2405,$A$6:$A$2405,"&lt;="&amp;$A744))</f>
        <v/>
      </c>
      <c r="Q744" s="57" t="str">
        <f aca="false">IF($O744="","",IF($P744&lt;=BankCostEnvelope*'5. Scenarios'!$D$7,1,0))</f>
        <v/>
      </c>
      <c r="R744" s="57" t="str">
        <f aca="false">IF($N744="","",INDEX(BookRate,739)*(1+'5. Scenarios'!$D$10)*(INDEX(BookQ1,739)*(5-MIN(4,1+'5. Scenarios'!$D$8))/4+INDEX(BookQ2,739)*(5-MIN(4,2+'5. Scenarios'!$D$8))/4+INDEX(BookQ3,739)*(5-MIN(4,3+'5. Scenarios'!$D$8))/4+INDEX(BookQ4,739)*(5-MIN(4,4+'5. Scenarios'!$D$8))/4)*'5. Scenarios'!$D$6/(1+ProductivityDefault*('5. Scenarios'!$D$11-1))+INDEX(BookOneOff,739)*$N744)</f>
        <v/>
      </c>
      <c r="S744" s="56" t="str">
        <f aca="false">IF(INDEX(BookTitle,739)="","",INDEX(BookTotal,739)*'5. Scenarios'!$E$6/(1+ProductivityDefault*('5. Scenarios'!$E$11-1)))</f>
        <v/>
      </c>
      <c r="T744" s="57" t="str">
        <f aca="false">IF($S744="","",INDEX(BookRate,739)*(1+'5. Scenarios'!$E$10)*$S744)</f>
        <v/>
      </c>
      <c r="U744" s="57" t="str">
        <f aca="false">IF($T744="","",SUMIFS($T$6:$T$2405,$A$6:$A$2405,"&lt;="&amp;$A744))</f>
        <v/>
      </c>
      <c r="V744" s="57" t="str">
        <f aca="false">IF($T744="","",IF($U744&lt;=BankCostEnvelope*'5. Scenarios'!$E$7,1,0))</f>
        <v/>
      </c>
      <c r="W744" s="57" t="str">
        <f aca="false">IF($S744="","",INDEX(BookRate,739)*(1+'5. Scenarios'!$E$10)*(INDEX(BookQ1,739)*(5-MIN(4,1+'5. Scenarios'!$E$8))/4+INDEX(BookQ2,739)*(5-MIN(4,2+'5. Scenarios'!$E$8))/4+INDEX(BookQ3,739)*(5-MIN(4,3+'5. Scenarios'!$E$8))/4+INDEX(BookQ4,739)*(5-MIN(4,4+'5. Scenarios'!$E$8))/4)*'5. Scenarios'!$E$6/(1+ProductivityDefault*('5. Scenarios'!$E$11-1))+INDEX(BookOneOff,739)*$S744)</f>
        <v/>
      </c>
    </row>
    <row r="745" customFormat="false" ht="15" hidden="false" customHeight="false" outlineLevel="0" collapsed="false">
      <c r="A745" s="0" t="str">
        <f aca="false">IF(INDEX(BookTitle,740)="","",INDEX(BookKey,740))</f>
        <v/>
      </c>
      <c r="B745" s="0" t="str">
        <f aca="false">IF(INDEX(BookTitle,740)="","",INDEX(BookGroup,740))</f>
        <v/>
      </c>
      <c r="C745" s="0" t="str">
        <f aca="false">IF(INDEX(BookTitle,740)="","",INDEX(BookCategory,740))</f>
        <v/>
      </c>
      <c r="D745" s="56" t="str">
        <f aca="false">IF(INDEX(BookTitle,740)="","",INDEX(BookTotal,740)*'5. Scenarios'!$B$6/(1+ProductivityDefault*('5. Scenarios'!$B$11-1)))</f>
        <v/>
      </c>
      <c r="E745" s="57" t="str">
        <f aca="false">IF($D745="","",INDEX(BookRate,740)*(1+'5. Scenarios'!$B$10)*$D745)</f>
        <v/>
      </c>
      <c r="F745" s="57" t="str">
        <f aca="false">IF($E745="","",SUMIFS($E$6:$E$2405,$A$6:$A$2405,"&lt;="&amp;$A745))</f>
        <v/>
      </c>
      <c r="G745" s="57" t="str">
        <f aca="false">IF($E745="","",IF($F745&lt;=BankCostEnvelope*'5. Scenarios'!$B$7,1,0))</f>
        <v/>
      </c>
      <c r="H745" s="57" t="str">
        <f aca="false">IF($D745="","",INDEX(BookRate,740)*(1+'5. Scenarios'!$B$10)*(INDEX(BookQ1,740)*(5-MIN(4,1+'5. Scenarios'!$B$8))/4+INDEX(BookQ2,740)*(5-MIN(4,2+'5. Scenarios'!$B$8))/4+INDEX(BookQ3,740)*(5-MIN(4,3+'5. Scenarios'!$B$8))/4+INDEX(BookQ4,740)*(5-MIN(4,4+'5. Scenarios'!$B$8))/4)*'5. Scenarios'!$B$6/(1+ProductivityDefault*('5. Scenarios'!$B$11-1))+INDEX(BookOneOff,740)*$D745)</f>
        <v/>
      </c>
      <c r="I745" s="56" t="str">
        <f aca="false">IF(INDEX(BookTitle,740)="","",INDEX(BookTotal,740)*'5. Scenarios'!$C$6/(1+ProductivityDefault*('5. Scenarios'!$C$11-1)))</f>
        <v/>
      </c>
      <c r="J745" s="57" t="str">
        <f aca="false">IF($I745="","",INDEX(BookRate,740)*(1+'5. Scenarios'!$C$10)*$I745)</f>
        <v/>
      </c>
      <c r="K745" s="57" t="str">
        <f aca="false">IF($J745="","",SUMIFS($J$6:$J$2405,$A$6:$A$2405,"&lt;="&amp;$A745))</f>
        <v/>
      </c>
      <c r="L745" s="57" t="str">
        <f aca="false">IF($J745="","",IF($K745&lt;=BankCostEnvelope*'5. Scenarios'!$C$7,1,0))</f>
        <v/>
      </c>
      <c r="M745" s="57" t="str">
        <f aca="false">IF($I745="","",INDEX(BookRate,740)*(1+'5. Scenarios'!$C$10)*(INDEX(BookQ1,740)*(5-MIN(4,1+'5. Scenarios'!$C$8))/4+INDEX(BookQ2,740)*(5-MIN(4,2+'5. Scenarios'!$C$8))/4+INDEX(BookQ3,740)*(5-MIN(4,3+'5. Scenarios'!$C$8))/4+INDEX(BookQ4,740)*(5-MIN(4,4+'5. Scenarios'!$C$8))/4)*'5. Scenarios'!$C$6/(1+ProductivityDefault*('5. Scenarios'!$C$11-1))+INDEX(BookOneOff,740)*$I745)</f>
        <v/>
      </c>
      <c r="N745" s="56" t="str">
        <f aca="false">IF(INDEX(BookTitle,740)="","",INDEX(BookTotal,740)*'5. Scenarios'!$D$6/(1+ProductivityDefault*('5. Scenarios'!$D$11-1)))</f>
        <v/>
      </c>
      <c r="O745" s="57" t="str">
        <f aca="false">IF($N745="","",INDEX(BookRate,740)*(1+'5. Scenarios'!$D$10)*$N745)</f>
        <v/>
      </c>
      <c r="P745" s="57" t="str">
        <f aca="false">IF($O745="","",SUMIFS($O$6:$O$2405,$A$6:$A$2405,"&lt;="&amp;$A745))</f>
        <v/>
      </c>
      <c r="Q745" s="57" t="str">
        <f aca="false">IF($O745="","",IF($P745&lt;=BankCostEnvelope*'5. Scenarios'!$D$7,1,0))</f>
        <v/>
      </c>
      <c r="R745" s="57" t="str">
        <f aca="false">IF($N745="","",INDEX(BookRate,740)*(1+'5. Scenarios'!$D$10)*(INDEX(BookQ1,740)*(5-MIN(4,1+'5. Scenarios'!$D$8))/4+INDEX(BookQ2,740)*(5-MIN(4,2+'5. Scenarios'!$D$8))/4+INDEX(BookQ3,740)*(5-MIN(4,3+'5. Scenarios'!$D$8))/4+INDEX(BookQ4,740)*(5-MIN(4,4+'5. Scenarios'!$D$8))/4)*'5. Scenarios'!$D$6/(1+ProductivityDefault*('5. Scenarios'!$D$11-1))+INDEX(BookOneOff,740)*$N745)</f>
        <v/>
      </c>
      <c r="S745" s="56" t="str">
        <f aca="false">IF(INDEX(BookTitle,740)="","",INDEX(BookTotal,740)*'5. Scenarios'!$E$6/(1+ProductivityDefault*('5. Scenarios'!$E$11-1)))</f>
        <v/>
      </c>
      <c r="T745" s="57" t="str">
        <f aca="false">IF($S745="","",INDEX(BookRate,740)*(1+'5. Scenarios'!$E$10)*$S745)</f>
        <v/>
      </c>
      <c r="U745" s="57" t="str">
        <f aca="false">IF($T745="","",SUMIFS($T$6:$T$2405,$A$6:$A$2405,"&lt;="&amp;$A745))</f>
        <v/>
      </c>
      <c r="V745" s="57" t="str">
        <f aca="false">IF($T745="","",IF($U745&lt;=BankCostEnvelope*'5. Scenarios'!$E$7,1,0))</f>
        <v/>
      </c>
      <c r="W745" s="57" t="str">
        <f aca="false">IF($S745="","",INDEX(BookRate,740)*(1+'5. Scenarios'!$E$10)*(INDEX(BookQ1,740)*(5-MIN(4,1+'5. Scenarios'!$E$8))/4+INDEX(BookQ2,740)*(5-MIN(4,2+'5. Scenarios'!$E$8))/4+INDEX(BookQ3,740)*(5-MIN(4,3+'5. Scenarios'!$E$8))/4+INDEX(BookQ4,740)*(5-MIN(4,4+'5. Scenarios'!$E$8))/4)*'5. Scenarios'!$E$6/(1+ProductivityDefault*('5. Scenarios'!$E$11-1))+INDEX(BookOneOff,740)*$S745)</f>
        <v/>
      </c>
    </row>
    <row r="746" customFormat="false" ht="15" hidden="false" customHeight="false" outlineLevel="0" collapsed="false">
      <c r="A746" s="0" t="str">
        <f aca="false">IF(INDEX(BookTitle,741)="","",INDEX(BookKey,741))</f>
        <v/>
      </c>
      <c r="B746" s="0" t="str">
        <f aca="false">IF(INDEX(BookTitle,741)="","",INDEX(BookGroup,741))</f>
        <v/>
      </c>
      <c r="C746" s="0" t="str">
        <f aca="false">IF(INDEX(BookTitle,741)="","",INDEX(BookCategory,741))</f>
        <v/>
      </c>
      <c r="D746" s="56" t="str">
        <f aca="false">IF(INDEX(BookTitle,741)="","",INDEX(BookTotal,741)*'5. Scenarios'!$B$6/(1+ProductivityDefault*('5. Scenarios'!$B$11-1)))</f>
        <v/>
      </c>
      <c r="E746" s="57" t="str">
        <f aca="false">IF($D746="","",INDEX(BookRate,741)*(1+'5. Scenarios'!$B$10)*$D746)</f>
        <v/>
      </c>
      <c r="F746" s="57" t="str">
        <f aca="false">IF($E746="","",SUMIFS($E$6:$E$2405,$A$6:$A$2405,"&lt;="&amp;$A746))</f>
        <v/>
      </c>
      <c r="G746" s="57" t="str">
        <f aca="false">IF($E746="","",IF($F746&lt;=BankCostEnvelope*'5. Scenarios'!$B$7,1,0))</f>
        <v/>
      </c>
      <c r="H746" s="57" t="str">
        <f aca="false">IF($D746="","",INDEX(BookRate,741)*(1+'5. Scenarios'!$B$10)*(INDEX(BookQ1,741)*(5-MIN(4,1+'5. Scenarios'!$B$8))/4+INDEX(BookQ2,741)*(5-MIN(4,2+'5. Scenarios'!$B$8))/4+INDEX(BookQ3,741)*(5-MIN(4,3+'5. Scenarios'!$B$8))/4+INDEX(BookQ4,741)*(5-MIN(4,4+'5. Scenarios'!$B$8))/4)*'5. Scenarios'!$B$6/(1+ProductivityDefault*('5. Scenarios'!$B$11-1))+INDEX(BookOneOff,741)*$D746)</f>
        <v/>
      </c>
      <c r="I746" s="56" t="str">
        <f aca="false">IF(INDEX(BookTitle,741)="","",INDEX(BookTotal,741)*'5. Scenarios'!$C$6/(1+ProductivityDefault*('5. Scenarios'!$C$11-1)))</f>
        <v/>
      </c>
      <c r="J746" s="57" t="str">
        <f aca="false">IF($I746="","",INDEX(BookRate,741)*(1+'5. Scenarios'!$C$10)*$I746)</f>
        <v/>
      </c>
      <c r="K746" s="57" t="str">
        <f aca="false">IF($J746="","",SUMIFS($J$6:$J$2405,$A$6:$A$2405,"&lt;="&amp;$A746))</f>
        <v/>
      </c>
      <c r="L746" s="57" t="str">
        <f aca="false">IF($J746="","",IF($K746&lt;=BankCostEnvelope*'5. Scenarios'!$C$7,1,0))</f>
        <v/>
      </c>
      <c r="M746" s="57" t="str">
        <f aca="false">IF($I746="","",INDEX(BookRate,741)*(1+'5. Scenarios'!$C$10)*(INDEX(BookQ1,741)*(5-MIN(4,1+'5. Scenarios'!$C$8))/4+INDEX(BookQ2,741)*(5-MIN(4,2+'5. Scenarios'!$C$8))/4+INDEX(BookQ3,741)*(5-MIN(4,3+'5. Scenarios'!$C$8))/4+INDEX(BookQ4,741)*(5-MIN(4,4+'5. Scenarios'!$C$8))/4)*'5. Scenarios'!$C$6/(1+ProductivityDefault*('5. Scenarios'!$C$11-1))+INDEX(BookOneOff,741)*$I746)</f>
        <v/>
      </c>
      <c r="N746" s="56" t="str">
        <f aca="false">IF(INDEX(BookTitle,741)="","",INDEX(BookTotal,741)*'5. Scenarios'!$D$6/(1+ProductivityDefault*('5. Scenarios'!$D$11-1)))</f>
        <v/>
      </c>
      <c r="O746" s="57" t="str">
        <f aca="false">IF($N746="","",INDEX(BookRate,741)*(1+'5. Scenarios'!$D$10)*$N746)</f>
        <v/>
      </c>
      <c r="P746" s="57" t="str">
        <f aca="false">IF($O746="","",SUMIFS($O$6:$O$2405,$A$6:$A$2405,"&lt;="&amp;$A746))</f>
        <v/>
      </c>
      <c r="Q746" s="57" t="str">
        <f aca="false">IF($O746="","",IF($P746&lt;=BankCostEnvelope*'5. Scenarios'!$D$7,1,0))</f>
        <v/>
      </c>
      <c r="R746" s="57" t="str">
        <f aca="false">IF($N746="","",INDEX(BookRate,741)*(1+'5. Scenarios'!$D$10)*(INDEX(BookQ1,741)*(5-MIN(4,1+'5. Scenarios'!$D$8))/4+INDEX(BookQ2,741)*(5-MIN(4,2+'5. Scenarios'!$D$8))/4+INDEX(BookQ3,741)*(5-MIN(4,3+'5. Scenarios'!$D$8))/4+INDEX(BookQ4,741)*(5-MIN(4,4+'5. Scenarios'!$D$8))/4)*'5. Scenarios'!$D$6/(1+ProductivityDefault*('5. Scenarios'!$D$11-1))+INDEX(BookOneOff,741)*$N746)</f>
        <v/>
      </c>
      <c r="S746" s="56" t="str">
        <f aca="false">IF(INDEX(BookTitle,741)="","",INDEX(BookTotal,741)*'5. Scenarios'!$E$6/(1+ProductivityDefault*('5. Scenarios'!$E$11-1)))</f>
        <v/>
      </c>
      <c r="T746" s="57" t="str">
        <f aca="false">IF($S746="","",INDEX(BookRate,741)*(1+'5. Scenarios'!$E$10)*$S746)</f>
        <v/>
      </c>
      <c r="U746" s="57" t="str">
        <f aca="false">IF($T746="","",SUMIFS($T$6:$T$2405,$A$6:$A$2405,"&lt;="&amp;$A746))</f>
        <v/>
      </c>
      <c r="V746" s="57" t="str">
        <f aca="false">IF($T746="","",IF($U746&lt;=BankCostEnvelope*'5. Scenarios'!$E$7,1,0))</f>
        <v/>
      </c>
      <c r="W746" s="57" t="str">
        <f aca="false">IF($S746="","",INDEX(BookRate,741)*(1+'5. Scenarios'!$E$10)*(INDEX(BookQ1,741)*(5-MIN(4,1+'5. Scenarios'!$E$8))/4+INDEX(BookQ2,741)*(5-MIN(4,2+'5. Scenarios'!$E$8))/4+INDEX(BookQ3,741)*(5-MIN(4,3+'5. Scenarios'!$E$8))/4+INDEX(BookQ4,741)*(5-MIN(4,4+'5. Scenarios'!$E$8))/4)*'5. Scenarios'!$E$6/(1+ProductivityDefault*('5. Scenarios'!$E$11-1))+INDEX(BookOneOff,741)*$S746)</f>
        <v/>
      </c>
    </row>
    <row r="747" customFormat="false" ht="15" hidden="false" customHeight="false" outlineLevel="0" collapsed="false">
      <c r="A747" s="0" t="str">
        <f aca="false">IF(INDEX(BookTitle,742)="","",INDEX(BookKey,742))</f>
        <v/>
      </c>
      <c r="B747" s="0" t="str">
        <f aca="false">IF(INDEX(BookTitle,742)="","",INDEX(BookGroup,742))</f>
        <v/>
      </c>
      <c r="C747" s="0" t="str">
        <f aca="false">IF(INDEX(BookTitle,742)="","",INDEX(BookCategory,742))</f>
        <v/>
      </c>
      <c r="D747" s="56" t="str">
        <f aca="false">IF(INDEX(BookTitle,742)="","",INDEX(BookTotal,742)*'5. Scenarios'!$B$6/(1+ProductivityDefault*('5. Scenarios'!$B$11-1)))</f>
        <v/>
      </c>
      <c r="E747" s="57" t="str">
        <f aca="false">IF($D747="","",INDEX(BookRate,742)*(1+'5. Scenarios'!$B$10)*$D747)</f>
        <v/>
      </c>
      <c r="F747" s="57" t="str">
        <f aca="false">IF($E747="","",SUMIFS($E$6:$E$2405,$A$6:$A$2405,"&lt;="&amp;$A747))</f>
        <v/>
      </c>
      <c r="G747" s="57" t="str">
        <f aca="false">IF($E747="","",IF($F747&lt;=BankCostEnvelope*'5. Scenarios'!$B$7,1,0))</f>
        <v/>
      </c>
      <c r="H747" s="57" t="str">
        <f aca="false">IF($D747="","",INDEX(BookRate,742)*(1+'5. Scenarios'!$B$10)*(INDEX(BookQ1,742)*(5-MIN(4,1+'5. Scenarios'!$B$8))/4+INDEX(BookQ2,742)*(5-MIN(4,2+'5. Scenarios'!$B$8))/4+INDEX(BookQ3,742)*(5-MIN(4,3+'5. Scenarios'!$B$8))/4+INDEX(BookQ4,742)*(5-MIN(4,4+'5. Scenarios'!$B$8))/4)*'5. Scenarios'!$B$6/(1+ProductivityDefault*('5. Scenarios'!$B$11-1))+INDEX(BookOneOff,742)*$D747)</f>
        <v/>
      </c>
      <c r="I747" s="56" t="str">
        <f aca="false">IF(INDEX(BookTitle,742)="","",INDEX(BookTotal,742)*'5. Scenarios'!$C$6/(1+ProductivityDefault*('5. Scenarios'!$C$11-1)))</f>
        <v/>
      </c>
      <c r="J747" s="57" t="str">
        <f aca="false">IF($I747="","",INDEX(BookRate,742)*(1+'5. Scenarios'!$C$10)*$I747)</f>
        <v/>
      </c>
      <c r="K747" s="57" t="str">
        <f aca="false">IF($J747="","",SUMIFS($J$6:$J$2405,$A$6:$A$2405,"&lt;="&amp;$A747))</f>
        <v/>
      </c>
      <c r="L747" s="57" t="str">
        <f aca="false">IF($J747="","",IF($K747&lt;=BankCostEnvelope*'5. Scenarios'!$C$7,1,0))</f>
        <v/>
      </c>
      <c r="M747" s="57" t="str">
        <f aca="false">IF($I747="","",INDEX(BookRate,742)*(1+'5. Scenarios'!$C$10)*(INDEX(BookQ1,742)*(5-MIN(4,1+'5. Scenarios'!$C$8))/4+INDEX(BookQ2,742)*(5-MIN(4,2+'5. Scenarios'!$C$8))/4+INDEX(BookQ3,742)*(5-MIN(4,3+'5. Scenarios'!$C$8))/4+INDEX(BookQ4,742)*(5-MIN(4,4+'5. Scenarios'!$C$8))/4)*'5. Scenarios'!$C$6/(1+ProductivityDefault*('5. Scenarios'!$C$11-1))+INDEX(BookOneOff,742)*$I747)</f>
        <v/>
      </c>
      <c r="N747" s="56" t="str">
        <f aca="false">IF(INDEX(BookTitle,742)="","",INDEX(BookTotal,742)*'5. Scenarios'!$D$6/(1+ProductivityDefault*('5. Scenarios'!$D$11-1)))</f>
        <v/>
      </c>
      <c r="O747" s="57" t="str">
        <f aca="false">IF($N747="","",INDEX(BookRate,742)*(1+'5. Scenarios'!$D$10)*$N747)</f>
        <v/>
      </c>
      <c r="P747" s="57" t="str">
        <f aca="false">IF($O747="","",SUMIFS($O$6:$O$2405,$A$6:$A$2405,"&lt;="&amp;$A747))</f>
        <v/>
      </c>
      <c r="Q747" s="57" t="str">
        <f aca="false">IF($O747="","",IF($P747&lt;=BankCostEnvelope*'5. Scenarios'!$D$7,1,0))</f>
        <v/>
      </c>
      <c r="R747" s="57" t="str">
        <f aca="false">IF($N747="","",INDEX(BookRate,742)*(1+'5. Scenarios'!$D$10)*(INDEX(BookQ1,742)*(5-MIN(4,1+'5. Scenarios'!$D$8))/4+INDEX(BookQ2,742)*(5-MIN(4,2+'5. Scenarios'!$D$8))/4+INDEX(BookQ3,742)*(5-MIN(4,3+'5. Scenarios'!$D$8))/4+INDEX(BookQ4,742)*(5-MIN(4,4+'5. Scenarios'!$D$8))/4)*'5. Scenarios'!$D$6/(1+ProductivityDefault*('5. Scenarios'!$D$11-1))+INDEX(BookOneOff,742)*$N747)</f>
        <v/>
      </c>
      <c r="S747" s="56" t="str">
        <f aca="false">IF(INDEX(BookTitle,742)="","",INDEX(BookTotal,742)*'5. Scenarios'!$E$6/(1+ProductivityDefault*('5. Scenarios'!$E$11-1)))</f>
        <v/>
      </c>
      <c r="T747" s="57" t="str">
        <f aca="false">IF($S747="","",INDEX(BookRate,742)*(1+'5. Scenarios'!$E$10)*$S747)</f>
        <v/>
      </c>
      <c r="U747" s="57" t="str">
        <f aca="false">IF($T747="","",SUMIFS($T$6:$T$2405,$A$6:$A$2405,"&lt;="&amp;$A747))</f>
        <v/>
      </c>
      <c r="V747" s="57" t="str">
        <f aca="false">IF($T747="","",IF($U747&lt;=BankCostEnvelope*'5. Scenarios'!$E$7,1,0))</f>
        <v/>
      </c>
      <c r="W747" s="57" t="str">
        <f aca="false">IF($S747="","",INDEX(BookRate,742)*(1+'5. Scenarios'!$E$10)*(INDEX(BookQ1,742)*(5-MIN(4,1+'5. Scenarios'!$E$8))/4+INDEX(BookQ2,742)*(5-MIN(4,2+'5. Scenarios'!$E$8))/4+INDEX(BookQ3,742)*(5-MIN(4,3+'5. Scenarios'!$E$8))/4+INDEX(BookQ4,742)*(5-MIN(4,4+'5. Scenarios'!$E$8))/4)*'5. Scenarios'!$E$6/(1+ProductivityDefault*('5. Scenarios'!$E$11-1))+INDEX(BookOneOff,742)*$S747)</f>
        <v/>
      </c>
    </row>
    <row r="748" customFormat="false" ht="15" hidden="false" customHeight="false" outlineLevel="0" collapsed="false">
      <c r="A748" s="0" t="str">
        <f aca="false">IF(INDEX(BookTitle,743)="","",INDEX(BookKey,743))</f>
        <v/>
      </c>
      <c r="B748" s="0" t="str">
        <f aca="false">IF(INDEX(BookTitle,743)="","",INDEX(BookGroup,743))</f>
        <v/>
      </c>
      <c r="C748" s="0" t="str">
        <f aca="false">IF(INDEX(BookTitle,743)="","",INDEX(BookCategory,743))</f>
        <v/>
      </c>
      <c r="D748" s="56" t="str">
        <f aca="false">IF(INDEX(BookTitle,743)="","",INDEX(BookTotal,743)*'5. Scenarios'!$B$6/(1+ProductivityDefault*('5. Scenarios'!$B$11-1)))</f>
        <v/>
      </c>
      <c r="E748" s="57" t="str">
        <f aca="false">IF($D748="","",INDEX(BookRate,743)*(1+'5. Scenarios'!$B$10)*$D748)</f>
        <v/>
      </c>
      <c r="F748" s="57" t="str">
        <f aca="false">IF($E748="","",SUMIFS($E$6:$E$2405,$A$6:$A$2405,"&lt;="&amp;$A748))</f>
        <v/>
      </c>
      <c r="G748" s="57" t="str">
        <f aca="false">IF($E748="","",IF($F748&lt;=BankCostEnvelope*'5. Scenarios'!$B$7,1,0))</f>
        <v/>
      </c>
      <c r="H748" s="57" t="str">
        <f aca="false">IF($D748="","",INDEX(BookRate,743)*(1+'5. Scenarios'!$B$10)*(INDEX(BookQ1,743)*(5-MIN(4,1+'5. Scenarios'!$B$8))/4+INDEX(BookQ2,743)*(5-MIN(4,2+'5. Scenarios'!$B$8))/4+INDEX(BookQ3,743)*(5-MIN(4,3+'5. Scenarios'!$B$8))/4+INDEX(BookQ4,743)*(5-MIN(4,4+'5. Scenarios'!$B$8))/4)*'5. Scenarios'!$B$6/(1+ProductivityDefault*('5. Scenarios'!$B$11-1))+INDEX(BookOneOff,743)*$D748)</f>
        <v/>
      </c>
      <c r="I748" s="56" t="str">
        <f aca="false">IF(INDEX(BookTitle,743)="","",INDEX(BookTotal,743)*'5. Scenarios'!$C$6/(1+ProductivityDefault*('5. Scenarios'!$C$11-1)))</f>
        <v/>
      </c>
      <c r="J748" s="57" t="str">
        <f aca="false">IF($I748="","",INDEX(BookRate,743)*(1+'5. Scenarios'!$C$10)*$I748)</f>
        <v/>
      </c>
      <c r="K748" s="57" t="str">
        <f aca="false">IF($J748="","",SUMIFS($J$6:$J$2405,$A$6:$A$2405,"&lt;="&amp;$A748))</f>
        <v/>
      </c>
      <c r="L748" s="57" t="str">
        <f aca="false">IF($J748="","",IF($K748&lt;=BankCostEnvelope*'5. Scenarios'!$C$7,1,0))</f>
        <v/>
      </c>
      <c r="M748" s="57" t="str">
        <f aca="false">IF($I748="","",INDEX(BookRate,743)*(1+'5. Scenarios'!$C$10)*(INDEX(BookQ1,743)*(5-MIN(4,1+'5. Scenarios'!$C$8))/4+INDEX(BookQ2,743)*(5-MIN(4,2+'5. Scenarios'!$C$8))/4+INDEX(BookQ3,743)*(5-MIN(4,3+'5. Scenarios'!$C$8))/4+INDEX(BookQ4,743)*(5-MIN(4,4+'5. Scenarios'!$C$8))/4)*'5. Scenarios'!$C$6/(1+ProductivityDefault*('5. Scenarios'!$C$11-1))+INDEX(BookOneOff,743)*$I748)</f>
        <v/>
      </c>
      <c r="N748" s="56" t="str">
        <f aca="false">IF(INDEX(BookTitle,743)="","",INDEX(BookTotal,743)*'5. Scenarios'!$D$6/(1+ProductivityDefault*('5. Scenarios'!$D$11-1)))</f>
        <v/>
      </c>
      <c r="O748" s="57" t="str">
        <f aca="false">IF($N748="","",INDEX(BookRate,743)*(1+'5. Scenarios'!$D$10)*$N748)</f>
        <v/>
      </c>
      <c r="P748" s="57" t="str">
        <f aca="false">IF($O748="","",SUMIFS($O$6:$O$2405,$A$6:$A$2405,"&lt;="&amp;$A748))</f>
        <v/>
      </c>
      <c r="Q748" s="57" t="str">
        <f aca="false">IF($O748="","",IF($P748&lt;=BankCostEnvelope*'5. Scenarios'!$D$7,1,0))</f>
        <v/>
      </c>
      <c r="R748" s="57" t="str">
        <f aca="false">IF($N748="","",INDEX(BookRate,743)*(1+'5. Scenarios'!$D$10)*(INDEX(BookQ1,743)*(5-MIN(4,1+'5. Scenarios'!$D$8))/4+INDEX(BookQ2,743)*(5-MIN(4,2+'5. Scenarios'!$D$8))/4+INDEX(BookQ3,743)*(5-MIN(4,3+'5. Scenarios'!$D$8))/4+INDEX(BookQ4,743)*(5-MIN(4,4+'5. Scenarios'!$D$8))/4)*'5. Scenarios'!$D$6/(1+ProductivityDefault*('5. Scenarios'!$D$11-1))+INDEX(BookOneOff,743)*$N748)</f>
        <v/>
      </c>
      <c r="S748" s="56" t="str">
        <f aca="false">IF(INDEX(BookTitle,743)="","",INDEX(BookTotal,743)*'5. Scenarios'!$E$6/(1+ProductivityDefault*('5. Scenarios'!$E$11-1)))</f>
        <v/>
      </c>
      <c r="T748" s="57" t="str">
        <f aca="false">IF($S748="","",INDEX(BookRate,743)*(1+'5. Scenarios'!$E$10)*$S748)</f>
        <v/>
      </c>
      <c r="U748" s="57" t="str">
        <f aca="false">IF($T748="","",SUMIFS($T$6:$T$2405,$A$6:$A$2405,"&lt;="&amp;$A748))</f>
        <v/>
      </c>
      <c r="V748" s="57" t="str">
        <f aca="false">IF($T748="","",IF($U748&lt;=BankCostEnvelope*'5. Scenarios'!$E$7,1,0))</f>
        <v/>
      </c>
      <c r="W748" s="57" t="str">
        <f aca="false">IF($S748="","",INDEX(BookRate,743)*(1+'5. Scenarios'!$E$10)*(INDEX(BookQ1,743)*(5-MIN(4,1+'5. Scenarios'!$E$8))/4+INDEX(BookQ2,743)*(5-MIN(4,2+'5. Scenarios'!$E$8))/4+INDEX(BookQ3,743)*(5-MIN(4,3+'5. Scenarios'!$E$8))/4+INDEX(BookQ4,743)*(5-MIN(4,4+'5. Scenarios'!$E$8))/4)*'5. Scenarios'!$E$6/(1+ProductivityDefault*('5. Scenarios'!$E$11-1))+INDEX(BookOneOff,743)*$S748)</f>
        <v/>
      </c>
    </row>
    <row r="749" customFormat="false" ht="15" hidden="false" customHeight="false" outlineLevel="0" collapsed="false">
      <c r="A749" s="0" t="str">
        <f aca="false">IF(INDEX(BookTitle,744)="","",INDEX(BookKey,744))</f>
        <v/>
      </c>
      <c r="B749" s="0" t="str">
        <f aca="false">IF(INDEX(BookTitle,744)="","",INDEX(BookGroup,744))</f>
        <v/>
      </c>
      <c r="C749" s="0" t="str">
        <f aca="false">IF(INDEX(BookTitle,744)="","",INDEX(BookCategory,744))</f>
        <v/>
      </c>
      <c r="D749" s="56" t="str">
        <f aca="false">IF(INDEX(BookTitle,744)="","",INDEX(BookTotal,744)*'5. Scenarios'!$B$6/(1+ProductivityDefault*('5. Scenarios'!$B$11-1)))</f>
        <v/>
      </c>
      <c r="E749" s="57" t="str">
        <f aca="false">IF($D749="","",INDEX(BookRate,744)*(1+'5. Scenarios'!$B$10)*$D749)</f>
        <v/>
      </c>
      <c r="F749" s="57" t="str">
        <f aca="false">IF($E749="","",SUMIFS($E$6:$E$2405,$A$6:$A$2405,"&lt;="&amp;$A749))</f>
        <v/>
      </c>
      <c r="G749" s="57" t="str">
        <f aca="false">IF($E749="","",IF($F749&lt;=BankCostEnvelope*'5. Scenarios'!$B$7,1,0))</f>
        <v/>
      </c>
      <c r="H749" s="57" t="str">
        <f aca="false">IF($D749="","",INDEX(BookRate,744)*(1+'5. Scenarios'!$B$10)*(INDEX(BookQ1,744)*(5-MIN(4,1+'5. Scenarios'!$B$8))/4+INDEX(BookQ2,744)*(5-MIN(4,2+'5. Scenarios'!$B$8))/4+INDEX(BookQ3,744)*(5-MIN(4,3+'5. Scenarios'!$B$8))/4+INDEX(BookQ4,744)*(5-MIN(4,4+'5. Scenarios'!$B$8))/4)*'5. Scenarios'!$B$6/(1+ProductivityDefault*('5. Scenarios'!$B$11-1))+INDEX(BookOneOff,744)*$D749)</f>
        <v/>
      </c>
      <c r="I749" s="56" t="str">
        <f aca="false">IF(INDEX(BookTitle,744)="","",INDEX(BookTotal,744)*'5. Scenarios'!$C$6/(1+ProductivityDefault*('5. Scenarios'!$C$11-1)))</f>
        <v/>
      </c>
      <c r="J749" s="57" t="str">
        <f aca="false">IF($I749="","",INDEX(BookRate,744)*(1+'5. Scenarios'!$C$10)*$I749)</f>
        <v/>
      </c>
      <c r="K749" s="57" t="str">
        <f aca="false">IF($J749="","",SUMIFS($J$6:$J$2405,$A$6:$A$2405,"&lt;="&amp;$A749))</f>
        <v/>
      </c>
      <c r="L749" s="57" t="str">
        <f aca="false">IF($J749="","",IF($K749&lt;=BankCostEnvelope*'5. Scenarios'!$C$7,1,0))</f>
        <v/>
      </c>
      <c r="M749" s="57" t="str">
        <f aca="false">IF($I749="","",INDEX(BookRate,744)*(1+'5. Scenarios'!$C$10)*(INDEX(BookQ1,744)*(5-MIN(4,1+'5. Scenarios'!$C$8))/4+INDEX(BookQ2,744)*(5-MIN(4,2+'5. Scenarios'!$C$8))/4+INDEX(BookQ3,744)*(5-MIN(4,3+'5. Scenarios'!$C$8))/4+INDEX(BookQ4,744)*(5-MIN(4,4+'5. Scenarios'!$C$8))/4)*'5. Scenarios'!$C$6/(1+ProductivityDefault*('5. Scenarios'!$C$11-1))+INDEX(BookOneOff,744)*$I749)</f>
        <v/>
      </c>
      <c r="N749" s="56" t="str">
        <f aca="false">IF(INDEX(BookTitle,744)="","",INDEX(BookTotal,744)*'5. Scenarios'!$D$6/(1+ProductivityDefault*('5. Scenarios'!$D$11-1)))</f>
        <v/>
      </c>
      <c r="O749" s="57" t="str">
        <f aca="false">IF($N749="","",INDEX(BookRate,744)*(1+'5. Scenarios'!$D$10)*$N749)</f>
        <v/>
      </c>
      <c r="P749" s="57" t="str">
        <f aca="false">IF($O749="","",SUMIFS($O$6:$O$2405,$A$6:$A$2405,"&lt;="&amp;$A749))</f>
        <v/>
      </c>
      <c r="Q749" s="57" t="str">
        <f aca="false">IF($O749="","",IF($P749&lt;=BankCostEnvelope*'5. Scenarios'!$D$7,1,0))</f>
        <v/>
      </c>
      <c r="R749" s="57" t="str">
        <f aca="false">IF($N749="","",INDEX(BookRate,744)*(1+'5. Scenarios'!$D$10)*(INDEX(BookQ1,744)*(5-MIN(4,1+'5. Scenarios'!$D$8))/4+INDEX(BookQ2,744)*(5-MIN(4,2+'5. Scenarios'!$D$8))/4+INDEX(BookQ3,744)*(5-MIN(4,3+'5. Scenarios'!$D$8))/4+INDEX(BookQ4,744)*(5-MIN(4,4+'5. Scenarios'!$D$8))/4)*'5. Scenarios'!$D$6/(1+ProductivityDefault*('5. Scenarios'!$D$11-1))+INDEX(BookOneOff,744)*$N749)</f>
        <v/>
      </c>
      <c r="S749" s="56" t="str">
        <f aca="false">IF(INDEX(BookTitle,744)="","",INDEX(BookTotal,744)*'5. Scenarios'!$E$6/(1+ProductivityDefault*('5. Scenarios'!$E$11-1)))</f>
        <v/>
      </c>
      <c r="T749" s="57" t="str">
        <f aca="false">IF($S749="","",INDEX(BookRate,744)*(1+'5. Scenarios'!$E$10)*$S749)</f>
        <v/>
      </c>
      <c r="U749" s="57" t="str">
        <f aca="false">IF($T749="","",SUMIFS($T$6:$T$2405,$A$6:$A$2405,"&lt;="&amp;$A749))</f>
        <v/>
      </c>
      <c r="V749" s="57" t="str">
        <f aca="false">IF($T749="","",IF($U749&lt;=BankCostEnvelope*'5. Scenarios'!$E$7,1,0))</f>
        <v/>
      </c>
      <c r="W749" s="57" t="str">
        <f aca="false">IF($S749="","",INDEX(BookRate,744)*(1+'5. Scenarios'!$E$10)*(INDEX(BookQ1,744)*(5-MIN(4,1+'5. Scenarios'!$E$8))/4+INDEX(BookQ2,744)*(5-MIN(4,2+'5. Scenarios'!$E$8))/4+INDEX(BookQ3,744)*(5-MIN(4,3+'5. Scenarios'!$E$8))/4+INDEX(BookQ4,744)*(5-MIN(4,4+'5. Scenarios'!$E$8))/4)*'5. Scenarios'!$E$6/(1+ProductivityDefault*('5. Scenarios'!$E$11-1))+INDEX(BookOneOff,744)*$S749)</f>
        <v/>
      </c>
    </row>
    <row r="750" customFormat="false" ht="15" hidden="false" customHeight="false" outlineLevel="0" collapsed="false">
      <c r="A750" s="0" t="str">
        <f aca="false">IF(INDEX(BookTitle,745)="","",INDEX(BookKey,745))</f>
        <v/>
      </c>
      <c r="B750" s="0" t="str">
        <f aca="false">IF(INDEX(BookTitle,745)="","",INDEX(BookGroup,745))</f>
        <v/>
      </c>
      <c r="C750" s="0" t="str">
        <f aca="false">IF(INDEX(BookTitle,745)="","",INDEX(BookCategory,745))</f>
        <v/>
      </c>
      <c r="D750" s="56" t="str">
        <f aca="false">IF(INDEX(BookTitle,745)="","",INDEX(BookTotal,745)*'5. Scenarios'!$B$6/(1+ProductivityDefault*('5. Scenarios'!$B$11-1)))</f>
        <v/>
      </c>
      <c r="E750" s="57" t="str">
        <f aca="false">IF($D750="","",INDEX(BookRate,745)*(1+'5. Scenarios'!$B$10)*$D750)</f>
        <v/>
      </c>
      <c r="F750" s="57" t="str">
        <f aca="false">IF($E750="","",SUMIFS($E$6:$E$2405,$A$6:$A$2405,"&lt;="&amp;$A750))</f>
        <v/>
      </c>
      <c r="G750" s="57" t="str">
        <f aca="false">IF($E750="","",IF($F750&lt;=BankCostEnvelope*'5. Scenarios'!$B$7,1,0))</f>
        <v/>
      </c>
      <c r="H750" s="57" t="str">
        <f aca="false">IF($D750="","",INDEX(BookRate,745)*(1+'5. Scenarios'!$B$10)*(INDEX(BookQ1,745)*(5-MIN(4,1+'5. Scenarios'!$B$8))/4+INDEX(BookQ2,745)*(5-MIN(4,2+'5. Scenarios'!$B$8))/4+INDEX(BookQ3,745)*(5-MIN(4,3+'5. Scenarios'!$B$8))/4+INDEX(BookQ4,745)*(5-MIN(4,4+'5. Scenarios'!$B$8))/4)*'5. Scenarios'!$B$6/(1+ProductivityDefault*('5. Scenarios'!$B$11-1))+INDEX(BookOneOff,745)*$D750)</f>
        <v/>
      </c>
      <c r="I750" s="56" t="str">
        <f aca="false">IF(INDEX(BookTitle,745)="","",INDEX(BookTotal,745)*'5. Scenarios'!$C$6/(1+ProductivityDefault*('5. Scenarios'!$C$11-1)))</f>
        <v/>
      </c>
      <c r="J750" s="57" t="str">
        <f aca="false">IF($I750="","",INDEX(BookRate,745)*(1+'5. Scenarios'!$C$10)*$I750)</f>
        <v/>
      </c>
      <c r="K750" s="57" t="str">
        <f aca="false">IF($J750="","",SUMIFS($J$6:$J$2405,$A$6:$A$2405,"&lt;="&amp;$A750))</f>
        <v/>
      </c>
      <c r="L750" s="57" t="str">
        <f aca="false">IF($J750="","",IF($K750&lt;=BankCostEnvelope*'5. Scenarios'!$C$7,1,0))</f>
        <v/>
      </c>
      <c r="M750" s="57" t="str">
        <f aca="false">IF($I750="","",INDEX(BookRate,745)*(1+'5. Scenarios'!$C$10)*(INDEX(BookQ1,745)*(5-MIN(4,1+'5. Scenarios'!$C$8))/4+INDEX(BookQ2,745)*(5-MIN(4,2+'5. Scenarios'!$C$8))/4+INDEX(BookQ3,745)*(5-MIN(4,3+'5. Scenarios'!$C$8))/4+INDEX(BookQ4,745)*(5-MIN(4,4+'5. Scenarios'!$C$8))/4)*'5. Scenarios'!$C$6/(1+ProductivityDefault*('5. Scenarios'!$C$11-1))+INDEX(BookOneOff,745)*$I750)</f>
        <v/>
      </c>
      <c r="N750" s="56" t="str">
        <f aca="false">IF(INDEX(BookTitle,745)="","",INDEX(BookTotal,745)*'5. Scenarios'!$D$6/(1+ProductivityDefault*('5. Scenarios'!$D$11-1)))</f>
        <v/>
      </c>
      <c r="O750" s="57" t="str">
        <f aca="false">IF($N750="","",INDEX(BookRate,745)*(1+'5. Scenarios'!$D$10)*$N750)</f>
        <v/>
      </c>
      <c r="P750" s="57" t="str">
        <f aca="false">IF($O750="","",SUMIFS($O$6:$O$2405,$A$6:$A$2405,"&lt;="&amp;$A750))</f>
        <v/>
      </c>
      <c r="Q750" s="57" t="str">
        <f aca="false">IF($O750="","",IF($P750&lt;=BankCostEnvelope*'5. Scenarios'!$D$7,1,0))</f>
        <v/>
      </c>
      <c r="R750" s="57" t="str">
        <f aca="false">IF($N750="","",INDEX(BookRate,745)*(1+'5. Scenarios'!$D$10)*(INDEX(BookQ1,745)*(5-MIN(4,1+'5. Scenarios'!$D$8))/4+INDEX(BookQ2,745)*(5-MIN(4,2+'5. Scenarios'!$D$8))/4+INDEX(BookQ3,745)*(5-MIN(4,3+'5. Scenarios'!$D$8))/4+INDEX(BookQ4,745)*(5-MIN(4,4+'5. Scenarios'!$D$8))/4)*'5. Scenarios'!$D$6/(1+ProductivityDefault*('5. Scenarios'!$D$11-1))+INDEX(BookOneOff,745)*$N750)</f>
        <v/>
      </c>
      <c r="S750" s="56" t="str">
        <f aca="false">IF(INDEX(BookTitle,745)="","",INDEX(BookTotal,745)*'5. Scenarios'!$E$6/(1+ProductivityDefault*('5. Scenarios'!$E$11-1)))</f>
        <v/>
      </c>
      <c r="T750" s="57" t="str">
        <f aca="false">IF($S750="","",INDEX(BookRate,745)*(1+'5. Scenarios'!$E$10)*$S750)</f>
        <v/>
      </c>
      <c r="U750" s="57" t="str">
        <f aca="false">IF($T750="","",SUMIFS($T$6:$T$2405,$A$6:$A$2405,"&lt;="&amp;$A750))</f>
        <v/>
      </c>
      <c r="V750" s="57" t="str">
        <f aca="false">IF($T750="","",IF($U750&lt;=BankCostEnvelope*'5. Scenarios'!$E$7,1,0))</f>
        <v/>
      </c>
      <c r="W750" s="57" t="str">
        <f aca="false">IF($S750="","",INDEX(BookRate,745)*(1+'5. Scenarios'!$E$10)*(INDEX(BookQ1,745)*(5-MIN(4,1+'5. Scenarios'!$E$8))/4+INDEX(BookQ2,745)*(5-MIN(4,2+'5. Scenarios'!$E$8))/4+INDEX(BookQ3,745)*(5-MIN(4,3+'5. Scenarios'!$E$8))/4+INDEX(BookQ4,745)*(5-MIN(4,4+'5. Scenarios'!$E$8))/4)*'5. Scenarios'!$E$6/(1+ProductivityDefault*('5. Scenarios'!$E$11-1))+INDEX(BookOneOff,745)*$S750)</f>
        <v/>
      </c>
    </row>
    <row r="751" customFormat="false" ht="15" hidden="false" customHeight="false" outlineLevel="0" collapsed="false">
      <c r="A751" s="0" t="str">
        <f aca="false">IF(INDEX(BookTitle,746)="","",INDEX(BookKey,746))</f>
        <v/>
      </c>
      <c r="B751" s="0" t="str">
        <f aca="false">IF(INDEX(BookTitle,746)="","",INDEX(BookGroup,746))</f>
        <v/>
      </c>
      <c r="C751" s="0" t="str">
        <f aca="false">IF(INDEX(BookTitle,746)="","",INDEX(BookCategory,746))</f>
        <v/>
      </c>
      <c r="D751" s="56" t="str">
        <f aca="false">IF(INDEX(BookTitle,746)="","",INDEX(BookTotal,746)*'5. Scenarios'!$B$6/(1+ProductivityDefault*('5. Scenarios'!$B$11-1)))</f>
        <v/>
      </c>
      <c r="E751" s="57" t="str">
        <f aca="false">IF($D751="","",INDEX(BookRate,746)*(1+'5. Scenarios'!$B$10)*$D751)</f>
        <v/>
      </c>
      <c r="F751" s="57" t="str">
        <f aca="false">IF($E751="","",SUMIFS($E$6:$E$2405,$A$6:$A$2405,"&lt;="&amp;$A751))</f>
        <v/>
      </c>
      <c r="G751" s="57" t="str">
        <f aca="false">IF($E751="","",IF($F751&lt;=BankCostEnvelope*'5. Scenarios'!$B$7,1,0))</f>
        <v/>
      </c>
      <c r="H751" s="57" t="str">
        <f aca="false">IF($D751="","",INDEX(BookRate,746)*(1+'5. Scenarios'!$B$10)*(INDEX(BookQ1,746)*(5-MIN(4,1+'5. Scenarios'!$B$8))/4+INDEX(BookQ2,746)*(5-MIN(4,2+'5. Scenarios'!$B$8))/4+INDEX(BookQ3,746)*(5-MIN(4,3+'5. Scenarios'!$B$8))/4+INDEX(BookQ4,746)*(5-MIN(4,4+'5. Scenarios'!$B$8))/4)*'5. Scenarios'!$B$6/(1+ProductivityDefault*('5. Scenarios'!$B$11-1))+INDEX(BookOneOff,746)*$D751)</f>
        <v/>
      </c>
      <c r="I751" s="56" t="str">
        <f aca="false">IF(INDEX(BookTitle,746)="","",INDEX(BookTotal,746)*'5. Scenarios'!$C$6/(1+ProductivityDefault*('5. Scenarios'!$C$11-1)))</f>
        <v/>
      </c>
      <c r="J751" s="57" t="str">
        <f aca="false">IF($I751="","",INDEX(BookRate,746)*(1+'5. Scenarios'!$C$10)*$I751)</f>
        <v/>
      </c>
      <c r="K751" s="57" t="str">
        <f aca="false">IF($J751="","",SUMIFS($J$6:$J$2405,$A$6:$A$2405,"&lt;="&amp;$A751))</f>
        <v/>
      </c>
      <c r="L751" s="57" t="str">
        <f aca="false">IF($J751="","",IF($K751&lt;=BankCostEnvelope*'5. Scenarios'!$C$7,1,0))</f>
        <v/>
      </c>
      <c r="M751" s="57" t="str">
        <f aca="false">IF($I751="","",INDEX(BookRate,746)*(1+'5. Scenarios'!$C$10)*(INDEX(BookQ1,746)*(5-MIN(4,1+'5. Scenarios'!$C$8))/4+INDEX(BookQ2,746)*(5-MIN(4,2+'5. Scenarios'!$C$8))/4+INDEX(BookQ3,746)*(5-MIN(4,3+'5. Scenarios'!$C$8))/4+INDEX(BookQ4,746)*(5-MIN(4,4+'5. Scenarios'!$C$8))/4)*'5. Scenarios'!$C$6/(1+ProductivityDefault*('5. Scenarios'!$C$11-1))+INDEX(BookOneOff,746)*$I751)</f>
        <v/>
      </c>
      <c r="N751" s="56" t="str">
        <f aca="false">IF(INDEX(BookTitle,746)="","",INDEX(BookTotal,746)*'5. Scenarios'!$D$6/(1+ProductivityDefault*('5. Scenarios'!$D$11-1)))</f>
        <v/>
      </c>
      <c r="O751" s="57" t="str">
        <f aca="false">IF($N751="","",INDEX(BookRate,746)*(1+'5. Scenarios'!$D$10)*$N751)</f>
        <v/>
      </c>
      <c r="P751" s="57" t="str">
        <f aca="false">IF($O751="","",SUMIFS($O$6:$O$2405,$A$6:$A$2405,"&lt;="&amp;$A751))</f>
        <v/>
      </c>
      <c r="Q751" s="57" t="str">
        <f aca="false">IF($O751="","",IF($P751&lt;=BankCostEnvelope*'5. Scenarios'!$D$7,1,0))</f>
        <v/>
      </c>
      <c r="R751" s="57" t="str">
        <f aca="false">IF($N751="","",INDEX(BookRate,746)*(1+'5. Scenarios'!$D$10)*(INDEX(BookQ1,746)*(5-MIN(4,1+'5. Scenarios'!$D$8))/4+INDEX(BookQ2,746)*(5-MIN(4,2+'5. Scenarios'!$D$8))/4+INDEX(BookQ3,746)*(5-MIN(4,3+'5. Scenarios'!$D$8))/4+INDEX(BookQ4,746)*(5-MIN(4,4+'5. Scenarios'!$D$8))/4)*'5. Scenarios'!$D$6/(1+ProductivityDefault*('5. Scenarios'!$D$11-1))+INDEX(BookOneOff,746)*$N751)</f>
        <v/>
      </c>
      <c r="S751" s="56" t="str">
        <f aca="false">IF(INDEX(BookTitle,746)="","",INDEX(BookTotal,746)*'5. Scenarios'!$E$6/(1+ProductivityDefault*('5. Scenarios'!$E$11-1)))</f>
        <v/>
      </c>
      <c r="T751" s="57" t="str">
        <f aca="false">IF($S751="","",INDEX(BookRate,746)*(1+'5. Scenarios'!$E$10)*$S751)</f>
        <v/>
      </c>
      <c r="U751" s="57" t="str">
        <f aca="false">IF($T751="","",SUMIFS($T$6:$T$2405,$A$6:$A$2405,"&lt;="&amp;$A751))</f>
        <v/>
      </c>
      <c r="V751" s="57" t="str">
        <f aca="false">IF($T751="","",IF($U751&lt;=BankCostEnvelope*'5. Scenarios'!$E$7,1,0))</f>
        <v/>
      </c>
      <c r="W751" s="57" t="str">
        <f aca="false">IF($S751="","",INDEX(BookRate,746)*(1+'5. Scenarios'!$E$10)*(INDEX(BookQ1,746)*(5-MIN(4,1+'5. Scenarios'!$E$8))/4+INDEX(BookQ2,746)*(5-MIN(4,2+'5. Scenarios'!$E$8))/4+INDEX(BookQ3,746)*(5-MIN(4,3+'5. Scenarios'!$E$8))/4+INDEX(BookQ4,746)*(5-MIN(4,4+'5. Scenarios'!$E$8))/4)*'5. Scenarios'!$E$6/(1+ProductivityDefault*('5. Scenarios'!$E$11-1))+INDEX(BookOneOff,746)*$S751)</f>
        <v/>
      </c>
    </row>
    <row r="752" customFormat="false" ht="15" hidden="false" customHeight="false" outlineLevel="0" collapsed="false">
      <c r="A752" s="0" t="str">
        <f aca="false">IF(INDEX(BookTitle,747)="","",INDEX(BookKey,747))</f>
        <v/>
      </c>
      <c r="B752" s="0" t="str">
        <f aca="false">IF(INDEX(BookTitle,747)="","",INDEX(BookGroup,747))</f>
        <v/>
      </c>
      <c r="C752" s="0" t="str">
        <f aca="false">IF(INDEX(BookTitle,747)="","",INDEX(BookCategory,747))</f>
        <v/>
      </c>
      <c r="D752" s="56" t="str">
        <f aca="false">IF(INDEX(BookTitle,747)="","",INDEX(BookTotal,747)*'5. Scenarios'!$B$6/(1+ProductivityDefault*('5. Scenarios'!$B$11-1)))</f>
        <v/>
      </c>
      <c r="E752" s="57" t="str">
        <f aca="false">IF($D752="","",INDEX(BookRate,747)*(1+'5. Scenarios'!$B$10)*$D752)</f>
        <v/>
      </c>
      <c r="F752" s="57" t="str">
        <f aca="false">IF($E752="","",SUMIFS($E$6:$E$2405,$A$6:$A$2405,"&lt;="&amp;$A752))</f>
        <v/>
      </c>
      <c r="G752" s="57" t="str">
        <f aca="false">IF($E752="","",IF($F752&lt;=BankCostEnvelope*'5. Scenarios'!$B$7,1,0))</f>
        <v/>
      </c>
      <c r="H752" s="57" t="str">
        <f aca="false">IF($D752="","",INDEX(BookRate,747)*(1+'5. Scenarios'!$B$10)*(INDEX(BookQ1,747)*(5-MIN(4,1+'5. Scenarios'!$B$8))/4+INDEX(BookQ2,747)*(5-MIN(4,2+'5. Scenarios'!$B$8))/4+INDEX(BookQ3,747)*(5-MIN(4,3+'5. Scenarios'!$B$8))/4+INDEX(BookQ4,747)*(5-MIN(4,4+'5. Scenarios'!$B$8))/4)*'5. Scenarios'!$B$6/(1+ProductivityDefault*('5. Scenarios'!$B$11-1))+INDEX(BookOneOff,747)*$D752)</f>
        <v/>
      </c>
      <c r="I752" s="56" t="str">
        <f aca="false">IF(INDEX(BookTitle,747)="","",INDEX(BookTotal,747)*'5. Scenarios'!$C$6/(1+ProductivityDefault*('5. Scenarios'!$C$11-1)))</f>
        <v/>
      </c>
      <c r="J752" s="57" t="str">
        <f aca="false">IF($I752="","",INDEX(BookRate,747)*(1+'5. Scenarios'!$C$10)*$I752)</f>
        <v/>
      </c>
      <c r="K752" s="57" t="str">
        <f aca="false">IF($J752="","",SUMIFS($J$6:$J$2405,$A$6:$A$2405,"&lt;="&amp;$A752))</f>
        <v/>
      </c>
      <c r="L752" s="57" t="str">
        <f aca="false">IF($J752="","",IF($K752&lt;=BankCostEnvelope*'5. Scenarios'!$C$7,1,0))</f>
        <v/>
      </c>
      <c r="M752" s="57" t="str">
        <f aca="false">IF($I752="","",INDEX(BookRate,747)*(1+'5. Scenarios'!$C$10)*(INDEX(BookQ1,747)*(5-MIN(4,1+'5. Scenarios'!$C$8))/4+INDEX(BookQ2,747)*(5-MIN(4,2+'5. Scenarios'!$C$8))/4+INDEX(BookQ3,747)*(5-MIN(4,3+'5. Scenarios'!$C$8))/4+INDEX(BookQ4,747)*(5-MIN(4,4+'5. Scenarios'!$C$8))/4)*'5. Scenarios'!$C$6/(1+ProductivityDefault*('5. Scenarios'!$C$11-1))+INDEX(BookOneOff,747)*$I752)</f>
        <v/>
      </c>
      <c r="N752" s="56" t="str">
        <f aca="false">IF(INDEX(BookTitle,747)="","",INDEX(BookTotal,747)*'5. Scenarios'!$D$6/(1+ProductivityDefault*('5. Scenarios'!$D$11-1)))</f>
        <v/>
      </c>
      <c r="O752" s="57" t="str">
        <f aca="false">IF($N752="","",INDEX(BookRate,747)*(1+'5. Scenarios'!$D$10)*$N752)</f>
        <v/>
      </c>
      <c r="P752" s="57" t="str">
        <f aca="false">IF($O752="","",SUMIFS($O$6:$O$2405,$A$6:$A$2405,"&lt;="&amp;$A752))</f>
        <v/>
      </c>
      <c r="Q752" s="57" t="str">
        <f aca="false">IF($O752="","",IF($P752&lt;=BankCostEnvelope*'5. Scenarios'!$D$7,1,0))</f>
        <v/>
      </c>
      <c r="R752" s="57" t="str">
        <f aca="false">IF($N752="","",INDEX(BookRate,747)*(1+'5. Scenarios'!$D$10)*(INDEX(BookQ1,747)*(5-MIN(4,1+'5. Scenarios'!$D$8))/4+INDEX(BookQ2,747)*(5-MIN(4,2+'5. Scenarios'!$D$8))/4+INDEX(BookQ3,747)*(5-MIN(4,3+'5. Scenarios'!$D$8))/4+INDEX(BookQ4,747)*(5-MIN(4,4+'5. Scenarios'!$D$8))/4)*'5. Scenarios'!$D$6/(1+ProductivityDefault*('5. Scenarios'!$D$11-1))+INDEX(BookOneOff,747)*$N752)</f>
        <v/>
      </c>
      <c r="S752" s="56" t="str">
        <f aca="false">IF(INDEX(BookTitle,747)="","",INDEX(BookTotal,747)*'5. Scenarios'!$E$6/(1+ProductivityDefault*('5. Scenarios'!$E$11-1)))</f>
        <v/>
      </c>
      <c r="T752" s="57" t="str">
        <f aca="false">IF($S752="","",INDEX(BookRate,747)*(1+'5. Scenarios'!$E$10)*$S752)</f>
        <v/>
      </c>
      <c r="U752" s="57" t="str">
        <f aca="false">IF($T752="","",SUMIFS($T$6:$T$2405,$A$6:$A$2405,"&lt;="&amp;$A752))</f>
        <v/>
      </c>
      <c r="V752" s="57" t="str">
        <f aca="false">IF($T752="","",IF($U752&lt;=BankCostEnvelope*'5. Scenarios'!$E$7,1,0))</f>
        <v/>
      </c>
      <c r="W752" s="57" t="str">
        <f aca="false">IF($S752="","",INDEX(BookRate,747)*(1+'5. Scenarios'!$E$10)*(INDEX(BookQ1,747)*(5-MIN(4,1+'5. Scenarios'!$E$8))/4+INDEX(BookQ2,747)*(5-MIN(4,2+'5. Scenarios'!$E$8))/4+INDEX(BookQ3,747)*(5-MIN(4,3+'5. Scenarios'!$E$8))/4+INDEX(BookQ4,747)*(5-MIN(4,4+'5. Scenarios'!$E$8))/4)*'5. Scenarios'!$E$6/(1+ProductivityDefault*('5. Scenarios'!$E$11-1))+INDEX(BookOneOff,747)*$S752)</f>
        <v/>
      </c>
    </row>
    <row r="753" customFormat="false" ht="15" hidden="false" customHeight="false" outlineLevel="0" collapsed="false">
      <c r="A753" s="0" t="str">
        <f aca="false">IF(INDEX(BookTitle,748)="","",INDEX(BookKey,748))</f>
        <v/>
      </c>
      <c r="B753" s="0" t="str">
        <f aca="false">IF(INDEX(BookTitle,748)="","",INDEX(BookGroup,748))</f>
        <v/>
      </c>
      <c r="C753" s="0" t="str">
        <f aca="false">IF(INDEX(BookTitle,748)="","",INDEX(BookCategory,748))</f>
        <v/>
      </c>
      <c r="D753" s="56" t="str">
        <f aca="false">IF(INDEX(BookTitle,748)="","",INDEX(BookTotal,748)*'5. Scenarios'!$B$6/(1+ProductivityDefault*('5. Scenarios'!$B$11-1)))</f>
        <v/>
      </c>
      <c r="E753" s="57" t="str">
        <f aca="false">IF($D753="","",INDEX(BookRate,748)*(1+'5. Scenarios'!$B$10)*$D753)</f>
        <v/>
      </c>
      <c r="F753" s="57" t="str">
        <f aca="false">IF($E753="","",SUMIFS($E$6:$E$2405,$A$6:$A$2405,"&lt;="&amp;$A753))</f>
        <v/>
      </c>
      <c r="G753" s="57" t="str">
        <f aca="false">IF($E753="","",IF($F753&lt;=BankCostEnvelope*'5. Scenarios'!$B$7,1,0))</f>
        <v/>
      </c>
      <c r="H753" s="57" t="str">
        <f aca="false">IF($D753="","",INDEX(BookRate,748)*(1+'5. Scenarios'!$B$10)*(INDEX(BookQ1,748)*(5-MIN(4,1+'5. Scenarios'!$B$8))/4+INDEX(BookQ2,748)*(5-MIN(4,2+'5. Scenarios'!$B$8))/4+INDEX(BookQ3,748)*(5-MIN(4,3+'5. Scenarios'!$B$8))/4+INDEX(BookQ4,748)*(5-MIN(4,4+'5. Scenarios'!$B$8))/4)*'5. Scenarios'!$B$6/(1+ProductivityDefault*('5. Scenarios'!$B$11-1))+INDEX(BookOneOff,748)*$D753)</f>
        <v/>
      </c>
      <c r="I753" s="56" t="str">
        <f aca="false">IF(INDEX(BookTitle,748)="","",INDEX(BookTotal,748)*'5. Scenarios'!$C$6/(1+ProductivityDefault*('5. Scenarios'!$C$11-1)))</f>
        <v/>
      </c>
      <c r="J753" s="57" t="str">
        <f aca="false">IF($I753="","",INDEX(BookRate,748)*(1+'5. Scenarios'!$C$10)*$I753)</f>
        <v/>
      </c>
      <c r="K753" s="57" t="str">
        <f aca="false">IF($J753="","",SUMIFS($J$6:$J$2405,$A$6:$A$2405,"&lt;="&amp;$A753))</f>
        <v/>
      </c>
      <c r="L753" s="57" t="str">
        <f aca="false">IF($J753="","",IF($K753&lt;=BankCostEnvelope*'5. Scenarios'!$C$7,1,0))</f>
        <v/>
      </c>
      <c r="M753" s="57" t="str">
        <f aca="false">IF($I753="","",INDEX(BookRate,748)*(1+'5. Scenarios'!$C$10)*(INDEX(BookQ1,748)*(5-MIN(4,1+'5. Scenarios'!$C$8))/4+INDEX(BookQ2,748)*(5-MIN(4,2+'5. Scenarios'!$C$8))/4+INDEX(BookQ3,748)*(5-MIN(4,3+'5. Scenarios'!$C$8))/4+INDEX(BookQ4,748)*(5-MIN(4,4+'5. Scenarios'!$C$8))/4)*'5. Scenarios'!$C$6/(1+ProductivityDefault*('5. Scenarios'!$C$11-1))+INDEX(BookOneOff,748)*$I753)</f>
        <v/>
      </c>
      <c r="N753" s="56" t="str">
        <f aca="false">IF(INDEX(BookTitle,748)="","",INDEX(BookTotal,748)*'5. Scenarios'!$D$6/(1+ProductivityDefault*('5. Scenarios'!$D$11-1)))</f>
        <v/>
      </c>
      <c r="O753" s="57" t="str">
        <f aca="false">IF($N753="","",INDEX(BookRate,748)*(1+'5. Scenarios'!$D$10)*$N753)</f>
        <v/>
      </c>
      <c r="P753" s="57" t="str">
        <f aca="false">IF($O753="","",SUMIFS($O$6:$O$2405,$A$6:$A$2405,"&lt;="&amp;$A753))</f>
        <v/>
      </c>
      <c r="Q753" s="57" t="str">
        <f aca="false">IF($O753="","",IF($P753&lt;=BankCostEnvelope*'5. Scenarios'!$D$7,1,0))</f>
        <v/>
      </c>
      <c r="R753" s="57" t="str">
        <f aca="false">IF($N753="","",INDEX(BookRate,748)*(1+'5. Scenarios'!$D$10)*(INDEX(BookQ1,748)*(5-MIN(4,1+'5. Scenarios'!$D$8))/4+INDEX(BookQ2,748)*(5-MIN(4,2+'5. Scenarios'!$D$8))/4+INDEX(BookQ3,748)*(5-MIN(4,3+'5. Scenarios'!$D$8))/4+INDEX(BookQ4,748)*(5-MIN(4,4+'5. Scenarios'!$D$8))/4)*'5. Scenarios'!$D$6/(1+ProductivityDefault*('5. Scenarios'!$D$11-1))+INDEX(BookOneOff,748)*$N753)</f>
        <v/>
      </c>
      <c r="S753" s="56" t="str">
        <f aca="false">IF(INDEX(BookTitle,748)="","",INDEX(BookTotal,748)*'5. Scenarios'!$E$6/(1+ProductivityDefault*('5. Scenarios'!$E$11-1)))</f>
        <v/>
      </c>
      <c r="T753" s="57" t="str">
        <f aca="false">IF($S753="","",INDEX(BookRate,748)*(1+'5. Scenarios'!$E$10)*$S753)</f>
        <v/>
      </c>
      <c r="U753" s="57" t="str">
        <f aca="false">IF($T753="","",SUMIFS($T$6:$T$2405,$A$6:$A$2405,"&lt;="&amp;$A753))</f>
        <v/>
      </c>
      <c r="V753" s="57" t="str">
        <f aca="false">IF($T753="","",IF($U753&lt;=BankCostEnvelope*'5. Scenarios'!$E$7,1,0))</f>
        <v/>
      </c>
      <c r="W753" s="57" t="str">
        <f aca="false">IF($S753="","",INDEX(BookRate,748)*(1+'5. Scenarios'!$E$10)*(INDEX(BookQ1,748)*(5-MIN(4,1+'5. Scenarios'!$E$8))/4+INDEX(BookQ2,748)*(5-MIN(4,2+'5. Scenarios'!$E$8))/4+INDEX(BookQ3,748)*(5-MIN(4,3+'5. Scenarios'!$E$8))/4+INDEX(BookQ4,748)*(5-MIN(4,4+'5. Scenarios'!$E$8))/4)*'5. Scenarios'!$E$6/(1+ProductivityDefault*('5. Scenarios'!$E$11-1))+INDEX(BookOneOff,748)*$S753)</f>
        <v/>
      </c>
    </row>
    <row r="754" customFormat="false" ht="15" hidden="false" customHeight="false" outlineLevel="0" collapsed="false">
      <c r="A754" s="0" t="str">
        <f aca="false">IF(INDEX(BookTitle,749)="","",INDEX(BookKey,749))</f>
        <v/>
      </c>
      <c r="B754" s="0" t="str">
        <f aca="false">IF(INDEX(BookTitle,749)="","",INDEX(BookGroup,749))</f>
        <v/>
      </c>
      <c r="C754" s="0" t="str">
        <f aca="false">IF(INDEX(BookTitle,749)="","",INDEX(BookCategory,749))</f>
        <v/>
      </c>
      <c r="D754" s="56" t="str">
        <f aca="false">IF(INDEX(BookTitle,749)="","",INDEX(BookTotal,749)*'5. Scenarios'!$B$6/(1+ProductivityDefault*('5. Scenarios'!$B$11-1)))</f>
        <v/>
      </c>
      <c r="E754" s="57" t="str">
        <f aca="false">IF($D754="","",INDEX(BookRate,749)*(1+'5. Scenarios'!$B$10)*$D754)</f>
        <v/>
      </c>
      <c r="F754" s="57" t="str">
        <f aca="false">IF($E754="","",SUMIFS($E$6:$E$2405,$A$6:$A$2405,"&lt;="&amp;$A754))</f>
        <v/>
      </c>
      <c r="G754" s="57" t="str">
        <f aca="false">IF($E754="","",IF($F754&lt;=BankCostEnvelope*'5. Scenarios'!$B$7,1,0))</f>
        <v/>
      </c>
      <c r="H754" s="57" t="str">
        <f aca="false">IF($D754="","",INDEX(BookRate,749)*(1+'5. Scenarios'!$B$10)*(INDEX(BookQ1,749)*(5-MIN(4,1+'5. Scenarios'!$B$8))/4+INDEX(BookQ2,749)*(5-MIN(4,2+'5. Scenarios'!$B$8))/4+INDEX(BookQ3,749)*(5-MIN(4,3+'5. Scenarios'!$B$8))/4+INDEX(BookQ4,749)*(5-MIN(4,4+'5. Scenarios'!$B$8))/4)*'5. Scenarios'!$B$6/(1+ProductivityDefault*('5. Scenarios'!$B$11-1))+INDEX(BookOneOff,749)*$D754)</f>
        <v/>
      </c>
      <c r="I754" s="56" t="str">
        <f aca="false">IF(INDEX(BookTitle,749)="","",INDEX(BookTotal,749)*'5. Scenarios'!$C$6/(1+ProductivityDefault*('5. Scenarios'!$C$11-1)))</f>
        <v/>
      </c>
      <c r="J754" s="57" t="str">
        <f aca="false">IF($I754="","",INDEX(BookRate,749)*(1+'5. Scenarios'!$C$10)*$I754)</f>
        <v/>
      </c>
      <c r="K754" s="57" t="str">
        <f aca="false">IF($J754="","",SUMIFS($J$6:$J$2405,$A$6:$A$2405,"&lt;="&amp;$A754))</f>
        <v/>
      </c>
      <c r="L754" s="57" t="str">
        <f aca="false">IF($J754="","",IF($K754&lt;=BankCostEnvelope*'5. Scenarios'!$C$7,1,0))</f>
        <v/>
      </c>
      <c r="M754" s="57" t="str">
        <f aca="false">IF($I754="","",INDEX(BookRate,749)*(1+'5. Scenarios'!$C$10)*(INDEX(BookQ1,749)*(5-MIN(4,1+'5. Scenarios'!$C$8))/4+INDEX(BookQ2,749)*(5-MIN(4,2+'5. Scenarios'!$C$8))/4+INDEX(BookQ3,749)*(5-MIN(4,3+'5. Scenarios'!$C$8))/4+INDEX(BookQ4,749)*(5-MIN(4,4+'5. Scenarios'!$C$8))/4)*'5. Scenarios'!$C$6/(1+ProductivityDefault*('5. Scenarios'!$C$11-1))+INDEX(BookOneOff,749)*$I754)</f>
        <v/>
      </c>
      <c r="N754" s="56" t="str">
        <f aca="false">IF(INDEX(BookTitle,749)="","",INDEX(BookTotal,749)*'5. Scenarios'!$D$6/(1+ProductivityDefault*('5. Scenarios'!$D$11-1)))</f>
        <v/>
      </c>
      <c r="O754" s="57" t="str">
        <f aca="false">IF($N754="","",INDEX(BookRate,749)*(1+'5. Scenarios'!$D$10)*$N754)</f>
        <v/>
      </c>
      <c r="P754" s="57" t="str">
        <f aca="false">IF($O754="","",SUMIFS($O$6:$O$2405,$A$6:$A$2405,"&lt;="&amp;$A754))</f>
        <v/>
      </c>
      <c r="Q754" s="57" t="str">
        <f aca="false">IF($O754="","",IF($P754&lt;=BankCostEnvelope*'5. Scenarios'!$D$7,1,0))</f>
        <v/>
      </c>
      <c r="R754" s="57" t="str">
        <f aca="false">IF($N754="","",INDEX(BookRate,749)*(1+'5. Scenarios'!$D$10)*(INDEX(BookQ1,749)*(5-MIN(4,1+'5. Scenarios'!$D$8))/4+INDEX(BookQ2,749)*(5-MIN(4,2+'5. Scenarios'!$D$8))/4+INDEX(BookQ3,749)*(5-MIN(4,3+'5. Scenarios'!$D$8))/4+INDEX(BookQ4,749)*(5-MIN(4,4+'5. Scenarios'!$D$8))/4)*'5. Scenarios'!$D$6/(1+ProductivityDefault*('5. Scenarios'!$D$11-1))+INDEX(BookOneOff,749)*$N754)</f>
        <v/>
      </c>
      <c r="S754" s="56" t="str">
        <f aca="false">IF(INDEX(BookTitle,749)="","",INDEX(BookTotal,749)*'5. Scenarios'!$E$6/(1+ProductivityDefault*('5. Scenarios'!$E$11-1)))</f>
        <v/>
      </c>
      <c r="T754" s="57" t="str">
        <f aca="false">IF($S754="","",INDEX(BookRate,749)*(1+'5. Scenarios'!$E$10)*$S754)</f>
        <v/>
      </c>
      <c r="U754" s="57" t="str">
        <f aca="false">IF($T754="","",SUMIFS($T$6:$T$2405,$A$6:$A$2405,"&lt;="&amp;$A754))</f>
        <v/>
      </c>
      <c r="V754" s="57" t="str">
        <f aca="false">IF($T754="","",IF($U754&lt;=BankCostEnvelope*'5. Scenarios'!$E$7,1,0))</f>
        <v/>
      </c>
      <c r="W754" s="57" t="str">
        <f aca="false">IF($S754="","",INDEX(BookRate,749)*(1+'5. Scenarios'!$E$10)*(INDEX(BookQ1,749)*(5-MIN(4,1+'5. Scenarios'!$E$8))/4+INDEX(BookQ2,749)*(5-MIN(4,2+'5. Scenarios'!$E$8))/4+INDEX(BookQ3,749)*(5-MIN(4,3+'5. Scenarios'!$E$8))/4+INDEX(BookQ4,749)*(5-MIN(4,4+'5. Scenarios'!$E$8))/4)*'5. Scenarios'!$E$6/(1+ProductivityDefault*('5. Scenarios'!$E$11-1))+INDEX(BookOneOff,749)*$S754)</f>
        <v/>
      </c>
    </row>
    <row r="755" customFormat="false" ht="15" hidden="false" customHeight="false" outlineLevel="0" collapsed="false">
      <c r="A755" s="0" t="str">
        <f aca="false">IF(INDEX(BookTitle,750)="","",INDEX(BookKey,750))</f>
        <v/>
      </c>
      <c r="B755" s="0" t="str">
        <f aca="false">IF(INDEX(BookTitle,750)="","",INDEX(BookGroup,750))</f>
        <v/>
      </c>
      <c r="C755" s="0" t="str">
        <f aca="false">IF(INDEX(BookTitle,750)="","",INDEX(BookCategory,750))</f>
        <v/>
      </c>
      <c r="D755" s="56" t="str">
        <f aca="false">IF(INDEX(BookTitle,750)="","",INDEX(BookTotal,750)*'5. Scenarios'!$B$6/(1+ProductivityDefault*('5. Scenarios'!$B$11-1)))</f>
        <v/>
      </c>
      <c r="E755" s="57" t="str">
        <f aca="false">IF($D755="","",INDEX(BookRate,750)*(1+'5. Scenarios'!$B$10)*$D755)</f>
        <v/>
      </c>
      <c r="F755" s="57" t="str">
        <f aca="false">IF($E755="","",SUMIFS($E$6:$E$2405,$A$6:$A$2405,"&lt;="&amp;$A755))</f>
        <v/>
      </c>
      <c r="G755" s="57" t="str">
        <f aca="false">IF($E755="","",IF($F755&lt;=BankCostEnvelope*'5. Scenarios'!$B$7,1,0))</f>
        <v/>
      </c>
      <c r="H755" s="57" t="str">
        <f aca="false">IF($D755="","",INDEX(BookRate,750)*(1+'5. Scenarios'!$B$10)*(INDEX(BookQ1,750)*(5-MIN(4,1+'5. Scenarios'!$B$8))/4+INDEX(BookQ2,750)*(5-MIN(4,2+'5. Scenarios'!$B$8))/4+INDEX(BookQ3,750)*(5-MIN(4,3+'5. Scenarios'!$B$8))/4+INDEX(BookQ4,750)*(5-MIN(4,4+'5. Scenarios'!$B$8))/4)*'5. Scenarios'!$B$6/(1+ProductivityDefault*('5. Scenarios'!$B$11-1))+INDEX(BookOneOff,750)*$D755)</f>
        <v/>
      </c>
      <c r="I755" s="56" t="str">
        <f aca="false">IF(INDEX(BookTitle,750)="","",INDEX(BookTotal,750)*'5. Scenarios'!$C$6/(1+ProductivityDefault*('5. Scenarios'!$C$11-1)))</f>
        <v/>
      </c>
      <c r="J755" s="57" t="str">
        <f aca="false">IF($I755="","",INDEX(BookRate,750)*(1+'5. Scenarios'!$C$10)*$I755)</f>
        <v/>
      </c>
      <c r="K755" s="57" t="str">
        <f aca="false">IF($J755="","",SUMIFS($J$6:$J$2405,$A$6:$A$2405,"&lt;="&amp;$A755))</f>
        <v/>
      </c>
      <c r="L755" s="57" t="str">
        <f aca="false">IF($J755="","",IF($K755&lt;=BankCostEnvelope*'5. Scenarios'!$C$7,1,0))</f>
        <v/>
      </c>
      <c r="M755" s="57" t="str">
        <f aca="false">IF($I755="","",INDEX(BookRate,750)*(1+'5. Scenarios'!$C$10)*(INDEX(BookQ1,750)*(5-MIN(4,1+'5. Scenarios'!$C$8))/4+INDEX(BookQ2,750)*(5-MIN(4,2+'5. Scenarios'!$C$8))/4+INDEX(BookQ3,750)*(5-MIN(4,3+'5. Scenarios'!$C$8))/4+INDEX(BookQ4,750)*(5-MIN(4,4+'5. Scenarios'!$C$8))/4)*'5. Scenarios'!$C$6/(1+ProductivityDefault*('5. Scenarios'!$C$11-1))+INDEX(BookOneOff,750)*$I755)</f>
        <v/>
      </c>
      <c r="N755" s="56" t="str">
        <f aca="false">IF(INDEX(BookTitle,750)="","",INDEX(BookTotal,750)*'5. Scenarios'!$D$6/(1+ProductivityDefault*('5. Scenarios'!$D$11-1)))</f>
        <v/>
      </c>
      <c r="O755" s="57" t="str">
        <f aca="false">IF($N755="","",INDEX(BookRate,750)*(1+'5. Scenarios'!$D$10)*$N755)</f>
        <v/>
      </c>
      <c r="P755" s="57" t="str">
        <f aca="false">IF($O755="","",SUMIFS($O$6:$O$2405,$A$6:$A$2405,"&lt;="&amp;$A755))</f>
        <v/>
      </c>
      <c r="Q755" s="57" t="str">
        <f aca="false">IF($O755="","",IF($P755&lt;=BankCostEnvelope*'5. Scenarios'!$D$7,1,0))</f>
        <v/>
      </c>
      <c r="R755" s="57" t="str">
        <f aca="false">IF($N755="","",INDEX(BookRate,750)*(1+'5. Scenarios'!$D$10)*(INDEX(BookQ1,750)*(5-MIN(4,1+'5. Scenarios'!$D$8))/4+INDEX(BookQ2,750)*(5-MIN(4,2+'5. Scenarios'!$D$8))/4+INDEX(BookQ3,750)*(5-MIN(4,3+'5. Scenarios'!$D$8))/4+INDEX(BookQ4,750)*(5-MIN(4,4+'5. Scenarios'!$D$8))/4)*'5. Scenarios'!$D$6/(1+ProductivityDefault*('5. Scenarios'!$D$11-1))+INDEX(BookOneOff,750)*$N755)</f>
        <v/>
      </c>
      <c r="S755" s="56" t="str">
        <f aca="false">IF(INDEX(BookTitle,750)="","",INDEX(BookTotal,750)*'5. Scenarios'!$E$6/(1+ProductivityDefault*('5. Scenarios'!$E$11-1)))</f>
        <v/>
      </c>
      <c r="T755" s="57" t="str">
        <f aca="false">IF($S755="","",INDEX(BookRate,750)*(1+'5. Scenarios'!$E$10)*$S755)</f>
        <v/>
      </c>
      <c r="U755" s="57" t="str">
        <f aca="false">IF($T755="","",SUMIFS($T$6:$T$2405,$A$6:$A$2405,"&lt;="&amp;$A755))</f>
        <v/>
      </c>
      <c r="V755" s="57" t="str">
        <f aca="false">IF($T755="","",IF($U755&lt;=BankCostEnvelope*'5. Scenarios'!$E$7,1,0))</f>
        <v/>
      </c>
      <c r="W755" s="57" t="str">
        <f aca="false">IF($S755="","",INDEX(BookRate,750)*(1+'5. Scenarios'!$E$10)*(INDEX(BookQ1,750)*(5-MIN(4,1+'5. Scenarios'!$E$8))/4+INDEX(BookQ2,750)*(5-MIN(4,2+'5. Scenarios'!$E$8))/4+INDEX(BookQ3,750)*(5-MIN(4,3+'5. Scenarios'!$E$8))/4+INDEX(BookQ4,750)*(5-MIN(4,4+'5. Scenarios'!$E$8))/4)*'5. Scenarios'!$E$6/(1+ProductivityDefault*('5. Scenarios'!$E$11-1))+INDEX(BookOneOff,750)*$S755)</f>
        <v/>
      </c>
    </row>
    <row r="756" customFormat="false" ht="15" hidden="false" customHeight="false" outlineLevel="0" collapsed="false">
      <c r="A756" s="0" t="str">
        <f aca="false">IF(INDEX(BookTitle,751)="","",INDEX(BookKey,751))</f>
        <v/>
      </c>
      <c r="B756" s="0" t="str">
        <f aca="false">IF(INDEX(BookTitle,751)="","",INDEX(BookGroup,751))</f>
        <v/>
      </c>
      <c r="C756" s="0" t="str">
        <f aca="false">IF(INDEX(BookTitle,751)="","",INDEX(BookCategory,751))</f>
        <v/>
      </c>
      <c r="D756" s="56" t="str">
        <f aca="false">IF(INDEX(BookTitle,751)="","",INDEX(BookTotal,751)*'5. Scenarios'!$B$6/(1+ProductivityDefault*('5. Scenarios'!$B$11-1)))</f>
        <v/>
      </c>
      <c r="E756" s="57" t="str">
        <f aca="false">IF($D756="","",INDEX(BookRate,751)*(1+'5. Scenarios'!$B$10)*$D756)</f>
        <v/>
      </c>
      <c r="F756" s="57" t="str">
        <f aca="false">IF($E756="","",SUMIFS($E$6:$E$2405,$A$6:$A$2405,"&lt;="&amp;$A756))</f>
        <v/>
      </c>
      <c r="G756" s="57" t="str">
        <f aca="false">IF($E756="","",IF($F756&lt;=BankCostEnvelope*'5. Scenarios'!$B$7,1,0))</f>
        <v/>
      </c>
      <c r="H756" s="57" t="str">
        <f aca="false">IF($D756="","",INDEX(BookRate,751)*(1+'5. Scenarios'!$B$10)*(INDEX(BookQ1,751)*(5-MIN(4,1+'5. Scenarios'!$B$8))/4+INDEX(BookQ2,751)*(5-MIN(4,2+'5. Scenarios'!$B$8))/4+INDEX(BookQ3,751)*(5-MIN(4,3+'5. Scenarios'!$B$8))/4+INDEX(BookQ4,751)*(5-MIN(4,4+'5. Scenarios'!$B$8))/4)*'5. Scenarios'!$B$6/(1+ProductivityDefault*('5. Scenarios'!$B$11-1))+INDEX(BookOneOff,751)*$D756)</f>
        <v/>
      </c>
      <c r="I756" s="56" t="str">
        <f aca="false">IF(INDEX(BookTitle,751)="","",INDEX(BookTotal,751)*'5. Scenarios'!$C$6/(1+ProductivityDefault*('5. Scenarios'!$C$11-1)))</f>
        <v/>
      </c>
      <c r="J756" s="57" t="str">
        <f aca="false">IF($I756="","",INDEX(BookRate,751)*(1+'5. Scenarios'!$C$10)*$I756)</f>
        <v/>
      </c>
      <c r="K756" s="57" t="str">
        <f aca="false">IF($J756="","",SUMIFS($J$6:$J$2405,$A$6:$A$2405,"&lt;="&amp;$A756))</f>
        <v/>
      </c>
      <c r="L756" s="57" t="str">
        <f aca="false">IF($J756="","",IF($K756&lt;=BankCostEnvelope*'5. Scenarios'!$C$7,1,0))</f>
        <v/>
      </c>
      <c r="M756" s="57" t="str">
        <f aca="false">IF($I756="","",INDEX(BookRate,751)*(1+'5. Scenarios'!$C$10)*(INDEX(BookQ1,751)*(5-MIN(4,1+'5. Scenarios'!$C$8))/4+INDEX(BookQ2,751)*(5-MIN(4,2+'5. Scenarios'!$C$8))/4+INDEX(BookQ3,751)*(5-MIN(4,3+'5. Scenarios'!$C$8))/4+INDEX(BookQ4,751)*(5-MIN(4,4+'5. Scenarios'!$C$8))/4)*'5. Scenarios'!$C$6/(1+ProductivityDefault*('5. Scenarios'!$C$11-1))+INDEX(BookOneOff,751)*$I756)</f>
        <v/>
      </c>
      <c r="N756" s="56" t="str">
        <f aca="false">IF(INDEX(BookTitle,751)="","",INDEX(BookTotal,751)*'5. Scenarios'!$D$6/(1+ProductivityDefault*('5. Scenarios'!$D$11-1)))</f>
        <v/>
      </c>
      <c r="O756" s="57" t="str">
        <f aca="false">IF($N756="","",INDEX(BookRate,751)*(1+'5. Scenarios'!$D$10)*$N756)</f>
        <v/>
      </c>
      <c r="P756" s="57" t="str">
        <f aca="false">IF($O756="","",SUMIFS($O$6:$O$2405,$A$6:$A$2405,"&lt;="&amp;$A756))</f>
        <v/>
      </c>
      <c r="Q756" s="57" t="str">
        <f aca="false">IF($O756="","",IF($P756&lt;=BankCostEnvelope*'5. Scenarios'!$D$7,1,0))</f>
        <v/>
      </c>
      <c r="R756" s="57" t="str">
        <f aca="false">IF($N756="","",INDEX(BookRate,751)*(1+'5. Scenarios'!$D$10)*(INDEX(BookQ1,751)*(5-MIN(4,1+'5. Scenarios'!$D$8))/4+INDEX(BookQ2,751)*(5-MIN(4,2+'5. Scenarios'!$D$8))/4+INDEX(BookQ3,751)*(5-MIN(4,3+'5. Scenarios'!$D$8))/4+INDEX(BookQ4,751)*(5-MIN(4,4+'5. Scenarios'!$D$8))/4)*'5. Scenarios'!$D$6/(1+ProductivityDefault*('5. Scenarios'!$D$11-1))+INDEX(BookOneOff,751)*$N756)</f>
        <v/>
      </c>
      <c r="S756" s="56" t="str">
        <f aca="false">IF(INDEX(BookTitle,751)="","",INDEX(BookTotal,751)*'5. Scenarios'!$E$6/(1+ProductivityDefault*('5. Scenarios'!$E$11-1)))</f>
        <v/>
      </c>
      <c r="T756" s="57" t="str">
        <f aca="false">IF($S756="","",INDEX(BookRate,751)*(1+'5. Scenarios'!$E$10)*$S756)</f>
        <v/>
      </c>
      <c r="U756" s="57" t="str">
        <f aca="false">IF($T756="","",SUMIFS($T$6:$T$2405,$A$6:$A$2405,"&lt;="&amp;$A756))</f>
        <v/>
      </c>
      <c r="V756" s="57" t="str">
        <f aca="false">IF($T756="","",IF($U756&lt;=BankCostEnvelope*'5. Scenarios'!$E$7,1,0))</f>
        <v/>
      </c>
      <c r="W756" s="57" t="str">
        <f aca="false">IF($S756="","",INDEX(BookRate,751)*(1+'5. Scenarios'!$E$10)*(INDEX(BookQ1,751)*(5-MIN(4,1+'5. Scenarios'!$E$8))/4+INDEX(BookQ2,751)*(5-MIN(4,2+'5. Scenarios'!$E$8))/4+INDEX(BookQ3,751)*(5-MIN(4,3+'5. Scenarios'!$E$8))/4+INDEX(BookQ4,751)*(5-MIN(4,4+'5. Scenarios'!$E$8))/4)*'5. Scenarios'!$E$6/(1+ProductivityDefault*('5. Scenarios'!$E$11-1))+INDEX(BookOneOff,751)*$S756)</f>
        <v/>
      </c>
    </row>
    <row r="757" customFormat="false" ht="15" hidden="false" customHeight="false" outlineLevel="0" collapsed="false">
      <c r="A757" s="0" t="str">
        <f aca="false">IF(INDEX(BookTitle,752)="","",INDEX(BookKey,752))</f>
        <v/>
      </c>
      <c r="B757" s="0" t="str">
        <f aca="false">IF(INDEX(BookTitle,752)="","",INDEX(BookGroup,752))</f>
        <v/>
      </c>
      <c r="C757" s="0" t="str">
        <f aca="false">IF(INDEX(BookTitle,752)="","",INDEX(BookCategory,752))</f>
        <v/>
      </c>
      <c r="D757" s="56" t="str">
        <f aca="false">IF(INDEX(BookTitle,752)="","",INDEX(BookTotal,752)*'5. Scenarios'!$B$6/(1+ProductivityDefault*('5. Scenarios'!$B$11-1)))</f>
        <v/>
      </c>
      <c r="E757" s="57" t="str">
        <f aca="false">IF($D757="","",INDEX(BookRate,752)*(1+'5. Scenarios'!$B$10)*$D757)</f>
        <v/>
      </c>
      <c r="F757" s="57" t="str">
        <f aca="false">IF($E757="","",SUMIFS($E$6:$E$2405,$A$6:$A$2405,"&lt;="&amp;$A757))</f>
        <v/>
      </c>
      <c r="G757" s="57" t="str">
        <f aca="false">IF($E757="","",IF($F757&lt;=BankCostEnvelope*'5. Scenarios'!$B$7,1,0))</f>
        <v/>
      </c>
      <c r="H757" s="57" t="str">
        <f aca="false">IF($D757="","",INDEX(BookRate,752)*(1+'5. Scenarios'!$B$10)*(INDEX(BookQ1,752)*(5-MIN(4,1+'5. Scenarios'!$B$8))/4+INDEX(BookQ2,752)*(5-MIN(4,2+'5. Scenarios'!$B$8))/4+INDEX(BookQ3,752)*(5-MIN(4,3+'5. Scenarios'!$B$8))/4+INDEX(BookQ4,752)*(5-MIN(4,4+'5. Scenarios'!$B$8))/4)*'5. Scenarios'!$B$6/(1+ProductivityDefault*('5. Scenarios'!$B$11-1))+INDEX(BookOneOff,752)*$D757)</f>
        <v/>
      </c>
      <c r="I757" s="56" t="str">
        <f aca="false">IF(INDEX(BookTitle,752)="","",INDEX(BookTotal,752)*'5. Scenarios'!$C$6/(1+ProductivityDefault*('5. Scenarios'!$C$11-1)))</f>
        <v/>
      </c>
      <c r="J757" s="57" t="str">
        <f aca="false">IF($I757="","",INDEX(BookRate,752)*(1+'5. Scenarios'!$C$10)*$I757)</f>
        <v/>
      </c>
      <c r="K757" s="57" t="str">
        <f aca="false">IF($J757="","",SUMIFS($J$6:$J$2405,$A$6:$A$2405,"&lt;="&amp;$A757))</f>
        <v/>
      </c>
      <c r="L757" s="57" t="str">
        <f aca="false">IF($J757="","",IF($K757&lt;=BankCostEnvelope*'5. Scenarios'!$C$7,1,0))</f>
        <v/>
      </c>
      <c r="M757" s="57" t="str">
        <f aca="false">IF($I757="","",INDEX(BookRate,752)*(1+'5. Scenarios'!$C$10)*(INDEX(BookQ1,752)*(5-MIN(4,1+'5. Scenarios'!$C$8))/4+INDEX(BookQ2,752)*(5-MIN(4,2+'5. Scenarios'!$C$8))/4+INDEX(BookQ3,752)*(5-MIN(4,3+'5. Scenarios'!$C$8))/4+INDEX(BookQ4,752)*(5-MIN(4,4+'5. Scenarios'!$C$8))/4)*'5. Scenarios'!$C$6/(1+ProductivityDefault*('5. Scenarios'!$C$11-1))+INDEX(BookOneOff,752)*$I757)</f>
        <v/>
      </c>
      <c r="N757" s="56" t="str">
        <f aca="false">IF(INDEX(BookTitle,752)="","",INDEX(BookTotal,752)*'5. Scenarios'!$D$6/(1+ProductivityDefault*('5. Scenarios'!$D$11-1)))</f>
        <v/>
      </c>
      <c r="O757" s="57" t="str">
        <f aca="false">IF($N757="","",INDEX(BookRate,752)*(1+'5. Scenarios'!$D$10)*$N757)</f>
        <v/>
      </c>
      <c r="P757" s="57" t="str">
        <f aca="false">IF($O757="","",SUMIFS($O$6:$O$2405,$A$6:$A$2405,"&lt;="&amp;$A757))</f>
        <v/>
      </c>
      <c r="Q757" s="57" t="str">
        <f aca="false">IF($O757="","",IF($P757&lt;=BankCostEnvelope*'5. Scenarios'!$D$7,1,0))</f>
        <v/>
      </c>
      <c r="R757" s="57" t="str">
        <f aca="false">IF($N757="","",INDEX(BookRate,752)*(1+'5. Scenarios'!$D$10)*(INDEX(BookQ1,752)*(5-MIN(4,1+'5. Scenarios'!$D$8))/4+INDEX(BookQ2,752)*(5-MIN(4,2+'5. Scenarios'!$D$8))/4+INDEX(BookQ3,752)*(5-MIN(4,3+'5. Scenarios'!$D$8))/4+INDEX(BookQ4,752)*(5-MIN(4,4+'5. Scenarios'!$D$8))/4)*'5. Scenarios'!$D$6/(1+ProductivityDefault*('5. Scenarios'!$D$11-1))+INDEX(BookOneOff,752)*$N757)</f>
        <v/>
      </c>
      <c r="S757" s="56" t="str">
        <f aca="false">IF(INDEX(BookTitle,752)="","",INDEX(BookTotal,752)*'5. Scenarios'!$E$6/(1+ProductivityDefault*('5. Scenarios'!$E$11-1)))</f>
        <v/>
      </c>
      <c r="T757" s="57" t="str">
        <f aca="false">IF($S757="","",INDEX(BookRate,752)*(1+'5. Scenarios'!$E$10)*$S757)</f>
        <v/>
      </c>
      <c r="U757" s="57" t="str">
        <f aca="false">IF($T757="","",SUMIFS($T$6:$T$2405,$A$6:$A$2405,"&lt;="&amp;$A757))</f>
        <v/>
      </c>
      <c r="V757" s="57" t="str">
        <f aca="false">IF($T757="","",IF($U757&lt;=BankCostEnvelope*'5. Scenarios'!$E$7,1,0))</f>
        <v/>
      </c>
      <c r="W757" s="57" t="str">
        <f aca="false">IF($S757="","",INDEX(BookRate,752)*(1+'5. Scenarios'!$E$10)*(INDEX(BookQ1,752)*(5-MIN(4,1+'5. Scenarios'!$E$8))/4+INDEX(BookQ2,752)*(5-MIN(4,2+'5. Scenarios'!$E$8))/4+INDEX(BookQ3,752)*(5-MIN(4,3+'5. Scenarios'!$E$8))/4+INDEX(BookQ4,752)*(5-MIN(4,4+'5. Scenarios'!$E$8))/4)*'5. Scenarios'!$E$6/(1+ProductivityDefault*('5. Scenarios'!$E$11-1))+INDEX(BookOneOff,752)*$S757)</f>
        <v/>
      </c>
    </row>
    <row r="758" customFormat="false" ht="15" hidden="false" customHeight="false" outlineLevel="0" collapsed="false">
      <c r="A758" s="0" t="str">
        <f aca="false">IF(INDEX(BookTitle,753)="","",INDEX(BookKey,753))</f>
        <v/>
      </c>
      <c r="B758" s="0" t="str">
        <f aca="false">IF(INDEX(BookTitle,753)="","",INDEX(BookGroup,753))</f>
        <v/>
      </c>
      <c r="C758" s="0" t="str">
        <f aca="false">IF(INDEX(BookTitle,753)="","",INDEX(BookCategory,753))</f>
        <v/>
      </c>
      <c r="D758" s="56" t="str">
        <f aca="false">IF(INDEX(BookTitle,753)="","",INDEX(BookTotal,753)*'5. Scenarios'!$B$6/(1+ProductivityDefault*('5. Scenarios'!$B$11-1)))</f>
        <v/>
      </c>
      <c r="E758" s="57" t="str">
        <f aca="false">IF($D758="","",INDEX(BookRate,753)*(1+'5. Scenarios'!$B$10)*$D758)</f>
        <v/>
      </c>
      <c r="F758" s="57" t="str">
        <f aca="false">IF($E758="","",SUMIFS($E$6:$E$2405,$A$6:$A$2405,"&lt;="&amp;$A758))</f>
        <v/>
      </c>
      <c r="G758" s="57" t="str">
        <f aca="false">IF($E758="","",IF($F758&lt;=BankCostEnvelope*'5. Scenarios'!$B$7,1,0))</f>
        <v/>
      </c>
      <c r="H758" s="57" t="str">
        <f aca="false">IF($D758="","",INDEX(BookRate,753)*(1+'5. Scenarios'!$B$10)*(INDEX(BookQ1,753)*(5-MIN(4,1+'5. Scenarios'!$B$8))/4+INDEX(BookQ2,753)*(5-MIN(4,2+'5. Scenarios'!$B$8))/4+INDEX(BookQ3,753)*(5-MIN(4,3+'5. Scenarios'!$B$8))/4+INDEX(BookQ4,753)*(5-MIN(4,4+'5. Scenarios'!$B$8))/4)*'5. Scenarios'!$B$6/(1+ProductivityDefault*('5. Scenarios'!$B$11-1))+INDEX(BookOneOff,753)*$D758)</f>
        <v/>
      </c>
      <c r="I758" s="56" t="str">
        <f aca="false">IF(INDEX(BookTitle,753)="","",INDEX(BookTotal,753)*'5. Scenarios'!$C$6/(1+ProductivityDefault*('5. Scenarios'!$C$11-1)))</f>
        <v/>
      </c>
      <c r="J758" s="57" t="str">
        <f aca="false">IF($I758="","",INDEX(BookRate,753)*(1+'5. Scenarios'!$C$10)*$I758)</f>
        <v/>
      </c>
      <c r="K758" s="57" t="str">
        <f aca="false">IF($J758="","",SUMIFS($J$6:$J$2405,$A$6:$A$2405,"&lt;="&amp;$A758))</f>
        <v/>
      </c>
      <c r="L758" s="57" t="str">
        <f aca="false">IF($J758="","",IF($K758&lt;=BankCostEnvelope*'5. Scenarios'!$C$7,1,0))</f>
        <v/>
      </c>
      <c r="M758" s="57" t="str">
        <f aca="false">IF($I758="","",INDEX(BookRate,753)*(1+'5. Scenarios'!$C$10)*(INDEX(BookQ1,753)*(5-MIN(4,1+'5. Scenarios'!$C$8))/4+INDEX(BookQ2,753)*(5-MIN(4,2+'5. Scenarios'!$C$8))/4+INDEX(BookQ3,753)*(5-MIN(4,3+'5. Scenarios'!$C$8))/4+INDEX(BookQ4,753)*(5-MIN(4,4+'5. Scenarios'!$C$8))/4)*'5. Scenarios'!$C$6/(1+ProductivityDefault*('5. Scenarios'!$C$11-1))+INDEX(BookOneOff,753)*$I758)</f>
        <v/>
      </c>
      <c r="N758" s="56" t="str">
        <f aca="false">IF(INDEX(BookTitle,753)="","",INDEX(BookTotal,753)*'5. Scenarios'!$D$6/(1+ProductivityDefault*('5. Scenarios'!$D$11-1)))</f>
        <v/>
      </c>
      <c r="O758" s="57" t="str">
        <f aca="false">IF($N758="","",INDEX(BookRate,753)*(1+'5. Scenarios'!$D$10)*$N758)</f>
        <v/>
      </c>
      <c r="P758" s="57" t="str">
        <f aca="false">IF($O758="","",SUMIFS($O$6:$O$2405,$A$6:$A$2405,"&lt;="&amp;$A758))</f>
        <v/>
      </c>
      <c r="Q758" s="57" t="str">
        <f aca="false">IF($O758="","",IF($P758&lt;=BankCostEnvelope*'5. Scenarios'!$D$7,1,0))</f>
        <v/>
      </c>
      <c r="R758" s="57" t="str">
        <f aca="false">IF($N758="","",INDEX(BookRate,753)*(1+'5. Scenarios'!$D$10)*(INDEX(BookQ1,753)*(5-MIN(4,1+'5. Scenarios'!$D$8))/4+INDEX(BookQ2,753)*(5-MIN(4,2+'5. Scenarios'!$D$8))/4+INDEX(BookQ3,753)*(5-MIN(4,3+'5. Scenarios'!$D$8))/4+INDEX(BookQ4,753)*(5-MIN(4,4+'5. Scenarios'!$D$8))/4)*'5. Scenarios'!$D$6/(1+ProductivityDefault*('5. Scenarios'!$D$11-1))+INDEX(BookOneOff,753)*$N758)</f>
        <v/>
      </c>
      <c r="S758" s="56" t="str">
        <f aca="false">IF(INDEX(BookTitle,753)="","",INDEX(BookTotal,753)*'5. Scenarios'!$E$6/(1+ProductivityDefault*('5. Scenarios'!$E$11-1)))</f>
        <v/>
      </c>
      <c r="T758" s="57" t="str">
        <f aca="false">IF($S758="","",INDEX(BookRate,753)*(1+'5. Scenarios'!$E$10)*$S758)</f>
        <v/>
      </c>
      <c r="U758" s="57" t="str">
        <f aca="false">IF($T758="","",SUMIFS($T$6:$T$2405,$A$6:$A$2405,"&lt;="&amp;$A758))</f>
        <v/>
      </c>
      <c r="V758" s="57" t="str">
        <f aca="false">IF($T758="","",IF($U758&lt;=BankCostEnvelope*'5. Scenarios'!$E$7,1,0))</f>
        <v/>
      </c>
      <c r="W758" s="57" t="str">
        <f aca="false">IF($S758="","",INDEX(BookRate,753)*(1+'5. Scenarios'!$E$10)*(INDEX(BookQ1,753)*(5-MIN(4,1+'5. Scenarios'!$E$8))/4+INDEX(BookQ2,753)*(5-MIN(4,2+'5. Scenarios'!$E$8))/4+INDEX(BookQ3,753)*(5-MIN(4,3+'5. Scenarios'!$E$8))/4+INDEX(BookQ4,753)*(5-MIN(4,4+'5. Scenarios'!$E$8))/4)*'5. Scenarios'!$E$6/(1+ProductivityDefault*('5. Scenarios'!$E$11-1))+INDEX(BookOneOff,753)*$S758)</f>
        <v/>
      </c>
    </row>
    <row r="759" customFormat="false" ht="15" hidden="false" customHeight="false" outlineLevel="0" collapsed="false">
      <c r="A759" s="0" t="str">
        <f aca="false">IF(INDEX(BookTitle,754)="","",INDEX(BookKey,754))</f>
        <v/>
      </c>
      <c r="B759" s="0" t="str">
        <f aca="false">IF(INDEX(BookTitle,754)="","",INDEX(BookGroup,754))</f>
        <v/>
      </c>
      <c r="C759" s="0" t="str">
        <f aca="false">IF(INDEX(BookTitle,754)="","",INDEX(BookCategory,754))</f>
        <v/>
      </c>
      <c r="D759" s="56" t="str">
        <f aca="false">IF(INDEX(BookTitle,754)="","",INDEX(BookTotal,754)*'5. Scenarios'!$B$6/(1+ProductivityDefault*('5. Scenarios'!$B$11-1)))</f>
        <v/>
      </c>
      <c r="E759" s="57" t="str">
        <f aca="false">IF($D759="","",INDEX(BookRate,754)*(1+'5. Scenarios'!$B$10)*$D759)</f>
        <v/>
      </c>
      <c r="F759" s="57" t="str">
        <f aca="false">IF($E759="","",SUMIFS($E$6:$E$2405,$A$6:$A$2405,"&lt;="&amp;$A759))</f>
        <v/>
      </c>
      <c r="G759" s="57" t="str">
        <f aca="false">IF($E759="","",IF($F759&lt;=BankCostEnvelope*'5. Scenarios'!$B$7,1,0))</f>
        <v/>
      </c>
      <c r="H759" s="57" t="str">
        <f aca="false">IF($D759="","",INDEX(BookRate,754)*(1+'5. Scenarios'!$B$10)*(INDEX(BookQ1,754)*(5-MIN(4,1+'5. Scenarios'!$B$8))/4+INDEX(BookQ2,754)*(5-MIN(4,2+'5. Scenarios'!$B$8))/4+INDEX(BookQ3,754)*(5-MIN(4,3+'5. Scenarios'!$B$8))/4+INDEX(BookQ4,754)*(5-MIN(4,4+'5. Scenarios'!$B$8))/4)*'5. Scenarios'!$B$6/(1+ProductivityDefault*('5. Scenarios'!$B$11-1))+INDEX(BookOneOff,754)*$D759)</f>
        <v/>
      </c>
      <c r="I759" s="56" t="str">
        <f aca="false">IF(INDEX(BookTitle,754)="","",INDEX(BookTotal,754)*'5. Scenarios'!$C$6/(1+ProductivityDefault*('5. Scenarios'!$C$11-1)))</f>
        <v/>
      </c>
      <c r="J759" s="57" t="str">
        <f aca="false">IF($I759="","",INDEX(BookRate,754)*(1+'5. Scenarios'!$C$10)*$I759)</f>
        <v/>
      </c>
      <c r="K759" s="57" t="str">
        <f aca="false">IF($J759="","",SUMIFS($J$6:$J$2405,$A$6:$A$2405,"&lt;="&amp;$A759))</f>
        <v/>
      </c>
      <c r="L759" s="57" t="str">
        <f aca="false">IF($J759="","",IF($K759&lt;=BankCostEnvelope*'5. Scenarios'!$C$7,1,0))</f>
        <v/>
      </c>
      <c r="M759" s="57" t="str">
        <f aca="false">IF($I759="","",INDEX(BookRate,754)*(1+'5. Scenarios'!$C$10)*(INDEX(BookQ1,754)*(5-MIN(4,1+'5. Scenarios'!$C$8))/4+INDEX(BookQ2,754)*(5-MIN(4,2+'5. Scenarios'!$C$8))/4+INDEX(BookQ3,754)*(5-MIN(4,3+'5. Scenarios'!$C$8))/4+INDEX(BookQ4,754)*(5-MIN(4,4+'5. Scenarios'!$C$8))/4)*'5. Scenarios'!$C$6/(1+ProductivityDefault*('5. Scenarios'!$C$11-1))+INDEX(BookOneOff,754)*$I759)</f>
        <v/>
      </c>
      <c r="N759" s="56" t="str">
        <f aca="false">IF(INDEX(BookTitle,754)="","",INDEX(BookTotal,754)*'5. Scenarios'!$D$6/(1+ProductivityDefault*('5. Scenarios'!$D$11-1)))</f>
        <v/>
      </c>
      <c r="O759" s="57" t="str">
        <f aca="false">IF($N759="","",INDEX(BookRate,754)*(1+'5. Scenarios'!$D$10)*$N759)</f>
        <v/>
      </c>
      <c r="P759" s="57" t="str">
        <f aca="false">IF($O759="","",SUMIFS($O$6:$O$2405,$A$6:$A$2405,"&lt;="&amp;$A759))</f>
        <v/>
      </c>
      <c r="Q759" s="57" t="str">
        <f aca="false">IF($O759="","",IF($P759&lt;=BankCostEnvelope*'5. Scenarios'!$D$7,1,0))</f>
        <v/>
      </c>
      <c r="R759" s="57" t="str">
        <f aca="false">IF($N759="","",INDEX(BookRate,754)*(1+'5. Scenarios'!$D$10)*(INDEX(BookQ1,754)*(5-MIN(4,1+'5. Scenarios'!$D$8))/4+INDEX(BookQ2,754)*(5-MIN(4,2+'5. Scenarios'!$D$8))/4+INDEX(BookQ3,754)*(5-MIN(4,3+'5. Scenarios'!$D$8))/4+INDEX(BookQ4,754)*(5-MIN(4,4+'5. Scenarios'!$D$8))/4)*'5. Scenarios'!$D$6/(1+ProductivityDefault*('5. Scenarios'!$D$11-1))+INDEX(BookOneOff,754)*$N759)</f>
        <v/>
      </c>
      <c r="S759" s="56" t="str">
        <f aca="false">IF(INDEX(BookTitle,754)="","",INDEX(BookTotal,754)*'5. Scenarios'!$E$6/(1+ProductivityDefault*('5. Scenarios'!$E$11-1)))</f>
        <v/>
      </c>
      <c r="T759" s="57" t="str">
        <f aca="false">IF($S759="","",INDEX(BookRate,754)*(1+'5. Scenarios'!$E$10)*$S759)</f>
        <v/>
      </c>
      <c r="U759" s="57" t="str">
        <f aca="false">IF($T759="","",SUMIFS($T$6:$T$2405,$A$6:$A$2405,"&lt;="&amp;$A759))</f>
        <v/>
      </c>
      <c r="V759" s="57" t="str">
        <f aca="false">IF($T759="","",IF($U759&lt;=BankCostEnvelope*'5. Scenarios'!$E$7,1,0))</f>
        <v/>
      </c>
      <c r="W759" s="57" t="str">
        <f aca="false">IF($S759="","",INDEX(BookRate,754)*(1+'5. Scenarios'!$E$10)*(INDEX(BookQ1,754)*(5-MIN(4,1+'5. Scenarios'!$E$8))/4+INDEX(BookQ2,754)*(5-MIN(4,2+'5. Scenarios'!$E$8))/4+INDEX(BookQ3,754)*(5-MIN(4,3+'5. Scenarios'!$E$8))/4+INDEX(BookQ4,754)*(5-MIN(4,4+'5. Scenarios'!$E$8))/4)*'5. Scenarios'!$E$6/(1+ProductivityDefault*('5. Scenarios'!$E$11-1))+INDEX(BookOneOff,754)*$S759)</f>
        <v/>
      </c>
    </row>
    <row r="760" customFormat="false" ht="15" hidden="false" customHeight="false" outlineLevel="0" collapsed="false">
      <c r="A760" s="0" t="str">
        <f aca="false">IF(INDEX(BookTitle,755)="","",INDEX(BookKey,755))</f>
        <v/>
      </c>
      <c r="B760" s="0" t="str">
        <f aca="false">IF(INDEX(BookTitle,755)="","",INDEX(BookGroup,755))</f>
        <v/>
      </c>
      <c r="C760" s="0" t="str">
        <f aca="false">IF(INDEX(BookTitle,755)="","",INDEX(BookCategory,755))</f>
        <v/>
      </c>
      <c r="D760" s="56" t="str">
        <f aca="false">IF(INDEX(BookTitle,755)="","",INDEX(BookTotal,755)*'5. Scenarios'!$B$6/(1+ProductivityDefault*('5. Scenarios'!$B$11-1)))</f>
        <v/>
      </c>
      <c r="E760" s="57" t="str">
        <f aca="false">IF($D760="","",INDEX(BookRate,755)*(1+'5. Scenarios'!$B$10)*$D760)</f>
        <v/>
      </c>
      <c r="F760" s="57" t="str">
        <f aca="false">IF($E760="","",SUMIFS($E$6:$E$2405,$A$6:$A$2405,"&lt;="&amp;$A760))</f>
        <v/>
      </c>
      <c r="G760" s="57" t="str">
        <f aca="false">IF($E760="","",IF($F760&lt;=BankCostEnvelope*'5. Scenarios'!$B$7,1,0))</f>
        <v/>
      </c>
      <c r="H760" s="57" t="str">
        <f aca="false">IF($D760="","",INDEX(BookRate,755)*(1+'5. Scenarios'!$B$10)*(INDEX(BookQ1,755)*(5-MIN(4,1+'5. Scenarios'!$B$8))/4+INDEX(BookQ2,755)*(5-MIN(4,2+'5. Scenarios'!$B$8))/4+INDEX(BookQ3,755)*(5-MIN(4,3+'5. Scenarios'!$B$8))/4+INDEX(BookQ4,755)*(5-MIN(4,4+'5. Scenarios'!$B$8))/4)*'5. Scenarios'!$B$6/(1+ProductivityDefault*('5. Scenarios'!$B$11-1))+INDEX(BookOneOff,755)*$D760)</f>
        <v/>
      </c>
      <c r="I760" s="56" t="str">
        <f aca="false">IF(INDEX(BookTitle,755)="","",INDEX(BookTotal,755)*'5. Scenarios'!$C$6/(1+ProductivityDefault*('5. Scenarios'!$C$11-1)))</f>
        <v/>
      </c>
      <c r="J760" s="57" t="str">
        <f aca="false">IF($I760="","",INDEX(BookRate,755)*(1+'5. Scenarios'!$C$10)*$I760)</f>
        <v/>
      </c>
      <c r="K760" s="57" t="str">
        <f aca="false">IF($J760="","",SUMIFS($J$6:$J$2405,$A$6:$A$2405,"&lt;="&amp;$A760))</f>
        <v/>
      </c>
      <c r="L760" s="57" t="str">
        <f aca="false">IF($J760="","",IF($K760&lt;=BankCostEnvelope*'5. Scenarios'!$C$7,1,0))</f>
        <v/>
      </c>
      <c r="M760" s="57" t="str">
        <f aca="false">IF($I760="","",INDEX(BookRate,755)*(1+'5. Scenarios'!$C$10)*(INDEX(BookQ1,755)*(5-MIN(4,1+'5. Scenarios'!$C$8))/4+INDEX(BookQ2,755)*(5-MIN(4,2+'5. Scenarios'!$C$8))/4+INDEX(BookQ3,755)*(5-MIN(4,3+'5. Scenarios'!$C$8))/4+INDEX(BookQ4,755)*(5-MIN(4,4+'5. Scenarios'!$C$8))/4)*'5. Scenarios'!$C$6/(1+ProductivityDefault*('5. Scenarios'!$C$11-1))+INDEX(BookOneOff,755)*$I760)</f>
        <v/>
      </c>
      <c r="N760" s="56" t="str">
        <f aca="false">IF(INDEX(BookTitle,755)="","",INDEX(BookTotal,755)*'5. Scenarios'!$D$6/(1+ProductivityDefault*('5. Scenarios'!$D$11-1)))</f>
        <v/>
      </c>
      <c r="O760" s="57" t="str">
        <f aca="false">IF($N760="","",INDEX(BookRate,755)*(1+'5. Scenarios'!$D$10)*$N760)</f>
        <v/>
      </c>
      <c r="P760" s="57" t="str">
        <f aca="false">IF($O760="","",SUMIFS($O$6:$O$2405,$A$6:$A$2405,"&lt;="&amp;$A760))</f>
        <v/>
      </c>
      <c r="Q760" s="57" t="str">
        <f aca="false">IF($O760="","",IF($P760&lt;=BankCostEnvelope*'5. Scenarios'!$D$7,1,0))</f>
        <v/>
      </c>
      <c r="R760" s="57" t="str">
        <f aca="false">IF($N760="","",INDEX(BookRate,755)*(1+'5. Scenarios'!$D$10)*(INDEX(BookQ1,755)*(5-MIN(4,1+'5. Scenarios'!$D$8))/4+INDEX(BookQ2,755)*(5-MIN(4,2+'5. Scenarios'!$D$8))/4+INDEX(BookQ3,755)*(5-MIN(4,3+'5. Scenarios'!$D$8))/4+INDEX(BookQ4,755)*(5-MIN(4,4+'5. Scenarios'!$D$8))/4)*'5. Scenarios'!$D$6/(1+ProductivityDefault*('5. Scenarios'!$D$11-1))+INDEX(BookOneOff,755)*$N760)</f>
        <v/>
      </c>
      <c r="S760" s="56" t="str">
        <f aca="false">IF(INDEX(BookTitle,755)="","",INDEX(BookTotal,755)*'5. Scenarios'!$E$6/(1+ProductivityDefault*('5. Scenarios'!$E$11-1)))</f>
        <v/>
      </c>
      <c r="T760" s="57" t="str">
        <f aca="false">IF($S760="","",INDEX(BookRate,755)*(1+'5. Scenarios'!$E$10)*$S760)</f>
        <v/>
      </c>
      <c r="U760" s="57" t="str">
        <f aca="false">IF($T760="","",SUMIFS($T$6:$T$2405,$A$6:$A$2405,"&lt;="&amp;$A760))</f>
        <v/>
      </c>
      <c r="V760" s="57" t="str">
        <f aca="false">IF($T760="","",IF($U760&lt;=BankCostEnvelope*'5. Scenarios'!$E$7,1,0))</f>
        <v/>
      </c>
      <c r="W760" s="57" t="str">
        <f aca="false">IF($S760="","",INDEX(BookRate,755)*(1+'5. Scenarios'!$E$10)*(INDEX(BookQ1,755)*(5-MIN(4,1+'5. Scenarios'!$E$8))/4+INDEX(BookQ2,755)*(5-MIN(4,2+'5. Scenarios'!$E$8))/4+INDEX(BookQ3,755)*(5-MIN(4,3+'5. Scenarios'!$E$8))/4+INDEX(BookQ4,755)*(5-MIN(4,4+'5. Scenarios'!$E$8))/4)*'5. Scenarios'!$E$6/(1+ProductivityDefault*('5. Scenarios'!$E$11-1))+INDEX(BookOneOff,755)*$S760)</f>
        <v/>
      </c>
    </row>
    <row r="761" customFormat="false" ht="15" hidden="false" customHeight="false" outlineLevel="0" collapsed="false">
      <c r="A761" s="0" t="str">
        <f aca="false">IF(INDEX(BookTitle,756)="","",INDEX(BookKey,756))</f>
        <v/>
      </c>
      <c r="B761" s="0" t="str">
        <f aca="false">IF(INDEX(BookTitle,756)="","",INDEX(BookGroup,756))</f>
        <v/>
      </c>
      <c r="C761" s="0" t="str">
        <f aca="false">IF(INDEX(BookTitle,756)="","",INDEX(BookCategory,756))</f>
        <v/>
      </c>
      <c r="D761" s="56" t="str">
        <f aca="false">IF(INDEX(BookTitle,756)="","",INDEX(BookTotal,756)*'5. Scenarios'!$B$6/(1+ProductivityDefault*('5. Scenarios'!$B$11-1)))</f>
        <v/>
      </c>
      <c r="E761" s="57" t="str">
        <f aca="false">IF($D761="","",INDEX(BookRate,756)*(1+'5. Scenarios'!$B$10)*$D761)</f>
        <v/>
      </c>
      <c r="F761" s="57" t="str">
        <f aca="false">IF($E761="","",SUMIFS($E$6:$E$2405,$A$6:$A$2405,"&lt;="&amp;$A761))</f>
        <v/>
      </c>
      <c r="G761" s="57" t="str">
        <f aca="false">IF($E761="","",IF($F761&lt;=BankCostEnvelope*'5. Scenarios'!$B$7,1,0))</f>
        <v/>
      </c>
      <c r="H761" s="57" t="str">
        <f aca="false">IF($D761="","",INDEX(BookRate,756)*(1+'5. Scenarios'!$B$10)*(INDEX(BookQ1,756)*(5-MIN(4,1+'5. Scenarios'!$B$8))/4+INDEX(BookQ2,756)*(5-MIN(4,2+'5. Scenarios'!$B$8))/4+INDEX(BookQ3,756)*(5-MIN(4,3+'5. Scenarios'!$B$8))/4+INDEX(BookQ4,756)*(5-MIN(4,4+'5. Scenarios'!$B$8))/4)*'5. Scenarios'!$B$6/(1+ProductivityDefault*('5. Scenarios'!$B$11-1))+INDEX(BookOneOff,756)*$D761)</f>
        <v/>
      </c>
      <c r="I761" s="56" t="str">
        <f aca="false">IF(INDEX(BookTitle,756)="","",INDEX(BookTotal,756)*'5. Scenarios'!$C$6/(1+ProductivityDefault*('5. Scenarios'!$C$11-1)))</f>
        <v/>
      </c>
      <c r="J761" s="57" t="str">
        <f aca="false">IF($I761="","",INDEX(BookRate,756)*(1+'5. Scenarios'!$C$10)*$I761)</f>
        <v/>
      </c>
      <c r="K761" s="57" t="str">
        <f aca="false">IF($J761="","",SUMIFS($J$6:$J$2405,$A$6:$A$2405,"&lt;="&amp;$A761))</f>
        <v/>
      </c>
      <c r="L761" s="57" t="str">
        <f aca="false">IF($J761="","",IF($K761&lt;=BankCostEnvelope*'5. Scenarios'!$C$7,1,0))</f>
        <v/>
      </c>
      <c r="M761" s="57" t="str">
        <f aca="false">IF($I761="","",INDEX(BookRate,756)*(1+'5. Scenarios'!$C$10)*(INDEX(BookQ1,756)*(5-MIN(4,1+'5. Scenarios'!$C$8))/4+INDEX(BookQ2,756)*(5-MIN(4,2+'5. Scenarios'!$C$8))/4+INDEX(BookQ3,756)*(5-MIN(4,3+'5. Scenarios'!$C$8))/4+INDEX(BookQ4,756)*(5-MIN(4,4+'5. Scenarios'!$C$8))/4)*'5. Scenarios'!$C$6/(1+ProductivityDefault*('5. Scenarios'!$C$11-1))+INDEX(BookOneOff,756)*$I761)</f>
        <v/>
      </c>
      <c r="N761" s="56" t="str">
        <f aca="false">IF(INDEX(BookTitle,756)="","",INDEX(BookTotal,756)*'5. Scenarios'!$D$6/(1+ProductivityDefault*('5. Scenarios'!$D$11-1)))</f>
        <v/>
      </c>
      <c r="O761" s="57" t="str">
        <f aca="false">IF($N761="","",INDEX(BookRate,756)*(1+'5. Scenarios'!$D$10)*$N761)</f>
        <v/>
      </c>
      <c r="P761" s="57" t="str">
        <f aca="false">IF($O761="","",SUMIFS($O$6:$O$2405,$A$6:$A$2405,"&lt;="&amp;$A761))</f>
        <v/>
      </c>
      <c r="Q761" s="57" t="str">
        <f aca="false">IF($O761="","",IF($P761&lt;=BankCostEnvelope*'5. Scenarios'!$D$7,1,0))</f>
        <v/>
      </c>
      <c r="R761" s="57" t="str">
        <f aca="false">IF($N761="","",INDEX(BookRate,756)*(1+'5. Scenarios'!$D$10)*(INDEX(BookQ1,756)*(5-MIN(4,1+'5. Scenarios'!$D$8))/4+INDEX(BookQ2,756)*(5-MIN(4,2+'5. Scenarios'!$D$8))/4+INDEX(BookQ3,756)*(5-MIN(4,3+'5. Scenarios'!$D$8))/4+INDEX(BookQ4,756)*(5-MIN(4,4+'5. Scenarios'!$D$8))/4)*'5. Scenarios'!$D$6/(1+ProductivityDefault*('5. Scenarios'!$D$11-1))+INDEX(BookOneOff,756)*$N761)</f>
        <v/>
      </c>
      <c r="S761" s="56" t="str">
        <f aca="false">IF(INDEX(BookTitle,756)="","",INDEX(BookTotal,756)*'5. Scenarios'!$E$6/(1+ProductivityDefault*('5. Scenarios'!$E$11-1)))</f>
        <v/>
      </c>
      <c r="T761" s="57" t="str">
        <f aca="false">IF($S761="","",INDEX(BookRate,756)*(1+'5. Scenarios'!$E$10)*$S761)</f>
        <v/>
      </c>
      <c r="U761" s="57" t="str">
        <f aca="false">IF($T761="","",SUMIFS($T$6:$T$2405,$A$6:$A$2405,"&lt;="&amp;$A761))</f>
        <v/>
      </c>
      <c r="V761" s="57" t="str">
        <f aca="false">IF($T761="","",IF($U761&lt;=BankCostEnvelope*'5. Scenarios'!$E$7,1,0))</f>
        <v/>
      </c>
      <c r="W761" s="57" t="str">
        <f aca="false">IF($S761="","",INDEX(BookRate,756)*(1+'5. Scenarios'!$E$10)*(INDEX(BookQ1,756)*(5-MIN(4,1+'5. Scenarios'!$E$8))/4+INDEX(BookQ2,756)*(5-MIN(4,2+'5. Scenarios'!$E$8))/4+INDEX(BookQ3,756)*(5-MIN(4,3+'5. Scenarios'!$E$8))/4+INDEX(BookQ4,756)*(5-MIN(4,4+'5. Scenarios'!$E$8))/4)*'5. Scenarios'!$E$6/(1+ProductivityDefault*('5. Scenarios'!$E$11-1))+INDEX(BookOneOff,756)*$S761)</f>
        <v/>
      </c>
    </row>
    <row r="762" customFormat="false" ht="15" hidden="false" customHeight="false" outlineLevel="0" collapsed="false">
      <c r="A762" s="0" t="str">
        <f aca="false">IF(INDEX(BookTitle,757)="","",INDEX(BookKey,757))</f>
        <v/>
      </c>
      <c r="B762" s="0" t="str">
        <f aca="false">IF(INDEX(BookTitle,757)="","",INDEX(BookGroup,757))</f>
        <v/>
      </c>
      <c r="C762" s="0" t="str">
        <f aca="false">IF(INDEX(BookTitle,757)="","",INDEX(BookCategory,757))</f>
        <v/>
      </c>
      <c r="D762" s="56" t="str">
        <f aca="false">IF(INDEX(BookTitle,757)="","",INDEX(BookTotal,757)*'5. Scenarios'!$B$6/(1+ProductivityDefault*('5. Scenarios'!$B$11-1)))</f>
        <v/>
      </c>
      <c r="E762" s="57" t="str">
        <f aca="false">IF($D762="","",INDEX(BookRate,757)*(1+'5. Scenarios'!$B$10)*$D762)</f>
        <v/>
      </c>
      <c r="F762" s="57" t="str">
        <f aca="false">IF($E762="","",SUMIFS($E$6:$E$2405,$A$6:$A$2405,"&lt;="&amp;$A762))</f>
        <v/>
      </c>
      <c r="G762" s="57" t="str">
        <f aca="false">IF($E762="","",IF($F762&lt;=BankCostEnvelope*'5. Scenarios'!$B$7,1,0))</f>
        <v/>
      </c>
      <c r="H762" s="57" t="str">
        <f aca="false">IF($D762="","",INDEX(BookRate,757)*(1+'5. Scenarios'!$B$10)*(INDEX(BookQ1,757)*(5-MIN(4,1+'5. Scenarios'!$B$8))/4+INDEX(BookQ2,757)*(5-MIN(4,2+'5. Scenarios'!$B$8))/4+INDEX(BookQ3,757)*(5-MIN(4,3+'5. Scenarios'!$B$8))/4+INDEX(BookQ4,757)*(5-MIN(4,4+'5. Scenarios'!$B$8))/4)*'5. Scenarios'!$B$6/(1+ProductivityDefault*('5. Scenarios'!$B$11-1))+INDEX(BookOneOff,757)*$D762)</f>
        <v/>
      </c>
      <c r="I762" s="56" t="str">
        <f aca="false">IF(INDEX(BookTitle,757)="","",INDEX(BookTotal,757)*'5. Scenarios'!$C$6/(1+ProductivityDefault*('5. Scenarios'!$C$11-1)))</f>
        <v/>
      </c>
      <c r="J762" s="57" t="str">
        <f aca="false">IF($I762="","",INDEX(BookRate,757)*(1+'5. Scenarios'!$C$10)*$I762)</f>
        <v/>
      </c>
      <c r="K762" s="57" t="str">
        <f aca="false">IF($J762="","",SUMIFS($J$6:$J$2405,$A$6:$A$2405,"&lt;="&amp;$A762))</f>
        <v/>
      </c>
      <c r="L762" s="57" t="str">
        <f aca="false">IF($J762="","",IF($K762&lt;=BankCostEnvelope*'5. Scenarios'!$C$7,1,0))</f>
        <v/>
      </c>
      <c r="M762" s="57" t="str">
        <f aca="false">IF($I762="","",INDEX(BookRate,757)*(1+'5. Scenarios'!$C$10)*(INDEX(BookQ1,757)*(5-MIN(4,1+'5. Scenarios'!$C$8))/4+INDEX(BookQ2,757)*(5-MIN(4,2+'5. Scenarios'!$C$8))/4+INDEX(BookQ3,757)*(5-MIN(4,3+'5. Scenarios'!$C$8))/4+INDEX(BookQ4,757)*(5-MIN(4,4+'5. Scenarios'!$C$8))/4)*'5. Scenarios'!$C$6/(1+ProductivityDefault*('5. Scenarios'!$C$11-1))+INDEX(BookOneOff,757)*$I762)</f>
        <v/>
      </c>
      <c r="N762" s="56" t="str">
        <f aca="false">IF(INDEX(BookTitle,757)="","",INDEX(BookTotal,757)*'5. Scenarios'!$D$6/(1+ProductivityDefault*('5. Scenarios'!$D$11-1)))</f>
        <v/>
      </c>
      <c r="O762" s="57" t="str">
        <f aca="false">IF($N762="","",INDEX(BookRate,757)*(1+'5. Scenarios'!$D$10)*$N762)</f>
        <v/>
      </c>
      <c r="P762" s="57" t="str">
        <f aca="false">IF($O762="","",SUMIFS($O$6:$O$2405,$A$6:$A$2405,"&lt;="&amp;$A762))</f>
        <v/>
      </c>
      <c r="Q762" s="57" t="str">
        <f aca="false">IF($O762="","",IF($P762&lt;=BankCostEnvelope*'5. Scenarios'!$D$7,1,0))</f>
        <v/>
      </c>
      <c r="R762" s="57" t="str">
        <f aca="false">IF($N762="","",INDEX(BookRate,757)*(1+'5. Scenarios'!$D$10)*(INDEX(BookQ1,757)*(5-MIN(4,1+'5. Scenarios'!$D$8))/4+INDEX(BookQ2,757)*(5-MIN(4,2+'5. Scenarios'!$D$8))/4+INDEX(BookQ3,757)*(5-MIN(4,3+'5. Scenarios'!$D$8))/4+INDEX(BookQ4,757)*(5-MIN(4,4+'5. Scenarios'!$D$8))/4)*'5. Scenarios'!$D$6/(1+ProductivityDefault*('5. Scenarios'!$D$11-1))+INDEX(BookOneOff,757)*$N762)</f>
        <v/>
      </c>
      <c r="S762" s="56" t="str">
        <f aca="false">IF(INDEX(BookTitle,757)="","",INDEX(BookTotal,757)*'5. Scenarios'!$E$6/(1+ProductivityDefault*('5. Scenarios'!$E$11-1)))</f>
        <v/>
      </c>
      <c r="T762" s="57" t="str">
        <f aca="false">IF($S762="","",INDEX(BookRate,757)*(1+'5. Scenarios'!$E$10)*$S762)</f>
        <v/>
      </c>
      <c r="U762" s="57" t="str">
        <f aca="false">IF($T762="","",SUMIFS($T$6:$T$2405,$A$6:$A$2405,"&lt;="&amp;$A762))</f>
        <v/>
      </c>
      <c r="V762" s="57" t="str">
        <f aca="false">IF($T762="","",IF($U762&lt;=BankCostEnvelope*'5. Scenarios'!$E$7,1,0))</f>
        <v/>
      </c>
      <c r="W762" s="57" t="str">
        <f aca="false">IF($S762="","",INDEX(BookRate,757)*(1+'5. Scenarios'!$E$10)*(INDEX(BookQ1,757)*(5-MIN(4,1+'5. Scenarios'!$E$8))/4+INDEX(BookQ2,757)*(5-MIN(4,2+'5. Scenarios'!$E$8))/4+INDEX(BookQ3,757)*(5-MIN(4,3+'5. Scenarios'!$E$8))/4+INDEX(BookQ4,757)*(5-MIN(4,4+'5. Scenarios'!$E$8))/4)*'5. Scenarios'!$E$6/(1+ProductivityDefault*('5. Scenarios'!$E$11-1))+INDEX(BookOneOff,757)*$S762)</f>
        <v/>
      </c>
    </row>
    <row r="763" customFormat="false" ht="15" hidden="false" customHeight="false" outlineLevel="0" collapsed="false">
      <c r="A763" s="0" t="str">
        <f aca="false">IF(INDEX(BookTitle,758)="","",INDEX(BookKey,758))</f>
        <v/>
      </c>
      <c r="B763" s="0" t="str">
        <f aca="false">IF(INDEX(BookTitle,758)="","",INDEX(BookGroup,758))</f>
        <v/>
      </c>
      <c r="C763" s="0" t="str">
        <f aca="false">IF(INDEX(BookTitle,758)="","",INDEX(BookCategory,758))</f>
        <v/>
      </c>
      <c r="D763" s="56" t="str">
        <f aca="false">IF(INDEX(BookTitle,758)="","",INDEX(BookTotal,758)*'5. Scenarios'!$B$6/(1+ProductivityDefault*('5. Scenarios'!$B$11-1)))</f>
        <v/>
      </c>
      <c r="E763" s="57" t="str">
        <f aca="false">IF($D763="","",INDEX(BookRate,758)*(1+'5. Scenarios'!$B$10)*$D763)</f>
        <v/>
      </c>
      <c r="F763" s="57" t="str">
        <f aca="false">IF($E763="","",SUMIFS($E$6:$E$2405,$A$6:$A$2405,"&lt;="&amp;$A763))</f>
        <v/>
      </c>
      <c r="G763" s="57" t="str">
        <f aca="false">IF($E763="","",IF($F763&lt;=BankCostEnvelope*'5. Scenarios'!$B$7,1,0))</f>
        <v/>
      </c>
      <c r="H763" s="57" t="str">
        <f aca="false">IF($D763="","",INDEX(BookRate,758)*(1+'5. Scenarios'!$B$10)*(INDEX(BookQ1,758)*(5-MIN(4,1+'5. Scenarios'!$B$8))/4+INDEX(BookQ2,758)*(5-MIN(4,2+'5. Scenarios'!$B$8))/4+INDEX(BookQ3,758)*(5-MIN(4,3+'5. Scenarios'!$B$8))/4+INDEX(BookQ4,758)*(5-MIN(4,4+'5. Scenarios'!$B$8))/4)*'5. Scenarios'!$B$6/(1+ProductivityDefault*('5. Scenarios'!$B$11-1))+INDEX(BookOneOff,758)*$D763)</f>
        <v/>
      </c>
      <c r="I763" s="56" t="str">
        <f aca="false">IF(INDEX(BookTitle,758)="","",INDEX(BookTotal,758)*'5. Scenarios'!$C$6/(1+ProductivityDefault*('5. Scenarios'!$C$11-1)))</f>
        <v/>
      </c>
      <c r="J763" s="57" t="str">
        <f aca="false">IF($I763="","",INDEX(BookRate,758)*(1+'5. Scenarios'!$C$10)*$I763)</f>
        <v/>
      </c>
      <c r="K763" s="57" t="str">
        <f aca="false">IF($J763="","",SUMIFS($J$6:$J$2405,$A$6:$A$2405,"&lt;="&amp;$A763))</f>
        <v/>
      </c>
      <c r="L763" s="57" t="str">
        <f aca="false">IF($J763="","",IF($K763&lt;=BankCostEnvelope*'5. Scenarios'!$C$7,1,0))</f>
        <v/>
      </c>
      <c r="M763" s="57" t="str">
        <f aca="false">IF($I763="","",INDEX(BookRate,758)*(1+'5. Scenarios'!$C$10)*(INDEX(BookQ1,758)*(5-MIN(4,1+'5. Scenarios'!$C$8))/4+INDEX(BookQ2,758)*(5-MIN(4,2+'5. Scenarios'!$C$8))/4+INDEX(BookQ3,758)*(5-MIN(4,3+'5. Scenarios'!$C$8))/4+INDEX(BookQ4,758)*(5-MIN(4,4+'5. Scenarios'!$C$8))/4)*'5. Scenarios'!$C$6/(1+ProductivityDefault*('5. Scenarios'!$C$11-1))+INDEX(BookOneOff,758)*$I763)</f>
        <v/>
      </c>
      <c r="N763" s="56" t="str">
        <f aca="false">IF(INDEX(BookTitle,758)="","",INDEX(BookTotal,758)*'5. Scenarios'!$D$6/(1+ProductivityDefault*('5. Scenarios'!$D$11-1)))</f>
        <v/>
      </c>
      <c r="O763" s="57" t="str">
        <f aca="false">IF($N763="","",INDEX(BookRate,758)*(1+'5. Scenarios'!$D$10)*$N763)</f>
        <v/>
      </c>
      <c r="P763" s="57" t="str">
        <f aca="false">IF($O763="","",SUMIFS($O$6:$O$2405,$A$6:$A$2405,"&lt;="&amp;$A763))</f>
        <v/>
      </c>
      <c r="Q763" s="57" t="str">
        <f aca="false">IF($O763="","",IF($P763&lt;=BankCostEnvelope*'5. Scenarios'!$D$7,1,0))</f>
        <v/>
      </c>
      <c r="R763" s="57" t="str">
        <f aca="false">IF($N763="","",INDEX(BookRate,758)*(1+'5. Scenarios'!$D$10)*(INDEX(BookQ1,758)*(5-MIN(4,1+'5. Scenarios'!$D$8))/4+INDEX(BookQ2,758)*(5-MIN(4,2+'5. Scenarios'!$D$8))/4+INDEX(BookQ3,758)*(5-MIN(4,3+'5. Scenarios'!$D$8))/4+INDEX(BookQ4,758)*(5-MIN(4,4+'5. Scenarios'!$D$8))/4)*'5. Scenarios'!$D$6/(1+ProductivityDefault*('5. Scenarios'!$D$11-1))+INDEX(BookOneOff,758)*$N763)</f>
        <v/>
      </c>
      <c r="S763" s="56" t="str">
        <f aca="false">IF(INDEX(BookTitle,758)="","",INDEX(BookTotal,758)*'5. Scenarios'!$E$6/(1+ProductivityDefault*('5. Scenarios'!$E$11-1)))</f>
        <v/>
      </c>
      <c r="T763" s="57" t="str">
        <f aca="false">IF($S763="","",INDEX(BookRate,758)*(1+'5. Scenarios'!$E$10)*$S763)</f>
        <v/>
      </c>
      <c r="U763" s="57" t="str">
        <f aca="false">IF($T763="","",SUMIFS($T$6:$T$2405,$A$6:$A$2405,"&lt;="&amp;$A763))</f>
        <v/>
      </c>
      <c r="V763" s="57" t="str">
        <f aca="false">IF($T763="","",IF($U763&lt;=BankCostEnvelope*'5. Scenarios'!$E$7,1,0))</f>
        <v/>
      </c>
      <c r="W763" s="57" t="str">
        <f aca="false">IF($S763="","",INDEX(BookRate,758)*(1+'5. Scenarios'!$E$10)*(INDEX(BookQ1,758)*(5-MIN(4,1+'5. Scenarios'!$E$8))/4+INDEX(BookQ2,758)*(5-MIN(4,2+'5. Scenarios'!$E$8))/4+INDEX(BookQ3,758)*(5-MIN(4,3+'5. Scenarios'!$E$8))/4+INDEX(BookQ4,758)*(5-MIN(4,4+'5. Scenarios'!$E$8))/4)*'5. Scenarios'!$E$6/(1+ProductivityDefault*('5. Scenarios'!$E$11-1))+INDEX(BookOneOff,758)*$S763)</f>
        <v/>
      </c>
    </row>
    <row r="764" customFormat="false" ht="15" hidden="false" customHeight="false" outlineLevel="0" collapsed="false">
      <c r="A764" s="0" t="str">
        <f aca="false">IF(INDEX(BookTitle,759)="","",INDEX(BookKey,759))</f>
        <v/>
      </c>
      <c r="B764" s="0" t="str">
        <f aca="false">IF(INDEX(BookTitle,759)="","",INDEX(BookGroup,759))</f>
        <v/>
      </c>
      <c r="C764" s="0" t="str">
        <f aca="false">IF(INDEX(BookTitle,759)="","",INDEX(BookCategory,759))</f>
        <v/>
      </c>
      <c r="D764" s="56" t="str">
        <f aca="false">IF(INDEX(BookTitle,759)="","",INDEX(BookTotal,759)*'5. Scenarios'!$B$6/(1+ProductivityDefault*('5. Scenarios'!$B$11-1)))</f>
        <v/>
      </c>
      <c r="E764" s="57" t="str">
        <f aca="false">IF($D764="","",INDEX(BookRate,759)*(1+'5. Scenarios'!$B$10)*$D764)</f>
        <v/>
      </c>
      <c r="F764" s="57" t="str">
        <f aca="false">IF($E764="","",SUMIFS($E$6:$E$2405,$A$6:$A$2405,"&lt;="&amp;$A764))</f>
        <v/>
      </c>
      <c r="G764" s="57" t="str">
        <f aca="false">IF($E764="","",IF($F764&lt;=BankCostEnvelope*'5. Scenarios'!$B$7,1,0))</f>
        <v/>
      </c>
      <c r="H764" s="57" t="str">
        <f aca="false">IF($D764="","",INDEX(BookRate,759)*(1+'5. Scenarios'!$B$10)*(INDEX(BookQ1,759)*(5-MIN(4,1+'5. Scenarios'!$B$8))/4+INDEX(BookQ2,759)*(5-MIN(4,2+'5. Scenarios'!$B$8))/4+INDEX(BookQ3,759)*(5-MIN(4,3+'5. Scenarios'!$B$8))/4+INDEX(BookQ4,759)*(5-MIN(4,4+'5. Scenarios'!$B$8))/4)*'5. Scenarios'!$B$6/(1+ProductivityDefault*('5. Scenarios'!$B$11-1))+INDEX(BookOneOff,759)*$D764)</f>
        <v/>
      </c>
      <c r="I764" s="56" t="str">
        <f aca="false">IF(INDEX(BookTitle,759)="","",INDEX(BookTotal,759)*'5. Scenarios'!$C$6/(1+ProductivityDefault*('5. Scenarios'!$C$11-1)))</f>
        <v/>
      </c>
      <c r="J764" s="57" t="str">
        <f aca="false">IF($I764="","",INDEX(BookRate,759)*(1+'5. Scenarios'!$C$10)*$I764)</f>
        <v/>
      </c>
      <c r="K764" s="57" t="str">
        <f aca="false">IF($J764="","",SUMIFS($J$6:$J$2405,$A$6:$A$2405,"&lt;="&amp;$A764))</f>
        <v/>
      </c>
      <c r="L764" s="57" t="str">
        <f aca="false">IF($J764="","",IF($K764&lt;=BankCostEnvelope*'5. Scenarios'!$C$7,1,0))</f>
        <v/>
      </c>
      <c r="M764" s="57" t="str">
        <f aca="false">IF($I764="","",INDEX(BookRate,759)*(1+'5. Scenarios'!$C$10)*(INDEX(BookQ1,759)*(5-MIN(4,1+'5. Scenarios'!$C$8))/4+INDEX(BookQ2,759)*(5-MIN(4,2+'5. Scenarios'!$C$8))/4+INDEX(BookQ3,759)*(5-MIN(4,3+'5. Scenarios'!$C$8))/4+INDEX(BookQ4,759)*(5-MIN(4,4+'5. Scenarios'!$C$8))/4)*'5. Scenarios'!$C$6/(1+ProductivityDefault*('5. Scenarios'!$C$11-1))+INDEX(BookOneOff,759)*$I764)</f>
        <v/>
      </c>
      <c r="N764" s="56" t="str">
        <f aca="false">IF(INDEX(BookTitle,759)="","",INDEX(BookTotal,759)*'5. Scenarios'!$D$6/(1+ProductivityDefault*('5. Scenarios'!$D$11-1)))</f>
        <v/>
      </c>
      <c r="O764" s="57" t="str">
        <f aca="false">IF($N764="","",INDEX(BookRate,759)*(1+'5. Scenarios'!$D$10)*$N764)</f>
        <v/>
      </c>
      <c r="P764" s="57" t="str">
        <f aca="false">IF($O764="","",SUMIFS($O$6:$O$2405,$A$6:$A$2405,"&lt;="&amp;$A764))</f>
        <v/>
      </c>
      <c r="Q764" s="57" t="str">
        <f aca="false">IF($O764="","",IF($P764&lt;=BankCostEnvelope*'5. Scenarios'!$D$7,1,0))</f>
        <v/>
      </c>
      <c r="R764" s="57" t="str">
        <f aca="false">IF($N764="","",INDEX(BookRate,759)*(1+'5. Scenarios'!$D$10)*(INDEX(BookQ1,759)*(5-MIN(4,1+'5. Scenarios'!$D$8))/4+INDEX(BookQ2,759)*(5-MIN(4,2+'5. Scenarios'!$D$8))/4+INDEX(BookQ3,759)*(5-MIN(4,3+'5. Scenarios'!$D$8))/4+INDEX(BookQ4,759)*(5-MIN(4,4+'5. Scenarios'!$D$8))/4)*'5. Scenarios'!$D$6/(1+ProductivityDefault*('5. Scenarios'!$D$11-1))+INDEX(BookOneOff,759)*$N764)</f>
        <v/>
      </c>
      <c r="S764" s="56" t="str">
        <f aca="false">IF(INDEX(BookTitle,759)="","",INDEX(BookTotal,759)*'5. Scenarios'!$E$6/(1+ProductivityDefault*('5. Scenarios'!$E$11-1)))</f>
        <v/>
      </c>
      <c r="T764" s="57" t="str">
        <f aca="false">IF($S764="","",INDEX(BookRate,759)*(1+'5. Scenarios'!$E$10)*$S764)</f>
        <v/>
      </c>
      <c r="U764" s="57" t="str">
        <f aca="false">IF($T764="","",SUMIFS($T$6:$T$2405,$A$6:$A$2405,"&lt;="&amp;$A764))</f>
        <v/>
      </c>
      <c r="V764" s="57" t="str">
        <f aca="false">IF($T764="","",IF($U764&lt;=BankCostEnvelope*'5. Scenarios'!$E$7,1,0))</f>
        <v/>
      </c>
      <c r="W764" s="57" t="str">
        <f aca="false">IF($S764="","",INDEX(BookRate,759)*(1+'5. Scenarios'!$E$10)*(INDEX(BookQ1,759)*(5-MIN(4,1+'5. Scenarios'!$E$8))/4+INDEX(BookQ2,759)*(5-MIN(4,2+'5. Scenarios'!$E$8))/4+INDEX(BookQ3,759)*(5-MIN(4,3+'5. Scenarios'!$E$8))/4+INDEX(BookQ4,759)*(5-MIN(4,4+'5. Scenarios'!$E$8))/4)*'5. Scenarios'!$E$6/(1+ProductivityDefault*('5. Scenarios'!$E$11-1))+INDEX(BookOneOff,759)*$S764)</f>
        <v/>
      </c>
    </row>
    <row r="765" customFormat="false" ht="15" hidden="false" customHeight="false" outlineLevel="0" collapsed="false">
      <c r="A765" s="0" t="str">
        <f aca="false">IF(INDEX(BookTitle,760)="","",INDEX(BookKey,760))</f>
        <v/>
      </c>
      <c r="B765" s="0" t="str">
        <f aca="false">IF(INDEX(BookTitle,760)="","",INDEX(BookGroup,760))</f>
        <v/>
      </c>
      <c r="C765" s="0" t="str">
        <f aca="false">IF(INDEX(BookTitle,760)="","",INDEX(BookCategory,760))</f>
        <v/>
      </c>
      <c r="D765" s="56" t="str">
        <f aca="false">IF(INDEX(BookTitle,760)="","",INDEX(BookTotal,760)*'5. Scenarios'!$B$6/(1+ProductivityDefault*('5. Scenarios'!$B$11-1)))</f>
        <v/>
      </c>
      <c r="E765" s="57" t="str">
        <f aca="false">IF($D765="","",INDEX(BookRate,760)*(1+'5. Scenarios'!$B$10)*$D765)</f>
        <v/>
      </c>
      <c r="F765" s="57" t="str">
        <f aca="false">IF($E765="","",SUMIFS($E$6:$E$2405,$A$6:$A$2405,"&lt;="&amp;$A765))</f>
        <v/>
      </c>
      <c r="G765" s="57" t="str">
        <f aca="false">IF($E765="","",IF($F765&lt;=BankCostEnvelope*'5. Scenarios'!$B$7,1,0))</f>
        <v/>
      </c>
      <c r="H765" s="57" t="str">
        <f aca="false">IF($D765="","",INDEX(BookRate,760)*(1+'5. Scenarios'!$B$10)*(INDEX(BookQ1,760)*(5-MIN(4,1+'5. Scenarios'!$B$8))/4+INDEX(BookQ2,760)*(5-MIN(4,2+'5. Scenarios'!$B$8))/4+INDEX(BookQ3,760)*(5-MIN(4,3+'5. Scenarios'!$B$8))/4+INDEX(BookQ4,760)*(5-MIN(4,4+'5. Scenarios'!$B$8))/4)*'5. Scenarios'!$B$6/(1+ProductivityDefault*('5. Scenarios'!$B$11-1))+INDEX(BookOneOff,760)*$D765)</f>
        <v/>
      </c>
      <c r="I765" s="56" t="str">
        <f aca="false">IF(INDEX(BookTitle,760)="","",INDEX(BookTotal,760)*'5. Scenarios'!$C$6/(1+ProductivityDefault*('5. Scenarios'!$C$11-1)))</f>
        <v/>
      </c>
      <c r="J765" s="57" t="str">
        <f aca="false">IF($I765="","",INDEX(BookRate,760)*(1+'5. Scenarios'!$C$10)*$I765)</f>
        <v/>
      </c>
      <c r="K765" s="57" t="str">
        <f aca="false">IF($J765="","",SUMIFS($J$6:$J$2405,$A$6:$A$2405,"&lt;="&amp;$A765))</f>
        <v/>
      </c>
      <c r="L765" s="57" t="str">
        <f aca="false">IF($J765="","",IF($K765&lt;=BankCostEnvelope*'5. Scenarios'!$C$7,1,0))</f>
        <v/>
      </c>
      <c r="M765" s="57" t="str">
        <f aca="false">IF($I765="","",INDEX(BookRate,760)*(1+'5. Scenarios'!$C$10)*(INDEX(BookQ1,760)*(5-MIN(4,1+'5. Scenarios'!$C$8))/4+INDEX(BookQ2,760)*(5-MIN(4,2+'5. Scenarios'!$C$8))/4+INDEX(BookQ3,760)*(5-MIN(4,3+'5. Scenarios'!$C$8))/4+INDEX(BookQ4,760)*(5-MIN(4,4+'5. Scenarios'!$C$8))/4)*'5. Scenarios'!$C$6/(1+ProductivityDefault*('5. Scenarios'!$C$11-1))+INDEX(BookOneOff,760)*$I765)</f>
        <v/>
      </c>
      <c r="N765" s="56" t="str">
        <f aca="false">IF(INDEX(BookTitle,760)="","",INDEX(BookTotal,760)*'5. Scenarios'!$D$6/(1+ProductivityDefault*('5. Scenarios'!$D$11-1)))</f>
        <v/>
      </c>
      <c r="O765" s="57" t="str">
        <f aca="false">IF($N765="","",INDEX(BookRate,760)*(1+'5. Scenarios'!$D$10)*$N765)</f>
        <v/>
      </c>
      <c r="P765" s="57" t="str">
        <f aca="false">IF($O765="","",SUMIFS($O$6:$O$2405,$A$6:$A$2405,"&lt;="&amp;$A765))</f>
        <v/>
      </c>
      <c r="Q765" s="57" t="str">
        <f aca="false">IF($O765="","",IF($P765&lt;=BankCostEnvelope*'5. Scenarios'!$D$7,1,0))</f>
        <v/>
      </c>
      <c r="R765" s="57" t="str">
        <f aca="false">IF($N765="","",INDEX(BookRate,760)*(1+'5. Scenarios'!$D$10)*(INDEX(BookQ1,760)*(5-MIN(4,1+'5. Scenarios'!$D$8))/4+INDEX(BookQ2,760)*(5-MIN(4,2+'5. Scenarios'!$D$8))/4+INDEX(BookQ3,760)*(5-MIN(4,3+'5. Scenarios'!$D$8))/4+INDEX(BookQ4,760)*(5-MIN(4,4+'5. Scenarios'!$D$8))/4)*'5. Scenarios'!$D$6/(1+ProductivityDefault*('5. Scenarios'!$D$11-1))+INDEX(BookOneOff,760)*$N765)</f>
        <v/>
      </c>
      <c r="S765" s="56" t="str">
        <f aca="false">IF(INDEX(BookTitle,760)="","",INDEX(BookTotal,760)*'5. Scenarios'!$E$6/(1+ProductivityDefault*('5. Scenarios'!$E$11-1)))</f>
        <v/>
      </c>
      <c r="T765" s="57" t="str">
        <f aca="false">IF($S765="","",INDEX(BookRate,760)*(1+'5. Scenarios'!$E$10)*$S765)</f>
        <v/>
      </c>
      <c r="U765" s="57" t="str">
        <f aca="false">IF($T765="","",SUMIFS($T$6:$T$2405,$A$6:$A$2405,"&lt;="&amp;$A765))</f>
        <v/>
      </c>
      <c r="V765" s="57" t="str">
        <f aca="false">IF($T765="","",IF($U765&lt;=BankCostEnvelope*'5. Scenarios'!$E$7,1,0))</f>
        <v/>
      </c>
      <c r="W765" s="57" t="str">
        <f aca="false">IF($S765="","",INDEX(BookRate,760)*(1+'5. Scenarios'!$E$10)*(INDEX(BookQ1,760)*(5-MIN(4,1+'5. Scenarios'!$E$8))/4+INDEX(BookQ2,760)*(5-MIN(4,2+'5. Scenarios'!$E$8))/4+INDEX(BookQ3,760)*(5-MIN(4,3+'5. Scenarios'!$E$8))/4+INDEX(BookQ4,760)*(5-MIN(4,4+'5. Scenarios'!$E$8))/4)*'5. Scenarios'!$E$6/(1+ProductivityDefault*('5. Scenarios'!$E$11-1))+INDEX(BookOneOff,760)*$S765)</f>
        <v/>
      </c>
    </row>
    <row r="766" customFormat="false" ht="15" hidden="false" customHeight="false" outlineLevel="0" collapsed="false">
      <c r="A766" s="0" t="str">
        <f aca="false">IF(INDEX(BookTitle,761)="","",INDEX(BookKey,761))</f>
        <v/>
      </c>
      <c r="B766" s="0" t="str">
        <f aca="false">IF(INDEX(BookTitle,761)="","",INDEX(BookGroup,761))</f>
        <v/>
      </c>
      <c r="C766" s="0" t="str">
        <f aca="false">IF(INDEX(BookTitle,761)="","",INDEX(BookCategory,761))</f>
        <v/>
      </c>
      <c r="D766" s="56" t="str">
        <f aca="false">IF(INDEX(BookTitle,761)="","",INDEX(BookTotal,761)*'5. Scenarios'!$B$6/(1+ProductivityDefault*('5. Scenarios'!$B$11-1)))</f>
        <v/>
      </c>
      <c r="E766" s="57" t="str">
        <f aca="false">IF($D766="","",INDEX(BookRate,761)*(1+'5. Scenarios'!$B$10)*$D766)</f>
        <v/>
      </c>
      <c r="F766" s="57" t="str">
        <f aca="false">IF($E766="","",SUMIFS($E$6:$E$2405,$A$6:$A$2405,"&lt;="&amp;$A766))</f>
        <v/>
      </c>
      <c r="G766" s="57" t="str">
        <f aca="false">IF($E766="","",IF($F766&lt;=BankCostEnvelope*'5. Scenarios'!$B$7,1,0))</f>
        <v/>
      </c>
      <c r="H766" s="57" t="str">
        <f aca="false">IF($D766="","",INDEX(BookRate,761)*(1+'5. Scenarios'!$B$10)*(INDEX(BookQ1,761)*(5-MIN(4,1+'5. Scenarios'!$B$8))/4+INDEX(BookQ2,761)*(5-MIN(4,2+'5. Scenarios'!$B$8))/4+INDEX(BookQ3,761)*(5-MIN(4,3+'5. Scenarios'!$B$8))/4+INDEX(BookQ4,761)*(5-MIN(4,4+'5. Scenarios'!$B$8))/4)*'5. Scenarios'!$B$6/(1+ProductivityDefault*('5. Scenarios'!$B$11-1))+INDEX(BookOneOff,761)*$D766)</f>
        <v/>
      </c>
      <c r="I766" s="56" t="str">
        <f aca="false">IF(INDEX(BookTitle,761)="","",INDEX(BookTotal,761)*'5. Scenarios'!$C$6/(1+ProductivityDefault*('5. Scenarios'!$C$11-1)))</f>
        <v/>
      </c>
      <c r="J766" s="57" t="str">
        <f aca="false">IF($I766="","",INDEX(BookRate,761)*(1+'5. Scenarios'!$C$10)*$I766)</f>
        <v/>
      </c>
      <c r="K766" s="57" t="str">
        <f aca="false">IF($J766="","",SUMIFS($J$6:$J$2405,$A$6:$A$2405,"&lt;="&amp;$A766))</f>
        <v/>
      </c>
      <c r="L766" s="57" t="str">
        <f aca="false">IF($J766="","",IF($K766&lt;=BankCostEnvelope*'5. Scenarios'!$C$7,1,0))</f>
        <v/>
      </c>
      <c r="M766" s="57" t="str">
        <f aca="false">IF($I766="","",INDEX(BookRate,761)*(1+'5. Scenarios'!$C$10)*(INDEX(BookQ1,761)*(5-MIN(4,1+'5. Scenarios'!$C$8))/4+INDEX(BookQ2,761)*(5-MIN(4,2+'5. Scenarios'!$C$8))/4+INDEX(BookQ3,761)*(5-MIN(4,3+'5. Scenarios'!$C$8))/4+INDEX(BookQ4,761)*(5-MIN(4,4+'5. Scenarios'!$C$8))/4)*'5. Scenarios'!$C$6/(1+ProductivityDefault*('5. Scenarios'!$C$11-1))+INDEX(BookOneOff,761)*$I766)</f>
        <v/>
      </c>
      <c r="N766" s="56" t="str">
        <f aca="false">IF(INDEX(BookTitle,761)="","",INDEX(BookTotal,761)*'5. Scenarios'!$D$6/(1+ProductivityDefault*('5. Scenarios'!$D$11-1)))</f>
        <v/>
      </c>
      <c r="O766" s="57" t="str">
        <f aca="false">IF($N766="","",INDEX(BookRate,761)*(1+'5. Scenarios'!$D$10)*$N766)</f>
        <v/>
      </c>
      <c r="P766" s="57" t="str">
        <f aca="false">IF($O766="","",SUMIFS($O$6:$O$2405,$A$6:$A$2405,"&lt;="&amp;$A766))</f>
        <v/>
      </c>
      <c r="Q766" s="57" t="str">
        <f aca="false">IF($O766="","",IF($P766&lt;=BankCostEnvelope*'5. Scenarios'!$D$7,1,0))</f>
        <v/>
      </c>
      <c r="R766" s="57" t="str">
        <f aca="false">IF($N766="","",INDEX(BookRate,761)*(1+'5. Scenarios'!$D$10)*(INDEX(BookQ1,761)*(5-MIN(4,1+'5. Scenarios'!$D$8))/4+INDEX(BookQ2,761)*(5-MIN(4,2+'5. Scenarios'!$D$8))/4+INDEX(BookQ3,761)*(5-MIN(4,3+'5. Scenarios'!$D$8))/4+INDEX(BookQ4,761)*(5-MIN(4,4+'5. Scenarios'!$D$8))/4)*'5. Scenarios'!$D$6/(1+ProductivityDefault*('5. Scenarios'!$D$11-1))+INDEX(BookOneOff,761)*$N766)</f>
        <v/>
      </c>
      <c r="S766" s="56" t="str">
        <f aca="false">IF(INDEX(BookTitle,761)="","",INDEX(BookTotal,761)*'5. Scenarios'!$E$6/(1+ProductivityDefault*('5. Scenarios'!$E$11-1)))</f>
        <v/>
      </c>
      <c r="T766" s="57" t="str">
        <f aca="false">IF($S766="","",INDEX(BookRate,761)*(1+'5. Scenarios'!$E$10)*$S766)</f>
        <v/>
      </c>
      <c r="U766" s="57" t="str">
        <f aca="false">IF($T766="","",SUMIFS($T$6:$T$2405,$A$6:$A$2405,"&lt;="&amp;$A766))</f>
        <v/>
      </c>
      <c r="V766" s="57" t="str">
        <f aca="false">IF($T766="","",IF($U766&lt;=BankCostEnvelope*'5. Scenarios'!$E$7,1,0))</f>
        <v/>
      </c>
      <c r="W766" s="57" t="str">
        <f aca="false">IF($S766="","",INDEX(BookRate,761)*(1+'5. Scenarios'!$E$10)*(INDEX(BookQ1,761)*(5-MIN(4,1+'5. Scenarios'!$E$8))/4+INDEX(BookQ2,761)*(5-MIN(4,2+'5. Scenarios'!$E$8))/4+INDEX(BookQ3,761)*(5-MIN(4,3+'5. Scenarios'!$E$8))/4+INDEX(BookQ4,761)*(5-MIN(4,4+'5. Scenarios'!$E$8))/4)*'5. Scenarios'!$E$6/(1+ProductivityDefault*('5. Scenarios'!$E$11-1))+INDEX(BookOneOff,761)*$S766)</f>
        <v/>
      </c>
    </row>
    <row r="767" customFormat="false" ht="15" hidden="false" customHeight="false" outlineLevel="0" collapsed="false">
      <c r="A767" s="0" t="str">
        <f aca="false">IF(INDEX(BookTitle,762)="","",INDEX(BookKey,762))</f>
        <v/>
      </c>
      <c r="B767" s="0" t="str">
        <f aca="false">IF(INDEX(BookTitle,762)="","",INDEX(BookGroup,762))</f>
        <v/>
      </c>
      <c r="C767" s="0" t="str">
        <f aca="false">IF(INDEX(BookTitle,762)="","",INDEX(BookCategory,762))</f>
        <v/>
      </c>
      <c r="D767" s="56" t="str">
        <f aca="false">IF(INDEX(BookTitle,762)="","",INDEX(BookTotal,762)*'5. Scenarios'!$B$6/(1+ProductivityDefault*('5. Scenarios'!$B$11-1)))</f>
        <v/>
      </c>
      <c r="E767" s="57" t="str">
        <f aca="false">IF($D767="","",INDEX(BookRate,762)*(1+'5. Scenarios'!$B$10)*$D767)</f>
        <v/>
      </c>
      <c r="F767" s="57" t="str">
        <f aca="false">IF($E767="","",SUMIFS($E$6:$E$2405,$A$6:$A$2405,"&lt;="&amp;$A767))</f>
        <v/>
      </c>
      <c r="G767" s="57" t="str">
        <f aca="false">IF($E767="","",IF($F767&lt;=BankCostEnvelope*'5. Scenarios'!$B$7,1,0))</f>
        <v/>
      </c>
      <c r="H767" s="57" t="str">
        <f aca="false">IF($D767="","",INDEX(BookRate,762)*(1+'5. Scenarios'!$B$10)*(INDEX(BookQ1,762)*(5-MIN(4,1+'5. Scenarios'!$B$8))/4+INDEX(BookQ2,762)*(5-MIN(4,2+'5. Scenarios'!$B$8))/4+INDEX(BookQ3,762)*(5-MIN(4,3+'5. Scenarios'!$B$8))/4+INDEX(BookQ4,762)*(5-MIN(4,4+'5. Scenarios'!$B$8))/4)*'5. Scenarios'!$B$6/(1+ProductivityDefault*('5. Scenarios'!$B$11-1))+INDEX(BookOneOff,762)*$D767)</f>
        <v/>
      </c>
      <c r="I767" s="56" t="str">
        <f aca="false">IF(INDEX(BookTitle,762)="","",INDEX(BookTotal,762)*'5. Scenarios'!$C$6/(1+ProductivityDefault*('5. Scenarios'!$C$11-1)))</f>
        <v/>
      </c>
      <c r="J767" s="57" t="str">
        <f aca="false">IF($I767="","",INDEX(BookRate,762)*(1+'5. Scenarios'!$C$10)*$I767)</f>
        <v/>
      </c>
      <c r="K767" s="57" t="str">
        <f aca="false">IF($J767="","",SUMIFS($J$6:$J$2405,$A$6:$A$2405,"&lt;="&amp;$A767))</f>
        <v/>
      </c>
      <c r="L767" s="57" t="str">
        <f aca="false">IF($J767="","",IF($K767&lt;=BankCostEnvelope*'5. Scenarios'!$C$7,1,0))</f>
        <v/>
      </c>
      <c r="M767" s="57" t="str">
        <f aca="false">IF($I767="","",INDEX(BookRate,762)*(1+'5. Scenarios'!$C$10)*(INDEX(BookQ1,762)*(5-MIN(4,1+'5. Scenarios'!$C$8))/4+INDEX(BookQ2,762)*(5-MIN(4,2+'5. Scenarios'!$C$8))/4+INDEX(BookQ3,762)*(5-MIN(4,3+'5. Scenarios'!$C$8))/4+INDEX(BookQ4,762)*(5-MIN(4,4+'5. Scenarios'!$C$8))/4)*'5. Scenarios'!$C$6/(1+ProductivityDefault*('5. Scenarios'!$C$11-1))+INDEX(BookOneOff,762)*$I767)</f>
        <v/>
      </c>
      <c r="N767" s="56" t="str">
        <f aca="false">IF(INDEX(BookTitle,762)="","",INDEX(BookTotal,762)*'5. Scenarios'!$D$6/(1+ProductivityDefault*('5. Scenarios'!$D$11-1)))</f>
        <v/>
      </c>
      <c r="O767" s="57" t="str">
        <f aca="false">IF($N767="","",INDEX(BookRate,762)*(1+'5. Scenarios'!$D$10)*$N767)</f>
        <v/>
      </c>
      <c r="P767" s="57" t="str">
        <f aca="false">IF($O767="","",SUMIFS($O$6:$O$2405,$A$6:$A$2405,"&lt;="&amp;$A767))</f>
        <v/>
      </c>
      <c r="Q767" s="57" t="str">
        <f aca="false">IF($O767="","",IF($P767&lt;=BankCostEnvelope*'5. Scenarios'!$D$7,1,0))</f>
        <v/>
      </c>
      <c r="R767" s="57" t="str">
        <f aca="false">IF($N767="","",INDEX(BookRate,762)*(1+'5. Scenarios'!$D$10)*(INDEX(BookQ1,762)*(5-MIN(4,1+'5. Scenarios'!$D$8))/4+INDEX(BookQ2,762)*(5-MIN(4,2+'5. Scenarios'!$D$8))/4+INDEX(BookQ3,762)*(5-MIN(4,3+'5. Scenarios'!$D$8))/4+INDEX(BookQ4,762)*(5-MIN(4,4+'5. Scenarios'!$D$8))/4)*'5. Scenarios'!$D$6/(1+ProductivityDefault*('5. Scenarios'!$D$11-1))+INDEX(BookOneOff,762)*$N767)</f>
        <v/>
      </c>
      <c r="S767" s="56" t="str">
        <f aca="false">IF(INDEX(BookTitle,762)="","",INDEX(BookTotal,762)*'5. Scenarios'!$E$6/(1+ProductivityDefault*('5. Scenarios'!$E$11-1)))</f>
        <v/>
      </c>
      <c r="T767" s="57" t="str">
        <f aca="false">IF($S767="","",INDEX(BookRate,762)*(1+'5. Scenarios'!$E$10)*$S767)</f>
        <v/>
      </c>
      <c r="U767" s="57" t="str">
        <f aca="false">IF($T767="","",SUMIFS($T$6:$T$2405,$A$6:$A$2405,"&lt;="&amp;$A767))</f>
        <v/>
      </c>
      <c r="V767" s="57" t="str">
        <f aca="false">IF($T767="","",IF($U767&lt;=BankCostEnvelope*'5. Scenarios'!$E$7,1,0))</f>
        <v/>
      </c>
      <c r="W767" s="57" t="str">
        <f aca="false">IF($S767="","",INDEX(BookRate,762)*(1+'5. Scenarios'!$E$10)*(INDEX(BookQ1,762)*(5-MIN(4,1+'5. Scenarios'!$E$8))/4+INDEX(BookQ2,762)*(5-MIN(4,2+'5. Scenarios'!$E$8))/4+INDEX(BookQ3,762)*(5-MIN(4,3+'5. Scenarios'!$E$8))/4+INDEX(BookQ4,762)*(5-MIN(4,4+'5. Scenarios'!$E$8))/4)*'5. Scenarios'!$E$6/(1+ProductivityDefault*('5. Scenarios'!$E$11-1))+INDEX(BookOneOff,762)*$S767)</f>
        <v/>
      </c>
    </row>
    <row r="768" customFormat="false" ht="15" hidden="false" customHeight="false" outlineLevel="0" collapsed="false">
      <c r="A768" s="0" t="str">
        <f aca="false">IF(INDEX(BookTitle,763)="","",INDEX(BookKey,763))</f>
        <v/>
      </c>
      <c r="B768" s="0" t="str">
        <f aca="false">IF(INDEX(BookTitle,763)="","",INDEX(BookGroup,763))</f>
        <v/>
      </c>
      <c r="C768" s="0" t="str">
        <f aca="false">IF(INDEX(BookTitle,763)="","",INDEX(BookCategory,763))</f>
        <v/>
      </c>
      <c r="D768" s="56" t="str">
        <f aca="false">IF(INDEX(BookTitle,763)="","",INDEX(BookTotal,763)*'5. Scenarios'!$B$6/(1+ProductivityDefault*('5. Scenarios'!$B$11-1)))</f>
        <v/>
      </c>
      <c r="E768" s="57" t="str">
        <f aca="false">IF($D768="","",INDEX(BookRate,763)*(1+'5. Scenarios'!$B$10)*$D768)</f>
        <v/>
      </c>
      <c r="F768" s="57" t="str">
        <f aca="false">IF($E768="","",SUMIFS($E$6:$E$2405,$A$6:$A$2405,"&lt;="&amp;$A768))</f>
        <v/>
      </c>
      <c r="G768" s="57" t="str">
        <f aca="false">IF($E768="","",IF($F768&lt;=BankCostEnvelope*'5. Scenarios'!$B$7,1,0))</f>
        <v/>
      </c>
      <c r="H768" s="57" t="str">
        <f aca="false">IF($D768="","",INDEX(BookRate,763)*(1+'5. Scenarios'!$B$10)*(INDEX(BookQ1,763)*(5-MIN(4,1+'5. Scenarios'!$B$8))/4+INDEX(BookQ2,763)*(5-MIN(4,2+'5. Scenarios'!$B$8))/4+INDEX(BookQ3,763)*(5-MIN(4,3+'5. Scenarios'!$B$8))/4+INDEX(BookQ4,763)*(5-MIN(4,4+'5. Scenarios'!$B$8))/4)*'5. Scenarios'!$B$6/(1+ProductivityDefault*('5. Scenarios'!$B$11-1))+INDEX(BookOneOff,763)*$D768)</f>
        <v/>
      </c>
      <c r="I768" s="56" t="str">
        <f aca="false">IF(INDEX(BookTitle,763)="","",INDEX(BookTotal,763)*'5. Scenarios'!$C$6/(1+ProductivityDefault*('5. Scenarios'!$C$11-1)))</f>
        <v/>
      </c>
      <c r="J768" s="57" t="str">
        <f aca="false">IF($I768="","",INDEX(BookRate,763)*(1+'5. Scenarios'!$C$10)*$I768)</f>
        <v/>
      </c>
      <c r="K768" s="57" t="str">
        <f aca="false">IF($J768="","",SUMIFS($J$6:$J$2405,$A$6:$A$2405,"&lt;="&amp;$A768))</f>
        <v/>
      </c>
      <c r="L768" s="57" t="str">
        <f aca="false">IF($J768="","",IF($K768&lt;=BankCostEnvelope*'5. Scenarios'!$C$7,1,0))</f>
        <v/>
      </c>
      <c r="M768" s="57" t="str">
        <f aca="false">IF($I768="","",INDEX(BookRate,763)*(1+'5. Scenarios'!$C$10)*(INDEX(BookQ1,763)*(5-MIN(4,1+'5. Scenarios'!$C$8))/4+INDEX(BookQ2,763)*(5-MIN(4,2+'5. Scenarios'!$C$8))/4+INDEX(BookQ3,763)*(5-MIN(4,3+'5. Scenarios'!$C$8))/4+INDEX(BookQ4,763)*(5-MIN(4,4+'5. Scenarios'!$C$8))/4)*'5. Scenarios'!$C$6/(1+ProductivityDefault*('5. Scenarios'!$C$11-1))+INDEX(BookOneOff,763)*$I768)</f>
        <v/>
      </c>
      <c r="N768" s="56" t="str">
        <f aca="false">IF(INDEX(BookTitle,763)="","",INDEX(BookTotal,763)*'5. Scenarios'!$D$6/(1+ProductivityDefault*('5. Scenarios'!$D$11-1)))</f>
        <v/>
      </c>
      <c r="O768" s="57" t="str">
        <f aca="false">IF($N768="","",INDEX(BookRate,763)*(1+'5. Scenarios'!$D$10)*$N768)</f>
        <v/>
      </c>
      <c r="P768" s="57" t="str">
        <f aca="false">IF($O768="","",SUMIFS($O$6:$O$2405,$A$6:$A$2405,"&lt;="&amp;$A768))</f>
        <v/>
      </c>
      <c r="Q768" s="57" t="str">
        <f aca="false">IF($O768="","",IF($P768&lt;=BankCostEnvelope*'5. Scenarios'!$D$7,1,0))</f>
        <v/>
      </c>
      <c r="R768" s="57" t="str">
        <f aca="false">IF($N768="","",INDEX(BookRate,763)*(1+'5. Scenarios'!$D$10)*(INDEX(BookQ1,763)*(5-MIN(4,1+'5. Scenarios'!$D$8))/4+INDEX(BookQ2,763)*(5-MIN(4,2+'5. Scenarios'!$D$8))/4+INDEX(BookQ3,763)*(5-MIN(4,3+'5. Scenarios'!$D$8))/4+INDEX(BookQ4,763)*(5-MIN(4,4+'5. Scenarios'!$D$8))/4)*'5. Scenarios'!$D$6/(1+ProductivityDefault*('5. Scenarios'!$D$11-1))+INDEX(BookOneOff,763)*$N768)</f>
        <v/>
      </c>
      <c r="S768" s="56" t="str">
        <f aca="false">IF(INDEX(BookTitle,763)="","",INDEX(BookTotal,763)*'5. Scenarios'!$E$6/(1+ProductivityDefault*('5. Scenarios'!$E$11-1)))</f>
        <v/>
      </c>
      <c r="T768" s="57" t="str">
        <f aca="false">IF($S768="","",INDEX(BookRate,763)*(1+'5. Scenarios'!$E$10)*$S768)</f>
        <v/>
      </c>
      <c r="U768" s="57" t="str">
        <f aca="false">IF($T768="","",SUMIFS($T$6:$T$2405,$A$6:$A$2405,"&lt;="&amp;$A768))</f>
        <v/>
      </c>
      <c r="V768" s="57" t="str">
        <f aca="false">IF($T768="","",IF($U768&lt;=BankCostEnvelope*'5. Scenarios'!$E$7,1,0))</f>
        <v/>
      </c>
      <c r="W768" s="57" t="str">
        <f aca="false">IF($S768="","",INDEX(BookRate,763)*(1+'5. Scenarios'!$E$10)*(INDEX(BookQ1,763)*(5-MIN(4,1+'5. Scenarios'!$E$8))/4+INDEX(BookQ2,763)*(5-MIN(4,2+'5. Scenarios'!$E$8))/4+INDEX(BookQ3,763)*(5-MIN(4,3+'5. Scenarios'!$E$8))/4+INDEX(BookQ4,763)*(5-MIN(4,4+'5. Scenarios'!$E$8))/4)*'5. Scenarios'!$E$6/(1+ProductivityDefault*('5. Scenarios'!$E$11-1))+INDEX(BookOneOff,763)*$S768)</f>
        <v/>
      </c>
    </row>
    <row r="769" customFormat="false" ht="15" hidden="false" customHeight="false" outlineLevel="0" collapsed="false">
      <c r="A769" s="0" t="str">
        <f aca="false">IF(INDEX(BookTitle,764)="","",INDEX(BookKey,764))</f>
        <v/>
      </c>
      <c r="B769" s="0" t="str">
        <f aca="false">IF(INDEX(BookTitle,764)="","",INDEX(BookGroup,764))</f>
        <v/>
      </c>
      <c r="C769" s="0" t="str">
        <f aca="false">IF(INDEX(BookTitle,764)="","",INDEX(BookCategory,764))</f>
        <v/>
      </c>
      <c r="D769" s="56" t="str">
        <f aca="false">IF(INDEX(BookTitle,764)="","",INDEX(BookTotal,764)*'5. Scenarios'!$B$6/(1+ProductivityDefault*('5. Scenarios'!$B$11-1)))</f>
        <v/>
      </c>
      <c r="E769" s="57" t="str">
        <f aca="false">IF($D769="","",INDEX(BookRate,764)*(1+'5. Scenarios'!$B$10)*$D769)</f>
        <v/>
      </c>
      <c r="F769" s="57" t="str">
        <f aca="false">IF($E769="","",SUMIFS($E$6:$E$2405,$A$6:$A$2405,"&lt;="&amp;$A769))</f>
        <v/>
      </c>
      <c r="G769" s="57" t="str">
        <f aca="false">IF($E769="","",IF($F769&lt;=BankCostEnvelope*'5. Scenarios'!$B$7,1,0))</f>
        <v/>
      </c>
      <c r="H769" s="57" t="str">
        <f aca="false">IF($D769="","",INDEX(BookRate,764)*(1+'5. Scenarios'!$B$10)*(INDEX(BookQ1,764)*(5-MIN(4,1+'5. Scenarios'!$B$8))/4+INDEX(BookQ2,764)*(5-MIN(4,2+'5. Scenarios'!$B$8))/4+INDEX(BookQ3,764)*(5-MIN(4,3+'5. Scenarios'!$B$8))/4+INDEX(BookQ4,764)*(5-MIN(4,4+'5. Scenarios'!$B$8))/4)*'5. Scenarios'!$B$6/(1+ProductivityDefault*('5. Scenarios'!$B$11-1))+INDEX(BookOneOff,764)*$D769)</f>
        <v/>
      </c>
      <c r="I769" s="56" t="str">
        <f aca="false">IF(INDEX(BookTitle,764)="","",INDEX(BookTotal,764)*'5. Scenarios'!$C$6/(1+ProductivityDefault*('5. Scenarios'!$C$11-1)))</f>
        <v/>
      </c>
      <c r="J769" s="57" t="str">
        <f aca="false">IF($I769="","",INDEX(BookRate,764)*(1+'5. Scenarios'!$C$10)*$I769)</f>
        <v/>
      </c>
      <c r="K769" s="57" t="str">
        <f aca="false">IF($J769="","",SUMIFS($J$6:$J$2405,$A$6:$A$2405,"&lt;="&amp;$A769))</f>
        <v/>
      </c>
      <c r="L769" s="57" t="str">
        <f aca="false">IF($J769="","",IF($K769&lt;=BankCostEnvelope*'5. Scenarios'!$C$7,1,0))</f>
        <v/>
      </c>
      <c r="M769" s="57" t="str">
        <f aca="false">IF($I769="","",INDEX(BookRate,764)*(1+'5. Scenarios'!$C$10)*(INDEX(BookQ1,764)*(5-MIN(4,1+'5. Scenarios'!$C$8))/4+INDEX(BookQ2,764)*(5-MIN(4,2+'5. Scenarios'!$C$8))/4+INDEX(BookQ3,764)*(5-MIN(4,3+'5. Scenarios'!$C$8))/4+INDEX(BookQ4,764)*(5-MIN(4,4+'5. Scenarios'!$C$8))/4)*'5. Scenarios'!$C$6/(1+ProductivityDefault*('5. Scenarios'!$C$11-1))+INDEX(BookOneOff,764)*$I769)</f>
        <v/>
      </c>
      <c r="N769" s="56" t="str">
        <f aca="false">IF(INDEX(BookTitle,764)="","",INDEX(BookTotal,764)*'5. Scenarios'!$D$6/(1+ProductivityDefault*('5. Scenarios'!$D$11-1)))</f>
        <v/>
      </c>
      <c r="O769" s="57" t="str">
        <f aca="false">IF($N769="","",INDEX(BookRate,764)*(1+'5. Scenarios'!$D$10)*$N769)</f>
        <v/>
      </c>
      <c r="P769" s="57" t="str">
        <f aca="false">IF($O769="","",SUMIFS($O$6:$O$2405,$A$6:$A$2405,"&lt;="&amp;$A769))</f>
        <v/>
      </c>
      <c r="Q769" s="57" t="str">
        <f aca="false">IF($O769="","",IF($P769&lt;=BankCostEnvelope*'5. Scenarios'!$D$7,1,0))</f>
        <v/>
      </c>
      <c r="R769" s="57" t="str">
        <f aca="false">IF($N769="","",INDEX(BookRate,764)*(1+'5. Scenarios'!$D$10)*(INDEX(BookQ1,764)*(5-MIN(4,1+'5. Scenarios'!$D$8))/4+INDEX(BookQ2,764)*(5-MIN(4,2+'5. Scenarios'!$D$8))/4+INDEX(BookQ3,764)*(5-MIN(4,3+'5. Scenarios'!$D$8))/4+INDEX(BookQ4,764)*(5-MIN(4,4+'5. Scenarios'!$D$8))/4)*'5. Scenarios'!$D$6/(1+ProductivityDefault*('5. Scenarios'!$D$11-1))+INDEX(BookOneOff,764)*$N769)</f>
        <v/>
      </c>
      <c r="S769" s="56" t="str">
        <f aca="false">IF(INDEX(BookTitle,764)="","",INDEX(BookTotal,764)*'5. Scenarios'!$E$6/(1+ProductivityDefault*('5. Scenarios'!$E$11-1)))</f>
        <v/>
      </c>
      <c r="T769" s="57" t="str">
        <f aca="false">IF($S769="","",INDEX(BookRate,764)*(1+'5. Scenarios'!$E$10)*$S769)</f>
        <v/>
      </c>
      <c r="U769" s="57" t="str">
        <f aca="false">IF($T769="","",SUMIFS($T$6:$T$2405,$A$6:$A$2405,"&lt;="&amp;$A769))</f>
        <v/>
      </c>
      <c r="V769" s="57" t="str">
        <f aca="false">IF($T769="","",IF($U769&lt;=BankCostEnvelope*'5. Scenarios'!$E$7,1,0))</f>
        <v/>
      </c>
      <c r="W769" s="57" t="str">
        <f aca="false">IF($S769="","",INDEX(BookRate,764)*(1+'5. Scenarios'!$E$10)*(INDEX(BookQ1,764)*(5-MIN(4,1+'5. Scenarios'!$E$8))/4+INDEX(BookQ2,764)*(5-MIN(4,2+'5. Scenarios'!$E$8))/4+INDEX(BookQ3,764)*(5-MIN(4,3+'5. Scenarios'!$E$8))/4+INDEX(BookQ4,764)*(5-MIN(4,4+'5. Scenarios'!$E$8))/4)*'5. Scenarios'!$E$6/(1+ProductivityDefault*('5. Scenarios'!$E$11-1))+INDEX(BookOneOff,764)*$S769)</f>
        <v/>
      </c>
    </row>
    <row r="770" customFormat="false" ht="15" hidden="false" customHeight="false" outlineLevel="0" collapsed="false">
      <c r="A770" s="0" t="str">
        <f aca="false">IF(INDEX(BookTitle,765)="","",INDEX(BookKey,765))</f>
        <v/>
      </c>
      <c r="B770" s="0" t="str">
        <f aca="false">IF(INDEX(BookTitle,765)="","",INDEX(BookGroup,765))</f>
        <v/>
      </c>
      <c r="C770" s="0" t="str">
        <f aca="false">IF(INDEX(BookTitle,765)="","",INDEX(BookCategory,765))</f>
        <v/>
      </c>
      <c r="D770" s="56" t="str">
        <f aca="false">IF(INDEX(BookTitle,765)="","",INDEX(BookTotal,765)*'5. Scenarios'!$B$6/(1+ProductivityDefault*('5. Scenarios'!$B$11-1)))</f>
        <v/>
      </c>
      <c r="E770" s="57" t="str">
        <f aca="false">IF($D770="","",INDEX(BookRate,765)*(1+'5. Scenarios'!$B$10)*$D770)</f>
        <v/>
      </c>
      <c r="F770" s="57" t="str">
        <f aca="false">IF($E770="","",SUMIFS($E$6:$E$2405,$A$6:$A$2405,"&lt;="&amp;$A770))</f>
        <v/>
      </c>
      <c r="G770" s="57" t="str">
        <f aca="false">IF($E770="","",IF($F770&lt;=BankCostEnvelope*'5. Scenarios'!$B$7,1,0))</f>
        <v/>
      </c>
      <c r="H770" s="57" t="str">
        <f aca="false">IF($D770="","",INDEX(BookRate,765)*(1+'5. Scenarios'!$B$10)*(INDEX(BookQ1,765)*(5-MIN(4,1+'5. Scenarios'!$B$8))/4+INDEX(BookQ2,765)*(5-MIN(4,2+'5. Scenarios'!$B$8))/4+INDEX(BookQ3,765)*(5-MIN(4,3+'5. Scenarios'!$B$8))/4+INDEX(BookQ4,765)*(5-MIN(4,4+'5. Scenarios'!$B$8))/4)*'5. Scenarios'!$B$6/(1+ProductivityDefault*('5. Scenarios'!$B$11-1))+INDEX(BookOneOff,765)*$D770)</f>
        <v/>
      </c>
      <c r="I770" s="56" t="str">
        <f aca="false">IF(INDEX(BookTitle,765)="","",INDEX(BookTotal,765)*'5. Scenarios'!$C$6/(1+ProductivityDefault*('5. Scenarios'!$C$11-1)))</f>
        <v/>
      </c>
      <c r="J770" s="57" t="str">
        <f aca="false">IF($I770="","",INDEX(BookRate,765)*(1+'5. Scenarios'!$C$10)*$I770)</f>
        <v/>
      </c>
      <c r="K770" s="57" t="str">
        <f aca="false">IF($J770="","",SUMIFS($J$6:$J$2405,$A$6:$A$2405,"&lt;="&amp;$A770))</f>
        <v/>
      </c>
      <c r="L770" s="57" t="str">
        <f aca="false">IF($J770="","",IF($K770&lt;=BankCostEnvelope*'5. Scenarios'!$C$7,1,0))</f>
        <v/>
      </c>
      <c r="M770" s="57" t="str">
        <f aca="false">IF($I770="","",INDEX(BookRate,765)*(1+'5. Scenarios'!$C$10)*(INDEX(BookQ1,765)*(5-MIN(4,1+'5. Scenarios'!$C$8))/4+INDEX(BookQ2,765)*(5-MIN(4,2+'5. Scenarios'!$C$8))/4+INDEX(BookQ3,765)*(5-MIN(4,3+'5. Scenarios'!$C$8))/4+INDEX(BookQ4,765)*(5-MIN(4,4+'5. Scenarios'!$C$8))/4)*'5. Scenarios'!$C$6/(1+ProductivityDefault*('5. Scenarios'!$C$11-1))+INDEX(BookOneOff,765)*$I770)</f>
        <v/>
      </c>
      <c r="N770" s="56" t="str">
        <f aca="false">IF(INDEX(BookTitle,765)="","",INDEX(BookTotal,765)*'5. Scenarios'!$D$6/(1+ProductivityDefault*('5. Scenarios'!$D$11-1)))</f>
        <v/>
      </c>
      <c r="O770" s="57" t="str">
        <f aca="false">IF($N770="","",INDEX(BookRate,765)*(1+'5. Scenarios'!$D$10)*$N770)</f>
        <v/>
      </c>
      <c r="P770" s="57" t="str">
        <f aca="false">IF($O770="","",SUMIFS($O$6:$O$2405,$A$6:$A$2405,"&lt;="&amp;$A770))</f>
        <v/>
      </c>
      <c r="Q770" s="57" t="str">
        <f aca="false">IF($O770="","",IF($P770&lt;=BankCostEnvelope*'5. Scenarios'!$D$7,1,0))</f>
        <v/>
      </c>
      <c r="R770" s="57" t="str">
        <f aca="false">IF($N770="","",INDEX(BookRate,765)*(1+'5. Scenarios'!$D$10)*(INDEX(BookQ1,765)*(5-MIN(4,1+'5. Scenarios'!$D$8))/4+INDEX(BookQ2,765)*(5-MIN(4,2+'5. Scenarios'!$D$8))/4+INDEX(BookQ3,765)*(5-MIN(4,3+'5. Scenarios'!$D$8))/4+INDEX(BookQ4,765)*(5-MIN(4,4+'5. Scenarios'!$D$8))/4)*'5. Scenarios'!$D$6/(1+ProductivityDefault*('5. Scenarios'!$D$11-1))+INDEX(BookOneOff,765)*$N770)</f>
        <v/>
      </c>
      <c r="S770" s="56" t="str">
        <f aca="false">IF(INDEX(BookTitle,765)="","",INDEX(BookTotal,765)*'5. Scenarios'!$E$6/(1+ProductivityDefault*('5. Scenarios'!$E$11-1)))</f>
        <v/>
      </c>
      <c r="T770" s="57" t="str">
        <f aca="false">IF($S770="","",INDEX(BookRate,765)*(1+'5. Scenarios'!$E$10)*$S770)</f>
        <v/>
      </c>
      <c r="U770" s="57" t="str">
        <f aca="false">IF($T770="","",SUMIFS($T$6:$T$2405,$A$6:$A$2405,"&lt;="&amp;$A770))</f>
        <v/>
      </c>
      <c r="V770" s="57" t="str">
        <f aca="false">IF($T770="","",IF($U770&lt;=BankCostEnvelope*'5. Scenarios'!$E$7,1,0))</f>
        <v/>
      </c>
      <c r="W770" s="57" t="str">
        <f aca="false">IF($S770="","",INDEX(BookRate,765)*(1+'5. Scenarios'!$E$10)*(INDEX(BookQ1,765)*(5-MIN(4,1+'5. Scenarios'!$E$8))/4+INDEX(BookQ2,765)*(5-MIN(4,2+'5. Scenarios'!$E$8))/4+INDEX(BookQ3,765)*(5-MIN(4,3+'5. Scenarios'!$E$8))/4+INDEX(BookQ4,765)*(5-MIN(4,4+'5. Scenarios'!$E$8))/4)*'5. Scenarios'!$E$6/(1+ProductivityDefault*('5. Scenarios'!$E$11-1))+INDEX(BookOneOff,765)*$S770)</f>
        <v/>
      </c>
    </row>
    <row r="771" customFormat="false" ht="15" hidden="false" customHeight="false" outlineLevel="0" collapsed="false">
      <c r="A771" s="0" t="str">
        <f aca="false">IF(INDEX(BookTitle,766)="","",INDEX(BookKey,766))</f>
        <v/>
      </c>
      <c r="B771" s="0" t="str">
        <f aca="false">IF(INDEX(BookTitle,766)="","",INDEX(BookGroup,766))</f>
        <v/>
      </c>
      <c r="C771" s="0" t="str">
        <f aca="false">IF(INDEX(BookTitle,766)="","",INDEX(BookCategory,766))</f>
        <v/>
      </c>
      <c r="D771" s="56" t="str">
        <f aca="false">IF(INDEX(BookTitle,766)="","",INDEX(BookTotal,766)*'5. Scenarios'!$B$6/(1+ProductivityDefault*('5. Scenarios'!$B$11-1)))</f>
        <v/>
      </c>
      <c r="E771" s="57" t="str">
        <f aca="false">IF($D771="","",INDEX(BookRate,766)*(1+'5. Scenarios'!$B$10)*$D771)</f>
        <v/>
      </c>
      <c r="F771" s="57" t="str">
        <f aca="false">IF($E771="","",SUMIFS($E$6:$E$2405,$A$6:$A$2405,"&lt;="&amp;$A771))</f>
        <v/>
      </c>
      <c r="G771" s="57" t="str">
        <f aca="false">IF($E771="","",IF($F771&lt;=BankCostEnvelope*'5. Scenarios'!$B$7,1,0))</f>
        <v/>
      </c>
      <c r="H771" s="57" t="str">
        <f aca="false">IF($D771="","",INDEX(BookRate,766)*(1+'5. Scenarios'!$B$10)*(INDEX(BookQ1,766)*(5-MIN(4,1+'5. Scenarios'!$B$8))/4+INDEX(BookQ2,766)*(5-MIN(4,2+'5. Scenarios'!$B$8))/4+INDEX(BookQ3,766)*(5-MIN(4,3+'5. Scenarios'!$B$8))/4+INDEX(BookQ4,766)*(5-MIN(4,4+'5. Scenarios'!$B$8))/4)*'5. Scenarios'!$B$6/(1+ProductivityDefault*('5. Scenarios'!$B$11-1))+INDEX(BookOneOff,766)*$D771)</f>
        <v/>
      </c>
      <c r="I771" s="56" t="str">
        <f aca="false">IF(INDEX(BookTitle,766)="","",INDEX(BookTotal,766)*'5. Scenarios'!$C$6/(1+ProductivityDefault*('5. Scenarios'!$C$11-1)))</f>
        <v/>
      </c>
      <c r="J771" s="57" t="str">
        <f aca="false">IF($I771="","",INDEX(BookRate,766)*(1+'5. Scenarios'!$C$10)*$I771)</f>
        <v/>
      </c>
      <c r="K771" s="57" t="str">
        <f aca="false">IF($J771="","",SUMIFS($J$6:$J$2405,$A$6:$A$2405,"&lt;="&amp;$A771))</f>
        <v/>
      </c>
      <c r="L771" s="57" t="str">
        <f aca="false">IF($J771="","",IF($K771&lt;=BankCostEnvelope*'5. Scenarios'!$C$7,1,0))</f>
        <v/>
      </c>
      <c r="M771" s="57" t="str">
        <f aca="false">IF($I771="","",INDEX(BookRate,766)*(1+'5. Scenarios'!$C$10)*(INDEX(BookQ1,766)*(5-MIN(4,1+'5. Scenarios'!$C$8))/4+INDEX(BookQ2,766)*(5-MIN(4,2+'5. Scenarios'!$C$8))/4+INDEX(BookQ3,766)*(5-MIN(4,3+'5. Scenarios'!$C$8))/4+INDEX(BookQ4,766)*(5-MIN(4,4+'5. Scenarios'!$C$8))/4)*'5. Scenarios'!$C$6/(1+ProductivityDefault*('5. Scenarios'!$C$11-1))+INDEX(BookOneOff,766)*$I771)</f>
        <v/>
      </c>
      <c r="N771" s="56" t="str">
        <f aca="false">IF(INDEX(BookTitle,766)="","",INDEX(BookTotal,766)*'5. Scenarios'!$D$6/(1+ProductivityDefault*('5. Scenarios'!$D$11-1)))</f>
        <v/>
      </c>
      <c r="O771" s="57" t="str">
        <f aca="false">IF($N771="","",INDEX(BookRate,766)*(1+'5. Scenarios'!$D$10)*$N771)</f>
        <v/>
      </c>
      <c r="P771" s="57" t="str">
        <f aca="false">IF($O771="","",SUMIFS($O$6:$O$2405,$A$6:$A$2405,"&lt;="&amp;$A771))</f>
        <v/>
      </c>
      <c r="Q771" s="57" t="str">
        <f aca="false">IF($O771="","",IF($P771&lt;=BankCostEnvelope*'5. Scenarios'!$D$7,1,0))</f>
        <v/>
      </c>
      <c r="R771" s="57" t="str">
        <f aca="false">IF($N771="","",INDEX(BookRate,766)*(1+'5. Scenarios'!$D$10)*(INDEX(BookQ1,766)*(5-MIN(4,1+'5. Scenarios'!$D$8))/4+INDEX(BookQ2,766)*(5-MIN(4,2+'5. Scenarios'!$D$8))/4+INDEX(BookQ3,766)*(5-MIN(4,3+'5. Scenarios'!$D$8))/4+INDEX(BookQ4,766)*(5-MIN(4,4+'5. Scenarios'!$D$8))/4)*'5. Scenarios'!$D$6/(1+ProductivityDefault*('5. Scenarios'!$D$11-1))+INDEX(BookOneOff,766)*$N771)</f>
        <v/>
      </c>
      <c r="S771" s="56" t="str">
        <f aca="false">IF(INDEX(BookTitle,766)="","",INDEX(BookTotal,766)*'5. Scenarios'!$E$6/(1+ProductivityDefault*('5. Scenarios'!$E$11-1)))</f>
        <v/>
      </c>
      <c r="T771" s="57" t="str">
        <f aca="false">IF($S771="","",INDEX(BookRate,766)*(1+'5. Scenarios'!$E$10)*$S771)</f>
        <v/>
      </c>
      <c r="U771" s="57" t="str">
        <f aca="false">IF($T771="","",SUMIFS($T$6:$T$2405,$A$6:$A$2405,"&lt;="&amp;$A771))</f>
        <v/>
      </c>
      <c r="V771" s="57" t="str">
        <f aca="false">IF($T771="","",IF($U771&lt;=BankCostEnvelope*'5. Scenarios'!$E$7,1,0))</f>
        <v/>
      </c>
      <c r="W771" s="57" t="str">
        <f aca="false">IF($S771="","",INDEX(BookRate,766)*(1+'5. Scenarios'!$E$10)*(INDEX(BookQ1,766)*(5-MIN(4,1+'5. Scenarios'!$E$8))/4+INDEX(BookQ2,766)*(5-MIN(4,2+'5. Scenarios'!$E$8))/4+INDEX(BookQ3,766)*(5-MIN(4,3+'5. Scenarios'!$E$8))/4+INDEX(BookQ4,766)*(5-MIN(4,4+'5. Scenarios'!$E$8))/4)*'5. Scenarios'!$E$6/(1+ProductivityDefault*('5. Scenarios'!$E$11-1))+INDEX(BookOneOff,766)*$S771)</f>
        <v/>
      </c>
    </row>
    <row r="772" customFormat="false" ht="15" hidden="false" customHeight="false" outlineLevel="0" collapsed="false">
      <c r="A772" s="0" t="str">
        <f aca="false">IF(INDEX(BookTitle,767)="","",INDEX(BookKey,767))</f>
        <v/>
      </c>
      <c r="B772" s="0" t="str">
        <f aca="false">IF(INDEX(BookTitle,767)="","",INDEX(BookGroup,767))</f>
        <v/>
      </c>
      <c r="C772" s="0" t="str">
        <f aca="false">IF(INDEX(BookTitle,767)="","",INDEX(BookCategory,767))</f>
        <v/>
      </c>
      <c r="D772" s="56" t="str">
        <f aca="false">IF(INDEX(BookTitle,767)="","",INDEX(BookTotal,767)*'5. Scenarios'!$B$6/(1+ProductivityDefault*('5. Scenarios'!$B$11-1)))</f>
        <v/>
      </c>
      <c r="E772" s="57" t="str">
        <f aca="false">IF($D772="","",INDEX(BookRate,767)*(1+'5. Scenarios'!$B$10)*$D772)</f>
        <v/>
      </c>
      <c r="F772" s="57" t="str">
        <f aca="false">IF($E772="","",SUMIFS($E$6:$E$2405,$A$6:$A$2405,"&lt;="&amp;$A772))</f>
        <v/>
      </c>
      <c r="G772" s="57" t="str">
        <f aca="false">IF($E772="","",IF($F772&lt;=BankCostEnvelope*'5. Scenarios'!$B$7,1,0))</f>
        <v/>
      </c>
      <c r="H772" s="57" t="str">
        <f aca="false">IF($D772="","",INDEX(BookRate,767)*(1+'5. Scenarios'!$B$10)*(INDEX(BookQ1,767)*(5-MIN(4,1+'5. Scenarios'!$B$8))/4+INDEX(BookQ2,767)*(5-MIN(4,2+'5. Scenarios'!$B$8))/4+INDEX(BookQ3,767)*(5-MIN(4,3+'5. Scenarios'!$B$8))/4+INDEX(BookQ4,767)*(5-MIN(4,4+'5. Scenarios'!$B$8))/4)*'5. Scenarios'!$B$6/(1+ProductivityDefault*('5. Scenarios'!$B$11-1))+INDEX(BookOneOff,767)*$D772)</f>
        <v/>
      </c>
      <c r="I772" s="56" t="str">
        <f aca="false">IF(INDEX(BookTitle,767)="","",INDEX(BookTotal,767)*'5. Scenarios'!$C$6/(1+ProductivityDefault*('5. Scenarios'!$C$11-1)))</f>
        <v/>
      </c>
      <c r="J772" s="57" t="str">
        <f aca="false">IF($I772="","",INDEX(BookRate,767)*(1+'5. Scenarios'!$C$10)*$I772)</f>
        <v/>
      </c>
      <c r="K772" s="57" t="str">
        <f aca="false">IF($J772="","",SUMIFS($J$6:$J$2405,$A$6:$A$2405,"&lt;="&amp;$A772))</f>
        <v/>
      </c>
      <c r="L772" s="57" t="str">
        <f aca="false">IF($J772="","",IF($K772&lt;=BankCostEnvelope*'5. Scenarios'!$C$7,1,0))</f>
        <v/>
      </c>
      <c r="M772" s="57" t="str">
        <f aca="false">IF($I772="","",INDEX(BookRate,767)*(1+'5. Scenarios'!$C$10)*(INDEX(BookQ1,767)*(5-MIN(4,1+'5. Scenarios'!$C$8))/4+INDEX(BookQ2,767)*(5-MIN(4,2+'5. Scenarios'!$C$8))/4+INDEX(BookQ3,767)*(5-MIN(4,3+'5. Scenarios'!$C$8))/4+INDEX(BookQ4,767)*(5-MIN(4,4+'5. Scenarios'!$C$8))/4)*'5. Scenarios'!$C$6/(1+ProductivityDefault*('5. Scenarios'!$C$11-1))+INDEX(BookOneOff,767)*$I772)</f>
        <v/>
      </c>
      <c r="N772" s="56" t="str">
        <f aca="false">IF(INDEX(BookTitle,767)="","",INDEX(BookTotal,767)*'5. Scenarios'!$D$6/(1+ProductivityDefault*('5. Scenarios'!$D$11-1)))</f>
        <v/>
      </c>
      <c r="O772" s="57" t="str">
        <f aca="false">IF($N772="","",INDEX(BookRate,767)*(1+'5. Scenarios'!$D$10)*$N772)</f>
        <v/>
      </c>
      <c r="P772" s="57" t="str">
        <f aca="false">IF($O772="","",SUMIFS($O$6:$O$2405,$A$6:$A$2405,"&lt;="&amp;$A772))</f>
        <v/>
      </c>
      <c r="Q772" s="57" t="str">
        <f aca="false">IF($O772="","",IF($P772&lt;=BankCostEnvelope*'5. Scenarios'!$D$7,1,0))</f>
        <v/>
      </c>
      <c r="R772" s="57" t="str">
        <f aca="false">IF($N772="","",INDEX(BookRate,767)*(1+'5. Scenarios'!$D$10)*(INDEX(BookQ1,767)*(5-MIN(4,1+'5. Scenarios'!$D$8))/4+INDEX(BookQ2,767)*(5-MIN(4,2+'5. Scenarios'!$D$8))/4+INDEX(BookQ3,767)*(5-MIN(4,3+'5. Scenarios'!$D$8))/4+INDEX(BookQ4,767)*(5-MIN(4,4+'5. Scenarios'!$D$8))/4)*'5. Scenarios'!$D$6/(1+ProductivityDefault*('5. Scenarios'!$D$11-1))+INDEX(BookOneOff,767)*$N772)</f>
        <v/>
      </c>
      <c r="S772" s="56" t="str">
        <f aca="false">IF(INDEX(BookTitle,767)="","",INDEX(BookTotal,767)*'5. Scenarios'!$E$6/(1+ProductivityDefault*('5. Scenarios'!$E$11-1)))</f>
        <v/>
      </c>
      <c r="T772" s="57" t="str">
        <f aca="false">IF($S772="","",INDEX(BookRate,767)*(1+'5. Scenarios'!$E$10)*$S772)</f>
        <v/>
      </c>
      <c r="U772" s="57" t="str">
        <f aca="false">IF($T772="","",SUMIFS($T$6:$T$2405,$A$6:$A$2405,"&lt;="&amp;$A772))</f>
        <v/>
      </c>
      <c r="V772" s="57" t="str">
        <f aca="false">IF($T772="","",IF($U772&lt;=BankCostEnvelope*'5. Scenarios'!$E$7,1,0))</f>
        <v/>
      </c>
      <c r="W772" s="57" t="str">
        <f aca="false">IF($S772="","",INDEX(BookRate,767)*(1+'5. Scenarios'!$E$10)*(INDEX(BookQ1,767)*(5-MIN(4,1+'5. Scenarios'!$E$8))/4+INDEX(BookQ2,767)*(5-MIN(4,2+'5. Scenarios'!$E$8))/4+INDEX(BookQ3,767)*(5-MIN(4,3+'5. Scenarios'!$E$8))/4+INDEX(BookQ4,767)*(5-MIN(4,4+'5. Scenarios'!$E$8))/4)*'5. Scenarios'!$E$6/(1+ProductivityDefault*('5. Scenarios'!$E$11-1))+INDEX(BookOneOff,767)*$S772)</f>
        <v/>
      </c>
    </row>
    <row r="773" customFormat="false" ht="15" hidden="false" customHeight="false" outlineLevel="0" collapsed="false">
      <c r="A773" s="0" t="str">
        <f aca="false">IF(INDEX(BookTitle,768)="","",INDEX(BookKey,768))</f>
        <v/>
      </c>
      <c r="B773" s="0" t="str">
        <f aca="false">IF(INDEX(BookTitle,768)="","",INDEX(BookGroup,768))</f>
        <v/>
      </c>
      <c r="C773" s="0" t="str">
        <f aca="false">IF(INDEX(BookTitle,768)="","",INDEX(BookCategory,768))</f>
        <v/>
      </c>
      <c r="D773" s="56" t="str">
        <f aca="false">IF(INDEX(BookTitle,768)="","",INDEX(BookTotal,768)*'5. Scenarios'!$B$6/(1+ProductivityDefault*('5. Scenarios'!$B$11-1)))</f>
        <v/>
      </c>
      <c r="E773" s="57" t="str">
        <f aca="false">IF($D773="","",INDEX(BookRate,768)*(1+'5. Scenarios'!$B$10)*$D773)</f>
        <v/>
      </c>
      <c r="F773" s="57" t="str">
        <f aca="false">IF($E773="","",SUMIFS($E$6:$E$2405,$A$6:$A$2405,"&lt;="&amp;$A773))</f>
        <v/>
      </c>
      <c r="G773" s="57" t="str">
        <f aca="false">IF($E773="","",IF($F773&lt;=BankCostEnvelope*'5. Scenarios'!$B$7,1,0))</f>
        <v/>
      </c>
      <c r="H773" s="57" t="str">
        <f aca="false">IF($D773="","",INDEX(BookRate,768)*(1+'5. Scenarios'!$B$10)*(INDEX(BookQ1,768)*(5-MIN(4,1+'5. Scenarios'!$B$8))/4+INDEX(BookQ2,768)*(5-MIN(4,2+'5. Scenarios'!$B$8))/4+INDEX(BookQ3,768)*(5-MIN(4,3+'5. Scenarios'!$B$8))/4+INDEX(BookQ4,768)*(5-MIN(4,4+'5. Scenarios'!$B$8))/4)*'5. Scenarios'!$B$6/(1+ProductivityDefault*('5. Scenarios'!$B$11-1))+INDEX(BookOneOff,768)*$D773)</f>
        <v/>
      </c>
      <c r="I773" s="56" t="str">
        <f aca="false">IF(INDEX(BookTitle,768)="","",INDEX(BookTotal,768)*'5. Scenarios'!$C$6/(1+ProductivityDefault*('5. Scenarios'!$C$11-1)))</f>
        <v/>
      </c>
      <c r="J773" s="57" t="str">
        <f aca="false">IF($I773="","",INDEX(BookRate,768)*(1+'5. Scenarios'!$C$10)*$I773)</f>
        <v/>
      </c>
      <c r="K773" s="57" t="str">
        <f aca="false">IF($J773="","",SUMIFS($J$6:$J$2405,$A$6:$A$2405,"&lt;="&amp;$A773))</f>
        <v/>
      </c>
      <c r="L773" s="57" t="str">
        <f aca="false">IF($J773="","",IF($K773&lt;=BankCostEnvelope*'5. Scenarios'!$C$7,1,0))</f>
        <v/>
      </c>
      <c r="M773" s="57" t="str">
        <f aca="false">IF($I773="","",INDEX(BookRate,768)*(1+'5. Scenarios'!$C$10)*(INDEX(BookQ1,768)*(5-MIN(4,1+'5. Scenarios'!$C$8))/4+INDEX(BookQ2,768)*(5-MIN(4,2+'5. Scenarios'!$C$8))/4+INDEX(BookQ3,768)*(5-MIN(4,3+'5. Scenarios'!$C$8))/4+INDEX(BookQ4,768)*(5-MIN(4,4+'5. Scenarios'!$C$8))/4)*'5. Scenarios'!$C$6/(1+ProductivityDefault*('5. Scenarios'!$C$11-1))+INDEX(BookOneOff,768)*$I773)</f>
        <v/>
      </c>
      <c r="N773" s="56" t="str">
        <f aca="false">IF(INDEX(BookTitle,768)="","",INDEX(BookTotal,768)*'5. Scenarios'!$D$6/(1+ProductivityDefault*('5. Scenarios'!$D$11-1)))</f>
        <v/>
      </c>
      <c r="O773" s="57" t="str">
        <f aca="false">IF($N773="","",INDEX(BookRate,768)*(1+'5. Scenarios'!$D$10)*$N773)</f>
        <v/>
      </c>
      <c r="P773" s="57" t="str">
        <f aca="false">IF($O773="","",SUMIFS($O$6:$O$2405,$A$6:$A$2405,"&lt;="&amp;$A773))</f>
        <v/>
      </c>
      <c r="Q773" s="57" t="str">
        <f aca="false">IF($O773="","",IF($P773&lt;=BankCostEnvelope*'5. Scenarios'!$D$7,1,0))</f>
        <v/>
      </c>
      <c r="R773" s="57" t="str">
        <f aca="false">IF($N773="","",INDEX(BookRate,768)*(1+'5. Scenarios'!$D$10)*(INDEX(BookQ1,768)*(5-MIN(4,1+'5. Scenarios'!$D$8))/4+INDEX(BookQ2,768)*(5-MIN(4,2+'5. Scenarios'!$D$8))/4+INDEX(BookQ3,768)*(5-MIN(4,3+'5. Scenarios'!$D$8))/4+INDEX(BookQ4,768)*(5-MIN(4,4+'5. Scenarios'!$D$8))/4)*'5. Scenarios'!$D$6/(1+ProductivityDefault*('5. Scenarios'!$D$11-1))+INDEX(BookOneOff,768)*$N773)</f>
        <v/>
      </c>
      <c r="S773" s="56" t="str">
        <f aca="false">IF(INDEX(BookTitle,768)="","",INDEX(BookTotal,768)*'5. Scenarios'!$E$6/(1+ProductivityDefault*('5. Scenarios'!$E$11-1)))</f>
        <v/>
      </c>
      <c r="T773" s="57" t="str">
        <f aca="false">IF($S773="","",INDEX(BookRate,768)*(1+'5. Scenarios'!$E$10)*$S773)</f>
        <v/>
      </c>
      <c r="U773" s="57" t="str">
        <f aca="false">IF($T773="","",SUMIFS($T$6:$T$2405,$A$6:$A$2405,"&lt;="&amp;$A773))</f>
        <v/>
      </c>
      <c r="V773" s="57" t="str">
        <f aca="false">IF($T773="","",IF($U773&lt;=BankCostEnvelope*'5. Scenarios'!$E$7,1,0))</f>
        <v/>
      </c>
      <c r="W773" s="57" t="str">
        <f aca="false">IF($S773="","",INDEX(BookRate,768)*(1+'5. Scenarios'!$E$10)*(INDEX(BookQ1,768)*(5-MIN(4,1+'5. Scenarios'!$E$8))/4+INDEX(BookQ2,768)*(5-MIN(4,2+'5. Scenarios'!$E$8))/4+INDEX(BookQ3,768)*(5-MIN(4,3+'5. Scenarios'!$E$8))/4+INDEX(BookQ4,768)*(5-MIN(4,4+'5. Scenarios'!$E$8))/4)*'5. Scenarios'!$E$6/(1+ProductivityDefault*('5. Scenarios'!$E$11-1))+INDEX(BookOneOff,768)*$S773)</f>
        <v/>
      </c>
    </row>
    <row r="774" customFormat="false" ht="15" hidden="false" customHeight="false" outlineLevel="0" collapsed="false">
      <c r="A774" s="0" t="str">
        <f aca="false">IF(INDEX(BookTitle,769)="","",INDEX(BookKey,769))</f>
        <v/>
      </c>
      <c r="B774" s="0" t="str">
        <f aca="false">IF(INDEX(BookTitle,769)="","",INDEX(BookGroup,769))</f>
        <v/>
      </c>
      <c r="C774" s="0" t="str">
        <f aca="false">IF(INDEX(BookTitle,769)="","",INDEX(BookCategory,769))</f>
        <v/>
      </c>
      <c r="D774" s="56" t="str">
        <f aca="false">IF(INDEX(BookTitle,769)="","",INDEX(BookTotal,769)*'5. Scenarios'!$B$6/(1+ProductivityDefault*('5. Scenarios'!$B$11-1)))</f>
        <v/>
      </c>
      <c r="E774" s="57" t="str">
        <f aca="false">IF($D774="","",INDEX(BookRate,769)*(1+'5. Scenarios'!$B$10)*$D774)</f>
        <v/>
      </c>
      <c r="F774" s="57" t="str">
        <f aca="false">IF($E774="","",SUMIFS($E$6:$E$2405,$A$6:$A$2405,"&lt;="&amp;$A774))</f>
        <v/>
      </c>
      <c r="G774" s="57" t="str">
        <f aca="false">IF($E774="","",IF($F774&lt;=BankCostEnvelope*'5. Scenarios'!$B$7,1,0))</f>
        <v/>
      </c>
      <c r="H774" s="57" t="str">
        <f aca="false">IF($D774="","",INDEX(BookRate,769)*(1+'5. Scenarios'!$B$10)*(INDEX(BookQ1,769)*(5-MIN(4,1+'5. Scenarios'!$B$8))/4+INDEX(BookQ2,769)*(5-MIN(4,2+'5. Scenarios'!$B$8))/4+INDEX(BookQ3,769)*(5-MIN(4,3+'5. Scenarios'!$B$8))/4+INDEX(BookQ4,769)*(5-MIN(4,4+'5. Scenarios'!$B$8))/4)*'5. Scenarios'!$B$6/(1+ProductivityDefault*('5. Scenarios'!$B$11-1))+INDEX(BookOneOff,769)*$D774)</f>
        <v/>
      </c>
      <c r="I774" s="56" t="str">
        <f aca="false">IF(INDEX(BookTitle,769)="","",INDEX(BookTotal,769)*'5. Scenarios'!$C$6/(1+ProductivityDefault*('5. Scenarios'!$C$11-1)))</f>
        <v/>
      </c>
      <c r="J774" s="57" t="str">
        <f aca="false">IF($I774="","",INDEX(BookRate,769)*(1+'5. Scenarios'!$C$10)*$I774)</f>
        <v/>
      </c>
      <c r="K774" s="57" t="str">
        <f aca="false">IF($J774="","",SUMIFS($J$6:$J$2405,$A$6:$A$2405,"&lt;="&amp;$A774))</f>
        <v/>
      </c>
      <c r="L774" s="57" t="str">
        <f aca="false">IF($J774="","",IF($K774&lt;=BankCostEnvelope*'5. Scenarios'!$C$7,1,0))</f>
        <v/>
      </c>
      <c r="M774" s="57" t="str">
        <f aca="false">IF($I774="","",INDEX(BookRate,769)*(1+'5. Scenarios'!$C$10)*(INDEX(BookQ1,769)*(5-MIN(4,1+'5. Scenarios'!$C$8))/4+INDEX(BookQ2,769)*(5-MIN(4,2+'5. Scenarios'!$C$8))/4+INDEX(BookQ3,769)*(5-MIN(4,3+'5. Scenarios'!$C$8))/4+INDEX(BookQ4,769)*(5-MIN(4,4+'5. Scenarios'!$C$8))/4)*'5. Scenarios'!$C$6/(1+ProductivityDefault*('5. Scenarios'!$C$11-1))+INDEX(BookOneOff,769)*$I774)</f>
        <v/>
      </c>
      <c r="N774" s="56" t="str">
        <f aca="false">IF(INDEX(BookTitle,769)="","",INDEX(BookTotal,769)*'5. Scenarios'!$D$6/(1+ProductivityDefault*('5. Scenarios'!$D$11-1)))</f>
        <v/>
      </c>
      <c r="O774" s="57" t="str">
        <f aca="false">IF($N774="","",INDEX(BookRate,769)*(1+'5. Scenarios'!$D$10)*$N774)</f>
        <v/>
      </c>
      <c r="P774" s="57" t="str">
        <f aca="false">IF($O774="","",SUMIFS($O$6:$O$2405,$A$6:$A$2405,"&lt;="&amp;$A774))</f>
        <v/>
      </c>
      <c r="Q774" s="57" t="str">
        <f aca="false">IF($O774="","",IF($P774&lt;=BankCostEnvelope*'5. Scenarios'!$D$7,1,0))</f>
        <v/>
      </c>
      <c r="R774" s="57" t="str">
        <f aca="false">IF($N774="","",INDEX(BookRate,769)*(1+'5. Scenarios'!$D$10)*(INDEX(BookQ1,769)*(5-MIN(4,1+'5. Scenarios'!$D$8))/4+INDEX(BookQ2,769)*(5-MIN(4,2+'5. Scenarios'!$D$8))/4+INDEX(BookQ3,769)*(5-MIN(4,3+'5. Scenarios'!$D$8))/4+INDEX(BookQ4,769)*(5-MIN(4,4+'5. Scenarios'!$D$8))/4)*'5. Scenarios'!$D$6/(1+ProductivityDefault*('5. Scenarios'!$D$11-1))+INDEX(BookOneOff,769)*$N774)</f>
        <v/>
      </c>
      <c r="S774" s="56" t="str">
        <f aca="false">IF(INDEX(BookTitle,769)="","",INDEX(BookTotal,769)*'5. Scenarios'!$E$6/(1+ProductivityDefault*('5. Scenarios'!$E$11-1)))</f>
        <v/>
      </c>
      <c r="T774" s="57" t="str">
        <f aca="false">IF($S774="","",INDEX(BookRate,769)*(1+'5. Scenarios'!$E$10)*$S774)</f>
        <v/>
      </c>
      <c r="U774" s="57" t="str">
        <f aca="false">IF($T774="","",SUMIFS($T$6:$T$2405,$A$6:$A$2405,"&lt;="&amp;$A774))</f>
        <v/>
      </c>
      <c r="V774" s="57" t="str">
        <f aca="false">IF($T774="","",IF($U774&lt;=BankCostEnvelope*'5. Scenarios'!$E$7,1,0))</f>
        <v/>
      </c>
      <c r="W774" s="57" t="str">
        <f aca="false">IF($S774="","",INDEX(BookRate,769)*(1+'5. Scenarios'!$E$10)*(INDEX(BookQ1,769)*(5-MIN(4,1+'5. Scenarios'!$E$8))/4+INDEX(BookQ2,769)*(5-MIN(4,2+'5. Scenarios'!$E$8))/4+INDEX(BookQ3,769)*(5-MIN(4,3+'5. Scenarios'!$E$8))/4+INDEX(BookQ4,769)*(5-MIN(4,4+'5. Scenarios'!$E$8))/4)*'5. Scenarios'!$E$6/(1+ProductivityDefault*('5. Scenarios'!$E$11-1))+INDEX(BookOneOff,769)*$S774)</f>
        <v/>
      </c>
    </row>
    <row r="775" customFormat="false" ht="15" hidden="false" customHeight="false" outlineLevel="0" collapsed="false">
      <c r="A775" s="0" t="str">
        <f aca="false">IF(INDEX(BookTitle,770)="","",INDEX(BookKey,770))</f>
        <v/>
      </c>
      <c r="B775" s="0" t="str">
        <f aca="false">IF(INDEX(BookTitle,770)="","",INDEX(BookGroup,770))</f>
        <v/>
      </c>
      <c r="C775" s="0" t="str">
        <f aca="false">IF(INDEX(BookTitle,770)="","",INDEX(BookCategory,770))</f>
        <v/>
      </c>
      <c r="D775" s="56" t="str">
        <f aca="false">IF(INDEX(BookTitle,770)="","",INDEX(BookTotal,770)*'5. Scenarios'!$B$6/(1+ProductivityDefault*('5. Scenarios'!$B$11-1)))</f>
        <v/>
      </c>
      <c r="E775" s="57" t="str">
        <f aca="false">IF($D775="","",INDEX(BookRate,770)*(1+'5. Scenarios'!$B$10)*$D775)</f>
        <v/>
      </c>
      <c r="F775" s="57" t="str">
        <f aca="false">IF($E775="","",SUMIFS($E$6:$E$2405,$A$6:$A$2405,"&lt;="&amp;$A775))</f>
        <v/>
      </c>
      <c r="G775" s="57" t="str">
        <f aca="false">IF($E775="","",IF($F775&lt;=BankCostEnvelope*'5. Scenarios'!$B$7,1,0))</f>
        <v/>
      </c>
      <c r="H775" s="57" t="str">
        <f aca="false">IF($D775="","",INDEX(BookRate,770)*(1+'5. Scenarios'!$B$10)*(INDEX(BookQ1,770)*(5-MIN(4,1+'5. Scenarios'!$B$8))/4+INDEX(BookQ2,770)*(5-MIN(4,2+'5. Scenarios'!$B$8))/4+INDEX(BookQ3,770)*(5-MIN(4,3+'5. Scenarios'!$B$8))/4+INDEX(BookQ4,770)*(5-MIN(4,4+'5. Scenarios'!$B$8))/4)*'5. Scenarios'!$B$6/(1+ProductivityDefault*('5. Scenarios'!$B$11-1))+INDEX(BookOneOff,770)*$D775)</f>
        <v/>
      </c>
      <c r="I775" s="56" t="str">
        <f aca="false">IF(INDEX(BookTitle,770)="","",INDEX(BookTotal,770)*'5. Scenarios'!$C$6/(1+ProductivityDefault*('5. Scenarios'!$C$11-1)))</f>
        <v/>
      </c>
      <c r="J775" s="57" t="str">
        <f aca="false">IF($I775="","",INDEX(BookRate,770)*(1+'5. Scenarios'!$C$10)*$I775)</f>
        <v/>
      </c>
      <c r="K775" s="57" t="str">
        <f aca="false">IF($J775="","",SUMIFS($J$6:$J$2405,$A$6:$A$2405,"&lt;="&amp;$A775))</f>
        <v/>
      </c>
      <c r="L775" s="57" t="str">
        <f aca="false">IF($J775="","",IF($K775&lt;=BankCostEnvelope*'5. Scenarios'!$C$7,1,0))</f>
        <v/>
      </c>
      <c r="M775" s="57" t="str">
        <f aca="false">IF($I775="","",INDEX(BookRate,770)*(1+'5. Scenarios'!$C$10)*(INDEX(BookQ1,770)*(5-MIN(4,1+'5. Scenarios'!$C$8))/4+INDEX(BookQ2,770)*(5-MIN(4,2+'5. Scenarios'!$C$8))/4+INDEX(BookQ3,770)*(5-MIN(4,3+'5. Scenarios'!$C$8))/4+INDEX(BookQ4,770)*(5-MIN(4,4+'5. Scenarios'!$C$8))/4)*'5. Scenarios'!$C$6/(1+ProductivityDefault*('5. Scenarios'!$C$11-1))+INDEX(BookOneOff,770)*$I775)</f>
        <v/>
      </c>
      <c r="N775" s="56" t="str">
        <f aca="false">IF(INDEX(BookTitle,770)="","",INDEX(BookTotal,770)*'5. Scenarios'!$D$6/(1+ProductivityDefault*('5. Scenarios'!$D$11-1)))</f>
        <v/>
      </c>
      <c r="O775" s="57" t="str">
        <f aca="false">IF($N775="","",INDEX(BookRate,770)*(1+'5. Scenarios'!$D$10)*$N775)</f>
        <v/>
      </c>
      <c r="P775" s="57" t="str">
        <f aca="false">IF($O775="","",SUMIFS($O$6:$O$2405,$A$6:$A$2405,"&lt;="&amp;$A775))</f>
        <v/>
      </c>
      <c r="Q775" s="57" t="str">
        <f aca="false">IF($O775="","",IF($P775&lt;=BankCostEnvelope*'5. Scenarios'!$D$7,1,0))</f>
        <v/>
      </c>
      <c r="R775" s="57" t="str">
        <f aca="false">IF($N775="","",INDEX(BookRate,770)*(1+'5. Scenarios'!$D$10)*(INDEX(BookQ1,770)*(5-MIN(4,1+'5. Scenarios'!$D$8))/4+INDEX(BookQ2,770)*(5-MIN(4,2+'5. Scenarios'!$D$8))/4+INDEX(BookQ3,770)*(5-MIN(4,3+'5. Scenarios'!$D$8))/4+INDEX(BookQ4,770)*(5-MIN(4,4+'5. Scenarios'!$D$8))/4)*'5. Scenarios'!$D$6/(1+ProductivityDefault*('5. Scenarios'!$D$11-1))+INDEX(BookOneOff,770)*$N775)</f>
        <v/>
      </c>
      <c r="S775" s="56" t="str">
        <f aca="false">IF(INDEX(BookTitle,770)="","",INDEX(BookTotal,770)*'5. Scenarios'!$E$6/(1+ProductivityDefault*('5. Scenarios'!$E$11-1)))</f>
        <v/>
      </c>
      <c r="T775" s="57" t="str">
        <f aca="false">IF($S775="","",INDEX(BookRate,770)*(1+'5. Scenarios'!$E$10)*$S775)</f>
        <v/>
      </c>
      <c r="U775" s="57" t="str">
        <f aca="false">IF($T775="","",SUMIFS($T$6:$T$2405,$A$6:$A$2405,"&lt;="&amp;$A775))</f>
        <v/>
      </c>
      <c r="V775" s="57" t="str">
        <f aca="false">IF($T775="","",IF($U775&lt;=BankCostEnvelope*'5. Scenarios'!$E$7,1,0))</f>
        <v/>
      </c>
      <c r="W775" s="57" t="str">
        <f aca="false">IF($S775="","",INDEX(BookRate,770)*(1+'5. Scenarios'!$E$10)*(INDEX(BookQ1,770)*(5-MIN(4,1+'5. Scenarios'!$E$8))/4+INDEX(BookQ2,770)*(5-MIN(4,2+'5. Scenarios'!$E$8))/4+INDEX(BookQ3,770)*(5-MIN(4,3+'5. Scenarios'!$E$8))/4+INDEX(BookQ4,770)*(5-MIN(4,4+'5. Scenarios'!$E$8))/4)*'5. Scenarios'!$E$6/(1+ProductivityDefault*('5. Scenarios'!$E$11-1))+INDEX(BookOneOff,770)*$S775)</f>
        <v/>
      </c>
    </row>
    <row r="776" customFormat="false" ht="15" hidden="false" customHeight="false" outlineLevel="0" collapsed="false">
      <c r="A776" s="0" t="str">
        <f aca="false">IF(INDEX(BookTitle,771)="","",INDEX(BookKey,771))</f>
        <v/>
      </c>
      <c r="B776" s="0" t="str">
        <f aca="false">IF(INDEX(BookTitle,771)="","",INDEX(BookGroup,771))</f>
        <v/>
      </c>
      <c r="C776" s="0" t="str">
        <f aca="false">IF(INDEX(BookTitle,771)="","",INDEX(BookCategory,771))</f>
        <v/>
      </c>
      <c r="D776" s="56" t="str">
        <f aca="false">IF(INDEX(BookTitle,771)="","",INDEX(BookTotal,771)*'5. Scenarios'!$B$6/(1+ProductivityDefault*('5. Scenarios'!$B$11-1)))</f>
        <v/>
      </c>
      <c r="E776" s="57" t="str">
        <f aca="false">IF($D776="","",INDEX(BookRate,771)*(1+'5. Scenarios'!$B$10)*$D776)</f>
        <v/>
      </c>
      <c r="F776" s="57" t="str">
        <f aca="false">IF($E776="","",SUMIFS($E$6:$E$2405,$A$6:$A$2405,"&lt;="&amp;$A776))</f>
        <v/>
      </c>
      <c r="G776" s="57" t="str">
        <f aca="false">IF($E776="","",IF($F776&lt;=BankCostEnvelope*'5. Scenarios'!$B$7,1,0))</f>
        <v/>
      </c>
      <c r="H776" s="57" t="str">
        <f aca="false">IF($D776="","",INDEX(BookRate,771)*(1+'5. Scenarios'!$B$10)*(INDEX(BookQ1,771)*(5-MIN(4,1+'5. Scenarios'!$B$8))/4+INDEX(BookQ2,771)*(5-MIN(4,2+'5. Scenarios'!$B$8))/4+INDEX(BookQ3,771)*(5-MIN(4,3+'5. Scenarios'!$B$8))/4+INDEX(BookQ4,771)*(5-MIN(4,4+'5. Scenarios'!$B$8))/4)*'5. Scenarios'!$B$6/(1+ProductivityDefault*('5. Scenarios'!$B$11-1))+INDEX(BookOneOff,771)*$D776)</f>
        <v/>
      </c>
      <c r="I776" s="56" t="str">
        <f aca="false">IF(INDEX(BookTitle,771)="","",INDEX(BookTotal,771)*'5. Scenarios'!$C$6/(1+ProductivityDefault*('5. Scenarios'!$C$11-1)))</f>
        <v/>
      </c>
      <c r="J776" s="57" t="str">
        <f aca="false">IF($I776="","",INDEX(BookRate,771)*(1+'5. Scenarios'!$C$10)*$I776)</f>
        <v/>
      </c>
      <c r="K776" s="57" t="str">
        <f aca="false">IF($J776="","",SUMIFS($J$6:$J$2405,$A$6:$A$2405,"&lt;="&amp;$A776))</f>
        <v/>
      </c>
      <c r="L776" s="57" t="str">
        <f aca="false">IF($J776="","",IF($K776&lt;=BankCostEnvelope*'5. Scenarios'!$C$7,1,0))</f>
        <v/>
      </c>
      <c r="M776" s="57" t="str">
        <f aca="false">IF($I776="","",INDEX(BookRate,771)*(1+'5. Scenarios'!$C$10)*(INDEX(BookQ1,771)*(5-MIN(4,1+'5. Scenarios'!$C$8))/4+INDEX(BookQ2,771)*(5-MIN(4,2+'5. Scenarios'!$C$8))/4+INDEX(BookQ3,771)*(5-MIN(4,3+'5. Scenarios'!$C$8))/4+INDEX(BookQ4,771)*(5-MIN(4,4+'5. Scenarios'!$C$8))/4)*'5. Scenarios'!$C$6/(1+ProductivityDefault*('5. Scenarios'!$C$11-1))+INDEX(BookOneOff,771)*$I776)</f>
        <v/>
      </c>
      <c r="N776" s="56" t="str">
        <f aca="false">IF(INDEX(BookTitle,771)="","",INDEX(BookTotal,771)*'5. Scenarios'!$D$6/(1+ProductivityDefault*('5. Scenarios'!$D$11-1)))</f>
        <v/>
      </c>
      <c r="O776" s="57" t="str">
        <f aca="false">IF($N776="","",INDEX(BookRate,771)*(1+'5. Scenarios'!$D$10)*$N776)</f>
        <v/>
      </c>
      <c r="P776" s="57" t="str">
        <f aca="false">IF($O776="","",SUMIFS($O$6:$O$2405,$A$6:$A$2405,"&lt;="&amp;$A776))</f>
        <v/>
      </c>
      <c r="Q776" s="57" t="str">
        <f aca="false">IF($O776="","",IF($P776&lt;=BankCostEnvelope*'5. Scenarios'!$D$7,1,0))</f>
        <v/>
      </c>
      <c r="R776" s="57" t="str">
        <f aca="false">IF($N776="","",INDEX(BookRate,771)*(1+'5. Scenarios'!$D$10)*(INDEX(BookQ1,771)*(5-MIN(4,1+'5. Scenarios'!$D$8))/4+INDEX(BookQ2,771)*(5-MIN(4,2+'5. Scenarios'!$D$8))/4+INDEX(BookQ3,771)*(5-MIN(4,3+'5. Scenarios'!$D$8))/4+INDEX(BookQ4,771)*(5-MIN(4,4+'5. Scenarios'!$D$8))/4)*'5. Scenarios'!$D$6/(1+ProductivityDefault*('5. Scenarios'!$D$11-1))+INDEX(BookOneOff,771)*$N776)</f>
        <v/>
      </c>
      <c r="S776" s="56" t="str">
        <f aca="false">IF(INDEX(BookTitle,771)="","",INDEX(BookTotal,771)*'5. Scenarios'!$E$6/(1+ProductivityDefault*('5. Scenarios'!$E$11-1)))</f>
        <v/>
      </c>
      <c r="T776" s="57" t="str">
        <f aca="false">IF($S776="","",INDEX(BookRate,771)*(1+'5. Scenarios'!$E$10)*$S776)</f>
        <v/>
      </c>
      <c r="U776" s="57" t="str">
        <f aca="false">IF($T776="","",SUMIFS($T$6:$T$2405,$A$6:$A$2405,"&lt;="&amp;$A776))</f>
        <v/>
      </c>
      <c r="V776" s="57" t="str">
        <f aca="false">IF($T776="","",IF($U776&lt;=BankCostEnvelope*'5. Scenarios'!$E$7,1,0))</f>
        <v/>
      </c>
      <c r="W776" s="57" t="str">
        <f aca="false">IF($S776="","",INDEX(BookRate,771)*(1+'5. Scenarios'!$E$10)*(INDEX(BookQ1,771)*(5-MIN(4,1+'5. Scenarios'!$E$8))/4+INDEX(BookQ2,771)*(5-MIN(4,2+'5. Scenarios'!$E$8))/4+INDEX(BookQ3,771)*(5-MIN(4,3+'5. Scenarios'!$E$8))/4+INDEX(BookQ4,771)*(5-MIN(4,4+'5. Scenarios'!$E$8))/4)*'5. Scenarios'!$E$6/(1+ProductivityDefault*('5. Scenarios'!$E$11-1))+INDEX(BookOneOff,771)*$S776)</f>
        <v/>
      </c>
    </row>
    <row r="777" customFormat="false" ht="15" hidden="false" customHeight="false" outlineLevel="0" collapsed="false">
      <c r="A777" s="0" t="str">
        <f aca="false">IF(INDEX(BookTitle,772)="","",INDEX(BookKey,772))</f>
        <v/>
      </c>
      <c r="B777" s="0" t="str">
        <f aca="false">IF(INDEX(BookTitle,772)="","",INDEX(BookGroup,772))</f>
        <v/>
      </c>
      <c r="C777" s="0" t="str">
        <f aca="false">IF(INDEX(BookTitle,772)="","",INDEX(BookCategory,772))</f>
        <v/>
      </c>
      <c r="D777" s="56" t="str">
        <f aca="false">IF(INDEX(BookTitle,772)="","",INDEX(BookTotal,772)*'5. Scenarios'!$B$6/(1+ProductivityDefault*('5. Scenarios'!$B$11-1)))</f>
        <v/>
      </c>
      <c r="E777" s="57" t="str">
        <f aca="false">IF($D777="","",INDEX(BookRate,772)*(1+'5. Scenarios'!$B$10)*$D777)</f>
        <v/>
      </c>
      <c r="F777" s="57" t="str">
        <f aca="false">IF($E777="","",SUMIFS($E$6:$E$2405,$A$6:$A$2405,"&lt;="&amp;$A777))</f>
        <v/>
      </c>
      <c r="G777" s="57" t="str">
        <f aca="false">IF($E777="","",IF($F777&lt;=BankCostEnvelope*'5. Scenarios'!$B$7,1,0))</f>
        <v/>
      </c>
      <c r="H777" s="57" t="str">
        <f aca="false">IF($D777="","",INDEX(BookRate,772)*(1+'5. Scenarios'!$B$10)*(INDEX(BookQ1,772)*(5-MIN(4,1+'5. Scenarios'!$B$8))/4+INDEX(BookQ2,772)*(5-MIN(4,2+'5. Scenarios'!$B$8))/4+INDEX(BookQ3,772)*(5-MIN(4,3+'5. Scenarios'!$B$8))/4+INDEX(BookQ4,772)*(5-MIN(4,4+'5. Scenarios'!$B$8))/4)*'5. Scenarios'!$B$6/(1+ProductivityDefault*('5. Scenarios'!$B$11-1))+INDEX(BookOneOff,772)*$D777)</f>
        <v/>
      </c>
      <c r="I777" s="56" t="str">
        <f aca="false">IF(INDEX(BookTitle,772)="","",INDEX(BookTotal,772)*'5. Scenarios'!$C$6/(1+ProductivityDefault*('5. Scenarios'!$C$11-1)))</f>
        <v/>
      </c>
      <c r="J777" s="57" t="str">
        <f aca="false">IF($I777="","",INDEX(BookRate,772)*(1+'5. Scenarios'!$C$10)*$I777)</f>
        <v/>
      </c>
      <c r="K777" s="57" t="str">
        <f aca="false">IF($J777="","",SUMIFS($J$6:$J$2405,$A$6:$A$2405,"&lt;="&amp;$A777))</f>
        <v/>
      </c>
      <c r="L777" s="57" t="str">
        <f aca="false">IF($J777="","",IF($K777&lt;=BankCostEnvelope*'5. Scenarios'!$C$7,1,0))</f>
        <v/>
      </c>
      <c r="M777" s="57" t="str">
        <f aca="false">IF($I777="","",INDEX(BookRate,772)*(1+'5. Scenarios'!$C$10)*(INDEX(BookQ1,772)*(5-MIN(4,1+'5. Scenarios'!$C$8))/4+INDEX(BookQ2,772)*(5-MIN(4,2+'5. Scenarios'!$C$8))/4+INDEX(BookQ3,772)*(5-MIN(4,3+'5. Scenarios'!$C$8))/4+INDEX(BookQ4,772)*(5-MIN(4,4+'5. Scenarios'!$C$8))/4)*'5. Scenarios'!$C$6/(1+ProductivityDefault*('5. Scenarios'!$C$11-1))+INDEX(BookOneOff,772)*$I777)</f>
        <v/>
      </c>
      <c r="N777" s="56" t="str">
        <f aca="false">IF(INDEX(BookTitle,772)="","",INDEX(BookTotal,772)*'5. Scenarios'!$D$6/(1+ProductivityDefault*('5. Scenarios'!$D$11-1)))</f>
        <v/>
      </c>
      <c r="O777" s="57" t="str">
        <f aca="false">IF($N777="","",INDEX(BookRate,772)*(1+'5. Scenarios'!$D$10)*$N777)</f>
        <v/>
      </c>
      <c r="P777" s="57" t="str">
        <f aca="false">IF($O777="","",SUMIFS($O$6:$O$2405,$A$6:$A$2405,"&lt;="&amp;$A777))</f>
        <v/>
      </c>
      <c r="Q777" s="57" t="str">
        <f aca="false">IF($O777="","",IF($P777&lt;=BankCostEnvelope*'5. Scenarios'!$D$7,1,0))</f>
        <v/>
      </c>
      <c r="R777" s="57" t="str">
        <f aca="false">IF($N777="","",INDEX(BookRate,772)*(1+'5. Scenarios'!$D$10)*(INDEX(BookQ1,772)*(5-MIN(4,1+'5. Scenarios'!$D$8))/4+INDEX(BookQ2,772)*(5-MIN(4,2+'5. Scenarios'!$D$8))/4+INDEX(BookQ3,772)*(5-MIN(4,3+'5. Scenarios'!$D$8))/4+INDEX(BookQ4,772)*(5-MIN(4,4+'5. Scenarios'!$D$8))/4)*'5. Scenarios'!$D$6/(1+ProductivityDefault*('5. Scenarios'!$D$11-1))+INDEX(BookOneOff,772)*$N777)</f>
        <v/>
      </c>
      <c r="S777" s="56" t="str">
        <f aca="false">IF(INDEX(BookTitle,772)="","",INDEX(BookTotal,772)*'5. Scenarios'!$E$6/(1+ProductivityDefault*('5. Scenarios'!$E$11-1)))</f>
        <v/>
      </c>
      <c r="T777" s="57" t="str">
        <f aca="false">IF($S777="","",INDEX(BookRate,772)*(1+'5. Scenarios'!$E$10)*$S777)</f>
        <v/>
      </c>
      <c r="U777" s="57" t="str">
        <f aca="false">IF($T777="","",SUMIFS($T$6:$T$2405,$A$6:$A$2405,"&lt;="&amp;$A777))</f>
        <v/>
      </c>
      <c r="V777" s="57" t="str">
        <f aca="false">IF($T777="","",IF($U777&lt;=BankCostEnvelope*'5. Scenarios'!$E$7,1,0))</f>
        <v/>
      </c>
      <c r="W777" s="57" t="str">
        <f aca="false">IF($S777="","",INDEX(BookRate,772)*(1+'5. Scenarios'!$E$10)*(INDEX(BookQ1,772)*(5-MIN(4,1+'5. Scenarios'!$E$8))/4+INDEX(BookQ2,772)*(5-MIN(4,2+'5. Scenarios'!$E$8))/4+INDEX(BookQ3,772)*(5-MIN(4,3+'5. Scenarios'!$E$8))/4+INDEX(BookQ4,772)*(5-MIN(4,4+'5. Scenarios'!$E$8))/4)*'5. Scenarios'!$E$6/(1+ProductivityDefault*('5. Scenarios'!$E$11-1))+INDEX(BookOneOff,772)*$S777)</f>
        <v/>
      </c>
    </row>
    <row r="778" customFormat="false" ht="15" hidden="false" customHeight="false" outlineLevel="0" collapsed="false">
      <c r="A778" s="0" t="str">
        <f aca="false">IF(INDEX(BookTitle,773)="","",INDEX(BookKey,773))</f>
        <v/>
      </c>
      <c r="B778" s="0" t="str">
        <f aca="false">IF(INDEX(BookTitle,773)="","",INDEX(BookGroup,773))</f>
        <v/>
      </c>
      <c r="C778" s="0" t="str">
        <f aca="false">IF(INDEX(BookTitle,773)="","",INDEX(BookCategory,773))</f>
        <v/>
      </c>
      <c r="D778" s="56" t="str">
        <f aca="false">IF(INDEX(BookTitle,773)="","",INDEX(BookTotal,773)*'5. Scenarios'!$B$6/(1+ProductivityDefault*('5. Scenarios'!$B$11-1)))</f>
        <v/>
      </c>
      <c r="E778" s="57" t="str">
        <f aca="false">IF($D778="","",INDEX(BookRate,773)*(1+'5. Scenarios'!$B$10)*$D778)</f>
        <v/>
      </c>
      <c r="F778" s="57" t="str">
        <f aca="false">IF($E778="","",SUMIFS($E$6:$E$2405,$A$6:$A$2405,"&lt;="&amp;$A778))</f>
        <v/>
      </c>
      <c r="G778" s="57" t="str">
        <f aca="false">IF($E778="","",IF($F778&lt;=BankCostEnvelope*'5. Scenarios'!$B$7,1,0))</f>
        <v/>
      </c>
      <c r="H778" s="57" t="str">
        <f aca="false">IF($D778="","",INDEX(BookRate,773)*(1+'5. Scenarios'!$B$10)*(INDEX(BookQ1,773)*(5-MIN(4,1+'5. Scenarios'!$B$8))/4+INDEX(BookQ2,773)*(5-MIN(4,2+'5. Scenarios'!$B$8))/4+INDEX(BookQ3,773)*(5-MIN(4,3+'5. Scenarios'!$B$8))/4+INDEX(BookQ4,773)*(5-MIN(4,4+'5. Scenarios'!$B$8))/4)*'5. Scenarios'!$B$6/(1+ProductivityDefault*('5. Scenarios'!$B$11-1))+INDEX(BookOneOff,773)*$D778)</f>
        <v/>
      </c>
      <c r="I778" s="56" t="str">
        <f aca="false">IF(INDEX(BookTitle,773)="","",INDEX(BookTotal,773)*'5. Scenarios'!$C$6/(1+ProductivityDefault*('5. Scenarios'!$C$11-1)))</f>
        <v/>
      </c>
      <c r="J778" s="57" t="str">
        <f aca="false">IF($I778="","",INDEX(BookRate,773)*(1+'5. Scenarios'!$C$10)*$I778)</f>
        <v/>
      </c>
      <c r="K778" s="57" t="str">
        <f aca="false">IF($J778="","",SUMIFS($J$6:$J$2405,$A$6:$A$2405,"&lt;="&amp;$A778))</f>
        <v/>
      </c>
      <c r="L778" s="57" t="str">
        <f aca="false">IF($J778="","",IF($K778&lt;=BankCostEnvelope*'5. Scenarios'!$C$7,1,0))</f>
        <v/>
      </c>
      <c r="M778" s="57" t="str">
        <f aca="false">IF($I778="","",INDEX(BookRate,773)*(1+'5. Scenarios'!$C$10)*(INDEX(BookQ1,773)*(5-MIN(4,1+'5. Scenarios'!$C$8))/4+INDEX(BookQ2,773)*(5-MIN(4,2+'5. Scenarios'!$C$8))/4+INDEX(BookQ3,773)*(5-MIN(4,3+'5. Scenarios'!$C$8))/4+INDEX(BookQ4,773)*(5-MIN(4,4+'5. Scenarios'!$C$8))/4)*'5. Scenarios'!$C$6/(1+ProductivityDefault*('5. Scenarios'!$C$11-1))+INDEX(BookOneOff,773)*$I778)</f>
        <v/>
      </c>
      <c r="N778" s="56" t="str">
        <f aca="false">IF(INDEX(BookTitle,773)="","",INDEX(BookTotal,773)*'5. Scenarios'!$D$6/(1+ProductivityDefault*('5. Scenarios'!$D$11-1)))</f>
        <v/>
      </c>
      <c r="O778" s="57" t="str">
        <f aca="false">IF($N778="","",INDEX(BookRate,773)*(1+'5. Scenarios'!$D$10)*$N778)</f>
        <v/>
      </c>
      <c r="P778" s="57" t="str">
        <f aca="false">IF($O778="","",SUMIFS($O$6:$O$2405,$A$6:$A$2405,"&lt;="&amp;$A778))</f>
        <v/>
      </c>
      <c r="Q778" s="57" t="str">
        <f aca="false">IF($O778="","",IF($P778&lt;=BankCostEnvelope*'5. Scenarios'!$D$7,1,0))</f>
        <v/>
      </c>
      <c r="R778" s="57" t="str">
        <f aca="false">IF($N778="","",INDEX(BookRate,773)*(1+'5. Scenarios'!$D$10)*(INDEX(BookQ1,773)*(5-MIN(4,1+'5. Scenarios'!$D$8))/4+INDEX(BookQ2,773)*(5-MIN(4,2+'5. Scenarios'!$D$8))/4+INDEX(BookQ3,773)*(5-MIN(4,3+'5. Scenarios'!$D$8))/4+INDEX(BookQ4,773)*(5-MIN(4,4+'5. Scenarios'!$D$8))/4)*'5. Scenarios'!$D$6/(1+ProductivityDefault*('5. Scenarios'!$D$11-1))+INDEX(BookOneOff,773)*$N778)</f>
        <v/>
      </c>
      <c r="S778" s="56" t="str">
        <f aca="false">IF(INDEX(BookTitle,773)="","",INDEX(BookTotal,773)*'5. Scenarios'!$E$6/(1+ProductivityDefault*('5. Scenarios'!$E$11-1)))</f>
        <v/>
      </c>
      <c r="T778" s="57" t="str">
        <f aca="false">IF($S778="","",INDEX(BookRate,773)*(1+'5. Scenarios'!$E$10)*$S778)</f>
        <v/>
      </c>
      <c r="U778" s="57" t="str">
        <f aca="false">IF($T778="","",SUMIFS($T$6:$T$2405,$A$6:$A$2405,"&lt;="&amp;$A778))</f>
        <v/>
      </c>
      <c r="V778" s="57" t="str">
        <f aca="false">IF($T778="","",IF($U778&lt;=BankCostEnvelope*'5. Scenarios'!$E$7,1,0))</f>
        <v/>
      </c>
      <c r="W778" s="57" t="str">
        <f aca="false">IF($S778="","",INDEX(BookRate,773)*(1+'5. Scenarios'!$E$10)*(INDEX(BookQ1,773)*(5-MIN(4,1+'5. Scenarios'!$E$8))/4+INDEX(BookQ2,773)*(5-MIN(4,2+'5. Scenarios'!$E$8))/4+INDEX(BookQ3,773)*(5-MIN(4,3+'5. Scenarios'!$E$8))/4+INDEX(BookQ4,773)*(5-MIN(4,4+'5. Scenarios'!$E$8))/4)*'5. Scenarios'!$E$6/(1+ProductivityDefault*('5. Scenarios'!$E$11-1))+INDEX(BookOneOff,773)*$S778)</f>
        <v/>
      </c>
    </row>
    <row r="779" customFormat="false" ht="15" hidden="false" customHeight="false" outlineLevel="0" collapsed="false">
      <c r="A779" s="0" t="str">
        <f aca="false">IF(INDEX(BookTitle,774)="","",INDEX(BookKey,774))</f>
        <v/>
      </c>
      <c r="B779" s="0" t="str">
        <f aca="false">IF(INDEX(BookTitle,774)="","",INDEX(BookGroup,774))</f>
        <v/>
      </c>
      <c r="C779" s="0" t="str">
        <f aca="false">IF(INDEX(BookTitle,774)="","",INDEX(BookCategory,774))</f>
        <v/>
      </c>
      <c r="D779" s="56" t="str">
        <f aca="false">IF(INDEX(BookTitle,774)="","",INDEX(BookTotal,774)*'5. Scenarios'!$B$6/(1+ProductivityDefault*('5. Scenarios'!$B$11-1)))</f>
        <v/>
      </c>
      <c r="E779" s="57" t="str">
        <f aca="false">IF($D779="","",INDEX(BookRate,774)*(1+'5. Scenarios'!$B$10)*$D779)</f>
        <v/>
      </c>
      <c r="F779" s="57" t="str">
        <f aca="false">IF($E779="","",SUMIFS($E$6:$E$2405,$A$6:$A$2405,"&lt;="&amp;$A779))</f>
        <v/>
      </c>
      <c r="G779" s="57" t="str">
        <f aca="false">IF($E779="","",IF($F779&lt;=BankCostEnvelope*'5. Scenarios'!$B$7,1,0))</f>
        <v/>
      </c>
      <c r="H779" s="57" t="str">
        <f aca="false">IF($D779="","",INDEX(BookRate,774)*(1+'5. Scenarios'!$B$10)*(INDEX(BookQ1,774)*(5-MIN(4,1+'5. Scenarios'!$B$8))/4+INDEX(BookQ2,774)*(5-MIN(4,2+'5. Scenarios'!$B$8))/4+INDEX(BookQ3,774)*(5-MIN(4,3+'5. Scenarios'!$B$8))/4+INDEX(BookQ4,774)*(5-MIN(4,4+'5. Scenarios'!$B$8))/4)*'5. Scenarios'!$B$6/(1+ProductivityDefault*('5. Scenarios'!$B$11-1))+INDEX(BookOneOff,774)*$D779)</f>
        <v/>
      </c>
      <c r="I779" s="56" t="str">
        <f aca="false">IF(INDEX(BookTitle,774)="","",INDEX(BookTotal,774)*'5. Scenarios'!$C$6/(1+ProductivityDefault*('5. Scenarios'!$C$11-1)))</f>
        <v/>
      </c>
      <c r="J779" s="57" t="str">
        <f aca="false">IF($I779="","",INDEX(BookRate,774)*(1+'5. Scenarios'!$C$10)*$I779)</f>
        <v/>
      </c>
      <c r="K779" s="57" t="str">
        <f aca="false">IF($J779="","",SUMIFS($J$6:$J$2405,$A$6:$A$2405,"&lt;="&amp;$A779))</f>
        <v/>
      </c>
      <c r="L779" s="57" t="str">
        <f aca="false">IF($J779="","",IF($K779&lt;=BankCostEnvelope*'5. Scenarios'!$C$7,1,0))</f>
        <v/>
      </c>
      <c r="M779" s="57" t="str">
        <f aca="false">IF($I779="","",INDEX(BookRate,774)*(1+'5. Scenarios'!$C$10)*(INDEX(BookQ1,774)*(5-MIN(4,1+'5. Scenarios'!$C$8))/4+INDEX(BookQ2,774)*(5-MIN(4,2+'5. Scenarios'!$C$8))/4+INDEX(BookQ3,774)*(5-MIN(4,3+'5. Scenarios'!$C$8))/4+INDEX(BookQ4,774)*(5-MIN(4,4+'5. Scenarios'!$C$8))/4)*'5. Scenarios'!$C$6/(1+ProductivityDefault*('5. Scenarios'!$C$11-1))+INDEX(BookOneOff,774)*$I779)</f>
        <v/>
      </c>
      <c r="N779" s="56" t="str">
        <f aca="false">IF(INDEX(BookTitle,774)="","",INDEX(BookTotal,774)*'5. Scenarios'!$D$6/(1+ProductivityDefault*('5. Scenarios'!$D$11-1)))</f>
        <v/>
      </c>
      <c r="O779" s="57" t="str">
        <f aca="false">IF($N779="","",INDEX(BookRate,774)*(1+'5. Scenarios'!$D$10)*$N779)</f>
        <v/>
      </c>
      <c r="P779" s="57" t="str">
        <f aca="false">IF($O779="","",SUMIFS($O$6:$O$2405,$A$6:$A$2405,"&lt;="&amp;$A779))</f>
        <v/>
      </c>
      <c r="Q779" s="57" t="str">
        <f aca="false">IF($O779="","",IF($P779&lt;=BankCostEnvelope*'5. Scenarios'!$D$7,1,0))</f>
        <v/>
      </c>
      <c r="R779" s="57" t="str">
        <f aca="false">IF($N779="","",INDEX(BookRate,774)*(1+'5. Scenarios'!$D$10)*(INDEX(BookQ1,774)*(5-MIN(4,1+'5. Scenarios'!$D$8))/4+INDEX(BookQ2,774)*(5-MIN(4,2+'5. Scenarios'!$D$8))/4+INDEX(BookQ3,774)*(5-MIN(4,3+'5. Scenarios'!$D$8))/4+INDEX(BookQ4,774)*(5-MIN(4,4+'5. Scenarios'!$D$8))/4)*'5. Scenarios'!$D$6/(1+ProductivityDefault*('5. Scenarios'!$D$11-1))+INDEX(BookOneOff,774)*$N779)</f>
        <v/>
      </c>
      <c r="S779" s="56" t="str">
        <f aca="false">IF(INDEX(BookTitle,774)="","",INDEX(BookTotal,774)*'5. Scenarios'!$E$6/(1+ProductivityDefault*('5. Scenarios'!$E$11-1)))</f>
        <v/>
      </c>
      <c r="T779" s="57" t="str">
        <f aca="false">IF($S779="","",INDEX(BookRate,774)*(1+'5. Scenarios'!$E$10)*$S779)</f>
        <v/>
      </c>
      <c r="U779" s="57" t="str">
        <f aca="false">IF($T779="","",SUMIFS($T$6:$T$2405,$A$6:$A$2405,"&lt;="&amp;$A779))</f>
        <v/>
      </c>
      <c r="V779" s="57" t="str">
        <f aca="false">IF($T779="","",IF($U779&lt;=BankCostEnvelope*'5. Scenarios'!$E$7,1,0))</f>
        <v/>
      </c>
      <c r="W779" s="57" t="str">
        <f aca="false">IF($S779="","",INDEX(BookRate,774)*(1+'5. Scenarios'!$E$10)*(INDEX(BookQ1,774)*(5-MIN(4,1+'5. Scenarios'!$E$8))/4+INDEX(BookQ2,774)*(5-MIN(4,2+'5. Scenarios'!$E$8))/4+INDEX(BookQ3,774)*(5-MIN(4,3+'5. Scenarios'!$E$8))/4+INDEX(BookQ4,774)*(5-MIN(4,4+'5. Scenarios'!$E$8))/4)*'5. Scenarios'!$E$6/(1+ProductivityDefault*('5. Scenarios'!$E$11-1))+INDEX(BookOneOff,774)*$S779)</f>
        <v/>
      </c>
    </row>
    <row r="780" customFormat="false" ht="15" hidden="false" customHeight="false" outlineLevel="0" collapsed="false">
      <c r="A780" s="0" t="str">
        <f aca="false">IF(INDEX(BookTitle,775)="","",INDEX(BookKey,775))</f>
        <v/>
      </c>
      <c r="B780" s="0" t="str">
        <f aca="false">IF(INDEX(BookTitle,775)="","",INDEX(BookGroup,775))</f>
        <v/>
      </c>
      <c r="C780" s="0" t="str">
        <f aca="false">IF(INDEX(BookTitle,775)="","",INDEX(BookCategory,775))</f>
        <v/>
      </c>
      <c r="D780" s="56" t="str">
        <f aca="false">IF(INDEX(BookTitle,775)="","",INDEX(BookTotal,775)*'5. Scenarios'!$B$6/(1+ProductivityDefault*('5. Scenarios'!$B$11-1)))</f>
        <v/>
      </c>
      <c r="E780" s="57" t="str">
        <f aca="false">IF($D780="","",INDEX(BookRate,775)*(1+'5. Scenarios'!$B$10)*$D780)</f>
        <v/>
      </c>
      <c r="F780" s="57" t="str">
        <f aca="false">IF($E780="","",SUMIFS($E$6:$E$2405,$A$6:$A$2405,"&lt;="&amp;$A780))</f>
        <v/>
      </c>
      <c r="G780" s="57" t="str">
        <f aca="false">IF($E780="","",IF($F780&lt;=BankCostEnvelope*'5. Scenarios'!$B$7,1,0))</f>
        <v/>
      </c>
      <c r="H780" s="57" t="str">
        <f aca="false">IF($D780="","",INDEX(BookRate,775)*(1+'5. Scenarios'!$B$10)*(INDEX(BookQ1,775)*(5-MIN(4,1+'5. Scenarios'!$B$8))/4+INDEX(BookQ2,775)*(5-MIN(4,2+'5. Scenarios'!$B$8))/4+INDEX(BookQ3,775)*(5-MIN(4,3+'5. Scenarios'!$B$8))/4+INDEX(BookQ4,775)*(5-MIN(4,4+'5. Scenarios'!$B$8))/4)*'5. Scenarios'!$B$6/(1+ProductivityDefault*('5. Scenarios'!$B$11-1))+INDEX(BookOneOff,775)*$D780)</f>
        <v/>
      </c>
      <c r="I780" s="56" t="str">
        <f aca="false">IF(INDEX(BookTitle,775)="","",INDEX(BookTotal,775)*'5. Scenarios'!$C$6/(1+ProductivityDefault*('5. Scenarios'!$C$11-1)))</f>
        <v/>
      </c>
      <c r="J780" s="57" t="str">
        <f aca="false">IF($I780="","",INDEX(BookRate,775)*(1+'5. Scenarios'!$C$10)*$I780)</f>
        <v/>
      </c>
      <c r="K780" s="57" t="str">
        <f aca="false">IF($J780="","",SUMIFS($J$6:$J$2405,$A$6:$A$2405,"&lt;="&amp;$A780))</f>
        <v/>
      </c>
      <c r="L780" s="57" t="str">
        <f aca="false">IF($J780="","",IF($K780&lt;=BankCostEnvelope*'5. Scenarios'!$C$7,1,0))</f>
        <v/>
      </c>
      <c r="M780" s="57" t="str">
        <f aca="false">IF($I780="","",INDEX(BookRate,775)*(1+'5. Scenarios'!$C$10)*(INDEX(BookQ1,775)*(5-MIN(4,1+'5. Scenarios'!$C$8))/4+INDEX(BookQ2,775)*(5-MIN(4,2+'5. Scenarios'!$C$8))/4+INDEX(BookQ3,775)*(5-MIN(4,3+'5. Scenarios'!$C$8))/4+INDEX(BookQ4,775)*(5-MIN(4,4+'5. Scenarios'!$C$8))/4)*'5. Scenarios'!$C$6/(1+ProductivityDefault*('5. Scenarios'!$C$11-1))+INDEX(BookOneOff,775)*$I780)</f>
        <v/>
      </c>
      <c r="N780" s="56" t="str">
        <f aca="false">IF(INDEX(BookTitle,775)="","",INDEX(BookTotal,775)*'5. Scenarios'!$D$6/(1+ProductivityDefault*('5. Scenarios'!$D$11-1)))</f>
        <v/>
      </c>
      <c r="O780" s="57" t="str">
        <f aca="false">IF($N780="","",INDEX(BookRate,775)*(1+'5. Scenarios'!$D$10)*$N780)</f>
        <v/>
      </c>
      <c r="P780" s="57" t="str">
        <f aca="false">IF($O780="","",SUMIFS($O$6:$O$2405,$A$6:$A$2405,"&lt;="&amp;$A780))</f>
        <v/>
      </c>
      <c r="Q780" s="57" t="str">
        <f aca="false">IF($O780="","",IF($P780&lt;=BankCostEnvelope*'5. Scenarios'!$D$7,1,0))</f>
        <v/>
      </c>
      <c r="R780" s="57" t="str">
        <f aca="false">IF($N780="","",INDEX(BookRate,775)*(1+'5. Scenarios'!$D$10)*(INDEX(BookQ1,775)*(5-MIN(4,1+'5. Scenarios'!$D$8))/4+INDEX(BookQ2,775)*(5-MIN(4,2+'5. Scenarios'!$D$8))/4+INDEX(BookQ3,775)*(5-MIN(4,3+'5. Scenarios'!$D$8))/4+INDEX(BookQ4,775)*(5-MIN(4,4+'5. Scenarios'!$D$8))/4)*'5. Scenarios'!$D$6/(1+ProductivityDefault*('5. Scenarios'!$D$11-1))+INDEX(BookOneOff,775)*$N780)</f>
        <v/>
      </c>
      <c r="S780" s="56" t="str">
        <f aca="false">IF(INDEX(BookTitle,775)="","",INDEX(BookTotal,775)*'5. Scenarios'!$E$6/(1+ProductivityDefault*('5. Scenarios'!$E$11-1)))</f>
        <v/>
      </c>
      <c r="T780" s="57" t="str">
        <f aca="false">IF($S780="","",INDEX(BookRate,775)*(1+'5. Scenarios'!$E$10)*$S780)</f>
        <v/>
      </c>
      <c r="U780" s="57" t="str">
        <f aca="false">IF($T780="","",SUMIFS($T$6:$T$2405,$A$6:$A$2405,"&lt;="&amp;$A780))</f>
        <v/>
      </c>
      <c r="V780" s="57" t="str">
        <f aca="false">IF($T780="","",IF($U780&lt;=BankCostEnvelope*'5. Scenarios'!$E$7,1,0))</f>
        <v/>
      </c>
      <c r="W780" s="57" t="str">
        <f aca="false">IF($S780="","",INDEX(BookRate,775)*(1+'5. Scenarios'!$E$10)*(INDEX(BookQ1,775)*(5-MIN(4,1+'5. Scenarios'!$E$8))/4+INDEX(BookQ2,775)*(5-MIN(4,2+'5. Scenarios'!$E$8))/4+INDEX(BookQ3,775)*(5-MIN(4,3+'5. Scenarios'!$E$8))/4+INDEX(BookQ4,775)*(5-MIN(4,4+'5. Scenarios'!$E$8))/4)*'5. Scenarios'!$E$6/(1+ProductivityDefault*('5. Scenarios'!$E$11-1))+INDEX(BookOneOff,775)*$S780)</f>
        <v/>
      </c>
    </row>
    <row r="781" customFormat="false" ht="15" hidden="false" customHeight="false" outlineLevel="0" collapsed="false">
      <c r="A781" s="0" t="str">
        <f aca="false">IF(INDEX(BookTitle,776)="","",INDEX(BookKey,776))</f>
        <v/>
      </c>
      <c r="B781" s="0" t="str">
        <f aca="false">IF(INDEX(BookTitle,776)="","",INDEX(BookGroup,776))</f>
        <v/>
      </c>
      <c r="C781" s="0" t="str">
        <f aca="false">IF(INDEX(BookTitle,776)="","",INDEX(BookCategory,776))</f>
        <v/>
      </c>
      <c r="D781" s="56" t="str">
        <f aca="false">IF(INDEX(BookTitle,776)="","",INDEX(BookTotal,776)*'5. Scenarios'!$B$6/(1+ProductivityDefault*('5. Scenarios'!$B$11-1)))</f>
        <v/>
      </c>
      <c r="E781" s="57" t="str">
        <f aca="false">IF($D781="","",INDEX(BookRate,776)*(1+'5. Scenarios'!$B$10)*$D781)</f>
        <v/>
      </c>
      <c r="F781" s="57" t="str">
        <f aca="false">IF($E781="","",SUMIFS($E$6:$E$2405,$A$6:$A$2405,"&lt;="&amp;$A781))</f>
        <v/>
      </c>
      <c r="G781" s="57" t="str">
        <f aca="false">IF($E781="","",IF($F781&lt;=BankCostEnvelope*'5. Scenarios'!$B$7,1,0))</f>
        <v/>
      </c>
      <c r="H781" s="57" t="str">
        <f aca="false">IF($D781="","",INDEX(BookRate,776)*(1+'5. Scenarios'!$B$10)*(INDEX(BookQ1,776)*(5-MIN(4,1+'5. Scenarios'!$B$8))/4+INDEX(BookQ2,776)*(5-MIN(4,2+'5. Scenarios'!$B$8))/4+INDEX(BookQ3,776)*(5-MIN(4,3+'5. Scenarios'!$B$8))/4+INDEX(BookQ4,776)*(5-MIN(4,4+'5. Scenarios'!$B$8))/4)*'5. Scenarios'!$B$6/(1+ProductivityDefault*('5. Scenarios'!$B$11-1))+INDEX(BookOneOff,776)*$D781)</f>
        <v/>
      </c>
      <c r="I781" s="56" t="str">
        <f aca="false">IF(INDEX(BookTitle,776)="","",INDEX(BookTotal,776)*'5. Scenarios'!$C$6/(1+ProductivityDefault*('5. Scenarios'!$C$11-1)))</f>
        <v/>
      </c>
      <c r="J781" s="57" t="str">
        <f aca="false">IF($I781="","",INDEX(BookRate,776)*(1+'5. Scenarios'!$C$10)*$I781)</f>
        <v/>
      </c>
      <c r="K781" s="57" t="str">
        <f aca="false">IF($J781="","",SUMIFS($J$6:$J$2405,$A$6:$A$2405,"&lt;="&amp;$A781))</f>
        <v/>
      </c>
      <c r="L781" s="57" t="str">
        <f aca="false">IF($J781="","",IF($K781&lt;=BankCostEnvelope*'5. Scenarios'!$C$7,1,0))</f>
        <v/>
      </c>
      <c r="M781" s="57" t="str">
        <f aca="false">IF($I781="","",INDEX(BookRate,776)*(1+'5. Scenarios'!$C$10)*(INDEX(BookQ1,776)*(5-MIN(4,1+'5. Scenarios'!$C$8))/4+INDEX(BookQ2,776)*(5-MIN(4,2+'5. Scenarios'!$C$8))/4+INDEX(BookQ3,776)*(5-MIN(4,3+'5. Scenarios'!$C$8))/4+INDEX(BookQ4,776)*(5-MIN(4,4+'5. Scenarios'!$C$8))/4)*'5. Scenarios'!$C$6/(1+ProductivityDefault*('5. Scenarios'!$C$11-1))+INDEX(BookOneOff,776)*$I781)</f>
        <v/>
      </c>
      <c r="N781" s="56" t="str">
        <f aca="false">IF(INDEX(BookTitle,776)="","",INDEX(BookTotal,776)*'5. Scenarios'!$D$6/(1+ProductivityDefault*('5. Scenarios'!$D$11-1)))</f>
        <v/>
      </c>
      <c r="O781" s="57" t="str">
        <f aca="false">IF($N781="","",INDEX(BookRate,776)*(1+'5. Scenarios'!$D$10)*$N781)</f>
        <v/>
      </c>
      <c r="P781" s="57" t="str">
        <f aca="false">IF($O781="","",SUMIFS($O$6:$O$2405,$A$6:$A$2405,"&lt;="&amp;$A781))</f>
        <v/>
      </c>
      <c r="Q781" s="57" t="str">
        <f aca="false">IF($O781="","",IF($P781&lt;=BankCostEnvelope*'5. Scenarios'!$D$7,1,0))</f>
        <v/>
      </c>
      <c r="R781" s="57" t="str">
        <f aca="false">IF($N781="","",INDEX(BookRate,776)*(1+'5. Scenarios'!$D$10)*(INDEX(BookQ1,776)*(5-MIN(4,1+'5. Scenarios'!$D$8))/4+INDEX(BookQ2,776)*(5-MIN(4,2+'5. Scenarios'!$D$8))/4+INDEX(BookQ3,776)*(5-MIN(4,3+'5. Scenarios'!$D$8))/4+INDEX(BookQ4,776)*(5-MIN(4,4+'5. Scenarios'!$D$8))/4)*'5. Scenarios'!$D$6/(1+ProductivityDefault*('5. Scenarios'!$D$11-1))+INDEX(BookOneOff,776)*$N781)</f>
        <v/>
      </c>
      <c r="S781" s="56" t="str">
        <f aca="false">IF(INDEX(BookTitle,776)="","",INDEX(BookTotal,776)*'5. Scenarios'!$E$6/(1+ProductivityDefault*('5. Scenarios'!$E$11-1)))</f>
        <v/>
      </c>
      <c r="T781" s="57" t="str">
        <f aca="false">IF($S781="","",INDEX(BookRate,776)*(1+'5. Scenarios'!$E$10)*$S781)</f>
        <v/>
      </c>
      <c r="U781" s="57" t="str">
        <f aca="false">IF($T781="","",SUMIFS($T$6:$T$2405,$A$6:$A$2405,"&lt;="&amp;$A781))</f>
        <v/>
      </c>
      <c r="V781" s="57" t="str">
        <f aca="false">IF($T781="","",IF($U781&lt;=BankCostEnvelope*'5. Scenarios'!$E$7,1,0))</f>
        <v/>
      </c>
      <c r="W781" s="57" t="str">
        <f aca="false">IF($S781="","",INDEX(BookRate,776)*(1+'5. Scenarios'!$E$10)*(INDEX(BookQ1,776)*(5-MIN(4,1+'5. Scenarios'!$E$8))/4+INDEX(BookQ2,776)*(5-MIN(4,2+'5. Scenarios'!$E$8))/4+INDEX(BookQ3,776)*(5-MIN(4,3+'5. Scenarios'!$E$8))/4+INDEX(BookQ4,776)*(5-MIN(4,4+'5. Scenarios'!$E$8))/4)*'5. Scenarios'!$E$6/(1+ProductivityDefault*('5. Scenarios'!$E$11-1))+INDEX(BookOneOff,776)*$S781)</f>
        <v/>
      </c>
    </row>
    <row r="782" customFormat="false" ht="15" hidden="false" customHeight="false" outlineLevel="0" collapsed="false">
      <c r="A782" s="0" t="str">
        <f aca="false">IF(INDEX(BookTitle,777)="","",INDEX(BookKey,777))</f>
        <v/>
      </c>
      <c r="B782" s="0" t="str">
        <f aca="false">IF(INDEX(BookTitle,777)="","",INDEX(BookGroup,777))</f>
        <v/>
      </c>
      <c r="C782" s="0" t="str">
        <f aca="false">IF(INDEX(BookTitle,777)="","",INDEX(BookCategory,777))</f>
        <v/>
      </c>
      <c r="D782" s="56" t="str">
        <f aca="false">IF(INDEX(BookTitle,777)="","",INDEX(BookTotal,777)*'5. Scenarios'!$B$6/(1+ProductivityDefault*('5. Scenarios'!$B$11-1)))</f>
        <v/>
      </c>
      <c r="E782" s="57" t="str">
        <f aca="false">IF($D782="","",INDEX(BookRate,777)*(1+'5. Scenarios'!$B$10)*$D782)</f>
        <v/>
      </c>
      <c r="F782" s="57" t="str">
        <f aca="false">IF($E782="","",SUMIFS($E$6:$E$2405,$A$6:$A$2405,"&lt;="&amp;$A782))</f>
        <v/>
      </c>
      <c r="G782" s="57" t="str">
        <f aca="false">IF($E782="","",IF($F782&lt;=BankCostEnvelope*'5. Scenarios'!$B$7,1,0))</f>
        <v/>
      </c>
      <c r="H782" s="57" t="str">
        <f aca="false">IF($D782="","",INDEX(BookRate,777)*(1+'5. Scenarios'!$B$10)*(INDEX(BookQ1,777)*(5-MIN(4,1+'5. Scenarios'!$B$8))/4+INDEX(BookQ2,777)*(5-MIN(4,2+'5. Scenarios'!$B$8))/4+INDEX(BookQ3,777)*(5-MIN(4,3+'5. Scenarios'!$B$8))/4+INDEX(BookQ4,777)*(5-MIN(4,4+'5. Scenarios'!$B$8))/4)*'5. Scenarios'!$B$6/(1+ProductivityDefault*('5. Scenarios'!$B$11-1))+INDEX(BookOneOff,777)*$D782)</f>
        <v/>
      </c>
      <c r="I782" s="56" t="str">
        <f aca="false">IF(INDEX(BookTitle,777)="","",INDEX(BookTotal,777)*'5. Scenarios'!$C$6/(1+ProductivityDefault*('5. Scenarios'!$C$11-1)))</f>
        <v/>
      </c>
      <c r="J782" s="57" t="str">
        <f aca="false">IF($I782="","",INDEX(BookRate,777)*(1+'5. Scenarios'!$C$10)*$I782)</f>
        <v/>
      </c>
      <c r="K782" s="57" t="str">
        <f aca="false">IF($J782="","",SUMIFS($J$6:$J$2405,$A$6:$A$2405,"&lt;="&amp;$A782))</f>
        <v/>
      </c>
      <c r="L782" s="57" t="str">
        <f aca="false">IF($J782="","",IF($K782&lt;=BankCostEnvelope*'5. Scenarios'!$C$7,1,0))</f>
        <v/>
      </c>
      <c r="M782" s="57" t="str">
        <f aca="false">IF($I782="","",INDEX(BookRate,777)*(1+'5. Scenarios'!$C$10)*(INDEX(BookQ1,777)*(5-MIN(4,1+'5. Scenarios'!$C$8))/4+INDEX(BookQ2,777)*(5-MIN(4,2+'5. Scenarios'!$C$8))/4+INDEX(BookQ3,777)*(5-MIN(4,3+'5. Scenarios'!$C$8))/4+INDEX(BookQ4,777)*(5-MIN(4,4+'5. Scenarios'!$C$8))/4)*'5. Scenarios'!$C$6/(1+ProductivityDefault*('5. Scenarios'!$C$11-1))+INDEX(BookOneOff,777)*$I782)</f>
        <v/>
      </c>
      <c r="N782" s="56" t="str">
        <f aca="false">IF(INDEX(BookTitle,777)="","",INDEX(BookTotal,777)*'5. Scenarios'!$D$6/(1+ProductivityDefault*('5. Scenarios'!$D$11-1)))</f>
        <v/>
      </c>
      <c r="O782" s="57" t="str">
        <f aca="false">IF($N782="","",INDEX(BookRate,777)*(1+'5. Scenarios'!$D$10)*$N782)</f>
        <v/>
      </c>
      <c r="P782" s="57" t="str">
        <f aca="false">IF($O782="","",SUMIFS($O$6:$O$2405,$A$6:$A$2405,"&lt;="&amp;$A782))</f>
        <v/>
      </c>
      <c r="Q782" s="57" t="str">
        <f aca="false">IF($O782="","",IF($P782&lt;=BankCostEnvelope*'5. Scenarios'!$D$7,1,0))</f>
        <v/>
      </c>
      <c r="R782" s="57" t="str">
        <f aca="false">IF($N782="","",INDEX(BookRate,777)*(1+'5. Scenarios'!$D$10)*(INDEX(BookQ1,777)*(5-MIN(4,1+'5. Scenarios'!$D$8))/4+INDEX(BookQ2,777)*(5-MIN(4,2+'5. Scenarios'!$D$8))/4+INDEX(BookQ3,777)*(5-MIN(4,3+'5. Scenarios'!$D$8))/4+INDEX(BookQ4,777)*(5-MIN(4,4+'5. Scenarios'!$D$8))/4)*'5. Scenarios'!$D$6/(1+ProductivityDefault*('5. Scenarios'!$D$11-1))+INDEX(BookOneOff,777)*$N782)</f>
        <v/>
      </c>
      <c r="S782" s="56" t="str">
        <f aca="false">IF(INDEX(BookTitle,777)="","",INDEX(BookTotal,777)*'5. Scenarios'!$E$6/(1+ProductivityDefault*('5. Scenarios'!$E$11-1)))</f>
        <v/>
      </c>
      <c r="T782" s="57" t="str">
        <f aca="false">IF($S782="","",INDEX(BookRate,777)*(1+'5. Scenarios'!$E$10)*$S782)</f>
        <v/>
      </c>
      <c r="U782" s="57" t="str">
        <f aca="false">IF($T782="","",SUMIFS($T$6:$T$2405,$A$6:$A$2405,"&lt;="&amp;$A782))</f>
        <v/>
      </c>
      <c r="V782" s="57" t="str">
        <f aca="false">IF($T782="","",IF($U782&lt;=BankCostEnvelope*'5. Scenarios'!$E$7,1,0))</f>
        <v/>
      </c>
      <c r="W782" s="57" t="str">
        <f aca="false">IF($S782="","",INDEX(BookRate,777)*(1+'5. Scenarios'!$E$10)*(INDEX(BookQ1,777)*(5-MIN(4,1+'5. Scenarios'!$E$8))/4+INDEX(BookQ2,777)*(5-MIN(4,2+'5. Scenarios'!$E$8))/4+INDEX(BookQ3,777)*(5-MIN(4,3+'5. Scenarios'!$E$8))/4+INDEX(BookQ4,777)*(5-MIN(4,4+'5. Scenarios'!$E$8))/4)*'5. Scenarios'!$E$6/(1+ProductivityDefault*('5. Scenarios'!$E$11-1))+INDEX(BookOneOff,777)*$S782)</f>
        <v/>
      </c>
    </row>
    <row r="783" customFormat="false" ht="15" hidden="false" customHeight="false" outlineLevel="0" collapsed="false">
      <c r="A783" s="0" t="str">
        <f aca="false">IF(INDEX(BookTitle,778)="","",INDEX(BookKey,778))</f>
        <v/>
      </c>
      <c r="B783" s="0" t="str">
        <f aca="false">IF(INDEX(BookTitle,778)="","",INDEX(BookGroup,778))</f>
        <v/>
      </c>
      <c r="C783" s="0" t="str">
        <f aca="false">IF(INDEX(BookTitle,778)="","",INDEX(BookCategory,778))</f>
        <v/>
      </c>
      <c r="D783" s="56" t="str">
        <f aca="false">IF(INDEX(BookTitle,778)="","",INDEX(BookTotal,778)*'5. Scenarios'!$B$6/(1+ProductivityDefault*('5. Scenarios'!$B$11-1)))</f>
        <v/>
      </c>
      <c r="E783" s="57" t="str">
        <f aca="false">IF($D783="","",INDEX(BookRate,778)*(1+'5. Scenarios'!$B$10)*$D783)</f>
        <v/>
      </c>
      <c r="F783" s="57" t="str">
        <f aca="false">IF($E783="","",SUMIFS($E$6:$E$2405,$A$6:$A$2405,"&lt;="&amp;$A783))</f>
        <v/>
      </c>
      <c r="G783" s="57" t="str">
        <f aca="false">IF($E783="","",IF($F783&lt;=BankCostEnvelope*'5. Scenarios'!$B$7,1,0))</f>
        <v/>
      </c>
      <c r="H783" s="57" t="str">
        <f aca="false">IF($D783="","",INDEX(BookRate,778)*(1+'5. Scenarios'!$B$10)*(INDEX(BookQ1,778)*(5-MIN(4,1+'5. Scenarios'!$B$8))/4+INDEX(BookQ2,778)*(5-MIN(4,2+'5. Scenarios'!$B$8))/4+INDEX(BookQ3,778)*(5-MIN(4,3+'5. Scenarios'!$B$8))/4+INDEX(BookQ4,778)*(5-MIN(4,4+'5. Scenarios'!$B$8))/4)*'5. Scenarios'!$B$6/(1+ProductivityDefault*('5. Scenarios'!$B$11-1))+INDEX(BookOneOff,778)*$D783)</f>
        <v/>
      </c>
      <c r="I783" s="56" t="str">
        <f aca="false">IF(INDEX(BookTitle,778)="","",INDEX(BookTotal,778)*'5. Scenarios'!$C$6/(1+ProductivityDefault*('5. Scenarios'!$C$11-1)))</f>
        <v/>
      </c>
      <c r="J783" s="57" t="str">
        <f aca="false">IF($I783="","",INDEX(BookRate,778)*(1+'5. Scenarios'!$C$10)*$I783)</f>
        <v/>
      </c>
      <c r="K783" s="57" t="str">
        <f aca="false">IF($J783="","",SUMIFS($J$6:$J$2405,$A$6:$A$2405,"&lt;="&amp;$A783))</f>
        <v/>
      </c>
      <c r="L783" s="57" t="str">
        <f aca="false">IF($J783="","",IF($K783&lt;=BankCostEnvelope*'5. Scenarios'!$C$7,1,0))</f>
        <v/>
      </c>
      <c r="M783" s="57" t="str">
        <f aca="false">IF($I783="","",INDEX(BookRate,778)*(1+'5. Scenarios'!$C$10)*(INDEX(BookQ1,778)*(5-MIN(4,1+'5. Scenarios'!$C$8))/4+INDEX(BookQ2,778)*(5-MIN(4,2+'5. Scenarios'!$C$8))/4+INDEX(BookQ3,778)*(5-MIN(4,3+'5. Scenarios'!$C$8))/4+INDEX(BookQ4,778)*(5-MIN(4,4+'5. Scenarios'!$C$8))/4)*'5. Scenarios'!$C$6/(1+ProductivityDefault*('5. Scenarios'!$C$11-1))+INDEX(BookOneOff,778)*$I783)</f>
        <v/>
      </c>
      <c r="N783" s="56" t="str">
        <f aca="false">IF(INDEX(BookTitle,778)="","",INDEX(BookTotal,778)*'5. Scenarios'!$D$6/(1+ProductivityDefault*('5. Scenarios'!$D$11-1)))</f>
        <v/>
      </c>
      <c r="O783" s="57" t="str">
        <f aca="false">IF($N783="","",INDEX(BookRate,778)*(1+'5. Scenarios'!$D$10)*$N783)</f>
        <v/>
      </c>
      <c r="P783" s="57" t="str">
        <f aca="false">IF($O783="","",SUMIFS($O$6:$O$2405,$A$6:$A$2405,"&lt;="&amp;$A783))</f>
        <v/>
      </c>
      <c r="Q783" s="57" t="str">
        <f aca="false">IF($O783="","",IF($P783&lt;=BankCostEnvelope*'5. Scenarios'!$D$7,1,0))</f>
        <v/>
      </c>
      <c r="R783" s="57" t="str">
        <f aca="false">IF($N783="","",INDEX(BookRate,778)*(1+'5. Scenarios'!$D$10)*(INDEX(BookQ1,778)*(5-MIN(4,1+'5. Scenarios'!$D$8))/4+INDEX(BookQ2,778)*(5-MIN(4,2+'5. Scenarios'!$D$8))/4+INDEX(BookQ3,778)*(5-MIN(4,3+'5. Scenarios'!$D$8))/4+INDEX(BookQ4,778)*(5-MIN(4,4+'5. Scenarios'!$D$8))/4)*'5. Scenarios'!$D$6/(1+ProductivityDefault*('5. Scenarios'!$D$11-1))+INDEX(BookOneOff,778)*$N783)</f>
        <v/>
      </c>
      <c r="S783" s="56" t="str">
        <f aca="false">IF(INDEX(BookTitle,778)="","",INDEX(BookTotal,778)*'5. Scenarios'!$E$6/(1+ProductivityDefault*('5. Scenarios'!$E$11-1)))</f>
        <v/>
      </c>
      <c r="T783" s="57" t="str">
        <f aca="false">IF($S783="","",INDEX(BookRate,778)*(1+'5. Scenarios'!$E$10)*$S783)</f>
        <v/>
      </c>
      <c r="U783" s="57" t="str">
        <f aca="false">IF($T783="","",SUMIFS($T$6:$T$2405,$A$6:$A$2405,"&lt;="&amp;$A783))</f>
        <v/>
      </c>
      <c r="V783" s="57" t="str">
        <f aca="false">IF($T783="","",IF($U783&lt;=BankCostEnvelope*'5. Scenarios'!$E$7,1,0))</f>
        <v/>
      </c>
      <c r="W783" s="57" t="str">
        <f aca="false">IF($S783="","",INDEX(BookRate,778)*(1+'5. Scenarios'!$E$10)*(INDEX(BookQ1,778)*(5-MIN(4,1+'5. Scenarios'!$E$8))/4+INDEX(BookQ2,778)*(5-MIN(4,2+'5. Scenarios'!$E$8))/4+INDEX(BookQ3,778)*(5-MIN(4,3+'5. Scenarios'!$E$8))/4+INDEX(BookQ4,778)*(5-MIN(4,4+'5. Scenarios'!$E$8))/4)*'5. Scenarios'!$E$6/(1+ProductivityDefault*('5. Scenarios'!$E$11-1))+INDEX(BookOneOff,778)*$S783)</f>
        <v/>
      </c>
    </row>
    <row r="784" customFormat="false" ht="15" hidden="false" customHeight="false" outlineLevel="0" collapsed="false">
      <c r="A784" s="0" t="str">
        <f aca="false">IF(INDEX(BookTitle,779)="","",INDEX(BookKey,779))</f>
        <v/>
      </c>
      <c r="B784" s="0" t="str">
        <f aca="false">IF(INDEX(BookTitle,779)="","",INDEX(BookGroup,779))</f>
        <v/>
      </c>
      <c r="C784" s="0" t="str">
        <f aca="false">IF(INDEX(BookTitle,779)="","",INDEX(BookCategory,779))</f>
        <v/>
      </c>
      <c r="D784" s="56" t="str">
        <f aca="false">IF(INDEX(BookTitle,779)="","",INDEX(BookTotal,779)*'5. Scenarios'!$B$6/(1+ProductivityDefault*('5. Scenarios'!$B$11-1)))</f>
        <v/>
      </c>
      <c r="E784" s="57" t="str">
        <f aca="false">IF($D784="","",INDEX(BookRate,779)*(1+'5. Scenarios'!$B$10)*$D784)</f>
        <v/>
      </c>
      <c r="F784" s="57" t="str">
        <f aca="false">IF($E784="","",SUMIFS($E$6:$E$2405,$A$6:$A$2405,"&lt;="&amp;$A784))</f>
        <v/>
      </c>
      <c r="G784" s="57" t="str">
        <f aca="false">IF($E784="","",IF($F784&lt;=BankCostEnvelope*'5. Scenarios'!$B$7,1,0))</f>
        <v/>
      </c>
      <c r="H784" s="57" t="str">
        <f aca="false">IF($D784="","",INDEX(BookRate,779)*(1+'5. Scenarios'!$B$10)*(INDEX(BookQ1,779)*(5-MIN(4,1+'5. Scenarios'!$B$8))/4+INDEX(BookQ2,779)*(5-MIN(4,2+'5. Scenarios'!$B$8))/4+INDEX(BookQ3,779)*(5-MIN(4,3+'5. Scenarios'!$B$8))/4+INDEX(BookQ4,779)*(5-MIN(4,4+'5. Scenarios'!$B$8))/4)*'5. Scenarios'!$B$6/(1+ProductivityDefault*('5. Scenarios'!$B$11-1))+INDEX(BookOneOff,779)*$D784)</f>
        <v/>
      </c>
      <c r="I784" s="56" t="str">
        <f aca="false">IF(INDEX(BookTitle,779)="","",INDEX(BookTotal,779)*'5. Scenarios'!$C$6/(1+ProductivityDefault*('5. Scenarios'!$C$11-1)))</f>
        <v/>
      </c>
      <c r="J784" s="57" t="str">
        <f aca="false">IF($I784="","",INDEX(BookRate,779)*(1+'5. Scenarios'!$C$10)*$I784)</f>
        <v/>
      </c>
      <c r="K784" s="57" t="str">
        <f aca="false">IF($J784="","",SUMIFS($J$6:$J$2405,$A$6:$A$2405,"&lt;="&amp;$A784))</f>
        <v/>
      </c>
      <c r="L784" s="57" t="str">
        <f aca="false">IF($J784="","",IF($K784&lt;=BankCostEnvelope*'5. Scenarios'!$C$7,1,0))</f>
        <v/>
      </c>
      <c r="M784" s="57" t="str">
        <f aca="false">IF($I784="","",INDEX(BookRate,779)*(1+'5. Scenarios'!$C$10)*(INDEX(BookQ1,779)*(5-MIN(4,1+'5. Scenarios'!$C$8))/4+INDEX(BookQ2,779)*(5-MIN(4,2+'5. Scenarios'!$C$8))/4+INDEX(BookQ3,779)*(5-MIN(4,3+'5. Scenarios'!$C$8))/4+INDEX(BookQ4,779)*(5-MIN(4,4+'5. Scenarios'!$C$8))/4)*'5. Scenarios'!$C$6/(1+ProductivityDefault*('5. Scenarios'!$C$11-1))+INDEX(BookOneOff,779)*$I784)</f>
        <v/>
      </c>
      <c r="N784" s="56" t="str">
        <f aca="false">IF(INDEX(BookTitle,779)="","",INDEX(BookTotal,779)*'5. Scenarios'!$D$6/(1+ProductivityDefault*('5. Scenarios'!$D$11-1)))</f>
        <v/>
      </c>
      <c r="O784" s="57" t="str">
        <f aca="false">IF($N784="","",INDEX(BookRate,779)*(1+'5. Scenarios'!$D$10)*$N784)</f>
        <v/>
      </c>
      <c r="P784" s="57" t="str">
        <f aca="false">IF($O784="","",SUMIFS($O$6:$O$2405,$A$6:$A$2405,"&lt;="&amp;$A784))</f>
        <v/>
      </c>
      <c r="Q784" s="57" t="str">
        <f aca="false">IF($O784="","",IF($P784&lt;=BankCostEnvelope*'5. Scenarios'!$D$7,1,0))</f>
        <v/>
      </c>
      <c r="R784" s="57" t="str">
        <f aca="false">IF($N784="","",INDEX(BookRate,779)*(1+'5. Scenarios'!$D$10)*(INDEX(BookQ1,779)*(5-MIN(4,1+'5. Scenarios'!$D$8))/4+INDEX(BookQ2,779)*(5-MIN(4,2+'5. Scenarios'!$D$8))/4+INDEX(BookQ3,779)*(5-MIN(4,3+'5. Scenarios'!$D$8))/4+INDEX(BookQ4,779)*(5-MIN(4,4+'5. Scenarios'!$D$8))/4)*'5. Scenarios'!$D$6/(1+ProductivityDefault*('5. Scenarios'!$D$11-1))+INDEX(BookOneOff,779)*$N784)</f>
        <v/>
      </c>
      <c r="S784" s="56" t="str">
        <f aca="false">IF(INDEX(BookTitle,779)="","",INDEX(BookTotal,779)*'5. Scenarios'!$E$6/(1+ProductivityDefault*('5. Scenarios'!$E$11-1)))</f>
        <v/>
      </c>
      <c r="T784" s="57" t="str">
        <f aca="false">IF($S784="","",INDEX(BookRate,779)*(1+'5. Scenarios'!$E$10)*$S784)</f>
        <v/>
      </c>
      <c r="U784" s="57" t="str">
        <f aca="false">IF($T784="","",SUMIFS($T$6:$T$2405,$A$6:$A$2405,"&lt;="&amp;$A784))</f>
        <v/>
      </c>
      <c r="V784" s="57" t="str">
        <f aca="false">IF($T784="","",IF($U784&lt;=BankCostEnvelope*'5. Scenarios'!$E$7,1,0))</f>
        <v/>
      </c>
      <c r="W784" s="57" t="str">
        <f aca="false">IF($S784="","",INDEX(BookRate,779)*(1+'5. Scenarios'!$E$10)*(INDEX(BookQ1,779)*(5-MIN(4,1+'5. Scenarios'!$E$8))/4+INDEX(BookQ2,779)*(5-MIN(4,2+'5. Scenarios'!$E$8))/4+INDEX(BookQ3,779)*(5-MIN(4,3+'5. Scenarios'!$E$8))/4+INDEX(BookQ4,779)*(5-MIN(4,4+'5. Scenarios'!$E$8))/4)*'5. Scenarios'!$E$6/(1+ProductivityDefault*('5. Scenarios'!$E$11-1))+INDEX(BookOneOff,779)*$S784)</f>
        <v/>
      </c>
    </row>
    <row r="785" customFormat="false" ht="15" hidden="false" customHeight="false" outlineLevel="0" collapsed="false">
      <c r="A785" s="0" t="str">
        <f aca="false">IF(INDEX(BookTitle,780)="","",INDEX(BookKey,780))</f>
        <v/>
      </c>
      <c r="B785" s="0" t="str">
        <f aca="false">IF(INDEX(BookTitle,780)="","",INDEX(BookGroup,780))</f>
        <v/>
      </c>
      <c r="C785" s="0" t="str">
        <f aca="false">IF(INDEX(BookTitle,780)="","",INDEX(BookCategory,780))</f>
        <v/>
      </c>
      <c r="D785" s="56" t="str">
        <f aca="false">IF(INDEX(BookTitle,780)="","",INDEX(BookTotal,780)*'5. Scenarios'!$B$6/(1+ProductivityDefault*('5. Scenarios'!$B$11-1)))</f>
        <v/>
      </c>
      <c r="E785" s="57" t="str">
        <f aca="false">IF($D785="","",INDEX(BookRate,780)*(1+'5. Scenarios'!$B$10)*$D785)</f>
        <v/>
      </c>
      <c r="F785" s="57" t="str">
        <f aca="false">IF($E785="","",SUMIFS($E$6:$E$2405,$A$6:$A$2405,"&lt;="&amp;$A785))</f>
        <v/>
      </c>
      <c r="G785" s="57" t="str">
        <f aca="false">IF($E785="","",IF($F785&lt;=BankCostEnvelope*'5. Scenarios'!$B$7,1,0))</f>
        <v/>
      </c>
      <c r="H785" s="57" t="str">
        <f aca="false">IF($D785="","",INDEX(BookRate,780)*(1+'5. Scenarios'!$B$10)*(INDEX(BookQ1,780)*(5-MIN(4,1+'5. Scenarios'!$B$8))/4+INDEX(BookQ2,780)*(5-MIN(4,2+'5. Scenarios'!$B$8))/4+INDEX(BookQ3,780)*(5-MIN(4,3+'5. Scenarios'!$B$8))/4+INDEX(BookQ4,780)*(5-MIN(4,4+'5. Scenarios'!$B$8))/4)*'5. Scenarios'!$B$6/(1+ProductivityDefault*('5. Scenarios'!$B$11-1))+INDEX(BookOneOff,780)*$D785)</f>
        <v/>
      </c>
      <c r="I785" s="56" t="str">
        <f aca="false">IF(INDEX(BookTitle,780)="","",INDEX(BookTotal,780)*'5. Scenarios'!$C$6/(1+ProductivityDefault*('5. Scenarios'!$C$11-1)))</f>
        <v/>
      </c>
      <c r="J785" s="57" t="str">
        <f aca="false">IF($I785="","",INDEX(BookRate,780)*(1+'5. Scenarios'!$C$10)*$I785)</f>
        <v/>
      </c>
      <c r="K785" s="57" t="str">
        <f aca="false">IF($J785="","",SUMIFS($J$6:$J$2405,$A$6:$A$2405,"&lt;="&amp;$A785))</f>
        <v/>
      </c>
      <c r="L785" s="57" t="str">
        <f aca="false">IF($J785="","",IF($K785&lt;=BankCostEnvelope*'5. Scenarios'!$C$7,1,0))</f>
        <v/>
      </c>
      <c r="M785" s="57" t="str">
        <f aca="false">IF($I785="","",INDEX(BookRate,780)*(1+'5. Scenarios'!$C$10)*(INDEX(BookQ1,780)*(5-MIN(4,1+'5. Scenarios'!$C$8))/4+INDEX(BookQ2,780)*(5-MIN(4,2+'5. Scenarios'!$C$8))/4+INDEX(BookQ3,780)*(5-MIN(4,3+'5. Scenarios'!$C$8))/4+INDEX(BookQ4,780)*(5-MIN(4,4+'5. Scenarios'!$C$8))/4)*'5. Scenarios'!$C$6/(1+ProductivityDefault*('5. Scenarios'!$C$11-1))+INDEX(BookOneOff,780)*$I785)</f>
        <v/>
      </c>
      <c r="N785" s="56" t="str">
        <f aca="false">IF(INDEX(BookTitle,780)="","",INDEX(BookTotal,780)*'5. Scenarios'!$D$6/(1+ProductivityDefault*('5. Scenarios'!$D$11-1)))</f>
        <v/>
      </c>
      <c r="O785" s="57" t="str">
        <f aca="false">IF($N785="","",INDEX(BookRate,780)*(1+'5. Scenarios'!$D$10)*$N785)</f>
        <v/>
      </c>
      <c r="P785" s="57" t="str">
        <f aca="false">IF($O785="","",SUMIFS($O$6:$O$2405,$A$6:$A$2405,"&lt;="&amp;$A785))</f>
        <v/>
      </c>
      <c r="Q785" s="57" t="str">
        <f aca="false">IF($O785="","",IF($P785&lt;=BankCostEnvelope*'5. Scenarios'!$D$7,1,0))</f>
        <v/>
      </c>
      <c r="R785" s="57" t="str">
        <f aca="false">IF($N785="","",INDEX(BookRate,780)*(1+'5. Scenarios'!$D$10)*(INDEX(BookQ1,780)*(5-MIN(4,1+'5. Scenarios'!$D$8))/4+INDEX(BookQ2,780)*(5-MIN(4,2+'5. Scenarios'!$D$8))/4+INDEX(BookQ3,780)*(5-MIN(4,3+'5. Scenarios'!$D$8))/4+INDEX(BookQ4,780)*(5-MIN(4,4+'5. Scenarios'!$D$8))/4)*'5. Scenarios'!$D$6/(1+ProductivityDefault*('5. Scenarios'!$D$11-1))+INDEX(BookOneOff,780)*$N785)</f>
        <v/>
      </c>
      <c r="S785" s="56" t="str">
        <f aca="false">IF(INDEX(BookTitle,780)="","",INDEX(BookTotal,780)*'5. Scenarios'!$E$6/(1+ProductivityDefault*('5. Scenarios'!$E$11-1)))</f>
        <v/>
      </c>
      <c r="T785" s="57" t="str">
        <f aca="false">IF($S785="","",INDEX(BookRate,780)*(1+'5. Scenarios'!$E$10)*$S785)</f>
        <v/>
      </c>
      <c r="U785" s="57" t="str">
        <f aca="false">IF($T785="","",SUMIFS($T$6:$T$2405,$A$6:$A$2405,"&lt;="&amp;$A785))</f>
        <v/>
      </c>
      <c r="V785" s="57" t="str">
        <f aca="false">IF($T785="","",IF($U785&lt;=BankCostEnvelope*'5. Scenarios'!$E$7,1,0))</f>
        <v/>
      </c>
      <c r="W785" s="57" t="str">
        <f aca="false">IF($S785="","",INDEX(BookRate,780)*(1+'5. Scenarios'!$E$10)*(INDEX(BookQ1,780)*(5-MIN(4,1+'5. Scenarios'!$E$8))/4+INDEX(BookQ2,780)*(5-MIN(4,2+'5. Scenarios'!$E$8))/4+INDEX(BookQ3,780)*(5-MIN(4,3+'5. Scenarios'!$E$8))/4+INDEX(BookQ4,780)*(5-MIN(4,4+'5. Scenarios'!$E$8))/4)*'5. Scenarios'!$E$6/(1+ProductivityDefault*('5. Scenarios'!$E$11-1))+INDEX(BookOneOff,780)*$S785)</f>
        <v/>
      </c>
    </row>
    <row r="786" customFormat="false" ht="15" hidden="false" customHeight="false" outlineLevel="0" collapsed="false">
      <c r="A786" s="0" t="str">
        <f aca="false">IF(INDEX(BookTitle,781)="","",INDEX(BookKey,781))</f>
        <v/>
      </c>
      <c r="B786" s="0" t="str">
        <f aca="false">IF(INDEX(BookTitle,781)="","",INDEX(BookGroup,781))</f>
        <v/>
      </c>
      <c r="C786" s="0" t="str">
        <f aca="false">IF(INDEX(BookTitle,781)="","",INDEX(BookCategory,781))</f>
        <v/>
      </c>
      <c r="D786" s="56" t="str">
        <f aca="false">IF(INDEX(BookTitle,781)="","",INDEX(BookTotal,781)*'5. Scenarios'!$B$6/(1+ProductivityDefault*('5. Scenarios'!$B$11-1)))</f>
        <v/>
      </c>
      <c r="E786" s="57" t="str">
        <f aca="false">IF($D786="","",INDEX(BookRate,781)*(1+'5. Scenarios'!$B$10)*$D786)</f>
        <v/>
      </c>
      <c r="F786" s="57" t="str">
        <f aca="false">IF($E786="","",SUMIFS($E$6:$E$2405,$A$6:$A$2405,"&lt;="&amp;$A786))</f>
        <v/>
      </c>
      <c r="G786" s="57" t="str">
        <f aca="false">IF($E786="","",IF($F786&lt;=BankCostEnvelope*'5. Scenarios'!$B$7,1,0))</f>
        <v/>
      </c>
      <c r="H786" s="57" t="str">
        <f aca="false">IF($D786="","",INDEX(BookRate,781)*(1+'5. Scenarios'!$B$10)*(INDEX(BookQ1,781)*(5-MIN(4,1+'5. Scenarios'!$B$8))/4+INDEX(BookQ2,781)*(5-MIN(4,2+'5. Scenarios'!$B$8))/4+INDEX(BookQ3,781)*(5-MIN(4,3+'5. Scenarios'!$B$8))/4+INDEX(BookQ4,781)*(5-MIN(4,4+'5. Scenarios'!$B$8))/4)*'5. Scenarios'!$B$6/(1+ProductivityDefault*('5. Scenarios'!$B$11-1))+INDEX(BookOneOff,781)*$D786)</f>
        <v/>
      </c>
      <c r="I786" s="56" t="str">
        <f aca="false">IF(INDEX(BookTitle,781)="","",INDEX(BookTotal,781)*'5. Scenarios'!$C$6/(1+ProductivityDefault*('5. Scenarios'!$C$11-1)))</f>
        <v/>
      </c>
      <c r="J786" s="57" t="str">
        <f aca="false">IF($I786="","",INDEX(BookRate,781)*(1+'5. Scenarios'!$C$10)*$I786)</f>
        <v/>
      </c>
      <c r="K786" s="57" t="str">
        <f aca="false">IF($J786="","",SUMIFS($J$6:$J$2405,$A$6:$A$2405,"&lt;="&amp;$A786))</f>
        <v/>
      </c>
      <c r="L786" s="57" t="str">
        <f aca="false">IF($J786="","",IF($K786&lt;=BankCostEnvelope*'5. Scenarios'!$C$7,1,0))</f>
        <v/>
      </c>
      <c r="M786" s="57" t="str">
        <f aca="false">IF($I786="","",INDEX(BookRate,781)*(1+'5. Scenarios'!$C$10)*(INDEX(BookQ1,781)*(5-MIN(4,1+'5. Scenarios'!$C$8))/4+INDEX(BookQ2,781)*(5-MIN(4,2+'5. Scenarios'!$C$8))/4+INDEX(BookQ3,781)*(5-MIN(4,3+'5. Scenarios'!$C$8))/4+INDEX(BookQ4,781)*(5-MIN(4,4+'5. Scenarios'!$C$8))/4)*'5. Scenarios'!$C$6/(1+ProductivityDefault*('5. Scenarios'!$C$11-1))+INDEX(BookOneOff,781)*$I786)</f>
        <v/>
      </c>
      <c r="N786" s="56" t="str">
        <f aca="false">IF(INDEX(BookTitle,781)="","",INDEX(BookTotal,781)*'5. Scenarios'!$D$6/(1+ProductivityDefault*('5. Scenarios'!$D$11-1)))</f>
        <v/>
      </c>
      <c r="O786" s="57" t="str">
        <f aca="false">IF($N786="","",INDEX(BookRate,781)*(1+'5. Scenarios'!$D$10)*$N786)</f>
        <v/>
      </c>
      <c r="P786" s="57" t="str">
        <f aca="false">IF($O786="","",SUMIFS($O$6:$O$2405,$A$6:$A$2405,"&lt;="&amp;$A786))</f>
        <v/>
      </c>
      <c r="Q786" s="57" t="str">
        <f aca="false">IF($O786="","",IF($P786&lt;=BankCostEnvelope*'5. Scenarios'!$D$7,1,0))</f>
        <v/>
      </c>
      <c r="R786" s="57" t="str">
        <f aca="false">IF($N786="","",INDEX(BookRate,781)*(1+'5. Scenarios'!$D$10)*(INDEX(BookQ1,781)*(5-MIN(4,1+'5. Scenarios'!$D$8))/4+INDEX(BookQ2,781)*(5-MIN(4,2+'5. Scenarios'!$D$8))/4+INDEX(BookQ3,781)*(5-MIN(4,3+'5. Scenarios'!$D$8))/4+INDEX(BookQ4,781)*(5-MIN(4,4+'5. Scenarios'!$D$8))/4)*'5. Scenarios'!$D$6/(1+ProductivityDefault*('5. Scenarios'!$D$11-1))+INDEX(BookOneOff,781)*$N786)</f>
        <v/>
      </c>
      <c r="S786" s="56" t="str">
        <f aca="false">IF(INDEX(BookTitle,781)="","",INDEX(BookTotal,781)*'5. Scenarios'!$E$6/(1+ProductivityDefault*('5. Scenarios'!$E$11-1)))</f>
        <v/>
      </c>
      <c r="T786" s="57" t="str">
        <f aca="false">IF($S786="","",INDEX(BookRate,781)*(1+'5. Scenarios'!$E$10)*$S786)</f>
        <v/>
      </c>
      <c r="U786" s="57" t="str">
        <f aca="false">IF($T786="","",SUMIFS($T$6:$T$2405,$A$6:$A$2405,"&lt;="&amp;$A786))</f>
        <v/>
      </c>
      <c r="V786" s="57" t="str">
        <f aca="false">IF($T786="","",IF($U786&lt;=BankCostEnvelope*'5. Scenarios'!$E$7,1,0))</f>
        <v/>
      </c>
      <c r="W786" s="57" t="str">
        <f aca="false">IF($S786="","",INDEX(BookRate,781)*(1+'5. Scenarios'!$E$10)*(INDEX(BookQ1,781)*(5-MIN(4,1+'5. Scenarios'!$E$8))/4+INDEX(BookQ2,781)*(5-MIN(4,2+'5. Scenarios'!$E$8))/4+INDEX(BookQ3,781)*(5-MIN(4,3+'5. Scenarios'!$E$8))/4+INDEX(BookQ4,781)*(5-MIN(4,4+'5. Scenarios'!$E$8))/4)*'5. Scenarios'!$E$6/(1+ProductivityDefault*('5. Scenarios'!$E$11-1))+INDEX(BookOneOff,781)*$S786)</f>
        <v/>
      </c>
    </row>
    <row r="787" customFormat="false" ht="15" hidden="false" customHeight="false" outlineLevel="0" collapsed="false">
      <c r="A787" s="0" t="str">
        <f aca="false">IF(INDEX(BookTitle,782)="","",INDEX(BookKey,782))</f>
        <v/>
      </c>
      <c r="B787" s="0" t="str">
        <f aca="false">IF(INDEX(BookTitle,782)="","",INDEX(BookGroup,782))</f>
        <v/>
      </c>
      <c r="C787" s="0" t="str">
        <f aca="false">IF(INDEX(BookTitle,782)="","",INDEX(BookCategory,782))</f>
        <v/>
      </c>
      <c r="D787" s="56" t="str">
        <f aca="false">IF(INDEX(BookTitle,782)="","",INDEX(BookTotal,782)*'5. Scenarios'!$B$6/(1+ProductivityDefault*('5. Scenarios'!$B$11-1)))</f>
        <v/>
      </c>
      <c r="E787" s="57" t="str">
        <f aca="false">IF($D787="","",INDEX(BookRate,782)*(1+'5. Scenarios'!$B$10)*$D787)</f>
        <v/>
      </c>
      <c r="F787" s="57" t="str">
        <f aca="false">IF($E787="","",SUMIFS($E$6:$E$2405,$A$6:$A$2405,"&lt;="&amp;$A787))</f>
        <v/>
      </c>
      <c r="G787" s="57" t="str">
        <f aca="false">IF($E787="","",IF($F787&lt;=BankCostEnvelope*'5. Scenarios'!$B$7,1,0))</f>
        <v/>
      </c>
      <c r="H787" s="57" t="str">
        <f aca="false">IF($D787="","",INDEX(BookRate,782)*(1+'5. Scenarios'!$B$10)*(INDEX(BookQ1,782)*(5-MIN(4,1+'5. Scenarios'!$B$8))/4+INDEX(BookQ2,782)*(5-MIN(4,2+'5. Scenarios'!$B$8))/4+INDEX(BookQ3,782)*(5-MIN(4,3+'5. Scenarios'!$B$8))/4+INDEX(BookQ4,782)*(5-MIN(4,4+'5. Scenarios'!$B$8))/4)*'5. Scenarios'!$B$6/(1+ProductivityDefault*('5. Scenarios'!$B$11-1))+INDEX(BookOneOff,782)*$D787)</f>
        <v/>
      </c>
      <c r="I787" s="56" t="str">
        <f aca="false">IF(INDEX(BookTitle,782)="","",INDEX(BookTotal,782)*'5. Scenarios'!$C$6/(1+ProductivityDefault*('5. Scenarios'!$C$11-1)))</f>
        <v/>
      </c>
      <c r="J787" s="57" t="str">
        <f aca="false">IF($I787="","",INDEX(BookRate,782)*(1+'5. Scenarios'!$C$10)*$I787)</f>
        <v/>
      </c>
      <c r="K787" s="57" t="str">
        <f aca="false">IF($J787="","",SUMIFS($J$6:$J$2405,$A$6:$A$2405,"&lt;="&amp;$A787))</f>
        <v/>
      </c>
      <c r="L787" s="57" t="str">
        <f aca="false">IF($J787="","",IF($K787&lt;=BankCostEnvelope*'5. Scenarios'!$C$7,1,0))</f>
        <v/>
      </c>
      <c r="M787" s="57" t="str">
        <f aca="false">IF($I787="","",INDEX(BookRate,782)*(1+'5. Scenarios'!$C$10)*(INDEX(BookQ1,782)*(5-MIN(4,1+'5. Scenarios'!$C$8))/4+INDEX(BookQ2,782)*(5-MIN(4,2+'5. Scenarios'!$C$8))/4+INDEX(BookQ3,782)*(5-MIN(4,3+'5. Scenarios'!$C$8))/4+INDEX(BookQ4,782)*(5-MIN(4,4+'5. Scenarios'!$C$8))/4)*'5. Scenarios'!$C$6/(1+ProductivityDefault*('5. Scenarios'!$C$11-1))+INDEX(BookOneOff,782)*$I787)</f>
        <v/>
      </c>
      <c r="N787" s="56" t="str">
        <f aca="false">IF(INDEX(BookTitle,782)="","",INDEX(BookTotal,782)*'5. Scenarios'!$D$6/(1+ProductivityDefault*('5. Scenarios'!$D$11-1)))</f>
        <v/>
      </c>
      <c r="O787" s="57" t="str">
        <f aca="false">IF($N787="","",INDEX(BookRate,782)*(1+'5. Scenarios'!$D$10)*$N787)</f>
        <v/>
      </c>
      <c r="P787" s="57" t="str">
        <f aca="false">IF($O787="","",SUMIFS($O$6:$O$2405,$A$6:$A$2405,"&lt;="&amp;$A787))</f>
        <v/>
      </c>
      <c r="Q787" s="57" t="str">
        <f aca="false">IF($O787="","",IF($P787&lt;=BankCostEnvelope*'5. Scenarios'!$D$7,1,0))</f>
        <v/>
      </c>
      <c r="R787" s="57" t="str">
        <f aca="false">IF($N787="","",INDEX(BookRate,782)*(1+'5. Scenarios'!$D$10)*(INDEX(BookQ1,782)*(5-MIN(4,1+'5. Scenarios'!$D$8))/4+INDEX(BookQ2,782)*(5-MIN(4,2+'5. Scenarios'!$D$8))/4+INDEX(BookQ3,782)*(5-MIN(4,3+'5. Scenarios'!$D$8))/4+INDEX(BookQ4,782)*(5-MIN(4,4+'5. Scenarios'!$D$8))/4)*'5. Scenarios'!$D$6/(1+ProductivityDefault*('5. Scenarios'!$D$11-1))+INDEX(BookOneOff,782)*$N787)</f>
        <v/>
      </c>
      <c r="S787" s="56" t="str">
        <f aca="false">IF(INDEX(BookTitle,782)="","",INDEX(BookTotal,782)*'5. Scenarios'!$E$6/(1+ProductivityDefault*('5. Scenarios'!$E$11-1)))</f>
        <v/>
      </c>
      <c r="T787" s="57" t="str">
        <f aca="false">IF($S787="","",INDEX(BookRate,782)*(1+'5. Scenarios'!$E$10)*$S787)</f>
        <v/>
      </c>
      <c r="U787" s="57" t="str">
        <f aca="false">IF($T787="","",SUMIFS($T$6:$T$2405,$A$6:$A$2405,"&lt;="&amp;$A787))</f>
        <v/>
      </c>
      <c r="V787" s="57" t="str">
        <f aca="false">IF($T787="","",IF($U787&lt;=BankCostEnvelope*'5. Scenarios'!$E$7,1,0))</f>
        <v/>
      </c>
      <c r="W787" s="57" t="str">
        <f aca="false">IF($S787="","",INDEX(BookRate,782)*(1+'5. Scenarios'!$E$10)*(INDEX(BookQ1,782)*(5-MIN(4,1+'5. Scenarios'!$E$8))/4+INDEX(BookQ2,782)*(5-MIN(4,2+'5. Scenarios'!$E$8))/4+INDEX(BookQ3,782)*(5-MIN(4,3+'5. Scenarios'!$E$8))/4+INDEX(BookQ4,782)*(5-MIN(4,4+'5. Scenarios'!$E$8))/4)*'5. Scenarios'!$E$6/(1+ProductivityDefault*('5. Scenarios'!$E$11-1))+INDEX(BookOneOff,782)*$S787)</f>
        <v/>
      </c>
    </row>
    <row r="788" customFormat="false" ht="15" hidden="false" customHeight="false" outlineLevel="0" collapsed="false">
      <c r="A788" s="0" t="str">
        <f aca="false">IF(INDEX(BookTitle,783)="","",INDEX(BookKey,783))</f>
        <v/>
      </c>
      <c r="B788" s="0" t="str">
        <f aca="false">IF(INDEX(BookTitle,783)="","",INDEX(BookGroup,783))</f>
        <v/>
      </c>
      <c r="C788" s="0" t="str">
        <f aca="false">IF(INDEX(BookTitle,783)="","",INDEX(BookCategory,783))</f>
        <v/>
      </c>
      <c r="D788" s="56" t="str">
        <f aca="false">IF(INDEX(BookTitle,783)="","",INDEX(BookTotal,783)*'5. Scenarios'!$B$6/(1+ProductivityDefault*('5. Scenarios'!$B$11-1)))</f>
        <v/>
      </c>
      <c r="E788" s="57" t="str">
        <f aca="false">IF($D788="","",INDEX(BookRate,783)*(1+'5. Scenarios'!$B$10)*$D788)</f>
        <v/>
      </c>
      <c r="F788" s="57" t="str">
        <f aca="false">IF($E788="","",SUMIFS($E$6:$E$2405,$A$6:$A$2405,"&lt;="&amp;$A788))</f>
        <v/>
      </c>
      <c r="G788" s="57" t="str">
        <f aca="false">IF($E788="","",IF($F788&lt;=BankCostEnvelope*'5. Scenarios'!$B$7,1,0))</f>
        <v/>
      </c>
      <c r="H788" s="57" t="str">
        <f aca="false">IF($D788="","",INDEX(BookRate,783)*(1+'5. Scenarios'!$B$10)*(INDEX(BookQ1,783)*(5-MIN(4,1+'5. Scenarios'!$B$8))/4+INDEX(BookQ2,783)*(5-MIN(4,2+'5. Scenarios'!$B$8))/4+INDEX(BookQ3,783)*(5-MIN(4,3+'5. Scenarios'!$B$8))/4+INDEX(BookQ4,783)*(5-MIN(4,4+'5. Scenarios'!$B$8))/4)*'5. Scenarios'!$B$6/(1+ProductivityDefault*('5. Scenarios'!$B$11-1))+INDEX(BookOneOff,783)*$D788)</f>
        <v/>
      </c>
      <c r="I788" s="56" t="str">
        <f aca="false">IF(INDEX(BookTitle,783)="","",INDEX(BookTotal,783)*'5. Scenarios'!$C$6/(1+ProductivityDefault*('5. Scenarios'!$C$11-1)))</f>
        <v/>
      </c>
      <c r="J788" s="57" t="str">
        <f aca="false">IF($I788="","",INDEX(BookRate,783)*(1+'5. Scenarios'!$C$10)*$I788)</f>
        <v/>
      </c>
      <c r="K788" s="57" t="str">
        <f aca="false">IF($J788="","",SUMIFS($J$6:$J$2405,$A$6:$A$2405,"&lt;="&amp;$A788))</f>
        <v/>
      </c>
      <c r="L788" s="57" t="str">
        <f aca="false">IF($J788="","",IF($K788&lt;=BankCostEnvelope*'5. Scenarios'!$C$7,1,0))</f>
        <v/>
      </c>
      <c r="M788" s="57" t="str">
        <f aca="false">IF($I788="","",INDEX(BookRate,783)*(1+'5. Scenarios'!$C$10)*(INDEX(BookQ1,783)*(5-MIN(4,1+'5. Scenarios'!$C$8))/4+INDEX(BookQ2,783)*(5-MIN(4,2+'5. Scenarios'!$C$8))/4+INDEX(BookQ3,783)*(5-MIN(4,3+'5. Scenarios'!$C$8))/4+INDEX(BookQ4,783)*(5-MIN(4,4+'5. Scenarios'!$C$8))/4)*'5. Scenarios'!$C$6/(1+ProductivityDefault*('5. Scenarios'!$C$11-1))+INDEX(BookOneOff,783)*$I788)</f>
        <v/>
      </c>
      <c r="N788" s="56" t="str">
        <f aca="false">IF(INDEX(BookTitle,783)="","",INDEX(BookTotal,783)*'5. Scenarios'!$D$6/(1+ProductivityDefault*('5. Scenarios'!$D$11-1)))</f>
        <v/>
      </c>
      <c r="O788" s="57" t="str">
        <f aca="false">IF($N788="","",INDEX(BookRate,783)*(1+'5. Scenarios'!$D$10)*$N788)</f>
        <v/>
      </c>
      <c r="P788" s="57" t="str">
        <f aca="false">IF($O788="","",SUMIFS($O$6:$O$2405,$A$6:$A$2405,"&lt;="&amp;$A788))</f>
        <v/>
      </c>
      <c r="Q788" s="57" t="str">
        <f aca="false">IF($O788="","",IF($P788&lt;=BankCostEnvelope*'5. Scenarios'!$D$7,1,0))</f>
        <v/>
      </c>
      <c r="R788" s="57" t="str">
        <f aca="false">IF($N788="","",INDEX(BookRate,783)*(1+'5. Scenarios'!$D$10)*(INDEX(BookQ1,783)*(5-MIN(4,1+'5. Scenarios'!$D$8))/4+INDEX(BookQ2,783)*(5-MIN(4,2+'5. Scenarios'!$D$8))/4+INDEX(BookQ3,783)*(5-MIN(4,3+'5. Scenarios'!$D$8))/4+INDEX(BookQ4,783)*(5-MIN(4,4+'5. Scenarios'!$D$8))/4)*'5. Scenarios'!$D$6/(1+ProductivityDefault*('5. Scenarios'!$D$11-1))+INDEX(BookOneOff,783)*$N788)</f>
        <v/>
      </c>
      <c r="S788" s="56" t="str">
        <f aca="false">IF(INDEX(BookTitle,783)="","",INDEX(BookTotal,783)*'5. Scenarios'!$E$6/(1+ProductivityDefault*('5. Scenarios'!$E$11-1)))</f>
        <v/>
      </c>
      <c r="T788" s="57" t="str">
        <f aca="false">IF($S788="","",INDEX(BookRate,783)*(1+'5. Scenarios'!$E$10)*$S788)</f>
        <v/>
      </c>
      <c r="U788" s="57" t="str">
        <f aca="false">IF($T788="","",SUMIFS($T$6:$T$2405,$A$6:$A$2405,"&lt;="&amp;$A788))</f>
        <v/>
      </c>
      <c r="V788" s="57" t="str">
        <f aca="false">IF($T788="","",IF($U788&lt;=BankCostEnvelope*'5. Scenarios'!$E$7,1,0))</f>
        <v/>
      </c>
      <c r="W788" s="57" t="str">
        <f aca="false">IF($S788="","",INDEX(BookRate,783)*(1+'5. Scenarios'!$E$10)*(INDEX(BookQ1,783)*(5-MIN(4,1+'5. Scenarios'!$E$8))/4+INDEX(BookQ2,783)*(5-MIN(4,2+'5. Scenarios'!$E$8))/4+INDEX(BookQ3,783)*(5-MIN(4,3+'5. Scenarios'!$E$8))/4+INDEX(BookQ4,783)*(5-MIN(4,4+'5. Scenarios'!$E$8))/4)*'5. Scenarios'!$E$6/(1+ProductivityDefault*('5. Scenarios'!$E$11-1))+INDEX(BookOneOff,783)*$S788)</f>
        <v/>
      </c>
    </row>
    <row r="789" customFormat="false" ht="15" hidden="false" customHeight="false" outlineLevel="0" collapsed="false">
      <c r="A789" s="0" t="str">
        <f aca="false">IF(INDEX(BookTitle,784)="","",INDEX(BookKey,784))</f>
        <v/>
      </c>
      <c r="B789" s="0" t="str">
        <f aca="false">IF(INDEX(BookTitle,784)="","",INDEX(BookGroup,784))</f>
        <v/>
      </c>
      <c r="C789" s="0" t="str">
        <f aca="false">IF(INDEX(BookTitle,784)="","",INDEX(BookCategory,784))</f>
        <v/>
      </c>
      <c r="D789" s="56" t="str">
        <f aca="false">IF(INDEX(BookTitle,784)="","",INDEX(BookTotal,784)*'5. Scenarios'!$B$6/(1+ProductivityDefault*('5. Scenarios'!$B$11-1)))</f>
        <v/>
      </c>
      <c r="E789" s="57" t="str">
        <f aca="false">IF($D789="","",INDEX(BookRate,784)*(1+'5. Scenarios'!$B$10)*$D789)</f>
        <v/>
      </c>
      <c r="F789" s="57" t="str">
        <f aca="false">IF($E789="","",SUMIFS($E$6:$E$2405,$A$6:$A$2405,"&lt;="&amp;$A789))</f>
        <v/>
      </c>
      <c r="G789" s="57" t="str">
        <f aca="false">IF($E789="","",IF($F789&lt;=BankCostEnvelope*'5. Scenarios'!$B$7,1,0))</f>
        <v/>
      </c>
      <c r="H789" s="57" t="str">
        <f aca="false">IF($D789="","",INDEX(BookRate,784)*(1+'5. Scenarios'!$B$10)*(INDEX(BookQ1,784)*(5-MIN(4,1+'5. Scenarios'!$B$8))/4+INDEX(BookQ2,784)*(5-MIN(4,2+'5. Scenarios'!$B$8))/4+INDEX(BookQ3,784)*(5-MIN(4,3+'5. Scenarios'!$B$8))/4+INDEX(BookQ4,784)*(5-MIN(4,4+'5. Scenarios'!$B$8))/4)*'5. Scenarios'!$B$6/(1+ProductivityDefault*('5. Scenarios'!$B$11-1))+INDEX(BookOneOff,784)*$D789)</f>
        <v/>
      </c>
      <c r="I789" s="56" t="str">
        <f aca="false">IF(INDEX(BookTitle,784)="","",INDEX(BookTotal,784)*'5. Scenarios'!$C$6/(1+ProductivityDefault*('5. Scenarios'!$C$11-1)))</f>
        <v/>
      </c>
      <c r="J789" s="57" t="str">
        <f aca="false">IF($I789="","",INDEX(BookRate,784)*(1+'5. Scenarios'!$C$10)*$I789)</f>
        <v/>
      </c>
      <c r="K789" s="57" t="str">
        <f aca="false">IF($J789="","",SUMIFS($J$6:$J$2405,$A$6:$A$2405,"&lt;="&amp;$A789))</f>
        <v/>
      </c>
      <c r="L789" s="57" t="str">
        <f aca="false">IF($J789="","",IF($K789&lt;=BankCostEnvelope*'5. Scenarios'!$C$7,1,0))</f>
        <v/>
      </c>
      <c r="M789" s="57" t="str">
        <f aca="false">IF($I789="","",INDEX(BookRate,784)*(1+'5. Scenarios'!$C$10)*(INDEX(BookQ1,784)*(5-MIN(4,1+'5. Scenarios'!$C$8))/4+INDEX(BookQ2,784)*(5-MIN(4,2+'5. Scenarios'!$C$8))/4+INDEX(BookQ3,784)*(5-MIN(4,3+'5. Scenarios'!$C$8))/4+INDEX(BookQ4,784)*(5-MIN(4,4+'5. Scenarios'!$C$8))/4)*'5. Scenarios'!$C$6/(1+ProductivityDefault*('5. Scenarios'!$C$11-1))+INDEX(BookOneOff,784)*$I789)</f>
        <v/>
      </c>
      <c r="N789" s="56" t="str">
        <f aca="false">IF(INDEX(BookTitle,784)="","",INDEX(BookTotal,784)*'5. Scenarios'!$D$6/(1+ProductivityDefault*('5. Scenarios'!$D$11-1)))</f>
        <v/>
      </c>
      <c r="O789" s="57" t="str">
        <f aca="false">IF($N789="","",INDEX(BookRate,784)*(1+'5. Scenarios'!$D$10)*$N789)</f>
        <v/>
      </c>
      <c r="P789" s="57" t="str">
        <f aca="false">IF($O789="","",SUMIFS($O$6:$O$2405,$A$6:$A$2405,"&lt;="&amp;$A789))</f>
        <v/>
      </c>
      <c r="Q789" s="57" t="str">
        <f aca="false">IF($O789="","",IF($P789&lt;=BankCostEnvelope*'5. Scenarios'!$D$7,1,0))</f>
        <v/>
      </c>
      <c r="R789" s="57" t="str">
        <f aca="false">IF($N789="","",INDEX(BookRate,784)*(1+'5. Scenarios'!$D$10)*(INDEX(BookQ1,784)*(5-MIN(4,1+'5. Scenarios'!$D$8))/4+INDEX(BookQ2,784)*(5-MIN(4,2+'5. Scenarios'!$D$8))/4+INDEX(BookQ3,784)*(5-MIN(4,3+'5. Scenarios'!$D$8))/4+INDEX(BookQ4,784)*(5-MIN(4,4+'5. Scenarios'!$D$8))/4)*'5. Scenarios'!$D$6/(1+ProductivityDefault*('5. Scenarios'!$D$11-1))+INDEX(BookOneOff,784)*$N789)</f>
        <v/>
      </c>
      <c r="S789" s="56" t="str">
        <f aca="false">IF(INDEX(BookTitle,784)="","",INDEX(BookTotal,784)*'5. Scenarios'!$E$6/(1+ProductivityDefault*('5. Scenarios'!$E$11-1)))</f>
        <v/>
      </c>
      <c r="T789" s="57" t="str">
        <f aca="false">IF($S789="","",INDEX(BookRate,784)*(1+'5. Scenarios'!$E$10)*$S789)</f>
        <v/>
      </c>
      <c r="U789" s="57" t="str">
        <f aca="false">IF($T789="","",SUMIFS($T$6:$T$2405,$A$6:$A$2405,"&lt;="&amp;$A789))</f>
        <v/>
      </c>
      <c r="V789" s="57" t="str">
        <f aca="false">IF($T789="","",IF($U789&lt;=BankCostEnvelope*'5. Scenarios'!$E$7,1,0))</f>
        <v/>
      </c>
      <c r="W789" s="57" t="str">
        <f aca="false">IF($S789="","",INDEX(BookRate,784)*(1+'5. Scenarios'!$E$10)*(INDEX(BookQ1,784)*(5-MIN(4,1+'5. Scenarios'!$E$8))/4+INDEX(BookQ2,784)*(5-MIN(4,2+'5. Scenarios'!$E$8))/4+INDEX(BookQ3,784)*(5-MIN(4,3+'5. Scenarios'!$E$8))/4+INDEX(BookQ4,784)*(5-MIN(4,4+'5. Scenarios'!$E$8))/4)*'5. Scenarios'!$E$6/(1+ProductivityDefault*('5. Scenarios'!$E$11-1))+INDEX(BookOneOff,784)*$S789)</f>
        <v/>
      </c>
    </row>
    <row r="790" customFormat="false" ht="15" hidden="false" customHeight="false" outlineLevel="0" collapsed="false">
      <c r="A790" s="0" t="str">
        <f aca="false">IF(INDEX(BookTitle,785)="","",INDEX(BookKey,785))</f>
        <v/>
      </c>
      <c r="B790" s="0" t="str">
        <f aca="false">IF(INDEX(BookTitle,785)="","",INDEX(BookGroup,785))</f>
        <v/>
      </c>
      <c r="C790" s="0" t="str">
        <f aca="false">IF(INDEX(BookTitle,785)="","",INDEX(BookCategory,785))</f>
        <v/>
      </c>
      <c r="D790" s="56" t="str">
        <f aca="false">IF(INDEX(BookTitle,785)="","",INDEX(BookTotal,785)*'5. Scenarios'!$B$6/(1+ProductivityDefault*('5. Scenarios'!$B$11-1)))</f>
        <v/>
      </c>
      <c r="E790" s="57" t="str">
        <f aca="false">IF($D790="","",INDEX(BookRate,785)*(1+'5. Scenarios'!$B$10)*$D790)</f>
        <v/>
      </c>
      <c r="F790" s="57" t="str">
        <f aca="false">IF($E790="","",SUMIFS($E$6:$E$2405,$A$6:$A$2405,"&lt;="&amp;$A790))</f>
        <v/>
      </c>
      <c r="G790" s="57" t="str">
        <f aca="false">IF($E790="","",IF($F790&lt;=BankCostEnvelope*'5. Scenarios'!$B$7,1,0))</f>
        <v/>
      </c>
      <c r="H790" s="57" t="str">
        <f aca="false">IF($D790="","",INDEX(BookRate,785)*(1+'5. Scenarios'!$B$10)*(INDEX(BookQ1,785)*(5-MIN(4,1+'5. Scenarios'!$B$8))/4+INDEX(BookQ2,785)*(5-MIN(4,2+'5. Scenarios'!$B$8))/4+INDEX(BookQ3,785)*(5-MIN(4,3+'5. Scenarios'!$B$8))/4+INDEX(BookQ4,785)*(5-MIN(4,4+'5. Scenarios'!$B$8))/4)*'5. Scenarios'!$B$6/(1+ProductivityDefault*('5. Scenarios'!$B$11-1))+INDEX(BookOneOff,785)*$D790)</f>
        <v/>
      </c>
      <c r="I790" s="56" t="str">
        <f aca="false">IF(INDEX(BookTitle,785)="","",INDEX(BookTotal,785)*'5. Scenarios'!$C$6/(1+ProductivityDefault*('5. Scenarios'!$C$11-1)))</f>
        <v/>
      </c>
      <c r="J790" s="57" t="str">
        <f aca="false">IF($I790="","",INDEX(BookRate,785)*(1+'5. Scenarios'!$C$10)*$I790)</f>
        <v/>
      </c>
      <c r="K790" s="57" t="str">
        <f aca="false">IF($J790="","",SUMIFS($J$6:$J$2405,$A$6:$A$2405,"&lt;="&amp;$A790))</f>
        <v/>
      </c>
      <c r="L790" s="57" t="str">
        <f aca="false">IF($J790="","",IF($K790&lt;=BankCostEnvelope*'5. Scenarios'!$C$7,1,0))</f>
        <v/>
      </c>
      <c r="M790" s="57" t="str">
        <f aca="false">IF($I790="","",INDEX(BookRate,785)*(1+'5. Scenarios'!$C$10)*(INDEX(BookQ1,785)*(5-MIN(4,1+'5. Scenarios'!$C$8))/4+INDEX(BookQ2,785)*(5-MIN(4,2+'5. Scenarios'!$C$8))/4+INDEX(BookQ3,785)*(5-MIN(4,3+'5. Scenarios'!$C$8))/4+INDEX(BookQ4,785)*(5-MIN(4,4+'5. Scenarios'!$C$8))/4)*'5. Scenarios'!$C$6/(1+ProductivityDefault*('5. Scenarios'!$C$11-1))+INDEX(BookOneOff,785)*$I790)</f>
        <v/>
      </c>
      <c r="N790" s="56" t="str">
        <f aca="false">IF(INDEX(BookTitle,785)="","",INDEX(BookTotal,785)*'5. Scenarios'!$D$6/(1+ProductivityDefault*('5. Scenarios'!$D$11-1)))</f>
        <v/>
      </c>
      <c r="O790" s="57" t="str">
        <f aca="false">IF($N790="","",INDEX(BookRate,785)*(1+'5. Scenarios'!$D$10)*$N790)</f>
        <v/>
      </c>
      <c r="P790" s="57" t="str">
        <f aca="false">IF($O790="","",SUMIFS($O$6:$O$2405,$A$6:$A$2405,"&lt;="&amp;$A790))</f>
        <v/>
      </c>
      <c r="Q790" s="57" t="str">
        <f aca="false">IF($O790="","",IF($P790&lt;=BankCostEnvelope*'5. Scenarios'!$D$7,1,0))</f>
        <v/>
      </c>
      <c r="R790" s="57" t="str">
        <f aca="false">IF($N790="","",INDEX(BookRate,785)*(1+'5. Scenarios'!$D$10)*(INDEX(BookQ1,785)*(5-MIN(4,1+'5. Scenarios'!$D$8))/4+INDEX(BookQ2,785)*(5-MIN(4,2+'5. Scenarios'!$D$8))/4+INDEX(BookQ3,785)*(5-MIN(4,3+'5. Scenarios'!$D$8))/4+INDEX(BookQ4,785)*(5-MIN(4,4+'5. Scenarios'!$D$8))/4)*'5. Scenarios'!$D$6/(1+ProductivityDefault*('5. Scenarios'!$D$11-1))+INDEX(BookOneOff,785)*$N790)</f>
        <v/>
      </c>
      <c r="S790" s="56" t="str">
        <f aca="false">IF(INDEX(BookTitle,785)="","",INDEX(BookTotal,785)*'5. Scenarios'!$E$6/(1+ProductivityDefault*('5. Scenarios'!$E$11-1)))</f>
        <v/>
      </c>
      <c r="T790" s="57" t="str">
        <f aca="false">IF($S790="","",INDEX(BookRate,785)*(1+'5. Scenarios'!$E$10)*$S790)</f>
        <v/>
      </c>
      <c r="U790" s="57" t="str">
        <f aca="false">IF($T790="","",SUMIFS($T$6:$T$2405,$A$6:$A$2405,"&lt;="&amp;$A790))</f>
        <v/>
      </c>
      <c r="V790" s="57" t="str">
        <f aca="false">IF($T790="","",IF($U790&lt;=BankCostEnvelope*'5. Scenarios'!$E$7,1,0))</f>
        <v/>
      </c>
      <c r="W790" s="57" t="str">
        <f aca="false">IF($S790="","",INDEX(BookRate,785)*(1+'5. Scenarios'!$E$10)*(INDEX(BookQ1,785)*(5-MIN(4,1+'5. Scenarios'!$E$8))/4+INDEX(BookQ2,785)*(5-MIN(4,2+'5. Scenarios'!$E$8))/4+INDEX(BookQ3,785)*(5-MIN(4,3+'5. Scenarios'!$E$8))/4+INDEX(BookQ4,785)*(5-MIN(4,4+'5. Scenarios'!$E$8))/4)*'5. Scenarios'!$E$6/(1+ProductivityDefault*('5. Scenarios'!$E$11-1))+INDEX(BookOneOff,785)*$S790)</f>
        <v/>
      </c>
    </row>
    <row r="791" customFormat="false" ht="15" hidden="false" customHeight="false" outlineLevel="0" collapsed="false">
      <c r="A791" s="0" t="str">
        <f aca="false">IF(INDEX(BookTitle,786)="","",INDEX(BookKey,786))</f>
        <v/>
      </c>
      <c r="B791" s="0" t="str">
        <f aca="false">IF(INDEX(BookTitle,786)="","",INDEX(BookGroup,786))</f>
        <v/>
      </c>
      <c r="C791" s="0" t="str">
        <f aca="false">IF(INDEX(BookTitle,786)="","",INDEX(BookCategory,786))</f>
        <v/>
      </c>
      <c r="D791" s="56" t="str">
        <f aca="false">IF(INDEX(BookTitle,786)="","",INDEX(BookTotal,786)*'5. Scenarios'!$B$6/(1+ProductivityDefault*('5. Scenarios'!$B$11-1)))</f>
        <v/>
      </c>
      <c r="E791" s="57" t="str">
        <f aca="false">IF($D791="","",INDEX(BookRate,786)*(1+'5. Scenarios'!$B$10)*$D791)</f>
        <v/>
      </c>
      <c r="F791" s="57" t="str">
        <f aca="false">IF($E791="","",SUMIFS($E$6:$E$2405,$A$6:$A$2405,"&lt;="&amp;$A791))</f>
        <v/>
      </c>
      <c r="G791" s="57" t="str">
        <f aca="false">IF($E791="","",IF($F791&lt;=BankCostEnvelope*'5. Scenarios'!$B$7,1,0))</f>
        <v/>
      </c>
      <c r="H791" s="57" t="str">
        <f aca="false">IF($D791="","",INDEX(BookRate,786)*(1+'5. Scenarios'!$B$10)*(INDEX(BookQ1,786)*(5-MIN(4,1+'5. Scenarios'!$B$8))/4+INDEX(BookQ2,786)*(5-MIN(4,2+'5. Scenarios'!$B$8))/4+INDEX(BookQ3,786)*(5-MIN(4,3+'5. Scenarios'!$B$8))/4+INDEX(BookQ4,786)*(5-MIN(4,4+'5. Scenarios'!$B$8))/4)*'5. Scenarios'!$B$6/(1+ProductivityDefault*('5. Scenarios'!$B$11-1))+INDEX(BookOneOff,786)*$D791)</f>
        <v/>
      </c>
      <c r="I791" s="56" t="str">
        <f aca="false">IF(INDEX(BookTitle,786)="","",INDEX(BookTotal,786)*'5. Scenarios'!$C$6/(1+ProductivityDefault*('5. Scenarios'!$C$11-1)))</f>
        <v/>
      </c>
      <c r="J791" s="57" t="str">
        <f aca="false">IF($I791="","",INDEX(BookRate,786)*(1+'5. Scenarios'!$C$10)*$I791)</f>
        <v/>
      </c>
      <c r="K791" s="57" t="str">
        <f aca="false">IF($J791="","",SUMIFS($J$6:$J$2405,$A$6:$A$2405,"&lt;="&amp;$A791))</f>
        <v/>
      </c>
      <c r="L791" s="57" t="str">
        <f aca="false">IF($J791="","",IF($K791&lt;=BankCostEnvelope*'5. Scenarios'!$C$7,1,0))</f>
        <v/>
      </c>
      <c r="M791" s="57" t="str">
        <f aca="false">IF($I791="","",INDEX(BookRate,786)*(1+'5. Scenarios'!$C$10)*(INDEX(BookQ1,786)*(5-MIN(4,1+'5. Scenarios'!$C$8))/4+INDEX(BookQ2,786)*(5-MIN(4,2+'5. Scenarios'!$C$8))/4+INDEX(BookQ3,786)*(5-MIN(4,3+'5. Scenarios'!$C$8))/4+INDEX(BookQ4,786)*(5-MIN(4,4+'5. Scenarios'!$C$8))/4)*'5. Scenarios'!$C$6/(1+ProductivityDefault*('5. Scenarios'!$C$11-1))+INDEX(BookOneOff,786)*$I791)</f>
        <v/>
      </c>
      <c r="N791" s="56" t="str">
        <f aca="false">IF(INDEX(BookTitle,786)="","",INDEX(BookTotal,786)*'5. Scenarios'!$D$6/(1+ProductivityDefault*('5. Scenarios'!$D$11-1)))</f>
        <v/>
      </c>
      <c r="O791" s="57" t="str">
        <f aca="false">IF($N791="","",INDEX(BookRate,786)*(1+'5. Scenarios'!$D$10)*$N791)</f>
        <v/>
      </c>
      <c r="P791" s="57" t="str">
        <f aca="false">IF($O791="","",SUMIFS($O$6:$O$2405,$A$6:$A$2405,"&lt;="&amp;$A791))</f>
        <v/>
      </c>
      <c r="Q791" s="57" t="str">
        <f aca="false">IF($O791="","",IF($P791&lt;=BankCostEnvelope*'5. Scenarios'!$D$7,1,0))</f>
        <v/>
      </c>
      <c r="R791" s="57" t="str">
        <f aca="false">IF($N791="","",INDEX(BookRate,786)*(1+'5. Scenarios'!$D$10)*(INDEX(BookQ1,786)*(5-MIN(4,1+'5. Scenarios'!$D$8))/4+INDEX(BookQ2,786)*(5-MIN(4,2+'5. Scenarios'!$D$8))/4+INDEX(BookQ3,786)*(5-MIN(4,3+'5. Scenarios'!$D$8))/4+INDEX(BookQ4,786)*(5-MIN(4,4+'5. Scenarios'!$D$8))/4)*'5. Scenarios'!$D$6/(1+ProductivityDefault*('5. Scenarios'!$D$11-1))+INDEX(BookOneOff,786)*$N791)</f>
        <v/>
      </c>
      <c r="S791" s="56" t="str">
        <f aca="false">IF(INDEX(BookTitle,786)="","",INDEX(BookTotal,786)*'5. Scenarios'!$E$6/(1+ProductivityDefault*('5. Scenarios'!$E$11-1)))</f>
        <v/>
      </c>
      <c r="T791" s="57" t="str">
        <f aca="false">IF($S791="","",INDEX(BookRate,786)*(1+'5. Scenarios'!$E$10)*$S791)</f>
        <v/>
      </c>
      <c r="U791" s="57" t="str">
        <f aca="false">IF($T791="","",SUMIFS($T$6:$T$2405,$A$6:$A$2405,"&lt;="&amp;$A791))</f>
        <v/>
      </c>
      <c r="V791" s="57" t="str">
        <f aca="false">IF($T791="","",IF($U791&lt;=BankCostEnvelope*'5. Scenarios'!$E$7,1,0))</f>
        <v/>
      </c>
      <c r="W791" s="57" t="str">
        <f aca="false">IF($S791="","",INDEX(BookRate,786)*(1+'5. Scenarios'!$E$10)*(INDEX(BookQ1,786)*(5-MIN(4,1+'5. Scenarios'!$E$8))/4+INDEX(BookQ2,786)*(5-MIN(4,2+'5. Scenarios'!$E$8))/4+INDEX(BookQ3,786)*(5-MIN(4,3+'5. Scenarios'!$E$8))/4+INDEX(BookQ4,786)*(5-MIN(4,4+'5. Scenarios'!$E$8))/4)*'5. Scenarios'!$E$6/(1+ProductivityDefault*('5. Scenarios'!$E$11-1))+INDEX(BookOneOff,786)*$S791)</f>
        <v/>
      </c>
    </row>
    <row r="792" customFormat="false" ht="15" hidden="false" customHeight="false" outlineLevel="0" collapsed="false">
      <c r="A792" s="0" t="str">
        <f aca="false">IF(INDEX(BookTitle,787)="","",INDEX(BookKey,787))</f>
        <v/>
      </c>
      <c r="B792" s="0" t="str">
        <f aca="false">IF(INDEX(BookTitle,787)="","",INDEX(BookGroup,787))</f>
        <v/>
      </c>
      <c r="C792" s="0" t="str">
        <f aca="false">IF(INDEX(BookTitle,787)="","",INDEX(BookCategory,787))</f>
        <v/>
      </c>
      <c r="D792" s="56" t="str">
        <f aca="false">IF(INDEX(BookTitle,787)="","",INDEX(BookTotal,787)*'5. Scenarios'!$B$6/(1+ProductivityDefault*('5. Scenarios'!$B$11-1)))</f>
        <v/>
      </c>
      <c r="E792" s="57" t="str">
        <f aca="false">IF($D792="","",INDEX(BookRate,787)*(1+'5. Scenarios'!$B$10)*$D792)</f>
        <v/>
      </c>
      <c r="F792" s="57" t="str">
        <f aca="false">IF($E792="","",SUMIFS($E$6:$E$2405,$A$6:$A$2405,"&lt;="&amp;$A792))</f>
        <v/>
      </c>
      <c r="G792" s="57" t="str">
        <f aca="false">IF($E792="","",IF($F792&lt;=BankCostEnvelope*'5. Scenarios'!$B$7,1,0))</f>
        <v/>
      </c>
      <c r="H792" s="57" t="str">
        <f aca="false">IF($D792="","",INDEX(BookRate,787)*(1+'5. Scenarios'!$B$10)*(INDEX(BookQ1,787)*(5-MIN(4,1+'5. Scenarios'!$B$8))/4+INDEX(BookQ2,787)*(5-MIN(4,2+'5. Scenarios'!$B$8))/4+INDEX(BookQ3,787)*(5-MIN(4,3+'5. Scenarios'!$B$8))/4+INDEX(BookQ4,787)*(5-MIN(4,4+'5. Scenarios'!$B$8))/4)*'5. Scenarios'!$B$6/(1+ProductivityDefault*('5. Scenarios'!$B$11-1))+INDEX(BookOneOff,787)*$D792)</f>
        <v/>
      </c>
      <c r="I792" s="56" t="str">
        <f aca="false">IF(INDEX(BookTitle,787)="","",INDEX(BookTotal,787)*'5. Scenarios'!$C$6/(1+ProductivityDefault*('5. Scenarios'!$C$11-1)))</f>
        <v/>
      </c>
      <c r="J792" s="57" t="str">
        <f aca="false">IF($I792="","",INDEX(BookRate,787)*(1+'5. Scenarios'!$C$10)*$I792)</f>
        <v/>
      </c>
      <c r="K792" s="57" t="str">
        <f aca="false">IF($J792="","",SUMIFS($J$6:$J$2405,$A$6:$A$2405,"&lt;="&amp;$A792))</f>
        <v/>
      </c>
      <c r="L792" s="57" t="str">
        <f aca="false">IF($J792="","",IF($K792&lt;=BankCostEnvelope*'5. Scenarios'!$C$7,1,0))</f>
        <v/>
      </c>
      <c r="M792" s="57" t="str">
        <f aca="false">IF($I792="","",INDEX(BookRate,787)*(1+'5. Scenarios'!$C$10)*(INDEX(BookQ1,787)*(5-MIN(4,1+'5. Scenarios'!$C$8))/4+INDEX(BookQ2,787)*(5-MIN(4,2+'5. Scenarios'!$C$8))/4+INDEX(BookQ3,787)*(5-MIN(4,3+'5. Scenarios'!$C$8))/4+INDEX(BookQ4,787)*(5-MIN(4,4+'5. Scenarios'!$C$8))/4)*'5. Scenarios'!$C$6/(1+ProductivityDefault*('5. Scenarios'!$C$11-1))+INDEX(BookOneOff,787)*$I792)</f>
        <v/>
      </c>
      <c r="N792" s="56" t="str">
        <f aca="false">IF(INDEX(BookTitle,787)="","",INDEX(BookTotal,787)*'5. Scenarios'!$D$6/(1+ProductivityDefault*('5. Scenarios'!$D$11-1)))</f>
        <v/>
      </c>
      <c r="O792" s="57" t="str">
        <f aca="false">IF($N792="","",INDEX(BookRate,787)*(1+'5. Scenarios'!$D$10)*$N792)</f>
        <v/>
      </c>
      <c r="P792" s="57" t="str">
        <f aca="false">IF($O792="","",SUMIFS($O$6:$O$2405,$A$6:$A$2405,"&lt;="&amp;$A792))</f>
        <v/>
      </c>
      <c r="Q792" s="57" t="str">
        <f aca="false">IF($O792="","",IF($P792&lt;=BankCostEnvelope*'5. Scenarios'!$D$7,1,0))</f>
        <v/>
      </c>
      <c r="R792" s="57" t="str">
        <f aca="false">IF($N792="","",INDEX(BookRate,787)*(1+'5. Scenarios'!$D$10)*(INDEX(BookQ1,787)*(5-MIN(4,1+'5. Scenarios'!$D$8))/4+INDEX(BookQ2,787)*(5-MIN(4,2+'5. Scenarios'!$D$8))/4+INDEX(BookQ3,787)*(5-MIN(4,3+'5. Scenarios'!$D$8))/4+INDEX(BookQ4,787)*(5-MIN(4,4+'5. Scenarios'!$D$8))/4)*'5. Scenarios'!$D$6/(1+ProductivityDefault*('5. Scenarios'!$D$11-1))+INDEX(BookOneOff,787)*$N792)</f>
        <v/>
      </c>
      <c r="S792" s="56" t="str">
        <f aca="false">IF(INDEX(BookTitle,787)="","",INDEX(BookTotal,787)*'5. Scenarios'!$E$6/(1+ProductivityDefault*('5. Scenarios'!$E$11-1)))</f>
        <v/>
      </c>
      <c r="T792" s="57" t="str">
        <f aca="false">IF($S792="","",INDEX(BookRate,787)*(1+'5. Scenarios'!$E$10)*$S792)</f>
        <v/>
      </c>
      <c r="U792" s="57" t="str">
        <f aca="false">IF($T792="","",SUMIFS($T$6:$T$2405,$A$6:$A$2405,"&lt;="&amp;$A792))</f>
        <v/>
      </c>
      <c r="V792" s="57" t="str">
        <f aca="false">IF($T792="","",IF($U792&lt;=BankCostEnvelope*'5. Scenarios'!$E$7,1,0))</f>
        <v/>
      </c>
      <c r="W792" s="57" t="str">
        <f aca="false">IF($S792="","",INDEX(BookRate,787)*(1+'5. Scenarios'!$E$10)*(INDEX(BookQ1,787)*(5-MIN(4,1+'5. Scenarios'!$E$8))/4+INDEX(BookQ2,787)*(5-MIN(4,2+'5. Scenarios'!$E$8))/4+INDEX(BookQ3,787)*(5-MIN(4,3+'5. Scenarios'!$E$8))/4+INDEX(BookQ4,787)*(5-MIN(4,4+'5. Scenarios'!$E$8))/4)*'5. Scenarios'!$E$6/(1+ProductivityDefault*('5. Scenarios'!$E$11-1))+INDEX(BookOneOff,787)*$S792)</f>
        <v/>
      </c>
    </row>
    <row r="793" customFormat="false" ht="15" hidden="false" customHeight="false" outlineLevel="0" collapsed="false">
      <c r="A793" s="0" t="str">
        <f aca="false">IF(INDEX(BookTitle,788)="","",INDEX(BookKey,788))</f>
        <v/>
      </c>
      <c r="B793" s="0" t="str">
        <f aca="false">IF(INDEX(BookTitle,788)="","",INDEX(BookGroup,788))</f>
        <v/>
      </c>
      <c r="C793" s="0" t="str">
        <f aca="false">IF(INDEX(BookTitle,788)="","",INDEX(BookCategory,788))</f>
        <v/>
      </c>
      <c r="D793" s="56" t="str">
        <f aca="false">IF(INDEX(BookTitle,788)="","",INDEX(BookTotal,788)*'5. Scenarios'!$B$6/(1+ProductivityDefault*('5. Scenarios'!$B$11-1)))</f>
        <v/>
      </c>
      <c r="E793" s="57" t="str">
        <f aca="false">IF($D793="","",INDEX(BookRate,788)*(1+'5. Scenarios'!$B$10)*$D793)</f>
        <v/>
      </c>
      <c r="F793" s="57" t="str">
        <f aca="false">IF($E793="","",SUMIFS($E$6:$E$2405,$A$6:$A$2405,"&lt;="&amp;$A793))</f>
        <v/>
      </c>
      <c r="G793" s="57" t="str">
        <f aca="false">IF($E793="","",IF($F793&lt;=BankCostEnvelope*'5. Scenarios'!$B$7,1,0))</f>
        <v/>
      </c>
      <c r="H793" s="57" t="str">
        <f aca="false">IF($D793="","",INDEX(BookRate,788)*(1+'5. Scenarios'!$B$10)*(INDEX(BookQ1,788)*(5-MIN(4,1+'5. Scenarios'!$B$8))/4+INDEX(BookQ2,788)*(5-MIN(4,2+'5. Scenarios'!$B$8))/4+INDEX(BookQ3,788)*(5-MIN(4,3+'5. Scenarios'!$B$8))/4+INDEX(BookQ4,788)*(5-MIN(4,4+'5. Scenarios'!$B$8))/4)*'5. Scenarios'!$B$6/(1+ProductivityDefault*('5. Scenarios'!$B$11-1))+INDEX(BookOneOff,788)*$D793)</f>
        <v/>
      </c>
      <c r="I793" s="56" t="str">
        <f aca="false">IF(INDEX(BookTitle,788)="","",INDEX(BookTotal,788)*'5. Scenarios'!$C$6/(1+ProductivityDefault*('5. Scenarios'!$C$11-1)))</f>
        <v/>
      </c>
      <c r="J793" s="57" t="str">
        <f aca="false">IF($I793="","",INDEX(BookRate,788)*(1+'5. Scenarios'!$C$10)*$I793)</f>
        <v/>
      </c>
      <c r="K793" s="57" t="str">
        <f aca="false">IF($J793="","",SUMIFS($J$6:$J$2405,$A$6:$A$2405,"&lt;="&amp;$A793))</f>
        <v/>
      </c>
      <c r="L793" s="57" t="str">
        <f aca="false">IF($J793="","",IF($K793&lt;=BankCostEnvelope*'5. Scenarios'!$C$7,1,0))</f>
        <v/>
      </c>
      <c r="M793" s="57" t="str">
        <f aca="false">IF($I793="","",INDEX(BookRate,788)*(1+'5. Scenarios'!$C$10)*(INDEX(BookQ1,788)*(5-MIN(4,1+'5. Scenarios'!$C$8))/4+INDEX(BookQ2,788)*(5-MIN(4,2+'5. Scenarios'!$C$8))/4+INDEX(BookQ3,788)*(5-MIN(4,3+'5. Scenarios'!$C$8))/4+INDEX(BookQ4,788)*(5-MIN(4,4+'5. Scenarios'!$C$8))/4)*'5. Scenarios'!$C$6/(1+ProductivityDefault*('5. Scenarios'!$C$11-1))+INDEX(BookOneOff,788)*$I793)</f>
        <v/>
      </c>
      <c r="N793" s="56" t="str">
        <f aca="false">IF(INDEX(BookTitle,788)="","",INDEX(BookTotal,788)*'5. Scenarios'!$D$6/(1+ProductivityDefault*('5. Scenarios'!$D$11-1)))</f>
        <v/>
      </c>
      <c r="O793" s="57" t="str">
        <f aca="false">IF($N793="","",INDEX(BookRate,788)*(1+'5. Scenarios'!$D$10)*$N793)</f>
        <v/>
      </c>
      <c r="P793" s="57" t="str">
        <f aca="false">IF($O793="","",SUMIFS($O$6:$O$2405,$A$6:$A$2405,"&lt;="&amp;$A793))</f>
        <v/>
      </c>
      <c r="Q793" s="57" t="str">
        <f aca="false">IF($O793="","",IF($P793&lt;=BankCostEnvelope*'5. Scenarios'!$D$7,1,0))</f>
        <v/>
      </c>
      <c r="R793" s="57" t="str">
        <f aca="false">IF($N793="","",INDEX(BookRate,788)*(1+'5. Scenarios'!$D$10)*(INDEX(BookQ1,788)*(5-MIN(4,1+'5. Scenarios'!$D$8))/4+INDEX(BookQ2,788)*(5-MIN(4,2+'5. Scenarios'!$D$8))/4+INDEX(BookQ3,788)*(5-MIN(4,3+'5. Scenarios'!$D$8))/4+INDEX(BookQ4,788)*(5-MIN(4,4+'5. Scenarios'!$D$8))/4)*'5. Scenarios'!$D$6/(1+ProductivityDefault*('5. Scenarios'!$D$11-1))+INDEX(BookOneOff,788)*$N793)</f>
        <v/>
      </c>
      <c r="S793" s="56" t="str">
        <f aca="false">IF(INDEX(BookTitle,788)="","",INDEX(BookTotal,788)*'5. Scenarios'!$E$6/(1+ProductivityDefault*('5. Scenarios'!$E$11-1)))</f>
        <v/>
      </c>
      <c r="T793" s="57" t="str">
        <f aca="false">IF($S793="","",INDEX(BookRate,788)*(1+'5. Scenarios'!$E$10)*$S793)</f>
        <v/>
      </c>
      <c r="U793" s="57" t="str">
        <f aca="false">IF($T793="","",SUMIFS($T$6:$T$2405,$A$6:$A$2405,"&lt;="&amp;$A793))</f>
        <v/>
      </c>
      <c r="V793" s="57" t="str">
        <f aca="false">IF($T793="","",IF($U793&lt;=BankCostEnvelope*'5. Scenarios'!$E$7,1,0))</f>
        <v/>
      </c>
      <c r="W793" s="57" t="str">
        <f aca="false">IF($S793="","",INDEX(BookRate,788)*(1+'5. Scenarios'!$E$10)*(INDEX(BookQ1,788)*(5-MIN(4,1+'5. Scenarios'!$E$8))/4+INDEX(BookQ2,788)*(5-MIN(4,2+'5. Scenarios'!$E$8))/4+INDEX(BookQ3,788)*(5-MIN(4,3+'5. Scenarios'!$E$8))/4+INDEX(BookQ4,788)*(5-MIN(4,4+'5. Scenarios'!$E$8))/4)*'5. Scenarios'!$E$6/(1+ProductivityDefault*('5. Scenarios'!$E$11-1))+INDEX(BookOneOff,788)*$S793)</f>
        <v/>
      </c>
    </row>
    <row r="794" customFormat="false" ht="15" hidden="false" customHeight="false" outlineLevel="0" collapsed="false">
      <c r="A794" s="0" t="str">
        <f aca="false">IF(INDEX(BookTitle,789)="","",INDEX(BookKey,789))</f>
        <v/>
      </c>
      <c r="B794" s="0" t="str">
        <f aca="false">IF(INDEX(BookTitle,789)="","",INDEX(BookGroup,789))</f>
        <v/>
      </c>
      <c r="C794" s="0" t="str">
        <f aca="false">IF(INDEX(BookTitle,789)="","",INDEX(BookCategory,789))</f>
        <v/>
      </c>
      <c r="D794" s="56" t="str">
        <f aca="false">IF(INDEX(BookTitle,789)="","",INDEX(BookTotal,789)*'5. Scenarios'!$B$6/(1+ProductivityDefault*('5. Scenarios'!$B$11-1)))</f>
        <v/>
      </c>
      <c r="E794" s="57" t="str">
        <f aca="false">IF($D794="","",INDEX(BookRate,789)*(1+'5. Scenarios'!$B$10)*$D794)</f>
        <v/>
      </c>
      <c r="F794" s="57" t="str">
        <f aca="false">IF($E794="","",SUMIFS($E$6:$E$2405,$A$6:$A$2405,"&lt;="&amp;$A794))</f>
        <v/>
      </c>
      <c r="G794" s="57" t="str">
        <f aca="false">IF($E794="","",IF($F794&lt;=BankCostEnvelope*'5. Scenarios'!$B$7,1,0))</f>
        <v/>
      </c>
      <c r="H794" s="57" t="str">
        <f aca="false">IF($D794="","",INDEX(BookRate,789)*(1+'5. Scenarios'!$B$10)*(INDEX(BookQ1,789)*(5-MIN(4,1+'5. Scenarios'!$B$8))/4+INDEX(BookQ2,789)*(5-MIN(4,2+'5. Scenarios'!$B$8))/4+INDEX(BookQ3,789)*(5-MIN(4,3+'5. Scenarios'!$B$8))/4+INDEX(BookQ4,789)*(5-MIN(4,4+'5. Scenarios'!$B$8))/4)*'5. Scenarios'!$B$6/(1+ProductivityDefault*('5. Scenarios'!$B$11-1))+INDEX(BookOneOff,789)*$D794)</f>
        <v/>
      </c>
      <c r="I794" s="56" t="str">
        <f aca="false">IF(INDEX(BookTitle,789)="","",INDEX(BookTotal,789)*'5. Scenarios'!$C$6/(1+ProductivityDefault*('5. Scenarios'!$C$11-1)))</f>
        <v/>
      </c>
      <c r="J794" s="57" t="str">
        <f aca="false">IF($I794="","",INDEX(BookRate,789)*(1+'5. Scenarios'!$C$10)*$I794)</f>
        <v/>
      </c>
      <c r="K794" s="57" t="str">
        <f aca="false">IF($J794="","",SUMIFS($J$6:$J$2405,$A$6:$A$2405,"&lt;="&amp;$A794))</f>
        <v/>
      </c>
      <c r="L794" s="57" t="str">
        <f aca="false">IF($J794="","",IF($K794&lt;=BankCostEnvelope*'5. Scenarios'!$C$7,1,0))</f>
        <v/>
      </c>
      <c r="M794" s="57" t="str">
        <f aca="false">IF($I794="","",INDEX(BookRate,789)*(1+'5. Scenarios'!$C$10)*(INDEX(BookQ1,789)*(5-MIN(4,1+'5. Scenarios'!$C$8))/4+INDEX(BookQ2,789)*(5-MIN(4,2+'5. Scenarios'!$C$8))/4+INDEX(BookQ3,789)*(5-MIN(4,3+'5. Scenarios'!$C$8))/4+INDEX(BookQ4,789)*(5-MIN(4,4+'5. Scenarios'!$C$8))/4)*'5. Scenarios'!$C$6/(1+ProductivityDefault*('5. Scenarios'!$C$11-1))+INDEX(BookOneOff,789)*$I794)</f>
        <v/>
      </c>
      <c r="N794" s="56" t="str">
        <f aca="false">IF(INDEX(BookTitle,789)="","",INDEX(BookTotal,789)*'5. Scenarios'!$D$6/(1+ProductivityDefault*('5. Scenarios'!$D$11-1)))</f>
        <v/>
      </c>
      <c r="O794" s="57" t="str">
        <f aca="false">IF($N794="","",INDEX(BookRate,789)*(1+'5. Scenarios'!$D$10)*$N794)</f>
        <v/>
      </c>
      <c r="P794" s="57" t="str">
        <f aca="false">IF($O794="","",SUMIFS($O$6:$O$2405,$A$6:$A$2405,"&lt;="&amp;$A794))</f>
        <v/>
      </c>
      <c r="Q794" s="57" t="str">
        <f aca="false">IF($O794="","",IF($P794&lt;=BankCostEnvelope*'5. Scenarios'!$D$7,1,0))</f>
        <v/>
      </c>
      <c r="R794" s="57" t="str">
        <f aca="false">IF($N794="","",INDEX(BookRate,789)*(1+'5. Scenarios'!$D$10)*(INDEX(BookQ1,789)*(5-MIN(4,1+'5. Scenarios'!$D$8))/4+INDEX(BookQ2,789)*(5-MIN(4,2+'5. Scenarios'!$D$8))/4+INDEX(BookQ3,789)*(5-MIN(4,3+'5. Scenarios'!$D$8))/4+INDEX(BookQ4,789)*(5-MIN(4,4+'5. Scenarios'!$D$8))/4)*'5. Scenarios'!$D$6/(1+ProductivityDefault*('5. Scenarios'!$D$11-1))+INDEX(BookOneOff,789)*$N794)</f>
        <v/>
      </c>
      <c r="S794" s="56" t="str">
        <f aca="false">IF(INDEX(BookTitle,789)="","",INDEX(BookTotal,789)*'5. Scenarios'!$E$6/(1+ProductivityDefault*('5. Scenarios'!$E$11-1)))</f>
        <v/>
      </c>
      <c r="T794" s="57" t="str">
        <f aca="false">IF($S794="","",INDEX(BookRate,789)*(1+'5. Scenarios'!$E$10)*$S794)</f>
        <v/>
      </c>
      <c r="U794" s="57" t="str">
        <f aca="false">IF($T794="","",SUMIFS($T$6:$T$2405,$A$6:$A$2405,"&lt;="&amp;$A794))</f>
        <v/>
      </c>
      <c r="V794" s="57" t="str">
        <f aca="false">IF($T794="","",IF($U794&lt;=BankCostEnvelope*'5. Scenarios'!$E$7,1,0))</f>
        <v/>
      </c>
      <c r="W794" s="57" t="str">
        <f aca="false">IF($S794="","",INDEX(BookRate,789)*(1+'5. Scenarios'!$E$10)*(INDEX(BookQ1,789)*(5-MIN(4,1+'5. Scenarios'!$E$8))/4+INDEX(BookQ2,789)*(5-MIN(4,2+'5. Scenarios'!$E$8))/4+INDEX(BookQ3,789)*(5-MIN(4,3+'5. Scenarios'!$E$8))/4+INDEX(BookQ4,789)*(5-MIN(4,4+'5. Scenarios'!$E$8))/4)*'5. Scenarios'!$E$6/(1+ProductivityDefault*('5. Scenarios'!$E$11-1))+INDEX(BookOneOff,789)*$S794)</f>
        <v/>
      </c>
    </row>
    <row r="795" customFormat="false" ht="15" hidden="false" customHeight="false" outlineLevel="0" collapsed="false">
      <c r="A795" s="0" t="str">
        <f aca="false">IF(INDEX(BookTitle,790)="","",INDEX(BookKey,790))</f>
        <v/>
      </c>
      <c r="B795" s="0" t="str">
        <f aca="false">IF(INDEX(BookTitle,790)="","",INDEX(BookGroup,790))</f>
        <v/>
      </c>
      <c r="C795" s="0" t="str">
        <f aca="false">IF(INDEX(BookTitle,790)="","",INDEX(BookCategory,790))</f>
        <v/>
      </c>
      <c r="D795" s="56" t="str">
        <f aca="false">IF(INDEX(BookTitle,790)="","",INDEX(BookTotal,790)*'5. Scenarios'!$B$6/(1+ProductivityDefault*('5. Scenarios'!$B$11-1)))</f>
        <v/>
      </c>
      <c r="E795" s="57" t="str">
        <f aca="false">IF($D795="","",INDEX(BookRate,790)*(1+'5. Scenarios'!$B$10)*$D795)</f>
        <v/>
      </c>
      <c r="F795" s="57" t="str">
        <f aca="false">IF($E795="","",SUMIFS($E$6:$E$2405,$A$6:$A$2405,"&lt;="&amp;$A795))</f>
        <v/>
      </c>
      <c r="G795" s="57" t="str">
        <f aca="false">IF($E795="","",IF($F795&lt;=BankCostEnvelope*'5. Scenarios'!$B$7,1,0))</f>
        <v/>
      </c>
      <c r="H795" s="57" t="str">
        <f aca="false">IF($D795="","",INDEX(BookRate,790)*(1+'5. Scenarios'!$B$10)*(INDEX(BookQ1,790)*(5-MIN(4,1+'5. Scenarios'!$B$8))/4+INDEX(BookQ2,790)*(5-MIN(4,2+'5. Scenarios'!$B$8))/4+INDEX(BookQ3,790)*(5-MIN(4,3+'5. Scenarios'!$B$8))/4+INDEX(BookQ4,790)*(5-MIN(4,4+'5. Scenarios'!$B$8))/4)*'5. Scenarios'!$B$6/(1+ProductivityDefault*('5. Scenarios'!$B$11-1))+INDEX(BookOneOff,790)*$D795)</f>
        <v/>
      </c>
      <c r="I795" s="56" t="str">
        <f aca="false">IF(INDEX(BookTitle,790)="","",INDEX(BookTotal,790)*'5. Scenarios'!$C$6/(1+ProductivityDefault*('5. Scenarios'!$C$11-1)))</f>
        <v/>
      </c>
      <c r="J795" s="57" t="str">
        <f aca="false">IF($I795="","",INDEX(BookRate,790)*(1+'5. Scenarios'!$C$10)*$I795)</f>
        <v/>
      </c>
      <c r="K795" s="57" t="str">
        <f aca="false">IF($J795="","",SUMIFS($J$6:$J$2405,$A$6:$A$2405,"&lt;="&amp;$A795))</f>
        <v/>
      </c>
      <c r="L795" s="57" t="str">
        <f aca="false">IF($J795="","",IF($K795&lt;=BankCostEnvelope*'5. Scenarios'!$C$7,1,0))</f>
        <v/>
      </c>
      <c r="M795" s="57" t="str">
        <f aca="false">IF($I795="","",INDEX(BookRate,790)*(1+'5. Scenarios'!$C$10)*(INDEX(BookQ1,790)*(5-MIN(4,1+'5. Scenarios'!$C$8))/4+INDEX(BookQ2,790)*(5-MIN(4,2+'5. Scenarios'!$C$8))/4+INDEX(BookQ3,790)*(5-MIN(4,3+'5. Scenarios'!$C$8))/4+INDEX(BookQ4,790)*(5-MIN(4,4+'5. Scenarios'!$C$8))/4)*'5. Scenarios'!$C$6/(1+ProductivityDefault*('5. Scenarios'!$C$11-1))+INDEX(BookOneOff,790)*$I795)</f>
        <v/>
      </c>
      <c r="N795" s="56" t="str">
        <f aca="false">IF(INDEX(BookTitle,790)="","",INDEX(BookTotal,790)*'5. Scenarios'!$D$6/(1+ProductivityDefault*('5. Scenarios'!$D$11-1)))</f>
        <v/>
      </c>
      <c r="O795" s="57" t="str">
        <f aca="false">IF($N795="","",INDEX(BookRate,790)*(1+'5. Scenarios'!$D$10)*$N795)</f>
        <v/>
      </c>
      <c r="P795" s="57" t="str">
        <f aca="false">IF($O795="","",SUMIFS($O$6:$O$2405,$A$6:$A$2405,"&lt;="&amp;$A795))</f>
        <v/>
      </c>
      <c r="Q795" s="57" t="str">
        <f aca="false">IF($O795="","",IF($P795&lt;=BankCostEnvelope*'5. Scenarios'!$D$7,1,0))</f>
        <v/>
      </c>
      <c r="R795" s="57" t="str">
        <f aca="false">IF($N795="","",INDEX(BookRate,790)*(1+'5. Scenarios'!$D$10)*(INDEX(BookQ1,790)*(5-MIN(4,1+'5. Scenarios'!$D$8))/4+INDEX(BookQ2,790)*(5-MIN(4,2+'5. Scenarios'!$D$8))/4+INDEX(BookQ3,790)*(5-MIN(4,3+'5. Scenarios'!$D$8))/4+INDEX(BookQ4,790)*(5-MIN(4,4+'5. Scenarios'!$D$8))/4)*'5. Scenarios'!$D$6/(1+ProductivityDefault*('5. Scenarios'!$D$11-1))+INDEX(BookOneOff,790)*$N795)</f>
        <v/>
      </c>
      <c r="S795" s="56" t="str">
        <f aca="false">IF(INDEX(BookTitle,790)="","",INDEX(BookTotal,790)*'5. Scenarios'!$E$6/(1+ProductivityDefault*('5. Scenarios'!$E$11-1)))</f>
        <v/>
      </c>
      <c r="T795" s="57" t="str">
        <f aca="false">IF($S795="","",INDEX(BookRate,790)*(1+'5. Scenarios'!$E$10)*$S795)</f>
        <v/>
      </c>
      <c r="U795" s="57" t="str">
        <f aca="false">IF($T795="","",SUMIFS($T$6:$T$2405,$A$6:$A$2405,"&lt;="&amp;$A795))</f>
        <v/>
      </c>
      <c r="V795" s="57" t="str">
        <f aca="false">IF($T795="","",IF($U795&lt;=BankCostEnvelope*'5. Scenarios'!$E$7,1,0))</f>
        <v/>
      </c>
      <c r="W795" s="57" t="str">
        <f aca="false">IF($S795="","",INDEX(BookRate,790)*(1+'5. Scenarios'!$E$10)*(INDEX(BookQ1,790)*(5-MIN(4,1+'5. Scenarios'!$E$8))/4+INDEX(BookQ2,790)*(5-MIN(4,2+'5. Scenarios'!$E$8))/4+INDEX(BookQ3,790)*(5-MIN(4,3+'5. Scenarios'!$E$8))/4+INDEX(BookQ4,790)*(5-MIN(4,4+'5. Scenarios'!$E$8))/4)*'5. Scenarios'!$E$6/(1+ProductivityDefault*('5. Scenarios'!$E$11-1))+INDEX(BookOneOff,790)*$S795)</f>
        <v/>
      </c>
    </row>
    <row r="796" customFormat="false" ht="15" hidden="false" customHeight="false" outlineLevel="0" collapsed="false">
      <c r="A796" s="0" t="str">
        <f aca="false">IF(INDEX(BookTitle,791)="","",INDEX(BookKey,791))</f>
        <v/>
      </c>
      <c r="B796" s="0" t="str">
        <f aca="false">IF(INDEX(BookTitle,791)="","",INDEX(BookGroup,791))</f>
        <v/>
      </c>
      <c r="C796" s="0" t="str">
        <f aca="false">IF(INDEX(BookTitle,791)="","",INDEX(BookCategory,791))</f>
        <v/>
      </c>
      <c r="D796" s="56" t="str">
        <f aca="false">IF(INDEX(BookTitle,791)="","",INDEX(BookTotal,791)*'5. Scenarios'!$B$6/(1+ProductivityDefault*('5. Scenarios'!$B$11-1)))</f>
        <v/>
      </c>
      <c r="E796" s="57" t="str">
        <f aca="false">IF($D796="","",INDEX(BookRate,791)*(1+'5. Scenarios'!$B$10)*$D796)</f>
        <v/>
      </c>
      <c r="F796" s="57" t="str">
        <f aca="false">IF($E796="","",SUMIFS($E$6:$E$2405,$A$6:$A$2405,"&lt;="&amp;$A796))</f>
        <v/>
      </c>
      <c r="G796" s="57" t="str">
        <f aca="false">IF($E796="","",IF($F796&lt;=BankCostEnvelope*'5. Scenarios'!$B$7,1,0))</f>
        <v/>
      </c>
      <c r="H796" s="57" t="str">
        <f aca="false">IF($D796="","",INDEX(BookRate,791)*(1+'5. Scenarios'!$B$10)*(INDEX(BookQ1,791)*(5-MIN(4,1+'5. Scenarios'!$B$8))/4+INDEX(BookQ2,791)*(5-MIN(4,2+'5. Scenarios'!$B$8))/4+INDEX(BookQ3,791)*(5-MIN(4,3+'5. Scenarios'!$B$8))/4+INDEX(BookQ4,791)*(5-MIN(4,4+'5. Scenarios'!$B$8))/4)*'5. Scenarios'!$B$6/(1+ProductivityDefault*('5. Scenarios'!$B$11-1))+INDEX(BookOneOff,791)*$D796)</f>
        <v/>
      </c>
      <c r="I796" s="56" t="str">
        <f aca="false">IF(INDEX(BookTitle,791)="","",INDEX(BookTotal,791)*'5. Scenarios'!$C$6/(1+ProductivityDefault*('5. Scenarios'!$C$11-1)))</f>
        <v/>
      </c>
      <c r="J796" s="57" t="str">
        <f aca="false">IF($I796="","",INDEX(BookRate,791)*(1+'5. Scenarios'!$C$10)*$I796)</f>
        <v/>
      </c>
      <c r="K796" s="57" t="str">
        <f aca="false">IF($J796="","",SUMIFS($J$6:$J$2405,$A$6:$A$2405,"&lt;="&amp;$A796))</f>
        <v/>
      </c>
      <c r="L796" s="57" t="str">
        <f aca="false">IF($J796="","",IF($K796&lt;=BankCostEnvelope*'5. Scenarios'!$C$7,1,0))</f>
        <v/>
      </c>
      <c r="M796" s="57" t="str">
        <f aca="false">IF($I796="","",INDEX(BookRate,791)*(1+'5. Scenarios'!$C$10)*(INDEX(BookQ1,791)*(5-MIN(4,1+'5. Scenarios'!$C$8))/4+INDEX(BookQ2,791)*(5-MIN(4,2+'5. Scenarios'!$C$8))/4+INDEX(BookQ3,791)*(5-MIN(4,3+'5. Scenarios'!$C$8))/4+INDEX(BookQ4,791)*(5-MIN(4,4+'5. Scenarios'!$C$8))/4)*'5. Scenarios'!$C$6/(1+ProductivityDefault*('5. Scenarios'!$C$11-1))+INDEX(BookOneOff,791)*$I796)</f>
        <v/>
      </c>
      <c r="N796" s="56" t="str">
        <f aca="false">IF(INDEX(BookTitle,791)="","",INDEX(BookTotal,791)*'5. Scenarios'!$D$6/(1+ProductivityDefault*('5. Scenarios'!$D$11-1)))</f>
        <v/>
      </c>
      <c r="O796" s="57" t="str">
        <f aca="false">IF($N796="","",INDEX(BookRate,791)*(1+'5. Scenarios'!$D$10)*$N796)</f>
        <v/>
      </c>
      <c r="P796" s="57" t="str">
        <f aca="false">IF($O796="","",SUMIFS($O$6:$O$2405,$A$6:$A$2405,"&lt;="&amp;$A796))</f>
        <v/>
      </c>
      <c r="Q796" s="57" t="str">
        <f aca="false">IF($O796="","",IF($P796&lt;=BankCostEnvelope*'5. Scenarios'!$D$7,1,0))</f>
        <v/>
      </c>
      <c r="R796" s="57" t="str">
        <f aca="false">IF($N796="","",INDEX(BookRate,791)*(1+'5. Scenarios'!$D$10)*(INDEX(BookQ1,791)*(5-MIN(4,1+'5. Scenarios'!$D$8))/4+INDEX(BookQ2,791)*(5-MIN(4,2+'5. Scenarios'!$D$8))/4+INDEX(BookQ3,791)*(5-MIN(4,3+'5. Scenarios'!$D$8))/4+INDEX(BookQ4,791)*(5-MIN(4,4+'5. Scenarios'!$D$8))/4)*'5. Scenarios'!$D$6/(1+ProductivityDefault*('5. Scenarios'!$D$11-1))+INDEX(BookOneOff,791)*$N796)</f>
        <v/>
      </c>
      <c r="S796" s="56" t="str">
        <f aca="false">IF(INDEX(BookTitle,791)="","",INDEX(BookTotal,791)*'5. Scenarios'!$E$6/(1+ProductivityDefault*('5. Scenarios'!$E$11-1)))</f>
        <v/>
      </c>
      <c r="T796" s="57" t="str">
        <f aca="false">IF($S796="","",INDEX(BookRate,791)*(1+'5. Scenarios'!$E$10)*$S796)</f>
        <v/>
      </c>
      <c r="U796" s="57" t="str">
        <f aca="false">IF($T796="","",SUMIFS($T$6:$T$2405,$A$6:$A$2405,"&lt;="&amp;$A796))</f>
        <v/>
      </c>
      <c r="V796" s="57" t="str">
        <f aca="false">IF($T796="","",IF($U796&lt;=BankCostEnvelope*'5. Scenarios'!$E$7,1,0))</f>
        <v/>
      </c>
      <c r="W796" s="57" t="str">
        <f aca="false">IF($S796="","",INDEX(BookRate,791)*(1+'5. Scenarios'!$E$10)*(INDEX(BookQ1,791)*(5-MIN(4,1+'5. Scenarios'!$E$8))/4+INDEX(BookQ2,791)*(5-MIN(4,2+'5. Scenarios'!$E$8))/4+INDEX(BookQ3,791)*(5-MIN(4,3+'5. Scenarios'!$E$8))/4+INDEX(BookQ4,791)*(5-MIN(4,4+'5. Scenarios'!$E$8))/4)*'5. Scenarios'!$E$6/(1+ProductivityDefault*('5. Scenarios'!$E$11-1))+INDEX(BookOneOff,791)*$S796)</f>
        <v/>
      </c>
    </row>
    <row r="797" customFormat="false" ht="15" hidden="false" customHeight="false" outlineLevel="0" collapsed="false">
      <c r="A797" s="0" t="str">
        <f aca="false">IF(INDEX(BookTitle,792)="","",INDEX(BookKey,792))</f>
        <v/>
      </c>
      <c r="B797" s="0" t="str">
        <f aca="false">IF(INDEX(BookTitle,792)="","",INDEX(BookGroup,792))</f>
        <v/>
      </c>
      <c r="C797" s="0" t="str">
        <f aca="false">IF(INDEX(BookTitle,792)="","",INDEX(BookCategory,792))</f>
        <v/>
      </c>
      <c r="D797" s="56" t="str">
        <f aca="false">IF(INDEX(BookTitle,792)="","",INDEX(BookTotal,792)*'5. Scenarios'!$B$6/(1+ProductivityDefault*('5. Scenarios'!$B$11-1)))</f>
        <v/>
      </c>
      <c r="E797" s="57" t="str">
        <f aca="false">IF($D797="","",INDEX(BookRate,792)*(1+'5. Scenarios'!$B$10)*$D797)</f>
        <v/>
      </c>
      <c r="F797" s="57" t="str">
        <f aca="false">IF($E797="","",SUMIFS($E$6:$E$2405,$A$6:$A$2405,"&lt;="&amp;$A797))</f>
        <v/>
      </c>
      <c r="G797" s="57" t="str">
        <f aca="false">IF($E797="","",IF($F797&lt;=BankCostEnvelope*'5. Scenarios'!$B$7,1,0))</f>
        <v/>
      </c>
      <c r="H797" s="57" t="str">
        <f aca="false">IF($D797="","",INDEX(BookRate,792)*(1+'5. Scenarios'!$B$10)*(INDEX(BookQ1,792)*(5-MIN(4,1+'5. Scenarios'!$B$8))/4+INDEX(BookQ2,792)*(5-MIN(4,2+'5. Scenarios'!$B$8))/4+INDEX(BookQ3,792)*(5-MIN(4,3+'5. Scenarios'!$B$8))/4+INDEX(BookQ4,792)*(5-MIN(4,4+'5. Scenarios'!$B$8))/4)*'5. Scenarios'!$B$6/(1+ProductivityDefault*('5. Scenarios'!$B$11-1))+INDEX(BookOneOff,792)*$D797)</f>
        <v/>
      </c>
      <c r="I797" s="56" t="str">
        <f aca="false">IF(INDEX(BookTitle,792)="","",INDEX(BookTotal,792)*'5. Scenarios'!$C$6/(1+ProductivityDefault*('5. Scenarios'!$C$11-1)))</f>
        <v/>
      </c>
      <c r="J797" s="57" t="str">
        <f aca="false">IF($I797="","",INDEX(BookRate,792)*(1+'5. Scenarios'!$C$10)*$I797)</f>
        <v/>
      </c>
      <c r="K797" s="57" t="str">
        <f aca="false">IF($J797="","",SUMIFS($J$6:$J$2405,$A$6:$A$2405,"&lt;="&amp;$A797))</f>
        <v/>
      </c>
      <c r="L797" s="57" t="str">
        <f aca="false">IF($J797="","",IF($K797&lt;=BankCostEnvelope*'5. Scenarios'!$C$7,1,0))</f>
        <v/>
      </c>
      <c r="M797" s="57" t="str">
        <f aca="false">IF($I797="","",INDEX(BookRate,792)*(1+'5. Scenarios'!$C$10)*(INDEX(BookQ1,792)*(5-MIN(4,1+'5. Scenarios'!$C$8))/4+INDEX(BookQ2,792)*(5-MIN(4,2+'5. Scenarios'!$C$8))/4+INDEX(BookQ3,792)*(5-MIN(4,3+'5. Scenarios'!$C$8))/4+INDEX(BookQ4,792)*(5-MIN(4,4+'5. Scenarios'!$C$8))/4)*'5. Scenarios'!$C$6/(1+ProductivityDefault*('5. Scenarios'!$C$11-1))+INDEX(BookOneOff,792)*$I797)</f>
        <v/>
      </c>
      <c r="N797" s="56" t="str">
        <f aca="false">IF(INDEX(BookTitle,792)="","",INDEX(BookTotal,792)*'5. Scenarios'!$D$6/(1+ProductivityDefault*('5. Scenarios'!$D$11-1)))</f>
        <v/>
      </c>
      <c r="O797" s="57" t="str">
        <f aca="false">IF($N797="","",INDEX(BookRate,792)*(1+'5. Scenarios'!$D$10)*$N797)</f>
        <v/>
      </c>
      <c r="P797" s="57" t="str">
        <f aca="false">IF($O797="","",SUMIFS($O$6:$O$2405,$A$6:$A$2405,"&lt;="&amp;$A797))</f>
        <v/>
      </c>
      <c r="Q797" s="57" t="str">
        <f aca="false">IF($O797="","",IF($P797&lt;=BankCostEnvelope*'5. Scenarios'!$D$7,1,0))</f>
        <v/>
      </c>
      <c r="R797" s="57" t="str">
        <f aca="false">IF($N797="","",INDEX(BookRate,792)*(1+'5. Scenarios'!$D$10)*(INDEX(BookQ1,792)*(5-MIN(4,1+'5. Scenarios'!$D$8))/4+INDEX(BookQ2,792)*(5-MIN(4,2+'5. Scenarios'!$D$8))/4+INDEX(BookQ3,792)*(5-MIN(4,3+'5. Scenarios'!$D$8))/4+INDEX(BookQ4,792)*(5-MIN(4,4+'5. Scenarios'!$D$8))/4)*'5. Scenarios'!$D$6/(1+ProductivityDefault*('5. Scenarios'!$D$11-1))+INDEX(BookOneOff,792)*$N797)</f>
        <v/>
      </c>
      <c r="S797" s="56" t="str">
        <f aca="false">IF(INDEX(BookTitle,792)="","",INDEX(BookTotal,792)*'5. Scenarios'!$E$6/(1+ProductivityDefault*('5. Scenarios'!$E$11-1)))</f>
        <v/>
      </c>
      <c r="T797" s="57" t="str">
        <f aca="false">IF($S797="","",INDEX(BookRate,792)*(1+'5. Scenarios'!$E$10)*$S797)</f>
        <v/>
      </c>
      <c r="U797" s="57" t="str">
        <f aca="false">IF($T797="","",SUMIFS($T$6:$T$2405,$A$6:$A$2405,"&lt;="&amp;$A797))</f>
        <v/>
      </c>
      <c r="V797" s="57" t="str">
        <f aca="false">IF($T797="","",IF($U797&lt;=BankCostEnvelope*'5. Scenarios'!$E$7,1,0))</f>
        <v/>
      </c>
      <c r="W797" s="57" t="str">
        <f aca="false">IF($S797="","",INDEX(BookRate,792)*(1+'5. Scenarios'!$E$10)*(INDEX(BookQ1,792)*(5-MIN(4,1+'5. Scenarios'!$E$8))/4+INDEX(BookQ2,792)*(5-MIN(4,2+'5. Scenarios'!$E$8))/4+INDEX(BookQ3,792)*(5-MIN(4,3+'5. Scenarios'!$E$8))/4+INDEX(BookQ4,792)*(5-MIN(4,4+'5. Scenarios'!$E$8))/4)*'5. Scenarios'!$E$6/(1+ProductivityDefault*('5. Scenarios'!$E$11-1))+INDEX(BookOneOff,792)*$S797)</f>
        <v/>
      </c>
    </row>
    <row r="798" customFormat="false" ht="15" hidden="false" customHeight="false" outlineLevel="0" collapsed="false">
      <c r="A798" s="0" t="str">
        <f aca="false">IF(INDEX(BookTitle,793)="","",INDEX(BookKey,793))</f>
        <v/>
      </c>
      <c r="B798" s="0" t="str">
        <f aca="false">IF(INDEX(BookTitle,793)="","",INDEX(BookGroup,793))</f>
        <v/>
      </c>
      <c r="C798" s="0" t="str">
        <f aca="false">IF(INDEX(BookTitle,793)="","",INDEX(BookCategory,793))</f>
        <v/>
      </c>
      <c r="D798" s="56" t="str">
        <f aca="false">IF(INDEX(BookTitle,793)="","",INDEX(BookTotal,793)*'5. Scenarios'!$B$6/(1+ProductivityDefault*('5. Scenarios'!$B$11-1)))</f>
        <v/>
      </c>
      <c r="E798" s="57" t="str">
        <f aca="false">IF($D798="","",INDEX(BookRate,793)*(1+'5. Scenarios'!$B$10)*$D798)</f>
        <v/>
      </c>
      <c r="F798" s="57" t="str">
        <f aca="false">IF($E798="","",SUMIFS($E$6:$E$2405,$A$6:$A$2405,"&lt;="&amp;$A798))</f>
        <v/>
      </c>
      <c r="G798" s="57" t="str">
        <f aca="false">IF($E798="","",IF($F798&lt;=BankCostEnvelope*'5. Scenarios'!$B$7,1,0))</f>
        <v/>
      </c>
      <c r="H798" s="57" t="str">
        <f aca="false">IF($D798="","",INDEX(BookRate,793)*(1+'5. Scenarios'!$B$10)*(INDEX(BookQ1,793)*(5-MIN(4,1+'5. Scenarios'!$B$8))/4+INDEX(BookQ2,793)*(5-MIN(4,2+'5. Scenarios'!$B$8))/4+INDEX(BookQ3,793)*(5-MIN(4,3+'5. Scenarios'!$B$8))/4+INDEX(BookQ4,793)*(5-MIN(4,4+'5. Scenarios'!$B$8))/4)*'5. Scenarios'!$B$6/(1+ProductivityDefault*('5. Scenarios'!$B$11-1))+INDEX(BookOneOff,793)*$D798)</f>
        <v/>
      </c>
      <c r="I798" s="56" t="str">
        <f aca="false">IF(INDEX(BookTitle,793)="","",INDEX(BookTotal,793)*'5. Scenarios'!$C$6/(1+ProductivityDefault*('5. Scenarios'!$C$11-1)))</f>
        <v/>
      </c>
      <c r="J798" s="57" t="str">
        <f aca="false">IF($I798="","",INDEX(BookRate,793)*(1+'5. Scenarios'!$C$10)*$I798)</f>
        <v/>
      </c>
      <c r="K798" s="57" t="str">
        <f aca="false">IF($J798="","",SUMIFS($J$6:$J$2405,$A$6:$A$2405,"&lt;="&amp;$A798))</f>
        <v/>
      </c>
      <c r="L798" s="57" t="str">
        <f aca="false">IF($J798="","",IF($K798&lt;=BankCostEnvelope*'5. Scenarios'!$C$7,1,0))</f>
        <v/>
      </c>
      <c r="M798" s="57" t="str">
        <f aca="false">IF($I798="","",INDEX(BookRate,793)*(1+'5. Scenarios'!$C$10)*(INDEX(BookQ1,793)*(5-MIN(4,1+'5. Scenarios'!$C$8))/4+INDEX(BookQ2,793)*(5-MIN(4,2+'5. Scenarios'!$C$8))/4+INDEX(BookQ3,793)*(5-MIN(4,3+'5. Scenarios'!$C$8))/4+INDEX(BookQ4,793)*(5-MIN(4,4+'5. Scenarios'!$C$8))/4)*'5. Scenarios'!$C$6/(1+ProductivityDefault*('5. Scenarios'!$C$11-1))+INDEX(BookOneOff,793)*$I798)</f>
        <v/>
      </c>
      <c r="N798" s="56" t="str">
        <f aca="false">IF(INDEX(BookTitle,793)="","",INDEX(BookTotal,793)*'5. Scenarios'!$D$6/(1+ProductivityDefault*('5. Scenarios'!$D$11-1)))</f>
        <v/>
      </c>
      <c r="O798" s="57" t="str">
        <f aca="false">IF($N798="","",INDEX(BookRate,793)*(1+'5. Scenarios'!$D$10)*$N798)</f>
        <v/>
      </c>
      <c r="P798" s="57" t="str">
        <f aca="false">IF($O798="","",SUMIFS($O$6:$O$2405,$A$6:$A$2405,"&lt;="&amp;$A798))</f>
        <v/>
      </c>
      <c r="Q798" s="57" t="str">
        <f aca="false">IF($O798="","",IF($P798&lt;=BankCostEnvelope*'5. Scenarios'!$D$7,1,0))</f>
        <v/>
      </c>
      <c r="R798" s="57" t="str">
        <f aca="false">IF($N798="","",INDEX(BookRate,793)*(1+'5. Scenarios'!$D$10)*(INDEX(BookQ1,793)*(5-MIN(4,1+'5. Scenarios'!$D$8))/4+INDEX(BookQ2,793)*(5-MIN(4,2+'5. Scenarios'!$D$8))/4+INDEX(BookQ3,793)*(5-MIN(4,3+'5. Scenarios'!$D$8))/4+INDEX(BookQ4,793)*(5-MIN(4,4+'5. Scenarios'!$D$8))/4)*'5. Scenarios'!$D$6/(1+ProductivityDefault*('5. Scenarios'!$D$11-1))+INDEX(BookOneOff,793)*$N798)</f>
        <v/>
      </c>
      <c r="S798" s="56" t="str">
        <f aca="false">IF(INDEX(BookTitle,793)="","",INDEX(BookTotal,793)*'5. Scenarios'!$E$6/(1+ProductivityDefault*('5. Scenarios'!$E$11-1)))</f>
        <v/>
      </c>
      <c r="T798" s="57" t="str">
        <f aca="false">IF($S798="","",INDEX(BookRate,793)*(1+'5. Scenarios'!$E$10)*$S798)</f>
        <v/>
      </c>
      <c r="U798" s="57" t="str">
        <f aca="false">IF($T798="","",SUMIFS($T$6:$T$2405,$A$6:$A$2405,"&lt;="&amp;$A798))</f>
        <v/>
      </c>
      <c r="V798" s="57" t="str">
        <f aca="false">IF($T798="","",IF($U798&lt;=BankCostEnvelope*'5. Scenarios'!$E$7,1,0))</f>
        <v/>
      </c>
      <c r="W798" s="57" t="str">
        <f aca="false">IF($S798="","",INDEX(BookRate,793)*(1+'5. Scenarios'!$E$10)*(INDEX(BookQ1,793)*(5-MIN(4,1+'5. Scenarios'!$E$8))/4+INDEX(BookQ2,793)*(5-MIN(4,2+'5. Scenarios'!$E$8))/4+INDEX(BookQ3,793)*(5-MIN(4,3+'5. Scenarios'!$E$8))/4+INDEX(BookQ4,793)*(5-MIN(4,4+'5. Scenarios'!$E$8))/4)*'5. Scenarios'!$E$6/(1+ProductivityDefault*('5. Scenarios'!$E$11-1))+INDEX(BookOneOff,793)*$S798)</f>
        <v/>
      </c>
    </row>
    <row r="799" customFormat="false" ht="15" hidden="false" customHeight="false" outlineLevel="0" collapsed="false">
      <c r="A799" s="0" t="str">
        <f aca="false">IF(INDEX(BookTitle,794)="","",INDEX(BookKey,794))</f>
        <v/>
      </c>
      <c r="B799" s="0" t="str">
        <f aca="false">IF(INDEX(BookTitle,794)="","",INDEX(BookGroup,794))</f>
        <v/>
      </c>
      <c r="C799" s="0" t="str">
        <f aca="false">IF(INDEX(BookTitle,794)="","",INDEX(BookCategory,794))</f>
        <v/>
      </c>
      <c r="D799" s="56" t="str">
        <f aca="false">IF(INDEX(BookTitle,794)="","",INDEX(BookTotal,794)*'5. Scenarios'!$B$6/(1+ProductivityDefault*('5. Scenarios'!$B$11-1)))</f>
        <v/>
      </c>
      <c r="E799" s="57" t="str">
        <f aca="false">IF($D799="","",INDEX(BookRate,794)*(1+'5. Scenarios'!$B$10)*$D799)</f>
        <v/>
      </c>
      <c r="F799" s="57" t="str">
        <f aca="false">IF($E799="","",SUMIFS($E$6:$E$2405,$A$6:$A$2405,"&lt;="&amp;$A799))</f>
        <v/>
      </c>
      <c r="G799" s="57" t="str">
        <f aca="false">IF($E799="","",IF($F799&lt;=BankCostEnvelope*'5. Scenarios'!$B$7,1,0))</f>
        <v/>
      </c>
      <c r="H799" s="57" t="str">
        <f aca="false">IF($D799="","",INDEX(BookRate,794)*(1+'5. Scenarios'!$B$10)*(INDEX(BookQ1,794)*(5-MIN(4,1+'5. Scenarios'!$B$8))/4+INDEX(BookQ2,794)*(5-MIN(4,2+'5. Scenarios'!$B$8))/4+INDEX(BookQ3,794)*(5-MIN(4,3+'5. Scenarios'!$B$8))/4+INDEX(BookQ4,794)*(5-MIN(4,4+'5. Scenarios'!$B$8))/4)*'5. Scenarios'!$B$6/(1+ProductivityDefault*('5. Scenarios'!$B$11-1))+INDEX(BookOneOff,794)*$D799)</f>
        <v/>
      </c>
      <c r="I799" s="56" t="str">
        <f aca="false">IF(INDEX(BookTitle,794)="","",INDEX(BookTotal,794)*'5. Scenarios'!$C$6/(1+ProductivityDefault*('5. Scenarios'!$C$11-1)))</f>
        <v/>
      </c>
      <c r="J799" s="57" t="str">
        <f aca="false">IF($I799="","",INDEX(BookRate,794)*(1+'5. Scenarios'!$C$10)*$I799)</f>
        <v/>
      </c>
      <c r="K799" s="57" t="str">
        <f aca="false">IF($J799="","",SUMIFS($J$6:$J$2405,$A$6:$A$2405,"&lt;="&amp;$A799))</f>
        <v/>
      </c>
      <c r="L799" s="57" t="str">
        <f aca="false">IF($J799="","",IF($K799&lt;=BankCostEnvelope*'5. Scenarios'!$C$7,1,0))</f>
        <v/>
      </c>
      <c r="M799" s="57" t="str">
        <f aca="false">IF($I799="","",INDEX(BookRate,794)*(1+'5. Scenarios'!$C$10)*(INDEX(BookQ1,794)*(5-MIN(4,1+'5. Scenarios'!$C$8))/4+INDEX(BookQ2,794)*(5-MIN(4,2+'5. Scenarios'!$C$8))/4+INDEX(BookQ3,794)*(5-MIN(4,3+'5. Scenarios'!$C$8))/4+INDEX(BookQ4,794)*(5-MIN(4,4+'5. Scenarios'!$C$8))/4)*'5. Scenarios'!$C$6/(1+ProductivityDefault*('5. Scenarios'!$C$11-1))+INDEX(BookOneOff,794)*$I799)</f>
        <v/>
      </c>
      <c r="N799" s="56" t="str">
        <f aca="false">IF(INDEX(BookTitle,794)="","",INDEX(BookTotal,794)*'5. Scenarios'!$D$6/(1+ProductivityDefault*('5. Scenarios'!$D$11-1)))</f>
        <v/>
      </c>
      <c r="O799" s="57" t="str">
        <f aca="false">IF($N799="","",INDEX(BookRate,794)*(1+'5. Scenarios'!$D$10)*$N799)</f>
        <v/>
      </c>
      <c r="P799" s="57" t="str">
        <f aca="false">IF($O799="","",SUMIFS($O$6:$O$2405,$A$6:$A$2405,"&lt;="&amp;$A799))</f>
        <v/>
      </c>
      <c r="Q799" s="57" t="str">
        <f aca="false">IF($O799="","",IF($P799&lt;=BankCostEnvelope*'5. Scenarios'!$D$7,1,0))</f>
        <v/>
      </c>
      <c r="R799" s="57" t="str">
        <f aca="false">IF($N799="","",INDEX(BookRate,794)*(1+'5. Scenarios'!$D$10)*(INDEX(BookQ1,794)*(5-MIN(4,1+'5. Scenarios'!$D$8))/4+INDEX(BookQ2,794)*(5-MIN(4,2+'5. Scenarios'!$D$8))/4+INDEX(BookQ3,794)*(5-MIN(4,3+'5. Scenarios'!$D$8))/4+INDEX(BookQ4,794)*(5-MIN(4,4+'5. Scenarios'!$D$8))/4)*'5. Scenarios'!$D$6/(1+ProductivityDefault*('5. Scenarios'!$D$11-1))+INDEX(BookOneOff,794)*$N799)</f>
        <v/>
      </c>
      <c r="S799" s="56" t="str">
        <f aca="false">IF(INDEX(BookTitle,794)="","",INDEX(BookTotal,794)*'5. Scenarios'!$E$6/(1+ProductivityDefault*('5. Scenarios'!$E$11-1)))</f>
        <v/>
      </c>
      <c r="T799" s="57" t="str">
        <f aca="false">IF($S799="","",INDEX(BookRate,794)*(1+'5. Scenarios'!$E$10)*$S799)</f>
        <v/>
      </c>
      <c r="U799" s="57" t="str">
        <f aca="false">IF($T799="","",SUMIFS($T$6:$T$2405,$A$6:$A$2405,"&lt;="&amp;$A799))</f>
        <v/>
      </c>
      <c r="V799" s="57" t="str">
        <f aca="false">IF($T799="","",IF($U799&lt;=BankCostEnvelope*'5. Scenarios'!$E$7,1,0))</f>
        <v/>
      </c>
      <c r="W799" s="57" t="str">
        <f aca="false">IF($S799="","",INDEX(BookRate,794)*(1+'5. Scenarios'!$E$10)*(INDEX(BookQ1,794)*(5-MIN(4,1+'5. Scenarios'!$E$8))/4+INDEX(BookQ2,794)*(5-MIN(4,2+'5. Scenarios'!$E$8))/4+INDEX(BookQ3,794)*(5-MIN(4,3+'5. Scenarios'!$E$8))/4+INDEX(BookQ4,794)*(5-MIN(4,4+'5. Scenarios'!$E$8))/4)*'5. Scenarios'!$E$6/(1+ProductivityDefault*('5. Scenarios'!$E$11-1))+INDEX(BookOneOff,794)*$S799)</f>
        <v/>
      </c>
    </row>
    <row r="800" customFormat="false" ht="15" hidden="false" customHeight="false" outlineLevel="0" collapsed="false">
      <c r="A800" s="0" t="str">
        <f aca="false">IF(INDEX(BookTitle,795)="","",INDEX(BookKey,795))</f>
        <v/>
      </c>
      <c r="B800" s="0" t="str">
        <f aca="false">IF(INDEX(BookTitle,795)="","",INDEX(BookGroup,795))</f>
        <v/>
      </c>
      <c r="C800" s="0" t="str">
        <f aca="false">IF(INDEX(BookTitle,795)="","",INDEX(BookCategory,795))</f>
        <v/>
      </c>
      <c r="D800" s="56" t="str">
        <f aca="false">IF(INDEX(BookTitle,795)="","",INDEX(BookTotal,795)*'5. Scenarios'!$B$6/(1+ProductivityDefault*('5. Scenarios'!$B$11-1)))</f>
        <v/>
      </c>
      <c r="E800" s="57" t="str">
        <f aca="false">IF($D800="","",INDEX(BookRate,795)*(1+'5. Scenarios'!$B$10)*$D800)</f>
        <v/>
      </c>
      <c r="F800" s="57" t="str">
        <f aca="false">IF($E800="","",SUMIFS($E$6:$E$2405,$A$6:$A$2405,"&lt;="&amp;$A800))</f>
        <v/>
      </c>
      <c r="G800" s="57" t="str">
        <f aca="false">IF($E800="","",IF($F800&lt;=BankCostEnvelope*'5. Scenarios'!$B$7,1,0))</f>
        <v/>
      </c>
      <c r="H800" s="57" t="str">
        <f aca="false">IF($D800="","",INDEX(BookRate,795)*(1+'5. Scenarios'!$B$10)*(INDEX(BookQ1,795)*(5-MIN(4,1+'5. Scenarios'!$B$8))/4+INDEX(BookQ2,795)*(5-MIN(4,2+'5. Scenarios'!$B$8))/4+INDEX(BookQ3,795)*(5-MIN(4,3+'5. Scenarios'!$B$8))/4+INDEX(BookQ4,795)*(5-MIN(4,4+'5. Scenarios'!$B$8))/4)*'5. Scenarios'!$B$6/(1+ProductivityDefault*('5. Scenarios'!$B$11-1))+INDEX(BookOneOff,795)*$D800)</f>
        <v/>
      </c>
      <c r="I800" s="56" t="str">
        <f aca="false">IF(INDEX(BookTitle,795)="","",INDEX(BookTotal,795)*'5. Scenarios'!$C$6/(1+ProductivityDefault*('5. Scenarios'!$C$11-1)))</f>
        <v/>
      </c>
      <c r="J800" s="57" t="str">
        <f aca="false">IF($I800="","",INDEX(BookRate,795)*(1+'5. Scenarios'!$C$10)*$I800)</f>
        <v/>
      </c>
      <c r="K800" s="57" t="str">
        <f aca="false">IF($J800="","",SUMIFS($J$6:$J$2405,$A$6:$A$2405,"&lt;="&amp;$A800))</f>
        <v/>
      </c>
      <c r="L800" s="57" t="str">
        <f aca="false">IF($J800="","",IF($K800&lt;=BankCostEnvelope*'5. Scenarios'!$C$7,1,0))</f>
        <v/>
      </c>
      <c r="M800" s="57" t="str">
        <f aca="false">IF($I800="","",INDEX(BookRate,795)*(1+'5. Scenarios'!$C$10)*(INDEX(BookQ1,795)*(5-MIN(4,1+'5. Scenarios'!$C$8))/4+INDEX(BookQ2,795)*(5-MIN(4,2+'5. Scenarios'!$C$8))/4+INDEX(BookQ3,795)*(5-MIN(4,3+'5. Scenarios'!$C$8))/4+INDEX(BookQ4,795)*(5-MIN(4,4+'5. Scenarios'!$C$8))/4)*'5. Scenarios'!$C$6/(1+ProductivityDefault*('5. Scenarios'!$C$11-1))+INDEX(BookOneOff,795)*$I800)</f>
        <v/>
      </c>
      <c r="N800" s="56" t="str">
        <f aca="false">IF(INDEX(BookTitle,795)="","",INDEX(BookTotal,795)*'5. Scenarios'!$D$6/(1+ProductivityDefault*('5. Scenarios'!$D$11-1)))</f>
        <v/>
      </c>
      <c r="O800" s="57" t="str">
        <f aca="false">IF($N800="","",INDEX(BookRate,795)*(1+'5. Scenarios'!$D$10)*$N800)</f>
        <v/>
      </c>
      <c r="P800" s="57" t="str">
        <f aca="false">IF($O800="","",SUMIFS($O$6:$O$2405,$A$6:$A$2405,"&lt;="&amp;$A800))</f>
        <v/>
      </c>
      <c r="Q800" s="57" t="str">
        <f aca="false">IF($O800="","",IF($P800&lt;=BankCostEnvelope*'5. Scenarios'!$D$7,1,0))</f>
        <v/>
      </c>
      <c r="R800" s="57" t="str">
        <f aca="false">IF($N800="","",INDEX(BookRate,795)*(1+'5. Scenarios'!$D$10)*(INDEX(BookQ1,795)*(5-MIN(4,1+'5. Scenarios'!$D$8))/4+INDEX(BookQ2,795)*(5-MIN(4,2+'5. Scenarios'!$D$8))/4+INDEX(BookQ3,795)*(5-MIN(4,3+'5. Scenarios'!$D$8))/4+INDEX(BookQ4,795)*(5-MIN(4,4+'5. Scenarios'!$D$8))/4)*'5. Scenarios'!$D$6/(1+ProductivityDefault*('5. Scenarios'!$D$11-1))+INDEX(BookOneOff,795)*$N800)</f>
        <v/>
      </c>
      <c r="S800" s="56" t="str">
        <f aca="false">IF(INDEX(BookTitle,795)="","",INDEX(BookTotal,795)*'5. Scenarios'!$E$6/(1+ProductivityDefault*('5. Scenarios'!$E$11-1)))</f>
        <v/>
      </c>
      <c r="T800" s="57" t="str">
        <f aca="false">IF($S800="","",INDEX(BookRate,795)*(1+'5. Scenarios'!$E$10)*$S800)</f>
        <v/>
      </c>
      <c r="U800" s="57" t="str">
        <f aca="false">IF($T800="","",SUMIFS($T$6:$T$2405,$A$6:$A$2405,"&lt;="&amp;$A800))</f>
        <v/>
      </c>
      <c r="V800" s="57" t="str">
        <f aca="false">IF($T800="","",IF($U800&lt;=BankCostEnvelope*'5. Scenarios'!$E$7,1,0))</f>
        <v/>
      </c>
      <c r="W800" s="57" t="str">
        <f aca="false">IF($S800="","",INDEX(BookRate,795)*(1+'5. Scenarios'!$E$10)*(INDEX(BookQ1,795)*(5-MIN(4,1+'5. Scenarios'!$E$8))/4+INDEX(BookQ2,795)*(5-MIN(4,2+'5. Scenarios'!$E$8))/4+INDEX(BookQ3,795)*(5-MIN(4,3+'5. Scenarios'!$E$8))/4+INDEX(BookQ4,795)*(5-MIN(4,4+'5. Scenarios'!$E$8))/4)*'5. Scenarios'!$E$6/(1+ProductivityDefault*('5. Scenarios'!$E$11-1))+INDEX(BookOneOff,795)*$S800)</f>
        <v/>
      </c>
    </row>
    <row r="801" customFormat="false" ht="15" hidden="false" customHeight="false" outlineLevel="0" collapsed="false">
      <c r="A801" s="0" t="str">
        <f aca="false">IF(INDEX(BookTitle,796)="","",INDEX(BookKey,796))</f>
        <v/>
      </c>
      <c r="B801" s="0" t="str">
        <f aca="false">IF(INDEX(BookTitle,796)="","",INDEX(BookGroup,796))</f>
        <v/>
      </c>
      <c r="C801" s="0" t="str">
        <f aca="false">IF(INDEX(BookTitle,796)="","",INDEX(BookCategory,796))</f>
        <v/>
      </c>
      <c r="D801" s="56" t="str">
        <f aca="false">IF(INDEX(BookTitle,796)="","",INDEX(BookTotal,796)*'5. Scenarios'!$B$6/(1+ProductivityDefault*('5. Scenarios'!$B$11-1)))</f>
        <v/>
      </c>
      <c r="E801" s="57" t="str">
        <f aca="false">IF($D801="","",INDEX(BookRate,796)*(1+'5. Scenarios'!$B$10)*$D801)</f>
        <v/>
      </c>
      <c r="F801" s="57" t="str">
        <f aca="false">IF($E801="","",SUMIFS($E$6:$E$2405,$A$6:$A$2405,"&lt;="&amp;$A801))</f>
        <v/>
      </c>
      <c r="G801" s="57" t="str">
        <f aca="false">IF($E801="","",IF($F801&lt;=BankCostEnvelope*'5. Scenarios'!$B$7,1,0))</f>
        <v/>
      </c>
      <c r="H801" s="57" t="str">
        <f aca="false">IF($D801="","",INDEX(BookRate,796)*(1+'5. Scenarios'!$B$10)*(INDEX(BookQ1,796)*(5-MIN(4,1+'5. Scenarios'!$B$8))/4+INDEX(BookQ2,796)*(5-MIN(4,2+'5. Scenarios'!$B$8))/4+INDEX(BookQ3,796)*(5-MIN(4,3+'5. Scenarios'!$B$8))/4+INDEX(BookQ4,796)*(5-MIN(4,4+'5. Scenarios'!$B$8))/4)*'5. Scenarios'!$B$6/(1+ProductivityDefault*('5. Scenarios'!$B$11-1))+INDEX(BookOneOff,796)*$D801)</f>
        <v/>
      </c>
      <c r="I801" s="56" t="str">
        <f aca="false">IF(INDEX(BookTitle,796)="","",INDEX(BookTotal,796)*'5. Scenarios'!$C$6/(1+ProductivityDefault*('5. Scenarios'!$C$11-1)))</f>
        <v/>
      </c>
      <c r="J801" s="57" t="str">
        <f aca="false">IF($I801="","",INDEX(BookRate,796)*(1+'5. Scenarios'!$C$10)*$I801)</f>
        <v/>
      </c>
      <c r="K801" s="57" t="str">
        <f aca="false">IF($J801="","",SUMIFS($J$6:$J$2405,$A$6:$A$2405,"&lt;="&amp;$A801))</f>
        <v/>
      </c>
      <c r="L801" s="57" t="str">
        <f aca="false">IF($J801="","",IF($K801&lt;=BankCostEnvelope*'5. Scenarios'!$C$7,1,0))</f>
        <v/>
      </c>
      <c r="M801" s="57" t="str">
        <f aca="false">IF($I801="","",INDEX(BookRate,796)*(1+'5. Scenarios'!$C$10)*(INDEX(BookQ1,796)*(5-MIN(4,1+'5. Scenarios'!$C$8))/4+INDEX(BookQ2,796)*(5-MIN(4,2+'5. Scenarios'!$C$8))/4+INDEX(BookQ3,796)*(5-MIN(4,3+'5. Scenarios'!$C$8))/4+INDEX(BookQ4,796)*(5-MIN(4,4+'5. Scenarios'!$C$8))/4)*'5. Scenarios'!$C$6/(1+ProductivityDefault*('5. Scenarios'!$C$11-1))+INDEX(BookOneOff,796)*$I801)</f>
        <v/>
      </c>
      <c r="N801" s="56" t="str">
        <f aca="false">IF(INDEX(BookTitle,796)="","",INDEX(BookTotal,796)*'5. Scenarios'!$D$6/(1+ProductivityDefault*('5. Scenarios'!$D$11-1)))</f>
        <v/>
      </c>
      <c r="O801" s="57" t="str">
        <f aca="false">IF($N801="","",INDEX(BookRate,796)*(1+'5. Scenarios'!$D$10)*$N801)</f>
        <v/>
      </c>
      <c r="P801" s="57" t="str">
        <f aca="false">IF($O801="","",SUMIFS($O$6:$O$2405,$A$6:$A$2405,"&lt;="&amp;$A801))</f>
        <v/>
      </c>
      <c r="Q801" s="57" t="str">
        <f aca="false">IF($O801="","",IF($P801&lt;=BankCostEnvelope*'5. Scenarios'!$D$7,1,0))</f>
        <v/>
      </c>
      <c r="R801" s="57" t="str">
        <f aca="false">IF($N801="","",INDEX(BookRate,796)*(1+'5. Scenarios'!$D$10)*(INDEX(BookQ1,796)*(5-MIN(4,1+'5. Scenarios'!$D$8))/4+INDEX(BookQ2,796)*(5-MIN(4,2+'5. Scenarios'!$D$8))/4+INDEX(BookQ3,796)*(5-MIN(4,3+'5. Scenarios'!$D$8))/4+INDEX(BookQ4,796)*(5-MIN(4,4+'5. Scenarios'!$D$8))/4)*'5. Scenarios'!$D$6/(1+ProductivityDefault*('5. Scenarios'!$D$11-1))+INDEX(BookOneOff,796)*$N801)</f>
        <v/>
      </c>
      <c r="S801" s="56" t="str">
        <f aca="false">IF(INDEX(BookTitle,796)="","",INDEX(BookTotal,796)*'5. Scenarios'!$E$6/(1+ProductivityDefault*('5. Scenarios'!$E$11-1)))</f>
        <v/>
      </c>
      <c r="T801" s="57" t="str">
        <f aca="false">IF($S801="","",INDEX(BookRate,796)*(1+'5. Scenarios'!$E$10)*$S801)</f>
        <v/>
      </c>
      <c r="U801" s="57" t="str">
        <f aca="false">IF($T801="","",SUMIFS($T$6:$T$2405,$A$6:$A$2405,"&lt;="&amp;$A801))</f>
        <v/>
      </c>
      <c r="V801" s="57" t="str">
        <f aca="false">IF($T801="","",IF($U801&lt;=BankCostEnvelope*'5. Scenarios'!$E$7,1,0))</f>
        <v/>
      </c>
      <c r="W801" s="57" t="str">
        <f aca="false">IF($S801="","",INDEX(BookRate,796)*(1+'5. Scenarios'!$E$10)*(INDEX(BookQ1,796)*(5-MIN(4,1+'5. Scenarios'!$E$8))/4+INDEX(BookQ2,796)*(5-MIN(4,2+'5. Scenarios'!$E$8))/4+INDEX(BookQ3,796)*(5-MIN(4,3+'5. Scenarios'!$E$8))/4+INDEX(BookQ4,796)*(5-MIN(4,4+'5. Scenarios'!$E$8))/4)*'5. Scenarios'!$E$6/(1+ProductivityDefault*('5. Scenarios'!$E$11-1))+INDEX(BookOneOff,796)*$S801)</f>
        <v/>
      </c>
    </row>
    <row r="802" customFormat="false" ht="15" hidden="false" customHeight="false" outlineLevel="0" collapsed="false">
      <c r="A802" s="0" t="str">
        <f aca="false">IF(INDEX(BookTitle,797)="","",INDEX(BookKey,797))</f>
        <v/>
      </c>
      <c r="B802" s="0" t="str">
        <f aca="false">IF(INDEX(BookTitle,797)="","",INDEX(BookGroup,797))</f>
        <v/>
      </c>
      <c r="C802" s="0" t="str">
        <f aca="false">IF(INDEX(BookTitle,797)="","",INDEX(BookCategory,797))</f>
        <v/>
      </c>
      <c r="D802" s="56" t="str">
        <f aca="false">IF(INDEX(BookTitle,797)="","",INDEX(BookTotal,797)*'5. Scenarios'!$B$6/(1+ProductivityDefault*('5. Scenarios'!$B$11-1)))</f>
        <v/>
      </c>
      <c r="E802" s="57" t="str">
        <f aca="false">IF($D802="","",INDEX(BookRate,797)*(1+'5. Scenarios'!$B$10)*$D802)</f>
        <v/>
      </c>
      <c r="F802" s="57" t="str">
        <f aca="false">IF($E802="","",SUMIFS($E$6:$E$2405,$A$6:$A$2405,"&lt;="&amp;$A802))</f>
        <v/>
      </c>
      <c r="G802" s="57" t="str">
        <f aca="false">IF($E802="","",IF($F802&lt;=BankCostEnvelope*'5. Scenarios'!$B$7,1,0))</f>
        <v/>
      </c>
      <c r="H802" s="57" t="str">
        <f aca="false">IF($D802="","",INDEX(BookRate,797)*(1+'5. Scenarios'!$B$10)*(INDEX(BookQ1,797)*(5-MIN(4,1+'5. Scenarios'!$B$8))/4+INDEX(BookQ2,797)*(5-MIN(4,2+'5. Scenarios'!$B$8))/4+INDEX(BookQ3,797)*(5-MIN(4,3+'5. Scenarios'!$B$8))/4+INDEX(BookQ4,797)*(5-MIN(4,4+'5. Scenarios'!$B$8))/4)*'5. Scenarios'!$B$6/(1+ProductivityDefault*('5. Scenarios'!$B$11-1))+INDEX(BookOneOff,797)*$D802)</f>
        <v/>
      </c>
      <c r="I802" s="56" t="str">
        <f aca="false">IF(INDEX(BookTitle,797)="","",INDEX(BookTotal,797)*'5. Scenarios'!$C$6/(1+ProductivityDefault*('5. Scenarios'!$C$11-1)))</f>
        <v/>
      </c>
      <c r="J802" s="57" t="str">
        <f aca="false">IF($I802="","",INDEX(BookRate,797)*(1+'5. Scenarios'!$C$10)*$I802)</f>
        <v/>
      </c>
      <c r="K802" s="57" t="str">
        <f aca="false">IF($J802="","",SUMIFS($J$6:$J$2405,$A$6:$A$2405,"&lt;="&amp;$A802))</f>
        <v/>
      </c>
      <c r="L802" s="57" t="str">
        <f aca="false">IF($J802="","",IF($K802&lt;=BankCostEnvelope*'5. Scenarios'!$C$7,1,0))</f>
        <v/>
      </c>
      <c r="M802" s="57" t="str">
        <f aca="false">IF($I802="","",INDEX(BookRate,797)*(1+'5. Scenarios'!$C$10)*(INDEX(BookQ1,797)*(5-MIN(4,1+'5. Scenarios'!$C$8))/4+INDEX(BookQ2,797)*(5-MIN(4,2+'5. Scenarios'!$C$8))/4+INDEX(BookQ3,797)*(5-MIN(4,3+'5. Scenarios'!$C$8))/4+INDEX(BookQ4,797)*(5-MIN(4,4+'5. Scenarios'!$C$8))/4)*'5. Scenarios'!$C$6/(1+ProductivityDefault*('5. Scenarios'!$C$11-1))+INDEX(BookOneOff,797)*$I802)</f>
        <v/>
      </c>
      <c r="N802" s="56" t="str">
        <f aca="false">IF(INDEX(BookTitle,797)="","",INDEX(BookTotal,797)*'5. Scenarios'!$D$6/(1+ProductivityDefault*('5. Scenarios'!$D$11-1)))</f>
        <v/>
      </c>
      <c r="O802" s="57" t="str">
        <f aca="false">IF($N802="","",INDEX(BookRate,797)*(1+'5. Scenarios'!$D$10)*$N802)</f>
        <v/>
      </c>
      <c r="P802" s="57" t="str">
        <f aca="false">IF($O802="","",SUMIFS($O$6:$O$2405,$A$6:$A$2405,"&lt;="&amp;$A802))</f>
        <v/>
      </c>
      <c r="Q802" s="57" t="str">
        <f aca="false">IF($O802="","",IF($P802&lt;=BankCostEnvelope*'5. Scenarios'!$D$7,1,0))</f>
        <v/>
      </c>
      <c r="R802" s="57" t="str">
        <f aca="false">IF($N802="","",INDEX(BookRate,797)*(1+'5. Scenarios'!$D$10)*(INDEX(BookQ1,797)*(5-MIN(4,1+'5. Scenarios'!$D$8))/4+INDEX(BookQ2,797)*(5-MIN(4,2+'5. Scenarios'!$D$8))/4+INDEX(BookQ3,797)*(5-MIN(4,3+'5. Scenarios'!$D$8))/4+INDEX(BookQ4,797)*(5-MIN(4,4+'5. Scenarios'!$D$8))/4)*'5. Scenarios'!$D$6/(1+ProductivityDefault*('5. Scenarios'!$D$11-1))+INDEX(BookOneOff,797)*$N802)</f>
        <v/>
      </c>
      <c r="S802" s="56" t="str">
        <f aca="false">IF(INDEX(BookTitle,797)="","",INDEX(BookTotal,797)*'5. Scenarios'!$E$6/(1+ProductivityDefault*('5. Scenarios'!$E$11-1)))</f>
        <v/>
      </c>
      <c r="T802" s="57" t="str">
        <f aca="false">IF($S802="","",INDEX(BookRate,797)*(1+'5. Scenarios'!$E$10)*$S802)</f>
        <v/>
      </c>
      <c r="U802" s="57" t="str">
        <f aca="false">IF($T802="","",SUMIFS($T$6:$T$2405,$A$6:$A$2405,"&lt;="&amp;$A802))</f>
        <v/>
      </c>
      <c r="V802" s="57" t="str">
        <f aca="false">IF($T802="","",IF($U802&lt;=BankCostEnvelope*'5. Scenarios'!$E$7,1,0))</f>
        <v/>
      </c>
      <c r="W802" s="57" t="str">
        <f aca="false">IF($S802="","",INDEX(BookRate,797)*(1+'5. Scenarios'!$E$10)*(INDEX(BookQ1,797)*(5-MIN(4,1+'5. Scenarios'!$E$8))/4+INDEX(BookQ2,797)*(5-MIN(4,2+'5. Scenarios'!$E$8))/4+INDEX(BookQ3,797)*(5-MIN(4,3+'5. Scenarios'!$E$8))/4+INDEX(BookQ4,797)*(5-MIN(4,4+'5. Scenarios'!$E$8))/4)*'5. Scenarios'!$E$6/(1+ProductivityDefault*('5. Scenarios'!$E$11-1))+INDEX(BookOneOff,797)*$S802)</f>
        <v/>
      </c>
    </row>
    <row r="803" customFormat="false" ht="15" hidden="false" customHeight="false" outlineLevel="0" collapsed="false">
      <c r="A803" s="0" t="str">
        <f aca="false">IF(INDEX(BookTitle,798)="","",INDEX(BookKey,798))</f>
        <v/>
      </c>
      <c r="B803" s="0" t="str">
        <f aca="false">IF(INDEX(BookTitle,798)="","",INDEX(BookGroup,798))</f>
        <v/>
      </c>
      <c r="C803" s="0" t="str">
        <f aca="false">IF(INDEX(BookTitle,798)="","",INDEX(BookCategory,798))</f>
        <v/>
      </c>
      <c r="D803" s="56" t="str">
        <f aca="false">IF(INDEX(BookTitle,798)="","",INDEX(BookTotal,798)*'5. Scenarios'!$B$6/(1+ProductivityDefault*('5. Scenarios'!$B$11-1)))</f>
        <v/>
      </c>
      <c r="E803" s="57" t="str">
        <f aca="false">IF($D803="","",INDEX(BookRate,798)*(1+'5. Scenarios'!$B$10)*$D803)</f>
        <v/>
      </c>
      <c r="F803" s="57" t="str">
        <f aca="false">IF($E803="","",SUMIFS($E$6:$E$2405,$A$6:$A$2405,"&lt;="&amp;$A803))</f>
        <v/>
      </c>
      <c r="G803" s="57" t="str">
        <f aca="false">IF($E803="","",IF($F803&lt;=BankCostEnvelope*'5. Scenarios'!$B$7,1,0))</f>
        <v/>
      </c>
      <c r="H803" s="57" t="str">
        <f aca="false">IF($D803="","",INDEX(BookRate,798)*(1+'5. Scenarios'!$B$10)*(INDEX(BookQ1,798)*(5-MIN(4,1+'5. Scenarios'!$B$8))/4+INDEX(BookQ2,798)*(5-MIN(4,2+'5. Scenarios'!$B$8))/4+INDEX(BookQ3,798)*(5-MIN(4,3+'5. Scenarios'!$B$8))/4+INDEX(BookQ4,798)*(5-MIN(4,4+'5. Scenarios'!$B$8))/4)*'5. Scenarios'!$B$6/(1+ProductivityDefault*('5. Scenarios'!$B$11-1))+INDEX(BookOneOff,798)*$D803)</f>
        <v/>
      </c>
      <c r="I803" s="56" t="str">
        <f aca="false">IF(INDEX(BookTitle,798)="","",INDEX(BookTotal,798)*'5. Scenarios'!$C$6/(1+ProductivityDefault*('5. Scenarios'!$C$11-1)))</f>
        <v/>
      </c>
      <c r="J803" s="57" t="str">
        <f aca="false">IF($I803="","",INDEX(BookRate,798)*(1+'5. Scenarios'!$C$10)*$I803)</f>
        <v/>
      </c>
      <c r="K803" s="57" t="str">
        <f aca="false">IF($J803="","",SUMIFS($J$6:$J$2405,$A$6:$A$2405,"&lt;="&amp;$A803))</f>
        <v/>
      </c>
      <c r="L803" s="57" t="str">
        <f aca="false">IF($J803="","",IF($K803&lt;=BankCostEnvelope*'5. Scenarios'!$C$7,1,0))</f>
        <v/>
      </c>
      <c r="M803" s="57" t="str">
        <f aca="false">IF($I803="","",INDEX(BookRate,798)*(1+'5. Scenarios'!$C$10)*(INDEX(BookQ1,798)*(5-MIN(4,1+'5. Scenarios'!$C$8))/4+INDEX(BookQ2,798)*(5-MIN(4,2+'5. Scenarios'!$C$8))/4+INDEX(BookQ3,798)*(5-MIN(4,3+'5. Scenarios'!$C$8))/4+INDEX(BookQ4,798)*(5-MIN(4,4+'5. Scenarios'!$C$8))/4)*'5. Scenarios'!$C$6/(1+ProductivityDefault*('5. Scenarios'!$C$11-1))+INDEX(BookOneOff,798)*$I803)</f>
        <v/>
      </c>
      <c r="N803" s="56" t="str">
        <f aca="false">IF(INDEX(BookTitle,798)="","",INDEX(BookTotal,798)*'5. Scenarios'!$D$6/(1+ProductivityDefault*('5. Scenarios'!$D$11-1)))</f>
        <v/>
      </c>
      <c r="O803" s="57" t="str">
        <f aca="false">IF($N803="","",INDEX(BookRate,798)*(1+'5. Scenarios'!$D$10)*$N803)</f>
        <v/>
      </c>
      <c r="P803" s="57" t="str">
        <f aca="false">IF($O803="","",SUMIFS($O$6:$O$2405,$A$6:$A$2405,"&lt;="&amp;$A803))</f>
        <v/>
      </c>
      <c r="Q803" s="57" t="str">
        <f aca="false">IF($O803="","",IF($P803&lt;=BankCostEnvelope*'5. Scenarios'!$D$7,1,0))</f>
        <v/>
      </c>
      <c r="R803" s="57" t="str">
        <f aca="false">IF($N803="","",INDEX(BookRate,798)*(1+'5. Scenarios'!$D$10)*(INDEX(BookQ1,798)*(5-MIN(4,1+'5. Scenarios'!$D$8))/4+INDEX(BookQ2,798)*(5-MIN(4,2+'5. Scenarios'!$D$8))/4+INDEX(BookQ3,798)*(5-MIN(4,3+'5. Scenarios'!$D$8))/4+INDEX(BookQ4,798)*(5-MIN(4,4+'5. Scenarios'!$D$8))/4)*'5. Scenarios'!$D$6/(1+ProductivityDefault*('5. Scenarios'!$D$11-1))+INDEX(BookOneOff,798)*$N803)</f>
        <v/>
      </c>
      <c r="S803" s="56" t="str">
        <f aca="false">IF(INDEX(BookTitle,798)="","",INDEX(BookTotal,798)*'5. Scenarios'!$E$6/(1+ProductivityDefault*('5. Scenarios'!$E$11-1)))</f>
        <v/>
      </c>
      <c r="T803" s="57" t="str">
        <f aca="false">IF($S803="","",INDEX(BookRate,798)*(1+'5. Scenarios'!$E$10)*$S803)</f>
        <v/>
      </c>
      <c r="U803" s="57" t="str">
        <f aca="false">IF($T803="","",SUMIFS($T$6:$T$2405,$A$6:$A$2405,"&lt;="&amp;$A803))</f>
        <v/>
      </c>
      <c r="V803" s="57" t="str">
        <f aca="false">IF($T803="","",IF($U803&lt;=BankCostEnvelope*'5. Scenarios'!$E$7,1,0))</f>
        <v/>
      </c>
      <c r="W803" s="57" t="str">
        <f aca="false">IF($S803="","",INDEX(BookRate,798)*(1+'5. Scenarios'!$E$10)*(INDEX(BookQ1,798)*(5-MIN(4,1+'5. Scenarios'!$E$8))/4+INDEX(BookQ2,798)*(5-MIN(4,2+'5. Scenarios'!$E$8))/4+INDEX(BookQ3,798)*(5-MIN(4,3+'5. Scenarios'!$E$8))/4+INDEX(BookQ4,798)*(5-MIN(4,4+'5. Scenarios'!$E$8))/4)*'5. Scenarios'!$E$6/(1+ProductivityDefault*('5. Scenarios'!$E$11-1))+INDEX(BookOneOff,798)*$S803)</f>
        <v/>
      </c>
    </row>
    <row r="804" customFormat="false" ht="15" hidden="false" customHeight="false" outlineLevel="0" collapsed="false">
      <c r="A804" s="0" t="str">
        <f aca="false">IF(INDEX(BookTitle,799)="","",INDEX(BookKey,799))</f>
        <v/>
      </c>
      <c r="B804" s="0" t="str">
        <f aca="false">IF(INDEX(BookTitle,799)="","",INDEX(BookGroup,799))</f>
        <v/>
      </c>
      <c r="C804" s="0" t="str">
        <f aca="false">IF(INDEX(BookTitle,799)="","",INDEX(BookCategory,799))</f>
        <v/>
      </c>
      <c r="D804" s="56" t="str">
        <f aca="false">IF(INDEX(BookTitle,799)="","",INDEX(BookTotal,799)*'5. Scenarios'!$B$6/(1+ProductivityDefault*('5. Scenarios'!$B$11-1)))</f>
        <v/>
      </c>
      <c r="E804" s="57" t="str">
        <f aca="false">IF($D804="","",INDEX(BookRate,799)*(1+'5. Scenarios'!$B$10)*$D804)</f>
        <v/>
      </c>
      <c r="F804" s="57" t="str">
        <f aca="false">IF($E804="","",SUMIFS($E$6:$E$2405,$A$6:$A$2405,"&lt;="&amp;$A804))</f>
        <v/>
      </c>
      <c r="G804" s="57" t="str">
        <f aca="false">IF($E804="","",IF($F804&lt;=BankCostEnvelope*'5. Scenarios'!$B$7,1,0))</f>
        <v/>
      </c>
      <c r="H804" s="57" t="str">
        <f aca="false">IF($D804="","",INDEX(BookRate,799)*(1+'5. Scenarios'!$B$10)*(INDEX(BookQ1,799)*(5-MIN(4,1+'5. Scenarios'!$B$8))/4+INDEX(BookQ2,799)*(5-MIN(4,2+'5. Scenarios'!$B$8))/4+INDEX(BookQ3,799)*(5-MIN(4,3+'5. Scenarios'!$B$8))/4+INDEX(BookQ4,799)*(5-MIN(4,4+'5. Scenarios'!$B$8))/4)*'5. Scenarios'!$B$6/(1+ProductivityDefault*('5. Scenarios'!$B$11-1))+INDEX(BookOneOff,799)*$D804)</f>
        <v/>
      </c>
      <c r="I804" s="56" t="str">
        <f aca="false">IF(INDEX(BookTitle,799)="","",INDEX(BookTotal,799)*'5. Scenarios'!$C$6/(1+ProductivityDefault*('5. Scenarios'!$C$11-1)))</f>
        <v/>
      </c>
      <c r="J804" s="57" t="str">
        <f aca="false">IF($I804="","",INDEX(BookRate,799)*(1+'5. Scenarios'!$C$10)*$I804)</f>
        <v/>
      </c>
      <c r="K804" s="57" t="str">
        <f aca="false">IF($J804="","",SUMIFS($J$6:$J$2405,$A$6:$A$2405,"&lt;="&amp;$A804))</f>
        <v/>
      </c>
      <c r="L804" s="57" t="str">
        <f aca="false">IF($J804="","",IF($K804&lt;=BankCostEnvelope*'5. Scenarios'!$C$7,1,0))</f>
        <v/>
      </c>
      <c r="M804" s="57" t="str">
        <f aca="false">IF($I804="","",INDEX(BookRate,799)*(1+'5. Scenarios'!$C$10)*(INDEX(BookQ1,799)*(5-MIN(4,1+'5. Scenarios'!$C$8))/4+INDEX(BookQ2,799)*(5-MIN(4,2+'5. Scenarios'!$C$8))/4+INDEX(BookQ3,799)*(5-MIN(4,3+'5. Scenarios'!$C$8))/4+INDEX(BookQ4,799)*(5-MIN(4,4+'5. Scenarios'!$C$8))/4)*'5. Scenarios'!$C$6/(1+ProductivityDefault*('5. Scenarios'!$C$11-1))+INDEX(BookOneOff,799)*$I804)</f>
        <v/>
      </c>
      <c r="N804" s="56" t="str">
        <f aca="false">IF(INDEX(BookTitle,799)="","",INDEX(BookTotal,799)*'5. Scenarios'!$D$6/(1+ProductivityDefault*('5. Scenarios'!$D$11-1)))</f>
        <v/>
      </c>
      <c r="O804" s="57" t="str">
        <f aca="false">IF($N804="","",INDEX(BookRate,799)*(1+'5. Scenarios'!$D$10)*$N804)</f>
        <v/>
      </c>
      <c r="P804" s="57" t="str">
        <f aca="false">IF($O804="","",SUMIFS($O$6:$O$2405,$A$6:$A$2405,"&lt;="&amp;$A804))</f>
        <v/>
      </c>
      <c r="Q804" s="57" t="str">
        <f aca="false">IF($O804="","",IF($P804&lt;=BankCostEnvelope*'5. Scenarios'!$D$7,1,0))</f>
        <v/>
      </c>
      <c r="R804" s="57" t="str">
        <f aca="false">IF($N804="","",INDEX(BookRate,799)*(1+'5. Scenarios'!$D$10)*(INDEX(BookQ1,799)*(5-MIN(4,1+'5. Scenarios'!$D$8))/4+INDEX(BookQ2,799)*(5-MIN(4,2+'5. Scenarios'!$D$8))/4+INDEX(BookQ3,799)*(5-MIN(4,3+'5. Scenarios'!$D$8))/4+INDEX(BookQ4,799)*(5-MIN(4,4+'5. Scenarios'!$D$8))/4)*'5. Scenarios'!$D$6/(1+ProductivityDefault*('5. Scenarios'!$D$11-1))+INDEX(BookOneOff,799)*$N804)</f>
        <v/>
      </c>
      <c r="S804" s="56" t="str">
        <f aca="false">IF(INDEX(BookTitle,799)="","",INDEX(BookTotal,799)*'5. Scenarios'!$E$6/(1+ProductivityDefault*('5. Scenarios'!$E$11-1)))</f>
        <v/>
      </c>
      <c r="T804" s="57" t="str">
        <f aca="false">IF($S804="","",INDEX(BookRate,799)*(1+'5. Scenarios'!$E$10)*$S804)</f>
        <v/>
      </c>
      <c r="U804" s="57" t="str">
        <f aca="false">IF($T804="","",SUMIFS($T$6:$T$2405,$A$6:$A$2405,"&lt;="&amp;$A804))</f>
        <v/>
      </c>
      <c r="V804" s="57" t="str">
        <f aca="false">IF($T804="","",IF($U804&lt;=BankCostEnvelope*'5. Scenarios'!$E$7,1,0))</f>
        <v/>
      </c>
      <c r="W804" s="57" t="str">
        <f aca="false">IF($S804="","",INDEX(BookRate,799)*(1+'5. Scenarios'!$E$10)*(INDEX(BookQ1,799)*(5-MIN(4,1+'5. Scenarios'!$E$8))/4+INDEX(BookQ2,799)*(5-MIN(4,2+'5. Scenarios'!$E$8))/4+INDEX(BookQ3,799)*(5-MIN(4,3+'5. Scenarios'!$E$8))/4+INDEX(BookQ4,799)*(5-MIN(4,4+'5. Scenarios'!$E$8))/4)*'5. Scenarios'!$E$6/(1+ProductivityDefault*('5. Scenarios'!$E$11-1))+INDEX(BookOneOff,799)*$S804)</f>
        <v/>
      </c>
    </row>
    <row r="805" customFormat="false" ht="15" hidden="false" customHeight="false" outlineLevel="0" collapsed="false">
      <c r="A805" s="0" t="str">
        <f aca="false">IF(INDEX(BookTitle,800)="","",INDEX(BookKey,800))</f>
        <v/>
      </c>
      <c r="B805" s="0" t="str">
        <f aca="false">IF(INDEX(BookTitle,800)="","",INDEX(BookGroup,800))</f>
        <v/>
      </c>
      <c r="C805" s="0" t="str">
        <f aca="false">IF(INDEX(BookTitle,800)="","",INDEX(BookCategory,800))</f>
        <v/>
      </c>
      <c r="D805" s="56" t="str">
        <f aca="false">IF(INDEX(BookTitle,800)="","",INDEX(BookTotal,800)*'5. Scenarios'!$B$6/(1+ProductivityDefault*('5. Scenarios'!$B$11-1)))</f>
        <v/>
      </c>
      <c r="E805" s="57" t="str">
        <f aca="false">IF($D805="","",INDEX(BookRate,800)*(1+'5. Scenarios'!$B$10)*$D805)</f>
        <v/>
      </c>
      <c r="F805" s="57" t="str">
        <f aca="false">IF($E805="","",SUMIFS($E$6:$E$2405,$A$6:$A$2405,"&lt;="&amp;$A805))</f>
        <v/>
      </c>
      <c r="G805" s="57" t="str">
        <f aca="false">IF($E805="","",IF($F805&lt;=BankCostEnvelope*'5. Scenarios'!$B$7,1,0))</f>
        <v/>
      </c>
      <c r="H805" s="57" t="str">
        <f aca="false">IF($D805="","",INDEX(BookRate,800)*(1+'5. Scenarios'!$B$10)*(INDEX(BookQ1,800)*(5-MIN(4,1+'5. Scenarios'!$B$8))/4+INDEX(BookQ2,800)*(5-MIN(4,2+'5. Scenarios'!$B$8))/4+INDEX(BookQ3,800)*(5-MIN(4,3+'5. Scenarios'!$B$8))/4+INDEX(BookQ4,800)*(5-MIN(4,4+'5. Scenarios'!$B$8))/4)*'5. Scenarios'!$B$6/(1+ProductivityDefault*('5. Scenarios'!$B$11-1))+INDEX(BookOneOff,800)*$D805)</f>
        <v/>
      </c>
      <c r="I805" s="56" t="str">
        <f aca="false">IF(INDEX(BookTitle,800)="","",INDEX(BookTotal,800)*'5. Scenarios'!$C$6/(1+ProductivityDefault*('5. Scenarios'!$C$11-1)))</f>
        <v/>
      </c>
      <c r="J805" s="57" t="str">
        <f aca="false">IF($I805="","",INDEX(BookRate,800)*(1+'5. Scenarios'!$C$10)*$I805)</f>
        <v/>
      </c>
      <c r="K805" s="57" t="str">
        <f aca="false">IF($J805="","",SUMIFS($J$6:$J$2405,$A$6:$A$2405,"&lt;="&amp;$A805))</f>
        <v/>
      </c>
      <c r="L805" s="57" t="str">
        <f aca="false">IF($J805="","",IF($K805&lt;=BankCostEnvelope*'5. Scenarios'!$C$7,1,0))</f>
        <v/>
      </c>
      <c r="M805" s="57" t="str">
        <f aca="false">IF($I805="","",INDEX(BookRate,800)*(1+'5. Scenarios'!$C$10)*(INDEX(BookQ1,800)*(5-MIN(4,1+'5. Scenarios'!$C$8))/4+INDEX(BookQ2,800)*(5-MIN(4,2+'5. Scenarios'!$C$8))/4+INDEX(BookQ3,800)*(5-MIN(4,3+'5. Scenarios'!$C$8))/4+INDEX(BookQ4,800)*(5-MIN(4,4+'5. Scenarios'!$C$8))/4)*'5. Scenarios'!$C$6/(1+ProductivityDefault*('5. Scenarios'!$C$11-1))+INDEX(BookOneOff,800)*$I805)</f>
        <v/>
      </c>
      <c r="N805" s="56" t="str">
        <f aca="false">IF(INDEX(BookTitle,800)="","",INDEX(BookTotal,800)*'5. Scenarios'!$D$6/(1+ProductivityDefault*('5. Scenarios'!$D$11-1)))</f>
        <v/>
      </c>
      <c r="O805" s="57" t="str">
        <f aca="false">IF($N805="","",INDEX(BookRate,800)*(1+'5. Scenarios'!$D$10)*$N805)</f>
        <v/>
      </c>
      <c r="P805" s="57" t="str">
        <f aca="false">IF($O805="","",SUMIFS($O$6:$O$2405,$A$6:$A$2405,"&lt;="&amp;$A805))</f>
        <v/>
      </c>
      <c r="Q805" s="57" t="str">
        <f aca="false">IF($O805="","",IF($P805&lt;=BankCostEnvelope*'5. Scenarios'!$D$7,1,0))</f>
        <v/>
      </c>
      <c r="R805" s="57" t="str">
        <f aca="false">IF($N805="","",INDEX(BookRate,800)*(1+'5. Scenarios'!$D$10)*(INDEX(BookQ1,800)*(5-MIN(4,1+'5. Scenarios'!$D$8))/4+INDEX(BookQ2,800)*(5-MIN(4,2+'5. Scenarios'!$D$8))/4+INDEX(BookQ3,800)*(5-MIN(4,3+'5. Scenarios'!$D$8))/4+INDEX(BookQ4,800)*(5-MIN(4,4+'5. Scenarios'!$D$8))/4)*'5. Scenarios'!$D$6/(1+ProductivityDefault*('5. Scenarios'!$D$11-1))+INDEX(BookOneOff,800)*$N805)</f>
        <v/>
      </c>
      <c r="S805" s="56" t="str">
        <f aca="false">IF(INDEX(BookTitle,800)="","",INDEX(BookTotal,800)*'5. Scenarios'!$E$6/(1+ProductivityDefault*('5. Scenarios'!$E$11-1)))</f>
        <v/>
      </c>
      <c r="T805" s="57" t="str">
        <f aca="false">IF($S805="","",INDEX(BookRate,800)*(1+'5. Scenarios'!$E$10)*$S805)</f>
        <v/>
      </c>
      <c r="U805" s="57" t="str">
        <f aca="false">IF($T805="","",SUMIFS($T$6:$T$2405,$A$6:$A$2405,"&lt;="&amp;$A805))</f>
        <v/>
      </c>
      <c r="V805" s="57" t="str">
        <f aca="false">IF($T805="","",IF($U805&lt;=BankCostEnvelope*'5. Scenarios'!$E$7,1,0))</f>
        <v/>
      </c>
      <c r="W805" s="57" t="str">
        <f aca="false">IF($S805="","",INDEX(BookRate,800)*(1+'5. Scenarios'!$E$10)*(INDEX(BookQ1,800)*(5-MIN(4,1+'5. Scenarios'!$E$8))/4+INDEX(BookQ2,800)*(5-MIN(4,2+'5. Scenarios'!$E$8))/4+INDEX(BookQ3,800)*(5-MIN(4,3+'5. Scenarios'!$E$8))/4+INDEX(BookQ4,800)*(5-MIN(4,4+'5. Scenarios'!$E$8))/4)*'5. Scenarios'!$E$6/(1+ProductivityDefault*('5. Scenarios'!$E$11-1))+INDEX(BookOneOff,800)*$S805)</f>
        <v/>
      </c>
    </row>
    <row r="806" customFormat="false" ht="15" hidden="false" customHeight="false" outlineLevel="0" collapsed="false">
      <c r="A806" s="0" t="str">
        <f aca="false">IF(INDEX(BookTitle,801)="","",INDEX(BookKey,801))</f>
        <v/>
      </c>
      <c r="B806" s="0" t="str">
        <f aca="false">IF(INDEX(BookTitle,801)="","",INDEX(BookGroup,801))</f>
        <v/>
      </c>
      <c r="C806" s="0" t="str">
        <f aca="false">IF(INDEX(BookTitle,801)="","",INDEX(BookCategory,801))</f>
        <v/>
      </c>
      <c r="D806" s="56" t="str">
        <f aca="false">IF(INDEX(BookTitle,801)="","",INDEX(BookTotal,801)*'5. Scenarios'!$B$6/(1+ProductivityDefault*('5. Scenarios'!$B$11-1)))</f>
        <v/>
      </c>
      <c r="E806" s="57" t="str">
        <f aca="false">IF($D806="","",INDEX(BookRate,801)*(1+'5. Scenarios'!$B$10)*$D806)</f>
        <v/>
      </c>
      <c r="F806" s="57" t="str">
        <f aca="false">IF($E806="","",SUMIFS($E$6:$E$2405,$A$6:$A$2405,"&lt;="&amp;$A806))</f>
        <v/>
      </c>
      <c r="G806" s="57" t="str">
        <f aca="false">IF($E806="","",IF($F806&lt;=BankCostEnvelope*'5. Scenarios'!$B$7,1,0))</f>
        <v/>
      </c>
      <c r="H806" s="57" t="str">
        <f aca="false">IF($D806="","",INDEX(BookRate,801)*(1+'5. Scenarios'!$B$10)*(INDEX(BookQ1,801)*(5-MIN(4,1+'5. Scenarios'!$B$8))/4+INDEX(BookQ2,801)*(5-MIN(4,2+'5. Scenarios'!$B$8))/4+INDEX(BookQ3,801)*(5-MIN(4,3+'5. Scenarios'!$B$8))/4+INDEX(BookQ4,801)*(5-MIN(4,4+'5. Scenarios'!$B$8))/4)*'5. Scenarios'!$B$6/(1+ProductivityDefault*('5. Scenarios'!$B$11-1))+INDEX(BookOneOff,801)*$D806)</f>
        <v/>
      </c>
      <c r="I806" s="56" t="str">
        <f aca="false">IF(INDEX(BookTitle,801)="","",INDEX(BookTotal,801)*'5. Scenarios'!$C$6/(1+ProductivityDefault*('5. Scenarios'!$C$11-1)))</f>
        <v/>
      </c>
      <c r="J806" s="57" t="str">
        <f aca="false">IF($I806="","",INDEX(BookRate,801)*(1+'5. Scenarios'!$C$10)*$I806)</f>
        <v/>
      </c>
      <c r="K806" s="57" t="str">
        <f aca="false">IF($J806="","",SUMIFS($J$6:$J$2405,$A$6:$A$2405,"&lt;="&amp;$A806))</f>
        <v/>
      </c>
      <c r="L806" s="57" t="str">
        <f aca="false">IF($J806="","",IF($K806&lt;=BankCostEnvelope*'5. Scenarios'!$C$7,1,0))</f>
        <v/>
      </c>
      <c r="M806" s="57" t="str">
        <f aca="false">IF($I806="","",INDEX(BookRate,801)*(1+'5. Scenarios'!$C$10)*(INDEX(BookQ1,801)*(5-MIN(4,1+'5. Scenarios'!$C$8))/4+INDEX(BookQ2,801)*(5-MIN(4,2+'5. Scenarios'!$C$8))/4+INDEX(BookQ3,801)*(5-MIN(4,3+'5. Scenarios'!$C$8))/4+INDEX(BookQ4,801)*(5-MIN(4,4+'5. Scenarios'!$C$8))/4)*'5. Scenarios'!$C$6/(1+ProductivityDefault*('5. Scenarios'!$C$11-1))+INDEX(BookOneOff,801)*$I806)</f>
        <v/>
      </c>
      <c r="N806" s="56" t="str">
        <f aca="false">IF(INDEX(BookTitle,801)="","",INDEX(BookTotal,801)*'5. Scenarios'!$D$6/(1+ProductivityDefault*('5. Scenarios'!$D$11-1)))</f>
        <v/>
      </c>
      <c r="O806" s="57" t="str">
        <f aca="false">IF($N806="","",INDEX(BookRate,801)*(1+'5. Scenarios'!$D$10)*$N806)</f>
        <v/>
      </c>
      <c r="P806" s="57" t="str">
        <f aca="false">IF($O806="","",SUMIFS($O$6:$O$2405,$A$6:$A$2405,"&lt;="&amp;$A806))</f>
        <v/>
      </c>
      <c r="Q806" s="57" t="str">
        <f aca="false">IF($O806="","",IF($P806&lt;=BankCostEnvelope*'5. Scenarios'!$D$7,1,0))</f>
        <v/>
      </c>
      <c r="R806" s="57" t="str">
        <f aca="false">IF($N806="","",INDEX(BookRate,801)*(1+'5. Scenarios'!$D$10)*(INDEX(BookQ1,801)*(5-MIN(4,1+'5. Scenarios'!$D$8))/4+INDEX(BookQ2,801)*(5-MIN(4,2+'5. Scenarios'!$D$8))/4+INDEX(BookQ3,801)*(5-MIN(4,3+'5. Scenarios'!$D$8))/4+INDEX(BookQ4,801)*(5-MIN(4,4+'5. Scenarios'!$D$8))/4)*'5. Scenarios'!$D$6/(1+ProductivityDefault*('5. Scenarios'!$D$11-1))+INDEX(BookOneOff,801)*$N806)</f>
        <v/>
      </c>
      <c r="S806" s="56" t="str">
        <f aca="false">IF(INDEX(BookTitle,801)="","",INDEX(BookTotal,801)*'5. Scenarios'!$E$6/(1+ProductivityDefault*('5. Scenarios'!$E$11-1)))</f>
        <v/>
      </c>
      <c r="T806" s="57" t="str">
        <f aca="false">IF($S806="","",INDEX(BookRate,801)*(1+'5. Scenarios'!$E$10)*$S806)</f>
        <v/>
      </c>
      <c r="U806" s="57" t="str">
        <f aca="false">IF($T806="","",SUMIFS($T$6:$T$2405,$A$6:$A$2405,"&lt;="&amp;$A806))</f>
        <v/>
      </c>
      <c r="V806" s="57" t="str">
        <f aca="false">IF($T806="","",IF($U806&lt;=BankCostEnvelope*'5. Scenarios'!$E$7,1,0))</f>
        <v/>
      </c>
      <c r="W806" s="57" t="str">
        <f aca="false">IF($S806="","",INDEX(BookRate,801)*(1+'5. Scenarios'!$E$10)*(INDEX(BookQ1,801)*(5-MIN(4,1+'5. Scenarios'!$E$8))/4+INDEX(BookQ2,801)*(5-MIN(4,2+'5. Scenarios'!$E$8))/4+INDEX(BookQ3,801)*(5-MIN(4,3+'5. Scenarios'!$E$8))/4+INDEX(BookQ4,801)*(5-MIN(4,4+'5. Scenarios'!$E$8))/4)*'5. Scenarios'!$E$6/(1+ProductivityDefault*('5. Scenarios'!$E$11-1))+INDEX(BookOneOff,801)*$S806)</f>
        <v/>
      </c>
    </row>
    <row r="807" customFormat="false" ht="15" hidden="false" customHeight="false" outlineLevel="0" collapsed="false">
      <c r="A807" s="0" t="str">
        <f aca="false">IF(INDEX(BookTitle,802)="","",INDEX(BookKey,802))</f>
        <v/>
      </c>
      <c r="B807" s="0" t="str">
        <f aca="false">IF(INDEX(BookTitle,802)="","",INDEX(BookGroup,802))</f>
        <v/>
      </c>
      <c r="C807" s="0" t="str">
        <f aca="false">IF(INDEX(BookTitle,802)="","",INDEX(BookCategory,802))</f>
        <v/>
      </c>
      <c r="D807" s="56" t="str">
        <f aca="false">IF(INDEX(BookTitle,802)="","",INDEX(BookTotal,802)*'5. Scenarios'!$B$6/(1+ProductivityDefault*('5. Scenarios'!$B$11-1)))</f>
        <v/>
      </c>
      <c r="E807" s="57" t="str">
        <f aca="false">IF($D807="","",INDEX(BookRate,802)*(1+'5. Scenarios'!$B$10)*$D807)</f>
        <v/>
      </c>
      <c r="F807" s="57" t="str">
        <f aca="false">IF($E807="","",SUMIFS($E$6:$E$2405,$A$6:$A$2405,"&lt;="&amp;$A807))</f>
        <v/>
      </c>
      <c r="G807" s="57" t="str">
        <f aca="false">IF($E807="","",IF($F807&lt;=BankCostEnvelope*'5. Scenarios'!$B$7,1,0))</f>
        <v/>
      </c>
      <c r="H807" s="57" t="str">
        <f aca="false">IF($D807="","",INDEX(BookRate,802)*(1+'5. Scenarios'!$B$10)*(INDEX(BookQ1,802)*(5-MIN(4,1+'5. Scenarios'!$B$8))/4+INDEX(BookQ2,802)*(5-MIN(4,2+'5. Scenarios'!$B$8))/4+INDEX(BookQ3,802)*(5-MIN(4,3+'5. Scenarios'!$B$8))/4+INDEX(BookQ4,802)*(5-MIN(4,4+'5. Scenarios'!$B$8))/4)*'5. Scenarios'!$B$6/(1+ProductivityDefault*('5. Scenarios'!$B$11-1))+INDEX(BookOneOff,802)*$D807)</f>
        <v/>
      </c>
      <c r="I807" s="56" t="str">
        <f aca="false">IF(INDEX(BookTitle,802)="","",INDEX(BookTotal,802)*'5. Scenarios'!$C$6/(1+ProductivityDefault*('5. Scenarios'!$C$11-1)))</f>
        <v/>
      </c>
      <c r="J807" s="57" t="str">
        <f aca="false">IF($I807="","",INDEX(BookRate,802)*(1+'5. Scenarios'!$C$10)*$I807)</f>
        <v/>
      </c>
      <c r="K807" s="57" t="str">
        <f aca="false">IF($J807="","",SUMIFS($J$6:$J$2405,$A$6:$A$2405,"&lt;="&amp;$A807))</f>
        <v/>
      </c>
      <c r="L807" s="57" t="str">
        <f aca="false">IF($J807="","",IF($K807&lt;=BankCostEnvelope*'5. Scenarios'!$C$7,1,0))</f>
        <v/>
      </c>
      <c r="M807" s="57" t="str">
        <f aca="false">IF($I807="","",INDEX(BookRate,802)*(1+'5. Scenarios'!$C$10)*(INDEX(BookQ1,802)*(5-MIN(4,1+'5. Scenarios'!$C$8))/4+INDEX(BookQ2,802)*(5-MIN(4,2+'5. Scenarios'!$C$8))/4+INDEX(BookQ3,802)*(5-MIN(4,3+'5. Scenarios'!$C$8))/4+INDEX(BookQ4,802)*(5-MIN(4,4+'5. Scenarios'!$C$8))/4)*'5. Scenarios'!$C$6/(1+ProductivityDefault*('5. Scenarios'!$C$11-1))+INDEX(BookOneOff,802)*$I807)</f>
        <v/>
      </c>
      <c r="N807" s="56" t="str">
        <f aca="false">IF(INDEX(BookTitle,802)="","",INDEX(BookTotal,802)*'5. Scenarios'!$D$6/(1+ProductivityDefault*('5. Scenarios'!$D$11-1)))</f>
        <v/>
      </c>
      <c r="O807" s="57" t="str">
        <f aca="false">IF($N807="","",INDEX(BookRate,802)*(1+'5. Scenarios'!$D$10)*$N807)</f>
        <v/>
      </c>
      <c r="P807" s="57" t="str">
        <f aca="false">IF($O807="","",SUMIFS($O$6:$O$2405,$A$6:$A$2405,"&lt;="&amp;$A807))</f>
        <v/>
      </c>
      <c r="Q807" s="57" t="str">
        <f aca="false">IF($O807="","",IF($P807&lt;=BankCostEnvelope*'5. Scenarios'!$D$7,1,0))</f>
        <v/>
      </c>
      <c r="R807" s="57" t="str">
        <f aca="false">IF($N807="","",INDEX(BookRate,802)*(1+'5. Scenarios'!$D$10)*(INDEX(BookQ1,802)*(5-MIN(4,1+'5. Scenarios'!$D$8))/4+INDEX(BookQ2,802)*(5-MIN(4,2+'5. Scenarios'!$D$8))/4+INDEX(BookQ3,802)*(5-MIN(4,3+'5. Scenarios'!$D$8))/4+INDEX(BookQ4,802)*(5-MIN(4,4+'5. Scenarios'!$D$8))/4)*'5. Scenarios'!$D$6/(1+ProductivityDefault*('5. Scenarios'!$D$11-1))+INDEX(BookOneOff,802)*$N807)</f>
        <v/>
      </c>
      <c r="S807" s="56" t="str">
        <f aca="false">IF(INDEX(BookTitle,802)="","",INDEX(BookTotal,802)*'5. Scenarios'!$E$6/(1+ProductivityDefault*('5. Scenarios'!$E$11-1)))</f>
        <v/>
      </c>
      <c r="T807" s="57" t="str">
        <f aca="false">IF($S807="","",INDEX(BookRate,802)*(1+'5. Scenarios'!$E$10)*$S807)</f>
        <v/>
      </c>
      <c r="U807" s="57" t="str">
        <f aca="false">IF($T807="","",SUMIFS($T$6:$T$2405,$A$6:$A$2405,"&lt;="&amp;$A807))</f>
        <v/>
      </c>
      <c r="V807" s="57" t="str">
        <f aca="false">IF($T807="","",IF($U807&lt;=BankCostEnvelope*'5. Scenarios'!$E$7,1,0))</f>
        <v/>
      </c>
      <c r="W807" s="57" t="str">
        <f aca="false">IF($S807="","",INDEX(BookRate,802)*(1+'5. Scenarios'!$E$10)*(INDEX(BookQ1,802)*(5-MIN(4,1+'5. Scenarios'!$E$8))/4+INDEX(BookQ2,802)*(5-MIN(4,2+'5. Scenarios'!$E$8))/4+INDEX(BookQ3,802)*(5-MIN(4,3+'5. Scenarios'!$E$8))/4+INDEX(BookQ4,802)*(5-MIN(4,4+'5. Scenarios'!$E$8))/4)*'5. Scenarios'!$E$6/(1+ProductivityDefault*('5. Scenarios'!$E$11-1))+INDEX(BookOneOff,802)*$S807)</f>
        <v/>
      </c>
    </row>
    <row r="808" customFormat="false" ht="15" hidden="false" customHeight="false" outlineLevel="0" collapsed="false">
      <c r="A808" s="0" t="str">
        <f aca="false">IF(INDEX(BookTitle,803)="","",INDEX(BookKey,803))</f>
        <v/>
      </c>
      <c r="B808" s="0" t="str">
        <f aca="false">IF(INDEX(BookTitle,803)="","",INDEX(BookGroup,803))</f>
        <v/>
      </c>
      <c r="C808" s="0" t="str">
        <f aca="false">IF(INDEX(BookTitle,803)="","",INDEX(BookCategory,803))</f>
        <v/>
      </c>
      <c r="D808" s="56" t="str">
        <f aca="false">IF(INDEX(BookTitle,803)="","",INDEX(BookTotal,803)*'5. Scenarios'!$B$6/(1+ProductivityDefault*('5. Scenarios'!$B$11-1)))</f>
        <v/>
      </c>
      <c r="E808" s="57" t="str">
        <f aca="false">IF($D808="","",INDEX(BookRate,803)*(1+'5. Scenarios'!$B$10)*$D808)</f>
        <v/>
      </c>
      <c r="F808" s="57" t="str">
        <f aca="false">IF($E808="","",SUMIFS($E$6:$E$2405,$A$6:$A$2405,"&lt;="&amp;$A808))</f>
        <v/>
      </c>
      <c r="G808" s="57" t="str">
        <f aca="false">IF($E808="","",IF($F808&lt;=BankCostEnvelope*'5. Scenarios'!$B$7,1,0))</f>
        <v/>
      </c>
      <c r="H808" s="57" t="str">
        <f aca="false">IF($D808="","",INDEX(BookRate,803)*(1+'5. Scenarios'!$B$10)*(INDEX(BookQ1,803)*(5-MIN(4,1+'5. Scenarios'!$B$8))/4+INDEX(BookQ2,803)*(5-MIN(4,2+'5. Scenarios'!$B$8))/4+INDEX(BookQ3,803)*(5-MIN(4,3+'5. Scenarios'!$B$8))/4+INDEX(BookQ4,803)*(5-MIN(4,4+'5. Scenarios'!$B$8))/4)*'5. Scenarios'!$B$6/(1+ProductivityDefault*('5. Scenarios'!$B$11-1))+INDEX(BookOneOff,803)*$D808)</f>
        <v/>
      </c>
      <c r="I808" s="56" t="str">
        <f aca="false">IF(INDEX(BookTitle,803)="","",INDEX(BookTotal,803)*'5. Scenarios'!$C$6/(1+ProductivityDefault*('5. Scenarios'!$C$11-1)))</f>
        <v/>
      </c>
      <c r="J808" s="57" t="str">
        <f aca="false">IF($I808="","",INDEX(BookRate,803)*(1+'5. Scenarios'!$C$10)*$I808)</f>
        <v/>
      </c>
      <c r="K808" s="57" t="str">
        <f aca="false">IF($J808="","",SUMIFS($J$6:$J$2405,$A$6:$A$2405,"&lt;="&amp;$A808))</f>
        <v/>
      </c>
      <c r="L808" s="57" t="str">
        <f aca="false">IF($J808="","",IF($K808&lt;=BankCostEnvelope*'5. Scenarios'!$C$7,1,0))</f>
        <v/>
      </c>
      <c r="M808" s="57" t="str">
        <f aca="false">IF($I808="","",INDEX(BookRate,803)*(1+'5. Scenarios'!$C$10)*(INDEX(BookQ1,803)*(5-MIN(4,1+'5. Scenarios'!$C$8))/4+INDEX(BookQ2,803)*(5-MIN(4,2+'5. Scenarios'!$C$8))/4+INDEX(BookQ3,803)*(5-MIN(4,3+'5. Scenarios'!$C$8))/4+INDEX(BookQ4,803)*(5-MIN(4,4+'5. Scenarios'!$C$8))/4)*'5. Scenarios'!$C$6/(1+ProductivityDefault*('5. Scenarios'!$C$11-1))+INDEX(BookOneOff,803)*$I808)</f>
        <v/>
      </c>
      <c r="N808" s="56" t="str">
        <f aca="false">IF(INDEX(BookTitle,803)="","",INDEX(BookTotal,803)*'5. Scenarios'!$D$6/(1+ProductivityDefault*('5. Scenarios'!$D$11-1)))</f>
        <v/>
      </c>
      <c r="O808" s="57" t="str">
        <f aca="false">IF($N808="","",INDEX(BookRate,803)*(1+'5. Scenarios'!$D$10)*$N808)</f>
        <v/>
      </c>
      <c r="P808" s="57" t="str">
        <f aca="false">IF($O808="","",SUMIFS($O$6:$O$2405,$A$6:$A$2405,"&lt;="&amp;$A808))</f>
        <v/>
      </c>
      <c r="Q808" s="57" t="str">
        <f aca="false">IF($O808="","",IF($P808&lt;=BankCostEnvelope*'5. Scenarios'!$D$7,1,0))</f>
        <v/>
      </c>
      <c r="R808" s="57" t="str">
        <f aca="false">IF($N808="","",INDEX(BookRate,803)*(1+'5. Scenarios'!$D$10)*(INDEX(BookQ1,803)*(5-MIN(4,1+'5. Scenarios'!$D$8))/4+INDEX(BookQ2,803)*(5-MIN(4,2+'5. Scenarios'!$D$8))/4+INDEX(BookQ3,803)*(5-MIN(4,3+'5. Scenarios'!$D$8))/4+INDEX(BookQ4,803)*(5-MIN(4,4+'5. Scenarios'!$D$8))/4)*'5. Scenarios'!$D$6/(1+ProductivityDefault*('5. Scenarios'!$D$11-1))+INDEX(BookOneOff,803)*$N808)</f>
        <v/>
      </c>
      <c r="S808" s="56" t="str">
        <f aca="false">IF(INDEX(BookTitle,803)="","",INDEX(BookTotal,803)*'5. Scenarios'!$E$6/(1+ProductivityDefault*('5. Scenarios'!$E$11-1)))</f>
        <v/>
      </c>
      <c r="T808" s="57" t="str">
        <f aca="false">IF($S808="","",INDEX(BookRate,803)*(1+'5. Scenarios'!$E$10)*$S808)</f>
        <v/>
      </c>
      <c r="U808" s="57" t="str">
        <f aca="false">IF($T808="","",SUMIFS($T$6:$T$2405,$A$6:$A$2405,"&lt;="&amp;$A808))</f>
        <v/>
      </c>
      <c r="V808" s="57" t="str">
        <f aca="false">IF($T808="","",IF($U808&lt;=BankCostEnvelope*'5. Scenarios'!$E$7,1,0))</f>
        <v/>
      </c>
      <c r="W808" s="57" t="str">
        <f aca="false">IF($S808="","",INDEX(BookRate,803)*(1+'5. Scenarios'!$E$10)*(INDEX(BookQ1,803)*(5-MIN(4,1+'5. Scenarios'!$E$8))/4+INDEX(BookQ2,803)*(5-MIN(4,2+'5. Scenarios'!$E$8))/4+INDEX(BookQ3,803)*(5-MIN(4,3+'5. Scenarios'!$E$8))/4+INDEX(BookQ4,803)*(5-MIN(4,4+'5. Scenarios'!$E$8))/4)*'5. Scenarios'!$E$6/(1+ProductivityDefault*('5. Scenarios'!$E$11-1))+INDEX(BookOneOff,803)*$S808)</f>
        <v/>
      </c>
    </row>
    <row r="809" customFormat="false" ht="15" hidden="false" customHeight="false" outlineLevel="0" collapsed="false">
      <c r="A809" s="0" t="str">
        <f aca="false">IF(INDEX(BookTitle,804)="","",INDEX(BookKey,804))</f>
        <v/>
      </c>
      <c r="B809" s="0" t="str">
        <f aca="false">IF(INDEX(BookTitle,804)="","",INDEX(BookGroup,804))</f>
        <v/>
      </c>
      <c r="C809" s="0" t="str">
        <f aca="false">IF(INDEX(BookTitle,804)="","",INDEX(BookCategory,804))</f>
        <v/>
      </c>
      <c r="D809" s="56" t="str">
        <f aca="false">IF(INDEX(BookTitle,804)="","",INDEX(BookTotal,804)*'5. Scenarios'!$B$6/(1+ProductivityDefault*('5. Scenarios'!$B$11-1)))</f>
        <v/>
      </c>
      <c r="E809" s="57" t="str">
        <f aca="false">IF($D809="","",INDEX(BookRate,804)*(1+'5. Scenarios'!$B$10)*$D809)</f>
        <v/>
      </c>
      <c r="F809" s="57" t="str">
        <f aca="false">IF($E809="","",SUMIFS($E$6:$E$2405,$A$6:$A$2405,"&lt;="&amp;$A809))</f>
        <v/>
      </c>
      <c r="G809" s="57" t="str">
        <f aca="false">IF($E809="","",IF($F809&lt;=BankCostEnvelope*'5. Scenarios'!$B$7,1,0))</f>
        <v/>
      </c>
      <c r="H809" s="57" t="str">
        <f aca="false">IF($D809="","",INDEX(BookRate,804)*(1+'5. Scenarios'!$B$10)*(INDEX(BookQ1,804)*(5-MIN(4,1+'5. Scenarios'!$B$8))/4+INDEX(BookQ2,804)*(5-MIN(4,2+'5. Scenarios'!$B$8))/4+INDEX(BookQ3,804)*(5-MIN(4,3+'5. Scenarios'!$B$8))/4+INDEX(BookQ4,804)*(5-MIN(4,4+'5. Scenarios'!$B$8))/4)*'5. Scenarios'!$B$6/(1+ProductivityDefault*('5. Scenarios'!$B$11-1))+INDEX(BookOneOff,804)*$D809)</f>
        <v/>
      </c>
      <c r="I809" s="56" t="str">
        <f aca="false">IF(INDEX(BookTitle,804)="","",INDEX(BookTotal,804)*'5. Scenarios'!$C$6/(1+ProductivityDefault*('5. Scenarios'!$C$11-1)))</f>
        <v/>
      </c>
      <c r="J809" s="57" t="str">
        <f aca="false">IF($I809="","",INDEX(BookRate,804)*(1+'5. Scenarios'!$C$10)*$I809)</f>
        <v/>
      </c>
      <c r="K809" s="57" t="str">
        <f aca="false">IF($J809="","",SUMIFS($J$6:$J$2405,$A$6:$A$2405,"&lt;="&amp;$A809))</f>
        <v/>
      </c>
      <c r="L809" s="57" t="str">
        <f aca="false">IF($J809="","",IF($K809&lt;=BankCostEnvelope*'5. Scenarios'!$C$7,1,0))</f>
        <v/>
      </c>
      <c r="M809" s="57" t="str">
        <f aca="false">IF($I809="","",INDEX(BookRate,804)*(1+'5. Scenarios'!$C$10)*(INDEX(BookQ1,804)*(5-MIN(4,1+'5. Scenarios'!$C$8))/4+INDEX(BookQ2,804)*(5-MIN(4,2+'5. Scenarios'!$C$8))/4+INDEX(BookQ3,804)*(5-MIN(4,3+'5. Scenarios'!$C$8))/4+INDEX(BookQ4,804)*(5-MIN(4,4+'5. Scenarios'!$C$8))/4)*'5. Scenarios'!$C$6/(1+ProductivityDefault*('5. Scenarios'!$C$11-1))+INDEX(BookOneOff,804)*$I809)</f>
        <v/>
      </c>
      <c r="N809" s="56" t="str">
        <f aca="false">IF(INDEX(BookTitle,804)="","",INDEX(BookTotal,804)*'5. Scenarios'!$D$6/(1+ProductivityDefault*('5. Scenarios'!$D$11-1)))</f>
        <v/>
      </c>
      <c r="O809" s="57" t="str">
        <f aca="false">IF($N809="","",INDEX(BookRate,804)*(1+'5. Scenarios'!$D$10)*$N809)</f>
        <v/>
      </c>
      <c r="P809" s="57" t="str">
        <f aca="false">IF($O809="","",SUMIFS($O$6:$O$2405,$A$6:$A$2405,"&lt;="&amp;$A809))</f>
        <v/>
      </c>
      <c r="Q809" s="57" t="str">
        <f aca="false">IF($O809="","",IF($P809&lt;=BankCostEnvelope*'5. Scenarios'!$D$7,1,0))</f>
        <v/>
      </c>
      <c r="R809" s="57" t="str">
        <f aca="false">IF($N809="","",INDEX(BookRate,804)*(1+'5. Scenarios'!$D$10)*(INDEX(BookQ1,804)*(5-MIN(4,1+'5. Scenarios'!$D$8))/4+INDEX(BookQ2,804)*(5-MIN(4,2+'5. Scenarios'!$D$8))/4+INDEX(BookQ3,804)*(5-MIN(4,3+'5. Scenarios'!$D$8))/4+INDEX(BookQ4,804)*(5-MIN(4,4+'5. Scenarios'!$D$8))/4)*'5. Scenarios'!$D$6/(1+ProductivityDefault*('5. Scenarios'!$D$11-1))+INDEX(BookOneOff,804)*$N809)</f>
        <v/>
      </c>
      <c r="S809" s="56" t="str">
        <f aca="false">IF(INDEX(BookTitle,804)="","",INDEX(BookTotal,804)*'5. Scenarios'!$E$6/(1+ProductivityDefault*('5. Scenarios'!$E$11-1)))</f>
        <v/>
      </c>
      <c r="T809" s="57" t="str">
        <f aca="false">IF($S809="","",INDEX(BookRate,804)*(1+'5. Scenarios'!$E$10)*$S809)</f>
        <v/>
      </c>
      <c r="U809" s="57" t="str">
        <f aca="false">IF($T809="","",SUMIFS($T$6:$T$2405,$A$6:$A$2405,"&lt;="&amp;$A809))</f>
        <v/>
      </c>
      <c r="V809" s="57" t="str">
        <f aca="false">IF($T809="","",IF($U809&lt;=BankCostEnvelope*'5. Scenarios'!$E$7,1,0))</f>
        <v/>
      </c>
      <c r="W809" s="57" t="str">
        <f aca="false">IF($S809="","",INDEX(BookRate,804)*(1+'5. Scenarios'!$E$10)*(INDEX(BookQ1,804)*(5-MIN(4,1+'5. Scenarios'!$E$8))/4+INDEX(BookQ2,804)*(5-MIN(4,2+'5. Scenarios'!$E$8))/4+INDEX(BookQ3,804)*(5-MIN(4,3+'5. Scenarios'!$E$8))/4+INDEX(BookQ4,804)*(5-MIN(4,4+'5. Scenarios'!$E$8))/4)*'5. Scenarios'!$E$6/(1+ProductivityDefault*('5. Scenarios'!$E$11-1))+INDEX(BookOneOff,804)*$S809)</f>
        <v/>
      </c>
    </row>
    <row r="810" customFormat="false" ht="15" hidden="false" customHeight="false" outlineLevel="0" collapsed="false">
      <c r="A810" s="0" t="str">
        <f aca="false">IF(INDEX(BookTitle,805)="","",INDEX(BookKey,805))</f>
        <v/>
      </c>
      <c r="B810" s="0" t="str">
        <f aca="false">IF(INDEX(BookTitle,805)="","",INDEX(BookGroup,805))</f>
        <v/>
      </c>
      <c r="C810" s="0" t="str">
        <f aca="false">IF(INDEX(BookTitle,805)="","",INDEX(BookCategory,805))</f>
        <v/>
      </c>
      <c r="D810" s="56" t="str">
        <f aca="false">IF(INDEX(BookTitle,805)="","",INDEX(BookTotal,805)*'5. Scenarios'!$B$6/(1+ProductivityDefault*('5. Scenarios'!$B$11-1)))</f>
        <v/>
      </c>
      <c r="E810" s="57" t="str">
        <f aca="false">IF($D810="","",INDEX(BookRate,805)*(1+'5. Scenarios'!$B$10)*$D810)</f>
        <v/>
      </c>
      <c r="F810" s="57" t="str">
        <f aca="false">IF($E810="","",SUMIFS($E$6:$E$2405,$A$6:$A$2405,"&lt;="&amp;$A810))</f>
        <v/>
      </c>
      <c r="G810" s="57" t="str">
        <f aca="false">IF($E810="","",IF($F810&lt;=BankCostEnvelope*'5. Scenarios'!$B$7,1,0))</f>
        <v/>
      </c>
      <c r="H810" s="57" t="str">
        <f aca="false">IF($D810="","",INDEX(BookRate,805)*(1+'5. Scenarios'!$B$10)*(INDEX(BookQ1,805)*(5-MIN(4,1+'5. Scenarios'!$B$8))/4+INDEX(BookQ2,805)*(5-MIN(4,2+'5. Scenarios'!$B$8))/4+INDEX(BookQ3,805)*(5-MIN(4,3+'5. Scenarios'!$B$8))/4+INDEX(BookQ4,805)*(5-MIN(4,4+'5. Scenarios'!$B$8))/4)*'5. Scenarios'!$B$6/(1+ProductivityDefault*('5. Scenarios'!$B$11-1))+INDEX(BookOneOff,805)*$D810)</f>
        <v/>
      </c>
      <c r="I810" s="56" t="str">
        <f aca="false">IF(INDEX(BookTitle,805)="","",INDEX(BookTotal,805)*'5. Scenarios'!$C$6/(1+ProductivityDefault*('5. Scenarios'!$C$11-1)))</f>
        <v/>
      </c>
      <c r="J810" s="57" t="str">
        <f aca="false">IF($I810="","",INDEX(BookRate,805)*(1+'5. Scenarios'!$C$10)*$I810)</f>
        <v/>
      </c>
      <c r="K810" s="57" t="str">
        <f aca="false">IF($J810="","",SUMIFS($J$6:$J$2405,$A$6:$A$2405,"&lt;="&amp;$A810))</f>
        <v/>
      </c>
      <c r="L810" s="57" t="str">
        <f aca="false">IF($J810="","",IF($K810&lt;=BankCostEnvelope*'5. Scenarios'!$C$7,1,0))</f>
        <v/>
      </c>
      <c r="M810" s="57" t="str">
        <f aca="false">IF($I810="","",INDEX(BookRate,805)*(1+'5. Scenarios'!$C$10)*(INDEX(BookQ1,805)*(5-MIN(4,1+'5. Scenarios'!$C$8))/4+INDEX(BookQ2,805)*(5-MIN(4,2+'5. Scenarios'!$C$8))/4+INDEX(BookQ3,805)*(5-MIN(4,3+'5. Scenarios'!$C$8))/4+INDEX(BookQ4,805)*(5-MIN(4,4+'5. Scenarios'!$C$8))/4)*'5. Scenarios'!$C$6/(1+ProductivityDefault*('5. Scenarios'!$C$11-1))+INDEX(BookOneOff,805)*$I810)</f>
        <v/>
      </c>
      <c r="N810" s="56" t="str">
        <f aca="false">IF(INDEX(BookTitle,805)="","",INDEX(BookTotal,805)*'5. Scenarios'!$D$6/(1+ProductivityDefault*('5. Scenarios'!$D$11-1)))</f>
        <v/>
      </c>
      <c r="O810" s="57" t="str">
        <f aca="false">IF($N810="","",INDEX(BookRate,805)*(1+'5. Scenarios'!$D$10)*$N810)</f>
        <v/>
      </c>
      <c r="P810" s="57" t="str">
        <f aca="false">IF($O810="","",SUMIFS($O$6:$O$2405,$A$6:$A$2405,"&lt;="&amp;$A810))</f>
        <v/>
      </c>
      <c r="Q810" s="57" t="str">
        <f aca="false">IF($O810="","",IF($P810&lt;=BankCostEnvelope*'5. Scenarios'!$D$7,1,0))</f>
        <v/>
      </c>
      <c r="R810" s="57" t="str">
        <f aca="false">IF($N810="","",INDEX(BookRate,805)*(1+'5. Scenarios'!$D$10)*(INDEX(BookQ1,805)*(5-MIN(4,1+'5. Scenarios'!$D$8))/4+INDEX(BookQ2,805)*(5-MIN(4,2+'5. Scenarios'!$D$8))/4+INDEX(BookQ3,805)*(5-MIN(4,3+'5. Scenarios'!$D$8))/4+INDEX(BookQ4,805)*(5-MIN(4,4+'5. Scenarios'!$D$8))/4)*'5. Scenarios'!$D$6/(1+ProductivityDefault*('5. Scenarios'!$D$11-1))+INDEX(BookOneOff,805)*$N810)</f>
        <v/>
      </c>
      <c r="S810" s="56" t="str">
        <f aca="false">IF(INDEX(BookTitle,805)="","",INDEX(BookTotal,805)*'5. Scenarios'!$E$6/(1+ProductivityDefault*('5. Scenarios'!$E$11-1)))</f>
        <v/>
      </c>
      <c r="T810" s="57" t="str">
        <f aca="false">IF($S810="","",INDEX(BookRate,805)*(1+'5. Scenarios'!$E$10)*$S810)</f>
        <v/>
      </c>
      <c r="U810" s="57" t="str">
        <f aca="false">IF($T810="","",SUMIFS($T$6:$T$2405,$A$6:$A$2405,"&lt;="&amp;$A810))</f>
        <v/>
      </c>
      <c r="V810" s="57" t="str">
        <f aca="false">IF($T810="","",IF($U810&lt;=BankCostEnvelope*'5. Scenarios'!$E$7,1,0))</f>
        <v/>
      </c>
      <c r="W810" s="57" t="str">
        <f aca="false">IF($S810="","",INDEX(BookRate,805)*(1+'5. Scenarios'!$E$10)*(INDEX(BookQ1,805)*(5-MIN(4,1+'5. Scenarios'!$E$8))/4+INDEX(BookQ2,805)*(5-MIN(4,2+'5. Scenarios'!$E$8))/4+INDEX(BookQ3,805)*(5-MIN(4,3+'5. Scenarios'!$E$8))/4+INDEX(BookQ4,805)*(5-MIN(4,4+'5. Scenarios'!$E$8))/4)*'5. Scenarios'!$E$6/(1+ProductivityDefault*('5. Scenarios'!$E$11-1))+INDEX(BookOneOff,805)*$S810)</f>
        <v/>
      </c>
    </row>
    <row r="811" customFormat="false" ht="15" hidden="false" customHeight="false" outlineLevel="0" collapsed="false">
      <c r="A811" s="0" t="str">
        <f aca="false">IF(INDEX(BookTitle,806)="","",INDEX(BookKey,806))</f>
        <v/>
      </c>
      <c r="B811" s="0" t="str">
        <f aca="false">IF(INDEX(BookTitle,806)="","",INDEX(BookGroup,806))</f>
        <v/>
      </c>
      <c r="C811" s="0" t="str">
        <f aca="false">IF(INDEX(BookTitle,806)="","",INDEX(BookCategory,806))</f>
        <v/>
      </c>
      <c r="D811" s="56" t="str">
        <f aca="false">IF(INDEX(BookTitle,806)="","",INDEX(BookTotal,806)*'5. Scenarios'!$B$6/(1+ProductivityDefault*('5. Scenarios'!$B$11-1)))</f>
        <v/>
      </c>
      <c r="E811" s="57" t="str">
        <f aca="false">IF($D811="","",INDEX(BookRate,806)*(1+'5. Scenarios'!$B$10)*$D811)</f>
        <v/>
      </c>
      <c r="F811" s="57" t="str">
        <f aca="false">IF($E811="","",SUMIFS($E$6:$E$2405,$A$6:$A$2405,"&lt;="&amp;$A811))</f>
        <v/>
      </c>
      <c r="G811" s="57" t="str">
        <f aca="false">IF($E811="","",IF($F811&lt;=BankCostEnvelope*'5. Scenarios'!$B$7,1,0))</f>
        <v/>
      </c>
      <c r="H811" s="57" t="str">
        <f aca="false">IF($D811="","",INDEX(BookRate,806)*(1+'5. Scenarios'!$B$10)*(INDEX(BookQ1,806)*(5-MIN(4,1+'5. Scenarios'!$B$8))/4+INDEX(BookQ2,806)*(5-MIN(4,2+'5. Scenarios'!$B$8))/4+INDEX(BookQ3,806)*(5-MIN(4,3+'5. Scenarios'!$B$8))/4+INDEX(BookQ4,806)*(5-MIN(4,4+'5. Scenarios'!$B$8))/4)*'5. Scenarios'!$B$6/(1+ProductivityDefault*('5. Scenarios'!$B$11-1))+INDEX(BookOneOff,806)*$D811)</f>
        <v/>
      </c>
      <c r="I811" s="56" t="str">
        <f aca="false">IF(INDEX(BookTitle,806)="","",INDEX(BookTotal,806)*'5. Scenarios'!$C$6/(1+ProductivityDefault*('5. Scenarios'!$C$11-1)))</f>
        <v/>
      </c>
      <c r="J811" s="57" t="str">
        <f aca="false">IF($I811="","",INDEX(BookRate,806)*(1+'5. Scenarios'!$C$10)*$I811)</f>
        <v/>
      </c>
      <c r="K811" s="57" t="str">
        <f aca="false">IF($J811="","",SUMIFS($J$6:$J$2405,$A$6:$A$2405,"&lt;="&amp;$A811))</f>
        <v/>
      </c>
      <c r="L811" s="57" t="str">
        <f aca="false">IF($J811="","",IF($K811&lt;=BankCostEnvelope*'5. Scenarios'!$C$7,1,0))</f>
        <v/>
      </c>
      <c r="M811" s="57" t="str">
        <f aca="false">IF($I811="","",INDEX(BookRate,806)*(1+'5. Scenarios'!$C$10)*(INDEX(BookQ1,806)*(5-MIN(4,1+'5. Scenarios'!$C$8))/4+INDEX(BookQ2,806)*(5-MIN(4,2+'5. Scenarios'!$C$8))/4+INDEX(BookQ3,806)*(5-MIN(4,3+'5. Scenarios'!$C$8))/4+INDEX(BookQ4,806)*(5-MIN(4,4+'5. Scenarios'!$C$8))/4)*'5. Scenarios'!$C$6/(1+ProductivityDefault*('5. Scenarios'!$C$11-1))+INDEX(BookOneOff,806)*$I811)</f>
        <v/>
      </c>
      <c r="N811" s="56" t="str">
        <f aca="false">IF(INDEX(BookTitle,806)="","",INDEX(BookTotal,806)*'5. Scenarios'!$D$6/(1+ProductivityDefault*('5. Scenarios'!$D$11-1)))</f>
        <v/>
      </c>
      <c r="O811" s="57" t="str">
        <f aca="false">IF($N811="","",INDEX(BookRate,806)*(1+'5. Scenarios'!$D$10)*$N811)</f>
        <v/>
      </c>
      <c r="P811" s="57" t="str">
        <f aca="false">IF($O811="","",SUMIFS($O$6:$O$2405,$A$6:$A$2405,"&lt;="&amp;$A811))</f>
        <v/>
      </c>
      <c r="Q811" s="57" t="str">
        <f aca="false">IF($O811="","",IF($P811&lt;=BankCostEnvelope*'5. Scenarios'!$D$7,1,0))</f>
        <v/>
      </c>
      <c r="R811" s="57" t="str">
        <f aca="false">IF($N811="","",INDEX(BookRate,806)*(1+'5. Scenarios'!$D$10)*(INDEX(BookQ1,806)*(5-MIN(4,1+'5. Scenarios'!$D$8))/4+INDEX(BookQ2,806)*(5-MIN(4,2+'5. Scenarios'!$D$8))/4+INDEX(BookQ3,806)*(5-MIN(4,3+'5. Scenarios'!$D$8))/4+INDEX(BookQ4,806)*(5-MIN(4,4+'5. Scenarios'!$D$8))/4)*'5. Scenarios'!$D$6/(1+ProductivityDefault*('5. Scenarios'!$D$11-1))+INDEX(BookOneOff,806)*$N811)</f>
        <v/>
      </c>
      <c r="S811" s="56" t="str">
        <f aca="false">IF(INDEX(BookTitle,806)="","",INDEX(BookTotal,806)*'5. Scenarios'!$E$6/(1+ProductivityDefault*('5. Scenarios'!$E$11-1)))</f>
        <v/>
      </c>
      <c r="T811" s="57" t="str">
        <f aca="false">IF($S811="","",INDEX(BookRate,806)*(1+'5. Scenarios'!$E$10)*$S811)</f>
        <v/>
      </c>
      <c r="U811" s="57" t="str">
        <f aca="false">IF($T811="","",SUMIFS($T$6:$T$2405,$A$6:$A$2405,"&lt;="&amp;$A811))</f>
        <v/>
      </c>
      <c r="V811" s="57" t="str">
        <f aca="false">IF($T811="","",IF($U811&lt;=BankCostEnvelope*'5. Scenarios'!$E$7,1,0))</f>
        <v/>
      </c>
      <c r="W811" s="57" t="str">
        <f aca="false">IF($S811="","",INDEX(BookRate,806)*(1+'5. Scenarios'!$E$10)*(INDEX(BookQ1,806)*(5-MIN(4,1+'5. Scenarios'!$E$8))/4+INDEX(BookQ2,806)*(5-MIN(4,2+'5. Scenarios'!$E$8))/4+INDEX(BookQ3,806)*(5-MIN(4,3+'5. Scenarios'!$E$8))/4+INDEX(BookQ4,806)*(5-MIN(4,4+'5. Scenarios'!$E$8))/4)*'5. Scenarios'!$E$6/(1+ProductivityDefault*('5. Scenarios'!$E$11-1))+INDEX(BookOneOff,806)*$S811)</f>
        <v/>
      </c>
    </row>
    <row r="812" customFormat="false" ht="15" hidden="false" customHeight="false" outlineLevel="0" collapsed="false">
      <c r="A812" s="0" t="str">
        <f aca="false">IF(INDEX(BookTitle,807)="","",INDEX(BookKey,807))</f>
        <v/>
      </c>
      <c r="B812" s="0" t="str">
        <f aca="false">IF(INDEX(BookTitle,807)="","",INDEX(BookGroup,807))</f>
        <v/>
      </c>
      <c r="C812" s="0" t="str">
        <f aca="false">IF(INDEX(BookTitle,807)="","",INDEX(BookCategory,807))</f>
        <v/>
      </c>
      <c r="D812" s="56" t="str">
        <f aca="false">IF(INDEX(BookTitle,807)="","",INDEX(BookTotal,807)*'5. Scenarios'!$B$6/(1+ProductivityDefault*('5. Scenarios'!$B$11-1)))</f>
        <v/>
      </c>
      <c r="E812" s="57" t="str">
        <f aca="false">IF($D812="","",INDEX(BookRate,807)*(1+'5. Scenarios'!$B$10)*$D812)</f>
        <v/>
      </c>
      <c r="F812" s="57" t="str">
        <f aca="false">IF($E812="","",SUMIFS($E$6:$E$2405,$A$6:$A$2405,"&lt;="&amp;$A812))</f>
        <v/>
      </c>
      <c r="G812" s="57" t="str">
        <f aca="false">IF($E812="","",IF($F812&lt;=BankCostEnvelope*'5. Scenarios'!$B$7,1,0))</f>
        <v/>
      </c>
      <c r="H812" s="57" t="str">
        <f aca="false">IF($D812="","",INDEX(BookRate,807)*(1+'5. Scenarios'!$B$10)*(INDEX(BookQ1,807)*(5-MIN(4,1+'5. Scenarios'!$B$8))/4+INDEX(BookQ2,807)*(5-MIN(4,2+'5. Scenarios'!$B$8))/4+INDEX(BookQ3,807)*(5-MIN(4,3+'5. Scenarios'!$B$8))/4+INDEX(BookQ4,807)*(5-MIN(4,4+'5. Scenarios'!$B$8))/4)*'5. Scenarios'!$B$6/(1+ProductivityDefault*('5. Scenarios'!$B$11-1))+INDEX(BookOneOff,807)*$D812)</f>
        <v/>
      </c>
      <c r="I812" s="56" t="str">
        <f aca="false">IF(INDEX(BookTitle,807)="","",INDEX(BookTotal,807)*'5. Scenarios'!$C$6/(1+ProductivityDefault*('5. Scenarios'!$C$11-1)))</f>
        <v/>
      </c>
      <c r="J812" s="57" t="str">
        <f aca="false">IF($I812="","",INDEX(BookRate,807)*(1+'5. Scenarios'!$C$10)*$I812)</f>
        <v/>
      </c>
      <c r="K812" s="57" t="str">
        <f aca="false">IF($J812="","",SUMIFS($J$6:$J$2405,$A$6:$A$2405,"&lt;="&amp;$A812))</f>
        <v/>
      </c>
      <c r="L812" s="57" t="str">
        <f aca="false">IF($J812="","",IF($K812&lt;=BankCostEnvelope*'5. Scenarios'!$C$7,1,0))</f>
        <v/>
      </c>
      <c r="M812" s="57" t="str">
        <f aca="false">IF($I812="","",INDEX(BookRate,807)*(1+'5. Scenarios'!$C$10)*(INDEX(BookQ1,807)*(5-MIN(4,1+'5. Scenarios'!$C$8))/4+INDEX(BookQ2,807)*(5-MIN(4,2+'5. Scenarios'!$C$8))/4+INDEX(BookQ3,807)*(5-MIN(4,3+'5. Scenarios'!$C$8))/4+INDEX(BookQ4,807)*(5-MIN(4,4+'5. Scenarios'!$C$8))/4)*'5. Scenarios'!$C$6/(1+ProductivityDefault*('5. Scenarios'!$C$11-1))+INDEX(BookOneOff,807)*$I812)</f>
        <v/>
      </c>
      <c r="N812" s="56" t="str">
        <f aca="false">IF(INDEX(BookTitle,807)="","",INDEX(BookTotal,807)*'5. Scenarios'!$D$6/(1+ProductivityDefault*('5. Scenarios'!$D$11-1)))</f>
        <v/>
      </c>
      <c r="O812" s="57" t="str">
        <f aca="false">IF($N812="","",INDEX(BookRate,807)*(1+'5. Scenarios'!$D$10)*$N812)</f>
        <v/>
      </c>
      <c r="P812" s="57" t="str">
        <f aca="false">IF($O812="","",SUMIFS($O$6:$O$2405,$A$6:$A$2405,"&lt;="&amp;$A812))</f>
        <v/>
      </c>
      <c r="Q812" s="57" t="str">
        <f aca="false">IF($O812="","",IF($P812&lt;=BankCostEnvelope*'5. Scenarios'!$D$7,1,0))</f>
        <v/>
      </c>
      <c r="R812" s="57" t="str">
        <f aca="false">IF($N812="","",INDEX(BookRate,807)*(1+'5. Scenarios'!$D$10)*(INDEX(BookQ1,807)*(5-MIN(4,1+'5. Scenarios'!$D$8))/4+INDEX(BookQ2,807)*(5-MIN(4,2+'5. Scenarios'!$D$8))/4+INDEX(BookQ3,807)*(5-MIN(4,3+'5. Scenarios'!$D$8))/4+INDEX(BookQ4,807)*(5-MIN(4,4+'5. Scenarios'!$D$8))/4)*'5. Scenarios'!$D$6/(1+ProductivityDefault*('5. Scenarios'!$D$11-1))+INDEX(BookOneOff,807)*$N812)</f>
        <v/>
      </c>
      <c r="S812" s="56" t="str">
        <f aca="false">IF(INDEX(BookTitle,807)="","",INDEX(BookTotal,807)*'5. Scenarios'!$E$6/(1+ProductivityDefault*('5. Scenarios'!$E$11-1)))</f>
        <v/>
      </c>
      <c r="T812" s="57" t="str">
        <f aca="false">IF($S812="","",INDEX(BookRate,807)*(1+'5. Scenarios'!$E$10)*$S812)</f>
        <v/>
      </c>
      <c r="U812" s="57" t="str">
        <f aca="false">IF($T812="","",SUMIFS($T$6:$T$2405,$A$6:$A$2405,"&lt;="&amp;$A812))</f>
        <v/>
      </c>
      <c r="V812" s="57" t="str">
        <f aca="false">IF($T812="","",IF($U812&lt;=BankCostEnvelope*'5. Scenarios'!$E$7,1,0))</f>
        <v/>
      </c>
      <c r="W812" s="57" t="str">
        <f aca="false">IF($S812="","",INDEX(BookRate,807)*(1+'5. Scenarios'!$E$10)*(INDEX(BookQ1,807)*(5-MIN(4,1+'5. Scenarios'!$E$8))/4+INDEX(BookQ2,807)*(5-MIN(4,2+'5. Scenarios'!$E$8))/4+INDEX(BookQ3,807)*(5-MIN(4,3+'5. Scenarios'!$E$8))/4+INDEX(BookQ4,807)*(5-MIN(4,4+'5. Scenarios'!$E$8))/4)*'5. Scenarios'!$E$6/(1+ProductivityDefault*('5. Scenarios'!$E$11-1))+INDEX(BookOneOff,807)*$S812)</f>
        <v/>
      </c>
    </row>
    <row r="813" customFormat="false" ht="15" hidden="false" customHeight="false" outlineLevel="0" collapsed="false">
      <c r="A813" s="0" t="str">
        <f aca="false">IF(INDEX(BookTitle,808)="","",INDEX(BookKey,808))</f>
        <v/>
      </c>
      <c r="B813" s="0" t="str">
        <f aca="false">IF(INDEX(BookTitle,808)="","",INDEX(BookGroup,808))</f>
        <v/>
      </c>
      <c r="C813" s="0" t="str">
        <f aca="false">IF(INDEX(BookTitle,808)="","",INDEX(BookCategory,808))</f>
        <v/>
      </c>
      <c r="D813" s="56" t="str">
        <f aca="false">IF(INDEX(BookTitle,808)="","",INDEX(BookTotal,808)*'5. Scenarios'!$B$6/(1+ProductivityDefault*('5. Scenarios'!$B$11-1)))</f>
        <v/>
      </c>
      <c r="E813" s="57" t="str">
        <f aca="false">IF($D813="","",INDEX(BookRate,808)*(1+'5. Scenarios'!$B$10)*$D813)</f>
        <v/>
      </c>
      <c r="F813" s="57" t="str">
        <f aca="false">IF($E813="","",SUMIFS($E$6:$E$2405,$A$6:$A$2405,"&lt;="&amp;$A813))</f>
        <v/>
      </c>
      <c r="G813" s="57" t="str">
        <f aca="false">IF($E813="","",IF($F813&lt;=BankCostEnvelope*'5. Scenarios'!$B$7,1,0))</f>
        <v/>
      </c>
      <c r="H813" s="57" t="str">
        <f aca="false">IF($D813="","",INDEX(BookRate,808)*(1+'5. Scenarios'!$B$10)*(INDEX(BookQ1,808)*(5-MIN(4,1+'5. Scenarios'!$B$8))/4+INDEX(BookQ2,808)*(5-MIN(4,2+'5. Scenarios'!$B$8))/4+INDEX(BookQ3,808)*(5-MIN(4,3+'5. Scenarios'!$B$8))/4+INDEX(BookQ4,808)*(5-MIN(4,4+'5. Scenarios'!$B$8))/4)*'5. Scenarios'!$B$6/(1+ProductivityDefault*('5. Scenarios'!$B$11-1))+INDEX(BookOneOff,808)*$D813)</f>
        <v/>
      </c>
      <c r="I813" s="56" t="str">
        <f aca="false">IF(INDEX(BookTitle,808)="","",INDEX(BookTotal,808)*'5. Scenarios'!$C$6/(1+ProductivityDefault*('5. Scenarios'!$C$11-1)))</f>
        <v/>
      </c>
      <c r="J813" s="57" t="str">
        <f aca="false">IF($I813="","",INDEX(BookRate,808)*(1+'5. Scenarios'!$C$10)*$I813)</f>
        <v/>
      </c>
      <c r="K813" s="57" t="str">
        <f aca="false">IF($J813="","",SUMIFS($J$6:$J$2405,$A$6:$A$2405,"&lt;="&amp;$A813))</f>
        <v/>
      </c>
      <c r="L813" s="57" t="str">
        <f aca="false">IF($J813="","",IF($K813&lt;=BankCostEnvelope*'5. Scenarios'!$C$7,1,0))</f>
        <v/>
      </c>
      <c r="M813" s="57" t="str">
        <f aca="false">IF($I813="","",INDEX(BookRate,808)*(1+'5. Scenarios'!$C$10)*(INDEX(BookQ1,808)*(5-MIN(4,1+'5. Scenarios'!$C$8))/4+INDEX(BookQ2,808)*(5-MIN(4,2+'5. Scenarios'!$C$8))/4+INDEX(BookQ3,808)*(5-MIN(4,3+'5. Scenarios'!$C$8))/4+INDEX(BookQ4,808)*(5-MIN(4,4+'5. Scenarios'!$C$8))/4)*'5. Scenarios'!$C$6/(1+ProductivityDefault*('5. Scenarios'!$C$11-1))+INDEX(BookOneOff,808)*$I813)</f>
        <v/>
      </c>
      <c r="N813" s="56" t="str">
        <f aca="false">IF(INDEX(BookTitle,808)="","",INDEX(BookTotal,808)*'5. Scenarios'!$D$6/(1+ProductivityDefault*('5. Scenarios'!$D$11-1)))</f>
        <v/>
      </c>
      <c r="O813" s="57" t="str">
        <f aca="false">IF($N813="","",INDEX(BookRate,808)*(1+'5. Scenarios'!$D$10)*$N813)</f>
        <v/>
      </c>
      <c r="P813" s="57" t="str">
        <f aca="false">IF($O813="","",SUMIFS($O$6:$O$2405,$A$6:$A$2405,"&lt;="&amp;$A813))</f>
        <v/>
      </c>
      <c r="Q813" s="57" t="str">
        <f aca="false">IF($O813="","",IF($P813&lt;=BankCostEnvelope*'5. Scenarios'!$D$7,1,0))</f>
        <v/>
      </c>
      <c r="R813" s="57" t="str">
        <f aca="false">IF($N813="","",INDEX(BookRate,808)*(1+'5. Scenarios'!$D$10)*(INDEX(BookQ1,808)*(5-MIN(4,1+'5. Scenarios'!$D$8))/4+INDEX(BookQ2,808)*(5-MIN(4,2+'5. Scenarios'!$D$8))/4+INDEX(BookQ3,808)*(5-MIN(4,3+'5. Scenarios'!$D$8))/4+INDEX(BookQ4,808)*(5-MIN(4,4+'5. Scenarios'!$D$8))/4)*'5. Scenarios'!$D$6/(1+ProductivityDefault*('5. Scenarios'!$D$11-1))+INDEX(BookOneOff,808)*$N813)</f>
        <v/>
      </c>
      <c r="S813" s="56" t="str">
        <f aca="false">IF(INDEX(BookTitle,808)="","",INDEX(BookTotal,808)*'5. Scenarios'!$E$6/(1+ProductivityDefault*('5. Scenarios'!$E$11-1)))</f>
        <v/>
      </c>
      <c r="T813" s="57" t="str">
        <f aca="false">IF($S813="","",INDEX(BookRate,808)*(1+'5. Scenarios'!$E$10)*$S813)</f>
        <v/>
      </c>
      <c r="U813" s="57" t="str">
        <f aca="false">IF($T813="","",SUMIFS($T$6:$T$2405,$A$6:$A$2405,"&lt;="&amp;$A813))</f>
        <v/>
      </c>
      <c r="V813" s="57" t="str">
        <f aca="false">IF($T813="","",IF($U813&lt;=BankCostEnvelope*'5. Scenarios'!$E$7,1,0))</f>
        <v/>
      </c>
      <c r="W813" s="57" t="str">
        <f aca="false">IF($S813="","",INDEX(BookRate,808)*(1+'5. Scenarios'!$E$10)*(INDEX(BookQ1,808)*(5-MIN(4,1+'5. Scenarios'!$E$8))/4+INDEX(BookQ2,808)*(5-MIN(4,2+'5. Scenarios'!$E$8))/4+INDEX(BookQ3,808)*(5-MIN(4,3+'5. Scenarios'!$E$8))/4+INDEX(BookQ4,808)*(5-MIN(4,4+'5. Scenarios'!$E$8))/4)*'5. Scenarios'!$E$6/(1+ProductivityDefault*('5. Scenarios'!$E$11-1))+INDEX(BookOneOff,808)*$S813)</f>
        <v/>
      </c>
    </row>
    <row r="814" customFormat="false" ht="15" hidden="false" customHeight="false" outlineLevel="0" collapsed="false">
      <c r="A814" s="0" t="str">
        <f aca="false">IF(INDEX(BookTitle,809)="","",INDEX(BookKey,809))</f>
        <v/>
      </c>
      <c r="B814" s="0" t="str">
        <f aca="false">IF(INDEX(BookTitle,809)="","",INDEX(BookGroup,809))</f>
        <v/>
      </c>
      <c r="C814" s="0" t="str">
        <f aca="false">IF(INDEX(BookTitle,809)="","",INDEX(BookCategory,809))</f>
        <v/>
      </c>
      <c r="D814" s="56" t="str">
        <f aca="false">IF(INDEX(BookTitle,809)="","",INDEX(BookTotal,809)*'5. Scenarios'!$B$6/(1+ProductivityDefault*('5. Scenarios'!$B$11-1)))</f>
        <v/>
      </c>
      <c r="E814" s="57" t="str">
        <f aca="false">IF($D814="","",INDEX(BookRate,809)*(1+'5. Scenarios'!$B$10)*$D814)</f>
        <v/>
      </c>
      <c r="F814" s="57" t="str">
        <f aca="false">IF($E814="","",SUMIFS($E$6:$E$2405,$A$6:$A$2405,"&lt;="&amp;$A814))</f>
        <v/>
      </c>
      <c r="G814" s="57" t="str">
        <f aca="false">IF($E814="","",IF($F814&lt;=BankCostEnvelope*'5. Scenarios'!$B$7,1,0))</f>
        <v/>
      </c>
      <c r="H814" s="57" t="str">
        <f aca="false">IF($D814="","",INDEX(BookRate,809)*(1+'5. Scenarios'!$B$10)*(INDEX(BookQ1,809)*(5-MIN(4,1+'5. Scenarios'!$B$8))/4+INDEX(BookQ2,809)*(5-MIN(4,2+'5. Scenarios'!$B$8))/4+INDEX(BookQ3,809)*(5-MIN(4,3+'5. Scenarios'!$B$8))/4+INDEX(BookQ4,809)*(5-MIN(4,4+'5. Scenarios'!$B$8))/4)*'5. Scenarios'!$B$6/(1+ProductivityDefault*('5. Scenarios'!$B$11-1))+INDEX(BookOneOff,809)*$D814)</f>
        <v/>
      </c>
      <c r="I814" s="56" t="str">
        <f aca="false">IF(INDEX(BookTitle,809)="","",INDEX(BookTotal,809)*'5. Scenarios'!$C$6/(1+ProductivityDefault*('5. Scenarios'!$C$11-1)))</f>
        <v/>
      </c>
      <c r="J814" s="57" t="str">
        <f aca="false">IF($I814="","",INDEX(BookRate,809)*(1+'5. Scenarios'!$C$10)*$I814)</f>
        <v/>
      </c>
      <c r="K814" s="57" t="str">
        <f aca="false">IF($J814="","",SUMIFS($J$6:$J$2405,$A$6:$A$2405,"&lt;="&amp;$A814))</f>
        <v/>
      </c>
      <c r="L814" s="57" t="str">
        <f aca="false">IF($J814="","",IF($K814&lt;=BankCostEnvelope*'5. Scenarios'!$C$7,1,0))</f>
        <v/>
      </c>
      <c r="M814" s="57" t="str">
        <f aca="false">IF($I814="","",INDEX(BookRate,809)*(1+'5. Scenarios'!$C$10)*(INDEX(BookQ1,809)*(5-MIN(4,1+'5. Scenarios'!$C$8))/4+INDEX(BookQ2,809)*(5-MIN(4,2+'5. Scenarios'!$C$8))/4+INDEX(BookQ3,809)*(5-MIN(4,3+'5. Scenarios'!$C$8))/4+INDEX(BookQ4,809)*(5-MIN(4,4+'5. Scenarios'!$C$8))/4)*'5. Scenarios'!$C$6/(1+ProductivityDefault*('5. Scenarios'!$C$11-1))+INDEX(BookOneOff,809)*$I814)</f>
        <v/>
      </c>
      <c r="N814" s="56" t="str">
        <f aca="false">IF(INDEX(BookTitle,809)="","",INDEX(BookTotal,809)*'5. Scenarios'!$D$6/(1+ProductivityDefault*('5. Scenarios'!$D$11-1)))</f>
        <v/>
      </c>
      <c r="O814" s="57" t="str">
        <f aca="false">IF($N814="","",INDEX(BookRate,809)*(1+'5. Scenarios'!$D$10)*$N814)</f>
        <v/>
      </c>
      <c r="P814" s="57" t="str">
        <f aca="false">IF($O814="","",SUMIFS($O$6:$O$2405,$A$6:$A$2405,"&lt;="&amp;$A814))</f>
        <v/>
      </c>
      <c r="Q814" s="57" t="str">
        <f aca="false">IF($O814="","",IF($P814&lt;=BankCostEnvelope*'5. Scenarios'!$D$7,1,0))</f>
        <v/>
      </c>
      <c r="R814" s="57" t="str">
        <f aca="false">IF($N814="","",INDEX(BookRate,809)*(1+'5. Scenarios'!$D$10)*(INDEX(BookQ1,809)*(5-MIN(4,1+'5. Scenarios'!$D$8))/4+INDEX(BookQ2,809)*(5-MIN(4,2+'5. Scenarios'!$D$8))/4+INDEX(BookQ3,809)*(5-MIN(4,3+'5. Scenarios'!$D$8))/4+INDEX(BookQ4,809)*(5-MIN(4,4+'5. Scenarios'!$D$8))/4)*'5. Scenarios'!$D$6/(1+ProductivityDefault*('5. Scenarios'!$D$11-1))+INDEX(BookOneOff,809)*$N814)</f>
        <v/>
      </c>
      <c r="S814" s="56" t="str">
        <f aca="false">IF(INDEX(BookTitle,809)="","",INDEX(BookTotal,809)*'5. Scenarios'!$E$6/(1+ProductivityDefault*('5. Scenarios'!$E$11-1)))</f>
        <v/>
      </c>
      <c r="T814" s="57" t="str">
        <f aca="false">IF($S814="","",INDEX(BookRate,809)*(1+'5. Scenarios'!$E$10)*$S814)</f>
        <v/>
      </c>
      <c r="U814" s="57" t="str">
        <f aca="false">IF($T814="","",SUMIFS($T$6:$T$2405,$A$6:$A$2405,"&lt;="&amp;$A814))</f>
        <v/>
      </c>
      <c r="V814" s="57" t="str">
        <f aca="false">IF($T814="","",IF($U814&lt;=BankCostEnvelope*'5. Scenarios'!$E$7,1,0))</f>
        <v/>
      </c>
      <c r="W814" s="57" t="str">
        <f aca="false">IF($S814="","",INDEX(BookRate,809)*(1+'5. Scenarios'!$E$10)*(INDEX(BookQ1,809)*(5-MIN(4,1+'5. Scenarios'!$E$8))/4+INDEX(BookQ2,809)*(5-MIN(4,2+'5. Scenarios'!$E$8))/4+INDEX(BookQ3,809)*(5-MIN(4,3+'5. Scenarios'!$E$8))/4+INDEX(BookQ4,809)*(5-MIN(4,4+'5. Scenarios'!$E$8))/4)*'5. Scenarios'!$E$6/(1+ProductivityDefault*('5. Scenarios'!$E$11-1))+INDEX(BookOneOff,809)*$S814)</f>
        <v/>
      </c>
    </row>
    <row r="815" customFormat="false" ht="15" hidden="false" customHeight="false" outlineLevel="0" collapsed="false">
      <c r="A815" s="0" t="str">
        <f aca="false">IF(INDEX(BookTitle,810)="","",INDEX(BookKey,810))</f>
        <v/>
      </c>
      <c r="B815" s="0" t="str">
        <f aca="false">IF(INDEX(BookTitle,810)="","",INDEX(BookGroup,810))</f>
        <v/>
      </c>
      <c r="C815" s="0" t="str">
        <f aca="false">IF(INDEX(BookTitle,810)="","",INDEX(BookCategory,810))</f>
        <v/>
      </c>
      <c r="D815" s="56" t="str">
        <f aca="false">IF(INDEX(BookTitle,810)="","",INDEX(BookTotal,810)*'5. Scenarios'!$B$6/(1+ProductivityDefault*('5. Scenarios'!$B$11-1)))</f>
        <v/>
      </c>
      <c r="E815" s="57" t="str">
        <f aca="false">IF($D815="","",INDEX(BookRate,810)*(1+'5. Scenarios'!$B$10)*$D815)</f>
        <v/>
      </c>
      <c r="F815" s="57" t="str">
        <f aca="false">IF($E815="","",SUMIFS($E$6:$E$2405,$A$6:$A$2405,"&lt;="&amp;$A815))</f>
        <v/>
      </c>
      <c r="G815" s="57" t="str">
        <f aca="false">IF($E815="","",IF($F815&lt;=BankCostEnvelope*'5. Scenarios'!$B$7,1,0))</f>
        <v/>
      </c>
      <c r="H815" s="57" t="str">
        <f aca="false">IF($D815="","",INDEX(BookRate,810)*(1+'5. Scenarios'!$B$10)*(INDEX(BookQ1,810)*(5-MIN(4,1+'5. Scenarios'!$B$8))/4+INDEX(BookQ2,810)*(5-MIN(4,2+'5. Scenarios'!$B$8))/4+INDEX(BookQ3,810)*(5-MIN(4,3+'5. Scenarios'!$B$8))/4+INDEX(BookQ4,810)*(5-MIN(4,4+'5. Scenarios'!$B$8))/4)*'5. Scenarios'!$B$6/(1+ProductivityDefault*('5. Scenarios'!$B$11-1))+INDEX(BookOneOff,810)*$D815)</f>
        <v/>
      </c>
      <c r="I815" s="56" t="str">
        <f aca="false">IF(INDEX(BookTitle,810)="","",INDEX(BookTotal,810)*'5. Scenarios'!$C$6/(1+ProductivityDefault*('5. Scenarios'!$C$11-1)))</f>
        <v/>
      </c>
      <c r="J815" s="57" t="str">
        <f aca="false">IF($I815="","",INDEX(BookRate,810)*(1+'5. Scenarios'!$C$10)*$I815)</f>
        <v/>
      </c>
      <c r="K815" s="57" t="str">
        <f aca="false">IF($J815="","",SUMIFS($J$6:$J$2405,$A$6:$A$2405,"&lt;="&amp;$A815))</f>
        <v/>
      </c>
      <c r="L815" s="57" t="str">
        <f aca="false">IF($J815="","",IF($K815&lt;=BankCostEnvelope*'5. Scenarios'!$C$7,1,0))</f>
        <v/>
      </c>
      <c r="M815" s="57" t="str">
        <f aca="false">IF($I815="","",INDEX(BookRate,810)*(1+'5. Scenarios'!$C$10)*(INDEX(BookQ1,810)*(5-MIN(4,1+'5. Scenarios'!$C$8))/4+INDEX(BookQ2,810)*(5-MIN(4,2+'5. Scenarios'!$C$8))/4+INDEX(BookQ3,810)*(5-MIN(4,3+'5. Scenarios'!$C$8))/4+INDEX(BookQ4,810)*(5-MIN(4,4+'5. Scenarios'!$C$8))/4)*'5. Scenarios'!$C$6/(1+ProductivityDefault*('5. Scenarios'!$C$11-1))+INDEX(BookOneOff,810)*$I815)</f>
        <v/>
      </c>
      <c r="N815" s="56" t="str">
        <f aca="false">IF(INDEX(BookTitle,810)="","",INDEX(BookTotal,810)*'5. Scenarios'!$D$6/(1+ProductivityDefault*('5. Scenarios'!$D$11-1)))</f>
        <v/>
      </c>
      <c r="O815" s="57" t="str">
        <f aca="false">IF($N815="","",INDEX(BookRate,810)*(1+'5. Scenarios'!$D$10)*$N815)</f>
        <v/>
      </c>
      <c r="P815" s="57" t="str">
        <f aca="false">IF($O815="","",SUMIFS($O$6:$O$2405,$A$6:$A$2405,"&lt;="&amp;$A815))</f>
        <v/>
      </c>
      <c r="Q815" s="57" t="str">
        <f aca="false">IF($O815="","",IF($P815&lt;=BankCostEnvelope*'5. Scenarios'!$D$7,1,0))</f>
        <v/>
      </c>
      <c r="R815" s="57" t="str">
        <f aca="false">IF($N815="","",INDEX(BookRate,810)*(1+'5. Scenarios'!$D$10)*(INDEX(BookQ1,810)*(5-MIN(4,1+'5. Scenarios'!$D$8))/4+INDEX(BookQ2,810)*(5-MIN(4,2+'5. Scenarios'!$D$8))/4+INDEX(BookQ3,810)*(5-MIN(4,3+'5. Scenarios'!$D$8))/4+INDEX(BookQ4,810)*(5-MIN(4,4+'5. Scenarios'!$D$8))/4)*'5. Scenarios'!$D$6/(1+ProductivityDefault*('5. Scenarios'!$D$11-1))+INDEX(BookOneOff,810)*$N815)</f>
        <v/>
      </c>
      <c r="S815" s="56" t="str">
        <f aca="false">IF(INDEX(BookTitle,810)="","",INDEX(BookTotal,810)*'5. Scenarios'!$E$6/(1+ProductivityDefault*('5. Scenarios'!$E$11-1)))</f>
        <v/>
      </c>
      <c r="T815" s="57" t="str">
        <f aca="false">IF($S815="","",INDEX(BookRate,810)*(1+'5. Scenarios'!$E$10)*$S815)</f>
        <v/>
      </c>
      <c r="U815" s="57" t="str">
        <f aca="false">IF($T815="","",SUMIFS($T$6:$T$2405,$A$6:$A$2405,"&lt;="&amp;$A815))</f>
        <v/>
      </c>
      <c r="V815" s="57" t="str">
        <f aca="false">IF($T815="","",IF($U815&lt;=BankCostEnvelope*'5. Scenarios'!$E$7,1,0))</f>
        <v/>
      </c>
      <c r="W815" s="57" t="str">
        <f aca="false">IF($S815="","",INDEX(BookRate,810)*(1+'5. Scenarios'!$E$10)*(INDEX(BookQ1,810)*(5-MIN(4,1+'5. Scenarios'!$E$8))/4+INDEX(BookQ2,810)*(5-MIN(4,2+'5. Scenarios'!$E$8))/4+INDEX(BookQ3,810)*(5-MIN(4,3+'5. Scenarios'!$E$8))/4+INDEX(BookQ4,810)*(5-MIN(4,4+'5. Scenarios'!$E$8))/4)*'5. Scenarios'!$E$6/(1+ProductivityDefault*('5. Scenarios'!$E$11-1))+INDEX(BookOneOff,810)*$S815)</f>
        <v/>
      </c>
    </row>
    <row r="816" customFormat="false" ht="15" hidden="false" customHeight="false" outlineLevel="0" collapsed="false">
      <c r="A816" s="0" t="str">
        <f aca="false">IF(INDEX(BookTitle,811)="","",INDEX(BookKey,811))</f>
        <v/>
      </c>
      <c r="B816" s="0" t="str">
        <f aca="false">IF(INDEX(BookTitle,811)="","",INDEX(BookGroup,811))</f>
        <v/>
      </c>
      <c r="C816" s="0" t="str">
        <f aca="false">IF(INDEX(BookTitle,811)="","",INDEX(BookCategory,811))</f>
        <v/>
      </c>
      <c r="D816" s="56" t="str">
        <f aca="false">IF(INDEX(BookTitle,811)="","",INDEX(BookTotal,811)*'5. Scenarios'!$B$6/(1+ProductivityDefault*('5. Scenarios'!$B$11-1)))</f>
        <v/>
      </c>
      <c r="E816" s="57" t="str">
        <f aca="false">IF($D816="","",INDEX(BookRate,811)*(1+'5. Scenarios'!$B$10)*$D816)</f>
        <v/>
      </c>
      <c r="F816" s="57" t="str">
        <f aca="false">IF($E816="","",SUMIFS($E$6:$E$2405,$A$6:$A$2405,"&lt;="&amp;$A816))</f>
        <v/>
      </c>
      <c r="G816" s="57" t="str">
        <f aca="false">IF($E816="","",IF($F816&lt;=BankCostEnvelope*'5. Scenarios'!$B$7,1,0))</f>
        <v/>
      </c>
      <c r="H816" s="57" t="str">
        <f aca="false">IF($D816="","",INDEX(BookRate,811)*(1+'5. Scenarios'!$B$10)*(INDEX(BookQ1,811)*(5-MIN(4,1+'5. Scenarios'!$B$8))/4+INDEX(BookQ2,811)*(5-MIN(4,2+'5. Scenarios'!$B$8))/4+INDEX(BookQ3,811)*(5-MIN(4,3+'5. Scenarios'!$B$8))/4+INDEX(BookQ4,811)*(5-MIN(4,4+'5. Scenarios'!$B$8))/4)*'5. Scenarios'!$B$6/(1+ProductivityDefault*('5. Scenarios'!$B$11-1))+INDEX(BookOneOff,811)*$D816)</f>
        <v/>
      </c>
      <c r="I816" s="56" t="str">
        <f aca="false">IF(INDEX(BookTitle,811)="","",INDEX(BookTotal,811)*'5. Scenarios'!$C$6/(1+ProductivityDefault*('5. Scenarios'!$C$11-1)))</f>
        <v/>
      </c>
      <c r="J816" s="57" t="str">
        <f aca="false">IF($I816="","",INDEX(BookRate,811)*(1+'5. Scenarios'!$C$10)*$I816)</f>
        <v/>
      </c>
      <c r="K816" s="57" t="str">
        <f aca="false">IF($J816="","",SUMIFS($J$6:$J$2405,$A$6:$A$2405,"&lt;="&amp;$A816))</f>
        <v/>
      </c>
      <c r="L816" s="57" t="str">
        <f aca="false">IF($J816="","",IF($K816&lt;=BankCostEnvelope*'5. Scenarios'!$C$7,1,0))</f>
        <v/>
      </c>
      <c r="M816" s="57" t="str">
        <f aca="false">IF($I816="","",INDEX(BookRate,811)*(1+'5. Scenarios'!$C$10)*(INDEX(BookQ1,811)*(5-MIN(4,1+'5. Scenarios'!$C$8))/4+INDEX(BookQ2,811)*(5-MIN(4,2+'5. Scenarios'!$C$8))/4+INDEX(BookQ3,811)*(5-MIN(4,3+'5. Scenarios'!$C$8))/4+INDEX(BookQ4,811)*(5-MIN(4,4+'5. Scenarios'!$C$8))/4)*'5. Scenarios'!$C$6/(1+ProductivityDefault*('5. Scenarios'!$C$11-1))+INDEX(BookOneOff,811)*$I816)</f>
        <v/>
      </c>
      <c r="N816" s="56" t="str">
        <f aca="false">IF(INDEX(BookTitle,811)="","",INDEX(BookTotal,811)*'5. Scenarios'!$D$6/(1+ProductivityDefault*('5. Scenarios'!$D$11-1)))</f>
        <v/>
      </c>
      <c r="O816" s="57" t="str">
        <f aca="false">IF($N816="","",INDEX(BookRate,811)*(1+'5. Scenarios'!$D$10)*$N816)</f>
        <v/>
      </c>
      <c r="P816" s="57" t="str">
        <f aca="false">IF($O816="","",SUMIFS($O$6:$O$2405,$A$6:$A$2405,"&lt;="&amp;$A816))</f>
        <v/>
      </c>
      <c r="Q816" s="57" t="str">
        <f aca="false">IF($O816="","",IF($P816&lt;=BankCostEnvelope*'5. Scenarios'!$D$7,1,0))</f>
        <v/>
      </c>
      <c r="R816" s="57" t="str">
        <f aca="false">IF($N816="","",INDEX(BookRate,811)*(1+'5. Scenarios'!$D$10)*(INDEX(BookQ1,811)*(5-MIN(4,1+'5. Scenarios'!$D$8))/4+INDEX(BookQ2,811)*(5-MIN(4,2+'5. Scenarios'!$D$8))/4+INDEX(BookQ3,811)*(5-MIN(4,3+'5. Scenarios'!$D$8))/4+INDEX(BookQ4,811)*(5-MIN(4,4+'5. Scenarios'!$D$8))/4)*'5. Scenarios'!$D$6/(1+ProductivityDefault*('5. Scenarios'!$D$11-1))+INDEX(BookOneOff,811)*$N816)</f>
        <v/>
      </c>
      <c r="S816" s="56" t="str">
        <f aca="false">IF(INDEX(BookTitle,811)="","",INDEX(BookTotal,811)*'5. Scenarios'!$E$6/(1+ProductivityDefault*('5. Scenarios'!$E$11-1)))</f>
        <v/>
      </c>
      <c r="T816" s="57" t="str">
        <f aca="false">IF($S816="","",INDEX(BookRate,811)*(1+'5. Scenarios'!$E$10)*$S816)</f>
        <v/>
      </c>
      <c r="U816" s="57" t="str">
        <f aca="false">IF($T816="","",SUMIFS($T$6:$T$2405,$A$6:$A$2405,"&lt;="&amp;$A816))</f>
        <v/>
      </c>
      <c r="V816" s="57" t="str">
        <f aca="false">IF($T816="","",IF($U816&lt;=BankCostEnvelope*'5. Scenarios'!$E$7,1,0))</f>
        <v/>
      </c>
      <c r="W816" s="57" t="str">
        <f aca="false">IF($S816="","",INDEX(BookRate,811)*(1+'5. Scenarios'!$E$10)*(INDEX(BookQ1,811)*(5-MIN(4,1+'5. Scenarios'!$E$8))/4+INDEX(BookQ2,811)*(5-MIN(4,2+'5. Scenarios'!$E$8))/4+INDEX(BookQ3,811)*(5-MIN(4,3+'5. Scenarios'!$E$8))/4+INDEX(BookQ4,811)*(5-MIN(4,4+'5. Scenarios'!$E$8))/4)*'5. Scenarios'!$E$6/(1+ProductivityDefault*('5. Scenarios'!$E$11-1))+INDEX(BookOneOff,811)*$S816)</f>
        <v/>
      </c>
    </row>
    <row r="817" customFormat="false" ht="15" hidden="false" customHeight="false" outlineLevel="0" collapsed="false">
      <c r="A817" s="0" t="str">
        <f aca="false">IF(INDEX(BookTitle,812)="","",INDEX(BookKey,812))</f>
        <v/>
      </c>
      <c r="B817" s="0" t="str">
        <f aca="false">IF(INDEX(BookTitle,812)="","",INDEX(BookGroup,812))</f>
        <v/>
      </c>
      <c r="C817" s="0" t="str">
        <f aca="false">IF(INDEX(BookTitle,812)="","",INDEX(BookCategory,812))</f>
        <v/>
      </c>
      <c r="D817" s="56" t="str">
        <f aca="false">IF(INDEX(BookTitle,812)="","",INDEX(BookTotal,812)*'5. Scenarios'!$B$6/(1+ProductivityDefault*('5. Scenarios'!$B$11-1)))</f>
        <v/>
      </c>
      <c r="E817" s="57" t="str">
        <f aca="false">IF($D817="","",INDEX(BookRate,812)*(1+'5. Scenarios'!$B$10)*$D817)</f>
        <v/>
      </c>
      <c r="F817" s="57" t="str">
        <f aca="false">IF($E817="","",SUMIFS($E$6:$E$2405,$A$6:$A$2405,"&lt;="&amp;$A817))</f>
        <v/>
      </c>
      <c r="G817" s="57" t="str">
        <f aca="false">IF($E817="","",IF($F817&lt;=BankCostEnvelope*'5. Scenarios'!$B$7,1,0))</f>
        <v/>
      </c>
      <c r="H817" s="57" t="str">
        <f aca="false">IF($D817="","",INDEX(BookRate,812)*(1+'5. Scenarios'!$B$10)*(INDEX(BookQ1,812)*(5-MIN(4,1+'5. Scenarios'!$B$8))/4+INDEX(BookQ2,812)*(5-MIN(4,2+'5. Scenarios'!$B$8))/4+INDEX(BookQ3,812)*(5-MIN(4,3+'5. Scenarios'!$B$8))/4+INDEX(BookQ4,812)*(5-MIN(4,4+'5. Scenarios'!$B$8))/4)*'5. Scenarios'!$B$6/(1+ProductivityDefault*('5. Scenarios'!$B$11-1))+INDEX(BookOneOff,812)*$D817)</f>
        <v/>
      </c>
      <c r="I817" s="56" t="str">
        <f aca="false">IF(INDEX(BookTitle,812)="","",INDEX(BookTotal,812)*'5. Scenarios'!$C$6/(1+ProductivityDefault*('5. Scenarios'!$C$11-1)))</f>
        <v/>
      </c>
      <c r="J817" s="57" t="str">
        <f aca="false">IF($I817="","",INDEX(BookRate,812)*(1+'5. Scenarios'!$C$10)*$I817)</f>
        <v/>
      </c>
      <c r="K817" s="57" t="str">
        <f aca="false">IF($J817="","",SUMIFS($J$6:$J$2405,$A$6:$A$2405,"&lt;="&amp;$A817))</f>
        <v/>
      </c>
      <c r="L817" s="57" t="str">
        <f aca="false">IF($J817="","",IF($K817&lt;=BankCostEnvelope*'5. Scenarios'!$C$7,1,0))</f>
        <v/>
      </c>
      <c r="M817" s="57" t="str">
        <f aca="false">IF($I817="","",INDEX(BookRate,812)*(1+'5. Scenarios'!$C$10)*(INDEX(BookQ1,812)*(5-MIN(4,1+'5. Scenarios'!$C$8))/4+INDEX(BookQ2,812)*(5-MIN(4,2+'5. Scenarios'!$C$8))/4+INDEX(BookQ3,812)*(5-MIN(4,3+'5. Scenarios'!$C$8))/4+INDEX(BookQ4,812)*(5-MIN(4,4+'5. Scenarios'!$C$8))/4)*'5. Scenarios'!$C$6/(1+ProductivityDefault*('5. Scenarios'!$C$11-1))+INDEX(BookOneOff,812)*$I817)</f>
        <v/>
      </c>
      <c r="N817" s="56" t="str">
        <f aca="false">IF(INDEX(BookTitle,812)="","",INDEX(BookTotal,812)*'5. Scenarios'!$D$6/(1+ProductivityDefault*('5. Scenarios'!$D$11-1)))</f>
        <v/>
      </c>
      <c r="O817" s="57" t="str">
        <f aca="false">IF($N817="","",INDEX(BookRate,812)*(1+'5. Scenarios'!$D$10)*$N817)</f>
        <v/>
      </c>
      <c r="P817" s="57" t="str">
        <f aca="false">IF($O817="","",SUMIFS($O$6:$O$2405,$A$6:$A$2405,"&lt;="&amp;$A817))</f>
        <v/>
      </c>
      <c r="Q817" s="57" t="str">
        <f aca="false">IF($O817="","",IF($P817&lt;=BankCostEnvelope*'5. Scenarios'!$D$7,1,0))</f>
        <v/>
      </c>
      <c r="R817" s="57" t="str">
        <f aca="false">IF($N817="","",INDEX(BookRate,812)*(1+'5. Scenarios'!$D$10)*(INDEX(BookQ1,812)*(5-MIN(4,1+'5. Scenarios'!$D$8))/4+INDEX(BookQ2,812)*(5-MIN(4,2+'5. Scenarios'!$D$8))/4+INDEX(BookQ3,812)*(5-MIN(4,3+'5. Scenarios'!$D$8))/4+INDEX(BookQ4,812)*(5-MIN(4,4+'5. Scenarios'!$D$8))/4)*'5. Scenarios'!$D$6/(1+ProductivityDefault*('5. Scenarios'!$D$11-1))+INDEX(BookOneOff,812)*$N817)</f>
        <v/>
      </c>
      <c r="S817" s="56" t="str">
        <f aca="false">IF(INDEX(BookTitle,812)="","",INDEX(BookTotal,812)*'5. Scenarios'!$E$6/(1+ProductivityDefault*('5. Scenarios'!$E$11-1)))</f>
        <v/>
      </c>
      <c r="T817" s="57" t="str">
        <f aca="false">IF($S817="","",INDEX(BookRate,812)*(1+'5. Scenarios'!$E$10)*$S817)</f>
        <v/>
      </c>
      <c r="U817" s="57" t="str">
        <f aca="false">IF($T817="","",SUMIFS($T$6:$T$2405,$A$6:$A$2405,"&lt;="&amp;$A817))</f>
        <v/>
      </c>
      <c r="V817" s="57" t="str">
        <f aca="false">IF($T817="","",IF($U817&lt;=BankCostEnvelope*'5. Scenarios'!$E$7,1,0))</f>
        <v/>
      </c>
      <c r="W817" s="57" t="str">
        <f aca="false">IF($S817="","",INDEX(BookRate,812)*(1+'5. Scenarios'!$E$10)*(INDEX(BookQ1,812)*(5-MIN(4,1+'5. Scenarios'!$E$8))/4+INDEX(BookQ2,812)*(5-MIN(4,2+'5. Scenarios'!$E$8))/4+INDEX(BookQ3,812)*(5-MIN(4,3+'5. Scenarios'!$E$8))/4+INDEX(BookQ4,812)*(5-MIN(4,4+'5. Scenarios'!$E$8))/4)*'5. Scenarios'!$E$6/(1+ProductivityDefault*('5. Scenarios'!$E$11-1))+INDEX(BookOneOff,812)*$S817)</f>
        <v/>
      </c>
    </row>
    <row r="818" customFormat="false" ht="15" hidden="false" customHeight="false" outlineLevel="0" collapsed="false">
      <c r="A818" s="0" t="str">
        <f aca="false">IF(INDEX(BookTitle,813)="","",INDEX(BookKey,813))</f>
        <v/>
      </c>
      <c r="B818" s="0" t="str">
        <f aca="false">IF(INDEX(BookTitle,813)="","",INDEX(BookGroup,813))</f>
        <v/>
      </c>
      <c r="C818" s="0" t="str">
        <f aca="false">IF(INDEX(BookTitle,813)="","",INDEX(BookCategory,813))</f>
        <v/>
      </c>
      <c r="D818" s="56" t="str">
        <f aca="false">IF(INDEX(BookTitle,813)="","",INDEX(BookTotal,813)*'5. Scenarios'!$B$6/(1+ProductivityDefault*('5. Scenarios'!$B$11-1)))</f>
        <v/>
      </c>
      <c r="E818" s="57" t="str">
        <f aca="false">IF($D818="","",INDEX(BookRate,813)*(1+'5. Scenarios'!$B$10)*$D818)</f>
        <v/>
      </c>
      <c r="F818" s="57" t="str">
        <f aca="false">IF($E818="","",SUMIFS($E$6:$E$2405,$A$6:$A$2405,"&lt;="&amp;$A818))</f>
        <v/>
      </c>
      <c r="G818" s="57" t="str">
        <f aca="false">IF($E818="","",IF($F818&lt;=BankCostEnvelope*'5. Scenarios'!$B$7,1,0))</f>
        <v/>
      </c>
      <c r="H818" s="57" t="str">
        <f aca="false">IF($D818="","",INDEX(BookRate,813)*(1+'5. Scenarios'!$B$10)*(INDEX(BookQ1,813)*(5-MIN(4,1+'5. Scenarios'!$B$8))/4+INDEX(BookQ2,813)*(5-MIN(4,2+'5. Scenarios'!$B$8))/4+INDEX(BookQ3,813)*(5-MIN(4,3+'5. Scenarios'!$B$8))/4+INDEX(BookQ4,813)*(5-MIN(4,4+'5. Scenarios'!$B$8))/4)*'5. Scenarios'!$B$6/(1+ProductivityDefault*('5. Scenarios'!$B$11-1))+INDEX(BookOneOff,813)*$D818)</f>
        <v/>
      </c>
      <c r="I818" s="56" t="str">
        <f aca="false">IF(INDEX(BookTitle,813)="","",INDEX(BookTotal,813)*'5. Scenarios'!$C$6/(1+ProductivityDefault*('5. Scenarios'!$C$11-1)))</f>
        <v/>
      </c>
      <c r="J818" s="57" t="str">
        <f aca="false">IF($I818="","",INDEX(BookRate,813)*(1+'5. Scenarios'!$C$10)*$I818)</f>
        <v/>
      </c>
      <c r="K818" s="57" t="str">
        <f aca="false">IF($J818="","",SUMIFS($J$6:$J$2405,$A$6:$A$2405,"&lt;="&amp;$A818))</f>
        <v/>
      </c>
      <c r="L818" s="57" t="str">
        <f aca="false">IF($J818="","",IF($K818&lt;=BankCostEnvelope*'5. Scenarios'!$C$7,1,0))</f>
        <v/>
      </c>
      <c r="M818" s="57" t="str">
        <f aca="false">IF($I818="","",INDEX(BookRate,813)*(1+'5. Scenarios'!$C$10)*(INDEX(BookQ1,813)*(5-MIN(4,1+'5. Scenarios'!$C$8))/4+INDEX(BookQ2,813)*(5-MIN(4,2+'5. Scenarios'!$C$8))/4+INDEX(BookQ3,813)*(5-MIN(4,3+'5. Scenarios'!$C$8))/4+INDEX(BookQ4,813)*(5-MIN(4,4+'5. Scenarios'!$C$8))/4)*'5. Scenarios'!$C$6/(1+ProductivityDefault*('5. Scenarios'!$C$11-1))+INDEX(BookOneOff,813)*$I818)</f>
        <v/>
      </c>
      <c r="N818" s="56" t="str">
        <f aca="false">IF(INDEX(BookTitle,813)="","",INDEX(BookTotal,813)*'5. Scenarios'!$D$6/(1+ProductivityDefault*('5. Scenarios'!$D$11-1)))</f>
        <v/>
      </c>
      <c r="O818" s="57" t="str">
        <f aca="false">IF($N818="","",INDEX(BookRate,813)*(1+'5. Scenarios'!$D$10)*$N818)</f>
        <v/>
      </c>
      <c r="P818" s="57" t="str">
        <f aca="false">IF($O818="","",SUMIFS($O$6:$O$2405,$A$6:$A$2405,"&lt;="&amp;$A818))</f>
        <v/>
      </c>
      <c r="Q818" s="57" t="str">
        <f aca="false">IF($O818="","",IF($P818&lt;=BankCostEnvelope*'5. Scenarios'!$D$7,1,0))</f>
        <v/>
      </c>
      <c r="R818" s="57" t="str">
        <f aca="false">IF($N818="","",INDEX(BookRate,813)*(1+'5. Scenarios'!$D$10)*(INDEX(BookQ1,813)*(5-MIN(4,1+'5. Scenarios'!$D$8))/4+INDEX(BookQ2,813)*(5-MIN(4,2+'5. Scenarios'!$D$8))/4+INDEX(BookQ3,813)*(5-MIN(4,3+'5. Scenarios'!$D$8))/4+INDEX(BookQ4,813)*(5-MIN(4,4+'5. Scenarios'!$D$8))/4)*'5. Scenarios'!$D$6/(1+ProductivityDefault*('5. Scenarios'!$D$11-1))+INDEX(BookOneOff,813)*$N818)</f>
        <v/>
      </c>
      <c r="S818" s="56" t="str">
        <f aca="false">IF(INDEX(BookTitle,813)="","",INDEX(BookTotal,813)*'5. Scenarios'!$E$6/(1+ProductivityDefault*('5. Scenarios'!$E$11-1)))</f>
        <v/>
      </c>
      <c r="T818" s="57" t="str">
        <f aca="false">IF($S818="","",INDEX(BookRate,813)*(1+'5. Scenarios'!$E$10)*$S818)</f>
        <v/>
      </c>
      <c r="U818" s="57" t="str">
        <f aca="false">IF($T818="","",SUMIFS($T$6:$T$2405,$A$6:$A$2405,"&lt;="&amp;$A818))</f>
        <v/>
      </c>
      <c r="V818" s="57" t="str">
        <f aca="false">IF($T818="","",IF($U818&lt;=BankCostEnvelope*'5. Scenarios'!$E$7,1,0))</f>
        <v/>
      </c>
      <c r="W818" s="57" t="str">
        <f aca="false">IF($S818="","",INDEX(BookRate,813)*(1+'5. Scenarios'!$E$10)*(INDEX(BookQ1,813)*(5-MIN(4,1+'5. Scenarios'!$E$8))/4+INDEX(BookQ2,813)*(5-MIN(4,2+'5. Scenarios'!$E$8))/4+INDEX(BookQ3,813)*(5-MIN(4,3+'5. Scenarios'!$E$8))/4+INDEX(BookQ4,813)*(5-MIN(4,4+'5. Scenarios'!$E$8))/4)*'5. Scenarios'!$E$6/(1+ProductivityDefault*('5. Scenarios'!$E$11-1))+INDEX(BookOneOff,813)*$S818)</f>
        <v/>
      </c>
    </row>
    <row r="819" customFormat="false" ht="15" hidden="false" customHeight="false" outlineLevel="0" collapsed="false">
      <c r="A819" s="0" t="str">
        <f aca="false">IF(INDEX(BookTitle,814)="","",INDEX(BookKey,814))</f>
        <v/>
      </c>
      <c r="B819" s="0" t="str">
        <f aca="false">IF(INDEX(BookTitle,814)="","",INDEX(BookGroup,814))</f>
        <v/>
      </c>
      <c r="C819" s="0" t="str">
        <f aca="false">IF(INDEX(BookTitle,814)="","",INDEX(BookCategory,814))</f>
        <v/>
      </c>
      <c r="D819" s="56" t="str">
        <f aca="false">IF(INDEX(BookTitle,814)="","",INDEX(BookTotal,814)*'5. Scenarios'!$B$6/(1+ProductivityDefault*('5. Scenarios'!$B$11-1)))</f>
        <v/>
      </c>
      <c r="E819" s="57" t="str">
        <f aca="false">IF($D819="","",INDEX(BookRate,814)*(1+'5. Scenarios'!$B$10)*$D819)</f>
        <v/>
      </c>
      <c r="F819" s="57" t="str">
        <f aca="false">IF($E819="","",SUMIFS($E$6:$E$2405,$A$6:$A$2405,"&lt;="&amp;$A819))</f>
        <v/>
      </c>
      <c r="G819" s="57" t="str">
        <f aca="false">IF($E819="","",IF($F819&lt;=BankCostEnvelope*'5. Scenarios'!$B$7,1,0))</f>
        <v/>
      </c>
      <c r="H819" s="57" t="str">
        <f aca="false">IF($D819="","",INDEX(BookRate,814)*(1+'5. Scenarios'!$B$10)*(INDEX(BookQ1,814)*(5-MIN(4,1+'5. Scenarios'!$B$8))/4+INDEX(BookQ2,814)*(5-MIN(4,2+'5. Scenarios'!$B$8))/4+INDEX(BookQ3,814)*(5-MIN(4,3+'5. Scenarios'!$B$8))/4+INDEX(BookQ4,814)*(5-MIN(4,4+'5. Scenarios'!$B$8))/4)*'5. Scenarios'!$B$6/(1+ProductivityDefault*('5. Scenarios'!$B$11-1))+INDEX(BookOneOff,814)*$D819)</f>
        <v/>
      </c>
      <c r="I819" s="56" t="str">
        <f aca="false">IF(INDEX(BookTitle,814)="","",INDEX(BookTotal,814)*'5. Scenarios'!$C$6/(1+ProductivityDefault*('5. Scenarios'!$C$11-1)))</f>
        <v/>
      </c>
      <c r="J819" s="57" t="str">
        <f aca="false">IF($I819="","",INDEX(BookRate,814)*(1+'5. Scenarios'!$C$10)*$I819)</f>
        <v/>
      </c>
      <c r="K819" s="57" t="str">
        <f aca="false">IF($J819="","",SUMIFS($J$6:$J$2405,$A$6:$A$2405,"&lt;="&amp;$A819))</f>
        <v/>
      </c>
      <c r="L819" s="57" t="str">
        <f aca="false">IF($J819="","",IF($K819&lt;=BankCostEnvelope*'5. Scenarios'!$C$7,1,0))</f>
        <v/>
      </c>
      <c r="M819" s="57" t="str">
        <f aca="false">IF($I819="","",INDEX(BookRate,814)*(1+'5. Scenarios'!$C$10)*(INDEX(BookQ1,814)*(5-MIN(4,1+'5. Scenarios'!$C$8))/4+INDEX(BookQ2,814)*(5-MIN(4,2+'5. Scenarios'!$C$8))/4+INDEX(BookQ3,814)*(5-MIN(4,3+'5. Scenarios'!$C$8))/4+INDEX(BookQ4,814)*(5-MIN(4,4+'5. Scenarios'!$C$8))/4)*'5. Scenarios'!$C$6/(1+ProductivityDefault*('5. Scenarios'!$C$11-1))+INDEX(BookOneOff,814)*$I819)</f>
        <v/>
      </c>
      <c r="N819" s="56" t="str">
        <f aca="false">IF(INDEX(BookTitle,814)="","",INDEX(BookTotal,814)*'5. Scenarios'!$D$6/(1+ProductivityDefault*('5. Scenarios'!$D$11-1)))</f>
        <v/>
      </c>
      <c r="O819" s="57" t="str">
        <f aca="false">IF($N819="","",INDEX(BookRate,814)*(1+'5. Scenarios'!$D$10)*$N819)</f>
        <v/>
      </c>
      <c r="P819" s="57" t="str">
        <f aca="false">IF($O819="","",SUMIFS($O$6:$O$2405,$A$6:$A$2405,"&lt;="&amp;$A819))</f>
        <v/>
      </c>
      <c r="Q819" s="57" t="str">
        <f aca="false">IF($O819="","",IF($P819&lt;=BankCostEnvelope*'5. Scenarios'!$D$7,1,0))</f>
        <v/>
      </c>
      <c r="R819" s="57" t="str">
        <f aca="false">IF($N819="","",INDEX(BookRate,814)*(1+'5. Scenarios'!$D$10)*(INDEX(BookQ1,814)*(5-MIN(4,1+'5. Scenarios'!$D$8))/4+INDEX(BookQ2,814)*(5-MIN(4,2+'5. Scenarios'!$D$8))/4+INDEX(BookQ3,814)*(5-MIN(4,3+'5. Scenarios'!$D$8))/4+INDEX(BookQ4,814)*(5-MIN(4,4+'5. Scenarios'!$D$8))/4)*'5. Scenarios'!$D$6/(1+ProductivityDefault*('5. Scenarios'!$D$11-1))+INDEX(BookOneOff,814)*$N819)</f>
        <v/>
      </c>
      <c r="S819" s="56" t="str">
        <f aca="false">IF(INDEX(BookTitle,814)="","",INDEX(BookTotal,814)*'5. Scenarios'!$E$6/(1+ProductivityDefault*('5. Scenarios'!$E$11-1)))</f>
        <v/>
      </c>
      <c r="T819" s="57" t="str">
        <f aca="false">IF($S819="","",INDEX(BookRate,814)*(1+'5. Scenarios'!$E$10)*$S819)</f>
        <v/>
      </c>
      <c r="U819" s="57" t="str">
        <f aca="false">IF($T819="","",SUMIFS($T$6:$T$2405,$A$6:$A$2405,"&lt;="&amp;$A819))</f>
        <v/>
      </c>
      <c r="V819" s="57" t="str">
        <f aca="false">IF($T819="","",IF($U819&lt;=BankCostEnvelope*'5. Scenarios'!$E$7,1,0))</f>
        <v/>
      </c>
      <c r="W819" s="57" t="str">
        <f aca="false">IF($S819="","",INDEX(BookRate,814)*(1+'5. Scenarios'!$E$10)*(INDEX(BookQ1,814)*(5-MIN(4,1+'5. Scenarios'!$E$8))/4+INDEX(BookQ2,814)*(5-MIN(4,2+'5. Scenarios'!$E$8))/4+INDEX(BookQ3,814)*(5-MIN(4,3+'5. Scenarios'!$E$8))/4+INDEX(BookQ4,814)*(5-MIN(4,4+'5. Scenarios'!$E$8))/4)*'5. Scenarios'!$E$6/(1+ProductivityDefault*('5. Scenarios'!$E$11-1))+INDEX(BookOneOff,814)*$S819)</f>
        <v/>
      </c>
    </row>
    <row r="820" customFormat="false" ht="15" hidden="false" customHeight="false" outlineLevel="0" collapsed="false">
      <c r="A820" s="0" t="str">
        <f aca="false">IF(INDEX(BookTitle,815)="","",INDEX(BookKey,815))</f>
        <v/>
      </c>
      <c r="B820" s="0" t="str">
        <f aca="false">IF(INDEX(BookTitle,815)="","",INDEX(BookGroup,815))</f>
        <v/>
      </c>
      <c r="C820" s="0" t="str">
        <f aca="false">IF(INDEX(BookTitle,815)="","",INDEX(BookCategory,815))</f>
        <v/>
      </c>
      <c r="D820" s="56" t="str">
        <f aca="false">IF(INDEX(BookTitle,815)="","",INDEX(BookTotal,815)*'5. Scenarios'!$B$6/(1+ProductivityDefault*('5. Scenarios'!$B$11-1)))</f>
        <v/>
      </c>
      <c r="E820" s="57" t="str">
        <f aca="false">IF($D820="","",INDEX(BookRate,815)*(1+'5. Scenarios'!$B$10)*$D820)</f>
        <v/>
      </c>
      <c r="F820" s="57" t="str">
        <f aca="false">IF($E820="","",SUMIFS($E$6:$E$2405,$A$6:$A$2405,"&lt;="&amp;$A820))</f>
        <v/>
      </c>
      <c r="G820" s="57" t="str">
        <f aca="false">IF($E820="","",IF($F820&lt;=BankCostEnvelope*'5. Scenarios'!$B$7,1,0))</f>
        <v/>
      </c>
      <c r="H820" s="57" t="str">
        <f aca="false">IF($D820="","",INDEX(BookRate,815)*(1+'5. Scenarios'!$B$10)*(INDEX(BookQ1,815)*(5-MIN(4,1+'5. Scenarios'!$B$8))/4+INDEX(BookQ2,815)*(5-MIN(4,2+'5. Scenarios'!$B$8))/4+INDEX(BookQ3,815)*(5-MIN(4,3+'5. Scenarios'!$B$8))/4+INDEX(BookQ4,815)*(5-MIN(4,4+'5. Scenarios'!$B$8))/4)*'5. Scenarios'!$B$6/(1+ProductivityDefault*('5. Scenarios'!$B$11-1))+INDEX(BookOneOff,815)*$D820)</f>
        <v/>
      </c>
      <c r="I820" s="56" t="str">
        <f aca="false">IF(INDEX(BookTitle,815)="","",INDEX(BookTotal,815)*'5. Scenarios'!$C$6/(1+ProductivityDefault*('5. Scenarios'!$C$11-1)))</f>
        <v/>
      </c>
      <c r="J820" s="57" t="str">
        <f aca="false">IF($I820="","",INDEX(BookRate,815)*(1+'5. Scenarios'!$C$10)*$I820)</f>
        <v/>
      </c>
      <c r="K820" s="57" t="str">
        <f aca="false">IF($J820="","",SUMIFS($J$6:$J$2405,$A$6:$A$2405,"&lt;="&amp;$A820))</f>
        <v/>
      </c>
      <c r="L820" s="57" t="str">
        <f aca="false">IF($J820="","",IF($K820&lt;=BankCostEnvelope*'5. Scenarios'!$C$7,1,0))</f>
        <v/>
      </c>
      <c r="M820" s="57" t="str">
        <f aca="false">IF($I820="","",INDEX(BookRate,815)*(1+'5. Scenarios'!$C$10)*(INDEX(BookQ1,815)*(5-MIN(4,1+'5. Scenarios'!$C$8))/4+INDEX(BookQ2,815)*(5-MIN(4,2+'5. Scenarios'!$C$8))/4+INDEX(BookQ3,815)*(5-MIN(4,3+'5. Scenarios'!$C$8))/4+INDEX(BookQ4,815)*(5-MIN(4,4+'5. Scenarios'!$C$8))/4)*'5. Scenarios'!$C$6/(1+ProductivityDefault*('5. Scenarios'!$C$11-1))+INDEX(BookOneOff,815)*$I820)</f>
        <v/>
      </c>
      <c r="N820" s="56" t="str">
        <f aca="false">IF(INDEX(BookTitle,815)="","",INDEX(BookTotal,815)*'5. Scenarios'!$D$6/(1+ProductivityDefault*('5. Scenarios'!$D$11-1)))</f>
        <v/>
      </c>
      <c r="O820" s="57" t="str">
        <f aca="false">IF($N820="","",INDEX(BookRate,815)*(1+'5. Scenarios'!$D$10)*$N820)</f>
        <v/>
      </c>
      <c r="P820" s="57" t="str">
        <f aca="false">IF($O820="","",SUMIFS($O$6:$O$2405,$A$6:$A$2405,"&lt;="&amp;$A820))</f>
        <v/>
      </c>
      <c r="Q820" s="57" t="str">
        <f aca="false">IF($O820="","",IF($P820&lt;=BankCostEnvelope*'5. Scenarios'!$D$7,1,0))</f>
        <v/>
      </c>
      <c r="R820" s="57" t="str">
        <f aca="false">IF($N820="","",INDEX(BookRate,815)*(1+'5. Scenarios'!$D$10)*(INDEX(BookQ1,815)*(5-MIN(4,1+'5. Scenarios'!$D$8))/4+INDEX(BookQ2,815)*(5-MIN(4,2+'5. Scenarios'!$D$8))/4+INDEX(BookQ3,815)*(5-MIN(4,3+'5. Scenarios'!$D$8))/4+INDEX(BookQ4,815)*(5-MIN(4,4+'5. Scenarios'!$D$8))/4)*'5. Scenarios'!$D$6/(1+ProductivityDefault*('5. Scenarios'!$D$11-1))+INDEX(BookOneOff,815)*$N820)</f>
        <v/>
      </c>
      <c r="S820" s="56" t="str">
        <f aca="false">IF(INDEX(BookTitle,815)="","",INDEX(BookTotal,815)*'5. Scenarios'!$E$6/(1+ProductivityDefault*('5. Scenarios'!$E$11-1)))</f>
        <v/>
      </c>
      <c r="T820" s="57" t="str">
        <f aca="false">IF($S820="","",INDEX(BookRate,815)*(1+'5. Scenarios'!$E$10)*$S820)</f>
        <v/>
      </c>
      <c r="U820" s="57" t="str">
        <f aca="false">IF($T820="","",SUMIFS($T$6:$T$2405,$A$6:$A$2405,"&lt;="&amp;$A820))</f>
        <v/>
      </c>
      <c r="V820" s="57" t="str">
        <f aca="false">IF($T820="","",IF($U820&lt;=BankCostEnvelope*'5. Scenarios'!$E$7,1,0))</f>
        <v/>
      </c>
      <c r="W820" s="57" t="str">
        <f aca="false">IF($S820="","",INDEX(BookRate,815)*(1+'5. Scenarios'!$E$10)*(INDEX(BookQ1,815)*(5-MIN(4,1+'5. Scenarios'!$E$8))/4+INDEX(BookQ2,815)*(5-MIN(4,2+'5. Scenarios'!$E$8))/4+INDEX(BookQ3,815)*(5-MIN(4,3+'5. Scenarios'!$E$8))/4+INDEX(BookQ4,815)*(5-MIN(4,4+'5. Scenarios'!$E$8))/4)*'5. Scenarios'!$E$6/(1+ProductivityDefault*('5. Scenarios'!$E$11-1))+INDEX(BookOneOff,815)*$S820)</f>
        <v/>
      </c>
    </row>
    <row r="821" customFormat="false" ht="15" hidden="false" customHeight="false" outlineLevel="0" collapsed="false">
      <c r="A821" s="0" t="str">
        <f aca="false">IF(INDEX(BookTitle,816)="","",INDEX(BookKey,816))</f>
        <v/>
      </c>
      <c r="B821" s="0" t="str">
        <f aca="false">IF(INDEX(BookTitle,816)="","",INDEX(BookGroup,816))</f>
        <v/>
      </c>
      <c r="C821" s="0" t="str">
        <f aca="false">IF(INDEX(BookTitle,816)="","",INDEX(BookCategory,816))</f>
        <v/>
      </c>
      <c r="D821" s="56" t="str">
        <f aca="false">IF(INDEX(BookTitle,816)="","",INDEX(BookTotal,816)*'5. Scenarios'!$B$6/(1+ProductivityDefault*('5. Scenarios'!$B$11-1)))</f>
        <v/>
      </c>
      <c r="E821" s="57" t="str">
        <f aca="false">IF($D821="","",INDEX(BookRate,816)*(1+'5. Scenarios'!$B$10)*$D821)</f>
        <v/>
      </c>
      <c r="F821" s="57" t="str">
        <f aca="false">IF($E821="","",SUMIFS($E$6:$E$2405,$A$6:$A$2405,"&lt;="&amp;$A821))</f>
        <v/>
      </c>
      <c r="G821" s="57" t="str">
        <f aca="false">IF($E821="","",IF($F821&lt;=BankCostEnvelope*'5. Scenarios'!$B$7,1,0))</f>
        <v/>
      </c>
      <c r="H821" s="57" t="str">
        <f aca="false">IF($D821="","",INDEX(BookRate,816)*(1+'5. Scenarios'!$B$10)*(INDEX(BookQ1,816)*(5-MIN(4,1+'5. Scenarios'!$B$8))/4+INDEX(BookQ2,816)*(5-MIN(4,2+'5. Scenarios'!$B$8))/4+INDEX(BookQ3,816)*(5-MIN(4,3+'5. Scenarios'!$B$8))/4+INDEX(BookQ4,816)*(5-MIN(4,4+'5. Scenarios'!$B$8))/4)*'5. Scenarios'!$B$6/(1+ProductivityDefault*('5. Scenarios'!$B$11-1))+INDEX(BookOneOff,816)*$D821)</f>
        <v/>
      </c>
      <c r="I821" s="56" t="str">
        <f aca="false">IF(INDEX(BookTitle,816)="","",INDEX(BookTotal,816)*'5. Scenarios'!$C$6/(1+ProductivityDefault*('5. Scenarios'!$C$11-1)))</f>
        <v/>
      </c>
      <c r="J821" s="57" t="str">
        <f aca="false">IF($I821="","",INDEX(BookRate,816)*(1+'5. Scenarios'!$C$10)*$I821)</f>
        <v/>
      </c>
      <c r="K821" s="57" t="str">
        <f aca="false">IF($J821="","",SUMIFS($J$6:$J$2405,$A$6:$A$2405,"&lt;="&amp;$A821))</f>
        <v/>
      </c>
      <c r="L821" s="57" t="str">
        <f aca="false">IF($J821="","",IF($K821&lt;=BankCostEnvelope*'5. Scenarios'!$C$7,1,0))</f>
        <v/>
      </c>
      <c r="M821" s="57" t="str">
        <f aca="false">IF($I821="","",INDEX(BookRate,816)*(1+'5. Scenarios'!$C$10)*(INDEX(BookQ1,816)*(5-MIN(4,1+'5. Scenarios'!$C$8))/4+INDEX(BookQ2,816)*(5-MIN(4,2+'5. Scenarios'!$C$8))/4+INDEX(BookQ3,816)*(5-MIN(4,3+'5. Scenarios'!$C$8))/4+INDEX(BookQ4,816)*(5-MIN(4,4+'5. Scenarios'!$C$8))/4)*'5. Scenarios'!$C$6/(1+ProductivityDefault*('5. Scenarios'!$C$11-1))+INDEX(BookOneOff,816)*$I821)</f>
        <v/>
      </c>
      <c r="N821" s="56" t="str">
        <f aca="false">IF(INDEX(BookTitle,816)="","",INDEX(BookTotal,816)*'5. Scenarios'!$D$6/(1+ProductivityDefault*('5. Scenarios'!$D$11-1)))</f>
        <v/>
      </c>
      <c r="O821" s="57" t="str">
        <f aca="false">IF($N821="","",INDEX(BookRate,816)*(1+'5. Scenarios'!$D$10)*$N821)</f>
        <v/>
      </c>
      <c r="P821" s="57" t="str">
        <f aca="false">IF($O821="","",SUMIFS($O$6:$O$2405,$A$6:$A$2405,"&lt;="&amp;$A821))</f>
        <v/>
      </c>
      <c r="Q821" s="57" t="str">
        <f aca="false">IF($O821="","",IF($P821&lt;=BankCostEnvelope*'5. Scenarios'!$D$7,1,0))</f>
        <v/>
      </c>
      <c r="R821" s="57" t="str">
        <f aca="false">IF($N821="","",INDEX(BookRate,816)*(1+'5. Scenarios'!$D$10)*(INDEX(BookQ1,816)*(5-MIN(4,1+'5. Scenarios'!$D$8))/4+INDEX(BookQ2,816)*(5-MIN(4,2+'5. Scenarios'!$D$8))/4+INDEX(BookQ3,816)*(5-MIN(4,3+'5. Scenarios'!$D$8))/4+INDEX(BookQ4,816)*(5-MIN(4,4+'5. Scenarios'!$D$8))/4)*'5. Scenarios'!$D$6/(1+ProductivityDefault*('5. Scenarios'!$D$11-1))+INDEX(BookOneOff,816)*$N821)</f>
        <v/>
      </c>
      <c r="S821" s="56" t="str">
        <f aca="false">IF(INDEX(BookTitle,816)="","",INDEX(BookTotal,816)*'5. Scenarios'!$E$6/(1+ProductivityDefault*('5. Scenarios'!$E$11-1)))</f>
        <v/>
      </c>
      <c r="T821" s="57" t="str">
        <f aca="false">IF($S821="","",INDEX(BookRate,816)*(1+'5. Scenarios'!$E$10)*$S821)</f>
        <v/>
      </c>
      <c r="U821" s="57" t="str">
        <f aca="false">IF($T821="","",SUMIFS($T$6:$T$2405,$A$6:$A$2405,"&lt;="&amp;$A821))</f>
        <v/>
      </c>
      <c r="V821" s="57" t="str">
        <f aca="false">IF($T821="","",IF($U821&lt;=BankCostEnvelope*'5. Scenarios'!$E$7,1,0))</f>
        <v/>
      </c>
      <c r="W821" s="57" t="str">
        <f aca="false">IF($S821="","",INDEX(BookRate,816)*(1+'5. Scenarios'!$E$10)*(INDEX(BookQ1,816)*(5-MIN(4,1+'5. Scenarios'!$E$8))/4+INDEX(BookQ2,816)*(5-MIN(4,2+'5. Scenarios'!$E$8))/4+INDEX(BookQ3,816)*(5-MIN(4,3+'5. Scenarios'!$E$8))/4+INDEX(BookQ4,816)*(5-MIN(4,4+'5. Scenarios'!$E$8))/4)*'5. Scenarios'!$E$6/(1+ProductivityDefault*('5. Scenarios'!$E$11-1))+INDEX(BookOneOff,816)*$S821)</f>
        <v/>
      </c>
    </row>
    <row r="822" customFormat="false" ht="15" hidden="false" customHeight="false" outlineLevel="0" collapsed="false">
      <c r="A822" s="0" t="str">
        <f aca="false">IF(INDEX(BookTitle,817)="","",INDEX(BookKey,817))</f>
        <v/>
      </c>
      <c r="B822" s="0" t="str">
        <f aca="false">IF(INDEX(BookTitle,817)="","",INDEX(BookGroup,817))</f>
        <v/>
      </c>
      <c r="C822" s="0" t="str">
        <f aca="false">IF(INDEX(BookTitle,817)="","",INDEX(BookCategory,817))</f>
        <v/>
      </c>
      <c r="D822" s="56" t="str">
        <f aca="false">IF(INDEX(BookTitle,817)="","",INDEX(BookTotal,817)*'5. Scenarios'!$B$6/(1+ProductivityDefault*('5. Scenarios'!$B$11-1)))</f>
        <v/>
      </c>
      <c r="E822" s="57" t="str">
        <f aca="false">IF($D822="","",INDEX(BookRate,817)*(1+'5. Scenarios'!$B$10)*$D822)</f>
        <v/>
      </c>
      <c r="F822" s="57" t="str">
        <f aca="false">IF($E822="","",SUMIFS($E$6:$E$2405,$A$6:$A$2405,"&lt;="&amp;$A822))</f>
        <v/>
      </c>
      <c r="G822" s="57" t="str">
        <f aca="false">IF($E822="","",IF($F822&lt;=BankCostEnvelope*'5. Scenarios'!$B$7,1,0))</f>
        <v/>
      </c>
      <c r="H822" s="57" t="str">
        <f aca="false">IF($D822="","",INDEX(BookRate,817)*(1+'5. Scenarios'!$B$10)*(INDEX(BookQ1,817)*(5-MIN(4,1+'5. Scenarios'!$B$8))/4+INDEX(BookQ2,817)*(5-MIN(4,2+'5. Scenarios'!$B$8))/4+INDEX(BookQ3,817)*(5-MIN(4,3+'5. Scenarios'!$B$8))/4+INDEX(BookQ4,817)*(5-MIN(4,4+'5. Scenarios'!$B$8))/4)*'5. Scenarios'!$B$6/(1+ProductivityDefault*('5. Scenarios'!$B$11-1))+INDEX(BookOneOff,817)*$D822)</f>
        <v/>
      </c>
      <c r="I822" s="56" t="str">
        <f aca="false">IF(INDEX(BookTitle,817)="","",INDEX(BookTotal,817)*'5. Scenarios'!$C$6/(1+ProductivityDefault*('5. Scenarios'!$C$11-1)))</f>
        <v/>
      </c>
      <c r="J822" s="57" t="str">
        <f aca="false">IF($I822="","",INDEX(BookRate,817)*(1+'5. Scenarios'!$C$10)*$I822)</f>
        <v/>
      </c>
      <c r="K822" s="57" t="str">
        <f aca="false">IF($J822="","",SUMIFS($J$6:$J$2405,$A$6:$A$2405,"&lt;="&amp;$A822))</f>
        <v/>
      </c>
      <c r="L822" s="57" t="str">
        <f aca="false">IF($J822="","",IF($K822&lt;=BankCostEnvelope*'5. Scenarios'!$C$7,1,0))</f>
        <v/>
      </c>
      <c r="M822" s="57" t="str">
        <f aca="false">IF($I822="","",INDEX(BookRate,817)*(1+'5. Scenarios'!$C$10)*(INDEX(BookQ1,817)*(5-MIN(4,1+'5. Scenarios'!$C$8))/4+INDEX(BookQ2,817)*(5-MIN(4,2+'5. Scenarios'!$C$8))/4+INDEX(BookQ3,817)*(5-MIN(4,3+'5. Scenarios'!$C$8))/4+INDEX(BookQ4,817)*(5-MIN(4,4+'5. Scenarios'!$C$8))/4)*'5. Scenarios'!$C$6/(1+ProductivityDefault*('5. Scenarios'!$C$11-1))+INDEX(BookOneOff,817)*$I822)</f>
        <v/>
      </c>
      <c r="N822" s="56" t="str">
        <f aca="false">IF(INDEX(BookTitle,817)="","",INDEX(BookTotal,817)*'5. Scenarios'!$D$6/(1+ProductivityDefault*('5. Scenarios'!$D$11-1)))</f>
        <v/>
      </c>
      <c r="O822" s="57" t="str">
        <f aca="false">IF($N822="","",INDEX(BookRate,817)*(1+'5. Scenarios'!$D$10)*$N822)</f>
        <v/>
      </c>
      <c r="P822" s="57" t="str">
        <f aca="false">IF($O822="","",SUMIFS($O$6:$O$2405,$A$6:$A$2405,"&lt;="&amp;$A822))</f>
        <v/>
      </c>
      <c r="Q822" s="57" t="str">
        <f aca="false">IF($O822="","",IF($P822&lt;=BankCostEnvelope*'5. Scenarios'!$D$7,1,0))</f>
        <v/>
      </c>
      <c r="R822" s="57" t="str">
        <f aca="false">IF($N822="","",INDEX(BookRate,817)*(1+'5. Scenarios'!$D$10)*(INDEX(BookQ1,817)*(5-MIN(4,1+'5. Scenarios'!$D$8))/4+INDEX(BookQ2,817)*(5-MIN(4,2+'5. Scenarios'!$D$8))/4+INDEX(BookQ3,817)*(5-MIN(4,3+'5. Scenarios'!$D$8))/4+INDEX(BookQ4,817)*(5-MIN(4,4+'5. Scenarios'!$D$8))/4)*'5. Scenarios'!$D$6/(1+ProductivityDefault*('5. Scenarios'!$D$11-1))+INDEX(BookOneOff,817)*$N822)</f>
        <v/>
      </c>
      <c r="S822" s="56" t="str">
        <f aca="false">IF(INDEX(BookTitle,817)="","",INDEX(BookTotal,817)*'5. Scenarios'!$E$6/(1+ProductivityDefault*('5. Scenarios'!$E$11-1)))</f>
        <v/>
      </c>
      <c r="T822" s="57" t="str">
        <f aca="false">IF($S822="","",INDEX(BookRate,817)*(1+'5. Scenarios'!$E$10)*$S822)</f>
        <v/>
      </c>
      <c r="U822" s="57" t="str">
        <f aca="false">IF($T822="","",SUMIFS($T$6:$T$2405,$A$6:$A$2405,"&lt;="&amp;$A822))</f>
        <v/>
      </c>
      <c r="V822" s="57" t="str">
        <f aca="false">IF($T822="","",IF($U822&lt;=BankCostEnvelope*'5. Scenarios'!$E$7,1,0))</f>
        <v/>
      </c>
      <c r="W822" s="57" t="str">
        <f aca="false">IF($S822="","",INDEX(BookRate,817)*(1+'5. Scenarios'!$E$10)*(INDEX(BookQ1,817)*(5-MIN(4,1+'5. Scenarios'!$E$8))/4+INDEX(BookQ2,817)*(5-MIN(4,2+'5. Scenarios'!$E$8))/4+INDEX(BookQ3,817)*(5-MIN(4,3+'5. Scenarios'!$E$8))/4+INDEX(BookQ4,817)*(5-MIN(4,4+'5. Scenarios'!$E$8))/4)*'5. Scenarios'!$E$6/(1+ProductivityDefault*('5. Scenarios'!$E$11-1))+INDEX(BookOneOff,817)*$S822)</f>
        <v/>
      </c>
    </row>
    <row r="823" customFormat="false" ht="15" hidden="false" customHeight="false" outlineLevel="0" collapsed="false">
      <c r="A823" s="0" t="str">
        <f aca="false">IF(INDEX(BookTitle,818)="","",INDEX(BookKey,818))</f>
        <v/>
      </c>
      <c r="B823" s="0" t="str">
        <f aca="false">IF(INDEX(BookTitle,818)="","",INDEX(BookGroup,818))</f>
        <v/>
      </c>
      <c r="C823" s="0" t="str">
        <f aca="false">IF(INDEX(BookTitle,818)="","",INDEX(BookCategory,818))</f>
        <v/>
      </c>
      <c r="D823" s="56" t="str">
        <f aca="false">IF(INDEX(BookTitle,818)="","",INDEX(BookTotal,818)*'5. Scenarios'!$B$6/(1+ProductivityDefault*('5. Scenarios'!$B$11-1)))</f>
        <v/>
      </c>
      <c r="E823" s="57" t="str">
        <f aca="false">IF($D823="","",INDEX(BookRate,818)*(1+'5. Scenarios'!$B$10)*$D823)</f>
        <v/>
      </c>
      <c r="F823" s="57" t="str">
        <f aca="false">IF($E823="","",SUMIFS($E$6:$E$2405,$A$6:$A$2405,"&lt;="&amp;$A823))</f>
        <v/>
      </c>
      <c r="G823" s="57" t="str">
        <f aca="false">IF($E823="","",IF($F823&lt;=BankCostEnvelope*'5. Scenarios'!$B$7,1,0))</f>
        <v/>
      </c>
      <c r="H823" s="57" t="str">
        <f aca="false">IF($D823="","",INDEX(BookRate,818)*(1+'5. Scenarios'!$B$10)*(INDEX(BookQ1,818)*(5-MIN(4,1+'5. Scenarios'!$B$8))/4+INDEX(BookQ2,818)*(5-MIN(4,2+'5. Scenarios'!$B$8))/4+INDEX(BookQ3,818)*(5-MIN(4,3+'5. Scenarios'!$B$8))/4+INDEX(BookQ4,818)*(5-MIN(4,4+'5. Scenarios'!$B$8))/4)*'5. Scenarios'!$B$6/(1+ProductivityDefault*('5. Scenarios'!$B$11-1))+INDEX(BookOneOff,818)*$D823)</f>
        <v/>
      </c>
      <c r="I823" s="56" t="str">
        <f aca="false">IF(INDEX(BookTitle,818)="","",INDEX(BookTotal,818)*'5. Scenarios'!$C$6/(1+ProductivityDefault*('5. Scenarios'!$C$11-1)))</f>
        <v/>
      </c>
      <c r="J823" s="57" t="str">
        <f aca="false">IF($I823="","",INDEX(BookRate,818)*(1+'5. Scenarios'!$C$10)*$I823)</f>
        <v/>
      </c>
      <c r="K823" s="57" t="str">
        <f aca="false">IF($J823="","",SUMIFS($J$6:$J$2405,$A$6:$A$2405,"&lt;="&amp;$A823))</f>
        <v/>
      </c>
      <c r="L823" s="57" t="str">
        <f aca="false">IF($J823="","",IF($K823&lt;=BankCostEnvelope*'5. Scenarios'!$C$7,1,0))</f>
        <v/>
      </c>
      <c r="M823" s="57" t="str">
        <f aca="false">IF($I823="","",INDEX(BookRate,818)*(1+'5. Scenarios'!$C$10)*(INDEX(BookQ1,818)*(5-MIN(4,1+'5. Scenarios'!$C$8))/4+INDEX(BookQ2,818)*(5-MIN(4,2+'5. Scenarios'!$C$8))/4+INDEX(BookQ3,818)*(5-MIN(4,3+'5. Scenarios'!$C$8))/4+INDEX(BookQ4,818)*(5-MIN(4,4+'5. Scenarios'!$C$8))/4)*'5. Scenarios'!$C$6/(1+ProductivityDefault*('5. Scenarios'!$C$11-1))+INDEX(BookOneOff,818)*$I823)</f>
        <v/>
      </c>
      <c r="N823" s="56" t="str">
        <f aca="false">IF(INDEX(BookTitle,818)="","",INDEX(BookTotal,818)*'5. Scenarios'!$D$6/(1+ProductivityDefault*('5. Scenarios'!$D$11-1)))</f>
        <v/>
      </c>
      <c r="O823" s="57" t="str">
        <f aca="false">IF($N823="","",INDEX(BookRate,818)*(1+'5. Scenarios'!$D$10)*$N823)</f>
        <v/>
      </c>
      <c r="P823" s="57" t="str">
        <f aca="false">IF($O823="","",SUMIFS($O$6:$O$2405,$A$6:$A$2405,"&lt;="&amp;$A823))</f>
        <v/>
      </c>
      <c r="Q823" s="57" t="str">
        <f aca="false">IF($O823="","",IF($P823&lt;=BankCostEnvelope*'5. Scenarios'!$D$7,1,0))</f>
        <v/>
      </c>
      <c r="R823" s="57" t="str">
        <f aca="false">IF($N823="","",INDEX(BookRate,818)*(1+'5. Scenarios'!$D$10)*(INDEX(BookQ1,818)*(5-MIN(4,1+'5. Scenarios'!$D$8))/4+INDEX(BookQ2,818)*(5-MIN(4,2+'5. Scenarios'!$D$8))/4+INDEX(BookQ3,818)*(5-MIN(4,3+'5. Scenarios'!$D$8))/4+INDEX(BookQ4,818)*(5-MIN(4,4+'5. Scenarios'!$D$8))/4)*'5. Scenarios'!$D$6/(1+ProductivityDefault*('5. Scenarios'!$D$11-1))+INDEX(BookOneOff,818)*$N823)</f>
        <v/>
      </c>
      <c r="S823" s="56" t="str">
        <f aca="false">IF(INDEX(BookTitle,818)="","",INDEX(BookTotal,818)*'5. Scenarios'!$E$6/(1+ProductivityDefault*('5. Scenarios'!$E$11-1)))</f>
        <v/>
      </c>
      <c r="T823" s="57" t="str">
        <f aca="false">IF($S823="","",INDEX(BookRate,818)*(1+'5. Scenarios'!$E$10)*$S823)</f>
        <v/>
      </c>
      <c r="U823" s="57" t="str">
        <f aca="false">IF($T823="","",SUMIFS($T$6:$T$2405,$A$6:$A$2405,"&lt;="&amp;$A823))</f>
        <v/>
      </c>
      <c r="V823" s="57" t="str">
        <f aca="false">IF($T823="","",IF($U823&lt;=BankCostEnvelope*'5. Scenarios'!$E$7,1,0))</f>
        <v/>
      </c>
      <c r="W823" s="57" t="str">
        <f aca="false">IF($S823="","",INDEX(BookRate,818)*(1+'5. Scenarios'!$E$10)*(INDEX(BookQ1,818)*(5-MIN(4,1+'5. Scenarios'!$E$8))/4+INDEX(BookQ2,818)*(5-MIN(4,2+'5. Scenarios'!$E$8))/4+INDEX(BookQ3,818)*(5-MIN(4,3+'5. Scenarios'!$E$8))/4+INDEX(BookQ4,818)*(5-MIN(4,4+'5. Scenarios'!$E$8))/4)*'5. Scenarios'!$E$6/(1+ProductivityDefault*('5. Scenarios'!$E$11-1))+INDEX(BookOneOff,818)*$S823)</f>
        <v/>
      </c>
    </row>
    <row r="824" customFormat="false" ht="15" hidden="false" customHeight="false" outlineLevel="0" collapsed="false">
      <c r="A824" s="0" t="str">
        <f aca="false">IF(INDEX(BookTitle,819)="","",INDEX(BookKey,819))</f>
        <v/>
      </c>
      <c r="B824" s="0" t="str">
        <f aca="false">IF(INDEX(BookTitle,819)="","",INDEX(BookGroup,819))</f>
        <v/>
      </c>
      <c r="C824" s="0" t="str">
        <f aca="false">IF(INDEX(BookTitle,819)="","",INDEX(BookCategory,819))</f>
        <v/>
      </c>
      <c r="D824" s="56" t="str">
        <f aca="false">IF(INDEX(BookTitle,819)="","",INDEX(BookTotal,819)*'5. Scenarios'!$B$6/(1+ProductivityDefault*('5. Scenarios'!$B$11-1)))</f>
        <v/>
      </c>
      <c r="E824" s="57" t="str">
        <f aca="false">IF($D824="","",INDEX(BookRate,819)*(1+'5. Scenarios'!$B$10)*$D824)</f>
        <v/>
      </c>
      <c r="F824" s="57" t="str">
        <f aca="false">IF($E824="","",SUMIFS($E$6:$E$2405,$A$6:$A$2405,"&lt;="&amp;$A824))</f>
        <v/>
      </c>
      <c r="G824" s="57" t="str">
        <f aca="false">IF($E824="","",IF($F824&lt;=BankCostEnvelope*'5. Scenarios'!$B$7,1,0))</f>
        <v/>
      </c>
      <c r="H824" s="57" t="str">
        <f aca="false">IF($D824="","",INDEX(BookRate,819)*(1+'5. Scenarios'!$B$10)*(INDEX(BookQ1,819)*(5-MIN(4,1+'5. Scenarios'!$B$8))/4+INDEX(BookQ2,819)*(5-MIN(4,2+'5. Scenarios'!$B$8))/4+INDEX(BookQ3,819)*(5-MIN(4,3+'5. Scenarios'!$B$8))/4+INDEX(BookQ4,819)*(5-MIN(4,4+'5. Scenarios'!$B$8))/4)*'5. Scenarios'!$B$6/(1+ProductivityDefault*('5. Scenarios'!$B$11-1))+INDEX(BookOneOff,819)*$D824)</f>
        <v/>
      </c>
      <c r="I824" s="56" t="str">
        <f aca="false">IF(INDEX(BookTitle,819)="","",INDEX(BookTotal,819)*'5. Scenarios'!$C$6/(1+ProductivityDefault*('5. Scenarios'!$C$11-1)))</f>
        <v/>
      </c>
      <c r="J824" s="57" t="str">
        <f aca="false">IF($I824="","",INDEX(BookRate,819)*(1+'5. Scenarios'!$C$10)*$I824)</f>
        <v/>
      </c>
      <c r="K824" s="57" t="str">
        <f aca="false">IF($J824="","",SUMIFS($J$6:$J$2405,$A$6:$A$2405,"&lt;="&amp;$A824))</f>
        <v/>
      </c>
      <c r="L824" s="57" t="str">
        <f aca="false">IF($J824="","",IF($K824&lt;=BankCostEnvelope*'5. Scenarios'!$C$7,1,0))</f>
        <v/>
      </c>
      <c r="M824" s="57" t="str">
        <f aca="false">IF($I824="","",INDEX(BookRate,819)*(1+'5. Scenarios'!$C$10)*(INDEX(BookQ1,819)*(5-MIN(4,1+'5. Scenarios'!$C$8))/4+INDEX(BookQ2,819)*(5-MIN(4,2+'5. Scenarios'!$C$8))/4+INDEX(BookQ3,819)*(5-MIN(4,3+'5. Scenarios'!$C$8))/4+INDEX(BookQ4,819)*(5-MIN(4,4+'5. Scenarios'!$C$8))/4)*'5. Scenarios'!$C$6/(1+ProductivityDefault*('5. Scenarios'!$C$11-1))+INDEX(BookOneOff,819)*$I824)</f>
        <v/>
      </c>
      <c r="N824" s="56" t="str">
        <f aca="false">IF(INDEX(BookTitle,819)="","",INDEX(BookTotal,819)*'5. Scenarios'!$D$6/(1+ProductivityDefault*('5. Scenarios'!$D$11-1)))</f>
        <v/>
      </c>
      <c r="O824" s="57" t="str">
        <f aca="false">IF($N824="","",INDEX(BookRate,819)*(1+'5. Scenarios'!$D$10)*$N824)</f>
        <v/>
      </c>
      <c r="P824" s="57" t="str">
        <f aca="false">IF($O824="","",SUMIFS($O$6:$O$2405,$A$6:$A$2405,"&lt;="&amp;$A824))</f>
        <v/>
      </c>
      <c r="Q824" s="57" t="str">
        <f aca="false">IF($O824="","",IF($P824&lt;=BankCostEnvelope*'5. Scenarios'!$D$7,1,0))</f>
        <v/>
      </c>
      <c r="R824" s="57" t="str">
        <f aca="false">IF($N824="","",INDEX(BookRate,819)*(1+'5. Scenarios'!$D$10)*(INDEX(BookQ1,819)*(5-MIN(4,1+'5. Scenarios'!$D$8))/4+INDEX(BookQ2,819)*(5-MIN(4,2+'5. Scenarios'!$D$8))/4+INDEX(BookQ3,819)*(5-MIN(4,3+'5. Scenarios'!$D$8))/4+INDEX(BookQ4,819)*(5-MIN(4,4+'5. Scenarios'!$D$8))/4)*'5. Scenarios'!$D$6/(1+ProductivityDefault*('5. Scenarios'!$D$11-1))+INDEX(BookOneOff,819)*$N824)</f>
        <v/>
      </c>
      <c r="S824" s="56" t="str">
        <f aca="false">IF(INDEX(BookTitle,819)="","",INDEX(BookTotal,819)*'5. Scenarios'!$E$6/(1+ProductivityDefault*('5. Scenarios'!$E$11-1)))</f>
        <v/>
      </c>
      <c r="T824" s="57" t="str">
        <f aca="false">IF($S824="","",INDEX(BookRate,819)*(1+'5. Scenarios'!$E$10)*$S824)</f>
        <v/>
      </c>
      <c r="U824" s="57" t="str">
        <f aca="false">IF($T824="","",SUMIFS($T$6:$T$2405,$A$6:$A$2405,"&lt;="&amp;$A824))</f>
        <v/>
      </c>
      <c r="V824" s="57" t="str">
        <f aca="false">IF($T824="","",IF($U824&lt;=BankCostEnvelope*'5. Scenarios'!$E$7,1,0))</f>
        <v/>
      </c>
      <c r="W824" s="57" t="str">
        <f aca="false">IF($S824="","",INDEX(BookRate,819)*(1+'5. Scenarios'!$E$10)*(INDEX(BookQ1,819)*(5-MIN(4,1+'5. Scenarios'!$E$8))/4+INDEX(BookQ2,819)*(5-MIN(4,2+'5. Scenarios'!$E$8))/4+INDEX(BookQ3,819)*(5-MIN(4,3+'5. Scenarios'!$E$8))/4+INDEX(BookQ4,819)*(5-MIN(4,4+'5. Scenarios'!$E$8))/4)*'5. Scenarios'!$E$6/(1+ProductivityDefault*('5. Scenarios'!$E$11-1))+INDEX(BookOneOff,819)*$S824)</f>
        <v/>
      </c>
    </row>
    <row r="825" customFormat="false" ht="15" hidden="false" customHeight="false" outlineLevel="0" collapsed="false">
      <c r="A825" s="0" t="str">
        <f aca="false">IF(INDEX(BookTitle,820)="","",INDEX(BookKey,820))</f>
        <v/>
      </c>
      <c r="B825" s="0" t="str">
        <f aca="false">IF(INDEX(BookTitle,820)="","",INDEX(BookGroup,820))</f>
        <v/>
      </c>
      <c r="C825" s="0" t="str">
        <f aca="false">IF(INDEX(BookTitle,820)="","",INDEX(BookCategory,820))</f>
        <v/>
      </c>
      <c r="D825" s="56" t="str">
        <f aca="false">IF(INDEX(BookTitle,820)="","",INDEX(BookTotal,820)*'5. Scenarios'!$B$6/(1+ProductivityDefault*('5. Scenarios'!$B$11-1)))</f>
        <v/>
      </c>
      <c r="E825" s="57" t="str">
        <f aca="false">IF($D825="","",INDEX(BookRate,820)*(1+'5. Scenarios'!$B$10)*$D825)</f>
        <v/>
      </c>
      <c r="F825" s="57" t="str">
        <f aca="false">IF($E825="","",SUMIFS($E$6:$E$2405,$A$6:$A$2405,"&lt;="&amp;$A825))</f>
        <v/>
      </c>
      <c r="G825" s="57" t="str">
        <f aca="false">IF($E825="","",IF($F825&lt;=BankCostEnvelope*'5. Scenarios'!$B$7,1,0))</f>
        <v/>
      </c>
      <c r="H825" s="57" t="str">
        <f aca="false">IF($D825="","",INDEX(BookRate,820)*(1+'5. Scenarios'!$B$10)*(INDEX(BookQ1,820)*(5-MIN(4,1+'5. Scenarios'!$B$8))/4+INDEX(BookQ2,820)*(5-MIN(4,2+'5. Scenarios'!$B$8))/4+INDEX(BookQ3,820)*(5-MIN(4,3+'5. Scenarios'!$B$8))/4+INDEX(BookQ4,820)*(5-MIN(4,4+'5. Scenarios'!$B$8))/4)*'5. Scenarios'!$B$6/(1+ProductivityDefault*('5. Scenarios'!$B$11-1))+INDEX(BookOneOff,820)*$D825)</f>
        <v/>
      </c>
      <c r="I825" s="56" t="str">
        <f aca="false">IF(INDEX(BookTitle,820)="","",INDEX(BookTotal,820)*'5. Scenarios'!$C$6/(1+ProductivityDefault*('5. Scenarios'!$C$11-1)))</f>
        <v/>
      </c>
      <c r="J825" s="57" t="str">
        <f aca="false">IF($I825="","",INDEX(BookRate,820)*(1+'5. Scenarios'!$C$10)*$I825)</f>
        <v/>
      </c>
      <c r="K825" s="57" t="str">
        <f aca="false">IF($J825="","",SUMIFS($J$6:$J$2405,$A$6:$A$2405,"&lt;="&amp;$A825))</f>
        <v/>
      </c>
      <c r="L825" s="57" t="str">
        <f aca="false">IF($J825="","",IF($K825&lt;=BankCostEnvelope*'5. Scenarios'!$C$7,1,0))</f>
        <v/>
      </c>
      <c r="M825" s="57" t="str">
        <f aca="false">IF($I825="","",INDEX(BookRate,820)*(1+'5. Scenarios'!$C$10)*(INDEX(BookQ1,820)*(5-MIN(4,1+'5. Scenarios'!$C$8))/4+INDEX(BookQ2,820)*(5-MIN(4,2+'5. Scenarios'!$C$8))/4+INDEX(BookQ3,820)*(5-MIN(4,3+'5. Scenarios'!$C$8))/4+INDEX(BookQ4,820)*(5-MIN(4,4+'5. Scenarios'!$C$8))/4)*'5. Scenarios'!$C$6/(1+ProductivityDefault*('5. Scenarios'!$C$11-1))+INDEX(BookOneOff,820)*$I825)</f>
        <v/>
      </c>
      <c r="N825" s="56" t="str">
        <f aca="false">IF(INDEX(BookTitle,820)="","",INDEX(BookTotal,820)*'5. Scenarios'!$D$6/(1+ProductivityDefault*('5. Scenarios'!$D$11-1)))</f>
        <v/>
      </c>
      <c r="O825" s="57" t="str">
        <f aca="false">IF($N825="","",INDEX(BookRate,820)*(1+'5. Scenarios'!$D$10)*$N825)</f>
        <v/>
      </c>
      <c r="P825" s="57" t="str">
        <f aca="false">IF($O825="","",SUMIFS($O$6:$O$2405,$A$6:$A$2405,"&lt;="&amp;$A825))</f>
        <v/>
      </c>
      <c r="Q825" s="57" t="str">
        <f aca="false">IF($O825="","",IF($P825&lt;=BankCostEnvelope*'5. Scenarios'!$D$7,1,0))</f>
        <v/>
      </c>
      <c r="R825" s="57" t="str">
        <f aca="false">IF($N825="","",INDEX(BookRate,820)*(1+'5. Scenarios'!$D$10)*(INDEX(BookQ1,820)*(5-MIN(4,1+'5. Scenarios'!$D$8))/4+INDEX(BookQ2,820)*(5-MIN(4,2+'5. Scenarios'!$D$8))/4+INDEX(BookQ3,820)*(5-MIN(4,3+'5. Scenarios'!$D$8))/4+INDEX(BookQ4,820)*(5-MIN(4,4+'5. Scenarios'!$D$8))/4)*'5. Scenarios'!$D$6/(1+ProductivityDefault*('5. Scenarios'!$D$11-1))+INDEX(BookOneOff,820)*$N825)</f>
        <v/>
      </c>
      <c r="S825" s="56" t="str">
        <f aca="false">IF(INDEX(BookTitle,820)="","",INDEX(BookTotal,820)*'5. Scenarios'!$E$6/(1+ProductivityDefault*('5. Scenarios'!$E$11-1)))</f>
        <v/>
      </c>
      <c r="T825" s="57" t="str">
        <f aca="false">IF($S825="","",INDEX(BookRate,820)*(1+'5. Scenarios'!$E$10)*$S825)</f>
        <v/>
      </c>
      <c r="U825" s="57" t="str">
        <f aca="false">IF($T825="","",SUMIFS($T$6:$T$2405,$A$6:$A$2405,"&lt;="&amp;$A825))</f>
        <v/>
      </c>
      <c r="V825" s="57" t="str">
        <f aca="false">IF($T825="","",IF($U825&lt;=BankCostEnvelope*'5. Scenarios'!$E$7,1,0))</f>
        <v/>
      </c>
      <c r="W825" s="57" t="str">
        <f aca="false">IF($S825="","",INDEX(BookRate,820)*(1+'5. Scenarios'!$E$10)*(INDEX(BookQ1,820)*(5-MIN(4,1+'5. Scenarios'!$E$8))/4+INDEX(BookQ2,820)*(5-MIN(4,2+'5. Scenarios'!$E$8))/4+INDEX(BookQ3,820)*(5-MIN(4,3+'5. Scenarios'!$E$8))/4+INDEX(BookQ4,820)*(5-MIN(4,4+'5. Scenarios'!$E$8))/4)*'5. Scenarios'!$E$6/(1+ProductivityDefault*('5. Scenarios'!$E$11-1))+INDEX(BookOneOff,820)*$S825)</f>
        <v/>
      </c>
    </row>
    <row r="826" customFormat="false" ht="15" hidden="false" customHeight="false" outlineLevel="0" collapsed="false">
      <c r="A826" s="0" t="str">
        <f aca="false">IF(INDEX(BookTitle,821)="","",INDEX(BookKey,821))</f>
        <v/>
      </c>
      <c r="B826" s="0" t="str">
        <f aca="false">IF(INDEX(BookTitle,821)="","",INDEX(BookGroup,821))</f>
        <v/>
      </c>
      <c r="C826" s="0" t="str">
        <f aca="false">IF(INDEX(BookTitle,821)="","",INDEX(BookCategory,821))</f>
        <v/>
      </c>
      <c r="D826" s="56" t="str">
        <f aca="false">IF(INDEX(BookTitle,821)="","",INDEX(BookTotal,821)*'5. Scenarios'!$B$6/(1+ProductivityDefault*('5. Scenarios'!$B$11-1)))</f>
        <v/>
      </c>
      <c r="E826" s="57" t="str">
        <f aca="false">IF($D826="","",INDEX(BookRate,821)*(1+'5. Scenarios'!$B$10)*$D826)</f>
        <v/>
      </c>
      <c r="F826" s="57" t="str">
        <f aca="false">IF($E826="","",SUMIFS($E$6:$E$2405,$A$6:$A$2405,"&lt;="&amp;$A826))</f>
        <v/>
      </c>
      <c r="G826" s="57" t="str">
        <f aca="false">IF($E826="","",IF($F826&lt;=BankCostEnvelope*'5. Scenarios'!$B$7,1,0))</f>
        <v/>
      </c>
      <c r="H826" s="57" t="str">
        <f aca="false">IF($D826="","",INDEX(BookRate,821)*(1+'5. Scenarios'!$B$10)*(INDEX(BookQ1,821)*(5-MIN(4,1+'5. Scenarios'!$B$8))/4+INDEX(BookQ2,821)*(5-MIN(4,2+'5. Scenarios'!$B$8))/4+INDEX(BookQ3,821)*(5-MIN(4,3+'5. Scenarios'!$B$8))/4+INDEX(BookQ4,821)*(5-MIN(4,4+'5. Scenarios'!$B$8))/4)*'5. Scenarios'!$B$6/(1+ProductivityDefault*('5. Scenarios'!$B$11-1))+INDEX(BookOneOff,821)*$D826)</f>
        <v/>
      </c>
      <c r="I826" s="56" t="str">
        <f aca="false">IF(INDEX(BookTitle,821)="","",INDEX(BookTotal,821)*'5. Scenarios'!$C$6/(1+ProductivityDefault*('5. Scenarios'!$C$11-1)))</f>
        <v/>
      </c>
      <c r="J826" s="57" t="str">
        <f aca="false">IF($I826="","",INDEX(BookRate,821)*(1+'5. Scenarios'!$C$10)*$I826)</f>
        <v/>
      </c>
      <c r="K826" s="57" t="str">
        <f aca="false">IF($J826="","",SUMIFS($J$6:$J$2405,$A$6:$A$2405,"&lt;="&amp;$A826))</f>
        <v/>
      </c>
      <c r="L826" s="57" t="str">
        <f aca="false">IF($J826="","",IF($K826&lt;=BankCostEnvelope*'5. Scenarios'!$C$7,1,0))</f>
        <v/>
      </c>
      <c r="M826" s="57" t="str">
        <f aca="false">IF($I826="","",INDEX(BookRate,821)*(1+'5. Scenarios'!$C$10)*(INDEX(BookQ1,821)*(5-MIN(4,1+'5. Scenarios'!$C$8))/4+INDEX(BookQ2,821)*(5-MIN(4,2+'5. Scenarios'!$C$8))/4+INDEX(BookQ3,821)*(5-MIN(4,3+'5. Scenarios'!$C$8))/4+INDEX(BookQ4,821)*(5-MIN(4,4+'5. Scenarios'!$C$8))/4)*'5. Scenarios'!$C$6/(1+ProductivityDefault*('5. Scenarios'!$C$11-1))+INDEX(BookOneOff,821)*$I826)</f>
        <v/>
      </c>
      <c r="N826" s="56" t="str">
        <f aca="false">IF(INDEX(BookTitle,821)="","",INDEX(BookTotal,821)*'5. Scenarios'!$D$6/(1+ProductivityDefault*('5. Scenarios'!$D$11-1)))</f>
        <v/>
      </c>
      <c r="O826" s="57" t="str">
        <f aca="false">IF($N826="","",INDEX(BookRate,821)*(1+'5. Scenarios'!$D$10)*$N826)</f>
        <v/>
      </c>
      <c r="P826" s="57" t="str">
        <f aca="false">IF($O826="","",SUMIFS($O$6:$O$2405,$A$6:$A$2405,"&lt;="&amp;$A826))</f>
        <v/>
      </c>
      <c r="Q826" s="57" t="str">
        <f aca="false">IF($O826="","",IF($P826&lt;=BankCostEnvelope*'5. Scenarios'!$D$7,1,0))</f>
        <v/>
      </c>
      <c r="R826" s="57" t="str">
        <f aca="false">IF($N826="","",INDEX(BookRate,821)*(1+'5. Scenarios'!$D$10)*(INDEX(BookQ1,821)*(5-MIN(4,1+'5. Scenarios'!$D$8))/4+INDEX(BookQ2,821)*(5-MIN(4,2+'5. Scenarios'!$D$8))/4+INDEX(BookQ3,821)*(5-MIN(4,3+'5. Scenarios'!$D$8))/4+INDEX(BookQ4,821)*(5-MIN(4,4+'5. Scenarios'!$D$8))/4)*'5. Scenarios'!$D$6/(1+ProductivityDefault*('5. Scenarios'!$D$11-1))+INDEX(BookOneOff,821)*$N826)</f>
        <v/>
      </c>
      <c r="S826" s="56" t="str">
        <f aca="false">IF(INDEX(BookTitle,821)="","",INDEX(BookTotal,821)*'5. Scenarios'!$E$6/(1+ProductivityDefault*('5. Scenarios'!$E$11-1)))</f>
        <v/>
      </c>
      <c r="T826" s="57" t="str">
        <f aca="false">IF($S826="","",INDEX(BookRate,821)*(1+'5. Scenarios'!$E$10)*$S826)</f>
        <v/>
      </c>
      <c r="U826" s="57" t="str">
        <f aca="false">IF($T826="","",SUMIFS($T$6:$T$2405,$A$6:$A$2405,"&lt;="&amp;$A826))</f>
        <v/>
      </c>
      <c r="V826" s="57" t="str">
        <f aca="false">IF($T826="","",IF($U826&lt;=BankCostEnvelope*'5. Scenarios'!$E$7,1,0))</f>
        <v/>
      </c>
      <c r="W826" s="57" t="str">
        <f aca="false">IF($S826="","",INDEX(BookRate,821)*(1+'5. Scenarios'!$E$10)*(INDEX(BookQ1,821)*(5-MIN(4,1+'5. Scenarios'!$E$8))/4+INDEX(BookQ2,821)*(5-MIN(4,2+'5. Scenarios'!$E$8))/4+INDEX(BookQ3,821)*(5-MIN(4,3+'5. Scenarios'!$E$8))/4+INDEX(BookQ4,821)*(5-MIN(4,4+'5. Scenarios'!$E$8))/4)*'5. Scenarios'!$E$6/(1+ProductivityDefault*('5. Scenarios'!$E$11-1))+INDEX(BookOneOff,821)*$S826)</f>
        <v/>
      </c>
    </row>
    <row r="827" customFormat="false" ht="15" hidden="false" customHeight="false" outlineLevel="0" collapsed="false">
      <c r="A827" s="0" t="str">
        <f aca="false">IF(INDEX(BookTitle,822)="","",INDEX(BookKey,822))</f>
        <v/>
      </c>
      <c r="B827" s="0" t="str">
        <f aca="false">IF(INDEX(BookTitle,822)="","",INDEX(BookGroup,822))</f>
        <v/>
      </c>
      <c r="C827" s="0" t="str">
        <f aca="false">IF(INDEX(BookTitle,822)="","",INDEX(BookCategory,822))</f>
        <v/>
      </c>
      <c r="D827" s="56" t="str">
        <f aca="false">IF(INDEX(BookTitle,822)="","",INDEX(BookTotal,822)*'5. Scenarios'!$B$6/(1+ProductivityDefault*('5. Scenarios'!$B$11-1)))</f>
        <v/>
      </c>
      <c r="E827" s="57" t="str">
        <f aca="false">IF($D827="","",INDEX(BookRate,822)*(1+'5. Scenarios'!$B$10)*$D827)</f>
        <v/>
      </c>
      <c r="F827" s="57" t="str">
        <f aca="false">IF($E827="","",SUMIFS($E$6:$E$2405,$A$6:$A$2405,"&lt;="&amp;$A827))</f>
        <v/>
      </c>
      <c r="G827" s="57" t="str">
        <f aca="false">IF($E827="","",IF($F827&lt;=BankCostEnvelope*'5. Scenarios'!$B$7,1,0))</f>
        <v/>
      </c>
      <c r="H827" s="57" t="str">
        <f aca="false">IF($D827="","",INDEX(BookRate,822)*(1+'5. Scenarios'!$B$10)*(INDEX(BookQ1,822)*(5-MIN(4,1+'5. Scenarios'!$B$8))/4+INDEX(BookQ2,822)*(5-MIN(4,2+'5. Scenarios'!$B$8))/4+INDEX(BookQ3,822)*(5-MIN(4,3+'5. Scenarios'!$B$8))/4+INDEX(BookQ4,822)*(5-MIN(4,4+'5. Scenarios'!$B$8))/4)*'5. Scenarios'!$B$6/(1+ProductivityDefault*('5. Scenarios'!$B$11-1))+INDEX(BookOneOff,822)*$D827)</f>
        <v/>
      </c>
      <c r="I827" s="56" t="str">
        <f aca="false">IF(INDEX(BookTitle,822)="","",INDEX(BookTotal,822)*'5. Scenarios'!$C$6/(1+ProductivityDefault*('5. Scenarios'!$C$11-1)))</f>
        <v/>
      </c>
      <c r="J827" s="57" t="str">
        <f aca="false">IF($I827="","",INDEX(BookRate,822)*(1+'5. Scenarios'!$C$10)*$I827)</f>
        <v/>
      </c>
      <c r="K827" s="57" t="str">
        <f aca="false">IF($J827="","",SUMIFS($J$6:$J$2405,$A$6:$A$2405,"&lt;="&amp;$A827))</f>
        <v/>
      </c>
      <c r="L827" s="57" t="str">
        <f aca="false">IF($J827="","",IF($K827&lt;=BankCostEnvelope*'5. Scenarios'!$C$7,1,0))</f>
        <v/>
      </c>
      <c r="M827" s="57" t="str">
        <f aca="false">IF($I827="","",INDEX(BookRate,822)*(1+'5. Scenarios'!$C$10)*(INDEX(BookQ1,822)*(5-MIN(4,1+'5. Scenarios'!$C$8))/4+INDEX(BookQ2,822)*(5-MIN(4,2+'5. Scenarios'!$C$8))/4+INDEX(BookQ3,822)*(5-MIN(4,3+'5. Scenarios'!$C$8))/4+INDEX(BookQ4,822)*(5-MIN(4,4+'5. Scenarios'!$C$8))/4)*'5. Scenarios'!$C$6/(1+ProductivityDefault*('5. Scenarios'!$C$11-1))+INDEX(BookOneOff,822)*$I827)</f>
        <v/>
      </c>
      <c r="N827" s="56" t="str">
        <f aca="false">IF(INDEX(BookTitle,822)="","",INDEX(BookTotal,822)*'5. Scenarios'!$D$6/(1+ProductivityDefault*('5. Scenarios'!$D$11-1)))</f>
        <v/>
      </c>
      <c r="O827" s="57" t="str">
        <f aca="false">IF($N827="","",INDEX(BookRate,822)*(1+'5. Scenarios'!$D$10)*$N827)</f>
        <v/>
      </c>
      <c r="P827" s="57" t="str">
        <f aca="false">IF($O827="","",SUMIFS($O$6:$O$2405,$A$6:$A$2405,"&lt;="&amp;$A827))</f>
        <v/>
      </c>
      <c r="Q827" s="57" t="str">
        <f aca="false">IF($O827="","",IF($P827&lt;=BankCostEnvelope*'5. Scenarios'!$D$7,1,0))</f>
        <v/>
      </c>
      <c r="R827" s="57" t="str">
        <f aca="false">IF($N827="","",INDEX(BookRate,822)*(1+'5. Scenarios'!$D$10)*(INDEX(BookQ1,822)*(5-MIN(4,1+'5. Scenarios'!$D$8))/4+INDEX(BookQ2,822)*(5-MIN(4,2+'5. Scenarios'!$D$8))/4+INDEX(BookQ3,822)*(5-MIN(4,3+'5. Scenarios'!$D$8))/4+INDEX(BookQ4,822)*(5-MIN(4,4+'5. Scenarios'!$D$8))/4)*'5. Scenarios'!$D$6/(1+ProductivityDefault*('5. Scenarios'!$D$11-1))+INDEX(BookOneOff,822)*$N827)</f>
        <v/>
      </c>
      <c r="S827" s="56" t="str">
        <f aca="false">IF(INDEX(BookTitle,822)="","",INDEX(BookTotal,822)*'5. Scenarios'!$E$6/(1+ProductivityDefault*('5. Scenarios'!$E$11-1)))</f>
        <v/>
      </c>
      <c r="T827" s="57" t="str">
        <f aca="false">IF($S827="","",INDEX(BookRate,822)*(1+'5. Scenarios'!$E$10)*$S827)</f>
        <v/>
      </c>
      <c r="U827" s="57" t="str">
        <f aca="false">IF($T827="","",SUMIFS($T$6:$T$2405,$A$6:$A$2405,"&lt;="&amp;$A827))</f>
        <v/>
      </c>
      <c r="V827" s="57" t="str">
        <f aca="false">IF($T827="","",IF($U827&lt;=BankCostEnvelope*'5. Scenarios'!$E$7,1,0))</f>
        <v/>
      </c>
      <c r="W827" s="57" t="str">
        <f aca="false">IF($S827="","",INDEX(BookRate,822)*(1+'5. Scenarios'!$E$10)*(INDEX(BookQ1,822)*(5-MIN(4,1+'5. Scenarios'!$E$8))/4+INDEX(BookQ2,822)*(5-MIN(4,2+'5. Scenarios'!$E$8))/4+INDEX(BookQ3,822)*(5-MIN(4,3+'5. Scenarios'!$E$8))/4+INDEX(BookQ4,822)*(5-MIN(4,4+'5. Scenarios'!$E$8))/4)*'5. Scenarios'!$E$6/(1+ProductivityDefault*('5. Scenarios'!$E$11-1))+INDEX(BookOneOff,822)*$S827)</f>
        <v/>
      </c>
    </row>
    <row r="828" customFormat="false" ht="15" hidden="false" customHeight="false" outlineLevel="0" collapsed="false">
      <c r="A828" s="0" t="str">
        <f aca="false">IF(INDEX(BookTitle,823)="","",INDEX(BookKey,823))</f>
        <v/>
      </c>
      <c r="B828" s="0" t="str">
        <f aca="false">IF(INDEX(BookTitle,823)="","",INDEX(BookGroup,823))</f>
        <v/>
      </c>
      <c r="C828" s="0" t="str">
        <f aca="false">IF(INDEX(BookTitle,823)="","",INDEX(BookCategory,823))</f>
        <v/>
      </c>
      <c r="D828" s="56" t="str">
        <f aca="false">IF(INDEX(BookTitle,823)="","",INDEX(BookTotal,823)*'5. Scenarios'!$B$6/(1+ProductivityDefault*('5. Scenarios'!$B$11-1)))</f>
        <v/>
      </c>
      <c r="E828" s="57" t="str">
        <f aca="false">IF($D828="","",INDEX(BookRate,823)*(1+'5. Scenarios'!$B$10)*$D828)</f>
        <v/>
      </c>
      <c r="F828" s="57" t="str">
        <f aca="false">IF($E828="","",SUMIFS($E$6:$E$2405,$A$6:$A$2405,"&lt;="&amp;$A828))</f>
        <v/>
      </c>
      <c r="G828" s="57" t="str">
        <f aca="false">IF($E828="","",IF($F828&lt;=BankCostEnvelope*'5. Scenarios'!$B$7,1,0))</f>
        <v/>
      </c>
      <c r="H828" s="57" t="str">
        <f aca="false">IF($D828="","",INDEX(BookRate,823)*(1+'5. Scenarios'!$B$10)*(INDEX(BookQ1,823)*(5-MIN(4,1+'5. Scenarios'!$B$8))/4+INDEX(BookQ2,823)*(5-MIN(4,2+'5. Scenarios'!$B$8))/4+INDEX(BookQ3,823)*(5-MIN(4,3+'5. Scenarios'!$B$8))/4+INDEX(BookQ4,823)*(5-MIN(4,4+'5. Scenarios'!$B$8))/4)*'5. Scenarios'!$B$6/(1+ProductivityDefault*('5. Scenarios'!$B$11-1))+INDEX(BookOneOff,823)*$D828)</f>
        <v/>
      </c>
      <c r="I828" s="56" t="str">
        <f aca="false">IF(INDEX(BookTitle,823)="","",INDEX(BookTotal,823)*'5. Scenarios'!$C$6/(1+ProductivityDefault*('5. Scenarios'!$C$11-1)))</f>
        <v/>
      </c>
      <c r="J828" s="57" t="str">
        <f aca="false">IF($I828="","",INDEX(BookRate,823)*(1+'5. Scenarios'!$C$10)*$I828)</f>
        <v/>
      </c>
      <c r="K828" s="57" t="str">
        <f aca="false">IF($J828="","",SUMIFS($J$6:$J$2405,$A$6:$A$2405,"&lt;="&amp;$A828))</f>
        <v/>
      </c>
      <c r="L828" s="57" t="str">
        <f aca="false">IF($J828="","",IF($K828&lt;=BankCostEnvelope*'5. Scenarios'!$C$7,1,0))</f>
        <v/>
      </c>
      <c r="M828" s="57" t="str">
        <f aca="false">IF($I828="","",INDEX(BookRate,823)*(1+'5. Scenarios'!$C$10)*(INDEX(BookQ1,823)*(5-MIN(4,1+'5. Scenarios'!$C$8))/4+INDEX(BookQ2,823)*(5-MIN(4,2+'5. Scenarios'!$C$8))/4+INDEX(BookQ3,823)*(5-MIN(4,3+'5. Scenarios'!$C$8))/4+INDEX(BookQ4,823)*(5-MIN(4,4+'5. Scenarios'!$C$8))/4)*'5. Scenarios'!$C$6/(1+ProductivityDefault*('5. Scenarios'!$C$11-1))+INDEX(BookOneOff,823)*$I828)</f>
        <v/>
      </c>
      <c r="N828" s="56" t="str">
        <f aca="false">IF(INDEX(BookTitle,823)="","",INDEX(BookTotal,823)*'5. Scenarios'!$D$6/(1+ProductivityDefault*('5. Scenarios'!$D$11-1)))</f>
        <v/>
      </c>
      <c r="O828" s="57" t="str">
        <f aca="false">IF($N828="","",INDEX(BookRate,823)*(1+'5. Scenarios'!$D$10)*$N828)</f>
        <v/>
      </c>
      <c r="P828" s="57" t="str">
        <f aca="false">IF($O828="","",SUMIFS($O$6:$O$2405,$A$6:$A$2405,"&lt;="&amp;$A828))</f>
        <v/>
      </c>
      <c r="Q828" s="57" t="str">
        <f aca="false">IF($O828="","",IF($P828&lt;=BankCostEnvelope*'5. Scenarios'!$D$7,1,0))</f>
        <v/>
      </c>
      <c r="R828" s="57" t="str">
        <f aca="false">IF($N828="","",INDEX(BookRate,823)*(1+'5. Scenarios'!$D$10)*(INDEX(BookQ1,823)*(5-MIN(4,1+'5. Scenarios'!$D$8))/4+INDEX(BookQ2,823)*(5-MIN(4,2+'5. Scenarios'!$D$8))/4+INDEX(BookQ3,823)*(5-MIN(4,3+'5. Scenarios'!$D$8))/4+INDEX(BookQ4,823)*(5-MIN(4,4+'5. Scenarios'!$D$8))/4)*'5. Scenarios'!$D$6/(1+ProductivityDefault*('5. Scenarios'!$D$11-1))+INDEX(BookOneOff,823)*$N828)</f>
        <v/>
      </c>
      <c r="S828" s="56" t="str">
        <f aca="false">IF(INDEX(BookTitle,823)="","",INDEX(BookTotal,823)*'5. Scenarios'!$E$6/(1+ProductivityDefault*('5. Scenarios'!$E$11-1)))</f>
        <v/>
      </c>
      <c r="T828" s="57" t="str">
        <f aca="false">IF($S828="","",INDEX(BookRate,823)*(1+'5. Scenarios'!$E$10)*$S828)</f>
        <v/>
      </c>
      <c r="U828" s="57" t="str">
        <f aca="false">IF($T828="","",SUMIFS($T$6:$T$2405,$A$6:$A$2405,"&lt;="&amp;$A828))</f>
        <v/>
      </c>
      <c r="V828" s="57" t="str">
        <f aca="false">IF($T828="","",IF($U828&lt;=BankCostEnvelope*'5. Scenarios'!$E$7,1,0))</f>
        <v/>
      </c>
      <c r="W828" s="57" t="str">
        <f aca="false">IF($S828="","",INDEX(BookRate,823)*(1+'5. Scenarios'!$E$10)*(INDEX(BookQ1,823)*(5-MIN(4,1+'5. Scenarios'!$E$8))/4+INDEX(BookQ2,823)*(5-MIN(4,2+'5. Scenarios'!$E$8))/4+INDEX(BookQ3,823)*(5-MIN(4,3+'5. Scenarios'!$E$8))/4+INDEX(BookQ4,823)*(5-MIN(4,4+'5. Scenarios'!$E$8))/4)*'5. Scenarios'!$E$6/(1+ProductivityDefault*('5. Scenarios'!$E$11-1))+INDEX(BookOneOff,823)*$S828)</f>
        <v/>
      </c>
    </row>
    <row r="829" customFormat="false" ht="15" hidden="false" customHeight="false" outlineLevel="0" collapsed="false">
      <c r="A829" s="0" t="str">
        <f aca="false">IF(INDEX(BookTitle,824)="","",INDEX(BookKey,824))</f>
        <v/>
      </c>
      <c r="B829" s="0" t="str">
        <f aca="false">IF(INDEX(BookTitle,824)="","",INDEX(BookGroup,824))</f>
        <v/>
      </c>
      <c r="C829" s="0" t="str">
        <f aca="false">IF(INDEX(BookTitle,824)="","",INDEX(BookCategory,824))</f>
        <v/>
      </c>
      <c r="D829" s="56" t="str">
        <f aca="false">IF(INDEX(BookTitle,824)="","",INDEX(BookTotal,824)*'5. Scenarios'!$B$6/(1+ProductivityDefault*('5. Scenarios'!$B$11-1)))</f>
        <v/>
      </c>
      <c r="E829" s="57" t="str">
        <f aca="false">IF($D829="","",INDEX(BookRate,824)*(1+'5. Scenarios'!$B$10)*$D829)</f>
        <v/>
      </c>
      <c r="F829" s="57" t="str">
        <f aca="false">IF($E829="","",SUMIFS($E$6:$E$2405,$A$6:$A$2405,"&lt;="&amp;$A829))</f>
        <v/>
      </c>
      <c r="G829" s="57" t="str">
        <f aca="false">IF($E829="","",IF($F829&lt;=BankCostEnvelope*'5. Scenarios'!$B$7,1,0))</f>
        <v/>
      </c>
      <c r="H829" s="57" t="str">
        <f aca="false">IF($D829="","",INDEX(BookRate,824)*(1+'5. Scenarios'!$B$10)*(INDEX(BookQ1,824)*(5-MIN(4,1+'5. Scenarios'!$B$8))/4+INDEX(BookQ2,824)*(5-MIN(4,2+'5. Scenarios'!$B$8))/4+INDEX(BookQ3,824)*(5-MIN(4,3+'5. Scenarios'!$B$8))/4+INDEX(BookQ4,824)*(5-MIN(4,4+'5. Scenarios'!$B$8))/4)*'5. Scenarios'!$B$6/(1+ProductivityDefault*('5. Scenarios'!$B$11-1))+INDEX(BookOneOff,824)*$D829)</f>
        <v/>
      </c>
      <c r="I829" s="56" t="str">
        <f aca="false">IF(INDEX(BookTitle,824)="","",INDEX(BookTotal,824)*'5. Scenarios'!$C$6/(1+ProductivityDefault*('5. Scenarios'!$C$11-1)))</f>
        <v/>
      </c>
      <c r="J829" s="57" t="str">
        <f aca="false">IF($I829="","",INDEX(BookRate,824)*(1+'5. Scenarios'!$C$10)*$I829)</f>
        <v/>
      </c>
      <c r="K829" s="57" t="str">
        <f aca="false">IF($J829="","",SUMIFS($J$6:$J$2405,$A$6:$A$2405,"&lt;="&amp;$A829))</f>
        <v/>
      </c>
      <c r="L829" s="57" t="str">
        <f aca="false">IF($J829="","",IF($K829&lt;=BankCostEnvelope*'5. Scenarios'!$C$7,1,0))</f>
        <v/>
      </c>
      <c r="M829" s="57" t="str">
        <f aca="false">IF($I829="","",INDEX(BookRate,824)*(1+'5. Scenarios'!$C$10)*(INDEX(BookQ1,824)*(5-MIN(4,1+'5. Scenarios'!$C$8))/4+INDEX(BookQ2,824)*(5-MIN(4,2+'5. Scenarios'!$C$8))/4+INDEX(BookQ3,824)*(5-MIN(4,3+'5. Scenarios'!$C$8))/4+INDEX(BookQ4,824)*(5-MIN(4,4+'5. Scenarios'!$C$8))/4)*'5. Scenarios'!$C$6/(1+ProductivityDefault*('5. Scenarios'!$C$11-1))+INDEX(BookOneOff,824)*$I829)</f>
        <v/>
      </c>
      <c r="N829" s="56" t="str">
        <f aca="false">IF(INDEX(BookTitle,824)="","",INDEX(BookTotal,824)*'5. Scenarios'!$D$6/(1+ProductivityDefault*('5. Scenarios'!$D$11-1)))</f>
        <v/>
      </c>
      <c r="O829" s="57" t="str">
        <f aca="false">IF($N829="","",INDEX(BookRate,824)*(1+'5. Scenarios'!$D$10)*$N829)</f>
        <v/>
      </c>
      <c r="P829" s="57" t="str">
        <f aca="false">IF($O829="","",SUMIFS($O$6:$O$2405,$A$6:$A$2405,"&lt;="&amp;$A829))</f>
        <v/>
      </c>
      <c r="Q829" s="57" t="str">
        <f aca="false">IF($O829="","",IF($P829&lt;=BankCostEnvelope*'5. Scenarios'!$D$7,1,0))</f>
        <v/>
      </c>
      <c r="R829" s="57" t="str">
        <f aca="false">IF($N829="","",INDEX(BookRate,824)*(1+'5. Scenarios'!$D$10)*(INDEX(BookQ1,824)*(5-MIN(4,1+'5. Scenarios'!$D$8))/4+INDEX(BookQ2,824)*(5-MIN(4,2+'5. Scenarios'!$D$8))/4+INDEX(BookQ3,824)*(5-MIN(4,3+'5. Scenarios'!$D$8))/4+INDEX(BookQ4,824)*(5-MIN(4,4+'5. Scenarios'!$D$8))/4)*'5. Scenarios'!$D$6/(1+ProductivityDefault*('5. Scenarios'!$D$11-1))+INDEX(BookOneOff,824)*$N829)</f>
        <v/>
      </c>
      <c r="S829" s="56" t="str">
        <f aca="false">IF(INDEX(BookTitle,824)="","",INDEX(BookTotal,824)*'5. Scenarios'!$E$6/(1+ProductivityDefault*('5. Scenarios'!$E$11-1)))</f>
        <v/>
      </c>
      <c r="T829" s="57" t="str">
        <f aca="false">IF($S829="","",INDEX(BookRate,824)*(1+'5. Scenarios'!$E$10)*$S829)</f>
        <v/>
      </c>
      <c r="U829" s="57" t="str">
        <f aca="false">IF($T829="","",SUMIFS($T$6:$T$2405,$A$6:$A$2405,"&lt;="&amp;$A829))</f>
        <v/>
      </c>
      <c r="V829" s="57" t="str">
        <f aca="false">IF($T829="","",IF($U829&lt;=BankCostEnvelope*'5. Scenarios'!$E$7,1,0))</f>
        <v/>
      </c>
      <c r="W829" s="57" t="str">
        <f aca="false">IF($S829="","",INDEX(BookRate,824)*(1+'5. Scenarios'!$E$10)*(INDEX(BookQ1,824)*(5-MIN(4,1+'5. Scenarios'!$E$8))/4+INDEX(BookQ2,824)*(5-MIN(4,2+'5. Scenarios'!$E$8))/4+INDEX(BookQ3,824)*(5-MIN(4,3+'5. Scenarios'!$E$8))/4+INDEX(BookQ4,824)*(5-MIN(4,4+'5. Scenarios'!$E$8))/4)*'5. Scenarios'!$E$6/(1+ProductivityDefault*('5. Scenarios'!$E$11-1))+INDEX(BookOneOff,824)*$S829)</f>
        <v/>
      </c>
    </row>
    <row r="830" customFormat="false" ht="15" hidden="false" customHeight="false" outlineLevel="0" collapsed="false">
      <c r="A830" s="0" t="str">
        <f aca="false">IF(INDEX(BookTitle,825)="","",INDEX(BookKey,825))</f>
        <v/>
      </c>
      <c r="B830" s="0" t="str">
        <f aca="false">IF(INDEX(BookTitle,825)="","",INDEX(BookGroup,825))</f>
        <v/>
      </c>
      <c r="C830" s="0" t="str">
        <f aca="false">IF(INDEX(BookTitle,825)="","",INDEX(BookCategory,825))</f>
        <v/>
      </c>
      <c r="D830" s="56" t="str">
        <f aca="false">IF(INDEX(BookTitle,825)="","",INDEX(BookTotal,825)*'5. Scenarios'!$B$6/(1+ProductivityDefault*('5. Scenarios'!$B$11-1)))</f>
        <v/>
      </c>
      <c r="E830" s="57" t="str">
        <f aca="false">IF($D830="","",INDEX(BookRate,825)*(1+'5. Scenarios'!$B$10)*$D830)</f>
        <v/>
      </c>
      <c r="F830" s="57" t="str">
        <f aca="false">IF($E830="","",SUMIFS($E$6:$E$2405,$A$6:$A$2405,"&lt;="&amp;$A830))</f>
        <v/>
      </c>
      <c r="G830" s="57" t="str">
        <f aca="false">IF($E830="","",IF($F830&lt;=BankCostEnvelope*'5. Scenarios'!$B$7,1,0))</f>
        <v/>
      </c>
      <c r="H830" s="57" t="str">
        <f aca="false">IF($D830="","",INDEX(BookRate,825)*(1+'5. Scenarios'!$B$10)*(INDEX(BookQ1,825)*(5-MIN(4,1+'5. Scenarios'!$B$8))/4+INDEX(BookQ2,825)*(5-MIN(4,2+'5. Scenarios'!$B$8))/4+INDEX(BookQ3,825)*(5-MIN(4,3+'5. Scenarios'!$B$8))/4+INDEX(BookQ4,825)*(5-MIN(4,4+'5. Scenarios'!$B$8))/4)*'5. Scenarios'!$B$6/(1+ProductivityDefault*('5. Scenarios'!$B$11-1))+INDEX(BookOneOff,825)*$D830)</f>
        <v/>
      </c>
      <c r="I830" s="56" t="str">
        <f aca="false">IF(INDEX(BookTitle,825)="","",INDEX(BookTotal,825)*'5. Scenarios'!$C$6/(1+ProductivityDefault*('5. Scenarios'!$C$11-1)))</f>
        <v/>
      </c>
      <c r="J830" s="57" t="str">
        <f aca="false">IF($I830="","",INDEX(BookRate,825)*(1+'5. Scenarios'!$C$10)*$I830)</f>
        <v/>
      </c>
      <c r="K830" s="57" t="str">
        <f aca="false">IF($J830="","",SUMIFS($J$6:$J$2405,$A$6:$A$2405,"&lt;="&amp;$A830))</f>
        <v/>
      </c>
      <c r="L830" s="57" t="str">
        <f aca="false">IF($J830="","",IF($K830&lt;=BankCostEnvelope*'5. Scenarios'!$C$7,1,0))</f>
        <v/>
      </c>
      <c r="M830" s="57" t="str">
        <f aca="false">IF($I830="","",INDEX(BookRate,825)*(1+'5. Scenarios'!$C$10)*(INDEX(BookQ1,825)*(5-MIN(4,1+'5. Scenarios'!$C$8))/4+INDEX(BookQ2,825)*(5-MIN(4,2+'5. Scenarios'!$C$8))/4+INDEX(BookQ3,825)*(5-MIN(4,3+'5. Scenarios'!$C$8))/4+INDEX(BookQ4,825)*(5-MIN(4,4+'5. Scenarios'!$C$8))/4)*'5. Scenarios'!$C$6/(1+ProductivityDefault*('5. Scenarios'!$C$11-1))+INDEX(BookOneOff,825)*$I830)</f>
        <v/>
      </c>
      <c r="N830" s="56" t="str">
        <f aca="false">IF(INDEX(BookTitle,825)="","",INDEX(BookTotal,825)*'5. Scenarios'!$D$6/(1+ProductivityDefault*('5. Scenarios'!$D$11-1)))</f>
        <v/>
      </c>
      <c r="O830" s="57" t="str">
        <f aca="false">IF($N830="","",INDEX(BookRate,825)*(1+'5. Scenarios'!$D$10)*$N830)</f>
        <v/>
      </c>
      <c r="P830" s="57" t="str">
        <f aca="false">IF($O830="","",SUMIFS($O$6:$O$2405,$A$6:$A$2405,"&lt;="&amp;$A830))</f>
        <v/>
      </c>
      <c r="Q830" s="57" t="str">
        <f aca="false">IF($O830="","",IF($P830&lt;=BankCostEnvelope*'5. Scenarios'!$D$7,1,0))</f>
        <v/>
      </c>
      <c r="R830" s="57" t="str">
        <f aca="false">IF($N830="","",INDEX(BookRate,825)*(1+'5. Scenarios'!$D$10)*(INDEX(BookQ1,825)*(5-MIN(4,1+'5. Scenarios'!$D$8))/4+INDEX(BookQ2,825)*(5-MIN(4,2+'5. Scenarios'!$D$8))/4+INDEX(BookQ3,825)*(5-MIN(4,3+'5. Scenarios'!$D$8))/4+INDEX(BookQ4,825)*(5-MIN(4,4+'5. Scenarios'!$D$8))/4)*'5. Scenarios'!$D$6/(1+ProductivityDefault*('5. Scenarios'!$D$11-1))+INDEX(BookOneOff,825)*$N830)</f>
        <v/>
      </c>
      <c r="S830" s="56" t="str">
        <f aca="false">IF(INDEX(BookTitle,825)="","",INDEX(BookTotal,825)*'5. Scenarios'!$E$6/(1+ProductivityDefault*('5. Scenarios'!$E$11-1)))</f>
        <v/>
      </c>
      <c r="T830" s="57" t="str">
        <f aca="false">IF($S830="","",INDEX(BookRate,825)*(1+'5. Scenarios'!$E$10)*$S830)</f>
        <v/>
      </c>
      <c r="U830" s="57" t="str">
        <f aca="false">IF($T830="","",SUMIFS($T$6:$T$2405,$A$6:$A$2405,"&lt;="&amp;$A830))</f>
        <v/>
      </c>
      <c r="V830" s="57" t="str">
        <f aca="false">IF($T830="","",IF($U830&lt;=BankCostEnvelope*'5. Scenarios'!$E$7,1,0))</f>
        <v/>
      </c>
      <c r="W830" s="57" t="str">
        <f aca="false">IF($S830="","",INDEX(BookRate,825)*(1+'5. Scenarios'!$E$10)*(INDEX(BookQ1,825)*(5-MIN(4,1+'5. Scenarios'!$E$8))/4+INDEX(BookQ2,825)*(5-MIN(4,2+'5. Scenarios'!$E$8))/4+INDEX(BookQ3,825)*(5-MIN(4,3+'5. Scenarios'!$E$8))/4+INDEX(BookQ4,825)*(5-MIN(4,4+'5. Scenarios'!$E$8))/4)*'5. Scenarios'!$E$6/(1+ProductivityDefault*('5. Scenarios'!$E$11-1))+INDEX(BookOneOff,825)*$S830)</f>
        <v/>
      </c>
    </row>
    <row r="831" customFormat="false" ht="15" hidden="false" customHeight="false" outlineLevel="0" collapsed="false">
      <c r="A831" s="0" t="str">
        <f aca="false">IF(INDEX(BookTitle,826)="","",INDEX(BookKey,826))</f>
        <v/>
      </c>
      <c r="B831" s="0" t="str">
        <f aca="false">IF(INDEX(BookTitle,826)="","",INDEX(BookGroup,826))</f>
        <v/>
      </c>
      <c r="C831" s="0" t="str">
        <f aca="false">IF(INDEX(BookTitle,826)="","",INDEX(BookCategory,826))</f>
        <v/>
      </c>
      <c r="D831" s="56" t="str">
        <f aca="false">IF(INDEX(BookTitle,826)="","",INDEX(BookTotal,826)*'5. Scenarios'!$B$6/(1+ProductivityDefault*('5. Scenarios'!$B$11-1)))</f>
        <v/>
      </c>
      <c r="E831" s="57" t="str">
        <f aca="false">IF($D831="","",INDEX(BookRate,826)*(1+'5. Scenarios'!$B$10)*$D831)</f>
        <v/>
      </c>
      <c r="F831" s="57" t="str">
        <f aca="false">IF($E831="","",SUMIFS($E$6:$E$2405,$A$6:$A$2405,"&lt;="&amp;$A831))</f>
        <v/>
      </c>
      <c r="G831" s="57" t="str">
        <f aca="false">IF($E831="","",IF($F831&lt;=BankCostEnvelope*'5. Scenarios'!$B$7,1,0))</f>
        <v/>
      </c>
      <c r="H831" s="57" t="str">
        <f aca="false">IF($D831="","",INDEX(BookRate,826)*(1+'5. Scenarios'!$B$10)*(INDEX(BookQ1,826)*(5-MIN(4,1+'5. Scenarios'!$B$8))/4+INDEX(BookQ2,826)*(5-MIN(4,2+'5. Scenarios'!$B$8))/4+INDEX(BookQ3,826)*(5-MIN(4,3+'5. Scenarios'!$B$8))/4+INDEX(BookQ4,826)*(5-MIN(4,4+'5. Scenarios'!$B$8))/4)*'5. Scenarios'!$B$6/(1+ProductivityDefault*('5. Scenarios'!$B$11-1))+INDEX(BookOneOff,826)*$D831)</f>
        <v/>
      </c>
      <c r="I831" s="56" t="str">
        <f aca="false">IF(INDEX(BookTitle,826)="","",INDEX(BookTotal,826)*'5. Scenarios'!$C$6/(1+ProductivityDefault*('5. Scenarios'!$C$11-1)))</f>
        <v/>
      </c>
      <c r="J831" s="57" t="str">
        <f aca="false">IF($I831="","",INDEX(BookRate,826)*(1+'5. Scenarios'!$C$10)*$I831)</f>
        <v/>
      </c>
      <c r="K831" s="57" t="str">
        <f aca="false">IF($J831="","",SUMIFS($J$6:$J$2405,$A$6:$A$2405,"&lt;="&amp;$A831))</f>
        <v/>
      </c>
      <c r="L831" s="57" t="str">
        <f aca="false">IF($J831="","",IF($K831&lt;=BankCostEnvelope*'5. Scenarios'!$C$7,1,0))</f>
        <v/>
      </c>
      <c r="M831" s="57" t="str">
        <f aca="false">IF($I831="","",INDEX(BookRate,826)*(1+'5. Scenarios'!$C$10)*(INDEX(BookQ1,826)*(5-MIN(4,1+'5. Scenarios'!$C$8))/4+INDEX(BookQ2,826)*(5-MIN(4,2+'5. Scenarios'!$C$8))/4+INDEX(BookQ3,826)*(5-MIN(4,3+'5. Scenarios'!$C$8))/4+INDEX(BookQ4,826)*(5-MIN(4,4+'5. Scenarios'!$C$8))/4)*'5. Scenarios'!$C$6/(1+ProductivityDefault*('5. Scenarios'!$C$11-1))+INDEX(BookOneOff,826)*$I831)</f>
        <v/>
      </c>
      <c r="N831" s="56" t="str">
        <f aca="false">IF(INDEX(BookTitle,826)="","",INDEX(BookTotal,826)*'5. Scenarios'!$D$6/(1+ProductivityDefault*('5. Scenarios'!$D$11-1)))</f>
        <v/>
      </c>
      <c r="O831" s="57" t="str">
        <f aca="false">IF($N831="","",INDEX(BookRate,826)*(1+'5. Scenarios'!$D$10)*$N831)</f>
        <v/>
      </c>
      <c r="P831" s="57" t="str">
        <f aca="false">IF($O831="","",SUMIFS($O$6:$O$2405,$A$6:$A$2405,"&lt;="&amp;$A831))</f>
        <v/>
      </c>
      <c r="Q831" s="57" t="str">
        <f aca="false">IF($O831="","",IF($P831&lt;=BankCostEnvelope*'5. Scenarios'!$D$7,1,0))</f>
        <v/>
      </c>
      <c r="R831" s="57" t="str">
        <f aca="false">IF($N831="","",INDEX(BookRate,826)*(1+'5. Scenarios'!$D$10)*(INDEX(BookQ1,826)*(5-MIN(4,1+'5. Scenarios'!$D$8))/4+INDEX(BookQ2,826)*(5-MIN(4,2+'5. Scenarios'!$D$8))/4+INDEX(BookQ3,826)*(5-MIN(4,3+'5. Scenarios'!$D$8))/4+INDEX(BookQ4,826)*(5-MIN(4,4+'5. Scenarios'!$D$8))/4)*'5. Scenarios'!$D$6/(1+ProductivityDefault*('5. Scenarios'!$D$11-1))+INDEX(BookOneOff,826)*$N831)</f>
        <v/>
      </c>
      <c r="S831" s="56" t="str">
        <f aca="false">IF(INDEX(BookTitle,826)="","",INDEX(BookTotal,826)*'5. Scenarios'!$E$6/(1+ProductivityDefault*('5. Scenarios'!$E$11-1)))</f>
        <v/>
      </c>
      <c r="T831" s="57" t="str">
        <f aca="false">IF($S831="","",INDEX(BookRate,826)*(1+'5. Scenarios'!$E$10)*$S831)</f>
        <v/>
      </c>
      <c r="U831" s="57" t="str">
        <f aca="false">IF($T831="","",SUMIFS($T$6:$T$2405,$A$6:$A$2405,"&lt;="&amp;$A831))</f>
        <v/>
      </c>
      <c r="V831" s="57" t="str">
        <f aca="false">IF($T831="","",IF($U831&lt;=BankCostEnvelope*'5. Scenarios'!$E$7,1,0))</f>
        <v/>
      </c>
      <c r="W831" s="57" t="str">
        <f aca="false">IF($S831="","",INDEX(BookRate,826)*(1+'5. Scenarios'!$E$10)*(INDEX(BookQ1,826)*(5-MIN(4,1+'5. Scenarios'!$E$8))/4+INDEX(BookQ2,826)*(5-MIN(4,2+'5. Scenarios'!$E$8))/4+INDEX(BookQ3,826)*(5-MIN(4,3+'5. Scenarios'!$E$8))/4+INDEX(BookQ4,826)*(5-MIN(4,4+'5. Scenarios'!$E$8))/4)*'5. Scenarios'!$E$6/(1+ProductivityDefault*('5. Scenarios'!$E$11-1))+INDEX(BookOneOff,826)*$S831)</f>
        <v/>
      </c>
    </row>
    <row r="832" customFormat="false" ht="15" hidden="false" customHeight="false" outlineLevel="0" collapsed="false">
      <c r="A832" s="0" t="str">
        <f aca="false">IF(INDEX(BookTitle,827)="","",INDEX(BookKey,827))</f>
        <v/>
      </c>
      <c r="B832" s="0" t="str">
        <f aca="false">IF(INDEX(BookTitle,827)="","",INDEX(BookGroup,827))</f>
        <v/>
      </c>
      <c r="C832" s="0" t="str">
        <f aca="false">IF(INDEX(BookTitle,827)="","",INDEX(BookCategory,827))</f>
        <v/>
      </c>
      <c r="D832" s="56" t="str">
        <f aca="false">IF(INDEX(BookTitle,827)="","",INDEX(BookTotal,827)*'5. Scenarios'!$B$6/(1+ProductivityDefault*('5. Scenarios'!$B$11-1)))</f>
        <v/>
      </c>
      <c r="E832" s="57" t="str">
        <f aca="false">IF($D832="","",INDEX(BookRate,827)*(1+'5. Scenarios'!$B$10)*$D832)</f>
        <v/>
      </c>
      <c r="F832" s="57" t="str">
        <f aca="false">IF($E832="","",SUMIFS($E$6:$E$2405,$A$6:$A$2405,"&lt;="&amp;$A832))</f>
        <v/>
      </c>
      <c r="G832" s="57" t="str">
        <f aca="false">IF($E832="","",IF($F832&lt;=BankCostEnvelope*'5. Scenarios'!$B$7,1,0))</f>
        <v/>
      </c>
      <c r="H832" s="57" t="str">
        <f aca="false">IF($D832="","",INDEX(BookRate,827)*(1+'5. Scenarios'!$B$10)*(INDEX(BookQ1,827)*(5-MIN(4,1+'5. Scenarios'!$B$8))/4+INDEX(BookQ2,827)*(5-MIN(4,2+'5. Scenarios'!$B$8))/4+INDEX(BookQ3,827)*(5-MIN(4,3+'5. Scenarios'!$B$8))/4+INDEX(BookQ4,827)*(5-MIN(4,4+'5. Scenarios'!$B$8))/4)*'5. Scenarios'!$B$6/(1+ProductivityDefault*('5. Scenarios'!$B$11-1))+INDEX(BookOneOff,827)*$D832)</f>
        <v/>
      </c>
      <c r="I832" s="56" t="str">
        <f aca="false">IF(INDEX(BookTitle,827)="","",INDEX(BookTotal,827)*'5. Scenarios'!$C$6/(1+ProductivityDefault*('5. Scenarios'!$C$11-1)))</f>
        <v/>
      </c>
      <c r="J832" s="57" t="str">
        <f aca="false">IF($I832="","",INDEX(BookRate,827)*(1+'5. Scenarios'!$C$10)*$I832)</f>
        <v/>
      </c>
      <c r="K832" s="57" t="str">
        <f aca="false">IF($J832="","",SUMIFS($J$6:$J$2405,$A$6:$A$2405,"&lt;="&amp;$A832))</f>
        <v/>
      </c>
      <c r="L832" s="57" t="str">
        <f aca="false">IF($J832="","",IF($K832&lt;=BankCostEnvelope*'5. Scenarios'!$C$7,1,0))</f>
        <v/>
      </c>
      <c r="M832" s="57" t="str">
        <f aca="false">IF($I832="","",INDEX(BookRate,827)*(1+'5. Scenarios'!$C$10)*(INDEX(BookQ1,827)*(5-MIN(4,1+'5. Scenarios'!$C$8))/4+INDEX(BookQ2,827)*(5-MIN(4,2+'5. Scenarios'!$C$8))/4+INDEX(BookQ3,827)*(5-MIN(4,3+'5. Scenarios'!$C$8))/4+INDEX(BookQ4,827)*(5-MIN(4,4+'5. Scenarios'!$C$8))/4)*'5. Scenarios'!$C$6/(1+ProductivityDefault*('5. Scenarios'!$C$11-1))+INDEX(BookOneOff,827)*$I832)</f>
        <v/>
      </c>
      <c r="N832" s="56" t="str">
        <f aca="false">IF(INDEX(BookTitle,827)="","",INDEX(BookTotal,827)*'5. Scenarios'!$D$6/(1+ProductivityDefault*('5. Scenarios'!$D$11-1)))</f>
        <v/>
      </c>
      <c r="O832" s="57" t="str">
        <f aca="false">IF($N832="","",INDEX(BookRate,827)*(1+'5. Scenarios'!$D$10)*$N832)</f>
        <v/>
      </c>
      <c r="P832" s="57" t="str">
        <f aca="false">IF($O832="","",SUMIFS($O$6:$O$2405,$A$6:$A$2405,"&lt;="&amp;$A832))</f>
        <v/>
      </c>
      <c r="Q832" s="57" t="str">
        <f aca="false">IF($O832="","",IF($P832&lt;=BankCostEnvelope*'5. Scenarios'!$D$7,1,0))</f>
        <v/>
      </c>
      <c r="R832" s="57" t="str">
        <f aca="false">IF($N832="","",INDEX(BookRate,827)*(1+'5. Scenarios'!$D$10)*(INDEX(BookQ1,827)*(5-MIN(4,1+'5. Scenarios'!$D$8))/4+INDEX(BookQ2,827)*(5-MIN(4,2+'5. Scenarios'!$D$8))/4+INDEX(BookQ3,827)*(5-MIN(4,3+'5. Scenarios'!$D$8))/4+INDEX(BookQ4,827)*(5-MIN(4,4+'5. Scenarios'!$D$8))/4)*'5. Scenarios'!$D$6/(1+ProductivityDefault*('5. Scenarios'!$D$11-1))+INDEX(BookOneOff,827)*$N832)</f>
        <v/>
      </c>
      <c r="S832" s="56" t="str">
        <f aca="false">IF(INDEX(BookTitle,827)="","",INDEX(BookTotal,827)*'5. Scenarios'!$E$6/(1+ProductivityDefault*('5. Scenarios'!$E$11-1)))</f>
        <v/>
      </c>
      <c r="T832" s="57" t="str">
        <f aca="false">IF($S832="","",INDEX(BookRate,827)*(1+'5. Scenarios'!$E$10)*$S832)</f>
        <v/>
      </c>
      <c r="U832" s="57" t="str">
        <f aca="false">IF($T832="","",SUMIFS($T$6:$T$2405,$A$6:$A$2405,"&lt;="&amp;$A832))</f>
        <v/>
      </c>
      <c r="V832" s="57" t="str">
        <f aca="false">IF($T832="","",IF($U832&lt;=BankCostEnvelope*'5. Scenarios'!$E$7,1,0))</f>
        <v/>
      </c>
      <c r="W832" s="57" t="str">
        <f aca="false">IF($S832="","",INDEX(BookRate,827)*(1+'5. Scenarios'!$E$10)*(INDEX(BookQ1,827)*(5-MIN(4,1+'5. Scenarios'!$E$8))/4+INDEX(BookQ2,827)*(5-MIN(4,2+'5. Scenarios'!$E$8))/4+INDEX(BookQ3,827)*(5-MIN(4,3+'5. Scenarios'!$E$8))/4+INDEX(BookQ4,827)*(5-MIN(4,4+'5. Scenarios'!$E$8))/4)*'5. Scenarios'!$E$6/(1+ProductivityDefault*('5. Scenarios'!$E$11-1))+INDEX(BookOneOff,827)*$S832)</f>
        <v/>
      </c>
    </row>
    <row r="833" customFormat="false" ht="15" hidden="false" customHeight="false" outlineLevel="0" collapsed="false">
      <c r="A833" s="0" t="str">
        <f aca="false">IF(INDEX(BookTitle,828)="","",INDEX(BookKey,828))</f>
        <v/>
      </c>
      <c r="B833" s="0" t="str">
        <f aca="false">IF(INDEX(BookTitle,828)="","",INDEX(BookGroup,828))</f>
        <v/>
      </c>
      <c r="C833" s="0" t="str">
        <f aca="false">IF(INDEX(BookTitle,828)="","",INDEX(BookCategory,828))</f>
        <v/>
      </c>
      <c r="D833" s="56" t="str">
        <f aca="false">IF(INDEX(BookTitle,828)="","",INDEX(BookTotal,828)*'5. Scenarios'!$B$6/(1+ProductivityDefault*('5. Scenarios'!$B$11-1)))</f>
        <v/>
      </c>
      <c r="E833" s="57" t="str">
        <f aca="false">IF($D833="","",INDEX(BookRate,828)*(1+'5. Scenarios'!$B$10)*$D833)</f>
        <v/>
      </c>
      <c r="F833" s="57" t="str">
        <f aca="false">IF($E833="","",SUMIFS($E$6:$E$2405,$A$6:$A$2405,"&lt;="&amp;$A833))</f>
        <v/>
      </c>
      <c r="G833" s="57" t="str">
        <f aca="false">IF($E833="","",IF($F833&lt;=BankCostEnvelope*'5. Scenarios'!$B$7,1,0))</f>
        <v/>
      </c>
      <c r="H833" s="57" t="str">
        <f aca="false">IF($D833="","",INDEX(BookRate,828)*(1+'5. Scenarios'!$B$10)*(INDEX(BookQ1,828)*(5-MIN(4,1+'5. Scenarios'!$B$8))/4+INDEX(BookQ2,828)*(5-MIN(4,2+'5. Scenarios'!$B$8))/4+INDEX(BookQ3,828)*(5-MIN(4,3+'5. Scenarios'!$B$8))/4+INDEX(BookQ4,828)*(5-MIN(4,4+'5. Scenarios'!$B$8))/4)*'5. Scenarios'!$B$6/(1+ProductivityDefault*('5. Scenarios'!$B$11-1))+INDEX(BookOneOff,828)*$D833)</f>
        <v/>
      </c>
      <c r="I833" s="56" t="str">
        <f aca="false">IF(INDEX(BookTitle,828)="","",INDEX(BookTotal,828)*'5. Scenarios'!$C$6/(1+ProductivityDefault*('5. Scenarios'!$C$11-1)))</f>
        <v/>
      </c>
      <c r="J833" s="57" t="str">
        <f aca="false">IF($I833="","",INDEX(BookRate,828)*(1+'5. Scenarios'!$C$10)*$I833)</f>
        <v/>
      </c>
      <c r="K833" s="57" t="str">
        <f aca="false">IF($J833="","",SUMIFS($J$6:$J$2405,$A$6:$A$2405,"&lt;="&amp;$A833))</f>
        <v/>
      </c>
      <c r="L833" s="57" t="str">
        <f aca="false">IF($J833="","",IF($K833&lt;=BankCostEnvelope*'5. Scenarios'!$C$7,1,0))</f>
        <v/>
      </c>
      <c r="M833" s="57" t="str">
        <f aca="false">IF($I833="","",INDEX(BookRate,828)*(1+'5. Scenarios'!$C$10)*(INDEX(BookQ1,828)*(5-MIN(4,1+'5. Scenarios'!$C$8))/4+INDEX(BookQ2,828)*(5-MIN(4,2+'5. Scenarios'!$C$8))/4+INDEX(BookQ3,828)*(5-MIN(4,3+'5. Scenarios'!$C$8))/4+INDEX(BookQ4,828)*(5-MIN(4,4+'5. Scenarios'!$C$8))/4)*'5. Scenarios'!$C$6/(1+ProductivityDefault*('5. Scenarios'!$C$11-1))+INDEX(BookOneOff,828)*$I833)</f>
        <v/>
      </c>
      <c r="N833" s="56" t="str">
        <f aca="false">IF(INDEX(BookTitle,828)="","",INDEX(BookTotal,828)*'5. Scenarios'!$D$6/(1+ProductivityDefault*('5. Scenarios'!$D$11-1)))</f>
        <v/>
      </c>
      <c r="O833" s="57" t="str">
        <f aca="false">IF($N833="","",INDEX(BookRate,828)*(1+'5. Scenarios'!$D$10)*$N833)</f>
        <v/>
      </c>
      <c r="P833" s="57" t="str">
        <f aca="false">IF($O833="","",SUMIFS($O$6:$O$2405,$A$6:$A$2405,"&lt;="&amp;$A833))</f>
        <v/>
      </c>
      <c r="Q833" s="57" t="str">
        <f aca="false">IF($O833="","",IF($P833&lt;=BankCostEnvelope*'5. Scenarios'!$D$7,1,0))</f>
        <v/>
      </c>
      <c r="R833" s="57" t="str">
        <f aca="false">IF($N833="","",INDEX(BookRate,828)*(1+'5. Scenarios'!$D$10)*(INDEX(BookQ1,828)*(5-MIN(4,1+'5. Scenarios'!$D$8))/4+INDEX(BookQ2,828)*(5-MIN(4,2+'5. Scenarios'!$D$8))/4+INDEX(BookQ3,828)*(5-MIN(4,3+'5. Scenarios'!$D$8))/4+INDEX(BookQ4,828)*(5-MIN(4,4+'5. Scenarios'!$D$8))/4)*'5. Scenarios'!$D$6/(1+ProductivityDefault*('5. Scenarios'!$D$11-1))+INDEX(BookOneOff,828)*$N833)</f>
        <v/>
      </c>
      <c r="S833" s="56" t="str">
        <f aca="false">IF(INDEX(BookTitle,828)="","",INDEX(BookTotal,828)*'5. Scenarios'!$E$6/(1+ProductivityDefault*('5. Scenarios'!$E$11-1)))</f>
        <v/>
      </c>
      <c r="T833" s="57" t="str">
        <f aca="false">IF($S833="","",INDEX(BookRate,828)*(1+'5. Scenarios'!$E$10)*$S833)</f>
        <v/>
      </c>
      <c r="U833" s="57" t="str">
        <f aca="false">IF($T833="","",SUMIFS($T$6:$T$2405,$A$6:$A$2405,"&lt;="&amp;$A833))</f>
        <v/>
      </c>
      <c r="V833" s="57" t="str">
        <f aca="false">IF($T833="","",IF($U833&lt;=BankCostEnvelope*'5. Scenarios'!$E$7,1,0))</f>
        <v/>
      </c>
      <c r="W833" s="57" t="str">
        <f aca="false">IF($S833="","",INDEX(BookRate,828)*(1+'5. Scenarios'!$E$10)*(INDEX(BookQ1,828)*(5-MIN(4,1+'5. Scenarios'!$E$8))/4+INDEX(BookQ2,828)*(5-MIN(4,2+'5. Scenarios'!$E$8))/4+INDEX(BookQ3,828)*(5-MIN(4,3+'5. Scenarios'!$E$8))/4+INDEX(BookQ4,828)*(5-MIN(4,4+'5. Scenarios'!$E$8))/4)*'5. Scenarios'!$E$6/(1+ProductivityDefault*('5. Scenarios'!$E$11-1))+INDEX(BookOneOff,828)*$S833)</f>
        <v/>
      </c>
    </row>
    <row r="834" customFormat="false" ht="15" hidden="false" customHeight="false" outlineLevel="0" collapsed="false">
      <c r="A834" s="0" t="str">
        <f aca="false">IF(INDEX(BookTitle,829)="","",INDEX(BookKey,829))</f>
        <v/>
      </c>
      <c r="B834" s="0" t="str">
        <f aca="false">IF(INDEX(BookTitle,829)="","",INDEX(BookGroup,829))</f>
        <v/>
      </c>
      <c r="C834" s="0" t="str">
        <f aca="false">IF(INDEX(BookTitle,829)="","",INDEX(BookCategory,829))</f>
        <v/>
      </c>
      <c r="D834" s="56" t="str">
        <f aca="false">IF(INDEX(BookTitle,829)="","",INDEX(BookTotal,829)*'5. Scenarios'!$B$6/(1+ProductivityDefault*('5. Scenarios'!$B$11-1)))</f>
        <v/>
      </c>
      <c r="E834" s="57" t="str">
        <f aca="false">IF($D834="","",INDEX(BookRate,829)*(1+'5. Scenarios'!$B$10)*$D834)</f>
        <v/>
      </c>
      <c r="F834" s="57" t="str">
        <f aca="false">IF($E834="","",SUMIFS($E$6:$E$2405,$A$6:$A$2405,"&lt;="&amp;$A834))</f>
        <v/>
      </c>
      <c r="G834" s="57" t="str">
        <f aca="false">IF($E834="","",IF($F834&lt;=BankCostEnvelope*'5. Scenarios'!$B$7,1,0))</f>
        <v/>
      </c>
      <c r="H834" s="57" t="str">
        <f aca="false">IF($D834="","",INDEX(BookRate,829)*(1+'5. Scenarios'!$B$10)*(INDEX(BookQ1,829)*(5-MIN(4,1+'5. Scenarios'!$B$8))/4+INDEX(BookQ2,829)*(5-MIN(4,2+'5. Scenarios'!$B$8))/4+INDEX(BookQ3,829)*(5-MIN(4,3+'5. Scenarios'!$B$8))/4+INDEX(BookQ4,829)*(5-MIN(4,4+'5. Scenarios'!$B$8))/4)*'5. Scenarios'!$B$6/(1+ProductivityDefault*('5. Scenarios'!$B$11-1))+INDEX(BookOneOff,829)*$D834)</f>
        <v/>
      </c>
      <c r="I834" s="56" t="str">
        <f aca="false">IF(INDEX(BookTitle,829)="","",INDEX(BookTotal,829)*'5. Scenarios'!$C$6/(1+ProductivityDefault*('5. Scenarios'!$C$11-1)))</f>
        <v/>
      </c>
      <c r="J834" s="57" t="str">
        <f aca="false">IF($I834="","",INDEX(BookRate,829)*(1+'5. Scenarios'!$C$10)*$I834)</f>
        <v/>
      </c>
      <c r="K834" s="57" t="str">
        <f aca="false">IF($J834="","",SUMIFS($J$6:$J$2405,$A$6:$A$2405,"&lt;="&amp;$A834))</f>
        <v/>
      </c>
      <c r="L834" s="57" t="str">
        <f aca="false">IF($J834="","",IF($K834&lt;=BankCostEnvelope*'5. Scenarios'!$C$7,1,0))</f>
        <v/>
      </c>
      <c r="M834" s="57" t="str">
        <f aca="false">IF($I834="","",INDEX(BookRate,829)*(1+'5. Scenarios'!$C$10)*(INDEX(BookQ1,829)*(5-MIN(4,1+'5. Scenarios'!$C$8))/4+INDEX(BookQ2,829)*(5-MIN(4,2+'5. Scenarios'!$C$8))/4+INDEX(BookQ3,829)*(5-MIN(4,3+'5. Scenarios'!$C$8))/4+INDEX(BookQ4,829)*(5-MIN(4,4+'5. Scenarios'!$C$8))/4)*'5. Scenarios'!$C$6/(1+ProductivityDefault*('5. Scenarios'!$C$11-1))+INDEX(BookOneOff,829)*$I834)</f>
        <v/>
      </c>
      <c r="N834" s="56" t="str">
        <f aca="false">IF(INDEX(BookTitle,829)="","",INDEX(BookTotal,829)*'5. Scenarios'!$D$6/(1+ProductivityDefault*('5. Scenarios'!$D$11-1)))</f>
        <v/>
      </c>
      <c r="O834" s="57" t="str">
        <f aca="false">IF($N834="","",INDEX(BookRate,829)*(1+'5. Scenarios'!$D$10)*$N834)</f>
        <v/>
      </c>
      <c r="P834" s="57" t="str">
        <f aca="false">IF($O834="","",SUMIFS($O$6:$O$2405,$A$6:$A$2405,"&lt;="&amp;$A834))</f>
        <v/>
      </c>
      <c r="Q834" s="57" t="str">
        <f aca="false">IF($O834="","",IF($P834&lt;=BankCostEnvelope*'5. Scenarios'!$D$7,1,0))</f>
        <v/>
      </c>
      <c r="R834" s="57" t="str">
        <f aca="false">IF($N834="","",INDEX(BookRate,829)*(1+'5. Scenarios'!$D$10)*(INDEX(BookQ1,829)*(5-MIN(4,1+'5. Scenarios'!$D$8))/4+INDEX(BookQ2,829)*(5-MIN(4,2+'5. Scenarios'!$D$8))/4+INDEX(BookQ3,829)*(5-MIN(4,3+'5. Scenarios'!$D$8))/4+INDEX(BookQ4,829)*(5-MIN(4,4+'5. Scenarios'!$D$8))/4)*'5. Scenarios'!$D$6/(1+ProductivityDefault*('5. Scenarios'!$D$11-1))+INDEX(BookOneOff,829)*$N834)</f>
        <v/>
      </c>
      <c r="S834" s="56" t="str">
        <f aca="false">IF(INDEX(BookTitle,829)="","",INDEX(BookTotal,829)*'5. Scenarios'!$E$6/(1+ProductivityDefault*('5. Scenarios'!$E$11-1)))</f>
        <v/>
      </c>
      <c r="T834" s="57" t="str">
        <f aca="false">IF($S834="","",INDEX(BookRate,829)*(1+'5. Scenarios'!$E$10)*$S834)</f>
        <v/>
      </c>
      <c r="U834" s="57" t="str">
        <f aca="false">IF($T834="","",SUMIFS($T$6:$T$2405,$A$6:$A$2405,"&lt;="&amp;$A834))</f>
        <v/>
      </c>
      <c r="V834" s="57" t="str">
        <f aca="false">IF($T834="","",IF($U834&lt;=BankCostEnvelope*'5. Scenarios'!$E$7,1,0))</f>
        <v/>
      </c>
      <c r="W834" s="57" t="str">
        <f aca="false">IF($S834="","",INDEX(BookRate,829)*(1+'5. Scenarios'!$E$10)*(INDEX(BookQ1,829)*(5-MIN(4,1+'5. Scenarios'!$E$8))/4+INDEX(BookQ2,829)*(5-MIN(4,2+'5. Scenarios'!$E$8))/4+INDEX(BookQ3,829)*(5-MIN(4,3+'5. Scenarios'!$E$8))/4+INDEX(BookQ4,829)*(5-MIN(4,4+'5. Scenarios'!$E$8))/4)*'5. Scenarios'!$E$6/(1+ProductivityDefault*('5. Scenarios'!$E$11-1))+INDEX(BookOneOff,829)*$S834)</f>
        <v/>
      </c>
    </row>
    <row r="835" customFormat="false" ht="15" hidden="false" customHeight="false" outlineLevel="0" collapsed="false">
      <c r="A835" s="0" t="str">
        <f aca="false">IF(INDEX(BookTitle,830)="","",INDEX(BookKey,830))</f>
        <v/>
      </c>
      <c r="B835" s="0" t="str">
        <f aca="false">IF(INDEX(BookTitle,830)="","",INDEX(BookGroup,830))</f>
        <v/>
      </c>
      <c r="C835" s="0" t="str">
        <f aca="false">IF(INDEX(BookTitle,830)="","",INDEX(BookCategory,830))</f>
        <v/>
      </c>
      <c r="D835" s="56" t="str">
        <f aca="false">IF(INDEX(BookTitle,830)="","",INDEX(BookTotal,830)*'5. Scenarios'!$B$6/(1+ProductivityDefault*('5. Scenarios'!$B$11-1)))</f>
        <v/>
      </c>
      <c r="E835" s="57" t="str">
        <f aca="false">IF($D835="","",INDEX(BookRate,830)*(1+'5. Scenarios'!$B$10)*$D835)</f>
        <v/>
      </c>
      <c r="F835" s="57" t="str">
        <f aca="false">IF($E835="","",SUMIFS($E$6:$E$2405,$A$6:$A$2405,"&lt;="&amp;$A835))</f>
        <v/>
      </c>
      <c r="G835" s="57" t="str">
        <f aca="false">IF($E835="","",IF($F835&lt;=BankCostEnvelope*'5. Scenarios'!$B$7,1,0))</f>
        <v/>
      </c>
      <c r="H835" s="57" t="str">
        <f aca="false">IF($D835="","",INDEX(BookRate,830)*(1+'5. Scenarios'!$B$10)*(INDEX(BookQ1,830)*(5-MIN(4,1+'5. Scenarios'!$B$8))/4+INDEX(BookQ2,830)*(5-MIN(4,2+'5. Scenarios'!$B$8))/4+INDEX(BookQ3,830)*(5-MIN(4,3+'5. Scenarios'!$B$8))/4+INDEX(BookQ4,830)*(5-MIN(4,4+'5. Scenarios'!$B$8))/4)*'5. Scenarios'!$B$6/(1+ProductivityDefault*('5. Scenarios'!$B$11-1))+INDEX(BookOneOff,830)*$D835)</f>
        <v/>
      </c>
      <c r="I835" s="56" t="str">
        <f aca="false">IF(INDEX(BookTitle,830)="","",INDEX(BookTotal,830)*'5. Scenarios'!$C$6/(1+ProductivityDefault*('5. Scenarios'!$C$11-1)))</f>
        <v/>
      </c>
      <c r="J835" s="57" t="str">
        <f aca="false">IF($I835="","",INDEX(BookRate,830)*(1+'5. Scenarios'!$C$10)*$I835)</f>
        <v/>
      </c>
      <c r="K835" s="57" t="str">
        <f aca="false">IF($J835="","",SUMIFS($J$6:$J$2405,$A$6:$A$2405,"&lt;="&amp;$A835))</f>
        <v/>
      </c>
      <c r="L835" s="57" t="str">
        <f aca="false">IF($J835="","",IF($K835&lt;=BankCostEnvelope*'5. Scenarios'!$C$7,1,0))</f>
        <v/>
      </c>
      <c r="M835" s="57" t="str">
        <f aca="false">IF($I835="","",INDEX(BookRate,830)*(1+'5. Scenarios'!$C$10)*(INDEX(BookQ1,830)*(5-MIN(4,1+'5. Scenarios'!$C$8))/4+INDEX(BookQ2,830)*(5-MIN(4,2+'5. Scenarios'!$C$8))/4+INDEX(BookQ3,830)*(5-MIN(4,3+'5. Scenarios'!$C$8))/4+INDEX(BookQ4,830)*(5-MIN(4,4+'5. Scenarios'!$C$8))/4)*'5. Scenarios'!$C$6/(1+ProductivityDefault*('5. Scenarios'!$C$11-1))+INDEX(BookOneOff,830)*$I835)</f>
        <v/>
      </c>
      <c r="N835" s="56" t="str">
        <f aca="false">IF(INDEX(BookTitle,830)="","",INDEX(BookTotal,830)*'5. Scenarios'!$D$6/(1+ProductivityDefault*('5. Scenarios'!$D$11-1)))</f>
        <v/>
      </c>
      <c r="O835" s="57" t="str">
        <f aca="false">IF($N835="","",INDEX(BookRate,830)*(1+'5. Scenarios'!$D$10)*$N835)</f>
        <v/>
      </c>
      <c r="P835" s="57" t="str">
        <f aca="false">IF($O835="","",SUMIFS($O$6:$O$2405,$A$6:$A$2405,"&lt;="&amp;$A835))</f>
        <v/>
      </c>
      <c r="Q835" s="57" t="str">
        <f aca="false">IF($O835="","",IF($P835&lt;=BankCostEnvelope*'5. Scenarios'!$D$7,1,0))</f>
        <v/>
      </c>
      <c r="R835" s="57" t="str">
        <f aca="false">IF($N835="","",INDEX(BookRate,830)*(1+'5. Scenarios'!$D$10)*(INDEX(BookQ1,830)*(5-MIN(4,1+'5. Scenarios'!$D$8))/4+INDEX(BookQ2,830)*(5-MIN(4,2+'5. Scenarios'!$D$8))/4+INDEX(BookQ3,830)*(5-MIN(4,3+'5. Scenarios'!$D$8))/4+INDEX(BookQ4,830)*(5-MIN(4,4+'5. Scenarios'!$D$8))/4)*'5. Scenarios'!$D$6/(1+ProductivityDefault*('5. Scenarios'!$D$11-1))+INDEX(BookOneOff,830)*$N835)</f>
        <v/>
      </c>
      <c r="S835" s="56" t="str">
        <f aca="false">IF(INDEX(BookTitle,830)="","",INDEX(BookTotal,830)*'5. Scenarios'!$E$6/(1+ProductivityDefault*('5. Scenarios'!$E$11-1)))</f>
        <v/>
      </c>
      <c r="T835" s="57" t="str">
        <f aca="false">IF($S835="","",INDEX(BookRate,830)*(1+'5. Scenarios'!$E$10)*$S835)</f>
        <v/>
      </c>
      <c r="U835" s="57" t="str">
        <f aca="false">IF($T835="","",SUMIFS($T$6:$T$2405,$A$6:$A$2405,"&lt;="&amp;$A835))</f>
        <v/>
      </c>
      <c r="V835" s="57" t="str">
        <f aca="false">IF($T835="","",IF($U835&lt;=BankCostEnvelope*'5. Scenarios'!$E$7,1,0))</f>
        <v/>
      </c>
      <c r="W835" s="57" t="str">
        <f aca="false">IF($S835="","",INDEX(BookRate,830)*(1+'5. Scenarios'!$E$10)*(INDEX(BookQ1,830)*(5-MIN(4,1+'5. Scenarios'!$E$8))/4+INDEX(BookQ2,830)*(5-MIN(4,2+'5. Scenarios'!$E$8))/4+INDEX(BookQ3,830)*(5-MIN(4,3+'5. Scenarios'!$E$8))/4+INDEX(BookQ4,830)*(5-MIN(4,4+'5. Scenarios'!$E$8))/4)*'5. Scenarios'!$E$6/(1+ProductivityDefault*('5. Scenarios'!$E$11-1))+INDEX(BookOneOff,830)*$S835)</f>
        <v/>
      </c>
    </row>
    <row r="836" customFormat="false" ht="15" hidden="false" customHeight="false" outlineLevel="0" collapsed="false">
      <c r="A836" s="0" t="str">
        <f aca="false">IF(INDEX(BookTitle,831)="","",INDEX(BookKey,831))</f>
        <v/>
      </c>
      <c r="B836" s="0" t="str">
        <f aca="false">IF(INDEX(BookTitle,831)="","",INDEX(BookGroup,831))</f>
        <v/>
      </c>
      <c r="C836" s="0" t="str">
        <f aca="false">IF(INDEX(BookTitle,831)="","",INDEX(BookCategory,831))</f>
        <v/>
      </c>
      <c r="D836" s="56" t="str">
        <f aca="false">IF(INDEX(BookTitle,831)="","",INDEX(BookTotal,831)*'5. Scenarios'!$B$6/(1+ProductivityDefault*('5. Scenarios'!$B$11-1)))</f>
        <v/>
      </c>
      <c r="E836" s="57" t="str">
        <f aca="false">IF($D836="","",INDEX(BookRate,831)*(1+'5. Scenarios'!$B$10)*$D836)</f>
        <v/>
      </c>
      <c r="F836" s="57" t="str">
        <f aca="false">IF($E836="","",SUMIFS($E$6:$E$2405,$A$6:$A$2405,"&lt;="&amp;$A836))</f>
        <v/>
      </c>
      <c r="G836" s="57" t="str">
        <f aca="false">IF($E836="","",IF($F836&lt;=BankCostEnvelope*'5. Scenarios'!$B$7,1,0))</f>
        <v/>
      </c>
      <c r="H836" s="57" t="str">
        <f aca="false">IF($D836="","",INDEX(BookRate,831)*(1+'5. Scenarios'!$B$10)*(INDEX(BookQ1,831)*(5-MIN(4,1+'5. Scenarios'!$B$8))/4+INDEX(BookQ2,831)*(5-MIN(4,2+'5. Scenarios'!$B$8))/4+INDEX(BookQ3,831)*(5-MIN(4,3+'5. Scenarios'!$B$8))/4+INDEX(BookQ4,831)*(5-MIN(4,4+'5. Scenarios'!$B$8))/4)*'5. Scenarios'!$B$6/(1+ProductivityDefault*('5. Scenarios'!$B$11-1))+INDEX(BookOneOff,831)*$D836)</f>
        <v/>
      </c>
      <c r="I836" s="56" t="str">
        <f aca="false">IF(INDEX(BookTitle,831)="","",INDEX(BookTotal,831)*'5. Scenarios'!$C$6/(1+ProductivityDefault*('5. Scenarios'!$C$11-1)))</f>
        <v/>
      </c>
      <c r="J836" s="57" t="str">
        <f aca="false">IF($I836="","",INDEX(BookRate,831)*(1+'5. Scenarios'!$C$10)*$I836)</f>
        <v/>
      </c>
      <c r="K836" s="57" t="str">
        <f aca="false">IF($J836="","",SUMIFS($J$6:$J$2405,$A$6:$A$2405,"&lt;="&amp;$A836))</f>
        <v/>
      </c>
      <c r="L836" s="57" t="str">
        <f aca="false">IF($J836="","",IF($K836&lt;=BankCostEnvelope*'5. Scenarios'!$C$7,1,0))</f>
        <v/>
      </c>
      <c r="M836" s="57" t="str">
        <f aca="false">IF($I836="","",INDEX(BookRate,831)*(1+'5. Scenarios'!$C$10)*(INDEX(BookQ1,831)*(5-MIN(4,1+'5. Scenarios'!$C$8))/4+INDEX(BookQ2,831)*(5-MIN(4,2+'5. Scenarios'!$C$8))/4+INDEX(BookQ3,831)*(5-MIN(4,3+'5. Scenarios'!$C$8))/4+INDEX(BookQ4,831)*(5-MIN(4,4+'5. Scenarios'!$C$8))/4)*'5. Scenarios'!$C$6/(1+ProductivityDefault*('5. Scenarios'!$C$11-1))+INDEX(BookOneOff,831)*$I836)</f>
        <v/>
      </c>
      <c r="N836" s="56" t="str">
        <f aca="false">IF(INDEX(BookTitle,831)="","",INDEX(BookTotal,831)*'5. Scenarios'!$D$6/(1+ProductivityDefault*('5. Scenarios'!$D$11-1)))</f>
        <v/>
      </c>
      <c r="O836" s="57" t="str">
        <f aca="false">IF($N836="","",INDEX(BookRate,831)*(1+'5. Scenarios'!$D$10)*$N836)</f>
        <v/>
      </c>
      <c r="P836" s="57" t="str">
        <f aca="false">IF($O836="","",SUMIFS($O$6:$O$2405,$A$6:$A$2405,"&lt;="&amp;$A836))</f>
        <v/>
      </c>
      <c r="Q836" s="57" t="str">
        <f aca="false">IF($O836="","",IF($P836&lt;=BankCostEnvelope*'5. Scenarios'!$D$7,1,0))</f>
        <v/>
      </c>
      <c r="R836" s="57" t="str">
        <f aca="false">IF($N836="","",INDEX(BookRate,831)*(1+'5. Scenarios'!$D$10)*(INDEX(BookQ1,831)*(5-MIN(4,1+'5. Scenarios'!$D$8))/4+INDEX(BookQ2,831)*(5-MIN(4,2+'5. Scenarios'!$D$8))/4+INDEX(BookQ3,831)*(5-MIN(4,3+'5. Scenarios'!$D$8))/4+INDEX(BookQ4,831)*(5-MIN(4,4+'5. Scenarios'!$D$8))/4)*'5. Scenarios'!$D$6/(1+ProductivityDefault*('5. Scenarios'!$D$11-1))+INDEX(BookOneOff,831)*$N836)</f>
        <v/>
      </c>
      <c r="S836" s="56" t="str">
        <f aca="false">IF(INDEX(BookTitle,831)="","",INDEX(BookTotal,831)*'5. Scenarios'!$E$6/(1+ProductivityDefault*('5. Scenarios'!$E$11-1)))</f>
        <v/>
      </c>
      <c r="T836" s="57" t="str">
        <f aca="false">IF($S836="","",INDEX(BookRate,831)*(1+'5. Scenarios'!$E$10)*$S836)</f>
        <v/>
      </c>
      <c r="U836" s="57" t="str">
        <f aca="false">IF($T836="","",SUMIFS($T$6:$T$2405,$A$6:$A$2405,"&lt;="&amp;$A836))</f>
        <v/>
      </c>
      <c r="V836" s="57" t="str">
        <f aca="false">IF($T836="","",IF($U836&lt;=BankCostEnvelope*'5. Scenarios'!$E$7,1,0))</f>
        <v/>
      </c>
      <c r="W836" s="57" t="str">
        <f aca="false">IF($S836="","",INDEX(BookRate,831)*(1+'5. Scenarios'!$E$10)*(INDEX(BookQ1,831)*(5-MIN(4,1+'5. Scenarios'!$E$8))/4+INDEX(BookQ2,831)*(5-MIN(4,2+'5. Scenarios'!$E$8))/4+INDEX(BookQ3,831)*(5-MIN(4,3+'5. Scenarios'!$E$8))/4+INDEX(BookQ4,831)*(5-MIN(4,4+'5. Scenarios'!$E$8))/4)*'5. Scenarios'!$E$6/(1+ProductivityDefault*('5. Scenarios'!$E$11-1))+INDEX(BookOneOff,831)*$S836)</f>
        <v/>
      </c>
    </row>
    <row r="837" customFormat="false" ht="15" hidden="false" customHeight="false" outlineLevel="0" collapsed="false">
      <c r="A837" s="0" t="str">
        <f aca="false">IF(INDEX(BookTitle,832)="","",INDEX(BookKey,832))</f>
        <v/>
      </c>
      <c r="B837" s="0" t="str">
        <f aca="false">IF(INDEX(BookTitle,832)="","",INDEX(BookGroup,832))</f>
        <v/>
      </c>
      <c r="C837" s="0" t="str">
        <f aca="false">IF(INDEX(BookTitle,832)="","",INDEX(BookCategory,832))</f>
        <v/>
      </c>
      <c r="D837" s="56" t="str">
        <f aca="false">IF(INDEX(BookTitle,832)="","",INDEX(BookTotal,832)*'5. Scenarios'!$B$6/(1+ProductivityDefault*('5. Scenarios'!$B$11-1)))</f>
        <v/>
      </c>
      <c r="E837" s="57" t="str">
        <f aca="false">IF($D837="","",INDEX(BookRate,832)*(1+'5. Scenarios'!$B$10)*$D837)</f>
        <v/>
      </c>
      <c r="F837" s="57" t="str">
        <f aca="false">IF($E837="","",SUMIFS($E$6:$E$2405,$A$6:$A$2405,"&lt;="&amp;$A837))</f>
        <v/>
      </c>
      <c r="G837" s="57" t="str">
        <f aca="false">IF($E837="","",IF($F837&lt;=BankCostEnvelope*'5. Scenarios'!$B$7,1,0))</f>
        <v/>
      </c>
      <c r="H837" s="57" t="str">
        <f aca="false">IF($D837="","",INDEX(BookRate,832)*(1+'5. Scenarios'!$B$10)*(INDEX(BookQ1,832)*(5-MIN(4,1+'5. Scenarios'!$B$8))/4+INDEX(BookQ2,832)*(5-MIN(4,2+'5. Scenarios'!$B$8))/4+INDEX(BookQ3,832)*(5-MIN(4,3+'5. Scenarios'!$B$8))/4+INDEX(BookQ4,832)*(5-MIN(4,4+'5. Scenarios'!$B$8))/4)*'5. Scenarios'!$B$6/(1+ProductivityDefault*('5. Scenarios'!$B$11-1))+INDEX(BookOneOff,832)*$D837)</f>
        <v/>
      </c>
      <c r="I837" s="56" t="str">
        <f aca="false">IF(INDEX(BookTitle,832)="","",INDEX(BookTotal,832)*'5. Scenarios'!$C$6/(1+ProductivityDefault*('5. Scenarios'!$C$11-1)))</f>
        <v/>
      </c>
      <c r="J837" s="57" t="str">
        <f aca="false">IF($I837="","",INDEX(BookRate,832)*(1+'5. Scenarios'!$C$10)*$I837)</f>
        <v/>
      </c>
      <c r="K837" s="57" t="str">
        <f aca="false">IF($J837="","",SUMIFS($J$6:$J$2405,$A$6:$A$2405,"&lt;="&amp;$A837))</f>
        <v/>
      </c>
      <c r="L837" s="57" t="str">
        <f aca="false">IF($J837="","",IF($K837&lt;=BankCostEnvelope*'5. Scenarios'!$C$7,1,0))</f>
        <v/>
      </c>
      <c r="M837" s="57" t="str">
        <f aca="false">IF($I837="","",INDEX(BookRate,832)*(1+'5. Scenarios'!$C$10)*(INDEX(BookQ1,832)*(5-MIN(4,1+'5. Scenarios'!$C$8))/4+INDEX(BookQ2,832)*(5-MIN(4,2+'5. Scenarios'!$C$8))/4+INDEX(BookQ3,832)*(5-MIN(4,3+'5. Scenarios'!$C$8))/4+INDEX(BookQ4,832)*(5-MIN(4,4+'5. Scenarios'!$C$8))/4)*'5. Scenarios'!$C$6/(1+ProductivityDefault*('5. Scenarios'!$C$11-1))+INDEX(BookOneOff,832)*$I837)</f>
        <v/>
      </c>
      <c r="N837" s="56" t="str">
        <f aca="false">IF(INDEX(BookTitle,832)="","",INDEX(BookTotal,832)*'5. Scenarios'!$D$6/(1+ProductivityDefault*('5. Scenarios'!$D$11-1)))</f>
        <v/>
      </c>
      <c r="O837" s="57" t="str">
        <f aca="false">IF($N837="","",INDEX(BookRate,832)*(1+'5. Scenarios'!$D$10)*$N837)</f>
        <v/>
      </c>
      <c r="P837" s="57" t="str">
        <f aca="false">IF($O837="","",SUMIFS($O$6:$O$2405,$A$6:$A$2405,"&lt;="&amp;$A837))</f>
        <v/>
      </c>
      <c r="Q837" s="57" t="str">
        <f aca="false">IF($O837="","",IF($P837&lt;=BankCostEnvelope*'5. Scenarios'!$D$7,1,0))</f>
        <v/>
      </c>
      <c r="R837" s="57" t="str">
        <f aca="false">IF($N837="","",INDEX(BookRate,832)*(1+'5. Scenarios'!$D$10)*(INDEX(BookQ1,832)*(5-MIN(4,1+'5. Scenarios'!$D$8))/4+INDEX(BookQ2,832)*(5-MIN(4,2+'5. Scenarios'!$D$8))/4+INDEX(BookQ3,832)*(5-MIN(4,3+'5. Scenarios'!$D$8))/4+INDEX(BookQ4,832)*(5-MIN(4,4+'5. Scenarios'!$D$8))/4)*'5. Scenarios'!$D$6/(1+ProductivityDefault*('5. Scenarios'!$D$11-1))+INDEX(BookOneOff,832)*$N837)</f>
        <v/>
      </c>
      <c r="S837" s="56" t="str">
        <f aca="false">IF(INDEX(BookTitle,832)="","",INDEX(BookTotal,832)*'5. Scenarios'!$E$6/(1+ProductivityDefault*('5. Scenarios'!$E$11-1)))</f>
        <v/>
      </c>
      <c r="T837" s="57" t="str">
        <f aca="false">IF($S837="","",INDEX(BookRate,832)*(1+'5. Scenarios'!$E$10)*$S837)</f>
        <v/>
      </c>
      <c r="U837" s="57" t="str">
        <f aca="false">IF($T837="","",SUMIFS($T$6:$T$2405,$A$6:$A$2405,"&lt;="&amp;$A837))</f>
        <v/>
      </c>
      <c r="V837" s="57" t="str">
        <f aca="false">IF($T837="","",IF($U837&lt;=BankCostEnvelope*'5. Scenarios'!$E$7,1,0))</f>
        <v/>
      </c>
      <c r="W837" s="57" t="str">
        <f aca="false">IF($S837="","",INDEX(BookRate,832)*(1+'5. Scenarios'!$E$10)*(INDEX(BookQ1,832)*(5-MIN(4,1+'5. Scenarios'!$E$8))/4+INDEX(BookQ2,832)*(5-MIN(4,2+'5. Scenarios'!$E$8))/4+INDEX(BookQ3,832)*(5-MIN(4,3+'5. Scenarios'!$E$8))/4+INDEX(BookQ4,832)*(5-MIN(4,4+'5. Scenarios'!$E$8))/4)*'5. Scenarios'!$E$6/(1+ProductivityDefault*('5. Scenarios'!$E$11-1))+INDEX(BookOneOff,832)*$S837)</f>
        <v/>
      </c>
    </row>
    <row r="838" customFormat="false" ht="15" hidden="false" customHeight="false" outlineLevel="0" collapsed="false">
      <c r="A838" s="0" t="str">
        <f aca="false">IF(INDEX(BookTitle,833)="","",INDEX(BookKey,833))</f>
        <v/>
      </c>
      <c r="B838" s="0" t="str">
        <f aca="false">IF(INDEX(BookTitle,833)="","",INDEX(BookGroup,833))</f>
        <v/>
      </c>
      <c r="C838" s="0" t="str">
        <f aca="false">IF(INDEX(BookTitle,833)="","",INDEX(BookCategory,833))</f>
        <v/>
      </c>
      <c r="D838" s="56" t="str">
        <f aca="false">IF(INDEX(BookTitle,833)="","",INDEX(BookTotal,833)*'5. Scenarios'!$B$6/(1+ProductivityDefault*('5. Scenarios'!$B$11-1)))</f>
        <v/>
      </c>
      <c r="E838" s="57" t="str">
        <f aca="false">IF($D838="","",INDEX(BookRate,833)*(1+'5. Scenarios'!$B$10)*$D838)</f>
        <v/>
      </c>
      <c r="F838" s="57" t="str">
        <f aca="false">IF($E838="","",SUMIFS($E$6:$E$2405,$A$6:$A$2405,"&lt;="&amp;$A838))</f>
        <v/>
      </c>
      <c r="G838" s="57" t="str">
        <f aca="false">IF($E838="","",IF($F838&lt;=BankCostEnvelope*'5. Scenarios'!$B$7,1,0))</f>
        <v/>
      </c>
      <c r="H838" s="57" t="str">
        <f aca="false">IF($D838="","",INDEX(BookRate,833)*(1+'5. Scenarios'!$B$10)*(INDEX(BookQ1,833)*(5-MIN(4,1+'5. Scenarios'!$B$8))/4+INDEX(BookQ2,833)*(5-MIN(4,2+'5. Scenarios'!$B$8))/4+INDEX(BookQ3,833)*(5-MIN(4,3+'5. Scenarios'!$B$8))/4+INDEX(BookQ4,833)*(5-MIN(4,4+'5. Scenarios'!$B$8))/4)*'5. Scenarios'!$B$6/(1+ProductivityDefault*('5. Scenarios'!$B$11-1))+INDEX(BookOneOff,833)*$D838)</f>
        <v/>
      </c>
      <c r="I838" s="56" t="str">
        <f aca="false">IF(INDEX(BookTitle,833)="","",INDEX(BookTotal,833)*'5. Scenarios'!$C$6/(1+ProductivityDefault*('5. Scenarios'!$C$11-1)))</f>
        <v/>
      </c>
      <c r="J838" s="57" t="str">
        <f aca="false">IF($I838="","",INDEX(BookRate,833)*(1+'5. Scenarios'!$C$10)*$I838)</f>
        <v/>
      </c>
      <c r="K838" s="57" t="str">
        <f aca="false">IF($J838="","",SUMIFS($J$6:$J$2405,$A$6:$A$2405,"&lt;="&amp;$A838))</f>
        <v/>
      </c>
      <c r="L838" s="57" t="str">
        <f aca="false">IF($J838="","",IF($K838&lt;=BankCostEnvelope*'5. Scenarios'!$C$7,1,0))</f>
        <v/>
      </c>
      <c r="M838" s="57" t="str">
        <f aca="false">IF($I838="","",INDEX(BookRate,833)*(1+'5. Scenarios'!$C$10)*(INDEX(BookQ1,833)*(5-MIN(4,1+'5. Scenarios'!$C$8))/4+INDEX(BookQ2,833)*(5-MIN(4,2+'5. Scenarios'!$C$8))/4+INDEX(BookQ3,833)*(5-MIN(4,3+'5. Scenarios'!$C$8))/4+INDEX(BookQ4,833)*(5-MIN(4,4+'5. Scenarios'!$C$8))/4)*'5. Scenarios'!$C$6/(1+ProductivityDefault*('5. Scenarios'!$C$11-1))+INDEX(BookOneOff,833)*$I838)</f>
        <v/>
      </c>
      <c r="N838" s="56" t="str">
        <f aca="false">IF(INDEX(BookTitle,833)="","",INDEX(BookTotal,833)*'5. Scenarios'!$D$6/(1+ProductivityDefault*('5. Scenarios'!$D$11-1)))</f>
        <v/>
      </c>
      <c r="O838" s="57" t="str">
        <f aca="false">IF($N838="","",INDEX(BookRate,833)*(1+'5. Scenarios'!$D$10)*$N838)</f>
        <v/>
      </c>
      <c r="P838" s="57" t="str">
        <f aca="false">IF($O838="","",SUMIFS($O$6:$O$2405,$A$6:$A$2405,"&lt;="&amp;$A838))</f>
        <v/>
      </c>
      <c r="Q838" s="57" t="str">
        <f aca="false">IF($O838="","",IF($P838&lt;=BankCostEnvelope*'5. Scenarios'!$D$7,1,0))</f>
        <v/>
      </c>
      <c r="R838" s="57" t="str">
        <f aca="false">IF($N838="","",INDEX(BookRate,833)*(1+'5. Scenarios'!$D$10)*(INDEX(BookQ1,833)*(5-MIN(4,1+'5. Scenarios'!$D$8))/4+INDEX(BookQ2,833)*(5-MIN(4,2+'5. Scenarios'!$D$8))/4+INDEX(BookQ3,833)*(5-MIN(4,3+'5. Scenarios'!$D$8))/4+INDEX(BookQ4,833)*(5-MIN(4,4+'5. Scenarios'!$D$8))/4)*'5. Scenarios'!$D$6/(1+ProductivityDefault*('5. Scenarios'!$D$11-1))+INDEX(BookOneOff,833)*$N838)</f>
        <v/>
      </c>
      <c r="S838" s="56" t="str">
        <f aca="false">IF(INDEX(BookTitle,833)="","",INDEX(BookTotal,833)*'5. Scenarios'!$E$6/(1+ProductivityDefault*('5. Scenarios'!$E$11-1)))</f>
        <v/>
      </c>
      <c r="T838" s="57" t="str">
        <f aca="false">IF($S838="","",INDEX(BookRate,833)*(1+'5. Scenarios'!$E$10)*$S838)</f>
        <v/>
      </c>
      <c r="U838" s="57" t="str">
        <f aca="false">IF($T838="","",SUMIFS($T$6:$T$2405,$A$6:$A$2405,"&lt;="&amp;$A838))</f>
        <v/>
      </c>
      <c r="V838" s="57" t="str">
        <f aca="false">IF($T838="","",IF($U838&lt;=BankCostEnvelope*'5. Scenarios'!$E$7,1,0))</f>
        <v/>
      </c>
      <c r="W838" s="57" t="str">
        <f aca="false">IF($S838="","",INDEX(BookRate,833)*(1+'5. Scenarios'!$E$10)*(INDEX(BookQ1,833)*(5-MIN(4,1+'5. Scenarios'!$E$8))/4+INDEX(BookQ2,833)*(5-MIN(4,2+'5. Scenarios'!$E$8))/4+INDEX(BookQ3,833)*(5-MIN(4,3+'5. Scenarios'!$E$8))/4+INDEX(BookQ4,833)*(5-MIN(4,4+'5. Scenarios'!$E$8))/4)*'5. Scenarios'!$E$6/(1+ProductivityDefault*('5. Scenarios'!$E$11-1))+INDEX(BookOneOff,833)*$S838)</f>
        <v/>
      </c>
    </row>
    <row r="839" customFormat="false" ht="15" hidden="false" customHeight="false" outlineLevel="0" collapsed="false">
      <c r="A839" s="0" t="str">
        <f aca="false">IF(INDEX(BookTitle,834)="","",INDEX(BookKey,834))</f>
        <v/>
      </c>
      <c r="B839" s="0" t="str">
        <f aca="false">IF(INDEX(BookTitle,834)="","",INDEX(BookGroup,834))</f>
        <v/>
      </c>
      <c r="C839" s="0" t="str">
        <f aca="false">IF(INDEX(BookTitle,834)="","",INDEX(BookCategory,834))</f>
        <v/>
      </c>
      <c r="D839" s="56" t="str">
        <f aca="false">IF(INDEX(BookTitle,834)="","",INDEX(BookTotal,834)*'5. Scenarios'!$B$6/(1+ProductivityDefault*('5. Scenarios'!$B$11-1)))</f>
        <v/>
      </c>
      <c r="E839" s="57" t="str">
        <f aca="false">IF($D839="","",INDEX(BookRate,834)*(1+'5. Scenarios'!$B$10)*$D839)</f>
        <v/>
      </c>
      <c r="F839" s="57" t="str">
        <f aca="false">IF($E839="","",SUMIFS($E$6:$E$2405,$A$6:$A$2405,"&lt;="&amp;$A839))</f>
        <v/>
      </c>
      <c r="G839" s="57" t="str">
        <f aca="false">IF($E839="","",IF($F839&lt;=BankCostEnvelope*'5. Scenarios'!$B$7,1,0))</f>
        <v/>
      </c>
      <c r="H839" s="57" t="str">
        <f aca="false">IF($D839="","",INDEX(BookRate,834)*(1+'5. Scenarios'!$B$10)*(INDEX(BookQ1,834)*(5-MIN(4,1+'5. Scenarios'!$B$8))/4+INDEX(BookQ2,834)*(5-MIN(4,2+'5. Scenarios'!$B$8))/4+INDEX(BookQ3,834)*(5-MIN(4,3+'5. Scenarios'!$B$8))/4+INDEX(BookQ4,834)*(5-MIN(4,4+'5. Scenarios'!$B$8))/4)*'5. Scenarios'!$B$6/(1+ProductivityDefault*('5. Scenarios'!$B$11-1))+INDEX(BookOneOff,834)*$D839)</f>
        <v/>
      </c>
      <c r="I839" s="56" t="str">
        <f aca="false">IF(INDEX(BookTitle,834)="","",INDEX(BookTotal,834)*'5. Scenarios'!$C$6/(1+ProductivityDefault*('5. Scenarios'!$C$11-1)))</f>
        <v/>
      </c>
      <c r="J839" s="57" t="str">
        <f aca="false">IF($I839="","",INDEX(BookRate,834)*(1+'5. Scenarios'!$C$10)*$I839)</f>
        <v/>
      </c>
      <c r="K839" s="57" t="str">
        <f aca="false">IF($J839="","",SUMIFS($J$6:$J$2405,$A$6:$A$2405,"&lt;="&amp;$A839))</f>
        <v/>
      </c>
      <c r="L839" s="57" t="str">
        <f aca="false">IF($J839="","",IF($K839&lt;=BankCostEnvelope*'5. Scenarios'!$C$7,1,0))</f>
        <v/>
      </c>
      <c r="M839" s="57" t="str">
        <f aca="false">IF($I839="","",INDEX(BookRate,834)*(1+'5. Scenarios'!$C$10)*(INDEX(BookQ1,834)*(5-MIN(4,1+'5. Scenarios'!$C$8))/4+INDEX(BookQ2,834)*(5-MIN(4,2+'5. Scenarios'!$C$8))/4+INDEX(BookQ3,834)*(5-MIN(4,3+'5. Scenarios'!$C$8))/4+INDEX(BookQ4,834)*(5-MIN(4,4+'5. Scenarios'!$C$8))/4)*'5. Scenarios'!$C$6/(1+ProductivityDefault*('5. Scenarios'!$C$11-1))+INDEX(BookOneOff,834)*$I839)</f>
        <v/>
      </c>
      <c r="N839" s="56" t="str">
        <f aca="false">IF(INDEX(BookTitle,834)="","",INDEX(BookTotal,834)*'5. Scenarios'!$D$6/(1+ProductivityDefault*('5. Scenarios'!$D$11-1)))</f>
        <v/>
      </c>
      <c r="O839" s="57" t="str">
        <f aca="false">IF($N839="","",INDEX(BookRate,834)*(1+'5. Scenarios'!$D$10)*$N839)</f>
        <v/>
      </c>
      <c r="P839" s="57" t="str">
        <f aca="false">IF($O839="","",SUMIFS($O$6:$O$2405,$A$6:$A$2405,"&lt;="&amp;$A839))</f>
        <v/>
      </c>
      <c r="Q839" s="57" t="str">
        <f aca="false">IF($O839="","",IF($P839&lt;=BankCostEnvelope*'5. Scenarios'!$D$7,1,0))</f>
        <v/>
      </c>
      <c r="R839" s="57" t="str">
        <f aca="false">IF($N839="","",INDEX(BookRate,834)*(1+'5. Scenarios'!$D$10)*(INDEX(BookQ1,834)*(5-MIN(4,1+'5. Scenarios'!$D$8))/4+INDEX(BookQ2,834)*(5-MIN(4,2+'5. Scenarios'!$D$8))/4+INDEX(BookQ3,834)*(5-MIN(4,3+'5. Scenarios'!$D$8))/4+INDEX(BookQ4,834)*(5-MIN(4,4+'5. Scenarios'!$D$8))/4)*'5. Scenarios'!$D$6/(1+ProductivityDefault*('5. Scenarios'!$D$11-1))+INDEX(BookOneOff,834)*$N839)</f>
        <v/>
      </c>
      <c r="S839" s="56" t="str">
        <f aca="false">IF(INDEX(BookTitle,834)="","",INDEX(BookTotal,834)*'5. Scenarios'!$E$6/(1+ProductivityDefault*('5. Scenarios'!$E$11-1)))</f>
        <v/>
      </c>
      <c r="T839" s="57" t="str">
        <f aca="false">IF($S839="","",INDEX(BookRate,834)*(1+'5. Scenarios'!$E$10)*$S839)</f>
        <v/>
      </c>
      <c r="U839" s="57" t="str">
        <f aca="false">IF($T839="","",SUMIFS($T$6:$T$2405,$A$6:$A$2405,"&lt;="&amp;$A839))</f>
        <v/>
      </c>
      <c r="V839" s="57" t="str">
        <f aca="false">IF($T839="","",IF($U839&lt;=BankCostEnvelope*'5. Scenarios'!$E$7,1,0))</f>
        <v/>
      </c>
      <c r="W839" s="57" t="str">
        <f aca="false">IF($S839="","",INDEX(BookRate,834)*(1+'5. Scenarios'!$E$10)*(INDEX(BookQ1,834)*(5-MIN(4,1+'5. Scenarios'!$E$8))/4+INDEX(BookQ2,834)*(5-MIN(4,2+'5. Scenarios'!$E$8))/4+INDEX(BookQ3,834)*(5-MIN(4,3+'5. Scenarios'!$E$8))/4+INDEX(BookQ4,834)*(5-MIN(4,4+'5. Scenarios'!$E$8))/4)*'5. Scenarios'!$E$6/(1+ProductivityDefault*('5. Scenarios'!$E$11-1))+INDEX(BookOneOff,834)*$S839)</f>
        <v/>
      </c>
    </row>
    <row r="840" customFormat="false" ht="15" hidden="false" customHeight="false" outlineLevel="0" collapsed="false">
      <c r="A840" s="0" t="str">
        <f aca="false">IF(INDEX(BookTitle,835)="","",INDEX(BookKey,835))</f>
        <v/>
      </c>
      <c r="B840" s="0" t="str">
        <f aca="false">IF(INDEX(BookTitle,835)="","",INDEX(BookGroup,835))</f>
        <v/>
      </c>
      <c r="C840" s="0" t="str">
        <f aca="false">IF(INDEX(BookTitle,835)="","",INDEX(BookCategory,835))</f>
        <v/>
      </c>
      <c r="D840" s="56" t="str">
        <f aca="false">IF(INDEX(BookTitle,835)="","",INDEX(BookTotal,835)*'5. Scenarios'!$B$6/(1+ProductivityDefault*('5. Scenarios'!$B$11-1)))</f>
        <v/>
      </c>
      <c r="E840" s="57" t="str">
        <f aca="false">IF($D840="","",INDEX(BookRate,835)*(1+'5. Scenarios'!$B$10)*$D840)</f>
        <v/>
      </c>
      <c r="F840" s="57" t="str">
        <f aca="false">IF($E840="","",SUMIFS($E$6:$E$2405,$A$6:$A$2405,"&lt;="&amp;$A840))</f>
        <v/>
      </c>
      <c r="G840" s="57" t="str">
        <f aca="false">IF($E840="","",IF($F840&lt;=BankCostEnvelope*'5. Scenarios'!$B$7,1,0))</f>
        <v/>
      </c>
      <c r="H840" s="57" t="str">
        <f aca="false">IF($D840="","",INDEX(BookRate,835)*(1+'5. Scenarios'!$B$10)*(INDEX(BookQ1,835)*(5-MIN(4,1+'5. Scenarios'!$B$8))/4+INDEX(BookQ2,835)*(5-MIN(4,2+'5. Scenarios'!$B$8))/4+INDEX(BookQ3,835)*(5-MIN(4,3+'5. Scenarios'!$B$8))/4+INDEX(BookQ4,835)*(5-MIN(4,4+'5. Scenarios'!$B$8))/4)*'5. Scenarios'!$B$6/(1+ProductivityDefault*('5. Scenarios'!$B$11-1))+INDEX(BookOneOff,835)*$D840)</f>
        <v/>
      </c>
      <c r="I840" s="56" t="str">
        <f aca="false">IF(INDEX(BookTitle,835)="","",INDEX(BookTotal,835)*'5. Scenarios'!$C$6/(1+ProductivityDefault*('5. Scenarios'!$C$11-1)))</f>
        <v/>
      </c>
      <c r="J840" s="57" t="str">
        <f aca="false">IF($I840="","",INDEX(BookRate,835)*(1+'5. Scenarios'!$C$10)*$I840)</f>
        <v/>
      </c>
      <c r="K840" s="57" t="str">
        <f aca="false">IF($J840="","",SUMIFS($J$6:$J$2405,$A$6:$A$2405,"&lt;="&amp;$A840))</f>
        <v/>
      </c>
      <c r="L840" s="57" t="str">
        <f aca="false">IF($J840="","",IF($K840&lt;=BankCostEnvelope*'5. Scenarios'!$C$7,1,0))</f>
        <v/>
      </c>
      <c r="M840" s="57" t="str">
        <f aca="false">IF($I840="","",INDEX(BookRate,835)*(1+'5. Scenarios'!$C$10)*(INDEX(BookQ1,835)*(5-MIN(4,1+'5. Scenarios'!$C$8))/4+INDEX(BookQ2,835)*(5-MIN(4,2+'5. Scenarios'!$C$8))/4+INDEX(BookQ3,835)*(5-MIN(4,3+'5. Scenarios'!$C$8))/4+INDEX(BookQ4,835)*(5-MIN(4,4+'5. Scenarios'!$C$8))/4)*'5. Scenarios'!$C$6/(1+ProductivityDefault*('5. Scenarios'!$C$11-1))+INDEX(BookOneOff,835)*$I840)</f>
        <v/>
      </c>
      <c r="N840" s="56" t="str">
        <f aca="false">IF(INDEX(BookTitle,835)="","",INDEX(BookTotal,835)*'5. Scenarios'!$D$6/(1+ProductivityDefault*('5. Scenarios'!$D$11-1)))</f>
        <v/>
      </c>
      <c r="O840" s="57" t="str">
        <f aca="false">IF($N840="","",INDEX(BookRate,835)*(1+'5. Scenarios'!$D$10)*$N840)</f>
        <v/>
      </c>
      <c r="P840" s="57" t="str">
        <f aca="false">IF($O840="","",SUMIFS($O$6:$O$2405,$A$6:$A$2405,"&lt;="&amp;$A840))</f>
        <v/>
      </c>
      <c r="Q840" s="57" t="str">
        <f aca="false">IF($O840="","",IF($P840&lt;=BankCostEnvelope*'5. Scenarios'!$D$7,1,0))</f>
        <v/>
      </c>
      <c r="R840" s="57" t="str">
        <f aca="false">IF($N840="","",INDEX(BookRate,835)*(1+'5. Scenarios'!$D$10)*(INDEX(BookQ1,835)*(5-MIN(4,1+'5. Scenarios'!$D$8))/4+INDEX(BookQ2,835)*(5-MIN(4,2+'5. Scenarios'!$D$8))/4+INDEX(BookQ3,835)*(5-MIN(4,3+'5. Scenarios'!$D$8))/4+INDEX(BookQ4,835)*(5-MIN(4,4+'5. Scenarios'!$D$8))/4)*'5. Scenarios'!$D$6/(1+ProductivityDefault*('5. Scenarios'!$D$11-1))+INDEX(BookOneOff,835)*$N840)</f>
        <v/>
      </c>
      <c r="S840" s="56" t="str">
        <f aca="false">IF(INDEX(BookTitle,835)="","",INDEX(BookTotal,835)*'5. Scenarios'!$E$6/(1+ProductivityDefault*('5. Scenarios'!$E$11-1)))</f>
        <v/>
      </c>
      <c r="T840" s="57" t="str">
        <f aca="false">IF($S840="","",INDEX(BookRate,835)*(1+'5. Scenarios'!$E$10)*$S840)</f>
        <v/>
      </c>
      <c r="U840" s="57" t="str">
        <f aca="false">IF($T840="","",SUMIFS($T$6:$T$2405,$A$6:$A$2405,"&lt;="&amp;$A840))</f>
        <v/>
      </c>
      <c r="V840" s="57" t="str">
        <f aca="false">IF($T840="","",IF($U840&lt;=BankCostEnvelope*'5. Scenarios'!$E$7,1,0))</f>
        <v/>
      </c>
      <c r="W840" s="57" t="str">
        <f aca="false">IF($S840="","",INDEX(BookRate,835)*(1+'5. Scenarios'!$E$10)*(INDEX(BookQ1,835)*(5-MIN(4,1+'5. Scenarios'!$E$8))/4+INDEX(BookQ2,835)*(5-MIN(4,2+'5. Scenarios'!$E$8))/4+INDEX(BookQ3,835)*(5-MIN(4,3+'5. Scenarios'!$E$8))/4+INDEX(BookQ4,835)*(5-MIN(4,4+'5. Scenarios'!$E$8))/4)*'5. Scenarios'!$E$6/(1+ProductivityDefault*('5. Scenarios'!$E$11-1))+INDEX(BookOneOff,835)*$S840)</f>
        <v/>
      </c>
    </row>
    <row r="841" customFormat="false" ht="15" hidden="false" customHeight="false" outlineLevel="0" collapsed="false">
      <c r="A841" s="0" t="str">
        <f aca="false">IF(INDEX(BookTitle,836)="","",INDEX(BookKey,836))</f>
        <v/>
      </c>
      <c r="B841" s="0" t="str">
        <f aca="false">IF(INDEX(BookTitle,836)="","",INDEX(BookGroup,836))</f>
        <v/>
      </c>
      <c r="C841" s="0" t="str">
        <f aca="false">IF(INDEX(BookTitle,836)="","",INDEX(BookCategory,836))</f>
        <v/>
      </c>
      <c r="D841" s="56" t="str">
        <f aca="false">IF(INDEX(BookTitle,836)="","",INDEX(BookTotal,836)*'5. Scenarios'!$B$6/(1+ProductivityDefault*('5. Scenarios'!$B$11-1)))</f>
        <v/>
      </c>
      <c r="E841" s="57" t="str">
        <f aca="false">IF($D841="","",INDEX(BookRate,836)*(1+'5. Scenarios'!$B$10)*$D841)</f>
        <v/>
      </c>
      <c r="F841" s="57" t="str">
        <f aca="false">IF($E841="","",SUMIFS($E$6:$E$2405,$A$6:$A$2405,"&lt;="&amp;$A841))</f>
        <v/>
      </c>
      <c r="G841" s="57" t="str">
        <f aca="false">IF($E841="","",IF($F841&lt;=BankCostEnvelope*'5. Scenarios'!$B$7,1,0))</f>
        <v/>
      </c>
      <c r="H841" s="57" t="str">
        <f aca="false">IF($D841="","",INDEX(BookRate,836)*(1+'5. Scenarios'!$B$10)*(INDEX(BookQ1,836)*(5-MIN(4,1+'5. Scenarios'!$B$8))/4+INDEX(BookQ2,836)*(5-MIN(4,2+'5. Scenarios'!$B$8))/4+INDEX(BookQ3,836)*(5-MIN(4,3+'5. Scenarios'!$B$8))/4+INDEX(BookQ4,836)*(5-MIN(4,4+'5. Scenarios'!$B$8))/4)*'5. Scenarios'!$B$6/(1+ProductivityDefault*('5. Scenarios'!$B$11-1))+INDEX(BookOneOff,836)*$D841)</f>
        <v/>
      </c>
      <c r="I841" s="56" t="str">
        <f aca="false">IF(INDEX(BookTitle,836)="","",INDEX(BookTotal,836)*'5. Scenarios'!$C$6/(1+ProductivityDefault*('5. Scenarios'!$C$11-1)))</f>
        <v/>
      </c>
      <c r="J841" s="57" t="str">
        <f aca="false">IF($I841="","",INDEX(BookRate,836)*(1+'5. Scenarios'!$C$10)*$I841)</f>
        <v/>
      </c>
      <c r="K841" s="57" t="str">
        <f aca="false">IF($J841="","",SUMIFS($J$6:$J$2405,$A$6:$A$2405,"&lt;="&amp;$A841))</f>
        <v/>
      </c>
      <c r="L841" s="57" t="str">
        <f aca="false">IF($J841="","",IF($K841&lt;=BankCostEnvelope*'5. Scenarios'!$C$7,1,0))</f>
        <v/>
      </c>
      <c r="M841" s="57" t="str">
        <f aca="false">IF($I841="","",INDEX(BookRate,836)*(1+'5. Scenarios'!$C$10)*(INDEX(BookQ1,836)*(5-MIN(4,1+'5. Scenarios'!$C$8))/4+INDEX(BookQ2,836)*(5-MIN(4,2+'5. Scenarios'!$C$8))/4+INDEX(BookQ3,836)*(5-MIN(4,3+'5. Scenarios'!$C$8))/4+INDEX(BookQ4,836)*(5-MIN(4,4+'5. Scenarios'!$C$8))/4)*'5. Scenarios'!$C$6/(1+ProductivityDefault*('5. Scenarios'!$C$11-1))+INDEX(BookOneOff,836)*$I841)</f>
        <v/>
      </c>
      <c r="N841" s="56" t="str">
        <f aca="false">IF(INDEX(BookTitle,836)="","",INDEX(BookTotal,836)*'5. Scenarios'!$D$6/(1+ProductivityDefault*('5. Scenarios'!$D$11-1)))</f>
        <v/>
      </c>
      <c r="O841" s="57" t="str">
        <f aca="false">IF($N841="","",INDEX(BookRate,836)*(1+'5. Scenarios'!$D$10)*$N841)</f>
        <v/>
      </c>
      <c r="P841" s="57" t="str">
        <f aca="false">IF($O841="","",SUMIFS($O$6:$O$2405,$A$6:$A$2405,"&lt;="&amp;$A841))</f>
        <v/>
      </c>
      <c r="Q841" s="57" t="str">
        <f aca="false">IF($O841="","",IF($P841&lt;=BankCostEnvelope*'5. Scenarios'!$D$7,1,0))</f>
        <v/>
      </c>
      <c r="R841" s="57" t="str">
        <f aca="false">IF($N841="","",INDEX(BookRate,836)*(1+'5. Scenarios'!$D$10)*(INDEX(BookQ1,836)*(5-MIN(4,1+'5. Scenarios'!$D$8))/4+INDEX(BookQ2,836)*(5-MIN(4,2+'5. Scenarios'!$D$8))/4+INDEX(BookQ3,836)*(5-MIN(4,3+'5. Scenarios'!$D$8))/4+INDEX(BookQ4,836)*(5-MIN(4,4+'5. Scenarios'!$D$8))/4)*'5. Scenarios'!$D$6/(1+ProductivityDefault*('5. Scenarios'!$D$11-1))+INDEX(BookOneOff,836)*$N841)</f>
        <v/>
      </c>
      <c r="S841" s="56" t="str">
        <f aca="false">IF(INDEX(BookTitle,836)="","",INDEX(BookTotal,836)*'5. Scenarios'!$E$6/(1+ProductivityDefault*('5. Scenarios'!$E$11-1)))</f>
        <v/>
      </c>
      <c r="T841" s="57" t="str">
        <f aca="false">IF($S841="","",INDEX(BookRate,836)*(1+'5. Scenarios'!$E$10)*$S841)</f>
        <v/>
      </c>
      <c r="U841" s="57" t="str">
        <f aca="false">IF($T841="","",SUMIFS($T$6:$T$2405,$A$6:$A$2405,"&lt;="&amp;$A841))</f>
        <v/>
      </c>
      <c r="V841" s="57" t="str">
        <f aca="false">IF($T841="","",IF($U841&lt;=BankCostEnvelope*'5. Scenarios'!$E$7,1,0))</f>
        <v/>
      </c>
      <c r="W841" s="57" t="str">
        <f aca="false">IF($S841="","",INDEX(BookRate,836)*(1+'5. Scenarios'!$E$10)*(INDEX(BookQ1,836)*(5-MIN(4,1+'5. Scenarios'!$E$8))/4+INDEX(BookQ2,836)*(5-MIN(4,2+'5. Scenarios'!$E$8))/4+INDEX(BookQ3,836)*(5-MIN(4,3+'5. Scenarios'!$E$8))/4+INDEX(BookQ4,836)*(5-MIN(4,4+'5. Scenarios'!$E$8))/4)*'5. Scenarios'!$E$6/(1+ProductivityDefault*('5. Scenarios'!$E$11-1))+INDEX(BookOneOff,836)*$S841)</f>
        <v/>
      </c>
    </row>
    <row r="842" customFormat="false" ht="15" hidden="false" customHeight="false" outlineLevel="0" collapsed="false">
      <c r="A842" s="0" t="str">
        <f aca="false">IF(INDEX(BookTitle,837)="","",INDEX(BookKey,837))</f>
        <v/>
      </c>
      <c r="B842" s="0" t="str">
        <f aca="false">IF(INDEX(BookTitle,837)="","",INDEX(BookGroup,837))</f>
        <v/>
      </c>
      <c r="C842" s="0" t="str">
        <f aca="false">IF(INDEX(BookTitle,837)="","",INDEX(BookCategory,837))</f>
        <v/>
      </c>
      <c r="D842" s="56" t="str">
        <f aca="false">IF(INDEX(BookTitle,837)="","",INDEX(BookTotal,837)*'5. Scenarios'!$B$6/(1+ProductivityDefault*('5. Scenarios'!$B$11-1)))</f>
        <v/>
      </c>
      <c r="E842" s="57" t="str">
        <f aca="false">IF($D842="","",INDEX(BookRate,837)*(1+'5. Scenarios'!$B$10)*$D842)</f>
        <v/>
      </c>
      <c r="F842" s="57" t="str">
        <f aca="false">IF($E842="","",SUMIFS($E$6:$E$2405,$A$6:$A$2405,"&lt;="&amp;$A842))</f>
        <v/>
      </c>
      <c r="G842" s="57" t="str">
        <f aca="false">IF($E842="","",IF($F842&lt;=BankCostEnvelope*'5. Scenarios'!$B$7,1,0))</f>
        <v/>
      </c>
      <c r="H842" s="57" t="str">
        <f aca="false">IF($D842="","",INDEX(BookRate,837)*(1+'5. Scenarios'!$B$10)*(INDEX(BookQ1,837)*(5-MIN(4,1+'5. Scenarios'!$B$8))/4+INDEX(BookQ2,837)*(5-MIN(4,2+'5. Scenarios'!$B$8))/4+INDEX(BookQ3,837)*(5-MIN(4,3+'5. Scenarios'!$B$8))/4+INDEX(BookQ4,837)*(5-MIN(4,4+'5. Scenarios'!$B$8))/4)*'5. Scenarios'!$B$6/(1+ProductivityDefault*('5. Scenarios'!$B$11-1))+INDEX(BookOneOff,837)*$D842)</f>
        <v/>
      </c>
      <c r="I842" s="56" t="str">
        <f aca="false">IF(INDEX(BookTitle,837)="","",INDEX(BookTotal,837)*'5. Scenarios'!$C$6/(1+ProductivityDefault*('5. Scenarios'!$C$11-1)))</f>
        <v/>
      </c>
      <c r="J842" s="57" t="str">
        <f aca="false">IF($I842="","",INDEX(BookRate,837)*(1+'5. Scenarios'!$C$10)*$I842)</f>
        <v/>
      </c>
      <c r="K842" s="57" t="str">
        <f aca="false">IF($J842="","",SUMIFS($J$6:$J$2405,$A$6:$A$2405,"&lt;="&amp;$A842))</f>
        <v/>
      </c>
      <c r="L842" s="57" t="str">
        <f aca="false">IF($J842="","",IF($K842&lt;=BankCostEnvelope*'5. Scenarios'!$C$7,1,0))</f>
        <v/>
      </c>
      <c r="M842" s="57" t="str">
        <f aca="false">IF($I842="","",INDEX(BookRate,837)*(1+'5. Scenarios'!$C$10)*(INDEX(BookQ1,837)*(5-MIN(4,1+'5. Scenarios'!$C$8))/4+INDEX(BookQ2,837)*(5-MIN(4,2+'5. Scenarios'!$C$8))/4+INDEX(BookQ3,837)*(5-MIN(4,3+'5. Scenarios'!$C$8))/4+INDEX(BookQ4,837)*(5-MIN(4,4+'5. Scenarios'!$C$8))/4)*'5. Scenarios'!$C$6/(1+ProductivityDefault*('5. Scenarios'!$C$11-1))+INDEX(BookOneOff,837)*$I842)</f>
        <v/>
      </c>
      <c r="N842" s="56" t="str">
        <f aca="false">IF(INDEX(BookTitle,837)="","",INDEX(BookTotal,837)*'5. Scenarios'!$D$6/(1+ProductivityDefault*('5. Scenarios'!$D$11-1)))</f>
        <v/>
      </c>
      <c r="O842" s="57" t="str">
        <f aca="false">IF($N842="","",INDEX(BookRate,837)*(1+'5. Scenarios'!$D$10)*$N842)</f>
        <v/>
      </c>
      <c r="P842" s="57" t="str">
        <f aca="false">IF($O842="","",SUMIFS($O$6:$O$2405,$A$6:$A$2405,"&lt;="&amp;$A842))</f>
        <v/>
      </c>
      <c r="Q842" s="57" t="str">
        <f aca="false">IF($O842="","",IF($P842&lt;=BankCostEnvelope*'5. Scenarios'!$D$7,1,0))</f>
        <v/>
      </c>
      <c r="R842" s="57" t="str">
        <f aca="false">IF($N842="","",INDEX(BookRate,837)*(1+'5. Scenarios'!$D$10)*(INDEX(BookQ1,837)*(5-MIN(4,1+'5. Scenarios'!$D$8))/4+INDEX(BookQ2,837)*(5-MIN(4,2+'5. Scenarios'!$D$8))/4+INDEX(BookQ3,837)*(5-MIN(4,3+'5. Scenarios'!$D$8))/4+INDEX(BookQ4,837)*(5-MIN(4,4+'5. Scenarios'!$D$8))/4)*'5. Scenarios'!$D$6/(1+ProductivityDefault*('5. Scenarios'!$D$11-1))+INDEX(BookOneOff,837)*$N842)</f>
        <v/>
      </c>
      <c r="S842" s="56" t="str">
        <f aca="false">IF(INDEX(BookTitle,837)="","",INDEX(BookTotal,837)*'5. Scenarios'!$E$6/(1+ProductivityDefault*('5. Scenarios'!$E$11-1)))</f>
        <v/>
      </c>
      <c r="T842" s="57" t="str">
        <f aca="false">IF($S842="","",INDEX(BookRate,837)*(1+'5. Scenarios'!$E$10)*$S842)</f>
        <v/>
      </c>
      <c r="U842" s="57" t="str">
        <f aca="false">IF($T842="","",SUMIFS($T$6:$T$2405,$A$6:$A$2405,"&lt;="&amp;$A842))</f>
        <v/>
      </c>
      <c r="V842" s="57" t="str">
        <f aca="false">IF($T842="","",IF($U842&lt;=BankCostEnvelope*'5. Scenarios'!$E$7,1,0))</f>
        <v/>
      </c>
      <c r="W842" s="57" t="str">
        <f aca="false">IF($S842="","",INDEX(BookRate,837)*(1+'5. Scenarios'!$E$10)*(INDEX(BookQ1,837)*(5-MIN(4,1+'5. Scenarios'!$E$8))/4+INDEX(BookQ2,837)*(5-MIN(4,2+'5. Scenarios'!$E$8))/4+INDEX(BookQ3,837)*(5-MIN(4,3+'5. Scenarios'!$E$8))/4+INDEX(BookQ4,837)*(5-MIN(4,4+'5. Scenarios'!$E$8))/4)*'5. Scenarios'!$E$6/(1+ProductivityDefault*('5. Scenarios'!$E$11-1))+INDEX(BookOneOff,837)*$S842)</f>
        <v/>
      </c>
    </row>
    <row r="843" customFormat="false" ht="15" hidden="false" customHeight="false" outlineLevel="0" collapsed="false">
      <c r="A843" s="0" t="str">
        <f aca="false">IF(INDEX(BookTitle,838)="","",INDEX(BookKey,838))</f>
        <v/>
      </c>
      <c r="B843" s="0" t="str">
        <f aca="false">IF(INDEX(BookTitle,838)="","",INDEX(BookGroup,838))</f>
        <v/>
      </c>
      <c r="C843" s="0" t="str">
        <f aca="false">IF(INDEX(BookTitle,838)="","",INDEX(BookCategory,838))</f>
        <v/>
      </c>
      <c r="D843" s="56" t="str">
        <f aca="false">IF(INDEX(BookTitle,838)="","",INDEX(BookTotal,838)*'5. Scenarios'!$B$6/(1+ProductivityDefault*('5. Scenarios'!$B$11-1)))</f>
        <v/>
      </c>
      <c r="E843" s="57" t="str">
        <f aca="false">IF($D843="","",INDEX(BookRate,838)*(1+'5. Scenarios'!$B$10)*$D843)</f>
        <v/>
      </c>
      <c r="F843" s="57" t="str">
        <f aca="false">IF($E843="","",SUMIFS($E$6:$E$2405,$A$6:$A$2405,"&lt;="&amp;$A843))</f>
        <v/>
      </c>
      <c r="G843" s="57" t="str">
        <f aca="false">IF($E843="","",IF($F843&lt;=BankCostEnvelope*'5. Scenarios'!$B$7,1,0))</f>
        <v/>
      </c>
      <c r="H843" s="57" t="str">
        <f aca="false">IF($D843="","",INDEX(BookRate,838)*(1+'5. Scenarios'!$B$10)*(INDEX(BookQ1,838)*(5-MIN(4,1+'5. Scenarios'!$B$8))/4+INDEX(BookQ2,838)*(5-MIN(4,2+'5. Scenarios'!$B$8))/4+INDEX(BookQ3,838)*(5-MIN(4,3+'5. Scenarios'!$B$8))/4+INDEX(BookQ4,838)*(5-MIN(4,4+'5. Scenarios'!$B$8))/4)*'5. Scenarios'!$B$6/(1+ProductivityDefault*('5. Scenarios'!$B$11-1))+INDEX(BookOneOff,838)*$D843)</f>
        <v/>
      </c>
      <c r="I843" s="56" t="str">
        <f aca="false">IF(INDEX(BookTitle,838)="","",INDEX(BookTotal,838)*'5. Scenarios'!$C$6/(1+ProductivityDefault*('5. Scenarios'!$C$11-1)))</f>
        <v/>
      </c>
      <c r="J843" s="57" t="str">
        <f aca="false">IF($I843="","",INDEX(BookRate,838)*(1+'5. Scenarios'!$C$10)*$I843)</f>
        <v/>
      </c>
      <c r="K843" s="57" t="str">
        <f aca="false">IF($J843="","",SUMIFS($J$6:$J$2405,$A$6:$A$2405,"&lt;="&amp;$A843))</f>
        <v/>
      </c>
      <c r="L843" s="57" t="str">
        <f aca="false">IF($J843="","",IF($K843&lt;=BankCostEnvelope*'5. Scenarios'!$C$7,1,0))</f>
        <v/>
      </c>
      <c r="M843" s="57" t="str">
        <f aca="false">IF($I843="","",INDEX(BookRate,838)*(1+'5. Scenarios'!$C$10)*(INDEX(BookQ1,838)*(5-MIN(4,1+'5. Scenarios'!$C$8))/4+INDEX(BookQ2,838)*(5-MIN(4,2+'5. Scenarios'!$C$8))/4+INDEX(BookQ3,838)*(5-MIN(4,3+'5. Scenarios'!$C$8))/4+INDEX(BookQ4,838)*(5-MIN(4,4+'5. Scenarios'!$C$8))/4)*'5. Scenarios'!$C$6/(1+ProductivityDefault*('5. Scenarios'!$C$11-1))+INDEX(BookOneOff,838)*$I843)</f>
        <v/>
      </c>
      <c r="N843" s="56" t="str">
        <f aca="false">IF(INDEX(BookTitle,838)="","",INDEX(BookTotal,838)*'5. Scenarios'!$D$6/(1+ProductivityDefault*('5. Scenarios'!$D$11-1)))</f>
        <v/>
      </c>
      <c r="O843" s="57" t="str">
        <f aca="false">IF($N843="","",INDEX(BookRate,838)*(1+'5. Scenarios'!$D$10)*$N843)</f>
        <v/>
      </c>
      <c r="P843" s="57" t="str">
        <f aca="false">IF($O843="","",SUMIFS($O$6:$O$2405,$A$6:$A$2405,"&lt;="&amp;$A843))</f>
        <v/>
      </c>
      <c r="Q843" s="57" t="str">
        <f aca="false">IF($O843="","",IF($P843&lt;=BankCostEnvelope*'5. Scenarios'!$D$7,1,0))</f>
        <v/>
      </c>
      <c r="R843" s="57" t="str">
        <f aca="false">IF($N843="","",INDEX(BookRate,838)*(1+'5. Scenarios'!$D$10)*(INDEX(BookQ1,838)*(5-MIN(4,1+'5. Scenarios'!$D$8))/4+INDEX(BookQ2,838)*(5-MIN(4,2+'5. Scenarios'!$D$8))/4+INDEX(BookQ3,838)*(5-MIN(4,3+'5. Scenarios'!$D$8))/4+INDEX(BookQ4,838)*(5-MIN(4,4+'5. Scenarios'!$D$8))/4)*'5. Scenarios'!$D$6/(1+ProductivityDefault*('5. Scenarios'!$D$11-1))+INDEX(BookOneOff,838)*$N843)</f>
        <v/>
      </c>
      <c r="S843" s="56" t="str">
        <f aca="false">IF(INDEX(BookTitle,838)="","",INDEX(BookTotal,838)*'5. Scenarios'!$E$6/(1+ProductivityDefault*('5. Scenarios'!$E$11-1)))</f>
        <v/>
      </c>
      <c r="T843" s="57" t="str">
        <f aca="false">IF($S843="","",INDEX(BookRate,838)*(1+'5. Scenarios'!$E$10)*$S843)</f>
        <v/>
      </c>
      <c r="U843" s="57" t="str">
        <f aca="false">IF($T843="","",SUMIFS($T$6:$T$2405,$A$6:$A$2405,"&lt;="&amp;$A843))</f>
        <v/>
      </c>
      <c r="V843" s="57" t="str">
        <f aca="false">IF($T843="","",IF($U843&lt;=BankCostEnvelope*'5. Scenarios'!$E$7,1,0))</f>
        <v/>
      </c>
      <c r="W843" s="57" t="str">
        <f aca="false">IF($S843="","",INDEX(BookRate,838)*(1+'5. Scenarios'!$E$10)*(INDEX(BookQ1,838)*(5-MIN(4,1+'5. Scenarios'!$E$8))/4+INDEX(BookQ2,838)*(5-MIN(4,2+'5. Scenarios'!$E$8))/4+INDEX(BookQ3,838)*(5-MIN(4,3+'5. Scenarios'!$E$8))/4+INDEX(BookQ4,838)*(5-MIN(4,4+'5. Scenarios'!$E$8))/4)*'5. Scenarios'!$E$6/(1+ProductivityDefault*('5. Scenarios'!$E$11-1))+INDEX(BookOneOff,838)*$S843)</f>
        <v/>
      </c>
    </row>
    <row r="844" customFormat="false" ht="15" hidden="false" customHeight="false" outlineLevel="0" collapsed="false">
      <c r="A844" s="0" t="str">
        <f aca="false">IF(INDEX(BookTitle,839)="","",INDEX(BookKey,839))</f>
        <v/>
      </c>
      <c r="B844" s="0" t="str">
        <f aca="false">IF(INDEX(BookTitle,839)="","",INDEX(BookGroup,839))</f>
        <v/>
      </c>
      <c r="C844" s="0" t="str">
        <f aca="false">IF(INDEX(BookTitle,839)="","",INDEX(BookCategory,839))</f>
        <v/>
      </c>
      <c r="D844" s="56" t="str">
        <f aca="false">IF(INDEX(BookTitle,839)="","",INDEX(BookTotal,839)*'5. Scenarios'!$B$6/(1+ProductivityDefault*('5. Scenarios'!$B$11-1)))</f>
        <v/>
      </c>
      <c r="E844" s="57" t="str">
        <f aca="false">IF($D844="","",INDEX(BookRate,839)*(1+'5. Scenarios'!$B$10)*$D844)</f>
        <v/>
      </c>
      <c r="F844" s="57" t="str">
        <f aca="false">IF($E844="","",SUMIFS($E$6:$E$2405,$A$6:$A$2405,"&lt;="&amp;$A844))</f>
        <v/>
      </c>
      <c r="G844" s="57" t="str">
        <f aca="false">IF($E844="","",IF($F844&lt;=BankCostEnvelope*'5. Scenarios'!$B$7,1,0))</f>
        <v/>
      </c>
      <c r="H844" s="57" t="str">
        <f aca="false">IF($D844="","",INDEX(BookRate,839)*(1+'5. Scenarios'!$B$10)*(INDEX(BookQ1,839)*(5-MIN(4,1+'5. Scenarios'!$B$8))/4+INDEX(BookQ2,839)*(5-MIN(4,2+'5. Scenarios'!$B$8))/4+INDEX(BookQ3,839)*(5-MIN(4,3+'5. Scenarios'!$B$8))/4+INDEX(BookQ4,839)*(5-MIN(4,4+'5. Scenarios'!$B$8))/4)*'5. Scenarios'!$B$6/(1+ProductivityDefault*('5. Scenarios'!$B$11-1))+INDEX(BookOneOff,839)*$D844)</f>
        <v/>
      </c>
      <c r="I844" s="56" t="str">
        <f aca="false">IF(INDEX(BookTitle,839)="","",INDEX(BookTotal,839)*'5. Scenarios'!$C$6/(1+ProductivityDefault*('5. Scenarios'!$C$11-1)))</f>
        <v/>
      </c>
      <c r="J844" s="57" t="str">
        <f aca="false">IF($I844="","",INDEX(BookRate,839)*(1+'5. Scenarios'!$C$10)*$I844)</f>
        <v/>
      </c>
      <c r="K844" s="57" t="str">
        <f aca="false">IF($J844="","",SUMIFS($J$6:$J$2405,$A$6:$A$2405,"&lt;="&amp;$A844))</f>
        <v/>
      </c>
      <c r="L844" s="57" t="str">
        <f aca="false">IF($J844="","",IF($K844&lt;=BankCostEnvelope*'5. Scenarios'!$C$7,1,0))</f>
        <v/>
      </c>
      <c r="M844" s="57" t="str">
        <f aca="false">IF($I844="","",INDEX(BookRate,839)*(1+'5. Scenarios'!$C$10)*(INDEX(BookQ1,839)*(5-MIN(4,1+'5. Scenarios'!$C$8))/4+INDEX(BookQ2,839)*(5-MIN(4,2+'5. Scenarios'!$C$8))/4+INDEX(BookQ3,839)*(5-MIN(4,3+'5. Scenarios'!$C$8))/4+INDEX(BookQ4,839)*(5-MIN(4,4+'5. Scenarios'!$C$8))/4)*'5. Scenarios'!$C$6/(1+ProductivityDefault*('5. Scenarios'!$C$11-1))+INDEX(BookOneOff,839)*$I844)</f>
        <v/>
      </c>
      <c r="N844" s="56" t="str">
        <f aca="false">IF(INDEX(BookTitle,839)="","",INDEX(BookTotal,839)*'5. Scenarios'!$D$6/(1+ProductivityDefault*('5. Scenarios'!$D$11-1)))</f>
        <v/>
      </c>
      <c r="O844" s="57" t="str">
        <f aca="false">IF($N844="","",INDEX(BookRate,839)*(1+'5. Scenarios'!$D$10)*$N844)</f>
        <v/>
      </c>
      <c r="P844" s="57" t="str">
        <f aca="false">IF($O844="","",SUMIFS($O$6:$O$2405,$A$6:$A$2405,"&lt;="&amp;$A844))</f>
        <v/>
      </c>
      <c r="Q844" s="57" t="str">
        <f aca="false">IF($O844="","",IF($P844&lt;=BankCostEnvelope*'5. Scenarios'!$D$7,1,0))</f>
        <v/>
      </c>
      <c r="R844" s="57" t="str">
        <f aca="false">IF($N844="","",INDEX(BookRate,839)*(1+'5. Scenarios'!$D$10)*(INDEX(BookQ1,839)*(5-MIN(4,1+'5. Scenarios'!$D$8))/4+INDEX(BookQ2,839)*(5-MIN(4,2+'5. Scenarios'!$D$8))/4+INDEX(BookQ3,839)*(5-MIN(4,3+'5. Scenarios'!$D$8))/4+INDEX(BookQ4,839)*(5-MIN(4,4+'5. Scenarios'!$D$8))/4)*'5. Scenarios'!$D$6/(1+ProductivityDefault*('5. Scenarios'!$D$11-1))+INDEX(BookOneOff,839)*$N844)</f>
        <v/>
      </c>
      <c r="S844" s="56" t="str">
        <f aca="false">IF(INDEX(BookTitle,839)="","",INDEX(BookTotal,839)*'5. Scenarios'!$E$6/(1+ProductivityDefault*('5. Scenarios'!$E$11-1)))</f>
        <v/>
      </c>
      <c r="T844" s="57" t="str">
        <f aca="false">IF($S844="","",INDEX(BookRate,839)*(1+'5. Scenarios'!$E$10)*$S844)</f>
        <v/>
      </c>
      <c r="U844" s="57" t="str">
        <f aca="false">IF($T844="","",SUMIFS($T$6:$T$2405,$A$6:$A$2405,"&lt;="&amp;$A844))</f>
        <v/>
      </c>
      <c r="V844" s="57" t="str">
        <f aca="false">IF($T844="","",IF($U844&lt;=BankCostEnvelope*'5. Scenarios'!$E$7,1,0))</f>
        <v/>
      </c>
      <c r="W844" s="57" t="str">
        <f aca="false">IF($S844="","",INDEX(BookRate,839)*(1+'5. Scenarios'!$E$10)*(INDEX(BookQ1,839)*(5-MIN(4,1+'5. Scenarios'!$E$8))/4+INDEX(BookQ2,839)*(5-MIN(4,2+'5. Scenarios'!$E$8))/4+INDEX(BookQ3,839)*(5-MIN(4,3+'5. Scenarios'!$E$8))/4+INDEX(BookQ4,839)*(5-MIN(4,4+'5. Scenarios'!$E$8))/4)*'5. Scenarios'!$E$6/(1+ProductivityDefault*('5. Scenarios'!$E$11-1))+INDEX(BookOneOff,839)*$S844)</f>
        <v/>
      </c>
    </row>
    <row r="845" customFormat="false" ht="15" hidden="false" customHeight="false" outlineLevel="0" collapsed="false">
      <c r="A845" s="0" t="str">
        <f aca="false">IF(INDEX(BookTitle,840)="","",INDEX(BookKey,840))</f>
        <v/>
      </c>
      <c r="B845" s="0" t="str">
        <f aca="false">IF(INDEX(BookTitle,840)="","",INDEX(BookGroup,840))</f>
        <v/>
      </c>
      <c r="C845" s="0" t="str">
        <f aca="false">IF(INDEX(BookTitle,840)="","",INDEX(BookCategory,840))</f>
        <v/>
      </c>
      <c r="D845" s="56" t="str">
        <f aca="false">IF(INDEX(BookTitle,840)="","",INDEX(BookTotal,840)*'5. Scenarios'!$B$6/(1+ProductivityDefault*('5. Scenarios'!$B$11-1)))</f>
        <v/>
      </c>
      <c r="E845" s="57" t="str">
        <f aca="false">IF($D845="","",INDEX(BookRate,840)*(1+'5. Scenarios'!$B$10)*$D845)</f>
        <v/>
      </c>
      <c r="F845" s="57" t="str">
        <f aca="false">IF($E845="","",SUMIFS($E$6:$E$2405,$A$6:$A$2405,"&lt;="&amp;$A845))</f>
        <v/>
      </c>
      <c r="G845" s="57" t="str">
        <f aca="false">IF($E845="","",IF($F845&lt;=BankCostEnvelope*'5. Scenarios'!$B$7,1,0))</f>
        <v/>
      </c>
      <c r="H845" s="57" t="str">
        <f aca="false">IF($D845="","",INDEX(BookRate,840)*(1+'5. Scenarios'!$B$10)*(INDEX(BookQ1,840)*(5-MIN(4,1+'5. Scenarios'!$B$8))/4+INDEX(BookQ2,840)*(5-MIN(4,2+'5. Scenarios'!$B$8))/4+INDEX(BookQ3,840)*(5-MIN(4,3+'5. Scenarios'!$B$8))/4+INDEX(BookQ4,840)*(5-MIN(4,4+'5. Scenarios'!$B$8))/4)*'5. Scenarios'!$B$6/(1+ProductivityDefault*('5. Scenarios'!$B$11-1))+INDEX(BookOneOff,840)*$D845)</f>
        <v/>
      </c>
      <c r="I845" s="56" t="str">
        <f aca="false">IF(INDEX(BookTitle,840)="","",INDEX(BookTotal,840)*'5. Scenarios'!$C$6/(1+ProductivityDefault*('5. Scenarios'!$C$11-1)))</f>
        <v/>
      </c>
      <c r="J845" s="57" t="str">
        <f aca="false">IF($I845="","",INDEX(BookRate,840)*(1+'5. Scenarios'!$C$10)*$I845)</f>
        <v/>
      </c>
      <c r="K845" s="57" t="str">
        <f aca="false">IF($J845="","",SUMIFS($J$6:$J$2405,$A$6:$A$2405,"&lt;="&amp;$A845))</f>
        <v/>
      </c>
      <c r="L845" s="57" t="str">
        <f aca="false">IF($J845="","",IF($K845&lt;=BankCostEnvelope*'5. Scenarios'!$C$7,1,0))</f>
        <v/>
      </c>
      <c r="M845" s="57" t="str">
        <f aca="false">IF($I845="","",INDEX(BookRate,840)*(1+'5. Scenarios'!$C$10)*(INDEX(BookQ1,840)*(5-MIN(4,1+'5. Scenarios'!$C$8))/4+INDEX(BookQ2,840)*(5-MIN(4,2+'5. Scenarios'!$C$8))/4+INDEX(BookQ3,840)*(5-MIN(4,3+'5. Scenarios'!$C$8))/4+INDEX(BookQ4,840)*(5-MIN(4,4+'5. Scenarios'!$C$8))/4)*'5. Scenarios'!$C$6/(1+ProductivityDefault*('5. Scenarios'!$C$11-1))+INDEX(BookOneOff,840)*$I845)</f>
        <v/>
      </c>
      <c r="N845" s="56" t="str">
        <f aca="false">IF(INDEX(BookTitle,840)="","",INDEX(BookTotal,840)*'5. Scenarios'!$D$6/(1+ProductivityDefault*('5. Scenarios'!$D$11-1)))</f>
        <v/>
      </c>
      <c r="O845" s="57" t="str">
        <f aca="false">IF($N845="","",INDEX(BookRate,840)*(1+'5. Scenarios'!$D$10)*$N845)</f>
        <v/>
      </c>
      <c r="P845" s="57" t="str">
        <f aca="false">IF($O845="","",SUMIFS($O$6:$O$2405,$A$6:$A$2405,"&lt;="&amp;$A845))</f>
        <v/>
      </c>
      <c r="Q845" s="57" t="str">
        <f aca="false">IF($O845="","",IF($P845&lt;=BankCostEnvelope*'5. Scenarios'!$D$7,1,0))</f>
        <v/>
      </c>
      <c r="R845" s="57" t="str">
        <f aca="false">IF($N845="","",INDEX(BookRate,840)*(1+'5. Scenarios'!$D$10)*(INDEX(BookQ1,840)*(5-MIN(4,1+'5. Scenarios'!$D$8))/4+INDEX(BookQ2,840)*(5-MIN(4,2+'5. Scenarios'!$D$8))/4+INDEX(BookQ3,840)*(5-MIN(4,3+'5. Scenarios'!$D$8))/4+INDEX(BookQ4,840)*(5-MIN(4,4+'5. Scenarios'!$D$8))/4)*'5. Scenarios'!$D$6/(1+ProductivityDefault*('5. Scenarios'!$D$11-1))+INDEX(BookOneOff,840)*$N845)</f>
        <v/>
      </c>
      <c r="S845" s="56" t="str">
        <f aca="false">IF(INDEX(BookTitle,840)="","",INDEX(BookTotal,840)*'5. Scenarios'!$E$6/(1+ProductivityDefault*('5. Scenarios'!$E$11-1)))</f>
        <v/>
      </c>
      <c r="T845" s="57" t="str">
        <f aca="false">IF($S845="","",INDEX(BookRate,840)*(1+'5. Scenarios'!$E$10)*$S845)</f>
        <v/>
      </c>
      <c r="U845" s="57" t="str">
        <f aca="false">IF($T845="","",SUMIFS($T$6:$T$2405,$A$6:$A$2405,"&lt;="&amp;$A845))</f>
        <v/>
      </c>
      <c r="V845" s="57" t="str">
        <f aca="false">IF($T845="","",IF($U845&lt;=BankCostEnvelope*'5. Scenarios'!$E$7,1,0))</f>
        <v/>
      </c>
      <c r="W845" s="57" t="str">
        <f aca="false">IF($S845="","",INDEX(BookRate,840)*(1+'5. Scenarios'!$E$10)*(INDEX(BookQ1,840)*(5-MIN(4,1+'5. Scenarios'!$E$8))/4+INDEX(BookQ2,840)*(5-MIN(4,2+'5. Scenarios'!$E$8))/4+INDEX(BookQ3,840)*(5-MIN(4,3+'5. Scenarios'!$E$8))/4+INDEX(BookQ4,840)*(5-MIN(4,4+'5. Scenarios'!$E$8))/4)*'5. Scenarios'!$E$6/(1+ProductivityDefault*('5. Scenarios'!$E$11-1))+INDEX(BookOneOff,840)*$S845)</f>
        <v/>
      </c>
    </row>
    <row r="846" customFormat="false" ht="15" hidden="false" customHeight="false" outlineLevel="0" collapsed="false">
      <c r="A846" s="0" t="str">
        <f aca="false">IF(INDEX(BookTitle,841)="","",INDEX(BookKey,841))</f>
        <v/>
      </c>
      <c r="B846" s="0" t="str">
        <f aca="false">IF(INDEX(BookTitle,841)="","",INDEX(BookGroup,841))</f>
        <v/>
      </c>
      <c r="C846" s="0" t="str">
        <f aca="false">IF(INDEX(BookTitle,841)="","",INDEX(BookCategory,841))</f>
        <v/>
      </c>
      <c r="D846" s="56" t="str">
        <f aca="false">IF(INDEX(BookTitle,841)="","",INDEX(BookTotal,841)*'5. Scenarios'!$B$6/(1+ProductivityDefault*('5. Scenarios'!$B$11-1)))</f>
        <v/>
      </c>
      <c r="E846" s="57" t="str">
        <f aca="false">IF($D846="","",INDEX(BookRate,841)*(1+'5. Scenarios'!$B$10)*$D846)</f>
        <v/>
      </c>
      <c r="F846" s="57" t="str">
        <f aca="false">IF($E846="","",SUMIFS($E$6:$E$2405,$A$6:$A$2405,"&lt;="&amp;$A846))</f>
        <v/>
      </c>
      <c r="G846" s="57" t="str">
        <f aca="false">IF($E846="","",IF($F846&lt;=BankCostEnvelope*'5. Scenarios'!$B$7,1,0))</f>
        <v/>
      </c>
      <c r="H846" s="57" t="str">
        <f aca="false">IF($D846="","",INDEX(BookRate,841)*(1+'5. Scenarios'!$B$10)*(INDEX(BookQ1,841)*(5-MIN(4,1+'5. Scenarios'!$B$8))/4+INDEX(BookQ2,841)*(5-MIN(4,2+'5. Scenarios'!$B$8))/4+INDEX(BookQ3,841)*(5-MIN(4,3+'5. Scenarios'!$B$8))/4+INDEX(BookQ4,841)*(5-MIN(4,4+'5. Scenarios'!$B$8))/4)*'5. Scenarios'!$B$6/(1+ProductivityDefault*('5. Scenarios'!$B$11-1))+INDEX(BookOneOff,841)*$D846)</f>
        <v/>
      </c>
      <c r="I846" s="56" t="str">
        <f aca="false">IF(INDEX(BookTitle,841)="","",INDEX(BookTotal,841)*'5. Scenarios'!$C$6/(1+ProductivityDefault*('5. Scenarios'!$C$11-1)))</f>
        <v/>
      </c>
      <c r="J846" s="57" t="str">
        <f aca="false">IF($I846="","",INDEX(BookRate,841)*(1+'5. Scenarios'!$C$10)*$I846)</f>
        <v/>
      </c>
      <c r="K846" s="57" t="str">
        <f aca="false">IF($J846="","",SUMIFS($J$6:$J$2405,$A$6:$A$2405,"&lt;="&amp;$A846))</f>
        <v/>
      </c>
      <c r="L846" s="57" t="str">
        <f aca="false">IF($J846="","",IF($K846&lt;=BankCostEnvelope*'5. Scenarios'!$C$7,1,0))</f>
        <v/>
      </c>
      <c r="M846" s="57" t="str">
        <f aca="false">IF($I846="","",INDEX(BookRate,841)*(1+'5. Scenarios'!$C$10)*(INDEX(BookQ1,841)*(5-MIN(4,1+'5. Scenarios'!$C$8))/4+INDEX(BookQ2,841)*(5-MIN(4,2+'5. Scenarios'!$C$8))/4+INDEX(BookQ3,841)*(5-MIN(4,3+'5. Scenarios'!$C$8))/4+INDEX(BookQ4,841)*(5-MIN(4,4+'5. Scenarios'!$C$8))/4)*'5. Scenarios'!$C$6/(1+ProductivityDefault*('5. Scenarios'!$C$11-1))+INDEX(BookOneOff,841)*$I846)</f>
        <v/>
      </c>
      <c r="N846" s="56" t="str">
        <f aca="false">IF(INDEX(BookTitle,841)="","",INDEX(BookTotal,841)*'5. Scenarios'!$D$6/(1+ProductivityDefault*('5. Scenarios'!$D$11-1)))</f>
        <v/>
      </c>
      <c r="O846" s="57" t="str">
        <f aca="false">IF($N846="","",INDEX(BookRate,841)*(1+'5. Scenarios'!$D$10)*$N846)</f>
        <v/>
      </c>
      <c r="P846" s="57" t="str">
        <f aca="false">IF($O846="","",SUMIFS($O$6:$O$2405,$A$6:$A$2405,"&lt;="&amp;$A846))</f>
        <v/>
      </c>
      <c r="Q846" s="57" t="str">
        <f aca="false">IF($O846="","",IF($P846&lt;=BankCostEnvelope*'5. Scenarios'!$D$7,1,0))</f>
        <v/>
      </c>
      <c r="R846" s="57" t="str">
        <f aca="false">IF($N846="","",INDEX(BookRate,841)*(1+'5. Scenarios'!$D$10)*(INDEX(BookQ1,841)*(5-MIN(4,1+'5. Scenarios'!$D$8))/4+INDEX(BookQ2,841)*(5-MIN(4,2+'5. Scenarios'!$D$8))/4+INDEX(BookQ3,841)*(5-MIN(4,3+'5. Scenarios'!$D$8))/4+INDEX(BookQ4,841)*(5-MIN(4,4+'5. Scenarios'!$D$8))/4)*'5. Scenarios'!$D$6/(1+ProductivityDefault*('5. Scenarios'!$D$11-1))+INDEX(BookOneOff,841)*$N846)</f>
        <v/>
      </c>
      <c r="S846" s="56" t="str">
        <f aca="false">IF(INDEX(BookTitle,841)="","",INDEX(BookTotal,841)*'5. Scenarios'!$E$6/(1+ProductivityDefault*('5. Scenarios'!$E$11-1)))</f>
        <v/>
      </c>
      <c r="T846" s="57" t="str">
        <f aca="false">IF($S846="","",INDEX(BookRate,841)*(1+'5. Scenarios'!$E$10)*$S846)</f>
        <v/>
      </c>
      <c r="U846" s="57" t="str">
        <f aca="false">IF($T846="","",SUMIFS($T$6:$T$2405,$A$6:$A$2405,"&lt;="&amp;$A846))</f>
        <v/>
      </c>
      <c r="V846" s="57" t="str">
        <f aca="false">IF($T846="","",IF($U846&lt;=BankCostEnvelope*'5. Scenarios'!$E$7,1,0))</f>
        <v/>
      </c>
      <c r="W846" s="57" t="str">
        <f aca="false">IF($S846="","",INDEX(BookRate,841)*(1+'5. Scenarios'!$E$10)*(INDEX(BookQ1,841)*(5-MIN(4,1+'5. Scenarios'!$E$8))/4+INDEX(BookQ2,841)*(5-MIN(4,2+'5. Scenarios'!$E$8))/4+INDEX(BookQ3,841)*(5-MIN(4,3+'5. Scenarios'!$E$8))/4+INDEX(BookQ4,841)*(5-MIN(4,4+'5. Scenarios'!$E$8))/4)*'5. Scenarios'!$E$6/(1+ProductivityDefault*('5. Scenarios'!$E$11-1))+INDEX(BookOneOff,841)*$S846)</f>
        <v/>
      </c>
    </row>
    <row r="847" customFormat="false" ht="15" hidden="false" customHeight="false" outlineLevel="0" collapsed="false">
      <c r="A847" s="0" t="str">
        <f aca="false">IF(INDEX(BookTitle,842)="","",INDEX(BookKey,842))</f>
        <v/>
      </c>
      <c r="B847" s="0" t="str">
        <f aca="false">IF(INDEX(BookTitle,842)="","",INDEX(BookGroup,842))</f>
        <v/>
      </c>
      <c r="C847" s="0" t="str">
        <f aca="false">IF(INDEX(BookTitle,842)="","",INDEX(BookCategory,842))</f>
        <v/>
      </c>
      <c r="D847" s="56" t="str">
        <f aca="false">IF(INDEX(BookTitle,842)="","",INDEX(BookTotal,842)*'5. Scenarios'!$B$6/(1+ProductivityDefault*('5. Scenarios'!$B$11-1)))</f>
        <v/>
      </c>
      <c r="E847" s="57" t="str">
        <f aca="false">IF($D847="","",INDEX(BookRate,842)*(1+'5. Scenarios'!$B$10)*$D847)</f>
        <v/>
      </c>
      <c r="F847" s="57" t="str">
        <f aca="false">IF($E847="","",SUMIFS($E$6:$E$2405,$A$6:$A$2405,"&lt;="&amp;$A847))</f>
        <v/>
      </c>
      <c r="G847" s="57" t="str">
        <f aca="false">IF($E847="","",IF($F847&lt;=BankCostEnvelope*'5. Scenarios'!$B$7,1,0))</f>
        <v/>
      </c>
      <c r="H847" s="57" t="str">
        <f aca="false">IF($D847="","",INDEX(BookRate,842)*(1+'5. Scenarios'!$B$10)*(INDEX(BookQ1,842)*(5-MIN(4,1+'5. Scenarios'!$B$8))/4+INDEX(BookQ2,842)*(5-MIN(4,2+'5. Scenarios'!$B$8))/4+INDEX(BookQ3,842)*(5-MIN(4,3+'5. Scenarios'!$B$8))/4+INDEX(BookQ4,842)*(5-MIN(4,4+'5. Scenarios'!$B$8))/4)*'5. Scenarios'!$B$6/(1+ProductivityDefault*('5. Scenarios'!$B$11-1))+INDEX(BookOneOff,842)*$D847)</f>
        <v/>
      </c>
      <c r="I847" s="56" t="str">
        <f aca="false">IF(INDEX(BookTitle,842)="","",INDEX(BookTotal,842)*'5. Scenarios'!$C$6/(1+ProductivityDefault*('5. Scenarios'!$C$11-1)))</f>
        <v/>
      </c>
      <c r="J847" s="57" t="str">
        <f aca="false">IF($I847="","",INDEX(BookRate,842)*(1+'5. Scenarios'!$C$10)*$I847)</f>
        <v/>
      </c>
      <c r="K847" s="57" t="str">
        <f aca="false">IF($J847="","",SUMIFS($J$6:$J$2405,$A$6:$A$2405,"&lt;="&amp;$A847))</f>
        <v/>
      </c>
      <c r="L847" s="57" t="str">
        <f aca="false">IF($J847="","",IF($K847&lt;=BankCostEnvelope*'5. Scenarios'!$C$7,1,0))</f>
        <v/>
      </c>
      <c r="M847" s="57" t="str">
        <f aca="false">IF($I847="","",INDEX(BookRate,842)*(1+'5. Scenarios'!$C$10)*(INDEX(BookQ1,842)*(5-MIN(4,1+'5. Scenarios'!$C$8))/4+INDEX(BookQ2,842)*(5-MIN(4,2+'5. Scenarios'!$C$8))/4+INDEX(BookQ3,842)*(5-MIN(4,3+'5. Scenarios'!$C$8))/4+INDEX(BookQ4,842)*(5-MIN(4,4+'5. Scenarios'!$C$8))/4)*'5. Scenarios'!$C$6/(1+ProductivityDefault*('5. Scenarios'!$C$11-1))+INDEX(BookOneOff,842)*$I847)</f>
        <v/>
      </c>
      <c r="N847" s="56" t="str">
        <f aca="false">IF(INDEX(BookTitle,842)="","",INDEX(BookTotal,842)*'5. Scenarios'!$D$6/(1+ProductivityDefault*('5. Scenarios'!$D$11-1)))</f>
        <v/>
      </c>
      <c r="O847" s="57" t="str">
        <f aca="false">IF($N847="","",INDEX(BookRate,842)*(1+'5. Scenarios'!$D$10)*$N847)</f>
        <v/>
      </c>
      <c r="P847" s="57" t="str">
        <f aca="false">IF($O847="","",SUMIFS($O$6:$O$2405,$A$6:$A$2405,"&lt;="&amp;$A847))</f>
        <v/>
      </c>
      <c r="Q847" s="57" t="str">
        <f aca="false">IF($O847="","",IF($P847&lt;=BankCostEnvelope*'5. Scenarios'!$D$7,1,0))</f>
        <v/>
      </c>
      <c r="R847" s="57" t="str">
        <f aca="false">IF($N847="","",INDEX(BookRate,842)*(1+'5. Scenarios'!$D$10)*(INDEX(BookQ1,842)*(5-MIN(4,1+'5. Scenarios'!$D$8))/4+INDEX(BookQ2,842)*(5-MIN(4,2+'5. Scenarios'!$D$8))/4+INDEX(BookQ3,842)*(5-MIN(4,3+'5. Scenarios'!$D$8))/4+INDEX(BookQ4,842)*(5-MIN(4,4+'5. Scenarios'!$D$8))/4)*'5. Scenarios'!$D$6/(1+ProductivityDefault*('5. Scenarios'!$D$11-1))+INDEX(BookOneOff,842)*$N847)</f>
        <v/>
      </c>
      <c r="S847" s="56" t="str">
        <f aca="false">IF(INDEX(BookTitle,842)="","",INDEX(BookTotal,842)*'5. Scenarios'!$E$6/(1+ProductivityDefault*('5. Scenarios'!$E$11-1)))</f>
        <v/>
      </c>
      <c r="T847" s="57" t="str">
        <f aca="false">IF($S847="","",INDEX(BookRate,842)*(1+'5. Scenarios'!$E$10)*$S847)</f>
        <v/>
      </c>
      <c r="U847" s="57" t="str">
        <f aca="false">IF($T847="","",SUMIFS($T$6:$T$2405,$A$6:$A$2405,"&lt;="&amp;$A847))</f>
        <v/>
      </c>
      <c r="V847" s="57" t="str">
        <f aca="false">IF($T847="","",IF($U847&lt;=BankCostEnvelope*'5. Scenarios'!$E$7,1,0))</f>
        <v/>
      </c>
      <c r="W847" s="57" t="str">
        <f aca="false">IF($S847="","",INDEX(BookRate,842)*(1+'5. Scenarios'!$E$10)*(INDEX(BookQ1,842)*(5-MIN(4,1+'5. Scenarios'!$E$8))/4+INDEX(BookQ2,842)*(5-MIN(4,2+'5. Scenarios'!$E$8))/4+INDEX(BookQ3,842)*(5-MIN(4,3+'5. Scenarios'!$E$8))/4+INDEX(BookQ4,842)*(5-MIN(4,4+'5. Scenarios'!$E$8))/4)*'5. Scenarios'!$E$6/(1+ProductivityDefault*('5. Scenarios'!$E$11-1))+INDEX(BookOneOff,842)*$S847)</f>
        <v/>
      </c>
    </row>
    <row r="848" customFormat="false" ht="15" hidden="false" customHeight="false" outlineLevel="0" collapsed="false">
      <c r="A848" s="0" t="str">
        <f aca="false">IF(INDEX(BookTitle,843)="","",INDEX(BookKey,843))</f>
        <v/>
      </c>
      <c r="B848" s="0" t="str">
        <f aca="false">IF(INDEX(BookTitle,843)="","",INDEX(BookGroup,843))</f>
        <v/>
      </c>
      <c r="C848" s="0" t="str">
        <f aca="false">IF(INDEX(BookTitle,843)="","",INDEX(BookCategory,843))</f>
        <v/>
      </c>
      <c r="D848" s="56" t="str">
        <f aca="false">IF(INDEX(BookTitle,843)="","",INDEX(BookTotal,843)*'5. Scenarios'!$B$6/(1+ProductivityDefault*('5. Scenarios'!$B$11-1)))</f>
        <v/>
      </c>
      <c r="E848" s="57" t="str">
        <f aca="false">IF($D848="","",INDEX(BookRate,843)*(1+'5. Scenarios'!$B$10)*$D848)</f>
        <v/>
      </c>
      <c r="F848" s="57" t="str">
        <f aca="false">IF($E848="","",SUMIFS($E$6:$E$2405,$A$6:$A$2405,"&lt;="&amp;$A848))</f>
        <v/>
      </c>
      <c r="G848" s="57" t="str">
        <f aca="false">IF($E848="","",IF($F848&lt;=BankCostEnvelope*'5. Scenarios'!$B$7,1,0))</f>
        <v/>
      </c>
      <c r="H848" s="57" t="str">
        <f aca="false">IF($D848="","",INDEX(BookRate,843)*(1+'5. Scenarios'!$B$10)*(INDEX(BookQ1,843)*(5-MIN(4,1+'5. Scenarios'!$B$8))/4+INDEX(BookQ2,843)*(5-MIN(4,2+'5. Scenarios'!$B$8))/4+INDEX(BookQ3,843)*(5-MIN(4,3+'5. Scenarios'!$B$8))/4+INDEX(BookQ4,843)*(5-MIN(4,4+'5. Scenarios'!$B$8))/4)*'5. Scenarios'!$B$6/(1+ProductivityDefault*('5. Scenarios'!$B$11-1))+INDEX(BookOneOff,843)*$D848)</f>
        <v/>
      </c>
      <c r="I848" s="56" t="str">
        <f aca="false">IF(INDEX(BookTitle,843)="","",INDEX(BookTotal,843)*'5. Scenarios'!$C$6/(1+ProductivityDefault*('5. Scenarios'!$C$11-1)))</f>
        <v/>
      </c>
      <c r="J848" s="57" t="str">
        <f aca="false">IF($I848="","",INDEX(BookRate,843)*(1+'5. Scenarios'!$C$10)*$I848)</f>
        <v/>
      </c>
      <c r="K848" s="57" t="str">
        <f aca="false">IF($J848="","",SUMIFS($J$6:$J$2405,$A$6:$A$2405,"&lt;="&amp;$A848))</f>
        <v/>
      </c>
      <c r="L848" s="57" t="str">
        <f aca="false">IF($J848="","",IF($K848&lt;=BankCostEnvelope*'5. Scenarios'!$C$7,1,0))</f>
        <v/>
      </c>
      <c r="M848" s="57" t="str">
        <f aca="false">IF($I848="","",INDEX(BookRate,843)*(1+'5. Scenarios'!$C$10)*(INDEX(BookQ1,843)*(5-MIN(4,1+'5. Scenarios'!$C$8))/4+INDEX(BookQ2,843)*(5-MIN(4,2+'5. Scenarios'!$C$8))/4+INDEX(BookQ3,843)*(5-MIN(4,3+'5. Scenarios'!$C$8))/4+INDEX(BookQ4,843)*(5-MIN(4,4+'5. Scenarios'!$C$8))/4)*'5. Scenarios'!$C$6/(1+ProductivityDefault*('5. Scenarios'!$C$11-1))+INDEX(BookOneOff,843)*$I848)</f>
        <v/>
      </c>
      <c r="N848" s="56" t="str">
        <f aca="false">IF(INDEX(BookTitle,843)="","",INDEX(BookTotal,843)*'5. Scenarios'!$D$6/(1+ProductivityDefault*('5. Scenarios'!$D$11-1)))</f>
        <v/>
      </c>
      <c r="O848" s="57" t="str">
        <f aca="false">IF($N848="","",INDEX(BookRate,843)*(1+'5. Scenarios'!$D$10)*$N848)</f>
        <v/>
      </c>
      <c r="P848" s="57" t="str">
        <f aca="false">IF($O848="","",SUMIFS($O$6:$O$2405,$A$6:$A$2405,"&lt;="&amp;$A848))</f>
        <v/>
      </c>
      <c r="Q848" s="57" t="str">
        <f aca="false">IF($O848="","",IF($P848&lt;=BankCostEnvelope*'5. Scenarios'!$D$7,1,0))</f>
        <v/>
      </c>
      <c r="R848" s="57" t="str">
        <f aca="false">IF($N848="","",INDEX(BookRate,843)*(1+'5. Scenarios'!$D$10)*(INDEX(BookQ1,843)*(5-MIN(4,1+'5. Scenarios'!$D$8))/4+INDEX(BookQ2,843)*(5-MIN(4,2+'5. Scenarios'!$D$8))/4+INDEX(BookQ3,843)*(5-MIN(4,3+'5. Scenarios'!$D$8))/4+INDEX(BookQ4,843)*(5-MIN(4,4+'5. Scenarios'!$D$8))/4)*'5. Scenarios'!$D$6/(1+ProductivityDefault*('5. Scenarios'!$D$11-1))+INDEX(BookOneOff,843)*$N848)</f>
        <v/>
      </c>
      <c r="S848" s="56" t="str">
        <f aca="false">IF(INDEX(BookTitle,843)="","",INDEX(BookTotal,843)*'5. Scenarios'!$E$6/(1+ProductivityDefault*('5. Scenarios'!$E$11-1)))</f>
        <v/>
      </c>
      <c r="T848" s="57" t="str">
        <f aca="false">IF($S848="","",INDEX(BookRate,843)*(1+'5. Scenarios'!$E$10)*$S848)</f>
        <v/>
      </c>
      <c r="U848" s="57" t="str">
        <f aca="false">IF($T848="","",SUMIFS($T$6:$T$2405,$A$6:$A$2405,"&lt;="&amp;$A848))</f>
        <v/>
      </c>
      <c r="V848" s="57" t="str">
        <f aca="false">IF($T848="","",IF($U848&lt;=BankCostEnvelope*'5. Scenarios'!$E$7,1,0))</f>
        <v/>
      </c>
      <c r="W848" s="57" t="str">
        <f aca="false">IF($S848="","",INDEX(BookRate,843)*(1+'5. Scenarios'!$E$10)*(INDEX(BookQ1,843)*(5-MIN(4,1+'5. Scenarios'!$E$8))/4+INDEX(BookQ2,843)*(5-MIN(4,2+'5. Scenarios'!$E$8))/4+INDEX(BookQ3,843)*(5-MIN(4,3+'5. Scenarios'!$E$8))/4+INDEX(BookQ4,843)*(5-MIN(4,4+'5. Scenarios'!$E$8))/4)*'5. Scenarios'!$E$6/(1+ProductivityDefault*('5. Scenarios'!$E$11-1))+INDEX(BookOneOff,843)*$S848)</f>
        <v/>
      </c>
    </row>
    <row r="849" customFormat="false" ht="15" hidden="false" customHeight="false" outlineLevel="0" collapsed="false">
      <c r="A849" s="0" t="str">
        <f aca="false">IF(INDEX(BookTitle,844)="","",INDEX(BookKey,844))</f>
        <v/>
      </c>
      <c r="B849" s="0" t="str">
        <f aca="false">IF(INDEX(BookTitle,844)="","",INDEX(BookGroup,844))</f>
        <v/>
      </c>
      <c r="C849" s="0" t="str">
        <f aca="false">IF(INDEX(BookTitle,844)="","",INDEX(BookCategory,844))</f>
        <v/>
      </c>
      <c r="D849" s="56" t="str">
        <f aca="false">IF(INDEX(BookTitle,844)="","",INDEX(BookTotal,844)*'5. Scenarios'!$B$6/(1+ProductivityDefault*('5. Scenarios'!$B$11-1)))</f>
        <v/>
      </c>
      <c r="E849" s="57" t="str">
        <f aca="false">IF($D849="","",INDEX(BookRate,844)*(1+'5. Scenarios'!$B$10)*$D849)</f>
        <v/>
      </c>
      <c r="F849" s="57" t="str">
        <f aca="false">IF($E849="","",SUMIFS($E$6:$E$2405,$A$6:$A$2405,"&lt;="&amp;$A849))</f>
        <v/>
      </c>
      <c r="G849" s="57" t="str">
        <f aca="false">IF($E849="","",IF($F849&lt;=BankCostEnvelope*'5. Scenarios'!$B$7,1,0))</f>
        <v/>
      </c>
      <c r="H849" s="57" t="str">
        <f aca="false">IF($D849="","",INDEX(BookRate,844)*(1+'5. Scenarios'!$B$10)*(INDEX(BookQ1,844)*(5-MIN(4,1+'5. Scenarios'!$B$8))/4+INDEX(BookQ2,844)*(5-MIN(4,2+'5. Scenarios'!$B$8))/4+INDEX(BookQ3,844)*(5-MIN(4,3+'5. Scenarios'!$B$8))/4+INDEX(BookQ4,844)*(5-MIN(4,4+'5. Scenarios'!$B$8))/4)*'5. Scenarios'!$B$6/(1+ProductivityDefault*('5. Scenarios'!$B$11-1))+INDEX(BookOneOff,844)*$D849)</f>
        <v/>
      </c>
      <c r="I849" s="56" t="str">
        <f aca="false">IF(INDEX(BookTitle,844)="","",INDEX(BookTotal,844)*'5. Scenarios'!$C$6/(1+ProductivityDefault*('5. Scenarios'!$C$11-1)))</f>
        <v/>
      </c>
      <c r="J849" s="57" t="str">
        <f aca="false">IF($I849="","",INDEX(BookRate,844)*(1+'5. Scenarios'!$C$10)*$I849)</f>
        <v/>
      </c>
      <c r="K849" s="57" t="str">
        <f aca="false">IF($J849="","",SUMIFS($J$6:$J$2405,$A$6:$A$2405,"&lt;="&amp;$A849))</f>
        <v/>
      </c>
      <c r="L849" s="57" t="str">
        <f aca="false">IF($J849="","",IF($K849&lt;=BankCostEnvelope*'5. Scenarios'!$C$7,1,0))</f>
        <v/>
      </c>
      <c r="M849" s="57" t="str">
        <f aca="false">IF($I849="","",INDEX(BookRate,844)*(1+'5. Scenarios'!$C$10)*(INDEX(BookQ1,844)*(5-MIN(4,1+'5. Scenarios'!$C$8))/4+INDEX(BookQ2,844)*(5-MIN(4,2+'5. Scenarios'!$C$8))/4+INDEX(BookQ3,844)*(5-MIN(4,3+'5. Scenarios'!$C$8))/4+INDEX(BookQ4,844)*(5-MIN(4,4+'5. Scenarios'!$C$8))/4)*'5. Scenarios'!$C$6/(1+ProductivityDefault*('5. Scenarios'!$C$11-1))+INDEX(BookOneOff,844)*$I849)</f>
        <v/>
      </c>
      <c r="N849" s="56" t="str">
        <f aca="false">IF(INDEX(BookTitle,844)="","",INDEX(BookTotal,844)*'5. Scenarios'!$D$6/(1+ProductivityDefault*('5. Scenarios'!$D$11-1)))</f>
        <v/>
      </c>
      <c r="O849" s="57" t="str">
        <f aca="false">IF($N849="","",INDEX(BookRate,844)*(1+'5. Scenarios'!$D$10)*$N849)</f>
        <v/>
      </c>
      <c r="P849" s="57" t="str">
        <f aca="false">IF($O849="","",SUMIFS($O$6:$O$2405,$A$6:$A$2405,"&lt;="&amp;$A849))</f>
        <v/>
      </c>
      <c r="Q849" s="57" t="str">
        <f aca="false">IF($O849="","",IF($P849&lt;=BankCostEnvelope*'5. Scenarios'!$D$7,1,0))</f>
        <v/>
      </c>
      <c r="R849" s="57" t="str">
        <f aca="false">IF($N849="","",INDEX(BookRate,844)*(1+'5. Scenarios'!$D$10)*(INDEX(BookQ1,844)*(5-MIN(4,1+'5. Scenarios'!$D$8))/4+INDEX(BookQ2,844)*(5-MIN(4,2+'5. Scenarios'!$D$8))/4+INDEX(BookQ3,844)*(5-MIN(4,3+'5. Scenarios'!$D$8))/4+INDEX(BookQ4,844)*(5-MIN(4,4+'5. Scenarios'!$D$8))/4)*'5. Scenarios'!$D$6/(1+ProductivityDefault*('5. Scenarios'!$D$11-1))+INDEX(BookOneOff,844)*$N849)</f>
        <v/>
      </c>
      <c r="S849" s="56" t="str">
        <f aca="false">IF(INDEX(BookTitle,844)="","",INDEX(BookTotal,844)*'5. Scenarios'!$E$6/(1+ProductivityDefault*('5. Scenarios'!$E$11-1)))</f>
        <v/>
      </c>
      <c r="T849" s="57" t="str">
        <f aca="false">IF($S849="","",INDEX(BookRate,844)*(1+'5. Scenarios'!$E$10)*$S849)</f>
        <v/>
      </c>
      <c r="U849" s="57" t="str">
        <f aca="false">IF($T849="","",SUMIFS($T$6:$T$2405,$A$6:$A$2405,"&lt;="&amp;$A849))</f>
        <v/>
      </c>
      <c r="V849" s="57" t="str">
        <f aca="false">IF($T849="","",IF($U849&lt;=BankCostEnvelope*'5. Scenarios'!$E$7,1,0))</f>
        <v/>
      </c>
      <c r="W849" s="57" t="str">
        <f aca="false">IF($S849="","",INDEX(BookRate,844)*(1+'5. Scenarios'!$E$10)*(INDEX(BookQ1,844)*(5-MIN(4,1+'5. Scenarios'!$E$8))/4+INDEX(BookQ2,844)*(5-MIN(4,2+'5. Scenarios'!$E$8))/4+INDEX(BookQ3,844)*(5-MIN(4,3+'5. Scenarios'!$E$8))/4+INDEX(BookQ4,844)*(5-MIN(4,4+'5. Scenarios'!$E$8))/4)*'5. Scenarios'!$E$6/(1+ProductivityDefault*('5. Scenarios'!$E$11-1))+INDEX(BookOneOff,844)*$S849)</f>
        <v/>
      </c>
    </row>
    <row r="850" customFormat="false" ht="15" hidden="false" customHeight="false" outlineLevel="0" collapsed="false">
      <c r="A850" s="0" t="str">
        <f aca="false">IF(INDEX(BookTitle,845)="","",INDEX(BookKey,845))</f>
        <v/>
      </c>
      <c r="B850" s="0" t="str">
        <f aca="false">IF(INDEX(BookTitle,845)="","",INDEX(BookGroup,845))</f>
        <v/>
      </c>
      <c r="C850" s="0" t="str">
        <f aca="false">IF(INDEX(BookTitle,845)="","",INDEX(BookCategory,845))</f>
        <v/>
      </c>
      <c r="D850" s="56" t="str">
        <f aca="false">IF(INDEX(BookTitle,845)="","",INDEX(BookTotal,845)*'5. Scenarios'!$B$6/(1+ProductivityDefault*('5. Scenarios'!$B$11-1)))</f>
        <v/>
      </c>
      <c r="E850" s="57" t="str">
        <f aca="false">IF($D850="","",INDEX(BookRate,845)*(1+'5. Scenarios'!$B$10)*$D850)</f>
        <v/>
      </c>
      <c r="F850" s="57" t="str">
        <f aca="false">IF($E850="","",SUMIFS($E$6:$E$2405,$A$6:$A$2405,"&lt;="&amp;$A850))</f>
        <v/>
      </c>
      <c r="G850" s="57" t="str">
        <f aca="false">IF($E850="","",IF($F850&lt;=BankCostEnvelope*'5. Scenarios'!$B$7,1,0))</f>
        <v/>
      </c>
      <c r="H850" s="57" t="str">
        <f aca="false">IF($D850="","",INDEX(BookRate,845)*(1+'5. Scenarios'!$B$10)*(INDEX(BookQ1,845)*(5-MIN(4,1+'5. Scenarios'!$B$8))/4+INDEX(BookQ2,845)*(5-MIN(4,2+'5. Scenarios'!$B$8))/4+INDEX(BookQ3,845)*(5-MIN(4,3+'5. Scenarios'!$B$8))/4+INDEX(BookQ4,845)*(5-MIN(4,4+'5. Scenarios'!$B$8))/4)*'5. Scenarios'!$B$6/(1+ProductivityDefault*('5. Scenarios'!$B$11-1))+INDEX(BookOneOff,845)*$D850)</f>
        <v/>
      </c>
      <c r="I850" s="56" t="str">
        <f aca="false">IF(INDEX(BookTitle,845)="","",INDEX(BookTotal,845)*'5. Scenarios'!$C$6/(1+ProductivityDefault*('5. Scenarios'!$C$11-1)))</f>
        <v/>
      </c>
      <c r="J850" s="57" t="str">
        <f aca="false">IF($I850="","",INDEX(BookRate,845)*(1+'5. Scenarios'!$C$10)*$I850)</f>
        <v/>
      </c>
      <c r="K850" s="57" t="str">
        <f aca="false">IF($J850="","",SUMIFS($J$6:$J$2405,$A$6:$A$2405,"&lt;="&amp;$A850))</f>
        <v/>
      </c>
      <c r="L850" s="57" t="str">
        <f aca="false">IF($J850="","",IF($K850&lt;=BankCostEnvelope*'5. Scenarios'!$C$7,1,0))</f>
        <v/>
      </c>
      <c r="M850" s="57" t="str">
        <f aca="false">IF($I850="","",INDEX(BookRate,845)*(1+'5. Scenarios'!$C$10)*(INDEX(BookQ1,845)*(5-MIN(4,1+'5. Scenarios'!$C$8))/4+INDEX(BookQ2,845)*(5-MIN(4,2+'5. Scenarios'!$C$8))/4+INDEX(BookQ3,845)*(5-MIN(4,3+'5. Scenarios'!$C$8))/4+INDEX(BookQ4,845)*(5-MIN(4,4+'5. Scenarios'!$C$8))/4)*'5. Scenarios'!$C$6/(1+ProductivityDefault*('5. Scenarios'!$C$11-1))+INDEX(BookOneOff,845)*$I850)</f>
        <v/>
      </c>
      <c r="N850" s="56" t="str">
        <f aca="false">IF(INDEX(BookTitle,845)="","",INDEX(BookTotal,845)*'5. Scenarios'!$D$6/(1+ProductivityDefault*('5. Scenarios'!$D$11-1)))</f>
        <v/>
      </c>
      <c r="O850" s="57" t="str">
        <f aca="false">IF($N850="","",INDEX(BookRate,845)*(1+'5. Scenarios'!$D$10)*$N850)</f>
        <v/>
      </c>
      <c r="P850" s="57" t="str">
        <f aca="false">IF($O850="","",SUMIFS($O$6:$O$2405,$A$6:$A$2405,"&lt;="&amp;$A850))</f>
        <v/>
      </c>
      <c r="Q850" s="57" t="str">
        <f aca="false">IF($O850="","",IF($P850&lt;=BankCostEnvelope*'5. Scenarios'!$D$7,1,0))</f>
        <v/>
      </c>
      <c r="R850" s="57" t="str">
        <f aca="false">IF($N850="","",INDEX(BookRate,845)*(1+'5. Scenarios'!$D$10)*(INDEX(BookQ1,845)*(5-MIN(4,1+'5. Scenarios'!$D$8))/4+INDEX(BookQ2,845)*(5-MIN(4,2+'5. Scenarios'!$D$8))/4+INDEX(BookQ3,845)*(5-MIN(4,3+'5. Scenarios'!$D$8))/4+INDEX(BookQ4,845)*(5-MIN(4,4+'5. Scenarios'!$D$8))/4)*'5. Scenarios'!$D$6/(1+ProductivityDefault*('5. Scenarios'!$D$11-1))+INDEX(BookOneOff,845)*$N850)</f>
        <v/>
      </c>
      <c r="S850" s="56" t="str">
        <f aca="false">IF(INDEX(BookTitle,845)="","",INDEX(BookTotal,845)*'5. Scenarios'!$E$6/(1+ProductivityDefault*('5. Scenarios'!$E$11-1)))</f>
        <v/>
      </c>
      <c r="T850" s="57" t="str">
        <f aca="false">IF($S850="","",INDEX(BookRate,845)*(1+'5. Scenarios'!$E$10)*$S850)</f>
        <v/>
      </c>
      <c r="U850" s="57" t="str">
        <f aca="false">IF($T850="","",SUMIFS($T$6:$T$2405,$A$6:$A$2405,"&lt;="&amp;$A850))</f>
        <v/>
      </c>
      <c r="V850" s="57" t="str">
        <f aca="false">IF($T850="","",IF($U850&lt;=BankCostEnvelope*'5. Scenarios'!$E$7,1,0))</f>
        <v/>
      </c>
      <c r="W850" s="57" t="str">
        <f aca="false">IF($S850="","",INDEX(BookRate,845)*(1+'5. Scenarios'!$E$10)*(INDEX(BookQ1,845)*(5-MIN(4,1+'5. Scenarios'!$E$8))/4+INDEX(BookQ2,845)*(5-MIN(4,2+'5. Scenarios'!$E$8))/4+INDEX(BookQ3,845)*(5-MIN(4,3+'5. Scenarios'!$E$8))/4+INDEX(BookQ4,845)*(5-MIN(4,4+'5. Scenarios'!$E$8))/4)*'5. Scenarios'!$E$6/(1+ProductivityDefault*('5. Scenarios'!$E$11-1))+INDEX(BookOneOff,845)*$S850)</f>
        <v/>
      </c>
    </row>
    <row r="851" customFormat="false" ht="15" hidden="false" customHeight="false" outlineLevel="0" collapsed="false">
      <c r="A851" s="0" t="str">
        <f aca="false">IF(INDEX(BookTitle,846)="","",INDEX(BookKey,846))</f>
        <v/>
      </c>
      <c r="B851" s="0" t="str">
        <f aca="false">IF(INDEX(BookTitle,846)="","",INDEX(BookGroup,846))</f>
        <v/>
      </c>
      <c r="C851" s="0" t="str">
        <f aca="false">IF(INDEX(BookTitle,846)="","",INDEX(BookCategory,846))</f>
        <v/>
      </c>
      <c r="D851" s="56" t="str">
        <f aca="false">IF(INDEX(BookTitle,846)="","",INDEX(BookTotal,846)*'5. Scenarios'!$B$6/(1+ProductivityDefault*('5. Scenarios'!$B$11-1)))</f>
        <v/>
      </c>
      <c r="E851" s="57" t="str">
        <f aca="false">IF($D851="","",INDEX(BookRate,846)*(1+'5. Scenarios'!$B$10)*$D851)</f>
        <v/>
      </c>
      <c r="F851" s="57" t="str">
        <f aca="false">IF($E851="","",SUMIFS($E$6:$E$2405,$A$6:$A$2405,"&lt;="&amp;$A851))</f>
        <v/>
      </c>
      <c r="G851" s="57" t="str">
        <f aca="false">IF($E851="","",IF($F851&lt;=BankCostEnvelope*'5. Scenarios'!$B$7,1,0))</f>
        <v/>
      </c>
      <c r="H851" s="57" t="str">
        <f aca="false">IF($D851="","",INDEX(BookRate,846)*(1+'5. Scenarios'!$B$10)*(INDEX(BookQ1,846)*(5-MIN(4,1+'5. Scenarios'!$B$8))/4+INDEX(BookQ2,846)*(5-MIN(4,2+'5. Scenarios'!$B$8))/4+INDEX(BookQ3,846)*(5-MIN(4,3+'5. Scenarios'!$B$8))/4+INDEX(BookQ4,846)*(5-MIN(4,4+'5. Scenarios'!$B$8))/4)*'5. Scenarios'!$B$6/(1+ProductivityDefault*('5. Scenarios'!$B$11-1))+INDEX(BookOneOff,846)*$D851)</f>
        <v/>
      </c>
      <c r="I851" s="56" t="str">
        <f aca="false">IF(INDEX(BookTitle,846)="","",INDEX(BookTotal,846)*'5. Scenarios'!$C$6/(1+ProductivityDefault*('5. Scenarios'!$C$11-1)))</f>
        <v/>
      </c>
      <c r="J851" s="57" t="str">
        <f aca="false">IF($I851="","",INDEX(BookRate,846)*(1+'5. Scenarios'!$C$10)*$I851)</f>
        <v/>
      </c>
      <c r="K851" s="57" t="str">
        <f aca="false">IF($J851="","",SUMIFS($J$6:$J$2405,$A$6:$A$2405,"&lt;="&amp;$A851))</f>
        <v/>
      </c>
      <c r="L851" s="57" t="str">
        <f aca="false">IF($J851="","",IF($K851&lt;=BankCostEnvelope*'5. Scenarios'!$C$7,1,0))</f>
        <v/>
      </c>
      <c r="M851" s="57" t="str">
        <f aca="false">IF($I851="","",INDEX(BookRate,846)*(1+'5. Scenarios'!$C$10)*(INDEX(BookQ1,846)*(5-MIN(4,1+'5. Scenarios'!$C$8))/4+INDEX(BookQ2,846)*(5-MIN(4,2+'5. Scenarios'!$C$8))/4+INDEX(BookQ3,846)*(5-MIN(4,3+'5. Scenarios'!$C$8))/4+INDEX(BookQ4,846)*(5-MIN(4,4+'5. Scenarios'!$C$8))/4)*'5. Scenarios'!$C$6/(1+ProductivityDefault*('5. Scenarios'!$C$11-1))+INDEX(BookOneOff,846)*$I851)</f>
        <v/>
      </c>
      <c r="N851" s="56" t="str">
        <f aca="false">IF(INDEX(BookTitle,846)="","",INDEX(BookTotal,846)*'5. Scenarios'!$D$6/(1+ProductivityDefault*('5. Scenarios'!$D$11-1)))</f>
        <v/>
      </c>
      <c r="O851" s="57" t="str">
        <f aca="false">IF($N851="","",INDEX(BookRate,846)*(1+'5. Scenarios'!$D$10)*$N851)</f>
        <v/>
      </c>
      <c r="P851" s="57" t="str">
        <f aca="false">IF($O851="","",SUMIFS($O$6:$O$2405,$A$6:$A$2405,"&lt;="&amp;$A851))</f>
        <v/>
      </c>
      <c r="Q851" s="57" t="str">
        <f aca="false">IF($O851="","",IF($P851&lt;=BankCostEnvelope*'5. Scenarios'!$D$7,1,0))</f>
        <v/>
      </c>
      <c r="R851" s="57" t="str">
        <f aca="false">IF($N851="","",INDEX(BookRate,846)*(1+'5. Scenarios'!$D$10)*(INDEX(BookQ1,846)*(5-MIN(4,1+'5. Scenarios'!$D$8))/4+INDEX(BookQ2,846)*(5-MIN(4,2+'5. Scenarios'!$D$8))/4+INDEX(BookQ3,846)*(5-MIN(4,3+'5. Scenarios'!$D$8))/4+INDEX(BookQ4,846)*(5-MIN(4,4+'5. Scenarios'!$D$8))/4)*'5. Scenarios'!$D$6/(1+ProductivityDefault*('5. Scenarios'!$D$11-1))+INDEX(BookOneOff,846)*$N851)</f>
        <v/>
      </c>
      <c r="S851" s="56" t="str">
        <f aca="false">IF(INDEX(BookTitle,846)="","",INDEX(BookTotal,846)*'5. Scenarios'!$E$6/(1+ProductivityDefault*('5. Scenarios'!$E$11-1)))</f>
        <v/>
      </c>
      <c r="T851" s="57" t="str">
        <f aca="false">IF($S851="","",INDEX(BookRate,846)*(1+'5. Scenarios'!$E$10)*$S851)</f>
        <v/>
      </c>
      <c r="U851" s="57" t="str">
        <f aca="false">IF($T851="","",SUMIFS($T$6:$T$2405,$A$6:$A$2405,"&lt;="&amp;$A851))</f>
        <v/>
      </c>
      <c r="V851" s="57" t="str">
        <f aca="false">IF($T851="","",IF($U851&lt;=BankCostEnvelope*'5. Scenarios'!$E$7,1,0))</f>
        <v/>
      </c>
      <c r="W851" s="57" t="str">
        <f aca="false">IF($S851="","",INDEX(BookRate,846)*(1+'5. Scenarios'!$E$10)*(INDEX(BookQ1,846)*(5-MIN(4,1+'5. Scenarios'!$E$8))/4+INDEX(BookQ2,846)*(5-MIN(4,2+'5. Scenarios'!$E$8))/4+INDEX(BookQ3,846)*(5-MIN(4,3+'5. Scenarios'!$E$8))/4+INDEX(BookQ4,846)*(5-MIN(4,4+'5. Scenarios'!$E$8))/4)*'5. Scenarios'!$E$6/(1+ProductivityDefault*('5. Scenarios'!$E$11-1))+INDEX(BookOneOff,846)*$S851)</f>
        <v/>
      </c>
    </row>
    <row r="852" customFormat="false" ht="15" hidden="false" customHeight="false" outlineLevel="0" collapsed="false">
      <c r="A852" s="0" t="str">
        <f aca="false">IF(INDEX(BookTitle,847)="","",INDEX(BookKey,847))</f>
        <v/>
      </c>
      <c r="B852" s="0" t="str">
        <f aca="false">IF(INDEX(BookTitle,847)="","",INDEX(BookGroup,847))</f>
        <v/>
      </c>
      <c r="C852" s="0" t="str">
        <f aca="false">IF(INDEX(BookTitle,847)="","",INDEX(BookCategory,847))</f>
        <v/>
      </c>
      <c r="D852" s="56" t="str">
        <f aca="false">IF(INDEX(BookTitle,847)="","",INDEX(BookTotal,847)*'5. Scenarios'!$B$6/(1+ProductivityDefault*('5. Scenarios'!$B$11-1)))</f>
        <v/>
      </c>
      <c r="E852" s="57" t="str">
        <f aca="false">IF($D852="","",INDEX(BookRate,847)*(1+'5. Scenarios'!$B$10)*$D852)</f>
        <v/>
      </c>
      <c r="F852" s="57" t="str">
        <f aca="false">IF($E852="","",SUMIFS($E$6:$E$2405,$A$6:$A$2405,"&lt;="&amp;$A852))</f>
        <v/>
      </c>
      <c r="G852" s="57" t="str">
        <f aca="false">IF($E852="","",IF($F852&lt;=BankCostEnvelope*'5. Scenarios'!$B$7,1,0))</f>
        <v/>
      </c>
      <c r="H852" s="57" t="str">
        <f aca="false">IF($D852="","",INDEX(BookRate,847)*(1+'5. Scenarios'!$B$10)*(INDEX(BookQ1,847)*(5-MIN(4,1+'5. Scenarios'!$B$8))/4+INDEX(BookQ2,847)*(5-MIN(4,2+'5. Scenarios'!$B$8))/4+INDEX(BookQ3,847)*(5-MIN(4,3+'5. Scenarios'!$B$8))/4+INDEX(BookQ4,847)*(5-MIN(4,4+'5. Scenarios'!$B$8))/4)*'5. Scenarios'!$B$6/(1+ProductivityDefault*('5. Scenarios'!$B$11-1))+INDEX(BookOneOff,847)*$D852)</f>
        <v/>
      </c>
      <c r="I852" s="56" t="str">
        <f aca="false">IF(INDEX(BookTitle,847)="","",INDEX(BookTotal,847)*'5. Scenarios'!$C$6/(1+ProductivityDefault*('5. Scenarios'!$C$11-1)))</f>
        <v/>
      </c>
      <c r="J852" s="57" t="str">
        <f aca="false">IF($I852="","",INDEX(BookRate,847)*(1+'5. Scenarios'!$C$10)*$I852)</f>
        <v/>
      </c>
      <c r="K852" s="57" t="str">
        <f aca="false">IF($J852="","",SUMIFS($J$6:$J$2405,$A$6:$A$2405,"&lt;="&amp;$A852))</f>
        <v/>
      </c>
      <c r="L852" s="57" t="str">
        <f aca="false">IF($J852="","",IF($K852&lt;=BankCostEnvelope*'5. Scenarios'!$C$7,1,0))</f>
        <v/>
      </c>
      <c r="M852" s="57" t="str">
        <f aca="false">IF($I852="","",INDEX(BookRate,847)*(1+'5. Scenarios'!$C$10)*(INDEX(BookQ1,847)*(5-MIN(4,1+'5. Scenarios'!$C$8))/4+INDEX(BookQ2,847)*(5-MIN(4,2+'5. Scenarios'!$C$8))/4+INDEX(BookQ3,847)*(5-MIN(4,3+'5. Scenarios'!$C$8))/4+INDEX(BookQ4,847)*(5-MIN(4,4+'5. Scenarios'!$C$8))/4)*'5. Scenarios'!$C$6/(1+ProductivityDefault*('5. Scenarios'!$C$11-1))+INDEX(BookOneOff,847)*$I852)</f>
        <v/>
      </c>
      <c r="N852" s="56" t="str">
        <f aca="false">IF(INDEX(BookTitle,847)="","",INDEX(BookTotal,847)*'5. Scenarios'!$D$6/(1+ProductivityDefault*('5. Scenarios'!$D$11-1)))</f>
        <v/>
      </c>
      <c r="O852" s="57" t="str">
        <f aca="false">IF($N852="","",INDEX(BookRate,847)*(1+'5. Scenarios'!$D$10)*$N852)</f>
        <v/>
      </c>
      <c r="P852" s="57" t="str">
        <f aca="false">IF($O852="","",SUMIFS($O$6:$O$2405,$A$6:$A$2405,"&lt;="&amp;$A852))</f>
        <v/>
      </c>
      <c r="Q852" s="57" t="str">
        <f aca="false">IF($O852="","",IF($P852&lt;=BankCostEnvelope*'5. Scenarios'!$D$7,1,0))</f>
        <v/>
      </c>
      <c r="R852" s="57" t="str">
        <f aca="false">IF($N852="","",INDEX(BookRate,847)*(1+'5. Scenarios'!$D$10)*(INDEX(BookQ1,847)*(5-MIN(4,1+'5. Scenarios'!$D$8))/4+INDEX(BookQ2,847)*(5-MIN(4,2+'5. Scenarios'!$D$8))/4+INDEX(BookQ3,847)*(5-MIN(4,3+'5. Scenarios'!$D$8))/4+INDEX(BookQ4,847)*(5-MIN(4,4+'5. Scenarios'!$D$8))/4)*'5. Scenarios'!$D$6/(1+ProductivityDefault*('5. Scenarios'!$D$11-1))+INDEX(BookOneOff,847)*$N852)</f>
        <v/>
      </c>
      <c r="S852" s="56" t="str">
        <f aca="false">IF(INDEX(BookTitle,847)="","",INDEX(BookTotal,847)*'5. Scenarios'!$E$6/(1+ProductivityDefault*('5. Scenarios'!$E$11-1)))</f>
        <v/>
      </c>
      <c r="T852" s="57" t="str">
        <f aca="false">IF($S852="","",INDEX(BookRate,847)*(1+'5. Scenarios'!$E$10)*$S852)</f>
        <v/>
      </c>
      <c r="U852" s="57" t="str">
        <f aca="false">IF($T852="","",SUMIFS($T$6:$T$2405,$A$6:$A$2405,"&lt;="&amp;$A852))</f>
        <v/>
      </c>
      <c r="V852" s="57" t="str">
        <f aca="false">IF($T852="","",IF($U852&lt;=BankCostEnvelope*'5. Scenarios'!$E$7,1,0))</f>
        <v/>
      </c>
      <c r="W852" s="57" t="str">
        <f aca="false">IF($S852="","",INDEX(BookRate,847)*(1+'5. Scenarios'!$E$10)*(INDEX(BookQ1,847)*(5-MIN(4,1+'5. Scenarios'!$E$8))/4+INDEX(BookQ2,847)*(5-MIN(4,2+'5. Scenarios'!$E$8))/4+INDEX(BookQ3,847)*(5-MIN(4,3+'5. Scenarios'!$E$8))/4+INDEX(BookQ4,847)*(5-MIN(4,4+'5. Scenarios'!$E$8))/4)*'5. Scenarios'!$E$6/(1+ProductivityDefault*('5. Scenarios'!$E$11-1))+INDEX(BookOneOff,847)*$S852)</f>
        <v/>
      </c>
    </row>
    <row r="853" customFormat="false" ht="15" hidden="false" customHeight="false" outlineLevel="0" collapsed="false">
      <c r="A853" s="0" t="str">
        <f aca="false">IF(INDEX(BookTitle,848)="","",INDEX(BookKey,848))</f>
        <v/>
      </c>
      <c r="B853" s="0" t="str">
        <f aca="false">IF(INDEX(BookTitle,848)="","",INDEX(BookGroup,848))</f>
        <v/>
      </c>
      <c r="C853" s="0" t="str">
        <f aca="false">IF(INDEX(BookTitle,848)="","",INDEX(BookCategory,848))</f>
        <v/>
      </c>
      <c r="D853" s="56" t="str">
        <f aca="false">IF(INDEX(BookTitle,848)="","",INDEX(BookTotal,848)*'5. Scenarios'!$B$6/(1+ProductivityDefault*('5. Scenarios'!$B$11-1)))</f>
        <v/>
      </c>
      <c r="E853" s="57" t="str">
        <f aca="false">IF($D853="","",INDEX(BookRate,848)*(1+'5. Scenarios'!$B$10)*$D853)</f>
        <v/>
      </c>
      <c r="F853" s="57" t="str">
        <f aca="false">IF($E853="","",SUMIFS($E$6:$E$2405,$A$6:$A$2405,"&lt;="&amp;$A853))</f>
        <v/>
      </c>
      <c r="G853" s="57" t="str">
        <f aca="false">IF($E853="","",IF($F853&lt;=BankCostEnvelope*'5. Scenarios'!$B$7,1,0))</f>
        <v/>
      </c>
      <c r="H853" s="57" t="str">
        <f aca="false">IF($D853="","",INDEX(BookRate,848)*(1+'5. Scenarios'!$B$10)*(INDEX(BookQ1,848)*(5-MIN(4,1+'5. Scenarios'!$B$8))/4+INDEX(BookQ2,848)*(5-MIN(4,2+'5. Scenarios'!$B$8))/4+INDEX(BookQ3,848)*(5-MIN(4,3+'5. Scenarios'!$B$8))/4+INDEX(BookQ4,848)*(5-MIN(4,4+'5. Scenarios'!$B$8))/4)*'5. Scenarios'!$B$6/(1+ProductivityDefault*('5. Scenarios'!$B$11-1))+INDEX(BookOneOff,848)*$D853)</f>
        <v/>
      </c>
      <c r="I853" s="56" t="str">
        <f aca="false">IF(INDEX(BookTitle,848)="","",INDEX(BookTotal,848)*'5. Scenarios'!$C$6/(1+ProductivityDefault*('5. Scenarios'!$C$11-1)))</f>
        <v/>
      </c>
      <c r="J853" s="57" t="str">
        <f aca="false">IF($I853="","",INDEX(BookRate,848)*(1+'5. Scenarios'!$C$10)*$I853)</f>
        <v/>
      </c>
      <c r="K853" s="57" t="str">
        <f aca="false">IF($J853="","",SUMIFS($J$6:$J$2405,$A$6:$A$2405,"&lt;="&amp;$A853))</f>
        <v/>
      </c>
      <c r="L853" s="57" t="str">
        <f aca="false">IF($J853="","",IF($K853&lt;=BankCostEnvelope*'5. Scenarios'!$C$7,1,0))</f>
        <v/>
      </c>
      <c r="M853" s="57" t="str">
        <f aca="false">IF($I853="","",INDEX(BookRate,848)*(1+'5. Scenarios'!$C$10)*(INDEX(BookQ1,848)*(5-MIN(4,1+'5. Scenarios'!$C$8))/4+INDEX(BookQ2,848)*(5-MIN(4,2+'5. Scenarios'!$C$8))/4+INDEX(BookQ3,848)*(5-MIN(4,3+'5. Scenarios'!$C$8))/4+INDEX(BookQ4,848)*(5-MIN(4,4+'5. Scenarios'!$C$8))/4)*'5. Scenarios'!$C$6/(1+ProductivityDefault*('5. Scenarios'!$C$11-1))+INDEX(BookOneOff,848)*$I853)</f>
        <v/>
      </c>
      <c r="N853" s="56" t="str">
        <f aca="false">IF(INDEX(BookTitle,848)="","",INDEX(BookTotal,848)*'5. Scenarios'!$D$6/(1+ProductivityDefault*('5. Scenarios'!$D$11-1)))</f>
        <v/>
      </c>
      <c r="O853" s="57" t="str">
        <f aca="false">IF($N853="","",INDEX(BookRate,848)*(1+'5. Scenarios'!$D$10)*$N853)</f>
        <v/>
      </c>
      <c r="P853" s="57" t="str">
        <f aca="false">IF($O853="","",SUMIFS($O$6:$O$2405,$A$6:$A$2405,"&lt;="&amp;$A853))</f>
        <v/>
      </c>
      <c r="Q853" s="57" t="str">
        <f aca="false">IF($O853="","",IF($P853&lt;=BankCostEnvelope*'5. Scenarios'!$D$7,1,0))</f>
        <v/>
      </c>
      <c r="R853" s="57" t="str">
        <f aca="false">IF($N853="","",INDEX(BookRate,848)*(1+'5. Scenarios'!$D$10)*(INDEX(BookQ1,848)*(5-MIN(4,1+'5. Scenarios'!$D$8))/4+INDEX(BookQ2,848)*(5-MIN(4,2+'5. Scenarios'!$D$8))/4+INDEX(BookQ3,848)*(5-MIN(4,3+'5. Scenarios'!$D$8))/4+INDEX(BookQ4,848)*(5-MIN(4,4+'5. Scenarios'!$D$8))/4)*'5. Scenarios'!$D$6/(1+ProductivityDefault*('5. Scenarios'!$D$11-1))+INDEX(BookOneOff,848)*$N853)</f>
        <v/>
      </c>
      <c r="S853" s="56" t="str">
        <f aca="false">IF(INDEX(BookTitle,848)="","",INDEX(BookTotal,848)*'5. Scenarios'!$E$6/(1+ProductivityDefault*('5. Scenarios'!$E$11-1)))</f>
        <v/>
      </c>
      <c r="T853" s="57" t="str">
        <f aca="false">IF($S853="","",INDEX(BookRate,848)*(1+'5. Scenarios'!$E$10)*$S853)</f>
        <v/>
      </c>
      <c r="U853" s="57" t="str">
        <f aca="false">IF($T853="","",SUMIFS($T$6:$T$2405,$A$6:$A$2405,"&lt;="&amp;$A853))</f>
        <v/>
      </c>
      <c r="V853" s="57" t="str">
        <f aca="false">IF($T853="","",IF($U853&lt;=BankCostEnvelope*'5. Scenarios'!$E$7,1,0))</f>
        <v/>
      </c>
      <c r="W853" s="57" t="str">
        <f aca="false">IF($S853="","",INDEX(BookRate,848)*(1+'5. Scenarios'!$E$10)*(INDEX(BookQ1,848)*(5-MIN(4,1+'5. Scenarios'!$E$8))/4+INDEX(BookQ2,848)*(5-MIN(4,2+'5. Scenarios'!$E$8))/4+INDEX(BookQ3,848)*(5-MIN(4,3+'5. Scenarios'!$E$8))/4+INDEX(BookQ4,848)*(5-MIN(4,4+'5. Scenarios'!$E$8))/4)*'5. Scenarios'!$E$6/(1+ProductivityDefault*('5. Scenarios'!$E$11-1))+INDEX(BookOneOff,848)*$S853)</f>
        <v/>
      </c>
    </row>
    <row r="854" customFormat="false" ht="15" hidden="false" customHeight="false" outlineLevel="0" collapsed="false">
      <c r="A854" s="0" t="str">
        <f aca="false">IF(INDEX(BookTitle,849)="","",INDEX(BookKey,849))</f>
        <v/>
      </c>
      <c r="B854" s="0" t="str">
        <f aca="false">IF(INDEX(BookTitle,849)="","",INDEX(BookGroup,849))</f>
        <v/>
      </c>
      <c r="C854" s="0" t="str">
        <f aca="false">IF(INDEX(BookTitle,849)="","",INDEX(BookCategory,849))</f>
        <v/>
      </c>
      <c r="D854" s="56" t="str">
        <f aca="false">IF(INDEX(BookTitle,849)="","",INDEX(BookTotal,849)*'5. Scenarios'!$B$6/(1+ProductivityDefault*('5. Scenarios'!$B$11-1)))</f>
        <v/>
      </c>
      <c r="E854" s="57" t="str">
        <f aca="false">IF($D854="","",INDEX(BookRate,849)*(1+'5. Scenarios'!$B$10)*$D854)</f>
        <v/>
      </c>
      <c r="F854" s="57" t="str">
        <f aca="false">IF($E854="","",SUMIFS($E$6:$E$2405,$A$6:$A$2405,"&lt;="&amp;$A854))</f>
        <v/>
      </c>
      <c r="G854" s="57" t="str">
        <f aca="false">IF($E854="","",IF($F854&lt;=BankCostEnvelope*'5. Scenarios'!$B$7,1,0))</f>
        <v/>
      </c>
      <c r="H854" s="57" t="str">
        <f aca="false">IF($D854="","",INDEX(BookRate,849)*(1+'5. Scenarios'!$B$10)*(INDEX(BookQ1,849)*(5-MIN(4,1+'5. Scenarios'!$B$8))/4+INDEX(BookQ2,849)*(5-MIN(4,2+'5. Scenarios'!$B$8))/4+INDEX(BookQ3,849)*(5-MIN(4,3+'5. Scenarios'!$B$8))/4+INDEX(BookQ4,849)*(5-MIN(4,4+'5. Scenarios'!$B$8))/4)*'5. Scenarios'!$B$6/(1+ProductivityDefault*('5. Scenarios'!$B$11-1))+INDEX(BookOneOff,849)*$D854)</f>
        <v/>
      </c>
      <c r="I854" s="56" t="str">
        <f aca="false">IF(INDEX(BookTitle,849)="","",INDEX(BookTotal,849)*'5. Scenarios'!$C$6/(1+ProductivityDefault*('5. Scenarios'!$C$11-1)))</f>
        <v/>
      </c>
      <c r="J854" s="57" t="str">
        <f aca="false">IF($I854="","",INDEX(BookRate,849)*(1+'5. Scenarios'!$C$10)*$I854)</f>
        <v/>
      </c>
      <c r="K854" s="57" t="str">
        <f aca="false">IF($J854="","",SUMIFS($J$6:$J$2405,$A$6:$A$2405,"&lt;="&amp;$A854))</f>
        <v/>
      </c>
      <c r="L854" s="57" t="str">
        <f aca="false">IF($J854="","",IF($K854&lt;=BankCostEnvelope*'5. Scenarios'!$C$7,1,0))</f>
        <v/>
      </c>
      <c r="M854" s="57" t="str">
        <f aca="false">IF($I854="","",INDEX(BookRate,849)*(1+'5. Scenarios'!$C$10)*(INDEX(BookQ1,849)*(5-MIN(4,1+'5. Scenarios'!$C$8))/4+INDEX(BookQ2,849)*(5-MIN(4,2+'5. Scenarios'!$C$8))/4+INDEX(BookQ3,849)*(5-MIN(4,3+'5. Scenarios'!$C$8))/4+INDEX(BookQ4,849)*(5-MIN(4,4+'5. Scenarios'!$C$8))/4)*'5. Scenarios'!$C$6/(1+ProductivityDefault*('5. Scenarios'!$C$11-1))+INDEX(BookOneOff,849)*$I854)</f>
        <v/>
      </c>
      <c r="N854" s="56" t="str">
        <f aca="false">IF(INDEX(BookTitle,849)="","",INDEX(BookTotal,849)*'5. Scenarios'!$D$6/(1+ProductivityDefault*('5. Scenarios'!$D$11-1)))</f>
        <v/>
      </c>
      <c r="O854" s="57" t="str">
        <f aca="false">IF($N854="","",INDEX(BookRate,849)*(1+'5. Scenarios'!$D$10)*$N854)</f>
        <v/>
      </c>
      <c r="P854" s="57" t="str">
        <f aca="false">IF($O854="","",SUMIFS($O$6:$O$2405,$A$6:$A$2405,"&lt;="&amp;$A854))</f>
        <v/>
      </c>
      <c r="Q854" s="57" t="str">
        <f aca="false">IF($O854="","",IF($P854&lt;=BankCostEnvelope*'5. Scenarios'!$D$7,1,0))</f>
        <v/>
      </c>
      <c r="R854" s="57" t="str">
        <f aca="false">IF($N854="","",INDEX(BookRate,849)*(1+'5. Scenarios'!$D$10)*(INDEX(BookQ1,849)*(5-MIN(4,1+'5. Scenarios'!$D$8))/4+INDEX(BookQ2,849)*(5-MIN(4,2+'5. Scenarios'!$D$8))/4+INDEX(BookQ3,849)*(5-MIN(4,3+'5. Scenarios'!$D$8))/4+INDEX(BookQ4,849)*(5-MIN(4,4+'5. Scenarios'!$D$8))/4)*'5. Scenarios'!$D$6/(1+ProductivityDefault*('5. Scenarios'!$D$11-1))+INDEX(BookOneOff,849)*$N854)</f>
        <v/>
      </c>
      <c r="S854" s="56" t="str">
        <f aca="false">IF(INDEX(BookTitle,849)="","",INDEX(BookTotal,849)*'5. Scenarios'!$E$6/(1+ProductivityDefault*('5. Scenarios'!$E$11-1)))</f>
        <v/>
      </c>
      <c r="T854" s="57" t="str">
        <f aca="false">IF($S854="","",INDEX(BookRate,849)*(1+'5. Scenarios'!$E$10)*$S854)</f>
        <v/>
      </c>
      <c r="U854" s="57" t="str">
        <f aca="false">IF($T854="","",SUMIFS($T$6:$T$2405,$A$6:$A$2405,"&lt;="&amp;$A854))</f>
        <v/>
      </c>
      <c r="V854" s="57" t="str">
        <f aca="false">IF($T854="","",IF($U854&lt;=BankCostEnvelope*'5. Scenarios'!$E$7,1,0))</f>
        <v/>
      </c>
      <c r="W854" s="57" t="str">
        <f aca="false">IF($S854="","",INDEX(BookRate,849)*(1+'5. Scenarios'!$E$10)*(INDEX(BookQ1,849)*(5-MIN(4,1+'5. Scenarios'!$E$8))/4+INDEX(BookQ2,849)*(5-MIN(4,2+'5. Scenarios'!$E$8))/4+INDEX(BookQ3,849)*(5-MIN(4,3+'5. Scenarios'!$E$8))/4+INDEX(BookQ4,849)*(5-MIN(4,4+'5. Scenarios'!$E$8))/4)*'5. Scenarios'!$E$6/(1+ProductivityDefault*('5. Scenarios'!$E$11-1))+INDEX(BookOneOff,849)*$S854)</f>
        <v/>
      </c>
    </row>
    <row r="855" customFormat="false" ht="15" hidden="false" customHeight="false" outlineLevel="0" collapsed="false">
      <c r="A855" s="0" t="str">
        <f aca="false">IF(INDEX(BookTitle,850)="","",INDEX(BookKey,850))</f>
        <v/>
      </c>
      <c r="B855" s="0" t="str">
        <f aca="false">IF(INDEX(BookTitle,850)="","",INDEX(BookGroup,850))</f>
        <v/>
      </c>
      <c r="C855" s="0" t="str">
        <f aca="false">IF(INDEX(BookTitle,850)="","",INDEX(BookCategory,850))</f>
        <v/>
      </c>
      <c r="D855" s="56" t="str">
        <f aca="false">IF(INDEX(BookTitle,850)="","",INDEX(BookTotal,850)*'5. Scenarios'!$B$6/(1+ProductivityDefault*('5. Scenarios'!$B$11-1)))</f>
        <v/>
      </c>
      <c r="E855" s="57" t="str">
        <f aca="false">IF($D855="","",INDEX(BookRate,850)*(1+'5. Scenarios'!$B$10)*$D855)</f>
        <v/>
      </c>
      <c r="F855" s="57" t="str">
        <f aca="false">IF($E855="","",SUMIFS($E$6:$E$2405,$A$6:$A$2405,"&lt;="&amp;$A855))</f>
        <v/>
      </c>
      <c r="G855" s="57" t="str">
        <f aca="false">IF($E855="","",IF($F855&lt;=BankCostEnvelope*'5. Scenarios'!$B$7,1,0))</f>
        <v/>
      </c>
      <c r="H855" s="57" t="str">
        <f aca="false">IF($D855="","",INDEX(BookRate,850)*(1+'5. Scenarios'!$B$10)*(INDEX(BookQ1,850)*(5-MIN(4,1+'5. Scenarios'!$B$8))/4+INDEX(BookQ2,850)*(5-MIN(4,2+'5. Scenarios'!$B$8))/4+INDEX(BookQ3,850)*(5-MIN(4,3+'5. Scenarios'!$B$8))/4+INDEX(BookQ4,850)*(5-MIN(4,4+'5. Scenarios'!$B$8))/4)*'5. Scenarios'!$B$6/(1+ProductivityDefault*('5. Scenarios'!$B$11-1))+INDEX(BookOneOff,850)*$D855)</f>
        <v/>
      </c>
      <c r="I855" s="56" t="str">
        <f aca="false">IF(INDEX(BookTitle,850)="","",INDEX(BookTotal,850)*'5. Scenarios'!$C$6/(1+ProductivityDefault*('5. Scenarios'!$C$11-1)))</f>
        <v/>
      </c>
      <c r="J855" s="57" t="str">
        <f aca="false">IF($I855="","",INDEX(BookRate,850)*(1+'5. Scenarios'!$C$10)*$I855)</f>
        <v/>
      </c>
      <c r="K855" s="57" t="str">
        <f aca="false">IF($J855="","",SUMIFS($J$6:$J$2405,$A$6:$A$2405,"&lt;="&amp;$A855))</f>
        <v/>
      </c>
      <c r="L855" s="57" t="str">
        <f aca="false">IF($J855="","",IF($K855&lt;=BankCostEnvelope*'5. Scenarios'!$C$7,1,0))</f>
        <v/>
      </c>
      <c r="M855" s="57" t="str">
        <f aca="false">IF($I855="","",INDEX(BookRate,850)*(1+'5. Scenarios'!$C$10)*(INDEX(BookQ1,850)*(5-MIN(4,1+'5. Scenarios'!$C$8))/4+INDEX(BookQ2,850)*(5-MIN(4,2+'5. Scenarios'!$C$8))/4+INDEX(BookQ3,850)*(5-MIN(4,3+'5. Scenarios'!$C$8))/4+INDEX(BookQ4,850)*(5-MIN(4,4+'5. Scenarios'!$C$8))/4)*'5. Scenarios'!$C$6/(1+ProductivityDefault*('5. Scenarios'!$C$11-1))+INDEX(BookOneOff,850)*$I855)</f>
        <v/>
      </c>
      <c r="N855" s="56" t="str">
        <f aca="false">IF(INDEX(BookTitle,850)="","",INDEX(BookTotal,850)*'5. Scenarios'!$D$6/(1+ProductivityDefault*('5. Scenarios'!$D$11-1)))</f>
        <v/>
      </c>
      <c r="O855" s="57" t="str">
        <f aca="false">IF($N855="","",INDEX(BookRate,850)*(1+'5. Scenarios'!$D$10)*$N855)</f>
        <v/>
      </c>
      <c r="P855" s="57" t="str">
        <f aca="false">IF($O855="","",SUMIFS($O$6:$O$2405,$A$6:$A$2405,"&lt;="&amp;$A855))</f>
        <v/>
      </c>
      <c r="Q855" s="57" t="str">
        <f aca="false">IF($O855="","",IF($P855&lt;=BankCostEnvelope*'5. Scenarios'!$D$7,1,0))</f>
        <v/>
      </c>
      <c r="R855" s="57" t="str">
        <f aca="false">IF($N855="","",INDEX(BookRate,850)*(1+'5. Scenarios'!$D$10)*(INDEX(BookQ1,850)*(5-MIN(4,1+'5. Scenarios'!$D$8))/4+INDEX(BookQ2,850)*(5-MIN(4,2+'5. Scenarios'!$D$8))/4+INDEX(BookQ3,850)*(5-MIN(4,3+'5. Scenarios'!$D$8))/4+INDEX(BookQ4,850)*(5-MIN(4,4+'5. Scenarios'!$D$8))/4)*'5. Scenarios'!$D$6/(1+ProductivityDefault*('5. Scenarios'!$D$11-1))+INDEX(BookOneOff,850)*$N855)</f>
        <v/>
      </c>
      <c r="S855" s="56" t="str">
        <f aca="false">IF(INDEX(BookTitle,850)="","",INDEX(BookTotal,850)*'5. Scenarios'!$E$6/(1+ProductivityDefault*('5. Scenarios'!$E$11-1)))</f>
        <v/>
      </c>
      <c r="T855" s="57" t="str">
        <f aca="false">IF($S855="","",INDEX(BookRate,850)*(1+'5. Scenarios'!$E$10)*$S855)</f>
        <v/>
      </c>
      <c r="U855" s="57" t="str">
        <f aca="false">IF($T855="","",SUMIFS($T$6:$T$2405,$A$6:$A$2405,"&lt;="&amp;$A855))</f>
        <v/>
      </c>
      <c r="V855" s="57" t="str">
        <f aca="false">IF($T855="","",IF($U855&lt;=BankCostEnvelope*'5. Scenarios'!$E$7,1,0))</f>
        <v/>
      </c>
      <c r="W855" s="57" t="str">
        <f aca="false">IF($S855="","",INDEX(BookRate,850)*(1+'5. Scenarios'!$E$10)*(INDEX(BookQ1,850)*(5-MIN(4,1+'5. Scenarios'!$E$8))/4+INDEX(BookQ2,850)*(5-MIN(4,2+'5. Scenarios'!$E$8))/4+INDEX(BookQ3,850)*(5-MIN(4,3+'5. Scenarios'!$E$8))/4+INDEX(BookQ4,850)*(5-MIN(4,4+'5. Scenarios'!$E$8))/4)*'5. Scenarios'!$E$6/(1+ProductivityDefault*('5. Scenarios'!$E$11-1))+INDEX(BookOneOff,850)*$S855)</f>
        <v/>
      </c>
    </row>
    <row r="856" customFormat="false" ht="15" hidden="false" customHeight="false" outlineLevel="0" collapsed="false">
      <c r="A856" s="0" t="str">
        <f aca="false">IF(INDEX(BookTitle,851)="","",INDEX(BookKey,851))</f>
        <v/>
      </c>
      <c r="B856" s="0" t="str">
        <f aca="false">IF(INDEX(BookTitle,851)="","",INDEX(BookGroup,851))</f>
        <v/>
      </c>
      <c r="C856" s="0" t="str">
        <f aca="false">IF(INDEX(BookTitle,851)="","",INDEX(BookCategory,851))</f>
        <v/>
      </c>
      <c r="D856" s="56" t="str">
        <f aca="false">IF(INDEX(BookTitle,851)="","",INDEX(BookTotal,851)*'5. Scenarios'!$B$6/(1+ProductivityDefault*('5. Scenarios'!$B$11-1)))</f>
        <v/>
      </c>
      <c r="E856" s="57" t="str">
        <f aca="false">IF($D856="","",INDEX(BookRate,851)*(1+'5. Scenarios'!$B$10)*$D856)</f>
        <v/>
      </c>
      <c r="F856" s="57" t="str">
        <f aca="false">IF($E856="","",SUMIFS($E$6:$E$2405,$A$6:$A$2405,"&lt;="&amp;$A856))</f>
        <v/>
      </c>
      <c r="G856" s="57" t="str">
        <f aca="false">IF($E856="","",IF($F856&lt;=BankCostEnvelope*'5. Scenarios'!$B$7,1,0))</f>
        <v/>
      </c>
      <c r="H856" s="57" t="str">
        <f aca="false">IF($D856="","",INDEX(BookRate,851)*(1+'5. Scenarios'!$B$10)*(INDEX(BookQ1,851)*(5-MIN(4,1+'5. Scenarios'!$B$8))/4+INDEX(BookQ2,851)*(5-MIN(4,2+'5. Scenarios'!$B$8))/4+INDEX(BookQ3,851)*(5-MIN(4,3+'5. Scenarios'!$B$8))/4+INDEX(BookQ4,851)*(5-MIN(4,4+'5. Scenarios'!$B$8))/4)*'5. Scenarios'!$B$6/(1+ProductivityDefault*('5. Scenarios'!$B$11-1))+INDEX(BookOneOff,851)*$D856)</f>
        <v/>
      </c>
      <c r="I856" s="56" t="str">
        <f aca="false">IF(INDEX(BookTitle,851)="","",INDEX(BookTotal,851)*'5. Scenarios'!$C$6/(1+ProductivityDefault*('5. Scenarios'!$C$11-1)))</f>
        <v/>
      </c>
      <c r="J856" s="57" t="str">
        <f aca="false">IF($I856="","",INDEX(BookRate,851)*(1+'5. Scenarios'!$C$10)*$I856)</f>
        <v/>
      </c>
      <c r="K856" s="57" t="str">
        <f aca="false">IF($J856="","",SUMIFS($J$6:$J$2405,$A$6:$A$2405,"&lt;="&amp;$A856))</f>
        <v/>
      </c>
      <c r="L856" s="57" t="str">
        <f aca="false">IF($J856="","",IF($K856&lt;=BankCostEnvelope*'5. Scenarios'!$C$7,1,0))</f>
        <v/>
      </c>
      <c r="M856" s="57" t="str">
        <f aca="false">IF($I856="","",INDEX(BookRate,851)*(1+'5. Scenarios'!$C$10)*(INDEX(BookQ1,851)*(5-MIN(4,1+'5. Scenarios'!$C$8))/4+INDEX(BookQ2,851)*(5-MIN(4,2+'5. Scenarios'!$C$8))/4+INDEX(BookQ3,851)*(5-MIN(4,3+'5. Scenarios'!$C$8))/4+INDEX(BookQ4,851)*(5-MIN(4,4+'5. Scenarios'!$C$8))/4)*'5. Scenarios'!$C$6/(1+ProductivityDefault*('5. Scenarios'!$C$11-1))+INDEX(BookOneOff,851)*$I856)</f>
        <v/>
      </c>
      <c r="N856" s="56" t="str">
        <f aca="false">IF(INDEX(BookTitle,851)="","",INDEX(BookTotal,851)*'5. Scenarios'!$D$6/(1+ProductivityDefault*('5. Scenarios'!$D$11-1)))</f>
        <v/>
      </c>
      <c r="O856" s="57" t="str">
        <f aca="false">IF($N856="","",INDEX(BookRate,851)*(1+'5. Scenarios'!$D$10)*$N856)</f>
        <v/>
      </c>
      <c r="P856" s="57" t="str">
        <f aca="false">IF($O856="","",SUMIFS($O$6:$O$2405,$A$6:$A$2405,"&lt;="&amp;$A856))</f>
        <v/>
      </c>
      <c r="Q856" s="57" t="str">
        <f aca="false">IF($O856="","",IF($P856&lt;=BankCostEnvelope*'5. Scenarios'!$D$7,1,0))</f>
        <v/>
      </c>
      <c r="R856" s="57" t="str">
        <f aca="false">IF($N856="","",INDEX(BookRate,851)*(1+'5. Scenarios'!$D$10)*(INDEX(BookQ1,851)*(5-MIN(4,1+'5. Scenarios'!$D$8))/4+INDEX(BookQ2,851)*(5-MIN(4,2+'5. Scenarios'!$D$8))/4+INDEX(BookQ3,851)*(5-MIN(4,3+'5. Scenarios'!$D$8))/4+INDEX(BookQ4,851)*(5-MIN(4,4+'5. Scenarios'!$D$8))/4)*'5. Scenarios'!$D$6/(1+ProductivityDefault*('5. Scenarios'!$D$11-1))+INDEX(BookOneOff,851)*$N856)</f>
        <v/>
      </c>
      <c r="S856" s="56" t="str">
        <f aca="false">IF(INDEX(BookTitle,851)="","",INDEX(BookTotal,851)*'5. Scenarios'!$E$6/(1+ProductivityDefault*('5. Scenarios'!$E$11-1)))</f>
        <v/>
      </c>
      <c r="T856" s="57" t="str">
        <f aca="false">IF($S856="","",INDEX(BookRate,851)*(1+'5. Scenarios'!$E$10)*$S856)</f>
        <v/>
      </c>
      <c r="U856" s="57" t="str">
        <f aca="false">IF($T856="","",SUMIFS($T$6:$T$2405,$A$6:$A$2405,"&lt;="&amp;$A856))</f>
        <v/>
      </c>
      <c r="V856" s="57" t="str">
        <f aca="false">IF($T856="","",IF($U856&lt;=BankCostEnvelope*'5. Scenarios'!$E$7,1,0))</f>
        <v/>
      </c>
      <c r="W856" s="57" t="str">
        <f aca="false">IF($S856="","",INDEX(BookRate,851)*(1+'5. Scenarios'!$E$10)*(INDEX(BookQ1,851)*(5-MIN(4,1+'5. Scenarios'!$E$8))/4+INDEX(BookQ2,851)*(5-MIN(4,2+'5. Scenarios'!$E$8))/4+INDEX(BookQ3,851)*(5-MIN(4,3+'5. Scenarios'!$E$8))/4+INDEX(BookQ4,851)*(5-MIN(4,4+'5. Scenarios'!$E$8))/4)*'5. Scenarios'!$E$6/(1+ProductivityDefault*('5. Scenarios'!$E$11-1))+INDEX(BookOneOff,851)*$S856)</f>
        <v/>
      </c>
    </row>
    <row r="857" customFormat="false" ht="15" hidden="false" customHeight="false" outlineLevel="0" collapsed="false">
      <c r="A857" s="0" t="str">
        <f aca="false">IF(INDEX(BookTitle,852)="","",INDEX(BookKey,852))</f>
        <v/>
      </c>
      <c r="B857" s="0" t="str">
        <f aca="false">IF(INDEX(BookTitle,852)="","",INDEX(BookGroup,852))</f>
        <v/>
      </c>
      <c r="C857" s="0" t="str">
        <f aca="false">IF(INDEX(BookTitle,852)="","",INDEX(BookCategory,852))</f>
        <v/>
      </c>
      <c r="D857" s="56" t="str">
        <f aca="false">IF(INDEX(BookTitle,852)="","",INDEX(BookTotal,852)*'5. Scenarios'!$B$6/(1+ProductivityDefault*('5. Scenarios'!$B$11-1)))</f>
        <v/>
      </c>
      <c r="E857" s="57" t="str">
        <f aca="false">IF($D857="","",INDEX(BookRate,852)*(1+'5. Scenarios'!$B$10)*$D857)</f>
        <v/>
      </c>
      <c r="F857" s="57" t="str">
        <f aca="false">IF($E857="","",SUMIFS($E$6:$E$2405,$A$6:$A$2405,"&lt;="&amp;$A857))</f>
        <v/>
      </c>
      <c r="G857" s="57" t="str">
        <f aca="false">IF($E857="","",IF($F857&lt;=BankCostEnvelope*'5. Scenarios'!$B$7,1,0))</f>
        <v/>
      </c>
      <c r="H857" s="57" t="str">
        <f aca="false">IF($D857="","",INDEX(BookRate,852)*(1+'5. Scenarios'!$B$10)*(INDEX(BookQ1,852)*(5-MIN(4,1+'5. Scenarios'!$B$8))/4+INDEX(BookQ2,852)*(5-MIN(4,2+'5. Scenarios'!$B$8))/4+INDEX(BookQ3,852)*(5-MIN(4,3+'5. Scenarios'!$B$8))/4+INDEX(BookQ4,852)*(5-MIN(4,4+'5. Scenarios'!$B$8))/4)*'5. Scenarios'!$B$6/(1+ProductivityDefault*('5. Scenarios'!$B$11-1))+INDEX(BookOneOff,852)*$D857)</f>
        <v/>
      </c>
      <c r="I857" s="56" t="str">
        <f aca="false">IF(INDEX(BookTitle,852)="","",INDEX(BookTotal,852)*'5. Scenarios'!$C$6/(1+ProductivityDefault*('5. Scenarios'!$C$11-1)))</f>
        <v/>
      </c>
      <c r="J857" s="57" t="str">
        <f aca="false">IF($I857="","",INDEX(BookRate,852)*(1+'5. Scenarios'!$C$10)*$I857)</f>
        <v/>
      </c>
      <c r="K857" s="57" t="str">
        <f aca="false">IF($J857="","",SUMIFS($J$6:$J$2405,$A$6:$A$2405,"&lt;="&amp;$A857))</f>
        <v/>
      </c>
      <c r="L857" s="57" t="str">
        <f aca="false">IF($J857="","",IF($K857&lt;=BankCostEnvelope*'5. Scenarios'!$C$7,1,0))</f>
        <v/>
      </c>
      <c r="M857" s="57" t="str">
        <f aca="false">IF($I857="","",INDEX(BookRate,852)*(1+'5. Scenarios'!$C$10)*(INDEX(BookQ1,852)*(5-MIN(4,1+'5. Scenarios'!$C$8))/4+INDEX(BookQ2,852)*(5-MIN(4,2+'5. Scenarios'!$C$8))/4+INDEX(BookQ3,852)*(5-MIN(4,3+'5. Scenarios'!$C$8))/4+INDEX(BookQ4,852)*(5-MIN(4,4+'5. Scenarios'!$C$8))/4)*'5. Scenarios'!$C$6/(1+ProductivityDefault*('5. Scenarios'!$C$11-1))+INDEX(BookOneOff,852)*$I857)</f>
        <v/>
      </c>
      <c r="N857" s="56" t="str">
        <f aca="false">IF(INDEX(BookTitle,852)="","",INDEX(BookTotal,852)*'5. Scenarios'!$D$6/(1+ProductivityDefault*('5. Scenarios'!$D$11-1)))</f>
        <v/>
      </c>
      <c r="O857" s="57" t="str">
        <f aca="false">IF($N857="","",INDEX(BookRate,852)*(1+'5. Scenarios'!$D$10)*$N857)</f>
        <v/>
      </c>
      <c r="P857" s="57" t="str">
        <f aca="false">IF($O857="","",SUMIFS($O$6:$O$2405,$A$6:$A$2405,"&lt;="&amp;$A857))</f>
        <v/>
      </c>
      <c r="Q857" s="57" t="str">
        <f aca="false">IF($O857="","",IF($P857&lt;=BankCostEnvelope*'5. Scenarios'!$D$7,1,0))</f>
        <v/>
      </c>
      <c r="R857" s="57" t="str">
        <f aca="false">IF($N857="","",INDEX(BookRate,852)*(1+'5. Scenarios'!$D$10)*(INDEX(BookQ1,852)*(5-MIN(4,1+'5. Scenarios'!$D$8))/4+INDEX(BookQ2,852)*(5-MIN(4,2+'5. Scenarios'!$D$8))/4+INDEX(BookQ3,852)*(5-MIN(4,3+'5. Scenarios'!$D$8))/4+INDEX(BookQ4,852)*(5-MIN(4,4+'5. Scenarios'!$D$8))/4)*'5. Scenarios'!$D$6/(1+ProductivityDefault*('5. Scenarios'!$D$11-1))+INDEX(BookOneOff,852)*$N857)</f>
        <v/>
      </c>
      <c r="S857" s="56" t="str">
        <f aca="false">IF(INDEX(BookTitle,852)="","",INDEX(BookTotal,852)*'5. Scenarios'!$E$6/(1+ProductivityDefault*('5. Scenarios'!$E$11-1)))</f>
        <v/>
      </c>
      <c r="T857" s="57" t="str">
        <f aca="false">IF($S857="","",INDEX(BookRate,852)*(1+'5. Scenarios'!$E$10)*$S857)</f>
        <v/>
      </c>
      <c r="U857" s="57" t="str">
        <f aca="false">IF($T857="","",SUMIFS($T$6:$T$2405,$A$6:$A$2405,"&lt;="&amp;$A857))</f>
        <v/>
      </c>
      <c r="V857" s="57" t="str">
        <f aca="false">IF($T857="","",IF($U857&lt;=BankCostEnvelope*'5. Scenarios'!$E$7,1,0))</f>
        <v/>
      </c>
      <c r="W857" s="57" t="str">
        <f aca="false">IF($S857="","",INDEX(BookRate,852)*(1+'5. Scenarios'!$E$10)*(INDEX(BookQ1,852)*(5-MIN(4,1+'5. Scenarios'!$E$8))/4+INDEX(BookQ2,852)*(5-MIN(4,2+'5. Scenarios'!$E$8))/4+INDEX(BookQ3,852)*(5-MIN(4,3+'5. Scenarios'!$E$8))/4+INDEX(BookQ4,852)*(5-MIN(4,4+'5. Scenarios'!$E$8))/4)*'5. Scenarios'!$E$6/(1+ProductivityDefault*('5. Scenarios'!$E$11-1))+INDEX(BookOneOff,852)*$S857)</f>
        <v/>
      </c>
    </row>
    <row r="858" customFormat="false" ht="15" hidden="false" customHeight="false" outlineLevel="0" collapsed="false">
      <c r="A858" s="0" t="str">
        <f aca="false">IF(INDEX(BookTitle,853)="","",INDEX(BookKey,853))</f>
        <v/>
      </c>
      <c r="B858" s="0" t="str">
        <f aca="false">IF(INDEX(BookTitle,853)="","",INDEX(BookGroup,853))</f>
        <v/>
      </c>
      <c r="C858" s="0" t="str">
        <f aca="false">IF(INDEX(BookTitle,853)="","",INDEX(BookCategory,853))</f>
        <v/>
      </c>
      <c r="D858" s="56" t="str">
        <f aca="false">IF(INDEX(BookTitle,853)="","",INDEX(BookTotal,853)*'5. Scenarios'!$B$6/(1+ProductivityDefault*('5. Scenarios'!$B$11-1)))</f>
        <v/>
      </c>
      <c r="E858" s="57" t="str">
        <f aca="false">IF($D858="","",INDEX(BookRate,853)*(1+'5. Scenarios'!$B$10)*$D858)</f>
        <v/>
      </c>
      <c r="F858" s="57" t="str">
        <f aca="false">IF($E858="","",SUMIFS($E$6:$E$2405,$A$6:$A$2405,"&lt;="&amp;$A858))</f>
        <v/>
      </c>
      <c r="G858" s="57" t="str">
        <f aca="false">IF($E858="","",IF($F858&lt;=BankCostEnvelope*'5. Scenarios'!$B$7,1,0))</f>
        <v/>
      </c>
      <c r="H858" s="57" t="str">
        <f aca="false">IF($D858="","",INDEX(BookRate,853)*(1+'5. Scenarios'!$B$10)*(INDEX(BookQ1,853)*(5-MIN(4,1+'5. Scenarios'!$B$8))/4+INDEX(BookQ2,853)*(5-MIN(4,2+'5. Scenarios'!$B$8))/4+INDEX(BookQ3,853)*(5-MIN(4,3+'5. Scenarios'!$B$8))/4+INDEX(BookQ4,853)*(5-MIN(4,4+'5. Scenarios'!$B$8))/4)*'5. Scenarios'!$B$6/(1+ProductivityDefault*('5. Scenarios'!$B$11-1))+INDEX(BookOneOff,853)*$D858)</f>
        <v/>
      </c>
      <c r="I858" s="56" t="str">
        <f aca="false">IF(INDEX(BookTitle,853)="","",INDEX(BookTotal,853)*'5. Scenarios'!$C$6/(1+ProductivityDefault*('5. Scenarios'!$C$11-1)))</f>
        <v/>
      </c>
      <c r="J858" s="57" t="str">
        <f aca="false">IF($I858="","",INDEX(BookRate,853)*(1+'5. Scenarios'!$C$10)*$I858)</f>
        <v/>
      </c>
      <c r="K858" s="57" t="str">
        <f aca="false">IF($J858="","",SUMIFS($J$6:$J$2405,$A$6:$A$2405,"&lt;="&amp;$A858))</f>
        <v/>
      </c>
      <c r="L858" s="57" t="str">
        <f aca="false">IF($J858="","",IF($K858&lt;=BankCostEnvelope*'5. Scenarios'!$C$7,1,0))</f>
        <v/>
      </c>
      <c r="M858" s="57" t="str">
        <f aca="false">IF($I858="","",INDEX(BookRate,853)*(1+'5. Scenarios'!$C$10)*(INDEX(BookQ1,853)*(5-MIN(4,1+'5. Scenarios'!$C$8))/4+INDEX(BookQ2,853)*(5-MIN(4,2+'5. Scenarios'!$C$8))/4+INDEX(BookQ3,853)*(5-MIN(4,3+'5. Scenarios'!$C$8))/4+INDEX(BookQ4,853)*(5-MIN(4,4+'5. Scenarios'!$C$8))/4)*'5. Scenarios'!$C$6/(1+ProductivityDefault*('5. Scenarios'!$C$11-1))+INDEX(BookOneOff,853)*$I858)</f>
        <v/>
      </c>
      <c r="N858" s="56" t="str">
        <f aca="false">IF(INDEX(BookTitle,853)="","",INDEX(BookTotal,853)*'5. Scenarios'!$D$6/(1+ProductivityDefault*('5. Scenarios'!$D$11-1)))</f>
        <v/>
      </c>
      <c r="O858" s="57" t="str">
        <f aca="false">IF($N858="","",INDEX(BookRate,853)*(1+'5. Scenarios'!$D$10)*$N858)</f>
        <v/>
      </c>
      <c r="P858" s="57" t="str">
        <f aca="false">IF($O858="","",SUMIFS($O$6:$O$2405,$A$6:$A$2405,"&lt;="&amp;$A858))</f>
        <v/>
      </c>
      <c r="Q858" s="57" t="str">
        <f aca="false">IF($O858="","",IF($P858&lt;=BankCostEnvelope*'5. Scenarios'!$D$7,1,0))</f>
        <v/>
      </c>
      <c r="R858" s="57" t="str">
        <f aca="false">IF($N858="","",INDEX(BookRate,853)*(1+'5. Scenarios'!$D$10)*(INDEX(BookQ1,853)*(5-MIN(4,1+'5. Scenarios'!$D$8))/4+INDEX(BookQ2,853)*(5-MIN(4,2+'5. Scenarios'!$D$8))/4+INDEX(BookQ3,853)*(5-MIN(4,3+'5. Scenarios'!$D$8))/4+INDEX(BookQ4,853)*(5-MIN(4,4+'5. Scenarios'!$D$8))/4)*'5. Scenarios'!$D$6/(1+ProductivityDefault*('5. Scenarios'!$D$11-1))+INDEX(BookOneOff,853)*$N858)</f>
        <v/>
      </c>
      <c r="S858" s="56" t="str">
        <f aca="false">IF(INDEX(BookTitle,853)="","",INDEX(BookTotal,853)*'5. Scenarios'!$E$6/(1+ProductivityDefault*('5. Scenarios'!$E$11-1)))</f>
        <v/>
      </c>
      <c r="T858" s="57" t="str">
        <f aca="false">IF($S858="","",INDEX(BookRate,853)*(1+'5. Scenarios'!$E$10)*$S858)</f>
        <v/>
      </c>
      <c r="U858" s="57" t="str">
        <f aca="false">IF($T858="","",SUMIFS($T$6:$T$2405,$A$6:$A$2405,"&lt;="&amp;$A858))</f>
        <v/>
      </c>
      <c r="V858" s="57" t="str">
        <f aca="false">IF($T858="","",IF($U858&lt;=BankCostEnvelope*'5. Scenarios'!$E$7,1,0))</f>
        <v/>
      </c>
      <c r="W858" s="57" t="str">
        <f aca="false">IF($S858="","",INDEX(BookRate,853)*(1+'5. Scenarios'!$E$10)*(INDEX(BookQ1,853)*(5-MIN(4,1+'5. Scenarios'!$E$8))/4+INDEX(BookQ2,853)*(5-MIN(4,2+'5. Scenarios'!$E$8))/4+INDEX(BookQ3,853)*(5-MIN(4,3+'5. Scenarios'!$E$8))/4+INDEX(BookQ4,853)*(5-MIN(4,4+'5. Scenarios'!$E$8))/4)*'5. Scenarios'!$E$6/(1+ProductivityDefault*('5. Scenarios'!$E$11-1))+INDEX(BookOneOff,853)*$S858)</f>
        <v/>
      </c>
    </row>
    <row r="859" customFormat="false" ht="15" hidden="false" customHeight="false" outlineLevel="0" collapsed="false">
      <c r="A859" s="0" t="str">
        <f aca="false">IF(INDEX(BookTitle,854)="","",INDEX(BookKey,854))</f>
        <v/>
      </c>
      <c r="B859" s="0" t="str">
        <f aca="false">IF(INDEX(BookTitle,854)="","",INDEX(BookGroup,854))</f>
        <v/>
      </c>
      <c r="C859" s="0" t="str">
        <f aca="false">IF(INDEX(BookTitle,854)="","",INDEX(BookCategory,854))</f>
        <v/>
      </c>
      <c r="D859" s="56" t="str">
        <f aca="false">IF(INDEX(BookTitle,854)="","",INDEX(BookTotal,854)*'5. Scenarios'!$B$6/(1+ProductivityDefault*('5. Scenarios'!$B$11-1)))</f>
        <v/>
      </c>
      <c r="E859" s="57" t="str">
        <f aca="false">IF($D859="","",INDEX(BookRate,854)*(1+'5. Scenarios'!$B$10)*$D859)</f>
        <v/>
      </c>
      <c r="F859" s="57" t="str">
        <f aca="false">IF($E859="","",SUMIFS($E$6:$E$2405,$A$6:$A$2405,"&lt;="&amp;$A859))</f>
        <v/>
      </c>
      <c r="G859" s="57" t="str">
        <f aca="false">IF($E859="","",IF($F859&lt;=BankCostEnvelope*'5. Scenarios'!$B$7,1,0))</f>
        <v/>
      </c>
      <c r="H859" s="57" t="str">
        <f aca="false">IF($D859="","",INDEX(BookRate,854)*(1+'5. Scenarios'!$B$10)*(INDEX(BookQ1,854)*(5-MIN(4,1+'5. Scenarios'!$B$8))/4+INDEX(BookQ2,854)*(5-MIN(4,2+'5. Scenarios'!$B$8))/4+INDEX(BookQ3,854)*(5-MIN(4,3+'5. Scenarios'!$B$8))/4+INDEX(BookQ4,854)*(5-MIN(4,4+'5. Scenarios'!$B$8))/4)*'5. Scenarios'!$B$6/(1+ProductivityDefault*('5. Scenarios'!$B$11-1))+INDEX(BookOneOff,854)*$D859)</f>
        <v/>
      </c>
      <c r="I859" s="56" t="str">
        <f aca="false">IF(INDEX(BookTitle,854)="","",INDEX(BookTotal,854)*'5. Scenarios'!$C$6/(1+ProductivityDefault*('5. Scenarios'!$C$11-1)))</f>
        <v/>
      </c>
      <c r="J859" s="57" t="str">
        <f aca="false">IF($I859="","",INDEX(BookRate,854)*(1+'5. Scenarios'!$C$10)*$I859)</f>
        <v/>
      </c>
      <c r="K859" s="57" t="str">
        <f aca="false">IF($J859="","",SUMIFS($J$6:$J$2405,$A$6:$A$2405,"&lt;="&amp;$A859))</f>
        <v/>
      </c>
      <c r="L859" s="57" t="str">
        <f aca="false">IF($J859="","",IF($K859&lt;=BankCostEnvelope*'5. Scenarios'!$C$7,1,0))</f>
        <v/>
      </c>
      <c r="M859" s="57" t="str">
        <f aca="false">IF($I859="","",INDEX(BookRate,854)*(1+'5. Scenarios'!$C$10)*(INDEX(BookQ1,854)*(5-MIN(4,1+'5. Scenarios'!$C$8))/4+INDEX(BookQ2,854)*(5-MIN(4,2+'5. Scenarios'!$C$8))/4+INDEX(BookQ3,854)*(5-MIN(4,3+'5. Scenarios'!$C$8))/4+INDEX(BookQ4,854)*(5-MIN(4,4+'5. Scenarios'!$C$8))/4)*'5. Scenarios'!$C$6/(1+ProductivityDefault*('5. Scenarios'!$C$11-1))+INDEX(BookOneOff,854)*$I859)</f>
        <v/>
      </c>
      <c r="N859" s="56" t="str">
        <f aca="false">IF(INDEX(BookTitle,854)="","",INDEX(BookTotal,854)*'5. Scenarios'!$D$6/(1+ProductivityDefault*('5. Scenarios'!$D$11-1)))</f>
        <v/>
      </c>
      <c r="O859" s="57" t="str">
        <f aca="false">IF($N859="","",INDEX(BookRate,854)*(1+'5. Scenarios'!$D$10)*$N859)</f>
        <v/>
      </c>
      <c r="P859" s="57" t="str">
        <f aca="false">IF($O859="","",SUMIFS($O$6:$O$2405,$A$6:$A$2405,"&lt;="&amp;$A859))</f>
        <v/>
      </c>
      <c r="Q859" s="57" t="str">
        <f aca="false">IF($O859="","",IF($P859&lt;=BankCostEnvelope*'5. Scenarios'!$D$7,1,0))</f>
        <v/>
      </c>
      <c r="R859" s="57" t="str">
        <f aca="false">IF($N859="","",INDEX(BookRate,854)*(1+'5. Scenarios'!$D$10)*(INDEX(BookQ1,854)*(5-MIN(4,1+'5. Scenarios'!$D$8))/4+INDEX(BookQ2,854)*(5-MIN(4,2+'5. Scenarios'!$D$8))/4+INDEX(BookQ3,854)*(5-MIN(4,3+'5. Scenarios'!$D$8))/4+INDEX(BookQ4,854)*(5-MIN(4,4+'5. Scenarios'!$D$8))/4)*'5. Scenarios'!$D$6/(1+ProductivityDefault*('5. Scenarios'!$D$11-1))+INDEX(BookOneOff,854)*$N859)</f>
        <v/>
      </c>
      <c r="S859" s="56" t="str">
        <f aca="false">IF(INDEX(BookTitle,854)="","",INDEX(BookTotal,854)*'5. Scenarios'!$E$6/(1+ProductivityDefault*('5. Scenarios'!$E$11-1)))</f>
        <v/>
      </c>
      <c r="T859" s="57" t="str">
        <f aca="false">IF($S859="","",INDEX(BookRate,854)*(1+'5. Scenarios'!$E$10)*$S859)</f>
        <v/>
      </c>
      <c r="U859" s="57" t="str">
        <f aca="false">IF($T859="","",SUMIFS($T$6:$T$2405,$A$6:$A$2405,"&lt;="&amp;$A859))</f>
        <v/>
      </c>
      <c r="V859" s="57" t="str">
        <f aca="false">IF($T859="","",IF($U859&lt;=BankCostEnvelope*'5. Scenarios'!$E$7,1,0))</f>
        <v/>
      </c>
      <c r="W859" s="57" t="str">
        <f aca="false">IF($S859="","",INDEX(BookRate,854)*(1+'5. Scenarios'!$E$10)*(INDEX(BookQ1,854)*(5-MIN(4,1+'5. Scenarios'!$E$8))/4+INDEX(BookQ2,854)*(5-MIN(4,2+'5. Scenarios'!$E$8))/4+INDEX(BookQ3,854)*(5-MIN(4,3+'5. Scenarios'!$E$8))/4+INDEX(BookQ4,854)*(5-MIN(4,4+'5. Scenarios'!$E$8))/4)*'5. Scenarios'!$E$6/(1+ProductivityDefault*('5. Scenarios'!$E$11-1))+INDEX(BookOneOff,854)*$S859)</f>
        <v/>
      </c>
    </row>
    <row r="860" customFormat="false" ht="15" hidden="false" customHeight="false" outlineLevel="0" collapsed="false">
      <c r="A860" s="0" t="str">
        <f aca="false">IF(INDEX(BookTitle,855)="","",INDEX(BookKey,855))</f>
        <v/>
      </c>
      <c r="B860" s="0" t="str">
        <f aca="false">IF(INDEX(BookTitle,855)="","",INDEX(BookGroup,855))</f>
        <v/>
      </c>
      <c r="C860" s="0" t="str">
        <f aca="false">IF(INDEX(BookTitle,855)="","",INDEX(BookCategory,855))</f>
        <v/>
      </c>
      <c r="D860" s="56" t="str">
        <f aca="false">IF(INDEX(BookTitle,855)="","",INDEX(BookTotal,855)*'5. Scenarios'!$B$6/(1+ProductivityDefault*('5. Scenarios'!$B$11-1)))</f>
        <v/>
      </c>
      <c r="E860" s="57" t="str">
        <f aca="false">IF($D860="","",INDEX(BookRate,855)*(1+'5. Scenarios'!$B$10)*$D860)</f>
        <v/>
      </c>
      <c r="F860" s="57" t="str">
        <f aca="false">IF($E860="","",SUMIFS($E$6:$E$2405,$A$6:$A$2405,"&lt;="&amp;$A860))</f>
        <v/>
      </c>
      <c r="G860" s="57" t="str">
        <f aca="false">IF($E860="","",IF($F860&lt;=BankCostEnvelope*'5. Scenarios'!$B$7,1,0))</f>
        <v/>
      </c>
      <c r="H860" s="57" t="str">
        <f aca="false">IF($D860="","",INDEX(BookRate,855)*(1+'5. Scenarios'!$B$10)*(INDEX(BookQ1,855)*(5-MIN(4,1+'5. Scenarios'!$B$8))/4+INDEX(BookQ2,855)*(5-MIN(4,2+'5. Scenarios'!$B$8))/4+INDEX(BookQ3,855)*(5-MIN(4,3+'5. Scenarios'!$B$8))/4+INDEX(BookQ4,855)*(5-MIN(4,4+'5. Scenarios'!$B$8))/4)*'5. Scenarios'!$B$6/(1+ProductivityDefault*('5. Scenarios'!$B$11-1))+INDEX(BookOneOff,855)*$D860)</f>
        <v/>
      </c>
      <c r="I860" s="56" t="str">
        <f aca="false">IF(INDEX(BookTitle,855)="","",INDEX(BookTotal,855)*'5. Scenarios'!$C$6/(1+ProductivityDefault*('5. Scenarios'!$C$11-1)))</f>
        <v/>
      </c>
      <c r="J860" s="57" t="str">
        <f aca="false">IF($I860="","",INDEX(BookRate,855)*(1+'5. Scenarios'!$C$10)*$I860)</f>
        <v/>
      </c>
      <c r="K860" s="57" t="str">
        <f aca="false">IF($J860="","",SUMIFS($J$6:$J$2405,$A$6:$A$2405,"&lt;="&amp;$A860))</f>
        <v/>
      </c>
      <c r="L860" s="57" t="str">
        <f aca="false">IF($J860="","",IF($K860&lt;=BankCostEnvelope*'5. Scenarios'!$C$7,1,0))</f>
        <v/>
      </c>
      <c r="M860" s="57" t="str">
        <f aca="false">IF($I860="","",INDEX(BookRate,855)*(1+'5. Scenarios'!$C$10)*(INDEX(BookQ1,855)*(5-MIN(4,1+'5. Scenarios'!$C$8))/4+INDEX(BookQ2,855)*(5-MIN(4,2+'5. Scenarios'!$C$8))/4+INDEX(BookQ3,855)*(5-MIN(4,3+'5. Scenarios'!$C$8))/4+INDEX(BookQ4,855)*(5-MIN(4,4+'5. Scenarios'!$C$8))/4)*'5. Scenarios'!$C$6/(1+ProductivityDefault*('5. Scenarios'!$C$11-1))+INDEX(BookOneOff,855)*$I860)</f>
        <v/>
      </c>
      <c r="N860" s="56" t="str">
        <f aca="false">IF(INDEX(BookTitle,855)="","",INDEX(BookTotal,855)*'5. Scenarios'!$D$6/(1+ProductivityDefault*('5. Scenarios'!$D$11-1)))</f>
        <v/>
      </c>
      <c r="O860" s="57" t="str">
        <f aca="false">IF($N860="","",INDEX(BookRate,855)*(1+'5. Scenarios'!$D$10)*$N860)</f>
        <v/>
      </c>
      <c r="P860" s="57" t="str">
        <f aca="false">IF($O860="","",SUMIFS($O$6:$O$2405,$A$6:$A$2405,"&lt;="&amp;$A860))</f>
        <v/>
      </c>
      <c r="Q860" s="57" t="str">
        <f aca="false">IF($O860="","",IF($P860&lt;=BankCostEnvelope*'5. Scenarios'!$D$7,1,0))</f>
        <v/>
      </c>
      <c r="R860" s="57" t="str">
        <f aca="false">IF($N860="","",INDEX(BookRate,855)*(1+'5. Scenarios'!$D$10)*(INDEX(BookQ1,855)*(5-MIN(4,1+'5. Scenarios'!$D$8))/4+INDEX(BookQ2,855)*(5-MIN(4,2+'5. Scenarios'!$D$8))/4+INDEX(BookQ3,855)*(5-MIN(4,3+'5. Scenarios'!$D$8))/4+INDEX(BookQ4,855)*(5-MIN(4,4+'5. Scenarios'!$D$8))/4)*'5. Scenarios'!$D$6/(1+ProductivityDefault*('5. Scenarios'!$D$11-1))+INDEX(BookOneOff,855)*$N860)</f>
        <v/>
      </c>
      <c r="S860" s="56" t="str">
        <f aca="false">IF(INDEX(BookTitle,855)="","",INDEX(BookTotal,855)*'5. Scenarios'!$E$6/(1+ProductivityDefault*('5. Scenarios'!$E$11-1)))</f>
        <v/>
      </c>
      <c r="T860" s="57" t="str">
        <f aca="false">IF($S860="","",INDEX(BookRate,855)*(1+'5. Scenarios'!$E$10)*$S860)</f>
        <v/>
      </c>
      <c r="U860" s="57" t="str">
        <f aca="false">IF($T860="","",SUMIFS($T$6:$T$2405,$A$6:$A$2405,"&lt;="&amp;$A860))</f>
        <v/>
      </c>
      <c r="V860" s="57" t="str">
        <f aca="false">IF($T860="","",IF($U860&lt;=BankCostEnvelope*'5. Scenarios'!$E$7,1,0))</f>
        <v/>
      </c>
      <c r="W860" s="57" t="str">
        <f aca="false">IF($S860="","",INDEX(BookRate,855)*(1+'5. Scenarios'!$E$10)*(INDEX(BookQ1,855)*(5-MIN(4,1+'5. Scenarios'!$E$8))/4+INDEX(BookQ2,855)*(5-MIN(4,2+'5. Scenarios'!$E$8))/4+INDEX(BookQ3,855)*(5-MIN(4,3+'5. Scenarios'!$E$8))/4+INDEX(BookQ4,855)*(5-MIN(4,4+'5. Scenarios'!$E$8))/4)*'5. Scenarios'!$E$6/(1+ProductivityDefault*('5. Scenarios'!$E$11-1))+INDEX(BookOneOff,855)*$S860)</f>
        <v/>
      </c>
    </row>
    <row r="861" customFormat="false" ht="15" hidden="false" customHeight="false" outlineLevel="0" collapsed="false">
      <c r="A861" s="0" t="str">
        <f aca="false">IF(INDEX(BookTitle,856)="","",INDEX(BookKey,856))</f>
        <v/>
      </c>
      <c r="B861" s="0" t="str">
        <f aca="false">IF(INDEX(BookTitle,856)="","",INDEX(BookGroup,856))</f>
        <v/>
      </c>
      <c r="C861" s="0" t="str">
        <f aca="false">IF(INDEX(BookTitle,856)="","",INDEX(BookCategory,856))</f>
        <v/>
      </c>
      <c r="D861" s="56" t="str">
        <f aca="false">IF(INDEX(BookTitle,856)="","",INDEX(BookTotal,856)*'5. Scenarios'!$B$6/(1+ProductivityDefault*('5. Scenarios'!$B$11-1)))</f>
        <v/>
      </c>
      <c r="E861" s="57" t="str">
        <f aca="false">IF($D861="","",INDEX(BookRate,856)*(1+'5. Scenarios'!$B$10)*$D861)</f>
        <v/>
      </c>
      <c r="F861" s="57" t="str">
        <f aca="false">IF($E861="","",SUMIFS($E$6:$E$2405,$A$6:$A$2405,"&lt;="&amp;$A861))</f>
        <v/>
      </c>
      <c r="G861" s="57" t="str">
        <f aca="false">IF($E861="","",IF($F861&lt;=BankCostEnvelope*'5. Scenarios'!$B$7,1,0))</f>
        <v/>
      </c>
      <c r="H861" s="57" t="str">
        <f aca="false">IF($D861="","",INDEX(BookRate,856)*(1+'5. Scenarios'!$B$10)*(INDEX(BookQ1,856)*(5-MIN(4,1+'5. Scenarios'!$B$8))/4+INDEX(BookQ2,856)*(5-MIN(4,2+'5. Scenarios'!$B$8))/4+INDEX(BookQ3,856)*(5-MIN(4,3+'5. Scenarios'!$B$8))/4+INDEX(BookQ4,856)*(5-MIN(4,4+'5. Scenarios'!$B$8))/4)*'5. Scenarios'!$B$6/(1+ProductivityDefault*('5. Scenarios'!$B$11-1))+INDEX(BookOneOff,856)*$D861)</f>
        <v/>
      </c>
      <c r="I861" s="56" t="str">
        <f aca="false">IF(INDEX(BookTitle,856)="","",INDEX(BookTotal,856)*'5. Scenarios'!$C$6/(1+ProductivityDefault*('5. Scenarios'!$C$11-1)))</f>
        <v/>
      </c>
      <c r="J861" s="57" t="str">
        <f aca="false">IF($I861="","",INDEX(BookRate,856)*(1+'5. Scenarios'!$C$10)*$I861)</f>
        <v/>
      </c>
      <c r="K861" s="57" t="str">
        <f aca="false">IF($J861="","",SUMIFS($J$6:$J$2405,$A$6:$A$2405,"&lt;="&amp;$A861))</f>
        <v/>
      </c>
      <c r="L861" s="57" t="str">
        <f aca="false">IF($J861="","",IF($K861&lt;=BankCostEnvelope*'5. Scenarios'!$C$7,1,0))</f>
        <v/>
      </c>
      <c r="M861" s="57" t="str">
        <f aca="false">IF($I861="","",INDEX(BookRate,856)*(1+'5. Scenarios'!$C$10)*(INDEX(BookQ1,856)*(5-MIN(4,1+'5. Scenarios'!$C$8))/4+INDEX(BookQ2,856)*(5-MIN(4,2+'5. Scenarios'!$C$8))/4+INDEX(BookQ3,856)*(5-MIN(4,3+'5. Scenarios'!$C$8))/4+INDEX(BookQ4,856)*(5-MIN(4,4+'5. Scenarios'!$C$8))/4)*'5. Scenarios'!$C$6/(1+ProductivityDefault*('5. Scenarios'!$C$11-1))+INDEX(BookOneOff,856)*$I861)</f>
        <v/>
      </c>
      <c r="N861" s="56" t="str">
        <f aca="false">IF(INDEX(BookTitle,856)="","",INDEX(BookTotal,856)*'5. Scenarios'!$D$6/(1+ProductivityDefault*('5. Scenarios'!$D$11-1)))</f>
        <v/>
      </c>
      <c r="O861" s="57" t="str">
        <f aca="false">IF($N861="","",INDEX(BookRate,856)*(1+'5. Scenarios'!$D$10)*$N861)</f>
        <v/>
      </c>
      <c r="P861" s="57" t="str">
        <f aca="false">IF($O861="","",SUMIFS($O$6:$O$2405,$A$6:$A$2405,"&lt;="&amp;$A861))</f>
        <v/>
      </c>
      <c r="Q861" s="57" t="str">
        <f aca="false">IF($O861="","",IF($P861&lt;=BankCostEnvelope*'5. Scenarios'!$D$7,1,0))</f>
        <v/>
      </c>
      <c r="R861" s="57" t="str">
        <f aca="false">IF($N861="","",INDEX(BookRate,856)*(1+'5. Scenarios'!$D$10)*(INDEX(BookQ1,856)*(5-MIN(4,1+'5. Scenarios'!$D$8))/4+INDEX(BookQ2,856)*(5-MIN(4,2+'5. Scenarios'!$D$8))/4+INDEX(BookQ3,856)*(5-MIN(4,3+'5. Scenarios'!$D$8))/4+INDEX(BookQ4,856)*(5-MIN(4,4+'5. Scenarios'!$D$8))/4)*'5. Scenarios'!$D$6/(1+ProductivityDefault*('5. Scenarios'!$D$11-1))+INDEX(BookOneOff,856)*$N861)</f>
        <v/>
      </c>
      <c r="S861" s="56" t="str">
        <f aca="false">IF(INDEX(BookTitle,856)="","",INDEX(BookTotal,856)*'5. Scenarios'!$E$6/(1+ProductivityDefault*('5. Scenarios'!$E$11-1)))</f>
        <v/>
      </c>
      <c r="T861" s="57" t="str">
        <f aca="false">IF($S861="","",INDEX(BookRate,856)*(1+'5. Scenarios'!$E$10)*$S861)</f>
        <v/>
      </c>
      <c r="U861" s="57" t="str">
        <f aca="false">IF($T861="","",SUMIFS($T$6:$T$2405,$A$6:$A$2405,"&lt;="&amp;$A861))</f>
        <v/>
      </c>
      <c r="V861" s="57" t="str">
        <f aca="false">IF($T861="","",IF($U861&lt;=BankCostEnvelope*'5. Scenarios'!$E$7,1,0))</f>
        <v/>
      </c>
      <c r="W861" s="57" t="str">
        <f aca="false">IF($S861="","",INDEX(BookRate,856)*(1+'5. Scenarios'!$E$10)*(INDEX(BookQ1,856)*(5-MIN(4,1+'5. Scenarios'!$E$8))/4+INDEX(BookQ2,856)*(5-MIN(4,2+'5. Scenarios'!$E$8))/4+INDEX(BookQ3,856)*(5-MIN(4,3+'5. Scenarios'!$E$8))/4+INDEX(BookQ4,856)*(5-MIN(4,4+'5. Scenarios'!$E$8))/4)*'5. Scenarios'!$E$6/(1+ProductivityDefault*('5. Scenarios'!$E$11-1))+INDEX(BookOneOff,856)*$S861)</f>
        <v/>
      </c>
    </row>
    <row r="862" customFormat="false" ht="15" hidden="false" customHeight="false" outlineLevel="0" collapsed="false">
      <c r="A862" s="0" t="str">
        <f aca="false">IF(INDEX(BookTitle,857)="","",INDEX(BookKey,857))</f>
        <v/>
      </c>
      <c r="B862" s="0" t="str">
        <f aca="false">IF(INDEX(BookTitle,857)="","",INDEX(BookGroup,857))</f>
        <v/>
      </c>
      <c r="C862" s="0" t="str">
        <f aca="false">IF(INDEX(BookTitle,857)="","",INDEX(BookCategory,857))</f>
        <v/>
      </c>
      <c r="D862" s="56" t="str">
        <f aca="false">IF(INDEX(BookTitle,857)="","",INDEX(BookTotal,857)*'5. Scenarios'!$B$6/(1+ProductivityDefault*('5. Scenarios'!$B$11-1)))</f>
        <v/>
      </c>
      <c r="E862" s="57" t="str">
        <f aca="false">IF($D862="","",INDEX(BookRate,857)*(1+'5. Scenarios'!$B$10)*$D862)</f>
        <v/>
      </c>
      <c r="F862" s="57" t="str">
        <f aca="false">IF($E862="","",SUMIFS($E$6:$E$2405,$A$6:$A$2405,"&lt;="&amp;$A862))</f>
        <v/>
      </c>
      <c r="G862" s="57" t="str">
        <f aca="false">IF($E862="","",IF($F862&lt;=BankCostEnvelope*'5. Scenarios'!$B$7,1,0))</f>
        <v/>
      </c>
      <c r="H862" s="57" t="str">
        <f aca="false">IF($D862="","",INDEX(BookRate,857)*(1+'5. Scenarios'!$B$10)*(INDEX(BookQ1,857)*(5-MIN(4,1+'5. Scenarios'!$B$8))/4+INDEX(BookQ2,857)*(5-MIN(4,2+'5. Scenarios'!$B$8))/4+INDEX(BookQ3,857)*(5-MIN(4,3+'5. Scenarios'!$B$8))/4+INDEX(BookQ4,857)*(5-MIN(4,4+'5. Scenarios'!$B$8))/4)*'5. Scenarios'!$B$6/(1+ProductivityDefault*('5. Scenarios'!$B$11-1))+INDEX(BookOneOff,857)*$D862)</f>
        <v/>
      </c>
      <c r="I862" s="56" t="str">
        <f aca="false">IF(INDEX(BookTitle,857)="","",INDEX(BookTotal,857)*'5. Scenarios'!$C$6/(1+ProductivityDefault*('5. Scenarios'!$C$11-1)))</f>
        <v/>
      </c>
      <c r="J862" s="57" t="str">
        <f aca="false">IF($I862="","",INDEX(BookRate,857)*(1+'5. Scenarios'!$C$10)*$I862)</f>
        <v/>
      </c>
      <c r="K862" s="57" t="str">
        <f aca="false">IF($J862="","",SUMIFS($J$6:$J$2405,$A$6:$A$2405,"&lt;="&amp;$A862))</f>
        <v/>
      </c>
      <c r="L862" s="57" t="str">
        <f aca="false">IF($J862="","",IF($K862&lt;=BankCostEnvelope*'5. Scenarios'!$C$7,1,0))</f>
        <v/>
      </c>
      <c r="M862" s="57" t="str">
        <f aca="false">IF($I862="","",INDEX(BookRate,857)*(1+'5. Scenarios'!$C$10)*(INDEX(BookQ1,857)*(5-MIN(4,1+'5. Scenarios'!$C$8))/4+INDEX(BookQ2,857)*(5-MIN(4,2+'5. Scenarios'!$C$8))/4+INDEX(BookQ3,857)*(5-MIN(4,3+'5. Scenarios'!$C$8))/4+INDEX(BookQ4,857)*(5-MIN(4,4+'5. Scenarios'!$C$8))/4)*'5. Scenarios'!$C$6/(1+ProductivityDefault*('5. Scenarios'!$C$11-1))+INDEX(BookOneOff,857)*$I862)</f>
        <v/>
      </c>
      <c r="N862" s="56" t="str">
        <f aca="false">IF(INDEX(BookTitle,857)="","",INDEX(BookTotal,857)*'5. Scenarios'!$D$6/(1+ProductivityDefault*('5. Scenarios'!$D$11-1)))</f>
        <v/>
      </c>
      <c r="O862" s="57" t="str">
        <f aca="false">IF($N862="","",INDEX(BookRate,857)*(1+'5. Scenarios'!$D$10)*$N862)</f>
        <v/>
      </c>
      <c r="P862" s="57" t="str">
        <f aca="false">IF($O862="","",SUMIFS($O$6:$O$2405,$A$6:$A$2405,"&lt;="&amp;$A862))</f>
        <v/>
      </c>
      <c r="Q862" s="57" t="str">
        <f aca="false">IF($O862="","",IF($P862&lt;=BankCostEnvelope*'5. Scenarios'!$D$7,1,0))</f>
        <v/>
      </c>
      <c r="R862" s="57" t="str">
        <f aca="false">IF($N862="","",INDEX(BookRate,857)*(1+'5. Scenarios'!$D$10)*(INDEX(BookQ1,857)*(5-MIN(4,1+'5. Scenarios'!$D$8))/4+INDEX(BookQ2,857)*(5-MIN(4,2+'5. Scenarios'!$D$8))/4+INDEX(BookQ3,857)*(5-MIN(4,3+'5. Scenarios'!$D$8))/4+INDEX(BookQ4,857)*(5-MIN(4,4+'5. Scenarios'!$D$8))/4)*'5. Scenarios'!$D$6/(1+ProductivityDefault*('5. Scenarios'!$D$11-1))+INDEX(BookOneOff,857)*$N862)</f>
        <v/>
      </c>
      <c r="S862" s="56" t="str">
        <f aca="false">IF(INDEX(BookTitle,857)="","",INDEX(BookTotal,857)*'5. Scenarios'!$E$6/(1+ProductivityDefault*('5. Scenarios'!$E$11-1)))</f>
        <v/>
      </c>
      <c r="T862" s="57" t="str">
        <f aca="false">IF($S862="","",INDEX(BookRate,857)*(1+'5. Scenarios'!$E$10)*$S862)</f>
        <v/>
      </c>
      <c r="U862" s="57" t="str">
        <f aca="false">IF($T862="","",SUMIFS($T$6:$T$2405,$A$6:$A$2405,"&lt;="&amp;$A862))</f>
        <v/>
      </c>
      <c r="V862" s="57" t="str">
        <f aca="false">IF($T862="","",IF($U862&lt;=BankCostEnvelope*'5. Scenarios'!$E$7,1,0))</f>
        <v/>
      </c>
      <c r="W862" s="57" t="str">
        <f aca="false">IF($S862="","",INDEX(BookRate,857)*(1+'5. Scenarios'!$E$10)*(INDEX(BookQ1,857)*(5-MIN(4,1+'5. Scenarios'!$E$8))/4+INDEX(BookQ2,857)*(5-MIN(4,2+'5. Scenarios'!$E$8))/4+INDEX(BookQ3,857)*(5-MIN(4,3+'5. Scenarios'!$E$8))/4+INDEX(BookQ4,857)*(5-MIN(4,4+'5. Scenarios'!$E$8))/4)*'5. Scenarios'!$E$6/(1+ProductivityDefault*('5. Scenarios'!$E$11-1))+INDEX(BookOneOff,857)*$S862)</f>
        <v/>
      </c>
    </row>
    <row r="863" customFormat="false" ht="15" hidden="false" customHeight="false" outlineLevel="0" collapsed="false">
      <c r="A863" s="0" t="str">
        <f aca="false">IF(INDEX(BookTitle,858)="","",INDEX(BookKey,858))</f>
        <v/>
      </c>
      <c r="B863" s="0" t="str">
        <f aca="false">IF(INDEX(BookTitle,858)="","",INDEX(BookGroup,858))</f>
        <v/>
      </c>
      <c r="C863" s="0" t="str">
        <f aca="false">IF(INDEX(BookTitle,858)="","",INDEX(BookCategory,858))</f>
        <v/>
      </c>
      <c r="D863" s="56" t="str">
        <f aca="false">IF(INDEX(BookTitle,858)="","",INDEX(BookTotal,858)*'5. Scenarios'!$B$6/(1+ProductivityDefault*('5. Scenarios'!$B$11-1)))</f>
        <v/>
      </c>
      <c r="E863" s="57" t="str">
        <f aca="false">IF($D863="","",INDEX(BookRate,858)*(1+'5. Scenarios'!$B$10)*$D863)</f>
        <v/>
      </c>
      <c r="F863" s="57" t="str">
        <f aca="false">IF($E863="","",SUMIFS($E$6:$E$2405,$A$6:$A$2405,"&lt;="&amp;$A863))</f>
        <v/>
      </c>
      <c r="G863" s="57" t="str">
        <f aca="false">IF($E863="","",IF($F863&lt;=BankCostEnvelope*'5. Scenarios'!$B$7,1,0))</f>
        <v/>
      </c>
      <c r="H863" s="57" t="str">
        <f aca="false">IF($D863="","",INDEX(BookRate,858)*(1+'5. Scenarios'!$B$10)*(INDEX(BookQ1,858)*(5-MIN(4,1+'5. Scenarios'!$B$8))/4+INDEX(BookQ2,858)*(5-MIN(4,2+'5. Scenarios'!$B$8))/4+INDEX(BookQ3,858)*(5-MIN(4,3+'5. Scenarios'!$B$8))/4+INDEX(BookQ4,858)*(5-MIN(4,4+'5. Scenarios'!$B$8))/4)*'5. Scenarios'!$B$6/(1+ProductivityDefault*('5. Scenarios'!$B$11-1))+INDEX(BookOneOff,858)*$D863)</f>
        <v/>
      </c>
      <c r="I863" s="56" t="str">
        <f aca="false">IF(INDEX(BookTitle,858)="","",INDEX(BookTotal,858)*'5. Scenarios'!$C$6/(1+ProductivityDefault*('5. Scenarios'!$C$11-1)))</f>
        <v/>
      </c>
      <c r="J863" s="57" t="str">
        <f aca="false">IF($I863="","",INDEX(BookRate,858)*(1+'5. Scenarios'!$C$10)*$I863)</f>
        <v/>
      </c>
      <c r="K863" s="57" t="str">
        <f aca="false">IF($J863="","",SUMIFS($J$6:$J$2405,$A$6:$A$2405,"&lt;="&amp;$A863))</f>
        <v/>
      </c>
      <c r="L863" s="57" t="str">
        <f aca="false">IF($J863="","",IF($K863&lt;=BankCostEnvelope*'5. Scenarios'!$C$7,1,0))</f>
        <v/>
      </c>
      <c r="M863" s="57" t="str">
        <f aca="false">IF($I863="","",INDEX(BookRate,858)*(1+'5. Scenarios'!$C$10)*(INDEX(BookQ1,858)*(5-MIN(4,1+'5. Scenarios'!$C$8))/4+INDEX(BookQ2,858)*(5-MIN(4,2+'5. Scenarios'!$C$8))/4+INDEX(BookQ3,858)*(5-MIN(4,3+'5. Scenarios'!$C$8))/4+INDEX(BookQ4,858)*(5-MIN(4,4+'5. Scenarios'!$C$8))/4)*'5. Scenarios'!$C$6/(1+ProductivityDefault*('5. Scenarios'!$C$11-1))+INDEX(BookOneOff,858)*$I863)</f>
        <v/>
      </c>
      <c r="N863" s="56" t="str">
        <f aca="false">IF(INDEX(BookTitle,858)="","",INDEX(BookTotal,858)*'5. Scenarios'!$D$6/(1+ProductivityDefault*('5. Scenarios'!$D$11-1)))</f>
        <v/>
      </c>
      <c r="O863" s="57" t="str">
        <f aca="false">IF($N863="","",INDEX(BookRate,858)*(1+'5. Scenarios'!$D$10)*$N863)</f>
        <v/>
      </c>
      <c r="P863" s="57" t="str">
        <f aca="false">IF($O863="","",SUMIFS($O$6:$O$2405,$A$6:$A$2405,"&lt;="&amp;$A863))</f>
        <v/>
      </c>
      <c r="Q863" s="57" t="str">
        <f aca="false">IF($O863="","",IF($P863&lt;=BankCostEnvelope*'5. Scenarios'!$D$7,1,0))</f>
        <v/>
      </c>
      <c r="R863" s="57" t="str">
        <f aca="false">IF($N863="","",INDEX(BookRate,858)*(1+'5. Scenarios'!$D$10)*(INDEX(BookQ1,858)*(5-MIN(4,1+'5. Scenarios'!$D$8))/4+INDEX(BookQ2,858)*(5-MIN(4,2+'5. Scenarios'!$D$8))/4+INDEX(BookQ3,858)*(5-MIN(4,3+'5. Scenarios'!$D$8))/4+INDEX(BookQ4,858)*(5-MIN(4,4+'5. Scenarios'!$D$8))/4)*'5. Scenarios'!$D$6/(1+ProductivityDefault*('5. Scenarios'!$D$11-1))+INDEX(BookOneOff,858)*$N863)</f>
        <v/>
      </c>
      <c r="S863" s="56" t="str">
        <f aca="false">IF(INDEX(BookTitle,858)="","",INDEX(BookTotal,858)*'5. Scenarios'!$E$6/(1+ProductivityDefault*('5. Scenarios'!$E$11-1)))</f>
        <v/>
      </c>
      <c r="T863" s="57" t="str">
        <f aca="false">IF($S863="","",INDEX(BookRate,858)*(1+'5. Scenarios'!$E$10)*$S863)</f>
        <v/>
      </c>
      <c r="U863" s="57" t="str">
        <f aca="false">IF($T863="","",SUMIFS($T$6:$T$2405,$A$6:$A$2405,"&lt;="&amp;$A863))</f>
        <v/>
      </c>
      <c r="V863" s="57" t="str">
        <f aca="false">IF($T863="","",IF($U863&lt;=BankCostEnvelope*'5. Scenarios'!$E$7,1,0))</f>
        <v/>
      </c>
      <c r="W863" s="57" t="str">
        <f aca="false">IF($S863="","",INDEX(BookRate,858)*(1+'5. Scenarios'!$E$10)*(INDEX(BookQ1,858)*(5-MIN(4,1+'5. Scenarios'!$E$8))/4+INDEX(BookQ2,858)*(5-MIN(4,2+'5. Scenarios'!$E$8))/4+INDEX(BookQ3,858)*(5-MIN(4,3+'5. Scenarios'!$E$8))/4+INDEX(BookQ4,858)*(5-MIN(4,4+'5. Scenarios'!$E$8))/4)*'5. Scenarios'!$E$6/(1+ProductivityDefault*('5. Scenarios'!$E$11-1))+INDEX(BookOneOff,858)*$S863)</f>
        <v/>
      </c>
    </row>
    <row r="864" customFormat="false" ht="15" hidden="false" customHeight="false" outlineLevel="0" collapsed="false">
      <c r="A864" s="0" t="str">
        <f aca="false">IF(INDEX(BookTitle,859)="","",INDEX(BookKey,859))</f>
        <v/>
      </c>
      <c r="B864" s="0" t="str">
        <f aca="false">IF(INDEX(BookTitle,859)="","",INDEX(BookGroup,859))</f>
        <v/>
      </c>
      <c r="C864" s="0" t="str">
        <f aca="false">IF(INDEX(BookTitle,859)="","",INDEX(BookCategory,859))</f>
        <v/>
      </c>
      <c r="D864" s="56" t="str">
        <f aca="false">IF(INDEX(BookTitle,859)="","",INDEX(BookTotal,859)*'5. Scenarios'!$B$6/(1+ProductivityDefault*('5. Scenarios'!$B$11-1)))</f>
        <v/>
      </c>
      <c r="E864" s="57" t="str">
        <f aca="false">IF($D864="","",INDEX(BookRate,859)*(1+'5. Scenarios'!$B$10)*$D864)</f>
        <v/>
      </c>
      <c r="F864" s="57" t="str">
        <f aca="false">IF($E864="","",SUMIFS($E$6:$E$2405,$A$6:$A$2405,"&lt;="&amp;$A864))</f>
        <v/>
      </c>
      <c r="G864" s="57" t="str">
        <f aca="false">IF($E864="","",IF($F864&lt;=BankCostEnvelope*'5. Scenarios'!$B$7,1,0))</f>
        <v/>
      </c>
      <c r="H864" s="57" t="str">
        <f aca="false">IF($D864="","",INDEX(BookRate,859)*(1+'5. Scenarios'!$B$10)*(INDEX(BookQ1,859)*(5-MIN(4,1+'5. Scenarios'!$B$8))/4+INDEX(BookQ2,859)*(5-MIN(4,2+'5. Scenarios'!$B$8))/4+INDEX(BookQ3,859)*(5-MIN(4,3+'5. Scenarios'!$B$8))/4+INDEX(BookQ4,859)*(5-MIN(4,4+'5. Scenarios'!$B$8))/4)*'5. Scenarios'!$B$6/(1+ProductivityDefault*('5. Scenarios'!$B$11-1))+INDEX(BookOneOff,859)*$D864)</f>
        <v/>
      </c>
      <c r="I864" s="56" t="str">
        <f aca="false">IF(INDEX(BookTitle,859)="","",INDEX(BookTotal,859)*'5. Scenarios'!$C$6/(1+ProductivityDefault*('5. Scenarios'!$C$11-1)))</f>
        <v/>
      </c>
      <c r="J864" s="57" t="str">
        <f aca="false">IF($I864="","",INDEX(BookRate,859)*(1+'5. Scenarios'!$C$10)*$I864)</f>
        <v/>
      </c>
      <c r="K864" s="57" t="str">
        <f aca="false">IF($J864="","",SUMIFS($J$6:$J$2405,$A$6:$A$2405,"&lt;="&amp;$A864))</f>
        <v/>
      </c>
      <c r="L864" s="57" t="str">
        <f aca="false">IF($J864="","",IF($K864&lt;=BankCostEnvelope*'5. Scenarios'!$C$7,1,0))</f>
        <v/>
      </c>
      <c r="M864" s="57" t="str">
        <f aca="false">IF($I864="","",INDEX(BookRate,859)*(1+'5. Scenarios'!$C$10)*(INDEX(BookQ1,859)*(5-MIN(4,1+'5. Scenarios'!$C$8))/4+INDEX(BookQ2,859)*(5-MIN(4,2+'5. Scenarios'!$C$8))/4+INDEX(BookQ3,859)*(5-MIN(4,3+'5. Scenarios'!$C$8))/4+INDEX(BookQ4,859)*(5-MIN(4,4+'5. Scenarios'!$C$8))/4)*'5. Scenarios'!$C$6/(1+ProductivityDefault*('5. Scenarios'!$C$11-1))+INDEX(BookOneOff,859)*$I864)</f>
        <v/>
      </c>
      <c r="N864" s="56" t="str">
        <f aca="false">IF(INDEX(BookTitle,859)="","",INDEX(BookTotal,859)*'5. Scenarios'!$D$6/(1+ProductivityDefault*('5. Scenarios'!$D$11-1)))</f>
        <v/>
      </c>
      <c r="O864" s="57" t="str">
        <f aca="false">IF($N864="","",INDEX(BookRate,859)*(1+'5. Scenarios'!$D$10)*$N864)</f>
        <v/>
      </c>
      <c r="P864" s="57" t="str">
        <f aca="false">IF($O864="","",SUMIFS($O$6:$O$2405,$A$6:$A$2405,"&lt;="&amp;$A864))</f>
        <v/>
      </c>
      <c r="Q864" s="57" t="str">
        <f aca="false">IF($O864="","",IF($P864&lt;=BankCostEnvelope*'5. Scenarios'!$D$7,1,0))</f>
        <v/>
      </c>
      <c r="R864" s="57" t="str">
        <f aca="false">IF($N864="","",INDEX(BookRate,859)*(1+'5. Scenarios'!$D$10)*(INDEX(BookQ1,859)*(5-MIN(4,1+'5. Scenarios'!$D$8))/4+INDEX(BookQ2,859)*(5-MIN(4,2+'5. Scenarios'!$D$8))/4+INDEX(BookQ3,859)*(5-MIN(4,3+'5. Scenarios'!$D$8))/4+INDEX(BookQ4,859)*(5-MIN(4,4+'5. Scenarios'!$D$8))/4)*'5. Scenarios'!$D$6/(1+ProductivityDefault*('5. Scenarios'!$D$11-1))+INDEX(BookOneOff,859)*$N864)</f>
        <v/>
      </c>
      <c r="S864" s="56" t="str">
        <f aca="false">IF(INDEX(BookTitle,859)="","",INDEX(BookTotal,859)*'5. Scenarios'!$E$6/(1+ProductivityDefault*('5. Scenarios'!$E$11-1)))</f>
        <v/>
      </c>
      <c r="T864" s="57" t="str">
        <f aca="false">IF($S864="","",INDEX(BookRate,859)*(1+'5. Scenarios'!$E$10)*$S864)</f>
        <v/>
      </c>
      <c r="U864" s="57" t="str">
        <f aca="false">IF($T864="","",SUMIFS($T$6:$T$2405,$A$6:$A$2405,"&lt;="&amp;$A864))</f>
        <v/>
      </c>
      <c r="V864" s="57" t="str">
        <f aca="false">IF($T864="","",IF($U864&lt;=BankCostEnvelope*'5. Scenarios'!$E$7,1,0))</f>
        <v/>
      </c>
      <c r="W864" s="57" t="str">
        <f aca="false">IF($S864="","",INDEX(BookRate,859)*(1+'5. Scenarios'!$E$10)*(INDEX(BookQ1,859)*(5-MIN(4,1+'5. Scenarios'!$E$8))/4+INDEX(BookQ2,859)*(5-MIN(4,2+'5. Scenarios'!$E$8))/4+INDEX(BookQ3,859)*(5-MIN(4,3+'5. Scenarios'!$E$8))/4+INDEX(BookQ4,859)*(5-MIN(4,4+'5. Scenarios'!$E$8))/4)*'5. Scenarios'!$E$6/(1+ProductivityDefault*('5. Scenarios'!$E$11-1))+INDEX(BookOneOff,859)*$S864)</f>
        <v/>
      </c>
    </row>
    <row r="865" customFormat="false" ht="15" hidden="false" customHeight="false" outlineLevel="0" collapsed="false">
      <c r="A865" s="0" t="str">
        <f aca="false">IF(INDEX(BookTitle,860)="","",INDEX(BookKey,860))</f>
        <v/>
      </c>
      <c r="B865" s="0" t="str">
        <f aca="false">IF(INDEX(BookTitle,860)="","",INDEX(BookGroup,860))</f>
        <v/>
      </c>
      <c r="C865" s="0" t="str">
        <f aca="false">IF(INDEX(BookTitle,860)="","",INDEX(BookCategory,860))</f>
        <v/>
      </c>
      <c r="D865" s="56" t="str">
        <f aca="false">IF(INDEX(BookTitle,860)="","",INDEX(BookTotal,860)*'5. Scenarios'!$B$6/(1+ProductivityDefault*('5. Scenarios'!$B$11-1)))</f>
        <v/>
      </c>
      <c r="E865" s="57" t="str">
        <f aca="false">IF($D865="","",INDEX(BookRate,860)*(1+'5. Scenarios'!$B$10)*$D865)</f>
        <v/>
      </c>
      <c r="F865" s="57" t="str">
        <f aca="false">IF($E865="","",SUMIFS($E$6:$E$2405,$A$6:$A$2405,"&lt;="&amp;$A865))</f>
        <v/>
      </c>
      <c r="G865" s="57" t="str">
        <f aca="false">IF($E865="","",IF($F865&lt;=BankCostEnvelope*'5. Scenarios'!$B$7,1,0))</f>
        <v/>
      </c>
      <c r="H865" s="57" t="str">
        <f aca="false">IF($D865="","",INDEX(BookRate,860)*(1+'5. Scenarios'!$B$10)*(INDEX(BookQ1,860)*(5-MIN(4,1+'5. Scenarios'!$B$8))/4+INDEX(BookQ2,860)*(5-MIN(4,2+'5. Scenarios'!$B$8))/4+INDEX(BookQ3,860)*(5-MIN(4,3+'5. Scenarios'!$B$8))/4+INDEX(BookQ4,860)*(5-MIN(4,4+'5. Scenarios'!$B$8))/4)*'5. Scenarios'!$B$6/(1+ProductivityDefault*('5. Scenarios'!$B$11-1))+INDEX(BookOneOff,860)*$D865)</f>
        <v/>
      </c>
      <c r="I865" s="56" t="str">
        <f aca="false">IF(INDEX(BookTitle,860)="","",INDEX(BookTotal,860)*'5. Scenarios'!$C$6/(1+ProductivityDefault*('5. Scenarios'!$C$11-1)))</f>
        <v/>
      </c>
      <c r="J865" s="57" t="str">
        <f aca="false">IF($I865="","",INDEX(BookRate,860)*(1+'5. Scenarios'!$C$10)*$I865)</f>
        <v/>
      </c>
      <c r="K865" s="57" t="str">
        <f aca="false">IF($J865="","",SUMIFS($J$6:$J$2405,$A$6:$A$2405,"&lt;="&amp;$A865))</f>
        <v/>
      </c>
      <c r="L865" s="57" t="str">
        <f aca="false">IF($J865="","",IF($K865&lt;=BankCostEnvelope*'5. Scenarios'!$C$7,1,0))</f>
        <v/>
      </c>
      <c r="M865" s="57" t="str">
        <f aca="false">IF($I865="","",INDEX(BookRate,860)*(1+'5. Scenarios'!$C$10)*(INDEX(BookQ1,860)*(5-MIN(4,1+'5. Scenarios'!$C$8))/4+INDEX(BookQ2,860)*(5-MIN(4,2+'5. Scenarios'!$C$8))/4+INDEX(BookQ3,860)*(5-MIN(4,3+'5. Scenarios'!$C$8))/4+INDEX(BookQ4,860)*(5-MIN(4,4+'5. Scenarios'!$C$8))/4)*'5. Scenarios'!$C$6/(1+ProductivityDefault*('5. Scenarios'!$C$11-1))+INDEX(BookOneOff,860)*$I865)</f>
        <v/>
      </c>
      <c r="N865" s="56" t="str">
        <f aca="false">IF(INDEX(BookTitle,860)="","",INDEX(BookTotal,860)*'5. Scenarios'!$D$6/(1+ProductivityDefault*('5. Scenarios'!$D$11-1)))</f>
        <v/>
      </c>
      <c r="O865" s="57" t="str">
        <f aca="false">IF($N865="","",INDEX(BookRate,860)*(1+'5. Scenarios'!$D$10)*$N865)</f>
        <v/>
      </c>
      <c r="P865" s="57" t="str">
        <f aca="false">IF($O865="","",SUMIFS($O$6:$O$2405,$A$6:$A$2405,"&lt;="&amp;$A865))</f>
        <v/>
      </c>
      <c r="Q865" s="57" t="str">
        <f aca="false">IF($O865="","",IF($P865&lt;=BankCostEnvelope*'5. Scenarios'!$D$7,1,0))</f>
        <v/>
      </c>
      <c r="R865" s="57" t="str">
        <f aca="false">IF($N865="","",INDEX(BookRate,860)*(1+'5. Scenarios'!$D$10)*(INDEX(BookQ1,860)*(5-MIN(4,1+'5. Scenarios'!$D$8))/4+INDEX(BookQ2,860)*(5-MIN(4,2+'5. Scenarios'!$D$8))/4+INDEX(BookQ3,860)*(5-MIN(4,3+'5. Scenarios'!$D$8))/4+INDEX(BookQ4,860)*(5-MIN(4,4+'5. Scenarios'!$D$8))/4)*'5. Scenarios'!$D$6/(1+ProductivityDefault*('5. Scenarios'!$D$11-1))+INDEX(BookOneOff,860)*$N865)</f>
        <v/>
      </c>
      <c r="S865" s="56" t="str">
        <f aca="false">IF(INDEX(BookTitle,860)="","",INDEX(BookTotal,860)*'5. Scenarios'!$E$6/(1+ProductivityDefault*('5. Scenarios'!$E$11-1)))</f>
        <v/>
      </c>
      <c r="T865" s="57" t="str">
        <f aca="false">IF($S865="","",INDEX(BookRate,860)*(1+'5. Scenarios'!$E$10)*$S865)</f>
        <v/>
      </c>
      <c r="U865" s="57" t="str">
        <f aca="false">IF($T865="","",SUMIFS($T$6:$T$2405,$A$6:$A$2405,"&lt;="&amp;$A865))</f>
        <v/>
      </c>
      <c r="V865" s="57" t="str">
        <f aca="false">IF($T865="","",IF($U865&lt;=BankCostEnvelope*'5. Scenarios'!$E$7,1,0))</f>
        <v/>
      </c>
      <c r="W865" s="57" t="str">
        <f aca="false">IF($S865="","",INDEX(BookRate,860)*(1+'5. Scenarios'!$E$10)*(INDEX(BookQ1,860)*(5-MIN(4,1+'5. Scenarios'!$E$8))/4+INDEX(BookQ2,860)*(5-MIN(4,2+'5. Scenarios'!$E$8))/4+INDEX(BookQ3,860)*(5-MIN(4,3+'5. Scenarios'!$E$8))/4+INDEX(BookQ4,860)*(5-MIN(4,4+'5. Scenarios'!$E$8))/4)*'5. Scenarios'!$E$6/(1+ProductivityDefault*('5. Scenarios'!$E$11-1))+INDEX(BookOneOff,860)*$S865)</f>
        <v/>
      </c>
    </row>
    <row r="866" customFormat="false" ht="15" hidden="false" customHeight="false" outlineLevel="0" collapsed="false">
      <c r="A866" s="0" t="str">
        <f aca="false">IF(INDEX(BookTitle,861)="","",INDEX(BookKey,861))</f>
        <v/>
      </c>
      <c r="B866" s="0" t="str">
        <f aca="false">IF(INDEX(BookTitle,861)="","",INDEX(BookGroup,861))</f>
        <v/>
      </c>
      <c r="C866" s="0" t="str">
        <f aca="false">IF(INDEX(BookTitle,861)="","",INDEX(BookCategory,861))</f>
        <v/>
      </c>
      <c r="D866" s="56" t="str">
        <f aca="false">IF(INDEX(BookTitle,861)="","",INDEX(BookTotal,861)*'5. Scenarios'!$B$6/(1+ProductivityDefault*('5. Scenarios'!$B$11-1)))</f>
        <v/>
      </c>
      <c r="E866" s="57" t="str">
        <f aca="false">IF($D866="","",INDEX(BookRate,861)*(1+'5. Scenarios'!$B$10)*$D866)</f>
        <v/>
      </c>
      <c r="F866" s="57" t="str">
        <f aca="false">IF($E866="","",SUMIFS($E$6:$E$2405,$A$6:$A$2405,"&lt;="&amp;$A866))</f>
        <v/>
      </c>
      <c r="G866" s="57" t="str">
        <f aca="false">IF($E866="","",IF($F866&lt;=BankCostEnvelope*'5. Scenarios'!$B$7,1,0))</f>
        <v/>
      </c>
      <c r="H866" s="57" t="str">
        <f aca="false">IF($D866="","",INDEX(BookRate,861)*(1+'5. Scenarios'!$B$10)*(INDEX(BookQ1,861)*(5-MIN(4,1+'5. Scenarios'!$B$8))/4+INDEX(BookQ2,861)*(5-MIN(4,2+'5. Scenarios'!$B$8))/4+INDEX(BookQ3,861)*(5-MIN(4,3+'5. Scenarios'!$B$8))/4+INDEX(BookQ4,861)*(5-MIN(4,4+'5. Scenarios'!$B$8))/4)*'5. Scenarios'!$B$6/(1+ProductivityDefault*('5. Scenarios'!$B$11-1))+INDEX(BookOneOff,861)*$D866)</f>
        <v/>
      </c>
      <c r="I866" s="56" t="str">
        <f aca="false">IF(INDEX(BookTitle,861)="","",INDEX(BookTotal,861)*'5. Scenarios'!$C$6/(1+ProductivityDefault*('5. Scenarios'!$C$11-1)))</f>
        <v/>
      </c>
      <c r="J866" s="57" t="str">
        <f aca="false">IF($I866="","",INDEX(BookRate,861)*(1+'5. Scenarios'!$C$10)*$I866)</f>
        <v/>
      </c>
      <c r="K866" s="57" t="str">
        <f aca="false">IF($J866="","",SUMIFS($J$6:$J$2405,$A$6:$A$2405,"&lt;="&amp;$A866))</f>
        <v/>
      </c>
      <c r="L866" s="57" t="str">
        <f aca="false">IF($J866="","",IF($K866&lt;=BankCostEnvelope*'5. Scenarios'!$C$7,1,0))</f>
        <v/>
      </c>
      <c r="M866" s="57" t="str">
        <f aca="false">IF($I866="","",INDEX(BookRate,861)*(1+'5. Scenarios'!$C$10)*(INDEX(BookQ1,861)*(5-MIN(4,1+'5. Scenarios'!$C$8))/4+INDEX(BookQ2,861)*(5-MIN(4,2+'5. Scenarios'!$C$8))/4+INDEX(BookQ3,861)*(5-MIN(4,3+'5. Scenarios'!$C$8))/4+INDEX(BookQ4,861)*(5-MIN(4,4+'5. Scenarios'!$C$8))/4)*'5. Scenarios'!$C$6/(1+ProductivityDefault*('5. Scenarios'!$C$11-1))+INDEX(BookOneOff,861)*$I866)</f>
        <v/>
      </c>
      <c r="N866" s="56" t="str">
        <f aca="false">IF(INDEX(BookTitle,861)="","",INDEX(BookTotal,861)*'5. Scenarios'!$D$6/(1+ProductivityDefault*('5. Scenarios'!$D$11-1)))</f>
        <v/>
      </c>
      <c r="O866" s="57" t="str">
        <f aca="false">IF($N866="","",INDEX(BookRate,861)*(1+'5. Scenarios'!$D$10)*$N866)</f>
        <v/>
      </c>
      <c r="P866" s="57" t="str">
        <f aca="false">IF($O866="","",SUMIFS($O$6:$O$2405,$A$6:$A$2405,"&lt;="&amp;$A866))</f>
        <v/>
      </c>
      <c r="Q866" s="57" t="str">
        <f aca="false">IF($O866="","",IF($P866&lt;=BankCostEnvelope*'5. Scenarios'!$D$7,1,0))</f>
        <v/>
      </c>
      <c r="R866" s="57" t="str">
        <f aca="false">IF($N866="","",INDEX(BookRate,861)*(1+'5. Scenarios'!$D$10)*(INDEX(BookQ1,861)*(5-MIN(4,1+'5. Scenarios'!$D$8))/4+INDEX(BookQ2,861)*(5-MIN(4,2+'5. Scenarios'!$D$8))/4+INDEX(BookQ3,861)*(5-MIN(4,3+'5. Scenarios'!$D$8))/4+INDEX(BookQ4,861)*(5-MIN(4,4+'5. Scenarios'!$D$8))/4)*'5. Scenarios'!$D$6/(1+ProductivityDefault*('5. Scenarios'!$D$11-1))+INDEX(BookOneOff,861)*$N866)</f>
        <v/>
      </c>
      <c r="S866" s="56" t="str">
        <f aca="false">IF(INDEX(BookTitle,861)="","",INDEX(BookTotal,861)*'5. Scenarios'!$E$6/(1+ProductivityDefault*('5. Scenarios'!$E$11-1)))</f>
        <v/>
      </c>
      <c r="T866" s="57" t="str">
        <f aca="false">IF($S866="","",INDEX(BookRate,861)*(1+'5. Scenarios'!$E$10)*$S866)</f>
        <v/>
      </c>
      <c r="U866" s="57" t="str">
        <f aca="false">IF($T866="","",SUMIFS($T$6:$T$2405,$A$6:$A$2405,"&lt;="&amp;$A866))</f>
        <v/>
      </c>
      <c r="V866" s="57" t="str">
        <f aca="false">IF($T866="","",IF($U866&lt;=BankCostEnvelope*'5. Scenarios'!$E$7,1,0))</f>
        <v/>
      </c>
      <c r="W866" s="57" t="str">
        <f aca="false">IF($S866="","",INDEX(BookRate,861)*(1+'5. Scenarios'!$E$10)*(INDEX(BookQ1,861)*(5-MIN(4,1+'5. Scenarios'!$E$8))/4+INDEX(BookQ2,861)*(5-MIN(4,2+'5. Scenarios'!$E$8))/4+INDEX(BookQ3,861)*(5-MIN(4,3+'5. Scenarios'!$E$8))/4+INDEX(BookQ4,861)*(5-MIN(4,4+'5. Scenarios'!$E$8))/4)*'5. Scenarios'!$E$6/(1+ProductivityDefault*('5. Scenarios'!$E$11-1))+INDEX(BookOneOff,861)*$S866)</f>
        <v/>
      </c>
    </row>
    <row r="867" customFormat="false" ht="15" hidden="false" customHeight="false" outlineLevel="0" collapsed="false">
      <c r="A867" s="0" t="str">
        <f aca="false">IF(INDEX(BookTitle,862)="","",INDEX(BookKey,862))</f>
        <v/>
      </c>
      <c r="B867" s="0" t="str">
        <f aca="false">IF(INDEX(BookTitle,862)="","",INDEX(BookGroup,862))</f>
        <v/>
      </c>
      <c r="C867" s="0" t="str">
        <f aca="false">IF(INDEX(BookTitle,862)="","",INDEX(BookCategory,862))</f>
        <v/>
      </c>
      <c r="D867" s="56" t="str">
        <f aca="false">IF(INDEX(BookTitle,862)="","",INDEX(BookTotal,862)*'5. Scenarios'!$B$6/(1+ProductivityDefault*('5. Scenarios'!$B$11-1)))</f>
        <v/>
      </c>
      <c r="E867" s="57" t="str">
        <f aca="false">IF($D867="","",INDEX(BookRate,862)*(1+'5. Scenarios'!$B$10)*$D867)</f>
        <v/>
      </c>
      <c r="F867" s="57" t="str">
        <f aca="false">IF($E867="","",SUMIFS($E$6:$E$2405,$A$6:$A$2405,"&lt;="&amp;$A867))</f>
        <v/>
      </c>
      <c r="G867" s="57" t="str">
        <f aca="false">IF($E867="","",IF($F867&lt;=BankCostEnvelope*'5. Scenarios'!$B$7,1,0))</f>
        <v/>
      </c>
      <c r="H867" s="57" t="str">
        <f aca="false">IF($D867="","",INDEX(BookRate,862)*(1+'5. Scenarios'!$B$10)*(INDEX(BookQ1,862)*(5-MIN(4,1+'5. Scenarios'!$B$8))/4+INDEX(BookQ2,862)*(5-MIN(4,2+'5. Scenarios'!$B$8))/4+INDEX(BookQ3,862)*(5-MIN(4,3+'5. Scenarios'!$B$8))/4+INDEX(BookQ4,862)*(5-MIN(4,4+'5. Scenarios'!$B$8))/4)*'5. Scenarios'!$B$6/(1+ProductivityDefault*('5. Scenarios'!$B$11-1))+INDEX(BookOneOff,862)*$D867)</f>
        <v/>
      </c>
      <c r="I867" s="56" t="str">
        <f aca="false">IF(INDEX(BookTitle,862)="","",INDEX(BookTotal,862)*'5. Scenarios'!$C$6/(1+ProductivityDefault*('5. Scenarios'!$C$11-1)))</f>
        <v/>
      </c>
      <c r="J867" s="57" t="str">
        <f aca="false">IF($I867="","",INDEX(BookRate,862)*(1+'5. Scenarios'!$C$10)*$I867)</f>
        <v/>
      </c>
      <c r="K867" s="57" t="str">
        <f aca="false">IF($J867="","",SUMIFS($J$6:$J$2405,$A$6:$A$2405,"&lt;="&amp;$A867))</f>
        <v/>
      </c>
      <c r="L867" s="57" t="str">
        <f aca="false">IF($J867="","",IF($K867&lt;=BankCostEnvelope*'5. Scenarios'!$C$7,1,0))</f>
        <v/>
      </c>
      <c r="M867" s="57" t="str">
        <f aca="false">IF($I867="","",INDEX(BookRate,862)*(1+'5. Scenarios'!$C$10)*(INDEX(BookQ1,862)*(5-MIN(4,1+'5. Scenarios'!$C$8))/4+INDEX(BookQ2,862)*(5-MIN(4,2+'5. Scenarios'!$C$8))/4+INDEX(BookQ3,862)*(5-MIN(4,3+'5. Scenarios'!$C$8))/4+INDEX(BookQ4,862)*(5-MIN(4,4+'5. Scenarios'!$C$8))/4)*'5. Scenarios'!$C$6/(1+ProductivityDefault*('5. Scenarios'!$C$11-1))+INDEX(BookOneOff,862)*$I867)</f>
        <v/>
      </c>
      <c r="N867" s="56" t="str">
        <f aca="false">IF(INDEX(BookTitle,862)="","",INDEX(BookTotal,862)*'5. Scenarios'!$D$6/(1+ProductivityDefault*('5. Scenarios'!$D$11-1)))</f>
        <v/>
      </c>
      <c r="O867" s="57" t="str">
        <f aca="false">IF($N867="","",INDEX(BookRate,862)*(1+'5. Scenarios'!$D$10)*$N867)</f>
        <v/>
      </c>
      <c r="P867" s="57" t="str">
        <f aca="false">IF($O867="","",SUMIFS($O$6:$O$2405,$A$6:$A$2405,"&lt;="&amp;$A867))</f>
        <v/>
      </c>
      <c r="Q867" s="57" t="str">
        <f aca="false">IF($O867="","",IF($P867&lt;=BankCostEnvelope*'5. Scenarios'!$D$7,1,0))</f>
        <v/>
      </c>
      <c r="R867" s="57" t="str">
        <f aca="false">IF($N867="","",INDEX(BookRate,862)*(1+'5. Scenarios'!$D$10)*(INDEX(BookQ1,862)*(5-MIN(4,1+'5. Scenarios'!$D$8))/4+INDEX(BookQ2,862)*(5-MIN(4,2+'5. Scenarios'!$D$8))/4+INDEX(BookQ3,862)*(5-MIN(4,3+'5. Scenarios'!$D$8))/4+INDEX(BookQ4,862)*(5-MIN(4,4+'5. Scenarios'!$D$8))/4)*'5. Scenarios'!$D$6/(1+ProductivityDefault*('5. Scenarios'!$D$11-1))+INDEX(BookOneOff,862)*$N867)</f>
        <v/>
      </c>
      <c r="S867" s="56" t="str">
        <f aca="false">IF(INDEX(BookTitle,862)="","",INDEX(BookTotal,862)*'5. Scenarios'!$E$6/(1+ProductivityDefault*('5. Scenarios'!$E$11-1)))</f>
        <v/>
      </c>
      <c r="T867" s="57" t="str">
        <f aca="false">IF($S867="","",INDEX(BookRate,862)*(1+'5. Scenarios'!$E$10)*$S867)</f>
        <v/>
      </c>
      <c r="U867" s="57" t="str">
        <f aca="false">IF($T867="","",SUMIFS($T$6:$T$2405,$A$6:$A$2405,"&lt;="&amp;$A867))</f>
        <v/>
      </c>
      <c r="V867" s="57" t="str">
        <f aca="false">IF($T867="","",IF($U867&lt;=BankCostEnvelope*'5. Scenarios'!$E$7,1,0))</f>
        <v/>
      </c>
      <c r="W867" s="57" t="str">
        <f aca="false">IF($S867="","",INDEX(BookRate,862)*(1+'5. Scenarios'!$E$10)*(INDEX(BookQ1,862)*(5-MIN(4,1+'5. Scenarios'!$E$8))/4+INDEX(BookQ2,862)*(5-MIN(4,2+'5. Scenarios'!$E$8))/4+INDEX(BookQ3,862)*(5-MIN(4,3+'5. Scenarios'!$E$8))/4+INDEX(BookQ4,862)*(5-MIN(4,4+'5. Scenarios'!$E$8))/4)*'5. Scenarios'!$E$6/(1+ProductivityDefault*('5. Scenarios'!$E$11-1))+INDEX(BookOneOff,862)*$S867)</f>
        <v/>
      </c>
    </row>
    <row r="868" customFormat="false" ht="15" hidden="false" customHeight="false" outlineLevel="0" collapsed="false">
      <c r="A868" s="0" t="str">
        <f aca="false">IF(INDEX(BookTitle,863)="","",INDEX(BookKey,863))</f>
        <v/>
      </c>
      <c r="B868" s="0" t="str">
        <f aca="false">IF(INDEX(BookTitle,863)="","",INDEX(BookGroup,863))</f>
        <v/>
      </c>
      <c r="C868" s="0" t="str">
        <f aca="false">IF(INDEX(BookTitle,863)="","",INDEX(BookCategory,863))</f>
        <v/>
      </c>
      <c r="D868" s="56" t="str">
        <f aca="false">IF(INDEX(BookTitle,863)="","",INDEX(BookTotal,863)*'5. Scenarios'!$B$6/(1+ProductivityDefault*('5. Scenarios'!$B$11-1)))</f>
        <v/>
      </c>
      <c r="E868" s="57" t="str">
        <f aca="false">IF($D868="","",INDEX(BookRate,863)*(1+'5. Scenarios'!$B$10)*$D868)</f>
        <v/>
      </c>
      <c r="F868" s="57" t="str">
        <f aca="false">IF($E868="","",SUMIFS($E$6:$E$2405,$A$6:$A$2405,"&lt;="&amp;$A868))</f>
        <v/>
      </c>
      <c r="G868" s="57" t="str">
        <f aca="false">IF($E868="","",IF($F868&lt;=BankCostEnvelope*'5. Scenarios'!$B$7,1,0))</f>
        <v/>
      </c>
      <c r="H868" s="57" t="str">
        <f aca="false">IF($D868="","",INDEX(BookRate,863)*(1+'5. Scenarios'!$B$10)*(INDEX(BookQ1,863)*(5-MIN(4,1+'5. Scenarios'!$B$8))/4+INDEX(BookQ2,863)*(5-MIN(4,2+'5. Scenarios'!$B$8))/4+INDEX(BookQ3,863)*(5-MIN(4,3+'5. Scenarios'!$B$8))/4+INDEX(BookQ4,863)*(5-MIN(4,4+'5. Scenarios'!$B$8))/4)*'5. Scenarios'!$B$6/(1+ProductivityDefault*('5. Scenarios'!$B$11-1))+INDEX(BookOneOff,863)*$D868)</f>
        <v/>
      </c>
      <c r="I868" s="56" t="str">
        <f aca="false">IF(INDEX(BookTitle,863)="","",INDEX(BookTotal,863)*'5. Scenarios'!$C$6/(1+ProductivityDefault*('5. Scenarios'!$C$11-1)))</f>
        <v/>
      </c>
      <c r="J868" s="57" t="str">
        <f aca="false">IF($I868="","",INDEX(BookRate,863)*(1+'5. Scenarios'!$C$10)*$I868)</f>
        <v/>
      </c>
      <c r="K868" s="57" t="str">
        <f aca="false">IF($J868="","",SUMIFS($J$6:$J$2405,$A$6:$A$2405,"&lt;="&amp;$A868))</f>
        <v/>
      </c>
      <c r="L868" s="57" t="str">
        <f aca="false">IF($J868="","",IF($K868&lt;=BankCostEnvelope*'5. Scenarios'!$C$7,1,0))</f>
        <v/>
      </c>
      <c r="M868" s="57" t="str">
        <f aca="false">IF($I868="","",INDEX(BookRate,863)*(1+'5. Scenarios'!$C$10)*(INDEX(BookQ1,863)*(5-MIN(4,1+'5. Scenarios'!$C$8))/4+INDEX(BookQ2,863)*(5-MIN(4,2+'5. Scenarios'!$C$8))/4+INDEX(BookQ3,863)*(5-MIN(4,3+'5. Scenarios'!$C$8))/4+INDEX(BookQ4,863)*(5-MIN(4,4+'5. Scenarios'!$C$8))/4)*'5. Scenarios'!$C$6/(1+ProductivityDefault*('5. Scenarios'!$C$11-1))+INDEX(BookOneOff,863)*$I868)</f>
        <v/>
      </c>
      <c r="N868" s="56" t="str">
        <f aca="false">IF(INDEX(BookTitle,863)="","",INDEX(BookTotal,863)*'5. Scenarios'!$D$6/(1+ProductivityDefault*('5. Scenarios'!$D$11-1)))</f>
        <v/>
      </c>
      <c r="O868" s="57" t="str">
        <f aca="false">IF($N868="","",INDEX(BookRate,863)*(1+'5. Scenarios'!$D$10)*$N868)</f>
        <v/>
      </c>
      <c r="P868" s="57" t="str">
        <f aca="false">IF($O868="","",SUMIFS($O$6:$O$2405,$A$6:$A$2405,"&lt;="&amp;$A868))</f>
        <v/>
      </c>
      <c r="Q868" s="57" t="str">
        <f aca="false">IF($O868="","",IF($P868&lt;=BankCostEnvelope*'5. Scenarios'!$D$7,1,0))</f>
        <v/>
      </c>
      <c r="R868" s="57" t="str">
        <f aca="false">IF($N868="","",INDEX(BookRate,863)*(1+'5. Scenarios'!$D$10)*(INDEX(BookQ1,863)*(5-MIN(4,1+'5. Scenarios'!$D$8))/4+INDEX(BookQ2,863)*(5-MIN(4,2+'5. Scenarios'!$D$8))/4+INDEX(BookQ3,863)*(5-MIN(4,3+'5. Scenarios'!$D$8))/4+INDEX(BookQ4,863)*(5-MIN(4,4+'5. Scenarios'!$D$8))/4)*'5. Scenarios'!$D$6/(1+ProductivityDefault*('5. Scenarios'!$D$11-1))+INDEX(BookOneOff,863)*$N868)</f>
        <v/>
      </c>
      <c r="S868" s="56" t="str">
        <f aca="false">IF(INDEX(BookTitle,863)="","",INDEX(BookTotal,863)*'5. Scenarios'!$E$6/(1+ProductivityDefault*('5. Scenarios'!$E$11-1)))</f>
        <v/>
      </c>
      <c r="T868" s="57" t="str">
        <f aca="false">IF($S868="","",INDEX(BookRate,863)*(1+'5. Scenarios'!$E$10)*$S868)</f>
        <v/>
      </c>
      <c r="U868" s="57" t="str">
        <f aca="false">IF($T868="","",SUMIFS($T$6:$T$2405,$A$6:$A$2405,"&lt;="&amp;$A868))</f>
        <v/>
      </c>
      <c r="V868" s="57" t="str">
        <f aca="false">IF($T868="","",IF($U868&lt;=BankCostEnvelope*'5. Scenarios'!$E$7,1,0))</f>
        <v/>
      </c>
      <c r="W868" s="57" t="str">
        <f aca="false">IF($S868="","",INDEX(BookRate,863)*(1+'5. Scenarios'!$E$10)*(INDEX(BookQ1,863)*(5-MIN(4,1+'5. Scenarios'!$E$8))/4+INDEX(BookQ2,863)*(5-MIN(4,2+'5. Scenarios'!$E$8))/4+INDEX(BookQ3,863)*(5-MIN(4,3+'5. Scenarios'!$E$8))/4+INDEX(BookQ4,863)*(5-MIN(4,4+'5. Scenarios'!$E$8))/4)*'5. Scenarios'!$E$6/(1+ProductivityDefault*('5. Scenarios'!$E$11-1))+INDEX(BookOneOff,863)*$S868)</f>
        <v/>
      </c>
    </row>
    <row r="869" customFormat="false" ht="15" hidden="false" customHeight="false" outlineLevel="0" collapsed="false">
      <c r="A869" s="0" t="str">
        <f aca="false">IF(INDEX(BookTitle,864)="","",INDEX(BookKey,864))</f>
        <v/>
      </c>
      <c r="B869" s="0" t="str">
        <f aca="false">IF(INDEX(BookTitle,864)="","",INDEX(BookGroup,864))</f>
        <v/>
      </c>
      <c r="C869" s="0" t="str">
        <f aca="false">IF(INDEX(BookTitle,864)="","",INDEX(BookCategory,864))</f>
        <v/>
      </c>
      <c r="D869" s="56" t="str">
        <f aca="false">IF(INDEX(BookTitle,864)="","",INDEX(BookTotal,864)*'5. Scenarios'!$B$6/(1+ProductivityDefault*('5. Scenarios'!$B$11-1)))</f>
        <v/>
      </c>
      <c r="E869" s="57" t="str">
        <f aca="false">IF($D869="","",INDEX(BookRate,864)*(1+'5. Scenarios'!$B$10)*$D869)</f>
        <v/>
      </c>
      <c r="F869" s="57" t="str">
        <f aca="false">IF($E869="","",SUMIFS($E$6:$E$2405,$A$6:$A$2405,"&lt;="&amp;$A869))</f>
        <v/>
      </c>
      <c r="G869" s="57" t="str">
        <f aca="false">IF($E869="","",IF($F869&lt;=BankCostEnvelope*'5. Scenarios'!$B$7,1,0))</f>
        <v/>
      </c>
      <c r="H869" s="57" t="str">
        <f aca="false">IF($D869="","",INDEX(BookRate,864)*(1+'5. Scenarios'!$B$10)*(INDEX(BookQ1,864)*(5-MIN(4,1+'5. Scenarios'!$B$8))/4+INDEX(BookQ2,864)*(5-MIN(4,2+'5. Scenarios'!$B$8))/4+INDEX(BookQ3,864)*(5-MIN(4,3+'5. Scenarios'!$B$8))/4+INDEX(BookQ4,864)*(5-MIN(4,4+'5. Scenarios'!$B$8))/4)*'5. Scenarios'!$B$6/(1+ProductivityDefault*('5. Scenarios'!$B$11-1))+INDEX(BookOneOff,864)*$D869)</f>
        <v/>
      </c>
      <c r="I869" s="56" t="str">
        <f aca="false">IF(INDEX(BookTitle,864)="","",INDEX(BookTotal,864)*'5. Scenarios'!$C$6/(1+ProductivityDefault*('5. Scenarios'!$C$11-1)))</f>
        <v/>
      </c>
      <c r="J869" s="57" t="str">
        <f aca="false">IF($I869="","",INDEX(BookRate,864)*(1+'5. Scenarios'!$C$10)*$I869)</f>
        <v/>
      </c>
      <c r="K869" s="57" t="str">
        <f aca="false">IF($J869="","",SUMIFS($J$6:$J$2405,$A$6:$A$2405,"&lt;="&amp;$A869))</f>
        <v/>
      </c>
      <c r="L869" s="57" t="str">
        <f aca="false">IF($J869="","",IF($K869&lt;=BankCostEnvelope*'5. Scenarios'!$C$7,1,0))</f>
        <v/>
      </c>
      <c r="M869" s="57" t="str">
        <f aca="false">IF($I869="","",INDEX(BookRate,864)*(1+'5. Scenarios'!$C$10)*(INDEX(BookQ1,864)*(5-MIN(4,1+'5. Scenarios'!$C$8))/4+INDEX(BookQ2,864)*(5-MIN(4,2+'5. Scenarios'!$C$8))/4+INDEX(BookQ3,864)*(5-MIN(4,3+'5. Scenarios'!$C$8))/4+INDEX(BookQ4,864)*(5-MIN(4,4+'5. Scenarios'!$C$8))/4)*'5. Scenarios'!$C$6/(1+ProductivityDefault*('5. Scenarios'!$C$11-1))+INDEX(BookOneOff,864)*$I869)</f>
        <v/>
      </c>
      <c r="N869" s="56" t="str">
        <f aca="false">IF(INDEX(BookTitle,864)="","",INDEX(BookTotal,864)*'5. Scenarios'!$D$6/(1+ProductivityDefault*('5. Scenarios'!$D$11-1)))</f>
        <v/>
      </c>
      <c r="O869" s="57" t="str">
        <f aca="false">IF($N869="","",INDEX(BookRate,864)*(1+'5. Scenarios'!$D$10)*$N869)</f>
        <v/>
      </c>
      <c r="P869" s="57" t="str">
        <f aca="false">IF($O869="","",SUMIFS($O$6:$O$2405,$A$6:$A$2405,"&lt;="&amp;$A869))</f>
        <v/>
      </c>
      <c r="Q869" s="57" t="str">
        <f aca="false">IF($O869="","",IF($P869&lt;=BankCostEnvelope*'5. Scenarios'!$D$7,1,0))</f>
        <v/>
      </c>
      <c r="R869" s="57" t="str">
        <f aca="false">IF($N869="","",INDEX(BookRate,864)*(1+'5. Scenarios'!$D$10)*(INDEX(BookQ1,864)*(5-MIN(4,1+'5. Scenarios'!$D$8))/4+INDEX(BookQ2,864)*(5-MIN(4,2+'5. Scenarios'!$D$8))/4+INDEX(BookQ3,864)*(5-MIN(4,3+'5. Scenarios'!$D$8))/4+INDEX(BookQ4,864)*(5-MIN(4,4+'5. Scenarios'!$D$8))/4)*'5. Scenarios'!$D$6/(1+ProductivityDefault*('5. Scenarios'!$D$11-1))+INDEX(BookOneOff,864)*$N869)</f>
        <v/>
      </c>
      <c r="S869" s="56" t="str">
        <f aca="false">IF(INDEX(BookTitle,864)="","",INDEX(BookTotal,864)*'5. Scenarios'!$E$6/(1+ProductivityDefault*('5. Scenarios'!$E$11-1)))</f>
        <v/>
      </c>
      <c r="T869" s="57" t="str">
        <f aca="false">IF($S869="","",INDEX(BookRate,864)*(1+'5. Scenarios'!$E$10)*$S869)</f>
        <v/>
      </c>
      <c r="U869" s="57" t="str">
        <f aca="false">IF($T869="","",SUMIFS($T$6:$T$2405,$A$6:$A$2405,"&lt;="&amp;$A869))</f>
        <v/>
      </c>
      <c r="V869" s="57" t="str">
        <f aca="false">IF($T869="","",IF($U869&lt;=BankCostEnvelope*'5. Scenarios'!$E$7,1,0))</f>
        <v/>
      </c>
      <c r="W869" s="57" t="str">
        <f aca="false">IF($S869="","",INDEX(BookRate,864)*(1+'5. Scenarios'!$E$10)*(INDEX(BookQ1,864)*(5-MIN(4,1+'5. Scenarios'!$E$8))/4+INDEX(BookQ2,864)*(5-MIN(4,2+'5. Scenarios'!$E$8))/4+INDEX(BookQ3,864)*(5-MIN(4,3+'5. Scenarios'!$E$8))/4+INDEX(BookQ4,864)*(5-MIN(4,4+'5. Scenarios'!$E$8))/4)*'5. Scenarios'!$E$6/(1+ProductivityDefault*('5. Scenarios'!$E$11-1))+INDEX(BookOneOff,864)*$S869)</f>
        <v/>
      </c>
    </row>
    <row r="870" customFormat="false" ht="15" hidden="false" customHeight="false" outlineLevel="0" collapsed="false">
      <c r="A870" s="0" t="str">
        <f aca="false">IF(INDEX(BookTitle,865)="","",INDEX(BookKey,865))</f>
        <v/>
      </c>
      <c r="B870" s="0" t="str">
        <f aca="false">IF(INDEX(BookTitle,865)="","",INDEX(BookGroup,865))</f>
        <v/>
      </c>
      <c r="C870" s="0" t="str">
        <f aca="false">IF(INDEX(BookTitle,865)="","",INDEX(BookCategory,865))</f>
        <v/>
      </c>
      <c r="D870" s="56" t="str">
        <f aca="false">IF(INDEX(BookTitle,865)="","",INDEX(BookTotal,865)*'5. Scenarios'!$B$6/(1+ProductivityDefault*('5. Scenarios'!$B$11-1)))</f>
        <v/>
      </c>
      <c r="E870" s="57" t="str">
        <f aca="false">IF($D870="","",INDEX(BookRate,865)*(1+'5. Scenarios'!$B$10)*$D870)</f>
        <v/>
      </c>
      <c r="F870" s="57" t="str">
        <f aca="false">IF($E870="","",SUMIFS($E$6:$E$2405,$A$6:$A$2405,"&lt;="&amp;$A870))</f>
        <v/>
      </c>
      <c r="G870" s="57" t="str">
        <f aca="false">IF($E870="","",IF($F870&lt;=BankCostEnvelope*'5. Scenarios'!$B$7,1,0))</f>
        <v/>
      </c>
      <c r="H870" s="57" t="str">
        <f aca="false">IF($D870="","",INDEX(BookRate,865)*(1+'5. Scenarios'!$B$10)*(INDEX(BookQ1,865)*(5-MIN(4,1+'5. Scenarios'!$B$8))/4+INDEX(BookQ2,865)*(5-MIN(4,2+'5. Scenarios'!$B$8))/4+INDEX(BookQ3,865)*(5-MIN(4,3+'5. Scenarios'!$B$8))/4+INDEX(BookQ4,865)*(5-MIN(4,4+'5. Scenarios'!$B$8))/4)*'5. Scenarios'!$B$6/(1+ProductivityDefault*('5. Scenarios'!$B$11-1))+INDEX(BookOneOff,865)*$D870)</f>
        <v/>
      </c>
      <c r="I870" s="56" t="str">
        <f aca="false">IF(INDEX(BookTitle,865)="","",INDEX(BookTotal,865)*'5. Scenarios'!$C$6/(1+ProductivityDefault*('5. Scenarios'!$C$11-1)))</f>
        <v/>
      </c>
      <c r="J870" s="57" t="str">
        <f aca="false">IF($I870="","",INDEX(BookRate,865)*(1+'5. Scenarios'!$C$10)*$I870)</f>
        <v/>
      </c>
      <c r="K870" s="57" t="str">
        <f aca="false">IF($J870="","",SUMIFS($J$6:$J$2405,$A$6:$A$2405,"&lt;="&amp;$A870))</f>
        <v/>
      </c>
      <c r="L870" s="57" t="str">
        <f aca="false">IF($J870="","",IF($K870&lt;=BankCostEnvelope*'5. Scenarios'!$C$7,1,0))</f>
        <v/>
      </c>
      <c r="M870" s="57" t="str">
        <f aca="false">IF($I870="","",INDEX(BookRate,865)*(1+'5. Scenarios'!$C$10)*(INDEX(BookQ1,865)*(5-MIN(4,1+'5. Scenarios'!$C$8))/4+INDEX(BookQ2,865)*(5-MIN(4,2+'5. Scenarios'!$C$8))/4+INDEX(BookQ3,865)*(5-MIN(4,3+'5. Scenarios'!$C$8))/4+INDEX(BookQ4,865)*(5-MIN(4,4+'5. Scenarios'!$C$8))/4)*'5. Scenarios'!$C$6/(1+ProductivityDefault*('5. Scenarios'!$C$11-1))+INDEX(BookOneOff,865)*$I870)</f>
        <v/>
      </c>
      <c r="N870" s="56" t="str">
        <f aca="false">IF(INDEX(BookTitle,865)="","",INDEX(BookTotal,865)*'5. Scenarios'!$D$6/(1+ProductivityDefault*('5. Scenarios'!$D$11-1)))</f>
        <v/>
      </c>
      <c r="O870" s="57" t="str">
        <f aca="false">IF($N870="","",INDEX(BookRate,865)*(1+'5. Scenarios'!$D$10)*$N870)</f>
        <v/>
      </c>
      <c r="P870" s="57" t="str">
        <f aca="false">IF($O870="","",SUMIFS($O$6:$O$2405,$A$6:$A$2405,"&lt;="&amp;$A870))</f>
        <v/>
      </c>
      <c r="Q870" s="57" t="str">
        <f aca="false">IF($O870="","",IF($P870&lt;=BankCostEnvelope*'5. Scenarios'!$D$7,1,0))</f>
        <v/>
      </c>
      <c r="R870" s="57" t="str">
        <f aca="false">IF($N870="","",INDEX(BookRate,865)*(1+'5. Scenarios'!$D$10)*(INDEX(BookQ1,865)*(5-MIN(4,1+'5. Scenarios'!$D$8))/4+INDEX(BookQ2,865)*(5-MIN(4,2+'5. Scenarios'!$D$8))/4+INDEX(BookQ3,865)*(5-MIN(4,3+'5. Scenarios'!$D$8))/4+INDEX(BookQ4,865)*(5-MIN(4,4+'5. Scenarios'!$D$8))/4)*'5. Scenarios'!$D$6/(1+ProductivityDefault*('5. Scenarios'!$D$11-1))+INDEX(BookOneOff,865)*$N870)</f>
        <v/>
      </c>
      <c r="S870" s="56" t="str">
        <f aca="false">IF(INDEX(BookTitle,865)="","",INDEX(BookTotal,865)*'5. Scenarios'!$E$6/(1+ProductivityDefault*('5. Scenarios'!$E$11-1)))</f>
        <v/>
      </c>
      <c r="T870" s="57" t="str">
        <f aca="false">IF($S870="","",INDEX(BookRate,865)*(1+'5. Scenarios'!$E$10)*$S870)</f>
        <v/>
      </c>
      <c r="U870" s="57" t="str">
        <f aca="false">IF($T870="","",SUMIFS($T$6:$T$2405,$A$6:$A$2405,"&lt;="&amp;$A870))</f>
        <v/>
      </c>
      <c r="V870" s="57" t="str">
        <f aca="false">IF($T870="","",IF($U870&lt;=BankCostEnvelope*'5. Scenarios'!$E$7,1,0))</f>
        <v/>
      </c>
      <c r="W870" s="57" t="str">
        <f aca="false">IF($S870="","",INDEX(BookRate,865)*(1+'5. Scenarios'!$E$10)*(INDEX(BookQ1,865)*(5-MIN(4,1+'5. Scenarios'!$E$8))/4+INDEX(BookQ2,865)*(5-MIN(4,2+'5. Scenarios'!$E$8))/4+INDEX(BookQ3,865)*(5-MIN(4,3+'5. Scenarios'!$E$8))/4+INDEX(BookQ4,865)*(5-MIN(4,4+'5. Scenarios'!$E$8))/4)*'5. Scenarios'!$E$6/(1+ProductivityDefault*('5. Scenarios'!$E$11-1))+INDEX(BookOneOff,865)*$S870)</f>
        <v/>
      </c>
    </row>
    <row r="871" customFormat="false" ht="15" hidden="false" customHeight="false" outlineLevel="0" collapsed="false">
      <c r="A871" s="0" t="str">
        <f aca="false">IF(INDEX(BookTitle,866)="","",INDEX(BookKey,866))</f>
        <v/>
      </c>
      <c r="B871" s="0" t="str">
        <f aca="false">IF(INDEX(BookTitle,866)="","",INDEX(BookGroup,866))</f>
        <v/>
      </c>
      <c r="C871" s="0" t="str">
        <f aca="false">IF(INDEX(BookTitle,866)="","",INDEX(BookCategory,866))</f>
        <v/>
      </c>
      <c r="D871" s="56" t="str">
        <f aca="false">IF(INDEX(BookTitle,866)="","",INDEX(BookTotal,866)*'5. Scenarios'!$B$6/(1+ProductivityDefault*('5. Scenarios'!$B$11-1)))</f>
        <v/>
      </c>
      <c r="E871" s="57" t="str">
        <f aca="false">IF($D871="","",INDEX(BookRate,866)*(1+'5. Scenarios'!$B$10)*$D871)</f>
        <v/>
      </c>
      <c r="F871" s="57" t="str">
        <f aca="false">IF($E871="","",SUMIFS($E$6:$E$2405,$A$6:$A$2405,"&lt;="&amp;$A871))</f>
        <v/>
      </c>
      <c r="G871" s="57" t="str">
        <f aca="false">IF($E871="","",IF($F871&lt;=BankCostEnvelope*'5. Scenarios'!$B$7,1,0))</f>
        <v/>
      </c>
      <c r="H871" s="57" t="str">
        <f aca="false">IF($D871="","",INDEX(BookRate,866)*(1+'5. Scenarios'!$B$10)*(INDEX(BookQ1,866)*(5-MIN(4,1+'5. Scenarios'!$B$8))/4+INDEX(BookQ2,866)*(5-MIN(4,2+'5. Scenarios'!$B$8))/4+INDEX(BookQ3,866)*(5-MIN(4,3+'5. Scenarios'!$B$8))/4+INDEX(BookQ4,866)*(5-MIN(4,4+'5. Scenarios'!$B$8))/4)*'5. Scenarios'!$B$6/(1+ProductivityDefault*('5. Scenarios'!$B$11-1))+INDEX(BookOneOff,866)*$D871)</f>
        <v/>
      </c>
      <c r="I871" s="56" t="str">
        <f aca="false">IF(INDEX(BookTitle,866)="","",INDEX(BookTotal,866)*'5. Scenarios'!$C$6/(1+ProductivityDefault*('5. Scenarios'!$C$11-1)))</f>
        <v/>
      </c>
      <c r="J871" s="57" t="str">
        <f aca="false">IF($I871="","",INDEX(BookRate,866)*(1+'5. Scenarios'!$C$10)*$I871)</f>
        <v/>
      </c>
      <c r="K871" s="57" t="str">
        <f aca="false">IF($J871="","",SUMIFS($J$6:$J$2405,$A$6:$A$2405,"&lt;="&amp;$A871))</f>
        <v/>
      </c>
      <c r="L871" s="57" t="str">
        <f aca="false">IF($J871="","",IF($K871&lt;=BankCostEnvelope*'5. Scenarios'!$C$7,1,0))</f>
        <v/>
      </c>
      <c r="M871" s="57" t="str">
        <f aca="false">IF($I871="","",INDEX(BookRate,866)*(1+'5. Scenarios'!$C$10)*(INDEX(BookQ1,866)*(5-MIN(4,1+'5. Scenarios'!$C$8))/4+INDEX(BookQ2,866)*(5-MIN(4,2+'5. Scenarios'!$C$8))/4+INDEX(BookQ3,866)*(5-MIN(4,3+'5. Scenarios'!$C$8))/4+INDEX(BookQ4,866)*(5-MIN(4,4+'5. Scenarios'!$C$8))/4)*'5. Scenarios'!$C$6/(1+ProductivityDefault*('5. Scenarios'!$C$11-1))+INDEX(BookOneOff,866)*$I871)</f>
        <v/>
      </c>
      <c r="N871" s="56" t="str">
        <f aca="false">IF(INDEX(BookTitle,866)="","",INDEX(BookTotal,866)*'5. Scenarios'!$D$6/(1+ProductivityDefault*('5. Scenarios'!$D$11-1)))</f>
        <v/>
      </c>
      <c r="O871" s="57" t="str">
        <f aca="false">IF($N871="","",INDEX(BookRate,866)*(1+'5. Scenarios'!$D$10)*$N871)</f>
        <v/>
      </c>
      <c r="P871" s="57" t="str">
        <f aca="false">IF($O871="","",SUMIFS($O$6:$O$2405,$A$6:$A$2405,"&lt;="&amp;$A871))</f>
        <v/>
      </c>
      <c r="Q871" s="57" t="str">
        <f aca="false">IF($O871="","",IF($P871&lt;=BankCostEnvelope*'5. Scenarios'!$D$7,1,0))</f>
        <v/>
      </c>
      <c r="R871" s="57" t="str">
        <f aca="false">IF($N871="","",INDEX(BookRate,866)*(1+'5. Scenarios'!$D$10)*(INDEX(BookQ1,866)*(5-MIN(4,1+'5. Scenarios'!$D$8))/4+INDEX(BookQ2,866)*(5-MIN(4,2+'5. Scenarios'!$D$8))/4+INDEX(BookQ3,866)*(5-MIN(4,3+'5. Scenarios'!$D$8))/4+INDEX(BookQ4,866)*(5-MIN(4,4+'5. Scenarios'!$D$8))/4)*'5. Scenarios'!$D$6/(1+ProductivityDefault*('5. Scenarios'!$D$11-1))+INDEX(BookOneOff,866)*$N871)</f>
        <v/>
      </c>
      <c r="S871" s="56" t="str">
        <f aca="false">IF(INDEX(BookTitle,866)="","",INDEX(BookTotal,866)*'5. Scenarios'!$E$6/(1+ProductivityDefault*('5. Scenarios'!$E$11-1)))</f>
        <v/>
      </c>
      <c r="T871" s="57" t="str">
        <f aca="false">IF($S871="","",INDEX(BookRate,866)*(1+'5. Scenarios'!$E$10)*$S871)</f>
        <v/>
      </c>
      <c r="U871" s="57" t="str">
        <f aca="false">IF($T871="","",SUMIFS($T$6:$T$2405,$A$6:$A$2405,"&lt;="&amp;$A871))</f>
        <v/>
      </c>
      <c r="V871" s="57" t="str">
        <f aca="false">IF($T871="","",IF($U871&lt;=BankCostEnvelope*'5. Scenarios'!$E$7,1,0))</f>
        <v/>
      </c>
      <c r="W871" s="57" t="str">
        <f aca="false">IF($S871="","",INDEX(BookRate,866)*(1+'5. Scenarios'!$E$10)*(INDEX(BookQ1,866)*(5-MIN(4,1+'5. Scenarios'!$E$8))/4+INDEX(BookQ2,866)*(5-MIN(4,2+'5. Scenarios'!$E$8))/4+INDEX(BookQ3,866)*(5-MIN(4,3+'5. Scenarios'!$E$8))/4+INDEX(BookQ4,866)*(5-MIN(4,4+'5. Scenarios'!$E$8))/4)*'5. Scenarios'!$E$6/(1+ProductivityDefault*('5. Scenarios'!$E$11-1))+INDEX(BookOneOff,866)*$S871)</f>
        <v/>
      </c>
    </row>
    <row r="872" customFormat="false" ht="15" hidden="false" customHeight="false" outlineLevel="0" collapsed="false">
      <c r="A872" s="0" t="str">
        <f aca="false">IF(INDEX(BookTitle,867)="","",INDEX(BookKey,867))</f>
        <v/>
      </c>
      <c r="B872" s="0" t="str">
        <f aca="false">IF(INDEX(BookTitle,867)="","",INDEX(BookGroup,867))</f>
        <v/>
      </c>
      <c r="C872" s="0" t="str">
        <f aca="false">IF(INDEX(BookTitle,867)="","",INDEX(BookCategory,867))</f>
        <v/>
      </c>
      <c r="D872" s="56" t="str">
        <f aca="false">IF(INDEX(BookTitle,867)="","",INDEX(BookTotal,867)*'5. Scenarios'!$B$6/(1+ProductivityDefault*('5. Scenarios'!$B$11-1)))</f>
        <v/>
      </c>
      <c r="E872" s="57" t="str">
        <f aca="false">IF($D872="","",INDEX(BookRate,867)*(1+'5. Scenarios'!$B$10)*$D872)</f>
        <v/>
      </c>
      <c r="F872" s="57" t="str">
        <f aca="false">IF($E872="","",SUMIFS($E$6:$E$2405,$A$6:$A$2405,"&lt;="&amp;$A872))</f>
        <v/>
      </c>
      <c r="G872" s="57" t="str">
        <f aca="false">IF($E872="","",IF($F872&lt;=BankCostEnvelope*'5. Scenarios'!$B$7,1,0))</f>
        <v/>
      </c>
      <c r="H872" s="57" t="str">
        <f aca="false">IF($D872="","",INDEX(BookRate,867)*(1+'5. Scenarios'!$B$10)*(INDEX(BookQ1,867)*(5-MIN(4,1+'5. Scenarios'!$B$8))/4+INDEX(BookQ2,867)*(5-MIN(4,2+'5. Scenarios'!$B$8))/4+INDEX(BookQ3,867)*(5-MIN(4,3+'5. Scenarios'!$B$8))/4+INDEX(BookQ4,867)*(5-MIN(4,4+'5. Scenarios'!$B$8))/4)*'5. Scenarios'!$B$6/(1+ProductivityDefault*('5. Scenarios'!$B$11-1))+INDEX(BookOneOff,867)*$D872)</f>
        <v/>
      </c>
      <c r="I872" s="56" t="str">
        <f aca="false">IF(INDEX(BookTitle,867)="","",INDEX(BookTotal,867)*'5. Scenarios'!$C$6/(1+ProductivityDefault*('5. Scenarios'!$C$11-1)))</f>
        <v/>
      </c>
      <c r="J872" s="57" t="str">
        <f aca="false">IF($I872="","",INDEX(BookRate,867)*(1+'5. Scenarios'!$C$10)*$I872)</f>
        <v/>
      </c>
      <c r="K872" s="57" t="str">
        <f aca="false">IF($J872="","",SUMIFS($J$6:$J$2405,$A$6:$A$2405,"&lt;="&amp;$A872))</f>
        <v/>
      </c>
      <c r="L872" s="57" t="str">
        <f aca="false">IF($J872="","",IF($K872&lt;=BankCostEnvelope*'5. Scenarios'!$C$7,1,0))</f>
        <v/>
      </c>
      <c r="M872" s="57" t="str">
        <f aca="false">IF($I872="","",INDEX(BookRate,867)*(1+'5. Scenarios'!$C$10)*(INDEX(BookQ1,867)*(5-MIN(4,1+'5. Scenarios'!$C$8))/4+INDEX(BookQ2,867)*(5-MIN(4,2+'5. Scenarios'!$C$8))/4+INDEX(BookQ3,867)*(5-MIN(4,3+'5. Scenarios'!$C$8))/4+INDEX(BookQ4,867)*(5-MIN(4,4+'5. Scenarios'!$C$8))/4)*'5. Scenarios'!$C$6/(1+ProductivityDefault*('5. Scenarios'!$C$11-1))+INDEX(BookOneOff,867)*$I872)</f>
        <v/>
      </c>
      <c r="N872" s="56" t="str">
        <f aca="false">IF(INDEX(BookTitle,867)="","",INDEX(BookTotal,867)*'5. Scenarios'!$D$6/(1+ProductivityDefault*('5. Scenarios'!$D$11-1)))</f>
        <v/>
      </c>
      <c r="O872" s="57" t="str">
        <f aca="false">IF($N872="","",INDEX(BookRate,867)*(1+'5. Scenarios'!$D$10)*$N872)</f>
        <v/>
      </c>
      <c r="P872" s="57" t="str">
        <f aca="false">IF($O872="","",SUMIFS($O$6:$O$2405,$A$6:$A$2405,"&lt;="&amp;$A872))</f>
        <v/>
      </c>
      <c r="Q872" s="57" t="str">
        <f aca="false">IF($O872="","",IF($P872&lt;=BankCostEnvelope*'5. Scenarios'!$D$7,1,0))</f>
        <v/>
      </c>
      <c r="R872" s="57" t="str">
        <f aca="false">IF($N872="","",INDEX(BookRate,867)*(1+'5. Scenarios'!$D$10)*(INDEX(BookQ1,867)*(5-MIN(4,1+'5. Scenarios'!$D$8))/4+INDEX(BookQ2,867)*(5-MIN(4,2+'5. Scenarios'!$D$8))/4+INDEX(BookQ3,867)*(5-MIN(4,3+'5. Scenarios'!$D$8))/4+INDEX(BookQ4,867)*(5-MIN(4,4+'5. Scenarios'!$D$8))/4)*'5. Scenarios'!$D$6/(1+ProductivityDefault*('5. Scenarios'!$D$11-1))+INDEX(BookOneOff,867)*$N872)</f>
        <v/>
      </c>
      <c r="S872" s="56" t="str">
        <f aca="false">IF(INDEX(BookTitle,867)="","",INDEX(BookTotal,867)*'5. Scenarios'!$E$6/(1+ProductivityDefault*('5. Scenarios'!$E$11-1)))</f>
        <v/>
      </c>
      <c r="T872" s="57" t="str">
        <f aca="false">IF($S872="","",INDEX(BookRate,867)*(1+'5. Scenarios'!$E$10)*$S872)</f>
        <v/>
      </c>
      <c r="U872" s="57" t="str">
        <f aca="false">IF($T872="","",SUMIFS($T$6:$T$2405,$A$6:$A$2405,"&lt;="&amp;$A872))</f>
        <v/>
      </c>
      <c r="V872" s="57" t="str">
        <f aca="false">IF($T872="","",IF($U872&lt;=BankCostEnvelope*'5. Scenarios'!$E$7,1,0))</f>
        <v/>
      </c>
      <c r="W872" s="57" t="str">
        <f aca="false">IF($S872="","",INDEX(BookRate,867)*(1+'5. Scenarios'!$E$10)*(INDEX(BookQ1,867)*(5-MIN(4,1+'5. Scenarios'!$E$8))/4+INDEX(BookQ2,867)*(5-MIN(4,2+'5. Scenarios'!$E$8))/4+INDEX(BookQ3,867)*(5-MIN(4,3+'5. Scenarios'!$E$8))/4+INDEX(BookQ4,867)*(5-MIN(4,4+'5. Scenarios'!$E$8))/4)*'5. Scenarios'!$E$6/(1+ProductivityDefault*('5. Scenarios'!$E$11-1))+INDEX(BookOneOff,867)*$S872)</f>
        <v/>
      </c>
    </row>
    <row r="873" customFormat="false" ht="15" hidden="false" customHeight="false" outlineLevel="0" collapsed="false">
      <c r="A873" s="0" t="str">
        <f aca="false">IF(INDEX(BookTitle,868)="","",INDEX(BookKey,868))</f>
        <v/>
      </c>
      <c r="B873" s="0" t="str">
        <f aca="false">IF(INDEX(BookTitle,868)="","",INDEX(BookGroup,868))</f>
        <v/>
      </c>
      <c r="C873" s="0" t="str">
        <f aca="false">IF(INDEX(BookTitle,868)="","",INDEX(BookCategory,868))</f>
        <v/>
      </c>
      <c r="D873" s="56" t="str">
        <f aca="false">IF(INDEX(BookTitle,868)="","",INDEX(BookTotal,868)*'5. Scenarios'!$B$6/(1+ProductivityDefault*('5. Scenarios'!$B$11-1)))</f>
        <v/>
      </c>
      <c r="E873" s="57" t="str">
        <f aca="false">IF($D873="","",INDEX(BookRate,868)*(1+'5. Scenarios'!$B$10)*$D873)</f>
        <v/>
      </c>
      <c r="F873" s="57" t="str">
        <f aca="false">IF($E873="","",SUMIFS($E$6:$E$2405,$A$6:$A$2405,"&lt;="&amp;$A873))</f>
        <v/>
      </c>
      <c r="G873" s="57" t="str">
        <f aca="false">IF($E873="","",IF($F873&lt;=BankCostEnvelope*'5. Scenarios'!$B$7,1,0))</f>
        <v/>
      </c>
      <c r="H873" s="57" t="str">
        <f aca="false">IF($D873="","",INDEX(BookRate,868)*(1+'5. Scenarios'!$B$10)*(INDEX(BookQ1,868)*(5-MIN(4,1+'5. Scenarios'!$B$8))/4+INDEX(BookQ2,868)*(5-MIN(4,2+'5. Scenarios'!$B$8))/4+INDEX(BookQ3,868)*(5-MIN(4,3+'5. Scenarios'!$B$8))/4+INDEX(BookQ4,868)*(5-MIN(4,4+'5. Scenarios'!$B$8))/4)*'5. Scenarios'!$B$6/(1+ProductivityDefault*('5. Scenarios'!$B$11-1))+INDEX(BookOneOff,868)*$D873)</f>
        <v/>
      </c>
      <c r="I873" s="56" t="str">
        <f aca="false">IF(INDEX(BookTitle,868)="","",INDEX(BookTotal,868)*'5. Scenarios'!$C$6/(1+ProductivityDefault*('5. Scenarios'!$C$11-1)))</f>
        <v/>
      </c>
      <c r="J873" s="57" t="str">
        <f aca="false">IF($I873="","",INDEX(BookRate,868)*(1+'5. Scenarios'!$C$10)*$I873)</f>
        <v/>
      </c>
      <c r="K873" s="57" t="str">
        <f aca="false">IF($J873="","",SUMIFS($J$6:$J$2405,$A$6:$A$2405,"&lt;="&amp;$A873))</f>
        <v/>
      </c>
      <c r="L873" s="57" t="str">
        <f aca="false">IF($J873="","",IF($K873&lt;=BankCostEnvelope*'5. Scenarios'!$C$7,1,0))</f>
        <v/>
      </c>
      <c r="M873" s="57" t="str">
        <f aca="false">IF($I873="","",INDEX(BookRate,868)*(1+'5. Scenarios'!$C$10)*(INDEX(BookQ1,868)*(5-MIN(4,1+'5. Scenarios'!$C$8))/4+INDEX(BookQ2,868)*(5-MIN(4,2+'5. Scenarios'!$C$8))/4+INDEX(BookQ3,868)*(5-MIN(4,3+'5. Scenarios'!$C$8))/4+INDEX(BookQ4,868)*(5-MIN(4,4+'5. Scenarios'!$C$8))/4)*'5. Scenarios'!$C$6/(1+ProductivityDefault*('5. Scenarios'!$C$11-1))+INDEX(BookOneOff,868)*$I873)</f>
        <v/>
      </c>
      <c r="N873" s="56" t="str">
        <f aca="false">IF(INDEX(BookTitle,868)="","",INDEX(BookTotal,868)*'5. Scenarios'!$D$6/(1+ProductivityDefault*('5. Scenarios'!$D$11-1)))</f>
        <v/>
      </c>
      <c r="O873" s="57" t="str">
        <f aca="false">IF($N873="","",INDEX(BookRate,868)*(1+'5. Scenarios'!$D$10)*$N873)</f>
        <v/>
      </c>
      <c r="P873" s="57" t="str">
        <f aca="false">IF($O873="","",SUMIFS($O$6:$O$2405,$A$6:$A$2405,"&lt;="&amp;$A873))</f>
        <v/>
      </c>
      <c r="Q873" s="57" t="str">
        <f aca="false">IF($O873="","",IF($P873&lt;=BankCostEnvelope*'5. Scenarios'!$D$7,1,0))</f>
        <v/>
      </c>
      <c r="R873" s="57" t="str">
        <f aca="false">IF($N873="","",INDEX(BookRate,868)*(1+'5. Scenarios'!$D$10)*(INDEX(BookQ1,868)*(5-MIN(4,1+'5. Scenarios'!$D$8))/4+INDEX(BookQ2,868)*(5-MIN(4,2+'5. Scenarios'!$D$8))/4+INDEX(BookQ3,868)*(5-MIN(4,3+'5. Scenarios'!$D$8))/4+INDEX(BookQ4,868)*(5-MIN(4,4+'5. Scenarios'!$D$8))/4)*'5. Scenarios'!$D$6/(1+ProductivityDefault*('5. Scenarios'!$D$11-1))+INDEX(BookOneOff,868)*$N873)</f>
        <v/>
      </c>
      <c r="S873" s="56" t="str">
        <f aca="false">IF(INDEX(BookTitle,868)="","",INDEX(BookTotal,868)*'5. Scenarios'!$E$6/(1+ProductivityDefault*('5. Scenarios'!$E$11-1)))</f>
        <v/>
      </c>
      <c r="T873" s="57" t="str">
        <f aca="false">IF($S873="","",INDEX(BookRate,868)*(1+'5. Scenarios'!$E$10)*$S873)</f>
        <v/>
      </c>
      <c r="U873" s="57" t="str">
        <f aca="false">IF($T873="","",SUMIFS($T$6:$T$2405,$A$6:$A$2405,"&lt;="&amp;$A873))</f>
        <v/>
      </c>
      <c r="V873" s="57" t="str">
        <f aca="false">IF($T873="","",IF($U873&lt;=BankCostEnvelope*'5. Scenarios'!$E$7,1,0))</f>
        <v/>
      </c>
      <c r="W873" s="57" t="str">
        <f aca="false">IF($S873="","",INDEX(BookRate,868)*(1+'5. Scenarios'!$E$10)*(INDEX(BookQ1,868)*(5-MIN(4,1+'5. Scenarios'!$E$8))/4+INDEX(BookQ2,868)*(5-MIN(4,2+'5. Scenarios'!$E$8))/4+INDEX(BookQ3,868)*(5-MIN(4,3+'5. Scenarios'!$E$8))/4+INDEX(BookQ4,868)*(5-MIN(4,4+'5. Scenarios'!$E$8))/4)*'5. Scenarios'!$E$6/(1+ProductivityDefault*('5. Scenarios'!$E$11-1))+INDEX(BookOneOff,868)*$S873)</f>
        <v/>
      </c>
    </row>
    <row r="874" customFormat="false" ht="15" hidden="false" customHeight="false" outlineLevel="0" collapsed="false">
      <c r="A874" s="0" t="str">
        <f aca="false">IF(INDEX(BookTitle,869)="","",INDEX(BookKey,869))</f>
        <v/>
      </c>
      <c r="B874" s="0" t="str">
        <f aca="false">IF(INDEX(BookTitle,869)="","",INDEX(BookGroup,869))</f>
        <v/>
      </c>
      <c r="C874" s="0" t="str">
        <f aca="false">IF(INDEX(BookTitle,869)="","",INDEX(BookCategory,869))</f>
        <v/>
      </c>
      <c r="D874" s="56" t="str">
        <f aca="false">IF(INDEX(BookTitle,869)="","",INDEX(BookTotal,869)*'5. Scenarios'!$B$6/(1+ProductivityDefault*('5. Scenarios'!$B$11-1)))</f>
        <v/>
      </c>
      <c r="E874" s="57" t="str">
        <f aca="false">IF($D874="","",INDEX(BookRate,869)*(1+'5. Scenarios'!$B$10)*$D874)</f>
        <v/>
      </c>
      <c r="F874" s="57" t="str">
        <f aca="false">IF($E874="","",SUMIFS($E$6:$E$2405,$A$6:$A$2405,"&lt;="&amp;$A874))</f>
        <v/>
      </c>
      <c r="G874" s="57" t="str">
        <f aca="false">IF($E874="","",IF($F874&lt;=BankCostEnvelope*'5. Scenarios'!$B$7,1,0))</f>
        <v/>
      </c>
      <c r="H874" s="57" t="str">
        <f aca="false">IF($D874="","",INDEX(BookRate,869)*(1+'5. Scenarios'!$B$10)*(INDEX(BookQ1,869)*(5-MIN(4,1+'5. Scenarios'!$B$8))/4+INDEX(BookQ2,869)*(5-MIN(4,2+'5. Scenarios'!$B$8))/4+INDEX(BookQ3,869)*(5-MIN(4,3+'5. Scenarios'!$B$8))/4+INDEX(BookQ4,869)*(5-MIN(4,4+'5. Scenarios'!$B$8))/4)*'5. Scenarios'!$B$6/(1+ProductivityDefault*('5. Scenarios'!$B$11-1))+INDEX(BookOneOff,869)*$D874)</f>
        <v/>
      </c>
      <c r="I874" s="56" t="str">
        <f aca="false">IF(INDEX(BookTitle,869)="","",INDEX(BookTotal,869)*'5. Scenarios'!$C$6/(1+ProductivityDefault*('5. Scenarios'!$C$11-1)))</f>
        <v/>
      </c>
      <c r="J874" s="57" t="str">
        <f aca="false">IF($I874="","",INDEX(BookRate,869)*(1+'5. Scenarios'!$C$10)*$I874)</f>
        <v/>
      </c>
      <c r="K874" s="57" t="str">
        <f aca="false">IF($J874="","",SUMIFS($J$6:$J$2405,$A$6:$A$2405,"&lt;="&amp;$A874))</f>
        <v/>
      </c>
      <c r="L874" s="57" t="str">
        <f aca="false">IF($J874="","",IF($K874&lt;=BankCostEnvelope*'5. Scenarios'!$C$7,1,0))</f>
        <v/>
      </c>
      <c r="M874" s="57" t="str">
        <f aca="false">IF($I874="","",INDEX(BookRate,869)*(1+'5. Scenarios'!$C$10)*(INDEX(BookQ1,869)*(5-MIN(4,1+'5. Scenarios'!$C$8))/4+INDEX(BookQ2,869)*(5-MIN(4,2+'5. Scenarios'!$C$8))/4+INDEX(BookQ3,869)*(5-MIN(4,3+'5. Scenarios'!$C$8))/4+INDEX(BookQ4,869)*(5-MIN(4,4+'5. Scenarios'!$C$8))/4)*'5. Scenarios'!$C$6/(1+ProductivityDefault*('5. Scenarios'!$C$11-1))+INDEX(BookOneOff,869)*$I874)</f>
        <v/>
      </c>
      <c r="N874" s="56" t="str">
        <f aca="false">IF(INDEX(BookTitle,869)="","",INDEX(BookTotal,869)*'5. Scenarios'!$D$6/(1+ProductivityDefault*('5. Scenarios'!$D$11-1)))</f>
        <v/>
      </c>
      <c r="O874" s="57" t="str">
        <f aca="false">IF($N874="","",INDEX(BookRate,869)*(1+'5. Scenarios'!$D$10)*$N874)</f>
        <v/>
      </c>
      <c r="P874" s="57" t="str">
        <f aca="false">IF($O874="","",SUMIFS($O$6:$O$2405,$A$6:$A$2405,"&lt;="&amp;$A874))</f>
        <v/>
      </c>
      <c r="Q874" s="57" t="str">
        <f aca="false">IF($O874="","",IF($P874&lt;=BankCostEnvelope*'5. Scenarios'!$D$7,1,0))</f>
        <v/>
      </c>
      <c r="R874" s="57" t="str">
        <f aca="false">IF($N874="","",INDEX(BookRate,869)*(1+'5. Scenarios'!$D$10)*(INDEX(BookQ1,869)*(5-MIN(4,1+'5. Scenarios'!$D$8))/4+INDEX(BookQ2,869)*(5-MIN(4,2+'5. Scenarios'!$D$8))/4+INDEX(BookQ3,869)*(5-MIN(4,3+'5. Scenarios'!$D$8))/4+INDEX(BookQ4,869)*(5-MIN(4,4+'5. Scenarios'!$D$8))/4)*'5. Scenarios'!$D$6/(1+ProductivityDefault*('5. Scenarios'!$D$11-1))+INDEX(BookOneOff,869)*$N874)</f>
        <v/>
      </c>
      <c r="S874" s="56" t="str">
        <f aca="false">IF(INDEX(BookTitle,869)="","",INDEX(BookTotal,869)*'5. Scenarios'!$E$6/(1+ProductivityDefault*('5. Scenarios'!$E$11-1)))</f>
        <v/>
      </c>
      <c r="T874" s="57" t="str">
        <f aca="false">IF($S874="","",INDEX(BookRate,869)*(1+'5. Scenarios'!$E$10)*$S874)</f>
        <v/>
      </c>
      <c r="U874" s="57" t="str">
        <f aca="false">IF($T874="","",SUMIFS($T$6:$T$2405,$A$6:$A$2405,"&lt;="&amp;$A874))</f>
        <v/>
      </c>
      <c r="V874" s="57" t="str">
        <f aca="false">IF($T874="","",IF($U874&lt;=BankCostEnvelope*'5. Scenarios'!$E$7,1,0))</f>
        <v/>
      </c>
      <c r="W874" s="57" t="str">
        <f aca="false">IF($S874="","",INDEX(BookRate,869)*(1+'5. Scenarios'!$E$10)*(INDEX(BookQ1,869)*(5-MIN(4,1+'5. Scenarios'!$E$8))/4+INDEX(BookQ2,869)*(5-MIN(4,2+'5. Scenarios'!$E$8))/4+INDEX(BookQ3,869)*(5-MIN(4,3+'5. Scenarios'!$E$8))/4+INDEX(BookQ4,869)*(5-MIN(4,4+'5. Scenarios'!$E$8))/4)*'5. Scenarios'!$E$6/(1+ProductivityDefault*('5. Scenarios'!$E$11-1))+INDEX(BookOneOff,869)*$S874)</f>
        <v/>
      </c>
    </row>
    <row r="875" customFormat="false" ht="15" hidden="false" customHeight="false" outlineLevel="0" collapsed="false">
      <c r="A875" s="0" t="str">
        <f aca="false">IF(INDEX(BookTitle,870)="","",INDEX(BookKey,870))</f>
        <v/>
      </c>
      <c r="B875" s="0" t="str">
        <f aca="false">IF(INDEX(BookTitle,870)="","",INDEX(BookGroup,870))</f>
        <v/>
      </c>
      <c r="C875" s="0" t="str">
        <f aca="false">IF(INDEX(BookTitle,870)="","",INDEX(BookCategory,870))</f>
        <v/>
      </c>
      <c r="D875" s="56" t="str">
        <f aca="false">IF(INDEX(BookTitle,870)="","",INDEX(BookTotal,870)*'5. Scenarios'!$B$6/(1+ProductivityDefault*('5. Scenarios'!$B$11-1)))</f>
        <v/>
      </c>
      <c r="E875" s="57" t="str">
        <f aca="false">IF($D875="","",INDEX(BookRate,870)*(1+'5. Scenarios'!$B$10)*$D875)</f>
        <v/>
      </c>
      <c r="F875" s="57" t="str">
        <f aca="false">IF($E875="","",SUMIFS($E$6:$E$2405,$A$6:$A$2405,"&lt;="&amp;$A875))</f>
        <v/>
      </c>
      <c r="G875" s="57" t="str">
        <f aca="false">IF($E875="","",IF($F875&lt;=BankCostEnvelope*'5. Scenarios'!$B$7,1,0))</f>
        <v/>
      </c>
      <c r="H875" s="57" t="str">
        <f aca="false">IF($D875="","",INDEX(BookRate,870)*(1+'5. Scenarios'!$B$10)*(INDEX(BookQ1,870)*(5-MIN(4,1+'5. Scenarios'!$B$8))/4+INDEX(BookQ2,870)*(5-MIN(4,2+'5. Scenarios'!$B$8))/4+INDEX(BookQ3,870)*(5-MIN(4,3+'5. Scenarios'!$B$8))/4+INDEX(BookQ4,870)*(5-MIN(4,4+'5. Scenarios'!$B$8))/4)*'5. Scenarios'!$B$6/(1+ProductivityDefault*('5. Scenarios'!$B$11-1))+INDEX(BookOneOff,870)*$D875)</f>
        <v/>
      </c>
      <c r="I875" s="56" t="str">
        <f aca="false">IF(INDEX(BookTitle,870)="","",INDEX(BookTotal,870)*'5. Scenarios'!$C$6/(1+ProductivityDefault*('5. Scenarios'!$C$11-1)))</f>
        <v/>
      </c>
      <c r="J875" s="57" t="str">
        <f aca="false">IF($I875="","",INDEX(BookRate,870)*(1+'5. Scenarios'!$C$10)*$I875)</f>
        <v/>
      </c>
      <c r="K875" s="57" t="str">
        <f aca="false">IF($J875="","",SUMIFS($J$6:$J$2405,$A$6:$A$2405,"&lt;="&amp;$A875))</f>
        <v/>
      </c>
      <c r="L875" s="57" t="str">
        <f aca="false">IF($J875="","",IF($K875&lt;=BankCostEnvelope*'5. Scenarios'!$C$7,1,0))</f>
        <v/>
      </c>
      <c r="M875" s="57" t="str">
        <f aca="false">IF($I875="","",INDEX(BookRate,870)*(1+'5. Scenarios'!$C$10)*(INDEX(BookQ1,870)*(5-MIN(4,1+'5. Scenarios'!$C$8))/4+INDEX(BookQ2,870)*(5-MIN(4,2+'5. Scenarios'!$C$8))/4+INDEX(BookQ3,870)*(5-MIN(4,3+'5. Scenarios'!$C$8))/4+INDEX(BookQ4,870)*(5-MIN(4,4+'5. Scenarios'!$C$8))/4)*'5. Scenarios'!$C$6/(1+ProductivityDefault*('5. Scenarios'!$C$11-1))+INDEX(BookOneOff,870)*$I875)</f>
        <v/>
      </c>
      <c r="N875" s="56" t="str">
        <f aca="false">IF(INDEX(BookTitle,870)="","",INDEX(BookTotal,870)*'5. Scenarios'!$D$6/(1+ProductivityDefault*('5. Scenarios'!$D$11-1)))</f>
        <v/>
      </c>
      <c r="O875" s="57" t="str">
        <f aca="false">IF($N875="","",INDEX(BookRate,870)*(1+'5. Scenarios'!$D$10)*$N875)</f>
        <v/>
      </c>
      <c r="P875" s="57" t="str">
        <f aca="false">IF($O875="","",SUMIFS($O$6:$O$2405,$A$6:$A$2405,"&lt;="&amp;$A875))</f>
        <v/>
      </c>
      <c r="Q875" s="57" t="str">
        <f aca="false">IF($O875="","",IF($P875&lt;=BankCostEnvelope*'5. Scenarios'!$D$7,1,0))</f>
        <v/>
      </c>
      <c r="R875" s="57" t="str">
        <f aca="false">IF($N875="","",INDEX(BookRate,870)*(1+'5. Scenarios'!$D$10)*(INDEX(BookQ1,870)*(5-MIN(4,1+'5. Scenarios'!$D$8))/4+INDEX(BookQ2,870)*(5-MIN(4,2+'5. Scenarios'!$D$8))/4+INDEX(BookQ3,870)*(5-MIN(4,3+'5. Scenarios'!$D$8))/4+INDEX(BookQ4,870)*(5-MIN(4,4+'5. Scenarios'!$D$8))/4)*'5. Scenarios'!$D$6/(1+ProductivityDefault*('5. Scenarios'!$D$11-1))+INDEX(BookOneOff,870)*$N875)</f>
        <v/>
      </c>
      <c r="S875" s="56" t="str">
        <f aca="false">IF(INDEX(BookTitle,870)="","",INDEX(BookTotal,870)*'5. Scenarios'!$E$6/(1+ProductivityDefault*('5. Scenarios'!$E$11-1)))</f>
        <v/>
      </c>
      <c r="T875" s="57" t="str">
        <f aca="false">IF($S875="","",INDEX(BookRate,870)*(1+'5. Scenarios'!$E$10)*$S875)</f>
        <v/>
      </c>
      <c r="U875" s="57" t="str">
        <f aca="false">IF($T875="","",SUMIFS($T$6:$T$2405,$A$6:$A$2405,"&lt;="&amp;$A875))</f>
        <v/>
      </c>
      <c r="V875" s="57" t="str">
        <f aca="false">IF($T875="","",IF($U875&lt;=BankCostEnvelope*'5. Scenarios'!$E$7,1,0))</f>
        <v/>
      </c>
      <c r="W875" s="57" t="str">
        <f aca="false">IF($S875="","",INDEX(BookRate,870)*(1+'5. Scenarios'!$E$10)*(INDEX(BookQ1,870)*(5-MIN(4,1+'5. Scenarios'!$E$8))/4+INDEX(BookQ2,870)*(5-MIN(4,2+'5. Scenarios'!$E$8))/4+INDEX(BookQ3,870)*(5-MIN(4,3+'5. Scenarios'!$E$8))/4+INDEX(BookQ4,870)*(5-MIN(4,4+'5. Scenarios'!$E$8))/4)*'5. Scenarios'!$E$6/(1+ProductivityDefault*('5. Scenarios'!$E$11-1))+INDEX(BookOneOff,870)*$S875)</f>
        <v/>
      </c>
    </row>
    <row r="876" customFormat="false" ht="15" hidden="false" customHeight="false" outlineLevel="0" collapsed="false">
      <c r="A876" s="0" t="str">
        <f aca="false">IF(INDEX(BookTitle,871)="","",INDEX(BookKey,871))</f>
        <v/>
      </c>
      <c r="B876" s="0" t="str">
        <f aca="false">IF(INDEX(BookTitle,871)="","",INDEX(BookGroup,871))</f>
        <v/>
      </c>
      <c r="C876" s="0" t="str">
        <f aca="false">IF(INDEX(BookTitle,871)="","",INDEX(BookCategory,871))</f>
        <v/>
      </c>
      <c r="D876" s="56" t="str">
        <f aca="false">IF(INDEX(BookTitle,871)="","",INDEX(BookTotal,871)*'5. Scenarios'!$B$6/(1+ProductivityDefault*('5. Scenarios'!$B$11-1)))</f>
        <v/>
      </c>
      <c r="E876" s="57" t="str">
        <f aca="false">IF($D876="","",INDEX(BookRate,871)*(1+'5. Scenarios'!$B$10)*$D876)</f>
        <v/>
      </c>
      <c r="F876" s="57" t="str">
        <f aca="false">IF($E876="","",SUMIFS($E$6:$E$2405,$A$6:$A$2405,"&lt;="&amp;$A876))</f>
        <v/>
      </c>
      <c r="G876" s="57" t="str">
        <f aca="false">IF($E876="","",IF($F876&lt;=BankCostEnvelope*'5. Scenarios'!$B$7,1,0))</f>
        <v/>
      </c>
      <c r="H876" s="57" t="str">
        <f aca="false">IF($D876="","",INDEX(BookRate,871)*(1+'5. Scenarios'!$B$10)*(INDEX(BookQ1,871)*(5-MIN(4,1+'5. Scenarios'!$B$8))/4+INDEX(BookQ2,871)*(5-MIN(4,2+'5. Scenarios'!$B$8))/4+INDEX(BookQ3,871)*(5-MIN(4,3+'5. Scenarios'!$B$8))/4+INDEX(BookQ4,871)*(5-MIN(4,4+'5. Scenarios'!$B$8))/4)*'5. Scenarios'!$B$6/(1+ProductivityDefault*('5. Scenarios'!$B$11-1))+INDEX(BookOneOff,871)*$D876)</f>
        <v/>
      </c>
      <c r="I876" s="56" t="str">
        <f aca="false">IF(INDEX(BookTitle,871)="","",INDEX(BookTotal,871)*'5. Scenarios'!$C$6/(1+ProductivityDefault*('5. Scenarios'!$C$11-1)))</f>
        <v/>
      </c>
      <c r="J876" s="57" t="str">
        <f aca="false">IF($I876="","",INDEX(BookRate,871)*(1+'5. Scenarios'!$C$10)*$I876)</f>
        <v/>
      </c>
      <c r="K876" s="57" t="str">
        <f aca="false">IF($J876="","",SUMIFS($J$6:$J$2405,$A$6:$A$2405,"&lt;="&amp;$A876))</f>
        <v/>
      </c>
      <c r="L876" s="57" t="str">
        <f aca="false">IF($J876="","",IF($K876&lt;=BankCostEnvelope*'5. Scenarios'!$C$7,1,0))</f>
        <v/>
      </c>
      <c r="M876" s="57" t="str">
        <f aca="false">IF($I876="","",INDEX(BookRate,871)*(1+'5. Scenarios'!$C$10)*(INDEX(BookQ1,871)*(5-MIN(4,1+'5. Scenarios'!$C$8))/4+INDEX(BookQ2,871)*(5-MIN(4,2+'5. Scenarios'!$C$8))/4+INDEX(BookQ3,871)*(5-MIN(4,3+'5. Scenarios'!$C$8))/4+INDEX(BookQ4,871)*(5-MIN(4,4+'5. Scenarios'!$C$8))/4)*'5. Scenarios'!$C$6/(1+ProductivityDefault*('5. Scenarios'!$C$11-1))+INDEX(BookOneOff,871)*$I876)</f>
        <v/>
      </c>
      <c r="N876" s="56" t="str">
        <f aca="false">IF(INDEX(BookTitle,871)="","",INDEX(BookTotal,871)*'5. Scenarios'!$D$6/(1+ProductivityDefault*('5. Scenarios'!$D$11-1)))</f>
        <v/>
      </c>
      <c r="O876" s="57" t="str">
        <f aca="false">IF($N876="","",INDEX(BookRate,871)*(1+'5. Scenarios'!$D$10)*$N876)</f>
        <v/>
      </c>
      <c r="P876" s="57" t="str">
        <f aca="false">IF($O876="","",SUMIFS($O$6:$O$2405,$A$6:$A$2405,"&lt;="&amp;$A876))</f>
        <v/>
      </c>
      <c r="Q876" s="57" t="str">
        <f aca="false">IF($O876="","",IF($P876&lt;=BankCostEnvelope*'5. Scenarios'!$D$7,1,0))</f>
        <v/>
      </c>
      <c r="R876" s="57" t="str">
        <f aca="false">IF($N876="","",INDEX(BookRate,871)*(1+'5. Scenarios'!$D$10)*(INDEX(BookQ1,871)*(5-MIN(4,1+'5. Scenarios'!$D$8))/4+INDEX(BookQ2,871)*(5-MIN(4,2+'5. Scenarios'!$D$8))/4+INDEX(BookQ3,871)*(5-MIN(4,3+'5. Scenarios'!$D$8))/4+INDEX(BookQ4,871)*(5-MIN(4,4+'5. Scenarios'!$D$8))/4)*'5. Scenarios'!$D$6/(1+ProductivityDefault*('5. Scenarios'!$D$11-1))+INDEX(BookOneOff,871)*$N876)</f>
        <v/>
      </c>
      <c r="S876" s="56" t="str">
        <f aca="false">IF(INDEX(BookTitle,871)="","",INDEX(BookTotal,871)*'5. Scenarios'!$E$6/(1+ProductivityDefault*('5. Scenarios'!$E$11-1)))</f>
        <v/>
      </c>
      <c r="T876" s="57" t="str">
        <f aca="false">IF($S876="","",INDEX(BookRate,871)*(1+'5. Scenarios'!$E$10)*$S876)</f>
        <v/>
      </c>
      <c r="U876" s="57" t="str">
        <f aca="false">IF($T876="","",SUMIFS($T$6:$T$2405,$A$6:$A$2405,"&lt;="&amp;$A876))</f>
        <v/>
      </c>
      <c r="V876" s="57" t="str">
        <f aca="false">IF($T876="","",IF($U876&lt;=BankCostEnvelope*'5. Scenarios'!$E$7,1,0))</f>
        <v/>
      </c>
      <c r="W876" s="57" t="str">
        <f aca="false">IF($S876="","",INDEX(BookRate,871)*(1+'5. Scenarios'!$E$10)*(INDEX(BookQ1,871)*(5-MIN(4,1+'5. Scenarios'!$E$8))/4+INDEX(BookQ2,871)*(5-MIN(4,2+'5. Scenarios'!$E$8))/4+INDEX(BookQ3,871)*(5-MIN(4,3+'5. Scenarios'!$E$8))/4+INDEX(BookQ4,871)*(5-MIN(4,4+'5. Scenarios'!$E$8))/4)*'5. Scenarios'!$E$6/(1+ProductivityDefault*('5. Scenarios'!$E$11-1))+INDEX(BookOneOff,871)*$S876)</f>
        <v/>
      </c>
    </row>
    <row r="877" customFormat="false" ht="15" hidden="false" customHeight="false" outlineLevel="0" collapsed="false">
      <c r="A877" s="0" t="str">
        <f aca="false">IF(INDEX(BookTitle,872)="","",INDEX(BookKey,872))</f>
        <v/>
      </c>
      <c r="B877" s="0" t="str">
        <f aca="false">IF(INDEX(BookTitle,872)="","",INDEX(BookGroup,872))</f>
        <v/>
      </c>
      <c r="C877" s="0" t="str">
        <f aca="false">IF(INDEX(BookTitle,872)="","",INDEX(BookCategory,872))</f>
        <v/>
      </c>
      <c r="D877" s="56" t="str">
        <f aca="false">IF(INDEX(BookTitle,872)="","",INDEX(BookTotal,872)*'5. Scenarios'!$B$6/(1+ProductivityDefault*('5. Scenarios'!$B$11-1)))</f>
        <v/>
      </c>
      <c r="E877" s="57" t="str">
        <f aca="false">IF($D877="","",INDEX(BookRate,872)*(1+'5. Scenarios'!$B$10)*$D877)</f>
        <v/>
      </c>
      <c r="F877" s="57" t="str">
        <f aca="false">IF($E877="","",SUMIFS($E$6:$E$2405,$A$6:$A$2405,"&lt;="&amp;$A877))</f>
        <v/>
      </c>
      <c r="G877" s="57" t="str">
        <f aca="false">IF($E877="","",IF($F877&lt;=BankCostEnvelope*'5. Scenarios'!$B$7,1,0))</f>
        <v/>
      </c>
      <c r="H877" s="57" t="str">
        <f aca="false">IF($D877="","",INDEX(BookRate,872)*(1+'5. Scenarios'!$B$10)*(INDEX(BookQ1,872)*(5-MIN(4,1+'5. Scenarios'!$B$8))/4+INDEX(BookQ2,872)*(5-MIN(4,2+'5. Scenarios'!$B$8))/4+INDEX(BookQ3,872)*(5-MIN(4,3+'5. Scenarios'!$B$8))/4+INDEX(BookQ4,872)*(5-MIN(4,4+'5. Scenarios'!$B$8))/4)*'5. Scenarios'!$B$6/(1+ProductivityDefault*('5. Scenarios'!$B$11-1))+INDEX(BookOneOff,872)*$D877)</f>
        <v/>
      </c>
      <c r="I877" s="56" t="str">
        <f aca="false">IF(INDEX(BookTitle,872)="","",INDEX(BookTotal,872)*'5. Scenarios'!$C$6/(1+ProductivityDefault*('5. Scenarios'!$C$11-1)))</f>
        <v/>
      </c>
      <c r="J877" s="57" t="str">
        <f aca="false">IF($I877="","",INDEX(BookRate,872)*(1+'5. Scenarios'!$C$10)*$I877)</f>
        <v/>
      </c>
      <c r="K877" s="57" t="str">
        <f aca="false">IF($J877="","",SUMIFS($J$6:$J$2405,$A$6:$A$2405,"&lt;="&amp;$A877))</f>
        <v/>
      </c>
      <c r="L877" s="57" t="str">
        <f aca="false">IF($J877="","",IF($K877&lt;=BankCostEnvelope*'5. Scenarios'!$C$7,1,0))</f>
        <v/>
      </c>
      <c r="M877" s="57" t="str">
        <f aca="false">IF($I877="","",INDEX(BookRate,872)*(1+'5. Scenarios'!$C$10)*(INDEX(BookQ1,872)*(5-MIN(4,1+'5. Scenarios'!$C$8))/4+INDEX(BookQ2,872)*(5-MIN(4,2+'5. Scenarios'!$C$8))/4+INDEX(BookQ3,872)*(5-MIN(4,3+'5. Scenarios'!$C$8))/4+INDEX(BookQ4,872)*(5-MIN(4,4+'5. Scenarios'!$C$8))/4)*'5. Scenarios'!$C$6/(1+ProductivityDefault*('5. Scenarios'!$C$11-1))+INDEX(BookOneOff,872)*$I877)</f>
        <v/>
      </c>
      <c r="N877" s="56" t="str">
        <f aca="false">IF(INDEX(BookTitle,872)="","",INDEX(BookTotal,872)*'5. Scenarios'!$D$6/(1+ProductivityDefault*('5. Scenarios'!$D$11-1)))</f>
        <v/>
      </c>
      <c r="O877" s="57" t="str">
        <f aca="false">IF($N877="","",INDEX(BookRate,872)*(1+'5. Scenarios'!$D$10)*$N877)</f>
        <v/>
      </c>
      <c r="P877" s="57" t="str">
        <f aca="false">IF($O877="","",SUMIFS($O$6:$O$2405,$A$6:$A$2405,"&lt;="&amp;$A877))</f>
        <v/>
      </c>
      <c r="Q877" s="57" t="str">
        <f aca="false">IF($O877="","",IF($P877&lt;=BankCostEnvelope*'5. Scenarios'!$D$7,1,0))</f>
        <v/>
      </c>
      <c r="R877" s="57" t="str">
        <f aca="false">IF($N877="","",INDEX(BookRate,872)*(1+'5. Scenarios'!$D$10)*(INDEX(BookQ1,872)*(5-MIN(4,1+'5. Scenarios'!$D$8))/4+INDEX(BookQ2,872)*(5-MIN(4,2+'5. Scenarios'!$D$8))/4+INDEX(BookQ3,872)*(5-MIN(4,3+'5. Scenarios'!$D$8))/4+INDEX(BookQ4,872)*(5-MIN(4,4+'5. Scenarios'!$D$8))/4)*'5. Scenarios'!$D$6/(1+ProductivityDefault*('5. Scenarios'!$D$11-1))+INDEX(BookOneOff,872)*$N877)</f>
        <v/>
      </c>
      <c r="S877" s="56" t="str">
        <f aca="false">IF(INDEX(BookTitle,872)="","",INDEX(BookTotal,872)*'5. Scenarios'!$E$6/(1+ProductivityDefault*('5. Scenarios'!$E$11-1)))</f>
        <v/>
      </c>
      <c r="T877" s="57" t="str">
        <f aca="false">IF($S877="","",INDEX(BookRate,872)*(1+'5. Scenarios'!$E$10)*$S877)</f>
        <v/>
      </c>
      <c r="U877" s="57" t="str">
        <f aca="false">IF($T877="","",SUMIFS($T$6:$T$2405,$A$6:$A$2405,"&lt;="&amp;$A877))</f>
        <v/>
      </c>
      <c r="V877" s="57" t="str">
        <f aca="false">IF($T877="","",IF($U877&lt;=BankCostEnvelope*'5. Scenarios'!$E$7,1,0))</f>
        <v/>
      </c>
      <c r="W877" s="57" t="str">
        <f aca="false">IF($S877="","",INDEX(BookRate,872)*(1+'5. Scenarios'!$E$10)*(INDEX(BookQ1,872)*(5-MIN(4,1+'5. Scenarios'!$E$8))/4+INDEX(BookQ2,872)*(5-MIN(4,2+'5. Scenarios'!$E$8))/4+INDEX(BookQ3,872)*(5-MIN(4,3+'5. Scenarios'!$E$8))/4+INDEX(BookQ4,872)*(5-MIN(4,4+'5. Scenarios'!$E$8))/4)*'5. Scenarios'!$E$6/(1+ProductivityDefault*('5. Scenarios'!$E$11-1))+INDEX(BookOneOff,872)*$S877)</f>
        <v/>
      </c>
    </row>
    <row r="878" customFormat="false" ht="15" hidden="false" customHeight="false" outlineLevel="0" collapsed="false">
      <c r="A878" s="0" t="str">
        <f aca="false">IF(INDEX(BookTitle,873)="","",INDEX(BookKey,873))</f>
        <v/>
      </c>
      <c r="B878" s="0" t="str">
        <f aca="false">IF(INDEX(BookTitle,873)="","",INDEX(BookGroup,873))</f>
        <v/>
      </c>
      <c r="C878" s="0" t="str">
        <f aca="false">IF(INDEX(BookTitle,873)="","",INDEX(BookCategory,873))</f>
        <v/>
      </c>
      <c r="D878" s="56" t="str">
        <f aca="false">IF(INDEX(BookTitle,873)="","",INDEX(BookTotal,873)*'5. Scenarios'!$B$6/(1+ProductivityDefault*('5. Scenarios'!$B$11-1)))</f>
        <v/>
      </c>
      <c r="E878" s="57" t="str">
        <f aca="false">IF($D878="","",INDEX(BookRate,873)*(1+'5. Scenarios'!$B$10)*$D878)</f>
        <v/>
      </c>
      <c r="F878" s="57" t="str">
        <f aca="false">IF($E878="","",SUMIFS($E$6:$E$2405,$A$6:$A$2405,"&lt;="&amp;$A878))</f>
        <v/>
      </c>
      <c r="G878" s="57" t="str">
        <f aca="false">IF($E878="","",IF($F878&lt;=BankCostEnvelope*'5. Scenarios'!$B$7,1,0))</f>
        <v/>
      </c>
      <c r="H878" s="57" t="str">
        <f aca="false">IF($D878="","",INDEX(BookRate,873)*(1+'5. Scenarios'!$B$10)*(INDEX(BookQ1,873)*(5-MIN(4,1+'5. Scenarios'!$B$8))/4+INDEX(BookQ2,873)*(5-MIN(4,2+'5. Scenarios'!$B$8))/4+INDEX(BookQ3,873)*(5-MIN(4,3+'5. Scenarios'!$B$8))/4+INDEX(BookQ4,873)*(5-MIN(4,4+'5. Scenarios'!$B$8))/4)*'5. Scenarios'!$B$6/(1+ProductivityDefault*('5. Scenarios'!$B$11-1))+INDEX(BookOneOff,873)*$D878)</f>
        <v/>
      </c>
      <c r="I878" s="56" t="str">
        <f aca="false">IF(INDEX(BookTitle,873)="","",INDEX(BookTotal,873)*'5. Scenarios'!$C$6/(1+ProductivityDefault*('5. Scenarios'!$C$11-1)))</f>
        <v/>
      </c>
      <c r="J878" s="57" t="str">
        <f aca="false">IF($I878="","",INDEX(BookRate,873)*(1+'5. Scenarios'!$C$10)*$I878)</f>
        <v/>
      </c>
      <c r="K878" s="57" t="str">
        <f aca="false">IF($J878="","",SUMIFS($J$6:$J$2405,$A$6:$A$2405,"&lt;="&amp;$A878))</f>
        <v/>
      </c>
      <c r="L878" s="57" t="str">
        <f aca="false">IF($J878="","",IF($K878&lt;=BankCostEnvelope*'5. Scenarios'!$C$7,1,0))</f>
        <v/>
      </c>
      <c r="M878" s="57" t="str">
        <f aca="false">IF($I878="","",INDEX(BookRate,873)*(1+'5. Scenarios'!$C$10)*(INDEX(BookQ1,873)*(5-MIN(4,1+'5. Scenarios'!$C$8))/4+INDEX(BookQ2,873)*(5-MIN(4,2+'5. Scenarios'!$C$8))/4+INDEX(BookQ3,873)*(5-MIN(4,3+'5. Scenarios'!$C$8))/4+INDEX(BookQ4,873)*(5-MIN(4,4+'5. Scenarios'!$C$8))/4)*'5. Scenarios'!$C$6/(1+ProductivityDefault*('5. Scenarios'!$C$11-1))+INDEX(BookOneOff,873)*$I878)</f>
        <v/>
      </c>
      <c r="N878" s="56" t="str">
        <f aca="false">IF(INDEX(BookTitle,873)="","",INDEX(BookTotal,873)*'5. Scenarios'!$D$6/(1+ProductivityDefault*('5. Scenarios'!$D$11-1)))</f>
        <v/>
      </c>
      <c r="O878" s="57" t="str">
        <f aca="false">IF($N878="","",INDEX(BookRate,873)*(1+'5. Scenarios'!$D$10)*$N878)</f>
        <v/>
      </c>
      <c r="P878" s="57" t="str">
        <f aca="false">IF($O878="","",SUMIFS($O$6:$O$2405,$A$6:$A$2405,"&lt;="&amp;$A878))</f>
        <v/>
      </c>
      <c r="Q878" s="57" t="str">
        <f aca="false">IF($O878="","",IF($P878&lt;=BankCostEnvelope*'5. Scenarios'!$D$7,1,0))</f>
        <v/>
      </c>
      <c r="R878" s="57" t="str">
        <f aca="false">IF($N878="","",INDEX(BookRate,873)*(1+'5. Scenarios'!$D$10)*(INDEX(BookQ1,873)*(5-MIN(4,1+'5. Scenarios'!$D$8))/4+INDEX(BookQ2,873)*(5-MIN(4,2+'5. Scenarios'!$D$8))/4+INDEX(BookQ3,873)*(5-MIN(4,3+'5. Scenarios'!$D$8))/4+INDEX(BookQ4,873)*(5-MIN(4,4+'5. Scenarios'!$D$8))/4)*'5. Scenarios'!$D$6/(1+ProductivityDefault*('5. Scenarios'!$D$11-1))+INDEX(BookOneOff,873)*$N878)</f>
        <v/>
      </c>
      <c r="S878" s="56" t="str">
        <f aca="false">IF(INDEX(BookTitle,873)="","",INDEX(BookTotal,873)*'5. Scenarios'!$E$6/(1+ProductivityDefault*('5. Scenarios'!$E$11-1)))</f>
        <v/>
      </c>
      <c r="T878" s="57" t="str">
        <f aca="false">IF($S878="","",INDEX(BookRate,873)*(1+'5. Scenarios'!$E$10)*$S878)</f>
        <v/>
      </c>
      <c r="U878" s="57" t="str">
        <f aca="false">IF($T878="","",SUMIFS($T$6:$T$2405,$A$6:$A$2405,"&lt;="&amp;$A878))</f>
        <v/>
      </c>
      <c r="V878" s="57" t="str">
        <f aca="false">IF($T878="","",IF($U878&lt;=BankCostEnvelope*'5. Scenarios'!$E$7,1,0))</f>
        <v/>
      </c>
      <c r="W878" s="57" t="str">
        <f aca="false">IF($S878="","",INDEX(BookRate,873)*(1+'5. Scenarios'!$E$10)*(INDEX(BookQ1,873)*(5-MIN(4,1+'5. Scenarios'!$E$8))/4+INDEX(BookQ2,873)*(5-MIN(4,2+'5. Scenarios'!$E$8))/4+INDEX(BookQ3,873)*(5-MIN(4,3+'5. Scenarios'!$E$8))/4+INDEX(BookQ4,873)*(5-MIN(4,4+'5. Scenarios'!$E$8))/4)*'5. Scenarios'!$E$6/(1+ProductivityDefault*('5. Scenarios'!$E$11-1))+INDEX(BookOneOff,873)*$S878)</f>
        <v/>
      </c>
    </row>
    <row r="879" customFormat="false" ht="15" hidden="false" customHeight="false" outlineLevel="0" collapsed="false">
      <c r="A879" s="0" t="str">
        <f aca="false">IF(INDEX(BookTitle,874)="","",INDEX(BookKey,874))</f>
        <v/>
      </c>
      <c r="B879" s="0" t="str">
        <f aca="false">IF(INDEX(BookTitle,874)="","",INDEX(BookGroup,874))</f>
        <v/>
      </c>
      <c r="C879" s="0" t="str">
        <f aca="false">IF(INDEX(BookTitle,874)="","",INDEX(BookCategory,874))</f>
        <v/>
      </c>
      <c r="D879" s="56" t="str">
        <f aca="false">IF(INDEX(BookTitle,874)="","",INDEX(BookTotal,874)*'5. Scenarios'!$B$6/(1+ProductivityDefault*('5. Scenarios'!$B$11-1)))</f>
        <v/>
      </c>
      <c r="E879" s="57" t="str">
        <f aca="false">IF($D879="","",INDEX(BookRate,874)*(1+'5. Scenarios'!$B$10)*$D879)</f>
        <v/>
      </c>
      <c r="F879" s="57" t="str">
        <f aca="false">IF($E879="","",SUMIFS($E$6:$E$2405,$A$6:$A$2405,"&lt;="&amp;$A879))</f>
        <v/>
      </c>
      <c r="G879" s="57" t="str">
        <f aca="false">IF($E879="","",IF($F879&lt;=BankCostEnvelope*'5. Scenarios'!$B$7,1,0))</f>
        <v/>
      </c>
      <c r="H879" s="57" t="str">
        <f aca="false">IF($D879="","",INDEX(BookRate,874)*(1+'5. Scenarios'!$B$10)*(INDEX(BookQ1,874)*(5-MIN(4,1+'5. Scenarios'!$B$8))/4+INDEX(BookQ2,874)*(5-MIN(4,2+'5. Scenarios'!$B$8))/4+INDEX(BookQ3,874)*(5-MIN(4,3+'5. Scenarios'!$B$8))/4+INDEX(BookQ4,874)*(5-MIN(4,4+'5. Scenarios'!$B$8))/4)*'5. Scenarios'!$B$6/(1+ProductivityDefault*('5. Scenarios'!$B$11-1))+INDEX(BookOneOff,874)*$D879)</f>
        <v/>
      </c>
      <c r="I879" s="56" t="str">
        <f aca="false">IF(INDEX(BookTitle,874)="","",INDEX(BookTotal,874)*'5. Scenarios'!$C$6/(1+ProductivityDefault*('5. Scenarios'!$C$11-1)))</f>
        <v/>
      </c>
      <c r="J879" s="57" t="str">
        <f aca="false">IF($I879="","",INDEX(BookRate,874)*(1+'5. Scenarios'!$C$10)*$I879)</f>
        <v/>
      </c>
      <c r="K879" s="57" t="str">
        <f aca="false">IF($J879="","",SUMIFS($J$6:$J$2405,$A$6:$A$2405,"&lt;="&amp;$A879))</f>
        <v/>
      </c>
      <c r="L879" s="57" t="str">
        <f aca="false">IF($J879="","",IF($K879&lt;=BankCostEnvelope*'5. Scenarios'!$C$7,1,0))</f>
        <v/>
      </c>
      <c r="M879" s="57" t="str">
        <f aca="false">IF($I879="","",INDEX(BookRate,874)*(1+'5. Scenarios'!$C$10)*(INDEX(BookQ1,874)*(5-MIN(4,1+'5. Scenarios'!$C$8))/4+INDEX(BookQ2,874)*(5-MIN(4,2+'5. Scenarios'!$C$8))/4+INDEX(BookQ3,874)*(5-MIN(4,3+'5. Scenarios'!$C$8))/4+INDEX(BookQ4,874)*(5-MIN(4,4+'5. Scenarios'!$C$8))/4)*'5. Scenarios'!$C$6/(1+ProductivityDefault*('5. Scenarios'!$C$11-1))+INDEX(BookOneOff,874)*$I879)</f>
        <v/>
      </c>
      <c r="N879" s="56" t="str">
        <f aca="false">IF(INDEX(BookTitle,874)="","",INDEX(BookTotal,874)*'5. Scenarios'!$D$6/(1+ProductivityDefault*('5. Scenarios'!$D$11-1)))</f>
        <v/>
      </c>
      <c r="O879" s="57" t="str">
        <f aca="false">IF($N879="","",INDEX(BookRate,874)*(1+'5. Scenarios'!$D$10)*$N879)</f>
        <v/>
      </c>
      <c r="P879" s="57" t="str">
        <f aca="false">IF($O879="","",SUMIFS($O$6:$O$2405,$A$6:$A$2405,"&lt;="&amp;$A879))</f>
        <v/>
      </c>
      <c r="Q879" s="57" t="str">
        <f aca="false">IF($O879="","",IF($P879&lt;=BankCostEnvelope*'5. Scenarios'!$D$7,1,0))</f>
        <v/>
      </c>
      <c r="R879" s="57" t="str">
        <f aca="false">IF($N879="","",INDEX(BookRate,874)*(1+'5. Scenarios'!$D$10)*(INDEX(BookQ1,874)*(5-MIN(4,1+'5. Scenarios'!$D$8))/4+INDEX(BookQ2,874)*(5-MIN(4,2+'5. Scenarios'!$D$8))/4+INDEX(BookQ3,874)*(5-MIN(4,3+'5. Scenarios'!$D$8))/4+INDEX(BookQ4,874)*(5-MIN(4,4+'5. Scenarios'!$D$8))/4)*'5. Scenarios'!$D$6/(1+ProductivityDefault*('5. Scenarios'!$D$11-1))+INDEX(BookOneOff,874)*$N879)</f>
        <v/>
      </c>
      <c r="S879" s="56" t="str">
        <f aca="false">IF(INDEX(BookTitle,874)="","",INDEX(BookTotal,874)*'5. Scenarios'!$E$6/(1+ProductivityDefault*('5. Scenarios'!$E$11-1)))</f>
        <v/>
      </c>
      <c r="T879" s="57" t="str">
        <f aca="false">IF($S879="","",INDEX(BookRate,874)*(1+'5. Scenarios'!$E$10)*$S879)</f>
        <v/>
      </c>
      <c r="U879" s="57" t="str">
        <f aca="false">IF($T879="","",SUMIFS($T$6:$T$2405,$A$6:$A$2405,"&lt;="&amp;$A879))</f>
        <v/>
      </c>
      <c r="V879" s="57" t="str">
        <f aca="false">IF($T879="","",IF($U879&lt;=BankCostEnvelope*'5. Scenarios'!$E$7,1,0))</f>
        <v/>
      </c>
      <c r="W879" s="57" t="str">
        <f aca="false">IF($S879="","",INDEX(BookRate,874)*(1+'5. Scenarios'!$E$10)*(INDEX(BookQ1,874)*(5-MIN(4,1+'5. Scenarios'!$E$8))/4+INDEX(BookQ2,874)*(5-MIN(4,2+'5. Scenarios'!$E$8))/4+INDEX(BookQ3,874)*(5-MIN(4,3+'5. Scenarios'!$E$8))/4+INDEX(BookQ4,874)*(5-MIN(4,4+'5. Scenarios'!$E$8))/4)*'5. Scenarios'!$E$6/(1+ProductivityDefault*('5. Scenarios'!$E$11-1))+INDEX(BookOneOff,874)*$S879)</f>
        <v/>
      </c>
    </row>
    <row r="880" customFormat="false" ht="15" hidden="false" customHeight="false" outlineLevel="0" collapsed="false">
      <c r="A880" s="0" t="str">
        <f aca="false">IF(INDEX(BookTitle,875)="","",INDEX(BookKey,875))</f>
        <v/>
      </c>
      <c r="B880" s="0" t="str">
        <f aca="false">IF(INDEX(BookTitle,875)="","",INDEX(BookGroup,875))</f>
        <v/>
      </c>
      <c r="C880" s="0" t="str">
        <f aca="false">IF(INDEX(BookTitle,875)="","",INDEX(BookCategory,875))</f>
        <v/>
      </c>
      <c r="D880" s="56" t="str">
        <f aca="false">IF(INDEX(BookTitle,875)="","",INDEX(BookTotal,875)*'5. Scenarios'!$B$6/(1+ProductivityDefault*('5. Scenarios'!$B$11-1)))</f>
        <v/>
      </c>
      <c r="E880" s="57" t="str">
        <f aca="false">IF($D880="","",INDEX(BookRate,875)*(1+'5. Scenarios'!$B$10)*$D880)</f>
        <v/>
      </c>
      <c r="F880" s="57" t="str">
        <f aca="false">IF($E880="","",SUMIFS($E$6:$E$2405,$A$6:$A$2405,"&lt;="&amp;$A880))</f>
        <v/>
      </c>
      <c r="G880" s="57" t="str">
        <f aca="false">IF($E880="","",IF($F880&lt;=BankCostEnvelope*'5. Scenarios'!$B$7,1,0))</f>
        <v/>
      </c>
      <c r="H880" s="57" t="str">
        <f aca="false">IF($D880="","",INDEX(BookRate,875)*(1+'5. Scenarios'!$B$10)*(INDEX(BookQ1,875)*(5-MIN(4,1+'5. Scenarios'!$B$8))/4+INDEX(BookQ2,875)*(5-MIN(4,2+'5. Scenarios'!$B$8))/4+INDEX(BookQ3,875)*(5-MIN(4,3+'5. Scenarios'!$B$8))/4+INDEX(BookQ4,875)*(5-MIN(4,4+'5. Scenarios'!$B$8))/4)*'5. Scenarios'!$B$6/(1+ProductivityDefault*('5. Scenarios'!$B$11-1))+INDEX(BookOneOff,875)*$D880)</f>
        <v/>
      </c>
      <c r="I880" s="56" t="str">
        <f aca="false">IF(INDEX(BookTitle,875)="","",INDEX(BookTotal,875)*'5. Scenarios'!$C$6/(1+ProductivityDefault*('5. Scenarios'!$C$11-1)))</f>
        <v/>
      </c>
      <c r="J880" s="57" t="str">
        <f aca="false">IF($I880="","",INDEX(BookRate,875)*(1+'5. Scenarios'!$C$10)*$I880)</f>
        <v/>
      </c>
      <c r="K880" s="57" t="str">
        <f aca="false">IF($J880="","",SUMIFS($J$6:$J$2405,$A$6:$A$2405,"&lt;="&amp;$A880))</f>
        <v/>
      </c>
      <c r="L880" s="57" t="str">
        <f aca="false">IF($J880="","",IF($K880&lt;=BankCostEnvelope*'5. Scenarios'!$C$7,1,0))</f>
        <v/>
      </c>
      <c r="M880" s="57" t="str">
        <f aca="false">IF($I880="","",INDEX(BookRate,875)*(1+'5. Scenarios'!$C$10)*(INDEX(BookQ1,875)*(5-MIN(4,1+'5. Scenarios'!$C$8))/4+INDEX(BookQ2,875)*(5-MIN(4,2+'5. Scenarios'!$C$8))/4+INDEX(BookQ3,875)*(5-MIN(4,3+'5. Scenarios'!$C$8))/4+INDEX(BookQ4,875)*(5-MIN(4,4+'5. Scenarios'!$C$8))/4)*'5. Scenarios'!$C$6/(1+ProductivityDefault*('5. Scenarios'!$C$11-1))+INDEX(BookOneOff,875)*$I880)</f>
        <v/>
      </c>
      <c r="N880" s="56" t="str">
        <f aca="false">IF(INDEX(BookTitle,875)="","",INDEX(BookTotal,875)*'5. Scenarios'!$D$6/(1+ProductivityDefault*('5. Scenarios'!$D$11-1)))</f>
        <v/>
      </c>
      <c r="O880" s="57" t="str">
        <f aca="false">IF($N880="","",INDEX(BookRate,875)*(1+'5. Scenarios'!$D$10)*$N880)</f>
        <v/>
      </c>
      <c r="P880" s="57" t="str">
        <f aca="false">IF($O880="","",SUMIFS($O$6:$O$2405,$A$6:$A$2405,"&lt;="&amp;$A880))</f>
        <v/>
      </c>
      <c r="Q880" s="57" t="str">
        <f aca="false">IF($O880="","",IF($P880&lt;=BankCostEnvelope*'5. Scenarios'!$D$7,1,0))</f>
        <v/>
      </c>
      <c r="R880" s="57" t="str">
        <f aca="false">IF($N880="","",INDEX(BookRate,875)*(1+'5. Scenarios'!$D$10)*(INDEX(BookQ1,875)*(5-MIN(4,1+'5. Scenarios'!$D$8))/4+INDEX(BookQ2,875)*(5-MIN(4,2+'5. Scenarios'!$D$8))/4+INDEX(BookQ3,875)*(5-MIN(4,3+'5. Scenarios'!$D$8))/4+INDEX(BookQ4,875)*(5-MIN(4,4+'5. Scenarios'!$D$8))/4)*'5. Scenarios'!$D$6/(1+ProductivityDefault*('5. Scenarios'!$D$11-1))+INDEX(BookOneOff,875)*$N880)</f>
        <v/>
      </c>
      <c r="S880" s="56" t="str">
        <f aca="false">IF(INDEX(BookTitle,875)="","",INDEX(BookTotal,875)*'5. Scenarios'!$E$6/(1+ProductivityDefault*('5. Scenarios'!$E$11-1)))</f>
        <v/>
      </c>
      <c r="T880" s="57" t="str">
        <f aca="false">IF($S880="","",INDEX(BookRate,875)*(1+'5. Scenarios'!$E$10)*$S880)</f>
        <v/>
      </c>
      <c r="U880" s="57" t="str">
        <f aca="false">IF($T880="","",SUMIFS($T$6:$T$2405,$A$6:$A$2405,"&lt;="&amp;$A880))</f>
        <v/>
      </c>
      <c r="V880" s="57" t="str">
        <f aca="false">IF($T880="","",IF($U880&lt;=BankCostEnvelope*'5. Scenarios'!$E$7,1,0))</f>
        <v/>
      </c>
      <c r="W880" s="57" t="str">
        <f aca="false">IF($S880="","",INDEX(BookRate,875)*(1+'5. Scenarios'!$E$10)*(INDEX(BookQ1,875)*(5-MIN(4,1+'5. Scenarios'!$E$8))/4+INDEX(BookQ2,875)*(5-MIN(4,2+'5. Scenarios'!$E$8))/4+INDEX(BookQ3,875)*(5-MIN(4,3+'5. Scenarios'!$E$8))/4+INDEX(BookQ4,875)*(5-MIN(4,4+'5. Scenarios'!$E$8))/4)*'5. Scenarios'!$E$6/(1+ProductivityDefault*('5. Scenarios'!$E$11-1))+INDEX(BookOneOff,875)*$S880)</f>
        <v/>
      </c>
    </row>
    <row r="881" customFormat="false" ht="15" hidden="false" customHeight="false" outlineLevel="0" collapsed="false">
      <c r="A881" s="0" t="str">
        <f aca="false">IF(INDEX(BookTitle,876)="","",INDEX(BookKey,876))</f>
        <v/>
      </c>
      <c r="B881" s="0" t="str">
        <f aca="false">IF(INDEX(BookTitle,876)="","",INDEX(BookGroup,876))</f>
        <v/>
      </c>
      <c r="C881" s="0" t="str">
        <f aca="false">IF(INDEX(BookTitle,876)="","",INDEX(BookCategory,876))</f>
        <v/>
      </c>
      <c r="D881" s="56" t="str">
        <f aca="false">IF(INDEX(BookTitle,876)="","",INDEX(BookTotal,876)*'5. Scenarios'!$B$6/(1+ProductivityDefault*('5. Scenarios'!$B$11-1)))</f>
        <v/>
      </c>
      <c r="E881" s="57" t="str">
        <f aca="false">IF($D881="","",INDEX(BookRate,876)*(1+'5. Scenarios'!$B$10)*$D881)</f>
        <v/>
      </c>
      <c r="F881" s="57" t="str">
        <f aca="false">IF($E881="","",SUMIFS($E$6:$E$2405,$A$6:$A$2405,"&lt;="&amp;$A881))</f>
        <v/>
      </c>
      <c r="G881" s="57" t="str">
        <f aca="false">IF($E881="","",IF($F881&lt;=BankCostEnvelope*'5. Scenarios'!$B$7,1,0))</f>
        <v/>
      </c>
      <c r="H881" s="57" t="str">
        <f aca="false">IF($D881="","",INDEX(BookRate,876)*(1+'5. Scenarios'!$B$10)*(INDEX(BookQ1,876)*(5-MIN(4,1+'5. Scenarios'!$B$8))/4+INDEX(BookQ2,876)*(5-MIN(4,2+'5. Scenarios'!$B$8))/4+INDEX(BookQ3,876)*(5-MIN(4,3+'5. Scenarios'!$B$8))/4+INDEX(BookQ4,876)*(5-MIN(4,4+'5. Scenarios'!$B$8))/4)*'5. Scenarios'!$B$6/(1+ProductivityDefault*('5. Scenarios'!$B$11-1))+INDEX(BookOneOff,876)*$D881)</f>
        <v/>
      </c>
      <c r="I881" s="56" t="str">
        <f aca="false">IF(INDEX(BookTitle,876)="","",INDEX(BookTotal,876)*'5. Scenarios'!$C$6/(1+ProductivityDefault*('5. Scenarios'!$C$11-1)))</f>
        <v/>
      </c>
      <c r="J881" s="57" t="str">
        <f aca="false">IF($I881="","",INDEX(BookRate,876)*(1+'5. Scenarios'!$C$10)*$I881)</f>
        <v/>
      </c>
      <c r="K881" s="57" t="str">
        <f aca="false">IF($J881="","",SUMIFS($J$6:$J$2405,$A$6:$A$2405,"&lt;="&amp;$A881))</f>
        <v/>
      </c>
      <c r="L881" s="57" t="str">
        <f aca="false">IF($J881="","",IF($K881&lt;=BankCostEnvelope*'5. Scenarios'!$C$7,1,0))</f>
        <v/>
      </c>
      <c r="M881" s="57" t="str">
        <f aca="false">IF($I881="","",INDEX(BookRate,876)*(1+'5. Scenarios'!$C$10)*(INDEX(BookQ1,876)*(5-MIN(4,1+'5. Scenarios'!$C$8))/4+INDEX(BookQ2,876)*(5-MIN(4,2+'5. Scenarios'!$C$8))/4+INDEX(BookQ3,876)*(5-MIN(4,3+'5. Scenarios'!$C$8))/4+INDEX(BookQ4,876)*(5-MIN(4,4+'5. Scenarios'!$C$8))/4)*'5. Scenarios'!$C$6/(1+ProductivityDefault*('5. Scenarios'!$C$11-1))+INDEX(BookOneOff,876)*$I881)</f>
        <v/>
      </c>
      <c r="N881" s="56" t="str">
        <f aca="false">IF(INDEX(BookTitle,876)="","",INDEX(BookTotal,876)*'5. Scenarios'!$D$6/(1+ProductivityDefault*('5. Scenarios'!$D$11-1)))</f>
        <v/>
      </c>
      <c r="O881" s="57" t="str">
        <f aca="false">IF($N881="","",INDEX(BookRate,876)*(1+'5. Scenarios'!$D$10)*$N881)</f>
        <v/>
      </c>
      <c r="P881" s="57" t="str">
        <f aca="false">IF($O881="","",SUMIFS($O$6:$O$2405,$A$6:$A$2405,"&lt;="&amp;$A881))</f>
        <v/>
      </c>
      <c r="Q881" s="57" t="str">
        <f aca="false">IF($O881="","",IF($P881&lt;=BankCostEnvelope*'5. Scenarios'!$D$7,1,0))</f>
        <v/>
      </c>
      <c r="R881" s="57" t="str">
        <f aca="false">IF($N881="","",INDEX(BookRate,876)*(1+'5. Scenarios'!$D$10)*(INDEX(BookQ1,876)*(5-MIN(4,1+'5. Scenarios'!$D$8))/4+INDEX(BookQ2,876)*(5-MIN(4,2+'5. Scenarios'!$D$8))/4+INDEX(BookQ3,876)*(5-MIN(4,3+'5. Scenarios'!$D$8))/4+INDEX(BookQ4,876)*(5-MIN(4,4+'5. Scenarios'!$D$8))/4)*'5. Scenarios'!$D$6/(1+ProductivityDefault*('5. Scenarios'!$D$11-1))+INDEX(BookOneOff,876)*$N881)</f>
        <v/>
      </c>
      <c r="S881" s="56" t="str">
        <f aca="false">IF(INDEX(BookTitle,876)="","",INDEX(BookTotal,876)*'5. Scenarios'!$E$6/(1+ProductivityDefault*('5. Scenarios'!$E$11-1)))</f>
        <v/>
      </c>
      <c r="T881" s="57" t="str">
        <f aca="false">IF($S881="","",INDEX(BookRate,876)*(1+'5. Scenarios'!$E$10)*$S881)</f>
        <v/>
      </c>
      <c r="U881" s="57" t="str">
        <f aca="false">IF($T881="","",SUMIFS($T$6:$T$2405,$A$6:$A$2405,"&lt;="&amp;$A881))</f>
        <v/>
      </c>
      <c r="V881" s="57" t="str">
        <f aca="false">IF($T881="","",IF($U881&lt;=BankCostEnvelope*'5. Scenarios'!$E$7,1,0))</f>
        <v/>
      </c>
      <c r="W881" s="57" t="str">
        <f aca="false">IF($S881="","",INDEX(BookRate,876)*(1+'5. Scenarios'!$E$10)*(INDEX(BookQ1,876)*(5-MIN(4,1+'5. Scenarios'!$E$8))/4+INDEX(BookQ2,876)*(5-MIN(4,2+'5. Scenarios'!$E$8))/4+INDEX(BookQ3,876)*(5-MIN(4,3+'5. Scenarios'!$E$8))/4+INDEX(BookQ4,876)*(5-MIN(4,4+'5. Scenarios'!$E$8))/4)*'5. Scenarios'!$E$6/(1+ProductivityDefault*('5. Scenarios'!$E$11-1))+INDEX(BookOneOff,876)*$S881)</f>
        <v/>
      </c>
    </row>
    <row r="882" customFormat="false" ht="15" hidden="false" customHeight="false" outlineLevel="0" collapsed="false">
      <c r="A882" s="0" t="str">
        <f aca="false">IF(INDEX(BookTitle,877)="","",INDEX(BookKey,877))</f>
        <v/>
      </c>
      <c r="B882" s="0" t="str">
        <f aca="false">IF(INDEX(BookTitle,877)="","",INDEX(BookGroup,877))</f>
        <v/>
      </c>
      <c r="C882" s="0" t="str">
        <f aca="false">IF(INDEX(BookTitle,877)="","",INDEX(BookCategory,877))</f>
        <v/>
      </c>
      <c r="D882" s="56" t="str">
        <f aca="false">IF(INDEX(BookTitle,877)="","",INDEX(BookTotal,877)*'5. Scenarios'!$B$6/(1+ProductivityDefault*('5. Scenarios'!$B$11-1)))</f>
        <v/>
      </c>
      <c r="E882" s="57" t="str">
        <f aca="false">IF($D882="","",INDEX(BookRate,877)*(1+'5. Scenarios'!$B$10)*$D882)</f>
        <v/>
      </c>
      <c r="F882" s="57" t="str">
        <f aca="false">IF($E882="","",SUMIFS($E$6:$E$2405,$A$6:$A$2405,"&lt;="&amp;$A882))</f>
        <v/>
      </c>
      <c r="G882" s="57" t="str">
        <f aca="false">IF($E882="","",IF($F882&lt;=BankCostEnvelope*'5. Scenarios'!$B$7,1,0))</f>
        <v/>
      </c>
      <c r="H882" s="57" t="str">
        <f aca="false">IF($D882="","",INDEX(BookRate,877)*(1+'5. Scenarios'!$B$10)*(INDEX(BookQ1,877)*(5-MIN(4,1+'5. Scenarios'!$B$8))/4+INDEX(BookQ2,877)*(5-MIN(4,2+'5. Scenarios'!$B$8))/4+INDEX(BookQ3,877)*(5-MIN(4,3+'5. Scenarios'!$B$8))/4+INDEX(BookQ4,877)*(5-MIN(4,4+'5. Scenarios'!$B$8))/4)*'5. Scenarios'!$B$6/(1+ProductivityDefault*('5. Scenarios'!$B$11-1))+INDEX(BookOneOff,877)*$D882)</f>
        <v/>
      </c>
      <c r="I882" s="56" t="str">
        <f aca="false">IF(INDEX(BookTitle,877)="","",INDEX(BookTotal,877)*'5. Scenarios'!$C$6/(1+ProductivityDefault*('5. Scenarios'!$C$11-1)))</f>
        <v/>
      </c>
      <c r="J882" s="57" t="str">
        <f aca="false">IF($I882="","",INDEX(BookRate,877)*(1+'5. Scenarios'!$C$10)*$I882)</f>
        <v/>
      </c>
      <c r="K882" s="57" t="str">
        <f aca="false">IF($J882="","",SUMIFS($J$6:$J$2405,$A$6:$A$2405,"&lt;="&amp;$A882))</f>
        <v/>
      </c>
      <c r="L882" s="57" t="str">
        <f aca="false">IF($J882="","",IF($K882&lt;=BankCostEnvelope*'5. Scenarios'!$C$7,1,0))</f>
        <v/>
      </c>
      <c r="M882" s="57" t="str">
        <f aca="false">IF($I882="","",INDEX(BookRate,877)*(1+'5. Scenarios'!$C$10)*(INDEX(BookQ1,877)*(5-MIN(4,1+'5. Scenarios'!$C$8))/4+INDEX(BookQ2,877)*(5-MIN(4,2+'5. Scenarios'!$C$8))/4+INDEX(BookQ3,877)*(5-MIN(4,3+'5. Scenarios'!$C$8))/4+INDEX(BookQ4,877)*(5-MIN(4,4+'5. Scenarios'!$C$8))/4)*'5. Scenarios'!$C$6/(1+ProductivityDefault*('5. Scenarios'!$C$11-1))+INDEX(BookOneOff,877)*$I882)</f>
        <v/>
      </c>
      <c r="N882" s="56" t="str">
        <f aca="false">IF(INDEX(BookTitle,877)="","",INDEX(BookTotal,877)*'5. Scenarios'!$D$6/(1+ProductivityDefault*('5. Scenarios'!$D$11-1)))</f>
        <v/>
      </c>
      <c r="O882" s="57" t="str">
        <f aca="false">IF($N882="","",INDEX(BookRate,877)*(1+'5. Scenarios'!$D$10)*$N882)</f>
        <v/>
      </c>
      <c r="P882" s="57" t="str">
        <f aca="false">IF($O882="","",SUMIFS($O$6:$O$2405,$A$6:$A$2405,"&lt;="&amp;$A882))</f>
        <v/>
      </c>
      <c r="Q882" s="57" t="str">
        <f aca="false">IF($O882="","",IF($P882&lt;=BankCostEnvelope*'5. Scenarios'!$D$7,1,0))</f>
        <v/>
      </c>
      <c r="R882" s="57" t="str">
        <f aca="false">IF($N882="","",INDEX(BookRate,877)*(1+'5. Scenarios'!$D$10)*(INDEX(BookQ1,877)*(5-MIN(4,1+'5. Scenarios'!$D$8))/4+INDEX(BookQ2,877)*(5-MIN(4,2+'5. Scenarios'!$D$8))/4+INDEX(BookQ3,877)*(5-MIN(4,3+'5. Scenarios'!$D$8))/4+INDEX(BookQ4,877)*(5-MIN(4,4+'5. Scenarios'!$D$8))/4)*'5. Scenarios'!$D$6/(1+ProductivityDefault*('5. Scenarios'!$D$11-1))+INDEX(BookOneOff,877)*$N882)</f>
        <v/>
      </c>
      <c r="S882" s="56" t="str">
        <f aca="false">IF(INDEX(BookTitle,877)="","",INDEX(BookTotal,877)*'5. Scenarios'!$E$6/(1+ProductivityDefault*('5. Scenarios'!$E$11-1)))</f>
        <v/>
      </c>
      <c r="T882" s="57" t="str">
        <f aca="false">IF($S882="","",INDEX(BookRate,877)*(1+'5. Scenarios'!$E$10)*$S882)</f>
        <v/>
      </c>
      <c r="U882" s="57" t="str">
        <f aca="false">IF($T882="","",SUMIFS($T$6:$T$2405,$A$6:$A$2405,"&lt;="&amp;$A882))</f>
        <v/>
      </c>
      <c r="V882" s="57" t="str">
        <f aca="false">IF($T882="","",IF($U882&lt;=BankCostEnvelope*'5. Scenarios'!$E$7,1,0))</f>
        <v/>
      </c>
      <c r="W882" s="57" t="str">
        <f aca="false">IF($S882="","",INDEX(BookRate,877)*(1+'5. Scenarios'!$E$10)*(INDEX(BookQ1,877)*(5-MIN(4,1+'5. Scenarios'!$E$8))/4+INDEX(BookQ2,877)*(5-MIN(4,2+'5. Scenarios'!$E$8))/4+INDEX(BookQ3,877)*(5-MIN(4,3+'5. Scenarios'!$E$8))/4+INDEX(BookQ4,877)*(5-MIN(4,4+'5. Scenarios'!$E$8))/4)*'5. Scenarios'!$E$6/(1+ProductivityDefault*('5. Scenarios'!$E$11-1))+INDEX(BookOneOff,877)*$S882)</f>
        <v/>
      </c>
    </row>
    <row r="883" customFormat="false" ht="15" hidden="false" customHeight="false" outlineLevel="0" collapsed="false">
      <c r="A883" s="0" t="str">
        <f aca="false">IF(INDEX(BookTitle,878)="","",INDEX(BookKey,878))</f>
        <v/>
      </c>
      <c r="B883" s="0" t="str">
        <f aca="false">IF(INDEX(BookTitle,878)="","",INDEX(BookGroup,878))</f>
        <v/>
      </c>
      <c r="C883" s="0" t="str">
        <f aca="false">IF(INDEX(BookTitle,878)="","",INDEX(BookCategory,878))</f>
        <v/>
      </c>
      <c r="D883" s="56" t="str">
        <f aca="false">IF(INDEX(BookTitle,878)="","",INDEX(BookTotal,878)*'5. Scenarios'!$B$6/(1+ProductivityDefault*('5. Scenarios'!$B$11-1)))</f>
        <v/>
      </c>
      <c r="E883" s="57" t="str">
        <f aca="false">IF($D883="","",INDEX(BookRate,878)*(1+'5. Scenarios'!$B$10)*$D883)</f>
        <v/>
      </c>
      <c r="F883" s="57" t="str">
        <f aca="false">IF($E883="","",SUMIFS($E$6:$E$2405,$A$6:$A$2405,"&lt;="&amp;$A883))</f>
        <v/>
      </c>
      <c r="G883" s="57" t="str">
        <f aca="false">IF($E883="","",IF($F883&lt;=BankCostEnvelope*'5. Scenarios'!$B$7,1,0))</f>
        <v/>
      </c>
      <c r="H883" s="57" t="str">
        <f aca="false">IF($D883="","",INDEX(BookRate,878)*(1+'5. Scenarios'!$B$10)*(INDEX(BookQ1,878)*(5-MIN(4,1+'5. Scenarios'!$B$8))/4+INDEX(BookQ2,878)*(5-MIN(4,2+'5. Scenarios'!$B$8))/4+INDEX(BookQ3,878)*(5-MIN(4,3+'5. Scenarios'!$B$8))/4+INDEX(BookQ4,878)*(5-MIN(4,4+'5. Scenarios'!$B$8))/4)*'5. Scenarios'!$B$6/(1+ProductivityDefault*('5. Scenarios'!$B$11-1))+INDEX(BookOneOff,878)*$D883)</f>
        <v/>
      </c>
      <c r="I883" s="56" t="str">
        <f aca="false">IF(INDEX(BookTitle,878)="","",INDEX(BookTotal,878)*'5. Scenarios'!$C$6/(1+ProductivityDefault*('5. Scenarios'!$C$11-1)))</f>
        <v/>
      </c>
      <c r="J883" s="57" t="str">
        <f aca="false">IF($I883="","",INDEX(BookRate,878)*(1+'5. Scenarios'!$C$10)*$I883)</f>
        <v/>
      </c>
      <c r="K883" s="57" t="str">
        <f aca="false">IF($J883="","",SUMIFS($J$6:$J$2405,$A$6:$A$2405,"&lt;="&amp;$A883))</f>
        <v/>
      </c>
      <c r="L883" s="57" t="str">
        <f aca="false">IF($J883="","",IF($K883&lt;=BankCostEnvelope*'5. Scenarios'!$C$7,1,0))</f>
        <v/>
      </c>
      <c r="M883" s="57" t="str">
        <f aca="false">IF($I883="","",INDEX(BookRate,878)*(1+'5. Scenarios'!$C$10)*(INDEX(BookQ1,878)*(5-MIN(4,1+'5. Scenarios'!$C$8))/4+INDEX(BookQ2,878)*(5-MIN(4,2+'5. Scenarios'!$C$8))/4+INDEX(BookQ3,878)*(5-MIN(4,3+'5. Scenarios'!$C$8))/4+INDEX(BookQ4,878)*(5-MIN(4,4+'5. Scenarios'!$C$8))/4)*'5. Scenarios'!$C$6/(1+ProductivityDefault*('5. Scenarios'!$C$11-1))+INDEX(BookOneOff,878)*$I883)</f>
        <v/>
      </c>
      <c r="N883" s="56" t="str">
        <f aca="false">IF(INDEX(BookTitle,878)="","",INDEX(BookTotal,878)*'5. Scenarios'!$D$6/(1+ProductivityDefault*('5. Scenarios'!$D$11-1)))</f>
        <v/>
      </c>
      <c r="O883" s="57" t="str">
        <f aca="false">IF($N883="","",INDEX(BookRate,878)*(1+'5. Scenarios'!$D$10)*$N883)</f>
        <v/>
      </c>
      <c r="P883" s="57" t="str">
        <f aca="false">IF($O883="","",SUMIFS($O$6:$O$2405,$A$6:$A$2405,"&lt;="&amp;$A883))</f>
        <v/>
      </c>
      <c r="Q883" s="57" t="str">
        <f aca="false">IF($O883="","",IF($P883&lt;=BankCostEnvelope*'5. Scenarios'!$D$7,1,0))</f>
        <v/>
      </c>
      <c r="R883" s="57" t="str">
        <f aca="false">IF($N883="","",INDEX(BookRate,878)*(1+'5. Scenarios'!$D$10)*(INDEX(BookQ1,878)*(5-MIN(4,1+'5. Scenarios'!$D$8))/4+INDEX(BookQ2,878)*(5-MIN(4,2+'5. Scenarios'!$D$8))/4+INDEX(BookQ3,878)*(5-MIN(4,3+'5. Scenarios'!$D$8))/4+INDEX(BookQ4,878)*(5-MIN(4,4+'5. Scenarios'!$D$8))/4)*'5. Scenarios'!$D$6/(1+ProductivityDefault*('5. Scenarios'!$D$11-1))+INDEX(BookOneOff,878)*$N883)</f>
        <v/>
      </c>
      <c r="S883" s="56" t="str">
        <f aca="false">IF(INDEX(BookTitle,878)="","",INDEX(BookTotal,878)*'5. Scenarios'!$E$6/(1+ProductivityDefault*('5. Scenarios'!$E$11-1)))</f>
        <v/>
      </c>
      <c r="T883" s="57" t="str">
        <f aca="false">IF($S883="","",INDEX(BookRate,878)*(1+'5. Scenarios'!$E$10)*$S883)</f>
        <v/>
      </c>
      <c r="U883" s="57" t="str">
        <f aca="false">IF($T883="","",SUMIFS($T$6:$T$2405,$A$6:$A$2405,"&lt;="&amp;$A883))</f>
        <v/>
      </c>
      <c r="V883" s="57" t="str">
        <f aca="false">IF($T883="","",IF($U883&lt;=BankCostEnvelope*'5. Scenarios'!$E$7,1,0))</f>
        <v/>
      </c>
      <c r="W883" s="57" t="str">
        <f aca="false">IF($S883="","",INDEX(BookRate,878)*(1+'5. Scenarios'!$E$10)*(INDEX(BookQ1,878)*(5-MIN(4,1+'5. Scenarios'!$E$8))/4+INDEX(BookQ2,878)*(5-MIN(4,2+'5. Scenarios'!$E$8))/4+INDEX(BookQ3,878)*(5-MIN(4,3+'5. Scenarios'!$E$8))/4+INDEX(BookQ4,878)*(5-MIN(4,4+'5. Scenarios'!$E$8))/4)*'5. Scenarios'!$E$6/(1+ProductivityDefault*('5. Scenarios'!$E$11-1))+INDEX(BookOneOff,878)*$S883)</f>
        <v/>
      </c>
    </row>
    <row r="884" customFormat="false" ht="15" hidden="false" customHeight="false" outlineLevel="0" collapsed="false">
      <c r="A884" s="0" t="str">
        <f aca="false">IF(INDEX(BookTitle,879)="","",INDEX(BookKey,879))</f>
        <v/>
      </c>
      <c r="B884" s="0" t="str">
        <f aca="false">IF(INDEX(BookTitle,879)="","",INDEX(BookGroup,879))</f>
        <v/>
      </c>
      <c r="C884" s="0" t="str">
        <f aca="false">IF(INDEX(BookTitle,879)="","",INDEX(BookCategory,879))</f>
        <v/>
      </c>
      <c r="D884" s="56" t="str">
        <f aca="false">IF(INDEX(BookTitle,879)="","",INDEX(BookTotal,879)*'5. Scenarios'!$B$6/(1+ProductivityDefault*('5. Scenarios'!$B$11-1)))</f>
        <v/>
      </c>
      <c r="E884" s="57" t="str">
        <f aca="false">IF($D884="","",INDEX(BookRate,879)*(1+'5. Scenarios'!$B$10)*$D884)</f>
        <v/>
      </c>
      <c r="F884" s="57" t="str">
        <f aca="false">IF($E884="","",SUMIFS($E$6:$E$2405,$A$6:$A$2405,"&lt;="&amp;$A884))</f>
        <v/>
      </c>
      <c r="G884" s="57" t="str">
        <f aca="false">IF($E884="","",IF($F884&lt;=BankCostEnvelope*'5. Scenarios'!$B$7,1,0))</f>
        <v/>
      </c>
      <c r="H884" s="57" t="str">
        <f aca="false">IF($D884="","",INDEX(BookRate,879)*(1+'5. Scenarios'!$B$10)*(INDEX(BookQ1,879)*(5-MIN(4,1+'5. Scenarios'!$B$8))/4+INDEX(BookQ2,879)*(5-MIN(4,2+'5. Scenarios'!$B$8))/4+INDEX(BookQ3,879)*(5-MIN(4,3+'5. Scenarios'!$B$8))/4+INDEX(BookQ4,879)*(5-MIN(4,4+'5. Scenarios'!$B$8))/4)*'5. Scenarios'!$B$6/(1+ProductivityDefault*('5. Scenarios'!$B$11-1))+INDEX(BookOneOff,879)*$D884)</f>
        <v/>
      </c>
      <c r="I884" s="56" t="str">
        <f aca="false">IF(INDEX(BookTitle,879)="","",INDEX(BookTotal,879)*'5. Scenarios'!$C$6/(1+ProductivityDefault*('5. Scenarios'!$C$11-1)))</f>
        <v/>
      </c>
      <c r="J884" s="57" t="str">
        <f aca="false">IF($I884="","",INDEX(BookRate,879)*(1+'5. Scenarios'!$C$10)*$I884)</f>
        <v/>
      </c>
      <c r="K884" s="57" t="str">
        <f aca="false">IF($J884="","",SUMIFS($J$6:$J$2405,$A$6:$A$2405,"&lt;="&amp;$A884))</f>
        <v/>
      </c>
      <c r="L884" s="57" t="str">
        <f aca="false">IF($J884="","",IF($K884&lt;=BankCostEnvelope*'5. Scenarios'!$C$7,1,0))</f>
        <v/>
      </c>
      <c r="M884" s="57" t="str">
        <f aca="false">IF($I884="","",INDEX(BookRate,879)*(1+'5. Scenarios'!$C$10)*(INDEX(BookQ1,879)*(5-MIN(4,1+'5. Scenarios'!$C$8))/4+INDEX(BookQ2,879)*(5-MIN(4,2+'5. Scenarios'!$C$8))/4+INDEX(BookQ3,879)*(5-MIN(4,3+'5. Scenarios'!$C$8))/4+INDEX(BookQ4,879)*(5-MIN(4,4+'5. Scenarios'!$C$8))/4)*'5. Scenarios'!$C$6/(1+ProductivityDefault*('5. Scenarios'!$C$11-1))+INDEX(BookOneOff,879)*$I884)</f>
        <v/>
      </c>
      <c r="N884" s="56" t="str">
        <f aca="false">IF(INDEX(BookTitle,879)="","",INDEX(BookTotal,879)*'5. Scenarios'!$D$6/(1+ProductivityDefault*('5. Scenarios'!$D$11-1)))</f>
        <v/>
      </c>
      <c r="O884" s="57" t="str">
        <f aca="false">IF($N884="","",INDEX(BookRate,879)*(1+'5. Scenarios'!$D$10)*$N884)</f>
        <v/>
      </c>
      <c r="P884" s="57" t="str">
        <f aca="false">IF($O884="","",SUMIFS($O$6:$O$2405,$A$6:$A$2405,"&lt;="&amp;$A884))</f>
        <v/>
      </c>
      <c r="Q884" s="57" t="str">
        <f aca="false">IF($O884="","",IF($P884&lt;=BankCostEnvelope*'5. Scenarios'!$D$7,1,0))</f>
        <v/>
      </c>
      <c r="R884" s="57" t="str">
        <f aca="false">IF($N884="","",INDEX(BookRate,879)*(1+'5. Scenarios'!$D$10)*(INDEX(BookQ1,879)*(5-MIN(4,1+'5. Scenarios'!$D$8))/4+INDEX(BookQ2,879)*(5-MIN(4,2+'5. Scenarios'!$D$8))/4+INDEX(BookQ3,879)*(5-MIN(4,3+'5. Scenarios'!$D$8))/4+INDEX(BookQ4,879)*(5-MIN(4,4+'5. Scenarios'!$D$8))/4)*'5. Scenarios'!$D$6/(1+ProductivityDefault*('5. Scenarios'!$D$11-1))+INDEX(BookOneOff,879)*$N884)</f>
        <v/>
      </c>
      <c r="S884" s="56" t="str">
        <f aca="false">IF(INDEX(BookTitle,879)="","",INDEX(BookTotal,879)*'5. Scenarios'!$E$6/(1+ProductivityDefault*('5. Scenarios'!$E$11-1)))</f>
        <v/>
      </c>
      <c r="T884" s="57" t="str">
        <f aca="false">IF($S884="","",INDEX(BookRate,879)*(1+'5. Scenarios'!$E$10)*$S884)</f>
        <v/>
      </c>
      <c r="U884" s="57" t="str">
        <f aca="false">IF($T884="","",SUMIFS($T$6:$T$2405,$A$6:$A$2405,"&lt;="&amp;$A884))</f>
        <v/>
      </c>
      <c r="V884" s="57" t="str">
        <f aca="false">IF($T884="","",IF($U884&lt;=BankCostEnvelope*'5. Scenarios'!$E$7,1,0))</f>
        <v/>
      </c>
      <c r="W884" s="57" t="str">
        <f aca="false">IF($S884="","",INDEX(BookRate,879)*(1+'5. Scenarios'!$E$10)*(INDEX(BookQ1,879)*(5-MIN(4,1+'5. Scenarios'!$E$8))/4+INDEX(BookQ2,879)*(5-MIN(4,2+'5. Scenarios'!$E$8))/4+INDEX(BookQ3,879)*(5-MIN(4,3+'5. Scenarios'!$E$8))/4+INDEX(BookQ4,879)*(5-MIN(4,4+'5. Scenarios'!$E$8))/4)*'5. Scenarios'!$E$6/(1+ProductivityDefault*('5. Scenarios'!$E$11-1))+INDEX(BookOneOff,879)*$S884)</f>
        <v/>
      </c>
    </row>
    <row r="885" customFormat="false" ht="15" hidden="false" customHeight="false" outlineLevel="0" collapsed="false">
      <c r="A885" s="0" t="str">
        <f aca="false">IF(INDEX(BookTitle,880)="","",INDEX(BookKey,880))</f>
        <v/>
      </c>
      <c r="B885" s="0" t="str">
        <f aca="false">IF(INDEX(BookTitle,880)="","",INDEX(BookGroup,880))</f>
        <v/>
      </c>
      <c r="C885" s="0" t="str">
        <f aca="false">IF(INDEX(BookTitle,880)="","",INDEX(BookCategory,880))</f>
        <v/>
      </c>
      <c r="D885" s="56" t="str">
        <f aca="false">IF(INDEX(BookTitle,880)="","",INDEX(BookTotal,880)*'5. Scenarios'!$B$6/(1+ProductivityDefault*('5. Scenarios'!$B$11-1)))</f>
        <v/>
      </c>
      <c r="E885" s="57" t="str">
        <f aca="false">IF($D885="","",INDEX(BookRate,880)*(1+'5. Scenarios'!$B$10)*$D885)</f>
        <v/>
      </c>
      <c r="F885" s="57" t="str">
        <f aca="false">IF($E885="","",SUMIFS($E$6:$E$2405,$A$6:$A$2405,"&lt;="&amp;$A885))</f>
        <v/>
      </c>
      <c r="G885" s="57" t="str">
        <f aca="false">IF($E885="","",IF($F885&lt;=BankCostEnvelope*'5. Scenarios'!$B$7,1,0))</f>
        <v/>
      </c>
      <c r="H885" s="57" t="str">
        <f aca="false">IF($D885="","",INDEX(BookRate,880)*(1+'5. Scenarios'!$B$10)*(INDEX(BookQ1,880)*(5-MIN(4,1+'5. Scenarios'!$B$8))/4+INDEX(BookQ2,880)*(5-MIN(4,2+'5. Scenarios'!$B$8))/4+INDEX(BookQ3,880)*(5-MIN(4,3+'5. Scenarios'!$B$8))/4+INDEX(BookQ4,880)*(5-MIN(4,4+'5. Scenarios'!$B$8))/4)*'5. Scenarios'!$B$6/(1+ProductivityDefault*('5. Scenarios'!$B$11-1))+INDEX(BookOneOff,880)*$D885)</f>
        <v/>
      </c>
      <c r="I885" s="56" t="str">
        <f aca="false">IF(INDEX(BookTitle,880)="","",INDEX(BookTotal,880)*'5. Scenarios'!$C$6/(1+ProductivityDefault*('5. Scenarios'!$C$11-1)))</f>
        <v/>
      </c>
      <c r="J885" s="57" t="str">
        <f aca="false">IF($I885="","",INDEX(BookRate,880)*(1+'5. Scenarios'!$C$10)*$I885)</f>
        <v/>
      </c>
      <c r="K885" s="57" t="str">
        <f aca="false">IF($J885="","",SUMIFS($J$6:$J$2405,$A$6:$A$2405,"&lt;="&amp;$A885))</f>
        <v/>
      </c>
      <c r="L885" s="57" t="str">
        <f aca="false">IF($J885="","",IF($K885&lt;=BankCostEnvelope*'5. Scenarios'!$C$7,1,0))</f>
        <v/>
      </c>
      <c r="M885" s="57" t="str">
        <f aca="false">IF($I885="","",INDEX(BookRate,880)*(1+'5. Scenarios'!$C$10)*(INDEX(BookQ1,880)*(5-MIN(4,1+'5. Scenarios'!$C$8))/4+INDEX(BookQ2,880)*(5-MIN(4,2+'5. Scenarios'!$C$8))/4+INDEX(BookQ3,880)*(5-MIN(4,3+'5. Scenarios'!$C$8))/4+INDEX(BookQ4,880)*(5-MIN(4,4+'5. Scenarios'!$C$8))/4)*'5. Scenarios'!$C$6/(1+ProductivityDefault*('5. Scenarios'!$C$11-1))+INDEX(BookOneOff,880)*$I885)</f>
        <v/>
      </c>
      <c r="N885" s="56" t="str">
        <f aca="false">IF(INDEX(BookTitle,880)="","",INDEX(BookTotal,880)*'5. Scenarios'!$D$6/(1+ProductivityDefault*('5. Scenarios'!$D$11-1)))</f>
        <v/>
      </c>
      <c r="O885" s="57" t="str">
        <f aca="false">IF($N885="","",INDEX(BookRate,880)*(1+'5. Scenarios'!$D$10)*$N885)</f>
        <v/>
      </c>
      <c r="P885" s="57" t="str">
        <f aca="false">IF($O885="","",SUMIFS($O$6:$O$2405,$A$6:$A$2405,"&lt;="&amp;$A885))</f>
        <v/>
      </c>
      <c r="Q885" s="57" t="str">
        <f aca="false">IF($O885="","",IF($P885&lt;=BankCostEnvelope*'5. Scenarios'!$D$7,1,0))</f>
        <v/>
      </c>
      <c r="R885" s="57" t="str">
        <f aca="false">IF($N885="","",INDEX(BookRate,880)*(1+'5. Scenarios'!$D$10)*(INDEX(BookQ1,880)*(5-MIN(4,1+'5. Scenarios'!$D$8))/4+INDEX(BookQ2,880)*(5-MIN(4,2+'5. Scenarios'!$D$8))/4+INDEX(BookQ3,880)*(5-MIN(4,3+'5. Scenarios'!$D$8))/4+INDEX(BookQ4,880)*(5-MIN(4,4+'5. Scenarios'!$D$8))/4)*'5. Scenarios'!$D$6/(1+ProductivityDefault*('5. Scenarios'!$D$11-1))+INDEX(BookOneOff,880)*$N885)</f>
        <v/>
      </c>
      <c r="S885" s="56" t="str">
        <f aca="false">IF(INDEX(BookTitle,880)="","",INDEX(BookTotal,880)*'5. Scenarios'!$E$6/(1+ProductivityDefault*('5. Scenarios'!$E$11-1)))</f>
        <v/>
      </c>
      <c r="T885" s="57" t="str">
        <f aca="false">IF($S885="","",INDEX(BookRate,880)*(1+'5. Scenarios'!$E$10)*$S885)</f>
        <v/>
      </c>
      <c r="U885" s="57" t="str">
        <f aca="false">IF($T885="","",SUMIFS($T$6:$T$2405,$A$6:$A$2405,"&lt;="&amp;$A885))</f>
        <v/>
      </c>
      <c r="V885" s="57" t="str">
        <f aca="false">IF($T885="","",IF($U885&lt;=BankCostEnvelope*'5. Scenarios'!$E$7,1,0))</f>
        <v/>
      </c>
      <c r="W885" s="57" t="str">
        <f aca="false">IF($S885="","",INDEX(BookRate,880)*(1+'5. Scenarios'!$E$10)*(INDEX(BookQ1,880)*(5-MIN(4,1+'5. Scenarios'!$E$8))/4+INDEX(BookQ2,880)*(5-MIN(4,2+'5. Scenarios'!$E$8))/4+INDEX(BookQ3,880)*(5-MIN(4,3+'5. Scenarios'!$E$8))/4+INDEX(BookQ4,880)*(5-MIN(4,4+'5. Scenarios'!$E$8))/4)*'5. Scenarios'!$E$6/(1+ProductivityDefault*('5. Scenarios'!$E$11-1))+INDEX(BookOneOff,880)*$S885)</f>
        <v/>
      </c>
    </row>
    <row r="886" customFormat="false" ht="15" hidden="false" customHeight="false" outlineLevel="0" collapsed="false">
      <c r="A886" s="0" t="str">
        <f aca="false">IF(INDEX(BookTitle,881)="","",INDEX(BookKey,881))</f>
        <v/>
      </c>
      <c r="B886" s="0" t="str">
        <f aca="false">IF(INDEX(BookTitle,881)="","",INDEX(BookGroup,881))</f>
        <v/>
      </c>
      <c r="C886" s="0" t="str">
        <f aca="false">IF(INDEX(BookTitle,881)="","",INDEX(BookCategory,881))</f>
        <v/>
      </c>
      <c r="D886" s="56" t="str">
        <f aca="false">IF(INDEX(BookTitle,881)="","",INDEX(BookTotal,881)*'5. Scenarios'!$B$6/(1+ProductivityDefault*('5. Scenarios'!$B$11-1)))</f>
        <v/>
      </c>
      <c r="E886" s="57" t="str">
        <f aca="false">IF($D886="","",INDEX(BookRate,881)*(1+'5. Scenarios'!$B$10)*$D886)</f>
        <v/>
      </c>
      <c r="F886" s="57" t="str">
        <f aca="false">IF($E886="","",SUMIFS($E$6:$E$2405,$A$6:$A$2405,"&lt;="&amp;$A886))</f>
        <v/>
      </c>
      <c r="G886" s="57" t="str">
        <f aca="false">IF($E886="","",IF($F886&lt;=BankCostEnvelope*'5. Scenarios'!$B$7,1,0))</f>
        <v/>
      </c>
      <c r="H886" s="57" t="str">
        <f aca="false">IF($D886="","",INDEX(BookRate,881)*(1+'5. Scenarios'!$B$10)*(INDEX(BookQ1,881)*(5-MIN(4,1+'5. Scenarios'!$B$8))/4+INDEX(BookQ2,881)*(5-MIN(4,2+'5. Scenarios'!$B$8))/4+INDEX(BookQ3,881)*(5-MIN(4,3+'5. Scenarios'!$B$8))/4+INDEX(BookQ4,881)*(5-MIN(4,4+'5. Scenarios'!$B$8))/4)*'5. Scenarios'!$B$6/(1+ProductivityDefault*('5. Scenarios'!$B$11-1))+INDEX(BookOneOff,881)*$D886)</f>
        <v/>
      </c>
      <c r="I886" s="56" t="str">
        <f aca="false">IF(INDEX(BookTitle,881)="","",INDEX(BookTotal,881)*'5. Scenarios'!$C$6/(1+ProductivityDefault*('5. Scenarios'!$C$11-1)))</f>
        <v/>
      </c>
      <c r="J886" s="57" t="str">
        <f aca="false">IF($I886="","",INDEX(BookRate,881)*(1+'5. Scenarios'!$C$10)*$I886)</f>
        <v/>
      </c>
      <c r="K886" s="57" t="str">
        <f aca="false">IF($J886="","",SUMIFS($J$6:$J$2405,$A$6:$A$2405,"&lt;="&amp;$A886))</f>
        <v/>
      </c>
      <c r="L886" s="57" t="str">
        <f aca="false">IF($J886="","",IF($K886&lt;=BankCostEnvelope*'5. Scenarios'!$C$7,1,0))</f>
        <v/>
      </c>
      <c r="M886" s="57" t="str">
        <f aca="false">IF($I886="","",INDEX(BookRate,881)*(1+'5. Scenarios'!$C$10)*(INDEX(BookQ1,881)*(5-MIN(4,1+'5. Scenarios'!$C$8))/4+INDEX(BookQ2,881)*(5-MIN(4,2+'5. Scenarios'!$C$8))/4+INDEX(BookQ3,881)*(5-MIN(4,3+'5. Scenarios'!$C$8))/4+INDEX(BookQ4,881)*(5-MIN(4,4+'5. Scenarios'!$C$8))/4)*'5. Scenarios'!$C$6/(1+ProductivityDefault*('5. Scenarios'!$C$11-1))+INDEX(BookOneOff,881)*$I886)</f>
        <v/>
      </c>
      <c r="N886" s="56" t="str">
        <f aca="false">IF(INDEX(BookTitle,881)="","",INDEX(BookTotal,881)*'5. Scenarios'!$D$6/(1+ProductivityDefault*('5. Scenarios'!$D$11-1)))</f>
        <v/>
      </c>
      <c r="O886" s="57" t="str">
        <f aca="false">IF($N886="","",INDEX(BookRate,881)*(1+'5. Scenarios'!$D$10)*$N886)</f>
        <v/>
      </c>
      <c r="P886" s="57" t="str">
        <f aca="false">IF($O886="","",SUMIFS($O$6:$O$2405,$A$6:$A$2405,"&lt;="&amp;$A886))</f>
        <v/>
      </c>
      <c r="Q886" s="57" t="str">
        <f aca="false">IF($O886="","",IF($P886&lt;=BankCostEnvelope*'5. Scenarios'!$D$7,1,0))</f>
        <v/>
      </c>
      <c r="R886" s="57" t="str">
        <f aca="false">IF($N886="","",INDEX(BookRate,881)*(1+'5. Scenarios'!$D$10)*(INDEX(BookQ1,881)*(5-MIN(4,1+'5. Scenarios'!$D$8))/4+INDEX(BookQ2,881)*(5-MIN(4,2+'5. Scenarios'!$D$8))/4+INDEX(BookQ3,881)*(5-MIN(4,3+'5. Scenarios'!$D$8))/4+INDEX(BookQ4,881)*(5-MIN(4,4+'5. Scenarios'!$D$8))/4)*'5. Scenarios'!$D$6/(1+ProductivityDefault*('5. Scenarios'!$D$11-1))+INDEX(BookOneOff,881)*$N886)</f>
        <v/>
      </c>
      <c r="S886" s="56" t="str">
        <f aca="false">IF(INDEX(BookTitle,881)="","",INDEX(BookTotal,881)*'5. Scenarios'!$E$6/(1+ProductivityDefault*('5. Scenarios'!$E$11-1)))</f>
        <v/>
      </c>
      <c r="T886" s="57" t="str">
        <f aca="false">IF($S886="","",INDEX(BookRate,881)*(1+'5. Scenarios'!$E$10)*$S886)</f>
        <v/>
      </c>
      <c r="U886" s="57" t="str">
        <f aca="false">IF($T886="","",SUMIFS($T$6:$T$2405,$A$6:$A$2405,"&lt;="&amp;$A886))</f>
        <v/>
      </c>
      <c r="V886" s="57" t="str">
        <f aca="false">IF($T886="","",IF($U886&lt;=BankCostEnvelope*'5. Scenarios'!$E$7,1,0))</f>
        <v/>
      </c>
      <c r="W886" s="57" t="str">
        <f aca="false">IF($S886="","",INDEX(BookRate,881)*(1+'5. Scenarios'!$E$10)*(INDEX(BookQ1,881)*(5-MIN(4,1+'5. Scenarios'!$E$8))/4+INDEX(BookQ2,881)*(5-MIN(4,2+'5. Scenarios'!$E$8))/4+INDEX(BookQ3,881)*(5-MIN(4,3+'5. Scenarios'!$E$8))/4+INDEX(BookQ4,881)*(5-MIN(4,4+'5. Scenarios'!$E$8))/4)*'5. Scenarios'!$E$6/(1+ProductivityDefault*('5. Scenarios'!$E$11-1))+INDEX(BookOneOff,881)*$S886)</f>
        <v/>
      </c>
    </row>
    <row r="887" customFormat="false" ht="15" hidden="false" customHeight="false" outlineLevel="0" collapsed="false">
      <c r="A887" s="0" t="str">
        <f aca="false">IF(INDEX(BookTitle,882)="","",INDEX(BookKey,882))</f>
        <v/>
      </c>
      <c r="B887" s="0" t="str">
        <f aca="false">IF(INDEX(BookTitle,882)="","",INDEX(BookGroup,882))</f>
        <v/>
      </c>
      <c r="C887" s="0" t="str">
        <f aca="false">IF(INDEX(BookTitle,882)="","",INDEX(BookCategory,882))</f>
        <v/>
      </c>
      <c r="D887" s="56" t="str">
        <f aca="false">IF(INDEX(BookTitle,882)="","",INDEX(BookTotal,882)*'5. Scenarios'!$B$6/(1+ProductivityDefault*('5. Scenarios'!$B$11-1)))</f>
        <v/>
      </c>
      <c r="E887" s="57" t="str">
        <f aca="false">IF($D887="","",INDEX(BookRate,882)*(1+'5. Scenarios'!$B$10)*$D887)</f>
        <v/>
      </c>
      <c r="F887" s="57" t="str">
        <f aca="false">IF($E887="","",SUMIFS($E$6:$E$2405,$A$6:$A$2405,"&lt;="&amp;$A887))</f>
        <v/>
      </c>
      <c r="G887" s="57" t="str">
        <f aca="false">IF($E887="","",IF($F887&lt;=BankCostEnvelope*'5. Scenarios'!$B$7,1,0))</f>
        <v/>
      </c>
      <c r="H887" s="57" t="str">
        <f aca="false">IF($D887="","",INDEX(BookRate,882)*(1+'5. Scenarios'!$B$10)*(INDEX(BookQ1,882)*(5-MIN(4,1+'5. Scenarios'!$B$8))/4+INDEX(BookQ2,882)*(5-MIN(4,2+'5. Scenarios'!$B$8))/4+INDEX(BookQ3,882)*(5-MIN(4,3+'5. Scenarios'!$B$8))/4+INDEX(BookQ4,882)*(5-MIN(4,4+'5. Scenarios'!$B$8))/4)*'5. Scenarios'!$B$6/(1+ProductivityDefault*('5. Scenarios'!$B$11-1))+INDEX(BookOneOff,882)*$D887)</f>
        <v/>
      </c>
      <c r="I887" s="56" t="str">
        <f aca="false">IF(INDEX(BookTitle,882)="","",INDEX(BookTotal,882)*'5. Scenarios'!$C$6/(1+ProductivityDefault*('5. Scenarios'!$C$11-1)))</f>
        <v/>
      </c>
      <c r="J887" s="57" t="str">
        <f aca="false">IF($I887="","",INDEX(BookRate,882)*(1+'5. Scenarios'!$C$10)*$I887)</f>
        <v/>
      </c>
      <c r="K887" s="57" t="str">
        <f aca="false">IF($J887="","",SUMIFS($J$6:$J$2405,$A$6:$A$2405,"&lt;="&amp;$A887))</f>
        <v/>
      </c>
      <c r="L887" s="57" t="str">
        <f aca="false">IF($J887="","",IF($K887&lt;=BankCostEnvelope*'5. Scenarios'!$C$7,1,0))</f>
        <v/>
      </c>
      <c r="M887" s="57" t="str">
        <f aca="false">IF($I887="","",INDEX(BookRate,882)*(1+'5. Scenarios'!$C$10)*(INDEX(BookQ1,882)*(5-MIN(4,1+'5. Scenarios'!$C$8))/4+INDEX(BookQ2,882)*(5-MIN(4,2+'5. Scenarios'!$C$8))/4+INDEX(BookQ3,882)*(5-MIN(4,3+'5. Scenarios'!$C$8))/4+INDEX(BookQ4,882)*(5-MIN(4,4+'5. Scenarios'!$C$8))/4)*'5. Scenarios'!$C$6/(1+ProductivityDefault*('5. Scenarios'!$C$11-1))+INDEX(BookOneOff,882)*$I887)</f>
        <v/>
      </c>
      <c r="N887" s="56" t="str">
        <f aca="false">IF(INDEX(BookTitle,882)="","",INDEX(BookTotal,882)*'5. Scenarios'!$D$6/(1+ProductivityDefault*('5. Scenarios'!$D$11-1)))</f>
        <v/>
      </c>
      <c r="O887" s="57" t="str">
        <f aca="false">IF($N887="","",INDEX(BookRate,882)*(1+'5. Scenarios'!$D$10)*$N887)</f>
        <v/>
      </c>
      <c r="P887" s="57" t="str">
        <f aca="false">IF($O887="","",SUMIFS($O$6:$O$2405,$A$6:$A$2405,"&lt;="&amp;$A887))</f>
        <v/>
      </c>
      <c r="Q887" s="57" t="str">
        <f aca="false">IF($O887="","",IF($P887&lt;=BankCostEnvelope*'5. Scenarios'!$D$7,1,0))</f>
        <v/>
      </c>
      <c r="R887" s="57" t="str">
        <f aca="false">IF($N887="","",INDEX(BookRate,882)*(1+'5. Scenarios'!$D$10)*(INDEX(BookQ1,882)*(5-MIN(4,1+'5. Scenarios'!$D$8))/4+INDEX(BookQ2,882)*(5-MIN(4,2+'5. Scenarios'!$D$8))/4+INDEX(BookQ3,882)*(5-MIN(4,3+'5. Scenarios'!$D$8))/4+INDEX(BookQ4,882)*(5-MIN(4,4+'5. Scenarios'!$D$8))/4)*'5. Scenarios'!$D$6/(1+ProductivityDefault*('5. Scenarios'!$D$11-1))+INDEX(BookOneOff,882)*$N887)</f>
        <v/>
      </c>
      <c r="S887" s="56" t="str">
        <f aca="false">IF(INDEX(BookTitle,882)="","",INDEX(BookTotal,882)*'5. Scenarios'!$E$6/(1+ProductivityDefault*('5. Scenarios'!$E$11-1)))</f>
        <v/>
      </c>
      <c r="T887" s="57" t="str">
        <f aca="false">IF($S887="","",INDEX(BookRate,882)*(1+'5. Scenarios'!$E$10)*$S887)</f>
        <v/>
      </c>
      <c r="U887" s="57" t="str">
        <f aca="false">IF($T887="","",SUMIFS($T$6:$T$2405,$A$6:$A$2405,"&lt;="&amp;$A887))</f>
        <v/>
      </c>
      <c r="V887" s="57" t="str">
        <f aca="false">IF($T887="","",IF($U887&lt;=BankCostEnvelope*'5. Scenarios'!$E$7,1,0))</f>
        <v/>
      </c>
      <c r="W887" s="57" t="str">
        <f aca="false">IF($S887="","",INDEX(BookRate,882)*(1+'5. Scenarios'!$E$10)*(INDEX(BookQ1,882)*(5-MIN(4,1+'5. Scenarios'!$E$8))/4+INDEX(BookQ2,882)*(5-MIN(4,2+'5. Scenarios'!$E$8))/4+INDEX(BookQ3,882)*(5-MIN(4,3+'5. Scenarios'!$E$8))/4+INDEX(BookQ4,882)*(5-MIN(4,4+'5. Scenarios'!$E$8))/4)*'5. Scenarios'!$E$6/(1+ProductivityDefault*('5. Scenarios'!$E$11-1))+INDEX(BookOneOff,882)*$S887)</f>
        <v/>
      </c>
    </row>
    <row r="888" customFormat="false" ht="15" hidden="false" customHeight="false" outlineLevel="0" collapsed="false">
      <c r="A888" s="0" t="str">
        <f aca="false">IF(INDEX(BookTitle,883)="","",INDEX(BookKey,883))</f>
        <v/>
      </c>
      <c r="B888" s="0" t="str">
        <f aca="false">IF(INDEX(BookTitle,883)="","",INDEX(BookGroup,883))</f>
        <v/>
      </c>
      <c r="C888" s="0" t="str">
        <f aca="false">IF(INDEX(BookTitle,883)="","",INDEX(BookCategory,883))</f>
        <v/>
      </c>
      <c r="D888" s="56" t="str">
        <f aca="false">IF(INDEX(BookTitle,883)="","",INDEX(BookTotal,883)*'5. Scenarios'!$B$6/(1+ProductivityDefault*('5. Scenarios'!$B$11-1)))</f>
        <v/>
      </c>
      <c r="E888" s="57" t="str">
        <f aca="false">IF($D888="","",INDEX(BookRate,883)*(1+'5. Scenarios'!$B$10)*$D888)</f>
        <v/>
      </c>
      <c r="F888" s="57" t="str">
        <f aca="false">IF($E888="","",SUMIFS($E$6:$E$2405,$A$6:$A$2405,"&lt;="&amp;$A888))</f>
        <v/>
      </c>
      <c r="G888" s="57" t="str">
        <f aca="false">IF($E888="","",IF($F888&lt;=BankCostEnvelope*'5. Scenarios'!$B$7,1,0))</f>
        <v/>
      </c>
      <c r="H888" s="57" t="str">
        <f aca="false">IF($D888="","",INDEX(BookRate,883)*(1+'5. Scenarios'!$B$10)*(INDEX(BookQ1,883)*(5-MIN(4,1+'5. Scenarios'!$B$8))/4+INDEX(BookQ2,883)*(5-MIN(4,2+'5. Scenarios'!$B$8))/4+INDEX(BookQ3,883)*(5-MIN(4,3+'5. Scenarios'!$B$8))/4+INDEX(BookQ4,883)*(5-MIN(4,4+'5. Scenarios'!$B$8))/4)*'5. Scenarios'!$B$6/(1+ProductivityDefault*('5. Scenarios'!$B$11-1))+INDEX(BookOneOff,883)*$D888)</f>
        <v/>
      </c>
      <c r="I888" s="56" t="str">
        <f aca="false">IF(INDEX(BookTitle,883)="","",INDEX(BookTotal,883)*'5. Scenarios'!$C$6/(1+ProductivityDefault*('5. Scenarios'!$C$11-1)))</f>
        <v/>
      </c>
      <c r="J888" s="57" t="str">
        <f aca="false">IF($I888="","",INDEX(BookRate,883)*(1+'5. Scenarios'!$C$10)*$I888)</f>
        <v/>
      </c>
      <c r="K888" s="57" t="str">
        <f aca="false">IF($J888="","",SUMIFS($J$6:$J$2405,$A$6:$A$2405,"&lt;="&amp;$A888))</f>
        <v/>
      </c>
      <c r="L888" s="57" t="str">
        <f aca="false">IF($J888="","",IF($K888&lt;=BankCostEnvelope*'5. Scenarios'!$C$7,1,0))</f>
        <v/>
      </c>
      <c r="M888" s="57" t="str">
        <f aca="false">IF($I888="","",INDEX(BookRate,883)*(1+'5. Scenarios'!$C$10)*(INDEX(BookQ1,883)*(5-MIN(4,1+'5. Scenarios'!$C$8))/4+INDEX(BookQ2,883)*(5-MIN(4,2+'5. Scenarios'!$C$8))/4+INDEX(BookQ3,883)*(5-MIN(4,3+'5. Scenarios'!$C$8))/4+INDEX(BookQ4,883)*(5-MIN(4,4+'5. Scenarios'!$C$8))/4)*'5. Scenarios'!$C$6/(1+ProductivityDefault*('5. Scenarios'!$C$11-1))+INDEX(BookOneOff,883)*$I888)</f>
        <v/>
      </c>
      <c r="N888" s="56" t="str">
        <f aca="false">IF(INDEX(BookTitle,883)="","",INDEX(BookTotal,883)*'5. Scenarios'!$D$6/(1+ProductivityDefault*('5. Scenarios'!$D$11-1)))</f>
        <v/>
      </c>
      <c r="O888" s="57" t="str">
        <f aca="false">IF($N888="","",INDEX(BookRate,883)*(1+'5. Scenarios'!$D$10)*$N888)</f>
        <v/>
      </c>
      <c r="P888" s="57" t="str">
        <f aca="false">IF($O888="","",SUMIFS($O$6:$O$2405,$A$6:$A$2405,"&lt;="&amp;$A888))</f>
        <v/>
      </c>
      <c r="Q888" s="57" t="str">
        <f aca="false">IF($O888="","",IF($P888&lt;=BankCostEnvelope*'5. Scenarios'!$D$7,1,0))</f>
        <v/>
      </c>
      <c r="R888" s="57" t="str">
        <f aca="false">IF($N888="","",INDEX(BookRate,883)*(1+'5. Scenarios'!$D$10)*(INDEX(BookQ1,883)*(5-MIN(4,1+'5. Scenarios'!$D$8))/4+INDEX(BookQ2,883)*(5-MIN(4,2+'5. Scenarios'!$D$8))/4+INDEX(BookQ3,883)*(5-MIN(4,3+'5. Scenarios'!$D$8))/4+INDEX(BookQ4,883)*(5-MIN(4,4+'5. Scenarios'!$D$8))/4)*'5. Scenarios'!$D$6/(1+ProductivityDefault*('5. Scenarios'!$D$11-1))+INDEX(BookOneOff,883)*$N888)</f>
        <v/>
      </c>
      <c r="S888" s="56" t="str">
        <f aca="false">IF(INDEX(BookTitle,883)="","",INDEX(BookTotal,883)*'5. Scenarios'!$E$6/(1+ProductivityDefault*('5. Scenarios'!$E$11-1)))</f>
        <v/>
      </c>
      <c r="T888" s="57" t="str">
        <f aca="false">IF($S888="","",INDEX(BookRate,883)*(1+'5. Scenarios'!$E$10)*$S888)</f>
        <v/>
      </c>
      <c r="U888" s="57" t="str">
        <f aca="false">IF($T888="","",SUMIFS($T$6:$T$2405,$A$6:$A$2405,"&lt;="&amp;$A888))</f>
        <v/>
      </c>
      <c r="V888" s="57" t="str">
        <f aca="false">IF($T888="","",IF($U888&lt;=BankCostEnvelope*'5. Scenarios'!$E$7,1,0))</f>
        <v/>
      </c>
      <c r="W888" s="57" t="str">
        <f aca="false">IF($S888="","",INDEX(BookRate,883)*(1+'5. Scenarios'!$E$10)*(INDEX(BookQ1,883)*(5-MIN(4,1+'5. Scenarios'!$E$8))/4+INDEX(BookQ2,883)*(5-MIN(4,2+'5. Scenarios'!$E$8))/4+INDEX(BookQ3,883)*(5-MIN(4,3+'5. Scenarios'!$E$8))/4+INDEX(BookQ4,883)*(5-MIN(4,4+'5. Scenarios'!$E$8))/4)*'5. Scenarios'!$E$6/(1+ProductivityDefault*('5. Scenarios'!$E$11-1))+INDEX(BookOneOff,883)*$S888)</f>
        <v/>
      </c>
    </row>
    <row r="889" customFormat="false" ht="15" hidden="false" customHeight="false" outlineLevel="0" collapsed="false">
      <c r="A889" s="0" t="str">
        <f aca="false">IF(INDEX(BookTitle,884)="","",INDEX(BookKey,884))</f>
        <v/>
      </c>
      <c r="B889" s="0" t="str">
        <f aca="false">IF(INDEX(BookTitle,884)="","",INDEX(BookGroup,884))</f>
        <v/>
      </c>
      <c r="C889" s="0" t="str">
        <f aca="false">IF(INDEX(BookTitle,884)="","",INDEX(BookCategory,884))</f>
        <v/>
      </c>
      <c r="D889" s="56" t="str">
        <f aca="false">IF(INDEX(BookTitle,884)="","",INDEX(BookTotal,884)*'5. Scenarios'!$B$6/(1+ProductivityDefault*('5. Scenarios'!$B$11-1)))</f>
        <v/>
      </c>
      <c r="E889" s="57" t="str">
        <f aca="false">IF($D889="","",INDEX(BookRate,884)*(1+'5. Scenarios'!$B$10)*$D889)</f>
        <v/>
      </c>
      <c r="F889" s="57" t="str">
        <f aca="false">IF($E889="","",SUMIFS($E$6:$E$2405,$A$6:$A$2405,"&lt;="&amp;$A889))</f>
        <v/>
      </c>
      <c r="G889" s="57" t="str">
        <f aca="false">IF($E889="","",IF($F889&lt;=BankCostEnvelope*'5. Scenarios'!$B$7,1,0))</f>
        <v/>
      </c>
      <c r="H889" s="57" t="str">
        <f aca="false">IF($D889="","",INDEX(BookRate,884)*(1+'5. Scenarios'!$B$10)*(INDEX(BookQ1,884)*(5-MIN(4,1+'5. Scenarios'!$B$8))/4+INDEX(BookQ2,884)*(5-MIN(4,2+'5. Scenarios'!$B$8))/4+INDEX(BookQ3,884)*(5-MIN(4,3+'5. Scenarios'!$B$8))/4+INDEX(BookQ4,884)*(5-MIN(4,4+'5. Scenarios'!$B$8))/4)*'5. Scenarios'!$B$6/(1+ProductivityDefault*('5. Scenarios'!$B$11-1))+INDEX(BookOneOff,884)*$D889)</f>
        <v/>
      </c>
      <c r="I889" s="56" t="str">
        <f aca="false">IF(INDEX(BookTitle,884)="","",INDEX(BookTotal,884)*'5. Scenarios'!$C$6/(1+ProductivityDefault*('5. Scenarios'!$C$11-1)))</f>
        <v/>
      </c>
      <c r="J889" s="57" t="str">
        <f aca="false">IF($I889="","",INDEX(BookRate,884)*(1+'5. Scenarios'!$C$10)*$I889)</f>
        <v/>
      </c>
      <c r="K889" s="57" t="str">
        <f aca="false">IF($J889="","",SUMIFS($J$6:$J$2405,$A$6:$A$2405,"&lt;="&amp;$A889))</f>
        <v/>
      </c>
      <c r="L889" s="57" t="str">
        <f aca="false">IF($J889="","",IF($K889&lt;=BankCostEnvelope*'5. Scenarios'!$C$7,1,0))</f>
        <v/>
      </c>
      <c r="M889" s="57" t="str">
        <f aca="false">IF($I889="","",INDEX(BookRate,884)*(1+'5. Scenarios'!$C$10)*(INDEX(BookQ1,884)*(5-MIN(4,1+'5. Scenarios'!$C$8))/4+INDEX(BookQ2,884)*(5-MIN(4,2+'5. Scenarios'!$C$8))/4+INDEX(BookQ3,884)*(5-MIN(4,3+'5. Scenarios'!$C$8))/4+INDEX(BookQ4,884)*(5-MIN(4,4+'5. Scenarios'!$C$8))/4)*'5. Scenarios'!$C$6/(1+ProductivityDefault*('5. Scenarios'!$C$11-1))+INDEX(BookOneOff,884)*$I889)</f>
        <v/>
      </c>
      <c r="N889" s="56" t="str">
        <f aca="false">IF(INDEX(BookTitle,884)="","",INDEX(BookTotal,884)*'5. Scenarios'!$D$6/(1+ProductivityDefault*('5. Scenarios'!$D$11-1)))</f>
        <v/>
      </c>
      <c r="O889" s="57" t="str">
        <f aca="false">IF($N889="","",INDEX(BookRate,884)*(1+'5. Scenarios'!$D$10)*$N889)</f>
        <v/>
      </c>
      <c r="P889" s="57" t="str">
        <f aca="false">IF($O889="","",SUMIFS($O$6:$O$2405,$A$6:$A$2405,"&lt;="&amp;$A889))</f>
        <v/>
      </c>
      <c r="Q889" s="57" t="str">
        <f aca="false">IF($O889="","",IF($P889&lt;=BankCostEnvelope*'5. Scenarios'!$D$7,1,0))</f>
        <v/>
      </c>
      <c r="R889" s="57" t="str">
        <f aca="false">IF($N889="","",INDEX(BookRate,884)*(1+'5. Scenarios'!$D$10)*(INDEX(BookQ1,884)*(5-MIN(4,1+'5. Scenarios'!$D$8))/4+INDEX(BookQ2,884)*(5-MIN(4,2+'5. Scenarios'!$D$8))/4+INDEX(BookQ3,884)*(5-MIN(4,3+'5. Scenarios'!$D$8))/4+INDEX(BookQ4,884)*(5-MIN(4,4+'5. Scenarios'!$D$8))/4)*'5. Scenarios'!$D$6/(1+ProductivityDefault*('5. Scenarios'!$D$11-1))+INDEX(BookOneOff,884)*$N889)</f>
        <v/>
      </c>
      <c r="S889" s="56" t="str">
        <f aca="false">IF(INDEX(BookTitle,884)="","",INDEX(BookTotal,884)*'5. Scenarios'!$E$6/(1+ProductivityDefault*('5. Scenarios'!$E$11-1)))</f>
        <v/>
      </c>
      <c r="T889" s="57" t="str">
        <f aca="false">IF($S889="","",INDEX(BookRate,884)*(1+'5. Scenarios'!$E$10)*$S889)</f>
        <v/>
      </c>
      <c r="U889" s="57" t="str">
        <f aca="false">IF($T889="","",SUMIFS($T$6:$T$2405,$A$6:$A$2405,"&lt;="&amp;$A889))</f>
        <v/>
      </c>
      <c r="V889" s="57" t="str">
        <f aca="false">IF($T889="","",IF($U889&lt;=BankCostEnvelope*'5. Scenarios'!$E$7,1,0))</f>
        <v/>
      </c>
      <c r="W889" s="57" t="str">
        <f aca="false">IF($S889="","",INDEX(BookRate,884)*(1+'5. Scenarios'!$E$10)*(INDEX(BookQ1,884)*(5-MIN(4,1+'5. Scenarios'!$E$8))/4+INDEX(BookQ2,884)*(5-MIN(4,2+'5. Scenarios'!$E$8))/4+INDEX(BookQ3,884)*(5-MIN(4,3+'5. Scenarios'!$E$8))/4+INDEX(BookQ4,884)*(5-MIN(4,4+'5. Scenarios'!$E$8))/4)*'5. Scenarios'!$E$6/(1+ProductivityDefault*('5. Scenarios'!$E$11-1))+INDEX(BookOneOff,884)*$S889)</f>
        <v/>
      </c>
    </row>
    <row r="890" customFormat="false" ht="15" hidden="false" customHeight="false" outlineLevel="0" collapsed="false">
      <c r="A890" s="0" t="str">
        <f aca="false">IF(INDEX(BookTitle,885)="","",INDEX(BookKey,885))</f>
        <v/>
      </c>
      <c r="B890" s="0" t="str">
        <f aca="false">IF(INDEX(BookTitle,885)="","",INDEX(BookGroup,885))</f>
        <v/>
      </c>
      <c r="C890" s="0" t="str">
        <f aca="false">IF(INDEX(BookTitle,885)="","",INDEX(BookCategory,885))</f>
        <v/>
      </c>
      <c r="D890" s="56" t="str">
        <f aca="false">IF(INDEX(BookTitle,885)="","",INDEX(BookTotal,885)*'5. Scenarios'!$B$6/(1+ProductivityDefault*('5. Scenarios'!$B$11-1)))</f>
        <v/>
      </c>
      <c r="E890" s="57" t="str">
        <f aca="false">IF($D890="","",INDEX(BookRate,885)*(1+'5. Scenarios'!$B$10)*$D890)</f>
        <v/>
      </c>
      <c r="F890" s="57" t="str">
        <f aca="false">IF($E890="","",SUMIFS($E$6:$E$2405,$A$6:$A$2405,"&lt;="&amp;$A890))</f>
        <v/>
      </c>
      <c r="G890" s="57" t="str">
        <f aca="false">IF($E890="","",IF($F890&lt;=BankCostEnvelope*'5. Scenarios'!$B$7,1,0))</f>
        <v/>
      </c>
      <c r="H890" s="57" t="str">
        <f aca="false">IF($D890="","",INDEX(BookRate,885)*(1+'5. Scenarios'!$B$10)*(INDEX(BookQ1,885)*(5-MIN(4,1+'5. Scenarios'!$B$8))/4+INDEX(BookQ2,885)*(5-MIN(4,2+'5. Scenarios'!$B$8))/4+INDEX(BookQ3,885)*(5-MIN(4,3+'5. Scenarios'!$B$8))/4+INDEX(BookQ4,885)*(5-MIN(4,4+'5. Scenarios'!$B$8))/4)*'5. Scenarios'!$B$6/(1+ProductivityDefault*('5. Scenarios'!$B$11-1))+INDEX(BookOneOff,885)*$D890)</f>
        <v/>
      </c>
      <c r="I890" s="56" t="str">
        <f aca="false">IF(INDEX(BookTitle,885)="","",INDEX(BookTotal,885)*'5. Scenarios'!$C$6/(1+ProductivityDefault*('5. Scenarios'!$C$11-1)))</f>
        <v/>
      </c>
      <c r="J890" s="57" t="str">
        <f aca="false">IF($I890="","",INDEX(BookRate,885)*(1+'5. Scenarios'!$C$10)*$I890)</f>
        <v/>
      </c>
      <c r="K890" s="57" t="str">
        <f aca="false">IF($J890="","",SUMIFS($J$6:$J$2405,$A$6:$A$2405,"&lt;="&amp;$A890))</f>
        <v/>
      </c>
      <c r="L890" s="57" t="str">
        <f aca="false">IF($J890="","",IF($K890&lt;=BankCostEnvelope*'5. Scenarios'!$C$7,1,0))</f>
        <v/>
      </c>
      <c r="M890" s="57" t="str">
        <f aca="false">IF($I890="","",INDEX(BookRate,885)*(1+'5. Scenarios'!$C$10)*(INDEX(BookQ1,885)*(5-MIN(4,1+'5. Scenarios'!$C$8))/4+INDEX(BookQ2,885)*(5-MIN(4,2+'5. Scenarios'!$C$8))/4+INDEX(BookQ3,885)*(5-MIN(4,3+'5. Scenarios'!$C$8))/4+INDEX(BookQ4,885)*(5-MIN(4,4+'5. Scenarios'!$C$8))/4)*'5. Scenarios'!$C$6/(1+ProductivityDefault*('5. Scenarios'!$C$11-1))+INDEX(BookOneOff,885)*$I890)</f>
        <v/>
      </c>
      <c r="N890" s="56" t="str">
        <f aca="false">IF(INDEX(BookTitle,885)="","",INDEX(BookTotal,885)*'5. Scenarios'!$D$6/(1+ProductivityDefault*('5. Scenarios'!$D$11-1)))</f>
        <v/>
      </c>
      <c r="O890" s="57" t="str">
        <f aca="false">IF($N890="","",INDEX(BookRate,885)*(1+'5. Scenarios'!$D$10)*$N890)</f>
        <v/>
      </c>
      <c r="P890" s="57" t="str">
        <f aca="false">IF($O890="","",SUMIFS($O$6:$O$2405,$A$6:$A$2405,"&lt;="&amp;$A890))</f>
        <v/>
      </c>
      <c r="Q890" s="57" t="str">
        <f aca="false">IF($O890="","",IF($P890&lt;=BankCostEnvelope*'5. Scenarios'!$D$7,1,0))</f>
        <v/>
      </c>
      <c r="R890" s="57" t="str">
        <f aca="false">IF($N890="","",INDEX(BookRate,885)*(1+'5. Scenarios'!$D$10)*(INDEX(BookQ1,885)*(5-MIN(4,1+'5. Scenarios'!$D$8))/4+INDEX(BookQ2,885)*(5-MIN(4,2+'5. Scenarios'!$D$8))/4+INDEX(BookQ3,885)*(5-MIN(4,3+'5. Scenarios'!$D$8))/4+INDEX(BookQ4,885)*(5-MIN(4,4+'5. Scenarios'!$D$8))/4)*'5. Scenarios'!$D$6/(1+ProductivityDefault*('5. Scenarios'!$D$11-1))+INDEX(BookOneOff,885)*$N890)</f>
        <v/>
      </c>
      <c r="S890" s="56" t="str">
        <f aca="false">IF(INDEX(BookTitle,885)="","",INDEX(BookTotal,885)*'5. Scenarios'!$E$6/(1+ProductivityDefault*('5. Scenarios'!$E$11-1)))</f>
        <v/>
      </c>
      <c r="T890" s="57" t="str">
        <f aca="false">IF($S890="","",INDEX(BookRate,885)*(1+'5. Scenarios'!$E$10)*$S890)</f>
        <v/>
      </c>
      <c r="U890" s="57" t="str">
        <f aca="false">IF($T890="","",SUMIFS($T$6:$T$2405,$A$6:$A$2405,"&lt;="&amp;$A890))</f>
        <v/>
      </c>
      <c r="V890" s="57" t="str">
        <f aca="false">IF($T890="","",IF($U890&lt;=BankCostEnvelope*'5. Scenarios'!$E$7,1,0))</f>
        <v/>
      </c>
      <c r="W890" s="57" t="str">
        <f aca="false">IF($S890="","",INDEX(BookRate,885)*(1+'5. Scenarios'!$E$10)*(INDEX(BookQ1,885)*(5-MIN(4,1+'5. Scenarios'!$E$8))/4+INDEX(BookQ2,885)*(5-MIN(4,2+'5. Scenarios'!$E$8))/4+INDEX(BookQ3,885)*(5-MIN(4,3+'5. Scenarios'!$E$8))/4+INDEX(BookQ4,885)*(5-MIN(4,4+'5. Scenarios'!$E$8))/4)*'5. Scenarios'!$E$6/(1+ProductivityDefault*('5. Scenarios'!$E$11-1))+INDEX(BookOneOff,885)*$S890)</f>
        <v/>
      </c>
    </row>
    <row r="891" customFormat="false" ht="15" hidden="false" customHeight="false" outlineLevel="0" collapsed="false">
      <c r="A891" s="0" t="str">
        <f aca="false">IF(INDEX(BookTitle,886)="","",INDEX(BookKey,886))</f>
        <v/>
      </c>
      <c r="B891" s="0" t="str">
        <f aca="false">IF(INDEX(BookTitle,886)="","",INDEX(BookGroup,886))</f>
        <v/>
      </c>
      <c r="C891" s="0" t="str">
        <f aca="false">IF(INDEX(BookTitle,886)="","",INDEX(BookCategory,886))</f>
        <v/>
      </c>
      <c r="D891" s="56" t="str">
        <f aca="false">IF(INDEX(BookTitle,886)="","",INDEX(BookTotal,886)*'5. Scenarios'!$B$6/(1+ProductivityDefault*('5. Scenarios'!$B$11-1)))</f>
        <v/>
      </c>
      <c r="E891" s="57" t="str">
        <f aca="false">IF($D891="","",INDEX(BookRate,886)*(1+'5. Scenarios'!$B$10)*$D891)</f>
        <v/>
      </c>
      <c r="F891" s="57" t="str">
        <f aca="false">IF($E891="","",SUMIFS($E$6:$E$2405,$A$6:$A$2405,"&lt;="&amp;$A891))</f>
        <v/>
      </c>
      <c r="G891" s="57" t="str">
        <f aca="false">IF($E891="","",IF($F891&lt;=BankCostEnvelope*'5. Scenarios'!$B$7,1,0))</f>
        <v/>
      </c>
      <c r="H891" s="57" t="str">
        <f aca="false">IF($D891="","",INDEX(BookRate,886)*(1+'5. Scenarios'!$B$10)*(INDEX(BookQ1,886)*(5-MIN(4,1+'5. Scenarios'!$B$8))/4+INDEX(BookQ2,886)*(5-MIN(4,2+'5. Scenarios'!$B$8))/4+INDEX(BookQ3,886)*(5-MIN(4,3+'5. Scenarios'!$B$8))/4+INDEX(BookQ4,886)*(5-MIN(4,4+'5. Scenarios'!$B$8))/4)*'5. Scenarios'!$B$6/(1+ProductivityDefault*('5. Scenarios'!$B$11-1))+INDEX(BookOneOff,886)*$D891)</f>
        <v/>
      </c>
      <c r="I891" s="56" t="str">
        <f aca="false">IF(INDEX(BookTitle,886)="","",INDEX(BookTotal,886)*'5. Scenarios'!$C$6/(1+ProductivityDefault*('5. Scenarios'!$C$11-1)))</f>
        <v/>
      </c>
      <c r="J891" s="57" t="str">
        <f aca="false">IF($I891="","",INDEX(BookRate,886)*(1+'5. Scenarios'!$C$10)*$I891)</f>
        <v/>
      </c>
      <c r="K891" s="57" t="str">
        <f aca="false">IF($J891="","",SUMIFS($J$6:$J$2405,$A$6:$A$2405,"&lt;="&amp;$A891))</f>
        <v/>
      </c>
      <c r="L891" s="57" t="str">
        <f aca="false">IF($J891="","",IF($K891&lt;=BankCostEnvelope*'5. Scenarios'!$C$7,1,0))</f>
        <v/>
      </c>
      <c r="M891" s="57" t="str">
        <f aca="false">IF($I891="","",INDEX(BookRate,886)*(1+'5. Scenarios'!$C$10)*(INDEX(BookQ1,886)*(5-MIN(4,1+'5. Scenarios'!$C$8))/4+INDEX(BookQ2,886)*(5-MIN(4,2+'5. Scenarios'!$C$8))/4+INDEX(BookQ3,886)*(5-MIN(4,3+'5. Scenarios'!$C$8))/4+INDEX(BookQ4,886)*(5-MIN(4,4+'5. Scenarios'!$C$8))/4)*'5. Scenarios'!$C$6/(1+ProductivityDefault*('5. Scenarios'!$C$11-1))+INDEX(BookOneOff,886)*$I891)</f>
        <v/>
      </c>
      <c r="N891" s="56" t="str">
        <f aca="false">IF(INDEX(BookTitle,886)="","",INDEX(BookTotal,886)*'5. Scenarios'!$D$6/(1+ProductivityDefault*('5. Scenarios'!$D$11-1)))</f>
        <v/>
      </c>
      <c r="O891" s="57" t="str">
        <f aca="false">IF($N891="","",INDEX(BookRate,886)*(1+'5. Scenarios'!$D$10)*$N891)</f>
        <v/>
      </c>
      <c r="P891" s="57" t="str">
        <f aca="false">IF($O891="","",SUMIFS($O$6:$O$2405,$A$6:$A$2405,"&lt;="&amp;$A891))</f>
        <v/>
      </c>
      <c r="Q891" s="57" t="str">
        <f aca="false">IF($O891="","",IF($P891&lt;=BankCostEnvelope*'5. Scenarios'!$D$7,1,0))</f>
        <v/>
      </c>
      <c r="R891" s="57" t="str">
        <f aca="false">IF($N891="","",INDEX(BookRate,886)*(1+'5. Scenarios'!$D$10)*(INDEX(BookQ1,886)*(5-MIN(4,1+'5. Scenarios'!$D$8))/4+INDEX(BookQ2,886)*(5-MIN(4,2+'5. Scenarios'!$D$8))/4+INDEX(BookQ3,886)*(5-MIN(4,3+'5. Scenarios'!$D$8))/4+INDEX(BookQ4,886)*(5-MIN(4,4+'5. Scenarios'!$D$8))/4)*'5. Scenarios'!$D$6/(1+ProductivityDefault*('5. Scenarios'!$D$11-1))+INDEX(BookOneOff,886)*$N891)</f>
        <v/>
      </c>
      <c r="S891" s="56" t="str">
        <f aca="false">IF(INDEX(BookTitle,886)="","",INDEX(BookTotal,886)*'5. Scenarios'!$E$6/(1+ProductivityDefault*('5. Scenarios'!$E$11-1)))</f>
        <v/>
      </c>
      <c r="T891" s="57" t="str">
        <f aca="false">IF($S891="","",INDEX(BookRate,886)*(1+'5. Scenarios'!$E$10)*$S891)</f>
        <v/>
      </c>
      <c r="U891" s="57" t="str">
        <f aca="false">IF($T891="","",SUMIFS($T$6:$T$2405,$A$6:$A$2405,"&lt;="&amp;$A891))</f>
        <v/>
      </c>
      <c r="V891" s="57" t="str">
        <f aca="false">IF($T891="","",IF($U891&lt;=BankCostEnvelope*'5. Scenarios'!$E$7,1,0))</f>
        <v/>
      </c>
      <c r="W891" s="57" t="str">
        <f aca="false">IF($S891="","",INDEX(BookRate,886)*(1+'5. Scenarios'!$E$10)*(INDEX(BookQ1,886)*(5-MIN(4,1+'5. Scenarios'!$E$8))/4+INDEX(BookQ2,886)*(5-MIN(4,2+'5. Scenarios'!$E$8))/4+INDEX(BookQ3,886)*(5-MIN(4,3+'5. Scenarios'!$E$8))/4+INDEX(BookQ4,886)*(5-MIN(4,4+'5. Scenarios'!$E$8))/4)*'5. Scenarios'!$E$6/(1+ProductivityDefault*('5. Scenarios'!$E$11-1))+INDEX(BookOneOff,886)*$S891)</f>
        <v/>
      </c>
    </row>
    <row r="892" customFormat="false" ht="15" hidden="false" customHeight="false" outlineLevel="0" collapsed="false">
      <c r="A892" s="0" t="str">
        <f aca="false">IF(INDEX(BookTitle,887)="","",INDEX(BookKey,887))</f>
        <v/>
      </c>
      <c r="B892" s="0" t="str">
        <f aca="false">IF(INDEX(BookTitle,887)="","",INDEX(BookGroup,887))</f>
        <v/>
      </c>
      <c r="C892" s="0" t="str">
        <f aca="false">IF(INDEX(BookTitle,887)="","",INDEX(BookCategory,887))</f>
        <v/>
      </c>
      <c r="D892" s="56" t="str">
        <f aca="false">IF(INDEX(BookTitle,887)="","",INDEX(BookTotal,887)*'5. Scenarios'!$B$6/(1+ProductivityDefault*('5. Scenarios'!$B$11-1)))</f>
        <v/>
      </c>
      <c r="E892" s="57" t="str">
        <f aca="false">IF($D892="","",INDEX(BookRate,887)*(1+'5. Scenarios'!$B$10)*$D892)</f>
        <v/>
      </c>
      <c r="F892" s="57" t="str">
        <f aca="false">IF($E892="","",SUMIFS($E$6:$E$2405,$A$6:$A$2405,"&lt;="&amp;$A892))</f>
        <v/>
      </c>
      <c r="G892" s="57" t="str">
        <f aca="false">IF($E892="","",IF($F892&lt;=BankCostEnvelope*'5. Scenarios'!$B$7,1,0))</f>
        <v/>
      </c>
      <c r="H892" s="57" t="str">
        <f aca="false">IF($D892="","",INDEX(BookRate,887)*(1+'5. Scenarios'!$B$10)*(INDEX(BookQ1,887)*(5-MIN(4,1+'5. Scenarios'!$B$8))/4+INDEX(BookQ2,887)*(5-MIN(4,2+'5. Scenarios'!$B$8))/4+INDEX(BookQ3,887)*(5-MIN(4,3+'5. Scenarios'!$B$8))/4+INDEX(BookQ4,887)*(5-MIN(4,4+'5. Scenarios'!$B$8))/4)*'5. Scenarios'!$B$6/(1+ProductivityDefault*('5. Scenarios'!$B$11-1))+INDEX(BookOneOff,887)*$D892)</f>
        <v/>
      </c>
      <c r="I892" s="56" t="str">
        <f aca="false">IF(INDEX(BookTitle,887)="","",INDEX(BookTotal,887)*'5. Scenarios'!$C$6/(1+ProductivityDefault*('5. Scenarios'!$C$11-1)))</f>
        <v/>
      </c>
      <c r="J892" s="57" t="str">
        <f aca="false">IF($I892="","",INDEX(BookRate,887)*(1+'5. Scenarios'!$C$10)*$I892)</f>
        <v/>
      </c>
      <c r="K892" s="57" t="str">
        <f aca="false">IF($J892="","",SUMIFS($J$6:$J$2405,$A$6:$A$2405,"&lt;="&amp;$A892))</f>
        <v/>
      </c>
      <c r="L892" s="57" t="str">
        <f aca="false">IF($J892="","",IF($K892&lt;=BankCostEnvelope*'5. Scenarios'!$C$7,1,0))</f>
        <v/>
      </c>
      <c r="M892" s="57" t="str">
        <f aca="false">IF($I892="","",INDEX(BookRate,887)*(1+'5. Scenarios'!$C$10)*(INDEX(BookQ1,887)*(5-MIN(4,1+'5. Scenarios'!$C$8))/4+INDEX(BookQ2,887)*(5-MIN(4,2+'5. Scenarios'!$C$8))/4+INDEX(BookQ3,887)*(5-MIN(4,3+'5. Scenarios'!$C$8))/4+INDEX(BookQ4,887)*(5-MIN(4,4+'5. Scenarios'!$C$8))/4)*'5. Scenarios'!$C$6/(1+ProductivityDefault*('5. Scenarios'!$C$11-1))+INDEX(BookOneOff,887)*$I892)</f>
        <v/>
      </c>
      <c r="N892" s="56" t="str">
        <f aca="false">IF(INDEX(BookTitle,887)="","",INDEX(BookTotal,887)*'5. Scenarios'!$D$6/(1+ProductivityDefault*('5. Scenarios'!$D$11-1)))</f>
        <v/>
      </c>
      <c r="O892" s="57" t="str">
        <f aca="false">IF($N892="","",INDEX(BookRate,887)*(1+'5. Scenarios'!$D$10)*$N892)</f>
        <v/>
      </c>
      <c r="P892" s="57" t="str">
        <f aca="false">IF($O892="","",SUMIFS($O$6:$O$2405,$A$6:$A$2405,"&lt;="&amp;$A892))</f>
        <v/>
      </c>
      <c r="Q892" s="57" t="str">
        <f aca="false">IF($O892="","",IF($P892&lt;=BankCostEnvelope*'5. Scenarios'!$D$7,1,0))</f>
        <v/>
      </c>
      <c r="R892" s="57" t="str">
        <f aca="false">IF($N892="","",INDEX(BookRate,887)*(1+'5. Scenarios'!$D$10)*(INDEX(BookQ1,887)*(5-MIN(4,1+'5. Scenarios'!$D$8))/4+INDEX(BookQ2,887)*(5-MIN(4,2+'5. Scenarios'!$D$8))/4+INDEX(BookQ3,887)*(5-MIN(4,3+'5. Scenarios'!$D$8))/4+INDEX(BookQ4,887)*(5-MIN(4,4+'5. Scenarios'!$D$8))/4)*'5. Scenarios'!$D$6/(1+ProductivityDefault*('5. Scenarios'!$D$11-1))+INDEX(BookOneOff,887)*$N892)</f>
        <v/>
      </c>
      <c r="S892" s="56" t="str">
        <f aca="false">IF(INDEX(BookTitle,887)="","",INDEX(BookTotal,887)*'5. Scenarios'!$E$6/(1+ProductivityDefault*('5. Scenarios'!$E$11-1)))</f>
        <v/>
      </c>
      <c r="T892" s="57" t="str">
        <f aca="false">IF($S892="","",INDEX(BookRate,887)*(1+'5. Scenarios'!$E$10)*$S892)</f>
        <v/>
      </c>
      <c r="U892" s="57" t="str">
        <f aca="false">IF($T892="","",SUMIFS($T$6:$T$2405,$A$6:$A$2405,"&lt;="&amp;$A892))</f>
        <v/>
      </c>
      <c r="V892" s="57" t="str">
        <f aca="false">IF($T892="","",IF($U892&lt;=BankCostEnvelope*'5. Scenarios'!$E$7,1,0))</f>
        <v/>
      </c>
      <c r="W892" s="57" t="str">
        <f aca="false">IF($S892="","",INDEX(BookRate,887)*(1+'5. Scenarios'!$E$10)*(INDEX(BookQ1,887)*(5-MIN(4,1+'5. Scenarios'!$E$8))/4+INDEX(BookQ2,887)*(5-MIN(4,2+'5. Scenarios'!$E$8))/4+INDEX(BookQ3,887)*(5-MIN(4,3+'5. Scenarios'!$E$8))/4+INDEX(BookQ4,887)*(5-MIN(4,4+'5. Scenarios'!$E$8))/4)*'5. Scenarios'!$E$6/(1+ProductivityDefault*('5. Scenarios'!$E$11-1))+INDEX(BookOneOff,887)*$S892)</f>
        <v/>
      </c>
    </row>
    <row r="893" customFormat="false" ht="15" hidden="false" customHeight="false" outlineLevel="0" collapsed="false">
      <c r="A893" s="0" t="str">
        <f aca="false">IF(INDEX(BookTitle,888)="","",INDEX(BookKey,888))</f>
        <v/>
      </c>
      <c r="B893" s="0" t="str">
        <f aca="false">IF(INDEX(BookTitle,888)="","",INDEX(BookGroup,888))</f>
        <v/>
      </c>
      <c r="C893" s="0" t="str">
        <f aca="false">IF(INDEX(BookTitle,888)="","",INDEX(BookCategory,888))</f>
        <v/>
      </c>
      <c r="D893" s="56" t="str">
        <f aca="false">IF(INDEX(BookTitle,888)="","",INDEX(BookTotal,888)*'5. Scenarios'!$B$6/(1+ProductivityDefault*('5. Scenarios'!$B$11-1)))</f>
        <v/>
      </c>
      <c r="E893" s="57" t="str">
        <f aca="false">IF($D893="","",INDEX(BookRate,888)*(1+'5. Scenarios'!$B$10)*$D893)</f>
        <v/>
      </c>
      <c r="F893" s="57" t="str">
        <f aca="false">IF($E893="","",SUMIFS($E$6:$E$2405,$A$6:$A$2405,"&lt;="&amp;$A893))</f>
        <v/>
      </c>
      <c r="G893" s="57" t="str">
        <f aca="false">IF($E893="","",IF($F893&lt;=BankCostEnvelope*'5. Scenarios'!$B$7,1,0))</f>
        <v/>
      </c>
      <c r="H893" s="57" t="str">
        <f aca="false">IF($D893="","",INDEX(BookRate,888)*(1+'5. Scenarios'!$B$10)*(INDEX(BookQ1,888)*(5-MIN(4,1+'5. Scenarios'!$B$8))/4+INDEX(BookQ2,888)*(5-MIN(4,2+'5. Scenarios'!$B$8))/4+INDEX(BookQ3,888)*(5-MIN(4,3+'5. Scenarios'!$B$8))/4+INDEX(BookQ4,888)*(5-MIN(4,4+'5. Scenarios'!$B$8))/4)*'5. Scenarios'!$B$6/(1+ProductivityDefault*('5. Scenarios'!$B$11-1))+INDEX(BookOneOff,888)*$D893)</f>
        <v/>
      </c>
      <c r="I893" s="56" t="str">
        <f aca="false">IF(INDEX(BookTitle,888)="","",INDEX(BookTotal,888)*'5. Scenarios'!$C$6/(1+ProductivityDefault*('5. Scenarios'!$C$11-1)))</f>
        <v/>
      </c>
      <c r="J893" s="57" t="str">
        <f aca="false">IF($I893="","",INDEX(BookRate,888)*(1+'5. Scenarios'!$C$10)*$I893)</f>
        <v/>
      </c>
      <c r="K893" s="57" t="str">
        <f aca="false">IF($J893="","",SUMIFS($J$6:$J$2405,$A$6:$A$2405,"&lt;="&amp;$A893))</f>
        <v/>
      </c>
      <c r="L893" s="57" t="str">
        <f aca="false">IF($J893="","",IF($K893&lt;=BankCostEnvelope*'5. Scenarios'!$C$7,1,0))</f>
        <v/>
      </c>
      <c r="M893" s="57" t="str">
        <f aca="false">IF($I893="","",INDEX(BookRate,888)*(1+'5. Scenarios'!$C$10)*(INDEX(BookQ1,888)*(5-MIN(4,1+'5. Scenarios'!$C$8))/4+INDEX(BookQ2,888)*(5-MIN(4,2+'5. Scenarios'!$C$8))/4+INDEX(BookQ3,888)*(5-MIN(4,3+'5. Scenarios'!$C$8))/4+INDEX(BookQ4,888)*(5-MIN(4,4+'5. Scenarios'!$C$8))/4)*'5. Scenarios'!$C$6/(1+ProductivityDefault*('5. Scenarios'!$C$11-1))+INDEX(BookOneOff,888)*$I893)</f>
        <v/>
      </c>
      <c r="N893" s="56" t="str">
        <f aca="false">IF(INDEX(BookTitle,888)="","",INDEX(BookTotal,888)*'5. Scenarios'!$D$6/(1+ProductivityDefault*('5. Scenarios'!$D$11-1)))</f>
        <v/>
      </c>
      <c r="O893" s="57" t="str">
        <f aca="false">IF($N893="","",INDEX(BookRate,888)*(1+'5. Scenarios'!$D$10)*$N893)</f>
        <v/>
      </c>
      <c r="P893" s="57" t="str">
        <f aca="false">IF($O893="","",SUMIFS($O$6:$O$2405,$A$6:$A$2405,"&lt;="&amp;$A893))</f>
        <v/>
      </c>
      <c r="Q893" s="57" t="str">
        <f aca="false">IF($O893="","",IF($P893&lt;=BankCostEnvelope*'5. Scenarios'!$D$7,1,0))</f>
        <v/>
      </c>
      <c r="R893" s="57" t="str">
        <f aca="false">IF($N893="","",INDEX(BookRate,888)*(1+'5. Scenarios'!$D$10)*(INDEX(BookQ1,888)*(5-MIN(4,1+'5. Scenarios'!$D$8))/4+INDEX(BookQ2,888)*(5-MIN(4,2+'5. Scenarios'!$D$8))/4+INDEX(BookQ3,888)*(5-MIN(4,3+'5. Scenarios'!$D$8))/4+INDEX(BookQ4,888)*(5-MIN(4,4+'5. Scenarios'!$D$8))/4)*'5. Scenarios'!$D$6/(1+ProductivityDefault*('5. Scenarios'!$D$11-1))+INDEX(BookOneOff,888)*$N893)</f>
        <v/>
      </c>
      <c r="S893" s="56" t="str">
        <f aca="false">IF(INDEX(BookTitle,888)="","",INDEX(BookTotal,888)*'5. Scenarios'!$E$6/(1+ProductivityDefault*('5. Scenarios'!$E$11-1)))</f>
        <v/>
      </c>
      <c r="T893" s="57" t="str">
        <f aca="false">IF($S893="","",INDEX(BookRate,888)*(1+'5. Scenarios'!$E$10)*$S893)</f>
        <v/>
      </c>
      <c r="U893" s="57" t="str">
        <f aca="false">IF($T893="","",SUMIFS($T$6:$T$2405,$A$6:$A$2405,"&lt;="&amp;$A893))</f>
        <v/>
      </c>
      <c r="V893" s="57" t="str">
        <f aca="false">IF($T893="","",IF($U893&lt;=BankCostEnvelope*'5. Scenarios'!$E$7,1,0))</f>
        <v/>
      </c>
      <c r="W893" s="57" t="str">
        <f aca="false">IF($S893="","",INDEX(BookRate,888)*(1+'5. Scenarios'!$E$10)*(INDEX(BookQ1,888)*(5-MIN(4,1+'5. Scenarios'!$E$8))/4+INDEX(BookQ2,888)*(5-MIN(4,2+'5. Scenarios'!$E$8))/4+INDEX(BookQ3,888)*(5-MIN(4,3+'5. Scenarios'!$E$8))/4+INDEX(BookQ4,888)*(5-MIN(4,4+'5. Scenarios'!$E$8))/4)*'5. Scenarios'!$E$6/(1+ProductivityDefault*('5. Scenarios'!$E$11-1))+INDEX(BookOneOff,888)*$S893)</f>
        <v/>
      </c>
    </row>
    <row r="894" customFormat="false" ht="15" hidden="false" customHeight="false" outlineLevel="0" collapsed="false">
      <c r="A894" s="0" t="str">
        <f aca="false">IF(INDEX(BookTitle,889)="","",INDEX(BookKey,889))</f>
        <v/>
      </c>
      <c r="B894" s="0" t="str">
        <f aca="false">IF(INDEX(BookTitle,889)="","",INDEX(BookGroup,889))</f>
        <v/>
      </c>
      <c r="C894" s="0" t="str">
        <f aca="false">IF(INDEX(BookTitle,889)="","",INDEX(BookCategory,889))</f>
        <v/>
      </c>
      <c r="D894" s="56" t="str">
        <f aca="false">IF(INDEX(BookTitle,889)="","",INDEX(BookTotal,889)*'5. Scenarios'!$B$6/(1+ProductivityDefault*('5. Scenarios'!$B$11-1)))</f>
        <v/>
      </c>
      <c r="E894" s="57" t="str">
        <f aca="false">IF($D894="","",INDEX(BookRate,889)*(1+'5. Scenarios'!$B$10)*$D894)</f>
        <v/>
      </c>
      <c r="F894" s="57" t="str">
        <f aca="false">IF($E894="","",SUMIFS($E$6:$E$2405,$A$6:$A$2405,"&lt;="&amp;$A894))</f>
        <v/>
      </c>
      <c r="G894" s="57" t="str">
        <f aca="false">IF($E894="","",IF($F894&lt;=BankCostEnvelope*'5. Scenarios'!$B$7,1,0))</f>
        <v/>
      </c>
      <c r="H894" s="57" t="str">
        <f aca="false">IF($D894="","",INDEX(BookRate,889)*(1+'5. Scenarios'!$B$10)*(INDEX(BookQ1,889)*(5-MIN(4,1+'5. Scenarios'!$B$8))/4+INDEX(BookQ2,889)*(5-MIN(4,2+'5. Scenarios'!$B$8))/4+INDEX(BookQ3,889)*(5-MIN(4,3+'5. Scenarios'!$B$8))/4+INDEX(BookQ4,889)*(5-MIN(4,4+'5. Scenarios'!$B$8))/4)*'5. Scenarios'!$B$6/(1+ProductivityDefault*('5. Scenarios'!$B$11-1))+INDEX(BookOneOff,889)*$D894)</f>
        <v/>
      </c>
      <c r="I894" s="56" t="str">
        <f aca="false">IF(INDEX(BookTitle,889)="","",INDEX(BookTotal,889)*'5. Scenarios'!$C$6/(1+ProductivityDefault*('5. Scenarios'!$C$11-1)))</f>
        <v/>
      </c>
      <c r="J894" s="57" t="str">
        <f aca="false">IF($I894="","",INDEX(BookRate,889)*(1+'5. Scenarios'!$C$10)*$I894)</f>
        <v/>
      </c>
      <c r="K894" s="57" t="str">
        <f aca="false">IF($J894="","",SUMIFS($J$6:$J$2405,$A$6:$A$2405,"&lt;="&amp;$A894))</f>
        <v/>
      </c>
      <c r="L894" s="57" t="str">
        <f aca="false">IF($J894="","",IF($K894&lt;=BankCostEnvelope*'5. Scenarios'!$C$7,1,0))</f>
        <v/>
      </c>
      <c r="M894" s="57" t="str">
        <f aca="false">IF($I894="","",INDEX(BookRate,889)*(1+'5. Scenarios'!$C$10)*(INDEX(BookQ1,889)*(5-MIN(4,1+'5. Scenarios'!$C$8))/4+INDEX(BookQ2,889)*(5-MIN(4,2+'5. Scenarios'!$C$8))/4+INDEX(BookQ3,889)*(5-MIN(4,3+'5. Scenarios'!$C$8))/4+INDEX(BookQ4,889)*(5-MIN(4,4+'5. Scenarios'!$C$8))/4)*'5. Scenarios'!$C$6/(1+ProductivityDefault*('5. Scenarios'!$C$11-1))+INDEX(BookOneOff,889)*$I894)</f>
        <v/>
      </c>
      <c r="N894" s="56" t="str">
        <f aca="false">IF(INDEX(BookTitle,889)="","",INDEX(BookTotal,889)*'5. Scenarios'!$D$6/(1+ProductivityDefault*('5. Scenarios'!$D$11-1)))</f>
        <v/>
      </c>
      <c r="O894" s="57" t="str">
        <f aca="false">IF($N894="","",INDEX(BookRate,889)*(1+'5. Scenarios'!$D$10)*$N894)</f>
        <v/>
      </c>
      <c r="P894" s="57" t="str">
        <f aca="false">IF($O894="","",SUMIFS($O$6:$O$2405,$A$6:$A$2405,"&lt;="&amp;$A894))</f>
        <v/>
      </c>
      <c r="Q894" s="57" t="str">
        <f aca="false">IF($O894="","",IF($P894&lt;=BankCostEnvelope*'5. Scenarios'!$D$7,1,0))</f>
        <v/>
      </c>
      <c r="R894" s="57" t="str">
        <f aca="false">IF($N894="","",INDEX(BookRate,889)*(1+'5. Scenarios'!$D$10)*(INDEX(BookQ1,889)*(5-MIN(4,1+'5. Scenarios'!$D$8))/4+INDEX(BookQ2,889)*(5-MIN(4,2+'5. Scenarios'!$D$8))/4+INDEX(BookQ3,889)*(5-MIN(4,3+'5. Scenarios'!$D$8))/4+INDEX(BookQ4,889)*(5-MIN(4,4+'5. Scenarios'!$D$8))/4)*'5. Scenarios'!$D$6/(1+ProductivityDefault*('5. Scenarios'!$D$11-1))+INDEX(BookOneOff,889)*$N894)</f>
        <v/>
      </c>
      <c r="S894" s="56" t="str">
        <f aca="false">IF(INDEX(BookTitle,889)="","",INDEX(BookTotal,889)*'5. Scenarios'!$E$6/(1+ProductivityDefault*('5. Scenarios'!$E$11-1)))</f>
        <v/>
      </c>
      <c r="T894" s="57" t="str">
        <f aca="false">IF($S894="","",INDEX(BookRate,889)*(1+'5. Scenarios'!$E$10)*$S894)</f>
        <v/>
      </c>
      <c r="U894" s="57" t="str">
        <f aca="false">IF($T894="","",SUMIFS($T$6:$T$2405,$A$6:$A$2405,"&lt;="&amp;$A894))</f>
        <v/>
      </c>
      <c r="V894" s="57" t="str">
        <f aca="false">IF($T894="","",IF($U894&lt;=BankCostEnvelope*'5. Scenarios'!$E$7,1,0))</f>
        <v/>
      </c>
      <c r="W894" s="57" t="str">
        <f aca="false">IF($S894="","",INDEX(BookRate,889)*(1+'5. Scenarios'!$E$10)*(INDEX(BookQ1,889)*(5-MIN(4,1+'5. Scenarios'!$E$8))/4+INDEX(BookQ2,889)*(5-MIN(4,2+'5. Scenarios'!$E$8))/4+INDEX(BookQ3,889)*(5-MIN(4,3+'5. Scenarios'!$E$8))/4+INDEX(BookQ4,889)*(5-MIN(4,4+'5. Scenarios'!$E$8))/4)*'5. Scenarios'!$E$6/(1+ProductivityDefault*('5. Scenarios'!$E$11-1))+INDEX(BookOneOff,889)*$S894)</f>
        <v/>
      </c>
    </row>
    <row r="895" customFormat="false" ht="15" hidden="false" customHeight="false" outlineLevel="0" collapsed="false">
      <c r="A895" s="0" t="str">
        <f aca="false">IF(INDEX(BookTitle,890)="","",INDEX(BookKey,890))</f>
        <v/>
      </c>
      <c r="B895" s="0" t="str">
        <f aca="false">IF(INDEX(BookTitle,890)="","",INDEX(BookGroup,890))</f>
        <v/>
      </c>
      <c r="C895" s="0" t="str">
        <f aca="false">IF(INDEX(BookTitle,890)="","",INDEX(BookCategory,890))</f>
        <v/>
      </c>
      <c r="D895" s="56" t="str">
        <f aca="false">IF(INDEX(BookTitle,890)="","",INDEX(BookTotal,890)*'5. Scenarios'!$B$6/(1+ProductivityDefault*('5. Scenarios'!$B$11-1)))</f>
        <v/>
      </c>
      <c r="E895" s="57" t="str">
        <f aca="false">IF($D895="","",INDEX(BookRate,890)*(1+'5. Scenarios'!$B$10)*$D895)</f>
        <v/>
      </c>
      <c r="F895" s="57" t="str">
        <f aca="false">IF($E895="","",SUMIFS($E$6:$E$2405,$A$6:$A$2405,"&lt;="&amp;$A895))</f>
        <v/>
      </c>
      <c r="G895" s="57" t="str">
        <f aca="false">IF($E895="","",IF($F895&lt;=BankCostEnvelope*'5. Scenarios'!$B$7,1,0))</f>
        <v/>
      </c>
      <c r="H895" s="57" t="str">
        <f aca="false">IF($D895="","",INDEX(BookRate,890)*(1+'5. Scenarios'!$B$10)*(INDEX(BookQ1,890)*(5-MIN(4,1+'5. Scenarios'!$B$8))/4+INDEX(BookQ2,890)*(5-MIN(4,2+'5. Scenarios'!$B$8))/4+INDEX(BookQ3,890)*(5-MIN(4,3+'5. Scenarios'!$B$8))/4+INDEX(BookQ4,890)*(5-MIN(4,4+'5. Scenarios'!$B$8))/4)*'5. Scenarios'!$B$6/(1+ProductivityDefault*('5. Scenarios'!$B$11-1))+INDEX(BookOneOff,890)*$D895)</f>
        <v/>
      </c>
      <c r="I895" s="56" t="str">
        <f aca="false">IF(INDEX(BookTitle,890)="","",INDEX(BookTotal,890)*'5. Scenarios'!$C$6/(1+ProductivityDefault*('5. Scenarios'!$C$11-1)))</f>
        <v/>
      </c>
      <c r="J895" s="57" t="str">
        <f aca="false">IF($I895="","",INDEX(BookRate,890)*(1+'5. Scenarios'!$C$10)*$I895)</f>
        <v/>
      </c>
      <c r="K895" s="57" t="str">
        <f aca="false">IF($J895="","",SUMIFS($J$6:$J$2405,$A$6:$A$2405,"&lt;="&amp;$A895))</f>
        <v/>
      </c>
      <c r="L895" s="57" t="str">
        <f aca="false">IF($J895="","",IF($K895&lt;=BankCostEnvelope*'5. Scenarios'!$C$7,1,0))</f>
        <v/>
      </c>
      <c r="M895" s="57" t="str">
        <f aca="false">IF($I895="","",INDEX(BookRate,890)*(1+'5. Scenarios'!$C$10)*(INDEX(BookQ1,890)*(5-MIN(4,1+'5. Scenarios'!$C$8))/4+INDEX(BookQ2,890)*(5-MIN(4,2+'5. Scenarios'!$C$8))/4+INDEX(BookQ3,890)*(5-MIN(4,3+'5. Scenarios'!$C$8))/4+INDEX(BookQ4,890)*(5-MIN(4,4+'5. Scenarios'!$C$8))/4)*'5. Scenarios'!$C$6/(1+ProductivityDefault*('5. Scenarios'!$C$11-1))+INDEX(BookOneOff,890)*$I895)</f>
        <v/>
      </c>
      <c r="N895" s="56" t="str">
        <f aca="false">IF(INDEX(BookTitle,890)="","",INDEX(BookTotal,890)*'5. Scenarios'!$D$6/(1+ProductivityDefault*('5. Scenarios'!$D$11-1)))</f>
        <v/>
      </c>
      <c r="O895" s="57" t="str">
        <f aca="false">IF($N895="","",INDEX(BookRate,890)*(1+'5. Scenarios'!$D$10)*$N895)</f>
        <v/>
      </c>
      <c r="P895" s="57" t="str">
        <f aca="false">IF($O895="","",SUMIFS($O$6:$O$2405,$A$6:$A$2405,"&lt;="&amp;$A895))</f>
        <v/>
      </c>
      <c r="Q895" s="57" t="str">
        <f aca="false">IF($O895="","",IF($P895&lt;=BankCostEnvelope*'5. Scenarios'!$D$7,1,0))</f>
        <v/>
      </c>
      <c r="R895" s="57" t="str">
        <f aca="false">IF($N895="","",INDEX(BookRate,890)*(1+'5. Scenarios'!$D$10)*(INDEX(BookQ1,890)*(5-MIN(4,1+'5. Scenarios'!$D$8))/4+INDEX(BookQ2,890)*(5-MIN(4,2+'5. Scenarios'!$D$8))/4+INDEX(BookQ3,890)*(5-MIN(4,3+'5. Scenarios'!$D$8))/4+INDEX(BookQ4,890)*(5-MIN(4,4+'5. Scenarios'!$D$8))/4)*'5. Scenarios'!$D$6/(1+ProductivityDefault*('5. Scenarios'!$D$11-1))+INDEX(BookOneOff,890)*$N895)</f>
        <v/>
      </c>
      <c r="S895" s="56" t="str">
        <f aca="false">IF(INDEX(BookTitle,890)="","",INDEX(BookTotal,890)*'5. Scenarios'!$E$6/(1+ProductivityDefault*('5. Scenarios'!$E$11-1)))</f>
        <v/>
      </c>
      <c r="T895" s="57" t="str">
        <f aca="false">IF($S895="","",INDEX(BookRate,890)*(1+'5. Scenarios'!$E$10)*$S895)</f>
        <v/>
      </c>
      <c r="U895" s="57" t="str">
        <f aca="false">IF($T895="","",SUMIFS($T$6:$T$2405,$A$6:$A$2405,"&lt;="&amp;$A895))</f>
        <v/>
      </c>
      <c r="V895" s="57" t="str">
        <f aca="false">IF($T895="","",IF($U895&lt;=BankCostEnvelope*'5. Scenarios'!$E$7,1,0))</f>
        <v/>
      </c>
      <c r="W895" s="57" t="str">
        <f aca="false">IF($S895="","",INDEX(BookRate,890)*(1+'5. Scenarios'!$E$10)*(INDEX(BookQ1,890)*(5-MIN(4,1+'5. Scenarios'!$E$8))/4+INDEX(BookQ2,890)*(5-MIN(4,2+'5. Scenarios'!$E$8))/4+INDEX(BookQ3,890)*(5-MIN(4,3+'5. Scenarios'!$E$8))/4+INDEX(BookQ4,890)*(5-MIN(4,4+'5. Scenarios'!$E$8))/4)*'5. Scenarios'!$E$6/(1+ProductivityDefault*('5. Scenarios'!$E$11-1))+INDEX(BookOneOff,890)*$S895)</f>
        <v/>
      </c>
    </row>
    <row r="896" customFormat="false" ht="15" hidden="false" customHeight="false" outlineLevel="0" collapsed="false">
      <c r="A896" s="0" t="str">
        <f aca="false">IF(INDEX(BookTitle,891)="","",INDEX(BookKey,891))</f>
        <v/>
      </c>
      <c r="B896" s="0" t="str">
        <f aca="false">IF(INDEX(BookTitle,891)="","",INDEX(BookGroup,891))</f>
        <v/>
      </c>
      <c r="C896" s="0" t="str">
        <f aca="false">IF(INDEX(BookTitle,891)="","",INDEX(BookCategory,891))</f>
        <v/>
      </c>
      <c r="D896" s="56" t="str">
        <f aca="false">IF(INDEX(BookTitle,891)="","",INDEX(BookTotal,891)*'5. Scenarios'!$B$6/(1+ProductivityDefault*('5. Scenarios'!$B$11-1)))</f>
        <v/>
      </c>
      <c r="E896" s="57" t="str">
        <f aca="false">IF($D896="","",INDEX(BookRate,891)*(1+'5. Scenarios'!$B$10)*$D896)</f>
        <v/>
      </c>
      <c r="F896" s="57" t="str">
        <f aca="false">IF($E896="","",SUMIFS($E$6:$E$2405,$A$6:$A$2405,"&lt;="&amp;$A896))</f>
        <v/>
      </c>
      <c r="G896" s="57" t="str">
        <f aca="false">IF($E896="","",IF($F896&lt;=BankCostEnvelope*'5. Scenarios'!$B$7,1,0))</f>
        <v/>
      </c>
      <c r="H896" s="57" t="str">
        <f aca="false">IF($D896="","",INDEX(BookRate,891)*(1+'5. Scenarios'!$B$10)*(INDEX(BookQ1,891)*(5-MIN(4,1+'5. Scenarios'!$B$8))/4+INDEX(BookQ2,891)*(5-MIN(4,2+'5. Scenarios'!$B$8))/4+INDEX(BookQ3,891)*(5-MIN(4,3+'5. Scenarios'!$B$8))/4+INDEX(BookQ4,891)*(5-MIN(4,4+'5. Scenarios'!$B$8))/4)*'5. Scenarios'!$B$6/(1+ProductivityDefault*('5. Scenarios'!$B$11-1))+INDEX(BookOneOff,891)*$D896)</f>
        <v/>
      </c>
      <c r="I896" s="56" t="str">
        <f aca="false">IF(INDEX(BookTitle,891)="","",INDEX(BookTotal,891)*'5. Scenarios'!$C$6/(1+ProductivityDefault*('5. Scenarios'!$C$11-1)))</f>
        <v/>
      </c>
      <c r="J896" s="57" t="str">
        <f aca="false">IF($I896="","",INDEX(BookRate,891)*(1+'5. Scenarios'!$C$10)*$I896)</f>
        <v/>
      </c>
      <c r="K896" s="57" t="str">
        <f aca="false">IF($J896="","",SUMIFS($J$6:$J$2405,$A$6:$A$2405,"&lt;="&amp;$A896))</f>
        <v/>
      </c>
      <c r="L896" s="57" t="str">
        <f aca="false">IF($J896="","",IF($K896&lt;=BankCostEnvelope*'5. Scenarios'!$C$7,1,0))</f>
        <v/>
      </c>
      <c r="M896" s="57" t="str">
        <f aca="false">IF($I896="","",INDEX(BookRate,891)*(1+'5. Scenarios'!$C$10)*(INDEX(BookQ1,891)*(5-MIN(4,1+'5. Scenarios'!$C$8))/4+INDEX(BookQ2,891)*(5-MIN(4,2+'5. Scenarios'!$C$8))/4+INDEX(BookQ3,891)*(5-MIN(4,3+'5. Scenarios'!$C$8))/4+INDEX(BookQ4,891)*(5-MIN(4,4+'5. Scenarios'!$C$8))/4)*'5. Scenarios'!$C$6/(1+ProductivityDefault*('5. Scenarios'!$C$11-1))+INDEX(BookOneOff,891)*$I896)</f>
        <v/>
      </c>
      <c r="N896" s="56" t="str">
        <f aca="false">IF(INDEX(BookTitle,891)="","",INDEX(BookTotal,891)*'5. Scenarios'!$D$6/(1+ProductivityDefault*('5. Scenarios'!$D$11-1)))</f>
        <v/>
      </c>
      <c r="O896" s="57" t="str">
        <f aca="false">IF($N896="","",INDEX(BookRate,891)*(1+'5. Scenarios'!$D$10)*$N896)</f>
        <v/>
      </c>
      <c r="P896" s="57" t="str">
        <f aca="false">IF($O896="","",SUMIFS($O$6:$O$2405,$A$6:$A$2405,"&lt;="&amp;$A896))</f>
        <v/>
      </c>
      <c r="Q896" s="57" t="str">
        <f aca="false">IF($O896="","",IF($P896&lt;=BankCostEnvelope*'5. Scenarios'!$D$7,1,0))</f>
        <v/>
      </c>
      <c r="R896" s="57" t="str">
        <f aca="false">IF($N896="","",INDEX(BookRate,891)*(1+'5. Scenarios'!$D$10)*(INDEX(BookQ1,891)*(5-MIN(4,1+'5. Scenarios'!$D$8))/4+INDEX(BookQ2,891)*(5-MIN(4,2+'5. Scenarios'!$D$8))/4+INDEX(BookQ3,891)*(5-MIN(4,3+'5. Scenarios'!$D$8))/4+INDEX(BookQ4,891)*(5-MIN(4,4+'5. Scenarios'!$D$8))/4)*'5. Scenarios'!$D$6/(1+ProductivityDefault*('5. Scenarios'!$D$11-1))+INDEX(BookOneOff,891)*$N896)</f>
        <v/>
      </c>
      <c r="S896" s="56" t="str">
        <f aca="false">IF(INDEX(BookTitle,891)="","",INDEX(BookTotal,891)*'5. Scenarios'!$E$6/(1+ProductivityDefault*('5. Scenarios'!$E$11-1)))</f>
        <v/>
      </c>
      <c r="T896" s="57" t="str">
        <f aca="false">IF($S896="","",INDEX(BookRate,891)*(1+'5. Scenarios'!$E$10)*$S896)</f>
        <v/>
      </c>
      <c r="U896" s="57" t="str">
        <f aca="false">IF($T896="","",SUMIFS($T$6:$T$2405,$A$6:$A$2405,"&lt;="&amp;$A896))</f>
        <v/>
      </c>
      <c r="V896" s="57" t="str">
        <f aca="false">IF($T896="","",IF($U896&lt;=BankCostEnvelope*'5. Scenarios'!$E$7,1,0))</f>
        <v/>
      </c>
      <c r="W896" s="57" t="str">
        <f aca="false">IF($S896="","",INDEX(BookRate,891)*(1+'5. Scenarios'!$E$10)*(INDEX(BookQ1,891)*(5-MIN(4,1+'5. Scenarios'!$E$8))/4+INDEX(BookQ2,891)*(5-MIN(4,2+'5. Scenarios'!$E$8))/4+INDEX(BookQ3,891)*(5-MIN(4,3+'5. Scenarios'!$E$8))/4+INDEX(BookQ4,891)*(5-MIN(4,4+'5. Scenarios'!$E$8))/4)*'5. Scenarios'!$E$6/(1+ProductivityDefault*('5. Scenarios'!$E$11-1))+INDEX(BookOneOff,891)*$S896)</f>
        <v/>
      </c>
    </row>
    <row r="897" customFormat="false" ht="15" hidden="false" customHeight="false" outlineLevel="0" collapsed="false">
      <c r="A897" s="0" t="str">
        <f aca="false">IF(INDEX(BookTitle,892)="","",INDEX(BookKey,892))</f>
        <v/>
      </c>
      <c r="B897" s="0" t="str">
        <f aca="false">IF(INDEX(BookTitle,892)="","",INDEX(BookGroup,892))</f>
        <v/>
      </c>
      <c r="C897" s="0" t="str">
        <f aca="false">IF(INDEX(BookTitle,892)="","",INDEX(BookCategory,892))</f>
        <v/>
      </c>
      <c r="D897" s="56" t="str">
        <f aca="false">IF(INDEX(BookTitle,892)="","",INDEX(BookTotal,892)*'5. Scenarios'!$B$6/(1+ProductivityDefault*('5. Scenarios'!$B$11-1)))</f>
        <v/>
      </c>
      <c r="E897" s="57" t="str">
        <f aca="false">IF($D897="","",INDEX(BookRate,892)*(1+'5. Scenarios'!$B$10)*$D897)</f>
        <v/>
      </c>
      <c r="F897" s="57" t="str">
        <f aca="false">IF($E897="","",SUMIFS($E$6:$E$2405,$A$6:$A$2405,"&lt;="&amp;$A897))</f>
        <v/>
      </c>
      <c r="G897" s="57" t="str">
        <f aca="false">IF($E897="","",IF($F897&lt;=BankCostEnvelope*'5. Scenarios'!$B$7,1,0))</f>
        <v/>
      </c>
      <c r="H897" s="57" t="str">
        <f aca="false">IF($D897="","",INDEX(BookRate,892)*(1+'5. Scenarios'!$B$10)*(INDEX(BookQ1,892)*(5-MIN(4,1+'5. Scenarios'!$B$8))/4+INDEX(BookQ2,892)*(5-MIN(4,2+'5. Scenarios'!$B$8))/4+INDEX(BookQ3,892)*(5-MIN(4,3+'5. Scenarios'!$B$8))/4+INDEX(BookQ4,892)*(5-MIN(4,4+'5. Scenarios'!$B$8))/4)*'5. Scenarios'!$B$6/(1+ProductivityDefault*('5. Scenarios'!$B$11-1))+INDEX(BookOneOff,892)*$D897)</f>
        <v/>
      </c>
      <c r="I897" s="56" t="str">
        <f aca="false">IF(INDEX(BookTitle,892)="","",INDEX(BookTotal,892)*'5. Scenarios'!$C$6/(1+ProductivityDefault*('5. Scenarios'!$C$11-1)))</f>
        <v/>
      </c>
      <c r="J897" s="57" t="str">
        <f aca="false">IF($I897="","",INDEX(BookRate,892)*(1+'5. Scenarios'!$C$10)*$I897)</f>
        <v/>
      </c>
      <c r="K897" s="57" t="str">
        <f aca="false">IF($J897="","",SUMIFS($J$6:$J$2405,$A$6:$A$2405,"&lt;="&amp;$A897))</f>
        <v/>
      </c>
      <c r="L897" s="57" t="str">
        <f aca="false">IF($J897="","",IF($K897&lt;=BankCostEnvelope*'5. Scenarios'!$C$7,1,0))</f>
        <v/>
      </c>
      <c r="M897" s="57" t="str">
        <f aca="false">IF($I897="","",INDEX(BookRate,892)*(1+'5. Scenarios'!$C$10)*(INDEX(BookQ1,892)*(5-MIN(4,1+'5. Scenarios'!$C$8))/4+INDEX(BookQ2,892)*(5-MIN(4,2+'5. Scenarios'!$C$8))/4+INDEX(BookQ3,892)*(5-MIN(4,3+'5. Scenarios'!$C$8))/4+INDEX(BookQ4,892)*(5-MIN(4,4+'5. Scenarios'!$C$8))/4)*'5. Scenarios'!$C$6/(1+ProductivityDefault*('5. Scenarios'!$C$11-1))+INDEX(BookOneOff,892)*$I897)</f>
        <v/>
      </c>
      <c r="N897" s="56" t="str">
        <f aca="false">IF(INDEX(BookTitle,892)="","",INDEX(BookTotal,892)*'5. Scenarios'!$D$6/(1+ProductivityDefault*('5. Scenarios'!$D$11-1)))</f>
        <v/>
      </c>
      <c r="O897" s="57" t="str">
        <f aca="false">IF($N897="","",INDEX(BookRate,892)*(1+'5. Scenarios'!$D$10)*$N897)</f>
        <v/>
      </c>
      <c r="P897" s="57" t="str">
        <f aca="false">IF($O897="","",SUMIFS($O$6:$O$2405,$A$6:$A$2405,"&lt;="&amp;$A897))</f>
        <v/>
      </c>
      <c r="Q897" s="57" t="str">
        <f aca="false">IF($O897="","",IF($P897&lt;=BankCostEnvelope*'5. Scenarios'!$D$7,1,0))</f>
        <v/>
      </c>
      <c r="R897" s="57" t="str">
        <f aca="false">IF($N897="","",INDEX(BookRate,892)*(1+'5. Scenarios'!$D$10)*(INDEX(BookQ1,892)*(5-MIN(4,1+'5. Scenarios'!$D$8))/4+INDEX(BookQ2,892)*(5-MIN(4,2+'5. Scenarios'!$D$8))/4+INDEX(BookQ3,892)*(5-MIN(4,3+'5. Scenarios'!$D$8))/4+INDEX(BookQ4,892)*(5-MIN(4,4+'5. Scenarios'!$D$8))/4)*'5. Scenarios'!$D$6/(1+ProductivityDefault*('5. Scenarios'!$D$11-1))+INDEX(BookOneOff,892)*$N897)</f>
        <v/>
      </c>
      <c r="S897" s="56" t="str">
        <f aca="false">IF(INDEX(BookTitle,892)="","",INDEX(BookTotal,892)*'5. Scenarios'!$E$6/(1+ProductivityDefault*('5. Scenarios'!$E$11-1)))</f>
        <v/>
      </c>
      <c r="T897" s="57" t="str">
        <f aca="false">IF($S897="","",INDEX(BookRate,892)*(1+'5. Scenarios'!$E$10)*$S897)</f>
        <v/>
      </c>
      <c r="U897" s="57" t="str">
        <f aca="false">IF($T897="","",SUMIFS($T$6:$T$2405,$A$6:$A$2405,"&lt;="&amp;$A897))</f>
        <v/>
      </c>
      <c r="V897" s="57" t="str">
        <f aca="false">IF($T897="","",IF($U897&lt;=BankCostEnvelope*'5. Scenarios'!$E$7,1,0))</f>
        <v/>
      </c>
      <c r="W897" s="57" t="str">
        <f aca="false">IF($S897="","",INDEX(BookRate,892)*(1+'5. Scenarios'!$E$10)*(INDEX(BookQ1,892)*(5-MIN(4,1+'5. Scenarios'!$E$8))/4+INDEX(BookQ2,892)*(5-MIN(4,2+'5. Scenarios'!$E$8))/4+INDEX(BookQ3,892)*(5-MIN(4,3+'5. Scenarios'!$E$8))/4+INDEX(BookQ4,892)*(5-MIN(4,4+'5. Scenarios'!$E$8))/4)*'5. Scenarios'!$E$6/(1+ProductivityDefault*('5. Scenarios'!$E$11-1))+INDEX(BookOneOff,892)*$S897)</f>
        <v/>
      </c>
    </row>
    <row r="898" customFormat="false" ht="15" hidden="false" customHeight="false" outlineLevel="0" collapsed="false">
      <c r="A898" s="0" t="str">
        <f aca="false">IF(INDEX(BookTitle,893)="","",INDEX(BookKey,893))</f>
        <v/>
      </c>
      <c r="B898" s="0" t="str">
        <f aca="false">IF(INDEX(BookTitle,893)="","",INDEX(BookGroup,893))</f>
        <v/>
      </c>
      <c r="C898" s="0" t="str">
        <f aca="false">IF(INDEX(BookTitle,893)="","",INDEX(BookCategory,893))</f>
        <v/>
      </c>
      <c r="D898" s="56" t="str">
        <f aca="false">IF(INDEX(BookTitle,893)="","",INDEX(BookTotal,893)*'5. Scenarios'!$B$6/(1+ProductivityDefault*('5. Scenarios'!$B$11-1)))</f>
        <v/>
      </c>
      <c r="E898" s="57" t="str">
        <f aca="false">IF($D898="","",INDEX(BookRate,893)*(1+'5. Scenarios'!$B$10)*$D898)</f>
        <v/>
      </c>
      <c r="F898" s="57" t="str">
        <f aca="false">IF($E898="","",SUMIFS($E$6:$E$2405,$A$6:$A$2405,"&lt;="&amp;$A898))</f>
        <v/>
      </c>
      <c r="G898" s="57" t="str">
        <f aca="false">IF($E898="","",IF($F898&lt;=BankCostEnvelope*'5. Scenarios'!$B$7,1,0))</f>
        <v/>
      </c>
      <c r="H898" s="57" t="str">
        <f aca="false">IF($D898="","",INDEX(BookRate,893)*(1+'5. Scenarios'!$B$10)*(INDEX(BookQ1,893)*(5-MIN(4,1+'5. Scenarios'!$B$8))/4+INDEX(BookQ2,893)*(5-MIN(4,2+'5. Scenarios'!$B$8))/4+INDEX(BookQ3,893)*(5-MIN(4,3+'5. Scenarios'!$B$8))/4+INDEX(BookQ4,893)*(5-MIN(4,4+'5. Scenarios'!$B$8))/4)*'5. Scenarios'!$B$6/(1+ProductivityDefault*('5. Scenarios'!$B$11-1))+INDEX(BookOneOff,893)*$D898)</f>
        <v/>
      </c>
      <c r="I898" s="56" t="str">
        <f aca="false">IF(INDEX(BookTitle,893)="","",INDEX(BookTotal,893)*'5. Scenarios'!$C$6/(1+ProductivityDefault*('5. Scenarios'!$C$11-1)))</f>
        <v/>
      </c>
      <c r="J898" s="57" t="str">
        <f aca="false">IF($I898="","",INDEX(BookRate,893)*(1+'5. Scenarios'!$C$10)*$I898)</f>
        <v/>
      </c>
      <c r="K898" s="57" t="str">
        <f aca="false">IF($J898="","",SUMIFS($J$6:$J$2405,$A$6:$A$2405,"&lt;="&amp;$A898))</f>
        <v/>
      </c>
      <c r="L898" s="57" t="str">
        <f aca="false">IF($J898="","",IF($K898&lt;=BankCostEnvelope*'5. Scenarios'!$C$7,1,0))</f>
        <v/>
      </c>
      <c r="M898" s="57" t="str">
        <f aca="false">IF($I898="","",INDEX(BookRate,893)*(1+'5. Scenarios'!$C$10)*(INDEX(BookQ1,893)*(5-MIN(4,1+'5. Scenarios'!$C$8))/4+INDEX(BookQ2,893)*(5-MIN(4,2+'5. Scenarios'!$C$8))/4+INDEX(BookQ3,893)*(5-MIN(4,3+'5. Scenarios'!$C$8))/4+INDEX(BookQ4,893)*(5-MIN(4,4+'5. Scenarios'!$C$8))/4)*'5. Scenarios'!$C$6/(1+ProductivityDefault*('5. Scenarios'!$C$11-1))+INDEX(BookOneOff,893)*$I898)</f>
        <v/>
      </c>
      <c r="N898" s="56" t="str">
        <f aca="false">IF(INDEX(BookTitle,893)="","",INDEX(BookTotal,893)*'5. Scenarios'!$D$6/(1+ProductivityDefault*('5. Scenarios'!$D$11-1)))</f>
        <v/>
      </c>
      <c r="O898" s="57" t="str">
        <f aca="false">IF($N898="","",INDEX(BookRate,893)*(1+'5. Scenarios'!$D$10)*$N898)</f>
        <v/>
      </c>
      <c r="P898" s="57" t="str">
        <f aca="false">IF($O898="","",SUMIFS($O$6:$O$2405,$A$6:$A$2405,"&lt;="&amp;$A898))</f>
        <v/>
      </c>
      <c r="Q898" s="57" t="str">
        <f aca="false">IF($O898="","",IF($P898&lt;=BankCostEnvelope*'5. Scenarios'!$D$7,1,0))</f>
        <v/>
      </c>
      <c r="R898" s="57" t="str">
        <f aca="false">IF($N898="","",INDEX(BookRate,893)*(1+'5. Scenarios'!$D$10)*(INDEX(BookQ1,893)*(5-MIN(4,1+'5. Scenarios'!$D$8))/4+INDEX(BookQ2,893)*(5-MIN(4,2+'5. Scenarios'!$D$8))/4+INDEX(BookQ3,893)*(5-MIN(4,3+'5. Scenarios'!$D$8))/4+INDEX(BookQ4,893)*(5-MIN(4,4+'5. Scenarios'!$D$8))/4)*'5. Scenarios'!$D$6/(1+ProductivityDefault*('5. Scenarios'!$D$11-1))+INDEX(BookOneOff,893)*$N898)</f>
        <v/>
      </c>
      <c r="S898" s="56" t="str">
        <f aca="false">IF(INDEX(BookTitle,893)="","",INDEX(BookTotal,893)*'5. Scenarios'!$E$6/(1+ProductivityDefault*('5. Scenarios'!$E$11-1)))</f>
        <v/>
      </c>
      <c r="T898" s="57" t="str">
        <f aca="false">IF($S898="","",INDEX(BookRate,893)*(1+'5. Scenarios'!$E$10)*$S898)</f>
        <v/>
      </c>
      <c r="U898" s="57" t="str">
        <f aca="false">IF($T898="","",SUMIFS($T$6:$T$2405,$A$6:$A$2405,"&lt;="&amp;$A898))</f>
        <v/>
      </c>
      <c r="V898" s="57" t="str">
        <f aca="false">IF($T898="","",IF($U898&lt;=BankCostEnvelope*'5. Scenarios'!$E$7,1,0))</f>
        <v/>
      </c>
      <c r="W898" s="57" t="str">
        <f aca="false">IF($S898="","",INDEX(BookRate,893)*(1+'5. Scenarios'!$E$10)*(INDEX(BookQ1,893)*(5-MIN(4,1+'5. Scenarios'!$E$8))/4+INDEX(BookQ2,893)*(5-MIN(4,2+'5. Scenarios'!$E$8))/4+INDEX(BookQ3,893)*(5-MIN(4,3+'5. Scenarios'!$E$8))/4+INDEX(BookQ4,893)*(5-MIN(4,4+'5. Scenarios'!$E$8))/4)*'5. Scenarios'!$E$6/(1+ProductivityDefault*('5. Scenarios'!$E$11-1))+INDEX(BookOneOff,893)*$S898)</f>
        <v/>
      </c>
    </row>
    <row r="899" customFormat="false" ht="15" hidden="false" customHeight="false" outlineLevel="0" collapsed="false">
      <c r="A899" s="0" t="str">
        <f aca="false">IF(INDEX(BookTitle,894)="","",INDEX(BookKey,894))</f>
        <v/>
      </c>
      <c r="B899" s="0" t="str">
        <f aca="false">IF(INDEX(BookTitle,894)="","",INDEX(BookGroup,894))</f>
        <v/>
      </c>
      <c r="C899" s="0" t="str">
        <f aca="false">IF(INDEX(BookTitle,894)="","",INDEX(BookCategory,894))</f>
        <v/>
      </c>
      <c r="D899" s="56" t="str">
        <f aca="false">IF(INDEX(BookTitle,894)="","",INDEX(BookTotal,894)*'5. Scenarios'!$B$6/(1+ProductivityDefault*('5. Scenarios'!$B$11-1)))</f>
        <v/>
      </c>
      <c r="E899" s="57" t="str">
        <f aca="false">IF($D899="","",INDEX(BookRate,894)*(1+'5. Scenarios'!$B$10)*$D899)</f>
        <v/>
      </c>
      <c r="F899" s="57" t="str">
        <f aca="false">IF($E899="","",SUMIFS($E$6:$E$2405,$A$6:$A$2405,"&lt;="&amp;$A899))</f>
        <v/>
      </c>
      <c r="G899" s="57" t="str">
        <f aca="false">IF($E899="","",IF($F899&lt;=BankCostEnvelope*'5. Scenarios'!$B$7,1,0))</f>
        <v/>
      </c>
      <c r="H899" s="57" t="str">
        <f aca="false">IF($D899="","",INDEX(BookRate,894)*(1+'5. Scenarios'!$B$10)*(INDEX(BookQ1,894)*(5-MIN(4,1+'5. Scenarios'!$B$8))/4+INDEX(BookQ2,894)*(5-MIN(4,2+'5. Scenarios'!$B$8))/4+INDEX(BookQ3,894)*(5-MIN(4,3+'5. Scenarios'!$B$8))/4+INDEX(BookQ4,894)*(5-MIN(4,4+'5. Scenarios'!$B$8))/4)*'5. Scenarios'!$B$6/(1+ProductivityDefault*('5. Scenarios'!$B$11-1))+INDEX(BookOneOff,894)*$D899)</f>
        <v/>
      </c>
      <c r="I899" s="56" t="str">
        <f aca="false">IF(INDEX(BookTitle,894)="","",INDEX(BookTotal,894)*'5. Scenarios'!$C$6/(1+ProductivityDefault*('5. Scenarios'!$C$11-1)))</f>
        <v/>
      </c>
      <c r="J899" s="57" t="str">
        <f aca="false">IF($I899="","",INDEX(BookRate,894)*(1+'5. Scenarios'!$C$10)*$I899)</f>
        <v/>
      </c>
      <c r="K899" s="57" t="str">
        <f aca="false">IF($J899="","",SUMIFS($J$6:$J$2405,$A$6:$A$2405,"&lt;="&amp;$A899))</f>
        <v/>
      </c>
      <c r="L899" s="57" t="str">
        <f aca="false">IF($J899="","",IF($K899&lt;=BankCostEnvelope*'5. Scenarios'!$C$7,1,0))</f>
        <v/>
      </c>
      <c r="M899" s="57" t="str">
        <f aca="false">IF($I899="","",INDEX(BookRate,894)*(1+'5. Scenarios'!$C$10)*(INDEX(BookQ1,894)*(5-MIN(4,1+'5. Scenarios'!$C$8))/4+INDEX(BookQ2,894)*(5-MIN(4,2+'5. Scenarios'!$C$8))/4+INDEX(BookQ3,894)*(5-MIN(4,3+'5. Scenarios'!$C$8))/4+INDEX(BookQ4,894)*(5-MIN(4,4+'5. Scenarios'!$C$8))/4)*'5. Scenarios'!$C$6/(1+ProductivityDefault*('5. Scenarios'!$C$11-1))+INDEX(BookOneOff,894)*$I899)</f>
        <v/>
      </c>
      <c r="N899" s="56" t="str">
        <f aca="false">IF(INDEX(BookTitle,894)="","",INDEX(BookTotal,894)*'5. Scenarios'!$D$6/(1+ProductivityDefault*('5. Scenarios'!$D$11-1)))</f>
        <v/>
      </c>
      <c r="O899" s="57" t="str">
        <f aca="false">IF($N899="","",INDEX(BookRate,894)*(1+'5. Scenarios'!$D$10)*$N899)</f>
        <v/>
      </c>
      <c r="P899" s="57" t="str">
        <f aca="false">IF($O899="","",SUMIFS($O$6:$O$2405,$A$6:$A$2405,"&lt;="&amp;$A899))</f>
        <v/>
      </c>
      <c r="Q899" s="57" t="str">
        <f aca="false">IF($O899="","",IF($P899&lt;=BankCostEnvelope*'5. Scenarios'!$D$7,1,0))</f>
        <v/>
      </c>
      <c r="R899" s="57" t="str">
        <f aca="false">IF($N899="","",INDEX(BookRate,894)*(1+'5. Scenarios'!$D$10)*(INDEX(BookQ1,894)*(5-MIN(4,1+'5. Scenarios'!$D$8))/4+INDEX(BookQ2,894)*(5-MIN(4,2+'5. Scenarios'!$D$8))/4+INDEX(BookQ3,894)*(5-MIN(4,3+'5. Scenarios'!$D$8))/4+INDEX(BookQ4,894)*(5-MIN(4,4+'5. Scenarios'!$D$8))/4)*'5. Scenarios'!$D$6/(1+ProductivityDefault*('5. Scenarios'!$D$11-1))+INDEX(BookOneOff,894)*$N899)</f>
        <v/>
      </c>
      <c r="S899" s="56" t="str">
        <f aca="false">IF(INDEX(BookTitle,894)="","",INDEX(BookTotal,894)*'5. Scenarios'!$E$6/(1+ProductivityDefault*('5. Scenarios'!$E$11-1)))</f>
        <v/>
      </c>
      <c r="T899" s="57" t="str">
        <f aca="false">IF($S899="","",INDEX(BookRate,894)*(1+'5. Scenarios'!$E$10)*$S899)</f>
        <v/>
      </c>
      <c r="U899" s="57" t="str">
        <f aca="false">IF($T899="","",SUMIFS($T$6:$T$2405,$A$6:$A$2405,"&lt;="&amp;$A899))</f>
        <v/>
      </c>
      <c r="V899" s="57" t="str">
        <f aca="false">IF($T899="","",IF($U899&lt;=BankCostEnvelope*'5. Scenarios'!$E$7,1,0))</f>
        <v/>
      </c>
      <c r="W899" s="57" t="str">
        <f aca="false">IF($S899="","",INDEX(BookRate,894)*(1+'5. Scenarios'!$E$10)*(INDEX(BookQ1,894)*(5-MIN(4,1+'5. Scenarios'!$E$8))/4+INDEX(BookQ2,894)*(5-MIN(4,2+'5. Scenarios'!$E$8))/4+INDEX(BookQ3,894)*(5-MIN(4,3+'5. Scenarios'!$E$8))/4+INDEX(BookQ4,894)*(5-MIN(4,4+'5. Scenarios'!$E$8))/4)*'5. Scenarios'!$E$6/(1+ProductivityDefault*('5. Scenarios'!$E$11-1))+INDEX(BookOneOff,894)*$S899)</f>
        <v/>
      </c>
    </row>
    <row r="900" customFormat="false" ht="15" hidden="false" customHeight="false" outlineLevel="0" collapsed="false">
      <c r="A900" s="0" t="str">
        <f aca="false">IF(INDEX(BookTitle,895)="","",INDEX(BookKey,895))</f>
        <v/>
      </c>
      <c r="B900" s="0" t="str">
        <f aca="false">IF(INDEX(BookTitle,895)="","",INDEX(BookGroup,895))</f>
        <v/>
      </c>
      <c r="C900" s="0" t="str">
        <f aca="false">IF(INDEX(BookTitle,895)="","",INDEX(BookCategory,895))</f>
        <v/>
      </c>
      <c r="D900" s="56" t="str">
        <f aca="false">IF(INDEX(BookTitle,895)="","",INDEX(BookTotal,895)*'5. Scenarios'!$B$6/(1+ProductivityDefault*('5. Scenarios'!$B$11-1)))</f>
        <v/>
      </c>
      <c r="E900" s="57" t="str">
        <f aca="false">IF($D900="","",INDEX(BookRate,895)*(1+'5. Scenarios'!$B$10)*$D900)</f>
        <v/>
      </c>
      <c r="F900" s="57" t="str">
        <f aca="false">IF($E900="","",SUMIFS($E$6:$E$2405,$A$6:$A$2405,"&lt;="&amp;$A900))</f>
        <v/>
      </c>
      <c r="G900" s="57" t="str">
        <f aca="false">IF($E900="","",IF($F900&lt;=BankCostEnvelope*'5. Scenarios'!$B$7,1,0))</f>
        <v/>
      </c>
      <c r="H900" s="57" t="str">
        <f aca="false">IF($D900="","",INDEX(BookRate,895)*(1+'5. Scenarios'!$B$10)*(INDEX(BookQ1,895)*(5-MIN(4,1+'5. Scenarios'!$B$8))/4+INDEX(BookQ2,895)*(5-MIN(4,2+'5. Scenarios'!$B$8))/4+INDEX(BookQ3,895)*(5-MIN(4,3+'5. Scenarios'!$B$8))/4+INDEX(BookQ4,895)*(5-MIN(4,4+'5. Scenarios'!$B$8))/4)*'5. Scenarios'!$B$6/(1+ProductivityDefault*('5. Scenarios'!$B$11-1))+INDEX(BookOneOff,895)*$D900)</f>
        <v/>
      </c>
      <c r="I900" s="56" t="str">
        <f aca="false">IF(INDEX(BookTitle,895)="","",INDEX(BookTotal,895)*'5. Scenarios'!$C$6/(1+ProductivityDefault*('5. Scenarios'!$C$11-1)))</f>
        <v/>
      </c>
      <c r="J900" s="57" t="str">
        <f aca="false">IF($I900="","",INDEX(BookRate,895)*(1+'5. Scenarios'!$C$10)*$I900)</f>
        <v/>
      </c>
      <c r="K900" s="57" t="str">
        <f aca="false">IF($J900="","",SUMIFS($J$6:$J$2405,$A$6:$A$2405,"&lt;="&amp;$A900))</f>
        <v/>
      </c>
      <c r="L900" s="57" t="str">
        <f aca="false">IF($J900="","",IF($K900&lt;=BankCostEnvelope*'5. Scenarios'!$C$7,1,0))</f>
        <v/>
      </c>
      <c r="M900" s="57" t="str">
        <f aca="false">IF($I900="","",INDEX(BookRate,895)*(1+'5. Scenarios'!$C$10)*(INDEX(BookQ1,895)*(5-MIN(4,1+'5. Scenarios'!$C$8))/4+INDEX(BookQ2,895)*(5-MIN(4,2+'5. Scenarios'!$C$8))/4+INDEX(BookQ3,895)*(5-MIN(4,3+'5. Scenarios'!$C$8))/4+INDEX(BookQ4,895)*(5-MIN(4,4+'5. Scenarios'!$C$8))/4)*'5. Scenarios'!$C$6/(1+ProductivityDefault*('5. Scenarios'!$C$11-1))+INDEX(BookOneOff,895)*$I900)</f>
        <v/>
      </c>
      <c r="N900" s="56" t="str">
        <f aca="false">IF(INDEX(BookTitle,895)="","",INDEX(BookTotal,895)*'5. Scenarios'!$D$6/(1+ProductivityDefault*('5. Scenarios'!$D$11-1)))</f>
        <v/>
      </c>
      <c r="O900" s="57" t="str">
        <f aca="false">IF($N900="","",INDEX(BookRate,895)*(1+'5. Scenarios'!$D$10)*$N900)</f>
        <v/>
      </c>
      <c r="P900" s="57" t="str">
        <f aca="false">IF($O900="","",SUMIFS($O$6:$O$2405,$A$6:$A$2405,"&lt;="&amp;$A900))</f>
        <v/>
      </c>
      <c r="Q900" s="57" t="str">
        <f aca="false">IF($O900="","",IF($P900&lt;=BankCostEnvelope*'5. Scenarios'!$D$7,1,0))</f>
        <v/>
      </c>
      <c r="R900" s="57" t="str">
        <f aca="false">IF($N900="","",INDEX(BookRate,895)*(1+'5. Scenarios'!$D$10)*(INDEX(BookQ1,895)*(5-MIN(4,1+'5. Scenarios'!$D$8))/4+INDEX(BookQ2,895)*(5-MIN(4,2+'5. Scenarios'!$D$8))/4+INDEX(BookQ3,895)*(5-MIN(4,3+'5. Scenarios'!$D$8))/4+INDEX(BookQ4,895)*(5-MIN(4,4+'5. Scenarios'!$D$8))/4)*'5. Scenarios'!$D$6/(1+ProductivityDefault*('5. Scenarios'!$D$11-1))+INDEX(BookOneOff,895)*$N900)</f>
        <v/>
      </c>
      <c r="S900" s="56" t="str">
        <f aca="false">IF(INDEX(BookTitle,895)="","",INDEX(BookTotal,895)*'5. Scenarios'!$E$6/(1+ProductivityDefault*('5. Scenarios'!$E$11-1)))</f>
        <v/>
      </c>
      <c r="T900" s="57" t="str">
        <f aca="false">IF($S900="","",INDEX(BookRate,895)*(1+'5. Scenarios'!$E$10)*$S900)</f>
        <v/>
      </c>
      <c r="U900" s="57" t="str">
        <f aca="false">IF($T900="","",SUMIFS($T$6:$T$2405,$A$6:$A$2405,"&lt;="&amp;$A900))</f>
        <v/>
      </c>
      <c r="V900" s="57" t="str">
        <f aca="false">IF($T900="","",IF($U900&lt;=BankCostEnvelope*'5. Scenarios'!$E$7,1,0))</f>
        <v/>
      </c>
      <c r="W900" s="57" t="str">
        <f aca="false">IF($S900="","",INDEX(BookRate,895)*(1+'5. Scenarios'!$E$10)*(INDEX(BookQ1,895)*(5-MIN(4,1+'5. Scenarios'!$E$8))/4+INDEX(BookQ2,895)*(5-MIN(4,2+'5. Scenarios'!$E$8))/4+INDEX(BookQ3,895)*(5-MIN(4,3+'5. Scenarios'!$E$8))/4+INDEX(BookQ4,895)*(5-MIN(4,4+'5. Scenarios'!$E$8))/4)*'5. Scenarios'!$E$6/(1+ProductivityDefault*('5. Scenarios'!$E$11-1))+INDEX(BookOneOff,895)*$S900)</f>
        <v/>
      </c>
    </row>
    <row r="901" customFormat="false" ht="15" hidden="false" customHeight="false" outlineLevel="0" collapsed="false">
      <c r="A901" s="0" t="str">
        <f aca="false">IF(INDEX(BookTitle,896)="","",INDEX(BookKey,896))</f>
        <v/>
      </c>
      <c r="B901" s="0" t="str">
        <f aca="false">IF(INDEX(BookTitle,896)="","",INDEX(BookGroup,896))</f>
        <v/>
      </c>
      <c r="C901" s="0" t="str">
        <f aca="false">IF(INDEX(BookTitle,896)="","",INDEX(BookCategory,896))</f>
        <v/>
      </c>
      <c r="D901" s="56" t="str">
        <f aca="false">IF(INDEX(BookTitle,896)="","",INDEX(BookTotal,896)*'5. Scenarios'!$B$6/(1+ProductivityDefault*('5. Scenarios'!$B$11-1)))</f>
        <v/>
      </c>
      <c r="E901" s="57" t="str">
        <f aca="false">IF($D901="","",INDEX(BookRate,896)*(1+'5. Scenarios'!$B$10)*$D901)</f>
        <v/>
      </c>
      <c r="F901" s="57" t="str">
        <f aca="false">IF($E901="","",SUMIFS($E$6:$E$2405,$A$6:$A$2405,"&lt;="&amp;$A901))</f>
        <v/>
      </c>
      <c r="G901" s="57" t="str">
        <f aca="false">IF($E901="","",IF($F901&lt;=BankCostEnvelope*'5. Scenarios'!$B$7,1,0))</f>
        <v/>
      </c>
      <c r="H901" s="57" t="str">
        <f aca="false">IF($D901="","",INDEX(BookRate,896)*(1+'5. Scenarios'!$B$10)*(INDEX(BookQ1,896)*(5-MIN(4,1+'5. Scenarios'!$B$8))/4+INDEX(BookQ2,896)*(5-MIN(4,2+'5. Scenarios'!$B$8))/4+INDEX(BookQ3,896)*(5-MIN(4,3+'5. Scenarios'!$B$8))/4+INDEX(BookQ4,896)*(5-MIN(4,4+'5. Scenarios'!$B$8))/4)*'5. Scenarios'!$B$6/(1+ProductivityDefault*('5. Scenarios'!$B$11-1))+INDEX(BookOneOff,896)*$D901)</f>
        <v/>
      </c>
      <c r="I901" s="56" t="str">
        <f aca="false">IF(INDEX(BookTitle,896)="","",INDEX(BookTotal,896)*'5. Scenarios'!$C$6/(1+ProductivityDefault*('5. Scenarios'!$C$11-1)))</f>
        <v/>
      </c>
      <c r="J901" s="57" t="str">
        <f aca="false">IF($I901="","",INDEX(BookRate,896)*(1+'5. Scenarios'!$C$10)*$I901)</f>
        <v/>
      </c>
      <c r="K901" s="57" t="str">
        <f aca="false">IF($J901="","",SUMIFS($J$6:$J$2405,$A$6:$A$2405,"&lt;="&amp;$A901))</f>
        <v/>
      </c>
      <c r="L901" s="57" t="str">
        <f aca="false">IF($J901="","",IF($K901&lt;=BankCostEnvelope*'5. Scenarios'!$C$7,1,0))</f>
        <v/>
      </c>
      <c r="M901" s="57" t="str">
        <f aca="false">IF($I901="","",INDEX(BookRate,896)*(1+'5. Scenarios'!$C$10)*(INDEX(BookQ1,896)*(5-MIN(4,1+'5. Scenarios'!$C$8))/4+INDEX(BookQ2,896)*(5-MIN(4,2+'5. Scenarios'!$C$8))/4+INDEX(BookQ3,896)*(5-MIN(4,3+'5. Scenarios'!$C$8))/4+INDEX(BookQ4,896)*(5-MIN(4,4+'5. Scenarios'!$C$8))/4)*'5. Scenarios'!$C$6/(1+ProductivityDefault*('5. Scenarios'!$C$11-1))+INDEX(BookOneOff,896)*$I901)</f>
        <v/>
      </c>
      <c r="N901" s="56" t="str">
        <f aca="false">IF(INDEX(BookTitle,896)="","",INDEX(BookTotal,896)*'5. Scenarios'!$D$6/(1+ProductivityDefault*('5. Scenarios'!$D$11-1)))</f>
        <v/>
      </c>
      <c r="O901" s="57" t="str">
        <f aca="false">IF($N901="","",INDEX(BookRate,896)*(1+'5. Scenarios'!$D$10)*$N901)</f>
        <v/>
      </c>
      <c r="P901" s="57" t="str">
        <f aca="false">IF($O901="","",SUMIFS($O$6:$O$2405,$A$6:$A$2405,"&lt;="&amp;$A901))</f>
        <v/>
      </c>
      <c r="Q901" s="57" t="str">
        <f aca="false">IF($O901="","",IF($P901&lt;=BankCostEnvelope*'5. Scenarios'!$D$7,1,0))</f>
        <v/>
      </c>
      <c r="R901" s="57" t="str">
        <f aca="false">IF($N901="","",INDEX(BookRate,896)*(1+'5. Scenarios'!$D$10)*(INDEX(BookQ1,896)*(5-MIN(4,1+'5. Scenarios'!$D$8))/4+INDEX(BookQ2,896)*(5-MIN(4,2+'5. Scenarios'!$D$8))/4+INDEX(BookQ3,896)*(5-MIN(4,3+'5. Scenarios'!$D$8))/4+INDEX(BookQ4,896)*(5-MIN(4,4+'5. Scenarios'!$D$8))/4)*'5. Scenarios'!$D$6/(1+ProductivityDefault*('5. Scenarios'!$D$11-1))+INDEX(BookOneOff,896)*$N901)</f>
        <v/>
      </c>
      <c r="S901" s="56" t="str">
        <f aca="false">IF(INDEX(BookTitle,896)="","",INDEX(BookTotal,896)*'5. Scenarios'!$E$6/(1+ProductivityDefault*('5. Scenarios'!$E$11-1)))</f>
        <v/>
      </c>
      <c r="T901" s="57" t="str">
        <f aca="false">IF($S901="","",INDEX(BookRate,896)*(1+'5. Scenarios'!$E$10)*$S901)</f>
        <v/>
      </c>
      <c r="U901" s="57" t="str">
        <f aca="false">IF($T901="","",SUMIFS($T$6:$T$2405,$A$6:$A$2405,"&lt;="&amp;$A901))</f>
        <v/>
      </c>
      <c r="V901" s="57" t="str">
        <f aca="false">IF($T901="","",IF($U901&lt;=BankCostEnvelope*'5. Scenarios'!$E$7,1,0))</f>
        <v/>
      </c>
      <c r="W901" s="57" t="str">
        <f aca="false">IF($S901="","",INDEX(BookRate,896)*(1+'5. Scenarios'!$E$10)*(INDEX(BookQ1,896)*(5-MIN(4,1+'5. Scenarios'!$E$8))/4+INDEX(BookQ2,896)*(5-MIN(4,2+'5. Scenarios'!$E$8))/4+INDEX(BookQ3,896)*(5-MIN(4,3+'5. Scenarios'!$E$8))/4+INDEX(BookQ4,896)*(5-MIN(4,4+'5. Scenarios'!$E$8))/4)*'5. Scenarios'!$E$6/(1+ProductivityDefault*('5. Scenarios'!$E$11-1))+INDEX(BookOneOff,896)*$S901)</f>
        <v/>
      </c>
    </row>
    <row r="902" customFormat="false" ht="15" hidden="false" customHeight="false" outlineLevel="0" collapsed="false">
      <c r="A902" s="0" t="str">
        <f aca="false">IF(INDEX(BookTitle,897)="","",INDEX(BookKey,897))</f>
        <v/>
      </c>
      <c r="B902" s="0" t="str">
        <f aca="false">IF(INDEX(BookTitle,897)="","",INDEX(BookGroup,897))</f>
        <v/>
      </c>
      <c r="C902" s="0" t="str">
        <f aca="false">IF(INDEX(BookTitle,897)="","",INDEX(BookCategory,897))</f>
        <v/>
      </c>
      <c r="D902" s="56" t="str">
        <f aca="false">IF(INDEX(BookTitle,897)="","",INDEX(BookTotal,897)*'5. Scenarios'!$B$6/(1+ProductivityDefault*('5. Scenarios'!$B$11-1)))</f>
        <v/>
      </c>
      <c r="E902" s="57" t="str">
        <f aca="false">IF($D902="","",INDEX(BookRate,897)*(1+'5. Scenarios'!$B$10)*$D902)</f>
        <v/>
      </c>
      <c r="F902" s="57" t="str">
        <f aca="false">IF($E902="","",SUMIFS($E$6:$E$2405,$A$6:$A$2405,"&lt;="&amp;$A902))</f>
        <v/>
      </c>
      <c r="G902" s="57" t="str">
        <f aca="false">IF($E902="","",IF($F902&lt;=BankCostEnvelope*'5. Scenarios'!$B$7,1,0))</f>
        <v/>
      </c>
      <c r="H902" s="57" t="str">
        <f aca="false">IF($D902="","",INDEX(BookRate,897)*(1+'5. Scenarios'!$B$10)*(INDEX(BookQ1,897)*(5-MIN(4,1+'5. Scenarios'!$B$8))/4+INDEX(BookQ2,897)*(5-MIN(4,2+'5. Scenarios'!$B$8))/4+INDEX(BookQ3,897)*(5-MIN(4,3+'5. Scenarios'!$B$8))/4+INDEX(BookQ4,897)*(5-MIN(4,4+'5. Scenarios'!$B$8))/4)*'5. Scenarios'!$B$6/(1+ProductivityDefault*('5. Scenarios'!$B$11-1))+INDEX(BookOneOff,897)*$D902)</f>
        <v/>
      </c>
      <c r="I902" s="56" t="str">
        <f aca="false">IF(INDEX(BookTitle,897)="","",INDEX(BookTotal,897)*'5. Scenarios'!$C$6/(1+ProductivityDefault*('5. Scenarios'!$C$11-1)))</f>
        <v/>
      </c>
      <c r="J902" s="57" t="str">
        <f aca="false">IF($I902="","",INDEX(BookRate,897)*(1+'5. Scenarios'!$C$10)*$I902)</f>
        <v/>
      </c>
      <c r="K902" s="57" t="str">
        <f aca="false">IF($J902="","",SUMIFS($J$6:$J$2405,$A$6:$A$2405,"&lt;="&amp;$A902))</f>
        <v/>
      </c>
      <c r="L902" s="57" t="str">
        <f aca="false">IF($J902="","",IF($K902&lt;=BankCostEnvelope*'5. Scenarios'!$C$7,1,0))</f>
        <v/>
      </c>
      <c r="M902" s="57" t="str">
        <f aca="false">IF($I902="","",INDEX(BookRate,897)*(1+'5. Scenarios'!$C$10)*(INDEX(BookQ1,897)*(5-MIN(4,1+'5. Scenarios'!$C$8))/4+INDEX(BookQ2,897)*(5-MIN(4,2+'5. Scenarios'!$C$8))/4+INDEX(BookQ3,897)*(5-MIN(4,3+'5. Scenarios'!$C$8))/4+INDEX(BookQ4,897)*(5-MIN(4,4+'5. Scenarios'!$C$8))/4)*'5. Scenarios'!$C$6/(1+ProductivityDefault*('5. Scenarios'!$C$11-1))+INDEX(BookOneOff,897)*$I902)</f>
        <v/>
      </c>
      <c r="N902" s="56" t="str">
        <f aca="false">IF(INDEX(BookTitle,897)="","",INDEX(BookTotal,897)*'5. Scenarios'!$D$6/(1+ProductivityDefault*('5. Scenarios'!$D$11-1)))</f>
        <v/>
      </c>
      <c r="O902" s="57" t="str">
        <f aca="false">IF($N902="","",INDEX(BookRate,897)*(1+'5. Scenarios'!$D$10)*$N902)</f>
        <v/>
      </c>
      <c r="P902" s="57" t="str">
        <f aca="false">IF($O902="","",SUMIFS($O$6:$O$2405,$A$6:$A$2405,"&lt;="&amp;$A902))</f>
        <v/>
      </c>
      <c r="Q902" s="57" t="str">
        <f aca="false">IF($O902="","",IF($P902&lt;=BankCostEnvelope*'5. Scenarios'!$D$7,1,0))</f>
        <v/>
      </c>
      <c r="R902" s="57" t="str">
        <f aca="false">IF($N902="","",INDEX(BookRate,897)*(1+'5. Scenarios'!$D$10)*(INDEX(BookQ1,897)*(5-MIN(4,1+'5. Scenarios'!$D$8))/4+INDEX(BookQ2,897)*(5-MIN(4,2+'5. Scenarios'!$D$8))/4+INDEX(BookQ3,897)*(5-MIN(4,3+'5. Scenarios'!$D$8))/4+INDEX(BookQ4,897)*(5-MIN(4,4+'5. Scenarios'!$D$8))/4)*'5. Scenarios'!$D$6/(1+ProductivityDefault*('5. Scenarios'!$D$11-1))+INDEX(BookOneOff,897)*$N902)</f>
        <v/>
      </c>
      <c r="S902" s="56" t="str">
        <f aca="false">IF(INDEX(BookTitle,897)="","",INDEX(BookTotal,897)*'5. Scenarios'!$E$6/(1+ProductivityDefault*('5. Scenarios'!$E$11-1)))</f>
        <v/>
      </c>
      <c r="T902" s="57" t="str">
        <f aca="false">IF($S902="","",INDEX(BookRate,897)*(1+'5. Scenarios'!$E$10)*$S902)</f>
        <v/>
      </c>
      <c r="U902" s="57" t="str">
        <f aca="false">IF($T902="","",SUMIFS($T$6:$T$2405,$A$6:$A$2405,"&lt;="&amp;$A902))</f>
        <v/>
      </c>
      <c r="V902" s="57" t="str">
        <f aca="false">IF($T902="","",IF($U902&lt;=BankCostEnvelope*'5. Scenarios'!$E$7,1,0))</f>
        <v/>
      </c>
      <c r="W902" s="57" t="str">
        <f aca="false">IF($S902="","",INDEX(BookRate,897)*(1+'5. Scenarios'!$E$10)*(INDEX(BookQ1,897)*(5-MIN(4,1+'5. Scenarios'!$E$8))/4+INDEX(BookQ2,897)*(5-MIN(4,2+'5. Scenarios'!$E$8))/4+INDEX(BookQ3,897)*(5-MIN(4,3+'5. Scenarios'!$E$8))/4+INDEX(BookQ4,897)*(5-MIN(4,4+'5. Scenarios'!$E$8))/4)*'5. Scenarios'!$E$6/(1+ProductivityDefault*('5. Scenarios'!$E$11-1))+INDEX(BookOneOff,897)*$S902)</f>
        <v/>
      </c>
    </row>
    <row r="903" customFormat="false" ht="15" hidden="false" customHeight="false" outlineLevel="0" collapsed="false">
      <c r="A903" s="0" t="str">
        <f aca="false">IF(INDEX(BookTitle,898)="","",INDEX(BookKey,898))</f>
        <v/>
      </c>
      <c r="B903" s="0" t="str">
        <f aca="false">IF(INDEX(BookTitle,898)="","",INDEX(BookGroup,898))</f>
        <v/>
      </c>
      <c r="C903" s="0" t="str">
        <f aca="false">IF(INDEX(BookTitle,898)="","",INDEX(BookCategory,898))</f>
        <v/>
      </c>
      <c r="D903" s="56" t="str">
        <f aca="false">IF(INDEX(BookTitle,898)="","",INDEX(BookTotal,898)*'5. Scenarios'!$B$6/(1+ProductivityDefault*('5. Scenarios'!$B$11-1)))</f>
        <v/>
      </c>
      <c r="E903" s="57" t="str">
        <f aca="false">IF($D903="","",INDEX(BookRate,898)*(1+'5. Scenarios'!$B$10)*$D903)</f>
        <v/>
      </c>
      <c r="F903" s="57" t="str">
        <f aca="false">IF($E903="","",SUMIFS($E$6:$E$2405,$A$6:$A$2405,"&lt;="&amp;$A903))</f>
        <v/>
      </c>
      <c r="G903" s="57" t="str">
        <f aca="false">IF($E903="","",IF($F903&lt;=BankCostEnvelope*'5. Scenarios'!$B$7,1,0))</f>
        <v/>
      </c>
      <c r="H903" s="57" t="str">
        <f aca="false">IF($D903="","",INDEX(BookRate,898)*(1+'5. Scenarios'!$B$10)*(INDEX(BookQ1,898)*(5-MIN(4,1+'5. Scenarios'!$B$8))/4+INDEX(BookQ2,898)*(5-MIN(4,2+'5. Scenarios'!$B$8))/4+INDEX(BookQ3,898)*(5-MIN(4,3+'5. Scenarios'!$B$8))/4+INDEX(BookQ4,898)*(5-MIN(4,4+'5. Scenarios'!$B$8))/4)*'5. Scenarios'!$B$6/(1+ProductivityDefault*('5. Scenarios'!$B$11-1))+INDEX(BookOneOff,898)*$D903)</f>
        <v/>
      </c>
      <c r="I903" s="56" t="str">
        <f aca="false">IF(INDEX(BookTitle,898)="","",INDEX(BookTotal,898)*'5. Scenarios'!$C$6/(1+ProductivityDefault*('5. Scenarios'!$C$11-1)))</f>
        <v/>
      </c>
      <c r="J903" s="57" t="str">
        <f aca="false">IF($I903="","",INDEX(BookRate,898)*(1+'5. Scenarios'!$C$10)*$I903)</f>
        <v/>
      </c>
      <c r="K903" s="57" t="str">
        <f aca="false">IF($J903="","",SUMIFS($J$6:$J$2405,$A$6:$A$2405,"&lt;="&amp;$A903))</f>
        <v/>
      </c>
      <c r="L903" s="57" t="str">
        <f aca="false">IF($J903="","",IF($K903&lt;=BankCostEnvelope*'5. Scenarios'!$C$7,1,0))</f>
        <v/>
      </c>
      <c r="M903" s="57" t="str">
        <f aca="false">IF($I903="","",INDEX(BookRate,898)*(1+'5. Scenarios'!$C$10)*(INDEX(BookQ1,898)*(5-MIN(4,1+'5. Scenarios'!$C$8))/4+INDEX(BookQ2,898)*(5-MIN(4,2+'5. Scenarios'!$C$8))/4+INDEX(BookQ3,898)*(5-MIN(4,3+'5. Scenarios'!$C$8))/4+INDEX(BookQ4,898)*(5-MIN(4,4+'5. Scenarios'!$C$8))/4)*'5. Scenarios'!$C$6/(1+ProductivityDefault*('5. Scenarios'!$C$11-1))+INDEX(BookOneOff,898)*$I903)</f>
        <v/>
      </c>
      <c r="N903" s="56" t="str">
        <f aca="false">IF(INDEX(BookTitle,898)="","",INDEX(BookTotal,898)*'5. Scenarios'!$D$6/(1+ProductivityDefault*('5. Scenarios'!$D$11-1)))</f>
        <v/>
      </c>
      <c r="O903" s="57" t="str">
        <f aca="false">IF($N903="","",INDEX(BookRate,898)*(1+'5. Scenarios'!$D$10)*$N903)</f>
        <v/>
      </c>
      <c r="P903" s="57" t="str">
        <f aca="false">IF($O903="","",SUMIFS($O$6:$O$2405,$A$6:$A$2405,"&lt;="&amp;$A903))</f>
        <v/>
      </c>
      <c r="Q903" s="57" t="str">
        <f aca="false">IF($O903="","",IF($P903&lt;=BankCostEnvelope*'5. Scenarios'!$D$7,1,0))</f>
        <v/>
      </c>
      <c r="R903" s="57" t="str">
        <f aca="false">IF($N903="","",INDEX(BookRate,898)*(1+'5. Scenarios'!$D$10)*(INDEX(BookQ1,898)*(5-MIN(4,1+'5. Scenarios'!$D$8))/4+INDEX(BookQ2,898)*(5-MIN(4,2+'5. Scenarios'!$D$8))/4+INDEX(BookQ3,898)*(5-MIN(4,3+'5. Scenarios'!$D$8))/4+INDEX(BookQ4,898)*(5-MIN(4,4+'5. Scenarios'!$D$8))/4)*'5. Scenarios'!$D$6/(1+ProductivityDefault*('5. Scenarios'!$D$11-1))+INDEX(BookOneOff,898)*$N903)</f>
        <v/>
      </c>
      <c r="S903" s="56" t="str">
        <f aca="false">IF(INDEX(BookTitle,898)="","",INDEX(BookTotal,898)*'5. Scenarios'!$E$6/(1+ProductivityDefault*('5. Scenarios'!$E$11-1)))</f>
        <v/>
      </c>
      <c r="T903" s="57" t="str">
        <f aca="false">IF($S903="","",INDEX(BookRate,898)*(1+'5. Scenarios'!$E$10)*$S903)</f>
        <v/>
      </c>
      <c r="U903" s="57" t="str">
        <f aca="false">IF($T903="","",SUMIFS($T$6:$T$2405,$A$6:$A$2405,"&lt;="&amp;$A903))</f>
        <v/>
      </c>
      <c r="V903" s="57" t="str">
        <f aca="false">IF($T903="","",IF($U903&lt;=BankCostEnvelope*'5. Scenarios'!$E$7,1,0))</f>
        <v/>
      </c>
      <c r="W903" s="57" t="str">
        <f aca="false">IF($S903="","",INDEX(BookRate,898)*(1+'5. Scenarios'!$E$10)*(INDEX(BookQ1,898)*(5-MIN(4,1+'5. Scenarios'!$E$8))/4+INDEX(BookQ2,898)*(5-MIN(4,2+'5. Scenarios'!$E$8))/4+INDEX(BookQ3,898)*(5-MIN(4,3+'5. Scenarios'!$E$8))/4+INDEX(BookQ4,898)*(5-MIN(4,4+'5. Scenarios'!$E$8))/4)*'5. Scenarios'!$E$6/(1+ProductivityDefault*('5. Scenarios'!$E$11-1))+INDEX(BookOneOff,898)*$S903)</f>
        <v/>
      </c>
    </row>
    <row r="904" customFormat="false" ht="15" hidden="false" customHeight="false" outlineLevel="0" collapsed="false">
      <c r="A904" s="0" t="str">
        <f aca="false">IF(INDEX(BookTitle,899)="","",INDEX(BookKey,899))</f>
        <v/>
      </c>
      <c r="B904" s="0" t="str">
        <f aca="false">IF(INDEX(BookTitle,899)="","",INDEX(BookGroup,899))</f>
        <v/>
      </c>
      <c r="C904" s="0" t="str">
        <f aca="false">IF(INDEX(BookTitle,899)="","",INDEX(BookCategory,899))</f>
        <v/>
      </c>
      <c r="D904" s="56" t="str">
        <f aca="false">IF(INDEX(BookTitle,899)="","",INDEX(BookTotal,899)*'5. Scenarios'!$B$6/(1+ProductivityDefault*('5. Scenarios'!$B$11-1)))</f>
        <v/>
      </c>
      <c r="E904" s="57" t="str">
        <f aca="false">IF($D904="","",INDEX(BookRate,899)*(1+'5. Scenarios'!$B$10)*$D904)</f>
        <v/>
      </c>
      <c r="F904" s="57" t="str">
        <f aca="false">IF($E904="","",SUMIFS($E$6:$E$2405,$A$6:$A$2405,"&lt;="&amp;$A904))</f>
        <v/>
      </c>
      <c r="G904" s="57" t="str">
        <f aca="false">IF($E904="","",IF($F904&lt;=BankCostEnvelope*'5. Scenarios'!$B$7,1,0))</f>
        <v/>
      </c>
      <c r="H904" s="57" t="str">
        <f aca="false">IF($D904="","",INDEX(BookRate,899)*(1+'5. Scenarios'!$B$10)*(INDEX(BookQ1,899)*(5-MIN(4,1+'5. Scenarios'!$B$8))/4+INDEX(BookQ2,899)*(5-MIN(4,2+'5. Scenarios'!$B$8))/4+INDEX(BookQ3,899)*(5-MIN(4,3+'5. Scenarios'!$B$8))/4+INDEX(BookQ4,899)*(5-MIN(4,4+'5. Scenarios'!$B$8))/4)*'5. Scenarios'!$B$6/(1+ProductivityDefault*('5. Scenarios'!$B$11-1))+INDEX(BookOneOff,899)*$D904)</f>
        <v/>
      </c>
      <c r="I904" s="56" t="str">
        <f aca="false">IF(INDEX(BookTitle,899)="","",INDEX(BookTotal,899)*'5. Scenarios'!$C$6/(1+ProductivityDefault*('5. Scenarios'!$C$11-1)))</f>
        <v/>
      </c>
      <c r="J904" s="57" t="str">
        <f aca="false">IF($I904="","",INDEX(BookRate,899)*(1+'5. Scenarios'!$C$10)*$I904)</f>
        <v/>
      </c>
      <c r="K904" s="57" t="str">
        <f aca="false">IF($J904="","",SUMIFS($J$6:$J$2405,$A$6:$A$2405,"&lt;="&amp;$A904))</f>
        <v/>
      </c>
      <c r="L904" s="57" t="str">
        <f aca="false">IF($J904="","",IF($K904&lt;=BankCostEnvelope*'5. Scenarios'!$C$7,1,0))</f>
        <v/>
      </c>
      <c r="M904" s="57" t="str">
        <f aca="false">IF($I904="","",INDEX(BookRate,899)*(1+'5. Scenarios'!$C$10)*(INDEX(BookQ1,899)*(5-MIN(4,1+'5. Scenarios'!$C$8))/4+INDEX(BookQ2,899)*(5-MIN(4,2+'5. Scenarios'!$C$8))/4+INDEX(BookQ3,899)*(5-MIN(4,3+'5. Scenarios'!$C$8))/4+INDEX(BookQ4,899)*(5-MIN(4,4+'5. Scenarios'!$C$8))/4)*'5. Scenarios'!$C$6/(1+ProductivityDefault*('5. Scenarios'!$C$11-1))+INDEX(BookOneOff,899)*$I904)</f>
        <v/>
      </c>
      <c r="N904" s="56" t="str">
        <f aca="false">IF(INDEX(BookTitle,899)="","",INDEX(BookTotal,899)*'5. Scenarios'!$D$6/(1+ProductivityDefault*('5. Scenarios'!$D$11-1)))</f>
        <v/>
      </c>
      <c r="O904" s="57" t="str">
        <f aca="false">IF($N904="","",INDEX(BookRate,899)*(1+'5. Scenarios'!$D$10)*$N904)</f>
        <v/>
      </c>
      <c r="P904" s="57" t="str">
        <f aca="false">IF($O904="","",SUMIFS($O$6:$O$2405,$A$6:$A$2405,"&lt;="&amp;$A904))</f>
        <v/>
      </c>
      <c r="Q904" s="57" t="str">
        <f aca="false">IF($O904="","",IF($P904&lt;=BankCostEnvelope*'5. Scenarios'!$D$7,1,0))</f>
        <v/>
      </c>
      <c r="R904" s="57" t="str">
        <f aca="false">IF($N904="","",INDEX(BookRate,899)*(1+'5. Scenarios'!$D$10)*(INDEX(BookQ1,899)*(5-MIN(4,1+'5. Scenarios'!$D$8))/4+INDEX(BookQ2,899)*(5-MIN(4,2+'5. Scenarios'!$D$8))/4+INDEX(BookQ3,899)*(5-MIN(4,3+'5. Scenarios'!$D$8))/4+INDEX(BookQ4,899)*(5-MIN(4,4+'5. Scenarios'!$D$8))/4)*'5. Scenarios'!$D$6/(1+ProductivityDefault*('5. Scenarios'!$D$11-1))+INDEX(BookOneOff,899)*$N904)</f>
        <v/>
      </c>
      <c r="S904" s="56" t="str">
        <f aca="false">IF(INDEX(BookTitle,899)="","",INDEX(BookTotal,899)*'5. Scenarios'!$E$6/(1+ProductivityDefault*('5. Scenarios'!$E$11-1)))</f>
        <v/>
      </c>
      <c r="T904" s="57" t="str">
        <f aca="false">IF($S904="","",INDEX(BookRate,899)*(1+'5. Scenarios'!$E$10)*$S904)</f>
        <v/>
      </c>
      <c r="U904" s="57" t="str">
        <f aca="false">IF($T904="","",SUMIFS($T$6:$T$2405,$A$6:$A$2405,"&lt;="&amp;$A904))</f>
        <v/>
      </c>
      <c r="V904" s="57" t="str">
        <f aca="false">IF($T904="","",IF($U904&lt;=BankCostEnvelope*'5. Scenarios'!$E$7,1,0))</f>
        <v/>
      </c>
      <c r="W904" s="57" t="str">
        <f aca="false">IF($S904="","",INDEX(BookRate,899)*(1+'5. Scenarios'!$E$10)*(INDEX(BookQ1,899)*(5-MIN(4,1+'5. Scenarios'!$E$8))/4+INDEX(BookQ2,899)*(5-MIN(4,2+'5. Scenarios'!$E$8))/4+INDEX(BookQ3,899)*(5-MIN(4,3+'5. Scenarios'!$E$8))/4+INDEX(BookQ4,899)*(5-MIN(4,4+'5. Scenarios'!$E$8))/4)*'5. Scenarios'!$E$6/(1+ProductivityDefault*('5. Scenarios'!$E$11-1))+INDEX(BookOneOff,899)*$S904)</f>
        <v/>
      </c>
    </row>
    <row r="905" customFormat="false" ht="15" hidden="false" customHeight="false" outlineLevel="0" collapsed="false">
      <c r="A905" s="0" t="str">
        <f aca="false">IF(INDEX(BookTitle,900)="","",INDEX(BookKey,900))</f>
        <v/>
      </c>
      <c r="B905" s="0" t="str">
        <f aca="false">IF(INDEX(BookTitle,900)="","",INDEX(BookGroup,900))</f>
        <v/>
      </c>
      <c r="C905" s="0" t="str">
        <f aca="false">IF(INDEX(BookTitle,900)="","",INDEX(BookCategory,900))</f>
        <v/>
      </c>
      <c r="D905" s="56" t="str">
        <f aca="false">IF(INDEX(BookTitle,900)="","",INDEX(BookTotal,900)*'5. Scenarios'!$B$6/(1+ProductivityDefault*('5. Scenarios'!$B$11-1)))</f>
        <v/>
      </c>
      <c r="E905" s="57" t="str">
        <f aca="false">IF($D905="","",INDEX(BookRate,900)*(1+'5. Scenarios'!$B$10)*$D905)</f>
        <v/>
      </c>
      <c r="F905" s="57" t="str">
        <f aca="false">IF($E905="","",SUMIFS($E$6:$E$2405,$A$6:$A$2405,"&lt;="&amp;$A905))</f>
        <v/>
      </c>
      <c r="G905" s="57" t="str">
        <f aca="false">IF($E905="","",IF($F905&lt;=BankCostEnvelope*'5. Scenarios'!$B$7,1,0))</f>
        <v/>
      </c>
      <c r="H905" s="57" t="str">
        <f aca="false">IF($D905="","",INDEX(BookRate,900)*(1+'5. Scenarios'!$B$10)*(INDEX(BookQ1,900)*(5-MIN(4,1+'5. Scenarios'!$B$8))/4+INDEX(BookQ2,900)*(5-MIN(4,2+'5. Scenarios'!$B$8))/4+INDEX(BookQ3,900)*(5-MIN(4,3+'5. Scenarios'!$B$8))/4+INDEX(BookQ4,900)*(5-MIN(4,4+'5. Scenarios'!$B$8))/4)*'5. Scenarios'!$B$6/(1+ProductivityDefault*('5. Scenarios'!$B$11-1))+INDEX(BookOneOff,900)*$D905)</f>
        <v/>
      </c>
      <c r="I905" s="56" t="str">
        <f aca="false">IF(INDEX(BookTitle,900)="","",INDEX(BookTotal,900)*'5. Scenarios'!$C$6/(1+ProductivityDefault*('5. Scenarios'!$C$11-1)))</f>
        <v/>
      </c>
      <c r="J905" s="57" t="str">
        <f aca="false">IF($I905="","",INDEX(BookRate,900)*(1+'5. Scenarios'!$C$10)*$I905)</f>
        <v/>
      </c>
      <c r="K905" s="57" t="str">
        <f aca="false">IF($J905="","",SUMIFS($J$6:$J$2405,$A$6:$A$2405,"&lt;="&amp;$A905))</f>
        <v/>
      </c>
      <c r="L905" s="57" t="str">
        <f aca="false">IF($J905="","",IF($K905&lt;=BankCostEnvelope*'5. Scenarios'!$C$7,1,0))</f>
        <v/>
      </c>
      <c r="M905" s="57" t="str">
        <f aca="false">IF($I905="","",INDEX(BookRate,900)*(1+'5. Scenarios'!$C$10)*(INDEX(BookQ1,900)*(5-MIN(4,1+'5. Scenarios'!$C$8))/4+INDEX(BookQ2,900)*(5-MIN(4,2+'5. Scenarios'!$C$8))/4+INDEX(BookQ3,900)*(5-MIN(4,3+'5. Scenarios'!$C$8))/4+INDEX(BookQ4,900)*(5-MIN(4,4+'5. Scenarios'!$C$8))/4)*'5. Scenarios'!$C$6/(1+ProductivityDefault*('5. Scenarios'!$C$11-1))+INDEX(BookOneOff,900)*$I905)</f>
        <v/>
      </c>
      <c r="N905" s="56" t="str">
        <f aca="false">IF(INDEX(BookTitle,900)="","",INDEX(BookTotal,900)*'5. Scenarios'!$D$6/(1+ProductivityDefault*('5. Scenarios'!$D$11-1)))</f>
        <v/>
      </c>
      <c r="O905" s="57" t="str">
        <f aca="false">IF($N905="","",INDEX(BookRate,900)*(1+'5. Scenarios'!$D$10)*$N905)</f>
        <v/>
      </c>
      <c r="P905" s="57" t="str">
        <f aca="false">IF($O905="","",SUMIFS($O$6:$O$2405,$A$6:$A$2405,"&lt;="&amp;$A905))</f>
        <v/>
      </c>
      <c r="Q905" s="57" t="str">
        <f aca="false">IF($O905="","",IF($P905&lt;=BankCostEnvelope*'5. Scenarios'!$D$7,1,0))</f>
        <v/>
      </c>
      <c r="R905" s="57" t="str">
        <f aca="false">IF($N905="","",INDEX(BookRate,900)*(1+'5. Scenarios'!$D$10)*(INDEX(BookQ1,900)*(5-MIN(4,1+'5. Scenarios'!$D$8))/4+INDEX(BookQ2,900)*(5-MIN(4,2+'5. Scenarios'!$D$8))/4+INDEX(BookQ3,900)*(5-MIN(4,3+'5. Scenarios'!$D$8))/4+INDEX(BookQ4,900)*(5-MIN(4,4+'5. Scenarios'!$D$8))/4)*'5. Scenarios'!$D$6/(1+ProductivityDefault*('5. Scenarios'!$D$11-1))+INDEX(BookOneOff,900)*$N905)</f>
        <v/>
      </c>
      <c r="S905" s="56" t="str">
        <f aca="false">IF(INDEX(BookTitle,900)="","",INDEX(BookTotal,900)*'5. Scenarios'!$E$6/(1+ProductivityDefault*('5. Scenarios'!$E$11-1)))</f>
        <v/>
      </c>
      <c r="T905" s="57" t="str">
        <f aca="false">IF($S905="","",INDEX(BookRate,900)*(1+'5. Scenarios'!$E$10)*$S905)</f>
        <v/>
      </c>
      <c r="U905" s="57" t="str">
        <f aca="false">IF($T905="","",SUMIFS($T$6:$T$2405,$A$6:$A$2405,"&lt;="&amp;$A905))</f>
        <v/>
      </c>
      <c r="V905" s="57" t="str">
        <f aca="false">IF($T905="","",IF($U905&lt;=BankCostEnvelope*'5. Scenarios'!$E$7,1,0))</f>
        <v/>
      </c>
      <c r="W905" s="57" t="str">
        <f aca="false">IF($S905="","",INDEX(BookRate,900)*(1+'5. Scenarios'!$E$10)*(INDEX(BookQ1,900)*(5-MIN(4,1+'5. Scenarios'!$E$8))/4+INDEX(BookQ2,900)*(5-MIN(4,2+'5. Scenarios'!$E$8))/4+INDEX(BookQ3,900)*(5-MIN(4,3+'5. Scenarios'!$E$8))/4+INDEX(BookQ4,900)*(5-MIN(4,4+'5. Scenarios'!$E$8))/4)*'5. Scenarios'!$E$6/(1+ProductivityDefault*('5. Scenarios'!$E$11-1))+INDEX(BookOneOff,900)*$S905)</f>
        <v/>
      </c>
    </row>
    <row r="906" customFormat="false" ht="15" hidden="false" customHeight="false" outlineLevel="0" collapsed="false">
      <c r="A906" s="0" t="str">
        <f aca="false">IF(INDEX(BookTitle,901)="","",INDEX(BookKey,901))</f>
        <v/>
      </c>
      <c r="B906" s="0" t="str">
        <f aca="false">IF(INDEX(BookTitle,901)="","",INDEX(BookGroup,901))</f>
        <v/>
      </c>
      <c r="C906" s="0" t="str">
        <f aca="false">IF(INDEX(BookTitle,901)="","",INDEX(BookCategory,901))</f>
        <v/>
      </c>
      <c r="D906" s="56" t="str">
        <f aca="false">IF(INDEX(BookTitle,901)="","",INDEX(BookTotal,901)*'5. Scenarios'!$B$6/(1+ProductivityDefault*('5. Scenarios'!$B$11-1)))</f>
        <v/>
      </c>
      <c r="E906" s="57" t="str">
        <f aca="false">IF($D906="","",INDEX(BookRate,901)*(1+'5. Scenarios'!$B$10)*$D906)</f>
        <v/>
      </c>
      <c r="F906" s="57" t="str">
        <f aca="false">IF($E906="","",SUMIFS($E$6:$E$2405,$A$6:$A$2405,"&lt;="&amp;$A906))</f>
        <v/>
      </c>
      <c r="G906" s="57" t="str">
        <f aca="false">IF($E906="","",IF($F906&lt;=BankCostEnvelope*'5. Scenarios'!$B$7,1,0))</f>
        <v/>
      </c>
      <c r="H906" s="57" t="str">
        <f aca="false">IF($D906="","",INDEX(BookRate,901)*(1+'5. Scenarios'!$B$10)*(INDEX(BookQ1,901)*(5-MIN(4,1+'5. Scenarios'!$B$8))/4+INDEX(BookQ2,901)*(5-MIN(4,2+'5. Scenarios'!$B$8))/4+INDEX(BookQ3,901)*(5-MIN(4,3+'5. Scenarios'!$B$8))/4+INDEX(BookQ4,901)*(5-MIN(4,4+'5. Scenarios'!$B$8))/4)*'5. Scenarios'!$B$6/(1+ProductivityDefault*('5. Scenarios'!$B$11-1))+INDEX(BookOneOff,901)*$D906)</f>
        <v/>
      </c>
      <c r="I906" s="56" t="str">
        <f aca="false">IF(INDEX(BookTitle,901)="","",INDEX(BookTotal,901)*'5. Scenarios'!$C$6/(1+ProductivityDefault*('5. Scenarios'!$C$11-1)))</f>
        <v/>
      </c>
      <c r="J906" s="57" t="str">
        <f aca="false">IF($I906="","",INDEX(BookRate,901)*(1+'5. Scenarios'!$C$10)*$I906)</f>
        <v/>
      </c>
      <c r="K906" s="57" t="str">
        <f aca="false">IF($J906="","",SUMIFS($J$6:$J$2405,$A$6:$A$2405,"&lt;="&amp;$A906))</f>
        <v/>
      </c>
      <c r="L906" s="57" t="str">
        <f aca="false">IF($J906="","",IF($K906&lt;=BankCostEnvelope*'5. Scenarios'!$C$7,1,0))</f>
        <v/>
      </c>
      <c r="M906" s="57" t="str">
        <f aca="false">IF($I906="","",INDEX(BookRate,901)*(1+'5. Scenarios'!$C$10)*(INDEX(BookQ1,901)*(5-MIN(4,1+'5. Scenarios'!$C$8))/4+INDEX(BookQ2,901)*(5-MIN(4,2+'5. Scenarios'!$C$8))/4+INDEX(BookQ3,901)*(5-MIN(4,3+'5. Scenarios'!$C$8))/4+INDEX(BookQ4,901)*(5-MIN(4,4+'5. Scenarios'!$C$8))/4)*'5. Scenarios'!$C$6/(1+ProductivityDefault*('5. Scenarios'!$C$11-1))+INDEX(BookOneOff,901)*$I906)</f>
        <v/>
      </c>
      <c r="N906" s="56" t="str">
        <f aca="false">IF(INDEX(BookTitle,901)="","",INDEX(BookTotal,901)*'5. Scenarios'!$D$6/(1+ProductivityDefault*('5. Scenarios'!$D$11-1)))</f>
        <v/>
      </c>
      <c r="O906" s="57" t="str">
        <f aca="false">IF($N906="","",INDEX(BookRate,901)*(1+'5. Scenarios'!$D$10)*$N906)</f>
        <v/>
      </c>
      <c r="P906" s="57" t="str">
        <f aca="false">IF($O906="","",SUMIFS($O$6:$O$2405,$A$6:$A$2405,"&lt;="&amp;$A906))</f>
        <v/>
      </c>
      <c r="Q906" s="57" t="str">
        <f aca="false">IF($O906="","",IF($P906&lt;=BankCostEnvelope*'5. Scenarios'!$D$7,1,0))</f>
        <v/>
      </c>
      <c r="R906" s="57" t="str">
        <f aca="false">IF($N906="","",INDEX(BookRate,901)*(1+'5. Scenarios'!$D$10)*(INDEX(BookQ1,901)*(5-MIN(4,1+'5. Scenarios'!$D$8))/4+INDEX(BookQ2,901)*(5-MIN(4,2+'5. Scenarios'!$D$8))/4+INDEX(BookQ3,901)*(5-MIN(4,3+'5. Scenarios'!$D$8))/4+INDEX(BookQ4,901)*(5-MIN(4,4+'5. Scenarios'!$D$8))/4)*'5. Scenarios'!$D$6/(1+ProductivityDefault*('5. Scenarios'!$D$11-1))+INDEX(BookOneOff,901)*$N906)</f>
        <v/>
      </c>
      <c r="S906" s="56" t="str">
        <f aca="false">IF(INDEX(BookTitle,901)="","",INDEX(BookTotal,901)*'5. Scenarios'!$E$6/(1+ProductivityDefault*('5. Scenarios'!$E$11-1)))</f>
        <v/>
      </c>
      <c r="T906" s="57" t="str">
        <f aca="false">IF($S906="","",INDEX(BookRate,901)*(1+'5. Scenarios'!$E$10)*$S906)</f>
        <v/>
      </c>
      <c r="U906" s="57" t="str">
        <f aca="false">IF($T906="","",SUMIFS($T$6:$T$2405,$A$6:$A$2405,"&lt;="&amp;$A906))</f>
        <v/>
      </c>
      <c r="V906" s="57" t="str">
        <f aca="false">IF($T906="","",IF($U906&lt;=BankCostEnvelope*'5. Scenarios'!$E$7,1,0))</f>
        <v/>
      </c>
      <c r="W906" s="57" t="str">
        <f aca="false">IF($S906="","",INDEX(BookRate,901)*(1+'5. Scenarios'!$E$10)*(INDEX(BookQ1,901)*(5-MIN(4,1+'5. Scenarios'!$E$8))/4+INDEX(BookQ2,901)*(5-MIN(4,2+'5. Scenarios'!$E$8))/4+INDEX(BookQ3,901)*(5-MIN(4,3+'5. Scenarios'!$E$8))/4+INDEX(BookQ4,901)*(5-MIN(4,4+'5. Scenarios'!$E$8))/4)*'5. Scenarios'!$E$6/(1+ProductivityDefault*('5. Scenarios'!$E$11-1))+INDEX(BookOneOff,901)*$S906)</f>
        <v/>
      </c>
    </row>
    <row r="907" customFormat="false" ht="15" hidden="false" customHeight="false" outlineLevel="0" collapsed="false">
      <c r="A907" s="0" t="str">
        <f aca="false">IF(INDEX(BookTitle,902)="","",INDEX(BookKey,902))</f>
        <v/>
      </c>
      <c r="B907" s="0" t="str">
        <f aca="false">IF(INDEX(BookTitle,902)="","",INDEX(BookGroup,902))</f>
        <v/>
      </c>
      <c r="C907" s="0" t="str">
        <f aca="false">IF(INDEX(BookTitle,902)="","",INDEX(BookCategory,902))</f>
        <v/>
      </c>
      <c r="D907" s="56" t="str">
        <f aca="false">IF(INDEX(BookTitle,902)="","",INDEX(BookTotal,902)*'5. Scenarios'!$B$6/(1+ProductivityDefault*('5. Scenarios'!$B$11-1)))</f>
        <v/>
      </c>
      <c r="E907" s="57" t="str">
        <f aca="false">IF($D907="","",INDEX(BookRate,902)*(1+'5. Scenarios'!$B$10)*$D907)</f>
        <v/>
      </c>
      <c r="F907" s="57" t="str">
        <f aca="false">IF($E907="","",SUMIFS($E$6:$E$2405,$A$6:$A$2405,"&lt;="&amp;$A907))</f>
        <v/>
      </c>
      <c r="G907" s="57" t="str">
        <f aca="false">IF($E907="","",IF($F907&lt;=BankCostEnvelope*'5. Scenarios'!$B$7,1,0))</f>
        <v/>
      </c>
      <c r="H907" s="57" t="str">
        <f aca="false">IF($D907="","",INDEX(BookRate,902)*(1+'5. Scenarios'!$B$10)*(INDEX(BookQ1,902)*(5-MIN(4,1+'5. Scenarios'!$B$8))/4+INDEX(BookQ2,902)*(5-MIN(4,2+'5. Scenarios'!$B$8))/4+INDEX(BookQ3,902)*(5-MIN(4,3+'5. Scenarios'!$B$8))/4+INDEX(BookQ4,902)*(5-MIN(4,4+'5. Scenarios'!$B$8))/4)*'5. Scenarios'!$B$6/(1+ProductivityDefault*('5. Scenarios'!$B$11-1))+INDEX(BookOneOff,902)*$D907)</f>
        <v/>
      </c>
      <c r="I907" s="56" t="str">
        <f aca="false">IF(INDEX(BookTitle,902)="","",INDEX(BookTotal,902)*'5. Scenarios'!$C$6/(1+ProductivityDefault*('5. Scenarios'!$C$11-1)))</f>
        <v/>
      </c>
      <c r="J907" s="57" t="str">
        <f aca="false">IF($I907="","",INDEX(BookRate,902)*(1+'5. Scenarios'!$C$10)*$I907)</f>
        <v/>
      </c>
      <c r="K907" s="57" t="str">
        <f aca="false">IF($J907="","",SUMIFS($J$6:$J$2405,$A$6:$A$2405,"&lt;="&amp;$A907))</f>
        <v/>
      </c>
      <c r="L907" s="57" t="str">
        <f aca="false">IF($J907="","",IF($K907&lt;=BankCostEnvelope*'5. Scenarios'!$C$7,1,0))</f>
        <v/>
      </c>
      <c r="M907" s="57" t="str">
        <f aca="false">IF($I907="","",INDEX(BookRate,902)*(1+'5. Scenarios'!$C$10)*(INDEX(BookQ1,902)*(5-MIN(4,1+'5. Scenarios'!$C$8))/4+INDEX(BookQ2,902)*(5-MIN(4,2+'5. Scenarios'!$C$8))/4+INDEX(BookQ3,902)*(5-MIN(4,3+'5. Scenarios'!$C$8))/4+INDEX(BookQ4,902)*(5-MIN(4,4+'5. Scenarios'!$C$8))/4)*'5. Scenarios'!$C$6/(1+ProductivityDefault*('5. Scenarios'!$C$11-1))+INDEX(BookOneOff,902)*$I907)</f>
        <v/>
      </c>
      <c r="N907" s="56" t="str">
        <f aca="false">IF(INDEX(BookTitle,902)="","",INDEX(BookTotal,902)*'5. Scenarios'!$D$6/(1+ProductivityDefault*('5. Scenarios'!$D$11-1)))</f>
        <v/>
      </c>
      <c r="O907" s="57" t="str">
        <f aca="false">IF($N907="","",INDEX(BookRate,902)*(1+'5. Scenarios'!$D$10)*$N907)</f>
        <v/>
      </c>
      <c r="P907" s="57" t="str">
        <f aca="false">IF($O907="","",SUMIFS($O$6:$O$2405,$A$6:$A$2405,"&lt;="&amp;$A907))</f>
        <v/>
      </c>
      <c r="Q907" s="57" t="str">
        <f aca="false">IF($O907="","",IF($P907&lt;=BankCostEnvelope*'5. Scenarios'!$D$7,1,0))</f>
        <v/>
      </c>
      <c r="R907" s="57" t="str">
        <f aca="false">IF($N907="","",INDEX(BookRate,902)*(1+'5. Scenarios'!$D$10)*(INDEX(BookQ1,902)*(5-MIN(4,1+'5. Scenarios'!$D$8))/4+INDEX(BookQ2,902)*(5-MIN(4,2+'5. Scenarios'!$D$8))/4+INDEX(BookQ3,902)*(5-MIN(4,3+'5. Scenarios'!$D$8))/4+INDEX(BookQ4,902)*(5-MIN(4,4+'5. Scenarios'!$D$8))/4)*'5. Scenarios'!$D$6/(1+ProductivityDefault*('5. Scenarios'!$D$11-1))+INDEX(BookOneOff,902)*$N907)</f>
        <v/>
      </c>
      <c r="S907" s="56" t="str">
        <f aca="false">IF(INDEX(BookTitle,902)="","",INDEX(BookTotal,902)*'5. Scenarios'!$E$6/(1+ProductivityDefault*('5. Scenarios'!$E$11-1)))</f>
        <v/>
      </c>
      <c r="T907" s="57" t="str">
        <f aca="false">IF($S907="","",INDEX(BookRate,902)*(1+'5. Scenarios'!$E$10)*$S907)</f>
        <v/>
      </c>
      <c r="U907" s="57" t="str">
        <f aca="false">IF($T907="","",SUMIFS($T$6:$T$2405,$A$6:$A$2405,"&lt;="&amp;$A907))</f>
        <v/>
      </c>
      <c r="V907" s="57" t="str">
        <f aca="false">IF($T907="","",IF($U907&lt;=BankCostEnvelope*'5. Scenarios'!$E$7,1,0))</f>
        <v/>
      </c>
      <c r="W907" s="57" t="str">
        <f aca="false">IF($S907="","",INDEX(BookRate,902)*(1+'5. Scenarios'!$E$10)*(INDEX(BookQ1,902)*(5-MIN(4,1+'5. Scenarios'!$E$8))/4+INDEX(BookQ2,902)*(5-MIN(4,2+'5. Scenarios'!$E$8))/4+INDEX(BookQ3,902)*(5-MIN(4,3+'5. Scenarios'!$E$8))/4+INDEX(BookQ4,902)*(5-MIN(4,4+'5. Scenarios'!$E$8))/4)*'5. Scenarios'!$E$6/(1+ProductivityDefault*('5. Scenarios'!$E$11-1))+INDEX(BookOneOff,902)*$S907)</f>
        <v/>
      </c>
    </row>
    <row r="908" customFormat="false" ht="15" hidden="false" customHeight="false" outlineLevel="0" collapsed="false">
      <c r="A908" s="0" t="str">
        <f aca="false">IF(INDEX(BookTitle,903)="","",INDEX(BookKey,903))</f>
        <v/>
      </c>
      <c r="B908" s="0" t="str">
        <f aca="false">IF(INDEX(BookTitle,903)="","",INDEX(BookGroup,903))</f>
        <v/>
      </c>
      <c r="C908" s="0" t="str">
        <f aca="false">IF(INDEX(BookTitle,903)="","",INDEX(BookCategory,903))</f>
        <v/>
      </c>
      <c r="D908" s="56" t="str">
        <f aca="false">IF(INDEX(BookTitle,903)="","",INDEX(BookTotal,903)*'5. Scenarios'!$B$6/(1+ProductivityDefault*('5. Scenarios'!$B$11-1)))</f>
        <v/>
      </c>
      <c r="E908" s="57" t="str">
        <f aca="false">IF($D908="","",INDEX(BookRate,903)*(1+'5. Scenarios'!$B$10)*$D908)</f>
        <v/>
      </c>
      <c r="F908" s="57" t="str">
        <f aca="false">IF($E908="","",SUMIFS($E$6:$E$2405,$A$6:$A$2405,"&lt;="&amp;$A908))</f>
        <v/>
      </c>
      <c r="G908" s="57" t="str">
        <f aca="false">IF($E908="","",IF($F908&lt;=BankCostEnvelope*'5. Scenarios'!$B$7,1,0))</f>
        <v/>
      </c>
      <c r="H908" s="57" t="str">
        <f aca="false">IF($D908="","",INDEX(BookRate,903)*(1+'5. Scenarios'!$B$10)*(INDEX(BookQ1,903)*(5-MIN(4,1+'5. Scenarios'!$B$8))/4+INDEX(BookQ2,903)*(5-MIN(4,2+'5. Scenarios'!$B$8))/4+INDEX(BookQ3,903)*(5-MIN(4,3+'5. Scenarios'!$B$8))/4+INDEX(BookQ4,903)*(5-MIN(4,4+'5. Scenarios'!$B$8))/4)*'5. Scenarios'!$B$6/(1+ProductivityDefault*('5. Scenarios'!$B$11-1))+INDEX(BookOneOff,903)*$D908)</f>
        <v/>
      </c>
      <c r="I908" s="56" t="str">
        <f aca="false">IF(INDEX(BookTitle,903)="","",INDEX(BookTotal,903)*'5. Scenarios'!$C$6/(1+ProductivityDefault*('5. Scenarios'!$C$11-1)))</f>
        <v/>
      </c>
      <c r="J908" s="57" t="str">
        <f aca="false">IF($I908="","",INDEX(BookRate,903)*(1+'5. Scenarios'!$C$10)*$I908)</f>
        <v/>
      </c>
      <c r="K908" s="57" t="str">
        <f aca="false">IF($J908="","",SUMIFS($J$6:$J$2405,$A$6:$A$2405,"&lt;="&amp;$A908))</f>
        <v/>
      </c>
      <c r="L908" s="57" t="str">
        <f aca="false">IF($J908="","",IF($K908&lt;=BankCostEnvelope*'5. Scenarios'!$C$7,1,0))</f>
        <v/>
      </c>
      <c r="M908" s="57" t="str">
        <f aca="false">IF($I908="","",INDEX(BookRate,903)*(1+'5. Scenarios'!$C$10)*(INDEX(BookQ1,903)*(5-MIN(4,1+'5. Scenarios'!$C$8))/4+INDEX(BookQ2,903)*(5-MIN(4,2+'5. Scenarios'!$C$8))/4+INDEX(BookQ3,903)*(5-MIN(4,3+'5. Scenarios'!$C$8))/4+INDEX(BookQ4,903)*(5-MIN(4,4+'5. Scenarios'!$C$8))/4)*'5. Scenarios'!$C$6/(1+ProductivityDefault*('5. Scenarios'!$C$11-1))+INDEX(BookOneOff,903)*$I908)</f>
        <v/>
      </c>
      <c r="N908" s="56" t="str">
        <f aca="false">IF(INDEX(BookTitle,903)="","",INDEX(BookTotal,903)*'5. Scenarios'!$D$6/(1+ProductivityDefault*('5. Scenarios'!$D$11-1)))</f>
        <v/>
      </c>
      <c r="O908" s="57" t="str">
        <f aca="false">IF($N908="","",INDEX(BookRate,903)*(1+'5. Scenarios'!$D$10)*$N908)</f>
        <v/>
      </c>
      <c r="P908" s="57" t="str">
        <f aca="false">IF($O908="","",SUMIFS($O$6:$O$2405,$A$6:$A$2405,"&lt;="&amp;$A908))</f>
        <v/>
      </c>
      <c r="Q908" s="57" t="str">
        <f aca="false">IF($O908="","",IF($P908&lt;=BankCostEnvelope*'5. Scenarios'!$D$7,1,0))</f>
        <v/>
      </c>
      <c r="R908" s="57" t="str">
        <f aca="false">IF($N908="","",INDEX(BookRate,903)*(1+'5. Scenarios'!$D$10)*(INDEX(BookQ1,903)*(5-MIN(4,1+'5. Scenarios'!$D$8))/4+INDEX(BookQ2,903)*(5-MIN(4,2+'5. Scenarios'!$D$8))/4+INDEX(BookQ3,903)*(5-MIN(4,3+'5. Scenarios'!$D$8))/4+INDEX(BookQ4,903)*(5-MIN(4,4+'5. Scenarios'!$D$8))/4)*'5. Scenarios'!$D$6/(1+ProductivityDefault*('5. Scenarios'!$D$11-1))+INDEX(BookOneOff,903)*$N908)</f>
        <v/>
      </c>
      <c r="S908" s="56" t="str">
        <f aca="false">IF(INDEX(BookTitle,903)="","",INDEX(BookTotal,903)*'5. Scenarios'!$E$6/(1+ProductivityDefault*('5. Scenarios'!$E$11-1)))</f>
        <v/>
      </c>
      <c r="T908" s="57" t="str">
        <f aca="false">IF($S908="","",INDEX(BookRate,903)*(1+'5. Scenarios'!$E$10)*$S908)</f>
        <v/>
      </c>
      <c r="U908" s="57" t="str">
        <f aca="false">IF($T908="","",SUMIFS($T$6:$T$2405,$A$6:$A$2405,"&lt;="&amp;$A908))</f>
        <v/>
      </c>
      <c r="V908" s="57" t="str">
        <f aca="false">IF($T908="","",IF($U908&lt;=BankCostEnvelope*'5. Scenarios'!$E$7,1,0))</f>
        <v/>
      </c>
      <c r="W908" s="57" t="str">
        <f aca="false">IF($S908="","",INDEX(BookRate,903)*(1+'5. Scenarios'!$E$10)*(INDEX(BookQ1,903)*(5-MIN(4,1+'5. Scenarios'!$E$8))/4+INDEX(BookQ2,903)*(5-MIN(4,2+'5. Scenarios'!$E$8))/4+INDEX(BookQ3,903)*(5-MIN(4,3+'5. Scenarios'!$E$8))/4+INDEX(BookQ4,903)*(5-MIN(4,4+'5. Scenarios'!$E$8))/4)*'5. Scenarios'!$E$6/(1+ProductivityDefault*('5. Scenarios'!$E$11-1))+INDEX(BookOneOff,903)*$S908)</f>
        <v/>
      </c>
    </row>
    <row r="909" customFormat="false" ht="15" hidden="false" customHeight="false" outlineLevel="0" collapsed="false">
      <c r="A909" s="0" t="str">
        <f aca="false">IF(INDEX(BookTitle,904)="","",INDEX(BookKey,904))</f>
        <v/>
      </c>
      <c r="B909" s="0" t="str">
        <f aca="false">IF(INDEX(BookTitle,904)="","",INDEX(BookGroup,904))</f>
        <v/>
      </c>
      <c r="C909" s="0" t="str">
        <f aca="false">IF(INDEX(BookTitle,904)="","",INDEX(BookCategory,904))</f>
        <v/>
      </c>
      <c r="D909" s="56" t="str">
        <f aca="false">IF(INDEX(BookTitle,904)="","",INDEX(BookTotal,904)*'5. Scenarios'!$B$6/(1+ProductivityDefault*('5. Scenarios'!$B$11-1)))</f>
        <v/>
      </c>
      <c r="E909" s="57" t="str">
        <f aca="false">IF($D909="","",INDEX(BookRate,904)*(1+'5. Scenarios'!$B$10)*$D909)</f>
        <v/>
      </c>
      <c r="F909" s="57" t="str">
        <f aca="false">IF($E909="","",SUMIFS($E$6:$E$2405,$A$6:$A$2405,"&lt;="&amp;$A909))</f>
        <v/>
      </c>
      <c r="G909" s="57" t="str">
        <f aca="false">IF($E909="","",IF($F909&lt;=BankCostEnvelope*'5. Scenarios'!$B$7,1,0))</f>
        <v/>
      </c>
      <c r="H909" s="57" t="str">
        <f aca="false">IF($D909="","",INDEX(BookRate,904)*(1+'5. Scenarios'!$B$10)*(INDEX(BookQ1,904)*(5-MIN(4,1+'5. Scenarios'!$B$8))/4+INDEX(BookQ2,904)*(5-MIN(4,2+'5. Scenarios'!$B$8))/4+INDEX(BookQ3,904)*(5-MIN(4,3+'5. Scenarios'!$B$8))/4+INDEX(BookQ4,904)*(5-MIN(4,4+'5. Scenarios'!$B$8))/4)*'5. Scenarios'!$B$6/(1+ProductivityDefault*('5. Scenarios'!$B$11-1))+INDEX(BookOneOff,904)*$D909)</f>
        <v/>
      </c>
      <c r="I909" s="56" t="str">
        <f aca="false">IF(INDEX(BookTitle,904)="","",INDEX(BookTotal,904)*'5. Scenarios'!$C$6/(1+ProductivityDefault*('5. Scenarios'!$C$11-1)))</f>
        <v/>
      </c>
      <c r="J909" s="57" t="str">
        <f aca="false">IF($I909="","",INDEX(BookRate,904)*(1+'5. Scenarios'!$C$10)*$I909)</f>
        <v/>
      </c>
      <c r="K909" s="57" t="str">
        <f aca="false">IF($J909="","",SUMIFS($J$6:$J$2405,$A$6:$A$2405,"&lt;="&amp;$A909))</f>
        <v/>
      </c>
      <c r="L909" s="57" t="str">
        <f aca="false">IF($J909="","",IF($K909&lt;=BankCostEnvelope*'5. Scenarios'!$C$7,1,0))</f>
        <v/>
      </c>
      <c r="M909" s="57" t="str">
        <f aca="false">IF($I909="","",INDEX(BookRate,904)*(1+'5. Scenarios'!$C$10)*(INDEX(BookQ1,904)*(5-MIN(4,1+'5. Scenarios'!$C$8))/4+INDEX(BookQ2,904)*(5-MIN(4,2+'5. Scenarios'!$C$8))/4+INDEX(BookQ3,904)*(5-MIN(4,3+'5. Scenarios'!$C$8))/4+INDEX(BookQ4,904)*(5-MIN(4,4+'5. Scenarios'!$C$8))/4)*'5. Scenarios'!$C$6/(1+ProductivityDefault*('5. Scenarios'!$C$11-1))+INDEX(BookOneOff,904)*$I909)</f>
        <v/>
      </c>
      <c r="N909" s="56" t="str">
        <f aca="false">IF(INDEX(BookTitle,904)="","",INDEX(BookTotal,904)*'5. Scenarios'!$D$6/(1+ProductivityDefault*('5. Scenarios'!$D$11-1)))</f>
        <v/>
      </c>
      <c r="O909" s="57" t="str">
        <f aca="false">IF($N909="","",INDEX(BookRate,904)*(1+'5. Scenarios'!$D$10)*$N909)</f>
        <v/>
      </c>
      <c r="P909" s="57" t="str">
        <f aca="false">IF($O909="","",SUMIFS($O$6:$O$2405,$A$6:$A$2405,"&lt;="&amp;$A909))</f>
        <v/>
      </c>
      <c r="Q909" s="57" t="str">
        <f aca="false">IF($O909="","",IF($P909&lt;=BankCostEnvelope*'5. Scenarios'!$D$7,1,0))</f>
        <v/>
      </c>
      <c r="R909" s="57" t="str">
        <f aca="false">IF($N909="","",INDEX(BookRate,904)*(1+'5. Scenarios'!$D$10)*(INDEX(BookQ1,904)*(5-MIN(4,1+'5. Scenarios'!$D$8))/4+INDEX(BookQ2,904)*(5-MIN(4,2+'5. Scenarios'!$D$8))/4+INDEX(BookQ3,904)*(5-MIN(4,3+'5. Scenarios'!$D$8))/4+INDEX(BookQ4,904)*(5-MIN(4,4+'5. Scenarios'!$D$8))/4)*'5. Scenarios'!$D$6/(1+ProductivityDefault*('5. Scenarios'!$D$11-1))+INDEX(BookOneOff,904)*$N909)</f>
        <v/>
      </c>
      <c r="S909" s="56" t="str">
        <f aca="false">IF(INDEX(BookTitle,904)="","",INDEX(BookTotal,904)*'5. Scenarios'!$E$6/(1+ProductivityDefault*('5. Scenarios'!$E$11-1)))</f>
        <v/>
      </c>
      <c r="T909" s="57" t="str">
        <f aca="false">IF($S909="","",INDEX(BookRate,904)*(1+'5. Scenarios'!$E$10)*$S909)</f>
        <v/>
      </c>
      <c r="U909" s="57" t="str">
        <f aca="false">IF($T909="","",SUMIFS($T$6:$T$2405,$A$6:$A$2405,"&lt;="&amp;$A909))</f>
        <v/>
      </c>
      <c r="V909" s="57" t="str">
        <f aca="false">IF($T909="","",IF($U909&lt;=BankCostEnvelope*'5. Scenarios'!$E$7,1,0))</f>
        <v/>
      </c>
      <c r="W909" s="57" t="str">
        <f aca="false">IF($S909="","",INDEX(BookRate,904)*(1+'5. Scenarios'!$E$10)*(INDEX(BookQ1,904)*(5-MIN(4,1+'5. Scenarios'!$E$8))/4+INDEX(BookQ2,904)*(5-MIN(4,2+'5. Scenarios'!$E$8))/4+INDEX(BookQ3,904)*(5-MIN(4,3+'5. Scenarios'!$E$8))/4+INDEX(BookQ4,904)*(5-MIN(4,4+'5. Scenarios'!$E$8))/4)*'5. Scenarios'!$E$6/(1+ProductivityDefault*('5. Scenarios'!$E$11-1))+INDEX(BookOneOff,904)*$S909)</f>
        <v/>
      </c>
    </row>
    <row r="910" customFormat="false" ht="15" hidden="false" customHeight="false" outlineLevel="0" collapsed="false">
      <c r="A910" s="0" t="str">
        <f aca="false">IF(INDEX(BookTitle,905)="","",INDEX(BookKey,905))</f>
        <v/>
      </c>
      <c r="B910" s="0" t="str">
        <f aca="false">IF(INDEX(BookTitle,905)="","",INDEX(BookGroup,905))</f>
        <v/>
      </c>
      <c r="C910" s="0" t="str">
        <f aca="false">IF(INDEX(BookTitle,905)="","",INDEX(BookCategory,905))</f>
        <v/>
      </c>
      <c r="D910" s="56" t="str">
        <f aca="false">IF(INDEX(BookTitle,905)="","",INDEX(BookTotal,905)*'5. Scenarios'!$B$6/(1+ProductivityDefault*('5. Scenarios'!$B$11-1)))</f>
        <v/>
      </c>
      <c r="E910" s="57" t="str">
        <f aca="false">IF($D910="","",INDEX(BookRate,905)*(1+'5. Scenarios'!$B$10)*$D910)</f>
        <v/>
      </c>
      <c r="F910" s="57" t="str">
        <f aca="false">IF($E910="","",SUMIFS($E$6:$E$2405,$A$6:$A$2405,"&lt;="&amp;$A910))</f>
        <v/>
      </c>
      <c r="G910" s="57" t="str">
        <f aca="false">IF($E910="","",IF($F910&lt;=BankCostEnvelope*'5. Scenarios'!$B$7,1,0))</f>
        <v/>
      </c>
      <c r="H910" s="57" t="str">
        <f aca="false">IF($D910="","",INDEX(BookRate,905)*(1+'5. Scenarios'!$B$10)*(INDEX(BookQ1,905)*(5-MIN(4,1+'5. Scenarios'!$B$8))/4+INDEX(BookQ2,905)*(5-MIN(4,2+'5. Scenarios'!$B$8))/4+INDEX(BookQ3,905)*(5-MIN(4,3+'5. Scenarios'!$B$8))/4+INDEX(BookQ4,905)*(5-MIN(4,4+'5. Scenarios'!$B$8))/4)*'5. Scenarios'!$B$6/(1+ProductivityDefault*('5. Scenarios'!$B$11-1))+INDEX(BookOneOff,905)*$D910)</f>
        <v/>
      </c>
      <c r="I910" s="56" t="str">
        <f aca="false">IF(INDEX(BookTitle,905)="","",INDEX(BookTotal,905)*'5. Scenarios'!$C$6/(1+ProductivityDefault*('5. Scenarios'!$C$11-1)))</f>
        <v/>
      </c>
      <c r="J910" s="57" t="str">
        <f aca="false">IF($I910="","",INDEX(BookRate,905)*(1+'5. Scenarios'!$C$10)*$I910)</f>
        <v/>
      </c>
      <c r="K910" s="57" t="str">
        <f aca="false">IF($J910="","",SUMIFS($J$6:$J$2405,$A$6:$A$2405,"&lt;="&amp;$A910))</f>
        <v/>
      </c>
      <c r="L910" s="57" t="str">
        <f aca="false">IF($J910="","",IF($K910&lt;=BankCostEnvelope*'5. Scenarios'!$C$7,1,0))</f>
        <v/>
      </c>
      <c r="M910" s="57" t="str">
        <f aca="false">IF($I910="","",INDEX(BookRate,905)*(1+'5. Scenarios'!$C$10)*(INDEX(BookQ1,905)*(5-MIN(4,1+'5. Scenarios'!$C$8))/4+INDEX(BookQ2,905)*(5-MIN(4,2+'5. Scenarios'!$C$8))/4+INDEX(BookQ3,905)*(5-MIN(4,3+'5. Scenarios'!$C$8))/4+INDEX(BookQ4,905)*(5-MIN(4,4+'5. Scenarios'!$C$8))/4)*'5. Scenarios'!$C$6/(1+ProductivityDefault*('5. Scenarios'!$C$11-1))+INDEX(BookOneOff,905)*$I910)</f>
        <v/>
      </c>
      <c r="N910" s="56" t="str">
        <f aca="false">IF(INDEX(BookTitle,905)="","",INDEX(BookTotal,905)*'5. Scenarios'!$D$6/(1+ProductivityDefault*('5. Scenarios'!$D$11-1)))</f>
        <v/>
      </c>
      <c r="O910" s="57" t="str">
        <f aca="false">IF($N910="","",INDEX(BookRate,905)*(1+'5. Scenarios'!$D$10)*$N910)</f>
        <v/>
      </c>
      <c r="P910" s="57" t="str">
        <f aca="false">IF($O910="","",SUMIFS($O$6:$O$2405,$A$6:$A$2405,"&lt;="&amp;$A910))</f>
        <v/>
      </c>
      <c r="Q910" s="57" t="str">
        <f aca="false">IF($O910="","",IF($P910&lt;=BankCostEnvelope*'5. Scenarios'!$D$7,1,0))</f>
        <v/>
      </c>
      <c r="R910" s="57" t="str">
        <f aca="false">IF($N910="","",INDEX(BookRate,905)*(1+'5. Scenarios'!$D$10)*(INDEX(BookQ1,905)*(5-MIN(4,1+'5. Scenarios'!$D$8))/4+INDEX(BookQ2,905)*(5-MIN(4,2+'5. Scenarios'!$D$8))/4+INDEX(BookQ3,905)*(5-MIN(4,3+'5. Scenarios'!$D$8))/4+INDEX(BookQ4,905)*(5-MIN(4,4+'5. Scenarios'!$D$8))/4)*'5. Scenarios'!$D$6/(1+ProductivityDefault*('5. Scenarios'!$D$11-1))+INDEX(BookOneOff,905)*$N910)</f>
        <v/>
      </c>
      <c r="S910" s="56" t="str">
        <f aca="false">IF(INDEX(BookTitle,905)="","",INDEX(BookTotal,905)*'5. Scenarios'!$E$6/(1+ProductivityDefault*('5. Scenarios'!$E$11-1)))</f>
        <v/>
      </c>
      <c r="T910" s="57" t="str">
        <f aca="false">IF($S910="","",INDEX(BookRate,905)*(1+'5. Scenarios'!$E$10)*$S910)</f>
        <v/>
      </c>
      <c r="U910" s="57" t="str">
        <f aca="false">IF($T910="","",SUMIFS($T$6:$T$2405,$A$6:$A$2405,"&lt;="&amp;$A910))</f>
        <v/>
      </c>
      <c r="V910" s="57" t="str">
        <f aca="false">IF($T910="","",IF($U910&lt;=BankCostEnvelope*'5. Scenarios'!$E$7,1,0))</f>
        <v/>
      </c>
      <c r="W910" s="57" t="str">
        <f aca="false">IF($S910="","",INDEX(BookRate,905)*(1+'5. Scenarios'!$E$10)*(INDEX(BookQ1,905)*(5-MIN(4,1+'5. Scenarios'!$E$8))/4+INDEX(BookQ2,905)*(5-MIN(4,2+'5. Scenarios'!$E$8))/4+INDEX(BookQ3,905)*(5-MIN(4,3+'5. Scenarios'!$E$8))/4+INDEX(BookQ4,905)*(5-MIN(4,4+'5. Scenarios'!$E$8))/4)*'5. Scenarios'!$E$6/(1+ProductivityDefault*('5. Scenarios'!$E$11-1))+INDEX(BookOneOff,905)*$S910)</f>
        <v/>
      </c>
    </row>
    <row r="911" customFormat="false" ht="15" hidden="false" customHeight="false" outlineLevel="0" collapsed="false">
      <c r="A911" s="0" t="str">
        <f aca="false">IF(INDEX(BookTitle,906)="","",INDEX(BookKey,906))</f>
        <v/>
      </c>
      <c r="B911" s="0" t="str">
        <f aca="false">IF(INDEX(BookTitle,906)="","",INDEX(BookGroup,906))</f>
        <v/>
      </c>
      <c r="C911" s="0" t="str">
        <f aca="false">IF(INDEX(BookTitle,906)="","",INDEX(BookCategory,906))</f>
        <v/>
      </c>
      <c r="D911" s="56" t="str">
        <f aca="false">IF(INDEX(BookTitle,906)="","",INDEX(BookTotal,906)*'5. Scenarios'!$B$6/(1+ProductivityDefault*('5. Scenarios'!$B$11-1)))</f>
        <v/>
      </c>
      <c r="E911" s="57" t="str">
        <f aca="false">IF($D911="","",INDEX(BookRate,906)*(1+'5. Scenarios'!$B$10)*$D911)</f>
        <v/>
      </c>
      <c r="F911" s="57" t="str">
        <f aca="false">IF($E911="","",SUMIFS($E$6:$E$2405,$A$6:$A$2405,"&lt;="&amp;$A911))</f>
        <v/>
      </c>
      <c r="G911" s="57" t="str">
        <f aca="false">IF($E911="","",IF($F911&lt;=BankCostEnvelope*'5. Scenarios'!$B$7,1,0))</f>
        <v/>
      </c>
      <c r="H911" s="57" t="str">
        <f aca="false">IF($D911="","",INDEX(BookRate,906)*(1+'5. Scenarios'!$B$10)*(INDEX(BookQ1,906)*(5-MIN(4,1+'5. Scenarios'!$B$8))/4+INDEX(BookQ2,906)*(5-MIN(4,2+'5. Scenarios'!$B$8))/4+INDEX(BookQ3,906)*(5-MIN(4,3+'5. Scenarios'!$B$8))/4+INDEX(BookQ4,906)*(5-MIN(4,4+'5. Scenarios'!$B$8))/4)*'5. Scenarios'!$B$6/(1+ProductivityDefault*('5. Scenarios'!$B$11-1))+INDEX(BookOneOff,906)*$D911)</f>
        <v/>
      </c>
      <c r="I911" s="56" t="str">
        <f aca="false">IF(INDEX(BookTitle,906)="","",INDEX(BookTotal,906)*'5. Scenarios'!$C$6/(1+ProductivityDefault*('5. Scenarios'!$C$11-1)))</f>
        <v/>
      </c>
      <c r="J911" s="57" t="str">
        <f aca="false">IF($I911="","",INDEX(BookRate,906)*(1+'5. Scenarios'!$C$10)*$I911)</f>
        <v/>
      </c>
      <c r="K911" s="57" t="str">
        <f aca="false">IF($J911="","",SUMIFS($J$6:$J$2405,$A$6:$A$2405,"&lt;="&amp;$A911))</f>
        <v/>
      </c>
      <c r="L911" s="57" t="str">
        <f aca="false">IF($J911="","",IF($K911&lt;=BankCostEnvelope*'5. Scenarios'!$C$7,1,0))</f>
        <v/>
      </c>
      <c r="M911" s="57" t="str">
        <f aca="false">IF($I911="","",INDEX(BookRate,906)*(1+'5. Scenarios'!$C$10)*(INDEX(BookQ1,906)*(5-MIN(4,1+'5. Scenarios'!$C$8))/4+INDEX(BookQ2,906)*(5-MIN(4,2+'5. Scenarios'!$C$8))/4+INDEX(BookQ3,906)*(5-MIN(4,3+'5. Scenarios'!$C$8))/4+INDEX(BookQ4,906)*(5-MIN(4,4+'5. Scenarios'!$C$8))/4)*'5. Scenarios'!$C$6/(1+ProductivityDefault*('5. Scenarios'!$C$11-1))+INDEX(BookOneOff,906)*$I911)</f>
        <v/>
      </c>
      <c r="N911" s="56" t="str">
        <f aca="false">IF(INDEX(BookTitle,906)="","",INDEX(BookTotal,906)*'5. Scenarios'!$D$6/(1+ProductivityDefault*('5. Scenarios'!$D$11-1)))</f>
        <v/>
      </c>
      <c r="O911" s="57" t="str">
        <f aca="false">IF($N911="","",INDEX(BookRate,906)*(1+'5. Scenarios'!$D$10)*$N911)</f>
        <v/>
      </c>
      <c r="P911" s="57" t="str">
        <f aca="false">IF($O911="","",SUMIFS($O$6:$O$2405,$A$6:$A$2405,"&lt;="&amp;$A911))</f>
        <v/>
      </c>
      <c r="Q911" s="57" t="str">
        <f aca="false">IF($O911="","",IF($P911&lt;=BankCostEnvelope*'5. Scenarios'!$D$7,1,0))</f>
        <v/>
      </c>
      <c r="R911" s="57" t="str">
        <f aca="false">IF($N911="","",INDEX(BookRate,906)*(1+'5. Scenarios'!$D$10)*(INDEX(BookQ1,906)*(5-MIN(4,1+'5. Scenarios'!$D$8))/4+INDEX(BookQ2,906)*(5-MIN(4,2+'5. Scenarios'!$D$8))/4+INDEX(BookQ3,906)*(5-MIN(4,3+'5. Scenarios'!$D$8))/4+INDEX(BookQ4,906)*(5-MIN(4,4+'5. Scenarios'!$D$8))/4)*'5. Scenarios'!$D$6/(1+ProductivityDefault*('5. Scenarios'!$D$11-1))+INDEX(BookOneOff,906)*$N911)</f>
        <v/>
      </c>
      <c r="S911" s="56" t="str">
        <f aca="false">IF(INDEX(BookTitle,906)="","",INDEX(BookTotal,906)*'5. Scenarios'!$E$6/(1+ProductivityDefault*('5. Scenarios'!$E$11-1)))</f>
        <v/>
      </c>
      <c r="T911" s="57" t="str">
        <f aca="false">IF($S911="","",INDEX(BookRate,906)*(1+'5. Scenarios'!$E$10)*$S911)</f>
        <v/>
      </c>
      <c r="U911" s="57" t="str">
        <f aca="false">IF($T911="","",SUMIFS($T$6:$T$2405,$A$6:$A$2405,"&lt;="&amp;$A911))</f>
        <v/>
      </c>
      <c r="V911" s="57" t="str">
        <f aca="false">IF($T911="","",IF($U911&lt;=BankCostEnvelope*'5. Scenarios'!$E$7,1,0))</f>
        <v/>
      </c>
      <c r="W911" s="57" t="str">
        <f aca="false">IF($S911="","",INDEX(BookRate,906)*(1+'5. Scenarios'!$E$10)*(INDEX(BookQ1,906)*(5-MIN(4,1+'5. Scenarios'!$E$8))/4+INDEX(BookQ2,906)*(5-MIN(4,2+'5. Scenarios'!$E$8))/4+INDEX(BookQ3,906)*(5-MIN(4,3+'5. Scenarios'!$E$8))/4+INDEX(BookQ4,906)*(5-MIN(4,4+'5. Scenarios'!$E$8))/4)*'5. Scenarios'!$E$6/(1+ProductivityDefault*('5. Scenarios'!$E$11-1))+INDEX(BookOneOff,906)*$S911)</f>
        <v/>
      </c>
    </row>
    <row r="912" customFormat="false" ht="15" hidden="false" customHeight="false" outlineLevel="0" collapsed="false">
      <c r="A912" s="0" t="str">
        <f aca="false">IF(INDEX(BookTitle,907)="","",INDEX(BookKey,907))</f>
        <v/>
      </c>
      <c r="B912" s="0" t="str">
        <f aca="false">IF(INDEX(BookTitle,907)="","",INDEX(BookGroup,907))</f>
        <v/>
      </c>
      <c r="C912" s="0" t="str">
        <f aca="false">IF(INDEX(BookTitle,907)="","",INDEX(BookCategory,907))</f>
        <v/>
      </c>
      <c r="D912" s="56" t="str">
        <f aca="false">IF(INDEX(BookTitle,907)="","",INDEX(BookTotal,907)*'5. Scenarios'!$B$6/(1+ProductivityDefault*('5. Scenarios'!$B$11-1)))</f>
        <v/>
      </c>
      <c r="E912" s="57" t="str">
        <f aca="false">IF($D912="","",INDEX(BookRate,907)*(1+'5. Scenarios'!$B$10)*$D912)</f>
        <v/>
      </c>
      <c r="F912" s="57" t="str">
        <f aca="false">IF($E912="","",SUMIFS($E$6:$E$2405,$A$6:$A$2405,"&lt;="&amp;$A912))</f>
        <v/>
      </c>
      <c r="G912" s="57" t="str">
        <f aca="false">IF($E912="","",IF($F912&lt;=BankCostEnvelope*'5. Scenarios'!$B$7,1,0))</f>
        <v/>
      </c>
      <c r="H912" s="57" t="str">
        <f aca="false">IF($D912="","",INDEX(BookRate,907)*(1+'5. Scenarios'!$B$10)*(INDEX(BookQ1,907)*(5-MIN(4,1+'5. Scenarios'!$B$8))/4+INDEX(BookQ2,907)*(5-MIN(4,2+'5. Scenarios'!$B$8))/4+INDEX(BookQ3,907)*(5-MIN(4,3+'5. Scenarios'!$B$8))/4+INDEX(BookQ4,907)*(5-MIN(4,4+'5. Scenarios'!$B$8))/4)*'5. Scenarios'!$B$6/(1+ProductivityDefault*('5. Scenarios'!$B$11-1))+INDEX(BookOneOff,907)*$D912)</f>
        <v/>
      </c>
      <c r="I912" s="56" t="str">
        <f aca="false">IF(INDEX(BookTitle,907)="","",INDEX(BookTotal,907)*'5. Scenarios'!$C$6/(1+ProductivityDefault*('5. Scenarios'!$C$11-1)))</f>
        <v/>
      </c>
      <c r="J912" s="57" t="str">
        <f aca="false">IF($I912="","",INDEX(BookRate,907)*(1+'5. Scenarios'!$C$10)*$I912)</f>
        <v/>
      </c>
      <c r="K912" s="57" t="str">
        <f aca="false">IF($J912="","",SUMIFS($J$6:$J$2405,$A$6:$A$2405,"&lt;="&amp;$A912))</f>
        <v/>
      </c>
      <c r="L912" s="57" t="str">
        <f aca="false">IF($J912="","",IF($K912&lt;=BankCostEnvelope*'5. Scenarios'!$C$7,1,0))</f>
        <v/>
      </c>
      <c r="M912" s="57" t="str">
        <f aca="false">IF($I912="","",INDEX(BookRate,907)*(1+'5. Scenarios'!$C$10)*(INDEX(BookQ1,907)*(5-MIN(4,1+'5. Scenarios'!$C$8))/4+INDEX(BookQ2,907)*(5-MIN(4,2+'5. Scenarios'!$C$8))/4+INDEX(BookQ3,907)*(5-MIN(4,3+'5. Scenarios'!$C$8))/4+INDEX(BookQ4,907)*(5-MIN(4,4+'5. Scenarios'!$C$8))/4)*'5. Scenarios'!$C$6/(1+ProductivityDefault*('5. Scenarios'!$C$11-1))+INDEX(BookOneOff,907)*$I912)</f>
        <v/>
      </c>
      <c r="N912" s="56" t="str">
        <f aca="false">IF(INDEX(BookTitle,907)="","",INDEX(BookTotal,907)*'5. Scenarios'!$D$6/(1+ProductivityDefault*('5. Scenarios'!$D$11-1)))</f>
        <v/>
      </c>
      <c r="O912" s="57" t="str">
        <f aca="false">IF($N912="","",INDEX(BookRate,907)*(1+'5. Scenarios'!$D$10)*$N912)</f>
        <v/>
      </c>
      <c r="P912" s="57" t="str">
        <f aca="false">IF($O912="","",SUMIFS($O$6:$O$2405,$A$6:$A$2405,"&lt;="&amp;$A912))</f>
        <v/>
      </c>
      <c r="Q912" s="57" t="str">
        <f aca="false">IF($O912="","",IF($P912&lt;=BankCostEnvelope*'5. Scenarios'!$D$7,1,0))</f>
        <v/>
      </c>
      <c r="R912" s="57" t="str">
        <f aca="false">IF($N912="","",INDEX(BookRate,907)*(1+'5. Scenarios'!$D$10)*(INDEX(BookQ1,907)*(5-MIN(4,1+'5. Scenarios'!$D$8))/4+INDEX(BookQ2,907)*(5-MIN(4,2+'5. Scenarios'!$D$8))/4+INDEX(BookQ3,907)*(5-MIN(4,3+'5. Scenarios'!$D$8))/4+INDEX(BookQ4,907)*(5-MIN(4,4+'5. Scenarios'!$D$8))/4)*'5. Scenarios'!$D$6/(1+ProductivityDefault*('5. Scenarios'!$D$11-1))+INDEX(BookOneOff,907)*$N912)</f>
        <v/>
      </c>
      <c r="S912" s="56" t="str">
        <f aca="false">IF(INDEX(BookTitle,907)="","",INDEX(BookTotal,907)*'5. Scenarios'!$E$6/(1+ProductivityDefault*('5. Scenarios'!$E$11-1)))</f>
        <v/>
      </c>
      <c r="T912" s="57" t="str">
        <f aca="false">IF($S912="","",INDEX(BookRate,907)*(1+'5. Scenarios'!$E$10)*$S912)</f>
        <v/>
      </c>
      <c r="U912" s="57" t="str">
        <f aca="false">IF($T912="","",SUMIFS($T$6:$T$2405,$A$6:$A$2405,"&lt;="&amp;$A912))</f>
        <v/>
      </c>
      <c r="V912" s="57" t="str">
        <f aca="false">IF($T912="","",IF($U912&lt;=BankCostEnvelope*'5. Scenarios'!$E$7,1,0))</f>
        <v/>
      </c>
      <c r="W912" s="57" t="str">
        <f aca="false">IF($S912="","",INDEX(BookRate,907)*(1+'5. Scenarios'!$E$10)*(INDEX(BookQ1,907)*(5-MIN(4,1+'5. Scenarios'!$E$8))/4+INDEX(BookQ2,907)*(5-MIN(4,2+'5. Scenarios'!$E$8))/4+INDEX(BookQ3,907)*(5-MIN(4,3+'5. Scenarios'!$E$8))/4+INDEX(BookQ4,907)*(5-MIN(4,4+'5. Scenarios'!$E$8))/4)*'5. Scenarios'!$E$6/(1+ProductivityDefault*('5. Scenarios'!$E$11-1))+INDEX(BookOneOff,907)*$S912)</f>
        <v/>
      </c>
    </row>
    <row r="913" customFormat="false" ht="15" hidden="false" customHeight="false" outlineLevel="0" collapsed="false">
      <c r="A913" s="0" t="str">
        <f aca="false">IF(INDEX(BookTitle,908)="","",INDEX(BookKey,908))</f>
        <v/>
      </c>
      <c r="B913" s="0" t="str">
        <f aca="false">IF(INDEX(BookTitle,908)="","",INDEX(BookGroup,908))</f>
        <v/>
      </c>
      <c r="C913" s="0" t="str">
        <f aca="false">IF(INDEX(BookTitle,908)="","",INDEX(BookCategory,908))</f>
        <v/>
      </c>
      <c r="D913" s="56" t="str">
        <f aca="false">IF(INDEX(BookTitle,908)="","",INDEX(BookTotal,908)*'5. Scenarios'!$B$6/(1+ProductivityDefault*('5. Scenarios'!$B$11-1)))</f>
        <v/>
      </c>
      <c r="E913" s="57" t="str">
        <f aca="false">IF($D913="","",INDEX(BookRate,908)*(1+'5. Scenarios'!$B$10)*$D913)</f>
        <v/>
      </c>
      <c r="F913" s="57" t="str">
        <f aca="false">IF($E913="","",SUMIFS($E$6:$E$2405,$A$6:$A$2405,"&lt;="&amp;$A913))</f>
        <v/>
      </c>
      <c r="G913" s="57" t="str">
        <f aca="false">IF($E913="","",IF($F913&lt;=BankCostEnvelope*'5. Scenarios'!$B$7,1,0))</f>
        <v/>
      </c>
      <c r="H913" s="57" t="str">
        <f aca="false">IF($D913="","",INDEX(BookRate,908)*(1+'5. Scenarios'!$B$10)*(INDEX(BookQ1,908)*(5-MIN(4,1+'5. Scenarios'!$B$8))/4+INDEX(BookQ2,908)*(5-MIN(4,2+'5. Scenarios'!$B$8))/4+INDEX(BookQ3,908)*(5-MIN(4,3+'5. Scenarios'!$B$8))/4+INDEX(BookQ4,908)*(5-MIN(4,4+'5. Scenarios'!$B$8))/4)*'5. Scenarios'!$B$6/(1+ProductivityDefault*('5. Scenarios'!$B$11-1))+INDEX(BookOneOff,908)*$D913)</f>
        <v/>
      </c>
      <c r="I913" s="56" t="str">
        <f aca="false">IF(INDEX(BookTitle,908)="","",INDEX(BookTotal,908)*'5. Scenarios'!$C$6/(1+ProductivityDefault*('5. Scenarios'!$C$11-1)))</f>
        <v/>
      </c>
      <c r="J913" s="57" t="str">
        <f aca="false">IF($I913="","",INDEX(BookRate,908)*(1+'5. Scenarios'!$C$10)*$I913)</f>
        <v/>
      </c>
      <c r="K913" s="57" t="str">
        <f aca="false">IF($J913="","",SUMIFS($J$6:$J$2405,$A$6:$A$2405,"&lt;="&amp;$A913))</f>
        <v/>
      </c>
      <c r="L913" s="57" t="str">
        <f aca="false">IF($J913="","",IF($K913&lt;=BankCostEnvelope*'5. Scenarios'!$C$7,1,0))</f>
        <v/>
      </c>
      <c r="M913" s="57" t="str">
        <f aca="false">IF($I913="","",INDEX(BookRate,908)*(1+'5. Scenarios'!$C$10)*(INDEX(BookQ1,908)*(5-MIN(4,1+'5. Scenarios'!$C$8))/4+INDEX(BookQ2,908)*(5-MIN(4,2+'5. Scenarios'!$C$8))/4+INDEX(BookQ3,908)*(5-MIN(4,3+'5. Scenarios'!$C$8))/4+INDEX(BookQ4,908)*(5-MIN(4,4+'5. Scenarios'!$C$8))/4)*'5. Scenarios'!$C$6/(1+ProductivityDefault*('5. Scenarios'!$C$11-1))+INDEX(BookOneOff,908)*$I913)</f>
        <v/>
      </c>
      <c r="N913" s="56" t="str">
        <f aca="false">IF(INDEX(BookTitle,908)="","",INDEX(BookTotal,908)*'5. Scenarios'!$D$6/(1+ProductivityDefault*('5. Scenarios'!$D$11-1)))</f>
        <v/>
      </c>
      <c r="O913" s="57" t="str">
        <f aca="false">IF($N913="","",INDEX(BookRate,908)*(1+'5. Scenarios'!$D$10)*$N913)</f>
        <v/>
      </c>
      <c r="P913" s="57" t="str">
        <f aca="false">IF($O913="","",SUMIFS($O$6:$O$2405,$A$6:$A$2405,"&lt;="&amp;$A913))</f>
        <v/>
      </c>
      <c r="Q913" s="57" t="str">
        <f aca="false">IF($O913="","",IF($P913&lt;=BankCostEnvelope*'5. Scenarios'!$D$7,1,0))</f>
        <v/>
      </c>
      <c r="R913" s="57" t="str">
        <f aca="false">IF($N913="","",INDEX(BookRate,908)*(1+'5. Scenarios'!$D$10)*(INDEX(BookQ1,908)*(5-MIN(4,1+'5. Scenarios'!$D$8))/4+INDEX(BookQ2,908)*(5-MIN(4,2+'5. Scenarios'!$D$8))/4+INDEX(BookQ3,908)*(5-MIN(4,3+'5. Scenarios'!$D$8))/4+INDEX(BookQ4,908)*(5-MIN(4,4+'5. Scenarios'!$D$8))/4)*'5. Scenarios'!$D$6/(1+ProductivityDefault*('5. Scenarios'!$D$11-1))+INDEX(BookOneOff,908)*$N913)</f>
        <v/>
      </c>
      <c r="S913" s="56" t="str">
        <f aca="false">IF(INDEX(BookTitle,908)="","",INDEX(BookTotal,908)*'5. Scenarios'!$E$6/(1+ProductivityDefault*('5. Scenarios'!$E$11-1)))</f>
        <v/>
      </c>
      <c r="T913" s="57" t="str">
        <f aca="false">IF($S913="","",INDEX(BookRate,908)*(1+'5. Scenarios'!$E$10)*$S913)</f>
        <v/>
      </c>
      <c r="U913" s="57" t="str">
        <f aca="false">IF($T913="","",SUMIFS($T$6:$T$2405,$A$6:$A$2405,"&lt;="&amp;$A913))</f>
        <v/>
      </c>
      <c r="V913" s="57" t="str">
        <f aca="false">IF($T913="","",IF($U913&lt;=BankCostEnvelope*'5. Scenarios'!$E$7,1,0))</f>
        <v/>
      </c>
      <c r="W913" s="57" t="str">
        <f aca="false">IF($S913="","",INDEX(BookRate,908)*(1+'5. Scenarios'!$E$10)*(INDEX(BookQ1,908)*(5-MIN(4,1+'5. Scenarios'!$E$8))/4+INDEX(BookQ2,908)*(5-MIN(4,2+'5. Scenarios'!$E$8))/4+INDEX(BookQ3,908)*(5-MIN(4,3+'5. Scenarios'!$E$8))/4+INDEX(BookQ4,908)*(5-MIN(4,4+'5. Scenarios'!$E$8))/4)*'5. Scenarios'!$E$6/(1+ProductivityDefault*('5. Scenarios'!$E$11-1))+INDEX(BookOneOff,908)*$S913)</f>
        <v/>
      </c>
    </row>
    <row r="914" customFormat="false" ht="15" hidden="false" customHeight="false" outlineLevel="0" collapsed="false">
      <c r="A914" s="0" t="str">
        <f aca="false">IF(INDEX(BookTitle,909)="","",INDEX(BookKey,909))</f>
        <v/>
      </c>
      <c r="B914" s="0" t="str">
        <f aca="false">IF(INDEX(BookTitle,909)="","",INDEX(BookGroup,909))</f>
        <v/>
      </c>
      <c r="C914" s="0" t="str">
        <f aca="false">IF(INDEX(BookTitle,909)="","",INDEX(BookCategory,909))</f>
        <v/>
      </c>
      <c r="D914" s="56" t="str">
        <f aca="false">IF(INDEX(BookTitle,909)="","",INDEX(BookTotal,909)*'5. Scenarios'!$B$6/(1+ProductivityDefault*('5. Scenarios'!$B$11-1)))</f>
        <v/>
      </c>
      <c r="E914" s="57" t="str">
        <f aca="false">IF($D914="","",INDEX(BookRate,909)*(1+'5. Scenarios'!$B$10)*$D914)</f>
        <v/>
      </c>
      <c r="F914" s="57" t="str">
        <f aca="false">IF($E914="","",SUMIFS($E$6:$E$2405,$A$6:$A$2405,"&lt;="&amp;$A914))</f>
        <v/>
      </c>
      <c r="G914" s="57" t="str">
        <f aca="false">IF($E914="","",IF($F914&lt;=BankCostEnvelope*'5. Scenarios'!$B$7,1,0))</f>
        <v/>
      </c>
      <c r="H914" s="57" t="str">
        <f aca="false">IF($D914="","",INDEX(BookRate,909)*(1+'5. Scenarios'!$B$10)*(INDEX(BookQ1,909)*(5-MIN(4,1+'5. Scenarios'!$B$8))/4+INDEX(BookQ2,909)*(5-MIN(4,2+'5. Scenarios'!$B$8))/4+INDEX(BookQ3,909)*(5-MIN(4,3+'5. Scenarios'!$B$8))/4+INDEX(BookQ4,909)*(5-MIN(4,4+'5. Scenarios'!$B$8))/4)*'5. Scenarios'!$B$6/(1+ProductivityDefault*('5. Scenarios'!$B$11-1))+INDEX(BookOneOff,909)*$D914)</f>
        <v/>
      </c>
      <c r="I914" s="56" t="str">
        <f aca="false">IF(INDEX(BookTitle,909)="","",INDEX(BookTotal,909)*'5. Scenarios'!$C$6/(1+ProductivityDefault*('5. Scenarios'!$C$11-1)))</f>
        <v/>
      </c>
      <c r="J914" s="57" t="str">
        <f aca="false">IF($I914="","",INDEX(BookRate,909)*(1+'5. Scenarios'!$C$10)*$I914)</f>
        <v/>
      </c>
      <c r="K914" s="57" t="str">
        <f aca="false">IF($J914="","",SUMIFS($J$6:$J$2405,$A$6:$A$2405,"&lt;="&amp;$A914))</f>
        <v/>
      </c>
      <c r="L914" s="57" t="str">
        <f aca="false">IF($J914="","",IF($K914&lt;=BankCostEnvelope*'5. Scenarios'!$C$7,1,0))</f>
        <v/>
      </c>
      <c r="M914" s="57" t="str">
        <f aca="false">IF($I914="","",INDEX(BookRate,909)*(1+'5. Scenarios'!$C$10)*(INDEX(BookQ1,909)*(5-MIN(4,1+'5. Scenarios'!$C$8))/4+INDEX(BookQ2,909)*(5-MIN(4,2+'5. Scenarios'!$C$8))/4+INDEX(BookQ3,909)*(5-MIN(4,3+'5. Scenarios'!$C$8))/4+INDEX(BookQ4,909)*(5-MIN(4,4+'5. Scenarios'!$C$8))/4)*'5. Scenarios'!$C$6/(1+ProductivityDefault*('5. Scenarios'!$C$11-1))+INDEX(BookOneOff,909)*$I914)</f>
        <v/>
      </c>
      <c r="N914" s="56" t="str">
        <f aca="false">IF(INDEX(BookTitle,909)="","",INDEX(BookTotal,909)*'5. Scenarios'!$D$6/(1+ProductivityDefault*('5. Scenarios'!$D$11-1)))</f>
        <v/>
      </c>
      <c r="O914" s="57" t="str">
        <f aca="false">IF($N914="","",INDEX(BookRate,909)*(1+'5. Scenarios'!$D$10)*$N914)</f>
        <v/>
      </c>
      <c r="P914" s="57" t="str">
        <f aca="false">IF($O914="","",SUMIFS($O$6:$O$2405,$A$6:$A$2405,"&lt;="&amp;$A914))</f>
        <v/>
      </c>
      <c r="Q914" s="57" t="str">
        <f aca="false">IF($O914="","",IF($P914&lt;=BankCostEnvelope*'5. Scenarios'!$D$7,1,0))</f>
        <v/>
      </c>
      <c r="R914" s="57" t="str">
        <f aca="false">IF($N914="","",INDEX(BookRate,909)*(1+'5. Scenarios'!$D$10)*(INDEX(BookQ1,909)*(5-MIN(4,1+'5. Scenarios'!$D$8))/4+INDEX(BookQ2,909)*(5-MIN(4,2+'5. Scenarios'!$D$8))/4+INDEX(BookQ3,909)*(5-MIN(4,3+'5. Scenarios'!$D$8))/4+INDEX(BookQ4,909)*(5-MIN(4,4+'5. Scenarios'!$D$8))/4)*'5. Scenarios'!$D$6/(1+ProductivityDefault*('5. Scenarios'!$D$11-1))+INDEX(BookOneOff,909)*$N914)</f>
        <v/>
      </c>
      <c r="S914" s="56" t="str">
        <f aca="false">IF(INDEX(BookTitle,909)="","",INDEX(BookTotal,909)*'5. Scenarios'!$E$6/(1+ProductivityDefault*('5. Scenarios'!$E$11-1)))</f>
        <v/>
      </c>
      <c r="T914" s="57" t="str">
        <f aca="false">IF($S914="","",INDEX(BookRate,909)*(1+'5. Scenarios'!$E$10)*$S914)</f>
        <v/>
      </c>
      <c r="U914" s="57" t="str">
        <f aca="false">IF($T914="","",SUMIFS($T$6:$T$2405,$A$6:$A$2405,"&lt;="&amp;$A914))</f>
        <v/>
      </c>
      <c r="V914" s="57" t="str">
        <f aca="false">IF($T914="","",IF($U914&lt;=BankCostEnvelope*'5. Scenarios'!$E$7,1,0))</f>
        <v/>
      </c>
      <c r="W914" s="57" t="str">
        <f aca="false">IF($S914="","",INDEX(BookRate,909)*(1+'5. Scenarios'!$E$10)*(INDEX(BookQ1,909)*(5-MIN(4,1+'5. Scenarios'!$E$8))/4+INDEX(BookQ2,909)*(5-MIN(4,2+'5. Scenarios'!$E$8))/4+INDEX(BookQ3,909)*(5-MIN(4,3+'5. Scenarios'!$E$8))/4+INDEX(BookQ4,909)*(5-MIN(4,4+'5. Scenarios'!$E$8))/4)*'5. Scenarios'!$E$6/(1+ProductivityDefault*('5. Scenarios'!$E$11-1))+INDEX(BookOneOff,909)*$S914)</f>
        <v/>
      </c>
    </row>
    <row r="915" customFormat="false" ht="15" hidden="false" customHeight="false" outlineLevel="0" collapsed="false">
      <c r="A915" s="0" t="str">
        <f aca="false">IF(INDEX(BookTitle,910)="","",INDEX(BookKey,910))</f>
        <v/>
      </c>
      <c r="B915" s="0" t="str">
        <f aca="false">IF(INDEX(BookTitle,910)="","",INDEX(BookGroup,910))</f>
        <v/>
      </c>
      <c r="C915" s="0" t="str">
        <f aca="false">IF(INDEX(BookTitle,910)="","",INDEX(BookCategory,910))</f>
        <v/>
      </c>
      <c r="D915" s="56" t="str">
        <f aca="false">IF(INDEX(BookTitle,910)="","",INDEX(BookTotal,910)*'5. Scenarios'!$B$6/(1+ProductivityDefault*('5. Scenarios'!$B$11-1)))</f>
        <v/>
      </c>
      <c r="E915" s="57" t="str">
        <f aca="false">IF($D915="","",INDEX(BookRate,910)*(1+'5. Scenarios'!$B$10)*$D915)</f>
        <v/>
      </c>
      <c r="F915" s="57" t="str">
        <f aca="false">IF($E915="","",SUMIFS($E$6:$E$2405,$A$6:$A$2405,"&lt;="&amp;$A915))</f>
        <v/>
      </c>
      <c r="G915" s="57" t="str">
        <f aca="false">IF($E915="","",IF($F915&lt;=BankCostEnvelope*'5. Scenarios'!$B$7,1,0))</f>
        <v/>
      </c>
      <c r="H915" s="57" t="str">
        <f aca="false">IF($D915="","",INDEX(BookRate,910)*(1+'5. Scenarios'!$B$10)*(INDEX(BookQ1,910)*(5-MIN(4,1+'5. Scenarios'!$B$8))/4+INDEX(BookQ2,910)*(5-MIN(4,2+'5. Scenarios'!$B$8))/4+INDEX(BookQ3,910)*(5-MIN(4,3+'5. Scenarios'!$B$8))/4+INDEX(BookQ4,910)*(5-MIN(4,4+'5. Scenarios'!$B$8))/4)*'5. Scenarios'!$B$6/(1+ProductivityDefault*('5. Scenarios'!$B$11-1))+INDEX(BookOneOff,910)*$D915)</f>
        <v/>
      </c>
      <c r="I915" s="56" t="str">
        <f aca="false">IF(INDEX(BookTitle,910)="","",INDEX(BookTotal,910)*'5. Scenarios'!$C$6/(1+ProductivityDefault*('5. Scenarios'!$C$11-1)))</f>
        <v/>
      </c>
      <c r="J915" s="57" t="str">
        <f aca="false">IF($I915="","",INDEX(BookRate,910)*(1+'5. Scenarios'!$C$10)*$I915)</f>
        <v/>
      </c>
      <c r="K915" s="57" t="str">
        <f aca="false">IF($J915="","",SUMIFS($J$6:$J$2405,$A$6:$A$2405,"&lt;="&amp;$A915))</f>
        <v/>
      </c>
      <c r="L915" s="57" t="str">
        <f aca="false">IF($J915="","",IF($K915&lt;=BankCostEnvelope*'5. Scenarios'!$C$7,1,0))</f>
        <v/>
      </c>
      <c r="M915" s="57" t="str">
        <f aca="false">IF($I915="","",INDEX(BookRate,910)*(1+'5. Scenarios'!$C$10)*(INDEX(BookQ1,910)*(5-MIN(4,1+'5. Scenarios'!$C$8))/4+INDEX(BookQ2,910)*(5-MIN(4,2+'5. Scenarios'!$C$8))/4+INDEX(BookQ3,910)*(5-MIN(4,3+'5. Scenarios'!$C$8))/4+INDEX(BookQ4,910)*(5-MIN(4,4+'5. Scenarios'!$C$8))/4)*'5. Scenarios'!$C$6/(1+ProductivityDefault*('5. Scenarios'!$C$11-1))+INDEX(BookOneOff,910)*$I915)</f>
        <v/>
      </c>
      <c r="N915" s="56" t="str">
        <f aca="false">IF(INDEX(BookTitle,910)="","",INDEX(BookTotal,910)*'5. Scenarios'!$D$6/(1+ProductivityDefault*('5. Scenarios'!$D$11-1)))</f>
        <v/>
      </c>
      <c r="O915" s="57" t="str">
        <f aca="false">IF($N915="","",INDEX(BookRate,910)*(1+'5. Scenarios'!$D$10)*$N915)</f>
        <v/>
      </c>
      <c r="P915" s="57" t="str">
        <f aca="false">IF($O915="","",SUMIFS($O$6:$O$2405,$A$6:$A$2405,"&lt;="&amp;$A915))</f>
        <v/>
      </c>
      <c r="Q915" s="57" t="str">
        <f aca="false">IF($O915="","",IF($P915&lt;=BankCostEnvelope*'5. Scenarios'!$D$7,1,0))</f>
        <v/>
      </c>
      <c r="R915" s="57" t="str">
        <f aca="false">IF($N915="","",INDEX(BookRate,910)*(1+'5. Scenarios'!$D$10)*(INDEX(BookQ1,910)*(5-MIN(4,1+'5. Scenarios'!$D$8))/4+INDEX(BookQ2,910)*(5-MIN(4,2+'5. Scenarios'!$D$8))/4+INDEX(BookQ3,910)*(5-MIN(4,3+'5. Scenarios'!$D$8))/4+INDEX(BookQ4,910)*(5-MIN(4,4+'5. Scenarios'!$D$8))/4)*'5. Scenarios'!$D$6/(1+ProductivityDefault*('5. Scenarios'!$D$11-1))+INDEX(BookOneOff,910)*$N915)</f>
        <v/>
      </c>
      <c r="S915" s="56" t="str">
        <f aca="false">IF(INDEX(BookTitle,910)="","",INDEX(BookTotal,910)*'5. Scenarios'!$E$6/(1+ProductivityDefault*('5. Scenarios'!$E$11-1)))</f>
        <v/>
      </c>
      <c r="T915" s="57" t="str">
        <f aca="false">IF($S915="","",INDEX(BookRate,910)*(1+'5. Scenarios'!$E$10)*$S915)</f>
        <v/>
      </c>
      <c r="U915" s="57" t="str">
        <f aca="false">IF($T915="","",SUMIFS($T$6:$T$2405,$A$6:$A$2405,"&lt;="&amp;$A915))</f>
        <v/>
      </c>
      <c r="V915" s="57" t="str">
        <f aca="false">IF($T915="","",IF($U915&lt;=BankCostEnvelope*'5. Scenarios'!$E$7,1,0))</f>
        <v/>
      </c>
      <c r="W915" s="57" t="str">
        <f aca="false">IF($S915="","",INDEX(BookRate,910)*(1+'5. Scenarios'!$E$10)*(INDEX(BookQ1,910)*(5-MIN(4,1+'5. Scenarios'!$E$8))/4+INDEX(BookQ2,910)*(5-MIN(4,2+'5. Scenarios'!$E$8))/4+INDEX(BookQ3,910)*(5-MIN(4,3+'5. Scenarios'!$E$8))/4+INDEX(BookQ4,910)*(5-MIN(4,4+'5. Scenarios'!$E$8))/4)*'5. Scenarios'!$E$6/(1+ProductivityDefault*('5. Scenarios'!$E$11-1))+INDEX(BookOneOff,910)*$S915)</f>
        <v/>
      </c>
    </row>
    <row r="916" customFormat="false" ht="15" hidden="false" customHeight="false" outlineLevel="0" collapsed="false">
      <c r="A916" s="0" t="str">
        <f aca="false">IF(INDEX(BookTitle,911)="","",INDEX(BookKey,911))</f>
        <v/>
      </c>
      <c r="B916" s="0" t="str">
        <f aca="false">IF(INDEX(BookTitle,911)="","",INDEX(BookGroup,911))</f>
        <v/>
      </c>
      <c r="C916" s="0" t="str">
        <f aca="false">IF(INDEX(BookTitle,911)="","",INDEX(BookCategory,911))</f>
        <v/>
      </c>
      <c r="D916" s="56" t="str">
        <f aca="false">IF(INDEX(BookTitle,911)="","",INDEX(BookTotal,911)*'5. Scenarios'!$B$6/(1+ProductivityDefault*('5. Scenarios'!$B$11-1)))</f>
        <v/>
      </c>
      <c r="E916" s="57" t="str">
        <f aca="false">IF($D916="","",INDEX(BookRate,911)*(1+'5. Scenarios'!$B$10)*$D916)</f>
        <v/>
      </c>
      <c r="F916" s="57" t="str">
        <f aca="false">IF($E916="","",SUMIFS($E$6:$E$2405,$A$6:$A$2405,"&lt;="&amp;$A916))</f>
        <v/>
      </c>
      <c r="G916" s="57" t="str">
        <f aca="false">IF($E916="","",IF($F916&lt;=BankCostEnvelope*'5. Scenarios'!$B$7,1,0))</f>
        <v/>
      </c>
      <c r="H916" s="57" t="str">
        <f aca="false">IF($D916="","",INDEX(BookRate,911)*(1+'5. Scenarios'!$B$10)*(INDEX(BookQ1,911)*(5-MIN(4,1+'5. Scenarios'!$B$8))/4+INDEX(BookQ2,911)*(5-MIN(4,2+'5. Scenarios'!$B$8))/4+INDEX(BookQ3,911)*(5-MIN(4,3+'5. Scenarios'!$B$8))/4+INDEX(BookQ4,911)*(5-MIN(4,4+'5. Scenarios'!$B$8))/4)*'5. Scenarios'!$B$6/(1+ProductivityDefault*('5. Scenarios'!$B$11-1))+INDEX(BookOneOff,911)*$D916)</f>
        <v/>
      </c>
      <c r="I916" s="56" t="str">
        <f aca="false">IF(INDEX(BookTitle,911)="","",INDEX(BookTotal,911)*'5. Scenarios'!$C$6/(1+ProductivityDefault*('5. Scenarios'!$C$11-1)))</f>
        <v/>
      </c>
      <c r="J916" s="57" t="str">
        <f aca="false">IF($I916="","",INDEX(BookRate,911)*(1+'5. Scenarios'!$C$10)*$I916)</f>
        <v/>
      </c>
      <c r="K916" s="57" t="str">
        <f aca="false">IF($J916="","",SUMIFS($J$6:$J$2405,$A$6:$A$2405,"&lt;="&amp;$A916))</f>
        <v/>
      </c>
      <c r="L916" s="57" t="str">
        <f aca="false">IF($J916="","",IF($K916&lt;=BankCostEnvelope*'5. Scenarios'!$C$7,1,0))</f>
        <v/>
      </c>
      <c r="M916" s="57" t="str">
        <f aca="false">IF($I916="","",INDEX(BookRate,911)*(1+'5. Scenarios'!$C$10)*(INDEX(BookQ1,911)*(5-MIN(4,1+'5. Scenarios'!$C$8))/4+INDEX(BookQ2,911)*(5-MIN(4,2+'5. Scenarios'!$C$8))/4+INDEX(BookQ3,911)*(5-MIN(4,3+'5. Scenarios'!$C$8))/4+INDEX(BookQ4,911)*(5-MIN(4,4+'5. Scenarios'!$C$8))/4)*'5. Scenarios'!$C$6/(1+ProductivityDefault*('5. Scenarios'!$C$11-1))+INDEX(BookOneOff,911)*$I916)</f>
        <v/>
      </c>
      <c r="N916" s="56" t="str">
        <f aca="false">IF(INDEX(BookTitle,911)="","",INDEX(BookTotal,911)*'5. Scenarios'!$D$6/(1+ProductivityDefault*('5. Scenarios'!$D$11-1)))</f>
        <v/>
      </c>
      <c r="O916" s="57" t="str">
        <f aca="false">IF($N916="","",INDEX(BookRate,911)*(1+'5. Scenarios'!$D$10)*$N916)</f>
        <v/>
      </c>
      <c r="P916" s="57" t="str">
        <f aca="false">IF($O916="","",SUMIFS($O$6:$O$2405,$A$6:$A$2405,"&lt;="&amp;$A916))</f>
        <v/>
      </c>
      <c r="Q916" s="57" t="str">
        <f aca="false">IF($O916="","",IF($P916&lt;=BankCostEnvelope*'5. Scenarios'!$D$7,1,0))</f>
        <v/>
      </c>
      <c r="R916" s="57" t="str">
        <f aca="false">IF($N916="","",INDEX(BookRate,911)*(1+'5. Scenarios'!$D$10)*(INDEX(BookQ1,911)*(5-MIN(4,1+'5. Scenarios'!$D$8))/4+INDEX(BookQ2,911)*(5-MIN(4,2+'5. Scenarios'!$D$8))/4+INDEX(BookQ3,911)*(5-MIN(4,3+'5. Scenarios'!$D$8))/4+INDEX(BookQ4,911)*(5-MIN(4,4+'5. Scenarios'!$D$8))/4)*'5. Scenarios'!$D$6/(1+ProductivityDefault*('5. Scenarios'!$D$11-1))+INDEX(BookOneOff,911)*$N916)</f>
        <v/>
      </c>
      <c r="S916" s="56" t="str">
        <f aca="false">IF(INDEX(BookTitle,911)="","",INDEX(BookTotal,911)*'5. Scenarios'!$E$6/(1+ProductivityDefault*('5. Scenarios'!$E$11-1)))</f>
        <v/>
      </c>
      <c r="T916" s="57" t="str">
        <f aca="false">IF($S916="","",INDEX(BookRate,911)*(1+'5. Scenarios'!$E$10)*$S916)</f>
        <v/>
      </c>
      <c r="U916" s="57" t="str">
        <f aca="false">IF($T916="","",SUMIFS($T$6:$T$2405,$A$6:$A$2405,"&lt;="&amp;$A916))</f>
        <v/>
      </c>
      <c r="V916" s="57" t="str">
        <f aca="false">IF($T916="","",IF($U916&lt;=BankCostEnvelope*'5. Scenarios'!$E$7,1,0))</f>
        <v/>
      </c>
      <c r="W916" s="57" t="str">
        <f aca="false">IF($S916="","",INDEX(BookRate,911)*(1+'5. Scenarios'!$E$10)*(INDEX(BookQ1,911)*(5-MIN(4,1+'5. Scenarios'!$E$8))/4+INDEX(BookQ2,911)*(5-MIN(4,2+'5. Scenarios'!$E$8))/4+INDEX(BookQ3,911)*(5-MIN(4,3+'5. Scenarios'!$E$8))/4+INDEX(BookQ4,911)*(5-MIN(4,4+'5. Scenarios'!$E$8))/4)*'5. Scenarios'!$E$6/(1+ProductivityDefault*('5. Scenarios'!$E$11-1))+INDEX(BookOneOff,911)*$S916)</f>
        <v/>
      </c>
    </row>
    <row r="917" customFormat="false" ht="15" hidden="false" customHeight="false" outlineLevel="0" collapsed="false">
      <c r="A917" s="0" t="str">
        <f aca="false">IF(INDEX(BookTitle,912)="","",INDEX(BookKey,912))</f>
        <v/>
      </c>
      <c r="B917" s="0" t="str">
        <f aca="false">IF(INDEX(BookTitle,912)="","",INDEX(BookGroup,912))</f>
        <v/>
      </c>
      <c r="C917" s="0" t="str">
        <f aca="false">IF(INDEX(BookTitle,912)="","",INDEX(BookCategory,912))</f>
        <v/>
      </c>
      <c r="D917" s="56" t="str">
        <f aca="false">IF(INDEX(BookTitle,912)="","",INDEX(BookTotal,912)*'5. Scenarios'!$B$6/(1+ProductivityDefault*('5. Scenarios'!$B$11-1)))</f>
        <v/>
      </c>
      <c r="E917" s="57" t="str">
        <f aca="false">IF($D917="","",INDEX(BookRate,912)*(1+'5. Scenarios'!$B$10)*$D917)</f>
        <v/>
      </c>
      <c r="F917" s="57" t="str">
        <f aca="false">IF($E917="","",SUMIFS($E$6:$E$2405,$A$6:$A$2405,"&lt;="&amp;$A917))</f>
        <v/>
      </c>
      <c r="G917" s="57" t="str">
        <f aca="false">IF($E917="","",IF($F917&lt;=BankCostEnvelope*'5. Scenarios'!$B$7,1,0))</f>
        <v/>
      </c>
      <c r="H917" s="57" t="str">
        <f aca="false">IF($D917="","",INDEX(BookRate,912)*(1+'5. Scenarios'!$B$10)*(INDEX(BookQ1,912)*(5-MIN(4,1+'5. Scenarios'!$B$8))/4+INDEX(BookQ2,912)*(5-MIN(4,2+'5. Scenarios'!$B$8))/4+INDEX(BookQ3,912)*(5-MIN(4,3+'5. Scenarios'!$B$8))/4+INDEX(BookQ4,912)*(5-MIN(4,4+'5. Scenarios'!$B$8))/4)*'5. Scenarios'!$B$6/(1+ProductivityDefault*('5. Scenarios'!$B$11-1))+INDEX(BookOneOff,912)*$D917)</f>
        <v/>
      </c>
      <c r="I917" s="56" t="str">
        <f aca="false">IF(INDEX(BookTitle,912)="","",INDEX(BookTotal,912)*'5. Scenarios'!$C$6/(1+ProductivityDefault*('5. Scenarios'!$C$11-1)))</f>
        <v/>
      </c>
      <c r="J917" s="57" t="str">
        <f aca="false">IF($I917="","",INDEX(BookRate,912)*(1+'5. Scenarios'!$C$10)*$I917)</f>
        <v/>
      </c>
      <c r="K917" s="57" t="str">
        <f aca="false">IF($J917="","",SUMIFS($J$6:$J$2405,$A$6:$A$2405,"&lt;="&amp;$A917))</f>
        <v/>
      </c>
      <c r="L917" s="57" t="str">
        <f aca="false">IF($J917="","",IF($K917&lt;=BankCostEnvelope*'5. Scenarios'!$C$7,1,0))</f>
        <v/>
      </c>
      <c r="M917" s="57" t="str">
        <f aca="false">IF($I917="","",INDEX(BookRate,912)*(1+'5. Scenarios'!$C$10)*(INDEX(BookQ1,912)*(5-MIN(4,1+'5. Scenarios'!$C$8))/4+INDEX(BookQ2,912)*(5-MIN(4,2+'5. Scenarios'!$C$8))/4+INDEX(BookQ3,912)*(5-MIN(4,3+'5. Scenarios'!$C$8))/4+INDEX(BookQ4,912)*(5-MIN(4,4+'5. Scenarios'!$C$8))/4)*'5. Scenarios'!$C$6/(1+ProductivityDefault*('5. Scenarios'!$C$11-1))+INDEX(BookOneOff,912)*$I917)</f>
        <v/>
      </c>
      <c r="N917" s="56" t="str">
        <f aca="false">IF(INDEX(BookTitle,912)="","",INDEX(BookTotal,912)*'5. Scenarios'!$D$6/(1+ProductivityDefault*('5. Scenarios'!$D$11-1)))</f>
        <v/>
      </c>
      <c r="O917" s="57" t="str">
        <f aca="false">IF($N917="","",INDEX(BookRate,912)*(1+'5. Scenarios'!$D$10)*$N917)</f>
        <v/>
      </c>
      <c r="P917" s="57" t="str">
        <f aca="false">IF($O917="","",SUMIFS($O$6:$O$2405,$A$6:$A$2405,"&lt;="&amp;$A917))</f>
        <v/>
      </c>
      <c r="Q917" s="57" t="str">
        <f aca="false">IF($O917="","",IF($P917&lt;=BankCostEnvelope*'5. Scenarios'!$D$7,1,0))</f>
        <v/>
      </c>
      <c r="R917" s="57" t="str">
        <f aca="false">IF($N917="","",INDEX(BookRate,912)*(1+'5. Scenarios'!$D$10)*(INDEX(BookQ1,912)*(5-MIN(4,1+'5. Scenarios'!$D$8))/4+INDEX(BookQ2,912)*(5-MIN(4,2+'5. Scenarios'!$D$8))/4+INDEX(BookQ3,912)*(5-MIN(4,3+'5. Scenarios'!$D$8))/4+INDEX(BookQ4,912)*(5-MIN(4,4+'5. Scenarios'!$D$8))/4)*'5. Scenarios'!$D$6/(1+ProductivityDefault*('5. Scenarios'!$D$11-1))+INDEX(BookOneOff,912)*$N917)</f>
        <v/>
      </c>
      <c r="S917" s="56" t="str">
        <f aca="false">IF(INDEX(BookTitle,912)="","",INDEX(BookTotal,912)*'5. Scenarios'!$E$6/(1+ProductivityDefault*('5. Scenarios'!$E$11-1)))</f>
        <v/>
      </c>
      <c r="T917" s="57" t="str">
        <f aca="false">IF($S917="","",INDEX(BookRate,912)*(1+'5. Scenarios'!$E$10)*$S917)</f>
        <v/>
      </c>
      <c r="U917" s="57" t="str">
        <f aca="false">IF($T917="","",SUMIFS($T$6:$T$2405,$A$6:$A$2405,"&lt;="&amp;$A917))</f>
        <v/>
      </c>
      <c r="V917" s="57" t="str">
        <f aca="false">IF($T917="","",IF($U917&lt;=BankCostEnvelope*'5. Scenarios'!$E$7,1,0))</f>
        <v/>
      </c>
      <c r="W917" s="57" t="str">
        <f aca="false">IF($S917="","",INDEX(BookRate,912)*(1+'5. Scenarios'!$E$10)*(INDEX(BookQ1,912)*(5-MIN(4,1+'5. Scenarios'!$E$8))/4+INDEX(BookQ2,912)*(5-MIN(4,2+'5. Scenarios'!$E$8))/4+INDEX(BookQ3,912)*(5-MIN(4,3+'5. Scenarios'!$E$8))/4+INDEX(BookQ4,912)*(5-MIN(4,4+'5. Scenarios'!$E$8))/4)*'5. Scenarios'!$E$6/(1+ProductivityDefault*('5. Scenarios'!$E$11-1))+INDEX(BookOneOff,912)*$S917)</f>
        <v/>
      </c>
    </row>
    <row r="918" customFormat="false" ht="15" hidden="false" customHeight="false" outlineLevel="0" collapsed="false">
      <c r="A918" s="0" t="str">
        <f aca="false">IF(INDEX(BookTitle,913)="","",INDEX(BookKey,913))</f>
        <v/>
      </c>
      <c r="B918" s="0" t="str">
        <f aca="false">IF(INDEX(BookTitle,913)="","",INDEX(BookGroup,913))</f>
        <v/>
      </c>
      <c r="C918" s="0" t="str">
        <f aca="false">IF(INDEX(BookTitle,913)="","",INDEX(BookCategory,913))</f>
        <v/>
      </c>
      <c r="D918" s="56" t="str">
        <f aca="false">IF(INDEX(BookTitle,913)="","",INDEX(BookTotal,913)*'5. Scenarios'!$B$6/(1+ProductivityDefault*('5. Scenarios'!$B$11-1)))</f>
        <v/>
      </c>
      <c r="E918" s="57" t="str">
        <f aca="false">IF($D918="","",INDEX(BookRate,913)*(1+'5. Scenarios'!$B$10)*$D918)</f>
        <v/>
      </c>
      <c r="F918" s="57" t="str">
        <f aca="false">IF($E918="","",SUMIFS($E$6:$E$2405,$A$6:$A$2405,"&lt;="&amp;$A918))</f>
        <v/>
      </c>
      <c r="G918" s="57" t="str">
        <f aca="false">IF($E918="","",IF($F918&lt;=BankCostEnvelope*'5. Scenarios'!$B$7,1,0))</f>
        <v/>
      </c>
      <c r="H918" s="57" t="str">
        <f aca="false">IF($D918="","",INDEX(BookRate,913)*(1+'5. Scenarios'!$B$10)*(INDEX(BookQ1,913)*(5-MIN(4,1+'5. Scenarios'!$B$8))/4+INDEX(BookQ2,913)*(5-MIN(4,2+'5. Scenarios'!$B$8))/4+INDEX(BookQ3,913)*(5-MIN(4,3+'5. Scenarios'!$B$8))/4+INDEX(BookQ4,913)*(5-MIN(4,4+'5. Scenarios'!$B$8))/4)*'5. Scenarios'!$B$6/(1+ProductivityDefault*('5. Scenarios'!$B$11-1))+INDEX(BookOneOff,913)*$D918)</f>
        <v/>
      </c>
      <c r="I918" s="56" t="str">
        <f aca="false">IF(INDEX(BookTitle,913)="","",INDEX(BookTotal,913)*'5. Scenarios'!$C$6/(1+ProductivityDefault*('5. Scenarios'!$C$11-1)))</f>
        <v/>
      </c>
      <c r="J918" s="57" t="str">
        <f aca="false">IF($I918="","",INDEX(BookRate,913)*(1+'5. Scenarios'!$C$10)*$I918)</f>
        <v/>
      </c>
      <c r="K918" s="57" t="str">
        <f aca="false">IF($J918="","",SUMIFS($J$6:$J$2405,$A$6:$A$2405,"&lt;="&amp;$A918))</f>
        <v/>
      </c>
      <c r="L918" s="57" t="str">
        <f aca="false">IF($J918="","",IF($K918&lt;=BankCostEnvelope*'5. Scenarios'!$C$7,1,0))</f>
        <v/>
      </c>
      <c r="M918" s="57" t="str">
        <f aca="false">IF($I918="","",INDEX(BookRate,913)*(1+'5. Scenarios'!$C$10)*(INDEX(BookQ1,913)*(5-MIN(4,1+'5. Scenarios'!$C$8))/4+INDEX(BookQ2,913)*(5-MIN(4,2+'5. Scenarios'!$C$8))/4+INDEX(BookQ3,913)*(5-MIN(4,3+'5. Scenarios'!$C$8))/4+INDEX(BookQ4,913)*(5-MIN(4,4+'5. Scenarios'!$C$8))/4)*'5. Scenarios'!$C$6/(1+ProductivityDefault*('5. Scenarios'!$C$11-1))+INDEX(BookOneOff,913)*$I918)</f>
        <v/>
      </c>
      <c r="N918" s="56" t="str">
        <f aca="false">IF(INDEX(BookTitle,913)="","",INDEX(BookTotal,913)*'5. Scenarios'!$D$6/(1+ProductivityDefault*('5. Scenarios'!$D$11-1)))</f>
        <v/>
      </c>
      <c r="O918" s="57" t="str">
        <f aca="false">IF($N918="","",INDEX(BookRate,913)*(1+'5. Scenarios'!$D$10)*$N918)</f>
        <v/>
      </c>
      <c r="P918" s="57" t="str">
        <f aca="false">IF($O918="","",SUMIFS($O$6:$O$2405,$A$6:$A$2405,"&lt;="&amp;$A918))</f>
        <v/>
      </c>
      <c r="Q918" s="57" t="str">
        <f aca="false">IF($O918="","",IF($P918&lt;=BankCostEnvelope*'5. Scenarios'!$D$7,1,0))</f>
        <v/>
      </c>
      <c r="R918" s="57" t="str">
        <f aca="false">IF($N918="","",INDEX(BookRate,913)*(1+'5. Scenarios'!$D$10)*(INDEX(BookQ1,913)*(5-MIN(4,1+'5. Scenarios'!$D$8))/4+INDEX(BookQ2,913)*(5-MIN(4,2+'5. Scenarios'!$D$8))/4+INDEX(BookQ3,913)*(5-MIN(4,3+'5. Scenarios'!$D$8))/4+INDEX(BookQ4,913)*(5-MIN(4,4+'5. Scenarios'!$D$8))/4)*'5. Scenarios'!$D$6/(1+ProductivityDefault*('5. Scenarios'!$D$11-1))+INDEX(BookOneOff,913)*$N918)</f>
        <v/>
      </c>
      <c r="S918" s="56" t="str">
        <f aca="false">IF(INDEX(BookTitle,913)="","",INDEX(BookTotal,913)*'5. Scenarios'!$E$6/(1+ProductivityDefault*('5. Scenarios'!$E$11-1)))</f>
        <v/>
      </c>
      <c r="T918" s="57" t="str">
        <f aca="false">IF($S918="","",INDEX(BookRate,913)*(1+'5. Scenarios'!$E$10)*$S918)</f>
        <v/>
      </c>
      <c r="U918" s="57" t="str">
        <f aca="false">IF($T918="","",SUMIFS($T$6:$T$2405,$A$6:$A$2405,"&lt;="&amp;$A918))</f>
        <v/>
      </c>
      <c r="V918" s="57" t="str">
        <f aca="false">IF($T918="","",IF($U918&lt;=BankCostEnvelope*'5. Scenarios'!$E$7,1,0))</f>
        <v/>
      </c>
      <c r="W918" s="57" t="str">
        <f aca="false">IF($S918="","",INDEX(BookRate,913)*(1+'5. Scenarios'!$E$10)*(INDEX(BookQ1,913)*(5-MIN(4,1+'5. Scenarios'!$E$8))/4+INDEX(BookQ2,913)*(5-MIN(4,2+'5. Scenarios'!$E$8))/4+INDEX(BookQ3,913)*(5-MIN(4,3+'5. Scenarios'!$E$8))/4+INDEX(BookQ4,913)*(5-MIN(4,4+'5. Scenarios'!$E$8))/4)*'5. Scenarios'!$E$6/(1+ProductivityDefault*('5. Scenarios'!$E$11-1))+INDEX(BookOneOff,913)*$S918)</f>
        <v/>
      </c>
    </row>
    <row r="919" customFormat="false" ht="15" hidden="false" customHeight="false" outlineLevel="0" collapsed="false">
      <c r="A919" s="0" t="str">
        <f aca="false">IF(INDEX(BookTitle,914)="","",INDEX(BookKey,914))</f>
        <v/>
      </c>
      <c r="B919" s="0" t="str">
        <f aca="false">IF(INDEX(BookTitle,914)="","",INDEX(BookGroup,914))</f>
        <v/>
      </c>
      <c r="C919" s="0" t="str">
        <f aca="false">IF(INDEX(BookTitle,914)="","",INDEX(BookCategory,914))</f>
        <v/>
      </c>
      <c r="D919" s="56" t="str">
        <f aca="false">IF(INDEX(BookTitle,914)="","",INDEX(BookTotal,914)*'5. Scenarios'!$B$6/(1+ProductivityDefault*('5. Scenarios'!$B$11-1)))</f>
        <v/>
      </c>
      <c r="E919" s="57" t="str">
        <f aca="false">IF($D919="","",INDEX(BookRate,914)*(1+'5. Scenarios'!$B$10)*$D919)</f>
        <v/>
      </c>
      <c r="F919" s="57" t="str">
        <f aca="false">IF($E919="","",SUMIFS($E$6:$E$2405,$A$6:$A$2405,"&lt;="&amp;$A919))</f>
        <v/>
      </c>
      <c r="G919" s="57" t="str">
        <f aca="false">IF($E919="","",IF($F919&lt;=BankCostEnvelope*'5. Scenarios'!$B$7,1,0))</f>
        <v/>
      </c>
      <c r="H919" s="57" t="str">
        <f aca="false">IF($D919="","",INDEX(BookRate,914)*(1+'5. Scenarios'!$B$10)*(INDEX(BookQ1,914)*(5-MIN(4,1+'5. Scenarios'!$B$8))/4+INDEX(BookQ2,914)*(5-MIN(4,2+'5. Scenarios'!$B$8))/4+INDEX(BookQ3,914)*(5-MIN(4,3+'5. Scenarios'!$B$8))/4+INDEX(BookQ4,914)*(5-MIN(4,4+'5. Scenarios'!$B$8))/4)*'5. Scenarios'!$B$6/(1+ProductivityDefault*('5. Scenarios'!$B$11-1))+INDEX(BookOneOff,914)*$D919)</f>
        <v/>
      </c>
      <c r="I919" s="56" t="str">
        <f aca="false">IF(INDEX(BookTitle,914)="","",INDEX(BookTotal,914)*'5. Scenarios'!$C$6/(1+ProductivityDefault*('5. Scenarios'!$C$11-1)))</f>
        <v/>
      </c>
      <c r="J919" s="57" t="str">
        <f aca="false">IF($I919="","",INDEX(BookRate,914)*(1+'5. Scenarios'!$C$10)*$I919)</f>
        <v/>
      </c>
      <c r="K919" s="57" t="str">
        <f aca="false">IF($J919="","",SUMIFS($J$6:$J$2405,$A$6:$A$2405,"&lt;="&amp;$A919))</f>
        <v/>
      </c>
      <c r="L919" s="57" t="str">
        <f aca="false">IF($J919="","",IF($K919&lt;=BankCostEnvelope*'5. Scenarios'!$C$7,1,0))</f>
        <v/>
      </c>
      <c r="M919" s="57" t="str">
        <f aca="false">IF($I919="","",INDEX(BookRate,914)*(1+'5. Scenarios'!$C$10)*(INDEX(BookQ1,914)*(5-MIN(4,1+'5. Scenarios'!$C$8))/4+INDEX(BookQ2,914)*(5-MIN(4,2+'5. Scenarios'!$C$8))/4+INDEX(BookQ3,914)*(5-MIN(4,3+'5. Scenarios'!$C$8))/4+INDEX(BookQ4,914)*(5-MIN(4,4+'5. Scenarios'!$C$8))/4)*'5. Scenarios'!$C$6/(1+ProductivityDefault*('5. Scenarios'!$C$11-1))+INDEX(BookOneOff,914)*$I919)</f>
        <v/>
      </c>
      <c r="N919" s="56" t="str">
        <f aca="false">IF(INDEX(BookTitle,914)="","",INDEX(BookTotal,914)*'5. Scenarios'!$D$6/(1+ProductivityDefault*('5. Scenarios'!$D$11-1)))</f>
        <v/>
      </c>
      <c r="O919" s="57" t="str">
        <f aca="false">IF($N919="","",INDEX(BookRate,914)*(1+'5. Scenarios'!$D$10)*$N919)</f>
        <v/>
      </c>
      <c r="P919" s="57" t="str">
        <f aca="false">IF($O919="","",SUMIFS($O$6:$O$2405,$A$6:$A$2405,"&lt;="&amp;$A919))</f>
        <v/>
      </c>
      <c r="Q919" s="57" t="str">
        <f aca="false">IF($O919="","",IF($P919&lt;=BankCostEnvelope*'5. Scenarios'!$D$7,1,0))</f>
        <v/>
      </c>
      <c r="R919" s="57" t="str">
        <f aca="false">IF($N919="","",INDEX(BookRate,914)*(1+'5. Scenarios'!$D$10)*(INDEX(BookQ1,914)*(5-MIN(4,1+'5. Scenarios'!$D$8))/4+INDEX(BookQ2,914)*(5-MIN(4,2+'5. Scenarios'!$D$8))/4+INDEX(BookQ3,914)*(5-MIN(4,3+'5. Scenarios'!$D$8))/4+INDEX(BookQ4,914)*(5-MIN(4,4+'5. Scenarios'!$D$8))/4)*'5. Scenarios'!$D$6/(1+ProductivityDefault*('5. Scenarios'!$D$11-1))+INDEX(BookOneOff,914)*$N919)</f>
        <v/>
      </c>
      <c r="S919" s="56" t="str">
        <f aca="false">IF(INDEX(BookTitle,914)="","",INDEX(BookTotal,914)*'5. Scenarios'!$E$6/(1+ProductivityDefault*('5. Scenarios'!$E$11-1)))</f>
        <v/>
      </c>
      <c r="T919" s="57" t="str">
        <f aca="false">IF($S919="","",INDEX(BookRate,914)*(1+'5. Scenarios'!$E$10)*$S919)</f>
        <v/>
      </c>
      <c r="U919" s="57" t="str">
        <f aca="false">IF($T919="","",SUMIFS($T$6:$T$2405,$A$6:$A$2405,"&lt;="&amp;$A919))</f>
        <v/>
      </c>
      <c r="V919" s="57" t="str">
        <f aca="false">IF($T919="","",IF($U919&lt;=BankCostEnvelope*'5. Scenarios'!$E$7,1,0))</f>
        <v/>
      </c>
      <c r="W919" s="57" t="str">
        <f aca="false">IF($S919="","",INDEX(BookRate,914)*(1+'5. Scenarios'!$E$10)*(INDEX(BookQ1,914)*(5-MIN(4,1+'5. Scenarios'!$E$8))/4+INDEX(BookQ2,914)*(5-MIN(4,2+'5. Scenarios'!$E$8))/4+INDEX(BookQ3,914)*(5-MIN(4,3+'5. Scenarios'!$E$8))/4+INDEX(BookQ4,914)*(5-MIN(4,4+'5. Scenarios'!$E$8))/4)*'5. Scenarios'!$E$6/(1+ProductivityDefault*('5. Scenarios'!$E$11-1))+INDEX(BookOneOff,914)*$S919)</f>
        <v/>
      </c>
    </row>
    <row r="920" customFormat="false" ht="15" hidden="false" customHeight="false" outlineLevel="0" collapsed="false">
      <c r="A920" s="0" t="str">
        <f aca="false">IF(INDEX(BookTitle,915)="","",INDEX(BookKey,915))</f>
        <v/>
      </c>
      <c r="B920" s="0" t="str">
        <f aca="false">IF(INDEX(BookTitle,915)="","",INDEX(BookGroup,915))</f>
        <v/>
      </c>
      <c r="C920" s="0" t="str">
        <f aca="false">IF(INDEX(BookTitle,915)="","",INDEX(BookCategory,915))</f>
        <v/>
      </c>
      <c r="D920" s="56" t="str">
        <f aca="false">IF(INDEX(BookTitle,915)="","",INDEX(BookTotal,915)*'5. Scenarios'!$B$6/(1+ProductivityDefault*('5. Scenarios'!$B$11-1)))</f>
        <v/>
      </c>
      <c r="E920" s="57" t="str">
        <f aca="false">IF($D920="","",INDEX(BookRate,915)*(1+'5. Scenarios'!$B$10)*$D920)</f>
        <v/>
      </c>
      <c r="F920" s="57" t="str">
        <f aca="false">IF($E920="","",SUMIFS($E$6:$E$2405,$A$6:$A$2405,"&lt;="&amp;$A920))</f>
        <v/>
      </c>
      <c r="G920" s="57" t="str">
        <f aca="false">IF($E920="","",IF($F920&lt;=BankCostEnvelope*'5. Scenarios'!$B$7,1,0))</f>
        <v/>
      </c>
      <c r="H920" s="57" t="str">
        <f aca="false">IF($D920="","",INDEX(BookRate,915)*(1+'5. Scenarios'!$B$10)*(INDEX(BookQ1,915)*(5-MIN(4,1+'5. Scenarios'!$B$8))/4+INDEX(BookQ2,915)*(5-MIN(4,2+'5. Scenarios'!$B$8))/4+INDEX(BookQ3,915)*(5-MIN(4,3+'5. Scenarios'!$B$8))/4+INDEX(BookQ4,915)*(5-MIN(4,4+'5. Scenarios'!$B$8))/4)*'5. Scenarios'!$B$6/(1+ProductivityDefault*('5. Scenarios'!$B$11-1))+INDEX(BookOneOff,915)*$D920)</f>
        <v/>
      </c>
      <c r="I920" s="56" t="str">
        <f aca="false">IF(INDEX(BookTitle,915)="","",INDEX(BookTotal,915)*'5. Scenarios'!$C$6/(1+ProductivityDefault*('5. Scenarios'!$C$11-1)))</f>
        <v/>
      </c>
      <c r="J920" s="57" t="str">
        <f aca="false">IF($I920="","",INDEX(BookRate,915)*(1+'5. Scenarios'!$C$10)*$I920)</f>
        <v/>
      </c>
      <c r="K920" s="57" t="str">
        <f aca="false">IF($J920="","",SUMIFS($J$6:$J$2405,$A$6:$A$2405,"&lt;="&amp;$A920))</f>
        <v/>
      </c>
      <c r="L920" s="57" t="str">
        <f aca="false">IF($J920="","",IF($K920&lt;=BankCostEnvelope*'5. Scenarios'!$C$7,1,0))</f>
        <v/>
      </c>
      <c r="M920" s="57" t="str">
        <f aca="false">IF($I920="","",INDEX(BookRate,915)*(1+'5. Scenarios'!$C$10)*(INDEX(BookQ1,915)*(5-MIN(4,1+'5. Scenarios'!$C$8))/4+INDEX(BookQ2,915)*(5-MIN(4,2+'5. Scenarios'!$C$8))/4+INDEX(BookQ3,915)*(5-MIN(4,3+'5. Scenarios'!$C$8))/4+INDEX(BookQ4,915)*(5-MIN(4,4+'5. Scenarios'!$C$8))/4)*'5. Scenarios'!$C$6/(1+ProductivityDefault*('5. Scenarios'!$C$11-1))+INDEX(BookOneOff,915)*$I920)</f>
        <v/>
      </c>
      <c r="N920" s="56" t="str">
        <f aca="false">IF(INDEX(BookTitle,915)="","",INDEX(BookTotal,915)*'5. Scenarios'!$D$6/(1+ProductivityDefault*('5. Scenarios'!$D$11-1)))</f>
        <v/>
      </c>
      <c r="O920" s="57" t="str">
        <f aca="false">IF($N920="","",INDEX(BookRate,915)*(1+'5. Scenarios'!$D$10)*$N920)</f>
        <v/>
      </c>
      <c r="P920" s="57" t="str">
        <f aca="false">IF($O920="","",SUMIFS($O$6:$O$2405,$A$6:$A$2405,"&lt;="&amp;$A920))</f>
        <v/>
      </c>
      <c r="Q920" s="57" t="str">
        <f aca="false">IF($O920="","",IF($P920&lt;=BankCostEnvelope*'5. Scenarios'!$D$7,1,0))</f>
        <v/>
      </c>
      <c r="R920" s="57" t="str">
        <f aca="false">IF($N920="","",INDEX(BookRate,915)*(1+'5. Scenarios'!$D$10)*(INDEX(BookQ1,915)*(5-MIN(4,1+'5. Scenarios'!$D$8))/4+INDEX(BookQ2,915)*(5-MIN(4,2+'5. Scenarios'!$D$8))/4+INDEX(BookQ3,915)*(5-MIN(4,3+'5. Scenarios'!$D$8))/4+INDEX(BookQ4,915)*(5-MIN(4,4+'5. Scenarios'!$D$8))/4)*'5. Scenarios'!$D$6/(1+ProductivityDefault*('5. Scenarios'!$D$11-1))+INDEX(BookOneOff,915)*$N920)</f>
        <v/>
      </c>
      <c r="S920" s="56" t="str">
        <f aca="false">IF(INDEX(BookTitle,915)="","",INDEX(BookTotal,915)*'5. Scenarios'!$E$6/(1+ProductivityDefault*('5. Scenarios'!$E$11-1)))</f>
        <v/>
      </c>
      <c r="T920" s="57" t="str">
        <f aca="false">IF($S920="","",INDEX(BookRate,915)*(1+'5. Scenarios'!$E$10)*$S920)</f>
        <v/>
      </c>
      <c r="U920" s="57" t="str">
        <f aca="false">IF($T920="","",SUMIFS($T$6:$T$2405,$A$6:$A$2405,"&lt;="&amp;$A920))</f>
        <v/>
      </c>
      <c r="V920" s="57" t="str">
        <f aca="false">IF($T920="","",IF($U920&lt;=BankCostEnvelope*'5. Scenarios'!$E$7,1,0))</f>
        <v/>
      </c>
      <c r="W920" s="57" t="str">
        <f aca="false">IF($S920="","",INDEX(BookRate,915)*(1+'5. Scenarios'!$E$10)*(INDEX(BookQ1,915)*(5-MIN(4,1+'5. Scenarios'!$E$8))/4+INDEX(BookQ2,915)*(5-MIN(4,2+'5. Scenarios'!$E$8))/4+INDEX(BookQ3,915)*(5-MIN(4,3+'5. Scenarios'!$E$8))/4+INDEX(BookQ4,915)*(5-MIN(4,4+'5. Scenarios'!$E$8))/4)*'5. Scenarios'!$E$6/(1+ProductivityDefault*('5. Scenarios'!$E$11-1))+INDEX(BookOneOff,915)*$S920)</f>
        <v/>
      </c>
    </row>
    <row r="921" customFormat="false" ht="15" hidden="false" customHeight="false" outlineLevel="0" collapsed="false">
      <c r="A921" s="0" t="str">
        <f aca="false">IF(INDEX(BookTitle,916)="","",INDEX(BookKey,916))</f>
        <v/>
      </c>
      <c r="B921" s="0" t="str">
        <f aca="false">IF(INDEX(BookTitle,916)="","",INDEX(BookGroup,916))</f>
        <v/>
      </c>
      <c r="C921" s="0" t="str">
        <f aca="false">IF(INDEX(BookTitle,916)="","",INDEX(BookCategory,916))</f>
        <v/>
      </c>
      <c r="D921" s="56" t="str">
        <f aca="false">IF(INDEX(BookTitle,916)="","",INDEX(BookTotal,916)*'5. Scenarios'!$B$6/(1+ProductivityDefault*('5. Scenarios'!$B$11-1)))</f>
        <v/>
      </c>
      <c r="E921" s="57" t="str">
        <f aca="false">IF($D921="","",INDEX(BookRate,916)*(1+'5. Scenarios'!$B$10)*$D921)</f>
        <v/>
      </c>
      <c r="F921" s="57" t="str">
        <f aca="false">IF($E921="","",SUMIFS($E$6:$E$2405,$A$6:$A$2405,"&lt;="&amp;$A921))</f>
        <v/>
      </c>
      <c r="G921" s="57" t="str">
        <f aca="false">IF($E921="","",IF($F921&lt;=BankCostEnvelope*'5. Scenarios'!$B$7,1,0))</f>
        <v/>
      </c>
      <c r="H921" s="57" t="str">
        <f aca="false">IF($D921="","",INDEX(BookRate,916)*(1+'5. Scenarios'!$B$10)*(INDEX(BookQ1,916)*(5-MIN(4,1+'5. Scenarios'!$B$8))/4+INDEX(BookQ2,916)*(5-MIN(4,2+'5. Scenarios'!$B$8))/4+INDEX(BookQ3,916)*(5-MIN(4,3+'5. Scenarios'!$B$8))/4+INDEX(BookQ4,916)*(5-MIN(4,4+'5. Scenarios'!$B$8))/4)*'5. Scenarios'!$B$6/(1+ProductivityDefault*('5. Scenarios'!$B$11-1))+INDEX(BookOneOff,916)*$D921)</f>
        <v/>
      </c>
      <c r="I921" s="56" t="str">
        <f aca="false">IF(INDEX(BookTitle,916)="","",INDEX(BookTotal,916)*'5. Scenarios'!$C$6/(1+ProductivityDefault*('5. Scenarios'!$C$11-1)))</f>
        <v/>
      </c>
      <c r="J921" s="57" t="str">
        <f aca="false">IF($I921="","",INDEX(BookRate,916)*(1+'5. Scenarios'!$C$10)*$I921)</f>
        <v/>
      </c>
      <c r="K921" s="57" t="str">
        <f aca="false">IF($J921="","",SUMIFS($J$6:$J$2405,$A$6:$A$2405,"&lt;="&amp;$A921))</f>
        <v/>
      </c>
      <c r="L921" s="57" t="str">
        <f aca="false">IF($J921="","",IF($K921&lt;=BankCostEnvelope*'5. Scenarios'!$C$7,1,0))</f>
        <v/>
      </c>
      <c r="M921" s="57" t="str">
        <f aca="false">IF($I921="","",INDEX(BookRate,916)*(1+'5. Scenarios'!$C$10)*(INDEX(BookQ1,916)*(5-MIN(4,1+'5. Scenarios'!$C$8))/4+INDEX(BookQ2,916)*(5-MIN(4,2+'5. Scenarios'!$C$8))/4+INDEX(BookQ3,916)*(5-MIN(4,3+'5. Scenarios'!$C$8))/4+INDEX(BookQ4,916)*(5-MIN(4,4+'5. Scenarios'!$C$8))/4)*'5. Scenarios'!$C$6/(1+ProductivityDefault*('5. Scenarios'!$C$11-1))+INDEX(BookOneOff,916)*$I921)</f>
        <v/>
      </c>
      <c r="N921" s="56" t="str">
        <f aca="false">IF(INDEX(BookTitle,916)="","",INDEX(BookTotal,916)*'5. Scenarios'!$D$6/(1+ProductivityDefault*('5. Scenarios'!$D$11-1)))</f>
        <v/>
      </c>
      <c r="O921" s="57" t="str">
        <f aca="false">IF($N921="","",INDEX(BookRate,916)*(1+'5. Scenarios'!$D$10)*$N921)</f>
        <v/>
      </c>
      <c r="P921" s="57" t="str">
        <f aca="false">IF($O921="","",SUMIFS($O$6:$O$2405,$A$6:$A$2405,"&lt;="&amp;$A921))</f>
        <v/>
      </c>
      <c r="Q921" s="57" t="str">
        <f aca="false">IF($O921="","",IF($P921&lt;=BankCostEnvelope*'5. Scenarios'!$D$7,1,0))</f>
        <v/>
      </c>
      <c r="R921" s="57" t="str">
        <f aca="false">IF($N921="","",INDEX(BookRate,916)*(1+'5. Scenarios'!$D$10)*(INDEX(BookQ1,916)*(5-MIN(4,1+'5. Scenarios'!$D$8))/4+INDEX(BookQ2,916)*(5-MIN(4,2+'5. Scenarios'!$D$8))/4+INDEX(BookQ3,916)*(5-MIN(4,3+'5. Scenarios'!$D$8))/4+INDEX(BookQ4,916)*(5-MIN(4,4+'5. Scenarios'!$D$8))/4)*'5. Scenarios'!$D$6/(1+ProductivityDefault*('5. Scenarios'!$D$11-1))+INDEX(BookOneOff,916)*$N921)</f>
        <v/>
      </c>
      <c r="S921" s="56" t="str">
        <f aca="false">IF(INDEX(BookTitle,916)="","",INDEX(BookTotal,916)*'5. Scenarios'!$E$6/(1+ProductivityDefault*('5. Scenarios'!$E$11-1)))</f>
        <v/>
      </c>
      <c r="T921" s="57" t="str">
        <f aca="false">IF($S921="","",INDEX(BookRate,916)*(1+'5. Scenarios'!$E$10)*$S921)</f>
        <v/>
      </c>
      <c r="U921" s="57" t="str">
        <f aca="false">IF($T921="","",SUMIFS($T$6:$T$2405,$A$6:$A$2405,"&lt;="&amp;$A921))</f>
        <v/>
      </c>
      <c r="V921" s="57" t="str">
        <f aca="false">IF($T921="","",IF($U921&lt;=BankCostEnvelope*'5. Scenarios'!$E$7,1,0))</f>
        <v/>
      </c>
      <c r="W921" s="57" t="str">
        <f aca="false">IF($S921="","",INDEX(BookRate,916)*(1+'5. Scenarios'!$E$10)*(INDEX(BookQ1,916)*(5-MIN(4,1+'5. Scenarios'!$E$8))/4+INDEX(BookQ2,916)*(5-MIN(4,2+'5. Scenarios'!$E$8))/4+INDEX(BookQ3,916)*(5-MIN(4,3+'5. Scenarios'!$E$8))/4+INDEX(BookQ4,916)*(5-MIN(4,4+'5. Scenarios'!$E$8))/4)*'5. Scenarios'!$E$6/(1+ProductivityDefault*('5. Scenarios'!$E$11-1))+INDEX(BookOneOff,916)*$S921)</f>
        <v/>
      </c>
    </row>
    <row r="922" customFormat="false" ht="15" hidden="false" customHeight="false" outlineLevel="0" collapsed="false">
      <c r="A922" s="0" t="str">
        <f aca="false">IF(INDEX(BookTitle,917)="","",INDEX(BookKey,917))</f>
        <v/>
      </c>
      <c r="B922" s="0" t="str">
        <f aca="false">IF(INDEX(BookTitle,917)="","",INDEX(BookGroup,917))</f>
        <v/>
      </c>
      <c r="C922" s="0" t="str">
        <f aca="false">IF(INDEX(BookTitle,917)="","",INDEX(BookCategory,917))</f>
        <v/>
      </c>
      <c r="D922" s="56" t="str">
        <f aca="false">IF(INDEX(BookTitle,917)="","",INDEX(BookTotal,917)*'5. Scenarios'!$B$6/(1+ProductivityDefault*('5. Scenarios'!$B$11-1)))</f>
        <v/>
      </c>
      <c r="E922" s="57" t="str">
        <f aca="false">IF($D922="","",INDEX(BookRate,917)*(1+'5. Scenarios'!$B$10)*$D922)</f>
        <v/>
      </c>
      <c r="F922" s="57" t="str">
        <f aca="false">IF($E922="","",SUMIFS($E$6:$E$2405,$A$6:$A$2405,"&lt;="&amp;$A922))</f>
        <v/>
      </c>
      <c r="G922" s="57" t="str">
        <f aca="false">IF($E922="","",IF($F922&lt;=BankCostEnvelope*'5. Scenarios'!$B$7,1,0))</f>
        <v/>
      </c>
      <c r="H922" s="57" t="str">
        <f aca="false">IF($D922="","",INDEX(BookRate,917)*(1+'5. Scenarios'!$B$10)*(INDEX(BookQ1,917)*(5-MIN(4,1+'5. Scenarios'!$B$8))/4+INDEX(BookQ2,917)*(5-MIN(4,2+'5. Scenarios'!$B$8))/4+INDEX(BookQ3,917)*(5-MIN(4,3+'5. Scenarios'!$B$8))/4+INDEX(BookQ4,917)*(5-MIN(4,4+'5. Scenarios'!$B$8))/4)*'5. Scenarios'!$B$6/(1+ProductivityDefault*('5. Scenarios'!$B$11-1))+INDEX(BookOneOff,917)*$D922)</f>
        <v/>
      </c>
      <c r="I922" s="56" t="str">
        <f aca="false">IF(INDEX(BookTitle,917)="","",INDEX(BookTotal,917)*'5. Scenarios'!$C$6/(1+ProductivityDefault*('5. Scenarios'!$C$11-1)))</f>
        <v/>
      </c>
      <c r="J922" s="57" t="str">
        <f aca="false">IF($I922="","",INDEX(BookRate,917)*(1+'5. Scenarios'!$C$10)*$I922)</f>
        <v/>
      </c>
      <c r="K922" s="57" t="str">
        <f aca="false">IF($J922="","",SUMIFS($J$6:$J$2405,$A$6:$A$2405,"&lt;="&amp;$A922))</f>
        <v/>
      </c>
      <c r="L922" s="57" t="str">
        <f aca="false">IF($J922="","",IF($K922&lt;=BankCostEnvelope*'5. Scenarios'!$C$7,1,0))</f>
        <v/>
      </c>
      <c r="M922" s="57" t="str">
        <f aca="false">IF($I922="","",INDEX(BookRate,917)*(1+'5. Scenarios'!$C$10)*(INDEX(BookQ1,917)*(5-MIN(4,1+'5. Scenarios'!$C$8))/4+INDEX(BookQ2,917)*(5-MIN(4,2+'5. Scenarios'!$C$8))/4+INDEX(BookQ3,917)*(5-MIN(4,3+'5. Scenarios'!$C$8))/4+INDEX(BookQ4,917)*(5-MIN(4,4+'5. Scenarios'!$C$8))/4)*'5. Scenarios'!$C$6/(1+ProductivityDefault*('5. Scenarios'!$C$11-1))+INDEX(BookOneOff,917)*$I922)</f>
        <v/>
      </c>
      <c r="N922" s="56" t="str">
        <f aca="false">IF(INDEX(BookTitle,917)="","",INDEX(BookTotal,917)*'5. Scenarios'!$D$6/(1+ProductivityDefault*('5. Scenarios'!$D$11-1)))</f>
        <v/>
      </c>
      <c r="O922" s="57" t="str">
        <f aca="false">IF($N922="","",INDEX(BookRate,917)*(1+'5. Scenarios'!$D$10)*$N922)</f>
        <v/>
      </c>
      <c r="P922" s="57" t="str">
        <f aca="false">IF($O922="","",SUMIFS($O$6:$O$2405,$A$6:$A$2405,"&lt;="&amp;$A922))</f>
        <v/>
      </c>
      <c r="Q922" s="57" t="str">
        <f aca="false">IF($O922="","",IF($P922&lt;=BankCostEnvelope*'5. Scenarios'!$D$7,1,0))</f>
        <v/>
      </c>
      <c r="R922" s="57" t="str">
        <f aca="false">IF($N922="","",INDEX(BookRate,917)*(1+'5. Scenarios'!$D$10)*(INDEX(BookQ1,917)*(5-MIN(4,1+'5. Scenarios'!$D$8))/4+INDEX(BookQ2,917)*(5-MIN(4,2+'5. Scenarios'!$D$8))/4+INDEX(BookQ3,917)*(5-MIN(4,3+'5. Scenarios'!$D$8))/4+INDEX(BookQ4,917)*(5-MIN(4,4+'5. Scenarios'!$D$8))/4)*'5. Scenarios'!$D$6/(1+ProductivityDefault*('5. Scenarios'!$D$11-1))+INDEX(BookOneOff,917)*$N922)</f>
        <v/>
      </c>
      <c r="S922" s="56" t="str">
        <f aca="false">IF(INDEX(BookTitle,917)="","",INDEX(BookTotal,917)*'5. Scenarios'!$E$6/(1+ProductivityDefault*('5. Scenarios'!$E$11-1)))</f>
        <v/>
      </c>
      <c r="T922" s="57" t="str">
        <f aca="false">IF($S922="","",INDEX(BookRate,917)*(1+'5. Scenarios'!$E$10)*$S922)</f>
        <v/>
      </c>
      <c r="U922" s="57" t="str">
        <f aca="false">IF($T922="","",SUMIFS($T$6:$T$2405,$A$6:$A$2405,"&lt;="&amp;$A922))</f>
        <v/>
      </c>
      <c r="V922" s="57" t="str">
        <f aca="false">IF($T922="","",IF($U922&lt;=BankCostEnvelope*'5. Scenarios'!$E$7,1,0))</f>
        <v/>
      </c>
      <c r="W922" s="57" t="str">
        <f aca="false">IF($S922="","",INDEX(BookRate,917)*(1+'5. Scenarios'!$E$10)*(INDEX(BookQ1,917)*(5-MIN(4,1+'5. Scenarios'!$E$8))/4+INDEX(BookQ2,917)*(5-MIN(4,2+'5. Scenarios'!$E$8))/4+INDEX(BookQ3,917)*(5-MIN(4,3+'5. Scenarios'!$E$8))/4+INDEX(BookQ4,917)*(5-MIN(4,4+'5. Scenarios'!$E$8))/4)*'5. Scenarios'!$E$6/(1+ProductivityDefault*('5. Scenarios'!$E$11-1))+INDEX(BookOneOff,917)*$S922)</f>
        <v/>
      </c>
    </row>
    <row r="923" customFormat="false" ht="15" hidden="false" customHeight="false" outlineLevel="0" collapsed="false">
      <c r="A923" s="0" t="str">
        <f aca="false">IF(INDEX(BookTitle,918)="","",INDEX(BookKey,918))</f>
        <v/>
      </c>
      <c r="B923" s="0" t="str">
        <f aca="false">IF(INDEX(BookTitle,918)="","",INDEX(BookGroup,918))</f>
        <v/>
      </c>
      <c r="C923" s="0" t="str">
        <f aca="false">IF(INDEX(BookTitle,918)="","",INDEX(BookCategory,918))</f>
        <v/>
      </c>
      <c r="D923" s="56" t="str">
        <f aca="false">IF(INDEX(BookTitle,918)="","",INDEX(BookTotal,918)*'5. Scenarios'!$B$6/(1+ProductivityDefault*('5. Scenarios'!$B$11-1)))</f>
        <v/>
      </c>
      <c r="E923" s="57" t="str">
        <f aca="false">IF($D923="","",INDEX(BookRate,918)*(1+'5. Scenarios'!$B$10)*$D923)</f>
        <v/>
      </c>
      <c r="F923" s="57" t="str">
        <f aca="false">IF($E923="","",SUMIFS($E$6:$E$2405,$A$6:$A$2405,"&lt;="&amp;$A923))</f>
        <v/>
      </c>
      <c r="G923" s="57" t="str">
        <f aca="false">IF($E923="","",IF($F923&lt;=BankCostEnvelope*'5. Scenarios'!$B$7,1,0))</f>
        <v/>
      </c>
      <c r="H923" s="57" t="str">
        <f aca="false">IF($D923="","",INDEX(BookRate,918)*(1+'5. Scenarios'!$B$10)*(INDEX(BookQ1,918)*(5-MIN(4,1+'5. Scenarios'!$B$8))/4+INDEX(BookQ2,918)*(5-MIN(4,2+'5. Scenarios'!$B$8))/4+INDEX(BookQ3,918)*(5-MIN(4,3+'5. Scenarios'!$B$8))/4+INDEX(BookQ4,918)*(5-MIN(4,4+'5. Scenarios'!$B$8))/4)*'5. Scenarios'!$B$6/(1+ProductivityDefault*('5. Scenarios'!$B$11-1))+INDEX(BookOneOff,918)*$D923)</f>
        <v/>
      </c>
      <c r="I923" s="56" t="str">
        <f aca="false">IF(INDEX(BookTitle,918)="","",INDEX(BookTotal,918)*'5. Scenarios'!$C$6/(1+ProductivityDefault*('5. Scenarios'!$C$11-1)))</f>
        <v/>
      </c>
      <c r="J923" s="57" t="str">
        <f aca="false">IF($I923="","",INDEX(BookRate,918)*(1+'5. Scenarios'!$C$10)*$I923)</f>
        <v/>
      </c>
      <c r="K923" s="57" t="str">
        <f aca="false">IF($J923="","",SUMIFS($J$6:$J$2405,$A$6:$A$2405,"&lt;="&amp;$A923))</f>
        <v/>
      </c>
      <c r="L923" s="57" t="str">
        <f aca="false">IF($J923="","",IF($K923&lt;=BankCostEnvelope*'5. Scenarios'!$C$7,1,0))</f>
        <v/>
      </c>
      <c r="M923" s="57" t="str">
        <f aca="false">IF($I923="","",INDEX(BookRate,918)*(1+'5. Scenarios'!$C$10)*(INDEX(BookQ1,918)*(5-MIN(4,1+'5. Scenarios'!$C$8))/4+INDEX(BookQ2,918)*(5-MIN(4,2+'5. Scenarios'!$C$8))/4+INDEX(BookQ3,918)*(5-MIN(4,3+'5. Scenarios'!$C$8))/4+INDEX(BookQ4,918)*(5-MIN(4,4+'5. Scenarios'!$C$8))/4)*'5. Scenarios'!$C$6/(1+ProductivityDefault*('5. Scenarios'!$C$11-1))+INDEX(BookOneOff,918)*$I923)</f>
        <v/>
      </c>
      <c r="N923" s="56" t="str">
        <f aca="false">IF(INDEX(BookTitle,918)="","",INDEX(BookTotal,918)*'5. Scenarios'!$D$6/(1+ProductivityDefault*('5. Scenarios'!$D$11-1)))</f>
        <v/>
      </c>
      <c r="O923" s="57" t="str">
        <f aca="false">IF($N923="","",INDEX(BookRate,918)*(1+'5. Scenarios'!$D$10)*$N923)</f>
        <v/>
      </c>
      <c r="P923" s="57" t="str">
        <f aca="false">IF($O923="","",SUMIFS($O$6:$O$2405,$A$6:$A$2405,"&lt;="&amp;$A923))</f>
        <v/>
      </c>
      <c r="Q923" s="57" t="str">
        <f aca="false">IF($O923="","",IF($P923&lt;=BankCostEnvelope*'5. Scenarios'!$D$7,1,0))</f>
        <v/>
      </c>
      <c r="R923" s="57" t="str">
        <f aca="false">IF($N923="","",INDEX(BookRate,918)*(1+'5. Scenarios'!$D$10)*(INDEX(BookQ1,918)*(5-MIN(4,1+'5. Scenarios'!$D$8))/4+INDEX(BookQ2,918)*(5-MIN(4,2+'5. Scenarios'!$D$8))/4+INDEX(BookQ3,918)*(5-MIN(4,3+'5. Scenarios'!$D$8))/4+INDEX(BookQ4,918)*(5-MIN(4,4+'5. Scenarios'!$D$8))/4)*'5. Scenarios'!$D$6/(1+ProductivityDefault*('5. Scenarios'!$D$11-1))+INDEX(BookOneOff,918)*$N923)</f>
        <v/>
      </c>
      <c r="S923" s="56" t="str">
        <f aca="false">IF(INDEX(BookTitle,918)="","",INDEX(BookTotal,918)*'5. Scenarios'!$E$6/(1+ProductivityDefault*('5. Scenarios'!$E$11-1)))</f>
        <v/>
      </c>
      <c r="T923" s="57" t="str">
        <f aca="false">IF($S923="","",INDEX(BookRate,918)*(1+'5. Scenarios'!$E$10)*$S923)</f>
        <v/>
      </c>
      <c r="U923" s="57" t="str">
        <f aca="false">IF($T923="","",SUMIFS($T$6:$T$2405,$A$6:$A$2405,"&lt;="&amp;$A923))</f>
        <v/>
      </c>
      <c r="V923" s="57" t="str">
        <f aca="false">IF($T923="","",IF($U923&lt;=BankCostEnvelope*'5. Scenarios'!$E$7,1,0))</f>
        <v/>
      </c>
      <c r="W923" s="57" t="str">
        <f aca="false">IF($S923="","",INDEX(BookRate,918)*(1+'5. Scenarios'!$E$10)*(INDEX(BookQ1,918)*(5-MIN(4,1+'5. Scenarios'!$E$8))/4+INDEX(BookQ2,918)*(5-MIN(4,2+'5. Scenarios'!$E$8))/4+INDEX(BookQ3,918)*(5-MIN(4,3+'5. Scenarios'!$E$8))/4+INDEX(BookQ4,918)*(5-MIN(4,4+'5. Scenarios'!$E$8))/4)*'5. Scenarios'!$E$6/(1+ProductivityDefault*('5. Scenarios'!$E$11-1))+INDEX(BookOneOff,918)*$S923)</f>
        <v/>
      </c>
    </row>
    <row r="924" customFormat="false" ht="15" hidden="false" customHeight="false" outlineLevel="0" collapsed="false">
      <c r="A924" s="0" t="str">
        <f aca="false">IF(INDEX(BookTitle,919)="","",INDEX(BookKey,919))</f>
        <v/>
      </c>
      <c r="B924" s="0" t="str">
        <f aca="false">IF(INDEX(BookTitle,919)="","",INDEX(BookGroup,919))</f>
        <v/>
      </c>
      <c r="C924" s="0" t="str">
        <f aca="false">IF(INDEX(BookTitle,919)="","",INDEX(BookCategory,919))</f>
        <v/>
      </c>
      <c r="D924" s="56" t="str">
        <f aca="false">IF(INDEX(BookTitle,919)="","",INDEX(BookTotal,919)*'5. Scenarios'!$B$6/(1+ProductivityDefault*('5. Scenarios'!$B$11-1)))</f>
        <v/>
      </c>
      <c r="E924" s="57" t="str">
        <f aca="false">IF($D924="","",INDEX(BookRate,919)*(1+'5. Scenarios'!$B$10)*$D924)</f>
        <v/>
      </c>
      <c r="F924" s="57" t="str">
        <f aca="false">IF($E924="","",SUMIFS($E$6:$E$2405,$A$6:$A$2405,"&lt;="&amp;$A924))</f>
        <v/>
      </c>
      <c r="G924" s="57" t="str">
        <f aca="false">IF($E924="","",IF($F924&lt;=BankCostEnvelope*'5. Scenarios'!$B$7,1,0))</f>
        <v/>
      </c>
      <c r="H924" s="57" t="str">
        <f aca="false">IF($D924="","",INDEX(BookRate,919)*(1+'5. Scenarios'!$B$10)*(INDEX(BookQ1,919)*(5-MIN(4,1+'5. Scenarios'!$B$8))/4+INDEX(BookQ2,919)*(5-MIN(4,2+'5. Scenarios'!$B$8))/4+INDEX(BookQ3,919)*(5-MIN(4,3+'5. Scenarios'!$B$8))/4+INDEX(BookQ4,919)*(5-MIN(4,4+'5. Scenarios'!$B$8))/4)*'5. Scenarios'!$B$6/(1+ProductivityDefault*('5. Scenarios'!$B$11-1))+INDEX(BookOneOff,919)*$D924)</f>
        <v/>
      </c>
      <c r="I924" s="56" t="str">
        <f aca="false">IF(INDEX(BookTitle,919)="","",INDEX(BookTotal,919)*'5. Scenarios'!$C$6/(1+ProductivityDefault*('5. Scenarios'!$C$11-1)))</f>
        <v/>
      </c>
      <c r="J924" s="57" t="str">
        <f aca="false">IF($I924="","",INDEX(BookRate,919)*(1+'5. Scenarios'!$C$10)*$I924)</f>
        <v/>
      </c>
      <c r="K924" s="57" t="str">
        <f aca="false">IF($J924="","",SUMIFS($J$6:$J$2405,$A$6:$A$2405,"&lt;="&amp;$A924))</f>
        <v/>
      </c>
      <c r="L924" s="57" t="str">
        <f aca="false">IF($J924="","",IF($K924&lt;=BankCostEnvelope*'5. Scenarios'!$C$7,1,0))</f>
        <v/>
      </c>
      <c r="M924" s="57" t="str">
        <f aca="false">IF($I924="","",INDEX(BookRate,919)*(1+'5. Scenarios'!$C$10)*(INDEX(BookQ1,919)*(5-MIN(4,1+'5. Scenarios'!$C$8))/4+INDEX(BookQ2,919)*(5-MIN(4,2+'5. Scenarios'!$C$8))/4+INDEX(BookQ3,919)*(5-MIN(4,3+'5. Scenarios'!$C$8))/4+INDEX(BookQ4,919)*(5-MIN(4,4+'5. Scenarios'!$C$8))/4)*'5. Scenarios'!$C$6/(1+ProductivityDefault*('5. Scenarios'!$C$11-1))+INDEX(BookOneOff,919)*$I924)</f>
        <v/>
      </c>
      <c r="N924" s="56" t="str">
        <f aca="false">IF(INDEX(BookTitle,919)="","",INDEX(BookTotal,919)*'5. Scenarios'!$D$6/(1+ProductivityDefault*('5. Scenarios'!$D$11-1)))</f>
        <v/>
      </c>
      <c r="O924" s="57" t="str">
        <f aca="false">IF($N924="","",INDEX(BookRate,919)*(1+'5. Scenarios'!$D$10)*$N924)</f>
        <v/>
      </c>
      <c r="P924" s="57" t="str">
        <f aca="false">IF($O924="","",SUMIFS($O$6:$O$2405,$A$6:$A$2405,"&lt;="&amp;$A924))</f>
        <v/>
      </c>
      <c r="Q924" s="57" t="str">
        <f aca="false">IF($O924="","",IF($P924&lt;=BankCostEnvelope*'5. Scenarios'!$D$7,1,0))</f>
        <v/>
      </c>
      <c r="R924" s="57" t="str">
        <f aca="false">IF($N924="","",INDEX(BookRate,919)*(1+'5. Scenarios'!$D$10)*(INDEX(BookQ1,919)*(5-MIN(4,1+'5. Scenarios'!$D$8))/4+INDEX(BookQ2,919)*(5-MIN(4,2+'5. Scenarios'!$D$8))/4+INDEX(BookQ3,919)*(5-MIN(4,3+'5. Scenarios'!$D$8))/4+INDEX(BookQ4,919)*(5-MIN(4,4+'5. Scenarios'!$D$8))/4)*'5. Scenarios'!$D$6/(1+ProductivityDefault*('5. Scenarios'!$D$11-1))+INDEX(BookOneOff,919)*$N924)</f>
        <v/>
      </c>
      <c r="S924" s="56" t="str">
        <f aca="false">IF(INDEX(BookTitle,919)="","",INDEX(BookTotal,919)*'5. Scenarios'!$E$6/(1+ProductivityDefault*('5. Scenarios'!$E$11-1)))</f>
        <v/>
      </c>
      <c r="T924" s="57" t="str">
        <f aca="false">IF($S924="","",INDEX(BookRate,919)*(1+'5. Scenarios'!$E$10)*$S924)</f>
        <v/>
      </c>
      <c r="U924" s="57" t="str">
        <f aca="false">IF($T924="","",SUMIFS($T$6:$T$2405,$A$6:$A$2405,"&lt;="&amp;$A924))</f>
        <v/>
      </c>
      <c r="V924" s="57" t="str">
        <f aca="false">IF($T924="","",IF($U924&lt;=BankCostEnvelope*'5. Scenarios'!$E$7,1,0))</f>
        <v/>
      </c>
      <c r="W924" s="57" t="str">
        <f aca="false">IF($S924="","",INDEX(BookRate,919)*(1+'5. Scenarios'!$E$10)*(INDEX(BookQ1,919)*(5-MIN(4,1+'5. Scenarios'!$E$8))/4+INDEX(BookQ2,919)*(5-MIN(4,2+'5. Scenarios'!$E$8))/4+INDEX(BookQ3,919)*(5-MIN(4,3+'5. Scenarios'!$E$8))/4+INDEX(BookQ4,919)*(5-MIN(4,4+'5. Scenarios'!$E$8))/4)*'5. Scenarios'!$E$6/(1+ProductivityDefault*('5. Scenarios'!$E$11-1))+INDEX(BookOneOff,919)*$S924)</f>
        <v/>
      </c>
    </row>
    <row r="925" customFormat="false" ht="15" hidden="false" customHeight="false" outlineLevel="0" collapsed="false">
      <c r="A925" s="0" t="str">
        <f aca="false">IF(INDEX(BookTitle,920)="","",INDEX(BookKey,920))</f>
        <v/>
      </c>
      <c r="B925" s="0" t="str">
        <f aca="false">IF(INDEX(BookTitle,920)="","",INDEX(BookGroup,920))</f>
        <v/>
      </c>
      <c r="C925" s="0" t="str">
        <f aca="false">IF(INDEX(BookTitle,920)="","",INDEX(BookCategory,920))</f>
        <v/>
      </c>
      <c r="D925" s="56" t="str">
        <f aca="false">IF(INDEX(BookTitle,920)="","",INDEX(BookTotal,920)*'5. Scenarios'!$B$6/(1+ProductivityDefault*('5. Scenarios'!$B$11-1)))</f>
        <v/>
      </c>
      <c r="E925" s="57" t="str">
        <f aca="false">IF($D925="","",INDEX(BookRate,920)*(1+'5. Scenarios'!$B$10)*$D925)</f>
        <v/>
      </c>
      <c r="F925" s="57" t="str">
        <f aca="false">IF($E925="","",SUMIFS($E$6:$E$2405,$A$6:$A$2405,"&lt;="&amp;$A925))</f>
        <v/>
      </c>
      <c r="G925" s="57" t="str">
        <f aca="false">IF($E925="","",IF($F925&lt;=BankCostEnvelope*'5. Scenarios'!$B$7,1,0))</f>
        <v/>
      </c>
      <c r="H925" s="57" t="str">
        <f aca="false">IF($D925="","",INDEX(BookRate,920)*(1+'5. Scenarios'!$B$10)*(INDEX(BookQ1,920)*(5-MIN(4,1+'5. Scenarios'!$B$8))/4+INDEX(BookQ2,920)*(5-MIN(4,2+'5. Scenarios'!$B$8))/4+INDEX(BookQ3,920)*(5-MIN(4,3+'5. Scenarios'!$B$8))/4+INDEX(BookQ4,920)*(5-MIN(4,4+'5. Scenarios'!$B$8))/4)*'5. Scenarios'!$B$6/(1+ProductivityDefault*('5. Scenarios'!$B$11-1))+INDEX(BookOneOff,920)*$D925)</f>
        <v/>
      </c>
      <c r="I925" s="56" t="str">
        <f aca="false">IF(INDEX(BookTitle,920)="","",INDEX(BookTotal,920)*'5. Scenarios'!$C$6/(1+ProductivityDefault*('5. Scenarios'!$C$11-1)))</f>
        <v/>
      </c>
      <c r="J925" s="57" t="str">
        <f aca="false">IF($I925="","",INDEX(BookRate,920)*(1+'5. Scenarios'!$C$10)*$I925)</f>
        <v/>
      </c>
      <c r="K925" s="57" t="str">
        <f aca="false">IF($J925="","",SUMIFS($J$6:$J$2405,$A$6:$A$2405,"&lt;="&amp;$A925))</f>
        <v/>
      </c>
      <c r="L925" s="57" t="str">
        <f aca="false">IF($J925="","",IF($K925&lt;=BankCostEnvelope*'5. Scenarios'!$C$7,1,0))</f>
        <v/>
      </c>
      <c r="M925" s="57" t="str">
        <f aca="false">IF($I925="","",INDEX(BookRate,920)*(1+'5. Scenarios'!$C$10)*(INDEX(BookQ1,920)*(5-MIN(4,1+'5. Scenarios'!$C$8))/4+INDEX(BookQ2,920)*(5-MIN(4,2+'5. Scenarios'!$C$8))/4+INDEX(BookQ3,920)*(5-MIN(4,3+'5. Scenarios'!$C$8))/4+INDEX(BookQ4,920)*(5-MIN(4,4+'5. Scenarios'!$C$8))/4)*'5. Scenarios'!$C$6/(1+ProductivityDefault*('5. Scenarios'!$C$11-1))+INDEX(BookOneOff,920)*$I925)</f>
        <v/>
      </c>
      <c r="N925" s="56" t="str">
        <f aca="false">IF(INDEX(BookTitle,920)="","",INDEX(BookTotal,920)*'5. Scenarios'!$D$6/(1+ProductivityDefault*('5. Scenarios'!$D$11-1)))</f>
        <v/>
      </c>
      <c r="O925" s="57" t="str">
        <f aca="false">IF($N925="","",INDEX(BookRate,920)*(1+'5. Scenarios'!$D$10)*$N925)</f>
        <v/>
      </c>
      <c r="P925" s="57" t="str">
        <f aca="false">IF($O925="","",SUMIFS($O$6:$O$2405,$A$6:$A$2405,"&lt;="&amp;$A925))</f>
        <v/>
      </c>
      <c r="Q925" s="57" t="str">
        <f aca="false">IF($O925="","",IF($P925&lt;=BankCostEnvelope*'5. Scenarios'!$D$7,1,0))</f>
        <v/>
      </c>
      <c r="R925" s="57" t="str">
        <f aca="false">IF($N925="","",INDEX(BookRate,920)*(1+'5. Scenarios'!$D$10)*(INDEX(BookQ1,920)*(5-MIN(4,1+'5. Scenarios'!$D$8))/4+INDEX(BookQ2,920)*(5-MIN(4,2+'5. Scenarios'!$D$8))/4+INDEX(BookQ3,920)*(5-MIN(4,3+'5. Scenarios'!$D$8))/4+INDEX(BookQ4,920)*(5-MIN(4,4+'5. Scenarios'!$D$8))/4)*'5. Scenarios'!$D$6/(1+ProductivityDefault*('5. Scenarios'!$D$11-1))+INDEX(BookOneOff,920)*$N925)</f>
        <v/>
      </c>
      <c r="S925" s="56" t="str">
        <f aca="false">IF(INDEX(BookTitle,920)="","",INDEX(BookTotal,920)*'5. Scenarios'!$E$6/(1+ProductivityDefault*('5. Scenarios'!$E$11-1)))</f>
        <v/>
      </c>
      <c r="T925" s="57" t="str">
        <f aca="false">IF($S925="","",INDEX(BookRate,920)*(1+'5. Scenarios'!$E$10)*$S925)</f>
        <v/>
      </c>
      <c r="U925" s="57" t="str">
        <f aca="false">IF($T925="","",SUMIFS($T$6:$T$2405,$A$6:$A$2405,"&lt;="&amp;$A925))</f>
        <v/>
      </c>
      <c r="V925" s="57" t="str">
        <f aca="false">IF($T925="","",IF($U925&lt;=BankCostEnvelope*'5. Scenarios'!$E$7,1,0))</f>
        <v/>
      </c>
      <c r="W925" s="57" t="str">
        <f aca="false">IF($S925="","",INDEX(BookRate,920)*(1+'5. Scenarios'!$E$10)*(INDEX(BookQ1,920)*(5-MIN(4,1+'5. Scenarios'!$E$8))/4+INDEX(BookQ2,920)*(5-MIN(4,2+'5. Scenarios'!$E$8))/4+INDEX(BookQ3,920)*(5-MIN(4,3+'5. Scenarios'!$E$8))/4+INDEX(BookQ4,920)*(5-MIN(4,4+'5. Scenarios'!$E$8))/4)*'5. Scenarios'!$E$6/(1+ProductivityDefault*('5. Scenarios'!$E$11-1))+INDEX(BookOneOff,920)*$S925)</f>
        <v/>
      </c>
    </row>
    <row r="926" customFormat="false" ht="15" hidden="false" customHeight="false" outlineLevel="0" collapsed="false">
      <c r="A926" s="0" t="str">
        <f aca="false">IF(INDEX(BookTitle,921)="","",INDEX(BookKey,921))</f>
        <v/>
      </c>
      <c r="B926" s="0" t="str">
        <f aca="false">IF(INDEX(BookTitle,921)="","",INDEX(BookGroup,921))</f>
        <v/>
      </c>
      <c r="C926" s="0" t="str">
        <f aca="false">IF(INDEX(BookTitle,921)="","",INDEX(BookCategory,921))</f>
        <v/>
      </c>
      <c r="D926" s="56" t="str">
        <f aca="false">IF(INDEX(BookTitle,921)="","",INDEX(BookTotal,921)*'5. Scenarios'!$B$6/(1+ProductivityDefault*('5. Scenarios'!$B$11-1)))</f>
        <v/>
      </c>
      <c r="E926" s="57" t="str">
        <f aca="false">IF($D926="","",INDEX(BookRate,921)*(1+'5. Scenarios'!$B$10)*$D926)</f>
        <v/>
      </c>
      <c r="F926" s="57" t="str">
        <f aca="false">IF($E926="","",SUMIFS($E$6:$E$2405,$A$6:$A$2405,"&lt;="&amp;$A926))</f>
        <v/>
      </c>
      <c r="G926" s="57" t="str">
        <f aca="false">IF($E926="","",IF($F926&lt;=BankCostEnvelope*'5. Scenarios'!$B$7,1,0))</f>
        <v/>
      </c>
      <c r="H926" s="57" t="str">
        <f aca="false">IF($D926="","",INDEX(BookRate,921)*(1+'5. Scenarios'!$B$10)*(INDEX(BookQ1,921)*(5-MIN(4,1+'5. Scenarios'!$B$8))/4+INDEX(BookQ2,921)*(5-MIN(4,2+'5. Scenarios'!$B$8))/4+INDEX(BookQ3,921)*(5-MIN(4,3+'5. Scenarios'!$B$8))/4+INDEX(BookQ4,921)*(5-MIN(4,4+'5. Scenarios'!$B$8))/4)*'5. Scenarios'!$B$6/(1+ProductivityDefault*('5. Scenarios'!$B$11-1))+INDEX(BookOneOff,921)*$D926)</f>
        <v/>
      </c>
      <c r="I926" s="56" t="str">
        <f aca="false">IF(INDEX(BookTitle,921)="","",INDEX(BookTotal,921)*'5. Scenarios'!$C$6/(1+ProductivityDefault*('5. Scenarios'!$C$11-1)))</f>
        <v/>
      </c>
      <c r="J926" s="57" t="str">
        <f aca="false">IF($I926="","",INDEX(BookRate,921)*(1+'5. Scenarios'!$C$10)*$I926)</f>
        <v/>
      </c>
      <c r="K926" s="57" t="str">
        <f aca="false">IF($J926="","",SUMIFS($J$6:$J$2405,$A$6:$A$2405,"&lt;="&amp;$A926))</f>
        <v/>
      </c>
      <c r="L926" s="57" t="str">
        <f aca="false">IF($J926="","",IF($K926&lt;=BankCostEnvelope*'5. Scenarios'!$C$7,1,0))</f>
        <v/>
      </c>
      <c r="M926" s="57" t="str">
        <f aca="false">IF($I926="","",INDEX(BookRate,921)*(1+'5. Scenarios'!$C$10)*(INDEX(BookQ1,921)*(5-MIN(4,1+'5. Scenarios'!$C$8))/4+INDEX(BookQ2,921)*(5-MIN(4,2+'5. Scenarios'!$C$8))/4+INDEX(BookQ3,921)*(5-MIN(4,3+'5. Scenarios'!$C$8))/4+INDEX(BookQ4,921)*(5-MIN(4,4+'5. Scenarios'!$C$8))/4)*'5. Scenarios'!$C$6/(1+ProductivityDefault*('5. Scenarios'!$C$11-1))+INDEX(BookOneOff,921)*$I926)</f>
        <v/>
      </c>
      <c r="N926" s="56" t="str">
        <f aca="false">IF(INDEX(BookTitle,921)="","",INDEX(BookTotal,921)*'5. Scenarios'!$D$6/(1+ProductivityDefault*('5. Scenarios'!$D$11-1)))</f>
        <v/>
      </c>
      <c r="O926" s="57" t="str">
        <f aca="false">IF($N926="","",INDEX(BookRate,921)*(1+'5. Scenarios'!$D$10)*$N926)</f>
        <v/>
      </c>
      <c r="P926" s="57" t="str">
        <f aca="false">IF($O926="","",SUMIFS($O$6:$O$2405,$A$6:$A$2405,"&lt;="&amp;$A926))</f>
        <v/>
      </c>
      <c r="Q926" s="57" t="str">
        <f aca="false">IF($O926="","",IF($P926&lt;=BankCostEnvelope*'5. Scenarios'!$D$7,1,0))</f>
        <v/>
      </c>
      <c r="R926" s="57" t="str">
        <f aca="false">IF($N926="","",INDEX(BookRate,921)*(1+'5. Scenarios'!$D$10)*(INDEX(BookQ1,921)*(5-MIN(4,1+'5. Scenarios'!$D$8))/4+INDEX(BookQ2,921)*(5-MIN(4,2+'5. Scenarios'!$D$8))/4+INDEX(BookQ3,921)*(5-MIN(4,3+'5. Scenarios'!$D$8))/4+INDEX(BookQ4,921)*(5-MIN(4,4+'5. Scenarios'!$D$8))/4)*'5. Scenarios'!$D$6/(1+ProductivityDefault*('5. Scenarios'!$D$11-1))+INDEX(BookOneOff,921)*$N926)</f>
        <v/>
      </c>
      <c r="S926" s="56" t="str">
        <f aca="false">IF(INDEX(BookTitle,921)="","",INDEX(BookTotal,921)*'5. Scenarios'!$E$6/(1+ProductivityDefault*('5. Scenarios'!$E$11-1)))</f>
        <v/>
      </c>
      <c r="T926" s="57" t="str">
        <f aca="false">IF($S926="","",INDEX(BookRate,921)*(1+'5. Scenarios'!$E$10)*$S926)</f>
        <v/>
      </c>
      <c r="U926" s="57" t="str">
        <f aca="false">IF($T926="","",SUMIFS($T$6:$T$2405,$A$6:$A$2405,"&lt;="&amp;$A926))</f>
        <v/>
      </c>
      <c r="V926" s="57" t="str">
        <f aca="false">IF($T926="","",IF($U926&lt;=BankCostEnvelope*'5. Scenarios'!$E$7,1,0))</f>
        <v/>
      </c>
      <c r="W926" s="57" t="str">
        <f aca="false">IF($S926="","",INDEX(BookRate,921)*(1+'5. Scenarios'!$E$10)*(INDEX(BookQ1,921)*(5-MIN(4,1+'5. Scenarios'!$E$8))/4+INDEX(BookQ2,921)*(5-MIN(4,2+'5. Scenarios'!$E$8))/4+INDEX(BookQ3,921)*(5-MIN(4,3+'5. Scenarios'!$E$8))/4+INDEX(BookQ4,921)*(5-MIN(4,4+'5. Scenarios'!$E$8))/4)*'5. Scenarios'!$E$6/(1+ProductivityDefault*('5. Scenarios'!$E$11-1))+INDEX(BookOneOff,921)*$S926)</f>
        <v/>
      </c>
    </row>
    <row r="927" customFormat="false" ht="15" hidden="false" customHeight="false" outlineLevel="0" collapsed="false">
      <c r="A927" s="0" t="str">
        <f aca="false">IF(INDEX(BookTitle,922)="","",INDEX(BookKey,922))</f>
        <v/>
      </c>
      <c r="B927" s="0" t="str">
        <f aca="false">IF(INDEX(BookTitle,922)="","",INDEX(BookGroup,922))</f>
        <v/>
      </c>
      <c r="C927" s="0" t="str">
        <f aca="false">IF(INDEX(BookTitle,922)="","",INDEX(BookCategory,922))</f>
        <v/>
      </c>
      <c r="D927" s="56" t="str">
        <f aca="false">IF(INDEX(BookTitle,922)="","",INDEX(BookTotal,922)*'5. Scenarios'!$B$6/(1+ProductivityDefault*('5. Scenarios'!$B$11-1)))</f>
        <v/>
      </c>
      <c r="E927" s="57" t="str">
        <f aca="false">IF($D927="","",INDEX(BookRate,922)*(1+'5. Scenarios'!$B$10)*$D927)</f>
        <v/>
      </c>
      <c r="F927" s="57" t="str">
        <f aca="false">IF($E927="","",SUMIFS($E$6:$E$2405,$A$6:$A$2405,"&lt;="&amp;$A927))</f>
        <v/>
      </c>
      <c r="G927" s="57" t="str">
        <f aca="false">IF($E927="","",IF($F927&lt;=BankCostEnvelope*'5. Scenarios'!$B$7,1,0))</f>
        <v/>
      </c>
      <c r="H927" s="57" t="str">
        <f aca="false">IF($D927="","",INDEX(BookRate,922)*(1+'5. Scenarios'!$B$10)*(INDEX(BookQ1,922)*(5-MIN(4,1+'5. Scenarios'!$B$8))/4+INDEX(BookQ2,922)*(5-MIN(4,2+'5. Scenarios'!$B$8))/4+INDEX(BookQ3,922)*(5-MIN(4,3+'5. Scenarios'!$B$8))/4+INDEX(BookQ4,922)*(5-MIN(4,4+'5. Scenarios'!$B$8))/4)*'5. Scenarios'!$B$6/(1+ProductivityDefault*('5. Scenarios'!$B$11-1))+INDEX(BookOneOff,922)*$D927)</f>
        <v/>
      </c>
      <c r="I927" s="56" t="str">
        <f aca="false">IF(INDEX(BookTitle,922)="","",INDEX(BookTotal,922)*'5. Scenarios'!$C$6/(1+ProductivityDefault*('5. Scenarios'!$C$11-1)))</f>
        <v/>
      </c>
      <c r="J927" s="57" t="str">
        <f aca="false">IF($I927="","",INDEX(BookRate,922)*(1+'5. Scenarios'!$C$10)*$I927)</f>
        <v/>
      </c>
      <c r="K927" s="57" t="str">
        <f aca="false">IF($J927="","",SUMIFS($J$6:$J$2405,$A$6:$A$2405,"&lt;="&amp;$A927))</f>
        <v/>
      </c>
      <c r="L927" s="57" t="str">
        <f aca="false">IF($J927="","",IF($K927&lt;=BankCostEnvelope*'5. Scenarios'!$C$7,1,0))</f>
        <v/>
      </c>
      <c r="M927" s="57" t="str">
        <f aca="false">IF($I927="","",INDEX(BookRate,922)*(1+'5. Scenarios'!$C$10)*(INDEX(BookQ1,922)*(5-MIN(4,1+'5. Scenarios'!$C$8))/4+INDEX(BookQ2,922)*(5-MIN(4,2+'5. Scenarios'!$C$8))/4+INDEX(BookQ3,922)*(5-MIN(4,3+'5. Scenarios'!$C$8))/4+INDEX(BookQ4,922)*(5-MIN(4,4+'5. Scenarios'!$C$8))/4)*'5. Scenarios'!$C$6/(1+ProductivityDefault*('5. Scenarios'!$C$11-1))+INDEX(BookOneOff,922)*$I927)</f>
        <v/>
      </c>
      <c r="N927" s="56" t="str">
        <f aca="false">IF(INDEX(BookTitle,922)="","",INDEX(BookTotal,922)*'5. Scenarios'!$D$6/(1+ProductivityDefault*('5. Scenarios'!$D$11-1)))</f>
        <v/>
      </c>
      <c r="O927" s="57" t="str">
        <f aca="false">IF($N927="","",INDEX(BookRate,922)*(1+'5. Scenarios'!$D$10)*$N927)</f>
        <v/>
      </c>
      <c r="P927" s="57" t="str">
        <f aca="false">IF($O927="","",SUMIFS($O$6:$O$2405,$A$6:$A$2405,"&lt;="&amp;$A927))</f>
        <v/>
      </c>
      <c r="Q927" s="57" t="str">
        <f aca="false">IF($O927="","",IF($P927&lt;=BankCostEnvelope*'5. Scenarios'!$D$7,1,0))</f>
        <v/>
      </c>
      <c r="R927" s="57" t="str">
        <f aca="false">IF($N927="","",INDEX(BookRate,922)*(1+'5. Scenarios'!$D$10)*(INDEX(BookQ1,922)*(5-MIN(4,1+'5. Scenarios'!$D$8))/4+INDEX(BookQ2,922)*(5-MIN(4,2+'5. Scenarios'!$D$8))/4+INDEX(BookQ3,922)*(5-MIN(4,3+'5. Scenarios'!$D$8))/4+INDEX(BookQ4,922)*(5-MIN(4,4+'5. Scenarios'!$D$8))/4)*'5. Scenarios'!$D$6/(1+ProductivityDefault*('5. Scenarios'!$D$11-1))+INDEX(BookOneOff,922)*$N927)</f>
        <v/>
      </c>
      <c r="S927" s="56" t="str">
        <f aca="false">IF(INDEX(BookTitle,922)="","",INDEX(BookTotal,922)*'5. Scenarios'!$E$6/(1+ProductivityDefault*('5. Scenarios'!$E$11-1)))</f>
        <v/>
      </c>
      <c r="T927" s="57" t="str">
        <f aca="false">IF($S927="","",INDEX(BookRate,922)*(1+'5. Scenarios'!$E$10)*$S927)</f>
        <v/>
      </c>
      <c r="U927" s="57" t="str">
        <f aca="false">IF($T927="","",SUMIFS($T$6:$T$2405,$A$6:$A$2405,"&lt;="&amp;$A927))</f>
        <v/>
      </c>
      <c r="V927" s="57" t="str">
        <f aca="false">IF($T927="","",IF($U927&lt;=BankCostEnvelope*'5. Scenarios'!$E$7,1,0))</f>
        <v/>
      </c>
      <c r="W927" s="57" t="str">
        <f aca="false">IF($S927="","",INDEX(BookRate,922)*(1+'5. Scenarios'!$E$10)*(INDEX(BookQ1,922)*(5-MIN(4,1+'5. Scenarios'!$E$8))/4+INDEX(BookQ2,922)*(5-MIN(4,2+'5. Scenarios'!$E$8))/4+INDEX(BookQ3,922)*(5-MIN(4,3+'5. Scenarios'!$E$8))/4+INDEX(BookQ4,922)*(5-MIN(4,4+'5. Scenarios'!$E$8))/4)*'5. Scenarios'!$E$6/(1+ProductivityDefault*('5. Scenarios'!$E$11-1))+INDEX(BookOneOff,922)*$S927)</f>
        <v/>
      </c>
    </row>
    <row r="928" customFormat="false" ht="15" hidden="false" customHeight="false" outlineLevel="0" collapsed="false">
      <c r="A928" s="0" t="str">
        <f aca="false">IF(INDEX(BookTitle,923)="","",INDEX(BookKey,923))</f>
        <v/>
      </c>
      <c r="B928" s="0" t="str">
        <f aca="false">IF(INDEX(BookTitle,923)="","",INDEX(BookGroup,923))</f>
        <v/>
      </c>
      <c r="C928" s="0" t="str">
        <f aca="false">IF(INDEX(BookTitle,923)="","",INDEX(BookCategory,923))</f>
        <v/>
      </c>
      <c r="D928" s="56" t="str">
        <f aca="false">IF(INDEX(BookTitle,923)="","",INDEX(BookTotal,923)*'5. Scenarios'!$B$6/(1+ProductivityDefault*('5. Scenarios'!$B$11-1)))</f>
        <v/>
      </c>
      <c r="E928" s="57" t="str">
        <f aca="false">IF($D928="","",INDEX(BookRate,923)*(1+'5. Scenarios'!$B$10)*$D928)</f>
        <v/>
      </c>
      <c r="F928" s="57" t="str">
        <f aca="false">IF($E928="","",SUMIFS($E$6:$E$2405,$A$6:$A$2405,"&lt;="&amp;$A928))</f>
        <v/>
      </c>
      <c r="G928" s="57" t="str">
        <f aca="false">IF($E928="","",IF($F928&lt;=BankCostEnvelope*'5. Scenarios'!$B$7,1,0))</f>
        <v/>
      </c>
      <c r="H928" s="57" t="str">
        <f aca="false">IF($D928="","",INDEX(BookRate,923)*(1+'5. Scenarios'!$B$10)*(INDEX(BookQ1,923)*(5-MIN(4,1+'5. Scenarios'!$B$8))/4+INDEX(BookQ2,923)*(5-MIN(4,2+'5. Scenarios'!$B$8))/4+INDEX(BookQ3,923)*(5-MIN(4,3+'5. Scenarios'!$B$8))/4+INDEX(BookQ4,923)*(5-MIN(4,4+'5. Scenarios'!$B$8))/4)*'5. Scenarios'!$B$6/(1+ProductivityDefault*('5. Scenarios'!$B$11-1))+INDEX(BookOneOff,923)*$D928)</f>
        <v/>
      </c>
      <c r="I928" s="56" t="str">
        <f aca="false">IF(INDEX(BookTitle,923)="","",INDEX(BookTotal,923)*'5. Scenarios'!$C$6/(1+ProductivityDefault*('5. Scenarios'!$C$11-1)))</f>
        <v/>
      </c>
      <c r="J928" s="57" t="str">
        <f aca="false">IF($I928="","",INDEX(BookRate,923)*(1+'5. Scenarios'!$C$10)*$I928)</f>
        <v/>
      </c>
      <c r="K928" s="57" t="str">
        <f aca="false">IF($J928="","",SUMIFS($J$6:$J$2405,$A$6:$A$2405,"&lt;="&amp;$A928))</f>
        <v/>
      </c>
      <c r="L928" s="57" t="str">
        <f aca="false">IF($J928="","",IF($K928&lt;=BankCostEnvelope*'5. Scenarios'!$C$7,1,0))</f>
        <v/>
      </c>
      <c r="M928" s="57" t="str">
        <f aca="false">IF($I928="","",INDEX(BookRate,923)*(1+'5. Scenarios'!$C$10)*(INDEX(BookQ1,923)*(5-MIN(4,1+'5. Scenarios'!$C$8))/4+INDEX(BookQ2,923)*(5-MIN(4,2+'5. Scenarios'!$C$8))/4+INDEX(BookQ3,923)*(5-MIN(4,3+'5. Scenarios'!$C$8))/4+INDEX(BookQ4,923)*(5-MIN(4,4+'5. Scenarios'!$C$8))/4)*'5. Scenarios'!$C$6/(1+ProductivityDefault*('5. Scenarios'!$C$11-1))+INDEX(BookOneOff,923)*$I928)</f>
        <v/>
      </c>
      <c r="N928" s="56" t="str">
        <f aca="false">IF(INDEX(BookTitle,923)="","",INDEX(BookTotal,923)*'5. Scenarios'!$D$6/(1+ProductivityDefault*('5. Scenarios'!$D$11-1)))</f>
        <v/>
      </c>
      <c r="O928" s="57" t="str">
        <f aca="false">IF($N928="","",INDEX(BookRate,923)*(1+'5. Scenarios'!$D$10)*$N928)</f>
        <v/>
      </c>
      <c r="P928" s="57" t="str">
        <f aca="false">IF($O928="","",SUMIFS($O$6:$O$2405,$A$6:$A$2405,"&lt;="&amp;$A928))</f>
        <v/>
      </c>
      <c r="Q928" s="57" t="str">
        <f aca="false">IF($O928="","",IF($P928&lt;=BankCostEnvelope*'5. Scenarios'!$D$7,1,0))</f>
        <v/>
      </c>
      <c r="R928" s="57" t="str">
        <f aca="false">IF($N928="","",INDEX(BookRate,923)*(1+'5. Scenarios'!$D$10)*(INDEX(BookQ1,923)*(5-MIN(4,1+'5. Scenarios'!$D$8))/4+INDEX(BookQ2,923)*(5-MIN(4,2+'5. Scenarios'!$D$8))/4+INDEX(BookQ3,923)*(5-MIN(4,3+'5. Scenarios'!$D$8))/4+INDEX(BookQ4,923)*(5-MIN(4,4+'5. Scenarios'!$D$8))/4)*'5. Scenarios'!$D$6/(1+ProductivityDefault*('5. Scenarios'!$D$11-1))+INDEX(BookOneOff,923)*$N928)</f>
        <v/>
      </c>
      <c r="S928" s="56" t="str">
        <f aca="false">IF(INDEX(BookTitle,923)="","",INDEX(BookTotal,923)*'5. Scenarios'!$E$6/(1+ProductivityDefault*('5. Scenarios'!$E$11-1)))</f>
        <v/>
      </c>
      <c r="T928" s="57" t="str">
        <f aca="false">IF($S928="","",INDEX(BookRate,923)*(1+'5. Scenarios'!$E$10)*$S928)</f>
        <v/>
      </c>
      <c r="U928" s="57" t="str">
        <f aca="false">IF($T928="","",SUMIFS($T$6:$T$2405,$A$6:$A$2405,"&lt;="&amp;$A928))</f>
        <v/>
      </c>
      <c r="V928" s="57" t="str">
        <f aca="false">IF($T928="","",IF($U928&lt;=BankCostEnvelope*'5. Scenarios'!$E$7,1,0))</f>
        <v/>
      </c>
      <c r="W928" s="57" t="str">
        <f aca="false">IF($S928="","",INDEX(BookRate,923)*(1+'5. Scenarios'!$E$10)*(INDEX(BookQ1,923)*(5-MIN(4,1+'5. Scenarios'!$E$8))/4+INDEX(BookQ2,923)*(5-MIN(4,2+'5. Scenarios'!$E$8))/4+INDEX(BookQ3,923)*(5-MIN(4,3+'5. Scenarios'!$E$8))/4+INDEX(BookQ4,923)*(5-MIN(4,4+'5. Scenarios'!$E$8))/4)*'5. Scenarios'!$E$6/(1+ProductivityDefault*('5. Scenarios'!$E$11-1))+INDEX(BookOneOff,923)*$S928)</f>
        <v/>
      </c>
    </row>
    <row r="929" customFormat="false" ht="15" hidden="false" customHeight="false" outlineLevel="0" collapsed="false">
      <c r="A929" s="0" t="str">
        <f aca="false">IF(INDEX(BookTitle,924)="","",INDEX(BookKey,924))</f>
        <v/>
      </c>
      <c r="B929" s="0" t="str">
        <f aca="false">IF(INDEX(BookTitle,924)="","",INDEX(BookGroup,924))</f>
        <v/>
      </c>
      <c r="C929" s="0" t="str">
        <f aca="false">IF(INDEX(BookTitle,924)="","",INDEX(BookCategory,924))</f>
        <v/>
      </c>
      <c r="D929" s="56" t="str">
        <f aca="false">IF(INDEX(BookTitle,924)="","",INDEX(BookTotal,924)*'5. Scenarios'!$B$6/(1+ProductivityDefault*('5. Scenarios'!$B$11-1)))</f>
        <v/>
      </c>
      <c r="E929" s="57" t="str">
        <f aca="false">IF($D929="","",INDEX(BookRate,924)*(1+'5. Scenarios'!$B$10)*$D929)</f>
        <v/>
      </c>
      <c r="F929" s="57" t="str">
        <f aca="false">IF($E929="","",SUMIFS($E$6:$E$2405,$A$6:$A$2405,"&lt;="&amp;$A929))</f>
        <v/>
      </c>
      <c r="G929" s="57" t="str">
        <f aca="false">IF($E929="","",IF($F929&lt;=BankCostEnvelope*'5. Scenarios'!$B$7,1,0))</f>
        <v/>
      </c>
      <c r="H929" s="57" t="str">
        <f aca="false">IF($D929="","",INDEX(BookRate,924)*(1+'5. Scenarios'!$B$10)*(INDEX(BookQ1,924)*(5-MIN(4,1+'5. Scenarios'!$B$8))/4+INDEX(BookQ2,924)*(5-MIN(4,2+'5. Scenarios'!$B$8))/4+INDEX(BookQ3,924)*(5-MIN(4,3+'5. Scenarios'!$B$8))/4+INDEX(BookQ4,924)*(5-MIN(4,4+'5. Scenarios'!$B$8))/4)*'5. Scenarios'!$B$6/(1+ProductivityDefault*('5. Scenarios'!$B$11-1))+INDEX(BookOneOff,924)*$D929)</f>
        <v/>
      </c>
      <c r="I929" s="56" t="str">
        <f aca="false">IF(INDEX(BookTitle,924)="","",INDEX(BookTotal,924)*'5. Scenarios'!$C$6/(1+ProductivityDefault*('5. Scenarios'!$C$11-1)))</f>
        <v/>
      </c>
      <c r="J929" s="57" t="str">
        <f aca="false">IF($I929="","",INDEX(BookRate,924)*(1+'5. Scenarios'!$C$10)*$I929)</f>
        <v/>
      </c>
      <c r="K929" s="57" t="str">
        <f aca="false">IF($J929="","",SUMIFS($J$6:$J$2405,$A$6:$A$2405,"&lt;="&amp;$A929))</f>
        <v/>
      </c>
      <c r="L929" s="57" t="str">
        <f aca="false">IF($J929="","",IF($K929&lt;=BankCostEnvelope*'5. Scenarios'!$C$7,1,0))</f>
        <v/>
      </c>
      <c r="M929" s="57" t="str">
        <f aca="false">IF($I929="","",INDEX(BookRate,924)*(1+'5. Scenarios'!$C$10)*(INDEX(BookQ1,924)*(5-MIN(4,1+'5. Scenarios'!$C$8))/4+INDEX(BookQ2,924)*(5-MIN(4,2+'5. Scenarios'!$C$8))/4+INDEX(BookQ3,924)*(5-MIN(4,3+'5. Scenarios'!$C$8))/4+INDEX(BookQ4,924)*(5-MIN(4,4+'5. Scenarios'!$C$8))/4)*'5. Scenarios'!$C$6/(1+ProductivityDefault*('5. Scenarios'!$C$11-1))+INDEX(BookOneOff,924)*$I929)</f>
        <v/>
      </c>
      <c r="N929" s="56" t="str">
        <f aca="false">IF(INDEX(BookTitle,924)="","",INDEX(BookTotal,924)*'5. Scenarios'!$D$6/(1+ProductivityDefault*('5. Scenarios'!$D$11-1)))</f>
        <v/>
      </c>
      <c r="O929" s="57" t="str">
        <f aca="false">IF($N929="","",INDEX(BookRate,924)*(1+'5. Scenarios'!$D$10)*$N929)</f>
        <v/>
      </c>
      <c r="P929" s="57" t="str">
        <f aca="false">IF($O929="","",SUMIFS($O$6:$O$2405,$A$6:$A$2405,"&lt;="&amp;$A929))</f>
        <v/>
      </c>
      <c r="Q929" s="57" t="str">
        <f aca="false">IF($O929="","",IF($P929&lt;=BankCostEnvelope*'5. Scenarios'!$D$7,1,0))</f>
        <v/>
      </c>
      <c r="R929" s="57" t="str">
        <f aca="false">IF($N929="","",INDEX(BookRate,924)*(1+'5. Scenarios'!$D$10)*(INDEX(BookQ1,924)*(5-MIN(4,1+'5. Scenarios'!$D$8))/4+INDEX(BookQ2,924)*(5-MIN(4,2+'5. Scenarios'!$D$8))/4+INDEX(BookQ3,924)*(5-MIN(4,3+'5. Scenarios'!$D$8))/4+INDEX(BookQ4,924)*(5-MIN(4,4+'5. Scenarios'!$D$8))/4)*'5. Scenarios'!$D$6/(1+ProductivityDefault*('5. Scenarios'!$D$11-1))+INDEX(BookOneOff,924)*$N929)</f>
        <v/>
      </c>
      <c r="S929" s="56" t="str">
        <f aca="false">IF(INDEX(BookTitle,924)="","",INDEX(BookTotal,924)*'5. Scenarios'!$E$6/(1+ProductivityDefault*('5. Scenarios'!$E$11-1)))</f>
        <v/>
      </c>
      <c r="T929" s="57" t="str">
        <f aca="false">IF($S929="","",INDEX(BookRate,924)*(1+'5. Scenarios'!$E$10)*$S929)</f>
        <v/>
      </c>
      <c r="U929" s="57" t="str">
        <f aca="false">IF($T929="","",SUMIFS($T$6:$T$2405,$A$6:$A$2405,"&lt;="&amp;$A929))</f>
        <v/>
      </c>
      <c r="V929" s="57" t="str">
        <f aca="false">IF($T929="","",IF($U929&lt;=BankCostEnvelope*'5. Scenarios'!$E$7,1,0))</f>
        <v/>
      </c>
      <c r="W929" s="57" t="str">
        <f aca="false">IF($S929="","",INDEX(BookRate,924)*(1+'5. Scenarios'!$E$10)*(INDEX(BookQ1,924)*(5-MIN(4,1+'5. Scenarios'!$E$8))/4+INDEX(BookQ2,924)*(5-MIN(4,2+'5. Scenarios'!$E$8))/4+INDEX(BookQ3,924)*(5-MIN(4,3+'5. Scenarios'!$E$8))/4+INDEX(BookQ4,924)*(5-MIN(4,4+'5. Scenarios'!$E$8))/4)*'5. Scenarios'!$E$6/(1+ProductivityDefault*('5. Scenarios'!$E$11-1))+INDEX(BookOneOff,924)*$S929)</f>
        <v/>
      </c>
    </row>
    <row r="930" customFormat="false" ht="15" hidden="false" customHeight="false" outlineLevel="0" collapsed="false">
      <c r="A930" s="0" t="str">
        <f aca="false">IF(INDEX(BookTitle,925)="","",INDEX(BookKey,925))</f>
        <v/>
      </c>
      <c r="B930" s="0" t="str">
        <f aca="false">IF(INDEX(BookTitle,925)="","",INDEX(BookGroup,925))</f>
        <v/>
      </c>
      <c r="C930" s="0" t="str">
        <f aca="false">IF(INDEX(BookTitle,925)="","",INDEX(BookCategory,925))</f>
        <v/>
      </c>
      <c r="D930" s="56" t="str">
        <f aca="false">IF(INDEX(BookTitle,925)="","",INDEX(BookTotal,925)*'5. Scenarios'!$B$6/(1+ProductivityDefault*('5. Scenarios'!$B$11-1)))</f>
        <v/>
      </c>
      <c r="E930" s="57" t="str">
        <f aca="false">IF($D930="","",INDEX(BookRate,925)*(1+'5. Scenarios'!$B$10)*$D930)</f>
        <v/>
      </c>
      <c r="F930" s="57" t="str">
        <f aca="false">IF($E930="","",SUMIFS($E$6:$E$2405,$A$6:$A$2405,"&lt;="&amp;$A930))</f>
        <v/>
      </c>
      <c r="G930" s="57" t="str">
        <f aca="false">IF($E930="","",IF($F930&lt;=BankCostEnvelope*'5. Scenarios'!$B$7,1,0))</f>
        <v/>
      </c>
      <c r="H930" s="57" t="str">
        <f aca="false">IF($D930="","",INDEX(BookRate,925)*(1+'5. Scenarios'!$B$10)*(INDEX(BookQ1,925)*(5-MIN(4,1+'5. Scenarios'!$B$8))/4+INDEX(BookQ2,925)*(5-MIN(4,2+'5. Scenarios'!$B$8))/4+INDEX(BookQ3,925)*(5-MIN(4,3+'5. Scenarios'!$B$8))/4+INDEX(BookQ4,925)*(5-MIN(4,4+'5. Scenarios'!$B$8))/4)*'5. Scenarios'!$B$6/(1+ProductivityDefault*('5. Scenarios'!$B$11-1))+INDEX(BookOneOff,925)*$D930)</f>
        <v/>
      </c>
      <c r="I930" s="56" t="str">
        <f aca="false">IF(INDEX(BookTitle,925)="","",INDEX(BookTotal,925)*'5. Scenarios'!$C$6/(1+ProductivityDefault*('5. Scenarios'!$C$11-1)))</f>
        <v/>
      </c>
      <c r="J930" s="57" t="str">
        <f aca="false">IF($I930="","",INDEX(BookRate,925)*(1+'5. Scenarios'!$C$10)*$I930)</f>
        <v/>
      </c>
      <c r="K930" s="57" t="str">
        <f aca="false">IF($J930="","",SUMIFS($J$6:$J$2405,$A$6:$A$2405,"&lt;="&amp;$A930))</f>
        <v/>
      </c>
      <c r="L930" s="57" t="str">
        <f aca="false">IF($J930="","",IF($K930&lt;=BankCostEnvelope*'5. Scenarios'!$C$7,1,0))</f>
        <v/>
      </c>
      <c r="M930" s="57" t="str">
        <f aca="false">IF($I930="","",INDEX(BookRate,925)*(1+'5. Scenarios'!$C$10)*(INDEX(BookQ1,925)*(5-MIN(4,1+'5. Scenarios'!$C$8))/4+INDEX(BookQ2,925)*(5-MIN(4,2+'5. Scenarios'!$C$8))/4+INDEX(BookQ3,925)*(5-MIN(4,3+'5. Scenarios'!$C$8))/4+INDEX(BookQ4,925)*(5-MIN(4,4+'5. Scenarios'!$C$8))/4)*'5. Scenarios'!$C$6/(1+ProductivityDefault*('5. Scenarios'!$C$11-1))+INDEX(BookOneOff,925)*$I930)</f>
        <v/>
      </c>
      <c r="N930" s="56" t="str">
        <f aca="false">IF(INDEX(BookTitle,925)="","",INDEX(BookTotal,925)*'5. Scenarios'!$D$6/(1+ProductivityDefault*('5. Scenarios'!$D$11-1)))</f>
        <v/>
      </c>
      <c r="O930" s="57" t="str">
        <f aca="false">IF($N930="","",INDEX(BookRate,925)*(1+'5. Scenarios'!$D$10)*$N930)</f>
        <v/>
      </c>
      <c r="P930" s="57" t="str">
        <f aca="false">IF($O930="","",SUMIFS($O$6:$O$2405,$A$6:$A$2405,"&lt;="&amp;$A930))</f>
        <v/>
      </c>
      <c r="Q930" s="57" t="str">
        <f aca="false">IF($O930="","",IF($P930&lt;=BankCostEnvelope*'5. Scenarios'!$D$7,1,0))</f>
        <v/>
      </c>
      <c r="R930" s="57" t="str">
        <f aca="false">IF($N930="","",INDEX(BookRate,925)*(1+'5. Scenarios'!$D$10)*(INDEX(BookQ1,925)*(5-MIN(4,1+'5. Scenarios'!$D$8))/4+INDEX(BookQ2,925)*(5-MIN(4,2+'5. Scenarios'!$D$8))/4+INDEX(BookQ3,925)*(5-MIN(4,3+'5. Scenarios'!$D$8))/4+INDEX(BookQ4,925)*(5-MIN(4,4+'5. Scenarios'!$D$8))/4)*'5. Scenarios'!$D$6/(1+ProductivityDefault*('5. Scenarios'!$D$11-1))+INDEX(BookOneOff,925)*$N930)</f>
        <v/>
      </c>
      <c r="S930" s="56" t="str">
        <f aca="false">IF(INDEX(BookTitle,925)="","",INDEX(BookTotal,925)*'5. Scenarios'!$E$6/(1+ProductivityDefault*('5. Scenarios'!$E$11-1)))</f>
        <v/>
      </c>
      <c r="T930" s="57" t="str">
        <f aca="false">IF($S930="","",INDEX(BookRate,925)*(1+'5. Scenarios'!$E$10)*$S930)</f>
        <v/>
      </c>
      <c r="U930" s="57" t="str">
        <f aca="false">IF($T930="","",SUMIFS($T$6:$T$2405,$A$6:$A$2405,"&lt;="&amp;$A930))</f>
        <v/>
      </c>
      <c r="V930" s="57" t="str">
        <f aca="false">IF($T930="","",IF($U930&lt;=BankCostEnvelope*'5. Scenarios'!$E$7,1,0))</f>
        <v/>
      </c>
      <c r="W930" s="57" t="str">
        <f aca="false">IF($S930="","",INDEX(BookRate,925)*(1+'5. Scenarios'!$E$10)*(INDEX(BookQ1,925)*(5-MIN(4,1+'5. Scenarios'!$E$8))/4+INDEX(BookQ2,925)*(5-MIN(4,2+'5. Scenarios'!$E$8))/4+INDEX(BookQ3,925)*(5-MIN(4,3+'5. Scenarios'!$E$8))/4+INDEX(BookQ4,925)*(5-MIN(4,4+'5. Scenarios'!$E$8))/4)*'5. Scenarios'!$E$6/(1+ProductivityDefault*('5. Scenarios'!$E$11-1))+INDEX(BookOneOff,925)*$S930)</f>
        <v/>
      </c>
    </row>
    <row r="931" customFormat="false" ht="15" hidden="false" customHeight="false" outlineLevel="0" collapsed="false">
      <c r="A931" s="0" t="str">
        <f aca="false">IF(INDEX(BookTitle,926)="","",INDEX(BookKey,926))</f>
        <v/>
      </c>
      <c r="B931" s="0" t="str">
        <f aca="false">IF(INDEX(BookTitle,926)="","",INDEX(BookGroup,926))</f>
        <v/>
      </c>
      <c r="C931" s="0" t="str">
        <f aca="false">IF(INDEX(BookTitle,926)="","",INDEX(BookCategory,926))</f>
        <v/>
      </c>
      <c r="D931" s="56" t="str">
        <f aca="false">IF(INDEX(BookTitle,926)="","",INDEX(BookTotal,926)*'5. Scenarios'!$B$6/(1+ProductivityDefault*('5. Scenarios'!$B$11-1)))</f>
        <v/>
      </c>
      <c r="E931" s="57" t="str">
        <f aca="false">IF($D931="","",INDEX(BookRate,926)*(1+'5. Scenarios'!$B$10)*$D931)</f>
        <v/>
      </c>
      <c r="F931" s="57" t="str">
        <f aca="false">IF($E931="","",SUMIFS($E$6:$E$2405,$A$6:$A$2405,"&lt;="&amp;$A931))</f>
        <v/>
      </c>
      <c r="G931" s="57" t="str">
        <f aca="false">IF($E931="","",IF($F931&lt;=BankCostEnvelope*'5. Scenarios'!$B$7,1,0))</f>
        <v/>
      </c>
      <c r="H931" s="57" t="str">
        <f aca="false">IF($D931="","",INDEX(BookRate,926)*(1+'5. Scenarios'!$B$10)*(INDEX(BookQ1,926)*(5-MIN(4,1+'5. Scenarios'!$B$8))/4+INDEX(BookQ2,926)*(5-MIN(4,2+'5. Scenarios'!$B$8))/4+INDEX(BookQ3,926)*(5-MIN(4,3+'5. Scenarios'!$B$8))/4+INDEX(BookQ4,926)*(5-MIN(4,4+'5. Scenarios'!$B$8))/4)*'5. Scenarios'!$B$6/(1+ProductivityDefault*('5. Scenarios'!$B$11-1))+INDEX(BookOneOff,926)*$D931)</f>
        <v/>
      </c>
      <c r="I931" s="56" t="str">
        <f aca="false">IF(INDEX(BookTitle,926)="","",INDEX(BookTotal,926)*'5. Scenarios'!$C$6/(1+ProductivityDefault*('5. Scenarios'!$C$11-1)))</f>
        <v/>
      </c>
      <c r="J931" s="57" t="str">
        <f aca="false">IF($I931="","",INDEX(BookRate,926)*(1+'5. Scenarios'!$C$10)*$I931)</f>
        <v/>
      </c>
      <c r="K931" s="57" t="str">
        <f aca="false">IF($J931="","",SUMIFS($J$6:$J$2405,$A$6:$A$2405,"&lt;="&amp;$A931))</f>
        <v/>
      </c>
      <c r="L931" s="57" t="str">
        <f aca="false">IF($J931="","",IF($K931&lt;=BankCostEnvelope*'5. Scenarios'!$C$7,1,0))</f>
        <v/>
      </c>
      <c r="M931" s="57" t="str">
        <f aca="false">IF($I931="","",INDEX(BookRate,926)*(1+'5. Scenarios'!$C$10)*(INDEX(BookQ1,926)*(5-MIN(4,1+'5. Scenarios'!$C$8))/4+INDEX(BookQ2,926)*(5-MIN(4,2+'5. Scenarios'!$C$8))/4+INDEX(BookQ3,926)*(5-MIN(4,3+'5. Scenarios'!$C$8))/4+INDEX(BookQ4,926)*(5-MIN(4,4+'5. Scenarios'!$C$8))/4)*'5. Scenarios'!$C$6/(1+ProductivityDefault*('5. Scenarios'!$C$11-1))+INDEX(BookOneOff,926)*$I931)</f>
        <v/>
      </c>
      <c r="N931" s="56" t="str">
        <f aca="false">IF(INDEX(BookTitle,926)="","",INDEX(BookTotal,926)*'5. Scenarios'!$D$6/(1+ProductivityDefault*('5. Scenarios'!$D$11-1)))</f>
        <v/>
      </c>
      <c r="O931" s="57" t="str">
        <f aca="false">IF($N931="","",INDEX(BookRate,926)*(1+'5. Scenarios'!$D$10)*$N931)</f>
        <v/>
      </c>
      <c r="P931" s="57" t="str">
        <f aca="false">IF($O931="","",SUMIFS($O$6:$O$2405,$A$6:$A$2405,"&lt;="&amp;$A931))</f>
        <v/>
      </c>
      <c r="Q931" s="57" t="str">
        <f aca="false">IF($O931="","",IF($P931&lt;=BankCostEnvelope*'5. Scenarios'!$D$7,1,0))</f>
        <v/>
      </c>
      <c r="R931" s="57" t="str">
        <f aca="false">IF($N931="","",INDEX(BookRate,926)*(1+'5. Scenarios'!$D$10)*(INDEX(BookQ1,926)*(5-MIN(4,1+'5. Scenarios'!$D$8))/4+INDEX(BookQ2,926)*(5-MIN(4,2+'5. Scenarios'!$D$8))/4+INDEX(BookQ3,926)*(5-MIN(4,3+'5. Scenarios'!$D$8))/4+INDEX(BookQ4,926)*(5-MIN(4,4+'5. Scenarios'!$D$8))/4)*'5. Scenarios'!$D$6/(1+ProductivityDefault*('5. Scenarios'!$D$11-1))+INDEX(BookOneOff,926)*$N931)</f>
        <v/>
      </c>
      <c r="S931" s="56" t="str">
        <f aca="false">IF(INDEX(BookTitle,926)="","",INDEX(BookTotal,926)*'5. Scenarios'!$E$6/(1+ProductivityDefault*('5. Scenarios'!$E$11-1)))</f>
        <v/>
      </c>
      <c r="T931" s="57" t="str">
        <f aca="false">IF($S931="","",INDEX(BookRate,926)*(1+'5. Scenarios'!$E$10)*$S931)</f>
        <v/>
      </c>
      <c r="U931" s="57" t="str">
        <f aca="false">IF($T931="","",SUMIFS($T$6:$T$2405,$A$6:$A$2405,"&lt;="&amp;$A931))</f>
        <v/>
      </c>
      <c r="V931" s="57" t="str">
        <f aca="false">IF($T931="","",IF($U931&lt;=BankCostEnvelope*'5. Scenarios'!$E$7,1,0))</f>
        <v/>
      </c>
      <c r="W931" s="57" t="str">
        <f aca="false">IF($S931="","",INDEX(BookRate,926)*(1+'5. Scenarios'!$E$10)*(INDEX(BookQ1,926)*(5-MIN(4,1+'5. Scenarios'!$E$8))/4+INDEX(BookQ2,926)*(5-MIN(4,2+'5. Scenarios'!$E$8))/4+INDEX(BookQ3,926)*(5-MIN(4,3+'5. Scenarios'!$E$8))/4+INDEX(BookQ4,926)*(5-MIN(4,4+'5. Scenarios'!$E$8))/4)*'5. Scenarios'!$E$6/(1+ProductivityDefault*('5. Scenarios'!$E$11-1))+INDEX(BookOneOff,926)*$S931)</f>
        <v/>
      </c>
    </row>
    <row r="932" customFormat="false" ht="15" hidden="false" customHeight="false" outlineLevel="0" collapsed="false">
      <c r="A932" s="0" t="str">
        <f aca="false">IF(INDEX(BookTitle,927)="","",INDEX(BookKey,927))</f>
        <v/>
      </c>
      <c r="B932" s="0" t="str">
        <f aca="false">IF(INDEX(BookTitle,927)="","",INDEX(BookGroup,927))</f>
        <v/>
      </c>
      <c r="C932" s="0" t="str">
        <f aca="false">IF(INDEX(BookTitle,927)="","",INDEX(BookCategory,927))</f>
        <v/>
      </c>
      <c r="D932" s="56" t="str">
        <f aca="false">IF(INDEX(BookTitle,927)="","",INDEX(BookTotal,927)*'5. Scenarios'!$B$6/(1+ProductivityDefault*('5. Scenarios'!$B$11-1)))</f>
        <v/>
      </c>
      <c r="E932" s="57" t="str">
        <f aca="false">IF($D932="","",INDEX(BookRate,927)*(1+'5. Scenarios'!$B$10)*$D932)</f>
        <v/>
      </c>
      <c r="F932" s="57" t="str">
        <f aca="false">IF($E932="","",SUMIFS($E$6:$E$2405,$A$6:$A$2405,"&lt;="&amp;$A932))</f>
        <v/>
      </c>
      <c r="G932" s="57" t="str">
        <f aca="false">IF($E932="","",IF($F932&lt;=BankCostEnvelope*'5. Scenarios'!$B$7,1,0))</f>
        <v/>
      </c>
      <c r="H932" s="57" t="str">
        <f aca="false">IF($D932="","",INDEX(BookRate,927)*(1+'5. Scenarios'!$B$10)*(INDEX(BookQ1,927)*(5-MIN(4,1+'5. Scenarios'!$B$8))/4+INDEX(BookQ2,927)*(5-MIN(4,2+'5. Scenarios'!$B$8))/4+INDEX(BookQ3,927)*(5-MIN(4,3+'5. Scenarios'!$B$8))/4+INDEX(BookQ4,927)*(5-MIN(4,4+'5. Scenarios'!$B$8))/4)*'5. Scenarios'!$B$6/(1+ProductivityDefault*('5. Scenarios'!$B$11-1))+INDEX(BookOneOff,927)*$D932)</f>
        <v/>
      </c>
      <c r="I932" s="56" t="str">
        <f aca="false">IF(INDEX(BookTitle,927)="","",INDEX(BookTotal,927)*'5. Scenarios'!$C$6/(1+ProductivityDefault*('5. Scenarios'!$C$11-1)))</f>
        <v/>
      </c>
      <c r="J932" s="57" t="str">
        <f aca="false">IF($I932="","",INDEX(BookRate,927)*(1+'5. Scenarios'!$C$10)*$I932)</f>
        <v/>
      </c>
      <c r="K932" s="57" t="str">
        <f aca="false">IF($J932="","",SUMIFS($J$6:$J$2405,$A$6:$A$2405,"&lt;="&amp;$A932))</f>
        <v/>
      </c>
      <c r="L932" s="57" t="str">
        <f aca="false">IF($J932="","",IF($K932&lt;=BankCostEnvelope*'5. Scenarios'!$C$7,1,0))</f>
        <v/>
      </c>
      <c r="M932" s="57" t="str">
        <f aca="false">IF($I932="","",INDEX(BookRate,927)*(1+'5. Scenarios'!$C$10)*(INDEX(BookQ1,927)*(5-MIN(4,1+'5. Scenarios'!$C$8))/4+INDEX(BookQ2,927)*(5-MIN(4,2+'5. Scenarios'!$C$8))/4+INDEX(BookQ3,927)*(5-MIN(4,3+'5. Scenarios'!$C$8))/4+INDEX(BookQ4,927)*(5-MIN(4,4+'5. Scenarios'!$C$8))/4)*'5. Scenarios'!$C$6/(1+ProductivityDefault*('5. Scenarios'!$C$11-1))+INDEX(BookOneOff,927)*$I932)</f>
        <v/>
      </c>
      <c r="N932" s="56" t="str">
        <f aca="false">IF(INDEX(BookTitle,927)="","",INDEX(BookTotal,927)*'5. Scenarios'!$D$6/(1+ProductivityDefault*('5. Scenarios'!$D$11-1)))</f>
        <v/>
      </c>
      <c r="O932" s="57" t="str">
        <f aca="false">IF($N932="","",INDEX(BookRate,927)*(1+'5. Scenarios'!$D$10)*$N932)</f>
        <v/>
      </c>
      <c r="P932" s="57" t="str">
        <f aca="false">IF($O932="","",SUMIFS($O$6:$O$2405,$A$6:$A$2405,"&lt;="&amp;$A932))</f>
        <v/>
      </c>
      <c r="Q932" s="57" t="str">
        <f aca="false">IF($O932="","",IF($P932&lt;=BankCostEnvelope*'5. Scenarios'!$D$7,1,0))</f>
        <v/>
      </c>
      <c r="R932" s="57" t="str">
        <f aca="false">IF($N932="","",INDEX(BookRate,927)*(1+'5. Scenarios'!$D$10)*(INDEX(BookQ1,927)*(5-MIN(4,1+'5. Scenarios'!$D$8))/4+INDEX(BookQ2,927)*(5-MIN(4,2+'5. Scenarios'!$D$8))/4+INDEX(BookQ3,927)*(5-MIN(4,3+'5. Scenarios'!$D$8))/4+INDEX(BookQ4,927)*(5-MIN(4,4+'5. Scenarios'!$D$8))/4)*'5. Scenarios'!$D$6/(1+ProductivityDefault*('5. Scenarios'!$D$11-1))+INDEX(BookOneOff,927)*$N932)</f>
        <v/>
      </c>
      <c r="S932" s="56" t="str">
        <f aca="false">IF(INDEX(BookTitle,927)="","",INDEX(BookTotal,927)*'5. Scenarios'!$E$6/(1+ProductivityDefault*('5. Scenarios'!$E$11-1)))</f>
        <v/>
      </c>
      <c r="T932" s="57" t="str">
        <f aca="false">IF($S932="","",INDEX(BookRate,927)*(1+'5. Scenarios'!$E$10)*$S932)</f>
        <v/>
      </c>
      <c r="U932" s="57" t="str">
        <f aca="false">IF($T932="","",SUMIFS($T$6:$T$2405,$A$6:$A$2405,"&lt;="&amp;$A932))</f>
        <v/>
      </c>
      <c r="V932" s="57" t="str">
        <f aca="false">IF($T932="","",IF($U932&lt;=BankCostEnvelope*'5. Scenarios'!$E$7,1,0))</f>
        <v/>
      </c>
      <c r="W932" s="57" t="str">
        <f aca="false">IF($S932="","",INDEX(BookRate,927)*(1+'5. Scenarios'!$E$10)*(INDEX(BookQ1,927)*(5-MIN(4,1+'5. Scenarios'!$E$8))/4+INDEX(BookQ2,927)*(5-MIN(4,2+'5. Scenarios'!$E$8))/4+INDEX(BookQ3,927)*(5-MIN(4,3+'5. Scenarios'!$E$8))/4+INDEX(BookQ4,927)*(5-MIN(4,4+'5. Scenarios'!$E$8))/4)*'5. Scenarios'!$E$6/(1+ProductivityDefault*('5. Scenarios'!$E$11-1))+INDEX(BookOneOff,927)*$S932)</f>
        <v/>
      </c>
    </row>
    <row r="933" customFormat="false" ht="15" hidden="false" customHeight="false" outlineLevel="0" collapsed="false">
      <c r="A933" s="0" t="str">
        <f aca="false">IF(INDEX(BookTitle,928)="","",INDEX(BookKey,928))</f>
        <v/>
      </c>
      <c r="B933" s="0" t="str">
        <f aca="false">IF(INDEX(BookTitle,928)="","",INDEX(BookGroup,928))</f>
        <v/>
      </c>
      <c r="C933" s="0" t="str">
        <f aca="false">IF(INDEX(BookTitle,928)="","",INDEX(BookCategory,928))</f>
        <v/>
      </c>
      <c r="D933" s="56" t="str">
        <f aca="false">IF(INDEX(BookTitle,928)="","",INDEX(BookTotal,928)*'5. Scenarios'!$B$6/(1+ProductivityDefault*('5. Scenarios'!$B$11-1)))</f>
        <v/>
      </c>
      <c r="E933" s="57" t="str">
        <f aca="false">IF($D933="","",INDEX(BookRate,928)*(1+'5. Scenarios'!$B$10)*$D933)</f>
        <v/>
      </c>
      <c r="F933" s="57" t="str">
        <f aca="false">IF($E933="","",SUMIFS($E$6:$E$2405,$A$6:$A$2405,"&lt;="&amp;$A933))</f>
        <v/>
      </c>
      <c r="G933" s="57" t="str">
        <f aca="false">IF($E933="","",IF($F933&lt;=BankCostEnvelope*'5. Scenarios'!$B$7,1,0))</f>
        <v/>
      </c>
      <c r="H933" s="57" t="str">
        <f aca="false">IF($D933="","",INDEX(BookRate,928)*(1+'5. Scenarios'!$B$10)*(INDEX(BookQ1,928)*(5-MIN(4,1+'5. Scenarios'!$B$8))/4+INDEX(BookQ2,928)*(5-MIN(4,2+'5. Scenarios'!$B$8))/4+INDEX(BookQ3,928)*(5-MIN(4,3+'5. Scenarios'!$B$8))/4+INDEX(BookQ4,928)*(5-MIN(4,4+'5. Scenarios'!$B$8))/4)*'5. Scenarios'!$B$6/(1+ProductivityDefault*('5. Scenarios'!$B$11-1))+INDEX(BookOneOff,928)*$D933)</f>
        <v/>
      </c>
      <c r="I933" s="56" t="str">
        <f aca="false">IF(INDEX(BookTitle,928)="","",INDEX(BookTotal,928)*'5. Scenarios'!$C$6/(1+ProductivityDefault*('5. Scenarios'!$C$11-1)))</f>
        <v/>
      </c>
      <c r="J933" s="57" t="str">
        <f aca="false">IF($I933="","",INDEX(BookRate,928)*(1+'5. Scenarios'!$C$10)*$I933)</f>
        <v/>
      </c>
      <c r="K933" s="57" t="str">
        <f aca="false">IF($J933="","",SUMIFS($J$6:$J$2405,$A$6:$A$2405,"&lt;="&amp;$A933))</f>
        <v/>
      </c>
      <c r="L933" s="57" t="str">
        <f aca="false">IF($J933="","",IF($K933&lt;=BankCostEnvelope*'5. Scenarios'!$C$7,1,0))</f>
        <v/>
      </c>
      <c r="M933" s="57" t="str">
        <f aca="false">IF($I933="","",INDEX(BookRate,928)*(1+'5. Scenarios'!$C$10)*(INDEX(BookQ1,928)*(5-MIN(4,1+'5. Scenarios'!$C$8))/4+INDEX(BookQ2,928)*(5-MIN(4,2+'5. Scenarios'!$C$8))/4+INDEX(BookQ3,928)*(5-MIN(4,3+'5. Scenarios'!$C$8))/4+INDEX(BookQ4,928)*(5-MIN(4,4+'5. Scenarios'!$C$8))/4)*'5. Scenarios'!$C$6/(1+ProductivityDefault*('5. Scenarios'!$C$11-1))+INDEX(BookOneOff,928)*$I933)</f>
        <v/>
      </c>
      <c r="N933" s="56" t="str">
        <f aca="false">IF(INDEX(BookTitle,928)="","",INDEX(BookTotal,928)*'5. Scenarios'!$D$6/(1+ProductivityDefault*('5. Scenarios'!$D$11-1)))</f>
        <v/>
      </c>
      <c r="O933" s="57" t="str">
        <f aca="false">IF($N933="","",INDEX(BookRate,928)*(1+'5. Scenarios'!$D$10)*$N933)</f>
        <v/>
      </c>
      <c r="P933" s="57" t="str">
        <f aca="false">IF($O933="","",SUMIFS($O$6:$O$2405,$A$6:$A$2405,"&lt;="&amp;$A933))</f>
        <v/>
      </c>
      <c r="Q933" s="57" t="str">
        <f aca="false">IF($O933="","",IF($P933&lt;=BankCostEnvelope*'5. Scenarios'!$D$7,1,0))</f>
        <v/>
      </c>
      <c r="R933" s="57" t="str">
        <f aca="false">IF($N933="","",INDEX(BookRate,928)*(1+'5. Scenarios'!$D$10)*(INDEX(BookQ1,928)*(5-MIN(4,1+'5. Scenarios'!$D$8))/4+INDEX(BookQ2,928)*(5-MIN(4,2+'5. Scenarios'!$D$8))/4+INDEX(BookQ3,928)*(5-MIN(4,3+'5. Scenarios'!$D$8))/4+INDEX(BookQ4,928)*(5-MIN(4,4+'5. Scenarios'!$D$8))/4)*'5. Scenarios'!$D$6/(1+ProductivityDefault*('5. Scenarios'!$D$11-1))+INDEX(BookOneOff,928)*$N933)</f>
        <v/>
      </c>
      <c r="S933" s="56" t="str">
        <f aca="false">IF(INDEX(BookTitle,928)="","",INDEX(BookTotal,928)*'5. Scenarios'!$E$6/(1+ProductivityDefault*('5. Scenarios'!$E$11-1)))</f>
        <v/>
      </c>
      <c r="T933" s="57" t="str">
        <f aca="false">IF($S933="","",INDEX(BookRate,928)*(1+'5. Scenarios'!$E$10)*$S933)</f>
        <v/>
      </c>
      <c r="U933" s="57" t="str">
        <f aca="false">IF($T933="","",SUMIFS($T$6:$T$2405,$A$6:$A$2405,"&lt;="&amp;$A933))</f>
        <v/>
      </c>
      <c r="V933" s="57" t="str">
        <f aca="false">IF($T933="","",IF($U933&lt;=BankCostEnvelope*'5. Scenarios'!$E$7,1,0))</f>
        <v/>
      </c>
      <c r="W933" s="57" t="str">
        <f aca="false">IF($S933="","",INDEX(BookRate,928)*(1+'5. Scenarios'!$E$10)*(INDEX(BookQ1,928)*(5-MIN(4,1+'5. Scenarios'!$E$8))/4+INDEX(BookQ2,928)*(5-MIN(4,2+'5. Scenarios'!$E$8))/4+INDEX(BookQ3,928)*(5-MIN(4,3+'5. Scenarios'!$E$8))/4+INDEX(BookQ4,928)*(5-MIN(4,4+'5. Scenarios'!$E$8))/4)*'5. Scenarios'!$E$6/(1+ProductivityDefault*('5. Scenarios'!$E$11-1))+INDEX(BookOneOff,928)*$S933)</f>
        <v/>
      </c>
    </row>
    <row r="934" customFormat="false" ht="15" hidden="false" customHeight="false" outlineLevel="0" collapsed="false">
      <c r="A934" s="0" t="str">
        <f aca="false">IF(INDEX(BookTitle,929)="","",INDEX(BookKey,929))</f>
        <v/>
      </c>
      <c r="B934" s="0" t="str">
        <f aca="false">IF(INDEX(BookTitle,929)="","",INDEX(BookGroup,929))</f>
        <v/>
      </c>
      <c r="C934" s="0" t="str">
        <f aca="false">IF(INDEX(BookTitle,929)="","",INDEX(BookCategory,929))</f>
        <v/>
      </c>
      <c r="D934" s="56" t="str">
        <f aca="false">IF(INDEX(BookTitle,929)="","",INDEX(BookTotal,929)*'5. Scenarios'!$B$6/(1+ProductivityDefault*('5. Scenarios'!$B$11-1)))</f>
        <v/>
      </c>
      <c r="E934" s="57" t="str">
        <f aca="false">IF($D934="","",INDEX(BookRate,929)*(1+'5. Scenarios'!$B$10)*$D934)</f>
        <v/>
      </c>
      <c r="F934" s="57" t="str">
        <f aca="false">IF($E934="","",SUMIFS($E$6:$E$2405,$A$6:$A$2405,"&lt;="&amp;$A934))</f>
        <v/>
      </c>
      <c r="G934" s="57" t="str">
        <f aca="false">IF($E934="","",IF($F934&lt;=BankCostEnvelope*'5. Scenarios'!$B$7,1,0))</f>
        <v/>
      </c>
      <c r="H934" s="57" t="str">
        <f aca="false">IF($D934="","",INDEX(BookRate,929)*(1+'5. Scenarios'!$B$10)*(INDEX(BookQ1,929)*(5-MIN(4,1+'5. Scenarios'!$B$8))/4+INDEX(BookQ2,929)*(5-MIN(4,2+'5. Scenarios'!$B$8))/4+INDEX(BookQ3,929)*(5-MIN(4,3+'5. Scenarios'!$B$8))/4+INDEX(BookQ4,929)*(5-MIN(4,4+'5. Scenarios'!$B$8))/4)*'5. Scenarios'!$B$6/(1+ProductivityDefault*('5. Scenarios'!$B$11-1))+INDEX(BookOneOff,929)*$D934)</f>
        <v/>
      </c>
      <c r="I934" s="56" t="str">
        <f aca="false">IF(INDEX(BookTitle,929)="","",INDEX(BookTotal,929)*'5. Scenarios'!$C$6/(1+ProductivityDefault*('5. Scenarios'!$C$11-1)))</f>
        <v/>
      </c>
      <c r="J934" s="57" t="str">
        <f aca="false">IF($I934="","",INDEX(BookRate,929)*(1+'5. Scenarios'!$C$10)*$I934)</f>
        <v/>
      </c>
      <c r="K934" s="57" t="str">
        <f aca="false">IF($J934="","",SUMIFS($J$6:$J$2405,$A$6:$A$2405,"&lt;="&amp;$A934))</f>
        <v/>
      </c>
      <c r="L934" s="57" t="str">
        <f aca="false">IF($J934="","",IF($K934&lt;=BankCostEnvelope*'5. Scenarios'!$C$7,1,0))</f>
        <v/>
      </c>
      <c r="M934" s="57" t="str">
        <f aca="false">IF($I934="","",INDEX(BookRate,929)*(1+'5. Scenarios'!$C$10)*(INDEX(BookQ1,929)*(5-MIN(4,1+'5. Scenarios'!$C$8))/4+INDEX(BookQ2,929)*(5-MIN(4,2+'5. Scenarios'!$C$8))/4+INDEX(BookQ3,929)*(5-MIN(4,3+'5. Scenarios'!$C$8))/4+INDEX(BookQ4,929)*(5-MIN(4,4+'5. Scenarios'!$C$8))/4)*'5. Scenarios'!$C$6/(1+ProductivityDefault*('5. Scenarios'!$C$11-1))+INDEX(BookOneOff,929)*$I934)</f>
        <v/>
      </c>
      <c r="N934" s="56" t="str">
        <f aca="false">IF(INDEX(BookTitle,929)="","",INDEX(BookTotal,929)*'5. Scenarios'!$D$6/(1+ProductivityDefault*('5. Scenarios'!$D$11-1)))</f>
        <v/>
      </c>
      <c r="O934" s="57" t="str">
        <f aca="false">IF($N934="","",INDEX(BookRate,929)*(1+'5. Scenarios'!$D$10)*$N934)</f>
        <v/>
      </c>
      <c r="P934" s="57" t="str">
        <f aca="false">IF($O934="","",SUMIFS($O$6:$O$2405,$A$6:$A$2405,"&lt;="&amp;$A934))</f>
        <v/>
      </c>
      <c r="Q934" s="57" t="str">
        <f aca="false">IF($O934="","",IF($P934&lt;=BankCostEnvelope*'5. Scenarios'!$D$7,1,0))</f>
        <v/>
      </c>
      <c r="R934" s="57" t="str">
        <f aca="false">IF($N934="","",INDEX(BookRate,929)*(1+'5. Scenarios'!$D$10)*(INDEX(BookQ1,929)*(5-MIN(4,1+'5. Scenarios'!$D$8))/4+INDEX(BookQ2,929)*(5-MIN(4,2+'5. Scenarios'!$D$8))/4+INDEX(BookQ3,929)*(5-MIN(4,3+'5. Scenarios'!$D$8))/4+INDEX(BookQ4,929)*(5-MIN(4,4+'5. Scenarios'!$D$8))/4)*'5. Scenarios'!$D$6/(1+ProductivityDefault*('5. Scenarios'!$D$11-1))+INDEX(BookOneOff,929)*$N934)</f>
        <v/>
      </c>
      <c r="S934" s="56" t="str">
        <f aca="false">IF(INDEX(BookTitle,929)="","",INDEX(BookTotal,929)*'5. Scenarios'!$E$6/(1+ProductivityDefault*('5. Scenarios'!$E$11-1)))</f>
        <v/>
      </c>
      <c r="T934" s="57" t="str">
        <f aca="false">IF($S934="","",INDEX(BookRate,929)*(1+'5. Scenarios'!$E$10)*$S934)</f>
        <v/>
      </c>
      <c r="U934" s="57" t="str">
        <f aca="false">IF($T934="","",SUMIFS($T$6:$T$2405,$A$6:$A$2405,"&lt;="&amp;$A934))</f>
        <v/>
      </c>
      <c r="V934" s="57" t="str">
        <f aca="false">IF($T934="","",IF($U934&lt;=BankCostEnvelope*'5. Scenarios'!$E$7,1,0))</f>
        <v/>
      </c>
      <c r="W934" s="57" t="str">
        <f aca="false">IF($S934="","",INDEX(BookRate,929)*(1+'5. Scenarios'!$E$10)*(INDEX(BookQ1,929)*(5-MIN(4,1+'5. Scenarios'!$E$8))/4+INDEX(BookQ2,929)*(5-MIN(4,2+'5. Scenarios'!$E$8))/4+INDEX(BookQ3,929)*(5-MIN(4,3+'5. Scenarios'!$E$8))/4+INDEX(BookQ4,929)*(5-MIN(4,4+'5. Scenarios'!$E$8))/4)*'5. Scenarios'!$E$6/(1+ProductivityDefault*('5. Scenarios'!$E$11-1))+INDEX(BookOneOff,929)*$S934)</f>
        <v/>
      </c>
    </row>
    <row r="935" customFormat="false" ht="15" hidden="false" customHeight="false" outlineLevel="0" collapsed="false">
      <c r="A935" s="0" t="str">
        <f aca="false">IF(INDEX(BookTitle,930)="","",INDEX(BookKey,930))</f>
        <v/>
      </c>
      <c r="B935" s="0" t="str">
        <f aca="false">IF(INDEX(BookTitle,930)="","",INDEX(BookGroup,930))</f>
        <v/>
      </c>
      <c r="C935" s="0" t="str">
        <f aca="false">IF(INDEX(BookTitle,930)="","",INDEX(BookCategory,930))</f>
        <v/>
      </c>
      <c r="D935" s="56" t="str">
        <f aca="false">IF(INDEX(BookTitle,930)="","",INDEX(BookTotal,930)*'5. Scenarios'!$B$6/(1+ProductivityDefault*('5. Scenarios'!$B$11-1)))</f>
        <v/>
      </c>
      <c r="E935" s="57" t="str">
        <f aca="false">IF($D935="","",INDEX(BookRate,930)*(1+'5. Scenarios'!$B$10)*$D935)</f>
        <v/>
      </c>
      <c r="F935" s="57" t="str">
        <f aca="false">IF($E935="","",SUMIFS($E$6:$E$2405,$A$6:$A$2405,"&lt;="&amp;$A935))</f>
        <v/>
      </c>
      <c r="G935" s="57" t="str">
        <f aca="false">IF($E935="","",IF($F935&lt;=BankCostEnvelope*'5. Scenarios'!$B$7,1,0))</f>
        <v/>
      </c>
      <c r="H935" s="57" t="str">
        <f aca="false">IF($D935="","",INDEX(BookRate,930)*(1+'5. Scenarios'!$B$10)*(INDEX(BookQ1,930)*(5-MIN(4,1+'5. Scenarios'!$B$8))/4+INDEX(BookQ2,930)*(5-MIN(4,2+'5. Scenarios'!$B$8))/4+INDEX(BookQ3,930)*(5-MIN(4,3+'5. Scenarios'!$B$8))/4+INDEX(BookQ4,930)*(5-MIN(4,4+'5. Scenarios'!$B$8))/4)*'5. Scenarios'!$B$6/(1+ProductivityDefault*('5. Scenarios'!$B$11-1))+INDEX(BookOneOff,930)*$D935)</f>
        <v/>
      </c>
      <c r="I935" s="56" t="str">
        <f aca="false">IF(INDEX(BookTitle,930)="","",INDEX(BookTotal,930)*'5. Scenarios'!$C$6/(1+ProductivityDefault*('5. Scenarios'!$C$11-1)))</f>
        <v/>
      </c>
      <c r="J935" s="57" t="str">
        <f aca="false">IF($I935="","",INDEX(BookRate,930)*(1+'5. Scenarios'!$C$10)*$I935)</f>
        <v/>
      </c>
      <c r="K935" s="57" t="str">
        <f aca="false">IF($J935="","",SUMIFS($J$6:$J$2405,$A$6:$A$2405,"&lt;="&amp;$A935))</f>
        <v/>
      </c>
      <c r="L935" s="57" t="str">
        <f aca="false">IF($J935="","",IF($K935&lt;=BankCostEnvelope*'5. Scenarios'!$C$7,1,0))</f>
        <v/>
      </c>
      <c r="M935" s="57" t="str">
        <f aca="false">IF($I935="","",INDEX(BookRate,930)*(1+'5. Scenarios'!$C$10)*(INDEX(BookQ1,930)*(5-MIN(4,1+'5. Scenarios'!$C$8))/4+INDEX(BookQ2,930)*(5-MIN(4,2+'5. Scenarios'!$C$8))/4+INDEX(BookQ3,930)*(5-MIN(4,3+'5. Scenarios'!$C$8))/4+INDEX(BookQ4,930)*(5-MIN(4,4+'5. Scenarios'!$C$8))/4)*'5. Scenarios'!$C$6/(1+ProductivityDefault*('5. Scenarios'!$C$11-1))+INDEX(BookOneOff,930)*$I935)</f>
        <v/>
      </c>
      <c r="N935" s="56" t="str">
        <f aca="false">IF(INDEX(BookTitle,930)="","",INDEX(BookTotal,930)*'5. Scenarios'!$D$6/(1+ProductivityDefault*('5. Scenarios'!$D$11-1)))</f>
        <v/>
      </c>
      <c r="O935" s="57" t="str">
        <f aca="false">IF($N935="","",INDEX(BookRate,930)*(1+'5. Scenarios'!$D$10)*$N935)</f>
        <v/>
      </c>
      <c r="P935" s="57" t="str">
        <f aca="false">IF($O935="","",SUMIFS($O$6:$O$2405,$A$6:$A$2405,"&lt;="&amp;$A935))</f>
        <v/>
      </c>
      <c r="Q935" s="57" t="str">
        <f aca="false">IF($O935="","",IF($P935&lt;=BankCostEnvelope*'5. Scenarios'!$D$7,1,0))</f>
        <v/>
      </c>
      <c r="R935" s="57" t="str">
        <f aca="false">IF($N935="","",INDEX(BookRate,930)*(1+'5. Scenarios'!$D$10)*(INDEX(BookQ1,930)*(5-MIN(4,1+'5. Scenarios'!$D$8))/4+INDEX(BookQ2,930)*(5-MIN(4,2+'5. Scenarios'!$D$8))/4+INDEX(BookQ3,930)*(5-MIN(4,3+'5. Scenarios'!$D$8))/4+INDEX(BookQ4,930)*(5-MIN(4,4+'5. Scenarios'!$D$8))/4)*'5. Scenarios'!$D$6/(1+ProductivityDefault*('5. Scenarios'!$D$11-1))+INDEX(BookOneOff,930)*$N935)</f>
        <v/>
      </c>
      <c r="S935" s="56" t="str">
        <f aca="false">IF(INDEX(BookTitle,930)="","",INDEX(BookTotal,930)*'5. Scenarios'!$E$6/(1+ProductivityDefault*('5. Scenarios'!$E$11-1)))</f>
        <v/>
      </c>
      <c r="T935" s="57" t="str">
        <f aca="false">IF($S935="","",INDEX(BookRate,930)*(1+'5. Scenarios'!$E$10)*$S935)</f>
        <v/>
      </c>
      <c r="U935" s="57" t="str">
        <f aca="false">IF($T935="","",SUMIFS($T$6:$T$2405,$A$6:$A$2405,"&lt;="&amp;$A935))</f>
        <v/>
      </c>
      <c r="V935" s="57" t="str">
        <f aca="false">IF($T935="","",IF($U935&lt;=BankCostEnvelope*'5. Scenarios'!$E$7,1,0))</f>
        <v/>
      </c>
      <c r="W935" s="57" t="str">
        <f aca="false">IF($S935="","",INDEX(BookRate,930)*(1+'5. Scenarios'!$E$10)*(INDEX(BookQ1,930)*(5-MIN(4,1+'5. Scenarios'!$E$8))/4+INDEX(BookQ2,930)*(5-MIN(4,2+'5. Scenarios'!$E$8))/4+INDEX(BookQ3,930)*(5-MIN(4,3+'5. Scenarios'!$E$8))/4+INDEX(BookQ4,930)*(5-MIN(4,4+'5. Scenarios'!$E$8))/4)*'5. Scenarios'!$E$6/(1+ProductivityDefault*('5. Scenarios'!$E$11-1))+INDEX(BookOneOff,930)*$S935)</f>
        <v/>
      </c>
    </row>
    <row r="936" customFormat="false" ht="15" hidden="false" customHeight="false" outlineLevel="0" collapsed="false">
      <c r="A936" s="0" t="str">
        <f aca="false">IF(INDEX(BookTitle,931)="","",INDEX(BookKey,931))</f>
        <v/>
      </c>
      <c r="B936" s="0" t="str">
        <f aca="false">IF(INDEX(BookTitle,931)="","",INDEX(BookGroup,931))</f>
        <v/>
      </c>
      <c r="C936" s="0" t="str">
        <f aca="false">IF(INDEX(BookTitle,931)="","",INDEX(BookCategory,931))</f>
        <v/>
      </c>
      <c r="D936" s="56" t="str">
        <f aca="false">IF(INDEX(BookTitle,931)="","",INDEX(BookTotal,931)*'5. Scenarios'!$B$6/(1+ProductivityDefault*('5. Scenarios'!$B$11-1)))</f>
        <v/>
      </c>
      <c r="E936" s="57" t="str">
        <f aca="false">IF($D936="","",INDEX(BookRate,931)*(1+'5. Scenarios'!$B$10)*$D936)</f>
        <v/>
      </c>
      <c r="F936" s="57" t="str">
        <f aca="false">IF($E936="","",SUMIFS($E$6:$E$2405,$A$6:$A$2405,"&lt;="&amp;$A936))</f>
        <v/>
      </c>
      <c r="G936" s="57" t="str">
        <f aca="false">IF($E936="","",IF($F936&lt;=BankCostEnvelope*'5. Scenarios'!$B$7,1,0))</f>
        <v/>
      </c>
      <c r="H936" s="57" t="str">
        <f aca="false">IF($D936="","",INDEX(BookRate,931)*(1+'5. Scenarios'!$B$10)*(INDEX(BookQ1,931)*(5-MIN(4,1+'5. Scenarios'!$B$8))/4+INDEX(BookQ2,931)*(5-MIN(4,2+'5. Scenarios'!$B$8))/4+INDEX(BookQ3,931)*(5-MIN(4,3+'5. Scenarios'!$B$8))/4+INDEX(BookQ4,931)*(5-MIN(4,4+'5. Scenarios'!$B$8))/4)*'5. Scenarios'!$B$6/(1+ProductivityDefault*('5. Scenarios'!$B$11-1))+INDEX(BookOneOff,931)*$D936)</f>
        <v/>
      </c>
      <c r="I936" s="56" t="str">
        <f aca="false">IF(INDEX(BookTitle,931)="","",INDEX(BookTotal,931)*'5. Scenarios'!$C$6/(1+ProductivityDefault*('5. Scenarios'!$C$11-1)))</f>
        <v/>
      </c>
      <c r="J936" s="57" t="str">
        <f aca="false">IF($I936="","",INDEX(BookRate,931)*(1+'5. Scenarios'!$C$10)*$I936)</f>
        <v/>
      </c>
      <c r="K936" s="57" t="str">
        <f aca="false">IF($J936="","",SUMIFS($J$6:$J$2405,$A$6:$A$2405,"&lt;="&amp;$A936))</f>
        <v/>
      </c>
      <c r="L936" s="57" t="str">
        <f aca="false">IF($J936="","",IF($K936&lt;=BankCostEnvelope*'5. Scenarios'!$C$7,1,0))</f>
        <v/>
      </c>
      <c r="M936" s="57" t="str">
        <f aca="false">IF($I936="","",INDEX(BookRate,931)*(1+'5. Scenarios'!$C$10)*(INDEX(BookQ1,931)*(5-MIN(4,1+'5. Scenarios'!$C$8))/4+INDEX(BookQ2,931)*(5-MIN(4,2+'5. Scenarios'!$C$8))/4+INDEX(BookQ3,931)*(5-MIN(4,3+'5. Scenarios'!$C$8))/4+INDEX(BookQ4,931)*(5-MIN(4,4+'5. Scenarios'!$C$8))/4)*'5. Scenarios'!$C$6/(1+ProductivityDefault*('5. Scenarios'!$C$11-1))+INDEX(BookOneOff,931)*$I936)</f>
        <v/>
      </c>
      <c r="N936" s="56" t="str">
        <f aca="false">IF(INDEX(BookTitle,931)="","",INDEX(BookTotal,931)*'5. Scenarios'!$D$6/(1+ProductivityDefault*('5. Scenarios'!$D$11-1)))</f>
        <v/>
      </c>
      <c r="O936" s="57" t="str">
        <f aca="false">IF($N936="","",INDEX(BookRate,931)*(1+'5. Scenarios'!$D$10)*$N936)</f>
        <v/>
      </c>
      <c r="P936" s="57" t="str">
        <f aca="false">IF($O936="","",SUMIFS($O$6:$O$2405,$A$6:$A$2405,"&lt;="&amp;$A936))</f>
        <v/>
      </c>
      <c r="Q936" s="57" t="str">
        <f aca="false">IF($O936="","",IF($P936&lt;=BankCostEnvelope*'5. Scenarios'!$D$7,1,0))</f>
        <v/>
      </c>
      <c r="R936" s="57" t="str">
        <f aca="false">IF($N936="","",INDEX(BookRate,931)*(1+'5. Scenarios'!$D$10)*(INDEX(BookQ1,931)*(5-MIN(4,1+'5. Scenarios'!$D$8))/4+INDEX(BookQ2,931)*(5-MIN(4,2+'5. Scenarios'!$D$8))/4+INDEX(BookQ3,931)*(5-MIN(4,3+'5. Scenarios'!$D$8))/4+INDEX(BookQ4,931)*(5-MIN(4,4+'5. Scenarios'!$D$8))/4)*'5. Scenarios'!$D$6/(1+ProductivityDefault*('5. Scenarios'!$D$11-1))+INDEX(BookOneOff,931)*$N936)</f>
        <v/>
      </c>
      <c r="S936" s="56" t="str">
        <f aca="false">IF(INDEX(BookTitle,931)="","",INDEX(BookTotal,931)*'5. Scenarios'!$E$6/(1+ProductivityDefault*('5. Scenarios'!$E$11-1)))</f>
        <v/>
      </c>
      <c r="T936" s="57" t="str">
        <f aca="false">IF($S936="","",INDEX(BookRate,931)*(1+'5. Scenarios'!$E$10)*$S936)</f>
        <v/>
      </c>
      <c r="U936" s="57" t="str">
        <f aca="false">IF($T936="","",SUMIFS($T$6:$T$2405,$A$6:$A$2405,"&lt;="&amp;$A936))</f>
        <v/>
      </c>
      <c r="V936" s="57" t="str">
        <f aca="false">IF($T936="","",IF($U936&lt;=BankCostEnvelope*'5. Scenarios'!$E$7,1,0))</f>
        <v/>
      </c>
      <c r="W936" s="57" t="str">
        <f aca="false">IF($S936="","",INDEX(BookRate,931)*(1+'5. Scenarios'!$E$10)*(INDEX(BookQ1,931)*(5-MIN(4,1+'5. Scenarios'!$E$8))/4+INDEX(BookQ2,931)*(5-MIN(4,2+'5. Scenarios'!$E$8))/4+INDEX(BookQ3,931)*(5-MIN(4,3+'5. Scenarios'!$E$8))/4+INDEX(BookQ4,931)*(5-MIN(4,4+'5. Scenarios'!$E$8))/4)*'5. Scenarios'!$E$6/(1+ProductivityDefault*('5. Scenarios'!$E$11-1))+INDEX(BookOneOff,931)*$S936)</f>
        <v/>
      </c>
    </row>
    <row r="937" customFormat="false" ht="15" hidden="false" customHeight="false" outlineLevel="0" collapsed="false">
      <c r="A937" s="0" t="str">
        <f aca="false">IF(INDEX(BookTitle,932)="","",INDEX(BookKey,932))</f>
        <v/>
      </c>
      <c r="B937" s="0" t="str">
        <f aca="false">IF(INDEX(BookTitle,932)="","",INDEX(BookGroup,932))</f>
        <v/>
      </c>
      <c r="C937" s="0" t="str">
        <f aca="false">IF(INDEX(BookTitle,932)="","",INDEX(BookCategory,932))</f>
        <v/>
      </c>
      <c r="D937" s="56" t="str">
        <f aca="false">IF(INDEX(BookTitle,932)="","",INDEX(BookTotal,932)*'5. Scenarios'!$B$6/(1+ProductivityDefault*('5. Scenarios'!$B$11-1)))</f>
        <v/>
      </c>
      <c r="E937" s="57" t="str">
        <f aca="false">IF($D937="","",INDEX(BookRate,932)*(1+'5. Scenarios'!$B$10)*$D937)</f>
        <v/>
      </c>
      <c r="F937" s="57" t="str">
        <f aca="false">IF($E937="","",SUMIFS($E$6:$E$2405,$A$6:$A$2405,"&lt;="&amp;$A937))</f>
        <v/>
      </c>
      <c r="G937" s="57" t="str">
        <f aca="false">IF($E937="","",IF($F937&lt;=BankCostEnvelope*'5. Scenarios'!$B$7,1,0))</f>
        <v/>
      </c>
      <c r="H937" s="57" t="str">
        <f aca="false">IF($D937="","",INDEX(BookRate,932)*(1+'5. Scenarios'!$B$10)*(INDEX(BookQ1,932)*(5-MIN(4,1+'5. Scenarios'!$B$8))/4+INDEX(BookQ2,932)*(5-MIN(4,2+'5. Scenarios'!$B$8))/4+INDEX(BookQ3,932)*(5-MIN(4,3+'5. Scenarios'!$B$8))/4+INDEX(BookQ4,932)*(5-MIN(4,4+'5. Scenarios'!$B$8))/4)*'5. Scenarios'!$B$6/(1+ProductivityDefault*('5. Scenarios'!$B$11-1))+INDEX(BookOneOff,932)*$D937)</f>
        <v/>
      </c>
      <c r="I937" s="56" t="str">
        <f aca="false">IF(INDEX(BookTitle,932)="","",INDEX(BookTotal,932)*'5. Scenarios'!$C$6/(1+ProductivityDefault*('5. Scenarios'!$C$11-1)))</f>
        <v/>
      </c>
      <c r="J937" s="57" t="str">
        <f aca="false">IF($I937="","",INDEX(BookRate,932)*(1+'5. Scenarios'!$C$10)*$I937)</f>
        <v/>
      </c>
      <c r="K937" s="57" t="str">
        <f aca="false">IF($J937="","",SUMIFS($J$6:$J$2405,$A$6:$A$2405,"&lt;="&amp;$A937))</f>
        <v/>
      </c>
      <c r="L937" s="57" t="str">
        <f aca="false">IF($J937="","",IF($K937&lt;=BankCostEnvelope*'5. Scenarios'!$C$7,1,0))</f>
        <v/>
      </c>
      <c r="M937" s="57" t="str">
        <f aca="false">IF($I937="","",INDEX(BookRate,932)*(1+'5. Scenarios'!$C$10)*(INDEX(BookQ1,932)*(5-MIN(4,1+'5. Scenarios'!$C$8))/4+INDEX(BookQ2,932)*(5-MIN(4,2+'5. Scenarios'!$C$8))/4+INDEX(BookQ3,932)*(5-MIN(4,3+'5. Scenarios'!$C$8))/4+INDEX(BookQ4,932)*(5-MIN(4,4+'5. Scenarios'!$C$8))/4)*'5. Scenarios'!$C$6/(1+ProductivityDefault*('5. Scenarios'!$C$11-1))+INDEX(BookOneOff,932)*$I937)</f>
        <v/>
      </c>
      <c r="N937" s="56" t="str">
        <f aca="false">IF(INDEX(BookTitle,932)="","",INDEX(BookTotal,932)*'5. Scenarios'!$D$6/(1+ProductivityDefault*('5. Scenarios'!$D$11-1)))</f>
        <v/>
      </c>
      <c r="O937" s="57" t="str">
        <f aca="false">IF($N937="","",INDEX(BookRate,932)*(1+'5. Scenarios'!$D$10)*$N937)</f>
        <v/>
      </c>
      <c r="P937" s="57" t="str">
        <f aca="false">IF($O937="","",SUMIFS($O$6:$O$2405,$A$6:$A$2405,"&lt;="&amp;$A937))</f>
        <v/>
      </c>
      <c r="Q937" s="57" t="str">
        <f aca="false">IF($O937="","",IF($P937&lt;=BankCostEnvelope*'5. Scenarios'!$D$7,1,0))</f>
        <v/>
      </c>
      <c r="R937" s="57" t="str">
        <f aca="false">IF($N937="","",INDEX(BookRate,932)*(1+'5. Scenarios'!$D$10)*(INDEX(BookQ1,932)*(5-MIN(4,1+'5. Scenarios'!$D$8))/4+INDEX(BookQ2,932)*(5-MIN(4,2+'5. Scenarios'!$D$8))/4+INDEX(BookQ3,932)*(5-MIN(4,3+'5. Scenarios'!$D$8))/4+INDEX(BookQ4,932)*(5-MIN(4,4+'5. Scenarios'!$D$8))/4)*'5. Scenarios'!$D$6/(1+ProductivityDefault*('5. Scenarios'!$D$11-1))+INDEX(BookOneOff,932)*$N937)</f>
        <v/>
      </c>
      <c r="S937" s="56" t="str">
        <f aca="false">IF(INDEX(BookTitle,932)="","",INDEX(BookTotal,932)*'5. Scenarios'!$E$6/(1+ProductivityDefault*('5. Scenarios'!$E$11-1)))</f>
        <v/>
      </c>
      <c r="T937" s="57" t="str">
        <f aca="false">IF($S937="","",INDEX(BookRate,932)*(1+'5. Scenarios'!$E$10)*$S937)</f>
        <v/>
      </c>
      <c r="U937" s="57" t="str">
        <f aca="false">IF($T937="","",SUMIFS($T$6:$T$2405,$A$6:$A$2405,"&lt;="&amp;$A937))</f>
        <v/>
      </c>
      <c r="V937" s="57" t="str">
        <f aca="false">IF($T937="","",IF($U937&lt;=BankCostEnvelope*'5. Scenarios'!$E$7,1,0))</f>
        <v/>
      </c>
      <c r="W937" s="57" t="str">
        <f aca="false">IF($S937="","",INDEX(BookRate,932)*(1+'5. Scenarios'!$E$10)*(INDEX(BookQ1,932)*(5-MIN(4,1+'5. Scenarios'!$E$8))/4+INDEX(BookQ2,932)*(5-MIN(4,2+'5. Scenarios'!$E$8))/4+INDEX(BookQ3,932)*(5-MIN(4,3+'5. Scenarios'!$E$8))/4+INDEX(BookQ4,932)*(5-MIN(4,4+'5. Scenarios'!$E$8))/4)*'5. Scenarios'!$E$6/(1+ProductivityDefault*('5. Scenarios'!$E$11-1))+INDEX(BookOneOff,932)*$S937)</f>
        <v/>
      </c>
    </row>
    <row r="938" customFormat="false" ht="15" hidden="false" customHeight="false" outlineLevel="0" collapsed="false">
      <c r="A938" s="0" t="str">
        <f aca="false">IF(INDEX(BookTitle,933)="","",INDEX(BookKey,933))</f>
        <v/>
      </c>
      <c r="B938" s="0" t="str">
        <f aca="false">IF(INDEX(BookTitle,933)="","",INDEX(BookGroup,933))</f>
        <v/>
      </c>
      <c r="C938" s="0" t="str">
        <f aca="false">IF(INDEX(BookTitle,933)="","",INDEX(BookCategory,933))</f>
        <v/>
      </c>
      <c r="D938" s="56" t="str">
        <f aca="false">IF(INDEX(BookTitle,933)="","",INDEX(BookTotal,933)*'5. Scenarios'!$B$6/(1+ProductivityDefault*('5. Scenarios'!$B$11-1)))</f>
        <v/>
      </c>
      <c r="E938" s="57" t="str">
        <f aca="false">IF($D938="","",INDEX(BookRate,933)*(1+'5. Scenarios'!$B$10)*$D938)</f>
        <v/>
      </c>
      <c r="F938" s="57" t="str">
        <f aca="false">IF($E938="","",SUMIFS($E$6:$E$2405,$A$6:$A$2405,"&lt;="&amp;$A938))</f>
        <v/>
      </c>
      <c r="G938" s="57" t="str">
        <f aca="false">IF($E938="","",IF($F938&lt;=BankCostEnvelope*'5. Scenarios'!$B$7,1,0))</f>
        <v/>
      </c>
      <c r="H938" s="57" t="str">
        <f aca="false">IF($D938="","",INDEX(BookRate,933)*(1+'5. Scenarios'!$B$10)*(INDEX(BookQ1,933)*(5-MIN(4,1+'5. Scenarios'!$B$8))/4+INDEX(BookQ2,933)*(5-MIN(4,2+'5. Scenarios'!$B$8))/4+INDEX(BookQ3,933)*(5-MIN(4,3+'5. Scenarios'!$B$8))/4+INDEX(BookQ4,933)*(5-MIN(4,4+'5. Scenarios'!$B$8))/4)*'5. Scenarios'!$B$6/(1+ProductivityDefault*('5. Scenarios'!$B$11-1))+INDEX(BookOneOff,933)*$D938)</f>
        <v/>
      </c>
      <c r="I938" s="56" t="str">
        <f aca="false">IF(INDEX(BookTitle,933)="","",INDEX(BookTotal,933)*'5. Scenarios'!$C$6/(1+ProductivityDefault*('5. Scenarios'!$C$11-1)))</f>
        <v/>
      </c>
      <c r="J938" s="57" t="str">
        <f aca="false">IF($I938="","",INDEX(BookRate,933)*(1+'5. Scenarios'!$C$10)*$I938)</f>
        <v/>
      </c>
      <c r="K938" s="57" t="str">
        <f aca="false">IF($J938="","",SUMIFS($J$6:$J$2405,$A$6:$A$2405,"&lt;="&amp;$A938))</f>
        <v/>
      </c>
      <c r="L938" s="57" t="str">
        <f aca="false">IF($J938="","",IF($K938&lt;=BankCostEnvelope*'5. Scenarios'!$C$7,1,0))</f>
        <v/>
      </c>
      <c r="M938" s="57" t="str">
        <f aca="false">IF($I938="","",INDEX(BookRate,933)*(1+'5. Scenarios'!$C$10)*(INDEX(BookQ1,933)*(5-MIN(4,1+'5. Scenarios'!$C$8))/4+INDEX(BookQ2,933)*(5-MIN(4,2+'5. Scenarios'!$C$8))/4+INDEX(BookQ3,933)*(5-MIN(4,3+'5. Scenarios'!$C$8))/4+INDEX(BookQ4,933)*(5-MIN(4,4+'5. Scenarios'!$C$8))/4)*'5. Scenarios'!$C$6/(1+ProductivityDefault*('5. Scenarios'!$C$11-1))+INDEX(BookOneOff,933)*$I938)</f>
        <v/>
      </c>
      <c r="N938" s="56" t="str">
        <f aca="false">IF(INDEX(BookTitle,933)="","",INDEX(BookTotal,933)*'5. Scenarios'!$D$6/(1+ProductivityDefault*('5. Scenarios'!$D$11-1)))</f>
        <v/>
      </c>
      <c r="O938" s="57" t="str">
        <f aca="false">IF($N938="","",INDEX(BookRate,933)*(1+'5. Scenarios'!$D$10)*$N938)</f>
        <v/>
      </c>
      <c r="P938" s="57" t="str">
        <f aca="false">IF($O938="","",SUMIFS($O$6:$O$2405,$A$6:$A$2405,"&lt;="&amp;$A938))</f>
        <v/>
      </c>
      <c r="Q938" s="57" t="str">
        <f aca="false">IF($O938="","",IF($P938&lt;=BankCostEnvelope*'5. Scenarios'!$D$7,1,0))</f>
        <v/>
      </c>
      <c r="R938" s="57" t="str">
        <f aca="false">IF($N938="","",INDEX(BookRate,933)*(1+'5. Scenarios'!$D$10)*(INDEX(BookQ1,933)*(5-MIN(4,1+'5. Scenarios'!$D$8))/4+INDEX(BookQ2,933)*(5-MIN(4,2+'5. Scenarios'!$D$8))/4+INDEX(BookQ3,933)*(5-MIN(4,3+'5. Scenarios'!$D$8))/4+INDEX(BookQ4,933)*(5-MIN(4,4+'5. Scenarios'!$D$8))/4)*'5. Scenarios'!$D$6/(1+ProductivityDefault*('5. Scenarios'!$D$11-1))+INDEX(BookOneOff,933)*$N938)</f>
        <v/>
      </c>
      <c r="S938" s="56" t="str">
        <f aca="false">IF(INDEX(BookTitle,933)="","",INDEX(BookTotal,933)*'5. Scenarios'!$E$6/(1+ProductivityDefault*('5. Scenarios'!$E$11-1)))</f>
        <v/>
      </c>
      <c r="T938" s="57" t="str">
        <f aca="false">IF($S938="","",INDEX(BookRate,933)*(1+'5. Scenarios'!$E$10)*$S938)</f>
        <v/>
      </c>
      <c r="U938" s="57" t="str">
        <f aca="false">IF($T938="","",SUMIFS($T$6:$T$2405,$A$6:$A$2405,"&lt;="&amp;$A938))</f>
        <v/>
      </c>
      <c r="V938" s="57" t="str">
        <f aca="false">IF($T938="","",IF($U938&lt;=BankCostEnvelope*'5. Scenarios'!$E$7,1,0))</f>
        <v/>
      </c>
      <c r="W938" s="57" t="str">
        <f aca="false">IF($S938="","",INDEX(BookRate,933)*(1+'5. Scenarios'!$E$10)*(INDEX(BookQ1,933)*(5-MIN(4,1+'5. Scenarios'!$E$8))/4+INDEX(BookQ2,933)*(5-MIN(4,2+'5. Scenarios'!$E$8))/4+INDEX(BookQ3,933)*(5-MIN(4,3+'5. Scenarios'!$E$8))/4+INDEX(BookQ4,933)*(5-MIN(4,4+'5. Scenarios'!$E$8))/4)*'5. Scenarios'!$E$6/(1+ProductivityDefault*('5. Scenarios'!$E$11-1))+INDEX(BookOneOff,933)*$S938)</f>
        <v/>
      </c>
    </row>
    <row r="939" customFormat="false" ht="15" hidden="false" customHeight="false" outlineLevel="0" collapsed="false">
      <c r="A939" s="0" t="str">
        <f aca="false">IF(INDEX(BookTitle,934)="","",INDEX(BookKey,934))</f>
        <v/>
      </c>
      <c r="B939" s="0" t="str">
        <f aca="false">IF(INDEX(BookTitle,934)="","",INDEX(BookGroup,934))</f>
        <v/>
      </c>
      <c r="C939" s="0" t="str">
        <f aca="false">IF(INDEX(BookTitle,934)="","",INDEX(BookCategory,934))</f>
        <v/>
      </c>
      <c r="D939" s="56" t="str">
        <f aca="false">IF(INDEX(BookTitle,934)="","",INDEX(BookTotal,934)*'5. Scenarios'!$B$6/(1+ProductivityDefault*('5. Scenarios'!$B$11-1)))</f>
        <v/>
      </c>
      <c r="E939" s="57" t="str">
        <f aca="false">IF($D939="","",INDEX(BookRate,934)*(1+'5. Scenarios'!$B$10)*$D939)</f>
        <v/>
      </c>
      <c r="F939" s="57" t="str">
        <f aca="false">IF($E939="","",SUMIFS($E$6:$E$2405,$A$6:$A$2405,"&lt;="&amp;$A939))</f>
        <v/>
      </c>
      <c r="G939" s="57" t="str">
        <f aca="false">IF($E939="","",IF($F939&lt;=BankCostEnvelope*'5. Scenarios'!$B$7,1,0))</f>
        <v/>
      </c>
      <c r="H939" s="57" t="str">
        <f aca="false">IF($D939="","",INDEX(BookRate,934)*(1+'5. Scenarios'!$B$10)*(INDEX(BookQ1,934)*(5-MIN(4,1+'5. Scenarios'!$B$8))/4+INDEX(BookQ2,934)*(5-MIN(4,2+'5. Scenarios'!$B$8))/4+INDEX(BookQ3,934)*(5-MIN(4,3+'5. Scenarios'!$B$8))/4+INDEX(BookQ4,934)*(5-MIN(4,4+'5. Scenarios'!$B$8))/4)*'5. Scenarios'!$B$6/(1+ProductivityDefault*('5. Scenarios'!$B$11-1))+INDEX(BookOneOff,934)*$D939)</f>
        <v/>
      </c>
      <c r="I939" s="56" t="str">
        <f aca="false">IF(INDEX(BookTitle,934)="","",INDEX(BookTotal,934)*'5. Scenarios'!$C$6/(1+ProductivityDefault*('5. Scenarios'!$C$11-1)))</f>
        <v/>
      </c>
      <c r="J939" s="57" t="str">
        <f aca="false">IF($I939="","",INDEX(BookRate,934)*(1+'5. Scenarios'!$C$10)*$I939)</f>
        <v/>
      </c>
      <c r="K939" s="57" t="str">
        <f aca="false">IF($J939="","",SUMIFS($J$6:$J$2405,$A$6:$A$2405,"&lt;="&amp;$A939))</f>
        <v/>
      </c>
      <c r="L939" s="57" t="str">
        <f aca="false">IF($J939="","",IF($K939&lt;=BankCostEnvelope*'5. Scenarios'!$C$7,1,0))</f>
        <v/>
      </c>
      <c r="M939" s="57" t="str">
        <f aca="false">IF($I939="","",INDEX(BookRate,934)*(1+'5. Scenarios'!$C$10)*(INDEX(BookQ1,934)*(5-MIN(4,1+'5. Scenarios'!$C$8))/4+INDEX(BookQ2,934)*(5-MIN(4,2+'5. Scenarios'!$C$8))/4+INDEX(BookQ3,934)*(5-MIN(4,3+'5. Scenarios'!$C$8))/4+INDEX(BookQ4,934)*(5-MIN(4,4+'5. Scenarios'!$C$8))/4)*'5. Scenarios'!$C$6/(1+ProductivityDefault*('5. Scenarios'!$C$11-1))+INDEX(BookOneOff,934)*$I939)</f>
        <v/>
      </c>
      <c r="N939" s="56" t="str">
        <f aca="false">IF(INDEX(BookTitle,934)="","",INDEX(BookTotal,934)*'5. Scenarios'!$D$6/(1+ProductivityDefault*('5. Scenarios'!$D$11-1)))</f>
        <v/>
      </c>
      <c r="O939" s="57" t="str">
        <f aca="false">IF($N939="","",INDEX(BookRate,934)*(1+'5. Scenarios'!$D$10)*$N939)</f>
        <v/>
      </c>
      <c r="P939" s="57" t="str">
        <f aca="false">IF($O939="","",SUMIFS($O$6:$O$2405,$A$6:$A$2405,"&lt;="&amp;$A939))</f>
        <v/>
      </c>
      <c r="Q939" s="57" t="str">
        <f aca="false">IF($O939="","",IF($P939&lt;=BankCostEnvelope*'5. Scenarios'!$D$7,1,0))</f>
        <v/>
      </c>
      <c r="R939" s="57" t="str">
        <f aca="false">IF($N939="","",INDEX(BookRate,934)*(1+'5. Scenarios'!$D$10)*(INDEX(BookQ1,934)*(5-MIN(4,1+'5. Scenarios'!$D$8))/4+INDEX(BookQ2,934)*(5-MIN(4,2+'5. Scenarios'!$D$8))/4+INDEX(BookQ3,934)*(5-MIN(4,3+'5. Scenarios'!$D$8))/4+INDEX(BookQ4,934)*(5-MIN(4,4+'5. Scenarios'!$D$8))/4)*'5. Scenarios'!$D$6/(1+ProductivityDefault*('5. Scenarios'!$D$11-1))+INDEX(BookOneOff,934)*$N939)</f>
        <v/>
      </c>
      <c r="S939" s="56" t="str">
        <f aca="false">IF(INDEX(BookTitle,934)="","",INDEX(BookTotal,934)*'5. Scenarios'!$E$6/(1+ProductivityDefault*('5. Scenarios'!$E$11-1)))</f>
        <v/>
      </c>
      <c r="T939" s="57" t="str">
        <f aca="false">IF($S939="","",INDEX(BookRate,934)*(1+'5. Scenarios'!$E$10)*$S939)</f>
        <v/>
      </c>
      <c r="U939" s="57" t="str">
        <f aca="false">IF($T939="","",SUMIFS($T$6:$T$2405,$A$6:$A$2405,"&lt;="&amp;$A939))</f>
        <v/>
      </c>
      <c r="V939" s="57" t="str">
        <f aca="false">IF($T939="","",IF($U939&lt;=BankCostEnvelope*'5. Scenarios'!$E$7,1,0))</f>
        <v/>
      </c>
      <c r="W939" s="57" t="str">
        <f aca="false">IF($S939="","",INDEX(BookRate,934)*(1+'5. Scenarios'!$E$10)*(INDEX(BookQ1,934)*(5-MIN(4,1+'5. Scenarios'!$E$8))/4+INDEX(BookQ2,934)*(5-MIN(4,2+'5. Scenarios'!$E$8))/4+INDEX(BookQ3,934)*(5-MIN(4,3+'5. Scenarios'!$E$8))/4+INDEX(BookQ4,934)*(5-MIN(4,4+'5. Scenarios'!$E$8))/4)*'5. Scenarios'!$E$6/(1+ProductivityDefault*('5. Scenarios'!$E$11-1))+INDEX(BookOneOff,934)*$S939)</f>
        <v/>
      </c>
    </row>
    <row r="940" customFormat="false" ht="15" hidden="false" customHeight="false" outlineLevel="0" collapsed="false">
      <c r="A940" s="0" t="str">
        <f aca="false">IF(INDEX(BookTitle,935)="","",INDEX(BookKey,935))</f>
        <v/>
      </c>
      <c r="B940" s="0" t="str">
        <f aca="false">IF(INDEX(BookTitle,935)="","",INDEX(BookGroup,935))</f>
        <v/>
      </c>
      <c r="C940" s="0" t="str">
        <f aca="false">IF(INDEX(BookTitle,935)="","",INDEX(BookCategory,935))</f>
        <v/>
      </c>
      <c r="D940" s="56" t="str">
        <f aca="false">IF(INDEX(BookTitle,935)="","",INDEX(BookTotal,935)*'5. Scenarios'!$B$6/(1+ProductivityDefault*('5. Scenarios'!$B$11-1)))</f>
        <v/>
      </c>
      <c r="E940" s="57" t="str">
        <f aca="false">IF($D940="","",INDEX(BookRate,935)*(1+'5. Scenarios'!$B$10)*$D940)</f>
        <v/>
      </c>
      <c r="F940" s="57" t="str">
        <f aca="false">IF($E940="","",SUMIFS($E$6:$E$2405,$A$6:$A$2405,"&lt;="&amp;$A940))</f>
        <v/>
      </c>
      <c r="G940" s="57" t="str">
        <f aca="false">IF($E940="","",IF($F940&lt;=BankCostEnvelope*'5. Scenarios'!$B$7,1,0))</f>
        <v/>
      </c>
      <c r="H940" s="57" t="str">
        <f aca="false">IF($D940="","",INDEX(BookRate,935)*(1+'5. Scenarios'!$B$10)*(INDEX(BookQ1,935)*(5-MIN(4,1+'5. Scenarios'!$B$8))/4+INDEX(BookQ2,935)*(5-MIN(4,2+'5. Scenarios'!$B$8))/4+INDEX(BookQ3,935)*(5-MIN(4,3+'5. Scenarios'!$B$8))/4+INDEX(BookQ4,935)*(5-MIN(4,4+'5. Scenarios'!$B$8))/4)*'5. Scenarios'!$B$6/(1+ProductivityDefault*('5. Scenarios'!$B$11-1))+INDEX(BookOneOff,935)*$D940)</f>
        <v/>
      </c>
      <c r="I940" s="56" t="str">
        <f aca="false">IF(INDEX(BookTitle,935)="","",INDEX(BookTotal,935)*'5. Scenarios'!$C$6/(1+ProductivityDefault*('5. Scenarios'!$C$11-1)))</f>
        <v/>
      </c>
      <c r="J940" s="57" t="str">
        <f aca="false">IF($I940="","",INDEX(BookRate,935)*(1+'5. Scenarios'!$C$10)*$I940)</f>
        <v/>
      </c>
      <c r="K940" s="57" t="str">
        <f aca="false">IF($J940="","",SUMIFS($J$6:$J$2405,$A$6:$A$2405,"&lt;="&amp;$A940))</f>
        <v/>
      </c>
      <c r="L940" s="57" t="str">
        <f aca="false">IF($J940="","",IF($K940&lt;=BankCostEnvelope*'5. Scenarios'!$C$7,1,0))</f>
        <v/>
      </c>
      <c r="M940" s="57" t="str">
        <f aca="false">IF($I940="","",INDEX(BookRate,935)*(1+'5. Scenarios'!$C$10)*(INDEX(BookQ1,935)*(5-MIN(4,1+'5. Scenarios'!$C$8))/4+INDEX(BookQ2,935)*(5-MIN(4,2+'5. Scenarios'!$C$8))/4+INDEX(BookQ3,935)*(5-MIN(4,3+'5. Scenarios'!$C$8))/4+INDEX(BookQ4,935)*(5-MIN(4,4+'5. Scenarios'!$C$8))/4)*'5. Scenarios'!$C$6/(1+ProductivityDefault*('5. Scenarios'!$C$11-1))+INDEX(BookOneOff,935)*$I940)</f>
        <v/>
      </c>
      <c r="N940" s="56" t="str">
        <f aca="false">IF(INDEX(BookTitle,935)="","",INDEX(BookTotal,935)*'5. Scenarios'!$D$6/(1+ProductivityDefault*('5. Scenarios'!$D$11-1)))</f>
        <v/>
      </c>
      <c r="O940" s="57" t="str">
        <f aca="false">IF($N940="","",INDEX(BookRate,935)*(1+'5. Scenarios'!$D$10)*$N940)</f>
        <v/>
      </c>
      <c r="P940" s="57" t="str">
        <f aca="false">IF($O940="","",SUMIFS($O$6:$O$2405,$A$6:$A$2405,"&lt;="&amp;$A940))</f>
        <v/>
      </c>
      <c r="Q940" s="57" t="str">
        <f aca="false">IF($O940="","",IF($P940&lt;=BankCostEnvelope*'5. Scenarios'!$D$7,1,0))</f>
        <v/>
      </c>
      <c r="R940" s="57" t="str">
        <f aca="false">IF($N940="","",INDEX(BookRate,935)*(1+'5. Scenarios'!$D$10)*(INDEX(BookQ1,935)*(5-MIN(4,1+'5. Scenarios'!$D$8))/4+INDEX(BookQ2,935)*(5-MIN(4,2+'5. Scenarios'!$D$8))/4+INDEX(BookQ3,935)*(5-MIN(4,3+'5. Scenarios'!$D$8))/4+INDEX(BookQ4,935)*(5-MIN(4,4+'5. Scenarios'!$D$8))/4)*'5. Scenarios'!$D$6/(1+ProductivityDefault*('5. Scenarios'!$D$11-1))+INDEX(BookOneOff,935)*$N940)</f>
        <v/>
      </c>
      <c r="S940" s="56" t="str">
        <f aca="false">IF(INDEX(BookTitle,935)="","",INDEX(BookTotal,935)*'5. Scenarios'!$E$6/(1+ProductivityDefault*('5. Scenarios'!$E$11-1)))</f>
        <v/>
      </c>
      <c r="T940" s="57" t="str">
        <f aca="false">IF($S940="","",INDEX(BookRate,935)*(1+'5. Scenarios'!$E$10)*$S940)</f>
        <v/>
      </c>
      <c r="U940" s="57" t="str">
        <f aca="false">IF($T940="","",SUMIFS($T$6:$T$2405,$A$6:$A$2405,"&lt;="&amp;$A940))</f>
        <v/>
      </c>
      <c r="V940" s="57" t="str">
        <f aca="false">IF($T940="","",IF($U940&lt;=BankCostEnvelope*'5. Scenarios'!$E$7,1,0))</f>
        <v/>
      </c>
      <c r="W940" s="57" t="str">
        <f aca="false">IF($S940="","",INDEX(BookRate,935)*(1+'5. Scenarios'!$E$10)*(INDEX(BookQ1,935)*(5-MIN(4,1+'5. Scenarios'!$E$8))/4+INDEX(BookQ2,935)*(5-MIN(4,2+'5. Scenarios'!$E$8))/4+INDEX(BookQ3,935)*(5-MIN(4,3+'5. Scenarios'!$E$8))/4+INDEX(BookQ4,935)*(5-MIN(4,4+'5. Scenarios'!$E$8))/4)*'5. Scenarios'!$E$6/(1+ProductivityDefault*('5. Scenarios'!$E$11-1))+INDEX(BookOneOff,935)*$S940)</f>
        <v/>
      </c>
    </row>
    <row r="941" customFormat="false" ht="15" hidden="false" customHeight="false" outlineLevel="0" collapsed="false">
      <c r="A941" s="0" t="str">
        <f aca="false">IF(INDEX(BookTitle,936)="","",INDEX(BookKey,936))</f>
        <v/>
      </c>
      <c r="B941" s="0" t="str">
        <f aca="false">IF(INDEX(BookTitle,936)="","",INDEX(BookGroup,936))</f>
        <v/>
      </c>
      <c r="C941" s="0" t="str">
        <f aca="false">IF(INDEX(BookTitle,936)="","",INDEX(BookCategory,936))</f>
        <v/>
      </c>
      <c r="D941" s="56" t="str">
        <f aca="false">IF(INDEX(BookTitle,936)="","",INDEX(BookTotal,936)*'5. Scenarios'!$B$6/(1+ProductivityDefault*('5. Scenarios'!$B$11-1)))</f>
        <v/>
      </c>
      <c r="E941" s="57" t="str">
        <f aca="false">IF($D941="","",INDEX(BookRate,936)*(1+'5. Scenarios'!$B$10)*$D941)</f>
        <v/>
      </c>
      <c r="F941" s="57" t="str">
        <f aca="false">IF($E941="","",SUMIFS($E$6:$E$2405,$A$6:$A$2405,"&lt;="&amp;$A941))</f>
        <v/>
      </c>
      <c r="G941" s="57" t="str">
        <f aca="false">IF($E941="","",IF($F941&lt;=BankCostEnvelope*'5. Scenarios'!$B$7,1,0))</f>
        <v/>
      </c>
      <c r="H941" s="57" t="str">
        <f aca="false">IF($D941="","",INDEX(BookRate,936)*(1+'5. Scenarios'!$B$10)*(INDEX(BookQ1,936)*(5-MIN(4,1+'5. Scenarios'!$B$8))/4+INDEX(BookQ2,936)*(5-MIN(4,2+'5. Scenarios'!$B$8))/4+INDEX(BookQ3,936)*(5-MIN(4,3+'5. Scenarios'!$B$8))/4+INDEX(BookQ4,936)*(5-MIN(4,4+'5. Scenarios'!$B$8))/4)*'5. Scenarios'!$B$6/(1+ProductivityDefault*('5. Scenarios'!$B$11-1))+INDEX(BookOneOff,936)*$D941)</f>
        <v/>
      </c>
      <c r="I941" s="56" t="str">
        <f aca="false">IF(INDEX(BookTitle,936)="","",INDEX(BookTotal,936)*'5. Scenarios'!$C$6/(1+ProductivityDefault*('5. Scenarios'!$C$11-1)))</f>
        <v/>
      </c>
      <c r="J941" s="57" t="str">
        <f aca="false">IF($I941="","",INDEX(BookRate,936)*(1+'5. Scenarios'!$C$10)*$I941)</f>
        <v/>
      </c>
      <c r="K941" s="57" t="str">
        <f aca="false">IF($J941="","",SUMIFS($J$6:$J$2405,$A$6:$A$2405,"&lt;="&amp;$A941))</f>
        <v/>
      </c>
      <c r="L941" s="57" t="str">
        <f aca="false">IF($J941="","",IF($K941&lt;=BankCostEnvelope*'5. Scenarios'!$C$7,1,0))</f>
        <v/>
      </c>
      <c r="M941" s="57" t="str">
        <f aca="false">IF($I941="","",INDEX(BookRate,936)*(1+'5. Scenarios'!$C$10)*(INDEX(BookQ1,936)*(5-MIN(4,1+'5. Scenarios'!$C$8))/4+INDEX(BookQ2,936)*(5-MIN(4,2+'5. Scenarios'!$C$8))/4+INDEX(BookQ3,936)*(5-MIN(4,3+'5. Scenarios'!$C$8))/4+INDEX(BookQ4,936)*(5-MIN(4,4+'5. Scenarios'!$C$8))/4)*'5. Scenarios'!$C$6/(1+ProductivityDefault*('5. Scenarios'!$C$11-1))+INDEX(BookOneOff,936)*$I941)</f>
        <v/>
      </c>
      <c r="N941" s="56" t="str">
        <f aca="false">IF(INDEX(BookTitle,936)="","",INDEX(BookTotal,936)*'5. Scenarios'!$D$6/(1+ProductivityDefault*('5. Scenarios'!$D$11-1)))</f>
        <v/>
      </c>
      <c r="O941" s="57" t="str">
        <f aca="false">IF($N941="","",INDEX(BookRate,936)*(1+'5. Scenarios'!$D$10)*$N941)</f>
        <v/>
      </c>
      <c r="P941" s="57" t="str">
        <f aca="false">IF($O941="","",SUMIFS($O$6:$O$2405,$A$6:$A$2405,"&lt;="&amp;$A941))</f>
        <v/>
      </c>
      <c r="Q941" s="57" t="str">
        <f aca="false">IF($O941="","",IF($P941&lt;=BankCostEnvelope*'5. Scenarios'!$D$7,1,0))</f>
        <v/>
      </c>
      <c r="R941" s="57" t="str">
        <f aca="false">IF($N941="","",INDEX(BookRate,936)*(1+'5. Scenarios'!$D$10)*(INDEX(BookQ1,936)*(5-MIN(4,1+'5. Scenarios'!$D$8))/4+INDEX(BookQ2,936)*(5-MIN(4,2+'5. Scenarios'!$D$8))/4+INDEX(BookQ3,936)*(5-MIN(4,3+'5. Scenarios'!$D$8))/4+INDEX(BookQ4,936)*(5-MIN(4,4+'5. Scenarios'!$D$8))/4)*'5. Scenarios'!$D$6/(1+ProductivityDefault*('5. Scenarios'!$D$11-1))+INDEX(BookOneOff,936)*$N941)</f>
        <v/>
      </c>
      <c r="S941" s="56" t="str">
        <f aca="false">IF(INDEX(BookTitle,936)="","",INDEX(BookTotal,936)*'5. Scenarios'!$E$6/(1+ProductivityDefault*('5. Scenarios'!$E$11-1)))</f>
        <v/>
      </c>
      <c r="T941" s="57" t="str">
        <f aca="false">IF($S941="","",INDEX(BookRate,936)*(1+'5. Scenarios'!$E$10)*$S941)</f>
        <v/>
      </c>
      <c r="U941" s="57" t="str">
        <f aca="false">IF($T941="","",SUMIFS($T$6:$T$2405,$A$6:$A$2405,"&lt;="&amp;$A941))</f>
        <v/>
      </c>
      <c r="V941" s="57" t="str">
        <f aca="false">IF($T941="","",IF($U941&lt;=BankCostEnvelope*'5. Scenarios'!$E$7,1,0))</f>
        <v/>
      </c>
      <c r="W941" s="57" t="str">
        <f aca="false">IF($S941="","",INDEX(BookRate,936)*(1+'5. Scenarios'!$E$10)*(INDEX(BookQ1,936)*(5-MIN(4,1+'5. Scenarios'!$E$8))/4+INDEX(BookQ2,936)*(5-MIN(4,2+'5. Scenarios'!$E$8))/4+INDEX(BookQ3,936)*(5-MIN(4,3+'5. Scenarios'!$E$8))/4+INDEX(BookQ4,936)*(5-MIN(4,4+'5. Scenarios'!$E$8))/4)*'5. Scenarios'!$E$6/(1+ProductivityDefault*('5. Scenarios'!$E$11-1))+INDEX(BookOneOff,936)*$S941)</f>
        <v/>
      </c>
    </row>
    <row r="942" customFormat="false" ht="15" hidden="false" customHeight="false" outlineLevel="0" collapsed="false">
      <c r="A942" s="0" t="str">
        <f aca="false">IF(INDEX(BookTitle,937)="","",INDEX(BookKey,937))</f>
        <v/>
      </c>
      <c r="B942" s="0" t="str">
        <f aca="false">IF(INDEX(BookTitle,937)="","",INDEX(BookGroup,937))</f>
        <v/>
      </c>
      <c r="C942" s="0" t="str">
        <f aca="false">IF(INDEX(BookTitle,937)="","",INDEX(BookCategory,937))</f>
        <v/>
      </c>
      <c r="D942" s="56" t="str">
        <f aca="false">IF(INDEX(BookTitle,937)="","",INDEX(BookTotal,937)*'5. Scenarios'!$B$6/(1+ProductivityDefault*('5. Scenarios'!$B$11-1)))</f>
        <v/>
      </c>
      <c r="E942" s="57" t="str">
        <f aca="false">IF($D942="","",INDEX(BookRate,937)*(1+'5. Scenarios'!$B$10)*$D942)</f>
        <v/>
      </c>
      <c r="F942" s="57" t="str">
        <f aca="false">IF($E942="","",SUMIFS($E$6:$E$2405,$A$6:$A$2405,"&lt;="&amp;$A942))</f>
        <v/>
      </c>
      <c r="G942" s="57" t="str">
        <f aca="false">IF($E942="","",IF($F942&lt;=BankCostEnvelope*'5. Scenarios'!$B$7,1,0))</f>
        <v/>
      </c>
      <c r="H942" s="57" t="str">
        <f aca="false">IF($D942="","",INDEX(BookRate,937)*(1+'5. Scenarios'!$B$10)*(INDEX(BookQ1,937)*(5-MIN(4,1+'5. Scenarios'!$B$8))/4+INDEX(BookQ2,937)*(5-MIN(4,2+'5. Scenarios'!$B$8))/4+INDEX(BookQ3,937)*(5-MIN(4,3+'5. Scenarios'!$B$8))/4+INDEX(BookQ4,937)*(5-MIN(4,4+'5. Scenarios'!$B$8))/4)*'5. Scenarios'!$B$6/(1+ProductivityDefault*('5. Scenarios'!$B$11-1))+INDEX(BookOneOff,937)*$D942)</f>
        <v/>
      </c>
      <c r="I942" s="56" t="str">
        <f aca="false">IF(INDEX(BookTitle,937)="","",INDEX(BookTotal,937)*'5. Scenarios'!$C$6/(1+ProductivityDefault*('5. Scenarios'!$C$11-1)))</f>
        <v/>
      </c>
      <c r="J942" s="57" t="str">
        <f aca="false">IF($I942="","",INDEX(BookRate,937)*(1+'5. Scenarios'!$C$10)*$I942)</f>
        <v/>
      </c>
      <c r="K942" s="57" t="str">
        <f aca="false">IF($J942="","",SUMIFS($J$6:$J$2405,$A$6:$A$2405,"&lt;="&amp;$A942))</f>
        <v/>
      </c>
      <c r="L942" s="57" t="str">
        <f aca="false">IF($J942="","",IF($K942&lt;=BankCostEnvelope*'5. Scenarios'!$C$7,1,0))</f>
        <v/>
      </c>
      <c r="M942" s="57" t="str">
        <f aca="false">IF($I942="","",INDEX(BookRate,937)*(1+'5. Scenarios'!$C$10)*(INDEX(BookQ1,937)*(5-MIN(4,1+'5. Scenarios'!$C$8))/4+INDEX(BookQ2,937)*(5-MIN(4,2+'5. Scenarios'!$C$8))/4+INDEX(BookQ3,937)*(5-MIN(4,3+'5. Scenarios'!$C$8))/4+INDEX(BookQ4,937)*(5-MIN(4,4+'5. Scenarios'!$C$8))/4)*'5. Scenarios'!$C$6/(1+ProductivityDefault*('5. Scenarios'!$C$11-1))+INDEX(BookOneOff,937)*$I942)</f>
        <v/>
      </c>
      <c r="N942" s="56" t="str">
        <f aca="false">IF(INDEX(BookTitle,937)="","",INDEX(BookTotal,937)*'5. Scenarios'!$D$6/(1+ProductivityDefault*('5. Scenarios'!$D$11-1)))</f>
        <v/>
      </c>
      <c r="O942" s="57" t="str">
        <f aca="false">IF($N942="","",INDEX(BookRate,937)*(1+'5. Scenarios'!$D$10)*$N942)</f>
        <v/>
      </c>
      <c r="P942" s="57" t="str">
        <f aca="false">IF($O942="","",SUMIFS($O$6:$O$2405,$A$6:$A$2405,"&lt;="&amp;$A942))</f>
        <v/>
      </c>
      <c r="Q942" s="57" t="str">
        <f aca="false">IF($O942="","",IF($P942&lt;=BankCostEnvelope*'5. Scenarios'!$D$7,1,0))</f>
        <v/>
      </c>
      <c r="R942" s="57" t="str">
        <f aca="false">IF($N942="","",INDEX(BookRate,937)*(1+'5. Scenarios'!$D$10)*(INDEX(BookQ1,937)*(5-MIN(4,1+'5. Scenarios'!$D$8))/4+INDEX(BookQ2,937)*(5-MIN(4,2+'5. Scenarios'!$D$8))/4+INDEX(BookQ3,937)*(5-MIN(4,3+'5. Scenarios'!$D$8))/4+INDEX(BookQ4,937)*(5-MIN(4,4+'5. Scenarios'!$D$8))/4)*'5. Scenarios'!$D$6/(1+ProductivityDefault*('5. Scenarios'!$D$11-1))+INDEX(BookOneOff,937)*$N942)</f>
        <v/>
      </c>
      <c r="S942" s="56" t="str">
        <f aca="false">IF(INDEX(BookTitle,937)="","",INDEX(BookTotal,937)*'5. Scenarios'!$E$6/(1+ProductivityDefault*('5. Scenarios'!$E$11-1)))</f>
        <v/>
      </c>
      <c r="T942" s="57" t="str">
        <f aca="false">IF($S942="","",INDEX(BookRate,937)*(1+'5. Scenarios'!$E$10)*$S942)</f>
        <v/>
      </c>
      <c r="U942" s="57" t="str">
        <f aca="false">IF($T942="","",SUMIFS($T$6:$T$2405,$A$6:$A$2405,"&lt;="&amp;$A942))</f>
        <v/>
      </c>
      <c r="V942" s="57" t="str">
        <f aca="false">IF($T942="","",IF($U942&lt;=BankCostEnvelope*'5. Scenarios'!$E$7,1,0))</f>
        <v/>
      </c>
      <c r="W942" s="57" t="str">
        <f aca="false">IF($S942="","",INDEX(BookRate,937)*(1+'5. Scenarios'!$E$10)*(INDEX(BookQ1,937)*(5-MIN(4,1+'5. Scenarios'!$E$8))/4+INDEX(BookQ2,937)*(5-MIN(4,2+'5. Scenarios'!$E$8))/4+INDEX(BookQ3,937)*(5-MIN(4,3+'5. Scenarios'!$E$8))/4+INDEX(BookQ4,937)*(5-MIN(4,4+'5. Scenarios'!$E$8))/4)*'5. Scenarios'!$E$6/(1+ProductivityDefault*('5. Scenarios'!$E$11-1))+INDEX(BookOneOff,937)*$S942)</f>
        <v/>
      </c>
    </row>
    <row r="943" customFormat="false" ht="15" hidden="false" customHeight="false" outlineLevel="0" collapsed="false">
      <c r="A943" s="0" t="str">
        <f aca="false">IF(INDEX(BookTitle,938)="","",INDEX(BookKey,938))</f>
        <v/>
      </c>
      <c r="B943" s="0" t="str">
        <f aca="false">IF(INDEX(BookTitle,938)="","",INDEX(BookGroup,938))</f>
        <v/>
      </c>
      <c r="C943" s="0" t="str">
        <f aca="false">IF(INDEX(BookTitle,938)="","",INDEX(BookCategory,938))</f>
        <v/>
      </c>
      <c r="D943" s="56" t="str">
        <f aca="false">IF(INDEX(BookTitle,938)="","",INDEX(BookTotal,938)*'5. Scenarios'!$B$6/(1+ProductivityDefault*('5. Scenarios'!$B$11-1)))</f>
        <v/>
      </c>
      <c r="E943" s="57" t="str">
        <f aca="false">IF($D943="","",INDEX(BookRate,938)*(1+'5. Scenarios'!$B$10)*$D943)</f>
        <v/>
      </c>
      <c r="F943" s="57" t="str">
        <f aca="false">IF($E943="","",SUMIFS($E$6:$E$2405,$A$6:$A$2405,"&lt;="&amp;$A943))</f>
        <v/>
      </c>
      <c r="G943" s="57" t="str">
        <f aca="false">IF($E943="","",IF($F943&lt;=BankCostEnvelope*'5. Scenarios'!$B$7,1,0))</f>
        <v/>
      </c>
      <c r="H943" s="57" t="str">
        <f aca="false">IF($D943="","",INDEX(BookRate,938)*(1+'5. Scenarios'!$B$10)*(INDEX(BookQ1,938)*(5-MIN(4,1+'5. Scenarios'!$B$8))/4+INDEX(BookQ2,938)*(5-MIN(4,2+'5. Scenarios'!$B$8))/4+INDEX(BookQ3,938)*(5-MIN(4,3+'5. Scenarios'!$B$8))/4+INDEX(BookQ4,938)*(5-MIN(4,4+'5. Scenarios'!$B$8))/4)*'5. Scenarios'!$B$6/(1+ProductivityDefault*('5. Scenarios'!$B$11-1))+INDEX(BookOneOff,938)*$D943)</f>
        <v/>
      </c>
      <c r="I943" s="56" t="str">
        <f aca="false">IF(INDEX(BookTitle,938)="","",INDEX(BookTotal,938)*'5. Scenarios'!$C$6/(1+ProductivityDefault*('5. Scenarios'!$C$11-1)))</f>
        <v/>
      </c>
      <c r="J943" s="57" t="str">
        <f aca="false">IF($I943="","",INDEX(BookRate,938)*(1+'5. Scenarios'!$C$10)*$I943)</f>
        <v/>
      </c>
      <c r="K943" s="57" t="str">
        <f aca="false">IF($J943="","",SUMIFS($J$6:$J$2405,$A$6:$A$2405,"&lt;="&amp;$A943))</f>
        <v/>
      </c>
      <c r="L943" s="57" t="str">
        <f aca="false">IF($J943="","",IF($K943&lt;=BankCostEnvelope*'5. Scenarios'!$C$7,1,0))</f>
        <v/>
      </c>
      <c r="M943" s="57" t="str">
        <f aca="false">IF($I943="","",INDEX(BookRate,938)*(1+'5. Scenarios'!$C$10)*(INDEX(BookQ1,938)*(5-MIN(4,1+'5. Scenarios'!$C$8))/4+INDEX(BookQ2,938)*(5-MIN(4,2+'5. Scenarios'!$C$8))/4+INDEX(BookQ3,938)*(5-MIN(4,3+'5. Scenarios'!$C$8))/4+INDEX(BookQ4,938)*(5-MIN(4,4+'5. Scenarios'!$C$8))/4)*'5. Scenarios'!$C$6/(1+ProductivityDefault*('5. Scenarios'!$C$11-1))+INDEX(BookOneOff,938)*$I943)</f>
        <v/>
      </c>
      <c r="N943" s="56" t="str">
        <f aca="false">IF(INDEX(BookTitle,938)="","",INDEX(BookTotal,938)*'5. Scenarios'!$D$6/(1+ProductivityDefault*('5. Scenarios'!$D$11-1)))</f>
        <v/>
      </c>
      <c r="O943" s="57" t="str">
        <f aca="false">IF($N943="","",INDEX(BookRate,938)*(1+'5. Scenarios'!$D$10)*$N943)</f>
        <v/>
      </c>
      <c r="P943" s="57" t="str">
        <f aca="false">IF($O943="","",SUMIFS($O$6:$O$2405,$A$6:$A$2405,"&lt;="&amp;$A943))</f>
        <v/>
      </c>
      <c r="Q943" s="57" t="str">
        <f aca="false">IF($O943="","",IF($P943&lt;=BankCostEnvelope*'5. Scenarios'!$D$7,1,0))</f>
        <v/>
      </c>
      <c r="R943" s="57" t="str">
        <f aca="false">IF($N943="","",INDEX(BookRate,938)*(1+'5. Scenarios'!$D$10)*(INDEX(BookQ1,938)*(5-MIN(4,1+'5. Scenarios'!$D$8))/4+INDEX(BookQ2,938)*(5-MIN(4,2+'5. Scenarios'!$D$8))/4+INDEX(BookQ3,938)*(5-MIN(4,3+'5. Scenarios'!$D$8))/4+INDEX(BookQ4,938)*(5-MIN(4,4+'5. Scenarios'!$D$8))/4)*'5. Scenarios'!$D$6/(1+ProductivityDefault*('5. Scenarios'!$D$11-1))+INDEX(BookOneOff,938)*$N943)</f>
        <v/>
      </c>
      <c r="S943" s="56" t="str">
        <f aca="false">IF(INDEX(BookTitle,938)="","",INDEX(BookTotal,938)*'5. Scenarios'!$E$6/(1+ProductivityDefault*('5. Scenarios'!$E$11-1)))</f>
        <v/>
      </c>
      <c r="T943" s="57" t="str">
        <f aca="false">IF($S943="","",INDEX(BookRate,938)*(1+'5. Scenarios'!$E$10)*$S943)</f>
        <v/>
      </c>
      <c r="U943" s="57" t="str">
        <f aca="false">IF($T943="","",SUMIFS($T$6:$T$2405,$A$6:$A$2405,"&lt;="&amp;$A943))</f>
        <v/>
      </c>
      <c r="V943" s="57" t="str">
        <f aca="false">IF($T943="","",IF($U943&lt;=BankCostEnvelope*'5. Scenarios'!$E$7,1,0))</f>
        <v/>
      </c>
      <c r="W943" s="57" t="str">
        <f aca="false">IF($S943="","",INDEX(BookRate,938)*(1+'5. Scenarios'!$E$10)*(INDEX(BookQ1,938)*(5-MIN(4,1+'5. Scenarios'!$E$8))/4+INDEX(BookQ2,938)*(5-MIN(4,2+'5. Scenarios'!$E$8))/4+INDEX(BookQ3,938)*(5-MIN(4,3+'5. Scenarios'!$E$8))/4+INDEX(BookQ4,938)*(5-MIN(4,4+'5. Scenarios'!$E$8))/4)*'5. Scenarios'!$E$6/(1+ProductivityDefault*('5. Scenarios'!$E$11-1))+INDEX(BookOneOff,938)*$S943)</f>
        <v/>
      </c>
    </row>
    <row r="944" customFormat="false" ht="15" hidden="false" customHeight="false" outlineLevel="0" collapsed="false">
      <c r="A944" s="0" t="str">
        <f aca="false">IF(INDEX(BookTitle,939)="","",INDEX(BookKey,939))</f>
        <v/>
      </c>
      <c r="B944" s="0" t="str">
        <f aca="false">IF(INDEX(BookTitle,939)="","",INDEX(BookGroup,939))</f>
        <v/>
      </c>
      <c r="C944" s="0" t="str">
        <f aca="false">IF(INDEX(BookTitle,939)="","",INDEX(BookCategory,939))</f>
        <v/>
      </c>
      <c r="D944" s="56" t="str">
        <f aca="false">IF(INDEX(BookTitle,939)="","",INDEX(BookTotal,939)*'5. Scenarios'!$B$6/(1+ProductivityDefault*('5. Scenarios'!$B$11-1)))</f>
        <v/>
      </c>
      <c r="E944" s="57" t="str">
        <f aca="false">IF($D944="","",INDEX(BookRate,939)*(1+'5. Scenarios'!$B$10)*$D944)</f>
        <v/>
      </c>
      <c r="F944" s="57" t="str">
        <f aca="false">IF($E944="","",SUMIFS($E$6:$E$2405,$A$6:$A$2405,"&lt;="&amp;$A944))</f>
        <v/>
      </c>
      <c r="G944" s="57" t="str">
        <f aca="false">IF($E944="","",IF($F944&lt;=BankCostEnvelope*'5. Scenarios'!$B$7,1,0))</f>
        <v/>
      </c>
      <c r="H944" s="57" t="str">
        <f aca="false">IF($D944="","",INDEX(BookRate,939)*(1+'5. Scenarios'!$B$10)*(INDEX(BookQ1,939)*(5-MIN(4,1+'5. Scenarios'!$B$8))/4+INDEX(BookQ2,939)*(5-MIN(4,2+'5. Scenarios'!$B$8))/4+INDEX(BookQ3,939)*(5-MIN(4,3+'5. Scenarios'!$B$8))/4+INDEX(BookQ4,939)*(5-MIN(4,4+'5. Scenarios'!$B$8))/4)*'5. Scenarios'!$B$6/(1+ProductivityDefault*('5. Scenarios'!$B$11-1))+INDEX(BookOneOff,939)*$D944)</f>
        <v/>
      </c>
      <c r="I944" s="56" t="str">
        <f aca="false">IF(INDEX(BookTitle,939)="","",INDEX(BookTotal,939)*'5. Scenarios'!$C$6/(1+ProductivityDefault*('5. Scenarios'!$C$11-1)))</f>
        <v/>
      </c>
      <c r="J944" s="57" t="str">
        <f aca="false">IF($I944="","",INDEX(BookRate,939)*(1+'5. Scenarios'!$C$10)*$I944)</f>
        <v/>
      </c>
      <c r="K944" s="57" t="str">
        <f aca="false">IF($J944="","",SUMIFS($J$6:$J$2405,$A$6:$A$2405,"&lt;="&amp;$A944))</f>
        <v/>
      </c>
      <c r="L944" s="57" t="str">
        <f aca="false">IF($J944="","",IF($K944&lt;=BankCostEnvelope*'5. Scenarios'!$C$7,1,0))</f>
        <v/>
      </c>
      <c r="M944" s="57" t="str">
        <f aca="false">IF($I944="","",INDEX(BookRate,939)*(1+'5. Scenarios'!$C$10)*(INDEX(BookQ1,939)*(5-MIN(4,1+'5. Scenarios'!$C$8))/4+INDEX(BookQ2,939)*(5-MIN(4,2+'5. Scenarios'!$C$8))/4+INDEX(BookQ3,939)*(5-MIN(4,3+'5. Scenarios'!$C$8))/4+INDEX(BookQ4,939)*(5-MIN(4,4+'5. Scenarios'!$C$8))/4)*'5. Scenarios'!$C$6/(1+ProductivityDefault*('5. Scenarios'!$C$11-1))+INDEX(BookOneOff,939)*$I944)</f>
        <v/>
      </c>
      <c r="N944" s="56" t="str">
        <f aca="false">IF(INDEX(BookTitle,939)="","",INDEX(BookTotal,939)*'5. Scenarios'!$D$6/(1+ProductivityDefault*('5. Scenarios'!$D$11-1)))</f>
        <v/>
      </c>
      <c r="O944" s="57" t="str">
        <f aca="false">IF($N944="","",INDEX(BookRate,939)*(1+'5. Scenarios'!$D$10)*$N944)</f>
        <v/>
      </c>
      <c r="P944" s="57" t="str">
        <f aca="false">IF($O944="","",SUMIFS($O$6:$O$2405,$A$6:$A$2405,"&lt;="&amp;$A944))</f>
        <v/>
      </c>
      <c r="Q944" s="57" t="str">
        <f aca="false">IF($O944="","",IF($P944&lt;=BankCostEnvelope*'5. Scenarios'!$D$7,1,0))</f>
        <v/>
      </c>
      <c r="R944" s="57" t="str">
        <f aca="false">IF($N944="","",INDEX(BookRate,939)*(1+'5. Scenarios'!$D$10)*(INDEX(BookQ1,939)*(5-MIN(4,1+'5. Scenarios'!$D$8))/4+INDEX(BookQ2,939)*(5-MIN(4,2+'5. Scenarios'!$D$8))/4+INDEX(BookQ3,939)*(5-MIN(4,3+'5. Scenarios'!$D$8))/4+INDEX(BookQ4,939)*(5-MIN(4,4+'5. Scenarios'!$D$8))/4)*'5. Scenarios'!$D$6/(1+ProductivityDefault*('5. Scenarios'!$D$11-1))+INDEX(BookOneOff,939)*$N944)</f>
        <v/>
      </c>
      <c r="S944" s="56" t="str">
        <f aca="false">IF(INDEX(BookTitle,939)="","",INDEX(BookTotal,939)*'5. Scenarios'!$E$6/(1+ProductivityDefault*('5. Scenarios'!$E$11-1)))</f>
        <v/>
      </c>
      <c r="T944" s="57" t="str">
        <f aca="false">IF($S944="","",INDEX(BookRate,939)*(1+'5. Scenarios'!$E$10)*$S944)</f>
        <v/>
      </c>
      <c r="U944" s="57" t="str">
        <f aca="false">IF($T944="","",SUMIFS($T$6:$T$2405,$A$6:$A$2405,"&lt;="&amp;$A944))</f>
        <v/>
      </c>
      <c r="V944" s="57" t="str">
        <f aca="false">IF($T944="","",IF($U944&lt;=BankCostEnvelope*'5. Scenarios'!$E$7,1,0))</f>
        <v/>
      </c>
      <c r="W944" s="57" t="str">
        <f aca="false">IF($S944="","",INDEX(BookRate,939)*(1+'5. Scenarios'!$E$10)*(INDEX(BookQ1,939)*(5-MIN(4,1+'5. Scenarios'!$E$8))/4+INDEX(BookQ2,939)*(5-MIN(4,2+'5. Scenarios'!$E$8))/4+INDEX(BookQ3,939)*(5-MIN(4,3+'5. Scenarios'!$E$8))/4+INDEX(BookQ4,939)*(5-MIN(4,4+'5. Scenarios'!$E$8))/4)*'5. Scenarios'!$E$6/(1+ProductivityDefault*('5. Scenarios'!$E$11-1))+INDEX(BookOneOff,939)*$S944)</f>
        <v/>
      </c>
    </row>
    <row r="945" customFormat="false" ht="15" hidden="false" customHeight="false" outlineLevel="0" collapsed="false">
      <c r="A945" s="0" t="str">
        <f aca="false">IF(INDEX(BookTitle,940)="","",INDEX(BookKey,940))</f>
        <v/>
      </c>
      <c r="B945" s="0" t="str">
        <f aca="false">IF(INDEX(BookTitle,940)="","",INDEX(BookGroup,940))</f>
        <v/>
      </c>
      <c r="C945" s="0" t="str">
        <f aca="false">IF(INDEX(BookTitle,940)="","",INDEX(BookCategory,940))</f>
        <v/>
      </c>
      <c r="D945" s="56" t="str">
        <f aca="false">IF(INDEX(BookTitle,940)="","",INDEX(BookTotal,940)*'5. Scenarios'!$B$6/(1+ProductivityDefault*('5. Scenarios'!$B$11-1)))</f>
        <v/>
      </c>
      <c r="E945" s="57" t="str">
        <f aca="false">IF($D945="","",INDEX(BookRate,940)*(1+'5. Scenarios'!$B$10)*$D945)</f>
        <v/>
      </c>
      <c r="F945" s="57" t="str">
        <f aca="false">IF($E945="","",SUMIFS($E$6:$E$2405,$A$6:$A$2405,"&lt;="&amp;$A945))</f>
        <v/>
      </c>
      <c r="G945" s="57" t="str">
        <f aca="false">IF($E945="","",IF($F945&lt;=BankCostEnvelope*'5. Scenarios'!$B$7,1,0))</f>
        <v/>
      </c>
      <c r="H945" s="57" t="str">
        <f aca="false">IF($D945="","",INDEX(BookRate,940)*(1+'5. Scenarios'!$B$10)*(INDEX(BookQ1,940)*(5-MIN(4,1+'5. Scenarios'!$B$8))/4+INDEX(BookQ2,940)*(5-MIN(4,2+'5. Scenarios'!$B$8))/4+INDEX(BookQ3,940)*(5-MIN(4,3+'5. Scenarios'!$B$8))/4+INDEX(BookQ4,940)*(5-MIN(4,4+'5. Scenarios'!$B$8))/4)*'5. Scenarios'!$B$6/(1+ProductivityDefault*('5. Scenarios'!$B$11-1))+INDEX(BookOneOff,940)*$D945)</f>
        <v/>
      </c>
      <c r="I945" s="56" t="str">
        <f aca="false">IF(INDEX(BookTitle,940)="","",INDEX(BookTotal,940)*'5. Scenarios'!$C$6/(1+ProductivityDefault*('5. Scenarios'!$C$11-1)))</f>
        <v/>
      </c>
      <c r="J945" s="57" t="str">
        <f aca="false">IF($I945="","",INDEX(BookRate,940)*(1+'5. Scenarios'!$C$10)*$I945)</f>
        <v/>
      </c>
      <c r="K945" s="57" t="str">
        <f aca="false">IF($J945="","",SUMIFS($J$6:$J$2405,$A$6:$A$2405,"&lt;="&amp;$A945))</f>
        <v/>
      </c>
      <c r="L945" s="57" t="str">
        <f aca="false">IF($J945="","",IF($K945&lt;=BankCostEnvelope*'5. Scenarios'!$C$7,1,0))</f>
        <v/>
      </c>
      <c r="M945" s="57" t="str">
        <f aca="false">IF($I945="","",INDEX(BookRate,940)*(1+'5. Scenarios'!$C$10)*(INDEX(BookQ1,940)*(5-MIN(4,1+'5. Scenarios'!$C$8))/4+INDEX(BookQ2,940)*(5-MIN(4,2+'5. Scenarios'!$C$8))/4+INDEX(BookQ3,940)*(5-MIN(4,3+'5. Scenarios'!$C$8))/4+INDEX(BookQ4,940)*(5-MIN(4,4+'5. Scenarios'!$C$8))/4)*'5. Scenarios'!$C$6/(1+ProductivityDefault*('5. Scenarios'!$C$11-1))+INDEX(BookOneOff,940)*$I945)</f>
        <v/>
      </c>
      <c r="N945" s="56" t="str">
        <f aca="false">IF(INDEX(BookTitle,940)="","",INDEX(BookTotal,940)*'5. Scenarios'!$D$6/(1+ProductivityDefault*('5. Scenarios'!$D$11-1)))</f>
        <v/>
      </c>
      <c r="O945" s="57" t="str">
        <f aca="false">IF($N945="","",INDEX(BookRate,940)*(1+'5. Scenarios'!$D$10)*$N945)</f>
        <v/>
      </c>
      <c r="P945" s="57" t="str">
        <f aca="false">IF($O945="","",SUMIFS($O$6:$O$2405,$A$6:$A$2405,"&lt;="&amp;$A945))</f>
        <v/>
      </c>
      <c r="Q945" s="57" t="str">
        <f aca="false">IF($O945="","",IF($P945&lt;=BankCostEnvelope*'5. Scenarios'!$D$7,1,0))</f>
        <v/>
      </c>
      <c r="R945" s="57" t="str">
        <f aca="false">IF($N945="","",INDEX(BookRate,940)*(1+'5. Scenarios'!$D$10)*(INDEX(BookQ1,940)*(5-MIN(4,1+'5. Scenarios'!$D$8))/4+INDEX(BookQ2,940)*(5-MIN(4,2+'5. Scenarios'!$D$8))/4+INDEX(BookQ3,940)*(5-MIN(4,3+'5. Scenarios'!$D$8))/4+INDEX(BookQ4,940)*(5-MIN(4,4+'5. Scenarios'!$D$8))/4)*'5. Scenarios'!$D$6/(1+ProductivityDefault*('5. Scenarios'!$D$11-1))+INDEX(BookOneOff,940)*$N945)</f>
        <v/>
      </c>
      <c r="S945" s="56" t="str">
        <f aca="false">IF(INDEX(BookTitle,940)="","",INDEX(BookTotal,940)*'5. Scenarios'!$E$6/(1+ProductivityDefault*('5. Scenarios'!$E$11-1)))</f>
        <v/>
      </c>
      <c r="T945" s="57" t="str">
        <f aca="false">IF($S945="","",INDEX(BookRate,940)*(1+'5. Scenarios'!$E$10)*$S945)</f>
        <v/>
      </c>
      <c r="U945" s="57" t="str">
        <f aca="false">IF($T945="","",SUMIFS($T$6:$T$2405,$A$6:$A$2405,"&lt;="&amp;$A945))</f>
        <v/>
      </c>
      <c r="V945" s="57" t="str">
        <f aca="false">IF($T945="","",IF($U945&lt;=BankCostEnvelope*'5. Scenarios'!$E$7,1,0))</f>
        <v/>
      </c>
      <c r="W945" s="57" t="str">
        <f aca="false">IF($S945="","",INDEX(BookRate,940)*(1+'5. Scenarios'!$E$10)*(INDEX(BookQ1,940)*(5-MIN(4,1+'5. Scenarios'!$E$8))/4+INDEX(BookQ2,940)*(5-MIN(4,2+'5. Scenarios'!$E$8))/4+INDEX(BookQ3,940)*(5-MIN(4,3+'5. Scenarios'!$E$8))/4+INDEX(BookQ4,940)*(5-MIN(4,4+'5. Scenarios'!$E$8))/4)*'5. Scenarios'!$E$6/(1+ProductivityDefault*('5. Scenarios'!$E$11-1))+INDEX(BookOneOff,940)*$S945)</f>
        <v/>
      </c>
    </row>
    <row r="946" customFormat="false" ht="15" hidden="false" customHeight="false" outlineLevel="0" collapsed="false">
      <c r="A946" s="0" t="str">
        <f aca="false">IF(INDEX(BookTitle,941)="","",INDEX(BookKey,941))</f>
        <v/>
      </c>
      <c r="B946" s="0" t="str">
        <f aca="false">IF(INDEX(BookTitle,941)="","",INDEX(BookGroup,941))</f>
        <v/>
      </c>
      <c r="C946" s="0" t="str">
        <f aca="false">IF(INDEX(BookTitle,941)="","",INDEX(BookCategory,941))</f>
        <v/>
      </c>
      <c r="D946" s="56" t="str">
        <f aca="false">IF(INDEX(BookTitle,941)="","",INDEX(BookTotal,941)*'5. Scenarios'!$B$6/(1+ProductivityDefault*('5. Scenarios'!$B$11-1)))</f>
        <v/>
      </c>
      <c r="E946" s="57" t="str">
        <f aca="false">IF($D946="","",INDEX(BookRate,941)*(1+'5. Scenarios'!$B$10)*$D946)</f>
        <v/>
      </c>
      <c r="F946" s="57" t="str">
        <f aca="false">IF($E946="","",SUMIFS($E$6:$E$2405,$A$6:$A$2405,"&lt;="&amp;$A946))</f>
        <v/>
      </c>
      <c r="G946" s="57" t="str">
        <f aca="false">IF($E946="","",IF($F946&lt;=BankCostEnvelope*'5. Scenarios'!$B$7,1,0))</f>
        <v/>
      </c>
      <c r="H946" s="57" t="str">
        <f aca="false">IF($D946="","",INDEX(BookRate,941)*(1+'5. Scenarios'!$B$10)*(INDEX(BookQ1,941)*(5-MIN(4,1+'5. Scenarios'!$B$8))/4+INDEX(BookQ2,941)*(5-MIN(4,2+'5. Scenarios'!$B$8))/4+INDEX(BookQ3,941)*(5-MIN(4,3+'5. Scenarios'!$B$8))/4+INDEX(BookQ4,941)*(5-MIN(4,4+'5. Scenarios'!$B$8))/4)*'5. Scenarios'!$B$6/(1+ProductivityDefault*('5. Scenarios'!$B$11-1))+INDEX(BookOneOff,941)*$D946)</f>
        <v/>
      </c>
      <c r="I946" s="56" t="str">
        <f aca="false">IF(INDEX(BookTitle,941)="","",INDEX(BookTotal,941)*'5. Scenarios'!$C$6/(1+ProductivityDefault*('5. Scenarios'!$C$11-1)))</f>
        <v/>
      </c>
      <c r="J946" s="57" t="str">
        <f aca="false">IF($I946="","",INDEX(BookRate,941)*(1+'5. Scenarios'!$C$10)*$I946)</f>
        <v/>
      </c>
      <c r="K946" s="57" t="str">
        <f aca="false">IF($J946="","",SUMIFS($J$6:$J$2405,$A$6:$A$2405,"&lt;="&amp;$A946))</f>
        <v/>
      </c>
      <c r="L946" s="57" t="str">
        <f aca="false">IF($J946="","",IF($K946&lt;=BankCostEnvelope*'5. Scenarios'!$C$7,1,0))</f>
        <v/>
      </c>
      <c r="M946" s="57" t="str">
        <f aca="false">IF($I946="","",INDEX(BookRate,941)*(1+'5. Scenarios'!$C$10)*(INDEX(BookQ1,941)*(5-MIN(4,1+'5. Scenarios'!$C$8))/4+INDEX(BookQ2,941)*(5-MIN(4,2+'5. Scenarios'!$C$8))/4+INDEX(BookQ3,941)*(5-MIN(4,3+'5. Scenarios'!$C$8))/4+INDEX(BookQ4,941)*(5-MIN(4,4+'5. Scenarios'!$C$8))/4)*'5. Scenarios'!$C$6/(1+ProductivityDefault*('5. Scenarios'!$C$11-1))+INDEX(BookOneOff,941)*$I946)</f>
        <v/>
      </c>
      <c r="N946" s="56" t="str">
        <f aca="false">IF(INDEX(BookTitle,941)="","",INDEX(BookTotal,941)*'5. Scenarios'!$D$6/(1+ProductivityDefault*('5. Scenarios'!$D$11-1)))</f>
        <v/>
      </c>
      <c r="O946" s="57" t="str">
        <f aca="false">IF($N946="","",INDEX(BookRate,941)*(1+'5. Scenarios'!$D$10)*$N946)</f>
        <v/>
      </c>
      <c r="P946" s="57" t="str">
        <f aca="false">IF($O946="","",SUMIFS($O$6:$O$2405,$A$6:$A$2405,"&lt;="&amp;$A946))</f>
        <v/>
      </c>
      <c r="Q946" s="57" t="str">
        <f aca="false">IF($O946="","",IF($P946&lt;=BankCostEnvelope*'5. Scenarios'!$D$7,1,0))</f>
        <v/>
      </c>
      <c r="R946" s="57" t="str">
        <f aca="false">IF($N946="","",INDEX(BookRate,941)*(1+'5. Scenarios'!$D$10)*(INDEX(BookQ1,941)*(5-MIN(4,1+'5. Scenarios'!$D$8))/4+INDEX(BookQ2,941)*(5-MIN(4,2+'5. Scenarios'!$D$8))/4+INDEX(BookQ3,941)*(5-MIN(4,3+'5. Scenarios'!$D$8))/4+INDEX(BookQ4,941)*(5-MIN(4,4+'5. Scenarios'!$D$8))/4)*'5. Scenarios'!$D$6/(1+ProductivityDefault*('5. Scenarios'!$D$11-1))+INDEX(BookOneOff,941)*$N946)</f>
        <v/>
      </c>
      <c r="S946" s="56" t="str">
        <f aca="false">IF(INDEX(BookTitle,941)="","",INDEX(BookTotal,941)*'5. Scenarios'!$E$6/(1+ProductivityDefault*('5. Scenarios'!$E$11-1)))</f>
        <v/>
      </c>
      <c r="T946" s="57" t="str">
        <f aca="false">IF($S946="","",INDEX(BookRate,941)*(1+'5. Scenarios'!$E$10)*$S946)</f>
        <v/>
      </c>
      <c r="U946" s="57" t="str">
        <f aca="false">IF($T946="","",SUMIFS($T$6:$T$2405,$A$6:$A$2405,"&lt;="&amp;$A946))</f>
        <v/>
      </c>
      <c r="V946" s="57" t="str">
        <f aca="false">IF($T946="","",IF($U946&lt;=BankCostEnvelope*'5. Scenarios'!$E$7,1,0))</f>
        <v/>
      </c>
      <c r="W946" s="57" t="str">
        <f aca="false">IF($S946="","",INDEX(BookRate,941)*(1+'5. Scenarios'!$E$10)*(INDEX(BookQ1,941)*(5-MIN(4,1+'5. Scenarios'!$E$8))/4+INDEX(BookQ2,941)*(5-MIN(4,2+'5. Scenarios'!$E$8))/4+INDEX(BookQ3,941)*(5-MIN(4,3+'5. Scenarios'!$E$8))/4+INDEX(BookQ4,941)*(5-MIN(4,4+'5. Scenarios'!$E$8))/4)*'5. Scenarios'!$E$6/(1+ProductivityDefault*('5. Scenarios'!$E$11-1))+INDEX(BookOneOff,941)*$S946)</f>
        <v/>
      </c>
    </row>
    <row r="947" customFormat="false" ht="15" hidden="false" customHeight="false" outlineLevel="0" collapsed="false">
      <c r="A947" s="0" t="str">
        <f aca="false">IF(INDEX(BookTitle,942)="","",INDEX(BookKey,942))</f>
        <v/>
      </c>
      <c r="B947" s="0" t="str">
        <f aca="false">IF(INDEX(BookTitle,942)="","",INDEX(BookGroup,942))</f>
        <v/>
      </c>
      <c r="C947" s="0" t="str">
        <f aca="false">IF(INDEX(BookTitle,942)="","",INDEX(BookCategory,942))</f>
        <v/>
      </c>
      <c r="D947" s="56" t="str">
        <f aca="false">IF(INDEX(BookTitle,942)="","",INDEX(BookTotal,942)*'5. Scenarios'!$B$6/(1+ProductivityDefault*('5. Scenarios'!$B$11-1)))</f>
        <v/>
      </c>
      <c r="E947" s="57" t="str">
        <f aca="false">IF($D947="","",INDEX(BookRate,942)*(1+'5. Scenarios'!$B$10)*$D947)</f>
        <v/>
      </c>
      <c r="F947" s="57" t="str">
        <f aca="false">IF($E947="","",SUMIFS($E$6:$E$2405,$A$6:$A$2405,"&lt;="&amp;$A947))</f>
        <v/>
      </c>
      <c r="G947" s="57" t="str">
        <f aca="false">IF($E947="","",IF($F947&lt;=BankCostEnvelope*'5. Scenarios'!$B$7,1,0))</f>
        <v/>
      </c>
      <c r="H947" s="57" t="str">
        <f aca="false">IF($D947="","",INDEX(BookRate,942)*(1+'5. Scenarios'!$B$10)*(INDEX(BookQ1,942)*(5-MIN(4,1+'5. Scenarios'!$B$8))/4+INDEX(BookQ2,942)*(5-MIN(4,2+'5. Scenarios'!$B$8))/4+INDEX(BookQ3,942)*(5-MIN(4,3+'5. Scenarios'!$B$8))/4+INDEX(BookQ4,942)*(5-MIN(4,4+'5. Scenarios'!$B$8))/4)*'5. Scenarios'!$B$6/(1+ProductivityDefault*('5. Scenarios'!$B$11-1))+INDEX(BookOneOff,942)*$D947)</f>
        <v/>
      </c>
      <c r="I947" s="56" t="str">
        <f aca="false">IF(INDEX(BookTitle,942)="","",INDEX(BookTotal,942)*'5. Scenarios'!$C$6/(1+ProductivityDefault*('5. Scenarios'!$C$11-1)))</f>
        <v/>
      </c>
      <c r="J947" s="57" t="str">
        <f aca="false">IF($I947="","",INDEX(BookRate,942)*(1+'5. Scenarios'!$C$10)*$I947)</f>
        <v/>
      </c>
      <c r="K947" s="57" t="str">
        <f aca="false">IF($J947="","",SUMIFS($J$6:$J$2405,$A$6:$A$2405,"&lt;="&amp;$A947))</f>
        <v/>
      </c>
      <c r="L947" s="57" t="str">
        <f aca="false">IF($J947="","",IF($K947&lt;=BankCostEnvelope*'5. Scenarios'!$C$7,1,0))</f>
        <v/>
      </c>
      <c r="M947" s="57" t="str">
        <f aca="false">IF($I947="","",INDEX(BookRate,942)*(1+'5. Scenarios'!$C$10)*(INDEX(BookQ1,942)*(5-MIN(4,1+'5. Scenarios'!$C$8))/4+INDEX(BookQ2,942)*(5-MIN(4,2+'5. Scenarios'!$C$8))/4+INDEX(BookQ3,942)*(5-MIN(4,3+'5. Scenarios'!$C$8))/4+INDEX(BookQ4,942)*(5-MIN(4,4+'5. Scenarios'!$C$8))/4)*'5. Scenarios'!$C$6/(1+ProductivityDefault*('5. Scenarios'!$C$11-1))+INDEX(BookOneOff,942)*$I947)</f>
        <v/>
      </c>
      <c r="N947" s="56" t="str">
        <f aca="false">IF(INDEX(BookTitle,942)="","",INDEX(BookTotal,942)*'5. Scenarios'!$D$6/(1+ProductivityDefault*('5. Scenarios'!$D$11-1)))</f>
        <v/>
      </c>
      <c r="O947" s="57" t="str">
        <f aca="false">IF($N947="","",INDEX(BookRate,942)*(1+'5. Scenarios'!$D$10)*$N947)</f>
        <v/>
      </c>
      <c r="P947" s="57" t="str">
        <f aca="false">IF($O947="","",SUMIFS($O$6:$O$2405,$A$6:$A$2405,"&lt;="&amp;$A947))</f>
        <v/>
      </c>
      <c r="Q947" s="57" t="str">
        <f aca="false">IF($O947="","",IF($P947&lt;=BankCostEnvelope*'5. Scenarios'!$D$7,1,0))</f>
        <v/>
      </c>
      <c r="R947" s="57" t="str">
        <f aca="false">IF($N947="","",INDEX(BookRate,942)*(1+'5. Scenarios'!$D$10)*(INDEX(BookQ1,942)*(5-MIN(4,1+'5. Scenarios'!$D$8))/4+INDEX(BookQ2,942)*(5-MIN(4,2+'5. Scenarios'!$D$8))/4+INDEX(BookQ3,942)*(5-MIN(4,3+'5. Scenarios'!$D$8))/4+INDEX(BookQ4,942)*(5-MIN(4,4+'5. Scenarios'!$D$8))/4)*'5. Scenarios'!$D$6/(1+ProductivityDefault*('5. Scenarios'!$D$11-1))+INDEX(BookOneOff,942)*$N947)</f>
        <v/>
      </c>
      <c r="S947" s="56" t="str">
        <f aca="false">IF(INDEX(BookTitle,942)="","",INDEX(BookTotal,942)*'5. Scenarios'!$E$6/(1+ProductivityDefault*('5. Scenarios'!$E$11-1)))</f>
        <v/>
      </c>
      <c r="T947" s="57" t="str">
        <f aca="false">IF($S947="","",INDEX(BookRate,942)*(1+'5. Scenarios'!$E$10)*$S947)</f>
        <v/>
      </c>
      <c r="U947" s="57" t="str">
        <f aca="false">IF($T947="","",SUMIFS($T$6:$T$2405,$A$6:$A$2405,"&lt;="&amp;$A947))</f>
        <v/>
      </c>
      <c r="V947" s="57" t="str">
        <f aca="false">IF($T947="","",IF($U947&lt;=BankCostEnvelope*'5. Scenarios'!$E$7,1,0))</f>
        <v/>
      </c>
      <c r="W947" s="57" t="str">
        <f aca="false">IF($S947="","",INDEX(BookRate,942)*(1+'5. Scenarios'!$E$10)*(INDEX(BookQ1,942)*(5-MIN(4,1+'5. Scenarios'!$E$8))/4+INDEX(BookQ2,942)*(5-MIN(4,2+'5. Scenarios'!$E$8))/4+INDEX(BookQ3,942)*(5-MIN(4,3+'5. Scenarios'!$E$8))/4+INDEX(BookQ4,942)*(5-MIN(4,4+'5. Scenarios'!$E$8))/4)*'5. Scenarios'!$E$6/(1+ProductivityDefault*('5. Scenarios'!$E$11-1))+INDEX(BookOneOff,942)*$S947)</f>
        <v/>
      </c>
    </row>
    <row r="948" customFormat="false" ht="15" hidden="false" customHeight="false" outlineLevel="0" collapsed="false">
      <c r="A948" s="0" t="str">
        <f aca="false">IF(INDEX(BookTitle,943)="","",INDEX(BookKey,943))</f>
        <v/>
      </c>
      <c r="B948" s="0" t="str">
        <f aca="false">IF(INDEX(BookTitle,943)="","",INDEX(BookGroup,943))</f>
        <v/>
      </c>
      <c r="C948" s="0" t="str">
        <f aca="false">IF(INDEX(BookTitle,943)="","",INDEX(BookCategory,943))</f>
        <v/>
      </c>
      <c r="D948" s="56" t="str">
        <f aca="false">IF(INDEX(BookTitle,943)="","",INDEX(BookTotal,943)*'5. Scenarios'!$B$6/(1+ProductivityDefault*('5. Scenarios'!$B$11-1)))</f>
        <v/>
      </c>
      <c r="E948" s="57" t="str">
        <f aca="false">IF($D948="","",INDEX(BookRate,943)*(1+'5. Scenarios'!$B$10)*$D948)</f>
        <v/>
      </c>
      <c r="F948" s="57" t="str">
        <f aca="false">IF($E948="","",SUMIFS($E$6:$E$2405,$A$6:$A$2405,"&lt;="&amp;$A948))</f>
        <v/>
      </c>
      <c r="G948" s="57" t="str">
        <f aca="false">IF($E948="","",IF($F948&lt;=BankCostEnvelope*'5. Scenarios'!$B$7,1,0))</f>
        <v/>
      </c>
      <c r="H948" s="57" t="str">
        <f aca="false">IF($D948="","",INDEX(BookRate,943)*(1+'5. Scenarios'!$B$10)*(INDEX(BookQ1,943)*(5-MIN(4,1+'5. Scenarios'!$B$8))/4+INDEX(BookQ2,943)*(5-MIN(4,2+'5. Scenarios'!$B$8))/4+INDEX(BookQ3,943)*(5-MIN(4,3+'5. Scenarios'!$B$8))/4+INDEX(BookQ4,943)*(5-MIN(4,4+'5. Scenarios'!$B$8))/4)*'5. Scenarios'!$B$6/(1+ProductivityDefault*('5. Scenarios'!$B$11-1))+INDEX(BookOneOff,943)*$D948)</f>
        <v/>
      </c>
      <c r="I948" s="56" t="str">
        <f aca="false">IF(INDEX(BookTitle,943)="","",INDEX(BookTotal,943)*'5. Scenarios'!$C$6/(1+ProductivityDefault*('5. Scenarios'!$C$11-1)))</f>
        <v/>
      </c>
      <c r="J948" s="57" t="str">
        <f aca="false">IF($I948="","",INDEX(BookRate,943)*(1+'5. Scenarios'!$C$10)*$I948)</f>
        <v/>
      </c>
      <c r="K948" s="57" t="str">
        <f aca="false">IF($J948="","",SUMIFS($J$6:$J$2405,$A$6:$A$2405,"&lt;="&amp;$A948))</f>
        <v/>
      </c>
      <c r="L948" s="57" t="str">
        <f aca="false">IF($J948="","",IF($K948&lt;=BankCostEnvelope*'5. Scenarios'!$C$7,1,0))</f>
        <v/>
      </c>
      <c r="M948" s="57" t="str">
        <f aca="false">IF($I948="","",INDEX(BookRate,943)*(1+'5. Scenarios'!$C$10)*(INDEX(BookQ1,943)*(5-MIN(4,1+'5. Scenarios'!$C$8))/4+INDEX(BookQ2,943)*(5-MIN(4,2+'5. Scenarios'!$C$8))/4+INDEX(BookQ3,943)*(5-MIN(4,3+'5. Scenarios'!$C$8))/4+INDEX(BookQ4,943)*(5-MIN(4,4+'5. Scenarios'!$C$8))/4)*'5. Scenarios'!$C$6/(1+ProductivityDefault*('5. Scenarios'!$C$11-1))+INDEX(BookOneOff,943)*$I948)</f>
        <v/>
      </c>
      <c r="N948" s="56" t="str">
        <f aca="false">IF(INDEX(BookTitle,943)="","",INDEX(BookTotal,943)*'5. Scenarios'!$D$6/(1+ProductivityDefault*('5. Scenarios'!$D$11-1)))</f>
        <v/>
      </c>
      <c r="O948" s="57" t="str">
        <f aca="false">IF($N948="","",INDEX(BookRate,943)*(1+'5. Scenarios'!$D$10)*$N948)</f>
        <v/>
      </c>
      <c r="P948" s="57" t="str">
        <f aca="false">IF($O948="","",SUMIFS($O$6:$O$2405,$A$6:$A$2405,"&lt;="&amp;$A948))</f>
        <v/>
      </c>
      <c r="Q948" s="57" t="str">
        <f aca="false">IF($O948="","",IF($P948&lt;=BankCostEnvelope*'5. Scenarios'!$D$7,1,0))</f>
        <v/>
      </c>
      <c r="R948" s="57" t="str">
        <f aca="false">IF($N948="","",INDEX(BookRate,943)*(1+'5. Scenarios'!$D$10)*(INDEX(BookQ1,943)*(5-MIN(4,1+'5. Scenarios'!$D$8))/4+INDEX(BookQ2,943)*(5-MIN(4,2+'5. Scenarios'!$D$8))/4+INDEX(BookQ3,943)*(5-MIN(4,3+'5. Scenarios'!$D$8))/4+INDEX(BookQ4,943)*(5-MIN(4,4+'5. Scenarios'!$D$8))/4)*'5. Scenarios'!$D$6/(1+ProductivityDefault*('5. Scenarios'!$D$11-1))+INDEX(BookOneOff,943)*$N948)</f>
        <v/>
      </c>
      <c r="S948" s="56" t="str">
        <f aca="false">IF(INDEX(BookTitle,943)="","",INDEX(BookTotal,943)*'5. Scenarios'!$E$6/(1+ProductivityDefault*('5. Scenarios'!$E$11-1)))</f>
        <v/>
      </c>
      <c r="T948" s="57" t="str">
        <f aca="false">IF($S948="","",INDEX(BookRate,943)*(1+'5. Scenarios'!$E$10)*$S948)</f>
        <v/>
      </c>
      <c r="U948" s="57" t="str">
        <f aca="false">IF($T948="","",SUMIFS($T$6:$T$2405,$A$6:$A$2405,"&lt;="&amp;$A948))</f>
        <v/>
      </c>
      <c r="V948" s="57" t="str">
        <f aca="false">IF($T948="","",IF($U948&lt;=BankCostEnvelope*'5. Scenarios'!$E$7,1,0))</f>
        <v/>
      </c>
      <c r="W948" s="57" t="str">
        <f aca="false">IF($S948="","",INDEX(BookRate,943)*(1+'5. Scenarios'!$E$10)*(INDEX(BookQ1,943)*(5-MIN(4,1+'5. Scenarios'!$E$8))/4+INDEX(BookQ2,943)*(5-MIN(4,2+'5. Scenarios'!$E$8))/4+INDEX(BookQ3,943)*(5-MIN(4,3+'5. Scenarios'!$E$8))/4+INDEX(BookQ4,943)*(5-MIN(4,4+'5. Scenarios'!$E$8))/4)*'5. Scenarios'!$E$6/(1+ProductivityDefault*('5. Scenarios'!$E$11-1))+INDEX(BookOneOff,943)*$S948)</f>
        <v/>
      </c>
    </row>
    <row r="949" customFormat="false" ht="15" hidden="false" customHeight="false" outlineLevel="0" collapsed="false">
      <c r="A949" s="0" t="str">
        <f aca="false">IF(INDEX(BookTitle,944)="","",INDEX(BookKey,944))</f>
        <v/>
      </c>
      <c r="B949" s="0" t="str">
        <f aca="false">IF(INDEX(BookTitle,944)="","",INDEX(BookGroup,944))</f>
        <v/>
      </c>
      <c r="C949" s="0" t="str">
        <f aca="false">IF(INDEX(BookTitle,944)="","",INDEX(BookCategory,944))</f>
        <v/>
      </c>
      <c r="D949" s="56" t="str">
        <f aca="false">IF(INDEX(BookTitle,944)="","",INDEX(BookTotal,944)*'5. Scenarios'!$B$6/(1+ProductivityDefault*('5. Scenarios'!$B$11-1)))</f>
        <v/>
      </c>
      <c r="E949" s="57" t="str">
        <f aca="false">IF($D949="","",INDEX(BookRate,944)*(1+'5. Scenarios'!$B$10)*$D949)</f>
        <v/>
      </c>
      <c r="F949" s="57" t="str">
        <f aca="false">IF($E949="","",SUMIFS($E$6:$E$2405,$A$6:$A$2405,"&lt;="&amp;$A949))</f>
        <v/>
      </c>
      <c r="G949" s="57" t="str">
        <f aca="false">IF($E949="","",IF($F949&lt;=BankCostEnvelope*'5. Scenarios'!$B$7,1,0))</f>
        <v/>
      </c>
      <c r="H949" s="57" t="str">
        <f aca="false">IF($D949="","",INDEX(BookRate,944)*(1+'5. Scenarios'!$B$10)*(INDEX(BookQ1,944)*(5-MIN(4,1+'5. Scenarios'!$B$8))/4+INDEX(BookQ2,944)*(5-MIN(4,2+'5. Scenarios'!$B$8))/4+INDEX(BookQ3,944)*(5-MIN(4,3+'5. Scenarios'!$B$8))/4+INDEX(BookQ4,944)*(5-MIN(4,4+'5. Scenarios'!$B$8))/4)*'5. Scenarios'!$B$6/(1+ProductivityDefault*('5. Scenarios'!$B$11-1))+INDEX(BookOneOff,944)*$D949)</f>
        <v/>
      </c>
      <c r="I949" s="56" t="str">
        <f aca="false">IF(INDEX(BookTitle,944)="","",INDEX(BookTotal,944)*'5. Scenarios'!$C$6/(1+ProductivityDefault*('5. Scenarios'!$C$11-1)))</f>
        <v/>
      </c>
      <c r="J949" s="57" t="str">
        <f aca="false">IF($I949="","",INDEX(BookRate,944)*(1+'5. Scenarios'!$C$10)*$I949)</f>
        <v/>
      </c>
      <c r="K949" s="57" t="str">
        <f aca="false">IF($J949="","",SUMIFS($J$6:$J$2405,$A$6:$A$2405,"&lt;="&amp;$A949))</f>
        <v/>
      </c>
      <c r="L949" s="57" t="str">
        <f aca="false">IF($J949="","",IF($K949&lt;=BankCostEnvelope*'5. Scenarios'!$C$7,1,0))</f>
        <v/>
      </c>
      <c r="M949" s="57" t="str">
        <f aca="false">IF($I949="","",INDEX(BookRate,944)*(1+'5. Scenarios'!$C$10)*(INDEX(BookQ1,944)*(5-MIN(4,1+'5. Scenarios'!$C$8))/4+INDEX(BookQ2,944)*(5-MIN(4,2+'5. Scenarios'!$C$8))/4+INDEX(BookQ3,944)*(5-MIN(4,3+'5. Scenarios'!$C$8))/4+INDEX(BookQ4,944)*(5-MIN(4,4+'5. Scenarios'!$C$8))/4)*'5. Scenarios'!$C$6/(1+ProductivityDefault*('5. Scenarios'!$C$11-1))+INDEX(BookOneOff,944)*$I949)</f>
        <v/>
      </c>
      <c r="N949" s="56" t="str">
        <f aca="false">IF(INDEX(BookTitle,944)="","",INDEX(BookTotal,944)*'5. Scenarios'!$D$6/(1+ProductivityDefault*('5. Scenarios'!$D$11-1)))</f>
        <v/>
      </c>
      <c r="O949" s="57" t="str">
        <f aca="false">IF($N949="","",INDEX(BookRate,944)*(1+'5. Scenarios'!$D$10)*$N949)</f>
        <v/>
      </c>
      <c r="P949" s="57" t="str">
        <f aca="false">IF($O949="","",SUMIFS($O$6:$O$2405,$A$6:$A$2405,"&lt;="&amp;$A949))</f>
        <v/>
      </c>
      <c r="Q949" s="57" t="str">
        <f aca="false">IF($O949="","",IF($P949&lt;=BankCostEnvelope*'5. Scenarios'!$D$7,1,0))</f>
        <v/>
      </c>
      <c r="R949" s="57" t="str">
        <f aca="false">IF($N949="","",INDEX(BookRate,944)*(1+'5. Scenarios'!$D$10)*(INDEX(BookQ1,944)*(5-MIN(4,1+'5. Scenarios'!$D$8))/4+INDEX(BookQ2,944)*(5-MIN(4,2+'5. Scenarios'!$D$8))/4+INDEX(BookQ3,944)*(5-MIN(4,3+'5. Scenarios'!$D$8))/4+INDEX(BookQ4,944)*(5-MIN(4,4+'5. Scenarios'!$D$8))/4)*'5. Scenarios'!$D$6/(1+ProductivityDefault*('5. Scenarios'!$D$11-1))+INDEX(BookOneOff,944)*$N949)</f>
        <v/>
      </c>
      <c r="S949" s="56" t="str">
        <f aca="false">IF(INDEX(BookTitle,944)="","",INDEX(BookTotal,944)*'5. Scenarios'!$E$6/(1+ProductivityDefault*('5. Scenarios'!$E$11-1)))</f>
        <v/>
      </c>
      <c r="T949" s="57" t="str">
        <f aca="false">IF($S949="","",INDEX(BookRate,944)*(1+'5. Scenarios'!$E$10)*$S949)</f>
        <v/>
      </c>
      <c r="U949" s="57" t="str">
        <f aca="false">IF($T949="","",SUMIFS($T$6:$T$2405,$A$6:$A$2405,"&lt;="&amp;$A949))</f>
        <v/>
      </c>
      <c r="V949" s="57" t="str">
        <f aca="false">IF($T949="","",IF($U949&lt;=BankCostEnvelope*'5. Scenarios'!$E$7,1,0))</f>
        <v/>
      </c>
      <c r="W949" s="57" t="str">
        <f aca="false">IF($S949="","",INDEX(BookRate,944)*(1+'5. Scenarios'!$E$10)*(INDEX(BookQ1,944)*(5-MIN(4,1+'5. Scenarios'!$E$8))/4+INDEX(BookQ2,944)*(5-MIN(4,2+'5. Scenarios'!$E$8))/4+INDEX(BookQ3,944)*(5-MIN(4,3+'5. Scenarios'!$E$8))/4+INDEX(BookQ4,944)*(5-MIN(4,4+'5. Scenarios'!$E$8))/4)*'5. Scenarios'!$E$6/(1+ProductivityDefault*('5. Scenarios'!$E$11-1))+INDEX(BookOneOff,944)*$S949)</f>
        <v/>
      </c>
    </row>
    <row r="950" customFormat="false" ht="15" hidden="false" customHeight="false" outlineLevel="0" collapsed="false">
      <c r="A950" s="0" t="str">
        <f aca="false">IF(INDEX(BookTitle,945)="","",INDEX(BookKey,945))</f>
        <v/>
      </c>
      <c r="B950" s="0" t="str">
        <f aca="false">IF(INDEX(BookTitle,945)="","",INDEX(BookGroup,945))</f>
        <v/>
      </c>
      <c r="C950" s="0" t="str">
        <f aca="false">IF(INDEX(BookTitle,945)="","",INDEX(BookCategory,945))</f>
        <v/>
      </c>
      <c r="D950" s="56" t="str">
        <f aca="false">IF(INDEX(BookTitle,945)="","",INDEX(BookTotal,945)*'5. Scenarios'!$B$6/(1+ProductivityDefault*('5. Scenarios'!$B$11-1)))</f>
        <v/>
      </c>
      <c r="E950" s="57" t="str">
        <f aca="false">IF($D950="","",INDEX(BookRate,945)*(1+'5. Scenarios'!$B$10)*$D950)</f>
        <v/>
      </c>
      <c r="F950" s="57" t="str">
        <f aca="false">IF($E950="","",SUMIFS($E$6:$E$2405,$A$6:$A$2405,"&lt;="&amp;$A950))</f>
        <v/>
      </c>
      <c r="G950" s="57" t="str">
        <f aca="false">IF($E950="","",IF($F950&lt;=BankCostEnvelope*'5. Scenarios'!$B$7,1,0))</f>
        <v/>
      </c>
      <c r="H950" s="57" t="str">
        <f aca="false">IF($D950="","",INDEX(BookRate,945)*(1+'5. Scenarios'!$B$10)*(INDEX(BookQ1,945)*(5-MIN(4,1+'5. Scenarios'!$B$8))/4+INDEX(BookQ2,945)*(5-MIN(4,2+'5. Scenarios'!$B$8))/4+INDEX(BookQ3,945)*(5-MIN(4,3+'5. Scenarios'!$B$8))/4+INDEX(BookQ4,945)*(5-MIN(4,4+'5. Scenarios'!$B$8))/4)*'5. Scenarios'!$B$6/(1+ProductivityDefault*('5. Scenarios'!$B$11-1))+INDEX(BookOneOff,945)*$D950)</f>
        <v/>
      </c>
      <c r="I950" s="56" t="str">
        <f aca="false">IF(INDEX(BookTitle,945)="","",INDEX(BookTotal,945)*'5. Scenarios'!$C$6/(1+ProductivityDefault*('5. Scenarios'!$C$11-1)))</f>
        <v/>
      </c>
      <c r="J950" s="57" t="str">
        <f aca="false">IF($I950="","",INDEX(BookRate,945)*(1+'5. Scenarios'!$C$10)*$I950)</f>
        <v/>
      </c>
      <c r="K950" s="57" t="str">
        <f aca="false">IF($J950="","",SUMIFS($J$6:$J$2405,$A$6:$A$2405,"&lt;="&amp;$A950))</f>
        <v/>
      </c>
      <c r="L950" s="57" t="str">
        <f aca="false">IF($J950="","",IF($K950&lt;=BankCostEnvelope*'5. Scenarios'!$C$7,1,0))</f>
        <v/>
      </c>
      <c r="M950" s="57" t="str">
        <f aca="false">IF($I950="","",INDEX(BookRate,945)*(1+'5. Scenarios'!$C$10)*(INDEX(BookQ1,945)*(5-MIN(4,1+'5. Scenarios'!$C$8))/4+INDEX(BookQ2,945)*(5-MIN(4,2+'5. Scenarios'!$C$8))/4+INDEX(BookQ3,945)*(5-MIN(4,3+'5. Scenarios'!$C$8))/4+INDEX(BookQ4,945)*(5-MIN(4,4+'5. Scenarios'!$C$8))/4)*'5. Scenarios'!$C$6/(1+ProductivityDefault*('5. Scenarios'!$C$11-1))+INDEX(BookOneOff,945)*$I950)</f>
        <v/>
      </c>
      <c r="N950" s="56" t="str">
        <f aca="false">IF(INDEX(BookTitle,945)="","",INDEX(BookTotal,945)*'5. Scenarios'!$D$6/(1+ProductivityDefault*('5. Scenarios'!$D$11-1)))</f>
        <v/>
      </c>
      <c r="O950" s="57" t="str">
        <f aca="false">IF($N950="","",INDEX(BookRate,945)*(1+'5. Scenarios'!$D$10)*$N950)</f>
        <v/>
      </c>
      <c r="P950" s="57" t="str">
        <f aca="false">IF($O950="","",SUMIFS($O$6:$O$2405,$A$6:$A$2405,"&lt;="&amp;$A950))</f>
        <v/>
      </c>
      <c r="Q950" s="57" t="str">
        <f aca="false">IF($O950="","",IF($P950&lt;=BankCostEnvelope*'5. Scenarios'!$D$7,1,0))</f>
        <v/>
      </c>
      <c r="R950" s="57" t="str">
        <f aca="false">IF($N950="","",INDEX(BookRate,945)*(1+'5. Scenarios'!$D$10)*(INDEX(BookQ1,945)*(5-MIN(4,1+'5. Scenarios'!$D$8))/4+INDEX(BookQ2,945)*(5-MIN(4,2+'5. Scenarios'!$D$8))/4+INDEX(BookQ3,945)*(5-MIN(4,3+'5. Scenarios'!$D$8))/4+INDEX(BookQ4,945)*(5-MIN(4,4+'5. Scenarios'!$D$8))/4)*'5. Scenarios'!$D$6/(1+ProductivityDefault*('5. Scenarios'!$D$11-1))+INDEX(BookOneOff,945)*$N950)</f>
        <v/>
      </c>
      <c r="S950" s="56" t="str">
        <f aca="false">IF(INDEX(BookTitle,945)="","",INDEX(BookTotal,945)*'5. Scenarios'!$E$6/(1+ProductivityDefault*('5. Scenarios'!$E$11-1)))</f>
        <v/>
      </c>
      <c r="T950" s="57" t="str">
        <f aca="false">IF($S950="","",INDEX(BookRate,945)*(1+'5. Scenarios'!$E$10)*$S950)</f>
        <v/>
      </c>
      <c r="U950" s="57" t="str">
        <f aca="false">IF($T950="","",SUMIFS($T$6:$T$2405,$A$6:$A$2405,"&lt;="&amp;$A950))</f>
        <v/>
      </c>
      <c r="V950" s="57" t="str">
        <f aca="false">IF($T950="","",IF($U950&lt;=BankCostEnvelope*'5. Scenarios'!$E$7,1,0))</f>
        <v/>
      </c>
      <c r="W950" s="57" t="str">
        <f aca="false">IF($S950="","",INDEX(BookRate,945)*(1+'5. Scenarios'!$E$10)*(INDEX(BookQ1,945)*(5-MIN(4,1+'5. Scenarios'!$E$8))/4+INDEX(BookQ2,945)*(5-MIN(4,2+'5. Scenarios'!$E$8))/4+INDEX(BookQ3,945)*(5-MIN(4,3+'5. Scenarios'!$E$8))/4+INDEX(BookQ4,945)*(5-MIN(4,4+'5. Scenarios'!$E$8))/4)*'5. Scenarios'!$E$6/(1+ProductivityDefault*('5. Scenarios'!$E$11-1))+INDEX(BookOneOff,945)*$S950)</f>
        <v/>
      </c>
    </row>
    <row r="951" customFormat="false" ht="15" hidden="false" customHeight="false" outlineLevel="0" collapsed="false">
      <c r="A951" s="0" t="str">
        <f aca="false">IF(INDEX(BookTitle,946)="","",INDEX(BookKey,946))</f>
        <v/>
      </c>
      <c r="B951" s="0" t="str">
        <f aca="false">IF(INDEX(BookTitle,946)="","",INDEX(BookGroup,946))</f>
        <v/>
      </c>
      <c r="C951" s="0" t="str">
        <f aca="false">IF(INDEX(BookTitle,946)="","",INDEX(BookCategory,946))</f>
        <v/>
      </c>
      <c r="D951" s="56" t="str">
        <f aca="false">IF(INDEX(BookTitle,946)="","",INDEX(BookTotal,946)*'5. Scenarios'!$B$6/(1+ProductivityDefault*('5. Scenarios'!$B$11-1)))</f>
        <v/>
      </c>
      <c r="E951" s="57" t="str">
        <f aca="false">IF($D951="","",INDEX(BookRate,946)*(1+'5. Scenarios'!$B$10)*$D951)</f>
        <v/>
      </c>
      <c r="F951" s="57" t="str">
        <f aca="false">IF($E951="","",SUMIFS($E$6:$E$2405,$A$6:$A$2405,"&lt;="&amp;$A951))</f>
        <v/>
      </c>
      <c r="G951" s="57" t="str">
        <f aca="false">IF($E951="","",IF($F951&lt;=BankCostEnvelope*'5. Scenarios'!$B$7,1,0))</f>
        <v/>
      </c>
      <c r="H951" s="57" t="str">
        <f aca="false">IF($D951="","",INDEX(BookRate,946)*(1+'5. Scenarios'!$B$10)*(INDEX(BookQ1,946)*(5-MIN(4,1+'5. Scenarios'!$B$8))/4+INDEX(BookQ2,946)*(5-MIN(4,2+'5. Scenarios'!$B$8))/4+INDEX(BookQ3,946)*(5-MIN(4,3+'5. Scenarios'!$B$8))/4+INDEX(BookQ4,946)*(5-MIN(4,4+'5. Scenarios'!$B$8))/4)*'5. Scenarios'!$B$6/(1+ProductivityDefault*('5. Scenarios'!$B$11-1))+INDEX(BookOneOff,946)*$D951)</f>
        <v/>
      </c>
      <c r="I951" s="56" t="str">
        <f aca="false">IF(INDEX(BookTitle,946)="","",INDEX(BookTotal,946)*'5. Scenarios'!$C$6/(1+ProductivityDefault*('5. Scenarios'!$C$11-1)))</f>
        <v/>
      </c>
      <c r="J951" s="57" t="str">
        <f aca="false">IF($I951="","",INDEX(BookRate,946)*(1+'5. Scenarios'!$C$10)*$I951)</f>
        <v/>
      </c>
      <c r="K951" s="57" t="str">
        <f aca="false">IF($J951="","",SUMIFS($J$6:$J$2405,$A$6:$A$2405,"&lt;="&amp;$A951))</f>
        <v/>
      </c>
      <c r="L951" s="57" t="str">
        <f aca="false">IF($J951="","",IF($K951&lt;=BankCostEnvelope*'5. Scenarios'!$C$7,1,0))</f>
        <v/>
      </c>
      <c r="M951" s="57" t="str">
        <f aca="false">IF($I951="","",INDEX(BookRate,946)*(1+'5. Scenarios'!$C$10)*(INDEX(BookQ1,946)*(5-MIN(4,1+'5. Scenarios'!$C$8))/4+INDEX(BookQ2,946)*(5-MIN(4,2+'5. Scenarios'!$C$8))/4+INDEX(BookQ3,946)*(5-MIN(4,3+'5. Scenarios'!$C$8))/4+INDEX(BookQ4,946)*(5-MIN(4,4+'5. Scenarios'!$C$8))/4)*'5. Scenarios'!$C$6/(1+ProductivityDefault*('5. Scenarios'!$C$11-1))+INDEX(BookOneOff,946)*$I951)</f>
        <v/>
      </c>
      <c r="N951" s="56" t="str">
        <f aca="false">IF(INDEX(BookTitle,946)="","",INDEX(BookTotal,946)*'5. Scenarios'!$D$6/(1+ProductivityDefault*('5. Scenarios'!$D$11-1)))</f>
        <v/>
      </c>
      <c r="O951" s="57" t="str">
        <f aca="false">IF($N951="","",INDEX(BookRate,946)*(1+'5. Scenarios'!$D$10)*$N951)</f>
        <v/>
      </c>
      <c r="P951" s="57" t="str">
        <f aca="false">IF($O951="","",SUMIFS($O$6:$O$2405,$A$6:$A$2405,"&lt;="&amp;$A951))</f>
        <v/>
      </c>
      <c r="Q951" s="57" t="str">
        <f aca="false">IF($O951="","",IF($P951&lt;=BankCostEnvelope*'5. Scenarios'!$D$7,1,0))</f>
        <v/>
      </c>
      <c r="R951" s="57" t="str">
        <f aca="false">IF($N951="","",INDEX(BookRate,946)*(1+'5. Scenarios'!$D$10)*(INDEX(BookQ1,946)*(5-MIN(4,1+'5. Scenarios'!$D$8))/4+INDEX(BookQ2,946)*(5-MIN(4,2+'5. Scenarios'!$D$8))/4+INDEX(BookQ3,946)*(5-MIN(4,3+'5. Scenarios'!$D$8))/4+INDEX(BookQ4,946)*(5-MIN(4,4+'5. Scenarios'!$D$8))/4)*'5. Scenarios'!$D$6/(1+ProductivityDefault*('5. Scenarios'!$D$11-1))+INDEX(BookOneOff,946)*$N951)</f>
        <v/>
      </c>
      <c r="S951" s="56" t="str">
        <f aca="false">IF(INDEX(BookTitle,946)="","",INDEX(BookTotal,946)*'5. Scenarios'!$E$6/(1+ProductivityDefault*('5. Scenarios'!$E$11-1)))</f>
        <v/>
      </c>
      <c r="T951" s="57" t="str">
        <f aca="false">IF($S951="","",INDEX(BookRate,946)*(1+'5. Scenarios'!$E$10)*$S951)</f>
        <v/>
      </c>
      <c r="U951" s="57" t="str">
        <f aca="false">IF($T951="","",SUMIFS($T$6:$T$2405,$A$6:$A$2405,"&lt;="&amp;$A951))</f>
        <v/>
      </c>
      <c r="V951" s="57" t="str">
        <f aca="false">IF($T951="","",IF($U951&lt;=BankCostEnvelope*'5. Scenarios'!$E$7,1,0))</f>
        <v/>
      </c>
      <c r="W951" s="57" t="str">
        <f aca="false">IF($S951="","",INDEX(BookRate,946)*(1+'5. Scenarios'!$E$10)*(INDEX(BookQ1,946)*(5-MIN(4,1+'5. Scenarios'!$E$8))/4+INDEX(BookQ2,946)*(5-MIN(4,2+'5. Scenarios'!$E$8))/4+INDEX(BookQ3,946)*(5-MIN(4,3+'5. Scenarios'!$E$8))/4+INDEX(BookQ4,946)*(5-MIN(4,4+'5. Scenarios'!$E$8))/4)*'5. Scenarios'!$E$6/(1+ProductivityDefault*('5. Scenarios'!$E$11-1))+INDEX(BookOneOff,946)*$S951)</f>
        <v/>
      </c>
    </row>
    <row r="952" customFormat="false" ht="15" hidden="false" customHeight="false" outlineLevel="0" collapsed="false">
      <c r="A952" s="0" t="str">
        <f aca="false">IF(INDEX(BookTitle,947)="","",INDEX(BookKey,947))</f>
        <v/>
      </c>
      <c r="B952" s="0" t="str">
        <f aca="false">IF(INDEX(BookTitle,947)="","",INDEX(BookGroup,947))</f>
        <v/>
      </c>
      <c r="C952" s="0" t="str">
        <f aca="false">IF(INDEX(BookTitle,947)="","",INDEX(BookCategory,947))</f>
        <v/>
      </c>
      <c r="D952" s="56" t="str">
        <f aca="false">IF(INDEX(BookTitle,947)="","",INDEX(BookTotal,947)*'5. Scenarios'!$B$6/(1+ProductivityDefault*('5. Scenarios'!$B$11-1)))</f>
        <v/>
      </c>
      <c r="E952" s="57" t="str">
        <f aca="false">IF($D952="","",INDEX(BookRate,947)*(1+'5. Scenarios'!$B$10)*$D952)</f>
        <v/>
      </c>
      <c r="F952" s="57" t="str">
        <f aca="false">IF($E952="","",SUMIFS($E$6:$E$2405,$A$6:$A$2405,"&lt;="&amp;$A952))</f>
        <v/>
      </c>
      <c r="G952" s="57" t="str">
        <f aca="false">IF($E952="","",IF($F952&lt;=BankCostEnvelope*'5. Scenarios'!$B$7,1,0))</f>
        <v/>
      </c>
      <c r="H952" s="57" t="str">
        <f aca="false">IF($D952="","",INDEX(BookRate,947)*(1+'5. Scenarios'!$B$10)*(INDEX(BookQ1,947)*(5-MIN(4,1+'5. Scenarios'!$B$8))/4+INDEX(BookQ2,947)*(5-MIN(4,2+'5. Scenarios'!$B$8))/4+INDEX(BookQ3,947)*(5-MIN(4,3+'5. Scenarios'!$B$8))/4+INDEX(BookQ4,947)*(5-MIN(4,4+'5. Scenarios'!$B$8))/4)*'5. Scenarios'!$B$6/(1+ProductivityDefault*('5. Scenarios'!$B$11-1))+INDEX(BookOneOff,947)*$D952)</f>
        <v/>
      </c>
      <c r="I952" s="56" t="str">
        <f aca="false">IF(INDEX(BookTitle,947)="","",INDEX(BookTotal,947)*'5. Scenarios'!$C$6/(1+ProductivityDefault*('5. Scenarios'!$C$11-1)))</f>
        <v/>
      </c>
      <c r="J952" s="57" t="str">
        <f aca="false">IF($I952="","",INDEX(BookRate,947)*(1+'5. Scenarios'!$C$10)*$I952)</f>
        <v/>
      </c>
      <c r="K952" s="57" t="str">
        <f aca="false">IF($J952="","",SUMIFS($J$6:$J$2405,$A$6:$A$2405,"&lt;="&amp;$A952))</f>
        <v/>
      </c>
      <c r="L952" s="57" t="str">
        <f aca="false">IF($J952="","",IF($K952&lt;=BankCostEnvelope*'5. Scenarios'!$C$7,1,0))</f>
        <v/>
      </c>
      <c r="M952" s="57" t="str">
        <f aca="false">IF($I952="","",INDEX(BookRate,947)*(1+'5. Scenarios'!$C$10)*(INDEX(BookQ1,947)*(5-MIN(4,1+'5. Scenarios'!$C$8))/4+INDEX(BookQ2,947)*(5-MIN(4,2+'5. Scenarios'!$C$8))/4+INDEX(BookQ3,947)*(5-MIN(4,3+'5. Scenarios'!$C$8))/4+INDEX(BookQ4,947)*(5-MIN(4,4+'5. Scenarios'!$C$8))/4)*'5. Scenarios'!$C$6/(1+ProductivityDefault*('5. Scenarios'!$C$11-1))+INDEX(BookOneOff,947)*$I952)</f>
        <v/>
      </c>
      <c r="N952" s="56" t="str">
        <f aca="false">IF(INDEX(BookTitle,947)="","",INDEX(BookTotal,947)*'5. Scenarios'!$D$6/(1+ProductivityDefault*('5. Scenarios'!$D$11-1)))</f>
        <v/>
      </c>
      <c r="O952" s="57" t="str">
        <f aca="false">IF($N952="","",INDEX(BookRate,947)*(1+'5. Scenarios'!$D$10)*$N952)</f>
        <v/>
      </c>
      <c r="P952" s="57" t="str">
        <f aca="false">IF($O952="","",SUMIFS($O$6:$O$2405,$A$6:$A$2405,"&lt;="&amp;$A952))</f>
        <v/>
      </c>
      <c r="Q952" s="57" t="str">
        <f aca="false">IF($O952="","",IF($P952&lt;=BankCostEnvelope*'5. Scenarios'!$D$7,1,0))</f>
        <v/>
      </c>
      <c r="R952" s="57" t="str">
        <f aca="false">IF($N952="","",INDEX(BookRate,947)*(1+'5. Scenarios'!$D$10)*(INDEX(BookQ1,947)*(5-MIN(4,1+'5. Scenarios'!$D$8))/4+INDEX(BookQ2,947)*(5-MIN(4,2+'5. Scenarios'!$D$8))/4+INDEX(BookQ3,947)*(5-MIN(4,3+'5. Scenarios'!$D$8))/4+INDEX(BookQ4,947)*(5-MIN(4,4+'5. Scenarios'!$D$8))/4)*'5. Scenarios'!$D$6/(1+ProductivityDefault*('5. Scenarios'!$D$11-1))+INDEX(BookOneOff,947)*$N952)</f>
        <v/>
      </c>
      <c r="S952" s="56" t="str">
        <f aca="false">IF(INDEX(BookTitle,947)="","",INDEX(BookTotal,947)*'5. Scenarios'!$E$6/(1+ProductivityDefault*('5. Scenarios'!$E$11-1)))</f>
        <v/>
      </c>
      <c r="T952" s="57" t="str">
        <f aca="false">IF($S952="","",INDEX(BookRate,947)*(1+'5. Scenarios'!$E$10)*$S952)</f>
        <v/>
      </c>
      <c r="U952" s="57" t="str">
        <f aca="false">IF($T952="","",SUMIFS($T$6:$T$2405,$A$6:$A$2405,"&lt;="&amp;$A952))</f>
        <v/>
      </c>
      <c r="V952" s="57" t="str">
        <f aca="false">IF($T952="","",IF($U952&lt;=BankCostEnvelope*'5. Scenarios'!$E$7,1,0))</f>
        <v/>
      </c>
      <c r="W952" s="57" t="str">
        <f aca="false">IF($S952="","",INDEX(BookRate,947)*(1+'5. Scenarios'!$E$10)*(INDEX(BookQ1,947)*(5-MIN(4,1+'5. Scenarios'!$E$8))/4+INDEX(BookQ2,947)*(5-MIN(4,2+'5. Scenarios'!$E$8))/4+INDEX(BookQ3,947)*(5-MIN(4,3+'5. Scenarios'!$E$8))/4+INDEX(BookQ4,947)*(5-MIN(4,4+'5. Scenarios'!$E$8))/4)*'5. Scenarios'!$E$6/(1+ProductivityDefault*('5. Scenarios'!$E$11-1))+INDEX(BookOneOff,947)*$S952)</f>
        <v/>
      </c>
    </row>
    <row r="953" customFormat="false" ht="15" hidden="false" customHeight="false" outlineLevel="0" collapsed="false">
      <c r="A953" s="0" t="str">
        <f aca="false">IF(INDEX(BookTitle,948)="","",INDEX(BookKey,948))</f>
        <v/>
      </c>
      <c r="B953" s="0" t="str">
        <f aca="false">IF(INDEX(BookTitle,948)="","",INDEX(BookGroup,948))</f>
        <v/>
      </c>
      <c r="C953" s="0" t="str">
        <f aca="false">IF(INDEX(BookTitle,948)="","",INDEX(BookCategory,948))</f>
        <v/>
      </c>
      <c r="D953" s="56" t="str">
        <f aca="false">IF(INDEX(BookTitle,948)="","",INDEX(BookTotal,948)*'5. Scenarios'!$B$6/(1+ProductivityDefault*('5. Scenarios'!$B$11-1)))</f>
        <v/>
      </c>
      <c r="E953" s="57" t="str">
        <f aca="false">IF($D953="","",INDEX(BookRate,948)*(1+'5. Scenarios'!$B$10)*$D953)</f>
        <v/>
      </c>
      <c r="F953" s="57" t="str">
        <f aca="false">IF($E953="","",SUMIFS($E$6:$E$2405,$A$6:$A$2405,"&lt;="&amp;$A953))</f>
        <v/>
      </c>
      <c r="G953" s="57" t="str">
        <f aca="false">IF($E953="","",IF($F953&lt;=BankCostEnvelope*'5. Scenarios'!$B$7,1,0))</f>
        <v/>
      </c>
      <c r="H953" s="57" t="str">
        <f aca="false">IF($D953="","",INDEX(BookRate,948)*(1+'5. Scenarios'!$B$10)*(INDEX(BookQ1,948)*(5-MIN(4,1+'5. Scenarios'!$B$8))/4+INDEX(BookQ2,948)*(5-MIN(4,2+'5. Scenarios'!$B$8))/4+INDEX(BookQ3,948)*(5-MIN(4,3+'5. Scenarios'!$B$8))/4+INDEX(BookQ4,948)*(5-MIN(4,4+'5. Scenarios'!$B$8))/4)*'5. Scenarios'!$B$6/(1+ProductivityDefault*('5. Scenarios'!$B$11-1))+INDEX(BookOneOff,948)*$D953)</f>
        <v/>
      </c>
      <c r="I953" s="56" t="str">
        <f aca="false">IF(INDEX(BookTitle,948)="","",INDEX(BookTotal,948)*'5. Scenarios'!$C$6/(1+ProductivityDefault*('5. Scenarios'!$C$11-1)))</f>
        <v/>
      </c>
      <c r="J953" s="57" t="str">
        <f aca="false">IF($I953="","",INDEX(BookRate,948)*(1+'5. Scenarios'!$C$10)*$I953)</f>
        <v/>
      </c>
      <c r="K953" s="57" t="str">
        <f aca="false">IF($J953="","",SUMIFS($J$6:$J$2405,$A$6:$A$2405,"&lt;="&amp;$A953))</f>
        <v/>
      </c>
      <c r="L953" s="57" t="str">
        <f aca="false">IF($J953="","",IF($K953&lt;=BankCostEnvelope*'5. Scenarios'!$C$7,1,0))</f>
        <v/>
      </c>
      <c r="M953" s="57" t="str">
        <f aca="false">IF($I953="","",INDEX(BookRate,948)*(1+'5. Scenarios'!$C$10)*(INDEX(BookQ1,948)*(5-MIN(4,1+'5. Scenarios'!$C$8))/4+INDEX(BookQ2,948)*(5-MIN(4,2+'5. Scenarios'!$C$8))/4+INDEX(BookQ3,948)*(5-MIN(4,3+'5. Scenarios'!$C$8))/4+INDEX(BookQ4,948)*(5-MIN(4,4+'5. Scenarios'!$C$8))/4)*'5. Scenarios'!$C$6/(1+ProductivityDefault*('5. Scenarios'!$C$11-1))+INDEX(BookOneOff,948)*$I953)</f>
        <v/>
      </c>
      <c r="N953" s="56" t="str">
        <f aca="false">IF(INDEX(BookTitle,948)="","",INDEX(BookTotal,948)*'5. Scenarios'!$D$6/(1+ProductivityDefault*('5. Scenarios'!$D$11-1)))</f>
        <v/>
      </c>
      <c r="O953" s="57" t="str">
        <f aca="false">IF($N953="","",INDEX(BookRate,948)*(1+'5. Scenarios'!$D$10)*$N953)</f>
        <v/>
      </c>
      <c r="P953" s="57" t="str">
        <f aca="false">IF($O953="","",SUMIFS($O$6:$O$2405,$A$6:$A$2405,"&lt;="&amp;$A953))</f>
        <v/>
      </c>
      <c r="Q953" s="57" t="str">
        <f aca="false">IF($O953="","",IF($P953&lt;=BankCostEnvelope*'5. Scenarios'!$D$7,1,0))</f>
        <v/>
      </c>
      <c r="R953" s="57" t="str">
        <f aca="false">IF($N953="","",INDEX(BookRate,948)*(1+'5. Scenarios'!$D$10)*(INDEX(BookQ1,948)*(5-MIN(4,1+'5. Scenarios'!$D$8))/4+INDEX(BookQ2,948)*(5-MIN(4,2+'5. Scenarios'!$D$8))/4+INDEX(BookQ3,948)*(5-MIN(4,3+'5. Scenarios'!$D$8))/4+INDEX(BookQ4,948)*(5-MIN(4,4+'5. Scenarios'!$D$8))/4)*'5. Scenarios'!$D$6/(1+ProductivityDefault*('5. Scenarios'!$D$11-1))+INDEX(BookOneOff,948)*$N953)</f>
        <v/>
      </c>
      <c r="S953" s="56" t="str">
        <f aca="false">IF(INDEX(BookTitle,948)="","",INDEX(BookTotal,948)*'5. Scenarios'!$E$6/(1+ProductivityDefault*('5. Scenarios'!$E$11-1)))</f>
        <v/>
      </c>
      <c r="T953" s="57" t="str">
        <f aca="false">IF($S953="","",INDEX(BookRate,948)*(1+'5. Scenarios'!$E$10)*$S953)</f>
        <v/>
      </c>
      <c r="U953" s="57" t="str">
        <f aca="false">IF($T953="","",SUMIFS($T$6:$T$2405,$A$6:$A$2405,"&lt;="&amp;$A953))</f>
        <v/>
      </c>
      <c r="V953" s="57" t="str">
        <f aca="false">IF($T953="","",IF($U953&lt;=BankCostEnvelope*'5. Scenarios'!$E$7,1,0))</f>
        <v/>
      </c>
      <c r="W953" s="57" t="str">
        <f aca="false">IF($S953="","",INDEX(BookRate,948)*(1+'5. Scenarios'!$E$10)*(INDEX(BookQ1,948)*(5-MIN(4,1+'5. Scenarios'!$E$8))/4+INDEX(BookQ2,948)*(5-MIN(4,2+'5. Scenarios'!$E$8))/4+INDEX(BookQ3,948)*(5-MIN(4,3+'5. Scenarios'!$E$8))/4+INDEX(BookQ4,948)*(5-MIN(4,4+'5. Scenarios'!$E$8))/4)*'5. Scenarios'!$E$6/(1+ProductivityDefault*('5. Scenarios'!$E$11-1))+INDEX(BookOneOff,948)*$S953)</f>
        <v/>
      </c>
    </row>
    <row r="954" customFormat="false" ht="15" hidden="false" customHeight="false" outlineLevel="0" collapsed="false">
      <c r="A954" s="0" t="str">
        <f aca="false">IF(INDEX(BookTitle,949)="","",INDEX(BookKey,949))</f>
        <v/>
      </c>
      <c r="B954" s="0" t="str">
        <f aca="false">IF(INDEX(BookTitle,949)="","",INDEX(BookGroup,949))</f>
        <v/>
      </c>
      <c r="C954" s="0" t="str">
        <f aca="false">IF(INDEX(BookTitle,949)="","",INDEX(BookCategory,949))</f>
        <v/>
      </c>
      <c r="D954" s="56" t="str">
        <f aca="false">IF(INDEX(BookTitle,949)="","",INDEX(BookTotal,949)*'5. Scenarios'!$B$6/(1+ProductivityDefault*('5. Scenarios'!$B$11-1)))</f>
        <v/>
      </c>
      <c r="E954" s="57" t="str">
        <f aca="false">IF($D954="","",INDEX(BookRate,949)*(1+'5. Scenarios'!$B$10)*$D954)</f>
        <v/>
      </c>
      <c r="F954" s="57" t="str">
        <f aca="false">IF($E954="","",SUMIFS($E$6:$E$2405,$A$6:$A$2405,"&lt;="&amp;$A954))</f>
        <v/>
      </c>
      <c r="G954" s="57" t="str">
        <f aca="false">IF($E954="","",IF($F954&lt;=BankCostEnvelope*'5. Scenarios'!$B$7,1,0))</f>
        <v/>
      </c>
      <c r="H954" s="57" t="str">
        <f aca="false">IF($D954="","",INDEX(BookRate,949)*(1+'5. Scenarios'!$B$10)*(INDEX(BookQ1,949)*(5-MIN(4,1+'5. Scenarios'!$B$8))/4+INDEX(BookQ2,949)*(5-MIN(4,2+'5. Scenarios'!$B$8))/4+INDEX(BookQ3,949)*(5-MIN(4,3+'5. Scenarios'!$B$8))/4+INDEX(BookQ4,949)*(5-MIN(4,4+'5. Scenarios'!$B$8))/4)*'5. Scenarios'!$B$6/(1+ProductivityDefault*('5. Scenarios'!$B$11-1))+INDEX(BookOneOff,949)*$D954)</f>
        <v/>
      </c>
      <c r="I954" s="56" t="str">
        <f aca="false">IF(INDEX(BookTitle,949)="","",INDEX(BookTotal,949)*'5. Scenarios'!$C$6/(1+ProductivityDefault*('5. Scenarios'!$C$11-1)))</f>
        <v/>
      </c>
      <c r="J954" s="57" t="str">
        <f aca="false">IF($I954="","",INDEX(BookRate,949)*(1+'5. Scenarios'!$C$10)*$I954)</f>
        <v/>
      </c>
      <c r="K954" s="57" t="str">
        <f aca="false">IF($J954="","",SUMIFS($J$6:$J$2405,$A$6:$A$2405,"&lt;="&amp;$A954))</f>
        <v/>
      </c>
      <c r="L954" s="57" t="str">
        <f aca="false">IF($J954="","",IF($K954&lt;=BankCostEnvelope*'5. Scenarios'!$C$7,1,0))</f>
        <v/>
      </c>
      <c r="M954" s="57" t="str">
        <f aca="false">IF($I954="","",INDEX(BookRate,949)*(1+'5. Scenarios'!$C$10)*(INDEX(BookQ1,949)*(5-MIN(4,1+'5. Scenarios'!$C$8))/4+INDEX(BookQ2,949)*(5-MIN(4,2+'5. Scenarios'!$C$8))/4+INDEX(BookQ3,949)*(5-MIN(4,3+'5. Scenarios'!$C$8))/4+INDEX(BookQ4,949)*(5-MIN(4,4+'5. Scenarios'!$C$8))/4)*'5. Scenarios'!$C$6/(1+ProductivityDefault*('5. Scenarios'!$C$11-1))+INDEX(BookOneOff,949)*$I954)</f>
        <v/>
      </c>
      <c r="N954" s="56" t="str">
        <f aca="false">IF(INDEX(BookTitle,949)="","",INDEX(BookTotal,949)*'5. Scenarios'!$D$6/(1+ProductivityDefault*('5. Scenarios'!$D$11-1)))</f>
        <v/>
      </c>
      <c r="O954" s="57" t="str">
        <f aca="false">IF($N954="","",INDEX(BookRate,949)*(1+'5. Scenarios'!$D$10)*$N954)</f>
        <v/>
      </c>
      <c r="P954" s="57" t="str">
        <f aca="false">IF($O954="","",SUMIFS($O$6:$O$2405,$A$6:$A$2405,"&lt;="&amp;$A954))</f>
        <v/>
      </c>
      <c r="Q954" s="57" t="str">
        <f aca="false">IF($O954="","",IF($P954&lt;=BankCostEnvelope*'5. Scenarios'!$D$7,1,0))</f>
        <v/>
      </c>
      <c r="R954" s="57" t="str">
        <f aca="false">IF($N954="","",INDEX(BookRate,949)*(1+'5. Scenarios'!$D$10)*(INDEX(BookQ1,949)*(5-MIN(4,1+'5. Scenarios'!$D$8))/4+INDEX(BookQ2,949)*(5-MIN(4,2+'5. Scenarios'!$D$8))/4+INDEX(BookQ3,949)*(5-MIN(4,3+'5. Scenarios'!$D$8))/4+INDEX(BookQ4,949)*(5-MIN(4,4+'5. Scenarios'!$D$8))/4)*'5. Scenarios'!$D$6/(1+ProductivityDefault*('5. Scenarios'!$D$11-1))+INDEX(BookOneOff,949)*$N954)</f>
        <v/>
      </c>
      <c r="S954" s="56" t="str">
        <f aca="false">IF(INDEX(BookTitle,949)="","",INDEX(BookTotal,949)*'5. Scenarios'!$E$6/(1+ProductivityDefault*('5. Scenarios'!$E$11-1)))</f>
        <v/>
      </c>
      <c r="T954" s="57" t="str">
        <f aca="false">IF($S954="","",INDEX(BookRate,949)*(1+'5. Scenarios'!$E$10)*$S954)</f>
        <v/>
      </c>
      <c r="U954" s="57" t="str">
        <f aca="false">IF($T954="","",SUMIFS($T$6:$T$2405,$A$6:$A$2405,"&lt;="&amp;$A954))</f>
        <v/>
      </c>
      <c r="V954" s="57" t="str">
        <f aca="false">IF($T954="","",IF($U954&lt;=BankCostEnvelope*'5. Scenarios'!$E$7,1,0))</f>
        <v/>
      </c>
      <c r="W954" s="57" t="str">
        <f aca="false">IF($S954="","",INDEX(BookRate,949)*(1+'5. Scenarios'!$E$10)*(INDEX(BookQ1,949)*(5-MIN(4,1+'5. Scenarios'!$E$8))/4+INDEX(BookQ2,949)*(5-MIN(4,2+'5. Scenarios'!$E$8))/4+INDEX(BookQ3,949)*(5-MIN(4,3+'5. Scenarios'!$E$8))/4+INDEX(BookQ4,949)*(5-MIN(4,4+'5. Scenarios'!$E$8))/4)*'5. Scenarios'!$E$6/(1+ProductivityDefault*('5. Scenarios'!$E$11-1))+INDEX(BookOneOff,949)*$S954)</f>
        <v/>
      </c>
    </row>
    <row r="955" customFormat="false" ht="15" hidden="false" customHeight="false" outlineLevel="0" collapsed="false">
      <c r="A955" s="0" t="str">
        <f aca="false">IF(INDEX(BookTitle,950)="","",INDEX(BookKey,950))</f>
        <v/>
      </c>
      <c r="B955" s="0" t="str">
        <f aca="false">IF(INDEX(BookTitle,950)="","",INDEX(BookGroup,950))</f>
        <v/>
      </c>
      <c r="C955" s="0" t="str">
        <f aca="false">IF(INDEX(BookTitle,950)="","",INDEX(BookCategory,950))</f>
        <v/>
      </c>
      <c r="D955" s="56" t="str">
        <f aca="false">IF(INDEX(BookTitle,950)="","",INDEX(BookTotal,950)*'5. Scenarios'!$B$6/(1+ProductivityDefault*('5. Scenarios'!$B$11-1)))</f>
        <v/>
      </c>
      <c r="E955" s="57" t="str">
        <f aca="false">IF($D955="","",INDEX(BookRate,950)*(1+'5. Scenarios'!$B$10)*$D955)</f>
        <v/>
      </c>
      <c r="F955" s="57" t="str">
        <f aca="false">IF($E955="","",SUMIFS($E$6:$E$2405,$A$6:$A$2405,"&lt;="&amp;$A955))</f>
        <v/>
      </c>
      <c r="G955" s="57" t="str">
        <f aca="false">IF($E955="","",IF($F955&lt;=BankCostEnvelope*'5. Scenarios'!$B$7,1,0))</f>
        <v/>
      </c>
      <c r="H955" s="57" t="str">
        <f aca="false">IF($D955="","",INDEX(BookRate,950)*(1+'5. Scenarios'!$B$10)*(INDEX(BookQ1,950)*(5-MIN(4,1+'5. Scenarios'!$B$8))/4+INDEX(BookQ2,950)*(5-MIN(4,2+'5. Scenarios'!$B$8))/4+INDEX(BookQ3,950)*(5-MIN(4,3+'5. Scenarios'!$B$8))/4+INDEX(BookQ4,950)*(5-MIN(4,4+'5. Scenarios'!$B$8))/4)*'5. Scenarios'!$B$6/(1+ProductivityDefault*('5. Scenarios'!$B$11-1))+INDEX(BookOneOff,950)*$D955)</f>
        <v/>
      </c>
      <c r="I955" s="56" t="str">
        <f aca="false">IF(INDEX(BookTitle,950)="","",INDEX(BookTotal,950)*'5. Scenarios'!$C$6/(1+ProductivityDefault*('5. Scenarios'!$C$11-1)))</f>
        <v/>
      </c>
      <c r="J955" s="57" t="str">
        <f aca="false">IF($I955="","",INDEX(BookRate,950)*(1+'5. Scenarios'!$C$10)*$I955)</f>
        <v/>
      </c>
      <c r="K955" s="57" t="str">
        <f aca="false">IF($J955="","",SUMIFS($J$6:$J$2405,$A$6:$A$2405,"&lt;="&amp;$A955))</f>
        <v/>
      </c>
      <c r="L955" s="57" t="str">
        <f aca="false">IF($J955="","",IF($K955&lt;=BankCostEnvelope*'5. Scenarios'!$C$7,1,0))</f>
        <v/>
      </c>
      <c r="M955" s="57" t="str">
        <f aca="false">IF($I955="","",INDEX(BookRate,950)*(1+'5. Scenarios'!$C$10)*(INDEX(BookQ1,950)*(5-MIN(4,1+'5. Scenarios'!$C$8))/4+INDEX(BookQ2,950)*(5-MIN(4,2+'5. Scenarios'!$C$8))/4+INDEX(BookQ3,950)*(5-MIN(4,3+'5. Scenarios'!$C$8))/4+INDEX(BookQ4,950)*(5-MIN(4,4+'5. Scenarios'!$C$8))/4)*'5. Scenarios'!$C$6/(1+ProductivityDefault*('5. Scenarios'!$C$11-1))+INDEX(BookOneOff,950)*$I955)</f>
        <v/>
      </c>
      <c r="N955" s="56" t="str">
        <f aca="false">IF(INDEX(BookTitle,950)="","",INDEX(BookTotal,950)*'5. Scenarios'!$D$6/(1+ProductivityDefault*('5. Scenarios'!$D$11-1)))</f>
        <v/>
      </c>
      <c r="O955" s="57" t="str">
        <f aca="false">IF($N955="","",INDEX(BookRate,950)*(1+'5. Scenarios'!$D$10)*$N955)</f>
        <v/>
      </c>
      <c r="P955" s="57" t="str">
        <f aca="false">IF($O955="","",SUMIFS($O$6:$O$2405,$A$6:$A$2405,"&lt;="&amp;$A955))</f>
        <v/>
      </c>
      <c r="Q955" s="57" t="str">
        <f aca="false">IF($O955="","",IF($P955&lt;=BankCostEnvelope*'5. Scenarios'!$D$7,1,0))</f>
        <v/>
      </c>
      <c r="R955" s="57" t="str">
        <f aca="false">IF($N955="","",INDEX(BookRate,950)*(1+'5. Scenarios'!$D$10)*(INDEX(BookQ1,950)*(5-MIN(4,1+'5. Scenarios'!$D$8))/4+INDEX(BookQ2,950)*(5-MIN(4,2+'5. Scenarios'!$D$8))/4+INDEX(BookQ3,950)*(5-MIN(4,3+'5. Scenarios'!$D$8))/4+INDEX(BookQ4,950)*(5-MIN(4,4+'5. Scenarios'!$D$8))/4)*'5. Scenarios'!$D$6/(1+ProductivityDefault*('5. Scenarios'!$D$11-1))+INDEX(BookOneOff,950)*$N955)</f>
        <v/>
      </c>
      <c r="S955" s="56" t="str">
        <f aca="false">IF(INDEX(BookTitle,950)="","",INDEX(BookTotal,950)*'5. Scenarios'!$E$6/(1+ProductivityDefault*('5. Scenarios'!$E$11-1)))</f>
        <v/>
      </c>
      <c r="T955" s="57" t="str">
        <f aca="false">IF($S955="","",INDEX(BookRate,950)*(1+'5. Scenarios'!$E$10)*$S955)</f>
        <v/>
      </c>
      <c r="U955" s="57" t="str">
        <f aca="false">IF($T955="","",SUMIFS($T$6:$T$2405,$A$6:$A$2405,"&lt;="&amp;$A955))</f>
        <v/>
      </c>
      <c r="V955" s="57" t="str">
        <f aca="false">IF($T955="","",IF($U955&lt;=BankCostEnvelope*'5. Scenarios'!$E$7,1,0))</f>
        <v/>
      </c>
      <c r="W955" s="57" t="str">
        <f aca="false">IF($S955="","",INDEX(BookRate,950)*(1+'5. Scenarios'!$E$10)*(INDEX(BookQ1,950)*(5-MIN(4,1+'5. Scenarios'!$E$8))/4+INDEX(BookQ2,950)*(5-MIN(4,2+'5. Scenarios'!$E$8))/4+INDEX(BookQ3,950)*(5-MIN(4,3+'5. Scenarios'!$E$8))/4+INDEX(BookQ4,950)*(5-MIN(4,4+'5. Scenarios'!$E$8))/4)*'5. Scenarios'!$E$6/(1+ProductivityDefault*('5. Scenarios'!$E$11-1))+INDEX(BookOneOff,950)*$S955)</f>
        <v/>
      </c>
    </row>
    <row r="956" customFormat="false" ht="15" hidden="false" customHeight="false" outlineLevel="0" collapsed="false">
      <c r="A956" s="0" t="str">
        <f aca="false">IF(INDEX(BookTitle,951)="","",INDEX(BookKey,951))</f>
        <v/>
      </c>
      <c r="B956" s="0" t="str">
        <f aca="false">IF(INDEX(BookTitle,951)="","",INDEX(BookGroup,951))</f>
        <v/>
      </c>
      <c r="C956" s="0" t="str">
        <f aca="false">IF(INDEX(BookTitle,951)="","",INDEX(BookCategory,951))</f>
        <v/>
      </c>
      <c r="D956" s="56" t="str">
        <f aca="false">IF(INDEX(BookTitle,951)="","",INDEX(BookTotal,951)*'5. Scenarios'!$B$6/(1+ProductivityDefault*('5. Scenarios'!$B$11-1)))</f>
        <v/>
      </c>
      <c r="E956" s="57" t="str">
        <f aca="false">IF($D956="","",INDEX(BookRate,951)*(1+'5. Scenarios'!$B$10)*$D956)</f>
        <v/>
      </c>
      <c r="F956" s="57" t="str">
        <f aca="false">IF($E956="","",SUMIFS($E$6:$E$2405,$A$6:$A$2405,"&lt;="&amp;$A956))</f>
        <v/>
      </c>
      <c r="G956" s="57" t="str">
        <f aca="false">IF($E956="","",IF($F956&lt;=BankCostEnvelope*'5. Scenarios'!$B$7,1,0))</f>
        <v/>
      </c>
      <c r="H956" s="57" t="str">
        <f aca="false">IF($D956="","",INDEX(BookRate,951)*(1+'5. Scenarios'!$B$10)*(INDEX(BookQ1,951)*(5-MIN(4,1+'5. Scenarios'!$B$8))/4+INDEX(BookQ2,951)*(5-MIN(4,2+'5. Scenarios'!$B$8))/4+INDEX(BookQ3,951)*(5-MIN(4,3+'5. Scenarios'!$B$8))/4+INDEX(BookQ4,951)*(5-MIN(4,4+'5. Scenarios'!$B$8))/4)*'5. Scenarios'!$B$6/(1+ProductivityDefault*('5. Scenarios'!$B$11-1))+INDEX(BookOneOff,951)*$D956)</f>
        <v/>
      </c>
      <c r="I956" s="56" t="str">
        <f aca="false">IF(INDEX(BookTitle,951)="","",INDEX(BookTotal,951)*'5. Scenarios'!$C$6/(1+ProductivityDefault*('5. Scenarios'!$C$11-1)))</f>
        <v/>
      </c>
      <c r="J956" s="57" t="str">
        <f aca="false">IF($I956="","",INDEX(BookRate,951)*(1+'5. Scenarios'!$C$10)*$I956)</f>
        <v/>
      </c>
      <c r="K956" s="57" t="str">
        <f aca="false">IF($J956="","",SUMIFS($J$6:$J$2405,$A$6:$A$2405,"&lt;="&amp;$A956))</f>
        <v/>
      </c>
      <c r="L956" s="57" t="str">
        <f aca="false">IF($J956="","",IF($K956&lt;=BankCostEnvelope*'5. Scenarios'!$C$7,1,0))</f>
        <v/>
      </c>
      <c r="M956" s="57" t="str">
        <f aca="false">IF($I956="","",INDEX(BookRate,951)*(1+'5. Scenarios'!$C$10)*(INDEX(BookQ1,951)*(5-MIN(4,1+'5. Scenarios'!$C$8))/4+INDEX(BookQ2,951)*(5-MIN(4,2+'5. Scenarios'!$C$8))/4+INDEX(BookQ3,951)*(5-MIN(4,3+'5. Scenarios'!$C$8))/4+INDEX(BookQ4,951)*(5-MIN(4,4+'5. Scenarios'!$C$8))/4)*'5. Scenarios'!$C$6/(1+ProductivityDefault*('5. Scenarios'!$C$11-1))+INDEX(BookOneOff,951)*$I956)</f>
        <v/>
      </c>
      <c r="N956" s="56" t="str">
        <f aca="false">IF(INDEX(BookTitle,951)="","",INDEX(BookTotal,951)*'5. Scenarios'!$D$6/(1+ProductivityDefault*('5. Scenarios'!$D$11-1)))</f>
        <v/>
      </c>
      <c r="O956" s="57" t="str">
        <f aca="false">IF($N956="","",INDEX(BookRate,951)*(1+'5. Scenarios'!$D$10)*$N956)</f>
        <v/>
      </c>
      <c r="P956" s="57" t="str">
        <f aca="false">IF($O956="","",SUMIFS($O$6:$O$2405,$A$6:$A$2405,"&lt;="&amp;$A956))</f>
        <v/>
      </c>
      <c r="Q956" s="57" t="str">
        <f aca="false">IF($O956="","",IF($P956&lt;=BankCostEnvelope*'5. Scenarios'!$D$7,1,0))</f>
        <v/>
      </c>
      <c r="R956" s="57" t="str">
        <f aca="false">IF($N956="","",INDEX(BookRate,951)*(1+'5. Scenarios'!$D$10)*(INDEX(BookQ1,951)*(5-MIN(4,1+'5. Scenarios'!$D$8))/4+INDEX(BookQ2,951)*(5-MIN(4,2+'5. Scenarios'!$D$8))/4+INDEX(BookQ3,951)*(5-MIN(4,3+'5. Scenarios'!$D$8))/4+INDEX(BookQ4,951)*(5-MIN(4,4+'5. Scenarios'!$D$8))/4)*'5. Scenarios'!$D$6/(1+ProductivityDefault*('5. Scenarios'!$D$11-1))+INDEX(BookOneOff,951)*$N956)</f>
        <v/>
      </c>
      <c r="S956" s="56" t="str">
        <f aca="false">IF(INDEX(BookTitle,951)="","",INDEX(BookTotal,951)*'5. Scenarios'!$E$6/(1+ProductivityDefault*('5. Scenarios'!$E$11-1)))</f>
        <v/>
      </c>
      <c r="T956" s="57" t="str">
        <f aca="false">IF($S956="","",INDEX(BookRate,951)*(1+'5. Scenarios'!$E$10)*$S956)</f>
        <v/>
      </c>
      <c r="U956" s="57" t="str">
        <f aca="false">IF($T956="","",SUMIFS($T$6:$T$2405,$A$6:$A$2405,"&lt;="&amp;$A956))</f>
        <v/>
      </c>
      <c r="V956" s="57" t="str">
        <f aca="false">IF($T956="","",IF($U956&lt;=BankCostEnvelope*'5. Scenarios'!$E$7,1,0))</f>
        <v/>
      </c>
      <c r="W956" s="57" t="str">
        <f aca="false">IF($S956="","",INDEX(BookRate,951)*(1+'5. Scenarios'!$E$10)*(INDEX(BookQ1,951)*(5-MIN(4,1+'5. Scenarios'!$E$8))/4+INDEX(BookQ2,951)*(5-MIN(4,2+'5. Scenarios'!$E$8))/4+INDEX(BookQ3,951)*(5-MIN(4,3+'5. Scenarios'!$E$8))/4+INDEX(BookQ4,951)*(5-MIN(4,4+'5. Scenarios'!$E$8))/4)*'5. Scenarios'!$E$6/(1+ProductivityDefault*('5. Scenarios'!$E$11-1))+INDEX(BookOneOff,951)*$S956)</f>
        <v/>
      </c>
    </row>
    <row r="957" customFormat="false" ht="15" hidden="false" customHeight="false" outlineLevel="0" collapsed="false">
      <c r="A957" s="0" t="str">
        <f aca="false">IF(INDEX(BookTitle,952)="","",INDEX(BookKey,952))</f>
        <v/>
      </c>
      <c r="B957" s="0" t="str">
        <f aca="false">IF(INDEX(BookTitle,952)="","",INDEX(BookGroup,952))</f>
        <v/>
      </c>
      <c r="C957" s="0" t="str">
        <f aca="false">IF(INDEX(BookTitle,952)="","",INDEX(BookCategory,952))</f>
        <v/>
      </c>
      <c r="D957" s="56" t="str">
        <f aca="false">IF(INDEX(BookTitle,952)="","",INDEX(BookTotal,952)*'5. Scenarios'!$B$6/(1+ProductivityDefault*('5. Scenarios'!$B$11-1)))</f>
        <v/>
      </c>
      <c r="E957" s="57" t="str">
        <f aca="false">IF($D957="","",INDEX(BookRate,952)*(1+'5. Scenarios'!$B$10)*$D957)</f>
        <v/>
      </c>
      <c r="F957" s="57" t="str">
        <f aca="false">IF($E957="","",SUMIFS($E$6:$E$2405,$A$6:$A$2405,"&lt;="&amp;$A957))</f>
        <v/>
      </c>
      <c r="G957" s="57" t="str">
        <f aca="false">IF($E957="","",IF($F957&lt;=BankCostEnvelope*'5. Scenarios'!$B$7,1,0))</f>
        <v/>
      </c>
      <c r="H957" s="57" t="str">
        <f aca="false">IF($D957="","",INDEX(BookRate,952)*(1+'5. Scenarios'!$B$10)*(INDEX(BookQ1,952)*(5-MIN(4,1+'5. Scenarios'!$B$8))/4+INDEX(BookQ2,952)*(5-MIN(4,2+'5. Scenarios'!$B$8))/4+INDEX(BookQ3,952)*(5-MIN(4,3+'5. Scenarios'!$B$8))/4+INDEX(BookQ4,952)*(5-MIN(4,4+'5. Scenarios'!$B$8))/4)*'5. Scenarios'!$B$6/(1+ProductivityDefault*('5. Scenarios'!$B$11-1))+INDEX(BookOneOff,952)*$D957)</f>
        <v/>
      </c>
      <c r="I957" s="56" t="str">
        <f aca="false">IF(INDEX(BookTitle,952)="","",INDEX(BookTotal,952)*'5. Scenarios'!$C$6/(1+ProductivityDefault*('5. Scenarios'!$C$11-1)))</f>
        <v/>
      </c>
      <c r="J957" s="57" t="str">
        <f aca="false">IF($I957="","",INDEX(BookRate,952)*(1+'5. Scenarios'!$C$10)*$I957)</f>
        <v/>
      </c>
      <c r="K957" s="57" t="str">
        <f aca="false">IF($J957="","",SUMIFS($J$6:$J$2405,$A$6:$A$2405,"&lt;="&amp;$A957))</f>
        <v/>
      </c>
      <c r="L957" s="57" t="str">
        <f aca="false">IF($J957="","",IF($K957&lt;=BankCostEnvelope*'5. Scenarios'!$C$7,1,0))</f>
        <v/>
      </c>
      <c r="M957" s="57" t="str">
        <f aca="false">IF($I957="","",INDEX(BookRate,952)*(1+'5. Scenarios'!$C$10)*(INDEX(BookQ1,952)*(5-MIN(4,1+'5. Scenarios'!$C$8))/4+INDEX(BookQ2,952)*(5-MIN(4,2+'5. Scenarios'!$C$8))/4+INDEX(BookQ3,952)*(5-MIN(4,3+'5. Scenarios'!$C$8))/4+INDEX(BookQ4,952)*(5-MIN(4,4+'5. Scenarios'!$C$8))/4)*'5. Scenarios'!$C$6/(1+ProductivityDefault*('5. Scenarios'!$C$11-1))+INDEX(BookOneOff,952)*$I957)</f>
        <v/>
      </c>
      <c r="N957" s="56" t="str">
        <f aca="false">IF(INDEX(BookTitle,952)="","",INDEX(BookTotal,952)*'5. Scenarios'!$D$6/(1+ProductivityDefault*('5. Scenarios'!$D$11-1)))</f>
        <v/>
      </c>
      <c r="O957" s="57" t="str">
        <f aca="false">IF($N957="","",INDEX(BookRate,952)*(1+'5. Scenarios'!$D$10)*$N957)</f>
        <v/>
      </c>
      <c r="P957" s="57" t="str">
        <f aca="false">IF($O957="","",SUMIFS($O$6:$O$2405,$A$6:$A$2405,"&lt;="&amp;$A957))</f>
        <v/>
      </c>
      <c r="Q957" s="57" t="str">
        <f aca="false">IF($O957="","",IF($P957&lt;=BankCostEnvelope*'5. Scenarios'!$D$7,1,0))</f>
        <v/>
      </c>
      <c r="R957" s="57" t="str">
        <f aca="false">IF($N957="","",INDEX(BookRate,952)*(1+'5. Scenarios'!$D$10)*(INDEX(BookQ1,952)*(5-MIN(4,1+'5. Scenarios'!$D$8))/4+INDEX(BookQ2,952)*(5-MIN(4,2+'5. Scenarios'!$D$8))/4+INDEX(BookQ3,952)*(5-MIN(4,3+'5. Scenarios'!$D$8))/4+INDEX(BookQ4,952)*(5-MIN(4,4+'5. Scenarios'!$D$8))/4)*'5. Scenarios'!$D$6/(1+ProductivityDefault*('5. Scenarios'!$D$11-1))+INDEX(BookOneOff,952)*$N957)</f>
        <v/>
      </c>
      <c r="S957" s="56" t="str">
        <f aca="false">IF(INDEX(BookTitle,952)="","",INDEX(BookTotal,952)*'5. Scenarios'!$E$6/(1+ProductivityDefault*('5. Scenarios'!$E$11-1)))</f>
        <v/>
      </c>
      <c r="T957" s="57" t="str">
        <f aca="false">IF($S957="","",INDEX(BookRate,952)*(1+'5. Scenarios'!$E$10)*$S957)</f>
        <v/>
      </c>
      <c r="U957" s="57" t="str">
        <f aca="false">IF($T957="","",SUMIFS($T$6:$T$2405,$A$6:$A$2405,"&lt;="&amp;$A957))</f>
        <v/>
      </c>
      <c r="V957" s="57" t="str">
        <f aca="false">IF($T957="","",IF($U957&lt;=BankCostEnvelope*'5. Scenarios'!$E$7,1,0))</f>
        <v/>
      </c>
      <c r="W957" s="57" t="str">
        <f aca="false">IF($S957="","",INDEX(BookRate,952)*(1+'5. Scenarios'!$E$10)*(INDEX(BookQ1,952)*(5-MIN(4,1+'5. Scenarios'!$E$8))/4+INDEX(BookQ2,952)*(5-MIN(4,2+'5. Scenarios'!$E$8))/4+INDEX(BookQ3,952)*(5-MIN(4,3+'5. Scenarios'!$E$8))/4+INDEX(BookQ4,952)*(5-MIN(4,4+'5. Scenarios'!$E$8))/4)*'5. Scenarios'!$E$6/(1+ProductivityDefault*('5. Scenarios'!$E$11-1))+INDEX(BookOneOff,952)*$S957)</f>
        <v/>
      </c>
    </row>
    <row r="958" customFormat="false" ht="15" hidden="false" customHeight="false" outlineLevel="0" collapsed="false">
      <c r="A958" s="0" t="str">
        <f aca="false">IF(INDEX(BookTitle,953)="","",INDEX(BookKey,953))</f>
        <v/>
      </c>
      <c r="B958" s="0" t="str">
        <f aca="false">IF(INDEX(BookTitle,953)="","",INDEX(BookGroup,953))</f>
        <v/>
      </c>
      <c r="C958" s="0" t="str">
        <f aca="false">IF(INDEX(BookTitle,953)="","",INDEX(BookCategory,953))</f>
        <v/>
      </c>
      <c r="D958" s="56" t="str">
        <f aca="false">IF(INDEX(BookTitle,953)="","",INDEX(BookTotal,953)*'5. Scenarios'!$B$6/(1+ProductivityDefault*('5. Scenarios'!$B$11-1)))</f>
        <v/>
      </c>
      <c r="E958" s="57" t="str">
        <f aca="false">IF($D958="","",INDEX(BookRate,953)*(1+'5. Scenarios'!$B$10)*$D958)</f>
        <v/>
      </c>
      <c r="F958" s="57" t="str">
        <f aca="false">IF($E958="","",SUMIFS($E$6:$E$2405,$A$6:$A$2405,"&lt;="&amp;$A958))</f>
        <v/>
      </c>
      <c r="G958" s="57" t="str">
        <f aca="false">IF($E958="","",IF($F958&lt;=BankCostEnvelope*'5. Scenarios'!$B$7,1,0))</f>
        <v/>
      </c>
      <c r="H958" s="57" t="str">
        <f aca="false">IF($D958="","",INDEX(BookRate,953)*(1+'5. Scenarios'!$B$10)*(INDEX(BookQ1,953)*(5-MIN(4,1+'5. Scenarios'!$B$8))/4+INDEX(BookQ2,953)*(5-MIN(4,2+'5. Scenarios'!$B$8))/4+INDEX(BookQ3,953)*(5-MIN(4,3+'5. Scenarios'!$B$8))/4+INDEX(BookQ4,953)*(5-MIN(4,4+'5. Scenarios'!$B$8))/4)*'5. Scenarios'!$B$6/(1+ProductivityDefault*('5. Scenarios'!$B$11-1))+INDEX(BookOneOff,953)*$D958)</f>
        <v/>
      </c>
      <c r="I958" s="56" t="str">
        <f aca="false">IF(INDEX(BookTitle,953)="","",INDEX(BookTotal,953)*'5. Scenarios'!$C$6/(1+ProductivityDefault*('5. Scenarios'!$C$11-1)))</f>
        <v/>
      </c>
      <c r="J958" s="57" t="str">
        <f aca="false">IF($I958="","",INDEX(BookRate,953)*(1+'5. Scenarios'!$C$10)*$I958)</f>
        <v/>
      </c>
      <c r="K958" s="57" t="str">
        <f aca="false">IF($J958="","",SUMIFS($J$6:$J$2405,$A$6:$A$2405,"&lt;="&amp;$A958))</f>
        <v/>
      </c>
      <c r="L958" s="57" t="str">
        <f aca="false">IF($J958="","",IF($K958&lt;=BankCostEnvelope*'5. Scenarios'!$C$7,1,0))</f>
        <v/>
      </c>
      <c r="M958" s="57" t="str">
        <f aca="false">IF($I958="","",INDEX(BookRate,953)*(1+'5. Scenarios'!$C$10)*(INDEX(BookQ1,953)*(5-MIN(4,1+'5. Scenarios'!$C$8))/4+INDEX(BookQ2,953)*(5-MIN(4,2+'5. Scenarios'!$C$8))/4+INDEX(BookQ3,953)*(5-MIN(4,3+'5. Scenarios'!$C$8))/4+INDEX(BookQ4,953)*(5-MIN(4,4+'5. Scenarios'!$C$8))/4)*'5. Scenarios'!$C$6/(1+ProductivityDefault*('5. Scenarios'!$C$11-1))+INDEX(BookOneOff,953)*$I958)</f>
        <v/>
      </c>
      <c r="N958" s="56" t="str">
        <f aca="false">IF(INDEX(BookTitle,953)="","",INDEX(BookTotal,953)*'5. Scenarios'!$D$6/(1+ProductivityDefault*('5. Scenarios'!$D$11-1)))</f>
        <v/>
      </c>
      <c r="O958" s="57" t="str">
        <f aca="false">IF($N958="","",INDEX(BookRate,953)*(1+'5. Scenarios'!$D$10)*$N958)</f>
        <v/>
      </c>
      <c r="P958" s="57" t="str">
        <f aca="false">IF($O958="","",SUMIFS($O$6:$O$2405,$A$6:$A$2405,"&lt;="&amp;$A958))</f>
        <v/>
      </c>
      <c r="Q958" s="57" t="str">
        <f aca="false">IF($O958="","",IF($P958&lt;=BankCostEnvelope*'5. Scenarios'!$D$7,1,0))</f>
        <v/>
      </c>
      <c r="R958" s="57" t="str">
        <f aca="false">IF($N958="","",INDEX(BookRate,953)*(1+'5. Scenarios'!$D$10)*(INDEX(BookQ1,953)*(5-MIN(4,1+'5. Scenarios'!$D$8))/4+INDEX(BookQ2,953)*(5-MIN(4,2+'5. Scenarios'!$D$8))/4+INDEX(BookQ3,953)*(5-MIN(4,3+'5. Scenarios'!$D$8))/4+INDEX(BookQ4,953)*(5-MIN(4,4+'5. Scenarios'!$D$8))/4)*'5. Scenarios'!$D$6/(1+ProductivityDefault*('5. Scenarios'!$D$11-1))+INDEX(BookOneOff,953)*$N958)</f>
        <v/>
      </c>
      <c r="S958" s="56" t="str">
        <f aca="false">IF(INDEX(BookTitle,953)="","",INDEX(BookTotal,953)*'5. Scenarios'!$E$6/(1+ProductivityDefault*('5. Scenarios'!$E$11-1)))</f>
        <v/>
      </c>
      <c r="T958" s="57" t="str">
        <f aca="false">IF($S958="","",INDEX(BookRate,953)*(1+'5. Scenarios'!$E$10)*$S958)</f>
        <v/>
      </c>
      <c r="U958" s="57" t="str">
        <f aca="false">IF($T958="","",SUMIFS($T$6:$T$2405,$A$6:$A$2405,"&lt;="&amp;$A958))</f>
        <v/>
      </c>
      <c r="V958" s="57" t="str">
        <f aca="false">IF($T958="","",IF($U958&lt;=BankCostEnvelope*'5. Scenarios'!$E$7,1,0))</f>
        <v/>
      </c>
      <c r="W958" s="57" t="str">
        <f aca="false">IF($S958="","",INDEX(BookRate,953)*(1+'5. Scenarios'!$E$10)*(INDEX(BookQ1,953)*(5-MIN(4,1+'5. Scenarios'!$E$8))/4+INDEX(BookQ2,953)*(5-MIN(4,2+'5. Scenarios'!$E$8))/4+INDEX(BookQ3,953)*(5-MIN(4,3+'5. Scenarios'!$E$8))/4+INDEX(BookQ4,953)*(5-MIN(4,4+'5. Scenarios'!$E$8))/4)*'5. Scenarios'!$E$6/(1+ProductivityDefault*('5. Scenarios'!$E$11-1))+INDEX(BookOneOff,953)*$S958)</f>
        <v/>
      </c>
    </row>
    <row r="959" customFormat="false" ht="15" hidden="false" customHeight="false" outlineLevel="0" collapsed="false">
      <c r="A959" s="0" t="str">
        <f aca="false">IF(INDEX(BookTitle,954)="","",INDEX(BookKey,954))</f>
        <v/>
      </c>
      <c r="B959" s="0" t="str">
        <f aca="false">IF(INDEX(BookTitle,954)="","",INDEX(BookGroup,954))</f>
        <v/>
      </c>
      <c r="C959" s="0" t="str">
        <f aca="false">IF(INDEX(BookTitle,954)="","",INDEX(BookCategory,954))</f>
        <v/>
      </c>
      <c r="D959" s="56" t="str">
        <f aca="false">IF(INDEX(BookTitle,954)="","",INDEX(BookTotal,954)*'5. Scenarios'!$B$6/(1+ProductivityDefault*('5. Scenarios'!$B$11-1)))</f>
        <v/>
      </c>
      <c r="E959" s="57" t="str">
        <f aca="false">IF($D959="","",INDEX(BookRate,954)*(1+'5. Scenarios'!$B$10)*$D959)</f>
        <v/>
      </c>
      <c r="F959" s="57" t="str">
        <f aca="false">IF($E959="","",SUMIFS($E$6:$E$2405,$A$6:$A$2405,"&lt;="&amp;$A959))</f>
        <v/>
      </c>
      <c r="G959" s="57" t="str">
        <f aca="false">IF($E959="","",IF($F959&lt;=BankCostEnvelope*'5. Scenarios'!$B$7,1,0))</f>
        <v/>
      </c>
      <c r="H959" s="57" t="str">
        <f aca="false">IF($D959="","",INDEX(BookRate,954)*(1+'5. Scenarios'!$B$10)*(INDEX(BookQ1,954)*(5-MIN(4,1+'5. Scenarios'!$B$8))/4+INDEX(BookQ2,954)*(5-MIN(4,2+'5. Scenarios'!$B$8))/4+INDEX(BookQ3,954)*(5-MIN(4,3+'5. Scenarios'!$B$8))/4+INDEX(BookQ4,954)*(5-MIN(4,4+'5. Scenarios'!$B$8))/4)*'5. Scenarios'!$B$6/(1+ProductivityDefault*('5. Scenarios'!$B$11-1))+INDEX(BookOneOff,954)*$D959)</f>
        <v/>
      </c>
      <c r="I959" s="56" t="str">
        <f aca="false">IF(INDEX(BookTitle,954)="","",INDEX(BookTotal,954)*'5. Scenarios'!$C$6/(1+ProductivityDefault*('5. Scenarios'!$C$11-1)))</f>
        <v/>
      </c>
      <c r="J959" s="57" t="str">
        <f aca="false">IF($I959="","",INDEX(BookRate,954)*(1+'5. Scenarios'!$C$10)*$I959)</f>
        <v/>
      </c>
      <c r="K959" s="57" t="str">
        <f aca="false">IF($J959="","",SUMIFS($J$6:$J$2405,$A$6:$A$2405,"&lt;="&amp;$A959))</f>
        <v/>
      </c>
      <c r="L959" s="57" t="str">
        <f aca="false">IF($J959="","",IF($K959&lt;=BankCostEnvelope*'5. Scenarios'!$C$7,1,0))</f>
        <v/>
      </c>
      <c r="M959" s="57" t="str">
        <f aca="false">IF($I959="","",INDEX(BookRate,954)*(1+'5. Scenarios'!$C$10)*(INDEX(BookQ1,954)*(5-MIN(4,1+'5. Scenarios'!$C$8))/4+INDEX(BookQ2,954)*(5-MIN(4,2+'5. Scenarios'!$C$8))/4+INDEX(BookQ3,954)*(5-MIN(4,3+'5. Scenarios'!$C$8))/4+INDEX(BookQ4,954)*(5-MIN(4,4+'5. Scenarios'!$C$8))/4)*'5. Scenarios'!$C$6/(1+ProductivityDefault*('5. Scenarios'!$C$11-1))+INDEX(BookOneOff,954)*$I959)</f>
        <v/>
      </c>
      <c r="N959" s="56" t="str">
        <f aca="false">IF(INDEX(BookTitle,954)="","",INDEX(BookTotal,954)*'5. Scenarios'!$D$6/(1+ProductivityDefault*('5. Scenarios'!$D$11-1)))</f>
        <v/>
      </c>
      <c r="O959" s="57" t="str">
        <f aca="false">IF($N959="","",INDEX(BookRate,954)*(1+'5. Scenarios'!$D$10)*$N959)</f>
        <v/>
      </c>
      <c r="P959" s="57" t="str">
        <f aca="false">IF($O959="","",SUMIFS($O$6:$O$2405,$A$6:$A$2405,"&lt;="&amp;$A959))</f>
        <v/>
      </c>
      <c r="Q959" s="57" t="str">
        <f aca="false">IF($O959="","",IF($P959&lt;=BankCostEnvelope*'5. Scenarios'!$D$7,1,0))</f>
        <v/>
      </c>
      <c r="R959" s="57" t="str">
        <f aca="false">IF($N959="","",INDEX(BookRate,954)*(1+'5. Scenarios'!$D$10)*(INDEX(BookQ1,954)*(5-MIN(4,1+'5. Scenarios'!$D$8))/4+INDEX(BookQ2,954)*(5-MIN(4,2+'5. Scenarios'!$D$8))/4+INDEX(BookQ3,954)*(5-MIN(4,3+'5. Scenarios'!$D$8))/4+INDEX(BookQ4,954)*(5-MIN(4,4+'5. Scenarios'!$D$8))/4)*'5. Scenarios'!$D$6/(1+ProductivityDefault*('5. Scenarios'!$D$11-1))+INDEX(BookOneOff,954)*$N959)</f>
        <v/>
      </c>
      <c r="S959" s="56" t="str">
        <f aca="false">IF(INDEX(BookTitle,954)="","",INDEX(BookTotal,954)*'5. Scenarios'!$E$6/(1+ProductivityDefault*('5. Scenarios'!$E$11-1)))</f>
        <v/>
      </c>
      <c r="T959" s="57" t="str">
        <f aca="false">IF($S959="","",INDEX(BookRate,954)*(1+'5. Scenarios'!$E$10)*$S959)</f>
        <v/>
      </c>
      <c r="U959" s="57" t="str">
        <f aca="false">IF($T959="","",SUMIFS($T$6:$T$2405,$A$6:$A$2405,"&lt;="&amp;$A959))</f>
        <v/>
      </c>
      <c r="V959" s="57" t="str">
        <f aca="false">IF($T959="","",IF($U959&lt;=BankCostEnvelope*'5. Scenarios'!$E$7,1,0))</f>
        <v/>
      </c>
      <c r="W959" s="57" t="str">
        <f aca="false">IF($S959="","",INDEX(BookRate,954)*(1+'5. Scenarios'!$E$10)*(INDEX(BookQ1,954)*(5-MIN(4,1+'5. Scenarios'!$E$8))/4+INDEX(BookQ2,954)*(5-MIN(4,2+'5. Scenarios'!$E$8))/4+INDEX(BookQ3,954)*(5-MIN(4,3+'5. Scenarios'!$E$8))/4+INDEX(BookQ4,954)*(5-MIN(4,4+'5. Scenarios'!$E$8))/4)*'5. Scenarios'!$E$6/(1+ProductivityDefault*('5. Scenarios'!$E$11-1))+INDEX(BookOneOff,954)*$S959)</f>
        <v/>
      </c>
    </row>
    <row r="960" customFormat="false" ht="15" hidden="false" customHeight="false" outlineLevel="0" collapsed="false">
      <c r="A960" s="0" t="str">
        <f aca="false">IF(INDEX(BookTitle,955)="","",INDEX(BookKey,955))</f>
        <v/>
      </c>
      <c r="B960" s="0" t="str">
        <f aca="false">IF(INDEX(BookTitle,955)="","",INDEX(BookGroup,955))</f>
        <v/>
      </c>
      <c r="C960" s="0" t="str">
        <f aca="false">IF(INDEX(BookTitle,955)="","",INDEX(BookCategory,955))</f>
        <v/>
      </c>
      <c r="D960" s="56" t="str">
        <f aca="false">IF(INDEX(BookTitle,955)="","",INDEX(BookTotal,955)*'5. Scenarios'!$B$6/(1+ProductivityDefault*('5. Scenarios'!$B$11-1)))</f>
        <v/>
      </c>
      <c r="E960" s="57" t="str">
        <f aca="false">IF($D960="","",INDEX(BookRate,955)*(1+'5. Scenarios'!$B$10)*$D960)</f>
        <v/>
      </c>
      <c r="F960" s="57" t="str">
        <f aca="false">IF($E960="","",SUMIFS($E$6:$E$2405,$A$6:$A$2405,"&lt;="&amp;$A960))</f>
        <v/>
      </c>
      <c r="G960" s="57" t="str">
        <f aca="false">IF($E960="","",IF($F960&lt;=BankCostEnvelope*'5. Scenarios'!$B$7,1,0))</f>
        <v/>
      </c>
      <c r="H960" s="57" t="str">
        <f aca="false">IF($D960="","",INDEX(BookRate,955)*(1+'5. Scenarios'!$B$10)*(INDEX(BookQ1,955)*(5-MIN(4,1+'5. Scenarios'!$B$8))/4+INDEX(BookQ2,955)*(5-MIN(4,2+'5. Scenarios'!$B$8))/4+INDEX(BookQ3,955)*(5-MIN(4,3+'5. Scenarios'!$B$8))/4+INDEX(BookQ4,955)*(5-MIN(4,4+'5. Scenarios'!$B$8))/4)*'5. Scenarios'!$B$6/(1+ProductivityDefault*('5. Scenarios'!$B$11-1))+INDEX(BookOneOff,955)*$D960)</f>
        <v/>
      </c>
      <c r="I960" s="56" t="str">
        <f aca="false">IF(INDEX(BookTitle,955)="","",INDEX(BookTotal,955)*'5. Scenarios'!$C$6/(1+ProductivityDefault*('5. Scenarios'!$C$11-1)))</f>
        <v/>
      </c>
      <c r="J960" s="57" t="str">
        <f aca="false">IF($I960="","",INDEX(BookRate,955)*(1+'5. Scenarios'!$C$10)*$I960)</f>
        <v/>
      </c>
      <c r="K960" s="57" t="str">
        <f aca="false">IF($J960="","",SUMIFS($J$6:$J$2405,$A$6:$A$2405,"&lt;="&amp;$A960))</f>
        <v/>
      </c>
      <c r="L960" s="57" t="str">
        <f aca="false">IF($J960="","",IF($K960&lt;=BankCostEnvelope*'5. Scenarios'!$C$7,1,0))</f>
        <v/>
      </c>
      <c r="M960" s="57" t="str">
        <f aca="false">IF($I960="","",INDEX(BookRate,955)*(1+'5. Scenarios'!$C$10)*(INDEX(BookQ1,955)*(5-MIN(4,1+'5. Scenarios'!$C$8))/4+INDEX(BookQ2,955)*(5-MIN(4,2+'5. Scenarios'!$C$8))/4+INDEX(BookQ3,955)*(5-MIN(4,3+'5. Scenarios'!$C$8))/4+INDEX(BookQ4,955)*(5-MIN(4,4+'5. Scenarios'!$C$8))/4)*'5. Scenarios'!$C$6/(1+ProductivityDefault*('5. Scenarios'!$C$11-1))+INDEX(BookOneOff,955)*$I960)</f>
        <v/>
      </c>
      <c r="N960" s="56" t="str">
        <f aca="false">IF(INDEX(BookTitle,955)="","",INDEX(BookTotal,955)*'5. Scenarios'!$D$6/(1+ProductivityDefault*('5. Scenarios'!$D$11-1)))</f>
        <v/>
      </c>
      <c r="O960" s="57" t="str">
        <f aca="false">IF($N960="","",INDEX(BookRate,955)*(1+'5. Scenarios'!$D$10)*$N960)</f>
        <v/>
      </c>
      <c r="P960" s="57" t="str">
        <f aca="false">IF($O960="","",SUMIFS($O$6:$O$2405,$A$6:$A$2405,"&lt;="&amp;$A960))</f>
        <v/>
      </c>
      <c r="Q960" s="57" t="str">
        <f aca="false">IF($O960="","",IF($P960&lt;=BankCostEnvelope*'5. Scenarios'!$D$7,1,0))</f>
        <v/>
      </c>
      <c r="R960" s="57" t="str">
        <f aca="false">IF($N960="","",INDEX(BookRate,955)*(1+'5. Scenarios'!$D$10)*(INDEX(BookQ1,955)*(5-MIN(4,1+'5. Scenarios'!$D$8))/4+INDEX(BookQ2,955)*(5-MIN(4,2+'5. Scenarios'!$D$8))/4+INDEX(BookQ3,955)*(5-MIN(4,3+'5. Scenarios'!$D$8))/4+INDEX(BookQ4,955)*(5-MIN(4,4+'5. Scenarios'!$D$8))/4)*'5. Scenarios'!$D$6/(1+ProductivityDefault*('5. Scenarios'!$D$11-1))+INDEX(BookOneOff,955)*$N960)</f>
        <v/>
      </c>
      <c r="S960" s="56" t="str">
        <f aca="false">IF(INDEX(BookTitle,955)="","",INDEX(BookTotal,955)*'5. Scenarios'!$E$6/(1+ProductivityDefault*('5. Scenarios'!$E$11-1)))</f>
        <v/>
      </c>
      <c r="T960" s="57" t="str">
        <f aca="false">IF($S960="","",INDEX(BookRate,955)*(1+'5. Scenarios'!$E$10)*$S960)</f>
        <v/>
      </c>
      <c r="U960" s="57" t="str">
        <f aca="false">IF($T960="","",SUMIFS($T$6:$T$2405,$A$6:$A$2405,"&lt;="&amp;$A960))</f>
        <v/>
      </c>
      <c r="V960" s="57" t="str">
        <f aca="false">IF($T960="","",IF($U960&lt;=BankCostEnvelope*'5. Scenarios'!$E$7,1,0))</f>
        <v/>
      </c>
      <c r="W960" s="57" t="str">
        <f aca="false">IF($S960="","",INDEX(BookRate,955)*(1+'5. Scenarios'!$E$10)*(INDEX(BookQ1,955)*(5-MIN(4,1+'5. Scenarios'!$E$8))/4+INDEX(BookQ2,955)*(5-MIN(4,2+'5. Scenarios'!$E$8))/4+INDEX(BookQ3,955)*(5-MIN(4,3+'5. Scenarios'!$E$8))/4+INDEX(BookQ4,955)*(5-MIN(4,4+'5. Scenarios'!$E$8))/4)*'5. Scenarios'!$E$6/(1+ProductivityDefault*('5. Scenarios'!$E$11-1))+INDEX(BookOneOff,955)*$S960)</f>
        <v/>
      </c>
    </row>
    <row r="961" customFormat="false" ht="15" hidden="false" customHeight="false" outlineLevel="0" collapsed="false">
      <c r="A961" s="0" t="str">
        <f aca="false">IF(INDEX(BookTitle,956)="","",INDEX(BookKey,956))</f>
        <v/>
      </c>
      <c r="B961" s="0" t="str">
        <f aca="false">IF(INDEX(BookTitle,956)="","",INDEX(BookGroup,956))</f>
        <v/>
      </c>
      <c r="C961" s="0" t="str">
        <f aca="false">IF(INDEX(BookTitle,956)="","",INDEX(BookCategory,956))</f>
        <v/>
      </c>
      <c r="D961" s="56" t="str">
        <f aca="false">IF(INDEX(BookTitle,956)="","",INDEX(BookTotal,956)*'5. Scenarios'!$B$6/(1+ProductivityDefault*('5. Scenarios'!$B$11-1)))</f>
        <v/>
      </c>
      <c r="E961" s="57" t="str">
        <f aca="false">IF($D961="","",INDEX(BookRate,956)*(1+'5. Scenarios'!$B$10)*$D961)</f>
        <v/>
      </c>
      <c r="F961" s="57" t="str">
        <f aca="false">IF($E961="","",SUMIFS($E$6:$E$2405,$A$6:$A$2405,"&lt;="&amp;$A961))</f>
        <v/>
      </c>
      <c r="G961" s="57" t="str">
        <f aca="false">IF($E961="","",IF($F961&lt;=BankCostEnvelope*'5. Scenarios'!$B$7,1,0))</f>
        <v/>
      </c>
      <c r="H961" s="57" t="str">
        <f aca="false">IF($D961="","",INDEX(BookRate,956)*(1+'5. Scenarios'!$B$10)*(INDEX(BookQ1,956)*(5-MIN(4,1+'5. Scenarios'!$B$8))/4+INDEX(BookQ2,956)*(5-MIN(4,2+'5. Scenarios'!$B$8))/4+INDEX(BookQ3,956)*(5-MIN(4,3+'5. Scenarios'!$B$8))/4+INDEX(BookQ4,956)*(5-MIN(4,4+'5. Scenarios'!$B$8))/4)*'5. Scenarios'!$B$6/(1+ProductivityDefault*('5. Scenarios'!$B$11-1))+INDEX(BookOneOff,956)*$D961)</f>
        <v/>
      </c>
      <c r="I961" s="56" t="str">
        <f aca="false">IF(INDEX(BookTitle,956)="","",INDEX(BookTotal,956)*'5. Scenarios'!$C$6/(1+ProductivityDefault*('5. Scenarios'!$C$11-1)))</f>
        <v/>
      </c>
      <c r="J961" s="57" t="str">
        <f aca="false">IF($I961="","",INDEX(BookRate,956)*(1+'5. Scenarios'!$C$10)*$I961)</f>
        <v/>
      </c>
      <c r="K961" s="57" t="str">
        <f aca="false">IF($J961="","",SUMIFS($J$6:$J$2405,$A$6:$A$2405,"&lt;="&amp;$A961))</f>
        <v/>
      </c>
      <c r="L961" s="57" t="str">
        <f aca="false">IF($J961="","",IF($K961&lt;=BankCostEnvelope*'5. Scenarios'!$C$7,1,0))</f>
        <v/>
      </c>
      <c r="M961" s="57" t="str">
        <f aca="false">IF($I961="","",INDEX(BookRate,956)*(1+'5. Scenarios'!$C$10)*(INDEX(BookQ1,956)*(5-MIN(4,1+'5. Scenarios'!$C$8))/4+INDEX(BookQ2,956)*(5-MIN(4,2+'5. Scenarios'!$C$8))/4+INDEX(BookQ3,956)*(5-MIN(4,3+'5. Scenarios'!$C$8))/4+INDEX(BookQ4,956)*(5-MIN(4,4+'5. Scenarios'!$C$8))/4)*'5. Scenarios'!$C$6/(1+ProductivityDefault*('5. Scenarios'!$C$11-1))+INDEX(BookOneOff,956)*$I961)</f>
        <v/>
      </c>
      <c r="N961" s="56" t="str">
        <f aca="false">IF(INDEX(BookTitle,956)="","",INDEX(BookTotal,956)*'5. Scenarios'!$D$6/(1+ProductivityDefault*('5. Scenarios'!$D$11-1)))</f>
        <v/>
      </c>
      <c r="O961" s="57" t="str">
        <f aca="false">IF($N961="","",INDEX(BookRate,956)*(1+'5. Scenarios'!$D$10)*$N961)</f>
        <v/>
      </c>
      <c r="P961" s="57" t="str">
        <f aca="false">IF($O961="","",SUMIFS($O$6:$O$2405,$A$6:$A$2405,"&lt;="&amp;$A961))</f>
        <v/>
      </c>
      <c r="Q961" s="57" t="str">
        <f aca="false">IF($O961="","",IF($P961&lt;=BankCostEnvelope*'5. Scenarios'!$D$7,1,0))</f>
        <v/>
      </c>
      <c r="R961" s="57" t="str">
        <f aca="false">IF($N961="","",INDEX(BookRate,956)*(1+'5. Scenarios'!$D$10)*(INDEX(BookQ1,956)*(5-MIN(4,1+'5. Scenarios'!$D$8))/4+INDEX(BookQ2,956)*(5-MIN(4,2+'5. Scenarios'!$D$8))/4+INDEX(BookQ3,956)*(5-MIN(4,3+'5. Scenarios'!$D$8))/4+INDEX(BookQ4,956)*(5-MIN(4,4+'5. Scenarios'!$D$8))/4)*'5. Scenarios'!$D$6/(1+ProductivityDefault*('5. Scenarios'!$D$11-1))+INDEX(BookOneOff,956)*$N961)</f>
        <v/>
      </c>
      <c r="S961" s="56" t="str">
        <f aca="false">IF(INDEX(BookTitle,956)="","",INDEX(BookTotal,956)*'5. Scenarios'!$E$6/(1+ProductivityDefault*('5. Scenarios'!$E$11-1)))</f>
        <v/>
      </c>
      <c r="T961" s="57" t="str">
        <f aca="false">IF($S961="","",INDEX(BookRate,956)*(1+'5. Scenarios'!$E$10)*$S961)</f>
        <v/>
      </c>
      <c r="U961" s="57" t="str">
        <f aca="false">IF($T961="","",SUMIFS($T$6:$T$2405,$A$6:$A$2405,"&lt;="&amp;$A961))</f>
        <v/>
      </c>
      <c r="V961" s="57" t="str">
        <f aca="false">IF($T961="","",IF($U961&lt;=BankCostEnvelope*'5. Scenarios'!$E$7,1,0))</f>
        <v/>
      </c>
      <c r="W961" s="57" t="str">
        <f aca="false">IF($S961="","",INDEX(BookRate,956)*(1+'5. Scenarios'!$E$10)*(INDEX(BookQ1,956)*(5-MIN(4,1+'5. Scenarios'!$E$8))/4+INDEX(BookQ2,956)*(5-MIN(4,2+'5. Scenarios'!$E$8))/4+INDEX(BookQ3,956)*(5-MIN(4,3+'5. Scenarios'!$E$8))/4+INDEX(BookQ4,956)*(5-MIN(4,4+'5. Scenarios'!$E$8))/4)*'5. Scenarios'!$E$6/(1+ProductivityDefault*('5. Scenarios'!$E$11-1))+INDEX(BookOneOff,956)*$S961)</f>
        <v/>
      </c>
    </row>
    <row r="962" customFormat="false" ht="15" hidden="false" customHeight="false" outlineLevel="0" collapsed="false">
      <c r="A962" s="0" t="str">
        <f aca="false">IF(INDEX(BookTitle,957)="","",INDEX(BookKey,957))</f>
        <v/>
      </c>
      <c r="B962" s="0" t="str">
        <f aca="false">IF(INDEX(BookTitle,957)="","",INDEX(BookGroup,957))</f>
        <v/>
      </c>
      <c r="C962" s="0" t="str">
        <f aca="false">IF(INDEX(BookTitle,957)="","",INDEX(BookCategory,957))</f>
        <v/>
      </c>
      <c r="D962" s="56" t="str">
        <f aca="false">IF(INDEX(BookTitle,957)="","",INDEX(BookTotal,957)*'5. Scenarios'!$B$6/(1+ProductivityDefault*('5. Scenarios'!$B$11-1)))</f>
        <v/>
      </c>
      <c r="E962" s="57" t="str">
        <f aca="false">IF($D962="","",INDEX(BookRate,957)*(1+'5. Scenarios'!$B$10)*$D962)</f>
        <v/>
      </c>
      <c r="F962" s="57" t="str">
        <f aca="false">IF($E962="","",SUMIFS($E$6:$E$2405,$A$6:$A$2405,"&lt;="&amp;$A962))</f>
        <v/>
      </c>
      <c r="G962" s="57" t="str">
        <f aca="false">IF($E962="","",IF($F962&lt;=BankCostEnvelope*'5. Scenarios'!$B$7,1,0))</f>
        <v/>
      </c>
      <c r="H962" s="57" t="str">
        <f aca="false">IF($D962="","",INDEX(BookRate,957)*(1+'5. Scenarios'!$B$10)*(INDEX(BookQ1,957)*(5-MIN(4,1+'5. Scenarios'!$B$8))/4+INDEX(BookQ2,957)*(5-MIN(4,2+'5. Scenarios'!$B$8))/4+INDEX(BookQ3,957)*(5-MIN(4,3+'5. Scenarios'!$B$8))/4+INDEX(BookQ4,957)*(5-MIN(4,4+'5. Scenarios'!$B$8))/4)*'5. Scenarios'!$B$6/(1+ProductivityDefault*('5. Scenarios'!$B$11-1))+INDEX(BookOneOff,957)*$D962)</f>
        <v/>
      </c>
      <c r="I962" s="56" t="str">
        <f aca="false">IF(INDEX(BookTitle,957)="","",INDEX(BookTotal,957)*'5. Scenarios'!$C$6/(1+ProductivityDefault*('5. Scenarios'!$C$11-1)))</f>
        <v/>
      </c>
      <c r="J962" s="57" t="str">
        <f aca="false">IF($I962="","",INDEX(BookRate,957)*(1+'5. Scenarios'!$C$10)*$I962)</f>
        <v/>
      </c>
      <c r="K962" s="57" t="str">
        <f aca="false">IF($J962="","",SUMIFS($J$6:$J$2405,$A$6:$A$2405,"&lt;="&amp;$A962))</f>
        <v/>
      </c>
      <c r="L962" s="57" t="str">
        <f aca="false">IF($J962="","",IF($K962&lt;=BankCostEnvelope*'5. Scenarios'!$C$7,1,0))</f>
        <v/>
      </c>
      <c r="M962" s="57" t="str">
        <f aca="false">IF($I962="","",INDEX(BookRate,957)*(1+'5. Scenarios'!$C$10)*(INDEX(BookQ1,957)*(5-MIN(4,1+'5. Scenarios'!$C$8))/4+INDEX(BookQ2,957)*(5-MIN(4,2+'5. Scenarios'!$C$8))/4+INDEX(BookQ3,957)*(5-MIN(4,3+'5. Scenarios'!$C$8))/4+INDEX(BookQ4,957)*(5-MIN(4,4+'5. Scenarios'!$C$8))/4)*'5. Scenarios'!$C$6/(1+ProductivityDefault*('5. Scenarios'!$C$11-1))+INDEX(BookOneOff,957)*$I962)</f>
        <v/>
      </c>
      <c r="N962" s="56" t="str">
        <f aca="false">IF(INDEX(BookTitle,957)="","",INDEX(BookTotal,957)*'5. Scenarios'!$D$6/(1+ProductivityDefault*('5. Scenarios'!$D$11-1)))</f>
        <v/>
      </c>
      <c r="O962" s="57" t="str">
        <f aca="false">IF($N962="","",INDEX(BookRate,957)*(1+'5. Scenarios'!$D$10)*$N962)</f>
        <v/>
      </c>
      <c r="P962" s="57" t="str">
        <f aca="false">IF($O962="","",SUMIFS($O$6:$O$2405,$A$6:$A$2405,"&lt;="&amp;$A962))</f>
        <v/>
      </c>
      <c r="Q962" s="57" t="str">
        <f aca="false">IF($O962="","",IF($P962&lt;=BankCostEnvelope*'5. Scenarios'!$D$7,1,0))</f>
        <v/>
      </c>
      <c r="R962" s="57" t="str">
        <f aca="false">IF($N962="","",INDEX(BookRate,957)*(1+'5. Scenarios'!$D$10)*(INDEX(BookQ1,957)*(5-MIN(4,1+'5. Scenarios'!$D$8))/4+INDEX(BookQ2,957)*(5-MIN(4,2+'5. Scenarios'!$D$8))/4+INDEX(BookQ3,957)*(5-MIN(4,3+'5. Scenarios'!$D$8))/4+INDEX(BookQ4,957)*(5-MIN(4,4+'5. Scenarios'!$D$8))/4)*'5. Scenarios'!$D$6/(1+ProductivityDefault*('5. Scenarios'!$D$11-1))+INDEX(BookOneOff,957)*$N962)</f>
        <v/>
      </c>
      <c r="S962" s="56" t="str">
        <f aca="false">IF(INDEX(BookTitle,957)="","",INDEX(BookTotal,957)*'5. Scenarios'!$E$6/(1+ProductivityDefault*('5. Scenarios'!$E$11-1)))</f>
        <v/>
      </c>
      <c r="T962" s="57" t="str">
        <f aca="false">IF($S962="","",INDEX(BookRate,957)*(1+'5. Scenarios'!$E$10)*$S962)</f>
        <v/>
      </c>
      <c r="U962" s="57" t="str">
        <f aca="false">IF($T962="","",SUMIFS($T$6:$T$2405,$A$6:$A$2405,"&lt;="&amp;$A962))</f>
        <v/>
      </c>
      <c r="V962" s="57" t="str">
        <f aca="false">IF($T962="","",IF($U962&lt;=BankCostEnvelope*'5. Scenarios'!$E$7,1,0))</f>
        <v/>
      </c>
      <c r="W962" s="57" t="str">
        <f aca="false">IF($S962="","",INDEX(BookRate,957)*(1+'5. Scenarios'!$E$10)*(INDEX(BookQ1,957)*(5-MIN(4,1+'5. Scenarios'!$E$8))/4+INDEX(BookQ2,957)*(5-MIN(4,2+'5. Scenarios'!$E$8))/4+INDEX(BookQ3,957)*(5-MIN(4,3+'5. Scenarios'!$E$8))/4+INDEX(BookQ4,957)*(5-MIN(4,4+'5. Scenarios'!$E$8))/4)*'5. Scenarios'!$E$6/(1+ProductivityDefault*('5. Scenarios'!$E$11-1))+INDEX(BookOneOff,957)*$S962)</f>
        <v/>
      </c>
    </row>
    <row r="963" customFormat="false" ht="15" hidden="false" customHeight="false" outlineLevel="0" collapsed="false">
      <c r="A963" s="0" t="str">
        <f aca="false">IF(INDEX(BookTitle,958)="","",INDEX(BookKey,958))</f>
        <v/>
      </c>
      <c r="B963" s="0" t="str">
        <f aca="false">IF(INDEX(BookTitle,958)="","",INDEX(BookGroup,958))</f>
        <v/>
      </c>
      <c r="C963" s="0" t="str">
        <f aca="false">IF(INDEX(BookTitle,958)="","",INDEX(BookCategory,958))</f>
        <v/>
      </c>
      <c r="D963" s="56" t="str">
        <f aca="false">IF(INDEX(BookTitle,958)="","",INDEX(BookTotal,958)*'5. Scenarios'!$B$6/(1+ProductivityDefault*('5. Scenarios'!$B$11-1)))</f>
        <v/>
      </c>
      <c r="E963" s="57" t="str">
        <f aca="false">IF($D963="","",INDEX(BookRate,958)*(1+'5. Scenarios'!$B$10)*$D963)</f>
        <v/>
      </c>
      <c r="F963" s="57" t="str">
        <f aca="false">IF($E963="","",SUMIFS($E$6:$E$2405,$A$6:$A$2405,"&lt;="&amp;$A963))</f>
        <v/>
      </c>
      <c r="G963" s="57" t="str">
        <f aca="false">IF($E963="","",IF($F963&lt;=BankCostEnvelope*'5. Scenarios'!$B$7,1,0))</f>
        <v/>
      </c>
      <c r="H963" s="57" t="str">
        <f aca="false">IF($D963="","",INDEX(BookRate,958)*(1+'5. Scenarios'!$B$10)*(INDEX(BookQ1,958)*(5-MIN(4,1+'5. Scenarios'!$B$8))/4+INDEX(BookQ2,958)*(5-MIN(4,2+'5. Scenarios'!$B$8))/4+INDEX(BookQ3,958)*(5-MIN(4,3+'5. Scenarios'!$B$8))/4+INDEX(BookQ4,958)*(5-MIN(4,4+'5. Scenarios'!$B$8))/4)*'5. Scenarios'!$B$6/(1+ProductivityDefault*('5. Scenarios'!$B$11-1))+INDEX(BookOneOff,958)*$D963)</f>
        <v/>
      </c>
      <c r="I963" s="56" t="str">
        <f aca="false">IF(INDEX(BookTitle,958)="","",INDEX(BookTotal,958)*'5. Scenarios'!$C$6/(1+ProductivityDefault*('5. Scenarios'!$C$11-1)))</f>
        <v/>
      </c>
      <c r="J963" s="57" t="str">
        <f aca="false">IF($I963="","",INDEX(BookRate,958)*(1+'5. Scenarios'!$C$10)*$I963)</f>
        <v/>
      </c>
      <c r="K963" s="57" t="str">
        <f aca="false">IF($J963="","",SUMIFS($J$6:$J$2405,$A$6:$A$2405,"&lt;="&amp;$A963))</f>
        <v/>
      </c>
      <c r="L963" s="57" t="str">
        <f aca="false">IF($J963="","",IF($K963&lt;=BankCostEnvelope*'5. Scenarios'!$C$7,1,0))</f>
        <v/>
      </c>
      <c r="M963" s="57" t="str">
        <f aca="false">IF($I963="","",INDEX(BookRate,958)*(1+'5. Scenarios'!$C$10)*(INDEX(BookQ1,958)*(5-MIN(4,1+'5. Scenarios'!$C$8))/4+INDEX(BookQ2,958)*(5-MIN(4,2+'5. Scenarios'!$C$8))/4+INDEX(BookQ3,958)*(5-MIN(4,3+'5. Scenarios'!$C$8))/4+INDEX(BookQ4,958)*(5-MIN(4,4+'5. Scenarios'!$C$8))/4)*'5. Scenarios'!$C$6/(1+ProductivityDefault*('5. Scenarios'!$C$11-1))+INDEX(BookOneOff,958)*$I963)</f>
        <v/>
      </c>
      <c r="N963" s="56" t="str">
        <f aca="false">IF(INDEX(BookTitle,958)="","",INDEX(BookTotal,958)*'5. Scenarios'!$D$6/(1+ProductivityDefault*('5. Scenarios'!$D$11-1)))</f>
        <v/>
      </c>
      <c r="O963" s="57" t="str">
        <f aca="false">IF($N963="","",INDEX(BookRate,958)*(1+'5. Scenarios'!$D$10)*$N963)</f>
        <v/>
      </c>
      <c r="P963" s="57" t="str">
        <f aca="false">IF($O963="","",SUMIFS($O$6:$O$2405,$A$6:$A$2405,"&lt;="&amp;$A963))</f>
        <v/>
      </c>
      <c r="Q963" s="57" t="str">
        <f aca="false">IF($O963="","",IF($P963&lt;=BankCostEnvelope*'5. Scenarios'!$D$7,1,0))</f>
        <v/>
      </c>
      <c r="R963" s="57" t="str">
        <f aca="false">IF($N963="","",INDEX(BookRate,958)*(1+'5. Scenarios'!$D$10)*(INDEX(BookQ1,958)*(5-MIN(4,1+'5. Scenarios'!$D$8))/4+INDEX(BookQ2,958)*(5-MIN(4,2+'5. Scenarios'!$D$8))/4+INDEX(BookQ3,958)*(5-MIN(4,3+'5. Scenarios'!$D$8))/4+INDEX(BookQ4,958)*(5-MIN(4,4+'5. Scenarios'!$D$8))/4)*'5. Scenarios'!$D$6/(1+ProductivityDefault*('5. Scenarios'!$D$11-1))+INDEX(BookOneOff,958)*$N963)</f>
        <v/>
      </c>
      <c r="S963" s="56" t="str">
        <f aca="false">IF(INDEX(BookTitle,958)="","",INDEX(BookTotal,958)*'5. Scenarios'!$E$6/(1+ProductivityDefault*('5. Scenarios'!$E$11-1)))</f>
        <v/>
      </c>
      <c r="T963" s="57" t="str">
        <f aca="false">IF($S963="","",INDEX(BookRate,958)*(1+'5. Scenarios'!$E$10)*$S963)</f>
        <v/>
      </c>
      <c r="U963" s="57" t="str">
        <f aca="false">IF($T963="","",SUMIFS($T$6:$T$2405,$A$6:$A$2405,"&lt;="&amp;$A963))</f>
        <v/>
      </c>
      <c r="V963" s="57" t="str">
        <f aca="false">IF($T963="","",IF($U963&lt;=BankCostEnvelope*'5. Scenarios'!$E$7,1,0))</f>
        <v/>
      </c>
      <c r="W963" s="57" t="str">
        <f aca="false">IF($S963="","",INDEX(BookRate,958)*(1+'5. Scenarios'!$E$10)*(INDEX(BookQ1,958)*(5-MIN(4,1+'5. Scenarios'!$E$8))/4+INDEX(BookQ2,958)*(5-MIN(4,2+'5. Scenarios'!$E$8))/4+INDEX(BookQ3,958)*(5-MIN(4,3+'5. Scenarios'!$E$8))/4+INDEX(BookQ4,958)*(5-MIN(4,4+'5. Scenarios'!$E$8))/4)*'5. Scenarios'!$E$6/(1+ProductivityDefault*('5. Scenarios'!$E$11-1))+INDEX(BookOneOff,958)*$S963)</f>
        <v/>
      </c>
    </row>
    <row r="964" customFormat="false" ht="15" hidden="false" customHeight="false" outlineLevel="0" collapsed="false">
      <c r="A964" s="0" t="str">
        <f aca="false">IF(INDEX(BookTitle,959)="","",INDEX(BookKey,959))</f>
        <v/>
      </c>
      <c r="B964" s="0" t="str">
        <f aca="false">IF(INDEX(BookTitle,959)="","",INDEX(BookGroup,959))</f>
        <v/>
      </c>
      <c r="C964" s="0" t="str">
        <f aca="false">IF(INDEX(BookTitle,959)="","",INDEX(BookCategory,959))</f>
        <v/>
      </c>
      <c r="D964" s="56" t="str">
        <f aca="false">IF(INDEX(BookTitle,959)="","",INDEX(BookTotal,959)*'5. Scenarios'!$B$6/(1+ProductivityDefault*('5. Scenarios'!$B$11-1)))</f>
        <v/>
      </c>
      <c r="E964" s="57" t="str">
        <f aca="false">IF($D964="","",INDEX(BookRate,959)*(1+'5. Scenarios'!$B$10)*$D964)</f>
        <v/>
      </c>
      <c r="F964" s="57" t="str">
        <f aca="false">IF($E964="","",SUMIFS($E$6:$E$2405,$A$6:$A$2405,"&lt;="&amp;$A964))</f>
        <v/>
      </c>
      <c r="G964" s="57" t="str">
        <f aca="false">IF($E964="","",IF($F964&lt;=BankCostEnvelope*'5. Scenarios'!$B$7,1,0))</f>
        <v/>
      </c>
      <c r="H964" s="57" t="str">
        <f aca="false">IF($D964="","",INDEX(BookRate,959)*(1+'5. Scenarios'!$B$10)*(INDEX(BookQ1,959)*(5-MIN(4,1+'5. Scenarios'!$B$8))/4+INDEX(BookQ2,959)*(5-MIN(4,2+'5. Scenarios'!$B$8))/4+INDEX(BookQ3,959)*(5-MIN(4,3+'5. Scenarios'!$B$8))/4+INDEX(BookQ4,959)*(5-MIN(4,4+'5. Scenarios'!$B$8))/4)*'5. Scenarios'!$B$6/(1+ProductivityDefault*('5. Scenarios'!$B$11-1))+INDEX(BookOneOff,959)*$D964)</f>
        <v/>
      </c>
      <c r="I964" s="56" t="str">
        <f aca="false">IF(INDEX(BookTitle,959)="","",INDEX(BookTotal,959)*'5. Scenarios'!$C$6/(1+ProductivityDefault*('5. Scenarios'!$C$11-1)))</f>
        <v/>
      </c>
      <c r="J964" s="57" t="str">
        <f aca="false">IF($I964="","",INDEX(BookRate,959)*(1+'5. Scenarios'!$C$10)*$I964)</f>
        <v/>
      </c>
      <c r="K964" s="57" t="str">
        <f aca="false">IF($J964="","",SUMIFS($J$6:$J$2405,$A$6:$A$2405,"&lt;="&amp;$A964))</f>
        <v/>
      </c>
      <c r="L964" s="57" t="str">
        <f aca="false">IF($J964="","",IF($K964&lt;=BankCostEnvelope*'5. Scenarios'!$C$7,1,0))</f>
        <v/>
      </c>
      <c r="M964" s="57" t="str">
        <f aca="false">IF($I964="","",INDEX(BookRate,959)*(1+'5. Scenarios'!$C$10)*(INDEX(BookQ1,959)*(5-MIN(4,1+'5. Scenarios'!$C$8))/4+INDEX(BookQ2,959)*(5-MIN(4,2+'5. Scenarios'!$C$8))/4+INDEX(BookQ3,959)*(5-MIN(4,3+'5. Scenarios'!$C$8))/4+INDEX(BookQ4,959)*(5-MIN(4,4+'5. Scenarios'!$C$8))/4)*'5. Scenarios'!$C$6/(1+ProductivityDefault*('5. Scenarios'!$C$11-1))+INDEX(BookOneOff,959)*$I964)</f>
        <v/>
      </c>
      <c r="N964" s="56" t="str">
        <f aca="false">IF(INDEX(BookTitle,959)="","",INDEX(BookTotal,959)*'5. Scenarios'!$D$6/(1+ProductivityDefault*('5. Scenarios'!$D$11-1)))</f>
        <v/>
      </c>
      <c r="O964" s="57" t="str">
        <f aca="false">IF($N964="","",INDEX(BookRate,959)*(1+'5. Scenarios'!$D$10)*$N964)</f>
        <v/>
      </c>
      <c r="P964" s="57" t="str">
        <f aca="false">IF($O964="","",SUMIFS($O$6:$O$2405,$A$6:$A$2405,"&lt;="&amp;$A964))</f>
        <v/>
      </c>
      <c r="Q964" s="57" t="str">
        <f aca="false">IF($O964="","",IF($P964&lt;=BankCostEnvelope*'5. Scenarios'!$D$7,1,0))</f>
        <v/>
      </c>
      <c r="R964" s="57" t="str">
        <f aca="false">IF($N964="","",INDEX(BookRate,959)*(1+'5. Scenarios'!$D$10)*(INDEX(BookQ1,959)*(5-MIN(4,1+'5. Scenarios'!$D$8))/4+INDEX(BookQ2,959)*(5-MIN(4,2+'5. Scenarios'!$D$8))/4+INDEX(BookQ3,959)*(5-MIN(4,3+'5. Scenarios'!$D$8))/4+INDEX(BookQ4,959)*(5-MIN(4,4+'5. Scenarios'!$D$8))/4)*'5. Scenarios'!$D$6/(1+ProductivityDefault*('5. Scenarios'!$D$11-1))+INDEX(BookOneOff,959)*$N964)</f>
        <v/>
      </c>
      <c r="S964" s="56" t="str">
        <f aca="false">IF(INDEX(BookTitle,959)="","",INDEX(BookTotal,959)*'5. Scenarios'!$E$6/(1+ProductivityDefault*('5. Scenarios'!$E$11-1)))</f>
        <v/>
      </c>
      <c r="T964" s="57" t="str">
        <f aca="false">IF($S964="","",INDEX(BookRate,959)*(1+'5. Scenarios'!$E$10)*$S964)</f>
        <v/>
      </c>
      <c r="U964" s="57" t="str">
        <f aca="false">IF($T964="","",SUMIFS($T$6:$T$2405,$A$6:$A$2405,"&lt;="&amp;$A964))</f>
        <v/>
      </c>
      <c r="V964" s="57" t="str">
        <f aca="false">IF($T964="","",IF($U964&lt;=BankCostEnvelope*'5. Scenarios'!$E$7,1,0))</f>
        <v/>
      </c>
      <c r="W964" s="57" t="str">
        <f aca="false">IF($S964="","",INDEX(BookRate,959)*(1+'5. Scenarios'!$E$10)*(INDEX(BookQ1,959)*(5-MIN(4,1+'5. Scenarios'!$E$8))/4+INDEX(BookQ2,959)*(5-MIN(4,2+'5. Scenarios'!$E$8))/4+INDEX(BookQ3,959)*(5-MIN(4,3+'5. Scenarios'!$E$8))/4+INDEX(BookQ4,959)*(5-MIN(4,4+'5. Scenarios'!$E$8))/4)*'5. Scenarios'!$E$6/(1+ProductivityDefault*('5. Scenarios'!$E$11-1))+INDEX(BookOneOff,959)*$S964)</f>
        <v/>
      </c>
    </row>
    <row r="965" customFormat="false" ht="15" hidden="false" customHeight="false" outlineLevel="0" collapsed="false">
      <c r="A965" s="0" t="str">
        <f aca="false">IF(INDEX(BookTitle,960)="","",INDEX(BookKey,960))</f>
        <v/>
      </c>
      <c r="B965" s="0" t="str">
        <f aca="false">IF(INDEX(BookTitle,960)="","",INDEX(BookGroup,960))</f>
        <v/>
      </c>
      <c r="C965" s="0" t="str">
        <f aca="false">IF(INDEX(BookTitle,960)="","",INDEX(BookCategory,960))</f>
        <v/>
      </c>
      <c r="D965" s="56" t="str">
        <f aca="false">IF(INDEX(BookTitle,960)="","",INDEX(BookTotal,960)*'5. Scenarios'!$B$6/(1+ProductivityDefault*('5. Scenarios'!$B$11-1)))</f>
        <v/>
      </c>
      <c r="E965" s="57" t="str">
        <f aca="false">IF($D965="","",INDEX(BookRate,960)*(1+'5. Scenarios'!$B$10)*$D965)</f>
        <v/>
      </c>
      <c r="F965" s="57" t="str">
        <f aca="false">IF($E965="","",SUMIFS($E$6:$E$2405,$A$6:$A$2405,"&lt;="&amp;$A965))</f>
        <v/>
      </c>
      <c r="G965" s="57" t="str">
        <f aca="false">IF($E965="","",IF($F965&lt;=BankCostEnvelope*'5. Scenarios'!$B$7,1,0))</f>
        <v/>
      </c>
      <c r="H965" s="57" t="str">
        <f aca="false">IF($D965="","",INDEX(BookRate,960)*(1+'5. Scenarios'!$B$10)*(INDEX(BookQ1,960)*(5-MIN(4,1+'5. Scenarios'!$B$8))/4+INDEX(BookQ2,960)*(5-MIN(4,2+'5. Scenarios'!$B$8))/4+INDEX(BookQ3,960)*(5-MIN(4,3+'5. Scenarios'!$B$8))/4+INDEX(BookQ4,960)*(5-MIN(4,4+'5. Scenarios'!$B$8))/4)*'5. Scenarios'!$B$6/(1+ProductivityDefault*('5. Scenarios'!$B$11-1))+INDEX(BookOneOff,960)*$D965)</f>
        <v/>
      </c>
      <c r="I965" s="56" t="str">
        <f aca="false">IF(INDEX(BookTitle,960)="","",INDEX(BookTotal,960)*'5. Scenarios'!$C$6/(1+ProductivityDefault*('5. Scenarios'!$C$11-1)))</f>
        <v/>
      </c>
      <c r="J965" s="57" t="str">
        <f aca="false">IF($I965="","",INDEX(BookRate,960)*(1+'5. Scenarios'!$C$10)*$I965)</f>
        <v/>
      </c>
      <c r="K965" s="57" t="str">
        <f aca="false">IF($J965="","",SUMIFS($J$6:$J$2405,$A$6:$A$2405,"&lt;="&amp;$A965))</f>
        <v/>
      </c>
      <c r="L965" s="57" t="str">
        <f aca="false">IF($J965="","",IF($K965&lt;=BankCostEnvelope*'5. Scenarios'!$C$7,1,0))</f>
        <v/>
      </c>
      <c r="M965" s="57" t="str">
        <f aca="false">IF($I965="","",INDEX(BookRate,960)*(1+'5. Scenarios'!$C$10)*(INDEX(BookQ1,960)*(5-MIN(4,1+'5. Scenarios'!$C$8))/4+INDEX(BookQ2,960)*(5-MIN(4,2+'5. Scenarios'!$C$8))/4+INDEX(BookQ3,960)*(5-MIN(4,3+'5. Scenarios'!$C$8))/4+INDEX(BookQ4,960)*(5-MIN(4,4+'5. Scenarios'!$C$8))/4)*'5. Scenarios'!$C$6/(1+ProductivityDefault*('5. Scenarios'!$C$11-1))+INDEX(BookOneOff,960)*$I965)</f>
        <v/>
      </c>
      <c r="N965" s="56" t="str">
        <f aca="false">IF(INDEX(BookTitle,960)="","",INDEX(BookTotal,960)*'5. Scenarios'!$D$6/(1+ProductivityDefault*('5. Scenarios'!$D$11-1)))</f>
        <v/>
      </c>
      <c r="O965" s="57" t="str">
        <f aca="false">IF($N965="","",INDEX(BookRate,960)*(1+'5. Scenarios'!$D$10)*$N965)</f>
        <v/>
      </c>
      <c r="P965" s="57" t="str">
        <f aca="false">IF($O965="","",SUMIFS($O$6:$O$2405,$A$6:$A$2405,"&lt;="&amp;$A965))</f>
        <v/>
      </c>
      <c r="Q965" s="57" t="str">
        <f aca="false">IF($O965="","",IF($P965&lt;=BankCostEnvelope*'5. Scenarios'!$D$7,1,0))</f>
        <v/>
      </c>
      <c r="R965" s="57" t="str">
        <f aca="false">IF($N965="","",INDEX(BookRate,960)*(1+'5. Scenarios'!$D$10)*(INDEX(BookQ1,960)*(5-MIN(4,1+'5. Scenarios'!$D$8))/4+INDEX(BookQ2,960)*(5-MIN(4,2+'5. Scenarios'!$D$8))/4+INDEX(BookQ3,960)*(5-MIN(4,3+'5. Scenarios'!$D$8))/4+INDEX(BookQ4,960)*(5-MIN(4,4+'5. Scenarios'!$D$8))/4)*'5. Scenarios'!$D$6/(1+ProductivityDefault*('5. Scenarios'!$D$11-1))+INDEX(BookOneOff,960)*$N965)</f>
        <v/>
      </c>
      <c r="S965" s="56" t="str">
        <f aca="false">IF(INDEX(BookTitle,960)="","",INDEX(BookTotal,960)*'5. Scenarios'!$E$6/(1+ProductivityDefault*('5. Scenarios'!$E$11-1)))</f>
        <v/>
      </c>
      <c r="T965" s="57" t="str">
        <f aca="false">IF($S965="","",INDEX(BookRate,960)*(1+'5. Scenarios'!$E$10)*$S965)</f>
        <v/>
      </c>
      <c r="U965" s="57" t="str">
        <f aca="false">IF($T965="","",SUMIFS($T$6:$T$2405,$A$6:$A$2405,"&lt;="&amp;$A965))</f>
        <v/>
      </c>
      <c r="V965" s="57" t="str">
        <f aca="false">IF($T965="","",IF($U965&lt;=BankCostEnvelope*'5. Scenarios'!$E$7,1,0))</f>
        <v/>
      </c>
      <c r="W965" s="57" t="str">
        <f aca="false">IF($S965="","",INDEX(BookRate,960)*(1+'5. Scenarios'!$E$10)*(INDEX(BookQ1,960)*(5-MIN(4,1+'5. Scenarios'!$E$8))/4+INDEX(BookQ2,960)*(5-MIN(4,2+'5. Scenarios'!$E$8))/4+INDEX(BookQ3,960)*(5-MIN(4,3+'5. Scenarios'!$E$8))/4+INDEX(BookQ4,960)*(5-MIN(4,4+'5. Scenarios'!$E$8))/4)*'5. Scenarios'!$E$6/(1+ProductivityDefault*('5. Scenarios'!$E$11-1))+INDEX(BookOneOff,960)*$S965)</f>
        <v/>
      </c>
    </row>
    <row r="966" customFormat="false" ht="15" hidden="false" customHeight="false" outlineLevel="0" collapsed="false">
      <c r="A966" s="0" t="str">
        <f aca="false">IF(INDEX(BookTitle,961)="","",INDEX(BookKey,961))</f>
        <v/>
      </c>
      <c r="B966" s="0" t="str">
        <f aca="false">IF(INDEX(BookTitle,961)="","",INDEX(BookGroup,961))</f>
        <v/>
      </c>
      <c r="C966" s="0" t="str">
        <f aca="false">IF(INDEX(BookTitle,961)="","",INDEX(BookCategory,961))</f>
        <v/>
      </c>
      <c r="D966" s="56" t="str">
        <f aca="false">IF(INDEX(BookTitle,961)="","",INDEX(BookTotal,961)*'5. Scenarios'!$B$6/(1+ProductivityDefault*('5. Scenarios'!$B$11-1)))</f>
        <v/>
      </c>
      <c r="E966" s="57" t="str">
        <f aca="false">IF($D966="","",INDEX(BookRate,961)*(1+'5. Scenarios'!$B$10)*$D966)</f>
        <v/>
      </c>
      <c r="F966" s="57" t="str">
        <f aca="false">IF($E966="","",SUMIFS($E$6:$E$2405,$A$6:$A$2405,"&lt;="&amp;$A966))</f>
        <v/>
      </c>
      <c r="G966" s="57" t="str">
        <f aca="false">IF($E966="","",IF($F966&lt;=BankCostEnvelope*'5. Scenarios'!$B$7,1,0))</f>
        <v/>
      </c>
      <c r="H966" s="57" t="str">
        <f aca="false">IF($D966="","",INDEX(BookRate,961)*(1+'5. Scenarios'!$B$10)*(INDEX(BookQ1,961)*(5-MIN(4,1+'5. Scenarios'!$B$8))/4+INDEX(BookQ2,961)*(5-MIN(4,2+'5. Scenarios'!$B$8))/4+INDEX(BookQ3,961)*(5-MIN(4,3+'5. Scenarios'!$B$8))/4+INDEX(BookQ4,961)*(5-MIN(4,4+'5. Scenarios'!$B$8))/4)*'5. Scenarios'!$B$6/(1+ProductivityDefault*('5. Scenarios'!$B$11-1))+INDEX(BookOneOff,961)*$D966)</f>
        <v/>
      </c>
      <c r="I966" s="56" t="str">
        <f aca="false">IF(INDEX(BookTitle,961)="","",INDEX(BookTotal,961)*'5. Scenarios'!$C$6/(1+ProductivityDefault*('5. Scenarios'!$C$11-1)))</f>
        <v/>
      </c>
      <c r="J966" s="57" t="str">
        <f aca="false">IF($I966="","",INDEX(BookRate,961)*(1+'5. Scenarios'!$C$10)*$I966)</f>
        <v/>
      </c>
      <c r="K966" s="57" t="str">
        <f aca="false">IF($J966="","",SUMIFS($J$6:$J$2405,$A$6:$A$2405,"&lt;="&amp;$A966))</f>
        <v/>
      </c>
      <c r="L966" s="57" t="str">
        <f aca="false">IF($J966="","",IF($K966&lt;=BankCostEnvelope*'5. Scenarios'!$C$7,1,0))</f>
        <v/>
      </c>
      <c r="M966" s="57" t="str">
        <f aca="false">IF($I966="","",INDEX(BookRate,961)*(1+'5. Scenarios'!$C$10)*(INDEX(BookQ1,961)*(5-MIN(4,1+'5. Scenarios'!$C$8))/4+INDEX(BookQ2,961)*(5-MIN(4,2+'5. Scenarios'!$C$8))/4+INDEX(BookQ3,961)*(5-MIN(4,3+'5. Scenarios'!$C$8))/4+INDEX(BookQ4,961)*(5-MIN(4,4+'5. Scenarios'!$C$8))/4)*'5. Scenarios'!$C$6/(1+ProductivityDefault*('5. Scenarios'!$C$11-1))+INDEX(BookOneOff,961)*$I966)</f>
        <v/>
      </c>
      <c r="N966" s="56" t="str">
        <f aca="false">IF(INDEX(BookTitle,961)="","",INDEX(BookTotal,961)*'5. Scenarios'!$D$6/(1+ProductivityDefault*('5. Scenarios'!$D$11-1)))</f>
        <v/>
      </c>
      <c r="O966" s="57" t="str">
        <f aca="false">IF($N966="","",INDEX(BookRate,961)*(1+'5. Scenarios'!$D$10)*$N966)</f>
        <v/>
      </c>
      <c r="P966" s="57" t="str">
        <f aca="false">IF($O966="","",SUMIFS($O$6:$O$2405,$A$6:$A$2405,"&lt;="&amp;$A966))</f>
        <v/>
      </c>
      <c r="Q966" s="57" t="str">
        <f aca="false">IF($O966="","",IF($P966&lt;=BankCostEnvelope*'5. Scenarios'!$D$7,1,0))</f>
        <v/>
      </c>
      <c r="R966" s="57" t="str">
        <f aca="false">IF($N966="","",INDEX(BookRate,961)*(1+'5. Scenarios'!$D$10)*(INDEX(BookQ1,961)*(5-MIN(4,1+'5. Scenarios'!$D$8))/4+INDEX(BookQ2,961)*(5-MIN(4,2+'5. Scenarios'!$D$8))/4+INDEX(BookQ3,961)*(5-MIN(4,3+'5. Scenarios'!$D$8))/4+INDEX(BookQ4,961)*(5-MIN(4,4+'5. Scenarios'!$D$8))/4)*'5. Scenarios'!$D$6/(1+ProductivityDefault*('5. Scenarios'!$D$11-1))+INDEX(BookOneOff,961)*$N966)</f>
        <v/>
      </c>
      <c r="S966" s="56" t="str">
        <f aca="false">IF(INDEX(BookTitle,961)="","",INDEX(BookTotal,961)*'5. Scenarios'!$E$6/(1+ProductivityDefault*('5. Scenarios'!$E$11-1)))</f>
        <v/>
      </c>
      <c r="T966" s="57" t="str">
        <f aca="false">IF($S966="","",INDEX(BookRate,961)*(1+'5. Scenarios'!$E$10)*$S966)</f>
        <v/>
      </c>
      <c r="U966" s="57" t="str">
        <f aca="false">IF($T966="","",SUMIFS($T$6:$T$2405,$A$6:$A$2405,"&lt;="&amp;$A966))</f>
        <v/>
      </c>
      <c r="V966" s="57" t="str">
        <f aca="false">IF($T966="","",IF($U966&lt;=BankCostEnvelope*'5. Scenarios'!$E$7,1,0))</f>
        <v/>
      </c>
      <c r="W966" s="57" t="str">
        <f aca="false">IF($S966="","",INDEX(BookRate,961)*(1+'5. Scenarios'!$E$10)*(INDEX(BookQ1,961)*(5-MIN(4,1+'5. Scenarios'!$E$8))/4+INDEX(BookQ2,961)*(5-MIN(4,2+'5. Scenarios'!$E$8))/4+INDEX(BookQ3,961)*(5-MIN(4,3+'5. Scenarios'!$E$8))/4+INDEX(BookQ4,961)*(5-MIN(4,4+'5. Scenarios'!$E$8))/4)*'5. Scenarios'!$E$6/(1+ProductivityDefault*('5. Scenarios'!$E$11-1))+INDEX(BookOneOff,961)*$S966)</f>
        <v/>
      </c>
    </row>
    <row r="967" customFormat="false" ht="15" hidden="false" customHeight="false" outlineLevel="0" collapsed="false">
      <c r="A967" s="0" t="str">
        <f aca="false">IF(INDEX(BookTitle,962)="","",INDEX(BookKey,962))</f>
        <v/>
      </c>
      <c r="B967" s="0" t="str">
        <f aca="false">IF(INDEX(BookTitle,962)="","",INDEX(BookGroup,962))</f>
        <v/>
      </c>
      <c r="C967" s="0" t="str">
        <f aca="false">IF(INDEX(BookTitle,962)="","",INDEX(BookCategory,962))</f>
        <v/>
      </c>
      <c r="D967" s="56" t="str">
        <f aca="false">IF(INDEX(BookTitle,962)="","",INDEX(BookTotal,962)*'5. Scenarios'!$B$6/(1+ProductivityDefault*('5. Scenarios'!$B$11-1)))</f>
        <v/>
      </c>
      <c r="E967" s="57" t="str">
        <f aca="false">IF($D967="","",INDEX(BookRate,962)*(1+'5. Scenarios'!$B$10)*$D967)</f>
        <v/>
      </c>
      <c r="F967" s="57" t="str">
        <f aca="false">IF($E967="","",SUMIFS($E$6:$E$2405,$A$6:$A$2405,"&lt;="&amp;$A967))</f>
        <v/>
      </c>
      <c r="G967" s="57" t="str">
        <f aca="false">IF($E967="","",IF($F967&lt;=BankCostEnvelope*'5. Scenarios'!$B$7,1,0))</f>
        <v/>
      </c>
      <c r="H967" s="57" t="str">
        <f aca="false">IF($D967="","",INDEX(BookRate,962)*(1+'5. Scenarios'!$B$10)*(INDEX(BookQ1,962)*(5-MIN(4,1+'5. Scenarios'!$B$8))/4+INDEX(BookQ2,962)*(5-MIN(4,2+'5. Scenarios'!$B$8))/4+INDEX(BookQ3,962)*(5-MIN(4,3+'5. Scenarios'!$B$8))/4+INDEX(BookQ4,962)*(5-MIN(4,4+'5. Scenarios'!$B$8))/4)*'5. Scenarios'!$B$6/(1+ProductivityDefault*('5. Scenarios'!$B$11-1))+INDEX(BookOneOff,962)*$D967)</f>
        <v/>
      </c>
      <c r="I967" s="56" t="str">
        <f aca="false">IF(INDEX(BookTitle,962)="","",INDEX(BookTotal,962)*'5. Scenarios'!$C$6/(1+ProductivityDefault*('5. Scenarios'!$C$11-1)))</f>
        <v/>
      </c>
      <c r="J967" s="57" t="str">
        <f aca="false">IF($I967="","",INDEX(BookRate,962)*(1+'5. Scenarios'!$C$10)*$I967)</f>
        <v/>
      </c>
      <c r="K967" s="57" t="str">
        <f aca="false">IF($J967="","",SUMIFS($J$6:$J$2405,$A$6:$A$2405,"&lt;="&amp;$A967))</f>
        <v/>
      </c>
      <c r="L967" s="57" t="str">
        <f aca="false">IF($J967="","",IF($K967&lt;=BankCostEnvelope*'5. Scenarios'!$C$7,1,0))</f>
        <v/>
      </c>
      <c r="M967" s="57" t="str">
        <f aca="false">IF($I967="","",INDEX(BookRate,962)*(1+'5. Scenarios'!$C$10)*(INDEX(BookQ1,962)*(5-MIN(4,1+'5. Scenarios'!$C$8))/4+INDEX(BookQ2,962)*(5-MIN(4,2+'5. Scenarios'!$C$8))/4+INDEX(BookQ3,962)*(5-MIN(4,3+'5. Scenarios'!$C$8))/4+INDEX(BookQ4,962)*(5-MIN(4,4+'5. Scenarios'!$C$8))/4)*'5. Scenarios'!$C$6/(1+ProductivityDefault*('5. Scenarios'!$C$11-1))+INDEX(BookOneOff,962)*$I967)</f>
        <v/>
      </c>
      <c r="N967" s="56" t="str">
        <f aca="false">IF(INDEX(BookTitle,962)="","",INDEX(BookTotal,962)*'5. Scenarios'!$D$6/(1+ProductivityDefault*('5. Scenarios'!$D$11-1)))</f>
        <v/>
      </c>
      <c r="O967" s="57" t="str">
        <f aca="false">IF($N967="","",INDEX(BookRate,962)*(1+'5. Scenarios'!$D$10)*$N967)</f>
        <v/>
      </c>
      <c r="P967" s="57" t="str">
        <f aca="false">IF($O967="","",SUMIFS($O$6:$O$2405,$A$6:$A$2405,"&lt;="&amp;$A967))</f>
        <v/>
      </c>
      <c r="Q967" s="57" t="str">
        <f aca="false">IF($O967="","",IF($P967&lt;=BankCostEnvelope*'5. Scenarios'!$D$7,1,0))</f>
        <v/>
      </c>
      <c r="R967" s="57" t="str">
        <f aca="false">IF($N967="","",INDEX(BookRate,962)*(1+'5. Scenarios'!$D$10)*(INDEX(BookQ1,962)*(5-MIN(4,1+'5. Scenarios'!$D$8))/4+INDEX(BookQ2,962)*(5-MIN(4,2+'5. Scenarios'!$D$8))/4+INDEX(BookQ3,962)*(5-MIN(4,3+'5. Scenarios'!$D$8))/4+INDEX(BookQ4,962)*(5-MIN(4,4+'5. Scenarios'!$D$8))/4)*'5. Scenarios'!$D$6/(1+ProductivityDefault*('5. Scenarios'!$D$11-1))+INDEX(BookOneOff,962)*$N967)</f>
        <v/>
      </c>
      <c r="S967" s="56" t="str">
        <f aca="false">IF(INDEX(BookTitle,962)="","",INDEX(BookTotal,962)*'5. Scenarios'!$E$6/(1+ProductivityDefault*('5. Scenarios'!$E$11-1)))</f>
        <v/>
      </c>
      <c r="T967" s="57" t="str">
        <f aca="false">IF($S967="","",INDEX(BookRate,962)*(1+'5. Scenarios'!$E$10)*$S967)</f>
        <v/>
      </c>
      <c r="U967" s="57" t="str">
        <f aca="false">IF($T967="","",SUMIFS($T$6:$T$2405,$A$6:$A$2405,"&lt;="&amp;$A967))</f>
        <v/>
      </c>
      <c r="V967" s="57" t="str">
        <f aca="false">IF($T967="","",IF($U967&lt;=BankCostEnvelope*'5. Scenarios'!$E$7,1,0))</f>
        <v/>
      </c>
      <c r="W967" s="57" t="str">
        <f aca="false">IF($S967="","",INDEX(BookRate,962)*(1+'5. Scenarios'!$E$10)*(INDEX(BookQ1,962)*(5-MIN(4,1+'5. Scenarios'!$E$8))/4+INDEX(BookQ2,962)*(5-MIN(4,2+'5. Scenarios'!$E$8))/4+INDEX(BookQ3,962)*(5-MIN(4,3+'5. Scenarios'!$E$8))/4+INDEX(BookQ4,962)*(5-MIN(4,4+'5. Scenarios'!$E$8))/4)*'5. Scenarios'!$E$6/(1+ProductivityDefault*('5. Scenarios'!$E$11-1))+INDEX(BookOneOff,962)*$S967)</f>
        <v/>
      </c>
    </row>
    <row r="968" customFormat="false" ht="15" hidden="false" customHeight="false" outlineLevel="0" collapsed="false">
      <c r="A968" s="0" t="str">
        <f aca="false">IF(INDEX(BookTitle,963)="","",INDEX(BookKey,963))</f>
        <v/>
      </c>
      <c r="B968" s="0" t="str">
        <f aca="false">IF(INDEX(BookTitle,963)="","",INDEX(BookGroup,963))</f>
        <v/>
      </c>
      <c r="C968" s="0" t="str">
        <f aca="false">IF(INDEX(BookTitle,963)="","",INDEX(BookCategory,963))</f>
        <v/>
      </c>
      <c r="D968" s="56" t="str">
        <f aca="false">IF(INDEX(BookTitle,963)="","",INDEX(BookTotal,963)*'5. Scenarios'!$B$6/(1+ProductivityDefault*('5. Scenarios'!$B$11-1)))</f>
        <v/>
      </c>
      <c r="E968" s="57" t="str">
        <f aca="false">IF($D968="","",INDEX(BookRate,963)*(1+'5. Scenarios'!$B$10)*$D968)</f>
        <v/>
      </c>
      <c r="F968" s="57" t="str">
        <f aca="false">IF($E968="","",SUMIFS($E$6:$E$2405,$A$6:$A$2405,"&lt;="&amp;$A968))</f>
        <v/>
      </c>
      <c r="G968" s="57" t="str">
        <f aca="false">IF($E968="","",IF($F968&lt;=BankCostEnvelope*'5. Scenarios'!$B$7,1,0))</f>
        <v/>
      </c>
      <c r="H968" s="57" t="str">
        <f aca="false">IF($D968="","",INDEX(BookRate,963)*(1+'5. Scenarios'!$B$10)*(INDEX(BookQ1,963)*(5-MIN(4,1+'5. Scenarios'!$B$8))/4+INDEX(BookQ2,963)*(5-MIN(4,2+'5. Scenarios'!$B$8))/4+INDEX(BookQ3,963)*(5-MIN(4,3+'5. Scenarios'!$B$8))/4+INDEX(BookQ4,963)*(5-MIN(4,4+'5. Scenarios'!$B$8))/4)*'5. Scenarios'!$B$6/(1+ProductivityDefault*('5. Scenarios'!$B$11-1))+INDEX(BookOneOff,963)*$D968)</f>
        <v/>
      </c>
      <c r="I968" s="56" t="str">
        <f aca="false">IF(INDEX(BookTitle,963)="","",INDEX(BookTotal,963)*'5. Scenarios'!$C$6/(1+ProductivityDefault*('5. Scenarios'!$C$11-1)))</f>
        <v/>
      </c>
      <c r="J968" s="57" t="str">
        <f aca="false">IF($I968="","",INDEX(BookRate,963)*(1+'5. Scenarios'!$C$10)*$I968)</f>
        <v/>
      </c>
      <c r="K968" s="57" t="str">
        <f aca="false">IF($J968="","",SUMIFS($J$6:$J$2405,$A$6:$A$2405,"&lt;="&amp;$A968))</f>
        <v/>
      </c>
      <c r="L968" s="57" t="str">
        <f aca="false">IF($J968="","",IF($K968&lt;=BankCostEnvelope*'5. Scenarios'!$C$7,1,0))</f>
        <v/>
      </c>
      <c r="M968" s="57" t="str">
        <f aca="false">IF($I968="","",INDEX(BookRate,963)*(1+'5. Scenarios'!$C$10)*(INDEX(BookQ1,963)*(5-MIN(4,1+'5. Scenarios'!$C$8))/4+INDEX(BookQ2,963)*(5-MIN(4,2+'5. Scenarios'!$C$8))/4+INDEX(BookQ3,963)*(5-MIN(4,3+'5. Scenarios'!$C$8))/4+INDEX(BookQ4,963)*(5-MIN(4,4+'5. Scenarios'!$C$8))/4)*'5. Scenarios'!$C$6/(1+ProductivityDefault*('5. Scenarios'!$C$11-1))+INDEX(BookOneOff,963)*$I968)</f>
        <v/>
      </c>
      <c r="N968" s="56" t="str">
        <f aca="false">IF(INDEX(BookTitle,963)="","",INDEX(BookTotal,963)*'5. Scenarios'!$D$6/(1+ProductivityDefault*('5. Scenarios'!$D$11-1)))</f>
        <v/>
      </c>
      <c r="O968" s="57" t="str">
        <f aca="false">IF($N968="","",INDEX(BookRate,963)*(1+'5. Scenarios'!$D$10)*$N968)</f>
        <v/>
      </c>
      <c r="P968" s="57" t="str">
        <f aca="false">IF($O968="","",SUMIFS($O$6:$O$2405,$A$6:$A$2405,"&lt;="&amp;$A968))</f>
        <v/>
      </c>
      <c r="Q968" s="57" t="str">
        <f aca="false">IF($O968="","",IF($P968&lt;=BankCostEnvelope*'5. Scenarios'!$D$7,1,0))</f>
        <v/>
      </c>
      <c r="R968" s="57" t="str">
        <f aca="false">IF($N968="","",INDEX(BookRate,963)*(1+'5. Scenarios'!$D$10)*(INDEX(BookQ1,963)*(5-MIN(4,1+'5. Scenarios'!$D$8))/4+INDEX(BookQ2,963)*(5-MIN(4,2+'5. Scenarios'!$D$8))/4+INDEX(BookQ3,963)*(5-MIN(4,3+'5. Scenarios'!$D$8))/4+INDEX(BookQ4,963)*(5-MIN(4,4+'5. Scenarios'!$D$8))/4)*'5. Scenarios'!$D$6/(1+ProductivityDefault*('5. Scenarios'!$D$11-1))+INDEX(BookOneOff,963)*$N968)</f>
        <v/>
      </c>
      <c r="S968" s="56" t="str">
        <f aca="false">IF(INDEX(BookTitle,963)="","",INDEX(BookTotal,963)*'5. Scenarios'!$E$6/(1+ProductivityDefault*('5. Scenarios'!$E$11-1)))</f>
        <v/>
      </c>
      <c r="T968" s="57" t="str">
        <f aca="false">IF($S968="","",INDEX(BookRate,963)*(1+'5. Scenarios'!$E$10)*$S968)</f>
        <v/>
      </c>
      <c r="U968" s="57" t="str">
        <f aca="false">IF($T968="","",SUMIFS($T$6:$T$2405,$A$6:$A$2405,"&lt;="&amp;$A968))</f>
        <v/>
      </c>
      <c r="V968" s="57" t="str">
        <f aca="false">IF($T968="","",IF($U968&lt;=BankCostEnvelope*'5. Scenarios'!$E$7,1,0))</f>
        <v/>
      </c>
      <c r="W968" s="57" t="str">
        <f aca="false">IF($S968="","",INDEX(BookRate,963)*(1+'5. Scenarios'!$E$10)*(INDEX(BookQ1,963)*(5-MIN(4,1+'5. Scenarios'!$E$8))/4+INDEX(BookQ2,963)*(5-MIN(4,2+'5. Scenarios'!$E$8))/4+INDEX(BookQ3,963)*(5-MIN(4,3+'5. Scenarios'!$E$8))/4+INDEX(BookQ4,963)*(5-MIN(4,4+'5. Scenarios'!$E$8))/4)*'5. Scenarios'!$E$6/(1+ProductivityDefault*('5. Scenarios'!$E$11-1))+INDEX(BookOneOff,963)*$S968)</f>
        <v/>
      </c>
    </row>
    <row r="969" customFormat="false" ht="15" hidden="false" customHeight="false" outlineLevel="0" collapsed="false">
      <c r="A969" s="0" t="str">
        <f aca="false">IF(INDEX(BookTitle,964)="","",INDEX(BookKey,964))</f>
        <v/>
      </c>
      <c r="B969" s="0" t="str">
        <f aca="false">IF(INDEX(BookTitle,964)="","",INDEX(BookGroup,964))</f>
        <v/>
      </c>
      <c r="C969" s="0" t="str">
        <f aca="false">IF(INDEX(BookTitle,964)="","",INDEX(BookCategory,964))</f>
        <v/>
      </c>
      <c r="D969" s="56" t="str">
        <f aca="false">IF(INDEX(BookTitle,964)="","",INDEX(BookTotal,964)*'5. Scenarios'!$B$6/(1+ProductivityDefault*('5. Scenarios'!$B$11-1)))</f>
        <v/>
      </c>
      <c r="E969" s="57" t="str">
        <f aca="false">IF($D969="","",INDEX(BookRate,964)*(1+'5. Scenarios'!$B$10)*$D969)</f>
        <v/>
      </c>
      <c r="F969" s="57" t="str">
        <f aca="false">IF($E969="","",SUMIFS($E$6:$E$2405,$A$6:$A$2405,"&lt;="&amp;$A969))</f>
        <v/>
      </c>
      <c r="G969" s="57" t="str">
        <f aca="false">IF($E969="","",IF($F969&lt;=BankCostEnvelope*'5. Scenarios'!$B$7,1,0))</f>
        <v/>
      </c>
      <c r="H969" s="57" t="str">
        <f aca="false">IF($D969="","",INDEX(BookRate,964)*(1+'5. Scenarios'!$B$10)*(INDEX(BookQ1,964)*(5-MIN(4,1+'5. Scenarios'!$B$8))/4+INDEX(BookQ2,964)*(5-MIN(4,2+'5. Scenarios'!$B$8))/4+INDEX(BookQ3,964)*(5-MIN(4,3+'5. Scenarios'!$B$8))/4+INDEX(BookQ4,964)*(5-MIN(4,4+'5. Scenarios'!$B$8))/4)*'5. Scenarios'!$B$6/(1+ProductivityDefault*('5. Scenarios'!$B$11-1))+INDEX(BookOneOff,964)*$D969)</f>
        <v/>
      </c>
      <c r="I969" s="56" t="str">
        <f aca="false">IF(INDEX(BookTitle,964)="","",INDEX(BookTotal,964)*'5. Scenarios'!$C$6/(1+ProductivityDefault*('5. Scenarios'!$C$11-1)))</f>
        <v/>
      </c>
      <c r="J969" s="57" t="str">
        <f aca="false">IF($I969="","",INDEX(BookRate,964)*(1+'5. Scenarios'!$C$10)*$I969)</f>
        <v/>
      </c>
      <c r="K969" s="57" t="str">
        <f aca="false">IF($J969="","",SUMIFS($J$6:$J$2405,$A$6:$A$2405,"&lt;="&amp;$A969))</f>
        <v/>
      </c>
      <c r="L969" s="57" t="str">
        <f aca="false">IF($J969="","",IF($K969&lt;=BankCostEnvelope*'5. Scenarios'!$C$7,1,0))</f>
        <v/>
      </c>
      <c r="M969" s="57" t="str">
        <f aca="false">IF($I969="","",INDEX(BookRate,964)*(1+'5. Scenarios'!$C$10)*(INDEX(BookQ1,964)*(5-MIN(4,1+'5. Scenarios'!$C$8))/4+INDEX(BookQ2,964)*(5-MIN(4,2+'5. Scenarios'!$C$8))/4+INDEX(BookQ3,964)*(5-MIN(4,3+'5. Scenarios'!$C$8))/4+INDEX(BookQ4,964)*(5-MIN(4,4+'5. Scenarios'!$C$8))/4)*'5. Scenarios'!$C$6/(1+ProductivityDefault*('5. Scenarios'!$C$11-1))+INDEX(BookOneOff,964)*$I969)</f>
        <v/>
      </c>
      <c r="N969" s="56" t="str">
        <f aca="false">IF(INDEX(BookTitle,964)="","",INDEX(BookTotal,964)*'5. Scenarios'!$D$6/(1+ProductivityDefault*('5. Scenarios'!$D$11-1)))</f>
        <v/>
      </c>
      <c r="O969" s="57" t="str">
        <f aca="false">IF($N969="","",INDEX(BookRate,964)*(1+'5. Scenarios'!$D$10)*$N969)</f>
        <v/>
      </c>
      <c r="P969" s="57" t="str">
        <f aca="false">IF($O969="","",SUMIFS($O$6:$O$2405,$A$6:$A$2405,"&lt;="&amp;$A969))</f>
        <v/>
      </c>
      <c r="Q969" s="57" t="str">
        <f aca="false">IF($O969="","",IF($P969&lt;=BankCostEnvelope*'5. Scenarios'!$D$7,1,0))</f>
        <v/>
      </c>
      <c r="R969" s="57" t="str">
        <f aca="false">IF($N969="","",INDEX(BookRate,964)*(1+'5. Scenarios'!$D$10)*(INDEX(BookQ1,964)*(5-MIN(4,1+'5. Scenarios'!$D$8))/4+INDEX(BookQ2,964)*(5-MIN(4,2+'5. Scenarios'!$D$8))/4+INDEX(BookQ3,964)*(5-MIN(4,3+'5. Scenarios'!$D$8))/4+INDEX(BookQ4,964)*(5-MIN(4,4+'5. Scenarios'!$D$8))/4)*'5. Scenarios'!$D$6/(1+ProductivityDefault*('5. Scenarios'!$D$11-1))+INDEX(BookOneOff,964)*$N969)</f>
        <v/>
      </c>
      <c r="S969" s="56" t="str">
        <f aca="false">IF(INDEX(BookTitle,964)="","",INDEX(BookTotal,964)*'5. Scenarios'!$E$6/(1+ProductivityDefault*('5. Scenarios'!$E$11-1)))</f>
        <v/>
      </c>
      <c r="T969" s="57" t="str">
        <f aca="false">IF($S969="","",INDEX(BookRate,964)*(1+'5. Scenarios'!$E$10)*$S969)</f>
        <v/>
      </c>
      <c r="U969" s="57" t="str">
        <f aca="false">IF($T969="","",SUMIFS($T$6:$T$2405,$A$6:$A$2405,"&lt;="&amp;$A969))</f>
        <v/>
      </c>
      <c r="V969" s="57" t="str">
        <f aca="false">IF($T969="","",IF($U969&lt;=BankCostEnvelope*'5. Scenarios'!$E$7,1,0))</f>
        <v/>
      </c>
      <c r="W969" s="57" t="str">
        <f aca="false">IF($S969="","",INDEX(BookRate,964)*(1+'5. Scenarios'!$E$10)*(INDEX(BookQ1,964)*(5-MIN(4,1+'5. Scenarios'!$E$8))/4+INDEX(BookQ2,964)*(5-MIN(4,2+'5. Scenarios'!$E$8))/4+INDEX(BookQ3,964)*(5-MIN(4,3+'5. Scenarios'!$E$8))/4+INDEX(BookQ4,964)*(5-MIN(4,4+'5. Scenarios'!$E$8))/4)*'5. Scenarios'!$E$6/(1+ProductivityDefault*('5. Scenarios'!$E$11-1))+INDEX(BookOneOff,964)*$S969)</f>
        <v/>
      </c>
    </row>
    <row r="970" customFormat="false" ht="15" hidden="false" customHeight="false" outlineLevel="0" collapsed="false">
      <c r="A970" s="0" t="str">
        <f aca="false">IF(INDEX(BookTitle,965)="","",INDEX(BookKey,965))</f>
        <v/>
      </c>
      <c r="B970" s="0" t="str">
        <f aca="false">IF(INDEX(BookTitle,965)="","",INDEX(BookGroup,965))</f>
        <v/>
      </c>
      <c r="C970" s="0" t="str">
        <f aca="false">IF(INDEX(BookTitle,965)="","",INDEX(BookCategory,965))</f>
        <v/>
      </c>
      <c r="D970" s="56" t="str">
        <f aca="false">IF(INDEX(BookTitle,965)="","",INDEX(BookTotal,965)*'5. Scenarios'!$B$6/(1+ProductivityDefault*('5. Scenarios'!$B$11-1)))</f>
        <v/>
      </c>
      <c r="E970" s="57" t="str">
        <f aca="false">IF($D970="","",INDEX(BookRate,965)*(1+'5. Scenarios'!$B$10)*$D970)</f>
        <v/>
      </c>
      <c r="F970" s="57" t="str">
        <f aca="false">IF($E970="","",SUMIFS($E$6:$E$2405,$A$6:$A$2405,"&lt;="&amp;$A970))</f>
        <v/>
      </c>
      <c r="G970" s="57" t="str">
        <f aca="false">IF($E970="","",IF($F970&lt;=BankCostEnvelope*'5. Scenarios'!$B$7,1,0))</f>
        <v/>
      </c>
      <c r="H970" s="57" t="str">
        <f aca="false">IF($D970="","",INDEX(BookRate,965)*(1+'5. Scenarios'!$B$10)*(INDEX(BookQ1,965)*(5-MIN(4,1+'5. Scenarios'!$B$8))/4+INDEX(BookQ2,965)*(5-MIN(4,2+'5. Scenarios'!$B$8))/4+INDEX(BookQ3,965)*(5-MIN(4,3+'5. Scenarios'!$B$8))/4+INDEX(BookQ4,965)*(5-MIN(4,4+'5. Scenarios'!$B$8))/4)*'5. Scenarios'!$B$6/(1+ProductivityDefault*('5. Scenarios'!$B$11-1))+INDEX(BookOneOff,965)*$D970)</f>
        <v/>
      </c>
      <c r="I970" s="56" t="str">
        <f aca="false">IF(INDEX(BookTitle,965)="","",INDEX(BookTotal,965)*'5. Scenarios'!$C$6/(1+ProductivityDefault*('5. Scenarios'!$C$11-1)))</f>
        <v/>
      </c>
      <c r="J970" s="57" t="str">
        <f aca="false">IF($I970="","",INDEX(BookRate,965)*(1+'5. Scenarios'!$C$10)*$I970)</f>
        <v/>
      </c>
      <c r="K970" s="57" t="str">
        <f aca="false">IF($J970="","",SUMIFS($J$6:$J$2405,$A$6:$A$2405,"&lt;="&amp;$A970))</f>
        <v/>
      </c>
      <c r="L970" s="57" t="str">
        <f aca="false">IF($J970="","",IF($K970&lt;=BankCostEnvelope*'5. Scenarios'!$C$7,1,0))</f>
        <v/>
      </c>
      <c r="M970" s="57" t="str">
        <f aca="false">IF($I970="","",INDEX(BookRate,965)*(1+'5. Scenarios'!$C$10)*(INDEX(BookQ1,965)*(5-MIN(4,1+'5. Scenarios'!$C$8))/4+INDEX(BookQ2,965)*(5-MIN(4,2+'5. Scenarios'!$C$8))/4+INDEX(BookQ3,965)*(5-MIN(4,3+'5. Scenarios'!$C$8))/4+INDEX(BookQ4,965)*(5-MIN(4,4+'5. Scenarios'!$C$8))/4)*'5. Scenarios'!$C$6/(1+ProductivityDefault*('5. Scenarios'!$C$11-1))+INDEX(BookOneOff,965)*$I970)</f>
        <v/>
      </c>
      <c r="N970" s="56" t="str">
        <f aca="false">IF(INDEX(BookTitle,965)="","",INDEX(BookTotal,965)*'5. Scenarios'!$D$6/(1+ProductivityDefault*('5. Scenarios'!$D$11-1)))</f>
        <v/>
      </c>
      <c r="O970" s="57" t="str">
        <f aca="false">IF($N970="","",INDEX(BookRate,965)*(1+'5. Scenarios'!$D$10)*$N970)</f>
        <v/>
      </c>
      <c r="P970" s="57" t="str">
        <f aca="false">IF($O970="","",SUMIFS($O$6:$O$2405,$A$6:$A$2405,"&lt;="&amp;$A970))</f>
        <v/>
      </c>
      <c r="Q970" s="57" t="str">
        <f aca="false">IF($O970="","",IF($P970&lt;=BankCostEnvelope*'5. Scenarios'!$D$7,1,0))</f>
        <v/>
      </c>
      <c r="R970" s="57" t="str">
        <f aca="false">IF($N970="","",INDEX(BookRate,965)*(1+'5. Scenarios'!$D$10)*(INDEX(BookQ1,965)*(5-MIN(4,1+'5. Scenarios'!$D$8))/4+INDEX(BookQ2,965)*(5-MIN(4,2+'5. Scenarios'!$D$8))/4+INDEX(BookQ3,965)*(5-MIN(4,3+'5. Scenarios'!$D$8))/4+INDEX(BookQ4,965)*(5-MIN(4,4+'5. Scenarios'!$D$8))/4)*'5. Scenarios'!$D$6/(1+ProductivityDefault*('5. Scenarios'!$D$11-1))+INDEX(BookOneOff,965)*$N970)</f>
        <v/>
      </c>
      <c r="S970" s="56" t="str">
        <f aca="false">IF(INDEX(BookTitle,965)="","",INDEX(BookTotal,965)*'5. Scenarios'!$E$6/(1+ProductivityDefault*('5. Scenarios'!$E$11-1)))</f>
        <v/>
      </c>
      <c r="T970" s="57" t="str">
        <f aca="false">IF($S970="","",INDEX(BookRate,965)*(1+'5. Scenarios'!$E$10)*$S970)</f>
        <v/>
      </c>
      <c r="U970" s="57" t="str">
        <f aca="false">IF($T970="","",SUMIFS($T$6:$T$2405,$A$6:$A$2405,"&lt;="&amp;$A970))</f>
        <v/>
      </c>
      <c r="V970" s="57" t="str">
        <f aca="false">IF($T970="","",IF($U970&lt;=BankCostEnvelope*'5. Scenarios'!$E$7,1,0))</f>
        <v/>
      </c>
      <c r="W970" s="57" t="str">
        <f aca="false">IF($S970="","",INDEX(BookRate,965)*(1+'5. Scenarios'!$E$10)*(INDEX(BookQ1,965)*(5-MIN(4,1+'5. Scenarios'!$E$8))/4+INDEX(BookQ2,965)*(5-MIN(4,2+'5. Scenarios'!$E$8))/4+INDEX(BookQ3,965)*(5-MIN(4,3+'5. Scenarios'!$E$8))/4+INDEX(BookQ4,965)*(5-MIN(4,4+'5. Scenarios'!$E$8))/4)*'5. Scenarios'!$E$6/(1+ProductivityDefault*('5. Scenarios'!$E$11-1))+INDEX(BookOneOff,965)*$S970)</f>
        <v/>
      </c>
    </row>
    <row r="971" customFormat="false" ht="15" hidden="false" customHeight="false" outlineLevel="0" collapsed="false">
      <c r="A971" s="0" t="str">
        <f aca="false">IF(INDEX(BookTitle,966)="","",INDEX(BookKey,966))</f>
        <v/>
      </c>
      <c r="B971" s="0" t="str">
        <f aca="false">IF(INDEX(BookTitle,966)="","",INDEX(BookGroup,966))</f>
        <v/>
      </c>
      <c r="C971" s="0" t="str">
        <f aca="false">IF(INDEX(BookTitle,966)="","",INDEX(BookCategory,966))</f>
        <v/>
      </c>
      <c r="D971" s="56" t="str">
        <f aca="false">IF(INDEX(BookTitle,966)="","",INDEX(BookTotal,966)*'5. Scenarios'!$B$6/(1+ProductivityDefault*('5. Scenarios'!$B$11-1)))</f>
        <v/>
      </c>
      <c r="E971" s="57" t="str">
        <f aca="false">IF($D971="","",INDEX(BookRate,966)*(1+'5. Scenarios'!$B$10)*$D971)</f>
        <v/>
      </c>
      <c r="F971" s="57" t="str">
        <f aca="false">IF($E971="","",SUMIFS($E$6:$E$2405,$A$6:$A$2405,"&lt;="&amp;$A971))</f>
        <v/>
      </c>
      <c r="G971" s="57" t="str">
        <f aca="false">IF($E971="","",IF($F971&lt;=BankCostEnvelope*'5. Scenarios'!$B$7,1,0))</f>
        <v/>
      </c>
      <c r="H971" s="57" t="str">
        <f aca="false">IF($D971="","",INDEX(BookRate,966)*(1+'5. Scenarios'!$B$10)*(INDEX(BookQ1,966)*(5-MIN(4,1+'5. Scenarios'!$B$8))/4+INDEX(BookQ2,966)*(5-MIN(4,2+'5. Scenarios'!$B$8))/4+INDEX(BookQ3,966)*(5-MIN(4,3+'5. Scenarios'!$B$8))/4+INDEX(BookQ4,966)*(5-MIN(4,4+'5. Scenarios'!$B$8))/4)*'5. Scenarios'!$B$6/(1+ProductivityDefault*('5. Scenarios'!$B$11-1))+INDEX(BookOneOff,966)*$D971)</f>
        <v/>
      </c>
      <c r="I971" s="56" t="str">
        <f aca="false">IF(INDEX(BookTitle,966)="","",INDEX(BookTotal,966)*'5. Scenarios'!$C$6/(1+ProductivityDefault*('5. Scenarios'!$C$11-1)))</f>
        <v/>
      </c>
      <c r="J971" s="57" t="str">
        <f aca="false">IF($I971="","",INDEX(BookRate,966)*(1+'5. Scenarios'!$C$10)*$I971)</f>
        <v/>
      </c>
      <c r="K971" s="57" t="str">
        <f aca="false">IF($J971="","",SUMIFS($J$6:$J$2405,$A$6:$A$2405,"&lt;="&amp;$A971))</f>
        <v/>
      </c>
      <c r="L971" s="57" t="str">
        <f aca="false">IF($J971="","",IF($K971&lt;=BankCostEnvelope*'5. Scenarios'!$C$7,1,0))</f>
        <v/>
      </c>
      <c r="M971" s="57" t="str">
        <f aca="false">IF($I971="","",INDEX(BookRate,966)*(1+'5. Scenarios'!$C$10)*(INDEX(BookQ1,966)*(5-MIN(4,1+'5. Scenarios'!$C$8))/4+INDEX(BookQ2,966)*(5-MIN(4,2+'5. Scenarios'!$C$8))/4+INDEX(BookQ3,966)*(5-MIN(4,3+'5. Scenarios'!$C$8))/4+INDEX(BookQ4,966)*(5-MIN(4,4+'5. Scenarios'!$C$8))/4)*'5. Scenarios'!$C$6/(1+ProductivityDefault*('5. Scenarios'!$C$11-1))+INDEX(BookOneOff,966)*$I971)</f>
        <v/>
      </c>
      <c r="N971" s="56" t="str">
        <f aca="false">IF(INDEX(BookTitle,966)="","",INDEX(BookTotal,966)*'5. Scenarios'!$D$6/(1+ProductivityDefault*('5. Scenarios'!$D$11-1)))</f>
        <v/>
      </c>
      <c r="O971" s="57" t="str">
        <f aca="false">IF($N971="","",INDEX(BookRate,966)*(1+'5. Scenarios'!$D$10)*$N971)</f>
        <v/>
      </c>
      <c r="P971" s="57" t="str">
        <f aca="false">IF($O971="","",SUMIFS($O$6:$O$2405,$A$6:$A$2405,"&lt;="&amp;$A971))</f>
        <v/>
      </c>
      <c r="Q971" s="57" t="str">
        <f aca="false">IF($O971="","",IF($P971&lt;=BankCostEnvelope*'5. Scenarios'!$D$7,1,0))</f>
        <v/>
      </c>
      <c r="R971" s="57" t="str">
        <f aca="false">IF($N971="","",INDEX(BookRate,966)*(1+'5. Scenarios'!$D$10)*(INDEX(BookQ1,966)*(5-MIN(4,1+'5. Scenarios'!$D$8))/4+INDEX(BookQ2,966)*(5-MIN(4,2+'5. Scenarios'!$D$8))/4+INDEX(BookQ3,966)*(5-MIN(4,3+'5. Scenarios'!$D$8))/4+INDEX(BookQ4,966)*(5-MIN(4,4+'5. Scenarios'!$D$8))/4)*'5. Scenarios'!$D$6/(1+ProductivityDefault*('5. Scenarios'!$D$11-1))+INDEX(BookOneOff,966)*$N971)</f>
        <v/>
      </c>
      <c r="S971" s="56" t="str">
        <f aca="false">IF(INDEX(BookTitle,966)="","",INDEX(BookTotal,966)*'5. Scenarios'!$E$6/(1+ProductivityDefault*('5. Scenarios'!$E$11-1)))</f>
        <v/>
      </c>
      <c r="T971" s="57" t="str">
        <f aca="false">IF($S971="","",INDEX(BookRate,966)*(1+'5. Scenarios'!$E$10)*$S971)</f>
        <v/>
      </c>
      <c r="U971" s="57" t="str">
        <f aca="false">IF($T971="","",SUMIFS($T$6:$T$2405,$A$6:$A$2405,"&lt;="&amp;$A971))</f>
        <v/>
      </c>
      <c r="V971" s="57" t="str">
        <f aca="false">IF($T971="","",IF($U971&lt;=BankCostEnvelope*'5. Scenarios'!$E$7,1,0))</f>
        <v/>
      </c>
      <c r="W971" s="57" t="str">
        <f aca="false">IF($S971="","",INDEX(BookRate,966)*(1+'5. Scenarios'!$E$10)*(INDEX(BookQ1,966)*(5-MIN(4,1+'5. Scenarios'!$E$8))/4+INDEX(BookQ2,966)*(5-MIN(4,2+'5. Scenarios'!$E$8))/4+INDEX(BookQ3,966)*(5-MIN(4,3+'5. Scenarios'!$E$8))/4+INDEX(BookQ4,966)*(5-MIN(4,4+'5. Scenarios'!$E$8))/4)*'5. Scenarios'!$E$6/(1+ProductivityDefault*('5. Scenarios'!$E$11-1))+INDEX(BookOneOff,966)*$S971)</f>
        <v/>
      </c>
    </row>
    <row r="972" customFormat="false" ht="15" hidden="false" customHeight="false" outlineLevel="0" collapsed="false">
      <c r="A972" s="0" t="str">
        <f aca="false">IF(INDEX(BookTitle,967)="","",INDEX(BookKey,967))</f>
        <v/>
      </c>
      <c r="B972" s="0" t="str">
        <f aca="false">IF(INDEX(BookTitle,967)="","",INDEX(BookGroup,967))</f>
        <v/>
      </c>
      <c r="C972" s="0" t="str">
        <f aca="false">IF(INDEX(BookTitle,967)="","",INDEX(BookCategory,967))</f>
        <v/>
      </c>
      <c r="D972" s="56" t="str">
        <f aca="false">IF(INDEX(BookTitle,967)="","",INDEX(BookTotal,967)*'5. Scenarios'!$B$6/(1+ProductivityDefault*('5. Scenarios'!$B$11-1)))</f>
        <v/>
      </c>
      <c r="E972" s="57" t="str">
        <f aca="false">IF($D972="","",INDEX(BookRate,967)*(1+'5. Scenarios'!$B$10)*$D972)</f>
        <v/>
      </c>
      <c r="F972" s="57" t="str">
        <f aca="false">IF($E972="","",SUMIFS($E$6:$E$2405,$A$6:$A$2405,"&lt;="&amp;$A972))</f>
        <v/>
      </c>
      <c r="G972" s="57" t="str">
        <f aca="false">IF($E972="","",IF($F972&lt;=BankCostEnvelope*'5. Scenarios'!$B$7,1,0))</f>
        <v/>
      </c>
      <c r="H972" s="57" t="str">
        <f aca="false">IF($D972="","",INDEX(BookRate,967)*(1+'5. Scenarios'!$B$10)*(INDEX(BookQ1,967)*(5-MIN(4,1+'5. Scenarios'!$B$8))/4+INDEX(BookQ2,967)*(5-MIN(4,2+'5. Scenarios'!$B$8))/4+INDEX(BookQ3,967)*(5-MIN(4,3+'5. Scenarios'!$B$8))/4+INDEX(BookQ4,967)*(5-MIN(4,4+'5. Scenarios'!$B$8))/4)*'5. Scenarios'!$B$6/(1+ProductivityDefault*('5. Scenarios'!$B$11-1))+INDEX(BookOneOff,967)*$D972)</f>
        <v/>
      </c>
      <c r="I972" s="56" t="str">
        <f aca="false">IF(INDEX(BookTitle,967)="","",INDEX(BookTotal,967)*'5. Scenarios'!$C$6/(1+ProductivityDefault*('5. Scenarios'!$C$11-1)))</f>
        <v/>
      </c>
      <c r="J972" s="57" t="str">
        <f aca="false">IF($I972="","",INDEX(BookRate,967)*(1+'5. Scenarios'!$C$10)*$I972)</f>
        <v/>
      </c>
      <c r="K972" s="57" t="str">
        <f aca="false">IF($J972="","",SUMIFS($J$6:$J$2405,$A$6:$A$2405,"&lt;="&amp;$A972))</f>
        <v/>
      </c>
      <c r="L972" s="57" t="str">
        <f aca="false">IF($J972="","",IF($K972&lt;=BankCostEnvelope*'5. Scenarios'!$C$7,1,0))</f>
        <v/>
      </c>
      <c r="M972" s="57" t="str">
        <f aca="false">IF($I972="","",INDEX(BookRate,967)*(1+'5. Scenarios'!$C$10)*(INDEX(BookQ1,967)*(5-MIN(4,1+'5. Scenarios'!$C$8))/4+INDEX(BookQ2,967)*(5-MIN(4,2+'5. Scenarios'!$C$8))/4+INDEX(BookQ3,967)*(5-MIN(4,3+'5. Scenarios'!$C$8))/4+INDEX(BookQ4,967)*(5-MIN(4,4+'5. Scenarios'!$C$8))/4)*'5. Scenarios'!$C$6/(1+ProductivityDefault*('5. Scenarios'!$C$11-1))+INDEX(BookOneOff,967)*$I972)</f>
        <v/>
      </c>
      <c r="N972" s="56" t="str">
        <f aca="false">IF(INDEX(BookTitle,967)="","",INDEX(BookTotal,967)*'5. Scenarios'!$D$6/(1+ProductivityDefault*('5. Scenarios'!$D$11-1)))</f>
        <v/>
      </c>
      <c r="O972" s="57" t="str">
        <f aca="false">IF($N972="","",INDEX(BookRate,967)*(1+'5. Scenarios'!$D$10)*$N972)</f>
        <v/>
      </c>
      <c r="P972" s="57" t="str">
        <f aca="false">IF($O972="","",SUMIFS($O$6:$O$2405,$A$6:$A$2405,"&lt;="&amp;$A972))</f>
        <v/>
      </c>
      <c r="Q972" s="57" t="str">
        <f aca="false">IF($O972="","",IF($P972&lt;=BankCostEnvelope*'5. Scenarios'!$D$7,1,0))</f>
        <v/>
      </c>
      <c r="R972" s="57" t="str">
        <f aca="false">IF($N972="","",INDEX(BookRate,967)*(1+'5. Scenarios'!$D$10)*(INDEX(BookQ1,967)*(5-MIN(4,1+'5. Scenarios'!$D$8))/4+INDEX(BookQ2,967)*(5-MIN(4,2+'5. Scenarios'!$D$8))/4+INDEX(BookQ3,967)*(5-MIN(4,3+'5. Scenarios'!$D$8))/4+INDEX(BookQ4,967)*(5-MIN(4,4+'5. Scenarios'!$D$8))/4)*'5. Scenarios'!$D$6/(1+ProductivityDefault*('5. Scenarios'!$D$11-1))+INDEX(BookOneOff,967)*$N972)</f>
        <v/>
      </c>
      <c r="S972" s="56" t="str">
        <f aca="false">IF(INDEX(BookTitle,967)="","",INDEX(BookTotal,967)*'5. Scenarios'!$E$6/(1+ProductivityDefault*('5. Scenarios'!$E$11-1)))</f>
        <v/>
      </c>
      <c r="T972" s="57" t="str">
        <f aca="false">IF($S972="","",INDEX(BookRate,967)*(1+'5. Scenarios'!$E$10)*$S972)</f>
        <v/>
      </c>
      <c r="U972" s="57" t="str">
        <f aca="false">IF($T972="","",SUMIFS($T$6:$T$2405,$A$6:$A$2405,"&lt;="&amp;$A972))</f>
        <v/>
      </c>
      <c r="V972" s="57" t="str">
        <f aca="false">IF($T972="","",IF($U972&lt;=BankCostEnvelope*'5. Scenarios'!$E$7,1,0))</f>
        <v/>
      </c>
      <c r="W972" s="57" t="str">
        <f aca="false">IF($S972="","",INDEX(BookRate,967)*(1+'5. Scenarios'!$E$10)*(INDEX(BookQ1,967)*(5-MIN(4,1+'5. Scenarios'!$E$8))/4+INDEX(BookQ2,967)*(5-MIN(4,2+'5. Scenarios'!$E$8))/4+INDEX(BookQ3,967)*(5-MIN(4,3+'5. Scenarios'!$E$8))/4+INDEX(BookQ4,967)*(5-MIN(4,4+'5. Scenarios'!$E$8))/4)*'5. Scenarios'!$E$6/(1+ProductivityDefault*('5. Scenarios'!$E$11-1))+INDEX(BookOneOff,967)*$S972)</f>
        <v/>
      </c>
    </row>
    <row r="973" customFormat="false" ht="15" hidden="false" customHeight="false" outlineLevel="0" collapsed="false">
      <c r="A973" s="0" t="str">
        <f aca="false">IF(INDEX(BookTitle,968)="","",INDEX(BookKey,968))</f>
        <v/>
      </c>
      <c r="B973" s="0" t="str">
        <f aca="false">IF(INDEX(BookTitle,968)="","",INDEX(BookGroup,968))</f>
        <v/>
      </c>
      <c r="C973" s="0" t="str">
        <f aca="false">IF(INDEX(BookTitle,968)="","",INDEX(BookCategory,968))</f>
        <v/>
      </c>
      <c r="D973" s="56" t="str">
        <f aca="false">IF(INDEX(BookTitle,968)="","",INDEX(BookTotal,968)*'5. Scenarios'!$B$6/(1+ProductivityDefault*('5. Scenarios'!$B$11-1)))</f>
        <v/>
      </c>
      <c r="E973" s="57" t="str">
        <f aca="false">IF($D973="","",INDEX(BookRate,968)*(1+'5. Scenarios'!$B$10)*$D973)</f>
        <v/>
      </c>
      <c r="F973" s="57" t="str">
        <f aca="false">IF($E973="","",SUMIFS($E$6:$E$2405,$A$6:$A$2405,"&lt;="&amp;$A973))</f>
        <v/>
      </c>
      <c r="G973" s="57" t="str">
        <f aca="false">IF($E973="","",IF($F973&lt;=BankCostEnvelope*'5. Scenarios'!$B$7,1,0))</f>
        <v/>
      </c>
      <c r="H973" s="57" t="str">
        <f aca="false">IF($D973="","",INDEX(BookRate,968)*(1+'5. Scenarios'!$B$10)*(INDEX(BookQ1,968)*(5-MIN(4,1+'5. Scenarios'!$B$8))/4+INDEX(BookQ2,968)*(5-MIN(4,2+'5. Scenarios'!$B$8))/4+INDEX(BookQ3,968)*(5-MIN(4,3+'5. Scenarios'!$B$8))/4+INDEX(BookQ4,968)*(5-MIN(4,4+'5. Scenarios'!$B$8))/4)*'5. Scenarios'!$B$6/(1+ProductivityDefault*('5. Scenarios'!$B$11-1))+INDEX(BookOneOff,968)*$D973)</f>
        <v/>
      </c>
      <c r="I973" s="56" t="str">
        <f aca="false">IF(INDEX(BookTitle,968)="","",INDEX(BookTotal,968)*'5. Scenarios'!$C$6/(1+ProductivityDefault*('5. Scenarios'!$C$11-1)))</f>
        <v/>
      </c>
      <c r="J973" s="57" t="str">
        <f aca="false">IF($I973="","",INDEX(BookRate,968)*(1+'5. Scenarios'!$C$10)*$I973)</f>
        <v/>
      </c>
      <c r="K973" s="57" t="str">
        <f aca="false">IF($J973="","",SUMIFS($J$6:$J$2405,$A$6:$A$2405,"&lt;="&amp;$A973))</f>
        <v/>
      </c>
      <c r="L973" s="57" t="str">
        <f aca="false">IF($J973="","",IF($K973&lt;=BankCostEnvelope*'5. Scenarios'!$C$7,1,0))</f>
        <v/>
      </c>
      <c r="M973" s="57" t="str">
        <f aca="false">IF($I973="","",INDEX(BookRate,968)*(1+'5. Scenarios'!$C$10)*(INDEX(BookQ1,968)*(5-MIN(4,1+'5. Scenarios'!$C$8))/4+INDEX(BookQ2,968)*(5-MIN(4,2+'5. Scenarios'!$C$8))/4+INDEX(BookQ3,968)*(5-MIN(4,3+'5. Scenarios'!$C$8))/4+INDEX(BookQ4,968)*(5-MIN(4,4+'5. Scenarios'!$C$8))/4)*'5. Scenarios'!$C$6/(1+ProductivityDefault*('5. Scenarios'!$C$11-1))+INDEX(BookOneOff,968)*$I973)</f>
        <v/>
      </c>
      <c r="N973" s="56" t="str">
        <f aca="false">IF(INDEX(BookTitle,968)="","",INDEX(BookTotal,968)*'5. Scenarios'!$D$6/(1+ProductivityDefault*('5. Scenarios'!$D$11-1)))</f>
        <v/>
      </c>
      <c r="O973" s="57" t="str">
        <f aca="false">IF($N973="","",INDEX(BookRate,968)*(1+'5. Scenarios'!$D$10)*$N973)</f>
        <v/>
      </c>
      <c r="P973" s="57" t="str">
        <f aca="false">IF($O973="","",SUMIFS($O$6:$O$2405,$A$6:$A$2405,"&lt;="&amp;$A973))</f>
        <v/>
      </c>
      <c r="Q973" s="57" t="str">
        <f aca="false">IF($O973="","",IF($P973&lt;=BankCostEnvelope*'5. Scenarios'!$D$7,1,0))</f>
        <v/>
      </c>
      <c r="R973" s="57" t="str">
        <f aca="false">IF($N973="","",INDEX(BookRate,968)*(1+'5. Scenarios'!$D$10)*(INDEX(BookQ1,968)*(5-MIN(4,1+'5. Scenarios'!$D$8))/4+INDEX(BookQ2,968)*(5-MIN(4,2+'5. Scenarios'!$D$8))/4+INDEX(BookQ3,968)*(5-MIN(4,3+'5. Scenarios'!$D$8))/4+INDEX(BookQ4,968)*(5-MIN(4,4+'5. Scenarios'!$D$8))/4)*'5. Scenarios'!$D$6/(1+ProductivityDefault*('5. Scenarios'!$D$11-1))+INDEX(BookOneOff,968)*$N973)</f>
        <v/>
      </c>
      <c r="S973" s="56" t="str">
        <f aca="false">IF(INDEX(BookTitle,968)="","",INDEX(BookTotal,968)*'5. Scenarios'!$E$6/(1+ProductivityDefault*('5. Scenarios'!$E$11-1)))</f>
        <v/>
      </c>
      <c r="T973" s="57" t="str">
        <f aca="false">IF($S973="","",INDEX(BookRate,968)*(1+'5. Scenarios'!$E$10)*$S973)</f>
        <v/>
      </c>
      <c r="U973" s="57" t="str">
        <f aca="false">IF($T973="","",SUMIFS($T$6:$T$2405,$A$6:$A$2405,"&lt;="&amp;$A973))</f>
        <v/>
      </c>
      <c r="V973" s="57" t="str">
        <f aca="false">IF($T973="","",IF($U973&lt;=BankCostEnvelope*'5. Scenarios'!$E$7,1,0))</f>
        <v/>
      </c>
      <c r="W973" s="57" t="str">
        <f aca="false">IF($S973="","",INDEX(BookRate,968)*(1+'5. Scenarios'!$E$10)*(INDEX(BookQ1,968)*(5-MIN(4,1+'5. Scenarios'!$E$8))/4+INDEX(BookQ2,968)*(5-MIN(4,2+'5. Scenarios'!$E$8))/4+INDEX(BookQ3,968)*(5-MIN(4,3+'5. Scenarios'!$E$8))/4+INDEX(BookQ4,968)*(5-MIN(4,4+'5. Scenarios'!$E$8))/4)*'5. Scenarios'!$E$6/(1+ProductivityDefault*('5. Scenarios'!$E$11-1))+INDEX(BookOneOff,968)*$S973)</f>
        <v/>
      </c>
    </row>
    <row r="974" customFormat="false" ht="15" hidden="false" customHeight="false" outlineLevel="0" collapsed="false">
      <c r="A974" s="0" t="str">
        <f aca="false">IF(INDEX(BookTitle,969)="","",INDEX(BookKey,969))</f>
        <v/>
      </c>
      <c r="B974" s="0" t="str">
        <f aca="false">IF(INDEX(BookTitle,969)="","",INDEX(BookGroup,969))</f>
        <v/>
      </c>
      <c r="C974" s="0" t="str">
        <f aca="false">IF(INDEX(BookTitle,969)="","",INDEX(BookCategory,969))</f>
        <v/>
      </c>
      <c r="D974" s="56" t="str">
        <f aca="false">IF(INDEX(BookTitle,969)="","",INDEX(BookTotal,969)*'5. Scenarios'!$B$6/(1+ProductivityDefault*('5. Scenarios'!$B$11-1)))</f>
        <v/>
      </c>
      <c r="E974" s="57" t="str">
        <f aca="false">IF($D974="","",INDEX(BookRate,969)*(1+'5. Scenarios'!$B$10)*$D974)</f>
        <v/>
      </c>
      <c r="F974" s="57" t="str">
        <f aca="false">IF($E974="","",SUMIFS($E$6:$E$2405,$A$6:$A$2405,"&lt;="&amp;$A974))</f>
        <v/>
      </c>
      <c r="G974" s="57" t="str">
        <f aca="false">IF($E974="","",IF($F974&lt;=BankCostEnvelope*'5. Scenarios'!$B$7,1,0))</f>
        <v/>
      </c>
      <c r="H974" s="57" t="str">
        <f aca="false">IF($D974="","",INDEX(BookRate,969)*(1+'5. Scenarios'!$B$10)*(INDEX(BookQ1,969)*(5-MIN(4,1+'5. Scenarios'!$B$8))/4+INDEX(BookQ2,969)*(5-MIN(4,2+'5. Scenarios'!$B$8))/4+INDEX(BookQ3,969)*(5-MIN(4,3+'5. Scenarios'!$B$8))/4+INDEX(BookQ4,969)*(5-MIN(4,4+'5. Scenarios'!$B$8))/4)*'5. Scenarios'!$B$6/(1+ProductivityDefault*('5. Scenarios'!$B$11-1))+INDEX(BookOneOff,969)*$D974)</f>
        <v/>
      </c>
      <c r="I974" s="56" t="str">
        <f aca="false">IF(INDEX(BookTitle,969)="","",INDEX(BookTotal,969)*'5. Scenarios'!$C$6/(1+ProductivityDefault*('5. Scenarios'!$C$11-1)))</f>
        <v/>
      </c>
      <c r="J974" s="57" t="str">
        <f aca="false">IF($I974="","",INDEX(BookRate,969)*(1+'5. Scenarios'!$C$10)*$I974)</f>
        <v/>
      </c>
      <c r="K974" s="57" t="str">
        <f aca="false">IF($J974="","",SUMIFS($J$6:$J$2405,$A$6:$A$2405,"&lt;="&amp;$A974))</f>
        <v/>
      </c>
      <c r="L974" s="57" t="str">
        <f aca="false">IF($J974="","",IF($K974&lt;=BankCostEnvelope*'5. Scenarios'!$C$7,1,0))</f>
        <v/>
      </c>
      <c r="M974" s="57" t="str">
        <f aca="false">IF($I974="","",INDEX(BookRate,969)*(1+'5. Scenarios'!$C$10)*(INDEX(BookQ1,969)*(5-MIN(4,1+'5. Scenarios'!$C$8))/4+INDEX(BookQ2,969)*(5-MIN(4,2+'5. Scenarios'!$C$8))/4+INDEX(BookQ3,969)*(5-MIN(4,3+'5. Scenarios'!$C$8))/4+INDEX(BookQ4,969)*(5-MIN(4,4+'5. Scenarios'!$C$8))/4)*'5. Scenarios'!$C$6/(1+ProductivityDefault*('5. Scenarios'!$C$11-1))+INDEX(BookOneOff,969)*$I974)</f>
        <v/>
      </c>
      <c r="N974" s="56" t="str">
        <f aca="false">IF(INDEX(BookTitle,969)="","",INDEX(BookTotal,969)*'5. Scenarios'!$D$6/(1+ProductivityDefault*('5. Scenarios'!$D$11-1)))</f>
        <v/>
      </c>
      <c r="O974" s="57" t="str">
        <f aca="false">IF($N974="","",INDEX(BookRate,969)*(1+'5. Scenarios'!$D$10)*$N974)</f>
        <v/>
      </c>
      <c r="P974" s="57" t="str">
        <f aca="false">IF($O974="","",SUMIFS($O$6:$O$2405,$A$6:$A$2405,"&lt;="&amp;$A974))</f>
        <v/>
      </c>
      <c r="Q974" s="57" t="str">
        <f aca="false">IF($O974="","",IF($P974&lt;=BankCostEnvelope*'5. Scenarios'!$D$7,1,0))</f>
        <v/>
      </c>
      <c r="R974" s="57" t="str">
        <f aca="false">IF($N974="","",INDEX(BookRate,969)*(1+'5. Scenarios'!$D$10)*(INDEX(BookQ1,969)*(5-MIN(4,1+'5. Scenarios'!$D$8))/4+INDEX(BookQ2,969)*(5-MIN(4,2+'5. Scenarios'!$D$8))/4+INDEX(BookQ3,969)*(5-MIN(4,3+'5. Scenarios'!$D$8))/4+INDEX(BookQ4,969)*(5-MIN(4,4+'5. Scenarios'!$D$8))/4)*'5. Scenarios'!$D$6/(1+ProductivityDefault*('5. Scenarios'!$D$11-1))+INDEX(BookOneOff,969)*$N974)</f>
        <v/>
      </c>
      <c r="S974" s="56" t="str">
        <f aca="false">IF(INDEX(BookTitle,969)="","",INDEX(BookTotal,969)*'5. Scenarios'!$E$6/(1+ProductivityDefault*('5. Scenarios'!$E$11-1)))</f>
        <v/>
      </c>
      <c r="T974" s="57" t="str">
        <f aca="false">IF($S974="","",INDEX(BookRate,969)*(1+'5. Scenarios'!$E$10)*$S974)</f>
        <v/>
      </c>
      <c r="U974" s="57" t="str">
        <f aca="false">IF($T974="","",SUMIFS($T$6:$T$2405,$A$6:$A$2405,"&lt;="&amp;$A974))</f>
        <v/>
      </c>
      <c r="V974" s="57" t="str">
        <f aca="false">IF($T974="","",IF($U974&lt;=BankCostEnvelope*'5. Scenarios'!$E$7,1,0))</f>
        <v/>
      </c>
      <c r="W974" s="57" t="str">
        <f aca="false">IF($S974="","",INDEX(BookRate,969)*(1+'5. Scenarios'!$E$10)*(INDEX(BookQ1,969)*(5-MIN(4,1+'5. Scenarios'!$E$8))/4+INDEX(BookQ2,969)*(5-MIN(4,2+'5. Scenarios'!$E$8))/4+INDEX(BookQ3,969)*(5-MIN(4,3+'5. Scenarios'!$E$8))/4+INDEX(BookQ4,969)*(5-MIN(4,4+'5. Scenarios'!$E$8))/4)*'5. Scenarios'!$E$6/(1+ProductivityDefault*('5. Scenarios'!$E$11-1))+INDEX(BookOneOff,969)*$S974)</f>
        <v/>
      </c>
    </row>
    <row r="975" customFormat="false" ht="15" hidden="false" customHeight="false" outlineLevel="0" collapsed="false">
      <c r="A975" s="0" t="str">
        <f aca="false">IF(INDEX(BookTitle,970)="","",INDEX(BookKey,970))</f>
        <v/>
      </c>
      <c r="B975" s="0" t="str">
        <f aca="false">IF(INDEX(BookTitle,970)="","",INDEX(BookGroup,970))</f>
        <v/>
      </c>
      <c r="C975" s="0" t="str">
        <f aca="false">IF(INDEX(BookTitle,970)="","",INDEX(BookCategory,970))</f>
        <v/>
      </c>
      <c r="D975" s="56" t="str">
        <f aca="false">IF(INDEX(BookTitle,970)="","",INDEX(BookTotal,970)*'5. Scenarios'!$B$6/(1+ProductivityDefault*('5. Scenarios'!$B$11-1)))</f>
        <v/>
      </c>
      <c r="E975" s="57" t="str">
        <f aca="false">IF($D975="","",INDEX(BookRate,970)*(1+'5. Scenarios'!$B$10)*$D975)</f>
        <v/>
      </c>
      <c r="F975" s="57" t="str">
        <f aca="false">IF($E975="","",SUMIFS($E$6:$E$2405,$A$6:$A$2405,"&lt;="&amp;$A975))</f>
        <v/>
      </c>
      <c r="G975" s="57" t="str">
        <f aca="false">IF($E975="","",IF($F975&lt;=BankCostEnvelope*'5. Scenarios'!$B$7,1,0))</f>
        <v/>
      </c>
      <c r="H975" s="57" t="str">
        <f aca="false">IF($D975="","",INDEX(BookRate,970)*(1+'5. Scenarios'!$B$10)*(INDEX(BookQ1,970)*(5-MIN(4,1+'5. Scenarios'!$B$8))/4+INDEX(BookQ2,970)*(5-MIN(4,2+'5. Scenarios'!$B$8))/4+INDEX(BookQ3,970)*(5-MIN(4,3+'5. Scenarios'!$B$8))/4+INDEX(BookQ4,970)*(5-MIN(4,4+'5. Scenarios'!$B$8))/4)*'5. Scenarios'!$B$6/(1+ProductivityDefault*('5. Scenarios'!$B$11-1))+INDEX(BookOneOff,970)*$D975)</f>
        <v/>
      </c>
      <c r="I975" s="56" t="str">
        <f aca="false">IF(INDEX(BookTitle,970)="","",INDEX(BookTotal,970)*'5. Scenarios'!$C$6/(1+ProductivityDefault*('5. Scenarios'!$C$11-1)))</f>
        <v/>
      </c>
      <c r="J975" s="57" t="str">
        <f aca="false">IF($I975="","",INDEX(BookRate,970)*(1+'5. Scenarios'!$C$10)*$I975)</f>
        <v/>
      </c>
      <c r="K975" s="57" t="str">
        <f aca="false">IF($J975="","",SUMIFS($J$6:$J$2405,$A$6:$A$2405,"&lt;="&amp;$A975))</f>
        <v/>
      </c>
      <c r="L975" s="57" t="str">
        <f aca="false">IF($J975="","",IF($K975&lt;=BankCostEnvelope*'5. Scenarios'!$C$7,1,0))</f>
        <v/>
      </c>
      <c r="M975" s="57" t="str">
        <f aca="false">IF($I975="","",INDEX(BookRate,970)*(1+'5. Scenarios'!$C$10)*(INDEX(BookQ1,970)*(5-MIN(4,1+'5. Scenarios'!$C$8))/4+INDEX(BookQ2,970)*(5-MIN(4,2+'5. Scenarios'!$C$8))/4+INDEX(BookQ3,970)*(5-MIN(4,3+'5. Scenarios'!$C$8))/4+INDEX(BookQ4,970)*(5-MIN(4,4+'5. Scenarios'!$C$8))/4)*'5. Scenarios'!$C$6/(1+ProductivityDefault*('5. Scenarios'!$C$11-1))+INDEX(BookOneOff,970)*$I975)</f>
        <v/>
      </c>
      <c r="N975" s="56" t="str">
        <f aca="false">IF(INDEX(BookTitle,970)="","",INDEX(BookTotal,970)*'5. Scenarios'!$D$6/(1+ProductivityDefault*('5. Scenarios'!$D$11-1)))</f>
        <v/>
      </c>
      <c r="O975" s="57" t="str">
        <f aca="false">IF($N975="","",INDEX(BookRate,970)*(1+'5. Scenarios'!$D$10)*$N975)</f>
        <v/>
      </c>
      <c r="P975" s="57" t="str">
        <f aca="false">IF($O975="","",SUMIFS($O$6:$O$2405,$A$6:$A$2405,"&lt;="&amp;$A975))</f>
        <v/>
      </c>
      <c r="Q975" s="57" t="str">
        <f aca="false">IF($O975="","",IF($P975&lt;=BankCostEnvelope*'5. Scenarios'!$D$7,1,0))</f>
        <v/>
      </c>
      <c r="R975" s="57" t="str">
        <f aca="false">IF($N975="","",INDEX(BookRate,970)*(1+'5. Scenarios'!$D$10)*(INDEX(BookQ1,970)*(5-MIN(4,1+'5. Scenarios'!$D$8))/4+INDEX(BookQ2,970)*(5-MIN(4,2+'5. Scenarios'!$D$8))/4+INDEX(BookQ3,970)*(5-MIN(4,3+'5. Scenarios'!$D$8))/4+INDEX(BookQ4,970)*(5-MIN(4,4+'5. Scenarios'!$D$8))/4)*'5. Scenarios'!$D$6/(1+ProductivityDefault*('5. Scenarios'!$D$11-1))+INDEX(BookOneOff,970)*$N975)</f>
        <v/>
      </c>
      <c r="S975" s="56" t="str">
        <f aca="false">IF(INDEX(BookTitle,970)="","",INDEX(BookTotal,970)*'5. Scenarios'!$E$6/(1+ProductivityDefault*('5. Scenarios'!$E$11-1)))</f>
        <v/>
      </c>
      <c r="T975" s="57" t="str">
        <f aca="false">IF($S975="","",INDEX(BookRate,970)*(1+'5. Scenarios'!$E$10)*$S975)</f>
        <v/>
      </c>
      <c r="U975" s="57" t="str">
        <f aca="false">IF($T975="","",SUMIFS($T$6:$T$2405,$A$6:$A$2405,"&lt;="&amp;$A975))</f>
        <v/>
      </c>
      <c r="V975" s="57" t="str">
        <f aca="false">IF($T975="","",IF($U975&lt;=BankCostEnvelope*'5. Scenarios'!$E$7,1,0))</f>
        <v/>
      </c>
      <c r="W975" s="57" t="str">
        <f aca="false">IF($S975="","",INDEX(BookRate,970)*(1+'5. Scenarios'!$E$10)*(INDEX(BookQ1,970)*(5-MIN(4,1+'5. Scenarios'!$E$8))/4+INDEX(BookQ2,970)*(5-MIN(4,2+'5. Scenarios'!$E$8))/4+INDEX(BookQ3,970)*(5-MIN(4,3+'5. Scenarios'!$E$8))/4+INDEX(BookQ4,970)*(5-MIN(4,4+'5. Scenarios'!$E$8))/4)*'5. Scenarios'!$E$6/(1+ProductivityDefault*('5. Scenarios'!$E$11-1))+INDEX(BookOneOff,970)*$S975)</f>
        <v/>
      </c>
    </row>
    <row r="976" customFormat="false" ht="15" hidden="false" customHeight="false" outlineLevel="0" collapsed="false">
      <c r="A976" s="0" t="str">
        <f aca="false">IF(INDEX(BookTitle,971)="","",INDEX(BookKey,971))</f>
        <v/>
      </c>
      <c r="B976" s="0" t="str">
        <f aca="false">IF(INDEX(BookTitle,971)="","",INDEX(BookGroup,971))</f>
        <v/>
      </c>
      <c r="C976" s="0" t="str">
        <f aca="false">IF(INDEX(BookTitle,971)="","",INDEX(BookCategory,971))</f>
        <v/>
      </c>
      <c r="D976" s="56" t="str">
        <f aca="false">IF(INDEX(BookTitle,971)="","",INDEX(BookTotal,971)*'5. Scenarios'!$B$6/(1+ProductivityDefault*('5. Scenarios'!$B$11-1)))</f>
        <v/>
      </c>
      <c r="E976" s="57" t="str">
        <f aca="false">IF($D976="","",INDEX(BookRate,971)*(1+'5. Scenarios'!$B$10)*$D976)</f>
        <v/>
      </c>
      <c r="F976" s="57" t="str">
        <f aca="false">IF($E976="","",SUMIFS($E$6:$E$2405,$A$6:$A$2405,"&lt;="&amp;$A976))</f>
        <v/>
      </c>
      <c r="G976" s="57" t="str">
        <f aca="false">IF($E976="","",IF($F976&lt;=BankCostEnvelope*'5. Scenarios'!$B$7,1,0))</f>
        <v/>
      </c>
      <c r="H976" s="57" t="str">
        <f aca="false">IF($D976="","",INDEX(BookRate,971)*(1+'5. Scenarios'!$B$10)*(INDEX(BookQ1,971)*(5-MIN(4,1+'5. Scenarios'!$B$8))/4+INDEX(BookQ2,971)*(5-MIN(4,2+'5. Scenarios'!$B$8))/4+INDEX(BookQ3,971)*(5-MIN(4,3+'5. Scenarios'!$B$8))/4+INDEX(BookQ4,971)*(5-MIN(4,4+'5. Scenarios'!$B$8))/4)*'5. Scenarios'!$B$6/(1+ProductivityDefault*('5. Scenarios'!$B$11-1))+INDEX(BookOneOff,971)*$D976)</f>
        <v/>
      </c>
      <c r="I976" s="56" t="str">
        <f aca="false">IF(INDEX(BookTitle,971)="","",INDEX(BookTotal,971)*'5. Scenarios'!$C$6/(1+ProductivityDefault*('5. Scenarios'!$C$11-1)))</f>
        <v/>
      </c>
      <c r="J976" s="57" t="str">
        <f aca="false">IF($I976="","",INDEX(BookRate,971)*(1+'5. Scenarios'!$C$10)*$I976)</f>
        <v/>
      </c>
      <c r="K976" s="57" t="str">
        <f aca="false">IF($J976="","",SUMIFS($J$6:$J$2405,$A$6:$A$2405,"&lt;="&amp;$A976))</f>
        <v/>
      </c>
      <c r="L976" s="57" t="str">
        <f aca="false">IF($J976="","",IF($K976&lt;=BankCostEnvelope*'5. Scenarios'!$C$7,1,0))</f>
        <v/>
      </c>
      <c r="M976" s="57" t="str">
        <f aca="false">IF($I976="","",INDEX(BookRate,971)*(1+'5. Scenarios'!$C$10)*(INDEX(BookQ1,971)*(5-MIN(4,1+'5. Scenarios'!$C$8))/4+INDEX(BookQ2,971)*(5-MIN(4,2+'5. Scenarios'!$C$8))/4+INDEX(BookQ3,971)*(5-MIN(4,3+'5. Scenarios'!$C$8))/4+INDEX(BookQ4,971)*(5-MIN(4,4+'5. Scenarios'!$C$8))/4)*'5. Scenarios'!$C$6/(1+ProductivityDefault*('5. Scenarios'!$C$11-1))+INDEX(BookOneOff,971)*$I976)</f>
        <v/>
      </c>
      <c r="N976" s="56" t="str">
        <f aca="false">IF(INDEX(BookTitle,971)="","",INDEX(BookTotal,971)*'5. Scenarios'!$D$6/(1+ProductivityDefault*('5. Scenarios'!$D$11-1)))</f>
        <v/>
      </c>
      <c r="O976" s="57" t="str">
        <f aca="false">IF($N976="","",INDEX(BookRate,971)*(1+'5. Scenarios'!$D$10)*$N976)</f>
        <v/>
      </c>
      <c r="P976" s="57" t="str">
        <f aca="false">IF($O976="","",SUMIFS($O$6:$O$2405,$A$6:$A$2405,"&lt;="&amp;$A976))</f>
        <v/>
      </c>
      <c r="Q976" s="57" t="str">
        <f aca="false">IF($O976="","",IF($P976&lt;=BankCostEnvelope*'5. Scenarios'!$D$7,1,0))</f>
        <v/>
      </c>
      <c r="R976" s="57" t="str">
        <f aca="false">IF($N976="","",INDEX(BookRate,971)*(1+'5. Scenarios'!$D$10)*(INDEX(BookQ1,971)*(5-MIN(4,1+'5. Scenarios'!$D$8))/4+INDEX(BookQ2,971)*(5-MIN(4,2+'5. Scenarios'!$D$8))/4+INDEX(BookQ3,971)*(5-MIN(4,3+'5. Scenarios'!$D$8))/4+INDEX(BookQ4,971)*(5-MIN(4,4+'5. Scenarios'!$D$8))/4)*'5. Scenarios'!$D$6/(1+ProductivityDefault*('5. Scenarios'!$D$11-1))+INDEX(BookOneOff,971)*$N976)</f>
        <v/>
      </c>
      <c r="S976" s="56" t="str">
        <f aca="false">IF(INDEX(BookTitle,971)="","",INDEX(BookTotal,971)*'5. Scenarios'!$E$6/(1+ProductivityDefault*('5. Scenarios'!$E$11-1)))</f>
        <v/>
      </c>
      <c r="T976" s="57" t="str">
        <f aca="false">IF($S976="","",INDEX(BookRate,971)*(1+'5. Scenarios'!$E$10)*$S976)</f>
        <v/>
      </c>
      <c r="U976" s="57" t="str">
        <f aca="false">IF($T976="","",SUMIFS($T$6:$T$2405,$A$6:$A$2405,"&lt;="&amp;$A976))</f>
        <v/>
      </c>
      <c r="V976" s="57" t="str">
        <f aca="false">IF($T976="","",IF($U976&lt;=BankCostEnvelope*'5. Scenarios'!$E$7,1,0))</f>
        <v/>
      </c>
      <c r="W976" s="57" t="str">
        <f aca="false">IF($S976="","",INDEX(BookRate,971)*(1+'5. Scenarios'!$E$10)*(INDEX(BookQ1,971)*(5-MIN(4,1+'5. Scenarios'!$E$8))/4+INDEX(BookQ2,971)*(5-MIN(4,2+'5. Scenarios'!$E$8))/4+INDEX(BookQ3,971)*(5-MIN(4,3+'5. Scenarios'!$E$8))/4+INDEX(BookQ4,971)*(5-MIN(4,4+'5. Scenarios'!$E$8))/4)*'5. Scenarios'!$E$6/(1+ProductivityDefault*('5. Scenarios'!$E$11-1))+INDEX(BookOneOff,971)*$S976)</f>
        <v/>
      </c>
    </row>
    <row r="977" customFormat="false" ht="15" hidden="false" customHeight="false" outlineLevel="0" collapsed="false">
      <c r="A977" s="0" t="str">
        <f aca="false">IF(INDEX(BookTitle,972)="","",INDEX(BookKey,972))</f>
        <v/>
      </c>
      <c r="B977" s="0" t="str">
        <f aca="false">IF(INDEX(BookTitle,972)="","",INDEX(BookGroup,972))</f>
        <v/>
      </c>
      <c r="C977" s="0" t="str">
        <f aca="false">IF(INDEX(BookTitle,972)="","",INDEX(BookCategory,972))</f>
        <v/>
      </c>
      <c r="D977" s="56" t="str">
        <f aca="false">IF(INDEX(BookTitle,972)="","",INDEX(BookTotal,972)*'5. Scenarios'!$B$6/(1+ProductivityDefault*('5. Scenarios'!$B$11-1)))</f>
        <v/>
      </c>
      <c r="E977" s="57" t="str">
        <f aca="false">IF($D977="","",INDEX(BookRate,972)*(1+'5. Scenarios'!$B$10)*$D977)</f>
        <v/>
      </c>
      <c r="F977" s="57" t="str">
        <f aca="false">IF($E977="","",SUMIFS($E$6:$E$2405,$A$6:$A$2405,"&lt;="&amp;$A977))</f>
        <v/>
      </c>
      <c r="G977" s="57" t="str">
        <f aca="false">IF($E977="","",IF($F977&lt;=BankCostEnvelope*'5. Scenarios'!$B$7,1,0))</f>
        <v/>
      </c>
      <c r="H977" s="57" t="str">
        <f aca="false">IF($D977="","",INDEX(BookRate,972)*(1+'5. Scenarios'!$B$10)*(INDEX(BookQ1,972)*(5-MIN(4,1+'5. Scenarios'!$B$8))/4+INDEX(BookQ2,972)*(5-MIN(4,2+'5. Scenarios'!$B$8))/4+INDEX(BookQ3,972)*(5-MIN(4,3+'5. Scenarios'!$B$8))/4+INDEX(BookQ4,972)*(5-MIN(4,4+'5. Scenarios'!$B$8))/4)*'5. Scenarios'!$B$6/(1+ProductivityDefault*('5. Scenarios'!$B$11-1))+INDEX(BookOneOff,972)*$D977)</f>
        <v/>
      </c>
      <c r="I977" s="56" t="str">
        <f aca="false">IF(INDEX(BookTitle,972)="","",INDEX(BookTotal,972)*'5. Scenarios'!$C$6/(1+ProductivityDefault*('5. Scenarios'!$C$11-1)))</f>
        <v/>
      </c>
      <c r="J977" s="57" t="str">
        <f aca="false">IF($I977="","",INDEX(BookRate,972)*(1+'5. Scenarios'!$C$10)*$I977)</f>
        <v/>
      </c>
      <c r="K977" s="57" t="str">
        <f aca="false">IF($J977="","",SUMIFS($J$6:$J$2405,$A$6:$A$2405,"&lt;="&amp;$A977))</f>
        <v/>
      </c>
      <c r="L977" s="57" t="str">
        <f aca="false">IF($J977="","",IF($K977&lt;=BankCostEnvelope*'5. Scenarios'!$C$7,1,0))</f>
        <v/>
      </c>
      <c r="M977" s="57" t="str">
        <f aca="false">IF($I977="","",INDEX(BookRate,972)*(1+'5. Scenarios'!$C$10)*(INDEX(BookQ1,972)*(5-MIN(4,1+'5. Scenarios'!$C$8))/4+INDEX(BookQ2,972)*(5-MIN(4,2+'5. Scenarios'!$C$8))/4+INDEX(BookQ3,972)*(5-MIN(4,3+'5. Scenarios'!$C$8))/4+INDEX(BookQ4,972)*(5-MIN(4,4+'5. Scenarios'!$C$8))/4)*'5. Scenarios'!$C$6/(1+ProductivityDefault*('5. Scenarios'!$C$11-1))+INDEX(BookOneOff,972)*$I977)</f>
        <v/>
      </c>
      <c r="N977" s="56" t="str">
        <f aca="false">IF(INDEX(BookTitle,972)="","",INDEX(BookTotal,972)*'5. Scenarios'!$D$6/(1+ProductivityDefault*('5. Scenarios'!$D$11-1)))</f>
        <v/>
      </c>
      <c r="O977" s="57" t="str">
        <f aca="false">IF($N977="","",INDEX(BookRate,972)*(1+'5. Scenarios'!$D$10)*$N977)</f>
        <v/>
      </c>
      <c r="P977" s="57" t="str">
        <f aca="false">IF($O977="","",SUMIFS($O$6:$O$2405,$A$6:$A$2405,"&lt;="&amp;$A977))</f>
        <v/>
      </c>
      <c r="Q977" s="57" t="str">
        <f aca="false">IF($O977="","",IF($P977&lt;=BankCostEnvelope*'5. Scenarios'!$D$7,1,0))</f>
        <v/>
      </c>
      <c r="R977" s="57" t="str">
        <f aca="false">IF($N977="","",INDEX(BookRate,972)*(1+'5. Scenarios'!$D$10)*(INDEX(BookQ1,972)*(5-MIN(4,1+'5. Scenarios'!$D$8))/4+INDEX(BookQ2,972)*(5-MIN(4,2+'5. Scenarios'!$D$8))/4+INDEX(BookQ3,972)*(5-MIN(4,3+'5. Scenarios'!$D$8))/4+INDEX(BookQ4,972)*(5-MIN(4,4+'5. Scenarios'!$D$8))/4)*'5. Scenarios'!$D$6/(1+ProductivityDefault*('5. Scenarios'!$D$11-1))+INDEX(BookOneOff,972)*$N977)</f>
        <v/>
      </c>
      <c r="S977" s="56" t="str">
        <f aca="false">IF(INDEX(BookTitle,972)="","",INDEX(BookTotal,972)*'5. Scenarios'!$E$6/(1+ProductivityDefault*('5. Scenarios'!$E$11-1)))</f>
        <v/>
      </c>
      <c r="T977" s="57" t="str">
        <f aca="false">IF($S977="","",INDEX(BookRate,972)*(1+'5. Scenarios'!$E$10)*$S977)</f>
        <v/>
      </c>
      <c r="U977" s="57" t="str">
        <f aca="false">IF($T977="","",SUMIFS($T$6:$T$2405,$A$6:$A$2405,"&lt;="&amp;$A977))</f>
        <v/>
      </c>
      <c r="V977" s="57" t="str">
        <f aca="false">IF($T977="","",IF($U977&lt;=BankCostEnvelope*'5. Scenarios'!$E$7,1,0))</f>
        <v/>
      </c>
      <c r="W977" s="57" t="str">
        <f aca="false">IF($S977="","",INDEX(BookRate,972)*(1+'5. Scenarios'!$E$10)*(INDEX(BookQ1,972)*(5-MIN(4,1+'5. Scenarios'!$E$8))/4+INDEX(BookQ2,972)*(5-MIN(4,2+'5. Scenarios'!$E$8))/4+INDEX(BookQ3,972)*(5-MIN(4,3+'5. Scenarios'!$E$8))/4+INDEX(BookQ4,972)*(5-MIN(4,4+'5. Scenarios'!$E$8))/4)*'5. Scenarios'!$E$6/(1+ProductivityDefault*('5. Scenarios'!$E$11-1))+INDEX(BookOneOff,972)*$S977)</f>
        <v/>
      </c>
    </row>
    <row r="978" customFormat="false" ht="15" hidden="false" customHeight="false" outlineLevel="0" collapsed="false">
      <c r="A978" s="0" t="str">
        <f aca="false">IF(INDEX(BookTitle,973)="","",INDEX(BookKey,973))</f>
        <v/>
      </c>
      <c r="B978" s="0" t="str">
        <f aca="false">IF(INDEX(BookTitle,973)="","",INDEX(BookGroup,973))</f>
        <v/>
      </c>
      <c r="C978" s="0" t="str">
        <f aca="false">IF(INDEX(BookTitle,973)="","",INDEX(BookCategory,973))</f>
        <v/>
      </c>
      <c r="D978" s="56" t="str">
        <f aca="false">IF(INDEX(BookTitle,973)="","",INDEX(BookTotal,973)*'5. Scenarios'!$B$6/(1+ProductivityDefault*('5. Scenarios'!$B$11-1)))</f>
        <v/>
      </c>
      <c r="E978" s="57" t="str">
        <f aca="false">IF($D978="","",INDEX(BookRate,973)*(1+'5. Scenarios'!$B$10)*$D978)</f>
        <v/>
      </c>
      <c r="F978" s="57" t="str">
        <f aca="false">IF($E978="","",SUMIFS($E$6:$E$2405,$A$6:$A$2405,"&lt;="&amp;$A978))</f>
        <v/>
      </c>
      <c r="G978" s="57" t="str">
        <f aca="false">IF($E978="","",IF($F978&lt;=BankCostEnvelope*'5. Scenarios'!$B$7,1,0))</f>
        <v/>
      </c>
      <c r="H978" s="57" t="str">
        <f aca="false">IF($D978="","",INDEX(BookRate,973)*(1+'5. Scenarios'!$B$10)*(INDEX(BookQ1,973)*(5-MIN(4,1+'5. Scenarios'!$B$8))/4+INDEX(BookQ2,973)*(5-MIN(4,2+'5. Scenarios'!$B$8))/4+INDEX(BookQ3,973)*(5-MIN(4,3+'5. Scenarios'!$B$8))/4+INDEX(BookQ4,973)*(5-MIN(4,4+'5. Scenarios'!$B$8))/4)*'5. Scenarios'!$B$6/(1+ProductivityDefault*('5. Scenarios'!$B$11-1))+INDEX(BookOneOff,973)*$D978)</f>
        <v/>
      </c>
      <c r="I978" s="56" t="str">
        <f aca="false">IF(INDEX(BookTitle,973)="","",INDEX(BookTotal,973)*'5. Scenarios'!$C$6/(1+ProductivityDefault*('5. Scenarios'!$C$11-1)))</f>
        <v/>
      </c>
      <c r="J978" s="57" t="str">
        <f aca="false">IF($I978="","",INDEX(BookRate,973)*(1+'5. Scenarios'!$C$10)*$I978)</f>
        <v/>
      </c>
      <c r="K978" s="57" t="str">
        <f aca="false">IF($J978="","",SUMIFS($J$6:$J$2405,$A$6:$A$2405,"&lt;="&amp;$A978))</f>
        <v/>
      </c>
      <c r="L978" s="57" t="str">
        <f aca="false">IF($J978="","",IF($K978&lt;=BankCostEnvelope*'5. Scenarios'!$C$7,1,0))</f>
        <v/>
      </c>
      <c r="M978" s="57" t="str">
        <f aca="false">IF($I978="","",INDEX(BookRate,973)*(1+'5. Scenarios'!$C$10)*(INDEX(BookQ1,973)*(5-MIN(4,1+'5. Scenarios'!$C$8))/4+INDEX(BookQ2,973)*(5-MIN(4,2+'5. Scenarios'!$C$8))/4+INDEX(BookQ3,973)*(5-MIN(4,3+'5. Scenarios'!$C$8))/4+INDEX(BookQ4,973)*(5-MIN(4,4+'5. Scenarios'!$C$8))/4)*'5. Scenarios'!$C$6/(1+ProductivityDefault*('5. Scenarios'!$C$11-1))+INDEX(BookOneOff,973)*$I978)</f>
        <v/>
      </c>
      <c r="N978" s="56" t="str">
        <f aca="false">IF(INDEX(BookTitle,973)="","",INDEX(BookTotal,973)*'5. Scenarios'!$D$6/(1+ProductivityDefault*('5. Scenarios'!$D$11-1)))</f>
        <v/>
      </c>
      <c r="O978" s="57" t="str">
        <f aca="false">IF($N978="","",INDEX(BookRate,973)*(1+'5. Scenarios'!$D$10)*$N978)</f>
        <v/>
      </c>
      <c r="P978" s="57" t="str">
        <f aca="false">IF($O978="","",SUMIFS($O$6:$O$2405,$A$6:$A$2405,"&lt;="&amp;$A978))</f>
        <v/>
      </c>
      <c r="Q978" s="57" t="str">
        <f aca="false">IF($O978="","",IF($P978&lt;=BankCostEnvelope*'5. Scenarios'!$D$7,1,0))</f>
        <v/>
      </c>
      <c r="R978" s="57" t="str">
        <f aca="false">IF($N978="","",INDEX(BookRate,973)*(1+'5. Scenarios'!$D$10)*(INDEX(BookQ1,973)*(5-MIN(4,1+'5. Scenarios'!$D$8))/4+INDEX(BookQ2,973)*(5-MIN(4,2+'5. Scenarios'!$D$8))/4+INDEX(BookQ3,973)*(5-MIN(4,3+'5. Scenarios'!$D$8))/4+INDEX(BookQ4,973)*(5-MIN(4,4+'5. Scenarios'!$D$8))/4)*'5. Scenarios'!$D$6/(1+ProductivityDefault*('5. Scenarios'!$D$11-1))+INDEX(BookOneOff,973)*$N978)</f>
        <v/>
      </c>
      <c r="S978" s="56" t="str">
        <f aca="false">IF(INDEX(BookTitle,973)="","",INDEX(BookTotal,973)*'5. Scenarios'!$E$6/(1+ProductivityDefault*('5. Scenarios'!$E$11-1)))</f>
        <v/>
      </c>
      <c r="T978" s="57" t="str">
        <f aca="false">IF($S978="","",INDEX(BookRate,973)*(1+'5. Scenarios'!$E$10)*$S978)</f>
        <v/>
      </c>
      <c r="U978" s="57" t="str">
        <f aca="false">IF($T978="","",SUMIFS($T$6:$T$2405,$A$6:$A$2405,"&lt;="&amp;$A978))</f>
        <v/>
      </c>
      <c r="V978" s="57" t="str">
        <f aca="false">IF($T978="","",IF($U978&lt;=BankCostEnvelope*'5. Scenarios'!$E$7,1,0))</f>
        <v/>
      </c>
      <c r="W978" s="57" t="str">
        <f aca="false">IF($S978="","",INDEX(BookRate,973)*(1+'5. Scenarios'!$E$10)*(INDEX(BookQ1,973)*(5-MIN(4,1+'5. Scenarios'!$E$8))/4+INDEX(BookQ2,973)*(5-MIN(4,2+'5. Scenarios'!$E$8))/4+INDEX(BookQ3,973)*(5-MIN(4,3+'5. Scenarios'!$E$8))/4+INDEX(BookQ4,973)*(5-MIN(4,4+'5. Scenarios'!$E$8))/4)*'5. Scenarios'!$E$6/(1+ProductivityDefault*('5. Scenarios'!$E$11-1))+INDEX(BookOneOff,973)*$S978)</f>
        <v/>
      </c>
    </row>
    <row r="979" customFormat="false" ht="15" hidden="false" customHeight="false" outlineLevel="0" collapsed="false">
      <c r="A979" s="0" t="str">
        <f aca="false">IF(INDEX(BookTitle,974)="","",INDEX(BookKey,974))</f>
        <v/>
      </c>
      <c r="B979" s="0" t="str">
        <f aca="false">IF(INDEX(BookTitle,974)="","",INDEX(BookGroup,974))</f>
        <v/>
      </c>
      <c r="C979" s="0" t="str">
        <f aca="false">IF(INDEX(BookTitle,974)="","",INDEX(BookCategory,974))</f>
        <v/>
      </c>
      <c r="D979" s="56" t="str">
        <f aca="false">IF(INDEX(BookTitle,974)="","",INDEX(BookTotal,974)*'5. Scenarios'!$B$6/(1+ProductivityDefault*('5. Scenarios'!$B$11-1)))</f>
        <v/>
      </c>
      <c r="E979" s="57" t="str">
        <f aca="false">IF($D979="","",INDEX(BookRate,974)*(1+'5. Scenarios'!$B$10)*$D979)</f>
        <v/>
      </c>
      <c r="F979" s="57" t="str">
        <f aca="false">IF($E979="","",SUMIFS($E$6:$E$2405,$A$6:$A$2405,"&lt;="&amp;$A979))</f>
        <v/>
      </c>
      <c r="G979" s="57" t="str">
        <f aca="false">IF($E979="","",IF($F979&lt;=BankCostEnvelope*'5. Scenarios'!$B$7,1,0))</f>
        <v/>
      </c>
      <c r="H979" s="57" t="str">
        <f aca="false">IF($D979="","",INDEX(BookRate,974)*(1+'5. Scenarios'!$B$10)*(INDEX(BookQ1,974)*(5-MIN(4,1+'5. Scenarios'!$B$8))/4+INDEX(BookQ2,974)*(5-MIN(4,2+'5. Scenarios'!$B$8))/4+INDEX(BookQ3,974)*(5-MIN(4,3+'5. Scenarios'!$B$8))/4+INDEX(BookQ4,974)*(5-MIN(4,4+'5. Scenarios'!$B$8))/4)*'5. Scenarios'!$B$6/(1+ProductivityDefault*('5. Scenarios'!$B$11-1))+INDEX(BookOneOff,974)*$D979)</f>
        <v/>
      </c>
      <c r="I979" s="56" t="str">
        <f aca="false">IF(INDEX(BookTitle,974)="","",INDEX(BookTotal,974)*'5. Scenarios'!$C$6/(1+ProductivityDefault*('5. Scenarios'!$C$11-1)))</f>
        <v/>
      </c>
      <c r="J979" s="57" t="str">
        <f aca="false">IF($I979="","",INDEX(BookRate,974)*(1+'5. Scenarios'!$C$10)*$I979)</f>
        <v/>
      </c>
      <c r="K979" s="57" t="str">
        <f aca="false">IF($J979="","",SUMIFS($J$6:$J$2405,$A$6:$A$2405,"&lt;="&amp;$A979))</f>
        <v/>
      </c>
      <c r="L979" s="57" t="str">
        <f aca="false">IF($J979="","",IF($K979&lt;=BankCostEnvelope*'5. Scenarios'!$C$7,1,0))</f>
        <v/>
      </c>
      <c r="M979" s="57" t="str">
        <f aca="false">IF($I979="","",INDEX(BookRate,974)*(1+'5. Scenarios'!$C$10)*(INDEX(BookQ1,974)*(5-MIN(4,1+'5. Scenarios'!$C$8))/4+INDEX(BookQ2,974)*(5-MIN(4,2+'5. Scenarios'!$C$8))/4+INDEX(BookQ3,974)*(5-MIN(4,3+'5. Scenarios'!$C$8))/4+INDEX(BookQ4,974)*(5-MIN(4,4+'5. Scenarios'!$C$8))/4)*'5. Scenarios'!$C$6/(1+ProductivityDefault*('5. Scenarios'!$C$11-1))+INDEX(BookOneOff,974)*$I979)</f>
        <v/>
      </c>
      <c r="N979" s="56" t="str">
        <f aca="false">IF(INDEX(BookTitle,974)="","",INDEX(BookTotal,974)*'5. Scenarios'!$D$6/(1+ProductivityDefault*('5. Scenarios'!$D$11-1)))</f>
        <v/>
      </c>
      <c r="O979" s="57" t="str">
        <f aca="false">IF($N979="","",INDEX(BookRate,974)*(1+'5. Scenarios'!$D$10)*$N979)</f>
        <v/>
      </c>
      <c r="P979" s="57" t="str">
        <f aca="false">IF($O979="","",SUMIFS($O$6:$O$2405,$A$6:$A$2405,"&lt;="&amp;$A979))</f>
        <v/>
      </c>
      <c r="Q979" s="57" t="str">
        <f aca="false">IF($O979="","",IF($P979&lt;=BankCostEnvelope*'5. Scenarios'!$D$7,1,0))</f>
        <v/>
      </c>
      <c r="R979" s="57" t="str">
        <f aca="false">IF($N979="","",INDEX(BookRate,974)*(1+'5. Scenarios'!$D$10)*(INDEX(BookQ1,974)*(5-MIN(4,1+'5. Scenarios'!$D$8))/4+INDEX(BookQ2,974)*(5-MIN(4,2+'5. Scenarios'!$D$8))/4+INDEX(BookQ3,974)*(5-MIN(4,3+'5. Scenarios'!$D$8))/4+INDEX(BookQ4,974)*(5-MIN(4,4+'5. Scenarios'!$D$8))/4)*'5. Scenarios'!$D$6/(1+ProductivityDefault*('5. Scenarios'!$D$11-1))+INDEX(BookOneOff,974)*$N979)</f>
        <v/>
      </c>
      <c r="S979" s="56" t="str">
        <f aca="false">IF(INDEX(BookTitle,974)="","",INDEX(BookTotal,974)*'5. Scenarios'!$E$6/(1+ProductivityDefault*('5. Scenarios'!$E$11-1)))</f>
        <v/>
      </c>
      <c r="T979" s="57" t="str">
        <f aca="false">IF($S979="","",INDEX(BookRate,974)*(1+'5. Scenarios'!$E$10)*$S979)</f>
        <v/>
      </c>
      <c r="U979" s="57" t="str">
        <f aca="false">IF($T979="","",SUMIFS($T$6:$T$2405,$A$6:$A$2405,"&lt;="&amp;$A979))</f>
        <v/>
      </c>
      <c r="V979" s="57" t="str">
        <f aca="false">IF($T979="","",IF($U979&lt;=BankCostEnvelope*'5. Scenarios'!$E$7,1,0))</f>
        <v/>
      </c>
      <c r="W979" s="57" t="str">
        <f aca="false">IF($S979="","",INDEX(BookRate,974)*(1+'5. Scenarios'!$E$10)*(INDEX(BookQ1,974)*(5-MIN(4,1+'5. Scenarios'!$E$8))/4+INDEX(BookQ2,974)*(5-MIN(4,2+'5. Scenarios'!$E$8))/4+INDEX(BookQ3,974)*(5-MIN(4,3+'5. Scenarios'!$E$8))/4+INDEX(BookQ4,974)*(5-MIN(4,4+'5. Scenarios'!$E$8))/4)*'5. Scenarios'!$E$6/(1+ProductivityDefault*('5. Scenarios'!$E$11-1))+INDEX(BookOneOff,974)*$S979)</f>
        <v/>
      </c>
    </row>
    <row r="980" customFormat="false" ht="15" hidden="false" customHeight="false" outlineLevel="0" collapsed="false">
      <c r="A980" s="0" t="str">
        <f aca="false">IF(INDEX(BookTitle,975)="","",INDEX(BookKey,975))</f>
        <v/>
      </c>
      <c r="B980" s="0" t="str">
        <f aca="false">IF(INDEX(BookTitle,975)="","",INDEX(BookGroup,975))</f>
        <v/>
      </c>
      <c r="C980" s="0" t="str">
        <f aca="false">IF(INDEX(BookTitle,975)="","",INDEX(BookCategory,975))</f>
        <v/>
      </c>
      <c r="D980" s="56" t="str">
        <f aca="false">IF(INDEX(BookTitle,975)="","",INDEX(BookTotal,975)*'5. Scenarios'!$B$6/(1+ProductivityDefault*('5. Scenarios'!$B$11-1)))</f>
        <v/>
      </c>
      <c r="E980" s="57" t="str">
        <f aca="false">IF($D980="","",INDEX(BookRate,975)*(1+'5. Scenarios'!$B$10)*$D980)</f>
        <v/>
      </c>
      <c r="F980" s="57" t="str">
        <f aca="false">IF($E980="","",SUMIFS($E$6:$E$2405,$A$6:$A$2405,"&lt;="&amp;$A980))</f>
        <v/>
      </c>
      <c r="G980" s="57" t="str">
        <f aca="false">IF($E980="","",IF($F980&lt;=BankCostEnvelope*'5. Scenarios'!$B$7,1,0))</f>
        <v/>
      </c>
      <c r="H980" s="57" t="str">
        <f aca="false">IF($D980="","",INDEX(BookRate,975)*(1+'5. Scenarios'!$B$10)*(INDEX(BookQ1,975)*(5-MIN(4,1+'5. Scenarios'!$B$8))/4+INDEX(BookQ2,975)*(5-MIN(4,2+'5. Scenarios'!$B$8))/4+INDEX(BookQ3,975)*(5-MIN(4,3+'5. Scenarios'!$B$8))/4+INDEX(BookQ4,975)*(5-MIN(4,4+'5. Scenarios'!$B$8))/4)*'5. Scenarios'!$B$6/(1+ProductivityDefault*('5. Scenarios'!$B$11-1))+INDEX(BookOneOff,975)*$D980)</f>
        <v/>
      </c>
      <c r="I980" s="56" t="str">
        <f aca="false">IF(INDEX(BookTitle,975)="","",INDEX(BookTotal,975)*'5. Scenarios'!$C$6/(1+ProductivityDefault*('5. Scenarios'!$C$11-1)))</f>
        <v/>
      </c>
      <c r="J980" s="57" t="str">
        <f aca="false">IF($I980="","",INDEX(BookRate,975)*(1+'5. Scenarios'!$C$10)*$I980)</f>
        <v/>
      </c>
      <c r="K980" s="57" t="str">
        <f aca="false">IF($J980="","",SUMIFS($J$6:$J$2405,$A$6:$A$2405,"&lt;="&amp;$A980))</f>
        <v/>
      </c>
      <c r="L980" s="57" t="str">
        <f aca="false">IF($J980="","",IF($K980&lt;=BankCostEnvelope*'5. Scenarios'!$C$7,1,0))</f>
        <v/>
      </c>
      <c r="M980" s="57" t="str">
        <f aca="false">IF($I980="","",INDEX(BookRate,975)*(1+'5. Scenarios'!$C$10)*(INDEX(BookQ1,975)*(5-MIN(4,1+'5. Scenarios'!$C$8))/4+INDEX(BookQ2,975)*(5-MIN(4,2+'5. Scenarios'!$C$8))/4+INDEX(BookQ3,975)*(5-MIN(4,3+'5. Scenarios'!$C$8))/4+INDEX(BookQ4,975)*(5-MIN(4,4+'5. Scenarios'!$C$8))/4)*'5. Scenarios'!$C$6/(1+ProductivityDefault*('5. Scenarios'!$C$11-1))+INDEX(BookOneOff,975)*$I980)</f>
        <v/>
      </c>
      <c r="N980" s="56" t="str">
        <f aca="false">IF(INDEX(BookTitle,975)="","",INDEX(BookTotal,975)*'5. Scenarios'!$D$6/(1+ProductivityDefault*('5. Scenarios'!$D$11-1)))</f>
        <v/>
      </c>
      <c r="O980" s="57" t="str">
        <f aca="false">IF($N980="","",INDEX(BookRate,975)*(1+'5. Scenarios'!$D$10)*$N980)</f>
        <v/>
      </c>
      <c r="P980" s="57" t="str">
        <f aca="false">IF($O980="","",SUMIFS($O$6:$O$2405,$A$6:$A$2405,"&lt;="&amp;$A980))</f>
        <v/>
      </c>
      <c r="Q980" s="57" t="str">
        <f aca="false">IF($O980="","",IF($P980&lt;=BankCostEnvelope*'5. Scenarios'!$D$7,1,0))</f>
        <v/>
      </c>
      <c r="R980" s="57" t="str">
        <f aca="false">IF($N980="","",INDEX(BookRate,975)*(1+'5. Scenarios'!$D$10)*(INDEX(BookQ1,975)*(5-MIN(4,1+'5. Scenarios'!$D$8))/4+INDEX(BookQ2,975)*(5-MIN(4,2+'5. Scenarios'!$D$8))/4+INDEX(BookQ3,975)*(5-MIN(4,3+'5. Scenarios'!$D$8))/4+INDEX(BookQ4,975)*(5-MIN(4,4+'5. Scenarios'!$D$8))/4)*'5. Scenarios'!$D$6/(1+ProductivityDefault*('5. Scenarios'!$D$11-1))+INDEX(BookOneOff,975)*$N980)</f>
        <v/>
      </c>
      <c r="S980" s="56" t="str">
        <f aca="false">IF(INDEX(BookTitle,975)="","",INDEX(BookTotal,975)*'5. Scenarios'!$E$6/(1+ProductivityDefault*('5. Scenarios'!$E$11-1)))</f>
        <v/>
      </c>
      <c r="T980" s="57" t="str">
        <f aca="false">IF($S980="","",INDEX(BookRate,975)*(1+'5. Scenarios'!$E$10)*$S980)</f>
        <v/>
      </c>
      <c r="U980" s="57" t="str">
        <f aca="false">IF($T980="","",SUMIFS($T$6:$T$2405,$A$6:$A$2405,"&lt;="&amp;$A980))</f>
        <v/>
      </c>
      <c r="V980" s="57" t="str">
        <f aca="false">IF($T980="","",IF($U980&lt;=BankCostEnvelope*'5. Scenarios'!$E$7,1,0))</f>
        <v/>
      </c>
      <c r="W980" s="57" t="str">
        <f aca="false">IF($S980="","",INDEX(BookRate,975)*(1+'5. Scenarios'!$E$10)*(INDEX(BookQ1,975)*(5-MIN(4,1+'5. Scenarios'!$E$8))/4+INDEX(BookQ2,975)*(5-MIN(4,2+'5. Scenarios'!$E$8))/4+INDEX(BookQ3,975)*(5-MIN(4,3+'5. Scenarios'!$E$8))/4+INDEX(BookQ4,975)*(5-MIN(4,4+'5. Scenarios'!$E$8))/4)*'5. Scenarios'!$E$6/(1+ProductivityDefault*('5. Scenarios'!$E$11-1))+INDEX(BookOneOff,975)*$S980)</f>
        <v/>
      </c>
    </row>
    <row r="981" customFormat="false" ht="15" hidden="false" customHeight="false" outlineLevel="0" collapsed="false">
      <c r="A981" s="0" t="str">
        <f aca="false">IF(INDEX(BookTitle,976)="","",INDEX(BookKey,976))</f>
        <v/>
      </c>
      <c r="B981" s="0" t="str">
        <f aca="false">IF(INDEX(BookTitle,976)="","",INDEX(BookGroup,976))</f>
        <v/>
      </c>
      <c r="C981" s="0" t="str">
        <f aca="false">IF(INDEX(BookTitle,976)="","",INDEX(BookCategory,976))</f>
        <v/>
      </c>
      <c r="D981" s="56" t="str">
        <f aca="false">IF(INDEX(BookTitle,976)="","",INDEX(BookTotal,976)*'5. Scenarios'!$B$6/(1+ProductivityDefault*('5. Scenarios'!$B$11-1)))</f>
        <v/>
      </c>
      <c r="E981" s="57" t="str">
        <f aca="false">IF($D981="","",INDEX(BookRate,976)*(1+'5. Scenarios'!$B$10)*$D981)</f>
        <v/>
      </c>
      <c r="F981" s="57" t="str">
        <f aca="false">IF($E981="","",SUMIFS($E$6:$E$2405,$A$6:$A$2405,"&lt;="&amp;$A981))</f>
        <v/>
      </c>
      <c r="G981" s="57" t="str">
        <f aca="false">IF($E981="","",IF($F981&lt;=BankCostEnvelope*'5. Scenarios'!$B$7,1,0))</f>
        <v/>
      </c>
      <c r="H981" s="57" t="str">
        <f aca="false">IF($D981="","",INDEX(BookRate,976)*(1+'5. Scenarios'!$B$10)*(INDEX(BookQ1,976)*(5-MIN(4,1+'5. Scenarios'!$B$8))/4+INDEX(BookQ2,976)*(5-MIN(4,2+'5. Scenarios'!$B$8))/4+INDEX(BookQ3,976)*(5-MIN(4,3+'5. Scenarios'!$B$8))/4+INDEX(BookQ4,976)*(5-MIN(4,4+'5. Scenarios'!$B$8))/4)*'5. Scenarios'!$B$6/(1+ProductivityDefault*('5. Scenarios'!$B$11-1))+INDEX(BookOneOff,976)*$D981)</f>
        <v/>
      </c>
      <c r="I981" s="56" t="str">
        <f aca="false">IF(INDEX(BookTitle,976)="","",INDEX(BookTotal,976)*'5. Scenarios'!$C$6/(1+ProductivityDefault*('5. Scenarios'!$C$11-1)))</f>
        <v/>
      </c>
      <c r="J981" s="57" t="str">
        <f aca="false">IF($I981="","",INDEX(BookRate,976)*(1+'5. Scenarios'!$C$10)*$I981)</f>
        <v/>
      </c>
      <c r="K981" s="57" t="str">
        <f aca="false">IF($J981="","",SUMIFS($J$6:$J$2405,$A$6:$A$2405,"&lt;="&amp;$A981))</f>
        <v/>
      </c>
      <c r="L981" s="57" t="str">
        <f aca="false">IF($J981="","",IF($K981&lt;=BankCostEnvelope*'5. Scenarios'!$C$7,1,0))</f>
        <v/>
      </c>
      <c r="M981" s="57" t="str">
        <f aca="false">IF($I981="","",INDEX(BookRate,976)*(1+'5. Scenarios'!$C$10)*(INDEX(BookQ1,976)*(5-MIN(4,1+'5. Scenarios'!$C$8))/4+INDEX(BookQ2,976)*(5-MIN(4,2+'5. Scenarios'!$C$8))/4+INDEX(BookQ3,976)*(5-MIN(4,3+'5. Scenarios'!$C$8))/4+INDEX(BookQ4,976)*(5-MIN(4,4+'5. Scenarios'!$C$8))/4)*'5. Scenarios'!$C$6/(1+ProductivityDefault*('5. Scenarios'!$C$11-1))+INDEX(BookOneOff,976)*$I981)</f>
        <v/>
      </c>
      <c r="N981" s="56" t="str">
        <f aca="false">IF(INDEX(BookTitle,976)="","",INDEX(BookTotal,976)*'5. Scenarios'!$D$6/(1+ProductivityDefault*('5. Scenarios'!$D$11-1)))</f>
        <v/>
      </c>
      <c r="O981" s="57" t="str">
        <f aca="false">IF($N981="","",INDEX(BookRate,976)*(1+'5. Scenarios'!$D$10)*$N981)</f>
        <v/>
      </c>
      <c r="P981" s="57" t="str">
        <f aca="false">IF($O981="","",SUMIFS($O$6:$O$2405,$A$6:$A$2405,"&lt;="&amp;$A981))</f>
        <v/>
      </c>
      <c r="Q981" s="57" t="str">
        <f aca="false">IF($O981="","",IF($P981&lt;=BankCostEnvelope*'5. Scenarios'!$D$7,1,0))</f>
        <v/>
      </c>
      <c r="R981" s="57" t="str">
        <f aca="false">IF($N981="","",INDEX(BookRate,976)*(1+'5. Scenarios'!$D$10)*(INDEX(BookQ1,976)*(5-MIN(4,1+'5. Scenarios'!$D$8))/4+INDEX(BookQ2,976)*(5-MIN(4,2+'5. Scenarios'!$D$8))/4+INDEX(BookQ3,976)*(5-MIN(4,3+'5. Scenarios'!$D$8))/4+INDEX(BookQ4,976)*(5-MIN(4,4+'5. Scenarios'!$D$8))/4)*'5. Scenarios'!$D$6/(1+ProductivityDefault*('5. Scenarios'!$D$11-1))+INDEX(BookOneOff,976)*$N981)</f>
        <v/>
      </c>
      <c r="S981" s="56" t="str">
        <f aca="false">IF(INDEX(BookTitle,976)="","",INDEX(BookTotal,976)*'5. Scenarios'!$E$6/(1+ProductivityDefault*('5. Scenarios'!$E$11-1)))</f>
        <v/>
      </c>
      <c r="T981" s="57" t="str">
        <f aca="false">IF($S981="","",INDEX(BookRate,976)*(1+'5. Scenarios'!$E$10)*$S981)</f>
        <v/>
      </c>
      <c r="U981" s="57" t="str">
        <f aca="false">IF($T981="","",SUMIFS($T$6:$T$2405,$A$6:$A$2405,"&lt;="&amp;$A981))</f>
        <v/>
      </c>
      <c r="V981" s="57" t="str">
        <f aca="false">IF($T981="","",IF($U981&lt;=BankCostEnvelope*'5. Scenarios'!$E$7,1,0))</f>
        <v/>
      </c>
      <c r="W981" s="57" t="str">
        <f aca="false">IF($S981="","",INDEX(BookRate,976)*(1+'5. Scenarios'!$E$10)*(INDEX(BookQ1,976)*(5-MIN(4,1+'5. Scenarios'!$E$8))/4+INDEX(BookQ2,976)*(5-MIN(4,2+'5. Scenarios'!$E$8))/4+INDEX(BookQ3,976)*(5-MIN(4,3+'5. Scenarios'!$E$8))/4+INDEX(BookQ4,976)*(5-MIN(4,4+'5. Scenarios'!$E$8))/4)*'5. Scenarios'!$E$6/(1+ProductivityDefault*('5. Scenarios'!$E$11-1))+INDEX(BookOneOff,976)*$S981)</f>
        <v/>
      </c>
    </row>
    <row r="982" customFormat="false" ht="15" hidden="false" customHeight="false" outlineLevel="0" collapsed="false">
      <c r="A982" s="0" t="str">
        <f aca="false">IF(INDEX(BookTitle,977)="","",INDEX(BookKey,977))</f>
        <v/>
      </c>
      <c r="B982" s="0" t="str">
        <f aca="false">IF(INDEX(BookTitle,977)="","",INDEX(BookGroup,977))</f>
        <v/>
      </c>
      <c r="C982" s="0" t="str">
        <f aca="false">IF(INDEX(BookTitle,977)="","",INDEX(BookCategory,977))</f>
        <v/>
      </c>
      <c r="D982" s="56" t="str">
        <f aca="false">IF(INDEX(BookTitle,977)="","",INDEX(BookTotal,977)*'5. Scenarios'!$B$6/(1+ProductivityDefault*('5. Scenarios'!$B$11-1)))</f>
        <v/>
      </c>
      <c r="E982" s="57" t="str">
        <f aca="false">IF($D982="","",INDEX(BookRate,977)*(1+'5. Scenarios'!$B$10)*$D982)</f>
        <v/>
      </c>
      <c r="F982" s="57" t="str">
        <f aca="false">IF($E982="","",SUMIFS($E$6:$E$2405,$A$6:$A$2405,"&lt;="&amp;$A982))</f>
        <v/>
      </c>
      <c r="G982" s="57" t="str">
        <f aca="false">IF($E982="","",IF($F982&lt;=BankCostEnvelope*'5. Scenarios'!$B$7,1,0))</f>
        <v/>
      </c>
      <c r="H982" s="57" t="str">
        <f aca="false">IF($D982="","",INDEX(BookRate,977)*(1+'5. Scenarios'!$B$10)*(INDEX(BookQ1,977)*(5-MIN(4,1+'5. Scenarios'!$B$8))/4+INDEX(BookQ2,977)*(5-MIN(4,2+'5. Scenarios'!$B$8))/4+INDEX(BookQ3,977)*(5-MIN(4,3+'5. Scenarios'!$B$8))/4+INDEX(BookQ4,977)*(5-MIN(4,4+'5. Scenarios'!$B$8))/4)*'5. Scenarios'!$B$6/(1+ProductivityDefault*('5. Scenarios'!$B$11-1))+INDEX(BookOneOff,977)*$D982)</f>
        <v/>
      </c>
      <c r="I982" s="56" t="str">
        <f aca="false">IF(INDEX(BookTitle,977)="","",INDEX(BookTotal,977)*'5. Scenarios'!$C$6/(1+ProductivityDefault*('5. Scenarios'!$C$11-1)))</f>
        <v/>
      </c>
      <c r="J982" s="57" t="str">
        <f aca="false">IF($I982="","",INDEX(BookRate,977)*(1+'5. Scenarios'!$C$10)*$I982)</f>
        <v/>
      </c>
      <c r="K982" s="57" t="str">
        <f aca="false">IF($J982="","",SUMIFS($J$6:$J$2405,$A$6:$A$2405,"&lt;="&amp;$A982))</f>
        <v/>
      </c>
      <c r="L982" s="57" t="str">
        <f aca="false">IF($J982="","",IF($K982&lt;=BankCostEnvelope*'5. Scenarios'!$C$7,1,0))</f>
        <v/>
      </c>
      <c r="M982" s="57" t="str">
        <f aca="false">IF($I982="","",INDEX(BookRate,977)*(1+'5. Scenarios'!$C$10)*(INDEX(BookQ1,977)*(5-MIN(4,1+'5. Scenarios'!$C$8))/4+INDEX(BookQ2,977)*(5-MIN(4,2+'5. Scenarios'!$C$8))/4+INDEX(BookQ3,977)*(5-MIN(4,3+'5. Scenarios'!$C$8))/4+INDEX(BookQ4,977)*(5-MIN(4,4+'5. Scenarios'!$C$8))/4)*'5. Scenarios'!$C$6/(1+ProductivityDefault*('5. Scenarios'!$C$11-1))+INDEX(BookOneOff,977)*$I982)</f>
        <v/>
      </c>
      <c r="N982" s="56" t="str">
        <f aca="false">IF(INDEX(BookTitle,977)="","",INDEX(BookTotal,977)*'5. Scenarios'!$D$6/(1+ProductivityDefault*('5. Scenarios'!$D$11-1)))</f>
        <v/>
      </c>
      <c r="O982" s="57" t="str">
        <f aca="false">IF($N982="","",INDEX(BookRate,977)*(1+'5. Scenarios'!$D$10)*$N982)</f>
        <v/>
      </c>
      <c r="P982" s="57" t="str">
        <f aca="false">IF($O982="","",SUMIFS($O$6:$O$2405,$A$6:$A$2405,"&lt;="&amp;$A982))</f>
        <v/>
      </c>
      <c r="Q982" s="57" t="str">
        <f aca="false">IF($O982="","",IF($P982&lt;=BankCostEnvelope*'5. Scenarios'!$D$7,1,0))</f>
        <v/>
      </c>
      <c r="R982" s="57" t="str">
        <f aca="false">IF($N982="","",INDEX(BookRate,977)*(1+'5. Scenarios'!$D$10)*(INDEX(BookQ1,977)*(5-MIN(4,1+'5. Scenarios'!$D$8))/4+INDEX(BookQ2,977)*(5-MIN(4,2+'5. Scenarios'!$D$8))/4+INDEX(BookQ3,977)*(5-MIN(4,3+'5. Scenarios'!$D$8))/4+INDEX(BookQ4,977)*(5-MIN(4,4+'5. Scenarios'!$D$8))/4)*'5. Scenarios'!$D$6/(1+ProductivityDefault*('5. Scenarios'!$D$11-1))+INDEX(BookOneOff,977)*$N982)</f>
        <v/>
      </c>
      <c r="S982" s="56" t="str">
        <f aca="false">IF(INDEX(BookTitle,977)="","",INDEX(BookTotal,977)*'5. Scenarios'!$E$6/(1+ProductivityDefault*('5. Scenarios'!$E$11-1)))</f>
        <v/>
      </c>
      <c r="T982" s="57" t="str">
        <f aca="false">IF($S982="","",INDEX(BookRate,977)*(1+'5. Scenarios'!$E$10)*$S982)</f>
        <v/>
      </c>
      <c r="U982" s="57" t="str">
        <f aca="false">IF($T982="","",SUMIFS($T$6:$T$2405,$A$6:$A$2405,"&lt;="&amp;$A982))</f>
        <v/>
      </c>
      <c r="V982" s="57" t="str">
        <f aca="false">IF($T982="","",IF($U982&lt;=BankCostEnvelope*'5. Scenarios'!$E$7,1,0))</f>
        <v/>
      </c>
      <c r="W982" s="57" t="str">
        <f aca="false">IF($S982="","",INDEX(BookRate,977)*(1+'5. Scenarios'!$E$10)*(INDEX(BookQ1,977)*(5-MIN(4,1+'5. Scenarios'!$E$8))/4+INDEX(BookQ2,977)*(5-MIN(4,2+'5. Scenarios'!$E$8))/4+INDEX(BookQ3,977)*(5-MIN(4,3+'5. Scenarios'!$E$8))/4+INDEX(BookQ4,977)*(5-MIN(4,4+'5. Scenarios'!$E$8))/4)*'5. Scenarios'!$E$6/(1+ProductivityDefault*('5. Scenarios'!$E$11-1))+INDEX(BookOneOff,977)*$S982)</f>
        <v/>
      </c>
    </row>
    <row r="983" customFormat="false" ht="15" hidden="false" customHeight="false" outlineLevel="0" collapsed="false">
      <c r="A983" s="0" t="str">
        <f aca="false">IF(INDEX(BookTitle,978)="","",INDEX(BookKey,978))</f>
        <v/>
      </c>
      <c r="B983" s="0" t="str">
        <f aca="false">IF(INDEX(BookTitle,978)="","",INDEX(BookGroup,978))</f>
        <v/>
      </c>
      <c r="C983" s="0" t="str">
        <f aca="false">IF(INDEX(BookTitle,978)="","",INDEX(BookCategory,978))</f>
        <v/>
      </c>
      <c r="D983" s="56" t="str">
        <f aca="false">IF(INDEX(BookTitle,978)="","",INDEX(BookTotal,978)*'5. Scenarios'!$B$6/(1+ProductivityDefault*('5. Scenarios'!$B$11-1)))</f>
        <v/>
      </c>
      <c r="E983" s="57" t="str">
        <f aca="false">IF($D983="","",INDEX(BookRate,978)*(1+'5. Scenarios'!$B$10)*$D983)</f>
        <v/>
      </c>
      <c r="F983" s="57" t="str">
        <f aca="false">IF($E983="","",SUMIFS($E$6:$E$2405,$A$6:$A$2405,"&lt;="&amp;$A983))</f>
        <v/>
      </c>
      <c r="G983" s="57" t="str">
        <f aca="false">IF($E983="","",IF($F983&lt;=BankCostEnvelope*'5. Scenarios'!$B$7,1,0))</f>
        <v/>
      </c>
      <c r="H983" s="57" t="str">
        <f aca="false">IF($D983="","",INDEX(BookRate,978)*(1+'5. Scenarios'!$B$10)*(INDEX(BookQ1,978)*(5-MIN(4,1+'5. Scenarios'!$B$8))/4+INDEX(BookQ2,978)*(5-MIN(4,2+'5. Scenarios'!$B$8))/4+INDEX(BookQ3,978)*(5-MIN(4,3+'5. Scenarios'!$B$8))/4+INDEX(BookQ4,978)*(5-MIN(4,4+'5. Scenarios'!$B$8))/4)*'5. Scenarios'!$B$6/(1+ProductivityDefault*('5. Scenarios'!$B$11-1))+INDEX(BookOneOff,978)*$D983)</f>
        <v/>
      </c>
      <c r="I983" s="56" t="str">
        <f aca="false">IF(INDEX(BookTitle,978)="","",INDEX(BookTotal,978)*'5. Scenarios'!$C$6/(1+ProductivityDefault*('5. Scenarios'!$C$11-1)))</f>
        <v/>
      </c>
      <c r="J983" s="57" t="str">
        <f aca="false">IF($I983="","",INDEX(BookRate,978)*(1+'5. Scenarios'!$C$10)*$I983)</f>
        <v/>
      </c>
      <c r="K983" s="57" t="str">
        <f aca="false">IF($J983="","",SUMIFS($J$6:$J$2405,$A$6:$A$2405,"&lt;="&amp;$A983))</f>
        <v/>
      </c>
      <c r="L983" s="57" t="str">
        <f aca="false">IF($J983="","",IF($K983&lt;=BankCostEnvelope*'5. Scenarios'!$C$7,1,0))</f>
        <v/>
      </c>
      <c r="M983" s="57" t="str">
        <f aca="false">IF($I983="","",INDEX(BookRate,978)*(1+'5. Scenarios'!$C$10)*(INDEX(BookQ1,978)*(5-MIN(4,1+'5. Scenarios'!$C$8))/4+INDEX(BookQ2,978)*(5-MIN(4,2+'5. Scenarios'!$C$8))/4+INDEX(BookQ3,978)*(5-MIN(4,3+'5. Scenarios'!$C$8))/4+INDEX(BookQ4,978)*(5-MIN(4,4+'5. Scenarios'!$C$8))/4)*'5. Scenarios'!$C$6/(1+ProductivityDefault*('5. Scenarios'!$C$11-1))+INDEX(BookOneOff,978)*$I983)</f>
        <v/>
      </c>
      <c r="N983" s="56" t="str">
        <f aca="false">IF(INDEX(BookTitle,978)="","",INDEX(BookTotal,978)*'5. Scenarios'!$D$6/(1+ProductivityDefault*('5. Scenarios'!$D$11-1)))</f>
        <v/>
      </c>
      <c r="O983" s="57" t="str">
        <f aca="false">IF($N983="","",INDEX(BookRate,978)*(1+'5. Scenarios'!$D$10)*$N983)</f>
        <v/>
      </c>
      <c r="P983" s="57" t="str">
        <f aca="false">IF($O983="","",SUMIFS($O$6:$O$2405,$A$6:$A$2405,"&lt;="&amp;$A983))</f>
        <v/>
      </c>
      <c r="Q983" s="57" t="str">
        <f aca="false">IF($O983="","",IF($P983&lt;=BankCostEnvelope*'5. Scenarios'!$D$7,1,0))</f>
        <v/>
      </c>
      <c r="R983" s="57" t="str">
        <f aca="false">IF($N983="","",INDEX(BookRate,978)*(1+'5. Scenarios'!$D$10)*(INDEX(BookQ1,978)*(5-MIN(4,1+'5. Scenarios'!$D$8))/4+INDEX(BookQ2,978)*(5-MIN(4,2+'5. Scenarios'!$D$8))/4+INDEX(BookQ3,978)*(5-MIN(4,3+'5. Scenarios'!$D$8))/4+INDEX(BookQ4,978)*(5-MIN(4,4+'5. Scenarios'!$D$8))/4)*'5. Scenarios'!$D$6/(1+ProductivityDefault*('5. Scenarios'!$D$11-1))+INDEX(BookOneOff,978)*$N983)</f>
        <v/>
      </c>
      <c r="S983" s="56" t="str">
        <f aca="false">IF(INDEX(BookTitle,978)="","",INDEX(BookTotal,978)*'5. Scenarios'!$E$6/(1+ProductivityDefault*('5. Scenarios'!$E$11-1)))</f>
        <v/>
      </c>
      <c r="T983" s="57" t="str">
        <f aca="false">IF($S983="","",INDEX(BookRate,978)*(1+'5. Scenarios'!$E$10)*$S983)</f>
        <v/>
      </c>
      <c r="U983" s="57" t="str">
        <f aca="false">IF($T983="","",SUMIFS($T$6:$T$2405,$A$6:$A$2405,"&lt;="&amp;$A983))</f>
        <v/>
      </c>
      <c r="V983" s="57" t="str">
        <f aca="false">IF($T983="","",IF($U983&lt;=BankCostEnvelope*'5. Scenarios'!$E$7,1,0))</f>
        <v/>
      </c>
      <c r="W983" s="57" t="str">
        <f aca="false">IF($S983="","",INDEX(BookRate,978)*(1+'5. Scenarios'!$E$10)*(INDEX(BookQ1,978)*(5-MIN(4,1+'5. Scenarios'!$E$8))/4+INDEX(BookQ2,978)*(5-MIN(4,2+'5. Scenarios'!$E$8))/4+INDEX(BookQ3,978)*(5-MIN(4,3+'5. Scenarios'!$E$8))/4+INDEX(BookQ4,978)*(5-MIN(4,4+'5. Scenarios'!$E$8))/4)*'5. Scenarios'!$E$6/(1+ProductivityDefault*('5. Scenarios'!$E$11-1))+INDEX(BookOneOff,978)*$S983)</f>
        <v/>
      </c>
    </row>
    <row r="984" customFormat="false" ht="15" hidden="false" customHeight="false" outlineLevel="0" collapsed="false">
      <c r="A984" s="0" t="str">
        <f aca="false">IF(INDEX(BookTitle,979)="","",INDEX(BookKey,979))</f>
        <v/>
      </c>
      <c r="B984" s="0" t="str">
        <f aca="false">IF(INDEX(BookTitle,979)="","",INDEX(BookGroup,979))</f>
        <v/>
      </c>
      <c r="C984" s="0" t="str">
        <f aca="false">IF(INDEX(BookTitle,979)="","",INDEX(BookCategory,979))</f>
        <v/>
      </c>
      <c r="D984" s="56" t="str">
        <f aca="false">IF(INDEX(BookTitle,979)="","",INDEX(BookTotal,979)*'5. Scenarios'!$B$6/(1+ProductivityDefault*('5. Scenarios'!$B$11-1)))</f>
        <v/>
      </c>
      <c r="E984" s="57" t="str">
        <f aca="false">IF($D984="","",INDEX(BookRate,979)*(1+'5. Scenarios'!$B$10)*$D984)</f>
        <v/>
      </c>
      <c r="F984" s="57" t="str">
        <f aca="false">IF($E984="","",SUMIFS($E$6:$E$2405,$A$6:$A$2405,"&lt;="&amp;$A984))</f>
        <v/>
      </c>
      <c r="G984" s="57" t="str">
        <f aca="false">IF($E984="","",IF($F984&lt;=BankCostEnvelope*'5. Scenarios'!$B$7,1,0))</f>
        <v/>
      </c>
      <c r="H984" s="57" t="str">
        <f aca="false">IF($D984="","",INDEX(BookRate,979)*(1+'5. Scenarios'!$B$10)*(INDEX(BookQ1,979)*(5-MIN(4,1+'5. Scenarios'!$B$8))/4+INDEX(BookQ2,979)*(5-MIN(4,2+'5. Scenarios'!$B$8))/4+INDEX(BookQ3,979)*(5-MIN(4,3+'5. Scenarios'!$B$8))/4+INDEX(BookQ4,979)*(5-MIN(4,4+'5. Scenarios'!$B$8))/4)*'5. Scenarios'!$B$6/(1+ProductivityDefault*('5. Scenarios'!$B$11-1))+INDEX(BookOneOff,979)*$D984)</f>
        <v/>
      </c>
      <c r="I984" s="56" t="str">
        <f aca="false">IF(INDEX(BookTitle,979)="","",INDEX(BookTotal,979)*'5. Scenarios'!$C$6/(1+ProductivityDefault*('5. Scenarios'!$C$11-1)))</f>
        <v/>
      </c>
      <c r="J984" s="57" t="str">
        <f aca="false">IF($I984="","",INDEX(BookRate,979)*(1+'5. Scenarios'!$C$10)*$I984)</f>
        <v/>
      </c>
      <c r="K984" s="57" t="str">
        <f aca="false">IF($J984="","",SUMIFS($J$6:$J$2405,$A$6:$A$2405,"&lt;="&amp;$A984))</f>
        <v/>
      </c>
      <c r="L984" s="57" t="str">
        <f aca="false">IF($J984="","",IF($K984&lt;=BankCostEnvelope*'5. Scenarios'!$C$7,1,0))</f>
        <v/>
      </c>
      <c r="M984" s="57" t="str">
        <f aca="false">IF($I984="","",INDEX(BookRate,979)*(1+'5. Scenarios'!$C$10)*(INDEX(BookQ1,979)*(5-MIN(4,1+'5. Scenarios'!$C$8))/4+INDEX(BookQ2,979)*(5-MIN(4,2+'5. Scenarios'!$C$8))/4+INDEX(BookQ3,979)*(5-MIN(4,3+'5. Scenarios'!$C$8))/4+INDEX(BookQ4,979)*(5-MIN(4,4+'5. Scenarios'!$C$8))/4)*'5. Scenarios'!$C$6/(1+ProductivityDefault*('5. Scenarios'!$C$11-1))+INDEX(BookOneOff,979)*$I984)</f>
        <v/>
      </c>
      <c r="N984" s="56" t="str">
        <f aca="false">IF(INDEX(BookTitle,979)="","",INDEX(BookTotal,979)*'5. Scenarios'!$D$6/(1+ProductivityDefault*('5. Scenarios'!$D$11-1)))</f>
        <v/>
      </c>
      <c r="O984" s="57" t="str">
        <f aca="false">IF($N984="","",INDEX(BookRate,979)*(1+'5. Scenarios'!$D$10)*$N984)</f>
        <v/>
      </c>
      <c r="P984" s="57" t="str">
        <f aca="false">IF($O984="","",SUMIFS($O$6:$O$2405,$A$6:$A$2405,"&lt;="&amp;$A984))</f>
        <v/>
      </c>
      <c r="Q984" s="57" t="str">
        <f aca="false">IF($O984="","",IF($P984&lt;=BankCostEnvelope*'5. Scenarios'!$D$7,1,0))</f>
        <v/>
      </c>
      <c r="R984" s="57" t="str">
        <f aca="false">IF($N984="","",INDEX(BookRate,979)*(1+'5. Scenarios'!$D$10)*(INDEX(BookQ1,979)*(5-MIN(4,1+'5. Scenarios'!$D$8))/4+INDEX(BookQ2,979)*(5-MIN(4,2+'5. Scenarios'!$D$8))/4+INDEX(BookQ3,979)*(5-MIN(4,3+'5. Scenarios'!$D$8))/4+INDEX(BookQ4,979)*(5-MIN(4,4+'5. Scenarios'!$D$8))/4)*'5. Scenarios'!$D$6/(1+ProductivityDefault*('5. Scenarios'!$D$11-1))+INDEX(BookOneOff,979)*$N984)</f>
        <v/>
      </c>
      <c r="S984" s="56" t="str">
        <f aca="false">IF(INDEX(BookTitle,979)="","",INDEX(BookTotal,979)*'5. Scenarios'!$E$6/(1+ProductivityDefault*('5. Scenarios'!$E$11-1)))</f>
        <v/>
      </c>
      <c r="T984" s="57" t="str">
        <f aca="false">IF($S984="","",INDEX(BookRate,979)*(1+'5. Scenarios'!$E$10)*$S984)</f>
        <v/>
      </c>
      <c r="U984" s="57" t="str">
        <f aca="false">IF($T984="","",SUMIFS($T$6:$T$2405,$A$6:$A$2405,"&lt;="&amp;$A984))</f>
        <v/>
      </c>
      <c r="V984" s="57" t="str">
        <f aca="false">IF($T984="","",IF($U984&lt;=BankCostEnvelope*'5. Scenarios'!$E$7,1,0))</f>
        <v/>
      </c>
      <c r="W984" s="57" t="str">
        <f aca="false">IF($S984="","",INDEX(BookRate,979)*(1+'5. Scenarios'!$E$10)*(INDEX(BookQ1,979)*(5-MIN(4,1+'5. Scenarios'!$E$8))/4+INDEX(BookQ2,979)*(5-MIN(4,2+'5. Scenarios'!$E$8))/4+INDEX(BookQ3,979)*(5-MIN(4,3+'5. Scenarios'!$E$8))/4+INDEX(BookQ4,979)*(5-MIN(4,4+'5. Scenarios'!$E$8))/4)*'5. Scenarios'!$E$6/(1+ProductivityDefault*('5. Scenarios'!$E$11-1))+INDEX(BookOneOff,979)*$S984)</f>
        <v/>
      </c>
    </row>
    <row r="985" customFormat="false" ht="15" hidden="false" customHeight="false" outlineLevel="0" collapsed="false">
      <c r="A985" s="0" t="str">
        <f aca="false">IF(INDEX(BookTitle,980)="","",INDEX(BookKey,980))</f>
        <v/>
      </c>
      <c r="B985" s="0" t="str">
        <f aca="false">IF(INDEX(BookTitle,980)="","",INDEX(BookGroup,980))</f>
        <v/>
      </c>
      <c r="C985" s="0" t="str">
        <f aca="false">IF(INDEX(BookTitle,980)="","",INDEX(BookCategory,980))</f>
        <v/>
      </c>
      <c r="D985" s="56" t="str">
        <f aca="false">IF(INDEX(BookTitle,980)="","",INDEX(BookTotal,980)*'5. Scenarios'!$B$6/(1+ProductivityDefault*('5. Scenarios'!$B$11-1)))</f>
        <v/>
      </c>
      <c r="E985" s="57" t="str">
        <f aca="false">IF($D985="","",INDEX(BookRate,980)*(1+'5. Scenarios'!$B$10)*$D985)</f>
        <v/>
      </c>
      <c r="F985" s="57" t="str">
        <f aca="false">IF($E985="","",SUMIFS($E$6:$E$2405,$A$6:$A$2405,"&lt;="&amp;$A985))</f>
        <v/>
      </c>
      <c r="G985" s="57" t="str">
        <f aca="false">IF($E985="","",IF($F985&lt;=BankCostEnvelope*'5. Scenarios'!$B$7,1,0))</f>
        <v/>
      </c>
      <c r="H985" s="57" t="str">
        <f aca="false">IF($D985="","",INDEX(BookRate,980)*(1+'5. Scenarios'!$B$10)*(INDEX(BookQ1,980)*(5-MIN(4,1+'5. Scenarios'!$B$8))/4+INDEX(BookQ2,980)*(5-MIN(4,2+'5. Scenarios'!$B$8))/4+INDEX(BookQ3,980)*(5-MIN(4,3+'5. Scenarios'!$B$8))/4+INDEX(BookQ4,980)*(5-MIN(4,4+'5. Scenarios'!$B$8))/4)*'5. Scenarios'!$B$6/(1+ProductivityDefault*('5. Scenarios'!$B$11-1))+INDEX(BookOneOff,980)*$D985)</f>
        <v/>
      </c>
      <c r="I985" s="56" t="str">
        <f aca="false">IF(INDEX(BookTitle,980)="","",INDEX(BookTotal,980)*'5. Scenarios'!$C$6/(1+ProductivityDefault*('5. Scenarios'!$C$11-1)))</f>
        <v/>
      </c>
      <c r="J985" s="57" t="str">
        <f aca="false">IF($I985="","",INDEX(BookRate,980)*(1+'5. Scenarios'!$C$10)*$I985)</f>
        <v/>
      </c>
      <c r="K985" s="57" t="str">
        <f aca="false">IF($J985="","",SUMIFS($J$6:$J$2405,$A$6:$A$2405,"&lt;="&amp;$A985))</f>
        <v/>
      </c>
      <c r="L985" s="57" t="str">
        <f aca="false">IF($J985="","",IF($K985&lt;=BankCostEnvelope*'5. Scenarios'!$C$7,1,0))</f>
        <v/>
      </c>
      <c r="M985" s="57" t="str">
        <f aca="false">IF($I985="","",INDEX(BookRate,980)*(1+'5. Scenarios'!$C$10)*(INDEX(BookQ1,980)*(5-MIN(4,1+'5. Scenarios'!$C$8))/4+INDEX(BookQ2,980)*(5-MIN(4,2+'5. Scenarios'!$C$8))/4+INDEX(BookQ3,980)*(5-MIN(4,3+'5. Scenarios'!$C$8))/4+INDEX(BookQ4,980)*(5-MIN(4,4+'5. Scenarios'!$C$8))/4)*'5. Scenarios'!$C$6/(1+ProductivityDefault*('5. Scenarios'!$C$11-1))+INDEX(BookOneOff,980)*$I985)</f>
        <v/>
      </c>
      <c r="N985" s="56" t="str">
        <f aca="false">IF(INDEX(BookTitle,980)="","",INDEX(BookTotal,980)*'5. Scenarios'!$D$6/(1+ProductivityDefault*('5. Scenarios'!$D$11-1)))</f>
        <v/>
      </c>
      <c r="O985" s="57" t="str">
        <f aca="false">IF($N985="","",INDEX(BookRate,980)*(1+'5. Scenarios'!$D$10)*$N985)</f>
        <v/>
      </c>
      <c r="P985" s="57" t="str">
        <f aca="false">IF($O985="","",SUMIFS($O$6:$O$2405,$A$6:$A$2405,"&lt;="&amp;$A985))</f>
        <v/>
      </c>
      <c r="Q985" s="57" t="str">
        <f aca="false">IF($O985="","",IF($P985&lt;=BankCostEnvelope*'5. Scenarios'!$D$7,1,0))</f>
        <v/>
      </c>
      <c r="R985" s="57" t="str">
        <f aca="false">IF($N985="","",INDEX(BookRate,980)*(1+'5. Scenarios'!$D$10)*(INDEX(BookQ1,980)*(5-MIN(4,1+'5. Scenarios'!$D$8))/4+INDEX(BookQ2,980)*(5-MIN(4,2+'5. Scenarios'!$D$8))/4+INDEX(BookQ3,980)*(5-MIN(4,3+'5. Scenarios'!$D$8))/4+INDEX(BookQ4,980)*(5-MIN(4,4+'5. Scenarios'!$D$8))/4)*'5. Scenarios'!$D$6/(1+ProductivityDefault*('5. Scenarios'!$D$11-1))+INDEX(BookOneOff,980)*$N985)</f>
        <v/>
      </c>
      <c r="S985" s="56" t="str">
        <f aca="false">IF(INDEX(BookTitle,980)="","",INDEX(BookTotal,980)*'5. Scenarios'!$E$6/(1+ProductivityDefault*('5. Scenarios'!$E$11-1)))</f>
        <v/>
      </c>
      <c r="T985" s="57" t="str">
        <f aca="false">IF($S985="","",INDEX(BookRate,980)*(1+'5. Scenarios'!$E$10)*$S985)</f>
        <v/>
      </c>
      <c r="U985" s="57" t="str">
        <f aca="false">IF($T985="","",SUMIFS($T$6:$T$2405,$A$6:$A$2405,"&lt;="&amp;$A985))</f>
        <v/>
      </c>
      <c r="V985" s="57" t="str">
        <f aca="false">IF($T985="","",IF($U985&lt;=BankCostEnvelope*'5. Scenarios'!$E$7,1,0))</f>
        <v/>
      </c>
      <c r="W985" s="57" t="str">
        <f aca="false">IF($S985="","",INDEX(BookRate,980)*(1+'5. Scenarios'!$E$10)*(INDEX(BookQ1,980)*(5-MIN(4,1+'5. Scenarios'!$E$8))/4+INDEX(BookQ2,980)*(5-MIN(4,2+'5. Scenarios'!$E$8))/4+INDEX(BookQ3,980)*(5-MIN(4,3+'5. Scenarios'!$E$8))/4+INDEX(BookQ4,980)*(5-MIN(4,4+'5. Scenarios'!$E$8))/4)*'5. Scenarios'!$E$6/(1+ProductivityDefault*('5. Scenarios'!$E$11-1))+INDEX(BookOneOff,980)*$S985)</f>
        <v/>
      </c>
    </row>
    <row r="986" customFormat="false" ht="15" hidden="false" customHeight="false" outlineLevel="0" collapsed="false">
      <c r="A986" s="0" t="str">
        <f aca="false">IF(INDEX(BookTitle,981)="","",INDEX(BookKey,981))</f>
        <v/>
      </c>
      <c r="B986" s="0" t="str">
        <f aca="false">IF(INDEX(BookTitle,981)="","",INDEX(BookGroup,981))</f>
        <v/>
      </c>
      <c r="C986" s="0" t="str">
        <f aca="false">IF(INDEX(BookTitle,981)="","",INDEX(BookCategory,981))</f>
        <v/>
      </c>
      <c r="D986" s="56" t="str">
        <f aca="false">IF(INDEX(BookTitle,981)="","",INDEX(BookTotal,981)*'5. Scenarios'!$B$6/(1+ProductivityDefault*('5. Scenarios'!$B$11-1)))</f>
        <v/>
      </c>
      <c r="E986" s="57" t="str">
        <f aca="false">IF($D986="","",INDEX(BookRate,981)*(1+'5. Scenarios'!$B$10)*$D986)</f>
        <v/>
      </c>
      <c r="F986" s="57" t="str">
        <f aca="false">IF($E986="","",SUMIFS($E$6:$E$2405,$A$6:$A$2405,"&lt;="&amp;$A986))</f>
        <v/>
      </c>
      <c r="G986" s="57" t="str">
        <f aca="false">IF($E986="","",IF($F986&lt;=BankCostEnvelope*'5. Scenarios'!$B$7,1,0))</f>
        <v/>
      </c>
      <c r="H986" s="57" t="str">
        <f aca="false">IF($D986="","",INDEX(BookRate,981)*(1+'5. Scenarios'!$B$10)*(INDEX(BookQ1,981)*(5-MIN(4,1+'5. Scenarios'!$B$8))/4+INDEX(BookQ2,981)*(5-MIN(4,2+'5. Scenarios'!$B$8))/4+INDEX(BookQ3,981)*(5-MIN(4,3+'5. Scenarios'!$B$8))/4+INDEX(BookQ4,981)*(5-MIN(4,4+'5. Scenarios'!$B$8))/4)*'5. Scenarios'!$B$6/(1+ProductivityDefault*('5. Scenarios'!$B$11-1))+INDEX(BookOneOff,981)*$D986)</f>
        <v/>
      </c>
      <c r="I986" s="56" t="str">
        <f aca="false">IF(INDEX(BookTitle,981)="","",INDEX(BookTotal,981)*'5. Scenarios'!$C$6/(1+ProductivityDefault*('5. Scenarios'!$C$11-1)))</f>
        <v/>
      </c>
      <c r="J986" s="57" t="str">
        <f aca="false">IF($I986="","",INDEX(BookRate,981)*(1+'5. Scenarios'!$C$10)*$I986)</f>
        <v/>
      </c>
      <c r="K986" s="57" t="str">
        <f aca="false">IF($J986="","",SUMIFS($J$6:$J$2405,$A$6:$A$2405,"&lt;="&amp;$A986))</f>
        <v/>
      </c>
      <c r="L986" s="57" t="str">
        <f aca="false">IF($J986="","",IF($K986&lt;=BankCostEnvelope*'5. Scenarios'!$C$7,1,0))</f>
        <v/>
      </c>
      <c r="M986" s="57" t="str">
        <f aca="false">IF($I986="","",INDEX(BookRate,981)*(1+'5. Scenarios'!$C$10)*(INDEX(BookQ1,981)*(5-MIN(4,1+'5. Scenarios'!$C$8))/4+INDEX(BookQ2,981)*(5-MIN(4,2+'5. Scenarios'!$C$8))/4+INDEX(BookQ3,981)*(5-MIN(4,3+'5. Scenarios'!$C$8))/4+INDEX(BookQ4,981)*(5-MIN(4,4+'5. Scenarios'!$C$8))/4)*'5. Scenarios'!$C$6/(1+ProductivityDefault*('5. Scenarios'!$C$11-1))+INDEX(BookOneOff,981)*$I986)</f>
        <v/>
      </c>
      <c r="N986" s="56" t="str">
        <f aca="false">IF(INDEX(BookTitle,981)="","",INDEX(BookTotal,981)*'5. Scenarios'!$D$6/(1+ProductivityDefault*('5. Scenarios'!$D$11-1)))</f>
        <v/>
      </c>
      <c r="O986" s="57" t="str">
        <f aca="false">IF($N986="","",INDEX(BookRate,981)*(1+'5. Scenarios'!$D$10)*$N986)</f>
        <v/>
      </c>
      <c r="P986" s="57" t="str">
        <f aca="false">IF($O986="","",SUMIFS($O$6:$O$2405,$A$6:$A$2405,"&lt;="&amp;$A986))</f>
        <v/>
      </c>
      <c r="Q986" s="57" t="str">
        <f aca="false">IF($O986="","",IF($P986&lt;=BankCostEnvelope*'5. Scenarios'!$D$7,1,0))</f>
        <v/>
      </c>
      <c r="R986" s="57" t="str">
        <f aca="false">IF($N986="","",INDEX(BookRate,981)*(1+'5. Scenarios'!$D$10)*(INDEX(BookQ1,981)*(5-MIN(4,1+'5. Scenarios'!$D$8))/4+INDEX(BookQ2,981)*(5-MIN(4,2+'5. Scenarios'!$D$8))/4+INDEX(BookQ3,981)*(5-MIN(4,3+'5. Scenarios'!$D$8))/4+INDEX(BookQ4,981)*(5-MIN(4,4+'5. Scenarios'!$D$8))/4)*'5. Scenarios'!$D$6/(1+ProductivityDefault*('5. Scenarios'!$D$11-1))+INDEX(BookOneOff,981)*$N986)</f>
        <v/>
      </c>
      <c r="S986" s="56" t="str">
        <f aca="false">IF(INDEX(BookTitle,981)="","",INDEX(BookTotal,981)*'5. Scenarios'!$E$6/(1+ProductivityDefault*('5. Scenarios'!$E$11-1)))</f>
        <v/>
      </c>
      <c r="T986" s="57" t="str">
        <f aca="false">IF($S986="","",INDEX(BookRate,981)*(1+'5. Scenarios'!$E$10)*$S986)</f>
        <v/>
      </c>
      <c r="U986" s="57" t="str">
        <f aca="false">IF($T986="","",SUMIFS($T$6:$T$2405,$A$6:$A$2405,"&lt;="&amp;$A986))</f>
        <v/>
      </c>
      <c r="V986" s="57" t="str">
        <f aca="false">IF($T986="","",IF($U986&lt;=BankCostEnvelope*'5. Scenarios'!$E$7,1,0))</f>
        <v/>
      </c>
      <c r="W986" s="57" t="str">
        <f aca="false">IF($S986="","",INDEX(BookRate,981)*(1+'5. Scenarios'!$E$10)*(INDEX(BookQ1,981)*(5-MIN(4,1+'5. Scenarios'!$E$8))/4+INDEX(BookQ2,981)*(5-MIN(4,2+'5. Scenarios'!$E$8))/4+INDEX(BookQ3,981)*(5-MIN(4,3+'5. Scenarios'!$E$8))/4+INDEX(BookQ4,981)*(5-MIN(4,4+'5. Scenarios'!$E$8))/4)*'5. Scenarios'!$E$6/(1+ProductivityDefault*('5. Scenarios'!$E$11-1))+INDEX(BookOneOff,981)*$S986)</f>
        <v/>
      </c>
    </row>
    <row r="987" customFormat="false" ht="15" hidden="false" customHeight="false" outlineLevel="0" collapsed="false">
      <c r="A987" s="0" t="str">
        <f aca="false">IF(INDEX(BookTitle,982)="","",INDEX(BookKey,982))</f>
        <v/>
      </c>
      <c r="B987" s="0" t="str">
        <f aca="false">IF(INDEX(BookTitle,982)="","",INDEX(BookGroup,982))</f>
        <v/>
      </c>
      <c r="C987" s="0" t="str">
        <f aca="false">IF(INDEX(BookTitle,982)="","",INDEX(BookCategory,982))</f>
        <v/>
      </c>
      <c r="D987" s="56" t="str">
        <f aca="false">IF(INDEX(BookTitle,982)="","",INDEX(BookTotal,982)*'5. Scenarios'!$B$6/(1+ProductivityDefault*('5. Scenarios'!$B$11-1)))</f>
        <v/>
      </c>
      <c r="E987" s="57" t="str">
        <f aca="false">IF($D987="","",INDEX(BookRate,982)*(1+'5. Scenarios'!$B$10)*$D987)</f>
        <v/>
      </c>
      <c r="F987" s="57" t="str">
        <f aca="false">IF($E987="","",SUMIFS($E$6:$E$2405,$A$6:$A$2405,"&lt;="&amp;$A987))</f>
        <v/>
      </c>
      <c r="G987" s="57" t="str">
        <f aca="false">IF($E987="","",IF($F987&lt;=BankCostEnvelope*'5. Scenarios'!$B$7,1,0))</f>
        <v/>
      </c>
      <c r="H987" s="57" t="str">
        <f aca="false">IF($D987="","",INDEX(BookRate,982)*(1+'5. Scenarios'!$B$10)*(INDEX(BookQ1,982)*(5-MIN(4,1+'5. Scenarios'!$B$8))/4+INDEX(BookQ2,982)*(5-MIN(4,2+'5. Scenarios'!$B$8))/4+INDEX(BookQ3,982)*(5-MIN(4,3+'5. Scenarios'!$B$8))/4+INDEX(BookQ4,982)*(5-MIN(4,4+'5. Scenarios'!$B$8))/4)*'5. Scenarios'!$B$6/(1+ProductivityDefault*('5. Scenarios'!$B$11-1))+INDEX(BookOneOff,982)*$D987)</f>
        <v/>
      </c>
      <c r="I987" s="56" t="str">
        <f aca="false">IF(INDEX(BookTitle,982)="","",INDEX(BookTotal,982)*'5. Scenarios'!$C$6/(1+ProductivityDefault*('5. Scenarios'!$C$11-1)))</f>
        <v/>
      </c>
      <c r="J987" s="57" t="str">
        <f aca="false">IF($I987="","",INDEX(BookRate,982)*(1+'5. Scenarios'!$C$10)*$I987)</f>
        <v/>
      </c>
      <c r="K987" s="57" t="str">
        <f aca="false">IF($J987="","",SUMIFS($J$6:$J$2405,$A$6:$A$2405,"&lt;="&amp;$A987))</f>
        <v/>
      </c>
      <c r="L987" s="57" t="str">
        <f aca="false">IF($J987="","",IF($K987&lt;=BankCostEnvelope*'5. Scenarios'!$C$7,1,0))</f>
        <v/>
      </c>
      <c r="M987" s="57" t="str">
        <f aca="false">IF($I987="","",INDEX(BookRate,982)*(1+'5. Scenarios'!$C$10)*(INDEX(BookQ1,982)*(5-MIN(4,1+'5. Scenarios'!$C$8))/4+INDEX(BookQ2,982)*(5-MIN(4,2+'5. Scenarios'!$C$8))/4+INDEX(BookQ3,982)*(5-MIN(4,3+'5. Scenarios'!$C$8))/4+INDEX(BookQ4,982)*(5-MIN(4,4+'5. Scenarios'!$C$8))/4)*'5. Scenarios'!$C$6/(1+ProductivityDefault*('5. Scenarios'!$C$11-1))+INDEX(BookOneOff,982)*$I987)</f>
        <v/>
      </c>
      <c r="N987" s="56" t="str">
        <f aca="false">IF(INDEX(BookTitle,982)="","",INDEX(BookTotal,982)*'5. Scenarios'!$D$6/(1+ProductivityDefault*('5. Scenarios'!$D$11-1)))</f>
        <v/>
      </c>
      <c r="O987" s="57" t="str">
        <f aca="false">IF($N987="","",INDEX(BookRate,982)*(1+'5. Scenarios'!$D$10)*$N987)</f>
        <v/>
      </c>
      <c r="P987" s="57" t="str">
        <f aca="false">IF($O987="","",SUMIFS($O$6:$O$2405,$A$6:$A$2405,"&lt;="&amp;$A987))</f>
        <v/>
      </c>
      <c r="Q987" s="57" t="str">
        <f aca="false">IF($O987="","",IF($P987&lt;=BankCostEnvelope*'5. Scenarios'!$D$7,1,0))</f>
        <v/>
      </c>
      <c r="R987" s="57" t="str">
        <f aca="false">IF($N987="","",INDEX(BookRate,982)*(1+'5. Scenarios'!$D$10)*(INDEX(BookQ1,982)*(5-MIN(4,1+'5. Scenarios'!$D$8))/4+INDEX(BookQ2,982)*(5-MIN(4,2+'5. Scenarios'!$D$8))/4+INDEX(BookQ3,982)*(5-MIN(4,3+'5. Scenarios'!$D$8))/4+INDEX(BookQ4,982)*(5-MIN(4,4+'5. Scenarios'!$D$8))/4)*'5. Scenarios'!$D$6/(1+ProductivityDefault*('5. Scenarios'!$D$11-1))+INDEX(BookOneOff,982)*$N987)</f>
        <v/>
      </c>
      <c r="S987" s="56" t="str">
        <f aca="false">IF(INDEX(BookTitle,982)="","",INDEX(BookTotal,982)*'5. Scenarios'!$E$6/(1+ProductivityDefault*('5. Scenarios'!$E$11-1)))</f>
        <v/>
      </c>
      <c r="T987" s="57" t="str">
        <f aca="false">IF($S987="","",INDEX(BookRate,982)*(1+'5. Scenarios'!$E$10)*$S987)</f>
        <v/>
      </c>
      <c r="U987" s="57" t="str">
        <f aca="false">IF($T987="","",SUMIFS($T$6:$T$2405,$A$6:$A$2405,"&lt;="&amp;$A987))</f>
        <v/>
      </c>
      <c r="V987" s="57" t="str">
        <f aca="false">IF($T987="","",IF($U987&lt;=BankCostEnvelope*'5. Scenarios'!$E$7,1,0))</f>
        <v/>
      </c>
      <c r="W987" s="57" t="str">
        <f aca="false">IF($S987="","",INDEX(BookRate,982)*(1+'5. Scenarios'!$E$10)*(INDEX(BookQ1,982)*(5-MIN(4,1+'5. Scenarios'!$E$8))/4+INDEX(BookQ2,982)*(5-MIN(4,2+'5. Scenarios'!$E$8))/4+INDEX(BookQ3,982)*(5-MIN(4,3+'5. Scenarios'!$E$8))/4+INDEX(BookQ4,982)*(5-MIN(4,4+'5. Scenarios'!$E$8))/4)*'5. Scenarios'!$E$6/(1+ProductivityDefault*('5. Scenarios'!$E$11-1))+INDEX(BookOneOff,982)*$S987)</f>
        <v/>
      </c>
    </row>
    <row r="988" customFormat="false" ht="15" hidden="false" customHeight="false" outlineLevel="0" collapsed="false">
      <c r="A988" s="0" t="str">
        <f aca="false">IF(INDEX(BookTitle,983)="","",INDEX(BookKey,983))</f>
        <v/>
      </c>
      <c r="B988" s="0" t="str">
        <f aca="false">IF(INDEX(BookTitle,983)="","",INDEX(BookGroup,983))</f>
        <v/>
      </c>
      <c r="C988" s="0" t="str">
        <f aca="false">IF(INDEX(BookTitle,983)="","",INDEX(BookCategory,983))</f>
        <v/>
      </c>
      <c r="D988" s="56" t="str">
        <f aca="false">IF(INDEX(BookTitle,983)="","",INDEX(BookTotal,983)*'5. Scenarios'!$B$6/(1+ProductivityDefault*('5. Scenarios'!$B$11-1)))</f>
        <v/>
      </c>
      <c r="E988" s="57" t="str">
        <f aca="false">IF($D988="","",INDEX(BookRate,983)*(1+'5. Scenarios'!$B$10)*$D988)</f>
        <v/>
      </c>
      <c r="F988" s="57" t="str">
        <f aca="false">IF($E988="","",SUMIFS($E$6:$E$2405,$A$6:$A$2405,"&lt;="&amp;$A988))</f>
        <v/>
      </c>
      <c r="G988" s="57" t="str">
        <f aca="false">IF($E988="","",IF($F988&lt;=BankCostEnvelope*'5. Scenarios'!$B$7,1,0))</f>
        <v/>
      </c>
      <c r="H988" s="57" t="str">
        <f aca="false">IF($D988="","",INDEX(BookRate,983)*(1+'5. Scenarios'!$B$10)*(INDEX(BookQ1,983)*(5-MIN(4,1+'5. Scenarios'!$B$8))/4+INDEX(BookQ2,983)*(5-MIN(4,2+'5. Scenarios'!$B$8))/4+INDEX(BookQ3,983)*(5-MIN(4,3+'5. Scenarios'!$B$8))/4+INDEX(BookQ4,983)*(5-MIN(4,4+'5. Scenarios'!$B$8))/4)*'5. Scenarios'!$B$6/(1+ProductivityDefault*('5. Scenarios'!$B$11-1))+INDEX(BookOneOff,983)*$D988)</f>
        <v/>
      </c>
      <c r="I988" s="56" t="str">
        <f aca="false">IF(INDEX(BookTitle,983)="","",INDEX(BookTotal,983)*'5. Scenarios'!$C$6/(1+ProductivityDefault*('5. Scenarios'!$C$11-1)))</f>
        <v/>
      </c>
      <c r="J988" s="57" t="str">
        <f aca="false">IF($I988="","",INDEX(BookRate,983)*(1+'5. Scenarios'!$C$10)*$I988)</f>
        <v/>
      </c>
      <c r="K988" s="57" t="str">
        <f aca="false">IF($J988="","",SUMIFS($J$6:$J$2405,$A$6:$A$2405,"&lt;="&amp;$A988))</f>
        <v/>
      </c>
      <c r="L988" s="57" t="str">
        <f aca="false">IF($J988="","",IF($K988&lt;=BankCostEnvelope*'5. Scenarios'!$C$7,1,0))</f>
        <v/>
      </c>
      <c r="M988" s="57" t="str">
        <f aca="false">IF($I988="","",INDEX(BookRate,983)*(1+'5. Scenarios'!$C$10)*(INDEX(BookQ1,983)*(5-MIN(4,1+'5. Scenarios'!$C$8))/4+INDEX(BookQ2,983)*(5-MIN(4,2+'5. Scenarios'!$C$8))/4+INDEX(BookQ3,983)*(5-MIN(4,3+'5. Scenarios'!$C$8))/4+INDEX(BookQ4,983)*(5-MIN(4,4+'5. Scenarios'!$C$8))/4)*'5. Scenarios'!$C$6/(1+ProductivityDefault*('5. Scenarios'!$C$11-1))+INDEX(BookOneOff,983)*$I988)</f>
        <v/>
      </c>
      <c r="N988" s="56" t="str">
        <f aca="false">IF(INDEX(BookTitle,983)="","",INDEX(BookTotal,983)*'5. Scenarios'!$D$6/(1+ProductivityDefault*('5. Scenarios'!$D$11-1)))</f>
        <v/>
      </c>
      <c r="O988" s="57" t="str">
        <f aca="false">IF($N988="","",INDEX(BookRate,983)*(1+'5. Scenarios'!$D$10)*$N988)</f>
        <v/>
      </c>
      <c r="P988" s="57" t="str">
        <f aca="false">IF($O988="","",SUMIFS($O$6:$O$2405,$A$6:$A$2405,"&lt;="&amp;$A988))</f>
        <v/>
      </c>
      <c r="Q988" s="57" t="str">
        <f aca="false">IF($O988="","",IF($P988&lt;=BankCostEnvelope*'5. Scenarios'!$D$7,1,0))</f>
        <v/>
      </c>
      <c r="R988" s="57" t="str">
        <f aca="false">IF($N988="","",INDEX(BookRate,983)*(1+'5. Scenarios'!$D$10)*(INDEX(BookQ1,983)*(5-MIN(4,1+'5. Scenarios'!$D$8))/4+INDEX(BookQ2,983)*(5-MIN(4,2+'5. Scenarios'!$D$8))/4+INDEX(BookQ3,983)*(5-MIN(4,3+'5. Scenarios'!$D$8))/4+INDEX(BookQ4,983)*(5-MIN(4,4+'5. Scenarios'!$D$8))/4)*'5. Scenarios'!$D$6/(1+ProductivityDefault*('5. Scenarios'!$D$11-1))+INDEX(BookOneOff,983)*$N988)</f>
        <v/>
      </c>
      <c r="S988" s="56" t="str">
        <f aca="false">IF(INDEX(BookTitle,983)="","",INDEX(BookTotal,983)*'5. Scenarios'!$E$6/(1+ProductivityDefault*('5. Scenarios'!$E$11-1)))</f>
        <v/>
      </c>
      <c r="T988" s="57" t="str">
        <f aca="false">IF($S988="","",INDEX(BookRate,983)*(1+'5. Scenarios'!$E$10)*$S988)</f>
        <v/>
      </c>
      <c r="U988" s="57" t="str">
        <f aca="false">IF($T988="","",SUMIFS($T$6:$T$2405,$A$6:$A$2405,"&lt;="&amp;$A988))</f>
        <v/>
      </c>
      <c r="V988" s="57" t="str">
        <f aca="false">IF($T988="","",IF($U988&lt;=BankCostEnvelope*'5. Scenarios'!$E$7,1,0))</f>
        <v/>
      </c>
      <c r="W988" s="57" t="str">
        <f aca="false">IF($S988="","",INDEX(BookRate,983)*(1+'5. Scenarios'!$E$10)*(INDEX(BookQ1,983)*(5-MIN(4,1+'5. Scenarios'!$E$8))/4+INDEX(BookQ2,983)*(5-MIN(4,2+'5. Scenarios'!$E$8))/4+INDEX(BookQ3,983)*(5-MIN(4,3+'5. Scenarios'!$E$8))/4+INDEX(BookQ4,983)*(5-MIN(4,4+'5. Scenarios'!$E$8))/4)*'5. Scenarios'!$E$6/(1+ProductivityDefault*('5. Scenarios'!$E$11-1))+INDEX(BookOneOff,983)*$S988)</f>
        <v/>
      </c>
    </row>
    <row r="989" customFormat="false" ht="15" hidden="false" customHeight="false" outlineLevel="0" collapsed="false">
      <c r="A989" s="0" t="str">
        <f aca="false">IF(INDEX(BookTitle,984)="","",INDEX(BookKey,984))</f>
        <v/>
      </c>
      <c r="B989" s="0" t="str">
        <f aca="false">IF(INDEX(BookTitle,984)="","",INDEX(BookGroup,984))</f>
        <v/>
      </c>
      <c r="C989" s="0" t="str">
        <f aca="false">IF(INDEX(BookTitle,984)="","",INDEX(BookCategory,984))</f>
        <v/>
      </c>
      <c r="D989" s="56" t="str">
        <f aca="false">IF(INDEX(BookTitle,984)="","",INDEX(BookTotal,984)*'5. Scenarios'!$B$6/(1+ProductivityDefault*('5. Scenarios'!$B$11-1)))</f>
        <v/>
      </c>
      <c r="E989" s="57" t="str">
        <f aca="false">IF($D989="","",INDEX(BookRate,984)*(1+'5. Scenarios'!$B$10)*$D989)</f>
        <v/>
      </c>
      <c r="F989" s="57" t="str">
        <f aca="false">IF($E989="","",SUMIFS($E$6:$E$2405,$A$6:$A$2405,"&lt;="&amp;$A989))</f>
        <v/>
      </c>
      <c r="G989" s="57" t="str">
        <f aca="false">IF($E989="","",IF($F989&lt;=BankCostEnvelope*'5. Scenarios'!$B$7,1,0))</f>
        <v/>
      </c>
      <c r="H989" s="57" t="str">
        <f aca="false">IF($D989="","",INDEX(BookRate,984)*(1+'5. Scenarios'!$B$10)*(INDEX(BookQ1,984)*(5-MIN(4,1+'5. Scenarios'!$B$8))/4+INDEX(BookQ2,984)*(5-MIN(4,2+'5. Scenarios'!$B$8))/4+INDEX(BookQ3,984)*(5-MIN(4,3+'5. Scenarios'!$B$8))/4+INDEX(BookQ4,984)*(5-MIN(4,4+'5. Scenarios'!$B$8))/4)*'5. Scenarios'!$B$6/(1+ProductivityDefault*('5. Scenarios'!$B$11-1))+INDEX(BookOneOff,984)*$D989)</f>
        <v/>
      </c>
      <c r="I989" s="56" t="str">
        <f aca="false">IF(INDEX(BookTitle,984)="","",INDEX(BookTotal,984)*'5. Scenarios'!$C$6/(1+ProductivityDefault*('5. Scenarios'!$C$11-1)))</f>
        <v/>
      </c>
      <c r="J989" s="57" t="str">
        <f aca="false">IF($I989="","",INDEX(BookRate,984)*(1+'5. Scenarios'!$C$10)*$I989)</f>
        <v/>
      </c>
      <c r="K989" s="57" t="str">
        <f aca="false">IF($J989="","",SUMIFS($J$6:$J$2405,$A$6:$A$2405,"&lt;="&amp;$A989))</f>
        <v/>
      </c>
      <c r="L989" s="57" t="str">
        <f aca="false">IF($J989="","",IF($K989&lt;=BankCostEnvelope*'5. Scenarios'!$C$7,1,0))</f>
        <v/>
      </c>
      <c r="M989" s="57" t="str">
        <f aca="false">IF($I989="","",INDEX(BookRate,984)*(1+'5. Scenarios'!$C$10)*(INDEX(BookQ1,984)*(5-MIN(4,1+'5. Scenarios'!$C$8))/4+INDEX(BookQ2,984)*(5-MIN(4,2+'5. Scenarios'!$C$8))/4+INDEX(BookQ3,984)*(5-MIN(4,3+'5. Scenarios'!$C$8))/4+INDEX(BookQ4,984)*(5-MIN(4,4+'5. Scenarios'!$C$8))/4)*'5. Scenarios'!$C$6/(1+ProductivityDefault*('5. Scenarios'!$C$11-1))+INDEX(BookOneOff,984)*$I989)</f>
        <v/>
      </c>
      <c r="N989" s="56" t="str">
        <f aca="false">IF(INDEX(BookTitle,984)="","",INDEX(BookTotal,984)*'5. Scenarios'!$D$6/(1+ProductivityDefault*('5. Scenarios'!$D$11-1)))</f>
        <v/>
      </c>
      <c r="O989" s="57" t="str">
        <f aca="false">IF($N989="","",INDEX(BookRate,984)*(1+'5. Scenarios'!$D$10)*$N989)</f>
        <v/>
      </c>
      <c r="P989" s="57" t="str">
        <f aca="false">IF($O989="","",SUMIFS($O$6:$O$2405,$A$6:$A$2405,"&lt;="&amp;$A989))</f>
        <v/>
      </c>
      <c r="Q989" s="57" t="str">
        <f aca="false">IF($O989="","",IF($P989&lt;=BankCostEnvelope*'5. Scenarios'!$D$7,1,0))</f>
        <v/>
      </c>
      <c r="R989" s="57" t="str">
        <f aca="false">IF($N989="","",INDEX(BookRate,984)*(1+'5. Scenarios'!$D$10)*(INDEX(BookQ1,984)*(5-MIN(4,1+'5. Scenarios'!$D$8))/4+INDEX(BookQ2,984)*(5-MIN(4,2+'5. Scenarios'!$D$8))/4+INDEX(BookQ3,984)*(5-MIN(4,3+'5. Scenarios'!$D$8))/4+INDEX(BookQ4,984)*(5-MIN(4,4+'5. Scenarios'!$D$8))/4)*'5. Scenarios'!$D$6/(1+ProductivityDefault*('5. Scenarios'!$D$11-1))+INDEX(BookOneOff,984)*$N989)</f>
        <v/>
      </c>
      <c r="S989" s="56" t="str">
        <f aca="false">IF(INDEX(BookTitle,984)="","",INDEX(BookTotal,984)*'5. Scenarios'!$E$6/(1+ProductivityDefault*('5. Scenarios'!$E$11-1)))</f>
        <v/>
      </c>
      <c r="T989" s="57" t="str">
        <f aca="false">IF($S989="","",INDEX(BookRate,984)*(1+'5. Scenarios'!$E$10)*$S989)</f>
        <v/>
      </c>
      <c r="U989" s="57" t="str">
        <f aca="false">IF($T989="","",SUMIFS($T$6:$T$2405,$A$6:$A$2405,"&lt;="&amp;$A989))</f>
        <v/>
      </c>
      <c r="V989" s="57" t="str">
        <f aca="false">IF($T989="","",IF($U989&lt;=BankCostEnvelope*'5. Scenarios'!$E$7,1,0))</f>
        <v/>
      </c>
      <c r="W989" s="57" t="str">
        <f aca="false">IF($S989="","",INDEX(BookRate,984)*(1+'5. Scenarios'!$E$10)*(INDEX(BookQ1,984)*(5-MIN(4,1+'5. Scenarios'!$E$8))/4+INDEX(BookQ2,984)*(5-MIN(4,2+'5. Scenarios'!$E$8))/4+INDEX(BookQ3,984)*(5-MIN(4,3+'5. Scenarios'!$E$8))/4+INDEX(BookQ4,984)*(5-MIN(4,4+'5. Scenarios'!$E$8))/4)*'5. Scenarios'!$E$6/(1+ProductivityDefault*('5. Scenarios'!$E$11-1))+INDEX(BookOneOff,984)*$S989)</f>
        <v/>
      </c>
    </row>
    <row r="990" customFormat="false" ht="15" hidden="false" customHeight="false" outlineLevel="0" collapsed="false">
      <c r="A990" s="0" t="str">
        <f aca="false">IF(INDEX(BookTitle,985)="","",INDEX(BookKey,985))</f>
        <v/>
      </c>
      <c r="B990" s="0" t="str">
        <f aca="false">IF(INDEX(BookTitle,985)="","",INDEX(BookGroup,985))</f>
        <v/>
      </c>
      <c r="C990" s="0" t="str">
        <f aca="false">IF(INDEX(BookTitle,985)="","",INDEX(BookCategory,985))</f>
        <v/>
      </c>
      <c r="D990" s="56" t="str">
        <f aca="false">IF(INDEX(BookTitle,985)="","",INDEX(BookTotal,985)*'5. Scenarios'!$B$6/(1+ProductivityDefault*('5. Scenarios'!$B$11-1)))</f>
        <v/>
      </c>
      <c r="E990" s="57" t="str">
        <f aca="false">IF($D990="","",INDEX(BookRate,985)*(1+'5. Scenarios'!$B$10)*$D990)</f>
        <v/>
      </c>
      <c r="F990" s="57" t="str">
        <f aca="false">IF($E990="","",SUMIFS($E$6:$E$2405,$A$6:$A$2405,"&lt;="&amp;$A990))</f>
        <v/>
      </c>
      <c r="G990" s="57" t="str">
        <f aca="false">IF($E990="","",IF($F990&lt;=BankCostEnvelope*'5. Scenarios'!$B$7,1,0))</f>
        <v/>
      </c>
      <c r="H990" s="57" t="str">
        <f aca="false">IF($D990="","",INDEX(BookRate,985)*(1+'5. Scenarios'!$B$10)*(INDEX(BookQ1,985)*(5-MIN(4,1+'5. Scenarios'!$B$8))/4+INDEX(BookQ2,985)*(5-MIN(4,2+'5. Scenarios'!$B$8))/4+INDEX(BookQ3,985)*(5-MIN(4,3+'5. Scenarios'!$B$8))/4+INDEX(BookQ4,985)*(5-MIN(4,4+'5. Scenarios'!$B$8))/4)*'5. Scenarios'!$B$6/(1+ProductivityDefault*('5. Scenarios'!$B$11-1))+INDEX(BookOneOff,985)*$D990)</f>
        <v/>
      </c>
      <c r="I990" s="56" t="str">
        <f aca="false">IF(INDEX(BookTitle,985)="","",INDEX(BookTotal,985)*'5. Scenarios'!$C$6/(1+ProductivityDefault*('5. Scenarios'!$C$11-1)))</f>
        <v/>
      </c>
      <c r="J990" s="57" t="str">
        <f aca="false">IF($I990="","",INDEX(BookRate,985)*(1+'5. Scenarios'!$C$10)*$I990)</f>
        <v/>
      </c>
      <c r="K990" s="57" t="str">
        <f aca="false">IF($J990="","",SUMIFS($J$6:$J$2405,$A$6:$A$2405,"&lt;="&amp;$A990))</f>
        <v/>
      </c>
      <c r="L990" s="57" t="str">
        <f aca="false">IF($J990="","",IF($K990&lt;=BankCostEnvelope*'5. Scenarios'!$C$7,1,0))</f>
        <v/>
      </c>
      <c r="M990" s="57" t="str">
        <f aca="false">IF($I990="","",INDEX(BookRate,985)*(1+'5. Scenarios'!$C$10)*(INDEX(BookQ1,985)*(5-MIN(4,1+'5. Scenarios'!$C$8))/4+INDEX(BookQ2,985)*(5-MIN(4,2+'5. Scenarios'!$C$8))/4+INDEX(BookQ3,985)*(5-MIN(4,3+'5. Scenarios'!$C$8))/4+INDEX(BookQ4,985)*(5-MIN(4,4+'5. Scenarios'!$C$8))/4)*'5. Scenarios'!$C$6/(1+ProductivityDefault*('5. Scenarios'!$C$11-1))+INDEX(BookOneOff,985)*$I990)</f>
        <v/>
      </c>
      <c r="N990" s="56" t="str">
        <f aca="false">IF(INDEX(BookTitle,985)="","",INDEX(BookTotal,985)*'5. Scenarios'!$D$6/(1+ProductivityDefault*('5. Scenarios'!$D$11-1)))</f>
        <v/>
      </c>
      <c r="O990" s="57" t="str">
        <f aca="false">IF($N990="","",INDEX(BookRate,985)*(1+'5. Scenarios'!$D$10)*$N990)</f>
        <v/>
      </c>
      <c r="P990" s="57" t="str">
        <f aca="false">IF($O990="","",SUMIFS($O$6:$O$2405,$A$6:$A$2405,"&lt;="&amp;$A990))</f>
        <v/>
      </c>
      <c r="Q990" s="57" t="str">
        <f aca="false">IF($O990="","",IF($P990&lt;=BankCostEnvelope*'5. Scenarios'!$D$7,1,0))</f>
        <v/>
      </c>
      <c r="R990" s="57" t="str">
        <f aca="false">IF($N990="","",INDEX(BookRate,985)*(1+'5. Scenarios'!$D$10)*(INDEX(BookQ1,985)*(5-MIN(4,1+'5. Scenarios'!$D$8))/4+INDEX(BookQ2,985)*(5-MIN(4,2+'5. Scenarios'!$D$8))/4+INDEX(BookQ3,985)*(5-MIN(4,3+'5. Scenarios'!$D$8))/4+INDEX(BookQ4,985)*(5-MIN(4,4+'5. Scenarios'!$D$8))/4)*'5. Scenarios'!$D$6/(1+ProductivityDefault*('5. Scenarios'!$D$11-1))+INDEX(BookOneOff,985)*$N990)</f>
        <v/>
      </c>
      <c r="S990" s="56" t="str">
        <f aca="false">IF(INDEX(BookTitle,985)="","",INDEX(BookTotal,985)*'5. Scenarios'!$E$6/(1+ProductivityDefault*('5. Scenarios'!$E$11-1)))</f>
        <v/>
      </c>
      <c r="T990" s="57" t="str">
        <f aca="false">IF($S990="","",INDEX(BookRate,985)*(1+'5. Scenarios'!$E$10)*$S990)</f>
        <v/>
      </c>
      <c r="U990" s="57" t="str">
        <f aca="false">IF($T990="","",SUMIFS($T$6:$T$2405,$A$6:$A$2405,"&lt;="&amp;$A990))</f>
        <v/>
      </c>
      <c r="V990" s="57" t="str">
        <f aca="false">IF($T990="","",IF($U990&lt;=BankCostEnvelope*'5. Scenarios'!$E$7,1,0))</f>
        <v/>
      </c>
      <c r="W990" s="57" t="str">
        <f aca="false">IF($S990="","",INDEX(BookRate,985)*(1+'5. Scenarios'!$E$10)*(INDEX(BookQ1,985)*(5-MIN(4,1+'5. Scenarios'!$E$8))/4+INDEX(BookQ2,985)*(5-MIN(4,2+'5. Scenarios'!$E$8))/4+INDEX(BookQ3,985)*(5-MIN(4,3+'5. Scenarios'!$E$8))/4+INDEX(BookQ4,985)*(5-MIN(4,4+'5. Scenarios'!$E$8))/4)*'5. Scenarios'!$E$6/(1+ProductivityDefault*('5. Scenarios'!$E$11-1))+INDEX(BookOneOff,985)*$S990)</f>
        <v/>
      </c>
    </row>
    <row r="991" customFormat="false" ht="15" hidden="false" customHeight="false" outlineLevel="0" collapsed="false">
      <c r="A991" s="0" t="str">
        <f aca="false">IF(INDEX(BookTitle,986)="","",INDEX(BookKey,986))</f>
        <v/>
      </c>
      <c r="B991" s="0" t="str">
        <f aca="false">IF(INDEX(BookTitle,986)="","",INDEX(BookGroup,986))</f>
        <v/>
      </c>
      <c r="C991" s="0" t="str">
        <f aca="false">IF(INDEX(BookTitle,986)="","",INDEX(BookCategory,986))</f>
        <v/>
      </c>
      <c r="D991" s="56" t="str">
        <f aca="false">IF(INDEX(BookTitle,986)="","",INDEX(BookTotal,986)*'5. Scenarios'!$B$6/(1+ProductivityDefault*('5. Scenarios'!$B$11-1)))</f>
        <v/>
      </c>
      <c r="E991" s="57" t="str">
        <f aca="false">IF($D991="","",INDEX(BookRate,986)*(1+'5. Scenarios'!$B$10)*$D991)</f>
        <v/>
      </c>
      <c r="F991" s="57" t="str">
        <f aca="false">IF($E991="","",SUMIFS($E$6:$E$2405,$A$6:$A$2405,"&lt;="&amp;$A991))</f>
        <v/>
      </c>
      <c r="G991" s="57" t="str">
        <f aca="false">IF($E991="","",IF($F991&lt;=BankCostEnvelope*'5. Scenarios'!$B$7,1,0))</f>
        <v/>
      </c>
      <c r="H991" s="57" t="str">
        <f aca="false">IF($D991="","",INDEX(BookRate,986)*(1+'5. Scenarios'!$B$10)*(INDEX(BookQ1,986)*(5-MIN(4,1+'5. Scenarios'!$B$8))/4+INDEX(BookQ2,986)*(5-MIN(4,2+'5. Scenarios'!$B$8))/4+INDEX(BookQ3,986)*(5-MIN(4,3+'5. Scenarios'!$B$8))/4+INDEX(BookQ4,986)*(5-MIN(4,4+'5. Scenarios'!$B$8))/4)*'5. Scenarios'!$B$6/(1+ProductivityDefault*('5. Scenarios'!$B$11-1))+INDEX(BookOneOff,986)*$D991)</f>
        <v/>
      </c>
      <c r="I991" s="56" t="str">
        <f aca="false">IF(INDEX(BookTitle,986)="","",INDEX(BookTotal,986)*'5. Scenarios'!$C$6/(1+ProductivityDefault*('5. Scenarios'!$C$11-1)))</f>
        <v/>
      </c>
      <c r="J991" s="57" t="str">
        <f aca="false">IF($I991="","",INDEX(BookRate,986)*(1+'5. Scenarios'!$C$10)*$I991)</f>
        <v/>
      </c>
      <c r="K991" s="57" t="str">
        <f aca="false">IF($J991="","",SUMIFS($J$6:$J$2405,$A$6:$A$2405,"&lt;="&amp;$A991))</f>
        <v/>
      </c>
      <c r="L991" s="57" t="str">
        <f aca="false">IF($J991="","",IF($K991&lt;=BankCostEnvelope*'5. Scenarios'!$C$7,1,0))</f>
        <v/>
      </c>
      <c r="M991" s="57" t="str">
        <f aca="false">IF($I991="","",INDEX(BookRate,986)*(1+'5. Scenarios'!$C$10)*(INDEX(BookQ1,986)*(5-MIN(4,1+'5. Scenarios'!$C$8))/4+INDEX(BookQ2,986)*(5-MIN(4,2+'5. Scenarios'!$C$8))/4+INDEX(BookQ3,986)*(5-MIN(4,3+'5. Scenarios'!$C$8))/4+INDEX(BookQ4,986)*(5-MIN(4,4+'5. Scenarios'!$C$8))/4)*'5. Scenarios'!$C$6/(1+ProductivityDefault*('5. Scenarios'!$C$11-1))+INDEX(BookOneOff,986)*$I991)</f>
        <v/>
      </c>
      <c r="N991" s="56" t="str">
        <f aca="false">IF(INDEX(BookTitle,986)="","",INDEX(BookTotal,986)*'5. Scenarios'!$D$6/(1+ProductivityDefault*('5. Scenarios'!$D$11-1)))</f>
        <v/>
      </c>
      <c r="O991" s="57" t="str">
        <f aca="false">IF($N991="","",INDEX(BookRate,986)*(1+'5. Scenarios'!$D$10)*$N991)</f>
        <v/>
      </c>
      <c r="P991" s="57" t="str">
        <f aca="false">IF($O991="","",SUMIFS($O$6:$O$2405,$A$6:$A$2405,"&lt;="&amp;$A991))</f>
        <v/>
      </c>
      <c r="Q991" s="57" t="str">
        <f aca="false">IF($O991="","",IF($P991&lt;=BankCostEnvelope*'5. Scenarios'!$D$7,1,0))</f>
        <v/>
      </c>
      <c r="R991" s="57" t="str">
        <f aca="false">IF($N991="","",INDEX(BookRate,986)*(1+'5. Scenarios'!$D$10)*(INDEX(BookQ1,986)*(5-MIN(4,1+'5. Scenarios'!$D$8))/4+INDEX(BookQ2,986)*(5-MIN(4,2+'5. Scenarios'!$D$8))/4+INDEX(BookQ3,986)*(5-MIN(4,3+'5. Scenarios'!$D$8))/4+INDEX(BookQ4,986)*(5-MIN(4,4+'5. Scenarios'!$D$8))/4)*'5. Scenarios'!$D$6/(1+ProductivityDefault*('5. Scenarios'!$D$11-1))+INDEX(BookOneOff,986)*$N991)</f>
        <v/>
      </c>
      <c r="S991" s="56" t="str">
        <f aca="false">IF(INDEX(BookTitle,986)="","",INDEX(BookTotal,986)*'5. Scenarios'!$E$6/(1+ProductivityDefault*('5. Scenarios'!$E$11-1)))</f>
        <v/>
      </c>
      <c r="T991" s="57" t="str">
        <f aca="false">IF($S991="","",INDEX(BookRate,986)*(1+'5. Scenarios'!$E$10)*$S991)</f>
        <v/>
      </c>
      <c r="U991" s="57" t="str">
        <f aca="false">IF($T991="","",SUMIFS($T$6:$T$2405,$A$6:$A$2405,"&lt;="&amp;$A991))</f>
        <v/>
      </c>
      <c r="V991" s="57" t="str">
        <f aca="false">IF($T991="","",IF($U991&lt;=BankCostEnvelope*'5. Scenarios'!$E$7,1,0))</f>
        <v/>
      </c>
      <c r="W991" s="57" t="str">
        <f aca="false">IF($S991="","",INDEX(BookRate,986)*(1+'5. Scenarios'!$E$10)*(INDEX(BookQ1,986)*(5-MIN(4,1+'5. Scenarios'!$E$8))/4+INDEX(BookQ2,986)*(5-MIN(4,2+'5. Scenarios'!$E$8))/4+INDEX(BookQ3,986)*(5-MIN(4,3+'5. Scenarios'!$E$8))/4+INDEX(BookQ4,986)*(5-MIN(4,4+'5. Scenarios'!$E$8))/4)*'5. Scenarios'!$E$6/(1+ProductivityDefault*('5. Scenarios'!$E$11-1))+INDEX(BookOneOff,986)*$S991)</f>
        <v/>
      </c>
    </row>
    <row r="992" customFormat="false" ht="15" hidden="false" customHeight="false" outlineLevel="0" collapsed="false">
      <c r="A992" s="0" t="str">
        <f aca="false">IF(INDEX(BookTitle,987)="","",INDEX(BookKey,987))</f>
        <v/>
      </c>
      <c r="B992" s="0" t="str">
        <f aca="false">IF(INDEX(BookTitle,987)="","",INDEX(BookGroup,987))</f>
        <v/>
      </c>
      <c r="C992" s="0" t="str">
        <f aca="false">IF(INDEX(BookTitle,987)="","",INDEX(BookCategory,987))</f>
        <v/>
      </c>
      <c r="D992" s="56" t="str">
        <f aca="false">IF(INDEX(BookTitle,987)="","",INDEX(BookTotal,987)*'5. Scenarios'!$B$6/(1+ProductivityDefault*('5. Scenarios'!$B$11-1)))</f>
        <v/>
      </c>
      <c r="E992" s="57" t="str">
        <f aca="false">IF($D992="","",INDEX(BookRate,987)*(1+'5. Scenarios'!$B$10)*$D992)</f>
        <v/>
      </c>
      <c r="F992" s="57" t="str">
        <f aca="false">IF($E992="","",SUMIFS($E$6:$E$2405,$A$6:$A$2405,"&lt;="&amp;$A992))</f>
        <v/>
      </c>
      <c r="G992" s="57" t="str">
        <f aca="false">IF($E992="","",IF($F992&lt;=BankCostEnvelope*'5. Scenarios'!$B$7,1,0))</f>
        <v/>
      </c>
      <c r="H992" s="57" t="str">
        <f aca="false">IF($D992="","",INDEX(BookRate,987)*(1+'5. Scenarios'!$B$10)*(INDEX(BookQ1,987)*(5-MIN(4,1+'5. Scenarios'!$B$8))/4+INDEX(BookQ2,987)*(5-MIN(4,2+'5. Scenarios'!$B$8))/4+INDEX(BookQ3,987)*(5-MIN(4,3+'5. Scenarios'!$B$8))/4+INDEX(BookQ4,987)*(5-MIN(4,4+'5. Scenarios'!$B$8))/4)*'5. Scenarios'!$B$6/(1+ProductivityDefault*('5. Scenarios'!$B$11-1))+INDEX(BookOneOff,987)*$D992)</f>
        <v/>
      </c>
      <c r="I992" s="56" t="str">
        <f aca="false">IF(INDEX(BookTitle,987)="","",INDEX(BookTotal,987)*'5. Scenarios'!$C$6/(1+ProductivityDefault*('5. Scenarios'!$C$11-1)))</f>
        <v/>
      </c>
      <c r="J992" s="57" t="str">
        <f aca="false">IF($I992="","",INDEX(BookRate,987)*(1+'5. Scenarios'!$C$10)*$I992)</f>
        <v/>
      </c>
      <c r="K992" s="57" t="str">
        <f aca="false">IF($J992="","",SUMIFS($J$6:$J$2405,$A$6:$A$2405,"&lt;="&amp;$A992))</f>
        <v/>
      </c>
      <c r="L992" s="57" t="str">
        <f aca="false">IF($J992="","",IF($K992&lt;=BankCostEnvelope*'5. Scenarios'!$C$7,1,0))</f>
        <v/>
      </c>
      <c r="M992" s="57" t="str">
        <f aca="false">IF($I992="","",INDEX(BookRate,987)*(1+'5. Scenarios'!$C$10)*(INDEX(BookQ1,987)*(5-MIN(4,1+'5. Scenarios'!$C$8))/4+INDEX(BookQ2,987)*(5-MIN(4,2+'5. Scenarios'!$C$8))/4+INDEX(BookQ3,987)*(5-MIN(4,3+'5. Scenarios'!$C$8))/4+INDEX(BookQ4,987)*(5-MIN(4,4+'5. Scenarios'!$C$8))/4)*'5. Scenarios'!$C$6/(1+ProductivityDefault*('5. Scenarios'!$C$11-1))+INDEX(BookOneOff,987)*$I992)</f>
        <v/>
      </c>
      <c r="N992" s="56" t="str">
        <f aca="false">IF(INDEX(BookTitle,987)="","",INDEX(BookTotal,987)*'5. Scenarios'!$D$6/(1+ProductivityDefault*('5. Scenarios'!$D$11-1)))</f>
        <v/>
      </c>
      <c r="O992" s="57" t="str">
        <f aca="false">IF($N992="","",INDEX(BookRate,987)*(1+'5. Scenarios'!$D$10)*$N992)</f>
        <v/>
      </c>
      <c r="P992" s="57" t="str">
        <f aca="false">IF($O992="","",SUMIFS($O$6:$O$2405,$A$6:$A$2405,"&lt;="&amp;$A992))</f>
        <v/>
      </c>
      <c r="Q992" s="57" t="str">
        <f aca="false">IF($O992="","",IF($P992&lt;=BankCostEnvelope*'5. Scenarios'!$D$7,1,0))</f>
        <v/>
      </c>
      <c r="R992" s="57" t="str">
        <f aca="false">IF($N992="","",INDEX(BookRate,987)*(1+'5. Scenarios'!$D$10)*(INDEX(BookQ1,987)*(5-MIN(4,1+'5. Scenarios'!$D$8))/4+INDEX(BookQ2,987)*(5-MIN(4,2+'5. Scenarios'!$D$8))/4+INDEX(BookQ3,987)*(5-MIN(4,3+'5. Scenarios'!$D$8))/4+INDEX(BookQ4,987)*(5-MIN(4,4+'5. Scenarios'!$D$8))/4)*'5. Scenarios'!$D$6/(1+ProductivityDefault*('5. Scenarios'!$D$11-1))+INDEX(BookOneOff,987)*$N992)</f>
        <v/>
      </c>
      <c r="S992" s="56" t="str">
        <f aca="false">IF(INDEX(BookTitle,987)="","",INDEX(BookTotal,987)*'5. Scenarios'!$E$6/(1+ProductivityDefault*('5. Scenarios'!$E$11-1)))</f>
        <v/>
      </c>
      <c r="T992" s="57" t="str">
        <f aca="false">IF($S992="","",INDEX(BookRate,987)*(1+'5. Scenarios'!$E$10)*$S992)</f>
        <v/>
      </c>
      <c r="U992" s="57" t="str">
        <f aca="false">IF($T992="","",SUMIFS($T$6:$T$2405,$A$6:$A$2405,"&lt;="&amp;$A992))</f>
        <v/>
      </c>
      <c r="V992" s="57" t="str">
        <f aca="false">IF($T992="","",IF($U992&lt;=BankCostEnvelope*'5. Scenarios'!$E$7,1,0))</f>
        <v/>
      </c>
      <c r="W992" s="57" t="str">
        <f aca="false">IF($S992="","",INDEX(BookRate,987)*(1+'5. Scenarios'!$E$10)*(INDEX(BookQ1,987)*(5-MIN(4,1+'5. Scenarios'!$E$8))/4+INDEX(BookQ2,987)*(5-MIN(4,2+'5. Scenarios'!$E$8))/4+INDEX(BookQ3,987)*(5-MIN(4,3+'5. Scenarios'!$E$8))/4+INDEX(BookQ4,987)*(5-MIN(4,4+'5. Scenarios'!$E$8))/4)*'5. Scenarios'!$E$6/(1+ProductivityDefault*('5. Scenarios'!$E$11-1))+INDEX(BookOneOff,987)*$S992)</f>
        <v/>
      </c>
    </row>
    <row r="993" customFormat="false" ht="15" hidden="false" customHeight="false" outlineLevel="0" collapsed="false">
      <c r="A993" s="0" t="str">
        <f aca="false">IF(INDEX(BookTitle,988)="","",INDEX(BookKey,988))</f>
        <v/>
      </c>
      <c r="B993" s="0" t="str">
        <f aca="false">IF(INDEX(BookTitle,988)="","",INDEX(BookGroup,988))</f>
        <v/>
      </c>
      <c r="C993" s="0" t="str">
        <f aca="false">IF(INDEX(BookTitle,988)="","",INDEX(BookCategory,988))</f>
        <v/>
      </c>
      <c r="D993" s="56" t="str">
        <f aca="false">IF(INDEX(BookTitle,988)="","",INDEX(BookTotal,988)*'5. Scenarios'!$B$6/(1+ProductivityDefault*('5. Scenarios'!$B$11-1)))</f>
        <v/>
      </c>
      <c r="E993" s="57" t="str">
        <f aca="false">IF($D993="","",INDEX(BookRate,988)*(1+'5. Scenarios'!$B$10)*$D993)</f>
        <v/>
      </c>
      <c r="F993" s="57" t="str">
        <f aca="false">IF($E993="","",SUMIFS($E$6:$E$2405,$A$6:$A$2405,"&lt;="&amp;$A993))</f>
        <v/>
      </c>
      <c r="G993" s="57" t="str">
        <f aca="false">IF($E993="","",IF($F993&lt;=BankCostEnvelope*'5. Scenarios'!$B$7,1,0))</f>
        <v/>
      </c>
      <c r="H993" s="57" t="str">
        <f aca="false">IF($D993="","",INDEX(BookRate,988)*(1+'5. Scenarios'!$B$10)*(INDEX(BookQ1,988)*(5-MIN(4,1+'5. Scenarios'!$B$8))/4+INDEX(BookQ2,988)*(5-MIN(4,2+'5. Scenarios'!$B$8))/4+INDEX(BookQ3,988)*(5-MIN(4,3+'5. Scenarios'!$B$8))/4+INDEX(BookQ4,988)*(5-MIN(4,4+'5. Scenarios'!$B$8))/4)*'5. Scenarios'!$B$6/(1+ProductivityDefault*('5. Scenarios'!$B$11-1))+INDEX(BookOneOff,988)*$D993)</f>
        <v/>
      </c>
      <c r="I993" s="56" t="str">
        <f aca="false">IF(INDEX(BookTitle,988)="","",INDEX(BookTotal,988)*'5. Scenarios'!$C$6/(1+ProductivityDefault*('5. Scenarios'!$C$11-1)))</f>
        <v/>
      </c>
      <c r="J993" s="57" t="str">
        <f aca="false">IF($I993="","",INDEX(BookRate,988)*(1+'5. Scenarios'!$C$10)*$I993)</f>
        <v/>
      </c>
      <c r="K993" s="57" t="str">
        <f aca="false">IF($J993="","",SUMIFS($J$6:$J$2405,$A$6:$A$2405,"&lt;="&amp;$A993))</f>
        <v/>
      </c>
      <c r="L993" s="57" t="str">
        <f aca="false">IF($J993="","",IF($K993&lt;=BankCostEnvelope*'5. Scenarios'!$C$7,1,0))</f>
        <v/>
      </c>
      <c r="M993" s="57" t="str">
        <f aca="false">IF($I993="","",INDEX(BookRate,988)*(1+'5. Scenarios'!$C$10)*(INDEX(BookQ1,988)*(5-MIN(4,1+'5. Scenarios'!$C$8))/4+INDEX(BookQ2,988)*(5-MIN(4,2+'5. Scenarios'!$C$8))/4+INDEX(BookQ3,988)*(5-MIN(4,3+'5. Scenarios'!$C$8))/4+INDEX(BookQ4,988)*(5-MIN(4,4+'5. Scenarios'!$C$8))/4)*'5. Scenarios'!$C$6/(1+ProductivityDefault*('5. Scenarios'!$C$11-1))+INDEX(BookOneOff,988)*$I993)</f>
        <v/>
      </c>
      <c r="N993" s="56" t="str">
        <f aca="false">IF(INDEX(BookTitle,988)="","",INDEX(BookTotal,988)*'5. Scenarios'!$D$6/(1+ProductivityDefault*('5. Scenarios'!$D$11-1)))</f>
        <v/>
      </c>
      <c r="O993" s="57" t="str">
        <f aca="false">IF($N993="","",INDEX(BookRate,988)*(1+'5. Scenarios'!$D$10)*$N993)</f>
        <v/>
      </c>
      <c r="P993" s="57" t="str">
        <f aca="false">IF($O993="","",SUMIFS($O$6:$O$2405,$A$6:$A$2405,"&lt;="&amp;$A993))</f>
        <v/>
      </c>
      <c r="Q993" s="57" t="str">
        <f aca="false">IF($O993="","",IF($P993&lt;=BankCostEnvelope*'5. Scenarios'!$D$7,1,0))</f>
        <v/>
      </c>
      <c r="R993" s="57" t="str">
        <f aca="false">IF($N993="","",INDEX(BookRate,988)*(1+'5. Scenarios'!$D$10)*(INDEX(BookQ1,988)*(5-MIN(4,1+'5. Scenarios'!$D$8))/4+INDEX(BookQ2,988)*(5-MIN(4,2+'5. Scenarios'!$D$8))/4+INDEX(BookQ3,988)*(5-MIN(4,3+'5. Scenarios'!$D$8))/4+INDEX(BookQ4,988)*(5-MIN(4,4+'5. Scenarios'!$D$8))/4)*'5. Scenarios'!$D$6/(1+ProductivityDefault*('5. Scenarios'!$D$11-1))+INDEX(BookOneOff,988)*$N993)</f>
        <v/>
      </c>
      <c r="S993" s="56" t="str">
        <f aca="false">IF(INDEX(BookTitle,988)="","",INDEX(BookTotal,988)*'5. Scenarios'!$E$6/(1+ProductivityDefault*('5. Scenarios'!$E$11-1)))</f>
        <v/>
      </c>
      <c r="T993" s="57" t="str">
        <f aca="false">IF($S993="","",INDEX(BookRate,988)*(1+'5. Scenarios'!$E$10)*$S993)</f>
        <v/>
      </c>
      <c r="U993" s="57" t="str">
        <f aca="false">IF($T993="","",SUMIFS($T$6:$T$2405,$A$6:$A$2405,"&lt;="&amp;$A993))</f>
        <v/>
      </c>
      <c r="V993" s="57" t="str">
        <f aca="false">IF($T993="","",IF($U993&lt;=BankCostEnvelope*'5. Scenarios'!$E$7,1,0))</f>
        <v/>
      </c>
      <c r="W993" s="57" t="str">
        <f aca="false">IF($S993="","",INDEX(BookRate,988)*(1+'5. Scenarios'!$E$10)*(INDEX(BookQ1,988)*(5-MIN(4,1+'5. Scenarios'!$E$8))/4+INDEX(BookQ2,988)*(5-MIN(4,2+'5. Scenarios'!$E$8))/4+INDEX(BookQ3,988)*(5-MIN(4,3+'5. Scenarios'!$E$8))/4+INDEX(BookQ4,988)*(5-MIN(4,4+'5. Scenarios'!$E$8))/4)*'5. Scenarios'!$E$6/(1+ProductivityDefault*('5. Scenarios'!$E$11-1))+INDEX(BookOneOff,988)*$S993)</f>
        <v/>
      </c>
    </row>
    <row r="994" customFormat="false" ht="15" hidden="false" customHeight="false" outlineLevel="0" collapsed="false">
      <c r="A994" s="0" t="str">
        <f aca="false">IF(INDEX(BookTitle,989)="","",INDEX(BookKey,989))</f>
        <v/>
      </c>
      <c r="B994" s="0" t="str">
        <f aca="false">IF(INDEX(BookTitle,989)="","",INDEX(BookGroup,989))</f>
        <v/>
      </c>
      <c r="C994" s="0" t="str">
        <f aca="false">IF(INDEX(BookTitle,989)="","",INDEX(BookCategory,989))</f>
        <v/>
      </c>
      <c r="D994" s="56" t="str">
        <f aca="false">IF(INDEX(BookTitle,989)="","",INDEX(BookTotal,989)*'5. Scenarios'!$B$6/(1+ProductivityDefault*('5. Scenarios'!$B$11-1)))</f>
        <v/>
      </c>
      <c r="E994" s="57" t="str">
        <f aca="false">IF($D994="","",INDEX(BookRate,989)*(1+'5. Scenarios'!$B$10)*$D994)</f>
        <v/>
      </c>
      <c r="F994" s="57" t="str">
        <f aca="false">IF($E994="","",SUMIFS($E$6:$E$2405,$A$6:$A$2405,"&lt;="&amp;$A994))</f>
        <v/>
      </c>
      <c r="G994" s="57" t="str">
        <f aca="false">IF($E994="","",IF($F994&lt;=BankCostEnvelope*'5. Scenarios'!$B$7,1,0))</f>
        <v/>
      </c>
      <c r="H994" s="57" t="str">
        <f aca="false">IF($D994="","",INDEX(BookRate,989)*(1+'5. Scenarios'!$B$10)*(INDEX(BookQ1,989)*(5-MIN(4,1+'5. Scenarios'!$B$8))/4+INDEX(BookQ2,989)*(5-MIN(4,2+'5. Scenarios'!$B$8))/4+INDEX(BookQ3,989)*(5-MIN(4,3+'5. Scenarios'!$B$8))/4+INDEX(BookQ4,989)*(5-MIN(4,4+'5. Scenarios'!$B$8))/4)*'5. Scenarios'!$B$6/(1+ProductivityDefault*('5. Scenarios'!$B$11-1))+INDEX(BookOneOff,989)*$D994)</f>
        <v/>
      </c>
      <c r="I994" s="56" t="str">
        <f aca="false">IF(INDEX(BookTitle,989)="","",INDEX(BookTotal,989)*'5. Scenarios'!$C$6/(1+ProductivityDefault*('5. Scenarios'!$C$11-1)))</f>
        <v/>
      </c>
      <c r="J994" s="57" t="str">
        <f aca="false">IF($I994="","",INDEX(BookRate,989)*(1+'5. Scenarios'!$C$10)*$I994)</f>
        <v/>
      </c>
      <c r="K994" s="57" t="str">
        <f aca="false">IF($J994="","",SUMIFS($J$6:$J$2405,$A$6:$A$2405,"&lt;="&amp;$A994))</f>
        <v/>
      </c>
      <c r="L994" s="57" t="str">
        <f aca="false">IF($J994="","",IF($K994&lt;=BankCostEnvelope*'5. Scenarios'!$C$7,1,0))</f>
        <v/>
      </c>
      <c r="M994" s="57" t="str">
        <f aca="false">IF($I994="","",INDEX(BookRate,989)*(1+'5. Scenarios'!$C$10)*(INDEX(BookQ1,989)*(5-MIN(4,1+'5. Scenarios'!$C$8))/4+INDEX(BookQ2,989)*(5-MIN(4,2+'5. Scenarios'!$C$8))/4+INDEX(BookQ3,989)*(5-MIN(4,3+'5. Scenarios'!$C$8))/4+INDEX(BookQ4,989)*(5-MIN(4,4+'5. Scenarios'!$C$8))/4)*'5. Scenarios'!$C$6/(1+ProductivityDefault*('5. Scenarios'!$C$11-1))+INDEX(BookOneOff,989)*$I994)</f>
        <v/>
      </c>
      <c r="N994" s="56" t="str">
        <f aca="false">IF(INDEX(BookTitle,989)="","",INDEX(BookTotal,989)*'5. Scenarios'!$D$6/(1+ProductivityDefault*('5. Scenarios'!$D$11-1)))</f>
        <v/>
      </c>
      <c r="O994" s="57" t="str">
        <f aca="false">IF($N994="","",INDEX(BookRate,989)*(1+'5. Scenarios'!$D$10)*$N994)</f>
        <v/>
      </c>
      <c r="P994" s="57" t="str">
        <f aca="false">IF($O994="","",SUMIFS($O$6:$O$2405,$A$6:$A$2405,"&lt;="&amp;$A994))</f>
        <v/>
      </c>
      <c r="Q994" s="57" t="str">
        <f aca="false">IF($O994="","",IF($P994&lt;=BankCostEnvelope*'5. Scenarios'!$D$7,1,0))</f>
        <v/>
      </c>
      <c r="R994" s="57" t="str">
        <f aca="false">IF($N994="","",INDEX(BookRate,989)*(1+'5. Scenarios'!$D$10)*(INDEX(BookQ1,989)*(5-MIN(4,1+'5. Scenarios'!$D$8))/4+INDEX(BookQ2,989)*(5-MIN(4,2+'5. Scenarios'!$D$8))/4+INDEX(BookQ3,989)*(5-MIN(4,3+'5. Scenarios'!$D$8))/4+INDEX(BookQ4,989)*(5-MIN(4,4+'5. Scenarios'!$D$8))/4)*'5. Scenarios'!$D$6/(1+ProductivityDefault*('5. Scenarios'!$D$11-1))+INDEX(BookOneOff,989)*$N994)</f>
        <v/>
      </c>
      <c r="S994" s="56" t="str">
        <f aca="false">IF(INDEX(BookTitle,989)="","",INDEX(BookTotal,989)*'5. Scenarios'!$E$6/(1+ProductivityDefault*('5. Scenarios'!$E$11-1)))</f>
        <v/>
      </c>
      <c r="T994" s="57" t="str">
        <f aca="false">IF($S994="","",INDEX(BookRate,989)*(1+'5. Scenarios'!$E$10)*$S994)</f>
        <v/>
      </c>
      <c r="U994" s="57" t="str">
        <f aca="false">IF($T994="","",SUMIFS($T$6:$T$2405,$A$6:$A$2405,"&lt;="&amp;$A994))</f>
        <v/>
      </c>
      <c r="V994" s="57" t="str">
        <f aca="false">IF($T994="","",IF($U994&lt;=BankCostEnvelope*'5. Scenarios'!$E$7,1,0))</f>
        <v/>
      </c>
      <c r="W994" s="57" t="str">
        <f aca="false">IF($S994="","",INDEX(BookRate,989)*(1+'5. Scenarios'!$E$10)*(INDEX(BookQ1,989)*(5-MIN(4,1+'5. Scenarios'!$E$8))/4+INDEX(BookQ2,989)*(5-MIN(4,2+'5. Scenarios'!$E$8))/4+INDEX(BookQ3,989)*(5-MIN(4,3+'5. Scenarios'!$E$8))/4+INDEX(BookQ4,989)*(5-MIN(4,4+'5. Scenarios'!$E$8))/4)*'5. Scenarios'!$E$6/(1+ProductivityDefault*('5. Scenarios'!$E$11-1))+INDEX(BookOneOff,989)*$S994)</f>
        <v/>
      </c>
    </row>
    <row r="995" customFormat="false" ht="15" hidden="false" customHeight="false" outlineLevel="0" collapsed="false">
      <c r="A995" s="0" t="str">
        <f aca="false">IF(INDEX(BookTitle,990)="","",INDEX(BookKey,990))</f>
        <v/>
      </c>
      <c r="B995" s="0" t="str">
        <f aca="false">IF(INDEX(BookTitle,990)="","",INDEX(BookGroup,990))</f>
        <v/>
      </c>
      <c r="C995" s="0" t="str">
        <f aca="false">IF(INDEX(BookTitle,990)="","",INDEX(BookCategory,990))</f>
        <v/>
      </c>
      <c r="D995" s="56" t="str">
        <f aca="false">IF(INDEX(BookTitle,990)="","",INDEX(BookTotal,990)*'5. Scenarios'!$B$6/(1+ProductivityDefault*('5. Scenarios'!$B$11-1)))</f>
        <v/>
      </c>
      <c r="E995" s="57" t="str">
        <f aca="false">IF($D995="","",INDEX(BookRate,990)*(1+'5. Scenarios'!$B$10)*$D995)</f>
        <v/>
      </c>
      <c r="F995" s="57" t="str">
        <f aca="false">IF($E995="","",SUMIFS($E$6:$E$2405,$A$6:$A$2405,"&lt;="&amp;$A995))</f>
        <v/>
      </c>
      <c r="G995" s="57" t="str">
        <f aca="false">IF($E995="","",IF($F995&lt;=BankCostEnvelope*'5. Scenarios'!$B$7,1,0))</f>
        <v/>
      </c>
      <c r="H995" s="57" t="str">
        <f aca="false">IF($D995="","",INDEX(BookRate,990)*(1+'5. Scenarios'!$B$10)*(INDEX(BookQ1,990)*(5-MIN(4,1+'5. Scenarios'!$B$8))/4+INDEX(BookQ2,990)*(5-MIN(4,2+'5. Scenarios'!$B$8))/4+INDEX(BookQ3,990)*(5-MIN(4,3+'5. Scenarios'!$B$8))/4+INDEX(BookQ4,990)*(5-MIN(4,4+'5. Scenarios'!$B$8))/4)*'5. Scenarios'!$B$6/(1+ProductivityDefault*('5. Scenarios'!$B$11-1))+INDEX(BookOneOff,990)*$D995)</f>
        <v/>
      </c>
      <c r="I995" s="56" t="str">
        <f aca="false">IF(INDEX(BookTitle,990)="","",INDEX(BookTotal,990)*'5. Scenarios'!$C$6/(1+ProductivityDefault*('5. Scenarios'!$C$11-1)))</f>
        <v/>
      </c>
      <c r="J995" s="57" t="str">
        <f aca="false">IF($I995="","",INDEX(BookRate,990)*(1+'5. Scenarios'!$C$10)*$I995)</f>
        <v/>
      </c>
      <c r="K995" s="57" t="str">
        <f aca="false">IF($J995="","",SUMIFS($J$6:$J$2405,$A$6:$A$2405,"&lt;="&amp;$A995))</f>
        <v/>
      </c>
      <c r="L995" s="57" t="str">
        <f aca="false">IF($J995="","",IF($K995&lt;=BankCostEnvelope*'5. Scenarios'!$C$7,1,0))</f>
        <v/>
      </c>
      <c r="M995" s="57" t="str">
        <f aca="false">IF($I995="","",INDEX(BookRate,990)*(1+'5. Scenarios'!$C$10)*(INDEX(BookQ1,990)*(5-MIN(4,1+'5. Scenarios'!$C$8))/4+INDEX(BookQ2,990)*(5-MIN(4,2+'5. Scenarios'!$C$8))/4+INDEX(BookQ3,990)*(5-MIN(4,3+'5. Scenarios'!$C$8))/4+INDEX(BookQ4,990)*(5-MIN(4,4+'5. Scenarios'!$C$8))/4)*'5. Scenarios'!$C$6/(1+ProductivityDefault*('5. Scenarios'!$C$11-1))+INDEX(BookOneOff,990)*$I995)</f>
        <v/>
      </c>
      <c r="N995" s="56" t="str">
        <f aca="false">IF(INDEX(BookTitle,990)="","",INDEX(BookTotal,990)*'5. Scenarios'!$D$6/(1+ProductivityDefault*('5. Scenarios'!$D$11-1)))</f>
        <v/>
      </c>
      <c r="O995" s="57" t="str">
        <f aca="false">IF($N995="","",INDEX(BookRate,990)*(1+'5. Scenarios'!$D$10)*$N995)</f>
        <v/>
      </c>
      <c r="P995" s="57" t="str">
        <f aca="false">IF($O995="","",SUMIFS($O$6:$O$2405,$A$6:$A$2405,"&lt;="&amp;$A995))</f>
        <v/>
      </c>
      <c r="Q995" s="57" t="str">
        <f aca="false">IF($O995="","",IF($P995&lt;=BankCostEnvelope*'5. Scenarios'!$D$7,1,0))</f>
        <v/>
      </c>
      <c r="R995" s="57" t="str">
        <f aca="false">IF($N995="","",INDEX(BookRate,990)*(1+'5. Scenarios'!$D$10)*(INDEX(BookQ1,990)*(5-MIN(4,1+'5. Scenarios'!$D$8))/4+INDEX(BookQ2,990)*(5-MIN(4,2+'5. Scenarios'!$D$8))/4+INDEX(BookQ3,990)*(5-MIN(4,3+'5. Scenarios'!$D$8))/4+INDEX(BookQ4,990)*(5-MIN(4,4+'5. Scenarios'!$D$8))/4)*'5. Scenarios'!$D$6/(1+ProductivityDefault*('5. Scenarios'!$D$11-1))+INDEX(BookOneOff,990)*$N995)</f>
        <v/>
      </c>
      <c r="S995" s="56" t="str">
        <f aca="false">IF(INDEX(BookTitle,990)="","",INDEX(BookTotal,990)*'5. Scenarios'!$E$6/(1+ProductivityDefault*('5. Scenarios'!$E$11-1)))</f>
        <v/>
      </c>
      <c r="T995" s="57" t="str">
        <f aca="false">IF($S995="","",INDEX(BookRate,990)*(1+'5. Scenarios'!$E$10)*$S995)</f>
        <v/>
      </c>
      <c r="U995" s="57" t="str">
        <f aca="false">IF($T995="","",SUMIFS($T$6:$T$2405,$A$6:$A$2405,"&lt;="&amp;$A995))</f>
        <v/>
      </c>
      <c r="V995" s="57" t="str">
        <f aca="false">IF($T995="","",IF($U995&lt;=BankCostEnvelope*'5. Scenarios'!$E$7,1,0))</f>
        <v/>
      </c>
      <c r="W995" s="57" t="str">
        <f aca="false">IF($S995="","",INDEX(BookRate,990)*(1+'5. Scenarios'!$E$10)*(INDEX(BookQ1,990)*(5-MIN(4,1+'5. Scenarios'!$E$8))/4+INDEX(BookQ2,990)*(5-MIN(4,2+'5. Scenarios'!$E$8))/4+INDEX(BookQ3,990)*(5-MIN(4,3+'5. Scenarios'!$E$8))/4+INDEX(BookQ4,990)*(5-MIN(4,4+'5. Scenarios'!$E$8))/4)*'5. Scenarios'!$E$6/(1+ProductivityDefault*('5. Scenarios'!$E$11-1))+INDEX(BookOneOff,990)*$S995)</f>
        <v/>
      </c>
    </row>
    <row r="996" customFormat="false" ht="15" hidden="false" customHeight="false" outlineLevel="0" collapsed="false">
      <c r="A996" s="0" t="str">
        <f aca="false">IF(INDEX(BookTitle,991)="","",INDEX(BookKey,991))</f>
        <v/>
      </c>
      <c r="B996" s="0" t="str">
        <f aca="false">IF(INDEX(BookTitle,991)="","",INDEX(BookGroup,991))</f>
        <v/>
      </c>
      <c r="C996" s="0" t="str">
        <f aca="false">IF(INDEX(BookTitle,991)="","",INDEX(BookCategory,991))</f>
        <v/>
      </c>
      <c r="D996" s="56" t="str">
        <f aca="false">IF(INDEX(BookTitle,991)="","",INDEX(BookTotal,991)*'5. Scenarios'!$B$6/(1+ProductivityDefault*('5. Scenarios'!$B$11-1)))</f>
        <v/>
      </c>
      <c r="E996" s="57" t="str">
        <f aca="false">IF($D996="","",INDEX(BookRate,991)*(1+'5. Scenarios'!$B$10)*$D996)</f>
        <v/>
      </c>
      <c r="F996" s="57" t="str">
        <f aca="false">IF($E996="","",SUMIFS($E$6:$E$2405,$A$6:$A$2405,"&lt;="&amp;$A996))</f>
        <v/>
      </c>
      <c r="G996" s="57" t="str">
        <f aca="false">IF($E996="","",IF($F996&lt;=BankCostEnvelope*'5. Scenarios'!$B$7,1,0))</f>
        <v/>
      </c>
      <c r="H996" s="57" t="str">
        <f aca="false">IF($D996="","",INDEX(BookRate,991)*(1+'5. Scenarios'!$B$10)*(INDEX(BookQ1,991)*(5-MIN(4,1+'5. Scenarios'!$B$8))/4+INDEX(BookQ2,991)*(5-MIN(4,2+'5. Scenarios'!$B$8))/4+INDEX(BookQ3,991)*(5-MIN(4,3+'5. Scenarios'!$B$8))/4+INDEX(BookQ4,991)*(5-MIN(4,4+'5. Scenarios'!$B$8))/4)*'5. Scenarios'!$B$6/(1+ProductivityDefault*('5. Scenarios'!$B$11-1))+INDEX(BookOneOff,991)*$D996)</f>
        <v/>
      </c>
      <c r="I996" s="56" t="str">
        <f aca="false">IF(INDEX(BookTitle,991)="","",INDEX(BookTotal,991)*'5. Scenarios'!$C$6/(1+ProductivityDefault*('5. Scenarios'!$C$11-1)))</f>
        <v/>
      </c>
      <c r="J996" s="57" t="str">
        <f aca="false">IF($I996="","",INDEX(BookRate,991)*(1+'5. Scenarios'!$C$10)*$I996)</f>
        <v/>
      </c>
      <c r="K996" s="57" t="str">
        <f aca="false">IF($J996="","",SUMIFS($J$6:$J$2405,$A$6:$A$2405,"&lt;="&amp;$A996))</f>
        <v/>
      </c>
      <c r="L996" s="57" t="str">
        <f aca="false">IF($J996="","",IF($K996&lt;=BankCostEnvelope*'5. Scenarios'!$C$7,1,0))</f>
        <v/>
      </c>
      <c r="M996" s="57" t="str">
        <f aca="false">IF($I996="","",INDEX(BookRate,991)*(1+'5. Scenarios'!$C$10)*(INDEX(BookQ1,991)*(5-MIN(4,1+'5. Scenarios'!$C$8))/4+INDEX(BookQ2,991)*(5-MIN(4,2+'5. Scenarios'!$C$8))/4+INDEX(BookQ3,991)*(5-MIN(4,3+'5. Scenarios'!$C$8))/4+INDEX(BookQ4,991)*(5-MIN(4,4+'5. Scenarios'!$C$8))/4)*'5. Scenarios'!$C$6/(1+ProductivityDefault*('5. Scenarios'!$C$11-1))+INDEX(BookOneOff,991)*$I996)</f>
        <v/>
      </c>
      <c r="N996" s="56" t="str">
        <f aca="false">IF(INDEX(BookTitle,991)="","",INDEX(BookTotal,991)*'5. Scenarios'!$D$6/(1+ProductivityDefault*('5. Scenarios'!$D$11-1)))</f>
        <v/>
      </c>
      <c r="O996" s="57" t="str">
        <f aca="false">IF($N996="","",INDEX(BookRate,991)*(1+'5. Scenarios'!$D$10)*$N996)</f>
        <v/>
      </c>
      <c r="P996" s="57" t="str">
        <f aca="false">IF($O996="","",SUMIFS($O$6:$O$2405,$A$6:$A$2405,"&lt;="&amp;$A996))</f>
        <v/>
      </c>
      <c r="Q996" s="57" t="str">
        <f aca="false">IF($O996="","",IF($P996&lt;=BankCostEnvelope*'5. Scenarios'!$D$7,1,0))</f>
        <v/>
      </c>
      <c r="R996" s="57" t="str">
        <f aca="false">IF($N996="","",INDEX(BookRate,991)*(1+'5. Scenarios'!$D$10)*(INDEX(BookQ1,991)*(5-MIN(4,1+'5. Scenarios'!$D$8))/4+INDEX(BookQ2,991)*(5-MIN(4,2+'5. Scenarios'!$D$8))/4+INDEX(BookQ3,991)*(5-MIN(4,3+'5. Scenarios'!$D$8))/4+INDEX(BookQ4,991)*(5-MIN(4,4+'5. Scenarios'!$D$8))/4)*'5. Scenarios'!$D$6/(1+ProductivityDefault*('5. Scenarios'!$D$11-1))+INDEX(BookOneOff,991)*$N996)</f>
        <v/>
      </c>
      <c r="S996" s="56" t="str">
        <f aca="false">IF(INDEX(BookTitle,991)="","",INDEX(BookTotal,991)*'5. Scenarios'!$E$6/(1+ProductivityDefault*('5. Scenarios'!$E$11-1)))</f>
        <v/>
      </c>
      <c r="T996" s="57" t="str">
        <f aca="false">IF($S996="","",INDEX(BookRate,991)*(1+'5. Scenarios'!$E$10)*$S996)</f>
        <v/>
      </c>
      <c r="U996" s="57" t="str">
        <f aca="false">IF($T996="","",SUMIFS($T$6:$T$2405,$A$6:$A$2405,"&lt;="&amp;$A996))</f>
        <v/>
      </c>
      <c r="V996" s="57" t="str">
        <f aca="false">IF($T996="","",IF($U996&lt;=BankCostEnvelope*'5. Scenarios'!$E$7,1,0))</f>
        <v/>
      </c>
      <c r="W996" s="57" t="str">
        <f aca="false">IF($S996="","",INDEX(BookRate,991)*(1+'5. Scenarios'!$E$10)*(INDEX(BookQ1,991)*(5-MIN(4,1+'5. Scenarios'!$E$8))/4+INDEX(BookQ2,991)*(5-MIN(4,2+'5. Scenarios'!$E$8))/4+INDEX(BookQ3,991)*(5-MIN(4,3+'5. Scenarios'!$E$8))/4+INDEX(BookQ4,991)*(5-MIN(4,4+'5. Scenarios'!$E$8))/4)*'5. Scenarios'!$E$6/(1+ProductivityDefault*('5. Scenarios'!$E$11-1))+INDEX(BookOneOff,991)*$S996)</f>
        <v/>
      </c>
    </row>
    <row r="997" customFormat="false" ht="15" hidden="false" customHeight="false" outlineLevel="0" collapsed="false">
      <c r="A997" s="0" t="str">
        <f aca="false">IF(INDEX(BookTitle,992)="","",INDEX(BookKey,992))</f>
        <v/>
      </c>
      <c r="B997" s="0" t="str">
        <f aca="false">IF(INDEX(BookTitle,992)="","",INDEX(BookGroup,992))</f>
        <v/>
      </c>
      <c r="C997" s="0" t="str">
        <f aca="false">IF(INDEX(BookTitle,992)="","",INDEX(BookCategory,992))</f>
        <v/>
      </c>
      <c r="D997" s="56" t="str">
        <f aca="false">IF(INDEX(BookTitle,992)="","",INDEX(BookTotal,992)*'5. Scenarios'!$B$6/(1+ProductivityDefault*('5. Scenarios'!$B$11-1)))</f>
        <v/>
      </c>
      <c r="E997" s="57" t="str">
        <f aca="false">IF($D997="","",INDEX(BookRate,992)*(1+'5. Scenarios'!$B$10)*$D997)</f>
        <v/>
      </c>
      <c r="F997" s="57" t="str">
        <f aca="false">IF($E997="","",SUMIFS($E$6:$E$2405,$A$6:$A$2405,"&lt;="&amp;$A997))</f>
        <v/>
      </c>
      <c r="G997" s="57" t="str">
        <f aca="false">IF($E997="","",IF($F997&lt;=BankCostEnvelope*'5. Scenarios'!$B$7,1,0))</f>
        <v/>
      </c>
      <c r="H997" s="57" t="str">
        <f aca="false">IF($D997="","",INDEX(BookRate,992)*(1+'5. Scenarios'!$B$10)*(INDEX(BookQ1,992)*(5-MIN(4,1+'5. Scenarios'!$B$8))/4+INDEX(BookQ2,992)*(5-MIN(4,2+'5. Scenarios'!$B$8))/4+INDEX(BookQ3,992)*(5-MIN(4,3+'5. Scenarios'!$B$8))/4+INDEX(BookQ4,992)*(5-MIN(4,4+'5. Scenarios'!$B$8))/4)*'5. Scenarios'!$B$6/(1+ProductivityDefault*('5. Scenarios'!$B$11-1))+INDEX(BookOneOff,992)*$D997)</f>
        <v/>
      </c>
      <c r="I997" s="56" t="str">
        <f aca="false">IF(INDEX(BookTitle,992)="","",INDEX(BookTotal,992)*'5. Scenarios'!$C$6/(1+ProductivityDefault*('5. Scenarios'!$C$11-1)))</f>
        <v/>
      </c>
      <c r="J997" s="57" t="str">
        <f aca="false">IF($I997="","",INDEX(BookRate,992)*(1+'5. Scenarios'!$C$10)*$I997)</f>
        <v/>
      </c>
      <c r="K997" s="57" t="str">
        <f aca="false">IF($J997="","",SUMIFS($J$6:$J$2405,$A$6:$A$2405,"&lt;="&amp;$A997))</f>
        <v/>
      </c>
      <c r="L997" s="57" t="str">
        <f aca="false">IF($J997="","",IF($K997&lt;=BankCostEnvelope*'5. Scenarios'!$C$7,1,0))</f>
        <v/>
      </c>
      <c r="M997" s="57" t="str">
        <f aca="false">IF($I997="","",INDEX(BookRate,992)*(1+'5. Scenarios'!$C$10)*(INDEX(BookQ1,992)*(5-MIN(4,1+'5. Scenarios'!$C$8))/4+INDEX(BookQ2,992)*(5-MIN(4,2+'5. Scenarios'!$C$8))/4+INDEX(BookQ3,992)*(5-MIN(4,3+'5. Scenarios'!$C$8))/4+INDEX(BookQ4,992)*(5-MIN(4,4+'5. Scenarios'!$C$8))/4)*'5. Scenarios'!$C$6/(1+ProductivityDefault*('5. Scenarios'!$C$11-1))+INDEX(BookOneOff,992)*$I997)</f>
        <v/>
      </c>
      <c r="N997" s="56" t="str">
        <f aca="false">IF(INDEX(BookTitle,992)="","",INDEX(BookTotal,992)*'5. Scenarios'!$D$6/(1+ProductivityDefault*('5. Scenarios'!$D$11-1)))</f>
        <v/>
      </c>
      <c r="O997" s="57" t="str">
        <f aca="false">IF($N997="","",INDEX(BookRate,992)*(1+'5. Scenarios'!$D$10)*$N997)</f>
        <v/>
      </c>
      <c r="P997" s="57" t="str">
        <f aca="false">IF($O997="","",SUMIFS($O$6:$O$2405,$A$6:$A$2405,"&lt;="&amp;$A997))</f>
        <v/>
      </c>
      <c r="Q997" s="57" t="str">
        <f aca="false">IF($O997="","",IF($P997&lt;=BankCostEnvelope*'5. Scenarios'!$D$7,1,0))</f>
        <v/>
      </c>
      <c r="R997" s="57" t="str">
        <f aca="false">IF($N997="","",INDEX(BookRate,992)*(1+'5. Scenarios'!$D$10)*(INDEX(BookQ1,992)*(5-MIN(4,1+'5. Scenarios'!$D$8))/4+INDEX(BookQ2,992)*(5-MIN(4,2+'5. Scenarios'!$D$8))/4+INDEX(BookQ3,992)*(5-MIN(4,3+'5. Scenarios'!$D$8))/4+INDEX(BookQ4,992)*(5-MIN(4,4+'5. Scenarios'!$D$8))/4)*'5. Scenarios'!$D$6/(1+ProductivityDefault*('5. Scenarios'!$D$11-1))+INDEX(BookOneOff,992)*$N997)</f>
        <v/>
      </c>
      <c r="S997" s="56" t="str">
        <f aca="false">IF(INDEX(BookTitle,992)="","",INDEX(BookTotal,992)*'5. Scenarios'!$E$6/(1+ProductivityDefault*('5. Scenarios'!$E$11-1)))</f>
        <v/>
      </c>
      <c r="T997" s="57" t="str">
        <f aca="false">IF($S997="","",INDEX(BookRate,992)*(1+'5. Scenarios'!$E$10)*$S997)</f>
        <v/>
      </c>
      <c r="U997" s="57" t="str">
        <f aca="false">IF($T997="","",SUMIFS($T$6:$T$2405,$A$6:$A$2405,"&lt;="&amp;$A997))</f>
        <v/>
      </c>
      <c r="V997" s="57" t="str">
        <f aca="false">IF($T997="","",IF($U997&lt;=BankCostEnvelope*'5. Scenarios'!$E$7,1,0))</f>
        <v/>
      </c>
      <c r="W997" s="57" t="str">
        <f aca="false">IF($S997="","",INDEX(BookRate,992)*(1+'5. Scenarios'!$E$10)*(INDEX(BookQ1,992)*(5-MIN(4,1+'5. Scenarios'!$E$8))/4+INDEX(BookQ2,992)*(5-MIN(4,2+'5. Scenarios'!$E$8))/4+INDEX(BookQ3,992)*(5-MIN(4,3+'5. Scenarios'!$E$8))/4+INDEX(BookQ4,992)*(5-MIN(4,4+'5. Scenarios'!$E$8))/4)*'5. Scenarios'!$E$6/(1+ProductivityDefault*('5. Scenarios'!$E$11-1))+INDEX(BookOneOff,992)*$S997)</f>
        <v/>
      </c>
    </row>
    <row r="998" customFormat="false" ht="15" hidden="false" customHeight="false" outlineLevel="0" collapsed="false">
      <c r="A998" s="0" t="str">
        <f aca="false">IF(INDEX(BookTitle,993)="","",INDEX(BookKey,993))</f>
        <v/>
      </c>
      <c r="B998" s="0" t="str">
        <f aca="false">IF(INDEX(BookTitle,993)="","",INDEX(BookGroup,993))</f>
        <v/>
      </c>
      <c r="C998" s="0" t="str">
        <f aca="false">IF(INDEX(BookTitle,993)="","",INDEX(BookCategory,993))</f>
        <v/>
      </c>
      <c r="D998" s="56" t="str">
        <f aca="false">IF(INDEX(BookTitle,993)="","",INDEX(BookTotal,993)*'5. Scenarios'!$B$6/(1+ProductivityDefault*('5. Scenarios'!$B$11-1)))</f>
        <v/>
      </c>
      <c r="E998" s="57" t="str">
        <f aca="false">IF($D998="","",INDEX(BookRate,993)*(1+'5. Scenarios'!$B$10)*$D998)</f>
        <v/>
      </c>
      <c r="F998" s="57" t="str">
        <f aca="false">IF($E998="","",SUMIFS($E$6:$E$2405,$A$6:$A$2405,"&lt;="&amp;$A998))</f>
        <v/>
      </c>
      <c r="G998" s="57" t="str">
        <f aca="false">IF($E998="","",IF($F998&lt;=BankCostEnvelope*'5. Scenarios'!$B$7,1,0))</f>
        <v/>
      </c>
      <c r="H998" s="57" t="str">
        <f aca="false">IF($D998="","",INDEX(BookRate,993)*(1+'5. Scenarios'!$B$10)*(INDEX(BookQ1,993)*(5-MIN(4,1+'5. Scenarios'!$B$8))/4+INDEX(BookQ2,993)*(5-MIN(4,2+'5. Scenarios'!$B$8))/4+INDEX(BookQ3,993)*(5-MIN(4,3+'5. Scenarios'!$B$8))/4+INDEX(BookQ4,993)*(5-MIN(4,4+'5. Scenarios'!$B$8))/4)*'5. Scenarios'!$B$6/(1+ProductivityDefault*('5. Scenarios'!$B$11-1))+INDEX(BookOneOff,993)*$D998)</f>
        <v/>
      </c>
      <c r="I998" s="56" t="str">
        <f aca="false">IF(INDEX(BookTitle,993)="","",INDEX(BookTotal,993)*'5. Scenarios'!$C$6/(1+ProductivityDefault*('5. Scenarios'!$C$11-1)))</f>
        <v/>
      </c>
      <c r="J998" s="57" t="str">
        <f aca="false">IF($I998="","",INDEX(BookRate,993)*(1+'5. Scenarios'!$C$10)*$I998)</f>
        <v/>
      </c>
      <c r="K998" s="57" t="str">
        <f aca="false">IF($J998="","",SUMIFS($J$6:$J$2405,$A$6:$A$2405,"&lt;="&amp;$A998))</f>
        <v/>
      </c>
      <c r="L998" s="57" t="str">
        <f aca="false">IF($J998="","",IF($K998&lt;=BankCostEnvelope*'5. Scenarios'!$C$7,1,0))</f>
        <v/>
      </c>
      <c r="M998" s="57" t="str">
        <f aca="false">IF($I998="","",INDEX(BookRate,993)*(1+'5. Scenarios'!$C$10)*(INDEX(BookQ1,993)*(5-MIN(4,1+'5. Scenarios'!$C$8))/4+INDEX(BookQ2,993)*(5-MIN(4,2+'5. Scenarios'!$C$8))/4+INDEX(BookQ3,993)*(5-MIN(4,3+'5. Scenarios'!$C$8))/4+INDEX(BookQ4,993)*(5-MIN(4,4+'5. Scenarios'!$C$8))/4)*'5. Scenarios'!$C$6/(1+ProductivityDefault*('5. Scenarios'!$C$11-1))+INDEX(BookOneOff,993)*$I998)</f>
        <v/>
      </c>
      <c r="N998" s="56" t="str">
        <f aca="false">IF(INDEX(BookTitle,993)="","",INDEX(BookTotal,993)*'5. Scenarios'!$D$6/(1+ProductivityDefault*('5. Scenarios'!$D$11-1)))</f>
        <v/>
      </c>
      <c r="O998" s="57" t="str">
        <f aca="false">IF($N998="","",INDEX(BookRate,993)*(1+'5. Scenarios'!$D$10)*$N998)</f>
        <v/>
      </c>
      <c r="P998" s="57" t="str">
        <f aca="false">IF($O998="","",SUMIFS($O$6:$O$2405,$A$6:$A$2405,"&lt;="&amp;$A998))</f>
        <v/>
      </c>
      <c r="Q998" s="57" t="str">
        <f aca="false">IF($O998="","",IF($P998&lt;=BankCostEnvelope*'5. Scenarios'!$D$7,1,0))</f>
        <v/>
      </c>
      <c r="R998" s="57" t="str">
        <f aca="false">IF($N998="","",INDEX(BookRate,993)*(1+'5. Scenarios'!$D$10)*(INDEX(BookQ1,993)*(5-MIN(4,1+'5. Scenarios'!$D$8))/4+INDEX(BookQ2,993)*(5-MIN(4,2+'5. Scenarios'!$D$8))/4+INDEX(BookQ3,993)*(5-MIN(4,3+'5. Scenarios'!$D$8))/4+INDEX(BookQ4,993)*(5-MIN(4,4+'5. Scenarios'!$D$8))/4)*'5. Scenarios'!$D$6/(1+ProductivityDefault*('5. Scenarios'!$D$11-1))+INDEX(BookOneOff,993)*$N998)</f>
        <v/>
      </c>
      <c r="S998" s="56" t="str">
        <f aca="false">IF(INDEX(BookTitle,993)="","",INDEX(BookTotal,993)*'5. Scenarios'!$E$6/(1+ProductivityDefault*('5. Scenarios'!$E$11-1)))</f>
        <v/>
      </c>
      <c r="T998" s="57" t="str">
        <f aca="false">IF($S998="","",INDEX(BookRate,993)*(1+'5. Scenarios'!$E$10)*$S998)</f>
        <v/>
      </c>
      <c r="U998" s="57" t="str">
        <f aca="false">IF($T998="","",SUMIFS($T$6:$T$2405,$A$6:$A$2405,"&lt;="&amp;$A998))</f>
        <v/>
      </c>
      <c r="V998" s="57" t="str">
        <f aca="false">IF($T998="","",IF($U998&lt;=BankCostEnvelope*'5. Scenarios'!$E$7,1,0))</f>
        <v/>
      </c>
      <c r="W998" s="57" t="str">
        <f aca="false">IF($S998="","",INDEX(BookRate,993)*(1+'5. Scenarios'!$E$10)*(INDEX(BookQ1,993)*(5-MIN(4,1+'5. Scenarios'!$E$8))/4+INDEX(BookQ2,993)*(5-MIN(4,2+'5. Scenarios'!$E$8))/4+INDEX(BookQ3,993)*(5-MIN(4,3+'5. Scenarios'!$E$8))/4+INDEX(BookQ4,993)*(5-MIN(4,4+'5. Scenarios'!$E$8))/4)*'5. Scenarios'!$E$6/(1+ProductivityDefault*('5. Scenarios'!$E$11-1))+INDEX(BookOneOff,993)*$S998)</f>
        <v/>
      </c>
    </row>
    <row r="999" customFormat="false" ht="15" hidden="false" customHeight="false" outlineLevel="0" collapsed="false">
      <c r="A999" s="0" t="str">
        <f aca="false">IF(INDEX(BookTitle,994)="","",INDEX(BookKey,994))</f>
        <v/>
      </c>
      <c r="B999" s="0" t="str">
        <f aca="false">IF(INDEX(BookTitle,994)="","",INDEX(BookGroup,994))</f>
        <v/>
      </c>
      <c r="C999" s="0" t="str">
        <f aca="false">IF(INDEX(BookTitle,994)="","",INDEX(BookCategory,994))</f>
        <v/>
      </c>
      <c r="D999" s="56" t="str">
        <f aca="false">IF(INDEX(BookTitle,994)="","",INDEX(BookTotal,994)*'5. Scenarios'!$B$6/(1+ProductivityDefault*('5. Scenarios'!$B$11-1)))</f>
        <v/>
      </c>
      <c r="E999" s="57" t="str">
        <f aca="false">IF($D999="","",INDEX(BookRate,994)*(1+'5. Scenarios'!$B$10)*$D999)</f>
        <v/>
      </c>
      <c r="F999" s="57" t="str">
        <f aca="false">IF($E999="","",SUMIFS($E$6:$E$2405,$A$6:$A$2405,"&lt;="&amp;$A999))</f>
        <v/>
      </c>
      <c r="G999" s="57" t="str">
        <f aca="false">IF($E999="","",IF($F999&lt;=BankCostEnvelope*'5. Scenarios'!$B$7,1,0))</f>
        <v/>
      </c>
      <c r="H999" s="57" t="str">
        <f aca="false">IF($D999="","",INDEX(BookRate,994)*(1+'5. Scenarios'!$B$10)*(INDEX(BookQ1,994)*(5-MIN(4,1+'5. Scenarios'!$B$8))/4+INDEX(BookQ2,994)*(5-MIN(4,2+'5. Scenarios'!$B$8))/4+INDEX(BookQ3,994)*(5-MIN(4,3+'5. Scenarios'!$B$8))/4+INDEX(BookQ4,994)*(5-MIN(4,4+'5. Scenarios'!$B$8))/4)*'5. Scenarios'!$B$6/(1+ProductivityDefault*('5. Scenarios'!$B$11-1))+INDEX(BookOneOff,994)*$D999)</f>
        <v/>
      </c>
      <c r="I999" s="56" t="str">
        <f aca="false">IF(INDEX(BookTitle,994)="","",INDEX(BookTotal,994)*'5. Scenarios'!$C$6/(1+ProductivityDefault*('5. Scenarios'!$C$11-1)))</f>
        <v/>
      </c>
      <c r="J999" s="57" t="str">
        <f aca="false">IF($I999="","",INDEX(BookRate,994)*(1+'5. Scenarios'!$C$10)*$I999)</f>
        <v/>
      </c>
      <c r="K999" s="57" t="str">
        <f aca="false">IF($J999="","",SUMIFS($J$6:$J$2405,$A$6:$A$2405,"&lt;="&amp;$A999))</f>
        <v/>
      </c>
      <c r="L999" s="57" t="str">
        <f aca="false">IF($J999="","",IF($K999&lt;=BankCostEnvelope*'5. Scenarios'!$C$7,1,0))</f>
        <v/>
      </c>
      <c r="M999" s="57" t="str">
        <f aca="false">IF($I999="","",INDEX(BookRate,994)*(1+'5. Scenarios'!$C$10)*(INDEX(BookQ1,994)*(5-MIN(4,1+'5. Scenarios'!$C$8))/4+INDEX(BookQ2,994)*(5-MIN(4,2+'5. Scenarios'!$C$8))/4+INDEX(BookQ3,994)*(5-MIN(4,3+'5. Scenarios'!$C$8))/4+INDEX(BookQ4,994)*(5-MIN(4,4+'5. Scenarios'!$C$8))/4)*'5. Scenarios'!$C$6/(1+ProductivityDefault*('5. Scenarios'!$C$11-1))+INDEX(BookOneOff,994)*$I999)</f>
        <v/>
      </c>
      <c r="N999" s="56" t="str">
        <f aca="false">IF(INDEX(BookTitle,994)="","",INDEX(BookTotal,994)*'5. Scenarios'!$D$6/(1+ProductivityDefault*('5. Scenarios'!$D$11-1)))</f>
        <v/>
      </c>
      <c r="O999" s="57" t="str">
        <f aca="false">IF($N999="","",INDEX(BookRate,994)*(1+'5. Scenarios'!$D$10)*$N999)</f>
        <v/>
      </c>
      <c r="P999" s="57" t="str">
        <f aca="false">IF($O999="","",SUMIFS($O$6:$O$2405,$A$6:$A$2405,"&lt;="&amp;$A999))</f>
        <v/>
      </c>
      <c r="Q999" s="57" t="str">
        <f aca="false">IF($O999="","",IF($P999&lt;=BankCostEnvelope*'5. Scenarios'!$D$7,1,0))</f>
        <v/>
      </c>
      <c r="R999" s="57" t="str">
        <f aca="false">IF($N999="","",INDEX(BookRate,994)*(1+'5. Scenarios'!$D$10)*(INDEX(BookQ1,994)*(5-MIN(4,1+'5. Scenarios'!$D$8))/4+INDEX(BookQ2,994)*(5-MIN(4,2+'5. Scenarios'!$D$8))/4+INDEX(BookQ3,994)*(5-MIN(4,3+'5. Scenarios'!$D$8))/4+INDEX(BookQ4,994)*(5-MIN(4,4+'5. Scenarios'!$D$8))/4)*'5. Scenarios'!$D$6/(1+ProductivityDefault*('5. Scenarios'!$D$11-1))+INDEX(BookOneOff,994)*$N999)</f>
        <v/>
      </c>
      <c r="S999" s="56" t="str">
        <f aca="false">IF(INDEX(BookTitle,994)="","",INDEX(BookTotal,994)*'5. Scenarios'!$E$6/(1+ProductivityDefault*('5. Scenarios'!$E$11-1)))</f>
        <v/>
      </c>
      <c r="T999" s="57" t="str">
        <f aca="false">IF($S999="","",INDEX(BookRate,994)*(1+'5. Scenarios'!$E$10)*$S999)</f>
        <v/>
      </c>
      <c r="U999" s="57" t="str">
        <f aca="false">IF($T999="","",SUMIFS($T$6:$T$2405,$A$6:$A$2405,"&lt;="&amp;$A999))</f>
        <v/>
      </c>
      <c r="V999" s="57" t="str">
        <f aca="false">IF($T999="","",IF($U999&lt;=BankCostEnvelope*'5. Scenarios'!$E$7,1,0))</f>
        <v/>
      </c>
      <c r="W999" s="57" t="str">
        <f aca="false">IF($S999="","",INDEX(BookRate,994)*(1+'5. Scenarios'!$E$10)*(INDEX(BookQ1,994)*(5-MIN(4,1+'5. Scenarios'!$E$8))/4+INDEX(BookQ2,994)*(5-MIN(4,2+'5. Scenarios'!$E$8))/4+INDEX(BookQ3,994)*(5-MIN(4,3+'5. Scenarios'!$E$8))/4+INDEX(BookQ4,994)*(5-MIN(4,4+'5. Scenarios'!$E$8))/4)*'5. Scenarios'!$E$6/(1+ProductivityDefault*('5. Scenarios'!$E$11-1))+INDEX(BookOneOff,994)*$S999)</f>
        <v/>
      </c>
    </row>
    <row r="1000" customFormat="false" ht="15" hidden="false" customHeight="false" outlineLevel="0" collapsed="false">
      <c r="A1000" s="0" t="str">
        <f aca="false">IF(INDEX(BookTitle,995)="","",INDEX(BookKey,995))</f>
        <v/>
      </c>
      <c r="B1000" s="0" t="str">
        <f aca="false">IF(INDEX(BookTitle,995)="","",INDEX(BookGroup,995))</f>
        <v/>
      </c>
      <c r="C1000" s="0" t="str">
        <f aca="false">IF(INDEX(BookTitle,995)="","",INDEX(BookCategory,995))</f>
        <v/>
      </c>
      <c r="D1000" s="56" t="str">
        <f aca="false">IF(INDEX(BookTitle,995)="","",INDEX(BookTotal,995)*'5. Scenarios'!$B$6/(1+ProductivityDefault*('5. Scenarios'!$B$11-1)))</f>
        <v/>
      </c>
      <c r="E1000" s="57" t="str">
        <f aca="false">IF($D1000="","",INDEX(BookRate,995)*(1+'5. Scenarios'!$B$10)*$D1000)</f>
        <v/>
      </c>
      <c r="F1000" s="57" t="str">
        <f aca="false">IF($E1000="","",SUMIFS($E$6:$E$2405,$A$6:$A$2405,"&lt;="&amp;$A1000))</f>
        <v/>
      </c>
      <c r="G1000" s="57" t="str">
        <f aca="false">IF($E1000="","",IF($F1000&lt;=BankCostEnvelope*'5. Scenarios'!$B$7,1,0))</f>
        <v/>
      </c>
      <c r="H1000" s="57" t="str">
        <f aca="false">IF($D1000="","",INDEX(BookRate,995)*(1+'5. Scenarios'!$B$10)*(INDEX(BookQ1,995)*(5-MIN(4,1+'5. Scenarios'!$B$8))/4+INDEX(BookQ2,995)*(5-MIN(4,2+'5. Scenarios'!$B$8))/4+INDEX(BookQ3,995)*(5-MIN(4,3+'5. Scenarios'!$B$8))/4+INDEX(BookQ4,995)*(5-MIN(4,4+'5. Scenarios'!$B$8))/4)*'5. Scenarios'!$B$6/(1+ProductivityDefault*('5. Scenarios'!$B$11-1))+INDEX(BookOneOff,995)*$D1000)</f>
        <v/>
      </c>
      <c r="I1000" s="56" t="str">
        <f aca="false">IF(INDEX(BookTitle,995)="","",INDEX(BookTotal,995)*'5. Scenarios'!$C$6/(1+ProductivityDefault*('5. Scenarios'!$C$11-1)))</f>
        <v/>
      </c>
      <c r="J1000" s="57" t="str">
        <f aca="false">IF($I1000="","",INDEX(BookRate,995)*(1+'5. Scenarios'!$C$10)*$I1000)</f>
        <v/>
      </c>
      <c r="K1000" s="57" t="str">
        <f aca="false">IF($J1000="","",SUMIFS($J$6:$J$2405,$A$6:$A$2405,"&lt;="&amp;$A1000))</f>
        <v/>
      </c>
      <c r="L1000" s="57" t="str">
        <f aca="false">IF($J1000="","",IF($K1000&lt;=BankCostEnvelope*'5. Scenarios'!$C$7,1,0))</f>
        <v/>
      </c>
      <c r="M1000" s="57" t="str">
        <f aca="false">IF($I1000="","",INDEX(BookRate,995)*(1+'5. Scenarios'!$C$10)*(INDEX(BookQ1,995)*(5-MIN(4,1+'5. Scenarios'!$C$8))/4+INDEX(BookQ2,995)*(5-MIN(4,2+'5. Scenarios'!$C$8))/4+INDEX(BookQ3,995)*(5-MIN(4,3+'5. Scenarios'!$C$8))/4+INDEX(BookQ4,995)*(5-MIN(4,4+'5. Scenarios'!$C$8))/4)*'5. Scenarios'!$C$6/(1+ProductivityDefault*('5. Scenarios'!$C$11-1))+INDEX(BookOneOff,995)*$I1000)</f>
        <v/>
      </c>
      <c r="N1000" s="56" t="str">
        <f aca="false">IF(INDEX(BookTitle,995)="","",INDEX(BookTotal,995)*'5. Scenarios'!$D$6/(1+ProductivityDefault*('5. Scenarios'!$D$11-1)))</f>
        <v/>
      </c>
      <c r="O1000" s="57" t="str">
        <f aca="false">IF($N1000="","",INDEX(BookRate,995)*(1+'5. Scenarios'!$D$10)*$N1000)</f>
        <v/>
      </c>
      <c r="P1000" s="57" t="str">
        <f aca="false">IF($O1000="","",SUMIFS($O$6:$O$2405,$A$6:$A$2405,"&lt;="&amp;$A1000))</f>
        <v/>
      </c>
      <c r="Q1000" s="57" t="str">
        <f aca="false">IF($O1000="","",IF($P1000&lt;=BankCostEnvelope*'5. Scenarios'!$D$7,1,0))</f>
        <v/>
      </c>
      <c r="R1000" s="57" t="str">
        <f aca="false">IF($N1000="","",INDEX(BookRate,995)*(1+'5. Scenarios'!$D$10)*(INDEX(BookQ1,995)*(5-MIN(4,1+'5. Scenarios'!$D$8))/4+INDEX(BookQ2,995)*(5-MIN(4,2+'5. Scenarios'!$D$8))/4+INDEX(BookQ3,995)*(5-MIN(4,3+'5. Scenarios'!$D$8))/4+INDEX(BookQ4,995)*(5-MIN(4,4+'5. Scenarios'!$D$8))/4)*'5. Scenarios'!$D$6/(1+ProductivityDefault*('5. Scenarios'!$D$11-1))+INDEX(BookOneOff,995)*$N1000)</f>
        <v/>
      </c>
      <c r="S1000" s="56" t="str">
        <f aca="false">IF(INDEX(BookTitle,995)="","",INDEX(BookTotal,995)*'5. Scenarios'!$E$6/(1+ProductivityDefault*('5. Scenarios'!$E$11-1)))</f>
        <v/>
      </c>
      <c r="T1000" s="57" t="str">
        <f aca="false">IF($S1000="","",INDEX(BookRate,995)*(1+'5. Scenarios'!$E$10)*$S1000)</f>
        <v/>
      </c>
      <c r="U1000" s="57" t="str">
        <f aca="false">IF($T1000="","",SUMIFS($T$6:$T$2405,$A$6:$A$2405,"&lt;="&amp;$A1000))</f>
        <v/>
      </c>
      <c r="V1000" s="57" t="str">
        <f aca="false">IF($T1000="","",IF($U1000&lt;=BankCostEnvelope*'5. Scenarios'!$E$7,1,0))</f>
        <v/>
      </c>
      <c r="W1000" s="57" t="str">
        <f aca="false">IF($S1000="","",INDEX(BookRate,995)*(1+'5. Scenarios'!$E$10)*(INDEX(BookQ1,995)*(5-MIN(4,1+'5. Scenarios'!$E$8))/4+INDEX(BookQ2,995)*(5-MIN(4,2+'5. Scenarios'!$E$8))/4+INDEX(BookQ3,995)*(5-MIN(4,3+'5. Scenarios'!$E$8))/4+INDEX(BookQ4,995)*(5-MIN(4,4+'5. Scenarios'!$E$8))/4)*'5. Scenarios'!$E$6/(1+ProductivityDefault*('5. Scenarios'!$E$11-1))+INDEX(BookOneOff,995)*$S1000)</f>
        <v/>
      </c>
    </row>
    <row r="1001" customFormat="false" ht="15" hidden="false" customHeight="false" outlineLevel="0" collapsed="false">
      <c r="A1001" s="0" t="str">
        <f aca="false">IF(INDEX(BookTitle,996)="","",INDEX(BookKey,996))</f>
        <v/>
      </c>
      <c r="B1001" s="0" t="str">
        <f aca="false">IF(INDEX(BookTitle,996)="","",INDEX(BookGroup,996))</f>
        <v/>
      </c>
      <c r="C1001" s="0" t="str">
        <f aca="false">IF(INDEX(BookTitle,996)="","",INDEX(BookCategory,996))</f>
        <v/>
      </c>
      <c r="D1001" s="56" t="str">
        <f aca="false">IF(INDEX(BookTitle,996)="","",INDEX(BookTotal,996)*'5. Scenarios'!$B$6/(1+ProductivityDefault*('5. Scenarios'!$B$11-1)))</f>
        <v/>
      </c>
      <c r="E1001" s="57" t="str">
        <f aca="false">IF($D1001="","",INDEX(BookRate,996)*(1+'5. Scenarios'!$B$10)*$D1001)</f>
        <v/>
      </c>
      <c r="F1001" s="57" t="str">
        <f aca="false">IF($E1001="","",SUMIFS($E$6:$E$2405,$A$6:$A$2405,"&lt;="&amp;$A1001))</f>
        <v/>
      </c>
      <c r="G1001" s="57" t="str">
        <f aca="false">IF($E1001="","",IF($F1001&lt;=BankCostEnvelope*'5. Scenarios'!$B$7,1,0))</f>
        <v/>
      </c>
      <c r="H1001" s="57" t="str">
        <f aca="false">IF($D1001="","",INDEX(BookRate,996)*(1+'5. Scenarios'!$B$10)*(INDEX(BookQ1,996)*(5-MIN(4,1+'5. Scenarios'!$B$8))/4+INDEX(BookQ2,996)*(5-MIN(4,2+'5. Scenarios'!$B$8))/4+INDEX(BookQ3,996)*(5-MIN(4,3+'5. Scenarios'!$B$8))/4+INDEX(BookQ4,996)*(5-MIN(4,4+'5. Scenarios'!$B$8))/4)*'5. Scenarios'!$B$6/(1+ProductivityDefault*('5. Scenarios'!$B$11-1))+INDEX(BookOneOff,996)*$D1001)</f>
        <v/>
      </c>
      <c r="I1001" s="56" t="str">
        <f aca="false">IF(INDEX(BookTitle,996)="","",INDEX(BookTotal,996)*'5. Scenarios'!$C$6/(1+ProductivityDefault*('5. Scenarios'!$C$11-1)))</f>
        <v/>
      </c>
      <c r="J1001" s="57" t="str">
        <f aca="false">IF($I1001="","",INDEX(BookRate,996)*(1+'5. Scenarios'!$C$10)*$I1001)</f>
        <v/>
      </c>
      <c r="K1001" s="57" t="str">
        <f aca="false">IF($J1001="","",SUMIFS($J$6:$J$2405,$A$6:$A$2405,"&lt;="&amp;$A1001))</f>
        <v/>
      </c>
      <c r="L1001" s="57" t="str">
        <f aca="false">IF($J1001="","",IF($K1001&lt;=BankCostEnvelope*'5. Scenarios'!$C$7,1,0))</f>
        <v/>
      </c>
      <c r="M1001" s="57" t="str">
        <f aca="false">IF($I1001="","",INDEX(BookRate,996)*(1+'5. Scenarios'!$C$10)*(INDEX(BookQ1,996)*(5-MIN(4,1+'5. Scenarios'!$C$8))/4+INDEX(BookQ2,996)*(5-MIN(4,2+'5. Scenarios'!$C$8))/4+INDEX(BookQ3,996)*(5-MIN(4,3+'5. Scenarios'!$C$8))/4+INDEX(BookQ4,996)*(5-MIN(4,4+'5. Scenarios'!$C$8))/4)*'5. Scenarios'!$C$6/(1+ProductivityDefault*('5. Scenarios'!$C$11-1))+INDEX(BookOneOff,996)*$I1001)</f>
        <v/>
      </c>
      <c r="N1001" s="56" t="str">
        <f aca="false">IF(INDEX(BookTitle,996)="","",INDEX(BookTotal,996)*'5. Scenarios'!$D$6/(1+ProductivityDefault*('5. Scenarios'!$D$11-1)))</f>
        <v/>
      </c>
      <c r="O1001" s="57" t="str">
        <f aca="false">IF($N1001="","",INDEX(BookRate,996)*(1+'5. Scenarios'!$D$10)*$N1001)</f>
        <v/>
      </c>
      <c r="P1001" s="57" t="str">
        <f aca="false">IF($O1001="","",SUMIFS($O$6:$O$2405,$A$6:$A$2405,"&lt;="&amp;$A1001))</f>
        <v/>
      </c>
      <c r="Q1001" s="57" t="str">
        <f aca="false">IF($O1001="","",IF($P1001&lt;=BankCostEnvelope*'5. Scenarios'!$D$7,1,0))</f>
        <v/>
      </c>
      <c r="R1001" s="57" t="str">
        <f aca="false">IF($N1001="","",INDEX(BookRate,996)*(1+'5. Scenarios'!$D$10)*(INDEX(BookQ1,996)*(5-MIN(4,1+'5. Scenarios'!$D$8))/4+INDEX(BookQ2,996)*(5-MIN(4,2+'5. Scenarios'!$D$8))/4+INDEX(BookQ3,996)*(5-MIN(4,3+'5. Scenarios'!$D$8))/4+INDEX(BookQ4,996)*(5-MIN(4,4+'5. Scenarios'!$D$8))/4)*'5. Scenarios'!$D$6/(1+ProductivityDefault*('5. Scenarios'!$D$11-1))+INDEX(BookOneOff,996)*$N1001)</f>
        <v/>
      </c>
      <c r="S1001" s="56" t="str">
        <f aca="false">IF(INDEX(BookTitle,996)="","",INDEX(BookTotal,996)*'5. Scenarios'!$E$6/(1+ProductivityDefault*('5. Scenarios'!$E$11-1)))</f>
        <v/>
      </c>
      <c r="T1001" s="57" t="str">
        <f aca="false">IF($S1001="","",INDEX(BookRate,996)*(1+'5. Scenarios'!$E$10)*$S1001)</f>
        <v/>
      </c>
      <c r="U1001" s="57" t="str">
        <f aca="false">IF($T1001="","",SUMIFS($T$6:$T$2405,$A$6:$A$2405,"&lt;="&amp;$A1001))</f>
        <v/>
      </c>
      <c r="V1001" s="57" t="str">
        <f aca="false">IF($T1001="","",IF($U1001&lt;=BankCostEnvelope*'5. Scenarios'!$E$7,1,0))</f>
        <v/>
      </c>
      <c r="W1001" s="57" t="str">
        <f aca="false">IF($S1001="","",INDEX(BookRate,996)*(1+'5. Scenarios'!$E$10)*(INDEX(BookQ1,996)*(5-MIN(4,1+'5. Scenarios'!$E$8))/4+INDEX(BookQ2,996)*(5-MIN(4,2+'5. Scenarios'!$E$8))/4+INDEX(BookQ3,996)*(5-MIN(4,3+'5. Scenarios'!$E$8))/4+INDEX(BookQ4,996)*(5-MIN(4,4+'5. Scenarios'!$E$8))/4)*'5. Scenarios'!$E$6/(1+ProductivityDefault*('5. Scenarios'!$E$11-1))+INDEX(BookOneOff,996)*$S1001)</f>
        <v/>
      </c>
    </row>
    <row r="1002" customFormat="false" ht="15" hidden="false" customHeight="false" outlineLevel="0" collapsed="false">
      <c r="A1002" s="0" t="str">
        <f aca="false">IF(INDEX(BookTitle,997)="","",INDEX(BookKey,997))</f>
        <v/>
      </c>
      <c r="B1002" s="0" t="str">
        <f aca="false">IF(INDEX(BookTitle,997)="","",INDEX(BookGroup,997))</f>
        <v/>
      </c>
      <c r="C1002" s="0" t="str">
        <f aca="false">IF(INDEX(BookTitle,997)="","",INDEX(BookCategory,997))</f>
        <v/>
      </c>
      <c r="D1002" s="56" t="str">
        <f aca="false">IF(INDEX(BookTitle,997)="","",INDEX(BookTotal,997)*'5. Scenarios'!$B$6/(1+ProductivityDefault*('5. Scenarios'!$B$11-1)))</f>
        <v/>
      </c>
      <c r="E1002" s="57" t="str">
        <f aca="false">IF($D1002="","",INDEX(BookRate,997)*(1+'5. Scenarios'!$B$10)*$D1002)</f>
        <v/>
      </c>
      <c r="F1002" s="57" t="str">
        <f aca="false">IF($E1002="","",SUMIFS($E$6:$E$2405,$A$6:$A$2405,"&lt;="&amp;$A1002))</f>
        <v/>
      </c>
      <c r="G1002" s="57" t="str">
        <f aca="false">IF($E1002="","",IF($F1002&lt;=BankCostEnvelope*'5. Scenarios'!$B$7,1,0))</f>
        <v/>
      </c>
      <c r="H1002" s="57" t="str">
        <f aca="false">IF($D1002="","",INDEX(BookRate,997)*(1+'5. Scenarios'!$B$10)*(INDEX(BookQ1,997)*(5-MIN(4,1+'5. Scenarios'!$B$8))/4+INDEX(BookQ2,997)*(5-MIN(4,2+'5. Scenarios'!$B$8))/4+INDEX(BookQ3,997)*(5-MIN(4,3+'5. Scenarios'!$B$8))/4+INDEX(BookQ4,997)*(5-MIN(4,4+'5. Scenarios'!$B$8))/4)*'5. Scenarios'!$B$6/(1+ProductivityDefault*('5. Scenarios'!$B$11-1))+INDEX(BookOneOff,997)*$D1002)</f>
        <v/>
      </c>
      <c r="I1002" s="56" t="str">
        <f aca="false">IF(INDEX(BookTitle,997)="","",INDEX(BookTotal,997)*'5. Scenarios'!$C$6/(1+ProductivityDefault*('5. Scenarios'!$C$11-1)))</f>
        <v/>
      </c>
      <c r="J1002" s="57" t="str">
        <f aca="false">IF($I1002="","",INDEX(BookRate,997)*(1+'5. Scenarios'!$C$10)*$I1002)</f>
        <v/>
      </c>
      <c r="K1002" s="57" t="str">
        <f aca="false">IF($J1002="","",SUMIFS($J$6:$J$2405,$A$6:$A$2405,"&lt;="&amp;$A1002))</f>
        <v/>
      </c>
      <c r="L1002" s="57" t="str">
        <f aca="false">IF($J1002="","",IF($K1002&lt;=BankCostEnvelope*'5. Scenarios'!$C$7,1,0))</f>
        <v/>
      </c>
      <c r="M1002" s="57" t="str">
        <f aca="false">IF($I1002="","",INDEX(BookRate,997)*(1+'5. Scenarios'!$C$10)*(INDEX(BookQ1,997)*(5-MIN(4,1+'5. Scenarios'!$C$8))/4+INDEX(BookQ2,997)*(5-MIN(4,2+'5. Scenarios'!$C$8))/4+INDEX(BookQ3,997)*(5-MIN(4,3+'5. Scenarios'!$C$8))/4+INDEX(BookQ4,997)*(5-MIN(4,4+'5. Scenarios'!$C$8))/4)*'5. Scenarios'!$C$6/(1+ProductivityDefault*('5. Scenarios'!$C$11-1))+INDEX(BookOneOff,997)*$I1002)</f>
        <v/>
      </c>
      <c r="N1002" s="56" t="str">
        <f aca="false">IF(INDEX(BookTitle,997)="","",INDEX(BookTotal,997)*'5. Scenarios'!$D$6/(1+ProductivityDefault*('5. Scenarios'!$D$11-1)))</f>
        <v/>
      </c>
      <c r="O1002" s="57" t="str">
        <f aca="false">IF($N1002="","",INDEX(BookRate,997)*(1+'5. Scenarios'!$D$10)*$N1002)</f>
        <v/>
      </c>
      <c r="P1002" s="57" t="str">
        <f aca="false">IF($O1002="","",SUMIFS($O$6:$O$2405,$A$6:$A$2405,"&lt;="&amp;$A1002))</f>
        <v/>
      </c>
      <c r="Q1002" s="57" t="str">
        <f aca="false">IF($O1002="","",IF($P1002&lt;=BankCostEnvelope*'5. Scenarios'!$D$7,1,0))</f>
        <v/>
      </c>
      <c r="R1002" s="57" t="str">
        <f aca="false">IF($N1002="","",INDEX(BookRate,997)*(1+'5. Scenarios'!$D$10)*(INDEX(BookQ1,997)*(5-MIN(4,1+'5. Scenarios'!$D$8))/4+INDEX(BookQ2,997)*(5-MIN(4,2+'5. Scenarios'!$D$8))/4+INDEX(BookQ3,997)*(5-MIN(4,3+'5. Scenarios'!$D$8))/4+INDEX(BookQ4,997)*(5-MIN(4,4+'5. Scenarios'!$D$8))/4)*'5. Scenarios'!$D$6/(1+ProductivityDefault*('5. Scenarios'!$D$11-1))+INDEX(BookOneOff,997)*$N1002)</f>
        <v/>
      </c>
      <c r="S1002" s="56" t="str">
        <f aca="false">IF(INDEX(BookTitle,997)="","",INDEX(BookTotal,997)*'5. Scenarios'!$E$6/(1+ProductivityDefault*('5. Scenarios'!$E$11-1)))</f>
        <v/>
      </c>
      <c r="T1002" s="57" t="str">
        <f aca="false">IF($S1002="","",INDEX(BookRate,997)*(1+'5. Scenarios'!$E$10)*$S1002)</f>
        <v/>
      </c>
      <c r="U1002" s="57" t="str">
        <f aca="false">IF($T1002="","",SUMIFS($T$6:$T$2405,$A$6:$A$2405,"&lt;="&amp;$A1002))</f>
        <v/>
      </c>
      <c r="V1002" s="57" t="str">
        <f aca="false">IF($T1002="","",IF($U1002&lt;=BankCostEnvelope*'5. Scenarios'!$E$7,1,0))</f>
        <v/>
      </c>
      <c r="W1002" s="57" t="str">
        <f aca="false">IF($S1002="","",INDEX(BookRate,997)*(1+'5. Scenarios'!$E$10)*(INDEX(BookQ1,997)*(5-MIN(4,1+'5. Scenarios'!$E$8))/4+INDEX(BookQ2,997)*(5-MIN(4,2+'5. Scenarios'!$E$8))/4+INDEX(BookQ3,997)*(5-MIN(4,3+'5. Scenarios'!$E$8))/4+INDEX(BookQ4,997)*(5-MIN(4,4+'5. Scenarios'!$E$8))/4)*'5. Scenarios'!$E$6/(1+ProductivityDefault*('5. Scenarios'!$E$11-1))+INDEX(BookOneOff,997)*$S1002)</f>
        <v/>
      </c>
    </row>
    <row r="1003" customFormat="false" ht="15" hidden="false" customHeight="false" outlineLevel="0" collapsed="false">
      <c r="A1003" s="0" t="str">
        <f aca="false">IF(INDEX(BookTitle,998)="","",INDEX(BookKey,998))</f>
        <v/>
      </c>
      <c r="B1003" s="0" t="str">
        <f aca="false">IF(INDEX(BookTitle,998)="","",INDEX(BookGroup,998))</f>
        <v/>
      </c>
      <c r="C1003" s="0" t="str">
        <f aca="false">IF(INDEX(BookTitle,998)="","",INDEX(BookCategory,998))</f>
        <v/>
      </c>
      <c r="D1003" s="56" t="str">
        <f aca="false">IF(INDEX(BookTitle,998)="","",INDEX(BookTotal,998)*'5. Scenarios'!$B$6/(1+ProductivityDefault*('5. Scenarios'!$B$11-1)))</f>
        <v/>
      </c>
      <c r="E1003" s="57" t="str">
        <f aca="false">IF($D1003="","",INDEX(BookRate,998)*(1+'5. Scenarios'!$B$10)*$D1003)</f>
        <v/>
      </c>
      <c r="F1003" s="57" t="str">
        <f aca="false">IF($E1003="","",SUMIFS($E$6:$E$2405,$A$6:$A$2405,"&lt;="&amp;$A1003))</f>
        <v/>
      </c>
      <c r="G1003" s="57" t="str">
        <f aca="false">IF($E1003="","",IF($F1003&lt;=BankCostEnvelope*'5. Scenarios'!$B$7,1,0))</f>
        <v/>
      </c>
      <c r="H1003" s="57" t="str">
        <f aca="false">IF($D1003="","",INDEX(BookRate,998)*(1+'5. Scenarios'!$B$10)*(INDEX(BookQ1,998)*(5-MIN(4,1+'5. Scenarios'!$B$8))/4+INDEX(BookQ2,998)*(5-MIN(4,2+'5. Scenarios'!$B$8))/4+INDEX(BookQ3,998)*(5-MIN(4,3+'5. Scenarios'!$B$8))/4+INDEX(BookQ4,998)*(5-MIN(4,4+'5. Scenarios'!$B$8))/4)*'5. Scenarios'!$B$6/(1+ProductivityDefault*('5. Scenarios'!$B$11-1))+INDEX(BookOneOff,998)*$D1003)</f>
        <v/>
      </c>
      <c r="I1003" s="56" t="str">
        <f aca="false">IF(INDEX(BookTitle,998)="","",INDEX(BookTotal,998)*'5. Scenarios'!$C$6/(1+ProductivityDefault*('5. Scenarios'!$C$11-1)))</f>
        <v/>
      </c>
      <c r="J1003" s="57" t="str">
        <f aca="false">IF($I1003="","",INDEX(BookRate,998)*(1+'5. Scenarios'!$C$10)*$I1003)</f>
        <v/>
      </c>
      <c r="K1003" s="57" t="str">
        <f aca="false">IF($J1003="","",SUMIFS($J$6:$J$2405,$A$6:$A$2405,"&lt;="&amp;$A1003))</f>
        <v/>
      </c>
      <c r="L1003" s="57" t="str">
        <f aca="false">IF($J1003="","",IF($K1003&lt;=BankCostEnvelope*'5. Scenarios'!$C$7,1,0))</f>
        <v/>
      </c>
      <c r="M1003" s="57" t="str">
        <f aca="false">IF($I1003="","",INDEX(BookRate,998)*(1+'5. Scenarios'!$C$10)*(INDEX(BookQ1,998)*(5-MIN(4,1+'5. Scenarios'!$C$8))/4+INDEX(BookQ2,998)*(5-MIN(4,2+'5. Scenarios'!$C$8))/4+INDEX(BookQ3,998)*(5-MIN(4,3+'5. Scenarios'!$C$8))/4+INDEX(BookQ4,998)*(5-MIN(4,4+'5. Scenarios'!$C$8))/4)*'5. Scenarios'!$C$6/(1+ProductivityDefault*('5. Scenarios'!$C$11-1))+INDEX(BookOneOff,998)*$I1003)</f>
        <v/>
      </c>
      <c r="N1003" s="56" t="str">
        <f aca="false">IF(INDEX(BookTitle,998)="","",INDEX(BookTotal,998)*'5. Scenarios'!$D$6/(1+ProductivityDefault*('5. Scenarios'!$D$11-1)))</f>
        <v/>
      </c>
      <c r="O1003" s="57" t="str">
        <f aca="false">IF($N1003="","",INDEX(BookRate,998)*(1+'5. Scenarios'!$D$10)*$N1003)</f>
        <v/>
      </c>
      <c r="P1003" s="57" t="str">
        <f aca="false">IF($O1003="","",SUMIFS($O$6:$O$2405,$A$6:$A$2405,"&lt;="&amp;$A1003))</f>
        <v/>
      </c>
      <c r="Q1003" s="57" t="str">
        <f aca="false">IF($O1003="","",IF($P1003&lt;=BankCostEnvelope*'5. Scenarios'!$D$7,1,0))</f>
        <v/>
      </c>
      <c r="R1003" s="57" t="str">
        <f aca="false">IF($N1003="","",INDEX(BookRate,998)*(1+'5. Scenarios'!$D$10)*(INDEX(BookQ1,998)*(5-MIN(4,1+'5. Scenarios'!$D$8))/4+INDEX(BookQ2,998)*(5-MIN(4,2+'5. Scenarios'!$D$8))/4+INDEX(BookQ3,998)*(5-MIN(4,3+'5. Scenarios'!$D$8))/4+INDEX(BookQ4,998)*(5-MIN(4,4+'5. Scenarios'!$D$8))/4)*'5. Scenarios'!$D$6/(1+ProductivityDefault*('5. Scenarios'!$D$11-1))+INDEX(BookOneOff,998)*$N1003)</f>
        <v/>
      </c>
      <c r="S1003" s="56" t="str">
        <f aca="false">IF(INDEX(BookTitle,998)="","",INDEX(BookTotal,998)*'5. Scenarios'!$E$6/(1+ProductivityDefault*('5. Scenarios'!$E$11-1)))</f>
        <v/>
      </c>
      <c r="T1003" s="57" t="str">
        <f aca="false">IF($S1003="","",INDEX(BookRate,998)*(1+'5. Scenarios'!$E$10)*$S1003)</f>
        <v/>
      </c>
      <c r="U1003" s="57" t="str">
        <f aca="false">IF($T1003="","",SUMIFS($T$6:$T$2405,$A$6:$A$2405,"&lt;="&amp;$A1003))</f>
        <v/>
      </c>
      <c r="V1003" s="57" t="str">
        <f aca="false">IF($T1003="","",IF($U1003&lt;=BankCostEnvelope*'5. Scenarios'!$E$7,1,0))</f>
        <v/>
      </c>
      <c r="W1003" s="57" t="str">
        <f aca="false">IF($S1003="","",INDEX(BookRate,998)*(1+'5. Scenarios'!$E$10)*(INDEX(BookQ1,998)*(5-MIN(4,1+'5. Scenarios'!$E$8))/4+INDEX(BookQ2,998)*(5-MIN(4,2+'5. Scenarios'!$E$8))/4+INDEX(BookQ3,998)*(5-MIN(4,3+'5. Scenarios'!$E$8))/4+INDEX(BookQ4,998)*(5-MIN(4,4+'5. Scenarios'!$E$8))/4)*'5. Scenarios'!$E$6/(1+ProductivityDefault*('5. Scenarios'!$E$11-1))+INDEX(BookOneOff,998)*$S1003)</f>
        <v/>
      </c>
    </row>
    <row r="1004" customFormat="false" ht="15" hidden="false" customHeight="false" outlineLevel="0" collapsed="false">
      <c r="A1004" s="0" t="str">
        <f aca="false">IF(INDEX(BookTitle,999)="","",INDEX(BookKey,999))</f>
        <v/>
      </c>
      <c r="B1004" s="0" t="str">
        <f aca="false">IF(INDEX(BookTitle,999)="","",INDEX(BookGroup,999))</f>
        <v/>
      </c>
      <c r="C1004" s="0" t="str">
        <f aca="false">IF(INDEX(BookTitle,999)="","",INDEX(BookCategory,999))</f>
        <v/>
      </c>
      <c r="D1004" s="56" t="str">
        <f aca="false">IF(INDEX(BookTitle,999)="","",INDEX(BookTotal,999)*'5. Scenarios'!$B$6/(1+ProductivityDefault*('5. Scenarios'!$B$11-1)))</f>
        <v/>
      </c>
      <c r="E1004" s="57" t="str">
        <f aca="false">IF($D1004="","",INDEX(BookRate,999)*(1+'5. Scenarios'!$B$10)*$D1004)</f>
        <v/>
      </c>
      <c r="F1004" s="57" t="str">
        <f aca="false">IF($E1004="","",SUMIFS($E$6:$E$2405,$A$6:$A$2405,"&lt;="&amp;$A1004))</f>
        <v/>
      </c>
      <c r="G1004" s="57" t="str">
        <f aca="false">IF($E1004="","",IF($F1004&lt;=BankCostEnvelope*'5. Scenarios'!$B$7,1,0))</f>
        <v/>
      </c>
      <c r="H1004" s="57" t="str">
        <f aca="false">IF($D1004="","",INDEX(BookRate,999)*(1+'5. Scenarios'!$B$10)*(INDEX(BookQ1,999)*(5-MIN(4,1+'5. Scenarios'!$B$8))/4+INDEX(BookQ2,999)*(5-MIN(4,2+'5. Scenarios'!$B$8))/4+INDEX(BookQ3,999)*(5-MIN(4,3+'5. Scenarios'!$B$8))/4+INDEX(BookQ4,999)*(5-MIN(4,4+'5. Scenarios'!$B$8))/4)*'5. Scenarios'!$B$6/(1+ProductivityDefault*('5. Scenarios'!$B$11-1))+INDEX(BookOneOff,999)*$D1004)</f>
        <v/>
      </c>
      <c r="I1004" s="56" t="str">
        <f aca="false">IF(INDEX(BookTitle,999)="","",INDEX(BookTotal,999)*'5. Scenarios'!$C$6/(1+ProductivityDefault*('5. Scenarios'!$C$11-1)))</f>
        <v/>
      </c>
      <c r="J1004" s="57" t="str">
        <f aca="false">IF($I1004="","",INDEX(BookRate,999)*(1+'5. Scenarios'!$C$10)*$I1004)</f>
        <v/>
      </c>
      <c r="K1004" s="57" t="str">
        <f aca="false">IF($J1004="","",SUMIFS($J$6:$J$2405,$A$6:$A$2405,"&lt;="&amp;$A1004))</f>
        <v/>
      </c>
      <c r="L1004" s="57" t="str">
        <f aca="false">IF($J1004="","",IF($K1004&lt;=BankCostEnvelope*'5. Scenarios'!$C$7,1,0))</f>
        <v/>
      </c>
      <c r="M1004" s="57" t="str">
        <f aca="false">IF($I1004="","",INDEX(BookRate,999)*(1+'5. Scenarios'!$C$10)*(INDEX(BookQ1,999)*(5-MIN(4,1+'5. Scenarios'!$C$8))/4+INDEX(BookQ2,999)*(5-MIN(4,2+'5. Scenarios'!$C$8))/4+INDEX(BookQ3,999)*(5-MIN(4,3+'5. Scenarios'!$C$8))/4+INDEX(BookQ4,999)*(5-MIN(4,4+'5. Scenarios'!$C$8))/4)*'5. Scenarios'!$C$6/(1+ProductivityDefault*('5. Scenarios'!$C$11-1))+INDEX(BookOneOff,999)*$I1004)</f>
        <v/>
      </c>
      <c r="N1004" s="56" t="str">
        <f aca="false">IF(INDEX(BookTitle,999)="","",INDEX(BookTotal,999)*'5. Scenarios'!$D$6/(1+ProductivityDefault*('5. Scenarios'!$D$11-1)))</f>
        <v/>
      </c>
      <c r="O1004" s="57" t="str">
        <f aca="false">IF($N1004="","",INDEX(BookRate,999)*(1+'5. Scenarios'!$D$10)*$N1004)</f>
        <v/>
      </c>
      <c r="P1004" s="57" t="str">
        <f aca="false">IF($O1004="","",SUMIFS($O$6:$O$2405,$A$6:$A$2405,"&lt;="&amp;$A1004))</f>
        <v/>
      </c>
      <c r="Q1004" s="57" t="str">
        <f aca="false">IF($O1004="","",IF($P1004&lt;=BankCostEnvelope*'5. Scenarios'!$D$7,1,0))</f>
        <v/>
      </c>
      <c r="R1004" s="57" t="str">
        <f aca="false">IF($N1004="","",INDEX(BookRate,999)*(1+'5. Scenarios'!$D$10)*(INDEX(BookQ1,999)*(5-MIN(4,1+'5. Scenarios'!$D$8))/4+INDEX(BookQ2,999)*(5-MIN(4,2+'5. Scenarios'!$D$8))/4+INDEX(BookQ3,999)*(5-MIN(4,3+'5. Scenarios'!$D$8))/4+INDEX(BookQ4,999)*(5-MIN(4,4+'5. Scenarios'!$D$8))/4)*'5. Scenarios'!$D$6/(1+ProductivityDefault*('5. Scenarios'!$D$11-1))+INDEX(BookOneOff,999)*$N1004)</f>
        <v/>
      </c>
      <c r="S1004" s="56" t="str">
        <f aca="false">IF(INDEX(BookTitle,999)="","",INDEX(BookTotal,999)*'5. Scenarios'!$E$6/(1+ProductivityDefault*('5. Scenarios'!$E$11-1)))</f>
        <v/>
      </c>
      <c r="T1004" s="57" t="str">
        <f aca="false">IF($S1004="","",INDEX(BookRate,999)*(1+'5. Scenarios'!$E$10)*$S1004)</f>
        <v/>
      </c>
      <c r="U1004" s="57" t="str">
        <f aca="false">IF($T1004="","",SUMIFS($T$6:$T$2405,$A$6:$A$2405,"&lt;="&amp;$A1004))</f>
        <v/>
      </c>
      <c r="V1004" s="57" t="str">
        <f aca="false">IF($T1004="","",IF($U1004&lt;=BankCostEnvelope*'5. Scenarios'!$E$7,1,0))</f>
        <v/>
      </c>
      <c r="W1004" s="57" t="str">
        <f aca="false">IF($S1004="","",INDEX(BookRate,999)*(1+'5. Scenarios'!$E$10)*(INDEX(BookQ1,999)*(5-MIN(4,1+'5. Scenarios'!$E$8))/4+INDEX(BookQ2,999)*(5-MIN(4,2+'5. Scenarios'!$E$8))/4+INDEX(BookQ3,999)*(5-MIN(4,3+'5. Scenarios'!$E$8))/4+INDEX(BookQ4,999)*(5-MIN(4,4+'5. Scenarios'!$E$8))/4)*'5. Scenarios'!$E$6/(1+ProductivityDefault*('5. Scenarios'!$E$11-1))+INDEX(BookOneOff,999)*$S1004)</f>
        <v/>
      </c>
    </row>
    <row r="1005" customFormat="false" ht="15" hidden="false" customHeight="false" outlineLevel="0" collapsed="false">
      <c r="A1005" s="0" t="str">
        <f aca="false">IF(INDEX(BookTitle,1000)="","",INDEX(BookKey,1000))</f>
        <v/>
      </c>
      <c r="B1005" s="0" t="str">
        <f aca="false">IF(INDEX(BookTitle,1000)="","",INDEX(BookGroup,1000))</f>
        <v/>
      </c>
      <c r="C1005" s="0" t="str">
        <f aca="false">IF(INDEX(BookTitle,1000)="","",INDEX(BookCategory,1000))</f>
        <v/>
      </c>
      <c r="D1005" s="56" t="str">
        <f aca="false">IF(INDEX(BookTitle,1000)="","",INDEX(BookTotal,1000)*'5. Scenarios'!$B$6/(1+ProductivityDefault*('5. Scenarios'!$B$11-1)))</f>
        <v/>
      </c>
      <c r="E1005" s="57" t="str">
        <f aca="false">IF($D1005="","",INDEX(BookRate,1000)*(1+'5. Scenarios'!$B$10)*$D1005)</f>
        <v/>
      </c>
      <c r="F1005" s="57" t="str">
        <f aca="false">IF($E1005="","",SUMIFS($E$6:$E$2405,$A$6:$A$2405,"&lt;="&amp;$A1005))</f>
        <v/>
      </c>
      <c r="G1005" s="57" t="str">
        <f aca="false">IF($E1005="","",IF($F1005&lt;=BankCostEnvelope*'5. Scenarios'!$B$7,1,0))</f>
        <v/>
      </c>
      <c r="H1005" s="57" t="str">
        <f aca="false">IF($D1005="","",INDEX(BookRate,1000)*(1+'5. Scenarios'!$B$10)*(INDEX(BookQ1,1000)*(5-MIN(4,1+'5. Scenarios'!$B$8))/4+INDEX(BookQ2,1000)*(5-MIN(4,2+'5. Scenarios'!$B$8))/4+INDEX(BookQ3,1000)*(5-MIN(4,3+'5. Scenarios'!$B$8))/4+INDEX(BookQ4,1000)*(5-MIN(4,4+'5. Scenarios'!$B$8))/4)*'5. Scenarios'!$B$6/(1+ProductivityDefault*('5. Scenarios'!$B$11-1))+INDEX(BookOneOff,1000)*$D1005)</f>
        <v/>
      </c>
      <c r="I1005" s="56" t="str">
        <f aca="false">IF(INDEX(BookTitle,1000)="","",INDEX(BookTotal,1000)*'5. Scenarios'!$C$6/(1+ProductivityDefault*('5. Scenarios'!$C$11-1)))</f>
        <v/>
      </c>
      <c r="J1005" s="57" t="str">
        <f aca="false">IF($I1005="","",INDEX(BookRate,1000)*(1+'5. Scenarios'!$C$10)*$I1005)</f>
        <v/>
      </c>
      <c r="K1005" s="57" t="str">
        <f aca="false">IF($J1005="","",SUMIFS($J$6:$J$2405,$A$6:$A$2405,"&lt;="&amp;$A1005))</f>
        <v/>
      </c>
      <c r="L1005" s="57" t="str">
        <f aca="false">IF($J1005="","",IF($K1005&lt;=BankCostEnvelope*'5. Scenarios'!$C$7,1,0))</f>
        <v/>
      </c>
      <c r="M1005" s="57" t="str">
        <f aca="false">IF($I1005="","",INDEX(BookRate,1000)*(1+'5. Scenarios'!$C$10)*(INDEX(BookQ1,1000)*(5-MIN(4,1+'5. Scenarios'!$C$8))/4+INDEX(BookQ2,1000)*(5-MIN(4,2+'5. Scenarios'!$C$8))/4+INDEX(BookQ3,1000)*(5-MIN(4,3+'5. Scenarios'!$C$8))/4+INDEX(BookQ4,1000)*(5-MIN(4,4+'5. Scenarios'!$C$8))/4)*'5. Scenarios'!$C$6/(1+ProductivityDefault*('5. Scenarios'!$C$11-1))+INDEX(BookOneOff,1000)*$I1005)</f>
        <v/>
      </c>
      <c r="N1005" s="56" t="str">
        <f aca="false">IF(INDEX(BookTitle,1000)="","",INDEX(BookTotal,1000)*'5. Scenarios'!$D$6/(1+ProductivityDefault*('5. Scenarios'!$D$11-1)))</f>
        <v/>
      </c>
      <c r="O1005" s="57" t="str">
        <f aca="false">IF($N1005="","",INDEX(BookRate,1000)*(1+'5. Scenarios'!$D$10)*$N1005)</f>
        <v/>
      </c>
      <c r="P1005" s="57" t="str">
        <f aca="false">IF($O1005="","",SUMIFS($O$6:$O$2405,$A$6:$A$2405,"&lt;="&amp;$A1005))</f>
        <v/>
      </c>
      <c r="Q1005" s="57" t="str">
        <f aca="false">IF($O1005="","",IF($P1005&lt;=BankCostEnvelope*'5. Scenarios'!$D$7,1,0))</f>
        <v/>
      </c>
      <c r="R1005" s="57" t="str">
        <f aca="false">IF($N1005="","",INDEX(BookRate,1000)*(1+'5. Scenarios'!$D$10)*(INDEX(BookQ1,1000)*(5-MIN(4,1+'5. Scenarios'!$D$8))/4+INDEX(BookQ2,1000)*(5-MIN(4,2+'5. Scenarios'!$D$8))/4+INDEX(BookQ3,1000)*(5-MIN(4,3+'5. Scenarios'!$D$8))/4+INDEX(BookQ4,1000)*(5-MIN(4,4+'5. Scenarios'!$D$8))/4)*'5. Scenarios'!$D$6/(1+ProductivityDefault*('5. Scenarios'!$D$11-1))+INDEX(BookOneOff,1000)*$N1005)</f>
        <v/>
      </c>
      <c r="S1005" s="56" t="str">
        <f aca="false">IF(INDEX(BookTitle,1000)="","",INDEX(BookTotal,1000)*'5. Scenarios'!$E$6/(1+ProductivityDefault*('5. Scenarios'!$E$11-1)))</f>
        <v/>
      </c>
      <c r="T1005" s="57" t="str">
        <f aca="false">IF($S1005="","",INDEX(BookRate,1000)*(1+'5. Scenarios'!$E$10)*$S1005)</f>
        <v/>
      </c>
      <c r="U1005" s="57" t="str">
        <f aca="false">IF($T1005="","",SUMIFS($T$6:$T$2405,$A$6:$A$2405,"&lt;="&amp;$A1005))</f>
        <v/>
      </c>
      <c r="V1005" s="57" t="str">
        <f aca="false">IF($T1005="","",IF($U1005&lt;=BankCostEnvelope*'5. Scenarios'!$E$7,1,0))</f>
        <v/>
      </c>
      <c r="W1005" s="57" t="str">
        <f aca="false">IF($S1005="","",INDEX(BookRate,1000)*(1+'5. Scenarios'!$E$10)*(INDEX(BookQ1,1000)*(5-MIN(4,1+'5. Scenarios'!$E$8))/4+INDEX(BookQ2,1000)*(5-MIN(4,2+'5. Scenarios'!$E$8))/4+INDEX(BookQ3,1000)*(5-MIN(4,3+'5. Scenarios'!$E$8))/4+INDEX(BookQ4,1000)*(5-MIN(4,4+'5. Scenarios'!$E$8))/4)*'5. Scenarios'!$E$6/(1+ProductivityDefault*('5. Scenarios'!$E$11-1))+INDEX(BookOneOff,1000)*$S1005)</f>
        <v/>
      </c>
    </row>
    <row r="1006" customFormat="false" ht="15" hidden="false" customHeight="false" outlineLevel="0" collapsed="false">
      <c r="A1006" s="0" t="str">
        <f aca="false">IF(INDEX(BookTitle,1001)="","",INDEX(BookKey,1001))</f>
        <v/>
      </c>
      <c r="B1006" s="0" t="str">
        <f aca="false">IF(INDEX(BookTitle,1001)="","",INDEX(BookGroup,1001))</f>
        <v/>
      </c>
      <c r="C1006" s="0" t="str">
        <f aca="false">IF(INDEX(BookTitle,1001)="","",INDEX(BookCategory,1001))</f>
        <v/>
      </c>
      <c r="D1006" s="56" t="str">
        <f aca="false">IF(INDEX(BookTitle,1001)="","",INDEX(BookTotal,1001)*'5. Scenarios'!$B$6/(1+ProductivityDefault*('5. Scenarios'!$B$11-1)))</f>
        <v/>
      </c>
      <c r="E1006" s="57" t="str">
        <f aca="false">IF($D1006="","",INDEX(BookRate,1001)*(1+'5. Scenarios'!$B$10)*$D1006)</f>
        <v/>
      </c>
      <c r="F1006" s="57" t="str">
        <f aca="false">IF($E1006="","",SUMIFS($E$6:$E$2405,$A$6:$A$2405,"&lt;="&amp;$A1006))</f>
        <v/>
      </c>
      <c r="G1006" s="57" t="str">
        <f aca="false">IF($E1006="","",IF($F1006&lt;=BankCostEnvelope*'5. Scenarios'!$B$7,1,0))</f>
        <v/>
      </c>
      <c r="H1006" s="57" t="str">
        <f aca="false">IF($D1006="","",INDEX(BookRate,1001)*(1+'5. Scenarios'!$B$10)*(INDEX(BookQ1,1001)*(5-MIN(4,1+'5. Scenarios'!$B$8))/4+INDEX(BookQ2,1001)*(5-MIN(4,2+'5. Scenarios'!$B$8))/4+INDEX(BookQ3,1001)*(5-MIN(4,3+'5. Scenarios'!$B$8))/4+INDEX(BookQ4,1001)*(5-MIN(4,4+'5. Scenarios'!$B$8))/4)*'5. Scenarios'!$B$6/(1+ProductivityDefault*('5. Scenarios'!$B$11-1))+INDEX(BookOneOff,1001)*$D1006)</f>
        <v/>
      </c>
      <c r="I1006" s="56" t="str">
        <f aca="false">IF(INDEX(BookTitle,1001)="","",INDEX(BookTotal,1001)*'5. Scenarios'!$C$6/(1+ProductivityDefault*('5. Scenarios'!$C$11-1)))</f>
        <v/>
      </c>
      <c r="J1006" s="57" t="str">
        <f aca="false">IF($I1006="","",INDEX(BookRate,1001)*(1+'5. Scenarios'!$C$10)*$I1006)</f>
        <v/>
      </c>
      <c r="K1006" s="57" t="str">
        <f aca="false">IF($J1006="","",SUMIFS($J$6:$J$2405,$A$6:$A$2405,"&lt;="&amp;$A1006))</f>
        <v/>
      </c>
      <c r="L1006" s="57" t="str">
        <f aca="false">IF($J1006="","",IF($K1006&lt;=BankCostEnvelope*'5. Scenarios'!$C$7,1,0))</f>
        <v/>
      </c>
      <c r="M1006" s="57" t="str">
        <f aca="false">IF($I1006="","",INDEX(BookRate,1001)*(1+'5. Scenarios'!$C$10)*(INDEX(BookQ1,1001)*(5-MIN(4,1+'5. Scenarios'!$C$8))/4+INDEX(BookQ2,1001)*(5-MIN(4,2+'5. Scenarios'!$C$8))/4+INDEX(BookQ3,1001)*(5-MIN(4,3+'5. Scenarios'!$C$8))/4+INDEX(BookQ4,1001)*(5-MIN(4,4+'5. Scenarios'!$C$8))/4)*'5. Scenarios'!$C$6/(1+ProductivityDefault*('5. Scenarios'!$C$11-1))+INDEX(BookOneOff,1001)*$I1006)</f>
        <v/>
      </c>
      <c r="N1006" s="56" t="str">
        <f aca="false">IF(INDEX(BookTitle,1001)="","",INDEX(BookTotal,1001)*'5. Scenarios'!$D$6/(1+ProductivityDefault*('5. Scenarios'!$D$11-1)))</f>
        <v/>
      </c>
      <c r="O1006" s="57" t="str">
        <f aca="false">IF($N1006="","",INDEX(BookRate,1001)*(1+'5. Scenarios'!$D$10)*$N1006)</f>
        <v/>
      </c>
      <c r="P1006" s="57" t="str">
        <f aca="false">IF($O1006="","",SUMIFS($O$6:$O$2405,$A$6:$A$2405,"&lt;="&amp;$A1006))</f>
        <v/>
      </c>
      <c r="Q1006" s="57" t="str">
        <f aca="false">IF($O1006="","",IF($P1006&lt;=BankCostEnvelope*'5. Scenarios'!$D$7,1,0))</f>
        <v/>
      </c>
      <c r="R1006" s="57" t="str">
        <f aca="false">IF($N1006="","",INDEX(BookRate,1001)*(1+'5. Scenarios'!$D$10)*(INDEX(BookQ1,1001)*(5-MIN(4,1+'5. Scenarios'!$D$8))/4+INDEX(BookQ2,1001)*(5-MIN(4,2+'5. Scenarios'!$D$8))/4+INDEX(BookQ3,1001)*(5-MIN(4,3+'5. Scenarios'!$D$8))/4+INDEX(BookQ4,1001)*(5-MIN(4,4+'5. Scenarios'!$D$8))/4)*'5. Scenarios'!$D$6/(1+ProductivityDefault*('5. Scenarios'!$D$11-1))+INDEX(BookOneOff,1001)*$N1006)</f>
        <v/>
      </c>
      <c r="S1006" s="56" t="str">
        <f aca="false">IF(INDEX(BookTitle,1001)="","",INDEX(BookTotal,1001)*'5. Scenarios'!$E$6/(1+ProductivityDefault*('5. Scenarios'!$E$11-1)))</f>
        <v/>
      </c>
      <c r="T1006" s="57" t="str">
        <f aca="false">IF($S1006="","",INDEX(BookRate,1001)*(1+'5. Scenarios'!$E$10)*$S1006)</f>
        <v/>
      </c>
      <c r="U1006" s="57" t="str">
        <f aca="false">IF($T1006="","",SUMIFS($T$6:$T$2405,$A$6:$A$2405,"&lt;="&amp;$A1006))</f>
        <v/>
      </c>
      <c r="V1006" s="57" t="str">
        <f aca="false">IF($T1006="","",IF($U1006&lt;=BankCostEnvelope*'5. Scenarios'!$E$7,1,0))</f>
        <v/>
      </c>
      <c r="W1006" s="57" t="str">
        <f aca="false">IF($S1006="","",INDEX(BookRate,1001)*(1+'5. Scenarios'!$E$10)*(INDEX(BookQ1,1001)*(5-MIN(4,1+'5. Scenarios'!$E$8))/4+INDEX(BookQ2,1001)*(5-MIN(4,2+'5. Scenarios'!$E$8))/4+INDEX(BookQ3,1001)*(5-MIN(4,3+'5. Scenarios'!$E$8))/4+INDEX(BookQ4,1001)*(5-MIN(4,4+'5. Scenarios'!$E$8))/4)*'5. Scenarios'!$E$6/(1+ProductivityDefault*('5. Scenarios'!$E$11-1))+INDEX(BookOneOff,1001)*$S1006)</f>
        <v/>
      </c>
    </row>
    <row r="1007" customFormat="false" ht="15" hidden="false" customHeight="false" outlineLevel="0" collapsed="false">
      <c r="A1007" s="0" t="str">
        <f aca="false">IF(INDEX(BookTitle,1002)="","",INDEX(BookKey,1002))</f>
        <v/>
      </c>
      <c r="B1007" s="0" t="str">
        <f aca="false">IF(INDEX(BookTitle,1002)="","",INDEX(BookGroup,1002))</f>
        <v/>
      </c>
      <c r="C1007" s="0" t="str">
        <f aca="false">IF(INDEX(BookTitle,1002)="","",INDEX(BookCategory,1002))</f>
        <v/>
      </c>
      <c r="D1007" s="56" t="str">
        <f aca="false">IF(INDEX(BookTitle,1002)="","",INDEX(BookTotal,1002)*'5. Scenarios'!$B$6/(1+ProductivityDefault*('5. Scenarios'!$B$11-1)))</f>
        <v/>
      </c>
      <c r="E1007" s="57" t="str">
        <f aca="false">IF($D1007="","",INDEX(BookRate,1002)*(1+'5. Scenarios'!$B$10)*$D1007)</f>
        <v/>
      </c>
      <c r="F1007" s="57" t="str">
        <f aca="false">IF($E1007="","",SUMIFS($E$6:$E$2405,$A$6:$A$2405,"&lt;="&amp;$A1007))</f>
        <v/>
      </c>
      <c r="G1007" s="57" t="str">
        <f aca="false">IF($E1007="","",IF($F1007&lt;=BankCostEnvelope*'5. Scenarios'!$B$7,1,0))</f>
        <v/>
      </c>
      <c r="H1007" s="57" t="str">
        <f aca="false">IF($D1007="","",INDEX(BookRate,1002)*(1+'5. Scenarios'!$B$10)*(INDEX(BookQ1,1002)*(5-MIN(4,1+'5. Scenarios'!$B$8))/4+INDEX(BookQ2,1002)*(5-MIN(4,2+'5. Scenarios'!$B$8))/4+INDEX(BookQ3,1002)*(5-MIN(4,3+'5. Scenarios'!$B$8))/4+INDEX(BookQ4,1002)*(5-MIN(4,4+'5. Scenarios'!$B$8))/4)*'5. Scenarios'!$B$6/(1+ProductivityDefault*('5. Scenarios'!$B$11-1))+INDEX(BookOneOff,1002)*$D1007)</f>
        <v/>
      </c>
      <c r="I1007" s="56" t="str">
        <f aca="false">IF(INDEX(BookTitle,1002)="","",INDEX(BookTotal,1002)*'5. Scenarios'!$C$6/(1+ProductivityDefault*('5. Scenarios'!$C$11-1)))</f>
        <v/>
      </c>
      <c r="J1007" s="57" t="str">
        <f aca="false">IF($I1007="","",INDEX(BookRate,1002)*(1+'5. Scenarios'!$C$10)*$I1007)</f>
        <v/>
      </c>
      <c r="K1007" s="57" t="str">
        <f aca="false">IF($J1007="","",SUMIFS($J$6:$J$2405,$A$6:$A$2405,"&lt;="&amp;$A1007))</f>
        <v/>
      </c>
      <c r="L1007" s="57" t="str">
        <f aca="false">IF($J1007="","",IF($K1007&lt;=BankCostEnvelope*'5. Scenarios'!$C$7,1,0))</f>
        <v/>
      </c>
      <c r="M1007" s="57" t="str">
        <f aca="false">IF($I1007="","",INDEX(BookRate,1002)*(1+'5. Scenarios'!$C$10)*(INDEX(BookQ1,1002)*(5-MIN(4,1+'5. Scenarios'!$C$8))/4+INDEX(BookQ2,1002)*(5-MIN(4,2+'5. Scenarios'!$C$8))/4+INDEX(BookQ3,1002)*(5-MIN(4,3+'5. Scenarios'!$C$8))/4+INDEX(BookQ4,1002)*(5-MIN(4,4+'5. Scenarios'!$C$8))/4)*'5. Scenarios'!$C$6/(1+ProductivityDefault*('5. Scenarios'!$C$11-1))+INDEX(BookOneOff,1002)*$I1007)</f>
        <v/>
      </c>
      <c r="N1007" s="56" t="str">
        <f aca="false">IF(INDEX(BookTitle,1002)="","",INDEX(BookTotal,1002)*'5. Scenarios'!$D$6/(1+ProductivityDefault*('5. Scenarios'!$D$11-1)))</f>
        <v/>
      </c>
      <c r="O1007" s="57" t="str">
        <f aca="false">IF($N1007="","",INDEX(BookRate,1002)*(1+'5. Scenarios'!$D$10)*$N1007)</f>
        <v/>
      </c>
      <c r="P1007" s="57" t="str">
        <f aca="false">IF($O1007="","",SUMIFS($O$6:$O$2405,$A$6:$A$2405,"&lt;="&amp;$A1007))</f>
        <v/>
      </c>
      <c r="Q1007" s="57" t="str">
        <f aca="false">IF($O1007="","",IF($P1007&lt;=BankCostEnvelope*'5. Scenarios'!$D$7,1,0))</f>
        <v/>
      </c>
      <c r="R1007" s="57" t="str">
        <f aca="false">IF($N1007="","",INDEX(BookRate,1002)*(1+'5. Scenarios'!$D$10)*(INDEX(BookQ1,1002)*(5-MIN(4,1+'5. Scenarios'!$D$8))/4+INDEX(BookQ2,1002)*(5-MIN(4,2+'5. Scenarios'!$D$8))/4+INDEX(BookQ3,1002)*(5-MIN(4,3+'5. Scenarios'!$D$8))/4+INDEX(BookQ4,1002)*(5-MIN(4,4+'5. Scenarios'!$D$8))/4)*'5. Scenarios'!$D$6/(1+ProductivityDefault*('5. Scenarios'!$D$11-1))+INDEX(BookOneOff,1002)*$N1007)</f>
        <v/>
      </c>
      <c r="S1007" s="56" t="str">
        <f aca="false">IF(INDEX(BookTitle,1002)="","",INDEX(BookTotal,1002)*'5. Scenarios'!$E$6/(1+ProductivityDefault*('5. Scenarios'!$E$11-1)))</f>
        <v/>
      </c>
      <c r="T1007" s="57" t="str">
        <f aca="false">IF($S1007="","",INDEX(BookRate,1002)*(1+'5. Scenarios'!$E$10)*$S1007)</f>
        <v/>
      </c>
      <c r="U1007" s="57" t="str">
        <f aca="false">IF($T1007="","",SUMIFS($T$6:$T$2405,$A$6:$A$2405,"&lt;="&amp;$A1007))</f>
        <v/>
      </c>
      <c r="V1007" s="57" t="str">
        <f aca="false">IF($T1007="","",IF($U1007&lt;=BankCostEnvelope*'5. Scenarios'!$E$7,1,0))</f>
        <v/>
      </c>
      <c r="W1007" s="57" t="str">
        <f aca="false">IF($S1007="","",INDEX(BookRate,1002)*(1+'5. Scenarios'!$E$10)*(INDEX(BookQ1,1002)*(5-MIN(4,1+'5. Scenarios'!$E$8))/4+INDEX(BookQ2,1002)*(5-MIN(4,2+'5. Scenarios'!$E$8))/4+INDEX(BookQ3,1002)*(5-MIN(4,3+'5. Scenarios'!$E$8))/4+INDEX(BookQ4,1002)*(5-MIN(4,4+'5. Scenarios'!$E$8))/4)*'5. Scenarios'!$E$6/(1+ProductivityDefault*('5. Scenarios'!$E$11-1))+INDEX(BookOneOff,1002)*$S1007)</f>
        <v/>
      </c>
    </row>
    <row r="1008" customFormat="false" ht="15" hidden="false" customHeight="false" outlineLevel="0" collapsed="false">
      <c r="A1008" s="0" t="str">
        <f aca="false">IF(INDEX(BookTitle,1003)="","",INDEX(BookKey,1003))</f>
        <v/>
      </c>
      <c r="B1008" s="0" t="str">
        <f aca="false">IF(INDEX(BookTitle,1003)="","",INDEX(BookGroup,1003))</f>
        <v/>
      </c>
      <c r="C1008" s="0" t="str">
        <f aca="false">IF(INDEX(BookTitle,1003)="","",INDEX(BookCategory,1003))</f>
        <v/>
      </c>
      <c r="D1008" s="56" t="str">
        <f aca="false">IF(INDEX(BookTitle,1003)="","",INDEX(BookTotal,1003)*'5. Scenarios'!$B$6/(1+ProductivityDefault*('5. Scenarios'!$B$11-1)))</f>
        <v/>
      </c>
      <c r="E1008" s="57" t="str">
        <f aca="false">IF($D1008="","",INDEX(BookRate,1003)*(1+'5. Scenarios'!$B$10)*$D1008)</f>
        <v/>
      </c>
      <c r="F1008" s="57" t="str">
        <f aca="false">IF($E1008="","",SUMIFS($E$6:$E$2405,$A$6:$A$2405,"&lt;="&amp;$A1008))</f>
        <v/>
      </c>
      <c r="G1008" s="57" t="str">
        <f aca="false">IF($E1008="","",IF($F1008&lt;=BankCostEnvelope*'5. Scenarios'!$B$7,1,0))</f>
        <v/>
      </c>
      <c r="H1008" s="57" t="str">
        <f aca="false">IF($D1008="","",INDEX(BookRate,1003)*(1+'5. Scenarios'!$B$10)*(INDEX(BookQ1,1003)*(5-MIN(4,1+'5. Scenarios'!$B$8))/4+INDEX(BookQ2,1003)*(5-MIN(4,2+'5. Scenarios'!$B$8))/4+INDEX(BookQ3,1003)*(5-MIN(4,3+'5. Scenarios'!$B$8))/4+INDEX(BookQ4,1003)*(5-MIN(4,4+'5. Scenarios'!$B$8))/4)*'5. Scenarios'!$B$6/(1+ProductivityDefault*('5. Scenarios'!$B$11-1))+INDEX(BookOneOff,1003)*$D1008)</f>
        <v/>
      </c>
      <c r="I1008" s="56" t="str">
        <f aca="false">IF(INDEX(BookTitle,1003)="","",INDEX(BookTotal,1003)*'5. Scenarios'!$C$6/(1+ProductivityDefault*('5. Scenarios'!$C$11-1)))</f>
        <v/>
      </c>
      <c r="J1008" s="57" t="str">
        <f aca="false">IF($I1008="","",INDEX(BookRate,1003)*(1+'5. Scenarios'!$C$10)*$I1008)</f>
        <v/>
      </c>
      <c r="K1008" s="57" t="str">
        <f aca="false">IF($J1008="","",SUMIFS($J$6:$J$2405,$A$6:$A$2405,"&lt;="&amp;$A1008))</f>
        <v/>
      </c>
      <c r="L1008" s="57" t="str">
        <f aca="false">IF($J1008="","",IF($K1008&lt;=BankCostEnvelope*'5. Scenarios'!$C$7,1,0))</f>
        <v/>
      </c>
      <c r="M1008" s="57" t="str">
        <f aca="false">IF($I1008="","",INDEX(BookRate,1003)*(1+'5. Scenarios'!$C$10)*(INDEX(BookQ1,1003)*(5-MIN(4,1+'5. Scenarios'!$C$8))/4+INDEX(BookQ2,1003)*(5-MIN(4,2+'5. Scenarios'!$C$8))/4+INDEX(BookQ3,1003)*(5-MIN(4,3+'5. Scenarios'!$C$8))/4+INDEX(BookQ4,1003)*(5-MIN(4,4+'5. Scenarios'!$C$8))/4)*'5. Scenarios'!$C$6/(1+ProductivityDefault*('5. Scenarios'!$C$11-1))+INDEX(BookOneOff,1003)*$I1008)</f>
        <v/>
      </c>
      <c r="N1008" s="56" t="str">
        <f aca="false">IF(INDEX(BookTitle,1003)="","",INDEX(BookTotal,1003)*'5. Scenarios'!$D$6/(1+ProductivityDefault*('5. Scenarios'!$D$11-1)))</f>
        <v/>
      </c>
      <c r="O1008" s="57" t="str">
        <f aca="false">IF($N1008="","",INDEX(BookRate,1003)*(1+'5. Scenarios'!$D$10)*$N1008)</f>
        <v/>
      </c>
      <c r="P1008" s="57" t="str">
        <f aca="false">IF($O1008="","",SUMIFS($O$6:$O$2405,$A$6:$A$2405,"&lt;="&amp;$A1008))</f>
        <v/>
      </c>
      <c r="Q1008" s="57" t="str">
        <f aca="false">IF($O1008="","",IF($P1008&lt;=BankCostEnvelope*'5. Scenarios'!$D$7,1,0))</f>
        <v/>
      </c>
      <c r="R1008" s="57" t="str">
        <f aca="false">IF($N1008="","",INDEX(BookRate,1003)*(1+'5. Scenarios'!$D$10)*(INDEX(BookQ1,1003)*(5-MIN(4,1+'5. Scenarios'!$D$8))/4+INDEX(BookQ2,1003)*(5-MIN(4,2+'5. Scenarios'!$D$8))/4+INDEX(BookQ3,1003)*(5-MIN(4,3+'5. Scenarios'!$D$8))/4+INDEX(BookQ4,1003)*(5-MIN(4,4+'5. Scenarios'!$D$8))/4)*'5. Scenarios'!$D$6/(1+ProductivityDefault*('5. Scenarios'!$D$11-1))+INDEX(BookOneOff,1003)*$N1008)</f>
        <v/>
      </c>
      <c r="S1008" s="56" t="str">
        <f aca="false">IF(INDEX(BookTitle,1003)="","",INDEX(BookTotal,1003)*'5. Scenarios'!$E$6/(1+ProductivityDefault*('5. Scenarios'!$E$11-1)))</f>
        <v/>
      </c>
      <c r="T1008" s="57" t="str">
        <f aca="false">IF($S1008="","",INDEX(BookRate,1003)*(1+'5. Scenarios'!$E$10)*$S1008)</f>
        <v/>
      </c>
      <c r="U1008" s="57" t="str">
        <f aca="false">IF($T1008="","",SUMIFS($T$6:$T$2405,$A$6:$A$2405,"&lt;="&amp;$A1008))</f>
        <v/>
      </c>
      <c r="V1008" s="57" t="str">
        <f aca="false">IF($T1008="","",IF($U1008&lt;=BankCostEnvelope*'5. Scenarios'!$E$7,1,0))</f>
        <v/>
      </c>
      <c r="W1008" s="57" t="str">
        <f aca="false">IF($S1008="","",INDEX(BookRate,1003)*(1+'5. Scenarios'!$E$10)*(INDEX(BookQ1,1003)*(5-MIN(4,1+'5. Scenarios'!$E$8))/4+INDEX(BookQ2,1003)*(5-MIN(4,2+'5. Scenarios'!$E$8))/4+INDEX(BookQ3,1003)*(5-MIN(4,3+'5. Scenarios'!$E$8))/4+INDEX(BookQ4,1003)*(5-MIN(4,4+'5. Scenarios'!$E$8))/4)*'5. Scenarios'!$E$6/(1+ProductivityDefault*('5. Scenarios'!$E$11-1))+INDEX(BookOneOff,1003)*$S1008)</f>
        <v/>
      </c>
    </row>
    <row r="1009" customFormat="false" ht="15" hidden="false" customHeight="false" outlineLevel="0" collapsed="false">
      <c r="A1009" s="0" t="str">
        <f aca="false">IF(INDEX(BookTitle,1004)="","",INDEX(BookKey,1004))</f>
        <v/>
      </c>
      <c r="B1009" s="0" t="str">
        <f aca="false">IF(INDEX(BookTitle,1004)="","",INDEX(BookGroup,1004))</f>
        <v/>
      </c>
      <c r="C1009" s="0" t="str">
        <f aca="false">IF(INDEX(BookTitle,1004)="","",INDEX(BookCategory,1004))</f>
        <v/>
      </c>
      <c r="D1009" s="56" t="str">
        <f aca="false">IF(INDEX(BookTitle,1004)="","",INDEX(BookTotal,1004)*'5. Scenarios'!$B$6/(1+ProductivityDefault*('5. Scenarios'!$B$11-1)))</f>
        <v/>
      </c>
      <c r="E1009" s="57" t="str">
        <f aca="false">IF($D1009="","",INDEX(BookRate,1004)*(1+'5. Scenarios'!$B$10)*$D1009)</f>
        <v/>
      </c>
      <c r="F1009" s="57" t="str">
        <f aca="false">IF($E1009="","",SUMIFS($E$6:$E$2405,$A$6:$A$2405,"&lt;="&amp;$A1009))</f>
        <v/>
      </c>
      <c r="G1009" s="57" t="str">
        <f aca="false">IF($E1009="","",IF($F1009&lt;=BankCostEnvelope*'5. Scenarios'!$B$7,1,0))</f>
        <v/>
      </c>
      <c r="H1009" s="57" t="str">
        <f aca="false">IF($D1009="","",INDEX(BookRate,1004)*(1+'5. Scenarios'!$B$10)*(INDEX(BookQ1,1004)*(5-MIN(4,1+'5. Scenarios'!$B$8))/4+INDEX(BookQ2,1004)*(5-MIN(4,2+'5. Scenarios'!$B$8))/4+INDEX(BookQ3,1004)*(5-MIN(4,3+'5. Scenarios'!$B$8))/4+INDEX(BookQ4,1004)*(5-MIN(4,4+'5. Scenarios'!$B$8))/4)*'5. Scenarios'!$B$6/(1+ProductivityDefault*('5. Scenarios'!$B$11-1))+INDEX(BookOneOff,1004)*$D1009)</f>
        <v/>
      </c>
      <c r="I1009" s="56" t="str">
        <f aca="false">IF(INDEX(BookTitle,1004)="","",INDEX(BookTotal,1004)*'5. Scenarios'!$C$6/(1+ProductivityDefault*('5. Scenarios'!$C$11-1)))</f>
        <v/>
      </c>
      <c r="J1009" s="57" t="str">
        <f aca="false">IF($I1009="","",INDEX(BookRate,1004)*(1+'5. Scenarios'!$C$10)*$I1009)</f>
        <v/>
      </c>
      <c r="K1009" s="57" t="str">
        <f aca="false">IF($J1009="","",SUMIFS($J$6:$J$2405,$A$6:$A$2405,"&lt;="&amp;$A1009))</f>
        <v/>
      </c>
      <c r="L1009" s="57" t="str">
        <f aca="false">IF($J1009="","",IF($K1009&lt;=BankCostEnvelope*'5. Scenarios'!$C$7,1,0))</f>
        <v/>
      </c>
      <c r="M1009" s="57" t="str">
        <f aca="false">IF($I1009="","",INDEX(BookRate,1004)*(1+'5. Scenarios'!$C$10)*(INDEX(BookQ1,1004)*(5-MIN(4,1+'5. Scenarios'!$C$8))/4+INDEX(BookQ2,1004)*(5-MIN(4,2+'5. Scenarios'!$C$8))/4+INDEX(BookQ3,1004)*(5-MIN(4,3+'5. Scenarios'!$C$8))/4+INDEX(BookQ4,1004)*(5-MIN(4,4+'5. Scenarios'!$C$8))/4)*'5. Scenarios'!$C$6/(1+ProductivityDefault*('5. Scenarios'!$C$11-1))+INDEX(BookOneOff,1004)*$I1009)</f>
        <v/>
      </c>
      <c r="N1009" s="56" t="str">
        <f aca="false">IF(INDEX(BookTitle,1004)="","",INDEX(BookTotal,1004)*'5. Scenarios'!$D$6/(1+ProductivityDefault*('5. Scenarios'!$D$11-1)))</f>
        <v/>
      </c>
      <c r="O1009" s="57" t="str">
        <f aca="false">IF($N1009="","",INDEX(BookRate,1004)*(1+'5. Scenarios'!$D$10)*$N1009)</f>
        <v/>
      </c>
      <c r="P1009" s="57" t="str">
        <f aca="false">IF($O1009="","",SUMIFS($O$6:$O$2405,$A$6:$A$2405,"&lt;="&amp;$A1009))</f>
        <v/>
      </c>
      <c r="Q1009" s="57" t="str">
        <f aca="false">IF($O1009="","",IF($P1009&lt;=BankCostEnvelope*'5. Scenarios'!$D$7,1,0))</f>
        <v/>
      </c>
      <c r="R1009" s="57" t="str">
        <f aca="false">IF($N1009="","",INDEX(BookRate,1004)*(1+'5. Scenarios'!$D$10)*(INDEX(BookQ1,1004)*(5-MIN(4,1+'5. Scenarios'!$D$8))/4+INDEX(BookQ2,1004)*(5-MIN(4,2+'5. Scenarios'!$D$8))/4+INDEX(BookQ3,1004)*(5-MIN(4,3+'5. Scenarios'!$D$8))/4+INDEX(BookQ4,1004)*(5-MIN(4,4+'5. Scenarios'!$D$8))/4)*'5. Scenarios'!$D$6/(1+ProductivityDefault*('5. Scenarios'!$D$11-1))+INDEX(BookOneOff,1004)*$N1009)</f>
        <v/>
      </c>
      <c r="S1009" s="56" t="str">
        <f aca="false">IF(INDEX(BookTitle,1004)="","",INDEX(BookTotal,1004)*'5. Scenarios'!$E$6/(1+ProductivityDefault*('5. Scenarios'!$E$11-1)))</f>
        <v/>
      </c>
      <c r="T1009" s="57" t="str">
        <f aca="false">IF($S1009="","",INDEX(BookRate,1004)*(1+'5. Scenarios'!$E$10)*$S1009)</f>
        <v/>
      </c>
      <c r="U1009" s="57" t="str">
        <f aca="false">IF($T1009="","",SUMIFS($T$6:$T$2405,$A$6:$A$2405,"&lt;="&amp;$A1009))</f>
        <v/>
      </c>
      <c r="V1009" s="57" t="str">
        <f aca="false">IF($T1009="","",IF($U1009&lt;=BankCostEnvelope*'5. Scenarios'!$E$7,1,0))</f>
        <v/>
      </c>
      <c r="W1009" s="57" t="str">
        <f aca="false">IF($S1009="","",INDEX(BookRate,1004)*(1+'5. Scenarios'!$E$10)*(INDEX(BookQ1,1004)*(5-MIN(4,1+'5. Scenarios'!$E$8))/4+INDEX(BookQ2,1004)*(5-MIN(4,2+'5. Scenarios'!$E$8))/4+INDEX(BookQ3,1004)*(5-MIN(4,3+'5. Scenarios'!$E$8))/4+INDEX(BookQ4,1004)*(5-MIN(4,4+'5. Scenarios'!$E$8))/4)*'5. Scenarios'!$E$6/(1+ProductivityDefault*('5. Scenarios'!$E$11-1))+INDEX(BookOneOff,1004)*$S1009)</f>
        <v/>
      </c>
    </row>
    <row r="1010" customFormat="false" ht="15" hidden="false" customHeight="false" outlineLevel="0" collapsed="false">
      <c r="A1010" s="0" t="str">
        <f aca="false">IF(INDEX(BookTitle,1005)="","",INDEX(BookKey,1005))</f>
        <v/>
      </c>
      <c r="B1010" s="0" t="str">
        <f aca="false">IF(INDEX(BookTitle,1005)="","",INDEX(BookGroup,1005))</f>
        <v/>
      </c>
      <c r="C1010" s="0" t="str">
        <f aca="false">IF(INDEX(BookTitle,1005)="","",INDEX(BookCategory,1005))</f>
        <v/>
      </c>
      <c r="D1010" s="56" t="str">
        <f aca="false">IF(INDEX(BookTitle,1005)="","",INDEX(BookTotal,1005)*'5. Scenarios'!$B$6/(1+ProductivityDefault*('5. Scenarios'!$B$11-1)))</f>
        <v/>
      </c>
      <c r="E1010" s="57" t="str">
        <f aca="false">IF($D1010="","",INDEX(BookRate,1005)*(1+'5. Scenarios'!$B$10)*$D1010)</f>
        <v/>
      </c>
      <c r="F1010" s="57" t="str">
        <f aca="false">IF($E1010="","",SUMIFS($E$6:$E$2405,$A$6:$A$2405,"&lt;="&amp;$A1010))</f>
        <v/>
      </c>
      <c r="G1010" s="57" t="str">
        <f aca="false">IF($E1010="","",IF($F1010&lt;=BankCostEnvelope*'5. Scenarios'!$B$7,1,0))</f>
        <v/>
      </c>
      <c r="H1010" s="57" t="str">
        <f aca="false">IF($D1010="","",INDEX(BookRate,1005)*(1+'5. Scenarios'!$B$10)*(INDEX(BookQ1,1005)*(5-MIN(4,1+'5. Scenarios'!$B$8))/4+INDEX(BookQ2,1005)*(5-MIN(4,2+'5. Scenarios'!$B$8))/4+INDEX(BookQ3,1005)*(5-MIN(4,3+'5. Scenarios'!$B$8))/4+INDEX(BookQ4,1005)*(5-MIN(4,4+'5. Scenarios'!$B$8))/4)*'5. Scenarios'!$B$6/(1+ProductivityDefault*('5. Scenarios'!$B$11-1))+INDEX(BookOneOff,1005)*$D1010)</f>
        <v/>
      </c>
      <c r="I1010" s="56" t="str">
        <f aca="false">IF(INDEX(BookTitle,1005)="","",INDEX(BookTotal,1005)*'5. Scenarios'!$C$6/(1+ProductivityDefault*('5. Scenarios'!$C$11-1)))</f>
        <v/>
      </c>
      <c r="J1010" s="57" t="str">
        <f aca="false">IF($I1010="","",INDEX(BookRate,1005)*(1+'5. Scenarios'!$C$10)*$I1010)</f>
        <v/>
      </c>
      <c r="K1010" s="57" t="str">
        <f aca="false">IF($J1010="","",SUMIFS($J$6:$J$2405,$A$6:$A$2405,"&lt;="&amp;$A1010))</f>
        <v/>
      </c>
      <c r="L1010" s="57" t="str">
        <f aca="false">IF($J1010="","",IF($K1010&lt;=BankCostEnvelope*'5. Scenarios'!$C$7,1,0))</f>
        <v/>
      </c>
      <c r="M1010" s="57" t="str">
        <f aca="false">IF($I1010="","",INDEX(BookRate,1005)*(1+'5. Scenarios'!$C$10)*(INDEX(BookQ1,1005)*(5-MIN(4,1+'5. Scenarios'!$C$8))/4+INDEX(BookQ2,1005)*(5-MIN(4,2+'5. Scenarios'!$C$8))/4+INDEX(BookQ3,1005)*(5-MIN(4,3+'5. Scenarios'!$C$8))/4+INDEX(BookQ4,1005)*(5-MIN(4,4+'5. Scenarios'!$C$8))/4)*'5. Scenarios'!$C$6/(1+ProductivityDefault*('5. Scenarios'!$C$11-1))+INDEX(BookOneOff,1005)*$I1010)</f>
        <v/>
      </c>
      <c r="N1010" s="56" t="str">
        <f aca="false">IF(INDEX(BookTitle,1005)="","",INDEX(BookTotal,1005)*'5. Scenarios'!$D$6/(1+ProductivityDefault*('5. Scenarios'!$D$11-1)))</f>
        <v/>
      </c>
      <c r="O1010" s="57" t="str">
        <f aca="false">IF($N1010="","",INDEX(BookRate,1005)*(1+'5. Scenarios'!$D$10)*$N1010)</f>
        <v/>
      </c>
      <c r="P1010" s="57" t="str">
        <f aca="false">IF($O1010="","",SUMIFS($O$6:$O$2405,$A$6:$A$2405,"&lt;="&amp;$A1010))</f>
        <v/>
      </c>
      <c r="Q1010" s="57" t="str">
        <f aca="false">IF($O1010="","",IF($P1010&lt;=BankCostEnvelope*'5. Scenarios'!$D$7,1,0))</f>
        <v/>
      </c>
      <c r="R1010" s="57" t="str">
        <f aca="false">IF($N1010="","",INDEX(BookRate,1005)*(1+'5. Scenarios'!$D$10)*(INDEX(BookQ1,1005)*(5-MIN(4,1+'5. Scenarios'!$D$8))/4+INDEX(BookQ2,1005)*(5-MIN(4,2+'5. Scenarios'!$D$8))/4+INDEX(BookQ3,1005)*(5-MIN(4,3+'5. Scenarios'!$D$8))/4+INDEX(BookQ4,1005)*(5-MIN(4,4+'5. Scenarios'!$D$8))/4)*'5. Scenarios'!$D$6/(1+ProductivityDefault*('5. Scenarios'!$D$11-1))+INDEX(BookOneOff,1005)*$N1010)</f>
        <v/>
      </c>
      <c r="S1010" s="56" t="str">
        <f aca="false">IF(INDEX(BookTitle,1005)="","",INDEX(BookTotal,1005)*'5. Scenarios'!$E$6/(1+ProductivityDefault*('5. Scenarios'!$E$11-1)))</f>
        <v/>
      </c>
      <c r="T1010" s="57" t="str">
        <f aca="false">IF($S1010="","",INDEX(BookRate,1005)*(1+'5. Scenarios'!$E$10)*$S1010)</f>
        <v/>
      </c>
      <c r="U1010" s="57" t="str">
        <f aca="false">IF($T1010="","",SUMIFS($T$6:$T$2405,$A$6:$A$2405,"&lt;="&amp;$A1010))</f>
        <v/>
      </c>
      <c r="V1010" s="57" t="str">
        <f aca="false">IF($T1010="","",IF($U1010&lt;=BankCostEnvelope*'5. Scenarios'!$E$7,1,0))</f>
        <v/>
      </c>
      <c r="W1010" s="57" t="str">
        <f aca="false">IF($S1010="","",INDEX(BookRate,1005)*(1+'5. Scenarios'!$E$10)*(INDEX(BookQ1,1005)*(5-MIN(4,1+'5. Scenarios'!$E$8))/4+INDEX(BookQ2,1005)*(5-MIN(4,2+'5. Scenarios'!$E$8))/4+INDEX(BookQ3,1005)*(5-MIN(4,3+'5. Scenarios'!$E$8))/4+INDEX(BookQ4,1005)*(5-MIN(4,4+'5. Scenarios'!$E$8))/4)*'5. Scenarios'!$E$6/(1+ProductivityDefault*('5. Scenarios'!$E$11-1))+INDEX(BookOneOff,1005)*$S1010)</f>
        <v/>
      </c>
    </row>
    <row r="1011" customFormat="false" ht="15" hidden="false" customHeight="false" outlineLevel="0" collapsed="false">
      <c r="A1011" s="0" t="str">
        <f aca="false">IF(INDEX(BookTitle,1006)="","",INDEX(BookKey,1006))</f>
        <v/>
      </c>
      <c r="B1011" s="0" t="str">
        <f aca="false">IF(INDEX(BookTitle,1006)="","",INDEX(BookGroup,1006))</f>
        <v/>
      </c>
      <c r="C1011" s="0" t="str">
        <f aca="false">IF(INDEX(BookTitle,1006)="","",INDEX(BookCategory,1006))</f>
        <v/>
      </c>
      <c r="D1011" s="56" t="str">
        <f aca="false">IF(INDEX(BookTitle,1006)="","",INDEX(BookTotal,1006)*'5. Scenarios'!$B$6/(1+ProductivityDefault*('5. Scenarios'!$B$11-1)))</f>
        <v/>
      </c>
      <c r="E1011" s="57" t="str">
        <f aca="false">IF($D1011="","",INDEX(BookRate,1006)*(1+'5. Scenarios'!$B$10)*$D1011)</f>
        <v/>
      </c>
      <c r="F1011" s="57" t="str">
        <f aca="false">IF($E1011="","",SUMIFS($E$6:$E$2405,$A$6:$A$2405,"&lt;="&amp;$A1011))</f>
        <v/>
      </c>
      <c r="G1011" s="57" t="str">
        <f aca="false">IF($E1011="","",IF($F1011&lt;=BankCostEnvelope*'5. Scenarios'!$B$7,1,0))</f>
        <v/>
      </c>
      <c r="H1011" s="57" t="str">
        <f aca="false">IF($D1011="","",INDEX(BookRate,1006)*(1+'5. Scenarios'!$B$10)*(INDEX(BookQ1,1006)*(5-MIN(4,1+'5. Scenarios'!$B$8))/4+INDEX(BookQ2,1006)*(5-MIN(4,2+'5. Scenarios'!$B$8))/4+INDEX(BookQ3,1006)*(5-MIN(4,3+'5. Scenarios'!$B$8))/4+INDEX(BookQ4,1006)*(5-MIN(4,4+'5. Scenarios'!$B$8))/4)*'5. Scenarios'!$B$6/(1+ProductivityDefault*('5. Scenarios'!$B$11-1))+INDEX(BookOneOff,1006)*$D1011)</f>
        <v/>
      </c>
      <c r="I1011" s="56" t="str">
        <f aca="false">IF(INDEX(BookTitle,1006)="","",INDEX(BookTotal,1006)*'5. Scenarios'!$C$6/(1+ProductivityDefault*('5. Scenarios'!$C$11-1)))</f>
        <v/>
      </c>
      <c r="J1011" s="57" t="str">
        <f aca="false">IF($I1011="","",INDEX(BookRate,1006)*(1+'5. Scenarios'!$C$10)*$I1011)</f>
        <v/>
      </c>
      <c r="K1011" s="57" t="str">
        <f aca="false">IF($J1011="","",SUMIFS($J$6:$J$2405,$A$6:$A$2405,"&lt;="&amp;$A1011))</f>
        <v/>
      </c>
      <c r="L1011" s="57" t="str">
        <f aca="false">IF($J1011="","",IF($K1011&lt;=BankCostEnvelope*'5. Scenarios'!$C$7,1,0))</f>
        <v/>
      </c>
      <c r="M1011" s="57" t="str">
        <f aca="false">IF($I1011="","",INDEX(BookRate,1006)*(1+'5. Scenarios'!$C$10)*(INDEX(BookQ1,1006)*(5-MIN(4,1+'5. Scenarios'!$C$8))/4+INDEX(BookQ2,1006)*(5-MIN(4,2+'5. Scenarios'!$C$8))/4+INDEX(BookQ3,1006)*(5-MIN(4,3+'5. Scenarios'!$C$8))/4+INDEX(BookQ4,1006)*(5-MIN(4,4+'5. Scenarios'!$C$8))/4)*'5. Scenarios'!$C$6/(1+ProductivityDefault*('5. Scenarios'!$C$11-1))+INDEX(BookOneOff,1006)*$I1011)</f>
        <v/>
      </c>
      <c r="N1011" s="56" t="str">
        <f aca="false">IF(INDEX(BookTitle,1006)="","",INDEX(BookTotal,1006)*'5. Scenarios'!$D$6/(1+ProductivityDefault*('5. Scenarios'!$D$11-1)))</f>
        <v/>
      </c>
      <c r="O1011" s="57" t="str">
        <f aca="false">IF($N1011="","",INDEX(BookRate,1006)*(1+'5. Scenarios'!$D$10)*$N1011)</f>
        <v/>
      </c>
      <c r="P1011" s="57" t="str">
        <f aca="false">IF($O1011="","",SUMIFS($O$6:$O$2405,$A$6:$A$2405,"&lt;="&amp;$A1011))</f>
        <v/>
      </c>
      <c r="Q1011" s="57" t="str">
        <f aca="false">IF($O1011="","",IF($P1011&lt;=BankCostEnvelope*'5. Scenarios'!$D$7,1,0))</f>
        <v/>
      </c>
      <c r="R1011" s="57" t="str">
        <f aca="false">IF($N1011="","",INDEX(BookRate,1006)*(1+'5. Scenarios'!$D$10)*(INDEX(BookQ1,1006)*(5-MIN(4,1+'5. Scenarios'!$D$8))/4+INDEX(BookQ2,1006)*(5-MIN(4,2+'5. Scenarios'!$D$8))/4+INDEX(BookQ3,1006)*(5-MIN(4,3+'5. Scenarios'!$D$8))/4+INDEX(BookQ4,1006)*(5-MIN(4,4+'5. Scenarios'!$D$8))/4)*'5. Scenarios'!$D$6/(1+ProductivityDefault*('5. Scenarios'!$D$11-1))+INDEX(BookOneOff,1006)*$N1011)</f>
        <v/>
      </c>
      <c r="S1011" s="56" t="str">
        <f aca="false">IF(INDEX(BookTitle,1006)="","",INDEX(BookTotal,1006)*'5. Scenarios'!$E$6/(1+ProductivityDefault*('5. Scenarios'!$E$11-1)))</f>
        <v/>
      </c>
      <c r="T1011" s="57" t="str">
        <f aca="false">IF($S1011="","",INDEX(BookRate,1006)*(1+'5. Scenarios'!$E$10)*$S1011)</f>
        <v/>
      </c>
      <c r="U1011" s="57" t="str">
        <f aca="false">IF($T1011="","",SUMIFS($T$6:$T$2405,$A$6:$A$2405,"&lt;="&amp;$A1011))</f>
        <v/>
      </c>
      <c r="V1011" s="57" t="str">
        <f aca="false">IF($T1011="","",IF($U1011&lt;=BankCostEnvelope*'5. Scenarios'!$E$7,1,0))</f>
        <v/>
      </c>
      <c r="W1011" s="57" t="str">
        <f aca="false">IF($S1011="","",INDEX(BookRate,1006)*(1+'5. Scenarios'!$E$10)*(INDEX(BookQ1,1006)*(5-MIN(4,1+'5. Scenarios'!$E$8))/4+INDEX(BookQ2,1006)*(5-MIN(4,2+'5. Scenarios'!$E$8))/4+INDEX(BookQ3,1006)*(5-MIN(4,3+'5. Scenarios'!$E$8))/4+INDEX(BookQ4,1006)*(5-MIN(4,4+'5. Scenarios'!$E$8))/4)*'5. Scenarios'!$E$6/(1+ProductivityDefault*('5. Scenarios'!$E$11-1))+INDEX(BookOneOff,1006)*$S1011)</f>
        <v/>
      </c>
    </row>
    <row r="1012" customFormat="false" ht="15" hidden="false" customHeight="false" outlineLevel="0" collapsed="false">
      <c r="A1012" s="0" t="str">
        <f aca="false">IF(INDEX(BookTitle,1007)="","",INDEX(BookKey,1007))</f>
        <v/>
      </c>
      <c r="B1012" s="0" t="str">
        <f aca="false">IF(INDEX(BookTitle,1007)="","",INDEX(BookGroup,1007))</f>
        <v/>
      </c>
      <c r="C1012" s="0" t="str">
        <f aca="false">IF(INDEX(BookTitle,1007)="","",INDEX(BookCategory,1007))</f>
        <v/>
      </c>
      <c r="D1012" s="56" t="str">
        <f aca="false">IF(INDEX(BookTitle,1007)="","",INDEX(BookTotal,1007)*'5. Scenarios'!$B$6/(1+ProductivityDefault*('5. Scenarios'!$B$11-1)))</f>
        <v/>
      </c>
      <c r="E1012" s="57" t="str">
        <f aca="false">IF($D1012="","",INDEX(BookRate,1007)*(1+'5. Scenarios'!$B$10)*$D1012)</f>
        <v/>
      </c>
      <c r="F1012" s="57" t="str">
        <f aca="false">IF($E1012="","",SUMIFS($E$6:$E$2405,$A$6:$A$2405,"&lt;="&amp;$A1012))</f>
        <v/>
      </c>
      <c r="G1012" s="57" t="str">
        <f aca="false">IF($E1012="","",IF($F1012&lt;=BankCostEnvelope*'5. Scenarios'!$B$7,1,0))</f>
        <v/>
      </c>
      <c r="H1012" s="57" t="str">
        <f aca="false">IF($D1012="","",INDEX(BookRate,1007)*(1+'5. Scenarios'!$B$10)*(INDEX(BookQ1,1007)*(5-MIN(4,1+'5. Scenarios'!$B$8))/4+INDEX(BookQ2,1007)*(5-MIN(4,2+'5. Scenarios'!$B$8))/4+INDEX(BookQ3,1007)*(5-MIN(4,3+'5. Scenarios'!$B$8))/4+INDEX(BookQ4,1007)*(5-MIN(4,4+'5. Scenarios'!$B$8))/4)*'5. Scenarios'!$B$6/(1+ProductivityDefault*('5. Scenarios'!$B$11-1))+INDEX(BookOneOff,1007)*$D1012)</f>
        <v/>
      </c>
      <c r="I1012" s="56" t="str">
        <f aca="false">IF(INDEX(BookTitle,1007)="","",INDEX(BookTotal,1007)*'5. Scenarios'!$C$6/(1+ProductivityDefault*('5. Scenarios'!$C$11-1)))</f>
        <v/>
      </c>
      <c r="J1012" s="57" t="str">
        <f aca="false">IF($I1012="","",INDEX(BookRate,1007)*(1+'5. Scenarios'!$C$10)*$I1012)</f>
        <v/>
      </c>
      <c r="K1012" s="57" t="str">
        <f aca="false">IF($J1012="","",SUMIFS($J$6:$J$2405,$A$6:$A$2405,"&lt;="&amp;$A1012))</f>
        <v/>
      </c>
      <c r="L1012" s="57" t="str">
        <f aca="false">IF($J1012="","",IF($K1012&lt;=BankCostEnvelope*'5. Scenarios'!$C$7,1,0))</f>
        <v/>
      </c>
      <c r="M1012" s="57" t="str">
        <f aca="false">IF($I1012="","",INDEX(BookRate,1007)*(1+'5. Scenarios'!$C$10)*(INDEX(BookQ1,1007)*(5-MIN(4,1+'5. Scenarios'!$C$8))/4+INDEX(BookQ2,1007)*(5-MIN(4,2+'5. Scenarios'!$C$8))/4+INDEX(BookQ3,1007)*(5-MIN(4,3+'5. Scenarios'!$C$8))/4+INDEX(BookQ4,1007)*(5-MIN(4,4+'5. Scenarios'!$C$8))/4)*'5. Scenarios'!$C$6/(1+ProductivityDefault*('5. Scenarios'!$C$11-1))+INDEX(BookOneOff,1007)*$I1012)</f>
        <v/>
      </c>
      <c r="N1012" s="56" t="str">
        <f aca="false">IF(INDEX(BookTitle,1007)="","",INDEX(BookTotal,1007)*'5. Scenarios'!$D$6/(1+ProductivityDefault*('5. Scenarios'!$D$11-1)))</f>
        <v/>
      </c>
      <c r="O1012" s="57" t="str">
        <f aca="false">IF($N1012="","",INDEX(BookRate,1007)*(1+'5. Scenarios'!$D$10)*$N1012)</f>
        <v/>
      </c>
      <c r="P1012" s="57" t="str">
        <f aca="false">IF($O1012="","",SUMIFS($O$6:$O$2405,$A$6:$A$2405,"&lt;="&amp;$A1012))</f>
        <v/>
      </c>
      <c r="Q1012" s="57" t="str">
        <f aca="false">IF($O1012="","",IF($P1012&lt;=BankCostEnvelope*'5. Scenarios'!$D$7,1,0))</f>
        <v/>
      </c>
      <c r="R1012" s="57" t="str">
        <f aca="false">IF($N1012="","",INDEX(BookRate,1007)*(1+'5. Scenarios'!$D$10)*(INDEX(BookQ1,1007)*(5-MIN(4,1+'5. Scenarios'!$D$8))/4+INDEX(BookQ2,1007)*(5-MIN(4,2+'5. Scenarios'!$D$8))/4+INDEX(BookQ3,1007)*(5-MIN(4,3+'5. Scenarios'!$D$8))/4+INDEX(BookQ4,1007)*(5-MIN(4,4+'5. Scenarios'!$D$8))/4)*'5. Scenarios'!$D$6/(1+ProductivityDefault*('5. Scenarios'!$D$11-1))+INDEX(BookOneOff,1007)*$N1012)</f>
        <v/>
      </c>
      <c r="S1012" s="56" t="str">
        <f aca="false">IF(INDEX(BookTitle,1007)="","",INDEX(BookTotal,1007)*'5. Scenarios'!$E$6/(1+ProductivityDefault*('5. Scenarios'!$E$11-1)))</f>
        <v/>
      </c>
      <c r="T1012" s="57" t="str">
        <f aca="false">IF($S1012="","",INDEX(BookRate,1007)*(1+'5. Scenarios'!$E$10)*$S1012)</f>
        <v/>
      </c>
      <c r="U1012" s="57" t="str">
        <f aca="false">IF($T1012="","",SUMIFS($T$6:$T$2405,$A$6:$A$2405,"&lt;="&amp;$A1012))</f>
        <v/>
      </c>
      <c r="V1012" s="57" t="str">
        <f aca="false">IF($T1012="","",IF($U1012&lt;=BankCostEnvelope*'5. Scenarios'!$E$7,1,0))</f>
        <v/>
      </c>
      <c r="W1012" s="57" t="str">
        <f aca="false">IF($S1012="","",INDEX(BookRate,1007)*(1+'5. Scenarios'!$E$10)*(INDEX(BookQ1,1007)*(5-MIN(4,1+'5. Scenarios'!$E$8))/4+INDEX(BookQ2,1007)*(5-MIN(4,2+'5. Scenarios'!$E$8))/4+INDEX(BookQ3,1007)*(5-MIN(4,3+'5. Scenarios'!$E$8))/4+INDEX(BookQ4,1007)*(5-MIN(4,4+'5. Scenarios'!$E$8))/4)*'5. Scenarios'!$E$6/(1+ProductivityDefault*('5. Scenarios'!$E$11-1))+INDEX(BookOneOff,1007)*$S1012)</f>
        <v/>
      </c>
    </row>
    <row r="1013" customFormat="false" ht="15" hidden="false" customHeight="false" outlineLevel="0" collapsed="false">
      <c r="A1013" s="0" t="str">
        <f aca="false">IF(INDEX(BookTitle,1008)="","",INDEX(BookKey,1008))</f>
        <v/>
      </c>
      <c r="B1013" s="0" t="str">
        <f aca="false">IF(INDEX(BookTitle,1008)="","",INDEX(BookGroup,1008))</f>
        <v/>
      </c>
      <c r="C1013" s="0" t="str">
        <f aca="false">IF(INDEX(BookTitle,1008)="","",INDEX(BookCategory,1008))</f>
        <v/>
      </c>
      <c r="D1013" s="56" t="str">
        <f aca="false">IF(INDEX(BookTitle,1008)="","",INDEX(BookTotal,1008)*'5. Scenarios'!$B$6/(1+ProductivityDefault*('5. Scenarios'!$B$11-1)))</f>
        <v/>
      </c>
      <c r="E1013" s="57" t="str">
        <f aca="false">IF($D1013="","",INDEX(BookRate,1008)*(1+'5. Scenarios'!$B$10)*$D1013)</f>
        <v/>
      </c>
      <c r="F1013" s="57" t="str">
        <f aca="false">IF($E1013="","",SUMIFS($E$6:$E$2405,$A$6:$A$2405,"&lt;="&amp;$A1013))</f>
        <v/>
      </c>
      <c r="G1013" s="57" t="str">
        <f aca="false">IF($E1013="","",IF($F1013&lt;=BankCostEnvelope*'5. Scenarios'!$B$7,1,0))</f>
        <v/>
      </c>
      <c r="H1013" s="57" t="str">
        <f aca="false">IF($D1013="","",INDEX(BookRate,1008)*(1+'5. Scenarios'!$B$10)*(INDEX(BookQ1,1008)*(5-MIN(4,1+'5. Scenarios'!$B$8))/4+INDEX(BookQ2,1008)*(5-MIN(4,2+'5. Scenarios'!$B$8))/4+INDEX(BookQ3,1008)*(5-MIN(4,3+'5. Scenarios'!$B$8))/4+INDEX(BookQ4,1008)*(5-MIN(4,4+'5. Scenarios'!$B$8))/4)*'5. Scenarios'!$B$6/(1+ProductivityDefault*('5. Scenarios'!$B$11-1))+INDEX(BookOneOff,1008)*$D1013)</f>
        <v/>
      </c>
      <c r="I1013" s="56" t="str">
        <f aca="false">IF(INDEX(BookTitle,1008)="","",INDEX(BookTotal,1008)*'5. Scenarios'!$C$6/(1+ProductivityDefault*('5. Scenarios'!$C$11-1)))</f>
        <v/>
      </c>
      <c r="J1013" s="57" t="str">
        <f aca="false">IF($I1013="","",INDEX(BookRate,1008)*(1+'5. Scenarios'!$C$10)*$I1013)</f>
        <v/>
      </c>
      <c r="K1013" s="57" t="str">
        <f aca="false">IF($J1013="","",SUMIFS($J$6:$J$2405,$A$6:$A$2405,"&lt;="&amp;$A1013))</f>
        <v/>
      </c>
      <c r="L1013" s="57" t="str">
        <f aca="false">IF($J1013="","",IF($K1013&lt;=BankCostEnvelope*'5. Scenarios'!$C$7,1,0))</f>
        <v/>
      </c>
      <c r="M1013" s="57" t="str">
        <f aca="false">IF($I1013="","",INDEX(BookRate,1008)*(1+'5. Scenarios'!$C$10)*(INDEX(BookQ1,1008)*(5-MIN(4,1+'5. Scenarios'!$C$8))/4+INDEX(BookQ2,1008)*(5-MIN(4,2+'5. Scenarios'!$C$8))/4+INDEX(BookQ3,1008)*(5-MIN(4,3+'5. Scenarios'!$C$8))/4+INDEX(BookQ4,1008)*(5-MIN(4,4+'5. Scenarios'!$C$8))/4)*'5. Scenarios'!$C$6/(1+ProductivityDefault*('5. Scenarios'!$C$11-1))+INDEX(BookOneOff,1008)*$I1013)</f>
        <v/>
      </c>
      <c r="N1013" s="56" t="str">
        <f aca="false">IF(INDEX(BookTitle,1008)="","",INDEX(BookTotal,1008)*'5. Scenarios'!$D$6/(1+ProductivityDefault*('5. Scenarios'!$D$11-1)))</f>
        <v/>
      </c>
      <c r="O1013" s="57" t="str">
        <f aca="false">IF($N1013="","",INDEX(BookRate,1008)*(1+'5. Scenarios'!$D$10)*$N1013)</f>
        <v/>
      </c>
      <c r="P1013" s="57" t="str">
        <f aca="false">IF($O1013="","",SUMIFS($O$6:$O$2405,$A$6:$A$2405,"&lt;="&amp;$A1013))</f>
        <v/>
      </c>
      <c r="Q1013" s="57" t="str">
        <f aca="false">IF($O1013="","",IF($P1013&lt;=BankCostEnvelope*'5. Scenarios'!$D$7,1,0))</f>
        <v/>
      </c>
      <c r="R1013" s="57" t="str">
        <f aca="false">IF($N1013="","",INDEX(BookRate,1008)*(1+'5. Scenarios'!$D$10)*(INDEX(BookQ1,1008)*(5-MIN(4,1+'5. Scenarios'!$D$8))/4+INDEX(BookQ2,1008)*(5-MIN(4,2+'5. Scenarios'!$D$8))/4+INDEX(BookQ3,1008)*(5-MIN(4,3+'5. Scenarios'!$D$8))/4+INDEX(BookQ4,1008)*(5-MIN(4,4+'5. Scenarios'!$D$8))/4)*'5. Scenarios'!$D$6/(1+ProductivityDefault*('5. Scenarios'!$D$11-1))+INDEX(BookOneOff,1008)*$N1013)</f>
        <v/>
      </c>
      <c r="S1013" s="56" t="str">
        <f aca="false">IF(INDEX(BookTitle,1008)="","",INDEX(BookTotal,1008)*'5. Scenarios'!$E$6/(1+ProductivityDefault*('5. Scenarios'!$E$11-1)))</f>
        <v/>
      </c>
      <c r="T1013" s="57" t="str">
        <f aca="false">IF($S1013="","",INDEX(BookRate,1008)*(1+'5. Scenarios'!$E$10)*$S1013)</f>
        <v/>
      </c>
      <c r="U1013" s="57" t="str">
        <f aca="false">IF($T1013="","",SUMIFS($T$6:$T$2405,$A$6:$A$2405,"&lt;="&amp;$A1013))</f>
        <v/>
      </c>
      <c r="V1013" s="57" t="str">
        <f aca="false">IF($T1013="","",IF($U1013&lt;=BankCostEnvelope*'5. Scenarios'!$E$7,1,0))</f>
        <v/>
      </c>
      <c r="W1013" s="57" t="str">
        <f aca="false">IF($S1013="","",INDEX(BookRate,1008)*(1+'5. Scenarios'!$E$10)*(INDEX(BookQ1,1008)*(5-MIN(4,1+'5. Scenarios'!$E$8))/4+INDEX(BookQ2,1008)*(5-MIN(4,2+'5. Scenarios'!$E$8))/4+INDEX(BookQ3,1008)*(5-MIN(4,3+'5. Scenarios'!$E$8))/4+INDEX(BookQ4,1008)*(5-MIN(4,4+'5. Scenarios'!$E$8))/4)*'5. Scenarios'!$E$6/(1+ProductivityDefault*('5. Scenarios'!$E$11-1))+INDEX(BookOneOff,1008)*$S1013)</f>
        <v/>
      </c>
    </row>
    <row r="1014" customFormat="false" ht="15" hidden="false" customHeight="false" outlineLevel="0" collapsed="false">
      <c r="A1014" s="0" t="str">
        <f aca="false">IF(INDEX(BookTitle,1009)="","",INDEX(BookKey,1009))</f>
        <v/>
      </c>
      <c r="B1014" s="0" t="str">
        <f aca="false">IF(INDEX(BookTitle,1009)="","",INDEX(BookGroup,1009))</f>
        <v/>
      </c>
      <c r="C1014" s="0" t="str">
        <f aca="false">IF(INDEX(BookTitle,1009)="","",INDEX(BookCategory,1009))</f>
        <v/>
      </c>
      <c r="D1014" s="56" t="str">
        <f aca="false">IF(INDEX(BookTitle,1009)="","",INDEX(BookTotal,1009)*'5. Scenarios'!$B$6/(1+ProductivityDefault*('5. Scenarios'!$B$11-1)))</f>
        <v/>
      </c>
      <c r="E1014" s="57" t="str">
        <f aca="false">IF($D1014="","",INDEX(BookRate,1009)*(1+'5. Scenarios'!$B$10)*$D1014)</f>
        <v/>
      </c>
      <c r="F1014" s="57" t="str">
        <f aca="false">IF($E1014="","",SUMIFS($E$6:$E$2405,$A$6:$A$2405,"&lt;="&amp;$A1014))</f>
        <v/>
      </c>
      <c r="G1014" s="57" t="str">
        <f aca="false">IF($E1014="","",IF($F1014&lt;=BankCostEnvelope*'5. Scenarios'!$B$7,1,0))</f>
        <v/>
      </c>
      <c r="H1014" s="57" t="str">
        <f aca="false">IF($D1014="","",INDEX(BookRate,1009)*(1+'5. Scenarios'!$B$10)*(INDEX(BookQ1,1009)*(5-MIN(4,1+'5. Scenarios'!$B$8))/4+INDEX(BookQ2,1009)*(5-MIN(4,2+'5. Scenarios'!$B$8))/4+INDEX(BookQ3,1009)*(5-MIN(4,3+'5. Scenarios'!$B$8))/4+INDEX(BookQ4,1009)*(5-MIN(4,4+'5. Scenarios'!$B$8))/4)*'5. Scenarios'!$B$6/(1+ProductivityDefault*('5. Scenarios'!$B$11-1))+INDEX(BookOneOff,1009)*$D1014)</f>
        <v/>
      </c>
      <c r="I1014" s="56" t="str">
        <f aca="false">IF(INDEX(BookTitle,1009)="","",INDEX(BookTotal,1009)*'5. Scenarios'!$C$6/(1+ProductivityDefault*('5. Scenarios'!$C$11-1)))</f>
        <v/>
      </c>
      <c r="J1014" s="57" t="str">
        <f aca="false">IF($I1014="","",INDEX(BookRate,1009)*(1+'5. Scenarios'!$C$10)*$I1014)</f>
        <v/>
      </c>
      <c r="K1014" s="57" t="str">
        <f aca="false">IF($J1014="","",SUMIFS($J$6:$J$2405,$A$6:$A$2405,"&lt;="&amp;$A1014))</f>
        <v/>
      </c>
      <c r="L1014" s="57" t="str">
        <f aca="false">IF($J1014="","",IF($K1014&lt;=BankCostEnvelope*'5. Scenarios'!$C$7,1,0))</f>
        <v/>
      </c>
      <c r="M1014" s="57" t="str">
        <f aca="false">IF($I1014="","",INDEX(BookRate,1009)*(1+'5. Scenarios'!$C$10)*(INDEX(BookQ1,1009)*(5-MIN(4,1+'5. Scenarios'!$C$8))/4+INDEX(BookQ2,1009)*(5-MIN(4,2+'5. Scenarios'!$C$8))/4+INDEX(BookQ3,1009)*(5-MIN(4,3+'5. Scenarios'!$C$8))/4+INDEX(BookQ4,1009)*(5-MIN(4,4+'5. Scenarios'!$C$8))/4)*'5. Scenarios'!$C$6/(1+ProductivityDefault*('5. Scenarios'!$C$11-1))+INDEX(BookOneOff,1009)*$I1014)</f>
        <v/>
      </c>
      <c r="N1014" s="56" t="str">
        <f aca="false">IF(INDEX(BookTitle,1009)="","",INDEX(BookTotal,1009)*'5. Scenarios'!$D$6/(1+ProductivityDefault*('5. Scenarios'!$D$11-1)))</f>
        <v/>
      </c>
      <c r="O1014" s="57" t="str">
        <f aca="false">IF($N1014="","",INDEX(BookRate,1009)*(1+'5. Scenarios'!$D$10)*$N1014)</f>
        <v/>
      </c>
      <c r="P1014" s="57" t="str">
        <f aca="false">IF($O1014="","",SUMIFS($O$6:$O$2405,$A$6:$A$2405,"&lt;="&amp;$A1014))</f>
        <v/>
      </c>
      <c r="Q1014" s="57" t="str">
        <f aca="false">IF($O1014="","",IF($P1014&lt;=BankCostEnvelope*'5. Scenarios'!$D$7,1,0))</f>
        <v/>
      </c>
      <c r="R1014" s="57" t="str">
        <f aca="false">IF($N1014="","",INDEX(BookRate,1009)*(1+'5. Scenarios'!$D$10)*(INDEX(BookQ1,1009)*(5-MIN(4,1+'5. Scenarios'!$D$8))/4+INDEX(BookQ2,1009)*(5-MIN(4,2+'5. Scenarios'!$D$8))/4+INDEX(BookQ3,1009)*(5-MIN(4,3+'5. Scenarios'!$D$8))/4+INDEX(BookQ4,1009)*(5-MIN(4,4+'5. Scenarios'!$D$8))/4)*'5. Scenarios'!$D$6/(1+ProductivityDefault*('5. Scenarios'!$D$11-1))+INDEX(BookOneOff,1009)*$N1014)</f>
        <v/>
      </c>
      <c r="S1014" s="56" t="str">
        <f aca="false">IF(INDEX(BookTitle,1009)="","",INDEX(BookTotal,1009)*'5. Scenarios'!$E$6/(1+ProductivityDefault*('5. Scenarios'!$E$11-1)))</f>
        <v/>
      </c>
      <c r="T1014" s="57" t="str">
        <f aca="false">IF($S1014="","",INDEX(BookRate,1009)*(1+'5. Scenarios'!$E$10)*$S1014)</f>
        <v/>
      </c>
      <c r="U1014" s="57" t="str">
        <f aca="false">IF($T1014="","",SUMIFS($T$6:$T$2405,$A$6:$A$2405,"&lt;="&amp;$A1014))</f>
        <v/>
      </c>
      <c r="V1014" s="57" t="str">
        <f aca="false">IF($T1014="","",IF($U1014&lt;=BankCostEnvelope*'5. Scenarios'!$E$7,1,0))</f>
        <v/>
      </c>
      <c r="W1014" s="57" t="str">
        <f aca="false">IF($S1014="","",INDEX(BookRate,1009)*(1+'5. Scenarios'!$E$10)*(INDEX(BookQ1,1009)*(5-MIN(4,1+'5. Scenarios'!$E$8))/4+INDEX(BookQ2,1009)*(5-MIN(4,2+'5. Scenarios'!$E$8))/4+INDEX(BookQ3,1009)*(5-MIN(4,3+'5. Scenarios'!$E$8))/4+INDEX(BookQ4,1009)*(5-MIN(4,4+'5. Scenarios'!$E$8))/4)*'5. Scenarios'!$E$6/(1+ProductivityDefault*('5. Scenarios'!$E$11-1))+INDEX(BookOneOff,1009)*$S1014)</f>
        <v/>
      </c>
    </row>
    <row r="1015" customFormat="false" ht="15" hidden="false" customHeight="false" outlineLevel="0" collapsed="false">
      <c r="A1015" s="0" t="str">
        <f aca="false">IF(INDEX(BookTitle,1010)="","",INDEX(BookKey,1010))</f>
        <v/>
      </c>
      <c r="B1015" s="0" t="str">
        <f aca="false">IF(INDEX(BookTitle,1010)="","",INDEX(BookGroup,1010))</f>
        <v/>
      </c>
      <c r="C1015" s="0" t="str">
        <f aca="false">IF(INDEX(BookTitle,1010)="","",INDEX(BookCategory,1010))</f>
        <v/>
      </c>
      <c r="D1015" s="56" t="str">
        <f aca="false">IF(INDEX(BookTitle,1010)="","",INDEX(BookTotal,1010)*'5. Scenarios'!$B$6/(1+ProductivityDefault*('5. Scenarios'!$B$11-1)))</f>
        <v/>
      </c>
      <c r="E1015" s="57" t="str">
        <f aca="false">IF($D1015="","",INDEX(BookRate,1010)*(1+'5. Scenarios'!$B$10)*$D1015)</f>
        <v/>
      </c>
      <c r="F1015" s="57" t="str">
        <f aca="false">IF($E1015="","",SUMIFS($E$6:$E$2405,$A$6:$A$2405,"&lt;="&amp;$A1015))</f>
        <v/>
      </c>
      <c r="G1015" s="57" t="str">
        <f aca="false">IF($E1015="","",IF($F1015&lt;=BankCostEnvelope*'5. Scenarios'!$B$7,1,0))</f>
        <v/>
      </c>
      <c r="H1015" s="57" t="str">
        <f aca="false">IF($D1015="","",INDEX(BookRate,1010)*(1+'5. Scenarios'!$B$10)*(INDEX(BookQ1,1010)*(5-MIN(4,1+'5. Scenarios'!$B$8))/4+INDEX(BookQ2,1010)*(5-MIN(4,2+'5. Scenarios'!$B$8))/4+INDEX(BookQ3,1010)*(5-MIN(4,3+'5. Scenarios'!$B$8))/4+INDEX(BookQ4,1010)*(5-MIN(4,4+'5. Scenarios'!$B$8))/4)*'5. Scenarios'!$B$6/(1+ProductivityDefault*('5. Scenarios'!$B$11-1))+INDEX(BookOneOff,1010)*$D1015)</f>
        <v/>
      </c>
      <c r="I1015" s="56" t="str">
        <f aca="false">IF(INDEX(BookTitle,1010)="","",INDEX(BookTotal,1010)*'5. Scenarios'!$C$6/(1+ProductivityDefault*('5. Scenarios'!$C$11-1)))</f>
        <v/>
      </c>
      <c r="J1015" s="57" t="str">
        <f aca="false">IF($I1015="","",INDEX(BookRate,1010)*(1+'5. Scenarios'!$C$10)*$I1015)</f>
        <v/>
      </c>
      <c r="K1015" s="57" t="str">
        <f aca="false">IF($J1015="","",SUMIFS($J$6:$J$2405,$A$6:$A$2405,"&lt;="&amp;$A1015))</f>
        <v/>
      </c>
      <c r="L1015" s="57" t="str">
        <f aca="false">IF($J1015="","",IF($K1015&lt;=BankCostEnvelope*'5. Scenarios'!$C$7,1,0))</f>
        <v/>
      </c>
      <c r="M1015" s="57" t="str">
        <f aca="false">IF($I1015="","",INDEX(BookRate,1010)*(1+'5. Scenarios'!$C$10)*(INDEX(BookQ1,1010)*(5-MIN(4,1+'5. Scenarios'!$C$8))/4+INDEX(BookQ2,1010)*(5-MIN(4,2+'5. Scenarios'!$C$8))/4+INDEX(BookQ3,1010)*(5-MIN(4,3+'5. Scenarios'!$C$8))/4+INDEX(BookQ4,1010)*(5-MIN(4,4+'5. Scenarios'!$C$8))/4)*'5. Scenarios'!$C$6/(1+ProductivityDefault*('5. Scenarios'!$C$11-1))+INDEX(BookOneOff,1010)*$I1015)</f>
        <v/>
      </c>
      <c r="N1015" s="56" t="str">
        <f aca="false">IF(INDEX(BookTitle,1010)="","",INDEX(BookTotal,1010)*'5. Scenarios'!$D$6/(1+ProductivityDefault*('5. Scenarios'!$D$11-1)))</f>
        <v/>
      </c>
      <c r="O1015" s="57" t="str">
        <f aca="false">IF($N1015="","",INDEX(BookRate,1010)*(1+'5. Scenarios'!$D$10)*$N1015)</f>
        <v/>
      </c>
      <c r="P1015" s="57" t="str">
        <f aca="false">IF($O1015="","",SUMIFS($O$6:$O$2405,$A$6:$A$2405,"&lt;="&amp;$A1015))</f>
        <v/>
      </c>
      <c r="Q1015" s="57" t="str">
        <f aca="false">IF($O1015="","",IF($P1015&lt;=BankCostEnvelope*'5. Scenarios'!$D$7,1,0))</f>
        <v/>
      </c>
      <c r="R1015" s="57" t="str">
        <f aca="false">IF($N1015="","",INDEX(BookRate,1010)*(1+'5. Scenarios'!$D$10)*(INDEX(BookQ1,1010)*(5-MIN(4,1+'5. Scenarios'!$D$8))/4+INDEX(BookQ2,1010)*(5-MIN(4,2+'5. Scenarios'!$D$8))/4+INDEX(BookQ3,1010)*(5-MIN(4,3+'5. Scenarios'!$D$8))/4+INDEX(BookQ4,1010)*(5-MIN(4,4+'5. Scenarios'!$D$8))/4)*'5. Scenarios'!$D$6/(1+ProductivityDefault*('5. Scenarios'!$D$11-1))+INDEX(BookOneOff,1010)*$N1015)</f>
        <v/>
      </c>
      <c r="S1015" s="56" t="str">
        <f aca="false">IF(INDEX(BookTitle,1010)="","",INDEX(BookTotal,1010)*'5. Scenarios'!$E$6/(1+ProductivityDefault*('5. Scenarios'!$E$11-1)))</f>
        <v/>
      </c>
      <c r="T1015" s="57" t="str">
        <f aca="false">IF($S1015="","",INDEX(BookRate,1010)*(1+'5. Scenarios'!$E$10)*$S1015)</f>
        <v/>
      </c>
      <c r="U1015" s="57" t="str">
        <f aca="false">IF($T1015="","",SUMIFS($T$6:$T$2405,$A$6:$A$2405,"&lt;="&amp;$A1015))</f>
        <v/>
      </c>
      <c r="V1015" s="57" t="str">
        <f aca="false">IF($T1015="","",IF($U1015&lt;=BankCostEnvelope*'5. Scenarios'!$E$7,1,0))</f>
        <v/>
      </c>
      <c r="W1015" s="57" t="str">
        <f aca="false">IF($S1015="","",INDEX(BookRate,1010)*(1+'5. Scenarios'!$E$10)*(INDEX(BookQ1,1010)*(5-MIN(4,1+'5. Scenarios'!$E$8))/4+INDEX(BookQ2,1010)*(5-MIN(4,2+'5. Scenarios'!$E$8))/4+INDEX(BookQ3,1010)*(5-MIN(4,3+'5. Scenarios'!$E$8))/4+INDEX(BookQ4,1010)*(5-MIN(4,4+'5. Scenarios'!$E$8))/4)*'5. Scenarios'!$E$6/(1+ProductivityDefault*('5. Scenarios'!$E$11-1))+INDEX(BookOneOff,1010)*$S1015)</f>
        <v/>
      </c>
    </row>
    <row r="1016" customFormat="false" ht="15" hidden="false" customHeight="false" outlineLevel="0" collapsed="false">
      <c r="A1016" s="0" t="str">
        <f aca="false">IF(INDEX(BookTitle,1011)="","",INDEX(BookKey,1011))</f>
        <v/>
      </c>
      <c r="B1016" s="0" t="str">
        <f aca="false">IF(INDEX(BookTitle,1011)="","",INDEX(BookGroup,1011))</f>
        <v/>
      </c>
      <c r="C1016" s="0" t="str">
        <f aca="false">IF(INDEX(BookTitle,1011)="","",INDEX(BookCategory,1011))</f>
        <v/>
      </c>
      <c r="D1016" s="56" t="str">
        <f aca="false">IF(INDEX(BookTitle,1011)="","",INDEX(BookTotal,1011)*'5. Scenarios'!$B$6/(1+ProductivityDefault*('5. Scenarios'!$B$11-1)))</f>
        <v/>
      </c>
      <c r="E1016" s="57" t="str">
        <f aca="false">IF($D1016="","",INDEX(BookRate,1011)*(1+'5. Scenarios'!$B$10)*$D1016)</f>
        <v/>
      </c>
      <c r="F1016" s="57" t="str">
        <f aca="false">IF($E1016="","",SUMIFS($E$6:$E$2405,$A$6:$A$2405,"&lt;="&amp;$A1016))</f>
        <v/>
      </c>
      <c r="G1016" s="57" t="str">
        <f aca="false">IF($E1016="","",IF($F1016&lt;=BankCostEnvelope*'5. Scenarios'!$B$7,1,0))</f>
        <v/>
      </c>
      <c r="H1016" s="57" t="str">
        <f aca="false">IF($D1016="","",INDEX(BookRate,1011)*(1+'5. Scenarios'!$B$10)*(INDEX(BookQ1,1011)*(5-MIN(4,1+'5. Scenarios'!$B$8))/4+INDEX(BookQ2,1011)*(5-MIN(4,2+'5. Scenarios'!$B$8))/4+INDEX(BookQ3,1011)*(5-MIN(4,3+'5. Scenarios'!$B$8))/4+INDEX(BookQ4,1011)*(5-MIN(4,4+'5. Scenarios'!$B$8))/4)*'5. Scenarios'!$B$6/(1+ProductivityDefault*('5. Scenarios'!$B$11-1))+INDEX(BookOneOff,1011)*$D1016)</f>
        <v/>
      </c>
      <c r="I1016" s="56" t="str">
        <f aca="false">IF(INDEX(BookTitle,1011)="","",INDEX(BookTotal,1011)*'5. Scenarios'!$C$6/(1+ProductivityDefault*('5. Scenarios'!$C$11-1)))</f>
        <v/>
      </c>
      <c r="J1016" s="57" t="str">
        <f aca="false">IF($I1016="","",INDEX(BookRate,1011)*(1+'5. Scenarios'!$C$10)*$I1016)</f>
        <v/>
      </c>
      <c r="K1016" s="57" t="str">
        <f aca="false">IF($J1016="","",SUMIFS($J$6:$J$2405,$A$6:$A$2405,"&lt;="&amp;$A1016))</f>
        <v/>
      </c>
      <c r="L1016" s="57" t="str">
        <f aca="false">IF($J1016="","",IF($K1016&lt;=BankCostEnvelope*'5. Scenarios'!$C$7,1,0))</f>
        <v/>
      </c>
      <c r="M1016" s="57" t="str">
        <f aca="false">IF($I1016="","",INDEX(BookRate,1011)*(1+'5. Scenarios'!$C$10)*(INDEX(BookQ1,1011)*(5-MIN(4,1+'5. Scenarios'!$C$8))/4+INDEX(BookQ2,1011)*(5-MIN(4,2+'5. Scenarios'!$C$8))/4+INDEX(BookQ3,1011)*(5-MIN(4,3+'5. Scenarios'!$C$8))/4+INDEX(BookQ4,1011)*(5-MIN(4,4+'5. Scenarios'!$C$8))/4)*'5. Scenarios'!$C$6/(1+ProductivityDefault*('5. Scenarios'!$C$11-1))+INDEX(BookOneOff,1011)*$I1016)</f>
        <v/>
      </c>
      <c r="N1016" s="56" t="str">
        <f aca="false">IF(INDEX(BookTitle,1011)="","",INDEX(BookTotal,1011)*'5. Scenarios'!$D$6/(1+ProductivityDefault*('5. Scenarios'!$D$11-1)))</f>
        <v/>
      </c>
      <c r="O1016" s="57" t="str">
        <f aca="false">IF($N1016="","",INDEX(BookRate,1011)*(1+'5. Scenarios'!$D$10)*$N1016)</f>
        <v/>
      </c>
      <c r="P1016" s="57" t="str">
        <f aca="false">IF($O1016="","",SUMIFS($O$6:$O$2405,$A$6:$A$2405,"&lt;="&amp;$A1016))</f>
        <v/>
      </c>
      <c r="Q1016" s="57" t="str">
        <f aca="false">IF($O1016="","",IF($P1016&lt;=BankCostEnvelope*'5. Scenarios'!$D$7,1,0))</f>
        <v/>
      </c>
      <c r="R1016" s="57" t="str">
        <f aca="false">IF($N1016="","",INDEX(BookRate,1011)*(1+'5. Scenarios'!$D$10)*(INDEX(BookQ1,1011)*(5-MIN(4,1+'5. Scenarios'!$D$8))/4+INDEX(BookQ2,1011)*(5-MIN(4,2+'5. Scenarios'!$D$8))/4+INDEX(BookQ3,1011)*(5-MIN(4,3+'5. Scenarios'!$D$8))/4+INDEX(BookQ4,1011)*(5-MIN(4,4+'5. Scenarios'!$D$8))/4)*'5. Scenarios'!$D$6/(1+ProductivityDefault*('5. Scenarios'!$D$11-1))+INDEX(BookOneOff,1011)*$N1016)</f>
        <v/>
      </c>
      <c r="S1016" s="56" t="str">
        <f aca="false">IF(INDEX(BookTitle,1011)="","",INDEX(BookTotal,1011)*'5. Scenarios'!$E$6/(1+ProductivityDefault*('5. Scenarios'!$E$11-1)))</f>
        <v/>
      </c>
      <c r="T1016" s="57" t="str">
        <f aca="false">IF($S1016="","",INDEX(BookRate,1011)*(1+'5. Scenarios'!$E$10)*$S1016)</f>
        <v/>
      </c>
      <c r="U1016" s="57" t="str">
        <f aca="false">IF($T1016="","",SUMIFS($T$6:$T$2405,$A$6:$A$2405,"&lt;="&amp;$A1016))</f>
        <v/>
      </c>
      <c r="V1016" s="57" t="str">
        <f aca="false">IF($T1016="","",IF($U1016&lt;=BankCostEnvelope*'5. Scenarios'!$E$7,1,0))</f>
        <v/>
      </c>
      <c r="W1016" s="57" t="str">
        <f aca="false">IF($S1016="","",INDEX(BookRate,1011)*(1+'5. Scenarios'!$E$10)*(INDEX(BookQ1,1011)*(5-MIN(4,1+'5. Scenarios'!$E$8))/4+INDEX(BookQ2,1011)*(5-MIN(4,2+'5. Scenarios'!$E$8))/4+INDEX(BookQ3,1011)*(5-MIN(4,3+'5. Scenarios'!$E$8))/4+INDEX(BookQ4,1011)*(5-MIN(4,4+'5. Scenarios'!$E$8))/4)*'5. Scenarios'!$E$6/(1+ProductivityDefault*('5. Scenarios'!$E$11-1))+INDEX(BookOneOff,1011)*$S1016)</f>
        <v/>
      </c>
    </row>
    <row r="1017" customFormat="false" ht="15" hidden="false" customHeight="false" outlineLevel="0" collapsed="false">
      <c r="A1017" s="0" t="str">
        <f aca="false">IF(INDEX(BookTitle,1012)="","",INDEX(BookKey,1012))</f>
        <v/>
      </c>
      <c r="B1017" s="0" t="str">
        <f aca="false">IF(INDEX(BookTitle,1012)="","",INDEX(BookGroup,1012))</f>
        <v/>
      </c>
      <c r="C1017" s="0" t="str">
        <f aca="false">IF(INDEX(BookTitle,1012)="","",INDEX(BookCategory,1012))</f>
        <v/>
      </c>
      <c r="D1017" s="56" t="str">
        <f aca="false">IF(INDEX(BookTitle,1012)="","",INDEX(BookTotal,1012)*'5. Scenarios'!$B$6/(1+ProductivityDefault*('5. Scenarios'!$B$11-1)))</f>
        <v/>
      </c>
      <c r="E1017" s="57" t="str">
        <f aca="false">IF($D1017="","",INDEX(BookRate,1012)*(1+'5. Scenarios'!$B$10)*$D1017)</f>
        <v/>
      </c>
      <c r="F1017" s="57" t="str">
        <f aca="false">IF($E1017="","",SUMIFS($E$6:$E$2405,$A$6:$A$2405,"&lt;="&amp;$A1017))</f>
        <v/>
      </c>
      <c r="G1017" s="57" t="str">
        <f aca="false">IF($E1017="","",IF($F1017&lt;=BankCostEnvelope*'5. Scenarios'!$B$7,1,0))</f>
        <v/>
      </c>
      <c r="H1017" s="57" t="str">
        <f aca="false">IF($D1017="","",INDEX(BookRate,1012)*(1+'5. Scenarios'!$B$10)*(INDEX(BookQ1,1012)*(5-MIN(4,1+'5. Scenarios'!$B$8))/4+INDEX(BookQ2,1012)*(5-MIN(4,2+'5. Scenarios'!$B$8))/4+INDEX(BookQ3,1012)*(5-MIN(4,3+'5. Scenarios'!$B$8))/4+INDEX(BookQ4,1012)*(5-MIN(4,4+'5. Scenarios'!$B$8))/4)*'5. Scenarios'!$B$6/(1+ProductivityDefault*('5. Scenarios'!$B$11-1))+INDEX(BookOneOff,1012)*$D1017)</f>
        <v/>
      </c>
      <c r="I1017" s="56" t="str">
        <f aca="false">IF(INDEX(BookTitle,1012)="","",INDEX(BookTotal,1012)*'5. Scenarios'!$C$6/(1+ProductivityDefault*('5. Scenarios'!$C$11-1)))</f>
        <v/>
      </c>
      <c r="J1017" s="57" t="str">
        <f aca="false">IF($I1017="","",INDEX(BookRate,1012)*(1+'5. Scenarios'!$C$10)*$I1017)</f>
        <v/>
      </c>
      <c r="K1017" s="57" t="str">
        <f aca="false">IF($J1017="","",SUMIFS($J$6:$J$2405,$A$6:$A$2405,"&lt;="&amp;$A1017))</f>
        <v/>
      </c>
      <c r="L1017" s="57" t="str">
        <f aca="false">IF($J1017="","",IF($K1017&lt;=BankCostEnvelope*'5. Scenarios'!$C$7,1,0))</f>
        <v/>
      </c>
      <c r="M1017" s="57" t="str">
        <f aca="false">IF($I1017="","",INDEX(BookRate,1012)*(1+'5. Scenarios'!$C$10)*(INDEX(BookQ1,1012)*(5-MIN(4,1+'5. Scenarios'!$C$8))/4+INDEX(BookQ2,1012)*(5-MIN(4,2+'5. Scenarios'!$C$8))/4+INDEX(BookQ3,1012)*(5-MIN(4,3+'5. Scenarios'!$C$8))/4+INDEX(BookQ4,1012)*(5-MIN(4,4+'5. Scenarios'!$C$8))/4)*'5. Scenarios'!$C$6/(1+ProductivityDefault*('5. Scenarios'!$C$11-1))+INDEX(BookOneOff,1012)*$I1017)</f>
        <v/>
      </c>
      <c r="N1017" s="56" t="str">
        <f aca="false">IF(INDEX(BookTitle,1012)="","",INDEX(BookTotal,1012)*'5. Scenarios'!$D$6/(1+ProductivityDefault*('5. Scenarios'!$D$11-1)))</f>
        <v/>
      </c>
      <c r="O1017" s="57" t="str">
        <f aca="false">IF($N1017="","",INDEX(BookRate,1012)*(1+'5. Scenarios'!$D$10)*$N1017)</f>
        <v/>
      </c>
      <c r="P1017" s="57" t="str">
        <f aca="false">IF($O1017="","",SUMIFS($O$6:$O$2405,$A$6:$A$2405,"&lt;="&amp;$A1017))</f>
        <v/>
      </c>
      <c r="Q1017" s="57" t="str">
        <f aca="false">IF($O1017="","",IF($P1017&lt;=BankCostEnvelope*'5. Scenarios'!$D$7,1,0))</f>
        <v/>
      </c>
      <c r="R1017" s="57" t="str">
        <f aca="false">IF($N1017="","",INDEX(BookRate,1012)*(1+'5. Scenarios'!$D$10)*(INDEX(BookQ1,1012)*(5-MIN(4,1+'5. Scenarios'!$D$8))/4+INDEX(BookQ2,1012)*(5-MIN(4,2+'5. Scenarios'!$D$8))/4+INDEX(BookQ3,1012)*(5-MIN(4,3+'5. Scenarios'!$D$8))/4+INDEX(BookQ4,1012)*(5-MIN(4,4+'5. Scenarios'!$D$8))/4)*'5. Scenarios'!$D$6/(1+ProductivityDefault*('5. Scenarios'!$D$11-1))+INDEX(BookOneOff,1012)*$N1017)</f>
        <v/>
      </c>
      <c r="S1017" s="56" t="str">
        <f aca="false">IF(INDEX(BookTitle,1012)="","",INDEX(BookTotal,1012)*'5. Scenarios'!$E$6/(1+ProductivityDefault*('5. Scenarios'!$E$11-1)))</f>
        <v/>
      </c>
      <c r="T1017" s="57" t="str">
        <f aca="false">IF($S1017="","",INDEX(BookRate,1012)*(1+'5. Scenarios'!$E$10)*$S1017)</f>
        <v/>
      </c>
      <c r="U1017" s="57" t="str">
        <f aca="false">IF($T1017="","",SUMIFS($T$6:$T$2405,$A$6:$A$2405,"&lt;="&amp;$A1017))</f>
        <v/>
      </c>
      <c r="V1017" s="57" t="str">
        <f aca="false">IF($T1017="","",IF($U1017&lt;=BankCostEnvelope*'5. Scenarios'!$E$7,1,0))</f>
        <v/>
      </c>
      <c r="W1017" s="57" t="str">
        <f aca="false">IF($S1017="","",INDEX(BookRate,1012)*(1+'5. Scenarios'!$E$10)*(INDEX(BookQ1,1012)*(5-MIN(4,1+'5. Scenarios'!$E$8))/4+INDEX(BookQ2,1012)*(5-MIN(4,2+'5. Scenarios'!$E$8))/4+INDEX(BookQ3,1012)*(5-MIN(4,3+'5. Scenarios'!$E$8))/4+INDEX(BookQ4,1012)*(5-MIN(4,4+'5. Scenarios'!$E$8))/4)*'5. Scenarios'!$E$6/(1+ProductivityDefault*('5. Scenarios'!$E$11-1))+INDEX(BookOneOff,1012)*$S1017)</f>
        <v/>
      </c>
    </row>
    <row r="1018" customFormat="false" ht="15" hidden="false" customHeight="false" outlineLevel="0" collapsed="false">
      <c r="A1018" s="0" t="str">
        <f aca="false">IF(INDEX(BookTitle,1013)="","",INDEX(BookKey,1013))</f>
        <v/>
      </c>
      <c r="B1018" s="0" t="str">
        <f aca="false">IF(INDEX(BookTitle,1013)="","",INDEX(BookGroup,1013))</f>
        <v/>
      </c>
      <c r="C1018" s="0" t="str">
        <f aca="false">IF(INDEX(BookTitle,1013)="","",INDEX(BookCategory,1013))</f>
        <v/>
      </c>
      <c r="D1018" s="56" t="str">
        <f aca="false">IF(INDEX(BookTitle,1013)="","",INDEX(BookTotal,1013)*'5. Scenarios'!$B$6/(1+ProductivityDefault*('5. Scenarios'!$B$11-1)))</f>
        <v/>
      </c>
      <c r="E1018" s="57" t="str">
        <f aca="false">IF($D1018="","",INDEX(BookRate,1013)*(1+'5. Scenarios'!$B$10)*$D1018)</f>
        <v/>
      </c>
      <c r="F1018" s="57" t="str">
        <f aca="false">IF($E1018="","",SUMIFS($E$6:$E$2405,$A$6:$A$2405,"&lt;="&amp;$A1018))</f>
        <v/>
      </c>
      <c r="G1018" s="57" t="str">
        <f aca="false">IF($E1018="","",IF($F1018&lt;=BankCostEnvelope*'5. Scenarios'!$B$7,1,0))</f>
        <v/>
      </c>
      <c r="H1018" s="57" t="str">
        <f aca="false">IF($D1018="","",INDEX(BookRate,1013)*(1+'5. Scenarios'!$B$10)*(INDEX(BookQ1,1013)*(5-MIN(4,1+'5. Scenarios'!$B$8))/4+INDEX(BookQ2,1013)*(5-MIN(4,2+'5. Scenarios'!$B$8))/4+INDEX(BookQ3,1013)*(5-MIN(4,3+'5. Scenarios'!$B$8))/4+INDEX(BookQ4,1013)*(5-MIN(4,4+'5. Scenarios'!$B$8))/4)*'5. Scenarios'!$B$6/(1+ProductivityDefault*('5. Scenarios'!$B$11-1))+INDEX(BookOneOff,1013)*$D1018)</f>
        <v/>
      </c>
      <c r="I1018" s="56" t="str">
        <f aca="false">IF(INDEX(BookTitle,1013)="","",INDEX(BookTotal,1013)*'5. Scenarios'!$C$6/(1+ProductivityDefault*('5. Scenarios'!$C$11-1)))</f>
        <v/>
      </c>
      <c r="J1018" s="57" t="str">
        <f aca="false">IF($I1018="","",INDEX(BookRate,1013)*(1+'5. Scenarios'!$C$10)*$I1018)</f>
        <v/>
      </c>
      <c r="K1018" s="57" t="str">
        <f aca="false">IF($J1018="","",SUMIFS($J$6:$J$2405,$A$6:$A$2405,"&lt;="&amp;$A1018))</f>
        <v/>
      </c>
      <c r="L1018" s="57" t="str">
        <f aca="false">IF($J1018="","",IF($K1018&lt;=BankCostEnvelope*'5. Scenarios'!$C$7,1,0))</f>
        <v/>
      </c>
      <c r="M1018" s="57" t="str">
        <f aca="false">IF($I1018="","",INDEX(BookRate,1013)*(1+'5. Scenarios'!$C$10)*(INDEX(BookQ1,1013)*(5-MIN(4,1+'5. Scenarios'!$C$8))/4+INDEX(BookQ2,1013)*(5-MIN(4,2+'5. Scenarios'!$C$8))/4+INDEX(BookQ3,1013)*(5-MIN(4,3+'5. Scenarios'!$C$8))/4+INDEX(BookQ4,1013)*(5-MIN(4,4+'5. Scenarios'!$C$8))/4)*'5. Scenarios'!$C$6/(1+ProductivityDefault*('5. Scenarios'!$C$11-1))+INDEX(BookOneOff,1013)*$I1018)</f>
        <v/>
      </c>
      <c r="N1018" s="56" t="str">
        <f aca="false">IF(INDEX(BookTitle,1013)="","",INDEX(BookTotal,1013)*'5. Scenarios'!$D$6/(1+ProductivityDefault*('5. Scenarios'!$D$11-1)))</f>
        <v/>
      </c>
      <c r="O1018" s="57" t="str">
        <f aca="false">IF($N1018="","",INDEX(BookRate,1013)*(1+'5. Scenarios'!$D$10)*$N1018)</f>
        <v/>
      </c>
      <c r="P1018" s="57" t="str">
        <f aca="false">IF($O1018="","",SUMIFS($O$6:$O$2405,$A$6:$A$2405,"&lt;="&amp;$A1018))</f>
        <v/>
      </c>
      <c r="Q1018" s="57" t="str">
        <f aca="false">IF($O1018="","",IF($P1018&lt;=BankCostEnvelope*'5. Scenarios'!$D$7,1,0))</f>
        <v/>
      </c>
      <c r="R1018" s="57" t="str">
        <f aca="false">IF($N1018="","",INDEX(BookRate,1013)*(1+'5. Scenarios'!$D$10)*(INDEX(BookQ1,1013)*(5-MIN(4,1+'5. Scenarios'!$D$8))/4+INDEX(BookQ2,1013)*(5-MIN(4,2+'5. Scenarios'!$D$8))/4+INDEX(BookQ3,1013)*(5-MIN(4,3+'5. Scenarios'!$D$8))/4+INDEX(BookQ4,1013)*(5-MIN(4,4+'5. Scenarios'!$D$8))/4)*'5. Scenarios'!$D$6/(1+ProductivityDefault*('5. Scenarios'!$D$11-1))+INDEX(BookOneOff,1013)*$N1018)</f>
        <v/>
      </c>
      <c r="S1018" s="56" t="str">
        <f aca="false">IF(INDEX(BookTitle,1013)="","",INDEX(BookTotal,1013)*'5. Scenarios'!$E$6/(1+ProductivityDefault*('5. Scenarios'!$E$11-1)))</f>
        <v/>
      </c>
      <c r="T1018" s="57" t="str">
        <f aca="false">IF($S1018="","",INDEX(BookRate,1013)*(1+'5. Scenarios'!$E$10)*$S1018)</f>
        <v/>
      </c>
      <c r="U1018" s="57" t="str">
        <f aca="false">IF($T1018="","",SUMIFS($T$6:$T$2405,$A$6:$A$2405,"&lt;="&amp;$A1018))</f>
        <v/>
      </c>
      <c r="V1018" s="57" t="str">
        <f aca="false">IF($T1018="","",IF($U1018&lt;=BankCostEnvelope*'5. Scenarios'!$E$7,1,0))</f>
        <v/>
      </c>
      <c r="W1018" s="57" t="str">
        <f aca="false">IF($S1018="","",INDEX(BookRate,1013)*(1+'5. Scenarios'!$E$10)*(INDEX(BookQ1,1013)*(5-MIN(4,1+'5. Scenarios'!$E$8))/4+INDEX(BookQ2,1013)*(5-MIN(4,2+'5. Scenarios'!$E$8))/4+INDEX(BookQ3,1013)*(5-MIN(4,3+'5. Scenarios'!$E$8))/4+INDEX(BookQ4,1013)*(5-MIN(4,4+'5. Scenarios'!$E$8))/4)*'5. Scenarios'!$E$6/(1+ProductivityDefault*('5. Scenarios'!$E$11-1))+INDEX(BookOneOff,1013)*$S1018)</f>
        <v/>
      </c>
    </row>
    <row r="1019" customFormat="false" ht="15" hidden="false" customHeight="false" outlineLevel="0" collapsed="false">
      <c r="A1019" s="0" t="str">
        <f aca="false">IF(INDEX(BookTitle,1014)="","",INDEX(BookKey,1014))</f>
        <v/>
      </c>
      <c r="B1019" s="0" t="str">
        <f aca="false">IF(INDEX(BookTitle,1014)="","",INDEX(BookGroup,1014))</f>
        <v/>
      </c>
      <c r="C1019" s="0" t="str">
        <f aca="false">IF(INDEX(BookTitle,1014)="","",INDEX(BookCategory,1014))</f>
        <v/>
      </c>
      <c r="D1019" s="56" t="str">
        <f aca="false">IF(INDEX(BookTitle,1014)="","",INDEX(BookTotal,1014)*'5. Scenarios'!$B$6/(1+ProductivityDefault*('5. Scenarios'!$B$11-1)))</f>
        <v/>
      </c>
      <c r="E1019" s="57" t="str">
        <f aca="false">IF($D1019="","",INDEX(BookRate,1014)*(1+'5. Scenarios'!$B$10)*$D1019)</f>
        <v/>
      </c>
      <c r="F1019" s="57" t="str">
        <f aca="false">IF($E1019="","",SUMIFS($E$6:$E$2405,$A$6:$A$2405,"&lt;="&amp;$A1019))</f>
        <v/>
      </c>
      <c r="G1019" s="57" t="str">
        <f aca="false">IF($E1019="","",IF($F1019&lt;=BankCostEnvelope*'5. Scenarios'!$B$7,1,0))</f>
        <v/>
      </c>
      <c r="H1019" s="57" t="str">
        <f aca="false">IF($D1019="","",INDEX(BookRate,1014)*(1+'5. Scenarios'!$B$10)*(INDEX(BookQ1,1014)*(5-MIN(4,1+'5. Scenarios'!$B$8))/4+INDEX(BookQ2,1014)*(5-MIN(4,2+'5. Scenarios'!$B$8))/4+INDEX(BookQ3,1014)*(5-MIN(4,3+'5. Scenarios'!$B$8))/4+INDEX(BookQ4,1014)*(5-MIN(4,4+'5. Scenarios'!$B$8))/4)*'5. Scenarios'!$B$6/(1+ProductivityDefault*('5. Scenarios'!$B$11-1))+INDEX(BookOneOff,1014)*$D1019)</f>
        <v/>
      </c>
      <c r="I1019" s="56" t="str">
        <f aca="false">IF(INDEX(BookTitle,1014)="","",INDEX(BookTotal,1014)*'5. Scenarios'!$C$6/(1+ProductivityDefault*('5. Scenarios'!$C$11-1)))</f>
        <v/>
      </c>
      <c r="J1019" s="57" t="str">
        <f aca="false">IF($I1019="","",INDEX(BookRate,1014)*(1+'5. Scenarios'!$C$10)*$I1019)</f>
        <v/>
      </c>
      <c r="K1019" s="57" t="str">
        <f aca="false">IF($J1019="","",SUMIFS($J$6:$J$2405,$A$6:$A$2405,"&lt;="&amp;$A1019))</f>
        <v/>
      </c>
      <c r="L1019" s="57" t="str">
        <f aca="false">IF($J1019="","",IF($K1019&lt;=BankCostEnvelope*'5. Scenarios'!$C$7,1,0))</f>
        <v/>
      </c>
      <c r="M1019" s="57" t="str">
        <f aca="false">IF($I1019="","",INDEX(BookRate,1014)*(1+'5. Scenarios'!$C$10)*(INDEX(BookQ1,1014)*(5-MIN(4,1+'5. Scenarios'!$C$8))/4+INDEX(BookQ2,1014)*(5-MIN(4,2+'5. Scenarios'!$C$8))/4+INDEX(BookQ3,1014)*(5-MIN(4,3+'5. Scenarios'!$C$8))/4+INDEX(BookQ4,1014)*(5-MIN(4,4+'5. Scenarios'!$C$8))/4)*'5. Scenarios'!$C$6/(1+ProductivityDefault*('5. Scenarios'!$C$11-1))+INDEX(BookOneOff,1014)*$I1019)</f>
        <v/>
      </c>
      <c r="N1019" s="56" t="str">
        <f aca="false">IF(INDEX(BookTitle,1014)="","",INDEX(BookTotal,1014)*'5. Scenarios'!$D$6/(1+ProductivityDefault*('5. Scenarios'!$D$11-1)))</f>
        <v/>
      </c>
      <c r="O1019" s="57" t="str">
        <f aca="false">IF($N1019="","",INDEX(BookRate,1014)*(1+'5. Scenarios'!$D$10)*$N1019)</f>
        <v/>
      </c>
      <c r="P1019" s="57" t="str">
        <f aca="false">IF($O1019="","",SUMIFS($O$6:$O$2405,$A$6:$A$2405,"&lt;="&amp;$A1019))</f>
        <v/>
      </c>
      <c r="Q1019" s="57" t="str">
        <f aca="false">IF($O1019="","",IF($P1019&lt;=BankCostEnvelope*'5. Scenarios'!$D$7,1,0))</f>
        <v/>
      </c>
      <c r="R1019" s="57" t="str">
        <f aca="false">IF($N1019="","",INDEX(BookRate,1014)*(1+'5. Scenarios'!$D$10)*(INDEX(BookQ1,1014)*(5-MIN(4,1+'5. Scenarios'!$D$8))/4+INDEX(BookQ2,1014)*(5-MIN(4,2+'5. Scenarios'!$D$8))/4+INDEX(BookQ3,1014)*(5-MIN(4,3+'5. Scenarios'!$D$8))/4+INDEX(BookQ4,1014)*(5-MIN(4,4+'5. Scenarios'!$D$8))/4)*'5. Scenarios'!$D$6/(1+ProductivityDefault*('5. Scenarios'!$D$11-1))+INDEX(BookOneOff,1014)*$N1019)</f>
        <v/>
      </c>
      <c r="S1019" s="56" t="str">
        <f aca="false">IF(INDEX(BookTitle,1014)="","",INDEX(BookTotal,1014)*'5. Scenarios'!$E$6/(1+ProductivityDefault*('5. Scenarios'!$E$11-1)))</f>
        <v/>
      </c>
      <c r="T1019" s="57" t="str">
        <f aca="false">IF($S1019="","",INDEX(BookRate,1014)*(1+'5. Scenarios'!$E$10)*$S1019)</f>
        <v/>
      </c>
      <c r="U1019" s="57" t="str">
        <f aca="false">IF($T1019="","",SUMIFS($T$6:$T$2405,$A$6:$A$2405,"&lt;="&amp;$A1019))</f>
        <v/>
      </c>
      <c r="V1019" s="57" t="str">
        <f aca="false">IF($T1019="","",IF($U1019&lt;=BankCostEnvelope*'5. Scenarios'!$E$7,1,0))</f>
        <v/>
      </c>
      <c r="W1019" s="57" t="str">
        <f aca="false">IF($S1019="","",INDEX(BookRate,1014)*(1+'5. Scenarios'!$E$10)*(INDEX(BookQ1,1014)*(5-MIN(4,1+'5. Scenarios'!$E$8))/4+INDEX(BookQ2,1014)*(5-MIN(4,2+'5. Scenarios'!$E$8))/4+INDEX(BookQ3,1014)*(5-MIN(4,3+'5. Scenarios'!$E$8))/4+INDEX(BookQ4,1014)*(5-MIN(4,4+'5. Scenarios'!$E$8))/4)*'5. Scenarios'!$E$6/(1+ProductivityDefault*('5. Scenarios'!$E$11-1))+INDEX(BookOneOff,1014)*$S1019)</f>
        <v/>
      </c>
    </row>
    <row r="1020" customFormat="false" ht="15" hidden="false" customHeight="false" outlineLevel="0" collapsed="false">
      <c r="A1020" s="0" t="str">
        <f aca="false">IF(INDEX(BookTitle,1015)="","",INDEX(BookKey,1015))</f>
        <v/>
      </c>
      <c r="B1020" s="0" t="str">
        <f aca="false">IF(INDEX(BookTitle,1015)="","",INDEX(BookGroup,1015))</f>
        <v/>
      </c>
      <c r="C1020" s="0" t="str">
        <f aca="false">IF(INDEX(BookTitle,1015)="","",INDEX(BookCategory,1015))</f>
        <v/>
      </c>
      <c r="D1020" s="56" t="str">
        <f aca="false">IF(INDEX(BookTitle,1015)="","",INDEX(BookTotal,1015)*'5. Scenarios'!$B$6/(1+ProductivityDefault*('5. Scenarios'!$B$11-1)))</f>
        <v/>
      </c>
      <c r="E1020" s="57" t="str">
        <f aca="false">IF($D1020="","",INDEX(BookRate,1015)*(1+'5. Scenarios'!$B$10)*$D1020)</f>
        <v/>
      </c>
      <c r="F1020" s="57" t="str">
        <f aca="false">IF($E1020="","",SUMIFS($E$6:$E$2405,$A$6:$A$2405,"&lt;="&amp;$A1020))</f>
        <v/>
      </c>
      <c r="G1020" s="57" t="str">
        <f aca="false">IF($E1020="","",IF($F1020&lt;=BankCostEnvelope*'5. Scenarios'!$B$7,1,0))</f>
        <v/>
      </c>
      <c r="H1020" s="57" t="str">
        <f aca="false">IF($D1020="","",INDEX(BookRate,1015)*(1+'5. Scenarios'!$B$10)*(INDEX(BookQ1,1015)*(5-MIN(4,1+'5. Scenarios'!$B$8))/4+INDEX(BookQ2,1015)*(5-MIN(4,2+'5. Scenarios'!$B$8))/4+INDEX(BookQ3,1015)*(5-MIN(4,3+'5. Scenarios'!$B$8))/4+INDEX(BookQ4,1015)*(5-MIN(4,4+'5. Scenarios'!$B$8))/4)*'5. Scenarios'!$B$6/(1+ProductivityDefault*('5. Scenarios'!$B$11-1))+INDEX(BookOneOff,1015)*$D1020)</f>
        <v/>
      </c>
      <c r="I1020" s="56" t="str">
        <f aca="false">IF(INDEX(BookTitle,1015)="","",INDEX(BookTotal,1015)*'5. Scenarios'!$C$6/(1+ProductivityDefault*('5. Scenarios'!$C$11-1)))</f>
        <v/>
      </c>
      <c r="J1020" s="57" t="str">
        <f aca="false">IF($I1020="","",INDEX(BookRate,1015)*(1+'5. Scenarios'!$C$10)*$I1020)</f>
        <v/>
      </c>
      <c r="K1020" s="57" t="str">
        <f aca="false">IF($J1020="","",SUMIFS($J$6:$J$2405,$A$6:$A$2405,"&lt;="&amp;$A1020))</f>
        <v/>
      </c>
      <c r="L1020" s="57" t="str">
        <f aca="false">IF($J1020="","",IF($K1020&lt;=BankCostEnvelope*'5. Scenarios'!$C$7,1,0))</f>
        <v/>
      </c>
      <c r="M1020" s="57" t="str">
        <f aca="false">IF($I1020="","",INDEX(BookRate,1015)*(1+'5. Scenarios'!$C$10)*(INDEX(BookQ1,1015)*(5-MIN(4,1+'5. Scenarios'!$C$8))/4+INDEX(BookQ2,1015)*(5-MIN(4,2+'5. Scenarios'!$C$8))/4+INDEX(BookQ3,1015)*(5-MIN(4,3+'5. Scenarios'!$C$8))/4+INDEX(BookQ4,1015)*(5-MIN(4,4+'5. Scenarios'!$C$8))/4)*'5. Scenarios'!$C$6/(1+ProductivityDefault*('5. Scenarios'!$C$11-1))+INDEX(BookOneOff,1015)*$I1020)</f>
        <v/>
      </c>
      <c r="N1020" s="56" t="str">
        <f aca="false">IF(INDEX(BookTitle,1015)="","",INDEX(BookTotal,1015)*'5. Scenarios'!$D$6/(1+ProductivityDefault*('5. Scenarios'!$D$11-1)))</f>
        <v/>
      </c>
      <c r="O1020" s="57" t="str">
        <f aca="false">IF($N1020="","",INDEX(BookRate,1015)*(1+'5. Scenarios'!$D$10)*$N1020)</f>
        <v/>
      </c>
      <c r="P1020" s="57" t="str">
        <f aca="false">IF($O1020="","",SUMIFS($O$6:$O$2405,$A$6:$A$2405,"&lt;="&amp;$A1020))</f>
        <v/>
      </c>
      <c r="Q1020" s="57" t="str">
        <f aca="false">IF($O1020="","",IF($P1020&lt;=BankCostEnvelope*'5. Scenarios'!$D$7,1,0))</f>
        <v/>
      </c>
      <c r="R1020" s="57" t="str">
        <f aca="false">IF($N1020="","",INDEX(BookRate,1015)*(1+'5. Scenarios'!$D$10)*(INDEX(BookQ1,1015)*(5-MIN(4,1+'5. Scenarios'!$D$8))/4+INDEX(BookQ2,1015)*(5-MIN(4,2+'5. Scenarios'!$D$8))/4+INDEX(BookQ3,1015)*(5-MIN(4,3+'5. Scenarios'!$D$8))/4+INDEX(BookQ4,1015)*(5-MIN(4,4+'5. Scenarios'!$D$8))/4)*'5. Scenarios'!$D$6/(1+ProductivityDefault*('5. Scenarios'!$D$11-1))+INDEX(BookOneOff,1015)*$N1020)</f>
        <v/>
      </c>
      <c r="S1020" s="56" t="str">
        <f aca="false">IF(INDEX(BookTitle,1015)="","",INDEX(BookTotal,1015)*'5. Scenarios'!$E$6/(1+ProductivityDefault*('5. Scenarios'!$E$11-1)))</f>
        <v/>
      </c>
      <c r="T1020" s="57" t="str">
        <f aca="false">IF($S1020="","",INDEX(BookRate,1015)*(1+'5. Scenarios'!$E$10)*$S1020)</f>
        <v/>
      </c>
      <c r="U1020" s="57" t="str">
        <f aca="false">IF($T1020="","",SUMIFS($T$6:$T$2405,$A$6:$A$2405,"&lt;="&amp;$A1020))</f>
        <v/>
      </c>
      <c r="V1020" s="57" t="str">
        <f aca="false">IF($T1020="","",IF($U1020&lt;=BankCostEnvelope*'5. Scenarios'!$E$7,1,0))</f>
        <v/>
      </c>
      <c r="W1020" s="57" t="str">
        <f aca="false">IF($S1020="","",INDEX(BookRate,1015)*(1+'5. Scenarios'!$E$10)*(INDEX(BookQ1,1015)*(5-MIN(4,1+'5. Scenarios'!$E$8))/4+INDEX(BookQ2,1015)*(5-MIN(4,2+'5. Scenarios'!$E$8))/4+INDEX(BookQ3,1015)*(5-MIN(4,3+'5. Scenarios'!$E$8))/4+INDEX(BookQ4,1015)*(5-MIN(4,4+'5. Scenarios'!$E$8))/4)*'5. Scenarios'!$E$6/(1+ProductivityDefault*('5. Scenarios'!$E$11-1))+INDEX(BookOneOff,1015)*$S1020)</f>
        <v/>
      </c>
    </row>
    <row r="1021" customFormat="false" ht="15" hidden="false" customHeight="false" outlineLevel="0" collapsed="false">
      <c r="A1021" s="0" t="str">
        <f aca="false">IF(INDEX(BookTitle,1016)="","",INDEX(BookKey,1016))</f>
        <v/>
      </c>
      <c r="B1021" s="0" t="str">
        <f aca="false">IF(INDEX(BookTitle,1016)="","",INDEX(BookGroup,1016))</f>
        <v/>
      </c>
      <c r="C1021" s="0" t="str">
        <f aca="false">IF(INDEX(BookTitle,1016)="","",INDEX(BookCategory,1016))</f>
        <v/>
      </c>
      <c r="D1021" s="56" t="str">
        <f aca="false">IF(INDEX(BookTitle,1016)="","",INDEX(BookTotal,1016)*'5. Scenarios'!$B$6/(1+ProductivityDefault*('5. Scenarios'!$B$11-1)))</f>
        <v/>
      </c>
      <c r="E1021" s="57" t="str">
        <f aca="false">IF($D1021="","",INDEX(BookRate,1016)*(1+'5. Scenarios'!$B$10)*$D1021)</f>
        <v/>
      </c>
      <c r="F1021" s="57" t="str">
        <f aca="false">IF($E1021="","",SUMIFS($E$6:$E$2405,$A$6:$A$2405,"&lt;="&amp;$A1021))</f>
        <v/>
      </c>
      <c r="G1021" s="57" t="str">
        <f aca="false">IF($E1021="","",IF($F1021&lt;=BankCostEnvelope*'5. Scenarios'!$B$7,1,0))</f>
        <v/>
      </c>
      <c r="H1021" s="57" t="str">
        <f aca="false">IF($D1021="","",INDEX(BookRate,1016)*(1+'5. Scenarios'!$B$10)*(INDEX(BookQ1,1016)*(5-MIN(4,1+'5. Scenarios'!$B$8))/4+INDEX(BookQ2,1016)*(5-MIN(4,2+'5. Scenarios'!$B$8))/4+INDEX(BookQ3,1016)*(5-MIN(4,3+'5. Scenarios'!$B$8))/4+INDEX(BookQ4,1016)*(5-MIN(4,4+'5. Scenarios'!$B$8))/4)*'5. Scenarios'!$B$6/(1+ProductivityDefault*('5. Scenarios'!$B$11-1))+INDEX(BookOneOff,1016)*$D1021)</f>
        <v/>
      </c>
      <c r="I1021" s="56" t="str">
        <f aca="false">IF(INDEX(BookTitle,1016)="","",INDEX(BookTotal,1016)*'5. Scenarios'!$C$6/(1+ProductivityDefault*('5. Scenarios'!$C$11-1)))</f>
        <v/>
      </c>
      <c r="J1021" s="57" t="str">
        <f aca="false">IF($I1021="","",INDEX(BookRate,1016)*(1+'5. Scenarios'!$C$10)*$I1021)</f>
        <v/>
      </c>
      <c r="K1021" s="57" t="str">
        <f aca="false">IF($J1021="","",SUMIFS($J$6:$J$2405,$A$6:$A$2405,"&lt;="&amp;$A1021))</f>
        <v/>
      </c>
      <c r="L1021" s="57" t="str">
        <f aca="false">IF($J1021="","",IF($K1021&lt;=BankCostEnvelope*'5. Scenarios'!$C$7,1,0))</f>
        <v/>
      </c>
      <c r="M1021" s="57" t="str">
        <f aca="false">IF($I1021="","",INDEX(BookRate,1016)*(1+'5. Scenarios'!$C$10)*(INDEX(BookQ1,1016)*(5-MIN(4,1+'5. Scenarios'!$C$8))/4+INDEX(BookQ2,1016)*(5-MIN(4,2+'5. Scenarios'!$C$8))/4+INDEX(BookQ3,1016)*(5-MIN(4,3+'5. Scenarios'!$C$8))/4+INDEX(BookQ4,1016)*(5-MIN(4,4+'5. Scenarios'!$C$8))/4)*'5. Scenarios'!$C$6/(1+ProductivityDefault*('5. Scenarios'!$C$11-1))+INDEX(BookOneOff,1016)*$I1021)</f>
        <v/>
      </c>
      <c r="N1021" s="56" t="str">
        <f aca="false">IF(INDEX(BookTitle,1016)="","",INDEX(BookTotal,1016)*'5. Scenarios'!$D$6/(1+ProductivityDefault*('5. Scenarios'!$D$11-1)))</f>
        <v/>
      </c>
      <c r="O1021" s="57" t="str">
        <f aca="false">IF($N1021="","",INDEX(BookRate,1016)*(1+'5. Scenarios'!$D$10)*$N1021)</f>
        <v/>
      </c>
      <c r="P1021" s="57" t="str">
        <f aca="false">IF($O1021="","",SUMIFS($O$6:$O$2405,$A$6:$A$2405,"&lt;="&amp;$A1021))</f>
        <v/>
      </c>
      <c r="Q1021" s="57" t="str">
        <f aca="false">IF($O1021="","",IF($P1021&lt;=BankCostEnvelope*'5. Scenarios'!$D$7,1,0))</f>
        <v/>
      </c>
      <c r="R1021" s="57" t="str">
        <f aca="false">IF($N1021="","",INDEX(BookRate,1016)*(1+'5. Scenarios'!$D$10)*(INDEX(BookQ1,1016)*(5-MIN(4,1+'5. Scenarios'!$D$8))/4+INDEX(BookQ2,1016)*(5-MIN(4,2+'5. Scenarios'!$D$8))/4+INDEX(BookQ3,1016)*(5-MIN(4,3+'5. Scenarios'!$D$8))/4+INDEX(BookQ4,1016)*(5-MIN(4,4+'5. Scenarios'!$D$8))/4)*'5. Scenarios'!$D$6/(1+ProductivityDefault*('5. Scenarios'!$D$11-1))+INDEX(BookOneOff,1016)*$N1021)</f>
        <v/>
      </c>
      <c r="S1021" s="56" t="str">
        <f aca="false">IF(INDEX(BookTitle,1016)="","",INDEX(BookTotal,1016)*'5. Scenarios'!$E$6/(1+ProductivityDefault*('5. Scenarios'!$E$11-1)))</f>
        <v/>
      </c>
      <c r="T1021" s="57" t="str">
        <f aca="false">IF($S1021="","",INDEX(BookRate,1016)*(1+'5. Scenarios'!$E$10)*$S1021)</f>
        <v/>
      </c>
      <c r="U1021" s="57" t="str">
        <f aca="false">IF($T1021="","",SUMIFS($T$6:$T$2405,$A$6:$A$2405,"&lt;="&amp;$A1021))</f>
        <v/>
      </c>
      <c r="V1021" s="57" t="str">
        <f aca="false">IF($T1021="","",IF($U1021&lt;=BankCostEnvelope*'5. Scenarios'!$E$7,1,0))</f>
        <v/>
      </c>
      <c r="W1021" s="57" t="str">
        <f aca="false">IF($S1021="","",INDEX(BookRate,1016)*(1+'5. Scenarios'!$E$10)*(INDEX(BookQ1,1016)*(5-MIN(4,1+'5. Scenarios'!$E$8))/4+INDEX(BookQ2,1016)*(5-MIN(4,2+'5. Scenarios'!$E$8))/4+INDEX(BookQ3,1016)*(5-MIN(4,3+'5. Scenarios'!$E$8))/4+INDEX(BookQ4,1016)*(5-MIN(4,4+'5. Scenarios'!$E$8))/4)*'5. Scenarios'!$E$6/(1+ProductivityDefault*('5. Scenarios'!$E$11-1))+INDEX(BookOneOff,1016)*$S1021)</f>
        <v/>
      </c>
    </row>
    <row r="1022" customFormat="false" ht="15" hidden="false" customHeight="false" outlineLevel="0" collapsed="false">
      <c r="A1022" s="0" t="str">
        <f aca="false">IF(INDEX(BookTitle,1017)="","",INDEX(BookKey,1017))</f>
        <v/>
      </c>
      <c r="B1022" s="0" t="str">
        <f aca="false">IF(INDEX(BookTitle,1017)="","",INDEX(BookGroup,1017))</f>
        <v/>
      </c>
      <c r="C1022" s="0" t="str">
        <f aca="false">IF(INDEX(BookTitle,1017)="","",INDEX(BookCategory,1017))</f>
        <v/>
      </c>
      <c r="D1022" s="56" t="str">
        <f aca="false">IF(INDEX(BookTitle,1017)="","",INDEX(BookTotal,1017)*'5. Scenarios'!$B$6/(1+ProductivityDefault*('5. Scenarios'!$B$11-1)))</f>
        <v/>
      </c>
      <c r="E1022" s="57" t="str">
        <f aca="false">IF($D1022="","",INDEX(BookRate,1017)*(1+'5. Scenarios'!$B$10)*$D1022)</f>
        <v/>
      </c>
      <c r="F1022" s="57" t="str">
        <f aca="false">IF($E1022="","",SUMIFS($E$6:$E$2405,$A$6:$A$2405,"&lt;="&amp;$A1022))</f>
        <v/>
      </c>
      <c r="G1022" s="57" t="str">
        <f aca="false">IF($E1022="","",IF($F1022&lt;=BankCostEnvelope*'5. Scenarios'!$B$7,1,0))</f>
        <v/>
      </c>
      <c r="H1022" s="57" t="str">
        <f aca="false">IF($D1022="","",INDEX(BookRate,1017)*(1+'5. Scenarios'!$B$10)*(INDEX(BookQ1,1017)*(5-MIN(4,1+'5. Scenarios'!$B$8))/4+INDEX(BookQ2,1017)*(5-MIN(4,2+'5. Scenarios'!$B$8))/4+INDEX(BookQ3,1017)*(5-MIN(4,3+'5. Scenarios'!$B$8))/4+INDEX(BookQ4,1017)*(5-MIN(4,4+'5. Scenarios'!$B$8))/4)*'5. Scenarios'!$B$6/(1+ProductivityDefault*('5. Scenarios'!$B$11-1))+INDEX(BookOneOff,1017)*$D1022)</f>
        <v/>
      </c>
      <c r="I1022" s="56" t="str">
        <f aca="false">IF(INDEX(BookTitle,1017)="","",INDEX(BookTotal,1017)*'5. Scenarios'!$C$6/(1+ProductivityDefault*('5. Scenarios'!$C$11-1)))</f>
        <v/>
      </c>
      <c r="J1022" s="57" t="str">
        <f aca="false">IF($I1022="","",INDEX(BookRate,1017)*(1+'5. Scenarios'!$C$10)*$I1022)</f>
        <v/>
      </c>
      <c r="K1022" s="57" t="str">
        <f aca="false">IF($J1022="","",SUMIFS($J$6:$J$2405,$A$6:$A$2405,"&lt;="&amp;$A1022))</f>
        <v/>
      </c>
      <c r="L1022" s="57" t="str">
        <f aca="false">IF($J1022="","",IF($K1022&lt;=BankCostEnvelope*'5. Scenarios'!$C$7,1,0))</f>
        <v/>
      </c>
      <c r="M1022" s="57" t="str">
        <f aca="false">IF($I1022="","",INDEX(BookRate,1017)*(1+'5. Scenarios'!$C$10)*(INDEX(BookQ1,1017)*(5-MIN(4,1+'5. Scenarios'!$C$8))/4+INDEX(BookQ2,1017)*(5-MIN(4,2+'5. Scenarios'!$C$8))/4+INDEX(BookQ3,1017)*(5-MIN(4,3+'5. Scenarios'!$C$8))/4+INDEX(BookQ4,1017)*(5-MIN(4,4+'5. Scenarios'!$C$8))/4)*'5. Scenarios'!$C$6/(1+ProductivityDefault*('5. Scenarios'!$C$11-1))+INDEX(BookOneOff,1017)*$I1022)</f>
        <v/>
      </c>
      <c r="N1022" s="56" t="str">
        <f aca="false">IF(INDEX(BookTitle,1017)="","",INDEX(BookTotal,1017)*'5. Scenarios'!$D$6/(1+ProductivityDefault*('5. Scenarios'!$D$11-1)))</f>
        <v/>
      </c>
      <c r="O1022" s="57" t="str">
        <f aca="false">IF($N1022="","",INDEX(BookRate,1017)*(1+'5. Scenarios'!$D$10)*$N1022)</f>
        <v/>
      </c>
      <c r="P1022" s="57" t="str">
        <f aca="false">IF($O1022="","",SUMIFS($O$6:$O$2405,$A$6:$A$2405,"&lt;="&amp;$A1022))</f>
        <v/>
      </c>
      <c r="Q1022" s="57" t="str">
        <f aca="false">IF($O1022="","",IF($P1022&lt;=BankCostEnvelope*'5. Scenarios'!$D$7,1,0))</f>
        <v/>
      </c>
      <c r="R1022" s="57" t="str">
        <f aca="false">IF($N1022="","",INDEX(BookRate,1017)*(1+'5. Scenarios'!$D$10)*(INDEX(BookQ1,1017)*(5-MIN(4,1+'5. Scenarios'!$D$8))/4+INDEX(BookQ2,1017)*(5-MIN(4,2+'5. Scenarios'!$D$8))/4+INDEX(BookQ3,1017)*(5-MIN(4,3+'5. Scenarios'!$D$8))/4+INDEX(BookQ4,1017)*(5-MIN(4,4+'5. Scenarios'!$D$8))/4)*'5. Scenarios'!$D$6/(1+ProductivityDefault*('5. Scenarios'!$D$11-1))+INDEX(BookOneOff,1017)*$N1022)</f>
        <v/>
      </c>
      <c r="S1022" s="56" t="str">
        <f aca="false">IF(INDEX(BookTitle,1017)="","",INDEX(BookTotal,1017)*'5. Scenarios'!$E$6/(1+ProductivityDefault*('5. Scenarios'!$E$11-1)))</f>
        <v/>
      </c>
      <c r="T1022" s="57" t="str">
        <f aca="false">IF($S1022="","",INDEX(BookRate,1017)*(1+'5. Scenarios'!$E$10)*$S1022)</f>
        <v/>
      </c>
      <c r="U1022" s="57" t="str">
        <f aca="false">IF($T1022="","",SUMIFS($T$6:$T$2405,$A$6:$A$2405,"&lt;="&amp;$A1022))</f>
        <v/>
      </c>
      <c r="V1022" s="57" t="str">
        <f aca="false">IF($T1022="","",IF($U1022&lt;=BankCostEnvelope*'5. Scenarios'!$E$7,1,0))</f>
        <v/>
      </c>
      <c r="W1022" s="57" t="str">
        <f aca="false">IF($S1022="","",INDEX(BookRate,1017)*(1+'5. Scenarios'!$E$10)*(INDEX(BookQ1,1017)*(5-MIN(4,1+'5. Scenarios'!$E$8))/4+INDEX(BookQ2,1017)*(5-MIN(4,2+'5. Scenarios'!$E$8))/4+INDEX(BookQ3,1017)*(5-MIN(4,3+'5. Scenarios'!$E$8))/4+INDEX(BookQ4,1017)*(5-MIN(4,4+'5. Scenarios'!$E$8))/4)*'5. Scenarios'!$E$6/(1+ProductivityDefault*('5. Scenarios'!$E$11-1))+INDEX(BookOneOff,1017)*$S1022)</f>
        <v/>
      </c>
    </row>
    <row r="1023" customFormat="false" ht="15" hidden="false" customHeight="false" outlineLevel="0" collapsed="false">
      <c r="A1023" s="0" t="str">
        <f aca="false">IF(INDEX(BookTitle,1018)="","",INDEX(BookKey,1018))</f>
        <v/>
      </c>
      <c r="B1023" s="0" t="str">
        <f aca="false">IF(INDEX(BookTitle,1018)="","",INDEX(BookGroup,1018))</f>
        <v/>
      </c>
      <c r="C1023" s="0" t="str">
        <f aca="false">IF(INDEX(BookTitle,1018)="","",INDEX(BookCategory,1018))</f>
        <v/>
      </c>
      <c r="D1023" s="56" t="str">
        <f aca="false">IF(INDEX(BookTitle,1018)="","",INDEX(BookTotal,1018)*'5. Scenarios'!$B$6/(1+ProductivityDefault*('5. Scenarios'!$B$11-1)))</f>
        <v/>
      </c>
      <c r="E1023" s="57" t="str">
        <f aca="false">IF($D1023="","",INDEX(BookRate,1018)*(1+'5. Scenarios'!$B$10)*$D1023)</f>
        <v/>
      </c>
      <c r="F1023" s="57" t="str">
        <f aca="false">IF($E1023="","",SUMIFS($E$6:$E$2405,$A$6:$A$2405,"&lt;="&amp;$A1023))</f>
        <v/>
      </c>
      <c r="G1023" s="57" t="str">
        <f aca="false">IF($E1023="","",IF($F1023&lt;=BankCostEnvelope*'5. Scenarios'!$B$7,1,0))</f>
        <v/>
      </c>
      <c r="H1023" s="57" t="str">
        <f aca="false">IF($D1023="","",INDEX(BookRate,1018)*(1+'5. Scenarios'!$B$10)*(INDEX(BookQ1,1018)*(5-MIN(4,1+'5. Scenarios'!$B$8))/4+INDEX(BookQ2,1018)*(5-MIN(4,2+'5. Scenarios'!$B$8))/4+INDEX(BookQ3,1018)*(5-MIN(4,3+'5. Scenarios'!$B$8))/4+INDEX(BookQ4,1018)*(5-MIN(4,4+'5. Scenarios'!$B$8))/4)*'5. Scenarios'!$B$6/(1+ProductivityDefault*('5. Scenarios'!$B$11-1))+INDEX(BookOneOff,1018)*$D1023)</f>
        <v/>
      </c>
      <c r="I1023" s="56" t="str">
        <f aca="false">IF(INDEX(BookTitle,1018)="","",INDEX(BookTotal,1018)*'5. Scenarios'!$C$6/(1+ProductivityDefault*('5. Scenarios'!$C$11-1)))</f>
        <v/>
      </c>
      <c r="J1023" s="57" t="str">
        <f aca="false">IF($I1023="","",INDEX(BookRate,1018)*(1+'5. Scenarios'!$C$10)*$I1023)</f>
        <v/>
      </c>
      <c r="K1023" s="57" t="str">
        <f aca="false">IF($J1023="","",SUMIFS($J$6:$J$2405,$A$6:$A$2405,"&lt;="&amp;$A1023))</f>
        <v/>
      </c>
      <c r="L1023" s="57" t="str">
        <f aca="false">IF($J1023="","",IF($K1023&lt;=BankCostEnvelope*'5. Scenarios'!$C$7,1,0))</f>
        <v/>
      </c>
      <c r="M1023" s="57" t="str">
        <f aca="false">IF($I1023="","",INDEX(BookRate,1018)*(1+'5. Scenarios'!$C$10)*(INDEX(BookQ1,1018)*(5-MIN(4,1+'5. Scenarios'!$C$8))/4+INDEX(BookQ2,1018)*(5-MIN(4,2+'5. Scenarios'!$C$8))/4+INDEX(BookQ3,1018)*(5-MIN(4,3+'5. Scenarios'!$C$8))/4+INDEX(BookQ4,1018)*(5-MIN(4,4+'5. Scenarios'!$C$8))/4)*'5. Scenarios'!$C$6/(1+ProductivityDefault*('5. Scenarios'!$C$11-1))+INDEX(BookOneOff,1018)*$I1023)</f>
        <v/>
      </c>
      <c r="N1023" s="56" t="str">
        <f aca="false">IF(INDEX(BookTitle,1018)="","",INDEX(BookTotal,1018)*'5. Scenarios'!$D$6/(1+ProductivityDefault*('5. Scenarios'!$D$11-1)))</f>
        <v/>
      </c>
      <c r="O1023" s="57" t="str">
        <f aca="false">IF($N1023="","",INDEX(BookRate,1018)*(1+'5. Scenarios'!$D$10)*$N1023)</f>
        <v/>
      </c>
      <c r="P1023" s="57" t="str">
        <f aca="false">IF($O1023="","",SUMIFS($O$6:$O$2405,$A$6:$A$2405,"&lt;="&amp;$A1023))</f>
        <v/>
      </c>
      <c r="Q1023" s="57" t="str">
        <f aca="false">IF($O1023="","",IF($P1023&lt;=BankCostEnvelope*'5. Scenarios'!$D$7,1,0))</f>
        <v/>
      </c>
      <c r="R1023" s="57" t="str">
        <f aca="false">IF($N1023="","",INDEX(BookRate,1018)*(1+'5. Scenarios'!$D$10)*(INDEX(BookQ1,1018)*(5-MIN(4,1+'5. Scenarios'!$D$8))/4+INDEX(BookQ2,1018)*(5-MIN(4,2+'5. Scenarios'!$D$8))/4+INDEX(BookQ3,1018)*(5-MIN(4,3+'5. Scenarios'!$D$8))/4+INDEX(BookQ4,1018)*(5-MIN(4,4+'5. Scenarios'!$D$8))/4)*'5. Scenarios'!$D$6/(1+ProductivityDefault*('5. Scenarios'!$D$11-1))+INDEX(BookOneOff,1018)*$N1023)</f>
        <v/>
      </c>
      <c r="S1023" s="56" t="str">
        <f aca="false">IF(INDEX(BookTitle,1018)="","",INDEX(BookTotal,1018)*'5. Scenarios'!$E$6/(1+ProductivityDefault*('5. Scenarios'!$E$11-1)))</f>
        <v/>
      </c>
      <c r="T1023" s="57" t="str">
        <f aca="false">IF($S1023="","",INDEX(BookRate,1018)*(1+'5. Scenarios'!$E$10)*$S1023)</f>
        <v/>
      </c>
      <c r="U1023" s="57" t="str">
        <f aca="false">IF($T1023="","",SUMIFS($T$6:$T$2405,$A$6:$A$2405,"&lt;="&amp;$A1023))</f>
        <v/>
      </c>
      <c r="V1023" s="57" t="str">
        <f aca="false">IF($T1023="","",IF($U1023&lt;=BankCostEnvelope*'5. Scenarios'!$E$7,1,0))</f>
        <v/>
      </c>
      <c r="W1023" s="57" t="str">
        <f aca="false">IF($S1023="","",INDEX(BookRate,1018)*(1+'5. Scenarios'!$E$10)*(INDEX(BookQ1,1018)*(5-MIN(4,1+'5. Scenarios'!$E$8))/4+INDEX(BookQ2,1018)*(5-MIN(4,2+'5. Scenarios'!$E$8))/4+INDEX(BookQ3,1018)*(5-MIN(4,3+'5. Scenarios'!$E$8))/4+INDEX(BookQ4,1018)*(5-MIN(4,4+'5. Scenarios'!$E$8))/4)*'5. Scenarios'!$E$6/(1+ProductivityDefault*('5. Scenarios'!$E$11-1))+INDEX(BookOneOff,1018)*$S1023)</f>
        <v/>
      </c>
    </row>
    <row r="1024" customFormat="false" ht="15" hidden="false" customHeight="false" outlineLevel="0" collapsed="false">
      <c r="A1024" s="0" t="str">
        <f aca="false">IF(INDEX(BookTitle,1019)="","",INDEX(BookKey,1019))</f>
        <v/>
      </c>
      <c r="B1024" s="0" t="str">
        <f aca="false">IF(INDEX(BookTitle,1019)="","",INDEX(BookGroup,1019))</f>
        <v/>
      </c>
      <c r="C1024" s="0" t="str">
        <f aca="false">IF(INDEX(BookTitle,1019)="","",INDEX(BookCategory,1019))</f>
        <v/>
      </c>
      <c r="D1024" s="56" t="str">
        <f aca="false">IF(INDEX(BookTitle,1019)="","",INDEX(BookTotal,1019)*'5. Scenarios'!$B$6/(1+ProductivityDefault*('5. Scenarios'!$B$11-1)))</f>
        <v/>
      </c>
      <c r="E1024" s="57" t="str">
        <f aca="false">IF($D1024="","",INDEX(BookRate,1019)*(1+'5. Scenarios'!$B$10)*$D1024)</f>
        <v/>
      </c>
      <c r="F1024" s="57" t="str">
        <f aca="false">IF($E1024="","",SUMIFS($E$6:$E$2405,$A$6:$A$2405,"&lt;="&amp;$A1024))</f>
        <v/>
      </c>
      <c r="G1024" s="57" t="str">
        <f aca="false">IF($E1024="","",IF($F1024&lt;=BankCostEnvelope*'5. Scenarios'!$B$7,1,0))</f>
        <v/>
      </c>
      <c r="H1024" s="57" t="str">
        <f aca="false">IF($D1024="","",INDEX(BookRate,1019)*(1+'5. Scenarios'!$B$10)*(INDEX(BookQ1,1019)*(5-MIN(4,1+'5. Scenarios'!$B$8))/4+INDEX(BookQ2,1019)*(5-MIN(4,2+'5. Scenarios'!$B$8))/4+INDEX(BookQ3,1019)*(5-MIN(4,3+'5. Scenarios'!$B$8))/4+INDEX(BookQ4,1019)*(5-MIN(4,4+'5. Scenarios'!$B$8))/4)*'5. Scenarios'!$B$6/(1+ProductivityDefault*('5. Scenarios'!$B$11-1))+INDEX(BookOneOff,1019)*$D1024)</f>
        <v/>
      </c>
      <c r="I1024" s="56" t="str">
        <f aca="false">IF(INDEX(BookTitle,1019)="","",INDEX(BookTotal,1019)*'5. Scenarios'!$C$6/(1+ProductivityDefault*('5. Scenarios'!$C$11-1)))</f>
        <v/>
      </c>
      <c r="J1024" s="57" t="str">
        <f aca="false">IF($I1024="","",INDEX(BookRate,1019)*(1+'5. Scenarios'!$C$10)*$I1024)</f>
        <v/>
      </c>
      <c r="K1024" s="57" t="str">
        <f aca="false">IF($J1024="","",SUMIFS($J$6:$J$2405,$A$6:$A$2405,"&lt;="&amp;$A1024))</f>
        <v/>
      </c>
      <c r="L1024" s="57" t="str">
        <f aca="false">IF($J1024="","",IF($K1024&lt;=BankCostEnvelope*'5. Scenarios'!$C$7,1,0))</f>
        <v/>
      </c>
      <c r="M1024" s="57" t="str">
        <f aca="false">IF($I1024="","",INDEX(BookRate,1019)*(1+'5. Scenarios'!$C$10)*(INDEX(BookQ1,1019)*(5-MIN(4,1+'5. Scenarios'!$C$8))/4+INDEX(BookQ2,1019)*(5-MIN(4,2+'5. Scenarios'!$C$8))/4+INDEX(BookQ3,1019)*(5-MIN(4,3+'5. Scenarios'!$C$8))/4+INDEX(BookQ4,1019)*(5-MIN(4,4+'5. Scenarios'!$C$8))/4)*'5. Scenarios'!$C$6/(1+ProductivityDefault*('5. Scenarios'!$C$11-1))+INDEX(BookOneOff,1019)*$I1024)</f>
        <v/>
      </c>
      <c r="N1024" s="56" t="str">
        <f aca="false">IF(INDEX(BookTitle,1019)="","",INDEX(BookTotal,1019)*'5. Scenarios'!$D$6/(1+ProductivityDefault*('5. Scenarios'!$D$11-1)))</f>
        <v/>
      </c>
      <c r="O1024" s="57" t="str">
        <f aca="false">IF($N1024="","",INDEX(BookRate,1019)*(1+'5. Scenarios'!$D$10)*$N1024)</f>
        <v/>
      </c>
      <c r="P1024" s="57" t="str">
        <f aca="false">IF($O1024="","",SUMIFS($O$6:$O$2405,$A$6:$A$2405,"&lt;="&amp;$A1024))</f>
        <v/>
      </c>
      <c r="Q1024" s="57" t="str">
        <f aca="false">IF($O1024="","",IF($P1024&lt;=BankCostEnvelope*'5. Scenarios'!$D$7,1,0))</f>
        <v/>
      </c>
      <c r="R1024" s="57" t="str">
        <f aca="false">IF($N1024="","",INDEX(BookRate,1019)*(1+'5. Scenarios'!$D$10)*(INDEX(BookQ1,1019)*(5-MIN(4,1+'5. Scenarios'!$D$8))/4+INDEX(BookQ2,1019)*(5-MIN(4,2+'5. Scenarios'!$D$8))/4+INDEX(BookQ3,1019)*(5-MIN(4,3+'5. Scenarios'!$D$8))/4+INDEX(BookQ4,1019)*(5-MIN(4,4+'5. Scenarios'!$D$8))/4)*'5. Scenarios'!$D$6/(1+ProductivityDefault*('5. Scenarios'!$D$11-1))+INDEX(BookOneOff,1019)*$N1024)</f>
        <v/>
      </c>
      <c r="S1024" s="56" t="str">
        <f aca="false">IF(INDEX(BookTitle,1019)="","",INDEX(BookTotal,1019)*'5. Scenarios'!$E$6/(1+ProductivityDefault*('5. Scenarios'!$E$11-1)))</f>
        <v/>
      </c>
      <c r="T1024" s="57" t="str">
        <f aca="false">IF($S1024="","",INDEX(BookRate,1019)*(1+'5. Scenarios'!$E$10)*$S1024)</f>
        <v/>
      </c>
      <c r="U1024" s="57" t="str">
        <f aca="false">IF($T1024="","",SUMIFS($T$6:$T$2405,$A$6:$A$2405,"&lt;="&amp;$A1024))</f>
        <v/>
      </c>
      <c r="V1024" s="57" t="str">
        <f aca="false">IF($T1024="","",IF($U1024&lt;=BankCostEnvelope*'5. Scenarios'!$E$7,1,0))</f>
        <v/>
      </c>
      <c r="W1024" s="57" t="str">
        <f aca="false">IF($S1024="","",INDEX(BookRate,1019)*(1+'5. Scenarios'!$E$10)*(INDEX(BookQ1,1019)*(5-MIN(4,1+'5. Scenarios'!$E$8))/4+INDEX(BookQ2,1019)*(5-MIN(4,2+'5. Scenarios'!$E$8))/4+INDEX(BookQ3,1019)*(5-MIN(4,3+'5. Scenarios'!$E$8))/4+INDEX(BookQ4,1019)*(5-MIN(4,4+'5. Scenarios'!$E$8))/4)*'5. Scenarios'!$E$6/(1+ProductivityDefault*('5. Scenarios'!$E$11-1))+INDEX(BookOneOff,1019)*$S1024)</f>
        <v/>
      </c>
    </row>
    <row r="1025" customFormat="false" ht="15" hidden="false" customHeight="false" outlineLevel="0" collapsed="false">
      <c r="A1025" s="0" t="str">
        <f aca="false">IF(INDEX(BookTitle,1020)="","",INDEX(BookKey,1020))</f>
        <v/>
      </c>
      <c r="B1025" s="0" t="str">
        <f aca="false">IF(INDEX(BookTitle,1020)="","",INDEX(BookGroup,1020))</f>
        <v/>
      </c>
      <c r="C1025" s="0" t="str">
        <f aca="false">IF(INDEX(BookTitle,1020)="","",INDEX(BookCategory,1020))</f>
        <v/>
      </c>
      <c r="D1025" s="56" t="str">
        <f aca="false">IF(INDEX(BookTitle,1020)="","",INDEX(BookTotal,1020)*'5. Scenarios'!$B$6/(1+ProductivityDefault*('5. Scenarios'!$B$11-1)))</f>
        <v/>
      </c>
      <c r="E1025" s="57" t="str">
        <f aca="false">IF($D1025="","",INDEX(BookRate,1020)*(1+'5. Scenarios'!$B$10)*$D1025)</f>
        <v/>
      </c>
      <c r="F1025" s="57" t="str">
        <f aca="false">IF($E1025="","",SUMIFS($E$6:$E$2405,$A$6:$A$2405,"&lt;="&amp;$A1025))</f>
        <v/>
      </c>
      <c r="G1025" s="57" t="str">
        <f aca="false">IF($E1025="","",IF($F1025&lt;=BankCostEnvelope*'5. Scenarios'!$B$7,1,0))</f>
        <v/>
      </c>
      <c r="H1025" s="57" t="str">
        <f aca="false">IF($D1025="","",INDEX(BookRate,1020)*(1+'5. Scenarios'!$B$10)*(INDEX(BookQ1,1020)*(5-MIN(4,1+'5. Scenarios'!$B$8))/4+INDEX(BookQ2,1020)*(5-MIN(4,2+'5. Scenarios'!$B$8))/4+INDEX(BookQ3,1020)*(5-MIN(4,3+'5. Scenarios'!$B$8))/4+INDEX(BookQ4,1020)*(5-MIN(4,4+'5. Scenarios'!$B$8))/4)*'5. Scenarios'!$B$6/(1+ProductivityDefault*('5. Scenarios'!$B$11-1))+INDEX(BookOneOff,1020)*$D1025)</f>
        <v/>
      </c>
      <c r="I1025" s="56" t="str">
        <f aca="false">IF(INDEX(BookTitle,1020)="","",INDEX(BookTotal,1020)*'5. Scenarios'!$C$6/(1+ProductivityDefault*('5. Scenarios'!$C$11-1)))</f>
        <v/>
      </c>
      <c r="J1025" s="57" t="str">
        <f aca="false">IF($I1025="","",INDEX(BookRate,1020)*(1+'5. Scenarios'!$C$10)*$I1025)</f>
        <v/>
      </c>
      <c r="K1025" s="57" t="str">
        <f aca="false">IF($J1025="","",SUMIFS($J$6:$J$2405,$A$6:$A$2405,"&lt;="&amp;$A1025))</f>
        <v/>
      </c>
      <c r="L1025" s="57" t="str">
        <f aca="false">IF($J1025="","",IF($K1025&lt;=BankCostEnvelope*'5. Scenarios'!$C$7,1,0))</f>
        <v/>
      </c>
      <c r="M1025" s="57" t="str">
        <f aca="false">IF($I1025="","",INDEX(BookRate,1020)*(1+'5. Scenarios'!$C$10)*(INDEX(BookQ1,1020)*(5-MIN(4,1+'5. Scenarios'!$C$8))/4+INDEX(BookQ2,1020)*(5-MIN(4,2+'5. Scenarios'!$C$8))/4+INDEX(BookQ3,1020)*(5-MIN(4,3+'5. Scenarios'!$C$8))/4+INDEX(BookQ4,1020)*(5-MIN(4,4+'5. Scenarios'!$C$8))/4)*'5. Scenarios'!$C$6/(1+ProductivityDefault*('5. Scenarios'!$C$11-1))+INDEX(BookOneOff,1020)*$I1025)</f>
        <v/>
      </c>
      <c r="N1025" s="56" t="str">
        <f aca="false">IF(INDEX(BookTitle,1020)="","",INDEX(BookTotal,1020)*'5. Scenarios'!$D$6/(1+ProductivityDefault*('5. Scenarios'!$D$11-1)))</f>
        <v/>
      </c>
      <c r="O1025" s="57" t="str">
        <f aca="false">IF($N1025="","",INDEX(BookRate,1020)*(1+'5. Scenarios'!$D$10)*$N1025)</f>
        <v/>
      </c>
      <c r="P1025" s="57" t="str">
        <f aca="false">IF($O1025="","",SUMIFS($O$6:$O$2405,$A$6:$A$2405,"&lt;="&amp;$A1025))</f>
        <v/>
      </c>
      <c r="Q1025" s="57" t="str">
        <f aca="false">IF($O1025="","",IF($P1025&lt;=BankCostEnvelope*'5. Scenarios'!$D$7,1,0))</f>
        <v/>
      </c>
      <c r="R1025" s="57" t="str">
        <f aca="false">IF($N1025="","",INDEX(BookRate,1020)*(1+'5. Scenarios'!$D$10)*(INDEX(BookQ1,1020)*(5-MIN(4,1+'5. Scenarios'!$D$8))/4+INDEX(BookQ2,1020)*(5-MIN(4,2+'5. Scenarios'!$D$8))/4+INDEX(BookQ3,1020)*(5-MIN(4,3+'5. Scenarios'!$D$8))/4+INDEX(BookQ4,1020)*(5-MIN(4,4+'5. Scenarios'!$D$8))/4)*'5. Scenarios'!$D$6/(1+ProductivityDefault*('5. Scenarios'!$D$11-1))+INDEX(BookOneOff,1020)*$N1025)</f>
        <v/>
      </c>
      <c r="S1025" s="56" t="str">
        <f aca="false">IF(INDEX(BookTitle,1020)="","",INDEX(BookTotal,1020)*'5. Scenarios'!$E$6/(1+ProductivityDefault*('5. Scenarios'!$E$11-1)))</f>
        <v/>
      </c>
      <c r="T1025" s="57" t="str">
        <f aca="false">IF($S1025="","",INDEX(BookRate,1020)*(1+'5. Scenarios'!$E$10)*$S1025)</f>
        <v/>
      </c>
      <c r="U1025" s="57" t="str">
        <f aca="false">IF($T1025="","",SUMIFS($T$6:$T$2405,$A$6:$A$2405,"&lt;="&amp;$A1025))</f>
        <v/>
      </c>
      <c r="V1025" s="57" t="str">
        <f aca="false">IF($T1025="","",IF($U1025&lt;=BankCostEnvelope*'5. Scenarios'!$E$7,1,0))</f>
        <v/>
      </c>
      <c r="W1025" s="57" t="str">
        <f aca="false">IF($S1025="","",INDEX(BookRate,1020)*(1+'5. Scenarios'!$E$10)*(INDEX(BookQ1,1020)*(5-MIN(4,1+'5. Scenarios'!$E$8))/4+INDEX(BookQ2,1020)*(5-MIN(4,2+'5. Scenarios'!$E$8))/4+INDEX(BookQ3,1020)*(5-MIN(4,3+'5. Scenarios'!$E$8))/4+INDEX(BookQ4,1020)*(5-MIN(4,4+'5. Scenarios'!$E$8))/4)*'5. Scenarios'!$E$6/(1+ProductivityDefault*('5. Scenarios'!$E$11-1))+INDEX(BookOneOff,1020)*$S1025)</f>
        <v/>
      </c>
    </row>
    <row r="1026" customFormat="false" ht="15" hidden="false" customHeight="false" outlineLevel="0" collapsed="false">
      <c r="A1026" s="0" t="str">
        <f aca="false">IF(INDEX(BookTitle,1021)="","",INDEX(BookKey,1021))</f>
        <v/>
      </c>
      <c r="B1026" s="0" t="str">
        <f aca="false">IF(INDEX(BookTitle,1021)="","",INDEX(BookGroup,1021))</f>
        <v/>
      </c>
      <c r="C1026" s="0" t="str">
        <f aca="false">IF(INDEX(BookTitle,1021)="","",INDEX(BookCategory,1021))</f>
        <v/>
      </c>
      <c r="D1026" s="56" t="str">
        <f aca="false">IF(INDEX(BookTitle,1021)="","",INDEX(BookTotal,1021)*'5. Scenarios'!$B$6/(1+ProductivityDefault*('5. Scenarios'!$B$11-1)))</f>
        <v/>
      </c>
      <c r="E1026" s="57" t="str">
        <f aca="false">IF($D1026="","",INDEX(BookRate,1021)*(1+'5. Scenarios'!$B$10)*$D1026)</f>
        <v/>
      </c>
      <c r="F1026" s="57" t="str">
        <f aca="false">IF($E1026="","",SUMIFS($E$6:$E$2405,$A$6:$A$2405,"&lt;="&amp;$A1026))</f>
        <v/>
      </c>
      <c r="G1026" s="57" t="str">
        <f aca="false">IF($E1026="","",IF($F1026&lt;=BankCostEnvelope*'5. Scenarios'!$B$7,1,0))</f>
        <v/>
      </c>
      <c r="H1026" s="57" t="str">
        <f aca="false">IF($D1026="","",INDEX(BookRate,1021)*(1+'5. Scenarios'!$B$10)*(INDEX(BookQ1,1021)*(5-MIN(4,1+'5. Scenarios'!$B$8))/4+INDEX(BookQ2,1021)*(5-MIN(4,2+'5. Scenarios'!$B$8))/4+INDEX(BookQ3,1021)*(5-MIN(4,3+'5. Scenarios'!$B$8))/4+INDEX(BookQ4,1021)*(5-MIN(4,4+'5. Scenarios'!$B$8))/4)*'5. Scenarios'!$B$6/(1+ProductivityDefault*('5. Scenarios'!$B$11-1))+INDEX(BookOneOff,1021)*$D1026)</f>
        <v/>
      </c>
      <c r="I1026" s="56" t="str">
        <f aca="false">IF(INDEX(BookTitle,1021)="","",INDEX(BookTotal,1021)*'5. Scenarios'!$C$6/(1+ProductivityDefault*('5. Scenarios'!$C$11-1)))</f>
        <v/>
      </c>
      <c r="J1026" s="57" t="str">
        <f aca="false">IF($I1026="","",INDEX(BookRate,1021)*(1+'5. Scenarios'!$C$10)*$I1026)</f>
        <v/>
      </c>
      <c r="K1026" s="57" t="str">
        <f aca="false">IF($J1026="","",SUMIFS($J$6:$J$2405,$A$6:$A$2405,"&lt;="&amp;$A1026))</f>
        <v/>
      </c>
      <c r="L1026" s="57" t="str">
        <f aca="false">IF($J1026="","",IF($K1026&lt;=BankCostEnvelope*'5. Scenarios'!$C$7,1,0))</f>
        <v/>
      </c>
      <c r="M1026" s="57" t="str">
        <f aca="false">IF($I1026="","",INDEX(BookRate,1021)*(1+'5. Scenarios'!$C$10)*(INDEX(BookQ1,1021)*(5-MIN(4,1+'5. Scenarios'!$C$8))/4+INDEX(BookQ2,1021)*(5-MIN(4,2+'5. Scenarios'!$C$8))/4+INDEX(BookQ3,1021)*(5-MIN(4,3+'5. Scenarios'!$C$8))/4+INDEX(BookQ4,1021)*(5-MIN(4,4+'5. Scenarios'!$C$8))/4)*'5. Scenarios'!$C$6/(1+ProductivityDefault*('5. Scenarios'!$C$11-1))+INDEX(BookOneOff,1021)*$I1026)</f>
        <v/>
      </c>
      <c r="N1026" s="56" t="str">
        <f aca="false">IF(INDEX(BookTitle,1021)="","",INDEX(BookTotal,1021)*'5. Scenarios'!$D$6/(1+ProductivityDefault*('5. Scenarios'!$D$11-1)))</f>
        <v/>
      </c>
      <c r="O1026" s="57" t="str">
        <f aca="false">IF($N1026="","",INDEX(BookRate,1021)*(1+'5. Scenarios'!$D$10)*$N1026)</f>
        <v/>
      </c>
      <c r="P1026" s="57" t="str">
        <f aca="false">IF($O1026="","",SUMIFS($O$6:$O$2405,$A$6:$A$2405,"&lt;="&amp;$A1026))</f>
        <v/>
      </c>
      <c r="Q1026" s="57" t="str">
        <f aca="false">IF($O1026="","",IF($P1026&lt;=BankCostEnvelope*'5. Scenarios'!$D$7,1,0))</f>
        <v/>
      </c>
      <c r="R1026" s="57" t="str">
        <f aca="false">IF($N1026="","",INDEX(BookRate,1021)*(1+'5. Scenarios'!$D$10)*(INDEX(BookQ1,1021)*(5-MIN(4,1+'5. Scenarios'!$D$8))/4+INDEX(BookQ2,1021)*(5-MIN(4,2+'5. Scenarios'!$D$8))/4+INDEX(BookQ3,1021)*(5-MIN(4,3+'5. Scenarios'!$D$8))/4+INDEX(BookQ4,1021)*(5-MIN(4,4+'5. Scenarios'!$D$8))/4)*'5. Scenarios'!$D$6/(1+ProductivityDefault*('5. Scenarios'!$D$11-1))+INDEX(BookOneOff,1021)*$N1026)</f>
        <v/>
      </c>
      <c r="S1026" s="56" t="str">
        <f aca="false">IF(INDEX(BookTitle,1021)="","",INDEX(BookTotal,1021)*'5. Scenarios'!$E$6/(1+ProductivityDefault*('5. Scenarios'!$E$11-1)))</f>
        <v/>
      </c>
      <c r="T1026" s="57" t="str">
        <f aca="false">IF($S1026="","",INDEX(BookRate,1021)*(1+'5. Scenarios'!$E$10)*$S1026)</f>
        <v/>
      </c>
      <c r="U1026" s="57" t="str">
        <f aca="false">IF($T1026="","",SUMIFS($T$6:$T$2405,$A$6:$A$2405,"&lt;="&amp;$A1026))</f>
        <v/>
      </c>
      <c r="V1026" s="57" t="str">
        <f aca="false">IF($T1026="","",IF($U1026&lt;=BankCostEnvelope*'5. Scenarios'!$E$7,1,0))</f>
        <v/>
      </c>
      <c r="W1026" s="57" t="str">
        <f aca="false">IF($S1026="","",INDEX(BookRate,1021)*(1+'5. Scenarios'!$E$10)*(INDEX(BookQ1,1021)*(5-MIN(4,1+'5. Scenarios'!$E$8))/4+INDEX(BookQ2,1021)*(5-MIN(4,2+'5. Scenarios'!$E$8))/4+INDEX(BookQ3,1021)*(5-MIN(4,3+'5. Scenarios'!$E$8))/4+INDEX(BookQ4,1021)*(5-MIN(4,4+'5. Scenarios'!$E$8))/4)*'5. Scenarios'!$E$6/(1+ProductivityDefault*('5. Scenarios'!$E$11-1))+INDEX(BookOneOff,1021)*$S1026)</f>
        <v/>
      </c>
    </row>
    <row r="1027" customFormat="false" ht="15" hidden="false" customHeight="false" outlineLevel="0" collapsed="false">
      <c r="A1027" s="0" t="str">
        <f aca="false">IF(INDEX(BookTitle,1022)="","",INDEX(BookKey,1022))</f>
        <v/>
      </c>
      <c r="B1027" s="0" t="str">
        <f aca="false">IF(INDEX(BookTitle,1022)="","",INDEX(BookGroup,1022))</f>
        <v/>
      </c>
      <c r="C1027" s="0" t="str">
        <f aca="false">IF(INDEX(BookTitle,1022)="","",INDEX(BookCategory,1022))</f>
        <v/>
      </c>
      <c r="D1027" s="56" t="str">
        <f aca="false">IF(INDEX(BookTitle,1022)="","",INDEX(BookTotal,1022)*'5. Scenarios'!$B$6/(1+ProductivityDefault*('5. Scenarios'!$B$11-1)))</f>
        <v/>
      </c>
      <c r="E1027" s="57" t="str">
        <f aca="false">IF($D1027="","",INDEX(BookRate,1022)*(1+'5. Scenarios'!$B$10)*$D1027)</f>
        <v/>
      </c>
      <c r="F1027" s="57" t="str">
        <f aca="false">IF($E1027="","",SUMIFS($E$6:$E$2405,$A$6:$A$2405,"&lt;="&amp;$A1027))</f>
        <v/>
      </c>
      <c r="G1027" s="57" t="str">
        <f aca="false">IF($E1027="","",IF($F1027&lt;=BankCostEnvelope*'5. Scenarios'!$B$7,1,0))</f>
        <v/>
      </c>
      <c r="H1027" s="57" t="str">
        <f aca="false">IF($D1027="","",INDEX(BookRate,1022)*(1+'5. Scenarios'!$B$10)*(INDEX(BookQ1,1022)*(5-MIN(4,1+'5. Scenarios'!$B$8))/4+INDEX(BookQ2,1022)*(5-MIN(4,2+'5. Scenarios'!$B$8))/4+INDEX(BookQ3,1022)*(5-MIN(4,3+'5. Scenarios'!$B$8))/4+INDEX(BookQ4,1022)*(5-MIN(4,4+'5. Scenarios'!$B$8))/4)*'5. Scenarios'!$B$6/(1+ProductivityDefault*('5. Scenarios'!$B$11-1))+INDEX(BookOneOff,1022)*$D1027)</f>
        <v/>
      </c>
      <c r="I1027" s="56" t="str">
        <f aca="false">IF(INDEX(BookTitle,1022)="","",INDEX(BookTotal,1022)*'5. Scenarios'!$C$6/(1+ProductivityDefault*('5. Scenarios'!$C$11-1)))</f>
        <v/>
      </c>
      <c r="J1027" s="57" t="str">
        <f aca="false">IF($I1027="","",INDEX(BookRate,1022)*(1+'5. Scenarios'!$C$10)*$I1027)</f>
        <v/>
      </c>
      <c r="K1027" s="57" t="str">
        <f aca="false">IF($J1027="","",SUMIFS($J$6:$J$2405,$A$6:$A$2405,"&lt;="&amp;$A1027))</f>
        <v/>
      </c>
      <c r="L1027" s="57" t="str">
        <f aca="false">IF($J1027="","",IF($K1027&lt;=BankCostEnvelope*'5. Scenarios'!$C$7,1,0))</f>
        <v/>
      </c>
      <c r="M1027" s="57" t="str">
        <f aca="false">IF($I1027="","",INDEX(BookRate,1022)*(1+'5. Scenarios'!$C$10)*(INDEX(BookQ1,1022)*(5-MIN(4,1+'5. Scenarios'!$C$8))/4+INDEX(BookQ2,1022)*(5-MIN(4,2+'5. Scenarios'!$C$8))/4+INDEX(BookQ3,1022)*(5-MIN(4,3+'5. Scenarios'!$C$8))/4+INDEX(BookQ4,1022)*(5-MIN(4,4+'5. Scenarios'!$C$8))/4)*'5. Scenarios'!$C$6/(1+ProductivityDefault*('5. Scenarios'!$C$11-1))+INDEX(BookOneOff,1022)*$I1027)</f>
        <v/>
      </c>
      <c r="N1027" s="56" t="str">
        <f aca="false">IF(INDEX(BookTitle,1022)="","",INDEX(BookTotal,1022)*'5. Scenarios'!$D$6/(1+ProductivityDefault*('5. Scenarios'!$D$11-1)))</f>
        <v/>
      </c>
      <c r="O1027" s="57" t="str">
        <f aca="false">IF($N1027="","",INDEX(BookRate,1022)*(1+'5. Scenarios'!$D$10)*$N1027)</f>
        <v/>
      </c>
      <c r="P1027" s="57" t="str">
        <f aca="false">IF($O1027="","",SUMIFS($O$6:$O$2405,$A$6:$A$2405,"&lt;="&amp;$A1027))</f>
        <v/>
      </c>
      <c r="Q1027" s="57" t="str">
        <f aca="false">IF($O1027="","",IF($P1027&lt;=BankCostEnvelope*'5. Scenarios'!$D$7,1,0))</f>
        <v/>
      </c>
      <c r="R1027" s="57" t="str">
        <f aca="false">IF($N1027="","",INDEX(BookRate,1022)*(1+'5. Scenarios'!$D$10)*(INDEX(BookQ1,1022)*(5-MIN(4,1+'5. Scenarios'!$D$8))/4+INDEX(BookQ2,1022)*(5-MIN(4,2+'5. Scenarios'!$D$8))/4+INDEX(BookQ3,1022)*(5-MIN(4,3+'5. Scenarios'!$D$8))/4+INDEX(BookQ4,1022)*(5-MIN(4,4+'5. Scenarios'!$D$8))/4)*'5. Scenarios'!$D$6/(1+ProductivityDefault*('5. Scenarios'!$D$11-1))+INDEX(BookOneOff,1022)*$N1027)</f>
        <v/>
      </c>
      <c r="S1027" s="56" t="str">
        <f aca="false">IF(INDEX(BookTitle,1022)="","",INDEX(BookTotal,1022)*'5. Scenarios'!$E$6/(1+ProductivityDefault*('5. Scenarios'!$E$11-1)))</f>
        <v/>
      </c>
      <c r="T1027" s="57" t="str">
        <f aca="false">IF($S1027="","",INDEX(BookRate,1022)*(1+'5. Scenarios'!$E$10)*$S1027)</f>
        <v/>
      </c>
      <c r="U1027" s="57" t="str">
        <f aca="false">IF($T1027="","",SUMIFS($T$6:$T$2405,$A$6:$A$2405,"&lt;="&amp;$A1027))</f>
        <v/>
      </c>
      <c r="V1027" s="57" t="str">
        <f aca="false">IF($T1027="","",IF($U1027&lt;=BankCostEnvelope*'5. Scenarios'!$E$7,1,0))</f>
        <v/>
      </c>
      <c r="W1027" s="57" t="str">
        <f aca="false">IF($S1027="","",INDEX(BookRate,1022)*(1+'5. Scenarios'!$E$10)*(INDEX(BookQ1,1022)*(5-MIN(4,1+'5. Scenarios'!$E$8))/4+INDEX(BookQ2,1022)*(5-MIN(4,2+'5. Scenarios'!$E$8))/4+INDEX(BookQ3,1022)*(5-MIN(4,3+'5. Scenarios'!$E$8))/4+INDEX(BookQ4,1022)*(5-MIN(4,4+'5. Scenarios'!$E$8))/4)*'5. Scenarios'!$E$6/(1+ProductivityDefault*('5. Scenarios'!$E$11-1))+INDEX(BookOneOff,1022)*$S1027)</f>
        <v/>
      </c>
    </row>
    <row r="1028" customFormat="false" ht="15" hidden="false" customHeight="false" outlineLevel="0" collapsed="false">
      <c r="A1028" s="0" t="str">
        <f aca="false">IF(INDEX(BookTitle,1023)="","",INDEX(BookKey,1023))</f>
        <v/>
      </c>
      <c r="B1028" s="0" t="str">
        <f aca="false">IF(INDEX(BookTitle,1023)="","",INDEX(BookGroup,1023))</f>
        <v/>
      </c>
      <c r="C1028" s="0" t="str">
        <f aca="false">IF(INDEX(BookTitle,1023)="","",INDEX(BookCategory,1023))</f>
        <v/>
      </c>
      <c r="D1028" s="56" t="str">
        <f aca="false">IF(INDEX(BookTitle,1023)="","",INDEX(BookTotal,1023)*'5. Scenarios'!$B$6/(1+ProductivityDefault*('5. Scenarios'!$B$11-1)))</f>
        <v/>
      </c>
      <c r="E1028" s="57" t="str">
        <f aca="false">IF($D1028="","",INDEX(BookRate,1023)*(1+'5. Scenarios'!$B$10)*$D1028)</f>
        <v/>
      </c>
      <c r="F1028" s="57" t="str">
        <f aca="false">IF($E1028="","",SUMIFS($E$6:$E$2405,$A$6:$A$2405,"&lt;="&amp;$A1028))</f>
        <v/>
      </c>
      <c r="G1028" s="57" t="str">
        <f aca="false">IF($E1028="","",IF($F1028&lt;=BankCostEnvelope*'5. Scenarios'!$B$7,1,0))</f>
        <v/>
      </c>
      <c r="H1028" s="57" t="str">
        <f aca="false">IF($D1028="","",INDEX(BookRate,1023)*(1+'5. Scenarios'!$B$10)*(INDEX(BookQ1,1023)*(5-MIN(4,1+'5. Scenarios'!$B$8))/4+INDEX(BookQ2,1023)*(5-MIN(4,2+'5. Scenarios'!$B$8))/4+INDEX(BookQ3,1023)*(5-MIN(4,3+'5. Scenarios'!$B$8))/4+INDEX(BookQ4,1023)*(5-MIN(4,4+'5. Scenarios'!$B$8))/4)*'5. Scenarios'!$B$6/(1+ProductivityDefault*('5. Scenarios'!$B$11-1))+INDEX(BookOneOff,1023)*$D1028)</f>
        <v/>
      </c>
      <c r="I1028" s="56" t="str">
        <f aca="false">IF(INDEX(BookTitle,1023)="","",INDEX(BookTotal,1023)*'5. Scenarios'!$C$6/(1+ProductivityDefault*('5. Scenarios'!$C$11-1)))</f>
        <v/>
      </c>
      <c r="J1028" s="57" t="str">
        <f aca="false">IF($I1028="","",INDEX(BookRate,1023)*(1+'5. Scenarios'!$C$10)*$I1028)</f>
        <v/>
      </c>
      <c r="K1028" s="57" t="str">
        <f aca="false">IF($J1028="","",SUMIFS($J$6:$J$2405,$A$6:$A$2405,"&lt;="&amp;$A1028))</f>
        <v/>
      </c>
      <c r="L1028" s="57" t="str">
        <f aca="false">IF($J1028="","",IF($K1028&lt;=BankCostEnvelope*'5. Scenarios'!$C$7,1,0))</f>
        <v/>
      </c>
      <c r="M1028" s="57" t="str">
        <f aca="false">IF($I1028="","",INDEX(BookRate,1023)*(1+'5. Scenarios'!$C$10)*(INDEX(BookQ1,1023)*(5-MIN(4,1+'5. Scenarios'!$C$8))/4+INDEX(BookQ2,1023)*(5-MIN(4,2+'5. Scenarios'!$C$8))/4+INDEX(BookQ3,1023)*(5-MIN(4,3+'5. Scenarios'!$C$8))/4+INDEX(BookQ4,1023)*(5-MIN(4,4+'5. Scenarios'!$C$8))/4)*'5. Scenarios'!$C$6/(1+ProductivityDefault*('5. Scenarios'!$C$11-1))+INDEX(BookOneOff,1023)*$I1028)</f>
        <v/>
      </c>
      <c r="N1028" s="56" t="str">
        <f aca="false">IF(INDEX(BookTitle,1023)="","",INDEX(BookTotal,1023)*'5. Scenarios'!$D$6/(1+ProductivityDefault*('5. Scenarios'!$D$11-1)))</f>
        <v/>
      </c>
      <c r="O1028" s="57" t="str">
        <f aca="false">IF($N1028="","",INDEX(BookRate,1023)*(1+'5. Scenarios'!$D$10)*$N1028)</f>
        <v/>
      </c>
      <c r="P1028" s="57" t="str">
        <f aca="false">IF($O1028="","",SUMIFS($O$6:$O$2405,$A$6:$A$2405,"&lt;="&amp;$A1028))</f>
        <v/>
      </c>
      <c r="Q1028" s="57" t="str">
        <f aca="false">IF($O1028="","",IF($P1028&lt;=BankCostEnvelope*'5. Scenarios'!$D$7,1,0))</f>
        <v/>
      </c>
      <c r="R1028" s="57" t="str">
        <f aca="false">IF($N1028="","",INDEX(BookRate,1023)*(1+'5. Scenarios'!$D$10)*(INDEX(BookQ1,1023)*(5-MIN(4,1+'5. Scenarios'!$D$8))/4+INDEX(BookQ2,1023)*(5-MIN(4,2+'5. Scenarios'!$D$8))/4+INDEX(BookQ3,1023)*(5-MIN(4,3+'5. Scenarios'!$D$8))/4+INDEX(BookQ4,1023)*(5-MIN(4,4+'5. Scenarios'!$D$8))/4)*'5. Scenarios'!$D$6/(1+ProductivityDefault*('5. Scenarios'!$D$11-1))+INDEX(BookOneOff,1023)*$N1028)</f>
        <v/>
      </c>
      <c r="S1028" s="56" t="str">
        <f aca="false">IF(INDEX(BookTitle,1023)="","",INDEX(BookTotal,1023)*'5. Scenarios'!$E$6/(1+ProductivityDefault*('5. Scenarios'!$E$11-1)))</f>
        <v/>
      </c>
      <c r="T1028" s="57" t="str">
        <f aca="false">IF($S1028="","",INDEX(BookRate,1023)*(1+'5. Scenarios'!$E$10)*$S1028)</f>
        <v/>
      </c>
      <c r="U1028" s="57" t="str">
        <f aca="false">IF($T1028="","",SUMIFS($T$6:$T$2405,$A$6:$A$2405,"&lt;="&amp;$A1028))</f>
        <v/>
      </c>
      <c r="V1028" s="57" t="str">
        <f aca="false">IF($T1028="","",IF($U1028&lt;=BankCostEnvelope*'5. Scenarios'!$E$7,1,0))</f>
        <v/>
      </c>
      <c r="W1028" s="57" t="str">
        <f aca="false">IF($S1028="","",INDEX(BookRate,1023)*(1+'5. Scenarios'!$E$10)*(INDEX(BookQ1,1023)*(5-MIN(4,1+'5. Scenarios'!$E$8))/4+INDEX(BookQ2,1023)*(5-MIN(4,2+'5. Scenarios'!$E$8))/4+INDEX(BookQ3,1023)*(5-MIN(4,3+'5. Scenarios'!$E$8))/4+INDEX(BookQ4,1023)*(5-MIN(4,4+'5. Scenarios'!$E$8))/4)*'5. Scenarios'!$E$6/(1+ProductivityDefault*('5. Scenarios'!$E$11-1))+INDEX(BookOneOff,1023)*$S1028)</f>
        <v/>
      </c>
    </row>
    <row r="1029" customFormat="false" ht="15" hidden="false" customHeight="false" outlineLevel="0" collapsed="false">
      <c r="A1029" s="0" t="str">
        <f aca="false">IF(INDEX(BookTitle,1024)="","",INDEX(BookKey,1024))</f>
        <v/>
      </c>
      <c r="B1029" s="0" t="str">
        <f aca="false">IF(INDEX(BookTitle,1024)="","",INDEX(BookGroup,1024))</f>
        <v/>
      </c>
      <c r="C1029" s="0" t="str">
        <f aca="false">IF(INDEX(BookTitle,1024)="","",INDEX(BookCategory,1024))</f>
        <v/>
      </c>
      <c r="D1029" s="56" t="str">
        <f aca="false">IF(INDEX(BookTitle,1024)="","",INDEX(BookTotal,1024)*'5. Scenarios'!$B$6/(1+ProductivityDefault*('5. Scenarios'!$B$11-1)))</f>
        <v/>
      </c>
      <c r="E1029" s="57" t="str">
        <f aca="false">IF($D1029="","",INDEX(BookRate,1024)*(1+'5. Scenarios'!$B$10)*$D1029)</f>
        <v/>
      </c>
      <c r="F1029" s="57" t="str">
        <f aca="false">IF($E1029="","",SUMIFS($E$6:$E$2405,$A$6:$A$2405,"&lt;="&amp;$A1029))</f>
        <v/>
      </c>
      <c r="G1029" s="57" t="str">
        <f aca="false">IF($E1029="","",IF($F1029&lt;=BankCostEnvelope*'5. Scenarios'!$B$7,1,0))</f>
        <v/>
      </c>
      <c r="H1029" s="57" t="str">
        <f aca="false">IF($D1029="","",INDEX(BookRate,1024)*(1+'5. Scenarios'!$B$10)*(INDEX(BookQ1,1024)*(5-MIN(4,1+'5. Scenarios'!$B$8))/4+INDEX(BookQ2,1024)*(5-MIN(4,2+'5. Scenarios'!$B$8))/4+INDEX(BookQ3,1024)*(5-MIN(4,3+'5. Scenarios'!$B$8))/4+INDEX(BookQ4,1024)*(5-MIN(4,4+'5. Scenarios'!$B$8))/4)*'5. Scenarios'!$B$6/(1+ProductivityDefault*('5. Scenarios'!$B$11-1))+INDEX(BookOneOff,1024)*$D1029)</f>
        <v/>
      </c>
      <c r="I1029" s="56" t="str">
        <f aca="false">IF(INDEX(BookTitle,1024)="","",INDEX(BookTotal,1024)*'5. Scenarios'!$C$6/(1+ProductivityDefault*('5. Scenarios'!$C$11-1)))</f>
        <v/>
      </c>
      <c r="J1029" s="57" t="str">
        <f aca="false">IF($I1029="","",INDEX(BookRate,1024)*(1+'5. Scenarios'!$C$10)*$I1029)</f>
        <v/>
      </c>
      <c r="K1029" s="57" t="str">
        <f aca="false">IF($J1029="","",SUMIFS($J$6:$J$2405,$A$6:$A$2405,"&lt;="&amp;$A1029))</f>
        <v/>
      </c>
      <c r="L1029" s="57" t="str">
        <f aca="false">IF($J1029="","",IF($K1029&lt;=BankCostEnvelope*'5. Scenarios'!$C$7,1,0))</f>
        <v/>
      </c>
      <c r="M1029" s="57" t="str">
        <f aca="false">IF($I1029="","",INDEX(BookRate,1024)*(1+'5. Scenarios'!$C$10)*(INDEX(BookQ1,1024)*(5-MIN(4,1+'5. Scenarios'!$C$8))/4+INDEX(BookQ2,1024)*(5-MIN(4,2+'5. Scenarios'!$C$8))/4+INDEX(BookQ3,1024)*(5-MIN(4,3+'5. Scenarios'!$C$8))/4+INDEX(BookQ4,1024)*(5-MIN(4,4+'5. Scenarios'!$C$8))/4)*'5. Scenarios'!$C$6/(1+ProductivityDefault*('5. Scenarios'!$C$11-1))+INDEX(BookOneOff,1024)*$I1029)</f>
        <v/>
      </c>
      <c r="N1029" s="56" t="str">
        <f aca="false">IF(INDEX(BookTitle,1024)="","",INDEX(BookTotal,1024)*'5. Scenarios'!$D$6/(1+ProductivityDefault*('5. Scenarios'!$D$11-1)))</f>
        <v/>
      </c>
      <c r="O1029" s="57" t="str">
        <f aca="false">IF($N1029="","",INDEX(BookRate,1024)*(1+'5. Scenarios'!$D$10)*$N1029)</f>
        <v/>
      </c>
      <c r="P1029" s="57" t="str">
        <f aca="false">IF($O1029="","",SUMIFS($O$6:$O$2405,$A$6:$A$2405,"&lt;="&amp;$A1029))</f>
        <v/>
      </c>
      <c r="Q1029" s="57" t="str">
        <f aca="false">IF($O1029="","",IF($P1029&lt;=BankCostEnvelope*'5. Scenarios'!$D$7,1,0))</f>
        <v/>
      </c>
      <c r="R1029" s="57" t="str">
        <f aca="false">IF($N1029="","",INDEX(BookRate,1024)*(1+'5. Scenarios'!$D$10)*(INDEX(BookQ1,1024)*(5-MIN(4,1+'5. Scenarios'!$D$8))/4+INDEX(BookQ2,1024)*(5-MIN(4,2+'5. Scenarios'!$D$8))/4+INDEX(BookQ3,1024)*(5-MIN(4,3+'5. Scenarios'!$D$8))/4+INDEX(BookQ4,1024)*(5-MIN(4,4+'5. Scenarios'!$D$8))/4)*'5. Scenarios'!$D$6/(1+ProductivityDefault*('5. Scenarios'!$D$11-1))+INDEX(BookOneOff,1024)*$N1029)</f>
        <v/>
      </c>
      <c r="S1029" s="56" t="str">
        <f aca="false">IF(INDEX(BookTitle,1024)="","",INDEX(BookTotal,1024)*'5. Scenarios'!$E$6/(1+ProductivityDefault*('5. Scenarios'!$E$11-1)))</f>
        <v/>
      </c>
      <c r="T1029" s="57" t="str">
        <f aca="false">IF($S1029="","",INDEX(BookRate,1024)*(1+'5. Scenarios'!$E$10)*$S1029)</f>
        <v/>
      </c>
      <c r="U1029" s="57" t="str">
        <f aca="false">IF($T1029="","",SUMIFS($T$6:$T$2405,$A$6:$A$2405,"&lt;="&amp;$A1029))</f>
        <v/>
      </c>
      <c r="V1029" s="57" t="str">
        <f aca="false">IF($T1029="","",IF($U1029&lt;=BankCostEnvelope*'5. Scenarios'!$E$7,1,0))</f>
        <v/>
      </c>
      <c r="W1029" s="57" t="str">
        <f aca="false">IF($S1029="","",INDEX(BookRate,1024)*(1+'5. Scenarios'!$E$10)*(INDEX(BookQ1,1024)*(5-MIN(4,1+'5. Scenarios'!$E$8))/4+INDEX(BookQ2,1024)*(5-MIN(4,2+'5. Scenarios'!$E$8))/4+INDEX(BookQ3,1024)*(5-MIN(4,3+'5. Scenarios'!$E$8))/4+INDEX(BookQ4,1024)*(5-MIN(4,4+'5. Scenarios'!$E$8))/4)*'5. Scenarios'!$E$6/(1+ProductivityDefault*('5. Scenarios'!$E$11-1))+INDEX(BookOneOff,1024)*$S1029)</f>
        <v/>
      </c>
    </row>
    <row r="1030" customFormat="false" ht="15" hidden="false" customHeight="false" outlineLevel="0" collapsed="false">
      <c r="A1030" s="0" t="str">
        <f aca="false">IF(INDEX(BookTitle,1025)="","",INDEX(BookKey,1025))</f>
        <v/>
      </c>
      <c r="B1030" s="0" t="str">
        <f aca="false">IF(INDEX(BookTitle,1025)="","",INDEX(BookGroup,1025))</f>
        <v/>
      </c>
      <c r="C1030" s="0" t="str">
        <f aca="false">IF(INDEX(BookTitle,1025)="","",INDEX(BookCategory,1025))</f>
        <v/>
      </c>
      <c r="D1030" s="56" t="str">
        <f aca="false">IF(INDEX(BookTitle,1025)="","",INDEX(BookTotal,1025)*'5. Scenarios'!$B$6/(1+ProductivityDefault*('5. Scenarios'!$B$11-1)))</f>
        <v/>
      </c>
      <c r="E1030" s="57" t="str">
        <f aca="false">IF($D1030="","",INDEX(BookRate,1025)*(1+'5. Scenarios'!$B$10)*$D1030)</f>
        <v/>
      </c>
      <c r="F1030" s="57" t="str">
        <f aca="false">IF($E1030="","",SUMIFS($E$6:$E$2405,$A$6:$A$2405,"&lt;="&amp;$A1030))</f>
        <v/>
      </c>
      <c r="G1030" s="57" t="str">
        <f aca="false">IF($E1030="","",IF($F1030&lt;=BankCostEnvelope*'5. Scenarios'!$B$7,1,0))</f>
        <v/>
      </c>
      <c r="H1030" s="57" t="str">
        <f aca="false">IF($D1030="","",INDEX(BookRate,1025)*(1+'5. Scenarios'!$B$10)*(INDEX(BookQ1,1025)*(5-MIN(4,1+'5. Scenarios'!$B$8))/4+INDEX(BookQ2,1025)*(5-MIN(4,2+'5. Scenarios'!$B$8))/4+INDEX(BookQ3,1025)*(5-MIN(4,3+'5. Scenarios'!$B$8))/4+INDEX(BookQ4,1025)*(5-MIN(4,4+'5. Scenarios'!$B$8))/4)*'5. Scenarios'!$B$6/(1+ProductivityDefault*('5. Scenarios'!$B$11-1))+INDEX(BookOneOff,1025)*$D1030)</f>
        <v/>
      </c>
      <c r="I1030" s="56" t="str">
        <f aca="false">IF(INDEX(BookTitle,1025)="","",INDEX(BookTotal,1025)*'5. Scenarios'!$C$6/(1+ProductivityDefault*('5. Scenarios'!$C$11-1)))</f>
        <v/>
      </c>
      <c r="J1030" s="57" t="str">
        <f aca="false">IF($I1030="","",INDEX(BookRate,1025)*(1+'5. Scenarios'!$C$10)*$I1030)</f>
        <v/>
      </c>
      <c r="K1030" s="57" t="str">
        <f aca="false">IF($J1030="","",SUMIFS($J$6:$J$2405,$A$6:$A$2405,"&lt;="&amp;$A1030))</f>
        <v/>
      </c>
      <c r="L1030" s="57" t="str">
        <f aca="false">IF($J1030="","",IF($K1030&lt;=BankCostEnvelope*'5. Scenarios'!$C$7,1,0))</f>
        <v/>
      </c>
      <c r="M1030" s="57" t="str">
        <f aca="false">IF($I1030="","",INDEX(BookRate,1025)*(1+'5. Scenarios'!$C$10)*(INDEX(BookQ1,1025)*(5-MIN(4,1+'5. Scenarios'!$C$8))/4+INDEX(BookQ2,1025)*(5-MIN(4,2+'5. Scenarios'!$C$8))/4+INDEX(BookQ3,1025)*(5-MIN(4,3+'5. Scenarios'!$C$8))/4+INDEX(BookQ4,1025)*(5-MIN(4,4+'5. Scenarios'!$C$8))/4)*'5. Scenarios'!$C$6/(1+ProductivityDefault*('5. Scenarios'!$C$11-1))+INDEX(BookOneOff,1025)*$I1030)</f>
        <v/>
      </c>
      <c r="N1030" s="56" t="str">
        <f aca="false">IF(INDEX(BookTitle,1025)="","",INDEX(BookTotal,1025)*'5. Scenarios'!$D$6/(1+ProductivityDefault*('5. Scenarios'!$D$11-1)))</f>
        <v/>
      </c>
      <c r="O1030" s="57" t="str">
        <f aca="false">IF($N1030="","",INDEX(BookRate,1025)*(1+'5. Scenarios'!$D$10)*$N1030)</f>
        <v/>
      </c>
      <c r="P1030" s="57" t="str">
        <f aca="false">IF($O1030="","",SUMIFS($O$6:$O$2405,$A$6:$A$2405,"&lt;="&amp;$A1030))</f>
        <v/>
      </c>
      <c r="Q1030" s="57" t="str">
        <f aca="false">IF($O1030="","",IF($P1030&lt;=BankCostEnvelope*'5. Scenarios'!$D$7,1,0))</f>
        <v/>
      </c>
      <c r="R1030" s="57" t="str">
        <f aca="false">IF($N1030="","",INDEX(BookRate,1025)*(1+'5. Scenarios'!$D$10)*(INDEX(BookQ1,1025)*(5-MIN(4,1+'5. Scenarios'!$D$8))/4+INDEX(BookQ2,1025)*(5-MIN(4,2+'5. Scenarios'!$D$8))/4+INDEX(BookQ3,1025)*(5-MIN(4,3+'5. Scenarios'!$D$8))/4+INDEX(BookQ4,1025)*(5-MIN(4,4+'5. Scenarios'!$D$8))/4)*'5. Scenarios'!$D$6/(1+ProductivityDefault*('5. Scenarios'!$D$11-1))+INDEX(BookOneOff,1025)*$N1030)</f>
        <v/>
      </c>
      <c r="S1030" s="56" t="str">
        <f aca="false">IF(INDEX(BookTitle,1025)="","",INDEX(BookTotal,1025)*'5. Scenarios'!$E$6/(1+ProductivityDefault*('5. Scenarios'!$E$11-1)))</f>
        <v/>
      </c>
      <c r="T1030" s="57" t="str">
        <f aca="false">IF($S1030="","",INDEX(BookRate,1025)*(1+'5. Scenarios'!$E$10)*$S1030)</f>
        <v/>
      </c>
      <c r="U1030" s="57" t="str">
        <f aca="false">IF($T1030="","",SUMIFS($T$6:$T$2405,$A$6:$A$2405,"&lt;="&amp;$A1030))</f>
        <v/>
      </c>
      <c r="V1030" s="57" t="str">
        <f aca="false">IF($T1030="","",IF($U1030&lt;=BankCostEnvelope*'5. Scenarios'!$E$7,1,0))</f>
        <v/>
      </c>
      <c r="W1030" s="57" t="str">
        <f aca="false">IF($S1030="","",INDEX(BookRate,1025)*(1+'5. Scenarios'!$E$10)*(INDEX(BookQ1,1025)*(5-MIN(4,1+'5. Scenarios'!$E$8))/4+INDEX(BookQ2,1025)*(5-MIN(4,2+'5. Scenarios'!$E$8))/4+INDEX(BookQ3,1025)*(5-MIN(4,3+'5. Scenarios'!$E$8))/4+INDEX(BookQ4,1025)*(5-MIN(4,4+'5. Scenarios'!$E$8))/4)*'5. Scenarios'!$E$6/(1+ProductivityDefault*('5. Scenarios'!$E$11-1))+INDEX(BookOneOff,1025)*$S1030)</f>
        <v/>
      </c>
    </row>
    <row r="1031" customFormat="false" ht="15" hidden="false" customHeight="false" outlineLevel="0" collapsed="false">
      <c r="A1031" s="0" t="str">
        <f aca="false">IF(INDEX(BookTitle,1026)="","",INDEX(BookKey,1026))</f>
        <v/>
      </c>
      <c r="B1031" s="0" t="str">
        <f aca="false">IF(INDEX(BookTitle,1026)="","",INDEX(BookGroup,1026))</f>
        <v/>
      </c>
      <c r="C1031" s="0" t="str">
        <f aca="false">IF(INDEX(BookTitle,1026)="","",INDEX(BookCategory,1026))</f>
        <v/>
      </c>
      <c r="D1031" s="56" t="str">
        <f aca="false">IF(INDEX(BookTitle,1026)="","",INDEX(BookTotal,1026)*'5. Scenarios'!$B$6/(1+ProductivityDefault*('5. Scenarios'!$B$11-1)))</f>
        <v/>
      </c>
      <c r="E1031" s="57" t="str">
        <f aca="false">IF($D1031="","",INDEX(BookRate,1026)*(1+'5. Scenarios'!$B$10)*$D1031)</f>
        <v/>
      </c>
      <c r="F1031" s="57" t="str">
        <f aca="false">IF($E1031="","",SUMIFS($E$6:$E$2405,$A$6:$A$2405,"&lt;="&amp;$A1031))</f>
        <v/>
      </c>
      <c r="G1031" s="57" t="str">
        <f aca="false">IF($E1031="","",IF($F1031&lt;=BankCostEnvelope*'5. Scenarios'!$B$7,1,0))</f>
        <v/>
      </c>
      <c r="H1031" s="57" t="str">
        <f aca="false">IF($D1031="","",INDEX(BookRate,1026)*(1+'5. Scenarios'!$B$10)*(INDEX(BookQ1,1026)*(5-MIN(4,1+'5. Scenarios'!$B$8))/4+INDEX(BookQ2,1026)*(5-MIN(4,2+'5. Scenarios'!$B$8))/4+INDEX(BookQ3,1026)*(5-MIN(4,3+'5. Scenarios'!$B$8))/4+INDEX(BookQ4,1026)*(5-MIN(4,4+'5. Scenarios'!$B$8))/4)*'5. Scenarios'!$B$6/(1+ProductivityDefault*('5. Scenarios'!$B$11-1))+INDEX(BookOneOff,1026)*$D1031)</f>
        <v/>
      </c>
      <c r="I1031" s="56" t="str">
        <f aca="false">IF(INDEX(BookTitle,1026)="","",INDEX(BookTotal,1026)*'5. Scenarios'!$C$6/(1+ProductivityDefault*('5. Scenarios'!$C$11-1)))</f>
        <v/>
      </c>
      <c r="J1031" s="57" t="str">
        <f aca="false">IF($I1031="","",INDEX(BookRate,1026)*(1+'5. Scenarios'!$C$10)*$I1031)</f>
        <v/>
      </c>
      <c r="K1031" s="57" t="str">
        <f aca="false">IF($J1031="","",SUMIFS($J$6:$J$2405,$A$6:$A$2405,"&lt;="&amp;$A1031))</f>
        <v/>
      </c>
      <c r="L1031" s="57" t="str">
        <f aca="false">IF($J1031="","",IF($K1031&lt;=BankCostEnvelope*'5. Scenarios'!$C$7,1,0))</f>
        <v/>
      </c>
      <c r="M1031" s="57" t="str">
        <f aca="false">IF($I1031="","",INDEX(BookRate,1026)*(1+'5. Scenarios'!$C$10)*(INDEX(BookQ1,1026)*(5-MIN(4,1+'5. Scenarios'!$C$8))/4+INDEX(BookQ2,1026)*(5-MIN(4,2+'5. Scenarios'!$C$8))/4+INDEX(BookQ3,1026)*(5-MIN(4,3+'5. Scenarios'!$C$8))/4+INDEX(BookQ4,1026)*(5-MIN(4,4+'5. Scenarios'!$C$8))/4)*'5. Scenarios'!$C$6/(1+ProductivityDefault*('5. Scenarios'!$C$11-1))+INDEX(BookOneOff,1026)*$I1031)</f>
        <v/>
      </c>
      <c r="N1031" s="56" t="str">
        <f aca="false">IF(INDEX(BookTitle,1026)="","",INDEX(BookTotal,1026)*'5. Scenarios'!$D$6/(1+ProductivityDefault*('5. Scenarios'!$D$11-1)))</f>
        <v/>
      </c>
      <c r="O1031" s="57" t="str">
        <f aca="false">IF($N1031="","",INDEX(BookRate,1026)*(1+'5. Scenarios'!$D$10)*$N1031)</f>
        <v/>
      </c>
      <c r="P1031" s="57" t="str">
        <f aca="false">IF($O1031="","",SUMIFS($O$6:$O$2405,$A$6:$A$2405,"&lt;="&amp;$A1031))</f>
        <v/>
      </c>
      <c r="Q1031" s="57" t="str">
        <f aca="false">IF($O1031="","",IF($P1031&lt;=BankCostEnvelope*'5. Scenarios'!$D$7,1,0))</f>
        <v/>
      </c>
      <c r="R1031" s="57" t="str">
        <f aca="false">IF($N1031="","",INDEX(BookRate,1026)*(1+'5. Scenarios'!$D$10)*(INDEX(BookQ1,1026)*(5-MIN(4,1+'5. Scenarios'!$D$8))/4+INDEX(BookQ2,1026)*(5-MIN(4,2+'5. Scenarios'!$D$8))/4+INDEX(BookQ3,1026)*(5-MIN(4,3+'5. Scenarios'!$D$8))/4+INDEX(BookQ4,1026)*(5-MIN(4,4+'5. Scenarios'!$D$8))/4)*'5. Scenarios'!$D$6/(1+ProductivityDefault*('5. Scenarios'!$D$11-1))+INDEX(BookOneOff,1026)*$N1031)</f>
        <v/>
      </c>
      <c r="S1031" s="56" t="str">
        <f aca="false">IF(INDEX(BookTitle,1026)="","",INDEX(BookTotal,1026)*'5. Scenarios'!$E$6/(1+ProductivityDefault*('5. Scenarios'!$E$11-1)))</f>
        <v/>
      </c>
      <c r="T1031" s="57" t="str">
        <f aca="false">IF($S1031="","",INDEX(BookRate,1026)*(1+'5. Scenarios'!$E$10)*$S1031)</f>
        <v/>
      </c>
      <c r="U1031" s="57" t="str">
        <f aca="false">IF($T1031="","",SUMIFS($T$6:$T$2405,$A$6:$A$2405,"&lt;="&amp;$A1031))</f>
        <v/>
      </c>
      <c r="V1031" s="57" t="str">
        <f aca="false">IF($T1031="","",IF($U1031&lt;=BankCostEnvelope*'5. Scenarios'!$E$7,1,0))</f>
        <v/>
      </c>
      <c r="W1031" s="57" t="str">
        <f aca="false">IF($S1031="","",INDEX(BookRate,1026)*(1+'5. Scenarios'!$E$10)*(INDEX(BookQ1,1026)*(5-MIN(4,1+'5. Scenarios'!$E$8))/4+INDEX(BookQ2,1026)*(5-MIN(4,2+'5. Scenarios'!$E$8))/4+INDEX(BookQ3,1026)*(5-MIN(4,3+'5. Scenarios'!$E$8))/4+INDEX(BookQ4,1026)*(5-MIN(4,4+'5. Scenarios'!$E$8))/4)*'5. Scenarios'!$E$6/(1+ProductivityDefault*('5. Scenarios'!$E$11-1))+INDEX(BookOneOff,1026)*$S1031)</f>
        <v/>
      </c>
    </row>
    <row r="1032" customFormat="false" ht="15" hidden="false" customHeight="false" outlineLevel="0" collapsed="false">
      <c r="A1032" s="0" t="str">
        <f aca="false">IF(INDEX(BookTitle,1027)="","",INDEX(BookKey,1027))</f>
        <v/>
      </c>
      <c r="B1032" s="0" t="str">
        <f aca="false">IF(INDEX(BookTitle,1027)="","",INDEX(BookGroup,1027))</f>
        <v/>
      </c>
      <c r="C1032" s="0" t="str">
        <f aca="false">IF(INDEX(BookTitle,1027)="","",INDEX(BookCategory,1027))</f>
        <v/>
      </c>
      <c r="D1032" s="56" t="str">
        <f aca="false">IF(INDEX(BookTitle,1027)="","",INDEX(BookTotal,1027)*'5. Scenarios'!$B$6/(1+ProductivityDefault*('5. Scenarios'!$B$11-1)))</f>
        <v/>
      </c>
      <c r="E1032" s="57" t="str">
        <f aca="false">IF($D1032="","",INDEX(BookRate,1027)*(1+'5. Scenarios'!$B$10)*$D1032)</f>
        <v/>
      </c>
      <c r="F1032" s="57" t="str">
        <f aca="false">IF($E1032="","",SUMIFS($E$6:$E$2405,$A$6:$A$2405,"&lt;="&amp;$A1032))</f>
        <v/>
      </c>
      <c r="G1032" s="57" t="str">
        <f aca="false">IF($E1032="","",IF($F1032&lt;=BankCostEnvelope*'5. Scenarios'!$B$7,1,0))</f>
        <v/>
      </c>
      <c r="H1032" s="57" t="str">
        <f aca="false">IF($D1032="","",INDEX(BookRate,1027)*(1+'5. Scenarios'!$B$10)*(INDEX(BookQ1,1027)*(5-MIN(4,1+'5. Scenarios'!$B$8))/4+INDEX(BookQ2,1027)*(5-MIN(4,2+'5. Scenarios'!$B$8))/4+INDEX(BookQ3,1027)*(5-MIN(4,3+'5. Scenarios'!$B$8))/4+INDEX(BookQ4,1027)*(5-MIN(4,4+'5. Scenarios'!$B$8))/4)*'5. Scenarios'!$B$6/(1+ProductivityDefault*('5. Scenarios'!$B$11-1))+INDEX(BookOneOff,1027)*$D1032)</f>
        <v/>
      </c>
      <c r="I1032" s="56" t="str">
        <f aca="false">IF(INDEX(BookTitle,1027)="","",INDEX(BookTotal,1027)*'5. Scenarios'!$C$6/(1+ProductivityDefault*('5. Scenarios'!$C$11-1)))</f>
        <v/>
      </c>
      <c r="J1032" s="57" t="str">
        <f aca="false">IF($I1032="","",INDEX(BookRate,1027)*(1+'5. Scenarios'!$C$10)*$I1032)</f>
        <v/>
      </c>
      <c r="K1032" s="57" t="str">
        <f aca="false">IF($J1032="","",SUMIFS($J$6:$J$2405,$A$6:$A$2405,"&lt;="&amp;$A1032))</f>
        <v/>
      </c>
      <c r="L1032" s="57" t="str">
        <f aca="false">IF($J1032="","",IF($K1032&lt;=BankCostEnvelope*'5. Scenarios'!$C$7,1,0))</f>
        <v/>
      </c>
      <c r="M1032" s="57" t="str">
        <f aca="false">IF($I1032="","",INDEX(BookRate,1027)*(1+'5. Scenarios'!$C$10)*(INDEX(BookQ1,1027)*(5-MIN(4,1+'5. Scenarios'!$C$8))/4+INDEX(BookQ2,1027)*(5-MIN(4,2+'5. Scenarios'!$C$8))/4+INDEX(BookQ3,1027)*(5-MIN(4,3+'5. Scenarios'!$C$8))/4+INDEX(BookQ4,1027)*(5-MIN(4,4+'5. Scenarios'!$C$8))/4)*'5. Scenarios'!$C$6/(1+ProductivityDefault*('5. Scenarios'!$C$11-1))+INDEX(BookOneOff,1027)*$I1032)</f>
        <v/>
      </c>
      <c r="N1032" s="56" t="str">
        <f aca="false">IF(INDEX(BookTitle,1027)="","",INDEX(BookTotal,1027)*'5. Scenarios'!$D$6/(1+ProductivityDefault*('5. Scenarios'!$D$11-1)))</f>
        <v/>
      </c>
      <c r="O1032" s="57" t="str">
        <f aca="false">IF($N1032="","",INDEX(BookRate,1027)*(1+'5. Scenarios'!$D$10)*$N1032)</f>
        <v/>
      </c>
      <c r="P1032" s="57" t="str">
        <f aca="false">IF($O1032="","",SUMIFS($O$6:$O$2405,$A$6:$A$2405,"&lt;="&amp;$A1032))</f>
        <v/>
      </c>
      <c r="Q1032" s="57" t="str">
        <f aca="false">IF($O1032="","",IF($P1032&lt;=BankCostEnvelope*'5. Scenarios'!$D$7,1,0))</f>
        <v/>
      </c>
      <c r="R1032" s="57" t="str">
        <f aca="false">IF($N1032="","",INDEX(BookRate,1027)*(1+'5. Scenarios'!$D$10)*(INDEX(BookQ1,1027)*(5-MIN(4,1+'5. Scenarios'!$D$8))/4+INDEX(BookQ2,1027)*(5-MIN(4,2+'5. Scenarios'!$D$8))/4+INDEX(BookQ3,1027)*(5-MIN(4,3+'5. Scenarios'!$D$8))/4+INDEX(BookQ4,1027)*(5-MIN(4,4+'5. Scenarios'!$D$8))/4)*'5. Scenarios'!$D$6/(1+ProductivityDefault*('5. Scenarios'!$D$11-1))+INDEX(BookOneOff,1027)*$N1032)</f>
        <v/>
      </c>
      <c r="S1032" s="56" t="str">
        <f aca="false">IF(INDEX(BookTitle,1027)="","",INDEX(BookTotal,1027)*'5. Scenarios'!$E$6/(1+ProductivityDefault*('5. Scenarios'!$E$11-1)))</f>
        <v/>
      </c>
      <c r="T1032" s="57" t="str">
        <f aca="false">IF($S1032="","",INDEX(BookRate,1027)*(1+'5. Scenarios'!$E$10)*$S1032)</f>
        <v/>
      </c>
      <c r="U1032" s="57" t="str">
        <f aca="false">IF($T1032="","",SUMIFS($T$6:$T$2405,$A$6:$A$2405,"&lt;="&amp;$A1032))</f>
        <v/>
      </c>
      <c r="V1032" s="57" t="str">
        <f aca="false">IF($T1032="","",IF($U1032&lt;=BankCostEnvelope*'5. Scenarios'!$E$7,1,0))</f>
        <v/>
      </c>
      <c r="W1032" s="57" t="str">
        <f aca="false">IF($S1032="","",INDEX(BookRate,1027)*(1+'5. Scenarios'!$E$10)*(INDEX(BookQ1,1027)*(5-MIN(4,1+'5. Scenarios'!$E$8))/4+INDEX(BookQ2,1027)*(5-MIN(4,2+'5. Scenarios'!$E$8))/4+INDEX(BookQ3,1027)*(5-MIN(4,3+'5. Scenarios'!$E$8))/4+INDEX(BookQ4,1027)*(5-MIN(4,4+'5. Scenarios'!$E$8))/4)*'5. Scenarios'!$E$6/(1+ProductivityDefault*('5. Scenarios'!$E$11-1))+INDEX(BookOneOff,1027)*$S1032)</f>
        <v/>
      </c>
    </row>
    <row r="1033" customFormat="false" ht="15" hidden="false" customHeight="false" outlineLevel="0" collapsed="false">
      <c r="A1033" s="0" t="str">
        <f aca="false">IF(INDEX(BookTitle,1028)="","",INDEX(BookKey,1028))</f>
        <v/>
      </c>
      <c r="B1033" s="0" t="str">
        <f aca="false">IF(INDEX(BookTitle,1028)="","",INDEX(BookGroup,1028))</f>
        <v/>
      </c>
      <c r="C1033" s="0" t="str">
        <f aca="false">IF(INDEX(BookTitle,1028)="","",INDEX(BookCategory,1028))</f>
        <v/>
      </c>
      <c r="D1033" s="56" t="str">
        <f aca="false">IF(INDEX(BookTitle,1028)="","",INDEX(BookTotal,1028)*'5. Scenarios'!$B$6/(1+ProductivityDefault*('5. Scenarios'!$B$11-1)))</f>
        <v/>
      </c>
      <c r="E1033" s="57" t="str">
        <f aca="false">IF($D1033="","",INDEX(BookRate,1028)*(1+'5. Scenarios'!$B$10)*$D1033)</f>
        <v/>
      </c>
      <c r="F1033" s="57" t="str">
        <f aca="false">IF($E1033="","",SUMIFS($E$6:$E$2405,$A$6:$A$2405,"&lt;="&amp;$A1033))</f>
        <v/>
      </c>
      <c r="G1033" s="57" t="str">
        <f aca="false">IF($E1033="","",IF($F1033&lt;=BankCostEnvelope*'5. Scenarios'!$B$7,1,0))</f>
        <v/>
      </c>
      <c r="H1033" s="57" t="str">
        <f aca="false">IF($D1033="","",INDEX(BookRate,1028)*(1+'5. Scenarios'!$B$10)*(INDEX(BookQ1,1028)*(5-MIN(4,1+'5. Scenarios'!$B$8))/4+INDEX(BookQ2,1028)*(5-MIN(4,2+'5. Scenarios'!$B$8))/4+INDEX(BookQ3,1028)*(5-MIN(4,3+'5. Scenarios'!$B$8))/4+INDEX(BookQ4,1028)*(5-MIN(4,4+'5. Scenarios'!$B$8))/4)*'5. Scenarios'!$B$6/(1+ProductivityDefault*('5. Scenarios'!$B$11-1))+INDEX(BookOneOff,1028)*$D1033)</f>
        <v/>
      </c>
      <c r="I1033" s="56" t="str">
        <f aca="false">IF(INDEX(BookTitle,1028)="","",INDEX(BookTotal,1028)*'5. Scenarios'!$C$6/(1+ProductivityDefault*('5. Scenarios'!$C$11-1)))</f>
        <v/>
      </c>
      <c r="J1033" s="57" t="str">
        <f aca="false">IF($I1033="","",INDEX(BookRate,1028)*(1+'5. Scenarios'!$C$10)*$I1033)</f>
        <v/>
      </c>
      <c r="K1033" s="57" t="str">
        <f aca="false">IF($J1033="","",SUMIFS($J$6:$J$2405,$A$6:$A$2405,"&lt;="&amp;$A1033))</f>
        <v/>
      </c>
      <c r="L1033" s="57" t="str">
        <f aca="false">IF($J1033="","",IF($K1033&lt;=BankCostEnvelope*'5. Scenarios'!$C$7,1,0))</f>
        <v/>
      </c>
      <c r="M1033" s="57" t="str">
        <f aca="false">IF($I1033="","",INDEX(BookRate,1028)*(1+'5. Scenarios'!$C$10)*(INDEX(BookQ1,1028)*(5-MIN(4,1+'5. Scenarios'!$C$8))/4+INDEX(BookQ2,1028)*(5-MIN(4,2+'5. Scenarios'!$C$8))/4+INDEX(BookQ3,1028)*(5-MIN(4,3+'5. Scenarios'!$C$8))/4+INDEX(BookQ4,1028)*(5-MIN(4,4+'5. Scenarios'!$C$8))/4)*'5. Scenarios'!$C$6/(1+ProductivityDefault*('5. Scenarios'!$C$11-1))+INDEX(BookOneOff,1028)*$I1033)</f>
        <v/>
      </c>
      <c r="N1033" s="56" t="str">
        <f aca="false">IF(INDEX(BookTitle,1028)="","",INDEX(BookTotal,1028)*'5. Scenarios'!$D$6/(1+ProductivityDefault*('5. Scenarios'!$D$11-1)))</f>
        <v/>
      </c>
      <c r="O1033" s="57" t="str">
        <f aca="false">IF($N1033="","",INDEX(BookRate,1028)*(1+'5. Scenarios'!$D$10)*$N1033)</f>
        <v/>
      </c>
      <c r="P1033" s="57" t="str">
        <f aca="false">IF($O1033="","",SUMIFS($O$6:$O$2405,$A$6:$A$2405,"&lt;="&amp;$A1033))</f>
        <v/>
      </c>
      <c r="Q1033" s="57" t="str">
        <f aca="false">IF($O1033="","",IF($P1033&lt;=BankCostEnvelope*'5. Scenarios'!$D$7,1,0))</f>
        <v/>
      </c>
      <c r="R1033" s="57" t="str">
        <f aca="false">IF($N1033="","",INDEX(BookRate,1028)*(1+'5. Scenarios'!$D$10)*(INDEX(BookQ1,1028)*(5-MIN(4,1+'5. Scenarios'!$D$8))/4+INDEX(BookQ2,1028)*(5-MIN(4,2+'5. Scenarios'!$D$8))/4+INDEX(BookQ3,1028)*(5-MIN(4,3+'5. Scenarios'!$D$8))/4+INDEX(BookQ4,1028)*(5-MIN(4,4+'5. Scenarios'!$D$8))/4)*'5. Scenarios'!$D$6/(1+ProductivityDefault*('5. Scenarios'!$D$11-1))+INDEX(BookOneOff,1028)*$N1033)</f>
        <v/>
      </c>
      <c r="S1033" s="56" t="str">
        <f aca="false">IF(INDEX(BookTitle,1028)="","",INDEX(BookTotal,1028)*'5. Scenarios'!$E$6/(1+ProductivityDefault*('5. Scenarios'!$E$11-1)))</f>
        <v/>
      </c>
      <c r="T1033" s="57" t="str">
        <f aca="false">IF($S1033="","",INDEX(BookRate,1028)*(1+'5. Scenarios'!$E$10)*$S1033)</f>
        <v/>
      </c>
      <c r="U1033" s="57" t="str">
        <f aca="false">IF($T1033="","",SUMIFS($T$6:$T$2405,$A$6:$A$2405,"&lt;="&amp;$A1033))</f>
        <v/>
      </c>
      <c r="V1033" s="57" t="str">
        <f aca="false">IF($T1033="","",IF($U1033&lt;=BankCostEnvelope*'5. Scenarios'!$E$7,1,0))</f>
        <v/>
      </c>
      <c r="W1033" s="57" t="str">
        <f aca="false">IF($S1033="","",INDEX(BookRate,1028)*(1+'5. Scenarios'!$E$10)*(INDEX(BookQ1,1028)*(5-MIN(4,1+'5. Scenarios'!$E$8))/4+INDEX(BookQ2,1028)*(5-MIN(4,2+'5. Scenarios'!$E$8))/4+INDEX(BookQ3,1028)*(5-MIN(4,3+'5. Scenarios'!$E$8))/4+INDEX(BookQ4,1028)*(5-MIN(4,4+'5. Scenarios'!$E$8))/4)*'5. Scenarios'!$E$6/(1+ProductivityDefault*('5. Scenarios'!$E$11-1))+INDEX(BookOneOff,1028)*$S1033)</f>
        <v/>
      </c>
    </row>
    <row r="1034" customFormat="false" ht="15" hidden="false" customHeight="false" outlineLevel="0" collapsed="false">
      <c r="A1034" s="0" t="str">
        <f aca="false">IF(INDEX(BookTitle,1029)="","",INDEX(BookKey,1029))</f>
        <v/>
      </c>
      <c r="B1034" s="0" t="str">
        <f aca="false">IF(INDEX(BookTitle,1029)="","",INDEX(BookGroup,1029))</f>
        <v/>
      </c>
      <c r="C1034" s="0" t="str">
        <f aca="false">IF(INDEX(BookTitle,1029)="","",INDEX(BookCategory,1029))</f>
        <v/>
      </c>
      <c r="D1034" s="56" t="str">
        <f aca="false">IF(INDEX(BookTitle,1029)="","",INDEX(BookTotal,1029)*'5. Scenarios'!$B$6/(1+ProductivityDefault*('5. Scenarios'!$B$11-1)))</f>
        <v/>
      </c>
      <c r="E1034" s="57" t="str">
        <f aca="false">IF($D1034="","",INDEX(BookRate,1029)*(1+'5. Scenarios'!$B$10)*$D1034)</f>
        <v/>
      </c>
      <c r="F1034" s="57" t="str">
        <f aca="false">IF($E1034="","",SUMIFS($E$6:$E$2405,$A$6:$A$2405,"&lt;="&amp;$A1034))</f>
        <v/>
      </c>
      <c r="G1034" s="57" t="str">
        <f aca="false">IF($E1034="","",IF($F1034&lt;=BankCostEnvelope*'5. Scenarios'!$B$7,1,0))</f>
        <v/>
      </c>
      <c r="H1034" s="57" t="str">
        <f aca="false">IF($D1034="","",INDEX(BookRate,1029)*(1+'5. Scenarios'!$B$10)*(INDEX(BookQ1,1029)*(5-MIN(4,1+'5. Scenarios'!$B$8))/4+INDEX(BookQ2,1029)*(5-MIN(4,2+'5. Scenarios'!$B$8))/4+INDEX(BookQ3,1029)*(5-MIN(4,3+'5. Scenarios'!$B$8))/4+INDEX(BookQ4,1029)*(5-MIN(4,4+'5. Scenarios'!$B$8))/4)*'5. Scenarios'!$B$6/(1+ProductivityDefault*('5. Scenarios'!$B$11-1))+INDEX(BookOneOff,1029)*$D1034)</f>
        <v/>
      </c>
      <c r="I1034" s="56" t="str">
        <f aca="false">IF(INDEX(BookTitle,1029)="","",INDEX(BookTotal,1029)*'5. Scenarios'!$C$6/(1+ProductivityDefault*('5. Scenarios'!$C$11-1)))</f>
        <v/>
      </c>
      <c r="J1034" s="57" t="str">
        <f aca="false">IF($I1034="","",INDEX(BookRate,1029)*(1+'5. Scenarios'!$C$10)*$I1034)</f>
        <v/>
      </c>
      <c r="K1034" s="57" t="str">
        <f aca="false">IF($J1034="","",SUMIFS($J$6:$J$2405,$A$6:$A$2405,"&lt;="&amp;$A1034))</f>
        <v/>
      </c>
      <c r="L1034" s="57" t="str">
        <f aca="false">IF($J1034="","",IF($K1034&lt;=BankCostEnvelope*'5. Scenarios'!$C$7,1,0))</f>
        <v/>
      </c>
      <c r="M1034" s="57" t="str">
        <f aca="false">IF($I1034="","",INDEX(BookRate,1029)*(1+'5. Scenarios'!$C$10)*(INDEX(BookQ1,1029)*(5-MIN(4,1+'5. Scenarios'!$C$8))/4+INDEX(BookQ2,1029)*(5-MIN(4,2+'5. Scenarios'!$C$8))/4+INDEX(BookQ3,1029)*(5-MIN(4,3+'5. Scenarios'!$C$8))/4+INDEX(BookQ4,1029)*(5-MIN(4,4+'5. Scenarios'!$C$8))/4)*'5. Scenarios'!$C$6/(1+ProductivityDefault*('5. Scenarios'!$C$11-1))+INDEX(BookOneOff,1029)*$I1034)</f>
        <v/>
      </c>
      <c r="N1034" s="56" t="str">
        <f aca="false">IF(INDEX(BookTitle,1029)="","",INDEX(BookTotal,1029)*'5. Scenarios'!$D$6/(1+ProductivityDefault*('5. Scenarios'!$D$11-1)))</f>
        <v/>
      </c>
      <c r="O1034" s="57" t="str">
        <f aca="false">IF($N1034="","",INDEX(BookRate,1029)*(1+'5. Scenarios'!$D$10)*$N1034)</f>
        <v/>
      </c>
      <c r="P1034" s="57" t="str">
        <f aca="false">IF($O1034="","",SUMIFS($O$6:$O$2405,$A$6:$A$2405,"&lt;="&amp;$A1034))</f>
        <v/>
      </c>
      <c r="Q1034" s="57" t="str">
        <f aca="false">IF($O1034="","",IF($P1034&lt;=BankCostEnvelope*'5. Scenarios'!$D$7,1,0))</f>
        <v/>
      </c>
      <c r="R1034" s="57" t="str">
        <f aca="false">IF($N1034="","",INDEX(BookRate,1029)*(1+'5. Scenarios'!$D$10)*(INDEX(BookQ1,1029)*(5-MIN(4,1+'5. Scenarios'!$D$8))/4+INDEX(BookQ2,1029)*(5-MIN(4,2+'5. Scenarios'!$D$8))/4+INDEX(BookQ3,1029)*(5-MIN(4,3+'5. Scenarios'!$D$8))/4+INDEX(BookQ4,1029)*(5-MIN(4,4+'5. Scenarios'!$D$8))/4)*'5. Scenarios'!$D$6/(1+ProductivityDefault*('5. Scenarios'!$D$11-1))+INDEX(BookOneOff,1029)*$N1034)</f>
        <v/>
      </c>
      <c r="S1034" s="56" t="str">
        <f aca="false">IF(INDEX(BookTitle,1029)="","",INDEX(BookTotal,1029)*'5. Scenarios'!$E$6/(1+ProductivityDefault*('5. Scenarios'!$E$11-1)))</f>
        <v/>
      </c>
      <c r="T1034" s="57" t="str">
        <f aca="false">IF($S1034="","",INDEX(BookRate,1029)*(1+'5. Scenarios'!$E$10)*$S1034)</f>
        <v/>
      </c>
      <c r="U1034" s="57" t="str">
        <f aca="false">IF($T1034="","",SUMIFS($T$6:$T$2405,$A$6:$A$2405,"&lt;="&amp;$A1034))</f>
        <v/>
      </c>
      <c r="V1034" s="57" t="str">
        <f aca="false">IF($T1034="","",IF($U1034&lt;=BankCostEnvelope*'5. Scenarios'!$E$7,1,0))</f>
        <v/>
      </c>
      <c r="W1034" s="57" t="str">
        <f aca="false">IF($S1034="","",INDEX(BookRate,1029)*(1+'5. Scenarios'!$E$10)*(INDEX(BookQ1,1029)*(5-MIN(4,1+'5. Scenarios'!$E$8))/4+INDEX(BookQ2,1029)*(5-MIN(4,2+'5. Scenarios'!$E$8))/4+INDEX(BookQ3,1029)*(5-MIN(4,3+'5. Scenarios'!$E$8))/4+INDEX(BookQ4,1029)*(5-MIN(4,4+'5. Scenarios'!$E$8))/4)*'5. Scenarios'!$E$6/(1+ProductivityDefault*('5. Scenarios'!$E$11-1))+INDEX(BookOneOff,1029)*$S1034)</f>
        <v/>
      </c>
    </row>
    <row r="1035" customFormat="false" ht="15" hidden="false" customHeight="false" outlineLevel="0" collapsed="false">
      <c r="A1035" s="0" t="str">
        <f aca="false">IF(INDEX(BookTitle,1030)="","",INDEX(BookKey,1030))</f>
        <v/>
      </c>
      <c r="B1035" s="0" t="str">
        <f aca="false">IF(INDEX(BookTitle,1030)="","",INDEX(BookGroup,1030))</f>
        <v/>
      </c>
      <c r="C1035" s="0" t="str">
        <f aca="false">IF(INDEX(BookTitle,1030)="","",INDEX(BookCategory,1030))</f>
        <v/>
      </c>
      <c r="D1035" s="56" t="str">
        <f aca="false">IF(INDEX(BookTitle,1030)="","",INDEX(BookTotal,1030)*'5. Scenarios'!$B$6/(1+ProductivityDefault*('5. Scenarios'!$B$11-1)))</f>
        <v/>
      </c>
      <c r="E1035" s="57" t="str">
        <f aca="false">IF($D1035="","",INDEX(BookRate,1030)*(1+'5. Scenarios'!$B$10)*$D1035)</f>
        <v/>
      </c>
      <c r="F1035" s="57" t="str">
        <f aca="false">IF($E1035="","",SUMIFS($E$6:$E$2405,$A$6:$A$2405,"&lt;="&amp;$A1035))</f>
        <v/>
      </c>
      <c r="G1035" s="57" t="str">
        <f aca="false">IF($E1035="","",IF($F1035&lt;=BankCostEnvelope*'5. Scenarios'!$B$7,1,0))</f>
        <v/>
      </c>
      <c r="H1035" s="57" t="str">
        <f aca="false">IF($D1035="","",INDEX(BookRate,1030)*(1+'5. Scenarios'!$B$10)*(INDEX(BookQ1,1030)*(5-MIN(4,1+'5. Scenarios'!$B$8))/4+INDEX(BookQ2,1030)*(5-MIN(4,2+'5. Scenarios'!$B$8))/4+INDEX(BookQ3,1030)*(5-MIN(4,3+'5. Scenarios'!$B$8))/4+INDEX(BookQ4,1030)*(5-MIN(4,4+'5. Scenarios'!$B$8))/4)*'5. Scenarios'!$B$6/(1+ProductivityDefault*('5. Scenarios'!$B$11-1))+INDEX(BookOneOff,1030)*$D1035)</f>
        <v/>
      </c>
      <c r="I1035" s="56" t="str">
        <f aca="false">IF(INDEX(BookTitle,1030)="","",INDEX(BookTotal,1030)*'5. Scenarios'!$C$6/(1+ProductivityDefault*('5. Scenarios'!$C$11-1)))</f>
        <v/>
      </c>
      <c r="J1035" s="57" t="str">
        <f aca="false">IF($I1035="","",INDEX(BookRate,1030)*(1+'5. Scenarios'!$C$10)*$I1035)</f>
        <v/>
      </c>
      <c r="K1035" s="57" t="str">
        <f aca="false">IF($J1035="","",SUMIFS($J$6:$J$2405,$A$6:$A$2405,"&lt;="&amp;$A1035))</f>
        <v/>
      </c>
      <c r="L1035" s="57" t="str">
        <f aca="false">IF($J1035="","",IF($K1035&lt;=BankCostEnvelope*'5. Scenarios'!$C$7,1,0))</f>
        <v/>
      </c>
      <c r="M1035" s="57" t="str">
        <f aca="false">IF($I1035="","",INDEX(BookRate,1030)*(1+'5. Scenarios'!$C$10)*(INDEX(BookQ1,1030)*(5-MIN(4,1+'5. Scenarios'!$C$8))/4+INDEX(BookQ2,1030)*(5-MIN(4,2+'5. Scenarios'!$C$8))/4+INDEX(BookQ3,1030)*(5-MIN(4,3+'5. Scenarios'!$C$8))/4+INDEX(BookQ4,1030)*(5-MIN(4,4+'5. Scenarios'!$C$8))/4)*'5. Scenarios'!$C$6/(1+ProductivityDefault*('5. Scenarios'!$C$11-1))+INDEX(BookOneOff,1030)*$I1035)</f>
        <v/>
      </c>
      <c r="N1035" s="56" t="str">
        <f aca="false">IF(INDEX(BookTitle,1030)="","",INDEX(BookTotal,1030)*'5. Scenarios'!$D$6/(1+ProductivityDefault*('5. Scenarios'!$D$11-1)))</f>
        <v/>
      </c>
      <c r="O1035" s="57" t="str">
        <f aca="false">IF($N1035="","",INDEX(BookRate,1030)*(1+'5. Scenarios'!$D$10)*$N1035)</f>
        <v/>
      </c>
      <c r="P1035" s="57" t="str">
        <f aca="false">IF($O1035="","",SUMIFS($O$6:$O$2405,$A$6:$A$2405,"&lt;="&amp;$A1035))</f>
        <v/>
      </c>
      <c r="Q1035" s="57" t="str">
        <f aca="false">IF($O1035="","",IF($P1035&lt;=BankCostEnvelope*'5. Scenarios'!$D$7,1,0))</f>
        <v/>
      </c>
      <c r="R1035" s="57" t="str">
        <f aca="false">IF($N1035="","",INDEX(BookRate,1030)*(1+'5. Scenarios'!$D$10)*(INDEX(BookQ1,1030)*(5-MIN(4,1+'5. Scenarios'!$D$8))/4+INDEX(BookQ2,1030)*(5-MIN(4,2+'5. Scenarios'!$D$8))/4+INDEX(BookQ3,1030)*(5-MIN(4,3+'5. Scenarios'!$D$8))/4+INDEX(BookQ4,1030)*(5-MIN(4,4+'5. Scenarios'!$D$8))/4)*'5. Scenarios'!$D$6/(1+ProductivityDefault*('5. Scenarios'!$D$11-1))+INDEX(BookOneOff,1030)*$N1035)</f>
        <v/>
      </c>
      <c r="S1035" s="56" t="str">
        <f aca="false">IF(INDEX(BookTitle,1030)="","",INDEX(BookTotal,1030)*'5. Scenarios'!$E$6/(1+ProductivityDefault*('5. Scenarios'!$E$11-1)))</f>
        <v/>
      </c>
      <c r="T1035" s="57" t="str">
        <f aca="false">IF($S1035="","",INDEX(BookRate,1030)*(1+'5. Scenarios'!$E$10)*$S1035)</f>
        <v/>
      </c>
      <c r="U1035" s="57" t="str">
        <f aca="false">IF($T1035="","",SUMIFS($T$6:$T$2405,$A$6:$A$2405,"&lt;="&amp;$A1035))</f>
        <v/>
      </c>
      <c r="V1035" s="57" t="str">
        <f aca="false">IF($T1035="","",IF($U1035&lt;=BankCostEnvelope*'5. Scenarios'!$E$7,1,0))</f>
        <v/>
      </c>
      <c r="W1035" s="57" t="str">
        <f aca="false">IF($S1035="","",INDEX(BookRate,1030)*(1+'5. Scenarios'!$E$10)*(INDEX(BookQ1,1030)*(5-MIN(4,1+'5. Scenarios'!$E$8))/4+INDEX(BookQ2,1030)*(5-MIN(4,2+'5. Scenarios'!$E$8))/4+INDEX(BookQ3,1030)*(5-MIN(4,3+'5. Scenarios'!$E$8))/4+INDEX(BookQ4,1030)*(5-MIN(4,4+'5. Scenarios'!$E$8))/4)*'5. Scenarios'!$E$6/(1+ProductivityDefault*('5. Scenarios'!$E$11-1))+INDEX(BookOneOff,1030)*$S1035)</f>
        <v/>
      </c>
    </row>
    <row r="1036" customFormat="false" ht="15" hidden="false" customHeight="false" outlineLevel="0" collapsed="false">
      <c r="A1036" s="0" t="str">
        <f aca="false">IF(INDEX(BookTitle,1031)="","",INDEX(BookKey,1031))</f>
        <v/>
      </c>
      <c r="B1036" s="0" t="str">
        <f aca="false">IF(INDEX(BookTitle,1031)="","",INDEX(BookGroup,1031))</f>
        <v/>
      </c>
      <c r="C1036" s="0" t="str">
        <f aca="false">IF(INDEX(BookTitle,1031)="","",INDEX(BookCategory,1031))</f>
        <v/>
      </c>
      <c r="D1036" s="56" t="str">
        <f aca="false">IF(INDEX(BookTitle,1031)="","",INDEX(BookTotal,1031)*'5. Scenarios'!$B$6/(1+ProductivityDefault*('5. Scenarios'!$B$11-1)))</f>
        <v/>
      </c>
      <c r="E1036" s="57" t="str">
        <f aca="false">IF($D1036="","",INDEX(BookRate,1031)*(1+'5. Scenarios'!$B$10)*$D1036)</f>
        <v/>
      </c>
      <c r="F1036" s="57" t="str">
        <f aca="false">IF($E1036="","",SUMIFS($E$6:$E$2405,$A$6:$A$2405,"&lt;="&amp;$A1036))</f>
        <v/>
      </c>
      <c r="G1036" s="57" t="str">
        <f aca="false">IF($E1036="","",IF($F1036&lt;=BankCostEnvelope*'5. Scenarios'!$B$7,1,0))</f>
        <v/>
      </c>
      <c r="H1036" s="57" t="str">
        <f aca="false">IF($D1036="","",INDEX(BookRate,1031)*(1+'5. Scenarios'!$B$10)*(INDEX(BookQ1,1031)*(5-MIN(4,1+'5. Scenarios'!$B$8))/4+INDEX(BookQ2,1031)*(5-MIN(4,2+'5. Scenarios'!$B$8))/4+INDEX(BookQ3,1031)*(5-MIN(4,3+'5. Scenarios'!$B$8))/4+INDEX(BookQ4,1031)*(5-MIN(4,4+'5. Scenarios'!$B$8))/4)*'5. Scenarios'!$B$6/(1+ProductivityDefault*('5. Scenarios'!$B$11-1))+INDEX(BookOneOff,1031)*$D1036)</f>
        <v/>
      </c>
      <c r="I1036" s="56" t="str">
        <f aca="false">IF(INDEX(BookTitle,1031)="","",INDEX(BookTotal,1031)*'5. Scenarios'!$C$6/(1+ProductivityDefault*('5. Scenarios'!$C$11-1)))</f>
        <v/>
      </c>
      <c r="J1036" s="57" t="str">
        <f aca="false">IF($I1036="","",INDEX(BookRate,1031)*(1+'5. Scenarios'!$C$10)*$I1036)</f>
        <v/>
      </c>
      <c r="K1036" s="57" t="str">
        <f aca="false">IF($J1036="","",SUMIFS($J$6:$J$2405,$A$6:$A$2405,"&lt;="&amp;$A1036))</f>
        <v/>
      </c>
      <c r="L1036" s="57" t="str">
        <f aca="false">IF($J1036="","",IF($K1036&lt;=BankCostEnvelope*'5. Scenarios'!$C$7,1,0))</f>
        <v/>
      </c>
      <c r="M1036" s="57" t="str">
        <f aca="false">IF($I1036="","",INDEX(BookRate,1031)*(1+'5. Scenarios'!$C$10)*(INDEX(BookQ1,1031)*(5-MIN(4,1+'5. Scenarios'!$C$8))/4+INDEX(BookQ2,1031)*(5-MIN(4,2+'5. Scenarios'!$C$8))/4+INDEX(BookQ3,1031)*(5-MIN(4,3+'5. Scenarios'!$C$8))/4+INDEX(BookQ4,1031)*(5-MIN(4,4+'5. Scenarios'!$C$8))/4)*'5. Scenarios'!$C$6/(1+ProductivityDefault*('5. Scenarios'!$C$11-1))+INDEX(BookOneOff,1031)*$I1036)</f>
        <v/>
      </c>
      <c r="N1036" s="56" t="str">
        <f aca="false">IF(INDEX(BookTitle,1031)="","",INDEX(BookTotal,1031)*'5. Scenarios'!$D$6/(1+ProductivityDefault*('5. Scenarios'!$D$11-1)))</f>
        <v/>
      </c>
      <c r="O1036" s="57" t="str">
        <f aca="false">IF($N1036="","",INDEX(BookRate,1031)*(1+'5. Scenarios'!$D$10)*$N1036)</f>
        <v/>
      </c>
      <c r="P1036" s="57" t="str">
        <f aca="false">IF($O1036="","",SUMIFS($O$6:$O$2405,$A$6:$A$2405,"&lt;="&amp;$A1036))</f>
        <v/>
      </c>
      <c r="Q1036" s="57" t="str">
        <f aca="false">IF($O1036="","",IF($P1036&lt;=BankCostEnvelope*'5. Scenarios'!$D$7,1,0))</f>
        <v/>
      </c>
      <c r="R1036" s="57" t="str">
        <f aca="false">IF($N1036="","",INDEX(BookRate,1031)*(1+'5. Scenarios'!$D$10)*(INDEX(BookQ1,1031)*(5-MIN(4,1+'5. Scenarios'!$D$8))/4+INDEX(BookQ2,1031)*(5-MIN(4,2+'5. Scenarios'!$D$8))/4+INDEX(BookQ3,1031)*(5-MIN(4,3+'5. Scenarios'!$D$8))/4+INDEX(BookQ4,1031)*(5-MIN(4,4+'5. Scenarios'!$D$8))/4)*'5. Scenarios'!$D$6/(1+ProductivityDefault*('5. Scenarios'!$D$11-1))+INDEX(BookOneOff,1031)*$N1036)</f>
        <v/>
      </c>
      <c r="S1036" s="56" t="str">
        <f aca="false">IF(INDEX(BookTitle,1031)="","",INDEX(BookTotal,1031)*'5. Scenarios'!$E$6/(1+ProductivityDefault*('5. Scenarios'!$E$11-1)))</f>
        <v/>
      </c>
      <c r="T1036" s="57" t="str">
        <f aca="false">IF($S1036="","",INDEX(BookRate,1031)*(1+'5. Scenarios'!$E$10)*$S1036)</f>
        <v/>
      </c>
      <c r="U1036" s="57" t="str">
        <f aca="false">IF($T1036="","",SUMIFS($T$6:$T$2405,$A$6:$A$2405,"&lt;="&amp;$A1036))</f>
        <v/>
      </c>
      <c r="V1036" s="57" t="str">
        <f aca="false">IF($T1036="","",IF($U1036&lt;=BankCostEnvelope*'5. Scenarios'!$E$7,1,0))</f>
        <v/>
      </c>
      <c r="W1036" s="57" t="str">
        <f aca="false">IF($S1036="","",INDEX(BookRate,1031)*(1+'5. Scenarios'!$E$10)*(INDEX(BookQ1,1031)*(5-MIN(4,1+'5. Scenarios'!$E$8))/4+INDEX(BookQ2,1031)*(5-MIN(4,2+'5. Scenarios'!$E$8))/4+INDEX(BookQ3,1031)*(5-MIN(4,3+'5. Scenarios'!$E$8))/4+INDEX(BookQ4,1031)*(5-MIN(4,4+'5. Scenarios'!$E$8))/4)*'5. Scenarios'!$E$6/(1+ProductivityDefault*('5. Scenarios'!$E$11-1))+INDEX(BookOneOff,1031)*$S1036)</f>
        <v/>
      </c>
    </row>
    <row r="1037" customFormat="false" ht="15" hidden="false" customHeight="false" outlineLevel="0" collapsed="false">
      <c r="A1037" s="0" t="str">
        <f aca="false">IF(INDEX(BookTitle,1032)="","",INDEX(BookKey,1032))</f>
        <v/>
      </c>
      <c r="B1037" s="0" t="str">
        <f aca="false">IF(INDEX(BookTitle,1032)="","",INDEX(BookGroup,1032))</f>
        <v/>
      </c>
      <c r="C1037" s="0" t="str">
        <f aca="false">IF(INDEX(BookTitle,1032)="","",INDEX(BookCategory,1032))</f>
        <v/>
      </c>
      <c r="D1037" s="56" t="str">
        <f aca="false">IF(INDEX(BookTitle,1032)="","",INDEX(BookTotal,1032)*'5. Scenarios'!$B$6/(1+ProductivityDefault*('5. Scenarios'!$B$11-1)))</f>
        <v/>
      </c>
      <c r="E1037" s="57" t="str">
        <f aca="false">IF($D1037="","",INDEX(BookRate,1032)*(1+'5. Scenarios'!$B$10)*$D1037)</f>
        <v/>
      </c>
      <c r="F1037" s="57" t="str">
        <f aca="false">IF($E1037="","",SUMIFS($E$6:$E$2405,$A$6:$A$2405,"&lt;="&amp;$A1037))</f>
        <v/>
      </c>
      <c r="G1037" s="57" t="str">
        <f aca="false">IF($E1037="","",IF($F1037&lt;=BankCostEnvelope*'5. Scenarios'!$B$7,1,0))</f>
        <v/>
      </c>
      <c r="H1037" s="57" t="str">
        <f aca="false">IF($D1037="","",INDEX(BookRate,1032)*(1+'5. Scenarios'!$B$10)*(INDEX(BookQ1,1032)*(5-MIN(4,1+'5. Scenarios'!$B$8))/4+INDEX(BookQ2,1032)*(5-MIN(4,2+'5. Scenarios'!$B$8))/4+INDEX(BookQ3,1032)*(5-MIN(4,3+'5. Scenarios'!$B$8))/4+INDEX(BookQ4,1032)*(5-MIN(4,4+'5. Scenarios'!$B$8))/4)*'5. Scenarios'!$B$6/(1+ProductivityDefault*('5. Scenarios'!$B$11-1))+INDEX(BookOneOff,1032)*$D1037)</f>
        <v/>
      </c>
      <c r="I1037" s="56" t="str">
        <f aca="false">IF(INDEX(BookTitle,1032)="","",INDEX(BookTotal,1032)*'5. Scenarios'!$C$6/(1+ProductivityDefault*('5. Scenarios'!$C$11-1)))</f>
        <v/>
      </c>
      <c r="J1037" s="57" t="str">
        <f aca="false">IF($I1037="","",INDEX(BookRate,1032)*(1+'5. Scenarios'!$C$10)*$I1037)</f>
        <v/>
      </c>
      <c r="K1037" s="57" t="str">
        <f aca="false">IF($J1037="","",SUMIFS($J$6:$J$2405,$A$6:$A$2405,"&lt;="&amp;$A1037))</f>
        <v/>
      </c>
      <c r="L1037" s="57" t="str">
        <f aca="false">IF($J1037="","",IF($K1037&lt;=BankCostEnvelope*'5. Scenarios'!$C$7,1,0))</f>
        <v/>
      </c>
      <c r="M1037" s="57" t="str">
        <f aca="false">IF($I1037="","",INDEX(BookRate,1032)*(1+'5. Scenarios'!$C$10)*(INDEX(BookQ1,1032)*(5-MIN(4,1+'5. Scenarios'!$C$8))/4+INDEX(BookQ2,1032)*(5-MIN(4,2+'5. Scenarios'!$C$8))/4+INDEX(BookQ3,1032)*(5-MIN(4,3+'5. Scenarios'!$C$8))/4+INDEX(BookQ4,1032)*(5-MIN(4,4+'5. Scenarios'!$C$8))/4)*'5. Scenarios'!$C$6/(1+ProductivityDefault*('5. Scenarios'!$C$11-1))+INDEX(BookOneOff,1032)*$I1037)</f>
        <v/>
      </c>
      <c r="N1037" s="56" t="str">
        <f aca="false">IF(INDEX(BookTitle,1032)="","",INDEX(BookTotal,1032)*'5. Scenarios'!$D$6/(1+ProductivityDefault*('5. Scenarios'!$D$11-1)))</f>
        <v/>
      </c>
      <c r="O1037" s="57" t="str">
        <f aca="false">IF($N1037="","",INDEX(BookRate,1032)*(1+'5. Scenarios'!$D$10)*$N1037)</f>
        <v/>
      </c>
      <c r="P1037" s="57" t="str">
        <f aca="false">IF($O1037="","",SUMIFS($O$6:$O$2405,$A$6:$A$2405,"&lt;="&amp;$A1037))</f>
        <v/>
      </c>
      <c r="Q1037" s="57" t="str">
        <f aca="false">IF($O1037="","",IF($P1037&lt;=BankCostEnvelope*'5. Scenarios'!$D$7,1,0))</f>
        <v/>
      </c>
      <c r="R1037" s="57" t="str">
        <f aca="false">IF($N1037="","",INDEX(BookRate,1032)*(1+'5. Scenarios'!$D$10)*(INDEX(BookQ1,1032)*(5-MIN(4,1+'5. Scenarios'!$D$8))/4+INDEX(BookQ2,1032)*(5-MIN(4,2+'5. Scenarios'!$D$8))/4+INDEX(BookQ3,1032)*(5-MIN(4,3+'5. Scenarios'!$D$8))/4+INDEX(BookQ4,1032)*(5-MIN(4,4+'5. Scenarios'!$D$8))/4)*'5. Scenarios'!$D$6/(1+ProductivityDefault*('5. Scenarios'!$D$11-1))+INDEX(BookOneOff,1032)*$N1037)</f>
        <v/>
      </c>
      <c r="S1037" s="56" t="str">
        <f aca="false">IF(INDEX(BookTitle,1032)="","",INDEX(BookTotal,1032)*'5. Scenarios'!$E$6/(1+ProductivityDefault*('5. Scenarios'!$E$11-1)))</f>
        <v/>
      </c>
      <c r="T1037" s="57" t="str">
        <f aca="false">IF($S1037="","",INDEX(BookRate,1032)*(1+'5. Scenarios'!$E$10)*$S1037)</f>
        <v/>
      </c>
      <c r="U1037" s="57" t="str">
        <f aca="false">IF($T1037="","",SUMIFS($T$6:$T$2405,$A$6:$A$2405,"&lt;="&amp;$A1037))</f>
        <v/>
      </c>
      <c r="V1037" s="57" t="str">
        <f aca="false">IF($T1037="","",IF($U1037&lt;=BankCostEnvelope*'5. Scenarios'!$E$7,1,0))</f>
        <v/>
      </c>
      <c r="W1037" s="57" t="str">
        <f aca="false">IF($S1037="","",INDEX(BookRate,1032)*(1+'5. Scenarios'!$E$10)*(INDEX(BookQ1,1032)*(5-MIN(4,1+'5. Scenarios'!$E$8))/4+INDEX(BookQ2,1032)*(5-MIN(4,2+'5. Scenarios'!$E$8))/4+INDEX(BookQ3,1032)*(5-MIN(4,3+'5. Scenarios'!$E$8))/4+INDEX(BookQ4,1032)*(5-MIN(4,4+'5. Scenarios'!$E$8))/4)*'5. Scenarios'!$E$6/(1+ProductivityDefault*('5. Scenarios'!$E$11-1))+INDEX(BookOneOff,1032)*$S1037)</f>
        <v/>
      </c>
    </row>
    <row r="1038" customFormat="false" ht="15" hidden="false" customHeight="false" outlineLevel="0" collapsed="false">
      <c r="A1038" s="0" t="str">
        <f aca="false">IF(INDEX(BookTitle,1033)="","",INDEX(BookKey,1033))</f>
        <v/>
      </c>
      <c r="B1038" s="0" t="str">
        <f aca="false">IF(INDEX(BookTitle,1033)="","",INDEX(BookGroup,1033))</f>
        <v/>
      </c>
      <c r="C1038" s="0" t="str">
        <f aca="false">IF(INDEX(BookTitle,1033)="","",INDEX(BookCategory,1033))</f>
        <v/>
      </c>
      <c r="D1038" s="56" t="str">
        <f aca="false">IF(INDEX(BookTitle,1033)="","",INDEX(BookTotal,1033)*'5. Scenarios'!$B$6/(1+ProductivityDefault*('5. Scenarios'!$B$11-1)))</f>
        <v/>
      </c>
      <c r="E1038" s="57" t="str">
        <f aca="false">IF($D1038="","",INDEX(BookRate,1033)*(1+'5. Scenarios'!$B$10)*$D1038)</f>
        <v/>
      </c>
      <c r="F1038" s="57" t="str">
        <f aca="false">IF($E1038="","",SUMIFS($E$6:$E$2405,$A$6:$A$2405,"&lt;="&amp;$A1038))</f>
        <v/>
      </c>
      <c r="G1038" s="57" t="str">
        <f aca="false">IF($E1038="","",IF($F1038&lt;=BankCostEnvelope*'5. Scenarios'!$B$7,1,0))</f>
        <v/>
      </c>
      <c r="H1038" s="57" t="str">
        <f aca="false">IF($D1038="","",INDEX(BookRate,1033)*(1+'5. Scenarios'!$B$10)*(INDEX(BookQ1,1033)*(5-MIN(4,1+'5. Scenarios'!$B$8))/4+INDEX(BookQ2,1033)*(5-MIN(4,2+'5. Scenarios'!$B$8))/4+INDEX(BookQ3,1033)*(5-MIN(4,3+'5. Scenarios'!$B$8))/4+INDEX(BookQ4,1033)*(5-MIN(4,4+'5. Scenarios'!$B$8))/4)*'5. Scenarios'!$B$6/(1+ProductivityDefault*('5. Scenarios'!$B$11-1))+INDEX(BookOneOff,1033)*$D1038)</f>
        <v/>
      </c>
      <c r="I1038" s="56" t="str">
        <f aca="false">IF(INDEX(BookTitle,1033)="","",INDEX(BookTotal,1033)*'5. Scenarios'!$C$6/(1+ProductivityDefault*('5. Scenarios'!$C$11-1)))</f>
        <v/>
      </c>
      <c r="J1038" s="57" t="str">
        <f aca="false">IF($I1038="","",INDEX(BookRate,1033)*(1+'5. Scenarios'!$C$10)*$I1038)</f>
        <v/>
      </c>
      <c r="K1038" s="57" t="str">
        <f aca="false">IF($J1038="","",SUMIFS($J$6:$J$2405,$A$6:$A$2405,"&lt;="&amp;$A1038))</f>
        <v/>
      </c>
      <c r="L1038" s="57" t="str">
        <f aca="false">IF($J1038="","",IF($K1038&lt;=BankCostEnvelope*'5. Scenarios'!$C$7,1,0))</f>
        <v/>
      </c>
      <c r="M1038" s="57" t="str">
        <f aca="false">IF($I1038="","",INDEX(BookRate,1033)*(1+'5. Scenarios'!$C$10)*(INDEX(BookQ1,1033)*(5-MIN(4,1+'5. Scenarios'!$C$8))/4+INDEX(BookQ2,1033)*(5-MIN(4,2+'5. Scenarios'!$C$8))/4+INDEX(BookQ3,1033)*(5-MIN(4,3+'5. Scenarios'!$C$8))/4+INDEX(BookQ4,1033)*(5-MIN(4,4+'5. Scenarios'!$C$8))/4)*'5. Scenarios'!$C$6/(1+ProductivityDefault*('5. Scenarios'!$C$11-1))+INDEX(BookOneOff,1033)*$I1038)</f>
        <v/>
      </c>
      <c r="N1038" s="56" t="str">
        <f aca="false">IF(INDEX(BookTitle,1033)="","",INDEX(BookTotal,1033)*'5. Scenarios'!$D$6/(1+ProductivityDefault*('5. Scenarios'!$D$11-1)))</f>
        <v/>
      </c>
      <c r="O1038" s="57" t="str">
        <f aca="false">IF($N1038="","",INDEX(BookRate,1033)*(1+'5. Scenarios'!$D$10)*$N1038)</f>
        <v/>
      </c>
      <c r="P1038" s="57" t="str">
        <f aca="false">IF($O1038="","",SUMIFS($O$6:$O$2405,$A$6:$A$2405,"&lt;="&amp;$A1038))</f>
        <v/>
      </c>
      <c r="Q1038" s="57" t="str">
        <f aca="false">IF($O1038="","",IF($P1038&lt;=BankCostEnvelope*'5. Scenarios'!$D$7,1,0))</f>
        <v/>
      </c>
      <c r="R1038" s="57" t="str">
        <f aca="false">IF($N1038="","",INDEX(BookRate,1033)*(1+'5. Scenarios'!$D$10)*(INDEX(BookQ1,1033)*(5-MIN(4,1+'5. Scenarios'!$D$8))/4+INDEX(BookQ2,1033)*(5-MIN(4,2+'5. Scenarios'!$D$8))/4+INDEX(BookQ3,1033)*(5-MIN(4,3+'5. Scenarios'!$D$8))/4+INDEX(BookQ4,1033)*(5-MIN(4,4+'5. Scenarios'!$D$8))/4)*'5. Scenarios'!$D$6/(1+ProductivityDefault*('5. Scenarios'!$D$11-1))+INDEX(BookOneOff,1033)*$N1038)</f>
        <v/>
      </c>
      <c r="S1038" s="56" t="str">
        <f aca="false">IF(INDEX(BookTitle,1033)="","",INDEX(BookTotal,1033)*'5. Scenarios'!$E$6/(1+ProductivityDefault*('5. Scenarios'!$E$11-1)))</f>
        <v/>
      </c>
      <c r="T1038" s="57" t="str">
        <f aca="false">IF($S1038="","",INDEX(BookRate,1033)*(1+'5. Scenarios'!$E$10)*$S1038)</f>
        <v/>
      </c>
      <c r="U1038" s="57" t="str">
        <f aca="false">IF($T1038="","",SUMIFS($T$6:$T$2405,$A$6:$A$2405,"&lt;="&amp;$A1038))</f>
        <v/>
      </c>
      <c r="V1038" s="57" t="str">
        <f aca="false">IF($T1038="","",IF($U1038&lt;=BankCostEnvelope*'5. Scenarios'!$E$7,1,0))</f>
        <v/>
      </c>
      <c r="W1038" s="57" t="str">
        <f aca="false">IF($S1038="","",INDEX(BookRate,1033)*(1+'5. Scenarios'!$E$10)*(INDEX(BookQ1,1033)*(5-MIN(4,1+'5. Scenarios'!$E$8))/4+INDEX(BookQ2,1033)*(5-MIN(4,2+'5. Scenarios'!$E$8))/4+INDEX(BookQ3,1033)*(5-MIN(4,3+'5. Scenarios'!$E$8))/4+INDEX(BookQ4,1033)*(5-MIN(4,4+'5. Scenarios'!$E$8))/4)*'5. Scenarios'!$E$6/(1+ProductivityDefault*('5. Scenarios'!$E$11-1))+INDEX(BookOneOff,1033)*$S1038)</f>
        <v/>
      </c>
    </row>
    <row r="1039" customFormat="false" ht="15" hidden="false" customHeight="false" outlineLevel="0" collapsed="false">
      <c r="A1039" s="0" t="str">
        <f aca="false">IF(INDEX(BookTitle,1034)="","",INDEX(BookKey,1034))</f>
        <v/>
      </c>
      <c r="B1039" s="0" t="str">
        <f aca="false">IF(INDEX(BookTitle,1034)="","",INDEX(BookGroup,1034))</f>
        <v/>
      </c>
      <c r="C1039" s="0" t="str">
        <f aca="false">IF(INDEX(BookTitle,1034)="","",INDEX(BookCategory,1034))</f>
        <v/>
      </c>
      <c r="D1039" s="56" t="str">
        <f aca="false">IF(INDEX(BookTitle,1034)="","",INDEX(BookTotal,1034)*'5. Scenarios'!$B$6/(1+ProductivityDefault*('5. Scenarios'!$B$11-1)))</f>
        <v/>
      </c>
      <c r="E1039" s="57" t="str">
        <f aca="false">IF($D1039="","",INDEX(BookRate,1034)*(1+'5. Scenarios'!$B$10)*$D1039)</f>
        <v/>
      </c>
      <c r="F1039" s="57" t="str">
        <f aca="false">IF($E1039="","",SUMIFS($E$6:$E$2405,$A$6:$A$2405,"&lt;="&amp;$A1039))</f>
        <v/>
      </c>
      <c r="G1039" s="57" t="str">
        <f aca="false">IF($E1039="","",IF($F1039&lt;=BankCostEnvelope*'5. Scenarios'!$B$7,1,0))</f>
        <v/>
      </c>
      <c r="H1039" s="57" t="str">
        <f aca="false">IF($D1039="","",INDEX(BookRate,1034)*(1+'5. Scenarios'!$B$10)*(INDEX(BookQ1,1034)*(5-MIN(4,1+'5. Scenarios'!$B$8))/4+INDEX(BookQ2,1034)*(5-MIN(4,2+'5. Scenarios'!$B$8))/4+INDEX(BookQ3,1034)*(5-MIN(4,3+'5. Scenarios'!$B$8))/4+INDEX(BookQ4,1034)*(5-MIN(4,4+'5. Scenarios'!$B$8))/4)*'5. Scenarios'!$B$6/(1+ProductivityDefault*('5. Scenarios'!$B$11-1))+INDEX(BookOneOff,1034)*$D1039)</f>
        <v/>
      </c>
      <c r="I1039" s="56" t="str">
        <f aca="false">IF(INDEX(BookTitle,1034)="","",INDEX(BookTotal,1034)*'5. Scenarios'!$C$6/(1+ProductivityDefault*('5. Scenarios'!$C$11-1)))</f>
        <v/>
      </c>
      <c r="J1039" s="57" t="str">
        <f aca="false">IF($I1039="","",INDEX(BookRate,1034)*(1+'5. Scenarios'!$C$10)*$I1039)</f>
        <v/>
      </c>
      <c r="K1039" s="57" t="str">
        <f aca="false">IF($J1039="","",SUMIFS($J$6:$J$2405,$A$6:$A$2405,"&lt;="&amp;$A1039))</f>
        <v/>
      </c>
      <c r="L1039" s="57" t="str">
        <f aca="false">IF($J1039="","",IF($K1039&lt;=BankCostEnvelope*'5. Scenarios'!$C$7,1,0))</f>
        <v/>
      </c>
      <c r="M1039" s="57" t="str">
        <f aca="false">IF($I1039="","",INDEX(BookRate,1034)*(1+'5. Scenarios'!$C$10)*(INDEX(BookQ1,1034)*(5-MIN(4,1+'5. Scenarios'!$C$8))/4+INDEX(BookQ2,1034)*(5-MIN(4,2+'5. Scenarios'!$C$8))/4+INDEX(BookQ3,1034)*(5-MIN(4,3+'5. Scenarios'!$C$8))/4+INDEX(BookQ4,1034)*(5-MIN(4,4+'5. Scenarios'!$C$8))/4)*'5. Scenarios'!$C$6/(1+ProductivityDefault*('5. Scenarios'!$C$11-1))+INDEX(BookOneOff,1034)*$I1039)</f>
        <v/>
      </c>
      <c r="N1039" s="56" t="str">
        <f aca="false">IF(INDEX(BookTitle,1034)="","",INDEX(BookTotal,1034)*'5. Scenarios'!$D$6/(1+ProductivityDefault*('5. Scenarios'!$D$11-1)))</f>
        <v/>
      </c>
      <c r="O1039" s="57" t="str">
        <f aca="false">IF($N1039="","",INDEX(BookRate,1034)*(1+'5. Scenarios'!$D$10)*$N1039)</f>
        <v/>
      </c>
      <c r="P1039" s="57" t="str">
        <f aca="false">IF($O1039="","",SUMIFS($O$6:$O$2405,$A$6:$A$2405,"&lt;="&amp;$A1039))</f>
        <v/>
      </c>
      <c r="Q1039" s="57" t="str">
        <f aca="false">IF($O1039="","",IF($P1039&lt;=BankCostEnvelope*'5. Scenarios'!$D$7,1,0))</f>
        <v/>
      </c>
      <c r="R1039" s="57" t="str">
        <f aca="false">IF($N1039="","",INDEX(BookRate,1034)*(1+'5. Scenarios'!$D$10)*(INDEX(BookQ1,1034)*(5-MIN(4,1+'5. Scenarios'!$D$8))/4+INDEX(BookQ2,1034)*(5-MIN(4,2+'5. Scenarios'!$D$8))/4+INDEX(BookQ3,1034)*(5-MIN(4,3+'5. Scenarios'!$D$8))/4+INDEX(BookQ4,1034)*(5-MIN(4,4+'5. Scenarios'!$D$8))/4)*'5. Scenarios'!$D$6/(1+ProductivityDefault*('5. Scenarios'!$D$11-1))+INDEX(BookOneOff,1034)*$N1039)</f>
        <v/>
      </c>
      <c r="S1039" s="56" t="str">
        <f aca="false">IF(INDEX(BookTitle,1034)="","",INDEX(BookTotal,1034)*'5. Scenarios'!$E$6/(1+ProductivityDefault*('5. Scenarios'!$E$11-1)))</f>
        <v/>
      </c>
      <c r="T1039" s="57" t="str">
        <f aca="false">IF($S1039="","",INDEX(BookRate,1034)*(1+'5. Scenarios'!$E$10)*$S1039)</f>
        <v/>
      </c>
      <c r="U1039" s="57" t="str">
        <f aca="false">IF($T1039="","",SUMIFS($T$6:$T$2405,$A$6:$A$2405,"&lt;="&amp;$A1039))</f>
        <v/>
      </c>
      <c r="V1039" s="57" t="str">
        <f aca="false">IF($T1039="","",IF($U1039&lt;=BankCostEnvelope*'5. Scenarios'!$E$7,1,0))</f>
        <v/>
      </c>
      <c r="W1039" s="57" t="str">
        <f aca="false">IF($S1039="","",INDEX(BookRate,1034)*(1+'5. Scenarios'!$E$10)*(INDEX(BookQ1,1034)*(5-MIN(4,1+'5. Scenarios'!$E$8))/4+INDEX(BookQ2,1034)*(5-MIN(4,2+'5. Scenarios'!$E$8))/4+INDEX(BookQ3,1034)*(5-MIN(4,3+'5. Scenarios'!$E$8))/4+INDEX(BookQ4,1034)*(5-MIN(4,4+'5. Scenarios'!$E$8))/4)*'5. Scenarios'!$E$6/(1+ProductivityDefault*('5. Scenarios'!$E$11-1))+INDEX(BookOneOff,1034)*$S1039)</f>
        <v/>
      </c>
    </row>
    <row r="1040" customFormat="false" ht="15" hidden="false" customHeight="false" outlineLevel="0" collapsed="false">
      <c r="A1040" s="0" t="str">
        <f aca="false">IF(INDEX(BookTitle,1035)="","",INDEX(BookKey,1035))</f>
        <v/>
      </c>
      <c r="B1040" s="0" t="str">
        <f aca="false">IF(INDEX(BookTitle,1035)="","",INDEX(BookGroup,1035))</f>
        <v/>
      </c>
      <c r="C1040" s="0" t="str">
        <f aca="false">IF(INDEX(BookTitle,1035)="","",INDEX(BookCategory,1035))</f>
        <v/>
      </c>
      <c r="D1040" s="56" t="str">
        <f aca="false">IF(INDEX(BookTitle,1035)="","",INDEX(BookTotal,1035)*'5. Scenarios'!$B$6/(1+ProductivityDefault*('5. Scenarios'!$B$11-1)))</f>
        <v/>
      </c>
      <c r="E1040" s="57" t="str">
        <f aca="false">IF($D1040="","",INDEX(BookRate,1035)*(1+'5. Scenarios'!$B$10)*$D1040)</f>
        <v/>
      </c>
      <c r="F1040" s="57" t="str">
        <f aca="false">IF($E1040="","",SUMIFS($E$6:$E$2405,$A$6:$A$2405,"&lt;="&amp;$A1040))</f>
        <v/>
      </c>
      <c r="G1040" s="57" t="str">
        <f aca="false">IF($E1040="","",IF($F1040&lt;=BankCostEnvelope*'5. Scenarios'!$B$7,1,0))</f>
        <v/>
      </c>
      <c r="H1040" s="57" t="str">
        <f aca="false">IF($D1040="","",INDEX(BookRate,1035)*(1+'5. Scenarios'!$B$10)*(INDEX(BookQ1,1035)*(5-MIN(4,1+'5. Scenarios'!$B$8))/4+INDEX(BookQ2,1035)*(5-MIN(4,2+'5. Scenarios'!$B$8))/4+INDEX(BookQ3,1035)*(5-MIN(4,3+'5. Scenarios'!$B$8))/4+INDEX(BookQ4,1035)*(5-MIN(4,4+'5. Scenarios'!$B$8))/4)*'5. Scenarios'!$B$6/(1+ProductivityDefault*('5. Scenarios'!$B$11-1))+INDEX(BookOneOff,1035)*$D1040)</f>
        <v/>
      </c>
      <c r="I1040" s="56" t="str">
        <f aca="false">IF(INDEX(BookTitle,1035)="","",INDEX(BookTotal,1035)*'5. Scenarios'!$C$6/(1+ProductivityDefault*('5. Scenarios'!$C$11-1)))</f>
        <v/>
      </c>
      <c r="J1040" s="57" t="str">
        <f aca="false">IF($I1040="","",INDEX(BookRate,1035)*(1+'5. Scenarios'!$C$10)*$I1040)</f>
        <v/>
      </c>
      <c r="K1040" s="57" t="str">
        <f aca="false">IF($J1040="","",SUMIFS($J$6:$J$2405,$A$6:$A$2405,"&lt;="&amp;$A1040))</f>
        <v/>
      </c>
      <c r="L1040" s="57" t="str">
        <f aca="false">IF($J1040="","",IF($K1040&lt;=BankCostEnvelope*'5. Scenarios'!$C$7,1,0))</f>
        <v/>
      </c>
      <c r="M1040" s="57" t="str">
        <f aca="false">IF($I1040="","",INDEX(BookRate,1035)*(1+'5. Scenarios'!$C$10)*(INDEX(BookQ1,1035)*(5-MIN(4,1+'5. Scenarios'!$C$8))/4+INDEX(BookQ2,1035)*(5-MIN(4,2+'5. Scenarios'!$C$8))/4+INDEX(BookQ3,1035)*(5-MIN(4,3+'5. Scenarios'!$C$8))/4+INDEX(BookQ4,1035)*(5-MIN(4,4+'5. Scenarios'!$C$8))/4)*'5. Scenarios'!$C$6/(1+ProductivityDefault*('5. Scenarios'!$C$11-1))+INDEX(BookOneOff,1035)*$I1040)</f>
        <v/>
      </c>
      <c r="N1040" s="56" t="str">
        <f aca="false">IF(INDEX(BookTitle,1035)="","",INDEX(BookTotal,1035)*'5. Scenarios'!$D$6/(1+ProductivityDefault*('5. Scenarios'!$D$11-1)))</f>
        <v/>
      </c>
      <c r="O1040" s="57" t="str">
        <f aca="false">IF($N1040="","",INDEX(BookRate,1035)*(1+'5. Scenarios'!$D$10)*$N1040)</f>
        <v/>
      </c>
      <c r="P1040" s="57" t="str">
        <f aca="false">IF($O1040="","",SUMIFS($O$6:$O$2405,$A$6:$A$2405,"&lt;="&amp;$A1040))</f>
        <v/>
      </c>
      <c r="Q1040" s="57" t="str">
        <f aca="false">IF($O1040="","",IF($P1040&lt;=BankCostEnvelope*'5. Scenarios'!$D$7,1,0))</f>
        <v/>
      </c>
      <c r="R1040" s="57" t="str">
        <f aca="false">IF($N1040="","",INDEX(BookRate,1035)*(1+'5. Scenarios'!$D$10)*(INDEX(BookQ1,1035)*(5-MIN(4,1+'5. Scenarios'!$D$8))/4+INDEX(BookQ2,1035)*(5-MIN(4,2+'5. Scenarios'!$D$8))/4+INDEX(BookQ3,1035)*(5-MIN(4,3+'5. Scenarios'!$D$8))/4+INDEX(BookQ4,1035)*(5-MIN(4,4+'5. Scenarios'!$D$8))/4)*'5. Scenarios'!$D$6/(1+ProductivityDefault*('5. Scenarios'!$D$11-1))+INDEX(BookOneOff,1035)*$N1040)</f>
        <v/>
      </c>
      <c r="S1040" s="56" t="str">
        <f aca="false">IF(INDEX(BookTitle,1035)="","",INDEX(BookTotal,1035)*'5. Scenarios'!$E$6/(1+ProductivityDefault*('5. Scenarios'!$E$11-1)))</f>
        <v/>
      </c>
      <c r="T1040" s="57" t="str">
        <f aca="false">IF($S1040="","",INDEX(BookRate,1035)*(1+'5. Scenarios'!$E$10)*$S1040)</f>
        <v/>
      </c>
      <c r="U1040" s="57" t="str">
        <f aca="false">IF($T1040="","",SUMIFS($T$6:$T$2405,$A$6:$A$2405,"&lt;="&amp;$A1040))</f>
        <v/>
      </c>
      <c r="V1040" s="57" t="str">
        <f aca="false">IF($T1040="","",IF($U1040&lt;=BankCostEnvelope*'5. Scenarios'!$E$7,1,0))</f>
        <v/>
      </c>
      <c r="W1040" s="57" t="str">
        <f aca="false">IF($S1040="","",INDEX(BookRate,1035)*(1+'5. Scenarios'!$E$10)*(INDEX(BookQ1,1035)*(5-MIN(4,1+'5. Scenarios'!$E$8))/4+INDEX(BookQ2,1035)*(5-MIN(4,2+'5. Scenarios'!$E$8))/4+INDEX(BookQ3,1035)*(5-MIN(4,3+'5. Scenarios'!$E$8))/4+INDEX(BookQ4,1035)*(5-MIN(4,4+'5. Scenarios'!$E$8))/4)*'5. Scenarios'!$E$6/(1+ProductivityDefault*('5. Scenarios'!$E$11-1))+INDEX(BookOneOff,1035)*$S1040)</f>
        <v/>
      </c>
    </row>
    <row r="1041" customFormat="false" ht="15" hidden="false" customHeight="false" outlineLevel="0" collapsed="false">
      <c r="A1041" s="0" t="str">
        <f aca="false">IF(INDEX(BookTitle,1036)="","",INDEX(BookKey,1036))</f>
        <v/>
      </c>
      <c r="B1041" s="0" t="str">
        <f aca="false">IF(INDEX(BookTitle,1036)="","",INDEX(BookGroup,1036))</f>
        <v/>
      </c>
      <c r="C1041" s="0" t="str">
        <f aca="false">IF(INDEX(BookTitle,1036)="","",INDEX(BookCategory,1036))</f>
        <v/>
      </c>
      <c r="D1041" s="56" t="str">
        <f aca="false">IF(INDEX(BookTitle,1036)="","",INDEX(BookTotal,1036)*'5. Scenarios'!$B$6/(1+ProductivityDefault*('5. Scenarios'!$B$11-1)))</f>
        <v/>
      </c>
      <c r="E1041" s="57" t="str">
        <f aca="false">IF($D1041="","",INDEX(BookRate,1036)*(1+'5. Scenarios'!$B$10)*$D1041)</f>
        <v/>
      </c>
      <c r="F1041" s="57" t="str">
        <f aca="false">IF($E1041="","",SUMIFS($E$6:$E$2405,$A$6:$A$2405,"&lt;="&amp;$A1041))</f>
        <v/>
      </c>
      <c r="G1041" s="57" t="str">
        <f aca="false">IF($E1041="","",IF($F1041&lt;=BankCostEnvelope*'5. Scenarios'!$B$7,1,0))</f>
        <v/>
      </c>
      <c r="H1041" s="57" t="str">
        <f aca="false">IF($D1041="","",INDEX(BookRate,1036)*(1+'5. Scenarios'!$B$10)*(INDEX(BookQ1,1036)*(5-MIN(4,1+'5. Scenarios'!$B$8))/4+INDEX(BookQ2,1036)*(5-MIN(4,2+'5. Scenarios'!$B$8))/4+INDEX(BookQ3,1036)*(5-MIN(4,3+'5. Scenarios'!$B$8))/4+INDEX(BookQ4,1036)*(5-MIN(4,4+'5. Scenarios'!$B$8))/4)*'5. Scenarios'!$B$6/(1+ProductivityDefault*('5. Scenarios'!$B$11-1))+INDEX(BookOneOff,1036)*$D1041)</f>
        <v/>
      </c>
      <c r="I1041" s="56" t="str">
        <f aca="false">IF(INDEX(BookTitle,1036)="","",INDEX(BookTotal,1036)*'5. Scenarios'!$C$6/(1+ProductivityDefault*('5. Scenarios'!$C$11-1)))</f>
        <v/>
      </c>
      <c r="J1041" s="57" t="str">
        <f aca="false">IF($I1041="","",INDEX(BookRate,1036)*(1+'5. Scenarios'!$C$10)*$I1041)</f>
        <v/>
      </c>
      <c r="K1041" s="57" t="str">
        <f aca="false">IF($J1041="","",SUMIFS($J$6:$J$2405,$A$6:$A$2405,"&lt;="&amp;$A1041))</f>
        <v/>
      </c>
      <c r="L1041" s="57" t="str">
        <f aca="false">IF($J1041="","",IF($K1041&lt;=BankCostEnvelope*'5. Scenarios'!$C$7,1,0))</f>
        <v/>
      </c>
      <c r="M1041" s="57" t="str">
        <f aca="false">IF($I1041="","",INDEX(BookRate,1036)*(1+'5. Scenarios'!$C$10)*(INDEX(BookQ1,1036)*(5-MIN(4,1+'5. Scenarios'!$C$8))/4+INDEX(BookQ2,1036)*(5-MIN(4,2+'5. Scenarios'!$C$8))/4+INDEX(BookQ3,1036)*(5-MIN(4,3+'5. Scenarios'!$C$8))/4+INDEX(BookQ4,1036)*(5-MIN(4,4+'5. Scenarios'!$C$8))/4)*'5. Scenarios'!$C$6/(1+ProductivityDefault*('5. Scenarios'!$C$11-1))+INDEX(BookOneOff,1036)*$I1041)</f>
        <v/>
      </c>
      <c r="N1041" s="56" t="str">
        <f aca="false">IF(INDEX(BookTitle,1036)="","",INDEX(BookTotal,1036)*'5. Scenarios'!$D$6/(1+ProductivityDefault*('5. Scenarios'!$D$11-1)))</f>
        <v/>
      </c>
      <c r="O1041" s="57" t="str">
        <f aca="false">IF($N1041="","",INDEX(BookRate,1036)*(1+'5. Scenarios'!$D$10)*$N1041)</f>
        <v/>
      </c>
      <c r="P1041" s="57" t="str">
        <f aca="false">IF($O1041="","",SUMIFS($O$6:$O$2405,$A$6:$A$2405,"&lt;="&amp;$A1041))</f>
        <v/>
      </c>
      <c r="Q1041" s="57" t="str">
        <f aca="false">IF($O1041="","",IF($P1041&lt;=BankCostEnvelope*'5. Scenarios'!$D$7,1,0))</f>
        <v/>
      </c>
      <c r="R1041" s="57" t="str">
        <f aca="false">IF($N1041="","",INDEX(BookRate,1036)*(1+'5. Scenarios'!$D$10)*(INDEX(BookQ1,1036)*(5-MIN(4,1+'5. Scenarios'!$D$8))/4+INDEX(BookQ2,1036)*(5-MIN(4,2+'5. Scenarios'!$D$8))/4+INDEX(BookQ3,1036)*(5-MIN(4,3+'5. Scenarios'!$D$8))/4+INDEX(BookQ4,1036)*(5-MIN(4,4+'5. Scenarios'!$D$8))/4)*'5. Scenarios'!$D$6/(1+ProductivityDefault*('5. Scenarios'!$D$11-1))+INDEX(BookOneOff,1036)*$N1041)</f>
        <v/>
      </c>
      <c r="S1041" s="56" t="str">
        <f aca="false">IF(INDEX(BookTitle,1036)="","",INDEX(BookTotal,1036)*'5. Scenarios'!$E$6/(1+ProductivityDefault*('5. Scenarios'!$E$11-1)))</f>
        <v/>
      </c>
      <c r="T1041" s="57" t="str">
        <f aca="false">IF($S1041="","",INDEX(BookRate,1036)*(1+'5. Scenarios'!$E$10)*$S1041)</f>
        <v/>
      </c>
      <c r="U1041" s="57" t="str">
        <f aca="false">IF($T1041="","",SUMIFS($T$6:$T$2405,$A$6:$A$2405,"&lt;="&amp;$A1041))</f>
        <v/>
      </c>
      <c r="V1041" s="57" t="str">
        <f aca="false">IF($T1041="","",IF($U1041&lt;=BankCostEnvelope*'5. Scenarios'!$E$7,1,0))</f>
        <v/>
      </c>
      <c r="W1041" s="57" t="str">
        <f aca="false">IF($S1041="","",INDEX(BookRate,1036)*(1+'5. Scenarios'!$E$10)*(INDEX(BookQ1,1036)*(5-MIN(4,1+'5. Scenarios'!$E$8))/4+INDEX(BookQ2,1036)*(5-MIN(4,2+'5. Scenarios'!$E$8))/4+INDEX(BookQ3,1036)*(5-MIN(4,3+'5. Scenarios'!$E$8))/4+INDEX(BookQ4,1036)*(5-MIN(4,4+'5. Scenarios'!$E$8))/4)*'5. Scenarios'!$E$6/(1+ProductivityDefault*('5. Scenarios'!$E$11-1))+INDEX(BookOneOff,1036)*$S1041)</f>
        <v/>
      </c>
    </row>
    <row r="1042" customFormat="false" ht="15" hidden="false" customHeight="false" outlineLevel="0" collapsed="false">
      <c r="A1042" s="0" t="str">
        <f aca="false">IF(INDEX(BookTitle,1037)="","",INDEX(BookKey,1037))</f>
        <v/>
      </c>
      <c r="B1042" s="0" t="str">
        <f aca="false">IF(INDEX(BookTitle,1037)="","",INDEX(BookGroup,1037))</f>
        <v/>
      </c>
      <c r="C1042" s="0" t="str">
        <f aca="false">IF(INDEX(BookTitle,1037)="","",INDEX(BookCategory,1037))</f>
        <v/>
      </c>
      <c r="D1042" s="56" t="str">
        <f aca="false">IF(INDEX(BookTitle,1037)="","",INDEX(BookTotal,1037)*'5. Scenarios'!$B$6/(1+ProductivityDefault*('5. Scenarios'!$B$11-1)))</f>
        <v/>
      </c>
      <c r="E1042" s="57" t="str">
        <f aca="false">IF($D1042="","",INDEX(BookRate,1037)*(1+'5. Scenarios'!$B$10)*$D1042)</f>
        <v/>
      </c>
      <c r="F1042" s="57" t="str">
        <f aca="false">IF($E1042="","",SUMIFS($E$6:$E$2405,$A$6:$A$2405,"&lt;="&amp;$A1042))</f>
        <v/>
      </c>
      <c r="G1042" s="57" t="str">
        <f aca="false">IF($E1042="","",IF($F1042&lt;=BankCostEnvelope*'5. Scenarios'!$B$7,1,0))</f>
        <v/>
      </c>
      <c r="H1042" s="57" t="str">
        <f aca="false">IF($D1042="","",INDEX(BookRate,1037)*(1+'5. Scenarios'!$B$10)*(INDEX(BookQ1,1037)*(5-MIN(4,1+'5. Scenarios'!$B$8))/4+INDEX(BookQ2,1037)*(5-MIN(4,2+'5. Scenarios'!$B$8))/4+INDEX(BookQ3,1037)*(5-MIN(4,3+'5. Scenarios'!$B$8))/4+INDEX(BookQ4,1037)*(5-MIN(4,4+'5. Scenarios'!$B$8))/4)*'5. Scenarios'!$B$6/(1+ProductivityDefault*('5. Scenarios'!$B$11-1))+INDEX(BookOneOff,1037)*$D1042)</f>
        <v/>
      </c>
      <c r="I1042" s="56" t="str">
        <f aca="false">IF(INDEX(BookTitle,1037)="","",INDEX(BookTotal,1037)*'5. Scenarios'!$C$6/(1+ProductivityDefault*('5. Scenarios'!$C$11-1)))</f>
        <v/>
      </c>
      <c r="J1042" s="57" t="str">
        <f aca="false">IF($I1042="","",INDEX(BookRate,1037)*(1+'5. Scenarios'!$C$10)*$I1042)</f>
        <v/>
      </c>
      <c r="K1042" s="57" t="str">
        <f aca="false">IF($J1042="","",SUMIFS($J$6:$J$2405,$A$6:$A$2405,"&lt;="&amp;$A1042))</f>
        <v/>
      </c>
      <c r="L1042" s="57" t="str">
        <f aca="false">IF($J1042="","",IF($K1042&lt;=BankCostEnvelope*'5. Scenarios'!$C$7,1,0))</f>
        <v/>
      </c>
      <c r="M1042" s="57" t="str">
        <f aca="false">IF($I1042="","",INDEX(BookRate,1037)*(1+'5. Scenarios'!$C$10)*(INDEX(BookQ1,1037)*(5-MIN(4,1+'5. Scenarios'!$C$8))/4+INDEX(BookQ2,1037)*(5-MIN(4,2+'5. Scenarios'!$C$8))/4+INDEX(BookQ3,1037)*(5-MIN(4,3+'5. Scenarios'!$C$8))/4+INDEX(BookQ4,1037)*(5-MIN(4,4+'5. Scenarios'!$C$8))/4)*'5. Scenarios'!$C$6/(1+ProductivityDefault*('5. Scenarios'!$C$11-1))+INDEX(BookOneOff,1037)*$I1042)</f>
        <v/>
      </c>
      <c r="N1042" s="56" t="str">
        <f aca="false">IF(INDEX(BookTitle,1037)="","",INDEX(BookTotal,1037)*'5. Scenarios'!$D$6/(1+ProductivityDefault*('5. Scenarios'!$D$11-1)))</f>
        <v/>
      </c>
      <c r="O1042" s="57" t="str">
        <f aca="false">IF($N1042="","",INDEX(BookRate,1037)*(1+'5. Scenarios'!$D$10)*$N1042)</f>
        <v/>
      </c>
      <c r="P1042" s="57" t="str">
        <f aca="false">IF($O1042="","",SUMIFS($O$6:$O$2405,$A$6:$A$2405,"&lt;="&amp;$A1042))</f>
        <v/>
      </c>
      <c r="Q1042" s="57" t="str">
        <f aca="false">IF($O1042="","",IF($P1042&lt;=BankCostEnvelope*'5. Scenarios'!$D$7,1,0))</f>
        <v/>
      </c>
      <c r="R1042" s="57" t="str">
        <f aca="false">IF($N1042="","",INDEX(BookRate,1037)*(1+'5. Scenarios'!$D$10)*(INDEX(BookQ1,1037)*(5-MIN(4,1+'5. Scenarios'!$D$8))/4+INDEX(BookQ2,1037)*(5-MIN(4,2+'5. Scenarios'!$D$8))/4+INDEX(BookQ3,1037)*(5-MIN(4,3+'5. Scenarios'!$D$8))/4+INDEX(BookQ4,1037)*(5-MIN(4,4+'5. Scenarios'!$D$8))/4)*'5. Scenarios'!$D$6/(1+ProductivityDefault*('5. Scenarios'!$D$11-1))+INDEX(BookOneOff,1037)*$N1042)</f>
        <v/>
      </c>
      <c r="S1042" s="56" t="str">
        <f aca="false">IF(INDEX(BookTitle,1037)="","",INDEX(BookTotal,1037)*'5. Scenarios'!$E$6/(1+ProductivityDefault*('5. Scenarios'!$E$11-1)))</f>
        <v/>
      </c>
      <c r="T1042" s="57" t="str">
        <f aca="false">IF($S1042="","",INDEX(BookRate,1037)*(1+'5. Scenarios'!$E$10)*$S1042)</f>
        <v/>
      </c>
      <c r="U1042" s="57" t="str">
        <f aca="false">IF($T1042="","",SUMIFS($T$6:$T$2405,$A$6:$A$2405,"&lt;="&amp;$A1042))</f>
        <v/>
      </c>
      <c r="V1042" s="57" t="str">
        <f aca="false">IF($T1042="","",IF($U1042&lt;=BankCostEnvelope*'5. Scenarios'!$E$7,1,0))</f>
        <v/>
      </c>
      <c r="W1042" s="57" t="str">
        <f aca="false">IF($S1042="","",INDEX(BookRate,1037)*(1+'5. Scenarios'!$E$10)*(INDEX(BookQ1,1037)*(5-MIN(4,1+'5. Scenarios'!$E$8))/4+INDEX(BookQ2,1037)*(5-MIN(4,2+'5. Scenarios'!$E$8))/4+INDEX(BookQ3,1037)*(5-MIN(4,3+'5. Scenarios'!$E$8))/4+INDEX(BookQ4,1037)*(5-MIN(4,4+'5. Scenarios'!$E$8))/4)*'5. Scenarios'!$E$6/(1+ProductivityDefault*('5. Scenarios'!$E$11-1))+INDEX(BookOneOff,1037)*$S1042)</f>
        <v/>
      </c>
    </row>
    <row r="1043" customFormat="false" ht="15" hidden="false" customHeight="false" outlineLevel="0" collapsed="false">
      <c r="A1043" s="0" t="str">
        <f aca="false">IF(INDEX(BookTitle,1038)="","",INDEX(BookKey,1038))</f>
        <v/>
      </c>
      <c r="B1043" s="0" t="str">
        <f aca="false">IF(INDEX(BookTitle,1038)="","",INDEX(BookGroup,1038))</f>
        <v/>
      </c>
      <c r="C1043" s="0" t="str">
        <f aca="false">IF(INDEX(BookTitle,1038)="","",INDEX(BookCategory,1038))</f>
        <v/>
      </c>
      <c r="D1043" s="56" t="str">
        <f aca="false">IF(INDEX(BookTitle,1038)="","",INDEX(BookTotal,1038)*'5. Scenarios'!$B$6/(1+ProductivityDefault*('5. Scenarios'!$B$11-1)))</f>
        <v/>
      </c>
      <c r="E1043" s="57" t="str">
        <f aca="false">IF($D1043="","",INDEX(BookRate,1038)*(1+'5. Scenarios'!$B$10)*$D1043)</f>
        <v/>
      </c>
      <c r="F1043" s="57" t="str">
        <f aca="false">IF($E1043="","",SUMIFS($E$6:$E$2405,$A$6:$A$2405,"&lt;="&amp;$A1043))</f>
        <v/>
      </c>
      <c r="G1043" s="57" t="str">
        <f aca="false">IF($E1043="","",IF($F1043&lt;=BankCostEnvelope*'5. Scenarios'!$B$7,1,0))</f>
        <v/>
      </c>
      <c r="H1043" s="57" t="str">
        <f aca="false">IF($D1043="","",INDEX(BookRate,1038)*(1+'5. Scenarios'!$B$10)*(INDEX(BookQ1,1038)*(5-MIN(4,1+'5. Scenarios'!$B$8))/4+INDEX(BookQ2,1038)*(5-MIN(4,2+'5. Scenarios'!$B$8))/4+INDEX(BookQ3,1038)*(5-MIN(4,3+'5. Scenarios'!$B$8))/4+INDEX(BookQ4,1038)*(5-MIN(4,4+'5. Scenarios'!$B$8))/4)*'5. Scenarios'!$B$6/(1+ProductivityDefault*('5. Scenarios'!$B$11-1))+INDEX(BookOneOff,1038)*$D1043)</f>
        <v/>
      </c>
      <c r="I1043" s="56" t="str">
        <f aca="false">IF(INDEX(BookTitle,1038)="","",INDEX(BookTotal,1038)*'5. Scenarios'!$C$6/(1+ProductivityDefault*('5. Scenarios'!$C$11-1)))</f>
        <v/>
      </c>
      <c r="J1043" s="57" t="str">
        <f aca="false">IF($I1043="","",INDEX(BookRate,1038)*(1+'5. Scenarios'!$C$10)*$I1043)</f>
        <v/>
      </c>
      <c r="K1043" s="57" t="str">
        <f aca="false">IF($J1043="","",SUMIFS($J$6:$J$2405,$A$6:$A$2405,"&lt;="&amp;$A1043))</f>
        <v/>
      </c>
      <c r="L1043" s="57" t="str">
        <f aca="false">IF($J1043="","",IF($K1043&lt;=BankCostEnvelope*'5. Scenarios'!$C$7,1,0))</f>
        <v/>
      </c>
      <c r="M1043" s="57" t="str">
        <f aca="false">IF($I1043="","",INDEX(BookRate,1038)*(1+'5. Scenarios'!$C$10)*(INDEX(BookQ1,1038)*(5-MIN(4,1+'5. Scenarios'!$C$8))/4+INDEX(BookQ2,1038)*(5-MIN(4,2+'5. Scenarios'!$C$8))/4+INDEX(BookQ3,1038)*(5-MIN(4,3+'5. Scenarios'!$C$8))/4+INDEX(BookQ4,1038)*(5-MIN(4,4+'5. Scenarios'!$C$8))/4)*'5. Scenarios'!$C$6/(1+ProductivityDefault*('5. Scenarios'!$C$11-1))+INDEX(BookOneOff,1038)*$I1043)</f>
        <v/>
      </c>
      <c r="N1043" s="56" t="str">
        <f aca="false">IF(INDEX(BookTitle,1038)="","",INDEX(BookTotal,1038)*'5. Scenarios'!$D$6/(1+ProductivityDefault*('5. Scenarios'!$D$11-1)))</f>
        <v/>
      </c>
      <c r="O1043" s="57" t="str">
        <f aca="false">IF($N1043="","",INDEX(BookRate,1038)*(1+'5. Scenarios'!$D$10)*$N1043)</f>
        <v/>
      </c>
      <c r="P1043" s="57" t="str">
        <f aca="false">IF($O1043="","",SUMIFS($O$6:$O$2405,$A$6:$A$2405,"&lt;="&amp;$A1043))</f>
        <v/>
      </c>
      <c r="Q1043" s="57" t="str">
        <f aca="false">IF($O1043="","",IF($P1043&lt;=BankCostEnvelope*'5. Scenarios'!$D$7,1,0))</f>
        <v/>
      </c>
      <c r="R1043" s="57" t="str">
        <f aca="false">IF($N1043="","",INDEX(BookRate,1038)*(1+'5. Scenarios'!$D$10)*(INDEX(BookQ1,1038)*(5-MIN(4,1+'5. Scenarios'!$D$8))/4+INDEX(BookQ2,1038)*(5-MIN(4,2+'5. Scenarios'!$D$8))/4+INDEX(BookQ3,1038)*(5-MIN(4,3+'5. Scenarios'!$D$8))/4+INDEX(BookQ4,1038)*(5-MIN(4,4+'5. Scenarios'!$D$8))/4)*'5. Scenarios'!$D$6/(1+ProductivityDefault*('5. Scenarios'!$D$11-1))+INDEX(BookOneOff,1038)*$N1043)</f>
        <v/>
      </c>
      <c r="S1043" s="56" t="str">
        <f aca="false">IF(INDEX(BookTitle,1038)="","",INDEX(BookTotal,1038)*'5. Scenarios'!$E$6/(1+ProductivityDefault*('5. Scenarios'!$E$11-1)))</f>
        <v/>
      </c>
      <c r="T1043" s="57" t="str">
        <f aca="false">IF($S1043="","",INDEX(BookRate,1038)*(1+'5. Scenarios'!$E$10)*$S1043)</f>
        <v/>
      </c>
      <c r="U1043" s="57" t="str">
        <f aca="false">IF($T1043="","",SUMIFS($T$6:$T$2405,$A$6:$A$2405,"&lt;="&amp;$A1043))</f>
        <v/>
      </c>
      <c r="V1043" s="57" t="str">
        <f aca="false">IF($T1043="","",IF($U1043&lt;=BankCostEnvelope*'5. Scenarios'!$E$7,1,0))</f>
        <v/>
      </c>
      <c r="W1043" s="57" t="str">
        <f aca="false">IF($S1043="","",INDEX(BookRate,1038)*(1+'5. Scenarios'!$E$10)*(INDEX(BookQ1,1038)*(5-MIN(4,1+'5. Scenarios'!$E$8))/4+INDEX(BookQ2,1038)*(5-MIN(4,2+'5. Scenarios'!$E$8))/4+INDEX(BookQ3,1038)*(5-MIN(4,3+'5. Scenarios'!$E$8))/4+INDEX(BookQ4,1038)*(5-MIN(4,4+'5. Scenarios'!$E$8))/4)*'5. Scenarios'!$E$6/(1+ProductivityDefault*('5. Scenarios'!$E$11-1))+INDEX(BookOneOff,1038)*$S1043)</f>
        <v/>
      </c>
    </row>
    <row r="1044" customFormat="false" ht="15" hidden="false" customHeight="false" outlineLevel="0" collapsed="false">
      <c r="A1044" s="0" t="str">
        <f aca="false">IF(INDEX(BookTitle,1039)="","",INDEX(BookKey,1039))</f>
        <v/>
      </c>
      <c r="B1044" s="0" t="str">
        <f aca="false">IF(INDEX(BookTitle,1039)="","",INDEX(BookGroup,1039))</f>
        <v/>
      </c>
      <c r="C1044" s="0" t="str">
        <f aca="false">IF(INDEX(BookTitle,1039)="","",INDEX(BookCategory,1039))</f>
        <v/>
      </c>
      <c r="D1044" s="56" t="str">
        <f aca="false">IF(INDEX(BookTitle,1039)="","",INDEX(BookTotal,1039)*'5. Scenarios'!$B$6/(1+ProductivityDefault*('5. Scenarios'!$B$11-1)))</f>
        <v/>
      </c>
      <c r="E1044" s="57" t="str">
        <f aca="false">IF($D1044="","",INDEX(BookRate,1039)*(1+'5. Scenarios'!$B$10)*$D1044)</f>
        <v/>
      </c>
      <c r="F1044" s="57" t="str">
        <f aca="false">IF($E1044="","",SUMIFS($E$6:$E$2405,$A$6:$A$2405,"&lt;="&amp;$A1044))</f>
        <v/>
      </c>
      <c r="G1044" s="57" t="str">
        <f aca="false">IF($E1044="","",IF($F1044&lt;=BankCostEnvelope*'5. Scenarios'!$B$7,1,0))</f>
        <v/>
      </c>
      <c r="H1044" s="57" t="str">
        <f aca="false">IF($D1044="","",INDEX(BookRate,1039)*(1+'5. Scenarios'!$B$10)*(INDEX(BookQ1,1039)*(5-MIN(4,1+'5. Scenarios'!$B$8))/4+INDEX(BookQ2,1039)*(5-MIN(4,2+'5. Scenarios'!$B$8))/4+INDEX(BookQ3,1039)*(5-MIN(4,3+'5. Scenarios'!$B$8))/4+INDEX(BookQ4,1039)*(5-MIN(4,4+'5. Scenarios'!$B$8))/4)*'5. Scenarios'!$B$6/(1+ProductivityDefault*('5. Scenarios'!$B$11-1))+INDEX(BookOneOff,1039)*$D1044)</f>
        <v/>
      </c>
      <c r="I1044" s="56" t="str">
        <f aca="false">IF(INDEX(BookTitle,1039)="","",INDEX(BookTotal,1039)*'5. Scenarios'!$C$6/(1+ProductivityDefault*('5. Scenarios'!$C$11-1)))</f>
        <v/>
      </c>
      <c r="J1044" s="57" t="str">
        <f aca="false">IF($I1044="","",INDEX(BookRate,1039)*(1+'5. Scenarios'!$C$10)*$I1044)</f>
        <v/>
      </c>
      <c r="K1044" s="57" t="str">
        <f aca="false">IF($J1044="","",SUMIFS($J$6:$J$2405,$A$6:$A$2405,"&lt;="&amp;$A1044))</f>
        <v/>
      </c>
      <c r="L1044" s="57" t="str">
        <f aca="false">IF($J1044="","",IF($K1044&lt;=BankCostEnvelope*'5. Scenarios'!$C$7,1,0))</f>
        <v/>
      </c>
      <c r="M1044" s="57" t="str">
        <f aca="false">IF($I1044="","",INDEX(BookRate,1039)*(1+'5. Scenarios'!$C$10)*(INDEX(BookQ1,1039)*(5-MIN(4,1+'5. Scenarios'!$C$8))/4+INDEX(BookQ2,1039)*(5-MIN(4,2+'5. Scenarios'!$C$8))/4+INDEX(BookQ3,1039)*(5-MIN(4,3+'5. Scenarios'!$C$8))/4+INDEX(BookQ4,1039)*(5-MIN(4,4+'5. Scenarios'!$C$8))/4)*'5. Scenarios'!$C$6/(1+ProductivityDefault*('5. Scenarios'!$C$11-1))+INDEX(BookOneOff,1039)*$I1044)</f>
        <v/>
      </c>
      <c r="N1044" s="56" t="str">
        <f aca="false">IF(INDEX(BookTitle,1039)="","",INDEX(BookTotal,1039)*'5. Scenarios'!$D$6/(1+ProductivityDefault*('5. Scenarios'!$D$11-1)))</f>
        <v/>
      </c>
      <c r="O1044" s="57" t="str">
        <f aca="false">IF($N1044="","",INDEX(BookRate,1039)*(1+'5. Scenarios'!$D$10)*$N1044)</f>
        <v/>
      </c>
      <c r="P1044" s="57" t="str">
        <f aca="false">IF($O1044="","",SUMIFS($O$6:$O$2405,$A$6:$A$2405,"&lt;="&amp;$A1044))</f>
        <v/>
      </c>
      <c r="Q1044" s="57" t="str">
        <f aca="false">IF($O1044="","",IF($P1044&lt;=BankCostEnvelope*'5. Scenarios'!$D$7,1,0))</f>
        <v/>
      </c>
      <c r="R1044" s="57" t="str">
        <f aca="false">IF($N1044="","",INDEX(BookRate,1039)*(1+'5. Scenarios'!$D$10)*(INDEX(BookQ1,1039)*(5-MIN(4,1+'5. Scenarios'!$D$8))/4+INDEX(BookQ2,1039)*(5-MIN(4,2+'5. Scenarios'!$D$8))/4+INDEX(BookQ3,1039)*(5-MIN(4,3+'5. Scenarios'!$D$8))/4+INDEX(BookQ4,1039)*(5-MIN(4,4+'5. Scenarios'!$D$8))/4)*'5. Scenarios'!$D$6/(1+ProductivityDefault*('5. Scenarios'!$D$11-1))+INDEX(BookOneOff,1039)*$N1044)</f>
        <v/>
      </c>
      <c r="S1044" s="56" t="str">
        <f aca="false">IF(INDEX(BookTitle,1039)="","",INDEX(BookTotal,1039)*'5. Scenarios'!$E$6/(1+ProductivityDefault*('5. Scenarios'!$E$11-1)))</f>
        <v/>
      </c>
      <c r="T1044" s="57" t="str">
        <f aca="false">IF($S1044="","",INDEX(BookRate,1039)*(1+'5. Scenarios'!$E$10)*$S1044)</f>
        <v/>
      </c>
      <c r="U1044" s="57" t="str">
        <f aca="false">IF($T1044="","",SUMIFS($T$6:$T$2405,$A$6:$A$2405,"&lt;="&amp;$A1044))</f>
        <v/>
      </c>
      <c r="V1044" s="57" t="str">
        <f aca="false">IF($T1044="","",IF($U1044&lt;=BankCostEnvelope*'5. Scenarios'!$E$7,1,0))</f>
        <v/>
      </c>
      <c r="W1044" s="57" t="str">
        <f aca="false">IF($S1044="","",INDEX(BookRate,1039)*(1+'5. Scenarios'!$E$10)*(INDEX(BookQ1,1039)*(5-MIN(4,1+'5. Scenarios'!$E$8))/4+INDEX(BookQ2,1039)*(5-MIN(4,2+'5. Scenarios'!$E$8))/4+INDEX(BookQ3,1039)*(5-MIN(4,3+'5. Scenarios'!$E$8))/4+INDEX(BookQ4,1039)*(5-MIN(4,4+'5. Scenarios'!$E$8))/4)*'5. Scenarios'!$E$6/(1+ProductivityDefault*('5. Scenarios'!$E$11-1))+INDEX(BookOneOff,1039)*$S1044)</f>
        <v/>
      </c>
    </row>
    <row r="1045" customFormat="false" ht="15" hidden="false" customHeight="false" outlineLevel="0" collapsed="false">
      <c r="A1045" s="0" t="str">
        <f aca="false">IF(INDEX(BookTitle,1040)="","",INDEX(BookKey,1040))</f>
        <v/>
      </c>
      <c r="B1045" s="0" t="str">
        <f aca="false">IF(INDEX(BookTitle,1040)="","",INDEX(BookGroup,1040))</f>
        <v/>
      </c>
      <c r="C1045" s="0" t="str">
        <f aca="false">IF(INDEX(BookTitle,1040)="","",INDEX(BookCategory,1040))</f>
        <v/>
      </c>
      <c r="D1045" s="56" t="str">
        <f aca="false">IF(INDEX(BookTitle,1040)="","",INDEX(BookTotal,1040)*'5. Scenarios'!$B$6/(1+ProductivityDefault*('5. Scenarios'!$B$11-1)))</f>
        <v/>
      </c>
      <c r="E1045" s="57" t="str">
        <f aca="false">IF($D1045="","",INDEX(BookRate,1040)*(1+'5. Scenarios'!$B$10)*$D1045)</f>
        <v/>
      </c>
      <c r="F1045" s="57" t="str">
        <f aca="false">IF($E1045="","",SUMIFS($E$6:$E$2405,$A$6:$A$2405,"&lt;="&amp;$A1045))</f>
        <v/>
      </c>
      <c r="G1045" s="57" t="str">
        <f aca="false">IF($E1045="","",IF($F1045&lt;=BankCostEnvelope*'5. Scenarios'!$B$7,1,0))</f>
        <v/>
      </c>
      <c r="H1045" s="57" t="str">
        <f aca="false">IF($D1045="","",INDEX(BookRate,1040)*(1+'5. Scenarios'!$B$10)*(INDEX(BookQ1,1040)*(5-MIN(4,1+'5. Scenarios'!$B$8))/4+INDEX(BookQ2,1040)*(5-MIN(4,2+'5. Scenarios'!$B$8))/4+INDEX(BookQ3,1040)*(5-MIN(4,3+'5. Scenarios'!$B$8))/4+INDEX(BookQ4,1040)*(5-MIN(4,4+'5. Scenarios'!$B$8))/4)*'5. Scenarios'!$B$6/(1+ProductivityDefault*('5. Scenarios'!$B$11-1))+INDEX(BookOneOff,1040)*$D1045)</f>
        <v/>
      </c>
      <c r="I1045" s="56" t="str">
        <f aca="false">IF(INDEX(BookTitle,1040)="","",INDEX(BookTotal,1040)*'5. Scenarios'!$C$6/(1+ProductivityDefault*('5. Scenarios'!$C$11-1)))</f>
        <v/>
      </c>
      <c r="J1045" s="57" t="str">
        <f aca="false">IF($I1045="","",INDEX(BookRate,1040)*(1+'5. Scenarios'!$C$10)*$I1045)</f>
        <v/>
      </c>
      <c r="K1045" s="57" t="str">
        <f aca="false">IF($J1045="","",SUMIFS($J$6:$J$2405,$A$6:$A$2405,"&lt;="&amp;$A1045))</f>
        <v/>
      </c>
      <c r="L1045" s="57" t="str">
        <f aca="false">IF($J1045="","",IF($K1045&lt;=BankCostEnvelope*'5. Scenarios'!$C$7,1,0))</f>
        <v/>
      </c>
      <c r="M1045" s="57" t="str">
        <f aca="false">IF($I1045="","",INDEX(BookRate,1040)*(1+'5. Scenarios'!$C$10)*(INDEX(BookQ1,1040)*(5-MIN(4,1+'5. Scenarios'!$C$8))/4+INDEX(BookQ2,1040)*(5-MIN(4,2+'5. Scenarios'!$C$8))/4+INDEX(BookQ3,1040)*(5-MIN(4,3+'5. Scenarios'!$C$8))/4+INDEX(BookQ4,1040)*(5-MIN(4,4+'5. Scenarios'!$C$8))/4)*'5. Scenarios'!$C$6/(1+ProductivityDefault*('5. Scenarios'!$C$11-1))+INDEX(BookOneOff,1040)*$I1045)</f>
        <v/>
      </c>
      <c r="N1045" s="56" t="str">
        <f aca="false">IF(INDEX(BookTitle,1040)="","",INDEX(BookTotal,1040)*'5. Scenarios'!$D$6/(1+ProductivityDefault*('5. Scenarios'!$D$11-1)))</f>
        <v/>
      </c>
      <c r="O1045" s="57" t="str">
        <f aca="false">IF($N1045="","",INDEX(BookRate,1040)*(1+'5. Scenarios'!$D$10)*$N1045)</f>
        <v/>
      </c>
      <c r="P1045" s="57" t="str">
        <f aca="false">IF($O1045="","",SUMIFS($O$6:$O$2405,$A$6:$A$2405,"&lt;="&amp;$A1045))</f>
        <v/>
      </c>
      <c r="Q1045" s="57" t="str">
        <f aca="false">IF($O1045="","",IF($P1045&lt;=BankCostEnvelope*'5. Scenarios'!$D$7,1,0))</f>
        <v/>
      </c>
      <c r="R1045" s="57" t="str">
        <f aca="false">IF($N1045="","",INDEX(BookRate,1040)*(1+'5. Scenarios'!$D$10)*(INDEX(BookQ1,1040)*(5-MIN(4,1+'5. Scenarios'!$D$8))/4+INDEX(BookQ2,1040)*(5-MIN(4,2+'5. Scenarios'!$D$8))/4+INDEX(BookQ3,1040)*(5-MIN(4,3+'5. Scenarios'!$D$8))/4+INDEX(BookQ4,1040)*(5-MIN(4,4+'5. Scenarios'!$D$8))/4)*'5. Scenarios'!$D$6/(1+ProductivityDefault*('5. Scenarios'!$D$11-1))+INDEX(BookOneOff,1040)*$N1045)</f>
        <v/>
      </c>
      <c r="S1045" s="56" t="str">
        <f aca="false">IF(INDEX(BookTitle,1040)="","",INDEX(BookTotal,1040)*'5. Scenarios'!$E$6/(1+ProductivityDefault*('5. Scenarios'!$E$11-1)))</f>
        <v/>
      </c>
      <c r="T1045" s="57" t="str">
        <f aca="false">IF($S1045="","",INDEX(BookRate,1040)*(1+'5. Scenarios'!$E$10)*$S1045)</f>
        <v/>
      </c>
      <c r="U1045" s="57" t="str">
        <f aca="false">IF($T1045="","",SUMIFS($T$6:$T$2405,$A$6:$A$2405,"&lt;="&amp;$A1045))</f>
        <v/>
      </c>
      <c r="V1045" s="57" t="str">
        <f aca="false">IF($T1045="","",IF($U1045&lt;=BankCostEnvelope*'5. Scenarios'!$E$7,1,0))</f>
        <v/>
      </c>
      <c r="W1045" s="57" t="str">
        <f aca="false">IF($S1045="","",INDEX(BookRate,1040)*(1+'5. Scenarios'!$E$10)*(INDEX(BookQ1,1040)*(5-MIN(4,1+'5. Scenarios'!$E$8))/4+INDEX(BookQ2,1040)*(5-MIN(4,2+'5. Scenarios'!$E$8))/4+INDEX(BookQ3,1040)*(5-MIN(4,3+'5. Scenarios'!$E$8))/4+INDEX(BookQ4,1040)*(5-MIN(4,4+'5. Scenarios'!$E$8))/4)*'5. Scenarios'!$E$6/(1+ProductivityDefault*('5. Scenarios'!$E$11-1))+INDEX(BookOneOff,1040)*$S1045)</f>
        <v/>
      </c>
    </row>
    <row r="1046" customFormat="false" ht="15" hidden="false" customHeight="false" outlineLevel="0" collapsed="false">
      <c r="A1046" s="0" t="str">
        <f aca="false">IF(INDEX(BookTitle,1041)="","",INDEX(BookKey,1041))</f>
        <v/>
      </c>
      <c r="B1046" s="0" t="str">
        <f aca="false">IF(INDEX(BookTitle,1041)="","",INDEX(BookGroup,1041))</f>
        <v/>
      </c>
      <c r="C1046" s="0" t="str">
        <f aca="false">IF(INDEX(BookTitle,1041)="","",INDEX(BookCategory,1041))</f>
        <v/>
      </c>
      <c r="D1046" s="56" t="str">
        <f aca="false">IF(INDEX(BookTitle,1041)="","",INDEX(BookTotal,1041)*'5. Scenarios'!$B$6/(1+ProductivityDefault*('5. Scenarios'!$B$11-1)))</f>
        <v/>
      </c>
      <c r="E1046" s="57" t="str">
        <f aca="false">IF($D1046="","",INDEX(BookRate,1041)*(1+'5. Scenarios'!$B$10)*$D1046)</f>
        <v/>
      </c>
      <c r="F1046" s="57" t="str">
        <f aca="false">IF($E1046="","",SUMIFS($E$6:$E$2405,$A$6:$A$2405,"&lt;="&amp;$A1046))</f>
        <v/>
      </c>
      <c r="G1046" s="57" t="str">
        <f aca="false">IF($E1046="","",IF($F1046&lt;=BankCostEnvelope*'5. Scenarios'!$B$7,1,0))</f>
        <v/>
      </c>
      <c r="H1046" s="57" t="str">
        <f aca="false">IF($D1046="","",INDEX(BookRate,1041)*(1+'5. Scenarios'!$B$10)*(INDEX(BookQ1,1041)*(5-MIN(4,1+'5. Scenarios'!$B$8))/4+INDEX(BookQ2,1041)*(5-MIN(4,2+'5. Scenarios'!$B$8))/4+INDEX(BookQ3,1041)*(5-MIN(4,3+'5. Scenarios'!$B$8))/4+INDEX(BookQ4,1041)*(5-MIN(4,4+'5. Scenarios'!$B$8))/4)*'5. Scenarios'!$B$6/(1+ProductivityDefault*('5. Scenarios'!$B$11-1))+INDEX(BookOneOff,1041)*$D1046)</f>
        <v/>
      </c>
      <c r="I1046" s="56" t="str">
        <f aca="false">IF(INDEX(BookTitle,1041)="","",INDEX(BookTotal,1041)*'5. Scenarios'!$C$6/(1+ProductivityDefault*('5. Scenarios'!$C$11-1)))</f>
        <v/>
      </c>
      <c r="J1046" s="57" t="str">
        <f aca="false">IF($I1046="","",INDEX(BookRate,1041)*(1+'5. Scenarios'!$C$10)*$I1046)</f>
        <v/>
      </c>
      <c r="K1046" s="57" t="str">
        <f aca="false">IF($J1046="","",SUMIFS($J$6:$J$2405,$A$6:$A$2405,"&lt;="&amp;$A1046))</f>
        <v/>
      </c>
      <c r="L1046" s="57" t="str">
        <f aca="false">IF($J1046="","",IF($K1046&lt;=BankCostEnvelope*'5. Scenarios'!$C$7,1,0))</f>
        <v/>
      </c>
      <c r="M1046" s="57" t="str">
        <f aca="false">IF($I1046="","",INDEX(BookRate,1041)*(1+'5. Scenarios'!$C$10)*(INDEX(BookQ1,1041)*(5-MIN(4,1+'5. Scenarios'!$C$8))/4+INDEX(BookQ2,1041)*(5-MIN(4,2+'5. Scenarios'!$C$8))/4+INDEX(BookQ3,1041)*(5-MIN(4,3+'5. Scenarios'!$C$8))/4+INDEX(BookQ4,1041)*(5-MIN(4,4+'5. Scenarios'!$C$8))/4)*'5. Scenarios'!$C$6/(1+ProductivityDefault*('5. Scenarios'!$C$11-1))+INDEX(BookOneOff,1041)*$I1046)</f>
        <v/>
      </c>
      <c r="N1046" s="56" t="str">
        <f aca="false">IF(INDEX(BookTitle,1041)="","",INDEX(BookTotal,1041)*'5. Scenarios'!$D$6/(1+ProductivityDefault*('5. Scenarios'!$D$11-1)))</f>
        <v/>
      </c>
      <c r="O1046" s="57" t="str">
        <f aca="false">IF($N1046="","",INDEX(BookRate,1041)*(1+'5. Scenarios'!$D$10)*$N1046)</f>
        <v/>
      </c>
      <c r="P1046" s="57" t="str">
        <f aca="false">IF($O1046="","",SUMIFS($O$6:$O$2405,$A$6:$A$2405,"&lt;="&amp;$A1046))</f>
        <v/>
      </c>
      <c r="Q1046" s="57" t="str">
        <f aca="false">IF($O1046="","",IF($P1046&lt;=BankCostEnvelope*'5. Scenarios'!$D$7,1,0))</f>
        <v/>
      </c>
      <c r="R1046" s="57" t="str">
        <f aca="false">IF($N1046="","",INDEX(BookRate,1041)*(1+'5. Scenarios'!$D$10)*(INDEX(BookQ1,1041)*(5-MIN(4,1+'5. Scenarios'!$D$8))/4+INDEX(BookQ2,1041)*(5-MIN(4,2+'5. Scenarios'!$D$8))/4+INDEX(BookQ3,1041)*(5-MIN(4,3+'5. Scenarios'!$D$8))/4+INDEX(BookQ4,1041)*(5-MIN(4,4+'5. Scenarios'!$D$8))/4)*'5. Scenarios'!$D$6/(1+ProductivityDefault*('5. Scenarios'!$D$11-1))+INDEX(BookOneOff,1041)*$N1046)</f>
        <v/>
      </c>
      <c r="S1046" s="56" t="str">
        <f aca="false">IF(INDEX(BookTitle,1041)="","",INDEX(BookTotal,1041)*'5. Scenarios'!$E$6/(1+ProductivityDefault*('5. Scenarios'!$E$11-1)))</f>
        <v/>
      </c>
      <c r="T1046" s="57" t="str">
        <f aca="false">IF($S1046="","",INDEX(BookRate,1041)*(1+'5. Scenarios'!$E$10)*$S1046)</f>
        <v/>
      </c>
      <c r="U1046" s="57" t="str">
        <f aca="false">IF($T1046="","",SUMIFS($T$6:$T$2405,$A$6:$A$2405,"&lt;="&amp;$A1046))</f>
        <v/>
      </c>
      <c r="V1046" s="57" t="str">
        <f aca="false">IF($T1046="","",IF($U1046&lt;=BankCostEnvelope*'5. Scenarios'!$E$7,1,0))</f>
        <v/>
      </c>
      <c r="W1046" s="57" t="str">
        <f aca="false">IF($S1046="","",INDEX(BookRate,1041)*(1+'5. Scenarios'!$E$10)*(INDEX(BookQ1,1041)*(5-MIN(4,1+'5. Scenarios'!$E$8))/4+INDEX(BookQ2,1041)*(5-MIN(4,2+'5. Scenarios'!$E$8))/4+INDEX(BookQ3,1041)*(5-MIN(4,3+'5. Scenarios'!$E$8))/4+INDEX(BookQ4,1041)*(5-MIN(4,4+'5. Scenarios'!$E$8))/4)*'5. Scenarios'!$E$6/(1+ProductivityDefault*('5. Scenarios'!$E$11-1))+INDEX(BookOneOff,1041)*$S1046)</f>
        <v/>
      </c>
    </row>
    <row r="1047" customFormat="false" ht="15" hidden="false" customHeight="false" outlineLevel="0" collapsed="false">
      <c r="A1047" s="0" t="str">
        <f aca="false">IF(INDEX(BookTitle,1042)="","",INDEX(BookKey,1042))</f>
        <v/>
      </c>
      <c r="B1047" s="0" t="str">
        <f aca="false">IF(INDEX(BookTitle,1042)="","",INDEX(BookGroup,1042))</f>
        <v/>
      </c>
      <c r="C1047" s="0" t="str">
        <f aca="false">IF(INDEX(BookTitle,1042)="","",INDEX(BookCategory,1042))</f>
        <v/>
      </c>
      <c r="D1047" s="56" t="str">
        <f aca="false">IF(INDEX(BookTitle,1042)="","",INDEX(BookTotal,1042)*'5. Scenarios'!$B$6/(1+ProductivityDefault*('5. Scenarios'!$B$11-1)))</f>
        <v/>
      </c>
      <c r="E1047" s="57" t="str">
        <f aca="false">IF($D1047="","",INDEX(BookRate,1042)*(1+'5. Scenarios'!$B$10)*$D1047)</f>
        <v/>
      </c>
      <c r="F1047" s="57" t="str">
        <f aca="false">IF($E1047="","",SUMIFS($E$6:$E$2405,$A$6:$A$2405,"&lt;="&amp;$A1047))</f>
        <v/>
      </c>
      <c r="G1047" s="57" t="str">
        <f aca="false">IF($E1047="","",IF($F1047&lt;=BankCostEnvelope*'5. Scenarios'!$B$7,1,0))</f>
        <v/>
      </c>
      <c r="H1047" s="57" t="str">
        <f aca="false">IF($D1047="","",INDEX(BookRate,1042)*(1+'5. Scenarios'!$B$10)*(INDEX(BookQ1,1042)*(5-MIN(4,1+'5. Scenarios'!$B$8))/4+INDEX(BookQ2,1042)*(5-MIN(4,2+'5. Scenarios'!$B$8))/4+INDEX(BookQ3,1042)*(5-MIN(4,3+'5. Scenarios'!$B$8))/4+INDEX(BookQ4,1042)*(5-MIN(4,4+'5. Scenarios'!$B$8))/4)*'5. Scenarios'!$B$6/(1+ProductivityDefault*('5. Scenarios'!$B$11-1))+INDEX(BookOneOff,1042)*$D1047)</f>
        <v/>
      </c>
      <c r="I1047" s="56" t="str">
        <f aca="false">IF(INDEX(BookTitle,1042)="","",INDEX(BookTotal,1042)*'5. Scenarios'!$C$6/(1+ProductivityDefault*('5. Scenarios'!$C$11-1)))</f>
        <v/>
      </c>
      <c r="J1047" s="57" t="str">
        <f aca="false">IF($I1047="","",INDEX(BookRate,1042)*(1+'5. Scenarios'!$C$10)*$I1047)</f>
        <v/>
      </c>
      <c r="K1047" s="57" t="str">
        <f aca="false">IF($J1047="","",SUMIFS($J$6:$J$2405,$A$6:$A$2405,"&lt;="&amp;$A1047))</f>
        <v/>
      </c>
      <c r="L1047" s="57" t="str">
        <f aca="false">IF($J1047="","",IF($K1047&lt;=BankCostEnvelope*'5. Scenarios'!$C$7,1,0))</f>
        <v/>
      </c>
      <c r="M1047" s="57" t="str">
        <f aca="false">IF($I1047="","",INDEX(BookRate,1042)*(1+'5. Scenarios'!$C$10)*(INDEX(BookQ1,1042)*(5-MIN(4,1+'5. Scenarios'!$C$8))/4+INDEX(BookQ2,1042)*(5-MIN(4,2+'5. Scenarios'!$C$8))/4+INDEX(BookQ3,1042)*(5-MIN(4,3+'5. Scenarios'!$C$8))/4+INDEX(BookQ4,1042)*(5-MIN(4,4+'5. Scenarios'!$C$8))/4)*'5. Scenarios'!$C$6/(1+ProductivityDefault*('5. Scenarios'!$C$11-1))+INDEX(BookOneOff,1042)*$I1047)</f>
        <v/>
      </c>
      <c r="N1047" s="56" t="str">
        <f aca="false">IF(INDEX(BookTitle,1042)="","",INDEX(BookTotal,1042)*'5. Scenarios'!$D$6/(1+ProductivityDefault*('5. Scenarios'!$D$11-1)))</f>
        <v/>
      </c>
      <c r="O1047" s="57" t="str">
        <f aca="false">IF($N1047="","",INDEX(BookRate,1042)*(1+'5. Scenarios'!$D$10)*$N1047)</f>
        <v/>
      </c>
      <c r="P1047" s="57" t="str">
        <f aca="false">IF($O1047="","",SUMIFS($O$6:$O$2405,$A$6:$A$2405,"&lt;="&amp;$A1047))</f>
        <v/>
      </c>
      <c r="Q1047" s="57" t="str">
        <f aca="false">IF($O1047="","",IF($P1047&lt;=BankCostEnvelope*'5. Scenarios'!$D$7,1,0))</f>
        <v/>
      </c>
      <c r="R1047" s="57" t="str">
        <f aca="false">IF($N1047="","",INDEX(BookRate,1042)*(1+'5. Scenarios'!$D$10)*(INDEX(BookQ1,1042)*(5-MIN(4,1+'5. Scenarios'!$D$8))/4+INDEX(BookQ2,1042)*(5-MIN(4,2+'5. Scenarios'!$D$8))/4+INDEX(BookQ3,1042)*(5-MIN(4,3+'5. Scenarios'!$D$8))/4+INDEX(BookQ4,1042)*(5-MIN(4,4+'5. Scenarios'!$D$8))/4)*'5. Scenarios'!$D$6/(1+ProductivityDefault*('5. Scenarios'!$D$11-1))+INDEX(BookOneOff,1042)*$N1047)</f>
        <v/>
      </c>
      <c r="S1047" s="56" t="str">
        <f aca="false">IF(INDEX(BookTitle,1042)="","",INDEX(BookTotal,1042)*'5. Scenarios'!$E$6/(1+ProductivityDefault*('5. Scenarios'!$E$11-1)))</f>
        <v/>
      </c>
      <c r="T1047" s="57" t="str">
        <f aca="false">IF($S1047="","",INDEX(BookRate,1042)*(1+'5. Scenarios'!$E$10)*$S1047)</f>
        <v/>
      </c>
      <c r="U1047" s="57" t="str">
        <f aca="false">IF($T1047="","",SUMIFS($T$6:$T$2405,$A$6:$A$2405,"&lt;="&amp;$A1047))</f>
        <v/>
      </c>
      <c r="V1047" s="57" t="str">
        <f aca="false">IF($T1047="","",IF($U1047&lt;=BankCostEnvelope*'5. Scenarios'!$E$7,1,0))</f>
        <v/>
      </c>
      <c r="W1047" s="57" t="str">
        <f aca="false">IF($S1047="","",INDEX(BookRate,1042)*(1+'5. Scenarios'!$E$10)*(INDEX(BookQ1,1042)*(5-MIN(4,1+'5. Scenarios'!$E$8))/4+INDEX(BookQ2,1042)*(5-MIN(4,2+'5. Scenarios'!$E$8))/4+INDEX(BookQ3,1042)*(5-MIN(4,3+'5. Scenarios'!$E$8))/4+INDEX(BookQ4,1042)*(5-MIN(4,4+'5. Scenarios'!$E$8))/4)*'5. Scenarios'!$E$6/(1+ProductivityDefault*('5. Scenarios'!$E$11-1))+INDEX(BookOneOff,1042)*$S1047)</f>
        <v/>
      </c>
    </row>
    <row r="1048" customFormat="false" ht="15" hidden="false" customHeight="false" outlineLevel="0" collapsed="false">
      <c r="A1048" s="0" t="str">
        <f aca="false">IF(INDEX(BookTitle,1043)="","",INDEX(BookKey,1043))</f>
        <v/>
      </c>
      <c r="B1048" s="0" t="str">
        <f aca="false">IF(INDEX(BookTitle,1043)="","",INDEX(BookGroup,1043))</f>
        <v/>
      </c>
      <c r="C1048" s="0" t="str">
        <f aca="false">IF(INDEX(BookTitle,1043)="","",INDEX(BookCategory,1043))</f>
        <v/>
      </c>
      <c r="D1048" s="56" t="str">
        <f aca="false">IF(INDEX(BookTitle,1043)="","",INDEX(BookTotal,1043)*'5. Scenarios'!$B$6/(1+ProductivityDefault*('5. Scenarios'!$B$11-1)))</f>
        <v/>
      </c>
      <c r="E1048" s="57" t="str">
        <f aca="false">IF($D1048="","",INDEX(BookRate,1043)*(1+'5. Scenarios'!$B$10)*$D1048)</f>
        <v/>
      </c>
      <c r="F1048" s="57" t="str">
        <f aca="false">IF($E1048="","",SUMIFS($E$6:$E$2405,$A$6:$A$2405,"&lt;="&amp;$A1048))</f>
        <v/>
      </c>
      <c r="G1048" s="57" t="str">
        <f aca="false">IF($E1048="","",IF($F1048&lt;=BankCostEnvelope*'5. Scenarios'!$B$7,1,0))</f>
        <v/>
      </c>
      <c r="H1048" s="57" t="str">
        <f aca="false">IF($D1048="","",INDEX(BookRate,1043)*(1+'5. Scenarios'!$B$10)*(INDEX(BookQ1,1043)*(5-MIN(4,1+'5. Scenarios'!$B$8))/4+INDEX(BookQ2,1043)*(5-MIN(4,2+'5. Scenarios'!$B$8))/4+INDEX(BookQ3,1043)*(5-MIN(4,3+'5. Scenarios'!$B$8))/4+INDEX(BookQ4,1043)*(5-MIN(4,4+'5. Scenarios'!$B$8))/4)*'5. Scenarios'!$B$6/(1+ProductivityDefault*('5. Scenarios'!$B$11-1))+INDEX(BookOneOff,1043)*$D1048)</f>
        <v/>
      </c>
      <c r="I1048" s="56" t="str">
        <f aca="false">IF(INDEX(BookTitle,1043)="","",INDEX(BookTotal,1043)*'5. Scenarios'!$C$6/(1+ProductivityDefault*('5. Scenarios'!$C$11-1)))</f>
        <v/>
      </c>
      <c r="J1048" s="57" t="str">
        <f aca="false">IF($I1048="","",INDEX(BookRate,1043)*(1+'5. Scenarios'!$C$10)*$I1048)</f>
        <v/>
      </c>
      <c r="K1048" s="57" t="str">
        <f aca="false">IF($J1048="","",SUMIFS($J$6:$J$2405,$A$6:$A$2405,"&lt;="&amp;$A1048))</f>
        <v/>
      </c>
      <c r="L1048" s="57" t="str">
        <f aca="false">IF($J1048="","",IF($K1048&lt;=BankCostEnvelope*'5. Scenarios'!$C$7,1,0))</f>
        <v/>
      </c>
      <c r="M1048" s="57" t="str">
        <f aca="false">IF($I1048="","",INDEX(BookRate,1043)*(1+'5. Scenarios'!$C$10)*(INDEX(BookQ1,1043)*(5-MIN(4,1+'5. Scenarios'!$C$8))/4+INDEX(BookQ2,1043)*(5-MIN(4,2+'5. Scenarios'!$C$8))/4+INDEX(BookQ3,1043)*(5-MIN(4,3+'5. Scenarios'!$C$8))/4+INDEX(BookQ4,1043)*(5-MIN(4,4+'5. Scenarios'!$C$8))/4)*'5. Scenarios'!$C$6/(1+ProductivityDefault*('5. Scenarios'!$C$11-1))+INDEX(BookOneOff,1043)*$I1048)</f>
        <v/>
      </c>
      <c r="N1048" s="56" t="str">
        <f aca="false">IF(INDEX(BookTitle,1043)="","",INDEX(BookTotal,1043)*'5. Scenarios'!$D$6/(1+ProductivityDefault*('5. Scenarios'!$D$11-1)))</f>
        <v/>
      </c>
      <c r="O1048" s="57" t="str">
        <f aca="false">IF($N1048="","",INDEX(BookRate,1043)*(1+'5. Scenarios'!$D$10)*$N1048)</f>
        <v/>
      </c>
      <c r="P1048" s="57" t="str">
        <f aca="false">IF($O1048="","",SUMIFS($O$6:$O$2405,$A$6:$A$2405,"&lt;="&amp;$A1048))</f>
        <v/>
      </c>
      <c r="Q1048" s="57" t="str">
        <f aca="false">IF($O1048="","",IF($P1048&lt;=BankCostEnvelope*'5. Scenarios'!$D$7,1,0))</f>
        <v/>
      </c>
      <c r="R1048" s="57" t="str">
        <f aca="false">IF($N1048="","",INDEX(BookRate,1043)*(1+'5. Scenarios'!$D$10)*(INDEX(BookQ1,1043)*(5-MIN(4,1+'5. Scenarios'!$D$8))/4+INDEX(BookQ2,1043)*(5-MIN(4,2+'5. Scenarios'!$D$8))/4+INDEX(BookQ3,1043)*(5-MIN(4,3+'5. Scenarios'!$D$8))/4+INDEX(BookQ4,1043)*(5-MIN(4,4+'5. Scenarios'!$D$8))/4)*'5. Scenarios'!$D$6/(1+ProductivityDefault*('5. Scenarios'!$D$11-1))+INDEX(BookOneOff,1043)*$N1048)</f>
        <v/>
      </c>
      <c r="S1048" s="56" t="str">
        <f aca="false">IF(INDEX(BookTitle,1043)="","",INDEX(BookTotal,1043)*'5. Scenarios'!$E$6/(1+ProductivityDefault*('5. Scenarios'!$E$11-1)))</f>
        <v/>
      </c>
      <c r="T1048" s="57" t="str">
        <f aca="false">IF($S1048="","",INDEX(BookRate,1043)*(1+'5. Scenarios'!$E$10)*$S1048)</f>
        <v/>
      </c>
      <c r="U1048" s="57" t="str">
        <f aca="false">IF($T1048="","",SUMIFS($T$6:$T$2405,$A$6:$A$2405,"&lt;="&amp;$A1048))</f>
        <v/>
      </c>
      <c r="V1048" s="57" t="str">
        <f aca="false">IF($T1048="","",IF($U1048&lt;=BankCostEnvelope*'5. Scenarios'!$E$7,1,0))</f>
        <v/>
      </c>
      <c r="W1048" s="57" t="str">
        <f aca="false">IF($S1048="","",INDEX(BookRate,1043)*(1+'5. Scenarios'!$E$10)*(INDEX(BookQ1,1043)*(5-MIN(4,1+'5. Scenarios'!$E$8))/4+INDEX(BookQ2,1043)*(5-MIN(4,2+'5. Scenarios'!$E$8))/4+INDEX(BookQ3,1043)*(5-MIN(4,3+'5. Scenarios'!$E$8))/4+INDEX(BookQ4,1043)*(5-MIN(4,4+'5. Scenarios'!$E$8))/4)*'5. Scenarios'!$E$6/(1+ProductivityDefault*('5. Scenarios'!$E$11-1))+INDEX(BookOneOff,1043)*$S1048)</f>
        <v/>
      </c>
    </row>
    <row r="1049" customFormat="false" ht="15" hidden="false" customHeight="false" outlineLevel="0" collapsed="false">
      <c r="A1049" s="0" t="str">
        <f aca="false">IF(INDEX(BookTitle,1044)="","",INDEX(BookKey,1044))</f>
        <v/>
      </c>
      <c r="B1049" s="0" t="str">
        <f aca="false">IF(INDEX(BookTitle,1044)="","",INDEX(BookGroup,1044))</f>
        <v/>
      </c>
      <c r="C1049" s="0" t="str">
        <f aca="false">IF(INDEX(BookTitle,1044)="","",INDEX(BookCategory,1044))</f>
        <v/>
      </c>
      <c r="D1049" s="56" t="str">
        <f aca="false">IF(INDEX(BookTitle,1044)="","",INDEX(BookTotal,1044)*'5. Scenarios'!$B$6/(1+ProductivityDefault*('5. Scenarios'!$B$11-1)))</f>
        <v/>
      </c>
      <c r="E1049" s="57" t="str">
        <f aca="false">IF($D1049="","",INDEX(BookRate,1044)*(1+'5. Scenarios'!$B$10)*$D1049)</f>
        <v/>
      </c>
      <c r="F1049" s="57" t="str">
        <f aca="false">IF($E1049="","",SUMIFS($E$6:$E$2405,$A$6:$A$2405,"&lt;="&amp;$A1049))</f>
        <v/>
      </c>
      <c r="G1049" s="57" t="str">
        <f aca="false">IF($E1049="","",IF($F1049&lt;=BankCostEnvelope*'5. Scenarios'!$B$7,1,0))</f>
        <v/>
      </c>
      <c r="H1049" s="57" t="str">
        <f aca="false">IF($D1049="","",INDEX(BookRate,1044)*(1+'5. Scenarios'!$B$10)*(INDEX(BookQ1,1044)*(5-MIN(4,1+'5. Scenarios'!$B$8))/4+INDEX(BookQ2,1044)*(5-MIN(4,2+'5. Scenarios'!$B$8))/4+INDEX(BookQ3,1044)*(5-MIN(4,3+'5. Scenarios'!$B$8))/4+INDEX(BookQ4,1044)*(5-MIN(4,4+'5. Scenarios'!$B$8))/4)*'5. Scenarios'!$B$6/(1+ProductivityDefault*('5. Scenarios'!$B$11-1))+INDEX(BookOneOff,1044)*$D1049)</f>
        <v/>
      </c>
      <c r="I1049" s="56" t="str">
        <f aca="false">IF(INDEX(BookTitle,1044)="","",INDEX(BookTotal,1044)*'5. Scenarios'!$C$6/(1+ProductivityDefault*('5. Scenarios'!$C$11-1)))</f>
        <v/>
      </c>
      <c r="J1049" s="57" t="str">
        <f aca="false">IF($I1049="","",INDEX(BookRate,1044)*(1+'5. Scenarios'!$C$10)*$I1049)</f>
        <v/>
      </c>
      <c r="K1049" s="57" t="str">
        <f aca="false">IF($J1049="","",SUMIFS($J$6:$J$2405,$A$6:$A$2405,"&lt;="&amp;$A1049))</f>
        <v/>
      </c>
      <c r="L1049" s="57" t="str">
        <f aca="false">IF($J1049="","",IF($K1049&lt;=BankCostEnvelope*'5. Scenarios'!$C$7,1,0))</f>
        <v/>
      </c>
      <c r="M1049" s="57" t="str">
        <f aca="false">IF($I1049="","",INDEX(BookRate,1044)*(1+'5. Scenarios'!$C$10)*(INDEX(BookQ1,1044)*(5-MIN(4,1+'5. Scenarios'!$C$8))/4+INDEX(BookQ2,1044)*(5-MIN(4,2+'5. Scenarios'!$C$8))/4+INDEX(BookQ3,1044)*(5-MIN(4,3+'5. Scenarios'!$C$8))/4+INDEX(BookQ4,1044)*(5-MIN(4,4+'5. Scenarios'!$C$8))/4)*'5. Scenarios'!$C$6/(1+ProductivityDefault*('5. Scenarios'!$C$11-1))+INDEX(BookOneOff,1044)*$I1049)</f>
        <v/>
      </c>
      <c r="N1049" s="56" t="str">
        <f aca="false">IF(INDEX(BookTitle,1044)="","",INDEX(BookTotal,1044)*'5. Scenarios'!$D$6/(1+ProductivityDefault*('5. Scenarios'!$D$11-1)))</f>
        <v/>
      </c>
      <c r="O1049" s="57" t="str">
        <f aca="false">IF($N1049="","",INDEX(BookRate,1044)*(1+'5. Scenarios'!$D$10)*$N1049)</f>
        <v/>
      </c>
      <c r="P1049" s="57" t="str">
        <f aca="false">IF($O1049="","",SUMIFS($O$6:$O$2405,$A$6:$A$2405,"&lt;="&amp;$A1049))</f>
        <v/>
      </c>
      <c r="Q1049" s="57" t="str">
        <f aca="false">IF($O1049="","",IF($P1049&lt;=BankCostEnvelope*'5. Scenarios'!$D$7,1,0))</f>
        <v/>
      </c>
      <c r="R1049" s="57" t="str">
        <f aca="false">IF($N1049="","",INDEX(BookRate,1044)*(1+'5. Scenarios'!$D$10)*(INDEX(BookQ1,1044)*(5-MIN(4,1+'5. Scenarios'!$D$8))/4+INDEX(BookQ2,1044)*(5-MIN(4,2+'5. Scenarios'!$D$8))/4+INDEX(BookQ3,1044)*(5-MIN(4,3+'5. Scenarios'!$D$8))/4+INDEX(BookQ4,1044)*(5-MIN(4,4+'5. Scenarios'!$D$8))/4)*'5. Scenarios'!$D$6/(1+ProductivityDefault*('5. Scenarios'!$D$11-1))+INDEX(BookOneOff,1044)*$N1049)</f>
        <v/>
      </c>
      <c r="S1049" s="56" t="str">
        <f aca="false">IF(INDEX(BookTitle,1044)="","",INDEX(BookTotal,1044)*'5. Scenarios'!$E$6/(1+ProductivityDefault*('5. Scenarios'!$E$11-1)))</f>
        <v/>
      </c>
      <c r="T1049" s="57" t="str">
        <f aca="false">IF($S1049="","",INDEX(BookRate,1044)*(1+'5. Scenarios'!$E$10)*$S1049)</f>
        <v/>
      </c>
      <c r="U1049" s="57" t="str">
        <f aca="false">IF($T1049="","",SUMIFS($T$6:$T$2405,$A$6:$A$2405,"&lt;="&amp;$A1049))</f>
        <v/>
      </c>
      <c r="V1049" s="57" t="str">
        <f aca="false">IF($T1049="","",IF($U1049&lt;=BankCostEnvelope*'5. Scenarios'!$E$7,1,0))</f>
        <v/>
      </c>
      <c r="W1049" s="57" t="str">
        <f aca="false">IF($S1049="","",INDEX(BookRate,1044)*(1+'5. Scenarios'!$E$10)*(INDEX(BookQ1,1044)*(5-MIN(4,1+'5. Scenarios'!$E$8))/4+INDEX(BookQ2,1044)*(5-MIN(4,2+'5. Scenarios'!$E$8))/4+INDEX(BookQ3,1044)*(5-MIN(4,3+'5. Scenarios'!$E$8))/4+INDEX(BookQ4,1044)*(5-MIN(4,4+'5. Scenarios'!$E$8))/4)*'5. Scenarios'!$E$6/(1+ProductivityDefault*('5. Scenarios'!$E$11-1))+INDEX(BookOneOff,1044)*$S1049)</f>
        <v/>
      </c>
    </row>
    <row r="1050" customFormat="false" ht="15" hidden="false" customHeight="false" outlineLevel="0" collapsed="false">
      <c r="A1050" s="0" t="str">
        <f aca="false">IF(INDEX(BookTitle,1045)="","",INDEX(BookKey,1045))</f>
        <v/>
      </c>
      <c r="B1050" s="0" t="str">
        <f aca="false">IF(INDEX(BookTitle,1045)="","",INDEX(BookGroup,1045))</f>
        <v/>
      </c>
      <c r="C1050" s="0" t="str">
        <f aca="false">IF(INDEX(BookTitle,1045)="","",INDEX(BookCategory,1045))</f>
        <v/>
      </c>
      <c r="D1050" s="56" t="str">
        <f aca="false">IF(INDEX(BookTitle,1045)="","",INDEX(BookTotal,1045)*'5. Scenarios'!$B$6/(1+ProductivityDefault*('5. Scenarios'!$B$11-1)))</f>
        <v/>
      </c>
      <c r="E1050" s="57" t="str">
        <f aca="false">IF($D1050="","",INDEX(BookRate,1045)*(1+'5. Scenarios'!$B$10)*$D1050)</f>
        <v/>
      </c>
      <c r="F1050" s="57" t="str">
        <f aca="false">IF($E1050="","",SUMIFS($E$6:$E$2405,$A$6:$A$2405,"&lt;="&amp;$A1050))</f>
        <v/>
      </c>
      <c r="G1050" s="57" t="str">
        <f aca="false">IF($E1050="","",IF($F1050&lt;=BankCostEnvelope*'5. Scenarios'!$B$7,1,0))</f>
        <v/>
      </c>
      <c r="H1050" s="57" t="str">
        <f aca="false">IF($D1050="","",INDEX(BookRate,1045)*(1+'5. Scenarios'!$B$10)*(INDEX(BookQ1,1045)*(5-MIN(4,1+'5. Scenarios'!$B$8))/4+INDEX(BookQ2,1045)*(5-MIN(4,2+'5. Scenarios'!$B$8))/4+INDEX(BookQ3,1045)*(5-MIN(4,3+'5. Scenarios'!$B$8))/4+INDEX(BookQ4,1045)*(5-MIN(4,4+'5. Scenarios'!$B$8))/4)*'5. Scenarios'!$B$6/(1+ProductivityDefault*('5. Scenarios'!$B$11-1))+INDEX(BookOneOff,1045)*$D1050)</f>
        <v/>
      </c>
      <c r="I1050" s="56" t="str">
        <f aca="false">IF(INDEX(BookTitle,1045)="","",INDEX(BookTotal,1045)*'5. Scenarios'!$C$6/(1+ProductivityDefault*('5. Scenarios'!$C$11-1)))</f>
        <v/>
      </c>
      <c r="J1050" s="57" t="str">
        <f aca="false">IF($I1050="","",INDEX(BookRate,1045)*(1+'5. Scenarios'!$C$10)*$I1050)</f>
        <v/>
      </c>
      <c r="K1050" s="57" t="str">
        <f aca="false">IF($J1050="","",SUMIFS($J$6:$J$2405,$A$6:$A$2405,"&lt;="&amp;$A1050))</f>
        <v/>
      </c>
      <c r="L1050" s="57" t="str">
        <f aca="false">IF($J1050="","",IF($K1050&lt;=BankCostEnvelope*'5. Scenarios'!$C$7,1,0))</f>
        <v/>
      </c>
      <c r="M1050" s="57" t="str">
        <f aca="false">IF($I1050="","",INDEX(BookRate,1045)*(1+'5. Scenarios'!$C$10)*(INDEX(BookQ1,1045)*(5-MIN(4,1+'5. Scenarios'!$C$8))/4+INDEX(BookQ2,1045)*(5-MIN(4,2+'5. Scenarios'!$C$8))/4+INDEX(BookQ3,1045)*(5-MIN(4,3+'5. Scenarios'!$C$8))/4+INDEX(BookQ4,1045)*(5-MIN(4,4+'5. Scenarios'!$C$8))/4)*'5. Scenarios'!$C$6/(1+ProductivityDefault*('5. Scenarios'!$C$11-1))+INDEX(BookOneOff,1045)*$I1050)</f>
        <v/>
      </c>
      <c r="N1050" s="56" t="str">
        <f aca="false">IF(INDEX(BookTitle,1045)="","",INDEX(BookTotal,1045)*'5. Scenarios'!$D$6/(1+ProductivityDefault*('5. Scenarios'!$D$11-1)))</f>
        <v/>
      </c>
      <c r="O1050" s="57" t="str">
        <f aca="false">IF($N1050="","",INDEX(BookRate,1045)*(1+'5. Scenarios'!$D$10)*$N1050)</f>
        <v/>
      </c>
      <c r="P1050" s="57" t="str">
        <f aca="false">IF($O1050="","",SUMIFS($O$6:$O$2405,$A$6:$A$2405,"&lt;="&amp;$A1050))</f>
        <v/>
      </c>
      <c r="Q1050" s="57" t="str">
        <f aca="false">IF($O1050="","",IF($P1050&lt;=BankCostEnvelope*'5. Scenarios'!$D$7,1,0))</f>
        <v/>
      </c>
      <c r="R1050" s="57" t="str">
        <f aca="false">IF($N1050="","",INDEX(BookRate,1045)*(1+'5. Scenarios'!$D$10)*(INDEX(BookQ1,1045)*(5-MIN(4,1+'5. Scenarios'!$D$8))/4+INDEX(BookQ2,1045)*(5-MIN(4,2+'5. Scenarios'!$D$8))/4+INDEX(BookQ3,1045)*(5-MIN(4,3+'5. Scenarios'!$D$8))/4+INDEX(BookQ4,1045)*(5-MIN(4,4+'5. Scenarios'!$D$8))/4)*'5. Scenarios'!$D$6/(1+ProductivityDefault*('5. Scenarios'!$D$11-1))+INDEX(BookOneOff,1045)*$N1050)</f>
        <v/>
      </c>
      <c r="S1050" s="56" t="str">
        <f aca="false">IF(INDEX(BookTitle,1045)="","",INDEX(BookTotal,1045)*'5. Scenarios'!$E$6/(1+ProductivityDefault*('5. Scenarios'!$E$11-1)))</f>
        <v/>
      </c>
      <c r="T1050" s="57" t="str">
        <f aca="false">IF($S1050="","",INDEX(BookRate,1045)*(1+'5. Scenarios'!$E$10)*$S1050)</f>
        <v/>
      </c>
      <c r="U1050" s="57" t="str">
        <f aca="false">IF($T1050="","",SUMIFS($T$6:$T$2405,$A$6:$A$2405,"&lt;="&amp;$A1050))</f>
        <v/>
      </c>
      <c r="V1050" s="57" t="str">
        <f aca="false">IF($T1050="","",IF($U1050&lt;=BankCostEnvelope*'5. Scenarios'!$E$7,1,0))</f>
        <v/>
      </c>
      <c r="W1050" s="57" t="str">
        <f aca="false">IF($S1050="","",INDEX(BookRate,1045)*(1+'5. Scenarios'!$E$10)*(INDEX(BookQ1,1045)*(5-MIN(4,1+'5. Scenarios'!$E$8))/4+INDEX(BookQ2,1045)*(5-MIN(4,2+'5. Scenarios'!$E$8))/4+INDEX(BookQ3,1045)*(5-MIN(4,3+'5. Scenarios'!$E$8))/4+INDEX(BookQ4,1045)*(5-MIN(4,4+'5. Scenarios'!$E$8))/4)*'5. Scenarios'!$E$6/(1+ProductivityDefault*('5. Scenarios'!$E$11-1))+INDEX(BookOneOff,1045)*$S1050)</f>
        <v/>
      </c>
    </row>
    <row r="1051" customFormat="false" ht="15" hidden="false" customHeight="false" outlineLevel="0" collapsed="false">
      <c r="A1051" s="0" t="str">
        <f aca="false">IF(INDEX(BookTitle,1046)="","",INDEX(BookKey,1046))</f>
        <v/>
      </c>
      <c r="B1051" s="0" t="str">
        <f aca="false">IF(INDEX(BookTitle,1046)="","",INDEX(BookGroup,1046))</f>
        <v/>
      </c>
      <c r="C1051" s="0" t="str">
        <f aca="false">IF(INDEX(BookTitle,1046)="","",INDEX(BookCategory,1046))</f>
        <v/>
      </c>
      <c r="D1051" s="56" t="str">
        <f aca="false">IF(INDEX(BookTitle,1046)="","",INDEX(BookTotal,1046)*'5. Scenarios'!$B$6/(1+ProductivityDefault*('5. Scenarios'!$B$11-1)))</f>
        <v/>
      </c>
      <c r="E1051" s="57" t="str">
        <f aca="false">IF($D1051="","",INDEX(BookRate,1046)*(1+'5. Scenarios'!$B$10)*$D1051)</f>
        <v/>
      </c>
      <c r="F1051" s="57" t="str">
        <f aca="false">IF($E1051="","",SUMIFS($E$6:$E$2405,$A$6:$A$2405,"&lt;="&amp;$A1051))</f>
        <v/>
      </c>
      <c r="G1051" s="57" t="str">
        <f aca="false">IF($E1051="","",IF($F1051&lt;=BankCostEnvelope*'5. Scenarios'!$B$7,1,0))</f>
        <v/>
      </c>
      <c r="H1051" s="57" t="str">
        <f aca="false">IF($D1051="","",INDEX(BookRate,1046)*(1+'5. Scenarios'!$B$10)*(INDEX(BookQ1,1046)*(5-MIN(4,1+'5. Scenarios'!$B$8))/4+INDEX(BookQ2,1046)*(5-MIN(4,2+'5. Scenarios'!$B$8))/4+INDEX(BookQ3,1046)*(5-MIN(4,3+'5. Scenarios'!$B$8))/4+INDEX(BookQ4,1046)*(5-MIN(4,4+'5. Scenarios'!$B$8))/4)*'5. Scenarios'!$B$6/(1+ProductivityDefault*('5. Scenarios'!$B$11-1))+INDEX(BookOneOff,1046)*$D1051)</f>
        <v/>
      </c>
      <c r="I1051" s="56" t="str">
        <f aca="false">IF(INDEX(BookTitle,1046)="","",INDEX(BookTotal,1046)*'5. Scenarios'!$C$6/(1+ProductivityDefault*('5. Scenarios'!$C$11-1)))</f>
        <v/>
      </c>
      <c r="J1051" s="57" t="str">
        <f aca="false">IF($I1051="","",INDEX(BookRate,1046)*(1+'5. Scenarios'!$C$10)*$I1051)</f>
        <v/>
      </c>
      <c r="K1051" s="57" t="str">
        <f aca="false">IF($J1051="","",SUMIFS($J$6:$J$2405,$A$6:$A$2405,"&lt;="&amp;$A1051))</f>
        <v/>
      </c>
      <c r="L1051" s="57" t="str">
        <f aca="false">IF($J1051="","",IF($K1051&lt;=BankCostEnvelope*'5. Scenarios'!$C$7,1,0))</f>
        <v/>
      </c>
      <c r="M1051" s="57" t="str">
        <f aca="false">IF($I1051="","",INDEX(BookRate,1046)*(1+'5. Scenarios'!$C$10)*(INDEX(BookQ1,1046)*(5-MIN(4,1+'5. Scenarios'!$C$8))/4+INDEX(BookQ2,1046)*(5-MIN(4,2+'5. Scenarios'!$C$8))/4+INDEX(BookQ3,1046)*(5-MIN(4,3+'5. Scenarios'!$C$8))/4+INDEX(BookQ4,1046)*(5-MIN(4,4+'5. Scenarios'!$C$8))/4)*'5. Scenarios'!$C$6/(1+ProductivityDefault*('5. Scenarios'!$C$11-1))+INDEX(BookOneOff,1046)*$I1051)</f>
        <v/>
      </c>
      <c r="N1051" s="56" t="str">
        <f aca="false">IF(INDEX(BookTitle,1046)="","",INDEX(BookTotal,1046)*'5. Scenarios'!$D$6/(1+ProductivityDefault*('5. Scenarios'!$D$11-1)))</f>
        <v/>
      </c>
      <c r="O1051" s="57" t="str">
        <f aca="false">IF($N1051="","",INDEX(BookRate,1046)*(1+'5. Scenarios'!$D$10)*$N1051)</f>
        <v/>
      </c>
      <c r="P1051" s="57" t="str">
        <f aca="false">IF($O1051="","",SUMIFS($O$6:$O$2405,$A$6:$A$2405,"&lt;="&amp;$A1051))</f>
        <v/>
      </c>
      <c r="Q1051" s="57" t="str">
        <f aca="false">IF($O1051="","",IF($P1051&lt;=BankCostEnvelope*'5. Scenarios'!$D$7,1,0))</f>
        <v/>
      </c>
      <c r="R1051" s="57" t="str">
        <f aca="false">IF($N1051="","",INDEX(BookRate,1046)*(1+'5. Scenarios'!$D$10)*(INDEX(BookQ1,1046)*(5-MIN(4,1+'5. Scenarios'!$D$8))/4+INDEX(BookQ2,1046)*(5-MIN(4,2+'5. Scenarios'!$D$8))/4+INDEX(BookQ3,1046)*(5-MIN(4,3+'5. Scenarios'!$D$8))/4+INDEX(BookQ4,1046)*(5-MIN(4,4+'5. Scenarios'!$D$8))/4)*'5. Scenarios'!$D$6/(1+ProductivityDefault*('5. Scenarios'!$D$11-1))+INDEX(BookOneOff,1046)*$N1051)</f>
        <v/>
      </c>
      <c r="S1051" s="56" t="str">
        <f aca="false">IF(INDEX(BookTitle,1046)="","",INDEX(BookTotal,1046)*'5. Scenarios'!$E$6/(1+ProductivityDefault*('5. Scenarios'!$E$11-1)))</f>
        <v/>
      </c>
      <c r="T1051" s="57" t="str">
        <f aca="false">IF($S1051="","",INDEX(BookRate,1046)*(1+'5. Scenarios'!$E$10)*$S1051)</f>
        <v/>
      </c>
      <c r="U1051" s="57" t="str">
        <f aca="false">IF($T1051="","",SUMIFS($T$6:$T$2405,$A$6:$A$2405,"&lt;="&amp;$A1051))</f>
        <v/>
      </c>
      <c r="V1051" s="57" t="str">
        <f aca="false">IF($T1051="","",IF($U1051&lt;=BankCostEnvelope*'5. Scenarios'!$E$7,1,0))</f>
        <v/>
      </c>
      <c r="W1051" s="57" t="str">
        <f aca="false">IF($S1051="","",INDEX(BookRate,1046)*(1+'5. Scenarios'!$E$10)*(INDEX(BookQ1,1046)*(5-MIN(4,1+'5. Scenarios'!$E$8))/4+INDEX(BookQ2,1046)*(5-MIN(4,2+'5. Scenarios'!$E$8))/4+INDEX(BookQ3,1046)*(5-MIN(4,3+'5. Scenarios'!$E$8))/4+INDEX(BookQ4,1046)*(5-MIN(4,4+'5. Scenarios'!$E$8))/4)*'5. Scenarios'!$E$6/(1+ProductivityDefault*('5. Scenarios'!$E$11-1))+INDEX(BookOneOff,1046)*$S1051)</f>
        <v/>
      </c>
    </row>
    <row r="1052" customFormat="false" ht="15" hidden="false" customHeight="false" outlineLevel="0" collapsed="false">
      <c r="A1052" s="0" t="str">
        <f aca="false">IF(INDEX(BookTitle,1047)="","",INDEX(BookKey,1047))</f>
        <v/>
      </c>
      <c r="B1052" s="0" t="str">
        <f aca="false">IF(INDEX(BookTitle,1047)="","",INDEX(BookGroup,1047))</f>
        <v/>
      </c>
      <c r="C1052" s="0" t="str">
        <f aca="false">IF(INDEX(BookTitle,1047)="","",INDEX(BookCategory,1047))</f>
        <v/>
      </c>
      <c r="D1052" s="56" t="str">
        <f aca="false">IF(INDEX(BookTitle,1047)="","",INDEX(BookTotal,1047)*'5. Scenarios'!$B$6/(1+ProductivityDefault*('5. Scenarios'!$B$11-1)))</f>
        <v/>
      </c>
      <c r="E1052" s="57" t="str">
        <f aca="false">IF($D1052="","",INDEX(BookRate,1047)*(1+'5. Scenarios'!$B$10)*$D1052)</f>
        <v/>
      </c>
      <c r="F1052" s="57" t="str">
        <f aca="false">IF($E1052="","",SUMIFS($E$6:$E$2405,$A$6:$A$2405,"&lt;="&amp;$A1052))</f>
        <v/>
      </c>
      <c r="G1052" s="57" t="str">
        <f aca="false">IF($E1052="","",IF($F1052&lt;=BankCostEnvelope*'5. Scenarios'!$B$7,1,0))</f>
        <v/>
      </c>
      <c r="H1052" s="57" t="str">
        <f aca="false">IF($D1052="","",INDEX(BookRate,1047)*(1+'5. Scenarios'!$B$10)*(INDEX(BookQ1,1047)*(5-MIN(4,1+'5. Scenarios'!$B$8))/4+INDEX(BookQ2,1047)*(5-MIN(4,2+'5. Scenarios'!$B$8))/4+INDEX(BookQ3,1047)*(5-MIN(4,3+'5. Scenarios'!$B$8))/4+INDEX(BookQ4,1047)*(5-MIN(4,4+'5. Scenarios'!$B$8))/4)*'5. Scenarios'!$B$6/(1+ProductivityDefault*('5. Scenarios'!$B$11-1))+INDEX(BookOneOff,1047)*$D1052)</f>
        <v/>
      </c>
      <c r="I1052" s="56" t="str">
        <f aca="false">IF(INDEX(BookTitle,1047)="","",INDEX(BookTotal,1047)*'5. Scenarios'!$C$6/(1+ProductivityDefault*('5. Scenarios'!$C$11-1)))</f>
        <v/>
      </c>
      <c r="J1052" s="57" t="str">
        <f aca="false">IF($I1052="","",INDEX(BookRate,1047)*(1+'5. Scenarios'!$C$10)*$I1052)</f>
        <v/>
      </c>
      <c r="K1052" s="57" t="str">
        <f aca="false">IF($J1052="","",SUMIFS($J$6:$J$2405,$A$6:$A$2405,"&lt;="&amp;$A1052))</f>
        <v/>
      </c>
      <c r="L1052" s="57" t="str">
        <f aca="false">IF($J1052="","",IF($K1052&lt;=BankCostEnvelope*'5. Scenarios'!$C$7,1,0))</f>
        <v/>
      </c>
      <c r="M1052" s="57" t="str">
        <f aca="false">IF($I1052="","",INDEX(BookRate,1047)*(1+'5. Scenarios'!$C$10)*(INDEX(BookQ1,1047)*(5-MIN(4,1+'5. Scenarios'!$C$8))/4+INDEX(BookQ2,1047)*(5-MIN(4,2+'5. Scenarios'!$C$8))/4+INDEX(BookQ3,1047)*(5-MIN(4,3+'5. Scenarios'!$C$8))/4+INDEX(BookQ4,1047)*(5-MIN(4,4+'5. Scenarios'!$C$8))/4)*'5. Scenarios'!$C$6/(1+ProductivityDefault*('5. Scenarios'!$C$11-1))+INDEX(BookOneOff,1047)*$I1052)</f>
        <v/>
      </c>
      <c r="N1052" s="56" t="str">
        <f aca="false">IF(INDEX(BookTitle,1047)="","",INDEX(BookTotal,1047)*'5. Scenarios'!$D$6/(1+ProductivityDefault*('5. Scenarios'!$D$11-1)))</f>
        <v/>
      </c>
      <c r="O1052" s="57" t="str">
        <f aca="false">IF($N1052="","",INDEX(BookRate,1047)*(1+'5. Scenarios'!$D$10)*$N1052)</f>
        <v/>
      </c>
      <c r="P1052" s="57" t="str">
        <f aca="false">IF($O1052="","",SUMIFS($O$6:$O$2405,$A$6:$A$2405,"&lt;="&amp;$A1052))</f>
        <v/>
      </c>
      <c r="Q1052" s="57" t="str">
        <f aca="false">IF($O1052="","",IF($P1052&lt;=BankCostEnvelope*'5. Scenarios'!$D$7,1,0))</f>
        <v/>
      </c>
      <c r="R1052" s="57" t="str">
        <f aca="false">IF($N1052="","",INDEX(BookRate,1047)*(1+'5. Scenarios'!$D$10)*(INDEX(BookQ1,1047)*(5-MIN(4,1+'5. Scenarios'!$D$8))/4+INDEX(BookQ2,1047)*(5-MIN(4,2+'5. Scenarios'!$D$8))/4+INDEX(BookQ3,1047)*(5-MIN(4,3+'5. Scenarios'!$D$8))/4+INDEX(BookQ4,1047)*(5-MIN(4,4+'5. Scenarios'!$D$8))/4)*'5. Scenarios'!$D$6/(1+ProductivityDefault*('5. Scenarios'!$D$11-1))+INDEX(BookOneOff,1047)*$N1052)</f>
        <v/>
      </c>
      <c r="S1052" s="56" t="str">
        <f aca="false">IF(INDEX(BookTitle,1047)="","",INDEX(BookTotal,1047)*'5. Scenarios'!$E$6/(1+ProductivityDefault*('5. Scenarios'!$E$11-1)))</f>
        <v/>
      </c>
      <c r="T1052" s="57" t="str">
        <f aca="false">IF($S1052="","",INDEX(BookRate,1047)*(1+'5. Scenarios'!$E$10)*$S1052)</f>
        <v/>
      </c>
      <c r="U1052" s="57" t="str">
        <f aca="false">IF($T1052="","",SUMIFS($T$6:$T$2405,$A$6:$A$2405,"&lt;="&amp;$A1052))</f>
        <v/>
      </c>
      <c r="V1052" s="57" t="str">
        <f aca="false">IF($T1052="","",IF($U1052&lt;=BankCostEnvelope*'5. Scenarios'!$E$7,1,0))</f>
        <v/>
      </c>
      <c r="W1052" s="57" t="str">
        <f aca="false">IF($S1052="","",INDEX(BookRate,1047)*(1+'5. Scenarios'!$E$10)*(INDEX(BookQ1,1047)*(5-MIN(4,1+'5. Scenarios'!$E$8))/4+INDEX(BookQ2,1047)*(5-MIN(4,2+'5. Scenarios'!$E$8))/4+INDEX(BookQ3,1047)*(5-MIN(4,3+'5. Scenarios'!$E$8))/4+INDEX(BookQ4,1047)*(5-MIN(4,4+'5. Scenarios'!$E$8))/4)*'5. Scenarios'!$E$6/(1+ProductivityDefault*('5. Scenarios'!$E$11-1))+INDEX(BookOneOff,1047)*$S1052)</f>
        <v/>
      </c>
    </row>
    <row r="1053" customFormat="false" ht="15" hidden="false" customHeight="false" outlineLevel="0" collapsed="false">
      <c r="A1053" s="0" t="str">
        <f aca="false">IF(INDEX(BookTitle,1048)="","",INDEX(BookKey,1048))</f>
        <v/>
      </c>
      <c r="B1053" s="0" t="str">
        <f aca="false">IF(INDEX(BookTitle,1048)="","",INDEX(BookGroup,1048))</f>
        <v/>
      </c>
      <c r="C1053" s="0" t="str">
        <f aca="false">IF(INDEX(BookTitle,1048)="","",INDEX(BookCategory,1048))</f>
        <v/>
      </c>
      <c r="D1053" s="56" t="str">
        <f aca="false">IF(INDEX(BookTitle,1048)="","",INDEX(BookTotal,1048)*'5. Scenarios'!$B$6/(1+ProductivityDefault*('5. Scenarios'!$B$11-1)))</f>
        <v/>
      </c>
      <c r="E1053" s="57" t="str">
        <f aca="false">IF($D1053="","",INDEX(BookRate,1048)*(1+'5. Scenarios'!$B$10)*$D1053)</f>
        <v/>
      </c>
      <c r="F1053" s="57" t="str">
        <f aca="false">IF($E1053="","",SUMIFS($E$6:$E$2405,$A$6:$A$2405,"&lt;="&amp;$A1053))</f>
        <v/>
      </c>
      <c r="G1053" s="57" t="str">
        <f aca="false">IF($E1053="","",IF($F1053&lt;=BankCostEnvelope*'5. Scenarios'!$B$7,1,0))</f>
        <v/>
      </c>
      <c r="H1053" s="57" t="str">
        <f aca="false">IF($D1053="","",INDEX(BookRate,1048)*(1+'5. Scenarios'!$B$10)*(INDEX(BookQ1,1048)*(5-MIN(4,1+'5. Scenarios'!$B$8))/4+INDEX(BookQ2,1048)*(5-MIN(4,2+'5. Scenarios'!$B$8))/4+INDEX(BookQ3,1048)*(5-MIN(4,3+'5. Scenarios'!$B$8))/4+INDEX(BookQ4,1048)*(5-MIN(4,4+'5. Scenarios'!$B$8))/4)*'5. Scenarios'!$B$6/(1+ProductivityDefault*('5. Scenarios'!$B$11-1))+INDEX(BookOneOff,1048)*$D1053)</f>
        <v/>
      </c>
      <c r="I1053" s="56" t="str">
        <f aca="false">IF(INDEX(BookTitle,1048)="","",INDEX(BookTotal,1048)*'5. Scenarios'!$C$6/(1+ProductivityDefault*('5. Scenarios'!$C$11-1)))</f>
        <v/>
      </c>
      <c r="J1053" s="57" t="str">
        <f aca="false">IF($I1053="","",INDEX(BookRate,1048)*(1+'5. Scenarios'!$C$10)*$I1053)</f>
        <v/>
      </c>
      <c r="K1053" s="57" t="str">
        <f aca="false">IF($J1053="","",SUMIFS($J$6:$J$2405,$A$6:$A$2405,"&lt;="&amp;$A1053))</f>
        <v/>
      </c>
      <c r="L1053" s="57" t="str">
        <f aca="false">IF($J1053="","",IF($K1053&lt;=BankCostEnvelope*'5. Scenarios'!$C$7,1,0))</f>
        <v/>
      </c>
      <c r="M1053" s="57" t="str">
        <f aca="false">IF($I1053="","",INDEX(BookRate,1048)*(1+'5. Scenarios'!$C$10)*(INDEX(BookQ1,1048)*(5-MIN(4,1+'5. Scenarios'!$C$8))/4+INDEX(BookQ2,1048)*(5-MIN(4,2+'5. Scenarios'!$C$8))/4+INDEX(BookQ3,1048)*(5-MIN(4,3+'5. Scenarios'!$C$8))/4+INDEX(BookQ4,1048)*(5-MIN(4,4+'5. Scenarios'!$C$8))/4)*'5. Scenarios'!$C$6/(1+ProductivityDefault*('5. Scenarios'!$C$11-1))+INDEX(BookOneOff,1048)*$I1053)</f>
        <v/>
      </c>
      <c r="N1053" s="56" t="str">
        <f aca="false">IF(INDEX(BookTitle,1048)="","",INDEX(BookTotal,1048)*'5. Scenarios'!$D$6/(1+ProductivityDefault*('5. Scenarios'!$D$11-1)))</f>
        <v/>
      </c>
      <c r="O1053" s="57" t="str">
        <f aca="false">IF($N1053="","",INDEX(BookRate,1048)*(1+'5. Scenarios'!$D$10)*$N1053)</f>
        <v/>
      </c>
      <c r="P1053" s="57" t="str">
        <f aca="false">IF($O1053="","",SUMIFS($O$6:$O$2405,$A$6:$A$2405,"&lt;="&amp;$A1053))</f>
        <v/>
      </c>
      <c r="Q1053" s="57" t="str">
        <f aca="false">IF($O1053="","",IF($P1053&lt;=BankCostEnvelope*'5. Scenarios'!$D$7,1,0))</f>
        <v/>
      </c>
      <c r="R1053" s="57" t="str">
        <f aca="false">IF($N1053="","",INDEX(BookRate,1048)*(1+'5. Scenarios'!$D$10)*(INDEX(BookQ1,1048)*(5-MIN(4,1+'5. Scenarios'!$D$8))/4+INDEX(BookQ2,1048)*(5-MIN(4,2+'5. Scenarios'!$D$8))/4+INDEX(BookQ3,1048)*(5-MIN(4,3+'5. Scenarios'!$D$8))/4+INDEX(BookQ4,1048)*(5-MIN(4,4+'5. Scenarios'!$D$8))/4)*'5. Scenarios'!$D$6/(1+ProductivityDefault*('5. Scenarios'!$D$11-1))+INDEX(BookOneOff,1048)*$N1053)</f>
        <v/>
      </c>
      <c r="S1053" s="56" t="str">
        <f aca="false">IF(INDEX(BookTitle,1048)="","",INDEX(BookTotal,1048)*'5. Scenarios'!$E$6/(1+ProductivityDefault*('5. Scenarios'!$E$11-1)))</f>
        <v/>
      </c>
      <c r="T1053" s="57" t="str">
        <f aca="false">IF($S1053="","",INDEX(BookRate,1048)*(1+'5. Scenarios'!$E$10)*$S1053)</f>
        <v/>
      </c>
      <c r="U1053" s="57" t="str">
        <f aca="false">IF($T1053="","",SUMIFS($T$6:$T$2405,$A$6:$A$2405,"&lt;="&amp;$A1053))</f>
        <v/>
      </c>
      <c r="V1053" s="57" t="str">
        <f aca="false">IF($T1053="","",IF($U1053&lt;=BankCostEnvelope*'5. Scenarios'!$E$7,1,0))</f>
        <v/>
      </c>
      <c r="W1053" s="57" t="str">
        <f aca="false">IF($S1053="","",INDEX(BookRate,1048)*(1+'5. Scenarios'!$E$10)*(INDEX(BookQ1,1048)*(5-MIN(4,1+'5. Scenarios'!$E$8))/4+INDEX(BookQ2,1048)*(5-MIN(4,2+'5. Scenarios'!$E$8))/4+INDEX(BookQ3,1048)*(5-MIN(4,3+'5. Scenarios'!$E$8))/4+INDEX(BookQ4,1048)*(5-MIN(4,4+'5. Scenarios'!$E$8))/4)*'5. Scenarios'!$E$6/(1+ProductivityDefault*('5. Scenarios'!$E$11-1))+INDEX(BookOneOff,1048)*$S1053)</f>
        <v/>
      </c>
    </row>
    <row r="1054" customFormat="false" ht="15" hidden="false" customHeight="false" outlineLevel="0" collapsed="false">
      <c r="A1054" s="0" t="str">
        <f aca="false">IF(INDEX(BookTitle,1049)="","",INDEX(BookKey,1049))</f>
        <v/>
      </c>
      <c r="B1054" s="0" t="str">
        <f aca="false">IF(INDEX(BookTitle,1049)="","",INDEX(BookGroup,1049))</f>
        <v/>
      </c>
      <c r="C1054" s="0" t="str">
        <f aca="false">IF(INDEX(BookTitle,1049)="","",INDEX(BookCategory,1049))</f>
        <v/>
      </c>
      <c r="D1054" s="56" t="str">
        <f aca="false">IF(INDEX(BookTitle,1049)="","",INDEX(BookTotal,1049)*'5. Scenarios'!$B$6/(1+ProductivityDefault*('5. Scenarios'!$B$11-1)))</f>
        <v/>
      </c>
      <c r="E1054" s="57" t="str">
        <f aca="false">IF($D1054="","",INDEX(BookRate,1049)*(1+'5. Scenarios'!$B$10)*$D1054)</f>
        <v/>
      </c>
      <c r="F1054" s="57" t="str">
        <f aca="false">IF($E1054="","",SUMIFS($E$6:$E$2405,$A$6:$A$2405,"&lt;="&amp;$A1054))</f>
        <v/>
      </c>
      <c r="G1054" s="57" t="str">
        <f aca="false">IF($E1054="","",IF($F1054&lt;=BankCostEnvelope*'5. Scenarios'!$B$7,1,0))</f>
        <v/>
      </c>
      <c r="H1054" s="57" t="str">
        <f aca="false">IF($D1054="","",INDEX(BookRate,1049)*(1+'5. Scenarios'!$B$10)*(INDEX(BookQ1,1049)*(5-MIN(4,1+'5. Scenarios'!$B$8))/4+INDEX(BookQ2,1049)*(5-MIN(4,2+'5. Scenarios'!$B$8))/4+INDEX(BookQ3,1049)*(5-MIN(4,3+'5. Scenarios'!$B$8))/4+INDEX(BookQ4,1049)*(5-MIN(4,4+'5. Scenarios'!$B$8))/4)*'5. Scenarios'!$B$6/(1+ProductivityDefault*('5. Scenarios'!$B$11-1))+INDEX(BookOneOff,1049)*$D1054)</f>
        <v/>
      </c>
      <c r="I1054" s="56" t="str">
        <f aca="false">IF(INDEX(BookTitle,1049)="","",INDEX(BookTotal,1049)*'5. Scenarios'!$C$6/(1+ProductivityDefault*('5. Scenarios'!$C$11-1)))</f>
        <v/>
      </c>
      <c r="J1054" s="57" t="str">
        <f aca="false">IF($I1054="","",INDEX(BookRate,1049)*(1+'5. Scenarios'!$C$10)*$I1054)</f>
        <v/>
      </c>
      <c r="K1054" s="57" t="str">
        <f aca="false">IF($J1054="","",SUMIFS($J$6:$J$2405,$A$6:$A$2405,"&lt;="&amp;$A1054))</f>
        <v/>
      </c>
      <c r="L1054" s="57" t="str">
        <f aca="false">IF($J1054="","",IF($K1054&lt;=BankCostEnvelope*'5. Scenarios'!$C$7,1,0))</f>
        <v/>
      </c>
      <c r="M1054" s="57" t="str">
        <f aca="false">IF($I1054="","",INDEX(BookRate,1049)*(1+'5. Scenarios'!$C$10)*(INDEX(BookQ1,1049)*(5-MIN(4,1+'5. Scenarios'!$C$8))/4+INDEX(BookQ2,1049)*(5-MIN(4,2+'5. Scenarios'!$C$8))/4+INDEX(BookQ3,1049)*(5-MIN(4,3+'5. Scenarios'!$C$8))/4+INDEX(BookQ4,1049)*(5-MIN(4,4+'5. Scenarios'!$C$8))/4)*'5. Scenarios'!$C$6/(1+ProductivityDefault*('5. Scenarios'!$C$11-1))+INDEX(BookOneOff,1049)*$I1054)</f>
        <v/>
      </c>
      <c r="N1054" s="56" t="str">
        <f aca="false">IF(INDEX(BookTitle,1049)="","",INDEX(BookTotal,1049)*'5. Scenarios'!$D$6/(1+ProductivityDefault*('5. Scenarios'!$D$11-1)))</f>
        <v/>
      </c>
      <c r="O1054" s="57" t="str">
        <f aca="false">IF($N1054="","",INDEX(BookRate,1049)*(1+'5. Scenarios'!$D$10)*$N1054)</f>
        <v/>
      </c>
      <c r="P1054" s="57" t="str">
        <f aca="false">IF($O1054="","",SUMIFS($O$6:$O$2405,$A$6:$A$2405,"&lt;="&amp;$A1054))</f>
        <v/>
      </c>
      <c r="Q1054" s="57" t="str">
        <f aca="false">IF($O1054="","",IF($P1054&lt;=BankCostEnvelope*'5. Scenarios'!$D$7,1,0))</f>
        <v/>
      </c>
      <c r="R1054" s="57" t="str">
        <f aca="false">IF($N1054="","",INDEX(BookRate,1049)*(1+'5. Scenarios'!$D$10)*(INDEX(BookQ1,1049)*(5-MIN(4,1+'5. Scenarios'!$D$8))/4+INDEX(BookQ2,1049)*(5-MIN(4,2+'5. Scenarios'!$D$8))/4+INDEX(BookQ3,1049)*(5-MIN(4,3+'5. Scenarios'!$D$8))/4+INDEX(BookQ4,1049)*(5-MIN(4,4+'5. Scenarios'!$D$8))/4)*'5. Scenarios'!$D$6/(1+ProductivityDefault*('5. Scenarios'!$D$11-1))+INDEX(BookOneOff,1049)*$N1054)</f>
        <v/>
      </c>
      <c r="S1054" s="56" t="str">
        <f aca="false">IF(INDEX(BookTitle,1049)="","",INDEX(BookTotal,1049)*'5. Scenarios'!$E$6/(1+ProductivityDefault*('5. Scenarios'!$E$11-1)))</f>
        <v/>
      </c>
      <c r="T1054" s="57" t="str">
        <f aca="false">IF($S1054="","",INDEX(BookRate,1049)*(1+'5. Scenarios'!$E$10)*$S1054)</f>
        <v/>
      </c>
      <c r="U1054" s="57" t="str">
        <f aca="false">IF($T1054="","",SUMIFS($T$6:$T$2405,$A$6:$A$2405,"&lt;="&amp;$A1054))</f>
        <v/>
      </c>
      <c r="V1054" s="57" t="str">
        <f aca="false">IF($T1054="","",IF($U1054&lt;=BankCostEnvelope*'5. Scenarios'!$E$7,1,0))</f>
        <v/>
      </c>
      <c r="W1054" s="57" t="str">
        <f aca="false">IF($S1054="","",INDEX(BookRate,1049)*(1+'5. Scenarios'!$E$10)*(INDEX(BookQ1,1049)*(5-MIN(4,1+'5. Scenarios'!$E$8))/4+INDEX(BookQ2,1049)*(5-MIN(4,2+'5. Scenarios'!$E$8))/4+INDEX(BookQ3,1049)*(5-MIN(4,3+'5. Scenarios'!$E$8))/4+INDEX(BookQ4,1049)*(5-MIN(4,4+'5. Scenarios'!$E$8))/4)*'5. Scenarios'!$E$6/(1+ProductivityDefault*('5. Scenarios'!$E$11-1))+INDEX(BookOneOff,1049)*$S1054)</f>
        <v/>
      </c>
    </row>
    <row r="1055" customFormat="false" ht="15" hidden="false" customHeight="false" outlineLevel="0" collapsed="false">
      <c r="A1055" s="0" t="str">
        <f aca="false">IF(INDEX(BookTitle,1050)="","",INDEX(BookKey,1050))</f>
        <v/>
      </c>
      <c r="B1055" s="0" t="str">
        <f aca="false">IF(INDEX(BookTitle,1050)="","",INDEX(BookGroup,1050))</f>
        <v/>
      </c>
      <c r="C1055" s="0" t="str">
        <f aca="false">IF(INDEX(BookTitle,1050)="","",INDEX(BookCategory,1050))</f>
        <v/>
      </c>
      <c r="D1055" s="56" t="str">
        <f aca="false">IF(INDEX(BookTitle,1050)="","",INDEX(BookTotal,1050)*'5. Scenarios'!$B$6/(1+ProductivityDefault*('5. Scenarios'!$B$11-1)))</f>
        <v/>
      </c>
      <c r="E1055" s="57" t="str">
        <f aca="false">IF($D1055="","",INDEX(BookRate,1050)*(1+'5. Scenarios'!$B$10)*$D1055)</f>
        <v/>
      </c>
      <c r="F1055" s="57" t="str">
        <f aca="false">IF($E1055="","",SUMIFS($E$6:$E$2405,$A$6:$A$2405,"&lt;="&amp;$A1055))</f>
        <v/>
      </c>
      <c r="G1055" s="57" t="str">
        <f aca="false">IF($E1055="","",IF($F1055&lt;=BankCostEnvelope*'5. Scenarios'!$B$7,1,0))</f>
        <v/>
      </c>
      <c r="H1055" s="57" t="str">
        <f aca="false">IF($D1055="","",INDEX(BookRate,1050)*(1+'5. Scenarios'!$B$10)*(INDEX(BookQ1,1050)*(5-MIN(4,1+'5. Scenarios'!$B$8))/4+INDEX(BookQ2,1050)*(5-MIN(4,2+'5. Scenarios'!$B$8))/4+INDEX(BookQ3,1050)*(5-MIN(4,3+'5. Scenarios'!$B$8))/4+INDEX(BookQ4,1050)*(5-MIN(4,4+'5. Scenarios'!$B$8))/4)*'5. Scenarios'!$B$6/(1+ProductivityDefault*('5. Scenarios'!$B$11-1))+INDEX(BookOneOff,1050)*$D1055)</f>
        <v/>
      </c>
      <c r="I1055" s="56" t="str">
        <f aca="false">IF(INDEX(BookTitle,1050)="","",INDEX(BookTotal,1050)*'5. Scenarios'!$C$6/(1+ProductivityDefault*('5. Scenarios'!$C$11-1)))</f>
        <v/>
      </c>
      <c r="J1055" s="57" t="str">
        <f aca="false">IF($I1055="","",INDEX(BookRate,1050)*(1+'5. Scenarios'!$C$10)*$I1055)</f>
        <v/>
      </c>
      <c r="K1055" s="57" t="str">
        <f aca="false">IF($J1055="","",SUMIFS($J$6:$J$2405,$A$6:$A$2405,"&lt;="&amp;$A1055))</f>
        <v/>
      </c>
      <c r="L1055" s="57" t="str">
        <f aca="false">IF($J1055="","",IF($K1055&lt;=BankCostEnvelope*'5. Scenarios'!$C$7,1,0))</f>
        <v/>
      </c>
      <c r="M1055" s="57" t="str">
        <f aca="false">IF($I1055="","",INDEX(BookRate,1050)*(1+'5. Scenarios'!$C$10)*(INDEX(BookQ1,1050)*(5-MIN(4,1+'5. Scenarios'!$C$8))/4+INDEX(BookQ2,1050)*(5-MIN(4,2+'5. Scenarios'!$C$8))/4+INDEX(BookQ3,1050)*(5-MIN(4,3+'5. Scenarios'!$C$8))/4+INDEX(BookQ4,1050)*(5-MIN(4,4+'5. Scenarios'!$C$8))/4)*'5. Scenarios'!$C$6/(1+ProductivityDefault*('5. Scenarios'!$C$11-1))+INDEX(BookOneOff,1050)*$I1055)</f>
        <v/>
      </c>
      <c r="N1055" s="56" t="str">
        <f aca="false">IF(INDEX(BookTitle,1050)="","",INDEX(BookTotal,1050)*'5. Scenarios'!$D$6/(1+ProductivityDefault*('5. Scenarios'!$D$11-1)))</f>
        <v/>
      </c>
      <c r="O1055" s="57" t="str">
        <f aca="false">IF($N1055="","",INDEX(BookRate,1050)*(1+'5. Scenarios'!$D$10)*$N1055)</f>
        <v/>
      </c>
      <c r="P1055" s="57" t="str">
        <f aca="false">IF($O1055="","",SUMIFS($O$6:$O$2405,$A$6:$A$2405,"&lt;="&amp;$A1055))</f>
        <v/>
      </c>
      <c r="Q1055" s="57" t="str">
        <f aca="false">IF($O1055="","",IF($P1055&lt;=BankCostEnvelope*'5. Scenarios'!$D$7,1,0))</f>
        <v/>
      </c>
      <c r="R1055" s="57" t="str">
        <f aca="false">IF($N1055="","",INDEX(BookRate,1050)*(1+'5. Scenarios'!$D$10)*(INDEX(BookQ1,1050)*(5-MIN(4,1+'5. Scenarios'!$D$8))/4+INDEX(BookQ2,1050)*(5-MIN(4,2+'5. Scenarios'!$D$8))/4+INDEX(BookQ3,1050)*(5-MIN(4,3+'5. Scenarios'!$D$8))/4+INDEX(BookQ4,1050)*(5-MIN(4,4+'5. Scenarios'!$D$8))/4)*'5. Scenarios'!$D$6/(1+ProductivityDefault*('5. Scenarios'!$D$11-1))+INDEX(BookOneOff,1050)*$N1055)</f>
        <v/>
      </c>
      <c r="S1055" s="56" t="str">
        <f aca="false">IF(INDEX(BookTitle,1050)="","",INDEX(BookTotal,1050)*'5. Scenarios'!$E$6/(1+ProductivityDefault*('5. Scenarios'!$E$11-1)))</f>
        <v/>
      </c>
      <c r="T1055" s="57" t="str">
        <f aca="false">IF($S1055="","",INDEX(BookRate,1050)*(1+'5. Scenarios'!$E$10)*$S1055)</f>
        <v/>
      </c>
      <c r="U1055" s="57" t="str">
        <f aca="false">IF($T1055="","",SUMIFS($T$6:$T$2405,$A$6:$A$2405,"&lt;="&amp;$A1055))</f>
        <v/>
      </c>
      <c r="V1055" s="57" t="str">
        <f aca="false">IF($T1055="","",IF($U1055&lt;=BankCostEnvelope*'5. Scenarios'!$E$7,1,0))</f>
        <v/>
      </c>
      <c r="W1055" s="57" t="str">
        <f aca="false">IF($S1055="","",INDEX(BookRate,1050)*(1+'5. Scenarios'!$E$10)*(INDEX(BookQ1,1050)*(5-MIN(4,1+'5. Scenarios'!$E$8))/4+INDEX(BookQ2,1050)*(5-MIN(4,2+'5. Scenarios'!$E$8))/4+INDEX(BookQ3,1050)*(5-MIN(4,3+'5. Scenarios'!$E$8))/4+INDEX(BookQ4,1050)*(5-MIN(4,4+'5. Scenarios'!$E$8))/4)*'5. Scenarios'!$E$6/(1+ProductivityDefault*('5. Scenarios'!$E$11-1))+INDEX(BookOneOff,1050)*$S1055)</f>
        <v/>
      </c>
    </row>
    <row r="1056" customFormat="false" ht="15" hidden="false" customHeight="false" outlineLevel="0" collapsed="false">
      <c r="A1056" s="0" t="str">
        <f aca="false">IF(INDEX(BookTitle,1051)="","",INDEX(BookKey,1051))</f>
        <v/>
      </c>
      <c r="B1056" s="0" t="str">
        <f aca="false">IF(INDEX(BookTitle,1051)="","",INDEX(BookGroup,1051))</f>
        <v/>
      </c>
      <c r="C1056" s="0" t="str">
        <f aca="false">IF(INDEX(BookTitle,1051)="","",INDEX(BookCategory,1051))</f>
        <v/>
      </c>
      <c r="D1056" s="56" t="str">
        <f aca="false">IF(INDEX(BookTitle,1051)="","",INDEX(BookTotal,1051)*'5. Scenarios'!$B$6/(1+ProductivityDefault*('5. Scenarios'!$B$11-1)))</f>
        <v/>
      </c>
      <c r="E1056" s="57" t="str">
        <f aca="false">IF($D1056="","",INDEX(BookRate,1051)*(1+'5. Scenarios'!$B$10)*$D1056)</f>
        <v/>
      </c>
      <c r="F1056" s="57" t="str">
        <f aca="false">IF($E1056="","",SUMIFS($E$6:$E$2405,$A$6:$A$2405,"&lt;="&amp;$A1056))</f>
        <v/>
      </c>
      <c r="G1056" s="57" t="str">
        <f aca="false">IF($E1056="","",IF($F1056&lt;=BankCostEnvelope*'5. Scenarios'!$B$7,1,0))</f>
        <v/>
      </c>
      <c r="H1056" s="57" t="str">
        <f aca="false">IF($D1056="","",INDEX(BookRate,1051)*(1+'5. Scenarios'!$B$10)*(INDEX(BookQ1,1051)*(5-MIN(4,1+'5. Scenarios'!$B$8))/4+INDEX(BookQ2,1051)*(5-MIN(4,2+'5. Scenarios'!$B$8))/4+INDEX(BookQ3,1051)*(5-MIN(4,3+'5. Scenarios'!$B$8))/4+INDEX(BookQ4,1051)*(5-MIN(4,4+'5. Scenarios'!$B$8))/4)*'5. Scenarios'!$B$6/(1+ProductivityDefault*('5. Scenarios'!$B$11-1))+INDEX(BookOneOff,1051)*$D1056)</f>
        <v/>
      </c>
      <c r="I1056" s="56" t="str">
        <f aca="false">IF(INDEX(BookTitle,1051)="","",INDEX(BookTotal,1051)*'5. Scenarios'!$C$6/(1+ProductivityDefault*('5. Scenarios'!$C$11-1)))</f>
        <v/>
      </c>
      <c r="J1056" s="57" t="str">
        <f aca="false">IF($I1056="","",INDEX(BookRate,1051)*(1+'5. Scenarios'!$C$10)*$I1056)</f>
        <v/>
      </c>
      <c r="K1056" s="57" t="str">
        <f aca="false">IF($J1056="","",SUMIFS($J$6:$J$2405,$A$6:$A$2405,"&lt;="&amp;$A1056))</f>
        <v/>
      </c>
      <c r="L1056" s="57" t="str">
        <f aca="false">IF($J1056="","",IF($K1056&lt;=BankCostEnvelope*'5. Scenarios'!$C$7,1,0))</f>
        <v/>
      </c>
      <c r="M1056" s="57" t="str">
        <f aca="false">IF($I1056="","",INDEX(BookRate,1051)*(1+'5. Scenarios'!$C$10)*(INDEX(BookQ1,1051)*(5-MIN(4,1+'5. Scenarios'!$C$8))/4+INDEX(BookQ2,1051)*(5-MIN(4,2+'5. Scenarios'!$C$8))/4+INDEX(BookQ3,1051)*(5-MIN(4,3+'5. Scenarios'!$C$8))/4+INDEX(BookQ4,1051)*(5-MIN(4,4+'5. Scenarios'!$C$8))/4)*'5. Scenarios'!$C$6/(1+ProductivityDefault*('5. Scenarios'!$C$11-1))+INDEX(BookOneOff,1051)*$I1056)</f>
        <v/>
      </c>
      <c r="N1056" s="56" t="str">
        <f aca="false">IF(INDEX(BookTitle,1051)="","",INDEX(BookTotal,1051)*'5. Scenarios'!$D$6/(1+ProductivityDefault*('5. Scenarios'!$D$11-1)))</f>
        <v/>
      </c>
      <c r="O1056" s="57" t="str">
        <f aca="false">IF($N1056="","",INDEX(BookRate,1051)*(1+'5. Scenarios'!$D$10)*$N1056)</f>
        <v/>
      </c>
      <c r="P1056" s="57" t="str">
        <f aca="false">IF($O1056="","",SUMIFS($O$6:$O$2405,$A$6:$A$2405,"&lt;="&amp;$A1056))</f>
        <v/>
      </c>
      <c r="Q1056" s="57" t="str">
        <f aca="false">IF($O1056="","",IF($P1056&lt;=BankCostEnvelope*'5. Scenarios'!$D$7,1,0))</f>
        <v/>
      </c>
      <c r="R1056" s="57" t="str">
        <f aca="false">IF($N1056="","",INDEX(BookRate,1051)*(1+'5. Scenarios'!$D$10)*(INDEX(BookQ1,1051)*(5-MIN(4,1+'5. Scenarios'!$D$8))/4+INDEX(BookQ2,1051)*(5-MIN(4,2+'5. Scenarios'!$D$8))/4+INDEX(BookQ3,1051)*(5-MIN(4,3+'5. Scenarios'!$D$8))/4+INDEX(BookQ4,1051)*(5-MIN(4,4+'5. Scenarios'!$D$8))/4)*'5. Scenarios'!$D$6/(1+ProductivityDefault*('5. Scenarios'!$D$11-1))+INDEX(BookOneOff,1051)*$N1056)</f>
        <v/>
      </c>
      <c r="S1056" s="56" t="str">
        <f aca="false">IF(INDEX(BookTitle,1051)="","",INDEX(BookTotal,1051)*'5. Scenarios'!$E$6/(1+ProductivityDefault*('5. Scenarios'!$E$11-1)))</f>
        <v/>
      </c>
      <c r="T1056" s="57" t="str">
        <f aca="false">IF($S1056="","",INDEX(BookRate,1051)*(1+'5. Scenarios'!$E$10)*$S1056)</f>
        <v/>
      </c>
      <c r="U1056" s="57" t="str">
        <f aca="false">IF($T1056="","",SUMIFS($T$6:$T$2405,$A$6:$A$2405,"&lt;="&amp;$A1056))</f>
        <v/>
      </c>
      <c r="V1056" s="57" t="str">
        <f aca="false">IF($T1056="","",IF($U1056&lt;=BankCostEnvelope*'5. Scenarios'!$E$7,1,0))</f>
        <v/>
      </c>
      <c r="W1056" s="57" t="str">
        <f aca="false">IF($S1056="","",INDEX(BookRate,1051)*(1+'5. Scenarios'!$E$10)*(INDEX(BookQ1,1051)*(5-MIN(4,1+'5. Scenarios'!$E$8))/4+INDEX(BookQ2,1051)*(5-MIN(4,2+'5. Scenarios'!$E$8))/4+INDEX(BookQ3,1051)*(5-MIN(4,3+'5. Scenarios'!$E$8))/4+INDEX(BookQ4,1051)*(5-MIN(4,4+'5. Scenarios'!$E$8))/4)*'5. Scenarios'!$E$6/(1+ProductivityDefault*('5. Scenarios'!$E$11-1))+INDEX(BookOneOff,1051)*$S1056)</f>
        <v/>
      </c>
    </row>
    <row r="1057" customFormat="false" ht="15" hidden="false" customHeight="false" outlineLevel="0" collapsed="false">
      <c r="A1057" s="0" t="str">
        <f aca="false">IF(INDEX(BookTitle,1052)="","",INDEX(BookKey,1052))</f>
        <v/>
      </c>
      <c r="B1057" s="0" t="str">
        <f aca="false">IF(INDEX(BookTitle,1052)="","",INDEX(BookGroup,1052))</f>
        <v/>
      </c>
      <c r="C1057" s="0" t="str">
        <f aca="false">IF(INDEX(BookTitle,1052)="","",INDEX(BookCategory,1052))</f>
        <v/>
      </c>
      <c r="D1057" s="56" t="str">
        <f aca="false">IF(INDEX(BookTitle,1052)="","",INDEX(BookTotal,1052)*'5. Scenarios'!$B$6/(1+ProductivityDefault*('5. Scenarios'!$B$11-1)))</f>
        <v/>
      </c>
      <c r="E1057" s="57" t="str">
        <f aca="false">IF($D1057="","",INDEX(BookRate,1052)*(1+'5. Scenarios'!$B$10)*$D1057)</f>
        <v/>
      </c>
      <c r="F1057" s="57" t="str">
        <f aca="false">IF($E1057="","",SUMIFS($E$6:$E$2405,$A$6:$A$2405,"&lt;="&amp;$A1057))</f>
        <v/>
      </c>
      <c r="G1057" s="57" t="str">
        <f aca="false">IF($E1057="","",IF($F1057&lt;=BankCostEnvelope*'5. Scenarios'!$B$7,1,0))</f>
        <v/>
      </c>
      <c r="H1057" s="57" t="str">
        <f aca="false">IF($D1057="","",INDEX(BookRate,1052)*(1+'5. Scenarios'!$B$10)*(INDEX(BookQ1,1052)*(5-MIN(4,1+'5. Scenarios'!$B$8))/4+INDEX(BookQ2,1052)*(5-MIN(4,2+'5. Scenarios'!$B$8))/4+INDEX(BookQ3,1052)*(5-MIN(4,3+'5. Scenarios'!$B$8))/4+INDEX(BookQ4,1052)*(5-MIN(4,4+'5. Scenarios'!$B$8))/4)*'5. Scenarios'!$B$6/(1+ProductivityDefault*('5. Scenarios'!$B$11-1))+INDEX(BookOneOff,1052)*$D1057)</f>
        <v/>
      </c>
      <c r="I1057" s="56" t="str">
        <f aca="false">IF(INDEX(BookTitle,1052)="","",INDEX(BookTotal,1052)*'5. Scenarios'!$C$6/(1+ProductivityDefault*('5. Scenarios'!$C$11-1)))</f>
        <v/>
      </c>
      <c r="J1057" s="57" t="str">
        <f aca="false">IF($I1057="","",INDEX(BookRate,1052)*(1+'5. Scenarios'!$C$10)*$I1057)</f>
        <v/>
      </c>
      <c r="K1057" s="57" t="str">
        <f aca="false">IF($J1057="","",SUMIFS($J$6:$J$2405,$A$6:$A$2405,"&lt;="&amp;$A1057))</f>
        <v/>
      </c>
      <c r="L1057" s="57" t="str">
        <f aca="false">IF($J1057="","",IF($K1057&lt;=BankCostEnvelope*'5. Scenarios'!$C$7,1,0))</f>
        <v/>
      </c>
      <c r="M1057" s="57" t="str">
        <f aca="false">IF($I1057="","",INDEX(BookRate,1052)*(1+'5. Scenarios'!$C$10)*(INDEX(BookQ1,1052)*(5-MIN(4,1+'5. Scenarios'!$C$8))/4+INDEX(BookQ2,1052)*(5-MIN(4,2+'5. Scenarios'!$C$8))/4+INDEX(BookQ3,1052)*(5-MIN(4,3+'5. Scenarios'!$C$8))/4+INDEX(BookQ4,1052)*(5-MIN(4,4+'5. Scenarios'!$C$8))/4)*'5. Scenarios'!$C$6/(1+ProductivityDefault*('5. Scenarios'!$C$11-1))+INDEX(BookOneOff,1052)*$I1057)</f>
        <v/>
      </c>
      <c r="N1057" s="56" t="str">
        <f aca="false">IF(INDEX(BookTitle,1052)="","",INDEX(BookTotal,1052)*'5. Scenarios'!$D$6/(1+ProductivityDefault*('5. Scenarios'!$D$11-1)))</f>
        <v/>
      </c>
      <c r="O1057" s="57" t="str">
        <f aca="false">IF($N1057="","",INDEX(BookRate,1052)*(1+'5. Scenarios'!$D$10)*$N1057)</f>
        <v/>
      </c>
      <c r="P1057" s="57" t="str">
        <f aca="false">IF($O1057="","",SUMIFS($O$6:$O$2405,$A$6:$A$2405,"&lt;="&amp;$A1057))</f>
        <v/>
      </c>
      <c r="Q1057" s="57" t="str">
        <f aca="false">IF($O1057="","",IF($P1057&lt;=BankCostEnvelope*'5. Scenarios'!$D$7,1,0))</f>
        <v/>
      </c>
      <c r="R1057" s="57" t="str">
        <f aca="false">IF($N1057="","",INDEX(BookRate,1052)*(1+'5. Scenarios'!$D$10)*(INDEX(BookQ1,1052)*(5-MIN(4,1+'5. Scenarios'!$D$8))/4+INDEX(BookQ2,1052)*(5-MIN(4,2+'5. Scenarios'!$D$8))/4+INDEX(BookQ3,1052)*(5-MIN(4,3+'5. Scenarios'!$D$8))/4+INDEX(BookQ4,1052)*(5-MIN(4,4+'5. Scenarios'!$D$8))/4)*'5. Scenarios'!$D$6/(1+ProductivityDefault*('5. Scenarios'!$D$11-1))+INDEX(BookOneOff,1052)*$N1057)</f>
        <v/>
      </c>
      <c r="S1057" s="56" t="str">
        <f aca="false">IF(INDEX(BookTitle,1052)="","",INDEX(BookTotal,1052)*'5. Scenarios'!$E$6/(1+ProductivityDefault*('5. Scenarios'!$E$11-1)))</f>
        <v/>
      </c>
      <c r="T1057" s="57" t="str">
        <f aca="false">IF($S1057="","",INDEX(BookRate,1052)*(1+'5. Scenarios'!$E$10)*$S1057)</f>
        <v/>
      </c>
      <c r="U1057" s="57" t="str">
        <f aca="false">IF($T1057="","",SUMIFS($T$6:$T$2405,$A$6:$A$2405,"&lt;="&amp;$A1057))</f>
        <v/>
      </c>
      <c r="V1057" s="57" t="str">
        <f aca="false">IF($T1057="","",IF($U1057&lt;=BankCostEnvelope*'5. Scenarios'!$E$7,1,0))</f>
        <v/>
      </c>
      <c r="W1057" s="57" t="str">
        <f aca="false">IF($S1057="","",INDEX(BookRate,1052)*(1+'5. Scenarios'!$E$10)*(INDEX(BookQ1,1052)*(5-MIN(4,1+'5. Scenarios'!$E$8))/4+INDEX(BookQ2,1052)*(5-MIN(4,2+'5. Scenarios'!$E$8))/4+INDEX(BookQ3,1052)*(5-MIN(4,3+'5. Scenarios'!$E$8))/4+INDEX(BookQ4,1052)*(5-MIN(4,4+'5. Scenarios'!$E$8))/4)*'5. Scenarios'!$E$6/(1+ProductivityDefault*('5. Scenarios'!$E$11-1))+INDEX(BookOneOff,1052)*$S1057)</f>
        <v/>
      </c>
    </row>
    <row r="1058" customFormat="false" ht="15" hidden="false" customHeight="false" outlineLevel="0" collapsed="false">
      <c r="A1058" s="0" t="str">
        <f aca="false">IF(INDEX(BookTitle,1053)="","",INDEX(BookKey,1053))</f>
        <v/>
      </c>
      <c r="B1058" s="0" t="str">
        <f aca="false">IF(INDEX(BookTitle,1053)="","",INDEX(BookGroup,1053))</f>
        <v/>
      </c>
      <c r="C1058" s="0" t="str">
        <f aca="false">IF(INDEX(BookTitle,1053)="","",INDEX(BookCategory,1053))</f>
        <v/>
      </c>
      <c r="D1058" s="56" t="str">
        <f aca="false">IF(INDEX(BookTitle,1053)="","",INDEX(BookTotal,1053)*'5. Scenarios'!$B$6/(1+ProductivityDefault*('5. Scenarios'!$B$11-1)))</f>
        <v/>
      </c>
      <c r="E1058" s="57" t="str">
        <f aca="false">IF($D1058="","",INDEX(BookRate,1053)*(1+'5. Scenarios'!$B$10)*$D1058)</f>
        <v/>
      </c>
      <c r="F1058" s="57" t="str">
        <f aca="false">IF($E1058="","",SUMIFS($E$6:$E$2405,$A$6:$A$2405,"&lt;="&amp;$A1058))</f>
        <v/>
      </c>
      <c r="G1058" s="57" t="str">
        <f aca="false">IF($E1058="","",IF($F1058&lt;=BankCostEnvelope*'5. Scenarios'!$B$7,1,0))</f>
        <v/>
      </c>
      <c r="H1058" s="57" t="str">
        <f aca="false">IF($D1058="","",INDEX(BookRate,1053)*(1+'5. Scenarios'!$B$10)*(INDEX(BookQ1,1053)*(5-MIN(4,1+'5. Scenarios'!$B$8))/4+INDEX(BookQ2,1053)*(5-MIN(4,2+'5. Scenarios'!$B$8))/4+INDEX(BookQ3,1053)*(5-MIN(4,3+'5. Scenarios'!$B$8))/4+INDEX(BookQ4,1053)*(5-MIN(4,4+'5. Scenarios'!$B$8))/4)*'5. Scenarios'!$B$6/(1+ProductivityDefault*('5. Scenarios'!$B$11-1))+INDEX(BookOneOff,1053)*$D1058)</f>
        <v/>
      </c>
      <c r="I1058" s="56" t="str">
        <f aca="false">IF(INDEX(BookTitle,1053)="","",INDEX(BookTotal,1053)*'5. Scenarios'!$C$6/(1+ProductivityDefault*('5. Scenarios'!$C$11-1)))</f>
        <v/>
      </c>
      <c r="J1058" s="57" t="str">
        <f aca="false">IF($I1058="","",INDEX(BookRate,1053)*(1+'5. Scenarios'!$C$10)*$I1058)</f>
        <v/>
      </c>
      <c r="K1058" s="57" t="str">
        <f aca="false">IF($J1058="","",SUMIFS($J$6:$J$2405,$A$6:$A$2405,"&lt;="&amp;$A1058))</f>
        <v/>
      </c>
      <c r="L1058" s="57" t="str">
        <f aca="false">IF($J1058="","",IF($K1058&lt;=BankCostEnvelope*'5. Scenarios'!$C$7,1,0))</f>
        <v/>
      </c>
      <c r="M1058" s="57" t="str">
        <f aca="false">IF($I1058="","",INDEX(BookRate,1053)*(1+'5. Scenarios'!$C$10)*(INDEX(BookQ1,1053)*(5-MIN(4,1+'5. Scenarios'!$C$8))/4+INDEX(BookQ2,1053)*(5-MIN(4,2+'5. Scenarios'!$C$8))/4+INDEX(BookQ3,1053)*(5-MIN(4,3+'5. Scenarios'!$C$8))/4+INDEX(BookQ4,1053)*(5-MIN(4,4+'5. Scenarios'!$C$8))/4)*'5. Scenarios'!$C$6/(1+ProductivityDefault*('5. Scenarios'!$C$11-1))+INDEX(BookOneOff,1053)*$I1058)</f>
        <v/>
      </c>
      <c r="N1058" s="56" t="str">
        <f aca="false">IF(INDEX(BookTitle,1053)="","",INDEX(BookTotal,1053)*'5. Scenarios'!$D$6/(1+ProductivityDefault*('5. Scenarios'!$D$11-1)))</f>
        <v/>
      </c>
      <c r="O1058" s="57" t="str">
        <f aca="false">IF($N1058="","",INDEX(BookRate,1053)*(1+'5. Scenarios'!$D$10)*$N1058)</f>
        <v/>
      </c>
      <c r="P1058" s="57" t="str">
        <f aca="false">IF($O1058="","",SUMIFS($O$6:$O$2405,$A$6:$A$2405,"&lt;="&amp;$A1058))</f>
        <v/>
      </c>
      <c r="Q1058" s="57" t="str">
        <f aca="false">IF($O1058="","",IF($P1058&lt;=BankCostEnvelope*'5. Scenarios'!$D$7,1,0))</f>
        <v/>
      </c>
      <c r="R1058" s="57" t="str">
        <f aca="false">IF($N1058="","",INDEX(BookRate,1053)*(1+'5. Scenarios'!$D$10)*(INDEX(BookQ1,1053)*(5-MIN(4,1+'5. Scenarios'!$D$8))/4+INDEX(BookQ2,1053)*(5-MIN(4,2+'5. Scenarios'!$D$8))/4+INDEX(BookQ3,1053)*(5-MIN(4,3+'5. Scenarios'!$D$8))/4+INDEX(BookQ4,1053)*(5-MIN(4,4+'5. Scenarios'!$D$8))/4)*'5. Scenarios'!$D$6/(1+ProductivityDefault*('5. Scenarios'!$D$11-1))+INDEX(BookOneOff,1053)*$N1058)</f>
        <v/>
      </c>
      <c r="S1058" s="56" t="str">
        <f aca="false">IF(INDEX(BookTitle,1053)="","",INDEX(BookTotal,1053)*'5. Scenarios'!$E$6/(1+ProductivityDefault*('5. Scenarios'!$E$11-1)))</f>
        <v/>
      </c>
      <c r="T1058" s="57" t="str">
        <f aca="false">IF($S1058="","",INDEX(BookRate,1053)*(1+'5. Scenarios'!$E$10)*$S1058)</f>
        <v/>
      </c>
      <c r="U1058" s="57" t="str">
        <f aca="false">IF($T1058="","",SUMIFS($T$6:$T$2405,$A$6:$A$2405,"&lt;="&amp;$A1058))</f>
        <v/>
      </c>
      <c r="V1058" s="57" t="str">
        <f aca="false">IF($T1058="","",IF($U1058&lt;=BankCostEnvelope*'5. Scenarios'!$E$7,1,0))</f>
        <v/>
      </c>
      <c r="W1058" s="57" t="str">
        <f aca="false">IF($S1058="","",INDEX(BookRate,1053)*(1+'5. Scenarios'!$E$10)*(INDEX(BookQ1,1053)*(5-MIN(4,1+'5. Scenarios'!$E$8))/4+INDEX(BookQ2,1053)*(5-MIN(4,2+'5. Scenarios'!$E$8))/4+INDEX(BookQ3,1053)*(5-MIN(4,3+'5. Scenarios'!$E$8))/4+INDEX(BookQ4,1053)*(5-MIN(4,4+'5. Scenarios'!$E$8))/4)*'5. Scenarios'!$E$6/(1+ProductivityDefault*('5. Scenarios'!$E$11-1))+INDEX(BookOneOff,1053)*$S1058)</f>
        <v/>
      </c>
    </row>
    <row r="1059" customFormat="false" ht="15" hidden="false" customHeight="false" outlineLevel="0" collapsed="false">
      <c r="A1059" s="0" t="str">
        <f aca="false">IF(INDEX(BookTitle,1054)="","",INDEX(BookKey,1054))</f>
        <v/>
      </c>
      <c r="B1059" s="0" t="str">
        <f aca="false">IF(INDEX(BookTitle,1054)="","",INDEX(BookGroup,1054))</f>
        <v/>
      </c>
      <c r="C1059" s="0" t="str">
        <f aca="false">IF(INDEX(BookTitle,1054)="","",INDEX(BookCategory,1054))</f>
        <v/>
      </c>
      <c r="D1059" s="56" t="str">
        <f aca="false">IF(INDEX(BookTitle,1054)="","",INDEX(BookTotal,1054)*'5. Scenarios'!$B$6/(1+ProductivityDefault*('5. Scenarios'!$B$11-1)))</f>
        <v/>
      </c>
      <c r="E1059" s="57" t="str">
        <f aca="false">IF($D1059="","",INDEX(BookRate,1054)*(1+'5. Scenarios'!$B$10)*$D1059)</f>
        <v/>
      </c>
      <c r="F1059" s="57" t="str">
        <f aca="false">IF($E1059="","",SUMIFS($E$6:$E$2405,$A$6:$A$2405,"&lt;="&amp;$A1059))</f>
        <v/>
      </c>
      <c r="G1059" s="57" t="str">
        <f aca="false">IF($E1059="","",IF($F1059&lt;=BankCostEnvelope*'5. Scenarios'!$B$7,1,0))</f>
        <v/>
      </c>
      <c r="H1059" s="57" t="str">
        <f aca="false">IF($D1059="","",INDEX(BookRate,1054)*(1+'5. Scenarios'!$B$10)*(INDEX(BookQ1,1054)*(5-MIN(4,1+'5. Scenarios'!$B$8))/4+INDEX(BookQ2,1054)*(5-MIN(4,2+'5. Scenarios'!$B$8))/4+INDEX(BookQ3,1054)*(5-MIN(4,3+'5. Scenarios'!$B$8))/4+INDEX(BookQ4,1054)*(5-MIN(4,4+'5. Scenarios'!$B$8))/4)*'5. Scenarios'!$B$6/(1+ProductivityDefault*('5. Scenarios'!$B$11-1))+INDEX(BookOneOff,1054)*$D1059)</f>
        <v/>
      </c>
      <c r="I1059" s="56" t="str">
        <f aca="false">IF(INDEX(BookTitle,1054)="","",INDEX(BookTotal,1054)*'5. Scenarios'!$C$6/(1+ProductivityDefault*('5. Scenarios'!$C$11-1)))</f>
        <v/>
      </c>
      <c r="J1059" s="57" t="str">
        <f aca="false">IF($I1059="","",INDEX(BookRate,1054)*(1+'5. Scenarios'!$C$10)*$I1059)</f>
        <v/>
      </c>
      <c r="K1059" s="57" t="str">
        <f aca="false">IF($J1059="","",SUMIFS($J$6:$J$2405,$A$6:$A$2405,"&lt;="&amp;$A1059))</f>
        <v/>
      </c>
      <c r="L1059" s="57" t="str">
        <f aca="false">IF($J1059="","",IF($K1059&lt;=BankCostEnvelope*'5. Scenarios'!$C$7,1,0))</f>
        <v/>
      </c>
      <c r="M1059" s="57" t="str">
        <f aca="false">IF($I1059="","",INDEX(BookRate,1054)*(1+'5. Scenarios'!$C$10)*(INDEX(BookQ1,1054)*(5-MIN(4,1+'5. Scenarios'!$C$8))/4+INDEX(BookQ2,1054)*(5-MIN(4,2+'5. Scenarios'!$C$8))/4+INDEX(BookQ3,1054)*(5-MIN(4,3+'5. Scenarios'!$C$8))/4+INDEX(BookQ4,1054)*(5-MIN(4,4+'5. Scenarios'!$C$8))/4)*'5. Scenarios'!$C$6/(1+ProductivityDefault*('5. Scenarios'!$C$11-1))+INDEX(BookOneOff,1054)*$I1059)</f>
        <v/>
      </c>
      <c r="N1059" s="56" t="str">
        <f aca="false">IF(INDEX(BookTitle,1054)="","",INDEX(BookTotal,1054)*'5. Scenarios'!$D$6/(1+ProductivityDefault*('5. Scenarios'!$D$11-1)))</f>
        <v/>
      </c>
      <c r="O1059" s="57" t="str">
        <f aca="false">IF($N1059="","",INDEX(BookRate,1054)*(1+'5. Scenarios'!$D$10)*$N1059)</f>
        <v/>
      </c>
      <c r="P1059" s="57" t="str">
        <f aca="false">IF($O1059="","",SUMIFS($O$6:$O$2405,$A$6:$A$2405,"&lt;="&amp;$A1059))</f>
        <v/>
      </c>
      <c r="Q1059" s="57" t="str">
        <f aca="false">IF($O1059="","",IF($P1059&lt;=BankCostEnvelope*'5. Scenarios'!$D$7,1,0))</f>
        <v/>
      </c>
      <c r="R1059" s="57" t="str">
        <f aca="false">IF($N1059="","",INDEX(BookRate,1054)*(1+'5. Scenarios'!$D$10)*(INDEX(BookQ1,1054)*(5-MIN(4,1+'5. Scenarios'!$D$8))/4+INDEX(BookQ2,1054)*(5-MIN(4,2+'5. Scenarios'!$D$8))/4+INDEX(BookQ3,1054)*(5-MIN(4,3+'5. Scenarios'!$D$8))/4+INDEX(BookQ4,1054)*(5-MIN(4,4+'5. Scenarios'!$D$8))/4)*'5. Scenarios'!$D$6/(1+ProductivityDefault*('5. Scenarios'!$D$11-1))+INDEX(BookOneOff,1054)*$N1059)</f>
        <v/>
      </c>
      <c r="S1059" s="56" t="str">
        <f aca="false">IF(INDEX(BookTitle,1054)="","",INDEX(BookTotal,1054)*'5. Scenarios'!$E$6/(1+ProductivityDefault*('5. Scenarios'!$E$11-1)))</f>
        <v/>
      </c>
      <c r="T1059" s="57" t="str">
        <f aca="false">IF($S1059="","",INDEX(BookRate,1054)*(1+'5. Scenarios'!$E$10)*$S1059)</f>
        <v/>
      </c>
      <c r="U1059" s="57" t="str">
        <f aca="false">IF($T1059="","",SUMIFS($T$6:$T$2405,$A$6:$A$2405,"&lt;="&amp;$A1059))</f>
        <v/>
      </c>
      <c r="V1059" s="57" t="str">
        <f aca="false">IF($T1059="","",IF($U1059&lt;=BankCostEnvelope*'5. Scenarios'!$E$7,1,0))</f>
        <v/>
      </c>
      <c r="W1059" s="57" t="str">
        <f aca="false">IF($S1059="","",INDEX(BookRate,1054)*(1+'5. Scenarios'!$E$10)*(INDEX(BookQ1,1054)*(5-MIN(4,1+'5. Scenarios'!$E$8))/4+INDEX(BookQ2,1054)*(5-MIN(4,2+'5. Scenarios'!$E$8))/4+INDEX(BookQ3,1054)*(5-MIN(4,3+'5. Scenarios'!$E$8))/4+INDEX(BookQ4,1054)*(5-MIN(4,4+'5. Scenarios'!$E$8))/4)*'5. Scenarios'!$E$6/(1+ProductivityDefault*('5. Scenarios'!$E$11-1))+INDEX(BookOneOff,1054)*$S1059)</f>
        <v/>
      </c>
    </row>
    <row r="1060" customFormat="false" ht="15" hidden="false" customHeight="false" outlineLevel="0" collapsed="false">
      <c r="A1060" s="0" t="str">
        <f aca="false">IF(INDEX(BookTitle,1055)="","",INDEX(BookKey,1055))</f>
        <v/>
      </c>
      <c r="B1060" s="0" t="str">
        <f aca="false">IF(INDEX(BookTitle,1055)="","",INDEX(BookGroup,1055))</f>
        <v/>
      </c>
      <c r="C1060" s="0" t="str">
        <f aca="false">IF(INDEX(BookTitle,1055)="","",INDEX(BookCategory,1055))</f>
        <v/>
      </c>
      <c r="D1060" s="56" t="str">
        <f aca="false">IF(INDEX(BookTitle,1055)="","",INDEX(BookTotal,1055)*'5. Scenarios'!$B$6/(1+ProductivityDefault*('5. Scenarios'!$B$11-1)))</f>
        <v/>
      </c>
      <c r="E1060" s="57" t="str">
        <f aca="false">IF($D1060="","",INDEX(BookRate,1055)*(1+'5. Scenarios'!$B$10)*$D1060)</f>
        <v/>
      </c>
      <c r="F1060" s="57" t="str">
        <f aca="false">IF($E1060="","",SUMIFS($E$6:$E$2405,$A$6:$A$2405,"&lt;="&amp;$A1060))</f>
        <v/>
      </c>
      <c r="G1060" s="57" t="str">
        <f aca="false">IF($E1060="","",IF($F1060&lt;=BankCostEnvelope*'5. Scenarios'!$B$7,1,0))</f>
        <v/>
      </c>
      <c r="H1060" s="57" t="str">
        <f aca="false">IF($D1060="","",INDEX(BookRate,1055)*(1+'5. Scenarios'!$B$10)*(INDEX(BookQ1,1055)*(5-MIN(4,1+'5. Scenarios'!$B$8))/4+INDEX(BookQ2,1055)*(5-MIN(4,2+'5. Scenarios'!$B$8))/4+INDEX(BookQ3,1055)*(5-MIN(4,3+'5. Scenarios'!$B$8))/4+INDEX(BookQ4,1055)*(5-MIN(4,4+'5. Scenarios'!$B$8))/4)*'5. Scenarios'!$B$6/(1+ProductivityDefault*('5. Scenarios'!$B$11-1))+INDEX(BookOneOff,1055)*$D1060)</f>
        <v/>
      </c>
      <c r="I1060" s="56" t="str">
        <f aca="false">IF(INDEX(BookTitle,1055)="","",INDEX(BookTotal,1055)*'5. Scenarios'!$C$6/(1+ProductivityDefault*('5. Scenarios'!$C$11-1)))</f>
        <v/>
      </c>
      <c r="J1060" s="57" t="str">
        <f aca="false">IF($I1060="","",INDEX(BookRate,1055)*(1+'5. Scenarios'!$C$10)*$I1060)</f>
        <v/>
      </c>
      <c r="K1060" s="57" t="str">
        <f aca="false">IF($J1060="","",SUMIFS($J$6:$J$2405,$A$6:$A$2405,"&lt;="&amp;$A1060))</f>
        <v/>
      </c>
      <c r="L1060" s="57" t="str">
        <f aca="false">IF($J1060="","",IF($K1060&lt;=BankCostEnvelope*'5. Scenarios'!$C$7,1,0))</f>
        <v/>
      </c>
      <c r="M1060" s="57" t="str">
        <f aca="false">IF($I1060="","",INDEX(BookRate,1055)*(1+'5. Scenarios'!$C$10)*(INDEX(BookQ1,1055)*(5-MIN(4,1+'5. Scenarios'!$C$8))/4+INDEX(BookQ2,1055)*(5-MIN(4,2+'5. Scenarios'!$C$8))/4+INDEX(BookQ3,1055)*(5-MIN(4,3+'5. Scenarios'!$C$8))/4+INDEX(BookQ4,1055)*(5-MIN(4,4+'5. Scenarios'!$C$8))/4)*'5. Scenarios'!$C$6/(1+ProductivityDefault*('5. Scenarios'!$C$11-1))+INDEX(BookOneOff,1055)*$I1060)</f>
        <v/>
      </c>
      <c r="N1060" s="56" t="str">
        <f aca="false">IF(INDEX(BookTitle,1055)="","",INDEX(BookTotal,1055)*'5. Scenarios'!$D$6/(1+ProductivityDefault*('5. Scenarios'!$D$11-1)))</f>
        <v/>
      </c>
      <c r="O1060" s="57" t="str">
        <f aca="false">IF($N1060="","",INDEX(BookRate,1055)*(1+'5. Scenarios'!$D$10)*$N1060)</f>
        <v/>
      </c>
      <c r="P1060" s="57" t="str">
        <f aca="false">IF($O1060="","",SUMIFS($O$6:$O$2405,$A$6:$A$2405,"&lt;="&amp;$A1060))</f>
        <v/>
      </c>
      <c r="Q1060" s="57" t="str">
        <f aca="false">IF($O1060="","",IF($P1060&lt;=BankCostEnvelope*'5. Scenarios'!$D$7,1,0))</f>
        <v/>
      </c>
      <c r="R1060" s="57" t="str">
        <f aca="false">IF($N1060="","",INDEX(BookRate,1055)*(1+'5. Scenarios'!$D$10)*(INDEX(BookQ1,1055)*(5-MIN(4,1+'5. Scenarios'!$D$8))/4+INDEX(BookQ2,1055)*(5-MIN(4,2+'5. Scenarios'!$D$8))/4+INDEX(BookQ3,1055)*(5-MIN(4,3+'5. Scenarios'!$D$8))/4+INDEX(BookQ4,1055)*(5-MIN(4,4+'5. Scenarios'!$D$8))/4)*'5. Scenarios'!$D$6/(1+ProductivityDefault*('5. Scenarios'!$D$11-1))+INDEX(BookOneOff,1055)*$N1060)</f>
        <v/>
      </c>
      <c r="S1060" s="56" t="str">
        <f aca="false">IF(INDEX(BookTitle,1055)="","",INDEX(BookTotal,1055)*'5. Scenarios'!$E$6/(1+ProductivityDefault*('5. Scenarios'!$E$11-1)))</f>
        <v/>
      </c>
      <c r="T1060" s="57" t="str">
        <f aca="false">IF($S1060="","",INDEX(BookRate,1055)*(1+'5. Scenarios'!$E$10)*$S1060)</f>
        <v/>
      </c>
      <c r="U1060" s="57" t="str">
        <f aca="false">IF($T1060="","",SUMIFS($T$6:$T$2405,$A$6:$A$2405,"&lt;="&amp;$A1060))</f>
        <v/>
      </c>
      <c r="V1060" s="57" t="str">
        <f aca="false">IF($T1060="","",IF($U1060&lt;=BankCostEnvelope*'5. Scenarios'!$E$7,1,0))</f>
        <v/>
      </c>
      <c r="W1060" s="57" t="str">
        <f aca="false">IF($S1060="","",INDEX(BookRate,1055)*(1+'5. Scenarios'!$E$10)*(INDEX(BookQ1,1055)*(5-MIN(4,1+'5. Scenarios'!$E$8))/4+INDEX(BookQ2,1055)*(5-MIN(4,2+'5. Scenarios'!$E$8))/4+INDEX(BookQ3,1055)*(5-MIN(4,3+'5. Scenarios'!$E$8))/4+INDEX(BookQ4,1055)*(5-MIN(4,4+'5. Scenarios'!$E$8))/4)*'5. Scenarios'!$E$6/(1+ProductivityDefault*('5. Scenarios'!$E$11-1))+INDEX(BookOneOff,1055)*$S1060)</f>
        <v/>
      </c>
    </row>
    <row r="1061" customFormat="false" ht="15" hidden="false" customHeight="false" outlineLevel="0" collapsed="false">
      <c r="A1061" s="0" t="str">
        <f aca="false">IF(INDEX(BookTitle,1056)="","",INDEX(BookKey,1056))</f>
        <v/>
      </c>
      <c r="B1061" s="0" t="str">
        <f aca="false">IF(INDEX(BookTitle,1056)="","",INDEX(BookGroup,1056))</f>
        <v/>
      </c>
      <c r="C1061" s="0" t="str">
        <f aca="false">IF(INDEX(BookTitle,1056)="","",INDEX(BookCategory,1056))</f>
        <v/>
      </c>
      <c r="D1061" s="56" t="str">
        <f aca="false">IF(INDEX(BookTitle,1056)="","",INDEX(BookTotal,1056)*'5. Scenarios'!$B$6/(1+ProductivityDefault*('5. Scenarios'!$B$11-1)))</f>
        <v/>
      </c>
      <c r="E1061" s="57" t="str">
        <f aca="false">IF($D1061="","",INDEX(BookRate,1056)*(1+'5. Scenarios'!$B$10)*$D1061)</f>
        <v/>
      </c>
      <c r="F1061" s="57" t="str">
        <f aca="false">IF($E1061="","",SUMIFS($E$6:$E$2405,$A$6:$A$2405,"&lt;="&amp;$A1061))</f>
        <v/>
      </c>
      <c r="G1061" s="57" t="str">
        <f aca="false">IF($E1061="","",IF($F1061&lt;=BankCostEnvelope*'5. Scenarios'!$B$7,1,0))</f>
        <v/>
      </c>
      <c r="H1061" s="57" t="str">
        <f aca="false">IF($D1061="","",INDEX(BookRate,1056)*(1+'5. Scenarios'!$B$10)*(INDEX(BookQ1,1056)*(5-MIN(4,1+'5. Scenarios'!$B$8))/4+INDEX(BookQ2,1056)*(5-MIN(4,2+'5. Scenarios'!$B$8))/4+INDEX(BookQ3,1056)*(5-MIN(4,3+'5. Scenarios'!$B$8))/4+INDEX(BookQ4,1056)*(5-MIN(4,4+'5. Scenarios'!$B$8))/4)*'5. Scenarios'!$B$6/(1+ProductivityDefault*('5. Scenarios'!$B$11-1))+INDEX(BookOneOff,1056)*$D1061)</f>
        <v/>
      </c>
      <c r="I1061" s="56" t="str">
        <f aca="false">IF(INDEX(BookTitle,1056)="","",INDEX(BookTotal,1056)*'5. Scenarios'!$C$6/(1+ProductivityDefault*('5. Scenarios'!$C$11-1)))</f>
        <v/>
      </c>
      <c r="J1061" s="57" t="str">
        <f aca="false">IF($I1061="","",INDEX(BookRate,1056)*(1+'5. Scenarios'!$C$10)*$I1061)</f>
        <v/>
      </c>
      <c r="K1061" s="57" t="str">
        <f aca="false">IF($J1061="","",SUMIFS($J$6:$J$2405,$A$6:$A$2405,"&lt;="&amp;$A1061))</f>
        <v/>
      </c>
      <c r="L1061" s="57" t="str">
        <f aca="false">IF($J1061="","",IF($K1061&lt;=BankCostEnvelope*'5. Scenarios'!$C$7,1,0))</f>
        <v/>
      </c>
      <c r="M1061" s="57" t="str">
        <f aca="false">IF($I1061="","",INDEX(BookRate,1056)*(1+'5. Scenarios'!$C$10)*(INDEX(BookQ1,1056)*(5-MIN(4,1+'5. Scenarios'!$C$8))/4+INDEX(BookQ2,1056)*(5-MIN(4,2+'5. Scenarios'!$C$8))/4+INDEX(BookQ3,1056)*(5-MIN(4,3+'5. Scenarios'!$C$8))/4+INDEX(BookQ4,1056)*(5-MIN(4,4+'5. Scenarios'!$C$8))/4)*'5. Scenarios'!$C$6/(1+ProductivityDefault*('5. Scenarios'!$C$11-1))+INDEX(BookOneOff,1056)*$I1061)</f>
        <v/>
      </c>
      <c r="N1061" s="56" t="str">
        <f aca="false">IF(INDEX(BookTitle,1056)="","",INDEX(BookTotal,1056)*'5. Scenarios'!$D$6/(1+ProductivityDefault*('5. Scenarios'!$D$11-1)))</f>
        <v/>
      </c>
      <c r="O1061" s="57" t="str">
        <f aca="false">IF($N1061="","",INDEX(BookRate,1056)*(1+'5. Scenarios'!$D$10)*$N1061)</f>
        <v/>
      </c>
      <c r="P1061" s="57" t="str">
        <f aca="false">IF($O1061="","",SUMIFS($O$6:$O$2405,$A$6:$A$2405,"&lt;="&amp;$A1061))</f>
        <v/>
      </c>
      <c r="Q1061" s="57" t="str">
        <f aca="false">IF($O1061="","",IF($P1061&lt;=BankCostEnvelope*'5. Scenarios'!$D$7,1,0))</f>
        <v/>
      </c>
      <c r="R1061" s="57" t="str">
        <f aca="false">IF($N1061="","",INDEX(BookRate,1056)*(1+'5. Scenarios'!$D$10)*(INDEX(BookQ1,1056)*(5-MIN(4,1+'5. Scenarios'!$D$8))/4+INDEX(BookQ2,1056)*(5-MIN(4,2+'5. Scenarios'!$D$8))/4+INDEX(BookQ3,1056)*(5-MIN(4,3+'5. Scenarios'!$D$8))/4+INDEX(BookQ4,1056)*(5-MIN(4,4+'5. Scenarios'!$D$8))/4)*'5. Scenarios'!$D$6/(1+ProductivityDefault*('5. Scenarios'!$D$11-1))+INDEX(BookOneOff,1056)*$N1061)</f>
        <v/>
      </c>
      <c r="S1061" s="56" t="str">
        <f aca="false">IF(INDEX(BookTitle,1056)="","",INDEX(BookTotal,1056)*'5. Scenarios'!$E$6/(1+ProductivityDefault*('5. Scenarios'!$E$11-1)))</f>
        <v/>
      </c>
      <c r="T1061" s="57" t="str">
        <f aca="false">IF($S1061="","",INDEX(BookRate,1056)*(1+'5. Scenarios'!$E$10)*$S1061)</f>
        <v/>
      </c>
      <c r="U1061" s="57" t="str">
        <f aca="false">IF($T1061="","",SUMIFS($T$6:$T$2405,$A$6:$A$2405,"&lt;="&amp;$A1061))</f>
        <v/>
      </c>
      <c r="V1061" s="57" t="str">
        <f aca="false">IF($T1061="","",IF($U1061&lt;=BankCostEnvelope*'5. Scenarios'!$E$7,1,0))</f>
        <v/>
      </c>
      <c r="W1061" s="57" t="str">
        <f aca="false">IF($S1061="","",INDEX(BookRate,1056)*(1+'5. Scenarios'!$E$10)*(INDEX(BookQ1,1056)*(5-MIN(4,1+'5. Scenarios'!$E$8))/4+INDEX(BookQ2,1056)*(5-MIN(4,2+'5. Scenarios'!$E$8))/4+INDEX(BookQ3,1056)*(5-MIN(4,3+'5. Scenarios'!$E$8))/4+INDEX(BookQ4,1056)*(5-MIN(4,4+'5. Scenarios'!$E$8))/4)*'5. Scenarios'!$E$6/(1+ProductivityDefault*('5. Scenarios'!$E$11-1))+INDEX(BookOneOff,1056)*$S1061)</f>
        <v/>
      </c>
    </row>
    <row r="1062" customFormat="false" ht="15" hidden="false" customHeight="false" outlineLevel="0" collapsed="false">
      <c r="A1062" s="0" t="str">
        <f aca="false">IF(INDEX(BookTitle,1057)="","",INDEX(BookKey,1057))</f>
        <v/>
      </c>
      <c r="B1062" s="0" t="str">
        <f aca="false">IF(INDEX(BookTitle,1057)="","",INDEX(BookGroup,1057))</f>
        <v/>
      </c>
      <c r="C1062" s="0" t="str">
        <f aca="false">IF(INDEX(BookTitle,1057)="","",INDEX(BookCategory,1057))</f>
        <v/>
      </c>
      <c r="D1062" s="56" t="str">
        <f aca="false">IF(INDEX(BookTitle,1057)="","",INDEX(BookTotal,1057)*'5. Scenarios'!$B$6/(1+ProductivityDefault*('5. Scenarios'!$B$11-1)))</f>
        <v/>
      </c>
      <c r="E1062" s="57" t="str">
        <f aca="false">IF($D1062="","",INDEX(BookRate,1057)*(1+'5. Scenarios'!$B$10)*$D1062)</f>
        <v/>
      </c>
      <c r="F1062" s="57" t="str">
        <f aca="false">IF($E1062="","",SUMIFS($E$6:$E$2405,$A$6:$A$2405,"&lt;="&amp;$A1062))</f>
        <v/>
      </c>
      <c r="G1062" s="57" t="str">
        <f aca="false">IF($E1062="","",IF($F1062&lt;=BankCostEnvelope*'5. Scenarios'!$B$7,1,0))</f>
        <v/>
      </c>
      <c r="H1062" s="57" t="str">
        <f aca="false">IF($D1062="","",INDEX(BookRate,1057)*(1+'5. Scenarios'!$B$10)*(INDEX(BookQ1,1057)*(5-MIN(4,1+'5. Scenarios'!$B$8))/4+INDEX(BookQ2,1057)*(5-MIN(4,2+'5. Scenarios'!$B$8))/4+INDEX(BookQ3,1057)*(5-MIN(4,3+'5. Scenarios'!$B$8))/4+INDEX(BookQ4,1057)*(5-MIN(4,4+'5. Scenarios'!$B$8))/4)*'5. Scenarios'!$B$6/(1+ProductivityDefault*('5. Scenarios'!$B$11-1))+INDEX(BookOneOff,1057)*$D1062)</f>
        <v/>
      </c>
      <c r="I1062" s="56" t="str">
        <f aca="false">IF(INDEX(BookTitle,1057)="","",INDEX(BookTotal,1057)*'5. Scenarios'!$C$6/(1+ProductivityDefault*('5. Scenarios'!$C$11-1)))</f>
        <v/>
      </c>
      <c r="J1062" s="57" t="str">
        <f aca="false">IF($I1062="","",INDEX(BookRate,1057)*(1+'5. Scenarios'!$C$10)*$I1062)</f>
        <v/>
      </c>
      <c r="K1062" s="57" t="str">
        <f aca="false">IF($J1062="","",SUMIFS($J$6:$J$2405,$A$6:$A$2405,"&lt;="&amp;$A1062))</f>
        <v/>
      </c>
      <c r="L1062" s="57" t="str">
        <f aca="false">IF($J1062="","",IF($K1062&lt;=BankCostEnvelope*'5. Scenarios'!$C$7,1,0))</f>
        <v/>
      </c>
      <c r="M1062" s="57" t="str">
        <f aca="false">IF($I1062="","",INDEX(BookRate,1057)*(1+'5. Scenarios'!$C$10)*(INDEX(BookQ1,1057)*(5-MIN(4,1+'5. Scenarios'!$C$8))/4+INDEX(BookQ2,1057)*(5-MIN(4,2+'5. Scenarios'!$C$8))/4+INDEX(BookQ3,1057)*(5-MIN(4,3+'5. Scenarios'!$C$8))/4+INDEX(BookQ4,1057)*(5-MIN(4,4+'5. Scenarios'!$C$8))/4)*'5. Scenarios'!$C$6/(1+ProductivityDefault*('5. Scenarios'!$C$11-1))+INDEX(BookOneOff,1057)*$I1062)</f>
        <v/>
      </c>
      <c r="N1062" s="56" t="str">
        <f aca="false">IF(INDEX(BookTitle,1057)="","",INDEX(BookTotal,1057)*'5. Scenarios'!$D$6/(1+ProductivityDefault*('5. Scenarios'!$D$11-1)))</f>
        <v/>
      </c>
      <c r="O1062" s="57" t="str">
        <f aca="false">IF($N1062="","",INDEX(BookRate,1057)*(1+'5. Scenarios'!$D$10)*$N1062)</f>
        <v/>
      </c>
      <c r="P1062" s="57" t="str">
        <f aca="false">IF($O1062="","",SUMIFS($O$6:$O$2405,$A$6:$A$2405,"&lt;="&amp;$A1062))</f>
        <v/>
      </c>
      <c r="Q1062" s="57" t="str">
        <f aca="false">IF($O1062="","",IF($P1062&lt;=BankCostEnvelope*'5. Scenarios'!$D$7,1,0))</f>
        <v/>
      </c>
      <c r="R1062" s="57" t="str">
        <f aca="false">IF($N1062="","",INDEX(BookRate,1057)*(1+'5. Scenarios'!$D$10)*(INDEX(BookQ1,1057)*(5-MIN(4,1+'5. Scenarios'!$D$8))/4+INDEX(BookQ2,1057)*(5-MIN(4,2+'5. Scenarios'!$D$8))/4+INDEX(BookQ3,1057)*(5-MIN(4,3+'5. Scenarios'!$D$8))/4+INDEX(BookQ4,1057)*(5-MIN(4,4+'5. Scenarios'!$D$8))/4)*'5. Scenarios'!$D$6/(1+ProductivityDefault*('5. Scenarios'!$D$11-1))+INDEX(BookOneOff,1057)*$N1062)</f>
        <v/>
      </c>
      <c r="S1062" s="56" t="str">
        <f aca="false">IF(INDEX(BookTitle,1057)="","",INDEX(BookTotal,1057)*'5. Scenarios'!$E$6/(1+ProductivityDefault*('5. Scenarios'!$E$11-1)))</f>
        <v/>
      </c>
      <c r="T1062" s="57" t="str">
        <f aca="false">IF($S1062="","",INDEX(BookRate,1057)*(1+'5. Scenarios'!$E$10)*$S1062)</f>
        <v/>
      </c>
      <c r="U1062" s="57" t="str">
        <f aca="false">IF($T1062="","",SUMIFS($T$6:$T$2405,$A$6:$A$2405,"&lt;="&amp;$A1062))</f>
        <v/>
      </c>
      <c r="V1062" s="57" t="str">
        <f aca="false">IF($T1062="","",IF($U1062&lt;=BankCostEnvelope*'5. Scenarios'!$E$7,1,0))</f>
        <v/>
      </c>
      <c r="W1062" s="57" t="str">
        <f aca="false">IF($S1062="","",INDEX(BookRate,1057)*(1+'5. Scenarios'!$E$10)*(INDEX(BookQ1,1057)*(5-MIN(4,1+'5. Scenarios'!$E$8))/4+INDEX(BookQ2,1057)*(5-MIN(4,2+'5. Scenarios'!$E$8))/4+INDEX(BookQ3,1057)*(5-MIN(4,3+'5. Scenarios'!$E$8))/4+INDEX(BookQ4,1057)*(5-MIN(4,4+'5. Scenarios'!$E$8))/4)*'5. Scenarios'!$E$6/(1+ProductivityDefault*('5. Scenarios'!$E$11-1))+INDEX(BookOneOff,1057)*$S1062)</f>
        <v/>
      </c>
    </row>
    <row r="1063" customFormat="false" ht="15" hidden="false" customHeight="false" outlineLevel="0" collapsed="false">
      <c r="A1063" s="0" t="str">
        <f aca="false">IF(INDEX(BookTitle,1058)="","",INDEX(BookKey,1058))</f>
        <v/>
      </c>
      <c r="B1063" s="0" t="str">
        <f aca="false">IF(INDEX(BookTitle,1058)="","",INDEX(BookGroup,1058))</f>
        <v/>
      </c>
      <c r="C1063" s="0" t="str">
        <f aca="false">IF(INDEX(BookTitle,1058)="","",INDEX(BookCategory,1058))</f>
        <v/>
      </c>
      <c r="D1063" s="56" t="str">
        <f aca="false">IF(INDEX(BookTitle,1058)="","",INDEX(BookTotal,1058)*'5. Scenarios'!$B$6/(1+ProductivityDefault*('5. Scenarios'!$B$11-1)))</f>
        <v/>
      </c>
      <c r="E1063" s="57" t="str">
        <f aca="false">IF($D1063="","",INDEX(BookRate,1058)*(1+'5. Scenarios'!$B$10)*$D1063)</f>
        <v/>
      </c>
      <c r="F1063" s="57" t="str">
        <f aca="false">IF($E1063="","",SUMIFS($E$6:$E$2405,$A$6:$A$2405,"&lt;="&amp;$A1063))</f>
        <v/>
      </c>
      <c r="G1063" s="57" t="str">
        <f aca="false">IF($E1063="","",IF($F1063&lt;=BankCostEnvelope*'5. Scenarios'!$B$7,1,0))</f>
        <v/>
      </c>
      <c r="H1063" s="57" t="str">
        <f aca="false">IF($D1063="","",INDEX(BookRate,1058)*(1+'5. Scenarios'!$B$10)*(INDEX(BookQ1,1058)*(5-MIN(4,1+'5. Scenarios'!$B$8))/4+INDEX(BookQ2,1058)*(5-MIN(4,2+'5. Scenarios'!$B$8))/4+INDEX(BookQ3,1058)*(5-MIN(4,3+'5. Scenarios'!$B$8))/4+INDEX(BookQ4,1058)*(5-MIN(4,4+'5. Scenarios'!$B$8))/4)*'5. Scenarios'!$B$6/(1+ProductivityDefault*('5. Scenarios'!$B$11-1))+INDEX(BookOneOff,1058)*$D1063)</f>
        <v/>
      </c>
      <c r="I1063" s="56" t="str">
        <f aca="false">IF(INDEX(BookTitle,1058)="","",INDEX(BookTotal,1058)*'5. Scenarios'!$C$6/(1+ProductivityDefault*('5. Scenarios'!$C$11-1)))</f>
        <v/>
      </c>
      <c r="J1063" s="57" t="str">
        <f aca="false">IF($I1063="","",INDEX(BookRate,1058)*(1+'5. Scenarios'!$C$10)*$I1063)</f>
        <v/>
      </c>
      <c r="K1063" s="57" t="str">
        <f aca="false">IF($J1063="","",SUMIFS($J$6:$J$2405,$A$6:$A$2405,"&lt;="&amp;$A1063))</f>
        <v/>
      </c>
      <c r="L1063" s="57" t="str">
        <f aca="false">IF($J1063="","",IF($K1063&lt;=BankCostEnvelope*'5. Scenarios'!$C$7,1,0))</f>
        <v/>
      </c>
      <c r="M1063" s="57" t="str">
        <f aca="false">IF($I1063="","",INDEX(BookRate,1058)*(1+'5. Scenarios'!$C$10)*(INDEX(BookQ1,1058)*(5-MIN(4,1+'5. Scenarios'!$C$8))/4+INDEX(BookQ2,1058)*(5-MIN(4,2+'5. Scenarios'!$C$8))/4+INDEX(BookQ3,1058)*(5-MIN(4,3+'5. Scenarios'!$C$8))/4+INDEX(BookQ4,1058)*(5-MIN(4,4+'5. Scenarios'!$C$8))/4)*'5. Scenarios'!$C$6/(1+ProductivityDefault*('5. Scenarios'!$C$11-1))+INDEX(BookOneOff,1058)*$I1063)</f>
        <v/>
      </c>
      <c r="N1063" s="56" t="str">
        <f aca="false">IF(INDEX(BookTitle,1058)="","",INDEX(BookTotal,1058)*'5. Scenarios'!$D$6/(1+ProductivityDefault*('5. Scenarios'!$D$11-1)))</f>
        <v/>
      </c>
      <c r="O1063" s="57" t="str">
        <f aca="false">IF($N1063="","",INDEX(BookRate,1058)*(1+'5. Scenarios'!$D$10)*$N1063)</f>
        <v/>
      </c>
      <c r="P1063" s="57" t="str">
        <f aca="false">IF($O1063="","",SUMIFS($O$6:$O$2405,$A$6:$A$2405,"&lt;="&amp;$A1063))</f>
        <v/>
      </c>
      <c r="Q1063" s="57" t="str">
        <f aca="false">IF($O1063="","",IF($P1063&lt;=BankCostEnvelope*'5. Scenarios'!$D$7,1,0))</f>
        <v/>
      </c>
      <c r="R1063" s="57" t="str">
        <f aca="false">IF($N1063="","",INDEX(BookRate,1058)*(1+'5. Scenarios'!$D$10)*(INDEX(BookQ1,1058)*(5-MIN(4,1+'5. Scenarios'!$D$8))/4+INDEX(BookQ2,1058)*(5-MIN(4,2+'5. Scenarios'!$D$8))/4+INDEX(BookQ3,1058)*(5-MIN(4,3+'5. Scenarios'!$D$8))/4+INDEX(BookQ4,1058)*(5-MIN(4,4+'5. Scenarios'!$D$8))/4)*'5. Scenarios'!$D$6/(1+ProductivityDefault*('5. Scenarios'!$D$11-1))+INDEX(BookOneOff,1058)*$N1063)</f>
        <v/>
      </c>
      <c r="S1063" s="56" t="str">
        <f aca="false">IF(INDEX(BookTitle,1058)="","",INDEX(BookTotal,1058)*'5. Scenarios'!$E$6/(1+ProductivityDefault*('5. Scenarios'!$E$11-1)))</f>
        <v/>
      </c>
      <c r="T1063" s="57" t="str">
        <f aca="false">IF($S1063="","",INDEX(BookRate,1058)*(1+'5. Scenarios'!$E$10)*$S1063)</f>
        <v/>
      </c>
      <c r="U1063" s="57" t="str">
        <f aca="false">IF($T1063="","",SUMIFS($T$6:$T$2405,$A$6:$A$2405,"&lt;="&amp;$A1063))</f>
        <v/>
      </c>
      <c r="V1063" s="57" t="str">
        <f aca="false">IF($T1063="","",IF($U1063&lt;=BankCostEnvelope*'5. Scenarios'!$E$7,1,0))</f>
        <v/>
      </c>
      <c r="W1063" s="57" t="str">
        <f aca="false">IF($S1063="","",INDEX(BookRate,1058)*(1+'5. Scenarios'!$E$10)*(INDEX(BookQ1,1058)*(5-MIN(4,1+'5. Scenarios'!$E$8))/4+INDEX(BookQ2,1058)*(5-MIN(4,2+'5. Scenarios'!$E$8))/4+INDEX(BookQ3,1058)*(5-MIN(4,3+'5. Scenarios'!$E$8))/4+INDEX(BookQ4,1058)*(5-MIN(4,4+'5. Scenarios'!$E$8))/4)*'5. Scenarios'!$E$6/(1+ProductivityDefault*('5. Scenarios'!$E$11-1))+INDEX(BookOneOff,1058)*$S1063)</f>
        <v/>
      </c>
    </row>
    <row r="1064" customFormat="false" ht="15" hidden="false" customHeight="false" outlineLevel="0" collapsed="false">
      <c r="A1064" s="0" t="str">
        <f aca="false">IF(INDEX(BookTitle,1059)="","",INDEX(BookKey,1059))</f>
        <v/>
      </c>
      <c r="B1064" s="0" t="str">
        <f aca="false">IF(INDEX(BookTitle,1059)="","",INDEX(BookGroup,1059))</f>
        <v/>
      </c>
      <c r="C1064" s="0" t="str">
        <f aca="false">IF(INDEX(BookTitle,1059)="","",INDEX(BookCategory,1059))</f>
        <v/>
      </c>
      <c r="D1064" s="56" t="str">
        <f aca="false">IF(INDEX(BookTitle,1059)="","",INDEX(BookTotal,1059)*'5. Scenarios'!$B$6/(1+ProductivityDefault*('5. Scenarios'!$B$11-1)))</f>
        <v/>
      </c>
      <c r="E1064" s="57" t="str">
        <f aca="false">IF($D1064="","",INDEX(BookRate,1059)*(1+'5. Scenarios'!$B$10)*$D1064)</f>
        <v/>
      </c>
      <c r="F1064" s="57" t="str">
        <f aca="false">IF($E1064="","",SUMIFS($E$6:$E$2405,$A$6:$A$2405,"&lt;="&amp;$A1064))</f>
        <v/>
      </c>
      <c r="G1064" s="57" t="str">
        <f aca="false">IF($E1064="","",IF($F1064&lt;=BankCostEnvelope*'5. Scenarios'!$B$7,1,0))</f>
        <v/>
      </c>
      <c r="H1064" s="57" t="str">
        <f aca="false">IF($D1064="","",INDEX(BookRate,1059)*(1+'5. Scenarios'!$B$10)*(INDEX(BookQ1,1059)*(5-MIN(4,1+'5. Scenarios'!$B$8))/4+INDEX(BookQ2,1059)*(5-MIN(4,2+'5. Scenarios'!$B$8))/4+INDEX(BookQ3,1059)*(5-MIN(4,3+'5. Scenarios'!$B$8))/4+INDEX(BookQ4,1059)*(5-MIN(4,4+'5. Scenarios'!$B$8))/4)*'5. Scenarios'!$B$6/(1+ProductivityDefault*('5. Scenarios'!$B$11-1))+INDEX(BookOneOff,1059)*$D1064)</f>
        <v/>
      </c>
      <c r="I1064" s="56" t="str">
        <f aca="false">IF(INDEX(BookTitle,1059)="","",INDEX(BookTotal,1059)*'5. Scenarios'!$C$6/(1+ProductivityDefault*('5. Scenarios'!$C$11-1)))</f>
        <v/>
      </c>
      <c r="J1064" s="57" t="str">
        <f aca="false">IF($I1064="","",INDEX(BookRate,1059)*(1+'5. Scenarios'!$C$10)*$I1064)</f>
        <v/>
      </c>
      <c r="K1064" s="57" t="str">
        <f aca="false">IF($J1064="","",SUMIFS($J$6:$J$2405,$A$6:$A$2405,"&lt;="&amp;$A1064))</f>
        <v/>
      </c>
      <c r="L1064" s="57" t="str">
        <f aca="false">IF($J1064="","",IF($K1064&lt;=BankCostEnvelope*'5. Scenarios'!$C$7,1,0))</f>
        <v/>
      </c>
      <c r="M1064" s="57" t="str">
        <f aca="false">IF($I1064="","",INDEX(BookRate,1059)*(1+'5. Scenarios'!$C$10)*(INDEX(BookQ1,1059)*(5-MIN(4,1+'5. Scenarios'!$C$8))/4+INDEX(BookQ2,1059)*(5-MIN(4,2+'5. Scenarios'!$C$8))/4+INDEX(BookQ3,1059)*(5-MIN(4,3+'5. Scenarios'!$C$8))/4+INDEX(BookQ4,1059)*(5-MIN(4,4+'5. Scenarios'!$C$8))/4)*'5. Scenarios'!$C$6/(1+ProductivityDefault*('5. Scenarios'!$C$11-1))+INDEX(BookOneOff,1059)*$I1064)</f>
        <v/>
      </c>
      <c r="N1064" s="56" t="str">
        <f aca="false">IF(INDEX(BookTitle,1059)="","",INDEX(BookTotal,1059)*'5. Scenarios'!$D$6/(1+ProductivityDefault*('5. Scenarios'!$D$11-1)))</f>
        <v/>
      </c>
      <c r="O1064" s="57" t="str">
        <f aca="false">IF($N1064="","",INDEX(BookRate,1059)*(1+'5. Scenarios'!$D$10)*$N1064)</f>
        <v/>
      </c>
      <c r="P1064" s="57" t="str">
        <f aca="false">IF($O1064="","",SUMIFS($O$6:$O$2405,$A$6:$A$2405,"&lt;="&amp;$A1064))</f>
        <v/>
      </c>
      <c r="Q1064" s="57" t="str">
        <f aca="false">IF($O1064="","",IF($P1064&lt;=BankCostEnvelope*'5. Scenarios'!$D$7,1,0))</f>
        <v/>
      </c>
      <c r="R1064" s="57" t="str">
        <f aca="false">IF($N1064="","",INDEX(BookRate,1059)*(1+'5. Scenarios'!$D$10)*(INDEX(BookQ1,1059)*(5-MIN(4,1+'5. Scenarios'!$D$8))/4+INDEX(BookQ2,1059)*(5-MIN(4,2+'5. Scenarios'!$D$8))/4+INDEX(BookQ3,1059)*(5-MIN(4,3+'5. Scenarios'!$D$8))/4+INDEX(BookQ4,1059)*(5-MIN(4,4+'5. Scenarios'!$D$8))/4)*'5. Scenarios'!$D$6/(1+ProductivityDefault*('5. Scenarios'!$D$11-1))+INDEX(BookOneOff,1059)*$N1064)</f>
        <v/>
      </c>
      <c r="S1064" s="56" t="str">
        <f aca="false">IF(INDEX(BookTitle,1059)="","",INDEX(BookTotal,1059)*'5. Scenarios'!$E$6/(1+ProductivityDefault*('5. Scenarios'!$E$11-1)))</f>
        <v/>
      </c>
      <c r="T1064" s="57" t="str">
        <f aca="false">IF($S1064="","",INDEX(BookRate,1059)*(1+'5. Scenarios'!$E$10)*$S1064)</f>
        <v/>
      </c>
      <c r="U1064" s="57" t="str">
        <f aca="false">IF($T1064="","",SUMIFS($T$6:$T$2405,$A$6:$A$2405,"&lt;="&amp;$A1064))</f>
        <v/>
      </c>
      <c r="V1064" s="57" t="str">
        <f aca="false">IF($T1064="","",IF($U1064&lt;=BankCostEnvelope*'5. Scenarios'!$E$7,1,0))</f>
        <v/>
      </c>
      <c r="W1064" s="57" t="str">
        <f aca="false">IF($S1064="","",INDEX(BookRate,1059)*(1+'5. Scenarios'!$E$10)*(INDEX(BookQ1,1059)*(5-MIN(4,1+'5. Scenarios'!$E$8))/4+INDEX(BookQ2,1059)*(5-MIN(4,2+'5. Scenarios'!$E$8))/4+INDEX(BookQ3,1059)*(5-MIN(4,3+'5. Scenarios'!$E$8))/4+INDEX(BookQ4,1059)*(5-MIN(4,4+'5. Scenarios'!$E$8))/4)*'5. Scenarios'!$E$6/(1+ProductivityDefault*('5. Scenarios'!$E$11-1))+INDEX(BookOneOff,1059)*$S1064)</f>
        <v/>
      </c>
    </row>
    <row r="1065" customFormat="false" ht="15" hidden="false" customHeight="false" outlineLevel="0" collapsed="false">
      <c r="A1065" s="0" t="str">
        <f aca="false">IF(INDEX(BookTitle,1060)="","",INDEX(BookKey,1060))</f>
        <v/>
      </c>
      <c r="B1065" s="0" t="str">
        <f aca="false">IF(INDEX(BookTitle,1060)="","",INDEX(BookGroup,1060))</f>
        <v/>
      </c>
      <c r="C1065" s="0" t="str">
        <f aca="false">IF(INDEX(BookTitle,1060)="","",INDEX(BookCategory,1060))</f>
        <v/>
      </c>
      <c r="D1065" s="56" t="str">
        <f aca="false">IF(INDEX(BookTitle,1060)="","",INDEX(BookTotal,1060)*'5. Scenarios'!$B$6/(1+ProductivityDefault*('5. Scenarios'!$B$11-1)))</f>
        <v/>
      </c>
      <c r="E1065" s="57" t="str">
        <f aca="false">IF($D1065="","",INDEX(BookRate,1060)*(1+'5. Scenarios'!$B$10)*$D1065)</f>
        <v/>
      </c>
      <c r="F1065" s="57" t="str">
        <f aca="false">IF($E1065="","",SUMIFS($E$6:$E$2405,$A$6:$A$2405,"&lt;="&amp;$A1065))</f>
        <v/>
      </c>
      <c r="G1065" s="57" t="str">
        <f aca="false">IF($E1065="","",IF($F1065&lt;=BankCostEnvelope*'5. Scenarios'!$B$7,1,0))</f>
        <v/>
      </c>
      <c r="H1065" s="57" t="str">
        <f aca="false">IF($D1065="","",INDEX(BookRate,1060)*(1+'5. Scenarios'!$B$10)*(INDEX(BookQ1,1060)*(5-MIN(4,1+'5. Scenarios'!$B$8))/4+INDEX(BookQ2,1060)*(5-MIN(4,2+'5. Scenarios'!$B$8))/4+INDEX(BookQ3,1060)*(5-MIN(4,3+'5. Scenarios'!$B$8))/4+INDEX(BookQ4,1060)*(5-MIN(4,4+'5. Scenarios'!$B$8))/4)*'5. Scenarios'!$B$6/(1+ProductivityDefault*('5. Scenarios'!$B$11-1))+INDEX(BookOneOff,1060)*$D1065)</f>
        <v/>
      </c>
      <c r="I1065" s="56" t="str">
        <f aca="false">IF(INDEX(BookTitle,1060)="","",INDEX(BookTotal,1060)*'5. Scenarios'!$C$6/(1+ProductivityDefault*('5. Scenarios'!$C$11-1)))</f>
        <v/>
      </c>
      <c r="J1065" s="57" t="str">
        <f aca="false">IF($I1065="","",INDEX(BookRate,1060)*(1+'5. Scenarios'!$C$10)*$I1065)</f>
        <v/>
      </c>
      <c r="K1065" s="57" t="str">
        <f aca="false">IF($J1065="","",SUMIFS($J$6:$J$2405,$A$6:$A$2405,"&lt;="&amp;$A1065))</f>
        <v/>
      </c>
      <c r="L1065" s="57" t="str">
        <f aca="false">IF($J1065="","",IF($K1065&lt;=BankCostEnvelope*'5. Scenarios'!$C$7,1,0))</f>
        <v/>
      </c>
      <c r="M1065" s="57" t="str">
        <f aca="false">IF($I1065="","",INDEX(BookRate,1060)*(1+'5. Scenarios'!$C$10)*(INDEX(BookQ1,1060)*(5-MIN(4,1+'5. Scenarios'!$C$8))/4+INDEX(BookQ2,1060)*(5-MIN(4,2+'5. Scenarios'!$C$8))/4+INDEX(BookQ3,1060)*(5-MIN(4,3+'5. Scenarios'!$C$8))/4+INDEX(BookQ4,1060)*(5-MIN(4,4+'5. Scenarios'!$C$8))/4)*'5. Scenarios'!$C$6/(1+ProductivityDefault*('5. Scenarios'!$C$11-1))+INDEX(BookOneOff,1060)*$I1065)</f>
        <v/>
      </c>
      <c r="N1065" s="56" t="str">
        <f aca="false">IF(INDEX(BookTitle,1060)="","",INDEX(BookTotal,1060)*'5. Scenarios'!$D$6/(1+ProductivityDefault*('5. Scenarios'!$D$11-1)))</f>
        <v/>
      </c>
      <c r="O1065" s="57" t="str">
        <f aca="false">IF($N1065="","",INDEX(BookRate,1060)*(1+'5. Scenarios'!$D$10)*$N1065)</f>
        <v/>
      </c>
      <c r="P1065" s="57" t="str">
        <f aca="false">IF($O1065="","",SUMIFS($O$6:$O$2405,$A$6:$A$2405,"&lt;="&amp;$A1065))</f>
        <v/>
      </c>
      <c r="Q1065" s="57" t="str">
        <f aca="false">IF($O1065="","",IF($P1065&lt;=BankCostEnvelope*'5. Scenarios'!$D$7,1,0))</f>
        <v/>
      </c>
      <c r="R1065" s="57" t="str">
        <f aca="false">IF($N1065="","",INDEX(BookRate,1060)*(1+'5. Scenarios'!$D$10)*(INDEX(BookQ1,1060)*(5-MIN(4,1+'5. Scenarios'!$D$8))/4+INDEX(BookQ2,1060)*(5-MIN(4,2+'5. Scenarios'!$D$8))/4+INDEX(BookQ3,1060)*(5-MIN(4,3+'5. Scenarios'!$D$8))/4+INDEX(BookQ4,1060)*(5-MIN(4,4+'5. Scenarios'!$D$8))/4)*'5. Scenarios'!$D$6/(1+ProductivityDefault*('5. Scenarios'!$D$11-1))+INDEX(BookOneOff,1060)*$N1065)</f>
        <v/>
      </c>
      <c r="S1065" s="56" t="str">
        <f aca="false">IF(INDEX(BookTitle,1060)="","",INDEX(BookTotal,1060)*'5. Scenarios'!$E$6/(1+ProductivityDefault*('5. Scenarios'!$E$11-1)))</f>
        <v/>
      </c>
      <c r="T1065" s="57" t="str">
        <f aca="false">IF($S1065="","",INDEX(BookRate,1060)*(1+'5. Scenarios'!$E$10)*$S1065)</f>
        <v/>
      </c>
      <c r="U1065" s="57" t="str">
        <f aca="false">IF($T1065="","",SUMIFS($T$6:$T$2405,$A$6:$A$2405,"&lt;="&amp;$A1065))</f>
        <v/>
      </c>
      <c r="V1065" s="57" t="str">
        <f aca="false">IF($T1065="","",IF($U1065&lt;=BankCostEnvelope*'5. Scenarios'!$E$7,1,0))</f>
        <v/>
      </c>
      <c r="W1065" s="57" t="str">
        <f aca="false">IF($S1065="","",INDEX(BookRate,1060)*(1+'5. Scenarios'!$E$10)*(INDEX(BookQ1,1060)*(5-MIN(4,1+'5. Scenarios'!$E$8))/4+INDEX(BookQ2,1060)*(5-MIN(4,2+'5. Scenarios'!$E$8))/4+INDEX(BookQ3,1060)*(5-MIN(4,3+'5. Scenarios'!$E$8))/4+INDEX(BookQ4,1060)*(5-MIN(4,4+'5. Scenarios'!$E$8))/4)*'5. Scenarios'!$E$6/(1+ProductivityDefault*('5. Scenarios'!$E$11-1))+INDEX(BookOneOff,1060)*$S1065)</f>
        <v/>
      </c>
    </row>
    <row r="1066" customFormat="false" ht="15" hidden="false" customHeight="false" outlineLevel="0" collapsed="false">
      <c r="A1066" s="0" t="str">
        <f aca="false">IF(INDEX(BookTitle,1061)="","",INDEX(BookKey,1061))</f>
        <v/>
      </c>
      <c r="B1066" s="0" t="str">
        <f aca="false">IF(INDEX(BookTitle,1061)="","",INDEX(BookGroup,1061))</f>
        <v/>
      </c>
      <c r="C1066" s="0" t="str">
        <f aca="false">IF(INDEX(BookTitle,1061)="","",INDEX(BookCategory,1061))</f>
        <v/>
      </c>
      <c r="D1066" s="56" t="str">
        <f aca="false">IF(INDEX(BookTitle,1061)="","",INDEX(BookTotal,1061)*'5. Scenarios'!$B$6/(1+ProductivityDefault*('5. Scenarios'!$B$11-1)))</f>
        <v/>
      </c>
      <c r="E1066" s="57" t="str">
        <f aca="false">IF($D1066="","",INDEX(BookRate,1061)*(1+'5. Scenarios'!$B$10)*$D1066)</f>
        <v/>
      </c>
      <c r="F1066" s="57" t="str">
        <f aca="false">IF($E1066="","",SUMIFS($E$6:$E$2405,$A$6:$A$2405,"&lt;="&amp;$A1066))</f>
        <v/>
      </c>
      <c r="G1066" s="57" t="str">
        <f aca="false">IF($E1066="","",IF($F1066&lt;=BankCostEnvelope*'5. Scenarios'!$B$7,1,0))</f>
        <v/>
      </c>
      <c r="H1066" s="57" t="str">
        <f aca="false">IF($D1066="","",INDEX(BookRate,1061)*(1+'5. Scenarios'!$B$10)*(INDEX(BookQ1,1061)*(5-MIN(4,1+'5. Scenarios'!$B$8))/4+INDEX(BookQ2,1061)*(5-MIN(4,2+'5. Scenarios'!$B$8))/4+INDEX(BookQ3,1061)*(5-MIN(4,3+'5. Scenarios'!$B$8))/4+INDEX(BookQ4,1061)*(5-MIN(4,4+'5. Scenarios'!$B$8))/4)*'5. Scenarios'!$B$6/(1+ProductivityDefault*('5. Scenarios'!$B$11-1))+INDEX(BookOneOff,1061)*$D1066)</f>
        <v/>
      </c>
      <c r="I1066" s="56" t="str">
        <f aca="false">IF(INDEX(BookTitle,1061)="","",INDEX(BookTotal,1061)*'5. Scenarios'!$C$6/(1+ProductivityDefault*('5. Scenarios'!$C$11-1)))</f>
        <v/>
      </c>
      <c r="J1066" s="57" t="str">
        <f aca="false">IF($I1066="","",INDEX(BookRate,1061)*(1+'5. Scenarios'!$C$10)*$I1066)</f>
        <v/>
      </c>
      <c r="K1066" s="57" t="str">
        <f aca="false">IF($J1066="","",SUMIFS($J$6:$J$2405,$A$6:$A$2405,"&lt;="&amp;$A1066))</f>
        <v/>
      </c>
      <c r="L1066" s="57" t="str">
        <f aca="false">IF($J1066="","",IF($K1066&lt;=BankCostEnvelope*'5. Scenarios'!$C$7,1,0))</f>
        <v/>
      </c>
      <c r="M1066" s="57" t="str">
        <f aca="false">IF($I1066="","",INDEX(BookRate,1061)*(1+'5. Scenarios'!$C$10)*(INDEX(BookQ1,1061)*(5-MIN(4,1+'5. Scenarios'!$C$8))/4+INDEX(BookQ2,1061)*(5-MIN(4,2+'5. Scenarios'!$C$8))/4+INDEX(BookQ3,1061)*(5-MIN(4,3+'5. Scenarios'!$C$8))/4+INDEX(BookQ4,1061)*(5-MIN(4,4+'5. Scenarios'!$C$8))/4)*'5. Scenarios'!$C$6/(1+ProductivityDefault*('5. Scenarios'!$C$11-1))+INDEX(BookOneOff,1061)*$I1066)</f>
        <v/>
      </c>
      <c r="N1066" s="56" t="str">
        <f aca="false">IF(INDEX(BookTitle,1061)="","",INDEX(BookTotal,1061)*'5. Scenarios'!$D$6/(1+ProductivityDefault*('5. Scenarios'!$D$11-1)))</f>
        <v/>
      </c>
      <c r="O1066" s="57" t="str">
        <f aca="false">IF($N1066="","",INDEX(BookRate,1061)*(1+'5. Scenarios'!$D$10)*$N1066)</f>
        <v/>
      </c>
      <c r="P1066" s="57" t="str">
        <f aca="false">IF($O1066="","",SUMIFS($O$6:$O$2405,$A$6:$A$2405,"&lt;="&amp;$A1066))</f>
        <v/>
      </c>
      <c r="Q1066" s="57" t="str">
        <f aca="false">IF($O1066="","",IF($P1066&lt;=BankCostEnvelope*'5. Scenarios'!$D$7,1,0))</f>
        <v/>
      </c>
      <c r="R1066" s="57" t="str">
        <f aca="false">IF($N1066="","",INDEX(BookRate,1061)*(1+'5. Scenarios'!$D$10)*(INDEX(BookQ1,1061)*(5-MIN(4,1+'5. Scenarios'!$D$8))/4+INDEX(BookQ2,1061)*(5-MIN(4,2+'5. Scenarios'!$D$8))/4+INDEX(BookQ3,1061)*(5-MIN(4,3+'5. Scenarios'!$D$8))/4+INDEX(BookQ4,1061)*(5-MIN(4,4+'5. Scenarios'!$D$8))/4)*'5. Scenarios'!$D$6/(1+ProductivityDefault*('5. Scenarios'!$D$11-1))+INDEX(BookOneOff,1061)*$N1066)</f>
        <v/>
      </c>
      <c r="S1066" s="56" t="str">
        <f aca="false">IF(INDEX(BookTitle,1061)="","",INDEX(BookTotal,1061)*'5. Scenarios'!$E$6/(1+ProductivityDefault*('5. Scenarios'!$E$11-1)))</f>
        <v/>
      </c>
      <c r="T1066" s="57" t="str">
        <f aca="false">IF($S1066="","",INDEX(BookRate,1061)*(1+'5. Scenarios'!$E$10)*$S1066)</f>
        <v/>
      </c>
      <c r="U1066" s="57" t="str">
        <f aca="false">IF($T1066="","",SUMIFS($T$6:$T$2405,$A$6:$A$2405,"&lt;="&amp;$A1066))</f>
        <v/>
      </c>
      <c r="V1066" s="57" t="str">
        <f aca="false">IF($T1066="","",IF($U1066&lt;=BankCostEnvelope*'5. Scenarios'!$E$7,1,0))</f>
        <v/>
      </c>
      <c r="W1066" s="57" t="str">
        <f aca="false">IF($S1066="","",INDEX(BookRate,1061)*(1+'5. Scenarios'!$E$10)*(INDEX(BookQ1,1061)*(5-MIN(4,1+'5. Scenarios'!$E$8))/4+INDEX(BookQ2,1061)*(5-MIN(4,2+'5. Scenarios'!$E$8))/4+INDEX(BookQ3,1061)*(5-MIN(4,3+'5. Scenarios'!$E$8))/4+INDEX(BookQ4,1061)*(5-MIN(4,4+'5. Scenarios'!$E$8))/4)*'5. Scenarios'!$E$6/(1+ProductivityDefault*('5. Scenarios'!$E$11-1))+INDEX(BookOneOff,1061)*$S1066)</f>
        <v/>
      </c>
    </row>
    <row r="1067" customFormat="false" ht="15" hidden="false" customHeight="false" outlineLevel="0" collapsed="false">
      <c r="A1067" s="0" t="str">
        <f aca="false">IF(INDEX(BookTitle,1062)="","",INDEX(BookKey,1062))</f>
        <v/>
      </c>
      <c r="B1067" s="0" t="str">
        <f aca="false">IF(INDEX(BookTitle,1062)="","",INDEX(BookGroup,1062))</f>
        <v/>
      </c>
      <c r="C1067" s="0" t="str">
        <f aca="false">IF(INDEX(BookTitle,1062)="","",INDEX(BookCategory,1062))</f>
        <v/>
      </c>
      <c r="D1067" s="56" t="str">
        <f aca="false">IF(INDEX(BookTitle,1062)="","",INDEX(BookTotal,1062)*'5. Scenarios'!$B$6/(1+ProductivityDefault*('5. Scenarios'!$B$11-1)))</f>
        <v/>
      </c>
      <c r="E1067" s="57" t="str">
        <f aca="false">IF($D1067="","",INDEX(BookRate,1062)*(1+'5. Scenarios'!$B$10)*$D1067)</f>
        <v/>
      </c>
      <c r="F1067" s="57" t="str">
        <f aca="false">IF($E1067="","",SUMIFS($E$6:$E$2405,$A$6:$A$2405,"&lt;="&amp;$A1067))</f>
        <v/>
      </c>
      <c r="G1067" s="57" t="str">
        <f aca="false">IF($E1067="","",IF($F1067&lt;=BankCostEnvelope*'5. Scenarios'!$B$7,1,0))</f>
        <v/>
      </c>
      <c r="H1067" s="57" t="str">
        <f aca="false">IF($D1067="","",INDEX(BookRate,1062)*(1+'5. Scenarios'!$B$10)*(INDEX(BookQ1,1062)*(5-MIN(4,1+'5. Scenarios'!$B$8))/4+INDEX(BookQ2,1062)*(5-MIN(4,2+'5. Scenarios'!$B$8))/4+INDEX(BookQ3,1062)*(5-MIN(4,3+'5. Scenarios'!$B$8))/4+INDEX(BookQ4,1062)*(5-MIN(4,4+'5. Scenarios'!$B$8))/4)*'5. Scenarios'!$B$6/(1+ProductivityDefault*('5. Scenarios'!$B$11-1))+INDEX(BookOneOff,1062)*$D1067)</f>
        <v/>
      </c>
      <c r="I1067" s="56" t="str">
        <f aca="false">IF(INDEX(BookTitle,1062)="","",INDEX(BookTotal,1062)*'5. Scenarios'!$C$6/(1+ProductivityDefault*('5. Scenarios'!$C$11-1)))</f>
        <v/>
      </c>
      <c r="J1067" s="57" t="str">
        <f aca="false">IF($I1067="","",INDEX(BookRate,1062)*(1+'5. Scenarios'!$C$10)*$I1067)</f>
        <v/>
      </c>
      <c r="K1067" s="57" t="str">
        <f aca="false">IF($J1067="","",SUMIFS($J$6:$J$2405,$A$6:$A$2405,"&lt;="&amp;$A1067))</f>
        <v/>
      </c>
      <c r="L1067" s="57" t="str">
        <f aca="false">IF($J1067="","",IF($K1067&lt;=BankCostEnvelope*'5. Scenarios'!$C$7,1,0))</f>
        <v/>
      </c>
      <c r="M1067" s="57" t="str">
        <f aca="false">IF($I1067="","",INDEX(BookRate,1062)*(1+'5. Scenarios'!$C$10)*(INDEX(BookQ1,1062)*(5-MIN(4,1+'5. Scenarios'!$C$8))/4+INDEX(BookQ2,1062)*(5-MIN(4,2+'5. Scenarios'!$C$8))/4+INDEX(BookQ3,1062)*(5-MIN(4,3+'5. Scenarios'!$C$8))/4+INDEX(BookQ4,1062)*(5-MIN(4,4+'5. Scenarios'!$C$8))/4)*'5. Scenarios'!$C$6/(1+ProductivityDefault*('5. Scenarios'!$C$11-1))+INDEX(BookOneOff,1062)*$I1067)</f>
        <v/>
      </c>
      <c r="N1067" s="56" t="str">
        <f aca="false">IF(INDEX(BookTitle,1062)="","",INDEX(BookTotal,1062)*'5. Scenarios'!$D$6/(1+ProductivityDefault*('5. Scenarios'!$D$11-1)))</f>
        <v/>
      </c>
      <c r="O1067" s="57" t="str">
        <f aca="false">IF($N1067="","",INDEX(BookRate,1062)*(1+'5. Scenarios'!$D$10)*$N1067)</f>
        <v/>
      </c>
      <c r="P1067" s="57" t="str">
        <f aca="false">IF($O1067="","",SUMIFS($O$6:$O$2405,$A$6:$A$2405,"&lt;="&amp;$A1067))</f>
        <v/>
      </c>
      <c r="Q1067" s="57" t="str">
        <f aca="false">IF($O1067="","",IF($P1067&lt;=BankCostEnvelope*'5. Scenarios'!$D$7,1,0))</f>
        <v/>
      </c>
      <c r="R1067" s="57" t="str">
        <f aca="false">IF($N1067="","",INDEX(BookRate,1062)*(1+'5. Scenarios'!$D$10)*(INDEX(BookQ1,1062)*(5-MIN(4,1+'5. Scenarios'!$D$8))/4+INDEX(BookQ2,1062)*(5-MIN(4,2+'5. Scenarios'!$D$8))/4+INDEX(BookQ3,1062)*(5-MIN(4,3+'5. Scenarios'!$D$8))/4+INDEX(BookQ4,1062)*(5-MIN(4,4+'5. Scenarios'!$D$8))/4)*'5. Scenarios'!$D$6/(1+ProductivityDefault*('5. Scenarios'!$D$11-1))+INDEX(BookOneOff,1062)*$N1067)</f>
        <v/>
      </c>
      <c r="S1067" s="56" t="str">
        <f aca="false">IF(INDEX(BookTitle,1062)="","",INDEX(BookTotal,1062)*'5. Scenarios'!$E$6/(1+ProductivityDefault*('5. Scenarios'!$E$11-1)))</f>
        <v/>
      </c>
      <c r="T1067" s="57" t="str">
        <f aca="false">IF($S1067="","",INDEX(BookRate,1062)*(1+'5. Scenarios'!$E$10)*$S1067)</f>
        <v/>
      </c>
      <c r="U1067" s="57" t="str">
        <f aca="false">IF($T1067="","",SUMIFS($T$6:$T$2405,$A$6:$A$2405,"&lt;="&amp;$A1067))</f>
        <v/>
      </c>
      <c r="V1067" s="57" t="str">
        <f aca="false">IF($T1067="","",IF($U1067&lt;=BankCostEnvelope*'5. Scenarios'!$E$7,1,0))</f>
        <v/>
      </c>
      <c r="W1067" s="57" t="str">
        <f aca="false">IF($S1067="","",INDEX(BookRate,1062)*(1+'5. Scenarios'!$E$10)*(INDEX(BookQ1,1062)*(5-MIN(4,1+'5. Scenarios'!$E$8))/4+INDEX(BookQ2,1062)*(5-MIN(4,2+'5. Scenarios'!$E$8))/4+INDEX(BookQ3,1062)*(5-MIN(4,3+'5. Scenarios'!$E$8))/4+INDEX(BookQ4,1062)*(5-MIN(4,4+'5. Scenarios'!$E$8))/4)*'5. Scenarios'!$E$6/(1+ProductivityDefault*('5. Scenarios'!$E$11-1))+INDEX(BookOneOff,1062)*$S1067)</f>
        <v/>
      </c>
    </row>
    <row r="1068" customFormat="false" ht="15" hidden="false" customHeight="false" outlineLevel="0" collapsed="false">
      <c r="A1068" s="0" t="str">
        <f aca="false">IF(INDEX(BookTitle,1063)="","",INDEX(BookKey,1063))</f>
        <v/>
      </c>
      <c r="B1068" s="0" t="str">
        <f aca="false">IF(INDEX(BookTitle,1063)="","",INDEX(BookGroup,1063))</f>
        <v/>
      </c>
      <c r="C1068" s="0" t="str">
        <f aca="false">IF(INDEX(BookTitle,1063)="","",INDEX(BookCategory,1063))</f>
        <v/>
      </c>
      <c r="D1068" s="56" t="str">
        <f aca="false">IF(INDEX(BookTitle,1063)="","",INDEX(BookTotal,1063)*'5. Scenarios'!$B$6/(1+ProductivityDefault*('5. Scenarios'!$B$11-1)))</f>
        <v/>
      </c>
      <c r="E1068" s="57" t="str">
        <f aca="false">IF($D1068="","",INDEX(BookRate,1063)*(1+'5. Scenarios'!$B$10)*$D1068)</f>
        <v/>
      </c>
      <c r="F1068" s="57" t="str">
        <f aca="false">IF($E1068="","",SUMIFS($E$6:$E$2405,$A$6:$A$2405,"&lt;="&amp;$A1068))</f>
        <v/>
      </c>
      <c r="G1068" s="57" t="str">
        <f aca="false">IF($E1068="","",IF($F1068&lt;=BankCostEnvelope*'5. Scenarios'!$B$7,1,0))</f>
        <v/>
      </c>
      <c r="H1068" s="57" t="str">
        <f aca="false">IF($D1068="","",INDEX(BookRate,1063)*(1+'5. Scenarios'!$B$10)*(INDEX(BookQ1,1063)*(5-MIN(4,1+'5. Scenarios'!$B$8))/4+INDEX(BookQ2,1063)*(5-MIN(4,2+'5. Scenarios'!$B$8))/4+INDEX(BookQ3,1063)*(5-MIN(4,3+'5. Scenarios'!$B$8))/4+INDEX(BookQ4,1063)*(5-MIN(4,4+'5. Scenarios'!$B$8))/4)*'5. Scenarios'!$B$6/(1+ProductivityDefault*('5. Scenarios'!$B$11-1))+INDEX(BookOneOff,1063)*$D1068)</f>
        <v/>
      </c>
      <c r="I1068" s="56" t="str">
        <f aca="false">IF(INDEX(BookTitle,1063)="","",INDEX(BookTotal,1063)*'5. Scenarios'!$C$6/(1+ProductivityDefault*('5. Scenarios'!$C$11-1)))</f>
        <v/>
      </c>
      <c r="J1068" s="57" t="str">
        <f aca="false">IF($I1068="","",INDEX(BookRate,1063)*(1+'5. Scenarios'!$C$10)*$I1068)</f>
        <v/>
      </c>
      <c r="K1068" s="57" t="str">
        <f aca="false">IF($J1068="","",SUMIFS($J$6:$J$2405,$A$6:$A$2405,"&lt;="&amp;$A1068))</f>
        <v/>
      </c>
      <c r="L1068" s="57" t="str">
        <f aca="false">IF($J1068="","",IF($K1068&lt;=BankCostEnvelope*'5. Scenarios'!$C$7,1,0))</f>
        <v/>
      </c>
      <c r="M1068" s="57" t="str">
        <f aca="false">IF($I1068="","",INDEX(BookRate,1063)*(1+'5. Scenarios'!$C$10)*(INDEX(BookQ1,1063)*(5-MIN(4,1+'5. Scenarios'!$C$8))/4+INDEX(BookQ2,1063)*(5-MIN(4,2+'5. Scenarios'!$C$8))/4+INDEX(BookQ3,1063)*(5-MIN(4,3+'5. Scenarios'!$C$8))/4+INDEX(BookQ4,1063)*(5-MIN(4,4+'5. Scenarios'!$C$8))/4)*'5. Scenarios'!$C$6/(1+ProductivityDefault*('5. Scenarios'!$C$11-1))+INDEX(BookOneOff,1063)*$I1068)</f>
        <v/>
      </c>
      <c r="N1068" s="56" t="str">
        <f aca="false">IF(INDEX(BookTitle,1063)="","",INDEX(BookTotal,1063)*'5. Scenarios'!$D$6/(1+ProductivityDefault*('5. Scenarios'!$D$11-1)))</f>
        <v/>
      </c>
      <c r="O1068" s="57" t="str">
        <f aca="false">IF($N1068="","",INDEX(BookRate,1063)*(1+'5. Scenarios'!$D$10)*$N1068)</f>
        <v/>
      </c>
      <c r="P1068" s="57" t="str">
        <f aca="false">IF($O1068="","",SUMIFS($O$6:$O$2405,$A$6:$A$2405,"&lt;="&amp;$A1068))</f>
        <v/>
      </c>
      <c r="Q1068" s="57" t="str">
        <f aca="false">IF($O1068="","",IF($P1068&lt;=BankCostEnvelope*'5. Scenarios'!$D$7,1,0))</f>
        <v/>
      </c>
      <c r="R1068" s="57" t="str">
        <f aca="false">IF($N1068="","",INDEX(BookRate,1063)*(1+'5. Scenarios'!$D$10)*(INDEX(BookQ1,1063)*(5-MIN(4,1+'5. Scenarios'!$D$8))/4+INDEX(BookQ2,1063)*(5-MIN(4,2+'5. Scenarios'!$D$8))/4+INDEX(BookQ3,1063)*(5-MIN(4,3+'5. Scenarios'!$D$8))/4+INDEX(BookQ4,1063)*(5-MIN(4,4+'5. Scenarios'!$D$8))/4)*'5. Scenarios'!$D$6/(1+ProductivityDefault*('5. Scenarios'!$D$11-1))+INDEX(BookOneOff,1063)*$N1068)</f>
        <v/>
      </c>
      <c r="S1068" s="56" t="str">
        <f aca="false">IF(INDEX(BookTitle,1063)="","",INDEX(BookTotal,1063)*'5. Scenarios'!$E$6/(1+ProductivityDefault*('5. Scenarios'!$E$11-1)))</f>
        <v/>
      </c>
      <c r="T1068" s="57" t="str">
        <f aca="false">IF($S1068="","",INDEX(BookRate,1063)*(1+'5. Scenarios'!$E$10)*$S1068)</f>
        <v/>
      </c>
      <c r="U1068" s="57" t="str">
        <f aca="false">IF($T1068="","",SUMIFS($T$6:$T$2405,$A$6:$A$2405,"&lt;="&amp;$A1068))</f>
        <v/>
      </c>
      <c r="V1068" s="57" t="str">
        <f aca="false">IF($T1068="","",IF($U1068&lt;=BankCostEnvelope*'5. Scenarios'!$E$7,1,0))</f>
        <v/>
      </c>
      <c r="W1068" s="57" t="str">
        <f aca="false">IF($S1068="","",INDEX(BookRate,1063)*(1+'5. Scenarios'!$E$10)*(INDEX(BookQ1,1063)*(5-MIN(4,1+'5. Scenarios'!$E$8))/4+INDEX(BookQ2,1063)*(5-MIN(4,2+'5. Scenarios'!$E$8))/4+INDEX(BookQ3,1063)*(5-MIN(4,3+'5. Scenarios'!$E$8))/4+INDEX(BookQ4,1063)*(5-MIN(4,4+'5. Scenarios'!$E$8))/4)*'5. Scenarios'!$E$6/(1+ProductivityDefault*('5. Scenarios'!$E$11-1))+INDEX(BookOneOff,1063)*$S1068)</f>
        <v/>
      </c>
    </row>
    <row r="1069" customFormat="false" ht="15" hidden="false" customHeight="false" outlineLevel="0" collapsed="false">
      <c r="A1069" s="0" t="str">
        <f aca="false">IF(INDEX(BookTitle,1064)="","",INDEX(BookKey,1064))</f>
        <v/>
      </c>
      <c r="B1069" s="0" t="str">
        <f aca="false">IF(INDEX(BookTitle,1064)="","",INDEX(BookGroup,1064))</f>
        <v/>
      </c>
      <c r="C1069" s="0" t="str">
        <f aca="false">IF(INDEX(BookTitle,1064)="","",INDEX(BookCategory,1064))</f>
        <v/>
      </c>
      <c r="D1069" s="56" t="str">
        <f aca="false">IF(INDEX(BookTitle,1064)="","",INDEX(BookTotal,1064)*'5. Scenarios'!$B$6/(1+ProductivityDefault*('5. Scenarios'!$B$11-1)))</f>
        <v/>
      </c>
      <c r="E1069" s="57" t="str">
        <f aca="false">IF($D1069="","",INDEX(BookRate,1064)*(1+'5. Scenarios'!$B$10)*$D1069)</f>
        <v/>
      </c>
      <c r="F1069" s="57" t="str">
        <f aca="false">IF($E1069="","",SUMIFS($E$6:$E$2405,$A$6:$A$2405,"&lt;="&amp;$A1069))</f>
        <v/>
      </c>
      <c r="G1069" s="57" t="str">
        <f aca="false">IF($E1069="","",IF($F1069&lt;=BankCostEnvelope*'5. Scenarios'!$B$7,1,0))</f>
        <v/>
      </c>
      <c r="H1069" s="57" t="str">
        <f aca="false">IF($D1069="","",INDEX(BookRate,1064)*(1+'5. Scenarios'!$B$10)*(INDEX(BookQ1,1064)*(5-MIN(4,1+'5. Scenarios'!$B$8))/4+INDEX(BookQ2,1064)*(5-MIN(4,2+'5. Scenarios'!$B$8))/4+INDEX(BookQ3,1064)*(5-MIN(4,3+'5. Scenarios'!$B$8))/4+INDEX(BookQ4,1064)*(5-MIN(4,4+'5. Scenarios'!$B$8))/4)*'5. Scenarios'!$B$6/(1+ProductivityDefault*('5. Scenarios'!$B$11-1))+INDEX(BookOneOff,1064)*$D1069)</f>
        <v/>
      </c>
      <c r="I1069" s="56" t="str">
        <f aca="false">IF(INDEX(BookTitle,1064)="","",INDEX(BookTotal,1064)*'5. Scenarios'!$C$6/(1+ProductivityDefault*('5. Scenarios'!$C$11-1)))</f>
        <v/>
      </c>
      <c r="J1069" s="57" t="str">
        <f aca="false">IF($I1069="","",INDEX(BookRate,1064)*(1+'5. Scenarios'!$C$10)*$I1069)</f>
        <v/>
      </c>
      <c r="K1069" s="57" t="str">
        <f aca="false">IF($J1069="","",SUMIFS($J$6:$J$2405,$A$6:$A$2405,"&lt;="&amp;$A1069))</f>
        <v/>
      </c>
      <c r="L1069" s="57" t="str">
        <f aca="false">IF($J1069="","",IF($K1069&lt;=BankCostEnvelope*'5. Scenarios'!$C$7,1,0))</f>
        <v/>
      </c>
      <c r="M1069" s="57" t="str">
        <f aca="false">IF($I1069="","",INDEX(BookRate,1064)*(1+'5. Scenarios'!$C$10)*(INDEX(BookQ1,1064)*(5-MIN(4,1+'5. Scenarios'!$C$8))/4+INDEX(BookQ2,1064)*(5-MIN(4,2+'5. Scenarios'!$C$8))/4+INDEX(BookQ3,1064)*(5-MIN(4,3+'5. Scenarios'!$C$8))/4+INDEX(BookQ4,1064)*(5-MIN(4,4+'5. Scenarios'!$C$8))/4)*'5. Scenarios'!$C$6/(1+ProductivityDefault*('5. Scenarios'!$C$11-1))+INDEX(BookOneOff,1064)*$I1069)</f>
        <v/>
      </c>
      <c r="N1069" s="56" t="str">
        <f aca="false">IF(INDEX(BookTitle,1064)="","",INDEX(BookTotal,1064)*'5. Scenarios'!$D$6/(1+ProductivityDefault*('5. Scenarios'!$D$11-1)))</f>
        <v/>
      </c>
      <c r="O1069" s="57" t="str">
        <f aca="false">IF($N1069="","",INDEX(BookRate,1064)*(1+'5. Scenarios'!$D$10)*$N1069)</f>
        <v/>
      </c>
      <c r="P1069" s="57" t="str">
        <f aca="false">IF($O1069="","",SUMIFS($O$6:$O$2405,$A$6:$A$2405,"&lt;="&amp;$A1069))</f>
        <v/>
      </c>
      <c r="Q1069" s="57" t="str">
        <f aca="false">IF($O1069="","",IF($P1069&lt;=BankCostEnvelope*'5. Scenarios'!$D$7,1,0))</f>
        <v/>
      </c>
      <c r="R1069" s="57" t="str">
        <f aca="false">IF($N1069="","",INDEX(BookRate,1064)*(1+'5. Scenarios'!$D$10)*(INDEX(BookQ1,1064)*(5-MIN(4,1+'5. Scenarios'!$D$8))/4+INDEX(BookQ2,1064)*(5-MIN(4,2+'5. Scenarios'!$D$8))/4+INDEX(BookQ3,1064)*(5-MIN(4,3+'5. Scenarios'!$D$8))/4+INDEX(BookQ4,1064)*(5-MIN(4,4+'5. Scenarios'!$D$8))/4)*'5. Scenarios'!$D$6/(1+ProductivityDefault*('5. Scenarios'!$D$11-1))+INDEX(BookOneOff,1064)*$N1069)</f>
        <v/>
      </c>
      <c r="S1069" s="56" t="str">
        <f aca="false">IF(INDEX(BookTitle,1064)="","",INDEX(BookTotal,1064)*'5. Scenarios'!$E$6/(1+ProductivityDefault*('5. Scenarios'!$E$11-1)))</f>
        <v/>
      </c>
      <c r="T1069" s="57" t="str">
        <f aca="false">IF($S1069="","",INDEX(BookRate,1064)*(1+'5. Scenarios'!$E$10)*$S1069)</f>
        <v/>
      </c>
      <c r="U1069" s="57" t="str">
        <f aca="false">IF($T1069="","",SUMIFS($T$6:$T$2405,$A$6:$A$2405,"&lt;="&amp;$A1069))</f>
        <v/>
      </c>
      <c r="V1069" s="57" t="str">
        <f aca="false">IF($T1069="","",IF($U1069&lt;=BankCostEnvelope*'5. Scenarios'!$E$7,1,0))</f>
        <v/>
      </c>
      <c r="W1069" s="57" t="str">
        <f aca="false">IF($S1069="","",INDEX(BookRate,1064)*(1+'5. Scenarios'!$E$10)*(INDEX(BookQ1,1064)*(5-MIN(4,1+'5. Scenarios'!$E$8))/4+INDEX(BookQ2,1064)*(5-MIN(4,2+'5. Scenarios'!$E$8))/4+INDEX(BookQ3,1064)*(5-MIN(4,3+'5. Scenarios'!$E$8))/4+INDEX(BookQ4,1064)*(5-MIN(4,4+'5. Scenarios'!$E$8))/4)*'5. Scenarios'!$E$6/(1+ProductivityDefault*('5. Scenarios'!$E$11-1))+INDEX(BookOneOff,1064)*$S1069)</f>
        <v/>
      </c>
    </row>
    <row r="1070" customFormat="false" ht="15" hidden="false" customHeight="false" outlineLevel="0" collapsed="false">
      <c r="A1070" s="0" t="str">
        <f aca="false">IF(INDEX(BookTitle,1065)="","",INDEX(BookKey,1065))</f>
        <v/>
      </c>
      <c r="B1070" s="0" t="str">
        <f aca="false">IF(INDEX(BookTitle,1065)="","",INDEX(BookGroup,1065))</f>
        <v/>
      </c>
      <c r="C1070" s="0" t="str">
        <f aca="false">IF(INDEX(BookTitle,1065)="","",INDEX(BookCategory,1065))</f>
        <v/>
      </c>
      <c r="D1070" s="56" t="str">
        <f aca="false">IF(INDEX(BookTitle,1065)="","",INDEX(BookTotal,1065)*'5. Scenarios'!$B$6/(1+ProductivityDefault*('5. Scenarios'!$B$11-1)))</f>
        <v/>
      </c>
      <c r="E1070" s="57" t="str">
        <f aca="false">IF($D1070="","",INDEX(BookRate,1065)*(1+'5. Scenarios'!$B$10)*$D1070)</f>
        <v/>
      </c>
      <c r="F1070" s="57" t="str">
        <f aca="false">IF($E1070="","",SUMIFS($E$6:$E$2405,$A$6:$A$2405,"&lt;="&amp;$A1070))</f>
        <v/>
      </c>
      <c r="G1070" s="57" t="str">
        <f aca="false">IF($E1070="","",IF($F1070&lt;=BankCostEnvelope*'5. Scenarios'!$B$7,1,0))</f>
        <v/>
      </c>
      <c r="H1070" s="57" t="str">
        <f aca="false">IF($D1070="","",INDEX(BookRate,1065)*(1+'5. Scenarios'!$B$10)*(INDEX(BookQ1,1065)*(5-MIN(4,1+'5. Scenarios'!$B$8))/4+INDEX(BookQ2,1065)*(5-MIN(4,2+'5. Scenarios'!$B$8))/4+INDEX(BookQ3,1065)*(5-MIN(4,3+'5. Scenarios'!$B$8))/4+INDEX(BookQ4,1065)*(5-MIN(4,4+'5. Scenarios'!$B$8))/4)*'5. Scenarios'!$B$6/(1+ProductivityDefault*('5. Scenarios'!$B$11-1))+INDEX(BookOneOff,1065)*$D1070)</f>
        <v/>
      </c>
      <c r="I1070" s="56" t="str">
        <f aca="false">IF(INDEX(BookTitle,1065)="","",INDEX(BookTotal,1065)*'5. Scenarios'!$C$6/(1+ProductivityDefault*('5. Scenarios'!$C$11-1)))</f>
        <v/>
      </c>
      <c r="J1070" s="57" t="str">
        <f aca="false">IF($I1070="","",INDEX(BookRate,1065)*(1+'5. Scenarios'!$C$10)*$I1070)</f>
        <v/>
      </c>
      <c r="K1070" s="57" t="str">
        <f aca="false">IF($J1070="","",SUMIFS($J$6:$J$2405,$A$6:$A$2405,"&lt;="&amp;$A1070))</f>
        <v/>
      </c>
      <c r="L1070" s="57" t="str">
        <f aca="false">IF($J1070="","",IF($K1070&lt;=BankCostEnvelope*'5. Scenarios'!$C$7,1,0))</f>
        <v/>
      </c>
      <c r="M1070" s="57" t="str">
        <f aca="false">IF($I1070="","",INDEX(BookRate,1065)*(1+'5. Scenarios'!$C$10)*(INDEX(BookQ1,1065)*(5-MIN(4,1+'5. Scenarios'!$C$8))/4+INDEX(BookQ2,1065)*(5-MIN(4,2+'5. Scenarios'!$C$8))/4+INDEX(BookQ3,1065)*(5-MIN(4,3+'5. Scenarios'!$C$8))/4+INDEX(BookQ4,1065)*(5-MIN(4,4+'5. Scenarios'!$C$8))/4)*'5. Scenarios'!$C$6/(1+ProductivityDefault*('5. Scenarios'!$C$11-1))+INDEX(BookOneOff,1065)*$I1070)</f>
        <v/>
      </c>
      <c r="N1070" s="56" t="str">
        <f aca="false">IF(INDEX(BookTitle,1065)="","",INDEX(BookTotal,1065)*'5. Scenarios'!$D$6/(1+ProductivityDefault*('5. Scenarios'!$D$11-1)))</f>
        <v/>
      </c>
      <c r="O1070" s="57" t="str">
        <f aca="false">IF($N1070="","",INDEX(BookRate,1065)*(1+'5. Scenarios'!$D$10)*$N1070)</f>
        <v/>
      </c>
      <c r="P1070" s="57" t="str">
        <f aca="false">IF($O1070="","",SUMIFS($O$6:$O$2405,$A$6:$A$2405,"&lt;="&amp;$A1070))</f>
        <v/>
      </c>
      <c r="Q1070" s="57" t="str">
        <f aca="false">IF($O1070="","",IF($P1070&lt;=BankCostEnvelope*'5. Scenarios'!$D$7,1,0))</f>
        <v/>
      </c>
      <c r="R1070" s="57" t="str">
        <f aca="false">IF($N1070="","",INDEX(BookRate,1065)*(1+'5. Scenarios'!$D$10)*(INDEX(BookQ1,1065)*(5-MIN(4,1+'5. Scenarios'!$D$8))/4+INDEX(BookQ2,1065)*(5-MIN(4,2+'5. Scenarios'!$D$8))/4+INDEX(BookQ3,1065)*(5-MIN(4,3+'5. Scenarios'!$D$8))/4+INDEX(BookQ4,1065)*(5-MIN(4,4+'5. Scenarios'!$D$8))/4)*'5. Scenarios'!$D$6/(1+ProductivityDefault*('5. Scenarios'!$D$11-1))+INDEX(BookOneOff,1065)*$N1070)</f>
        <v/>
      </c>
      <c r="S1070" s="56" t="str">
        <f aca="false">IF(INDEX(BookTitle,1065)="","",INDEX(BookTotal,1065)*'5. Scenarios'!$E$6/(1+ProductivityDefault*('5. Scenarios'!$E$11-1)))</f>
        <v/>
      </c>
      <c r="T1070" s="57" t="str">
        <f aca="false">IF($S1070="","",INDEX(BookRate,1065)*(1+'5. Scenarios'!$E$10)*$S1070)</f>
        <v/>
      </c>
      <c r="U1070" s="57" t="str">
        <f aca="false">IF($T1070="","",SUMIFS($T$6:$T$2405,$A$6:$A$2405,"&lt;="&amp;$A1070))</f>
        <v/>
      </c>
      <c r="V1070" s="57" t="str">
        <f aca="false">IF($T1070="","",IF($U1070&lt;=BankCostEnvelope*'5. Scenarios'!$E$7,1,0))</f>
        <v/>
      </c>
      <c r="W1070" s="57" t="str">
        <f aca="false">IF($S1070="","",INDEX(BookRate,1065)*(1+'5. Scenarios'!$E$10)*(INDEX(BookQ1,1065)*(5-MIN(4,1+'5. Scenarios'!$E$8))/4+INDEX(BookQ2,1065)*(5-MIN(4,2+'5. Scenarios'!$E$8))/4+INDEX(BookQ3,1065)*(5-MIN(4,3+'5. Scenarios'!$E$8))/4+INDEX(BookQ4,1065)*(5-MIN(4,4+'5. Scenarios'!$E$8))/4)*'5. Scenarios'!$E$6/(1+ProductivityDefault*('5. Scenarios'!$E$11-1))+INDEX(BookOneOff,1065)*$S1070)</f>
        <v/>
      </c>
    </row>
    <row r="1071" customFormat="false" ht="15" hidden="false" customHeight="false" outlineLevel="0" collapsed="false">
      <c r="A1071" s="0" t="str">
        <f aca="false">IF(INDEX(BookTitle,1066)="","",INDEX(BookKey,1066))</f>
        <v/>
      </c>
      <c r="B1071" s="0" t="str">
        <f aca="false">IF(INDEX(BookTitle,1066)="","",INDEX(BookGroup,1066))</f>
        <v/>
      </c>
      <c r="C1071" s="0" t="str">
        <f aca="false">IF(INDEX(BookTitle,1066)="","",INDEX(BookCategory,1066))</f>
        <v/>
      </c>
      <c r="D1071" s="56" t="str">
        <f aca="false">IF(INDEX(BookTitle,1066)="","",INDEX(BookTotal,1066)*'5. Scenarios'!$B$6/(1+ProductivityDefault*('5. Scenarios'!$B$11-1)))</f>
        <v/>
      </c>
      <c r="E1071" s="57" t="str">
        <f aca="false">IF($D1071="","",INDEX(BookRate,1066)*(1+'5. Scenarios'!$B$10)*$D1071)</f>
        <v/>
      </c>
      <c r="F1071" s="57" t="str">
        <f aca="false">IF($E1071="","",SUMIFS($E$6:$E$2405,$A$6:$A$2405,"&lt;="&amp;$A1071))</f>
        <v/>
      </c>
      <c r="G1071" s="57" t="str">
        <f aca="false">IF($E1071="","",IF($F1071&lt;=BankCostEnvelope*'5. Scenarios'!$B$7,1,0))</f>
        <v/>
      </c>
      <c r="H1071" s="57" t="str">
        <f aca="false">IF($D1071="","",INDEX(BookRate,1066)*(1+'5. Scenarios'!$B$10)*(INDEX(BookQ1,1066)*(5-MIN(4,1+'5. Scenarios'!$B$8))/4+INDEX(BookQ2,1066)*(5-MIN(4,2+'5. Scenarios'!$B$8))/4+INDEX(BookQ3,1066)*(5-MIN(4,3+'5. Scenarios'!$B$8))/4+INDEX(BookQ4,1066)*(5-MIN(4,4+'5. Scenarios'!$B$8))/4)*'5. Scenarios'!$B$6/(1+ProductivityDefault*('5. Scenarios'!$B$11-1))+INDEX(BookOneOff,1066)*$D1071)</f>
        <v/>
      </c>
      <c r="I1071" s="56" t="str">
        <f aca="false">IF(INDEX(BookTitle,1066)="","",INDEX(BookTotal,1066)*'5. Scenarios'!$C$6/(1+ProductivityDefault*('5. Scenarios'!$C$11-1)))</f>
        <v/>
      </c>
      <c r="J1071" s="57" t="str">
        <f aca="false">IF($I1071="","",INDEX(BookRate,1066)*(1+'5. Scenarios'!$C$10)*$I1071)</f>
        <v/>
      </c>
      <c r="K1071" s="57" t="str">
        <f aca="false">IF($J1071="","",SUMIFS($J$6:$J$2405,$A$6:$A$2405,"&lt;="&amp;$A1071))</f>
        <v/>
      </c>
      <c r="L1071" s="57" t="str">
        <f aca="false">IF($J1071="","",IF($K1071&lt;=BankCostEnvelope*'5. Scenarios'!$C$7,1,0))</f>
        <v/>
      </c>
      <c r="M1071" s="57" t="str">
        <f aca="false">IF($I1071="","",INDEX(BookRate,1066)*(1+'5. Scenarios'!$C$10)*(INDEX(BookQ1,1066)*(5-MIN(4,1+'5. Scenarios'!$C$8))/4+INDEX(BookQ2,1066)*(5-MIN(4,2+'5. Scenarios'!$C$8))/4+INDEX(BookQ3,1066)*(5-MIN(4,3+'5. Scenarios'!$C$8))/4+INDEX(BookQ4,1066)*(5-MIN(4,4+'5. Scenarios'!$C$8))/4)*'5. Scenarios'!$C$6/(1+ProductivityDefault*('5. Scenarios'!$C$11-1))+INDEX(BookOneOff,1066)*$I1071)</f>
        <v/>
      </c>
      <c r="N1071" s="56" t="str">
        <f aca="false">IF(INDEX(BookTitle,1066)="","",INDEX(BookTotal,1066)*'5. Scenarios'!$D$6/(1+ProductivityDefault*('5. Scenarios'!$D$11-1)))</f>
        <v/>
      </c>
      <c r="O1071" s="57" t="str">
        <f aca="false">IF($N1071="","",INDEX(BookRate,1066)*(1+'5. Scenarios'!$D$10)*$N1071)</f>
        <v/>
      </c>
      <c r="P1071" s="57" t="str">
        <f aca="false">IF($O1071="","",SUMIFS($O$6:$O$2405,$A$6:$A$2405,"&lt;="&amp;$A1071))</f>
        <v/>
      </c>
      <c r="Q1071" s="57" t="str">
        <f aca="false">IF($O1071="","",IF($P1071&lt;=BankCostEnvelope*'5. Scenarios'!$D$7,1,0))</f>
        <v/>
      </c>
      <c r="R1071" s="57" t="str">
        <f aca="false">IF($N1071="","",INDEX(BookRate,1066)*(1+'5. Scenarios'!$D$10)*(INDEX(BookQ1,1066)*(5-MIN(4,1+'5. Scenarios'!$D$8))/4+INDEX(BookQ2,1066)*(5-MIN(4,2+'5. Scenarios'!$D$8))/4+INDEX(BookQ3,1066)*(5-MIN(4,3+'5. Scenarios'!$D$8))/4+INDEX(BookQ4,1066)*(5-MIN(4,4+'5. Scenarios'!$D$8))/4)*'5. Scenarios'!$D$6/(1+ProductivityDefault*('5. Scenarios'!$D$11-1))+INDEX(BookOneOff,1066)*$N1071)</f>
        <v/>
      </c>
      <c r="S1071" s="56" t="str">
        <f aca="false">IF(INDEX(BookTitle,1066)="","",INDEX(BookTotal,1066)*'5. Scenarios'!$E$6/(1+ProductivityDefault*('5. Scenarios'!$E$11-1)))</f>
        <v/>
      </c>
      <c r="T1071" s="57" t="str">
        <f aca="false">IF($S1071="","",INDEX(BookRate,1066)*(1+'5. Scenarios'!$E$10)*$S1071)</f>
        <v/>
      </c>
      <c r="U1071" s="57" t="str">
        <f aca="false">IF($T1071="","",SUMIFS($T$6:$T$2405,$A$6:$A$2405,"&lt;="&amp;$A1071))</f>
        <v/>
      </c>
      <c r="V1071" s="57" t="str">
        <f aca="false">IF($T1071="","",IF($U1071&lt;=BankCostEnvelope*'5. Scenarios'!$E$7,1,0))</f>
        <v/>
      </c>
      <c r="W1071" s="57" t="str">
        <f aca="false">IF($S1071="","",INDEX(BookRate,1066)*(1+'5. Scenarios'!$E$10)*(INDEX(BookQ1,1066)*(5-MIN(4,1+'5. Scenarios'!$E$8))/4+INDEX(BookQ2,1066)*(5-MIN(4,2+'5. Scenarios'!$E$8))/4+INDEX(BookQ3,1066)*(5-MIN(4,3+'5. Scenarios'!$E$8))/4+INDEX(BookQ4,1066)*(5-MIN(4,4+'5. Scenarios'!$E$8))/4)*'5. Scenarios'!$E$6/(1+ProductivityDefault*('5. Scenarios'!$E$11-1))+INDEX(BookOneOff,1066)*$S1071)</f>
        <v/>
      </c>
    </row>
    <row r="1072" customFormat="false" ht="15" hidden="false" customHeight="false" outlineLevel="0" collapsed="false">
      <c r="A1072" s="0" t="str">
        <f aca="false">IF(INDEX(BookTitle,1067)="","",INDEX(BookKey,1067))</f>
        <v/>
      </c>
      <c r="B1072" s="0" t="str">
        <f aca="false">IF(INDEX(BookTitle,1067)="","",INDEX(BookGroup,1067))</f>
        <v/>
      </c>
      <c r="C1072" s="0" t="str">
        <f aca="false">IF(INDEX(BookTitle,1067)="","",INDEX(BookCategory,1067))</f>
        <v/>
      </c>
      <c r="D1072" s="56" t="str">
        <f aca="false">IF(INDEX(BookTitle,1067)="","",INDEX(BookTotal,1067)*'5. Scenarios'!$B$6/(1+ProductivityDefault*('5. Scenarios'!$B$11-1)))</f>
        <v/>
      </c>
      <c r="E1072" s="57" t="str">
        <f aca="false">IF($D1072="","",INDEX(BookRate,1067)*(1+'5. Scenarios'!$B$10)*$D1072)</f>
        <v/>
      </c>
      <c r="F1072" s="57" t="str">
        <f aca="false">IF($E1072="","",SUMIFS($E$6:$E$2405,$A$6:$A$2405,"&lt;="&amp;$A1072))</f>
        <v/>
      </c>
      <c r="G1072" s="57" t="str">
        <f aca="false">IF($E1072="","",IF($F1072&lt;=BankCostEnvelope*'5. Scenarios'!$B$7,1,0))</f>
        <v/>
      </c>
      <c r="H1072" s="57" t="str">
        <f aca="false">IF($D1072="","",INDEX(BookRate,1067)*(1+'5. Scenarios'!$B$10)*(INDEX(BookQ1,1067)*(5-MIN(4,1+'5. Scenarios'!$B$8))/4+INDEX(BookQ2,1067)*(5-MIN(4,2+'5. Scenarios'!$B$8))/4+INDEX(BookQ3,1067)*(5-MIN(4,3+'5. Scenarios'!$B$8))/4+INDEX(BookQ4,1067)*(5-MIN(4,4+'5. Scenarios'!$B$8))/4)*'5. Scenarios'!$B$6/(1+ProductivityDefault*('5. Scenarios'!$B$11-1))+INDEX(BookOneOff,1067)*$D1072)</f>
        <v/>
      </c>
      <c r="I1072" s="56" t="str">
        <f aca="false">IF(INDEX(BookTitle,1067)="","",INDEX(BookTotal,1067)*'5. Scenarios'!$C$6/(1+ProductivityDefault*('5. Scenarios'!$C$11-1)))</f>
        <v/>
      </c>
      <c r="J1072" s="57" t="str">
        <f aca="false">IF($I1072="","",INDEX(BookRate,1067)*(1+'5. Scenarios'!$C$10)*$I1072)</f>
        <v/>
      </c>
      <c r="K1072" s="57" t="str">
        <f aca="false">IF($J1072="","",SUMIFS($J$6:$J$2405,$A$6:$A$2405,"&lt;="&amp;$A1072))</f>
        <v/>
      </c>
      <c r="L1072" s="57" t="str">
        <f aca="false">IF($J1072="","",IF($K1072&lt;=BankCostEnvelope*'5. Scenarios'!$C$7,1,0))</f>
        <v/>
      </c>
      <c r="M1072" s="57" t="str">
        <f aca="false">IF($I1072="","",INDEX(BookRate,1067)*(1+'5. Scenarios'!$C$10)*(INDEX(BookQ1,1067)*(5-MIN(4,1+'5. Scenarios'!$C$8))/4+INDEX(BookQ2,1067)*(5-MIN(4,2+'5. Scenarios'!$C$8))/4+INDEX(BookQ3,1067)*(5-MIN(4,3+'5. Scenarios'!$C$8))/4+INDEX(BookQ4,1067)*(5-MIN(4,4+'5. Scenarios'!$C$8))/4)*'5. Scenarios'!$C$6/(1+ProductivityDefault*('5. Scenarios'!$C$11-1))+INDEX(BookOneOff,1067)*$I1072)</f>
        <v/>
      </c>
      <c r="N1072" s="56" t="str">
        <f aca="false">IF(INDEX(BookTitle,1067)="","",INDEX(BookTotal,1067)*'5. Scenarios'!$D$6/(1+ProductivityDefault*('5. Scenarios'!$D$11-1)))</f>
        <v/>
      </c>
      <c r="O1072" s="57" t="str">
        <f aca="false">IF($N1072="","",INDEX(BookRate,1067)*(1+'5. Scenarios'!$D$10)*$N1072)</f>
        <v/>
      </c>
      <c r="P1072" s="57" t="str">
        <f aca="false">IF($O1072="","",SUMIFS($O$6:$O$2405,$A$6:$A$2405,"&lt;="&amp;$A1072))</f>
        <v/>
      </c>
      <c r="Q1072" s="57" t="str">
        <f aca="false">IF($O1072="","",IF($P1072&lt;=BankCostEnvelope*'5. Scenarios'!$D$7,1,0))</f>
        <v/>
      </c>
      <c r="R1072" s="57" t="str">
        <f aca="false">IF($N1072="","",INDEX(BookRate,1067)*(1+'5. Scenarios'!$D$10)*(INDEX(BookQ1,1067)*(5-MIN(4,1+'5. Scenarios'!$D$8))/4+INDEX(BookQ2,1067)*(5-MIN(4,2+'5. Scenarios'!$D$8))/4+INDEX(BookQ3,1067)*(5-MIN(4,3+'5. Scenarios'!$D$8))/4+INDEX(BookQ4,1067)*(5-MIN(4,4+'5. Scenarios'!$D$8))/4)*'5. Scenarios'!$D$6/(1+ProductivityDefault*('5. Scenarios'!$D$11-1))+INDEX(BookOneOff,1067)*$N1072)</f>
        <v/>
      </c>
      <c r="S1072" s="56" t="str">
        <f aca="false">IF(INDEX(BookTitle,1067)="","",INDEX(BookTotal,1067)*'5. Scenarios'!$E$6/(1+ProductivityDefault*('5. Scenarios'!$E$11-1)))</f>
        <v/>
      </c>
      <c r="T1072" s="57" t="str">
        <f aca="false">IF($S1072="","",INDEX(BookRate,1067)*(1+'5. Scenarios'!$E$10)*$S1072)</f>
        <v/>
      </c>
      <c r="U1072" s="57" t="str">
        <f aca="false">IF($T1072="","",SUMIFS($T$6:$T$2405,$A$6:$A$2405,"&lt;="&amp;$A1072))</f>
        <v/>
      </c>
      <c r="V1072" s="57" t="str">
        <f aca="false">IF($T1072="","",IF($U1072&lt;=BankCostEnvelope*'5. Scenarios'!$E$7,1,0))</f>
        <v/>
      </c>
      <c r="W1072" s="57" t="str">
        <f aca="false">IF($S1072="","",INDEX(BookRate,1067)*(1+'5. Scenarios'!$E$10)*(INDEX(BookQ1,1067)*(5-MIN(4,1+'5. Scenarios'!$E$8))/4+INDEX(BookQ2,1067)*(5-MIN(4,2+'5. Scenarios'!$E$8))/4+INDEX(BookQ3,1067)*(5-MIN(4,3+'5. Scenarios'!$E$8))/4+INDEX(BookQ4,1067)*(5-MIN(4,4+'5. Scenarios'!$E$8))/4)*'5. Scenarios'!$E$6/(1+ProductivityDefault*('5. Scenarios'!$E$11-1))+INDEX(BookOneOff,1067)*$S1072)</f>
        <v/>
      </c>
    </row>
    <row r="1073" customFormat="false" ht="15" hidden="false" customHeight="false" outlineLevel="0" collapsed="false">
      <c r="A1073" s="0" t="str">
        <f aca="false">IF(INDEX(BookTitle,1068)="","",INDEX(BookKey,1068))</f>
        <v/>
      </c>
      <c r="B1073" s="0" t="str">
        <f aca="false">IF(INDEX(BookTitle,1068)="","",INDEX(BookGroup,1068))</f>
        <v/>
      </c>
      <c r="C1073" s="0" t="str">
        <f aca="false">IF(INDEX(BookTitle,1068)="","",INDEX(BookCategory,1068))</f>
        <v/>
      </c>
      <c r="D1073" s="56" t="str">
        <f aca="false">IF(INDEX(BookTitle,1068)="","",INDEX(BookTotal,1068)*'5. Scenarios'!$B$6/(1+ProductivityDefault*('5. Scenarios'!$B$11-1)))</f>
        <v/>
      </c>
      <c r="E1073" s="57" t="str">
        <f aca="false">IF($D1073="","",INDEX(BookRate,1068)*(1+'5. Scenarios'!$B$10)*$D1073)</f>
        <v/>
      </c>
      <c r="F1073" s="57" t="str">
        <f aca="false">IF($E1073="","",SUMIFS($E$6:$E$2405,$A$6:$A$2405,"&lt;="&amp;$A1073))</f>
        <v/>
      </c>
      <c r="G1073" s="57" t="str">
        <f aca="false">IF($E1073="","",IF($F1073&lt;=BankCostEnvelope*'5. Scenarios'!$B$7,1,0))</f>
        <v/>
      </c>
      <c r="H1073" s="57" t="str">
        <f aca="false">IF($D1073="","",INDEX(BookRate,1068)*(1+'5. Scenarios'!$B$10)*(INDEX(BookQ1,1068)*(5-MIN(4,1+'5. Scenarios'!$B$8))/4+INDEX(BookQ2,1068)*(5-MIN(4,2+'5. Scenarios'!$B$8))/4+INDEX(BookQ3,1068)*(5-MIN(4,3+'5. Scenarios'!$B$8))/4+INDEX(BookQ4,1068)*(5-MIN(4,4+'5. Scenarios'!$B$8))/4)*'5. Scenarios'!$B$6/(1+ProductivityDefault*('5. Scenarios'!$B$11-1))+INDEX(BookOneOff,1068)*$D1073)</f>
        <v/>
      </c>
      <c r="I1073" s="56" t="str">
        <f aca="false">IF(INDEX(BookTitle,1068)="","",INDEX(BookTotal,1068)*'5. Scenarios'!$C$6/(1+ProductivityDefault*('5. Scenarios'!$C$11-1)))</f>
        <v/>
      </c>
      <c r="J1073" s="57" t="str">
        <f aca="false">IF($I1073="","",INDEX(BookRate,1068)*(1+'5. Scenarios'!$C$10)*$I1073)</f>
        <v/>
      </c>
      <c r="K1073" s="57" t="str">
        <f aca="false">IF($J1073="","",SUMIFS($J$6:$J$2405,$A$6:$A$2405,"&lt;="&amp;$A1073))</f>
        <v/>
      </c>
      <c r="L1073" s="57" t="str">
        <f aca="false">IF($J1073="","",IF($K1073&lt;=BankCostEnvelope*'5. Scenarios'!$C$7,1,0))</f>
        <v/>
      </c>
      <c r="M1073" s="57" t="str">
        <f aca="false">IF($I1073="","",INDEX(BookRate,1068)*(1+'5. Scenarios'!$C$10)*(INDEX(BookQ1,1068)*(5-MIN(4,1+'5. Scenarios'!$C$8))/4+INDEX(BookQ2,1068)*(5-MIN(4,2+'5. Scenarios'!$C$8))/4+INDEX(BookQ3,1068)*(5-MIN(4,3+'5. Scenarios'!$C$8))/4+INDEX(BookQ4,1068)*(5-MIN(4,4+'5. Scenarios'!$C$8))/4)*'5. Scenarios'!$C$6/(1+ProductivityDefault*('5. Scenarios'!$C$11-1))+INDEX(BookOneOff,1068)*$I1073)</f>
        <v/>
      </c>
      <c r="N1073" s="56" t="str">
        <f aca="false">IF(INDEX(BookTitle,1068)="","",INDEX(BookTotal,1068)*'5. Scenarios'!$D$6/(1+ProductivityDefault*('5. Scenarios'!$D$11-1)))</f>
        <v/>
      </c>
      <c r="O1073" s="57" t="str">
        <f aca="false">IF($N1073="","",INDEX(BookRate,1068)*(1+'5. Scenarios'!$D$10)*$N1073)</f>
        <v/>
      </c>
      <c r="P1073" s="57" t="str">
        <f aca="false">IF($O1073="","",SUMIFS($O$6:$O$2405,$A$6:$A$2405,"&lt;="&amp;$A1073))</f>
        <v/>
      </c>
      <c r="Q1073" s="57" t="str">
        <f aca="false">IF($O1073="","",IF($P1073&lt;=BankCostEnvelope*'5. Scenarios'!$D$7,1,0))</f>
        <v/>
      </c>
      <c r="R1073" s="57" t="str">
        <f aca="false">IF($N1073="","",INDEX(BookRate,1068)*(1+'5. Scenarios'!$D$10)*(INDEX(BookQ1,1068)*(5-MIN(4,1+'5. Scenarios'!$D$8))/4+INDEX(BookQ2,1068)*(5-MIN(4,2+'5. Scenarios'!$D$8))/4+INDEX(BookQ3,1068)*(5-MIN(4,3+'5. Scenarios'!$D$8))/4+INDEX(BookQ4,1068)*(5-MIN(4,4+'5. Scenarios'!$D$8))/4)*'5. Scenarios'!$D$6/(1+ProductivityDefault*('5. Scenarios'!$D$11-1))+INDEX(BookOneOff,1068)*$N1073)</f>
        <v/>
      </c>
      <c r="S1073" s="56" t="str">
        <f aca="false">IF(INDEX(BookTitle,1068)="","",INDEX(BookTotal,1068)*'5. Scenarios'!$E$6/(1+ProductivityDefault*('5. Scenarios'!$E$11-1)))</f>
        <v/>
      </c>
      <c r="T1073" s="57" t="str">
        <f aca="false">IF($S1073="","",INDEX(BookRate,1068)*(1+'5. Scenarios'!$E$10)*$S1073)</f>
        <v/>
      </c>
      <c r="U1073" s="57" t="str">
        <f aca="false">IF($T1073="","",SUMIFS($T$6:$T$2405,$A$6:$A$2405,"&lt;="&amp;$A1073))</f>
        <v/>
      </c>
      <c r="V1073" s="57" t="str">
        <f aca="false">IF($T1073="","",IF($U1073&lt;=BankCostEnvelope*'5. Scenarios'!$E$7,1,0))</f>
        <v/>
      </c>
      <c r="W1073" s="57" t="str">
        <f aca="false">IF($S1073="","",INDEX(BookRate,1068)*(1+'5. Scenarios'!$E$10)*(INDEX(BookQ1,1068)*(5-MIN(4,1+'5. Scenarios'!$E$8))/4+INDEX(BookQ2,1068)*(5-MIN(4,2+'5. Scenarios'!$E$8))/4+INDEX(BookQ3,1068)*(5-MIN(4,3+'5. Scenarios'!$E$8))/4+INDEX(BookQ4,1068)*(5-MIN(4,4+'5. Scenarios'!$E$8))/4)*'5. Scenarios'!$E$6/(1+ProductivityDefault*('5. Scenarios'!$E$11-1))+INDEX(BookOneOff,1068)*$S1073)</f>
        <v/>
      </c>
    </row>
    <row r="1074" customFormat="false" ht="15" hidden="false" customHeight="false" outlineLevel="0" collapsed="false">
      <c r="A1074" s="0" t="str">
        <f aca="false">IF(INDEX(BookTitle,1069)="","",INDEX(BookKey,1069))</f>
        <v/>
      </c>
      <c r="B1074" s="0" t="str">
        <f aca="false">IF(INDEX(BookTitle,1069)="","",INDEX(BookGroup,1069))</f>
        <v/>
      </c>
      <c r="C1074" s="0" t="str">
        <f aca="false">IF(INDEX(BookTitle,1069)="","",INDEX(BookCategory,1069))</f>
        <v/>
      </c>
      <c r="D1074" s="56" t="str">
        <f aca="false">IF(INDEX(BookTitle,1069)="","",INDEX(BookTotal,1069)*'5. Scenarios'!$B$6/(1+ProductivityDefault*('5. Scenarios'!$B$11-1)))</f>
        <v/>
      </c>
      <c r="E1074" s="57" t="str">
        <f aca="false">IF($D1074="","",INDEX(BookRate,1069)*(1+'5. Scenarios'!$B$10)*$D1074)</f>
        <v/>
      </c>
      <c r="F1074" s="57" t="str">
        <f aca="false">IF($E1074="","",SUMIFS($E$6:$E$2405,$A$6:$A$2405,"&lt;="&amp;$A1074))</f>
        <v/>
      </c>
      <c r="G1074" s="57" t="str">
        <f aca="false">IF($E1074="","",IF($F1074&lt;=BankCostEnvelope*'5. Scenarios'!$B$7,1,0))</f>
        <v/>
      </c>
      <c r="H1074" s="57" t="str">
        <f aca="false">IF($D1074="","",INDEX(BookRate,1069)*(1+'5. Scenarios'!$B$10)*(INDEX(BookQ1,1069)*(5-MIN(4,1+'5. Scenarios'!$B$8))/4+INDEX(BookQ2,1069)*(5-MIN(4,2+'5. Scenarios'!$B$8))/4+INDEX(BookQ3,1069)*(5-MIN(4,3+'5. Scenarios'!$B$8))/4+INDEX(BookQ4,1069)*(5-MIN(4,4+'5. Scenarios'!$B$8))/4)*'5. Scenarios'!$B$6/(1+ProductivityDefault*('5. Scenarios'!$B$11-1))+INDEX(BookOneOff,1069)*$D1074)</f>
        <v/>
      </c>
      <c r="I1074" s="56" t="str">
        <f aca="false">IF(INDEX(BookTitle,1069)="","",INDEX(BookTotal,1069)*'5. Scenarios'!$C$6/(1+ProductivityDefault*('5. Scenarios'!$C$11-1)))</f>
        <v/>
      </c>
      <c r="J1074" s="57" t="str">
        <f aca="false">IF($I1074="","",INDEX(BookRate,1069)*(1+'5. Scenarios'!$C$10)*$I1074)</f>
        <v/>
      </c>
      <c r="K1074" s="57" t="str">
        <f aca="false">IF($J1074="","",SUMIFS($J$6:$J$2405,$A$6:$A$2405,"&lt;="&amp;$A1074))</f>
        <v/>
      </c>
      <c r="L1074" s="57" t="str">
        <f aca="false">IF($J1074="","",IF($K1074&lt;=BankCostEnvelope*'5. Scenarios'!$C$7,1,0))</f>
        <v/>
      </c>
      <c r="M1074" s="57" t="str">
        <f aca="false">IF($I1074="","",INDEX(BookRate,1069)*(1+'5. Scenarios'!$C$10)*(INDEX(BookQ1,1069)*(5-MIN(4,1+'5. Scenarios'!$C$8))/4+INDEX(BookQ2,1069)*(5-MIN(4,2+'5. Scenarios'!$C$8))/4+INDEX(BookQ3,1069)*(5-MIN(4,3+'5. Scenarios'!$C$8))/4+INDEX(BookQ4,1069)*(5-MIN(4,4+'5. Scenarios'!$C$8))/4)*'5. Scenarios'!$C$6/(1+ProductivityDefault*('5. Scenarios'!$C$11-1))+INDEX(BookOneOff,1069)*$I1074)</f>
        <v/>
      </c>
      <c r="N1074" s="56" t="str">
        <f aca="false">IF(INDEX(BookTitle,1069)="","",INDEX(BookTotal,1069)*'5. Scenarios'!$D$6/(1+ProductivityDefault*('5. Scenarios'!$D$11-1)))</f>
        <v/>
      </c>
      <c r="O1074" s="57" t="str">
        <f aca="false">IF($N1074="","",INDEX(BookRate,1069)*(1+'5. Scenarios'!$D$10)*$N1074)</f>
        <v/>
      </c>
      <c r="P1074" s="57" t="str">
        <f aca="false">IF($O1074="","",SUMIFS($O$6:$O$2405,$A$6:$A$2405,"&lt;="&amp;$A1074))</f>
        <v/>
      </c>
      <c r="Q1074" s="57" t="str">
        <f aca="false">IF($O1074="","",IF($P1074&lt;=BankCostEnvelope*'5. Scenarios'!$D$7,1,0))</f>
        <v/>
      </c>
      <c r="R1074" s="57" t="str">
        <f aca="false">IF($N1074="","",INDEX(BookRate,1069)*(1+'5. Scenarios'!$D$10)*(INDEX(BookQ1,1069)*(5-MIN(4,1+'5. Scenarios'!$D$8))/4+INDEX(BookQ2,1069)*(5-MIN(4,2+'5. Scenarios'!$D$8))/4+INDEX(BookQ3,1069)*(5-MIN(4,3+'5. Scenarios'!$D$8))/4+INDEX(BookQ4,1069)*(5-MIN(4,4+'5. Scenarios'!$D$8))/4)*'5. Scenarios'!$D$6/(1+ProductivityDefault*('5. Scenarios'!$D$11-1))+INDEX(BookOneOff,1069)*$N1074)</f>
        <v/>
      </c>
      <c r="S1074" s="56" t="str">
        <f aca="false">IF(INDEX(BookTitle,1069)="","",INDEX(BookTotal,1069)*'5. Scenarios'!$E$6/(1+ProductivityDefault*('5. Scenarios'!$E$11-1)))</f>
        <v/>
      </c>
      <c r="T1074" s="57" t="str">
        <f aca="false">IF($S1074="","",INDEX(BookRate,1069)*(1+'5. Scenarios'!$E$10)*$S1074)</f>
        <v/>
      </c>
      <c r="U1074" s="57" t="str">
        <f aca="false">IF($T1074="","",SUMIFS($T$6:$T$2405,$A$6:$A$2405,"&lt;="&amp;$A1074))</f>
        <v/>
      </c>
      <c r="V1074" s="57" t="str">
        <f aca="false">IF($T1074="","",IF($U1074&lt;=BankCostEnvelope*'5. Scenarios'!$E$7,1,0))</f>
        <v/>
      </c>
      <c r="W1074" s="57" t="str">
        <f aca="false">IF($S1074="","",INDEX(BookRate,1069)*(1+'5. Scenarios'!$E$10)*(INDEX(BookQ1,1069)*(5-MIN(4,1+'5. Scenarios'!$E$8))/4+INDEX(BookQ2,1069)*(5-MIN(4,2+'5. Scenarios'!$E$8))/4+INDEX(BookQ3,1069)*(5-MIN(4,3+'5. Scenarios'!$E$8))/4+INDEX(BookQ4,1069)*(5-MIN(4,4+'5. Scenarios'!$E$8))/4)*'5. Scenarios'!$E$6/(1+ProductivityDefault*('5. Scenarios'!$E$11-1))+INDEX(BookOneOff,1069)*$S1074)</f>
        <v/>
      </c>
    </row>
    <row r="1075" customFormat="false" ht="15" hidden="false" customHeight="false" outlineLevel="0" collapsed="false">
      <c r="A1075" s="0" t="str">
        <f aca="false">IF(INDEX(BookTitle,1070)="","",INDEX(BookKey,1070))</f>
        <v/>
      </c>
      <c r="B1075" s="0" t="str">
        <f aca="false">IF(INDEX(BookTitle,1070)="","",INDEX(BookGroup,1070))</f>
        <v/>
      </c>
      <c r="C1075" s="0" t="str">
        <f aca="false">IF(INDEX(BookTitle,1070)="","",INDEX(BookCategory,1070))</f>
        <v/>
      </c>
      <c r="D1075" s="56" t="str">
        <f aca="false">IF(INDEX(BookTitle,1070)="","",INDEX(BookTotal,1070)*'5. Scenarios'!$B$6/(1+ProductivityDefault*('5. Scenarios'!$B$11-1)))</f>
        <v/>
      </c>
      <c r="E1075" s="57" t="str">
        <f aca="false">IF($D1075="","",INDEX(BookRate,1070)*(1+'5. Scenarios'!$B$10)*$D1075)</f>
        <v/>
      </c>
      <c r="F1075" s="57" t="str">
        <f aca="false">IF($E1075="","",SUMIFS($E$6:$E$2405,$A$6:$A$2405,"&lt;="&amp;$A1075))</f>
        <v/>
      </c>
      <c r="G1075" s="57" t="str">
        <f aca="false">IF($E1075="","",IF($F1075&lt;=BankCostEnvelope*'5. Scenarios'!$B$7,1,0))</f>
        <v/>
      </c>
      <c r="H1075" s="57" t="str">
        <f aca="false">IF($D1075="","",INDEX(BookRate,1070)*(1+'5. Scenarios'!$B$10)*(INDEX(BookQ1,1070)*(5-MIN(4,1+'5. Scenarios'!$B$8))/4+INDEX(BookQ2,1070)*(5-MIN(4,2+'5. Scenarios'!$B$8))/4+INDEX(BookQ3,1070)*(5-MIN(4,3+'5. Scenarios'!$B$8))/4+INDEX(BookQ4,1070)*(5-MIN(4,4+'5. Scenarios'!$B$8))/4)*'5. Scenarios'!$B$6/(1+ProductivityDefault*('5. Scenarios'!$B$11-1))+INDEX(BookOneOff,1070)*$D1075)</f>
        <v/>
      </c>
      <c r="I1075" s="56" t="str">
        <f aca="false">IF(INDEX(BookTitle,1070)="","",INDEX(BookTotal,1070)*'5. Scenarios'!$C$6/(1+ProductivityDefault*('5. Scenarios'!$C$11-1)))</f>
        <v/>
      </c>
      <c r="J1075" s="57" t="str">
        <f aca="false">IF($I1075="","",INDEX(BookRate,1070)*(1+'5. Scenarios'!$C$10)*$I1075)</f>
        <v/>
      </c>
      <c r="K1075" s="57" t="str">
        <f aca="false">IF($J1075="","",SUMIFS($J$6:$J$2405,$A$6:$A$2405,"&lt;="&amp;$A1075))</f>
        <v/>
      </c>
      <c r="L1075" s="57" t="str">
        <f aca="false">IF($J1075="","",IF($K1075&lt;=BankCostEnvelope*'5. Scenarios'!$C$7,1,0))</f>
        <v/>
      </c>
      <c r="M1075" s="57" t="str">
        <f aca="false">IF($I1075="","",INDEX(BookRate,1070)*(1+'5. Scenarios'!$C$10)*(INDEX(BookQ1,1070)*(5-MIN(4,1+'5. Scenarios'!$C$8))/4+INDEX(BookQ2,1070)*(5-MIN(4,2+'5. Scenarios'!$C$8))/4+INDEX(BookQ3,1070)*(5-MIN(4,3+'5. Scenarios'!$C$8))/4+INDEX(BookQ4,1070)*(5-MIN(4,4+'5. Scenarios'!$C$8))/4)*'5. Scenarios'!$C$6/(1+ProductivityDefault*('5. Scenarios'!$C$11-1))+INDEX(BookOneOff,1070)*$I1075)</f>
        <v/>
      </c>
      <c r="N1075" s="56" t="str">
        <f aca="false">IF(INDEX(BookTitle,1070)="","",INDEX(BookTotal,1070)*'5. Scenarios'!$D$6/(1+ProductivityDefault*('5. Scenarios'!$D$11-1)))</f>
        <v/>
      </c>
      <c r="O1075" s="57" t="str">
        <f aca="false">IF($N1075="","",INDEX(BookRate,1070)*(1+'5. Scenarios'!$D$10)*$N1075)</f>
        <v/>
      </c>
      <c r="P1075" s="57" t="str">
        <f aca="false">IF($O1075="","",SUMIFS($O$6:$O$2405,$A$6:$A$2405,"&lt;="&amp;$A1075))</f>
        <v/>
      </c>
      <c r="Q1075" s="57" t="str">
        <f aca="false">IF($O1075="","",IF($P1075&lt;=BankCostEnvelope*'5. Scenarios'!$D$7,1,0))</f>
        <v/>
      </c>
      <c r="R1075" s="57" t="str">
        <f aca="false">IF($N1075="","",INDEX(BookRate,1070)*(1+'5. Scenarios'!$D$10)*(INDEX(BookQ1,1070)*(5-MIN(4,1+'5. Scenarios'!$D$8))/4+INDEX(BookQ2,1070)*(5-MIN(4,2+'5. Scenarios'!$D$8))/4+INDEX(BookQ3,1070)*(5-MIN(4,3+'5. Scenarios'!$D$8))/4+INDEX(BookQ4,1070)*(5-MIN(4,4+'5. Scenarios'!$D$8))/4)*'5. Scenarios'!$D$6/(1+ProductivityDefault*('5. Scenarios'!$D$11-1))+INDEX(BookOneOff,1070)*$N1075)</f>
        <v/>
      </c>
      <c r="S1075" s="56" t="str">
        <f aca="false">IF(INDEX(BookTitle,1070)="","",INDEX(BookTotal,1070)*'5. Scenarios'!$E$6/(1+ProductivityDefault*('5. Scenarios'!$E$11-1)))</f>
        <v/>
      </c>
      <c r="T1075" s="57" t="str">
        <f aca="false">IF($S1075="","",INDEX(BookRate,1070)*(1+'5. Scenarios'!$E$10)*$S1075)</f>
        <v/>
      </c>
      <c r="U1075" s="57" t="str">
        <f aca="false">IF($T1075="","",SUMIFS($T$6:$T$2405,$A$6:$A$2405,"&lt;="&amp;$A1075))</f>
        <v/>
      </c>
      <c r="V1075" s="57" t="str">
        <f aca="false">IF($T1075="","",IF($U1075&lt;=BankCostEnvelope*'5. Scenarios'!$E$7,1,0))</f>
        <v/>
      </c>
      <c r="W1075" s="57" t="str">
        <f aca="false">IF($S1075="","",INDEX(BookRate,1070)*(1+'5. Scenarios'!$E$10)*(INDEX(BookQ1,1070)*(5-MIN(4,1+'5. Scenarios'!$E$8))/4+INDEX(BookQ2,1070)*(5-MIN(4,2+'5. Scenarios'!$E$8))/4+INDEX(BookQ3,1070)*(5-MIN(4,3+'5. Scenarios'!$E$8))/4+INDEX(BookQ4,1070)*(5-MIN(4,4+'5. Scenarios'!$E$8))/4)*'5. Scenarios'!$E$6/(1+ProductivityDefault*('5. Scenarios'!$E$11-1))+INDEX(BookOneOff,1070)*$S1075)</f>
        <v/>
      </c>
    </row>
    <row r="1076" customFormat="false" ht="15" hidden="false" customHeight="false" outlineLevel="0" collapsed="false">
      <c r="A1076" s="0" t="str">
        <f aca="false">IF(INDEX(BookTitle,1071)="","",INDEX(BookKey,1071))</f>
        <v/>
      </c>
      <c r="B1076" s="0" t="str">
        <f aca="false">IF(INDEX(BookTitle,1071)="","",INDEX(BookGroup,1071))</f>
        <v/>
      </c>
      <c r="C1076" s="0" t="str">
        <f aca="false">IF(INDEX(BookTitle,1071)="","",INDEX(BookCategory,1071))</f>
        <v/>
      </c>
      <c r="D1076" s="56" t="str">
        <f aca="false">IF(INDEX(BookTitle,1071)="","",INDEX(BookTotal,1071)*'5. Scenarios'!$B$6/(1+ProductivityDefault*('5. Scenarios'!$B$11-1)))</f>
        <v/>
      </c>
      <c r="E1076" s="57" t="str">
        <f aca="false">IF($D1076="","",INDEX(BookRate,1071)*(1+'5. Scenarios'!$B$10)*$D1076)</f>
        <v/>
      </c>
      <c r="F1076" s="57" t="str">
        <f aca="false">IF($E1076="","",SUMIFS($E$6:$E$2405,$A$6:$A$2405,"&lt;="&amp;$A1076))</f>
        <v/>
      </c>
      <c r="G1076" s="57" t="str">
        <f aca="false">IF($E1076="","",IF($F1076&lt;=BankCostEnvelope*'5. Scenarios'!$B$7,1,0))</f>
        <v/>
      </c>
      <c r="H1076" s="57" t="str">
        <f aca="false">IF($D1076="","",INDEX(BookRate,1071)*(1+'5. Scenarios'!$B$10)*(INDEX(BookQ1,1071)*(5-MIN(4,1+'5. Scenarios'!$B$8))/4+INDEX(BookQ2,1071)*(5-MIN(4,2+'5. Scenarios'!$B$8))/4+INDEX(BookQ3,1071)*(5-MIN(4,3+'5. Scenarios'!$B$8))/4+INDEX(BookQ4,1071)*(5-MIN(4,4+'5. Scenarios'!$B$8))/4)*'5. Scenarios'!$B$6/(1+ProductivityDefault*('5. Scenarios'!$B$11-1))+INDEX(BookOneOff,1071)*$D1076)</f>
        <v/>
      </c>
      <c r="I1076" s="56" t="str">
        <f aca="false">IF(INDEX(BookTitle,1071)="","",INDEX(BookTotal,1071)*'5. Scenarios'!$C$6/(1+ProductivityDefault*('5. Scenarios'!$C$11-1)))</f>
        <v/>
      </c>
      <c r="J1076" s="57" t="str">
        <f aca="false">IF($I1076="","",INDEX(BookRate,1071)*(1+'5. Scenarios'!$C$10)*$I1076)</f>
        <v/>
      </c>
      <c r="K1076" s="57" t="str">
        <f aca="false">IF($J1076="","",SUMIFS($J$6:$J$2405,$A$6:$A$2405,"&lt;="&amp;$A1076))</f>
        <v/>
      </c>
      <c r="L1076" s="57" t="str">
        <f aca="false">IF($J1076="","",IF($K1076&lt;=BankCostEnvelope*'5. Scenarios'!$C$7,1,0))</f>
        <v/>
      </c>
      <c r="M1076" s="57" t="str">
        <f aca="false">IF($I1076="","",INDEX(BookRate,1071)*(1+'5. Scenarios'!$C$10)*(INDEX(BookQ1,1071)*(5-MIN(4,1+'5. Scenarios'!$C$8))/4+INDEX(BookQ2,1071)*(5-MIN(4,2+'5. Scenarios'!$C$8))/4+INDEX(BookQ3,1071)*(5-MIN(4,3+'5. Scenarios'!$C$8))/4+INDEX(BookQ4,1071)*(5-MIN(4,4+'5. Scenarios'!$C$8))/4)*'5. Scenarios'!$C$6/(1+ProductivityDefault*('5. Scenarios'!$C$11-1))+INDEX(BookOneOff,1071)*$I1076)</f>
        <v/>
      </c>
      <c r="N1076" s="56" t="str">
        <f aca="false">IF(INDEX(BookTitle,1071)="","",INDEX(BookTotal,1071)*'5. Scenarios'!$D$6/(1+ProductivityDefault*('5. Scenarios'!$D$11-1)))</f>
        <v/>
      </c>
      <c r="O1076" s="57" t="str">
        <f aca="false">IF($N1076="","",INDEX(BookRate,1071)*(1+'5. Scenarios'!$D$10)*$N1076)</f>
        <v/>
      </c>
      <c r="P1076" s="57" t="str">
        <f aca="false">IF($O1076="","",SUMIFS($O$6:$O$2405,$A$6:$A$2405,"&lt;="&amp;$A1076))</f>
        <v/>
      </c>
      <c r="Q1076" s="57" t="str">
        <f aca="false">IF($O1076="","",IF($P1076&lt;=BankCostEnvelope*'5. Scenarios'!$D$7,1,0))</f>
        <v/>
      </c>
      <c r="R1076" s="57" t="str">
        <f aca="false">IF($N1076="","",INDEX(BookRate,1071)*(1+'5. Scenarios'!$D$10)*(INDEX(BookQ1,1071)*(5-MIN(4,1+'5. Scenarios'!$D$8))/4+INDEX(BookQ2,1071)*(5-MIN(4,2+'5. Scenarios'!$D$8))/4+INDEX(BookQ3,1071)*(5-MIN(4,3+'5. Scenarios'!$D$8))/4+INDEX(BookQ4,1071)*(5-MIN(4,4+'5. Scenarios'!$D$8))/4)*'5. Scenarios'!$D$6/(1+ProductivityDefault*('5. Scenarios'!$D$11-1))+INDEX(BookOneOff,1071)*$N1076)</f>
        <v/>
      </c>
      <c r="S1076" s="56" t="str">
        <f aca="false">IF(INDEX(BookTitle,1071)="","",INDEX(BookTotal,1071)*'5. Scenarios'!$E$6/(1+ProductivityDefault*('5. Scenarios'!$E$11-1)))</f>
        <v/>
      </c>
      <c r="T1076" s="57" t="str">
        <f aca="false">IF($S1076="","",INDEX(BookRate,1071)*(1+'5. Scenarios'!$E$10)*$S1076)</f>
        <v/>
      </c>
      <c r="U1076" s="57" t="str">
        <f aca="false">IF($T1076="","",SUMIFS($T$6:$T$2405,$A$6:$A$2405,"&lt;="&amp;$A1076))</f>
        <v/>
      </c>
      <c r="V1076" s="57" t="str">
        <f aca="false">IF($T1076="","",IF($U1076&lt;=BankCostEnvelope*'5. Scenarios'!$E$7,1,0))</f>
        <v/>
      </c>
      <c r="W1076" s="57" t="str">
        <f aca="false">IF($S1076="","",INDEX(BookRate,1071)*(1+'5. Scenarios'!$E$10)*(INDEX(BookQ1,1071)*(5-MIN(4,1+'5. Scenarios'!$E$8))/4+INDEX(BookQ2,1071)*(5-MIN(4,2+'5. Scenarios'!$E$8))/4+INDEX(BookQ3,1071)*(5-MIN(4,3+'5. Scenarios'!$E$8))/4+INDEX(BookQ4,1071)*(5-MIN(4,4+'5. Scenarios'!$E$8))/4)*'5. Scenarios'!$E$6/(1+ProductivityDefault*('5. Scenarios'!$E$11-1))+INDEX(BookOneOff,1071)*$S1076)</f>
        <v/>
      </c>
    </row>
    <row r="1077" customFormat="false" ht="15" hidden="false" customHeight="false" outlineLevel="0" collapsed="false">
      <c r="A1077" s="0" t="str">
        <f aca="false">IF(INDEX(BookTitle,1072)="","",INDEX(BookKey,1072))</f>
        <v/>
      </c>
      <c r="B1077" s="0" t="str">
        <f aca="false">IF(INDEX(BookTitle,1072)="","",INDEX(BookGroup,1072))</f>
        <v/>
      </c>
      <c r="C1077" s="0" t="str">
        <f aca="false">IF(INDEX(BookTitle,1072)="","",INDEX(BookCategory,1072))</f>
        <v/>
      </c>
      <c r="D1077" s="56" t="str">
        <f aca="false">IF(INDEX(BookTitle,1072)="","",INDEX(BookTotal,1072)*'5. Scenarios'!$B$6/(1+ProductivityDefault*('5. Scenarios'!$B$11-1)))</f>
        <v/>
      </c>
      <c r="E1077" s="57" t="str">
        <f aca="false">IF($D1077="","",INDEX(BookRate,1072)*(1+'5. Scenarios'!$B$10)*$D1077)</f>
        <v/>
      </c>
      <c r="F1077" s="57" t="str">
        <f aca="false">IF($E1077="","",SUMIFS($E$6:$E$2405,$A$6:$A$2405,"&lt;="&amp;$A1077))</f>
        <v/>
      </c>
      <c r="G1077" s="57" t="str">
        <f aca="false">IF($E1077="","",IF($F1077&lt;=BankCostEnvelope*'5. Scenarios'!$B$7,1,0))</f>
        <v/>
      </c>
      <c r="H1077" s="57" t="str">
        <f aca="false">IF($D1077="","",INDEX(BookRate,1072)*(1+'5. Scenarios'!$B$10)*(INDEX(BookQ1,1072)*(5-MIN(4,1+'5. Scenarios'!$B$8))/4+INDEX(BookQ2,1072)*(5-MIN(4,2+'5. Scenarios'!$B$8))/4+INDEX(BookQ3,1072)*(5-MIN(4,3+'5. Scenarios'!$B$8))/4+INDEX(BookQ4,1072)*(5-MIN(4,4+'5. Scenarios'!$B$8))/4)*'5. Scenarios'!$B$6/(1+ProductivityDefault*('5. Scenarios'!$B$11-1))+INDEX(BookOneOff,1072)*$D1077)</f>
        <v/>
      </c>
      <c r="I1077" s="56" t="str">
        <f aca="false">IF(INDEX(BookTitle,1072)="","",INDEX(BookTotal,1072)*'5. Scenarios'!$C$6/(1+ProductivityDefault*('5. Scenarios'!$C$11-1)))</f>
        <v/>
      </c>
      <c r="J1077" s="57" t="str">
        <f aca="false">IF($I1077="","",INDEX(BookRate,1072)*(1+'5. Scenarios'!$C$10)*$I1077)</f>
        <v/>
      </c>
      <c r="K1077" s="57" t="str">
        <f aca="false">IF($J1077="","",SUMIFS($J$6:$J$2405,$A$6:$A$2405,"&lt;="&amp;$A1077))</f>
        <v/>
      </c>
      <c r="L1077" s="57" t="str">
        <f aca="false">IF($J1077="","",IF($K1077&lt;=BankCostEnvelope*'5. Scenarios'!$C$7,1,0))</f>
        <v/>
      </c>
      <c r="M1077" s="57" t="str">
        <f aca="false">IF($I1077="","",INDEX(BookRate,1072)*(1+'5. Scenarios'!$C$10)*(INDEX(BookQ1,1072)*(5-MIN(4,1+'5. Scenarios'!$C$8))/4+INDEX(BookQ2,1072)*(5-MIN(4,2+'5. Scenarios'!$C$8))/4+INDEX(BookQ3,1072)*(5-MIN(4,3+'5. Scenarios'!$C$8))/4+INDEX(BookQ4,1072)*(5-MIN(4,4+'5. Scenarios'!$C$8))/4)*'5. Scenarios'!$C$6/(1+ProductivityDefault*('5. Scenarios'!$C$11-1))+INDEX(BookOneOff,1072)*$I1077)</f>
        <v/>
      </c>
      <c r="N1077" s="56" t="str">
        <f aca="false">IF(INDEX(BookTitle,1072)="","",INDEX(BookTotal,1072)*'5. Scenarios'!$D$6/(1+ProductivityDefault*('5. Scenarios'!$D$11-1)))</f>
        <v/>
      </c>
      <c r="O1077" s="57" t="str">
        <f aca="false">IF($N1077="","",INDEX(BookRate,1072)*(1+'5. Scenarios'!$D$10)*$N1077)</f>
        <v/>
      </c>
      <c r="P1077" s="57" t="str">
        <f aca="false">IF($O1077="","",SUMIFS($O$6:$O$2405,$A$6:$A$2405,"&lt;="&amp;$A1077))</f>
        <v/>
      </c>
      <c r="Q1077" s="57" t="str">
        <f aca="false">IF($O1077="","",IF($P1077&lt;=BankCostEnvelope*'5. Scenarios'!$D$7,1,0))</f>
        <v/>
      </c>
      <c r="R1077" s="57" t="str">
        <f aca="false">IF($N1077="","",INDEX(BookRate,1072)*(1+'5. Scenarios'!$D$10)*(INDEX(BookQ1,1072)*(5-MIN(4,1+'5. Scenarios'!$D$8))/4+INDEX(BookQ2,1072)*(5-MIN(4,2+'5. Scenarios'!$D$8))/4+INDEX(BookQ3,1072)*(5-MIN(4,3+'5. Scenarios'!$D$8))/4+INDEX(BookQ4,1072)*(5-MIN(4,4+'5. Scenarios'!$D$8))/4)*'5. Scenarios'!$D$6/(1+ProductivityDefault*('5. Scenarios'!$D$11-1))+INDEX(BookOneOff,1072)*$N1077)</f>
        <v/>
      </c>
      <c r="S1077" s="56" t="str">
        <f aca="false">IF(INDEX(BookTitle,1072)="","",INDEX(BookTotal,1072)*'5. Scenarios'!$E$6/(1+ProductivityDefault*('5. Scenarios'!$E$11-1)))</f>
        <v/>
      </c>
      <c r="T1077" s="57" t="str">
        <f aca="false">IF($S1077="","",INDEX(BookRate,1072)*(1+'5. Scenarios'!$E$10)*$S1077)</f>
        <v/>
      </c>
      <c r="U1077" s="57" t="str">
        <f aca="false">IF($T1077="","",SUMIFS($T$6:$T$2405,$A$6:$A$2405,"&lt;="&amp;$A1077))</f>
        <v/>
      </c>
      <c r="V1077" s="57" t="str">
        <f aca="false">IF($T1077="","",IF($U1077&lt;=BankCostEnvelope*'5. Scenarios'!$E$7,1,0))</f>
        <v/>
      </c>
      <c r="W1077" s="57" t="str">
        <f aca="false">IF($S1077="","",INDEX(BookRate,1072)*(1+'5. Scenarios'!$E$10)*(INDEX(BookQ1,1072)*(5-MIN(4,1+'5. Scenarios'!$E$8))/4+INDEX(BookQ2,1072)*(5-MIN(4,2+'5. Scenarios'!$E$8))/4+INDEX(BookQ3,1072)*(5-MIN(4,3+'5. Scenarios'!$E$8))/4+INDEX(BookQ4,1072)*(5-MIN(4,4+'5. Scenarios'!$E$8))/4)*'5. Scenarios'!$E$6/(1+ProductivityDefault*('5. Scenarios'!$E$11-1))+INDEX(BookOneOff,1072)*$S1077)</f>
        <v/>
      </c>
    </row>
    <row r="1078" customFormat="false" ht="15" hidden="false" customHeight="false" outlineLevel="0" collapsed="false">
      <c r="A1078" s="0" t="str">
        <f aca="false">IF(INDEX(BookTitle,1073)="","",INDEX(BookKey,1073))</f>
        <v/>
      </c>
      <c r="B1078" s="0" t="str">
        <f aca="false">IF(INDEX(BookTitle,1073)="","",INDEX(BookGroup,1073))</f>
        <v/>
      </c>
      <c r="C1078" s="0" t="str">
        <f aca="false">IF(INDEX(BookTitle,1073)="","",INDEX(BookCategory,1073))</f>
        <v/>
      </c>
      <c r="D1078" s="56" t="str">
        <f aca="false">IF(INDEX(BookTitle,1073)="","",INDEX(BookTotal,1073)*'5. Scenarios'!$B$6/(1+ProductivityDefault*('5. Scenarios'!$B$11-1)))</f>
        <v/>
      </c>
      <c r="E1078" s="57" t="str">
        <f aca="false">IF($D1078="","",INDEX(BookRate,1073)*(1+'5. Scenarios'!$B$10)*$D1078)</f>
        <v/>
      </c>
      <c r="F1078" s="57" t="str">
        <f aca="false">IF($E1078="","",SUMIFS($E$6:$E$2405,$A$6:$A$2405,"&lt;="&amp;$A1078))</f>
        <v/>
      </c>
      <c r="G1078" s="57" t="str">
        <f aca="false">IF($E1078="","",IF($F1078&lt;=BankCostEnvelope*'5. Scenarios'!$B$7,1,0))</f>
        <v/>
      </c>
      <c r="H1078" s="57" t="str">
        <f aca="false">IF($D1078="","",INDEX(BookRate,1073)*(1+'5. Scenarios'!$B$10)*(INDEX(BookQ1,1073)*(5-MIN(4,1+'5. Scenarios'!$B$8))/4+INDEX(BookQ2,1073)*(5-MIN(4,2+'5. Scenarios'!$B$8))/4+INDEX(BookQ3,1073)*(5-MIN(4,3+'5. Scenarios'!$B$8))/4+INDEX(BookQ4,1073)*(5-MIN(4,4+'5. Scenarios'!$B$8))/4)*'5. Scenarios'!$B$6/(1+ProductivityDefault*('5. Scenarios'!$B$11-1))+INDEX(BookOneOff,1073)*$D1078)</f>
        <v/>
      </c>
      <c r="I1078" s="56" t="str">
        <f aca="false">IF(INDEX(BookTitle,1073)="","",INDEX(BookTotal,1073)*'5. Scenarios'!$C$6/(1+ProductivityDefault*('5. Scenarios'!$C$11-1)))</f>
        <v/>
      </c>
      <c r="J1078" s="57" t="str">
        <f aca="false">IF($I1078="","",INDEX(BookRate,1073)*(1+'5. Scenarios'!$C$10)*$I1078)</f>
        <v/>
      </c>
      <c r="K1078" s="57" t="str">
        <f aca="false">IF($J1078="","",SUMIFS($J$6:$J$2405,$A$6:$A$2405,"&lt;="&amp;$A1078))</f>
        <v/>
      </c>
      <c r="L1078" s="57" t="str">
        <f aca="false">IF($J1078="","",IF($K1078&lt;=BankCostEnvelope*'5. Scenarios'!$C$7,1,0))</f>
        <v/>
      </c>
      <c r="M1078" s="57" t="str">
        <f aca="false">IF($I1078="","",INDEX(BookRate,1073)*(1+'5. Scenarios'!$C$10)*(INDEX(BookQ1,1073)*(5-MIN(4,1+'5. Scenarios'!$C$8))/4+INDEX(BookQ2,1073)*(5-MIN(4,2+'5. Scenarios'!$C$8))/4+INDEX(BookQ3,1073)*(5-MIN(4,3+'5. Scenarios'!$C$8))/4+INDEX(BookQ4,1073)*(5-MIN(4,4+'5. Scenarios'!$C$8))/4)*'5. Scenarios'!$C$6/(1+ProductivityDefault*('5. Scenarios'!$C$11-1))+INDEX(BookOneOff,1073)*$I1078)</f>
        <v/>
      </c>
      <c r="N1078" s="56" t="str">
        <f aca="false">IF(INDEX(BookTitle,1073)="","",INDEX(BookTotal,1073)*'5. Scenarios'!$D$6/(1+ProductivityDefault*('5. Scenarios'!$D$11-1)))</f>
        <v/>
      </c>
      <c r="O1078" s="57" t="str">
        <f aca="false">IF($N1078="","",INDEX(BookRate,1073)*(1+'5. Scenarios'!$D$10)*$N1078)</f>
        <v/>
      </c>
      <c r="P1078" s="57" t="str">
        <f aca="false">IF($O1078="","",SUMIFS($O$6:$O$2405,$A$6:$A$2405,"&lt;="&amp;$A1078))</f>
        <v/>
      </c>
      <c r="Q1078" s="57" t="str">
        <f aca="false">IF($O1078="","",IF($P1078&lt;=BankCostEnvelope*'5. Scenarios'!$D$7,1,0))</f>
        <v/>
      </c>
      <c r="R1078" s="57" t="str">
        <f aca="false">IF($N1078="","",INDEX(BookRate,1073)*(1+'5. Scenarios'!$D$10)*(INDEX(BookQ1,1073)*(5-MIN(4,1+'5. Scenarios'!$D$8))/4+INDEX(BookQ2,1073)*(5-MIN(4,2+'5. Scenarios'!$D$8))/4+INDEX(BookQ3,1073)*(5-MIN(4,3+'5. Scenarios'!$D$8))/4+INDEX(BookQ4,1073)*(5-MIN(4,4+'5. Scenarios'!$D$8))/4)*'5. Scenarios'!$D$6/(1+ProductivityDefault*('5. Scenarios'!$D$11-1))+INDEX(BookOneOff,1073)*$N1078)</f>
        <v/>
      </c>
      <c r="S1078" s="56" t="str">
        <f aca="false">IF(INDEX(BookTitle,1073)="","",INDEX(BookTotal,1073)*'5. Scenarios'!$E$6/(1+ProductivityDefault*('5. Scenarios'!$E$11-1)))</f>
        <v/>
      </c>
      <c r="T1078" s="57" t="str">
        <f aca="false">IF($S1078="","",INDEX(BookRate,1073)*(1+'5. Scenarios'!$E$10)*$S1078)</f>
        <v/>
      </c>
      <c r="U1078" s="57" t="str">
        <f aca="false">IF($T1078="","",SUMIFS($T$6:$T$2405,$A$6:$A$2405,"&lt;="&amp;$A1078))</f>
        <v/>
      </c>
      <c r="V1078" s="57" t="str">
        <f aca="false">IF($T1078="","",IF($U1078&lt;=BankCostEnvelope*'5. Scenarios'!$E$7,1,0))</f>
        <v/>
      </c>
      <c r="W1078" s="57" t="str">
        <f aca="false">IF($S1078="","",INDEX(BookRate,1073)*(1+'5. Scenarios'!$E$10)*(INDEX(BookQ1,1073)*(5-MIN(4,1+'5. Scenarios'!$E$8))/4+INDEX(BookQ2,1073)*(5-MIN(4,2+'5. Scenarios'!$E$8))/4+INDEX(BookQ3,1073)*(5-MIN(4,3+'5. Scenarios'!$E$8))/4+INDEX(BookQ4,1073)*(5-MIN(4,4+'5. Scenarios'!$E$8))/4)*'5. Scenarios'!$E$6/(1+ProductivityDefault*('5. Scenarios'!$E$11-1))+INDEX(BookOneOff,1073)*$S1078)</f>
        <v/>
      </c>
    </row>
    <row r="1079" customFormat="false" ht="15" hidden="false" customHeight="false" outlineLevel="0" collapsed="false">
      <c r="A1079" s="0" t="str">
        <f aca="false">IF(INDEX(BookTitle,1074)="","",INDEX(BookKey,1074))</f>
        <v/>
      </c>
      <c r="B1079" s="0" t="str">
        <f aca="false">IF(INDEX(BookTitle,1074)="","",INDEX(BookGroup,1074))</f>
        <v/>
      </c>
      <c r="C1079" s="0" t="str">
        <f aca="false">IF(INDEX(BookTitle,1074)="","",INDEX(BookCategory,1074))</f>
        <v/>
      </c>
      <c r="D1079" s="56" t="str">
        <f aca="false">IF(INDEX(BookTitle,1074)="","",INDEX(BookTotal,1074)*'5. Scenarios'!$B$6/(1+ProductivityDefault*('5. Scenarios'!$B$11-1)))</f>
        <v/>
      </c>
      <c r="E1079" s="57" t="str">
        <f aca="false">IF($D1079="","",INDEX(BookRate,1074)*(1+'5. Scenarios'!$B$10)*$D1079)</f>
        <v/>
      </c>
      <c r="F1079" s="57" t="str">
        <f aca="false">IF($E1079="","",SUMIFS($E$6:$E$2405,$A$6:$A$2405,"&lt;="&amp;$A1079))</f>
        <v/>
      </c>
      <c r="G1079" s="57" t="str">
        <f aca="false">IF($E1079="","",IF($F1079&lt;=BankCostEnvelope*'5. Scenarios'!$B$7,1,0))</f>
        <v/>
      </c>
      <c r="H1079" s="57" t="str">
        <f aca="false">IF($D1079="","",INDEX(BookRate,1074)*(1+'5. Scenarios'!$B$10)*(INDEX(BookQ1,1074)*(5-MIN(4,1+'5. Scenarios'!$B$8))/4+INDEX(BookQ2,1074)*(5-MIN(4,2+'5. Scenarios'!$B$8))/4+INDEX(BookQ3,1074)*(5-MIN(4,3+'5. Scenarios'!$B$8))/4+INDEX(BookQ4,1074)*(5-MIN(4,4+'5. Scenarios'!$B$8))/4)*'5. Scenarios'!$B$6/(1+ProductivityDefault*('5. Scenarios'!$B$11-1))+INDEX(BookOneOff,1074)*$D1079)</f>
        <v/>
      </c>
      <c r="I1079" s="56" t="str">
        <f aca="false">IF(INDEX(BookTitle,1074)="","",INDEX(BookTotal,1074)*'5. Scenarios'!$C$6/(1+ProductivityDefault*('5. Scenarios'!$C$11-1)))</f>
        <v/>
      </c>
      <c r="J1079" s="57" t="str">
        <f aca="false">IF($I1079="","",INDEX(BookRate,1074)*(1+'5. Scenarios'!$C$10)*$I1079)</f>
        <v/>
      </c>
      <c r="K1079" s="57" t="str">
        <f aca="false">IF($J1079="","",SUMIFS($J$6:$J$2405,$A$6:$A$2405,"&lt;="&amp;$A1079))</f>
        <v/>
      </c>
      <c r="L1079" s="57" t="str">
        <f aca="false">IF($J1079="","",IF($K1079&lt;=BankCostEnvelope*'5. Scenarios'!$C$7,1,0))</f>
        <v/>
      </c>
      <c r="M1079" s="57" t="str">
        <f aca="false">IF($I1079="","",INDEX(BookRate,1074)*(1+'5. Scenarios'!$C$10)*(INDEX(BookQ1,1074)*(5-MIN(4,1+'5. Scenarios'!$C$8))/4+INDEX(BookQ2,1074)*(5-MIN(4,2+'5. Scenarios'!$C$8))/4+INDEX(BookQ3,1074)*(5-MIN(4,3+'5. Scenarios'!$C$8))/4+INDEX(BookQ4,1074)*(5-MIN(4,4+'5. Scenarios'!$C$8))/4)*'5. Scenarios'!$C$6/(1+ProductivityDefault*('5. Scenarios'!$C$11-1))+INDEX(BookOneOff,1074)*$I1079)</f>
        <v/>
      </c>
      <c r="N1079" s="56" t="str">
        <f aca="false">IF(INDEX(BookTitle,1074)="","",INDEX(BookTotal,1074)*'5. Scenarios'!$D$6/(1+ProductivityDefault*('5. Scenarios'!$D$11-1)))</f>
        <v/>
      </c>
      <c r="O1079" s="57" t="str">
        <f aca="false">IF($N1079="","",INDEX(BookRate,1074)*(1+'5. Scenarios'!$D$10)*$N1079)</f>
        <v/>
      </c>
      <c r="P1079" s="57" t="str">
        <f aca="false">IF($O1079="","",SUMIFS($O$6:$O$2405,$A$6:$A$2405,"&lt;="&amp;$A1079))</f>
        <v/>
      </c>
      <c r="Q1079" s="57" t="str">
        <f aca="false">IF($O1079="","",IF($P1079&lt;=BankCostEnvelope*'5. Scenarios'!$D$7,1,0))</f>
        <v/>
      </c>
      <c r="R1079" s="57" t="str">
        <f aca="false">IF($N1079="","",INDEX(BookRate,1074)*(1+'5. Scenarios'!$D$10)*(INDEX(BookQ1,1074)*(5-MIN(4,1+'5. Scenarios'!$D$8))/4+INDEX(BookQ2,1074)*(5-MIN(4,2+'5. Scenarios'!$D$8))/4+INDEX(BookQ3,1074)*(5-MIN(4,3+'5. Scenarios'!$D$8))/4+INDEX(BookQ4,1074)*(5-MIN(4,4+'5. Scenarios'!$D$8))/4)*'5. Scenarios'!$D$6/(1+ProductivityDefault*('5. Scenarios'!$D$11-1))+INDEX(BookOneOff,1074)*$N1079)</f>
        <v/>
      </c>
      <c r="S1079" s="56" t="str">
        <f aca="false">IF(INDEX(BookTitle,1074)="","",INDEX(BookTotal,1074)*'5. Scenarios'!$E$6/(1+ProductivityDefault*('5. Scenarios'!$E$11-1)))</f>
        <v/>
      </c>
      <c r="T1079" s="57" t="str">
        <f aca="false">IF($S1079="","",INDEX(BookRate,1074)*(1+'5. Scenarios'!$E$10)*$S1079)</f>
        <v/>
      </c>
      <c r="U1079" s="57" t="str">
        <f aca="false">IF($T1079="","",SUMIFS($T$6:$T$2405,$A$6:$A$2405,"&lt;="&amp;$A1079))</f>
        <v/>
      </c>
      <c r="V1079" s="57" t="str">
        <f aca="false">IF($T1079="","",IF($U1079&lt;=BankCostEnvelope*'5. Scenarios'!$E$7,1,0))</f>
        <v/>
      </c>
      <c r="W1079" s="57" t="str">
        <f aca="false">IF($S1079="","",INDEX(BookRate,1074)*(1+'5. Scenarios'!$E$10)*(INDEX(BookQ1,1074)*(5-MIN(4,1+'5. Scenarios'!$E$8))/4+INDEX(BookQ2,1074)*(5-MIN(4,2+'5. Scenarios'!$E$8))/4+INDEX(BookQ3,1074)*(5-MIN(4,3+'5. Scenarios'!$E$8))/4+INDEX(BookQ4,1074)*(5-MIN(4,4+'5. Scenarios'!$E$8))/4)*'5. Scenarios'!$E$6/(1+ProductivityDefault*('5. Scenarios'!$E$11-1))+INDEX(BookOneOff,1074)*$S1079)</f>
        <v/>
      </c>
    </row>
    <row r="1080" customFormat="false" ht="15" hidden="false" customHeight="false" outlineLevel="0" collapsed="false">
      <c r="A1080" s="0" t="str">
        <f aca="false">IF(INDEX(BookTitle,1075)="","",INDEX(BookKey,1075))</f>
        <v/>
      </c>
      <c r="B1080" s="0" t="str">
        <f aca="false">IF(INDEX(BookTitle,1075)="","",INDEX(BookGroup,1075))</f>
        <v/>
      </c>
      <c r="C1080" s="0" t="str">
        <f aca="false">IF(INDEX(BookTitle,1075)="","",INDEX(BookCategory,1075))</f>
        <v/>
      </c>
      <c r="D1080" s="56" t="str">
        <f aca="false">IF(INDEX(BookTitle,1075)="","",INDEX(BookTotal,1075)*'5. Scenarios'!$B$6/(1+ProductivityDefault*('5. Scenarios'!$B$11-1)))</f>
        <v/>
      </c>
      <c r="E1080" s="57" t="str">
        <f aca="false">IF($D1080="","",INDEX(BookRate,1075)*(1+'5. Scenarios'!$B$10)*$D1080)</f>
        <v/>
      </c>
      <c r="F1080" s="57" t="str">
        <f aca="false">IF($E1080="","",SUMIFS($E$6:$E$2405,$A$6:$A$2405,"&lt;="&amp;$A1080))</f>
        <v/>
      </c>
      <c r="G1080" s="57" t="str">
        <f aca="false">IF($E1080="","",IF($F1080&lt;=BankCostEnvelope*'5. Scenarios'!$B$7,1,0))</f>
        <v/>
      </c>
      <c r="H1080" s="57" t="str">
        <f aca="false">IF($D1080="","",INDEX(BookRate,1075)*(1+'5. Scenarios'!$B$10)*(INDEX(BookQ1,1075)*(5-MIN(4,1+'5. Scenarios'!$B$8))/4+INDEX(BookQ2,1075)*(5-MIN(4,2+'5. Scenarios'!$B$8))/4+INDEX(BookQ3,1075)*(5-MIN(4,3+'5. Scenarios'!$B$8))/4+INDEX(BookQ4,1075)*(5-MIN(4,4+'5. Scenarios'!$B$8))/4)*'5. Scenarios'!$B$6/(1+ProductivityDefault*('5. Scenarios'!$B$11-1))+INDEX(BookOneOff,1075)*$D1080)</f>
        <v/>
      </c>
      <c r="I1080" s="56" t="str">
        <f aca="false">IF(INDEX(BookTitle,1075)="","",INDEX(BookTotal,1075)*'5. Scenarios'!$C$6/(1+ProductivityDefault*('5. Scenarios'!$C$11-1)))</f>
        <v/>
      </c>
      <c r="J1080" s="57" t="str">
        <f aca="false">IF($I1080="","",INDEX(BookRate,1075)*(1+'5. Scenarios'!$C$10)*$I1080)</f>
        <v/>
      </c>
      <c r="K1080" s="57" t="str">
        <f aca="false">IF($J1080="","",SUMIFS($J$6:$J$2405,$A$6:$A$2405,"&lt;="&amp;$A1080))</f>
        <v/>
      </c>
      <c r="L1080" s="57" t="str">
        <f aca="false">IF($J1080="","",IF($K1080&lt;=BankCostEnvelope*'5. Scenarios'!$C$7,1,0))</f>
        <v/>
      </c>
      <c r="M1080" s="57" t="str">
        <f aca="false">IF($I1080="","",INDEX(BookRate,1075)*(1+'5. Scenarios'!$C$10)*(INDEX(BookQ1,1075)*(5-MIN(4,1+'5. Scenarios'!$C$8))/4+INDEX(BookQ2,1075)*(5-MIN(4,2+'5. Scenarios'!$C$8))/4+INDEX(BookQ3,1075)*(5-MIN(4,3+'5. Scenarios'!$C$8))/4+INDEX(BookQ4,1075)*(5-MIN(4,4+'5. Scenarios'!$C$8))/4)*'5. Scenarios'!$C$6/(1+ProductivityDefault*('5. Scenarios'!$C$11-1))+INDEX(BookOneOff,1075)*$I1080)</f>
        <v/>
      </c>
      <c r="N1080" s="56" t="str">
        <f aca="false">IF(INDEX(BookTitle,1075)="","",INDEX(BookTotal,1075)*'5. Scenarios'!$D$6/(1+ProductivityDefault*('5. Scenarios'!$D$11-1)))</f>
        <v/>
      </c>
      <c r="O1080" s="57" t="str">
        <f aca="false">IF($N1080="","",INDEX(BookRate,1075)*(1+'5. Scenarios'!$D$10)*$N1080)</f>
        <v/>
      </c>
      <c r="P1080" s="57" t="str">
        <f aca="false">IF($O1080="","",SUMIFS($O$6:$O$2405,$A$6:$A$2405,"&lt;="&amp;$A1080))</f>
        <v/>
      </c>
      <c r="Q1080" s="57" t="str">
        <f aca="false">IF($O1080="","",IF($P1080&lt;=BankCostEnvelope*'5. Scenarios'!$D$7,1,0))</f>
        <v/>
      </c>
      <c r="R1080" s="57" t="str">
        <f aca="false">IF($N1080="","",INDEX(BookRate,1075)*(1+'5. Scenarios'!$D$10)*(INDEX(BookQ1,1075)*(5-MIN(4,1+'5. Scenarios'!$D$8))/4+INDEX(BookQ2,1075)*(5-MIN(4,2+'5. Scenarios'!$D$8))/4+INDEX(BookQ3,1075)*(5-MIN(4,3+'5. Scenarios'!$D$8))/4+INDEX(BookQ4,1075)*(5-MIN(4,4+'5. Scenarios'!$D$8))/4)*'5. Scenarios'!$D$6/(1+ProductivityDefault*('5. Scenarios'!$D$11-1))+INDEX(BookOneOff,1075)*$N1080)</f>
        <v/>
      </c>
      <c r="S1080" s="56" t="str">
        <f aca="false">IF(INDEX(BookTitle,1075)="","",INDEX(BookTotal,1075)*'5. Scenarios'!$E$6/(1+ProductivityDefault*('5. Scenarios'!$E$11-1)))</f>
        <v/>
      </c>
      <c r="T1080" s="57" t="str">
        <f aca="false">IF($S1080="","",INDEX(BookRate,1075)*(1+'5. Scenarios'!$E$10)*$S1080)</f>
        <v/>
      </c>
      <c r="U1080" s="57" t="str">
        <f aca="false">IF($T1080="","",SUMIFS($T$6:$T$2405,$A$6:$A$2405,"&lt;="&amp;$A1080))</f>
        <v/>
      </c>
      <c r="V1080" s="57" t="str">
        <f aca="false">IF($T1080="","",IF($U1080&lt;=BankCostEnvelope*'5. Scenarios'!$E$7,1,0))</f>
        <v/>
      </c>
      <c r="W1080" s="57" t="str">
        <f aca="false">IF($S1080="","",INDEX(BookRate,1075)*(1+'5. Scenarios'!$E$10)*(INDEX(BookQ1,1075)*(5-MIN(4,1+'5. Scenarios'!$E$8))/4+INDEX(BookQ2,1075)*(5-MIN(4,2+'5. Scenarios'!$E$8))/4+INDEX(BookQ3,1075)*(5-MIN(4,3+'5. Scenarios'!$E$8))/4+INDEX(BookQ4,1075)*(5-MIN(4,4+'5. Scenarios'!$E$8))/4)*'5. Scenarios'!$E$6/(1+ProductivityDefault*('5. Scenarios'!$E$11-1))+INDEX(BookOneOff,1075)*$S1080)</f>
        <v/>
      </c>
    </row>
    <row r="1081" customFormat="false" ht="15" hidden="false" customHeight="false" outlineLevel="0" collapsed="false">
      <c r="A1081" s="0" t="str">
        <f aca="false">IF(INDEX(BookTitle,1076)="","",INDEX(BookKey,1076))</f>
        <v/>
      </c>
      <c r="B1081" s="0" t="str">
        <f aca="false">IF(INDEX(BookTitle,1076)="","",INDEX(BookGroup,1076))</f>
        <v/>
      </c>
      <c r="C1081" s="0" t="str">
        <f aca="false">IF(INDEX(BookTitle,1076)="","",INDEX(BookCategory,1076))</f>
        <v/>
      </c>
      <c r="D1081" s="56" t="str">
        <f aca="false">IF(INDEX(BookTitle,1076)="","",INDEX(BookTotal,1076)*'5. Scenarios'!$B$6/(1+ProductivityDefault*('5. Scenarios'!$B$11-1)))</f>
        <v/>
      </c>
      <c r="E1081" s="57" t="str">
        <f aca="false">IF($D1081="","",INDEX(BookRate,1076)*(1+'5. Scenarios'!$B$10)*$D1081)</f>
        <v/>
      </c>
      <c r="F1081" s="57" t="str">
        <f aca="false">IF($E1081="","",SUMIFS($E$6:$E$2405,$A$6:$A$2405,"&lt;="&amp;$A1081))</f>
        <v/>
      </c>
      <c r="G1081" s="57" t="str">
        <f aca="false">IF($E1081="","",IF($F1081&lt;=BankCostEnvelope*'5. Scenarios'!$B$7,1,0))</f>
        <v/>
      </c>
      <c r="H1081" s="57" t="str">
        <f aca="false">IF($D1081="","",INDEX(BookRate,1076)*(1+'5. Scenarios'!$B$10)*(INDEX(BookQ1,1076)*(5-MIN(4,1+'5. Scenarios'!$B$8))/4+INDEX(BookQ2,1076)*(5-MIN(4,2+'5. Scenarios'!$B$8))/4+INDEX(BookQ3,1076)*(5-MIN(4,3+'5. Scenarios'!$B$8))/4+INDEX(BookQ4,1076)*(5-MIN(4,4+'5. Scenarios'!$B$8))/4)*'5. Scenarios'!$B$6/(1+ProductivityDefault*('5. Scenarios'!$B$11-1))+INDEX(BookOneOff,1076)*$D1081)</f>
        <v/>
      </c>
      <c r="I1081" s="56" t="str">
        <f aca="false">IF(INDEX(BookTitle,1076)="","",INDEX(BookTotal,1076)*'5. Scenarios'!$C$6/(1+ProductivityDefault*('5. Scenarios'!$C$11-1)))</f>
        <v/>
      </c>
      <c r="J1081" s="57" t="str">
        <f aca="false">IF($I1081="","",INDEX(BookRate,1076)*(1+'5. Scenarios'!$C$10)*$I1081)</f>
        <v/>
      </c>
      <c r="K1081" s="57" t="str">
        <f aca="false">IF($J1081="","",SUMIFS($J$6:$J$2405,$A$6:$A$2405,"&lt;="&amp;$A1081))</f>
        <v/>
      </c>
      <c r="L1081" s="57" t="str">
        <f aca="false">IF($J1081="","",IF($K1081&lt;=BankCostEnvelope*'5. Scenarios'!$C$7,1,0))</f>
        <v/>
      </c>
      <c r="M1081" s="57" t="str">
        <f aca="false">IF($I1081="","",INDEX(BookRate,1076)*(1+'5. Scenarios'!$C$10)*(INDEX(BookQ1,1076)*(5-MIN(4,1+'5. Scenarios'!$C$8))/4+INDEX(BookQ2,1076)*(5-MIN(4,2+'5. Scenarios'!$C$8))/4+INDEX(BookQ3,1076)*(5-MIN(4,3+'5. Scenarios'!$C$8))/4+INDEX(BookQ4,1076)*(5-MIN(4,4+'5. Scenarios'!$C$8))/4)*'5. Scenarios'!$C$6/(1+ProductivityDefault*('5. Scenarios'!$C$11-1))+INDEX(BookOneOff,1076)*$I1081)</f>
        <v/>
      </c>
      <c r="N1081" s="56" t="str">
        <f aca="false">IF(INDEX(BookTitle,1076)="","",INDEX(BookTotal,1076)*'5. Scenarios'!$D$6/(1+ProductivityDefault*('5. Scenarios'!$D$11-1)))</f>
        <v/>
      </c>
      <c r="O1081" s="57" t="str">
        <f aca="false">IF($N1081="","",INDEX(BookRate,1076)*(1+'5. Scenarios'!$D$10)*$N1081)</f>
        <v/>
      </c>
      <c r="P1081" s="57" t="str">
        <f aca="false">IF($O1081="","",SUMIFS($O$6:$O$2405,$A$6:$A$2405,"&lt;="&amp;$A1081))</f>
        <v/>
      </c>
      <c r="Q1081" s="57" t="str">
        <f aca="false">IF($O1081="","",IF($P1081&lt;=BankCostEnvelope*'5. Scenarios'!$D$7,1,0))</f>
        <v/>
      </c>
      <c r="R1081" s="57" t="str">
        <f aca="false">IF($N1081="","",INDEX(BookRate,1076)*(1+'5. Scenarios'!$D$10)*(INDEX(BookQ1,1076)*(5-MIN(4,1+'5. Scenarios'!$D$8))/4+INDEX(BookQ2,1076)*(5-MIN(4,2+'5. Scenarios'!$D$8))/4+INDEX(BookQ3,1076)*(5-MIN(4,3+'5. Scenarios'!$D$8))/4+INDEX(BookQ4,1076)*(5-MIN(4,4+'5. Scenarios'!$D$8))/4)*'5. Scenarios'!$D$6/(1+ProductivityDefault*('5. Scenarios'!$D$11-1))+INDEX(BookOneOff,1076)*$N1081)</f>
        <v/>
      </c>
      <c r="S1081" s="56" t="str">
        <f aca="false">IF(INDEX(BookTitle,1076)="","",INDEX(BookTotal,1076)*'5. Scenarios'!$E$6/(1+ProductivityDefault*('5. Scenarios'!$E$11-1)))</f>
        <v/>
      </c>
      <c r="T1081" s="57" t="str">
        <f aca="false">IF($S1081="","",INDEX(BookRate,1076)*(1+'5. Scenarios'!$E$10)*$S1081)</f>
        <v/>
      </c>
      <c r="U1081" s="57" t="str">
        <f aca="false">IF($T1081="","",SUMIFS($T$6:$T$2405,$A$6:$A$2405,"&lt;="&amp;$A1081))</f>
        <v/>
      </c>
      <c r="V1081" s="57" t="str">
        <f aca="false">IF($T1081="","",IF($U1081&lt;=BankCostEnvelope*'5. Scenarios'!$E$7,1,0))</f>
        <v/>
      </c>
      <c r="W1081" s="57" t="str">
        <f aca="false">IF($S1081="","",INDEX(BookRate,1076)*(1+'5. Scenarios'!$E$10)*(INDEX(BookQ1,1076)*(5-MIN(4,1+'5. Scenarios'!$E$8))/4+INDEX(BookQ2,1076)*(5-MIN(4,2+'5. Scenarios'!$E$8))/4+INDEX(BookQ3,1076)*(5-MIN(4,3+'5. Scenarios'!$E$8))/4+INDEX(BookQ4,1076)*(5-MIN(4,4+'5. Scenarios'!$E$8))/4)*'5. Scenarios'!$E$6/(1+ProductivityDefault*('5. Scenarios'!$E$11-1))+INDEX(BookOneOff,1076)*$S1081)</f>
        <v/>
      </c>
    </row>
    <row r="1082" customFormat="false" ht="15" hidden="false" customHeight="false" outlineLevel="0" collapsed="false">
      <c r="A1082" s="0" t="str">
        <f aca="false">IF(INDEX(BookTitle,1077)="","",INDEX(BookKey,1077))</f>
        <v/>
      </c>
      <c r="B1082" s="0" t="str">
        <f aca="false">IF(INDEX(BookTitle,1077)="","",INDEX(BookGroup,1077))</f>
        <v/>
      </c>
      <c r="C1082" s="0" t="str">
        <f aca="false">IF(INDEX(BookTitle,1077)="","",INDEX(BookCategory,1077))</f>
        <v/>
      </c>
      <c r="D1082" s="56" t="str">
        <f aca="false">IF(INDEX(BookTitle,1077)="","",INDEX(BookTotal,1077)*'5. Scenarios'!$B$6/(1+ProductivityDefault*('5. Scenarios'!$B$11-1)))</f>
        <v/>
      </c>
      <c r="E1082" s="57" t="str">
        <f aca="false">IF($D1082="","",INDEX(BookRate,1077)*(1+'5. Scenarios'!$B$10)*$D1082)</f>
        <v/>
      </c>
      <c r="F1082" s="57" t="str">
        <f aca="false">IF($E1082="","",SUMIFS($E$6:$E$2405,$A$6:$A$2405,"&lt;="&amp;$A1082))</f>
        <v/>
      </c>
      <c r="G1082" s="57" t="str">
        <f aca="false">IF($E1082="","",IF($F1082&lt;=BankCostEnvelope*'5. Scenarios'!$B$7,1,0))</f>
        <v/>
      </c>
      <c r="H1082" s="57" t="str">
        <f aca="false">IF($D1082="","",INDEX(BookRate,1077)*(1+'5. Scenarios'!$B$10)*(INDEX(BookQ1,1077)*(5-MIN(4,1+'5. Scenarios'!$B$8))/4+INDEX(BookQ2,1077)*(5-MIN(4,2+'5. Scenarios'!$B$8))/4+INDEX(BookQ3,1077)*(5-MIN(4,3+'5. Scenarios'!$B$8))/4+INDEX(BookQ4,1077)*(5-MIN(4,4+'5. Scenarios'!$B$8))/4)*'5. Scenarios'!$B$6/(1+ProductivityDefault*('5. Scenarios'!$B$11-1))+INDEX(BookOneOff,1077)*$D1082)</f>
        <v/>
      </c>
      <c r="I1082" s="56" t="str">
        <f aca="false">IF(INDEX(BookTitle,1077)="","",INDEX(BookTotal,1077)*'5. Scenarios'!$C$6/(1+ProductivityDefault*('5. Scenarios'!$C$11-1)))</f>
        <v/>
      </c>
      <c r="J1082" s="57" t="str">
        <f aca="false">IF($I1082="","",INDEX(BookRate,1077)*(1+'5. Scenarios'!$C$10)*$I1082)</f>
        <v/>
      </c>
      <c r="K1082" s="57" t="str">
        <f aca="false">IF($J1082="","",SUMIFS($J$6:$J$2405,$A$6:$A$2405,"&lt;="&amp;$A1082))</f>
        <v/>
      </c>
      <c r="L1082" s="57" t="str">
        <f aca="false">IF($J1082="","",IF($K1082&lt;=BankCostEnvelope*'5. Scenarios'!$C$7,1,0))</f>
        <v/>
      </c>
      <c r="M1082" s="57" t="str">
        <f aca="false">IF($I1082="","",INDEX(BookRate,1077)*(1+'5. Scenarios'!$C$10)*(INDEX(BookQ1,1077)*(5-MIN(4,1+'5. Scenarios'!$C$8))/4+INDEX(BookQ2,1077)*(5-MIN(4,2+'5. Scenarios'!$C$8))/4+INDEX(BookQ3,1077)*(5-MIN(4,3+'5. Scenarios'!$C$8))/4+INDEX(BookQ4,1077)*(5-MIN(4,4+'5. Scenarios'!$C$8))/4)*'5. Scenarios'!$C$6/(1+ProductivityDefault*('5. Scenarios'!$C$11-1))+INDEX(BookOneOff,1077)*$I1082)</f>
        <v/>
      </c>
      <c r="N1082" s="56" t="str">
        <f aca="false">IF(INDEX(BookTitle,1077)="","",INDEX(BookTotal,1077)*'5. Scenarios'!$D$6/(1+ProductivityDefault*('5. Scenarios'!$D$11-1)))</f>
        <v/>
      </c>
      <c r="O1082" s="57" t="str">
        <f aca="false">IF($N1082="","",INDEX(BookRate,1077)*(1+'5. Scenarios'!$D$10)*$N1082)</f>
        <v/>
      </c>
      <c r="P1082" s="57" t="str">
        <f aca="false">IF($O1082="","",SUMIFS($O$6:$O$2405,$A$6:$A$2405,"&lt;="&amp;$A1082))</f>
        <v/>
      </c>
      <c r="Q1082" s="57" t="str">
        <f aca="false">IF($O1082="","",IF($P1082&lt;=BankCostEnvelope*'5. Scenarios'!$D$7,1,0))</f>
        <v/>
      </c>
      <c r="R1082" s="57" t="str">
        <f aca="false">IF($N1082="","",INDEX(BookRate,1077)*(1+'5. Scenarios'!$D$10)*(INDEX(BookQ1,1077)*(5-MIN(4,1+'5. Scenarios'!$D$8))/4+INDEX(BookQ2,1077)*(5-MIN(4,2+'5. Scenarios'!$D$8))/4+INDEX(BookQ3,1077)*(5-MIN(4,3+'5. Scenarios'!$D$8))/4+INDEX(BookQ4,1077)*(5-MIN(4,4+'5. Scenarios'!$D$8))/4)*'5. Scenarios'!$D$6/(1+ProductivityDefault*('5. Scenarios'!$D$11-1))+INDEX(BookOneOff,1077)*$N1082)</f>
        <v/>
      </c>
      <c r="S1082" s="56" t="str">
        <f aca="false">IF(INDEX(BookTitle,1077)="","",INDEX(BookTotal,1077)*'5. Scenarios'!$E$6/(1+ProductivityDefault*('5. Scenarios'!$E$11-1)))</f>
        <v/>
      </c>
      <c r="T1082" s="57" t="str">
        <f aca="false">IF($S1082="","",INDEX(BookRate,1077)*(1+'5. Scenarios'!$E$10)*$S1082)</f>
        <v/>
      </c>
      <c r="U1082" s="57" t="str">
        <f aca="false">IF($T1082="","",SUMIFS($T$6:$T$2405,$A$6:$A$2405,"&lt;="&amp;$A1082))</f>
        <v/>
      </c>
      <c r="V1082" s="57" t="str">
        <f aca="false">IF($T1082="","",IF($U1082&lt;=BankCostEnvelope*'5. Scenarios'!$E$7,1,0))</f>
        <v/>
      </c>
      <c r="W1082" s="57" t="str">
        <f aca="false">IF($S1082="","",INDEX(BookRate,1077)*(1+'5. Scenarios'!$E$10)*(INDEX(BookQ1,1077)*(5-MIN(4,1+'5. Scenarios'!$E$8))/4+INDEX(BookQ2,1077)*(5-MIN(4,2+'5. Scenarios'!$E$8))/4+INDEX(BookQ3,1077)*(5-MIN(4,3+'5. Scenarios'!$E$8))/4+INDEX(BookQ4,1077)*(5-MIN(4,4+'5. Scenarios'!$E$8))/4)*'5. Scenarios'!$E$6/(1+ProductivityDefault*('5. Scenarios'!$E$11-1))+INDEX(BookOneOff,1077)*$S1082)</f>
        <v/>
      </c>
    </row>
    <row r="1083" customFormat="false" ht="15" hidden="false" customHeight="false" outlineLevel="0" collapsed="false">
      <c r="A1083" s="0" t="str">
        <f aca="false">IF(INDEX(BookTitle,1078)="","",INDEX(BookKey,1078))</f>
        <v/>
      </c>
      <c r="B1083" s="0" t="str">
        <f aca="false">IF(INDEX(BookTitle,1078)="","",INDEX(BookGroup,1078))</f>
        <v/>
      </c>
      <c r="C1083" s="0" t="str">
        <f aca="false">IF(INDEX(BookTitle,1078)="","",INDEX(BookCategory,1078))</f>
        <v/>
      </c>
      <c r="D1083" s="56" t="str">
        <f aca="false">IF(INDEX(BookTitle,1078)="","",INDEX(BookTotal,1078)*'5. Scenarios'!$B$6/(1+ProductivityDefault*('5. Scenarios'!$B$11-1)))</f>
        <v/>
      </c>
      <c r="E1083" s="57" t="str">
        <f aca="false">IF($D1083="","",INDEX(BookRate,1078)*(1+'5. Scenarios'!$B$10)*$D1083)</f>
        <v/>
      </c>
      <c r="F1083" s="57" t="str">
        <f aca="false">IF($E1083="","",SUMIFS($E$6:$E$2405,$A$6:$A$2405,"&lt;="&amp;$A1083))</f>
        <v/>
      </c>
      <c r="G1083" s="57" t="str">
        <f aca="false">IF($E1083="","",IF($F1083&lt;=BankCostEnvelope*'5. Scenarios'!$B$7,1,0))</f>
        <v/>
      </c>
      <c r="H1083" s="57" t="str">
        <f aca="false">IF($D1083="","",INDEX(BookRate,1078)*(1+'5. Scenarios'!$B$10)*(INDEX(BookQ1,1078)*(5-MIN(4,1+'5. Scenarios'!$B$8))/4+INDEX(BookQ2,1078)*(5-MIN(4,2+'5. Scenarios'!$B$8))/4+INDEX(BookQ3,1078)*(5-MIN(4,3+'5. Scenarios'!$B$8))/4+INDEX(BookQ4,1078)*(5-MIN(4,4+'5. Scenarios'!$B$8))/4)*'5. Scenarios'!$B$6/(1+ProductivityDefault*('5. Scenarios'!$B$11-1))+INDEX(BookOneOff,1078)*$D1083)</f>
        <v/>
      </c>
      <c r="I1083" s="56" t="str">
        <f aca="false">IF(INDEX(BookTitle,1078)="","",INDEX(BookTotal,1078)*'5. Scenarios'!$C$6/(1+ProductivityDefault*('5. Scenarios'!$C$11-1)))</f>
        <v/>
      </c>
      <c r="J1083" s="57" t="str">
        <f aca="false">IF($I1083="","",INDEX(BookRate,1078)*(1+'5. Scenarios'!$C$10)*$I1083)</f>
        <v/>
      </c>
      <c r="K1083" s="57" t="str">
        <f aca="false">IF($J1083="","",SUMIFS($J$6:$J$2405,$A$6:$A$2405,"&lt;="&amp;$A1083))</f>
        <v/>
      </c>
      <c r="L1083" s="57" t="str">
        <f aca="false">IF($J1083="","",IF($K1083&lt;=BankCostEnvelope*'5. Scenarios'!$C$7,1,0))</f>
        <v/>
      </c>
      <c r="M1083" s="57" t="str">
        <f aca="false">IF($I1083="","",INDEX(BookRate,1078)*(1+'5. Scenarios'!$C$10)*(INDEX(BookQ1,1078)*(5-MIN(4,1+'5. Scenarios'!$C$8))/4+INDEX(BookQ2,1078)*(5-MIN(4,2+'5. Scenarios'!$C$8))/4+INDEX(BookQ3,1078)*(5-MIN(4,3+'5. Scenarios'!$C$8))/4+INDEX(BookQ4,1078)*(5-MIN(4,4+'5. Scenarios'!$C$8))/4)*'5. Scenarios'!$C$6/(1+ProductivityDefault*('5. Scenarios'!$C$11-1))+INDEX(BookOneOff,1078)*$I1083)</f>
        <v/>
      </c>
      <c r="N1083" s="56" t="str">
        <f aca="false">IF(INDEX(BookTitle,1078)="","",INDEX(BookTotal,1078)*'5. Scenarios'!$D$6/(1+ProductivityDefault*('5. Scenarios'!$D$11-1)))</f>
        <v/>
      </c>
      <c r="O1083" s="57" t="str">
        <f aca="false">IF($N1083="","",INDEX(BookRate,1078)*(1+'5. Scenarios'!$D$10)*$N1083)</f>
        <v/>
      </c>
      <c r="P1083" s="57" t="str">
        <f aca="false">IF($O1083="","",SUMIFS($O$6:$O$2405,$A$6:$A$2405,"&lt;="&amp;$A1083))</f>
        <v/>
      </c>
      <c r="Q1083" s="57" t="str">
        <f aca="false">IF($O1083="","",IF($P1083&lt;=BankCostEnvelope*'5. Scenarios'!$D$7,1,0))</f>
        <v/>
      </c>
      <c r="R1083" s="57" t="str">
        <f aca="false">IF($N1083="","",INDEX(BookRate,1078)*(1+'5. Scenarios'!$D$10)*(INDEX(BookQ1,1078)*(5-MIN(4,1+'5. Scenarios'!$D$8))/4+INDEX(BookQ2,1078)*(5-MIN(4,2+'5. Scenarios'!$D$8))/4+INDEX(BookQ3,1078)*(5-MIN(4,3+'5. Scenarios'!$D$8))/4+INDEX(BookQ4,1078)*(5-MIN(4,4+'5. Scenarios'!$D$8))/4)*'5. Scenarios'!$D$6/(1+ProductivityDefault*('5. Scenarios'!$D$11-1))+INDEX(BookOneOff,1078)*$N1083)</f>
        <v/>
      </c>
      <c r="S1083" s="56" t="str">
        <f aca="false">IF(INDEX(BookTitle,1078)="","",INDEX(BookTotal,1078)*'5. Scenarios'!$E$6/(1+ProductivityDefault*('5. Scenarios'!$E$11-1)))</f>
        <v/>
      </c>
      <c r="T1083" s="57" t="str">
        <f aca="false">IF($S1083="","",INDEX(BookRate,1078)*(1+'5. Scenarios'!$E$10)*$S1083)</f>
        <v/>
      </c>
      <c r="U1083" s="57" t="str">
        <f aca="false">IF($T1083="","",SUMIFS($T$6:$T$2405,$A$6:$A$2405,"&lt;="&amp;$A1083))</f>
        <v/>
      </c>
      <c r="V1083" s="57" t="str">
        <f aca="false">IF($T1083="","",IF($U1083&lt;=BankCostEnvelope*'5. Scenarios'!$E$7,1,0))</f>
        <v/>
      </c>
      <c r="W1083" s="57" t="str">
        <f aca="false">IF($S1083="","",INDEX(BookRate,1078)*(1+'5. Scenarios'!$E$10)*(INDEX(BookQ1,1078)*(5-MIN(4,1+'5. Scenarios'!$E$8))/4+INDEX(BookQ2,1078)*(5-MIN(4,2+'5. Scenarios'!$E$8))/4+INDEX(BookQ3,1078)*(5-MIN(4,3+'5. Scenarios'!$E$8))/4+INDEX(BookQ4,1078)*(5-MIN(4,4+'5. Scenarios'!$E$8))/4)*'5. Scenarios'!$E$6/(1+ProductivityDefault*('5. Scenarios'!$E$11-1))+INDEX(BookOneOff,1078)*$S1083)</f>
        <v/>
      </c>
    </row>
    <row r="1084" customFormat="false" ht="15" hidden="false" customHeight="false" outlineLevel="0" collapsed="false">
      <c r="A1084" s="0" t="str">
        <f aca="false">IF(INDEX(BookTitle,1079)="","",INDEX(BookKey,1079))</f>
        <v/>
      </c>
      <c r="B1084" s="0" t="str">
        <f aca="false">IF(INDEX(BookTitle,1079)="","",INDEX(BookGroup,1079))</f>
        <v/>
      </c>
      <c r="C1084" s="0" t="str">
        <f aca="false">IF(INDEX(BookTitle,1079)="","",INDEX(BookCategory,1079))</f>
        <v/>
      </c>
      <c r="D1084" s="56" t="str">
        <f aca="false">IF(INDEX(BookTitle,1079)="","",INDEX(BookTotal,1079)*'5. Scenarios'!$B$6/(1+ProductivityDefault*('5. Scenarios'!$B$11-1)))</f>
        <v/>
      </c>
      <c r="E1084" s="57" t="str">
        <f aca="false">IF($D1084="","",INDEX(BookRate,1079)*(1+'5. Scenarios'!$B$10)*$D1084)</f>
        <v/>
      </c>
      <c r="F1084" s="57" t="str">
        <f aca="false">IF($E1084="","",SUMIFS($E$6:$E$2405,$A$6:$A$2405,"&lt;="&amp;$A1084))</f>
        <v/>
      </c>
      <c r="G1084" s="57" t="str">
        <f aca="false">IF($E1084="","",IF($F1084&lt;=BankCostEnvelope*'5. Scenarios'!$B$7,1,0))</f>
        <v/>
      </c>
      <c r="H1084" s="57" t="str">
        <f aca="false">IF($D1084="","",INDEX(BookRate,1079)*(1+'5. Scenarios'!$B$10)*(INDEX(BookQ1,1079)*(5-MIN(4,1+'5. Scenarios'!$B$8))/4+INDEX(BookQ2,1079)*(5-MIN(4,2+'5. Scenarios'!$B$8))/4+INDEX(BookQ3,1079)*(5-MIN(4,3+'5. Scenarios'!$B$8))/4+INDEX(BookQ4,1079)*(5-MIN(4,4+'5. Scenarios'!$B$8))/4)*'5. Scenarios'!$B$6/(1+ProductivityDefault*('5. Scenarios'!$B$11-1))+INDEX(BookOneOff,1079)*$D1084)</f>
        <v/>
      </c>
      <c r="I1084" s="56" t="str">
        <f aca="false">IF(INDEX(BookTitle,1079)="","",INDEX(BookTotal,1079)*'5. Scenarios'!$C$6/(1+ProductivityDefault*('5. Scenarios'!$C$11-1)))</f>
        <v/>
      </c>
      <c r="J1084" s="57" t="str">
        <f aca="false">IF($I1084="","",INDEX(BookRate,1079)*(1+'5. Scenarios'!$C$10)*$I1084)</f>
        <v/>
      </c>
      <c r="K1084" s="57" t="str">
        <f aca="false">IF($J1084="","",SUMIFS($J$6:$J$2405,$A$6:$A$2405,"&lt;="&amp;$A1084))</f>
        <v/>
      </c>
      <c r="L1084" s="57" t="str">
        <f aca="false">IF($J1084="","",IF($K1084&lt;=BankCostEnvelope*'5. Scenarios'!$C$7,1,0))</f>
        <v/>
      </c>
      <c r="M1084" s="57" t="str">
        <f aca="false">IF($I1084="","",INDEX(BookRate,1079)*(1+'5. Scenarios'!$C$10)*(INDEX(BookQ1,1079)*(5-MIN(4,1+'5. Scenarios'!$C$8))/4+INDEX(BookQ2,1079)*(5-MIN(4,2+'5. Scenarios'!$C$8))/4+INDEX(BookQ3,1079)*(5-MIN(4,3+'5. Scenarios'!$C$8))/4+INDEX(BookQ4,1079)*(5-MIN(4,4+'5. Scenarios'!$C$8))/4)*'5. Scenarios'!$C$6/(1+ProductivityDefault*('5. Scenarios'!$C$11-1))+INDEX(BookOneOff,1079)*$I1084)</f>
        <v/>
      </c>
      <c r="N1084" s="56" t="str">
        <f aca="false">IF(INDEX(BookTitle,1079)="","",INDEX(BookTotal,1079)*'5. Scenarios'!$D$6/(1+ProductivityDefault*('5. Scenarios'!$D$11-1)))</f>
        <v/>
      </c>
      <c r="O1084" s="57" t="str">
        <f aca="false">IF($N1084="","",INDEX(BookRate,1079)*(1+'5. Scenarios'!$D$10)*$N1084)</f>
        <v/>
      </c>
      <c r="P1084" s="57" t="str">
        <f aca="false">IF($O1084="","",SUMIFS($O$6:$O$2405,$A$6:$A$2405,"&lt;="&amp;$A1084))</f>
        <v/>
      </c>
      <c r="Q1084" s="57" t="str">
        <f aca="false">IF($O1084="","",IF($P1084&lt;=BankCostEnvelope*'5. Scenarios'!$D$7,1,0))</f>
        <v/>
      </c>
      <c r="R1084" s="57" t="str">
        <f aca="false">IF($N1084="","",INDEX(BookRate,1079)*(1+'5. Scenarios'!$D$10)*(INDEX(BookQ1,1079)*(5-MIN(4,1+'5. Scenarios'!$D$8))/4+INDEX(BookQ2,1079)*(5-MIN(4,2+'5. Scenarios'!$D$8))/4+INDEX(BookQ3,1079)*(5-MIN(4,3+'5. Scenarios'!$D$8))/4+INDEX(BookQ4,1079)*(5-MIN(4,4+'5. Scenarios'!$D$8))/4)*'5. Scenarios'!$D$6/(1+ProductivityDefault*('5. Scenarios'!$D$11-1))+INDEX(BookOneOff,1079)*$N1084)</f>
        <v/>
      </c>
      <c r="S1084" s="56" t="str">
        <f aca="false">IF(INDEX(BookTitle,1079)="","",INDEX(BookTotal,1079)*'5. Scenarios'!$E$6/(1+ProductivityDefault*('5. Scenarios'!$E$11-1)))</f>
        <v/>
      </c>
      <c r="T1084" s="57" t="str">
        <f aca="false">IF($S1084="","",INDEX(BookRate,1079)*(1+'5. Scenarios'!$E$10)*$S1084)</f>
        <v/>
      </c>
      <c r="U1084" s="57" t="str">
        <f aca="false">IF($T1084="","",SUMIFS($T$6:$T$2405,$A$6:$A$2405,"&lt;="&amp;$A1084))</f>
        <v/>
      </c>
      <c r="V1084" s="57" t="str">
        <f aca="false">IF($T1084="","",IF($U1084&lt;=BankCostEnvelope*'5. Scenarios'!$E$7,1,0))</f>
        <v/>
      </c>
      <c r="W1084" s="57" t="str">
        <f aca="false">IF($S1084="","",INDEX(BookRate,1079)*(1+'5. Scenarios'!$E$10)*(INDEX(BookQ1,1079)*(5-MIN(4,1+'5. Scenarios'!$E$8))/4+INDEX(BookQ2,1079)*(5-MIN(4,2+'5. Scenarios'!$E$8))/4+INDEX(BookQ3,1079)*(5-MIN(4,3+'5. Scenarios'!$E$8))/4+INDEX(BookQ4,1079)*(5-MIN(4,4+'5. Scenarios'!$E$8))/4)*'5. Scenarios'!$E$6/(1+ProductivityDefault*('5. Scenarios'!$E$11-1))+INDEX(BookOneOff,1079)*$S1084)</f>
        <v/>
      </c>
    </row>
    <row r="1085" customFormat="false" ht="15" hidden="false" customHeight="false" outlineLevel="0" collapsed="false">
      <c r="A1085" s="0" t="str">
        <f aca="false">IF(INDEX(BookTitle,1080)="","",INDEX(BookKey,1080))</f>
        <v/>
      </c>
      <c r="B1085" s="0" t="str">
        <f aca="false">IF(INDEX(BookTitle,1080)="","",INDEX(BookGroup,1080))</f>
        <v/>
      </c>
      <c r="C1085" s="0" t="str">
        <f aca="false">IF(INDEX(BookTitle,1080)="","",INDEX(BookCategory,1080))</f>
        <v/>
      </c>
      <c r="D1085" s="56" t="str">
        <f aca="false">IF(INDEX(BookTitle,1080)="","",INDEX(BookTotal,1080)*'5. Scenarios'!$B$6/(1+ProductivityDefault*('5. Scenarios'!$B$11-1)))</f>
        <v/>
      </c>
      <c r="E1085" s="57" t="str">
        <f aca="false">IF($D1085="","",INDEX(BookRate,1080)*(1+'5. Scenarios'!$B$10)*$D1085)</f>
        <v/>
      </c>
      <c r="F1085" s="57" t="str">
        <f aca="false">IF($E1085="","",SUMIFS($E$6:$E$2405,$A$6:$A$2405,"&lt;="&amp;$A1085))</f>
        <v/>
      </c>
      <c r="G1085" s="57" t="str">
        <f aca="false">IF($E1085="","",IF($F1085&lt;=BankCostEnvelope*'5. Scenarios'!$B$7,1,0))</f>
        <v/>
      </c>
      <c r="H1085" s="57" t="str">
        <f aca="false">IF($D1085="","",INDEX(BookRate,1080)*(1+'5. Scenarios'!$B$10)*(INDEX(BookQ1,1080)*(5-MIN(4,1+'5. Scenarios'!$B$8))/4+INDEX(BookQ2,1080)*(5-MIN(4,2+'5. Scenarios'!$B$8))/4+INDEX(BookQ3,1080)*(5-MIN(4,3+'5. Scenarios'!$B$8))/4+INDEX(BookQ4,1080)*(5-MIN(4,4+'5. Scenarios'!$B$8))/4)*'5. Scenarios'!$B$6/(1+ProductivityDefault*('5. Scenarios'!$B$11-1))+INDEX(BookOneOff,1080)*$D1085)</f>
        <v/>
      </c>
      <c r="I1085" s="56" t="str">
        <f aca="false">IF(INDEX(BookTitle,1080)="","",INDEX(BookTotal,1080)*'5. Scenarios'!$C$6/(1+ProductivityDefault*('5. Scenarios'!$C$11-1)))</f>
        <v/>
      </c>
      <c r="J1085" s="57" t="str">
        <f aca="false">IF($I1085="","",INDEX(BookRate,1080)*(1+'5. Scenarios'!$C$10)*$I1085)</f>
        <v/>
      </c>
      <c r="K1085" s="57" t="str">
        <f aca="false">IF($J1085="","",SUMIFS($J$6:$J$2405,$A$6:$A$2405,"&lt;="&amp;$A1085))</f>
        <v/>
      </c>
      <c r="L1085" s="57" t="str">
        <f aca="false">IF($J1085="","",IF($K1085&lt;=BankCostEnvelope*'5. Scenarios'!$C$7,1,0))</f>
        <v/>
      </c>
      <c r="M1085" s="57" t="str">
        <f aca="false">IF($I1085="","",INDEX(BookRate,1080)*(1+'5. Scenarios'!$C$10)*(INDEX(BookQ1,1080)*(5-MIN(4,1+'5. Scenarios'!$C$8))/4+INDEX(BookQ2,1080)*(5-MIN(4,2+'5. Scenarios'!$C$8))/4+INDEX(BookQ3,1080)*(5-MIN(4,3+'5. Scenarios'!$C$8))/4+INDEX(BookQ4,1080)*(5-MIN(4,4+'5. Scenarios'!$C$8))/4)*'5. Scenarios'!$C$6/(1+ProductivityDefault*('5. Scenarios'!$C$11-1))+INDEX(BookOneOff,1080)*$I1085)</f>
        <v/>
      </c>
      <c r="N1085" s="56" t="str">
        <f aca="false">IF(INDEX(BookTitle,1080)="","",INDEX(BookTotal,1080)*'5. Scenarios'!$D$6/(1+ProductivityDefault*('5. Scenarios'!$D$11-1)))</f>
        <v/>
      </c>
      <c r="O1085" s="57" t="str">
        <f aca="false">IF($N1085="","",INDEX(BookRate,1080)*(1+'5. Scenarios'!$D$10)*$N1085)</f>
        <v/>
      </c>
      <c r="P1085" s="57" t="str">
        <f aca="false">IF($O1085="","",SUMIFS($O$6:$O$2405,$A$6:$A$2405,"&lt;="&amp;$A1085))</f>
        <v/>
      </c>
      <c r="Q1085" s="57" t="str">
        <f aca="false">IF($O1085="","",IF($P1085&lt;=BankCostEnvelope*'5. Scenarios'!$D$7,1,0))</f>
        <v/>
      </c>
      <c r="R1085" s="57" t="str">
        <f aca="false">IF($N1085="","",INDEX(BookRate,1080)*(1+'5. Scenarios'!$D$10)*(INDEX(BookQ1,1080)*(5-MIN(4,1+'5. Scenarios'!$D$8))/4+INDEX(BookQ2,1080)*(5-MIN(4,2+'5. Scenarios'!$D$8))/4+INDEX(BookQ3,1080)*(5-MIN(4,3+'5. Scenarios'!$D$8))/4+INDEX(BookQ4,1080)*(5-MIN(4,4+'5. Scenarios'!$D$8))/4)*'5. Scenarios'!$D$6/(1+ProductivityDefault*('5. Scenarios'!$D$11-1))+INDEX(BookOneOff,1080)*$N1085)</f>
        <v/>
      </c>
      <c r="S1085" s="56" t="str">
        <f aca="false">IF(INDEX(BookTitle,1080)="","",INDEX(BookTotal,1080)*'5. Scenarios'!$E$6/(1+ProductivityDefault*('5. Scenarios'!$E$11-1)))</f>
        <v/>
      </c>
      <c r="T1085" s="57" t="str">
        <f aca="false">IF($S1085="","",INDEX(BookRate,1080)*(1+'5. Scenarios'!$E$10)*$S1085)</f>
        <v/>
      </c>
      <c r="U1085" s="57" t="str">
        <f aca="false">IF($T1085="","",SUMIFS($T$6:$T$2405,$A$6:$A$2405,"&lt;="&amp;$A1085))</f>
        <v/>
      </c>
      <c r="V1085" s="57" t="str">
        <f aca="false">IF($T1085="","",IF($U1085&lt;=BankCostEnvelope*'5. Scenarios'!$E$7,1,0))</f>
        <v/>
      </c>
      <c r="W1085" s="57" t="str">
        <f aca="false">IF($S1085="","",INDEX(BookRate,1080)*(1+'5. Scenarios'!$E$10)*(INDEX(BookQ1,1080)*(5-MIN(4,1+'5. Scenarios'!$E$8))/4+INDEX(BookQ2,1080)*(5-MIN(4,2+'5. Scenarios'!$E$8))/4+INDEX(BookQ3,1080)*(5-MIN(4,3+'5. Scenarios'!$E$8))/4+INDEX(BookQ4,1080)*(5-MIN(4,4+'5. Scenarios'!$E$8))/4)*'5. Scenarios'!$E$6/(1+ProductivityDefault*('5. Scenarios'!$E$11-1))+INDEX(BookOneOff,1080)*$S1085)</f>
        <v/>
      </c>
    </row>
    <row r="1086" customFormat="false" ht="15" hidden="false" customHeight="false" outlineLevel="0" collapsed="false">
      <c r="A1086" s="0" t="str">
        <f aca="false">IF(INDEX(BookTitle,1081)="","",INDEX(BookKey,1081))</f>
        <v/>
      </c>
      <c r="B1086" s="0" t="str">
        <f aca="false">IF(INDEX(BookTitle,1081)="","",INDEX(BookGroup,1081))</f>
        <v/>
      </c>
      <c r="C1086" s="0" t="str">
        <f aca="false">IF(INDEX(BookTitle,1081)="","",INDEX(BookCategory,1081))</f>
        <v/>
      </c>
      <c r="D1086" s="56" t="str">
        <f aca="false">IF(INDEX(BookTitle,1081)="","",INDEX(BookTotal,1081)*'5. Scenarios'!$B$6/(1+ProductivityDefault*('5. Scenarios'!$B$11-1)))</f>
        <v/>
      </c>
      <c r="E1086" s="57" t="str">
        <f aca="false">IF($D1086="","",INDEX(BookRate,1081)*(1+'5. Scenarios'!$B$10)*$D1086)</f>
        <v/>
      </c>
      <c r="F1086" s="57" t="str">
        <f aca="false">IF($E1086="","",SUMIFS($E$6:$E$2405,$A$6:$A$2405,"&lt;="&amp;$A1086))</f>
        <v/>
      </c>
      <c r="G1086" s="57" t="str">
        <f aca="false">IF($E1086="","",IF($F1086&lt;=BankCostEnvelope*'5. Scenarios'!$B$7,1,0))</f>
        <v/>
      </c>
      <c r="H1086" s="57" t="str">
        <f aca="false">IF($D1086="","",INDEX(BookRate,1081)*(1+'5. Scenarios'!$B$10)*(INDEX(BookQ1,1081)*(5-MIN(4,1+'5. Scenarios'!$B$8))/4+INDEX(BookQ2,1081)*(5-MIN(4,2+'5. Scenarios'!$B$8))/4+INDEX(BookQ3,1081)*(5-MIN(4,3+'5. Scenarios'!$B$8))/4+INDEX(BookQ4,1081)*(5-MIN(4,4+'5. Scenarios'!$B$8))/4)*'5. Scenarios'!$B$6/(1+ProductivityDefault*('5. Scenarios'!$B$11-1))+INDEX(BookOneOff,1081)*$D1086)</f>
        <v/>
      </c>
      <c r="I1086" s="56" t="str">
        <f aca="false">IF(INDEX(BookTitle,1081)="","",INDEX(BookTotal,1081)*'5. Scenarios'!$C$6/(1+ProductivityDefault*('5. Scenarios'!$C$11-1)))</f>
        <v/>
      </c>
      <c r="J1086" s="57" t="str">
        <f aca="false">IF($I1086="","",INDEX(BookRate,1081)*(1+'5. Scenarios'!$C$10)*$I1086)</f>
        <v/>
      </c>
      <c r="K1086" s="57" t="str">
        <f aca="false">IF($J1086="","",SUMIFS($J$6:$J$2405,$A$6:$A$2405,"&lt;="&amp;$A1086))</f>
        <v/>
      </c>
      <c r="L1086" s="57" t="str">
        <f aca="false">IF($J1086="","",IF($K1086&lt;=BankCostEnvelope*'5. Scenarios'!$C$7,1,0))</f>
        <v/>
      </c>
      <c r="M1086" s="57" t="str">
        <f aca="false">IF($I1086="","",INDEX(BookRate,1081)*(1+'5. Scenarios'!$C$10)*(INDEX(BookQ1,1081)*(5-MIN(4,1+'5. Scenarios'!$C$8))/4+INDEX(BookQ2,1081)*(5-MIN(4,2+'5. Scenarios'!$C$8))/4+INDEX(BookQ3,1081)*(5-MIN(4,3+'5. Scenarios'!$C$8))/4+INDEX(BookQ4,1081)*(5-MIN(4,4+'5. Scenarios'!$C$8))/4)*'5. Scenarios'!$C$6/(1+ProductivityDefault*('5. Scenarios'!$C$11-1))+INDEX(BookOneOff,1081)*$I1086)</f>
        <v/>
      </c>
      <c r="N1086" s="56" t="str">
        <f aca="false">IF(INDEX(BookTitle,1081)="","",INDEX(BookTotal,1081)*'5. Scenarios'!$D$6/(1+ProductivityDefault*('5. Scenarios'!$D$11-1)))</f>
        <v/>
      </c>
      <c r="O1086" s="57" t="str">
        <f aca="false">IF($N1086="","",INDEX(BookRate,1081)*(1+'5. Scenarios'!$D$10)*$N1086)</f>
        <v/>
      </c>
      <c r="P1086" s="57" t="str">
        <f aca="false">IF($O1086="","",SUMIFS($O$6:$O$2405,$A$6:$A$2405,"&lt;="&amp;$A1086))</f>
        <v/>
      </c>
      <c r="Q1086" s="57" t="str">
        <f aca="false">IF($O1086="","",IF($P1086&lt;=BankCostEnvelope*'5. Scenarios'!$D$7,1,0))</f>
        <v/>
      </c>
      <c r="R1086" s="57" t="str">
        <f aca="false">IF($N1086="","",INDEX(BookRate,1081)*(1+'5. Scenarios'!$D$10)*(INDEX(BookQ1,1081)*(5-MIN(4,1+'5. Scenarios'!$D$8))/4+INDEX(BookQ2,1081)*(5-MIN(4,2+'5. Scenarios'!$D$8))/4+INDEX(BookQ3,1081)*(5-MIN(4,3+'5. Scenarios'!$D$8))/4+INDEX(BookQ4,1081)*(5-MIN(4,4+'5. Scenarios'!$D$8))/4)*'5. Scenarios'!$D$6/(1+ProductivityDefault*('5. Scenarios'!$D$11-1))+INDEX(BookOneOff,1081)*$N1086)</f>
        <v/>
      </c>
      <c r="S1086" s="56" t="str">
        <f aca="false">IF(INDEX(BookTitle,1081)="","",INDEX(BookTotal,1081)*'5. Scenarios'!$E$6/(1+ProductivityDefault*('5. Scenarios'!$E$11-1)))</f>
        <v/>
      </c>
      <c r="T1086" s="57" t="str">
        <f aca="false">IF($S1086="","",INDEX(BookRate,1081)*(1+'5. Scenarios'!$E$10)*$S1086)</f>
        <v/>
      </c>
      <c r="U1086" s="57" t="str">
        <f aca="false">IF($T1086="","",SUMIFS($T$6:$T$2405,$A$6:$A$2405,"&lt;="&amp;$A1086))</f>
        <v/>
      </c>
      <c r="V1086" s="57" t="str">
        <f aca="false">IF($T1086="","",IF($U1086&lt;=BankCostEnvelope*'5. Scenarios'!$E$7,1,0))</f>
        <v/>
      </c>
      <c r="W1086" s="57" t="str">
        <f aca="false">IF($S1086="","",INDEX(BookRate,1081)*(1+'5. Scenarios'!$E$10)*(INDEX(BookQ1,1081)*(5-MIN(4,1+'5. Scenarios'!$E$8))/4+INDEX(BookQ2,1081)*(5-MIN(4,2+'5. Scenarios'!$E$8))/4+INDEX(BookQ3,1081)*(5-MIN(4,3+'5. Scenarios'!$E$8))/4+INDEX(BookQ4,1081)*(5-MIN(4,4+'5. Scenarios'!$E$8))/4)*'5. Scenarios'!$E$6/(1+ProductivityDefault*('5. Scenarios'!$E$11-1))+INDEX(BookOneOff,1081)*$S1086)</f>
        <v/>
      </c>
    </row>
    <row r="1087" customFormat="false" ht="15" hidden="false" customHeight="false" outlineLevel="0" collapsed="false">
      <c r="A1087" s="0" t="str">
        <f aca="false">IF(INDEX(BookTitle,1082)="","",INDEX(BookKey,1082))</f>
        <v/>
      </c>
      <c r="B1087" s="0" t="str">
        <f aca="false">IF(INDEX(BookTitle,1082)="","",INDEX(BookGroup,1082))</f>
        <v/>
      </c>
      <c r="C1087" s="0" t="str">
        <f aca="false">IF(INDEX(BookTitle,1082)="","",INDEX(BookCategory,1082))</f>
        <v/>
      </c>
      <c r="D1087" s="56" t="str">
        <f aca="false">IF(INDEX(BookTitle,1082)="","",INDEX(BookTotal,1082)*'5. Scenarios'!$B$6/(1+ProductivityDefault*('5. Scenarios'!$B$11-1)))</f>
        <v/>
      </c>
      <c r="E1087" s="57" t="str">
        <f aca="false">IF($D1087="","",INDEX(BookRate,1082)*(1+'5. Scenarios'!$B$10)*$D1087)</f>
        <v/>
      </c>
      <c r="F1087" s="57" t="str">
        <f aca="false">IF($E1087="","",SUMIFS($E$6:$E$2405,$A$6:$A$2405,"&lt;="&amp;$A1087))</f>
        <v/>
      </c>
      <c r="G1087" s="57" t="str">
        <f aca="false">IF($E1087="","",IF($F1087&lt;=BankCostEnvelope*'5. Scenarios'!$B$7,1,0))</f>
        <v/>
      </c>
      <c r="H1087" s="57" t="str">
        <f aca="false">IF($D1087="","",INDEX(BookRate,1082)*(1+'5. Scenarios'!$B$10)*(INDEX(BookQ1,1082)*(5-MIN(4,1+'5. Scenarios'!$B$8))/4+INDEX(BookQ2,1082)*(5-MIN(4,2+'5. Scenarios'!$B$8))/4+INDEX(BookQ3,1082)*(5-MIN(4,3+'5. Scenarios'!$B$8))/4+INDEX(BookQ4,1082)*(5-MIN(4,4+'5. Scenarios'!$B$8))/4)*'5. Scenarios'!$B$6/(1+ProductivityDefault*('5. Scenarios'!$B$11-1))+INDEX(BookOneOff,1082)*$D1087)</f>
        <v/>
      </c>
      <c r="I1087" s="56" t="str">
        <f aca="false">IF(INDEX(BookTitle,1082)="","",INDEX(BookTotal,1082)*'5. Scenarios'!$C$6/(1+ProductivityDefault*('5. Scenarios'!$C$11-1)))</f>
        <v/>
      </c>
      <c r="J1087" s="57" t="str">
        <f aca="false">IF($I1087="","",INDEX(BookRate,1082)*(1+'5. Scenarios'!$C$10)*$I1087)</f>
        <v/>
      </c>
      <c r="K1087" s="57" t="str">
        <f aca="false">IF($J1087="","",SUMIFS($J$6:$J$2405,$A$6:$A$2405,"&lt;="&amp;$A1087))</f>
        <v/>
      </c>
      <c r="L1087" s="57" t="str">
        <f aca="false">IF($J1087="","",IF($K1087&lt;=BankCostEnvelope*'5. Scenarios'!$C$7,1,0))</f>
        <v/>
      </c>
      <c r="M1087" s="57" t="str">
        <f aca="false">IF($I1087="","",INDEX(BookRate,1082)*(1+'5. Scenarios'!$C$10)*(INDEX(BookQ1,1082)*(5-MIN(4,1+'5. Scenarios'!$C$8))/4+INDEX(BookQ2,1082)*(5-MIN(4,2+'5. Scenarios'!$C$8))/4+INDEX(BookQ3,1082)*(5-MIN(4,3+'5. Scenarios'!$C$8))/4+INDEX(BookQ4,1082)*(5-MIN(4,4+'5. Scenarios'!$C$8))/4)*'5. Scenarios'!$C$6/(1+ProductivityDefault*('5. Scenarios'!$C$11-1))+INDEX(BookOneOff,1082)*$I1087)</f>
        <v/>
      </c>
      <c r="N1087" s="56" t="str">
        <f aca="false">IF(INDEX(BookTitle,1082)="","",INDEX(BookTotal,1082)*'5. Scenarios'!$D$6/(1+ProductivityDefault*('5. Scenarios'!$D$11-1)))</f>
        <v/>
      </c>
      <c r="O1087" s="57" t="str">
        <f aca="false">IF($N1087="","",INDEX(BookRate,1082)*(1+'5. Scenarios'!$D$10)*$N1087)</f>
        <v/>
      </c>
      <c r="P1087" s="57" t="str">
        <f aca="false">IF($O1087="","",SUMIFS($O$6:$O$2405,$A$6:$A$2405,"&lt;="&amp;$A1087))</f>
        <v/>
      </c>
      <c r="Q1087" s="57" t="str">
        <f aca="false">IF($O1087="","",IF($P1087&lt;=BankCostEnvelope*'5. Scenarios'!$D$7,1,0))</f>
        <v/>
      </c>
      <c r="R1087" s="57" t="str">
        <f aca="false">IF($N1087="","",INDEX(BookRate,1082)*(1+'5. Scenarios'!$D$10)*(INDEX(BookQ1,1082)*(5-MIN(4,1+'5. Scenarios'!$D$8))/4+INDEX(BookQ2,1082)*(5-MIN(4,2+'5. Scenarios'!$D$8))/4+INDEX(BookQ3,1082)*(5-MIN(4,3+'5. Scenarios'!$D$8))/4+INDEX(BookQ4,1082)*(5-MIN(4,4+'5. Scenarios'!$D$8))/4)*'5. Scenarios'!$D$6/(1+ProductivityDefault*('5. Scenarios'!$D$11-1))+INDEX(BookOneOff,1082)*$N1087)</f>
        <v/>
      </c>
      <c r="S1087" s="56" t="str">
        <f aca="false">IF(INDEX(BookTitle,1082)="","",INDEX(BookTotal,1082)*'5. Scenarios'!$E$6/(1+ProductivityDefault*('5. Scenarios'!$E$11-1)))</f>
        <v/>
      </c>
      <c r="T1087" s="57" t="str">
        <f aca="false">IF($S1087="","",INDEX(BookRate,1082)*(1+'5. Scenarios'!$E$10)*$S1087)</f>
        <v/>
      </c>
      <c r="U1087" s="57" t="str">
        <f aca="false">IF($T1087="","",SUMIFS($T$6:$T$2405,$A$6:$A$2405,"&lt;="&amp;$A1087))</f>
        <v/>
      </c>
      <c r="V1087" s="57" t="str">
        <f aca="false">IF($T1087="","",IF($U1087&lt;=BankCostEnvelope*'5. Scenarios'!$E$7,1,0))</f>
        <v/>
      </c>
      <c r="W1087" s="57" t="str">
        <f aca="false">IF($S1087="","",INDEX(BookRate,1082)*(1+'5. Scenarios'!$E$10)*(INDEX(BookQ1,1082)*(5-MIN(4,1+'5. Scenarios'!$E$8))/4+INDEX(BookQ2,1082)*(5-MIN(4,2+'5. Scenarios'!$E$8))/4+INDEX(BookQ3,1082)*(5-MIN(4,3+'5. Scenarios'!$E$8))/4+INDEX(BookQ4,1082)*(5-MIN(4,4+'5. Scenarios'!$E$8))/4)*'5. Scenarios'!$E$6/(1+ProductivityDefault*('5. Scenarios'!$E$11-1))+INDEX(BookOneOff,1082)*$S1087)</f>
        <v/>
      </c>
    </row>
    <row r="1088" customFormat="false" ht="15" hidden="false" customHeight="false" outlineLevel="0" collapsed="false">
      <c r="A1088" s="0" t="str">
        <f aca="false">IF(INDEX(BookTitle,1083)="","",INDEX(BookKey,1083))</f>
        <v/>
      </c>
      <c r="B1088" s="0" t="str">
        <f aca="false">IF(INDEX(BookTitle,1083)="","",INDEX(BookGroup,1083))</f>
        <v/>
      </c>
      <c r="C1088" s="0" t="str">
        <f aca="false">IF(INDEX(BookTitle,1083)="","",INDEX(BookCategory,1083))</f>
        <v/>
      </c>
      <c r="D1088" s="56" t="str">
        <f aca="false">IF(INDEX(BookTitle,1083)="","",INDEX(BookTotal,1083)*'5. Scenarios'!$B$6/(1+ProductivityDefault*('5. Scenarios'!$B$11-1)))</f>
        <v/>
      </c>
      <c r="E1088" s="57" t="str">
        <f aca="false">IF($D1088="","",INDEX(BookRate,1083)*(1+'5. Scenarios'!$B$10)*$D1088)</f>
        <v/>
      </c>
      <c r="F1088" s="57" t="str">
        <f aca="false">IF($E1088="","",SUMIFS($E$6:$E$2405,$A$6:$A$2405,"&lt;="&amp;$A1088))</f>
        <v/>
      </c>
      <c r="G1088" s="57" t="str">
        <f aca="false">IF($E1088="","",IF($F1088&lt;=BankCostEnvelope*'5. Scenarios'!$B$7,1,0))</f>
        <v/>
      </c>
      <c r="H1088" s="57" t="str">
        <f aca="false">IF($D1088="","",INDEX(BookRate,1083)*(1+'5. Scenarios'!$B$10)*(INDEX(BookQ1,1083)*(5-MIN(4,1+'5. Scenarios'!$B$8))/4+INDEX(BookQ2,1083)*(5-MIN(4,2+'5. Scenarios'!$B$8))/4+INDEX(BookQ3,1083)*(5-MIN(4,3+'5. Scenarios'!$B$8))/4+INDEX(BookQ4,1083)*(5-MIN(4,4+'5. Scenarios'!$B$8))/4)*'5. Scenarios'!$B$6/(1+ProductivityDefault*('5. Scenarios'!$B$11-1))+INDEX(BookOneOff,1083)*$D1088)</f>
        <v/>
      </c>
      <c r="I1088" s="56" t="str">
        <f aca="false">IF(INDEX(BookTitle,1083)="","",INDEX(BookTotal,1083)*'5. Scenarios'!$C$6/(1+ProductivityDefault*('5. Scenarios'!$C$11-1)))</f>
        <v/>
      </c>
      <c r="J1088" s="57" t="str">
        <f aca="false">IF($I1088="","",INDEX(BookRate,1083)*(1+'5. Scenarios'!$C$10)*$I1088)</f>
        <v/>
      </c>
      <c r="K1088" s="57" t="str">
        <f aca="false">IF($J1088="","",SUMIFS($J$6:$J$2405,$A$6:$A$2405,"&lt;="&amp;$A1088))</f>
        <v/>
      </c>
      <c r="L1088" s="57" t="str">
        <f aca="false">IF($J1088="","",IF($K1088&lt;=BankCostEnvelope*'5. Scenarios'!$C$7,1,0))</f>
        <v/>
      </c>
      <c r="M1088" s="57" t="str">
        <f aca="false">IF($I1088="","",INDEX(BookRate,1083)*(1+'5. Scenarios'!$C$10)*(INDEX(BookQ1,1083)*(5-MIN(4,1+'5. Scenarios'!$C$8))/4+INDEX(BookQ2,1083)*(5-MIN(4,2+'5. Scenarios'!$C$8))/4+INDEX(BookQ3,1083)*(5-MIN(4,3+'5. Scenarios'!$C$8))/4+INDEX(BookQ4,1083)*(5-MIN(4,4+'5. Scenarios'!$C$8))/4)*'5. Scenarios'!$C$6/(1+ProductivityDefault*('5. Scenarios'!$C$11-1))+INDEX(BookOneOff,1083)*$I1088)</f>
        <v/>
      </c>
      <c r="N1088" s="56" t="str">
        <f aca="false">IF(INDEX(BookTitle,1083)="","",INDEX(BookTotal,1083)*'5. Scenarios'!$D$6/(1+ProductivityDefault*('5. Scenarios'!$D$11-1)))</f>
        <v/>
      </c>
      <c r="O1088" s="57" t="str">
        <f aca="false">IF($N1088="","",INDEX(BookRate,1083)*(1+'5. Scenarios'!$D$10)*$N1088)</f>
        <v/>
      </c>
      <c r="P1088" s="57" t="str">
        <f aca="false">IF($O1088="","",SUMIFS($O$6:$O$2405,$A$6:$A$2405,"&lt;="&amp;$A1088))</f>
        <v/>
      </c>
      <c r="Q1088" s="57" t="str">
        <f aca="false">IF($O1088="","",IF($P1088&lt;=BankCostEnvelope*'5. Scenarios'!$D$7,1,0))</f>
        <v/>
      </c>
      <c r="R1088" s="57" t="str">
        <f aca="false">IF($N1088="","",INDEX(BookRate,1083)*(1+'5. Scenarios'!$D$10)*(INDEX(BookQ1,1083)*(5-MIN(4,1+'5. Scenarios'!$D$8))/4+INDEX(BookQ2,1083)*(5-MIN(4,2+'5. Scenarios'!$D$8))/4+INDEX(BookQ3,1083)*(5-MIN(4,3+'5. Scenarios'!$D$8))/4+INDEX(BookQ4,1083)*(5-MIN(4,4+'5. Scenarios'!$D$8))/4)*'5. Scenarios'!$D$6/(1+ProductivityDefault*('5. Scenarios'!$D$11-1))+INDEX(BookOneOff,1083)*$N1088)</f>
        <v/>
      </c>
      <c r="S1088" s="56" t="str">
        <f aca="false">IF(INDEX(BookTitle,1083)="","",INDEX(BookTotal,1083)*'5. Scenarios'!$E$6/(1+ProductivityDefault*('5. Scenarios'!$E$11-1)))</f>
        <v/>
      </c>
      <c r="T1088" s="57" t="str">
        <f aca="false">IF($S1088="","",INDEX(BookRate,1083)*(1+'5. Scenarios'!$E$10)*$S1088)</f>
        <v/>
      </c>
      <c r="U1088" s="57" t="str">
        <f aca="false">IF($T1088="","",SUMIFS($T$6:$T$2405,$A$6:$A$2405,"&lt;="&amp;$A1088))</f>
        <v/>
      </c>
      <c r="V1088" s="57" t="str">
        <f aca="false">IF($T1088="","",IF($U1088&lt;=BankCostEnvelope*'5. Scenarios'!$E$7,1,0))</f>
        <v/>
      </c>
      <c r="W1088" s="57" t="str">
        <f aca="false">IF($S1088="","",INDEX(BookRate,1083)*(1+'5. Scenarios'!$E$10)*(INDEX(BookQ1,1083)*(5-MIN(4,1+'5. Scenarios'!$E$8))/4+INDEX(BookQ2,1083)*(5-MIN(4,2+'5. Scenarios'!$E$8))/4+INDEX(BookQ3,1083)*(5-MIN(4,3+'5. Scenarios'!$E$8))/4+INDEX(BookQ4,1083)*(5-MIN(4,4+'5. Scenarios'!$E$8))/4)*'5. Scenarios'!$E$6/(1+ProductivityDefault*('5. Scenarios'!$E$11-1))+INDEX(BookOneOff,1083)*$S1088)</f>
        <v/>
      </c>
    </row>
    <row r="1089" customFormat="false" ht="15" hidden="false" customHeight="false" outlineLevel="0" collapsed="false">
      <c r="A1089" s="0" t="str">
        <f aca="false">IF(INDEX(BookTitle,1084)="","",INDEX(BookKey,1084))</f>
        <v/>
      </c>
      <c r="B1089" s="0" t="str">
        <f aca="false">IF(INDEX(BookTitle,1084)="","",INDEX(BookGroup,1084))</f>
        <v/>
      </c>
      <c r="C1089" s="0" t="str">
        <f aca="false">IF(INDEX(BookTitle,1084)="","",INDEX(BookCategory,1084))</f>
        <v/>
      </c>
      <c r="D1089" s="56" t="str">
        <f aca="false">IF(INDEX(BookTitle,1084)="","",INDEX(BookTotal,1084)*'5. Scenarios'!$B$6/(1+ProductivityDefault*('5. Scenarios'!$B$11-1)))</f>
        <v/>
      </c>
      <c r="E1089" s="57" t="str">
        <f aca="false">IF($D1089="","",INDEX(BookRate,1084)*(1+'5. Scenarios'!$B$10)*$D1089)</f>
        <v/>
      </c>
      <c r="F1089" s="57" t="str">
        <f aca="false">IF($E1089="","",SUMIFS($E$6:$E$2405,$A$6:$A$2405,"&lt;="&amp;$A1089))</f>
        <v/>
      </c>
      <c r="G1089" s="57" t="str">
        <f aca="false">IF($E1089="","",IF($F1089&lt;=BankCostEnvelope*'5. Scenarios'!$B$7,1,0))</f>
        <v/>
      </c>
      <c r="H1089" s="57" t="str">
        <f aca="false">IF($D1089="","",INDEX(BookRate,1084)*(1+'5. Scenarios'!$B$10)*(INDEX(BookQ1,1084)*(5-MIN(4,1+'5. Scenarios'!$B$8))/4+INDEX(BookQ2,1084)*(5-MIN(4,2+'5. Scenarios'!$B$8))/4+INDEX(BookQ3,1084)*(5-MIN(4,3+'5. Scenarios'!$B$8))/4+INDEX(BookQ4,1084)*(5-MIN(4,4+'5. Scenarios'!$B$8))/4)*'5. Scenarios'!$B$6/(1+ProductivityDefault*('5. Scenarios'!$B$11-1))+INDEX(BookOneOff,1084)*$D1089)</f>
        <v/>
      </c>
      <c r="I1089" s="56" t="str">
        <f aca="false">IF(INDEX(BookTitle,1084)="","",INDEX(BookTotal,1084)*'5. Scenarios'!$C$6/(1+ProductivityDefault*('5. Scenarios'!$C$11-1)))</f>
        <v/>
      </c>
      <c r="J1089" s="57" t="str">
        <f aca="false">IF($I1089="","",INDEX(BookRate,1084)*(1+'5. Scenarios'!$C$10)*$I1089)</f>
        <v/>
      </c>
      <c r="K1089" s="57" t="str">
        <f aca="false">IF($J1089="","",SUMIFS($J$6:$J$2405,$A$6:$A$2405,"&lt;="&amp;$A1089))</f>
        <v/>
      </c>
      <c r="L1089" s="57" t="str">
        <f aca="false">IF($J1089="","",IF($K1089&lt;=BankCostEnvelope*'5. Scenarios'!$C$7,1,0))</f>
        <v/>
      </c>
      <c r="M1089" s="57" t="str">
        <f aca="false">IF($I1089="","",INDEX(BookRate,1084)*(1+'5. Scenarios'!$C$10)*(INDEX(BookQ1,1084)*(5-MIN(4,1+'5. Scenarios'!$C$8))/4+INDEX(BookQ2,1084)*(5-MIN(4,2+'5. Scenarios'!$C$8))/4+INDEX(BookQ3,1084)*(5-MIN(4,3+'5. Scenarios'!$C$8))/4+INDEX(BookQ4,1084)*(5-MIN(4,4+'5. Scenarios'!$C$8))/4)*'5. Scenarios'!$C$6/(1+ProductivityDefault*('5. Scenarios'!$C$11-1))+INDEX(BookOneOff,1084)*$I1089)</f>
        <v/>
      </c>
      <c r="N1089" s="56" t="str">
        <f aca="false">IF(INDEX(BookTitle,1084)="","",INDEX(BookTotal,1084)*'5. Scenarios'!$D$6/(1+ProductivityDefault*('5. Scenarios'!$D$11-1)))</f>
        <v/>
      </c>
      <c r="O1089" s="57" t="str">
        <f aca="false">IF($N1089="","",INDEX(BookRate,1084)*(1+'5. Scenarios'!$D$10)*$N1089)</f>
        <v/>
      </c>
      <c r="P1089" s="57" t="str">
        <f aca="false">IF($O1089="","",SUMIFS($O$6:$O$2405,$A$6:$A$2405,"&lt;="&amp;$A1089))</f>
        <v/>
      </c>
      <c r="Q1089" s="57" t="str">
        <f aca="false">IF($O1089="","",IF($P1089&lt;=BankCostEnvelope*'5. Scenarios'!$D$7,1,0))</f>
        <v/>
      </c>
      <c r="R1089" s="57" t="str">
        <f aca="false">IF($N1089="","",INDEX(BookRate,1084)*(1+'5. Scenarios'!$D$10)*(INDEX(BookQ1,1084)*(5-MIN(4,1+'5. Scenarios'!$D$8))/4+INDEX(BookQ2,1084)*(5-MIN(4,2+'5. Scenarios'!$D$8))/4+INDEX(BookQ3,1084)*(5-MIN(4,3+'5. Scenarios'!$D$8))/4+INDEX(BookQ4,1084)*(5-MIN(4,4+'5. Scenarios'!$D$8))/4)*'5. Scenarios'!$D$6/(1+ProductivityDefault*('5. Scenarios'!$D$11-1))+INDEX(BookOneOff,1084)*$N1089)</f>
        <v/>
      </c>
      <c r="S1089" s="56" t="str">
        <f aca="false">IF(INDEX(BookTitle,1084)="","",INDEX(BookTotal,1084)*'5. Scenarios'!$E$6/(1+ProductivityDefault*('5. Scenarios'!$E$11-1)))</f>
        <v/>
      </c>
      <c r="T1089" s="57" t="str">
        <f aca="false">IF($S1089="","",INDEX(BookRate,1084)*(1+'5. Scenarios'!$E$10)*$S1089)</f>
        <v/>
      </c>
      <c r="U1089" s="57" t="str">
        <f aca="false">IF($T1089="","",SUMIFS($T$6:$T$2405,$A$6:$A$2405,"&lt;="&amp;$A1089))</f>
        <v/>
      </c>
      <c r="V1089" s="57" t="str">
        <f aca="false">IF($T1089="","",IF($U1089&lt;=BankCostEnvelope*'5. Scenarios'!$E$7,1,0))</f>
        <v/>
      </c>
      <c r="W1089" s="57" t="str">
        <f aca="false">IF($S1089="","",INDEX(BookRate,1084)*(1+'5. Scenarios'!$E$10)*(INDEX(BookQ1,1084)*(5-MIN(4,1+'5. Scenarios'!$E$8))/4+INDEX(BookQ2,1084)*(5-MIN(4,2+'5. Scenarios'!$E$8))/4+INDEX(BookQ3,1084)*(5-MIN(4,3+'5. Scenarios'!$E$8))/4+INDEX(BookQ4,1084)*(5-MIN(4,4+'5. Scenarios'!$E$8))/4)*'5. Scenarios'!$E$6/(1+ProductivityDefault*('5. Scenarios'!$E$11-1))+INDEX(BookOneOff,1084)*$S1089)</f>
        <v/>
      </c>
    </row>
    <row r="1090" customFormat="false" ht="15" hidden="false" customHeight="false" outlineLevel="0" collapsed="false">
      <c r="A1090" s="0" t="str">
        <f aca="false">IF(INDEX(BookTitle,1085)="","",INDEX(BookKey,1085))</f>
        <v/>
      </c>
      <c r="B1090" s="0" t="str">
        <f aca="false">IF(INDEX(BookTitle,1085)="","",INDEX(BookGroup,1085))</f>
        <v/>
      </c>
      <c r="C1090" s="0" t="str">
        <f aca="false">IF(INDEX(BookTitle,1085)="","",INDEX(BookCategory,1085))</f>
        <v/>
      </c>
      <c r="D1090" s="56" t="str">
        <f aca="false">IF(INDEX(BookTitle,1085)="","",INDEX(BookTotal,1085)*'5. Scenarios'!$B$6/(1+ProductivityDefault*('5. Scenarios'!$B$11-1)))</f>
        <v/>
      </c>
      <c r="E1090" s="57" t="str">
        <f aca="false">IF($D1090="","",INDEX(BookRate,1085)*(1+'5. Scenarios'!$B$10)*$D1090)</f>
        <v/>
      </c>
      <c r="F1090" s="57" t="str">
        <f aca="false">IF($E1090="","",SUMIFS($E$6:$E$2405,$A$6:$A$2405,"&lt;="&amp;$A1090))</f>
        <v/>
      </c>
      <c r="G1090" s="57" t="str">
        <f aca="false">IF($E1090="","",IF($F1090&lt;=BankCostEnvelope*'5. Scenarios'!$B$7,1,0))</f>
        <v/>
      </c>
      <c r="H1090" s="57" t="str">
        <f aca="false">IF($D1090="","",INDEX(BookRate,1085)*(1+'5. Scenarios'!$B$10)*(INDEX(BookQ1,1085)*(5-MIN(4,1+'5. Scenarios'!$B$8))/4+INDEX(BookQ2,1085)*(5-MIN(4,2+'5. Scenarios'!$B$8))/4+INDEX(BookQ3,1085)*(5-MIN(4,3+'5. Scenarios'!$B$8))/4+INDEX(BookQ4,1085)*(5-MIN(4,4+'5. Scenarios'!$B$8))/4)*'5. Scenarios'!$B$6/(1+ProductivityDefault*('5. Scenarios'!$B$11-1))+INDEX(BookOneOff,1085)*$D1090)</f>
        <v/>
      </c>
      <c r="I1090" s="56" t="str">
        <f aca="false">IF(INDEX(BookTitle,1085)="","",INDEX(BookTotal,1085)*'5. Scenarios'!$C$6/(1+ProductivityDefault*('5. Scenarios'!$C$11-1)))</f>
        <v/>
      </c>
      <c r="J1090" s="57" t="str">
        <f aca="false">IF($I1090="","",INDEX(BookRate,1085)*(1+'5. Scenarios'!$C$10)*$I1090)</f>
        <v/>
      </c>
      <c r="K1090" s="57" t="str">
        <f aca="false">IF($J1090="","",SUMIFS($J$6:$J$2405,$A$6:$A$2405,"&lt;="&amp;$A1090))</f>
        <v/>
      </c>
      <c r="L1090" s="57" t="str">
        <f aca="false">IF($J1090="","",IF($K1090&lt;=BankCostEnvelope*'5. Scenarios'!$C$7,1,0))</f>
        <v/>
      </c>
      <c r="M1090" s="57" t="str">
        <f aca="false">IF($I1090="","",INDEX(BookRate,1085)*(1+'5. Scenarios'!$C$10)*(INDEX(BookQ1,1085)*(5-MIN(4,1+'5. Scenarios'!$C$8))/4+INDEX(BookQ2,1085)*(5-MIN(4,2+'5. Scenarios'!$C$8))/4+INDEX(BookQ3,1085)*(5-MIN(4,3+'5. Scenarios'!$C$8))/4+INDEX(BookQ4,1085)*(5-MIN(4,4+'5. Scenarios'!$C$8))/4)*'5. Scenarios'!$C$6/(1+ProductivityDefault*('5. Scenarios'!$C$11-1))+INDEX(BookOneOff,1085)*$I1090)</f>
        <v/>
      </c>
      <c r="N1090" s="56" t="str">
        <f aca="false">IF(INDEX(BookTitle,1085)="","",INDEX(BookTotal,1085)*'5. Scenarios'!$D$6/(1+ProductivityDefault*('5. Scenarios'!$D$11-1)))</f>
        <v/>
      </c>
      <c r="O1090" s="57" t="str">
        <f aca="false">IF($N1090="","",INDEX(BookRate,1085)*(1+'5. Scenarios'!$D$10)*$N1090)</f>
        <v/>
      </c>
      <c r="P1090" s="57" t="str">
        <f aca="false">IF($O1090="","",SUMIFS($O$6:$O$2405,$A$6:$A$2405,"&lt;="&amp;$A1090))</f>
        <v/>
      </c>
      <c r="Q1090" s="57" t="str">
        <f aca="false">IF($O1090="","",IF($P1090&lt;=BankCostEnvelope*'5. Scenarios'!$D$7,1,0))</f>
        <v/>
      </c>
      <c r="R1090" s="57" t="str">
        <f aca="false">IF($N1090="","",INDEX(BookRate,1085)*(1+'5. Scenarios'!$D$10)*(INDEX(BookQ1,1085)*(5-MIN(4,1+'5. Scenarios'!$D$8))/4+INDEX(BookQ2,1085)*(5-MIN(4,2+'5. Scenarios'!$D$8))/4+INDEX(BookQ3,1085)*(5-MIN(4,3+'5. Scenarios'!$D$8))/4+INDEX(BookQ4,1085)*(5-MIN(4,4+'5. Scenarios'!$D$8))/4)*'5. Scenarios'!$D$6/(1+ProductivityDefault*('5. Scenarios'!$D$11-1))+INDEX(BookOneOff,1085)*$N1090)</f>
        <v/>
      </c>
      <c r="S1090" s="56" t="str">
        <f aca="false">IF(INDEX(BookTitle,1085)="","",INDEX(BookTotal,1085)*'5. Scenarios'!$E$6/(1+ProductivityDefault*('5. Scenarios'!$E$11-1)))</f>
        <v/>
      </c>
      <c r="T1090" s="57" t="str">
        <f aca="false">IF($S1090="","",INDEX(BookRate,1085)*(1+'5. Scenarios'!$E$10)*$S1090)</f>
        <v/>
      </c>
      <c r="U1090" s="57" t="str">
        <f aca="false">IF($T1090="","",SUMIFS($T$6:$T$2405,$A$6:$A$2405,"&lt;="&amp;$A1090))</f>
        <v/>
      </c>
      <c r="V1090" s="57" t="str">
        <f aca="false">IF($T1090="","",IF($U1090&lt;=BankCostEnvelope*'5. Scenarios'!$E$7,1,0))</f>
        <v/>
      </c>
      <c r="W1090" s="57" t="str">
        <f aca="false">IF($S1090="","",INDEX(BookRate,1085)*(1+'5. Scenarios'!$E$10)*(INDEX(BookQ1,1085)*(5-MIN(4,1+'5. Scenarios'!$E$8))/4+INDEX(BookQ2,1085)*(5-MIN(4,2+'5. Scenarios'!$E$8))/4+INDEX(BookQ3,1085)*(5-MIN(4,3+'5. Scenarios'!$E$8))/4+INDEX(BookQ4,1085)*(5-MIN(4,4+'5. Scenarios'!$E$8))/4)*'5. Scenarios'!$E$6/(1+ProductivityDefault*('5. Scenarios'!$E$11-1))+INDEX(BookOneOff,1085)*$S1090)</f>
        <v/>
      </c>
    </row>
    <row r="1091" customFormat="false" ht="15" hidden="false" customHeight="false" outlineLevel="0" collapsed="false">
      <c r="A1091" s="0" t="str">
        <f aca="false">IF(INDEX(BookTitle,1086)="","",INDEX(BookKey,1086))</f>
        <v/>
      </c>
      <c r="B1091" s="0" t="str">
        <f aca="false">IF(INDEX(BookTitle,1086)="","",INDEX(BookGroup,1086))</f>
        <v/>
      </c>
      <c r="C1091" s="0" t="str">
        <f aca="false">IF(INDEX(BookTitle,1086)="","",INDEX(BookCategory,1086))</f>
        <v/>
      </c>
      <c r="D1091" s="56" t="str">
        <f aca="false">IF(INDEX(BookTitle,1086)="","",INDEX(BookTotal,1086)*'5. Scenarios'!$B$6/(1+ProductivityDefault*('5. Scenarios'!$B$11-1)))</f>
        <v/>
      </c>
      <c r="E1091" s="57" t="str">
        <f aca="false">IF($D1091="","",INDEX(BookRate,1086)*(1+'5. Scenarios'!$B$10)*$D1091)</f>
        <v/>
      </c>
      <c r="F1091" s="57" t="str">
        <f aca="false">IF($E1091="","",SUMIFS($E$6:$E$2405,$A$6:$A$2405,"&lt;="&amp;$A1091))</f>
        <v/>
      </c>
      <c r="G1091" s="57" t="str">
        <f aca="false">IF($E1091="","",IF($F1091&lt;=BankCostEnvelope*'5. Scenarios'!$B$7,1,0))</f>
        <v/>
      </c>
      <c r="H1091" s="57" t="str">
        <f aca="false">IF($D1091="","",INDEX(BookRate,1086)*(1+'5. Scenarios'!$B$10)*(INDEX(BookQ1,1086)*(5-MIN(4,1+'5. Scenarios'!$B$8))/4+INDEX(BookQ2,1086)*(5-MIN(4,2+'5. Scenarios'!$B$8))/4+INDEX(BookQ3,1086)*(5-MIN(4,3+'5. Scenarios'!$B$8))/4+INDEX(BookQ4,1086)*(5-MIN(4,4+'5. Scenarios'!$B$8))/4)*'5. Scenarios'!$B$6/(1+ProductivityDefault*('5. Scenarios'!$B$11-1))+INDEX(BookOneOff,1086)*$D1091)</f>
        <v/>
      </c>
      <c r="I1091" s="56" t="str">
        <f aca="false">IF(INDEX(BookTitle,1086)="","",INDEX(BookTotal,1086)*'5. Scenarios'!$C$6/(1+ProductivityDefault*('5. Scenarios'!$C$11-1)))</f>
        <v/>
      </c>
      <c r="J1091" s="57" t="str">
        <f aca="false">IF($I1091="","",INDEX(BookRate,1086)*(1+'5. Scenarios'!$C$10)*$I1091)</f>
        <v/>
      </c>
      <c r="K1091" s="57" t="str">
        <f aca="false">IF($J1091="","",SUMIFS($J$6:$J$2405,$A$6:$A$2405,"&lt;="&amp;$A1091))</f>
        <v/>
      </c>
      <c r="L1091" s="57" t="str">
        <f aca="false">IF($J1091="","",IF($K1091&lt;=BankCostEnvelope*'5. Scenarios'!$C$7,1,0))</f>
        <v/>
      </c>
      <c r="M1091" s="57" t="str">
        <f aca="false">IF($I1091="","",INDEX(BookRate,1086)*(1+'5. Scenarios'!$C$10)*(INDEX(BookQ1,1086)*(5-MIN(4,1+'5. Scenarios'!$C$8))/4+INDEX(BookQ2,1086)*(5-MIN(4,2+'5. Scenarios'!$C$8))/4+INDEX(BookQ3,1086)*(5-MIN(4,3+'5. Scenarios'!$C$8))/4+INDEX(BookQ4,1086)*(5-MIN(4,4+'5. Scenarios'!$C$8))/4)*'5. Scenarios'!$C$6/(1+ProductivityDefault*('5. Scenarios'!$C$11-1))+INDEX(BookOneOff,1086)*$I1091)</f>
        <v/>
      </c>
      <c r="N1091" s="56" t="str">
        <f aca="false">IF(INDEX(BookTitle,1086)="","",INDEX(BookTotal,1086)*'5. Scenarios'!$D$6/(1+ProductivityDefault*('5. Scenarios'!$D$11-1)))</f>
        <v/>
      </c>
      <c r="O1091" s="57" t="str">
        <f aca="false">IF($N1091="","",INDEX(BookRate,1086)*(1+'5. Scenarios'!$D$10)*$N1091)</f>
        <v/>
      </c>
      <c r="P1091" s="57" t="str">
        <f aca="false">IF($O1091="","",SUMIFS($O$6:$O$2405,$A$6:$A$2405,"&lt;="&amp;$A1091))</f>
        <v/>
      </c>
      <c r="Q1091" s="57" t="str">
        <f aca="false">IF($O1091="","",IF($P1091&lt;=BankCostEnvelope*'5. Scenarios'!$D$7,1,0))</f>
        <v/>
      </c>
      <c r="R1091" s="57" t="str">
        <f aca="false">IF($N1091="","",INDEX(BookRate,1086)*(1+'5. Scenarios'!$D$10)*(INDEX(BookQ1,1086)*(5-MIN(4,1+'5. Scenarios'!$D$8))/4+INDEX(BookQ2,1086)*(5-MIN(4,2+'5. Scenarios'!$D$8))/4+INDEX(BookQ3,1086)*(5-MIN(4,3+'5. Scenarios'!$D$8))/4+INDEX(BookQ4,1086)*(5-MIN(4,4+'5. Scenarios'!$D$8))/4)*'5. Scenarios'!$D$6/(1+ProductivityDefault*('5. Scenarios'!$D$11-1))+INDEX(BookOneOff,1086)*$N1091)</f>
        <v/>
      </c>
      <c r="S1091" s="56" t="str">
        <f aca="false">IF(INDEX(BookTitle,1086)="","",INDEX(BookTotal,1086)*'5. Scenarios'!$E$6/(1+ProductivityDefault*('5. Scenarios'!$E$11-1)))</f>
        <v/>
      </c>
      <c r="T1091" s="57" t="str">
        <f aca="false">IF($S1091="","",INDEX(BookRate,1086)*(1+'5. Scenarios'!$E$10)*$S1091)</f>
        <v/>
      </c>
      <c r="U1091" s="57" t="str">
        <f aca="false">IF($T1091="","",SUMIFS($T$6:$T$2405,$A$6:$A$2405,"&lt;="&amp;$A1091))</f>
        <v/>
      </c>
      <c r="V1091" s="57" t="str">
        <f aca="false">IF($T1091="","",IF($U1091&lt;=BankCostEnvelope*'5. Scenarios'!$E$7,1,0))</f>
        <v/>
      </c>
      <c r="W1091" s="57" t="str">
        <f aca="false">IF($S1091="","",INDEX(BookRate,1086)*(1+'5. Scenarios'!$E$10)*(INDEX(BookQ1,1086)*(5-MIN(4,1+'5. Scenarios'!$E$8))/4+INDEX(BookQ2,1086)*(5-MIN(4,2+'5. Scenarios'!$E$8))/4+INDEX(BookQ3,1086)*(5-MIN(4,3+'5. Scenarios'!$E$8))/4+INDEX(BookQ4,1086)*(5-MIN(4,4+'5. Scenarios'!$E$8))/4)*'5. Scenarios'!$E$6/(1+ProductivityDefault*('5. Scenarios'!$E$11-1))+INDEX(BookOneOff,1086)*$S1091)</f>
        <v/>
      </c>
    </row>
    <row r="1092" customFormat="false" ht="15" hidden="false" customHeight="false" outlineLevel="0" collapsed="false">
      <c r="A1092" s="0" t="str">
        <f aca="false">IF(INDEX(BookTitle,1087)="","",INDEX(BookKey,1087))</f>
        <v/>
      </c>
      <c r="B1092" s="0" t="str">
        <f aca="false">IF(INDEX(BookTitle,1087)="","",INDEX(BookGroup,1087))</f>
        <v/>
      </c>
      <c r="C1092" s="0" t="str">
        <f aca="false">IF(INDEX(BookTitle,1087)="","",INDEX(BookCategory,1087))</f>
        <v/>
      </c>
      <c r="D1092" s="56" t="str">
        <f aca="false">IF(INDEX(BookTitle,1087)="","",INDEX(BookTotal,1087)*'5. Scenarios'!$B$6/(1+ProductivityDefault*('5. Scenarios'!$B$11-1)))</f>
        <v/>
      </c>
      <c r="E1092" s="57" t="str">
        <f aca="false">IF($D1092="","",INDEX(BookRate,1087)*(1+'5. Scenarios'!$B$10)*$D1092)</f>
        <v/>
      </c>
      <c r="F1092" s="57" t="str">
        <f aca="false">IF($E1092="","",SUMIFS($E$6:$E$2405,$A$6:$A$2405,"&lt;="&amp;$A1092))</f>
        <v/>
      </c>
      <c r="G1092" s="57" t="str">
        <f aca="false">IF($E1092="","",IF($F1092&lt;=BankCostEnvelope*'5. Scenarios'!$B$7,1,0))</f>
        <v/>
      </c>
      <c r="H1092" s="57" t="str">
        <f aca="false">IF($D1092="","",INDEX(BookRate,1087)*(1+'5. Scenarios'!$B$10)*(INDEX(BookQ1,1087)*(5-MIN(4,1+'5. Scenarios'!$B$8))/4+INDEX(BookQ2,1087)*(5-MIN(4,2+'5. Scenarios'!$B$8))/4+INDEX(BookQ3,1087)*(5-MIN(4,3+'5. Scenarios'!$B$8))/4+INDEX(BookQ4,1087)*(5-MIN(4,4+'5. Scenarios'!$B$8))/4)*'5. Scenarios'!$B$6/(1+ProductivityDefault*('5. Scenarios'!$B$11-1))+INDEX(BookOneOff,1087)*$D1092)</f>
        <v/>
      </c>
      <c r="I1092" s="56" t="str">
        <f aca="false">IF(INDEX(BookTitle,1087)="","",INDEX(BookTotal,1087)*'5. Scenarios'!$C$6/(1+ProductivityDefault*('5. Scenarios'!$C$11-1)))</f>
        <v/>
      </c>
      <c r="J1092" s="57" t="str">
        <f aca="false">IF($I1092="","",INDEX(BookRate,1087)*(1+'5. Scenarios'!$C$10)*$I1092)</f>
        <v/>
      </c>
      <c r="K1092" s="57" t="str">
        <f aca="false">IF($J1092="","",SUMIFS($J$6:$J$2405,$A$6:$A$2405,"&lt;="&amp;$A1092))</f>
        <v/>
      </c>
      <c r="L1092" s="57" t="str">
        <f aca="false">IF($J1092="","",IF($K1092&lt;=BankCostEnvelope*'5. Scenarios'!$C$7,1,0))</f>
        <v/>
      </c>
      <c r="M1092" s="57" t="str">
        <f aca="false">IF($I1092="","",INDEX(BookRate,1087)*(1+'5. Scenarios'!$C$10)*(INDEX(BookQ1,1087)*(5-MIN(4,1+'5. Scenarios'!$C$8))/4+INDEX(BookQ2,1087)*(5-MIN(4,2+'5. Scenarios'!$C$8))/4+INDEX(BookQ3,1087)*(5-MIN(4,3+'5. Scenarios'!$C$8))/4+INDEX(BookQ4,1087)*(5-MIN(4,4+'5. Scenarios'!$C$8))/4)*'5. Scenarios'!$C$6/(1+ProductivityDefault*('5. Scenarios'!$C$11-1))+INDEX(BookOneOff,1087)*$I1092)</f>
        <v/>
      </c>
      <c r="N1092" s="56" t="str">
        <f aca="false">IF(INDEX(BookTitle,1087)="","",INDEX(BookTotal,1087)*'5. Scenarios'!$D$6/(1+ProductivityDefault*('5. Scenarios'!$D$11-1)))</f>
        <v/>
      </c>
      <c r="O1092" s="57" t="str">
        <f aca="false">IF($N1092="","",INDEX(BookRate,1087)*(1+'5. Scenarios'!$D$10)*$N1092)</f>
        <v/>
      </c>
      <c r="P1092" s="57" t="str">
        <f aca="false">IF($O1092="","",SUMIFS($O$6:$O$2405,$A$6:$A$2405,"&lt;="&amp;$A1092))</f>
        <v/>
      </c>
      <c r="Q1092" s="57" t="str">
        <f aca="false">IF($O1092="","",IF($P1092&lt;=BankCostEnvelope*'5. Scenarios'!$D$7,1,0))</f>
        <v/>
      </c>
      <c r="R1092" s="57" t="str">
        <f aca="false">IF($N1092="","",INDEX(BookRate,1087)*(1+'5. Scenarios'!$D$10)*(INDEX(BookQ1,1087)*(5-MIN(4,1+'5. Scenarios'!$D$8))/4+INDEX(BookQ2,1087)*(5-MIN(4,2+'5. Scenarios'!$D$8))/4+INDEX(BookQ3,1087)*(5-MIN(4,3+'5. Scenarios'!$D$8))/4+INDEX(BookQ4,1087)*(5-MIN(4,4+'5. Scenarios'!$D$8))/4)*'5. Scenarios'!$D$6/(1+ProductivityDefault*('5. Scenarios'!$D$11-1))+INDEX(BookOneOff,1087)*$N1092)</f>
        <v/>
      </c>
      <c r="S1092" s="56" t="str">
        <f aca="false">IF(INDEX(BookTitle,1087)="","",INDEX(BookTotal,1087)*'5. Scenarios'!$E$6/(1+ProductivityDefault*('5. Scenarios'!$E$11-1)))</f>
        <v/>
      </c>
      <c r="T1092" s="57" t="str">
        <f aca="false">IF($S1092="","",INDEX(BookRate,1087)*(1+'5. Scenarios'!$E$10)*$S1092)</f>
        <v/>
      </c>
      <c r="U1092" s="57" t="str">
        <f aca="false">IF($T1092="","",SUMIFS($T$6:$T$2405,$A$6:$A$2405,"&lt;="&amp;$A1092))</f>
        <v/>
      </c>
      <c r="V1092" s="57" t="str">
        <f aca="false">IF($T1092="","",IF($U1092&lt;=BankCostEnvelope*'5. Scenarios'!$E$7,1,0))</f>
        <v/>
      </c>
      <c r="W1092" s="57" t="str">
        <f aca="false">IF($S1092="","",INDEX(BookRate,1087)*(1+'5. Scenarios'!$E$10)*(INDEX(BookQ1,1087)*(5-MIN(4,1+'5. Scenarios'!$E$8))/4+INDEX(BookQ2,1087)*(5-MIN(4,2+'5. Scenarios'!$E$8))/4+INDEX(BookQ3,1087)*(5-MIN(4,3+'5. Scenarios'!$E$8))/4+INDEX(BookQ4,1087)*(5-MIN(4,4+'5. Scenarios'!$E$8))/4)*'5. Scenarios'!$E$6/(1+ProductivityDefault*('5. Scenarios'!$E$11-1))+INDEX(BookOneOff,1087)*$S1092)</f>
        <v/>
      </c>
    </row>
    <row r="1093" customFormat="false" ht="15" hidden="false" customHeight="false" outlineLevel="0" collapsed="false">
      <c r="A1093" s="0" t="str">
        <f aca="false">IF(INDEX(BookTitle,1088)="","",INDEX(BookKey,1088))</f>
        <v/>
      </c>
      <c r="B1093" s="0" t="str">
        <f aca="false">IF(INDEX(BookTitle,1088)="","",INDEX(BookGroup,1088))</f>
        <v/>
      </c>
      <c r="C1093" s="0" t="str">
        <f aca="false">IF(INDEX(BookTitle,1088)="","",INDEX(BookCategory,1088))</f>
        <v/>
      </c>
      <c r="D1093" s="56" t="str">
        <f aca="false">IF(INDEX(BookTitle,1088)="","",INDEX(BookTotal,1088)*'5. Scenarios'!$B$6/(1+ProductivityDefault*('5. Scenarios'!$B$11-1)))</f>
        <v/>
      </c>
      <c r="E1093" s="57" t="str">
        <f aca="false">IF($D1093="","",INDEX(BookRate,1088)*(1+'5. Scenarios'!$B$10)*$D1093)</f>
        <v/>
      </c>
      <c r="F1093" s="57" t="str">
        <f aca="false">IF($E1093="","",SUMIFS($E$6:$E$2405,$A$6:$A$2405,"&lt;="&amp;$A1093))</f>
        <v/>
      </c>
      <c r="G1093" s="57" t="str">
        <f aca="false">IF($E1093="","",IF($F1093&lt;=BankCostEnvelope*'5. Scenarios'!$B$7,1,0))</f>
        <v/>
      </c>
      <c r="H1093" s="57" t="str">
        <f aca="false">IF($D1093="","",INDEX(BookRate,1088)*(1+'5. Scenarios'!$B$10)*(INDEX(BookQ1,1088)*(5-MIN(4,1+'5. Scenarios'!$B$8))/4+INDEX(BookQ2,1088)*(5-MIN(4,2+'5. Scenarios'!$B$8))/4+INDEX(BookQ3,1088)*(5-MIN(4,3+'5. Scenarios'!$B$8))/4+INDEX(BookQ4,1088)*(5-MIN(4,4+'5. Scenarios'!$B$8))/4)*'5. Scenarios'!$B$6/(1+ProductivityDefault*('5. Scenarios'!$B$11-1))+INDEX(BookOneOff,1088)*$D1093)</f>
        <v/>
      </c>
      <c r="I1093" s="56" t="str">
        <f aca="false">IF(INDEX(BookTitle,1088)="","",INDEX(BookTotal,1088)*'5. Scenarios'!$C$6/(1+ProductivityDefault*('5. Scenarios'!$C$11-1)))</f>
        <v/>
      </c>
      <c r="J1093" s="57" t="str">
        <f aca="false">IF($I1093="","",INDEX(BookRate,1088)*(1+'5. Scenarios'!$C$10)*$I1093)</f>
        <v/>
      </c>
      <c r="K1093" s="57" t="str">
        <f aca="false">IF($J1093="","",SUMIFS($J$6:$J$2405,$A$6:$A$2405,"&lt;="&amp;$A1093))</f>
        <v/>
      </c>
      <c r="L1093" s="57" t="str">
        <f aca="false">IF($J1093="","",IF($K1093&lt;=BankCostEnvelope*'5. Scenarios'!$C$7,1,0))</f>
        <v/>
      </c>
      <c r="M1093" s="57" t="str">
        <f aca="false">IF($I1093="","",INDEX(BookRate,1088)*(1+'5. Scenarios'!$C$10)*(INDEX(BookQ1,1088)*(5-MIN(4,1+'5. Scenarios'!$C$8))/4+INDEX(BookQ2,1088)*(5-MIN(4,2+'5. Scenarios'!$C$8))/4+INDEX(BookQ3,1088)*(5-MIN(4,3+'5. Scenarios'!$C$8))/4+INDEX(BookQ4,1088)*(5-MIN(4,4+'5. Scenarios'!$C$8))/4)*'5. Scenarios'!$C$6/(1+ProductivityDefault*('5. Scenarios'!$C$11-1))+INDEX(BookOneOff,1088)*$I1093)</f>
        <v/>
      </c>
      <c r="N1093" s="56" t="str">
        <f aca="false">IF(INDEX(BookTitle,1088)="","",INDEX(BookTotal,1088)*'5. Scenarios'!$D$6/(1+ProductivityDefault*('5. Scenarios'!$D$11-1)))</f>
        <v/>
      </c>
      <c r="O1093" s="57" t="str">
        <f aca="false">IF($N1093="","",INDEX(BookRate,1088)*(1+'5. Scenarios'!$D$10)*$N1093)</f>
        <v/>
      </c>
      <c r="P1093" s="57" t="str">
        <f aca="false">IF($O1093="","",SUMIFS($O$6:$O$2405,$A$6:$A$2405,"&lt;="&amp;$A1093))</f>
        <v/>
      </c>
      <c r="Q1093" s="57" t="str">
        <f aca="false">IF($O1093="","",IF($P1093&lt;=BankCostEnvelope*'5. Scenarios'!$D$7,1,0))</f>
        <v/>
      </c>
      <c r="R1093" s="57" t="str">
        <f aca="false">IF($N1093="","",INDEX(BookRate,1088)*(1+'5. Scenarios'!$D$10)*(INDEX(BookQ1,1088)*(5-MIN(4,1+'5. Scenarios'!$D$8))/4+INDEX(BookQ2,1088)*(5-MIN(4,2+'5. Scenarios'!$D$8))/4+INDEX(BookQ3,1088)*(5-MIN(4,3+'5. Scenarios'!$D$8))/4+INDEX(BookQ4,1088)*(5-MIN(4,4+'5. Scenarios'!$D$8))/4)*'5. Scenarios'!$D$6/(1+ProductivityDefault*('5. Scenarios'!$D$11-1))+INDEX(BookOneOff,1088)*$N1093)</f>
        <v/>
      </c>
      <c r="S1093" s="56" t="str">
        <f aca="false">IF(INDEX(BookTitle,1088)="","",INDEX(BookTotal,1088)*'5. Scenarios'!$E$6/(1+ProductivityDefault*('5. Scenarios'!$E$11-1)))</f>
        <v/>
      </c>
      <c r="T1093" s="57" t="str">
        <f aca="false">IF($S1093="","",INDEX(BookRate,1088)*(1+'5. Scenarios'!$E$10)*$S1093)</f>
        <v/>
      </c>
      <c r="U1093" s="57" t="str">
        <f aca="false">IF($T1093="","",SUMIFS($T$6:$T$2405,$A$6:$A$2405,"&lt;="&amp;$A1093))</f>
        <v/>
      </c>
      <c r="V1093" s="57" t="str">
        <f aca="false">IF($T1093="","",IF($U1093&lt;=BankCostEnvelope*'5. Scenarios'!$E$7,1,0))</f>
        <v/>
      </c>
      <c r="W1093" s="57" t="str">
        <f aca="false">IF($S1093="","",INDEX(BookRate,1088)*(1+'5. Scenarios'!$E$10)*(INDEX(BookQ1,1088)*(5-MIN(4,1+'5. Scenarios'!$E$8))/4+INDEX(BookQ2,1088)*(5-MIN(4,2+'5. Scenarios'!$E$8))/4+INDEX(BookQ3,1088)*(5-MIN(4,3+'5. Scenarios'!$E$8))/4+INDEX(BookQ4,1088)*(5-MIN(4,4+'5. Scenarios'!$E$8))/4)*'5. Scenarios'!$E$6/(1+ProductivityDefault*('5. Scenarios'!$E$11-1))+INDEX(BookOneOff,1088)*$S1093)</f>
        <v/>
      </c>
    </row>
    <row r="1094" customFormat="false" ht="15" hidden="false" customHeight="false" outlineLevel="0" collapsed="false">
      <c r="A1094" s="0" t="str">
        <f aca="false">IF(INDEX(BookTitle,1089)="","",INDEX(BookKey,1089))</f>
        <v/>
      </c>
      <c r="B1094" s="0" t="str">
        <f aca="false">IF(INDEX(BookTitle,1089)="","",INDEX(BookGroup,1089))</f>
        <v/>
      </c>
      <c r="C1094" s="0" t="str">
        <f aca="false">IF(INDEX(BookTitle,1089)="","",INDEX(BookCategory,1089))</f>
        <v/>
      </c>
      <c r="D1094" s="56" t="str">
        <f aca="false">IF(INDEX(BookTitle,1089)="","",INDEX(BookTotal,1089)*'5. Scenarios'!$B$6/(1+ProductivityDefault*('5. Scenarios'!$B$11-1)))</f>
        <v/>
      </c>
      <c r="E1094" s="57" t="str">
        <f aca="false">IF($D1094="","",INDEX(BookRate,1089)*(1+'5. Scenarios'!$B$10)*$D1094)</f>
        <v/>
      </c>
      <c r="F1094" s="57" t="str">
        <f aca="false">IF($E1094="","",SUMIFS($E$6:$E$2405,$A$6:$A$2405,"&lt;="&amp;$A1094))</f>
        <v/>
      </c>
      <c r="G1094" s="57" t="str">
        <f aca="false">IF($E1094="","",IF($F1094&lt;=BankCostEnvelope*'5. Scenarios'!$B$7,1,0))</f>
        <v/>
      </c>
      <c r="H1094" s="57" t="str">
        <f aca="false">IF($D1094="","",INDEX(BookRate,1089)*(1+'5. Scenarios'!$B$10)*(INDEX(BookQ1,1089)*(5-MIN(4,1+'5. Scenarios'!$B$8))/4+INDEX(BookQ2,1089)*(5-MIN(4,2+'5. Scenarios'!$B$8))/4+INDEX(BookQ3,1089)*(5-MIN(4,3+'5. Scenarios'!$B$8))/4+INDEX(BookQ4,1089)*(5-MIN(4,4+'5. Scenarios'!$B$8))/4)*'5. Scenarios'!$B$6/(1+ProductivityDefault*('5. Scenarios'!$B$11-1))+INDEX(BookOneOff,1089)*$D1094)</f>
        <v/>
      </c>
      <c r="I1094" s="56" t="str">
        <f aca="false">IF(INDEX(BookTitle,1089)="","",INDEX(BookTotal,1089)*'5. Scenarios'!$C$6/(1+ProductivityDefault*('5. Scenarios'!$C$11-1)))</f>
        <v/>
      </c>
      <c r="J1094" s="57" t="str">
        <f aca="false">IF($I1094="","",INDEX(BookRate,1089)*(1+'5. Scenarios'!$C$10)*$I1094)</f>
        <v/>
      </c>
      <c r="K1094" s="57" t="str">
        <f aca="false">IF($J1094="","",SUMIFS($J$6:$J$2405,$A$6:$A$2405,"&lt;="&amp;$A1094))</f>
        <v/>
      </c>
      <c r="L1094" s="57" t="str">
        <f aca="false">IF($J1094="","",IF($K1094&lt;=BankCostEnvelope*'5. Scenarios'!$C$7,1,0))</f>
        <v/>
      </c>
      <c r="M1094" s="57" t="str">
        <f aca="false">IF($I1094="","",INDEX(BookRate,1089)*(1+'5. Scenarios'!$C$10)*(INDEX(BookQ1,1089)*(5-MIN(4,1+'5. Scenarios'!$C$8))/4+INDEX(BookQ2,1089)*(5-MIN(4,2+'5. Scenarios'!$C$8))/4+INDEX(BookQ3,1089)*(5-MIN(4,3+'5. Scenarios'!$C$8))/4+INDEX(BookQ4,1089)*(5-MIN(4,4+'5. Scenarios'!$C$8))/4)*'5. Scenarios'!$C$6/(1+ProductivityDefault*('5. Scenarios'!$C$11-1))+INDEX(BookOneOff,1089)*$I1094)</f>
        <v/>
      </c>
      <c r="N1094" s="56" t="str">
        <f aca="false">IF(INDEX(BookTitle,1089)="","",INDEX(BookTotal,1089)*'5. Scenarios'!$D$6/(1+ProductivityDefault*('5. Scenarios'!$D$11-1)))</f>
        <v/>
      </c>
      <c r="O1094" s="57" t="str">
        <f aca="false">IF($N1094="","",INDEX(BookRate,1089)*(1+'5. Scenarios'!$D$10)*$N1094)</f>
        <v/>
      </c>
      <c r="P1094" s="57" t="str">
        <f aca="false">IF($O1094="","",SUMIFS($O$6:$O$2405,$A$6:$A$2405,"&lt;="&amp;$A1094))</f>
        <v/>
      </c>
      <c r="Q1094" s="57" t="str">
        <f aca="false">IF($O1094="","",IF($P1094&lt;=BankCostEnvelope*'5. Scenarios'!$D$7,1,0))</f>
        <v/>
      </c>
      <c r="R1094" s="57" t="str">
        <f aca="false">IF($N1094="","",INDEX(BookRate,1089)*(1+'5. Scenarios'!$D$10)*(INDEX(BookQ1,1089)*(5-MIN(4,1+'5. Scenarios'!$D$8))/4+INDEX(BookQ2,1089)*(5-MIN(4,2+'5. Scenarios'!$D$8))/4+INDEX(BookQ3,1089)*(5-MIN(4,3+'5. Scenarios'!$D$8))/4+INDEX(BookQ4,1089)*(5-MIN(4,4+'5. Scenarios'!$D$8))/4)*'5. Scenarios'!$D$6/(1+ProductivityDefault*('5. Scenarios'!$D$11-1))+INDEX(BookOneOff,1089)*$N1094)</f>
        <v/>
      </c>
      <c r="S1094" s="56" t="str">
        <f aca="false">IF(INDEX(BookTitle,1089)="","",INDEX(BookTotal,1089)*'5. Scenarios'!$E$6/(1+ProductivityDefault*('5. Scenarios'!$E$11-1)))</f>
        <v/>
      </c>
      <c r="T1094" s="57" t="str">
        <f aca="false">IF($S1094="","",INDEX(BookRate,1089)*(1+'5. Scenarios'!$E$10)*$S1094)</f>
        <v/>
      </c>
      <c r="U1094" s="57" t="str">
        <f aca="false">IF($T1094="","",SUMIFS($T$6:$T$2405,$A$6:$A$2405,"&lt;="&amp;$A1094))</f>
        <v/>
      </c>
      <c r="V1094" s="57" t="str">
        <f aca="false">IF($T1094="","",IF($U1094&lt;=BankCostEnvelope*'5. Scenarios'!$E$7,1,0))</f>
        <v/>
      </c>
      <c r="W1094" s="57" t="str">
        <f aca="false">IF($S1094="","",INDEX(BookRate,1089)*(1+'5. Scenarios'!$E$10)*(INDEX(BookQ1,1089)*(5-MIN(4,1+'5. Scenarios'!$E$8))/4+INDEX(BookQ2,1089)*(5-MIN(4,2+'5. Scenarios'!$E$8))/4+INDEX(BookQ3,1089)*(5-MIN(4,3+'5. Scenarios'!$E$8))/4+INDEX(BookQ4,1089)*(5-MIN(4,4+'5. Scenarios'!$E$8))/4)*'5. Scenarios'!$E$6/(1+ProductivityDefault*('5. Scenarios'!$E$11-1))+INDEX(BookOneOff,1089)*$S1094)</f>
        <v/>
      </c>
    </row>
    <row r="1095" customFormat="false" ht="15" hidden="false" customHeight="false" outlineLevel="0" collapsed="false">
      <c r="A1095" s="0" t="str">
        <f aca="false">IF(INDEX(BookTitle,1090)="","",INDEX(BookKey,1090))</f>
        <v/>
      </c>
      <c r="B1095" s="0" t="str">
        <f aca="false">IF(INDEX(BookTitle,1090)="","",INDEX(BookGroup,1090))</f>
        <v/>
      </c>
      <c r="C1095" s="0" t="str">
        <f aca="false">IF(INDEX(BookTitle,1090)="","",INDEX(BookCategory,1090))</f>
        <v/>
      </c>
      <c r="D1095" s="56" t="str">
        <f aca="false">IF(INDEX(BookTitle,1090)="","",INDEX(BookTotal,1090)*'5. Scenarios'!$B$6/(1+ProductivityDefault*('5. Scenarios'!$B$11-1)))</f>
        <v/>
      </c>
      <c r="E1095" s="57" t="str">
        <f aca="false">IF($D1095="","",INDEX(BookRate,1090)*(1+'5. Scenarios'!$B$10)*$D1095)</f>
        <v/>
      </c>
      <c r="F1095" s="57" t="str">
        <f aca="false">IF($E1095="","",SUMIFS($E$6:$E$2405,$A$6:$A$2405,"&lt;="&amp;$A1095))</f>
        <v/>
      </c>
      <c r="G1095" s="57" t="str">
        <f aca="false">IF($E1095="","",IF($F1095&lt;=BankCostEnvelope*'5. Scenarios'!$B$7,1,0))</f>
        <v/>
      </c>
      <c r="H1095" s="57" t="str">
        <f aca="false">IF($D1095="","",INDEX(BookRate,1090)*(1+'5. Scenarios'!$B$10)*(INDEX(BookQ1,1090)*(5-MIN(4,1+'5. Scenarios'!$B$8))/4+INDEX(BookQ2,1090)*(5-MIN(4,2+'5. Scenarios'!$B$8))/4+INDEX(BookQ3,1090)*(5-MIN(4,3+'5. Scenarios'!$B$8))/4+INDEX(BookQ4,1090)*(5-MIN(4,4+'5. Scenarios'!$B$8))/4)*'5. Scenarios'!$B$6/(1+ProductivityDefault*('5. Scenarios'!$B$11-1))+INDEX(BookOneOff,1090)*$D1095)</f>
        <v/>
      </c>
      <c r="I1095" s="56" t="str">
        <f aca="false">IF(INDEX(BookTitle,1090)="","",INDEX(BookTotal,1090)*'5. Scenarios'!$C$6/(1+ProductivityDefault*('5. Scenarios'!$C$11-1)))</f>
        <v/>
      </c>
      <c r="J1095" s="57" t="str">
        <f aca="false">IF($I1095="","",INDEX(BookRate,1090)*(1+'5. Scenarios'!$C$10)*$I1095)</f>
        <v/>
      </c>
      <c r="K1095" s="57" t="str">
        <f aca="false">IF($J1095="","",SUMIFS($J$6:$J$2405,$A$6:$A$2405,"&lt;="&amp;$A1095))</f>
        <v/>
      </c>
      <c r="L1095" s="57" t="str">
        <f aca="false">IF($J1095="","",IF($K1095&lt;=BankCostEnvelope*'5. Scenarios'!$C$7,1,0))</f>
        <v/>
      </c>
      <c r="M1095" s="57" t="str">
        <f aca="false">IF($I1095="","",INDEX(BookRate,1090)*(1+'5. Scenarios'!$C$10)*(INDEX(BookQ1,1090)*(5-MIN(4,1+'5. Scenarios'!$C$8))/4+INDEX(BookQ2,1090)*(5-MIN(4,2+'5. Scenarios'!$C$8))/4+INDEX(BookQ3,1090)*(5-MIN(4,3+'5. Scenarios'!$C$8))/4+INDEX(BookQ4,1090)*(5-MIN(4,4+'5. Scenarios'!$C$8))/4)*'5. Scenarios'!$C$6/(1+ProductivityDefault*('5. Scenarios'!$C$11-1))+INDEX(BookOneOff,1090)*$I1095)</f>
        <v/>
      </c>
      <c r="N1095" s="56" t="str">
        <f aca="false">IF(INDEX(BookTitle,1090)="","",INDEX(BookTotal,1090)*'5. Scenarios'!$D$6/(1+ProductivityDefault*('5. Scenarios'!$D$11-1)))</f>
        <v/>
      </c>
      <c r="O1095" s="57" t="str">
        <f aca="false">IF($N1095="","",INDEX(BookRate,1090)*(1+'5. Scenarios'!$D$10)*$N1095)</f>
        <v/>
      </c>
      <c r="P1095" s="57" t="str">
        <f aca="false">IF($O1095="","",SUMIFS($O$6:$O$2405,$A$6:$A$2405,"&lt;="&amp;$A1095))</f>
        <v/>
      </c>
      <c r="Q1095" s="57" t="str">
        <f aca="false">IF($O1095="","",IF($P1095&lt;=BankCostEnvelope*'5. Scenarios'!$D$7,1,0))</f>
        <v/>
      </c>
      <c r="R1095" s="57" t="str">
        <f aca="false">IF($N1095="","",INDEX(BookRate,1090)*(1+'5. Scenarios'!$D$10)*(INDEX(BookQ1,1090)*(5-MIN(4,1+'5. Scenarios'!$D$8))/4+INDEX(BookQ2,1090)*(5-MIN(4,2+'5. Scenarios'!$D$8))/4+INDEX(BookQ3,1090)*(5-MIN(4,3+'5. Scenarios'!$D$8))/4+INDEX(BookQ4,1090)*(5-MIN(4,4+'5. Scenarios'!$D$8))/4)*'5. Scenarios'!$D$6/(1+ProductivityDefault*('5. Scenarios'!$D$11-1))+INDEX(BookOneOff,1090)*$N1095)</f>
        <v/>
      </c>
      <c r="S1095" s="56" t="str">
        <f aca="false">IF(INDEX(BookTitle,1090)="","",INDEX(BookTotal,1090)*'5. Scenarios'!$E$6/(1+ProductivityDefault*('5. Scenarios'!$E$11-1)))</f>
        <v/>
      </c>
      <c r="T1095" s="57" t="str">
        <f aca="false">IF($S1095="","",INDEX(BookRate,1090)*(1+'5. Scenarios'!$E$10)*$S1095)</f>
        <v/>
      </c>
      <c r="U1095" s="57" t="str">
        <f aca="false">IF($T1095="","",SUMIFS($T$6:$T$2405,$A$6:$A$2405,"&lt;="&amp;$A1095))</f>
        <v/>
      </c>
      <c r="V1095" s="57" t="str">
        <f aca="false">IF($T1095="","",IF($U1095&lt;=BankCostEnvelope*'5. Scenarios'!$E$7,1,0))</f>
        <v/>
      </c>
      <c r="W1095" s="57" t="str">
        <f aca="false">IF($S1095="","",INDEX(BookRate,1090)*(1+'5. Scenarios'!$E$10)*(INDEX(BookQ1,1090)*(5-MIN(4,1+'5. Scenarios'!$E$8))/4+INDEX(BookQ2,1090)*(5-MIN(4,2+'5. Scenarios'!$E$8))/4+INDEX(BookQ3,1090)*(5-MIN(4,3+'5. Scenarios'!$E$8))/4+INDEX(BookQ4,1090)*(5-MIN(4,4+'5. Scenarios'!$E$8))/4)*'5. Scenarios'!$E$6/(1+ProductivityDefault*('5. Scenarios'!$E$11-1))+INDEX(BookOneOff,1090)*$S1095)</f>
        <v/>
      </c>
    </row>
    <row r="1096" customFormat="false" ht="15" hidden="false" customHeight="false" outlineLevel="0" collapsed="false">
      <c r="A1096" s="0" t="str">
        <f aca="false">IF(INDEX(BookTitle,1091)="","",INDEX(BookKey,1091))</f>
        <v/>
      </c>
      <c r="B1096" s="0" t="str">
        <f aca="false">IF(INDEX(BookTitle,1091)="","",INDEX(BookGroup,1091))</f>
        <v/>
      </c>
      <c r="C1096" s="0" t="str">
        <f aca="false">IF(INDEX(BookTitle,1091)="","",INDEX(BookCategory,1091))</f>
        <v/>
      </c>
      <c r="D1096" s="56" t="str">
        <f aca="false">IF(INDEX(BookTitle,1091)="","",INDEX(BookTotal,1091)*'5. Scenarios'!$B$6/(1+ProductivityDefault*('5. Scenarios'!$B$11-1)))</f>
        <v/>
      </c>
      <c r="E1096" s="57" t="str">
        <f aca="false">IF($D1096="","",INDEX(BookRate,1091)*(1+'5. Scenarios'!$B$10)*$D1096)</f>
        <v/>
      </c>
      <c r="F1096" s="57" t="str">
        <f aca="false">IF($E1096="","",SUMIFS($E$6:$E$2405,$A$6:$A$2405,"&lt;="&amp;$A1096))</f>
        <v/>
      </c>
      <c r="G1096" s="57" t="str">
        <f aca="false">IF($E1096="","",IF($F1096&lt;=BankCostEnvelope*'5. Scenarios'!$B$7,1,0))</f>
        <v/>
      </c>
      <c r="H1096" s="57" t="str">
        <f aca="false">IF($D1096="","",INDEX(BookRate,1091)*(1+'5. Scenarios'!$B$10)*(INDEX(BookQ1,1091)*(5-MIN(4,1+'5. Scenarios'!$B$8))/4+INDEX(BookQ2,1091)*(5-MIN(4,2+'5. Scenarios'!$B$8))/4+INDEX(BookQ3,1091)*(5-MIN(4,3+'5. Scenarios'!$B$8))/4+INDEX(BookQ4,1091)*(5-MIN(4,4+'5. Scenarios'!$B$8))/4)*'5. Scenarios'!$B$6/(1+ProductivityDefault*('5. Scenarios'!$B$11-1))+INDEX(BookOneOff,1091)*$D1096)</f>
        <v/>
      </c>
      <c r="I1096" s="56" t="str">
        <f aca="false">IF(INDEX(BookTitle,1091)="","",INDEX(BookTotal,1091)*'5. Scenarios'!$C$6/(1+ProductivityDefault*('5. Scenarios'!$C$11-1)))</f>
        <v/>
      </c>
      <c r="J1096" s="57" t="str">
        <f aca="false">IF($I1096="","",INDEX(BookRate,1091)*(1+'5. Scenarios'!$C$10)*$I1096)</f>
        <v/>
      </c>
      <c r="K1096" s="57" t="str">
        <f aca="false">IF($J1096="","",SUMIFS($J$6:$J$2405,$A$6:$A$2405,"&lt;="&amp;$A1096))</f>
        <v/>
      </c>
      <c r="L1096" s="57" t="str">
        <f aca="false">IF($J1096="","",IF($K1096&lt;=BankCostEnvelope*'5. Scenarios'!$C$7,1,0))</f>
        <v/>
      </c>
      <c r="M1096" s="57" t="str">
        <f aca="false">IF($I1096="","",INDEX(BookRate,1091)*(1+'5. Scenarios'!$C$10)*(INDEX(BookQ1,1091)*(5-MIN(4,1+'5. Scenarios'!$C$8))/4+INDEX(BookQ2,1091)*(5-MIN(4,2+'5. Scenarios'!$C$8))/4+INDEX(BookQ3,1091)*(5-MIN(4,3+'5. Scenarios'!$C$8))/4+INDEX(BookQ4,1091)*(5-MIN(4,4+'5. Scenarios'!$C$8))/4)*'5. Scenarios'!$C$6/(1+ProductivityDefault*('5. Scenarios'!$C$11-1))+INDEX(BookOneOff,1091)*$I1096)</f>
        <v/>
      </c>
      <c r="N1096" s="56" t="str">
        <f aca="false">IF(INDEX(BookTitle,1091)="","",INDEX(BookTotal,1091)*'5. Scenarios'!$D$6/(1+ProductivityDefault*('5. Scenarios'!$D$11-1)))</f>
        <v/>
      </c>
      <c r="O1096" s="57" t="str">
        <f aca="false">IF($N1096="","",INDEX(BookRate,1091)*(1+'5. Scenarios'!$D$10)*$N1096)</f>
        <v/>
      </c>
      <c r="P1096" s="57" t="str">
        <f aca="false">IF($O1096="","",SUMIFS($O$6:$O$2405,$A$6:$A$2405,"&lt;="&amp;$A1096))</f>
        <v/>
      </c>
      <c r="Q1096" s="57" t="str">
        <f aca="false">IF($O1096="","",IF($P1096&lt;=BankCostEnvelope*'5. Scenarios'!$D$7,1,0))</f>
        <v/>
      </c>
      <c r="R1096" s="57" t="str">
        <f aca="false">IF($N1096="","",INDEX(BookRate,1091)*(1+'5. Scenarios'!$D$10)*(INDEX(BookQ1,1091)*(5-MIN(4,1+'5. Scenarios'!$D$8))/4+INDEX(BookQ2,1091)*(5-MIN(4,2+'5. Scenarios'!$D$8))/4+INDEX(BookQ3,1091)*(5-MIN(4,3+'5. Scenarios'!$D$8))/4+INDEX(BookQ4,1091)*(5-MIN(4,4+'5. Scenarios'!$D$8))/4)*'5. Scenarios'!$D$6/(1+ProductivityDefault*('5. Scenarios'!$D$11-1))+INDEX(BookOneOff,1091)*$N1096)</f>
        <v/>
      </c>
      <c r="S1096" s="56" t="str">
        <f aca="false">IF(INDEX(BookTitle,1091)="","",INDEX(BookTotal,1091)*'5. Scenarios'!$E$6/(1+ProductivityDefault*('5. Scenarios'!$E$11-1)))</f>
        <v/>
      </c>
      <c r="T1096" s="57" t="str">
        <f aca="false">IF($S1096="","",INDEX(BookRate,1091)*(1+'5. Scenarios'!$E$10)*$S1096)</f>
        <v/>
      </c>
      <c r="U1096" s="57" t="str">
        <f aca="false">IF($T1096="","",SUMIFS($T$6:$T$2405,$A$6:$A$2405,"&lt;="&amp;$A1096))</f>
        <v/>
      </c>
      <c r="V1096" s="57" t="str">
        <f aca="false">IF($T1096="","",IF($U1096&lt;=BankCostEnvelope*'5. Scenarios'!$E$7,1,0))</f>
        <v/>
      </c>
      <c r="W1096" s="57" t="str">
        <f aca="false">IF($S1096="","",INDEX(BookRate,1091)*(1+'5. Scenarios'!$E$10)*(INDEX(BookQ1,1091)*(5-MIN(4,1+'5. Scenarios'!$E$8))/4+INDEX(BookQ2,1091)*(5-MIN(4,2+'5. Scenarios'!$E$8))/4+INDEX(BookQ3,1091)*(5-MIN(4,3+'5. Scenarios'!$E$8))/4+INDEX(BookQ4,1091)*(5-MIN(4,4+'5. Scenarios'!$E$8))/4)*'5. Scenarios'!$E$6/(1+ProductivityDefault*('5. Scenarios'!$E$11-1))+INDEX(BookOneOff,1091)*$S1096)</f>
        <v/>
      </c>
    </row>
    <row r="1097" customFormat="false" ht="15" hidden="false" customHeight="false" outlineLevel="0" collapsed="false">
      <c r="A1097" s="0" t="str">
        <f aca="false">IF(INDEX(BookTitle,1092)="","",INDEX(BookKey,1092))</f>
        <v/>
      </c>
      <c r="B1097" s="0" t="str">
        <f aca="false">IF(INDEX(BookTitle,1092)="","",INDEX(BookGroup,1092))</f>
        <v/>
      </c>
      <c r="C1097" s="0" t="str">
        <f aca="false">IF(INDEX(BookTitle,1092)="","",INDEX(BookCategory,1092))</f>
        <v/>
      </c>
      <c r="D1097" s="56" t="str">
        <f aca="false">IF(INDEX(BookTitle,1092)="","",INDEX(BookTotal,1092)*'5. Scenarios'!$B$6/(1+ProductivityDefault*('5. Scenarios'!$B$11-1)))</f>
        <v/>
      </c>
      <c r="E1097" s="57" t="str">
        <f aca="false">IF($D1097="","",INDEX(BookRate,1092)*(1+'5. Scenarios'!$B$10)*$D1097)</f>
        <v/>
      </c>
      <c r="F1097" s="57" t="str">
        <f aca="false">IF($E1097="","",SUMIFS($E$6:$E$2405,$A$6:$A$2405,"&lt;="&amp;$A1097))</f>
        <v/>
      </c>
      <c r="G1097" s="57" t="str">
        <f aca="false">IF($E1097="","",IF($F1097&lt;=BankCostEnvelope*'5. Scenarios'!$B$7,1,0))</f>
        <v/>
      </c>
      <c r="H1097" s="57" t="str">
        <f aca="false">IF($D1097="","",INDEX(BookRate,1092)*(1+'5. Scenarios'!$B$10)*(INDEX(BookQ1,1092)*(5-MIN(4,1+'5. Scenarios'!$B$8))/4+INDEX(BookQ2,1092)*(5-MIN(4,2+'5. Scenarios'!$B$8))/4+INDEX(BookQ3,1092)*(5-MIN(4,3+'5. Scenarios'!$B$8))/4+INDEX(BookQ4,1092)*(5-MIN(4,4+'5. Scenarios'!$B$8))/4)*'5. Scenarios'!$B$6/(1+ProductivityDefault*('5. Scenarios'!$B$11-1))+INDEX(BookOneOff,1092)*$D1097)</f>
        <v/>
      </c>
      <c r="I1097" s="56" t="str">
        <f aca="false">IF(INDEX(BookTitle,1092)="","",INDEX(BookTotal,1092)*'5. Scenarios'!$C$6/(1+ProductivityDefault*('5. Scenarios'!$C$11-1)))</f>
        <v/>
      </c>
      <c r="J1097" s="57" t="str">
        <f aca="false">IF($I1097="","",INDEX(BookRate,1092)*(1+'5. Scenarios'!$C$10)*$I1097)</f>
        <v/>
      </c>
      <c r="K1097" s="57" t="str">
        <f aca="false">IF($J1097="","",SUMIFS($J$6:$J$2405,$A$6:$A$2405,"&lt;="&amp;$A1097))</f>
        <v/>
      </c>
      <c r="L1097" s="57" t="str">
        <f aca="false">IF($J1097="","",IF($K1097&lt;=BankCostEnvelope*'5. Scenarios'!$C$7,1,0))</f>
        <v/>
      </c>
      <c r="M1097" s="57" t="str">
        <f aca="false">IF($I1097="","",INDEX(BookRate,1092)*(1+'5. Scenarios'!$C$10)*(INDEX(BookQ1,1092)*(5-MIN(4,1+'5. Scenarios'!$C$8))/4+INDEX(BookQ2,1092)*(5-MIN(4,2+'5. Scenarios'!$C$8))/4+INDEX(BookQ3,1092)*(5-MIN(4,3+'5. Scenarios'!$C$8))/4+INDEX(BookQ4,1092)*(5-MIN(4,4+'5. Scenarios'!$C$8))/4)*'5. Scenarios'!$C$6/(1+ProductivityDefault*('5. Scenarios'!$C$11-1))+INDEX(BookOneOff,1092)*$I1097)</f>
        <v/>
      </c>
      <c r="N1097" s="56" t="str">
        <f aca="false">IF(INDEX(BookTitle,1092)="","",INDEX(BookTotal,1092)*'5. Scenarios'!$D$6/(1+ProductivityDefault*('5. Scenarios'!$D$11-1)))</f>
        <v/>
      </c>
      <c r="O1097" s="57" t="str">
        <f aca="false">IF($N1097="","",INDEX(BookRate,1092)*(1+'5. Scenarios'!$D$10)*$N1097)</f>
        <v/>
      </c>
      <c r="P1097" s="57" t="str">
        <f aca="false">IF($O1097="","",SUMIFS($O$6:$O$2405,$A$6:$A$2405,"&lt;="&amp;$A1097))</f>
        <v/>
      </c>
      <c r="Q1097" s="57" t="str">
        <f aca="false">IF($O1097="","",IF($P1097&lt;=BankCostEnvelope*'5. Scenarios'!$D$7,1,0))</f>
        <v/>
      </c>
      <c r="R1097" s="57" t="str">
        <f aca="false">IF($N1097="","",INDEX(BookRate,1092)*(1+'5. Scenarios'!$D$10)*(INDEX(BookQ1,1092)*(5-MIN(4,1+'5. Scenarios'!$D$8))/4+INDEX(BookQ2,1092)*(5-MIN(4,2+'5. Scenarios'!$D$8))/4+INDEX(BookQ3,1092)*(5-MIN(4,3+'5. Scenarios'!$D$8))/4+INDEX(BookQ4,1092)*(5-MIN(4,4+'5. Scenarios'!$D$8))/4)*'5. Scenarios'!$D$6/(1+ProductivityDefault*('5. Scenarios'!$D$11-1))+INDEX(BookOneOff,1092)*$N1097)</f>
        <v/>
      </c>
      <c r="S1097" s="56" t="str">
        <f aca="false">IF(INDEX(BookTitle,1092)="","",INDEX(BookTotal,1092)*'5. Scenarios'!$E$6/(1+ProductivityDefault*('5. Scenarios'!$E$11-1)))</f>
        <v/>
      </c>
      <c r="T1097" s="57" t="str">
        <f aca="false">IF($S1097="","",INDEX(BookRate,1092)*(1+'5. Scenarios'!$E$10)*$S1097)</f>
        <v/>
      </c>
      <c r="U1097" s="57" t="str">
        <f aca="false">IF($T1097="","",SUMIFS($T$6:$T$2405,$A$6:$A$2405,"&lt;="&amp;$A1097))</f>
        <v/>
      </c>
      <c r="V1097" s="57" t="str">
        <f aca="false">IF($T1097="","",IF($U1097&lt;=BankCostEnvelope*'5. Scenarios'!$E$7,1,0))</f>
        <v/>
      </c>
      <c r="W1097" s="57" t="str">
        <f aca="false">IF($S1097="","",INDEX(BookRate,1092)*(1+'5. Scenarios'!$E$10)*(INDEX(BookQ1,1092)*(5-MIN(4,1+'5. Scenarios'!$E$8))/4+INDEX(BookQ2,1092)*(5-MIN(4,2+'5. Scenarios'!$E$8))/4+INDEX(BookQ3,1092)*(5-MIN(4,3+'5. Scenarios'!$E$8))/4+INDEX(BookQ4,1092)*(5-MIN(4,4+'5. Scenarios'!$E$8))/4)*'5. Scenarios'!$E$6/(1+ProductivityDefault*('5. Scenarios'!$E$11-1))+INDEX(BookOneOff,1092)*$S1097)</f>
        <v/>
      </c>
    </row>
    <row r="1098" customFormat="false" ht="15" hidden="false" customHeight="false" outlineLevel="0" collapsed="false">
      <c r="A1098" s="0" t="str">
        <f aca="false">IF(INDEX(BookTitle,1093)="","",INDEX(BookKey,1093))</f>
        <v/>
      </c>
      <c r="B1098" s="0" t="str">
        <f aca="false">IF(INDEX(BookTitle,1093)="","",INDEX(BookGroup,1093))</f>
        <v/>
      </c>
      <c r="C1098" s="0" t="str">
        <f aca="false">IF(INDEX(BookTitle,1093)="","",INDEX(BookCategory,1093))</f>
        <v/>
      </c>
      <c r="D1098" s="56" t="str">
        <f aca="false">IF(INDEX(BookTitle,1093)="","",INDEX(BookTotal,1093)*'5. Scenarios'!$B$6/(1+ProductivityDefault*('5. Scenarios'!$B$11-1)))</f>
        <v/>
      </c>
      <c r="E1098" s="57" t="str">
        <f aca="false">IF($D1098="","",INDEX(BookRate,1093)*(1+'5. Scenarios'!$B$10)*$D1098)</f>
        <v/>
      </c>
      <c r="F1098" s="57" t="str">
        <f aca="false">IF($E1098="","",SUMIFS($E$6:$E$2405,$A$6:$A$2405,"&lt;="&amp;$A1098))</f>
        <v/>
      </c>
      <c r="G1098" s="57" t="str">
        <f aca="false">IF($E1098="","",IF($F1098&lt;=BankCostEnvelope*'5. Scenarios'!$B$7,1,0))</f>
        <v/>
      </c>
      <c r="H1098" s="57" t="str">
        <f aca="false">IF($D1098="","",INDEX(BookRate,1093)*(1+'5. Scenarios'!$B$10)*(INDEX(BookQ1,1093)*(5-MIN(4,1+'5. Scenarios'!$B$8))/4+INDEX(BookQ2,1093)*(5-MIN(4,2+'5. Scenarios'!$B$8))/4+INDEX(BookQ3,1093)*(5-MIN(4,3+'5. Scenarios'!$B$8))/4+INDEX(BookQ4,1093)*(5-MIN(4,4+'5. Scenarios'!$B$8))/4)*'5. Scenarios'!$B$6/(1+ProductivityDefault*('5. Scenarios'!$B$11-1))+INDEX(BookOneOff,1093)*$D1098)</f>
        <v/>
      </c>
      <c r="I1098" s="56" t="str">
        <f aca="false">IF(INDEX(BookTitle,1093)="","",INDEX(BookTotal,1093)*'5. Scenarios'!$C$6/(1+ProductivityDefault*('5. Scenarios'!$C$11-1)))</f>
        <v/>
      </c>
      <c r="J1098" s="57" t="str">
        <f aca="false">IF($I1098="","",INDEX(BookRate,1093)*(1+'5. Scenarios'!$C$10)*$I1098)</f>
        <v/>
      </c>
      <c r="K1098" s="57" t="str">
        <f aca="false">IF($J1098="","",SUMIFS($J$6:$J$2405,$A$6:$A$2405,"&lt;="&amp;$A1098))</f>
        <v/>
      </c>
      <c r="L1098" s="57" t="str">
        <f aca="false">IF($J1098="","",IF($K1098&lt;=BankCostEnvelope*'5. Scenarios'!$C$7,1,0))</f>
        <v/>
      </c>
      <c r="M1098" s="57" t="str">
        <f aca="false">IF($I1098="","",INDEX(BookRate,1093)*(1+'5. Scenarios'!$C$10)*(INDEX(BookQ1,1093)*(5-MIN(4,1+'5. Scenarios'!$C$8))/4+INDEX(BookQ2,1093)*(5-MIN(4,2+'5. Scenarios'!$C$8))/4+INDEX(BookQ3,1093)*(5-MIN(4,3+'5. Scenarios'!$C$8))/4+INDEX(BookQ4,1093)*(5-MIN(4,4+'5. Scenarios'!$C$8))/4)*'5. Scenarios'!$C$6/(1+ProductivityDefault*('5. Scenarios'!$C$11-1))+INDEX(BookOneOff,1093)*$I1098)</f>
        <v/>
      </c>
      <c r="N1098" s="56" t="str">
        <f aca="false">IF(INDEX(BookTitle,1093)="","",INDEX(BookTotal,1093)*'5. Scenarios'!$D$6/(1+ProductivityDefault*('5. Scenarios'!$D$11-1)))</f>
        <v/>
      </c>
      <c r="O1098" s="57" t="str">
        <f aca="false">IF($N1098="","",INDEX(BookRate,1093)*(1+'5. Scenarios'!$D$10)*$N1098)</f>
        <v/>
      </c>
      <c r="P1098" s="57" t="str">
        <f aca="false">IF($O1098="","",SUMIFS($O$6:$O$2405,$A$6:$A$2405,"&lt;="&amp;$A1098))</f>
        <v/>
      </c>
      <c r="Q1098" s="57" t="str">
        <f aca="false">IF($O1098="","",IF($P1098&lt;=BankCostEnvelope*'5. Scenarios'!$D$7,1,0))</f>
        <v/>
      </c>
      <c r="R1098" s="57" t="str">
        <f aca="false">IF($N1098="","",INDEX(BookRate,1093)*(1+'5. Scenarios'!$D$10)*(INDEX(BookQ1,1093)*(5-MIN(4,1+'5. Scenarios'!$D$8))/4+INDEX(BookQ2,1093)*(5-MIN(4,2+'5. Scenarios'!$D$8))/4+INDEX(BookQ3,1093)*(5-MIN(4,3+'5. Scenarios'!$D$8))/4+INDEX(BookQ4,1093)*(5-MIN(4,4+'5. Scenarios'!$D$8))/4)*'5. Scenarios'!$D$6/(1+ProductivityDefault*('5. Scenarios'!$D$11-1))+INDEX(BookOneOff,1093)*$N1098)</f>
        <v/>
      </c>
      <c r="S1098" s="56" t="str">
        <f aca="false">IF(INDEX(BookTitle,1093)="","",INDEX(BookTotal,1093)*'5. Scenarios'!$E$6/(1+ProductivityDefault*('5. Scenarios'!$E$11-1)))</f>
        <v/>
      </c>
      <c r="T1098" s="57" t="str">
        <f aca="false">IF($S1098="","",INDEX(BookRate,1093)*(1+'5. Scenarios'!$E$10)*$S1098)</f>
        <v/>
      </c>
      <c r="U1098" s="57" t="str">
        <f aca="false">IF($T1098="","",SUMIFS($T$6:$T$2405,$A$6:$A$2405,"&lt;="&amp;$A1098))</f>
        <v/>
      </c>
      <c r="V1098" s="57" t="str">
        <f aca="false">IF($T1098="","",IF($U1098&lt;=BankCostEnvelope*'5. Scenarios'!$E$7,1,0))</f>
        <v/>
      </c>
      <c r="W1098" s="57" t="str">
        <f aca="false">IF($S1098="","",INDEX(BookRate,1093)*(1+'5. Scenarios'!$E$10)*(INDEX(BookQ1,1093)*(5-MIN(4,1+'5. Scenarios'!$E$8))/4+INDEX(BookQ2,1093)*(5-MIN(4,2+'5. Scenarios'!$E$8))/4+INDEX(BookQ3,1093)*(5-MIN(4,3+'5. Scenarios'!$E$8))/4+INDEX(BookQ4,1093)*(5-MIN(4,4+'5. Scenarios'!$E$8))/4)*'5. Scenarios'!$E$6/(1+ProductivityDefault*('5. Scenarios'!$E$11-1))+INDEX(BookOneOff,1093)*$S1098)</f>
        <v/>
      </c>
    </row>
    <row r="1099" customFormat="false" ht="15" hidden="false" customHeight="false" outlineLevel="0" collapsed="false">
      <c r="A1099" s="0" t="str">
        <f aca="false">IF(INDEX(BookTitle,1094)="","",INDEX(BookKey,1094))</f>
        <v/>
      </c>
      <c r="B1099" s="0" t="str">
        <f aca="false">IF(INDEX(BookTitle,1094)="","",INDEX(BookGroup,1094))</f>
        <v/>
      </c>
      <c r="C1099" s="0" t="str">
        <f aca="false">IF(INDEX(BookTitle,1094)="","",INDEX(BookCategory,1094))</f>
        <v/>
      </c>
      <c r="D1099" s="56" t="str">
        <f aca="false">IF(INDEX(BookTitle,1094)="","",INDEX(BookTotal,1094)*'5. Scenarios'!$B$6/(1+ProductivityDefault*('5. Scenarios'!$B$11-1)))</f>
        <v/>
      </c>
      <c r="E1099" s="57" t="str">
        <f aca="false">IF($D1099="","",INDEX(BookRate,1094)*(1+'5. Scenarios'!$B$10)*$D1099)</f>
        <v/>
      </c>
      <c r="F1099" s="57" t="str">
        <f aca="false">IF($E1099="","",SUMIFS($E$6:$E$2405,$A$6:$A$2405,"&lt;="&amp;$A1099))</f>
        <v/>
      </c>
      <c r="G1099" s="57" t="str">
        <f aca="false">IF($E1099="","",IF($F1099&lt;=BankCostEnvelope*'5. Scenarios'!$B$7,1,0))</f>
        <v/>
      </c>
      <c r="H1099" s="57" t="str">
        <f aca="false">IF($D1099="","",INDEX(BookRate,1094)*(1+'5. Scenarios'!$B$10)*(INDEX(BookQ1,1094)*(5-MIN(4,1+'5. Scenarios'!$B$8))/4+INDEX(BookQ2,1094)*(5-MIN(4,2+'5. Scenarios'!$B$8))/4+INDEX(BookQ3,1094)*(5-MIN(4,3+'5. Scenarios'!$B$8))/4+INDEX(BookQ4,1094)*(5-MIN(4,4+'5. Scenarios'!$B$8))/4)*'5. Scenarios'!$B$6/(1+ProductivityDefault*('5. Scenarios'!$B$11-1))+INDEX(BookOneOff,1094)*$D1099)</f>
        <v/>
      </c>
      <c r="I1099" s="56" t="str">
        <f aca="false">IF(INDEX(BookTitle,1094)="","",INDEX(BookTotal,1094)*'5. Scenarios'!$C$6/(1+ProductivityDefault*('5. Scenarios'!$C$11-1)))</f>
        <v/>
      </c>
      <c r="J1099" s="57" t="str">
        <f aca="false">IF($I1099="","",INDEX(BookRate,1094)*(1+'5. Scenarios'!$C$10)*$I1099)</f>
        <v/>
      </c>
      <c r="K1099" s="57" t="str">
        <f aca="false">IF($J1099="","",SUMIFS($J$6:$J$2405,$A$6:$A$2405,"&lt;="&amp;$A1099))</f>
        <v/>
      </c>
      <c r="L1099" s="57" t="str">
        <f aca="false">IF($J1099="","",IF($K1099&lt;=BankCostEnvelope*'5. Scenarios'!$C$7,1,0))</f>
        <v/>
      </c>
      <c r="M1099" s="57" t="str">
        <f aca="false">IF($I1099="","",INDEX(BookRate,1094)*(1+'5. Scenarios'!$C$10)*(INDEX(BookQ1,1094)*(5-MIN(4,1+'5. Scenarios'!$C$8))/4+INDEX(BookQ2,1094)*(5-MIN(4,2+'5. Scenarios'!$C$8))/4+INDEX(BookQ3,1094)*(5-MIN(4,3+'5. Scenarios'!$C$8))/4+INDEX(BookQ4,1094)*(5-MIN(4,4+'5. Scenarios'!$C$8))/4)*'5. Scenarios'!$C$6/(1+ProductivityDefault*('5. Scenarios'!$C$11-1))+INDEX(BookOneOff,1094)*$I1099)</f>
        <v/>
      </c>
      <c r="N1099" s="56" t="str">
        <f aca="false">IF(INDEX(BookTitle,1094)="","",INDEX(BookTotal,1094)*'5. Scenarios'!$D$6/(1+ProductivityDefault*('5. Scenarios'!$D$11-1)))</f>
        <v/>
      </c>
      <c r="O1099" s="57" t="str">
        <f aca="false">IF($N1099="","",INDEX(BookRate,1094)*(1+'5. Scenarios'!$D$10)*$N1099)</f>
        <v/>
      </c>
      <c r="P1099" s="57" t="str">
        <f aca="false">IF($O1099="","",SUMIFS($O$6:$O$2405,$A$6:$A$2405,"&lt;="&amp;$A1099))</f>
        <v/>
      </c>
      <c r="Q1099" s="57" t="str">
        <f aca="false">IF($O1099="","",IF($P1099&lt;=BankCostEnvelope*'5. Scenarios'!$D$7,1,0))</f>
        <v/>
      </c>
      <c r="R1099" s="57" t="str">
        <f aca="false">IF($N1099="","",INDEX(BookRate,1094)*(1+'5. Scenarios'!$D$10)*(INDEX(BookQ1,1094)*(5-MIN(4,1+'5. Scenarios'!$D$8))/4+INDEX(BookQ2,1094)*(5-MIN(4,2+'5. Scenarios'!$D$8))/4+INDEX(BookQ3,1094)*(5-MIN(4,3+'5. Scenarios'!$D$8))/4+INDEX(BookQ4,1094)*(5-MIN(4,4+'5. Scenarios'!$D$8))/4)*'5. Scenarios'!$D$6/(1+ProductivityDefault*('5. Scenarios'!$D$11-1))+INDEX(BookOneOff,1094)*$N1099)</f>
        <v/>
      </c>
      <c r="S1099" s="56" t="str">
        <f aca="false">IF(INDEX(BookTitle,1094)="","",INDEX(BookTotal,1094)*'5. Scenarios'!$E$6/(1+ProductivityDefault*('5. Scenarios'!$E$11-1)))</f>
        <v/>
      </c>
      <c r="T1099" s="57" t="str">
        <f aca="false">IF($S1099="","",INDEX(BookRate,1094)*(1+'5. Scenarios'!$E$10)*$S1099)</f>
        <v/>
      </c>
      <c r="U1099" s="57" t="str">
        <f aca="false">IF($T1099="","",SUMIFS($T$6:$T$2405,$A$6:$A$2405,"&lt;="&amp;$A1099))</f>
        <v/>
      </c>
      <c r="V1099" s="57" t="str">
        <f aca="false">IF($T1099="","",IF($U1099&lt;=BankCostEnvelope*'5. Scenarios'!$E$7,1,0))</f>
        <v/>
      </c>
      <c r="W1099" s="57" t="str">
        <f aca="false">IF($S1099="","",INDEX(BookRate,1094)*(1+'5. Scenarios'!$E$10)*(INDEX(BookQ1,1094)*(5-MIN(4,1+'5. Scenarios'!$E$8))/4+INDEX(BookQ2,1094)*(5-MIN(4,2+'5. Scenarios'!$E$8))/4+INDEX(BookQ3,1094)*(5-MIN(4,3+'5. Scenarios'!$E$8))/4+INDEX(BookQ4,1094)*(5-MIN(4,4+'5. Scenarios'!$E$8))/4)*'5. Scenarios'!$E$6/(1+ProductivityDefault*('5. Scenarios'!$E$11-1))+INDEX(BookOneOff,1094)*$S1099)</f>
        <v/>
      </c>
    </row>
    <row r="1100" customFormat="false" ht="15" hidden="false" customHeight="false" outlineLevel="0" collapsed="false">
      <c r="A1100" s="0" t="str">
        <f aca="false">IF(INDEX(BookTitle,1095)="","",INDEX(BookKey,1095))</f>
        <v/>
      </c>
      <c r="B1100" s="0" t="str">
        <f aca="false">IF(INDEX(BookTitle,1095)="","",INDEX(BookGroup,1095))</f>
        <v/>
      </c>
      <c r="C1100" s="0" t="str">
        <f aca="false">IF(INDEX(BookTitle,1095)="","",INDEX(BookCategory,1095))</f>
        <v/>
      </c>
      <c r="D1100" s="56" t="str">
        <f aca="false">IF(INDEX(BookTitle,1095)="","",INDEX(BookTotal,1095)*'5. Scenarios'!$B$6/(1+ProductivityDefault*('5. Scenarios'!$B$11-1)))</f>
        <v/>
      </c>
      <c r="E1100" s="57" t="str">
        <f aca="false">IF($D1100="","",INDEX(BookRate,1095)*(1+'5. Scenarios'!$B$10)*$D1100)</f>
        <v/>
      </c>
      <c r="F1100" s="57" t="str">
        <f aca="false">IF($E1100="","",SUMIFS($E$6:$E$2405,$A$6:$A$2405,"&lt;="&amp;$A1100))</f>
        <v/>
      </c>
      <c r="G1100" s="57" t="str">
        <f aca="false">IF($E1100="","",IF($F1100&lt;=BankCostEnvelope*'5. Scenarios'!$B$7,1,0))</f>
        <v/>
      </c>
      <c r="H1100" s="57" t="str">
        <f aca="false">IF($D1100="","",INDEX(BookRate,1095)*(1+'5. Scenarios'!$B$10)*(INDEX(BookQ1,1095)*(5-MIN(4,1+'5. Scenarios'!$B$8))/4+INDEX(BookQ2,1095)*(5-MIN(4,2+'5. Scenarios'!$B$8))/4+INDEX(BookQ3,1095)*(5-MIN(4,3+'5. Scenarios'!$B$8))/4+INDEX(BookQ4,1095)*(5-MIN(4,4+'5. Scenarios'!$B$8))/4)*'5. Scenarios'!$B$6/(1+ProductivityDefault*('5. Scenarios'!$B$11-1))+INDEX(BookOneOff,1095)*$D1100)</f>
        <v/>
      </c>
      <c r="I1100" s="56" t="str">
        <f aca="false">IF(INDEX(BookTitle,1095)="","",INDEX(BookTotal,1095)*'5. Scenarios'!$C$6/(1+ProductivityDefault*('5. Scenarios'!$C$11-1)))</f>
        <v/>
      </c>
      <c r="J1100" s="57" t="str">
        <f aca="false">IF($I1100="","",INDEX(BookRate,1095)*(1+'5. Scenarios'!$C$10)*$I1100)</f>
        <v/>
      </c>
      <c r="K1100" s="57" t="str">
        <f aca="false">IF($J1100="","",SUMIFS($J$6:$J$2405,$A$6:$A$2405,"&lt;="&amp;$A1100))</f>
        <v/>
      </c>
      <c r="L1100" s="57" t="str">
        <f aca="false">IF($J1100="","",IF($K1100&lt;=BankCostEnvelope*'5. Scenarios'!$C$7,1,0))</f>
        <v/>
      </c>
      <c r="M1100" s="57" t="str">
        <f aca="false">IF($I1100="","",INDEX(BookRate,1095)*(1+'5. Scenarios'!$C$10)*(INDEX(BookQ1,1095)*(5-MIN(4,1+'5. Scenarios'!$C$8))/4+INDEX(BookQ2,1095)*(5-MIN(4,2+'5. Scenarios'!$C$8))/4+INDEX(BookQ3,1095)*(5-MIN(4,3+'5. Scenarios'!$C$8))/4+INDEX(BookQ4,1095)*(5-MIN(4,4+'5. Scenarios'!$C$8))/4)*'5. Scenarios'!$C$6/(1+ProductivityDefault*('5. Scenarios'!$C$11-1))+INDEX(BookOneOff,1095)*$I1100)</f>
        <v/>
      </c>
      <c r="N1100" s="56" t="str">
        <f aca="false">IF(INDEX(BookTitle,1095)="","",INDEX(BookTotal,1095)*'5. Scenarios'!$D$6/(1+ProductivityDefault*('5. Scenarios'!$D$11-1)))</f>
        <v/>
      </c>
      <c r="O1100" s="57" t="str">
        <f aca="false">IF($N1100="","",INDEX(BookRate,1095)*(1+'5. Scenarios'!$D$10)*$N1100)</f>
        <v/>
      </c>
      <c r="P1100" s="57" t="str">
        <f aca="false">IF($O1100="","",SUMIFS($O$6:$O$2405,$A$6:$A$2405,"&lt;="&amp;$A1100))</f>
        <v/>
      </c>
      <c r="Q1100" s="57" t="str">
        <f aca="false">IF($O1100="","",IF($P1100&lt;=BankCostEnvelope*'5. Scenarios'!$D$7,1,0))</f>
        <v/>
      </c>
      <c r="R1100" s="57" t="str">
        <f aca="false">IF($N1100="","",INDEX(BookRate,1095)*(1+'5. Scenarios'!$D$10)*(INDEX(BookQ1,1095)*(5-MIN(4,1+'5. Scenarios'!$D$8))/4+INDEX(BookQ2,1095)*(5-MIN(4,2+'5. Scenarios'!$D$8))/4+INDEX(BookQ3,1095)*(5-MIN(4,3+'5. Scenarios'!$D$8))/4+INDEX(BookQ4,1095)*(5-MIN(4,4+'5. Scenarios'!$D$8))/4)*'5. Scenarios'!$D$6/(1+ProductivityDefault*('5. Scenarios'!$D$11-1))+INDEX(BookOneOff,1095)*$N1100)</f>
        <v/>
      </c>
      <c r="S1100" s="56" t="str">
        <f aca="false">IF(INDEX(BookTitle,1095)="","",INDEX(BookTotal,1095)*'5. Scenarios'!$E$6/(1+ProductivityDefault*('5. Scenarios'!$E$11-1)))</f>
        <v/>
      </c>
      <c r="T1100" s="57" t="str">
        <f aca="false">IF($S1100="","",INDEX(BookRate,1095)*(1+'5. Scenarios'!$E$10)*$S1100)</f>
        <v/>
      </c>
      <c r="U1100" s="57" t="str">
        <f aca="false">IF($T1100="","",SUMIFS($T$6:$T$2405,$A$6:$A$2405,"&lt;="&amp;$A1100))</f>
        <v/>
      </c>
      <c r="V1100" s="57" t="str">
        <f aca="false">IF($T1100="","",IF($U1100&lt;=BankCostEnvelope*'5. Scenarios'!$E$7,1,0))</f>
        <v/>
      </c>
      <c r="W1100" s="57" t="str">
        <f aca="false">IF($S1100="","",INDEX(BookRate,1095)*(1+'5. Scenarios'!$E$10)*(INDEX(BookQ1,1095)*(5-MIN(4,1+'5. Scenarios'!$E$8))/4+INDEX(BookQ2,1095)*(5-MIN(4,2+'5. Scenarios'!$E$8))/4+INDEX(BookQ3,1095)*(5-MIN(4,3+'5. Scenarios'!$E$8))/4+INDEX(BookQ4,1095)*(5-MIN(4,4+'5. Scenarios'!$E$8))/4)*'5. Scenarios'!$E$6/(1+ProductivityDefault*('5. Scenarios'!$E$11-1))+INDEX(BookOneOff,1095)*$S1100)</f>
        <v/>
      </c>
    </row>
    <row r="1101" customFormat="false" ht="15" hidden="false" customHeight="false" outlineLevel="0" collapsed="false">
      <c r="A1101" s="0" t="str">
        <f aca="false">IF(INDEX(BookTitle,1096)="","",INDEX(BookKey,1096))</f>
        <v/>
      </c>
      <c r="B1101" s="0" t="str">
        <f aca="false">IF(INDEX(BookTitle,1096)="","",INDEX(BookGroup,1096))</f>
        <v/>
      </c>
      <c r="C1101" s="0" t="str">
        <f aca="false">IF(INDEX(BookTitle,1096)="","",INDEX(BookCategory,1096))</f>
        <v/>
      </c>
      <c r="D1101" s="56" t="str">
        <f aca="false">IF(INDEX(BookTitle,1096)="","",INDEX(BookTotal,1096)*'5. Scenarios'!$B$6/(1+ProductivityDefault*('5. Scenarios'!$B$11-1)))</f>
        <v/>
      </c>
      <c r="E1101" s="57" t="str">
        <f aca="false">IF($D1101="","",INDEX(BookRate,1096)*(1+'5. Scenarios'!$B$10)*$D1101)</f>
        <v/>
      </c>
      <c r="F1101" s="57" t="str">
        <f aca="false">IF($E1101="","",SUMIFS($E$6:$E$2405,$A$6:$A$2405,"&lt;="&amp;$A1101))</f>
        <v/>
      </c>
      <c r="G1101" s="57" t="str">
        <f aca="false">IF($E1101="","",IF($F1101&lt;=BankCostEnvelope*'5. Scenarios'!$B$7,1,0))</f>
        <v/>
      </c>
      <c r="H1101" s="57" t="str">
        <f aca="false">IF($D1101="","",INDEX(BookRate,1096)*(1+'5. Scenarios'!$B$10)*(INDEX(BookQ1,1096)*(5-MIN(4,1+'5. Scenarios'!$B$8))/4+INDEX(BookQ2,1096)*(5-MIN(4,2+'5. Scenarios'!$B$8))/4+INDEX(BookQ3,1096)*(5-MIN(4,3+'5. Scenarios'!$B$8))/4+INDEX(BookQ4,1096)*(5-MIN(4,4+'5. Scenarios'!$B$8))/4)*'5. Scenarios'!$B$6/(1+ProductivityDefault*('5. Scenarios'!$B$11-1))+INDEX(BookOneOff,1096)*$D1101)</f>
        <v/>
      </c>
      <c r="I1101" s="56" t="str">
        <f aca="false">IF(INDEX(BookTitle,1096)="","",INDEX(BookTotal,1096)*'5. Scenarios'!$C$6/(1+ProductivityDefault*('5. Scenarios'!$C$11-1)))</f>
        <v/>
      </c>
      <c r="J1101" s="57" t="str">
        <f aca="false">IF($I1101="","",INDEX(BookRate,1096)*(1+'5. Scenarios'!$C$10)*$I1101)</f>
        <v/>
      </c>
      <c r="K1101" s="57" t="str">
        <f aca="false">IF($J1101="","",SUMIFS($J$6:$J$2405,$A$6:$A$2405,"&lt;="&amp;$A1101))</f>
        <v/>
      </c>
      <c r="L1101" s="57" t="str">
        <f aca="false">IF($J1101="","",IF($K1101&lt;=BankCostEnvelope*'5. Scenarios'!$C$7,1,0))</f>
        <v/>
      </c>
      <c r="M1101" s="57" t="str">
        <f aca="false">IF($I1101="","",INDEX(BookRate,1096)*(1+'5. Scenarios'!$C$10)*(INDEX(BookQ1,1096)*(5-MIN(4,1+'5. Scenarios'!$C$8))/4+INDEX(BookQ2,1096)*(5-MIN(4,2+'5. Scenarios'!$C$8))/4+INDEX(BookQ3,1096)*(5-MIN(4,3+'5. Scenarios'!$C$8))/4+INDEX(BookQ4,1096)*(5-MIN(4,4+'5. Scenarios'!$C$8))/4)*'5. Scenarios'!$C$6/(1+ProductivityDefault*('5. Scenarios'!$C$11-1))+INDEX(BookOneOff,1096)*$I1101)</f>
        <v/>
      </c>
      <c r="N1101" s="56" t="str">
        <f aca="false">IF(INDEX(BookTitle,1096)="","",INDEX(BookTotal,1096)*'5. Scenarios'!$D$6/(1+ProductivityDefault*('5. Scenarios'!$D$11-1)))</f>
        <v/>
      </c>
      <c r="O1101" s="57" t="str">
        <f aca="false">IF($N1101="","",INDEX(BookRate,1096)*(1+'5. Scenarios'!$D$10)*$N1101)</f>
        <v/>
      </c>
      <c r="P1101" s="57" t="str">
        <f aca="false">IF($O1101="","",SUMIFS($O$6:$O$2405,$A$6:$A$2405,"&lt;="&amp;$A1101))</f>
        <v/>
      </c>
      <c r="Q1101" s="57" t="str">
        <f aca="false">IF($O1101="","",IF($P1101&lt;=BankCostEnvelope*'5. Scenarios'!$D$7,1,0))</f>
        <v/>
      </c>
      <c r="R1101" s="57" t="str">
        <f aca="false">IF($N1101="","",INDEX(BookRate,1096)*(1+'5. Scenarios'!$D$10)*(INDEX(BookQ1,1096)*(5-MIN(4,1+'5. Scenarios'!$D$8))/4+INDEX(BookQ2,1096)*(5-MIN(4,2+'5. Scenarios'!$D$8))/4+INDEX(BookQ3,1096)*(5-MIN(4,3+'5. Scenarios'!$D$8))/4+INDEX(BookQ4,1096)*(5-MIN(4,4+'5. Scenarios'!$D$8))/4)*'5. Scenarios'!$D$6/(1+ProductivityDefault*('5. Scenarios'!$D$11-1))+INDEX(BookOneOff,1096)*$N1101)</f>
        <v/>
      </c>
      <c r="S1101" s="56" t="str">
        <f aca="false">IF(INDEX(BookTitle,1096)="","",INDEX(BookTotal,1096)*'5. Scenarios'!$E$6/(1+ProductivityDefault*('5. Scenarios'!$E$11-1)))</f>
        <v/>
      </c>
      <c r="T1101" s="57" t="str">
        <f aca="false">IF($S1101="","",INDEX(BookRate,1096)*(1+'5. Scenarios'!$E$10)*$S1101)</f>
        <v/>
      </c>
      <c r="U1101" s="57" t="str">
        <f aca="false">IF($T1101="","",SUMIFS($T$6:$T$2405,$A$6:$A$2405,"&lt;="&amp;$A1101))</f>
        <v/>
      </c>
      <c r="V1101" s="57" t="str">
        <f aca="false">IF($T1101="","",IF($U1101&lt;=BankCostEnvelope*'5. Scenarios'!$E$7,1,0))</f>
        <v/>
      </c>
      <c r="W1101" s="57" t="str">
        <f aca="false">IF($S1101="","",INDEX(BookRate,1096)*(1+'5. Scenarios'!$E$10)*(INDEX(BookQ1,1096)*(5-MIN(4,1+'5. Scenarios'!$E$8))/4+INDEX(BookQ2,1096)*(5-MIN(4,2+'5. Scenarios'!$E$8))/4+INDEX(BookQ3,1096)*(5-MIN(4,3+'5. Scenarios'!$E$8))/4+INDEX(BookQ4,1096)*(5-MIN(4,4+'5. Scenarios'!$E$8))/4)*'5. Scenarios'!$E$6/(1+ProductivityDefault*('5. Scenarios'!$E$11-1))+INDEX(BookOneOff,1096)*$S1101)</f>
        <v/>
      </c>
    </row>
    <row r="1102" customFormat="false" ht="15" hidden="false" customHeight="false" outlineLevel="0" collapsed="false">
      <c r="A1102" s="0" t="str">
        <f aca="false">IF(INDEX(BookTitle,1097)="","",INDEX(BookKey,1097))</f>
        <v/>
      </c>
      <c r="B1102" s="0" t="str">
        <f aca="false">IF(INDEX(BookTitle,1097)="","",INDEX(BookGroup,1097))</f>
        <v/>
      </c>
      <c r="C1102" s="0" t="str">
        <f aca="false">IF(INDEX(BookTitle,1097)="","",INDEX(BookCategory,1097))</f>
        <v/>
      </c>
      <c r="D1102" s="56" t="str">
        <f aca="false">IF(INDEX(BookTitle,1097)="","",INDEX(BookTotal,1097)*'5. Scenarios'!$B$6/(1+ProductivityDefault*('5. Scenarios'!$B$11-1)))</f>
        <v/>
      </c>
      <c r="E1102" s="57" t="str">
        <f aca="false">IF($D1102="","",INDEX(BookRate,1097)*(1+'5. Scenarios'!$B$10)*$D1102)</f>
        <v/>
      </c>
      <c r="F1102" s="57" t="str">
        <f aca="false">IF($E1102="","",SUMIFS($E$6:$E$2405,$A$6:$A$2405,"&lt;="&amp;$A1102))</f>
        <v/>
      </c>
      <c r="G1102" s="57" t="str">
        <f aca="false">IF($E1102="","",IF($F1102&lt;=BankCostEnvelope*'5. Scenarios'!$B$7,1,0))</f>
        <v/>
      </c>
      <c r="H1102" s="57" t="str">
        <f aca="false">IF($D1102="","",INDEX(BookRate,1097)*(1+'5. Scenarios'!$B$10)*(INDEX(BookQ1,1097)*(5-MIN(4,1+'5. Scenarios'!$B$8))/4+INDEX(BookQ2,1097)*(5-MIN(4,2+'5. Scenarios'!$B$8))/4+INDEX(BookQ3,1097)*(5-MIN(4,3+'5. Scenarios'!$B$8))/4+INDEX(BookQ4,1097)*(5-MIN(4,4+'5. Scenarios'!$B$8))/4)*'5. Scenarios'!$B$6/(1+ProductivityDefault*('5. Scenarios'!$B$11-1))+INDEX(BookOneOff,1097)*$D1102)</f>
        <v/>
      </c>
      <c r="I1102" s="56" t="str">
        <f aca="false">IF(INDEX(BookTitle,1097)="","",INDEX(BookTotal,1097)*'5. Scenarios'!$C$6/(1+ProductivityDefault*('5. Scenarios'!$C$11-1)))</f>
        <v/>
      </c>
      <c r="J1102" s="57" t="str">
        <f aca="false">IF($I1102="","",INDEX(BookRate,1097)*(1+'5. Scenarios'!$C$10)*$I1102)</f>
        <v/>
      </c>
      <c r="K1102" s="57" t="str">
        <f aca="false">IF($J1102="","",SUMIFS($J$6:$J$2405,$A$6:$A$2405,"&lt;="&amp;$A1102))</f>
        <v/>
      </c>
      <c r="L1102" s="57" t="str">
        <f aca="false">IF($J1102="","",IF($K1102&lt;=BankCostEnvelope*'5. Scenarios'!$C$7,1,0))</f>
        <v/>
      </c>
      <c r="M1102" s="57" t="str">
        <f aca="false">IF($I1102="","",INDEX(BookRate,1097)*(1+'5. Scenarios'!$C$10)*(INDEX(BookQ1,1097)*(5-MIN(4,1+'5. Scenarios'!$C$8))/4+INDEX(BookQ2,1097)*(5-MIN(4,2+'5. Scenarios'!$C$8))/4+INDEX(BookQ3,1097)*(5-MIN(4,3+'5. Scenarios'!$C$8))/4+INDEX(BookQ4,1097)*(5-MIN(4,4+'5. Scenarios'!$C$8))/4)*'5. Scenarios'!$C$6/(1+ProductivityDefault*('5. Scenarios'!$C$11-1))+INDEX(BookOneOff,1097)*$I1102)</f>
        <v/>
      </c>
      <c r="N1102" s="56" t="str">
        <f aca="false">IF(INDEX(BookTitle,1097)="","",INDEX(BookTotal,1097)*'5. Scenarios'!$D$6/(1+ProductivityDefault*('5. Scenarios'!$D$11-1)))</f>
        <v/>
      </c>
      <c r="O1102" s="57" t="str">
        <f aca="false">IF($N1102="","",INDEX(BookRate,1097)*(1+'5. Scenarios'!$D$10)*$N1102)</f>
        <v/>
      </c>
      <c r="P1102" s="57" t="str">
        <f aca="false">IF($O1102="","",SUMIFS($O$6:$O$2405,$A$6:$A$2405,"&lt;="&amp;$A1102))</f>
        <v/>
      </c>
      <c r="Q1102" s="57" t="str">
        <f aca="false">IF($O1102="","",IF($P1102&lt;=BankCostEnvelope*'5. Scenarios'!$D$7,1,0))</f>
        <v/>
      </c>
      <c r="R1102" s="57" t="str">
        <f aca="false">IF($N1102="","",INDEX(BookRate,1097)*(1+'5. Scenarios'!$D$10)*(INDEX(BookQ1,1097)*(5-MIN(4,1+'5. Scenarios'!$D$8))/4+INDEX(BookQ2,1097)*(5-MIN(4,2+'5. Scenarios'!$D$8))/4+INDEX(BookQ3,1097)*(5-MIN(4,3+'5. Scenarios'!$D$8))/4+INDEX(BookQ4,1097)*(5-MIN(4,4+'5. Scenarios'!$D$8))/4)*'5. Scenarios'!$D$6/(1+ProductivityDefault*('5. Scenarios'!$D$11-1))+INDEX(BookOneOff,1097)*$N1102)</f>
        <v/>
      </c>
      <c r="S1102" s="56" t="str">
        <f aca="false">IF(INDEX(BookTitle,1097)="","",INDEX(BookTotal,1097)*'5. Scenarios'!$E$6/(1+ProductivityDefault*('5. Scenarios'!$E$11-1)))</f>
        <v/>
      </c>
      <c r="T1102" s="57" t="str">
        <f aca="false">IF($S1102="","",INDEX(BookRate,1097)*(1+'5. Scenarios'!$E$10)*$S1102)</f>
        <v/>
      </c>
      <c r="U1102" s="57" t="str">
        <f aca="false">IF($T1102="","",SUMIFS($T$6:$T$2405,$A$6:$A$2405,"&lt;="&amp;$A1102))</f>
        <v/>
      </c>
      <c r="V1102" s="57" t="str">
        <f aca="false">IF($T1102="","",IF($U1102&lt;=BankCostEnvelope*'5. Scenarios'!$E$7,1,0))</f>
        <v/>
      </c>
      <c r="W1102" s="57" t="str">
        <f aca="false">IF($S1102="","",INDEX(BookRate,1097)*(1+'5. Scenarios'!$E$10)*(INDEX(BookQ1,1097)*(5-MIN(4,1+'5. Scenarios'!$E$8))/4+INDEX(BookQ2,1097)*(5-MIN(4,2+'5. Scenarios'!$E$8))/4+INDEX(BookQ3,1097)*(5-MIN(4,3+'5. Scenarios'!$E$8))/4+INDEX(BookQ4,1097)*(5-MIN(4,4+'5. Scenarios'!$E$8))/4)*'5. Scenarios'!$E$6/(1+ProductivityDefault*('5. Scenarios'!$E$11-1))+INDEX(BookOneOff,1097)*$S1102)</f>
        <v/>
      </c>
    </row>
    <row r="1103" customFormat="false" ht="15" hidden="false" customHeight="false" outlineLevel="0" collapsed="false">
      <c r="A1103" s="0" t="str">
        <f aca="false">IF(INDEX(BookTitle,1098)="","",INDEX(BookKey,1098))</f>
        <v/>
      </c>
      <c r="B1103" s="0" t="str">
        <f aca="false">IF(INDEX(BookTitle,1098)="","",INDEX(BookGroup,1098))</f>
        <v/>
      </c>
      <c r="C1103" s="0" t="str">
        <f aca="false">IF(INDEX(BookTitle,1098)="","",INDEX(BookCategory,1098))</f>
        <v/>
      </c>
      <c r="D1103" s="56" t="str">
        <f aca="false">IF(INDEX(BookTitle,1098)="","",INDEX(BookTotal,1098)*'5. Scenarios'!$B$6/(1+ProductivityDefault*('5. Scenarios'!$B$11-1)))</f>
        <v/>
      </c>
      <c r="E1103" s="57" t="str">
        <f aca="false">IF($D1103="","",INDEX(BookRate,1098)*(1+'5. Scenarios'!$B$10)*$D1103)</f>
        <v/>
      </c>
      <c r="F1103" s="57" t="str">
        <f aca="false">IF($E1103="","",SUMIFS($E$6:$E$2405,$A$6:$A$2405,"&lt;="&amp;$A1103))</f>
        <v/>
      </c>
      <c r="G1103" s="57" t="str">
        <f aca="false">IF($E1103="","",IF($F1103&lt;=BankCostEnvelope*'5. Scenarios'!$B$7,1,0))</f>
        <v/>
      </c>
      <c r="H1103" s="57" t="str">
        <f aca="false">IF($D1103="","",INDEX(BookRate,1098)*(1+'5. Scenarios'!$B$10)*(INDEX(BookQ1,1098)*(5-MIN(4,1+'5. Scenarios'!$B$8))/4+INDEX(BookQ2,1098)*(5-MIN(4,2+'5. Scenarios'!$B$8))/4+INDEX(BookQ3,1098)*(5-MIN(4,3+'5. Scenarios'!$B$8))/4+INDEX(BookQ4,1098)*(5-MIN(4,4+'5. Scenarios'!$B$8))/4)*'5. Scenarios'!$B$6/(1+ProductivityDefault*('5. Scenarios'!$B$11-1))+INDEX(BookOneOff,1098)*$D1103)</f>
        <v/>
      </c>
      <c r="I1103" s="56" t="str">
        <f aca="false">IF(INDEX(BookTitle,1098)="","",INDEX(BookTotal,1098)*'5. Scenarios'!$C$6/(1+ProductivityDefault*('5. Scenarios'!$C$11-1)))</f>
        <v/>
      </c>
      <c r="J1103" s="57" t="str">
        <f aca="false">IF($I1103="","",INDEX(BookRate,1098)*(1+'5. Scenarios'!$C$10)*$I1103)</f>
        <v/>
      </c>
      <c r="K1103" s="57" t="str">
        <f aca="false">IF($J1103="","",SUMIFS($J$6:$J$2405,$A$6:$A$2405,"&lt;="&amp;$A1103))</f>
        <v/>
      </c>
      <c r="L1103" s="57" t="str">
        <f aca="false">IF($J1103="","",IF($K1103&lt;=BankCostEnvelope*'5. Scenarios'!$C$7,1,0))</f>
        <v/>
      </c>
      <c r="M1103" s="57" t="str">
        <f aca="false">IF($I1103="","",INDEX(BookRate,1098)*(1+'5. Scenarios'!$C$10)*(INDEX(BookQ1,1098)*(5-MIN(4,1+'5. Scenarios'!$C$8))/4+INDEX(BookQ2,1098)*(5-MIN(4,2+'5. Scenarios'!$C$8))/4+INDEX(BookQ3,1098)*(5-MIN(4,3+'5. Scenarios'!$C$8))/4+INDEX(BookQ4,1098)*(5-MIN(4,4+'5. Scenarios'!$C$8))/4)*'5. Scenarios'!$C$6/(1+ProductivityDefault*('5. Scenarios'!$C$11-1))+INDEX(BookOneOff,1098)*$I1103)</f>
        <v/>
      </c>
      <c r="N1103" s="56" t="str">
        <f aca="false">IF(INDEX(BookTitle,1098)="","",INDEX(BookTotal,1098)*'5. Scenarios'!$D$6/(1+ProductivityDefault*('5. Scenarios'!$D$11-1)))</f>
        <v/>
      </c>
      <c r="O1103" s="57" t="str">
        <f aca="false">IF($N1103="","",INDEX(BookRate,1098)*(1+'5. Scenarios'!$D$10)*$N1103)</f>
        <v/>
      </c>
      <c r="P1103" s="57" t="str">
        <f aca="false">IF($O1103="","",SUMIFS($O$6:$O$2405,$A$6:$A$2405,"&lt;="&amp;$A1103))</f>
        <v/>
      </c>
      <c r="Q1103" s="57" t="str">
        <f aca="false">IF($O1103="","",IF($P1103&lt;=BankCostEnvelope*'5. Scenarios'!$D$7,1,0))</f>
        <v/>
      </c>
      <c r="R1103" s="57" t="str">
        <f aca="false">IF($N1103="","",INDEX(BookRate,1098)*(1+'5. Scenarios'!$D$10)*(INDEX(BookQ1,1098)*(5-MIN(4,1+'5. Scenarios'!$D$8))/4+INDEX(BookQ2,1098)*(5-MIN(4,2+'5. Scenarios'!$D$8))/4+INDEX(BookQ3,1098)*(5-MIN(4,3+'5. Scenarios'!$D$8))/4+INDEX(BookQ4,1098)*(5-MIN(4,4+'5. Scenarios'!$D$8))/4)*'5. Scenarios'!$D$6/(1+ProductivityDefault*('5. Scenarios'!$D$11-1))+INDEX(BookOneOff,1098)*$N1103)</f>
        <v/>
      </c>
      <c r="S1103" s="56" t="str">
        <f aca="false">IF(INDEX(BookTitle,1098)="","",INDEX(BookTotal,1098)*'5. Scenarios'!$E$6/(1+ProductivityDefault*('5. Scenarios'!$E$11-1)))</f>
        <v/>
      </c>
      <c r="T1103" s="57" t="str">
        <f aca="false">IF($S1103="","",INDEX(BookRate,1098)*(1+'5. Scenarios'!$E$10)*$S1103)</f>
        <v/>
      </c>
      <c r="U1103" s="57" t="str">
        <f aca="false">IF($T1103="","",SUMIFS($T$6:$T$2405,$A$6:$A$2405,"&lt;="&amp;$A1103))</f>
        <v/>
      </c>
      <c r="V1103" s="57" t="str">
        <f aca="false">IF($T1103="","",IF($U1103&lt;=BankCostEnvelope*'5. Scenarios'!$E$7,1,0))</f>
        <v/>
      </c>
      <c r="W1103" s="57" t="str">
        <f aca="false">IF($S1103="","",INDEX(BookRate,1098)*(1+'5. Scenarios'!$E$10)*(INDEX(BookQ1,1098)*(5-MIN(4,1+'5. Scenarios'!$E$8))/4+INDEX(BookQ2,1098)*(5-MIN(4,2+'5. Scenarios'!$E$8))/4+INDEX(BookQ3,1098)*(5-MIN(4,3+'5. Scenarios'!$E$8))/4+INDEX(BookQ4,1098)*(5-MIN(4,4+'5. Scenarios'!$E$8))/4)*'5. Scenarios'!$E$6/(1+ProductivityDefault*('5. Scenarios'!$E$11-1))+INDEX(BookOneOff,1098)*$S1103)</f>
        <v/>
      </c>
    </row>
    <row r="1104" customFormat="false" ht="15" hidden="false" customHeight="false" outlineLevel="0" collapsed="false">
      <c r="A1104" s="0" t="str">
        <f aca="false">IF(INDEX(BookTitle,1099)="","",INDEX(BookKey,1099))</f>
        <v/>
      </c>
      <c r="B1104" s="0" t="str">
        <f aca="false">IF(INDEX(BookTitle,1099)="","",INDEX(BookGroup,1099))</f>
        <v/>
      </c>
      <c r="C1104" s="0" t="str">
        <f aca="false">IF(INDEX(BookTitle,1099)="","",INDEX(BookCategory,1099))</f>
        <v/>
      </c>
      <c r="D1104" s="56" t="str">
        <f aca="false">IF(INDEX(BookTitle,1099)="","",INDEX(BookTotal,1099)*'5. Scenarios'!$B$6/(1+ProductivityDefault*('5. Scenarios'!$B$11-1)))</f>
        <v/>
      </c>
      <c r="E1104" s="57" t="str">
        <f aca="false">IF($D1104="","",INDEX(BookRate,1099)*(1+'5. Scenarios'!$B$10)*$D1104)</f>
        <v/>
      </c>
      <c r="F1104" s="57" t="str">
        <f aca="false">IF($E1104="","",SUMIFS($E$6:$E$2405,$A$6:$A$2405,"&lt;="&amp;$A1104))</f>
        <v/>
      </c>
      <c r="G1104" s="57" t="str">
        <f aca="false">IF($E1104="","",IF($F1104&lt;=BankCostEnvelope*'5. Scenarios'!$B$7,1,0))</f>
        <v/>
      </c>
      <c r="H1104" s="57" t="str">
        <f aca="false">IF($D1104="","",INDEX(BookRate,1099)*(1+'5. Scenarios'!$B$10)*(INDEX(BookQ1,1099)*(5-MIN(4,1+'5. Scenarios'!$B$8))/4+INDEX(BookQ2,1099)*(5-MIN(4,2+'5. Scenarios'!$B$8))/4+INDEX(BookQ3,1099)*(5-MIN(4,3+'5. Scenarios'!$B$8))/4+INDEX(BookQ4,1099)*(5-MIN(4,4+'5. Scenarios'!$B$8))/4)*'5. Scenarios'!$B$6/(1+ProductivityDefault*('5. Scenarios'!$B$11-1))+INDEX(BookOneOff,1099)*$D1104)</f>
        <v/>
      </c>
      <c r="I1104" s="56" t="str">
        <f aca="false">IF(INDEX(BookTitle,1099)="","",INDEX(BookTotal,1099)*'5. Scenarios'!$C$6/(1+ProductivityDefault*('5. Scenarios'!$C$11-1)))</f>
        <v/>
      </c>
      <c r="J1104" s="57" t="str">
        <f aca="false">IF($I1104="","",INDEX(BookRate,1099)*(1+'5. Scenarios'!$C$10)*$I1104)</f>
        <v/>
      </c>
      <c r="K1104" s="57" t="str">
        <f aca="false">IF($J1104="","",SUMIFS($J$6:$J$2405,$A$6:$A$2405,"&lt;="&amp;$A1104))</f>
        <v/>
      </c>
      <c r="L1104" s="57" t="str">
        <f aca="false">IF($J1104="","",IF($K1104&lt;=BankCostEnvelope*'5. Scenarios'!$C$7,1,0))</f>
        <v/>
      </c>
      <c r="M1104" s="57" t="str">
        <f aca="false">IF($I1104="","",INDEX(BookRate,1099)*(1+'5. Scenarios'!$C$10)*(INDEX(BookQ1,1099)*(5-MIN(4,1+'5. Scenarios'!$C$8))/4+INDEX(BookQ2,1099)*(5-MIN(4,2+'5. Scenarios'!$C$8))/4+INDEX(BookQ3,1099)*(5-MIN(4,3+'5. Scenarios'!$C$8))/4+INDEX(BookQ4,1099)*(5-MIN(4,4+'5. Scenarios'!$C$8))/4)*'5. Scenarios'!$C$6/(1+ProductivityDefault*('5. Scenarios'!$C$11-1))+INDEX(BookOneOff,1099)*$I1104)</f>
        <v/>
      </c>
      <c r="N1104" s="56" t="str">
        <f aca="false">IF(INDEX(BookTitle,1099)="","",INDEX(BookTotal,1099)*'5. Scenarios'!$D$6/(1+ProductivityDefault*('5. Scenarios'!$D$11-1)))</f>
        <v/>
      </c>
      <c r="O1104" s="57" t="str">
        <f aca="false">IF($N1104="","",INDEX(BookRate,1099)*(1+'5. Scenarios'!$D$10)*$N1104)</f>
        <v/>
      </c>
      <c r="P1104" s="57" t="str">
        <f aca="false">IF($O1104="","",SUMIFS($O$6:$O$2405,$A$6:$A$2405,"&lt;="&amp;$A1104))</f>
        <v/>
      </c>
      <c r="Q1104" s="57" t="str">
        <f aca="false">IF($O1104="","",IF($P1104&lt;=BankCostEnvelope*'5. Scenarios'!$D$7,1,0))</f>
        <v/>
      </c>
      <c r="R1104" s="57" t="str">
        <f aca="false">IF($N1104="","",INDEX(BookRate,1099)*(1+'5. Scenarios'!$D$10)*(INDEX(BookQ1,1099)*(5-MIN(4,1+'5. Scenarios'!$D$8))/4+INDEX(BookQ2,1099)*(5-MIN(4,2+'5. Scenarios'!$D$8))/4+INDEX(BookQ3,1099)*(5-MIN(4,3+'5. Scenarios'!$D$8))/4+INDEX(BookQ4,1099)*(5-MIN(4,4+'5. Scenarios'!$D$8))/4)*'5. Scenarios'!$D$6/(1+ProductivityDefault*('5. Scenarios'!$D$11-1))+INDEX(BookOneOff,1099)*$N1104)</f>
        <v/>
      </c>
      <c r="S1104" s="56" t="str">
        <f aca="false">IF(INDEX(BookTitle,1099)="","",INDEX(BookTotal,1099)*'5. Scenarios'!$E$6/(1+ProductivityDefault*('5. Scenarios'!$E$11-1)))</f>
        <v/>
      </c>
      <c r="T1104" s="57" t="str">
        <f aca="false">IF($S1104="","",INDEX(BookRate,1099)*(1+'5. Scenarios'!$E$10)*$S1104)</f>
        <v/>
      </c>
      <c r="U1104" s="57" t="str">
        <f aca="false">IF($T1104="","",SUMIFS($T$6:$T$2405,$A$6:$A$2405,"&lt;="&amp;$A1104))</f>
        <v/>
      </c>
      <c r="V1104" s="57" t="str">
        <f aca="false">IF($T1104="","",IF($U1104&lt;=BankCostEnvelope*'5. Scenarios'!$E$7,1,0))</f>
        <v/>
      </c>
      <c r="W1104" s="57" t="str">
        <f aca="false">IF($S1104="","",INDEX(BookRate,1099)*(1+'5. Scenarios'!$E$10)*(INDEX(BookQ1,1099)*(5-MIN(4,1+'5. Scenarios'!$E$8))/4+INDEX(BookQ2,1099)*(5-MIN(4,2+'5. Scenarios'!$E$8))/4+INDEX(BookQ3,1099)*(5-MIN(4,3+'5. Scenarios'!$E$8))/4+INDEX(BookQ4,1099)*(5-MIN(4,4+'5. Scenarios'!$E$8))/4)*'5. Scenarios'!$E$6/(1+ProductivityDefault*('5. Scenarios'!$E$11-1))+INDEX(BookOneOff,1099)*$S1104)</f>
        <v/>
      </c>
    </row>
    <row r="1105" customFormat="false" ht="15" hidden="false" customHeight="false" outlineLevel="0" collapsed="false">
      <c r="A1105" s="0" t="str">
        <f aca="false">IF(INDEX(BookTitle,1100)="","",INDEX(BookKey,1100))</f>
        <v/>
      </c>
      <c r="B1105" s="0" t="str">
        <f aca="false">IF(INDEX(BookTitle,1100)="","",INDEX(BookGroup,1100))</f>
        <v/>
      </c>
      <c r="C1105" s="0" t="str">
        <f aca="false">IF(INDEX(BookTitle,1100)="","",INDEX(BookCategory,1100))</f>
        <v/>
      </c>
      <c r="D1105" s="56" t="str">
        <f aca="false">IF(INDEX(BookTitle,1100)="","",INDEX(BookTotal,1100)*'5. Scenarios'!$B$6/(1+ProductivityDefault*('5. Scenarios'!$B$11-1)))</f>
        <v/>
      </c>
      <c r="E1105" s="57" t="str">
        <f aca="false">IF($D1105="","",INDEX(BookRate,1100)*(1+'5. Scenarios'!$B$10)*$D1105)</f>
        <v/>
      </c>
      <c r="F1105" s="57" t="str">
        <f aca="false">IF($E1105="","",SUMIFS($E$6:$E$2405,$A$6:$A$2405,"&lt;="&amp;$A1105))</f>
        <v/>
      </c>
      <c r="G1105" s="57" t="str">
        <f aca="false">IF($E1105="","",IF($F1105&lt;=BankCostEnvelope*'5. Scenarios'!$B$7,1,0))</f>
        <v/>
      </c>
      <c r="H1105" s="57" t="str">
        <f aca="false">IF($D1105="","",INDEX(BookRate,1100)*(1+'5. Scenarios'!$B$10)*(INDEX(BookQ1,1100)*(5-MIN(4,1+'5. Scenarios'!$B$8))/4+INDEX(BookQ2,1100)*(5-MIN(4,2+'5. Scenarios'!$B$8))/4+INDEX(BookQ3,1100)*(5-MIN(4,3+'5. Scenarios'!$B$8))/4+INDEX(BookQ4,1100)*(5-MIN(4,4+'5. Scenarios'!$B$8))/4)*'5. Scenarios'!$B$6/(1+ProductivityDefault*('5. Scenarios'!$B$11-1))+INDEX(BookOneOff,1100)*$D1105)</f>
        <v/>
      </c>
      <c r="I1105" s="56" t="str">
        <f aca="false">IF(INDEX(BookTitle,1100)="","",INDEX(BookTotal,1100)*'5. Scenarios'!$C$6/(1+ProductivityDefault*('5. Scenarios'!$C$11-1)))</f>
        <v/>
      </c>
      <c r="J1105" s="57" t="str">
        <f aca="false">IF($I1105="","",INDEX(BookRate,1100)*(1+'5. Scenarios'!$C$10)*$I1105)</f>
        <v/>
      </c>
      <c r="K1105" s="57" t="str">
        <f aca="false">IF($J1105="","",SUMIFS($J$6:$J$2405,$A$6:$A$2405,"&lt;="&amp;$A1105))</f>
        <v/>
      </c>
      <c r="L1105" s="57" t="str">
        <f aca="false">IF($J1105="","",IF($K1105&lt;=BankCostEnvelope*'5. Scenarios'!$C$7,1,0))</f>
        <v/>
      </c>
      <c r="M1105" s="57" t="str">
        <f aca="false">IF($I1105="","",INDEX(BookRate,1100)*(1+'5. Scenarios'!$C$10)*(INDEX(BookQ1,1100)*(5-MIN(4,1+'5. Scenarios'!$C$8))/4+INDEX(BookQ2,1100)*(5-MIN(4,2+'5. Scenarios'!$C$8))/4+INDEX(BookQ3,1100)*(5-MIN(4,3+'5. Scenarios'!$C$8))/4+INDEX(BookQ4,1100)*(5-MIN(4,4+'5. Scenarios'!$C$8))/4)*'5. Scenarios'!$C$6/(1+ProductivityDefault*('5. Scenarios'!$C$11-1))+INDEX(BookOneOff,1100)*$I1105)</f>
        <v/>
      </c>
      <c r="N1105" s="56" t="str">
        <f aca="false">IF(INDEX(BookTitle,1100)="","",INDEX(BookTotal,1100)*'5. Scenarios'!$D$6/(1+ProductivityDefault*('5. Scenarios'!$D$11-1)))</f>
        <v/>
      </c>
      <c r="O1105" s="57" t="str">
        <f aca="false">IF($N1105="","",INDEX(BookRate,1100)*(1+'5. Scenarios'!$D$10)*$N1105)</f>
        <v/>
      </c>
      <c r="P1105" s="57" t="str">
        <f aca="false">IF($O1105="","",SUMIFS($O$6:$O$2405,$A$6:$A$2405,"&lt;="&amp;$A1105))</f>
        <v/>
      </c>
      <c r="Q1105" s="57" t="str">
        <f aca="false">IF($O1105="","",IF($P1105&lt;=BankCostEnvelope*'5. Scenarios'!$D$7,1,0))</f>
        <v/>
      </c>
      <c r="R1105" s="57" t="str">
        <f aca="false">IF($N1105="","",INDEX(BookRate,1100)*(1+'5. Scenarios'!$D$10)*(INDEX(BookQ1,1100)*(5-MIN(4,1+'5. Scenarios'!$D$8))/4+INDEX(BookQ2,1100)*(5-MIN(4,2+'5. Scenarios'!$D$8))/4+INDEX(BookQ3,1100)*(5-MIN(4,3+'5. Scenarios'!$D$8))/4+INDEX(BookQ4,1100)*(5-MIN(4,4+'5. Scenarios'!$D$8))/4)*'5. Scenarios'!$D$6/(1+ProductivityDefault*('5. Scenarios'!$D$11-1))+INDEX(BookOneOff,1100)*$N1105)</f>
        <v/>
      </c>
      <c r="S1105" s="56" t="str">
        <f aca="false">IF(INDEX(BookTitle,1100)="","",INDEX(BookTotal,1100)*'5. Scenarios'!$E$6/(1+ProductivityDefault*('5. Scenarios'!$E$11-1)))</f>
        <v/>
      </c>
      <c r="T1105" s="57" t="str">
        <f aca="false">IF($S1105="","",INDEX(BookRate,1100)*(1+'5. Scenarios'!$E$10)*$S1105)</f>
        <v/>
      </c>
      <c r="U1105" s="57" t="str">
        <f aca="false">IF($T1105="","",SUMIFS($T$6:$T$2405,$A$6:$A$2405,"&lt;="&amp;$A1105))</f>
        <v/>
      </c>
      <c r="V1105" s="57" t="str">
        <f aca="false">IF($T1105="","",IF($U1105&lt;=BankCostEnvelope*'5. Scenarios'!$E$7,1,0))</f>
        <v/>
      </c>
      <c r="W1105" s="57" t="str">
        <f aca="false">IF($S1105="","",INDEX(BookRate,1100)*(1+'5. Scenarios'!$E$10)*(INDEX(BookQ1,1100)*(5-MIN(4,1+'5. Scenarios'!$E$8))/4+INDEX(BookQ2,1100)*(5-MIN(4,2+'5. Scenarios'!$E$8))/4+INDEX(BookQ3,1100)*(5-MIN(4,3+'5. Scenarios'!$E$8))/4+INDEX(BookQ4,1100)*(5-MIN(4,4+'5. Scenarios'!$E$8))/4)*'5. Scenarios'!$E$6/(1+ProductivityDefault*('5. Scenarios'!$E$11-1))+INDEX(BookOneOff,1100)*$S1105)</f>
        <v/>
      </c>
    </row>
    <row r="1106" customFormat="false" ht="15" hidden="false" customHeight="false" outlineLevel="0" collapsed="false">
      <c r="A1106" s="0" t="str">
        <f aca="false">IF(INDEX(BookTitle,1101)="","",INDEX(BookKey,1101))</f>
        <v/>
      </c>
      <c r="B1106" s="0" t="str">
        <f aca="false">IF(INDEX(BookTitle,1101)="","",INDEX(BookGroup,1101))</f>
        <v/>
      </c>
      <c r="C1106" s="0" t="str">
        <f aca="false">IF(INDEX(BookTitle,1101)="","",INDEX(BookCategory,1101))</f>
        <v/>
      </c>
      <c r="D1106" s="56" t="str">
        <f aca="false">IF(INDEX(BookTitle,1101)="","",INDEX(BookTotal,1101)*'5. Scenarios'!$B$6/(1+ProductivityDefault*('5. Scenarios'!$B$11-1)))</f>
        <v/>
      </c>
      <c r="E1106" s="57" t="str">
        <f aca="false">IF($D1106="","",INDEX(BookRate,1101)*(1+'5. Scenarios'!$B$10)*$D1106)</f>
        <v/>
      </c>
      <c r="F1106" s="57" t="str">
        <f aca="false">IF($E1106="","",SUMIFS($E$6:$E$2405,$A$6:$A$2405,"&lt;="&amp;$A1106))</f>
        <v/>
      </c>
      <c r="G1106" s="57" t="str">
        <f aca="false">IF($E1106="","",IF($F1106&lt;=BankCostEnvelope*'5. Scenarios'!$B$7,1,0))</f>
        <v/>
      </c>
      <c r="H1106" s="57" t="str">
        <f aca="false">IF($D1106="","",INDEX(BookRate,1101)*(1+'5. Scenarios'!$B$10)*(INDEX(BookQ1,1101)*(5-MIN(4,1+'5. Scenarios'!$B$8))/4+INDEX(BookQ2,1101)*(5-MIN(4,2+'5. Scenarios'!$B$8))/4+INDEX(BookQ3,1101)*(5-MIN(4,3+'5. Scenarios'!$B$8))/4+INDEX(BookQ4,1101)*(5-MIN(4,4+'5. Scenarios'!$B$8))/4)*'5. Scenarios'!$B$6/(1+ProductivityDefault*('5. Scenarios'!$B$11-1))+INDEX(BookOneOff,1101)*$D1106)</f>
        <v/>
      </c>
      <c r="I1106" s="56" t="str">
        <f aca="false">IF(INDEX(BookTitle,1101)="","",INDEX(BookTotal,1101)*'5. Scenarios'!$C$6/(1+ProductivityDefault*('5. Scenarios'!$C$11-1)))</f>
        <v/>
      </c>
      <c r="J1106" s="57" t="str">
        <f aca="false">IF($I1106="","",INDEX(BookRate,1101)*(1+'5. Scenarios'!$C$10)*$I1106)</f>
        <v/>
      </c>
      <c r="K1106" s="57" t="str">
        <f aca="false">IF($J1106="","",SUMIFS($J$6:$J$2405,$A$6:$A$2405,"&lt;="&amp;$A1106))</f>
        <v/>
      </c>
      <c r="L1106" s="57" t="str">
        <f aca="false">IF($J1106="","",IF($K1106&lt;=BankCostEnvelope*'5. Scenarios'!$C$7,1,0))</f>
        <v/>
      </c>
      <c r="M1106" s="57" t="str">
        <f aca="false">IF($I1106="","",INDEX(BookRate,1101)*(1+'5. Scenarios'!$C$10)*(INDEX(BookQ1,1101)*(5-MIN(4,1+'5. Scenarios'!$C$8))/4+INDEX(BookQ2,1101)*(5-MIN(4,2+'5. Scenarios'!$C$8))/4+INDEX(BookQ3,1101)*(5-MIN(4,3+'5. Scenarios'!$C$8))/4+INDEX(BookQ4,1101)*(5-MIN(4,4+'5. Scenarios'!$C$8))/4)*'5. Scenarios'!$C$6/(1+ProductivityDefault*('5. Scenarios'!$C$11-1))+INDEX(BookOneOff,1101)*$I1106)</f>
        <v/>
      </c>
      <c r="N1106" s="56" t="str">
        <f aca="false">IF(INDEX(BookTitle,1101)="","",INDEX(BookTotal,1101)*'5. Scenarios'!$D$6/(1+ProductivityDefault*('5. Scenarios'!$D$11-1)))</f>
        <v/>
      </c>
      <c r="O1106" s="57" t="str">
        <f aca="false">IF($N1106="","",INDEX(BookRate,1101)*(1+'5. Scenarios'!$D$10)*$N1106)</f>
        <v/>
      </c>
      <c r="P1106" s="57" t="str">
        <f aca="false">IF($O1106="","",SUMIFS($O$6:$O$2405,$A$6:$A$2405,"&lt;="&amp;$A1106))</f>
        <v/>
      </c>
      <c r="Q1106" s="57" t="str">
        <f aca="false">IF($O1106="","",IF($P1106&lt;=BankCostEnvelope*'5. Scenarios'!$D$7,1,0))</f>
        <v/>
      </c>
      <c r="R1106" s="57" t="str">
        <f aca="false">IF($N1106="","",INDEX(BookRate,1101)*(1+'5. Scenarios'!$D$10)*(INDEX(BookQ1,1101)*(5-MIN(4,1+'5. Scenarios'!$D$8))/4+INDEX(BookQ2,1101)*(5-MIN(4,2+'5. Scenarios'!$D$8))/4+INDEX(BookQ3,1101)*(5-MIN(4,3+'5. Scenarios'!$D$8))/4+INDEX(BookQ4,1101)*(5-MIN(4,4+'5. Scenarios'!$D$8))/4)*'5. Scenarios'!$D$6/(1+ProductivityDefault*('5. Scenarios'!$D$11-1))+INDEX(BookOneOff,1101)*$N1106)</f>
        <v/>
      </c>
      <c r="S1106" s="56" t="str">
        <f aca="false">IF(INDEX(BookTitle,1101)="","",INDEX(BookTotal,1101)*'5. Scenarios'!$E$6/(1+ProductivityDefault*('5. Scenarios'!$E$11-1)))</f>
        <v/>
      </c>
      <c r="T1106" s="57" t="str">
        <f aca="false">IF($S1106="","",INDEX(BookRate,1101)*(1+'5. Scenarios'!$E$10)*$S1106)</f>
        <v/>
      </c>
      <c r="U1106" s="57" t="str">
        <f aca="false">IF($T1106="","",SUMIFS($T$6:$T$2405,$A$6:$A$2405,"&lt;="&amp;$A1106))</f>
        <v/>
      </c>
      <c r="V1106" s="57" t="str">
        <f aca="false">IF($T1106="","",IF($U1106&lt;=BankCostEnvelope*'5. Scenarios'!$E$7,1,0))</f>
        <v/>
      </c>
      <c r="W1106" s="57" t="str">
        <f aca="false">IF($S1106="","",INDEX(BookRate,1101)*(1+'5. Scenarios'!$E$10)*(INDEX(BookQ1,1101)*(5-MIN(4,1+'5. Scenarios'!$E$8))/4+INDEX(BookQ2,1101)*(5-MIN(4,2+'5. Scenarios'!$E$8))/4+INDEX(BookQ3,1101)*(5-MIN(4,3+'5. Scenarios'!$E$8))/4+INDEX(BookQ4,1101)*(5-MIN(4,4+'5. Scenarios'!$E$8))/4)*'5. Scenarios'!$E$6/(1+ProductivityDefault*('5. Scenarios'!$E$11-1))+INDEX(BookOneOff,1101)*$S1106)</f>
        <v/>
      </c>
    </row>
    <row r="1107" customFormat="false" ht="15" hidden="false" customHeight="false" outlineLevel="0" collapsed="false">
      <c r="A1107" s="0" t="str">
        <f aca="false">IF(INDEX(BookTitle,1102)="","",INDEX(BookKey,1102))</f>
        <v/>
      </c>
      <c r="B1107" s="0" t="str">
        <f aca="false">IF(INDEX(BookTitle,1102)="","",INDEX(BookGroup,1102))</f>
        <v/>
      </c>
      <c r="C1107" s="0" t="str">
        <f aca="false">IF(INDEX(BookTitle,1102)="","",INDEX(BookCategory,1102))</f>
        <v/>
      </c>
      <c r="D1107" s="56" t="str">
        <f aca="false">IF(INDEX(BookTitle,1102)="","",INDEX(BookTotal,1102)*'5. Scenarios'!$B$6/(1+ProductivityDefault*('5. Scenarios'!$B$11-1)))</f>
        <v/>
      </c>
      <c r="E1107" s="57" t="str">
        <f aca="false">IF($D1107="","",INDEX(BookRate,1102)*(1+'5. Scenarios'!$B$10)*$D1107)</f>
        <v/>
      </c>
      <c r="F1107" s="57" t="str">
        <f aca="false">IF($E1107="","",SUMIFS($E$6:$E$2405,$A$6:$A$2405,"&lt;="&amp;$A1107))</f>
        <v/>
      </c>
      <c r="G1107" s="57" t="str">
        <f aca="false">IF($E1107="","",IF($F1107&lt;=BankCostEnvelope*'5. Scenarios'!$B$7,1,0))</f>
        <v/>
      </c>
      <c r="H1107" s="57" t="str">
        <f aca="false">IF($D1107="","",INDEX(BookRate,1102)*(1+'5. Scenarios'!$B$10)*(INDEX(BookQ1,1102)*(5-MIN(4,1+'5. Scenarios'!$B$8))/4+INDEX(BookQ2,1102)*(5-MIN(4,2+'5. Scenarios'!$B$8))/4+INDEX(BookQ3,1102)*(5-MIN(4,3+'5. Scenarios'!$B$8))/4+INDEX(BookQ4,1102)*(5-MIN(4,4+'5. Scenarios'!$B$8))/4)*'5. Scenarios'!$B$6/(1+ProductivityDefault*('5. Scenarios'!$B$11-1))+INDEX(BookOneOff,1102)*$D1107)</f>
        <v/>
      </c>
      <c r="I1107" s="56" t="str">
        <f aca="false">IF(INDEX(BookTitle,1102)="","",INDEX(BookTotal,1102)*'5. Scenarios'!$C$6/(1+ProductivityDefault*('5. Scenarios'!$C$11-1)))</f>
        <v/>
      </c>
      <c r="J1107" s="57" t="str">
        <f aca="false">IF($I1107="","",INDEX(BookRate,1102)*(1+'5. Scenarios'!$C$10)*$I1107)</f>
        <v/>
      </c>
      <c r="K1107" s="57" t="str">
        <f aca="false">IF($J1107="","",SUMIFS($J$6:$J$2405,$A$6:$A$2405,"&lt;="&amp;$A1107))</f>
        <v/>
      </c>
      <c r="L1107" s="57" t="str">
        <f aca="false">IF($J1107="","",IF($K1107&lt;=BankCostEnvelope*'5. Scenarios'!$C$7,1,0))</f>
        <v/>
      </c>
      <c r="M1107" s="57" t="str">
        <f aca="false">IF($I1107="","",INDEX(BookRate,1102)*(1+'5. Scenarios'!$C$10)*(INDEX(BookQ1,1102)*(5-MIN(4,1+'5. Scenarios'!$C$8))/4+INDEX(BookQ2,1102)*(5-MIN(4,2+'5. Scenarios'!$C$8))/4+INDEX(BookQ3,1102)*(5-MIN(4,3+'5. Scenarios'!$C$8))/4+INDEX(BookQ4,1102)*(5-MIN(4,4+'5. Scenarios'!$C$8))/4)*'5. Scenarios'!$C$6/(1+ProductivityDefault*('5. Scenarios'!$C$11-1))+INDEX(BookOneOff,1102)*$I1107)</f>
        <v/>
      </c>
      <c r="N1107" s="56" t="str">
        <f aca="false">IF(INDEX(BookTitle,1102)="","",INDEX(BookTotal,1102)*'5. Scenarios'!$D$6/(1+ProductivityDefault*('5. Scenarios'!$D$11-1)))</f>
        <v/>
      </c>
      <c r="O1107" s="57" t="str">
        <f aca="false">IF($N1107="","",INDEX(BookRate,1102)*(1+'5. Scenarios'!$D$10)*$N1107)</f>
        <v/>
      </c>
      <c r="P1107" s="57" t="str">
        <f aca="false">IF($O1107="","",SUMIFS($O$6:$O$2405,$A$6:$A$2405,"&lt;="&amp;$A1107))</f>
        <v/>
      </c>
      <c r="Q1107" s="57" t="str">
        <f aca="false">IF($O1107="","",IF($P1107&lt;=BankCostEnvelope*'5. Scenarios'!$D$7,1,0))</f>
        <v/>
      </c>
      <c r="R1107" s="57" t="str">
        <f aca="false">IF($N1107="","",INDEX(BookRate,1102)*(1+'5. Scenarios'!$D$10)*(INDEX(BookQ1,1102)*(5-MIN(4,1+'5. Scenarios'!$D$8))/4+INDEX(BookQ2,1102)*(5-MIN(4,2+'5. Scenarios'!$D$8))/4+INDEX(BookQ3,1102)*(5-MIN(4,3+'5. Scenarios'!$D$8))/4+INDEX(BookQ4,1102)*(5-MIN(4,4+'5. Scenarios'!$D$8))/4)*'5. Scenarios'!$D$6/(1+ProductivityDefault*('5. Scenarios'!$D$11-1))+INDEX(BookOneOff,1102)*$N1107)</f>
        <v/>
      </c>
      <c r="S1107" s="56" t="str">
        <f aca="false">IF(INDEX(BookTitle,1102)="","",INDEX(BookTotal,1102)*'5. Scenarios'!$E$6/(1+ProductivityDefault*('5. Scenarios'!$E$11-1)))</f>
        <v/>
      </c>
      <c r="T1107" s="57" t="str">
        <f aca="false">IF($S1107="","",INDEX(BookRate,1102)*(1+'5. Scenarios'!$E$10)*$S1107)</f>
        <v/>
      </c>
      <c r="U1107" s="57" t="str">
        <f aca="false">IF($T1107="","",SUMIFS($T$6:$T$2405,$A$6:$A$2405,"&lt;="&amp;$A1107))</f>
        <v/>
      </c>
      <c r="V1107" s="57" t="str">
        <f aca="false">IF($T1107="","",IF($U1107&lt;=BankCostEnvelope*'5. Scenarios'!$E$7,1,0))</f>
        <v/>
      </c>
      <c r="W1107" s="57" t="str">
        <f aca="false">IF($S1107="","",INDEX(BookRate,1102)*(1+'5. Scenarios'!$E$10)*(INDEX(BookQ1,1102)*(5-MIN(4,1+'5. Scenarios'!$E$8))/4+INDEX(BookQ2,1102)*(5-MIN(4,2+'5. Scenarios'!$E$8))/4+INDEX(BookQ3,1102)*(5-MIN(4,3+'5. Scenarios'!$E$8))/4+INDEX(BookQ4,1102)*(5-MIN(4,4+'5. Scenarios'!$E$8))/4)*'5. Scenarios'!$E$6/(1+ProductivityDefault*('5. Scenarios'!$E$11-1))+INDEX(BookOneOff,1102)*$S1107)</f>
        <v/>
      </c>
    </row>
    <row r="1108" customFormat="false" ht="15" hidden="false" customHeight="false" outlineLevel="0" collapsed="false">
      <c r="A1108" s="0" t="str">
        <f aca="false">IF(INDEX(BookTitle,1103)="","",INDEX(BookKey,1103))</f>
        <v/>
      </c>
      <c r="B1108" s="0" t="str">
        <f aca="false">IF(INDEX(BookTitle,1103)="","",INDEX(BookGroup,1103))</f>
        <v/>
      </c>
      <c r="C1108" s="0" t="str">
        <f aca="false">IF(INDEX(BookTitle,1103)="","",INDEX(BookCategory,1103))</f>
        <v/>
      </c>
      <c r="D1108" s="56" t="str">
        <f aca="false">IF(INDEX(BookTitle,1103)="","",INDEX(BookTotal,1103)*'5. Scenarios'!$B$6/(1+ProductivityDefault*('5. Scenarios'!$B$11-1)))</f>
        <v/>
      </c>
      <c r="E1108" s="57" t="str">
        <f aca="false">IF($D1108="","",INDEX(BookRate,1103)*(1+'5. Scenarios'!$B$10)*$D1108)</f>
        <v/>
      </c>
      <c r="F1108" s="57" t="str">
        <f aca="false">IF($E1108="","",SUMIFS($E$6:$E$2405,$A$6:$A$2405,"&lt;="&amp;$A1108))</f>
        <v/>
      </c>
      <c r="G1108" s="57" t="str">
        <f aca="false">IF($E1108="","",IF($F1108&lt;=BankCostEnvelope*'5. Scenarios'!$B$7,1,0))</f>
        <v/>
      </c>
      <c r="H1108" s="57" t="str">
        <f aca="false">IF($D1108="","",INDEX(BookRate,1103)*(1+'5. Scenarios'!$B$10)*(INDEX(BookQ1,1103)*(5-MIN(4,1+'5. Scenarios'!$B$8))/4+INDEX(BookQ2,1103)*(5-MIN(4,2+'5. Scenarios'!$B$8))/4+INDEX(BookQ3,1103)*(5-MIN(4,3+'5. Scenarios'!$B$8))/4+INDEX(BookQ4,1103)*(5-MIN(4,4+'5. Scenarios'!$B$8))/4)*'5. Scenarios'!$B$6/(1+ProductivityDefault*('5. Scenarios'!$B$11-1))+INDEX(BookOneOff,1103)*$D1108)</f>
        <v/>
      </c>
      <c r="I1108" s="56" t="str">
        <f aca="false">IF(INDEX(BookTitle,1103)="","",INDEX(BookTotal,1103)*'5. Scenarios'!$C$6/(1+ProductivityDefault*('5. Scenarios'!$C$11-1)))</f>
        <v/>
      </c>
      <c r="J1108" s="57" t="str">
        <f aca="false">IF($I1108="","",INDEX(BookRate,1103)*(1+'5. Scenarios'!$C$10)*$I1108)</f>
        <v/>
      </c>
      <c r="K1108" s="57" t="str">
        <f aca="false">IF($J1108="","",SUMIFS($J$6:$J$2405,$A$6:$A$2405,"&lt;="&amp;$A1108))</f>
        <v/>
      </c>
      <c r="L1108" s="57" t="str">
        <f aca="false">IF($J1108="","",IF($K1108&lt;=BankCostEnvelope*'5. Scenarios'!$C$7,1,0))</f>
        <v/>
      </c>
      <c r="M1108" s="57" t="str">
        <f aca="false">IF($I1108="","",INDEX(BookRate,1103)*(1+'5. Scenarios'!$C$10)*(INDEX(BookQ1,1103)*(5-MIN(4,1+'5. Scenarios'!$C$8))/4+INDEX(BookQ2,1103)*(5-MIN(4,2+'5. Scenarios'!$C$8))/4+INDEX(BookQ3,1103)*(5-MIN(4,3+'5. Scenarios'!$C$8))/4+INDEX(BookQ4,1103)*(5-MIN(4,4+'5. Scenarios'!$C$8))/4)*'5. Scenarios'!$C$6/(1+ProductivityDefault*('5. Scenarios'!$C$11-1))+INDEX(BookOneOff,1103)*$I1108)</f>
        <v/>
      </c>
      <c r="N1108" s="56" t="str">
        <f aca="false">IF(INDEX(BookTitle,1103)="","",INDEX(BookTotal,1103)*'5. Scenarios'!$D$6/(1+ProductivityDefault*('5. Scenarios'!$D$11-1)))</f>
        <v/>
      </c>
      <c r="O1108" s="57" t="str">
        <f aca="false">IF($N1108="","",INDEX(BookRate,1103)*(1+'5. Scenarios'!$D$10)*$N1108)</f>
        <v/>
      </c>
      <c r="P1108" s="57" t="str">
        <f aca="false">IF($O1108="","",SUMIFS($O$6:$O$2405,$A$6:$A$2405,"&lt;="&amp;$A1108))</f>
        <v/>
      </c>
      <c r="Q1108" s="57" t="str">
        <f aca="false">IF($O1108="","",IF($P1108&lt;=BankCostEnvelope*'5. Scenarios'!$D$7,1,0))</f>
        <v/>
      </c>
      <c r="R1108" s="57" t="str">
        <f aca="false">IF($N1108="","",INDEX(BookRate,1103)*(1+'5. Scenarios'!$D$10)*(INDEX(BookQ1,1103)*(5-MIN(4,1+'5. Scenarios'!$D$8))/4+INDEX(BookQ2,1103)*(5-MIN(4,2+'5. Scenarios'!$D$8))/4+INDEX(BookQ3,1103)*(5-MIN(4,3+'5. Scenarios'!$D$8))/4+INDEX(BookQ4,1103)*(5-MIN(4,4+'5. Scenarios'!$D$8))/4)*'5. Scenarios'!$D$6/(1+ProductivityDefault*('5. Scenarios'!$D$11-1))+INDEX(BookOneOff,1103)*$N1108)</f>
        <v/>
      </c>
      <c r="S1108" s="56" t="str">
        <f aca="false">IF(INDEX(BookTitle,1103)="","",INDEX(BookTotal,1103)*'5. Scenarios'!$E$6/(1+ProductivityDefault*('5. Scenarios'!$E$11-1)))</f>
        <v/>
      </c>
      <c r="T1108" s="57" t="str">
        <f aca="false">IF($S1108="","",INDEX(BookRate,1103)*(1+'5. Scenarios'!$E$10)*$S1108)</f>
        <v/>
      </c>
      <c r="U1108" s="57" t="str">
        <f aca="false">IF($T1108="","",SUMIFS($T$6:$T$2405,$A$6:$A$2405,"&lt;="&amp;$A1108))</f>
        <v/>
      </c>
      <c r="V1108" s="57" t="str">
        <f aca="false">IF($T1108="","",IF($U1108&lt;=BankCostEnvelope*'5. Scenarios'!$E$7,1,0))</f>
        <v/>
      </c>
      <c r="W1108" s="57" t="str">
        <f aca="false">IF($S1108="","",INDEX(BookRate,1103)*(1+'5. Scenarios'!$E$10)*(INDEX(BookQ1,1103)*(5-MIN(4,1+'5. Scenarios'!$E$8))/4+INDEX(BookQ2,1103)*(5-MIN(4,2+'5. Scenarios'!$E$8))/4+INDEX(BookQ3,1103)*(5-MIN(4,3+'5. Scenarios'!$E$8))/4+INDEX(BookQ4,1103)*(5-MIN(4,4+'5. Scenarios'!$E$8))/4)*'5. Scenarios'!$E$6/(1+ProductivityDefault*('5. Scenarios'!$E$11-1))+INDEX(BookOneOff,1103)*$S1108)</f>
        <v/>
      </c>
    </row>
    <row r="1109" customFormat="false" ht="15" hidden="false" customHeight="false" outlineLevel="0" collapsed="false">
      <c r="A1109" s="0" t="str">
        <f aca="false">IF(INDEX(BookTitle,1104)="","",INDEX(BookKey,1104))</f>
        <v/>
      </c>
      <c r="B1109" s="0" t="str">
        <f aca="false">IF(INDEX(BookTitle,1104)="","",INDEX(BookGroup,1104))</f>
        <v/>
      </c>
      <c r="C1109" s="0" t="str">
        <f aca="false">IF(INDEX(BookTitle,1104)="","",INDEX(BookCategory,1104))</f>
        <v/>
      </c>
      <c r="D1109" s="56" t="str">
        <f aca="false">IF(INDEX(BookTitle,1104)="","",INDEX(BookTotal,1104)*'5. Scenarios'!$B$6/(1+ProductivityDefault*('5. Scenarios'!$B$11-1)))</f>
        <v/>
      </c>
      <c r="E1109" s="57" t="str">
        <f aca="false">IF($D1109="","",INDEX(BookRate,1104)*(1+'5. Scenarios'!$B$10)*$D1109)</f>
        <v/>
      </c>
      <c r="F1109" s="57" t="str">
        <f aca="false">IF($E1109="","",SUMIFS($E$6:$E$2405,$A$6:$A$2405,"&lt;="&amp;$A1109))</f>
        <v/>
      </c>
      <c r="G1109" s="57" t="str">
        <f aca="false">IF($E1109="","",IF($F1109&lt;=BankCostEnvelope*'5. Scenarios'!$B$7,1,0))</f>
        <v/>
      </c>
      <c r="H1109" s="57" t="str">
        <f aca="false">IF($D1109="","",INDEX(BookRate,1104)*(1+'5. Scenarios'!$B$10)*(INDEX(BookQ1,1104)*(5-MIN(4,1+'5. Scenarios'!$B$8))/4+INDEX(BookQ2,1104)*(5-MIN(4,2+'5. Scenarios'!$B$8))/4+INDEX(BookQ3,1104)*(5-MIN(4,3+'5. Scenarios'!$B$8))/4+INDEX(BookQ4,1104)*(5-MIN(4,4+'5. Scenarios'!$B$8))/4)*'5. Scenarios'!$B$6/(1+ProductivityDefault*('5. Scenarios'!$B$11-1))+INDEX(BookOneOff,1104)*$D1109)</f>
        <v/>
      </c>
      <c r="I1109" s="56" t="str">
        <f aca="false">IF(INDEX(BookTitle,1104)="","",INDEX(BookTotal,1104)*'5. Scenarios'!$C$6/(1+ProductivityDefault*('5. Scenarios'!$C$11-1)))</f>
        <v/>
      </c>
      <c r="J1109" s="57" t="str">
        <f aca="false">IF($I1109="","",INDEX(BookRate,1104)*(1+'5. Scenarios'!$C$10)*$I1109)</f>
        <v/>
      </c>
      <c r="K1109" s="57" t="str">
        <f aca="false">IF($J1109="","",SUMIFS($J$6:$J$2405,$A$6:$A$2405,"&lt;="&amp;$A1109))</f>
        <v/>
      </c>
      <c r="L1109" s="57" t="str">
        <f aca="false">IF($J1109="","",IF($K1109&lt;=BankCostEnvelope*'5. Scenarios'!$C$7,1,0))</f>
        <v/>
      </c>
      <c r="M1109" s="57" t="str">
        <f aca="false">IF($I1109="","",INDEX(BookRate,1104)*(1+'5. Scenarios'!$C$10)*(INDEX(BookQ1,1104)*(5-MIN(4,1+'5. Scenarios'!$C$8))/4+INDEX(BookQ2,1104)*(5-MIN(4,2+'5. Scenarios'!$C$8))/4+INDEX(BookQ3,1104)*(5-MIN(4,3+'5. Scenarios'!$C$8))/4+INDEX(BookQ4,1104)*(5-MIN(4,4+'5. Scenarios'!$C$8))/4)*'5. Scenarios'!$C$6/(1+ProductivityDefault*('5. Scenarios'!$C$11-1))+INDEX(BookOneOff,1104)*$I1109)</f>
        <v/>
      </c>
      <c r="N1109" s="56" t="str">
        <f aca="false">IF(INDEX(BookTitle,1104)="","",INDEX(BookTotal,1104)*'5. Scenarios'!$D$6/(1+ProductivityDefault*('5. Scenarios'!$D$11-1)))</f>
        <v/>
      </c>
      <c r="O1109" s="57" t="str">
        <f aca="false">IF($N1109="","",INDEX(BookRate,1104)*(1+'5. Scenarios'!$D$10)*$N1109)</f>
        <v/>
      </c>
      <c r="P1109" s="57" t="str">
        <f aca="false">IF($O1109="","",SUMIFS($O$6:$O$2405,$A$6:$A$2405,"&lt;="&amp;$A1109))</f>
        <v/>
      </c>
      <c r="Q1109" s="57" t="str">
        <f aca="false">IF($O1109="","",IF($P1109&lt;=BankCostEnvelope*'5. Scenarios'!$D$7,1,0))</f>
        <v/>
      </c>
      <c r="R1109" s="57" t="str">
        <f aca="false">IF($N1109="","",INDEX(BookRate,1104)*(1+'5. Scenarios'!$D$10)*(INDEX(BookQ1,1104)*(5-MIN(4,1+'5. Scenarios'!$D$8))/4+INDEX(BookQ2,1104)*(5-MIN(4,2+'5. Scenarios'!$D$8))/4+INDEX(BookQ3,1104)*(5-MIN(4,3+'5. Scenarios'!$D$8))/4+INDEX(BookQ4,1104)*(5-MIN(4,4+'5. Scenarios'!$D$8))/4)*'5. Scenarios'!$D$6/(1+ProductivityDefault*('5. Scenarios'!$D$11-1))+INDEX(BookOneOff,1104)*$N1109)</f>
        <v/>
      </c>
      <c r="S1109" s="56" t="str">
        <f aca="false">IF(INDEX(BookTitle,1104)="","",INDEX(BookTotal,1104)*'5. Scenarios'!$E$6/(1+ProductivityDefault*('5. Scenarios'!$E$11-1)))</f>
        <v/>
      </c>
      <c r="T1109" s="57" t="str">
        <f aca="false">IF($S1109="","",INDEX(BookRate,1104)*(1+'5. Scenarios'!$E$10)*$S1109)</f>
        <v/>
      </c>
      <c r="U1109" s="57" t="str">
        <f aca="false">IF($T1109="","",SUMIFS($T$6:$T$2405,$A$6:$A$2405,"&lt;="&amp;$A1109))</f>
        <v/>
      </c>
      <c r="V1109" s="57" t="str">
        <f aca="false">IF($T1109="","",IF($U1109&lt;=BankCostEnvelope*'5. Scenarios'!$E$7,1,0))</f>
        <v/>
      </c>
      <c r="W1109" s="57" t="str">
        <f aca="false">IF($S1109="","",INDEX(BookRate,1104)*(1+'5. Scenarios'!$E$10)*(INDEX(BookQ1,1104)*(5-MIN(4,1+'5. Scenarios'!$E$8))/4+INDEX(BookQ2,1104)*(5-MIN(4,2+'5. Scenarios'!$E$8))/4+INDEX(BookQ3,1104)*(5-MIN(4,3+'5. Scenarios'!$E$8))/4+INDEX(BookQ4,1104)*(5-MIN(4,4+'5. Scenarios'!$E$8))/4)*'5. Scenarios'!$E$6/(1+ProductivityDefault*('5. Scenarios'!$E$11-1))+INDEX(BookOneOff,1104)*$S1109)</f>
        <v/>
      </c>
    </row>
    <row r="1110" customFormat="false" ht="15" hidden="false" customHeight="false" outlineLevel="0" collapsed="false">
      <c r="A1110" s="0" t="str">
        <f aca="false">IF(INDEX(BookTitle,1105)="","",INDEX(BookKey,1105))</f>
        <v/>
      </c>
      <c r="B1110" s="0" t="str">
        <f aca="false">IF(INDEX(BookTitle,1105)="","",INDEX(BookGroup,1105))</f>
        <v/>
      </c>
      <c r="C1110" s="0" t="str">
        <f aca="false">IF(INDEX(BookTitle,1105)="","",INDEX(BookCategory,1105))</f>
        <v/>
      </c>
      <c r="D1110" s="56" t="str">
        <f aca="false">IF(INDEX(BookTitle,1105)="","",INDEX(BookTotal,1105)*'5. Scenarios'!$B$6/(1+ProductivityDefault*('5. Scenarios'!$B$11-1)))</f>
        <v/>
      </c>
      <c r="E1110" s="57" t="str">
        <f aca="false">IF($D1110="","",INDEX(BookRate,1105)*(1+'5. Scenarios'!$B$10)*$D1110)</f>
        <v/>
      </c>
      <c r="F1110" s="57" t="str">
        <f aca="false">IF($E1110="","",SUMIFS($E$6:$E$2405,$A$6:$A$2405,"&lt;="&amp;$A1110))</f>
        <v/>
      </c>
      <c r="G1110" s="57" t="str">
        <f aca="false">IF($E1110="","",IF($F1110&lt;=BankCostEnvelope*'5. Scenarios'!$B$7,1,0))</f>
        <v/>
      </c>
      <c r="H1110" s="57" t="str">
        <f aca="false">IF($D1110="","",INDEX(BookRate,1105)*(1+'5. Scenarios'!$B$10)*(INDEX(BookQ1,1105)*(5-MIN(4,1+'5. Scenarios'!$B$8))/4+INDEX(BookQ2,1105)*(5-MIN(4,2+'5. Scenarios'!$B$8))/4+INDEX(BookQ3,1105)*(5-MIN(4,3+'5. Scenarios'!$B$8))/4+INDEX(BookQ4,1105)*(5-MIN(4,4+'5. Scenarios'!$B$8))/4)*'5. Scenarios'!$B$6/(1+ProductivityDefault*('5. Scenarios'!$B$11-1))+INDEX(BookOneOff,1105)*$D1110)</f>
        <v/>
      </c>
      <c r="I1110" s="56" t="str">
        <f aca="false">IF(INDEX(BookTitle,1105)="","",INDEX(BookTotal,1105)*'5. Scenarios'!$C$6/(1+ProductivityDefault*('5. Scenarios'!$C$11-1)))</f>
        <v/>
      </c>
      <c r="J1110" s="57" t="str">
        <f aca="false">IF($I1110="","",INDEX(BookRate,1105)*(1+'5. Scenarios'!$C$10)*$I1110)</f>
        <v/>
      </c>
      <c r="K1110" s="57" t="str">
        <f aca="false">IF($J1110="","",SUMIFS($J$6:$J$2405,$A$6:$A$2405,"&lt;="&amp;$A1110))</f>
        <v/>
      </c>
      <c r="L1110" s="57" t="str">
        <f aca="false">IF($J1110="","",IF($K1110&lt;=BankCostEnvelope*'5. Scenarios'!$C$7,1,0))</f>
        <v/>
      </c>
      <c r="M1110" s="57" t="str">
        <f aca="false">IF($I1110="","",INDEX(BookRate,1105)*(1+'5. Scenarios'!$C$10)*(INDEX(BookQ1,1105)*(5-MIN(4,1+'5. Scenarios'!$C$8))/4+INDEX(BookQ2,1105)*(5-MIN(4,2+'5. Scenarios'!$C$8))/4+INDEX(BookQ3,1105)*(5-MIN(4,3+'5. Scenarios'!$C$8))/4+INDEX(BookQ4,1105)*(5-MIN(4,4+'5. Scenarios'!$C$8))/4)*'5. Scenarios'!$C$6/(1+ProductivityDefault*('5. Scenarios'!$C$11-1))+INDEX(BookOneOff,1105)*$I1110)</f>
        <v/>
      </c>
      <c r="N1110" s="56" t="str">
        <f aca="false">IF(INDEX(BookTitle,1105)="","",INDEX(BookTotal,1105)*'5. Scenarios'!$D$6/(1+ProductivityDefault*('5. Scenarios'!$D$11-1)))</f>
        <v/>
      </c>
      <c r="O1110" s="57" t="str">
        <f aca="false">IF($N1110="","",INDEX(BookRate,1105)*(1+'5. Scenarios'!$D$10)*$N1110)</f>
        <v/>
      </c>
      <c r="P1110" s="57" t="str">
        <f aca="false">IF($O1110="","",SUMIFS($O$6:$O$2405,$A$6:$A$2405,"&lt;="&amp;$A1110))</f>
        <v/>
      </c>
      <c r="Q1110" s="57" t="str">
        <f aca="false">IF($O1110="","",IF($P1110&lt;=BankCostEnvelope*'5. Scenarios'!$D$7,1,0))</f>
        <v/>
      </c>
      <c r="R1110" s="57" t="str">
        <f aca="false">IF($N1110="","",INDEX(BookRate,1105)*(1+'5. Scenarios'!$D$10)*(INDEX(BookQ1,1105)*(5-MIN(4,1+'5. Scenarios'!$D$8))/4+INDEX(BookQ2,1105)*(5-MIN(4,2+'5. Scenarios'!$D$8))/4+INDEX(BookQ3,1105)*(5-MIN(4,3+'5. Scenarios'!$D$8))/4+INDEX(BookQ4,1105)*(5-MIN(4,4+'5. Scenarios'!$D$8))/4)*'5. Scenarios'!$D$6/(1+ProductivityDefault*('5. Scenarios'!$D$11-1))+INDEX(BookOneOff,1105)*$N1110)</f>
        <v/>
      </c>
      <c r="S1110" s="56" t="str">
        <f aca="false">IF(INDEX(BookTitle,1105)="","",INDEX(BookTotal,1105)*'5. Scenarios'!$E$6/(1+ProductivityDefault*('5. Scenarios'!$E$11-1)))</f>
        <v/>
      </c>
      <c r="T1110" s="57" t="str">
        <f aca="false">IF($S1110="","",INDEX(BookRate,1105)*(1+'5. Scenarios'!$E$10)*$S1110)</f>
        <v/>
      </c>
      <c r="U1110" s="57" t="str">
        <f aca="false">IF($T1110="","",SUMIFS($T$6:$T$2405,$A$6:$A$2405,"&lt;="&amp;$A1110))</f>
        <v/>
      </c>
      <c r="V1110" s="57" t="str">
        <f aca="false">IF($T1110="","",IF($U1110&lt;=BankCostEnvelope*'5. Scenarios'!$E$7,1,0))</f>
        <v/>
      </c>
      <c r="W1110" s="57" t="str">
        <f aca="false">IF($S1110="","",INDEX(BookRate,1105)*(1+'5. Scenarios'!$E$10)*(INDEX(BookQ1,1105)*(5-MIN(4,1+'5. Scenarios'!$E$8))/4+INDEX(BookQ2,1105)*(5-MIN(4,2+'5. Scenarios'!$E$8))/4+INDEX(BookQ3,1105)*(5-MIN(4,3+'5. Scenarios'!$E$8))/4+INDEX(BookQ4,1105)*(5-MIN(4,4+'5. Scenarios'!$E$8))/4)*'5. Scenarios'!$E$6/(1+ProductivityDefault*('5. Scenarios'!$E$11-1))+INDEX(BookOneOff,1105)*$S1110)</f>
        <v/>
      </c>
    </row>
    <row r="1111" customFormat="false" ht="15" hidden="false" customHeight="false" outlineLevel="0" collapsed="false">
      <c r="A1111" s="0" t="str">
        <f aca="false">IF(INDEX(BookTitle,1106)="","",INDEX(BookKey,1106))</f>
        <v/>
      </c>
      <c r="B1111" s="0" t="str">
        <f aca="false">IF(INDEX(BookTitle,1106)="","",INDEX(BookGroup,1106))</f>
        <v/>
      </c>
      <c r="C1111" s="0" t="str">
        <f aca="false">IF(INDEX(BookTitle,1106)="","",INDEX(BookCategory,1106))</f>
        <v/>
      </c>
      <c r="D1111" s="56" t="str">
        <f aca="false">IF(INDEX(BookTitle,1106)="","",INDEX(BookTotal,1106)*'5. Scenarios'!$B$6/(1+ProductivityDefault*('5. Scenarios'!$B$11-1)))</f>
        <v/>
      </c>
      <c r="E1111" s="57" t="str">
        <f aca="false">IF($D1111="","",INDEX(BookRate,1106)*(1+'5. Scenarios'!$B$10)*$D1111)</f>
        <v/>
      </c>
      <c r="F1111" s="57" t="str">
        <f aca="false">IF($E1111="","",SUMIFS($E$6:$E$2405,$A$6:$A$2405,"&lt;="&amp;$A1111))</f>
        <v/>
      </c>
      <c r="G1111" s="57" t="str">
        <f aca="false">IF($E1111="","",IF($F1111&lt;=BankCostEnvelope*'5. Scenarios'!$B$7,1,0))</f>
        <v/>
      </c>
      <c r="H1111" s="57" t="str">
        <f aca="false">IF($D1111="","",INDEX(BookRate,1106)*(1+'5. Scenarios'!$B$10)*(INDEX(BookQ1,1106)*(5-MIN(4,1+'5. Scenarios'!$B$8))/4+INDEX(BookQ2,1106)*(5-MIN(4,2+'5. Scenarios'!$B$8))/4+INDEX(BookQ3,1106)*(5-MIN(4,3+'5. Scenarios'!$B$8))/4+INDEX(BookQ4,1106)*(5-MIN(4,4+'5. Scenarios'!$B$8))/4)*'5. Scenarios'!$B$6/(1+ProductivityDefault*('5. Scenarios'!$B$11-1))+INDEX(BookOneOff,1106)*$D1111)</f>
        <v/>
      </c>
      <c r="I1111" s="56" t="str">
        <f aca="false">IF(INDEX(BookTitle,1106)="","",INDEX(BookTotal,1106)*'5. Scenarios'!$C$6/(1+ProductivityDefault*('5. Scenarios'!$C$11-1)))</f>
        <v/>
      </c>
      <c r="J1111" s="57" t="str">
        <f aca="false">IF($I1111="","",INDEX(BookRate,1106)*(1+'5. Scenarios'!$C$10)*$I1111)</f>
        <v/>
      </c>
      <c r="K1111" s="57" t="str">
        <f aca="false">IF($J1111="","",SUMIFS($J$6:$J$2405,$A$6:$A$2405,"&lt;="&amp;$A1111))</f>
        <v/>
      </c>
      <c r="L1111" s="57" t="str">
        <f aca="false">IF($J1111="","",IF($K1111&lt;=BankCostEnvelope*'5. Scenarios'!$C$7,1,0))</f>
        <v/>
      </c>
      <c r="M1111" s="57" t="str">
        <f aca="false">IF($I1111="","",INDEX(BookRate,1106)*(1+'5. Scenarios'!$C$10)*(INDEX(BookQ1,1106)*(5-MIN(4,1+'5. Scenarios'!$C$8))/4+INDEX(BookQ2,1106)*(5-MIN(4,2+'5. Scenarios'!$C$8))/4+INDEX(BookQ3,1106)*(5-MIN(4,3+'5. Scenarios'!$C$8))/4+INDEX(BookQ4,1106)*(5-MIN(4,4+'5. Scenarios'!$C$8))/4)*'5. Scenarios'!$C$6/(1+ProductivityDefault*('5. Scenarios'!$C$11-1))+INDEX(BookOneOff,1106)*$I1111)</f>
        <v/>
      </c>
      <c r="N1111" s="56" t="str">
        <f aca="false">IF(INDEX(BookTitle,1106)="","",INDEX(BookTotal,1106)*'5. Scenarios'!$D$6/(1+ProductivityDefault*('5. Scenarios'!$D$11-1)))</f>
        <v/>
      </c>
      <c r="O1111" s="57" t="str">
        <f aca="false">IF($N1111="","",INDEX(BookRate,1106)*(1+'5. Scenarios'!$D$10)*$N1111)</f>
        <v/>
      </c>
      <c r="P1111" s="57" t="str">
        <f aca="false">IF($O1111="","",SUMIFS($O$6:$O$2405,$A$6:$A$2405,"&lt;="&amp;$A1111))</f>
        <v/>
      </c>
      <c r="Q1111" s="57" t="str">
        <f aca="false">IF($O1111="","",IF($P1111&lt;=BankCostEnvelope*'5. Scenarios'!$D$7,1,0))</f>
        <v/>
      </c>
      <c r="R1111" s="57" t="str">
        <f aca="false">IF($N1111="","",INDEX(BookRate,1106)*(1+'5. Scenarios'!$D$10)*(INDEX(BookQ1,1106)*(5-MIN(4,1+'5. Scenarios'!$D$8))/4+INDEX(BookQ2,1106)*(5-MIN(4,2+'5. Scenarios'!$D$8))/4+INDEX(BookQ3,1106)*(5-MIN(4,3+'5. Scenarios'!$D$8))/4+INDEX(BookQ4,1106)*(5-MIN(4,4+'5. Scenarios'!$D$8))/4)*'5. Scenarios'!$D$6/(1+ProductivityDefault*('5. Scenarios'!$D$11-1))+INDEX(BookOneOff,1106)*$N1111)</f>
        <v/>
      </c>
      <c r="S1111" s="56" t="str">
        <f aca="false">IF(INDEX(BookTitle,1106)="","",INDEX(BookTotal,1106)*'5. Scenarios'!$E$6/(1+ProductivityDefault*('5. Scenarios'!$E$11-1)))</f>
        <v/>
      </c>
      <c r="T1111" s="57" t="str">
        <f aca="false">IF($S1111="","",INDEX(BookRate,1106)*(1+'5. Scenarios'!$E$10)*$S1111)</f>
        <v/>
      </c>
      <c r="U1111" s="57" t="str">
        <f aca="false">IF($T1111="","",SUMIFS($T$6:$T$2405,$A$6:$A$2405,"&lt;="&amp;$A1111))</f>
        <v/>
      </c>
      <c r="V1111" s="57" t="str">
        <f aca="false">IF($T1111="","",IF($U1111&lt;=BankCostEnvelope*'5. Scenarios'!$E$7,1,0))</f>
        <v/>
      </c>
      <c r="W1111" s="57" t="str">
        <f aca="false">IF($S1111="","",INDEX(BookRate,1106)*(1+'5. Scenarios'!$E$10)*(INDEX(BookQ1,1106)*(5-MIN(4,1+'5. Scenarios'!$E$8))/4+INDEX(BookQ2,1106)*(5-MIN(4,2+'5. Scenarios'!$E$8))/4+INDEX(BookQ3,1106)*(5-MIN(4,3+'5. Scenarios'!$E$8))/4+INDEX(BookQ4,1106)*(5-MIN(4,4+'5. Scenarios'!$E$8))/4)*'5. Scenarios'!$E$6/(1+ProductivityDefault*('5. Scenarios'!$E$11-1))+INDEX(BookOneOff,1106)*$S1111)</f>
        <v/>
      </c>
    </row>
    <row r="1112" customFormat="false" ht="15" hidden="false" customHeight="false" outlineLevel="0" collapsed="false">
      <c r="A1112" s="0" t="str">
        <f aca="false">IF(INDEX(BookTitle,1107)="","",INDEX(BookKey,1107))</f>
        <v/>
      </c>
      <c r="B1112" s="0" t="str">
        <f aca="false">IF(INDEX(BookTitle,1107)="","",INDEX(BookGroup,1107))</f>
        <v/>
      </c>
      <c r="C1112" s="0" t="str">
        <f aca="false">IF(INDEX(BookTitle,1107)="","",INDEX(BookCategory,1107))</f>
        <v/>
      </c>
      <c r="D1112" s="56" t="str">
        <f aca="false">IF(INDEX(BookTitle,1107)="","",INDEX(BookTotal,1107)*'5. Scenarios'!$B$6/(1+ProductivityDefault*('5. Scenarios'!$B$11-1)))</f>
        <v/>
      </c>
      <c r="E1112" s="57" t="str">
        <f aca="false">IF($D1112="","",INDEX(BookRate,1107)*(1+'5. Scenarios'!$B$10)*$D1112)</f>
        <v/>
      </c>
      <c r="F1112" s="57" t="str">
        <f aca="false">IF($E1112="","",SUMIFS($E$6:$E$2405,$A$6:$A$2405,"&lt;="&amp;$A1112))</f>
        <v/>
      </c>
      <c r="G1112" s="57" t="str">
        <f aca="false">IF($E1112="","",IF($F1112&lt;=BankCostEnvelope*'5. Scenarios'!$B$7,1,0))</f>
        <v/>
      </c>
      <c r="H1112" s="57" t="str">
        <f aca="false">IF($D1112="","",INDEX(BookRate,1107)*(1+'5. Scenarios'!$B$10)*(INDEX(BookQ1,1107)*(5-MIN(4,1+'5. Scenarios'!$B$8))/4+INDEX(BookQ2,1107)*(5-MIN(4,2+'5. Scenarios'!$B$8))/4+INDEX(BookQ3,1107)*(5-MIN(4,3+'5. Scenarios'!$B$8))/4+INDEX(BookQ4,1107)*(5-MIN(4,4+'5. Scenarios'!$B$8))/4)*'5. Scenarios'!$B$6/(1+ProductivityDefault*('5. Scenarios'!$B$11-1))+INDEX(BookOneOff,1107)*$D1112)</f>
        <v/>
      </c>
      <c r="I1112" s="56" t="str">
        <f aca="false">IF(INDEX(BookTitle,1107)="","",INDEX(BookTotal,1107)*'5. Scenarios'!$C$6/(1+ProductivityDefault*('5. Scenarios'!$C$11-1)))</f>
        <v/>
      </c>
      <c r="J1112" s="57" t="str">
        <f aca="false">IF($I1112="","",INDEX(BookRate,1107)*(1+'5. Scenarios'!$C$10)*$I1112)</f>
        <v/>
      </c>
      <c r="K1112" s="57" t="str">
        <f aca="false">IF($J1112="","",SUMIFS($J$6:$J$2405,$A$6:$A$2405,"&lt;="&amp;$A1112))</f>
        <v/>
      </c>
      <c r="L1112" s="57" t="str">
        <f aca="false">IF($J1112="","",IF($K1112&lt;=BankCostEnvelope*'5. Scenarios'!$C$7,1,0))</f>
        <v/>
      </c>
      <c r="M1112" s="57" t="str">
        <f aca="false">IF($I1112="","",INDEX(BookRate,1107)*(1+'5. Scenarios'!$C$10)*(INDEX(BookQ1,1107)*(5-MIN(4,1+'5. Scenarios'!$C$8))/4+INDEX(BookQ2,1107)*(5-MIN(4,2+'5. Scenarios'!$C$8))/4+INDEX(BookQ3,1107)*(5-MIN(4,3+'5. Scenarios'!$C$8))/4+INDEX(BookQ4,1107)*(5-MIN(4,4+'5. Scenarios'!$C$8))/4)*'5. Scenarios'!$C$6/(1+ProductivityDefault*('5. Scenarios'!$C$11-1))+INDEX(BookOneOff,1107)*$I1112)</f>
        <v/>
      </c>
      <c r="N1112" s="56" t="str">
        <f aca="false">IF(INDEX(BookTitle,1107)="","",INDEX(BookTotal,1107)*'5. Scenarios'!$D$6/(1+ProductivityDefault*('5. Scenarios'!$D$11-1)))</f>
        <v/>
      </c>
      <c r="O1112" s="57" t="str">
        <f aca="false">IF($N1112="","",INDEX(BookRate,1107)*(1+'5. Scenarios'!$D$10)*$N1112)</f>
        <v/>
      </c>
      <c r="P1112" s="57" t="str">
        <f aca="false">IF($O1112="","",SUMIFS($O$6:$O$2405,$A$6:$A$2405,"&lt;="&amp;$A1112))</f>
        <v/>
      </c>
      <c r="Q1112" s="57" t="str">
        <f aca="false">IF($O1112="","",IF($P1112&lt;=BankCostEnvelope*'5. Scenarios'!$D$7,1,0))</f>
        <v/>
      </c>
      <c r="R1112" s="57" t="str">
        <f aca="false">IF($N1112="","",INDEX(BookRate,1107)*(1+'5. Scenarios'!$D$10)*(INDEX(BookQ1,1107)*(5-MIN(4,1+'5. Scenarios'!$D$8))/4+INDEX(BookQ2,1107)*(5-MIN(4,2+'5. Scenarios'!$D$8))/4+INDEX(BookQ3,1107)*(5-MIN(4,3+'5. Scenarios'!$D$8))/4+INDEX(BookQ4,1107)*(5-MIN(4,4+'5. Scenarios'!$D$8))/4)*'5. Scenarios'!$D$6/(1+ProductivityDefault*('5. Scenarios'!$D$11-1))+INDEX(BookOneOff,1107)*$N1112)</f>
        <v/>
      </c>
      <c r="S1112" s="56" t="str">
        <f aca="false">IF(INDEX(BookTitle,1107)="","",INDEX(BookTotal,1107)*'5. Scenarios'!$E$6/(1+ProductivityDefault*('5. Scenarios'!$E$11-1)))</f>
        <v/>
      </c>
      <c r="T1112" s="57" t="str">
        <f aca="false">IF($S1112="","",INDEX(BookRate,1107)*(1+'5. Scenarios'!$E$10)*$S1112)</f>
        <v/>
      </c>
      <c r="U1112" s="57" t="str">
        <f aca="false">IF($T1112="","",SUMIFS($T$6:$T$2405,$A$6:$A$2405,"&lt;="&amp;$A1112))</f>
        <v/>
      </c>
      <c r="V1112" s="57" t="str">
        <f aca="false">IF($T1112="","",IF($U1112&lt;=BankCostEnvelope*'5. Scenarios'!$E$7,1,0))</f>
        <v/>
      </c>
      <c r="W1112" s="57" t="str">
        <f aca="false">IF($S1112="","",INDEX(BookRate,1107)*(1+'5. Scenarios'!$E$10)*(INDEX(BookQ1,1107)*(5-MIN(4,1+'5. Scenarios'!$E$8))/4+INDEX(BookQ2,1107)*(5-MIN(4,2+'5. Scenarios'!$E$8))/4+INDEX(BookQ3,1107)*(5-MIN(4,3+'5. Scenarios'!$E$8))/4+INDEX(BookQ4,1107)*(5-MIN(4,4+'5. Scenarios'!$E$8))/4)*'5. Scenarios'!$E$6/(1+ProductivityDefault*('5. Scenarios'!$E$11-1))+INDEX(BookOneOff,1107)*$S1112)</f>
        <v/>
      </c>
    </row>
    <row r="1113" customFormat="false" ht="15" hidden="false" customHeight="false" outlineLevel="0" collapsed="false">
      <c r="A1113" s="0" t="str">
        <f aca="false">IF(INDEX(BookTitle,1108)="","",INDEX(BookKey,1108))</f>
        <v/>
      </c>
      <c r="B1113" s="0" t="str">
        <f aca="false">IF(INDEX(BookTitle,1108)="","",INDEX(BookGroup,1108))</f>
        <v/>
      </c>
      <c r="C1113" s="0" t="str">
        <f aca="false">IF(INDEX(BookTitle,1108)="","",INDEX(BookCategory,1108))</f>
        <v/>
      </c>
      <c r="D1113" s="56" t="str">
        <f aca="false">IF(INDEX(BookTitle,1108)="","",INDEX(BookTotal,1108)*'5. Scenarios'!$B$6/(1+ProductivityDefault*('5. Scenarios'!$B$11-1)))</f>
        <v/>
      </c>
      <c r="E1113" s="57" t="str">
        <f aca="false">IF($D1113="","",INDEX(BookRate,1108)*(1+'5. Scenarios'!$B$10)*$D1113)</f>
        <v/>
      </c>
      <c r="F1113" s="57" t="str">
        <f aca="false">IF($E1113="","",SUMIFS($E$6:$E$2405,$A$6:$A$2405,"&lt;="&amp;$A1113))</f>
        <v/>
      </c>
      <c r="G1113" s="57" t="str">
        <f aca="false">IF($E1113="","",IF($F1113&lt;=BankCostEnvelope*'5. Scenarios'!$B$7,1,0))</f>
        <v/>
      </c>
      <c r="H1113" s="57" t="str">
        <f aca="false">IF($D1113="","",INDEX(BookRate,1108)*(1+'5. Scenarios'!$B$10)*(INDEX(BookQ1,1108)*(5-MIN(4,1+'5. Scenarios'!$B$8))/4+INDEX(BookQ2,1108)*(5-MIN(4,2+'5. Scenarios'!$B$8))/4+INDEX(BookQ3,1108)*(5-MIN(4,3+'5. Scenarios'!$B$8))/4+INDEX(BookQ4,1108)*(5-MIN(4,4+'5. Scenarios'!$B$8))/4)*'5. Scenarios'!$B$6/(1+ProductivityDefault*('5. Scenarios'!$B$11-1))+INDEX(BookOneOff,1108)*$D1113)</f>
        <v/>
      </c>
      <c r="I1113" s="56" t="str">
        <f aca="false">IF(INDEX(BookTitle,1108)="","",INDEX(BookTotal,1108)*'5. Scenarios'!$C$6/(1+ProductivityDefault*('5. Scenarios'!$C$11-1)))</f>
        <v/>
      </c>
      <c r="J1113" s="57" t="str">
        <f aca="false">IF($I1113="","",INDEX(BookRate,1108)*(1+'5. Scenarios'!$C$10)*$I1113)</f>
        <v/>
      </c>
      <c r="K1113" s="57" t="str">
        <f aca="false">IF($J1113="","",SUMIFS($J$6:$J$2405,$A$6:$A$2405,"&lt;="&amp;$A1113))</f>
        <v/>
      </c>
      <c r="L1113" s="57" t="str">
        <f aca="false">IF($J1113="","",IF($K1113&lt;=BankCostEnvelope*'5. Scenarios'!$C$7,1,0))</f>
        <v/>
      </c>
      <c r="M1113" s="57" t="str">
        <f aca="false">IF($I1113="","",INDEX(BookRate,1108)*(1+'5. Scenarios'!$C$10)*(INDEX(BookQ1,1108)*(5-MIN(4,1+'5. Scenarios'!$C$8))/4+INDEX(BookQ2,1108)*(5-MIN(4,2+'5. Scenarios'!$C$8))/4+INDEX(BookQ3,1108)*(5-MIN(4,3+'5. Scenarios'!$C$8))/4+INDEX(BookQ4,1108)*(5-MIN(4,4+'5. Scenarios'!$C$8))/4)*'5. Scenarios'!$C$6/(1+ProductivityDefault*('5. Scenarios'!$C$11-1))+INDEX(BookOneOff,1108)*$I1113)</f>
        <v/>
      </c>
      <c r="N1113" s="56" t="str">
        <f aca="false">IF(INDEX(BookTitle,1108)="","",INDEX(BookTotal,1108)*'5. Scenarios'!$D$6/(1+ProductivityDefault*('5. Scenarios'!$D$11-1)))</f>
        <v/>
      </c>
      <c r="O1113" s="57" t="str">
        <f aca="false">IF($N1113="","",INDEX(BookRate,1108)*(1+'5. Scenarios'!$D$10)*$N1113)</f>
        <v/>
      </c>
      <c r="P1113" s="57" t="str">
        <f aca="false">IF($O1113="","",SUMIFS($O$6:$O$2405,$A$6:$A$2405,"&lt;="&amp;$A1113))</f>
        <v/>
      </c>
      <c r="Q1113" s="57" t="str">
        <f aca="false">IF($O1113="","",IF($P1113&lt;=BankCostEnvelope*'5. Scenarios'!$D$7,1,0))</f>
        <v/>
      </c>
      <c r="R1113" s="57" t="str">
        <f aca="false">IF($N1113="","",INDEX(BookRate,1108)*(1+'5. Scenarios'!$D$10)*(INDEX(BookQ1,1108)*(5-MIN(4,1+'5. Scenarios'!$D$8))/4+INDEX(BookQ2,1108)*(5-MIN(4,2+'5. Scenarios'!$D$8))/4+INDEX(BookQ3,1108)*(5-MIN(4,3+'5. Scenarios'!$D$8))/4+INDEX(BookQ4,1108)*(5-MIN(4,4+'5. Scenarios'!$D$8))/4)*'5. Scenarios'!$D$6/(1+ProductivityDefault*('5. Scenarios'!$D$11-1))+INDEX(BookOneOff,1108)*$N1113)</f>
        <v/>
      </c>
      <c r="S1113" s="56" t="str">
        <f aca="false">IF(INDEX(BookTitle,1108)="","",INDEX(BookTotal,1108)*'5. Scenarios'!$E$6/(1+ProductivityDefault*('5. Scenarios'!$E$11-1)))</f>
        <v/>
      </c>
      <c r="T1113" s="57" t="str">
        <f aca="false">IF($S1113="","",INDEX(BookRate,1108)*(1+'5. Scenarios'!$E$10)*$S1113)</f>
        <v/>
      </c>
      <c r="U1113" s="57" t="str">
        <f aca="false">IF($T1113="","",SUMIFS($T$6:$T$2405,$A$6:$A$2405,"&lt;="&amp;$A1113))</f>
        <v/>
      </c>
      <c r="V1113" s="57" t="str">
        <f aca="false">IF($T1113="","",IF($U1113&lt;=BankCostEnvelope*'5. Scenarios'!$E$7,1,0))</f>
        <v/>
      </c>
      <c r="W1113" s="57" t="str">
        <f aca="false">IF($S1113="","",INDEX(BookRate,1108)*(1+'5. Scenarios'!$E$10)*(INDEX(BookQ1,1108)*(5-MIN(4,1+'5. Scenarios'!$E$8))/4+INDEX(BookQ2,1108)*(5-MIN(4,2+'5. Scenarios'!$E$8))/4+INDEX(BookQ3,1108)*(5-MIN(4,3+'5. Scenarios'!$E$8))/4+INDEX(BookQ4,1108)*(5-MIN(4,4+'5. Scenarios'!$E$8))/4)*'5. Scenarios'!$E$6/(1+ProductivityDefault*('5. Scenarios'!$E$11-1))+INDEX(BookOneOff,1108)*$S1113)</f>
        <v/>
      </c>
    </row>
    <row r="1114" customFormat="false" ht="15" hidden="false" customHeight="false" outlineLevel="0" collapsed="false">
      <c r="A1114" s="0" t="str">
        <f aca="false">IF(INDEX(BookTitle,1109)="","",INDEX(BookKey,1109))</f>
        <v/>
      </c>
      <c r="B1114" s="0" t="str">
        <f aca="false">IF(INDEX(BookTitle,1109)="","",INDEX(BookGroup,1109))</f>
        <v/>
      </c>
      <c r="C1114" s="0" t="str">
        <f aca="false">IF(INDEX(BookTitle,1109)="","",INDEX(BookCategory,1109))</f>
        <v/>
      </c>
      <c r="D1114" s="56" t="str">
        <f aca="false">IF(INDEX(BookTitle,1109)="","",INDEX(BookTotal,1109)*'5. Scenarios'!$B$6/(1+ProductivityDefault*('5. Scenarios'!$B$11-1)))</f>
        <v/>
      </c>
      <c r="E1114" s="57" t="str">
        <f aca="false">IF($D1114="","",INDEX(BookRate,1109)*(1+'5. Scenarios'!$B$10)*$D1114)</f>
        <v/>
      </c>
      <c r="F1114" s="57" t="str">
        <f aca="false">IF($E1114="","",SUMIFS($E$6:$E$2405,$A$6:$A$2405,"&lt;="&amp;$A1114))</f>
        <v/>
      </c>
      <c r="G1114" s="57" t="str">
        <f aca="false">IF($E1114="","",IF($F1114&lt;=BankCostEnvelope*'5. Scenarios'!$B$7,1,0))</f>
        <v/>
      </c>
      <c r="H1114" s="57" t="str">
        <f aca="false">IF($D1114="","",INDEX(BookRate,1109)*(1+'5. Scenarios'!$B$10)*(INDEX(BookQ1,1109)*(5-MIN(4,1+'5. Scenarios'!$B$8))/4+INDEX(BookQ2,1109)*(5-MIN(4,2+'5. Scenarios'!$B$8))/4+INDEX(BookQ3,1109)*(5-MIN(4,3+'5. Scenarios'!$B$8))/4+INDEX(BookQ4,1109)*(5-MIN(4,4+'5. Scenarios'!$B$8))/4)*'5. Scenarios'!$B$6/(1+ProductivityDefault*('5. Scenarios'!$B$11-1))+INDEX(BookOneOff,1109)*$D1114)</f>
        <v/>
      </c>
      <c r="I1114" s="56" t="str">
        <f aca="false">IF(INDEX(BookTitle,1109)="","",INDEX(BookTotal,1109)*'5. Scenarios'!$C$6/(1+ProductivityDefault*('5. Scenarios'!$C$11-1)))</f>
        <v/>
      </c>
      <c r="J1114" s="57" t="str">
        <f aca="false">IF($I1114="","",INDEX(BookRate,1109)*(1+'5. Scenarios'!$C$10)*$I1114)</f>
        <v/>
      </c>
      <c r="K1114" s="57" t="str">
        <f aca="false">IF($J1114="","",SUMIFS($J$6:$J$2405,$A$6:$A$2405,"&lt;="&amp;$A1114))</f>
        <v/>
      </c>
      <c r="L1114" s="57" t="str">
        <f aca="false">IF($J1114="","",IF($K1114&lt;=BankCostEnvelope*'5. Scenarios'!$C$7,1,0))</f>
        <v/>
      </c>
      <c r="M1114" s="57" t="str">
        <f aca="false">IF($I1114="","",INDEX(BookRate,1109)*(1+'5. Scenarios'!$C$10)*(INDEX(BookQ1,1109)*(5-MIN(4,1+'5. Scenarios'!$C$8))/4+INDEX(BookQ2,1109)*(5-MIN(4,2+'5. Scenarios'!$C$8))/4+INDEX(BookQ3,1109)*(5-MIN(4,3+'5. Scenarios'!$C$8))/4+INDEX(BookQ4,1109)*(5-MIN(4,4+'5. Scenarios'!$C$8))/4)*'5. Scenarios'!$C$6/(1+ProductivityDefault*('5. Scenarios'!$C$11-1))+INDEX(BookOneOff,1109)*$I1114)</f>
        <v/>
      </c>
      <c r="N1114" s="56" t="str">
        <f aca="false">IF(INDEX(BookTitle,1109)="","",INDEX(BookTotal,1109)*'5. Scenarios'!$D$6/(1+ProductivityDefault*('5. Scenarios'!$D$11-1)))</f>
        <v/>
      </c>
      <c r="O1114" s="57" t="str">
        <f aca="false">IF($N1114="","",INDEX(BookRate,1109)*(1+'5. Scenarios'!$D$10)*$N1114)</f>
        <v/>
      </c>
      <c r="P1114" s="57" t="str">
        <f aca="false">IF($O1114="","",SUMIFS($O$6:$O$2405,$A$6:$A$2405,"&lt;="&amp;$A1114))</f>
        <v/>
      </c>
      <c r="Q1114" s="57" t="str">
        <f aca="false">IF($O1114="","",IF($P1114&lt;=BankCostEnvelope*'5. Scenarios'!$D$7,1,0))</f>
        <v/>
      </c>
      <c r="R1114" s="57" t="str">
        <f aca="false">IF($N1114="","",INDEX(BookRate,1109)*(1+'5. Scenarios'!$D$10)*(INDEX(BookQ1,1109)*(5-MIN(4,1+'5. Scenarios'!$D$8))/4+INDEX(BookQ2,1109)*(5-MIN(4,2+'5. Scenarios'!$D$8))/4+INDEX(BookQ3,1109)*(5-MIN(4,3+'5. Scenarios'!$D$8))/4+INDEX(BookQ4,1109)*(5-MIN(4,4+'5. Scenarios'!$D$8))/4)*'5. Scenarios'!$D$6/(1+ProductivityDefault*('5. Scenarios'!$D$11-1))+INDEX(BookOneOff,1109)*$N1114)</f>
        <v/>
      </c>
      <c r="S1114" s="56" t="str">
        <f aca="false">IF(INDEX(BookTitle,1109)="","",INDEX(BookTotal,1109)*'5. Scenarios'!$E$6/(1+ProductivityDefault*('5. Scenarios'!$E$11-1)))</f>
        <v/>
      </c>
      <c r="T1114" s="57" t="str">
        <f aca="false">IF($S1114="","",INDEX(BookRate,1109)*(1+'5. Scenarios'!$E$10)*$S1114)</f>
        <v/>
      </c>
      <c r="U1114" s="57" t="str">
        <f aca="false">IF($T1114="","",SUMIFS($T$6:$T$2405,$A$6:$A$2405,"&lt;="&amp;$A1114))</f>
        <v/>
      </c>
      <c r="V1114" s="57" t="str">
        <f aca="false">IF($T1114="","",IF($U1114&lt;=BankCostEnvelope*'5. Scenarios'!$E$7,1,0))</f>
        <v/>
      </c>
      <c r="W1114" s="57" t="str">
        <f aca="false">IF($S1114="","",INDEX(BookRate,1109)*(1+'5. Scenarios'!$E$10)*(INDEX(BookQ1,1109)*(5-MIN(4,1+'5. Scenarios'!$E$8))/4+INDEX(BookQ2,1109)*(5-MIN(4,2+'5. Scenarios'!$E$8))/4+INDEX(BookQ3,1109)*(5-MIN(4,3+'5. Scenarios'!$E$8))/4+INDEX(BookQ4,1109)*(5-MIN(4,4+'5. Scenarios'!$E$8))/4)*'5. Scenarios'!$E$6/(1+ProductivityDefault*('5. Scenarios'!$E$11-1))+INDEX(BookOneOff,1109)*$S1114)</f>
        <v/>
      </c>
    </row>
    <row r="1115" customFormat="false" ht="15" hidden="false" customHeight="false" outlineLevel="0" collapsed="false">
      <c r="A1115" s="0" t="str">
        <f aca="false">IF(INDEX(BookTitle,1110)="","",INDEX(BookKey,1110))</f>
        <v/>
      </c>
      <c r="B1115" s="0" t="str">
        <f aca="false">IF(INDEX(BookTitle,1110)="","",INDEX(BookGroup,1110))</f>
        <v/>
      </c>
      <c r="C1115" s="0" t="str">
        <f aca="false">IF(INDEX(BookTitle,1110)="","",INDEX(BookCategory,1110))</f>
        <v/>
      </c>
      <c r="D1115" s="56" t="str">
        <f aca="false">IF(INDEX(BookTitle,1110)="","",INDEX(BookTotal,1110)*'5. Scenarios'!$B$6/(1+ProductivityDefault*('5. Scenarios'!$B$11-1)))</f>
        <v/>
      </c>
      <c r="E1115" s="57" t="str">
        <f aca="false">IF($D1115="","",INDEX(BookRate,1110)*(1+'5. Scenarios'!$B$10)*$D1115)</f>
        <v/>
      </c>
      <c r="F1115" s="57" t="str">
        <f aca="false">IF($E1115="","",SUMIFS($E$6:$E$2405,$A$6:$A$2405,"&lt;="&amp;$A1115))</f>
        <v/>
      </c>
      <c r="G1115" s="57" t="str">
        <f aca="false">IF($E1115="","",IF($F1115&lt;=BankCostEnvelope*'5. Scenarios'!$B$7,1,0))</f>
        <v/>
      </c>
      <c r="H1115" s="57" t="str">
        <f aca="false">IF($D1115="","",INDEX(BookRate,1110)*(1+'5. Scenarios'!$B$10)*(INDEX(BookQ1,1110)*(5-MIN(4,1+'5. Scenarios'!$B$8))/4+INDEX(BookQ2,1110)*(5-MIN(4,2+'5. Scenarios'!$B$8))/4+INDEX(BookQ3,1110)*(5-MIN(4,3+'5. Scenarios'!$B$8))/4+INDEX(BookQ4,1110)*(5-MIN(4,4+'5. Scenarios'!$B$8))/4)*'5. Scenarios'!$B$6/(1+ProductivityDefault*('5. Scenarios'!$B$11-1))+INDEX(BookOneOff,1110)*$D1115)</f>
        <v/>
      </c>
      <c r="I1115" s="56" t="str">
        <f aca="false">IF(INDEX(BookTitle,1110)="","",INDEX(BookTotal,1110)*'5. Scenarios'!$C$6/(1+ProductivityDefault*('5. Scenarios'!$C$11-1)))</f>
        <v/>
      </c>
      <c r="J1115" s="57" t="str">
        <f aca="false">IF($I1115="","",INDEX(BookRate,1110)*(1+'5. Scenarios'!$C$10)*$I1115)</f>
        <v/>
      </c>
      <c r="K1115" s="57" t="str">
        <f aca="false">IF($J1115="","",SUMIFS($J$6:$J$2405,$A$6:$A$2405,"&lt;="&amp;$A1115))</f>
        <v/>
      </c>
      <c r="L1115" s="57" t="str">
        <f aca="false">IF($J1115="","",IF($K1115&lt;=BankCostEnvelope*'5. Scenarios'!$C$7,1,0))</f>
        <v/>
      </c>
      <c r="M1115" s="57" t="str">
        <f aca="false">IF($I1115="","",INDEX(BookRate,1110)*(1+'5. Scenarios'!$C$10)*(INDEX(BookQ1,1110)*(5-MIN(4,1+'5. Scenarios'!$C$8))/4+INDEX(BookQ2,1110)*(5-MIN(4,2+'5. Scenarios'!$C$8))/4+INDEX(BookQ3,1110)*(5-MIN(4,3+'5. Scenarios'!$C$8))/4+INDEX(BookQ4,1110)*(5-MIN(4,4+'5. Scenarios'!$C$8))/4)*'5. Scenarios'!$C$6/(1+ProductivityDefault*('5. Scenarios'!$C$11-1))+INDEX(BookOneOff,1110)*$I1115)</f>
        <v/>
      </c>
      <c r="N1115" s="56" t="str">
        <f aca="false">IF(INDEX(BookTitle,1110)="","",INDEX(BookTotal,1110)*'5. Scenarios'!$D$6/(1+ProductivityDefault*('5. Scenarios'!$D$11-1)))</f>
        <v/>
      </c>
      <c r="O1115" s="57" t="str">
        <f aca="false">IF($N1115="","",INDEX(BookRate,1110)*(1+'5. Scenarios'!$D$10)*$N1115)</f>
        <v/>
      </c>
      <c r="P1115" s="57" t="str">
        <f aca="false">IF($O1115="","",SUMIFS($O$6:$O$2405,$A$6:$A$2405,"&lt;="&amp;$A1115))</f>
        <v/>
      </c>
      <c r="Q1115" s="57" t="str">
        <f aca="false">IF($O1115="","",IF($P1115&lt;=BankCostEnvelope*'5. Scenarios'!$D$7,1,0))</f>
        <v/>
      </c>
      <c r="R1115" s="57" t="str">
        <f aca="false">IF($N1115="","",INDEX(BookRate,1110)*(1+'5. Scenarios'!$D$10)*(INDEX(BookQ1,1110)*(5-MIN(4,1+'5. Scenarios'!$D$8))/4+INDEX(BookQ2,1110)*(5-MIN(4,2+'5. Scenarios'!$D$8))/4+INDEX(BookQ3,1110)*(5-MIN(4,3+'5. Scenarios'!$D$8))/4+INDEX(BookQ4,1110)*(5-MIN(4,4+'5. Scenarios'!$D$8))/4)*'5. Scenarios'!$D$6/(1+ProductivityDefault*('5. Scenarios'!$D$11-1))+INDEX(BookOneOff,1110)*$N1115)</f>
        <v/>
      </c>
      <c r="S1115" s="56" t="str">
        <f aca="false">IF(INDEX(BookTitle,1110)="","",INDEX(BookTotal,1110)*'5. Scenarios'!$E$6/(1+ProductivityDefault*('5. Scenarios'!$E$11-1)))</f>
        <v/>
      </c>
      <c r="T1115" s="57" t="str">
        <f aca="false">IF($S1115="","",INDEX(BookRate,1110)*(1+'5. Scenarios'!$E$10)*$S1115)</f>
        <v/>
      </c>
      <c r="U1115" s="57" t="str">
        <f aca="false">IF($T1115="","",SUMIFS($T$6:$T$2405,$A$6:$A$2405,"&lt;="&amp;$A1115))</f>
        <v/>
      </c>
      <c r="V1115" s="57" t="str">
        <f aca="false">IF($T1115="","",IF($U1115&lt;=BankCostEnvelope*'5. Scenarios'!$E$7,1,0))</f>
        <v/>
      </c>
      <c r="W1115" s="57" t="str">
        <f aca="false">IF($S1115="","",INDEX(BookRate,1110)*(1+'5. Scenarios'!$E$10)*(INDEX(BookQ1,1110)*(5-MIN(4,1+'5. Scenarios'!$E$8))/4+INDEX(BookQ2,1110)*(5-MIN(4,2+'5. Scenarios'!$E$8))/4+INDEX(BookQ3,1110)*(5-MIN(4,3+'5. Scenarios'!$E$8))/4+INDEX(BookQ4,1110)*(5-MIN(4,4+'5. Scenarios'!$E$8))/4)*'5. Scenarios'!$E$6/(1+ProductivityDefault*('5. Scenarios'!$E$11-1))+INDEX(BookOneOff,1110)*$S1115)</f>
        <v/>
      </c>
    </row>
    <row r="1116" customFormat="false" ht="15" hidden="false" customHeight="false" outlineLevel="0" collapsed="false">
      <c r="A1116" s="0" t="str">
        <f aca="false">IF(INDEX(BookTitle,1111)="","",INDEX(BookKey,1111))</f>
        <v/>
      </c>
      <c r="B1116" s="0" t="str">
        <f aca="false">IF(INDEX(BookTitle,1111)="","",INDEX(BookGroup,1111))</f>
        <v/>
      </c>
      <c r="C1116" s="0" t="str">
        <f aca="false">IF(INDEX(BookTitle,1111)="","",INDEX(BookCategory,1111))</f>
        <v/>
      </c>
      <c r="D1116" s="56" t="str">
        <f aca="false">IF(INDEX(BookTitle,1111)="","",INDEX(BookTotal,1111)*'5. Scenarios'!$B$6/(1+ProductivityDefault*('5. Scenarios'!$B$11-1)))</f>
        <v/>
      </c>
      <c r="E1116" s="57" t="str">
        <f aca="false">IF($D1116="","",INDEX(BookRate,1111)*(1+'5. Scenarios'!$B$10)*$D1116)</f>
        <v/>
      </c>
      <c r="F1116" s="57" t="str">
        <f aca="false">IF($E1116="","",SUMIFS($E$6:$E$2405,$A$6:$A$2405,"&lt;="&amp;$A1116))</f>
        <v/>
      </c>
      <c r="G1116" s="57" t="str">
        <f aca="false">IF($E1116="","",IF($F1116&lt;=BankCostEnvelope*'5. Scenarios'!$B$7,1,0))</f>
        <v/>
      </c>
      <c r="H1116" s="57" t="str">
        <f aca="false">IF($D1116="","",INDEX(BookRate,1111)*(1+'5. Scenarios'!$B$10)*(INDEX(BookQ1,1111)*(5-MIN(4,1+'5. Scenarios'!$B$8))/4+INDEX(BookQ2,1111)*(5-MIN(4,2+'5. Scenarios'!$B$8))/4+INDEX(BookQ3,1111)*(5-MIN(4,3+'5. Scenarios'!$B$8))/4+INDEX(BookQ4,1111)*(5-MIN(4,4+'5. Scenarios'!$B$8))/4)*'5. Scenarios'!$B$6/(1+ProductivityDefault*('5. Scenarios'!$B$11-1))+INDEX(BookOneOff,1111)*$D1116)</f>
        <v/>
      </c>
      <c r="I1116" s="56" t="str">
        <f aca="false">IF(INDEX(BookTitle,1111)="","",INDEX(BookTotal,1111)*'5. Scenarios'!$C$6/(1+ProductivityDefault*('5. Scenarios'!$C$11-1)))</f>
        <v/>
      </c>
      <c r="J1116" s="57" t="str">
        <f aca="false">IF($I1116="","",INDEX(BookRate,1111)*(1+'5. Scenarios'!$C$10)*$I1116)</f>
        <v/>
      </c>
      <c r="K1116" s="57" t="str">
        <f aca="false">IF($J1116="","",SUMIFS($J$6:$J$2405,$A$6:$A$2405,"&lt;="&amp;$A1116))</f>
        <v/>
      </c>
      <c r="L1116" s="57" t="str">
        <f aca="false">IF($J1116="","",IF($K1116&lt;=BankCostEnvelope*'5. Scenarios'!$C$7,1,0))</f>
        <v/>
      </c>
      <c r="M1116" s="57" t="str">
        <f aca="false">IF($I1116="","",INDEX(BookRate,1111)*(1+'5. Scenarios'!$C$10)*(INDEX(BookQ1,1111)*(5-MIN(4,1+'5. Scenarios'!$C$8))/4+INDEX(BookQ2,1111)*(5-MIN(4,2+'5. Scenarios'!$C$8))/4+INDEX(BookQ3,1111)*(5-MIN(4,3+'5. Scenarios'!$C$8))/4+INDEX(BookQ4,1111)*(5-MIN(4,4+'5. Scenarios'!$C$8))/4)*'5. Scenarios'!$C$6/(1+ProductivityDefault*('5. Scenarios'!$C$11-1))+INDEX(BookOneOff,1111)*$I1116)</f>
        <v/>
      </c>
      <c r="N1116" s="56" t="str">
        <f aca="false">IF(INDEX(BookTitle,1111)="","",INDEX(BookTotal,1111)*'5. Scenarios'!$D$6/(1+ProductivityDefault*('5. Scenarios'!$D$11-1)))</f>
        <v/>
      </c>
      <c r="O1116" s="57" t="str">
        <f aca="false">IF($N1116="","",INDEX(BookRate,1111)*(1+'5. Scenarios'!$D$10)*$N1116)</f>
        <v/>
      </c>
      <c r="P1116" s="57" t="str">
        <f aca="false">IF($O1116="","",SUMIFS($O$6:$O$2405,$A$6:$A$2405,"&lt;="&amp;$A1116))</f>
        <v/>
      </c>
      <c r="Q1116" s="57" t="str">
        <f aca="false">IF($O1116="","",IF($P1116&lt;=BankCostEnvelope*'5. Scenarios'!$D$7,1,0))</f>
        <v/>
      </c>
      <c r="R1116" s="57" t="str">
        <f aca="false">IF($N1116="","",INDEX(BookRate,1111)*(1+'5. Scenarios'!$D$10)*(INDEX(BookQ1,1111)*(5-MIN(4,1+'5. Scenarios'!$D$8))/4+INDEX(BookQ2,1111)*(5-MIN(4,2+'5. Scenarios'!$D$8))/4+INDEX(BookQ3,1111)*(5-MIN(4,3+'5. Scenarios'!$D$8))/4+INDEX(BookQ4,1111)*(5-MIN(4,4+'5. Scenarios'!$D$8))/4)*'5. Scenarios'!$D$6/(1+ProductivityDefault*('5. Scenarios'!$D$11-1))+INDEX(BookOneOff,1111)*$N1116)</f>
        <v/>
      </c>
      <c r="S1116" s="56" t="str">
        <f aca="false">IF(INDEX(BookTitle,1111)="","",INDEX(BookTotal,1111)*'5. Scenarios'!$E$6/(1+ProductivityDefault*('5. Scenarios'!$E$11-1)))</f>
        <v/>
      </c>
      <c r="T1116" s="57" t="str">
        <f aca="false">IF($S1116="","",INDEX(BookRate,1111)*(1+'5. Scenarios'!$E$10)*$S1116)</f>
        <v/>
      </c>
      <c r="U1116" s="57" t="str">
        <f aca="false">IF($T1116="","",SUMIFS($T$6:$T$2405,$A$6:$A$2405,"&lt;="&amp;$A1116))</f>
        <v/>
      </c>
      <c r="V1116" s="57" t="str">
        <f aca="false">IF($T1116="","",IF($U1116&lt;=BankCostEnvelope*'5. Scenarios'!$E$7,1,0))</f>
        <v/>
      </c>
      <c r="W1116" s="57" t="str">
        <f aca="false">IF($S1116="","",INDEX(BookRate,1111)*(1+'5. Scenarios'!$E$10)*(INDEX(BookQ1,1111)*(5-MIN(4,1+'5. Scenarios'!$E$8))/4+INDEX(BookQ2,1111)*(5-MIN(4,2+'5. Scenarios'!$E$8))/4+INDEX(BookQ3,1111)*(5-MIN(4,3+'5. Scenarios'!$E$8))/4+INDEX(BookQ4,1111)*(5-MIN(4,4+'5. Scenarios'!$E$8))/4)*'5. Scenarios'!$E$6/(1+ProductivityDefault*('5. Scenarios'!$E$11-1))+INDEX(BookOneOff,1111)*$S1116)</f>
        <v/>
      </c>
    </row>
    <row r="1117" customFormat="false" ht="15" hidden="false" customHeight="false" outlineLevel="0" collapsed="false">
      <c r="A1117" s="0" t="str">
        <f aca="false">IF(INDEX(BookTitle,1112)="","",INDEX(BookKey,1112))</f>
        <v/>
      </c>
      <c r="B1117" s="0" t="str">
        <f aca="false">IF(INDEX(BookTitle,1112)="","",INDEX(BookGroup,1112))</f>
        <v/>
      </c>
      <c r="C1117" s="0" t="str">
        <f aca="false">IF(INDEX(BookTitle,1112)="","",INDEX(BookCategory,1112))</f>
        <v/>
      </c>
      <c r="D1117" s="56" t="str">
        <f aca="false">IF(INDEX(BookTitle,1112)="","",INDEX(BookTotal,1112)*'5. Scenarios'!$B$6/(1+ProductivityDefault*('5. Scenarios'!$B$11-1)))</f>
        <v/>
      </c>
      <c r="E1117" s="57" t="str">
        <f aca="false">IF($D1117="","",INDEX(BookRate,1112)*(1+'5. Scenarios'!$B$10)*$D1117)</f>
        <v/>
      </c>
      <c r="F1117" s="57" t="str">
        <f aca="false">IF($E1117="","",SUMIFS($E$6:$E$2405,$A$6:$A$2405,"&lt;="&amp;$A1117))</f>
        <v/>
      </c>
      <c r="G1117" s="57" t="str">
        <f aca="false">IF($E1117="","",IF($F1117&lt;=BankCostEnvelope*'5. Scenarios'!$B$7,1,0))</f>
        <v/>
      </c>
      <c r="H1117" s="57" t="str">
        <f aca="false">IF($D1117="","",INDEX(BookRate,1112)*(1+'5. Scenarios'!$B$10)*(INDEX(BookQ1,1112)*(5-MIN(4,1+'5. Scenarios'!$B$8))/4+INDEX(BookQ2,1112)*(5-MIN(4,2+'5. Scenarios'!$B$8))/4+INDEX(BookQ3,1112)*(5-MIN(4,3+'5. Scenarios'!$B$8))/4+INDEX(BookQ4,1112)*(5-MIN(4,4+'5. Scenarios'!$B$8))/4)*'5. Scenarios'!$B$6/(1+ProductivityDefault*('5. Scenarios'!$B$11-1))+INDEX(BookOneOff,1112)*$D1117)</f>
        <v/>
      </c>
      <c r="I1117" s="56" t="str">
        <f aca="false">IF(INDEX(BookTitle,1112)="","",INDEX(BookTotal,1112)*'5. Scenarios'!$C$6/(1+ProductivityDefault*('5. Scenarios'!$C$11-1)))</f>
        <v/>
      </c>
      <c r="J1117" s="57" t="str">
        <f aca="false">IF($I1117="","",INDEX(BookRate,1112)*(1+'5. Scenarios'!$C$10)*$I1117)</f>
        <v/>
      </c>
      <c r="K1117" s="57" t="str">
        <f aca="false">IF($J1117="","",SUMIFS($J$6:$J$2405,$A$6:$A$2405,"&lt;="&amp;$A1117))</f>
        <v/>
      </c>
      <c r="L1117" s="57" t="str">
        <f aca="false">IF($J1117="","",IF($K1117&lt;=BankCostEnvelope*'5. Scenarios'!$C$7,1,0))</f>
        <v/>
      </c>
      <c r="M1117" s="57" t="str">
        <f aca="false">IF($I1117="","",INDEX(BookRate,1112)*(1+'5. Scenarios'!$C$10)*(INDEX(BookQ1,1112)*(5-MIN(4,1+'5. Scenarios'!$C$8))/4+INDEX(BookQ2,1112)*(5-MIN(4,2+'5. Scenarios'!$C$8))/4+INDEX(BookQ3,1112)*(5-MIN(4,3+'5. Scenarios'!$C$8))/4+INDEX(BookQ4,1112)*(5-MIN(4,4+'5. Scenarios'!$C$8))/4)*'5. Scenarios'!$C$6/(1+ProductivityDefault*('5. Scenarios'!$C$11-1))+INDEX(BookOneOff,1112)*$I1117)</f>
        <v/>
      </c>
      <c r="N1117" s="56" t="str">
        <f aca="false">IF(INDEX(BookTitle,1112)="","",INDEX(BookTotal,1112)*'5. Scenarios'!$D$6/(1+ProductivityDefault*('5. Scenarios'!$D$11-1)))</f>
        <v/>
      </c>
      <c r="O1117" s="57" t="str">
        <f aca="false">IF($N1117="","",INDEX(BookRate,1112)*(1+'5. Scenarios'!$D$10)*$N1117)</f>
        <v/>
      </c>
      <c r="P1117" s="57" t="str">
        <f aca="false">IF($O1117="","",SUMIFS($O$6:$O$2405,$A$6:$A$2405,"&lt;="&amp;$A1117))</f>
        <v/>
      </c>
      <c r="Q1117" s="57" t="str">
        <f aca="false">IF($O1117="","",IF($P1117&lt;=BankCostEnvelope*'5. Scenarios'!$D$7,1,0))</f>
        <v/>
      </c>
      <c r="R1117" s="57" t="str">
        <f aca="false">IF($N1117="","",INDEX(BookRate,1112)*(1+'5. Scenarios'!$D$10)*(INDEX(BookQ1,1112)*(5-MIN(4,1+'5. Scenarios'!$D$8))/4+INDEX(BookQ2,1112)*(5-MIN(4,2+'5. Scenarios'!$D$8))/4+INDEX(BookQ3,1112)*(5-MIN(4,3+'5. Scenarios'!$D$8))/4+INDEX(BookQ4,1112)*(5-MIN(4,4+'5. Scenarios'!$D$8))/4)*'5. Scenarios'!$D$6/(1+ProductivityDefault*('5. Scenarios'!$D$11-1))+INDEX(BookOneOff,1112)*$N1117)</f>
        <v/>
      </c>
      <c r="S1117" s="56" t="str">
        <f aca="false">IF(INDEX(BookTitle,1112)="","",INDEX(BookTotal,1112)*'5. Scenarios'!$E$6/(1+ProductivityDefault*('5. Scenarios'!$E$11-1)))</f>
        <v/>
      </c>
      <c r="T1117" s="57" t="str">
        <f aca="false">IF($S1117="","",INDEX(BookRate,1112)*(1+'5. Scenarios'!$E$10)*$S1117)</f>
        <v/>
      </c>
      <c r="U1117" s="57" t="str">
        <f aca="false">IF($T1117="","",SUMIFS($T$6:$T$2405,$A$6:$A$2405,"&lt;="&amp;$A1117))</f>
        <v/>
      </c>
      <c r="V1117" s="57" t="str">
        <f aca="false">IF($T1117="","",IF($U1117&lt;=BankCostEnvelope*'5. Scenarios'!$E$7,1,0))</f>
        <v/>
      </c>
      <c r="W1117" s="57" t="str">
        <f aca="false">IF($S1117="","",INDEX(BookRate,1112)*(1+'5. Scenarios'!$E$10)*(INDEX(BookQ1,1112)*(5-MIN(4,1+'5. Scenarios'!$E$8))/4+INDEX(BookQ2,1112)*(5-MIN(4,2+'5. Scenarios'!$E$8))/4+INDEX(BookQ3,1112)*(5-MIN(4,3+'5. Scenarios'!$E$8))/4+INDEX(BookQ4,1112)*(5-MIN(4,4+'5. Scenarios'!$E$8))/4)*'5. Scenarios'!$E$6/(1+ProductivityDefault*('5. Scenarios'!$E$11-1))+INDEX(BookOneOff,1112)*$S1117)</f>
        <v/>
      </c>
    </row>
    <row r="1118" customFormat="false" ht="15" hidden="false" customHeight="false" outlineLevel="0" collapsed="false">
      <c r="A1118" s="0" t="str">
        <f aca="false">IF(INDEX(BookTitle,1113)="","",INDEX(BookKey,1113))</f>
        <v/>
      </c>
      <c r="B1118" s="0" t="str">
        <f aca="false">IF(INDEX(BookTitle,1113)="","",INDEX(BookGroup,1113))</f>
        <v/>
      </c>
      <c r="C1118" s="0" t="str">
        <f aca="false">IF(INDEX(BookTitle,1113)="","",INDEX(BookCategory,1113))</f>
        <v/>
      </c>
      <c r="D1118" s="56" t="str">
        <f aca="false">IF(INDEX(BookTitle,1113)="","",INDEX(BookTotal,1113)*'5. Scenarios'!$B$6/(1+ProductivityDefault*('5. Scenarios'!$B$11-1)))</f>
        <v/>
      </c>
      <c r="E1118" s="57" t="str">
        <f aca="false">IF($D1118="","",INDEX(BookRate,1113)*(1+'5. Scenarios'!$B$10)*$D1118)</f>
        <v/>
      </c>
      <c r="F1118" s="57" t="str">
        <f aca="false">IF($E1118="","",SUMIFS($E$6:$E$2405,$A$6:$A$2405,"&lt;="&amp;$A1118))</f>
        <v/>
      </c>
      <c r="G1118" s="57" t="str">
        <f aca="false">IF($E1118="","",IF($F1118&lt;=BankCostEnvelope*'5. Scenarios'!$B$7,1,0))</f>
        <v/>
      </c>
      <c r="H1118" s="57" t="str">
        <f aca="false">IF($D1118="","",INDEX(BookRate,1113)*(1+'5. Scenarios'!$B$10)*(INDEX(BookQ1,1113)*(5-MIN(4,1+'5. Scenarios'!$B$8))/4+INDEX(BookQ2,1113)*(5-MIN(4,2+'5. Scenarios'!$B$8))/4+INDEX(BookQ3,1113)*(5-MIN(4,3+'5. Scenarios'!$B$8))/4+INDEX(BookQ4,1113)*(5-MIN(4,4+'5. Scenarios'!$B$8))/4)*'5. Scenarios'!$B$6/(1+ProductivityDefault*('5. Scenarios'!$B$11-1))+INDEX(BookOneOff,1113)*$D1118)</f>
        <v/>
      </c>
      <c r="I1118" s="56" t="str">
        <f aca="false">IF(INDEX(BookTitle,1113)="","",INDEX(BookTotal,1113)*'5. Scenarios'!$C$6/(1+ProductivityDefault*('5. Scenarios'!$C$11-1)))</f>
        <v/>
      </c>
      <c r="J1118" s="57" t="str">
        <f aca="false">IF($I1118="","",INDEX(BookRate,1113)*(1+'5. Scenarios'!$C$10)*$I1118)</f>
        <v/>
      </c>
      <c r="K1118" s="57" t="str">
        <f aca="false">IF($J1118="","",SUMIFS($J$6:$J$2405,$A$6:$A$2405,"&lt;="&amp;$A1118))</f>
        <v/>
      </c>
      <c r="L1118" s="57" t="str">
        <f aca="false">IF($J1118="","",IF($K1118&lt;=BankCostEnvelope*'5. Scenarios'!$C$7,1,0))</f>
        <v/>
      </c>
      <c r="M1118" s="57" t="str">
        <f aca="false">IF($I1118="","",INDEX(BookRate,1113)*(1+'5. Scenarios'!$C$10)*(INDEX(BookQ1,1113)*(5-MIN(4,1+'5. Scenarios'!$C$8))/4+INDEX(BookQ2,1113)*(5-MIN(4,2+'5. Scenarios'!$C$8))/4+INDEX(BookQ3,1113)*(5-MIN(4,3+'5. Scenarios'!$C$8))/4+INDEX(BookQ4,1113)*(5-MIN(4,4+'5. Scenarios'!$C$8))/4)*'5. Scenarios'!$C$6/(1+ProductivityDefault*('5. Scenarios'!$C$11-1))+INDEX(BookOneOff,1113)*$I1118)</f>
        <v/>
      </c>
      <c r="N1118" s="56" t="str">
        <f aca="false">IF(INDEX(BookTitle,1113)="","",INDEX(BookTotal,1113)*'5. Scenarios'!$D$6/(1+ProductivityDefault*('5. Scenarios'!$D$11-1)))</f>
        <v/>
      </c>
      <c r="O1118" s="57" t="str">
        <f aca="false">IF($N1118="","",INDEX(BookRate,1113)*(1+'5. Scenarios'!$D$10)*$N1118)</f>
        <v/>
      </c>
      <c r="P1118" s="57" t="str">
        <f aca="false">IF($O1118="","",SUMIFS($O$6:$O$2405,$A$6:$A$2405,"&lt;="&amp;$A1118))</f>
        <v/>
      </c>
      <c r="Q1118" s="57" t="str">
        <f aca="false">IF($O1118="","",IF($P1118&lt;=BankCostEnvelope*'5. Scenarios'!$D$7,1,0))</f>
        <v/>
      </c>
      <c r="R1118" s="57" t="str">
        <f aca="false">IF($N1118="","",INDEX(BookRate,1113)*(1+'5. Scenarios'!$D$10)*(INDEX(BookQ1,1113)*(5-MIN(4,1+'5. Scenarios'!$D$8))/4+INDEX(BookQ2,1113)*(5-MIN(4,2+'5. Scenarios'!$D$8))/4+INDEX(BookQ3,1113)*(5-MIN(4,3+'5. Scenarios'!$D$8))/4+INDEX(BookQ4,1113)*(5-MIN(4,4+'5. Scenarios'!$D$8))/4)*'5. Scenarios'!$D$6/(1+ProductivityDefault*('5. Scenarios'!$D$11-1))+INDEX(BookOneOff,1113)*$N1118)</f>
        <v/>
      </c>
      <c r="S1118" s="56" t="str">
        <f aca="false">IF(INDEX(BookTitle,1113)="","",INDEX(BookTotal,1113)*'5. Scenarios'!$E$6/(1+ProductivityDefault*('5. Scenarios'!$E$11-1)))</f>
        <v/>
      </c>
      <c r="T1118" s="57" t="str">
        <f aca="false">IF($S1118="","",INDEX(BookRate,1113)*(1+'5. Scenarios'!$E$10)*$S1118)</f>
        <v/>
      </c>
      <c r="U1118" s="57" t="str">
        <f aca="false">IF($T1118="","",SUMIFS($T$6:$T$2405,$A$6:$A$2405,"&lt;="&amp;$A1118))</f>
        <v/>
      </c>
      <c r="V1118" s="57" t="str">
        <f aca="false">IF($T1118="","",IF($U1118&lt;=BankCostEnvelope*'5. Scenarios'!$E$7,1,0))</f>
        <v/>
      </c>
      <c r="W1118" s="57" t="str">
        <f aca="false">IF($S1118="","",INDEX(BookRate,1113)*(1+'5. Scenarios'!$E$10)*(INDEX(BookQ1,1113)*(5-MIN(4,1+'5. Scenarios'!$E$8))/4+INDEX(BookQ2,1113)*(5-MIN(4,2+'5. Scenarios'!$E$8))/4+INDEX(BookQ3,1113)*(5-MIN(4,3+'5. Scenarios'!$E$8))/4+INDEX(BookQ4,1113)*(5-MIN(4,4+'5. Scenarios'!$E$8))/4)*'5. Scenarios'!$E$6/(1+ProductivityDefault*('5. Scenarios'!$E$11-1))+INDEX(BookOneOff,1113)*$S1118)</f>
        <v/>
      </c>
    </row>
    <row r="1119" customFormat="false" ht="15" hidden="false" customHeight="false" outlineLevel="0" collapsed="false">
      <c r="A1119" s="0" t="str">
        <f aca="false">IF(INDEX(BookTitle,1114)="","",INDEX(BookKey,1114))</f>
        <v/>
      </c>
      <c r="B1119" s="0" t="str">
        <f aca="false">IF(INDEX(BookTitle,1114)="","",INDEX(BookGroup,1114))</f>
        <v/>
      </c>
      <c r="C1119" s="0" t="str">
        <f aca="false">IF(INDEX(BookTitle,1114)="","",INDEX(BookCategory,1114))</f>
        <v/>
      </c>
      <c r="D1119" s="56" t="str">
        <f aca="false">IF(INDEX(BookTitle,1114)="","",INDEX(BookTotal,1114)*'5. Scenarios'!$B$6/(1+ProductivityDefault*('5. Scenarios'!$B$11-1)))</f>
        <v/>
      </c>
      <c r="E1119" s="57" t="str">
        <f aca="false">IF($D1119="","",INDEX(BookRate,1114)*(1+'5. Scenarios'!$B$10)*$D1119)</f>
        <v/>
      </c>
      <c r="F1119" s="57" t="str">
        <f aca="false">IF($E1119="","",SUMIFS($E$6:$E$2405,$A$6:$A$2405,"&lt;="&amp;$A1119))</f>
        <v/>
      </c>
      <c r="G1119" s="57" t="str">
        <f aca="false">IF($E1119="","",IF($F1119&lt;=BankCostEnvelope*'5. Scenarios'!$B$7,1,0))</f>
        <v/>
      </c>
      <c r="H1119" s="57" t="str">
        <f aca="false">IF($D1119="","",INDEX(BookRate,1114)*(1+'5. Scenarios'!$B$10)*(INDEX(BookQ1,1114)*(5-MIN(4,1+'5. Scenarios'!$B$8))/4+INDEX(BookQ2,1114)*(5-MIN(4,2+'5. Scenarios'!$B$8))/4+INDEX(BookQ3,1114)*(5-MIN(4,3+'5. Scenarios'!$B$8))/4+INDEX(BookQ4,1114)*(5-MIN(4,4+'5. Scenarios'!$B$8))/4)*'5. Scenarios'!$B$6/(1+ProductivityDefault*('5. Scenarios'!$B$11-1))+INDEX(BookOneOff,1114)*$D1119)</f>
        <v/>
      </c>
      <c r="I1119" s="56" t="str">
        <f aca="false">IF(INDEX(BookTitle,1114)="","",INDEX(BookTotal,1114)*'5. Scenarios'!$C$6/(1+ProductivityDefault*('5. Scenarios'!$C$11-1)))</f>
        <v/>
      </c>
      <c r="J1119" s="57" t="str">
        <f aca="false">IF($I1119="","",INDEX(BookRate,1114)*(1+'5. Scenarios'!$C$10)*$I1119)</f>
        <v/>
      </c>
      <c r="K1119" s="57" t="str">
        <f aca="false">IF($J1119="","",SUMIFS($J$6:$J$2405,$A$6:$A$2405,"&lt;="&amp;$A1119))</f>
        <v/>
      </c>
      <c r="L1119" s="57" t="str">
        <f aca="false">IF($J1119="","",IF($K1119&lt;=BankCostEnvelope*'5. Scenarios'!$C$7,1,0))</f>
        <v/>
      </c>
      <c r="M1119" s="57" t="str">
        <f aca="false">IF($I1119="","",INDEX(BookRate,1114)*(1+'5. Scenarios'!$C$10)*(INDEX(BookQ1,1114)*(5-MIN(4,1+'5. Scenarios'!$C$8))/4+INDEX(BookQ2,1114)*(5-MIN(4,2+'5. Scenarios'!$C$8))/4+INDEX(BookQ3,1114)*(5-MIN(4,3+'5. Scenarios'!$C$8))/4+INDEX(BookQ4,1114)*(5-MIN(4,4+'5. Scenarios'!$C$8))/4)*'5. Scenarios'!$C$6/(1+ProductivityDefault*('5. Scenarios'!$C$11-1))+INDEX(BookOneOff,1114)*$I1119)</f>
        <v/>
      </c>
      <c r="N1119" s="56" t="str">
        <f aca="false">IF(INDEX(BookTitle,1114)="","",INDEX(BookTotal,1114)*'5. Scenarios'!$D$6/(1+ProductivityDefault*('5. Scenarios'!$D$11-1)))</f>
        <v/>
      </c>
      <c r="O1119" s="57" t="str">
        <f aca="false">IF($N1119="","",INDEX(BookRate,1114)*(1+'5. Scenarios'!$D$10)*$N1119)</f>
        <v/>
      </c>
      <c r="P1119" s="57" t="str">
        <f aca="false">IF($O1119="","",SUMIFS($O$6:$O$2405,$A$6:$A$2405,"&lt;="&amp;$A1119))</f>
        <v/>
      </c>
      <c r="Q1119" s="57" t="str">
        <f aca="false">IF($O1119="","",IF($P1119&lt;=BankCostEnvelope*'5. Scenarios'!$D$7,1,0))</f>
        <v/>
      </c>
      <c r="R1119" s="57" t="str">
        <f aca="false">IF($N1119="","",INDEX(BookRate,1114)*(1+'5. Scenarios'!$D$10)*(INDEX(BookQ1,1114)*(5-MIN(4,1+'5. Scenarios'!$D$8))/4+INDEX(BookQ2,1114)*(5-MIN(4,2+'5. Scenarios'!$D$8))/4+INDEX(BookQ3,1114)*(5-MIN(4,3+'5. Scenarios'!$D$8))/4+INDEX(BookQ4,1114)*(5-MIN(4,4+'5. Scenarios'!$D$8))/4)*'5. Scenarios'!$D$6/(1+ProductivityDefault*('5. Scenarios'!$D$11-1))+INDEX(BookOneOff,1114)*$N1119)</f>
        <v/>
      </c>
      <c r="S1119" s="56" t="str">
        <f aca="false">IF(INDEX(BookTitle,1114)="","",INDEX(BookTotal,1114)*'5. Scenarios'!$E$6/(1+ProductivityDefault*('5. Scenarios'!$E$11-1)))</f>
        <v/>
      </c>
      <c r="T1119" s="57" t="str">
        <f aca="false">IF($S1119="","",INDEX(BookRate,1114)*(1+'5. Scenarios'!$E$10)*$S1119)</f>
        <v/>
      </c>
      <c r="U1119" s="57" t="str">
        <f aca="false">IF($T1119="","",SUMIFS($T$6:$T$2405,$A$6:$A$2405,"&lt;="&amp;$A1119))</f>
        <v/>
      </c>
      <c r="V1119" s="57" t="str">
        <f aca="false">IF($T1119="","",IF($U1119&lt;=BankCostEnvelope*'5. Scenarios'!$E$7,1,0))</f>
        <v/>
      </c>
      <c r="W1119" s="57" t="str">
        <f aca="false">IF($S1119="","",INDEX(BookRate,1114)*(1+'5. Scenarios'!$E$10)*(INDEX(BookQ1,1114)*(5-MIN(4,1+'5. Scenarios'!$E$8))/4+INDEX(BookQ2,1114)*(5-MIN(4,2+'5. Scenarios'!$E$8))/4+INDEX(BookQ3,1114)*(5-MIN(4,3+'5. Scenarios'!$E$8))/4+INDEX(BookQ4,1114)*(5-MIN(4,4+'5. Scenarios'!$E$8))/4)*'5. Scenarios'!$E$6/(1+ProductivityDefault*('5. Scenarios'!$E$11-1))+INDEX(BookOneOff,1114)*$S1119)</f>
        <v/>
      </c>
    </row>
    <row r="1120" customFormat="false" ht="15" hidden="false" customHeight="false" outlineLevel="0" collapsed="false">
      <c r="A1120" s="0" t="str">
        <f aca="false">IF(INDEX(BookTitle,1115)="","",INDEX(BookKey,1115))</f>
        <v/>
      </c>
      <c r="B1120" s="0" t="str">
        <f aca="false">IF(INDEX(BookTitle,1115)="","",INDEX(BookGroup,1115))</f>
        <v/>
      </c>
      <c r="C1120" s="0" t="str">
        <f aca="false">IF(INDEX(BookTitle,1115)="","",INDEX(BookCategory,1115))</f>
        <v/>
      </c>
      <c r="D1120" s="56" t="str">
        <f aca="false">IF(INDEX(BookTitle,1115)="","",INDEX(BookTotal,1115)*'5. Scenarios'!$B$6/(1+ProductivityDefault*('5. Scenarios'!$B$11-1)))</f>
        <v/>
      </c>
      <c r="E1120" s="57" t="str">
        <f aca="false">IF($D1120="","",INDEX(BookRate,1115)*(1+'5. Scenarios'!$B$10)*$D1120)</f>
        <v/>
      </c>
      <c r="F1120" s="57" t="str">
        <f aca="false">IF($E1120="","",SUMIFS($E$6:$E$2405,$A$6:$A$2405,"&lt;="&amp;$A1120))</f>
        <v/>
      </c>
      <c r="G1120" s="57" t="str">
        <f aca="false">IF($E1120="","",IF($F1120&lt;=BankCostEnvelope*'5. Scenarios'!$B$7,1,0))</f>
        <v/>
      </c>
      <c r="H1120" s="57" t="str">
        <f aca="false">IF($D1120="","",INDEX(BookRate,1115)*(1+'5. Scenarios'!$B$10)*(INDEX(BookQ1,1115)*(5-MIN(4,1+'5. Scenarios'!$B$8))/4+INDEX(BookQ2,1115)*(5-MIN(4,2+'5. Scenarios'!$B$8))/4+INDEX(BookQ3,1115)*(5-MIN(4,3+'5. Scenarios'!$B$8))/4+INDEX(BookQ4,1115)*(5-MIN(4,4+'5. Scenarios'!$B$8))/4)*'5. Scenarios'!$B$6/(1+ProductivityDefault*('5. Scenarios'!$B$11-1))+INDEX(BookOneOff,1115)*$D1120)</f>
        <v/>
      </c>
      <c r="I1120" s="56" t="str">
        <f aca="false">IF(INDEX(BookTitle,1115)="","",INDEX(BookTotal,1115)*'5. Scenarios'!$C$6/(1+ProductivityDefault*('5. Scenarios'!$C$11-1)))</f>
        <v/>
      </c>
      <c r="J1120" s="57" t="str">
        <f aca="false">IF($I1120="","",INDEX(BookRate,1115)*(1+'5. Scenarios'!$C$10)*$I1120)</f>
        <v/>
      </c>
      <c r="K1120" s="57" t="str">
        <f aca="false">IF($J1120="","",SUMIFS($J$6:$J$2405,$A$6:$A$2405,"&lt;="&amp;$A1120))</f>
        <v/>
      </c>
      <c r="L1120" s="57" t="str">
        <f aca="false">IF($J1120="","",IF($K1120&lt;=BankCostEnvelope*'5. Scenarios'!$C$7,1,0))</f>
        <v/>
      </c>
      <c r="M1120" s="57" t="str">
        <f aca="false">IF($I1120="","",INDEX(BookRate,1115)*(1+'5. Scenarios'!$C$10)*(INDEX(BookQ1,1115)*(5-MIN(4,1+'5. Scenarios'!$C$8))/4+INDEX(BookQ2,1115)*(5-MIN(4,2+'5. Scenarios'!$C$8))/4+INDEX(BookQ3,1115)*(5-MIN(4,3+'5. Scenarios'!$C$8))/4+INDEX(BookQ4,1115)*(5-MIN(4,4+'5. Scenarios'!$C$8))/4)*'5. Scenarios'!$C$6/(1+ProductivityDefault*('5. Scenarios'!$C$11-1))+INDEX(BookOneOff,1115)*$I1120)</f>
        <v/>
      </c>
      <c r="N1120" s="56" t="str">
        <f aca="false">IF(INDEX(BookTitle,1115)="","",INDEX(BookTotal,1115)*'5. Scenarios'!$D$6/(1+ProductivityDefault*('5. Scenarios'!$D$11-1)))</f>
        <v/>
      </c>
      <c r="O1120" s="57" t="str">
        <f aca="false">IF($N1120="","",INDEX(BookRate,1115)*(1+'5. Scenarios'!$D$10)*$N1120)</f>
        <v/>
      </c>
      <c r="P1120" s="57" t="str">
        <f aca="false">IF($O1120="","",SUMIFS($O$6:$O$2405,$A$6:$A$2405,"&lt;="&amp;$A1120))</f>
        <v/>
      </c>
      <c r="Q1120" s="57" t="str">
        <f aca="false">IF($O1120="","",IF($P1120&lt;=BankCostEnvelope*'5. Scenarios'!$D$7,1,0))</f>
        <v/>
      </c>
      <c r="R1120" s="57" t="str">
        <f aca="false">IF($N1120="","",INDEX(BookRate,1115)*(1+'5. Scenarios'!$D$10)*(INDEX(BookQ1,1115)*(5-MIN(4,1+'5. Scenarios'!$D$8))/4+INDEX(BookQ2,1115)*(5-MIN(4,2+'5. Scenarios'!$D$8))/4+INDEX(BookQ3,1115)*(5-MIN(4,3+'5. Scenarios'!$D$8))/4+INDEX(BookQ4,1115)*(5-MIN(4,4+'5. Scenarios'!$D$8))/4)*'5. Scenarios'!$D$6/(1+ProductivityDefault*('5. Scenarios'!$D$11-1))+INDEX(BookOneOff,1115)*$N1120)</f>
        <v/>
      </c>
      <c r="S1120" s="56" t="str">
        <f aca="false">IF(INDEX(BookTitle,1115)="","",INDEX(BookTotal,1115)*'5. Scenarios'!$E$6/(1+ProductivityDefault*('5. Scenarios'!$E$11-1)))</f>
        <v/>
      </c>
      <c r="T1120" s="57" t="str">
        <f aca="false">IF($S1120="","",INDEX(BookRate,1115)*(1+'5. Scenarios'!$E$10)*$S1120)</f>
        <v/>
      </c>
      <c r="U1120" s="57" t="str">
        <f aca="false">IF($T1120="","",SUMIFS($T$6:$T$2405,$A$6:$A$2405,"&lt;="&amp;$A1120))</f>
        <v/>
      </c>
      <c r="V1120" s="57" t="str">
        <f aca="false">IF($T1120="","",IF($U1120&lt;=BankCostEnvelope*'5. Scenarios'!$E$7,1,0))</f>
        <v/>
      </c>
      <c r="W1120" s="57" t="str">
        <f aca="false">IF($S1120="","",INDEX(BookRate,1115)*(1+'5. Scenarios'!$E$10)*(INDEX(BookQ1,1115)*(5-MIN(4,1+'5. Scenarios'!$E$8))/4+INDEX(BookQ2,1115)*(5-MIN(4,2+'5. Scenarios'!$E$8))/4+INDEX(BookQ3,1115)*(5-MIN(4,3+'5. Scenarios'!$E$8))/4+INDEX(BookQ4,1115)*(5-MIN(4,4+'5. Scenarios'!$E$8))/4)*'5. Scenarios'!$E$6/(1+ProductivityDefault*('5. Scenarios'!$E$11-1))+INDEX(BookOneOff,1115)*$S1120)</f>
        <v/>
      </c>
    </row>
    <row r="1121" customFormat="false" ht="15" hidden="false" customHeight="false" outlineLevel="0" collapsed="false">
      <c r="A1121" s="0" t="str">
        <f aca="false">IF(INDEX(BookTitle,1116)="","",INDEX(BookKey,1116))</f>
        <v/>
      </c>
      <c r="B1121" s="0" t="str">
        <f aca="false">IF(INDEX(BookTitle,1116)="","",INDEX(BookGroup,1116))</f>
        <v/>
      </c>
      <c r="C1121" s="0" t="str">
        <f aca="false">IF(INDEX(BookTitle,1116)="","",INDEX(BookCategory,1116))</f>
        <v/>
      </c>
      <c r="D1121" s="56" t="str">
        <f aca="false">IF(INDEX(BookTitle,1116)="","",INDEX(BookTotal,1116)*'5. Scenarios'!$B$6/(1+ProductivityDefault*('5. Scenarios'!$B$11-1)))</f>
        <v/>
      </c>
      <c r="E1121" s="57" t="str">
        <f aca="false">IF($D1121="","",INDEX(BookRate,1116)*(1+'5. Scenarios'!$B$10)*$D1121)</f>
        <v/>
      </c>
      <c r="F1121" s="57" t="str">
        <f aca="false">IF($E1121="","",SUMIFS($E$6:$E$2405,$A$6:$A$2405,"&lt;="&amp;$A1121))</f>
        <v/>
      </c>
      <c r="G1121" s="57" t="str">
        <f aca="false">IF($E1121="","",IF($F1121&lt;=BankCostEnvelope*'5. Scenarios'!$B$7,1,0))</f>
        <v/>
      </c>
      <c r="H1121" s="57" t="str">
        <f aca="false">IF($D1121="","",INDEX(BookRate,1116)*(1+'5. Scenarios'!$B$10)*(INDEX(BookQ1,1116)*(5-MIN(4,1+'5. Scenarios'!$B$8))/4+INDEX(BookQ2,1116)*(5-MIN(4,2+'5. Scenarios'!$B$8))/4+INDEX(BookQ3,1116)*(5-MIN(4,3+'5. Scenarios'!$B$8))/4+INDEX(BookQ4,1116)*(5-MIN(4,4+'5. Scenarios'!$B$8))/4)*'5. Scenarios'!$B$6/(1+ProductivityDefault*('5. Scenarios'!$B$11-1))+INDEX(BookOneOff,1116)*$D1121)</f>
        <v/>
      </c>
      <c r="I1121" s="56" t="str">
        <f aca="false">IF(INDEX(BookTitle,1116)="","",INDEX(BookTotal,1116)*'5. Scenarios'!$C$6/(1+ProductivityDefault*('5. Scenarios'!$C$11-1)))</f>
        <v/>
      </c>
      <c r="J1121" s="57" t="str">
        <f aca="false">IF($I1121="","",INDEX(BookRate,1116)*(1+'5. Scenarios'!$C$10)*$I1121)</f>
        <v/>
      </c>
      <c r="K1121" s="57" t="str">
        <f aca="false">IF($J1121="","",SUMIFS($J$6:$J$2405,$A$6:$A$2405,"&lt;="&amp;$A1121))</f>
        <v/>
      </c>
      <c r="L1121" s="57" t="str">
        <f aca="false">IF($J1121="","",IF($K1121&lt;=BankCostEnvelope*'5. Scenarios'!$C$7,1,0))</f>
        <v/>
      </c>
      <c r="M1121" s="57" t="str">
        <f aca="false">IF($I1121="","",INDEX(BookRate,1116)*(1+'5. Scenarios'!$C$10)*(INDEX(BookQ1,1116)*(5-MIN(4,1+'5. Scenarios'!$C$8))/4+INDEX(BookQ2,1116)*(5-MIN(4,2+'5. Scenarios'!$C$8))/4+INDEX(BookQ3,1116)*(5-MIN(4,3+'5. Scenarios'!$C$8))/4+INDEX(BookQ4,1116)*(5-MIN(4,4+'5. Scenarios'!$C$8))/4)*'5. Scenarios'!$C$6/(1+ProductivityDefault*('5. Scenarios'!$C$11-1))+INDEX(BookOneOff,1116)*$I1121)</f>
        <v/>
      </c>
      <c r="N1121" s="56" t="str">
        <f aca="false">IF(INDEX(BookTitle,1116)="","",INDEX(BookTotal,1116)*'5. Scenarios'!$D$6/(1+ProductivityDefault*('5. Scenarios'!$D$11-1)))</f>
        <v/>
      </c>
      <c r="O1121" s="57" t="str">
        <f aca="false">IF($N1121="","",INDEX(BookRate,1116)*(1+'5. Scenarios'!$D$10)*$N1121)</f>
        <v/>
      </c>
      <c r="P1121" s="57" t="str">
        <f aca="false">IF($O1121="","",SUMIFS($O$6:$O$2405,$A$6:$A$2405,"&lt;="&amp;$A1121))</f>
        <v/>
      </c>
      <c r="Q1121" s="57" t="str">
        <f aca="false">IF($O1121="","",IF($P1121&lt;=BankCostEnvelope*'5. Scenarios'!$D$7,1,0))</f>
        <v/>
      </c>
      <c r="R1121" s="57" t="str">
        <f aca="false">IF($N1121="","",INDEX(BookRate,1116)*(1+'5. Scenarios'!$D$10)*(INDEX(BookQ1,1116)*(5-MIN(4,1+'5. Scenarios'!$D$8))/4+INDEX(BookQ2,1116)*(5-MIN(4,2+'5. Scenarios'!$D$8))/4+INDEX(BookQ3,1116)*(5-MIN(4,3+'5. Scenarios'!$D$8))/4+INDEX(BookQ4,1116)*(5-MIN(4,4+'5. Scenarios'!$D$8))/4)*'5. Scenarios'!$D$6/(1+ProductivityDefault*('5. Scenarios'!$D$11-1))+INDEX(BookOneOff,1116)*$N1121)</f>
        <v/>
      </c>
      <c r="S1121" s="56" t="str">
        <f aca="false">IF(INDEX(BookTitle,1116)="","",INDEX(BookTotal,1116)*'5. Scenarios'!$E$6/(1+ProductivityDefault*('5. Scenarios'!$E$11-1)))</f>
        <v/>
      </c>
      <c r="T1121" s="57" t="str">
        <f aca="false">IF($S1121="","",INDEX(BookRate,1116)*(1+'5. Scenarios'!$E$10)*$S1121)</f>
        <v/>
      </c>
      <c r="U1121" s="57" t="str">
        <f aca="false">IF($T1121="","",SUMIFS($T$6:$T$2405,$A$6:$A$2405,"&lt;="&amp;$A1121))</f>
        <v/>
      </c>
      <c r="V1121" s="57" t="str">
        <f aca="false">IF($T1121="","",IF($U1121&lt;=BankCostEnvelope*'5. Scenarios'!$E$7,1,0))</f>
        <v/>
      </c>
      <c r="W1121" s="57" t="str">
        <f aca="false">IF($S1121="","",INDEX(BookRate,1116)*(1+'5. Scenarios'!$E$10)*(INDEX(BookQ1,1116)*(5-MIN(4,1+'5. Scenarios'!$E$8))/4+INDEX(BookQ2,1116)*(5-MIN(4,2+'5. Scenarios'!$E$8))/4+INDEX(BookQ3,1116)*(5-MIN(4,3+'5. Scenarios'!$E$8))/4+INDEX(BookQ4,1116)*(5-MIN(4,4+'5. Scenarios'!$E$8))/4)*'5. Scenarios'!$E$6/(1+ProductivityDefault*('5. Scenarios'!$E$11-1))+INDEX(BookOneOff,1116)*$S1121)</f>
        <v/>
      </c>
    </row>
    <row r="1122" customFormat="false" ht="15" hidden="false" customHeight="false" outlineLevel="0" collapsed="false">
      <c r="A1122" s="0" t="str">
        <f aca="false">IF(INDEX(BookTitle,1117)="","",INDEX(BookKey,1117))</f>
        <v/>
      </c>
      <c r="B1122" s="0" t="str">
        <f aca="false">IF(INDEX(BookTitle,1117)="","",INDEX(BookGroup,1117))</f>
        <v/>
      </c>
      <c r="C1122" s="0" t="str">
        <f aca="false">IF(INDEX(BookTitle,1117)="","",INDEX(BookCategory,1117))</f>
        <v/>
      </c>
      <c r="D1122" s="56" t="str">
        <f aca="false">IF(INDEX(BookTitle,1117)="","",INDEX(BookTotal,1117)*'5. Scenarios'!$B$6/(1+ProductivityDefault*('5. Scenarios'!$B$11-1)))</f>
        <v/>
      </c>
      <c r="E1122" s="57" t="str">
        <f aca="false">IF($D1122="","",INDEX(BookRate,1117)*(1+'5. Scenarios'!$B$10)*$D1122)</f>
        <v/>
      </c>
      <c r="F1122" s="57" t="str">
        <f aca="false">IF($E1122="","",SUMIFS($E$6:$E$2405,$A$6:$A$2405,"&lt;="&amp;$A1122))</f>
        <v/>
      </c>
      <c r="G1122" s="57" t="str">
        <f aca="false">IF($E1122="","",IF($F1122&lt;=BankCostEnvelope*'5. Scenarios'!$B$7,1,0))</f>
        <v/>
      </c>
      <c r="H1122" s="57" t="str">
        <f aca="false">IF($D1122="","",INDEX(BookRate,1117)*(1+'5. Scenarios'!$B$10)*(INDEX(BookQ1,1117)*(5-MIN(4,1+'5. Scenarios'!$B$8))/4+INDEX(BookQ2,1117)*(5-MIN(4,2+'5. Scenarios'!$B$8))/4+INDEX(BookQ3,1117)*(5-MIN(4,3+'5. Scenarios'!$B$8))/4+INDEX(BookQ4,1117)*(5-MIN(4,4+'5. Scenarios'!$B$8))/4)*'5. Scenarios'!$B$6/(1+ProductivityDefault*('5. Scenarios'!$B$11-1))+INDEX(BookOneOff,1117)*$D1122)</f>
        <v/>
      </c>
      <c r="I1122" s="56" t="str">
        <f aca="false">IF(INDEX(BookTitle,1117)="","",INDEX(BookTotal,1117)*'5. Scenarios'!$C$6/(1+ProductivityDefault*('5. Scenarios'!$C$11-1)))</f>
        <v/>
      </c>
      <c r="J1122" s="57" t="str">
        <f aca="false">IF($I1122="","",INDEX(BookRate,1117)*(1+'5. Scenarios'!$C$10)*$I1122)</f>
        <v/>
      </c>
      <c r="K1122" s="57" t="str">
        <f aca="false">IF($J1122="","",SUMIFS($J$6:$J$2405,$A$6:$A$2405,"&lt;="&amp;$A1122))</f>
        <v/>
      </c>
      <c r="L1122" s="57" t="str">
        <f aca="false">IF($J1122="","",IF($K1122&lt;=BankCostEnvelope*'5. Scenarios'!$C$7,1,0))</f>
        <v/>
      </c>
      <c r="M1122" s="57" t="str">
        <f aca="false">IF($I1122="","",INDEX(BookRate,1117)*(1+'5. Scenarios'!$C$10)*(INDEX(BookQ1,1117)*(5-MIN(4,1+'5. Scenarios'!$C$8))/4+INDEX(BookQ2,1117)*(5-MIN(4,2+'5. Scenarios'!$C$8))/4+INDEX(BookQ3,1117)*(5-MIN(4,3+'5. Scenarios'!$C$8))/4+INDEX(BookQ4,1117)*(5-MIN(4,4+'5. Scenarios'!$C$8))/4)*'5. Scenarios'!$C$6/(1+ProductivityDefault*('5. Scenarios'!$C$11-1))+INDEX(BookOneOff,1117)*$I1122)</f>
        <v/>
      </c>
      <c r="N1122" s="56" t="str">
        <f aca="false">IF(INDEX(BookTitle,1117)="","",INDEX(BookTotal,1117)*'5. Scenarios'!$D$6/(1+ProductivityDefault*('5. Scenarios'!$D$11-1)))</f>
        <v/>
      </c>
      <c r="O1122" s="57" t="str">
        <f aca="false">IF($N1122="","",INDEX(BookRate,1117)*(1+'5. Scenarios'!$D$10)*$N1122)</f>
        <v/>
      </c>
      <c r="P1122" s="57" t="str">
        <f aca="false">IF($O1122="","",SUMIFS($O$6:$O$2405,$A$6:$A$2405,"&lt;="&amp;$A1122))</f>
        <v/>
      </c>
      <c r="Q1122" s="57" t="str">
        <f aca="false">IF($O1122="","",IF($P1122&lt;=BankCostEnvelope*'5. Scenarios'!$D$7,1,0))</f>
        <v/>
      </c>
      <c r="R1122" s="57" t="str">
        <f aca="false">IF($N1122="","",INDEX(BookRate,1117)*(1+'5. Scenarios'!$D$10)*(INDEX(BookQ1,1117)*(5-MIN(4,1+'5. Scenarios'!$D$8))/4+INDEX(BookQ2,1117)*(5-MIN(4,2+'5. Scenarios'!$D$8))/4+INDEX(BookQ3,1117)*(5-MIN(4,3+'5. Scenarios'!$D$8))/4+INDEX(BookQ4,1117)*(5-MIN(4,4+'5. Scenarios'!$D$8))/4)*'5. Scenarios'!$D$6/(1+ProductivityDefault*('5. Scenarios'!$D$11-1))+INDEX(BookOneOff,1117)*$N1122)</f>
        <v/>
      </c>
      <c r="S1122" s="56" t="str">
        <f aca="false">IF(INDEX(BookTitle,1117)="","",INDEX(BookTotal,1117)*'5. Scenarios'!$E$6/(1+ProductivityDefault*('5. Scenarios'!$E$11-1)))</f>
        <v/>
      </c>
      <c r="T1122" s="57" t="str">
        <f aca="false">IF($S1122="","",INDEX(BookRate,1117)*(1+'5. Scenarios'!$E$10)*$S1122)</f>
        <v/>
      </c>
      <c r="U1122" s="57" t="str">
        <f aca="false">IF($T1122="","",SUMIFS($T$6:$T$2405,$A$6:$A$2405,"&lt;="&amp;$A1122))</f>
        <v/>
      </c>
      <c r="V1122" s="57" t="str">
        <f aca="false">IF($T1122="","",IF($U1122&lt;=BankCostEnvelope*'5. Scenarios'!$E$7,1,0))</f>
        <v/>
      </c>
      <c r="W1122" s="57" t="str">
        <f aca="false">IF($S1122="","",INDEX(BookRate,1117)*(1+'5. Scenarios'!$E$10)*(INDEX(BookQ1,1117)*(5-MIN(4,1+'5. Scenarios'!$E$8))/4+INDEX(BookQ2,1117)*(5-MIN(4,2+'5. Scenarios'!$E$8))/4+INDEX(BookQ3,1117)*(5-MIN(4,3+'5. Scenarios'!$E$8))/4+INDEX(BookQ4,1117)*(5-MIN(4,4+'5. Scenarios'!$E$8))/4)*'5. Scenarios'!$E$6/(1+ProductivityDefault*('5. Scenarios'!$E$11-1))+INDEX(BookOneOff,1117)*$S1122)</f>
        <v/>
      </c>
    </row>
    <row r="1123" customFormat="false" ht="15" hidden="false" customHeight="false" outlineLevel="0" collapsed="false">
      <c r="A1123" s="0" t="str">
        <f aca="false">IF(INDEX(BookTitle,1118)="","",INDEX(BookKey,1118))</f>
        <v/>
      </c>
      <c r="B1123" s="0" t="str">
        <f aca="false">IF(INDEX(BookTitle,1118)="","",INDEX(BookGroup,1118))</f>
        <v/>
      </c>
      <c r="C1123" s="0" t="str">
        <f aca="false">IF(INDEX(BookTitle,1118)="","",INDEX(BookCategory,1118))</f>
        <v/>
      </c>
      <c r="D1123" s="56" t="str">
        <f aca="false">IF(INDEX(BookTitle,1118)="","",INDEX(BookTotal,1118)*'5. Scenarios'!$B$6/(1+ProductivityDefault*('5. Scenarios'!$B$11-1)))</f>
        <v/>
      </c>
      <c r="E1123" s="57" t="str">
        <f aca="false">IF($D1123="","",INDEX(BookRate,1118)*(1+'5. Scenarios'!$B$10)*$D1123)</f>
        <v/>
      </c>
      <c r="F1123" s="57" t="str">
        <f aca="false">IF($E1123="","",SUMIFS($E$6:$E$2405,$A$6:$A$2405,"&lt;="&amp;$A1123))</f>
        <v/>
      </c>
      <c r="G1123" s="57" t="str">
        <f aca="false">IF($E1123="","",IF($F1123&lt;=BankCostEnvelope*'5. Scenarios'!$B$7,1,0))</f>
        <v/>
      </c>
      <c r="H1123" s="57" t="str">
        <f aca="false">IF($D1123="","",INDEX(BookRate,1118)*(1+'5. Scenarios'!$B$10)*(INDEX(BookQ1,1118)*(5-MIN(4,1+'5. Scenarios'!$B$8))/4+INDEX(BookQ2,1118)*(5-MIN(4,2+'5. Scenarios'!$B$8))/4+INDEX(BookQ3,1118)*(5-MIN(4,3+'5. Scenarios'!$B$8))/4+INDEX(BookQ4,1118)*(5-MIN(4,4+'5. Scenarios'!$B$8))/4)*'5. Scenarios'!$B$6/(1+ProductivityDefault*('5. Scenarios'!$B$11-1))+INDEX(BookOneOff,1118)*$D1123)</f>
        <v/>
      </c>
      <c r="I1123" s="56" t="str">
        <f aca="false">IF(INDEX(BookTitle,1118)="","",INDEX(BookTotal,1118)*'5. Scenarios'!$C$6/(1+ProductivityDefault*('5. Scenarios'!$C$11-1)))</f>
        <v/>
      </c>
      <c r="J1123" s="57" t="str">
        <f aca="false">IF($I1123="","",INDEX(BookRate,1118)*(1+'5. Scenarios'!$C$10)*$I1123)</f>
        <v/>
      </c>
      <c r="K1123" s="57" t="str">
        <f aca="false">IF($J1123="","",SUMIFS($J$6:$J$2405,$A$6:$A$2405,"&lt;="&amp;$A1123))</f>
        <v/>
      </c>
      <c r="L1123" s="57" t="str">
        <f aca="false">IF($J1123="","",IF($K1123&lt;=BankCostEnvelope*'5. Scenarios'!$C$7,1,0))</f>
        <v/>
      </c>
      <c r="M1123" s="57" t="str">
        <f aca="false">IF($I1123="","",INDEX(BookRate,1118)*(1+'5. Scenarios'!$C$10)*(INDEX(BookQ1,1118)*(5-MIN(4,1+'5. Scenarios'!$C$8))/4+INDEX(BookQ2,1118)*(5-MIN(4,2+'5. Scenarios'!$C$8))/4+INDEX(BookQ3,1118)*(5-MIN(4,3+'5. Scenarios'!$C$8))/4+INDEX(BookQ4,1118)*(5-MIN(4,4+'5. Scenarios'!$C$8))/4)*'5. Scenarios'!$C$6/(1+ProductivityDefault*('5. Scenarios'!$C$11-1))+INDEX(BookOneOff,1118)*$I1123)</f>
        <v/>
      </c>
      <c r="N1123" s="56" t="str">
        <f aca="false">IF(INDEX(BookTitle,1118)="","",INDEX(BookTotal,1118)*'5. Scenarios'!$D$6/(1+ProductivityDefault*('5. Scenarios'!$D$11-1)))</f>
        <v/>
      </c>
      <c r="O1123" s="57" t="str">
        <f aca="false">IF($N1123="","",INDEX(BookRate,1118)*(1+'5. Scenarios'!$D$10)*$N1123)</f>
        <v/>
      </c>
      <c r="P1123" s="57" t="str">
        <f aca="false">IF($O1123="","",SUMIFS($O$6:$O$2405,$A$6:$A$2405,"&lt;="&amp;$A1123))</f>
        <v/>
      </c>
      <c r="Q1123" s="57" t="str">
        <f aca="false">IF($O1123="","",IF($P1123&lt;=BankCostEnvelope*'5. Scenarios'!$D$7,1,0))</f>
        <v/>
      </c>
      <c r="R1123" s="57" t="str">
        <f aca="false">IF($N1123="","",INDEX(BookRate,1118)*(1+'5. Scenarios'!$D$10)*(INDEX(BookQ1,1118)*(5-MIN(4,1+'5. Scenarios'!$D$8))/4+INDEX(BookQ2,1118)*(5-MIN(4,2+'5. Scenarios'!$D$8))/4+INDEX(BookQ3,1118)*(5-MIN(4,3+'5. Scenarios'!$D$8))/4+INDEX(BookQ4,1118)*(5-MIN(4,4+'5. Scenarios'!$D$8))/4)*'5. Scenarios'!$D$6/(1+ProductivityDefault*('5. Scenarios'!$D$11-1))+INDEX(BookOneOff,1118)*$N1123)</f>
        <v/>
      </c>
      <c r="S1123" s="56" t="str">
        <f aca="false">IF(INDEX(BookTitle,1118)="","",INDEX(BookTotal,1118)*'5. Scenarios'!$E$6/(1+ProductivityDefault*('5. Scenarios'!$E$11-1)))</f>
        <v/>
      </c>
      <c r="T1123" s="57" t="str">
        <f aca="false">IF($S1123="","",INDEX(BookRate,1118)*(1+'5. Scenarios'!$E$10)*$S1123)</f>
        <v/>
      </c>
      <c r="U1123" s="57" t="str">
        <f aca="false">IF($T1123="","",SUMIFS($T$6:$T$2405,$A$6:$A$2405,"&lt;="&amp;$A1123))</f>
        <v/>
      </c>
      <c r="V1123" s="57" t="str">
        <f aca="false">IF($T1123="","",IF($U1123&lt;=BankCostEnvelope*'5. Scenarios'!$E$7,1,0))</f>
        <v/>
      </c>
      <c r="W1123" s="57" t="str">
        <f aca="false">IF($S1123="","",INDEX(BookRate,1118)*(1+'5. Scenarios'!$E$10)*(INDEX(BookQ1,1118)*(5-MIN(4,1+'5. Scenarios'!$E$8))/4+INDEX(BookQ2,1118)*(5-MIN(4,2+'5. Scenarios'!$E$8))/4+INDEX(BookQ3,1118)*(5-MIN(4,3+'5. Scenarios'!$E$8))/4+INDEX(BookQ4,1118)*(5-MIN(4,4+'5. Scenarios'!$E$8))/4)*'5. Scenarios'!$E$6/(1+ProductivityDefault*('5. Scenarios'!$E$11-1))+INDEX(BookOneOff,1118)*$S1123)</f>
        <v/>
      </c>
    </row>
    <row r="1124" customFormat="false" ht="15" hidden="false" customHeight="false" outlineLevel="0" collapsed="false">
      <c r="A1124" s="0" t="str">
        <f aca="false">IF(INDEX(BookTitle,1119)="","",INDEX(BookKey,1119))</f>
        <v/>
      </c>
      <c r="B1124" s="0" t="str">
        <f aca="false">IF(INDEX(BookTitle,1119)="","",INDEX(BookGroup,1119))</f>
        <v/>
      </c>
      <c r="C1124" s="0" t="str">
        <f aca="false">IF(INDEX(BookTitle,1119)="","",INDEX(BookCategory,1119))</f>
        <v/>
      </c>
      <c r="D1124" s="56" t="str">
        <f aca="false">IF(INDEX(BookTitle,1119)="","",INDEX(BookTotal,1119)*'5. Scenarios'!$B$6/(1+ProductivityDefault*('5. Scenarios'!$B$11-1)))</f>
        <v/>
      </c>
      <c r="E1124" s="57" t="str">
        <f aca="false">IF($D1124="","",INDEX(BookRate,1119)*(1+'5. Scenarios'!$B$10)*$D1124)</f>
        <v/>
      </c>
      <c r="F1124" s="57" t="str">
        <f aca="false">IF($E1124="","",SUMIFS($E$6:$E$2405,$A$6:$A$2405,"&lt;="&amp;$A1124))</f>
        <v/>
      </c>
      <c r="G1124" s="57" t="str">
        <f aca="false">IF($E1124="","",IF($F1124&lt;=BankCostEnvelope*'5. Scenarios'!$B$7,1,0))</f>
        <v/>
      </c>
      <c r="H1124" s="57" t="str">
        <f aca="false">IF($D1124="","",INDEX(BookRate,1119)*(1+'5. Scenarios'!$B$10)*(INDEX(BookQ1,1119)*(5-MIN(4,1+'5. Scenarios'!$B$8))/4+INDEX(BookQ2,1119)*(5-MIN(4,2+'5. Scenarios'!$B$8))/4+INDEX(BookQ3,1119)*(5-MIN(4,3+'5. Scenarios'!$B$8))/4+INDEX(BookQ4,1119)*(5-MIN(4,4+'5. Scenarios'!$B$8))/4)*'5. Scenarios'!$B$6/(1+ProductivityDefault*('5. Scenarios'!$B$11-1))+INDEX(BookOneOff,1119)*$D1124)</f>
        <v/>
      </c>
      <c r="I1124" s="56" t="str">
        <f aca="false">IF(INDEX(BookTitle,1119)="","",INDEX(BookTotal,1119)*'5. Scenarios'!$C$6/(1+ProductivityDefault*('5. Scenarios'!$C$11-1)))</f>
        <v/>
      </c>
      <c r="J1124" s="57" t="str">
        <f aca="false">IF($I1124="","",INDEX(BookRate,1119)*(1+'5. Scenarios'!$C$10)*$I1124)</f>
        <v/>
      </c>
      <c r="K1124" s="57" t="str">
        <f aca="false">IF($J1124="","",SUMIFS($J$6:$J$2405,$A$6:$A$2405,"&lt;="&amp;$A1124))</f>
        <v/>
      </c>
      <c r="L1124" s="57" t="str">
        <f aca="false">IF($J1124="","",IF($K1124&lt;=BankCostEnvelope*'5. Scenarios'!$C$7,1,0))</f>
        <v/>
      </c>
      <c r="M1124" s="57" t="str">
        <f aca="false">IF($I1124="","",INDEX(BookRate,1119)*(1+'5. Scenarios'!$C$10)*(INDEX(BookQ1,1119)*(5-MIN(4,1+'5. Scenarios'!$C$8))/4+INDEX(BookQ2,1119)*(5-MIN(4,2+'5. Scenarios'!$C$8))/4+INDEX(BookQ3,1119)*(5-MIN(4,3+'5. Scenarios'!$C$8))/4+INDEX(BookQ4,1119)*(5-MIN(4,4+'5. Scenarios'!$C$8))/4)*'5. Scenarios'!$C$6/(1+ProductivityDefault*('5. Scenarios'!$C$11-1))+INDEX(BookOneOff,1119)*$I1124)</f>
        <v/>
      </c>
      <c r="N1124" s="56" t="str">
        <f aca="false">IF(INDEX(BookTitle,1119)="","",INDEX(BookTotal,1119)*'5. Scenarios'!$D$6/(1+ProductivityDefault*('5. Scenarios'!$D$11-1)))</f>
        <v/>
      </c>
      <c r="O1124" s="57" t="str">
        <f aca="false">IF($N1124="","",INDEX(BookRate,1119)*(1+'5. Scenarios'!$D$10)*$N1124)</f>
        <v/>
      </c>
      <c r="P1124" s="57" t="str">
        <f aca="false">IF($O1124="","",SUMIFS($O$6:$O$2405,$A$6:$A$2405,"&lt;="&amp;$A1124))</f>
        <v/>
      </c>
      <c r="Q1124" s="57" t="str">
        <f aca="false">IF($O1124="","",IF($P1124&lt;=BankCostEnvelope*'5. Scenarios'!$D$7,1,0))</f>
        <v/>
      </c>
      <c r="R1124" s="57" t="str">
        <f aca="false">IF($N1124="","",INDEX(BookRate,1119)*(1+'5. Scenarios'!$D$10)*(INDEX(BookQ1,1119)*(5-MIN(4,1+'5. Scenarios'!$D$8))/4+INDEX(BookQ2,1119)*(5-MIN(4,2+'5. Scenarios'!$D$8))/4+INDEX(BookQ3,1119)*(5-MIN(4,3+'5. Scenarios'!$D$8))/4+INDEX(BookQ4,1119)*(5-MIN(4,4+'5. Scenarios'!$D$8))/4)*'5. Scenarios'!$D$6/(1+ProductivityDefault*('5. Scenarios'!$D$11-1))+INDEX(BookOneOff,1119)*$N1124)</f>
        <v/>
      </c>
      <c r="S1124" s="56" t="str">
        <f aca="false">IF(INDEX(BookTitle,1119)="","",INDEX(BookTotal,1119)*'5. Scenarios'!$E$6/(1+ProductivityDefault*('5. Scenarios'!$E$11-1)))</f>
        <v/>
      </c>
      <c r="T1124" s="57" t="str">
        <f aca="false">IF($S1124="","",INDEX(BookRate,1119)*(1+'5. Scenarios'!$E$10)*$S1124)</f>
        <v/>
      </c>
      <c r="U1124" s="57" t="str">
        <f aca="false">IF($T1124="","",SUMIFS($T$6:$T$2405,$A$6:$A$2405,"&lt;="&amp;$A1124))</f>
        <v/>
      </c>
      <c r="V1124" s="57" t="str">
        <f aca="false">IF($T1124="","",IF($U1124&lt;=BankCostEnvelope*'5. Scenarios'!$E$7,1,0))</f>
        <v/>
      </c>
      <c r="W1124" s="57" t="str">
        <f aca="false">IF($S1124="","",INDEX(BookRate,1119)*(1+'5. Scenarios'!$E$10)*(INDEX(BookQ1,1119)*(5-MIN(4,1+'5. Scenarios'!$E$8))/4+INDEX(BookQ2,1119)*(5-MIN(4,2+'5. Scenarios'!$E$8))/4+INDEX(BookQ3,1119)*(5-MIN(4,3+'5. Scenarios'!$E$8))/4+INDEX(BookQ4,1119)*(5-MIN(4,4+'5. Scenarios'!$E$8))/4)*'5. Scenarios'!$E$6/(1+ProductivityDefault*('5. Scenarios'!$E$11-1))+INDEX(BookOneOff,1119)*$S1124)</f>
        <v/>
      </c>
    </row>
    <row r="1125" customFormat="false" ht="15" hidden="false" customHeight="false" outlineLevel="0" collapsed="false">
      <c r="A1125" s="0" t="str">
        <f aca="false">IF(INDEX(BookTitle,1120)="","",INDEX(BookKey,1120))</f>
        <v/>
      </c>
      <c r="B1125" s="0" t="str">
        <f aca="false">IF(INDEX(BookTitle,1120)="","",INDEX(BookGroup,1120))</f>
        <v/>
      </c>
      <c r="C1125" s="0" t="str">
        <f aca="false">IF(INDEX(BookTitle,1120)="","",INDEX(BookCategory,1120))</f>
        <v/>
      </c>
      <c r="D1125" s="56" t="str">
        <f aca="false">IF(INDEX(BookTitle,1120)="","",INDEX(BookTotal,1120)*'5. Scenarios'!$B$6/(1+ProductivityDefault*('5. Scenarios'!$B$11-1)))</f>
        <v/>
      </c>
      <c r="E1125" s="57" t="str">
        <f aca="false">IF($D1125="","",INDEX(BookRate,1120)*(1+'5. Scenarios'!$B$10)*$D1125)</f>
        <v/>
      </c>
      <c r="F1125" s="57" t="str">
        <f aca="false">IF($E1125="","",SUMIFS($E$6:$E$2405,$A$6:$A$2405,"&lt;="&amp;$A1125))</f>
        <v/>
      </c>
      <c r="G1125" s="57" t="str">
        <f aca="false">IF($E1125="","",IF($F1125&lt;=BankCostEnvelope*'5. Scenarios'!$B$7,1,0))</f>
        <v/>
      </c>
      <c r="H1125" s="57" t="str">
        <f aca="false">IF($D1125="","",INDEX(BookRate,1120)*(1+'5. Scenarios'!$B$10)*(INDEX(BookQ1,1120)*(5-MIN(4,1+'5. Scenarios'!$B$8))/4+INDEX(BookQ2,1120)*(5-MIN(4,2+'5. Scenarios'!$B$8))/4+INDEX(BookQ3,1120)*(5-MIN(4,3+'5. Scenarios'!$B$8))/4+INDEX(BookQ4,1120)*(5-MIN(4,4+'5. Scenarios'!$B$8))/4)*'5. Scenarios'!$B$6/(1+ProductivityDefault*('5. Scenarios'!$B$11-1))+INDEX(BookOneOff,1120)*$D1125)</f>
        <v/>
      </c>
      <c r="I1125" s="56" t="str">
        <f aca="false">IF(INDEX(BookTitle,1120)="","",INDEX(BookTotal,1120)*'5. Scenarios'!$C$6/(1+ProductivityDefault*('5. Scenarios'!$C$11-1)))</f>
        <v/>
      </c>
      <c r="J1125" s="57" t="str">
        <f aca="false">IF($I1125="","",INDEX(BookRate,1120)*(1+'5. Scenarios'!$C$10)*$I1125)</f>
        <v/>
      </c>
      <c r="K1125" s="57" t="str">
        <f aca="false">IF($J1125="","",SUMIFS($J$6:$J$2405,$A$6:$A$2405,"&lt;="&amp;$A1125))</f>
        <v/>
      </c>
      <c r="L1125" s="57" t="str">
        <f aca="false">IF($J1125="","",IF($K1125&lt;=BankCostEnvelope*'5. Scenarios'!$C$7,1,0))</f>
        <v/>
      </c>
      <c r="M1125" s="57" t="str">
        <f aca="false">IF($I1125="","",INDEX(BookRate,1120)*(1+'5. Scenarios'!$C$10)*(INDEX(BookQ1,1120)*(5-MIN(4,1+'5. Scenarios'!$C$8))/4+INDEX(BookQ2,1120)*(5-MIN(4,2+'5. Scenarios'!$C$8))/4+INDEX(BookQ3,1120)*(5-MIN(4,3+'5. Scenarios'!$C$8))/4+INDEX(BookQ4,1120)*(5-MIN(4,4+'5. Scenarios'!$C$8))/4)*'5. Scenarios'!$C$6/(1+ProductivityDefault*('5. Scenarios'!$C$11-1))+INDEX(BookOneOff,1120)*$I1125)</f>
        <v/>
      </c>
      <c r="N1125" s="56" t="str">
        <f aca="false">IF(INDEX(BookTitle,1120)="","",INDEX(BookTotal,1120)*'5. Scenarios'!$D$6/(1+ProductivityDefault*('5. Scenarios'!$D$11-1)))</f>
        <v/>
      </c>
      <c r="O1125" s="57" t="str">
        <f aca="false">IF($N1125="","",INDEX(BookRate,1120)*(1+'5. Scenarios'!$D$10)*$N1125)</f>
        <v/>
      </c>
      <c r="P1125" s="57" t="str">
        <f aca="false">IF($O1125="","",SUMIFS($O$6:$O$2405,$A$6:$A$2405,"&lt;="&amp;$A1125))</f>
        <v/>
      </c>
      <c r="Q1125" s="57" t="str">
        <f aca="false">IF($O1125="","",IF($P1125&lt;=BankCostEnvelope*'5. Scenarios'!$D$7,1,0))</f>
        <v/>
      </c>
      <c r="R1125" s="57" t="str">
        <f aca="false">IF($N1125="","",INDEX(BookRate,1120)*(1+'5. Scenarios'!$D$10)*(INDEX(BookQ1,1120)*(5-MIN(4,1+'5. Scenarios'!$D$8))/4+INDEX(BookQ2,1120)*(5-MIN(4,2+'5. Scenarios'!$D$8))/4+INDEX(BookQ3,1120)*(5-MIN(4,3+'5. Scenarios'!$D$8))/4+INDEX(BookQ4,1120)*(5-MIN(4,4+'5. Scenarios'!$D$8))/4)*'5. Scenarios'!$D$6/(1+ProductivityDefault*('5. Scenarios'!$D$11-1))+INDEX(BookOneOff,1120)*$N1125)</f>
        <v/>
      </c>
      <c r="S1125" s="56" t="str">
        <f aca="false">IF(INDEX(BookTitle,1120)="","",INDEX(BookTotal,1120)*'5. Scenarios'!$E$6/(1+ProductivityDefault*('5. Scenarios'!$E$11-1)))</f>
        <v/>
      </c>
      <c r="T1125" s="57" t="str">
        <f aca="false">IF($S1125="","",INDEX(BookRate,1120)*(1+'5. Scenarios'!$E$10)*$S1125)</f>
        <v/>
      </c>
      <c r="U1125" s="57" t="str">
        <f aca="false">IF($T1125="","",SUMIFS($T$6:$T$2405,$A$6:$A$2405,"&lt;="&amp;$A1125))</f>
        <v/>
      </c>
      <c r="V1125" s="57" t="str">
        <f aca="false">IF($T1125="","",IF($U1125&lt;=BankCostEnvelope*'5. Scenarios'!$E$7,1,0))</f>
        <v/>
      </c>
      <c r="W1125" s="57" t="str">
        <f aca="false">IF($S1125="","",INDEX(BookRate,1120)*(1+'5. Scenarios'!$E$10)*(INDEX(BookQ1,1120)*(5-MIN(4,1+'5. Scenarios'!$E$8))/4+INDEX(BookQ2,1120)*(5-MIN(4,2+'5. Scenarios'!$E$8))/4+INDEX(BookQ3,1120)*(5-MIN(4,3+'5. Scenarios'!$E$8))/4+INDEX(BookQ4,1120)*(5-MIN(4,4+'5. Scenarios'!$E$8))/4)*'5. Scenarios'!$E$6/(1+ProductivityDefault*('5. Scenarios'!$E$11-1))+INDEX(BookOneOff,1120)*$S1125)</f>
        <v/>
      </c>
    </row>
    <row r="1126" customFormat="false" ht="15" hidden="false" customHeight="false" outlineLevel="0" collapsed="false">
      <c r="A1126" s="0" t="str">
        <f aca="false">IF(INDEX(BookTitle,1121)="","",INDEX(BookKey,1121))</f>
        <v/>
      </c>
      <c r="B1126" s="0" t="str">
        <f aca="false">IF(INDEX(BookTitle,1121)="","",INDEX(BookGroup,1121))</f>
        <v/>
      </c>
      <c r="C1126" s="0" t="str">
        <f aca="false">IF(INDEX(BookTitle,1121)="","",INDEX(BookCategory,1121))</f>
        <v/>
      </c>
      <c r="D1126" s="56" t="str">
        <f aca="false">IF(INDEX(BookTitle,1121)="","",INDEX(BookTotal,1121)*'5. Scenarios'!$B$6/(1+ProductivityDefault*('5. Scenarios'!$B$11-1)))</f>
        <v/>
      </c>
      <c r="E1126" s="57" t="str">
        <f aca="false">IF($D1126="","",INDEX(BookRate,1121)*(1+'5. Scenarios'!$B$10)*$D1126)</f>
        <v/>
      </c>
      <c r="F1126" s="57" t="str">
        <f aca="false">IF($E1126="","",SUMIFS($E$6:$E$2405,$A$6:$A$2405,"&lt;="&amp;$A1126))</f>
        <v/>
      </c>
      <c r="G1126" s="57" t="str">
        <f aca="false">IF($E1126="","",IF($F1126&lt;=BankCostEnvelope*'5. Scenarios'!$B$7,1,0))</f>
        <v/>
      </c>
      <c r="H1126" s="57" t="str">
        <f aca="false">IF($D1126="","",INDEX(BookRate,1121)*(1+'5. Scenarios'!$B$10)*(INDEX(BookQ1,1121)*(5-MIN(4,1+'5. Scenarios'!$B$8))/4+INDEX(BookQ2,1121)*(5-MIN(4,2+'5. Scenarios'!$B$8))/4+INDEX(BookQ3,1121)*(5-MIN(4,3+'5. Scenarios'!$B$8))/4+INDEX(BookQ4,1121)*(5-MIN(4,4+'5. Scenarios'!$B$8))/4)*'5. Scenarios'!$B$6/(1+ProductivityDefault*('5. Scenarios'!$B$11-1))+INDEX(BookOneOff,1121)*$D1126)</f>
        <v/>
      </c>
      <c r="I1126" s="56" t="str">
        <f aca="false">IF(INDEX(BookTitle,1121)="","",INDEX(BookTotal,1121)*'5. Scenarios'!$C$6/(1+ProductivityDefault*('5. Scenarios'!$C$11-1)))</f>
        <v/>
      </c>
      <c r="J1126" s="57" t="str">
        <f aca="false">IF($I1126="","",INDEX(BookRate,1121)*(1+'5. Scenarios'!$C$10)*$I1126)</f>
        <v/>
      </c>
      <c r="K1126" s="57" t="str">
        <f aca="false">IF($J1126="","",SUMIFS($J$6:$J$2405,$A$6:$A$2405,"&lt;="&amp;$A1126))</f>
        <v/>
      </c>
      <c r="L1126" s="57" t="str">
        <f aca="false">IF($J1126="","",IF($K1126&lt;=BankCostEnvelope*'5. Scenarios'!$C$7,1,0))</f>
        <v/>
      </c>
      <c r="M1126" s="57" t="str">
        <f aca="false">IF($I1126="","",INDEX(BookRate,1121)*(1+'5. Scenarios'!$C$10)*(INDEX(BookQ1,1121)*(5-MIN(4,1+'5. Scenarios'!$C$8))/4+INDEX(BookQ2,1121)*(5-MIN(4,2+'5. Scenarios'!$C$8))/4+INDEX(BookQ3,1121)*(5-MIN(4,3+'5. Scenarios'!$C$8))/4+INDEX(BookQ4,1121)*(5-MIN(4,4+'5. Scenarios'!$C$8))/4)*'5. Scenarios'!$C$6/(1+ProductivityDefault*('5. Scenarios'!$C$11-1))+INDEX(BookOneOff,1121)*$I1126)</f>
        <v/>
      </c>
      <c r="N1126" s="56" t="str">
        <f aca="false">IF(INDEX(BookTitle,1121)="","",INDEX(BookTotal,1121)*'5. Scenarios'!$D$6/(1+ProductivityDefault*('5. Scenarios'!$D$11-1)))</f>
        <v/>
      </c>
      <c r="O1126" s="57" t="str">
        <f aca="false">IF($N1126="","",INDEX(BookRate,1121)*(1+'5. Scenarios'!$D$10)*$N1126)</f>
        <v/>
      </c>
      <c r="P1126" s="57" t="str">
        <f aca="false">IF($O1126="","",SUMIFS($O$6:$O$2405,$A$6:$A$2405,"&lt;="&amp;$A1126))</f>
        <v/>
      </c>
      <c r="Q1126" s="57" t="str">
        <f aca="false">IF($O1126="","",IF($P1126&lt;=BankCostEnvelope*'5. Scenarios'!$D$7,1,0))</f>
        <v/>
      </c>
      <c r="R1126" s="57" t="str">
        <f aca="false">IF($N1126="","",INDEX(BookRate,1121)*(1+'5. Scenarios'!$D$10)*(INDEX(BookQ1,1121)*(5-MIN(4,1+'5. Scenarios'!$D$8))/4+INDEX(BookQ2,1121)*(5-MIN(4,2+'5. Scenarios'!$D$8))/4+INDEX(BookQ3,1121)*(5-MIN(4,3+'5. Scenarios'!$D$8))/4+INDEX(BookQ4,1121)*(5-MIN(4,4+'5. Scenarios'!$D$8))/4)*'5. Scenarios'!$D$6/(1+ProductivityDefault*('5. Scenarios'!$D$11-1))+INDEX(BookOneOff,1121)*$N1126)</f>
        <v/>
      </c>
      <c r="S1126" s="56" t="str">
        <f aca="false">IF(INDEX(BookTitle,1121)="","",INDEX(BookTotal,1121)*'5. Scenarios'!$E$6/(1+ProductivityDefault*('5. Scenarios'!$E$11-1)))</f>
        <v/>
      </c>
      <c r="T1126" s="57" t="str">
        <f aca="false">IF($S1126="","",INDEX(BookRate,1121)*(1+'5. Scenarios'!$E$10)*$S1126)</f>
        <v/>
      </c>
      <c r="U1126" s="57" t="str">
        <f aca="false">IF($T1126="","",SUMIFS($T$6:$T$2405,$A$6:$A$2405,"&lt;="&amp;$A1126))</f>
        <v/>
      </c>
      <c r="V1126" s="57" t="str">
        <f aca="false">IF($T1126="","",IF($U1126&lt;=BankCostEnvelope*'5. Scenarios'!$E$7,1,0))</f>
        <v/>
      </c>
      <c r="W1126" s="57" t="str">
        <f aca="false">IF($S1126="","",INDEX(BookRate,1121)*(1+'5. Scenarios'!$E$10)*(INDEX(BookQ1,1121)*(5-MIN(4,1+'5. Scenarios'!$E$8))/4+INDEX(BookQ2,1121)*(5-MIN(4,2+'5. Scenarios'!$E$8))/4+INDEX(BookQ3,1121)*(5-MIN(4,3+'5. Scenarios'!$E$8))/4+INDEX(BookQ4,1121)*(5-MIN(4,4+'5. Scenarios'!$E$8))/4)*'5. Scenarios'!$E$6/(1+ProductivityDefault*('5. Scenarios'!$E$11-1))+INDEX(BookOneOff,1121)*$S1126)</f>
        <v/>
      </c>
    </row>
    <row r="1127" customFormat="false" ht="15" hidden="false" customHeight="false" outlineLevel="0" collapsed="false">
      <c r="A1127" s="0" t="str">
        <f aca="false">IF(INDEX(BookTitle,1122)="","",INDEX(BookKey,1122))</f>
        <v/>
      </c>
      <c r="B1127" s="0" t="str">
        <f aca="false">IF(INDEX(BookTitle,1122)="","",INDEX(BookGroup,1122))</f>
        <v/>
      </c>
      <c r="C1127" s="0" t="str">
        <f aca="false">IF(INDEX(BookTitle,1122)="","",INDEX(BookCategory,1122))</f>
        <v/>
      </c>
      <c r="D1127" s="56" t="str">
        <f aca="false">IF(INDEX(BookTitle,1122)="","",INDEX(BookTotal,1122)*'5. Scenarios'!$B$6/(1+ProductivityDefault*('5. Scenarios'!$B$11-1)))</f>
        <v/>
      </c>
      <c r="E1127" s="57" t="str">
        <f aca="false">IF($D1127="","",INDEX(BookRate,1122)*(1+'5. Scenarios'!$B$10)*$D1127)</f>
        <v/>
      </c>
      <c r="F1127" s="57" t="str">
        <f aca="false">IF($E1127="","",SUMIFS($E$6:$E$2405,$A$6:$A$2405,"&lt;="&amp;$A1127))</f>
        <v/>
      </c>
      <c r="G1127" s="57" t="str">
        <f aca="false">IF($E1127="","",IF($F1127&lt;=BankCostEnvelope*'5. Scenarios'!$B$7,1,0))</f>
        <v/>
      </c>
      <c r="H1127" s="57" t="str">
        <f aca="false">IF($D1127="","",INDEX(BookRate,1122)*(1+'5. Scenarios'!$B$10)*(INDEX(BookQ1,1122)*(5-MIN(4,1+'5. Scenarios'!$B$8))/4+INDEX(BookQ2,1122)*(5-MIN(4,2+'5. Scenarios'!$B$8))/4+INDEX(BookQ3,1122)*(5-MIN(4,3+'5. Scenarios'!$B$8))/4+INDEX(BookQ4,1122)*(5-MIN(4,4+'5. Scenarios'!$B$8))/4)*'5. Scenarios'!$B$6/(1+ProductivityDefault*('5. Scenarios'!$B$11-1))+INDEX(BookOneOff,1122)*$D1127)</f>
        <v/>
      </c>
      <c r="I1127" s="56" t="str">
        <f aca="false">IF(INDEX(BookTitle,1122)="","",INDEX(BookTotal,1122)*'5. Scenarios'!$C$6/(1+ProductivityDefault*('5. Scenarios'!$C$11-1)))</f>
        <v/>
      </c>
      <c r="J1127" s="57" t="str">
        <f aca="false">IF($I1127="","",INDEX(BookRate,1122)*(1+'5. Scenarios'!$C$10)*$I1127)</f>
        <v/>
      </c>
      <c r="K1127" s="57" t="str">
        <f aca="false">IF($J1127="","",SUMIFS($J$6:$J$2405,$A$6:$A$2405,"&lt;="&amp;$A1127))</f>
        <v/>
      </c>
      <c r="L1127" s="57" t="str">
        <f aca="false">IF($J1127="","",IF($K1127&lt;=BankCostEnvelope*'5. Scenarios'!$C$7,1,0))</f>
        <v/>
      </c>
      <c r="M1127" s="57" t="str">
        <f aca="false">IF($I1127="","",INDEX(BookRate,1122)*(1+'5. Scenarios'!$C$10)*(INDEX(BookQ1,1122)*(5-MIN(4,1+'5. Scenarios'!$C$8))/4+INDEX(BookQ2,1122)*(5-MIN(4,2+'5. Scenarios'!$C$8))/4+INDEX(BookQ3,1122)*(5-MIN(4,3+'5. Scenarios'!$C$8))/4+INDEX(BookQ4,1122)*(5-MIN(4,4+'5. Scenarios'!$C$8))/4)*'5. Scenarios'!$C$6/(1+ProductivityDefault*('5. Scenarios'!$C$11-1))+INDEX(BookOneOff,1122)*$I1127)</f>
        <v/>
      </c>
      <c r="N1127" s="56" t="str">
        <f aca="false">IF(INDEX(BookTitle,1122)="","",INDEX(BookTotal,1122)*'5. Scenarios'!$D$6/(1+ProductivityDefault*('5. Scenarios'!$D$11-1)))</f>
        <v/>
      </c>
      <c r="O1127" s="57" t="str">
        <f aca="false">IF($N1127="","",INDEX(BookRate,1122)*(1+'5. Scenarios'!$D$10)*$N1127)</f>
        <v/>
      </c>
      <c r="P1127" s="57" t="str">
        <f aca="false">IF($O1127="","",SUMIFS($O$6:$O$2405,$A$6:$A$2405,"&lt;="&amp;$A1127))</f>
        <v/>
      </c>
      <c r="Q1127" s="57" t="str">
        <f aca="false">IF($O1127="","",IF($P1127&lt;=BankCostEnvelope*'5. Scenarios'!$D$7,1,0))</f>
        <v/>
      </c>
      <c r="R1127" s="57" t="str">
        <f aca="false">IF($N1127="","",INDEX(BookRate,1122)*(1+'5. Scenarios'!$D$10)*(INDEX(BookQ1,1122)*(5-MIN(4,1+'5. Scenarios'!$D$8))/4+INDEX(BookQ2,1122)*(5-MIN(4,2+'5. Scenarios'!$D$8))/4+INDEX(BookQ3,1122)*(5-MIN(4,3+'5. Scenarios'!$D$8))/4+INDEX(BookQ4,1122)*(5-MIN(4,4+'5. Scenarios'!$D$8))/4)*'5. Scenarios'!$D$6/(1+ProductivityDefault*('5. Scenarios'!$D$11-1))+INDEX(BookOneOff,1122)*$N1127)</f>
        <v/>
      </c>
      <c r="S1127" s="56" t="str">
        <f aca="false">IF(INDEX(BookTitle,1122)="","",INDEX(BookTotal,1122)*'5. Scenarios'!$E$6/(1+ProductivityDefault*('5. Scenarios'!$E$11-1)))</f>
        <v/>
      </c>
      <c r="T1127" s="57" t="str">
        <f aca="false">IF($S1127="","",INDEX(BookRate,1122)*(1+'5. Scenarios'!$E$10)*$S1127)</f>
        <v/>
      </c>
      <c r="U1127" s="57" t="str">
        <f aca="false">IF($T1127="","",SUMIFS($T$6:$T$2405,$A$6:$A$2405,"&lt;="&amp;$A1127))</f>
        <v/>
      </c>
      <c r="V1127" s="57" t="str">
        <f aca="false">IF($T1127="","",IF($U1127&lt;=BankCostEnvelope*'5. Scenarios'!$E$7,1,0))</f>
        <v/>
      </c>
      <c r="W1127" s="57" t="str">
        <f aca="false">IF($S1127="","",INDEX(BookRate,1122)*(1+'5. Scenarios'!$E$10)*(INDEX(BookQ1,1122)*(5-MIN(4,1+'5. Scenarios'!$E$8))/4+INDEX(BookQ2,1122)*(5-MIN(4,2+'5. Scenarios'!$E$8))/4+INDEX(BookQ3,1122)*(5-MIN(4,3+'5. Scenarios'!$E$8))/4+INDEX(BookQ4,1122)*(5-MIN(4,4+'5. Scenarios'!$E$8))/4)*'5. Scenarios'!$E$6/(1+ProductivityDefault*('5. Scenarios'!$E$11-1))+INDEX(BookOneOff,1122)*$S1127)</f>
        <v/>
      </c>
    </row>
    <row r="1128" customFormat="false" ht="15" hidden="false" customHeight="false" outlineLevel="0" collapsed="false">
      <c r="A1128" s="0" t="str">
        <f aca="false">IF(INDEX(BookTitle,1123)="","",INDEX(BookKey,1123))</f>
        <v/>
      </c>
      <c r="B1128" s="0" t="str">
        <f aca="false">IF(INDEX(BookTitle,1123)="","",INDEX(BookGroup,1123))</f>
        <v/>
      </c>
      <c r="C1128" s="0" t="str">
        <f aca="false">IF(INDEX(BookTitle,1123)="","",INDEX(BookCategory,1123))</f>
        <v/>
      </c>
      <c r="D1128" s="56" t="str">
        <f aca="false">IF(INDEX(BookTitle,1123)="","",INDEX(BookTotal,1123)*'5. Scenarios'!$B$6/(1+ProductivityDefault*('5. Scenarios'!$B$11-1)))</f>
        <v/>
      </c>
      <c r="E1128" s="57" t="str">
        <f aca="false">IF($D1128="","",INDEX(BookRate,1123)*(1+'5. Scenarios'!$B$10)*$D1128)</f>
        <v/>
      </c>
      <c r="F1128" s="57" t="str">
        <f aca="false">IF($E1128="","",SUMIFS($E$6:$E$2405,$A$6:$A$2405,"&lt;="&amp;$A1128))</f>
        <v/>
      </c>
      <c r="G1128" s="57" t="str">
        <f aca="false">IF($E1128="","",IF($F1128&lt;=BankCostEnvelope*'5. Scenarios'!$B$7,1,0))</f>
        <v/>
      </c>
      <c r="H1128" s="57" t="str">
        <f aca="false">IF($D1128="","",INDEX(BookRate,1123)*(1+'5. Scenarios'!$B$10)*(INDEX(BookQ1,1123)*(5-MIN(4,1+'5. Scenarios'!$B$8))/4+INDEX(BookQ2,1123)*(5-MIN(4,2+'5. Scenarios'!$B$8))/4+INDEX(BookQ3,1123)*(5-MIN(4,3+'5. Scenarios'!$B$8))/4+INDEX(BookQ4,1123)*(5-MIN(4,4+'5. Scenarios'!$B$8))/4)*'5. Scenarios'!$B$6/(1+ProductivityDefault*('5. Scenarios'!$B$11-1))+INDEX(BookOneOff,1123)*$D1128)</f>
        <v/>
      </c>
      <c r="I1128" s="56" t="str">
        <f aca="false">IF(INDEX(BookTitle,1123)="","",INDEX(BookTotal,1123)*'5. Scenarios'!$C$6/(1+ProductivityDefault*('5. Scenarios'!$C$11-1)))</f>
        <v/>
      </c>
      <c r="J1128" s="57" t="str">
        <f aca="false">IF($I1128="","",INDEX(BookRate,1123)*(1+'5. Scenarios'!$C$10)*$I1128)</f>
        <v/>
      </c>
      <c r="K1128" s="57" t="str">
        <f aca="false">IF($J1128="","",SUMIFS($J$6:$J$2405,$A$6:$A$2405,"&lt;="&amp;$A1128))</f>
        <v/>
      </c>
      <c r="L1128" s="57" t="str">
        <f aca="false">IF($J1128="","",IF($K1128&lt;=BankCostEnvelope*'5. Scenarios'!$C$7,1,0))</f>
        <v/>
      </c>
      <c r="M1128" s="57" t="str">
        <f aca="false">IF($I1128="","",INDEX(BookRate,1123)*(1+'5. Scenarios'!$C$10)*(INDEX(BookQ1,1123)*(5-MIN(4,1+'5. Scenarios'!$C$8))/4+INDEX(BookQ2,1123)*(5-MIN(4,2+'5. Scenarios'!$C$8))/4+INDEX(BookQ3,1123)*(5-MIN(4,3+'5. Scenarios'!$C$8))/4+INDEX(BookQ4,1123)*(5-MIN(4,4+'5. Scenarios'!$C$8))/4)*'5. Scenarios'!$C$6/(1+ProductivityDefault*('5. Scenarios'!$C$11-1))+INDEX(BookOneOff,1123)*$I1128)</f>
        <v/>
      </c>
      <c r="N1128" s="56" t="str">
        <f aca="false">IF(INDEX(BookTitle,1123)="","",INDEX(BookTotal,1123)*'5. Scenarios'!$D$6/(1+ProductivityDefault*('5. Scenarios'!$D$11-1)))</f>
        <v/>
      </c>
      <c r="O1128" s="57" t="str">
        <f aca="false">IF($N1128="","",INDEX(BookRate,1123)*(1+'5. Scenarios'!$D$10)*$N1128)</f>
        <v/>
      </c>
      <c r="P1128" s="57" t="str">
        <f aca="false">IF($O1128="","",SUMIFS($O$6:$O$2405,$A$6:$A$2405,"&lt;="&amp;$A1128))</f>
        <v/>
      </c>
      <c r="Q1128" s="57" t="str">
        <f aca="false">IF($O1128="","",IF($P1128&lt;=BankCostEnvelope*'5. Scenarios'!$D$7,1,0))</f>
        <v/>
      </c>
      <c r="R1128" s="57" t="str">
        <f aca="false">IF($N1128="","",INDEX(BookRate,1123)*(1+'5. Scenarios'!$D$10)*(INDEX(BookQ1,1123)*(5-MIN(4,1+'5. Scenarios'!$D$8))/4+INDEX(BookQ2,1123)*(5-MIN(4,2+'5. Scenarios'!$D$8))/4+INDEX(BookQ3,1123)*(5-MIN(4,3+'5. Scenarios'!$D$8))/4+INDEX(BookQ4,1123)*(5-MIN(4,4+'5. Scenarios'!$D$8))/4)*'5. Scenarios'!$D$6/(1+ProductivityDefault*('5. Scenarios'!$D$11-1))+INDEX(BookOneOff,1123)*$N1128)</f>
        <v/>
      </c>
      <c r="S1128" s="56" t="str">
        <f aca="false">IF(INDEX(BookTitle,1123)="","",INDEX(BookTotal,1123)*'5. Scenarios'!$E$6/(1+ProductivityDefault*('5. Scenarios'!$E$11-1)))</f>
        <v/>
      </c>
      <c r="T1128" s="57" t="str">
        <f aca="false">IF($S1128="","",INDEX(BookRate,1123)*(1+'5. Scenarios'!$E$10)*$S1128)</f>
        <v/>
      </c>
      <c r="U1128" s="57" t="str">
        <f aca="false">IF($T1128="","",SUMIFS($T$6:$T$2405,$A$6:$A$2405,"&lt;="&amp;$A1128))</f>
        <v/>
      </c>
      <c r="V1128" s="57" t="str">
        <f aca="false">IF($T1128="","",IF($U1128&lt;=BankCostEnvelope*'5. Scenarios'!$E$7,1,0))</f>
        <v/>
      </c>
      <c r="W1128" s="57" t="str">
        <f aca="false">IF($S1128="","",INDEX(BookRate,1123)*(1+'5. Scenarios'!$E$10)*(INDEX(BookQ1,1123)*(5-MIN(4,1+'5. Scenarios'!$E$8))/4+INDEX(BookQ2,1123)*(5-MIN(4,2+'5. Scenarios'!$E$8))/4+INDEX(BookQ3,1123)*(5-MIN(4,3+'5. Scenarios'!$E$8))/4+INDEX(BookQ4,1123)*(5-MIN(4,4+'5. Scenarios'!$E$8))/4)*'5. Scenarios'!$E$6/(1+ProductivityDefault*('5. Scenarios'!$E$11-1))+INDEX(BookOneOff,1123)*$S1128)</f>
        <v/>
      </c>
    </row>
    <row r="1129" customFormat="false" ht="15" hidden="false" customHeight="false" outlineLevel="0" collapsed="false">
      <c r="A1129" s="0" t="str">
        <f aca="false">IF(INDEX(BookTitle,1124)="","",INDEX(BookKey,1124))</f>
        <v/>
      </c>
      <c r="B1129" s="0" t="str">
        <f aca="false">IF(INDEX(BookTitle,1124)="","",INDEX(BookGroup,1124))</f>
        <v/>
      </c>
      <c r="C1129" s="0" t="str">
        <f aca="false">IF(INDEX(BookTitle,1124)="","",INDEX(BookCategory,1124))</f>
        <v/>
      </c>
      <c r="D1129" s="56" t="str">
        <f aca="false">IF(INDEX(BookTitle,1124)="","",INDEX(BookTotal,1124)*'5. Scenarios'!$B$6/(1+ProductivityDefault*('5. Scenarios'!$B$11-1)))</f>
        <v/>
      </c>
      <c r="E1129" s="57" t="str">
        <f aca="false">IF($D1129="","",INDEX(BookRate,1124)*(1+'5. Scenarios'!$B$10)*$D1129)</f>
        <v/>
      </c>
      <c r="F1129" s="57" t="str">
        <f aca="false">IF($E1129="","",SUMIFS($E$6:$E$2405,$A$6:$A$2405,"&lt;="&amp;$A1129))</f>
        <v/>
      </c>
      <c r="G1129" s="57" t="str">
        <f aca="false">IF($E1129="","",IF($F1129&lt;=BankCostEnvelope*'5. Scenarios'!$B$7,1,0))</f>
        <v/>
      </c>
      <c r="H1129" s="57" t="str">
        <f aca="false">IF($D1129="","",INDEX(BookRate,1124)*(1+'5. Scenarios'!$B$10)*(INDEX(BookQ1,1124)*(5-MIN(4,1+'5. Scenarios'!$B$8))/4+INDEX(BookQ2,1124)*(5-MIN(4,2+'5. Scenarios'!$B$8))/4+INDEX(BookQ3,1124)*(5-MIN(4,3+'5. Scenarios'!$B$8))/4+INDEX(BookQ4,1124)*(5-MIN(4,4+'5. Scenarios'!$B$8))/4)*'5. Scenarios'!$B$6/(1+ProductivityDefault*('5. Scenarios'!$B$11-1))+INDEX(BookOneOff,1124)*$D1129)</f>
        <v/>
      </c>
      <c r="I1129" s="56" t="str">
        <f aca="false">IF(INDEX(BookTitle,1124)="","",INDEX(BookTotal,1124)*'5. Scenarios'!$C$6/(1+ProductivityDefault*('5. Scenarios'!$C$11-1)))</f>
        <v/>
      </c>
      <c r="J1129" s="57" t="str">
        <f aca="false">IF($I1129="","",INDEX(BookRate,1124)*(1+'5. Scenarios'!$C$10)*$I1129)</f>
        <v/>
      </c>
      <c r="K1129" s="57" t="str">
        <f aca="false">IF($J1129="","",SUMIFS($J$6:$J$2405,$A$6:$A$2405,"&lt;="&amp;$A1129))</f>
        <v/>
      </c>
      <c r="L1129" s="57" t="str">
        <f aca="false">IF($J1129="","",IF($K1129&lt;=BankCostEnvelope*'5. Scenarios'!$C$7,1,0))</f>
        <v/>
      </c>
      <c r="M1129" s="57" t="str">
        <f aca="false">IF($I1129="","",INDEX(BookRate,1124)*(1+'5. Scenarios'!$C$10)*(INDEX(BookQ1,1124)*(5-MIN(4,1+'5. Scenarios'!$C$8))/4+INDEX(BookQ2,1124)*(5-MIN(4,2+'5. Scenarios'!$C$8))/4+INDEX(BookQ3,1124)*(5-MIN(4,3+'5. Scenarios'!$C$8))/4+INDEX(BookQ4,1124)*(5-MIN(4,4+'5. Scenarios'!$C$8))/4)*'5. Scenarios'!$C$6/(1+ProductivityDefault*('5. Scenarios'!$C$11-1))+INDEX(BookOneOff,1124)*$I1129)</f>
        <v/>
      </c>
      <c r="N1129" s="56" t="str">
        <f aca="false">IF(INDEX(BookTitle,1124)="","",INDEX(BookTotal,1124)*'5. Scenarios'!$D$6/(1+ProductivityDefault*('5. Scenarios'!$D$11-1)))</f>
        <v/>
      </c>
      <c r="O1129" s="57" t="str">
        <f aca="false">IF($N1129="","",INDEX(BookRate,1124)*(1+'5. Scenarios'!$D$10)*$N1129)</f>
        <v/>
      </c>
      <c r="P1129" s="57" t="str">
        <f aca="false">IF($O1129="","",SUMIFS($O$6:$O$2405,$A$6:$A$2405,"&lt;="&amp;$A1129))</f>
        <v/>
      </c>
      <c r="Q1129" s="57" t="str">
        <f aca="false">IF($O1129="","",IF($P1129&lt;=BankCostEnvelope*'5. Scenarios'!$D$7,1,0))</f>
        <v/>
      </c>
      <c r="R1129" s="57" t="str">
        <f aca="false">IF($N1129="","",INDEX(BookRate,1124)*(1+'5. Scenarios'!$D$10)*(INDEX(BookQ1,1124)*(5-MIN(4,1+'5. Scenarios'!$D$8))/4+INDEX(BookQ2,1124)*(5-MIN(4,2+'5. Scenarios'!$D$8))/4+INDEX(BookQ3,1124)*(5-MIN(4,3+'5. Scenarios'!$D$8))/4+INDEX(BookQ4,1124)*(5-MIN(4,4+'5. Scenarios'!$D$8))/4)*'5. Scenarios'!$D$6/(1+ProductivityDefault*('5. Scenarios'!$D$11-1))+INDEX(BookOneOff,1124)*$N1129)</f>
        <v/>
      </c>
      <c r="S1129" s="56" t="str">
        <f aca="false">IF(INDEX(BookTitle,1124)="","",INDEX(BookTotal,1124)*'5. Scenarios'!$E$6/(1+ProductivityDefault*('5. Scenarios'!$E$11-1)))</f>
        <v/>
      </c>
      <c r="T1129" s="57" t="str">
        <f aca="false">IF($S1129="","",INDEX(BookRate,1124)*(1+'5. Scenarios'!$E$10)*$S1129)</f>
        <v/>
      </c>
      <c r="U1129" s="57" t="str">
        <f aca="false">IF($T1129="","",SUMIFS($T$6:$T$2405,$A$6:$A$2405,"&lt;="&amp;$A1129))</f>
        <v/>
      </c>
      <c r="V1129" s="57" t="str">
        <f aca="false">IF($T1129="","",IF($U1129&lt;=BankCostEnvelope*'5. Scenarios'!$E$7,1,0))</f>
        <v/>
      </c>
      <c r="W1129" s="57" t="str">
        <f aca="false">IF($S1129="","",INDEX(BookRate,1124)*(1+'5. Scenarios'!$E$10)*(INDEX(BookQ1,1124)*(5-MIN(4,1+'5. Scenarios'!$E$8))/4+INDEX(BookQ2,1124)*(5-MIN(4,2+'5. Scenarios'!$E$8))/4+INDEX(BookQ3,1124)*(5-MIN(4,3+'5. Scenarios'!$E$8))/4+INDEX(BookQ4,1124)*(5-MIN(4,4+'5. Scenarios'!$E$8))/4)*'5. Scenarios'!$E$6/(1+ProductivityDefault*('5. Scenarios'!$E$11-1))+INDEX(BookOneOff,1124)*$S1129)</f>
        <v/>
      </c>
    </row>
    <row r="1130" customFormat="false" ht="15" hidden="false" customHeight="false" outlineLevel="0" collapsed="false">
      <c r="A1130" s="0" t="str">
        <f aca="false">IF(INDEX(BookTitle,1125)="","",INDEX(BookKey,1125))</f>
        <v/>
      </c>
      <c r="B1130" s="0" t="str">
        <f aca="false">IF(INDEX(BookTitle,1125)="","",INDEX(BookGroup,1125))</f>
        <v/>
      </c>
      <c r="C1130" s="0" t="str">
        <f aca="false">IF(INDEX(BookTitle,1125)="","",INDEX(BookCategory,1125))</f>
        <v/>
      </c>
      <c r="D1130" s="56" t="str">
        <f aca="false">IF(INDEX(BookTitle,1125)="","",INDEX(BookTotal,1125)*'5. Scenarios'!$B$6/(1+ProductivityDefault*('5. Scenarios'!$B$11-1)))</f>
        <v/>
      </c>
      <c r="E1130" s="57" t="str">
        <f aca="false">IF($D1130="","",INDEX(BookRate,1125)*(1+'5. Scenarios'!$B$10)*$D1130)</f>
        <v/>
      </c>
      <c r="F1130" s="57" t="str">
        <f aca="false">IF($E1130="","",SUMIFS($E$6:$E$2405,$A$6:$A$2405,"&lt;="&amp;$A1130))</f>
        <v/>
      </c>
      <c r="G1130" s="57" t="str">
        <f aca="false">IF($E1130="","",IF($F1130&lt;=BankCostEnvelope*'5. Scenarios'!$B$7,1,0))</f>
        <v/>
      </c>
      <c r="H1130" s="57" t="str">
        <f aca="false">IF($D1130="","",INDEX(BookRate,1125)*(1+'5. Scenarios'!$B$10)*(INDEX(BookQ1,1125)*(5-MIN(4,1+'5. Scenarios'!$B$8))/4+INDEX(BookQ2,1125)*(5-MIN(4,2+'5. Scenarios'!$B$8))/4+INDEX(BookQ3,1125)*(5-MIN(4,3+'5. Scenarios'!$B$8))/4+INDEX(BookQ4,1125)*(5-MIN(4,4+'5. Scenarios'!$B$8))/4)*'5. Scenarios'!$B$6/(1+ProductivityDefault*('5. Scenarios'!$B$11-1))+INDEX(BookOneOff,1125)*$D1130)</f>
        <v/>
      </c>
      <c r="I1130" s="56" t="str">
        <f aca="false">IF(INDEX(BookTitle,1125)="","",INDEX(BookTotal,1125)*'5. Scenarios'!$C$6/(1+ProductivityDefault*('5. Scenarios'!$C$11-1)))</f>
        <v/>
      </c>
      <c r="J1130" s="57" t="str">
        <f aca="false">IF($I1130="","",INDEX(BookRate,1125)*(1+'5. Scenarios'!$C$10)*$I1130)</f>
        <v/>
      </c>
      <c r="K1130" s="57" t="str">
        <f aca="false">IF($J1130="","",SUMIFS($J$6:$J$2405,$A$6:$A$2405,"&lt;="&amp;$A1130))</f>
        <v/>
      </c>
      <c r="L1130" s="57" t="str">
        <f aca="false">IF($J1130="","",IF($K1130&lt;=BankCostEnvelope*'5. Scenarios'!$C$7,1,0))</f>
        <v/>
      </c>
      <c r="M1130" s="57" t="str">
        <f aca="false">IF($I1130="","",INDEX(BookRate,1125)*(1+'5. Scenarios'!$C$10)*(INDEX(BookQ1,1125)*(5-MIN(4,1+'5. Scenarios'!$C$8))/4+INDEX(BookQ2,1125)*(5-MIN(4,2+'5. Scenarios'!$C$8))/4+INDEX(BookQ3,1125)*(5-MIN(4,3+'5. Scenarios'!$C$8))/4+INDEX(BookQ4,1125)*(5-MIN(4,4+'5. Scenarios'!$C$8))/4)*'5. Scenarios'!$C$6/(1+ProductivityDefault*('5. Scenarios'!$C$11-1))+INDEX(BookOneOff,1125)*$I1130)</f>
        <v/>
      </c>
      <c r="N1130" s="56" t="str">
        <f aca="false">IF(INDEX(BookTitle,1125)="","",INDEX(BookTotal,1125)*'5. Scenarios'!$D$6/(1+ProductivityDefault*('5. Scenarios'!$D$11-1)))</f>
        <v/>
      </c>
      <c r="O1130" s="57" t="str">
        <f aca="false">IF($N1130="","",INDEX(BookRate,1125)*(1+'5. Scenarios'!$D$10)*$N1130)</f>
        <v/>
      </c>
      <c r="P1130" s="57" t="str">
        <f aca="false">IF($O1130="","",SUMIFS($O$6:$O$2405,$A$6:$A$2405,"&lt;="&amp;$A1130))</f>
        <v/>
      </c>
      <c r="Q1130" s="57" t="str">
        <f aca="false">IF($O1130="","",IF($P1130&lt;=BankCostEnvelope*'5. Scenarios'!$D$7,1,0))</f>
        <v/>
      </c>
      <c r="R1130" s="57" t="str">
        <f aca="false">IF($N1130="","",INDEX(BookRate,1125)*(1+'5. Scenarios'!$D$10)*(INDEX(BookQ1,1125)*(5-MIN(4,1+'5. Scenarios'!$D$8))/4+INDEX(BookQ2,1125)*(5-MIN(4,2+'5. Scenarios'!$D$8))/4+INDEX(BookQ3,1125)*(5-MIN(4,3+'5. Scenarios'!$D$8))/4+INDEX(BookQ4,1125)*(5-MIN(4,4+'5. Scenarios'!$D$8))/4)*'5. Scenarios'!$D$6/(1+ProductivityDefault*('5. Scenarios'!$D$11-1))+INDEX(BookOneOff,1125)*$N1130)</f>
        <v/>
      </c>
      <c r="S1130" s="56" t="str">
        <f aca="false">IF(INDEX(BookTitle,1125)="","",INDEX(BookTotal,1125)*'5. Scenarios'!$E$6/(1+ProductivityDefault*('5. Scenarios'!$E$11-1)))</f>
        <v/>
      </c>
      <c r="T1130" s="57" t="str">
        <f aca="false">IF($S1130="","",INDEX(BookRate,1125)*(1+'5. Scenarios'!$E$10)*$S1130)</f>
        <v/>
      </c>
      <c r="U1130" s="57" t="str">
        <f aca="false">IF($T1130="","",SUMIFS($T$6:$T$2405,$A$6:$A$2405,"&lt;="&amp;$A1130))</f>
        <v/>
      </c>
      <c r="V1130" s="57" t="str">
        <f aca="false">IF($T1130="","",IF($U1130&lt;=BankCostEnvelope*'5. Scenarios'!$E$7,1,0))</f>
        <v/>
      </c>
      <c r="W1130" s="57" t="str">
        <f aca="false">IF($S1130="","",INDEX(BookRate,1125)*(1+'5. Scenarios'!$E$10)*(INDEX(BookQ1,1125)*(5-MIN(4,1+'5. Scenarios'!$E$8))/4+INDEX(BookQ2,1125)*(5-MIN(4,2+'5. Scenarios'!$E$8))/4+INDEX(BookQ3,1125)*(5-MIN(4,3+'5. Scenarios'!$E$8))/4+INDEX(BookQ4,1125)*(5-MIN(4,4+'5. Scenarios'!$E$8))/4)*'5. Scenarios'!$E$6/(1+ProductivityDefault*('5. Scenarios'!$E$11-1))+INDEX(BookOneOff,1125)*$S1130)</f>
        <v/>
      </c>
    </row>
    <row r="1131" customFormat="false" ht="15" hidden="false" customHeight="false" outlineLevel="0" collapsed="false">
      <c r="A1131" s="0" t="str">
        <f aca="false">IF(INDEX(BookTitle,1126)="","",INDEX(BookKey,1126))</f>
        <v/>
      </c>
      <c r="B1131" s="0" t="str">
        <f aca="false">IF(INDEX(BookTitle,1126)="","",INDEX(BookGroup,1126))</f>
        <v/>
      </c>
      <c r="C1131" s="0" t="str">
        <f aca="false">IF(INDEX(BookTitle,1126)="","",INDEX(BookCategory,1126))</f>
        <v/>
      </c>
      <c r="D1131" s="56" t="str">
        <f aca="false">IF(INDEX(BookTitle,1126)="","",INDEX(BookTotal,1126)*'5. Scenarios'!$B$6/(1+ProductivityDefault*('5. Scenarios'!$B$11-1)))</f>
        <v/>
      </c>
      <c r="E1131" s="57" t="str">
        <f aca="false">IF($D1131="","",INDEX(BookRate,1126)*(1+'5. Scenarios'!$B$10)*$D1131)</f>
        <v/>
      </c>
      <c r="F1131" s="57" t="str">
        <f aca="false">IF($E1131="","",SUMIFS($E$6:$E$2405,$A$6:$A$2405,"&lt;="&amp;$A1131))</f>
        <v/>
      </c>
      <c r="G1131" s="57" t="str">
        <f aca="false">IF($E1131="","",IF($F1131&lt;=BankCostEnvelope*'5. Scenarios'!$B$7,1,0))</f>
        <v/>
      </c>
      <c r="H1131" s="57" t="str">
        <f aca="false">IF($D1131="","",INDEX(BookRate,1126)*(1+'5. Scenarios'!$B$10)*(INDEX(BookQ1,1126)*(5-MIN(4,1+'5. Scenarios'!$B$8))/4+INDEX(BookQ2,1126)*(5-MIN(4,2+'5. Scenarios'!$B$8))/4+INDEX(BookQ3,1126)*(5-MIN(4,3+'5. Scenarios'!$B$8))/4+INDEX(BookQ4,1126)*(5-MIN(4,4+'5. Scenarios'!$B$8))/4)*'5. Scenarios'!$B$6/(1+ProductivityDefault*('5. Scenarios'!$B$11-1))+INDEX(BookOneOff,1126)*$D1131)</f>
        <v/>
      </c>
      <c r="I1131" s="56" t="str">
        <f aca="false">IF(INDEX(BookTitle,1126)="","",INDEX(BookTotal,1126)*'5. Scenarios'!$C$6/(1+ProductivityDefault*('5. Scenarios'!$C$11-1)))</f>
        <v/>
      </c>
      <c r="J1131" s="57" t="str">
        <f aca="false">IF($I1131="","",INDEX(BookRate,1126)*(1+'5. Scenarios'!$C$10)*$I1131)</f>
        <v/>
      </c>
      <c r="K1131" s="57" t="str">
        <f aca="false">IF($J1131="","",SUMIFS($J$6:$J$2405,$A$6:$A$2405,"&lt;="&amp;$A1131))</f>
        <v/>
      </c>
      <c r="L1131" s="57" t="str">
        <f aca="false">IF($J1131="","",IF($K1131&lt;=BankCostEnvelope*'5. Scenarios'!$C$7,1,0))</f>
        <v/>
      </c>
      <c r="M1131" s="57" t="str">
        <f aca="false">IF($I1131="","",INDEX(BookRate,1126)*(1+'5. Scenarios'!$C$10)*(INDEX(BookQ1,1126)*(5-MIN(4,1+'5. Scenarios'!$C$8))/4+INDEX(BookQ2,1126)*(5-MIN(4,2+'5. Scenarios'!$C$8))/4+INDEX(BookQ3,1126)*(5-MIN(4,3+'5. Scenarios'!$C$8))/4+INDEX(BookQ4,1126)*(5-MIN(4,4+'5. Scenarios'!$C$8))/4)*'5. Scenarios'!$C$6/(1+ProductivityDefault*('5. Scenarios'!$C$11-1))+INDEX(BookOneOff,1126)*$I1131)</f>
        <v/>
      </c>
      <c r="N1131" s="56" t="str">
        <f aca="false">IF(INDEX(BookTitle,1126)="","",INDEX(BookTotal,1126)*'5. Scenarios'!$D$6/(1+ProductivityDefault*('5. Scenarios'!$D$11-1)))</f>
        <v/>
      </c>
      <c r="O1131" s="57" t="str">
        <f aca="false">IF($N1131="","",INDEX(BookRate,1126)*(1+'5. Scenarios'!$D$10)*$N1131)</f>
        <v/>
      </c>
      <c r="P1131" s="57" t="str">
        <f aca="false">IF($O1131="","",SUMIFS($O$6:$O$2405,$A$6:$A$2405,"&lt;="&amp;$A1131))</f>
        <v/>
      </c>
      <c r="Q1131" s="57" t="str">
        <f aca="false">IF($O1131="","",IF($P1131&lt;=BankCostEnvelope*'5. Scenarios'!$D$7,1,0))</f>
        <v/>
      </c>
      <c r="R1131" s="57" t="str">
        <f aca="false">IF($N1131="","",INDEX(BookRate,1126)*(1+'5. Scenarios'!$D$10)*(INDEX(BookQ1,1126)*(5-MIN(4,1+'5. Scenarios'!$D$8))/4+INDEX(BookQ2,1126)*(5-MIN(4,2+'5. Scenarios'!$D$8))/4+INDEX(BookQ3,1126)*(5-MIN(4,3+'5. Scenarios'!$D$8))/4+INDEX(BookQ4,1126)*(5-MIN(4,4+'5. Scenarios'!$D$8))/4)*'5. Scenarios'!$D$6/(1+ProductivityDefault*('5. Scenarios'!$D$11-1))+INDEX(BookOneOff,1126)*$N1131)</f>
        <v/>
      </c>
      <c r="S1131" s="56" t="str">
        <f aca="false">IF(INDEX(BookTitle,1126)="","",INDEX(BookTotal,1126)*'5. Scenarios'!$E$6/(1+ProductivityDefault*('5. Scenarios'!$E$11-1)))</f>
        <v/>
      </c>
      <c r="T1131" s="57" t="str">
        <f aca="false">IF($S1131="","",INDEX(BookRate,1126)*(1+'5. Scenarios'!$E$10)*$S1131)</f>
        <v/>
      </c>
      <c r="U1131" s="57" t="str">
        <f aca="false">IF($T1131="","",SUMIFS($T$6:$T$2405,$A$6:$A$2405,"&lt;="&amp;$A1131))</f>
        <v/>
      </c>
      <c r="V1131" s="57" t="str">
        <f aca="false">IF($T1131="","",IF($U1131&lt;=BankCostEnvelope*'5. Scenarios'!$E$7,1,0))</f>
        <v/>
      </c>
      <c r="W1131" s="57" t="str">
        <f aca="false">IF($S1131="","",INDEX(BookRate,1126)*(1+'5. Scenarios'!$E$10)*(INDEX(BookQ1,1126)*(5-MIN(4,1+'5. Scenarios'!$E$8))/4+INDEX(BookQ2,1126)*(5-MIN(4,2+'5. Scenarios'!$E$8))/4+INDEX(BookQ3,1126)*(5-MIN(4,3+'5. Scenarios'!$E$8))/4+INDEX(BookQ4,1126)*(5-MIN(4,4+'5. Scenarios'!$E$8))/4)*'5. Scenarios'!$E$6/(1+ProductivityDefault*('5. Scenarios'!$E$11-1))+INDEX(BookOneOff,1126)*$S1131)</f>
        <v/>
      </c>
    </row>
    <row r="1132" customFormat="false" ht="15" hidden="false" customHeight="false" outlineLevel="0" collapsed="false">
      <c r="A1132" s="0" t="str">
        <f aca="false">IF(INDEX(BookTitle,1127)="","",INDEX(BookKey,1127))</f>
        <v/>
      </c>
      <c r="B1132" s="0" t="str">
        <f aca="false">IF(INDEX(BookTitle,1127)="","",INDEX(BookGroup,1127))</f>
        <v/>
      </c>
      <c r="C1132" s="0" t="str">
        <f aca="false">IF(INDEX(BookTitle,1127)="","",INDEX(BookCategory,1127))</f>
        <v/>
      </c>
      <c r="D1132" s="56" t="str">
        <f aca="false">IF(INDEX(BookTitle,1127)="","",INDEX(BookTotal,1127)*'5. Scenarios'!$B$6/(1+ProductivityDefault*('5. Scenarios'!$B$11-1)))</f>
        <v/>
      </c>
      <c r="E1132" s="57" t="str">
        <f aca="false">IF($D1132="","",INDEX(BookRate,1127)*(1+'5. Scenarios'!$B$10)*$D1132)</f>
        <v/>
      </c>
      <c r="F1132" s="57" t="str">
        <f aca="false">IF($E1132="","",SUMIFS($E$6:$E$2405,$A$6:$A$2405,"&lt;="&amp;$A1132))</f>
        <v/>
      </c>
      <c r="G1132" s="57" t="str">
        <f aca="false">IF($E1132="","",IF($F1132&lt;=BankCostEnvelope*'5. Scenarios'!$B$7,1,0))</f>
        <v/>
      </c>
      <c r="H1132" s="57" t="str">
        <f aca="false">IF($D1132="","",INDEX(BookRate,1127)*(1+'5. Scenarios'!$B$10)*(INDEX(BookQ1,1127)*(5-MIN(4,1+'5. Scenarios'!$B$8))/4+INDEX(BookQ2,1127)*(5-MIN(4,2+'5. Scenarios'!$B$8))/4+INDEX(BookQ3,1127)*(5-MIN(4,3+'5. Scenarios'!$B$8))/4+INDEX(BookQ4,1127)*(5-MIN(4,4+'5. Scenarios'!$B$8))/4)*'5. Scenarios'!$B$6/(1+ProductivityDefault*('5. Scenarios'!$B$11-1))+INDEX(BookOneOff,1127)*$D1132)</f>
        <v/>
      </c>
      <c r="I1132" s="56" t="str">
        <f aca="false">IF(INDEX(BookTitle,1127)="","",INDEX(BookTotal,1127)*'5. Scenarios'!$C$6/(1+ProductivityDefault*('5. Scenarios'!$C$11-1)))</f>
        <v/>
      </c>
      <c r="J1132" s="57" t="str">
        <f aca="false">IF($I1132="","",INDEX(BookRate,1127)*(1+'5. Scenarios'!$C$10)*$I1132)</f>
        <v/>
      </c>
      <c r="K1132" s="57" t="str">
        <f aca="false">IF($J1132="","",SUMIFS($J$6:$J$2405,$A$6:$A$2405,"&lt;="&amp;$A1132))</f>
        <v/>
      </c>
      <c r="L1132" s="57" t="str">
        <f aca="false">IF($J1132="","",IF($K1132&lt;=BankCostEnvelope*'5. Scenarios'!$C$7,1,0))</f>
        <v/>
      </c>
      <c r="M1132" s="57" t="str">
        <f aca="false">IF($I1132="","",INDEX(BookRate,1127)*(1+'5. Scenarios'!$C$10)*(INDEX(BookQ1,1127)*(5-MIN(4,1+'5. Scenarios'!$C$8))/4+INDEX(BookQ2,1127)*(5-MIN(4,2+'5. Scenarios'!$C$8))/4+INDEX(BookQ3,1127)*(5-MIN(4,3+'5. Scenarios'!$C$8))/4+INDEX(BookQ4,1127)*(5-MIN(4,4+'5. Scenarios'!$C$8))/4)*'5. Scenarios'!$C$6/(1+ProductivityDefault*('5. Scenarios'!$C$11-1))+INDEX(BookOneOff,1127)*$I1132)</f>
        <v/>
      </c>
      <c r="N1132" s="56" t="str">
        <f aca="false">IF(INDEX(BookTitle,1127)="","",INDEX(BookTotal,1127)*'5. Scenarios'!$D$6/(1+ProductivityDefault*('5. Scenarios'!$D$11-1)))</f>
        <v/>
      </c>
      <c r="O1132" s="57" t="str">
        <f aca="false">IF($N1132="","",INDEX(BookRate,1127)*(1+'5. Scenarios'!$D$10)*$N1132)</f>
        <v/>
      </c>
      <c r="P1132" s="57" t="str">
        <f aca="false">IF($O1132="","",SUMIFS($O$6:$O$2405,$A$6:$A$2405,"&lt;="&amp;$A1132))</f>
        <v/>
      </c>
      <c r="Q1132" s="57" t="str">
        <f aca="false">IF($O1132="","",IF($P1132&lt;=BankCostEnvelope*'5. Scenarios'!$D$7,1,0))</f>
        <v/>
      </c>
      <c r="R1132" s="57" t="str">
        <f aca="false">IF($N1132="","",INDEX(BookRate,1127)*(1+'5. Scenarios'!$D$10)*(INDEX(BookQ1,1127)*(5-MIN(4,1+'5. Scenarios'!$D$8))/4+INDEX(BookQ2,1127)*(5-MIN(4,2+'5. Scenarios'!$D$8))/4+INDEX(BookQ3,1127)*(5-MIN(4,3+'5. Scenarios'!$D$8))/4+INDEX(BookQ4,1127)*(5-MIN(4,4+'5. Scenarios'!$D$8))/4)*'5. Scenarios'!$D$6/(1+ProductivityDefault*('5. Scenarios'!$D$11-1))+INDEX(BookOneOff,1127)*$N1132)</f>
        <v/>
      </c>
      <c r="S1132" s="56" t="str">
        <f aca="false">IF(INDEX(BookTitle,1127)="","",INDEX(BookTotal,1127)*'5. Scenarios'!$E$6/(1+ProductivityDefault*('5. Scenarios'!$E$11-1)))</f>
        <v/>
      </c>
      <c r="T1132" s="57" t="str">
        <f aca="false">IF($S1132="","",INDEX(BookRate,1127)*(1+'5. Scenarios'!$E$10)*$S1132)</f>
        <v/>
      </c>
      <c r="U1132" s="57" t="str">
        <f aca="false">IF($T1132="","",SUMIFS($T$6:$T$2405,$A$6:$A$2405,"&lt;="&amp;$A1132))</f>
        <v/>
      </c>
      <c r="V1132" s="57" t="str">
        <f aca="false">IF($T1132="","",IF($U1132&lt;=BankCostEnvelope*'5. Scenarios'!$E$7,1,0))</f>
        <v/>
      </c>
      <c r="W1132" s="57" t="str">
        <f aca="false">IF($S1132="","",INDEX(BookRate,1127)*(1+'5. Scenarios'!$E$10)*(INDEX(BookQ1,1127)*(5-MIN(4,1+'5. Scenarios'!$E$8))/4+INDEX(BookQ2,1127)*(5-MIN(4,2+'5. Scenarios'!$E$8))/4+INDEX(BookQ3,1127)*(5-MIN(4,3+'5. Scenarios'!$E$8))/4+INDEX(BookQ4,1127)*(5-MIN(4,4+'5. Scenarios'!$E$8))/4)*'5. Scenarios'!$E$6/(1+ProductivityDefault*('5. Scenarios'!$E$11-1))+INDEX(BookOneOff,1127)*$S1132)</f>
        <v/>
      </c>
    </row>
    <row r="1133" customFormat="false" ht="15" hidden="false" customHeight="false" outlineLevel="0" collapsed="false">
      <c r="A1133" s="0" t="str">
        <f aca="false">IF(INDEX(BookTitle,1128)="","",INDEX(BookKey,1128))</f>
        <v/>
      </c>
      <c r="B1133" s="0" t="str">
        <f aca="false">IF(INDEX(BookTitle,1128)="","",INDEX(BookGroup,1128))</f>
        <v/>
      </c>
      <c r="C1133" s="0" t="str">
        <f aca="false">IF(INDEX(BookTitle,1128)="","",INDEX(BookCategory,1128))</f>
        <v/>
      </c>
      <c r="D1133" s="56" t="str">
        <f aca="false">IF(INDEX(BookTitle,1128)="","",INDEX(BookTotal,1128)*'5. Scenarios'!$B$6/(1+ProductivityDefault*('5. Scenarios'!$B$11-1)))</f>
        <v/>
      </c>
      <c r="E1133" s="57" t="str">
        <f aca="false">IF($D1133="","",INDEX(BookRate,1128)*(1+'5. Scenarios'!$B$10)*$D1133)</f>
        <v/>
      </c>
      <c r="F1133" s="57" t="str">
        <f aca="false">IF($E1133="","",SUMIFS($E$6:$E$2405,$A$6:$A$2405,"&lt;="&amp;$A1133))</f>
        <v/>
      </c>
      <c r="G1133" s="57" t="str">
        <f aca="false">IF($E1133="","",IF($F1133&lt;=BankCostEnvelope*'5. Scenarios'!$B$7,1,0))</f>
        <v/>
      </c>
      <c r="H1133" s="57" t="str">
        <f aca="false">IF($D1133="","",INDEX(BookRate,1128)*(1+'5. Scenarios'!$B$10)*(INDEX(BookQ1,1128)*(5-MIN(4,1+'5. Scenarios'!$B$8))/4+INDEX(BookQ2,1128)*(5-MIN(4,2+'5. Scenarios'!$B$8))/4+INDEX(BookQ3,1128)*(5-MIN(4,3+'5. Scenarios'!$B$8))/4+INDEX(BookQ4,1128)*(5-MIN(4,4+'5. Scenarios'!$B$8))/4)*'5. Scenarios'!$B$6/(1+ProductivityDefault*('5. Scenarios'!$B$11-1))+INDEX(BookOneOff,1128)*$D1133)</f>
        <v/>
      </c>
      <c r="I1133" s="56" t="str">
        <f aca="false">IF(INDEX(BookTitle,1128)="","",INDEX(BookTotal,1128)*'5. Scenarios'!$C$6/(1+ProductivityDefault*('5. Scenarios'!$C$11-1)))</f>
        <v/>
      </c>
      <c r="J1133" s="57" t="str">
        <f aca="false">IF($I1133="","",INDEX(BookRate,1128)*(1+'5. Scenarios'!$C$10)*$I1133)</f>
        <v/>
      </c>
      <c r="K1133" s="57" t="str">
        <f aca="false">IF($J1133="","",SUMIFS($J$6:$J$2405,$A$6:$A$2405,"&lt;="&amp;$A1133))</f>
        <v/>
      </c>
      <c r="L1133" s="57" t="str">
        <f aca="false">IF($J1133="","",IF($K1133&lt;=BankCostEnvelope*'5. Scenarios'!$C$7,1,0))</f>
        <v/>
      </c>
      <c r="M1133" s="57" t="str">
        <f aca="false">IF($I1133="","",INDEX(BookRate,1128)*(1+'5. Scenarios'!$C$10)*(INDEX(BookQ1,1128)*(5-MIN(4,1+'5. Scenarios'!$C$8))/4+INDEX(BookQ2,1128)*(5-MIN(4,2+'5. Scenarios'!$C$8))/4+INDEX(BookQ3,1128)*(5-MIN(4,3+'5. Scenarios'!$C$8))/4+INDEX(BookQ4,1128)*(5-MIN(4,4+'5. Scenarios'!$C$8))/4)*'5. Scenarios'!$C$6/(1+ProductivityDefault*('5. Scenarios'!$C$11-1))+INDEX(BookOneOff,1128)*$I1133)</f>
        <v/>
      </c>
      <c r="N1133" s="56" t="str">
        <f aca="false">IF(INDEX(BookTitle,1128)="","",INDEX(BookTotal,1128)*'5. Scenarios'!$D$6/(1+ProductivityDefault*('5. Scenarios'!$D$11-1)))</f>
        <v/>
      </c>
      <c r="O1133" s="57" t="str">
        <f aca="false">IF($N1133="","",INDEX(BookRate,1128)*(1+'5. Scenarios'!$D$10)*$N1133)</f>
        <v/>
      </c>
      <c r="P1133" s="57" t="str">
        <f aca="false">IF($O1133="","",SUMIFS($O$6:$O$2405,$A$6:$A$2405,"&lt;="&amp;$A1133))</f>
        <v/>
      </c>
      <c r="Q1133" s="57" t="str">
        <f aca="false">IF($O1133="","",IF($P1133&lt;=BankCostEnvelope*'5. Scenarios'!$D$7,1,0))</f>
        <v/>
      </c>
      <c r="R1133" s="57" t="str">
        <f aca="false">IF($N1133="","",INDEX(BookRate,1128)*(1+'5. Scenarios'!$D$10)*(INDEX(BookQ1,1128)*(5-MIN(4,1+'5. Scenarios'!$D$8))/4+INDEX(BookQ2,1128)*(5-MIN(4,2+'5. Scenarios'!$D$8))/4+INDEX(BookQ3,1128)*(5-MIN(4,3+'5. Scenarios'!$D$8))/4+INDEX(BookQ4,1128)*(5-MIN(4,4+'5. Scenarios'!$D$8))/4)*'5. Scenarios'!$D$6/(1+ProductivityDefault*('5. Scenarios'!$D$11-1))+INDEX(BookOneOff,1128)*$N1133)</f>
        <v/>
      </c>
      <c r="S1133" s="56" t="str">
        <f aca="false">IF(INDEX(BookTitle,1128)="","",INDEX(BookTotal,1128)*'5. Scenarios'!$E$6/(1+ProductivityDefault*('5. Scenarios'!$E$11-1)))</f>
        <v/>
      </c>
      <c r="T1133" s="57" t="str">
        <f aca="false">IF($S1133="","",INDEX(BookRate,1128)*(1+'5. Scenarios'!$E$10)*$S1133)</f>
        <v/>
      </c>
      <c r="U1133" s="57" t="str">
        <f aca="false">IF($T1133="","",SUMIFS($T$6:$T$2405,$A$6:$A$2405,"&lt;="&amp;$A1133))</f>
        <v/>
      </c>
      <c r="V1133" s="57" t="str">
        <f aca="false">IF($T1133="","",IF($U1133&lt;=BankCostEnvelope*'5. Scenarios'!$E$7,1,0))</f>
        <v/>
      </c>
      <c r="W1133" s="57" t="str">
        <f aca="false">IF($S1133="","",INDEX(BookRate,1128)*(1+'5. Scenarios'!$E$10)*(INDEX(BookQ1,1128)*(5-MIN(4,1+'5. Scenarios'!$E$8))/4+INDEX(BookQ2,1128)*(5-MIN(4,2+'5. Scenarios'!$E$8))/4+INDEX(BookQ3,1128)*(5-MIN(4,3+'5. Scenarios'!$E$8))/4+INDEX(BookQ4,1128)*(5-MIN(4,4+'5. Scenarios'!$E$8))/4)*'5. Scenarios'!$E$6/(1+ProductivityDefault*('5. Scenarios'!$E$11-1))+INDEX(BookOneOff,1128)*$S1133)</f>
        <v/>
      </c>
    </row>
    <row r="1134" customFormat="false" ht="15" hidden="false" customHeight="false" outlineLevel="0" collapsed="false">
      <c r="A1134" s="0" t="str">
        <f aca="false">IF(INDEX(BookTitle,1129)="","",INDEX(BookKey,1129))</f>
        <v/>
      </c>
      <c r="B1134" s="0" t="str">
        <f aca="false">IF(INDEX(BookTitle,1129)="","",INDEX(BookGroup,1129))</f>
        <v/>
      </c>
      <c r="C1134" s="0" t="str">
        <f aca="false">IF(INDEX(BookTitle,1129)="","",INDEX(BookCategory,1129))</f>
        <v/>
      </c>
      <c r="D1134" s="56" t="str">
        <f aca="false">IF(INDEX(BookTitle,1129)="","",INDEX(BookTotal,1129)*'5. Scenarios'!$B$6/(1+ProductivityDefault*('5. Scenarios'!$B$11-1)))</f>
        <v/>
      </c>
      <c r="E1134" s="57" t="str">
        <f aca="false">IF($D1134="","",INDEX(BookRate,1129)*(1+'5. Scenarios'!$B$10)*$D1134)</f>
        <v/>
      </c>
      <c r="F1134" s="57" t="str">
        <f aca="false">IF($E1134="","",SUMIFS($E$6:$E$2405,$A$6:$A$2405,"&lt;="&amp;$A1134))</f>
        <v/>
      </c>
      <c r="G1134" s="57" t="str">
        <f aca="false">IF($E1134="","",IF($F1134&lt;=BankCostEnvelope*'5. Scenarios'!$B$7,1,0))</f>
        <v/>
      </c>
      <c r="H1134" s="57" t="str">
        <f aca="false">IF($D1134="","",INDEX(BookRate,1129)*(1+'5. Scenarios'!$B$10)*(INDEX(BookQ1,1129)*(5-MIN(4,1+'5. Scenarios'!$B$8))/4+INDEX(BookQ2,1129)*(5-MIN(4,2+'5. Scenarios'!$B$8))/4+INDEX(BookQ3,1129)*(5-MIN(4,3+'5. Scenarios'!$B$8))/4+INDEX(BookQ4,1129)*(5-MIN(4,4+'5. Scenarios'!$B$8))/4)*'5. Scenarios'!$B$6/(1+ProductivityDefault*('5. Scenarios'!$B$11-1))+INDEX(BookOneOff,1129)*$D1134)</f>
        <v/>
      </c>
      <c r="I1134" s="56" t="str">
        <f aca="false">IF(INDEX(BookTitle,1129)="","",INDEX(BookTotal,1129)*'5. Scenarios'!$C$6/(1+ProductivityDefault*('5. Scenarios'!$C$11-1)))</f>
        <v/>
      </c>
      <c r="J1134" s="57" t="str">
        <f aca="false">IF($I1134="","",INDEX(BookRate,1129)*(1+'5. Scenarios'!$C$10)*$I1134)</f>
        <v/>
      </c>
      <c r="K1134" s="57" t="str">
        <f aca="false">IF($J1134="","",SUMIFS($J$6:$J$2405,$A$6:$A$2405,"&lt;="&amp;$A1134))</f>
        <v/>
      </c>
      <c r="L1134" s="57" t="str">
        <f aca="false">IF($J1134="","",IF($K1134&lt;=BankCostEnvelope*'5. Scenarios'!$C$7,1,0))</f>
        <v/>
      </c>
      <c r="M1134" s="57" t="str">
        <f aca="false">IF($I1134="","",INDEX(BookRate,1129)*(1+'5. Scenarios'!$C$10)*(INDEX(BookQ1,1129)*(5-MIN(4,1+'5. Scenarios'!$C$8))/4+INDEX(BookQ2,1129)*(5-MIN(4,2+'5. Scenarios'!$C$8))/4+INDEX(BookQ3,1129)*(5-MIN(4,3+'5. Scenarios'!$C$8))/4+INDEX(BookQ4,1129)*(5-MIN(4,4+'5. Scenarios'!$C$8))/4)*'5. Scenarios'!$C$6/(1+ProductivityDefault*('5. Scenarios'!$C$11-1))+INDEX(BookOneOff,1129)*$I1134)</f>
        <v/>
      </c>
      <c r="N1134" s="56" t="str">
        <f aca="false">IF(INDEX(BookTitle,1129)="","",INDEX(BookTotal,1129)*'5. Scenarios'!$D$6/(1+ProductivityDefault*('5. Scenarios'!$D$11-1)))</f>
        <v/>
      </c>
      <c r="O1134" s="57" t="str">
        <f aca="false">IF($N1134="","",INDEX(BookRate,1129)*(1+'5. Scenarios'!$D$10)*$N1134)</f>
        <v/>
      </c>
      <c r="P1134" s="57" t="str">
        <f aca="false">IF($O1134="","",SUMIFS($O$6:$O$2405,$A$6:$A$2405,"&lt;="&amp;$A1134))</f>
        <v/>
      </c>
      <c r="Q1134" s="57" t="str">
        <f aca="false">IF($O1134="","",IF($P1134&lt;=BankCostEnvelope*'5. Scenarios'!$D$7,1,0))</f>
        <v/>
      </c>
      <c r="R1134" s="57" t="str">
        <f aca="false">IF($N1134="","",INDEX(BookRate,1129)*(1+'5. Scenarios'!$D$10)*(INDEX(BookQ1,1129)*(5-MIN(4,1+'5. Scenarios'!$D$8))/4+INDEX(BookQ2,1129)*(5-MIN(4,2+'5. Scenarios'!$D$8))/4+INDEX(BookQ3,1129)*(5-MIN(4,3+'5. Scenarios'!$D$8))/4+INDEX(BookQ4,1129)*(5-MIN(4,4+'5. Scenarios'!$D$8))/4)*'5. Scenarios'!$D$6/(1+ProductivityDefault*('5. Scenarios'!$D$11-1))+INDEX(BookOneOff,1129)*$N1134)</f>
        <v/>
      </c>
      <c r="S1134" s="56" t="str">
        <f aca="false">IF(INDEX(BookTitle,1129)="","",INDEX(BookTotal,1129)*'5. Scenarios'!$E$6/(1+ProductivityDefault*('5. Scenarios'!$E$11-1)))</f>
        <v/>
      </c>
      <c r="T1134" s="57" t="str">
        <f aca="false">IF($S1134="","",INDEX(BookRate,1129)*(1+'5. Scenarios'!$E$10)*$S1134)</f>
        <v/>
      </c>
      <c r="U1134" s="57" t="str">
        <f aca="false">IF($T1134="","",SUMIFS($T$6:$T$2405,$A$6:$A$2405,"&lt;="&amp;$A1134))</f>
        <v/>
      </c>
      <c r="V1134" s="57" t="str">
        <f aca="false">IF($T1134="","",IF($U1134&lt;=BankCostEnvelope*'5. Scenarios'!$E$7,1,0))</f>
        <v/>
      </c>
      <c r="W1134" s="57" t="str">
        <f aca="false">IF($S1134="","",INDEX(BookRate,1129)*(1+'5. Scenarios'!$E$10)*(INDEX(BookQ1,1129)*(5-MIN(4,1+'5. Scenarios'!$E$8))/4+INDEX(BookQ2,1129)*(5-MIN(4,2+'5. Scenarios'!$E$8))/4+INDEX(BookQ3,1129)*(5-MIN(4,3+'5. Scenarios'!$E$8))/4+INDEX(BookQ4,1129)*(5-MIN(4,4+'5. Scenarios'!$E$8))/4)*'5. Scenarios'!$E$6/(1+ProductivityDefault*('5. Scenarios'!$E$11-1))+INDEX(BookOneOff,1129)*$S1134)</f>
        <v/>
      </c>
    </row>
    <row r="1135" customFormat="false" ht="15" hidden="false" customHeight="false" outlineLevel="0" collapsed="false">
      <c r="A1135" s="0" t="str">
        <f aca="false">IF(INDEX(BookTitle,1130)="","",INDEX(BookKey,1130))</f>
        <v/>
      </c>
      <c r="B1135" s="0" t="str">
        <f aca="false">IF(INDEX(BookTitle,1130)="","",INDEX(BookGroup,1130))</f>
        <v/>
      </c>
      <c r="C1135" s="0" t="str">
        <f aca="false">IF(INDEX(BookTitle,1130)="","",INDEX(BookCategory,1130))</f>
        <v/>
      </c>
      <c r="D1135" s="56" t="str">
        <f aca="false">IF(INDEX(BookTitle,1130)="","",INDEX(BookTotal,1130)*'5. Scenarios'!$B$6/(1+ProductivityDefault*('5. Scenarios'!$B$11-1)))</f>
        <v/>
      </c>
      <c r="E1135" s="57" t="str">
        <f aca="false">IF($D1135="","",INDEX(BookRate,1130)*(1+'5. Scenarios'!$B$10)*$D1135)</f>
        <v/>
      </c>
      <c r="F1135" s="57" t="str">
        <f aca="false">IF($E1135="","",SUMIFS($E$6:$E$2405,$A$6:$A$2405,"&lt;="&amp;$A1135))</f>
        <v/>
      </c>
      <c r="G1135" s="57" t="str">
        <f aca="false">IF($E1135="","",IF($F1135&lt;=BankCostEnvelope*'5. Scenarios'!$B$7,1,0))</f>
        <v/>
      </c>
      <c r="H1135" s="57" t="str">
        <f aca="false">IF($D1135="","",INDEX(BookRate,1130)*(1+'5. Scenarios'!$B$10)*(INDEX(BookQ1,1130)*(5-MIN(4,1+'5. Scenarios'!$B$8))/4+INDEX(BookQ2,1130)*(5-MIN(4,2+'5. Scenarios'!$B$8))/4+INDEX(BookQ3,1130)*(5-MIN(4,3+'5. Scenarios'!$B$8))/4+INDEX(BookQ4,1130)*(5-MIN(4,4+'5. Scenarios'!$B$8))/4)*'5. Scenarios'!$B$6/(1+ProductivityDefault*('5. Scenarios'!$B$11-1))+INDEX(BookOneOff,1130)*$D1135)</f>
        <v/>
      </c>
      <c r="I1135" s="56" t="str">
        <f aca="false">IF(INDEX(BookTitle,1130)="","",INDEX(BookTotal,1130)*'5. Scenarios'!$C$6/(1+ProductivityDefault*('5. Scenarios'!$C$11-1)))</f>
        <v/>
      </c>
      <c r="J1135" s="57" t="str">
        <f aca="false">IF($I1135="","",INDEX(BookRate,1130)*(1+'5. Scenarios'!$C$10)*$I1135)</f>
        <v/>
      </c>
      <c r="K1135" s="57" t="str">
        <f aca="false">IF($J1135="","",SUMIFS($J$6:$J$2405,$A$6:$A$2405,"&lt;="&amp;$A1135))</f>
        <v/>
      </c>
      <c r="L1135" s="57" t="str">
        <f aca="false">IF($J1135="","",IF($K1135&lt;=BankCostEnvelope*'5. Scenarios'!$C$7,1,0))</f>
        <v/>
      </c>
      <c r="M1135" s="57" t="str">
        <f aca="false">IF($I1135="","",INDEX(BookRate,1130)*(1+'5. Scenarios'!$C$10)*(INDEX(BookQ1,1130)*(5-MIN(4,1+'5. Scenarios'!$C$8))/4+INDEX(BookQ2,1130)*(5-MIN(4,2+'5. Scenarios'!$C$8))/4+INDEX(BookQ3,1130)*(5-MIN(4,3+'5. Scenarios'!$C$8))/4+INDEX(BookQ4,1130)*(5-MIN(4,4+'5. Scenarios'!$C$8))/4)*'5. Scenarios'!$C$6/(1+ProductivityDefault*('5. Scenarios'!$C$11-1))+INDEX(BookOneOff,1130)*$I1135)</f>
        <v/>
      </c>
      <c r="N1135" s="56" t="str">
        <f aca="false">IF(INDEX(BookTitle,1130)="","",INDEX(BookTotal,1130)*'5. Scenarios'!$D$6/(1+ProductivityDefault*('5. Scenarios'!$D$11-1)))</f>
        <v/>
      </c>
      <c r="O1135" s="57" t="str">
        <f aca="false">IF($N1135="","",INDEX(BookRate,1130)*(1+'5. Scenarios'!$D$10)*$N1135)</f>
        <v/>
      </c>
      <c r="P1135" s="57" t="str">
        <f aca="false">IF($O1135="","",SUMIFS($O$6:$O$2405,$A$6:$A$2405,"&lt;="&amp;$A1135))</f>
        <v/>
      </c>
      <c r="Q1135" s="57" t="str">
        <f aca="false">IF($O1135="","",IF($P1135&lt;=BankCostEnvelope*'5. Scenarios'!$D$7,1,0))</f>
        <v/>
      </c>
      <c r="R1135" s="57" t="str">
        <f aca="false">IF($N1135="","",INDEX(BookRate,1130)*(1+'5. Scenarios'!$D$10)*(INDEX(BookQ1,1130)*(5-MIN(4,1+'5. Scenarios'!$D$8))/4+INDEX(BookQ2,1130)*(5-MIN(4,2+'5. Scenarios'!$D$8))/4+INDEX(BookQ3,1130)*(5-MIN(4,3+'5. Scenarios'!$D$8))/4+INDEX(BookQ4,1130)*(5-MIN(4,4+'5. Scenarios'!$D$8))/4)*'5. Scenarios'!$D$6/(1+ProductivityDefault*('5. Scenarios'!$D$11-1))+INDEX(BookOneOff,1130)*$N1135)</f>
        <v/>
      </c>
      <c r="S1135" s="56" t="str">
        <f aca="false">IF(INDEX(BookTitle,1130)="","",INDEX(BookTotal,1130)*'5. Scenarios'!$E$6/(1+ProductivityDefault*('5. Scenarios'!$E$11-1)))</f>
        <v/>
      </c>
      <c r="T1135" s="57" t="str">
        <f aca="false">IF($S1135="","",INDEX(BookRate,1130)*(1+'5. Scenarios'!$E$10)*$S1135)</f>
        <v/>
      </c>
      <c r="U1135" s="57" t="str">
        <f aca="false">IF($T1135="","",SUMIFS($T$6:$T$2405,$A$6:$A$2405,"&lt;="&amp;$A1135))</f>
        <v/>
      </c>
      <c r="V1135" s="57" t="str">
        <f aca="false">IF($T1135="","",IF($U1135&lt;=BankCostEnvelope*'5. Scenarios'!$E$7,1,0))</f>
        <v/>
      </c>
      <c r="W1135" s="57" t="str">
        <f aca="false">IF($S1135="","",INDEX(BookRate,1130)*(1+'5. Scenarios'!$E$10)*(INDEX(BookQ1,1130)*(5-MIN(4,1+'5. Scenarios'!$E$8))/4+INDEX(BookQ2,1130)*(5-MIN(4,2+'5. Scenarios'!$E$8))/4+INDEX(BookQ3,1130)*(5-MIN(4,3+'5. Scenarios'!$E$8))/4+INDEX(BookQ4,1130)*(5-MIN(4,4+'5. Scenarios'!$E$8))/4)*'5. Scenarios'!$E$6/(1+ProductivityDefault*('5. Scenarios'!$E$11-1))+INDEX(BookOneOff,1130)*$S1135)</f>
        <v/>
      </c>
    </row>
    <row r="1136" customFormat="false" ht="15" hidden="false" customHeight="false" outlineLevel="0" collapsed="false">
      <c r="A1136" s="0" t="str">
        <f aca="false">IF(INDEX(BookTitle,1131)="","",INDEX(BookKey,1131))</f>
        <v/>
      </c>
      <c r="B1136" s="0" t="str">
        <f aca="false">IF(INDEX(BookTitle,1131)="","",INDEX(BookGroup,1131))</f>
        <v/>
      </c>
      <c r="C1136" s="0" t="str">
        <f aca="false">IF(INDEX(BookTitle,1131)="","",INDEX(BookCategory,1131))</f>
        <v/>
      </c>
      <c r="D1136" s="56" t="str">
        <f aca="false">IF(INDEX(BookTitle,1131)="","",INDEX(BookTotal,1131)*'5. Scenarios'!$B$6/(1+ProductivityDefault*('5. Scenarios'!$B$11-1)))</f>
        <v/>
      </c>
      <c r="E1136" s="57" t="str">
        <f aca="false">IF($D1136="","",INDEX(BookRate,1131)*(1+'5. Scenarios'!$B$10)*$D1136)</f>
        <v/>
      </c>
      <c r="F1136" s="57" t="str">
        <f aca="false">IF($E1136="","",SUMIFS($E$6:$E$2405,$A$6:$A$2405,"&lt;="&amp;$A1136))</f>
        <v/>
      </c>
      <c r="G1136" s="57" t="str">
        <f aca="false">IF($E1136="","",IF($F1136&lt;=BankCostEnvelope*'5. Scenarios'!$B$7,1,0))</f>
        <v/>
      </c>
      <c r="H1136" s="57" t="str">
        <f aca="false">IF($D1136="","",INDEX(BookRate,1131)*(1+'5. Scenarios'!$B$10)*(INDEX(BookQ1,1131)*(5-MIN(4,1+'5. Scenarios'!$B$8))/4+INDEX(BookQ2,1131)*(5-MIN(4,2+'5. Scenarios'!$B$8))/4+INDEX(BookQ3,1131)*(5-MIN(4,3+'5. Scenarios'!$B$8))/4+INDEX(BookQ4,1131)*(5-MIN(4,4+'5. Scenarios'!$B$8))/4)*'5. Scenarios'!$B$6/(1+ProductivityDefault*('5. Scenarios'!$B$11-1))+INDEX(BookOneOff,1131)*$D1136)</f>
        <v/>
      </c>
      <c r="I1136" s="56" t="str">
        <f aca="false">IF(INDEX(BookTitle,1131)="","",INDEX(BookTotal,1131)*'5. Scenarios'!$C$6/(1+ProductivityDefault*('5. Scenarios'!$C$11-1)))</f>
        <v/>
      </c>
      <c r="J1136" s="57" t="str">
        <f aca="false">IF($I1136="","",INDEX(BookRate,1131)*(1+'5. Scenarios'!$C$10)*$I1136)</f>
        <v/>
      </c>
      <c r="K1136" s="57" t="str">
        <f aca="false">IF($J1136="","",SUMIFS($J$6:$J$2405,$A$6:$A$2405,"&lt;="&amp;$A1136))</f>
        <v/>
      </c>
      <c r="L1136" s="57" t="str">
        <f aca="false">IF($J1136="","",IF($K1136&lt;=BankCostEnvelope*'5. Scenarios'!$C$7,1,0))</f>
        <v/>
      </c>
      <c r="M1136" s="57" t="str">
        <f aca="false">IF($I1136="","",INDEX(BookRate,1131)*(1+'5. Scenarios'!$C$10)*(INDEX(BookQ1,1131)*(5-MIN(4,1+'5. Scenarios'!$C$8))/4+INDEX(BookQ2,1131)*(5-MIN(4,2+'5. Scenarios'!$C$8))/4+INDEX(BookQ3,1131)*(5-MIN(4,3+'5. Scenarios'!$C$8))/4+INDEX(BookQ4,1131)*(5-MIN(4,4+'5. Scenarios'!$C$8))/4)*'5. Scenarios'!$C$6/(1+ProductivityDefault*('5. Scenarios'!$C$11-1))+INDEX(BookOneOff,1131)*$I1136)</f>
        <v/>
      </c>
      <c r="N1136" s="56" t="str">
        <f aca="false">IF(INDEX(BookTitle,1131)="","",INDEX(BookTotal,1131)*'5. Scenarios'!$D$6/(1+ProductivityDefault*('5. Scenarios'!$D$11-1)))</f>
        <v/>
      </c>
      <c r="O1136" s="57" t="str">
        <f aca="false">IF($N1136="","",INDEX(BookRate,1131)*(1+'5. Scenarios'!$D$10)*$N1136)</f>
        <v/>
      </c>
      <c r="P1136" s="57" t="str">
        <f aca="false">IF($O1136="","",SUMIFS($O$6:$O$2405,$A$6:$A$2405,"&lt;="&amp;$A1136))</f>
        <v/>
      </c>
      <c r="Q1136" s="57" t="str">
        <f aca="false">IF($O1136="","",IF($P1136&lt;=BankCostEnvelope*'5. Scenarios'!$D$7,1,0))</f>
        <v/>
      </c>
      <c r="R1136" s="57" t="str">
        <f aca="false">IF($N1136="","",INDEX(BookRate,1131)*(1+'5. Scenarios'!$D$10)*(INDEX(BookQ1,1131)*(5-MIN(4,1+'5. Scenarios'!$D$8))/4+INDEX(BookQ2,1131)*(5-MIN(4,2+'5. Scenarios'!$D$8))/4+INDEX(BookQ3,1131)*(5-MIN(4,3+'5. Scenarios'!$D$8))/4+INDEX(BookQ4,1131)*(5-MIN(4,4+'5. Scenarios'!$D$8))/4)*'5. Scenarios'!$D$6/(1+ProductivityDefault*('5. Scenarios'!$D$11-1))+INDEX(BookOneOff,1131)*$N1136)</f>
        <v/>
      </c>
      <c r="S1136" s="56" t="str">
        <f aca="false">IF(INDEX(BookTitle,1131)="","",INDEX(BookTotal,1131)*'5. Scenarios'!$E$6/(1+ProductivityDefault*('5. Scenarios'!$E$11-1)))</f>
        <v/>
      </c>
      <c r="T1136" s="57" t="str">
        <f aca="false">IF($S1136="","",INDEX(BookRate,1131)*(1+'5. Scenarios'!$E$10)*$S1136)</f>
        <v/>
      </c>
      <c r="U1136" s="57" t="str">
        <f aca="false">IF($T1136="","",SUMIFS($T$6:$T$2405,$A$6:$A$2405,"&lt;="&amp;$A1136))</f>
        <v/>
      </c>
      <c r="V1136" s="57" t="str">
        <f aca="false">IF($T1136="","",IF($U1136&lt;=BankCostEnvelope*'5. Scenarios'!$E$7,1,0))</f>
        <v/>
      </c>
      <c r="W1136" s="57" t="str">
        <f aca="false">IF($S1136="","",INDEX(BookRate,1131)*(1+'5. Scenarios'!$E$10)*(INDEX(BookQ1,1131)*(5-MIN(4,1+'5. Scenarios'!$E$8))/4+INDEX(BookQ2,1131)*(5-MIN(4,2+'5. Scenarios'!$E$8))/4+INDEX(BookQ3,1131)*(5-MIN(4,3+'5. Scenarios'!$E$8))/4+INDEX(BookQ4,1131)*(5-MIN(4,4+'5. Scenarios'!$E$8))/4)*'5. Scenarios'!$E$6/(1+ProductivityDefault*('5. Scenarios'!$E$11-1))+INDEX(BookOneOff,1131)*$S1136)</f>
        <v/>
      </c>
    </row>
    <row r="1137" customFormat="false" ht="15" hidden="false" customHeight="false" outlineLevel="0" collapsed="false">
      <c r="A1137" s="0" t="str">
        <f aca="false">IF(INDEX(BookTitle,1132)="","",INDEX(BookKey,1132))</f>
        <v/>
      </c>
      <c r="B1137" s="0" t="str">
        <f aca="false">IF(INDEX(BookTitle,1132)="","",INDEX(BookGroup,1132))</f>
        <v/>
      </c>
      <c r="C1137" s="0" t="str">
        <f aca="false">IF(INDEX(BookTitle,1132)="","",INDEX(BookCategory,1132))</f>
        <v/>
      </c>
      <c r="D1137" s="56" t="str">
        <f aca="false">IF(INDEX(BookTitle,1132)="","",INDEX(BookTotal,1132)*'5. Scenarios'!$B$6/(1+ProductivityDefault*('5. Scenarios'!$B$11-1)))</f>
        <v/>
      </c>
      <c r="E1137" s="57" t="str">
        <f aca="false">IF($D1137="","",INDEX(BookRate,1132)*(1+'5. Scenarios'!$B$10)*$D1137)</f>
        <v/>
      </c>
      <c r="F1137" s="57" t="str">
        <f aca="false">IF($E1137="","",SUMIFS($E$6:$E$2405,$A$6:$A$2405,"&lt;="&amp;$A1137))</f>
        <v/>
      </c>
      <c r="G1137" s="57" t="str">
        <f aca="false">IF($E1137="","",IF($F1137&lt;=BankCostEnvelope*'5. Scenarios'!$B$7,1,0))</f>
        <v/>
      </c>
      <c r="H1137" s="57" t="str">
        <f aca="false">IF($D1137="","",INDEX(BookRate,1132)*(1+'5. Scenarios'!$B$10)*(INDEX(BookQ1,1132)*(5-MIN(4,1+'5. Scenarios'!$B$8))/4+INDEX(BookQ2,1132)*(5-MIN(4,2+'5. Scenarios'!$B$8))/4+INDEX(BookQ3,1132)*(5-MIN(4,3+'5. Scenarios'!$B$8))/4+INDEX(BookQ4,1132)*(5-MIN(4,4+'5. Scenarios'!$B$8))/4)*'5. Scenarios'!$B$6/(1+ProductivityDefault*('5. Scenarios'!$B$11-1))+INDEX(BookOneOff,1132)*$D1137)</f>
        <v/>
      </c>
      <c r="I1137" s="56" t="str">
        <f aca="false">IF(INDEX(BookTitle,1132)="","",INDEX(BookTotal,1132)*'5. Scenarios'!$C$6/(1+ProductivityDefault*('5. Scenarios'!$C$11-1)))</f>
        <v/>
      </c>
      <c r="J1137" s="57" t="str">
        <f aca="false">IF($I1137="","",INDEX(BookRate,1132)*(1+'5. Scenarios'!$C$10)*$I1137)</f>
        <v/>
      </c>
      <c r="K1137" s="57" t="str">
        <f aca="false">IF($J1137="","",SUMIFS($J$6:$J$2405,$A$6:$A$2405,"&lt;="&amp;$A1137))</f>
        <v/>
      </c>
      <c r="L1137" s="57" t="str">
        <f aca="false">IF($J1137="","",IF($K1137&lt;=BankCostEnvelope*'5. Scenarios'!$C$7,1,0))</f>
        <v/>
      </c>
      <c r="M1137" s="57" t="str">
        <f aca="false">IF($I1137="","",INDEX(BookRate,1132)*(1+'5. Scenarios'!$C$10)*(INDEX(BookQ1,1132)*(5-MIN(4,1+'5. Scenarios'!$C$8))/4+INDEX(BookQ2,1132)*(5-MIN(4,2+'5. Scenarios'!$C$8))/4+INDEX(BookQ3,1132)*(5-MIN(4,3+'5. Scenarios'!$C$8))/4+INDEX(BookQ4,1132)*(5-MIN(4,4+'5. Scenarios'!$C$8))/4)*'5. Scenarios'!$C$6/(1+ProductivityDefault*('5. Scenarios'!$C$11-1))+INDEX(BookOneOff,1132)*$I1137)</f>
        <v/>
      </c>
      <c r="N1137" s="56" t="str">
        <f aca="false">IF(INDEX(BookTitle,1132)="","",INDEX(BookTotal,1132)*'5. Scenarios'!$D$6/(1+ProductivityDefault*('5. Scenarios'!$D$11-1)))</f>
        <v/>
      </c>
      <c r="O1137" s="57" t="str">
        <f aca="false">IF($N1137="","",INDEX(BookRate,1132)*(1+'5. Scenarios'!$D$10)*$N1137)</f>
        <v/>
      </c>
      <c r="P1137" s="57" t="str">
        <f aca="false">IF($O1137="","",SUMIFS($O$6:$O$2405,$A$6:$A$2405,"&lt;="&amp;$A1137))</f>
        <v/>
      </c>
      <c r="Q1137" s="57" t="str">
        <f aca="false">IF($O1137="","",IF($P1137&lt;=BankCostEnvelope*'5. Scenarios'!$D$7,1,0))</f>
        <v/>
      </c>
      <c r="R1137" s="57" t="str">
        <f aca="false">IF($N1137="","",INDEX(BookRate,1132)*(1+'5. Scenarios'!$D$10)*(INDEX(BookQ1,1132)*(5-MIN(4,1+'5. Scenarios'!$D$8))/4+INDEX(BookQ2,1132)*(5-MIN(4,2+'5. Scenarios'!$D$8))/4+INDEX(BookQ3,1132)*(5-MIN(4,3+'5. Scenarios'!$D$8))/4+INDEX(BookQ4,1132)*(5-MIN(4,4+'5. Scenarios'!$D$8))/4)*'5. Scenarios'!$D$6/(1+ProductivityDefault*('5. Scenarios'!$D$11-1))+INDEX(BookOneOff,1132)*$N1137)</f>
        <v/>
      </c>
      <c r="S1137" s="56" t="str">
        <f aca="false">IF(INDEX(BookTitle,1132)="","",INDEX(BookTotal,1132)*'5. Scenarios'!$E$6/(1+ProductivityDefault*('5. Scenarios'!$E$11-1)))</f>
        <v/>
      </c>
      <c r="T1137" s="57" t="str">
        <f aca="false">IF($S1137="","",INDEX(BookRate,1132)*(1+'5. Scenarios'!$E$10)*$S1137)</f>
        <v/>
      </c>
      <c r="U1137" s="57" t="str">
        <f aca="false">IF($T1137="","",SUMIFS($T$6:$T$2405,$A$6:$A$2405,"&lt;="&amp;$A1137))</f>
        <v/>
      </c>
      <c r="V1137" s="57" t="str">
        <f aca="false">IF($T1137="","",IF($U1137&lt;=BankCostEnvelope*'5. Scenarios'!$E$7,1,0))</f>
        <v/>
      </c>
      <c r="W1137" s="57" t="str">
        <f aca="false">IF($S1137="","",INDEX(BookRate,1132)*(1+'5. Scenarios'!$E$10)*(INDEX(BookQ1,1132)*(5-MIN(4,1+'5. Scenarios'!$E$8))/4+INDEX(BookQ2,1132)*(5-MIN(4,2+'5. Scenarios'!$E$8))/4+INDEX(BookQ3,1132)*(5-MIN(4,3+'5. Scenarios'!$E$8))/4+INDEX(BookQ4,1132)*(5-MIN(4,4+'5. Scenarios'!$E$8))/4)*'5. Scenarios'!$E$6/(1+ProductivityDefault*('5. Scenarios'!$E$11-1))+INDEX(BookOneOff,1132)*$S1137)</f>
        <v/>
      </c>
    </row>
    <row r="1138" customFormat="false" ht="15" hidden="false" customHeight="false" outlineLevel="0" collapsed="false">
      <c r="A1138" s="0" t="str">
        <f aca="false">IF(INDEX(BookTitle,1133)="","",INDEX(BookKey,1133))</f>
        <v/>
      </c>
      <c r="B1138" s="0" t="str">
        <f aca="false">IF(INDEX(BookTitle,1133)="","",INDEX(BookGroup,1133))</f>
        <v/>
      </c>
      <c r="C1138" s="0" t="str">
        <f aca="false">IF(INDEX(BookTitle,1133)="","",INDEX(BookCategory,1133))</f>
        <v/>
      </c>
      <c r="D1138" s="56" t="str">
        <f aca="false">IF(INDEX(BookTitle,1133)="","",INDEX(BookTotal,1133)*'5. Scenarios'!$B$6/(1+ProductivityDefault*('5. Scenarios'!$B$11-1)))</f>
        <v/>
      </c>
      <c r="E1138" s="57" t="str">
        <f aca="false">IF($D1138="","",INDEX(BookRate,1133)*(1+'5. Scenarios'!$B$10)*$D1138)</f>
        <v/>
      </c>
      <c r="F1138" s="57" t="str">
        <f aca="false">IF($E1138="","",SUMIFS($E$6:$E$2405,$A$6:$A$2405,"&lt;="&amp;$A1138))</f>
        <v/>
      </c>
      <c r="G1138" s="57" t="str">
        <f aca="false">IF($E1138="","",IF($F1138&lt;=BankCostEnvelope*'5. Scenarios'!$B$7,1,0))</f>
        <v/>
      </c>
      <c r="H1138" s="57" t="str">
        <f aca="false">IF($D1138="","",INDEX(BookRate,1133)*(1+'5. Scenarios'!$B$10)*(INDEX(BookQ1,1133)*(5-MIN(4,1+'5. Scenarios'!$B$8))/4+INDEX(BookQ2,1133)*(5-MIN(4,2+'5. Scenarios'!$B$8))/4+INDEX(BookQ3,1133)*(5-MIN(4,3+'5. Scenarios'!$B$8))/4+INDEX(BookQ4,1133)*(5-MIN(4,4+'5. Scenarios'!$B$8))/4)*'5. Scenarios'!$B$6/(1+ProductivityDefault*('5. Scenarios'!$B$11-1))+INDEX(BookOneOff,1133)*$D1138)</f>
        <v/>
      </c>
      <c r="I1138" s="56" t="str">
        <f aca="false">IF(INDEX(BookTitle,1133)="","",INDEX(BookTotal,1133)*'5. Scenarios'!$C$6/(1+ProductivityDefault*('5. Scenarios'!$C$11-1)))</f>
        <v/>
      </c>
      <c r="J1138" s="57" t="str">
        <f aca="false">IF($I1138="","",INDEX(BookRate,1133)*(1+'5. Scenarios'!$C$10)*$I1138)</f>
        <v/>
      </c>
      <c r="K1138" s="57" t="str">
        <f aca="false">IF($J1138="","",SUMIFS($J$6:$J$2405,$A$6:$A$2405,"&lt;="&amp;$A1138))</f>
        <v/>
      </c>
      <c r="L1138" s="57" t="str">
        <f aca="false">IF($J1138="","",IF($K1138&lt;=BankCostEnvelope*'5. Scenarios'!$C$7,1,0))</f>
        <v/>
      </c>
      <c r="M1138" s="57" t="str">
        <f aca="false">IF($I1138="","",INDEX(BookRate,1133)*(1+'5. Scenarios'!$C$10)*(INDEX(BookQ1,1133)*(5-MIN(4,1+'5. Scenarios'!$C$8))/4+INDEX(BookQ2,1133)*(5-MIN(4,2+'5. Scenarios'!$C$8))/4+INDEX(BookQ3,1133)*(5-MIN(4,3+'5. Scenarios'!$C$8))/4+INDEX(BookQ4,1133)*(5-MIN(4,4+'5. Scenarios'!$C$8))/4)*'5. Scenarios'!$C$6/(1+ProductivityDefault*('5. Scenarios'!$C$11-1))+INDEX(BookOneOff,1133)*$I1138)</f>
        <v/>
      </c>
      <c r="N1138" s="56" t="str">
        <f aca="false">IF(INDEX(BookTitle,1133)="","",INDEX(BookTotal,1133)*'5. Scenarios'!$D$6/(1+ProductivityDefault*('5. Scenarios'!$D$11-1)))</f>
        <v/>
      </c>
      <c r="O1138" s="57" t="str">
        <f aca="false">IF($N1138="","",INDEX(BookRate,1133)*(1+'5. Scenarios'!$D$10)*$N1138)</f>
        <v/>
      </c>
      <c r="P1138" s="57" t="str">
        <f aca="false">IF($O1138="","",SUMIFS($O$6:$O$2405,$A$6:$A$2405,"&lt;="&amp;$A1138))</f>
        <v/>
      </c>
      <c r="Q1138" s="57" t="str">
        <f aca="false">IF($O1138="","",IF($P1138&lt;=BankCostEnvelope*'5. Scenarios'!$D$7,1,0))</f>
        <v/>
      </c>
      <c r="R1138" s="57" t="str">
        <f aca="false">IF($N1138="","",INDEX(BookRate,1133)*(1+'5. Scenarios'!$D$10)*(INDEX(BookQ1,1133)*(5-MIN(4,1+'5. Scenarios'!$D$8))/4+INDEX(BookQ2,1133)*(5-MIN(4,2+'5. Scenarios'!$D$8))/4+INDEX(BookQ3,1133)*(5-MIN(4,3+'5. Scenarios'!$D$8))/4+INDEX(BookQ4,1133)*(5-MIN(4,4+'5. Scenarios'!$D$8))/4)*'5. Scenarios'!$D$6/(1+ProductivityDefault*('5. Scenarios'!$D$11-1))+INDEX(BookOneOff,1133)*$N1138)</f>
        <v/>
      </c>
      <c r="S1138" s="56" t="str">
        <f aca="false">IF(INDEX(BookTitle,1133)="","",INDEX(BookTotal,1133)*'5. Scenarios'!$E$6/(1+ProductivityDefault*('5. Scenarios'!$E$11-1)))</f>
        <v/>
      </c>
      <c r="T1138" s="57" t="str">
        <f aca="false">IF($S1138="","",INDEX(BookRate,1133)*(1+'5. Scenarios'!$E$10)*$S1138)</f>
        <v/>
      </c>
      <c r="U1138" s="57" t="str">
        <f aca="false">IF($T1138="","",SUMIFS($T$6:$T$2405,$A$6:$A$2405,"&lt;="&amp;$A1138))</f>
        <v/>
      </c>
      <c r="V1138" s="57" t="str">
        <f aca="false">IF($T1138="","",IF($U1138&lt;=BankCostEnvelope*'5. Scenarios'!$E$7,1,0))</f>
        <v/>
      </c>
      <c r="W1138" s="57" t="str">
        <f aca="false">IF($S1138="","",INDEX(BookRate,1133)*(1+'5. Scenarios'!$E$10)*(INDEX(BookQ1,1133)*(5-MIN(4,1+'5. Scenarios'!$E$8))/4+INDEX(BookQ2,1133)*(5-MIN(4,2+'5. Scenarios'!$E$8))/4+INDEX(BookQ3,1133)*(5-MIN(4,3+'5. Scenarios'!$E$8))/4+INDEX(BookQ4,1133)*(5-MIN(4,4+'5. Scenarios'!$E$8))/4)*'5. Scenarios'!$E$6/(1+ProductivityDefault*('5. Scenarios'!$E$11-1))+INDEX(BookOneOff,1133)*$S1138)</f>
        <v/>
      </c>
    </row>
    <row r="1139" customFormat="false" ht="15" hidden="false" customHeight="false" outlineLevel="0" collapsed="false">
      <c r="A1139" s="0" t="str">
        <f aca="false">IF(INDEX(BookTitle,1134)="","",INDEX(BookKey,1134))</f>
        <v/>
      </c>
      <c r="B1139" s="0" t="str">
        <f aca="false">IF(INDEX(BookTitle,1134)="","",INDEX(BookGroup,1134))</f>
        <v/>
      </c>
      <c r="C1139" s="0" t="str">
        <f aca="false">IF(INDEX(BookTitle,1134)="","",INDEX(BookCategory,1134))</f>
        <v/>
      </c>
      <c r="D1139" s="56" t="str">
        <f aca="false">IF(INDEX(BookTitle,1134)="","",INDEX(BookTotal,1134)*'5. Scenarios'!$B$6/(1+ProductivityDefault*('5. Scenarios'!$B$11-1)))</f>
        <v/>
      </c>
      <c r="E1139" s="57" t="str">
        <f aca="false">IF($D1139="","",INDEX(BookRate,1134)*(1+'5. Scenarios'!$B$10)*$D1139)</f>
        <v/>
      </c>
      <c r="F1139" s="57" t="str">
        <f aca="false">IF($E1139="","",SUMIFS($E$6:$E$2405,$A$6:$A$2405,"&lt;="&amp;$A1139))</f>
        <v/>
      </c>
      <c r="G1139" s="57" t="str">
        <f aca="false">IF($E1139="","",IF($F1139&lt;=BankCostEnvelope*'5. Scenarios'!$B$7,1,0))</f>
        <v/>
      </c>
      <c r="H1139" s="57" t="str">
        <f aca="false">IF($D1139="","",INDEX(BookRate,1134)*(1+'5. Scenarios'!$B$10)*(INDEX(BookQ1,1134)*(5-MIN(4,1+'5. Scenarios'!$B$8))/4+INDEX(BookQ2,1134)*(5-MIN(4,2+'5. Scenarios'!$B$8))/4+INDEX(BookQ3,1134)*(5-MIN(4,3+'5. Scenarios'!$B$8))/4+INDEX(BookQ4,1134)*(5-MIN(4,4+'5. Scenarios'!$B$8))/4)*'5. Scenarios'!$B$6/(1+ProductivityDefault*('5. Scenarios'!$B$11-1))+INDEX(BookOneOff,1134)*$D1139)</f>
        <v/>
      </c>
      <c r="I1139" s="56" t="str">
        <f aca="false">IF(INDEX(BookTitle,1134)="","",INDEX(BookTotal,1134)*'5. Scenarios'!$C$6/(1+ProductivityDefault*('5. Scenarios'!$C$11-1)))</f>
        <v/>
      </c>
      <c r="J1139" s="57" t="str">
        <f aca="false">IF($I1139="","",INDEX(BookRate,1134)*(1+'5. Scenarios'!$C$10)*$I1139)</f>
        <v/>
      </c>
      <c r="K1139" s="57" t="str">
        <f aca="false">IF($J1139="","",SUMIFS($J$6:$J$2405,$A$6:$A$2405,"&lt;="&amp;$A1139))</f>
        <v/>
      </c>
      <c r="L1139" s="57" t="str">
        <f aca="false">IF($J1139="","",IF($K1139&lt;=BankCostEnvelope*'5. Scenarios'!$C$7,1,0))</f>
        <v/>
      </c>
      <c r="M1139" s="57" t="str">
        <f aca="false">IF($I1139="","",INDEX(BookRate,1134)*(1+'5. Scenarios'!$C$10)*(INDEX(BookQ1,1134)*(5-MIN(4,1+'5. Scenarios'!$C$8))/4+INDEX(BookQ2,1134)*(5-MIN(4,2+'5. Scenarios'!$C$8))/4+INDEX(BookQ3,1134)*(5-MIN(4,3+'5. Scenarios'!$C$8))/4+INDEX(BookQ4,1134)*(5-MIN(4,4+'5. Scenarios'!$C$8))/4)*'5. Scenarios'!$C$6/(1+ProductivityDefault*('5. Scenarios'!$C$11-1))+INDEX(BookOneOff,1134)*$I1139)</f>
        <v/>
      </c>
      <c r="N1139" s="56" t="str">
        <f aca="false">IF(INDEX(BookTitle,1134)="","",INDEX(BookTotal,1134)*'5. Scenarios'!$D$6/(1+ProductivityDefault*('5. Scenarios'!$D$11-1)))</f>
        <v/>
      </c>
      <c r="O1139" s="57" t="str">
        <f aca="false">IF($N1139="","",INDEX(BookRate,1134)*(1+'5. Scenarios'!$D$10)*$N1139)</f>
        <v/>
      </c>
      <c r="P1139" s="57" t="str">
        <f aca="false">IF($O1139="","",SUMIFS($O$6:$O$2405,$A$6:$A$2405,"&lt;="&amp;$A1139))</f>
        <v/>
      </c>
      <c r="Q1139" s="57" t="str">
        <f aca="false">IF($O1139="","",IF($P1139&lt;=BankCostEnvelope*'5. Scenarios'!$D$7,1,0))</f>
        <v/>
      </c>
      <c r="R1139" s="57" t="str">
        <f aca="false">IF($N1139="","",INDEX(BookRate,1134)*(1+'5. Scenarios'!$D$10)*(INDEX(BookQ1,1134)*(5-MIN(4,1+'5. Scenarios'!$D$8))/4+INDEX(BookQ2,1134)*(5-MIN(4,2+'5. Scenarios'!$D$8))/4+INDEX(BookQ3,1134)*(5-MIN(4,3+'5. Scenarios'!$D$8))/4+INDEX(BookQ4,1134)*(5-MIN(4,4+'5. Scenarios'!$D$8))/4)*'5. Scenarios'!$D$6/(1+ProductivityDefault*('5. Scenarios'!$D$11-1))+INDEX(BookOneOff,1134)*$N1139)</f>
        <v/>
      </c>
      <c r="S1139" s="56" t="str">
        <f aca="false">IF(INDEX(BookTitle,1134)="","",INDEX(BookTotal,1134)*'5. Scenarios'!$E$6/(1+ProductivityDefault*('5. Scenarios'!$E$11-1)))</f>
        <v/>
      </c>
      <c r="T1139" s="57" t="str">
        <f aca="false">IF($S1139="","",INDEX(BookRate,1134)*(1+'5. Scenarios'!$E$10)*$S1139)</f>
        <v/>
      </c>
      <c r="U1139" s="57" t="str">
        <f aca="false">IF($T1139="","",SUMIFS($T$6:$T$2405,$A$6:$A$2405,"&lt;="&amp;$A1139))</f>
        <v/>
      </c>
      <c r="V1139" s="57" t="str">
        <f aca="false">IF($T1139="","",IF($U1139&lt;=BankCostEnvelope*'5. Scenarios'!$E$7,1,0))</f>
        <v/>
      </c>
      <c r="W1139" s="57" t="str">
        <f aca="false">IF($S1139="","",INDEX(BookRate,1134)*(1+'5. Scenarios'!$E$10)*(INDEX(BookQ1,1134)*(5-MIN(4,1+'5. Scenarios'!$E$8))/4+INDEX(BookQ2,1134)*(5-MIN(4,2+'5. Scenarios'!$E$8))/4+INDEX(BookQ3,1134)*(5-MIN(4,3+'5. Scenarios'!$E$8))/4+INDEX(BookQ4,1134)*(5-MIN(4,4+'5. Scenarios'!$E$8))/4)*'5. Scenarios'!$E$6/(1+ProductivityDefault*('5. Scenarios'!$E$11-1))+INDEX(BookOneOff,1134)*$S1139)</f>
        <v/>
      </c>
    </row>
    <row r="1140" customFormat="false" ht="15" hidden="false" customHeight="false" outlineLevel="0" collapsed="false">
      <c r="A1140" s="0" t="str">
        <f aca="false">IF(INDEX(BookTitle,1135)="","",INDEX(BookKey,1135))</f>
        <v/>
      </c>
      <c r="B1140" s="0" t="str">
        <f aca="false">IF(INDEX(BookTitle,1135)="","",INDEX(BookGroup,1135))</f>
        <v/>
      </c>
      <c r="C1140" s="0" t="str">
        <f aca="false">IF(INDEX(BookTitle,1135)="","",INDEX(BookCategory,1135))</f>
        <v/>
      </c>
      <c r="D1140" s="56" t="str">
        <f aca="false">IF(INDEX(BookTitle,1135)="","",INDEX(BookTotal,1135)*'5. Scenarios'!$B$6/(1+ProductivityDefault*('5. Scenarios'!$B$11-1)))</f>
        <v/>
      </c>
      <c r="E1140" s="57" t="str">
        <f aca="false">IF($D1140="","",INDEX(BookRate,1135)*(1+'5. Scenarios'!$B$10)*$D1140)</f>
        <v/>
      </c>
      <c r="F1140" s="57" t="str">
        <f aca="false">IF($E1140="","",SUMIFS($E$6:$E$2405,$A$6:$A$2405,"&lt;="&amp;$A1140))</f>
        <v/>
      </c>
      <c r="G1140" s="57" t="str">
        <f aca="false">IF($E1140="","",IF($F1140&lt;=BankCostEnvelope*'5. Scenarios'!$B$7,1,0))</f>
        <v/>
      </c>
      <c r="H1140" s="57" t="str">
        <f aca="false">IF($D1140="","",INDEX(BookRate,1135)*(1+'5. Scenarios'!$B$10)*(INDEX(BookQ1,1135)*(5-MIN(4,1+'5. Scenarios'!$B$8))/4+INDEX(BookQ2,1135)*(5-MIN(4,2+'5. Scenarios'!$B$8))/4+INDEX(BookQ3,1135)*(5-MIN(4,3+'5. Scenarios'!$B$8))/4+INDEX(BookQ4,1135)*(5-MIN(4,4+'5. Scenarios'!$B$8))/4)*'5. Scenarios'!$B$6/(1+ProductivityDefault*('5. Scenarios'!$B$11-1))+INDEX(BookOneOff,1135)*$D1140)</f>
        <v/>
      </c>
      <c r="I1140" s="56" t="str">
        <f aca="false">IF(INDEX(BookTitle,1135)="","",INDEX(BookTotal,1135)*'5. Scenarios'!$C$6/(1+ProductivityDefault*('5. Scenarios'!$C$11-1)))</f>
        <v/>
      </c>
      <c r="J1140" s="57" t="str">
        <f aca="false">IF($I1140="","",INDEX(BookRate,1135)*(1+'5. Scenarios'!$C$10)*$I1140)</f>
        <v/>
      </c>
      <c r="K1140" s="57" t="str">
        <f aca="false">IF($J1140="","",SUMIFS($J$6:$J$2405,$A$6:$A$2405,"&lt;="&amp;$A1140))</f>
        <v/>
      </c>
      <c r="L1140" s="57" t="str">
        <f aca="false">IF($J1140="","",IF($K1140&lt;=BankCostEnvelope*'5. Scenarios'!$C$7,1,0))</f>
        <v/>
      </c>
      <c r="M1140" s="57" t="str">
        <f aca="false">IF($I1140="","",INDEX(BookRate,1135)*(1+'5. Scenarios'!$C$10)*(INDEX(BookQ1,1135)*(5-MIN(4,1+'5. Scenarios'!$C$8))/4+INDEX(BookQ2,1135)*(5-MIN(4,2+'5. Scenarios'!$C$8))/4+INDEX(BookQ3,1135)*(5-MIN(4,3+'5. Scenarios'!$C$8))/4+INDEX(BookQ4,1135)*(5-MIN(4,4+'5. Scenarios'!$C$8))/4)*'5. Scenarios'!$C$6/(1+ProductivityDefault*('5. Scenarios'!$C$11-1))+INDEX(BookOneOff,1135)*$I1140)</f>
        <v/>
      </c>
      <c r="N1140" s="56" t="str">
        <f aca="false">IF(INDEX(BookTitle,1135)="","",INDEX(BookTotal,1135)*'5. Scenarios'!$D$6/(1+ProductivityDefault*('5. Scenarios'!$D$11-1)))</f>
        <v/>
      </c>
      <c r="O1140" s="57" t="str">
        <f aca="false">IF($N1140="","",INDEX(BookRate,1135)*(1+'5. Scenarios'!$D$10)*$N1140)</f>
        <v/>
      </c>
      <c r="P1140" s="57" t="str">
        <f aca="false">IF($O1140="","",SUMIFS($O$6:$O$2405,$A$6:$A$2405,"&lt;="&amp;$A1140))</f>
        <v/>
      </c>
      <c r="Q1140" s="57" t="str">
        <f aca="false">IF($O1140="","",IF($P1140&lt;=BankCostEnvelope*'5. Scenarios'!$D$7,1,0))</f>
        <v/>
      </c>
      <c r="R1140" s="57" t="str">
        <f aca="false">IF($N1140="","",INDEX(BookRate,1135)*(1+'5. Scenarios'!$D$10)*(INDEX(BookQ1,1135)*(5-MIN(4,1+'5. Scenarios'!$D$8))/4+INDEX(BookQ2,1135)*(5-MIN(4,2+'5. Scenarios'!$D$8))/4+INDEX(BookQ3,1135)*(5-MIN(4,3+'5. Scenarios'!$D$8))/4+INDEX(BookQ4,1135)*(5-MIN(4,4+'5. Scenarios'!$D$8))/4)*'5. Scenarios'!$D$6/(1+ProductivityDefault*('5. Scenarios'!$D$11-1))+INDEX(BookOneOff,1135)*$N1140)</f>
        <v/>
      </c>
      <c r="S1140" s="56" t="str">
        <f aca="false">IF(INDEX(BookTitle,1135)="","",INDEX(BookTotal,1135)*'5. Scenarios'!$E$6/(1+ProductivityDefault*('5. Scenarios'!$E$11-1)))</f>
        <v/>
      </c>
      <c r="T1140" s="57" t="str">
        <f aca="false">IF($S1140="","",INDEX(BookRate,1135)*(1+'5. Scenarios'!$E$10)*$S1140)</f>
        <v/>
      </c>
      <c r="U1140" s="57" t="str">
        <f aca="false">IF($T1140="","",SUMIFS($T$6:$T$2405,$A$6:$A$2405,"&lt;="&amp;$A1140))</f>
        <v/>
      </c>
      <c r="V1140" s="57" t="str">
        <f aca="false">IF($T1140="","",IF($U1140&lt;=BankCostEnvelope*'5. Scenarios'!$E$7,1,0))</f>
        <v/>
      </c>
      <c r="W1140" s="57" t="str">
        <f aca="false">IF($S1140="","",INDEX(BookRate,1135)*(1+'5. Scenarios'!$E$10)*(INDEX(BookQ1,1135)*(5-MIN(4,1+'5. Scenarios'!$E$8))/4+INDEX(BookQ2,1135)*(5-MIN(4,2+'5. Scenarios'!$E$8))/4+INDEX(BookQ3,1135)*(5-MIN(4,3+'5. Scenarios'!$E$8))/4+INDEX(BookQ4,1135)*(5-MIN(4,4+'5. Scenarios'!$E$8))/4)*'5. Scenarios'!$E$6/(1+ProductivityDefault*('5. Scenarios'!$E$11-1))+INDEX(BookOneOff,1135)*$S1140)</f>
        <v/>
      </c>
    </row>
    <row r="1141" customFormat="false" ht="15" hidden="false" customHeight="false" outlineLevel="0" collapsed="false">
      <c r="A1141" s="0" t="str">
        <f aca="false">IF(INDEX(BookTitle,1136)="","",INDEX(BookKey,1136))</f>
        <v/>
      </c>
      <c r="B1141" s="0" t="str">
        <f aca="false">IF(INDEX(BookTitle,1136)="","",INDEX(BookGroup,1136))</f>
        <v/>
      </c>
      <c r="C1141" s="0" t="str">
        <f aca="false">IF(INDEX(BookTitle,1136)="","",INDEX(BookCategory,1136))</f>
        <v/>
      </c>
      <c r="D1141" s="56" t="str">
        <f aca="false">IF(INDEX(BookTitle,1136)="","",INDEX(BookTotal,1136)*'5. Scenarios'!$B$6/(1+ProductivityDefault*('5. Scenarios'!$B$11-1)))</f>
        <v/>
      </c>
      <c r="E1141" s="57" t="str">
        <f aca="false">IF($D1141="","",INDEX(BookRate,1136)*(1+'5. Scenarios'!$B$10)*$D1141)</f>
        <v/>
      </c>
      <c r="F1141" s="57" t="str">
        <f aca="false">IF($E1141="","",SUMIFS($E$6:$E$2405,$A$6:$A$2405,"&lt;="&amp;$A1141))</f>
        <v/>
      </c>
      <c r="G1141" s="57" t="str">
        <f aca="false">IF($E1141="","",IF($F1141&lt;=BankCostEnvelope*'5. Scenarios'!$B$7,1,0))</f>
        <v/>
      </c>
      <c r="H1141" s="57" t="str">
        <f aca="false">IF($D1141="","",INDEX(BookRate,1136)*(1+'5. Scenarios'!$B$10)*(INDEX(BookQ1,1136)*(5-MIN(4,1+'5. Scenarios'!$B$8))/4+INDEX(BookQ2,1136)*(5-MIN(4,2+'5. Scenarios'!$B$8))/4+INDEX(BookQ3,1136)*(5-MIN(4,3+'5. Scenarios'!$B$8))/4+INDEX(BookQ4,1136)*(5-MIN(4,4+'5. Scenarios'!$B$8))/4)*'5. Scenarios'!$B$6/(1+ProductivityDefault*('5. Scenarios'!$B$11-1))+INDEX(BookOneOff,1136)*$D1141)</f>
        <v/>
      </c>
      <c r="I1141" s="56" t="str">
        <f aca="false">IF(INDEX(BookTitle,1136)="","",INDEX(BookTotal,1136)*'5. Scenarios'!$C$6/(1+ProductivityDefault*('5. Scenarios'!$C$11-1)))</f>
        <v/>
      </c>
      <c r="J1141" s="57" t="str">
        <f aca="false">IF($I1141="","",INDEX(BookRate,1136)*(1+'5. Scenarios'!$C$10)*$I1141)</f>
        <v/>
      </c>
      <c r="K1141" s="57" t="str">
        <f aca="false">IF($J1141="","",SUMIFS($J$6:$J$2405,$A$6:$A$2405,"&lt;="&amp;$A1141))</f>
        <v/>
      </c>
      <c r="L1141" s="57" t="str">
        <f aca="false">IF($J1141="","",IF($K1141&lt;=BankCostEnvelope*'5. Scenarios'!$C$7,1,0))</f>
        <v/>
      </c>
      <c r="M1141" s="57" t="str">
        <f aca="false">IF($I1141="","",INDEX(BookRate,1136)*(1+'5. Scenarios'!$C$10)*(INDEX(BookQ1,1136)*(5-MIN(4,1+'5. Scenarios'!$C$8))/4+INDEX(BookQ2,1136)*(5-MIN(4,2+'5. Scenarios'!$C$8))/4+INDEX(BookQ3,1136)*(5-MIN(4,3+'5. Scenarios'!$C$8))/4+INDEX(BookQ4,1136)*(5-MIN(4,4+'5. Scenarios'!$C$8))/4)*'5. Scenarios'!$C$6/(1+ProductivityDefault*('5. Scenarios'!$C$11-1))+INDEX(BookOneOff,1136)*$I1141)</f>
        <v/>
      </c>
      <c r="N1141" s="56" t="str">
        <f aca="false">IF(INDEX(BookTitle,1136)="","",INDEX(BookTotal,1136)*'5. Scenarios'!$D$6/(1+ProductivityDefault*('5. Scenarios'!$D$11-1)))</f>
        <v/>
      </c>
      <c r="O1141" s="57" t="str">
        <f aca="false">IF($N1141="","",INDEX(BookRate,1136)*(1+'5. Scenarios'!$D$10)*$N1141)</f>
        <v/>
      </c>
      <c r="P1141" s="57" t="str">
        <f aca="false">IF($O1141="","",SUMIFS($O$6:$O$2405,$A$6:$A$2405,"&lt;="&amp;$A1141))</f>
        <v/>
      </c>
      <c r="Q1141" s="57" t="str">
        <f aca="false">IF($O1141="","",IF($P1141&lt;=BankCostEnvelope*'5. Scenarios'!$D$7,1,0))</f>
        <v/>
      </c>
      <c r="R1141" s="57" t="str">
        <f aca="false">IF($N1141="","",INDEX(BookRate,1136)*(1+'5. Scenarios'!$D$10)*(INDEX(BookQ1,1136)*(5-MIN(4,1+'5. Scenarios'!$D$8))/4+INDEX(BookQ2,1136)*(5-MIN(4,2+'5. Scenarios'!$D$8))/4+INDEX(BookQ3,1136)*(5-MIN(4,3+'5. Scenarios'!$D$8))/4+INDEX(BookQ4,1136)*(5-MIN(4,4+'5. Scenarios'!$D$8))/4)*'5. Scenarios'!$D$6/(1+ProductivityDefault*('5. Scenarios'!$D$11-1))+INDEX(BookOneOff,1136)*$N1141)</f>
        <v/>
      </c>
      <c r="S1141" s="56" t="str">
        <f aca="false">IF(INDEX(BookTitle,1136)="","",INDEX(BookTotal,1136)*'5. Scenarios'!$E$6/(1+ProductivityDefault*('5. Scenarios'!$E$11-1)))</f>
        <v/>
      </c>
      <c r="T1141" s="57" t="str">
        <f aca="false">IF($S1141="","",INDEX(BookRate,1136)*(1+'5. Scenarios'!$E$10)*$S1141)</f>
        <v/>
      </c>
      <c r="U1141" s="57" t="str">
        <f aca="false">IF($T1141="","",SUMIFS($T$6:$T$2405,$A$6:$A$2405,"&lt;="&amp;$A1141))</f>
        <v/>
      </c>
      <c r="V1141" s="57" t="str">
        <f aca="false">IF($T1141="","",IF($U1141&lt;=BankCostEnvelope*'5. Scenarios'!$E$7,1,0))</f>
        <v/>
      </c>
      <c r="W1141" s="57" t="str">
        <f aca="false">IF($S1141="","",INDEX(BookRate,1136)*(1+'5. Scenarios'!$E$10)*(INDEX(BookQ1,1136)*(5-MIN(4,1+'5. Scenarios'!$E$8))/4+INDEX(BookQ2,1136)*(5-MIN(4,2+'5. Scenarios'!$E$8))/4+INDEX(BookQ3,1136)*(5-MIN(4,3+'5. Scenarios'!$E$8))/4+INDEX(BookQ4,1136)*(5-MIN(4,4+'5. Scenarios'!$E$8))/4)*'5. Scenarios'!$E$6/(1+ProductivityDefault*('5. Scenarios'!$E$11-1))+INDEX(BookOneOff,1136)*$S1141)</f>
        <v/>
      </c>
    </row>
    <row r="1142" customFormat="false" ht="15" hidden="false" customHeight="false" outlineLevel="0" collapsed="false">
      <c r="A1142" s="0" t="str">
        <f aca="false">IF(INDEX(BookTitle,1137)="","",INDEX(BookKey,1137))</f>
        <v/>
      </c>
      <c r="B1142" s="0" t="str">
        <f aca="false">IF(INDEX(BookTitle,1137)="","",INDEX(BookGroup,1137))</f>
        <v/>
      </c>
      <c r="C1142" s="0" t="str">
        <f aca="false">IF(INDEX(BookTitle,1137)="","",INDEX(BookCategory,1137))</f>
        <v/>
      </c>
      <c r="D1142" s="56" t="str">
        <f aca="false">IF(INDEX(BookTitle,1137)="","",INDEX(BookTotal,1137)*'5. Scenarios'!$B$6/(1+ProductivityDefault*('5. Scenarios'!$B$11-1)))</f>
        <v/>
      </c>
      <c r="E1142" s="57" t="str">
        <f aca="false">IF($D1142="","",INDEX(BookRate,1137)*(1+'5. Scenarios'!$B$10)*$D1142)</f>
        <v/>
      </c>
      <c r="F1142" s="57" t="str">
        <f aca="false">IF($E1142="","",SUMIFS($E$6:$E$2405,$A$6:$A$2405,"&lt;="&amp;$A1142))</f>
        <v/>
      </c>
      <c r="G1142" s="57" t="str">
        <f aca="false">IF($E1142="","",IF($F1142&lt;=BankCostEnvelope*'5. Scenarios'!$B$7,1,0))</f>
        <v/>
      </c>
      <c r="H1142" s="57" t="str">
        <f aca="false">IF($D1142="","",INDEX(BookRate,1137)*(1+'5. Scenarios'!$B$10)*(INDEX(BookQ1,1137)*(5-MIN(4,1+'5. Scenarios'!$B$8))/4+INDEX(BookQ2,1137)*(5-MIN(4,2+'5. Scenarios'!$B$8))/4+INDEX(BookQ3,1137)*(5-MIN(4,3+'5. Scenarios'!$B$8))/4+INDEX(BookQ4,1137)*(5-MIN(4,4+'5. Scenarios'!$B$8))/4)*'5. Scenarios'!$B$6/(1+ProductivityDefault*('5. Scenarios'!$B$11-1))+INDEX(BookOneOff,1137)*$D1142)</f>
        <v/>
      </c>
      <c r="I1142" s="56" t="str">
        <f aca="false">IF(INDEX(BookTitle,1137)="","",INDEX(BookTotal,1137)*'5. Scenarios'!$C$6/(1+ProductivityDefault*('5. Scenarios'!$C$11-1)))</f>
        <v/>
      </c>
      <c r="J1142" s="57" t="str">
        <f aca="false">IF($I1142="","",INDEX(BookRate,1137)*(1+'5. Scenarios'!$C$10)*$I1142)</f>
        <v/>
      </c>
      <c r="K1142" s="57" t="str">
        <f aca="false">IF($J1142="","",SUMIFS($J$6:$J$2405,$A$6:$A$2405,"&lt;="&amp;$A1142))</f>
        <v/>
      </c>
      <c r="L1142" s="57" t="str">
        <f aca="false">IF($J1142="","",IF($K1142&lt;=BankCostEnvelope*'5. Scenarios'!$C$7,1,0))</f>
        <v/>
      </c>
      <c r="M1142" s="57" t="str">
        <f aca="false">IF($I1142="","",INDEX(BookRate,1137)*(1+'5. Scenarios'!$C$10)*(INDEX(BookQ1,1137)*(5-MIN(4,1+'5. Scenarios'!$C$8))/4+INDEX(BookQ2,1137)*(5-MIN(4,2+'5. Scenarios'!$C$8))/4+INDEX(BookQ3,1137)*(5-MIN(4,3+'5. Scenarios'!$C$8))/4+INDEX(BookQ4,1137)*(5-MIN(4,4+'5. Scenarios'!$C$8))/4)*'5. Scenarios'!$C$6/(1+ProductivityDefault*('5. Scenarios'!$C$11-1))+INDEX(BookOneOff,1137)*$I1142)</f>
        <v/>
      </c>
      <c r="N1142" s="56" t="str">
        <f aca="false">IF(INDEX(BookTitle,1137)="","",INDEX(BookTotal,1137)*'5. Scenarios'!$D$6/(1+ProductivityDefault*('5. Scenarios'!$D$11-1)))</f>
        <v/>
      </c>
      <c r="O1142" s="57" t="str">
        <f aca="false">IF($N1142="","",INDEX(BookRate,1137)*(1+'5. Scenarios'!$D$10)*$N1142)</f>
        <v/>
      </c>
      <c r="P1142" s="57" t="str">
        <f aca="false">IF($O1142="","",SUMIFS($O$6:$O$2405,$A$6:$A$2405,"&lt;="&amp;$A1142))</f>
        <v/>
      </c>
      <c r="Q1142" s="57" t="str">
        <f aca="false">IF($O1142="","",IF($P1142&lt;=BankCostEnvelope*'5. Scenarios'!$D$7,1,0))</f>
        <v/>
      </c>
      <c r="R1142" s="57" t="str">
        <f aca="false">IF($N1142="","",INDEX(BookRate,1137)*(1+'5. Scenarios'!$D$10)*(INDEX(BookQ1,1137)*(5-MIN(4,1+'5. Scenarios'!$D$8))/4+INDEX(BookQ2,1137)*(5-MIN(4,2+'5. Scenarios'!$D$8))/4+INDEX(BookQ3,1137)*(5-MIN(4,3+'5. Scenarios'!$D$8))/4+INDEX(BookQ4,1137)*(5-MIN(4,4+'5. Scenarios'!$D$8))/4)*'5. Scenarios'!$D$6/(1+ProductivityDefault*('5. Scenarios'!$D$11-1))+INDEX(BookOneOff,1137)*$N1142)</f>
        <v/>
      </c>
      <c r="S1142" s="56" t="str">
        <f aca="false">IF(INDEX(BookTitle,1137)="","",INDEX(BookTotal,1137)*'5. Scenarios'!$E$6/(1+ProductivityDefault*('5. Scenarios'!$E$11-1)))</f>
        <v/>
      </c>
      <c r="T1142" s="57" t="str">
        <f aca="false">IF($S1142="","",INDEX(BookRate,1137)*(1+'5. Scenarios'!$E$10)*$S1142)</f>
        <v/>
      </c>
      <c r="U1142" s="57" t="str">
        <f aca="false">IF($T1142="","",SUMIFS($T$6:$T$2405,$A$6:$A$2405,"&lt;="&amp;$A1142))</f>
        <v/>
      </c>
      <c r="V1142" s="57" t="str">
        <f aca="false">IF($T1142="","",IF($U1142&lt;=BankCostEnvelope*'5. Scenarios'!$E$7,1,0))</f>
        <v/>
      </c>
      <c r="W1142" s="57" t="str">
        <f aca="false">IF($S1142="","",INDEX(BookRate,1137)*(1+'5. Scenarios'!$E$10)*(INDEX(BookQ1,1137)*(5-MIN(4,1+'5. Scenarios'!$E$8))/4+INDEX(BookQ2,1137)*(5-MIN(4,2+'5. Scenarios'!$E$8))/4+INDEX(BookQ3,1137)*(5-MIN(4,3+'5. Scenarios'!$E$8))/4+INDEX(BookQ4,1137)*(5-MIN(4,4+'5. Scenarios'!$E$8))/4)*'5. Scenarios'!$E$6/(1+ProductivityDefault*('5. Scenarios'!$E$11-1))+INDEX(BookOneOff,1137)*$S1142)</f>
        <v/>
      </c>
    </row>
    <row r="1143" customFormat="false" ht="15" hidden="false" customHeight="false" outlineLevel="0" collapsed="false">
      <c r="A1143" s="0" t="str">
        <f aca="false">IF(INDEX(BookTitle,1138)="","",INDEX(BookKey,1138))</f>
        <v/>
      </c>
      <c r="B1143" s="0" t="str">
        <f aca="false">IF(INDEX(BookTitle,1138)="","",INDEX(BookGroup,1138))</f>
        <v/>
      </c>
      <c r="C1143" s="0" t="str">
        <f aca="false">IF(INDEX(BookTitle,1138)="","",INDEX(BookCategory,1138))</f>
        <v/>
      </c>
      <c r="D1143" s="56" t="str">
        <f aca="false">IF(INDEX(BookTitle,1138)="","",INDEX(BookTotal,1138)*'5. Scenarios'!$B$6/(1+ProductivityDefault*('5. Scenarios'!$B$11-1)))</f>
        <v/>
      </c>
      <c r="E1143" s="57" t="str">
        <f aca="false">IF($D1143="","",INDEX(BookRate,1138)*(1+'5. Scenarios'!$B$10)*$D1143)</f>
        <v/>
      </c>
      <c r="F1143" s="57" t="str">
        <f aca="false">IF($E1143="","",SUMIFS($E$6:$E$2405,$A$6:$A$2405,"&lt;="&amp;$A1143))</f>
        <v/>
      </c>
      <c r="G1143" s="57" t="str">
        <f aca="false">IF($E1143="","",IF($F1143&lt;=BankCostEnvelope*'5. Scenarios'!$B$7,1,0))</f>
        <v/>
      </c>
      <c r="H1143" s="57" t="str">
        <f aca="false">IF($D1143="","",INDEX(BookRate,1138)*(1+'5. Scenarios'!$B$10)*(INDEX(BookQ1,1138)*(5-MIN(4,1+'5. Scenarios'!$B$8))/4+INDEX(BookQ2,1138)*(5-MIN(4,2+'5. Scenarios'!$B$8))/4+INDEX(BookQ3,1138)*(5-MIN(4,3+'5. Scenarios'!$B$8))/4+INDEX(BookQ4,1138)*(5-MIN(4,4+'5. Scenarios'!$B$8))/4)*'5. Scenarios'!$B$6/(1+ProductivityDefault*('5. Scenarios'!$B$11-1))+INDEX(BookOneOff,1138)*$D1143)</f>
        <v/>
      </c>
      <c r="I1143" s="56" t="str">
        <f aca="false">IF(INDEX(BookTitle,1138)="","",INDEX(BookTotal,1138)*'5. Scenarios'!$C$6/(1+ProductivityDefault*('5. Scenarios'!$C$11-1)))</f>
        <v/>
      </c>
      <c r="J1143" s="57" t="str">
        <f aca="false">IF($I1143="","",INDEX(BookRate,1138)*(1+'5. Scenarios'!$C$10)*$I1143)</f>
        <v/>
      </c>
      <c r="K1143" s="57" t="str">
        <f aca="false">IF($J1143="","",SUMIFS($J$6:$J$2405,$A$6:$A$2405,"&lt;="&amp;$A1143))</f>
        <v/>
      </c>
      <c r="L1143" s="57" t="str">
        <f aca="false">IF($J1143="","",IF($K1143&lt;=BankCostEnvelope*'5. Scenarios'!$C$7,1,0))</f>
        <v/>
      </c>
      <c r="M1143" s="57" t="str">
        <f aca="false">IF($I1143="","",INDEX(BookRate,1138)*(1+'5. Scenarios'!$C$10)*(INDEX(BookQ1,1138)*(5-MIN(4,1+'5. Scenarios'!$C$8))/4+INDEX(BookQ2,1138)*(5-MIN(4,2+'5. Scenarios'!$C$8))/4+INDEX(BookQ3,1138)*(5-MIN(4,3+'5. Scenarios'!$C$8))/4+INDEX(BookQ4,1138)*(5-MIN(4,4+'5. Scenarios'!$C$8))/4)*'5. Scenarios'!$C$6/(1+ProductivityDefault*('5. Scenarios'!$C$11-1))+INDEX(BookOneOff,1138)*$I1143)</f>
        <v/>
      </c>
      <c r="N1143" s="56" t="str">
        <f aca="false">IF(INDEX(BookTitle,1138)="","",INDEX(BookTotal,1138)*'5. Scenarios'!$D$6/(1+ProductivityDefault*('5. Scenarios'!$D$11-1)))</f>
        <v/>
      </c>
      <c r="O1143" s="57" t="str">
        <f aca="false">IF($N1143="","",INDEX(BookRate,1138)*(1+'5. Scenarios'!$D$10)*$N1143)</f>
        <v/>
      </c>
      <c r="P1143" s="57" t="str">
        <f aca="false">IF($O1143="","",SUMIFS($O$6:$O$2405,$A$6:$A$2405,"&lt;="&amp;$A1143))</f>
        <v/>
      </c>
      <c r="Q1143" s="57" t="str">
        <f aca="false">IF($O1143="","",IF($P1143&lt;=BankCostEnvelope*'5. Scenarios'!$D$7,1,0))</f>
        <v/>
      </c>
      <c r="R1143" s="57" t="str">
        <f aca="false">IF($N1143="","",INDEX(BookRate,1138)*(1+'5. Scenarios'!$D$10)*(INDEX(BookQ1,1138)*(5-MIN(4,1+'5. Scenarios'!$D$8))/4+INDEX(BookQ2,1138)*(5-MIN(4,2+'5. Scenarios'!$D$8))/4+INDEX(BookQ3,1138)*(5-MIN(4,3+'5. Scenarios'!$D$8))/4+INDEX(BookQ4,1138)*(5-MIN(4,4+'5. Scenarios'!$D$8))/4)*'5. Scenarios'!$D$6/(1+ProductivityDefault*('5. Scenarios'!$D$11-1))+INDEX(BookOneOff,1138)*$N1143)</f>
        <v/>
      </c>
      <c r="S1143" s="56" t="str">
        <f aca="false">IF(INDEX(BookTitle,1138)="","",INDEX(BookTotal,1138)*'5. Scenarios'!$E$6/(1+ProductivityDefault*('5. Scenarios'!$E$11-1)))</f>
        <v/>
      </c>
      <c r="T1143" s="57" t="str">
        <f aca="false">IF($S1143="","",INDEX(BookRate,1138)*(1+'5. Scenarios'!$E$10)*$S1143)</f>
        <v/>
      </c>
      <c r="U1143" s="57" t="str">
        <f aca="false">IF($T1143="","",SUMIFS($T$6:$T$2405,$A$6:$A$2405,"&lt;="&amp;$A1143))</f>
        <v/>
      </c>
      <c r="V1143" s="57" t="str">
        <f aca="false">IF($T1143="","",IF($U1143&lt;=BankCostEnvelope*'5. Scenarios'!$E$7,1,0))</f>
        <v/>
      </c>
      <c r="W1143" s="57" t="str">
        <f aca="false">IF($S1143="","",INDEX(BookRate,1138)*(1+'5. Scenarios'!$E$10)*(INDEX(BookQ1,1138)*(5-MIN(4,1+'5. Scenarios'!$E$8))/4+INDEX(BookQ2,1138)*(5-MIN(4,2+'5. Scenarios'!$E$8))/4+INDEX(BookQ3,1138)*(5-MIN(4,3+'5. Scenarios'!$E$8))/4+INDEX(BookQ4,1138)*(5-MIN(4,4+'5. Scenarios'!$E$8))/4)*'5. Scenarios'!$E$6/(1+ProductivityDefault*('5. Scenarios'!$E$11-1))+INDEX(BookOneOff,1138)*$S1143)</f>
        <v/>
      </c>
    </row>
    <row r="1144" customFormat="false" ht="15" hidden="false" customHeight="false" outlineLevel="0" collapsed="false">
      <c r="A1144" s="0" t="str">
        <f aca="false">IF(INDEX(BookTitle,1139)="","",INDEX(BookKey,1139))</f>
        <v/>
      </c>
      <c r="B1144" s="0" t="str">
        <f aca="false">IF(INDEX(BookTitle,1139)="","",INDEX(BookGroup,1139))</f>
        <v/>
      </c>
      <c r="C1144" s="0" t="str">
        <f aca="false">IF(INDEX(BookTitle,1139)="","",INDEX(BookCategory,1139))</f>
        <v/>
      </c>
      <c r="D1144" s="56" t="str">
        <f aca="false">IF(INDEX(BookTitle,1139)="","",INDEX(BookTotal,1139)*'5. Scenarios'!$B$6/(1+ProductivityDefault*('5. Scenarios'!$B$11-1)))</f>
        <v/>
      </c>
      <c r="E1144" s="57" t="str">
        <f aca="false">IF($D1144="","",INDEX(BookRate,1139)*(1+'5. Scenarios'!$B$10)*$D1144)</f>
        <v/>
      </c>
      <c r="F1144" s="57" t="str">
        <f aca="false">IF($E1144="","",SUMIFS($E$6:$E$2405,$A$6:$A$2405,"&lt;="&amp;$A1144))</f>
        <v/>
      </c>
      <c r="G1144" s="57" t="str">
        <f aca="false">IF($E1144="","",IF($F1144&lt;=BankCostEnvelope*'5. Scenarios'!$B$7,1,0))</f>
        <v/>
      </c>
      <c r="H1144" s="57" t="str">
        <f aca="false">IF($D1144="","",INDEX(BookRate,1139)*(1+'5. Scenarios'!$B$10)*(INDEX(BookQ1,1139)*(5-MIN(4,1+'5. Scenarios'!$B$8))/4+INDEX(BookQ2,1139)*(5-MIN(4,2+'5. Scenarios'!$B$8))/4+INDEX(BookQ3,1139)*(5-MIN(4,3+'5. Scenarios'!$B$8))/4+INDEX(BookQ4,1139)*(5-MIN(4,4+'5. Scenarios'!$B$8))/4)*'5. Scenarios'!$B$6/(1+ProductivityDefault*('5. Scenarios'!$B$11-1))+INDEX(BookOneOff,1139)*$D1144)</f>
        <v/>
      </c>
      <c r="I1144" s="56" t="str">
        <f aca="false">IF(INDEX(BookTitle,1139)="","",INDEX(BookTotal,1139)*'5. Scenarios'!$C$6/(1+ProductivityDefault*('5. Scenarios'!$C$11-1)))</f>
        <v/>
      </c>
      <c r="J1144" s="57" t="str">
        <f aca="false">IF($I1144="","",INDEX(BookRate,1139)*(1+'5. Scenarios'!$C$10)*$I1144)</f>
        <v/>
      </c>
      <c r="K1144" s="57" t="str">
        <f aca="false">IF($J1144="","",SUMIFS($J$6:$J$2405,$A$6:$A$2405,"&lt;="&amp;$A1144))</f>
        <v/>
      </c>
      <c r="L1144" s="57" t="str">
        <f aca="false">IF($J1144="","",IF($K1144&lt;=BankCostEnvelope*'5. Scenarios'!$C$7,1,0))</f>
        <v/>
      </c>
      <c r="M1144" s="57" t="str">
        <f aca="false">IF($I1144="","",INDEX(BookRate,1139)*(1+'5. Scenarios'!$C$10)*(INDEX(BookQ1,1139)*(5-MIN(4,1+'5. Scenarios'!$C$8))/4+INDEX(BookQ2,1139)*(5-MIN(4,2+'5. Scenarios'!$C$8))/4+INDEX(BookQ3,1139)*(5-MIN(4,3+'5. Scenarios'!$C$8))/4+INDEX(BookQ4,1139)*(5-MIN(4,4+'5. Scenarios'!$C$8))/4)*'5. Scenarios'!$C$6/(1+ProductivityDefault*('5. Scenarios'!$C$11-1))+INDEX(BookOneOff,1139)*$I1144)</f>
        <v/>
      </c>
      <c r="N1144" s="56" t="str">
        <f aca="false">IF(INDEX(BookTitle,1139)="","",INDEX(BookTotal,1139)*'5. Scenarios'!$D$6/(1+ProductivityDefault*('5. Scenarios'!$D$11-1)))</f>
        <v/>
      </c>
      <c r="O1144" s="57" t="str">
        <f aca="false">IF($N1144="","",INDEX(BookRate,1139)*(1+'5. Scenarios'!$D$10)*$N1144)</f>
        <v/>
      </c>
      <c r="P1144" s="57" t="str">
        <f aca="false">IF($O1144="","",SUMIFS($O$6:$O$2405,$A$6:$A$2405,"&lt;="&amp;$A1144))</f>
        <v/>
      </c>
      <c r="Q1144" s="57" t="str">
        <f aca="false">IF($O1144="","",IF($P1144&lt;=BankCostEnvelope*'5. Scenarios'!$D$7,1,0))</f>
        <v/>
      </c>
      <c r="R1144" s="57" t="str">
        <f aca="false">IF($N1144="","",INDEX(BookRate,1139)*(1+'5. Scenarios'!$D$10)*(INDEX(BookQ1,1139)*(5-MIN(4,1+'5. Scenarios'!$D$8))/4+INDEX(BookQ2,1139)*(5-MIN(4,2+'5. Scenarios'!$D$8))/4+INDEX(BookQ3,1139)*(5-MIN(4,3+'5. Scenarios'!$D$8))/4+INDEX(BookQ4,1139)*(5-MIN(4,4+'5. Scenarios'!$D$8))/4)*'5. Scenarios'!$D$6/(1+ProductivityDefault*('5. Scenarios'!$D$11-1))+INDEX(BookOneOff,1139)*$N1144)</f>
        <v/>
      </c>
      <c r="S1144" s="56" t="str">
        <f aca="false">IF(INDEX(BookTitle,1139)="","",INDEX(BookTotal,1139)*'5. Scenarios'!$E$6/(1+ProductivityDefault*('5. Scenarios'!$E$11-1)))</f>
        <v/>
      </c>
      <c r="T1144" s="57" t="str">
        <f aca="false">IF($S1144="","",INDEX(BookRate,1139)*(1+'5. Scenarios'!$E$10)*$S1144)</f>
        <v/>
      </c>
      <c r="U1144" s="57" t="str">
        <f aca="false">IF($T1144="","",SUMIFS($T$6:$T$2405,$A$6:$A$2405,"&lt;="&amp;$A1144))</f>
        <v/>
      </c>
      <c r="V1144" s="57" t="str">
        <f aca="false">IF($T1144="","",IF($U1144&lt;=BankCostEnvelope*'5. Scenarios'!$E$7,1,0))</f>
        <v/>
      </c>
      <c r="W1144" s="57" t="str">
        <f aca="false">IF($S1144="","",INDEX(BookRate,1139)*(1+'5. Scenarios'!$E$10)*(INDEX(BookQ1,1139)*(5-MIN(4,1+'5. Scenarios'!$E$8))/4+INDEX(BookQ2,1139)*(5-MIN(4,2+'5. Scenarios'!$E$8))/4+INDEX(BookQ3,1139)*(5-MIN(4,3+'5. Scenarios'!$E$8))/4+INDEX(BookQ4,1139)*(5-MIN(4,4+'5. Scenarios'!$E$8))/4)*'5. Scenarios'!$E$6/(1+ProductivityDefault*('5. Scenarios'!$E$11-1))+INDEX(BookOneOff,1139)*$S1144)</f>
        <v/>
      </c>
    </row>
    <row r="1145" customFormat="false" ht="15" hidden="false" customHeight="false" outlineLevel="0" collapsed="false">
      <c r="A1145" s="0" t="str">
        <f aca="false">IF(INDEX(BookTitle,1140)="","",INDEX(BookKey,1140))</f>
        <v/>
      </c>
      <c r="B1145" s="0" t="str">
        <f aca="false">IF(INDEX(BookTitle,1140)="","",INDEX(BookGroup,1140))</f>
        <v/>
      </c>
      <c r="C1145" s="0" t="str">
        <f aca="false">IF(INDEX(BookTitle,1140)="","",INDEX(BookCategory,1140))</f>
        <v/>
      </c>
      <c r="D1145" s="56" t="str">
        <f aca="false">IF(INDEX(BookTitle,1140)="","",INDEX(BookTotal,1140)*'5. Scenarios'!$B$6/(1+ProductivityDefault*('5. Scenarios'!$B$11-1)))</f>
        <v/>
      </c>
      <c r="E1145" s="57" t="str">
        <f aca="false">IF($D1145="","",INDEX(BookRate,1140)*(1+'5. Scenarios'!$B$10)*$D1145)</f>
        <v/>
      </c>
      <c r="F1145" s="57" t="str">
        <f aca="false">IF($E1145="","",SUMIFS($E$6:$E$2405,$A$6:$A$2405,"&lt;="&amp;$A1145))</f>
        <v/>
      </c>
      <c r="G1145" s="57" t="str">
        <f aca="false">IF($E1145="","",IF($F1145&lt;=BankCostEnvelope*'5. Scenarios'!$B$7,1,0))</f>
        <v/>
      </c>
      <c r="H1145" s="57" t="str">
        <f aca="false">IF($D1145="","",INDEX(BookRate,1140)*(1+'5. Scenarios'!$B$10)*(INDEX(BookQ1,1140)*(5-MIN(4,1+'5. Scenarios'!$B$8))/4+INDEX(BookQ2,1140)*(5-MIN(4,2+'5. Scenarios'!$B$8))/4+INDEX(BookQ3,1140)*(5-MIN(4,3+'5. Scenarios'!$B$8))/4+INDEX(BookQ4,1140)*(5-MIN(4,4+'5. Scenarios'!$B$8))/4)*'5. Scenarios'!$B$6/(1+ProductivityDefault*('5. Scenarios'!$B$11-1))+INDEX(BookOneOff,1140)*$D1145)</f>
        <v/>
      </c>
      <c r="I1145" s="56" t="str">
        <f aca="false">IF(INDEX(BookTitle,1140)="","",INDEX(BookTotal,1140)*'5. Scenarios'!$C$6/(1+ProductivityDefault*('5. Scenarios'!$C$11-1)))</f>
        <v/>
      </c>
      <c r="J1145" s="57" t="str">
        <f aca="false">IF($I1145="","",INDEX(BookRate,1140)*(1+'5. Scenarios'!$C$10)*$I1145)</f>
        <v/>
      </c>
      <c r="K1145" s="57" t="str">
        <f aca="false">IF($J1145="","",SUMIFS($J$6:$J$2405,$A$6:$A$2405,"&lt;="&amp;$A1145))</f>
        <v/>
      </c>
      <c r="L1145" s="57" t="str">
        <f aca="false">IF($J1145="","",IF($K1145&lt;=BankCostEnvelope*'5. Scenarios'!$C$7,1,0))</f>
        <v/>
      </c>
      <c r="M1145" s="57" t="str">
        <f aca="false">IF($I1145="","",INDEX(BookRate,1140)*(1+'5. Scenarios'!$C$10)*(INDEX(BookQ1,1140)*(5-MIN(4,1+'5. Scenarios'!$C$8))/4+INDEX(BookQ2,1140)*(5-MIN(4,2+'5. Scenarios'!$C$8))/4+INDEX(BookQ3,1140)*(5-MIN(4,3+'5. Scenarios'!$C$8))/4+INDEX(BookQ4,1140)*(5-MIN(4,4+'5. Scenarios'!$C$8))/4)*'5. Scenarios'!$C$6/(1+ProductivityDefault*('5. Scenarios'!$C$11-1))+INDEX(BookOneOff,1140)*$I1145)</f>
        <v/>
      </c>
      <c r="N1145" s="56" t="str">
        <f aca="false">IF(INDEX(BookTitle,1140)="","",INDEX(BookTotal,1140)*'5. Scenarios'!$D$6/(1+ProductivityDefault*('5. Scenarios'!$D$11-1)))</f>
        <v/>
      </c>
      <c r="O1145" s="57" t="str">
        <f aca="false">IF($N1145="","",INDEX(BookRate,1140)*(1+'5. Scenarios'!$D$10)*$N1145)</f>
        <v/>
      </c>
      <c r="P1145" s="57" t="str">
        <f aca="false">IF($O1145="","",SUMIFS($O$6:$O$2405,$A$6:$A$2405,"&lt;="&amp;$A1145))</f>
        <v/>
      </c>
      <c r="Q1145" s="57" t="str">
        <f aca="false">IF($O1145="","",IF($P1145&lt;=BankCostEnvelope*'5. Scenarios'!$D$7,1,0))</f>
        <v/>
      </c>
      <c r="R1145" s="57" t="str">
        <f aca="false">IF($N1145="","",INDEX(BookRate,1140)*(1+'5. Scenarios'!$D$10)*(INDEX(BookQ1,1140)*(5-MIN(4,1+'5. Scenarios'!$D$8))/4+INDEX(BookQ2,1140)*(5-MIN(4,2+'5. Scenarios'!$D$8))/4+INDEX(BookQ3,1140)*(5-MIN(4,3+'5. Scenarios'!$D$8))/4+INDEX(BookQ4,1140)*(5-MIN(4,4+'5. Scenarios'!$D$8))/4)*'5. Scenarios'!$D$6/(1+ProductivityDefault*('5. Scenarios'!$D$11-1))+INDEX(BookOneOff,1140)*$N1145)</f>
        <v/>
      </c>
      <c r="S1145" s="56" t="str">
        <f aca="false">IF(INDEX(BookTitle,1140)="","",INDEX(BookTotal,1140)*'5. Scenarios'!$E$6/(1+ProductivityDefault*('5. Scenarios'!$E$11-1)))</f>
        <v/>
      </c>
      <c r="T1145" s="57" t="str">
        <f aca="false">IF($S1145="","",INDEX(BookRate,1140)*(1+'5. Scenarios'!$E$10)*$S1145)</f>
        <v/>
      </c>
      <c r="U1145" s="57" t="str">
        <f aca="false">IF($T1145="","",SUMIFS($T$6:$T$2405,$A$6:$A$2405,"&lt;="&amp;$A1145))</f>
        <v/>
      </c>
      <c r="V1145" s="57" t="str">
        <f aca="false">IF($T1145="","",IF($U1145&lt;=BankCostEnvelope*'5. Scenarios'!$E$7,1,0))</f>
        <v/>
      </c>
      <c r="W1145" s="57" t="str">
        <f aca="false">IF($S1145="","",INDEX(BookRate,1140)*(1+'5. Scenarios'!$E$10)*(INDEX(BookQ1,1140)*(5-MIN(4,1+'5. Scenarios'!$E$8))/4+INDEX(BookQ2,1140)*(5-MIN(4,2+'5. Scenarios'!$E$8))/4+INDEX(BookQ3,1140)*(5-MIN(4,3+'5. Scenarios'!$E$8))/4+INDEX(BookQ4,1140)*(5-MIN(4,4+'5. Scenarios'!$E$8))/4)*'5. Scenarios'!$E$6/(1+ProductivityDefault*('5. Scenarios'!$E$11-1))+INDEX(BookOneOff,1140)*$S1145)</f>
        <v/>
      </c>
    </row>
    <row r="1146" customFormat="false" ht="15" hidden="false" customHeight="false" outlineLevel="0" collapsed="false">
      <c r="A1146" s="0" t="str">
        <f aca="false">IF(INDEX(BookTitle,1141)="","",INDEX(BookKey,1141))</f>
        <v/>
      </c>
      <c r="B1146" s="0" t="str">
        <f aca="false">IF(INDEX(BookTitle,1141)="","",INDEX(BookGroup,1141))</f>
        <v/>
      </c>
      <c r="C1146" s="0" t="str">
        <f aca="false">IF(INDEX(BookTitle,1141)="","",INDEX(BookCategory,1141))</f>
        <v/>
      </c>
      <c r="D1146" s="56" t="str">
        <f aca="false">IF(INDEX(BookTitle,1141)="","",INDEX(BookTotal,1141)*'5. Scenarios'!$B$6/(1+ProductivityDefault*('5. Scenarios'!$B$11-1)))</f>
        <v/>
      </c>
      <c r="E1146" s="57" t="str">
        <f aca="false">IF($D1146="","",INDEX(BookRate,1141)*(1+'5. Scenarios'!$B$10)*$D1146)</f>
        <v/>
      </c>
      <c r="F1146" s="57" t="str">
        <f aca="false">IF($E1146="","",SUMIFS($E$6:$E$2405,$A$6:$A$2405,"&lt;="&amp;$A1146))</f>
        <v/>
      </c>
      <c r="G1146" s="57" t="str">
        <f aca="false">IF($E1146="","",IF($F1146&lt;=BankCostEnvelope*'5. Scenarios'!$B$7,1,0))</f>
        <v/>
      </c>
      <c r="H1146" s="57" t="str">
        <f aca="false">IF($D1146="","",INDEX(BookRate,1141)*(1+'5. Scenarios'!$B$10)*(INDEX(BookQ1,1141)*(5-MIN(4,1+'5. Scenarios'!$B$8))/4+INDEX(BookQ2,1141)*(5-MIN(4,2+'5. Scenarios'!$B$8))/4+INDEX(BookQ3,1141)*(5-MIN(4,3+'5. Scenarios'!$B$8))/4+INDEX(BookQ4,1141)*(5-MIN(4,4+'5. Scenarios'!$B$8))/4)*'5. Scenarios'!$B$6/(1+ProductivityDefault*('5. Scenarios'!$B$11-1))+INDEX(BookOneOff,1141)*$D1146)</f>
        <v/>
      </c>
      <c r="I1146" s="56" t="str">
        <f aca="false">IF(INDEX(BookTitle,1141)="","",INDEX(BookTotal,1141)*'5. Scenarios'!$C$6/(1+ProductivityDefault*('5. Scenarios'!$C$11-1)))</f>
        <v/>
      </c>
      <c r="J1146" s="57" t="str">
        <f aca="false">IF($I1146="","",INDEX(BookRate,1141)*(1+'5. Scenarios'!$C$10)*$I1146)</f>
        <v/>
      </c>
      <c r="K1146" s="57" t="str">
        <f aca="false">IF($J1146="","",SUMIFS($J$6:$J$2405,$A$6:$A$2405,"&lt;="&amp;$A1146))</f>
        <v/>
      </c>
      <c r="L1146" s="57" t="str">
        <f aca="false">IF($J1146="","",IF($K1146&lt;=BankCostEnvelope*'5. Scenarios'!$C$7,1,0))</f>
        <v/>
      </c>
      <c r="M1146" s="57" t="str">
        <f aca="false">IF($I1146="","",INDEX(BookRate,1141)*(1+'5. Scenarios'!$C$10)*(INDEX(BookQ1,1141)*(5-MIN(4,1+'5. Scenarios'!$C$8))/4+INDEX(BookQ2,1141)*(5-MIN(4,2+'5. Scenarios'!$C$8))/4+INDEX(BookQ3,1141)*(5-MIN(4,3+'5. Scenarios'!$C$8))/4+INDEX(BookQ4,1141)*(5-MIN(4,4+'5. Scenarios'!$C$8))/4)*'5. Scenarios'!$C$6/(1+ProductivityDefault*('5. Scenarios'!$C$11-1))+INDEX(BookOneOff,1141)*$I1146)</f>
        <v/>
      </c>
      <c r="N1146" s="56" t="str">
        <f aca="false">IF(INDEX(BookTitle,1141)="","",INDEX(BookTotal,1141)*'5. Scenarios'!$D$6/(1+ProductivityDefault*('5. Scenarios'!$D$11-1)))</f>
        <v/>
      </c>
      <c r="O1146" s="57" t="str">
        <f aca="false">IF($N1146="","",INDEX(BookRate,1141)*(1+'5. Scenarios'!$D$10)*$N1146)</f>
        <v/>
      </c>
      <c r="P1146" s="57" t="str">
        <f aca="false">IF($O1146="","",SUMIFS($O$6:$O$2405,$A$6:$A$2405,"&lt;="&amp;$A1146))</f>
        <v/>
      </c>
      <c r="Q1146" s="57" t="str">
        <f aca="false">IF($O1146="","",IF($P1146&lt;=BankCostEnvelope*'5. Scenarios'!$D$7,1,0))</f>
        <v/>
      </c>
      <c r="R1146" s="57" t="str">
        <f aca="false">IF($N1146="","",INDEX(BookRate,1141)*(1+'5. Scenarios'!$D$10)*(INDEX(BookQ1,1141)*(5-MIN(4,1+'5. Scenarios'!$D$8))/4+INDEX(BookQ2,1141)*(5-MIN(4,2+'5. Scenarios'!$D$8))/4+INDEX(BookQ3,1141)*(5-MIN(4,3+'5. Scenarios'!$D$8))/4+INDEX(BookQ4,1141)*(5-MIN(4,4+'5. Scenarios'!$D$8))/4)*'5. Scenarios'!$D$6/(1+ProductivityDefault*('5. Scenarios'!$D$11-1))+INDEX(BookOneOff,1141)*$N1146)</f>
        <v/>
      </c>
      <c r="S1146" s="56" t="str">
        <f aca="false">IF(INDEX(BookTitle,1141)="","",INDEX(BookTotal,1141)*'5. Scenarios'!$E$6/(1+ProductivityDefault*('5. Scenarios'!$E$11-1)))</f>
        <v/>
      </c>
      <c r="T1146" s="57" t="str">
        <f aca="false">IF($S1146="","",INDEX(BookRate,1141)*(1+'5. Scenarios'!$E$10)*$S1146)</f>
        <v/>
      </c>
      <c r="U1146" s="57" t="str">
        <f aca="false">IF($T1146="","",SUMIFS($T$6:$T$2405,$A$6:$A$2405,"&lt;="&amp;$A1146))</f>
        <v/>
      </c>
      <c r="V1146" s="57" t="str">
        <f aca="false">IF($T1146="","",IF($U1146&lt;=BankCostEnvelope*'5. Scenarios'!$E$7,1,0))</f>
        <v/>
      </c>
      <c r="W1146" s="57" t="str">
        <f aca="false">IF($S1146="","",INDEX(BookRate,1141)*(1+'5. Scenarios'!$E$10)*(INDEX(BookQ1,1141)*(5-MIN(4,1+'5. Scenarios'!$E$8))/4+INDEX(BookQ2,1141)*(5-MIN(4,2+'5. Scenarios'!$E$8))/4+INDEX(BookQ3,1141)*(5-MIN(4,3+'5. Scenarios'!$E$8))/4+INDEX(BookQ4,1141)*(5-MIN(4,4+'5. Scenarios'!$E$8))/4)*'5. Scenarios'!$E$6/(1+ProductivityDefault*('5. Scenarios'!$E$11-1))+INDEX(BookOneOff,1141)*$S1146)</f>
        <v/>
      </c>
    </row>
    <row r="1147" customFormat="false" ht="15" hidden="false" customHeight="false" outlineLevel="0" collapsed="false">
      <c r="A1147" s="0" t="str">
        <f aca="false">IF(INDEX(BookTitle,1142)="","",INDEX(BookKey,1142))</f>
        <v/>
      </c>
      <c r="B1147" s="0" t="str">
        <f aca="false">IF(INDEX(BookTitle,1142)="","",INDEX(BookGroup,1142))</f>
        <v/>
      </c>
      <c r="C1147" s="0" t="str">
        <f aca="false">IF(INDEX(BookTitle,1142)="","",INDEX(BookCategory,1142))</f>
        <v/>
      </c>
      <c r="D1147" s="56" t="str">
        <f aca="false">IF(INDEX(BookTitle,1142)="","",INDEX(BookTotal,1142)*'5. Scenarios'!$B$6/(1+ProductivityDefault*('5. Scenarios'!$B$11-1)))</f>
        <v/>
      </c>
      <c r="E1147" s="57" t="str">
        <f aca="false">IF($D1147="","",INDEX(BookRate,1142)*(1+'5. Scenarios'!$B$10)*$D1147)</f>
        <v/>
      </c>
      <c r="F1147" s="57" t="str">
        <f aca="false">IF($E1147="","",SUMIFS($E$6:$E$2405,$A$6:$A$2405,"&lt;="&amp;$A1147))</f>
        <v/>
      </c>
      <c r="G1147" s="57" t="str">
        <f aca="false">IF($E1147="","",IF($F1147&lt;=BankCostEnvelope*'5. Scenarios'!$B$7,1,0))</f>
        <v/>
      </c>
      <c r="H1147" s="57" t="str">
        <f aca="false">IF($D1147="","",INDEX(BookRate,1142)*(1+'5. Scenarios'!$B$10)*(INDEX(BookQ1,1142)*(5-MIN(4,1+'5. Scenarios'!$B$8))/4+INDEX(BookQ2,1142)*(5-MIN(4,2+'5. Scenarios'!$B$8))/4+INDEX(BookQ3,1142)*(5-MIN(4,3+'5. Scenarios'!$B$8))/4+INDEX(BookQ4,1142)*(5-MIN(4,4+'5. Scenarios'!$B$8))/4)*'5. Scenarios'!$B$6/(1+ProductivityDefault*('5. Scenarios'!$B$11-1))+INDEX(BookOneOff,1142)*$D1147)</f>
        <v/>
      </c>
      <c r="I1147" s="56" t="str">
        <f aca="false">IF(INDEX(BookTitle,1142)="","",INDEX(BookTotal,1142)*'5. Scenarios'!$C$6/(1+ProductivityDefault*('5. Scenarios'!$C$11-1)))</f>
        <v/>
      </c>
      <c r="J1147" s="57" t="str">
        <f aca="false">IF($I1147="","",INDEX(BookRate,1142)*(1+'5. Scenarios'!$C$10)*$I1147)</f>
        <v/>
      </c>
      <c r="K1147" s="57" t="str">
        <f aca="false">IF($J1147="","",SUMIFS($J$6:$J$2405,$A$6:$A$2405,"&lt;="&amp;$A1147))</f>
        <v/>
      </c>
      <c r="L1147" s="57" t="str">
        <f aca="false">IF($J1147="","",IF($K1147&lt;=BankCostEnvelope*'5. Scenarios'!$C$7,1,0))</f>
        <v/>
      </c>
      <c r="M1147" s="57" t="str">
        <f aca="false">IF($I1147="","",INDEX(BookRate,1142)*(1+'5. Scenarios'!$C$10)*(INDEX(BookQ1,1142)*(5-MIN(4,1+'5. Scenarios'!$C$8))/4+INDEX(BookQ2,1142)*(5-MIN(4,2+'5. Scenarios'!$C$8))/4+INDEX(BookQ3,1142)*(5-MIN(4,3+'5. Scenarios'!$C$8))/4+INDEX(BookQ4,1142)*(5-MIN(4,4+'5. Scenarios'!$C$8))/4)*'5. Scenarios'!$C$6/(1+ProductivityDefault*('5. Scenarios'!$C$11-1))+INDEX(BookOneOff,1142)*$I1147)</f>
        <v/>
      </c>
      <c r="N1147" s="56" t="str">
        <f aca="false">IF(INDEX(BookTitle,1142)="","",INDEX(BookTotal,1142)*'5. Scenarios'!$D$6/(1+ProductivityDefault*('5. Scenarios'!$D$11-1)))</f>
        <v/>
      </c>
      <c r="O1147" s="57" t="str">
        <f aca="false">IF($N1147="","",INDEX(BookRate,1142)*(1+'5. Scenarios'!$D$10)*$N1147)</f>
        <v/>
      </c>
      <c r="P1147" s="57" t="str">
        <f aca="false">IF($O1147="","",SUMIFS($O$6:$O$2405,$A$6:$A$2405,"&lt;="&amp;$A1147))</f>
        <v/>
      </c>
      <c r="Q1147" s="57" t="str">
        <f aca="false">IF($O1147="","",IF($P1147&lt;=BankCostEnvelope*'5. Scenarios'!$D$7,1,0))</f>
        <v/>
      </c>
      <c r="R1147" s="57" t="str">
        <f aca="false">IF($N1147="","",INDEX(BookRate,1142)*(1+'5. Scenarios'!$D$10)*(INDEX(BookQ1,1142)*(5-MIN(4,1+'5. Scenarios'!$D$8))/4+INDEX(BookQ2,1142)*(5-MIN(4,2+'5. Scenarios'!$D$8))/4+INDEX(BookQ3,1142)*(5-MIN(4,3+'5. Scenarios'!$D$8))/4+INDEX(BookQ4,1142)*(5-MIN(4,4+'5. Scenarios'!$D$8))/4)*'5. Scenarios'!$D$6/(1+ProductivityDefault*('5. Scenarios'!$D$11-1))+INDEX(BookOneOff,1142)*$N1147)</f>
        <v/>
      </c>
      <c r="S1147" s="56" t="str">
        <f aca="false">IF(INDEX(BookTitle,1142)="","",INDEX(BookTotal,1142)*'5. Scenarios'!$E$6/(1+ProductivityDefault*('5. Scenarios'!$E$11-1)))</f>
        <v/>
      </c>
      <c r="T1147" s="57" t="str">
        <f aca="false">IF($S1147="","",INDEX(BookRate,1142)*(1+'5. Scenarios'!$E$10)*$S1147)</f>
        <v/>
      </c>
      <c r="U1147" s="57" t="str">
        <f aca="false">IF($T1147="","",SUMIFS($T$6:$T$2405,$A$6:$A$2405,"&lt;="&amp;$A1147))</f>
        <v/>
      </c>
      <c r="V1147" s="57" t="str">
        <f aca="false">IF($T1147="","",IF($U1147&lt;=BankCostEnvelope*'5. Scenarios'!$E$7,1,0))</f>
        <v/>
      </c>
      <c r="W1147" s="57" t="str">
        <f aca="false">IF($S1147="","",INDEX(BookRate,1142)*(1+'5. Scenarios'!$E$10)*(INDEX(BookQ1,1142)*(5-MIN(4,1+'5. Scenarios'!$E$8))/4+INDEX(BookQ2,1142)*(5-MIN(4,2+'5. Scenarios'!$E$8))/4+INDEX(BookQ3,1142)*(5-MIN(4,3+'5. Scenarios'!$E$8))/4+INDEX(BookQ4,1142)*(5-MIN(4,4+'5. Scenarios'!$E$8))/4)*'5. Scenarios'!$E$6/(1+ProductivityDefault*('5. Scenarios'!$E$11-1))+INDEX(BookOneOff,1142)*$S1147)</f>
        <v/>
      </c>
    </row>
    <row r="1148" customFormat="false" ht="15" hidden="false" customHeight="false" outlineLevel="0" collapsed="false">
      <c r="A1148" s="0" t="str">
        <f aca="false">IF(INDEX(BookTitle,1143)="","",INDEX(BookKey,1143))</f>
        <v/>
      </c>
      <c r="B1148" s="0" t="str">
        <f aca="false">IF(INDEX(BookTitle,1143)="","",INDEX(BookGroup,1143))</f>
        <v/>
      </c>
      <c r="C1148" s="0" t="str">
        <f aca="false">IF(INDEX(BookTitle,1143)="","",INDEX(BookCategory,1143))</f>
        <v/>
      </c>
      <c r="D1148" s="56" t="str">
        <f aca="false">IF(INDEX(BookTitle,1143)="","",INDEX(BookTotal,1143)*'5. Scenarios'!$B$6/(1+ProductivityDefault*('5. Scenarios'!$B$11-1)))</f>
        <v/>
      </c>
      <c r="E1148" s="57" t="str">
        <f aca="false">IF($D1148="","",INDEX(BookRate,1143)*(1+'5. Scenarios'!$B$10)*$D1148)</f>
        <v/>
      </c>
      <c r="F1148" s="57" t="str">
        <f aca="false">IF($E1148="","",SUMIFS($E$6:$E$2405,$A$6:$A$2405,"&lt;="&amp;$A1148))</f>
        <v/>
      </c>
      <c r="G1148" s="57" t="str">
        <f aca="false">IF($E1148="","",IF($F1148&lt;=BankCostEnvelope*'5. Scenarios'!$B$7,1,0))</f>
        <v/>
      </c>
      <c r="H1148" s="57" t="str">
        <f aca="false">IF($D1148="","",INDEX(BookRate,1143)*(1+'5. Scenarios'!$B$10)*(INDEX(BookQ1,1143)*(5-MIN(4,1+'5. Scenarios'!$B$8))/4+INDEX(BookQ2,1143)*(5-MIN(4,2+'5. Scenarios'!$B$8))/4+INDEX(BookQ3,1143)*(5-MIN(4,3+'5. Scenarios'!$B$8))/4+INDEX(BookQ4,1143)*(5-MIN(4,4+'5. Scenarios'!$B$8))/4)*'5. Scenarios'!$B$6/(1+ProductivityDefault*('5. Scenarios'!$B$11-1))+INDEX(BookOneOff,1143)*$D1148)</f>
        <v/>
      </c>
      <c r="I1148" s="56" t="str">
        <f aca="false">IF(INDEX(BookTitle,1143)="","",INDEX(BookTotal,1143)*'5. Scenarios'!$C$6/(1+ProductivityDefault*('5. Scenarios'!$C$11-1)))</f>
        <v/>
      </c>
      <c r="J1148" s="57" t="str">
        <f aca="false">IF($I1148="","",INDEX(BookRate,1143)*(1+'5. Scenarios'!$C$10)*$I1148)</f>
        <v/>
      </c>
      <c r="K1148" s="57" t="str">
        <f aca="false">IF($J1148="","",SUMIFS($J$6:$J$2405,$A$6:$A$2405,"&lt;="&amp;$A1148))</f>
        <v/>
      </c>
      <c r="L1148" s="57" t="str">
        <f aca="false">IF($J1148="","",IF($K1148&lt;=BankCostEnvelope*'5. Scenarios'!$C$7,1,0))</f>
        <v/>
      </c>
      <c r="M1148" s="57" t="str">
        <f aca="false">IF($I1148="","",INDEX(BookRate,1143)*(1+'5. Scenarios'!$C$10)*(INDEX(BookQ1,1143)*(5-MIN(4,1+'5. Scenarios'!$C$8))/4+INDEX(BookQ2,1143)*(5-MIN(4,2+'5. Scenarios'!$C$8))/4+INDEX(BookQ3,1143)*(5-MIN(4,3+'5. Scenarios'!$C$8))/4+INDEX(BookQ4,1143)*(5-MIN(4,4+'5. Scenarios'!$C$8))/4)*'5. Scenarios'!$C$6/(1+ProductivityDefault*('5. Scenarios'!$C$11-1))+INDEX(BookOneOff,1143)*$I1148)</f>
        <v/>
      </c>
      <c r="N1148" s="56" t="str">
        <f aca="false">IF(INDEX(BookTitle,1143)="","",INDEX(BookTotal,1143)*'5. Scenarios'!$D$6/(1+ProductivityDefault*('5. Scenarios'!$D$11-1)))</f>
        <v/>
      </c>
      <c r="O1148" s="57" t="str">
        <f aca="false">IF($N1148="","",INDEX(BookRate,1143)*(1+'5. Scenarios'!$D$10)*$N1148)</f>
        <v/>
      </c>
      <c r="P1148" s="57" t="str">
        <f aca="false">IF($O1148="","",SUMIFS($O$6:$O$2405,$A$6:$A$2405,"&lt;="&amp;$A1148))</f>
        <v/>
      </c>
      <c r="Q1148" s="57" t="str">
        <f aca="false">IF($O1148="","",IF($P1148&lt;=BankCostEnvelope*'5. Scenarios'!$D$7,1,0))</f>
        <v/>
      </c>
      <c r="R1148" s="57" t="str">
        <f aca="false">IF($N1148="","",INDEX(BookRate,1143)*(1+'5. Scenarios'!$D$10)*(INDEX(BookQ1,1143)*(5-MIN(4,1+'5. Scenarios'!$D$8))/4+INDEX(BookQ2,1143)*(5-MIN(4,2+'5. Scenarios'!$D$8))/4+INDEX(BookQ3,1143)*(5-MIN(4,3+'5. Scenarios'!$D$8))/4+INDEX(BookQ4,1143)*(5-MIN(4,4+'5. Scenarios'!$D$8))/4)*'5. Scenarios'!$D$6/(1+ProductivityDefault*('5. Scenarios'!$D$11-1))+INDEX(BookOneOff,1143)*$N1148)</f>
        <v/>
      </c>
      <c r="S1148" s="56" t="str">
        <f aca="false">IF(INDEX(BookTitle,1143)="","",INDEX(BookTotal,1143)*'5. Scenarios'!$E$6/(1+ProductivityDefault*('5. Scenarios'!$E$11-1)))</f>
        <v/>
      </c>
      <c r="T1148" s="57" t="str">
        <f aca="false">IF($S1148="","",INDEX(BookRate,1143)*(1+'5. Scenarios'!$E$10)*$S1148)</f>
        <v/>
      </c>
      <c r="U1148" s="57" t="str">
        <f aca="false">IF($T1148="","",SUMIFS($T$6:$T$2405,$A$6:$A$2405,"&lt;="&amp;$A1148))</f>
        <v/>
      </c>
      <c r="V1148" s="57" t="str">
        <f aca="false">IF($T1148="","",IF($U1148&lt;=BankCostEnvelope*'5. Scenarios'!$E$7,1,0))</f>
        <v/>
      </c>
      <c r="W1148" s="57" t="str">
        <f aca="false">IF($S1148="","",INDEX(BookRate,1143)*(1+'5. Scenarios'!$E$10)*(INDEX(BookQ1,1143)*(5-MIN(4,1+'5. Scenarios'!$E$8))/4+INDEX(BookQ2,1143)*(5-MIN(4,2+'5. Scenarios'!$E$8))/4+INDEX(BookQ3,1143)*(5-MIN(4,3+'5. Scenarios'!$E$8))/4+INDEX(BookQ4,1143)*(5-MIN(4,4+'5. Scenarios'!$E$8))/4)*'5. Scenarios'!$E$6/(1+ProductivityDefault*('5. Scenarios'!$E$11-1))+INDEX(BookOneOff,1143)*$S1148)</f>
        <v/>
      </c>
    </row>
    <row r="1149" customFormat="false" ht="15" hidden="false" customHeight="false" outlineLevel="0" collapsed="false">
      <c r="A1149" s="0" t="str">
        <f aca="false">IF(INDEX(BookTitle,1144)="","",INDEX(BookKey,1144))</f>
        <v/>
      </c>
      <c r="B1149" s="0" t="str">
        <f aca="false">IF(INDEX(BookTitle,1144)="","",INDEX(BookGroup,1144))</f>
        <v/>
      </c>
      <c r="C1149" s="0" t="str">
        <f aca="false">IF(INDEX(BookTitle,1144)="","",INDEX(BookCategory,1144))</f>
        <v/>
      </c>
      <c r="D1149" s="56" t="str">
        <f aca="false">IF(INDEX(BookTitle,1144)="","",INDEX(BookTotal,1144)*'5. Scenarios'!$B$6/(1+ProductivityDefault*('5. Scenarios'!$B$11-1)))</f>
        <v/>
      </c>
      <c r="E1149" s="57" t="str">
        <f aca="false">IF($D1149="","",INDEX(BookRate,1144)*(1+'5. Scenarios'!$B$10)*$D1149)</f>
        <v/>
      </c>
      <c r="F1149" s="57" t="str">
        <f aca="false">IF($E1149="","",SUMIFS($E$6:$E$2405,$A$6:$A$2405,"&lt;="&amp;$A1149))</f>
        <v/>
      </c>
      <c r="G1149" s="57" t="str">
        <f aca="false">IF($E1149="","",IF($F1149&lt;=BankCostEnvelope*'5. Scenarios'!$B$7,1,0))</f>
        <v/>
      </c>
      <c r="H1149" s="57" t="str">
        <f aca="false">IF($D1149="","",INDEX(BookRate,1144)*(1+'5. Scenarios'!$B$10)*(INDEX(BookQ1,1144)*(5-MIN(4,1+'5. Scenarios'!$B$8))/4+INDEX(BookQ2,1144)*(5-MIN(4,2+'5. Scenarios'!$B$8))/4+INDEX(BookQ3,1144)*(5-MIN(4,3+'5. Scenarios'!$B$8))/4+INDEX(BookQ4,1144)*(5-MIN(4,4+'5. Scenarios'!$B$8))/4)*'5. Scenarios'!$B$6/(1+ProductivityDefault*('5. Scenarios'!$B$11-1))+INDEX(BookOneOff,1144)*$D1149)</f>
        <v/>
      </c>
      <c r="I1149" s="56" t="str">
        <f aca="false">IF(INDEX(BookTitle,1144)="","",INDEX(BookTotal,1144)*'5. Scenarios'!$C$6/(1+ProductivityDefault*('5. Scenarios'!$C$11-1)))</f>
        <v/>
      </c>
      <c r="J1149" s="57" t="str">
        <f aca="false">IF($I1149="","",INDEX(BookRate,1144)*(1+'5. Scenarios'!$C$10)*$I1149)</f>
        <v/>
      </c>
      <c r="K1149" s="57" t="str">
        <f aca="false">IF($J1149="","",SUMIFS($J$6:$J$2405,$A$6:$A$2405,"&lt;="&amp;$A1149))</f>
        <v/>
      </c>
      <c r="L1149" s="57" t="str">
        <f aca="false">IF($J1149="","",IF($K1149&lt;=BankCostEnvelope*'5. Scenarios'!$C$7,1,0))</f>
        <v/>
      </c>
      <c r="M1149" s="57" t="str">
        <f aca="false">IF($I1149="","",INDEX(BookRate,1144)*(1+'5. Scenarios'!$C$10)*(INDEX(BookQ1,1144)*(5-MIN(4,1+'5. Scenarios'!$C$8))/4+INDEX(BookQ2,1144)*(5-MIN(4,2+'5. Scenarios'!$C$8))/4+INDEX(BookQ3,1144)*(5-MIN(4,3+'5. Scenarios'!$C$8))/4+INDEX(BookQ4,1144)*(5-MIN(4,4+'5. Scenarios'!$C$8))/4)*'5. Scenarios'!$C$6/(1+ProductivityDefault*('5. Scenarios'!$C$11-1))+INDEX(BookOneOff,1144)*$I1149)</f>
        <v/>
      </c>
      <c r="N1149" s="56" t="str">
        <f aca="false">IF(INDEX(BookTitle,1144)="","",INDEX(BookTotal,1144)*'5. Scenarios'!$D$6/(1+ProductivityDefault*('5. Scenarios'!$D$11-1)))</f>
        <v/>
      </c>
      <c r="O1149" s="57" t="str">
        <f aca="false">IF($N1149="","",INDEX(BookRate,1144)*(1+'5. Scenarios'!$D$10)*$N1149)</f>
        <v/>
      </c>
      <c r="P1149" s="57" t="str">
        <f aca="false">IF($O1149="","",SUMIFS($O$6:$O$2405,$A$6:$A$2405,"&lt;="&amp;$A1149))</f>
        <v/>
      </c>
      <c r="Q1149" s="57" t="str">
        <f aca="false">IF($O1149="","",IF($P1149&lt;=BankCostEnvelope*'5. Scenarios'!$D$7,1,0))</f>
        <v/>
      </c>
      <c r="R1149" s="57" t="str">
        <f aca="false">IF($N1149="","",INDEX(BookRate,1144)*(1+'5. Scenarios'!$D$10)*(INDEX(BookQ1,1144)*(5-MIN(4,1+'5. Scenarios'!$D$8))/4+INDEX(BookQ2,1144)*(5-MIN(4,2+'5. Scenarios'!$D$8))/4+INDEX(BookQ3,1144)*(5-MIN(4,3+'5. Scenarios'!$D$8))/4+INDEX(BookQ4,1144)*(5-MIN(4,4+'5. Scenarios'!$D$8))/4)*'5. Scenarios'!$D$6/(1+ProductivityDefault*('5. Scenarios'!$D$11-1))+INDEX(BookOneOff,1144)*$N1149)</f>
        <v/>
      </c>
      <c r="S1149" s="56" t="str">
        <f aca="false">IF(INDEX(BookTitle,1144)="","",INDEX(BookTotal,1144)*'5. Scenarios'!$E$6/(1+ProductivityDefault*('5. Scenarios'!$E$11-1)))</f>
        <v/>
      </c>
      <c r="T1149" s="57" t="str">
        <f aca="false">IF($S1149="","",INDEX(BookRate,1144)*(1+'5. Scenarios'!$E$10)*$S1149)</f>
        <v/>
      </c>
      <c r="U1149" s="57" t="str">
        <f aca="false">IF($T1149="","",SUMIFS($T$6:$T$2405,$A$6:$A$2405,"&lt;="&amp;$A1149))</f>
        <v/>
      </c>
      <c r="V1149" s="57" t="str">
        <f aca="false">IF($T1149="","",IF($U1149&lt;=BankCostEnvelope*'5. Scenarios'!$E$7,1,0))</f>
        <v/>
      </c>
      <c r="W1149" s="57" t="str">
        <f aca="false">IF($S1149="","",INDEX(BookRate,1144)*(1+'5. Scenarios'!$E$10)*(INDEX(BookQ1,1144)*(5-MIN(4,1+'5. Scenarios'!$E$8))/4+INDEX(BookQ2,1144)*(5-MIN(4,2+'5. Scenarios'!$E$8))/4+INDEX(BookQ3,1144)*(5-MIN(4,3+'5. Scenarios'!$E$8))/4+INDEX(BookQ4,1144)*(5-MIN(4,4+'5. Scenarios'!$E$8))/4)*'5. Scenarios'!$E$6/(1+ProductivityDefault*('5. Scenarios'!$E$11-1))+INDEX(BookOneOff,1144)*$S1149)</f>
        <v/>
      </c>
    </row>
    <row r="1150" customFormat="false" ht="15" hidden="false" customHeight="false" outlineLevel="0" collapsed="false">
      <c r="A1150" s="0" t="str">
        <f aca="false">IF(INDEX(BookTitle,1145)="","",INDEX(BookKey,1145))</f>
        <v/>
      </c>
      <c r="B1150" s="0" t="str">
        <f aca="false">IF(INDEX(BookTitle,1145)="","",INDEX(BookGroup,1145))</f>
        <v/>
      </c>
      <c r="C1150" s="0" t="str">
        <f aca="false">IF(INDEX(BookTitle,1145)="","",INDEX(BookCategory,1145))</f>
        <v/>
      </c>
      <c r="D1150" s="56" t="str">
        <f aca="false">IF(INDEX(BookTitle,1145)="","",INDEX(BookTotal,1145)*'5. Scenarios'!$B$6/(1+ProductivityDefault*('5. Scenarios'!$B$11-1)))</f>
        <v/>
      </c>
      <c r="E1150" s="57" t="str">
        <f aca="false">IF($D1150="","",INDEX(BookRate,1145)*(1+'5. Scenarios'!$B$10)*$D1150)</f>
        <v/>
      </c>
      <c r="F1150" s="57" t="str">
        <f aca="false">IF($E1150="","",SUMIFS($E$6:$E$2405,$A$6:$A$2405,"&lt;="&amp;$A1150))</f>
        <v/>
      </c>
      <c r="G1150" s="57" t="str">
        <f aca="false">IF($E1150="","",IF($F1150&lt;=BankCostEnvelope*'5. Scenarios'!$B$7,1,0))</f>
        <v/>
      </c>
      <c r="H1150" s="57" t="str">
        <f aca="false">IF($D1150="","",INDEX(BookRate,1145)*(1+'5. Scenarios'!$B$10)*(INDEX(BookQ1,1145)*(5-MIN(4,1+'5. Scenarios'!$B$8))/4+INDEX(BookQ2,1145)*(5-MIN(4,2+'5. Scenarios'!$B$8))/4+INDEX(BookQ3,1145)*(5-MIN(4,3+'5. Scenarios'!$B$8))/4+INDEX(BookQ4,1145)*(5-MIN(4,4+'5. Scenarios'!$B$8))/4)*'5. Scenarios'!$B$6/(1+ProductivityDefault*('5. Scenarios'!$B$11-1))+INDEX(BookOneOff,1145)*$D1150)</f>
        <v/>
      </c>
      <c r="I1150" s="56" t="str">
        <f aca="false">IF(INDEX(BookTitle,1145)="","",INDEX(BookTotal,1145)*'5. Scenarios'!$C$6/(1+ProductivityDefault*('5. Scenarios'!$C$11-1)))</f>
        <v/>
      </c>
      <c r="J1150" s="57" t="str">
        <f aca="false">IF($I1150="","",INDEX(BookRate,1145)*(1+'5. Scenarios'!$C$10)*$I1150)</f>
        <v/>
      </c>
      <c r="K1150" s="57" t="str">
        <f aca="false">IF($J1150="","",SUMIFS($J$6:$J$2405,$A$6:$A$2405,"&lt;="&amp;$A1150))</f>
        <v/>
      </c>
      <c r="L1150" s="57" t="str">
        <f aca="false">IF($J1150="","",IF($K1150&lt;=BankCostEnvelope*'5. Scenarios'!$C$7,1,0))</f>
        <v/>
      </c>
      <c r="M1150" s="57" t="str">
        <f aca="false">IF($I1150="","",INDEX(BookRate,1145)*(1+'5. Scenarios'!$C$10)*(INDEX(BookQ1,1145)*(5-MIN(4,1+'5. Scenarios'!$C$8))/4+INDEX(BookQ2,1145)*(5-MIN(4,2+'5. Scenarios'!$C$8))/4+INDEX(BookQ3,1145)*(5-MIN(4,3+'5. Scenarios'!$C$8))/4+INDEX(BookQ4,1145)*(5-MIN(4,4+'5. Scenarios'!$C$8))/4)*'5. Scenarios'!$C$6/(1+ProductivityDefault*('5. Scenarios'!$C$11-1))+INDEX(BookOneOff,1145)*$I1150)</f>
        <v/>
      </c>
      <c r="N1150" s="56" t="str">
        <f aca="false">IF(INDEX(BookTitle,1145)="","",INDEX(BookTotal,1145)*'5. Scenarios'!$D$6/(1+ProductivityDefault*('5. Scenarios'!$D$11-1)))</f>
        <v/>
      </c>
      <c r="O1150" s="57" t="str">
        <f aca="false">IF($N1150="","",INDEX(BookRate,1145)*(1+'5. Scenarios'!$D$10)*$N1150)</f>
        <v/>
      </c>
      <c r="P1150" s="57" t="str">
        <f aca="false">IF($O1150="","",SUMIFS($O$6:$O$2405,$A$6:$A$2405,"&lt;="&amp;$A1150))</f>
        <v/>
      </c>
      <c r="Q1150" s="57" t="str">
        <f aca="false">IF($O1150="","",IF($P1150&lt;=BankCostEnvelope*'5. Scenarios'!$D$7,1,0))</f>
        <v/>
      </c>
      <c r="R1150" s="57" t="str">
        <f aca="false">IF($N1150="","",INDEX(BookRate,1145)*(1+'5. Scenarios'!$D$10)*(INDEX(BookQ1,1145)*(5-MIN(4,1+'5. Scenarios'!$D$8))/4+INDEX(BookQ2,1145)*(5-MIN(4,2+'5. Scenarios'!$D$8))/4+INDEX(BookQ3,1145)*(5-MIN(4,3+'5. Scenarios'!$D$8))/4+INDEX(BookQ4,1145)*(5-MIN(4,4+'5. Scenarios'!$D$8))/4)*'5. Scenarios'!$D$6/(1+ProductivityDefault*('5. Scenarios'!$D$11-1))+INDEX(BookOneOff,1145)*$N1150)</f>
        <v/>
      </c>
      <c r="S1150" s="56" t="str">
        <f aca="false">IF(INDEX(BookTitle,1145)="","",INDEX(BookTotal,1145)*'5. Scenarios'!$E$6/(1+ProductivityDefault*('5. Scenarios'!$E$11-1)))</f>
        <v/>
      </c>
      <c r="T1150" s="57" t="str">
        <f aca="false">IF($S1150="","",INDEX(BookRate,1145)*(1+'5. Scenarios'!$E$10)*$S1150)</f>
        <v/>
      </c>
      <c r="U1150" s="57" t="str">
        <f aca="false">IF($T1150="","",SUMIFS($T$6:$T$2405,$A$6:$A$2405,"&lt;="&amp;$A1150))</f>
        <v/>
      </c>
      <c r="V1150" s="57" t="str">
        <f aca="false">IF($T1150="","",IF($U1150&lt;=BankCostEnvelope*'5. Scenarios'!$E$7,1,0))</f>
        <v/>
      </c>
      <c r="W1150" s="57" t="str">
        <f aca="false">IF($S1150="","",INDEX(BookRate,1145)*(1+'5. Scenarios'!$E$10)*(INDEX(BookQ1,1145)*(5-MIN(4,1+'5. Scenarios'!$E$8))/4+INDEX(BookQ2,1145)*(5-MIN(4,2+'5. Scenarios'!$E$8))/4+INDEX(BookQ3,1145)*(5-MIN(4,3+'5. Scenarios'!$E$8))/4+INDEX(BookQ4,1145)*(5-MIN(4,4+'5. Scenarios'!$E$8))/4)*'5. Scenarios'!$E$6/(1+ProductivityDefault*('5. Scenarios'!$E$11-1))+INDEX(BookOneOff,1145)*$S1150)</f>
        <v/>
      </c>
    </row>
    <row r="1151" customFormat="false" ht="15" hidden="false" customHeight="false" outlineLevel="0" collapsed="false">
      <c r="A1151" s="0" t="str">
        <f aca="false">IF(INDEX(BookTitle,1146)="","",INDEX(BookKey,1146))</f>
        <v/>
      </c>
      <c r="B1151" s="0" t="str">
        <f aca="false">IF(INDEX(BookTitle,1146)="","",INDEX(BookGroup,1146))</f>
        <v/>
      </c>
      <c r="C1151" s="0" t="str">
        <f aca="false">IF(INDEX(BookTitle,1146)="","",INDEX(BookCategory,1146))</f>
        <v/>
      </c>
      <c r="D1151" s="56" t="str">
        <f aca="false">IF(INDEX(BookTitle,1146)="","",INDEX(BookTotal,1146)*'5. Scenarios'!$B$6/(1+ProductivityDefault*('5. Scenarios'!$B$11-1)))</f>
        <v/>
      </c>
      <c r="E1151" s="57" t="str">
        <f aca="false">IF($D1151="","",INDEX(BookRate,1146)*(1+'5. Scenarios'!$B$10)*$D1151)</f>
        <v/>
      </c>
      <c r="F1151" s="57" t="str">
        <f aca="false">IF($E1151="","",SUMIFS($E$6:$E$2405,$A$6:$A$2405,"&lt;="&amp;$A1151))</f>
        <v/>
      </c>
      <c r="G1151" s="57" t="str">
        <f aca="false">IF($E1151="","",IF($F1151&lt;=BankCostEnvelope*'5. Scenarios'!$B$7,1,0))</f>
        <v/>
      </c>
      <c r="H1151" s="57" t="str">
        <f aca="false">IF($D1151="","",INDEX(BookRate,1146)*(1+'5. Scenarios'!$B$10)*(INDEX(BookQ1,1146)*(5-MIN(4,1+'5. Scenarios'!$B$8))/4+INDEX(BookQ2,1146)*(5-MIN(4,2+'5. Scenarios'!$B$8))/4+INDEX(BookQ3,1146)*(5-MIN(4,3+'5. Scenarios'!$B$8))/4+INDEX(BookQ4,1146)*(5-MIN(4,4+'5. Scenarios'!$B$8))/4)*'5. Scenarios'!$B$6/(1+ProductivityDefault*('5. Scenarios'!$B$11-1))+INDEX(BookOneOff,1146)*$D1151)</f>
        <v/>
      </c>
      <c r="I1151" s="56" t="str">
        <f aca="false">IF(INDEX(BookTitle,1146)="","",INDEX(BookTotal,1146)*'5. Scenarios'!$C$6/(1+ProductivityDefault*('5. Scenarios'!$C$11-1)))</f>
        <v/>
      </c>
      <c r="J1151" s="57" t="str">
        <f aca="false">IF($I1151="","",INDEX(BookRate,1146)*(1+'5. Scenarios'!$C$10)*$I1151)</f>
        <v/>
      </c>
      <c r="K1151" s="57" t="str">
        <f aca="false">IF($J1151="","",SUMIFS($J$6:$J$2405,$A$6:$A$2405,"&lt;="&amp;$A1151))</f>
        <v/>
      </c>
      <c r="L1151" s="57" t="str">
        <f aca="false">IF($J1151="","",IF($K1151&lt;=BankCostEnvelope*'5. Scenarios'!$C$7,1,0))</f>
        <v/>
      </c>
      <c r="M1151" s="57" t="str">
        <f aca="false">IF($I1151="","",INDEX(BookRate,1146)*(1+'5. Scenarios'!$C$10)*(INDEX(BookQ1,1146)*(5-MIN(4,1+'5. Scenarios'!$C$8))/4+INDEX(BookQ2,1146)*(5-MIN(4,2+'5. Scenarios'!$C$8))/4+INDEX(BookQ3,1146)*(5-MIN(4,3+'5. Scenarios'!$C$8))/4+INDEX(BookQ4,1146)*(5-MIN(4,4+'5. Scenarios'!$C$8))/4)*'5. Scenarios'!$C$6/(1+ProductivityDefault*('5. Scenarios'!$C$11-1))+INDEX(BookOneOff,1146)*$I1151)</f>
        <v/>
      </c>
      <c r="N1151" s="56" t="str">
        <f aca="false">IF(INDEX(BookTitle,1146)="","",INDEX(BookTotal,1146)*'5. Scenarios'!$D$6/(1+ProductivityDefault*('5. Scenarios'!$D$11-1)))</f>
        <v/>
      </c>
      <c r="O1151" s="57" t="str">
        <f aca="false">IF($N1151="","",INDEX(BookRate,1146)*(1+'5. Scenarios'!$D$10)*$N1151)</f>
        <v/>
      </c>
      <c r="P1151" s="57" t="str">
        <f aca="false">IF($O1151="","",SUMIFS($O$6:$O$2405,$A$6:$A$2405,"&lt;="&amp;$A1151))</f>
        <v/>
      </c>
      <c r="Q1151" s="57" t="str">
        <f aca="false">IF($O1151="","",IF($P1151&lt;=BankCostEnvelope*'5. Scenarios'!$D$7,1,0))</f>
        <v/>
      </c>
      <c r="R1151" s="57" t="str">
        <f aca="false">IF($N1151="","",INDEX(BookRate,1146)*(1+'5. Scenarios'!$D$10)*(INDEX(BookQ1,1146)*(5-MIN(4,1+'5. Scenarios'!$D$8))/4+INDEX(BookQ2,1146)*(5-MIN(4,2+'5. Scenarios'!$D$8))/4+INDEX(BookQ3,1146)*(5-MIN(4,3+'5. Scenarios'!$D$8))/4+INDEX(BookQ4,1146)*(5-MIN(4,4+'5. Scenarios'!$D$8))/4)*'5. Scenarios'!$D$6/(1+ProductivityDefault*('5. Scenarios'!$D$11-1))+INDEX(BookOneOff,1146)*$N1151)</f>
        <v/>
      </c>
      <c r="S1151" s="56" t="str">
        <f aca="false">IF(INDEX(BookTitle,1146)="","",INDEX(BookTotal,1146)*'5. Scenarios'!$E$6/(1+ProductivityDefault*('5. Scenarios'!$E$11-1)))</f>
        <v/>
      </c>
      <c r="T1151" s="57" t="str">
        <f aca="false">IF($S1151="","",INDEX(BookRate,1146)*(1+'5. Scenarios'!$E$10)*$S1151)</f>
        <v/>
      </c>
      <c r="U1151" s="57" t="str">
        <f aca="false">IF($T1151="","",SUMIFS($T$6:$T$2405,$A$6:$A$2405,"&lt;="&amp;$A1151))</f>
        <v/>
      </c>
      <c r="V1151" s="57" t="str">
        <f aca="false">IF($T1151="","",IF($U1151&lt;=BankCostEnvelope*'5. Scenarios'!$E$7,1,0))</f>
        <v/>
      </c>
      <c r="W1151" s="57" t="str">
        <f aca="false">IF($S1151="","",INDEX(BookRate,1146)*(1+'5. Scenarios'!$E$10)*(INDEX(BookQ1,1146)*(5-MIN(4,1+'5. Scenarios'!$E$8))/4+INDEX(BookQ2,1146)*(5-MIN(4,2+'5. Scenarios'!$E$8))/4+INDEX(BookQ3,1146)*(5-MIN(4,3+'5. Scenarios'!$E$8))/4+INDEX(BookQ4,1146)*(5-MIN(4,4+'5. Scenarios'!$E$8))/4)*'5. Scenarios'!$E$6/(1+ProductivityDefault*('5. Scenarios'!$E$11-1))+INDEX(BookOneOff,1146)*$S1151)</f>
        <v/>
      </c>
    </row>
    <row r="1152" customFormat="false" ht="15" hidden="false" customHeight="false" outlineLevel="0" collapsed="false">
      <c r="A1152" s="0" t="str">
        <f aca="false">IF(INDEX(BookTitle,1147)="","",INDEX(BookKey,1147))</f>
        <v/>
      </c>
      <c r="B1152" s="0" t="str">
        <f aca="false">IF(INDEX(BookTitle,1147)="","",INDEX(BookGroup,1147))</f>
        <v/>
      </c>
      <c r="C1152" s="0" t="str">
        <f aca="false">IF(INDEX(BookTitle,1147)="","",INDEX(BookCategory,1147))</f>
        <v/>
      </c>
      <c r="D1152" s="56" t="str">
        <f aca="false">IF(INDEX(BookTitle,1147)="","",INDEX(BookTotal,1147)*'5. Scenarios'!$B$6/(1+ProductivityDefault*('5. Scenarios'!$B$11-1)))</f>
        <v/>
      </c>
      <c r="E1152" s="57" t="str">
        <f aca="false">IF($D1152="","",INDEX(BookRate,1147)*(1+'5. Scenarios'!$B$10)*$D1152)</f>
        <v/>
      </c>
      <c r="F1152" s="57" t="str">
        <f aca="false">IF($E1152="","",SUMIFS($E$6:$E$2405,$A$6:$A$2405,"&lt;="&amp;$A1152))</f>
        <v/>
      </c>
      <c r="G1152" s="57" t="str">
        <f aca="false">IF($E1152="","",IF($F1152&lt;=BankCostEnvelope*'5. Scenarios'!$B$7,1,0))</f>
        <v/>
      </c>
      <c r="H1152" s="57" t="str">
        <f aca="false">IF($D1152="","",INDEX(BookRate,1147)*(1+'5. Scenarios'!$B$10)*(INDEX(BookQ1,1147)*(5-MIN(4,1+'5. Scenarios'!$B$8))/4+INDEX(BookQ2,1147)*(5-MIN(4,2+'5. Scenarios'!$B$8))/4+INDEX(BookQ3,1147)*(5-MIN(4,3+'5. Scenarios'!$B$8))/4+INDEX(BookQ4,1147)*(5-MIN(4,4+'5. Scenarios'!$B$8))/4)*'5. Scenarios'!$B$6/(1+ProductivityDefault*('5. Scenarios'!$B$11-1))+INDEX(BookOneOff,1147)*$D1152)</f>
        <v/>
      </c>
      <c r="I1152" s="56" t="str">
        <f aca="false">IF(INDEX(BookTitle,1147)="","",INDEX(BookTotal,1147)*'5. Scenarios'!$C$6/(1+ProductivityDefault*('5. Scenarios'!$C$11-1)))</f>
        <v/>
      </c>
      <c r="J1152" s="57" t="str">
        <f aca="false">IF($I1152="","",INDEX(BookRate,1147)*(1+'5. Scenarios'!$C$10)*$I1152)</f>
        <v/>
      </c>
      <c r="K1152" s="57" t="str">
        <f aca="false">IF($J1152="","",SUMIFS($J$6:$J$2405,$A$6:$A$2405,"&lt;="&amp;$A1152))</f>
        <v/>
      </c>
      <c r="L1152" s="57" t="str">
        <f aca="false">IF($J1152="","",IF($K1152&lt;=BankCostEnvelope*'5. Scenarios'!$C$7,1,0))</f>
        <v/>
      </c>
      <c r="M1152" s="57" t="str">
        <f aca="false">IF($I1152="","",INDEX(BookRate,1147)*(1+'5. Scenarios'!$C$10)*(INDEX(BookQ1,1147)*(5-MIN(4,1+'5. Scenarios'!$C$8))/4+INDEX(BookQ2,1147)*(5-MIN(4,2+'5. Scenarios'!$C$8))/4+INDEX(BookQ3,1147)*(5-MIN(4,3+'5. Scenarios'!$C$8))/4+INDEX(BookQ4,1147)*(5-MIN(4,4+'5. Scenarios'!$C$8))/4)*'5. Scenarios'!$C$6/(1+ProductivityDefault*('5. Scenarios'!$C$11-1))+INDEX(BookOneOff,1147)*$I1152)</f>
        <v/>
      </c>
      <c r="N1152" s="56" t="str">
        <f aca="false">IF(INDEX(BookTitle,1147)="","",INDEX(BookTotal,1147)*'5. Scenarios'!$D$6/(1+ProductivityDefault*('5. Scenarios'!$D$11-1)))</f>
        <v/>
      </c>
      <c r="O1152" s="57" t="str">
        <f aca="false">IF($N1152="","",INDEX(BookRate,1147)*(1+'5. Scenarios'!$D$10)*$N1152)</f>
        <v/>
      </c>
      <c r="P1152" s="57" t="str">
        <f aca="false">IF($O1152="","",SUMIFS($O$6:$O$2405,$A$6:$A$2405,"&lt;="&amp;$A1152))</f>
        <v/>
      </c>
      <c r="Q1152" s="57" t="str">
        <f aca="false">IF($O1152="","",IF($P1152&lt;=BankCostEnvelope*'5. Scenarios'!$D$7,1,0))</f>
        <v/>
      </c>
      <c r="R1152" s="57" t="str">
        <f aca="false">IF($N1152="","",INDEX(BookRate,1147)*(1+'5. Scenarios'!$D$10)*(INDEX(BookQ1,1147)*(5-MIN(4,1+'5. Scenarios'!$D$8))/4+INDEX(BookQ2,1147)*(5-MIN(4,2+'5. Scenarios'!$D$8))/4+INDEX(BookQ3,1147)*(5-MIN(4,3+'5. Scenarios'!$D$8))/4+INDEX(BookQ4,1147)*(5-MIN(4,4+'5. Scenarios'!$D$8))/4)*'5. Scenarios'!$D$6/(1+ProductivityDefault*('5. Scenarios'!$D$11-1))+INDEX(BookOneOff,1147)*$N1152)</f>
        <v/>
      </c>
      <c r="S1152" s="56" t="str">
        <f aca="false">IF(INDEX(BookTitle,1147)="","",INDEX(BookTotal,1147)*'5. Scenarios'!$E$6/(1+ProductivityDefault*('5. Scenarios'!$E$11-1)))</f>
        <v/>
      </c>
      <c r="T1152" s="57" t="str">
        <f aca="false">IF($S1152="","",INDEX(BookRate,1147)*(1+'5. Scenarios'!$E$10)*$S1152)</f>
        <v/>
      </c>
      <c r="U1152" s="57" t="str">
        <f aca="false">IF($T1152="","",SUMIFS($T$6:$T$2405,$A$6:$A$2405,"&lt;="&amp;$A1152))</f>
        <v/>
      </c>
      <c r="V1152" s="57" t="str">
        <f aca="false">IF($T1152="","",IF($U1152&lt;=BankCostEnvelope*'5. Scenarios'!$E$7,1,0))</f>
        <v/>
      </c>
      <c r="W1152" s="57" t="str">
        <f aca="false">IF($S1152="","",INDEX(BookRate,1147)*(1+'5. Scenarios'!$E$10)*(INDEX(BookQ1,1147)*(5-MIN(4,1+'5. Scenarios'!$E$8))/4+INDEX(BookQ2,1147)*(5-MIN(4,2+'5. Scenarios'!$E$8))/4+INDEX(BookQ3,1147)*(5-MIN(4,3+'5. Scenarios'!$E$8))/4+INDEX(BookQ4,1147)*(5-MIN(4,4+'5. Scenarios'!$E$8))/4)*'5. Scenarios'!$E$6/(1+ProductivityDefault*('5. Scenarios'!$E$11-1))+INDEX(BookOneOff,1147)*$S1152)</f>
        <v/>
      </c>
    </row>
    <row r="1153" customFormat="false" ht="15" hidden="false" customHeight="false" outlineLevel="0" collapsed="false">
      <c r="A1153" s="0" t="str">
        <f aca="false">IF(INDEX(BookTitle,1148)="","",INDEX(BookKey,1148))</f>
        <v/>
      </c>
      <c r="B1153" s="0" t="str">
        <f aca="false">IF(INDEX(BookTitle,1148)="","",INDEX(BookGroup,1148))</f>
        <v/>
      </c>
      <c r="C1153" s="0" t="str">
        <f aca="false">IF(INDEX(BookTitle,1148)="","",INDEX(BookCategory,1148))</f>
        <v/>
      </c>
      <c r="D1153" s="56" t="str">
        <f aca="false">IF(INDEX(BookTitle,1148)="","",INDEX(BookTotal,1148)*'5. Scenarios'!$B$6/(1+ProductivityDefault*('5. Scenarios'!$B$11-1)))</f>
        <v/>
      </c>
      <c r="E1153" s="57" t="str">
        <f aca="false">IF($D1153="","",INDEX(BookRate,1148)*(1+'5. Scenarios'!$B$10)*$D1153)</f>
        <v/>
      </c>
      <c r="F1153" s="57" t="str">
        <f aca="false">IF($E1153="","",SUMIFS($E$6:$E$2405,$A$6:$A$2405,"&lt;="&amp;$A1153))</f>
        <v/>
      </c>
      <c r="G1153" s="57" t="str">
        <f aca="false">IF($E1153="","",IF($F1153&lt;=BankCostEnvelope*'5. Scenarios'!$B$7,1,0))</f>
        <v/>
      </c>
      <c r="H1153" s="57" t="str">
        <f aca="false">IF($D1153="","",INDEX(BookRate,1148)*(1+'5. Scenarios'!$B$10)*(INDEX(BookQ1,1148)*(5-MIN(4,1+'5. Scenarios'!$B$8))/4+INDEX(BookQ2,1148)*(5-MIN(4,2+'5. Scenarios'!$B$8))/4+INDEX(BookQ3,1148)*(5-MIN(4,3+'5. Scenarios'!$B$8))/4+INDEX(BookQ4,1148)*(5-MIN(4,4+'5. Scenarios'!$B$8))/4)*'5. Scenarios'!$B$6/(1+ProductivityDefault*('5. Scenarios'!$B$11-1))+INDEX(BookOneOff,1148)*$D1153)</f>
        <v/>
      </c>
      <c r="I1153" s="56" t="str">
        <f aca="false">IF(INDEX(BookTitle,1148)="","",INDEX(BookTotal,1148)*'5. Scenarios'!$C$6/(1+ProductivityDefault*('5. Scenarios'!$C$11-1)))</f>
        <v/>
      </c>
      <c r="J1153" s="57" t="str">
        <f aca="false">IF($I1153="","",INDEX(BookRate,1148)*(1+'5. Scenarios'!$C$10)*$I1153)</f>
        <v/>
      </c>
      <c r="K1153" s="57" t="str">
        <f aca="false">IF($J1153="","",SUMIFS($J$6:$J$2405,$A$6:$A$2405,"&lt;="&amp;$A1153))</f>
        <v/>
      </c>
      <c r="L1153" s="57" t="str">
        <f aca="false">IF($J1153="","",IF($K1153&lt;=BankCostEnvelope*'5. Scenarios'!$C$7,1,0))</f>
        <v/>
      </c>
      <c r="M1153" s="57" t="str">
        <f aca="false">IF($I1153="","",INDEX(BookRate,1148)*(1+'5. Scenarios'!$C$10)*(INDEX(BookQ1,1148)*(5-MIN(4,1+'5. Scenarios'!$C$8))/4+INDEX(BookQ2,1148)*(5-MIN(4,2+'5. Scenarios'!$C$8))/4+INDEX(BookQ3,1148)*(5-MIN(4,3+'5. Scenarios'!$C$8))/4+INDEX(BookQ4,1148)*(5-MIN(4,4+'5. Scenarios'!$C$8))/4)*'5. Scenarios'!$C$6/(1+ProductivityDefault*('5. Scenarios'!$C$11-1))+INDEX(BookOneOff,1148)*$I1153)</f>
        <v/>
      </c>
      <c r="N1153" s="56" t="str">
        <f aca="false">IF(INDEX(BookTitle,1148)="","",INDEX(BookTotal,1148)*'5. Scenarios'!$D$6/(1+ProductivityDefault*('5. Scenarios'!$D$11-1)))</f>
        <v/>
      </c>
      <c r="O1153" s="57" t="str">
        <f aca="false">IF($N1153="","",INDEX(BookRate,1148)*(1+'5. Scenarios'!$D$10)*$N1153)</f>
        <v/>
      </c>
      <c r="P1153" s="57" t="str">
        <f aca="false">IF($O1153="","",SUMIFS($O$6:$O$2405,$A$6:$A$2405,"&lt;="&amp;$A1153))</f>
        <v/>
      </c>
      <c r="Q1153" s="57" t="str">
        <f aca="false">IF($O1153="","",IF($P1153&lt;=BankCostEnvelope*'5. Scenarios'!$D$7,1,0))</f>
        <v/>
      </c>
      <c r="R1153" s="57" t="str">
        <f aca="false">IF($N1153="","",INDEX(BookRate,1148)*(1+'5. Scenarios'!$D$10)*(INDEX(BookQ1,1148)*(5-MIN(4,1+'5. Scenarios'!$D$8))/4+INDEX(BookQ2,1148)*(5-MIN(4,2+'5. Scenarios'!$D$8))/4+INDEX(BookQ3,1148)*(5-MIN(4,3+'5. Scenarios'!$D$8))/4+INDEX(BookQ4,1148)*(5-MIN(4,4+'5. Scenarios'!$D$8))/4)*'5. Scenarios'!$D$6/(1+ProductivityDefault*('5. Scenarios'!$D$11-1))+INDEX(BookOneOff,1148)*$N1153)</f>
        <v/>
      </c>
      <c r="S1153" s="56" t="str">
        <f aca="false">IF(INDEX(BookTitle,1148)="","",INDEX(BookTotal,1148)*'5. Scenarios'!$E$6/(1+ProductivityDefault*('5. Scenarios'!$E$11-1)))</f>
        <v/>
      </c>
      <c r="T1153" s="57" t="str">
        <f aca="false">IF($S1153="","",INDEX(BookRate,1148)*(1+'5. Scenarios'!$E$10)*$S1153)</f>
        <v/>
      </c>
      <c r="U1153" s="57" t="str">
        <f aca="false">IF($T1153="","",SUMIFS($T$6:$T$2405,$A$6:$A$2405,"&lt;="&amp;$A1153))</f>
        <v/>
      </c>
      <c r="V1153" s="57" t="str">
        <f aca="false">IF($T1153="","",IF($U1153&lt;=BankCostEnvelope*'5. Scenarios'!$E$7,1,0))</f>
        <v/>
      </c>
      <c r="W1153" s="57" t="str">
        <f aca="false">IF($S1153="","",INDEX(BookRate,1148)*(1+'5. Scenarios'!$E$10)*(INDEX(BookQ1,1148)*(5-MIN(4,1+'5. Scenarios'!$E$8))/4+INDEX(BookQ2,1148)*(5-MIN(4,2+'5. Scenarios'!$E$8))/4+INDEX(BookQ3,1148)*(5-MIN(4,3+'5. Scenarios'!$E$8))/4+INDEX(BookQ4,1148)*(5-MIN(4,4+'5. Scenarios'!$E$8))/4)*'5. Scenarios'!$E$6/(1+ProductivityDefault*('5. Scenarios'!$E$11-1))+INDEX(BookOneOff,1148)*$S1153)</f>
        <v/>
      </c>
    </row>
    <row r="1154" customFormat="false" ht="15" hidden="false" customHeight="false" outlineLevel="0" collapsed="false">
      <c r="A1154" s="0" t="str">
        <f aca="false">IF(INDEX(BookTitle,1149)="","",INDEX(BookKey,1149))</f>
        <v/>
      </c>
      <c r="B1154" s="0" t="str">
        <f aca="false">IF(INDEX(BookTitle,1149)="","",INDEX(BookGroup,1149))</f>
        <v/>
      </c>
      <c r="C1154" s="0" t="str">
        <f aca="false">IF(INDEX(BookTitle,1149)="","",INDEX(BookCategory,1149))</f>
        <v/>
      </c>
      <c r="D1154" s="56" t="str">
        <f aca="false">IF(INDEX(BookTitle,1149)="","",INDEX(BookTotal,1149)*'5. Scenarios'!$B$6/(1+ProductivityDefault*('5. Scenarios'!$B$11-1)))</f>
        <v/>
      </c>
      <c r="E1154" s="57" t="str">
        <f aca="false">IF($D1154="","",INDEX(BookRate,1149)*(1+'5. Scenarios'!$B$10)*$D1154)</f>
        <v/>
      </c>
      <c r="F1154" s="57" t="str">
        <f aca="false">IF($E1154="","",SUMIFS($E$6:$E$2405,$A$6:$A$2405,"&lt;="&amp;$A1154))</f>
        <v/>
      </c>
      <c r="G1154" s="57" t="str">
        <f aca="false">IF($E1154="","",IF($F1154&lt;=BankCostEnvelope*'5. Scenarios'!$B$7,1,0))</f>
        <v/>
      </c>
      <c r="H1154" s="57" t="str">
        <f aca="false">IF($D1154="","",INDEX(BookRate,1149)*(1+'5. Scenarios'!$B$10)*(INDEX(BookQ1,1149)*(5-MIN(4,1+'5. Scenarios'!$B$8))/4+INDEX(BookQ2,1149)*(5-MIN(4,2+'5. Scenarios'!$B$8))/4+INDEX(BookQ3,1149)*(5-MIN(4,3+'5. Scenarios'!$B$8))/4+INDEX(BookQ4,1149)*(5-MIN(4,4+'5. Scenarios'!$B$8))/4)*'5. Scenarios'!$B$6/(1+ProductivityDefault*('5. Scenarios'!$B$11-1))+INDEX(BookOneOff,1149)*$D1154)</f>
        <v/>
      </c>
      <c r="I1154" s="56" t="str">
        <f aca="false">IF(INDEX(BookTitle,1149)="","",INDEX(BookTotal,1149)*'5. Scenarios'!$C$6/(1+ProductivityDefault*('5. Scenarios'!$C$11-1)))</f>
        <v/>
      </c>
      <c r="J1154" s="57" t="str">
        <f aca="false">IF($I1154="","",INDEX(BookRate,1149)*(1+'5. Scenarios'!$C$10)*$I1154)</f>
        <v/>
      </c>
      <c r="K1154" s="57" t="str">
        <f aca="false">IF($J1154="","",SUMIFS($J$6:$J$2405,$A$6:$A$2405,"&lt;="&amp;$A1154))</f>
        <v/>
      </c>
      <c r="L1154" s="57" t="str">
        <f aca="false">IF($J1154="","",IF($K1154&lt;=BankCostEnvelope*'5. Scenarios'!$C$7,1,0))</f>
        <v/>
      </c>
      <c r="M1154" s="57" t="str">
        <f aca="false">IF($I1154="","",INDEX(BookRate,1149)*(1+'5. Scenarios'!$C$10)*(INDEX(BookQ1,1149)*(5-MIN(4,1+'5. Scenarios'!$C$8))/4+INDEX(BookQ2,1149)*(5-MIN(4,2+'5. Scenarios'!$C$8))/4+INDEX(BookQ3,1149)*(5-MIN(4,3+'5. Scenarios'!$C$8))/4+INDEX(BookQ4,1149)*(5-MIN(4,4+'5. Scenarios'!$C$8))/4)*'5. Scenarios'!$C$6/(1+ProductivityDefault*('5. Scenarios'!$C$11-1))+INDEX(BookOneOff,1149)*$I1154)</f>
        <v/>
      </c>
      <c r="N1154" s="56" t="str">
        <f aca="false">IF(INDEX(BookTitle,1149)="","",INDEX(BookTotal,1149)*'5. Scenarios'!$D$6/(1+ProductivityDefault*('5. Scenarios'!$D$11-1)))</f>
        <v/>
      </c>
      <c r="O1154" s="57" t="str">
        <f aca="false">IF($N1154="","",INDEX(BookRate,1149)*(1+'5. Scenarios'!$D$10)*$N1154)</f>
        <v/>
      </c>
      <c r="P1154" s="57" t="str">
        <f aca="false">IF($O1154="","",SUMIFS($O$6:$O$2405,$A$6:$A$2405,"&lt;="&amp;$A1154))</f>
        <v/>
      </c>
      <c r="Q1154" s="57" t="str">
        <f aca="false">IF($O1154="","",IF($P1154&lt;=BankCostEnvelope*'5. Scenarios'!$D$7,1,0))</f>
        <v/>
      </c>
      <c r="R1154" s="57" t="str">
        <f aca="false">IF($N1154="","",INDEX(BookRate,1149)*(1+'5. Scenarios'!$D$10)*(INDEX(BookQ1,1149)*(5-MIN(4,1+'5. Scenarios'!$D$8))/4+INDEX(BookQ2,1149)*(5-MIN(4,2+'5. Scenarios'!$D$8))/4+INDEX(BookQ3,1149)*(5-MIN(4,3+'5. Scenarios'!$D$8))/4+INDEX(BookQ4,1149)*(5-MIN(4,4+'5. Scenarios'!$D$8))/4)*'5. Scenarios'!$D$6/(1+ProductivityDefault*('5. Scenarios'!$D$11-1))+INDEX(BookOneOff,1149)*$N1154)</f>
        <v/>
      </c>
      <c r="S1154" s="56" t="str">
        <f aca="false">IF(INDEX(BookTitle,1149)="","",INDEX(BookTotal,1149)*'5. Scenarios'!$E$6/(1+ProductivityDefault*('5. Scenarios'!$E$11-1)))</f>
        <v/>
      </c>
      <c r="T1154" s="57" t="str">
        <f aca="false">IF($S1154="","",INDEX(BookRate,1149)*(1+'5. Scenarios'!$E$10)*$S1154)</f>
        <v/>
      </c>
      <c r="U1154" s="57" t="str">
        <f aca="false">IF($T1154="","",SUMIFS($T$6:$T$2405,$A$6:$A$2405,"&lt;="&amp;$A1154))</f>
        <v/>
      </c>
      <c r="V1154" s="57" t="str">
        <f aca="false">IF($T1154="","",IF($U1154&lt;=BankCostEnvelope*'5. Scenarios'!$E$7,1,0))</f>
        <v/>
      </c>
      <c r="W1154" s="57" t="str">
        <f aca="false">IF($S1154="","",INDEX(BookRate,1149)*(1+'5. Scenarios'!$E$10)*(INDEX(BookQ1,1149)*(5-MIN(4,1+'5. Scenarios'!$E$8))/4+INDEX(BookQ2,1149)*(5-MIN(4,2+'5. Scenarios'!$E$8))/4+INDEX(BookQ3,1149)*(5-MIN(4,3+'5. Scenarios'!$E$8))/4+INDEX(BookQ4,1149)*(5-MIN(4,4+'5. Scenarios'!$E$8))/4)*'5. Scenarios'!$E$6/(1+ProductivityDefault*('5. Scenarios'!$E$11-1))+INDEX(BookOneOff,1149)*$S1154)</f>
        <v/>
      </c>
    </row>
    <row r="1155" customFormat="false" ht="15" hidden="false" customHeight="false" outlineLevel="0" collapsed="false">
      <c r="A1155" s="0" t="str">
        <f aca="false">IF(INDEX(BookTitle,1150)="","",INDEX(BookKey,1150))</f>
        <v/>
      </c>
      <c r="B1155" s="0" t="str">
        <f aca="false">IF(INDEX(BookTitle,1150)="","",INDEX(BookGroup,1150))</f>
        <v/>
      </c>
      <c r="C1155" s="0" t="str">
        <f aca="false">IF(INDEX(BookTitle,1150)="","",INDEX(BookCategory,1150))</f>
        <v/>
      </c>
      <c r="D1155" s="56" t="str">
        <f aca="false">IF(INDEX(BookTitle,1150)="","",INDEX(BookTotal,1150)*'5. Scenarios'!$B$6/(1+ProductivityDefault*('5. Scenarios'!$B$11-1)))</f>
        <v/>
      </c>
      <c r="E1155" s="57" t="str">
        <f aca="false">IF($D1155="","",INDEX(BookRate,1150)*(1+'5. Scenarios'!$B$10)*$D1155)</f>
        <v/>
      </c>
      <c r="F1155" s="57" t="str">
        <f aca="false">IF($E1155="","",SUMIFS($E$6:$E$2405,$A$6:$A$2405,"&lt;="&amp;$A1155))</f>
        <v/>
      </c>
      <c r="G1155" s="57" t="str">
        <f aca="false">IF($E1155="","",IF($F1155&lt;=BankCostEnvelope*'5. Scenarios'!$B$7,1,0))</f>
        <v/>
      </c>
      <c r="H1155" s="57" t="str">
        <f aca="false">IF($D1155="","",INDEX(BookRate,1150)*(1+'5. Scenarios'!$B$10)*(INDEX(BookQ1,1150)*(5-MIN(4,1+'5. Scenarios'!$B$8))/4+INDEX(BookQ2,1150)*(5-MIN(4,2+'5. Scenarios'!$B$8))/4+INDEX(BookQ3,1150)*(5-MIN(4,3+'5. Scenarios'!$B$8))/4+INDEX(BookQ4,1150)*(5-MIN(4,4+'5. Scenarios'!$B$8))/4)*'5. Scenarios'!$B$6/(1+ProductivityDefault*('5. Scenarios'!$B$11-1))+INDEX(BookOneOff,1150)*$D1155)</f>
        <v/>
      </c>
      <c r="I1155" s="56" t="str">
        <f aca="false">IF(INDEX(BookTitle,1150)="","",INDEX(BookTotal,1150)*'5. Scenarios'!$C$6/(1+ProductivityDefault*('5. Scenarios'!$C$11-1)))</f>
        <v/>
      </c>
      <c r="J1155" s="57" t="str">
        <f aca="false">IF($I1155="","",INDEX(BookRate,1150)*(1+'5. Scenarios'!$C$10)*$I1155)</f>
        <v/>
      </c>
      <c r="K1155" s="57" t="str">
        <f aca="false">IF($J1155="","",SUMIFS($J$6:$J$2405,$A$6:$A$2405,"&lt;="&amp;$A1155))</f>
        <v/>
      </c>
      <c r="L1155" s="57" t="str">
        <f aca="false">IF($J1155="","",IF($K1155&lt;=BankCostEnvelope*'5. Scenarios'!$C$7,1,0))</f>
        <v/>
      </c>
      <c r="M1155" s="57" t="str">
        <f aca="false">IF($I1155="","",INDEX(BookRate,1150)*(1+'5. Scenarios'!$C$10)*(INDEX(BookQ1,1150)*(5-MIN(4,1+'5. Scenarios'!$C$8))/4+INDEX(BookQ2,1150)*(5-MIN(4,2+'5. Scenarios'!$C$8))/4+INDEX(BookQ3,1150)*(5-MIN(4,3+'5. Scenarios'!$C$8))/4+INDEX(BookQ4,1150)*(5-MIN(4,4+'5. Scenarios'!$C$8))/4)*'5. Scenarios'!$C$6/(1+ProductivityDefault*('5. Scenarios'!$C$11-1))+INDEX(BookOneOff,1150)*$I1155)</f>
        <v/>
      </c>
      <c r="N1155" s="56" t="str">
        <f aca="false">IF(INDEX(BookTitle,1150)="","",INDEX(BookTotal,1150)*'5. Scenarios'!$D$6/(1+ProductivityDefault*('5. Scenarios'!$D$11-1)))</f>
        <v/>
      </c>
      <c r="O1155" s="57" t="str">
        <f aca="false">IF($N1155="","",INDEX(BookRate,1150)*(1+'5. Scenarios'!$D$10)*$N1155)</f>
        <v/>
      </c>
      <c r="P1155" s="57" t="str">
        <f aca="false">IF($O1155="","",SUMIFS($O$6:$O$2405,$A$6:$A$2405,"&lt;="&amp;$A1155))</f>
        <v/>
      </c>
      <c r="Q1155" s="57" t="str">
        <f aca="false">IF($O1155="","",IF($P1155&lt;=BankCostEnvelope*'5. Scenarios'!$D$7,1,0))</f>
        <v/>
      </c>
      <c r="R1155" s="57" t="str">
        <f aca="false">IF($N1155="","",INDEX(BookRate,1150)*(1+'5. Scenarios'!$D$10)*(INDEX(BookQ1,1150)*(5-MIN(4,1+'5. Scenarios'!$D$8))/4+INDEX(BookQ2,1150)*(5-MIN(4,2+'5. Scenarios'!$D$8))/4+INDEX(BookQ3,1150)*(5-MIN(4,3+'5. Scenarios'!$D$8))/4+INDEX(BookQ4,1150)*(5-MIN(4,4+'5. Scenarios'!$D$8))/4)*'5. Scenarios'!$D$6/(1+ProductivityDefault*('5. Scenarios'!$D$11-1))+INDEX(BookOneOff,1150)*$N1155)</f>
        <v/>
      </c>
      <c r="S1155" s="56" t="str">
        <f aca="false">IF(INDEX(BookTitle,1150)="","",INDEX(BookTotal,1150)*'5. Scenarios'!$E$6/(1+ProductivityDefault*('5. Scenarios'!$E$11-1)))</f>
        <v/>
      </c>
      <c r="T1155" s="57" t="str">
        <f aca="false">IF($S1155="","",INDEX(BookRate,1150)*(1+'5. Scenarios'!$E$10)*$S1155)</f>
        <v/>
      </c>
      <c r="U1155" s="57" t="str">
        <f aca="false">IF($T1155="","",SUMIFS($T$6:$T$2405,$A$6:$A$2405,"&lt;="&amp;$A1155))</f>
        <v/>
      </c>
      <c r="V1155" s="57" t="str">
        <f aca="false">IF($T1155="","",IF($U1155&lt;=BankCostEnvelope*'5. Scenarios'!$E$7,1,0))</f>
        <v/>
      </c>
      <c r="W1155" s="57" t="str">
        <f aca="false">IF($S1155="","",INDEX(BookRate,1150)*(1+'5. Scenarios'!$E$10)*(INDEX(BookQ1,1150)*(5-MIN(4,1+'5. Scenarios'!$E$8))/4+INDEX(BookQ2,1150)*(5-MIN(4,2+'5. Scenarios'!$E$8))/4+INDEX(BookQ3,1150)*(5-MIN(4,3+'5. Scenarios'!$E$8))/4+INDEX(BookQ4,1150)*(5-MIN(4,4+'5. Scenarios'!$E$8))/4)*'5. Scenarios'!$E$6/(1+ProductivityDefault*('5. Scenarios'!$E$11-1))+INDEX(BookOneOff,1150)*$S1155)</f>
        <v/>
      </c>
    </row>
    <row r="1156" customFormat="false" ht="15" hidden="false" customHeight="false" outlineLevel="0" collapsed="false">
      <c r="A1156" s="0" t="str">
        <f aca="false">IF(INDEX(BookTitle,1151)="","",INDEX(BookKey,1151))</f>
        <v/>
      </c>
      <c r="B1156" s="0" t="str">
        <f aca="false">IF(INDEX(BookTitle,1151)="","",INDEX(BookGroup,1151))</f>
        <v/>
      </c>
      <c r="C1156" s="0" t="str">
        <f aca="false">IF(INDEX(BookTitle,1151)="","",INDEX(BookCategory,1151))</f>
        <v/>
      </c>
      <c r="D1156" s="56" t="str">
        <f aca="false">IF(INDEX(BookTitle,1151)="","",INDEX(BookTotal,1151)*'5. Scenarios'!$B$6/(1+ProductivityDefault*('5. Scenarios'!$B$11-1)))</f>
        <v/>
      </c>
      <c r="E1156" s="57" t="str">
        <f aca="false">IF($D1156="","",INDEX(BookRate,1151)*(1+'5. Scenarios'!$B$10)*$D1156)</f>
        <v/>
      </c>
      <c r="F1156" s="57" t="str">
        <f aca="false">IF($E1156="","",SUMIFS($E$6:$E$2405,$A$6:$A$2405,"&lt;="&amp;$A1156))</f>
        <v/>
      </c>
      <c r="G1156" s="57" t="str">
        <f aca="false">IF($E1156="","",IF($F1156&lt;=BankCostEnvelope*'5. Scenarios'!$B$7,1,0))</f>
        <v/>
      </c>
      <c r="H1156" s="57" t="str">
        <f aca="false">IF($D1156="","",INDEX(BookRate,1151)*(1+'5. Scenarios'!$B$10)*(INDEX(BookQ1,1151)*(5-MIN(4,1+'5. Scenarios'!$B$8))/4+INDEX(BookQ2,1151)*(5-MIN(4,2+'5. Scenarios'!$B$8))/4+INDEX(BookQ3,1151)*(5-MIN(4,3+'5. Scenarios'!$B$8))/4+INDEX(BookQ4,1151)*(5-MIN(4,4+'5. Scenarios'!$B$8))/4)*'5. Scenarios'!$B$6/(1+ProductivityDefault*('5. Scenarios'!$B$11-1))+INDEX(BookOneOff,1151)*$D1156)</f>
        <v/>
      </c>
      <c r="I1156" s="56" t="str">
        <f aca="false">IF(INDEX(BookTitle,1151)="","",INDEX(BookTotal,1151)*'5. Scenarios'!$C$6/(1+ProductivityDefault*('5. Scenarios'!$C$11-1)))</f>
        <v/>
      </c>
      <c r="J1156" s="57" t="str">
        <f aca="false">IF($I1156="","",INDEX(BookRate,1151)*(1+'5. Scenarios'!$C$10)*$I1156)</f>
        <v/>
      </c>
      <c r="K1156" s="57" t="str">
        <f aca="false">IF($J1156="","",SUMIFS($J$6:$J$2405,$A$6:$A$2405,"&lt;="&amp;$A1156))</f>
        <v/>
      </c>
      <c r="L1156" s="57" t="str">
        <f aca="false">IF($J1156="","",IF($K1156&lt;=BankCostEnvelope*'5. Scenarios'!$C$7,1,0))</f>
        <v/>
      </c>
      <c r="M1156" s="57" t="str">
        <f aca="false">IF($I1156="","",INDEX(BookRate,1151)*(1+'5. Scenarios'!$C$10)*(INDEX(BookQ1,1151)*(5-MIN(4,1+'5. Scenarios'!$C$8))/4+INDEX(BookQ2,1151)*(5-MIN(4,2+'5. Scenarios'!$C$8))/4+INDEX(BookQ3,1151)*(5-MIN(4,3+'5. Scenarios'!$C$8))/4+INDEX(BookQ4,1151)*(5-MIN(4,4+'5. Scenarios'!$C$8))/4)*'5. Scenarios'!$C$6/(1+ProductivityDefault*('5. Scenarios'!$C$11-1))+INDEX(BookOneOff,1151)*$I1156)</f>
        <v/>
      </c>
      <c r="N1156" s="56" t="str">
        <f aca="false">IF(INDEX(BookTitle,1151)="","",INDEX(BookTotal,1151)*'5. Scenarios'!$D$6/(1+ProductivityDefault*('5. Scenarios'!$D$11-1)))</f>
        <v/>
      </c>
      <c r="O1156" s="57" t="str">
        <f aca="false">IF($N1156="","",INDEX(BookRate,1151)*(1+'5. Scenarios'!$D$10)*$N1156)</f>
        <v/>
      </c>
      <c r="P1156" s="57" t="str">
        <f aca="false">IF($O1156="","",SUMIFS($O$6:$O$2405,$A$6:$A$2405,"&lt;="&amp;$A1156))</f>
        <v/>
      </c>
      <c r="Q1156" s="57" t="str">
        <f aca="false">IF($O1156="","",IF($P1156&lt;=BankCostEnvelope*'5. Scenarios'!$D$7,1,0))</f>
        <v/>
      </c>
      <c r="R1156" s="57" t="str">
        <f aca="false">IF($N1156="","",INDEX(BookRate,1151)*(1+'5. Scenarios'!$D$10)*(INDEX(BookQ1,1151)*(5-MIN(4,1+'5. Scenarios'!$D$8))/4+INDEX(BookQ2,1151)*(5-MIN(4,2+'5. Scenarios'!$D$8))/4+INDEX(BookQ3,1151)*(5-MIN(4,3+'5. Scenarios'!$D$8))/4+INDEX(BookQ4,1151)*(5-MIN(4,4+'5. Scenarios'!$D$8))/4)*'5. Scenarios'!$D$6/(1+ProductivityDefault*('5. Scenarios'!$D$11-1))+INDEX(BookOneOff,1151)*$N1156)</f>
        <v/>
      </c>
      <c r="S1156" s="56" t="str">
        <f aca="false">IF(INDEX(BookTitle,1151)="","",INDEX(BookTotal,1151)*'5. Scenarios'!$E$6/(1+ProductivityDefault*('5. Scenarios'!$E$11-1)))</f>
        <v/>
      </c>
      <c r="T1156" s="57" t="str">
        <f aca="false">IF($S1156="","",INDEX(BookRate,1151)*(1+'5. Scenarios'!$E$10)*$S1156)</f>
        <v/>
      </c>
      <c r="U1156" s="57" t="str">
        <f aca="false">IF($T1156="","",SUMIFS($T$6:$T$2405,$A$6:$A$2405,"&lt;="&amp;$A1156))</f>
        <v/>
      </c>
      <c r="V1156" s="57" t="str">
        <f aca="false">IF($T1156="","",IF($U1156&lt;=BankCostEnvelope*'5. Scenarios'!$E$7,1,0))</f>
        <v/>
      </c>
      <c r="W1156" s="57" t="str">
        <f aca="false">IF($S1156="","",INDEX(BookRate,1151)*(1+'5. Scenarios'!$E$10)*(INDEX(BookQ1,1151)*(5-MIN(4,1+'5. Scenarios'!$E$8))/4+INDEX(BookQ2,1151)*(5-MIN(4,2+'5. Scenarios'!$E$8))/4+INDEX(BookQ3,1151)*(5-MIN(4,3+'5. Scenarios'!$E$8))/4+INDEX(BookQ4,1151)*(5-MIN(4,4+'5. Scenarios'!$E$8))/4)*'5. Scenarios'!$E$6/(1+ProductivityDefault*('5. Scenarios'!$E$11-1))+INDEX(BookOneOff,1151)*$S1156)</f>
        <v/>
      </c>
    </row>
    <row r="1157" customFormat="false" ht="15" hidden="false" customHeight="false" outlineLevel="0" collapsed="false">
      <c r="A1157" s="0" t="str">
        <f aca="false">IF(INDEX(BookTitle,1152)="","",INDEX(BookKey,1152))</f>
        <v/>
      </c>
      <c r="B1157" s="0" t="str">
        <f aca="false">IF(INDEX(BookTitle,1152)="","",INDEX(BookGroup,1152))</f>
        <v/>
      </c>
      <c r="C1157" s="0" t="str">
        <f aca="false">IF(INDEX(BookTitle,1152)="","",INDEX(BookCategory,1152))</f>
        <v/>
      </c>
      <c r="D1157" s="56" t="str">
        <f aca="false">IF(INDEX(BookTitle,1152)="","",INDEX(BookTotal,1152)*'5. Scenarios'!$B$6/(1+ProductivityDefault*('5. Scenarios'!$B$11-1)))</f>
        <v/>
      </c>
      <c r="E1157" s="57" t="str">
        <f aca="false">IF($D1157="","",INDEX(BookRate,1152)*(1+'5. Scenarios'!$B$10)*$D1157)</f>
        <v/>
      </c>
      <c r="F1157" s="57" t="str">
        <f aca="false">IF($E1157="","",SUMIFS($E$6:$E$2405,$A$6:$A$2405,"&lt;="&amp;$A1157))</f>
        <v/>
      </c>
      <c r="G1157" s="57" t="str">
        <f aca="false">IF($E1157="","",IF($F1157&lt;=BankCostEnvelope*'5. Scenarios'!$B$7,1,0))</f>
        <v/>
      </c>
      <c r="H1157" s="57" t="str">
        <f aca="false">IF($D1157="","",INDEX(BookRate,1152)*(1+'5. Scenarios'!$B$10)*(INDEX(BookQ1,1152)*(5-MIN(4,1+'5. Scenarios'!$B$8))/4+INDEX(BookQ2,1152)*(5-MIN(4,2+'5. Scenarios'!$B$8))/4+INDEX(BookQ3,1152)*(5-MIN(4,3+'5. Scenarios'!$B$8))/4+INDEX(BookQ4,1152)*(5-MIN(4,4+'5. Scenarios'!$B$8))/4)*'5. Scenarios'!$B$6/(1+ProductivityDefault*('5. Scenarios'!$B$11-1))+INDEX(BookOneOff,1152)*$D1157)</f>
        <v/>
      </c>
      <c r="I1157" s="56" t="str">
        <f aca="false">IF(INDEX(BookTitle,1152)="","",INDEX(BookTotal,1152)*'5. Scenarios'!$C$6/(1+ProductivityDefault*('5. Scenarios'!$C$11-1)))</f>
        <v/>
      </c>
      <c r="J1157" s="57" t="str">
        <f aca="false">IF($I1157="","",INDEX(BookRate,1152)*(1+'5. Scenarios'!$C$10)*$I1157)</f>
        <v/>
      </c>
      <c r="K1157" s="57" t="str">
        <f aca="false">IF($J1157="","",SUMIFS($J$6:$J$2405,$A$6:$A$2405,"&lt;="&amp;$A1157))</f>
        <v/>
      </c>
      <c r="L1157" s="57" t="str">
        <f aca="false">IF($J1157="","",IF($K1157&lt;=BankCostEnvelope*'5. Scenarios'!$C$7,1,0))</f>
        <v/>
      </c>
      <c r="M1157" s="57" t="str">
        <f aca="false">IF($I1157="","",INDEX(BookRate,1152)*(1+'5. Scenarios'!$C$10)*(INDEX(BookQ1,1152)*(5-MIN(4,1+'5. Scenarios'!$C$8))/4+INDEX(BookQ2,1152)*(5-MIN(4,2+'5. Scenarios'!$C$8))/4+INDEX(BookQ3,1152)*(5-MIN(4,3+'5. Scenarios'!$C$8))/4+INDEX(BookQ4,1152)*(5-MIN(4,4+'5. Scenarios'!$C$8))/4)*'5. Scenarios'!$C$6/(1+ProductivityDefault*('5. Scenarios'!$C$11-1))+INDEX(BookOneOff,1152)*$I1157)</f>
        <v/>
      </c>
      <c r="N1157" s="56" t="str">
        <f aca="false">IF(INDEX(BookTitle,1152)="","",INDEX(BookTotal,1152)*'5. Scenarios'!$D$6/(1+ProductivityDefault*('5. Scenarios'!$D$11-1)))</f>
        <v/>
      </c>
      <c r="O1157" s="57" t="str">
        <f aca="false">IF($N1157="","",INDEX(BookRate,1152)*(1+'5. Scenarios'!$D$10)*$N1157)</f>
        <v/>
      </c>
      <c r="P1157" s="57" t="str">
        <f aca="false">IF($O1157="","",SUMIFS($O$6:$O$2405,$A$6:$A$2405,"&lt;="&amp;$A1157))</f>
        <v/>
      </c>
      <c r="Q1157" s="57" t="str">
        <f aca="false">IF($O1157="","",IF($P1157&lt;=BankCostEnvelope*'5. Scenarios'!$D$7,1,0))</f>
        <v/>
      </c>
      <c r="R1157" s="57" t="str">
        <f aca="false">IF($N1157="","",INDEX(BookRate,1152)*(1+'5. Scenarios'!$D$10)*(INDEX(BookQ1,1152)*(5-MIN(4,1+'5. Scenarios'!$D$8))/4+INDEX(BookQ2,1152)*(5-MIN(4,2+'5. Scenarios'!$D$8))/4+INDEX(BookQ3,1152)*(5-MIN(4,3+'5. Scenarios'!$D$8))/4+INDEX(BookQ4,1152)*(5-MIN(4,4+'5. Scenarios'!$D$8))/4)*'5. Scenarios'!$D$6/(1+ProductivityDefault*('5. Scenarios'!$D$11-1))+INDEX(BookOneOff,1152)*$N1157)</f>
        <v/>
      </c>
      <c r="S1157" s="56" t="str">
        <f aca="false">IF(INDEX(BookTitle,1152)="","",INDEX(BookTotal,1152)*'5. Scenarios'!$E$6/(1+ProductivityDefault*('5. Scenarios'!$E$11-1)))</f>
        <v/>
      </c>
      <c r="T1157" s="57" t="str">
        <f aca="false">IF($S1157="","",INDEX(BookRate,1152)*(1+'5. Scenarios'!$E$10)*$S1157)</f>
        <v/>
      </c>
      <c r="U1157" s="57" t="str">
        <f aca="false">IF($T1157="","",SUMIFS($T$6:$T$2405,$A$6:$A$2405,"&lt;="&amp;$A1157))</f>
        <v/>
      </c>
      <c r="V1157" s="57" t="str">
        <f aca="false">IF($T1157="","",IF($U1157&lt;=BankCostEnvelope*'5. Scenarios'!$E$7,1,0))</f>
        <v/>
      </c>
      <c r="W1157" s="57" t="str">
        <f aca="false">IF($S1157="","",INDEX(BookRate,1152)*(1+'5. Scenarios'!$E$10)*(INDEX(BookQ1,1152)*(5-MIN(4,1+'5. Scenarios'!$E$8))/4+INDEX(BookQ2,1152)*(5-MIN(4,2+'5. Scenarios'!$E$8))/4+INDEX(BookQ3,1152)*(5-MIN(4,3+'5. Scenarios'!$E$8))/4+INDEX(BookQ4,1152)*(5-MIN(4,4+'5. Scenarios'!$E$8))/4)*'5. Scenarios'!$E$6/(1+ProductivityDefault*('5. Scenarios'!$E$11-1))+INDEX(BookOneOff,1152)*$S1157)</f>
        <v/>
      </c>
    </row>
    <row r="1158" customFormat="false" ht="15" hidden="false" customHeight="false" outlineLevel="0" collapsed="false">
      <c r="A1158" s="0" t="str">
        <f aca="false">IF(INDEX(BookTitle,1153)="","",INDEX(BookKey,1153))</f>
        <v/>
      </c>
      <c r="B1158" s="0" t="str">
        <f aca="false">IF(INDEX(BookTitle,1153)="","",INDEX(BookGroup,1153))</f>
        <v/>
      </c>
      <c r="C1158" s="0" t="str">
        <f aca="false">IF(INDEX(BookTitle,1153)="","",INDEX(BookCategory,1153))</f>
        <v/>
      </c>
      <c r="D1158" s="56" t="str">
        <f aca="false">IF(INDEX(BookTitle,1153)="","",INDEX(BookTotal,1153)*'5. Scenarios'!$B$6/(1+ProductivityDefault*('5. Scenarios'!$B$11-1)))</f>
        <v/>
      </c>
      <c r="E1158" s="57" t="str">
        <f aca="false">IF($D1158="","",INDEX(BookRate,1153)*(1+'5. Scenarios'!$B$10)*$D1158)</f>
        <v/>
      </c>
      <c r="F1158" s="57" t="str">
        <f aca="false">IF($E1158="","",SUMIFS($E$6:$E$2405,$A$6:$A$2405,"&lt;="&amp;$A1158))</f>
        <v/>
      </c>
      <c r="G1158" s="57" t="str">
        <f aca="false">IF($E1158="","",IF($F1158&lt;=BankCostEnvelope*'5. Scenarios'!$B$7,1,0))</f>
        <v/>
      </c>
      <c r="H1158" s="57" t="str">
        <f aca="false">IF($D1158="","",INDEX(BookRate,1153)*(1+'5. Scenarios'!$B$10)*(INDEX(BookQ1,1153)*(5-MIN(4,1+'5. Scenarios'!$B$8))/4+INDEX(BookQ2,1153)*(5-MIN(4,2+'5. Scenarios'!$B$8))/4+INDEX(BookQ3,1153)*(5-MIN(4,3+'5. Scenarios'!$B$8))/4+INDEX(BookQ4,1153)*(5-MIN(4,4+'5. Scenarios'!$B$8))/4)*'5. Scenarios'!$B$6/(1+ProductivityDefault*('5. Scenarios'!$B$11-1))+INDEX(BookOneOff,1153)*$D1158)</f>
        <v/>
      </c>
      <c r="I1158" s="56" t="str">
        <f aca="false">IF(INDEX(BookTitle,1153)="","",INDEX(BookTotal,1153)*'5. Scenarios'!$C$6/(1+ProductivityDefault*('5. Scenarios'!$C$11-1)))</f>
        <v/>
      </c>
      <c r="J1158" s="57" t="str">
        <f aca="false">IF($I1158="","",INDEX(BookRate,1153)*(1+'5. Scenarios'!$C$10)*$I1158)</f>
        <v/>
      </c>
      <c r="K1158" s="57" t="str">
        <f aca="false">IF($J1158="","",SUMIFS($J$6:$J$2405,$A$6:$A$2405,"&lt;="&amp;$A1158))</f>
        <v/>
      </c>
      <c r="L1158" s="57" t="str">
        <f aca="false">IF($J1158="","",IF($K1158&lt;=BankCostEnvelope*'5. Scenarios'!$C$7,1,0))</f>
        <v/>
      </c>
      <c r="M1158" s="57" t="str">
        <f aca="false">IF($I1158="","",INDEX(BookRate,1153)*(1+'5. Scenarios'!$C$10)*(INDEX(BookQ1,1153)*(5-MIN(4,1+'5. Scenarios'!$C$8))/4+INDEX(BookQ2,1153)*(5-MIN(4,2+'5. Scenarios'!$C$8))/4+INDEX(BookQ3,1153)*(5-MIN(4,3+'5. Scenarios'!$C$8))/4+INDEX(BookQ4,1153)*(5-MIN(4,4+'5. Scenarios'!$C$8))/4)*'5. Scenarios'!$C$6/(1+ProductivityDefault*('5. Scenarios'!$C$11-1))+INDEX(BookOneOff,1153)*$I1158)</f>
        <v/>
      </c>
      <c r="N1158" s="56" t="str">
        <f aca="false">IF(INDEX(BookTitle,1153)="","",INDEX(BookTotal,1153)*'5. Scenarios'!$D$6/(1+ProductivityDefault*('5. Scenarios'!$D$11-1)))</f>
        <v/>
      </c>
      <c r="O1158" s="57" t="str">
        <f aca="false">IF($N1158="","",INDEX(BookRate,1153)*(1+'5. Scenarios'!$D$10)*$N1158)</f>
        <v/>
      </c>
      <c r="P1158" s="57" t="str">
        <f aca="false">IF($O1158="","",SUMIFS($O$6:$O$2405,$A$6:$A$2405,"&lt;="&amp;$A1158))</f>
        <v/>
      </c>
      <c r="Q1158" s="57" t="str">
        <f aca="false">IF($O1158="","",IF($P1158&lt;=BankCostEnvelope*'5. Scenarios'!$D$7,1,0))</f>
        <v/>
      </c>
      <c r="R1158" s="57" t="str">
        <f aca="false">IF($N1158="","",INDEX(BookRate,1153)*(1+'5. Scenarios'!$D$10)*(INDEX(BookQ1,1153)*(5-MIN(4,1+'5. Scenarios'!$D$8))/4+INDEX(BookQ2,1153)*(5-MIN(4,2+'5. Scenarios'!$D$8))/4+INDEX(BookQ3,1153)*(5-MIN(4,3+'5. Scenarios'!$D$8))/4+INDEX(BookQ4,1153)*(5-MIN(4,4+'5. Scenarios'!$D$8))/4)*'5. Scenarios'!$D$6/(1+ProductivityDefault*('5. Scenarios'!$D$11-1))+INDEX(BookOneOff,1153)*$N1158)</f>
        <v/>
      </c>
      <c r="S1158" s="56" t="str">
        <f aca="false">IF(INDEX(BookTitle,1153)="","",INDEX(BookTotal,1153)*'5. Scenarios'!$E$6/(1+ProductivityDefault*('5. Scenarios'!$E$11-1)))</f>
        <v/>
      </c>
      <c r="T1158" s="57" t="str">
        <f aca="false">IF($S1158="","",INDEX(BookRate,1153)*(1+'5. Scenarios'!$E$10)*$S1158)</f>
        <v/>
      </c>
      <c r="U1158" s="57" t="str">
        <f aca="false">IF($T1158="","",SUMIFS($T$6:$T$2405,$A$6:$A$2405,"&lt;="&amp;$A1158))</f>
        <v/>
      </c>
      <c r="V1158" s="57" t="str">
        <f aca="false">IF($T1158="","",IF($U1158&lt;=BankCostEnvelope*'5. Scenarios'!$E$7,1,0))</f>
        <v/>
      </c>
      <c r="W1158" s="57" t="str">
        <f aca="false">IF($S1158="","",INDEX(BookRate,1153)*(1+'5. Scenarios'!$E$10)*(INDEX(BookQ1,1153)*(5-MIN(4,1+'5. Scenarios'!$E$8))/4+INDEX(BookQ2,1153)*(5-MIN(4,2+'5. Scenarios'!$E$8))/4+INDEX(BookQ3,1153)*(5-MIN(4,3+'5. Scenarios'!$E$8))/4+INDEX(BookQ4,1153)*(5-MIN(4,4+'5. Scenarios'!$E$8))/4)*'5. Scenarios'!$E$6/(1+ProductivityDefault*('5. Scenarios'!$E$11-1))+INDEX(BookOneOff,1153)*$S1158)</f>
        <v/>
      </c>
    </row>
    <row r="1159" customFormat="false" ht="15" hidden="false" customHeight="false" outlineLevel="0" collapsed="false">
      <c r="A1159" s="0" t="str">
        <f aca="false">IF(INDEX(BookTitle,1154)="","",INDEX(BookKey,1154))</f>
        <v/>
      </c>
      <c r="B1159" s="0" t="str">
        <f aca="false">IF(INDEX(BookTitle,1154)="","",INDEX(BookGroup,1154))</f>
        <v/>
      </c>
      <c r="C1159" s="0" t="str">
        <f aca="false">IF(INDEX(BookTitle,1154)="","",INDEX(BookCategory,1154))</f>
        <v/>
      </c>
      <c r="D1159" s="56" t="str">
        <f aca="false">IF(INDEX(BookTitle,1154)="","",INDEX(BookTotal,1154)*'5. Scenarios'!$B$6/(1+ProductivityDefault*('5. Scenarios'!$B$11-1)))</f>
        <v/>
      </c>
      <c r="E1159" s="57" t="str">
        <f aca="false">IF($D1159="","",INDEX(BookRate,1154)*(1+'5. Scenarios'!$B$10)*$D1159)</f>
        <v/>
      </c>
      <c r="F1159" s="57" t="str">
        <f aca="false">IF($E1159="","",SUMIFS($E$6:$E$2405,$A$6:$A$2405,"&lt;="&amp;$A1159))</f>
        <v/>
      </c>
      <c r="G1159" s="57" t="str">
        <f aca="false">IF($E1159="","",IF($F1159&lt;=BankCostEnvelope*'5. Scenarios'!$B$7,1,0))</f>
        <v/>
      </c>
      <c r="H1159" s="57" t="str">
        <f aca="false">IF($D1159="","",INDEX(BookRate,1154)*(1+'5. Scenarios'!$B$10)*(INDEX(BookQ1,1154)*(5-MIN(4,1+'5. Scenarios'!$B$8))/4+INDEX(BookQ2,1154)*(5-MIN(4,2+'5. Scenarios'!$B$8))/4+INDEX(BookQ3,1154)*(5-MIN(4,3+'5. Scenarios'!$B$8))/4+INDEX(BookQ4,1154)*(5-MIN(4,4+'5. Scenarios'!$B$8))/4)*'5. Scenarios'!$B$6/(1+ProductivityDefault*('5. Scenarios'!$B$11-1))+INDEX(BookOneOff,1154)*$D1159)</f>
        <v/>
      </c>
      <c r="I1159" s="56" t="str">
        <f aca="false">IF(INDEX(BookTitle,1154)="","",INDEX(BookTotal,1154)*'5. Scenarios'!$C$6/(1+ProductivityDefault*('5. Scenarios'!$C$11-1)))</f>
        <v/>
      </c>
      <c r="J1159" s="57" t="str">
        <f aca="false">IF($I1159="","",INDEX(BookRate,1154)*(1+'5. Scenarios'!$C$10)*$I1159)</f>
        <v/>
      </c>
      <c r="K1159" s="57" t="str">
        <f aca="false">IF($J1159="","",SUMIFS($J$6:$J$2405,$A$6:$A$2405,"&lt;="&amp;$A1159))</f>
        <v/>
      </c>
      <c r="L1159" s="57" t="str">
        <f aca="false">IF($J1159="","",IF($K1159&lt;=BankCostEnvelope*'5. Scenarios'!$C$7,1,0))</f>
        <v/>
      </c>
      <c r="M1159" s="57" t="str">
        <f aca="false">IF($I1159="","",INDEX(BookRate,1154)*(1+'5. Scenarios'!$C$10)*(INDEX(BookQ1,1154)*(5-MIN(4,1+'5. Scenarios'!$C$8))/4+INDEX(BookQ2,1154)*(5-MIN(4,2+'5. Scenarios'!$C$8))/4+INDEX(BookQ3,1154)*(5-MIN(4,3+'5. Scenarios'!$C$8))/4+INDEX(BookQ4,1154)*(5-MIN(4,4+'5. Scenarios'!$C$8))/4)*'5. Scenarios'!$C$6/(1+ProductivityDefault*('5. Scenarios'!$C$11-1))+INDEX(BookOneOff,1154)*$I1159)</f>
        <v/>
      </c>
      <c r="N1159" s="56" t="str">
        <f aca="false">IF(INDEX(BookTitle,1154)="","",INDEX(BookTotal,1154)*'5. Scenarios'!$D$6/(1+ProductivityDefault*('5. Scenarios'!$D$11-1)))</f>
        <v/>
      </c>
      <c r="O1159" s="57" t="str">
        <f aca="false">IF($N1159="","",INDEX(BookRate,1154)*(1+'5. Scenarios'!$D$10)*$N1159)</f>
        <v/>
      </c>
      <c r="P1159" s="57" t="str">
        <f aca="false">IF($O1159="","",SUMIFS($O$6:$O$2405,$A$6:$A$2405,"&lt;="&amp;$A1159))</f>
        <v/>
      </c>
      <c r="Q1159" s="57" t="str">
        <f aca="false">IF($O1159="","",IF($P1159&lt;=BankCostEnvelope*'5. Scenarios'!$D$7,1,0))</f>
        <v/>
      </c>
      <c r="R1159" s="57" t="str">
        <f aca="false">IF($N1159="","",INDEX(BookRate,1154)*(1+'5. Scenarios'!$D$10)*(INDEX(BookQ1,1154)*(5-MIN(4,1+'5. Scenarios'!$D$8))/4+INDEX(BookQ2,1154)*(5-MIN(4,2+'5. Scenarios'!$D$8))/4+INDEX(BookQ3,1154)*(5-MIN(4,3+'5. Scenarios'!$D$8))/4+INDEX(BookQ4,1154)*(5-MIN(4,4+'5. Scenarios'!$D$8))/4)*'5. Scenarios'!$D$6/(1+ProductivityDefault*('5. Scenarios'!$D$11-1))+INDEX(BookOneOff,1154)*$N1159)</f>
        <v/>
      </c>
      <c r="S1159" s="56" t="str">
        <f aca="false">IF(INDEX(BookTitle,1154)="","",INDEX(BookTotal,1154)*'5. Scenarios'!$E$6/(1+ProductivityDefault*('5. Scenarios'!$E$11-1)))</f>
        <v/>
      </c>
      <c r="T1159" s="57" t="str">
        <f aca="false">IF($S1159="","",INDEX(BookRate,1154)*(1+'5. Scenarios'!$E$10)*$S1159)</f>
        <v/>
      </c>
      <c r="U1159" s="57" t="str">
        <f aca="false">IF($T1159="","",SUMIFS($T$6:$T$2405,$A$6:$A$2405,"&lt;="&amp;$A1159))</f>
        <v/>
      </c>
      <c r="V1159" s="57" t="str">
        <f aca="false">IF($T1159="","",IF($U1159&lt;=BankCostEnvelope*'5. Scenarios'!$E$7,1,0))</f>
        <v/>
      </c>
      <c r="W1159" s="57" t="str">
        <f aca="false">IF($S1159="","",INDEX(BookRate,1154)*(1+'5. Scenarios'!$E$10)*(INDEX(BookQ1,1154)*(5-MIN(4,1+'5. Scenarios'!$E$8))/4+INDEX(BookQ2,1154)*(5-MIN(4,2+'5. Scenarios'!$E$8))/4+INDEX(BookQ3,1154)*(5-MIN(4,3+'5. Scenarios'!$E$8))/4+INDEX(BookQ4,1154)*(5-MIN(4,4+'5. Scenarios'!$E$8))/4)*'5. Scenarios'!$E$6/(1+ProductivityDefault*('5. Scenarios'!$E$11-1))+INDEX(BookOneOff,1154)*$S1159)</f>
        <v/>
      </c>
    </row>
    <row r="1160" customFormat="false" ht="15" hidden="false" customHeight="false" outlineLevel="0" collapsed="false">
      <c r="A1160" s="0" t="str">
        <f aca="false">IF(INDEX(BookTitle,1155)="","",INDEX(BookKey,1155))</f>
        <v/>
      </c>
      <c r="B1160" s="0" t="str">
        <f aca="false">IF(INDEX(BookTitle,1155)="","",INDEX(BookGroup,1155))</f>
        <v/>
      </c>
      <c r="C1160" s="0" t="str">
        <f aca="false">IF(INDEX(BookTitle,1155)="","",INDEX(BookCategory,1155))</f>
        <v/>
      </c>
      <c r="D1160" s="56" t="str">
        <f aca="false">IF(INDEX(BookTitle,1155)="","",INDEX(BookTotal,1155)*'5. Scenarios'!$B$6/(1+ProductivityDefault*('5. Scenarios'!$B$11-1)))</f>
        <v/>
      </c>
      <c r="E1160" s="57" t="str">
        <f aca="false">IF($D1160="","",INDEX(BookRate,1155)*(1+'5. Scenarios'!$B$10)*$D1160)</f>
        <v/>
      </c>
      <c r="F1160" s="57" t="str">
        <f aca="false">IF($E1160="","",SUMIFS($E$6:$E$2405,$A$6:$A$2405,"&lt;="&amp;$A1160))</f>
        <v/>
      </c>
      <c r="G1160" s="57" t="str">
        <f aca="false">IF($E1160="","",IF($F1160&lt;=BankCostEnvelope*'5. Scenarios'!$B$7,1,0))</f>
        <v/>
      </c>
      <c r="H1160" s="57" t="str">
        <f aca="false">IF($D1160="","",INDEX(BookRate,1155)*(1+'5. Scenarios'!$B$10)*(INDEX(BookQ1,1155)*(5-MIN(4,1+'5. Scenarios'!$B$8))/4+INDEX(BookQ2,1155)*(5-MIN(4,2+'5. Scenarios'!$B$8))/4+INDEX(BookQ3,1155)*(5-MIN(4,3+'5. Scenarios'!$B$8))/4+INDEX(BookQ4,1155)*(5-MIN(4,4+'5. Scenarios'!$B$8))/4)*'5. Scenarios'!$B$6/(1+ProductivityDefault*('5. Scenarios'!$B$11-1))+INDEX(BookOneOff,1155)*$D1160)</f>
        <v/>
      </c>
      <c r="I1160" s="56" t="str">
        <f aca="false">IF(INDEX(BookTitle,1155)="","",INDEX(BookTotal,1155)*'5. Scenarios'!$C$6/(1+ProductivityDefault*('5. Scenarios'!$C$11-1)))</f>
        <v/>
      </c>
      <c r="J1160" s="57" t="str">
        <f aca="false">IF($I1160="","",INDEX(BookRate,1155)*(1+'5. Scenarios'!$C$10)*$I1160)</f>
        <v/>
      </c>
      <c r="K1160" s="57" t="str">
        <f aca="false">IF($J1160="","",SUMIFS($J$6:$J$2405,$A$6:$A$2405,"&lt;="&amp;$A1160))</f>
        <v/>
      </c>
      <c r="L1160" s="57" t="str">
        <f aca="false">IF($J1160="","",IF($K1160&lt;=BankCostEnvelope*'5. Scenarios'!$C$7,1,0))</f>
        <v/>
      </c>
      <c r="M1160" s="57" t="str">
        <f aca="false">IF($I1160="","",INDEX(BookRate,1155)*(1+'5. Scenarios'!$C$10)*(INDEX(BookQ1,1155)*(5-MIN(4,1+'5. Scenarios'!$C$8))/4+INDEX(BookQ2,1155)*(5-MIN(4,2+'5. Scenarios'!$C$8))/4+INDEX(BookQ3,1155)*(5-MIN(4,3+'5. Scenarios'!$C$8))/4+INDEX(BookQ4,1155)*(5-MIN(4,4+'5. Scenarios'!$C$8))/4)*'5. Scenarios'!$C$6/(1+ProductivityDefault*('5. Scenarios'!$C$11-1))+INDEX(BookOneOff,1155)*$I1160)</f>
        <v/>
      </c>
      <c r="N1160" s="56" t="str">
        <f aca="false">IF(INDEX(BookTitle,1155)="","",INDEX(BookTotal,1155)*'5. Scenarios'!$D$6/(1+ProductivityDefault*('5. Scenarios'!$D$11-1)))</f>
        <v/>
      </c>
      <c r="O1160" s="57" t="str">
        <f aca="false">IF($N1160="","",INDEX(BookRate,1155)*(1+'5. Scenarios'!$D$10)*$N1160)</f>
        <v/>
      </c>
      <c r="P1160" s="57" t="str">
        <f aca="false">IF($O1160="","",SUMIFS($O$6:$O$2405,$A$6:$A$2405,"&lt;="&amp;$A1160))</f>
        <v/>
      </c>
      <c r="Q1160" s="57" t="str">
        <f aca="false">IF($O1160="","",IF($P1160&lt;=BankCostEnvelope*'5. Scenarios'!$D$7,1,0))</f>
        <v/>
      </c>
      <c r="R1160" s="57" t="str">
        <f aca="false">IF($N1160="","",INDEX(BookRate,1155)*(1+'5. Scenarios'!$D$10)*(INDEX(BookQ1,1155)*(5-MIN(4,1+'5. Scenarios'!$D$8))/4+INDEX(BookQ2,1155)*(5-MIN(4,2+'5. Scenarios'!$D$8))/4+INDEX(BookQ3,1155)*(5-MIN(4,3+'5. Scenarios'!$D$8))/4+INDEX(BookQ4,1155)*(5-MIN(4,4+'5. Scenarios'!$D$8))/4)*'5. Scenarios'!$D$6/(1+ProductivityDefault*('5. Scenarios'!$D$11-1))+INDEX(BookOneOff,1155)*$N1160)</f>
        <v/>
      </c>
      <c r="S1160" s="56" t="str">
        <f aca="false">IF(INDEX(BookTitle,1155)="","",INDEX(BookTotal,1155)*'5. Scenarios'!$E$6/(1+ProductivityDefault*('5. Scenarios'!$E$11-1)))</f>
        <v/>
      </c>
      <c r="T1160" s="57" t="str">
        <f aca="false">IF($S1160="","",INDEX(BookRate,1155)*(1+'5. Scenarios'!$E$10)*$S1160)</f>
        <v/>
      </c>
      <c r="U1160" s="57" t="str">
        <f aca="false">IF($T1160="","",SUMIFS($T$6:$T$2405,$A$6:$A$2405,"&lt;="&amp;$A1160))</f>
        <v/>
      </c>
      <c r="V1160" s="57" t="str">
        <f aca="false">IF($T1160="","",IF($U1160&lt;=BankCostEnvelope*'5. Scenarios'!$E$7,1,0))</f>
        <v/>
      </c>
      <c r="W1160" s="57" t="str">
        <f aca="false">IF($S1160="","",INDEX(BookRate,1155)*(1+'5. Scenarios'!$E$10)*(INDEX(BookQ1,1155)*(5-MIN(4,1+'5. Scenarios'!$E$8))/4+INDEX(BookQ2,1155)*(5-MIN(4,2+'5. Scenarios'!$E$8))/4+INDEX(BookQ3,1155)*(5-MIN(4,3+'5. Scenarios'!$E$8))/4+INDEX(BookQ4,1155)*(5-MIN(4,4+'5. Scenarios'!$E$8))/4)*'5. Scenarios'!$E$6/(1+ProductivityDefault*('5. Scenarios'!$E$11-1))+INDEX(BookOneOff,1155)*$S1160)</f>
        <v/>
      </c>
    </row>
    <row r="1161" customFormat="false" ht="15" hidden="false" customHeight="false" outlineLevel="0" collapsed="false">
      <c r="A1161" s="0" t="str">
        <f aca="false">IF(INDEX(BookTitle,1156)="","",INDEX(BookKey,1156))</f>
        <v/>
      </c>
      <c r="B1161" s="0" t="str">
        <f aca="false">IF(INDEX(BookTitle,1156)="","",INDEX(BookGroup,1156))</f>
        <v/>
      </c>
      <c r="C1161" s="0" t="str">
        <f aca="false">IF(INDEX(BookTitle,1156)="","",INDEX(BookCategory,1156))</f>
        <v/>
      </c>
      <c r="D1161" s="56" t="str">
        <f aca="false">IF(INDEX(BookTitle,1156)="","",INDEX(BookTotal,1156)*'5. Scenarios'!$B$6/(1+ProductivityDefault*('5. Scenarios'!$B$11-1)))</f>
        <v/>
      </c>
      <c r="E1161" s="57" t="str">
        <f aca="false">IF($D1161="","",INDEX(BookRate,1156)*(1+'5. Scenarios'!$B$10)*$D1161)</f>
        <v/>
      </c>
      <c r="F1161" s="57" t="str">
        <f aca="false">IF($E1161="","",SUMIFS($E$6:$E$2405,$A$6:$A$2405,"&lt;="&amp;$A1161))</f>
        <v/>
      </c>
      <c r="G1161" s="57" t="str">
        <f aca="false">IF($E1161="","",IF($F1161&lt;=BankCostEnvelope*'5. Scenarios'!$B$7,1,0))</f>
        <v/>
      </c>
      <c r="H1161" s="57" t="str">
        <f aca="false">IF($D1161="","",INDEX(BookRate,1156)*(1+'5. Scenarios'!$B$10)*(INDEX(BookQ1,1156)*(5-MIN(4,1+'5. Scenarios'!$B$8))/4+INDEX(BookQ2,1156)*(5-MIN(4,2+'5. Scenarios'!$B$8))/4+INDEX(BookQ3,1156)*(5-MIN(4,3+'5. Scenarios'!$B$8))/4+INDEX(BookQ4,1156)*(5-MIN(4,4+'5. Scenarios'!$B$8))/4)*'5. Scenarios'!$B$6/(1+ProductivityDefault*('5. Scenarios'!$B$11-1))+INDEX(BookOneOff,1156)*$D1161)</f>
        <v/>
      </c>
      <c r="I1161" s="56" t="str">
        <f aca="false">IF(INDEX(BookTitle,1156)="","",INDEX(BookTotal,1156)*'5. Scenarios'!$C$6/(1+ProductivityDefault*('5. Scenarios'!$C$11-1)))</f>
        <v/>
      </c>
      <c r="J1161" s="57" t="str">
        <f aca="false">IF($I1161="","",INDEX(BookRate,1156)*(1+'5. Scenarios'!$C$10)*$I1161)</f>
        <v/>
      </c>
      <c r="K1161" s="57" t="str">
        <f aca="false">IF($J1161="","",SUMIFS($J$6:$J$2405,$A$6:$A$2405,"&lt;="&amp;$A1161))</f>
        <v/>
      </c>
      <c r="L1161" s="57" t="str">
        <f aca="false">IF($J1161="","",IF($K1161&lt;=BankCostEnvelope*'5. Scenarios'!$C$7,1,0))</f>
        <v/>
      </c>
      <c r="M1161" s="57" t="str">
        <f aca="false">IF($I1161="","",INDEX(BookRate,1156)*(1+'5. Scenarios'!$C$10)*(INDEX(BookQ1,1156)*(5-MIN(4,1+'5. Scenarios'!$C$8))/4+INDEX(BookQ2,1156)*(5-MIN(4,2+'5. Scenarios'!$C$8))/4+INDEX(BookQ3,1156)*(5-MIN(4,3+'5. Scenarios'!$C$8))/4+INDEX(BookQ4,1156)*(5-MIN(4,4+'5. Scenarios'!$C$8))/4)*'5. Scenarios'!$C$6/(1+ProductivityDefault*('5. Scenarios'!$C$11-1))+INDEX(BookOneOff,1156)*$I1161)</f>
        <v/>
      </c>
      <c r="N1161" s="56" t="str">
        <f aca="false">IF(INDEX(BookTitle,1156)="","",INDEX(BookTotal,1156)*'5. Scenarios'!$D$6/(1+ProductivityDefault*('5. Scenarios'!$D$11-1)))</f>
        <v/>
      </c>
      <c r="O1161" s="57" t="str">
        <f aca="false">IF($N1161="","",INDEX(BookRate,1156)*(1+'5. Scenarios'!$D$10)*$N1161)</f>
        <v/>
      </c>
      <c r="P1161" s="57" t="str">
        <f aca="false">IF($O1161="","",SUMIFS($O$6:$O$2405,$A$6:$A$2405,"&lt;="&amp;$A1161))</f>
        <v/>
      </c>
      <c r="Q1161" s="57" t="str">
        <f aca="false">IF($O1161="","",IF($P1161&lt;=BankCostEnvelope*'5. Scenarios'!$D$7,1,0))</f>
        <v/>
      </c>
      <c r="R1161" s="57" t="str">
        <f aca="false">IF($N1161="","",INDEX(BookRate,1156)*(1+'5. Scenarios'!$D$10)*(INDEX(BookQ1,1156)*(5-MIN(4,1+'5. Scenarios'!$D$8))/4+INDEX(BookQ2,1156)*(5-MIN(4,2+'5. Scenarios'!$D$8))/4+INDEX(BookQ3,1156)*(5-MIN(4,3+'5. Scenarios'!$D$8))/4+INDEX(BookQ4,1156)*(5-MIN(4,4+'5. Scenarios'!$D$8))/4)*'5. Scenarios'!$D$6/(1+ProductivityDefault*('5. Scenarios'!$D$11-1))+INDEX(BookOneOff,1156)*$N1161)</f>
        <v/>
      </c>
      <c r="S1161" s="56" t="str">
        <f aca="false">IF(INDEX(BookTitle,1156)="","",INDEX(BookTotal,1156)*'5. Scenarios'!$E$6/(1+ProductivityDefault*('5. Scenarios'!$E$11-1)))</f>
        <v/>
      </c>
      <c r="T1161" s="57" t="str">
        <f aca="false">IF($S1161="","",INDEX(BookRate,1156)*(1+'5. Scenarios'!$E$10)*$S1161)</f>
        <v/>
      </c>
      <c r="U1161" s="57" t="str">
        <f aca="false">IF($T1161="","",SUMIFS($T$6:$T$2405,$A$6:$A$2405,"&lt;="&amp;$A1161))</f>
        <v/>
      </c>
      <c r="V1161" s="57" t="str">
        <f aca="false">IF($T1161="","",IF($U1161&lt;=BankCostEnvelope*'5. Scenarios'!$E$7,1,0))</f>
        <v/>
      </c>
      <c r="W1161" s="57" t="str">
        <f aca="false">IF($S1161="","",INDEX(BookRate,1156)*(1+'5. Scenarios'!$E$10)*(INDEX(BookQ1,1156)*(5-MIN(4,1+'5. Scenarios'!$E$8))/4+INDEX(BookQ2,1156)*(5-MIN(4,2+'5. Scenarios'!$E$8))/4+INDEX(BookQ3,1156)*(5-MIN(4,3+'5. Scenarios'!$E$8))/4+INDEX(BookQ4,1156)*(5-MIN(4,4+'5. Scenarios'!$E$8))/4)*'5. Scenarios'!$E$6/(1+ProductivityDefault*('5. Scenarios'!$E$11-1))+INDEX(BookOneOff,1156)*$S1161)</f>
        <v/>
      </c>
    </row>
    <row r="1162" customFormat="false" ht="15" hidden="false" customHeight="false" outlineLevel="0" collapsed="false">
      <c r="A1162" s="0" t="str">
        <f aca="false">IF(INDEX(BookTitle,1157)="","",INDEX(BookKey,1157))</f>
        <v/>
      </c>
      <c r="B1162" s="0" t="str">
        <f aca="false">IF(INDEX(BookTitle,1157)="","",INDEX(BookGroup,1157))</f>
        <v/>
      </c>
      <c r="C1162" s="0" t="str">
        <f aca="false">IF(INDEX(BookTitle,1157)="","",INDEX(BookCategory,1157))</f>
        <v/>
      </c>
      <c r="D1162" s="56" t="str">
        <f aca="false">IF(INDEX(BookTitle,1157)="","",INDEX(BookTotal,1157)*'5. Scenarios'!$B$6/(1+ProductivityDefault*('5. Scenarios'!$B$11-1)))</f>
        <v/>
      </c>
      <c r="E1162" s="57" t="str">
        <f aca="false">IF($D1162="","",INDEX(BookRate,1157)*(1+'5. Scenarios'!$B$10)*$D1162)</f>
        <v/>
      </c>
      <c r="F1162" s="57" t="str">
        <f aca="false">IF($E1162="","",SUMIFS($E$6:$E$2405,$A$6:$A$2405,"&lt;="&amp;$A1162))</f>
        <v/>
      </c>
      <c r="G1162" s="57" t="str">
        <f aca="false">IF($E1162="","",IF($F1162&lt;=BankCostEnvelope*'5. Scenarios'!$B$7,1,0))</f>
        <v/>
      </c>
      <c r="H1162" s="57" t="str">
        <f aca="false">IF($D1162="","",INDEX(BookRate,1157)*(1+'5. Scenarios'!$B$10)*(INDEX(BookQ1,1157)*(5-MIN(4,1+'5. Scenarios'!$B$8))/4+INDEX(BookQ2,1157)*(5-MIN(4,2+'5. Scenarios'!$B$8))/4+INDEX(BookQ3,1157)*(5-MIN(4,3+'5. Scenarios'!$B$8))/4+INDEX(BookQ4,1157)*(5-MIN(4,4+'5. Scenarios'!$B$8))/4)*'5. Scenarios'!$B$6/(1+ProductivityDefault*('5. Scenarios'!$B$11-1))+INDEX(BookOneOff,1157)*$D1162)</f>
        <v/>
      </c>
      <c r="I1162" s="56" t="str">
        <f aca="false">IF(INDEX(BookTitle,1157)="","",INDEX(BookTotal,1157)*'5. Scenarios'!$C$6/(1+ProductivityDefault*('5. Scenarios'!$C$11-1)))</f>
        <v/>
      </c>
      <c r="J1162" s="57" t="str">
        <f aca="false">IF($I1162="","",INDEX(BookRate,1157)*(1+'5. Scenarios'!$C$10)*$I1162)</f>
        <v/>
      </c>
      <c r="K1162" s="57" t="str">
        <f aca="false">IF($J1162="","",SUMIFS($J$6:$J$2405,$A$6:$A$2405,"&lt;="&amp;$A1162))</f>
        <v/>
      </c>
      <c r="L1162" s="57" t="str">
        <f aca="false">IF($J1162="","",IF($K1162&lt;=BankCostEnvelope*'5. Scenarios'!$C$7,1,0))</f>
        <v/>
      </c>
      <c r="M1162" s="57" t="str">
        <f aca="false">IF($I1162="","",INDEX(BookRate,1157)*(1+'5. Scenarios'!$C$10)*(INDEX(BookQ1,1157)*(5-MIN(4,1+'5. Scenarios'!$C$8))/4+INDEX(BookQ2,1157)*(5-MIN(4,2+'5. Scenarios'!$C$8))/4+INDEX(BookQ3,1157)*(5-MIN(4,3+'5. Scenarios'!$C$8))/4+INDEX(BookQ4,1157)*(5-MIN(4,4+'5. Scenarios'!$C$8))/4)*'5. Scenarios'!$C$6/(1+ProductivityDefault*('5. Scenarios'!$C$11-1))+INDEX(BookOneOff,1157)*$I1162)</f>
        <v/>
      </c>
      <c r="N1162" s="56" t="str">
        <f aca="false">IF(INDEX(BookTitle,1157)="","",INDEX(BookTotal,1157)*'5. Scenarios'!$D$6/(1+ProductivityDefault*('5. Scenarios'!$D$11-1)))</f>
        <v/>
      </c>
      <c r="O1162" s="57" t="str">
        <f aca="false">IF($N1162="","",INDEX(BookRate,1157)*(1+'5. Scenarios'!$D$10)*$N1162)</f>
        <v/>
      </c>
      <c r="P1162" s="57" t="str">
        <f aca="false">IF($O1162="","",SUMIFS($O$6:$O$2405,$A$6:$A$2405,"&lt;="&amp;$A1162))</f>
        <v/>
      </c>
      <c r="Q1162" s="57" t="str">
        <f aca="false">IF($O1162="","",IF($P1162&lt;=BankCostEnvelope*'5. Scenarios'!$D$7,1,0))</f>
        <v/>
      </c>
      <c r="R1162" s="57" t="str">
        <f aca="false">IF($N1162="","",INDEX(BookRate,1157)*(1+'5. Scenarios'!$D$10)*(INDEX(BookQ1,1157)*(5-MIN(4,1+'5. Scenarios'!$D$8))/4+INDEX(BookQ2,1157)*(5-MIN(4,2+'5. Scenarios'!$D$8))/4+INDEX(BookQ3,1157)*(5-MIN(4,3+'5. Scenarios'!$D$8))/4+INDEX(BookQ4,1157)*(5-MIN(4,4+'5. Scenarios'!$D$8))/4)*'5. Scenarios'!$D$6/(1+ProductivityDefault*('5. Scenarios'!$D$11-1))+INDEX(BookOneOff,1157)*$N1162)</f>
        <v/>
      </c>
      <c r="S1162" s="56" t="str">
        <f aca="false">IF(INDEX(BookTitle,1157)="","",INDEX(BookTotal,1157)*'5. Scenarios'!$E$6/(1+ProductivityDefault*('5. Scenarios'!$E$11-1)))</f>
        <v/>
      </c>
      <c r="T1162" s="57" t="str">
        <f aca="false">IF($S1162="","",INDEX(BookRate,1157)*(1+'5. Scenarios'!$E$10)*$S1162)</f>
        <v/>
      </c>
      <c r="U1162" s="57" t="str">
        <f aca="false">IF($T1162="","",SUMIFS($T$6:$T$2405,$A$6:$A$2405,"&lt;="&amp;$A1162))</f>
        <v/>
      </c>
      <c r="V1162" s="57" t="str">
        <f aca="false">IF($T1162="","",IF($U1162&lt;=BankCostEnvelope*'5. Scenarios'!$E$7,1,0))</f>
        <v/>
      </c>
      <c r="W1162" s="57" t="str">
        <f aca="false">IF($S1162="","",INDEX(BookRate,1157)*(1+'5. Scenarios'!$E$10)*(INDEX(BookQ1,1157)*(5-MIN(4,1+'5. Scenarios'!$E$8))/4+INDEX(BookQ2,1157)*(5-MIN(4,2+'5. Scenarios'!$E$8))/4+INDEX(BookQ3,1157)*(5-MIN(4,3+'5. Scenarios'!$E$8))/4+INDEX(BookQ4,1157)*(5-MIN(4,4+'5. Scenarios'!$E$8))/4)*'5. Scenarios'!$E$6/(1+ProductivityDefault*('5. Scenarios'!$E$11-1))+INDEX(BookOneOff,1157)*$S1162)</f>
        <v/>
      </c>
    </row>
    <row r="1163" customFormat="false" ht="15" hidden="false" customHeight="false" outlineLevel="0" collapsed="false">
      <c r="A1163" s="0" t="str">
        <f aca="false">IF(INDEX(BookTitle,1158)="","",INDEX(BookKey,1158))</f>
        <v/>
      </c>
      <c r="B1163" s="0" t="str">
        <f aca="false">IF(INDEX(BookTitle,1158)="","",INDEX(BookGroup,1158))</f>
        <v/>
      </c>
      <c r="C1163" s="0" t="str">
        <f aca="false">IF(INDEX(BookTitle,1158)="","",INDEX(BookCategory,1158))</f>
        <v/>
      </c>
      <c r="D1163" s="56" t="str">
        <f aca="false">IF(INDEX(BookTitle,1158)="","",INDEX(BookTotal,1158)*'5. Scenarios'!$B$6/(1+ProductivityDefault*('5. Scenarios'!$B$11-1)))</f>
        <v/>
      </c>
      <c r="E1163" s="57" t="str">
        <f aca="false">IF($D1163="","",INDEX(BookRate,1158)*(1+'5. Scenarios'!$B$10)*$D1163)</f>
        <v/>
      </c>
      <c r="F1163" s="57" t="str">
        <f aca="false">IF($E1163="","",SUMIFS($E$6:$E$2405,$A$6:$A$2405,"&lt;="&amp;$A1163))</f>
        <v/>
      </c>
      <c r="G1163" s="57" t="str">
        <f aca="false">IF($E1163="","",IF($F1163&lt;=BankCostEnvelope*'5. Scenarios'!$B$7,1,0))</f>
        <v/>
      </c>
      <c r="H1163" s="57" t="str">
        <f aca="false">IF($D1163="","",INDEX(BookRate,1158)*(1+'5. Scenarios'!$B$10)*(INDEX(BookQ1,1158)*(5-MIN(4,1+'5. Scenarios'!$B$8))/4+INDEX(BookQ2,1158)*(5-MIN(4,2+'5. Scenarios'!$B$8))/4+INDEX(BookQ3,1158)*(5-MIN(4,3+'5. Scenarios'!$B$8))/4+INDEX(BookQ4,1158)*(5-MIN(4,4+'5. Scenarios'!$B$8))/4)*'5. Scenarios'!$B$6/(1+ProductivityDefault*('5. Scenarios'!$B$11-1))+INDEX(BookOneOff,1158)*$D1163)</f>
        <v/>
      </c>
      <c r="I1163" s="56" t="str">
        <f aca="false">IF(INDEX(BookTitle,1158)="","",INDEX(BookTotal,1158)*'5. Scenarios'!$C$6/(1+ProductivityDefault*('5. Scenarios'!$C$11-1)))</f>
        <v/>
      </c>
      <c r="J1163" s="57" t="str">
        <f aca="false">IF($I1163="","",INDEX(BookRate,1158)*(1+'5. Scenarios'!$C$10)*$I1163)</f>
        <v/>
      </c>
      <c r="K1163" s="57" t="str">
        <f aca="false">IF($J1163="","",SUMIFS($J$6:$J$2405,$A$6:$A$2405,"&lt;="&amp;$A1163))</f>
        <v/>
      </c>
      <c r="L1163" s="57" t="str">
        <f aca="false">IF($J1163="","",IF($K1163&lt;=BankCostEnvelope*'5. Scenarios'!$C$7,1,0))</f>
        <v/>
      </c>
      <c r="M1163" s="57" t="str">
        <f aca="false">IF($I1163="","",INDEX(BookRate,1158)*(1+'5. Scenarios'!$C$10)*(INDEX(BookQ1,1158)*(5-MIN(4,1+'5. Scenarios'!$C$8))/4+INDEX(BookQ2,1158)*(5-MIN(4,2+'5. Scenarios'!$C$8))/4+INDEX(BookQ3,1158)*(5-MIN(4,3+'5. Scenarios'!$C$8))/4+INDEX(BookQ4,1158)*(5-MIN(4,4+'5. Scenarios'!$C$8))/4)*'5. Scenarios'!$C$6/(1+ProductivityDefault*('5. Scenarios'!$C$11-1))+INDEX(BookOneOff,1158)*$I1163)</f>
        <v/>
      </c>
      <c r="N1163" s="56" t="str">
        <f aca="false">IF(INDEX(BookTitle,1158)="","",INDEX(BookTotal,1158)*'5. Scenarios'!$D$6/(1+ProductivityDefault*('5. Scenarios'!$D$11-1)))</f>
        <v/>
      </c>
      <c r="O1163" s="57" t="str">
        <f aca="false">IF($N1163="","",INDEX(BookRate,1158)*(1+'5. Scenarios'!$D$10)*$N1163)</f>
        <v/>
      </c>
      <c r="P1163" s="57" t="str">
        <f aca="false">IF($O1163="","",SUMIFS($O$6:$O$2405,$A$6:$A$2405,"&lt;="&amp;$A1163))</f>
        <v/>
      </c>
      <c r="Q1163" s="57" t="str">
        <f aca="false">IF($O1163="","",IF($P1163&lt;=BankCostEnvelope*'5. Scenarios'!$D$7,1,0))</f>
        <v/>
      </c>
      <c r="R1163" s="57" t="str">
        <f aca="false">IF($N1163="","",INDEX(BookRate,1158)*(1+'5. Scenarios'!$D$10)*(INDEX(BookQ1,1158)*(5-MIN(4,1+'5. Scenarios'!$D$8))/4+INDEX(BookQ2,1158)*(5-MIN(4,2+'5. Scenarios'!$D$8))/4+INDEX(BookQ3,1158)*(5-MIN(4,3+'5. Scenarios'!$D$8))/4+INDEX(BookQ4,1158)*(5-MIN(4,4+'5. Scenarios'!$D$8))/4)*'5. Scenarios'!$D$6/(1+ProductivityDefault*('5. Scenarios'!$D$11-1))+INDEX(BookOneOff,1158)*$N1163)</f>
        <v/>
      </c>
      <c r="S1163" s="56" t="str">
        <f aca="false">IF(INDEX(BookTitle,1158)="","",INDEX(BookTotal,1158)*'5. Scenarios'!$E$6/(1+ProductivityDefault*('5. Scenarios'!$E$11-1)))</f>
        <v/>
      </c>
      <c r="T1163" s="57" t="str">
        <f aca="false">IF($S1163="","",INDEX(BookRate,1158)*(1+'5. Scenarios'!$E$10)*$S1163)</f>
        <v/>
      </c>
      <c r="U1163" s="57" t="str">
        <f aca="false">IF($T1163="","",SUMIFS($T$6:$T$2405,$A$6:$A$2405,"&lt;="&amp;$A1163))</f>
        <v/>
      </c>
      <c r="V1163" s="57" t="str">
        <f aca="false">IF($T1163="","",IF($U1163&lt;=BankCostEnvelope*'5. Scenarios'!$E$7,1,0))</f>
        <v/>
      </c>
      <c r="W1163" s="57" t="str">
        <f aca="false">IF($S1163="","",INDEX(BookRate,1158)*(1+'5. Scenarios'!$E$10)*(INDEX(BookQ1,1158)*(5-MIN(4,1+'5. Scenarios'!$E$8))/4+INDEX(BookQ2,1158)*(5-MIN(4,2+'5. Scenarios'!$E$8))/4+INDEX(BookQ3,1158)*(5-MIN(4,3+'5. Scenarios'!$E$8))/4+INDEX(BookQ4,1158)*(5-MIN(4,4+'5. Scenarios'!$E$8))/4)*'5. Scenarios'!$E$6/(1+ProductivityDefault*('5. Scenarios'!$E$11-1))+INDEX(BookOneOff,1158)*$S1163)</f>
        <v/>
      </c>
    </row>
    <row r="1164" customFormat="false" ht="15" hidden="false" customHeight="false" outlineLevel="0" collapsed="false">
      <c r="A1164" s="0" t="str">
        <f aca="false">IF(INDEX(BookTitle,1159)="","",INDEX(BookKey,1159))</f>
        <v/>
      </c>
      <c r="B1164" s="0" t="str">
        <f aca="false">IF(INDEX(BookTitle,1159)="","",INDEX(BookGroup,1159))</f>
        <v/>
      </c>
      <c r="C1164" s="0" t="str">
        <f aca="false">IF(INDEX(BookTitle,1159)="","",INDEX(BookCategory,1159))</f>
        <v/>
      </c>
      <c r="D1164" s="56" t="str">
        <f aca="false">IF(INDEX(BookTitle,1159)="","",INDEX(BookTotal,1159)*'5. Scenarios'!$B$6/(1+ProductivityDefault*('5. Scenarios'!$B$11-1)))</f>
        <v/>
      </c>
      <c r="E1164" s="57" t="str">
        <f aca="false">IF($D1164="","",INDEX(BookRate,1159)*(1+'5. Scenarios'!$B$10)*$D1164)</f>
        <v/>
      </c>
      <c r="F1164" s="57" t="str">
        <f aca="false">IF($E1164="","",SUMIFS($E$6:$E$2405,$A$6:$A$2405,"&lt;="&amp;$A1164))</f>
        <v/>
      </c>
      <c r="G1164" s="57" t="str">
        <f aca="false">IF($E1164="","",IF($F1164&lt;=BankCostEnvelope*'5. Scenarios'!$B$7,1,0))</f>
        <v/>
      </c>
      <c r="H1164" s="57" t="str">
        <f aca="false">IF($D1164="","",INDEX(BookRate,1159)*(1+'5. Scenarios'!$B$10)*(INDEX(BookQ1,1159)*(5-MIN(4,1+'5. Scenarios'!$B$8))/4+INDEX(BookQ2,1159)*(5-MIN(4,2+'5. Scenarios'!$B$8))/4+INDEX(BookQ3,1159)*(5-MIN(4,3+'5. Scenarios'!$B$8))/4+INDEX(BookQ4,1159)*(5-MIN(4,4+'5. Scenarios'!$B$8))/4)*'5. Scenarios'!$B$6/(1+ProductivityDefault*('5. Scenarios'!$B$11-1))+INDEX(BookOneOff,1159)*$D1164)</f>
        <v/>
      </c>
      <c r="I1164" s="56" t="str">
        <f aca="false">IF(INDEX(BookTitle,1159)="","",INDEX(BookTotal,1159)*'5. Scenarios'!$C$6/(1+ProductivityDefault*('5. Scenarios'!$C$11-1)))</f>
        <v/>
      </c>
      <c r="J1164" s="57" t="str">
        <f aca="false">IF($I1164="","",INDEX(BookRate,1159)*(1+'5. Scenarios'!$C$10)*$I1164)</f>
        <v/>
      </c>
      <c r="K1164" s="57" t="str">
        <f aca="false">IF($J1164="","",SUMIFS($J$6:$J$2405,$A$6:$A$2405,"&lt;="&amp;$A1164))</f>
        <v/>
      </c>
      <c r="L1164" s="57" t="str">
        <f aca="false">IF($J1164="","",IF($K1164&lt;=BankCostEnvelope*'5. Scenarios'!$C$7,1,0))</f>
        <v/>
      </c>
      <c r="M1164" s="57" t="str">
        <f aca="false">IF($I1164="","",INDEX(BookRate,1159)*(1+'5. Scenarios'!$C$10)*(INDEX(BookQ1,1159)*(5-MIN(4,1+'5. Scenarios'!$C$8))/4+INDEX(BookQ2,1159)*(5-MIN(4,2+'5. Scenarios'!$C$8))/4+INDEX(BookQ3,1159)*(5-MIN(4,3+'5. Scenarios'!$C$8))/4+INDEX(BookQ4,1159)*(5-MIN(4,4+'5. Scenarios'!$C$8))/4)*'5. Scenarios'!$C$6/(1+ProductivityDefault*('5. Scenarios'!$C$11-1))+INDEX(BookOneOff,1159)*$I1164)</f>
        <v/>
      </c>
      <c r="N1164" s="56" t="str">
        <f aca="false">IF(INDEX(BookTitle,1159)="","",INDEX(BookTotal,1159)*'5. Scenarios'!$D$6/(1+ProductivityDefault*('5. Scenarios'!$D$11-1)))</f>
        <v/>
      </c>
      <c r="O1164" s="57" t="str">
        <f aca="false">IF($N1164="","",INDEX(BookRate,1159)*(1+'5. Scenarios'!$D$10)*$N1164)</f>
        <v/>
      </c>
      <c r="P1164" s="57" t="str">
        <f aca="false">IF($O1164="","",SUMIFS($O$6:$O$2405,$A$6:$A$2405,"&lt;="&amp;$A1164))</f>
        <v/>
      </c>
      <c r="Q1164" s="57" t="str">
        <f aca="false">IF($O1164="","",IF($P1164&lt;=BankCostEnvelope*'5. Scenarios'!$D$7,1,0))</f>
        <v/>
      </c>
      <c r="R1164" s="57" t="str">
        <f aca="false">IF($N1164="","",INDEX(BookRate,1159)*(1+'5. Scenarios'!$D$10)*(INDEX(BookQ1,1159)*(5-MIN(4,1+'5. Scenarios'!$D$8))/4+INDEX(BookQ2,1159)*(5-MIN(4,2+'5. Scenarios'!$D$8))/4+INDEX(BookQ3,1159)*(5-MIN(4,3+'5. Scenarios'!$D$8))/4+INDEX(BookQ4,1159)*(5-MIN(4,4+'5. Scenarios'!$D$8))/4)*'5. Scenarios'!$D$6/(1+ProductivityDefault*('5. Scenarios'!$D$11-1))+INDEX(BookOneOff,1159)*$N1164)</f>
        <v/>
      </c>
      <c r="S1164" s="56" t="str">
        <f aca="false">IF(INDEX(BookTitle,1159)="","",INDEX(BookTotal,1159)*'5. Scenarios'!$E$6/(1+ProductivityDefault*('5. Scenarios'!$E$11-1)))</f>
        <v/>
      </c>
      <c r="T1164" s="57" t="str">
        <f aca="false">IF($S1164="","",INDEX(BookRate,1159)*(1+'5. Scenarios'!$E$10)*$S1164)</f>
        <v/>
      </c>
      <c r="U1164" s="57" t="str">
        <f aca="false">IF($T1164="","",SUMIFS($T$6:$T$2405,$A$6:$A$2405,"&lt;="&amp;$A1164))</f>
        <v/>
      </c>
      <c r="V1164" s="57" t="str">
        <f aca="false">IF($T1164="","",IF($U1164&lt;=BankCostEnvelope*'5. Scenarios'!$E$7,1,0))</f>
        <v/>
      </c>
      <c r="W1164" s="57" t="str">
        <f aca="false">IF($S1164="","",INDEX(BookRate,1159)*(1+'5. Scenarios'!$E$10)*(INDEX(BookQ1,1159)*(5-MIN(4,1+'5. Scenarios'!$E$8))/4+INDEX(BookQ2,1159)*(5-MIN(4,2+'5. Scenarios'!$E$8))/4+INDEX(BookQ3,1159)*(5-MIN(4,3+'5. Scenarios'!$E$8))/4+INDEX(BookQ4,1159)*(5-MIN(4,4+'5. Scenarios'!$E$8))/4)*'5. Scenarios'!$E$6/(1+ProductivityDefault*('5. Scenarios'!$E$11-1))+INDEX(BookOneOff,1159)*$S1164)</f>
        <v/>
      </c>
    </row>
    <row r="1165" customFormat="false" ht="15" hidden="false" customHeight="false" outlineLevel="0" collapsed="false">
      <c r="A1165" s="0" t="str">
        <f aca="false">IF(INDEX(BookTitle,1160)="","",INDEX(BookKey,1160))</f>
        <v/>
      </c>
      <c r="B1165" s="0" t="str">
        <f aca="false">IF(INDEX(BookTitle,1160)="","",INDEX(BookGroup,1160))</f>
        <v/>
      </c>
      <c r="C1165" s="0" t="str">
        <f aca="false">IF(INDEX(BookTitle,1160)="","",INDEX(BookCategory,1160))</f>
        <v/>
      </c>
      <c r="D1165" s="56" t="str">
        <f aca="false">IF(INDEX(BookTitle,1160)="","",INDEX(BookTotal,1160)*'5. Scenarios'!$B$6/(1+ProductivityDefault*('5. Scenarios'!$B$11-1)))</f>
        <v/>
      </c>
      <c r="E1165" s="57" t="str">
        <f aca="false">IF($D1165="","",INDEX(BookRate,1160)*(1+'5. Scenarios'!$B$10)*$D1165)</f>
        <v/>
      </c>
      <c r="F1165" s="57" t="str">
        <f aca="false">IF($E1165="","",SUMIFS($E$6:$E$2405,$A$6:$A$2405,"&lt;="&amp;$A1165))</f>
        <v/>
      </c>
      <c r="G1165" s="57" t="str">
        <f aca="false">IF($E1165="","",IF($F1165&lt;=BankCostEnvelope*'5. Scenarios'!$B$7,1,0))</f>
        <v/>
      </c>
      <c r="H1165" s="57" t="str">
        <f aca="false">IF($D1165="","",INDEX(BookRate,1160)*(1+'5. Scenarios'!$B$10)*(INDEX(BookQ1,1160)*(5-MIN(4,1+'5. Scenarios'!$B$8))/4+INDEX(BookQ2,1160)*(5-MIN(4,2+'5. Scenarios'!$B$8))/4+INDEX(BookQ3,1160)*(5-MIN(4,3+'5. Scenarios'!$B$8))/4+INDEX(BookQ4,1160)*(5-MIN(4,4+'5. Scenarios'!$B$8))/4)*'5. Scenarios'!$B$6/(1+ProductivityDefault*('5. Scenarios'!$B$11-1))+INDEX(BookOneOff,1160)*$D1165)</f>
        <v/>
      </c>
      <c r="I1165" s="56" t="str">
        <f aca="false">IF(INDEX(BookTitle,1160)="","",INDEX(BookTotal,1160)*'5. Scenarios'!$C$6/(1+ProductivityDefault*('5. Scenarios'!$C$11-1)))</f>
        <v/>
      </c>
      <c r="J1165" s="57" t="str">
        <f aca="false">IF($I1165="","",INDEX(BookRate,1160)*(1+'5. Scenarios'!$C$10)*$I1165)</f>
        <v/>
      </c>
      <c r="K1165" s="57" t="str">
        <f aca="false">IF($J1165="","",SUMIFS($J$6:$J$2405,$A$6:$A$2405,"&lt;="&amp;$A1165))</f>
        <v/>
      </c>
      <c r="L1165" s="57" t="str">
        <f aca="false">IF($J1165="","",IF($K1165&lt;=BankCostEnvelope*'5. Scenarios'!$C$7,1,0))</f>
        <v/>
      </c>
      <c r="M1165" s="57" t="str">
        <f aca="false">IF($I1165="","",INDEX(BookRate,1160)*(1+'5. Scenarios'!$C$10)*(INDEX(BookQ1,1160)*(5-MIN(4,1+'5. Scenarios'!$C$8))/4+INDEX(BookQ2,1160)*(5-MIN(4,2+'5. Scenarios'!$C$8))/4+INDEX(BookQ3,1160)*(5-MIN(4,3+'5. Scenarios'!$C$8))/4+INDEX(BookQ4,1160)*(5-MIN(4,4+'5. Scenarios'!$C$8))/4)*'5. Scenarios'!$C$6/(1+ProductivityDefault*('5. Scenarios'!$C$11-1))+INDEX(BookOneOff,1160)*$I1165)</f>
        <v/>
      </c>
      <c r="N1165" s="56" t="str">
        <f aca="false">IF(INDEX(BookTitle,1160)="","",INDEX(BookTotal,1160)*'5. Scenarios'!$D$6/(1+ProductivityDefault*('5. Scenarios'!$D$11-1)))</f>
        <v/>
      </c>
      <c r="O1165" s="57" t="str">
        <f aca="false">IF($N1165="","",INDEX(BookRate,1160)*(1+'5. Scenarios'!$D$10)*$N1165)</f>
        <v/>
      </c>
      <c r="P1165" s="57" t="str">
        <f aca="false">IF($O1165="","",SUMIFS($O$6:$O$2405,$A$6:$A$2405,"&lt;="&amp;$A1165))</f>
        <v/>
      </c>
      <c r="Q1165" s="57" t="str">
        <f aca="false">IF($O1165="","",IF($P1165&lt;=BankCostEnvelope*'5. Scenarios'!$D$7,1,0))</f>
        <v/>
      </c>
      <c r="R1165" s="57" t="str">
        <f aca="false">IF($N1165="","",INDEX(BookRate,1160)*(1+'5. Scenarios'!$D$10)*(INDEX(BookQ1,1160)*(5-MIN(4,1+'5. Scenarios'!$D$8))/4+INDEX(BookQ2,1160)*(5-MIN(4,2+'5. Scenarios'!$D$8))/4+INDEX(BookQ3,1160)*(5-MIN(4,3+'5. Scenarios'!$D$8))/4+INDEX(BookQ4,1160)*(5-MIN(4,4+'5. Scenarios'!$D$8))/4)*'5. Scenarios'!$D$6/(1+ProductivityDefault*('5. Scenarios'!$D$11-1))+INDEX(BookOneOff,1160)*$N1165)</f>
        <v/>
      </c>
      <c r="S1165" s="56" t="str">
        <f aca="false">IF(INDEX(BookTitle,1160)="","",INDEX(BookTotal,1160)*'5. Scenarios'!$E$6/(1+ProductivityDefault*('5. Scenarios'!$E$11-1)))</f>
        <v/>
      </c>
      <c r="T1165" s="57" t="str">
        <f aca="false">IF($S1165="","",INDEX(BookRate,1160)*(1+'5. Scenarios'!$E$10)*$S1165)</f>
        <v/>
      </c>
      <c r="U1165" s="57" t="str">
        <f aca="false">IF($T1165="","",SUMIFS($T$6:$T$2405,$A$6:$A$2405,"&lt;="&amp;$A1165))</f>
        <v/>
      </c>
      <c r="V1165" s="57" t="str">
        <f aca="false">IF($T1165="","",IF($U1165&lt;=BankCostEnvelope*'5. Scenarios'!$E$7,1,0))</f>
        <v/>
      </c>
      <c r="W1165" s="57" t="str">
        <f aca="false">IF($S1165="","",INDEX(BookRate,1160)*(1+'5. Scenarios'!$E$10)*(INDEX(BookQ1,1160)*(5-MIN(4,1+'5. Scenarios'!$E$8))/4+INDEX(BookQ2,1160)*(5-MIN(4,2+'5. Scenarios'!$E$8))/4+INDEX(BookQ3,1160)*(5-MIN(4,3+'5. Scenarios'!$E$8))/4+INDEX(BookQ4,1160)*(5-MIN(4,4+'5. Scenarios'!$E$8))/4)*'5. Scenarios'!$E$6/(1+ProductivityDefault*('5. Scenarios'!$E$11-1))+INDEX(BookOneOff,1160)*$S1165)</f>
        <v/>
      </c>
    </row>
    <row r="1166" customFormat="false" ht="15" hidden="false" customHeight="false" outlineLevel="0" collapsed="false">
      <c r="A1166" s="0" t="str">
        <f aca="false">IF(INDEX(BookTitle,1161)="","",INDEX(BookKey,1161))</f>
        <v/>
      </c>
      <c r="B1166" s="0" t="str">
        <f aca="false">IF(INDEX(BookTitle,1161)="","",INDEX(BookGroup,1161))</f>
        <v/>
      </c>
      <c r="C1166" s="0" t="str">
        <f aca="false">IF(INDEX(BookTitle,1161)="","",INDEX(BookCategory,1161))</f>
        <v/>
      </c>
      <c r="D1166" s="56" t="str">
        <f aca="false">IF(INDEX(BookTitle,1161)="","",INDEX(BookTotal,1161)*'5. Scenarios'!$B$6/(1+ProductivityDefault*('5. Scenarios'!$B$11-1)))</f>
        <v/>
      </c>
      <c r="E1166" s="57" t="str">
        <f aca="false">IF($D1166="","",INDEX(BookRate,1161)*(1+'5. Scenarios'!$B$10)*$D1166)</f>
        <v/>
      </c>
      <c r="F1166" s="57" t="str">
        <f aca="false">IF($E1166="","",SUMIFS($E$6:$E$2405,$A$6:$A$2405,"&lt;="&amp;$A1166))</f>
        <v/>
      </c>
      <c r="G1166" s="57" t="str">
        <f aca="false">IF($E1166="","",IF($F1166&lt;=BankCostEnvelope*'5. Scenarios'!$B$7,1,0))</f>
        <v/>
      </c>
      <c r="H1166" s="57" t="str">
        <f aca="false">IF($D1166="","",INDEX(BookRate,1161)*(1+'5. Scenarios'!$B$10)*(INDEX(BookQ1,1161)*(5-MIN(4,1+'5. Scenarios'!$B$8))/4+INDEX(BookQ2,1161)*(5-MIN(4,2+'5. Scenarios'!$B$8))/4+INDEX(BookQ3,1161)*(5-MIN(4,3+'5. Scenarios'!$B$8))/4+INDEX(BookQ4,1161)*(5-MIN(4,4+'5. Scenarios'!$B$8))/4)*'5. Scenarios'!$B$6/(1+ProductivityDefault*('5. Scenarios'!$B$11-1))+INDEX(BookOneOff,1161)*$D1166)</f>
        <v/>
      </c>
      <c r="I1166" s="56" t="str">
        <f aca="false">IF(INDEX(BookTitle,1161)="","",INDEX(BookTotal,1161)*'5. Scenarios'!$C$6/(1+ProductivityDefault*('5. Scenarios'!$C$11-1)))</f>
        <v/>
      </c>
      <c r="J1166" s="57" t="str">
        <f aca="false">IF($I1166="","",INDEX(BookRate,1161)*(1+'5. Scenarios'!$C$10)*$I1166)</f>
        <v/>
      </c>
      <c r="K1166" s="57" t="str">
        <f aca="false">IF($J1166="","",SUMIFS($J$6:$J$2405,$A$6:$A$2405,"&lt;="&amp;$A1166))</f>
        <v/>
      </c>
      <c r="L1166" s="57" t="str">
        <f aca="false">IF($J1166="","",IF($K1166&lt;=BankCostEnvelope*'5. Scenarios'!$C$7,1,0))</f>
        <v/>
      </c>
      <c r="M1166" s="57" t="str">
        <f aca="false">IF($I1166="","",INDEX(BookRate,1161)*(1+'5. Scenarios'!$C$10)*(INDEX(BookQ1,1161)*(5-MIN(4,1+'5. Scenarios'!$C$8))/4+INDEX(BookQ2,1161)*(5-MIN(4,2+'5. Scenarios'!$C$8))/4+INDEX(BookQ3,1161)*(5-MIN(4,3+'5. Scenarios'!$C$8))/4+INDEX(BookQ4,1161)*(5-MIN(4,4+'5. Scenarios'!$C$8))/4)*'5. Scenarios'!$C$6/(1+ProductivityDefault*('5. Scenarios'!$C$11-1))+INDEX(BookOneOff,1161)*$I1166)</f>
        <v/>
      </c>
      <c r="N1166" s="56" t="str">
        <f aca="false">IF(INDEX(BookTitle,1161)="","",INDEX(BookTotal,1161)*'5. Scenarios'!$D$6/(1+ProductivityDefault*('5. Scenarios'!$D$11-1)))</f>
        <v/>
      </c>
      <c r="O1166" s="57" t="str">
        <f aca="false">IF($N1166="","",INDEX(BookRate,1161)*(1+'5. Scenarios'!$D$10)*$N1166)</f>
        <v/>
      </c>
      <c r="P1166" s="57" t="str">
        <f aca="false">IF($O1166="","",SUMIFS($O$6:$O$2405,$A$6:$A$2405,"&lt;="&amp;$A1166))</f>
        <v/>
      </c>
      <c r="Q1166" s="57" t="str">
        <f aca="false">IF($O1166="","",IF($P1166&lt;=BankCostEnvelope*'5. Scenarios'!$D$7,1,0))</f>
        <v/>
      </c>
      <c r="R1166" s="57" t="str">
        <f aca="false">IF($N1166="","",INDEX(BookRate,1161)*(1+'5. Scenarios'!$D$10)*(INDEX(BookQ1,1161)*(5-MIN(4,1+'5. Scenarios'!$D$8))/4+INDEX(BookQ2,1161)*(5-MIN(4,2+'5. Scenarios'!$D$8))/4+INDEX(BookQ3,1161)*(5-MIN(4,3+'5. Scenarios'!$D$8))/4+INDEX(BookQ4,1161)*(5-MIN(4,4+'5. Scenarios'!$D$8))/4)*'5. Scenarios'!$D$6/(1+ProductivityDefault*('5. Scenarios'!$D$11-1))+INDEX(BookOneOff,1161)*$N1166)</f>
        <v/>
      </c>
      <c r="S1166" s="56" t="str">
        <f aca="false">IF(INDEX(BookTitle,1161)="","",INDEX(BookTotal,1161)*'5. Scenarios'!$E$6/(1+ProductivityDefault*('5. Scenarios'!$E$11-1)))</f>
        <v/>
      </c>
      <c r="T1166" s="57" t="str">
        <f aca="false">IF($S1166="","",INDEX(BookRate,1161)*(1+'5. Scenarios'!$E$10)*$S1166)</f>
        <v/>
      </c>
      <c r="U1166" s="57" t="str">
        <f aca="false">IF($T1166="","",SUMIFS($T$6:$T$2405,$A$6:$A$2405,"&lt;="&amp;$A1166))</f>
        <v/>
      </c>
      <c r="V1166" s="57" t="str">
        <f aca="false">IF($T1166="","",IF($U1166&lt;=BankCostEnvelope*'5. Scenarios'!$E$7,1,0))</f>
        <v/>
      </c>
      <c r="W1166" s="57" t="str">
        <f aca="false">IF($S1166="","",INDEX(BookRate,1161)*(1+'5. Scenarios'!$E$10)*(INDEX(BookQ1,1161)*(5-MIN(4,1+'5. Scenarios'!$E$8))/4+INDEX(BookQ2,1161)*(5-MIN(4,2+'5. Scenarios'!$E$8))/4+INDEX(BookQ3,1161)*(5-MIN(4,3+'5. Scenarios'!$E$8))/4+INDEX(BookQ4,1161)*(5-MIN(4,4+'5. Scenarios'!$E$8))/4)*'5. Scenarios'!$E$6/(1+ProductivityDefault*('5. Scenarios'!$E$11-1))+INDEX(BookOneOff,1161)*$S1166)</f>
        <v/>
      </c>
    </row>
    <row r="1167" customFormat="false" ht="15" hidden="false" customHeight="false" outlineLevel="0" collapsed="false">
      <c r="A1167" s="0" t="str">
        <f aca="false">IF(INDEX(BookTitle,1162)="","",INDEX(BookKey,1162))</f>
        <v/>
      </c>
      <c r="B1167" s="0" t="str">
        <f aca="false">IF(INDEX(BookTitle,1162)="","",INDEX(BookGroup,1162))</f>
        <v/>
      </c>
      <c r="C1167" s="0" t="str">
        <f aca="false">IF(INDEX(BookTitle,1162)="","",INDEX(BookCategory,1162))</f>
        <v/>
      </c>
      <c r="D1167" s="56" t="str">
        <f aca="false">IF(INDEX(BookTitle,1162)="","",INDEX(BookTotal,1162)*'5. Scenarios'!$B$6/(1+ProductivityDefault*('5. Scenarios'!$B$11-1)))</f>
        <v/>
      </c>
      <c r="E1167" s="57" t="str">
        <f aca="false">IF($D1167="","",INDEX(BookRate,1162)*(1+'5. Scenarios'!$B$10)*$D1167)</f>
        <v/>
      </c>
      <c r="F1167" s="57" t="str">
        <f aca="false">IF($E1167="","",SUMIFS($E$6:$E$2405,$A$6:$A$2405,"&lt;="&amp;$A1167))</f>
        <v/>
      </c>
      <c r="G1167" s="57" t="str">
        <f aca="false">IF($E1167="","",IF($F1167&lt;=BankCostEnvelope*'5. Scenarios'!$B$7,1,0))</f>
        <v/>
      </c>
      <c r="H1167" s="57" t="str">
        <f aca="false">IF($D1167="","",INDEX(BookRate,1162)*(1+'5. Scenarios'!$B$10)*(INDEX(BookQ1,1162)*(5-MIN(4,1+'5. Scenarios'!$B$8))/4+INDEX(BookQ2,1162)*(5-MIN(4,2+'5. Scenarios'!$B$8))/4+INDEX(BookQ3,1162)*(5-MIN(4,3+'5. Scenarios'!$B$8))/4+INDEX(BookQ4,1162)*(5-MIN(4,4+'5. Scenarios'!$B$8))/4)*'5. Scenarios'!$B$6/(1+ProductivityDefault*('5. Scenarios'!$B$11-1))+INDEX(BookOneOff,1162)*$D1167)</f>
        <v/>
      </c>
      <c r="I1167" s="56" t="str">
        <f aca="false">IF(INDEX(BookTitle,1162)="","",INDEX(BookTotal,1162)*'5. Scenarios'!$C$6/(1+ProductivityDefault*('5. Scenarios'!$C$11-1)))</f>
        <v/>
      </c>
      <c r="J1167" s="57" t="str">
        <f aca="false">IF($I1167="","",INDEX(BookRate,1162)*(1+'5. Scenarios'!$C$10)*$I1167)</f>
        <v/>
      </c>
      <c r="K1167" s="57" t="str">
        <f aca="false">IF($J1167="","",SUMIFS($J$6:$J$2405,$A$6:$A$2405,"&lt;="&amp;$A1167))</f>
        <v/>
      </c>
      <c r="L1167" s="57" t="str">
        <f aca="false">IF($J1167="","",IF($K1167&lt;=BankCostEnvelope*'5. Scenarios'!$C$7,1,0))</f>
        <v/>
      </c>
      <c r="M1167" s="57" t="str">
        <f aca="false">IF($I1167="","",INDEX(BookRate,1162)*(1+'5. Scenarios'!$C$10)*(INDEX(BookQ1,1162)*(5-MIN(4,1+'5. Scenarios'!$C$8))/4+INDEX(BookQ2,1162)*(5-MIN(4,2+'5. Scenarios'!$C$8))/4+INDEX(BookQ3,1162)*(5-MIN(4,3+'5. Scenarios'!$C$8))/4+INDEX(BookQ4,1162)*(5-MIN(4,4+'5. Scenarios'!$C$8))/4)*'5. Scenarios'!$C$6/(1+ProductivityDefault*('5. Scenarios'!$C$11-1))+INDEX(BookOneOff,1162)*$I1167)</f>
        <v/>
      </c>
      <c r="N1167" s="56" t="str">
        <f aca="false">IF(INDEX(BookTitle,1162)="","",INDEX(BookTotal,1162)*'5. Scenarios'!$D$6/(1+ProductivityDefault*('5. Scenarios'!$D$11-1)))</f>
        <v/>
      </c>
      <c r="O1167" s="57" t="str">
        <f aca="false">IF($N1167="","",INDEX(BookRate,1162)*(1+'5. Scenarios'!$D$10)*$N1167)</f>
        <v/>
      </c>
      <c r="P1167" s="57" t="str">
        <f aca="false">IF($O1167="","",SUMIFS($O$6:$O$2405,$A$6:$A$2405,"&lt;="&amp;$A1167))</f>
        <v/>
      </c>
      <c r="Q1167" s="57" t="str">
        <f aca="false">IF($O1167="","",IF($P1167&lt;=BankCostEnvelope*'5. Scenarios'!$D$7,1,0))</f>
        <v/>
      </c>
      <c r="R1167" s="57" t="str">
        <f aca="false">IF($N1167="","",INDEX(BookRate,1162)*(1+'5. Scenarios'!$D$10)*(INDEX(BookQ1,1162)*(5-MIN(4,1+'5. Scenarios'!$D$8))/4+INDEX(BookQ2,1162)*(5-MIN(4,2+'5. Scenarios'!$D$8))/4+INDEX(BookQ3,1162)*(5-MIN(4,3+'5. Scenarios'!$D$8))/4+INDEX(BookQ4,1162)*(5-MIN(4,4+'5. Scenarios'!$D$8))/4)*'5. Scenarios'!$D$6/(1+ProductivityDefault*('5. Scenarios'!$D$11-1))+INDEX(BookOneOff,1162)*$N1167)</f>
        <v/>
      </c>
      <c r="S1167" s="56" t="str">
        <f aca="false">IF(INDEX(BookTitle,1162)="","",INDEX(BookTotal,1162)*'5. Scenarios'!$E$6/(1+ProductivityDefault*('5. Scenarios'!$E$11-1)))</f>
        <v/>
      </c>
      <c r="T1167" s="57" t="str">
        <f aca="false">IF($S1167="","",INDEX(BookRate,1162)*(1+'5. Scenarios'!$E$10)*$S1167)</f>
        <v/>
      </c>
      <c r="U1167" s="57" t="str">
        <f aca="false">IF($T1167="","",SUMIFS($T$6:$T$2405,$A$6:$A$2405,"&lt;="&amp;$A1167))</f>
        <v/>
      </c>
      <c r="V1167" s="57" t="str">
        <f aca="false">IF($T1167="","",IF($U1167&lt;=BankCostEnvelope*'5. Scenarios'!$E$7,1,0))</f>
        <v/>
      </c>
      <c r="W1167" s="57" t="str">
        <f aca="false">IF($S1167="","",INDEX(BookRate,1162)*(1+'5. Scenarios'!$E$10)*(INDEX(BookQ1,1162)*(5-MIN(4,1+'5. Scenarios'!$E$8))/4+INDEX(BookQ2,1162)*(5-MIN(4,2+'5. Scenarios'!$E$8))/4+INDEX(BookQ3,1162)*(5-MIN(4,3+'5. Scenarios'!$E$8))/4+INDEX(BookQ4,1162)*(5-MIN(4,4+'5. Scenarios'!$E$8))/4)*'5. Scenarios'!$E$6/(1+ProductivityDefault*('5. Scenarios'!$E$11-1))+INDEX(BookOneOff,1162)*$S1167)</f>
        <v/>
      </c>
    </row>
    <row r="1168" customFormat="false" ht="15" hidden="false" customHeight="false" outlineLevel="0" collapsed="false">
      <c r="A1168" s="0" t="str">
        <f aca="false">IF(INDEX(BookTitle,1163)="","",INDEX(BookKey,1163))</f>
        <v/>
      </c>
      <c r="B1168" s="0" t="str">
        <f aca="false">IF(INDEX(BookTitle,1163)="","",INDEX(BookGroup,1163))</f>
        <v/>
      </c>
      <c r="C1168" s="0" t="str">
        <f aca="false">IF(INDEX(BookTitle,1163)="","",INDEX(BookCategory,1163))</f>
        <v/>
      </c>
      <c r="D1168" s="56" t="str">
        <f aca="false">IF(INDEX(BookTitle,1163)="","",INDEX(BookTotal,1163)*'5. Scenarios'!$B$6/(1+ProductivityDefault*('5. Scenarios'!$B$11-1)))</f>
        <v/>
      </c>
      <c r="E1168" s="57" t="str">
        <f aca="false">IF($D1168="","",INDEX(BookRate,1163)*(1+'5. Scenarios'!$B$10)*$D1168)</f>
        <v/>
      </c>
      <c r="F1168" s="57" t="str">
        <f aca="false">IF($E1168="","",SUMIFS($E$6:$E$2405,$A$6:$A$2405,"&lt;="&amp;$A1168))</f>
        <v/>
      </c>
      <c r="G1168" s="57" t="str">
        <f aca="false">IF($E1168="","",IF($F1168&lt;=BankCostEnvelope*'5. Scenarios'!$B$7,1,0))</f>
        <v/>
      </c>
      <c r="H1168" s="57" t="str">
        <f aca="false">IF($D1168="","",INDEX(BookRate,1163)*(1+'5. Scenarios'!$B$10)*(INDEX(BookQ1,1163)*(5-MIN(4,1+'5. Scenarios'!$B$8))/4+INDEX(BookQ2,1163)*(5-MIN(4,2+'5. Scenarios'!$B$8))/4+INDEX(BookQ3,1163)*(5-MIN(4,3+'5. Scenarios'!$B$8))/4+INDEX(BookQ4,1163)*(5-MIN(4,4+'5. Scenarios'!$B$8))/4)*'5. Scenarios'!$B$6/(1+ProductivityDefault*('5. Scenarios'!$B$11-1))+INDEX(BookOneOff,1163)*$D1168)</f>
        <v/>
      </c>
      <c r="I1168" s="56" t="str">
        <f aca="false">IF(INDEX(BookTitle,1163)="","",INDEX(BookTotal,1163)*'5. Scenarios'!$C$6/(1+ProductivityDefault*('5. Scenarios'!$C$11-1)))</f>
        <v/>
      </c>
      <c r="J1168" s="57" t="str">
        <f aca="false">IF($I1168="","",INDEX(BookRate,1163)*(1+'5. Scenarios'!$C$10)*$I1168)</f>
        <v/>
      </c>
      <c r="K1168" s="57" t="str">
        <f aca="false">IF($J1168="","",SUMIFS($J$6:$J$2405,$A$6:$A$2405,"&lt;="&amp;$A1168))</f>
        <v/>
      </c>
      <c r="L1168" s="57" t="str">
        <f aca="false">IF($J1168="","",IF($K1168&lt;=BankCostEnvelope*'5. Scenarios'!$C$7,1,0))</f>
        <v/>
      </c>
      <c r="M1168" s="57" t="str">
        <f aca="false">IF($I1168="","",INDEX(BookRate,1163)*(1+'5. Scenarios'!$C$10)*(INDEX(BookQ1,1163)*(5-MIN(4,1+'5. Scenarios'!$C$8))/4+INDEX(BookQ2,1163)*(5-MIN(4,2+'5. Scenarios'!$C$8))/4+INDEX(BookQ3,1163)*(5-MIN(4,3+'5. Scenarios'!$C$8))/4+INDEX(BookQ4,1163)*(5-MIN(4,4+'5. Scenarios'!$C$8))/4)*'5. Scenarios'!$C$6/(1+ProductivityDefault*('5. Scenarios'!$C$11-1))+INDEX(BookOneOff,1163)*$I1168)</f>
        <v/>
      </c>
      <c r="N1168" s="56" t="str">
        <f aca="false">IF(INDEX(BookTitle,1163)="","",INDEX(BookTotal,1163)*'5. Scenarios'!$D$6/(1+ProductivityDefault*('5. Scenarios'!$D$11-1)))</f>
        <v/>
      </c>
      <c r="O1168" s="57" t="str">
        <f aca="false">IF($N1168="","",INDEX(BookRate,1163)*(1+'5. Scenarios'!$D$10)*$N1168)</f>
        <v/>
      </c>
      <c r="P1168" s="57" t="str">
        <f aca="false">IF($O1168="","",SUMIFS($O$6:$O$2405,$A$6:$A$2405,"&lt;="&amp;$A1168))</f>
        <v/>
      </c>
      <c r="Q1168" s="57" t="str">
        <f aca="false">IF($O1168="","",IF($P1168&lt;=BankCostEnvelope*'5. Scenarios'!$D$7,1,0))</f>
        <v/>
      </c>
      <c r="R1168" s="57" t="str">
        <f aca="false">IF($N1168="","",INDEX(BookRate,1163)*(1+'5. Scenarios'!$D$10)*(INDEX(BookQ1,1163)*(5-MIN(4,1+'5. Scenarios'!$D$8))/4+INDEX(BookQ2,1163)*(5-MIN(4,2+'5. Scenarios'!$D$8))/4+INDEX(BookQ3,1163)*(5-MIN(4,3+'5. Scenarios'!$D$8))/4+INDEX(BookQ4,1163)*(5-MIN(4,4+'5. Scenarios'!$D$8))/4)*'5. Scenarios'!$D$6/(1+ProductivityDefault*('5. Scenarios'!$D$11-1))+INDEX(BookOneOff,1163)*$N1168)</f>
        <v/>
      </c>
      <c r="S1168" s="56" t="str">
        <f aca="false">IF(INDEX(BookTitle,1163)="","",INDEX(BookTotal,1163)*'5. Scenarios'!$E$6/(1+ProductivityDefault*('5. Scenarios'!$E$11-1)))</f>
        <v/>
      </c>
      <c r="T1168" s="57" t="str">
        <f aca="false">IF($S1168="","",INDEX(BookRate,1163)*(1+'5. Scenarios'!$E$10)*$S1168)</f>
        <v/>
      </c>
      <c r="U1168" s="57" t="str">
        <f aca="false">IF($T1168="","",SUMIFS($T$6:$T$2405,$A$6:$A$2405,"&lt;="&amp;$A1168))</f>
        <v/>
      </c>
      <c r="V1168" s="57" t="str">
        <f aca="false">IF($T1168="","",IF($U1168&lt;=BankCostEnvelope*'5. Scenarios'!$E$7,1,0))</f>
        <v/>
      </c>
      <c r="W1168" s="57" t="str">
        <f aca="false">IF($S1168="","",INDEX(BookRate,1163)*(1+'5. Scenarios'!$E$10)*(INDEX(BookQ1,1163)*(5-MIN(4,1+'5. Scenarios'!$E$8))/4+INDEX(BookQ2,1163)*(5-MIN(4,2+'5. Scenarios'!$E$8))/4+INDEX(BookQ3,1163)*(5-MIN(4,3+'5. Scenarios'!$E$8))/4+INDEX(BookQ4,1163)*(5-MIN(4,4+'5. Scenarios'!$E$8))/4)*'5. Scenarios'!$E$6/(1+ProductivityDefault*('5. Scenarios'!$E$11-1))+INDEX(BookOneOff,1163)*$S1168)</f>
        <v/>
      </c>
    </row>
    <row r="1169" customFormat="false" ht="15" hidden="false" customHeight="false" outlineLevel="0" collapsed="false">
      <c r="A1169" s="0" t="str">
        <f aca="false">IF(INDEX(BookTitle,1164)="","",INDEX(BookKey,1164))</f>
        <v/>
      </c>
      <c r="B1169" s="0" t="str">
        <f aca="false">IF(INDEX(BookTitle,1164)="","",INDEX(BookGroup,1164))</f>
        <v/>
      </c>
      <c r="C1169" s="0" t="str">
        <f aca="false">IF(INDEX(BookTitle,1164)="","",INDEX(BookCategory,1164))</f>
        <v/>
      </c>
      <c r="D1169" s="56" t="str">
        <f aca="false">IF(INDEX(BookTitle,1164)="","",INDEX(BookTotal,1164)*'5. Scenarios'!$B$6/(1+ProductivityDefault*('5. Scenarios'!$B$11-1)))</f>
        <v/>
      </c>
      <c r="E1169" s="57" t="str">
        <f aca="false">IF($D1169="","",INDEX(BookRate,1164)*(1+'5. Scenarios'!$B$10)*$D1169)</f>
        <v/>
      </c>
      <c r="F1169" s="57" t="str">
        <f aca="false">IF($E1169="","",SUMIFS($E$6:$E$2405,$A$6:$A$2405,"&lt;="&amp;$A1169))</f>
        <v/>
      </c>
      <c r="G1169" s="57" t="str">
        <f aca="false">IF($E1169="","",IF($F1169&lt;=BankCostEnvelope*'5. Scenarios'!$B$7,1,0))</f>
        <v/>
      </c>
      <c r="H1169" s="57" t="str">
        <f aca="false">IF($D1169="","",INDEX(BookRate,1164)*(1+'5. Scenarios'!$B$10)*(INDEX(BookQ1,1164)*(5-MIN(4,1+'5. Scenarios'!$B$8))/4+INDEX(BookQ2,1164)*(5-MIN(4,2+'5. Scenarios'!$B$8))/4+INDEX(BookQ3,1164)*(5-MIN(4,3+'5. Scenarios'!$B$8))/4+INDEX(BookQ4,1164)*(5-MIN(4,4+'5. Scenarios'!$B$8))/4)*'5. Scenarios'!$B$6/(1+ProductivityDefault*('5. Scenarios'!$B$11-1))+INDEX(BookOneOff,1164)*$D1169)</f>
        <v/>
      </c>
      <c r="I1169" s="56" t="str">
        <f aca="false">IF(INDEX(BookTitle,1164)="","",INDEX(BookTotal,1164)*'5. Scenarios'!$C$6/(1+ProductivityDefault*('5. Scenarios'!$C$11-1)))</f>
        <v/>
      </c>
      <c r="J1169" s="57" t="str">
        <f aca="false">IF($I1169="","",INDEX(BookRate,1164)*(1+'5. Scenarios'!$C$10)*$I1169)</f>
        <v/>
      </c>
      <c r="K1169" s="57" t="str">
        <f aca="false">IF($J1169="","",SUMIFS($J$6:$J$2405,$A$6:$A$2405,"&lt;="&amp;$A1169))</f>
        <v/>
      </c>
      <c r="L1169" s="57" t="str">
        <f aca="false">IF($J1169="","",IF($K1169&lt;=BankCostEnvelope*'5. Scenarios'!$C$7,1,0))</f>
        <v/>
      </c>
      <c r="M1169" s="57" t="str">
        <f aca="false">IF($I1169="","",INDEX(BookRate,1164)*(1+'5. Scenarios'!$C$10)*(INDEX(BookQ1,1164)*(5-MIN(4,1+'5. Scenarios'!$C$8))/4+INDEX(BookQ2,1164)*(5-MIN(4,2+'5. Scenarios'!$C$8))/4+INDEX(BookQ3,1164)*(5-MIN(4,3+'5. Scenarios'!$C$8))/4+INDEX(BookQ4,1164)*(5-MIN(4,4+'5. Scenarios'!$C$8))/4)*'5. Scenarios'!$C$6/(1+ProductivityDefault*('5. Scenarios'!$C$11-1))+INDEX(BookOneOff,1164)*$I1169)</f>
        <v/>
      </c>
      <c r="N1169" s="56" t="str">
        <f aca="false">IF(INDEX(BookTitle,1164)="","",INDEX(BookTotal,1164)*'5. Scenarios'!$D$6/(1+ProductivityDefault*('5. Scenarios'!$D$11-1)))</f>
        <v/>
      </c>
      <c r="O1169" s="57" t="str">
        <f aca="false">IF($N1169="","",INDEX(BookRate,1164)*(1+'5. Scenarios'!$D$10)*$N1169)</f>
        <v/>
      </c>
      <c r="P1169" s="57" t="str">
        <f aca="false">IF($O1169="","",SUMIFS($O$6:$O$2405,$A$6:$A$2405,"&lt;="&amp;$A1169))</f>
        <v/>
      </c>
      <c r="Q1169" s="57" t="str">
        <f aca="false">IF($O1169="","",IF($P1169&lt;=BankCostEnvelope*'5. Scenarios'!$D$7,1,0))</f>
        <v/>
      </c>
      <c r="R1169" s="57" t="str">
        <f aca="false">IF($N1169="","",INDEX(BookRate,1164)*(1+'5. Scenarios'!$D$10)*(INDEX(BookQ1,1164)*(5-MIN(4,1+'5. Scenarios'!$D$8))/4+INDEX(BookQ2,1164)*(5-MIN(4,2+'5. Scenarios'!$D$8))/4+INDEX(BookQ3,1164)*(5-MIN(4,3+'5. Scenarios'!$D$8))/4+INDEX(BookQ4,1164)*(5-MIN(4,4+'5. Scenarios'!$D$8))/4)*'5. Scenarios'!$D$6/(1+ProductivityDefault*('5. Scenarios'!$D$11-1))+INDEX(BookOneOff,1164)*$N1169)</f>
        <v/>
      </c>
      <c r="S1169" s="56" t="str">
        <f aca="false">IF(INDEX(BookTitle,1164)="","",INDEX(BookTotal,1164)*'5. Scenarios'!$E$6/(1+ProductivityDefault*('5. Scenarios'!$E$11-1)))</f>
        <v/>
      </c>
      <c r="T1169" s="57" t="str">
        <f aca="false">IF($S1169="","",INDEX(BookRate,1164)*(1+'5. Scenarios'!$E$10)*$S1169)</f>
        <v/>
      </c>
      <c r="U1169" s="57" t="str">
        <f aca="false">IF($T1169="","",SUMIFS($T$6:$T$2405,$A$6:$A$2405,"&lt;="&amp;$A1169))</f>
        <v/>
      </c>
      <c r="V1169" s="57" t="str">
        <f aca="false">IF($T1169="","",IF($U1169&lt;=BankCostEnvelope*'5. Scenarios'!$E$7,1,0))</f>
        <v/>
      </c>
      <c r="W1169" s="57" t="str">
        <f aca="false">IF($S1169="","",INDEX(BookRate,1164)*(1+'5. Scenarios'!$E$10)*(INDEX(BookQ1,1164)*(5-MIN(4,1+'5. Scenarios'!$E$8))/4+INDEX(BookQ2,1164)*(5-MIN(4,2+'5. Scenarios'!$E$8))/4+INDEX(BookQ3,1164)*(5-MIN(4,3+'5. Scenarios'!$E$8))/4+INDEX(BookQ4,1164)*(5-MIN(4,4+'5. Scenarios'!$E$8))/4)*'5. Scenarios'!$E$6/(1+ProductivityDefault*('5. Scenarios'!$E$11-1))+INDEX(BookOneOff,1164)*$S1169)</f>
        <v/>
      </c>
    </row>
    <row r="1170" customFormat="false" ht="15" hidden="false" customHeight="false" outlineLevel="0" collapsed="false">
      <c r="A1170" s="0" t="str">
        <f aca="false">IF(INDEX(BookTitle,1165)="","",INDEX(BookKey,1165))</f>
        <v/>
      </c>
      <c r="B1170" s="0" t="str">
        <f aca="false">IF(INDEX(BookTitle,1165)="","",INDEX(BookGroup,1165))</f>
        <v/>
      </c>
      <c r="C1170" s="0" t="str">
        <f aca="false">IF(INDEX(BookTitle,1165)="","",INDEX(BookCategory,1165))</f>
        <v/>
      </c>
      <c r="D1170" s="56" t="str">
        <f aca="false">IF(INDEX(BookTitle,1165)="","",INDEX(BookTotal,1165)*'5. Scenarios'!$B$6/(1+ProductivityDefault*('5. Scenarios'!$B$11-1)))</f>
        <v/>
      </c>
      <c r="E1170" s="57" t="str">
        <f aca="false">IF($D1170="","",INDEX(BookRate,1165)*(1+'5. Scenarios'!$B$10)*$D1170)</f>
        <v/>
      </c>
      <c r="F1170" s="57" t="str">
        <f aca="false">IF($E1170="","",SUMIFS($E$6:$E$2405,$A$6:$A$2405,"&lt;="&amp;$A1170))</f>
        <v/>
      </c>
      <c r="G1170" s="57" t="str">
        <f aca="false">IF($E1170="","",IF($F1170&lt;=BankCostEnvelope*'5. Scenarios'!$B$7,1,0))</f>
        <v/>
      </c>
      <c r="H1170" s="57" t="str">
        <f aca="false">IF($D1170="","",INDEX(BookRate,1165)*(1+'5. Scenarios'!$B$10)*(INDEX(BookQ1,1165)*(5-MIN(4,1+'5. Scenarios'!$B$8))/4+INDEX(BookQ2,1165)*(5-MIN(4,2+'5. Scenarios'!$B$8))/4+INDEX(BookQ3,1165)*(5-MIN(4,3+'5. Scenarios'!$B$8))/4+INDEX(BookQ4,1165)*(5-MIN(4,4+'5. Scenarios'!$B$8))/4)*'5. Scenarios'!$B$6/(1+ProductivityDefault*('5. Scenarios'!$B$11-1))+INDEX(BookOneOff,1165)*$D1170)</f>
        <v/>
      </c>
      <c r="I1170" s="56" t="str">
        <f aca="false">IF(INDEX(BookTitle,1165)="","",INDEX(BookTotal,1165)*'5. Scenarios'!$C$6/(1+ProductivityDefault*('5. Scenarios'!$C$11-1)))</f>
        <v/>
      </c>
      <c r="J1170" s="57" t="str">
        <f aca="false">IF($I1170="","",INDEX(BookRate,1165)*(1+'5. Scenarios'!$C$10)*$I1170)</f>
        <v/>
      </c>
      <c r="K1170" s="57" t="str">
        <f aca="false">IF($J1170="","",SUMIFS($J$6:$J$2405,$A$6:$A$2405,"&lt;="&amp;$A1170))</f>
        <v/>
      </c>
      <c r="L1170" s="57" t="str">
        <f aca="false">IF($J1170="","",IF($K1170&lt;=BankCostEnvelope*'5. Scenarios'!$C$7,1,0))</f>
        <v/>
      </c>
      <c r="M1170" s="57" t="str">
        <f aca="false">IF($I1170="","",INDEX(BookRate,1165)*(1+'5. Scenarios'!$C$10)*(INDEX(BookQ1,1165)*(5-MIN(4,1+'5. Scenarios'!$C$8))/4+INDEX(BookQ2,1165)*(5-MIN(4,2+'5. Scenarios'!$C$8))/4+INDEX(BookQ3,1165)*(5-MIN(4,3+'5. Scenarios'!$C$8))/4+INDEX(BookQ4,1165)*(5-MIN(4,4+'5. Scenarios'!$C$8))/4)*'5. Scenarios'!$C$6/(1+ProductivityDefault*('5. Scenarios'!$C$11-1))+INDEX(BookOneOff,1165)*$I1170)</f>
        <v/>
      </c>
      <c r="N1170" s="56" t="str">
        <f aca="false">IF(INDEX(BookTitle,1165)="","",INDEX(BookTotal,1165)*'5. Scenarios'!$D$6/(1+ProductivityDefault*('5. Scenarios'!$D$11-1)))</f>
        <v/>
      </c>
      <c r="O1170" s="57" t="str">
        <f aca="false">IF($N1170="","",INDEX(BookRate,1165)*(1+'5. Scenarios'!$D$10)*$N1170)</f>
        <v/>
      </c>
      <c r="P1170" s="57" t="str">
        <f aca="false">IF($O1170="","",SUMIFS($O$6:$O$2405,$A$6:$A$2405,"&lt;="&amp;$A1170))</f>
        <v/>
      </c>
      <c r="Q1170" s="57" t="str">
        <f aca="false">IF($O1170="","",IF($P1170&lt;=BankCostEnvelope*'5. Scenarios'!$D$7,1,0))</f>
        <v/>
      </c>
      <c r="R1170" s="57" t="str">
        <f aca="false">IF($N1170="","",INDEX(BookRate,1165)*(1+'5. Scenarios'!$D$10)*(INDEX(BookQ1,1165)*(5-MIN(4,1+'5. Scenarios'!$D$8))/4+INDEX(BookQ2,1165)*(5-MIN(4,2+'5. Scenarios'!$D$8))/4+INDEX(BookQ3,1165)*(5-MIN(4,3+'5. Scenarios'!$D$8))/4+INDEX(BookQ4,1165)*(5-MIN(4,4+'5. Scenarios'!$D$8))/4)*'5. Scenarios'!$D$6/(1+ProductivityDefault*('5. Scenarios'!$D$11-1))+INDEX(BookOneOff,1165)*$N1170)</f>
        <v/>
      </c>
      <c r="S1170" s="56" t="str">
        <f aca="false">IF(INDEX(BookTitle,1165)="","",INDEX(BookTotal,1165)*'5. Scenarios'!$E$6/(1+ProductivityDefault*('5. Scenarios'!$E$11-1)))</f>
        <v/>
      </c>
      <c r="T1170" s="57" t="str">
        <f aca="false">IF($S1170="","",INDEX(BookRate,1165)*(1+'5. Scenarios'!$E$10)*$S1170)</f>
        <v/>
      </c>
      <c r="U1170" s="57" t="str">
        <f aca="false">IF($T1170="","",SUMIFS($T$6:$T$2405,$A$6:$A$2405,"&lt;="&amp;$A1170))</f>
        <v/>
      </c>
      <c r="V1170" s="57" t="str">
        <f aca="false">IF($T1170="","",IF($U1170&lt;=BankCostEnvelope*'5. Scenarios'!$E$7,1,0))</f>
        <v/>
      </c>
      <c r="W1170" s="57" t="str">
        <f aca="false">IF($S1170="","",INDEX(BookRate,1165)*(1+'5. Scenarios'!$E$10)*(INDEX(BookQ1,1165)*(5-MIN(4,1+'5. Scenarios'!$E$8))/4+INDEX(BookQ2,1165)*(5-MIN(4,2+'5. Scenarios'!$E$8))/4+INDEX(BookQ3,1165)*(5-MIN(4,3+'5. Scenarios'!$E$8))/4+INDEX(BookQ4,1165)*(5-MIN(4,4+'5. Scenarios'!$E$8))/4)*'5. Scenarios'!$E$6/(1+ProductivityDefault*('5. Scenarios'!$E$11-1))+INDEX(BookOneOff,1165)*$S1170)</f>
        <v/>
      </c>
    </row>
    <row r="1171" customFormat="false" ht="15" hidden="false" customHeight="false" outlineLevel="0" collapsed="false">
      <c r="A1171" s="0" t="str">
        <f aca="false">IF(INDEX(BookTitle,1166)="","",INDEX(BookKey,1166))</f>
        <v/>
      </c>
      <c r="B1171" s="0" t="str">
        <f aca="false">IF(INDEX(BookTitle,1166)="","",INDEX(BookGroup,1166))</f>
        <v/>
      </c>
      <c r="C1171" s="0" t="str">
        <f aca="false">IF(INDEX(BookTitle,1166)="","",INDEX(BookCategory,1166))</f>
        <v/>
      </c>
      <c r="D1171" s="56" t="str">
        <f aca="false">IF(INDEX(BookTitle,1166)="","",INDEX(BookTotal,1166)*'5. Scenarios'!$B$6/(1+ProductivityDefault*('5. Scenarios'!$B$11-1)))</f>
        <v/>
      </c>
      <c r="E1171" s="57" t="str">
        <f aca="false">IF($D1171="","",INDEX(BookRate,1166)*(1+'5. Scenarios'!$B$10)*$D1171)</f>
        <v/>
      </c>
      <c r="F1171" s="57" t="str">
        <f aca="false">IF($E1171="","",SUMIFS($E$6:$E$2405,$A$6:$A$2405,"&lt;="&amp;$A1171))</f>
        <v/>
      </c>
      <c r="G1171" s="57" t="str">
        <f aca="false">IF($E1171="","",IF($F1171&lt;=BankCostEnvelope*'5. Scenarios'!$B$7,1,0))</f>
        <v/>
      </c>
      <c r="H1171" s="57" t="str">
        <f aca="false">IF($D1171="","",INDEX(BookRate,1166)*(1+'5. Scenarios'!$B$10)*(INDEX(BookQ1,1166)*(5-MIN(4,1+'5. Scenarios'!$B$8))/4+INDEX(BookQ2,1166)*(5-MIN(4,2+'5. Scenarios'!$B$8))/4+INDEX(BookQ3,1166)*(5-MIN(4,3+'5. Scenarios'!$B$8))/4+INDEX(BookQ4,1166)*(5-MIN(4,4+'5. Scenarios'!$B$8))/4)*'5. Scenarios'!$B$6/(1+ProductivityDefault*('5. Scenarios'!$B$11-1))+INDEX(BookOneOff,1166)*$D1171)</f>
        <v/>
      </c>
      <c r="I1171" s="56" t="str">
        <f aca="false">IF(INDEX(BookTitle,1166)="","",INDEX(BookTotal,1166)*'5. Scenarios'!$C$6/(1+ProductivityDefault*('5. Scenarios'!$C$11-1)))</f>
        <v/>
      </c>
      <c r="J1171" s="57" t="str">
        <f aca="false">IF($I1171="","",INDEX(BookRate,1166)*(1+'5. Scenarios'!$C$10)*$I1171)</f>
        <v/>
      </c>
      <c r="K1171" s="57" t="str">
        <f aca="false">IF($J1171="","",SUMIFS($J$6:$J$2405,$A$6:$A$2405,"&lt;="&amp;$A1171))</f>
        <v/>
      </c>
      <c r="L1171" s="57" t="str">
        <f aca="false">IF($J1171="","",IF($K1171&lt;=BankCostEnvelope*'5. Scenarios'!$C$7,1,0))</f>
        <v/>
      </c>
      <c r="M1171" s="57" t="str">
        <f aca="false">IF($I1171="","",INDEX(BookRate,1166)*(1+'5. Scenarios'!$C$10)*(INDEX(BookQ1,1166)*(5-MIN(4,1+'5. Scenarios'!$C$8))/4+INDEX(BookQ2,1166)*(5-MIN(4,2+'5. Scenarios'!$C$8))/4+INDEX(BookQ3,1166)*(5-MIN(4,3+'5. Scenarios'!$C$8))/4+INDEX(BookQ4,1166)*(5-MIN(4,4+'5. Scenarios'!$C$8))/4)*'5. Scenarios'!$C$6/(1+ProductivityDefault*('5. Scenarios'!$C$11-1))+INDEX(BookOneOff,1166)*$I1171)</f>
        <v/>
      </c>
      <c r="N1171" s="56" t="str">
        <f aca="false">IF(INDEX(BookTitle,1166)="","",INDEX(BookTotal,1166)*'5. Scenarios'!$D$6/(1+ProductivityDefault*('5. Scenarios'!$D$11-1)))</f>
        <v/>
      </c>
      <c r="O1171" s="57" t="str">
        <f aca="false">IF($N1171="","",INDEX(BookRate,1166)*(1+'5. Scenarios'!$D$10)*$N1171)</f>
        <v/>
      </c>
      <c r="P1171" s="57" t="str">
        <f aca="false">IF($O1171="","",SUMIFS($O$6:$O$2405,$A$6:$A$2405,"&lt;="&amp;$A1171))</f>
        <v/>
      </c>
      <c r="Q1171" s="57" t="str">
        <f aca="false">IF($O1171="","",IF($P1171&lt;=BankCostEnvelope*'5. Scenarios'!$D$7,1,0))</f>
        <v/>
      </c>
      <c r="R1171" s="57" t="str">
        <f aca="false">IF($N1171="","",INDEX(BookRate,1166)*(1+'5. Scenarios'!$D$10)*(INDEX(BookQ1,1166)*(5-MIN(4,1+'5. Scenarios'!$D$8))/4+INDEX(BookQ2,1166)*(5-MIN(4,2+'5. Scenarios'!$D$8))/4+INDEX(BookQ3,1166)*(5-MIN(4,3+'5. Scenarios'!$D$8))/4+INDEX(BookQ4,1166)*(5-MIN(4,4+'5. Scenarios'!$D$8))/4)*'5. Scenarios'!$D$6/(1+ProductivityDefault*('5. Scenarios'!$D$11-1))+INDEX(BookOneOff,1166)*$N1171)</f>
        <v/>
      </c>
      <c r="S1171" s="56" t="str">
        <f aca="false">IF(INDEX(BookTitle,1166)="","",INDEX(BookTotal,1166)*'5. Scenarios'!$E$6/(1+ProductivityDefault*('5. Scenarios'!$E$11-1)))</f>
        <v/>
      </c>
      <c r="T1171" s="57" t="str">
        <f aca="false">IF($S1171="","",INDEX(BookRate,1166)*(1+'5. Scenarios'!$E$10)*$S1171)</f>
        <v/>
      </c>
      <c r="U1171" s="57" t="str">
        <f aca="false">IF($T1171="","",SUMIFS($T$6:$T$2405,$A$6:$A$2405,"&lt;="&amp;$A1171))</f>
        <v/>
      </c>
      <c r="V1171" s="57" t="str">
        <f aca="false">IF($T1171="","",IF($U1171&lt;=BankCostEnvelope*'5. Scenarios'!$E$7,1,0))</f>
        <v/>
      </c>
      <c r="W1171" s="57" t="str">
        <f aca="false">IF($S1171="","",INDEX(BookRate,1166)*(1+'5. Scenarios'!$E$10)*(INDEX(BookQ1,1166)*(5-MIN(4,1+'5. Scenarios'!$E$8))/4+INDEX(BookQ2,1166)*(5-MIN(4,2+'5. Scenarios'!$E$8))/4+INDEX(BookQ3,1166)*(5-MIN(4,3+'5. Scenarios'!$E$8))/4+INDEX(BookQ4,1166)*(5-MIN(4,4+'5. Scenarios'!$E$8))/4)*'5. Scenarios'!$E$6/(1+ProductivityDefault*('5. Scenarios'!$E$11-1))+INDEX(BookOneOff,1166)*$S1171)</f>
        <v/>
      </c>
    </row>
    <row r="1172" customFormat="false" ht="15" hidden="false" customHeight="false" outlineLevel="0" collapsed="false">
      <c r="A1172" s="0" t="str">
        <f aca="false">IF(INDEX(BookTitle,1167)="","",INDEX(BookKey,1167))</f>
        <v/>
      </c>
      <c r="B1172" s="0" t="str">
        <f aca="false">IF(INDEX(BookTitle,1167)="","",INDEX(BookGroup,1167))</f>
        <v/>
      </c>
      <c r="C1172" s="0" t="str">
        <f aca="false">IF(INDEX(BookTitle,1167)="","",INDEX(BookCategory,1167))</f>
        <v/>
      </c>
      <c r="D1172" s="56" t="str">
        <f aca="false">IF(INDEX(BookTitle,1167)="","",INDEX(BookTotal,1167)*'5. Scenarios'!$B$6/(1+ProductivityDefault*('5. Scenarios'!$B$11-1)))</f>
        <v/>
      </c>
      <c r="E1172" s="57" t="str">
        <f aca="false">IF($D1172="","",INDEX(BookRate,1167)*(1+'5. Scenarios'!$B$10)*$D1172)</f>
        <v/>
      </c>
      <c r="F1172" s="57" t="str">
        <f aca="false">IF($E1172="","",SUMIFS($E$6:$E$2405,$A$6:$A$2405,"&lt;="&amp;$A1172))</f>
        <v/>
      </c>
      <c r="G1172" s="57" t="str">
        <f aca="false">IF($E1172="","",IF($F1172&lt;=BankCostEnvelope*'5. Scenarios'!$B$7,1,0))</f>
        <v/>
      </c>
      <c r="H1172" s="57" t="str">
        <f aca="false">IF($D1172="","",INDEX(BookRate,1167)*(1+'5. Scenarios'!$B$10)*(INDEX(BookQ1,1167)*(5-MIN(4,1+'5. Scenarios'!$B$8))/4+INDEX(BookQ2,1167)*(5-MIN(4,2+'5. Scenarios'!$B$8))/4+INDEX(BookQ3,1167)*(5-MIN(4,3+'5. Scenarios'!$B$8))/4+INDEX(BookQ4,1167)*(5-MIN(4,4+'5. Scenarios'!$B$8))/4)*'5. Scenarios'!$B$6/(1+ProductivityDefault*('5. Scenarios'!$B$11-1))+INDEX(BookOneOff,1167)*$D1172)</f>
        <v/>
      </c>
      <c r="I1172" s="56" t="str">
        <f aca="false">IF(INDEX(BookTitle,1167)="","",INDEX(BookTotal,1167)*'5. Scenarios'!$C$6/(1+ProductivityDefault*('5. Scenarios'!$C$11-1)))</f>
        <v/>
      </c>
      <c r="J1172" s="57" t="str">
        <f aca="false">IF($I1172="","",INDEX(BookRate,1167)*(1+'5. Scenarios'!$C$10)*$I1172)</f>
        <v/>
      </c>
      <c r="K1172" s="57" t="str">
        <f aca="false">IF($J1172="","",SUMIFS($J$6:$J$2405,$A$6:$A$2405,"&lt;="&amp;$A1172))</f>
        <v/>
      </c>
      <c r="L1172" s="57" t="str">
        <f aca="false">IF($J1172="","",IF($K1172&lt;=BankCostEnvelope*'5. Scenarios'!$C$7,1,0))</f>
        <v/>
      </c>
      <c r="M1172" s="57" t="str">
        <f aca="false">IF($I1172="","",INDEX(BookRate,1167)*(1+'5. Scenarios'!$C$10)*(INDEX(BookQ1,1167)*(5-MIN(4,1+'5. Scenarios'!$C$8))/4+INDEX(BookQ2,1167)*(5-MIN(4,2+'5. Scenarios'!$C$8))/4+INDEX(BookQ3,1167)*(5-MIN(4,3+'5. Scenarios'!$C$8))/4+INDEX(BookQ4,1167)*(5-MIN(4,4+'5. Scenarios'!$C$8))/4)*'5. Scenarios'!$C$6/(1+ProductivityDefault*('5. Scenarios'!$C$11-1))+INDEX(BookOneOff,1167)*$I1172)</f>
        <v/>
      </c>
      <c r="N1172" s="56" t="str">
        <f aca="false">IF(INDEX(BookTitle,1167)="","",INDEX(BookTotal,1167)*'5. Scenarios'!$D$6/(1+ProductivityDefault*('5. Scenarios'!$D$11-1)))</f>
        <v/>
      </c>
      <c r="O1172" s="57" t="str">
        <f aca="false">IF($N1172="","",INDEX(BookRate,1167)*(1+'5. Scenarios'!$D$10)*$N1172)</f>
        <v/>
      </c>
      <c r="P1172" s="57" t="str">
        <f aca="false">IF($O1172="","",SUMIFS($O$6:$O$2405,$A$6:$A$2405,"&lt;="&amp;$A1172))</f>
        <v/>
      </c>
      <c r="Q1172" s="57" t="str">
        <f aca="false">IF($O1172="","",IF($P1172&lt;=BankCostEnvelope*'5. Scenarios'!$D$7,1,0))</f>
        <v/>
      </c>
      <c r="R1172" s="57" t="str">
        <f aca="false">IF($N1172="","",INDEX(BookRate,1167)*(1+'5. Scenarios'!$D$10)*(INDEX(BookQ1,1167)*(5-MIN(4,1+'5. Scenarios'!$D$8))/4+INDEX(BookQ2,1167)*(5-MIN(4,2+'5. Scenarios'!$D$8))/4+INDEX(BookQ3,1167)*(5-MIN(4,3+'5. Scenarios'!$D$8))/4+INDEX(BookQ4,1167)*(5-MIN(4,4+'5. Scenarios'!$D$8))/4)*'5. Scenarios'!$D$6/(1+ProductivityDefault*('5. Scenarios'!$D$11-1))+INDEX(BookOneOff,1167)*$N1172)</f>
        <v/>
      </c>
      <c r="S1172" s="56" t="str">
        <f aca="false">IF(INDEX(BookTitle,1167)="","",INDEX(BookTotal,1167)*'5. Scenarios'!$E$6/(1+ProductivityDefault*('5. Scenarios'!$E$11-1)))</f>
        <v/>
      </c>
      <c r="T1172" s="57" t="str">
        <f aca="false">IF($S1172="","",INDEX(BookRate,1167)*(1+'5. Scenarios'!$E$10)*$S1172)</f>
        <v/>
      </c>
      <c r="U1172" s="57" t="str">
        <f aca="false">IF($T1172="","",SUMIFS($T$6:$T$2405,$A$6:$A$2405,"&lt;="&amp;$A1172))</f>
        <v/>
      </c>
      <c r="V1172" s="57" t="str">
        <f aca="false">IF($T1172="","",IF($U1172&lt;=BankCostEnvelope*'5. Scenarios'!$E$7,1,0))</f>
        <v/>
      </c>
      <c r="W1172" s="57" t="str">
        <f aca="false">IF($S1172="","",INDEX(BookRate,1167)*(1+'5. Scenarios'!$E$10)*(INDEX(BookQ1,1167)*(5-MIN(4,1+'5. Scenarios'!$E$8))/4+INDEX(BookQ2,1167)*(5-MIN(4,2+'5. Scenarios'!$E$8))/4+INDEX(BookQ3,1167)*(5-MIN(4,3+'5. Scenarios'!$E$8))/4+INDEX(BookQ4,1167)*(5-MIN(4,4+'5. Scenarios'!$E$8))/4)*'5. Scenarios'!$E$6/(1+ProductivityDefault*('5. Scenarios'!$E$11-1))+INDEX(BookOneOff,1167)*$S1172)</f>
        <v/>
      </c>
    </row>
    <row r="1173" customFormat="false" ht="15" hidden="false" customHeight="false" outlineLevel="0" collapsed="false">
      <c r="A1173" s="0" t="str">
        <f aca="false">IF(INDEX(BookTitle,1168)="","",INDEX(BookKey,1168))</f>
        <v/>
      </c>
      <c r="B1173" s="0" t="str">
        <f aca="false">IF(INDEX(BookTitle,1168)="","",INDEX(BookGroup,1168))</f>
        <v/>
      </c>
      <c r="C1173" s="0" t="str">
        <f aca="false">IF(INDEX(BookTitle,1168)="","",INDEX(BookCategory,1168))</f>
        <v/>
      </c>
      <c r="D1173" s="56" t="str">
        <f aca="false">IF(INDEX(BookTitle,1168)="","",INDEX(BookTotal,1168)*'5. Scenarios'!$B$6/(1+ProductivityDefault*('5. Scenarios'!$B$11-1)))</f>
        <v/>
      </c>
      <c r="E1173" s="57" t="str">
        <f aca="false">IF($D1173="","",INDEX(BookRate,1168)*(1+'5. Scenarios'!$B$10)*$D1173)</f>
        <v/>
      </c>
      <c r="F1173" s="57" t="str">
        <f aca="false">IF($E1173="","",SUMIFS($E$6:$E$2405,$A$6:$A$2405,"&lt;="&amp;$A1173))</f>
        <v/>
      </c>
      <c r="G1173" s="57" t="str">
        <f aca="false">IF($E1173="","",IF($F1173&lt;=BankCostEnvelope*'5. Scenarios'!$B$7,1,0))</f>
        <v/>
      </c>
      <c r="H1173" s="57" t="str">
        <f aca="false">IF($D1173="","",INDEX(BookRate,1168)*(1+'5. Scenarios'!$B$10)*(INDEX(BookQ1,1168)*(5-MIN(4,1+'5. Scenarios'!$B$8))/4+INDEX(BookQ2,1168)*(5-MIN(4,2+'5. Scenarios'!$B$8))/4+INDEX(BookQ3,1168)*(5-MIN(4,3+'5. Scenarios'!$B$8))/4+INDEX(BookQ4,1168)*(5-MIN(4,4+'5. Scenarios'!$B$8))/4)*'5. Scenarios'!$B$6/(1+ProductivityDefault*('5. Scenarios'!$B$11-1))+INDEX(BookOneOff,1168)*$D1173)</f>
        <v/>
      </c>
      <c r="I1173" s="56" t="str">
        <f aca="false">IF(INDEX(BookTitle,1168)="","",INDEX(BookTotal,1168)*'5. Scenarios'!$C$6/(1+ProductivityDefault*('5. Scenarios'!$C$11-1)))</f>
        <v/>
      </c>
      <c r="J1173" s="57" t="str">
        <f aca="false">IF($I1173="","",INDEX(BookRate,1168)*(1+'5. Scenarios'!$C$10)*$I1173)</f>
        <v/>
      </c>
      <c r="K1173" s="57" t="str">
        <f aca="false">IF($J1173="","",SUMIFS($J$6:$J$2405,$A$6:$A$2405,"&lt;="&amp;$A1173))</f>
        <v/>
      </c>
      <c r="L1173" s="57" t="str">
        <f aca="false">IF($J1173="","",IF($K1173&lt;=BankCostEnvelope*'5. Scenarios'!$C$7,1,0))</f>
        <v/>
      </c>
      <c r="M1173" s="57" t="str">
        <f aca="false">IF($I1173="","",INDEX(BookRate,1168)*(1+'5. Scenarios'!$C$10)*(INDEX(BookQ1,1168)*(5-MIN(4,1+'5. Scenarios'!$C$8))/4+INDEX(BookQ2,1168)*(5-MIN(4,2+'5. Scenarios'!$C$8))/4+INDEX(BookQ3,1168)*(5-MIN(4,3+'5. Scenarios'!$C$8))/4+INDEX(BookQ4,1168)*(5-MIN(4,4+'5. Scenarios'!$C$8))/4)*'5. Scenarios'!$C$6/(1+ProductivityDefault*('5. Scenarios'!$C$11-1))+INDEX(BookOneOff,1168)*$I1173)</f>
        <v/>
      </c>
      <c r="N1173" s="56" t="str">
        <f aca="false">IF(INDEX(BookTitle,1168)="","",INDEX(BookTotal,1168)*'5. Scenarios'!$D$6/(1+ProductivityDefault*('5. Scenarios'!$D$11-1)))</f>
        <v/>
      </c>
      <c r="O1173" s="57" t="str">
        <f aca="false">IF($N1173="","",INDEX(BookRate,1168)*(1+'5. Scenarios'!$D$10)*$N1173)</f>
        <v/>
      </c>
      <c r="P1173" s="57" t="str">
        <f aca="false">IF($O1173="","",SUMIFS($O$6:$O$2405,$A$6:$A$2405,"&lt;="&amp;$A1173))</f>
        <v/>
      </c>
      <c r="Q1173" s="57" t="str">
        <f aca="false">IF($O1173="","",IF($P1173&lt;=BankCostEnvelope*'5. Scenarios'!$D$7,1,0))</f>
        <v/>
      </c>
      <c r="R1173" s="57" t="str">
        <f aca="false">IF($N1173="","",INDEX(BookRate,1168)*(1+'5. Scenarios'!$D$10)*(INDEX(BookQ1,1168)*(5-MIN(4,1+'5. Scenarios'!$D$8))/4+INDEX(BookQ2,1168)*(5-MIN(4,2+'5. Scenarios'!$D$8))/4+INDEX(BookQ3,1168)*(5-MIN(4,3+'5. Scenarios'!$D$8))/4+INDEX(BookQ4,1168)*(5-MIN(4,4+'5. Scenarios'!$D$8))/4)*'5. Scenarios'!$D$6/(1+ProductivityDefault*('5. Scenarios'!$D$11-1))+INDEX(BookOneOff,1168)*$N1173)</f>
        <v/>
      </c>
      <c r="S1173" s="56" t="str">
        <f aca="false">IF(INDEX(BookTitle,1168)="","",INDEX(BookTotal,1168)*'5. Scenarios'!$E$6/(1+ProductivityDefault*('5. Scenarios'!$E$11-1)))</f>
        <v/>
      </c>
      <c r="T1173" s="57" t="str">
        <f aca="false">IF($S1173="","",INDEX(BookRate,1168)*(1+'5. Scenarios'!$E$10)*$S1173)</f>
        <v/>
      </c>
      <c r="U1173" s="57" t="str">
        <f aca="false">IF($T1173="","",SUMIFS($T$6:$T$2405,$A$6:$A$2405,"&lt;="&amp;$A1173))</f>
        <v/>
      </c>
      <c r="V1173" s="57" t="str">
        <f aca="false">IF($T1173="","",IF($U1173&lt;=BankCostEnvelope*'5. Scenarios'!$E$7,1,0))</f>
        <v/>
      </c>
      <c r="W1173" s="57" t="str">
        <f aca="false">IF($S1173="","",INDEX(BookRate,1168)*(1+'5. Scenarios'!$E$10)*(INDEX(BookQ1,1168)*(5-MIN(4,1+'5. Scenarios'!$E$8))/4+INDEX(BookQ2,1168)*(5-MIN(4,2+'5. Scenarios'!$E$8))/4+INDEX(BookQ3,1168)*(5-MIN(4,3+'5. Scenarios'!$E$8))/4+INDEX(BookQ4,1168)*(5-MIN(4,4+'5. Scenarios'!$E$8))/4)*'5. Scenarios'!$E$6/(1+ProductivityDefault*('5. Scenarios'!$E$11-1))+INDEX(BookOneOff,1168)*$S1173)</f>
        <v/>
      </c>
    </row>
    <row r="1174" customFormat="false" ht="15" hidden="false" customHeight="false" outlineLevel="0" collapsed="false">
      <c r="A1174" s="0" t="str">
        <f aca="false">IF(INDEX(BookTitle,1169)="","",INDEX(BookKey,1169))</f>
        <v/>
      </c>
      <c r="B1174" s="0" t="str">
        <f aca="false">IF(INDEX(BookTitle,1169)="","",INDEX(BookGroup,1169))</f>
        <v/>
      </c>
      <c r="C1174" s="0" t="str">
        <f aca="false">IF(INDEX(BookTitle,1169)="","",INDEX(BookCategory,1169))</f>
        <v/>
      </c>
      <c r="D1174" s="56" t="str">
        <f aca="false">IF(INDEX(BookTitle,1169)="","",INDEX(BookTotal,1169)*'5. Scenarios'!$B$6/(1+ProductivityDefault*('5. Scenarios'!$B$11-1)))</f>
        <v/>
      </c>
      <c r="E1174" s="57" t="str">
        <f aca="false">IF($D1174="","",INDEX(BookRate,1169)*(1+'5. Scenarios'!$B$10)*$D1174)</f>
        <v/>
      </c>
      <c r="F1174" s="57" t="str">
        <f aca="false">IF($E1174="","",SUMIFS($E$6:$E$2405,$A$6:$A$2405,"&lt;="&amp;$A1174))</f>
        <v/>
      </c>
      <c r="G1174" s="57" t="str">
        <f aca="false">IF($E1174="","",IF($F1174&lt;=BankCostEnvelope*'5. Scenarios'!$B$7,1,0))</f>
        <v/>
      </c>
      <c r="H1174" s="57" t="str">
        <f aca="false">IF($D1174="","",INDEX(BookRate,1169)*(1+'5. Scenarios'!$B$10)*(INDEX(BookQ1,1169)*(5-MIN(4,1+'5. Scenarios'!$B$8))/4+INDEX(BookQ2,1169)*(5-MIN(4,2+'5. Scenarios'!$B$8))/4+INDEX(BookQ3,1169)*(5-MIN(4,3+'5. Scenarios'!$B$8))/4+INDEX(BookQ4,1169)*(5-MIN(4,4+'5. Scenarios'!$B$8))/4)*'5. Scenarios'!$B$6/(1+ProductivityDefault*('5. Scenarios'!$B$11-1))+INDEX(BookOneOff,1169)*$D1174)</f>
        <v/>
      </c>
      <c r="I1174" s="56" t="str">
        <f aca="false">IF(INDEX(BookTitle,1169)="","",INDEX(BookTotal,1169)*'5. Scenarios'!$C$6/(1+ProductivityDefault*('5. Scenarios'!$C$11-1)))</f>
        <v/>
      </c>
      <c r="J1174" s="57" t="str">
        <f aca="false">IF($I1174="","",INDEX(BookRate,1169)*(1+'5. Scenarios'!$C$10)*$I1174)</f>
        <v/>
      </c>
      <c r="K1174" s="57" t="str">
        <f aca="false">IF($J1174="","",SUMIFS($J$6:$J$2405,$A$6:$A$2405,"&lt;="&amp;$A1174))</f>
        <v/>
      </c>
      <c r="L1174" s="57" t="str">
        <f aca="false">IF($J1174="","",IF($K1174&lt;=BankCostEnvelope*'5. Scenarios'!$C$7,1,0))</f>
        <v/>
      </c>
      <c r="M1174" s="57" t="str">
        <f aca="false">IF($I1174="","",INDEX(BookRate,1169)*(1+'5. Scenarios'!$C$10)*(INDEX(BookQ1,1169)*(5-MIN(4,1+'5. Scenarios'!$C$8))/4+INDEX(BookQ2,1169)*(5-MIN(4,2+'5. Scenarios'!$C$8))/4+INDEX(BookQ3,1169)*(5-MIN(4,3+'5. Scenarios'!$C$8))/4+INDEX(BookQ4,1169)*(5-MIN(4,4+'5. Scenarios'!$C$8))/4)*'5. Scenarios'!$C$6/(1+ProductivityDefault*('5. Scenarios'!$C$11-1))+INDEX(BookOneOff,1169)*$I1174)</f>
        <v/>
      </c>
      <c r="N1174" s="56" t="str">
        <f aca="false">IF(INDEX(BookTitle,1169)="","",INDEX(BookTotal,1169)*'5. Scenarios'!$D$6/(1+ProductivityDefault*('5. Scenarios'!$D$11-1)))</f>
        <v/>
      </c>
      <c r="O1174" s="57" t="str">
        <f aca="false">IF($N1174="","",INDEX(BookRate,1169)*(1+'5. Scenarios'!$D$10)*$N1174)</f>
        <v/>
      </c>
      <c r="P1174" s="57" t="str">
        <f aca="false">IF($O1174="","",SUMIFS($O$6:$O$2405,$A$6:$A$2405,"&lt;="&amp;$A1174))</f>
        <v/>
      </c>
      <c r="Q1174" s="57" t="str">
        <f aca="false">IF($O1174="","",IF($P1174&lt;=BankCostEnvelope*'5. Scenarios'!$D$7,1,0))</f>
        <v/>
      </c>
      <c r="R1174" s="57" t="str">
        <f aca="false">IF($N1174="","",INDEX(BookRate,1169)*(1+'5. Scenarios'!$D$10)*(INDEX(BookQ1,1169)*(5-MIN(4,1+'5. Scenarios'!$D$8))/4+INDEX(BookQ2,1169)*(5-MIN(4,2+'5. Scenarios'!$D$8))/4+INDEX(BookQ3,1169)*(5-MIN(4,3+'5. Scenarios'!$D$8))/4+INDEX(BookQ4,1169)*(5-MIN(4,4+'5. Scenarios'!$D$8))/4)*'5. Scenarios'!$D$6/(1+ProductivityDefault*('5. Scenarios'!$D$11-1))+INDEX(BookOneOff,1169)*$N1174)</f>
        <v/>
      </c>
      <c r="S1174" s="56" t="str">
        <f aca="false">IF(INDEX(BookTitle,1169)="","",INDEX(BookTotal,1169)*'5. Scenarios'!$E$6/(1+ProductivityDefault*('5. Scenarios'!$E$11-1)))</f>
        <v/>
      </c>
      <c r="T1174" s="57" t="str">
        <f aca="false">IF($S1174="","",INDEX(BookRate,1169)*(1+'5. Scenarios'!$E$10)*$S1174)</f>
        <v/>
      </c>
      <c r="U1174" s="57" t="str">
        <f aca="false">IF($T1174="","",SUMIFS($T$6:$T$2405,$A$6:$A$2405,"&lt;="&amp;$A1174))</f>
        <v/>
      </c>
      <c r="V1174" s="57" t="str">
        <f aca="false">IF($T1174="","",IF($U1174&lt;=BankCostEnvelope*'5. Scenarios'!$E$7,1,0))</f>
        <v/>
      </c>
      <c r="W1174" s="57" t="str">
        <f aca="false">IF($S1174="","",INDEX(BookRate,1169)*(1+'5. Scenarios'!$E$10)*(INDEX(BookQ1,1169)*(5-MIN(4,1+'5. Scenarios'!$E$8))/4+INDEX(BookQ2,1169)*(5-MIN(4,2+'5. Scenarios'!$E$8))/4+INDEX(BookQ3,1169)*(5-MIN(4,3+'5. Scenarios'!$E$8))/4+INDEX(BookQ4,1169)*(5-MIN(4,4+'5. Scenarios'!$E$8))/4)*'5. Scenarios'!$E$6/(1+ProductivityDefault*('5. Scenarios'!$E$11-1))+INDEX(BookOneOff,1169)*$S1174)</f>
        <v/>
      </c>
    </row>
    <row r="1175" customFormat="false" ht="15" hidden="false" customHeight="false" outlineLevel="0" collapsed="false">
      <c r="A1175" s="0" t="str">
        <f aca="false">IF(INDEX(BookTitle,1170)="","",INDEX(BookKey,1170))</f>
        <v/>
      </c>
      <c r="B1175" s="0" t="str">
        <f aca="false">IF(INDEX(BookTitle,1170)="","",INDEX(BookGroup,1170))</f>
        <v/>
      </c>
      <c r="C1175" s="0" t="str">
        <f aca="false">IF(INDEX(BookTitle,1170)="","",INDEX(BookCategory,1170))</f>
        <v/>
      </c>
      <c r="D1175" s="56" t="str">
        <f aca="false">IF(INDEX(BookTitle,1170)="","",INDEX(BookTotal,1170)*'5. Scenarios'!$B$6/(1+ProductivityDefault*('5. Scenarios'!$B$11-1)))</f>
        <v/>
      </c>
      <c r="E1175" s="57" t="str">
        <f aca="false">IF($D1175="","",INDEX(BookRate,1170)*(1+'5. Scenarios'!$B$10)*$D1175)</f>
        <v/>
      </c>
      <c r="F1175" s="57" t="str">
        <f aca="false">IF($E1175="","",SUMIFS($E$6:$E$2405,$A$6:$A$2405,"&lt;="&amp;$A1175))</f>
        <v/>
      </c>
      <c r="G1175" s="57" t="str">
        <f aca="false">IF($E1175="","",IF($F1175&lt;=BankCostEnvelope*'5. Scenarios'!$B$7,1,0))</f>
        <v/>
      </c>
      <c r="H1175" s="57" t="str">
        <f aca="false">IF($D1175="","",INDEX(BookRate,1170)*(1+'5. Scenarios'!$B$10)*(INDEX(BookQ1,1170)*(5-MIN(4,1+'5. Scenarios'!$B$8))/4+INDEX(BookQ2,1170)*(5-MIN(4,2+'5. Scenarios'!$B$8))/4+INDEX(BookQ3,1170)*(5-MIN(4,3+'5. Scenarios'!$B$8))/4+INDEX(BookQ4,1170)*(5-MIN(4,4+'5. Scenarios'!$B$8))/4)*'5. Scenarios'!$B$6/(1+ProductivityDefault*('5. Scenarios'!$B$11-1))+INDEX(BookOneOff,1170)*$D1175)</f>
        <v/>
      </c>
      <c r="I1175" s="56" t="str">
        <f aca="false">IF(INDEX(BookTitle,1170)="","",INDEX(BookTotal,1170)*'5. Scenarios'!$C$6/(1+ProductivityDefault*('5. Scenarios'!$C$11-1)))</f>
        <v/>
      </c>
      <c r="J1175" s="57" t="str">
        <f aca="false">IF($I1175="","",INDEX(BookRate,1170)*(1+'5. Scenarios'!$C$10)*$I1175)</f>
        <v/>
      </c>
      <c r="K1175" s="57" t="str">
        <f aca="false">IF($J1175="","",SUMIFS($J$6:$J$2405,$A$6:$A$2405,"&lt;="&amp;$A1175))</f>
        <v/>
      </c>
      <c r="L1175" s="57" t="str">
        <f aca="false">IF($J1175="","",IF($K1175&lt;=BankCostEnvelope*'5. Scenarios'!$C$7,1,0))</f>
        <v/>
      </c>
      <c r="M1175" s="57" t="str">
        <f aca="false">IF($I1175="","",INDEX(BookRate,1170)*(1+'5. Scenarios'!$C$10)*(INDEX(BookQ1,1170)*(5-MIN(4,1+'5. Scenarios'!$C$8))/4+INDEX(BookQ2,1170)*(5-MIN(4,2+'5. Scenarios'!$C$8))/4+INDEX(BookQ3,1170)*(5-MIN(4,3+'5. Scenarios'!$C$8))/4+INDEX(BookQ4,1170)*(5-MIN(4,4+'5. Scenarios'!$C$8))/4)*'5. Scenarios'!$C$6/(1+ProductivityDefault*('5. Scenarios'!$C$11-1))+INDEX(BookOneOff,1170)*$I1175)</f>
        <v/>
      </c>
      <c r="N1175" s="56" t="str">
        <f aca="false">IF(INDEX(BookTitle,1170)="","",INDEX(BookTotal,1170)*'5. Scenarios'!$D$6/(1+ProductivityDefault*('5. Scenarios'!$D$11-1)))</f>
        <v/>
      </c>
      <c r="O1175" s="57" t="str">
        <f aca="false">IF($N1175="","",INDEX(BookRate,1170)*(1+'5. Scenarios'!$D$10)*$N1175)</f>
        <v/>
      </c>
      <c r="P1175" s="57" t="str">
        <f aca="false">IF($O1175="","",SUMIFS($O$6:$O$2405,$A$6:$A$2405,"&lt;="&amp;$A1175))</f>
        <v/>
      </c>
      <c r="Q1175" s="57" t="str">
        <f aca="false">IF($O1175="","",IF($P1175&lt;=BankCostEnvelope*'5. Scenarios'!$D$7,1,0))</f>
        <v/>
      </c>
      <c r="R1175" s="57" t="str">
        <f aca="false">IF($N1175="","",INDEX(BookRate,1170)*(1+'5. Scenarios'!$D$10)*(INDEX(BookQ1,1170)*(5-MIN(4,1+'5. Scenarios'!$D$8))/4+INDEX(BookQ2,1170)*(5-MIN(4,2+'5. Scenarios'!$D$8))/4+INDEX(BookQ3,1170)*(5-MIN(4,3+'5. Scenarios'!$D$8))/4+INDEX(BookQ4,1170)*(5-MIN(4,4+'5. Scenarios'!$D$8))/4)*'5. Scenarios'!$D$6/(1+ProductivityDefault*('5. Scenarios'!$D$11-1))+INDEX(BookOneOff,1170)*$N1175)</f>
        <v/>
      </c>
      <c r="S1175" s="56" t="str">
        <f aca="false">IF(INDEX(BookTitle,1170)="","",INDEX(BookTotal,1170)*'5. Scenarios'!$E$6/(1+ProductivityDefault*('5. Scenarios'!$E$11-1)))</f>
        <v/>
      </c>
      <c r="T1175" s="57" t="str">
        <f aca="false">IF($S1175="","",INDEX(BookRate,1170)*(1+'5. Scenarios'!$E$10)*$S1175)</f>
        <v/>
      </c>
      <c r="U1175" s="57" t="str">
        <f aca="false">IF($T1175="","",SUMIFS($T$6:$T$2405,$A$6:$A$2405,"&lt;="&amp;$A1175))</f>
        <v/>
      </c>
      <c r="V1175" s="57" t="str">
        <f aca="false">IF($T1175="","",IF($U1175&lt;=BankCostEnvelope*'5. Scenarios'!$E$7,1,0))</f>
        <v/>
      </c>
      <c r="W1175" s="57" t="str">
        <f aca="false">IF($S1175="","",INDEX(BookRate,1170)*(1+'5. Scenarios'!$E$10)*(INDEX(BookQ1,1170)*(5-MIN(4,1+'5. Scenarios'!$E$8))/4+INDEX(BookQ2,1170)*(5-MIN(4,2+'5. Scenarios'!$E$8))/4+INDEX(BookQ3,1170)*(5-MIN(4,3+'5. Scenarios'!$E$8))/4+INDEX(BookQ4,1170)*(5-MIN(4,4+'5. Scenarios'!$E$8))/4)*'5. Scenarios'!$E$6/(1+ProductivityDefault*('5. Scenarios'!$E$11-1))+INDEX(BookOneOff,1170)*$S1175)</f>
        <v/>
      </c>
    </row>
    <row r="1176" customFormat="false" ht="15" hidden="false" customHeight="false" outlineLevel="0" collapsed="false">
      <c r="A1176" s="0" t="str">
        <f aca="false">IF(INDEX(BookTitle,1171)="","",INDEX(BookKey,1171))</f>
        <v/>
      </c>
      <c r="B1176" s="0" t="str">
        <f aca="false">IF(INDEX(BookTitle,1171)="","",INDEX(BookGroup,1171))</f>
        <v/>
      </c>
      <c r="C1176" s="0" t="str">
        <f aca="false">IF(INDEX(BookTitle,1171)="","",INDEX(BookCategory,1171))</f>
        <v/>
      </c>
      <c r="D1176" s="56" t="str">
        <f aca="false">IF(INDEX(BookTitle,1171)="","",INDEX(BookTotal,1171)*'5. Scenarios'!$B$6/(1+ProductivityDefault*('5. Scenarios'!$B$11-1)))</f>
        <v/>
      </c>
      <c r="E1176" s="57" t="str">
        <f aca="false">IF($D1176="","",INDEX(BookRate,1171)*(1+'5. Scenarios'!$B$10)*$D1176)</f>
        <v/>
      </c>
      <c r="F1176" s="57" t="str">
        <f aca="false">IF($E1176="","",SUMIFS($E$6:$E$2405,$A$6:$A$2405,"&lt;="&amp;$A1176))</f>
        <v/>
      </c>
      <c r="G1176" s="57" t="str">
        <f aca="false">IF($E1176="","",IF($F1176&lt;=BankCostEnvelope*'5. Scenarios'!$B$7,1,0))</f>
        <v/>
      </c>
      <c r="H1176" s="57" t="str">
        <f aca="false">IF($D1176="","",INDEX(BookRate,1171)*(1+'5. Scenarios'!$B$10)*(INDEX(BookQ1,1171)*(5-MIN(4,1+'5. Scenarios'!$B$8))/4+INDEX(BookQ2,1171)*(5-MIN(4,2+'5. Scenarios'!$B$8))/4+INDEX(BookQ3,1171)*(5-MIN(4,3+'5. Scenarios'!$B$8))/4+INDEX(BookQ4,1171)*(5-MIN(4,4+'5. Scenarios'!$B$8))/4)*'5. Scenarios'!$B$6/(1+ProductivityDefault*('5. Scenarios'!$B$11-1))+INDEX(BookOneOff,1171)*$D1176)</f>
        <v/>
      </c>
      <c r="I1176" s="56" t="str">
        <f aca="false">IF(INDEX(BookTitle,1171)="","",INDEX(BookTotal,1171)*'5. Scenarios'!$C$6/(1+ProductivityDefault*('5. Scenarios'!$C$11-1)))</f>
        <v/>
      </c>
      <c r="J1176" s="57" t="str">
        <f aca="false">IF($I1176="","",INDEX(BookRate,1171)*(1+'5. Scenarios'!$C$10)*$I1176)</f>
        <v/>
      </c>
      <c r="K1176" s="57" t="str">
        <f aca="false">IF($J1176="","",SUMIFS($J$6:$J$2405,$A$6:$A$2405,"&lt;="&amp;$A1176))</f>
        <v/>
      </c>
      <c r="L1176" s="57" t="str">
        <f aca="false">IF($J1176="","",IF($K1176&lt;=BankCostEnvelope*'5. Scenarios'!$C$7,1,0))</f>
        <v/>
      </c>
      <c r="M1176" s="57" t="str">
        <f aca="false">IF($I1176="","",INDEX(BookRate,1171)*(1+'5. Scenarios'!$C$10)*(INDEX(BookQ1,1171)*(5-MIN(4,1+'5. Scenarios'!$C$8))/4+INDEX(BookQ2,1171)*(5-MIN(4,2+'5. Scenarios'!$C$8))/4+INDEX(BookQ3,1171)*(5-MIN(4,3+'5. Scenarios'!$C$8))/4+INDEX(BookQ4,1171)*(5-MIN(4,4+'5. Scenarios'!$C$8))/4)*'5. Scenarios'!$C$6/(1+ProductivityDefault*('5. Scenarios'!$C$11-1))+INDEX(BookOneOff,1171)*$I1176)</f>
        <v/>
      </c>
      <c r="N1176" s="56" t="str">
        <f aca="false">IF(INDEX(BookTitle,1171)="","",INDEX(BookTotal,1171)*'5. Scenarios'!$D$6/(1+ProductivityDefault*('5. Scenarios'!$D$11-1)))</f>
        <v/>
      </c>
      <c r="O1176" s="57" t="str">
        <f aca="false">IF($N1176="","",INDEX(BookRate,1171)*(1+'5. Scenarios'!$D$10)*$N1176)</f>
        <v/>
      </c>
      <c r="P1176" s="57" t="str">
        <f aca="false">IF($O1176="","",SUMIFS($O$6:$O$2405,$A$6:$A$2405,"&lt;="&amp;$A1176))</f>
        <v/>
      </c>
      <c r="Q1176" s="57" t="str">
        <f aca="false">IF($O1176="","",IF($P1176&lt;=BankCostEnvelope*'5. Scenarios'!$D$7,1,0))</f>
        <v/>
      </c>
      <c r="R1176" s="57" t="str">
        <f aca="false">IF($N1176="","",INDEX(BookRate,1171)*(1+'5. Scenarios'!$D$10)*(INDEX(BookQ1,1171)*(5-MIN(4,1+'5. Scenarios'!$D$8))/4+INDEX(BookQ2,1171)*(5-MIN(4,2+'5. Scenarios'!$D$8))/4+INDEX(BookQ3,1171)*(5-MIN(4,3+'5. Scenarios'!$D$8))/4+INDEX(BookQ4,1171)*(5-MIN(4,4+'5. Scenarios'!$D$8))/4)*'5. Scenarios'!$D$6/(1+ProductivityDefault*('5. Scenarios'!$D$11-1))+INDEX(BookOneOff,1171)*$N1176)</f>
        <v/>
      </c>
      <c r="S1176" s="56" t="str">
        <f aca="false">IF(INDEX(BookTitle,1171)="","",INDEX(BookTotal,1171)*'5. Scenarios'!$E$6/(1+ProductivityDefault*('5. Scenarios'!$E$11-1)))</f>
        <v/>
      </c>
      <c r="T1176" s="57" t="str">
        <f aca="false">IF($S1176="","",INDEX(BookRate,1171)*(1+'5. Scenarios'!$E$10)*$S1176)</f>
        <v/>
      </c>
      <c r="U1176" s="57" t="str">
        <f aca="false">IF($T1176="","",SUMIFS($T$6:$T$2405,$A$6:$A$2405,"&lt;="&amp;$A1176))</f>
        <v/>
      </c>
      <c r="V1176" s="57" t="str">
        <f aca="false">IF($T1176="","",IF($U1176&lt;=BankCostEnvelope*'5. Scenarios'!$E$7,1,0))</f>
        <v/>
      </c>
      <c r="W1176" s="57" t="str">
        <f aca="false">IF($S1176="","",INDEX(BookRate,1171)*(1+'5. Scenarios'!$E$10)*(INDEX(BookQ1,1171)*(5-MIN(4,1+'5. Scenarios'!$E$8))/4+INDEX(BookQ2,1171)*(5-MIN(4,2+'5. Scenarios'!$E$8))/4+INDEX(BookQ3,1171)*(5-MIN(4,3+'5. Scenarios'!$E$8))/4+INDEX(BookQ4,1171)*(5-MIN(4,4+'5. Scenarios'!$E$8))/4)*'5. Scenarios'!$E$6/(1+ProductivityDefault*('5. Scenarios'!$E$11-1))+INDEX(BookOneOff,1171)*$S1176)</f>
        <v/>
      </c>
    </row>
    <row r="1177" customFormat="false" ht="15" hidden="false" customHeight="false" outlineLevel="0" collapsed="false">
      <c r="A1177" s="0" t="str">
        <f aca="false">IF(INDEX(BookTitle,1172)="","",INDEX(BookKey,1172))</f>
        <v/>
      </c>
      <c r="B1177" s="0" t="str">
        <f aca="false">IF(INDEX(BookTitle,1172)="","",INDEX(BookGroup,1172))</f>
        <v/>
      </c>
      <c r="C1177" s="0" t="str">
        <f aca="false">IF(INDEX(BookTitle,1172)="","",INDEX(BookCategory,1172))</f>
        <v/>
      </c>
      <c r="D1177" s="56" t="str">
        <f aca="false">IF(INDEX(BookTitle,1172)="","",INDEX(BookTotal,1172)*'5. Scenarios'!$B$6/(1+ProductivityDefault*('5. Scenarios'!$B$11-1)))</f>
        <v/>
      </c>
      <c r="E1177" s="57" t="str">
        <f aca="false">IF($D1177="","",INDEX(BookRate,1172)*(1+'5. Scenarios'!$B$10)*$D1177)</f>
        <v/>
      </c>
      <c r="F1177" s="57" t="str">
        <f aca="false">IF($E1177="","",SUMIFS($E$6:$E$2405,$A$6:$A$2405,"&lt;="&amp;$A1177))</f>
        <v/>
      </c>
      <c r="G1177" s="57" t="str">
        <f aca="false">IF($E1177="","",IF($F1177&lt;=BankCostEnvelope*'5. Scenarios'!$B$7,1,0))</f>
        <v/>
      </c>
      <c r="H1177" s="57" t="str">
        <f aca="false">IF($D1177="","",INDEX(BookRate,1172)*(1+'5. Scenarios'!$B$10)*(INDEX(BookQ1,1172)*(5-MIN(4,1+'5. Scenarios'!$B$8))/4+INDEX(BookQ2,1172)*(5-MIN(4,2+'5. Scenarios'!$B$8))/4+INDEX(BookQ3,1172)*(5-MIN(4,3+'5. Scenarios'!$B$8))/4+INDEX(BookQ4,1172)*(5-MIN(4,4+'5. Scenarios'!$B$8))/4)*'5. Scenarios'!$B$6/(1+ProductivityDefault*('5. Scenarios'!$B$11-1))+INDEX(BookOneOff,1172)*$D1177)</f>
        <v/>
      </c>
      <c r="I1177" s="56" t="str">
        <f aca="false">IF(INDEX(BookTitle,1172)="","",INDEX(BookTotal,1172)*'5. Scenarios'!$C$6/(1+ProductivityDefault*('5. Scenarios'!$C$11-1)))</f>
        <v/>
      </c>
      <c r="J1177" s="57" t="str">
        <f aca="false">IF($I1177="","",INDEX(BookRate,1172)*(1+'5. Scenarios'!$C$10)*$I1177)</f>
        <v/>
      </c>
      <c r="K1177" s="57" t="str">
        <f aca="false">IF($J1177="","",SUMIFS($J$6:$J$2405,$A$6:$A$2405,"&lt;="&amp;$A1177))</f>
        <v/>
      </c>
      <c r="L1177" s="57" t="str">
        <f aca="false">IF($J1177="","",IF($K1177&lt;=BankCostEnvelope*'5. Scenarios'!$C$7,1,0))</f>
        <v/>
      </c>
      <c r="M1177" s="57" t="str">
        <f aca="false">IF($I1177="","",INDEX(BookRate,1172)*(1+'5. Scenarios'!$C$10)*(INDEX(BookQ1,1172)*(5-MIN(4,1+'5. Scenarios'!$C$8))/4+INDEX(BookQ2,1172)*(5-MIN(4,2+'5. Scenarios'!$C$8))/4+INDEX(BookQ3,1172)*(5-MIN(4,3+'5. Scenarios'!$C$8))/4+INDEX(BookQ4,1172)*(5-MIN(4,4+'5. Scenarios'!$C$8))/4)*'5. Scenarios'!$C$6/(1+ProductivityDefault*('5. Scenarios'!$C$11-1))+INDEX(BookOneOff,1172)*$I1177)</f>
        <v/>
      </c>
      <c r="N1177" s="56" t="str">
        <f aca="false">IF(INDEX(BookTitle,1172)="","",INDEX(BookTotal,1172)*'5. Scenarios'!$D$6/(1+ProductivityDefault*('5. Scenarios'!$D$11-1)))</f>
        <v/>
      </c>
      <c r="O1177" s="57" t="str">
        <f aca="false">IF($N1177="","",INDEX(BookRate,1172)*(1+'5. Scenarios'!$D$10)*$N1177)</f>
        <v/>
      </c>
      <c r="P1177" s="57" t="str">
        <f aca="false">IF($O1177="","",SUMIFS($O$6:$O$2405,$A$6:$A$2405,"&lt;="&amp;$A1177))</f>
        <v/>
      </c>
      <c r="Q1177" s="57" t="str">
        <f aca="false">IF($O1177="","",IF($P1177&lt;=BankCostEnvelope*'5. Scenarios'!$D$7,1,0))</f>
        <v/>
      </c>
      <c r="R1177" s="57" t="str">
        <f aca="false">IF($N1177="","",INDEX(BookRate,1172)*(1+'5. Scenarios'!$D$10)*(INDEX(BookQ1,1172)*(5-MIN(4,1+'5. Scenarios'!$D$8))/4+INDEX(BookQ2,1172)*(5-MIN(4,2+'5. Scenarios'!$D$8))/4+INDEX(BookQ3,1172)*(5-MIN(4,3+'5. Scenarios'!$D$8))/4+INDEX(BookQ4,1172)*(5-MIN(4,4+'5. Scenarios'!$D$8))/4)*'5. Scenarios'!$D$6/(1+ProductivityDefault*('5. Scenarios'!$D$11-1))+INDEX(BookOneOff,1172)*$N1177)</f>
        <v/>
      </c>
      <c r="S1177" s="56" t="str">
        <f aca="false">IF(INDEX(BookTitle,1172)="","",INDEX(BookTotal,1172)*'5. Scenarios'!$E$6/(1+ProductivityDefault*('5. Scenarios'!$E$11-1)))</f>
        <v/>
      </c>
      <c r="T1177" s="57" t="str">
        <f aca="false">IF($S1177="","",INDEX(BookRate,1172)*(1+'5. Scenarios'!$E$10)*$S1177)</f>
        <v/>
      </c>
      <c r="U1177" s="57" t="str">
        <f aca="false">IF($T1177="","",SUMIFS($T$6:$T$2405,$A$6:$A$2405,"&lt;="&amp;$A1177))</f>
        <v/>
      </c>
      <c r="V1177" s="57" t="str">
        <f aca="false">IF($T1177="","",IF($U1177&lt;=BankCostEnvelope*'5. Scenarios'!$E$7,1,0))</f>
        <v/>
      </c>
      <c r="W1177" s="57" t="str">
        <f aca="false">IF($S1177="","",INDEX(BookRate,1172)*(1+'5. Scenarios'!$E$10)*(INDEX(BookQ1,1172)*(5-MIN(4,1+'5. Scenarios'!$E$8))/4+INDEX(BookQ2,1172)*(5-MIN(4,2+'5. Scenarios'!$E$8))/4+INDEX(BookQ3,1172)*(5-MIN(4,3+'5. Scenarios'!$E$8))/4+INDEX(BookQ4,1172)*(5-MIN(4,4+'5. Scenarios'!$E$8))/4)*'5. Scenarios'!$E$6/(1+ProductivityDefault*('5. Scenarios'!$E$11-1))+INDEX(BookOneOff,1172)*$S1177)</f>
        <v/>
      </c>
    </row>
    <row r="1178" customFormat="false" ht="15" hidden="false" customHeight="false" outlineLevel="0" collapsed="false">
      <c r="A1178" s="0" t="str">
        <f aca="false">IF(INDEX(BookTitle,1173)="","",INDEX(BookKey,1173))</f>
        <v/>
      </c>
      <c r="B1178" s="0" t="str">
        <f aca="false">IF(INDEX(BookTitle,1173)="","",INDEX(BookGroup,1173))</f>
        <v/>
      </c>
      <c r="C1178" s="0" t="str">
        <f aca="false">IF(INDEX(BookTitle,1173)="","",INDEX(BookCategory,1173))</f>
        <v/>
      </c>
      <c r="D1178" s="56" t="str">
        <f aca="false">IF(INDEX(BookTitle,1173)="","",INDEX(BookTotal,1173)*'5. Scenarios'!$B$6/(1+ProductivityDefault*('5. Scenarios'!$B$11-1)))</f>
        <v/>
      </c>
      <c r="E1178" s="57" t="str">
        <f aca="false">IF($D1178="","",INDEX(BookRate,1173)*(1+'5. Scenarios'!$B$10)*$D1178)</f>
        <v/>
      </c>
      <c r="F1178" s="57" t="str">
        <f aca="false">IF($E1178="","",SUMIFS($E$6:$E$2405,$A$6:$A$2405,"&lt;="&amp;$A1178))</f>
        <v/>
      </c>
      <c r="G1178" s="57" t="str">
        <f aca="false">IF($E1178="","",IF($F1178&lt;=BankCostEnvelope*'5. Scenarios'!$B$7,1,0))</f>
        <v/>
      </c>
      <c r="H1178" s="57" t="str">
        <f aca="false">IF($D1178="","",INDEX(BookRate,1173)*(1+'5. Scenarios'!$B$10)*(INDEX(BookQ1,1173)*(5-MIN(4,1+'5. Scenarios'!$B$8))/4+INDEX(BookQ2,1173)*(5-MIN(4,2+'5. Scenarios'!$B$8))/4+INDEX(BookQ3,1173)*(5-MIN(4,3+'5. Scenarios'!$B$8))/4+INDEX(BookQ4,1173)*(5-MIN(4,4+'5. Scenarios'!$B$8))/4)*'5. Scenarios'!$B$6/(1+ProductivityDefault*('5. Scenarios'!$B$11-1))+INDEX(BookOneOff,1173)*$D1178)</f>
        <v/>
      </c>
      <c r="I1178" s="56" t="str">
        <f aca="false">IF(INDEX(BookTitle,1173)="","",INDEX(BookTotal,1173)*'5. Scenarios'!$C$6/(1+ProductivityDefault*('5. Scenarios'!$C$11-1)))</f>
        <v/>
      </c>
      <c r="J1178" s="57" t="str">
        <f aca="false">IF($I1178="","",INDEX(BookRate,1173)*(1+'5. Scenarios'!$C$10)*$I1178)</f>
        <v/>
      </c>
      <c r="K1178" s="57" t="str">
        <f aca="false">IF($J1178="","",SUMIFS($J$6:$J$2405,$A$6:$A$2405,"&lt;="&amp;$A1178))</f>
        <v/>
      </c>
      <c r="L1178" s="57" t="str">
        <f aca="false">IF($J1178="","",IF($K1178&lt;=BankCostEnvelope*'5. Scenarios'!$C$7,1,0))</f>
        <v/>
      </c>
      <c r="M1178" s="57" t="str">
        <f aca="false">IF($I1178="","",INDEX(BookRate,1173)*(1+'5. Scenarios'!$C$10)*(INDEX(BookQ1,1173)*(5-MIN(4,1+'5. Scenarios'!$C$8))/4+INDEX(BookQ2,1173)*(5-MIN(4,2+'5. Scenarios'!$C$8))/4+INDEX(BookQ3,1173)*(5-MIN(4,3+'5. Scenarios'!$C$8))/4+INDEX(BookQ4,1173)*(5-MIN(4,4+'5. Scenarios'!$C$8))/4)*'5. Scenarios'!$C$6/(1+ProductivityDefault*('5. Scenarios'!$C$11-1))+INDEX(BookOneOff,1173)*$I1178)</f>
        <v/>
      </c>
      <c r="N1178" s="56" t="str">
        <f aca="false">IF(INDEX(BookTitle,1173)="","",INDEX(BookTotal,1173)*'5. Scenarios'!$D$6/(1+ProductivityDefault*('5. Scenarios'!$D$11-1)))</f>
        <v/>
      </c>
      <c r="O1178" s="57" t="str">
        <f aca="false">IF($N1178="","",INDEX(BookRate,1173)*(1+'5. Scenarios'!$D$10)*$N1178)</f>
        <v/>
      </c>
      <c r="P1178" s="57" t="str">
        <f aca="false">IF($O1178="","",SUMIFS($O$6:$O$2405,$A$6:$A$2405,"&lt;="&amp;$A1178))</f>
        <v/>
      </c>
      <c r="Q1178" s="57" t="str">
        <f aca="false">IF($O1178="","",IF($P1178&lt;=BankCostEnvelope*'5. Scenarios'!$D$7,1,0))</f>
        <v/>
      </c>
      <c r="R1178" s="57" t="str">
        <f aca="false">IF($N1178="","",INDEX(BookRate,1173)*(1+'5. Scenarios'!$D$10)*(INDEX(BookQ1,1173)*(5-MIN(4,1+'5. Scenarios'!$D$8))/4+INDEX(BookQ2,1173)*(5-MIN(4,2+'5. Scenarios'!$D$8))/4+INDEX(BookQ3,1173)*(5-MIN(4,3+'5. Scenarios'!$D$8))/4+INDEX(BookQ4,1173)*(5-MIN(4,4+'5. Scenarios'!$D$8))/4)*'5. Scenarios'!$D$6/(1+ProductivityDefault*('5. Scenarios'!$D$11-1))+INDEX(BookOneOff,1173)*$N1178)</f>
        <v/>
      </c>
      <c r="S1178" s="56" t="str">
        <f aca="false">IF(INDEX(BookTitle,1173)="","",INDEX(BookTotal,1173)*'5. Scenarios'!$E$6/(1+ProductivityDefault*('5. Scenarios'!$E$11-1)))</f>
        <v/>
      </c>
      <c r="T1178" s="57" t="str">
        <f aca="false">IF($S1178="","",INDEX(BookRate,1173)*(1+'5. Scenarios'!$E$10)*$S1178)</f>
        <v/>
      </c>
      <c r="U1178" s="57" t="str">
        <f aca="false">IF($T1178="","",SUMIFS($T$6:$T$2405,$A$6:$A$2405,"&lt;="&amp;$A1178))</f>
        <v/>
      </c>
      <c r="V1178" s="57" t="str">
        <f aca="false">IF($T1178="","",IF($U1178&lt;=BankCostEnvelope*'5. Scenarios'!$E$7,1,0))</f>
        <v/>
      </c>
      <c r="W1178" s="57" t="str">
        <f aca="false">IF($S1178="","",INDEX(BookRate,1173)*(1+'5. Scenarios'!$E$10)*(INDEX(BookQ1,1173)*(5-MIN(4,1+'5. Scenarios'!$E$8))/4+INDEX(BookQ2,1173)*(5-MIN(4,2+'5. Scenarios'!$E$8))/4+INDEX(BookQ3,1173)*(5-MIN(4,3+'5. Scenarios'!$E$8))/4+INDEX(BookQ4,1173)*(5-MIN(4,4+'5. Scenarios'!$E$8))/4)*'5. Scenarios'!$E$6/(1+ProductivityDefault*('5. Scenarios'!$E$11-1))+INDEX(BookOneOff,1173)*$S1178)</f>
        <v/>
      </c>
    </row>
    <row r="1179" customFormat="false" ht="15" hidden="false" customHeight="false" outlineLevel="0" collapsed="false">
      <c r="A1179" s="0" t="str">
        <f aca="false">IF(INDEX(BookTitle,1174)="","",INDEX(BookKey,1174))</f>
        <v/>
      </c>
      <c r="B1179" s="0" t="str">
        <f aca="false">IF(INDEX(BookTitle,1174)="","",INDEX(BookGroup,1174))</f>
        <v/>
      </c>
      <c r="C1179" s="0" t="str">
        <f aca="false">IF(INDEX(BookTitle,1174)="","",INDEX(BookCategory,1174))</f>
        <v/>
      </c>
      <c r="D1179" s="56" t="str">
        <f aca="false">IF(INDEX(BookTitle,1174)="","",INDEX(BookTotal,1174)*'5. Scenarios'!$B$6/(1+ProductivityDefault*('5. Scenarios'!$B$11-1)))</f>
        <v/>
      </c>
      <c r="E1179" s="57" t="str">
        <f aca="false">IF($D1179="","",INDEX(BookRate,1174)*(1+'5. Scenarios'!$B$10)*$D1179)</f>
        <v/>
      </c>
      <c r="F1179" s="57" t="str">
        <f aca="false">IF($E1179="","",SUMIFS($E$6:$E$2405,$A$6:$A$2405,"&lt;="&amp;$A1179))</f>
        <v/>
      </c>
      <c r="G1179" s="57" t="str">
        <f aca="false">IF($E1179="","",IF($F1179&lt;=BankCostEnvelope*'5. Scenarios'!$B$7,1,0))</f>
        <v/>
      </c>
      <c r="H1179" s="57" t="str">
        <f aca="false">IF($D1179="","",INDEX(BookRate,1174)*(1+'5. Scenarios'!$B$10)*(INDEX(BookQ1,1174)*(5-MIN(4,1+'5. Scenarios'!$B$8))/4+INDEX(BookQ2,1174)*(5-MIN(4,2+'5. Scenarios'!$B$8))/4+INDEX(BookQ3,1174)*(5-MIN(4,3+'5. Scenarios'!$B$8))/4+INDEX(BookQ4,1174)*(5-MIN(4,4+'5. Scenarios'!$B$8))/4)*'5. Scenarios'!$B$6/(1+ProductivityDefault*('5. Scenarios'!$B$11-1))+INDEX(BookOneOff,1174)*$D1179)</f>
        <v/>
      </c>
      <c r="I1179" s="56" t="str">
        <f aca="false">IF(INDEX(BookTitle,1174)="","",INDEX(BookTotal,1174)*'5. Scenarios'!$C$6/(1+ProductivityDefault*('5. Scenarios'!$C$11-1)))</f>
        <v/>
      </c>
      <c r="J1179" s="57" t="str">
        <f aca="false">IF($I1179="","",INDEX(BookRate,1174)*(1+'5. Scenarios'!$C$10)*$I1179)</f>
        <v/>
      </c>
      <c r="K1179" s="57" t="str">
        <f aca="false">IF($J1179="","",SUMIFS($J$6:$J$2405,$A$6:$A$2405,"&lt;="&amp;$A1179))</f>
        <v/>
      </c>
      <c r="L1179" s="57" t="str">
        <f aca="false">IF($J1179="","",IF($K1179&lt;=BankCostEnvelope*'5. Scenarios'!$C$7,1,0))</f>
        <v/>
      </c>
      <c r="M1179" s="57" t="str">
        <f aca="false">IF($I1179="","",INDEX(BookRate,1174)*(1+'5. Scenarios'!$C$10)*(INDEX(BookQ1,1174)*(5-MIN(4,1+'5. Scenarios'!$C$8))/4+INDEX(BookQ2,1174)*(5-MIN(4,2+'5. Scenarios'!$C$8))/4+INDEX(BookQ3,1174)*(5-MIN(4,3+'5. Scenarios'!$C$8))/4+INDEX(BookQ4,1174)*(5-MIN(4,4+'5. Scenarios'!$C$8))/4)*'5. Scenarios'!$C$6/(1+ProductivityDefault*('5. Scenarios'!$C$11-1))+INDEX(BookOneOff,1174)*$I1179)</f>
        <v/>
      </c>
      <c r="N1179" s="56" t="str">
        <f aca="false">IF(INDEX(BookTitle,1174)="","",INDEX(BookTotal,1174)*'5. Scenarios'!$D$6/(1+ProductivityDefault*('5. Scenarios'!$D$11-1)))</f>
        <v/>
      </c>
      <c r="O1179" s="57" t="str">
        <f aca="false">IF($N1179="","",INDEX(BookRate,1174)*(1+'5. Scenarios'!$D$10)*$N1179)</f>
        <v/>
      </c>
      <c r="P1179" s="57" t="str">
        <f aca="false">IF($O1179="","",SUMIFS($O$6:$O$2405,$A$6:$A$2405,"&lt;="&amp;$A1179))</f>
        <v/>
      </c>
      <c r="Q1179" s="57" t="str">
        <f aca="false">IF($O1179="","",IF($P1179&lt;=BankCostEnvelope*'5. Scenarios'!$D$7,1,0))</f>
        <v/>
      </c>
      <c r="R1179" s="57" t="str">
        <f aca="false">IF($N1179="","",INDEX(BookRate,1174)*(1+'5. Scenarios'!$D$10)*(INDEX(BookQ1,1174)*(5-MIN(4,1+'5. Scenarios'!$D$8))/4+INDEX(BookQ2,1174)*(5-MIN(4,2+'5. Scenarios'!$D$8))/4+INDEX(BookQ3,1174)*(5-MIN(4,3+'5. Scenarios'!$D$8))/4+INDEX(BookQ4,1174)*(5-MIN(4,4+'5. Scenarios'!$D$8))/4)*'5. Scenarios'!$D$6/(1+ProductivityDefault*('5. Scenarios'!$D$11-1))+INDEX(BookOneOff,1174)*$N1179)</f>
        <v/>
      </c>
      <c r="S1179" s="56" t="str">
        <f aca="false">IF(INDEX(BookTitle,1174)="","",INDEX(BookTotal,1174)*'5. Scenarios'!$E$6/(1+ProductivityDefault*('5. Scenarios'!$E$11-1)))</f>
        <v/>
      </c>
      <c r="T1179" s="57" t="str">
        <f aca="false">IF($S1179="","",INDEX(BookRate,1174)*(1+'5. Scenarios'!$E$10)*$S1179)</f>
        <v/>
      </c>
      <c r="U1179" s="57" t="str">
        <f aca="false">IF($T1179="","",SUMIFS($T$6:$T$2405,$A$6:$A$2405,"&lt;="&amp;$A1179))</f>
        <v/>
      </c>
      <c r="V1179" s="57" t="str">
        <f aca="false">IF($T1179="","",IF($U1179&lt;=BankCostEnvelope*'5. Scenarios'!$E$7,1,0))</f>
        <v/>
      </c>
      <c r="W1179" s="57" t="str">
        <f aca="false">IF($S1179="","",INDEX(BookRate,1174)*(1+'5. Scenarios'!$E$10)*(INDEX(BookQ1,1174)*(5-MIN(4,1+'5. Scenarios'!$E$8))/4+INDEX(BookQ2,1174)*(5-MIN(4,2+'5. Scenarios'!$E$8))/4+INDEX(BookQ3,1174)*(5-MIN(4,3+'5. Scenarios'!$E$8))/4+INDEX(BookQ4,1174)*(5-MIN(4,4+'5. Scenarios'!$E$8))/4)*'5. Scenarios'!$E$6/(1+ProductivityDefault*('5. Scenarios'!$E$11-1))+INDEX(BookOneOff,1174)*$S1179)</f>
        <v/>
      </c>
    </row>
    <row r="1180" customFormat="false" ht="15" hidden="false" customHeight="false" outlineLevel="0" collapsed="false">
      <c r="A1180" s="0" t="str">
        <f aca="false">IF(INDEX(BookTitle,1175)="","",INDEX(BookKey,1175))</f>
        <v/>
      </c>
      <c r="B1180" s="0" t="str">
        <f aca="false">IF(INDEX(BookTitle,1175)="","",INDEX(BookGroup,1175))</f>
        <v/>
      </c>
      <c r="C1180" s="0" t="str">
        <f aca="false">IF(INDEX(BookTitle,1175)="","",INDEX(BookCategory,1175))</f>
        <v/>
      </c>
      <c r="D1180" s="56" t="str">
        <f aca="false">IF(INDEX(BookTitle,1175)="","",INDEX(BookTotal,1175)*'5. Scenarios'!$B$6/(1+ProductivityDefault*('5. Scenarios'!$B$11-1)))</f>
        <v/>
      </c>
      <c r="E1180" s="57" t="str">
        <f aca="false">IF($D1180="","",INDEX(BookRate,1175)*(1+'5. Scenarios'!$B$10)*$D1180)</f>
        <v/>
      </c>
      <c r="F1180" s="57" t="str">
        <f aca="false">IF($E1180="","",SUMIFS($E$6:$E$2405,$A$6:$A$2405,"&lt;="&amp;$A1180))</f>
        <v/>
      </c>
      <c r="G1180" s="57" t="str">
        <f aca="false">IF($E1180="","",IF($F1180&lt;=BankCostEnvelope*'5. Scenarios'!$B$7,1,0))</f>
        <v/>
      </c>
      <c r="H1180" s="57" t="str">
        <f aca="false">IF($D1180="","",INDEX(BookRate,1175)*(1+'5. Scenarios'!$B$10)*(INDEX(BookQ1,1175)*(5-MIN(4,1+'5. Scenarios'!$B$8))/4+INDEX(BookQ2,1175)*(5-MIN(4,2+'5. Scenarios'!$B$8))/4+INDEX(BookQ3,1175)*(5-MIN(4,3+'5. Scenarios'!$B$8))/4+INDEX(BookQ4,1175)*(5-MIN(4,4+'5. Scenarios'!$B$8))/4)*'5. Scenarios'!$B$6/(1+ProductivityDefault*('5. Scenarios'!$B$11-1))+INDEX(BookOneOff,1175)*$D1180)</f>
        <v/>
      </c>
      <c r="I1180" s="56" t="str">
        <f aca="false">IF(INDEX(BookTitle,1175)="","",INDEX(BookTotal,1175)*'5. Scenarios'!$C$6/(1+ProductivityDefault*('5. Scenarios'!$C$11-1)))</f>
        <v/>
      </c>
      <c r="J1180" s="57" t="str">
        <f aca="false">IF($I1180="","",INDEX(BookRate,1175)*(1+'5. Scenarios'!$C$10)*$I1180)</f>
        <v/>
      </c>
      <c r="K1180" s="57" t="str">
        <f aca="false">IF($J1180="","",SUMIFS($J$6:$J$2405,$A$6:$A$2405,"&lt;="&amp;$A1180))</f>
        <v/>
      </c>
      <c r="L1180" s="57" t="str">
        <f aca="false">IF($J1180="","",IF($K1180&lt;=BankCostEnvelope*'5. Scenarios'!$C$7,1,0))</f>
        <v/>
      </c>
      <c r="M1180" s="57" t="str">
        <f aca="false">IF($I1180="","",INDEX(BookRate,1175)*(1+'5. Scenarios'!$C$10)*(INDEX(BookQ1,1175)*(5-MIN(4,1+'5. Scenarios'!$C$8))/4+INDEX(BookQ2,1175)*(5-MIN(4,2+'5. Scenarios'!$C$8))/4+INDEX(BookQ3,1175)*(5-MIN(4,3+'5. Scenarios'!$C$8))/4+INDEX(BookQ4,1175)*(5-MIN(4,4+'5. Scenarios'!$C$8))/4)*'5. Scenarios'!$C$6/(1+ProductivityDefault*('5. Scenarios'!$C$11-1))+INDEX(BookOneOff,1175)*$I1180)</f>
        <v/>
      </c>
      <c r="N1180" s="56" t="str">
        <f aca="false">IF(INDEX(BookTitle,1175)="","",INDEX(BookTotal,1175)*'5. Scenarios'!$D$6/(1+ProductivityDefault*('5. Scenarios'!$D$11-1)))</f>
        <v/>
      </c>
      <c r="O1180" s="57" t="str">
        <f aca="false">IF($N1180="","",INDEX(BookRate,1175)*(1+'5. Scenarios'!$D$10)*$N1180)</f>
        <v/>
      </c>
      <c r="P1180" s="57" t="str">
        <f aca="false">IF($O1180="","",SUMIFS($O$6:$O$2405,$A$6:$A$2405,"&lt;="&amp;$A1180))</f>
        <v/>
      </c>
      <c r="Q1180" s="57" t="str">
        <f aca="false">IF($O1180="","",IF($P1180&lt;=BankCostEnvelope*'5. Scenarios'!$D$7,1,0))</f>
        <v/>
      </c>
      <c r="R1180" s="57" t="str">
        <f aca="false">IF($N1180="","",INDEX(BookRate,1175)*(1+'5. Scenarios'!$D$10)*(INDEX(BookQ1,1175)*(5-MIN(4,1+'5. Scenarios'!$D$8))/4+INDEX(BookQ2,1175)*(5-MIN(4,2+'5. Scenarios'!$D$8))/4+INDEX(BookQ3,1175)*(5-MIN(4,3+'5. Scenarios'!$D$8))/4+INDEX(BookQ4,1175)*(5-MIN(4,4+'5. Scenarios'!$D$8))/4)*'5. Scenarios'!$D$6/(1+ProductivityDefault*('5. Scenarios'!$D$11-1))+INDEX(BookOneOff,1175)*$N1180)</f>
        <v/>
      </c>
      <c r="S1180" s="56" t="str">
        <f aca="false">IF(INDEX(BookTitle,1175)="","",INDEX(BookTotal,1175)*'5. Scenarios'!$E$6/(1+ProductivityDefault*('5. Scenarios'!$E$11-1)))</f>
        <v/>
      </c>
      <c r="T1180" s="57" t="str">
        <f aca="false">IF($S1180="","",INDEX(BookRate,1175)*(1+'5. Scenarios'!$E$10)*$S1180)</f>
        <v/>
      </c>
      <c r="U1180" s="57" t="str">
        <f aca="false">IF($T1180="","",SUMIFS($T$6:$T$2405,$A$6:$A$2405,"&lt;="&amp;$A1180))</f>
        <v/>
      </c>
      <c r="V1180" s="57" t="str">
        <f aca="false">IF($T1180="","",IF($U1180&lt;=BankCostEnvelope*'5. Scenarios'!$E$7,1,0))</f>
        <v/>
      </c>
      <c r="W1180" s="57" t="str">
        <f aca="false">IF($S1180="","",INDEX(BookRate,1175)*(1+'5. Scenarios'!$E$10)*(INDEX(BookQ1,1175)*(5-MIN(4,1+'5. Scenarios'!$E$8))/4+INDEX(BookQ2,1175)*(5-MIN(4,2+'5. Scenarios'!$E$8))/4+INDEX(BookQ3,1175)*(5-MIN(4,3+'5. Scenarios'!$E$8))/4+INDEX(BookQ4,1175)*(5-MIN(4,4+'5. Scenarios'!$E$8))/4)*'5. Scenarios'!$E$6/(1+ProductivityDefault*('5. Scenarios'!$E$11-1))+INDEX(BookOneOff,1175)*$S1180)</f>
        <v/>
      </c>
    </row>
    <row r="1181" customFormat="false" ht="15" hidden="false" customHeight="false" outlineLevel="0" collapsed="false">
      <c r="A1181" s="0" t="str">
        <f aca="false">IF(INDEX(BookTitle,1176)="","",INDEX(BookKey,1176))</f>
        <v/>
      </c>
      <c r="B1181" s="0" t="str">
        <f aca="false">IF(INDEX(BookTitle,1176)="","",INDEX(BookGroup,1176))</f>
        <v/>
      </c>
      <c r="C1181" s="0" t="str">
        <f aca="false">IF(INDEX(BookTitle,1176)="","",INDEX(BookCategory,1176))</f>
        <v/>
      </c>
      <c r="D1181" s="56" t="str">
        <f aca="false">IF(INDEX(BookTitle,1176)="","",INDEX(BookTotal,1176)*'5. Scenarios'!$B$6/(1+ProductivityDefault*('5. Scenarios'!$B$11-1)))</f>
        <v/>
      </c>
      <c r="E1181" s="57" t="str">
        <f aca="false">IF($D1181="","",INDEX(BookRate,1176)*(1+'5. Scenarios'!$B$10)*$D1181)</f>
        <v/>
      </c>
      <c r="F1181" s="57" t="str">
        <f aca="false">IF($E1181="","",SUMIFS($E$6:$E$2405,$A$6:$A$2405,"&lt;="&amp;$A1181))</f>
        <v/>
      </c>
      <c r="G1181" s="57" t="str">
        <f aca="false">IF($E1181="","",IF($F1181&lt;=BankCostEnvelope*'5. Scenarios'!$B$7,1,0))</f>
        <v/>
      </c>
      <c r="H1181" s="57" t="str">
        <f aca="false">IF($D1181="","",INDEX(BookRate,1176)*(1+'5. Scenarios'!$B$10)*(INDEX(BookQ1,1176)*(5-MIN(4,1+'5. Scenarios'!$B$8))/4+INDEX(BookQ2,1176)*(5-MIN(4,2+'5. Scenarios'!$B$8))/4+INDEX(BookQ3,1176)*(5-MIN(4,3+'5. Scenarios'!$B$8))/4+INDEX(BookQ4,1176)*(5-MIN(4,4+'5. Scenarios'!$B$8))/4)*'5. Scenarios'!$B$6/(1+ProductivityDefault*('5. Scenarios'!$B$11-1))+INDEX(BookOneOff,1176)*$D1181)</f>
        <v/>
      </c>
      <c r="I1181" s="56" t="str">
        <f aca="false">IF(INDEX(BookTitle,1176)="","",INDEX(BookTotal,1176)*'5. Scenarios'!$C$6/(1+ProductivityDefault*('5. Scenarios'!$C$11-1)))</f>
        <v/>
      </c>
      <c r="J1181" s="57" t="str">
        <f aca="false">IF($I1181="","",INDEX(BookRate,1176)*(1+'5. Scenarios'!$C$10)*$I1181)</f>
        <v/>
      </c>
      <c r="K1181" s="57" t="str">
        <f aca="false">IF($J1181="","",SUMIFS($J$6:$J$2405,$A$6:$A$2405,"&lt;="&amp;$A1181))</f>
        <v/>
      </c>
      <c r="L1181" s="57" t="str">
        <f aca="false">IF($J1181="","",IF($K1181&lt;=BankCostEnvelope*'5. Scenarios'!$C$7,1,0))</f>
        <v/>
      </c>
      <c r="M1181" s="57" t="str">
        <f aca="false">IF($I1181="","",INDEX(BookRate,1176)*(1+'5. Scenarios'!$C$10)*(INDEX(BookQ1,1176)*(5-MIN(4,1+'5. Scenarios'!$C$8))/4+INDEX(BookQ2,1176)*(5-MIN(4,2+'5. Scenarios'!$C$8))/4+INDEX(BookQ3,1176)*(5-MIN(4,3+'5. Scenarios'!$C$8))/4+INDEX(BookQ4,1176)*(5-MIN(4,4+'5. Scenarios'!$C$8))/4)*'5. Scenarios'!$C$6/(1+ProductivityDefault*('5. Scenarios'!$C$11-1))+INDEX(BookOneOff,1176)*$I1181)</f>
        <v/>
      </c>
      <c r="N1181" s="56" t="str">
        <f aca="false">IF(INDEX(BookTitle,1176)="","",INDEX(BookTotal,1176)*'5. Scenarios'!$D$6/(1+ProductivityDefault*('5. Scenarios'!$D$11-1)))</f>
        <v/>
      </c>
      <c r="O1181" s="57" t="str">
        <f aca="false">IF($N1181="","",INDEX(BookRate,1176)*(1+'5. Scenarios'!$D$10)*$N1181)</f>
        <v/>
      </c>
      <c r="P1181" s="57" t="str">
        <f aca="false">IF($O1181="","",SUMIFS($O$6:$O$2405,$A$6:$A$2405,"&lt;="&amp;$A1181))</f>
        <v/>
      </c>
      <c r="Q1181" s="57" t="str">
        <f aca="false">IF($O1181="","",IF($P1181&lt;=BankCostEnvelope*'5. Scenarios'!$D$7,1,0))</f>
        <v/>
      </c>
      <c r="R1181" s="57" t="str">
        <f aca="false">IF($N1181="","",INDEX(BookRate,1176)*(1+'5. Scenarios'!$D$10)*(INDEX(BookQ1,1176)*(5-MIN(4,1+'5. Scenarios'!$D$8))/4+INDEX(BookQ2,1176)*(5-MIN(4,2+'5. Scenarios'!$D$8))/4+INDEX(BookQ3,1176)*(5-MIN(4,3+'5. Scenarios'!$D$8))/4+INDEX(BookQ4,1176)*(5-MIN(4,4+'5. Scenarios'!$D$8))/4)*'5. Scenarios'!$D$6/(1+ProductivityDefault*('5. Scenarios'!$D$11-1))+INDEX(BookOneOff,1176)*$N1181)</f>
        <v/>
      </c>
      <c r="S1181" s="56" t="str">
        <f aca="false">IF(INDEX(BookTitle,1176)="","",INDEX(BookTotal,1176)*'5. Scenarios'!$E$6/(1+ProductivityDefault*('5. Scenarios'!$E$11-1)))</f>
        <v/>
      </c>
      <c r="T1181" s="57" t="str">
        <f aca="false">IF($S1181="","",INDEX(BookRate,1176)*(1+'5. Scenarios'!$E$10)*$S1181)</f>
        <v/>
      </c>
      <c r="U1181" s="57" t="str">
        <f aca="false">IF($T1181="","",SUMIFS($T$6:$T$2405,$A$6:$A$2405,"&lt;="&amp;$A1181))</f>
        <v/>
      </c>
      <c r="V1181" s="57" t="str">
        <f aca="false">IF($T1181="","",IF($U1181&lt;=BankCostEnvelope*'5. Scenarios'!$E$7,1,0))</f>
        <v/>
      </c>
      <c r="W1181" s="57" t="str">
        <f aca="false">IF($S1181="","",INDEX(BookRate,1176)*(1+'5. Scenarios'!$E$10)*(INDEX(BookQ1,1176)*(5-MIN(4,1+'5. Scenarios'!$E$8))/4+INDEX(BookQ2,1176)*(5-MIN(4,2+'5. Scenarios'!$E$8))/4+INDEX(BookQ3,1176)*(5-MIN(4,3+'5. Scenarios'!$E$8))/4+INDEX(BookQ4,1176)*(5-MIN(4,4+'5. Scenarios'!$E$8))/4)*'5. Scenarios'!$E$6/(1+ProductivityDefault*('5. Scenarios'!$E$11-1))+INDEX(BookOneOff,1176)*$S1181)</f>
        <v/>
      </c>
    </row>
    <row r="1182" customFormat="false" ht="15" hidden="false" customHeight="false" outlineLevel="0" collapsed="false">
      <c r="A1182" s="0" t="str">
        <f aca="false">IF(INDEX(BookTitle,1177)="","",INDEX(BookKey,1177))</f>
        <v/>
      </c>
      <c r="B1182" s="0" t="str">
        <f aca="false">IF(INDEX(BookTitle,1177)="","",INDEX(BookGroup,1177))</f>
        <v/>
      </c>
      <c r="C1182" s="0" t="str">
        <f aca="false">IF(INDEX(BookTitle,1177)="","",INDEX(BookCategory,1177))</f>
        <v/>
      </c>
      <c r="D1182" s="56" t="str">
        <f aca="false">IF(INDEX(BookTitle,1177)="","",INDEX(BookTotal,1177)*'5. Scenarios'!$B$6/(1+ProductivityDefault*('5. Scenarios'!$B$11-1)))</f>
        <v/>
      </c>
      <c r="E1182" s="57" t="str">
        <f aca="false">IF($D1182="","",INDEX(BookRate,1177)*(1+'5. Scenarios'!$B$10)*$D1182)</f>
        <v/>
      </c>
      <c r="F1182" s="57" t="str">
        <f aca="false">IF($E1182="","",SUMIFS($E$6:$E$2405,$A$6:$A$2405,"&lt;="&amp;$A1182))</f>
        <v/>
      </c>
      <c r="G1182" s="57" t="str">
        <f aca="false">IF($E1182="","",IF($F1182&lt;=BankCostEnvelope*'5. Scenarios'!$B$7,1,0))</f>
        <v/>
      </c>
      <c r="H1182" s="57" t="str">
        <f aca="false">IF($D1182="","",INDEX(BookRate,1177)*(1+'5. Scenarios'!$B$10)*(INDEX(BookQ1,1177)*(5-MIN(4,1+'5. Scenarios'!$B$8))/4+INDEX(BookQ2,1177)*(5-MIN(4,2+'5. Scenarios'!$B$8))/4+INDEX(BookQ3,1177)*(5-MIN(4,3+'5. Scenarios'!$B$8))/4+INDEX(BookQ4,1177)*(5-MIN(4,4+'5. Scenarios'!$B$8))/4)*'5. Scenarios'!$B$6/(1+ProductivityDefault*('5. Scenarios'!$B$11-1))+INDEX(BookOneOff,1177)*$D1182)</f>
        <v/>
      </c>
      <c r="I1182" s="56" t="str">
        <f aca="false">IF(INDEX(BookTitle,1177)="","",INDEX(BookTotal,1177)*'5. Scenarios'!$C$6/(1+ProductivityDefault*('5. Scenarios'!$C$11-1)))</f>
        <v/>
      </c>
      <c r="J1182" s="57" t="str">
        <f aca="false">IF($I1182="","",INDEX(BookRate,1177)*(1+'5. Scenarios'!$C$10)*$I1182)</f>
        <v/>
      </c>
      <c r="K1182" s="57" t="str">
        <f aca="false">IF($J1182="","",SUMIFS($J$6:$J$2405,$A$6:$A$2405,"&lt;="&amp;$A1182))</f>
        <v/>
      </c>
      <c r="L1182" s="57" t="str">
        <f aca="false">IF($J1182="","",IF($K1182&lt;=BankCostEnvelope*'5. Scenarios'!$C$7,1,0))</f>
        <v/>
      </c>
      <c r="M1182" s="57" t="str">
        <f aca="false">IF($I1182="","",INDEX(BookRate,1177)*(1+'5. Scenarios'!$C$10)*(INDEX(BookQ1,1177)*(5-MIN(4,1+'5. Scenarios'!$C$8))/4+INDEX(BookQ2,1177)*(5-MIN(4,2+'5. Scenarios'!$C$8))/4+INDEX(BookQ3,1177)*(5-MIN(4,3+'5. Scenarios'!$C$8))/4+INDEX(BookQ4,1177)*(5-MIN(4,4+'5. Scenarios'!$C$8))/4)*'5. Scenarios'!$C$6/(1+ProductivityDefault*('5. Scenarios'!$C$11-1))+INDEX(BookOneOff,1177)*$I1182)</f>
        <v/>
      </c>
      <c r="N1182" s="56" t="str">
        <f aca="false">IF(INDEX(BookTitle,1177)="","",INDEX(BookTotal,1177)*'5. Scenarios'!$D$6/(1+ProductivityDefault*('5. Scenarios'!$D$11-1)))</f>
        <v/>
      </c>
      <c r="O1182" s="57" t="str">
        <f aca="false">IF($N1182="","",INDEX(BookRate,1177)*(1+'5. Scenarios'!$D$10)*$N1182)</f>
        <v/>
      </c>
      <c r="P1182" s="57" t="str">
        <f aca="false">IF($O1182="","",SUMIFS($O$6:$O$2405,$A$6:$A$2405,"&lt;="&amp;$A1182))</f>
        <v/>
      </c>
      <c r="Q1182" s="57" t="str">
        <f aca="false">IF($O1182="","",IF($P1182&lt;=BankCostEnvelope*'5. Scenarios'!$D$7,1,0))</f>
        <v/>
      </c>
      <c r="R1182" s="57" t="str">
        <f aca="false">IF($N1182="","",INDEX(BookRate,1177)*(1+'5. Scenarios'!$D$10)*(INDEX(BookQ1,1177)*(5-MIN(4,1+'5. Scenarios'!$D$8))/4+INDEX(BookQ2,1177)*(5-MIN(4,2+'5. Scenarios'!$D$8))/4+INDEX(BookQ3,1177)*(5-MIN(4,3+'5. Scenarios'!$D$8))/4+INDEX(BookQ4,1177)*(5-MIN(4,4+'5. Scenarios'!$D$8))/4)*'5. Scenarios'!$D$6/(1+ProductivityDefault*('5. Scenarios'!$D$11-1))+INDEX(BookOneOff,1177)*$N1182)</f>
        <v/>
      </c>
      <c r="S1182" s="56" t="str">
        <f aca="false">IF(INDEX(BookTitle,1177)="","",INDEX(BookTotal,1177)*'5. Scenarios'!$E$6/(1+ProductivityDefault*('5. Scenarios'!$E$11-1)))</f>
        <v/>
      </c>
      <c r="T1182" s="57" t="str">
        <f aca="false">IF($S1182="","",INDEX(BookRate,1177)*(1+'5. Scenarios'!$E$10)*$S1182)</f>
        <v/>
      </c>
      <c r="U1182" s="57" t="str">
        <f aca="false">IF($T1182="","",SUMIFS($T$6:$T$2405,$A$6:$A$2405,"&lt;="&amp;$A1182))</f>
        <v/>
      </c>
      <c r="V1182" s="57" t="str">
        <f aca="false">IF($T1182="","",IF($U1182&lt;=BankCostEnvelope*'5. Scenarios'!$E$7,1,0))</f>
        <v/>
      </c>
      <c r="W1182" s="57" t="str">
        <f aca="false">IF($S1182="","",INDEX(BookRate,1177)*(1+'5. Scenarios'!$E$10)*(INDEX(BookQ1,1177)*(5-MIN(4,1+'5. Scenarios'!$E$8))/4+INDEX(BookQ2,1177)*(5-MIN(4,2+'5. Scenarios'!$E$8))/4+INDEX(BookQ3,1177)*(5-MIN(4,3+'5. Scenarios'!$E$8))/4+INDEX(BookQ4,1177)*(5-MIN(4,4+'5. Scenarios'!$E$8))/4)*'5. Scenarios'!$E$6/(1+ProductivityDefault*('5. Scenarios'!$E$11-1))+INDEX(BookOneOff,1177)*$S1182)</f>
        <v/>
      </c>
    </row>
    <row r="1183" customFormat="false" ht="15" hidden="false" customHeight="false" outlineLevel="0" collapsed="false">
      <c r="A1183" s="0" t="str">
        <f aca="false">IF(INDEX(BookTitle,1178)="","",INDEX(BookKey,1178))</f>
        <v/>
      </c>
      <c r="B1183" s="0" t="str">
        <f aca="false">IF(INDEX(BookTitle,1178)="","",INDEX(BookGroup,1178))</f>
        <v/>
      </c>
      <c r="C1183" s="0" t="str">
        <f aca="false">IF(INDEX(BookTitle,1178)="","",INDEX(BookCategory,1178))</f>
        <v/>
      </c>
      <c r="D1183" s="56" t="str">
        <f aca="false">IF(INDEX(BookTitle,1178)="","",INDEX(BookTotal,1178)*'5. Scenarios'!$B$6/(1+ProductivityDefault*('5. Scenarios'!$B$11-1)))</f>
        <v/>
      </c>
      <c r="E1183" s="57" t="str">
        <f aca="false">IF($D1183="","",INDEX(BookRate,1178)*(1+'5. Scenarios'!$B$10)*$D1183)</f>
        <v/>
      </c>
      <c r="F1183" s="57" t="str">
        <f aca="false">IF($E1183="","",SUMIFS($E$6:$E$2405,$A$6:$A$2405,"&lt;="&amp;$A1183))</f>
        <v/>
      </c>
      <c r="G1183" s="57" t="str">
        <f aca="false">IF($E1183="","",IF($F1183&lt;=BankCostEnvelope*'5. Scenarios'!$B$7,1,0))</f>
        <v/>
      </c>
      <c r="H1183" s="57" t="str">
        <f aca="false">IF($D1183="","",INDEX(BookRate,1178)*(1+'5. Scenarios'!$B$10)*(INDEX(BookQ1,1178)*(5-MIN(4,1+'5. Scenarios'!$B$8))/4+INDEX(BookQ2,1178)*(5-MIN(4,2+'5. Scenarios'!$B$8))/4+INDEX(BookQ3,1178)*(5-MIN(4,3+'5. Scenarios'!$B$8))/4+INDEX(BookQ4,1178)*(5-MIN(4,4+'5. Scenarios'!$B$8))/4)*'5. Scenarios'!$B$6/(1+ProductivityDefault*('5. Scenarios'!$B$11-1))+INDEX(BookOneOff,1178)*$D1183)</f>
        <v/>
      </c>
      <c r="I1183" s="56" t="str">
        <f aca="false">IF(INDEX(BookTitle,1178)="","",INDEX(BookTotal,1178)*'5. Scenarios'!$C$6/(1+ProductivityDefault*('5. Scenarios'!$C$11-1)))</f>
        <v/>
      </c>
      <c r="J1183" s="57" t="str">
        <f aca="false">IF($I1183="","",INDEX(BookRate,1178)*(1+'5. Scenarios'!$C$10)*$I1183)</f>
        <v/>
      </c>
      <c r="K1183" s="57" t="str">
        <f aca="false">IF($J1183="","",SUMIFS($J$6:$J$2405,$A$6:$A$2405,"&lt;="&amp;$A1183))</f>
        <v/>
      </c>
      <c r="L1183" s="57" t="str">
        <f aca="false">IF($J1183="","",IF($K1183&lt;=BankCostEnvelope*'5. Scenarios'!$C$7,1,0))</f>
        <v/>
      </c>
      <c r="M1183" s="57" t="str">
        <f aca="false">IF($I1183="","",INDEX(BookRate,1178)*(1+'5. Scenarios'!$C$10)*(INDEX(BookQ1,1178)*(5-MIN(4,1+'5. Scenarios'!$C$8))/4+INDEX(BookQ2,1178)*(5-MIN(4,2+'5. Scenarios'!$C$8))/4+INDEX(BookQ3,1178)*(5-MIN(4,3+'5. Scenarios'!$C$8))/4+INDEX(BookQ4,1178)*(5-MIN(4,4+'5. Scenarios'!$C$8))/4)*'5. Scenarios'!$C$6/(1+ProductivityDefault*('5. Scenarios'!$C$11-1))+INDEX(BookOneOff,1178)*$I1183)</f>
        <v/>
      </c>
      <c r="N1183" s="56" t="str">
        <f aca="false">IF(INDEX(BookTitle,1178)="","",INDEX(BookTotal,1178)*'5. Scenarios'!$D$6/(1+ProductivityDefault*('5. Scenarios'!$D$11-1)))</f>
        <v/>
      </c>
      <c r="O1183" s="57" t="str">
        <f aca="false">IF($N1183="","",INDEX(BookRate,1178)*(1+'5. Scenarios'!$D$10)*$N1183)</f>
        <v/>
      </c>
      <c r="P1183" s="57" t="str">
        <f aca="false">IF($O1183="","",SUMIFS($O$6:$O$2405,$A$6:$A$2405,"&lt;="&amp;$A1183))</f>
        <v/>
      </c>
      <c r="Q1183" s="57" t="str">
        <f aca="false">IF($O1183="","",IF($P1183&lt;=BankCostEnvelope*'5. Scenarios'!$D$7,1,0))</f>
        <v/>
      </c>
      <c r="R1183" s="57" t="str">
        <f aca="false">IF($N1183="","",INDEX(BookRate,1178)*(1+'5. Scenarios'!$D$10)*(INDEX(BookQ1,1178)*(5-MIN(4,1+'5. Scenarios'!$D$8))/4+INDEX(BookQ2,1178)*(5-MIN(4,2+'5. Scenarios'!$D$8))/4+INDEX(BookQ3,1178)*(5-MIN(4,3+'5. Scenarios'!$D$8))/4+INDEX(BookQ4,1178)*(5-MIN(4,4+'5. Scenarios'!$D$8))/4)*'5. Scenarios'!$D$6/(1+ProductivityDefault*('5. Scenarios'!$D$11-1))+INDEX(BookOneOff,1178)*$N1183)</f>
        <v/>
      </c>
      <c r="S1183" s="56" t="str">
        <f aca="false">IF(INDEX(BookTitle,1178)="","",INDEX(BookTotal,1178)*'5. Scenarios'!$E$6/(1+ProductivityDefault*('5. Scenarios'!$E$11-1)))</f>
        <v/>
      </c>
      <c r="T1183" s="57" t="str">
        <f aca="false">IF($S1183="","",INDEX(BookRate,1178)*(1+'5. Scenarios'!$E$10)*$S1183)</f>
        <v/>
      </c>
      <c r="U1183" s="57" t="str">
        <f aca="false">IF($T1183="","",SUMIFS($T$6:$T$2405,$A$6:$A$2405,"&lt;="&amp;$A1183))</f>
        <v/>
      </c>
      <c r="V1183" s="57" t="str">
        <f aca="false">IF($T1183="","",IF($U1183&lt;=BankCostEnvelope*'5. Scenarios'!$E$7,1,0))</f>
        <v/>
      </c>
      <c r="W1183" s="57" t="str">
        <f aca="false">IF($S1183="","",INDEX(BookRate,1178)*(1+'5. Scenarios'!$E$10)*(INDEX(BookQ1,1178)*(5-MIN(4,1+'5. Scenarios'!$E$8))/4+INDEX(BookQ2,1178)*(5-MIN(4,2+'5. Scenarios'!$E$8))/4+INDEX(BookQ3,1178)*(5-MIN(4,3+'5. Scenarios'!$E$8))/4+INDEX(BookQ4,1178)*(5-MIN(4,4+'5. Scenarios'!$E$8))/4)*'5. Scenarios'!$E$6/(1+ProductivityDefault*('5. Scenarios'!$E$11-1))+INDEX(BookOneOff,1178)*$S1183)</f>
        <v/>
      </c>
    </row>
    <row r="1184" customFormat="false" ht="15" hidden="false" customHeight="false" outlineLevel="0" collapsed="false">
      <c r="A1184" s="0" t="str">
        <f aca="false">IF(INDEX(BookTitle,1179)="","",INDEX(BookKey,1179))</f>
        <v/>
      </c>
      <c r="B1184" s="0" t="str">
        <f aca="false">IF(INDEX(BookTitle,1179)="","",INDEX(BookGroup,1179))</f>
        <v/>
      </c>
      <c r="C1184" s="0" t="str">
        <f aca="false">IF(INDEX(BookTitle,1179)="","",INDEX(BookCategory,1179))</f>
        <v/>
      </c>
      <c r="D1184" s="56" t="str">
        <f aca="false">IF(INDEX(BookTitle,1179)="","",INDEX(BookTotal,1179)*'5. Scenarios'!$B$6/(1+ProductivityDefault*('5. Scenarios'!$B$11-1)))</f>
        <v/>
      </c>
      <c r="E1184" s="57" t="str">
        <f aca="false">IF($D1184="","",INDEX(BookRate,1179)*(1+'5. Scenarios'!$B$10)*$D1184)</f>
        <v/>
      </c>
      <c r="F1184" s="57" t="str">
        <f aca="false">IF($E1184="","",SUMIFS($E$6:$E$2405,$A$6:$A$2405,"&lt;="&amp;$A1184))</f>
        <v/>
      </c>
      <c r="G1184" s="57" t="str">
        <f aca="false">IF($E1184="","",IF($F1184&lt;=BankCostEnvelope*'5. Scenarios'!$B$7,1,0))</f>
        <v/>
      </c>
      <c r="H1184" s="57" t="str">
        <f aca="false">IF($D1184="","",INDEX(BookRate,1179)*(1+'5. Scenarios'!$B$10)*(INDEX(BookQ1,1179)*(5-MIN(4,1+'5. Scenarios'!$B$8))/4+INDEX(BookQ2,1179)*(5-MIN(4,2+'5. Scenarios'!$B$8))/4+INDEX(BookQ3,1179)*(5-MIN(4,3+'5. Scenarios'!$B$8))/4+INDEX(BookQ4,1179)*(5-MIN(4,4+'5. Scenarios'!$B$8))/4)*'5. Scenarios'!$B$6/(1+ProductivityDefault*('5. Scenarios'!$B$11-1))+INDEX(BookOneOff,1179)*$D1184)</f>
        <v/>
      </c>
      <c r="I1184" s="56" t="str">
        <f aca="false">IF(INDEX(BookTitle,1179)="","",INDEX(BookTotal,1179)*'5. Scenarios'!$C$6/(1+ProductivityDefault*('5. Scenarios'!$C$11-1)))</f>
        <v/>
      </c>
      <c r="J1184" s="57" t="str">
        <f aca="false">IF($I1184="","",INDEX(BookRate,1179)*(1+'5. Scenarios'!$C$10)*$I1184)</f>
        <v/>
      </c>
      <c r="K1184" s="57" t="str">
        <f aca="false">IF($J1184="","",SUMIFS($J$6:$J$2405,$A$6:$A$2405,"&lt;="&amp;$A1184))</f>
        <v/>
      </c>
      <c r="L1184" s="57" t="str">
        <f aca="false">IF($J1184="","",IF($K1184&lt;=BankCostEnvelope*'5. Scenarios'!$C$7,1,0))</f>
        <v/>
      </c>
      <c r="M1184" s="57" t="str">
        <f aca="false">IF($I1184="","",INDEX(BookRate,1179)*(1+'5. Scenarios'!$C$10)*(INDEX(BookQ1,1179)*(5-MIN(4,1+'5. Scenarios'!$C$8))/4+INDEX(BookQ2,1179)*(5-MIN(4,2+'5. Scenarios'!$C$8))/4+INDEX(BookQ3,1179)*(5-MIN(4,3+'5. Scenarios'!$C$8))/4+INDEX(BookQ4,1179)*(5-MIN(4,4+'5. Scenarios'!$C$8))/4)*'5. Scenarios'!$C$6/(1+ProductivityDefault*('5. Scenarios'!$C$11-1))+INDEX(BookOneOff,1179)*$I1184)</f>
        <v/>
      </c>
      <c r="N1184" s="56" t="str">
        <f aca="false">IF(INDEX(BookTitle,1179)="","",INDEX(BookTotal,1179)*'5. Scenarios'!$D$6/(1+ProductivityDefault*('5. Scenarios'!$D$11-1)))</f>
        <v/>
      </c>
      <c r="O1184" s="57" t="str">
        <f aca="false">IF($N1184="","",INDEX(BookRate,1179)*(1+'5. Scenarios'!$D$10)*$N1184)</f>
        <v/>
      </c>
      <c r="P1184" s="57" t="str">
        <f aca="false">IF($O1184="","",SUMIFS($O$6:$O$2405,$A$6:$A$2405,"&lt;="&amp;$A1184))</f>
        <v/>
      </c>
      <c r="Q1184" s="57" t="str">
        <f aca="false">IF($O1184="","",IF($P1184&lt;=BankCostEnvelope*'5. Scenarios'!$D$7,1,0))</f>
        <v/>
      </c>
      <c r="R1184" s="57" t="str">
        <f aca="false">IF($N1184="","",INDEX(BookRate,1179)*(1+'5. Scenarios'!$D$10)*(INDEX(BookQ1,1179)*(5-MIN(4,1+'5. Scenarios'!$D$8))/4+INDEX(BookQ2,1179)*(5-MIN(4,2+'5. Scenarios'!$D$8))/4+INDEX(BookQ3,1179)*(5-MIN(4,3+'5. Scenarios'!$D$8))/4+INDEX(BookQ4,1179)*(5-MIN(4,4+'5. Scenarios'!$D$8))/4)*'5. Scenarios'!$D$6/(1+ProductivityDefault*('5. Scenarios'!$D$11-1))+INDEX(BookOneOff,1179)*$N1184)</f>
        <v/>
      </c>
      <c r="S1184" s="56" t="str">
        <f aca="false">IF(INDEX(BookTitle,1179)="","",INDEX(BookTotal,1179)*'5. Scenarios'!$E$6/(1+ProductivityDefault*('5. Scenarios'!$E$11-1)))</f>
        <v/>
      </c>
      <c r="T1184" s="57" t="str">
        <f aca="false">IF($S1184="","",INDEX(BookRate,1179)*(1+'5. Scenarios'!$E$10)*$S1184)</f>
        <v/>
      </c>
      <c r="U1184" s="57" t="str">
        <f aca="false">IF($T1184="","",SUMIFS($T$6:$T$2405,$A$6:$A$2405,"&lt;="&amp;$A1184))</f>
        <v/>
      </c>
      <c r="V1184" s="57" t="str">
        <f aca="false">IF($T1184="","",IF($U1184&lt;=BankCostEnvelope*'5. Scenarios'!$E$7,1,0))</f>
        <v/>
      </c>
      <c r="W1184" s="57" t="str">
        <f aca="false">IF($S1184="","",INDEX(BookRate,1179)*(1+'5. Scenarios'!$E$10)*(INDEX(BookQ1,1179)*(5-MIN(4,1+'5. Scenarios'!$E$8))/4+INDEX(BookQ2,1179)*(5-MIN(4,2+'5. Scenarios'!$E$8))/4+INDEX(BookQ3,1179)*(5-MIN(4,3+'5. Scenarios'!$E$8))/4+INDEX(BookQ4,1179)*(5-MIN(4,4+'5. Scenarios'!$E$8))/4)*'5. Scenarios'!$E$6/(1+ProductivityDefault*('5. Scenarios'!$E$11-1))+INDEX(BookOneOff,1179)*$S1184)</f>
        <v/>
      </c>
    </row>
    <row r="1185" customFormat="false" ht="15" hidden="false" customHeight="false" outlineLevel="0" collapsed="false">
      <c r="A1185" s="0" t="str">
        <f aca="false">IF(INDEX(BookTitle,1180)="","",INDEX(BookKey,1180))</f>
        <v/>
      </c>
      <c r="B1185" s="0" t="str">
        <f aca="false">IF(INDEX(BookTitle,1180)="","",INDEX(BookGroup,1180))</f>
        <v/>
      </c>
      <c r="C1185" s="0" t="str">
        <f aca="false">IF(INDEX(BookTitle,1180)="","",INDEX(BookCategory,1180))</f>
        <v/>
      </c>
      <c r="D1185" s="56" t="str">
        <f aca="false">IF(INDEX(BookTitle,1180)="","",INDEX(BookTotal,1180)*'5. Scenarios'!$B$6/(1+ProductivityDefault*('5. Scenarios'!$B$11-1)))</f>
        <v/>
      </c>
      <c r="E1185" s="57" t="str">
        <f aca="false">IF($D1185="","",INDEX(BookRate,1180)*(1+'5. Scenarios'!$B$10)*$D1185)</f>
        <v/>
      </c>
      <c r="F1185" s="57" t="str">
        <f aca="false">IF($E1185="","",SUMIFS($E$6:$E$2405,$A$6:$A$2405,"&lt;="&amp;$A1185))</f>
        <v/>
      </c>
      <c r="G1185" s="57" t="str">
        <f aca="false">IF($E1185="","",IF($F1185&lt;=BankCostEnvelope*'5. Scenarios'!$B$7,1,0))</f>
        <v/>
      </c>
      <c r="H1185" s="57" t="str">
        <f aca="false">IF($D1185="","",INDEX(BookRate,1180)*(1+'5. Scenarios'!$B$10)*(INDEX(BookQ1,1180)*(5-MIN(4,1+'5. Scenarios'!$B$8))/4+INDEX(BookQ2,1180)*(5-MIN(4,2+'5. Scenarios'!$B$8))/4+INDEX(BookQ3,1180)*(5-MIN(4,3+'5. Scenarios'!$B$8))/4+INDEX(BookQ4,1180)*(5-MIN(4,4+'5. Scenarios'!$B$8))/4)*'5. Scenarios'!$B$6/(1+ProductivityDefault*('5. Scenarios'!$B$11-1))+INDEX(BookOneOff,1180)*$D1185)</f>
        <v/>
      </c>
      <c r="I1185" s="56" t="str">
        <f aca="false">IF(INDEX(BookTitle,1180)="","",INDEX(BookTotal,1180)*'5. Scenarios'!$C$6/(1+ProductivityDefault*('5. Scenarios'!$C$11-1)))</f>
        <v/>
      </c>
      <c r="J1185" s="57" t="str">
        <f aca="false">IF($I1185="","",INDEX(BookRate,1180)*(1+'5. Scenarios'!$C$10)*$I1185)</f>
        <v/>
      </c>
      <c r="K1185" s="57" t="str">
        <f aca="false">IF($J1185="","",SUMIFS($J$6:$J$2405,$A$6:$A$2405,"&lt;="&amp;$A1185))</f>
        <v/>
      </c>
      <c r="L1185" s="57" t="str">
        <f aca="false">IF($J1185="","",IF($K1185&lt;=BankCostEnvelope*'5. Scenarios'!$C$7,1,0))</f>
        <v/>
      </c>
      <c r="M1185" s="57" t="str">
        <f aca="false">IF($I1185="","",INDEX(BookRate,1180)*(1+'5. Scenarios'!$C$10)*(INDEX(BookQ1,1180)*(5-MIN(4,1+'5. Scenarios'!$C$8))/4+INDEX(BookQ2,1180)*(5-MIN(4,2+'5. Scenarios'!$C$8))/4+INDEX(BookQ3,1180)*(5-MIN(4,3+'5. Scenarios'!$C$8))/4+INDEX(BookQ4,1180)*(5-MIN(4,4+'5. Scenarios'!$C$8))/4)*'5. Scenarios'!$C$6/(1+ProductivityDefault*('5. Scenarios'!$C$11-1))+INDEX(BookOneOff,1180)*$I1185)</f>
        <v/>
      </c>
      <c r="N1185" s="56" t="str">
        <f aca="false">IF(INDEX(BookTitle,1180)="","",INDEX(BookTotal,1180)*'5. Scenarios'!$D$6/(1+ProductivityDefault*('5. Scenarios'!$D$11-1)))</f>
        <v/>
      </c>
      <c r="O1185" s="57" t="str">
        <f aca="false">IF($N1185="","",INDEX(BookRate,1180)*(1+'5. Scenarios'!$D$10)*$N1185)</f>
        <v/>
      </c>
      <c r="P1185" s="57" t="str">
        <f aca="false">IF($O1185="","",SUMIFS($O$6:$O$2405,$A$6:$A$2405,"&lt;="&amp;$A1185))</f>
        <v/>
      </c>
      <c r="Q1185" s="57" t="str">
        <f aca="false">IF($O1185="","",IF($P1185&lt;=BankCostEnvelope*'5. Scenarios'!$D$7,1,0))</f>
        <v/>
      </c>
      <c r="R1185" s="57" t="str">
        <f aca="false">IF($N1185="","",INDEX(BookRate,1180)*(1+'5. Scenarios'!$D$10)*(INDEX(BookQ1,1180)*(5-MIN(4,1+'5. Scenarios'!$D$8))/4+INDEX(BookQ2,1180)*(5-MIN(4,2+'5. Scenarios'!$D$8))/4+INDEX(BookQ3,1180)*(5-MIN(4,3+'5. Scenarios'!$D$8))/4+INDEX(BookQ4,1180)*(5-MIN(4,4+'5. Scenarios'!$D$8))/4)*'5. Scenarios'!$D$6/(1+ProductivityDefault*('5. Scenarios'!$D$11-1))+INDEX(BookOneOff,1180)*$N1185)</f>
        <v/>
      </c>
      <c r="S1185" s="56" t="str">
        <f aca="false">IF(INDEX(BookTitle,1180)="","",INDEX(BookTotal,1180)*'5. Scenarios'!$E$6/(1+ProductivityDefault*('5. Scenarios'!$E$11-1)))</f>
        <v/>
      </c>
      <c r="T1185" s="57" t="str">
        <f aca="false">IF($S1185="","",INDEX(BookRate,1180)*(1+'5. Scenarios'!$E$10)*$S1185)</f>
        <v/>
      </c>
      <c r="U1185" s="57" t="str">
        <f aca="false">IF($T1185="","",SUMIFS($T$6:$T$2405,$A$6:$A$2405,"&lt;="&amp;$A1185))</f>
        <v/>
      </c>
      <c r="V1185" s="57" t="str">
        <f aca="false">IF($T1185="","",IF($U1185&lt;=BankCostEnvelope*'5. Scenarios'!$E$7,1,0))</f>
        <v/>
      </c>
      <c r="W1185" s="57" t="str">
        <f aca="false">IF($S1185="","",INDEX(BookRate,1180)*(1+'5. Scenarios'!$E$10)*(INDEX(BookQ1,1180)*(5-MIN(4,1+'5. Scenarios'!$E$8))/4+INDEX(BookQ2,1180)*(5-MIN(4,2+'5. Scenarios'!$E$8))/4+INDEX(BookQ3,1180)*(5-MIN(4,3+'5. Scenarios'!$E$8))/4+INDEX(BookQ4,1180)*(5-MIN(4,4+'5. Scenarios'!$E$8))/4)*'5. Scenarios'!$E$6/(1+ProductivityDefault*('5. Scenarios'!$E$11-1))+INDEX(BookOneOff,1180)*$S1185)</f>
        <v/>
      </c>
    </row>
    <row r="1186" customFormat="false" ht="15" hidden="false" customHeight="false" outlineLevel="0" collapsed="false">
      <c r="A1186" s="0" t="str">
        <f aca="false">IF(INDEX(BookTitle,1181)="","",INDEX(BookKey,1181))</f>
        <v/>
      </c>
      <c r="B1186" s="0" t="str">
        <f aca="false">IF(INDEX(BookTitle,1181)="","",INDEX(BookGroup,1181))</f>
        <v/>
      </c>
      <c r="C1186" s="0" t="str">
        <f aca="false">IF(INDEX(BookTitle,1181)="","",INDEX(BookCategory,1181))</f>
        <v/>
      </c>
      <c r="D1186" s="56" t="str">
        <f aca="false">IF(INDEX(BookTitle,1181)="","",INDEX(BookTotal,1181)*'5. Scenarios'!$B$6/(1+ProductivityDefault*('5. Scenarios'!$B$11-1)))</f>
        <v/>
      </c>
      <c r="E1186" s="57" t="str">
        <f aca="false">IF($D1186="","",INDEX(BookRate,1181)*(1+'5. Scenarios'!$B$10)*$D1186)</f>
        <v/>
      </c>
      <c r="F1186" s="57" t="str">
        <f aca="false">IF($E1186="","",SUMIFS($E$6:$E$2405,$A$6:$A$2405,"&lt;="&amp;$A1186))</f>
        <v/>
      </c>
      <c r="G1186" s="57" t="str">
        <f aca="false">IF($E1186="","",IF($F1186&lt;=BankCostEnvelope*'5. Scenarios'!$B$7,1,0))</f>
        <v/>
      </c>
      <c r="H1186" s="57" t="str">
        <f aca="false">IF($D1186="","",INDEX(BookRate,1181)*(1+'5. Scenarios'!$B$10)*(INDEX(BookQ1,1181)*(5-MIN(4,1+'5. Scenarios'!$B$8))/4+INDEX(BookQ2,1181)*(5-MIN(4,2+'5. Scenarios'!$B$8))/4+INDEX(BookQ3,1181)*(5-MIN(4,3+'5. Scenarios'!$B$8))/4+INDEX(BookQ4,1181)*(5-MIN(4,4+'5. Scenarios'!$B$8))/4)*'5. Scenarios'!$B$6/(1+ProductivityDefault*('5. Scenarios'!$B$11-1))+INDEX(BookOneOff,1181)*$D1186)</f>
        <v/>
      </c>
      <c r="I1186" s="56" t="str">
        <f aca="false">IF(INDEX(BookTitle,1181)="","",INDEX(BookTotal,1181)*'5. Scenarios'!$C$6/(1+ProductivityDefault*('5. Scenarios'!$C$11-1)))</f>
        <v/>
      </c>
      <c r="J1186" s="57" t="str">
        <f aca="false">IF($I1186="","",INDEX(BookRate,1181)*(1+'5. Scenarios'!$C$10)*$I1186)</f>
        <v/>
      </c>
      <c r="K1186" s="57" t="str">
        <f aca="false">IF($J1186="","",SUMIFS($J$6:$J$2405,$A$6:$A$2405,"&lt;="&amp;$A1186))</f>
        <v/>
      </c>
      <c r="L1186" s="57" t="str">
        <f aca="false">IF($J1186="","",IF($K1186&lt;=BankCostEnvelope*'5. Scenarios'!$C$7,1,0))</f>
        <v/>
      </c>
      <c r="M1186" s="57" t="str">
        <f aca="false">IF($I1186="","",INDEX(BookRate,1181)*(1+'5. Scenarios'!$C$10)*(INDEX(BookQ1,1181)*(5-MIN(4,1+'5. Scenarios'!$C$8))/4+INDEX(BookQ2,1181)*(5-MIN(4,2+'5. Scenarios'!$C$8))/4+INDEX(BookQ3,1181)*(5-MIN(4,3+'5. Scenarios'!$C$8))/4+INDEX(BookQ4,1181)*(5-MIN(4,4+'5. Scenarios'!$C$8))/4)*'5. Scenarios'!$C$6/(1+ProductivityDefault*('5. Scenarios'!$C$11-1))+INDEX(BookOneOff,1181)*$I1186)</f>
        <v/>
      </c>
      <c r="N1186" s="56" t="str">
        <f aca="false">IF(INDEX(BookTitle,1181)="","",INDEX(BookTotal,1181)*'5. Scenarios'!$D$6/(1+ProductivityDefault*('5. Scenarios'!$D$11-1)))</f>
        <v/>
      </c>
      <c r="O1186" s="57" t="str">
        <f aca="false">IF($N1186="","",INDEX(BookRate,1181)*(1+'5. Scenarios'!$D$10)*$N1186)</f>
        <v/>
      </c>
      <c r="P1186" s="57" t="str">
        <f aca="false">IF($O1186="","",SUMIFS($O$6:$O$2405,$A$6:$A$2405,"&lt;="&amp;$A1186))</f>
        <v/>
      </c>
      <c r="Q1186" s="57" t="str">
        <f aca="false">IF($O1186="","",IF($P1186&lt;=BankCostEnvelope*'5. Scenarios'!$D$7,1,0))</f>
        <v/>
      </c>
      <c r="R1186" s="57" t="str">
        <f aca="false">IF($N1186="","",INDEX(BookRate,1181)*(1+'5. Scenarios'!$D$10)*(INDEX(BookQ1,1181)*(5-MIN(4,1+'5. Scenarios'!$D$8))/4+INDEX(BookQ2,1181)*(5-MIN(4,2+'5. Scenarios'!$D$8))/4+INDEX(BookQ3,1181)*(5-MIN(4,3+'5. Scenarios'!$D$8))/4+INDEX(BookQ4,1181)*(5-MIN(4,4+'5. Scenarios'!$D$8))/4)*'5. Scenarios'!$D$6/(1+ProductivityDefault*('5. Scenarios'!$D$11-1))+INDEX(BookOneOff,1181)*$N1186)</f>
        <v/>
      </c>
      <c r="S1186" s="56" t="str">
        <f aca="false">IF(INDEX(BookTitle,1181)="","",INDEX(BookTotal,1181)*'5. Scenarios'!$E$6/(1+ProductivityDefault*('5. Scenarios'!$E$11-1)))</f>
        <v/>
      </c>
      <c r="T1186" s="57" t="str">
        <f aca="false">IF($S1186="","",INDEX(BookRate,1181)*(1+'5. Scenarios'!$E$10)*$S1186)</f>
        <v/>
      </c>
      <c r="U1186" s="57" t="str">
        <f aca="false">IF($T1186="","",SUMIFS($T$6:$T$2405,$A$6:$A$2405,"&lt;="&amp;$A1186))</f>
        <v/>
      </c>
      <c r="V1186" s="57" t="str">
        <f aca="false">IF($T1186="","",IF($U1186&lt;=BankCostEnvelope*'5. Scenarios'!$E$7,1,0))</f>
        <v/>
      </c>
      <c r="W1186" s="57" t="str">
        <f aca="false">IF($S1186="","",INDEX(BookRate,1181)*(1+'5. Scenarios'!$E$10)*(INDEX(BookQ1,1181)*(5-MIN(4,1+'5. Scenarios'!$E$8))/4+INDEX(BookQ2,1181)*(5-MIN(4,2+'5. Scenarios'!$E$8))/4+INDEX(BookQ3,1181)*(5-MIN(4,3+'5. Scenarios'!$E$8))/4+INDEX(BookQ4,1181)*(5-MIN(4,4+'5. Scenarios'!$E$8))/4)*'5. Scenarios'!$E$6/(1+ProductivityDefault*('5. Scenarios'!$E$11-1))+INDEX(BookOneOff,1181)*$S1186)</f>
        <v/>
      </c>
    </row>
    <row r="1187" customFormat="false" ht="15" hidden="false" customHeight="false" outlineLevel="0" collapsed="false">
      <c r="A1187" s="0" t="str">
        <f aca="false">IF(INDEX(BookTitle,1182)="","",INDEX(BookKey,1182))</f>
        <v/>
      </c>
      <c r="B1187" s="0" t="str">
        <f aca="false">IF(INDEX(BookTitle,1182)="","",INDEX(BookGroup,1182))</f>
        <v/>
      </c>
      <c r="C1187" s="0" t="str">
        <f aca="false">IF(INDEX(BookTitle,1182)="","",INDEX(BookCategory,1182))</f>
        <v/>
      </c>
      <c r="D1187" s="56" t="str">
        <f aca="false">IF(INDEX(BookTitle,1182)="","",INDEX(BookTotal,1182)*'5. Scenarios'!$B$6/(1+ProductivityDefault*('5. Scenarios'!$B$11-1)))</f>
        <v/>
      </c>
      <c r="E1187" s="57" t="str">
        <f aca="false">IF($D1187="","",INDEX(BookRate,1182)*(1+'5. Scenarios'!$B$10)*$D1187)</f>
        <v/>
      </c>
      <c r="F1187" s="57" t="str">
        <f aca="false">IF($E1187="","",SUMIFS($E$6:$E$2405,$A$6:$A$2405,"&lt;="&amp;$A1187))</f>
        <v/>
      </c>
      <c r="G1187" s="57" t="str">
        <f aca="false">IF($E1187="","",IF($F1187&lt;=BankCostEnvelope*'5. Scenarios'!$B$7,1,0))</f>
        <v/>
      </c>
      <c r="H1187" s="57" t="str">
        <f aca="false">IF($D1187="","",INDEX(BookRate,1182)*(1+'5. Scenarios'!$B$10)*(INDEX(BookQ1,1182)*(5-MIN(4,1+'5. Scenarios'!$B$8))/4+INDEX(BookQ2,1182)*(5-MIN(4,2+'5. Scenarios'!$B$8))/4+INDEX(BookQ3,1182)*(5-MIN(4,3+'5. Scenarios'!$B$8))/4+INDEX(BookQ4,1182)*(5-MIN(4,4+'5. Scenarios'!$B$8))/4)*'5. Scenarios'!$B$6/(1+ProductivityDefault*('5. Scenarios'!$B$11-1))+INDEX(BookOneOff,1182)*$D1187)</f>
        <v/>
      </c>
      <c r="I1187" s="56" t="str">
        <f aca="false">IF(INDEX(BookTitle,1182)="","",INDEX(BookTotal,1182)*'5. Scenarios'!$C$6/(1+ProductivityDefault*('5. Scenarios'!$C$11-1)))</f>
        <v/>
      </c>
      <c r="J1187" s="57" t="str">
        <f aca="false">IF($I1187="","",INDEX(BookRate,1182)*(1+'5. Scenarios'!$C$10)*$I1187)</f>
        <v/>
      </c>
      <c r="K1187" s="57" t="str">
        <f aca="false">IF($J1187="","",SUMIFS($J$6:$J$2405,$A$6:$A$2405,"&lt;="&amp;$A1187))</f>
        <v/>
      </c>
      <c r="L1187" s="57" t="str">
        <f aca="false">IF($J1187="","",IF($K1187&lt;=BankCostEnvelope*'5. Scenarios'!$C$7,1,0))</f>
        <v/>
      </c>
      <c r="M1187" s="57" t="str">
        <f aca="false">IF($I1187="","",INDEX(BookRate,1182)*(1+'5. Scenarios'!$C$10)*(INDEX(BookQ1,1182)*(5-MIN(4,1+'5. Scenarios'!$C$8))/4+INDEX(BookQ2,1182)*(5-MIN(4,2+'5. Scenarios'!$C$8))/4+INDEX(BookQ3,1182)*(5-MIN(4,3+'5. Scenarios'!$C$8))/4+INDEX(BookQ4,1182)*(5-MIN(4,4+'5. Scenarios'!$C$8))/4)*'5. Scenarios'!$C$6/(1+ProductivityDefault*('5. Scenarios'!$C$11-1))+INDEX(BookOneOff,1182)*$I1187)</f>
        <v/>
      </c>
      <c r="N1187" s="56" t="str">
        <f aca="false">IF(INDEX(BookTitle,1182)="","",INDEX(BookTotal,1182)*'5. Scenarios'!$D$6/(1+ProductivityDefault*('5. Scenarios'!$D$11-1)))</f>
        <v/>
      </c>
      <c r="O1187" s="57" t="str">
        <f aca="false">IF($N1187="","",INDEX(BookRate,1182)*(1+'5. Scenarios'!$D$10)*$N1187)</f>
        <v/>
      </c>
      <c r="P1187" s="57" t="str">
        <f aca="false">IF($O1187="","",SUMIFS($O$6:$O$2405,$A$6:$A$2405,"&lt;="&amp;$A1187))</f>
        <v/>
      </c>
      <c r="Q1187" s="57" t="str">
        <f aca="false">IF($O1187="","",IF($P1187&lt;=BankCostEnvelope*'5. Scenarios'!$D$7,1,0))</f>
        <v/>
      </c>
      <c r="R1187" s="57" t="str">
        <f aca="false">IF($N1187="","",INDEX(BookRate,1182)*(1+'5. Scenarios'!$D$10)*(INDEX(BookQ1,1182)*(5-MIN(4,1+'5. Scenarios'!$D$8))/4+INDEX(BookQ2,1182)*(5-MIN(4,2+'5. Scenarios'!$D$8))/4+INDEX(BookQ3,1182)*(5-MIN(4,3+'5. Scenarios'!$D$8))/4+INDEX(BookQ4,1182)*(5-MIN(4,4+'5. Scenarios'!$D$8))/4)*'5. Scenarios'!$D$6/(1+ProductivityDefault*('5. Scenarios'!$D$11-1))+INDEX(BookOneOff,1182)*$N1187)</f>
        <v/>
      </c>
      <c r="S1187" s="56" t="str">
        <f aca="false">IF(INDEX(BookTitle,1182)="","",INDEX(BookTotal,1182)*'5. Scenarios'!$E$6/(1+ProductivityDefault*('5. Scenarios'!$E$11-1)))</f>
        <v/>
      </c>
      <c r="T1187" s="57" t="str">
        <f aca="false">IF($S1187="","",INDEX(BookRate,1182)*(1+'5. Scenarios'!$E$10)*$S1187)</f>
        <v/>
      </c>
      <c r="U1187" s="57" t="str">
        <f aca="false">IF($T1187="","",SUMIFS($T$6:$T$2405,$A$6:$A$2405,"&lt;="&amp;$A1187))</f>
        <v/>
      </c>
      <c r="V1187" s="57" t="str">
        <f aca="false">IF($T1187="","",IF($U1187&lt;=BankCostEnvelope*'5. Scenarios'!$E$7,1,0))</f>
        <v/>
      </c>
      <c r="W1187" s="57" t="str">
        <f aca="false">IF($S1187="","",INDEX(BookRate,1182)*(1+'5. Scenarios'!$E$10)*(INDEX(BookQ1,1182)*(5-MIN(4,1+'5. Scenarios'!$E$8))/4+INDEX(BookQ2,1182)*(5-MIN(4,2+'5. Scenarios'!$E$8))/4+INDEX(BookQ3,1182)*(5-MIN(4,3+'5. Scenarios'!$E$8))/4+INDEX(BookQ4,1182)*(5-MIN(4,4+'5. Scenarios'!$E$8))/4)*'5. Scenarios'!$E$6/(1+ProductivityDefault*('5. Scenarios'!$E$11-1))+INDEX(BookOneOff,1182)*$S1187)</f>
        <v/>
      </c>
    </row>
    <row r="1188" customFormat="false" ht="15" hidden="false" customHeight="false" outlineLevel="0" collapsed="false">
      <c r="A1188" s="0" t="str">
        <f aca="false">IF(INDEX(BookTitle,1183)="","",INDEX(BookKey,1183))</f>
        <v/>
      </c>
      <c r="B1188" s="0" t="str">
        <f aca="false">IF(INDEX(BookTitle,1183)="","",INDEX(BookGroup,1183))</f>
        <v/>
      </c>
      <c r="C1188" s="0" t="str">
        <f aca="false">IF(INDEX(BookTitle,1183)="","",INDEX(BookCategory,1183))</f>
        <v/>
      </c>
      <c r="D1188" s="56" t="str">
        <f aca="false">IF(INDEX(BookTitle,1183)="","",INDEX(BookTotal,1183)*'5. Scenarios'!$B$6/(1+ProductivityDefault*('5. Scenarios'!$B$11-1)))</f>
        <v/>
      </c>
      <c r="E1188" s="57" t="str">
        <f aca="false">IF($D1188="","",INDEX(BookRate,1183)*(1+'5. Scenarios'!$B$10)*$D1188)</f>
        <v/>
      </c>
      <c r="F1188" s="57" t="str">
        <f aca="false">IF($E1188="","",SUMIFS($E$6:$E$2405,$A$6:$A$2405,"&lt;="&amp;$A1188))</f>
        <v/>
      </c>
      <c r="G1188" s="57" t="str">
        <f aca="false">IF($E1188="","",IF($F1188&lt;=BankCostEnvelope*'5. Scenarios'!$B$7,1,0))</f>
        <v/>
      </c>
      <c r="H1188" s="57" t="str">
        <f aca="false">IF($D1188="","",INDEX(BookRate,1183)*(1+'5. Scenarios'!$B$10)*(INDEX(BookQ1,1183)*(5-MIN(4,1+'5. Scenarios'!$B$8))/4+INDEX(BookQ2,1183)*(5-MIN(4,2+'5. Scenarios'!$B$8))/4+INDEX(BookQ3,1183)*(5-MIN(4,3+'5. Scenarios'!$B$8))/4+INDEX(BookQ4,1183)*(5-MIN(4,4+'5. Scenarios'!$B$8))/4)*'5. Scenarios'!$B$6/(1+ProductivityDefault*('5. Scenarios'!$B$11-1))+INDEX(BookOneOff,1183)*$D1188)</f>
        <v/>
      </c>
      <c r="I1188" s="56" t="str">
        <f aca="false">IF(INDEX(BookTitle,1183)="","",INDEX(BookTotal,1183)*'5. Scenarios'!$C$6/(1+ProductivityDefault*('5. Scenarios'!$C$11-1)))</f>
        <v/>
      </c>
      <c r="J1188" s="57" t="str">
        <f aca="false">IF($I1188="","",INDEX(BookRate,1183)*(1+'5. Scenarios'!$C$10)*$I1188)</f>
        <v/>
      </c>
      <c r="K1188" s="57" t="str">
        <f aca="false">IF($J1188="","",SUMIFS($J$6:$J$2405,$A$6:$A$2405,"&lt;="&amp;$A1188))</f>
        <v/>
      </c>
      <c r="L1188" s="57" t="str">
        <f aca="false">IF($J1188="","",IF($K1188&lt;=BankCostEnvelope*'5. Scenarios'!$C$7,1,0))</f>
        <v/>
      </c>
      <c r="M1188" s="57" t="str">
        <f aca="false">IF($I1188="","",INDEX(BookRate,1183)*(1+'5. Scenarios'!$C$10)*(INDEX(BookQ1,1183)*(5-MIN(4,1+'5. Scenarios'!$C$8))/4+INDEX(BookQ2,1183)*(5-MIN(4,2+'5. Scenarios'!$C$8))/4+INDEX(BookQ3,1183)*(5-MIN(4,3+'5. Scenarios'!$C$8))/4+INDEX(BookQ4,1183)*(5-MIN(4,4+'5. Scenarios'!$C$8))/4)*'5. Scenarios'!$C$6/(1+ProductivityDefault*('5. Scenarios'!$C$11-1))+INDEX(BookOneOff,1183)*$I1188)</f>
        <v/>
      </c>
      <c r="N1188" s="56" t="str">
        <f aca="false">IF(INDEX(BookTitle,1183)="","",INDEX(BookTotal,1183)*'5. Scenarios'!$D$6/(1+ProductivityDefault*('5. Scenarios'!$D$11-1)))</f>
        <v/>
      </c>
      <c r="O1188" s="57" t="str">
        <f aca="false">IF($N1188="","",INDEX(BookRate,1183)*(1+'5. Scenarios'!$D$10)*$N1188)</f>
        <v/>
      </c>
      <c r="P1188" s="57" t="str">
        <f aca="false">IF($O1188="","",SUMIFS($O$6:$O$2405,$A$6:$A$2405,"&lt;="&amp;$A1188))</f>
        <v/>
      </c>
      <c r="Q1188" s="57" t="str">
        <f aca="false">IF($O1188="","",IF($P1188&lt;=BankCostEnvelope*'5. Scenarios'!$D$7,1,0))</f>
        <v/>
      </c>
      <c r="R1188" s="57" t="str">
        <f aca="false">IF($N1188="","",INDEX(BookRate,1183)*(1+'5. Scenarios'!$D$10)*(INDEX(BookQ1,1183)*(5-MIN(4,1+'5. Scenarios'!$D$8))/4+INDEX(BookQ2,1183)*(5-MIN(4,2+'5. Scenarios'!$D$8))/4+INDEX(BookQ3,1183)*(5-MIN(4,3+'5. Scenarios'!$D$8))/4+INDEX(BookQ4,1183)*(5-MIN(4,4+'5. Scenarios'!$D$8))/4)*'5. Scenarios'!$D$6/(1+ProductivityDefault*('5. Scenarios'!$D$11-1))+INDEX(BookOneOff,1183)*$N1188)</f>
        <v/>
      </c>
      <c r="S1188" s="56" t="str">
        <f aca="false">IF(INDEX(BookTitle,1183)="","",INDEX(BookTotal,1183)*'5. Scenarios'!$E$6/(1+ProductivityDefault*('5. Scenarios'!$E$11-1)))</f>
        <v/>
      </c>
      <c r="T1188" s="57" t="str">
        <f aca="false">IF($S1188="","",INDEX(BookRate,1183)*(1+'5. Scenarios'!$E$10)*$S1188)</f>
        <v/>
      </c>
      <c r="U1188" s="57" t="str">
        <f aca="false">IF($T1188="","",SUMIFS($T$6:$T$2405,$A$6:$A$2405,"&lt;="&amp;$A1188))</f>
        <v/>
      </c>
      <c r="V1188" s="57" t="str">
        <f aca="false">IF($T1188="","",IF($U1188&lt;=BankCostEnvelope*'5. Scenarios'!$E$7,1,0))</f>
        <v/>
      </c>
      <c r="W1188" s="57" t="str">
        <f aca="false">IF($S1188="","",INDEX(BookRate,1183)*(1+'5. Scenarios'!$E$10)*(INDEX(BookQ1,1183)*(5-MIN(4,1+'5. Scenarios'!$E$8))/4+INDEX(BookQ2,1183)*(5-MIN(4,2+'5. Scenarios'!$E$8))/4+INDEX(BookQ3,1183)*(5-MIN(4,3+'5. Scenarios'!$E$8))/4+INDEX(BookQ4,1183)*(5-MIN(4,4+'5. Scenarios'!$E$8))/4)*'5. Scenarios'!$E$6/(1+ProductivityDefault*('5. Scenarios'!$E$11-1))+INDEX(BookOneOff,1183)*$S1188)</f>
        <v/>
      </c>
    </row>
    <row r="1189" customFormat="false" ht="15" hidden="false" customHeight="false" outlineLevel="0" collapsed="false">
      <c r="A1189" s="0" t="str">
        <f aca="false">IF(INDEX(BookTitle,1184)="","",INDEX(BookKey,1184))</f>
        <v/>
      </c>
      <c r="B1189" s="0" t="str">
        <f aca="false">IF(INDEX(BookTitle,1184)="","",INDEX(BookGroup,1184))</f>
        <v/>
      </c>
      <c r="C1189" s="0" t="str">
        <f aca="false">IF(INDEX(BookTitle,1184)="","",INDEX(BookCategory,1184))</f>
        <v/>
      </c>
      <c r="D1189" s="56" t="str">
        <f aca="false">IF(INDEX(BookTitle,1184)="","",INDEX(BookTotal,1184)*'5. Scenarios'!$B$6/(1+ProductivityDefault*('5. Scenarios'!$B$11-1)))</f>
        <v/>
      </c>
      <c r="E1189" s="57" t="str">
        <f aca="false">IF($D1189="","",INDEX(BookRate,1184)*(1+'5. Scenarios'!$B$10)*$D1189)</f>
        <v/>
      </c>
      <c r="F1189" s="57" t="str">
        <f aca="false">IF($E1189="","",SUMIFS($E$6:$E$2405,$A$6:$A$2405,"&lt;="&amp;$A1189))</f>
        <v/>
      </c>
      <c r="G1189" s="57" t="str">
        <f aca="false">IF($E1189="","",IF($F1189&lt;=BankCostEnvelope*'5. Scenarios'!$B$7,1,0))</f>
        <v/>
      </c>
      <c r="H1189" s="57" t="str">
        <f aca="false">IF($D1189="","",INDEX(BookRate,1184)*(1+'5. Scenarios'!$B$10)*(INDEX(BookQ1,1184)*(5-MIN(4,1+'5. Scenarios'!$B$8))/4+INDEX(BookQ2,1184)*(5-MIN(4,2+'5. Scenarios'!$B$8))/4+INDEX(BookQ3,1184)*(5-MIN(4,3+'5. Scenarios'!$B$8))/4+INDEX(BookQ4,1184)*(5-MIN(4,4+'5. Scenarios'!$B$8))/4)*'5. Scenarios'!$B$6/(1+ProductivityDefault*('5. Scenarios'!$B$11-1))+INDEX(BookOneOff,1184)*$D1189)</f>
        <v/>
      </c>
      <c r="I1189" s="56" t="str">
        <f aca="false">IF(INDEX(BookTitle,1184)="","",INDEX(BookTotal,1184)*'5. Scenarios'!$C$6/(1+ProductivityDefault*('5. Scenarios'!$C$11-1)))</f>
        <v/>
      </c>
      <c r="J1189" s="57" t="str">
        <f aca="false">IF($I1189="","",INDEX(BookRate,1184)*(1+'5. Scenarios'!$C$10)*$I1189)</f>
        <v/>
      </c>
      <c r="K1189" s="57" t="str">
        <f aca="false">IF($J1189="","",SUMIFS($J$6:$J$2405,$A$6:$A$2405,"&lt;="&amp;$A1189))</f>
        <v/>
      </c>
      <c r="L1189" s="57" t="str">
        <f aca="false">IF($J1189="","",IF($K1189&lt;=BankCostEnvelope*'5. Scenarios'!$C$7,1,0))</f>
        <v/>
      </c>
      <c r="M1189" s="57" t="str">
        <f aca="false">IF($I1189="","",INDEX(BookRate,1184)*(1+'5. Scenarios'!$C$10)*(INDEX(BookQ1,1184)*(5-MIN(4,1+'5. Scenarios'!$C$8))/4+INDEX(BookQ2,1184)*(5-MIN(4,2+'5. Scenarios'!$C$8))/4+INDEX(BookQ3,1184)*(5-MIN(4,3+'5. Scenarios'!$C$8))/4+INDEX(BookQ4,1184)*(5-MIN(4,4+'5. Scenarios'!$C$8))/4)*'5. Scenarios'!$C$6/(1+ProductivityDefault*('5. Scenarios'!$C$11-1))+INDEX(BookOneOff,1184)*$I1189)</f>
        <v/>
      </c>
      <c r="N1189" s="56" t="str">
        <f aca="false">IF(INDEX(BookTitle,1184)="","",INDEX(BookTotal,1184)*'5. Scenarios'!$D$6/(1+ProductivityDefault*('5. Scenarios'!$D$11-1)))</f>
        <v/>
      </c>
      <c r="O1189" s="57" t="str">
        <f aca="false">IF($N1189="","",INDEX(BookRate,1184)*(1+'5. Scenarios'!$D$10)*$N1189)</f>
        <v/>
      </c>
      <c r="P1189" s="57" t="str">
        <f aca="false">IF($O1189="","",SUMIFS($O$6:$O$2405,$A$6:$A$2405,"&lt;="&amp;$A1189))</f>
        <v/>
      </c>
      <c r="Q1189" s="57" t="str">
        <f aca="false">IF($O1189="","",IF($P1189&lt;=BankCostEnvelope*'5. Scenarios'!$D$7,1,0))</f>
        <v/>
      </c>
      <c r="R1189" s="57" t="str">
        <f aca="false">IF($N1189="","",INDEX(BookRate,1184)*(1+'5. Scenarios'!$D$10)*(INDEX(BookQ1,1184)*(5-MIN(4,1+'5. Scenarios'!$D$8))/4+INDEX(BookQ2,1184)*(5-MIN(4,2+'5. Scenarios'!$D$8))/4+INDEX(BookQ3,1184)*(5-MIN(4,3+'5. Scenarios'!$D$8))/4+INDEX(BookQ4,1184)*(5-MIN(4,4+'5. Scenarios'!$D$8))/4)*'5. Scenarios'!$D$6/(1+ProductivityDefault*('5. Scenarios'!$D$11-1))+INDEX(BookOneOff,1184)*$N1189)</f>
        <v/>
      </c>
      <c r="S1189" s="56" t="str">
        <f aca="false">IF(INDEX(BookTitle,1184)="","",INDEX(BookTotal,1184)*'5. Scenarios'!$E$6/(1+ProductivityDefault*('5. Scenarios'!$E$11-1)))</f>
        <v/>
      </c>
      <c r="T1189" s="57" t="str">
        <f aca="false">IF($S1189="","",INDEX(BookRate,1184)*(1+'5. Scenarios'!$E$10)*$S1189)</f>
        <v/>
      </c>
      <c r="U1189" s="57" t="str">
        <f aca="false">IF($T1189="","",SUMIFS($T$6:$T$2405,$A$6:$A$2405,"&lt;="&amp;$A1189))</f>
        <v/>
      </c>
      <c r="V1189" s="57" t="str">
        <f aca="false">IF($T1189="","",IF($U1189&lt;=BankCostEnvelope*'5. Scenarios'!$E$7,1,0))</f>
        <v/>
      </c>
      <c r="W1189" s="57" t="str">
        <f aca="false">IF($S1189="","",INDEX(BookRate,1184)*(1+'5. Scenarios'!$E$10)*(INDEX(BookQ1,1184)*(5-MIN(4,1+'5. Scenarios'!$E$8))/4+INDEX(BookQ2,1184)*(5-MIN(4,2+'5. Scenarios'!$E$8))/4+INDEX(BookQ3,1184)*(5-MIN(4,3+'5. Scenarios'!$E$8))/4+INDEX(BookQ4,1184)*(5-MIN(4,4+'5. Scenarios'!$E$8))/4)*'5. Scenarios'!$E$6/(1+ProductivityDefault*('5. Scenarios'!$E$11-1))+INDEX(BookOneOff,1184)*$S1189)</f>
        <v/>
      </c>
    </row>
    <row r="1190" customFormat="false" ht="15" hidden="false" customHeight="false" outlineLevel="0" collapsed="false">
      <c r="A1190" s="0" t="str">
        <f aca="false">IF(INDEX(BookTitle,1185)="","",INDEX(BookKey,1185))</f>
        <v/>
      </c>
      <c r="B1190" s="0" t="str">
        <f aca="false">IF(INDEX(BookTitle,1185)="","",INDEX(BookGroup,1185))</f>
        <v/>
      </c>
      <c r="C1190" s="0" t="str">
        <f aca="false">IF(INDEX(BookTitle,1185)="","",INDEX(BookCategory,1185))</f>
        <v/>
      </c>
      <c r="D1190" s="56" t="str">
        <f aca="false">IF(INDEX(BookTitle,1185)="","",INDEX(BookTotal,1185)*'5. Scenarios'!$B$6/(1+ProductivityDefault*('5. Scenarios'!$B$11-1)))</f>
        <v/>
      </c>
      <c r="E1190" s="57" t="str">
        <f aca="false">IF($D1190="","",INDEX(BookRate,1185)*(1+'5. Scenarios'!$B$10)*$D1190)</f>
        <v/>
      </c>
      <c r="F1190" s="57" t="str">
        <f aca="false">IF($E1190="","",SUMIFS($E$6:$E$2405,$A$6:$A$2405,"&lt;="&amp;$A1190))</f>
        <v/>
      </c>
      <c r="G1190" s="57" t="str">
        <f aca="false">IF($E1190="","",IF($F1190&lt;=BankCostEnvelope*'5. Scenarios'!$B$7,1,0))</f>
        <v/>
      </c>
      <c r="H1190" s="57" t="str">
        <f aca="false">IF($D1190="","",INDEX(BookRate,1185)*(1+'5. Scenarios'!$B$10)*(INDEX(BookQ1,1185)*(5-MIN(4,1+'5. Scenarios'!$B$8))/4+INDEX(BookQ2,1185)*(5-MIN(4,2+'5. Scenarios'!$B$8))/4+INDEX(BookQ3,1185)*(5-MIN(4,3+'5. Scenarios'!$B$8))/4+INDEX(BookQ4,1185)*(5-MIN(4,4+'5. Scenarios'!$B$8))/4)*'5. Scenarios'!$B$6/(1+ProductivityDefault*('5. Scenarios'!$B$11-1))+INDEX(BookOneOff,1185)*$D1190)</f>
        <v/>
      </c>
      <c r="I1190" s="56" t="str">
        <f aca="false">IF(INDEX(BookTitle,1185)="","",INDEX(BookTotal,1185)*'5. Scenarios'!$C$6/(1+ProductivityDefault*('5. Scenarios'!$C$11-1)))</f>
        <v/>
      </c>
      <c r="J1190" s="57" t="str">
        <f aca="false">IF($I1190="","",INDEX(BookRate,1185)*(1+'5. Scenarios'!$C$10)*$I1190)</f>
        <v/>
      </c>
      <c r="K1190" s="57" t="str">
        <f aca="false">IF($J1190="","",SUMIFS($J$6:$J$2405,$A$6:$A$2405,"&lt;="&amp;$A1190))</f>
        <v/>
      </c>
      <c r="L1190" s="57" t="str">
        <f aca="false">IF($J1190="","",IF($K1190&lt;=BankCostEnvelope*'5. Scenarios'!$C$7,1,0))</f>
        <v/>
      </c>
      <c r="M1190" s="57" t="str">
        <f aca="false">IF($I1190="","",INDEX(BookRate,1185)*(1+'5. Scenarios'!$C$10)*(INDEX(BookQ1,1185)*(5-MIN(4,1+'5. Scenarios'!$C$8))/4+INDEX(BookQ2,1185)*(5-MIN(4,2+'5. Scenarios'!$C$8))/4+INDEX(BookQ3,1185)*(5-MIN(4,3+'5. Scenarios'!$C$8))/4+INDEX(BookQ4,1185)*(5-MIN(4,4+'5. Scenarios'!$C$8))/4)*'5. Scenarios'!$C$6/(1+ProductivityDefault*('5. Scenarios'!$C$11-1))+INDEX(BookOneOff,1185)*$I1190)</f>
        <v/>
      </c>
      <c r="N1190" s="56" t="str">
        <f aca="false">IF(INDEX(BookTitle,1185)="","",INDEX(BookTotal,1185)*'5. Scenarios'!$D$6/(1+ProductivityDefault*('5. Scenarios'!$D$11-1)))</f>
        <v/>
      </c>
      <c r="O1190" s="57" t="str">
        <f aca="false">IF($N1190="","",INDEX(BookRate,1185)*(1+'5. Scenarios'!$D$10)*$N1190)</f>
        <v/>
      </c>
      <c r="P1190" s="57" t="str">
        <f aca="false">IF($O1190="","",SUMIFS($O$6:$O$2405,$A$6:$A$2405,"&lt;="&amp;$A1190))</f>
        <v/>
      </c>
      <c r="Q1190" s="57" t="str">
        <f aca="false">IF($O1190="","",IF($P1190&lt;=BankCostEnvelope*'5. Scenarios'!$D$7,1,0))</f>
        <v/>
      </c>
      <c r="R1190" s="57" t="str">
        <f aca="false">IF($N1190="","",INDEX(BookRate,1185)*(1+'5. Scenarios'!$D$10)*(INDEX(BookQ1,1185)*(5-MIN(4,1+'5. Scenarios'!$D$8))/4+INDEX(BookQ2,1185)*(5-MIN(4,2+'5. Scenarios'!$D$8))/4+INDEX(BookQ3,1185)*(5-MIN(4,3+'5. Scenarios'!$D$8))/4+INDEX(BookQ4,1185)*(5-MIN(4,4+'5. Scenarios'!$D$8))/4)*'5. Scenarios'!$D$6/(1+ProductivityDefault*('5. Scenarios'!$D$11-1))+INDEX(BookOneOff,1185)*$N1190)</f>
        <v/>
      </c>
      <c r="S1190" s="56" t="str">
        <f aca="false">IF(INDEX(BookTitle,1185)="","",INDEX(BookTotal,1185)*'5. Scenarios'!$E$6/(1+ProductivityDefault*('5. Scenarios'!$E$11-1)))</f>
        <v/>
      </c>
      <c r="T1190" s="57" t="str">
        <f aca="false">IF($S1190="","",INDEX(BookRate,1185)*(1+'5. Scenarios'!$E$10)*$S1190)</f>
        <v/>
      </c>
      <c r="U1190" s="57" t="str">
        <f aca="false">IF($T1190="","",SUMIFS($T$6:$T$2405,$A$6:$A$2405,"&lt;="&amp;$A1190))</f>
        <v/>
      </c>
      <c r="V1190" s="57" t="str">
        <f aca="false">IF($T1190="","",IF($U1190&lt;=BankCostEnvelope*'5. Scenarios'!$E$7,1,0))</f>
        <v/>
      </c>
      <c r="W1190" s="57" t="str">
        <f aca="false">IF($S1190="","",INDEX(BookRate,1185)*(1+'5. Scenarios'!$E$10)*(INDEX(BookQ1,1185)*(5-MIN(4,1+'5. Scenarios'!$E$8))/4+INDEX(BookQ2,1185)*(5-MIN(4,2+'5. Scenarios'!$E$8))/4+INDEX(BookQ3,1185)*(5-MIN(4,3+'5. Scenarios'!$E$8))/4+INDEX(BookQ4,1185)*(5-MIN(4,4+'5. Scenarios'!$E$8))/4)*'5. Scenarios'!$E$6/(1+ProductivityDefault*('5. Scenarios'!$E$11-1))+INDEX(BookOneOff,1185)*$S1190)</f>
        <v/>
      </c>
    </row>
    <row r="1191" customFormat="false" ht="15" hidden="false" customHeight="false" outlineLevel="0" collapsed="false">
      <c r="A1191" s="0" t="str">
        <f aca="false">IF(INDEX(BookTitle,1186)="","",INDEX(BookKey,1186))</f>
        <v/>
      </c>
      <c r="B1191" s="0" t="str">
        <f aca="false">IF(INDEX(BookTitle,1186)="","",INDEX(BookGroup,1186))</f>
        <v/>
      </c>
      <c r="C1191" s="0" t="str">
        <f aca="false">IF(INDEX(BookTitle,1186)="","",INDEX(BookCategory,1186))</f>
        <v/>
      </c>
      <c r="D1191" s="56" t="str">
        <f aca="false">IF(INDEX(BookTitle,1186)="","",INDEX(BookTotal,1186)*'5. Scenarios'!$B$6/(1+ProductivityDefault*('5. Scenarios'!$B$11-1)))</f>
        <v/>
      </c>
      <c r="E1191" s="57" t="str">
        <f aca="false">IF($D1191="","",INDEX(BookRate,1186)*(1+'5. Scenarios'!$B$10)*$D1191)</f>
        <v/>
      </c>
      <c r="F1191" s="57" t="str">
        <f aca="false">IF($E1191="","",SUMIFS($E$6:$E$2405,$A$6:$A$2405,"&lt;="&amp;$A1191))</f>
        <v/>
      </c>
      <c r="G1191" s="57" t="str">
        <f aca="false">IF($E1191="","",IF($F1191&lt;=BankCostEnvelope*'5. Scenarios'!$B$7,1,0))</f>
        <v/>
      </c>
      <c r="H1191" s="57" t="str">
        <f aca="false">IF($D1191="","",INDEX(BookRate,1186)*(1+'5. Scenarios'!$B$10)*(INDEX(BookQ1,1186)*(5-MIN(4,1+'5. Scenarios'!$B$8))/4+INDEX(BookQ2,1186)*(5-MIN(4,2+'5. Scenarios'!$B$8))/4+INDEX(BookQ3,1186)*(5-MIN(4,3+'5. Scenarios'!$B$8))/4+INDEX(BookQ4,1186)*(5-MIN(4,4+'5. Scenarios'!$B$8))/4)*'5. Scenarios'!$B$6/(1+ProductivityDefault*('5. Scenarios'!$B$11-1))+INDEX(BookOneOff,1186)*$D1191)</f>
        <v/>
      </c>
      <c r="I1191" s="56" t="str">
        <f aca="false">IF(INDEX(BookTitle,1186)="","",INDEX(BookTotal,1186)*'5. Scenarios'!$C$6/(1+ProductivityDefault*('5. Scenarios'!$C$11-1)))</f>
        <v/>
      </c>
      <c r="J1191" s="57" t="str">
        <f aca="false">IF($I1191="","",INDEX(BookRate,1186)*(1+'5. Scenarios'!$C$10)*$I1191)</f>
        <v/>
      </c>
      <c r="K1191" s="57" t="str">
        <f aca="false">IF($J1191="","",SUMIFS($J$6:$J$2405,$A$6:$A$2405,"&lt;="&amp;$A1191))</f>
        <v/>
      </c>
      <c r="L1191" s="57" t="str">
        <f aca="false">IF($J1191="","",IF($K1191&lt;=BankCostEnvelope*'5. Scenarios'!$C$7,1,0))</f>
        <v/>
      </c>
      <c r="M1191" s="57" t="str">
        <f aca="false">IF($I1191="","",INDEX(BookRate,1186)*(1+'5. Scenarios'!$C$10)*(INDEX(BookQ1,1186)*(5-MIN(4,1+'5. Scenarios'!$C$8))/4+INDEX(BookQ2,1186)*(5-MIN(4,2+'5. Scenarios'!$C$8))/4+INDEX(BookQ3,1186)*(5-MIN(4,3+'5. Scenarios'!$C$8))/4+INDEX(BookQ4,1186)*(5-MIN(4,4+'5. Scenarios'!$C$8))/4)*'5. Scenarios'!$C$6/(1+ProductivityDefault*('5. Scenarios'!$C$11-1))+INDEX(BookOneOff,1186)*$I1191)</f>
        <v/>
      </c>
      <c r="N1191" s="56" t="str">
        <f aca="false">IF(INDEX(BookTitle,1186)="","",INDEX(BookTotal,1186)*'5. Scenarios'!$D$6/(1+ProductivityDefault*('5. Scenarios'!$D$11-1)))</f>
        <v/>
      </c>
      <c r="O1191" s="57" t="str">
        <f aca="false">IF($N1191="","",INDEX(BookRate,1186)*(1+'5. Scenarios'!$D$10)*$N1191)</f>
        <v/>
      </c>
      <c r="P1191" s="57" t="str">
        <f aca="false">IF($O1191="","",SUMIFS($O$6:$O$2405,$A$6:$A$2405,"&lt;="&amp;$A1191))</f>
        <v/>
      </c>
      <c r="Q1191" s="57" t="str">
        <f aca="false">IF($O1191="","",IF($P1191&lt;=BankCostEnvelope*'5. Scenarios'!$D$7,1,0))</f>
        <v/>
      </c>
      <c r="R1191" s="57" t="str">
        <f aca="false">IF($N1191="","",INDEX(BookRate,1186)*(1+'5. Scenarios'!$D$10)*(INDEX(BookQ1,1186)*(5-MIN(4,1+'5. Scenarios'!$D$8))/4+INDEX(BookQ2,1186)*(5-MIN(4,2+'5. Scenarios'!$D$8))/4+INDEX(BookQ3,1186)*(5-MIN(4,3+'5. Scenarios'!$D$8))/4+INDEX(BookQ4,1186)*(5-MIN(4,4+'5. Scenarios'!$D$8))/4)*'5. Scenarios'!$D$6/(1+ProductivityDefault*('5. Scenarios'!$D$11-1))+INDEX(BookOneOff,1186)*$N1191)</f>
        <v/>
      </c>
      <c r="S1191" s="56" t="str">
        <f aca="false">IF(INDEX(BookTitle,1186)="","",INDEX(BookTotal,1186)*'5. Scenarios'!$E$6/(1+ProductivityDefault*('5. Scenarios'!$E$11-1)))</f>
        <v/>
      </c>
      <c r="T1191" s="57" t="str">
        <f aca="false">IF($S1191="","",INDEX(BookRate,1186)*(1+'5. Scenarios'!$E$10)*$S1191)</f>
        <v/>
      </c>
      <c r="U1191" s="57" t="str">
        <f aca="false">IF($T1191="","",SUMIFS($T$6:$T$2405,$A$6:$A$2405,"&lt;="&amp;$A1191))</f>
        <v/>
      </c>
      <c r="V1191" s="57" t="str">
        <f aca="false">IF($T1191="","",IF($U1191&lt;=BankCostEnvelope*'5. Scenarios'!$E$7,1,0))</f>
        <v/>
      </c>
      <c r="W1191" s="57" t="str">
        <f aca="false">IF($S1191="","",INDEX(BookRate,1186)*(1+'5. Scenarios'!$E$10)*(INDEX(BookQ1,1186)*(5-MIN(4,1+'5. Scenarios'!$E$8))/4+INDEX(BookQ2,1186)*(5-MIN(4,2+'5. Scenarios'!$E$8))/4+INDEX(BookQ3,1186)*(5-MIN(4,3+'5. Scenarios'!$E$8))/4+INDEX(BookQ4,1186)*(5-MIN(4,4+'5. Scenarios'!$E$8))/4)*'5. Scenarios'!$E$6/(1+ProductivityDefault*('5. Scenarios'!$E$11-1))+INDEX(BookOneOff,1186)*$S1191)</f>
        <v/>
      </c>
    </row>
    <row r="1192" customFormat="false" ht="15" hidden="false" customHeight="false" outlineLevel="0" collapsed="false">
      <c r="A1192" s="0" t="str">
        <f aca="false">IF(INDEX(BookTitle,1187)="","",INDEX(BookKey,1187))</f>
        <v/>
      </c>
      <c r="B1192" s="0" t="str">
        <f aca="false">IF(INDEX(BookTitle,1187)="","",INDEX(BookGroup,1187))</f>
        <v/>
      </c>
      <c r="C1192" s="0" t="str">
        <f aca="false">IF(INDEX(BookTitle,1187)="","",INDEX(BookCategory,1187))</f>
        <v/>
      </c>
      <c r="D1192" s="56" t="str">
        <f aca="false">IF(INDEX(BookTitle,1187)="","",INDEX(BookTotal,1187)*'5. Scenarios'!$B$6/(1+ProductivityDefault*('5. Scenarios'!$B$11-1)))</f>
        <v/>
      </c>
      <c r="E1192" s="57" t="str">
        <f aca="false">IF($D1192="","",INDEX(BookRate,1187)*(1+'5. Scenarios'!$B$10)*$D1192)</f>
        <v/>
      </c>
      <c r="F1192" s="57" t="str">
        <f aca="false">IF($E1192="","",SUMIFS($E$6:$E$2405,$A$6:$A$2405,"&lt;="&amp;$A1192))</f>
        <v/>
      </c>
      <c r="G1192" s="57" t="str">
        <f aca="false">IF($E1192="","",IF($F1192&lt;=BankCostEnvelope*'5. Scenarios'!$B$7,1,0))</f>
        <v/>
      </c>
      <c r="H1192" s="57" t="str">
        <f aca="false">IF($D1192="","",INDEX(BookRate,1187)*(1+'5. Scenarios'!$B$10)*(INDEX(BookQ1,1187)*(5-MIN(4,1+'5. Scenarios'!$B$8))/4+INDEX(BookQ2,1187)*(5-MIN(4,2+'5. Scenarios'!$B$8))/4+INDEX(BookQ3,1187)*(5-MIN(4,3+'5. Scenarios'!$B$8))/4+INDEX(BookQ4,1187)*(5-MIN(4,4+'5. Scenarios'!$B$8))/4)*'5. Scenarios'!$B$6/(1+ProductivityDefault*('5. Scenarios'!$B$11-1))+INDEX(BookOneOff,1187)*$D1192)</f>
        <v/>
      </c>
      <c r="I1192" s="56" t="str">
        <f aca="false">IF(INDEX(BookTitle,1187)="","",INDEX(BookTotal,1187)*'5. Scenarios'!$C$6/(1+ProductivityDefault*('5. Scenarios'!$C$11-1)))</f>
        <v/>
      </c>
      <c r="J1192" s="57" t="str">
        <f aca="false">IF($I1192="","",INDEX(BookRate,1187)*(1+'5. Scenarios'!$C$10)*$I1192)</f>
        <v/>
      </c>
      <c r="K1192" s="57" t="str">
        <f aca="false">IF($J1192="","",SUMIFS($J$6:$J$2405,$A$6:$A$2405,"&lt;="&amp;$A1192))</f>
        <v/>
      </c>
      <c r="L1192" s="57" t="str">
        <f aca="false">IF($J1192="","",IF($K1192&lt;=BankCostEnvelope*'5. Scenarios'!$C$7,1,0))</f>
        <v/>
      </c>
      <c r="M1192" s="57" t="str">
        <f aca="false">IF($I1192="","",INDEX(BookRate,1187)*(1+'5. Scenarios'!$C$10)*(INDEX(BookQ1,1187)*(5-MIN(4,1+'5. Scenarios'!$C$8))/4+INDEX(BookQ2,1187)*(5-MIN(4,2+'5. Scenarios'!$C$8))/4+INDEX(BookQ3,1187)*(5-MIN(4,3+'5. Scenarios'!$C$8))/4+INDEX(BookQ4,1187)*(5-MIN(4,4+'5. Scenarios'!$C$8))/4)*'5. Scenarios'!$C$6/(1+ProductivityDefault*('5. Scenarios'!$C$11-1))+INDEX(BookOneOff,1187)*$I1192)</f>
        <v/>
      </c>
      <c r="N1192" s="56" t="str">
        <f aca="false">IF(INDEX(BookTitle,1187)="","",INDEX(BookTotal,1187)*'5. Scenarios'!$D$6/(1+ProductivityDefault*('5. Scenarios'!$D$11-1)))</f>
        <v/>
      </c>
      <c r="O1192" s="57" t="str">
        <f aca="false">IF($N1192="","",INDEX(BookRate,1187)*(1+'5. Scenarios'!$D$10)*$N1192)</f>
        <v/>
      </c>
      <c r="P1192" s="57" t="str">
        <f aca="false">IF($O1192="","",SUMIFS($O$6:$O$2405,$A$6:$A$2405,"&lt;="&amp;$A1192))</f>
        <v/>
      </c>
      <c r="Q1192" s="57" t="str">
        <f aca="false">IF($O1192="","",IF($P1192&lt;=BankCostEnvelope*'5. Scenarios'!$D$7,1,0))</f>
        <v/>
      </c>
      <c r="R1192" s="57" t="str">
        <f aca="false">IF($N1192="","",INDEX(BookRate,1187)*(1+'5. Scenarios'!$D$10)*(INDEX(BookQ1,1187)*(5-MIN(4,1+'5. Scenarios'!$D$8))/4+INDEX(BookQ2,1187)*(5-MIN(4,2+'5. Scenarios'!$D$8))/4+INDEX(BookQ3,1187)*(5-MIN(4,3+'5. Scenarios'!$D$8))/4+INDEX(BookQ4,1187)*(5-MIN(4,4+'5. Scenarios'!$D$8))/4)*'5. Scenarios'!$D$6/(1+ProductivityDefault*('5. Scenarios'!$D$11-1))+INDEX(BookOneOff,1187)*$N1192)</f>
        <v/>
      </c>
      <c r="S1192" s="56" t="str">
        <f aca="false">IF(INDEX(BookTitle,1187)="","",INDEX(BookTotal,1187)*'5. Scenarios'!$E$6/(1+ProductivityDefault*('5. Scenarios'!$E$11-1)))</f>
        <v/>
      </c>
      <c r="T1192" s="57" t="str">
        <f aca="false">IF($S1192="","",INDEX(BookRate,1187)*(1+'5. Scenarios'!$E$10)*$S1192)</f>
        <v/>
      </c>
      <c r="U1192" s="57" t="str">
        <f aca="false">IF($T1192="","",SUMIFS($T$6:$T$2405,$A$6:$A$2405,"&lt;="&amp;$A1192))</f>
        <v/>
      </c>
      <c r="V1192" s="57" t="str">
        <f aca="false">IF($T1192="","",IF($U1192&lt;=BankCostEnvelope*'5. Scenarios'!$E$7,1,0))</f>
        <v/>
      </c>
      <c r="W1192" s="57" t="str">
        <f aca="false">IF($S1192="","",INDEX(BookRate,1187)*(1+'5. Scenarios'!$E$10)*(INDEX(BookQ1,1187)*(5-MIN(4,1+'5. Scenarios'!$E$8))/4+INDEX(BookQ2,1187)*(5-MIN(4,2+'5. Scenarios'!$E$8))/4+INDEX(BookQ3,1187)*(5-MIN(4,3+'5. Scenarios'!$E$8))/4+INDEX(BookQ4,1187)*(5-MIN(4,4+'5. Scenarios'!$E$8))/4)*'5. Scenarios'!$E$6/(1+ProductivityDefault*('5. Scenarios'!$E$11-1))+INDEX(BookOneOff,1187)*$S1192)</f>
        <v/>
      </c>
    </row>
    <row r="1193" customFormat="false" ht="15" hidden="false" customHeight="false" outlineLevel="0" collapsed="false">
      <c r="A1193" s="0" t="str">
        <f aca="false">IF(INDEX(BookTitle,1188)="","",INDEX(BookKey,1188))</f>
        <v/>
      </c>
      <c r="B1193" s="0" t="str">
        <f aca="false">IF(INDEX(BookTitle,1188)="","",INDEX(BookGroup,1188))</f>
        <v/>
      </c>
      <c r="C1193" s="0" t="str">
        <f aca="false">IF(INDEX(BookTitle,1188)="","",INDEX(BookCategory,1188))</f>
        <v/>
      </c>
      <c r="D1193" s="56" t="str">
        <f aca="false">IF(INDEX(BookTitle,1188)="","",INDEX(BookTotal,1188)*'5. Scenarios'!$B$6/(1+ProductivityDefault*('5. Scenarios'!$B$11-1)))</f>
        <v/>
      </c>
      <c r="E1193" s="57" t="str">
        <f aca="false">IF($D1193="","",INDEX(BookRate,1188)*(1+'5. Scenarios'!$B$10)*$D1193)</f>
        <v/>
      </c>
      <c r="F1193" s="57" t="str">
        <f aca="false">IF($E1193="","",SUMIFS($E$6:$E$2405,$A$6:$A$2405,"&lt;="&amp;$A1193))</f>
        <v/>
      </c>
      <c r="G1193" s="57" t="str">
        <f aca="false">IF($E1193="","",IF($F1193&lt;=BankCostEnvelope*'5. Scenarios'!$B$7,1,0))</f>
        <v/>
      </c>
      <c r="H1193" s="57" t="str">
        <f aca="false">IF($D1193="","",INDEX(BookRate,1188)*(1+'5. Scenarios'!$B$10)*(INDEX(BookQ1,1188)*(5-MIN(4,1+'5. Scenarios'!$B$8))/4+INDEX(BookQ2,1188)*(5-MIN(4,2+'5. Scenarios'!$B$8))/4+INDEX(BookQ3,1188)*(5-MIN(4,3+'5. Scenarios'!$B$8))/4+INDEX(BookQ4,1188)*(5-MIN(4,4+'5. Scenarios'!$B$8))/4)*'5. Scenarios'!$B$6/(1+ProductivityDefault*('5. Scenarios'!$B$11-1))+INDEX(BookOneOff,1188)*$D1193)</f>
        <v/>
      </c>
      <c r="I1193" s="56" t="str">
        <f aca="false">IF(INDEX(BookTitle,1188)="","",INDEX(BookTotal,1188)*'5. Scenarios'!$C$6/(1+ProductivityDefault*('5. Scenarios'!$C$11-1)))</f>
        <v/>
      </c>
      <c r="J1193" s="57" t="str">
        <f aca="false">IF($I1193="","",INDEX(BookRate,1188)*(1+'5. Scenarios'!$C$10)*$I1193)</f>
        <v/>
      </c>
      <c r="K1193" s="57" t="str">
        <f aca="false">IF($J1193="","",SUMIFS($J$6:$J$2405,$A$6:$A$2405,"&lt;="&amp;$A1193))</f>
        <v/>
      </c>
      <c r="L1193" s="57" t="str">
        <f aca="false">IF($J1193="","",IF($K1193&lt;=BankCostEnvelope*'5. Scenarios'!$C$7,1,0))</f>
        <v/>
      </c>
      <c r="M1193" s="57" t="str">
        <f aca="false">IF($I1193="","",INDEX(BookRate,1188)*(1+'5. Scenarios'!$C$10)*(INDEX(BookQ1,1188)*(5-MIN(4,1+'5. Scenarios'!$C$8))/4+INDEX(BookQ2,1188)*(5-MIN(4,2+'5. Scenarios'!$C$8))/4+INDEX(BookQ3,1188)*(5-MIN(4,3+'5. Scenarios'!$C$8))/4+INDEX(BookQ4,1188)*(5-MIN(4,4+'5. Scenarios'!$C$8))/4)*'5. Scenarios'!$C$6/(1+ProductivityDefault*('5. Scenarios'!$C$11-1))+INDEX(BookOneOff,1188)*$I1193)</f>
        <v/>
      </c>
      <c r="N1193" s="56" t="str">
        <f aca="false">IF(INDEX(BookTitle,1188)="","",INDEX(BookTotal,1188)*'5. Scenarios'!$D$6/(1+ProductivityDefault*('5. Scenarios'!$D$11-1)))</f>
        <v/>
      </c>
      <c r="O1193" s="57" t="str">
        <f aca="false">IF($N1193="","",INDEX(BookRate,1188)*(1+'5. Scenarios'!$D$10)*$N1193)</f>
        <v/>
      </c>
      <c r="P1193" s="57" t="str">
        <f aca="false">IF($O1193="","",SUMIFS($O$6:$O$2405,$A$6:$A$2405,"&lt;="&amp;$A1193))</f>
        <v/>
      </c>
      <c r="Q1193" s="57" t="str">
        <f aca="false">IF($O1193="","",IF($P1193&lt;=BankCostEnvelope*'5. Scenarios'!$D$7,1,0))</f>
        <v/>
      </c>
      <c r="R1193" s="57" t="str">
        <f aca="false">IF($N1193="","",INDEX(BookRate,1188)*(1+'5. Scenarios'!$D$10)*(INDEX(BookQ1,1188)*(5-MIN(4,1+'5. Scenarios'!$D$8))/4+INDEX(BookQ2,1188)*(5-MIN(4,2+'5. Scenarios'!$D$8))/4+INDEX(BookQ3,1188)*(5-MIN(4,3+'5. Scenarios'!$D$8))/4+INDEX(BookQ4,1188)*(5-MIN(4,4+'5. Scenarios'!$D$8))/4)*'5. Scenarios'!$D$6/(1+ProductivityDefault*('5. Scenarios'!$D$11-1))+INDEX(BookOneOff,1188)*$N1193)</f>
        <v/>
      </c>
      <c r="S1193" s="56" t="str">
        <f aca="false">IF(INDEX(BookTitle,1188)="","",INDEX(BookTotal,1188)*'5. Scenarios'!$E$6/(1+ProductivityDefault*('5. Scenarios'!$E$11-1)))</f>
        <v/>
      </c>
      <c r="T1193" s="57" t="str">
        <f aca="false">IF($S1193="","",INDEX(BookRate,1188)*(1+'5. Scenarios'!$E$10)*$S1193)</f>
        <v/>
      </c>
      <c r="U1193" s="57" t="str">
        <f aca="false">IF($T1193="","",SUMIFS($T$6:$T$2405,$A$6:$A$2405,"&lt;="&amp;$A1193))</f>
        <v/>
      </c>
      <c r="V1193" s="57" t="str">
        <f aca="false">IF($T1193="","",IF($U1193&lt;=BankCostEnvelope*'5. Scenarios'!$E$7,1,0))</f>
        <v/>
      </c>
      <c r="W1193" s="57" t="str">
        <f aca="false">IF($S1193="","",INDEX(BookRate,1188)*(1+'5. Scenarios'!$E$10)*(INDEX(BookQ1,1188)*(5-MIN(4,1+'5. Scenarios'!$E$8))/4+INDEX(BookQ2,1188)*(5-MIN(4,2+'5. Scenarios'!$E$8))/4+INDEX(BookQ3,1188)*(5-MIN(4,3+'5. Scenarios'!$E$8))/4+INDEX(BookQ4,1188)*(5-MIN(4,4+'5. Scenarios'!$E$8))/4)*'5. Scenarios'!$E$6/(1+ProductivityDefault*('5. Scenarios'!$E$11-1))+INDEX(BookOneOff,1188)*$S1193)</f>
        <v/>
      </c>
    </row>
    <row r="1194" customFormat="false" ht="15" hidden="false" customHeight="false" outlineLevel="0" collapsed="false">
      <c r="A1194" s="0" t="str">
        <f aca="false">IF(INDEX(BookTitle,1189)="","",INDEX(BookKey,1189))</f>
        <v/>
      </c>
      <c r="B1194" s="0" t="str">
        <f aca="false">IF(INDEX(BookTitle,1189)="","",INDEX(BookGroup,1189))</f>
        <v/>
      </c>
      <c r="C1194" s="0" t="str">
        <f aca="false">IF(INDEX(BookTitle,1189)="","",INDEX(BookCategory,1189))</f>
        <v/>
      </c>
      <c r="D1194" s="56" t="str">
        <f aca="false">IF(INDEX(BookTitle,1189)="","",INDEX(BookTotal,1189)*'5. Scenarios'!$B$6/(1+ProductivityDefault*('5. Scenarios'!$B$11-1)))</f>
        <v/>
      </c>
      <c r="E1194" s="57" t="str">
        <f aca="false">IF($D1194="","",INDEX(BookRate,1189)*(1+'5. Scenarios'!$B$10)*$D1194)</f>
        <v/>
      </c>
      <c r="F1194" s="57" t="str">
        <f aca="false">IF($E1194="","",SUMIFS($E$6:$E$2405,$A$6:$A$2405,"&lt;="&amp;$A1194))</f>
        <v/>
      </c>
      <c r="G1194" s="57" t="str">
        <f aca="false">IF($E1194="","",IF($F1194&lt;=BankCostEnvelope*'5. Scenarios'!$B$7,1,0))</f>
        <v/>
      </c>
      <c r="H1194" s="57" t="str">
        <f aca="false">IF($D1194="","",INDEX(BookRate,1189)*(1+'5. Scenarios'!$B$10)*(INDEX(BookQ1,1189)*(5-MIN(4,1+'5. Scenarios'!$B$8))/4+INDEX(BookQ2,1189)*(5-MIN(4,2+'5. Scenarios'!$B$8))/4+INDEX(BookQ3,1189)*(5-MIN(4,3+'5. Scenarios'!$B$8))/4+INDEX(BookQ4,1189)*(5-MIN(4,4+'5. Scenarios'!$B$8))/4)*'5. Scenarios'!$B$6/(1+ProductivityDefault*('5. Scenarios'!$B$11-1))+INDEX(BookOneOff,1189)*$D1194)</f>
        <v/>
      </c>
      <c r="I1194" s="56" t="str">
        <f aca="false">IF(INDEX(BookTitle,1189)="","",INDEX(BookTotal,1189)*'5. Scenarios'!$C$6/(1+ProductivityDefault*('5. Scenarios'!$C$11-1)))</f>
        <v/>
      </c>
      <c r="J1194" s="57" t="str">
        <f aca="false">IF($I1194="","",INDEX(BookRate,1189)*(1+'5. Scenarios'!$C$10)*$I1194)</f>
        <v/>
      </c>
      <c r="K1194" s="57" t="str">
        <f aca="false">IF($J1194="","",SUMIFS($J$6:$J$2405,$A$6:$A$2405,"&lt;="&amp;$A1194))</f>
        <v/>
      </c>
      <c r="L1194" s="57" t="str">
        <f aca="false">IF($J1194="","",IF($K1194&lt;=BankCostEnvelope*'5. Scenarios'!$C$7,1,0))</f>
        <v/>
      </c>
      <c r="M1194" s="57" t="str">
        <f aca="false">IF($I1194="","",INDEX(BookRate,1189)*(1+'5. Scenarios'!$C$10)*(INDEX(BookQ1,1189)*(5-MIN(4,1+'5. Scenarios'!$C$8))/4+INDEX(BookQ2,1189)*(5-MIN(4,2+'5. Scenarios'!$C$8))/4+INDEX(BookQ3,1189)*(5-MIN(4,3+'5. Scenarios'!$C$8))/4+INDEX(BookQ4,1189)*(5-MIN(4,4+'5. Scenarios'!$C$8))/4)*'5. Scenarios'!$C$6/(1+ProductivityDefault*('5. Scenarios'!$C$11-1))+INDEX(BookOneOff,1189)*$I1194)</f>
        <v/>
      </c>
      <c r="N1194" s="56" t="str">
        <f aca="false">IF(INDEX(BookTitle,1189)="","",INDEX(BookTotal,1189)*'5. Scenarios'!$D$6/(1+ProductivityDefault*('5. Scenarios'!$D$11-1)))</f>
        <v/>
      </c>
      <c r="O1194" s="57" t="str">
        <f aca="false">IF($N1194="","",INDEX(BookRate,1189)*(1+'5. Scenarios'!$D$10)*$N1194)</f>
        <v/>
      </c>
      <c r="P1194" s="57" t="str">
        <f aca="false">IF($O1194="","",SUMIFS($O$6:$O$2405,$A$6:$A$2405,"&lt;="&amp;$A1194))</f>
        <v/>
      </c>
      <c r="Q1194" s="57" t="str">
        <f aca="false">IF($O1194="","",IF($P1194&lt;=BankCostEnvelope*'5. Scenarios'!$D$7,1,0))</f>
        <v/>
      </c>
      <c r="R1194" s="57" t="str">
        <f aca="false">IF($N1194="","",INDEX(BookRate,1189)*(1+'5. Scenarios'!$D$10)*(INDEX(BookQ1,1189)*(5-MIN(4,1+'5. Scenarios'!$D$8))/4+INDEX(BookQ2,1189)*(5-MIN(4,2+'5. Scenarios'!$D$8))/4+INDEX(BookQ3,1189)*(5-MIN(4,3+'5. Scenarios'!$D$8))/4+INDEX(BookQ4,1189)*(5-MIN(4,4+'5. Scenarios'!$D$8))/4)*'5. Scenarios'!$D$6/(1+ProductivityDefault*('5. Scenarios'!$D$11-1))+INDEX(BookOneOff,1189)*$N1194)</f>
        <v/>
      </c>
      <c r="S1194" s="56" t="str">
        <f aca="false">IF(INDEX(BookTitle,1189)="","",INDEX(BookTotal,1189)*'5. Scenarios'!$E$6/(1+ProductivityDefault*('5. Scenarios'!$E$11-1)))</f>
        <v/>
      </c>
      <c r="T1194" s="57" t="str">
        <f aca="false">IF($S1194="","",INDEX(BookRate,1189)*(1+'5. Scenarios'!$E$10)*$S1194)</f>
        <v/>
      </c>
      <c r="U1194" s="57" t="str">
        <f aca="false">IF($T1194="","",SUMIFS($T$6:$T$2405,$A$6:$A$2405,"&lt;="&amp;$A1194))</f>
        <v/>
      </c>
      <c r="V1194" s="57" t="str">
        <f aca="false">IF($T1194="","",IF($U1194&lt;=BankCostEnvelope*'5. Scenarios'!$E$7,1,0))</f>
        <v/>
      </c>
      <c r="W1194" s="57" t="str">
        <f aca="false">IF($S1194="","",INDEX(BookRate,1189)*(1+'5. Scenarios'!$E$10)*(INDEX(BookQ1,1189)*(5-MIN(4,1+'5. Scenarios'!$E$8))/4+INDEX(BookQ2,1189)*(5-MIN(4,2+'5. Scenarios'!$E$8))/4+INDEX(BookQ3,1189)*(5-MIN(4,3+'5. Scenarios'!$E$8))/4+INDEX(BookQ4,1189)*(5-MIN(4,4+'5. Scenarios'!$E$8))/4)*'5. Scenarios'!$E$6/(1+ProductivityDefault*('5. Scenarios'!$E$11-1))+INDEX(BookOneOff,1189)*$S1194)</f>
        <v/>
      </c>
    </row>
    <row r="1195" customFormat="false" ht="15" hidden="false" customHeight="false" outlineLevel="0" collapsed="false">
      <c r="A1195" s="0" t="str">
        <f aca="false">IF(INDEX(BookTitle,1190)="","",INDEX(BookKey,1190))</f>
        <v/>
      </c>
      <c r="B1195" s="0" t="str">
        <f aca="false">IF(INDEX(BookTitle,1190)="","",INDEX(BookGroup,1190))</f>
        <v/>
      </c>
      <c r="C1195" s="0" t="str">
        <f aca="false">IF(INDEX(BookTitle,1190)="","",INDEX(BookCategory,1190))</f>
        <v/>
      </c>
      <c r="D1195" s="56" t="str">
        <f aca="false">IF(INDEX(BookTitle,1190)="","",INDEX(BookTotal,1190)*'5. Scenarios'!$B$6/(1+ProductivityDefault*('5. Scenarios'!$B$11-1)))</f>
        <v/>
      </c>
      <c r="E1195" s="57" t="str">
        <f aca="false">IF($D1195="","",INDEX(BookRate,1190)*(1+'5. Scenarios'!$B$10)*$D1195)</f>
        <v/>
      </c>
      <c r="F1195" s="57" t="str">
        <f aca="false">IF($E1195="","",SUMIFS($E$6:$E$2405,$A$6:$A$2405,"&lt;="&amp;$A1195))</f>
        <v/>
      </c>
      <c r="G1195" s="57" t="str">
        <f aca="false">IF($E1195="","",IF($F1195&lt;=BankCostEnvelope*'5. Scenarios'!$B$7,1,0))</f>
        <v/>
      </c>
      <c r="H1195" s="57" t="str">
        <f aca="false">IF($D1195="","",INDEX(BookRate,1190)*(1+'5. Scenarios'!$B$10)*(INDEX(BookQ1,1190)*(5-MIN(4,1+'5. Scenarios'!$B$8))/4+INDEX(BookQ2,1190)*(5-MIN(4,2+'5. Scenarios'!$B$8))/4+INDEX(BookQ3,1190)*(5-MIN(4,3+'5. Scenarios'!$B$8))/4+INDEX(BookQ4,1190)*(5-MIN(4,4+'5. Scenarios'!$B$8))/4)*'5. Scenarios'!$B$6/(1+ProductivityDefault*('5. Scenarios'!$B$11-1))+INDEX(BookOneOff,1190)*$D1195)</f>
        <v/>
      </c>
      <c r="I1195" s="56" t="str">
        <f aca="false">IF(INDEX(BookTitle,1190)="","",INDEX(BookTotal,1190)*'5. Scenarios'!$C$6/(1+ProductivityDefault*('5. Scenarios'!$C$11-1)))</f>
        <v/>
      </c>
      <c r="J1195" s="57" t="str">
        <f aca="false">IF($I1195="","",INDEX(BookRate,1190)*(1+'5. Scenarios'!$C$10)*$I1195)</f>
        <v/>
      </c>
      <c r="K1195" s="57" t="str">
        <f aca="false">IF($J1195="","",SUMIFS($J$6:$J$2405,$A$6:$A$2405,"&lt;="&amp;$A1195))</f>
        <v/>
      </c>
      <c r="L1195" s="57" t="str">
        <f aca="false">IF($J1195="","",IF($K1195&lt;=BankCostEnvelope*'5. Scenarios'!$C$7,1,0))</f>
        <v/>
      </c>
      <c r="M1195" s="57" t="str">
        <f aca="false">IF($I1195="","",INDEX(BookRate,1190)*(1+'5. Scenarios'!$C$10)*(INDEX(BookQ1,1190)*(5-MIN(4,1+'5. Scenarios'!$C$8))/4+INDEX(BookQ2,1190)*(5-MIN(4,2+'5. Scenarios'!$C$8))/4+INDEX(BookQ3,1190)*(5-MIN(4,3+'5. Scenarios'!$C$8))/4+INDEX(BookQ4,1190)*(5-MIN(4,4+'5. Scenarios'!$C$8))/4)*'5. Scenarios'!$C$6/(1+ProductivityDefault*('5. Scenarios'!$C$11-1))+INDEX(BookOneOff,1190)*$I1195)</f>
        <v/>
      </c>
      <c r="N1195" s="56" t="str">
        <f aca="false">IF(INDEX(BookTitle,1190)="","",INDEX(BookTotal,1190)*'5. Scenarios'!$D$6/(1+ProductivityDefault*('5. Scenarios'!$D$11-1)))</f>
        <v/>
      </c>
      <c r="O1195" s="57" t="str">
        <f aca="false">IF($N1195="","",INDEX(BookRate,1190)*(1+'5. Scenarios'!$D$10)*$N1195)</f>
        <v/>
      </c>
      <c r="P1195" s="57" t="str">
        <f aca="false">IF($O1195="","",SUMIFS($O$6:$O$2405,$A$6:$A$2405,"&lt;="&amp;$A1195))</f>
        <v/>
      </c>
      <c r="Q1195" s="57" t="str">
        <f aca="false">IF($O1195="","",IF($P1195&lt;=BankCostEnvelope*'5. Scenarios'!$D$7,1,0))</f>
        <v/>
      </c>
      <c r="R1195" s="57" t="str">
        <f aca="false">IF($N1195="","",INDEX(BookRate,1190)*(1+'5. Scenarios'!$D$10)*(INDEX(BookQ1,1190)*(5-MIN(4,1+'5. Scenarios'!$D$8))/4+INDEX(BookQ2,1190)*(5-MIN(4,2+'5. Scenarios'!$D$8))/4+INDEX(BookQ3,1190)*(5-MIN(4,3+'5. Scenarios'!$D$8))/4+INDEX(BookQ4,1190)*(5-MIN(4,4+'5. Scenarios'!$D$8))/4)*'5. Scenarios'!$D$6/(1+ProductivityDefault*('5. Scenarios'!$D$11-1))+INDEX(BookOneOff,1190)*$N1195)</f>
        <v/>
      </c>
      <c r="S1195" s="56" t="str">
        <f aca="false">IF(INDEX(BookTitle,1190)="","",INDEX(BookTotal,1190)*'5. Scenarios'!$E$6/(1+ProductivityDefault*('5. Scenarios'!$E$11-1)))</f>
        <v/>
      </c>
      <c r="T1195" s="57" t="str">
        <f aca="false">IF($S1195="","",INDEX(BookRate,1190)*(1+'5. Scenarios'!$E$10)*$S1195)</f>
        <v/>
      </c>
      <c r="U1195" s="57" t="str">
        <f aca="false">IF($T1195="","",SUMIFS($T$6:$T$2405,$A$6:$A$2405,"&lt;="&amp;$A1195))</f>
        <v/>
      </c>
      <c r="V1195" s="57" t="str">
        <f aca="false">IF($T1195="","",IF($U1195&lt;=BankCostEnvelope*'5. Scenarios'!$E$7,1,0))</f>
        <v/>
      </c>
      <c r="W1195" s="57" t="str">
        <f aca="false">IF($S1195="","",INDEX(BookRate,1190)*(1+'5. Scenarios'!$E$10)*(INDEX(BookQ1,1190)*(5-MIN(4,1+'5. Scenarios'!$E$8))/4+INDEX(BookQ2,1190)*(5-MIN(4,2+'5. Scenarios'!$E$8))/4+INDEX(BookQ3,1190)*(5-MIN(4,3+'5. Scenarios'!$E$8))/4+INDEX(BookQ4,1190)*(5-MIN(4,4+'5. Scenarios'!$E$8))/4)*'5. Scenarios'!$E$6/(1+ProductivityDefault*('5. Scenarios'!$E$11-1))+INDEX(BookOneOff,1190)*$S1195)</f>
        <v/>
      </c>
    </row>
    <row r="1196" customFormat="false" ht="15" hidden="false" customHeight="false" outlineLevel="0" collapsed="false">
      <c r="A1196" s="0" t="str">
        <f aca="false">IF(INDEX(BookTitle,1191)="","",INDEX(BookKey,1191))</f>
        <v/>
      </c>
      <c r="B1196" s="0" t="str">
        <f aca="false">IF(INDEX(BookTitle,1191)="","",INDEX(BookGroup,1191))</f>
        <v/>
      </c>
      <c r="C1196" s="0" t="str">
        <f aca="false">IF(INDEX(BookTitle,1191)="","",INDEX(BookCategory,1191))</f>
        <v/>
      </c>
      <c r="D1196" s="56" t="str">
        <f aca="false">IF(INDEX(BookTitle,1191)="","",INDEX(BookTotal,1191)*'5. Scenarios'!$B$6/(1+ProductivityDefault*('5. Scenarios'!$B$11-1)))</f>
        <v/>
      </c>
      <c r="E1196" s="57" t="str">
        <f aca="false">IF($D1196="","",INDEX(BookRate,1191)*(1+'5. Scenarios'!$B$10)*$D1196)</f>
        <v/>
      </c>
      <c r="F1196" s="57" t="str">
        <f aca="false">IF($E1196="","",SUMIFS($E$6:$E$2405,$A$6:$A$2405,"&lt;="&amp;$A1196))</f>
        <v/>
      </c>
      <c r="G1196" s="57" t="str">
        <f aca="false">IF($E1196="","",IF($F1196&lt;=BankCostEnvelope*'5. Scenarios'!$B$7,1,0))</f>
        <v/>
      </c>
      <c r="H1196" s="57" t="str">
        <f aca="false">IF($D1196="","",INDEX(BookRate,1191)*(1+'5. Scenarios'!$B$10)*(INDEX(BookQ1,1191)*(5-MIN(4,1+'5. Scenarios'!$B$8))/4+INDEX(BookQ2,1191)*(5-MIN(4,2+'5. Scenarios'!$B$8))/4+INDEX(BookQ3,1191)*(5-MIN(4,3+'5. Scenarios'!$B$8))/4+INDEX(BookQ4,1191)*(5-MIN(4,4+'5. Scenarios'!$B$8))/4)*'5. Scenarios'!$B$6/(1+ProductivityDefault*('5. Scenarios'!$B$11-1))+INDEX(BookOneOff,1191)*$D1196)</f>
        <v/>
      </c>
      <c r="I1196" s="56" t="str">
        <f aca="false">IF(INDEX(BookTitle,1191)="","",INDEX(BookTotal,1191)*'5. Scenarios'!$C$6/(1+ProductivityDefault*('5. Scenarios'!$C$11-1)))</f>
        <v/>
      </c>
      <c r="J1196" s="57" t="str">
        <f aca="false">IF($I1196="","",INDEX(BookRate,1191)*(1+'5. Scenarios'!$C$10)*$I1196)</f>
        <v/>
      </c>
      <c r="K1196" s="57" t="str">
        <f aca="false">IF($J1196="","",SUMIFS($J$6:$J$2405,$A$6:$A$2405,"&lt;="&amp;$A1196))</f>
        <v/>
      </c>
      <c r="L1196" s="57" t="str">
        <f aca="false">IF($J1196="","",IF($K1196&lt;=BankCostEnvelope*'5. Scenarios'!$C$7,1,0))</f>
        <v/>
      </c>
      <c r="M1196" s="57" t="str">
        <f aca="false">IF($I1196="","",INDEX(BookRate,1191)*(1+'5. Scenarios'!$C$10)*(INDEX(BookQ1,1191)*(5-MIN(4,1+'5. Scenarios'!$C$8))/4+INDEX(BookQ2,1191)*(5-MIN(4,2+'5. Scenarios'!$C$8))/4+INDEX(BookQ3,1191)*(5-MIN(4,3+'5. Scenarios'!$C$8))/4+INDEX(BookQ4,1191)*(5-MIN(4,4+'5. Scenarios'!$C$8))/4)*'5. Scenarios'!$C$6/(1+ProductivityDefault*('5. Scenarios'!$C$11-1))+INDEX(BookOneOff,1191)*$I1196)</f>
        <v/>
      </c>
      <c r="N1196" s="56" t="str">
        <f aca="false">IF(INDEX(BookTitle,1191)="","",INDEX(BookTotal,1191)*'5. Scenarios'!$D$6/(1+ProductivityDefault*('5. Scenarios'!$D$11-1)))</f>
        <v/>
      </c>
      <c r="O1196" s="57" t="str">
        <f aca="false">IF($N1196="","",INDEX(BookRate,1191)*(1+'5. Scenarios'!$D$10)*$N1196)</f>
        <v/>
      </c>
      <c r="P1196" s="57" t="str">
        <f aca="false">IF($O1196="","",SUMIFS($O$6:$O$2405,$A$6:$A$2405,"&lt;="&amp;$A1196))</f>
        <v/>
      </c>
      <c r="Q1196" s="57" t="str">
        <f aca="false">IF($O1196="","",IF($P1196&lt;=BankCostEnvelope*'5. Scenarios'!$D$7,1,0))</f>
        <v/>
      </c>
      <c r="R1196" s="57" t="str">
        <f aca="false">IF($N1196="","",INDEX(BookRate,1191)*(1+'5. Scenarios'!$D$10)*(INDEX(BookQ1,1191)*(5-MIN(4,1+'5. Scenarios'!$D$8))/4+INDEX(BookQ2,1191)*(5-MIN(4,2+'5. Scenarios'!$D$8))/4+INDEX(BookQ3,1191)*(5-MIN(4,3+'5. Scenarios'!$D$8))/4+INDEX(BookQ4,1191)*(5-MIN(4,4+'5. Scenarios'!$D$8))/4)*'5. Scenarios'!$D$6/(1+ProductivityDefault*('5. Scenarios'!$D$11-1))+INDEX(BookOneOff,1191)*$N1196)</f>
        <v/>
      </c>
      <c r="S1196" s="56" t="str">
        <f aca="false">IF(INDEX(BookTitle,1191)="","",INDEX(BookTotal,1191)*'5. Scenarios'!$E$6/(1+ProductivityDefault*('5. Scenarios'!$E$11-1)))</f>
        <v/>
      </c>
      <c r="T1196" s="57" t="str">
        <f aca="false">IF($S1196="","",INDEX(BookRate,1191)*(1+'5. Scenarios'!$E$10)*$S1196)</f>
        <v/>
      </c>
      <c r="U1196" s="57" t="str">
        <f aca="false">IF($T1196="","",SUMIFS($T$6:$T$2405,$A$6:$A$2405,"&lt;="&amp;$A1196))</f>
        <v/>
      </c>
      <c r="V1196" s="57" t="str">
        <f aca="false">IF($T1196="","",IF($U1196&lt;=BankCostEnvelope*'5. Scenarios'!$E$7,1,0))</f>
        <v/>
      </c>
      <c r="W1196" s="57" t="str">
        <f aca="false">IF($S1196="","",INDEX(BookRate,1191)*(1+'5. Scenarios'!$E$10)*(INDEX(BookQ1,1191)*(5-MIN(4,1+'5. Scenarios'!$E$8))/4+INDEX(BookQ2,1191)*(5-MIN(4,2+'5. Scenarios'!$E$8))/4+INDEX(BookQ3,1191)*(5-MIN(4,3+'5. Scenarios'!$E$8))/4+INDEX(BookQ4,1191)*(5-MIN(4,4+'5. Scenarios'!$E$8))/4)*'5. Scenarios'!$E$6/(1+ProductivityDefault*('5. Scenarios'!$E$11-1))+INDEX(BookOneOff,1191)*$S1196)</f>
        <v/>
      </c>
    </row>
    <row r="1197" customFormat="false" ht="15" hidden="false" customHeight="false" outlineLevel="0" collapsed="false">
      <c r="A1197" s="0" t="str">
        <f aca="false">IF(INDEX(BookTitle,1192)="","",INDEX(BookKey,1192))</f>
        <v/>
      </c>
      <c r="B1197" s="0" t="str">
        <f aca="false">IF(INDEX(BookTitle,1192)="","",INDEX(BookGroup,1192))</f>
        <v/>
      </c>
      <c r="C1197" s="0" t="str">
        <f aca="false">IF(INDEX(BookTitle,1192)="","",INDEX(BookCategory,1192))</f>
        <v/>
      </c>
      <c r="D1197" s="56" t="str">
        <f aca="false">IF(INDEX(BookTitle,1192)="","",INDEX(BookTotal,1192)*'5. Scenarios'!$B$6/(1+ProductivityDefault*('5. Scenarios'!$B$11-1)))</f>
        <v/>
      </c>
      <c r="E1197" s="57" t="str">
        <f aca="false">IF($D1197="","",INDEX(BookRate,1192)*(1+'5. Scenarios'!$B$10)*$D1197)</f>
        <v/>
      </c>
      <c r="F1197" s="57" t="str">
        <f aca="false">IF($E1197="","",SUMIFS($E$6:$E$2405,$A$6:$A$2405,"&lt;="&amp;$A1197))</f>
        <v/>
      </c>
      <c r="G1197" s="57" t="str">
        <f aca="false">IF($E1197="","",IF($F1197&lt;=BankCostEnvelope*'5. Scenarios'!$B$7,1,0))</f>
        <v/>
      </c>
      <c r="H1197" s="57" t="str">
        <f aca="false">IF($D1197="","",INDEX(BookRate,1192)*(1+'5. Scenarios'!$B$10)*(INDEX(BookQ1,1192)*(5-MIN(4,1+'5. Scenarios'!$B$8))/4+INDEX(BookQ2,1192)*(5-MIN(4,2+'5. Scenarios'!$B$8))/4+INDEX(BookQ3,1192)*(5-MIN(4,3+'5. Scenarios'!$B$8))/4+INDEX(BookQ4,1192)*(5-MIN(4,4+'5. Scenarios'!$B$8))/4)*'5. Scenarios'!$B$6/(1+ProductivityDefault*('5. Scenarios'!$B$11-1))+INDEX(BookOneOff,1192)*$D1197)</f>
        <v/>
      </c>
      <c r="I1197" s="56" t="str">
        <f aca="false">IF(INDEX(BookTitle,1192)="","",INDEX(BookTotal,1192)*'5. Scenarios'!$C$6/(1+ProductivityDefault*('5. Scenarios'!$C$11-1)))</f>
        <v/>
      </c>
      <c r="J1197" s="57" t="str">
        <f aca="false">IF($I1197="","",INDEX(BookRate,1192)*(1+'5. Scenarios'!$C$10)*$I1197)</f>
        <v/>
      </c>
      <c r="K1197" s="57" t="str">
        <f aca="false">IF($J1197="","",SUMIFS($J$6:$J$2405,$A$6:$A$2405,"&lt;="&amp;$A1197))</f>
        <v/>
      </c>
      <c r="L1197" s="57" t="str">
        <f aca="false">IF($J1197="","",IF($K1197&lt;=BankCostEnvelope*'5. Scenarios'!$C$7,1,0))</f>
        <v/>
      </c>
      <c r="M1197" s="57" t="str">
        <f aca="false">IF($I1197="","",INDEX(BookRate,1192)*(1+'5. Scenarios'!$C$10)*(INDEX(BookQ1,1192)*(5-MIN(4,1+'5. Scenarios'!$C$8))/4+INDEX(BookQ2,1192)*(5-MIN(4,2+'5. Scenarios'!$C$8))/4+INDEX(BookQ3,1192)*(5-MIN(4,3+'5. Scenarios'!$C$8))/4+INDEX(BookQ4,1192)*(5-MIN(4,4+'5. Scenarios'!$C$8))/4)*'5. Scenarios'!$C$6/(1+ProductivityDefault*('5. Scenarios'!$C$11-1))+INDEX(BookOneOff,1192)*$I1197)</f>
        <v/>
      </c>
      <c r="N1197" s="56" t="str">
        <f aca="false">IF(INDEX(BookTitle,1192)="","",INDEX(BookTotal,1192)*'5. Scenarios'!$D$6/(1+ProductivityDefault*('5. Scenarios'!$D$11-1)))</f>
        <v/>
      </c>
      <c r="O1197" s="57" t="str">
        <f aca="false">IF($N1197="","",INDEX(BookRate,1192)*(1+'5. Scenarios'!$D$10)*$N1197)</f>
        <v/>
      </c>
      <c r="P1197" s="57" t="str">
        <f aca="false">IF($O1197="","",SUMIFS($O$6:$O$2405,$A$6:$A$2405,"&lt;="&amp;$A1197))</f>
        <v/>
      </c>
      <c r="Q1197" s="57" t="str">
        <f aca="false">IF($O1197="","",IF($P1197&lt;=BankCostEnvelope*'5. Scenarios'!$D$7,1,0))</f>
        <v/>
      </c>
      <c r="R1197" s="57" t="str">
        <f aca="false">IF($N1197="","",INDEX(BookRate,1192)*(1+'5. Scenarios'!$D$10)*(INDEX(BookQ1,1192)*(5-MIN(4,1+'5. Scenarios'!$D$8))/4+INDEX(BookQ2,1192)*(5-MIN(4,2+'5. Scenarios'!$D$8))/4+INDEX(BookQ3,1192)*(5-MIN(4,3+'5. Scenarios'!$D$8))/4+INDEX(BookQ4,1192)*(5-MIN(4,4+'5. Scenarios'!$D$8))/4)*'5. Scenarios'!$D$6/(1+ProductivityDefault*('5. Scenarios'!$D$11-1))+INDEX(BookOneOff,1192)*$N1197)</f>
        <v/>
      </c>
      <c r="S1197" s="56" t="str">
        <f aca="false">IF(INDEX(BookTitle,1192)="","",INDEX(BookTotal,1192)*'5. Scenarios'!$E$6/(1+ProductivityDefault*('5. Scenarios'!$E$11-1)))</f>
        <v/>
      </c>
      <c r="T1197" s="57" t="str">
        <f aca="false">IF($S1197="","",INDEX(BookRate,1192)*(1+'5. Scenarios'!$E$10)*$S1197)</f>
        <v/>
      </c>
      <c r="U1197" s="57" t="str">
        <f aca="false">IF($T1197="","",SUMIFS($T$6:$T$2405,$A$6:$A$2405,"&lt;="&amp;$A1197))</f>
        <v/>
      </c>
      <c r="V1197" s="57" t="str">
        <f aca="false">IF($T1197="","",IF($U1197&lt;=BankCostEnvelope*'5. Scenarios'!$E$7,1,0))</f>
        <v/>
      </c>
      <c r="W1197" s="57" t="str">
        <f aca="false">IF($S1197="","",INDEX(BookRate,1192)*(1+'5. Scenarios'!$E$10)*(INDEX(BookQ1,1192)*(5-MIN(4,1+'5. Scenarios'!$E$8))/4+INDEX(BookQ2,1192)*(5-MIN(4,2+'5. Scenarios'!$E$8))/4+INDEX(BookQ3,1192)*(5-MIN(4,3+'5. Scenarios'!$E$8))/4+INDEX(BookQ4,1192)*(5-MIN(4,4+'5. Scenarios'!$E$8))/4)*'5. Scenarios'!$E$6/(1+ProductivityDefault*('5. Scenarios'!$E$11-1))+INDEX(BookOneOff,1192)*$S1197)</f>
        <v/>
      </c>
    </row>
    <row r="1198" customFormat="false" ht="15" hidden="false" customHeight="false" outlineLevel="0" collapsed="false">
      <c r="A1198" s="0" t="str">
        <f aca="false">IF(INDEX(BookTitle,1193)="","",INDEX(BookKey,1193))</f>
        <v/>
      </c>
      <c r="B1198" s="0" t="str">
        <f aca="false">IF(INDEX(BookTitle,1193)="","",INDEX(BookGroup,1193))</f>
        <v/>
      </c>
      <c r="C1198" s="0" t="str">
        <f aca="false">IF(INDEX(BookTitle,1193)="","",INDEX(BookCategory,1193))</f>
        <v/>
      </c>
      <c r="D1198" s="56" t="str">
        <f aca="false">IF(INDEX(BookTitle,1193)="","",INDEX(BookTotal,1193)*'5. Scenarios'!$B$6/(1+ProductivityDefault*('5. Scenarios'!$B$11-1)))</f>
        <v/>
      </c>
      <c r="E1198" s="57" t="str">
        <f aca="false">IF($D1198="","",INDEX(BookRate,1193)*(1+'5. Scenarios'!$B$10)*$D1198)</f>
        <v/>
      </c>
      <c r="F1198" s="57" t="str">
        <f aca="false">IF($E1198="","",SUMIFS($E$6:$E$2405,$A$6:$A$2405,"&lt;="&amp;$A1198))</f>
        <v/>
      </c>
      <c r="G1198" s="57" t="str">
        <f aca="false">IF($E1198="","",IF($F1198&lt;=BankCostEnvelope*'5. Scenarios'!$B$7,1,0))</f>
        <v/>
      </c>
      <c r="H1198" s="57" t="str">
        <f aca="false">IF($D1198="","",INDEX(BookRate,1193)*(1+'5. Scenarios'!$B$10)*(INDEX(BookQ1,1193)*(5-MIN(4,1+'5. Scenarios'!$B$8))/4+INDEX(BookQ2,1193)*(5-MIN(4,2+'5. Scenarios'!$B$8))/4+INDEX(BookQ3,1193)*(5-MIN(4,3+'5. Scenarios'!$B$8))/4+INDEX(BookQ4,1193)*(5-MIN(4,4+'5. Scenarios'!$B$8))/4)*'5. Scenarios'!$B$6/(1+ProductivityDefault*('5. Scenarios'!$B$11-1))+INDEX(BookOneOff,1193)*$D1198)</f>
        <v/>
      </c>
      <c r="I1198" s="56" t="str">
        <f aca="false">IF(INDEX(BookTitle,1193)="","",INDEX(BookTotal,1193)*'5. Scenarios'!$C$6/(1+ProductivityDefault*('5. Scenarios'!$C$11-1)))</f>
        <v/>
      </c>
      <c r="J1198" s="57" t="str">
        <f aca="false">IF($I1198="","",INDEX(BookRate,1193)*(1+'5. Scenarios'!$C$10)*$I1198)</f>
        <v/>
      </c>
      <c r="K1198" s="57" t="str">
        <f aca="false">IF($J1198="","",SUMIFS($J$6:$J$2405,$A$6:$A$2405,"&lt;="&amp;$A1198))</f>
        <v/>
      </c>
      <c r="L1198" s="57" t="str">
        <f aca="false">IF($J1198="","",IF($K1198&lt;=BankCostEnvelope*'5. Scenarios'!$C$7,1,0))</f>
        <v/>
      </c>
      <c r="M1198" s="57" t="str">
        <f aca="false">IF($I1198="","",INDEX(BookRate,1193)*(1+'5. Scenarios'!$C$10)*(INDEX(BookQ1,1193)*(5-MIN(4,1+'5. Scenarios'!$C$8))/4+INDEX(BookQ2,1193)*(5-MIN(4,2+'5. Scenarios'!$C$8))/4+INDEX(BookQ3,1193)*(5-MIN(4,3+'5. Scenarios'!$C$8))/4+INDEX(BookQ4,1193)*(5-MIN(4,4+'5. Scenarios'!$C$8))/4)*'5. Scenarios'!$C$6/(1+ProductivityDefault*('5. Scenarios'!$C$11-1))+INDEX(BookOneOff,1193)*$I1198)</f>
        <v/>
      </c>
      <c r="N1198" s="56" t="str">
        <f aca="false">IF(INDEX(BookTitle,1193)="","",INDEX(BookTotal,1193)*'5. Scenarios'!$D$6/(1+ProductivityDefault*('5. Scenarios'!$D$11-1)))</f>
        <v/>
      </c>
      <c r="O1198" s="57" t="str">
        <f aca="false">IF($N1198="","",INDEX(BookRate,1193)*(1+'5. Scenarios'!$D$10)*$N1198)</f>
        <v/>
      </c>
      <c r="P1198" s="57" t="str">
        <f aca="false">IF($O1198="","",SUMIFS($O$6:$O$2405,$A$6:$A$2405,"&lt;="&amp;$A1198))</f>
        <v/>
      </c>
      <c r="Q1198" s="57" t="str">
        <f aca="false">IF($O1198="","",IF($P1198&lt;=BankCostEnvelope*'5. Scenarios'!$D$7,1,0))</f>
        <v/>
      </c>
      <c r="R1198" s="57" t="str">
        <f aca="false">IF($N1198="","",INDEX(BookRate,1193)*(1+'5. Scenarios'!$D$10)*(INDEX(BookQ1,1193)*(5-MIN(4,1+'5. Scenarios'!$D$8))/4+INDEX(BookQ2,1193)*(5-MIN(4,2+'5. Scenarios'!$D$8))/4+INDEX(BookQ3,1193)*(5-MIN(4,3+'5. Scenarios'!$D$8))/4+INDEX(BookQ4,1193)*(5-MIN(4,4+'5. Scenarios'!$D$8))/4)*'5. Scenarios'!$D$6/(1+ProductivityDefault*('5. Scenarios'!$D$11-1))+INDEX(BookOneOff,1193)*$N1198)</f>
        <v/>
      </c>
      <c r="S1198" s="56" t="str">
        <f aca="false">IF(INDEX(BookTitle,1193)="","",INDEX(BookTotal,1193)*'5. Scenarios'!$E$6/(1+ProductivityDefault*('5. Scenarios'!$E$11-1)))</f>
        <v/>
      </c>
      <c r="T1198" s="57" t="str">
        <f aca="false">IF($S1198="","",INDEX(BookRate,1193)*(1+'5. Scenarios'!$E$10)*$S1198)</f>
        <v/>
      </c>
      <c r="U1198" s="57" t="str">
        <f aca="false">IF($T1198="","",SUMIFS($T$6:$T$2405,$A$6:$A$2405,"&lt;="&amp;$A1198))</f>
        <v/>
      </c>
      <c r="V1198" s="57" t="str">
        <f aca="false">IF($T1198="","",IF($U1198&lt;=BankCostEnvelope*'5. Scenarios'!$E$7,1,0))</f>
        <v/>
      </c>
      <c r="W1198" s="57" t="str">
        <f aca="false">IF($S1198="","",INDEX(BookRate,1193)*(1+'5. Scenarios'!$E$10)*(INDEX(BookQ1,1193)*(5-MIN(4,1+'5. Scenarios'!$E$8))/4+INDEX(BookQ2,1193)*(5-MIN(4,2+'5. Scenarios'!$E$8))/4+INDEX(BookQ3,1193)*(5-MIN(4,3+'5. Scenarios'!$E$8))/4+INDEX(BookQ4,1193)*(5-MIN(4,4+'5. Scenarios'!$E$8))/4)*'5. Scenarios'!$E$6/(1+ProductivityDefault*('5. Scenarios'!$E$11-1))+INDEX(BookOneOff,1193)*$S1198)</f>
        <v/>
      </c>
    </row>
    <row r="1199" customFormat="false" ht="15" hidden="false" customHeight="false" outlineLevel="0" collapsed="false">
      <c r="A1199" s="0" t="str">
        <f aca="false">IF(INDEX(BookTitle,1194)="","",INDEX(BookKey,1194))</f>
        <v/>
      </c>
      <c r="B1199" s="0" t="str">
        <f aca="false">IF(INDEX(BookTitle,1194)="","",INDEX(BookGroup,1194))</f>
        <v/>
      </c>
      <c r="C1199" s="0" t="str">
        <f aca="false">IF(INDEX(BookTitle,1194)="","",INDEX(BookCategory,1194))</f>
        <v/>
      </c>
      <c r="D1199" s="56" t="str">
        <f aca="false">IF(INDEX(BookTitle,1194)="","",INDEX(BookTotal,1194)*'5. Scenarios'!$B$6/(1+ProductivityDefault*('5. Scenarios'!$B$11-1)))</f>
        <v/>
      </c>
      <c r="E1199" s="57" t="str">
        <f aca="false">IF($D1199="","",INDEX(BookRate,1194)*(1+'5. Scenarios'!$B$10)*$D1199)</f>
        <v/>
      </c>
      <c r="F1199" s="57" t="str">
        <f aca="false">IF($E1199="","",SUMIFS($E$6:$E$2405,$A$6:$A$2405,"&lt;="&amp;$A1199))</f>
        <v/>
      </c>
      <c r="G1199" s="57" t="str">
        <f aca="false">IF($E1199="","",IF($F1199&lt;=BankCostEnvelope*'5. Scenarios'!$B$7,1,0))</f>
        <v/>
      </c>
      <c r="H1199" s="57" t="str">
        <f aca="false">IF($D1199="","",INDEX(BookRate,1194)*(1+'5. Scenarios'!$B$10)*(INDEX(BookQ1,1194)*(5-MIN(4,1+'5. Scenarios'!$B$8))/4+INDEX(BookQ2,1194)*(5-MIN(4,2+'5. Scenarios'!$B$8))/4+INDEX(BookQ3,1194)*(5-MIN(4,3+'5. Scenarios'!$B$8))/4+INDEX(BookQ4,1194)*(5-MIN(4,4+'5. Scenarios'!$B$8))/4)*'5. Scenarios'!$B$6/(1+ProductivityDefault*('5. Scenarios'!$B$11-1))+INDEX(BookOneOff,1194)*$D1199)</f>
        <v/>
      </c>
      <c r="I1199" s="56" t="str">
        <f aca="false">IF(INDEX(BookTitle,1194)="","",INDEX(BookTotal,1194)*'5. Scenarios'!$C$6/(1+ProductivityDefault*('5. Scenarios'!$C$11-1)))</f>
        <v/>
      </c>
      <c r="J1199" s="57" t="str">
        <f aca="false">IF($I1199="","",INDEX(BookRate,1194)*(1+'5. Scenarios'!$C$10)*$I1199)</f>
        <v/>
      </c>
      <c r="K1199" s="57" t="str">
        <f aca="false">IF($J1199="","",SUMIFS($J$6:$J$2405,$A$6:$A$2405,"&lt;="&amp;$A1199))</f>
        <v/>
      </c>
      <c r="L1199" s="57" t="str">
        <f aca="false">IF($J1199="","",IF($K1199&lt;=BankCostEnvelope*'5. Scenarios'!$C$7,1,0))</f>
        <v/>
      </c>
      <c r="M1199" s="57" t="str">
        <f aca="false">IF($I1199="","",INDEX(BookRate,1194)*(1+'5. Scenarios'!$C$10)*(INDEX(BookQ1,1194)*(5-MIN(4,1+'5. Scenarios'!$C$8))/4+INDEX(BookQ2,1194)*(5-MIN(4,2+'5. Scenarios'!$C$8))/4+INDEX(BookQ3,1194)*(5-MIN(4,3+'5. Scenarios'!$C$8))/4+INDEX(BookQ4,1194)*(5-MIN(4,4+'5. Scenarios'!$C$8))/4)*'5. Scenarios'!$C$6/(1+ProductivityDefault*('5. Scenarios'!$C$11-1))+INDEX(BookOneOff,1194)*$I1199)</f>
        <v/>
      </c>
      <c r="N1199" s="56" t="str">
        <f aca="false">IF(INDEX(BookTitle,1194)="","",INDEX(BookTotal,1194)*'5. Scenarios'!$D$6/(1+ProductivityDefault*('5. Scenarios'!$D$11-1)))</f>
        <v/>
      </c>
      <c r="O1199" s="57" t="str">
        <f aca="false">IF($N1199="","",INDEX(BookRate,1194)*(1+'5. Scenarios'!$D$10)*$N1199)</f>
        <v/>
      </c>
      <c r="P1199" s="57" t="str">
        <f aca="false">IF($O1199="","",SUMIFS($O$6:$O$2405,$A$6:$A$2405,"&lt;="&amp;$A1199))</f>
        <v/>
      </c>
      <c r="Q1199" s="57" t="str">
        <f aca="false">IF($O1199="","",IF($P1199&lt;=BankCostEnvelope*'5. Scenarios'!$D$7,1,0))</f>
        <v/>
      </c>
      <c r="R1199" s="57" t="str">
        <f aca="false">IF($N1199="","",INDEX(BookRate,1194)*(1+'5. Scenarios'!$D$10)*(INDEX(BookQ1,1194)*(5-MIN(4,1+'5. Scenarios'!$D$8))/4+INDEX(BookQ2,1194)*(5-MIN(4,2+'5. Scenarios'!$D$8))/4+INDEX(BookQ3,1194)*(5-MIN(4,3+'5. Scenarios'!$D$8))/4+INDEX(BookQ4,1194)*(5-MIN(4,4+'5. Scenarios'!$D$8))/4)*'5. Scenarios'!$D$6/(1+ProductivityDefault*('5. Scenarios'!$D$11-1))+INDEX(BookOneOff,1194)*$N1199)</f>
        <v/>
      </c>
      <c r="S1199" s="56" t="str">
        <f aca="false">IF(INDEX(BookTitle,1194)="","",INDEX(BookTotal,1194)*'5. Scenarios'!$E$6/(1+ProductivityDefault*('5. Scenarios'!$E$11-1)))</f>
        <v/>
      </c>
      <c r="T1199" s="57" t="str">
        <f aca="false">IF($S1199="","",INDEX(BookRate,1194)*(1+'5. Scenarios'!$E$10)*$S1199)</f>
        <v/>
      </c>
      <c r="U1199" s="57" t="str">
        <f aca="false">IF($T1199="","",SUMIFS($T$6:$T$2405,$A$6:$A$2405,"&lt;="&amp;$A1199))</f>
        <v/>
      </c>
      <c r="V1199" s="57" t="str">
        <f aca="false">IF($T1199="","",IF($U1199&lt;=BankCostEnvelope*'5. Scenarios'!$E$7,1,0))</f>
        <v/>
      </c>
      <c r="W1199" s="57" t="str">
        <f aca="false">IF($S1199="","",INDEX(BookRate,1194)*(1+'5. Scenarios'!$E$10)*(INDEX(BookQ1,1194)*(5-MIN(4,1+'5. Scenarios'!$E$8))/4+INDEX(BookQ2,1194)*(5-MIN(4,2+'5. Scenarios'!$E$8))/4+INDEX(BookQ3,1194)*(5-MIN(4,3+'5. Scenarios'!$E$8))/4+INDEX(BookQ4,1194)*(5-MIN(4,4+'5. Scenarios'!$E$8))/4)*'5. Scenarios'!$E$6/(1+ProductivityDefault*('5. Scenarios'!$E$11-1))+INDEX(BookOneOff,1194)*$S1199)</f>
        <v/>
      </c>
    </row>
    <row r="1200" customFormat="false" ht="15" hidden="false" customHeight="false" outlineLevel="0" collapsed="false">
      <c r="A1200" s="0" t="str">
        <f aca="false">IF(INDEX(BookTitle,1195)="","",INDEX(BookKey,1195))</f>
        <v/>
      </c>
      <c r="B1200" s="0" t="str">
        <f aca="false">IF(INDEX(BookTitle,1195)="","",INDEX(BookGroup,1195))</f>
        <v/>
      </c>
      <c r="C1200" s="0" t="str">
        <f aca="false">IF(INDEX(BookTitle,1195)="","",INDEX(BookCategory,1195))</f>
        <v/>
      </c>
      <c r="D1200" s="56" t="str">
        <f aca="false">IF(INDEX(BookTitle,1195)="","",INDEX(BookTotal,1195)*'5. Scenarios'!$B$6/(1+ProductivityDefault*('5. Scenarios'!$B$11-1)))</f>
        <v/>
      </c>
      <c r="E1200" s="57" t="str">
        <f aca="false">IF($D1200="","",INDEX(BookRate,1195)*(1+'5. Scenarios'!$B$10)*$D1200)</f>
        <v/>
      </c>
      <c r="F1200" s="57" t="str">
        <f aca="false">IF($E1200="","",SUMIFS($E$6:$E$2405,$A$6:$A$2405,"&lt;="&amp;$A1200))</f>
        <v/>
      </c>
      <c r="G1200" s="57" t="str">
        <f aca="false">IF($E1200="","",IF($F1200&lt;=BankCostEnvelope*'5. Scenarios'!$B$7,1,0))</f>
        <v/>
      </c>
      <c r="H1200" s="57" t="str">
        <f aca="false">IF($D1200="","",INDEX(BookRate,1195)*(1+'5. Scenarios'!$B$10)*(INDEX(BookQ1,1195)*(5-MIN(4,1+'5. Scenarios'!$B$8))/4+INDEX(BookQ2,1195)*(5-MIN(4,2+'5. Scenarios'!$B$8))/4+INDEX(BookQ3,1195)*(5-MIN(4,3+'5. Scenarios'!$B$8))/4+INDEX(BookQ4,1195)*(5-MIN(4,4+'5. Scenarios'!$B$8))/4)*'5. Scenarios'!$B$6/(1+ProductivityDefault*('5. Scenarios'!$B$11-1))+INDEX(BookOneOff,1195)*$D1200)</f>
        <v/>
      </c>
      <c r="I1200" s="56" t="str">
        <f aca="false">IF(INDEX(BookTitle,1195)="","",INDEX(BookTotal,1195)*'5. Scenarios'!$C$6/(1+ProductivityDefault*('5. Scenarios'!$C$11-1)))</f>
        <v/>
      </c>
      <c r="J1200" s="57" t="str">
        <f aca="false">IF($I1200="","",INDEX(BookRate,1195)*(1+'5. Scenarios'!$C$10)*$I1200)</f>
        <v/>
      </c>
      <c r="K1200" s="57" t="str">
        <f aca="false">IF($J1200="","",SUMIFS($J$6:$J$2405,$A$6:$A$2405,"&lt;="&amp;$A1200))</f>
        <v/>
      </c>
      <c r="L1200" s="57" t="str">
        <f aca="false">IF($J1200="","",IF($K1200&lt;=BankCostEnvelope*'5. Scenarios'!$C$7,1,0))</f>
        <v/>
      </c>
      <c r="M1200" s="57" t="str">
        <f aca="false">IF($I1200="","",INDEX(BookRate,1195)*(1+'5. Scenarios'!$C$10)*(INDEX(BookQ1,1195)*(5-MIN(4,1+'5. Scenarios'!$C$8))/4+INDEX(BookQ2,1195)*(5-MIN(4,2+'5. Scenarios'!$C$8))/4+INDEX(BookQ3,1195)*(5-MIN(4,3+'5. Scenarios'!$C$8))/4+INDEX(BookQ4,1195)*(5-MIN(4,4+'5. Scenarios'!$C$8))/4)*'5. Scenarios'!$C$6/(1+ProductivityDefault*('5. Scenarios'!$C$11-1))+INDEX(BookOneOff,1195)*$I1200)</f>
        <v/>
      </c>
      <c r="N1200" s="56" t="str">
        <f aca="false">IF(INDEX(BookTitle,1195)="","",INDEX(BookTotal,1195)*'5. Scenarios'!$D$6/(1+ProductivityDefault*('5. Scenarios'!$D$11-1)))</f>
        <v/>
      </c>
      <c r="O1200" s="57" t="str">
        <f aca="false">IF($N1200="","",INDEX(BookRate,1195)*(1+'5. Scenarios'!$D$10)*$N1200)</f>
        <v/>
      </c>
      <c r="P1200" s="57" t="str">
        <f aca="false">IF($O1200="","",SUMIFS($O$6:$O$2405,$A$6:$A$2405,"&lt;="&amp;$A1200))</f>
        <v/>
      </c>
      <c r="Q1200" s="57" t="str">
        <f aca="false">IF($O1200="","",IF($P1200&lt;=BankCostEnvelope*'5. Scenarios'!$D$7,1,0))</f>
        <v/>
      </c>
      <c r="R1200" s="57" t="str">
        <f aca="false">IF($N1200="","",INDEX(BookRate,1195)*(1+'5. Scenarios'!$D$10)*(INDEX(BookQ1,1195)*(5-MIN(4,1+'5. Scenarios'!$D$8))/4+INDEX(BookQ2,1195)*(5-MIN(4,2+'5. Scenarios'!$D$8))/4+INDEX(BookQ3,1195)*(5-MIN(4,3+'5. Scenarios'!$D$8))/4+INDEX(BookQ4,1195)*(5-MIN(4,4+'5. Scenarios'!$D$8))/4)*'5. Scenarios'!$D$6/(1+ProductivityDefault*('5. Scenarios'!$D$11-1))+INDEX(BookOneOff,1195)*$N1200)</f>
        <v/>
      </c>
      <c r="S1200" s="56" t="str">
        <f aca="false">IF(INDEX(BookTitle,1195)="","",INDEX(BookTotal,1195)*'5. Scenarios'!$E$6/(1+ProductivityDefault*('5. Scenarios'!$E$11-1)))</f>
        <v/>
      </c>
      <c r="T1200" s="57" t="str">
        <f aca="false">IF($S1200="","",INDEX(BookRate,1195)*(1+'5. Scenarios'!$E$10)*$S1200)</f>
        <v/>
      </c>
      <c r="U1200" s="57" t="str">
        <f aca="false">IF($T1200="","",SUMIFS($T$6:$T$2405,$A$6:$A$2405,"&lt;="&amp;$A1200))</f>
        <v/>
      </c>
      <c r="V1200" s="57" t="str">
        <f aca="false">IF($T1200="","",IF($U1200&lt;=BankCostEnvelope*'5. Scenarios'!$E$7,1,0))</f>
        <v/>
      </c>
      <c r="W1200" s="57" t="str">
        <f aca="false">IF($S1200="","",INDEX(BookRate,1195)*(1+'5. Scenarios'!$E$10)*(INDEX(BookQ1,1195)*(5-MIN(4,1+'5. Scenarios'!$E$8))/4+INDEX(BookQ2,1195)*(5-MIN(4,2+'5. Scenarios'!$E$8))/4+INDEX(BookQ3,1195)*(5-MIN(4,3+'5. Scenarios'!$E$8))/4+INDEX(BookQ4,1195)*(5-MIN(4,4+'5. Scenarios'!$E$8))/4)*'5. Scenarios'!$E$6/(1+ProductivityDefault*('5. Scenarios'!$E$11-1))+INDEX(BookOneOff,1195)*$S1200)</f>
        <v/>
      </c>
    </row>
    <row r="1201" customFormat="false" ht="15" hidden="false" customHeight="false" outlineLevel="0" collapsed="false">
      <c r="A1201" s="0" t="str">
        <f aca="false">IF(INDEX(BookTitle,1196)="","",INDEX(BookKey,1196))</f>
        <v/>
      </c>
      <c r="B1201" s="0" t="str">
        <f aca="false">IF(INDEX(BookTitle,1196)="","",INDEX(BookGroup,1196))</f>
        <v/>
      </c>
      <c r="C1201" s="0" t="str">
        <f aca="false">IF(INDEX(BookTitle,1196)="","",INDEX(BookCategory,1196))</f>
        <v/>
      </c>
      <c r="D1201" s="56" t="str">
        <f aca="false">IF(INDEX(BookTitle,1196)="","",INDEX(BookTotal,1196)*'5. Scenarios'!$B$6/(1+ProductivityDefault*('5. Scenarios'!$B$11-1)))</f>
        <v/>
      </c>
      <c r="E1201" s="57" t="str">
        <f aca="false">IF($D1201="","",INDEX(BookRate,1196)*(1+'5. Scenarios'!$B$10)*$D1201)</f>
        <v/>
      </c>
      <c r="F1201" s="57" t="str">
        <f aca="false">IF($E1201="","",SUMIFS($E$6:$E$2405,$A$6:$A$2405,"&lt;="&amp;$A1201))</f>
        <v/>
      </c>
      <c r="G1201" s="57" t="str">
        <f aca="false">IF($E1201="","",IF($F1201&lt;=BankCostEnvelope*'5. Scenarios'!$B$7,1,0))</f>
        <v/>
      </c>
      <c r="H1201" s="57" t="str">
        <f aca="false">IF($D1201="","",INDEX(BookRate,1196)*(1+'5. Scenarios'!$B$10)*(INDEX(BookQ1,1196)*(5-MIN(4,1+'5. Scenarios'!$B$8))/4+INDEX(BookQ2,1196)*(5-MIN(4,2+'5. Scenarios'!$B$8))/4+INDEX(BookQ3,1196)*(5-MIN(4,3+'5. Scenarios'!$B$8))/4+INDEX(BookQ4,1196)*(5-MIN(4,4+'5. Scenarios'!$B$8))/4)*'5. Scenarios'!$B$6/(1+ProductivityDefault*('5. Scenarios'!$B$11-1))+INDEX(BookOneOff,1196)*$D1201)</f>
        <v/>
      </c>
      <c r="I1201" s="56" t="str">
        <f aca="false">IF(INDEX(BookTitle,1196)="","",INDEX(BookTotal,1196)*'5. Scenarios'!$C$6/(1+ProductivityDefault*('5. Scenarios'!$C$11-1)))</f>
        <v/>
      </c>
      <c r="J1201" s="57" t="str">
        <f aca="false">IF($I1201="","",INDEX(BookRate,1196)*(1+'5. Scenarios'!$C$10)*$I1201)</f>
        <v/>
      </c>
      <c r="K1201" s="57" t="str">
        <f aca="false">IF($J1201="","",SUMIFS($J$6:$J$2405,$A$6:$A$2405,"&lt;="&amp;$A1201))</f>
        <v/>
      </c>
      <c r="L1201" s="57" t="str">
        <f aca="false">IF($J1201="","",IF($K1201&lt;=BankCostEnvelope*'5. Scenarios'!$C$7,1,0))</f>
        <v/>
      </c>
      <c r="M1201" s="57" t="str">
        <f aca="false">IF($I1201="","",INDEX(BookRate,1196)*(1+'5. Scenarios'!$C$10)*(INDEX(BookQ1,1196)*(5-MIN(4,1+'5. Scenarios'!$C$8))/4+INDEX(BookQ2,1196)*(5-MIN(4,2+'5. Scenarios'!$C$8))/4+INDEX(BookQ3,1196)*(5-MIN(4,3+'5. Scenarios'!$C$8))/4+INDEX(BookQ4,1196)*(5-MIN(4,4+'5. Scenarios'!$C$8))/4)*'5. Scenarios'!$C$6/(1+ProductivityDefault*('5. Scenarios'!$C$11-1))+INDEX(BookOneOff,1196)*$I1201)</f>
        <v/>
      </c>
      <c r="N1201" s="56" t="str">
        <f aca="false">IF(INDEX(BookTitle,1196)="","",INDEX(BookTotal,1196)*'5. Scenarios'!$D$6/(1+ProductivityDefault*('5. Scenarios'!$D$11-1)))</f>
        <v/>
      </c>
      <c r="O1201" s="57" t="str">
        <f aca="false">IF($N1201="","",INDEX(BookRate,1196)*(1+'5. Scenarios'!$D$10)*$N1201)</f>
        <v/>
      </c>
      <c r="P1201" s="57" t="str">
        <f aca="false">IF($O1201="","",SUMIFS($O$6:$O$2405,$A$6:$A$2405,"&lt;="&amp;$A1201))</f>
        <v/>
      </c>
      <c r="Q1201" s="57" t="str">
        <f aca="false">IF($O1201="","",IF($P1201&lt;=BankCostEnvelope*'5. Scenarios'!$D$7,1,0))</f>
        <v/>
      </c>
      <c r="R1201" s="57" t="str">
        <f aca="false">IF($N1201="","",INDEX(BookRate,1196)*(1+'5. Scenarios'!$D$10)*(INDEX(BookQ1,1196)*(5-MIN(4,1+'5. Scenarios'!$D$8))/4+INDEX(BookQ2,1196)*(5-MIN(4,2+'5. Scenarios'!$D$8))/4+INDEX(BookQ3,1196)*(5-MIN(4,3+'5. Scenarios'!$D$8))/4+INDEX(BookQ4,1196)*(5-MIN(4,4+'5. Scenarios'!$D$8))/4)*'5. Scenarios'!$D$6/(1+ProductivityDefault*('5. Scenarios'!$D$11-1))+INDEX(BookOneOff,1196)*$N1201)</f>
        <v/>
      </c>
      <c r="S1201" s="56" t="str">
        <f aca="false">IF(INDEX(BookTitle,1196)="","",INDEX(BookTotal,1196)*'5. Scenarios'!$E$6/(1+ProductivityDefault*('5. Scenarios'!$E$11-1)))</f>
        <v/>
      </c>
      <c r="T1201" s="57" t="str">
        <f aca="false">IF($S1201="","",INDEX(BookRate,1196)*(1+'5. Scenarios'!$E$10)*$S1201)</f>
        <v/>
      </c>
      <c r="U1201" s="57" t="str">
        <f aca="false">IF($T1201="","",SUMIFS($T$6:$T$2405,$A$6:$A$2405,"&lt;="&amp;$A1201))</f>
        <v/>
      </c>
      <c r="V1201" s="57" t="str">
        <f aca="false">IF($T1201="","",IF($U1201&lt;=BankCostEnvelope*'5. Scenarios'!$E$7,1,0))</f>
        <v/>
      </c>
      <c r="W1201" s="57" t="str">
        <f aca="false">IF($S1201="","",INDEX(BookRate,1196)*(1+'5. Scenarios'!$E$10)*(INDEX(BookQ1,1196)*(5-MIN(4,1+'5. Scenarios'!$E$8))/4+INDEX(BookQ2,1196)*(5-MIN(4,2+'5. Scenarios'!$E$8))/4+INDEX(BookQ3,1196)*(5-MIN(4,3+'5. Scenarios'!$E$8))/4+INDEX(BookQ4,1196)*(5-MIN(4,4+'5. Scenarios'!$E$8))/4)*'5. Scenarios'!$E$6/(1+ProductivityDefault*('5. Scenarios'!$E$11-1))+INDEX(BookOneOff,1196)*$S1201)</f>
        <v/>
      </c>
    </row>
    <row r="1202" customFormat="false" ht="15" hidden="false" customHeight="false" outlineLevel="0" collapsed="false">
      <c r="A1202" s="0" t="str">
        <f aca="false">IF(INDEX(BookTitle,1197)="","",INDEX(BookKey,1197))</f>
        <v/>
      </c>
      <c r="B1202" s="0" t="str">
        <f aca="false">IF(INDEX(BookTitle,1197)="","",INDEX(BookGroup,1197))</f>
        <v/>
      </c>
      <c r="C1202" s="0" t="str">
        <f aca="false">IF(INDEX(BookTitle,1197)="","",INDEX(BookCategory,1197))</f>
        <v/>
      </c>
      <c r="D1202" s="56" t="str">
        <f aca="false">IF(INDEX(BookTitle,1197)="","",INDEX(BookTotal,1197)*'5. Scenarios'!$B$6/(1+ProductivityDefault*('5. Scenarios'!$B$11-1)))</f>
        <v/>
      </c>
      <c r="E1202" s="57" t="str">
        <f aca="false">IF($D1202="","",INDEX(BookRate,1197)*(1+'5. Scenarios'!$B$10)*$D1202)</f>
        <v/>
      </c>
      <c r="F1202" s="57" t="str">
        <f aca="false">IF($E1202="","",SUMIFS($E$6:$E$2405,$A$6:$A$2405,"&lt;="&amp;$A1202))</f>
        <v/>
      </c>
      <c r="G1202" s="57" t="str">
        <f aca="false">IF($E1202="","",IF($F1202&lt;=BankCostEnvelope*'5. Scenarios'!$B$7,1,0))</f>
        <v/>
      </c>
      <c r="H1202" s="57" t="str">
        <f aca="false">IF($D1202="","",INDEX(BookRate,1197)*(1+'5. Scenarios'!$B$10)*(INDEX(BookQ1,1197)*(5-MIN(4,1+'5. Scenarios'!$B$8))/4+INDEX(BookQ2,1197)*(5-MIN(4,2+'5. Scenarios'!$B$8))/4+INDEX(BookQ3,1197)*(5-MIN(4,3+'5. Scenarios'!$B$8))/4+INDEX(BookQ4,1197)*(5-MIN(4,4+'5. Scenarios'!$B$8))/4)*'5. Scenarios'!$B$6/(1+ProductivityDefault*('5. Scenarios'!$B$11-1))+INDEX(BookOneOff,1197)*$D1202)</f>
        <v/>
      </c>
      <c r="I1202" s="56" t="str">
        <f aca="false">IF(INDEX(BookTitle,1197)="","",INDEX(BookTotal,1197)*'5. Scenarios'!$C$6/(1+ProductivityDefault*('5. Scenarios'!$C$11-1)))</f>
        <v/>
      </c>
      <c r="J1202" s="57" t="str">
        <f aca="false">IF($I1202="","",INDEX(BookRate,1197)*(1+'5. Scenarios'!$C$10)*$I1202)</f>
        <v/>
      </c>
      <c r="K1202" s="57" t="str">
        <f aca="false">IF($J1202="","",SUMIFS($J$6:$J$2405,$A$6:$A$2405,"&lt;="&amp;$A1202))</f>
        <v/>
      </c>
      <c r="L1202" s="57" t="str">
        <f aca="false">IF($J1202="","",IF($K1202&lt;=BankCostEnvelope*'5. Scenarios'!$C$7,1,0))</f>
        <v/>
      </c>
      <c r="M1202" s="57" t="str">
        <f aca="false">IF($I1202="","",INDEX(BookRate,1197)*(1+'5. Scenarios'!$C$10)*(INDEX(BookQ1,1197)*(5-MIN(4,1+'5. Scenarios'!$C$8))/4+INDEX(BookQ2,1197)*(5-MIN(4,2+'5. Scenarios'!$C$8))/4+INDEX(BookQ3,1197)*(5-MIN(4,3+'5. Scenarios'!$C$8))/4+INDEX(BookQ4,1197)*(5-MIN(4,4+'5. Scenarios'!$C$8))/4)*'5. Scenarios'!$C$6/(1+ProductivityDefault*('5. Scenarios'!$C$11-1))+INDEX(BookOneOff,1197)*$I1202)</f>
        <v/>
      </c>
      <c r="N1202" s="56" t="str">
        <f aca="false">IF(INDEX(BookTitle,1197)="","",INDEX(BookTotal,1197)*'5. Scenarios'!$D$6/(1+ProductivityDefault*('5. Scenarios'!$D$11-1)))</f>
        <v/>
      </c>
      <c r="O1202" s="57" t="str">
        <f aca="false">IF($N1202="","",INDEX(BookRate,1197)*(1+'5. Scenarios'!$D$10)*$N1202)</f>
        <v/>
      </c>
      <c r="P1202" s="57" t="str">
        <f aca="false">IF($O1202="","",SUMIFS($O$6:$O$2405,$A$6:$A$2405,"&lt;="&amp;$A1202))</f>
        <v/>
      </c>
      <c r="Q1202" s="57" t="str">
        <f aca="false">IF($O1202="","",IF($P1202&lt;=BankCostEnvelope*'5. Scenarios'!$D$7,1,0))</f>
        <v/>
      </c>
      <c r="R1202" s="57" t="str">
        <f aca="false">IF($N1202="","",INDEX(BookRate,1197)*(1+'5. Scenarios'!$D$10)*(INDEX(BookQ1,1197)*(5-MIN(4,1+'5. Scenarios'!$D$8))/4+INDEX(BookQ2,1197)*(5-MIN(4,2+'5. Scenarios'!$D$8))/4+INDEX(BookQ3,1197)*(5-MIN(4,3+'5. Scenarios'!$D$8))/4+INDEX(BookQ4,1197)*(5-MIN(4,4+'5. Scenarios'!$D$8))/4)*'5. Scenarios'!$D$6/(1+ProductivityDefault*('5. Scenarios'!$D$11-1))+INDEX(BookOneOff,1197)*$N1202)</f>
        <v/>
      </c>
      <c r="S1202" s="56" t="str">
        <f aca="false">IF(INDEX(BookTitle,1197)="","",INDEX(BookTotal,1197)*'5. Scenarios'!$E$6/(1+ProductivityDefault*('5. Scenarios'!$E$11-1)))</f>
        <v/>
      </c>
      <c r="T1202" s="57" t="str">
        <f aca="false">IF($S1202="","",INDEX(BookRate,1197)*(1+'5. Scenarios'!$E$10)*$S1202)</f>
        <v/>
      </c>
      <c r="U1202" s="57" t="str">
        <f aca="false">IF($T1202="","",SUMIFS($T$6:$T$2405,$A$6:$A$2405,"&lt;="&amp;$A1202))</f>
        <v/>
      </c>
      <c r="V1202" s="57" t="str">
        <f aca="false">IF($T1202="","",IF($U1202&lt;=BankCostEnvelope*'5. Scenarios'!$E$7,1,0))</f>
        <v/>
      </c>
      <c r="W1202" s="57" t="str">
        <f aca="false">IF($S1202="","",INDEX(BookRate,1197)*(1+'5. Scenarios'!$E$10)*(INDEX(BookQ1,1197)*(5-MIN(4,1+'5. Scenarios'!$E$8))/4+INDEX(BookQ2,1197)*(5-MIN(4,2+'5. Scenarios'!$E$8))/4+INDEX(BookQ3,1197)*(5-MIN(4,3+'5. Scenarios'!$E$8))/4+INDEX(BookQ4,1197)*(5-MIN(4,4+'5. Scenarios'!$E$8))/4)*'5. Scenarios'!$E$6/(1+ProductivityDefault*('5. Scenarios'!$E$11-1))+INDEX(BookOneOff,1197)*$S1202)</f>
        <v/>
      </c>
    </row>
    <row r="1203" customFormat="false" ht="15" hidden="false" customHeight="false" outlineLevel="0" collapsed="false">
      <c r="A1203" s="0" t="str">
        <f aca="false">IF(INDEX(BookTitle,1198)="","",INDEX(BookKey,1198))</f>
        <v/>
      </c>
      <c r="B1203" s="0" t="str">
        <f aca="false">IF(INDEX(BookTitle,1198)="","",INDEX(BookGroup,1198))</f>
        <v/>
      </c>
      <c r="C1203" s="0" t="str">
        <f aca="false">IF(INDEX(BookTitle,1198)="","",INDEX(BookCategory,1198))</f>
        <v/>
      </c>
      <c r="D1203" s="56" t="str">
        <f aca="false">IF(INDEX(BookTitle,1198)="","",INDEX(BookTotal,1198)*'5. Scenarios'!$B$6/(1+ProductivityDefault*('5. Scenarios'!$B$11-1)))</f>
        <v/>
      </c>
      <c r="E1203" s="57" t="str">
        <f aca="false">IF($D1203="","",INDEX(BookRate,1198)*(1+'5. Scenarios'!$B$10)*$D1203)</f>
        <v/>
      </c>
      <c r="F1203" s="57" t="str">
        <f aca="false">IF($E1203="","",SUMIFS($E$6:$E$2405,$A$6:$A$2405,"&lt;="&amp;$A1203))</f>
        <v/>
      </c>
      <c r="G1203" s="57" t="str">
        <f aca="false">IF($E1203="","",IF($F1203&lt;=BankCostEnvelope*'5. Scenarios'!$B$7,1,0))</f>
        <v/>
      </c>
      <c r="H1203" s="57" t="str">
        <f aca="false">IF($D1203="","",INDEX(BookRate,1198)*(1+'5. Scenarios'!$B$10)*(INDEX(BookQ1,1198)*(5-MIN(4,1+'5. Scenarios'!$B$8))/4+INDEX(BookQ2,1198)*(5-MIN(4,2+'5. Scenarios'!$B$8))/4+INDEX(BookQ3,1198)*(5-MIN(4,3+'5. Scenarios'!$B$8))/4+INDEX(BookQ4,1198)*(5-MIN(4,4+'5. Scenarios'!$B$8))/4)*'5. Scenarios'!$B$6/(1+ProductivityDefault*('5. Scenarios'!$B$11-1))+INDEX(BookOneOff,1198)*$D1203)</f>
        <v/>
      </c>
      <c r="I1203" s="56" t="str">
        <f aca="false">IF(INDEX(BookTitle,1198)="","",INDEX(BookTotal,1198)*'5. Scenarios'!$C$6/(1+ProductivityDefault*('5. Scenarios'!$C$11-1)))</f>
        <v/>
      </c>
      <c r="J1203" s="57" t="str">
        <f aca="false">IF($I1203="","",INDEX(BookRate,1198)*(1+'5. Scenarios'!$C$10)*$I1203)</f>
        <v/>
      </c>
      <c r="K1203" s="57" t="str">
        <f aca="false">IF($J1203="","",SUMIFS($J$6:$J$2405,$A$6:$A$2405,"&lt;="&amp;$A1203))</f>
        <v/>
      </c>
      <c r="L1203" s="57" t="str">
        <f aca="false">IF($J1203="","",IF($K1203&lt;=BankCostEnvelope*'5. Scenarios'!$C$7,1,0))</f>
        <v/>
      </c>
      <c r="M1203" s="57" t="str">
        <f aca="false">IF($I1203="","",INDEX(BookRate,1198)*(1+'5. Scenarios'!$C$10)*(INDEX(BookQ1,1198)*(5-MIN(4,1+'5. Scenarios'!$C$8))/4+INDEX(BookQ2,1198)*(5-MIN(4,2+'5. Scenarios'!$C$8))/4+INDEX(BookQ3,1198)*(5-MIN(4,3+'5. Scenarios'!$C$8))/4+INDEX(BookQ4,1198)*(5-MIN(4,4+'5. Scenarios'!$C$8))/4)*'5. Scenarios'!$C$6/(1+ProductivityDefault*('5. Scenarios'!$C$11-1))+INDEX(BookOneOff,1198)*$I1203)</f>
        <v/>
      </c>
      <c r="N1203" s="56" t="str">
        <f aca="false">IF(INDEX(BookTitle,1198)="","",INDEX(BookTotal,1198)*'5. Scenarios'!$D$6/(1+ProductivityDefault*('5. Scenarios'!$D$11-1)))</f>
        <v/>
      </c>
      <c r="O1203" s="57" t="str">
        <f aca="false">IF($N1203="","",INDEX(BookRate,1198)*(1+'5. Scenarios'!$D$10)*$N1203)</f>
        <v/>
      </c>
      <c r="P1203" s="57" t="str">
        <f aca="false">IF($O1203="","",SUMIFS($O$6:$O$2405,$A$6:$A$2405,"&lt;="&amp;$A1203))</f>
        <v/>
      </c>
      <c r="Q1203" s="57" t="str">
        <f aca="false">IF($O1203="","",IF($P1203&lt;=BankCostEnvelope*'5. Scenarios'!$D$7,1,0))</f>
        <v/>
      </c>
      <c r="R1203" s="57" t="str">
        <f aca="false">IF($N1203="","",INDEX(BookRate,1198)*(1+'5. Scenarios'!$D$10)*(INDEX(BookQ1,1198)*(5-MIN(4,1+'5. Scenarios'!$D$8))/4+INDEX(BookQ2,1198)*(5-MIN(4,2+'5. Scenarios'!$D$8))/4+INDEX(BookQ3,1198)*(5-MIN(4,3+'5. Scenarios'!$D$8))/4+INDEX(BookQ4,1198)*(5-MIN(4,4+'5. Scenarios'!$D$8))/4)*'5. Scenarios'!$D$6/(1+ProductivityDefault*('5. Scenarios'!$D$11-1))+INDEX(BookOneOff,1198)*$N1203)</f>
        <v/>
      </c>
      <c r="S1203" s="56" t="str">
        <f aca="false">IF(INDEX(BookTitle,1198)="","",INDEX(BookTotal,1198)*'5. Scenarios'!$E$6/(1+ProductivityDefault*('5. Scenarios'!$E$11-1)))</f>
        <v/>
      </c>
      <c r="T1203" s="57" t="str">
        <f aca="false">IF($S1203="","",INDEX(BookRate,1198)*(1+'5. Scenarios'!$E$10)*$S1203)</f>
        <v/>
      </c>
      <c r="U1203" s="57" t="str">
        <f aca="false">IF($T1203="","",SUMIFS($T$6:$T$2405,$A$6:$A$2405,"&lt;="&amp;$A1203))</f>
        <v/>
      </c>
      <c r="V1203" s="57" t="str">
        <f aca="false">IF($T1203="","",IF($U1203&lt;=BankCostEnvelope*'5. Scenarios'!$E$7,1,0))</f>
        <v/>
      </c>
      <c r="W1203" s="57" t="str">
        <f aca="false">IF($S1203="","",INDEX(BookRate,1198)*(1+'5. Scenarios'!$E$10)*(INDEX(BookQ1,1198)*(5-MIN(4,1+'5. Scenarios'!$E$8))/4+INDEX(BookQ2,1198)*(5-MIN(4,2+'5. Scenarios'!$E$8))/4+INDEX(BookQ3,1198)*(5-MIN(4,3+'5. Scenarios'!$E$8))/4+INDEX(BookQ4,1198)*(5-MIN(4,4+'5. Scenarios'!$E$8))/4)*'5. Scenarios'!$E$6/(1+ProductivityDefault*('5. Scenarios'!$E$11-1))+INDEX(BookOneOff,1198)*$S1203)</f>
        <v/>
      </c>
    </row>
    <row r="1204" customFormat="false" ht="15" hidden="false" customHeight="false" outlineLevel="0" collapsed="false">
      <c r="A1204" s="0" t="str">
        <f aca="false">IF(INDEX(BookTitle,1199)="","",INDEX(BookKey,1199))</f>
        <v/>
      </c>
      <c r="B1204" s="0" t="str">
        <f aca="false">IF(INDEX(BookTitle,1199)="","",INDEX(BookGroup,1199))</f>
        <v/>
      </c>
      <c r="C1204" s="0" t="str">
        <f aca="false">IF(INDEX(BookTitle,1199)="","",INDEX(BookCategory,1199))</f>
        <v/>
      </c>
      <c r="D1204" s="56" t="str">
        <f aca="false">IF(INDEX(BookTitle,1199)="","",INDEX(BookTotal,1199)*'5. Scenarios'!$B$6/(1+ProductivityDefault*('5. Scenarios'!$B$11-1)))</f>
        <v/>
      </c>
      <c r="E1204" s="57" t="str">
        <f aca="false">IF($D1204="","",INDEX(BookRate,1199)*(1+'5. Scenarios'!$B$10)*$D1204)</f>
        <v/>
      </c>
      <c r="F1204" s="57" t="str">
        <f aca="false">IF($E1204="","",SUMIFS($E$6:$E$2405,$A$6:$A$2405,"&lt;="&amp;$A1204))</f>
        <v/>
      </c>
      <c r="G1204" s="57" t="str">
        <f aca="false">IF($E1204="","",IF($F1204&lt;=BankCostEnvelope*'5. Scenarios'!$B$7,1,0))</f>
        <v/>
      </c>
      <c r="H1204" s="57" t="str">
        <f aca="false">IF($D1204="","",INDEX(BookRate,1199)*(1+'5. Scenarios'!$B$10)*(INDEX(BookQ1,1199)*(5-MIN(4,1+'5. Scenarios'!$B$8))/4+INDEX(BookQ2,1199)*(5-MIN(4,2+'5. Scenarios'!$B$8))/4+INDEX(BookQ3,1199)*(5-MIN(4,3+'5. Scenarios'!$B$8))/4+INDEX(BookQ4,1199)*(5-MIN(4,4+'5. Scenarios'!$B$8))/4)*'5. Scenarios'!$B$6/(1+ProductivityDefault*('5. Scenarios'!$B$11-1))+INDEX(BookOneOff,1199)*$D1204)</f>
        <v/>
      </c>
      <c r="I1204" s="56" t="str">
        <f aca="false">IF(INDEX(BookTitle,1199)="","",INDEX(BookTotal,1199)*'5. Scenarios'!$C$6/(1+ProductivityDefault*('5. Scenarios'!$C$11-1)))</f>
        <v/>
      </c>
      <c r="J1204" s="57" t="str">
        <f aca="false">IF($I1204="","",INDEX(BookRate,1199)*(1+'5. Scenarios'!$C$10)*$I1204)</f>
        <v/>
      </c>
      <c r="K1204" s="57" t="str">
        <f aca="false">IF($J1204="","",SUMIFS($J$6:$J$2405,$A$6:$A$2405,"&lt;="&amp;$A1204))</f>
        <v/>
      </c>
      <c r="L1204" s="57" t="str">
        <f aca="false">IF($J1204="","",IF($K1204&lt;=BankCostEnvelope*'5. Scenarios'!$C$7,1,0))</f>
        <v/>
      </c>
      <c r="M1204" s="57" t="str">
        <f aca="false">IF($I1204="","",INDEX(BookRate,1199)*(1+'5. Scenarios'!$C$10)*(INDEX(BookQ1,1199)*(5-MIN(4,1+'5. Scenarios'!$C$8))/4+INDEX(BookQ2,1199)*(5-MIN(4,2+'5. Scenarios'!$C$8))/4+INDEX(BookQ3,1199)*(5-MIN(4,3+'5. Scenarios'!$C$8))/4+INDEX(BookQ4,1199)*(5-MIN(4,4+'5. Scenarios'!$C$8))/4)*'5. Scenarios'!$C$6/(1+ProductivityDefault*('5. Scenarios'!$C$11-1))+INDEX(BookOneOff,1199)*$I1204)</f>
        <v/>
      </c>
      <c r="N1204" s="56" t="str">
        <f aca="false">IF(INDEX(BookTitle,1199)="","",INDEX(BookTotal,1199)*'5. Scenarios'!$D$6/(1+ProductivityDefault*('5. Scenarios'!$D$11-1)))</f>
        <v/>
      </c>
      <c r="O1204" s="57" t="str">
        <f aca="false">IF($N1204="","",INDEX(BookRate,1199)*(1+'5. Scenarios'!$D$10)*$N1204)</f>
        <v/>
      </c>
      <c r="P1204" s="57" t="str">
        <f aca="false">IF($O1204="","",SUMIFS($O$6:$O$2405,$A$6:$A$2405,"&lt;="&amp;$A1204))</f>
        <v/>
      </c>
      <c r="Q1204" s="57" t="str">
        <f aca="false">IF($O1204="","",IF($P1204&lt;=BankCostEnvelope*'5. Scenarios'!$D$7,1,0))</f>
        <v/>
      </c>
      <c r="R1204" s="57" t="str">
        <f aca="false">IF($N1204="","",INDEX(BookRate,1199)*(1+'5. Scenarios'!$D$10)*(INDEX(BookQ1,1199)*(5-MIN(4,1+'5. Scenarios'!$D$8))/4+INDEX(BookQ2,1199)*(5-MIN(4,2+'5. Scenarios'!$D$8))/4+INDEX(BookQ3,1199)*(5-MIN(4,3+'5. Scenarios'!$D$8))/4+INDEX(BookQ4,1199)*(5-MIN(4,4+'5. Scenarios'!$D$8))/4)*'5. Scenarios'!$D$6/(1+ProductivityDefault*('5. Scenarios'!$D$11-1))+INDEX(BookOneOff,1199)*$N1204)</f>
        <v/>
      </c>
      <c r="S1204" s="56" t="str">
        <f aca="false">IF(INDEX(BookTitle,1199)="","",INDEX(BookTotal,1199)*'5. Scenarios'!$E$6/(1+ProductivityDefault*('5. Scenarios'!$E$11-1)))</f>
        <v/>
      </c>
      <c r="T1204" s="57" t="str">
        <f aca="false">IF($S1204="","",INDEX(BookRate,1199)*(1+'5. Scenarios'!$E$10)*$S1204)</f>
        <v/>
      </c>
      <c r="U1204" s="57" t="str">
        <f aca="false">IF($T1204="","",SUMIFS($T$6:$T$2405,$A$6:$A$2405,"&lt;="&amp;$A1204))</f>
        <v/>
      </c>
      <c r="V1204" s="57" t="str">
        <f aca="false">IF($T1204="","",IF($U1204&lt;=BankCostEnvelope*'5. Scenarios'!$E$7,1,0))</f>
        <v/>
      </c>
      <c r="W1204" s="57" t="str">
        <f aca="false">IF($S1204="","",INDEX(BookRate,1199)*(1+'5. Scenarios'!$E$10)*(INDEX(BookQ1,1199)*(5-MIN(4,1+'5. Scenarios'!$E$8))/4+INDEX(BookQ2,1199)*(5-MIN(4,2+'5. Scenarios'!$E$8))/4+INDEX(BookQ3,1199)*(5-MIN(4,3+'5. Scenarios'!$E$8))/4+INDEX(BookQ4,1199)*(5-MIN(4,4+'5. Scenarios'!$E$8))/4)*'5. Scenarios'!$E$6/(1+ProductivityDefault*('5. Scenarios'!$E$11-1))+INDEX(BookOneOff,1199)*$S1204)</f>
        <v/>
      </c>
    </row>
    <row r="1205" customFormat="false" ht="15" hidden="false" customHeight="false" outlineLevel="0" collapsed="false">
      <c r="A1205" s="0" t="str">
        <f aca="false">IF(INDEX(BookTitle,1200)="","",INDEX(BookKey,1200))</f>
        <v/>
      </c>
      <c r="B1205" s="0" t="str">
        <f aca="false">IF(INDEX(BookTitle,1200)="","",INDEX(BookGroup,1200))</f>
        <v/>
      </c>
      <c r="C1205" s="0" t="str">
        <f aca="false">IF(INDEX(BookTitle,1200)="","",INDEX(BookCategory,1200))</f>
        <v/>
      </c>
      <c r="D1205" s="56" t="str">
        <f aca="false">IF(INDEX(BookTitle,1200)="","",INDEX(BookTotal,1200)*'5. Scenarios'!$B$6/(1+ProductivityDefault*('5. Scenarios'!$B$11-1)))</f>
        <v/>
      </c>
      <c r="E1205" s="57" t="str">
        <f aca="false">IF($D1205="","",INDEX(BookRate,1200)*(1+'5. Scenarios'!$B$10)*$D1205)</f>
        <v/>
      </c>
      <c r="F1205" s="57" t="str">
        <f aca="false">IF($E1205="","",SUMIFS($E$6:$E$2405,$A$6:$A$2405,"&lt;="&amp;$A1205))</f>
        <v/>
      </c>
      <c r="G1205" s="57" t="str">
        <f aca="false">IF($E1205="","",IF($F1205&lt;=BankCostEnvelope*'5. Scenarios'!$B$7,1,0))</f>
        <v/>
      </c>
      <c r="H1205" s="57" t="str">
        <f aca="false">IF($D1205="","",INDEX(BookRate,1200)*(1+'5. Scenarios'!$B$10)*(INDEX(BookQ1,1200)*(5-MIN(4,1+'5. Scenarios'!$B$8))/4+INDEX(BookQ2,1200)*(5-MIN(4,2+'5. Scenarios'!$B$8))/4+INDEX(BookQ3,1200)*(5-MIN(4,3+'5. Scenarios'!$B$8))/4+INDEX(BookQ4,1200)*(5-MIN(4,4+'5. Scenarios'!$B$8))/4)*'5. Scenarios'!$B$6/(1+ProductivityDefault*('5. Scenarios'!$B$11-1))+INDEX(BookOneOff,1200)*$D1205)</f>
        <v/>
      </c>
      <c r="I1205" s="56" t="str">
        <f aca="false">IF(INDEX(BookTitle,1200)="","",INDEX(BookTotal,1200)*'5. Scenarios'!$C$6/(1+ProductivityDefault*('5. Scenarios'!$C$11-1)))</f>
        <v/>
      </c>
      <c r="J1205" s="57" t="str">
        <f aca="false">IF($I1205="","",INDEX(BookRate,1200)*(1+'5. Scenarios'!$C$10)*$I1205)</f>
        <v/>
      </c>
      <c r="K1205" s="57" t="str">
        <f aca="false">IF($J1205="","",SUMIFS($J$6:$J$2405,$A$6:$A$2405,"&lt;="&amp;$A1205))</f>
        <v/>
      </c>
      <c r="L1205" s="57" t="str">
        <f aca="false">IF($J1205="","",IF($K1205&lt;=BankCostEnvelope*'5. Scenarios'!$C$7,1,0))</f>
        <v/>
      </c>
      <c r="M1205" s="57" t="str">
        <f aca="false">IF($I1205="","",INDEX(BookRate,1200)*(1+'5. Scenarios'!$C$10)*(INDEX(BookQ1,1200)*(5-MIN(4,1+'5. Scenarios'!$C$8))/4+INDEX(BookQ2,1200)*(5-MIN(4,2+'5. Scenarios'!$C$8))/4+INDEX(BookQ3,1200)*(5-MIN(4,3+'5. Scenarios'!$C$8))/4+INDEX(BookQ4,1200)*(5-MIN(4,4+'5. Scenarios'!$C$8))/4)*'5. Scenarios'!$C$6/(1+ProductivityDefault*('5. Scenarios'!$C$11-1))+INDEX(BookOneOff,1200)*$I1205)</f>
        <v/>
      </c>
      <c r="N1205" s="56" t="str">
        <f aca="false">IF(INDEX(BookTitle,1200)="","",INDEX(BookTotal,1200)*'5. Scenarios'!$D$6/(1+ProductivityDefault*('5. Scenarios'!$D$11-1)))</f>
        <v/>
      </c>
      <c r="O1205" s="57" t="str">
        <f aca="false">IF($N1205="","",INDEX(BookRate,1200)*(1+'5. Scenarios'!$D$10)*$N1205)</f>
        <v/>
      </c>
      <c r="P1205" s="57" t="str">
        <f aca="false">IF($O1205="","",SUMIFS($O$6:$O$2405,$A$6:$A$2405,"&lt;="&amp;$A1205))</f>
        <v/>
      </c>
      <c r="Q1205" s="57" t="str">
        <f aca="false">IF($O1205="","",IF($P1205&lt;=BankCostEnvelope*'5. Scenarios'!$D$7,1,0))</f>
        <v/>
      </c>
      <c r="R1205" s="57" t="str">
        <f aca="false">IF($N1205="","",INDEX(BookRate,1200)*(1+'5. Scenarios'!$D$10)*(INDEX(BookQ1,1200)*(5-MIN(4,1+'5. Scenarios'!$D$8))/4+INDEX(BookQ2,1200)*(5-MIN(4,2+'5. Scenarios'!$D$8))/4+INDEX(BookQ3,1200)*(5-MIN(4,3+'5. Scenarios'!$D$8))/4+INDEX(BookQ4,1200)*(5-MIN(4,4+'5. Scenarios'!$D$8))/4)*'5. Scenarios'!$D$6/(1+ProductivityDefault*('5. Scenarios'!$D$11-1))+INDEX(BookOneOff,1200)*$N1205)</f>
        <v/>
      </c>
      <c r="S1205" s="56" t="str">
        <f aca="false">IF(INDEX(BookTitle,1200)="","",INDEX(BookTotal,1200)*'5. Scenarios'!$E$6/(1+ProductivityDefault*('5. Scenarios'!$E$11-1)))</f>
        <v/>
      </c>
      <c r="T1205" s="57" t="str">
        <f aca="false">IF($S1205="","",INDEX(BookRate,1200)*(1+'5. Scenarios'!$E$10)*$S1205)</f>
        <v/>
      </c>
      <c r="U1205" s="57" t="str">
        <f aca="false">IF($T1205="","",SUMIFS($T$6:$T$2405,$A$6:$A$2405,"&lt;="&amp;$A1205))</f>
        <v/>
      </c>
      <c r="V1205" s="57" t="str">
        <f aca="false">IF($T1205="","",IF($U1205&lt;=BankCostEnvelope*'5. Scenarios'!$E$7,1,0))</f>
        <v/>
      </c>
      <c r="W1205" s="57" t="str">
        <f aca="false">IF($S1205="","",INDEX(BookRate,1200)*(1+'5. Scenarios'!$E$10)*(INDEX(BookQ1,1200)*(5-MIN(4,1+'5. Scenarios'!$E$8))/4+INDEX(BookQ2,1200)*(5-MIN(4,2+'5. Scenarios'!$E$8))/4+INDEX(BookQ3,1200)*(5-MIN(4,3+'5. Scenarios'!$E$8))/4+INDEX(BookQ4,1200)*(5-MIN(4,4+'5. Scenarios'!$E$8))/4)*'5. Scenarios'!$E$6/(1+ProductivityDefault*('5. Scenarios'!$E$11-1))+INDEX(BookOneOff,1200)*$S1205)</f>
        <v/>
      </c>
    </row>
    <row r="1206" customFormat="false" ht="15" hidden="false" customHeight="false" outlineLevel="0" collapsed="false">
      <c r="A1206" s="0" t="str">
        <f aca="false">IF(INDEX(BookTitle,1201)="","",INDEX(BookKey,1201))</f>
        <v/>
      </c>
      <c r="B1206" s="0" t="str">
        <f aca="false">IF(INDEX(BookTitle,1201)="","",INDEX(BookGroup,1201))</f>
        <v/>
      </c>
      <c r="C1206" s="0" t="str">
        <f aca="false">IF(INDEX(BookTitle,1201)="","",INDEX(BookCategory,1201))</f>
        <v/>
      </c>
      <c r="D1206" s="56" t="str">
        <f aca="false">IF(INDEX(BookTitle,1201)="","",INDEX(BookTotal,1201)*'5. Scenarios'!$B$6/(1+ProductivityDefault*('5. Scenarios'!$B$11-1)))</f>
        <v/>
      </c>
      <c r="E1206" s="57" t="str">
        <f aca="false">IF($D1206="","",INDEX(BookRate,1201)*(1+'5. Scenarios'!$B$10)*$D1206)</f>
        <v/>
      </c>
      <c r="F1206" s="57" t="str">
        <f aca="false">IF($E1206="","",SUMIFS($E$6:$E$2405,$A$6:$A$2405,"&lt;="&amp;$A1206))</f>
        <v/>
      </c>
      <c r="G1206" s="57" t="str">
        <f aca="false">IF($E1206="","",IF($F1206&lt;=BankCostEnvelope*'5. Scenarios'!$B$7,1,0))</f>
        <v/>
      </c>
      <c r="H1206" s="57" t="str">
        <f aca="false">IF($D1206="","",INDEX(BookRate,1201)*(1+'5. Scenarios'!$B$10)*(INDEX(BookQ1,1201)*(5-MIN(4,1+'5. Scenarios'!$B$8))/4+INDEX(BookQ2,1201)*(5-MIN(4,2+'5. Scenarios'!$B$8))/4+INDEX(BookQ3,1201)*(5-MIN(4,3+'5. Scenarios'!$B$8))/4+INDEX(BookQ4,1201)*(5-MIN(4,4+'5. Scenarios'!$B$8))/4)*'5. Scenarios'!$B$6/(1+ProductivityDefault*('5. Scenarios'!$B$11-1))+INDEX(BookOneOff,1201)*$D1206)</f>
        <v/>
      </c>
      <c r="I1206" s="56" t="str">
        <f aca="false">IF(INDEX(BookTitle,1201)="","",INDEX(BookTotal,1201)*'5. Scenarios'!$C$6/(1+ProductivityDefault*('5. Scenarios'!$C$11-1)))</f>
        <v/>
      </c>
      <c r="J1206" s="57" t="str">
        <f aca="false">IF($I1206="","",INDEX(BookRate,1201)*(1+'5. Scenarios'!$C$10)*$I1206)</f>
        <v/>
      </c>
      <c r="K1206" s="57" t="str">
        <f aca="false">IF($J1206="","",SUMIFS($J$6:$J$2405,$A$6:$A$2405,"&lt;="&amp;$A1206))</f>
        <v/>
      </c>
      <c r="L1206" s="57" t="str">
        <f aca="false">IF($J1206="","",IF($K1206&lt;=BankCostEnvelope*'5. Scenarios'!$C$7,1,0))</f>
        <v/>
      </c>
      <c r="M1206" s="57" t="str">
        <f aca="false">IF($I1206="","",INDEX(BookRate,1201)*(1+'5. Scenarios'!$C$10)*(INDEX(BookQ1,1201)*(5-MIN(4,1+'5. Scenarios'!$C$8))/4+INDEX(BookQ2,1201)*(5-MIN(4,2+'5. Scenarios'!$C$8))/4+INDEX(BookQ3,1201)*(5-MIN(4,3+'5. Scenarios'!$C$8))/4+INDEX(BookQ4,1201)*(5-MIN(4,4+'5. Scenarios'!$C$8))/4)*'5. Scenarios'!$C$6/(1+ProductivityDefault*('5. Scenarios'!$C$11-1))+INDEX(BookOneOff,1201)*$I1206)</f>
        <v/>
      </c>
      <c r="N1206" s="56" t="str">
        <f aca="false">IF(INDEX(BookTitle,1201)="","",INDEX(BookTotal,1201)*'5. Scenarios'!$D$6/(1+ProductivityDefault*('5. Scenarios'!$D$11-1)))</f>
        <v/>
      </c>
      <c r="O1206" s="57" t="str">
        <f aca="false">IF($N1206="","",INDEX(BookRate,1201)*(1+'5. Scenarios'!$D$10)*$N1206)</f>
        <v/>
      </c>
      <c r="P1206" s="57" t="str">
        <f aca="false">IF($O1206="","",SUMIFS($O$6:$O$2405,$A$6:$A$2405,"&lt;="&amp;$A1206))</f>
        <v/>
      </c>
      <c r="Q1206" s="57" t="str">
        <f aca="false">IF($O1206="","",IF($P1206&lt;=BankCostEnvelope*'5. Scenarios'!$D$7,1,0))</f>
        <v/>
      </c>
      <c r="R1206" s="57" t="str">
        <f aca="false">IF($N1206="","",INDEX(BookRate,1201)*(1+'5. Scenarios'!$D$10)*(INDEX(BookQ1,1201)*(5-MIN(4,1+'5. Scenarios'!$D$8))/4+INDEX(BookQ2,1201)*(5-MIN(4,2+'5. Scenarios'!$D$8))/4+INDEX(BookQ3,1201)*(5-MIN(4,3+'5. Scenarios'!$D$8))/4+INDEX(BookQ4,1201)*(5-MIN(4,4+'5. Scenarios'!$D$8))/4)*'5. Scenarios'!$D$6/(1+ProductivityDefault*('5. Scenarios'!$D$11-1))+INDEX(BookOneOff,1201)*$N1206)</f>
        <v/>
      </c>
      <c r="S1206" s="56" t="str">
        <f aca="false">IF(INDEX(BookTitle,1201)="","",INDEX(BookTotal,1201)*'5. Scenarios'!$E$6/(1+ProductivityDefault*('5. Scenarios'!$E$11-1)))</f>
        <v/>
      </c>
      <c r="T1206" s="57" t="str">
        <f aca="false">IF($S1206="","",INDEX(BookRate,1201)*(1+'5. Scenarios'!$E$10)*$S1206)</f>
        <v/>
      </c>
      <c r="U1206" s="57" t="str">
        <f aca="false">IF($T1206="","",SUMIFS($T$6:$T$2405,$A$6:$A$2405,"&lt;="&amp;$A1206))</f>
        <v/>
      </c>
      <c r="V1206" s="57" t="str">
        <f aca="false">IF($T1206="","",IF($U1206&lt;=BankCostEnvelope*'5. Scenarios'!$E$7,1,0))</f>
        <v/>
      </c>
      <c r="W1206" s="57" t="str">
        <f aca="false">IF($S1206="","",INDEX(BookRate,1201)*(1+'5. Scenarios'!$E$10)*(INDEX(BookQ1,1201)*(5-MIN(4,1+'5. Scenarios'!$E$8))/4+INDEX(BookQ2,1201)*(5-MIN(4,2+'5. Scenarios'!$E$8))/4+INDEX(BookQ3,1201)*(5-MIN(4,3+'5. Scenarios'!$E$8))/4+INDEX(BookQ4,1201)*(5-MIN(4,4+'5. Scenarios'!$E$8))/4)*'5. Scenarios'!$E$6/(1+ProductivityDefault*('5. Scenarios'!$E$11-1))+INDEX(BookOneOff,1201)*$S1206)</f>
        <v/>
      </c>
    </row>
    <row r="1207" customFormat="false" ht="15" hidden="false" customHeight="false" outlineLevel="0" collapsed="false">
      <c r="A1207" s="0" t="str">
        <f aca="false">IF(INDEX(BookTitle,1202)="","",INDEX(BookKey,1202))</f>
        <v/>
      </c>
      <c r="B1207" s="0" t="str">
        <f aca="false">IF(INDEX(BookTitle,1202)="","",INDEX(BookGroup,1202))</f>
        <v/>
      </c>
      <c r="C1207" s="0" t="str">
        <f aca="false">IF(INDEX(BookTitle,1202)="","",INDEX(BookCategory,1202))</f>
        <v/>
      </c>
      <c r="D1207" s="56" t="str">
        <f aca="false">IF(INDEX(BookTitle,1202)="","",INDEX(BookTotal,1202)*'5. Scenarios'!$B$6/(1+ProductivityDefault*('5. Scenarios'!$B$11-1)))</f>
        <v/>
      </c>
      <c r="E1207" s="57" t="str">
        <f aca="false">IF($D1207="","",INDEX(BookRate,1202)*(1+'5. Scenarios'!$B$10)*$D1207)</f>
        <v/>
      </c>
      <c r="F1207" s="57" t="str">
        <f aca="false">IF($E1207="","",SUMIFS($E$6:$E$2405,$A$6:$A$2405,"&lt;="&amp;$A1207))</f>
        <v/>
      </c>
      <c r="G1207" s="57" t="str">
        <f aca="false">IF($E1207="","",IF($F1207&lt;=BankCostEnvelope*'5. Scenarios'!$B$7,1,0))</f>
        <v/>
      </c>
      <c r="H1207" s="57" t="str">
        <f aca="false">IF($D1207="","",INDEX(BookRate,1202)*(1+'5. Scenarios'!$B$10)*(INDEX(BookQ1,1202)*(5-MIN(4,1+'5. Scenarios'!$B$8))/4+INDEX(BookQ2,1202)*(5-MIN(4,2+'5. Scenarios'!$B$8))/4+INDEX(BookQ3,1202)*(5-MIN(4,3+'5. Scenarios'!$B$8))/4+INDEX(BookQ4,1202)*(5-MIN(4,4+'5. Scenarios'!$B$8))/4)*'5. Scenarios'!$B$6/(1+ProductivityDefault*('5. Scenarios'!$B$11-1))+INDEX(BookOneOff,1202)*$D1207)</f>
        <v/>
      </c>
      <c r="I1207" s="56" t="str">
        <f aca="false">IF(INDEX(BookTitle,1202)="","",INDEX(BookTotal,1202)*'5. Scenarios'!$C$6/(1+ProductivityDefault*('5. Scenarios'!$C$11-1)))</f>
        <v/>
      </c>
      <c r="J1207" s="57" t="str">
        <f aca="false">IF($I1207="","",INDEX(BookRate,1202)*(1+'5. Scenarios'!$C$10)*$I1207)</f>
        <v/>
      </c>
      <c r="K1207" s="57" t="str">
        <f aca="false">IF($J1207="","",SUMIFS($J$6:$J$2405,$A$6:$A$2405,"&lt;="&amp;$A1207))</f>
        <v/>
      </c>
      <c r="L1207" s="57" t="str">
        <f aca="false">IF($J1207="","",IF($K1207&lt;=BankCostEnvelope*'5. Scenarios'!$C$7,1,0))</f>
        <v/>
      </c>
      <c r="M1207" s="57" t="str">
        <f aca="false">IF($I1207="","",INDEX(BookRate,1202)*(1+'5. Scenarios'!$C$10)*(INDEX(BookQ1,1202)*(5-MIN(4,1+'5. Scenarios'!$C$8))/4+INDEX(BookQ2,1202)*(5-MIN(4,2+'5. Scenarios'!$C$8))/4+INDEX(BookQ3,1202)*(5-MIN(4,3+'5. Scenarios'!$C$8))/4+INDEX(BookQ4,1202)*(5-MIN(4,4+'5. Scenarios'!$C$8))/4)*'5. Scenarios'!$C$6/(1+ProductivityDefault*('5. Scenarios'!$C$11-1))+INDEX(BookOneOff,1202)*$I1207)</f>
        <v/>
      </c>
      <c r="N1207" s="56" t="str">
        <f aca="false">IF(INDEX(BookTitle,1202)="","",INDEX(BookTotal,1202)*'5. Scenarios'!$D$6/(1+ProductivityDefault*('5. Scenarios'!$D$11-1)))</f>
        <v/>
      </c>
      <c r="O1207" s="57" t="str">
        <f aca="false">IF($N1207="","",INDEX(BookRate,1202)*(1+'5. Scenarios'!$D$10)*$N1207)</f>
        <v/>
      </c>
      <c r="P1207" s="57" t="str">
        <f aca="false">IF($O1207="","",SUMIFS($O$6:$O$2405,$A$6:$A$2405,"&lt;="&amp;$A1207))</f>
        <v/>
      </c>
      <c r="Q1207" s="57" t="str">
        <f aca="false">IF($O1207="","",IF($P1207&lt;=BankCostEnvelope*'5. Scenarios'!$D$7,1,0))</f>
        <v/>
      </c>
      <c r="R1207" s="57" t="str">
        <f aca="false">IF($N1207="","",INDEX(BookRate,1202)*(1+'5. Scenarios'!$D$10)*(INDEX(BookQ1,1202)*(5-MIN(4,1+'5. Scenarios'!$D$8))/4+INDEX(BookQ2,1202)*(5-MIN(4,2+'5. Scenarios'!$D$8))/4+INDEX(BookQ3,1202)*(5-MIN(4,3+'5. Scenarios'!$D$8))/4+INDEX(BookQ4,1202)*(5-MIN(4,4+'5. Scenarios'!$D$8))/4)*'5. Scenarios'!$D$6/(1+ProductivityDefault*('5. Scenarios'!$D$11-1))+INDEX(BookOneOff,1202)*$N1207)</f>
        <v/>
      </c>
      <c r="S1207" s="56" t="str">
        <f aca="false">IF(INDEX(BookTitle,1202)="","",INDEX(BookTotal,1202)*'5. Scenarios'!$E$6/(1+ProductivityDefault*('5. Scenarios'!$E$11-1)))</f>
        <v/>
      </c>
      <c r="T1207" s="57" t="str">
        <f aca="false">IF($S1207="","",INDEX(BookRate,1202)*(1+'5. Scenarios'!$E$10)*$S1207)</f>
        <v/>
      </c>
      <c r="U1207" s="57" t="str">
        <f aca="false">IF($T1207="","",SUMIFS($T$6:$T$2405,$A$6:$A$2405,"&lt;="&amp;$A1207))</f>
        <v/>
      </c>
      <c r="V1207" s="57" t="str">
        <f aca="false">IF($T1207="","",IF($U1207&lt;=BankCostEnvelope*'5. Scenarios'!$E$7,1,0))</f>
        <v/>
      </c>
      <c r="W1207" s="57" t="str">
        <f aca="false">IF($S1207="","",INDEX(BookRate,1202)*(1+'5. Scenarios'!$E$10)*(INDEX(BookQ1,1202)*(5-MIN(4,1+'5. Scenarios'!$E$8))/4+INDEX(BookQ2,1202)*(5-MIN(4,2+'5. Scenarios'!$E$8))/4+INDEX(BookQ3,1202)*(5-MIN(4,3+'5. Scenarios'!$E$8))/4+INDEX(BookQ4,1202)*(5-MIN(4,4+'5. Scenarios'!$E$8))/4)*'5. Scenarios'!$E$6/(1+ProductivityDefault*('5. Scenarios'!$E$11-1))+INDEX(BookOneOff,1202)*$S1207)</f>
        <v/>
      </c>
    </row>
    <row r="1208" customFormat="false" ht="15" hidden="false" customHeight="false" outlineLevel="0" collapsed="false">
      <c r="A1208" s="0" t="str">
        <f aca="false">IF(INDEX(BookTitle,1203)="","",INDEX(BookKey,1203))</f>
        <v/>
      </c>
      <c r="B1208" s="0" t="str">
        <f aca="false">IF(INDEX(BookTitle,1203)="","",INDEX(BookGroup,1203))</f>
        <v/>
      </c>
      <c r="C1208" s="0" t="str">
        <f aca="false">IF(INDEX(BookTitle,1203)="","",INDEX(BookCategory,1203))</f>
        <v/>
      </c>
      <c r="D1208" s="56" t="str">
        <f aca="false">IF(INDEX(BookTitle,1203)="","",INDEX(BookTotal,1203)*'5. Scenarios'!$B$6/(1+ProductivityDefault*('5. Scenarios'!$B$11-1)))</f>
        <v/>
      </c>
      <c r="E1208" s="57" t="str">
        <f aca="false">IF($D1208="","",INDEX(BookRate,1203)*(1+'5. Scenarios'!$B$10)*$D1208)</f>
        <v/>
      </c>
      <c r="F1208" s="57" t="str">
        <f aca="false">IF($E1208="","",SUMIFS($E$6:$E$2405,$A$6:$A$2405,"&lt;="&amp;$A1208))</f>
        <v/>
      </c>
      <c r="G1208" s="57" t="str">
        <f aca="false">IF($E1208="","",IF($F1208&lt;=BankCostEnvelope*'5. Scenarios'!$B$7,1,0))</f>
        <v/>
      </c>
      <c r="H1208" s="57" t="str">
        <f aca="false">IF($D1208="","",INDEX(BookRate,1203)*(1+'5. Scenarios'!$B$10)*(INDEX(BookQ1,1203)*(5-MIN(4,1+'5. Scenarios'!$B$8))/4+INDEX(BookQ2,1203)*(5-MIN(4,2+'5. Scenarios'!$B$8))/4+INDEX(BookQ3,1203)*(5-MIN(4,3+'5. Scenarios'!$B$8))/4+INDEX(BookQ4,1203)*(5-MIN(4,4+'5. Scenarios'!$B$8))/4)*'5. Scenarios'!$B$6/(1+ProductivityDefault*('5. Scenarios'!$B$11-1))+INDEX(BookOneOff,1203)*$D1208)</f>
        <v/>
      </c>
      <c r="I1208" s="56" t="str">
        <f aca="false">IF(INDEX(BookTitle,1203)="","",INDEX(BookTotal,1203)*'5. Scenarios'!$C$6/(1+ProductivityDefault*('5. Scenarios'!$C$11-1)))</f>
        <v/>
      </c>
      <c r="J1208" s="57" t="str">
        <f aca="false">IF($I1208="","",INDEX(BookRate,1203)*(1+'5. Scenarios'!$C$10)*$I1208)</f>
        <v/>
      </c>
      <c r="K1208" s="57" t="str">
        <f aca="false">IF($J1208="","",SUMIFS($J$6:$J$2405,$A$6:$A$2405,"&lt;="&amp;$A1208))</f>
        <v/>
      </c>
      <c r="L1208" s="57" t="str">
        <f aca="false">IF($J1208="","",IF($K1208&lt;=BankCostEnvelope*'5. Scenarios'!$C$7,1,0))</f>
        <v/>
      </c>
      <c r="M1208" s="57" t="str">
        <f aca="false">IF($I1208="","",INDEX(BookRate,1203)*(1+'5. Scenarios'!$C$10)*(INDEX(BookQ1,1203)*(5-MIN(4,1+'5. Scenarios'!$C$8))/4+INDEX(BookQ2,1203)*(5-MIN(4,2+'5. Scenarios'!$C$8))/4+INDEX(BookQ3,1203)*(5-MIN(4,3+'5. Scenarios'!$C$8))/4+INDEX(BookQ4,1203)*(5-MIN(4,4+'5. Scenarios'!$C$8))/4)*'5. Scenarios'!$C$6/(1+ProductivityDefault*('5. Scenarios'!$C$11-1))+INDEX(BookOneOff,1203)*$I1208)</f>
        <v/>
      </c>
      <c r="N1208" s="56" t="str">
        <f aca="false">IF(INDEX(BookTitle,1203)="","",INDEX(BookTotal,1203)*'5. Scenarios'!$D$6/(1+ProductivityDefault*('5. Scenarios'!$D$11-1)))</f>
        <v/>
      </c>
      <c r="O1208" s="57" t="str">
        <f aca="false">IF($N1208="","",INDEX(BookRate,1203)*(1+'5. Scenarios'!$D$10)*$N1208)</f>
        <v/>
      </c>
      <c r="P1208" s="57" t="str">
        <f aca="false">IF($O1208="","",SUMIFS($O$6:$O$2405,$A$6:$A$2405,"&lt;="&amp;$A1208))</f>
        <v/>
      </c>
      <c r="Q1208" s="57" t="str">
        <f aca="false">IF($O1208="","",IF($P1208&lt;=BankCostEnvelope*'5. Scenarios'!$D$7,1,0))</f>
        <v/>
      </c>
      <c r="R1208" s="57" t="str">
        <f aca="false">IF($N1208="","",INDEX(BookRate,1203)*(1+'5. Scenarios'!$D$10)*(INDEX(BookQ1,1203)*(5-MIN(4,1+'5. Scenarios'!$D$8))/4+INDEX(BookQ2,1203)*(5-MIN(4,2+'5. Scenarios'!$D$8))/4+INDEX(BookQ3,1203)*(5-MIN(4,3+'5. Scenarios'!$D$8))/4+INDEX(BookQ4,1203)*(5-MIN(4,4+'5. Scenarios'!$D$8))/4)*'5. Scenarios'!$D$6/(1+ProductivityDefault*('5. Scenarios'!$D$11-1))+INDEX(BookOneOff,1203)*$N1208)</f>
        <v/>
      </c>
      <c r="S1208" s="56" t="str">
        <f aca="false">IF(INDEX(BookTitle,1203)="","",INDEX(BookTotal,1203)*'5. Scenarios'!$E$6/(1+ProductivityDefault*('5. Scenarios'!$E$11-1)))</f>
        <v/>
      </c>
      <c r="T1208" s="57" t="str">
        <f aca="false">IF($S1208="","",INDEX(BookRate,1203)*(1+'5. Scenarios'!$E$10)*$S1208)</f>
        <v/>
      </c>
      <c r="U1208" s="57" t="str">
        <f aca="false">IF($T1208="","",SUMIFS($T$6:$T$2405,$A$6:$A$2405,"&lt;="&amp;$A1208))</f>
        <v/>
      </c>
      <c r="V1208" s="57" t="str">
        <f aca="false">IF($T1208="","",IF($U1208&lt;=BankCostEnvelope*'5. Scenarios'!$E$7,1,0))</f>
        <v/>
      </c>
      <c r="W1208" s="57" t="str">
        <f aca="false">IF($S1208="","",INDEX(BookRate,1203)*(1+'5. Scenarios'!$E$10)*(INDEX(BookQ1,1203)*(5-MIN(4,1+'5. Scenarios'!$E$8))/4+INDEX(BookQ2,1203)*(5-MIN(4,2+'5. Scenarios'!$E$8))/4+INDEX(BookQ3,1203)*(5-MIN(4,3+'5. Scenarios'!$E$8))/4+INDEX(BookQ4,1203)*(5-MIN(4,4+'5. Scenarios'!$E$8))/4)*'5. Scenarios'!$E$6/(1+ProductivityDefault*('5. Scenarios'!$E$11-1))+INDEX(BookOneOff,1203)*$S1208)</f>
        <v/>
      </c>
    </row>
    <row r="1209" customFormat="false" ht="15" hidden="false" customHeight="false" outlineLevel="0" collapsed="false">
      <c r="A1209" s="0" t="str">
        <f aca="false">IF(INDEX(BookTitle,1204)="","",INDEX(BookKey,1204))</f>
        <v/>
      </c>
      <c r="B1209" s="0" t="str">
        <f aca="false">IF(INDEX(BookTitle,1204)="","",INDEX(BookGroup,1204))</f>
        <v/>
      </c>
      <c r="C1209" s="0" t="str">
        <f aca="false">IF(INDEX(BookTitle,1204)="","",INDEX(BookCategory,1204))</f>
        <v/>
      </c>
      <c r="D1209" s="56" t="str">
        <f aca="false">IF(INDEX(BookTitle,1204)="","",INDEX(BookTotal,1204)*'5. Scenarios'!$B$6/(1+ProductivityDefault*('5. Scenarios'!$B$11-1)))</f>
        <v/>
      </c>
      <c r="E1209" s="57" t="str">
        <f aca="false">IF($D1209="","",INDEX(BookRate,1204)*(1+'5. Scenarios'!$B$10)*$D1209)</f>
        <v/>
      </c>
      <c r="F1209" s="57" t="str">
        <f aca="false">IF($E1209="","",SUMIFS($E$6:$E$2405,$A$6:$A$2405,"&lt;="&amp;$A1209))</f>
        <v/>
      </c>
      <c r="G1209" s="57" t="str">
        <f aca="false">IF($E1209="","",IF($F1209&lt;=BankCostEnvelope*'5. Scenarios'!$B$7,1,0))</f>
        <v/>
      </c>
      <c r="H1209" s="57" t="str">
        <f aca="false">IF($D1209="","",INDEX(BookRate,1204)*(1+'5. Scenarios'!$B$10)*(INDEX(BookQ1,1204)*(5-MIN(4,1+'5. Scenarios'!$B$8))/4+INDEX(BookQ2,1204)*(5-MIN(4,2+'5. Scenarios'!$B$8))/4+INDEX(BookQ3,1204)*(5-MIN(4,3+'5. Scenarios'!$B$8))/4+INDEX(BookQ4,1204)*(5-MIN(4,4+'5. Scenarios'!$B$8))/4)*'5. Scenarios'!$B$6/(1+ProductivityDefault*('5. Scenarios'!$B$11-1))+INDEX(BookOneOff,1204)*$D1209)</f>
        <v/>
      </c>
      <c r="I1209" s="56" t="str">
        <f aca="false">IF(INDEX(BookTitle,1204)="","",INDEX(BookTotal,1204)*'5. Scenarios'!$C$6/(1+ProductivityDefault*('5. Scenarios'!$C$11-1)))</f>
        <v/>
      </c>
      <c r="J1209" s="57" t="str">
        <f aca="false">IF($I1209="","",INDEX(BookRate,1204)*(1+'5. Scenarios'!$C$10)*$I1209)</f>
        <v/>
      </c>
      <c r="K1209" s="57" t="str">
        <f aca="false">IF($J1209="","",SUMIFS($J$6:$J$2405,$A$6:$A$2405,"&lt;="&amp;$A1209))</f>
        <v/>
      </c>
      <c r="L1209" s="57" t="str">
        <f aca="false">IF($J1209="","",IF($K1209&lt;=BankCostEnvelope*'5. Scenarios'!$C$7,1,0))</f>
        <v/>
      </c>
      <c r="M1209" s="57" t="str">
        <f aca="false">IF($I1209="","",INDEX(BookRate,1204)*(1+'5. Scenarios'!$C$10)*(INDEX(BookQ1,1204)*(5-MIN(4,1+'5. Scenarios'!$C$8))/4+INDEX(BookQ2,1204)*(5-MIN(4,2+'5. Scenarios'!$C$8))/4+INDEX(BookQ3,1204)*(5-MIN(4,3+'5. Scenarios'!$C$8))/4+INDEX(BookQ4,1204)*(5-MIN(4,4+'5. Scenarios'!$C$8))/4)*'5. Scenarios'!$C$6/(1+ProductivityDefault*('5. Scenarios'!$C$11-1))+INDEX(BookOneOff,1204)*$I1209)</f>
        <v/>
      </c>
      <c r="N1209" s="56" t="str">
        <f aca="false">IF(INDEX(BookTitle,1204)="","",INDEX(BookTotal,1204)*'5. Scenarios'!$D$6/(1+ProductivityDefault*('5. Scenarios'!$D$11-1)))</f>
        <v/>
      </c>
      <c r="O1209" s="57" t="str">
        <f aca="false">IF($N1209="","",INDEX(BookRate,1204)*(1+'5. Scenarios'!$D$10)*$N1209)</f>
        <v/>
      </c>
      <c r="P1209" s="57" t="str">
        <f aca="false">IF($O1209="","",SUMIFS($O$6:$O$2405,$A$6:$A$2405,"&lt;="&amp;$A1209))</f>
        <v/>
      </c>
      <c r="Q1209" s="57" t="str">
        <f aca="false">IF($O1209="","",IF($P1209&lt;=BankCostEnvelope*'5. Scenarios'!$D$7,1,0))</f>
        <v/>
      </c>
      <c r="R1209" s="57" t="str">
        <f aca="false">IF($N1209="","",INDEX(BookRate,1204)*(1+'5. Scenarios'!$D$10)*(INDEX(BookQ1,1204)*(5-MIN(4,1+'5. Scenarios'!$D$8))/4+INDEX(BookQ2,1204)*(5-MIN(4,2+'5. Scenarios'!$D$8))/4+INDEX(BookQ3,1204)*(5-MIN(4,3+'5. Scenarios'!$D$8))/4+INDEX(BookQ4,1204)*(5-MIN(4,4+'5. Scenarios'!$D$8))/4)*'5. Scenarios'!$D$6/(1+ProductivityDefault*('5. Scenarios'!$D$11-1))+INDEX(BookOneOff,1204)*$N1209)</f>
        <v/>
      </c>
      <c r="S1209" s="56" t="str">
        <f aca="false">IF(INDEX(BookTitle,1204)="","",INDEX(BookTotal,1204)*'5. Scenarios'!$E$6/(1+ProductivityDefault*('5. Scenarios'!$E$11-1)))</f>
        <v/>
      </c>
      <c r="T1209" s="57" t="str">
        <f aca="false">IF($S1209="","",INDEX(BookRate,1204)*(1+'5. Scenarios'!$E$10)*$S1209)</f>
        <v/>
      </c>
      <c r="U1209" s="57" t="str">
        <f aca="false">IF($T1209="","",SUMIFS($T$6:$T$2405,$A$6:$A$2405,"&lt;="&amp;$A1209))</f>
        <v/>
      </c>
      <c r="V1209" s="57" t="str">
        <f aca="false">IF($T1209="","",IF($U1209&lt;=BankCostEnvelope*'5. Scenarios'!$E$7,1,0))</f>
        <v/>
      </c>
      <c r="W1209" s="57" t="str">
        <f aca="false">IF($S1209="","",INDEX(BookRate,1204)*(1+'5. Scenarios'!$E$10)*(INDEX(BookQ1,1204)*(5-MIN(4,1+'5. Scenarios'!$E$8))/4+INDEX(BookQ2,1204)*(5-MIN(4,2+'5. Scenarios'!$E$8))/4+INDEX(BookQ3,1204)*(5-MIN(4,3+'5. Scenarios'!$E$8))/4+INDEX(BookQ4,1204)*(5-MIN(4,4+'5. Scenarios'!$E$8))/4)*'5. Scenarios'!$E$6/(1+ProductivityDefault*('5. Scenarios'!$E$11-1))+INDEX(BookOneOff,1204)*$S1209)</f>
        <v/>
      </c>
    </row>
    <row r="1210" customFormat="false" ht="15" hidden="false" customHeight="false" outlineLevel="0" collapsed="false">
      <c r="A1210" s="0" t="str">
        <f aca="false">IF(INDEX(BookTitle,1205)="","",INDEX(BookKey,1205))</f>
        <v/>
      </c>
      <c r="B1210" s="0" t="str">
        <f aca="false">IF(INDEX(BookTitle,1205)="","",INDEX(BookGroup,1205))</f>
        <v/>
      </c>
      <c r="C1210" s="0" t="str">
        <f aca="false">IF(INDEX(BookTitle,1205)="","",INDEX(BookCategory,1205))</f>
        <v/>
      </c>
      <c r="D1210" s="56" t="str">
        <f aca="false">IF(INDEX(BookTitle,1205)="","",INDEX(BookTotal,1205)*'5. Scenarios'!$B$6/(1+ProductivityDefault*('5. Scenarios'!$B$11-1)))</f>
        <v/>
      </c>
      <c r="E1210" s="57" t="str">
        <f aca="false">IF($D1210="","",INDEX(BookRate,1205)*(1+'5. Scenarios'!$B$10)*$D1210)</f>
        <v/>
      </c>
      <c r="F1210" s="57" t="str">
        <f aca="false">IF($E1210="","",SUMIFS($E$6:$E$2405,$A$6:$A$2405,"&lt;="&amp;$A1210))</f>
        <v/>
      </c>
      <c r="G1210" s="57" t="str">
        <f aca="false">IF($E1210="","",IF($F1210&lt;=BankCostEnvelope*'5. Scenarios'!$B$7,1,0))</f>
        <v/>
      </c>
      <c r="H1210" s="57" t="str">
        <f aca="false">IF($D1210="","",INDEX(BookRate,1205)*(1+'5. Scenarios'!$B$10)*(INDEX(BookQ1,1205)*(5-MIN(4,1+'5. Scenarios'!$B$8))/4+INDEX(BookQ2,1205)*(5-MIN(4,2+'5. Scenarios'!$B$8))/4+INDEX(BookQ3,1205)*(5-MIN(4,3+'5. Scenarios'!$B$8))/4+INDEX(BookQ4,1205)*(5-MIN(4,4+'5. Scenarios'!$B$8))/4)*'5. Scenarios'!$B$6/(1+ProductivityDefault*('5. Scenarios'!$B$11-1))+INDEX(BookOneOff,1205)*$D1210)</f>
        <v/>
      </c>
      <c r="I1210" s="56" t="str">
        <f aca="false">IF(INDEX(BookTitle,1205)="","",INDEX(BookTotal,1205)*'5. Scenarios'!$C$6/(1+ProductivityDefault*('5. Scenarios'!$C$11-1)))</f>
        <v/>
      </c>
      <c r="J1210" s="57" t="str">
        <f aca="false">IF($I1210="","",INDEX(BookRate,1205)*(1+'5. Scenarios'!$C$10)*$I1210)</f>
        <v/>
      </c>
      <c r="K1210" s="57" t="str">
        <f aca="false">IF($J1210="","",SUMIFS($J$6:$J$2405,$A$6:$A$2405,"&lt;="&amp;$A1210))</f>
        <v/>
      </c>
      <c r="L1210" s="57" t="str">
        <f aca="false">IF($J1210="","",IF($K1210&lt;=BankCostEnvelope*'5. Scenarios'!$C$7,1,0))</f>
        <v/>
      </c>
      <c r="M1210" s="57" t="str">
        <f aca="false">IF($I1210="","",INDEX(BookRate,1205)*(1+'5. Scenarios'!$C$10)*(INDEX(BookQ1,1205)*(5-MIN(4,1+'5. Scenarios'!$C$8))/4+INDEX(BookQ2,1205)*(5-MIN(4,2+'5. Scenarios'!$C$8))/4+INDEX(BookQ3,1205)*(5-MIN(4,3+'5. Scenarios'!$C$8))/4+INDEX(BookQ4,1205)*(5-MIN(4,4+'5. Scenarios'!$C$8))/4)*'5. Scenarios'!$C$6/(1+ProductivityDefault*('5. Scenarios'!$C$11-1))+INDEX(BookOneOff,1205)*$I1210)</f>
        <v/>
      </c>
      <c r="N1210" s="56" t="str">
        <f aca="false">IF(INDEX(BookTitle,1205)="","",INDEX(BookTotal,1205)*'5. Scenarios'!$D$6/(1+ProductivityDefault*('5. Scenarios'!$D$11-1)))</f>
        <v/>
      </c>
      <c r="O1210" s="57" t="str">
        <f aca="false">IF($N1210="","",INDEX(BookRate,1205)*(1+'5. Scenarios'!$D$10)*$N1210)</f>
        <v/>
      </c>
      <c r="P1210" s="57" t="str">
        <f aca="false">IF($O1210="","",SUMIFS($O$6:$O$2405,$A$6:$A$2405,"&lt;="&amp;$A1210))</f>
        <v/>
      </c>
      <c r="Q1210" s="57" t="str">
        <f aca="false">IF($O1210="","",IF($P1210&lt;=BankCostEnvelope*'5. Scenarios'!$D$7,1,0))</f>
        <v/>
      </c>
      <c r="R1210" s="57" t="str">
        <f aca="false">IF($N1210="","",INDEX(BookRate,1205)*(1+'5. Scenarios'!$D$10)*(INDEX(BookQ1,1205)*(5-MIN(4,1+'5. Scenarios'!$D$8))/4+INDEX(BookQ2,1205)*(5-MIN(4,2+'5. Scenarios'!$D$8))/4+INDEX(BookQ3,1205)*(5-MIN(4,3+'5. Scenarios'!$D$8))/4+INDEX(BookQ4,1205)*(5-MIN(4,4+'5. Scenarios'!$D$8))/4)*'5. Scenarios'!$D$6/(1+ProductivityDefault*('5. Scenarios'!$D$11-1))+INDEX(BookOneOff,1205)*$N1210)</f>
        <v/>
      </c>
      <c r="S1210" s="56" t="str">
        <f aca="false">IF(INDEX(BookTitle,1205)="","",INDEX(BookTotal,1205)*'5. Scenarios'!$E$6/(1+ProductivityDefault*('5. Scenarios'!$E$11-1)))</f>
        <v/>
      </c>
      <c r="T1210" s="57" t="str">
        <f aca="false">IF($S1210="","",INDEX(BookRate,1205)*(1+'5. Scenarios'!$E$10)*$S1210)</f>
        <v/>
      </c>
      <c r="U1210" s="57" t="str">
        <f aca="false">IF($T1210="","",SUMIFS($T$6:$T$2405,$A$6:$A$2405,"&lt;="&amp;$A1210))</f>
        <v/>
      </c>
      <c r="V1210" s="57" t="str">
        <f aca="false">IF($T1210="","",IF($U1210&lt;=BankCostEnvelope*'5. Scenarios'!$E$7,1,0))</f>
        <v/>
      </c>
      <c r="W1210" s="57" t="str">
        <f aca="false">IF($S1210="","",INDEX(BookRate,1205)*(1+'5. Scenarios'!$E$10)*(INDEX(BookQ1,1205)*(5-MIN(4,1+'5. Scenarios'!$E$8))/4+INDEX(BookQ2,1205)*(5-MIN(4,2+'5. Scenarios'!$E$8))/4+INDEX(BookQ3,1205)*(5-MIN(4,3+'5. Scenarios'!$E$8))/4+INDEX(BookQ4,1205)*(5-MIN(4,4+'5. Scenarios'!$E$8))/4)*'5. Scenarios'!$E$6/(1+ProductivityDefault*('5. Scenarios'!$E$11-1))+INDEX(BookOneOff,1205)*$S1210)</f>
        <v/>
      </c>
    </row>
    <row r="1211" customFormat="false" ht="15" hidden="false" customHeight="false" outlineLevel="0" collapsed="false">
      <c r="A1211" s="0" t="str">
        <f aca="false">IF(INDEX(BookTitle,1206)="","",INDEX(BookKey,1206))</f>
        <v/>
      </c>
      <c r="B1211" s="0" t="str">
        <f aca="false">IF(INDEX(BookTitle,1206)="","",INDEX(BookGroup,1206))</f>
        <v/>
      </c>
      <c r="C1211" s="0" t="str">
        <f aca="false">IF(INDEX(BookTitle,1206)="","",INDEX(BookCategory,1206))</f>
        <v/>
      </c>
      <c r="D1211" s="56" t="str">
        <f aca="false">IF(INDEX(BookTitle,1206)="","",INDEX(BookTotal,1206)*'5. Scenarios'!$B$6/(1+ProductivityDefault*('5. Scenarios'!$B$11-1)))</f>
        <v/>
      </c>
      <c r="E1211" s="57" t="str">
        <f aca="false">IF($D1211="","",INDEX(BookRate,1206)*(1+'5. Scenarios'!$B$10)*$D1211)</f>
        <v/>
      </c>
      <c r="F1211" s="57" t="str">
        <f aca="false">IF($E1211="","",SUMIFS($E$6:$E$2405,$A$6:$A$2405,"&lt;="&amp;$A1211))</f>
        <v/>
      </c>
      <c r="G1211" s="57" t="str">
        <f aca="false">IF($E1211="","",IF($F1211&lt;=BankCostEnvelope*'5. Scenarios'!$B$7,1,0))</f>
        <v/>
      </c>
      <c r="H1211" s="57" t="str">
        <f aca="false">IF($D1211="","",INDEX(BookRate,1206)*(1+'5. Scenarios'!$B$10)*(INDEX(BookQ1,1206)*(5-MIN(4,1+'5. Scenarios'!$B$8))/4+INDEX(BookQ2,1206)*(5-MIN(4,2+'5. Scenarios'!$B$8))/4+INDEX(BookQ3,1206)*(5-MIN(4,3+'5. Scenarios'!$B$8))/4+INDEX(BookQ4,1206)*(5-MIN(4,4+'5. Scenarios'!$B$8))/4)*'5. Scenarios'!$B$6/(1+ProductivityDefault*('5. Scenarios'!$B$11-1))+INDEX(BookOneOff,1206)*$D1211)</f>
        <v/>
      </c>
      <c r="I1211" s="56" t="str">
        <f aca="false">IF(INDEX(BookTitle,1206)="","",INDEX(BookTotal,1206)*'5. Scenarios'!$C$6/(1+ProductivityDefault*('5. Scenarios'!$C$11-1)))</f>
        <v/>
      </c>
      <c r="J1211" s="57" t="str">
        <f aca="false">IF($I1211="","",INDEX(BookRate,1206)*(1+'5. Scenarios'!$C$10)*$I1211)</f>
        <v/>
      </c>
      <c r="K1211" s="57" t="str">
        <f aca="false">IF($J1211="","",SUMIFS($J$6:$J$2405,$A$6:$A$2405,"&lt;="&amp;$A1211))</f>
        <v/>
      </c>
      <c r="L1211" s="57" t="str">
        <f aca="false">IF($J1211="","",IF($K1211&lt;=BankCostEnvelope*'5. Scenarios'!$C$7,1,0))</f>
        <v/>
      </c>
      <c r="M1211" s="57" t="str">
        <f aca="false">IF($I1211="","",INDEX(BookRate,1206)*(1+'5. Scenarios'!$C$10)*(INDEX(BookQ1,1206)*(5-MIN(4,1+'5. Scenarios'!$C$8))/4+INDEX(BookQ2,1206)*(5-MIN(4,2+'5. Scenarios'!$C$8))/4+INDEX(BookQ3,1206)*(5-MIN(4,3+'5. Scenarios'!$C$8))/4+INDEX(BookQ4,1206)*(5-MIN(4,4+'5. Scenarios'!$C$8))/4)*'5. Scenarios'!$C$6/(1+ProductivityDefault*('5. Scenarios'!$C$11-1))+INDEX(BookOneOff,1206)*$I1211)</f>
        <v/>
      </c>
      <c r="N1211" s="56" t="str">
        <f aca="false">IF(INDEX(BookTitle,1206)="","",INDEX(BookTotal,1206)*'5. Scenarios'!$D$6/(1+ProductivityDefault*('5. Scenarios'!$D$11-1)))</f>
        <v/>
      </c>
      <c r="O1211" s="57" t="str">
        <f aca="false">IF($N1211="","",INDEX(BookRate,1206)*(1+'5. Scenarios'!$D$10)*$N1211)</f>
        <v/>
      </c>
      <c r="P1211" s="57" t="str">
        <f aca="false">IF($O1211="","",SUMIFS($O$6:$O$2405,$A$6:$A$2405,"&lt;="&amp;$A1211))</f>
        <v/>
      </c>
      <c r="Q1211" s="57" t="str">
        <f aca="false">IF($O1211="","",IF($P1211&lt;=BankCostEnvelope*'5. Scenarios'!$D$7,1,0))</f>
        <v/>
      </c>
      <c r="R1211" s="57" t="str">
        <f aca="false">IF($N1211="","",INDEX(BookRate,1206)*(1+'5. Scenarios'!$D$10)*(INDEX(BookQ1,1206)*(5-MIN(4,1+'5. Scenarios'!$D$8))/4+INDEX(BookQ2,1206)*(5-MIN(4,2+'5. Scenarios'!$D$8))/4+INDEX(BookQ3,1206)*(5-MIN(4,3+'5. Scenarios'!$D$8))/4+INDEX(BookQ4,1206)*(5-MIN(4,4+'5. Scenarios'!$D$8))/4)*'5. Scenarios'!$D$6/(1+ProductivityDefault*('5. Scenarios'!$D$11-1))+INDEX(BookOneOff,1206)*$N1211)</f>
        <v/>
      </c>
      <c r="S1211" s="56" t="str">
        <f aca="false">IF(INDEX(BookTitle,1206)="","",INDEX(BookTotal,1206)*'5. Scenarios'!$E$6/(1+ProductivityDefault*('5. Scenarios'!$E$11-1)))</f>
        <v/>
      </c>
      <c r="T1211" s="57" t="str">
        <f aca="false">IF($S1211="","",INDEX(BookRate,1206)*(1+'5. Scenarios'!$E$10)*$S1211)</f>
        <v/>
      </c>
      <c r="U1211" s="57" t="str">
        <f aca="false">IF($T1211="","",SUMIFS($T$6:$T$2405,$A$6:$A$2405,"&lt;="&amp;$A1211))</f>
        <v/>
      </c>
      <c r="V1211" s="57" t="str">
        <f aca="false">IF($T1211="","",IF($U1211&lt;=BankCostEnvelope*'5. Scenarios'!$E$7,1,0))</f>
        <v/>
      </c>
      <c r="W1211" s="57" t="str">
        <f aca="false">IF($S1211="","",INDEX(BookRate,1206)*(1+'5. Scenarios'!$E$10)*(INDEX(BookQ1,1206)*(5-MIN(4,1+'5. Scenarios'!$E$8))/4+INDEX(BookQ2,1206)*(5-MIN(4,2+'5. Scenarios'!$E$8))/4+INDEX(BookQ3,1206)*(5-MIN(4,3+'5. Scenarios'!$E$8))/4+INDEX(BookQ4,1206)*(5-MIN(4,4+'5. Scenarios'!$E$8))/4)*'5. Scenarios'!$E$6/(1+ProductivityDefault*('5. Scenarios'!$E$11-1))+INDEX(BookOneOff,1206)*$S1211)</f>
        <v/>
      </c>
    </row>
    <row r="1212" customFormat="false" ht="15" hidden="false" customHeight="false" outlineLevel="0" collapsed="false">
      <c r="A1212" s="0" t="str">
        <f aca="false">IF(INDEX(BookTitle,1207)="","",INDEX(BookKey,1207))</f>
        <v/>
      </c>
      <c r="B1212" s="0" t="str">
        <f aca="false">IF(INDEX(BookTitle,1207)="","",INDEX(BookGroup,1207))</f>
        <v/>
      </c>
      <c r="C1212" s="0" t="str">
        <f aca="false">IF(INDEX(BookTitle,1207)="","",INDEX(BookCategory,1207))</f>
        <v/>
      </c>
      <c r="D1212" s="56" t="str">
        <f aca="false">IF(INDEX(BookTitle,1207)="","",INDEX(BookTotal,1207)*'5. Scenarios'!$B$6/(1+ProductivityDefault*('5. Scenarios'!$B$11-1)))</f>
        <v/>
      </c>
      <c r="E1212" s="57" t="str">
        <f aca="false">IF($D1212="","",INDEX(BookRate,1207)*(1+'5. Scenarios'!$B$10)*$D1212)</f>
        <v/>
      </c>
      <c r="F1212" s="57" t="str">
        <f aca="false">IF($E1212="","",SUMIFS($E$6:$E$2405,$A$6:$A$2405,"&lt;="&amp;$A1212))</f>
        <v/>
      </c>
      <c r="G1212" s="57" t="str">
        <f aca="false">IF($E1212="","",IF($F1212&lt;=BankCostEnvelope*'5. Scenarios'!$B$7,1,0))</f>
        <v/>
      </c>
      <c r="H1212" s="57" t="str">
        <f aca="false">IF($D1212="","",INDEX(BookRate,1207)*(1+'5. Scenarios'!$B$10)*(INDEX(BookQ1,1207)*(5-MIN(4,1+'5. Scenarios'!$B$8))/4+INDEX(BookQ2,1207)*(5-MIN(4,2+'5. Scenarios'!$B$8))/4+INDEX(BookQ3,1207)*(5-MIN(4,3+'5. Scenarios'!$B$8))/4+INDEX(BookQ4,1207)*(5-MIN(4,4+'5. Scenarios'!$B$8))/4)*'5. Scenarios'!$B$6/(1+ProductivityDefault*('5. Scenarios'!$B$11-1))+INDEX(BookOneOff,1207)*$D1212)</f>
        <v/>
      </c>
      <c r="I1212" s="56" t="str">
        <f aca="false">IF(INDEX(BookTitle,1207)="","",INDEX(BookTotal,1207)*'5. Scenarios'!$C$6/(1+ProductivityDefault*('5. Scenarios'!$C$11-1)))</f>
        <v/>
      </c>
      <c r="J1212" s="57" t="str">
        <f aca="false">IF($I1212="","",INDEX(BookRate,1207)*(1+'5. Scenarios'!$C$10)*$I1212)</f>
        <v/>
      </c>
      <c r="K1212" s="57" t="str">
        <f aca="false">IF($J1212="","",SUMIFS($J$6:$J$2405,$A$6:$A$2405,"&lt;="&amp;$A1212))</f>
        <v/>
      </c>
      <c r="L1212" s="57" t="str">
        <f aca="false">IF($J1212="","",IF($K1212&lt;=BankCostEnvelope*'5. Scenarios'!$C$7,1,0))</f>
        <v/>
      </c>
      <c r="M1212" s="57" t="str">
        <f aca="false">IF($I1212="","",INDEX(BookRate,1207)*(1+'5. Scenarios'!$C$10)*(INDEX(BookQ1,1207)*(5-MIN(4,1+'5. Scenarios'!$C$8))/4+INDEX(BookQ2,1207)*(5-MIN(4,2+'5. Scenarios'!$C$8))/4+INDEX(BookQ3,1207)*(5-MIN(4,3+'5. Scenarios'!$C$8))/4+INDEX(BookQ4,1207)*(5-MIN(4,4+'5. Scenarios'!$C$8))/4)*'5. Scenarios'!$C$6/(1+ProductivityDefault*('5. Scenarios'!$C$11-1))+INDEX(BookOneOff,1207)*$I1212)</f>
        <v/>
      </c>
      <c r="N1212" s="56" t="str">
        <f aca="false">IF(INDEX(BookTitle,1207)="","",INDEX(BookTotal,1207)*'5. Scenarios'!$D$6/(1+ProductivityDefault*('5. Scenarios'!$D$11-1)))</f>
        <v/>
      </c>
      <c r="O1212" s="57" t="str">
        <f aca="false">IF($N1212="","",INDEX(BookRate,1207)*(1+'5. Scenarios'!$D$10)*$N1212)</f>
        <v/>
      </c>
      <c r="P1212" s="57" t="str">
        <f aca="false">IF($O1212="","",SUMIFS($O$6:$O$2405,$A$6:$A$2405,"&lt;="&amp;$A1212))</f>
        <v/>
      </c>
      <c r="Q1212" s="57" t="str">
        <f aca="false">IF($O1212="","",IF($P1212&lt;=BankCostEnvelope*'5. Scenarios'!$D$7,1,0))</f>
        <v/>
      </c>
      <c r="R1212" s="57" t="str">
        <f aca="false">IF($N1212="","",INDEX(BookRate,1207)*(1+'5. Scenarios'!$D$10)*(INDEX(BookQ1,1207)*(5-MIN(4,1+'5. Scenarios'!$D$8))/4+INDEX(BookQ2,1207)*(5-MIN(4,2+'5. Scenarios'!$D$8))/4+INDEX(BookQ3,1207)*(5-MIN(4,3+'5. Scenarios'!$D$8))/4+INDEX(BookQ4,1207)*(5-MIN(4,4+'5. Scenarios'!$D$8))/4)*'5. Scenarios'!$D$6/(1+ProductivityDefault*('5. Scenarios'!$D$11-1))+INDEX(BookOneOff,1207)*$N1212)</f>
        <v/>
      </c>
      <c r="S1212" s="56" t="str">
        <f aca="false">IF(INDEX(BookTitle,1207)="","",INDEX(BookTotal,1207)*'5. Scenarios'!$E$6/(1+ProductivityDefault*('5. Scenarios'!$E$11-1)))</f>
        <v/>
      </c>
      <c r="T1212" s="57" t="str">
        <f aca="false">IF($S1212="","",INDEX(BookRate,1207)*(1+'5. Scenarios'!$E$10)*$S1212)</f>
        <v/>
      </c>
      <c r="U1212" s="57" t="str">
        <f aca="false">IF($T1212="","",SUMIFS($T$6:$T$2405,$A$6:$A$2405,"&lt;="&amp;$A1212))</f>
        <v/>
      </c>
      <c r="V1212" s="57" t="str">
        <f aca="false">IF($T1212="","",IF($U1212&lt;=BankCostEnvelope*'5. Scenarios'!$E$7,1,0))</f>
        <v/>
      </c>
      <c r="W1212" s="57" t="str">
        <f aca="false">IF($S1212="","",INDEX(BookRate,1207)*(1+'5. Scenarios'!$E$10)*(INDEX(BookQ1,1207)*(5-MIN(4,1+'5. Scenarios'!$E$8))/4+INDEX(BookQ2,1207)*(5-MIN(4,2+'5. Scenarios'!$E$8))/4+INDEX(BookQ3,1207)*(5-MIN(4,3+'5. Scenarios'!$E$8))/4+INDEX(BookQ4,1207)*(5-MIN(4,4+'5. Scenarios'!$E$8))/4)*'5. Scenarios'!$E$6/(1+ProductivityDefault*('5. Scenarios'!$E$11-1))+INDEX(BookOneOff,1207)*$S1212)</f>
        <v/>
      </c>
    </row>
    <row r="1213" customFormat="false" ht="15" hidden="false" customHeight="false" outlineLevel="0" collapsed="false">
      <c r="A1213" s="0" t="str">
        <f aca="false">IF(INDEX(BookTitle,1208)="","",INDEX(BookKey,1208))</f>
        <v/>
      </c>
      <c r="B1213" s="0" t="str">
        <f aca="false">IF(INDEX(BookTitle,1208)="","",INDEX(BookGroup,1208))</f>
        <v/>
      </c>
      <c r="C1213" s="0" t="str">
        <f aca="false">IF(INDEX(BookTitle,1208)="","",INDEX(BookCategory,1208))</f>
        <v/>
      </c>
      <c r="D1213" s="56" t="str">
        <f aca="false">IF(INDEX(BookTitle,1208)="","",INDEX(BookTotal,1208)*'5. Scenarios'!$B$6/(1+ProductivityDefault*('5. Scenarios'!$B$11-1)))</f>
        <v/>
      </c>
      <c r="E1213" s="57" t="str">
        <f aca="false">IF($D1213="","",INDEX(BookRate,1208)*(1+'5. Scenarios'!$B$10)*$D1213)</f>
        <v/>
      </c>
      <c r="F1213" s="57" t="str">
        <f aca="false">IF($E1213="","",SUMIFS($E$6:$E$2405,$A$6:$A$2405,"&lt;="&amp;$A1213))</f>
        <v/>
      </c>
      <c r="G1213" s="57" t="str">
        <f aca="false">IF($E1213="","",IF($F1213&lt;=BankCostEnvelope*'5. Scenarios'!$B$7,1,0))</f>
        <v/>
      </c>
      <c r="H1213" s="57" t="str">
        <f aca="false">IF($D1213="","",INDEX(BookRate,1208)*(1+'5. Scenarios'!$B$10)*(INDEX(BookQ1,1208)*(5-MIN(4,1+'5. Scenarios'!$B$8))/4+INDEX(BookQ2,1208)*(5-MIN(4,2+'5. Scenarios'!$B$8))/4+INDEX(BookQ3,1208)*(5-MIN(4,3+'5. Scenarios'!$B$8))/4+INDEX(BookQ4,1208)*(5-MIN(4,4+'5. Scenarios'!$B$8))/4)*'5. Scenarios'!$B$6/(1+ProductivityDefault*('5. Scenarios'!$B$11-1))+INDEX(BookOneOff,1208)*$D1213)</f>
        <v/>
      </c>
      <c r="I1213" s="56" t="str">
        <f aca="false">IF(INDEX(BookTitle,1208)="","",INDEX(BookTotal,1208)*'5. Scenarios'!$C$6/(1+ProductivityDefault*('5. Scenarios'!$C$11-1)))</f>
        <v/>
      </c>
      <c r="J1213" s="57" t="str">
        <f aca="false">IF($I1213="","",INDEX(BookRate,1208)*(1+'5. Scenarios'!$C$10)*$I1213)</f>
        <v/>
      </c>
      <c r="K1213" s="57" t="str">
        <f aca="false">IF($J1213="","",SUMIFS($J$6:$J$2405,$A$6:$A$2405,"&lt;="&amp;$A1213))</f>
        <v/>
      </c>
      <c r="L1213" s="57" t="str">
        <f aca="false">IF($J1213="","",IF($K1213&lt;=BankCostEnvelope*'5. Scenarios'!$C$7,1,0))</f>
        <v/>
      </c>
      <c r="M1213" s="57" t="str">
        <f aca="false">IF($I1213="","",INDEX(BookRate,1208)*(1+'5. Scenarios'!$C$10)*(INDEX(BookQ1,1208)*(5-MIN(4,1+'5. Scenarios'!$C$8))/4+INDEX(BookQ2,1208)*(5-MIN(4,2+'5. Scenarios'!$C$8))/4+INDEX(BookQ3,1208)*(5-MIN(4,3+'5. Scenarios'!$C$8))/4+INDEX(BookQ4,1208)*(5-MIN(4,4+'5. Scenarios'!$C$8))/4)*'5. Scenarios'!$C$6/(1+ProductivityDefault*('5. Scenarios'!$C$11-1))+INDEX(BookOneOff,1208)*$I1213)</f>
        <v/>
      </c>
      <c r="N1213" s="56" t="str">
        <f aca="false">IF(INDEX(BookTitle,1208)="","",INDEX(BookTotal,1208)*'5. Scenarios'!$D$6/(1+ProductivityDefault*('5. Scenarios'!$D$11-1)))</f>
        <v/>
      </c>
      <c r="O1213" s="57" t="str">
        <f aca="false">IF($N1213="","",INDEX(BookRate,1208)*(1+'5. Scenarios'!$D$10)*$N1213)</f>
        <v/>
      </c>
      <c r="P1213" s="57" t="str">
        <f aca="false">IF($O1213="","",SUMIFS($O$6:$O$2405,$A$6:$A$2405,"&lt;="&amp;$A1213))</f>
        <v/>
      </c>
      <c r="Q1213" s="57" t="str">
        <f aca="false">IF($O1213="","",IF($P1213&lt;=BankCostEnvelope*'5. Scenarios'!$D$7,1,0))</f>
        <v/>
      </c>
      <c r="R1213" s="57" t="str">
        <f aca="false">IF($N1213="","",INDEX(BookRate,1208)*(1+'5. Scenarios'!$D$10)*(INDEX(BookQ1,1208)*(5-MIN(4,1+'5. Scenarios'!$D$8))/4+INDEX(BookQ2,1208)*(5-MIN(4,2+'5. Scenarios'!$D$8))/4+INDEX(BookQ3,1208)*(5-MIN(4,3+'5. Scenarios'!$D$8))/4+INDEX(BookQ4,1208)*(5-MIN(4,4+'5. Scenarios'!$D$8))/4)*'5. Scenarios'!$D$6/(1+ProductivityDefault*('5. Scenarios'!$D$11-1))+INDEX(BookOneOff,1208)*$N1213)</f>
        <v/>
      </c>
      <c r="S1213" s="56" t="str">
        <f aca="false">IF(INDEX(BookTitle,1208)="","",INDEX(BookTotal,1208)*'5. Scenarios'!$E$6/(1+ProductivityDefault*('5. Scenarios'!$E$11-1)))</f>
        <v/>
      </c>
      <c r="T1213" s="57" t="str">
        <f aca="false">IF($S1213="","",INDEX(BookRate,1208)*(1+'5. Scenarios'!$E$10)*$S1213)</f>
        <v/>
      </c>
      <c r="U1213" s="57" t="str">
        <f aca="false">IF($T1213="","",SUMIFS($T$6:$T$2405,$A$6:$A$2405,"&lt;="&amp;$A1213))</f>
        <v/>
      </c>
      <c r="V1213" s="57" t="str">
        <f aca="false">IF($T1213="","",IF($U1213&lt;=BankCostEnvelope*'5. Scenarios'!$E$7,1,0))</f>
        <v/>
      </c>
      <c r="W1213" s="57" t="str">
        <f aca="false">IF($S1213="","",INDEX(BookRate,1208)*(1+'5. Scenarios'!$E$10)*(INDEX(BookQ1,1208)*(5-MIN(4,1+'5. Scenarios'!$E$8))/4+INDEX(BookQ2,1208)*(5-MIN(4,2+'5. Scenarios'!$E$8))/4+INDEX(BookQ3,1208)*(5-MIN(4,3+'5. Scenarios'!$E$8))/4+INDEX(BookQ4,1208)*(5-MIN(4,4+'5. Scenarios'!$E$8))/4)*'5. Scenarios'!$E$6/(1+ProductivityDefault*('5. Scenarios'!$E$11-1))+INDEX(BookOneOff,1208)*$S1213)</f>
        <v/>
      </c>
    </row>
    <row r="1214" customFormat="false" ht="15" hidden="false" customHeight="false" outlineLevel="0" collapsed="false">
      <c r="A1214" s="0" t="str">
        <f aca="false">IF(INDEX(BookTitle,1209)="","",INDEX(BookKey,1209))</f>
        <v/>
      </c>
      <c r="B1214" s="0" t="str">
        <f aca="false">IF(INDEX(BookTitle,1209)="","",INDEX(BookGroup,1209))</f>
        <v/>
      </c>
      <c r="C1214" s="0" t="str">
        <f aca="false">IF(INDEX(BookTitle,1209)="","",INDEX(BookCategory,1209))</f>
        <v/>
      </c>
      <c r="D1214" s="56" t="str">
        <f aca="false">IF(INDEX(BookTitle,1209)="","",INDEX(BookTotal,1209)*'5. Scenarios'!$B$6/(1+ProductivityDefault*('5. Scenarios'!$B$11-1)))</f>
        <v/>
      </c>
      <c r="E1214" s="57" t="str">
        <f aca="false">IF($D1214="","",INDEX(BookRate,1209)*(1+'5. Scenarios'!$B$10)*$D1214)</f>
        <v/>
      </c>
      <c r="F1214" s="57" t="str">
        <f aca="false">IF($E1214="","",SUMIFS($E$6:$E$2405,$A$6:$A$2405,"&lt;="&amp;$A1214))</f>
        <v/>
      </c>
      <c r="G1214" s="57" t="str">
        <f aca="false">IF($E1214="","",IF($F1214&lt;=BankCostEnvelope*'5. Scenarios'!$B$7,1,0))</f>
        <v/>
      </c>
      <c r="H1214" s="57" t="str">
        <f aca="false">IF($D1214="","",INDEX(BookRate,1209)*(1+'5. Scenarios'!$B$10)*(INDEX(BookQ1,1209)*(5-MIN(4,1+'5. Scenarios'!$B$8))/4+INDEX(BookQ2,1209)*(5-MIN(4,2+'5. Scenarios'!$B$8))/4+INDEX(BookQ3,1209)*(5-MIN(4,3+'5. Scenarios'!$B$8))/4+INDEX(BookQ4,1209)*(5-MIN(4,4+'5. Scenarios'!$B$8))/4)*'5. Scenarios'!$B$6/(1+ProductivityDefault*('5. Scenarios'!$B$11-1))+INDEX(BookOneOff,1209)*$D1214)</f>
        <v/>
      </c>
      <c r="I1214" s="56" t="str">
        <f aca="false">IF(INDEX(BookTitle,1209)="","",INDEX(BookTotal,1209)*'5. Scenarios'!$C$6/(1+ProductivityDefault*('5. Scenarios'!$C$11-1)))</f>
        <v/>
      </c>
      <c r="J1214" s="57" t="str">
        <f aca="false">IF($I1214="","",INDEX(BookRate,1209)*(1+'5. Scenarios'!$C$10)*$I1214)</f>
        <v/>
      </c>
      <c r="K1214" s="57" t="str">
        <f aca="false">IF($J1214="","",SUMIFS($J$6:$J$2405,$A$6:$A$2405,"&lt;="&amp;$A1214))</f>
        <v/>
      </c>
      <c r="L1214" s="57" t="str">
        <f aca="false">IF($J1214="","",IF($K1214&lt;=BankCostEnvelope*'5. Scenarios'!$C$7,1,0))</f>
        <v/>
      </c>
      <c r="M1214" s="57" t="str">
        <f aca="false">IF($I1214="","",INDEX(BookRate,1209)*(1+'5. Scenarios'!$C$10)*(INDEX(BookQ1,1209)*(5-MIN(4,1+'5. Scenarios'!$C$8))/4+INDEX(BookQ2,1209)*(5-MIN(4,2+'5. Scenarios'!$C$8))/4+INDEX(BookQ3,1209)*(5-MIN(4,3+'5. Scenarios'!$C$8))/4+INDEX(BookQ4,1209)*(5-MIN(4,4+'5. Scenarios'!$C$8))/4)*'5. Scenarios'!$C$6/(1+ProductivityDefault*('5. Scenarios'!$C$11-1))+INDEX(BookOneOff,1209)*$I1214)</f>
        <v/>
      </c>
      <c r="N1214" s="56" t="str">
        <f aca="false">IF(INDEX(BookTitle,1209)="","",INDEX(BookTotal,1209)*'5. Scenarios'!$D$6/(1+ProductivityDefault*('5. Scenarios'!$D$11-1)))</f>
        <v/>
      </c>
      <c r="O1214" s="57" t="str">
        <f aca="false">IF($N1214="","",INDEX(BookRate,1209)*(1+'5. Scenarios'!$D$10)*$N1214)</f>
        <v/>
      </c>
      <c r="P1214" s="57" t="str">
        <f aca="false">IF($O1214="","",SUMIFS($O$6:$O$2405,$A$6:$A$2405,"&lt;="&amp;$A1214))</f>
        <v/>
      </c>
      <c r="Q1214" s="57" t="str">
        <f aca="false">IF($O1214="","",IF($P1214&lt;=BankCostEnvelope*'5. Scenarios'!$D$7,1,0))</f>
        <v/>
      </c>
      <c r="R1214" s="57" t="str">
        <f aca="false">IF($N1214="","",INDEX(BookRate,1209)*(1+'5. Scenarios'!$D$10)*(INDEX(BookQ1,1209)*(5-MIN(4,1+'5. Scenarios'!$D$8))/4+INDEX(BookQ2,1209)*(5-MIN(4,2+'5. Scenarios'!$D$8))/4+INDEX(BookQ3,1209)*(5-MIN(4,3+'5. Scenarios'!$D$8))/4+INDEX(BookQ4,1209)*(5-MIN(4,4+'5. Scenarios'!$D$8))/4)*'5. Scenarios'!$D$6/(1+ProductivityDefault*('5. Scenarios'!$D$11-1))+INDEX(BookOneOff,1209)*$N1214)</f>
        <v/>
      </c>
      <c r="S1214" s="56" t="str">
        <f aca="false">IF(INDEX(BookTitle,1209)="","",INDEX(BookTotal,1209)*'5. Scenarios'!$E$6/(1+ProductivityDefault*('5. Scenarios'!$E$11-1)))</f>
        <v/>
      </c>
      <c r="T1214" s="57" t="str">
        <f aca="false">IF($S1214="","",INDEX(BookRate,1209)*(1+'5. Scenarios'!$E$10)*$S1214)</f>
        <v/>
      </c>
      <c r="U1214" s="57" t="str">
        <f aca="false">IF($T1214="","",SUMIFS($T$6:$T$2405,$A$6:$A$2405,"&lt;="&amp;$A1214))</f>
        <v/>
      </c>
      <c r="V1214" s="57" t="str">
        <f aca="false">IF($T1214="","",IF($U1214&lt;=BankCostEnvelope*'5. Scenarios'!$E$7,1,0))</f>
        <v/>
      </c>
      <c r="W1214" s="57" t="str">
        <f aca="false">IF($S1214="","",INDEX(BookRate,1209)*(1+'5. Scenarios'!$E$10)*(INDEX(BookQ1,1209)*(5-MIN(4,1+'5. Scenarios'!$E$8))/4+INDEX(BookQ2,1209)*(5-MIN(4,2+'5. Scenarios'!$E$8))/4+INDEX(BookQ3,1209)*(5-MIN(4,3+'5. Scenarios'!$E$8))/4+INDEX(BookQ4,1209)*(5-MIN(4,4+'5. Scenarios'!$E$8))/4)*'5. Scenarios'!$E$6/(1+ProductivityDefault*('5. Scenarios'!$E$11-1))+INDEX(BookOneOff,1209)*$S1214)</f>
        <v/>
      </c>
    </row>
    <row r="1215" customFormat="false" ht="15" hidden="false" customHeight="false" outlineLevel="0" collapsed="false">
      <c r="A1215" s="0" t="str">
        <f aca="false">IF(INDEX(BookTitle,1210)="","",INDEX(BookKey,1210))</f>
        <v/>
      </c>
      <c r="B1215" s="0" t="str">
        <f aca="false">IF(INDEX(BookTitle,1210)="","",INDEX(BookGroup,1210))</f>
        <v/>
      </c>
      <c r="C1215" s="0" t="str">
        <f aca="false">IF(INDEX(BookTitle,1210)="","",INDEX(BookCategory,1210))</f>
        <v/>
      </c>
      <c r="D1215" s="56" t="str">
        <f aca="false">IF(INDEX(BookTitle,1210)="","",INDEX(BookTotal,1210)*'5. Scenarios'!$B$6/(1+ProductivityDefault*('5. Scenarios'!$B$11-1)))</f>
        <v/>
      </c>
      <c r="E1215" s="57" t="str">
        <f aca="false">IF($D1215="","",INDEX(BookRate,1210)*(1+'5. Scenarios'!$B$10)*$D1215)</f>
        <v/>
      </c>
      <c r="F1215" s="57" t="str">
        <f aca="false">IF($E1215="","",SUMIFS($E$6:$E$2405,$A$6:$A$2405,"&lt;="&amp;$A1215))</f>
        <v/>
      </c>
      <c r="G1215" s="57" t="str">
        <f aca="false">IF($E1215="","",IF($F1215&lt;=BankCostEnvelope*'5. Scenarios'!$B$7,1,0))</f>
        <v/>
      </c>
      <c r="H1215" s="57" t="str">
        <f aca="false">IF($D1215="","",INDEX(BookRate,1210)*(1+'5. Scenarios'!$B$10)*(INDEX(BookQ1,1210)*(5-MIN(4,1+'5. Scenarios'!$B$8))/4+INDEX(BookQ2,1210)*(5-MIN(4,2+'5. Scenarios'!$B$8))/4+INDEX(BookQ3,1210)*(5-MIN(4,3+'5. Scenarios'!$B$8))/4+INDEX(BookQ4,1210)*(5-MIN(4,4+'5. Scenarios'!$B$8))/4)*'5. Scenarios'!$B$6/(1+ProductivityDefault*('5. Scenarios'!$B$11-1))+INDEX(BookOneOff,1210)*$D1215)</f>
        <v/>
      </c>
      <c r="I1215" s="56" t="str">
        <f aca="false">IF(INDEX(BookTitle,1210)="","",INDEX(BookTotal,1210)*'5. Scenarios'!$C$6/(1+ProductivityDefault*('5. Scenarios'!$C$11-1)))</f>
        <v/>
      </c>
      <c r="J1215" s="57" t="str">
        <f aca="false">IF($I1215="","",INDEX(BookRate,1210)*(1+'5. Scenarios'!$C$10)*$I1215)</f>
        <v/>
      </c>
      <c r="K1215" s="57" t="str">
        <f aca="false">IF($J1215="","",SUMIFS($J$6:$J$2405,$A$6:$A$2405,"&lt;="&amp;$A1215))</f>
        <v/>
      </c>
      <c r="L1215" s="57" t="str">
        <f aca="false">IF($J1215="","",IF($K1215&lt;=BankCostEnvelope*'5. Scenarios'!$C$7,1,0))</f>
        <v/>
      </c>
      <c r="M1215" s="57" t="str">
        <f aca="false">IF($I1215="","",INDEX(BookRate,1210)*(1+'5. Scenarios'!$C$10)*(INDEX(BookQ1,1210)*(5-MIN(4,1+'5. Scenarios'!$C$8))/4+INDEX(BookQ2,1210)*(5-MIN(4,2+'5. Scenarios'!$C$8))/4+INDEX(BookQ3,1210)*(5-MIN(4,3+'5. Scenarios'!$C$8))/4+INDEX(BookQ4,1210)*(5-MIN(4,4+'5. Scenarios'!$C$8))/4)*'5. Scenarios'!$C$6/(1+ProductivityDefault*('5. Scenarios'!$C$11-1))+INDEX(BookOneOff,1210)*$I1215)</f>
        <v/>
      </c>
      <c r="N1215" s="56" t="str">
        <f aca="false">IF(INDEX(BookTitle,1210)="","",INDEX(BookTotal,1210)*'5. Scenarios'!$D$6/(1+ProductivityDefault*('5. Scenarios'!$D$11-1)))</f>
        <v/>
      </c>
      <c r="O1215" s="57" t="str">
        <f aca="false">IF($N1215="","",INDEX(BookRate,1210)*(1+'5. Scenarios'!$D$10)*$N1215)</f>
        <v/>
      </c>
      <c r="P1215" s="57" t="str">
        <f aca="false">IF($O1215="","",SUMIFS($O$6:$O$2405,$A$6:$A$2405,"&lt;="&amp;$A1215))</f>
        <v/>
      </c>
      <c r="Q1215" s="57" t="str">
        <f aca="false">IF($O1215="","",IF($P1215&lt;=BankCostEnvelope*'5. Scenarios'!$D$7,1,0))</f>
        <v/>
      </c>
      <c r="R1215" s="57" t="str">
        <f aca="false">IF($N1215="","",INDEX(BookRate,1210)*(1+'5. Scenarios'!$D$10)*(INDEX(BookQ1,1210)*(5-MIN(4,1+'5. Scenarios'!$D$8))/4+INDEX(BookQ2,1210)*(5-MIN(4,2+'5. Scenarios'!$D$8))/4+INDEX(BookQ3,1210)*(5-MIN(4,3+'5. Scenarios'!$D$8))/4+INDEX(BookQ4,1210)*(5-MIN(4,4+'5. Scenarios'!$D$8))/4)*'5. Scenarios'!$D$6/(1+ProductivityDefault*('5. Scenarios'!$D$11-1))+INDEX(BookOneOff,1210)*$N1215)</f>
        <v/>
      </c>
      <c r="S1215" s="56" t="str">
        <f aca="false">IF(INDEX(BookTitle,1210)="","",INDEX(BookTotal,1210)*'5. Scenarios'!$E$6/(1+ProductivityDefault*('5. Scenarios'!$E$11-1)))</f>
        <v/>
      </c>
      <c r="T1215" s="57" t="str">
        <f aca="false">IF($S1215="","",INDEX(BookRate,1210)*(1+'5. Scenarios'!$E$10)*$S1215)</f>
        <v/>
      </c>
      <c r="U1215" s="57" t="str">
        <f aca="false">IF($T1215="","",SUMIFS($T$6:$T$2405,$A$6:$A$2405,"&lt;="&amp;$A1215))</f>
        <v/>
      </c>
      <c r="V1215" s="57" t="str">
        <f aca="false">IF($T1215="","",IF($U1215&lt;=BankCostEnvelope*'5. Scenarios'!$E$7,1,0))</f>
        <v/>
      </c>
      <c r="W1215" s="57" t="str">
        <f aca="false">IF($S1215="","",INDEX(BookRate,1210)*(1+'5. Scenarios'!$E$10)*(INDEX(BookQ1,1210)*(5-MIN(4,1+'5. Scenarios'!$E$8))/4+INDEX(BookQ2,1210)*(5-MIN(4,2+'5. Scenarios'!$E$8))/4+INDEX(BookQ3,1210)*(5-MIN(4,3+'5. Scenarios'!$E$8))/4+INDEX(BookQ4,1210)*(5-MIN(4,4+'5. Scenarios'!$E$8))/4)*'5. Scenarios'!$E$6/(1+ProductivityDefault*('5. Scenarios'!$E$11-1))+INDEX(BookOneOff,1210)*$S1215)</f>
        <v/>
      </c>
    </row>
    <row r="1216" customFormat="false" ht="15" hidden="false" customHeight="false" outlineLevel="0" collapsed="false">
      <c r="A1216" s="0" t="str">
        <f aca="false">IF(INDEX(BookTitle,1211)="","",INDEX(BookKey,1211))</f>
        <v/>
      </c>
      <c r="B1216" s="0" t="str">
        <f aca="false">IF(INDEX(BookTitle,1211)="","",INDEX(BookGroup,1211))</f>
        <v/>
      </c>
      <c r="C1216" s="0" t="str">
        <f aca="false">IF(INDEX(BookTitle,1211)="","",INDEX(BookCategory,1211))</f>
        <v/>
      </c>
      <c r="D1216" s="56" t="str">
        <f aca="false">IF(INDEX(BookTitle,1211)="","",INDEX(BookTotal,1211)*'5. Scenarios'!$B$6/(1+ProductivityDefault*('5. Scenarios'!$B$11-1)))</f>
        <v/>
      </c>
      <c r="E1216" s="57" t="str">
        <f aca="false">IF($D1216="","",INDEX(BookRate,1211)*(1+'5. Scenarios'!$B$10)*$D1216)</f>
        <v/>
      </c>
      <c r="F1216" s="57" t="str">
        <f aca="false">IF($E1216="","",SUMIFS($E$6:$E$2405,$A$6:$A$2405,"&lt;="&amp;$A1216))</f>
        <v/>
      </c>
      <c r="G1216" s="57" t="str">
        <f aca="false">IF($E1216="","",IF($F1216&lt;=BankCostEnvelope*'5. Scenarios'!$B$7,1,0))</f>
        <v/>
      </c>
      <c r="H1216" s="57" t="str">
        <f aca="false">IF($D1216="","",INDEX(BookRate,1211)*(1+'5. Scenarios'!$B$10)*(INDEX(BookQ1,1211)*(5-MIN(4,1+'5. Scenarios'!$B$8))/4+INDEX(BookQ2,1211)*(5-MIN(4,2+'5. Scenarios'!$B$8))/4+INDEX(BookQ3,1211)*(5-MIN(4,3+'5. Scenarios'!$B$8))/4+INDEX(BookQ4,1211)*(5-MIN(4,4+'5. Scenarios'!$B$8))/4)*'5. Scenarios'!$B$6/(1+ProductivityDefault*('5. Scenarios'!$B$11-1))+INDEX(BookOneOff,1211)*$D1216)</f>
        <v/>
      </c>
      <c r="I1216" s="56" t="str">
        <f aca="false">IF(INDEX(BookTitle,1211)="","",INDEX(BookTotal,1211)*'5. Scenarios'!$C$6/(1+ProductivityDefault*('5. Scenarios'!$C$11-1)))</f>
        <v/>
      </c>
      <c r="J1216" s="57" t="str">
        <f aca="false">IF($I1216="","",INDEX(BookRate,1211)*(1+'5. Scenarios'!$C$10)*$I1216)</f>
        <v/>
      </c>
      <c r="K1216" s="57" t="str">
        <f aca="false">IF($J1216="","",SUMIFS($J$6:$J$2405,$A$6:$A$2405,"&lt;="&amp;$A1216))</f>
        <v/>
      </c>
      <c r="L1216" s="57" t="str">
        <f aca="false">IF($J1216="","",IF($K1216&lt;=BankCostEnvelope*'5. Scenarios'!$C$7,1,0))</f>
        <v/>
      </c>
      <c r="M1216" s="57" t="str">
        <f aca="false">IF($I1216="","",INDEX(BookRate,1211)*(1+'5. Scenarios'!$C$10)*(INDEX(BookQ1,1211)*(5-MIN(4,1+'5. Scenarios'!$C$8))/4+INDEX(BookQ2,1211)*(5-MIN(4,2+'5. Scenarios'!$C$8))/4+INDEX(BookQ3,1211)*(5-MIN(4,3+'5. Scenarios'!$C$8))/4+INDEX(BookQ4,1211)*(5-MIN(4,4+'5. Scenarios'!$C$8))/4)*'5. Scenarios'!$C$6/(1+ProductivityDefault*('5. Scenarios'!$C$11-1))+INDEX(BookOneOff,1211)*$I1216)</f>
        <v/>
      </c>
      <c r="N1216" s="56" t="str">
        <f aca="false">IF(INDEX(BookTitle,1211)="","",INDEX(BookTotal,1211)*'5. Scenarios'!$D$6/(1+ProductivityDefault*('5. Scenarios'!$D$11-1)))</f>
        <v/>
      </c>
      <c r="O1216" s="57" t="str">
        <f aca="false">IF($N1216="","",INDEX(BookRate,1211)*(1+'5. Scenarios'!$D$10)*$N1216)</f>
        <v/>
      </c>
      <c r="P1216" s="57" t="str">
        <f aca="false">IF($O1216="","",SUMIFS($O$6:$O$2405,$A$6:$A$2405,"&lt;="&amp;$A1216))</f>
        <v/>
      </c>
      <c r="Q1216" s="57" t="str">
        <f aca="false">IF($O1216="","",IF($P1216&lt;=BankCostEnvelope*'5. Scenarios'!$D$7,1,0))</f>
        <v/>
      </c>
      <c r="R1216" s="57" t="str">
        <f aca="false">IF($N1216="","",INDEX(BookRate,1211)*(1+'5. Scenarios'!$D$10)*(INDEX(BookQ1,1211)*(5-MIN(4,1+'5. Scenarios'!$D$8))/4+INDEX(BookQ2,1211)*(5-MIN(4,2+'5. Scenarios'!$D$8))/4+INDEX(BookQ3,1211)*(5-MIN(4,3+'5. Scenarios'!$D$8))/4+INDEX(BookQ4,1211)*(5-MIN(4,4+'5. Scenarios'!$D$8))/4)*'5. Scenarios'!$D$6/(1+ProductivityDefault*('5. Scenarios'!$D$11-1))+INDEX(BookOneOff,1211)*$N1216)</f>
        <v/>
      </c>
      <c r="S1216" s="56" t="str">
        <f aca="false">IF(INDEX(BookTitle,1211)="","",INDEX(BookTotal,1211)*'5. Scenarios'!$E$6/(1+ProductivityDefault*('5. Scenarios'!$E$11-1)))</f>
        <v/>
      </c>
      <c r="T1216" s="57" t="str">
        <f aca="false">IF($S1216="","",INDEX(BookRate,1211)*(1+'5. Scenarios'!$E$10)*$S1216)</f>
        <v/>
      </c>
      <c r="U1216" s="57" t="str">
        <f aca="false">IF($T1216="","",SUMIFS($T$6:$T$2405,$A$6:$A$2405,"&lt;="&amp;$A1216))</f>
        <v/>
      </c>
      <c r="V1216" s="57" t="str">
        <f aca="false">IF($T1216="","",IF($U1216&lt;=BankCostEnvelope*'5. Scenarios'!$E$7,1,0))</f>
        <v/>
      </c>
      <c r="W1216" s="57" t="str">
        <f aca="false">IF($S1216="","",INDEX(BookRate,1211)*(1+'5. Scenarios'!$E$10)*(INDEX(BookQ1,1211)*(5-MIN(4,1+'5. Scenarios'!$E$8))/4+INDEX(BookQ2,1211)*(5-MIN(4,2+'5. Scenarios'!$E$8))/4+INDEX(BookQ3,1211)*(5-MIN(4,3+'5. Scenarios'!$E$8))/4+INDEX(BookQ4,1211)*(5-MIN(4,4+'5. Scenarios'!$E$8))/4)*'5. Scenarios'!$E$6/(1+ProductivityDefault*('5. Scenarios'!$E$11-1))+INDEX(BookOneOff,1211)*$S1216)</f>
        <v/>
      </c>
    </row>
    <row r="1217" customFormat="false" ht="15" hidden="false" customHeight="false" outlineLevel="0" collapsed="false">
      <c r="A1217" s="0" t="str">
        <f aca="false">IF(INDEX(BookTitle,1212)="","",INDEX(BookKey,1212))</f>
        <v/>
      </c>
      <c r="B1217" s="0" t="str">
        <f aca="false">IF(INDEX(BookTitle,1212)="","",INDEX(BookGroup,1212))</f>
        <v/>
      </c>
      <c r="C1217" s="0" t="str">
        <f aca="false">IF(INDEX(BookTitle,1212)="","",INDEX(BookCategory,1212))</f>
        <v/>
      </c>
      <c r="D1217" s="56" t="str">
        <f aca="false">IF(INDEX(BookTitle,1212)="","",INDEX(BookTotal,1212)*'5. Scenarios'!$B$6/(1+ProductivityDefault*('5. Scenarios'!$B$11-1)))</f>
        <v/>
      </c>
      <c r="E1217" s="57" t="str">
        <f aca="false">IF($D1217="","",INDEX(BookRate,1212)*(1+'5. Scenarios'!$B$10)*$D1217)</f>
        <v/>
      </c>
      <c r="F1217" s="57" t="str">
        <f aca="false">IF($E1217="","",SUMIFS($E$6:$E$2405,$A$6:$A$2405,"&lt;="&amp;$A1217))</f>
        <v/>
      </c>
      <c r="G1217" s="57" t="str">
        <f aca="false">IF($E1217="","",IF($F1217&lt;=BankCostEnvelope*'5. Scenarios'!$B$7,1,0))</f>
        <v/>
      </c>
      <c r="H1217" s="57" t="str">
        <f aca="false">IF($D1217="","",INDEX(BookRate,1212)*(1+'5. Scenarios'!$B$10)*(INDEX(BookQ1,1212)*(5-MIN(4,1+'5. Scenarios'!$B$8))/4+INDEX(BookQ2,1212)*(5-MIN(4,2+'5. Scenarios'!$B$8))/4+INDEX(BookQ3,1212)*(5-MIN(4,3+'5. Scenarios'!$B$8))/4+INDEX(BookQ4,1212)*(5-MIN(4,4+'5. Scenarios'!$B$8))/4)*'5. Scenarios'!$B$6/(1+ProductivityDefault*('5. Scenarios'!$B$11-1))+INDEX(BookOneOff,1212)*$D1217)</f>
        <v/>
      </c>
      <c r="I1217" s="56" t="str">
        <f aca="false">IF(INDEX(BookTitle,1212)="","",INDEX(BookTotal,1212)*'5. Scenarios'!$C$6/(1+ProductivityDefault*('5. Scenarios'!$C$11-1)))</f>
        <v/>
      </c>
      <c r="J1217" s="57" t="str">
        <f aca="false">IF($I1217="","",INDEX(BookRate,1212)*(1+'5. Scenarios'!$C$10)*$I1217)</f>
        <v/>
      </c>
      <c r="K1217" s="57" t="str">
        <f aca="false">IF($J1217="","",SUMIFS($J$6:$J$2405,$A$6:$A$2405,"&lt;="&amp;$A1217))</f>
        <v/>
      </c>
      <c r="L1217" s="57" t="str">
        <f aca="false">IF($J1217="","",IF($K1217&lt;=BankCostEnvelope*'5. Scenarios'!$C$7,1,0))</f>
        <v/>
      </c>
      <c r="M1217" s="57" t="str">
        <f aca="false">IF($I1217="","",INDEX(BookRate,1212)*(1+'5. Scenarios'!$C$10)*(INDEX(BookQ1,1212)*(5-MIN(4,1+'5. Scenarios'!$C$8))/4+INDEX(BookQ2,1212)*(5-MIN(4,2+'5. Scenarios'!$C$8))/4+INDEX(BookQ3,1212)*(5-MIN(4,3+'5. Scenarios'!$C$8))/4+INDEX(BookQ4,1212)*(5-MIN(4,4+'5. Scenarios'!$C$8))/4)*'5. Scenarios'!$C$6/(1+ProductivityDefault*('5. Scenarios'!$C$11-1))+INDEX(BookOneOff,1212)*$I1217)</f>
        <v/>
      </c>
      <c r="N1217" s="56" t="str">
        <f aca="false">IF(INDEX(BookTitle,1212)="","",INDEX(BookTotal,1212)*'5. Scenarios'!$D$6/(1+ProductivityDefault*('5. Scenarios'!$D$11-1)))</f>
        <v/>
      </c>
      <c r="O1217" s="57" t="str">
        <f aca="false">IF($N1217="","",INDEX(BookRate,1212)*(1+'5. Scenarios'!$D$10)*$N1217)</f>
        <v/>
      </c>
      <c r="P1217" s="57" t="str">
        <f aca="false">IF($O1217="","",SUMIFS($O$6:$O$2405,$A$6:$A$2405,"&lt;="&amp;$A1217))</f>
        <v/>
      </c>
      <c r="Q1217" s="57" t="str">
        <f aca="false">IF($O1217="","",IF($P1217&lt;=BankCostEnvelope*'5. Scenarios'!$D$7,1,0))</f>
        <v/>
      </c>
      <c r="R1217" s="57" t="str">
        <f aca="false">IF($N1217="","",INDEX(BookRate,1212)*(1+'5. Scenarios'!$D$10)*(INDEX(BookQ1,1212)*(5-MIN(4,1+'5. Scenarios'!$D$8))/4+INDEX(BookQ2,1212)*(5-MIN(4,2+'5. Scenarios'!$D$8))/4+INDEX(BookQ3,1212)*(5-MIN(4,3+'5. Scenarios'!$D$8))/4+INDEX(BookQ4,1212)*(5-MIN(4,4+'5. Scenarios'!$D$8))/4)*'5. Scenarios'!$D$6/(1+ProductivityDefault*('5. Scenarios'!$D$11-1))+INDEX(BookOneOff,1212)*$N1217)</f>
        <v/>
      </c>
      <c r="S1217" s="56" t="str">
        <f aca="false">IF(INDEX(BookTitle,1212)="","",INDEX(BookTotal,1212)*'5. Scenarios'!$E$6/(1+ProductivityDefault*('5. Scenarios'!$E$11-1)))</f>
        <v/>
      </c>
      <c r="T1217" s="57" t="str">
        <f aca="false">IF($S1217="","",INDEX(BookRate,1212)*(1+'5. Scenarios'!$E$10)*$S1217)</f>
        <v/>
      </c>
      <c r="U1217" s="57" t="str">
        <f aca="false">IF($T1217="","",SUMIFS($T$6:$T$2405,$A$6:$A$2405,"&lt;="&amp;$A1217))</f>
        <v/>
      </c>
      <c r="V1217" s="57" t="str">
        <f aca="false">IF($T1217="","",IF($U1217&lt;=BankCostEnvelope*'5. Scenarios'!$E$7,1,0))</f>
        <v/>
      </c>
      <c r="W1217" s="57" t="str">
        <f aca="false">IF($S1217="","",INDEX(BookRate,1212)*(1+'5. Scenarios'!$E$10)*(INDEX(BookQ1,1212)*(5-MIN(4,1+'5. Scenarios'!$E$8))/4+INDEX(BookQ2,1212)*(5-MIN(4,2+'5. Scenarios'!$E$8))/4+INDEX(BookQ3,1212)*(5-MIN(4,3+'5. Scenarios'!$E$8))/4+INDEX(BookQ4,1212)*(5-MIN(4,4+'5. Scenarios'!$E$8))/4)*'5. Scenarios'!$E$6/(1+ProductivityDefault*('5. Scenarios'!$E$11-1))+INDEX(BookOneOff,1212)*$S1217)</f>
        <v/>
      </c>
    </row>
    <row r="1218" customFormat="false" ht="15" hidden="false" customHeight="false" outlineLevel="0" collapsed="false">
      <c r="A1218" s="0" t="str">
        <f aca="false">IF(INDEX(BookTitle,1213)="","",INDEX(BookKey,1213))</f>
        <v/>
      </c>
      <c r="B1218" s="0" t="str">
        <f aca="false">IF(INDEX(BookTitle,1213)="","",INDEX(BookGroup,1213))</f>
        <v/>
      </c>
      <c r="C1218" s="0" t="str">
        <f aca="false">IF(INDEX(BookTitle,1213)="","",INDEX(BookCategory,1213))</f>
        <v/>
      </c>
      <c r="D1218" s="56" t="str">
        <f aca="false">IF(INDEX(BookTitle,1213)="","",INDEX(BookTotal,1213)*'5. Scenarios'!$B$6/(1+ProductivityDefault*('5. Scenarios'!$B$11-1)))</f>
        <v/>
      </c>
      <c r="E1218" s="57" t="str">
        <f aca="false">IF($D1218="","",INDEX(BookRate,1213)*(1+'5. Scenarios'!$B$10)*$D1218)</f>
        <v/>
      </c>
      <c r="F1218" s="57" t="str">
        <f aca="false">IF($E1218="","",SUMIFS($E$6:$E$2405,$A$6:$A$2405,"&lt;="&amp;$A1218))</f>
        <v/>
      </c>
      <c r="G1218" s="57" t="str">
        <f aca="false">IF($E1218="","",IF($F1218&lt;=BankCostEnvelope*'5. Scenarios'!$B$7,1,0))</f>
        <v/>
      </c>
      <c r="H1218" s="57" t="str">
        <f aca="false">IF($D1218="","",INDEX(BookRate,1213)*(1+'5. Scenarios'!$B$10)*(INDEX(BookQ1,1213)*(5-MIN(4,1+'5. Scenarios'!$B$8))/4+INDEX(BookQ2,1213)*(5-MIN(4,2+'5. Scenarios'!$B$8))/4+INDEX(BookQ3,1213)*(5-MIN(4,3+'5. Scenarios'!$B$8))/4+INDEX(BookQ4,1213)*(5-MIN(4,4+'5. Scenarios'!$B$8))/4)*'5. Scenarios'!$B$6/(1+ProductivityDefault*('5. Scenarios'!$B$11-1))+INDEX(BookOneOff,1213)*$D1218)</f>
        <v/>
      </c>
      <c r="I1218" s="56" t="str">
        <f aca="false">IF(INDEX(BookTitle,1213)="","",INDEX(BookTotal,1213)*'5. Scenarios'!$C$6/(1+ProductivityDefault*('5. Scenarios'!$C$11-1)))</f>
        <v/>
      </c>
      <c r="J1218" s="57" t="str">
        <f aca="false">IF($I1218="","",INDEX(BookRate,1213)*(1+'5. Scenarios'!$C$10)*$I1218)</f>
        <v/>
      </c>
      <c r="K1218" s="57" t="str">
        <f aca="false">IF($J1218="","",SUMIFS($J$6:$J$2405,$A$6:$A$2405,"&lt;="&amp;$A1218))</f>
        <v/>
      </c>
      <c r="L1218" s="57" t="str">
        <f aca="false">IF($J1218="","",IF($K1218&lt;=BankCostEnvelope*'5. Scenarios'!$C$7,1,0))</f>
        <v/>
      </c>
      <c r="M1218" s="57" t="str">
        <f aca="false">IF($I1218="","",INDEX(BookRate,1213)*(1+'5. Scenarios'!$C$10)*(INDEX(BookQ1,1213)*(5-MIN(4,1+'5. Scenarios'!$C$8))/4+INDEX(BookQ2,1213)*(5-MIN(4,2+'5. Scenarios'!$C$8))/4+INDEX(BookQ3,1213)*(5-MIN(4,3+'5. Scenarios'!$C$8))/4+INDEX(BookQ4,1213)*(5-MIN(4,4+'5. Scenarios'!$C$8))/4)*'5. Scenarios'!$C$6/(1+ProductivityDefault*('5. Scenarios'!$C$11-1))+INDEX(BookOneOff,1213)*$I1218)</f>
        <v/>
      </c>
      <c r="N1218" s="56" t="str">
        <f aca="false">IF(INDEX(BookTitle,1213)="","",INDEX(BookTotal,1213)*'5. Scenarios'!$D$6/(1+ProductivityDefault*('5. Scenarios'!$D$11-1)))</f>
        <v/>
      </c>
      <c r="O1218" s="57" t="str">
        <f aca="false">IF($N1218="","",INDEX(BookRate,1213)*(1+'5. Scenarios'!$D$10)*$N1218)</f>
        <v/>
      </c>
      <c r="P1218" s="57" t="str">
        <f aca="false">IF($O1218="","",SUMIFS($O$6:$O$2405,$A$6:$A$2405,"&lt;="&amp;$A1218))</f>
        <v/>
      </c>
      <c r="Q1218" s="57" t="str">
        <f aca="false">IF($O1218="","",IF($P1218&lt;=BankCostEnvelope*'5. Scenarios'!$D$7,1,0))</f>
        <v/>
      </c>
      <c r="R1218" s="57" t="str">
        <f aca="false">IF($N1218="","",INDEX(BookRate,1213)*(1+'5. Scenarios'!$D$10)*(INDEX(BookQ1,1213)*(5-MIN(4,1+'5. Scenarios'!$D$8))/4+INDEX(BookQ2,1213)*(5-MIN(4,2+'5. Scenarios'!$D$8))/4+INDEX(BookQ3,1213)*(5-MIN(4,3+'5. Scenarios'!$D$8))/4+INDEX(BookQ4,1213)*(5-MIN(4,4+'5. Scenarios'!$D$8))/4)*'5. Scenarios'!$D$6/(1+ProductivityDefault*('5. Scenarios'!$D$11-1))+INDEX(BookOneOff,1213)*$N1218)</f>
        <v/>
      </c>
      <c r="S1218" s="56" t="str">
        <f aca="false">IF(INDEX(BookTitle,1213)="","",INDEX(BookTotal,1213)*'5. Scenarios'!$E$6/(1+ProductivityDefault*('5. Scenarios'!$E$11-1)))</f>
        <v/>
      </c>
      <c r="T1218" s="57" t="str">
        <f aca="false">IF($S1218="","",INDEX(BookRate,1213)*(1+'5. Scenarios'!$E$10)*$S1218)</f>
        <v/>
      </c>
      <c r="U1218" s="57" t="str">
        <f aca="false">IF($T1218="","",SUMIFS($T$6:$T$2405,$A$6:$A$2405,"&lt;="&amp;$A1218))</f>
        <v/>
      </c>
      <c r="V1218" s="57" t="str">
        <f aca="false">IF($T1218="","",IF($U1218&lt;=BankCostEnvelope*'5. Scenarios'!$E$7,1,0))</f>
        <v/>
      </c>
      <c r="W1218" s="57" t="str">
        <f aca="false">IF($S1218="","",INDEX(BookRate,1213)*(1+'5. Scenarios'!$E$10)*(INDEX(BookQ1,1213)*(5-MIN(4,1+'5. Scenarios'!$E$8))/4+INDEX(BookQ2,1213)*(5-MIN(4,2+'5. Scenarios'!$E$8))/4+INDEX(BookQ3,1213)*(5-MIN(4,3+'5. Scenarios'!$E$8))/4+INDEX(BookQ4,1213)*(5-MIN(4,4+'5. Scenarios'!$E$8))/4)*'5. Scenarios'!$E$6/(1+ProductivityDefault*('5. Scenarios'!$E$11-1))+INDEX(BookOneOff,1213)*$S1218)</f>
        <v/>
      </c>
    </row>
    <row r="1219" customFormat="false" ht="15" hidden="false" customHeight="false" outlineLevel="0" collapsed="false">
      <c r="A1219" s="0" t="str">
        <f aca="false">IF(INDEX(BookTitle,1214)="","",INDEX(BookKey,1214))</f>
        <v/>
      </c>
      <c r="B1219" s="0" t="str">
        <f aca="false">IF(INDEX(BookTitle,1214)="","",INDEX(BookGroup,1214))</f>
        <v/>
      </c>
      <c r="C1219" s="0" t="str">
        <f aca="false">IF(INDEX(BookTitle,1214)="","",INDEX(BookCategory,1214))</f>
        <v/>
      </c>
      <c r="D1219" s="56" t="str">
        <f aca="false">IF(INDEX(BookTitle,1214)="","",INDEX(BookTotal,1214)*'5. Scenarios'!$B$6/(1+ProductivityDefault*('5. Scenarios'!$B$11-1)))</f>
        <v/>
      </c>
      <c r="E1219" s="57" t="str">
        <f aca="false">IF($D1219="","",INDEX(BookRate,1214)*(1+'5. Scenarios'!$B$10)*$D1219)</f>
        <v/>
      </c>
      <c r="F1219" s="57" t="str">
        <f aca="false">IF($E1219="","",SUMIFS($E$6:$E$2405,$A$6:$A$2405,"&lt;="&amp;$A1219))</f>
        <v/>
      </c>
      <c r="G1219" s="57" t="str">
        <f aca="false">IF($E1219="","",IF($F1219&lt;=BankCostEnvelope*'5. Scenarios'!$B$7,1,0))</f>
        <v/>
      </c>
      <c r="H1219" s="57" t="str">
        <f aca="false">IF($D1219="","",INDEX(BookRate,1214)*(1+'5. Scenarios'!$B$10)*(INDEX(BookQ1,1214)*(5-MIN(4,1+'5. Scenarios'!$B$8))/4+INDEX(BookQ2,1214)*(5-MIN(4,2+'5. Scenarios'!$B$8))/4+INDEX(BookQ3,1214)*(5-MIN(4,3+'5. Scenarios'!$B$8))/4+INDEX(BookQ4,1214)*(5-MIN(4,4+'5. Scenarios'!$B$8))/4)*'5. Scenarios'!$B$6/(1+ProductivityDefault*('5. Scenarios'!$B$11-1))+INDEX(BookOneOff,1214)*$D1219)</f>
        <v/>
      </c>
      <c r="I1219" s="56" t="str">
        <f aca="false">IF(INDEX(BookTitle,1214)="","",INDEX(BookTotal,1214)*'5. Scenarios'!$C$6/(1+ProductivityDefault*('5. Scenarios'!$C$11-1)))</f>
        <v/>
      </c>
      <c r="J1219" s="57" t="str">
        <f aca="false">IF($I1219="","",INDEX(BookRate,1214)*(1+'5. Scenarios'!$C$10)*$I1219)</f>
        <v/>
      </c>
      <c r="K1219" s="57" t="str">
        <f aca="false">IF($J1219="","",SUMIFS($J$6:$J$2405,$A$6:$A$2405,"&lt;="&amp;$A1219))</f>
        <v/>
      </c>
      <c r="L1219" s="57" t="str">
        <f aca="false">IF($J1219="","",IF($K1219&lt;=BankCostEnvelope*'5. Scenarios'!$C$7,1,0))</f>
        <v/>
      </c>
      <c r="M1219" s="57" t="str">
        <f aca="false">IF($I1219="","",INDEX(BookRate,1214)*(1+'5. Scenarios'!$C$10)*(INDEX(BookQ1,1214)*(5-MIN(4,1+'5. Scenarios'!$C$8))/4+INDEX(BookQ2,1214)*(5-MIN(4,2+'5. Scenarios'!$C$8))/4+INDEX(BookQ3,1214)*(5-MIN(4,3+'5. Scenarios'!$C$8))/4+INDEX(BookQ4,1214)*(5-MIN(4,4+'5. Scenarios'!$C$8))/4)*'5. Scenarios'!$C$6/(1+ProductivityDefault*('5. Scenarios'!$C$11-1))+INDEX(BookOneOff,1214)*$I1219)</f>
        <v/>
      </c>
      <c r="N1219" s="56" t="str">
        <f aca="false">IF(INDEX(BookTitle,1214)="","",INDEX(BookTotal,1214)*'5. Scenarios'!$D$6/(1+ProductivityDefault*('5. Scenarios'!$D$11-1)))</f>
        <v/>
      </c>
      <c r="O1219" s="57" t="str">
        <f aca="false">IF($N1219="","",INDEX(BookRate,1214)*(1+'5. Scenarios'!$D$10)*$N1219)</f>
        <v/>
      </c>
      <c r="P1219" s="57" t="str">
        <f aca="false">IF($O1219="","",SUMIFS($O$6:$O$2405,$A$6:$A$2405,"&lt;="&amp;$A1219))</f>
        <v/>
      </c>
      <c r="Q1219" s="57" t="str">
        <f aca="false">IF($O1219="","",IF($P1219&lt;=BankCostEnvelope*'5. Scenarios'!$D$7,1,0))</f>
        <v/>
      </c>
      <c r="R1219" s="57" t="str">
        <f aca="false">IF($N1219="","",INDEX(BookRate,1214)*(1+'5. Scenarios'!$D$10)*(INDEX(BookQ1,1214)*(5-MIN(4,1+'5. Scenarios'!$D$8))/4+INDEX(BookQ2,1214)*(5-MIN(4,2+'5. Scenarios'!$D$8))/4+INDEX(BookQ3,1214)*(5-MIN(4,3+'5. Scenarios'!$D$8))/4+INDEX(BookQ4,1214)*(5-MIN(4,4+'5. Scenarios'!$D$8))/4)*'5. Scenarios'!$D$6/(1+ProductivityDefault*('5. Scenarios'!$D$11-1))+INDEX(BookOneOff,1214)*$N1219)</f>
        <v/>
      </c>
      <c r="S1219" s="56" t="str">
        <f aca="false">IF(INDEX(BookTitle,1214)="","",INDEX(BookTotal,1214)*'5. Scenarios'!$E$6/(1+ProductivityDefault*('5. Scenarios'!$E$11-1)))</f>
        <v/>
      </c>
      <c r="T1219" s="57" t="str">
        <f aca="false">IF($S1219="","",INDEX(BookRate,1214)*(1+'5. Scenarios'!$E$10)*$S1219)</f>
        <v/>
      </c>
      <c r="U1219" s="57" t="str">
        <f aca="false">IF($T1219="","",SUMIFS($T$6:$T$2405,$A$6:$A$2405,"&lt;="&amp;$A1219))</f>
        <v/>
      </c>
      <c r="V1219" s="57" t="str">
        <f aca="false">IF($T1219="","",IF($U1219&lt;=BankCostEnvelope*'5. Scenarios'!$E$7,1,0))</f>
        <v/>
      </c>
      <c r="W1219" s="57" t="str">
        <f aca="false">IF($S1219="","",INDEX(BookRate,1214)*(1+'5. Scenarios'!$E$10)*(INDEX(BookQ1,1214)*(5-MIN(4,1+'5. Scenarios'!$E$8))/4+INDEX(BookQ2,1214)*(5-MIN(4,2+'5. Scenarios'!$E$8))/4+INDEX(BookQ3,1214)*(5-MIN(4,3+'5. Scenarios'!$E$8))/4+INDEX(BookQ4,1214)*(5-MIN(4,4+'5. Scenarios'!$E$8))/4)*'5. Scenarios'!$E$6/(1+ProductivityDefault*('5. Scenarios'!$E$11-1))+INDEX(BookOneOff,1214)*$S1219)</f>
        <v/>
      </c>
    </row>
    <row r="1220" customFormat="false" ht="15" hidden="false" customHeight="false" outlineLevel="0" collapsed="false">
      <c r="A1220" s="0" t="str">
        <f aca="false">IF(INDEX(BookTitle,1215)="","",INDEX(BookKey,1215))</f>
        <v/>
      </c>
      <c r="B1220" s="0" t="str">
        <f aca="false">IF(INDEX(BookTitle,1215)="","",INDEX(BookGroup,1215))</f>
        <v/>
      </c>
      <c r="C1220" s="0" t="str">
        <f aca="false">IF(INDEX(BookTitle,1215)="","",INDEX(BookCategory,1215))</f>
        <v/>
      </c>
      <c r="D1220" s="56" t="str">
        <f aca="false">IF(INDEX(BookTitle,1215)="","",INDEX(BookTotal,1215)*'5. Scenarios'!$B$6/(1+ProductivityDefault*('5. Scenarios'!$B$11-1)))</f>
        <v/>
      </c>
      <c r="E1220" s="57" t="str">
        <f aca="false">IF($D1220="","",INDEX(BookRate,1215)*(1+'5. Scenarios'!$B$10)*$D1220)</f>
        <v/>
      </c>
      <c r="F1220" s="57" t="str">
        <f aca="false">IF($E1220="","",SUMIFS($E$6:$E$2405,$A$6:$A$2405,"&lt;="&amp;$A1220))</f>
        <v/>
      </c>
      <c r="G1220" s="57" t="str">
        <f aca="false">IF($E1220="","",IF($F1220&lt;=BankCostEnvelope*'5. Scenarios'!$B$7,1,0))</f>
        <v/>
      </c>
      <c r="H1220" s="57" t="str">
        <f aca="false">IF($D1220="","",INDEX(BookRate,1215)*(1+'5. Scenarios'!$B$10)*(INDEX(BookQ1,1215)*(5-MIN(4,1+'5. Scenarios'!$B$8))/4+INDEX(BookQ2,1215)*(5-MIN(4,2+'5. Scenarios'!$B$8))/4+INDEX(BookQ3,1215)*(5-MIN(4,3+'5. Scenarios'!$B$8))/4+INDEX(BookQ4,1215)*(5-MIN(4,4+'5. Scenarios'!$B$8))/4)*'5. Scenarios'!$B$6/(1+ProductivityDefault*('5. Scenarios'!$B$11-1))+INDEX(BookOneOff,1215)*$D1220)</f>
        <v/>
      </c>
      <c r="I1220" s="56" t="str">
        <f aca="false">IF(INDEX(BookTitle,1215)="","",INDEX(BookTotal,1215)*'5. Scenarios'!$C$6/(1+ProductivityDefault*('5. Scenarios'!$C$11-1)))</f>
        <v/>
      </c>
      <c r="J1220" s="57" t="str">
        <f aca="false">IF($I1220="","",INDEX(BookRate,1215)*(1+'5. Scenarios'!$C$10)*$I1220)</f>
        <v/>
      </c>
      <c r="K1220" s="57" t="str">
        <f aca="false">IF($J1220="","",SUMIFS($J$6:$J$2405,$A$6:$A$2405,"&lt;="&amp;$A1220))</f>
        <v/>
      </c>
      <c r="L1220" s="57" t="str">
        <f aca="false">IF($J1220="","",IF($K1220&lt;=BankCostEnvelope*'5. Scenarios'!$C$7,1,0))</f>
        <v/>
      </c>
      <c r="M1220" s="57" t="str">
        <f aca="false">IF($I1220="","",INDEX(BookRate,1215)*(1+'5. Scenarios'!$C$10)*(INDEX(BookQ1,1215)*(5-MIN(4,1+'5. Scenarios'!$C$8))/4+INDEX(BookQ2,1215)*(5-MIN(4,2+'5. Scenarios'!$C$8))/4+INDEX(BookQ3,1215)*(5-MIN(4,3+'5. Scenarios'!$C$8))/4+INDEX(BookQ4,1215)*(5-MIN(4,4+'5. Scenarios'!$C$8))/4)*'5. Scenarios'!$C$6/(1+ProductivityDefault*('5. Scenarios'!$C$11-1))+INDEX(BookOneOff,1215)*$I1220)</f>
        <v/>
      </c>
      <c r="N1220" s="56" t="str">
        <f aca="false">IF(INDEX(BookTitle,1215)="","",INDEX(BookTotal,1215)*'5. Scenarios'!$D$6/(1+ProductivityDefault*('5. Scenarios'!$D$11-1)))</f>
        <v/>
      </c>
      <c r="O1220" s="57" t="str">
        <f aca="false">IF($N1220="","",INDEX(BookRate,1215)*(1+'5. Scenarios'!$D$10)*$N1220)</f>
        <v/>
      </c>
      <c r="P1220" s="57" t="str">
        <f aca="false">IF($O1220="","",SUMIFS($O$6:$O$2405,$A$6:$A$2405,"&lt;="&amp;$A1220))</f>
        <v/>
      </c>
      <c r="Q1220" s="57" t="str">
        <f aca="false">IF($O1220="","",IF($P1220&lt;=BankCostEnvelope*'5. Scenarios'!$D$7,1,0))</f>
        <v/>
      </c>
      <c r="R1220" s="57" t="str">
        <f aca="false">IF($N1220="","",INDEX(BookRate,1215)*(1+'5. Scenarios'!$D$10)*(INDEX(BookQ1,1215)*(5-MIN(4,1+'5. Scenarios'!$D$8))/4+INDEX(BookQ2,1215)*(5-MIN(4,2+'5. Scenarios'!$D$8))/4+INDEX(BookQ3,1215)*(5-MIN(4,3+'5. Scenarios'!$D$8))/4+INDEX(BookQ4,1215)*(5-MIN(4,4+'5. Scenarios'!$D$8))/4)*'5. Scenarios'!$D$6/(1+ProductivityDefault*('5. Scenarios'!$D$11-1))+INDEX(BookOneOff,1215)*$N1220)</f>
        <v/>
      </c>
      <c r="S1220" s="56" t="str">
        <f aca="false">IF(INDEX(BookTitle,1215)="","",INDEX(BookTotal,1215)*'5. Scenarios'!$E$6/(1+ProductivityDefault*('5. Scenarios'!$E$11-1)))</f>
        <v/>
      </c>
      <c r="T1220" s="57" t="str">
        <f aca="false">IF($S1220="","",INDEX(BookRate,1215)*(1+'5. Scenarios'!$E$10)*$S1220)</f>
        <v/>
      </c>
      <c r="U1220" s="57" t="str">
        <f aca="false">IF($T1220="","",SUMIFS($T$6:$T$2405,$A$6:$A$2405,"&lt;="&amp;$A1220))</f>
        <v/>
      </c>
      <c r="V1220" s="57" t="str">
        <f aca="false">IF($T1220="","",IF($U1220&lt;=BankCostEnvelope*'5. Scenarios'!$E$7,1,0))</f>
        <v/>
      </c>
      <c r="W1220" s="57" t="str">
        <f aca="false">IF($S1220="","",INDEX(BookRate,1215)*(1+'5. Scenarios'!$E$10)*(INDEX(BookQ1,1215)*(5-MIN(4,1+'5. Scenarios'!$E$8))/4+INDEX(BookQ2,1215)*(5-MIN(4,2+'5. Scenarios'!$E$8))/4+INDEX(BookQ3,1215)*(5-MIN(4,3+'5. Scenarios'!$E$8))/4+INDEX(BookQ4,1215)*(5-MIN(4,4+'5. Scenarios'!$E$8))/4)*'5. Scenarios'!$E$6/(1+ProductivityDefault*('5. Scenarios'!$E$11-1))+INDEX(BookOneOff,1215)*$S1220)</f>
        <v/>
      </c>
    </row>
    <row r="1221" customFormat="false" ht="15" hidden="false" customHeight="false" outlineLevel="0" collapsed="false">
      <c r="A1221" s="0" t="str">
        <f aca="false">IF(INDEX(BookTitle,1216)="","",INDEX(BookKey,1216))</f>
        <v/>
      </c>
      <c r="B1221" s="0" t="str">
        <f aca="false">IF(INDEX(BookTitle,1216)="","",INDEX(BookGroup,1216))</f>
        <v/>
      </c>
      <c r="C1221" s="0" t="str">
        <f aca="false">IF(INDEX(BookTitle,1216)="","",INDEX(BookCategory,1216))</f>
        <v/>
      </c>
      <c r="D1221" s="56" t="str">
        <f aca="false">IF(INDEX(BookTitle,1216)="","",INDEX(BookTotal,1216)*'5. Scenarios'!$B$6/(1+ProductivityDefault*('5. Scenarios'!$B$11-1)))</f>
        <v/>
      </c>
      <c r="E1221" s="57" t="str">
        <f aca="false">IF($D1221="","",INDEX(BookRate,1216)*(1+'5. Scenarios'!$B$10)*$D1221)</f>
        <v/>
      </c>
      <c r="F1221" s="57" t="str">
        <f aca="false">IF($E1221="","",SUMIFS($E$6:$E$2405,$A$6:$A$2405,"&lt;="&amp;$A1221))</f>
        <v/>
      </c>
      <c r="G1221" s="57" t="str">
        <f aca="false">IF($E1221="","",IF($F1221&lt;=BankCostEnvelope*'5. Scenarios'!$B$7,1,0))</f>
        <v/>
      </c>
      <c r="H1221" s="57" t="str">
        <f aca="false">IF($D1221="","",INDEX(BookRate,1216)*(1+'5. Scenarios'!$B$10)*(INDEX(BookQ1,1216)*(5-MIN(4,1+'5. Scenarios'!$B$8))/4+INDEX(BookQ2,1216)*(5-MIN(4,2+'5. Scenarios'!$B$8))/4+INDEX(BookQ3,1216)*(5-MIN(4,3+'5. Scenarios'!$B$8))/4+INDEX(BookQ4,1216)*(5-MIN(4,4+'5. Scenarios'!$B$8))/4)*'5. Scenarios'!$B$6/(1+ProductivityDefault*('5. Scenarios'!$B$11-1))+INDEX(BookOneOff,1216)*$D1221)</f>
        <v/>
      </c>
      <c r="I1221" s="56" t="str">
        <f aca="false">IF(INDEX(BookTitle,1216)="","",INDEX(BookTotal,1216)*'5. Scenarios'!$C$6/(1+ProductivityDefault*('5. Scenarios'!$C$11-1)))</f>
        <v/>
      </c>
      <c r="J1221" s="57" t="str">
        <f aca="false">IF($I1221="","",INDEX(BookRate,1216)*(1+'5. Scenarios'!$C$10)*$I1221)</f>
        <v/>
      </c>
      <c r="K1221" s="57" t="str">
        <f aca="false">IF($J1221="","",SUMIFS($J$6:$J$2405,$A$6:$A$2405,"&lt;="&amp;$A1221))</f>
        <v/>
      </c>
      <c r="L1221" s="57" t="str">
        <f aca="false">IF($J1221="","",IF($K1221&lt;=BankCostEnvelope*'5. Scenarios'!$C$7,1,0))</f>
        <v/>
      </c>
      <c r="M1221" s="57" t="str">
        <f aca="false">IF($I1221="","",INDEX(BookRate,1216)*(1+'5. Scenarios'!$C$10)*(INDEX(BookQ1,1216)*(5-MIN(4,1+'5. Scenarios'!$C$8))/4+INDEX(BookQ2,1216)*(5-MIN(4,2+'5. Scenarios'!$C$8))/4+INDEX(BookQ3,1216)*(5-MIN(4,3+'5. Scenarios'!$C$8))/4+INDEX(BookQ4,1216)*(5-MIN(4,4+'5. Scenarios'!$C$8))/4)*'5. Scenarios'!$C$6/(1+ProductivityDefault*('5. Scenarios'!$C$11-1))+INDEX(BookOneOff,1216)*$I1221)</f>
        <v/>
      </c>
      <c r="N1221" s="56" t="str">
        <f aca="false">IF(INDEX(BookTitle,1216)="","",INDEX(BookTotal,1216)*'5. Scenarios'!$D$6/(1+ProductivityDefault*('5. Scenarios'!$D$11-1)))</f>
        <v/>
      </c>
      <c r="O1221" s="57" t="str">
        <f aca="false">IF($N1221="","",INDEX(BookRate,1216)*(1+'5. Scenarios'!$D$10)*$N1221)</f>
        <v/>
      </c>
      <c r="P1221" s="57" t="str">
        <f aca="false">IF($O1221="","",SUMIFS($O$6:$O$2405,$A$6:$A$2405,"&lt;="&amp;$A1221))</f>
        <v/>
      </c>
      <c r="Q1221" s="57" t="str">
        <f aca="false">IF($O1221="","",IF($P1221&lt;=BankCostEnvelope*'5. Scenarios'!$D$7,1,0))</f>
        <v/>
      </c>
      <c r="R1221" s="57" t="str">
        <f aca="false">IF($N1221="","",INDEX(BookRate,1216)*(1+'5. Scenarios'!$D$10)*(INDEX(BookQ1,1216)*(5-MIN(4,1+'5. Scenarios'!$D$8))/4+INDEX(BookQ2,1216)*(5-MIN(4,2+'5. Scenarios'!$D$8))/4+INDEX(BookQ3,1216)*(5-MIN(4,3+'5. Scenarios'!$D$8))/4+INDEX(BookQ4,1216)*(5-MIN(4,4+'5. Scenarios'!$D$8))/4)*'5. Scenarios'!$D$6/(1+ProductivityDefault*('5. Scenarios'!$D$11-1))+INDEX(BookOneOff,1216)*$N1221)</f>
        <v/>
      </c>
      <c r="S1221" s="56" t="str">
        <f aca="false">IF(INDEX(BookTitle,1216)="","",INDEX(BookTotal,1216)*'5. Scenarios'!$E$6/(1+ProductivityDefault*('5. Scenarios'!$E$11-1)))</f>
        <v/>
      </c>
      <c r="T1221" s="57" t="str">
        <f aca="false">IF($S1221="","",INDEX(BookRate,1216)*(1+'5. Scenarios'!$E$10)*$S1221)</f>
        <v/>
      </c>
      <c r="U1221" s="57" t="str">
        <f aca="false">IF($T1221="","",SUMIFS($T$6:$T$2405,$A$6:$A$2405,"&lt;="&amp;$A1221))</f>
        <v/>
      </c>
      <c r="V1221" s="57" t="str">
        <f aca="false">IF($T1221="","",IF($U1221&lt;=BankCostEnvelope*'5. Scenarios'!$E$7,1,0))</f>
        <v/>
      </c>
      <c r="W1221" s="57" t="str">
        <f aca="false">IF($S1221="","",INDEX(BookRate,1216)*(1+'5. Scenarios'!$E$10)*(INDEX(BookQ1,1216)*(5-MIN(4,1+'5. Scenarios'!$E$8))/4+INDEX(BookQ2,1216)*(5-MIN(4,2+'5. Scenarios'!$E$8))/4+INDEX(BookQ3,1216)*(5-MIN(4,3+'5. Scenarios'!$E$8))/4+INDEX(BookQ4,1216)*(5-MIN(4,4+'5. Scenarios'!$E$8))/4)*'5. Scenarios'!$E$6/(1+ProductivityDefault*('5. Scenarios'!$E$11-1))+INDEX(BookOneOff,1216)*$S1221)</f>
        <v/>
      </c>
    </row>
    <row r="1222" customFormat="false" ht="15" hidden="false" customHeight="false" outlineLevel="0" collapsed="false">
      <c r="A1222" s="0" t="str">
        <f aca="false">IF(INDEX(BookTitle,1217)="","",INDEX(BookKey,1217))</f>
        <v/>
      </c>
      <c r="B1222" s="0" t="str">
        <f aca="false">IF(INDEX(BookTitle,1217)="","",INDEX(BookGroup,1217))</f>
        <v/>
      </c>
      <c r="C1222" s="0" t="str">
        <f aca="false">IF(INDEX(BookTitle,1217)="","",INDEX(BookCategory,1217))</f>
        <v/>
      </c>
      <c r="D1222" s="56" t="str">
        <f aca="false">IF(INDEX(BookTitle,1217)="","",INDEX(BookTotal,1217)*'5. Scenarios'!$B$6/(1+ProductivityDefault*('5. Scenarios'!$B$11-1)))</f>
        <v/>
      </c>
      <c r="E1222" s="57" t="str">
        <f aca="false">IF($D1222="","",INDEX(BookRate,1217)*(1+'5. Scenarios'!$B$10)*$D1222)</f>
        <v/>
      </c>
      <c r="F1222" s="57" t="str">
        <f aca="false">IF($E1222="","",SUMIFS($E$6:$E$2405,$A$6:$A$2405,"&lt;="&amp;$A1222))</f>
        <v/>
      </c>
      <c r="G1222" s="57" t="str">
        <f aca="false">IF($E1222="","",IF($F1222&lt;=BankCostEnvelope*'5. Scenarios'!$B$7,1,0))</f>
        <v/>
      </c>
      <c r="H1222" s="57" t="str">
        <f aca="false">IF($D1222="","",INDEX(BookRate,1217)*(1+'5. Scenarios'!$B$10)*(INDEX(BookQ1,1217)*(5-MIN(4,1+'5. Scenarios'!$B$8))/4+INDEX(BookQ2,1217)*(5-MIN(4,2+'5. Scenarios'!$B$8))/4+INDEX(BookQ3,1217)*(5-MIN(4,3+'5. Scenarios'!$B$8))/4+INDEX(BookQ4,1217)*(5-MIN(4,4+'5. Scenarios'!$B$8))/4)*'5. Scenarios'!$B$6/(1+ProductivityDefault*('5. Scenarios'!$B$11-1))+INDEX(BookOneOff,1217)*$D1222)</f>
        <v/>
      </c>
      <c r="I1222" s="56" t="str">
        <f aca="false">IF(INDEX(BookTitle,1217)="","",INDEX(BookTotal,1217)*'5. Scenarios'!$C$6/(1+ProductivityDefault*('5. Scenarios'!$C$11-1)))</f>
        <v/>
      </c>
      <c r="J1222" s="57" t="str">
        <f aca="false">IF($I1222="","",INDEX(BookRate,1217)*(1+'5. Scenarios'!$C$10)*$I1222)</f>
        <v/>
      </c>
      <c r="K1222" s="57" t="str">
        <f aca="false">IF($J1222="","",SUMIFS($J$6:$J$2405,$A$6:$A$2405,"&lt;="&amp;$A1222))</f>
        <v/>
      </c>
      <c r="L1222" s="57" t="str">
        <f aca="false">IF($J1222="","",IF($K1222&lt;=BankCostEnvelope*'5. Scenarios'!$C$7,1,0))</f>
        <v/>
      </c>
      <c r="M1222" s="57" t="str">
        <f aca="false">IF($I1222="","",INDEX(BookRate,1217)*(1+'5. Scenarios'!$C$10)*(INDEX(BookQ1,1217)*(5-MIN(4,1+'5. Scenarios'!$C$8))/4+INDEX(BookQ2,1217)*(5-MIN(4,2+'5. Scenarios'!$C$8))/4+INDEX(BookQ3,1217)*(5-MIN(4,3+'5. Scenarios'!$C$8))/4+INDEX(BookQ4,1217)*(5-MIN(4,4+'5. Scenarios'!$C$8))/4)*'5. Scenarios'!$C$6/(1+ProductivityDefault*('5. Scenarios'!$C$11-1))+INDEX(BookOneOff,1217)*$I1222)</f>
        <v/>
      </c>
      <c r="N1222" s="56" t="str">
        <f aca="false">IF(INDEX(BookTitle,1217)="","",INDEX(BookTotal,1217)*'5. Scenarios'!$D$6/(1+ProductivityDefault*('5. Scenarios'!$D$11-1)))</f>
        <v/>
      </c>
      <c r="O1222" s="57" t="str">
        <f aca="false">IF($N1222="","",INDEX(BookRate,1217)*(1+'5. Scenarios'!$D$10)*$N1222)</f>
        <v/>
      </c>
      <c r="P1222" s="57" t="str">
        <f aca="false">IF($O1222="","",SUMIFS($O$6:$O$2405,$A$6:$A$2405,"&lt;="&amp;$A1222))</f>
        <v/>
      </c>
      <c r="Q1222" s="57" t="str">
        <f aca="false">IF($O1222="","",IF($P1222&lt;=BankCostEnvelope*'5. Scenarios'!$D$7,1,0))</f>
        <v/>
      </c>
      <c r="R1222" s="57" t="str">
        <f aca="false">IF($N1222="","",INDEX(BookRate,1217)*(1+'5. Scenarios'!$D$10)*(INDEX(BookQ1,1217)*(5-MIN(4,1+'5. Scenarios'!$D$8))/4+INDEX(BookQ2,1217)*(5-MIN(4,2+'5. Scenarios'!$D$8))/4+INDEX(BookQ3,1217)*(5-MIN(4,3+'5. Scenarios'!$D$8))/4+INDEX(BookQ4,1217)*(5-MIN(4,4+'5. Scenarios'!$D$8))/4)*'5. Scenarios'!$D$6/(1+ProductivityDefault*('5. Scenarios'!$D$11-1))+INDEX(BookOneOff,1217)*$N1222)</f>
        <v/>
      </c>
      <c r="S1222" s="56" t="str">
        <f aca="false">IF(INDEX(BookTitle,1217)="","",INDEX(BookTotal,1217)*'5. Scenarios'!$E$6/(1+ProductivityDefault*('5. Scenarios'!$E$11-1)))</f>
        <v/>
      </c>
      <c r="T1222" s="57" t="str">
        <f aca="false">IF($S1222="","",INDEX(BookRate,1217)*(1+'5. Scenarios'!$E$10)*$S1222)</f>
        <v/>
      </c>
      <c r="U1222" s="57" t="str">
        <f aca="false">IF($T1222="","",SUMIFS($T$6:$T$2405,$A$6:$A$2405,"&lt;="&amp;$A1222))</f>
        <v/>
      </c>
      <c r="V1222" s="57" t="str">
        <f aca="false">IF($T1222="","",IF($U1222&lt;=BankCostEnvelope*'5. Scenarios'!$E$7,1,0))</f>
        <v/>
      </c>
      <c r="W1222" s="57" t="str">
        <f aca="false">IF($S1222="","",INDEX(BookRate,1217)*(1+'5. Scenarios'!$E$10)*(INDEX(BookQ1,1217)*(5-MIN(4,1+'5. Scenarios'!$E$8))/4+INDEX(BookQ2,1217)*(5-MIN(4,2+'5. Scenarios'!$E$8))/4+INDEX(BookQ3,1217)*(5-MIN(4,3+'5. Scenarios'!$E$8))/4+INDEX(BookQ4,1217)*(5-MIN(4,4+'5. Scenarios'!$E$8))/4)*'5. Scenarios'!$E$6/(1+ProductivityDefault*('5. Scenarios'!$E$11-1))+INDEX(BookOneOff,1217)*$S1222)</f>
        <v/>
      </c>
    </row>
    <row r="1223" customFormat="false" ht="15" hidden="false" customHeight="false" outlineLevel="0" collapsed="false">
      <c r="A1223" s="0" t="str">
        <f aca="false">IF(INDEX(BookTitle,1218)="","",INDEX(BookKey,1218))</f>
        <v/>
      </c>
      <c r="B1223" s="0" t="str">
        <f aca="false">IF(INDEX(BookTitle,1218)="","",INDEX(BookGroup,1218))</f>
        <v/>
      </c>
      <c r="C1223" s="0" t="str">
        <f aca="false">IF(INDEX(BookTitle,1218)="","",INDEX(BookCategory,1218))</f>
        <v/>
      </c>
      <c r="D1223" s="56" t="str">
        <f aca="false">IF(INDEX(BookTitle,1218)="","",INDEX(BookTotal,1218)*'5. Scenarios'!$B$6/(1+ProductivityDefault*('5. Scenarios'!$B$11-1)))</f>
        <v/>
      </c>
      <c r="E1223" s="57" t="str">
        <f aca="false">IF($D1223="","",INDEX(BookRate,1218)*(1+'5. Scenarios'!$B$10)*$D1223)</f>
        <v/>
      </c>
      <c r="F1223" s="57" t="str">
        <f aca="false">IF($E1223="","",SUMIFS($E$6:$E$2405,$A$6:$A$2405,"&lt;="&amp;$A1223))</f>
        <v/>
      </c>
      <c r="G1223" s="57" t="str">
        <f aca="false">IF($E1223="","",IF($F1223&lt;=BankCostEnvelope*'5. Scenarios'!$B$7,1,0))</f>
        <v/>
      </c>
      <c r="H1223" s="57" t="str">
        <f aca="false">IF($D1223="","",INDEX(BookRate,1218)*(1+'5. Scenarios'!$B$10)*(INDEX(BookQ1,1218)*(5-MIN(4,1+'5. Scenarios'!$B$8))/4+INDEX(BookQ2,1218)*(5-MIN(4,2+'5. Scenarios'!$B$8))/4+INDEX(BookQ3,1218)*(5-MIN(4,3+'5. Scenarios'!$B$8))/4+INDEX(BookQ4,1218)*(5-MIN(4,4+'5. Scenarios'!$B$8))/4)*'5. Scenarios'!$B$6/(1+ProductivityDefault*('5. Scenarios'!$B$11-1))+INDEX(BookOneOff,1218)*$D1223)</f>
        <v/>
      </c>
      <c r="I1223" s="56" t="str">
        <f aca="false">IF(INDEX(BookTitle,1218)="","",INDEX(BookTotal,1218)*'5. Scenarios'!$C$6/(1+ProductivityDefault*('5. Scenarios'!$C$11-1)))</f>
        <v/>
      </c>
      <c r="J1223" s="57" t="str">
        <f aca="false">IF($I1223="","",INDEX(BookRate,1218)*(1+'5. Scenarios'!$C$10)*$I1223)</f>
        <v/>
      </c>
      <c r="K1223" s="57" t="str">
        <f aca="false">IF($J1223="","",SUMIFS($J$6:$J$2405,$A$6:$A$2405,"&lt;="&amp;$A1223))</f>
        <v/>
      </c>
      <c r="L1223" s="57" t="str">
        <f aca="false">IF($J1223="","",IF($K1223&lt;=BankCostEnvelope*'5. Scenarios'!$C$7,1,0))</f>
        <v/>
      </c>
      <c r="M1223" s="57" t="str">
        <f aca="false">IF($I1223="","",INDEX(BookRate,1218)*(1+'5. Scenarios'!$C$10)*(INDEX(BookQ1,1218)*(5-MIN(4,1+'5. Scenarios'!$C$8))/4+INDEX(BookQ2,1218)*(5-MIN(4,2+'5. Scenarios'!$C$8))/4+INDEX(BookQ3,1218)*(5-MIN(4,3+'5. Scenarios'!$C$8))/4+INDEX(BookQ4,1218)*(5-MIN(4,4+'5. Scenarios'!$C$8))/4)*'5. Scenarios'!$C$6/(1+ProductivityDefault*('5. Scenarios'!$C$11-1))+INDEX(BookOneOff,1218)*$I1223)</f>
        <v/>
      </c>
      <c r="N1223" s="56" t="str">
        <f aca="false">IF(INDEX(BookTitle,1218)="","",INDEX(BookTotal,1218)*'5. Scenarios'!$D$6/(1+ProductivityDefault*('5. Scenarios'!$D$11-1)))</f>
        <v/>
      </c>
      <c r="O1223" s="57" t="str">
        <f aca="false">IF($N1223="","",INDEX(BookRate,1218)*(1+'5. Scenarios'!$D$10)*$N1223)</f>
        <v/>
      </c>
      <c r="P1223" s="57" t="str">
        <f aca="false">IF($O1223="","",SUMIFS($O$6:$O$2405,$A$6:$A$2405,"&lt;="&amp;$A1223))</f>
        <v/>
      </c>
      <c r="Q1223" s="57" t="str">
        <f aca="false">IF($O1223="","",IF($P1223&lt;=BankCostEnvelope*'5. Scenarios'!$D$7,1,0))</f>
        <v/>
      </c>
      <c r="R1223" s="57" t="str">
        <f aca="false">IF($N1223="","",INDEX(BookRate,1218)*(1+'5. Scenarios'!$D$10)*(INDEX(BookQ1,1218)*(5-MIN(4,1+'5. Scenarios'!$D$8))/4+INDEX(BookQ2,1218)*(5-MIN(4,2+'5. Scenarios'!$D$8))/4+INDEX(BookQ3,1218)*(5-MIN(4,3+'5. Scenarios'!$D$8))/4+INDEX(BookQ4,1218)*(5-MIN(4,4+'5. Scenarios'!$D$8))/4)*'5. Scenarios'!$D$6/(1+ProductivityDefault*('5. Scenarios'!$D$11-1))+INDEX(BookOneOff,1218)*$N1223)</f>
        <v/>
      </c>
      <c r="S1223" s="56" t="str">
        <f aca="false">IF(INDEX(BookTitle,1218)="","",INDEX(BookTotal,1218)*'5. Scenarios'!$E$6/(1+ProductivityDefault*('5. Scenarios'!$E$11-1)))</f>
        <v/>
      </c>
      <c r="T1223" s="57" t="str">
        <f aca="false">IF($S1223="","",INDEX(BookRate,1218)*(1+'5. Scenarios'!$E$10)*$S1223)</f>
        <v/>
      </c>
      <c r="U1223" s="57" t="str">
        <f aca="false">IF($T1223="","",SUMIFS($T$6:$T$2405,$A$6:$A$2405,"&lt;="&amp;$A1223))</f>
        <v/>
      </c>
      <c r="V1223" s="57" t="str">
        <f aca="false">IF($T1223="","",IF($U1223&lt;=BankCostEnvelope*'5. Scenarios'!$E$7,1,0))</f>
        <v/>
      </c>
      <c r="W1223" s="57" t="str">
        <f aca="false">IF($S1223="","",INDEX(BookRate,1218)*(1+'5. Scenarios'!$E$10)*(INDEX(BookQ1,1218)*(5-MIN(4,1+'5. Scenarios'!$E$8))/4+INDEX(BookQ2,1218)*(5-MIN(4,2+'5. Scenarios'!$E$8))/4+INDEX(BookQ3,1218)*(5-MIN(4,3+'5. Scenarios'!$E$8))/4+INDEX(BookQ4,1218)*(5-MIN(4,4+'5. Scenarios'!$E$8))/4)*'5. Scenarios'!$E$6/(1+ProductivityDefault*('5. Scenarios'!$E$11-1))+INDEX(BookOneOff,1218)*$S1223)</f>
        <v/>
      </c>
    </row>
    <row r="1224" customFormat="false" ht="15" hidden="false" customHeight="false" outlineLevel="0" collapsed="false">
      <c r="A1224" s="0" t="str">
        <f aca="false">IF(INDEX(BookTitle,1219)="","",INDEX(BookKey,1219))</f>
        <v/>
      </c>
      <c r="B1224" s="0" t="str">
        <f aca="false">IF(INDEX(BookTitle,1219)="","",INDEX(BookGroup,1219))</f>
        <v/>
      </c>
      <c r="C1224" s="0" t="str">
        <f aca="false">IF(INDEX(BookTitle,1219)="","",INDEX(BookCategory,1219))</f>
        <v/>
      </c>
      <c r="D1224" s="56" t="str">
        <f aca="false">IF(INDEX(BookTitle,1219)="","",INDEX(BookTotal,1219)*'5. Scenarios'!$B$6/(1+ProductivityDefault*('5. Scenarios'!$B$11-1)))</f>
        <v/>
      </c>
      <c r="E1224" s="57" t="str">
        <f aca="false">IF($D1224="","",INDEX(BookRate,1219)*(1+'5. Scenarios'!$B$10)*$D1224)</f>
        <v/>
      </c>
      <c r="F1224" s="57" t="str">
        <f aca="false">IF($E1224="","",SUMIFS($E$6:$E$2405,$A$6:$A$2405,"&lt;="&amp;$A1224))</f>
        <v/>
      </c>
      <c r="G1224" s="57" t="str">
        <f aca="false">IF($E1224="","",IF($F1224&lt;=BankCostEnvelope*'5. Scenarios'!$B$7,1,0))</f>
        <v/>
      </c>
      <c r="H1224" s="57" t="str">
        <f aca="false">IF($D1224="","",INDEX(BookRate,1219)*(1+'5. Scenarios'!$B$10)*(INDEX(BookQ1,1219)*(5-MIN(4,1+'5. Scenarios'!$B$8))/4+INDEX(BookQ2,1219)*(5-MIN(4,2+'5. Scenarios'!$B$8))/4+INDEX(BookQ3,1219)*(5-MIN(4,3+'5. Scenarios'!$B$8))/4+INDEX(BookQ4,1219)*(5-MIN(4,4+'5. Scenarios'!$B$8))/4)*'5. Scenarios'!$B$6/(1+ProductivityDefault*('5. Scenarios'!$B$11-1))+INDEX(BookOneOff,1219)*$D1224)</f>
        <v/>
      </c>
      <c r="I1224" s="56" t="str">
        <f aca="false">IF(INDEX(BookTitle,1219)="","",INDEX(BookTotal,1219)*'5. Scenarios'!$C$6/(1+ProductivityDefault*('5. Scenarios'!$C$11-1)))</f>
        <v/>
      </c>
      <c r="J1224" s="57" t="str">
        <f aca="false">IF($I1224="","",INDEX(BookRate,1219)*(1+'5. Scenarios'!$C$10)*$I1224)</f>
        <v/>
      </c>
      <c r="K1224" s="57" t="str">
        <f aca="false">IF($J1224="","",SUMIFS($J$6:$J$2405,$A$6:$A$2405,"&lt;="&amp;$A1224))</f>
        <v/>
      </c>
      <c r="L1224" s="57" t="str">
        <f aca="false">IF($J1224="","",IF($K1224&lt;=BankCostEnvelope*'5. Scenarios'!$C$7,1,0))</f>
        <v/>
      </c>
      <c r="M1224" s="57" t="str">
        <f aca="false">IF($I1224="","",INDEX(BookRate,1219)*(1+'5. Scenarios'!$C$10)*(INDEX(BookQ1,1219)*(5-MIN(4,1+'5. Scenarios'!$C$8))/4+INDEX(BookQ2,1219)*(5-MIN(4,2+'5. Scenarios'!$C$8))/4+INDEX(BookQ3,1219)*(5-MIN(4,3+'5. Scenarios'!$C$8))/4+INDEX(BookQ4,1219)*(5-MIN(4,4+'5. Scenarios'!$C$8))/4)*'5. Scenarios'!$C$6/(1+ProductivityDefault*('5. Scenarios'!$C$11-1))+INDEX(BookOneOff,1219)*$I1224)</f>
        <v/>
      </c>
      <c r="N1224" s="56" t="str">
        <f aca="false">IF(INDEX(BookTitle,1219)="","",INDEX(BookTotal,1219)*'5. Scenarios'!$D$6/(1+ProductivityDefault*('5. Scenarios'!$D$11-1)))</f>
        <v/>
      </c>
      <c r="O1224" s="57" t="str">
        <f aca="false">IF($N1224="","",INDEX(BookRate,1219)*(1+'5. Scenarios'!$D$10)*$N1224)</f>
        <v/>
      </c>
      <c r="P1224" s="57" t="str">
        <f aca="false">IF($O1224="","",SUMIFS($O$6:$O$2405,$A$6:$A$2405,"&lt;="&amp;$A1224))</f>
        <v/>
      </c>
      <c r="Q1224" s="57" t="str">
        <f aca="false">IF($O1224="","",IF($P1224&lt;=BankCostEnvelope*'5. Scenarios'!$D$7,1,0))</f>
        <v/>
      </c>
      <c r="R1224" s="57" t="str">
        <f aca="false">IF($N1224="","",INDEX(BookRate,1219)*(1+'5. Scenarios'!$D$10)*(INDEX(BookQ1,1219)*(5-MIN(4,1+'5. Scenarios'!$D$8))/4+INDEX(BookQ2,1219)*(5-MIN(4,2+'5. Scenarios'!$D$8))/4+INDEX(BookQ3,1219)*(5-MIN(4,3+'5. Scenarios'!$D$8))/4+INDEX(BookQ4,1219)*(5-MIN(4,4+'5. Scenarios'!$D$8))/4)*'5. Scenarios'!$D$6/(1+ProductivityDefault*('5. Scenarios'!$D$11-1))+INDEX(BookOneOff,1219)*$N1224)</f>
        <v/>
      </c>
      <c r="S1224" s="56" t="str">
        <f aca="false">IF(INDEX(BookTitle,1219)="","",INDEX(BookTotal,1219)*'5. Scenarios'!$E$6/(1+ProductivityDefault*('5. Scenarios'!$E$11-1)))</f>
        <v/>
      </c>
      <c r="T1224" s="57" t="str">
        <f aca="false">IF($S1224="","",INDEX(BookRate,1219)*(1+'5. Scenarios'!$E$10)*$S1224)</f>
        <v/>
      </c>
      <c r="U1224" s="57" t="str">
        <f aca="false">IF($T1224="","",SUMIFS($T$6:$T$2405,$A$6:$A$2405,"&lt;="&amp;$A1224))</f>
        <v/>
      </c>
      <c r="V1224" s="57" t="str">
        <f aca="false">IF($T1224="","",IF($U1224&lt;=BankCostEnvelope*'5. Scenarios'!$E$7,1,0))</f>
        <v/>
      </c>
      <c r="W1224" s="57" t="str">
        <f aca="false">IF($S1224="","",INDEX(BookRate,1219)*(1+'5. Scenarios'!$E$10)*(INDEX(BookQ1,1219)*(5-MIN(4,1+'5. Scenarios'!$E$8))/4+INDEX(BookQ2,1219)*(5-MIN(4,2+'5. Scenarios'!$E$8))/4+INDEX(BookQ3,1219)*(5-MIN(4,3+'5. Scenarios'!$E$8))/4+INDEX(BookQ4,1219)*(5-MIN(4,4+'5. Scenarios'!$E$8))/4)*'5. Scenarios'!$E$6/(1+ProductivityDefault*('5. Scenarios'!$E$11-1))+INDEX(BookOneOff,1219)*$S1224)</f>
        <v/>
      </c>
    </row>
    <row r="1225" customFormat="false" ht="15" hidden="false" customHeight="false" outlineLevel="0" collapsed="false">
      <c r="A1225" s="0" t="str">
        <f aca="false">IF(INDEX(BookTitle,1220)="","",INDEX(BookKey,1220))</f>
        <v/>
      </c>
      <c r="B1225" s="0" t="str">
        <f aca="false">IF(INDEX(BookTitle,1220)="","",INDEX(BookGroup,1220))</f>
        <v/>
      </c>
      <c r="C1225" s="0" t="str">
        <f aca="false">IF(INDEX(BookTitle,1220)="","",INDEX(BookCategory,1220))</f>
        <v/>
      </c>
      <c r="D1225" s="56" t="str">
        <f aca="false">IF(INDEX(BookTitle,1220)="","",INDEX(BookTotal,1220)*'5. Scenarios'!$B$6/(1+ProductivityDefault*('5. Scenarios'!$B$11-1)))</f>
        <v/>
      </c>
      <c r="E1225" s="57" t="str">
        <f aca="false">IF($D1225="","",INDEX(BookRate,1220)*(1+'5. Scenarios'!$B$10)*$D1225)</f>
        <v/>
      </c>
      <c r="F1225" s="57" t="str">
        <f aca="false">IF($E1225="","",SUMIFS($E$6:$E$2405,$A$6:$A$2405,"&lt;="&amp;$A1225))</f>
        <v/>
      </c>
      <c r="G1225" s="57" t="str">
        <f aca="false">IF($E1225="","",IF($F1225&lt;=BankCostEnvelope*'5. Scenarios'!$B$7,1,0))</f>
        <v/>
      </c>
      <c r="H1225" s="57" t="str">
        <f aca="false">IF($D1225="","",INDEX(BookRate,1220)*(1+'5. Scenarios'!$B$10)*(INDEX(BookQ1,1220)*(5-MIN(4,1+'5. Scenarios'!$B$8))/4+INDEX(BookQ2,1220)*(5-MIN(4,2+'5. Scenarios'!$B$8))/4+INDEX(BookQ3,1220)*(5-MIN(4,3+'5. Scenarios'!$B$8))/4+INDEX(BookQ4,1220)*(5-MIN(4,4+'5. Scenarios'!$B$8))/4)*'5. Scenarios'!$B$6/(1+ProductivityDefault*('5. Scenarios'!$B$11-1))+INDEX(BookOneOff,1220)*$D1225)</f>
        <v/>
      </c>
      <c r="I1225" s="56" t="str">
        <f aca="false">IF(INDEX(BookTitle,1220)="","",INDEX(BookTotal,1220)*'5. Scenarios'!$C$6/(1+ProductivityDefault*('5. Scenarios'!$C$11-1)))</f>
        <v/>
      </c>
      <c r="J1225" s="57" t="str">
        <f aca="false">IF($I1225="","",INDEX(BookRate,1220)*(1+'5. Scenarios'!$C$10)*$I1225)</f>
        <v/>
      </c>
      <c r="K1225" s="57" t="str">
        <f aca="false">IF($J1225="","",SUMIFS($J$6:$J$2405,$A$6:$A$2405,"&lt;="&amp;$A1225))</f>
        <v/>
      </c>
      <c r="L1225" s="57" t="str">
        <f aca="false">IF($J1225="","",IF($K1225&lt;=BankCostEnvelope*'5. Scenarios'!$C$7,1,0))</f>
        <v/>
      </c>
      <c r="M1225" s="57" t="str">
        <f aca="false">IF($I1225="","",INDEX(BookRate,1220)*(1+'5. Scenarios'!$C$10)*(INDEX(BookQ1,1220)*(5-MIN(4,1+'5. Scenarios'!$C$8))/4+INDEX(BookQ2,1220)*(5-MIN(4,2+'5. Scenarios'!$C$8))/4+INDEX(BookQ3,1220)*(5-MIN(4,3+'5. Scenarios'!$C$8))/4+INDEX(BookQ4,1220)*(5-MIN(4,4+'5. Scenarios'!$C$8))/4)*'5. Scenarios'!$C$6/(1+ProductivityDefault*('5. Scenarios'!$C$11-1))+INDEX(BookOneOff,1220)*$I1225)</f>
        <v/>
      </c>
      <c r="N1225" s="56" t="str">
        <f aca="false">IF(INDEX(BookTitle,1220)="","",INDEX(BookTotal,1220)*'5. Scenarios'!$D$6/(1+ProductivityDefault*('5. Scenarios'!$D$11-1)))</f>
        <v/>
      </c>
      <c r="O1225" s="57" t="str">
        <f aca="false">IF($N1225="","",INDEX(BookRate,1220)*(1+'5. Scenarios'!$D$10)*$N1225)</f>
        <v/>
      </c>
      <c r="P1225" s="57" t="str">
        <f aca="false">IF($O1225="","",SUMIFS($O$6:$O$2405,$A$6:$A$2405,"&lt;="&amp;$A1225))</f>
        <v/>
      </c>
      <c r="Q1225" s="57" t="str">
        <f aca="false">IF($O1225="","",IF($P1225&lt;=BankCostEnvelope*'5. Scenarios'!$D$7,1,0))</f>
        <v/>
      </c>
      <c r="R1225" s="57" t="str">
        <f aca="false">IF($N1225="","",INDEX(BookRate,1220)*(1+'5. Scenarios'!$D$10)*(INDEX(BookQ1,1220)*(5-MIN(4,1+'5. Scenarios'!$D$8))/4+INDEX(BookQ2,1220)*(5-MIN(4,2+'5. Scenarios'!$D$8))/4+INDEX(BookQ3,1220)*(5-MIN(4,3+'5. Scenarios'!$D$8))/4+INDEX(BookQ4,1220)*(5-MIN(4,4+'5. Scenarios'!$D$8))/4)*'5. Scenarios'!$D$6/(1+ProductivityDefault*('5. Scenarios'!$D$11-1))+INDEX(BookOneOff,1220)*$N1225)</f>
        <v/>
      </c>
      <c r="S1225" s="56" t="str">
        <f aca="false">IF(INDEX(BookTitle,1220)="","",INDEX(BookTotal,1220)*'5. Scenarios'!$E$6/(1+ProductivityDefault*('5. Scenarios'!$E$11-1)))</f>
        <v/>
      </c>
      <c r="T1225" s="57" t="str">
        <f aca="false">IF($S1225="","",INDEX(BookRate,1220)*(1+'5. Scenarios'!$E$10)*$S1225)</f>
        <v/>
      </c>
      <c r="U1225" s="57" t="str">
        <f aca="false">IF($T1225="","",SUMIFS($T$6:$T$2405,$A$6:$A$2405,"&lt;="&amp;$A1225))</f>
        <v/>
      </c>
      <c r="V1225" s="57" t="str">
        <f aca="false">IF($T1225="","",IF($U1225&lt;=BankCostEnvelope*'5. Scenarios'!$E$7,1,0))</f>
        <v/>
      </c>
      <c r="W1225" s="57" t="str">
        <f aca="false">IF($S1225="","",INDEX(BookRate,1220)*(1+'5. Scenarios'!$E$10)*(INDEX(BookQ1,1220)*(5-MIN(4,1+'5. Scenarios'!$E$8))/4+INDEX(BookQ2,1220)*(5-MIN(4,2+'5. Scenarios'!$E$8))/4+INDEX(BookQ3,1220)*(5-MIN(4,3+'5. Scenarios'!$E$8))/4+INDEX(BookQ4,1220)*(5-MIN(4,4+'5. Scenarios'!$E$8))/4)*'5. Scenarios'!$E$6/(1+ProductivityDefault*('5. Scenarios'!$E$11-1))+INDEX(BookOneOff,1220)*$S1225)</f>
        <v/>
      </c>
    </row>
    <row r="1226" customFormat="false" ht="15" hidden="false" customHeight="false" outlineLevel="0" collapsed="false">
      <c r="A1226" s="0" t="str">
        <f aca="false">IF(INDEX(BookTitle,1221)="","",INDEX(BookKey,1221))</f>
        <v/>
      </c>
      <c r="B1226" s="0" t="str">
        <f aca="false">IF(INDEX(BookTitle,1221)="","",INDEX(BookGroup,1221))</f>
        <v/>
      </c>
      <c r="C1226" s="0" t="str">
        <f aca="false">IF(INDEX(BookTitle,1221)="","",INDEX(BookCategory,1221))</f>
        <v/>
      </c>
      <c r="D1226" s="56" t="str">
        <f aca="false">IF(INDEX(BookTitle,1221)="","",INDEX(BookTotal,1221)*'5. Scenarios'!$B$6/(1+ProductivityDefault*('5. Scenarios'!$B$11-1)))</f>
        <v/>
      </c>
      <c r="E1226" s="57" t="str">
        <f aca="false">IF($D1226="","",INDEX(BookRate,1221)*(1+'5. Scenarios'!$B$10)*$D1226)</f>
        <v/>
      </c>
      <c r="F1226" s="57" t="str">
        <f aca="false">IF($E1226="","",SUMIFS($E$6:$E$2405,$A$6:$A$2405,"&lt;="&amp;$A1226))</f>
        <v/>
      </c>
      <c r="G1226" s="57" t="str">
        <f aca="false">IF($E1226="","",IF($F1226&lt;=BankCostEnvelope*'5. Scenarios'!$B$7,1,0))</f>
        <v/>
      </c>
      <c r="H1226" s="57" t="str">
        <f aca="false">IF($D1226="","",INDEX(BookRate,1221)*(1+'5. Scenarios'!$B$10)*(INDEX(BookQ1,1221)*(5-MIN(4,1+'5. Scenarios'!$B$8))/4+INDEX(BookQ2,1221)*(5-MIN(4,2+'5. Scenarios'!$B$8))/4+INDEX(BookQ3,1221)*(5-MIN(4,3+'5. Scenarios'!$B$8))/4+INDEX(BookQ4,1221)*(5-MIN(4,4+'5. Scenarios'!$B$8))/4)*'5. Scenarios'!$B$6/(1+ProductivityDefault*('5. Scenarios'!$B$11-1))+INDEX(BookOneOff,1221)*$D1226)</f>
        <v/>
      </c>
      <c r="I1226" s="56" t="str">
        <f aca="false">IF(INDEX(BookTitle,1221)="","",INDEX(BookTotal,1221)*'5. Scenarios'!$C$6/(1+ProductivityDefault*('5. Scenarios'!$C$11-1)))</f>
        <v/>
      </c>
      <c r="J1226" s="57" t="str">
        <f aca="false">IF($I1226="","",INDEX(BookRate,1221)*(1+'5. Scenarios'!$C$10)*$I1226)</f>
        <v/>
      </c>
      <c r="K1226" s="57" t="str">
        <f aca="false">IF($J1226="","",SUMIFS($J$6:$J$2405,$A$6:$A$2405,"&lt;="&amp;$A1226))</f>
        <v/>
      </c>
      <c r="L1226" s="57" t="str">
        <f aca="false">IF($J1226="","",IF($K1226&lt;=BankCostEnvelope*'5. Scenarios'!$C$7,1,0))</f>
        <v/>
      </c>
      <c r="M1226" s="57" t="str">
        <f aca="false">IF($I1226="","",INDEX(BookRate,1221)*(1+'5. Scenarios'!$C$10)*(INDEX(BookQ1,1221)*(5-MIN(4,1+'5. Scenarios'!$C$8))/4+INDEX(BookQ2,1221)*(5-MIN(4,2+'5. Scenarios'!$C$8))/4+INDEX(BookQ3,1221)*(5-MIN(4,3+'5. Scenarios'!$C$8))/4+INDEX(BookQ4,1221)*(5-MIN(4,4+'5. Scenarios'!$C$8))/4)*'5. Scenarios'!$C$6/(1+ProductivityDefault*('5. Scenarios'!$C$11-1))+INDEX(BookOneOff,1221)*$I1226)</f>
        <v/>
      </c>
      <c r="N1226" s="56" t="str">
        <f aca="false">IF(INDEX(BookTitle,1221)="","",INDEX(BookTotal,1221)*'5. Scenarios'!$D$6/(1+ProductivityDefault*('5. Scenarios'!$D$11-1)))</f>
        <v/>
      </c>
      <c r="O1226" s="57" t="str">
        <f aca="false">IF($N1226="","",INDEX(BookRate,1221)*(1+'5. Scenarios'!$D$10)*$N1226)</f>
        <v/>
      </c>
      <c r="P1226" s="57" t="str">
        <f aca="false">IF($O1226="","",SUMIFS($O$6:$O$2405,$A$6:$A$2405,"&lt;="&amp;$A1226))</f>
        <v/>
      </c>
      <c r="Q1226" s="57" t="str">
        <f aca="false">IF($O1226="","",IF($P1226&lt;=BankCostEnvelope*'5. Scenarios'!$D$7,1,0))</f>
        <v/>
      </c>
      <c r="R1226" s="57" t="str">
        <f aca="false">IF($N1226="","",INDEX(BookRate,1221)*(1+'5. Scenarios'!$D$10)*(INDEX(BookQ1,1221)*(5-MIN(4,1+'5. Scenarios'!$D$8))/4+INDEX(BookQ2,1221)*(5-MIN(4,2+'5. Scenarios'!$D$8))/4+INDEX(BookQ3,1221)*(5-MIN(4,3+'5. Scenarios'!$D$8))/4+INDEX(BookQ4,1221)*(5-MIN(4,4+'5. Scenarios'!$D$8))/4)*'5. Scenarios'!$D$6/(1+ProductivityDefault*('5. Scenarios'!$D$11-1))+INDEX(BookOneOff,1221)*$N1226)</f>
        <v/>
      </c>
      <c r="S1226" s="56" t="str">
        <f aca="false">IF(INDEX(BookTitle,1221)="","",INDEX(BookTotal,1221)*'5. Scenarios'!$E$6/(1+ProductivityDefault*('5. Scenarios'!$E$11-1)))</f>
        <v/>
      </c>
      <c r="T1226" s="57" t="str">
        <f aca="false">IF($S1226="","",INDEX(BookRate,1221)*(1+'5. Scenarios'!$E$10)*$S1226)</f>
        <v/>
      </c>
      <c r="U1226" s="57" t="str">
        <f aca="false">IF($T1226="","",SUMIFS($T$6:$T$2405,$A$6:$A$2405,"&lt;="&amp;$A1226))</f>
        <v/>
      </c>
      <c r="V1226" s="57" t="str">
        <f aca="false">IF($T1226="","",IF($U1226&lt;=BankCostEnvelope*'5. Scenarios'!$E$7,1,0))</f>
        <v/>
      </c>
      <c r="W1226" s="57" t="str">
        <f aca="false">IF($S1226="","",INDEX(BookRate,1221)*(1+'5. Scenarios'!$E$10)*(INDEX(BookQ1,1221)*(5-MIN(4,1+'5. Scenarios'!$E$8))/4+INDEX(BookQ2,1221)*(5-MIN(4,2+'5. Scenarios'!$E$8))/4+INDEX(BookQ3,1221)*(5-MIN(4,3+'5. Scenarios'!$E$8))/4+INDEX(BookQ4,1221)*(5-MIN(4,4+'5. Scenarios'!$E$8))/4)*'5. Scenarios'!$E$6/(1+ProductivityDefault*('5. Scenarios'!$E$11-1))+INDEX(BookOneOff,1221)*$S1226)</f>
        <v/>
      </c>
    </row>
    <row r="1227" customFormat="false" ht="15" hidden="false" customHeight="false" outlineLevel="0" collapsed="false">
      <c r="A1227" s="0" t="str">
        <f aca="false">IF(INDEX(BookTitle,1222)="","",INDEX(BookKey,1222))</f>
        <v/>
      </c>
      <c r="B1227" s="0" t="str">
        <f aca="false">IF(INDEX(BookTitle,1222)="","",INDEX(BookGroup,1222))</f>
        <v/>
      </c>
      <c r="C1227" s="0" t="str">
        <f aca="false">IF(INDEX(BookTitle,1222)="","",INDEX(BookCategory,1222))</f>
        <v/>
      </c>
      <c r="D1227" s="56" t="str">
        <f aca="false">IF(INDEX(BookTitle,1222)="","",INDEX(BookTotal,1222)*'5. Scenarios'!$B$6/(1+ProductivityDefault*('5. Scenarios'!$B$11-1)))</f>
        <v/>
      </c>
      <c r="E1227" s="57" t="str">
        <f aca="false">IF($D1227="","",INDEX(BookRate,1222)*(1+'5. Scenarios'!$B$10)*$D1227)</f>
        <v/>
      </c>
      <c r="F1227" s="57" t="str">
        <f aca="false">IF($E1227="","",SUMIFS($E$6:$E$2405,$A$6:$A$2405,"&lt;="&amp;$A1227))</f>
        <v/>
      </c>
      <c r="G1227" s="57" t="str">
        <f aca="false">IF($E1227="","",IF($F1227&lt;=BankCostEnvelope*'5. Scenarios'!$B$7,1,0))</f>
        <v/>
      </c>
      <c r="H1227" s="57" t="str">
        <f aca="false">IF($D1227="","",INDEX(BookRate,1222)*(1+'5. Scenarios'!$B$10)*(INDEX(BookQ1,1222)*(5-MIN(4,1+'5. Scenarios'!$B$8))/4+INDEX(BookQ2,1222)*(5-MIN(4,2+'5. Scenarios'!$B$8))/4+INDEX(BookQ3,1222)*(5-MIN(4,3+'5. Scenarios'!$B$8))/4+INDEX(BookQ4,1222)*(5-MIN(4,4+'5. Scenarios'!$B$8))/4)*'5. Scenarios'!$B$6/(1+ProductivityDefault*('5. Scenarios'!$B$11-1))+INDEX(BookOneOff,1222)*$D1227)</f>
        <v/>
      </c>
      <c r="I1227" s="56" t="str">
        <f aca="false">IF(INDEX(BookTitle,1222)="","",INDEX(BookTotal,1222)*'5. Scenarios'!$C$6/(1+ProductivityDefault*('5. Scenarios'!$C$11-1)))</f>
        <v/>
      </c>
      <c r="J1227" s="57" t="str">
        <f aca="false">IF($I1227="","",INDEX(BookRate,1222)*(1+'5. Scenarios'!$C$10)*$I1227)</f>
        <v/>
      </c>
      <c r="K1227" s="57" t="str">
        <f aca="false">IF($J1227="","",SUMIFS($J$6:$J$2405,$A$6:$A$2405,"&lt;="&amp;$A1227))</f>
        <v/>
      </c>
      <c r="L1227" s="57" t="str">
        <f aca="false">IF($J1227="","",IF($K1227&lt;=BankCostEnvelope*'5. Scenarios'!$C$7,1,0))</f>
        <v/>
      </c>
      <c r="M1227" s="57" t="str">
        <f aca="false">IF($I1227="","",INDEX(BookRate,1222)*(1+'5. Scenarios'!$C$10)*(INDEX(BookQ1,1222)*(5-MIN(4,1+'5. Scenarios'!$C$8))/4+INDEX(BookQ2,1222)*(5-MIN(4,2+'5. Scenarios'!$C$8))/4+INDEX(BookQ3,1222)*(5-MIN(4,3+'5. Scenarios'!$C$8))/4+INDEX(BookQ4,1222)*(5-MIN(4,4+'5. Scenarios'!$C$8))/4)*'5. Scenarios'!$C$6/(1+ProductivityDefault*('5. Scenarios'!$C$11-1))+INDEX(BookOneOff,1222)*$I1227)</f>
        <v/>
      </c>
      <c r="N1227" s="56" t="str">
        <f aca="false">IF(INDEX(BookTitle,1222)="","",INDEX(BookTotal,1222)*'5. Scenarios'!$D$6/(1+ProductivityDefault*('5. Scenarios'!$D$11-1)))</f>
        <v/>
      </c>
      <c r="O1227" s="57" t="str">
        <f aca="false">IF($N1227="","",INDEX(BookRate,1222)*(1+'5. Scenarios'!$D$10)*$N1227)</f>
        <v/>
      </c>
      <c r="P1227" s="57" t="str">
        <f aca="false">IF($O1227="","",SUMIFS($O$6:$O$2405,$A$6:$A$2405,"&lt;="&amp;$A1227))</f>
        <v/>
      </c>
      <c r="Q1227" s="57" t="str">
        <f aca="false">IF($O1227="","",IF($P1227&lt;=BankCostEnvelope*'5. Scenarios'!$D$7,1,0))</f>
        <v/>
      </c>
      <c r="R1227" s="57" t="str">
        <f aca="false">IF($N1227="","",INDEX(BookRate,1222)*(1+'5. Scenarios'!$D$10)*(INDEX(BookQ1,1222)*(5-MIN(4,1+'5. Scenarios'!$D$8))/4+INDEX(BookQ2,1222)*(5-MIN(4,2+'5. Scenarios'!$D$8))/4+INDEX(BookQ3,1222)*(5-MIN(4,3+'5. Scenarios'!$D$8))/4+INDEX(BookQ4,1222)*(5-MIN(4,4+'5. Scenarios'!$D$8))/4)*'5. Scenarios'!$D$6/(1+ProductivityDefault*('5. Scenarios'!$D$11-1))+INDEX(BookOneOff,1222)*$N1227)</f>
        <v/>
      </c>
      <c r="S1227" s="56" t="str">
        <f aca="false">IF(INDEX(BookTitle,1222)="","",INDEX(BookTotal,1222)*'5. Scenarios'!$E$6/(1+ProductivityDefault*('5. Scenarios'!$E$11-1)))</f>
        <v/>
      </c>
      <c r="T1227" s="57" t="str">
        <f aca="false">IF($S1227="","",INDEX(BookRate,1222)*(1+'5. Scenarios'!$E$10)*$S1227)</f>
        <v/>
      </c>
      <c r="U1227" s="57" t="str">
        <f aca="false">IF($T1227="","",SUMIFS($T$6:$T$2405,$A$6:$A$2405,"&lt;="&amp;$A1227))</f>
        <v/>
      </c>
      <c r="V1227" s="57" t="str">
        <f aca="false">IF($T1227="","",IF($U1227&lt;=BankCostEnvelope*'5. Scenarios'!$E$7,1,0))</f>
        <v/>
      </c>
      <c r="W1227" s="57" t="str">
        <f aca="false">IF($S1227="","",INDEX(BookRate,1222)*(1+'5. Scenarios'!$E$10)*(INDEX(BookQ1,1222)*(5-MIN(4,1+'5. Scenarios'!$E$8))/4+INDEX(BookQ2,1222)*(5-MIN(4,2+'5. Scenarios'!$E$8))/4+INDEX(BookQ3,1222)*(5-MIN(4,3+'5. Scenarios'!$E$8))/4+INDEX(BookQ4,1222)*(5-MIN(4,4+'5. Scenarios'!$E$8))/4)*'5. Scenarios'!$E$6/(1+ProductivityDefault*('5. Scenarios'!$E$11-1))+INDEX(BookOneOff,1222)*$S1227)</f>
        <v/>
      </c>
    </row>
    <row r="1228" customFormat="false" ht="15" hidden="false" customHeight="false" outlineLevel="0" collapsed="false">
      <c r="A1228" s="0" t="str">
        <f aca="false">IF(INDEX(BookTitle,1223)="","",INDEX(BookKey,1223))</f>
        <v/>
      </c>
      <c r="B1228" s="0" t="str">
        <f aca="false">IF(INDEX(BookTitle,1223)="","",INDEX(BookGroup,1223))</f>
        <v/>
      </c>
      <c r="C1228" s="0" t="str">
        <f aca="false">IF(INDEX(BookTitle,1223)="","",INDEX(BookCategory,1223))</f>
        <v/>
      </c>
      <c r="D1228" s="56" t="str">
        <f aca="false">IF(INDEX(BookTitle,1223)="","",INDEX(BookTotal,1223)*'5. Scenarios'!$B$6/(1+ProductivityDefault*('5. Scenarios'!$B$11-1)))</f>
        <v/>
      </c>
      <c r="E1228" s="57" t="str">
        <f aca="false">IF($D1228="","",INDEX(BookRate,1223)*(1+'5. Scenarios'!$B$10)*$D1228)</f>
        <v/>
      </c>
      <c r="F1228" s="57" t="str">
        <f aca="false">IF($E1228="","",SUMIFS($E$6:$E$2405,$A$6:$A$2405,"&lt;="&amp;$A1228))</f>
        <v/>
      </c>
      <c r="G1228" s="57" t="str">
        <f aca="false">IF($E1228="","",IF($F1228&lt;=BankCostEnvelope*'5. Scenarios'!$B$7,1,0))</f>
        <v/>
      </c>
      <c r="H1228" s="57" t="str">
        <f aca="false">IF($D1228="","",INDEX(BookRate,1223)*(1+'5. Scenarios'!$B$10)*(INDEX(BookQ1,1223)*(5-MIN(4,1+'5. Scenarios'!$B$8))/4+INDEX(BookQ2,1223)*(5-MIN(4,2+'5. Scenarios'!$B$8))/4+INDEX(BookQ3,1223)*(5-MIN(4,3+'5. Scenarios'!$B$8))/4+INDEX(BookQ4,1223)*(5-MIN(4,4+'5. Scenarios'!$B$8))/4)*'5. Scenarios'!$B$6/(1+ProductivityDefault*('5. Scenarios'!$B$11-1))+INDEX(BookOneOff,1223)*$D1228)</f>
        <v/>
      </c>
      <c r="I1228" s="56" t="str">
        <f aca="false">IF(INDEX(BookTitle,1223)="","",INDEX(BookTotal,1223)*'5. Scenarios'!$C$6/(1+ProductivityDefault*('5. Scenarios'!$C$11-1)))</f>
        <v/>
      </c>
      <c r="J1228" s="57" t="str">
        <f aca="false">IF($I1228="","",INDEX(BookRate,1223)*(1+'5. Scenarios'!$C$10)*$I1228)</f>
        <v/>
      </c>
      <c r="K1228" s="57" t="str">
        <f aca="false">IF($J1228="","",SUMIFS($J$6:$J$2405,$A$6:$A$2405,"&lt;="&amp;$A1228))</f>
        <v/>
      </c>
      <c r="L1228" s="57" t="str">
        <f aca="false">IF($J1228="","",IF($K1228&lt;=BankCostEnvelope*'5. Scenarios'!$C$7,1,0))</f>
        <v/>
      </c>
      <c r="M1228" s="57" t="str">
        <f aca="false">IF($I1228="","",INDEX(BookRate,1223)*(1+'5. Scenarios'!$C$10)*(INDEX(BookQ1,1223)*(5-MIN(4,1+'5. Scenarios'!$C$8))/4+INDEX(BookQ2,1223)*(5-MIN(4,2+'5. Scenarios'!$C$8))/4+INDEX(BookQ3,1223)*(5-MIN(4,3+'5. Scenarios'!$C$8))/4+INDEX(BookQ4,1223)*(5-MIN(4,4+'5. Scenarios'!$C$8))/4)*'5. Scenarios'!$C$6/(1+ProductivityDefault*('5. Scenarios'!$C$11-1))+INDEX(BookOneOff,1223)*$I1228)</f>
        <v/>
      </c>
      <c r="N1228" s="56" t="str">
        <f aca="false">IF(INDEX(BookTitle,1223)="","",INDEX(BookTotal,1223)*'5. Scenarios'!$D$6/(1+ProductivityDefault*('5. Scenarios'!$D$11-1)))</f>
        <v/>
      </c>
      <c r="O1228" s="57" t="str">
        <f aca="false">IF($N1228="","",INDEX(BookRate,1223)*(1+'5. Scenarios'!$D$10)*$N1228)</f>
        <v/>
      </c>
      <c r="P1228" s="57" t="str">
        <f aca="false">IF($O1228="","",SUMIFS($O$6:$O$2405,$A$6:$A$2405,"&lt;="&amp;$A1228))</f>
        <v/>
      </c>
      <c r="Q1228" s="57" t="str">
        <f aca="false">IF($O1228="","",IF($P1228&lt;=BankCostEnvelope*'5. Scenarios'!$D$7,1,0))</f>
        <v/>
      </c>
      <c r="R1228" s="57" t="str">
        <f aca="false">IF($N1228="","",INDEX(BookRate,1223)*(1+'5. Scenarios'!$D$10)*(INDEX(BookQ1,1223)*(5-MIN(4,1+'5. Scenarios'!$D$8))/4+INDEX(BookQ2,1223)*(5-MIN(4,2+'5. Scenarios'!$D$8))/4+INDEX(BookQ3,1223)*(5-MIN(4,3+'5. Scenarios'!$D$8))/4+INDEX(BookQ4,1223)*(5-MIN(4,4+'5. Scenarios'!$D$8))/4)*'5. Scenarios'!$D$6/(1+ProductivityDefault*('5. Scenarios'!$D$11-1))+INDEX(BookOneOff,1223)*$N1228)</f>
        <v/>
      </c>
      <c r="S1228" s="56" t="str">
        <f aca="false">IF(INDEX(BookTitle,1223)="","",INDEX(BookTotal,1223)*'5. Scenarios'!$E$6/(1+ProductivityDefault*('5. Scenarios'!$E$11-1)))</f>
        <v/>
      </c>
      <c r="T1228" s="57" t="str">
        <f aca="false">IF($S1228="","",INDEX(BookRate,1223)*(1+'5. Scenarios'!$E$10)*$S1228)</f>
        <v/>
      </c>
      <c r="U1228" s="57" t="str">
        <f aca="false">IF($T1228="","",SUMIFS($T$6:$T$2405,$A$6:$A$2405,"&lt;="&amp;$A1228))</f>
        <v/>
      </c>
      <c r="V1228" s="57" t="str">
        <f aca="false">IF($T1228="","",IF($U1228&lt;=BankCostEnvelope*'5. Scenarios'!$E$7,1,0))</f>
        <v/>
      </c>
      <c r="W1228" s="57" t="str">
        <f aca="false">IF($S1228="","",INDEX(BookRate,1223)*(1+'5. Scenarios'!$E$10)*(INDEX(BookQ1,1223)*(5-MIN(4,1+'5. Scenarios'!$E$8))/4+INDEX(BookQ2,1223)*(5-MIN(4,2+'5. Scenarios'!$E$8))/4+INDEX(BookQ3,1223)*(5-MIN(4,3+'5. Scenarios'!$E$8))/4+INDEX(BookQ4,1223)*(5-MIN(4,4+'5. Scenarios'!$E$8))/4)*'5. Scenarios'!$E$6/(1+ProductivityDefault*('5. Scenarios'!$E$11-1))+INDEX(BookOneOff,1223)*$S1228)</f>
        <v/>
      </c>
    </row>
    <row r="1229" customFormat="false" ht="15" hidden="false" customHeight="false" outlineLevel="0" collapsed="false">
      <c r="A1229" s="0" t="str">
        <f aca="false">IF(INDEX(BookTitle,1224)="","",INDEX(BookKey,1224))</f>
        <v/>
      </c>
      <c r="B1229" s="0" t="str">
        <f aca="false">IF(INDEX(BookTitle,1224)="","",INDEX(BookGroup,1224))</f>
        <v/>
      </c>
      <c r="C1229" s="0" t="str">
        <f aca="false">IF(INDEX(BookTitle,1224)="","",INDEX(BookCategory,1224))</f>
        <v/>
      </c>
      <c r="D1229" s="56" t="str">
        <f aca="false">IF(INDEX(BookTitle,1224)="","",INDEX(BookTotal,1224)*'5. Scenarios'!$B$6/(1+ProductivityDefault*('5. Scenarios'!$B$11-1)))</f>
        <v/>
      </c>
      <c r="E1229" s="57" t="str">
        <f aca="false">IF($D1229="","",INDEX(BookRate,1224)*(1+'5. Scenarios'!$B$10)*$D1229)</f>
        <v/>
      </c>
      <c r="F1229" s="57" t="str">
        <f aca="false">IF($E1229="","",SUMIFS($E$6:$E$2405,$A$6:$A$2405,"&lt;="&amp;$A1229))</f>
        <v/>
      </c>
      <c r="G1229" s="57" t="str">
        <f aca="false">IF($E1229="","",IF($F1229&lt;=BankCostEnvelope*'5. Scenarios'!$B$7,1,0))</f>
        <v/>
      </c>
      <c r="H1229" s="57" t="str">
        <f aca="false">IF($D1229="","",INDEX(BookRate,1224)*(1+'5. Scenarios'!$B$10)*(INDEX(BookQ1,1224)*(5-MIN(4,1+'5. Scenarios'!$B$8))/4+INDEX(BookQ2,1224)*(5-MIN(4,2+'5. Scenarios'!$B$8))/4+INDEX(BookQ3,1224)*(5-MIN(4,3+'5. Scenarios'!$B$8))/4+INDEX(BookQ4,1224)*(5-MIN(4,4+'5. Scenarios'!$B$8))/4)*'5. Scenarios'!$B$6/(1+ProductivityDefault*('5. Scenarios'!$B$11-1))+INDEX(BookOneOff,1224)*$D1229)</f>
        <v/>
      </c>
      <c r="I1229" s="56" t="str">
        <f aca="false">IF(INDEX(BookTitle,1224)="","",INDEX(BookTotal,1224)*'5. Scenarios'!$C$6/(1+ProductivityDefault*('5. Scenarios'!$C$11-1)))</f>
        <v/>
      </c>
      <c r="J1229" s="57" t="str">
        <f aca="false">IF($I1229="","",INDEX(BookRate,1224)*(1+'5. Scenarios'!$C$10)*$I1229)</f>
        <v/>
      </c>
      <c r="K1229" s="57" t="str">
        <f aca="false">IF($J1229="","",SUMIFS($J$6:$J$2405,$A$6:$A$2405,"&lt;="&amp;$A1229))</f>
        <v/>
      </c>
      <c r="L1229" s="57" t="str">
        <f aca="false">IF($J1229="","",IF($K1229&lt;=BankCostEnvelope*'5. Scenarios'!$C$7,1,0))</f>
        <v/>
      </c>
      <c r="M1229" s="57" t="str">
        <f aca="false">IF($I1229="","",INDEX(BookRate,1224)*(1+'5. Scenarios'!$C$10)*(INDEX(BookQ1,1224)*(5-MIN(4,1+'5. Scenarios'!$C$8))/4+INDEX(BookQ2,1224)*(5-MIN(4,2+'5. Scenarios'!$C$8))/4+INDEX(BookQ3,1224)*(5-MIN(4,3+'5. Scenarios'!$C$8))/4+INDEX(BookQ4,1224)*(5-MIN(4,4+'5. Scenarios'!$C$8))/4)*'5. Scenarios'!$C$6/(1+ProductivityDefault*('5. Scenarios'!$C$11-1))+INDEX(BookOneOff,1224)*$I1229)</f>
        <v/>
      </c>
      <c r="N1229" s="56" t="str">
        <f aca="false">IF(INDEX(BookTitle,1224)="","",INDEX(BookTotal,1224)*'5. Scenarios'!$D$6/(1+ProductivityDefault*('5. Scenarios'!$D$11-1)))</f>
        <v/>
      </c>
      <c r="O1229" s="57" t="str">
        <f aca="false">IF($N1229="","",INDEX(BookRate,1224)*(1+'5. Scenarios'!$D$10)*$N1229)</f>
        <v/>
      </c>
      <c r="P1229" s="57" t="str">
        <f aca="false">IF($O1229="","",SUMIFS($O$6:$O$2405,$A$6:$A$2405,"&lt;="&amp;$A1229))</f>
        <v/>
      </c>
      <c r="Q1229" s="57" t="str">
        <f aca="false">IF($O1229="","",IF($P1229&lt;=BankCostEnvelope*'5. Scenarios'!$D$7,1,0))</f>
        <v/>
      </c>
      <c r="R1229" s="57" t="str">
        <f aca="false">IF($N1229="","",INDEX(BookRate,1224)*(1+'5. Scenarios'!$D$10)*(INDEX(BookQ1,1224)*(5-MIN(4,1+'5. Scenarios'!$D$8))/4+INDEX(BookQ2,1224)*(5-MIN(4,2+'5. Scenarios'!$D$8))/4+INDEX(BookQ3,1224)*(5-MIN(4,3+'5. Scenarios'!$D$8))/4+INDEX(BookQ4,1224)*(5-MIN(4,4+'5. Scenarios'!$D$8))/4)*'5. Scenarios'!$D$6/(1+ProductivityDefault*('5. Scenarios'!$D$11-1))+INDEX(BookOneOff,1224)*$N1229)</f>
        <v/>
      </c>
      <c r="S1229" s="56" t="str">
        <f aca="false">IF(INDEX(BookTitle,1224)="","",INDEX(BookTotal,1224)*'5. Scenarios'!$E$6/(1+ProductivityDefault*('5. Scenarios'!$E$11-1)))</f>
        <v/>
      </c>
      <c r="T1229" s="57" t="str">
        <f aca="false">IF($S1229="","",INDEX(BookRate,1224)*(1+'5. Scenarios'!$E$10)*$S1229)</f>
        <v/>
      </c>
      <c r="U1229" s="57" t="str">
        <f aca="false">IF($T1229="","",SUMIFS($T$6:$T$2405,$A$6:$A$2405,"&lt;="&amp;$A1229))</f>
        <v/>
      </c>
      <c r="V1229" s="57" t="str">
        <f aca="false">IF($T1229="","",IF($U1229&lt;=BankCostEnvelope*'5. Scenarios'!$E$7,1,0))</f>
        <v/>
      </c>
      <c r="W1229" s="57" t="str">
        <f aca="false">IF($S1229="","",INDEX(BookRate,1224)*(1+'5. Scenarios'!$E$10)*(INDEX(BookQ1,1224)*(5-MIN(4,1+'5. Scenarios'!$E$8))/4+INDEX(BookQ2,1224)*(5-MIN(4,2+'5. Scenarios'!$E$8))/4+INDEX(BookQ3,1224)*(5-MIN(4,3+'5. Scenarios'!$E$8))/4+INDEX(BookQ4,1224)*(5-MIN(4,4+'5. Scenarios'!$E$8))/4)*'5. Scenarios'!$E$6/(1+ProductivityDefault*('5. Scenarios'!$E$11-1))+INDEX(BookOneOff,1224)*$S1229)</f>
        <v/>
      </c>
    </row>
    <row r="1230" customFormat="false" ht="15" hidden="false" customHeight="false" outlineLevel="0" collapsed="false">
      <c r="A1230" s="0" t="str">
        <f aca="false">IF(INDEX(BookTitle,1225)="","",INDEX(BookKey,1225))</f>
        <v/>
      </c>
      <c r="B1230" s="0" t="str">
        <f aca="false">IF(INDEX(BookTitle,1225)="","",INDEX(BookGroup,1225))</f>
        <v/>
      </c>
      <c r="C1230" s="0" t="str">
        <f aca="false">IF(INDEX(BookTitle,1225)="","",INDEX(BookCategory,1225))</f>
        <v/>
      </c>
      <c r="D1230" s="56" t="str">
        <f aca="false">IF(INDEX(BookTitle,1225)="","",INDEX(BookTotal,1225)*'5. Scenarios'!$B$6/(1+ProductivityDefault*('5. Scenarios'!$B$11-1)))</f>
        <v/>
      </c>
      <c r="E1230" s="57" t="str">
        <f aca="false">IF($D1230="","",INDEX(BookRate,1225)*(1+'5. Scenarios'!$B$10)*$D1230)</f>
        <v/>
      </c>
      <c r="F1230" s="57" t="str">
        <f aca="false">IF($E1230="","",SUMIFS($E$6:$E$2405,$A$6:$A$2405,"&lt;="&amp;$A1230))</f>
        <v/>
      </c>
      <c r="G1230" s="57" t="str">
        <f aca="false">IF($E1230="","",IF($F1230&lt;=BankCostEnvelope*'5. Scenarios'!$B$7,1,0))</f>
        <v/>
      </c>
      <c r="H1230" s="57" t="str">
        <f aca="false">IF($D1230="","",INDEX(BookRate,1225)*(1+'5. Scenarios'!$B$10)*(INDEX(BookQ1,1225)*(5-MIN(4,1+'5. Scenarios'!$B$8))/4+INDEX(BookQ2,1225)*(5-MIN(4,2+'5. Scenarios'!$B$8))/4+INDEX(BookQ3,1225)*(5-MIN(4,3+'5. Scenarios'!$B$8))/4+INDEX(BookQ4,1225)*(5-MIN(4,4+'5. Scenarios'!$B$8))/4)*'5. Scenarios'!$B$6/(1+ProductivityDefault*('5. Scenarios'!$B$11-1))+INDEX(BookOneOff,1225)*$D1230)</f>
        <v/>
      </c>
      <c r="I1230" s="56" t="str">
        <f aca="false">IF(INDEX(BookTitle,1225)="","",INDEX(BookTotal,1225)*'5. Scenarios'!$C$6/(1+ProductivityDefault*('5. Scenarios'!$C$11-1)))</f>
        <v/>
      </c>
      <c r="J1230" s="57" t="str">
        <f aca="false">IF($I1230="","",INDEX(BookRate,1225)*(1+'5. Scenarios'!$C$10)*$I1230)</f>
        <v/>
      </c>
      <c r="K1230" s="57" t="str">
        <f aca="false">IF($J1230="","",SUMIFS($J$6:$J$2405,$A$6:$A$2405,"&lt;="&amp;$A1230))</f>
        <v/>
      </c>
      <c r="L1230" s="57" t="str">
        <f aca="false">IF($J1230="","",IF($K1230&lt;=BankCostEnvelope*'5. Scenarios'!$C$7,1,0))</f>
        <v/>
      </c>
      <c r="M1230" s="57" t="str">
        <f aca="false">IF($I1230="","",INDEX(BookRate,1225)*(1+'5. Scenarios'!$C$10)*(INDEX(BookQ1,1225)*(5-MIN(4,1+'5. Scenarios'!$C$8))/4+INDEX(BookQ2,1225)*(5-MIN(4,2+'5. Scenarios'!$C$8))/4+INDEX(BookQ3,1225)*(5-MIN(4,3+'5. Scenarios'!$C$8))/4+INDEX(BookQ4,1225)*(5-MIN(4,4+'5. Scenarios'!$C$8))/4)*'5. Scenarios'!$C$6/(1+ProductivityDefault*('5. Scenarios'!$C$11-1))+INDEX(BookOneOff,1225)*$I1230)</f>
        <v/>
      </c>
      <c r="N1230" s="56" t="str">
        <f aca="false">IF(INDEX(BookTitle,1225)="","",INDEX(BookTotal,1225)*'5. Scenarios'!$D$6/(1+ProductivityDefault*('5. Scenarios'!$D$11-1)))</f>
        <v/>
      </c>
      <c r="O1230" s="57" t="str">
        <f aca="false">IF($N1230="","",INDEX(BookRate,1225)*(1+'5. Scenarios'!$D$10)*$N1230)</f>
        <v/>
      </c>
      <c r="P1230" s="57" t="str">
        <f aca="false">IF($O1230="","",SUMIFS($O$6:$O$2405,$A$6:$A$2405,"&lt;="&amp;$A1230))</f>
        <v/>
      </c>
      <c r="Q1230" s="57" t="str">
        <f aca="false">IF($O1230="","",IF($P1230&lt;=BankCostEnvelope*'5. Scenarios'!$D$7,1,0))</f>
        <v/>
      </c>
      <c r="R1230" s="57" t="str">
        <f aca="false">IF($N1230="","",INDEX(BookRate,1225)*(1+'5. Scenarios'!$D$10)*(INDEX(BookQ1,1225)*(5-MIN(4,1+'5. Scenarios'!$D$8))/4+INDEX(BookQ2,1225)*(5-MIN(4,2+'5. Scenarios'!$D$8))/4+INDEX(BookQ3,1225)*(5-MIN(4,3+'5. Scenarios'!$D$8))/4+INDEX(BookQ4,1225)*(5-MIN(4,4+'5. Scenarios'!$D$8))/4)*'5. Scenarios'!$D$6/(1+ProductivityDefault*('5. Scenarios'!$D$11-1))+INDEX(BookOneOff,1225)*$N1230)</f>
        <v/>
      </c>
      <c r="S1230" s="56" t="str">
        <f aca="false">IF(INDEX(BookTitle,1225)="","",INDEX(BookTotal,1225)*'5. Scenarios'!$E$6/(1+ProductivityDefault*('5. Scenarios'!$E$11-1)))</f>
        <v/>
      </c>
      <c r="T1230" s="57" t="str">
        <f aca="false">IF($S1230="","",INDEX(BookRate,1225)*(1+'5. Scenarios'!$E$10)*$S1230)</f>
        <v/>
      </c>
      <c r="U1230" s="57" t="str">
        <f aca="false">IF($T1230="","",SUMIFS($T$6:$T$2405,$A$6:$A$2405,"&lt;="&amp;$A1230))</f>
        <v/>
      </c>
      <c r="V1230" s="57" t="str">
        <f aca="false">IF($T1230="","",IF($U1230&lt;=BankCostEnvelope*'5. Scenarios'!$E$7,1,0))</f>
        <v/>
      </c>
      <c r="W1230" s="57" t="str">
        <f aca="false">IF($S1230="","",INDEX(BookRate,1225)*(1+'5. Scenarios'!$E$10)*(INDEX(BookQ1,1225)*(5-MIN(4,1+'5. Scenarios'!$E$8))/4+INDEX(BookQ2,1225)*(5-MIN(4,2+'5. Scenarios'!$E$8))/4+INDEX(BookQ3,1225)*(5-MIN(4,3+'5. Scenarios'!$E$8))/4+INDEX(BookQ4,1225)*(5-MIN(4,4+'5. Scenarios'!$E$8))/4)*'5. Scenarios'!$E$6/(1+ProductivityDefault*('5. Scenarios'!$E$11-1))+INDEX(BookOneOff,1225)*$S1230)</f>
        <v/>
      </c>
    </row>
    <row r="1231" customFormat="false" ht="15" hidden="false" customHeight="false" outlineLevel="0" collapsed="false">
      <c r="A1231" s="0" t="str">
        <f aca="false">IF(INDEX(BookTitle,1226)="","",INDEX(BookKey,1226))</f>
        <v/>
      </c>
      <c r="B1231" s="0" t="str">
        <f aca="false">IF(INDEX(BookTitle,1226)="","",INDEX(BookGroup,1226))</f>
        <v/>
      </c>
      <c r="C1231" s="0" t="str">
        <f aca="false">IF(INDEX(BookTitle,1226)="","",INDEX(BookCategory,1226))</f>
        <v/>
      </c>
      <c r="D1231" s="56" t="str">
        <f aca="false">IF(INDEX(BookTitle,1226)="","",INDEX(BookTotal,1226)*'5. Scenarios'!$B$6/(1+ProductivityDefault*('5. Scenarios'!$B$11-1)))</f>
        <v/>
      </c>
      <c r="E1231" s="57" t="str">
        <f aca="false">IF($D1231="","",INDEX(BookRate,1226)*(1+'5. Scenarios'!$B$10)*$D1231)</f>
        <v/>
      </c>
      <c r="F1231" s="57" t="str">
        <f aca="false">IF($E1231="","",SUMIFS($E$6:$E$2405,$A$6:$A$2405,"&lt;="&amp;$A1231))</f>
        <v/>
      </c>
      <c r="G1231" s="57" t="str">
        <f aca="false">IF($E1231="","",IF($F1231&lt;=BankCostEnvelope*'5. Scenarios'!$B$7,1,0))</f>
        <v/>
      </c>
      <c r="H1231" s="57" t="str">
        <f aca="false">IF($D1231="","",INDEX(BookRate,1226)*(1+'5. Scenarios'!$B$10)*(INDEX(BookQ1,1226)*(5-MIN(4,1+'5. Scenarios'!$B$8))/4+INDEX(BookQ2,1226)*(5-MIN(4,2+'5. Scenarios'!$B$8))/4+INDEX(BookQ3,1226)*(5-MIN(4,3+'5. Scenarios'!$B$8))/4+INDEX(BookQ4,1226)*(5-MIN(4,4+'5. Scenarios'!$B$8))/4)*'5. Scenarios'!$B$6/(1+ProductivityDefault*('5. Scenarios'!$B$11-1))+INDEX(BookOneOff,1226)*$D1231)</f>
        <v/>
      </c>
      <c r="I1231" s="56" t="str">
        <f aca="false">IF(INDEX(BookTitle,1226)="","",INDEX(BookTotal,1226)*'5. Scenarios'!$C$6/(1+ProductivityDefault*('5. Scenarios'!$C$11-1)))</f>
        <v/>
      </c>
      <c r="J1231" s="57" t="str">
        <f aca="false">IF($I1231="","",INDEX(BookRate,1226)*(1+'5. Scenarios'!$C$10)*$I1231)</f>
        <v/>
      </c>
      <c r="K1231" s="57" t="str">
        <f aca="false">IF($J1231="","",SUMIFS($J$6:$J$2405,$A$6:$A$2405,"&lt;="&amp;$A1231))</f>
        <v/>
      </c>
      <c r="L1231" s="57" t="str">
        <f aca="false">IF($J1231="","",IF($K1231&lt;=BankCostEnvelope*'5. Scenarios'!$C$7,1,0))</f>
        <v/>
      </c>
      <c r="M1231" s="57" t="str">
        <f aca="false">IF($I1231="","",INDEX(BookRate,1226)*(1+'5. Scenarios'!$C$10)*(INDEX(BookQ1,1226)*(5-MIN(4,1+'5. Scenarios'!$C$8))/4+INDEX(BookQ2,1226)*(5-MIN(4,2+'5. Scenarios'!$C$8))/4+INDEX(BookQ3,1226)*(5-MIN(4,3+'5. Scenarios'!$C$8))/4+INDEX(BookQ4,1226)*(5-MIN(4,4+'5. Scenarios'!$C$8))/4)*'5. Scenarios'!$C$6/(1+ProductivityDefault*('5. Scenarios'!$C$11-1))+INDEX(BookOneOff,1226)*$I1231)</f>
        <v/>
      </c>
      <c r="N1231" s="56" t="str">
        <f aca="false">IF(INDEX(BookTitle,1226)="","",INDEX(BookTotal,1226)*'5. Scenarios'!$D$6/(1+ProductivityDefault*('5. Scenarios'!$D$11-1)))</f>
        <v/>
      </c>
      <c r="O1231" s="57" t="str">
        <f aca="false">IF($N1231="","",INDEX(BookRate,1226)*(1+'5. Scenarios'!$D$10)*$N1231)</f>
        <v/>
      </c>
      <c r="P1231" s="57" t="str">
        <f aca="false">IF($O1231="","",SUMIFS($O$6:$O$2405,$A$6:$A$2405,"&lt;="&amp;$A1231))</f>
        <v/>
      </c>
      <c r="Q1231" s="57" t="str">
        <f aca="false">IF($O1231="","",IF($P1231&lt;=BankCostEnvelope*'5. Scenarios'!$D$7,1,0))</f>
        <v/>
      </c>
      <c r="R1231" s="57" t="str">
        <f aca="false">IF($N1231="","",INDEX(BookRate,1226)*(1+'5. Scenarios'!$D$10)*(INDEX(BookQ1,1226)*(5-MIN(4,1+'5. Scenarios'!$D$8))/4+INDEX(BookQ2,1226)*(5-MIN(4,2+'5. Scenarios'!$D$8))/4+INDEX(BookQ3,1226)*(5-MIN(4,3+'5. Scenarios'!$D$8))/4+INDEX(BookQ4,1226)*(5-MIN(4,4+'5. Scenarios'!$D$8))/4)*'5. Scenarios'!$D$6/(1+ProductivityDefault*('5. Scenarios'!$D$11-1))+INDEX(BookOneOff,1226)*$N1231)</f>
        <v/>
      </c>
      <c r="S1231" s="56" t="str">
        <f aca="false">IF(INDEX(BookTitle,1226)="","",INDEX(BookTotal,1226)*'5. Scenarios'!$E$6/(1+ProductivityDefault*('5. Scenarios'!$E$11-1)))</f>
        <v/>
      </c>
      <c r="T1231" s="57" t="str">
        <f aca="false">IF($S1231="","",INDEX(BookRate,1226)*(1+'5. Scenarios'!$E$10)*$S1231)</f>
        <v/>
      </c>
      <c r="U1231" s="57" t="str">
        <f aca="false">IF($T1231="","",SUMIFS($T$6:$T$2405,$A$6:$A$2405,"&lt;="&amp;$A1231))</f>
        <v/>
      </c>
      <c r="V1231" s="57" t="str">
        <f aca="false">IF($T1231="","",IF($U1231&lt;=BankCostEnvelope*'5. Scenarios'!$E$7,1,0))</f>
        <v/>
      </c>
      <c r="W1231" s="57" t="str">
        <f aca="false">IF($S1231="","",INDEX(BookRate,1226)*(1+'5. Scenarios'!$E$10)*(INDEX(BookQ1,1226)*(5-MIN(4,1+'5. Scenarios'!$E$8))/4+INDEX(BookQ2,1226)*(5-MIN(4,2+'5. Scenarios'!$E$8))/4+INDEX(BookQ3,1226)*(5-MIN(4,3+'5. Scenarios'!$E$8))/4+INDEX(BookQ4,1226)*(5-MIN(4,4+'5. Scenarios'!$E$8))/4)*'5. Scenarios'!$E$6/(1+ProductivityDefault*('5. Scenarios'!$E$11-1))+INDEX(BookOneOff,1226)*$S1231)</f>
        <v/>
      </c>
    </row>
    <row r="1232" customFormat="false" ht="15" hidden="false" customHeight="false" outlineLevel="0" collapsed="false">
      <c r="A1232" s="0" t="str">
        <f aca="false">IF(INDEX(BookTitle,1227)="","",INDEX(BookKey,1227))</f>
        <v/>
      </c>
      <c r="B1232" s="0" t="str">
        <f aca="false">IF(INDEX(BookTitle,1227)="","",INDEX(BookGroup,1227))</f>
        <v/>
      </c>
      <c r="C1232" s="0" t="str">
        <f aca="false">IF(INDEX(BookTitle,1227)="","",INDEX(BookCategory,1227))</f>
        <v/>
      </c>
      <c r="D1232" s="56" t="str">
        <f aca="false">IF(INDEX(BookTitle,1227)="","",INDEX(BookTotal,1227)*'5. Scenarios'!$B$6/(1+ProductivityDefault*('5. Scenarios'!$B$11-1)))</f>
        <v/>
      </c>
      <c r="E1232" s="57" t="str">
        <f aca="false">IF($D1232="","",INDEX(BookRate,1227)*(1+'5. Scenarios'!$B$10)*$D1232)</f>
        <v/>
      </c>
      <c r="F1232" s="57" t="str">
        <f aca="false">IF($E1232="","",SUMIFS($E$6:$E$2405,$A$6:$A$2405,"&lt;="&amp;$A1232))</f>
        <v/>
      </c>
      <c r="G1232" s="57" t="str">
        <f aca="false">IF($E1232="","",IF($F1232&lt;=BankCostEnvelope*'5. Scenarios'!$B$7,1,0))</f>
        <v/>
      </c>
      <c r="H1232" s="57" t="str">
        <f aca="false">IF($D1232="","",INDEX(BookRate,1227)*(1+'5. Scenarios'!$B$10)*(INDEX(BookQ1,1227)*(5-MIN(4,1+'5. Scenarios'!$B$8))/4+INDEX(BookQ2,1227)*(5-MIN(4,2+'5. Scenarios'!$B$8))/4+INDEX(BookQ3,1227)*(5-MIN(4,3+'5. Scenarios'!$B$8))/4+INDEX(BookQ4,1227)*(5-MIN(4,4+'5. Scenarios'!$B$8))/4)*'5. Scenarios'!$B$6/(1+ProductivityDefault*('5. Scenarios'!$B$11-1))+INDEX(BookOneOff,1227)*$D1232)</f>
        <v/>
      </c>
      <c r="I1232" s="56" t="str">
        <f aca="false">IF(INDEX(BookTitle,1227)="","",INDEX(BookTotal,1227)*'5. Scenarios'!$C$6/(1+ProductivityDefault*('5. Scenarios'!$C$11-1)))</f>
        <v/>
      </c>
      <c r="J1232" s="57" t="str">
        <f aca="false">IF($I1232="","",INDEX(BookRate,1227)*(1+'5. Scenarios'!$C$10)*$I1232)</f>
        <v/>
      </c>
      <c r="K1232" s="57" t="str">
        <f aca="false">IF($J1232="","",SUMIFS($J$6:$J$2405,$A$6:$A$2405,"&lt;="&amp;$A1232))</f>
        <v/>
      </c>
      <c r="L1232" s="57" t="str">
        <f aca="false">IF($J1232="","",IF($K1232&lt;=BankCostEnvelope*'5. Scenarios'!$C$7,1,0))</f>
        <v/>
      </c>
      <c r="M1232" s="57" t="str">
        <f aca="false">IF($I1232="","",INDEX(BookRate,1227)*(1+'5. Scenarios'!$C$10)*(INDEX(BookQ1,1227)*(5-MIN(4,1+'5. Scenarios'!$C$8))/4+INDEX(BookQ2,1227)*(5-MIN(4,2+'5. Scenarios'!$C$8))/4+INDEX(BookQ3,1227)*(5-MIN(4,3+'5. Scenarios'!$C$8))/4+INDEX(BookQ4,1227)*(5-MIN(4,4+'5. Scenarios'!$C$8))/4)*'5. Scenarios'!$C$6/(1+ProductivityDefault*('5. Scenarios'!$C$11-1))+INDEX(BookOneOff,1227)*$I1232)</f>
        <v/>
      </c>
      <c r="N1232" s="56" t="str">
        <f aca="false">IF(INDEX(BookTitle,1227)="","",INDEX(BookTotal,1227)*'5. Scenarios'!$D$6/(1+ProductivityDefault*('5. Scenarios'!$D$11-1)))</f>
        <v/>
      </c>
      <c r="O1232" s="57" t="str">
        <f aca="false">IF($N1232="","",INDEX(BookRate,1227)*(1+'5. Scenarios'!$D$10)*$N1232)</f>
        <v/>
      </c>
      <c r="P1232" s="57" t="str">
        <f aca="false">IF($O1232="","",SUMIFS($O$6:$O$2405,$A$6:$A$2405,"&lt;="&amp;$A1232))</f>
        <v/>
      </c>
      <c r="Q1232" s="57" t="str">
        <f aca="false">IF($O1232="","",IF($P1232&lt;=BankCostEnvelope*'5. Scenarios'!$D$7,1,0))</f>
        <v/>
      </c>
      <c r="R1232" s="57" t="str">
        <f aca="false">IF($N1232="","",INDEX(BookRate,1227)*(1+'5. Scenarios'!$D$10)*(INDEX(BookQ1,1227)*(5-MIN(4,1+'5. Scenarios'!$D$8))/4+INDEX(BookQ2,1227)*(5-MIN(4,2+'5. Scenarios'!$D$8))/4+INDEX(BookQ3,1227)*(5-MIN(4,3+'5. Scenarios'!$D$8))/4+INDEX(BookQ4,1227)*(5-MIN(4,4+'5. Scenarios'!$D$8))/4)*'5. Scenarios'!$D$6/(1+ProductivityDefault*('5. Scenarios'!$D$11-1))+INDEX(BookOneOff,1227)*$N1232)</f>
        <v/>
      </c>
      <c r="S1232" s="56" t="str">
        <f aca="false">IF(INDEX(BookTitle,1227)="","",INDEX(BookTotal,1227)*'5. Scenarios'!$E$6/(1+ProductivityDefault*('5. Scenarios'!$E$11-1)))</f>
        <v/>
      </c>
      <c r="T1232" s="57" t="str">
        <f aca="false">IF($S1232="","",INDEX(BookRate,1227)*(1+'5. Scenarios'!$E$10)*$S1232)</f>
        <v/>
      </c>
      <c r="U1232" s="57" t="str">
        <f aca="false">IF($T1232="","",SUMIFS($T$6:$T$2405,$A$6:$A$2405,"&lt;="&amp;$A1232))</f>
        <v/>
      </c>
      <c r="V1232" s="57" t="str">
        <f aca="false">IF($T1232="","",IF($U1232&lt;=BankCostEnvelope*'5. Scenarios'!$E$7,1,0))</f>
        <v/>
      </c>
      <c r="W1232" s="57" t="str">
        <f aca="false">IF($S1232="","",INDEX(BookRate,1227)*(1+'5. Scenarios'!$E$10)*(INDEX(BookQ1,1227)*(5-MIN(4,1+'5. Scenarios'!$E$8))/4+INDEX(BookQ2,1227)*(5-MIN(4,2+'5. Scenarios'!$E$8))/4+INDEX(BookQ3,1227)*(5-MIN(4,3+'5. Scenarios'!$E$8))/4+INDEX(BookQ4,1227)*(5-MIN(4,4+'5. Scenarios'!$E$8))/4)*'5. Scenarios'!$E$6/(1+ProductivityDefault*('5. Scenarios'!$E$11-1))+INDEX(BookOneOff,1227)*$S1232)</f>
        <v/>
      </c>
    </row>
    <row r="1233" customFormat="false" ht="15" hidden="false" customHeight="false" outlineLevel="0" collapsed="false">
      <c r="A1233" s="0" t="str">
        <f aca="false">IF(INDEX(BookTitle,1228)="","",INDEX(BookKey,1228))</f>
        <v/>
      </c>
      <c r="B1233" s="0" t="str">
        <f aca="false">IF(INDEX(BookTitle,1228)="","",INDEX(BookGroup,1228))</f>
        <v/>
      </c>
      <c r="C1233" s="0" t="str">
        <f aca="false">IF(INDEX(BookTitle,1228)="","",INDEX(BookCategory,1228))</f>
        <v/>
      </c>
      <c r="D1233" s="56" t="str">
        <f aca="false">IF(INDEX(BookTitle,1228)="","",INDEX(BookTotal,1228)*'5. Scenarios'!$B$6/(1+ProductivityDefault*('5. Scenarios'!$B$11-1)))</f>
        <v/>
      </c>
      <c r="E1233" s="57" t="str">
        <f aca="false">IF($D1233="","",INDEX(BookRate,1228)*(1+'5. Scenarios'!$B$10)*$D1233)</f>
        <v/>
      </c>
      <c r="F1233" s="57" t="str">
        <f aca="false">IF($E1233="","",SUMIFS($E$6:$E$2405,$A$6:$A$2405,"&lt;="&amp;$A1233))</f>
        <v/>
      </c>
      <c r="G1233" s="57" t="str">
        <f aca="false">IF($E1233="","",IF($F1233&lt;=BankCostEnvelope*'5. Scenarios'!$B$7,1,0))</f>
        <v/>
      </c>
      <c r="H1233" s="57" t="str">
        <f aca="false">IF($D1233="","",INDEX(BookRate,1228)*(1+'5. Scenarios'!$B$10)*(INDEX(BookQ1,1228)*(5-MIN(4,1+'5. Scenarios'!$B$8))/4+INDEX(BookQ2,1228)*(5-MIN(4,2+'5. Scenarios'!$B$8))/4+INDEX(BookQ3,1228)*(5-MIN(4,3+'5. Scenarios'!$B$8))/4+INDEX(BookQ4,1228)*(5-MIN(4,4+'5. Scenarios'!$B$8))/4)*'5. Scenarios'!$B$6/(1+ProductivityDefault*('5. Scenarios'!$B$11-1))+INDEX(BookOneOff,1228)*$D1233)</f>
        <v/>
      </c>
      <c r="I1233" s="56" t="str">
        <f aca="false">IF(INDEX(BookTitle,1228)="","",INDEX(BookTotal,1228)*'5. Scenarios'!$C$6/(1+ProductivityDefault*('5. Scenarios'!$C$11-1)))</f>
        <v/>
      </c>
      <c r="J1233" s="57" t="str">
        <f aca="false">IF($I1233="","",INDEX(BookRate,1228)*(1+'5. Scenarios'!$C$10)*$I1233)</f>
        <v/>
      </c>
      <c r="K1233" s="57" t="str">
        <f aca="false">IF($J1233="","",SUMIFS($J$6:$J$2405,$A$6:$A$2405,"&lt;="&amp;$A1233))</f>
        <v/>
      </c>
      <c r="L1233" s="57" t="str">
        <f aca="false">IF($J1233="","",IF($K1233&lt;=BankCostEnvelope*'5. Scenarios'!$C$7,1,0))</f>
        <v/>
      </c>
      <c r="M1233" s="57" t="str">
        <f aca="false">IF($I1233="","",INDEX(BookRate,1228)*(1+'5. Scenarios'!$C$10)*(INDEX(BookQ1,1228)*(5-MIN(4,1+'5. Scenarios'!$C$8))/4+INDEX(BookQ2,1228)*(5-MIN(4,2+'5. Scenarios'!$C$8))/4+INDEX(BookQ3,1228)*(5-MIN(4,3+'5. Scenarios'!$C$8))/4+INDEX(BookQ4,1228)*(5-MIN(4,4+'5. Scenarios'!$C$8))/4)*'5. Scenarios'!$C$6/(1+ProductivityDefault*('5. Scenarios'!$C$11-1))+INDEX(BookOneOff,1228)*$I1233)</f>
        <v/>
      </c>
      <c r="N1233" s="56" t="str">
        <f aca="false">IF(INDEX(BookTitle,1228)="","",INDEX(BookTotal,1228)*'5. Scenarios'!$D$6/(1+ProductivityDefault*('5. Scenarios'!$D$11-1)))</f>
        <v/>
      </c>
      <c r="O1233" s="57" t="str">
        <f aca="false">IF($N1233="","",INDEX(BookRate,1228)*(1+'5. Scenarios'!$D$10)*$N1233)</f>
        <v/>
      </c>
      <c r="P1233" s="57" t="str">
        <f aca="false">IF($O1233="","",SUMIFS($O$6:$O$2405,$A$6:$A$2405,"&lt;="&amp;$A1233))</f>
        <v/>
      </c>
      <c r="Q1233" s="57" t="str">
        <f aca="false">IF($O1233="","",IF($P1233&lt;=BankCostEnvelope*'5. Scenarios'!$D$7,1,0))</f>
        <v/>
      </c>
      <c r="R1233" s="57" t="str">
        <f aca="false">IF($N1233="","",INDEX(BookRate,1228)*(1+'5. Scenarios'!$D$10)*(INDEX(BookQ1,1228)*(5-MIN(4,1+'5. Scenarios'!$D$8))/4+INDEX(BookQ2,1228)*(5-MIN(4,2+'5. Scenarios'!$D$8))/4+INDEX(BookQ3,1228)*(5-MIN(4,3+'5. Scenarios'!$D$8))/4+INDEX(BookQ4,1228)*(5-MIN(4,4+'5. Scenarios'!$D$8))/4)*'5. Scenarios'!$D$6/(1+ProductivityDefault*('5. Scenarios'!$D$11-1))+INDEX(BookOneOff,1228)*$N1233)</f>
        <v/>
      </c>
      <c r="S1233" s="56" t="str">
        <f aca="false">IF(INDEX(BookTitle,1228)="","",INDEX(BookTotal,1228)*'5. Scenarios'!$E$6/(1+ProductivityDefault*('5. Scenarios'!$E$11-1)))</f>
        <v/>
      </c>
      <c r="T1233" s="57" t="str">
        <f aca="false">IF($S1233="","",INDEX(BookRate,1228)*(1+'5. Scenarios'!$E$10)*$S1233)</f>
        <v/>
      </c>
      <c r="U1233" s="57" t="str">
        <f aca="false">IF($T1233="","",SUMIFS($T$6:$T$2405,$A$6:$A$2405,"&lt;="&amp;$A1233))</f>
        <v/>
      </c>
      <c r="V1233" s="57" t="str">
        <f aca="false">IF($T1233="","",IF($U1233&lt;=BankCostEnvelope*'5. Scenarios'!$E$7,1,0))</f>
        <v/>
      </c>
      <c r="W1233" s="57" t="str">
        <f aca="false">IF($S1233="","",INDEX(BookRate,1228)*(1+'5. Scenarios'!$E$10)*(INDEX(BookQ1,1228)*(5-MIN(4,1+'5. Scenarios'!$E$8))/4+INDEX(BookQ2,1228)*(5-MIN(4,2+'5. Scenarios'!$E$8))/4+INDEX(BookQ3,1228)*(5-MIN(4,3+'5. Scenarios'!$E$8))/4+INDEX(BookQ4,1228)*(5-MIN(4,4+'5. Scenarios'!$E$8))/4)*'5. Scenarios'!$E$6/(1+ProductivityDefault*('5. Scenarios'!$E$11-1))+INDEX(BookOneOff,1228)*$S1233)</f>
        <v/>
      </c>
    </row>
    <row r="1234" customFormat="false" ht="15" hidden="false" customHeight="false" outlineLevel="0" collapsed="false">
      <c r="A1234" s="0" t="str">
        <f aca="false">IF(INDEX(BookTitle,1229)="","",INDEX(BookKey,1229))</f>
        <v/>
      </c>
      <c r="B1234" s="0" t="str">
        <f aca="false">IF(INDEX(BookTitle,1229)="","",INDEX(BookGroup,1229))</f>
        <v/>
      </c>
      <c r="C1234" s="0" t="str">
        <f aca="false">IF(INDEX(BookTitle,1229)="","",INDEX(BookCategory,1229))</f>
        <v/>
      </c>
      <c r="D1234" s="56" t="str">
        <f aca="false">IF(INDEX(BookTitle,1229)="","",INDEX(BookTotal,1229)*'5. Scenarios'!$B$6/(1+ProductivityDefault*('5. Scenarios'!$B$11-1)))</f>
        <v/>
      </c>
      <c r="E1234" s="57" t="str">
        <f aca="false">IF($D1234="","",INDEX(BookRate,1229)*(1+'5. Scenarios'!$B$10)*$D1234)</f>
        <v/>
      </c>
      <c r="F1234" s="57" t="str">
        <f aca="false">IF($E1234="","",SUMIFS($E$6:$E$2405,$A$6:$A$2405,"&lt;="&amp;$A1234))</f>
        <v/>
      </c>
      <c r="G1234" s="57" t="str">
        <f aca="false">IF($E1234="","",IF($F1234&lt;=BankCostEnvelope*'5. Scenarios'!$B$7,1,0))</f>
        <v/>
      </c>
      <c r="H1234" s="57" t="str">
        <f aca="false">IF($D1234="","",INDEX(BookRate,1229)*(1+'5. Scenarios'!$B$10)*(INDEX(BookQ1,1229)*(5-MIN(4,1+'5. Scenarios'!$B$8))/4+INDEX(BookQ2,1229)*(5-MIN(4,2+'5. Scenarios'!$B$8))/4+INDEX(BookQ3,1229)*(5-MIN(4,3+'5. Scenarios'!$B$8))/4+INDEX(BookQ4,1229)*(5-MIN(4,4+'5. Scenarios'!$B$8))/4)*'5. Scenarios'!$B$6/(1+ProductivityDefault*('5. Scenarios'!$B$11-1))+INDEX(BookOneOff,1229)*$D1234)</f>
        <v/>
      </c>
      <c r="I1234" s="56" t="str">
        <f aca="false">IF(INDEX(BookTitle,1229)="","",INDEX(BookTotal,1229)*'5. Scenarios'!$C$6/(1+ProductivityDefault*('5. Scenarios'!$C$11-1)))</f>
        <v/>
      </c>
      <c r="J1234" s="57" t="str">
        <f aca="false">IF($I1234="","",INDEX(BookRate,1229)*(1+'5. Scenarios'!$C$10)*$I1234)</f>
        <v/>
      </c>
      <c r="K1234" s="57" t="str">
        <f aca="false">IF($J1234="","",SUMIFS($J$6:$J$2405,$A$6:$A$2405,"&lt;="&amp;$A1234))</f>
        <v/>
      </c>
      <c r="L1234" s="57" t="str">
        <f aca="false">IF($J1234="","",IF($K1234&lt;=BankCostEnvelope*'5. Scenarios'!$C$7,1,0))</f>
        <v/>
      </c>
      <c r="M1234" s="57" t="str">
        <f aca="false">IF($I1234="","",INDEX(BookRate,1229)*(1+'5. Scenarios'!$C$10)*(INDEX(BookQ1,1229)*(5-MIN(4,1+'5. Scenarios'!$C$8))/4+INDEX(BookQ2,1229)*(5-MIN(4,2+'5. Scenarios'!$C$8))/4+INDEX(BookQ3,1229)*(5-MIN(4,3+'5. Scenarios'!$C$8))/4+INDEX(BookQ4,1229)*(5-MIN(4,4+'5. Scenarios'!$C$8))/4)*'5. Scenarios'!$C$6/(1+ProductivityDefault*('5. Scenarios'!$C$11-1))+INDEX(BookOneOff,1229)*$I1234)</f>
        <v/>
      </c>
      <c r="N1234" s="56" t="str">
        <f aca="false">IF(INDEX(BookTitle,1229)="","",INDEX(BookTotal,1229)*'5. Scenarios'!$D$6/(1+ProductivityDefault*('5. Scenarios'!$D$11-1)))</f>
        <v/>
      </c>
      <c r="O1234" s="57" t="str">
        <f aca="false">IF($N1234="","",INDEX(BookRate,1229)*(1+'5. Scenarios'!$D$10)*$N1234)</f>
        <v/>
      </c>
      <c r="P1234" s="57" t="str">
        <f aca="false">IF($O1234="","",SUMIFS($O$6:$O$2405,$A$6:$A$2405,"&lt;="&amp;$A1234))</f>
        <v/>
      </c>
      <c r="Q1234" s="57" t="str">
        <f aca="false">IF($O1234="","",IF($P1234&lt;=BankCostEnvelope*'5. Scenarios'!$D$7,1,0))</f>
        <v/>
      </c>
      <c r="R1234" s="57" t="str">
        <f aca="false">IF($N1234="","",INDEX(BookRate,1229)*(1+'5. Scenarios'!$D$10)*(INDEX(BookQ1,1229)*(5-MIN(4,1+'5. Scenarios'!$D$8))/4+INDEX(BookQ2,1229)*(5-MIN(4,2+'5. Scenarios'!$D$8))/4+INDEX(BookQ3,1229)*(5-MIN(4,3+'5. Scenarios'!$D$8))/4+INDEX(BookQ4,1229)*(5-MIN(4,4+'5. Scenarios'!$D$8))/4)*'5. Scenarios'!$D$6/(1+ProductivityDefault*('5. Scenarios'!$D$11-1))+INDEX(BookOneOff,1229)*$N1234)</f>
        <v/>
      </c>
      <c r="S1234" s="56" t="str">
        <f aca="false">IF(INDEX(BookTitle,1229)="","",INDEX(BookTotal,1229)*'5. Scenarios'!$E$6/(1+ProductivityDefault*('5. Scenarios'!$E$11-1)))</f>
        <v/>
      </c>
      <c r="T1234" s="57" t="str">
        <f aca="false">IF($S1234="","",INDEX(BookRate,1229)*(1+'5. Scenarios'!$E$10)*$S1234)</f>
        <v/>
      </c>
      <c r="U1234" s="57" t="str">
        <f aca="false">IF($T1234="","",SUMIFS($T$6:$T$2405,$A$6:$A$2405,"&lt;="&amp;$A1234))</f>
        <v/>
      </c>
      <c r="V1234" s="57" t="str">
        <f aca="false">IF($T1234="","",IF($U1234&lt;=BankCostEnvelope*'5. Scenarios'!$E$7,1,0))</f>
        <v/>
      </c>
      <c r="W1234" s="57" t="str">
        <f aca="false">IF($S1234="","",INDEX(BookRate,1229)*(1+'5. Scenarios'!$E$10)*(INDEX(BookQ1,1229)*(5-MIN(4,1+'5. Scenarios'!$E$8))/4+INDEX(BookQ2,1229)*(5-MIN(4,2+'5. Scenarios'!$E$8))/4+INDEX(BookQ3,1229)*(5-MIN(4,3+'5. Scenarios'!$E$8))/4+INDEX(BookQ4,1229)*(5-MIN(4,4+'5. Scenarios'!$E$8))/4)*'5. Scenarios'!$E$6/(1+ProductivityDefault*('5. Scenarios'!$E$11-1))+INDEX(BookOneOff,1229)*$S1234)</f>
        <v/>
      </c>
    </row>
    <row r="1235" customFormat="false" ht="15" hidden="false" customHeight="false" outlineLevel="0" collapsed="false">
      <c r="A1235" s="0" t="str">
        <f aca="false">IF(INDEX(BookTitle,1230)="","",INDEX(BookKey,1230))</f>
        <v/>
      </c>
      <c r="B1235" s="0" t="str">
        <f aca="false">IF(INDEX(BookTitle,1230)="","",INDEX(BookGroup,1230))</f>
        <v/>
      </c>
      <c r="C1235" s="0" t="str">
        <f aca="false">IF(INDEX(BookTitle,1230)="","",INDEX(BookCategory,1230))</f>
        <v/>
      </c>
      <c r="D1235" s="56" t="str">
        <f aca="false">IF(INDEX(BookTitle,1230)="","",INDEX(BookTotal,1230)*'5. Scenarios'!$B$6/(1+ProductivityDefault*('5. Scenarios'!$B$11-1)))</f>
        <v/>
      </c>
      <c r="E1235" s="57" t="str">
        <f aca="false">IF($D1235="","",INDEX(BookRate,1230)*(1+'5. Scenarios'!$B$10)*$D1235)</f>
        <v/>
      </c>
      <c r="F1235" s="57" t="str">
        <f aca="false">IF($E1235="","",SUMIFS($E$6:$E$2405,$A$6:$A$2405,"&lt;="&amp;$A1235))</f>
        <v/>
      </c>
      <c r="G1235" s="57" t="str">
        <f aca="false">IF($E1235="","",IF($F1235&lt;=BankCostEnvelope*'5. Scenarios'!$B$7,1,0))</f>
        <v/>
      </c>
      <c r="H1235" s="57" t="str">
        <f aca="false">IF($D1235="","",INDEX(BookRate,1230)*(1+'5. Scenarios'!$B$10)*(INDEX(BookQ1,1230)*(5-MIN(4,1+'5. Scenarios'!$B$8))/4+INDEX(BookQ2,1230)*(5-MIN(4,2+'5. Scenarios'!$B$8))/4+INDEX(BookQ3,1230)*(5-MIN(4,3+'5. Scenarios'!$B$8))/4+INDEX(BookQ4,1230)*(5-MIN(4,4+'5. Scenarios'!$B$8))/4)*'5. Scenarios'!$B$6/(1+ProductivityDefault*('5. Scenarios'!$B$11-1))+INDEX(BookOneOff,1230)*$D1235)</f>
        <v/>
      </c>
      <c r="I1235" s="56" t="str">
        <f aca="false">IF(INDEX(BookTitle,1230)="","",INDEX(BookTotal,1230)*'5. Scenarios'!$C$6/(1+ProductivityDefault*('5. Scenarios'!$C$11-1)))</f>
        <v/>
      </c>
      <c r="J1235" s="57" t="str">
        <f aca="false">IF($I1235="","",INDEX(BookRate,1230)*(1+'5. Scenarios'!$C$10)*$I1235)</f>
        <v/>
      </c>
      <c r="K1235" s="57" t="str">
        <f aca="false">IF($J1235="","",SUMIFS($J$6:$J$2405,$A$6:$A$2405,"&lt;="&amp;$A1235))</f>
        <v/>
      </c>
      <c r="L1235" s="57" t="str">
        <f aca="false">IF($J1235="","",IF($K1235&lt;=BankCostEnvelope*'5. Scenarios'!$C$7,1,0))</f>
        <v/>
      </c>
      <c r="M1235" s="57" t="str">
        <f aca="false">IF($I1235="","",INDEX(BookRate,1230)*(1+'5. Scenarios'!$C$10)*(INDEX(BookQ1,1230)*(5-MIN(4,1+'5. Scenarios'!$C$8))/4+INDEX(BookQ2,1230)*(5-MIN(4,2+'5. Scenarios'!$C$8))/4+INDEX(BookQ3,1230)*(5-MIN(4,3+'5. Scenarios'!$C$8))/4+INDEX(BookQ4,1230)*(5-MIN(4,4+'5. Scenarios'!$C$8))/4)*'5. Scenarios'!$C$6/(1+ProductivityDefault*('5. Scenarios'!$C$11-1))+INDEX(BookOneOff,1230)*$I1235)</f>
        <v/>
      </c>
      <c r="N1235" s="56" t="str">
        <f aca="false">IF(INDEX(BookTitle,1230)="","",INDEX(BookTotal,1230)*'5. Scenarios'!$D$6/(1+ProductivityDefault*('5. Scenarios'!$D$11-1)))</f>
        <v/>
      </c>
      <c r="O1235" s="57" t="str">
        <f aca="false">IF($N1235="","",INDEX(BookRate,1230)*(1+'5. Scenarios'!$D$10)*$N1235)</f>
        <v/>
      </c>
      <c r="P1235" s="57" t="str">
        <f aca="false">IF($O1235="","",SUMIFS($O$6:$O$2405,$A$6:$A$2405,"&lt;="&amp;$A1235))</f>
        <v/>
      </c>
      <c r="Q1235" s="57" t="str">
        <f aca="false">IF($O1235="","",IF($P1235&lt;=BankCostEnvelope*'5. Scenarios'!$D$7,1,0))</f>
        <v/>
      </c>
      <c r="R1235" s="57" t="str">
        <f aca="false">IF($N1235="","",INDEX(BookRate,1230)*(1+'5. Scenarios'!$D$10)*(INDEX(BookQ1,1230)*(5-MIN(4,1+'5. Scenarios'!$D$8))/4+INDEX(BookQ2,1230)*(5-MIN(4,2+'5. Scenarios'!$D$8))/4+INDEX(BookQ3,1230)*(5-MIN(4,3+'5. Scenarios'!$D$8))/4+INDEX(BookQ4,1230)*(5-MIN(4,4+'5. Scenarios'!$D$8))/4)*'5. Scenarios'!$D$6/(1+ProductivityDefault*('5. Scenarios'!$D$11-1))+INDEX(BookOneOff,1230)*$N1235)</f>
        <v/>
      </c>
      <c r="S1235" s="56" t="str">
        <f aca="false">IF(INDEX(BookTitle,1230)="","",INDEX(BookTotal,1230)*'5. Scenarios'!$E$6/(1+ProductivityDefault*('5. Scenarios'!$E$11-1)))</f>
        <v/>
      </c>
      <c r="T1235" s="57" t="str">
        <f aca="false">IF($S1235="","",INDEX(BookRate,1230)*(1+'5. Scenarios'!$E$10)*$S1235)</f>
        <v/>
      </c>
      <c r="U1235" s="57" t="str">
        <f aca="false">IF($T1235="","",SUMIFS($T$6:$T$2405,$A$6:$A$2405,"&lt;="&amp;$A1235))</f>
        <v/>
      </c>
      <c r="V1235" s="57" t="str">
        <f aca="false">IF($T1235="","",IF($U1235&lt;=BankCostEnvelope*'5. Scenarios'!$E$7,1,0))</f>
        <v/>
      </c>
      <c r="W1235" s="57" t="str">
        <f aca="false">IF($S1235="","",INDEX(BookRate,1230)*(1+'5. Scenarios'!$E$10)*(INDEX(BookQ1,1230)*(5-MIN(4,1+'5. Scenarios'!$E$8))/4+INDEX(BookQ2,1230)*(5-MIN(4,2+'5. Scenarios'!$E$8))/4+INDEX(BookQ3,1230)*(5-MIN(4,3+'5. Scenarios'!$E$8))/4+INDEX(BookQ4,1230)*(5-MIN(4,4+'5. Scenarios'!$E$8))/4)*'5. Scenarios'!$E$6/(1+ProductivityDefault*('5. Scenarios'!$E$11-1))+INDEX(BookOneOff,1230)*$S1235)</f>
        <v/>
      </c>
    </row>
    <row r="1236" customFormat="false" ht="15" hidden="false" customHeight="false" outlineLevel="0" collapsed="false">
      <c r="A1236" s="0" t="str">
        <f aca="false">IF(INDEX(BookTitle,1231)="","",INDEX(BookKey,1231))</f>
        <v/>
      </c>
      <c r="B1236" s="0" t="str">
        <f aca="false">IF(INDEX(BookTitle,1231)="","",INDEX(BookGroup,1231))</f>
        <v/>
      </c>
      <c r="C1236" s="0" t="str">
        <f aca="false">IF(INDEX(BookTitle,1231)="","",INDEX(BookCategory,1231))</f>
        <v/>
      </c>
      <c r="D1236" s="56" t="str">
        <f aca="false">IF(INDEX(BookTitle,1231)="","",INDEX(BookTotal,1231)*'5. Scenarios'!$B$6/(1+ProductivityDefault*('5. Scenarios'!$B$11-1)))</f>
        <v/>
      </c>
      <c r="E1236" s="57" t="str">
        <f aca="false">IF($D1236="","",INDEX(BookRate,1231)*(1+'5. Scenarios'!$B$10)*$D1236)</f>
        <v/>
      </c>
      <c r="F1236" s="57" t="str">
        <f aca="false">IF($E1236="","",SUMIFS($E$6:$E$2405,$A$6:$A$2405,"&lt;="&amp;$A1236))</f>
        <v/>
      </c>
      <c r="G1236" s="57" t="str">
        <f aca="false">IF($E1236="","",IF($F1236&lt;=BankCostEnvelope*'5. Scenarios'!$B$7,1,0))</f>
        <v/>
      </c>
      <c r="H1236" s="57" t="str">
        <f aca="false">IF($D1236="","",INDEX(BookRate,1231)*(1+'5. Scenarios'!$B$10)*(INDEX(BookQ1,1231)*(5-MIN(4,1+'5. Scenarios'!$B$8))/4+INDEX(BookQ2,1231)*(5-MIN(4,2+'5. Scenarios'!$B$8))/4+INDEX(BookQ3,1231)*(5-MIN(4,3+'5. Scenarios'!$B$8))/4+INDEX(BookQ4,1231)*(5-MIN(4,4+'5. Scenarios'!$B$8))/4)*'5. Scenarios'!$B$6/(1+ProductivityDefault*('5. Scenarios'!$B$11-1))+INDEX(BookOneOff,1231)*$D1236)</f>
        <v/>
      </c>
      <c r="I1236" s="56" t="str">
        <f aca="false">IF(INDEX(BookTitle,1231)="","",INDEX(BookTotal,1231)*'5. Scenarios'!$C$6/(1+ProductivityDefault*('5. Scenarios'!$C$11-1)))</f>
        <v/>
      </c>
      <c r="J1236" s="57" t="str">
        <f aca="false">IF($I1236="","",INDEX(BookRate,1231)*(1+'5. Scenarios'!$C$10)*$I1236)</f>
        <v/>
      </c>
      <c r="K1236" s="57" t="str">
        <f aca="false">IF($J1236="","",SUMIFS($J$6:$J$2405,$A$6:$A$2405,"&lt;="&amp;$A1236))</f>
        <v/>
      </c>
      <c r="L1236" s="57" t="str">
        <f aca="false">IF($J1236="","",IF($K1236&lt;=BankCostEnvelope*'5. Scenarios'!$C$7,1,0))</f>
        <v/>
      </c>
      <c r="M1236" s="57" t="str">
        <f aca="false">IF($I1236="","",INDEX(BookRate,1231)*(1+'5. Scenarios'!$C$10)*(INDEX(BookQ1,1231)*(5-MIN(4,1+'5. Scenarios'!$C$8))/4+INDEX(BookQ2,1231)*(5-MIN(4,2+'5. Scenarios'!$C$8))/4+INDEX(BookQ3,1231)*(5-MIN(4,3+'5. Scenarios'!$C$8))/4+INDEX(BookQ4,1231)*(5-MIN(4,4+'5. Scenarios'!$C$8))/4)*'5. Scenarios'!$C$6/(1+ProductivityDefault*('5. Scenarios'!$C$11-1))+INDEX(BookOneOff,1231)*$I1236)</f>
        <v/>
      </c>
      <c r="N1236" s="56" t="str">
        <f aca="false">IF(INDEX(BookTitle,1231)="","",INDEX(BookTotal,1231)*'5. Scenarios'!$D$6/(1+ProductivityDefault*('5. Scenarios'!$D$11-1)))</f>
        <v/>
      </c>
      <c r="O1236" s="57" t="str">
        <f aca="false">IF($N1236="","",INDEX(BookRate,1231)*(1+'5. Scenarios'!$D$10)*$N1236)</f>
        <v/>
      </c>
      <c r="P1236" s="57" t="str">
        <f aca="false">IF($O1236="","",SUMIFS($O$6:$O$2405,$A$6:$A$2405,"&lt;="&amp;$A1236))</f>
        <v/>
      </c>
      <c r="Q1236" s="57" t="str">
        <f aca="false">IF($O1236="","",IF($P1236&lt;=BankCostEnvelope*'5. Scenarios'!$D$7,1,0))</f>
        <v/>
      </c>
      <c r="R1236" s="57" t="str">
        <f aca="false">IF($N1236="","",INDEX(BookRate,1231)*(1+'5. Scenarios'!$D$10)*(INDEX(BookQ1,1231)*(5-MIN(4,1+'5. Scenarios'!$D$8))/4+INDEX(BookQ2,1231)*(5-MIN(4,2+'5. Scenarios'!$D$8))/4+INDEX(BookQ3,1231)*(5-MIN(4,3+'5. Scenarios'!$D$8))/4+INDEX(BookQ4,1231)*(5-MIN(4,4+'5. Scenarios'!$D$8))/4)*'5. Scenarios'!$D$6/(1+ProductivityDefault*('5. Scenarios'!$D$11-1))+INDEX(BookOneOff,1231)*$N1236)</f>
        <v/>
      </c>
      <c r="S1236" s="56" t="str">
        <f aca="false">IF(INDEX(BookTitle,1231)="","",INDEX(BookTotal,1231)*'5. Scenarios'!$E$6/(1+ProductivityDefault*('5. Scenarios'!$E$11-1)))</f>
        <v/>
      </c>
      <c r="T1236" s="57" t="str">
        <f aca="false">IF($S1236="","",INDEX(BookRate,1231)*(1+'5. Scenarios'!$E$10)*$S1236)</f>
        <v/>
      </c>
      <c r="U1236" s="57" t="str">
        <f aca="false">IF($T1236="","",SUMIFS($T$6:$T$2405,$A$6:$A$2405,"&lt;="&amp;$A1236))</f>
        <v/>
      </c>
      <c r="V1236" s="57" t="str">
        <f aca="false">IF($T1236="","",IF($U1236&lt;=BankCostEnvelope*'5. Scenarios'!$E$7,1,0))</f>
        <v/>
      </c>
      <c r="W1236" s="57" t="str">
        <f aca="false">IF($S1236="","",INDEX(BookRate,1231)*(1+'5. Scenarios'!$E$10)*(INDEX(BookQ1,1231)*(5-MIN(4,1+'5. Scenarios'!$E$8))/4+INDEX(BookQ2,1231)*(5-MIN(4,2+'5. Scenarios'!$E$8))/4+INDEX(BookQ3,1231)*(5-MIN(4,3+'5. Scenarios'!$E$8))/4+INDEX(BookQ4,1231)*(5-MIN(4,4+'5. Scenarios'!$E$8))/4)*'5. Scenarios'!$E$6/(1+ProductivityDefault*('5. Scenarios'!$E$11-1))+INDEX(BookOneOff,1231)*$S1236)</f>
        <v/>
      </c>
    </row>
    <row r="1237" customFormat="false" ht="15" hidden="false" customHeight="false" outlineLevel="0" collapsed="false">
      <c r="A1237" s="0" t="str">
        <f aca="false">IF(INDEX(BookTitle,1232)="","",INDEX(BookKey,1232))</f>
        <v/>
      </c>
      <c r="B1237" s="0" t="str">
        <f aca="false">IF(INDEX(BookTitle,1232)="","",INDEX(BookGroup,1232))</f>
        <v/>
      </c>
      <c r="C1237" s="0" t="str">
        <f aca="false">IF(INDEX(BookTitle,1232)="","",INDEX(BookCategory,1232))</f>
        <v/>
      </c>
      <c r="D1237" s="56" t="str">
        <f aca="false">IF(INDEX(BookTitle,1232)="","",INDEX(BookTotal,1232)*'5. Scenarios'!$B$6/(1+ProductivityDefault*('5. Scenarios'!$B$11-1)))</f>
        <v/>
      </c>
      <c r="E1237" s="57" t="str">
        <f aca="false">IF($D1237="","",INDEX(BookRate,1232)*(1+'5. Scenarios'!$B$10)*$D1237)</f>
        <v/>
      </c>
      <c r="F1237" s="57" t="str">
        <f aca="false">IF($E1237="","",SUMIFS($E$6:$E$2405,$A$6:$A$2405,"&lt;="&amp;$A1237))</f>
        <v/>
      </c>
      <c r="G1237" s="57" t="str">
        <f aca="false">IF($E1237="","",IF($F1237&lt;=BankCostEnvelope*'5. Scenarios'!$B$7,1,0))</f>
        <v/>
      </c>
      <c r="H1237" s="57" t="str">
        <f aca="false">IF($D1237="","",INDEX(BookRate,1232)*(1+'5. Scenarios'!$B$10)*(INDEX(BookQ1,1232)*(5-MIN(4,1+'5. Scenarios'!$B$8))/4+INDEX(BookQ2,1232)*(5-MIN(4,2+'5. Scenarios'!$B$8))/4+INDEX(BookQ3,1232)*(5-MIN(4,3+'5. Scenarios'!$B$8))/4+INDEX(BookQ4,1232)*(5-MIN(4,4+'5. Scenarios'!$B$8))/4)*'5. Scenarios'!$B$6/(1+ProductivityDefault*('5. Scenarios'!$B$11-1))+INDEX(BookOneOff,1232)*$D1237)</f>
        <v/>
      </c>
      <c r="I1237" s="56" t="str">
        <f aca="false">IF(INDEX(BookTitle,1232)="","",INDEX(BookTotal,1232)*'5. Scenarios'!$C$6/(1+ProductivityDefault*('5. Scenarios'!$C$11-1)))</f>
        <v/>
      </c>
      <c r="J1237" s="57" t="str">
        <f aca="false">IF($I1237="","",INDEX(BookRate,1232)*(1+'5. Scenarios'!$C$10)*$I1237)</f>
        <v/>
      </c>
      <c r="K1237" s="57" t="str">
        <f aca="false">IF($J1237="","",SUMIFS($J$6:$J$2405,$A$6:$A$2405,"&lt;="&amp;$A1237))</f>
        <v/>
      </c>
      <c r="L1237" s="57" t="str">
        <f aca="false">IF($J1237="","",IF($K1237&lt;=BankCostEnvelope*'5. Scenarios'!$C$7,1,0))</f>
        <v/>
      </c>
      <c r="M1237" s="57" t="str">
        <f aca="false">IF($I1237="","",INDEX(BookRate,1232)*(1+'5. Scenarios'!$C$10)*(INDEX(BookQ1,1232)*(5-MIN(4,1+'5. Scenarios'!$C$8))/4+INDEX(BookQ2,1232)*(5-MIN(4,2+'5. Scenarios'!$C$8))/4+INDEX(BookQ3,1232)*(5-MIN(4,3+'5. Scenarios'!$C$8))/4+INDEX(BookQ4,1232)*(5-MIN(4,4+'5. Scenarios'!$C$8))/4)*'5. Scenarios'!$C$6/(1+ProductivityDefault*('5. Scenarios'!$C$11-1))+INDEX(BookOneOff,1232)*$I1237)</f>
        <v/>
      </c>
      <c r="N1237" s="56" t="str">
        <f aca="false">IF(INDEX(BookTitle,1232)="","",INDEX(BookTotal,1232)*'5. Scenarios'!$D$6/(1+ProductivityDefault*('5. Scenarios'!$D$11-1)))</f>
        <v/>
      </c>
      <c r="O1237" s="57" t="str">
        <f aca="false">IF($N1237="","",INDEX(BookRate,1232)*(1+'5. Scenarios'!$D$10)*$N1237)</f>
        <v/>
      </c>
      <c r="P1237" s="57" t="str">
        <f aca="false">IF($O1237="","",SUMIFS($O$6:$O$2405,$A$6:$A$2405,"&lt;="&amp;$A1237))</f>
        <v/>
      </c>
      <c r="Q1237" s="57" t="str">
        <f aca="false">IF($O1237="","",IF($P1237&lt;=BankCostEnvelope*'5. Scenarios'!$D$7,1,0))</f>
        <v/>
      </c>
      <c r="R1237" s="57" t="str">
        <f aca="false">IF($N1237="","",INDEX(BookRate,1232)*(1+'5. Scenarios'!$D$10)*(INDEX(BookQ1,1232)*(5-MIN(4,1+'5. Scenarios'!$D$8))/4+INDEX(BookQ2,1232)*(5-MIN(4,2+'5. Scenarios'!$D$8))/4+INDEX(BookQ3,1232)*(5-MIN(4,3+'5. Scenarios'!$D$8))/4+INDEX(BookQ4,1232)*(5-MIN(4,4+'5. Scenarios'!$D$8))/4)*'5. Scenarios'!$D$6/(1+ProductivityDefault*('5. Scenarios'!$D$11-1))+INDEX(BookOneOff,1232)*$N1237)</f>
        <v/>
      </c>
      <c r="S1237" s="56" t="str">
        <f aca="false">IF(INDEX(BookTitle,1232)="","",INDEX(BookTotal,1232)*'5. Scenarios'!$E$6/(1+ProductivityDefault*('5. Scenarios'!$E$11-1)))</f>
        <v/>
      </c>
      <c r="T1237" s="57" t="str">
        <f aca="false">IF($S1237="","",INDEX(BookRate,1232)*(1+'5. Scenarios'!$E$10)*$S1237)</f>
        <v/>
      </c>
      <c r="U1237" s="57" t="str">
        <f aca="false">IF($T1237="","",SUMIFS($T$6:$T$2405,$A$6:$A$2405,"&lt;="&amp;$A1237))</f>
        <v/>
      </c>
      <c r="V1237" s="57" t="str">
        <f aca="false">IF($T1237="","",IF($U1237&lt;=BankCostEnvelope*'5. Scenarios'!$E$7,1,0))</f>
        <v/>
      </c>
      <c r="W1237" s="57" t="str">
        <f aca="false">IF($S1237="","",INDEX(BookRate,1232)*(1+'5. Scenarios'!$E$10)*(INDEX(BookQ1,1232)*(5-MIN(4,1+'5. Scenarios'!$E$8))/4+INDEX(BookQ2,1232)*(5-MIN(4,2+'5. Scenarios'!$E$8))/4+INDEX(BookQ3,1232)*(5-MIN(4,3+'5. Scenarios'!$E$8))/4+INDEX(BookQ4,1232)*(5-MIN(4,4+'5. Scenarios'!$E$8))/4)*'5. Scenarios'!$E$6/(1+ProductivityDefault*('5. Scenarios'!$E$11-1))+INDEX(BookOneOff,1232)*$S1237)</f>
        <v/>
      </c>
    </row>
    <row r="1238" customFormat="false" ht="15" hidden="false" customHeight="false" outlineLevel="0" collapsed="false">
      <c r="A1238" s="0" t="str">
        <f aca="false">IF(INDEX(BookTitle,1233)="","",INDEX(BookKey,1233))</f>
        <v/>
      </c>
      <c r="B1238" s="0" t="str">
        <f aca="false">IF(INDEX(BookTitle,1233)="","",INDEX(BookGroup,1233))</f>
        <v/>
      </c>
      <c r="C1238" s="0" t="str">
        <f aca="false">IF(INDEX(BookTitle,1233)="","",INDEX(BookCategory,1233))</f>
        <v/>
      </c>
      <c r="D1238" s="56" t="str">
        <f aca="false">IF(INDEX(BookTitle,1233)="","",INDEX(BookTotal,1233)*'5. Scenarios'!$B$6/(1+ProductivityDefault*('5. Scenarios'!$B$11-1)))</f>
        <v/>
      </c>
      <c r="E1238" s="57" t="str">
        <f aca="false">IF($D1238="","",INDEX(BookRate,1233)*(1+'5. Scenarios'!$B$10)*$D1238)</f>
        <v/>
      </c>
      <c r="F1238" s="57" t="str">
        <f aca="false">IF($E1238="","",SUMIFS($E$6:$E$2405,$A$6:$A$2405,"&lt;="&amp;$A1238))</f>
        <v/>
      </c>
      <c r="G1238" s="57" t="str">
        <f aca="false">IF($E1238="","",IF($F1238&lt;=BankCostEnvelope*'5. Scenarios'!$B$7,1,0))</f>
        <v/>
      </c>
      <c r="H1238" s="57" t="str">
        <f aca="false">IF($D1238="","",INDEX(BookRate,1233)*(1+'5. Scenarios'!$B$10)*(INDEX(BookQ1,1233)*(5-MIN(4,1+'5. Scenarios'!$B$8))/4+INDEX(BookQ2,1233)*(5-MIN(4,2+'5. Scenarios'!$B$8))/4+INDEX(BookQ3,1233)*(5-MIN(4,3+'5. Scenarios'!$B$8))/4+INDEX(BookQ4,1233)*(5-MIN(4,4+'5. Scenarios'!$B$8))/4)*'5. Scenarios'!$B$6/(1+ProductivityDefault*('5. Scenarios'!$B$11-1))+INDEX(BookOneOff,1233)*$D1238)</f>
        <v/>
      </c>
      <c r="I1238" s="56" t="str">
        <f aca="false">IF(INDEX(BookTitle,1233)="","",INDEX(BookTotal,1233)*'5. Scenarios'!$C$6/(1+ProductivityDefault*('5. Scenarios'!$C$11-1)))</f>
        <v/>
      </c>
      <c r="J1238" s="57" t="str">
        <f aca="false">IF($I1238="","",INDEX(BookRate,1233)*(1+'5. Scenarios'!$C$10)*$I1238)</f>
        <v/>
      </c>
      <c r="K1238" s="57" t="str">
        <f aca="false">IF($J1238="","",SUMIFS($J$6:$J$2405,$A$6:$A$2405,"&lt;="&amp;$A1238))</f>
        <v/>
      </c>
      <c r="L1238" s="57" t="str">
        <f aca="false">IF($J1238="","",IF($K1238&lt;=BankCostEnvelope*'5. Scenarios'!$C$7,1,0))</f>
        <v/>
      </c>
      <c r="M1238" s="57" t="str">
        <f aca="false">IF($I1238="","",INDEX(BookRate,1233)*(1+'5. Scenarios'!$C$10)*(INDEX(BookQ1,1233)*(5-MIN(4,1+'5. Scenarios'!$C$8))/4+INDEX(BookQ2,1233)*(5-MIN(4,2+'5. Scenarios'!$C$8))/4+INDEX(BookQ3,1233)*(5-MIN(4,3+'5. Scenarios'!$C$8))/4+INDEX(BookQ4,1233)*(5-MIN(4,4+'5. Scenarios'!$C$8))/4)*'5. Scenarios'!$C$6/(1+ProductivityDefault*('5. Scenarios'!$C$11-1))+INDEX(BookOneOff,1233)*$I1238)</f>
        <v/>
      </c>
      <c r="N1238" s="56" t="str">
        <f aca="false">IF(INDEX(BookTitle,1233)="","",INDEX(BookTotal,1233)*'5. Scenarios'!$D$6/(1+ProductivityDefault*('5. Scenarios'!$D$11-1)))</f>
        <v/>
      </c>
      <c r="O1238" s="57" t="str">
        <f aca="false">IF($N1238="","",INDEX(BookRate,1233)*(1+'5. Scenarios'!$D$10)*$N1238)</f>
        <v/>
      </c>
      <c r="P1238" s="57" t="str">
        <f aca="false">IF($O1238="","",SUMIFS($O$6:$O$2405,$A$6:$A$2405,"&lt;="&amp;$A1238))</f>
        <v/>
      </c>
      <c r="Q1238" s="57" t="str">
        <f aca="false">IF($O1238="","",IF($P1238&lt;=BankCostEnvelope*'5. Scenarios'!$D$7,1,0))</f>
        <v/>
      </c>
      <c r="R1238" s="57" t="str">
        <f aca="false">IF($N1238="","",INDEX(BookRate,1233)*(1+'5. Scenarios'!$D$10)*(INDEX(BookQ1,1233)*(5-MIN(4,1+'5. Scenarios'!$D$8))/4+INDEX(BookQ2,1233)*(5-MIN(4,2+'5. Scenarios'!$D$8))/4+INDEX(BookQ3,1233)*(5-MIN(4,3+'5. Scenarios'!$D$8))/4+INDEX(BookQ4,1233)*(5-MIN(4,4+'5. Scenarios'!$D$8))/4)*'5. Scenarios'!$D$6/(1+ProductivityDefault*('5. Scenarios'!$D$11-1))+INDEX(BookOneOff,1233)*$N1238)</f>
        <v/>
      </c>
      <c r="S1238" s="56" t="str">
        <f aca="false">IF(INDEX(BookTitle,1233)="","",INDEX(BookTotal,1233)*'5. Scenarios'!$E$6/(1+ProductivityDefault*('5. Scenarios'!$E$11-1)))</f>
        <v/>
      </c>
      <c r="T1238" s="57" t="str">
        <f aca="false">IF($S1238="","",INDEX(BookRate,1233)*(1+'5. Scenarios'!$E$10)*$S1238)</f>
        <v/>
      </c>
      <c r="U1238" s="57" t="str">
        <f aca="false">IF($T1238="","",SUMIFS($T$6:$T$2405,$A$6:$A$2405,"&lt;="&amp;$A1238))</f>
        <v/>
      </c>
      <c r="V1238" s="57" t="str">
        <f aca="false">IF($T1238="","",IF($U1238&lt;=BankCostEnvelope*'5. Scenarios'!$E$7,1,0))</f>
        <v/>
      </c>
      <c r="W1238" s="57" t="str">
        <f aca="false">IF($S1238="","",INDEX(BookRate,1233)*(1+'5. Scenarios'!$E$10)*(INDEX(BookQ1,1233)*(5-MIN(4,1+'5. Scenarios'!$E$8))/4+INDEX(BookQ2,1233)*(5-MIN(4,2+'5. Scenarios'!$E$8))/4+INDEX(BookQ3,1233)*(5-MIN(4,3+'5. Scenarios'!$E$8))/4+INDEX(BookQ4,1233)*(5-MIN(4,4+'5. Scenarios'!$E$8))/4)*'5. Scenarios'!$E$6/(1+ProductivityDefault*('5. Scenarios'!$E$11-1))+INDEX(BookOneOff,1233)*$S1238)</f>
        <v/>
      </c>
    </row>
    <row r="1239" customFormat="false" ht="15" hidden="false" customHeight="false" outlineLevel="0" collapsed="false">
      <c r="A1239" s="0" t="str">
        <f aca="false">IF(INDEX(BookTitle,1234)="","",INDEX(BookKey,1234))</f>
        <v/>
      </c>
      <c r="B1239" s="0" t="str">
        <f aca="false">IF(INDEX(BookTitle,1234)="","",INDEX(BookGroup,1234))</f>
        <v/>
      </c>
      <c r="C1239" s="0" t="str">
        <f aca="false">IF(INDEX(BookTitle,1234)="","",INDEX(BookCategory,1234))</f>
        <v/>
      </c>
      <c r="D1239" s="56" t="str">
        <f aca="false">IF(INDEX(BookTitle,1234)="","",INDEX(BookTotal,1234)*'5. Scenarios'!$B$6/(1+ProductivityDefault*('5. Scenarios'!$B$11-1)))</f>
        <v/>
      </c>
      <c r="E1239" s="57" t="str">
        <f aca="false">IF($D1239="","",INDEX(BookRate,1234)*(1+'5. Scenarios'!$B$10)*$D1239)</f>
        <v/>
      </c>
      <c r="F1239" s="57" t="str">
        <f aca="false">IF($E1239="","",SUMIFS($E$6:$E$2405,$A$6:$A$2405,"&lt;="&amp;$A1239))</f>
        <v/>
      </c>
      <c r="G1239" s="57" t="str">
        <f aca="false">IF($E1239="","",IF($F1239&lt;=BankCostEnvelope*'5. Scenarios'!$B$7,1,0))</f>
        <v/>
      </c>
      <c r="H1239" s="57" t="str">
        <f aca="false">IF($D1239="","",INDEX(BookRate,1234)*(1+'5. Scenarios'!$B$10)*(INDEX(BookQ1,1234)*(5-MIN(4,1+'5. Scenarios'!$B$8))/4+INDEX(BookQ2,1234)*(5-MIN(4,2+'5. Scenarios'!$B$8))/4+INDEX(BookQ3,1234)*(5-MIN(4,3+'5. Scenarios'!$B$8))/4+INDEX(BookQ4,1234)*(5-MIN(4,4+'5. Scenarios'!$B$8))/4)*'5. Scenarios'!$B$6/(1+ProductivityDefault*('5. Scenarios'!$B$11-1))+INDEX(BookOneOff,1234)*$D1239)</f>
        <v/>
      </c>
      <c r="I1239" s="56" t="str">
        <f aca="false">IF(INDEX(BookTitle,1234)="","",INDEX(BookTotal,1234)*'5. Scenarios'!$C$6/(1+ProductivityDefault*('5. Scenarios'!$C$11-1)))</f>
        <v/>
      </c>
      <c r="J1239" s="57" t="str">
        <f aca="false">IF($I1239="","",INDEX(BookRate,1234)*(1+'5. Scenarios'!$C$10)*$I1239)</f>
        <v/>
      </c>
      <c r="K1239" s="57" t="str">
        <f aca="false">IF($J1239="","",SUMIFS($J$6:$J$2405,$A$6:$A$2405,"&lt;="&amp;$A1239))</f>
        <v/>
      </c>
      <c r="L1239" s="57" t="str">
        <f aca="false">IF($J1239="","",IF($K1239&lt;=BankCostEnvelope*'5. Scenarios'!$C$7,1,0))</f>
        <v/>
      </c>
      <c r="M1239" s="57" t="str">
        <f aca="false">IF($I1239="","",INDEX(BookRate,1234)*(1+'5. Scenarios'!$C$10)*(INDEX(BookQ1,1234)*(5-MIN(4,1+'5. Scenarios'!$C$8))/4+INDEX(BookQ2,1234)*(5-MIN(4,2+'5. Scenarios'!$C$8))/4+INDEX(BookQ3,1234)*(5-MIN(4,3+'5. Scenarios'!$C$8))/4+INDEX(BookQ4,1234)*(5-MIN(4,4+'5. Scenarios'!$C$8))/4)*'5. Scenarios'!$C$6/(1+ProductivityDefault*('5. Scenarios'!$C$11-1))+INDEX(BookOneOff,1234)*$I1239)</f>
        <v/>
      </c>
      <c r="N1239" s="56" t="str">
        <f aca="false">IF(INDEX(BookTitle,1234)="","",INDEX(BookTotal,1234)*'5. Scenarios'!$D$6/(1+ProductivityDefault*('5. Scenarios'!$D$11-1)))</f>
        <v/>
      </c>
      <c r="O1239" s="57" t="str">
        <f aca="false">IF($N1239="","",INDEX(BookRate,1234)*(1+'5. Scenarios'!$D$10)*$N1239)</f>
        <v/>
      </c>
      <c r="P1239" s="57" t="str">
        <f aca="false">IF($O1239="","",SUMIFS($O$6:$O$2405,$A$6:$A$2405,"&lt;="&amp;$A1239))</f>
        <v/>
      </c>
      <c r="Q1239" s="57" t="str">
        <f aca="false">IF($O1239="","",IF($P1239&lt;=BankCostEnvelope*'5. Scenarios'!$D$7,1,0))</f>
        <v/>
      </c>
      <c r="R1239" s="57" t="str">
        <f aca="false">IF($N1239="","",INDEX(BookRate,1234)*(1+'5. Scenarios'!$D$10)*(INDEX(BookQ1,1234)*(5-MIN(4,1+'5. Scenarios'!$D$8))/4+INDEX(BookQ2,1234)*(5-MIN(4,2+'5. Scenarios'!$D$8))/4+INDEX(BookQ3,1234)*(5-MIN(4,3+'5. Scenarios'!$D$8))/4+INDEX(BookQ4,1234)*(5-MIN(4,4+'5. Scenarios'!$D$8))/4)*'5. Scenarios'!$D$6/(1+ProductivityDefault*('5. Scenarios'!$D$11-1))+INDEX(BookOneOff,1234)*$N1239)</f>
        <v/>
      </c>
      <c r="S1239" s="56" t="str">
        <f aca="false">IF(INDEX(BookTitle,1234)="","",INDEX(BookTotal,1234)*'5. Scenarios'!$E$6/(1+ProductivityDefault*('5. Scenarios'!$E$11-1)))</f>
        <v/>
      </c>
      <c r="T1239" s="57" t="str">
        <f aca="false">IF($S1239="","",INDEX(BookRate,1234)*(1+'5. Scenarios'!$E$10)*$S1239)</f>
        <v/>
      </c>
      <c r="U1239" s="57" t="str">
        <f aca="false">IF($T1239="","",SUMIFS($T$6:$T$2405,$A$6:$A$2405,"&lt;="&amp;$A1239))</f>
        <v/>
      </c>
      <c r="V1239" s="57" t="str">
        <f aca="false">IF($T1239="","",IF($U1239&lt;=BankCostEnvelope*'5. Scenarios'!$E$7,1,0))</f>
        <v/>
      </c>
      <c r="W1239" s="57" t="str">
        <f aca="false">IF($S1239="","",INDEX(BookRate,1234)*(1+'5. Scenarios'!$E$10)*(INDEX(BookQ1,1234)*(5-MIN(4,1+'5. Scenarios'!$E$8))/4+INDEX(BookQ2,1234)*(5-MIN(4,2+'5. Scenarios'!$E$8))/4+INDEX(BookQ3,1234)*(5-MIN(4,3+'5. Scenarios'!$E$8))/4+INDEX(BookQ4,1234)*(5-MIN(4,4+'5. Scenarios'!$E$8))/4)*'5. Scenarios'!$E$6/(1+ProductivityDefault*('5. Scenarios'!$E$11-1))+INDEX(BookOneOff,1234)*$S1239)</f>
        <v/>
      </c>
    </row>
    <row r="1240" customFormat="false" ht="15" hidden="false" customHeight="false" outlineLevel="0" collapsed="false">
      <c r="A1240" s="0" t="str">
        <f aca="false">IF(INDEX(BookTitle,1235)="","",INDEX(BookKey,1235))</f>
        <v/>
      </c>
      <c r="B1240" s="0" t="str">
        <f aca="false">IF(INDEX(BookTitle,1235)="","",INDEX(BookGroup,1235))</f>
        <v/>
      </c>
      <c r="C1240" s="0" t="str">
        <f aca="false">IF(INDEX(BookTitle,1235)="","",INDEX(BookCategory,1235))</f>
        <v/>
      </c>
      <c r="D1240" s="56" t="str">
        <f aca="false">IF(INDEX(BookTitle,1235)="","",INDEX(BookTotal,1235)*'5. Scenarios'!$B$6/(1+ProductivityDefault*('5. Scenarios'!$B$11-1)))</f>
        <v/>
      </c>
      <c r="E1240" s="57" t="str">
        <f aca="false">IF($D1240="","",INDEX(BookRate,1235)*(1+'5. Scenarios'!$B$10)*$D1240)</f>
        <v/>
      </c>
      <c r="F1240" s="57" t="str">
        <f aca="false">IF($E1240="","",SUMIFS($E$6:$E$2405,$A$6:$A$2405,"&lt;="&amp;$A1240))</f>
        <v/>
      </c>
      <c r="G1240" s="57" t="str">
        <f aca="false">IF($E1240="","",IF($F1240&lt;=BankCostEnvelope*'5. Scenarios'!$B$7,1,0))</f>
        <v/>
      </c>
      <c r="H1240" s="57" t="str">
        <f aca="false">IF($D1240="","",INDEX(BookRate,1235)*(1+'5. Scenarios'!$B$10)*(INDEX(BookQ1,1235)*(5-MIN(4,1+'5. Scenarios'!$B$8))/4+INDEX(BookQ2,1235)*(5-MIN(4,2+'5. Scenarios'!$B$8))/4+INDEX(BookQ3,1235)*(5-MIN(4,3+'5. Scenarios'!$B$8))/4+INDEX(BookQ4,1235)*(5-MIN(4,4+'5. Scenarios'!$B$8))/4)*'5. Scenarios'!$B$6/(1+ProductivityDefault*('5. Scenarios'!$B$11-1))+INDEX(BookOneOff,1235)*$D1240)</f>
        <v/>
      </c>
      <c r="I1240" s="56" t="str">
        <f aca="false">IF(INDEX(BookTitle,1235)="","",INDEX(BookTotal,1235)*'5. Scenarios'!$C$6/(1+ProductivityDefault*('5. Scenarios'!$C$11-1)))</f>
        <v/>
      </c>
      <c r="J1240" s="57" t="str">
        <f aca="false">IF($I1240="","",INDEX(BookRate,1235)*(1+'5. Scenarios'!$C$10)*$I1240)</f>
        <v/>
      </c>
      <c r="K1240" s="57" t="str">
        <f aca="false">IF($J1240="","",SUMIFS($J$6:$J$2405,$A$6:$A$2405,"&lt;="&amp;$A1240))</f>
        <v/>
      </c>
      <c r="L1240" s="57" t="str">
        <f aca="false">IF($J1240="","",IF($K1240&lt;=BankCostEnvelope*'5. Scenarios'!$C$7,1,0))</f>
        <v/>
      </c>
      <c r="M1240" s="57" t="str">
        <f aca="false">IF($I1240="","",INDEX(BookRate,1235)*(1+'5. Scenarios'!$C$10)*(INDEX(BookQ1,1235)*(5-MIN(4,1+'5. Scenarios'!$C$8))/4+INDEX(BookQ2,1235)*(5-MIN(4,2+'5. Scenarios'!$C$8))/4+INDEX(BookQ3,1235)*(5-MIN(4,3+'5. Scenarios'!$C$8))/4+INDEX(BookQ4,1235)*(5-MIN(4,4+'5. Scenarios'!$C$8))/4)*'5. Scenarios'!$C$6/(1+ProductivityDefault*('5. Scenarios'!$C$11-1))+INDEX(BookOneOff,1235)*$I1240)</f>
        <v/>
      </c>
      <c r="N1240" s="56" t="str">
        <f aca="false">IF(INDEX(BookTitle,1235)="","",INDEX(BookTotal,1235)*'5. Scenarios'!$D$6/(1+ProductivityDefault*('5. Scenarios'!$D$11-1)))</f>
        <v/>
      </c>
      <c r="O1240" s="57" t="str">
        <f aca="false">IF($N1240="","",INDEX(BookRate,1235)*(1+'5. Scenarios'!$D$10)*$N1240)</f>
        <v/>
      </c>
      <c r="P1240" s="57" t="str">
        <f aca="false">IF($O1240="","",SUMIFS($O$6:$O$2405,$A$6:$A$2405,"&lt;="&amp;$A1240))</f>
        <v/>
      </c>
      <c r="Q1240" s="57" t="str">
        <f aca="false">IF($O1240="","",IF($P1240&lt;=BankCostEnvelope*'5. Scenarios'!$D$7,1,0))</f>
        <v/>
      </c>
      <c r="R1240" s="57" t="str">
        <f aca="false">IF($N1240="","",INDEX(BookRate,1235)*(1+'5. Scenarios'!$D$10)*(INDEX(BookQ1,1235)*(5-MIN(4,1+'5. Scenarios'!$D$8))/4+INDEX(BookQ2,1235)*(5-MIN(4,2+'5. Scenarios'!$D$8))/4+INDEX(BookQ3,1235)*(5-MIN(4,3+'5. Scenarios'!$D$8))/4+INDEX(BookQ4,1235)*(5-MIN(4,4+'5. Scenarios'!$D$8))/4)*'5. Scenarios'!$D$6/(1+ProductivityDefault*('5. Scenarios'!$D$11-1))+INDEX(BookOneOff,1235)*$N1240)</f>
        <v/>
      </c>
      <c r="S1240" s="56" t="str">
        <f aca="false">IF(INDEX(BookTitle,1235)="","",INDEX(BookTotal,1235)*'5. Scenarios'!$E$6/(1+ProductivityDefault*('5. Scenarios'!$E$11-1)))</f>
        <v/>
      </c>
      <c r="T1240" s="57" t="str">
        <f aca="false">IF($S1240="","",INDEX(BookRate,1235)*(1+'5. Scenarios'!$E$10)*$S1240)</f>
        <v/>
      </c>
      <c r="U1240" s="57" t="str">
        <f aca="false">IF($T1240="","",SUMIFS($T$6:$T$2405,$A$6:$A$2405,"&lt;="&amp;$A1240))</f>
        <v/>
      </c>
      <c r="V1240" s="57" t="str">
        <f aca="false">IF($T1240="","",IF($U1240&lt;=BankCostEnvelope*'5. Scenarios'!$E$7,1,0))</f>
        <v/>
      </c>
      <c r="W1240" s="57" t="str">
        <f aca="false">IF($S1240="","",INDEX(BookRate,1235)*(1+'5. Scenarios'!$E$10)*(INDEX(BookQ1,1235)*(5-MIN(4,1+'5. Scenarios'!$E$8))/4+INDEX(BookQ2,1235)*(5-MIN(4,2+'5. Scenarios'!$E$8))/4+INDEX(BookQ3,1235)*(5-MIN(4,3+'5. Scenarios'!$E$8))/4+INDEX(BookQ4,1235)*(5-MIN(4,4+'5. Scenarios'!$E$8))/4)*'5. Scenarios'!$E$6/(1+ProductivityDefault*('5. Scenarios'!$E$11-1))+INDEX(BookOneOff,1235)*$S1240)</f>
        <v/>
      </c>
    </row>
    <row r="1241" customFormat="false" ht="15" hidden="false" customHeight="false" outlineLevel="0" collapsed="false">
      <c r="A1241" s="0" t="str">
        <f aca="false">IF(INDEX(BookTitle,1236)="","",INDEX(BookKey,1236))</f>
        <v/>
      </c>
      <c r="B1241" s="0" t="str">
        <f aca="false">IF(INDEX(BookTitle,1236)="","",INDEX(BookGroup,1236))</f>
        <v/>
      </c>
      <c r="C1241" s="0" t="str">
        <f aca="false">IF(INDEX(BookTitle,1236)="","",INDEX(BookCategory,1236))</f>
        <v/>
      </c>
      <c r="D1241" s="56" t="str">
        <f aca="false">IF(INDEX(BookTitle,1236)="","",INDEX(BookTotal,1236)*'5. Scenarios'!$B$6/(1+ProductivityDefault*('5. Scenarios'!$B$11-1)))</f>
        <v/>
      </c>
      <c r="E1241" s="57" t="str">
        <f aca="false">IF($D1241="","",INDEX(BookRate,1236)*(1+'5. Scenarios'!$B$10)*$D1241)</f>
        <v/>
      </c>
      <c r="F1241" s="57" t="str">
        <f aca="false">IF($E1241="","",SUMIFS($E$6:$E$2405,$A$6:$A$2405,"&lt;="&amp;$A1241))</f>
        <v/>
      </c>
      <c r="G1241" s="57" t="str">
        <f aca="false">IF($E1241="","",IF($F1241&lt;=BankCostEnvelope*'5. Scenarios'!$B$7,1,0))</f>
        <v/>
      </c>
      <c r="H1241" s="57" t="str">
        <f aca="false">IF($D1241="","",INDEX(BookRate,1236)*(1+'5. Scenarios'!$B$10)*(INDEX(BookQ1,1236)*(5-MIN(4,1+'5. Scenarios'!$B$8))/4+INDEX(BookQ2,1236)*(5-MIN(4,2+'5. Scenarios'!$B$8))/4+INDEX(BookQ3,1236)*(5-MIN(4,3+'5. Scenarios'!$B$8))/4+INDEX(BookQ4,1236)*(5-MIN(4,4+'5. Scenarios'!$B$8))/4)*'5. Scenarios'!$B$6/(1+ProductivityDefault*('5. Scenarios'!$B$11-1))+INDEX(BookOneOff,1236)*$D1241)</f>
        <v/>
      </c>
      <c r="I1241" s="56" t="str">
        <f aca="false">IF(INDEX(BookTitle,1236)="","",INDEX(BookTotal,1236)*'5. Scenarios'!$C$6/(1+ProductivityDefault*('5. Scenarios'!$C$11-1)))</f>
        <v/>
      </c>
      <c r="J1241" s="57" t="str">
        <f aca="false">IF($I1241="","",INDEX(BookRate,1236)*(1+'5. Scenarios'!$C$10)*$I1241)</f>
        <v/>
      </c>
      <c r="K1241" s="57" t="str">
        <f aca="false">IF($J1241="","",SUMIFS($J$6:$J$2405,$A$6:$A$2405,"&lt;="&amp;$A1241))</f>
        <v/>
      </c>
      <c r="L1241" s="57" t="str">
        <f aca="false">IF($J1241="","",IF($K1241&lt;=BankCostEnvelope*'5. Scenarios'!$C$7,1,0))</f>
        <v/>
      </c>
      <c r="M1241" s="57" t="str">
        <f aca="false">IF($I1241="","",INDEX(BookRate,1236)*(1+'5. Scenarios'!$C$10)*(INDEX(BookQ1,1236)*(5-MIN(4,1+'5. Scenarios'!$C$8))/4+INDEX(BookQ2,1236)*(5-MIN(4,2+'5. Scenarios'!$C$8))/4+INDEX(BookQ3,1236)*(5-MIN(4,3+'5. Scenarios'!$C$8))/4+INDEX(BookQ4,1236)*(5-MIN(4,4+'5. Scenarios'!$C$8))/4)*'5. Scenarios'!$C$6/(1+ProductivityDefault*('5. Scenarios'!$C$11-1))+INDEX(BookOneOff,1236)*$I1241)</f>
        <v/>
      </c>
      <c r="N1241" s="56" t="str">
        <f aca="false">IF(INDEX(BookTitle,1236)="","",INDEX(BookTotal,1236)*'5. Scenarios'!$D$6/(1+ProductivityDefault*('5. Scenarios'!$D$11-1)))</f>
        <v/>
      </c>
      <c r="O1241" s="57" t="str">
        <f aca="false">IF($N1241="","",INDEX(BookRate,1236)*(1+'5. Scenarios'!$D$10)*$N1241)</f>
        <v/>
      </c>
      <c r="P1241" s="57" t="str">
        <f aca="false">IF($O1241="","",SUMIFS($O$6:$O$2405,$A$6:$A$2405,"&lt;="&amp;$A1241))</f>
        <v/>
      </c>
      <c r="Q1241" s="57" t="str">
        <f aca="false">IF($O1241="","",IF($P1241&lt;=BankCostEnvelope*'5. Scenarios'!$D$7,1,0))</f>
        <v/>
      </c>
      <c r="R1241" s="57" t="str">
        <f aca="false">IF($N1241="","",INDEX(BookRate,1236)*(1+'5. Scenarios'!$D$10)*(INDEX(BookQ1,1236)*(5-MIN(4,1+'5. Scenarios'!$D$8))/4+INDEX(BookQ2,1236)*(5-MIN(4,2+'5. Scenarios'!$D$8))/4+INDEX(BookQ3,1236)*(5-MIN(4,3+'5. Scenarios'!$D$8))/4+INDEX(BookQ4,1236)*(5-MIN(4,4+'5. Scenarios'!$D$8))/4)*'5. Scenarios'!$D$6/(1+ProductivityDefault*('5. Scenarios'!$D$11-1))+INDEX(BookOneOff,1236)*$N1241)</f>
        <v/>
      </c>
      <c r="S1241" s="56" t="str">
        <f aca="false">IF(INDEX(BookTitle,1236)="","",INDEX(BookTotal,1236)*'5. Scenarios'!$E$6/(1+ProductivityDefault*('5. Scenarios'!$E$11-1)))</f>
        <v/>
      </c>
      <c r="T1241" s="57" t="str">
        <f aca="false">IF($S1241="","",INDEX(BookRate,1236)*(1+'5. Scenarios'!$E$10)*$S1241)</f>
        <v/>
      </c>
      <c r="U1241" s="57" t="str">
        <f aca="false">IF($T1241="","",SUMIFS($T$6:$T$2405,$A$6:$A$2405,"&lt;="&amp;$A1241))</f>
        <v/>
      </c>
      <c r="V1241" s="57" t="str">
        <f aca="false">IF($T1241="","",IF($U1241&lt;=BankCostEnvelope*'5. Scenarios'!$E$7,1,0))</f>
        <v/>
      </c>
      <c r="W1241" s="57" t="str">
        <f aca="false">IF($S1241="","",INDEX(BookRate,1236)*(1+'5. Scenarios'!$E$10)*(INDEX(BookQ1,1236)*(5-MIN(4,1+'5. Scenarios'!$E$8))/4+INDEX(BookQ2,1236)*(5-MIN(4,2+'5. Scenarios'!$E$8))/4+INDEX(BookQ3,1236)*(5-MIN(4,3+'5. Scenarios'!$E$8))/4+INDEX(BookQ4,1236)*(5-MIN(4,4+'5. Scenarios'!$E$8))/4)*'5. Scenarios'!$E$6/(1+ProductivityDefault*('5. Scenarios'!$E$11-1))+INDEX(BookOneOff,1236)*$S1241)</f>
        <v/>
      </c>
    </row>
    <row r="1242" customFormat="false" ht="15" hidden="false" customHeight="false" outlineLevel="0" collapsed="false">
      <c r="A1242" s="0" t="str">
        <f aca="false">IF(INDEX(BookTitle,1237)="","",INDEX(BookKey,1237))</f>
        <v/>
      </c>
      <c r="B1242" s="0" t="str">
        <f aca="false">IF(INDEX(BookTitle,1237)="","",INDEX(BookGroup,1237))</f>
        <v/>
      </c>
      <c r="C1242" s="0" t="str">
        <f aca="false">IF(INDEX(BookTitle,1237)="","",INDEX(BookCategory,1237))</f>
        <v/>
      </c>
      <c r="D1242" s="56" t="str">
        <f aca="false">IF(INDEX(BookTitle,1237)="","",INDEX(BookTotal,1237)*'5. Scenarios'!$B$6/(1+ProductivityDefault*('5. Scenarios'!$B$11-1)))</f>
        <v/>
      </c>
      <c r="E1242" s="57" t="str">
        <f aca="false">IF($D1242="","",INDEX(BookRate,1237)*(1+'5. Scenarios'!$B$10)*$D1242)</f>
        <v/>
      </c>
      <c r="F1242" s="57" t="str">
        <f aca="false">IF($E1242="","",SUMIFS($E$6:$E$2405,$A$6:$A$2405,"&lt;="&amp;$A1242))</f>
        <v/>
      </c>
      <c r="G1242" s="57" t="str">
        <f aca="false">IF($E1242="","",IF($F1242&lt;=BankCostEnvelope*'5. Scenarios'!$B$7,1,0))</f>
        <v/>
      </c>
      <c r="H1242" s="57" t="str">
        <f aca="false">IF($D1242="","",INDEX(BookRate,1237)*(1+'5. Scenarios'!$B$10)*(INDEX(BookQ1,1237)*(5-MIN(4,1+'5. Scenarios'!$B$8))/4+INDEX(BookQ2,1237)*(5-MIN(4,2+'5. Scenarios'!$B$8))/4+INDEX(BookQ3,1237)*(5-MIN(4,3+'5. Scenarios'!$B$8))/4+INDEX(BookQ4,1237)*(5-MIN(4,4+'5. Scenarios'!$B$8))/4)*'5. Scenarios'!$B$6/(1+ProductivityDefault*('5. Scenarios'!$B$11-1))+INDEX(BookOneOff,1237)*$D1242)</f>
        <v/>
      </c>
      <c r="I1242" s="56" t="str">
        <f aca="false">IF(INDEX(BookTitle,1237)="","",INDEX(BookTotal,1237)*'5. Scenarios'!$C$6/(1+ProductivityDefault*('5. Scenarios'!$C$11-1)))</f>
        <v/>
      </c>
      <c r="J1242" s="57" t="str">
        <f aca="false">IF($I1242="","",INDEX(BookRate,1237)*(1+'5. Scenarios'!$C$10)*$I1242)</f>
        <v/>
      </c>
      <c r="K1242" s="57" t="str">
        <f aca="false">IF($J1242="","",SUMIFS($J$6:$J$2405,$A$6:$A$2405,"&lt;="&amp;$A1242))</f>
        <v/>
      </c>
      <c r="L1242" s="57" t="str">
        <f aca="false">IF($J1242="","",IF($K1242&lt;=BankCostEnvelope*'5. Scenarios'!$C$7,1,0))</f>
        <v/>
      </c>
      <c r="M1242" s="57" t="str">
        <f aca="false">IF($I1242="","",INDEX(BookRate,1237)*(1+'5. Scenarios'!$C$10)*(INDEX(BookQ1,1237)*(5-MIN(4,1+'5. Scenarios'!$C$8))/4+INDEX(BookQ2,1237)*(5-MIN(4,2+'5. Scenarios'!$C$8))/4+INDEX(BookQ3,1237)*(5-MIN(4,3+'5. Scenarios'!$C$8))/4+INDEX(BookQ4,1237)*(5-MIN(4,4+'5. Scenarios'!$C$8))/4)*'5. Scenarios'!$C$6/(1+ProductivityDefault*('5. Scenarios'!$C$11-1))+INDEX(BookOneOff,1237)*$I1242)</f>
        <v/>
      </c>
      <c r="N1242" s="56" t="str">
        <f aca="false">IF(INDEX(BookTitle,1237)="","",INDEX(BookTotal,1237)*'5. Scenarios'!$D$6/(1+ProductivityDefault*('5. Scenarios'!$D$11-1)))</f>
        <v/>
      </c>
      <c r="O1242" s="57" t="str">
        <f aca="false">IF($N1242="","",INDEX(BookRate,1237)*(1+'5. Scenarios'!$D$10)*$N1242)</f>
        <v/>
      </c>
      <c r="P1242" s="57" t="str">
        <f aca="false">IF($O1242="","",SUMIFS($O$6:$O$2405,$A$6:$A$2405,"&lt;="&amp;$A1242))</f>
        <v/>
      </c>
      <c r="Q1242" s="57" t="str">
        <f aca="false">IF($O1242="","",IF($P1242&lt;=BankCostEnvelope*'5. Scenarios'!$D$7,1,0))</f>
        <v/>
      </c>
      <c r="R1242" s="57" t="str">
        <f aca="false">IF($N1242="","",INDEX(BookRate,1237)*(1+'5. Scenarios'!$D$10)*(INDEX(BookQ1,1237)*(5-MIN(4,1+'5. Scenarios'!$D$8))/4+INDEX(BookQ2,1237)*(5-MIN(4,2+'5. Scenarios'!$D$8))/4+INDEX(BookQ3,1237)*(5-MIN(4,3+'5. Scenarios'!$D$8))/4+INDEX(BookQ4,1237)*(5-MIN(4,4+'5. Scenarios'!$D$8))/4)*'5. Scenarios'!$D$6/(1+ProductivityDefault*('5. Scenarios'!$D$11-1))+INDEX(BookOneOff,1237)*$N1242)</f>
        <v/>
      </c>
      <c r="S1242" s="56" t="str">
        <f aca="false">IF(INDEX(BookTitle,1237)="","",INDEX(BookTotal,1237)*'5. Scenarios'!$E$6/(1+ProductivityDefault*('5. Scenarios'!$E$11-1)))</f>
        <v/>
      </c>
      <c r="T1242" s="57" t="str">
        <f aca="false">IF($S1242="","",INDEX(BookRate,1237)*(1+'5. Scenarios'!$E$10)*$S1242)</f>
        <v/>
      </c>
      <c r="U1242" s="57" t="str">
        <f aca="false">IF($T1242="","",SUMIFS($T$6:$T$2405,$A$6:$A$2405,"&lt;="&amp;$A1242))</f>
        <v/>
      </c>
      <c r="V1242" s="57" t="str">
        <f aca="false">IF($T1242="","",IF($U1242&lt;=BankCostEnvelope*'5. Scenarios'!$E$7,1,0))</f>
        <v/>
      </c>
      <c r="W1242" s="57" t="str">
        <f aca="false">IF($S1242="","",INDEX(BookRate,1237)*(1+'5. Scenarios'!$E$10)*(INDEX(BookQ1,1237)*(5-MIN(4,1+'5. Scenarios'!$E$8))/4+INDEX(BookQ2,1237)*(5-MIN(4,2+'5. Scenarios'!$E$8))/4+INDEX(BookQ3,1237)*(5-MIN(4,3+'5. Scenarios'!$E$8))/4+INDEX(BookQ4,1237)*(5-MIN(4,4+'5. Scenarios'!$E$8))/4)*'5. Scenarios'!$E$6/(1+ProductivityDefault*('5. Scenarios'!$E$11-1))+INDEX(BookOneOff,1237)*$S1242)</f>
        <v/>
      </c>
    </row>
    <row r="1243" customFormat="false" ht="15" hidden="false" customHeight="false" outlineLevel="0" collapsed="false">
      <c r="A1243" s="0" t="str">
        <f aca="false">IF(INDEX(BookTitle,1238)="","",INDEX(BookKey,1238))</f>
        <v/>
      </c>
      <c r="B1243" s="0" t="str">
        <f aca="false">IF(INDEX(BookTitle,1238)="","",INDEX(BookGroup,1238))</f>
        <v/>
      </c>
      <c r="C1243" s="0" t="str">
        <f aca="false">IF(INDEX(BookTitle,1238)="","",INDEX(BookCategory,1238))</f>
        <v/>
      </c>
      <c r="D1243" s="56" t="str">
        <f aca="false">IF(INDEX(BookTitle,1238)="","",INDEX(BookTotal,1238)*'5. Scenarios'!$B$6/(1+ProductivityDefault*('5. Scenarios'!$B$11-1)))</f>
        <v/>
      </c>
      <c r="E1243" s="57" t="str">
        <f aca="false">IF($D1243="","",INDEX(BookRate,1238)*(1+'5. Scenarios'!$B$10)*$D1243)</f>
        <v/>
      </c>
      <c r="F1243" s="57" t="str">
        <f aca="false">IF($E1243="","",SUMIFS($E$6:$E$2405,$A$6:$A$2405,"&lt;="&amp;$A1243))</f>
        <v/>
      </c>
      <c r="G1243" s="57" t="str">
        <f aca="false">IF($E1243="","",IF($F1243&lt;=BankCostEnvelope*'5. Scenarios'!$B$7,1,0))</f>
        <v/>
      </c>
      <c r="H1243" s="57" t="str">
        <f aca="false">IF($D1243="","",INDEX(BookRate,1238)*(1+'5. Scenarios'!$B$10)*(INDEX(BookQ1,1238)*(5-MIN(4,1+'5. Scenarios'!$B$8))/4+INDEX(BookQ2,1238)*(5-MIN(4,2+'5. Scenarios'!$B$8))/4+INDEX(BookQ3,1238)*(5-MIN(4,3+'5. Scenarios'!$B$8))/4+INDEX(BookQ4,1238)*(5-MIN(4,4+'5. Scenarios'!$B$8))/4)*'5. Scenarios'!$B$6/(1+ProductivityDefault*('5. Scenarios'!$B$11-1))+INDEX(BookOneOff,1238)*$D1243)</f>
        <v/>
      </c>
      <c r="I1243" s="56" t="str">
        <f aca="false">IF(INDEX(BookTitle,1238)="","",INDEX(BookTotal,1238)*'5. Scenarios'!$C$6/(1+ProductivityDefault*('5. Scenarios'!$C$11-1)))</f>
        <v/>
      </c>
      <c r="J1243" s="57" t="str">
        <f aca="false">IF($I1243="","",INDEX(BookRate,1238)*(1+'5. Scenarios'!$C$10)*$I1243)</f>
        <v/>
      </c>
      <c r="K1243" s="57" t="str">
        <f aca="false">IF($J1243="","",SUMIFS($J$6:$J$2405,$A$6:$A$2405,"&lt;="&amp;$A1243))</f>
        <v/>
      </c>
      <c r="L1243" s="57" t="str">
        <f aca="false">IF($J1243="","",IF($K1243&lt;=BankCostEnvelope*'5. Scenarios'!$C$7,1,0))</f>
        <v/>
      </c>
      <c r="M1243" s="57" t="str">
        <f aca="false">IF($I1243="","",INDEX(BookRate,1238)*(1+'5. Scenarios'!$C$10)*(INDEX(BookQ1,1238)*(5-MIN(4,1+'5. Scenarios'!$C$8))/4+INDEX(BookQ2,1238)*(5-MIN(4,2+'5. Scenarios'!$C$8))/4+INDEX(BookQ3,1238)*(5-MIN(4,3+'5. Scenarios'!$C$8))/4+INDEX(BookQ4,1238)*(5-MIN(4,4+'5. Scenarios'!$C$8))/4)*'5. Scenarios'!$C$6/(1+ProductivityDefault*('5. Scenarios'!$C$11-1))+INDEX(BookOneOff,1238)*$I1243)</f>
        <v/>
      </c>
      <c r="N1243" s="56" t="str">
        <f aca="false">IF(INDEX(BookTitle,1238)="","",INDEX(BookTotal,1238)*'5. Scenarios'!$D$6/(1+ProductivityDefault*('5. Scenarios'!$D$11-1)))</f>
        <v/>
      </c>
      <c r="O1243" s="57" t="str">
        <f aca="false">IF($N1243="","",INDEX(BookRate,1238)*(1+'5. Scenarios'!$D$10)*$N1243)</f>
        <v/>
      </c>
      <c r="P1243" s="57" t="str">
        <f aca="false">IF($O1243="","",SUMIFS($O$6:$O$2405,$A$6:$A$2405,"&lt;="&amp;$A1243))</f>
        <v/>
      </c>
      <c r="Q1243" s="57" t="str">
        <f aca="false">IF($O1243="","",IF($P1243&lt;=BankCostEnvelope*'5. Scenarios'!$D$7,1,0))</f>
        <v/>
      </c>
      <c r="R1243" s="57" t="str">
        <f aca="false">IF($N1243="","",INDEX(BookRate,1238)*(1+'5. Scenarios'!$D$10)*(INDEX(BookQ1,1238)*(5-MIN(4,1+'5. Scenarios'!$D$8))/4+INDEX(BookQ2,1238)*(5-MIN(4,2+'5. Scenarios'!$D$8))/4+INDEX(BookQ3,1238)*(5-MIN(4,3+'5. Scenarios'!$D$8))/4+INDEX(BookQ4,1238)*(5-MIN(4,4+'5. Scenarios'!$D$8))/4)*'5. Scenarios'!$D$6/(1+ProductivityDefault*('5. Scenarios'!$D$11-1))+INDEX(BookOneOff,1238)*$N1243)</f>
        <v/>
      </c>
      <c r="S1243" s="56" t="str">
        <f aca="false">IF(INDEX(BookTitle,1238)="","",INDEX(BookTotal,1238)*'5. Scenarios'!$E$6/(1+ProductivityDefault*('5. Scenarios'!$E$11-1)))</f>
        <v/>
      </c>
      <c r="T1243" s="57" t="str">
        <f aca="false">IF($S1243="","",INDEX(BookRate,1238)*(1+'5. Scenarios'!$E$10)*$S1243)</f>
        <v/>
      </c>
      <c r="U1243" s="57" t="str">
        <f aca="false">IF($T1243="","",SUMIFS($T$6:$T$2405,$A$6:$A$2405,"&lt;="&amp;$A1243))</f>
        <v/>
      </c>
      <c r="V1243" s="57" t="str">
        <f aca="false">IF($T1243="","",IF($U1243&lt;=BankCostEnvelope*'5. Scenarios'!$E$7,1,0))</f>
        <v/>
      </c>
      <c r="W1243" s="57" t="str">
        <f aca="false">IF($S1243="","",INDEX(BookRate,1238)*(1+'5. Scenarios'!$E$10)*(INDEX(BookQ1,1238)*(5-MIN(4,1+'5. Scenarios'!$E$8))/4+INDEX(BookQ2,1238)*(5-MIN(4,2+'5. Scenarios'!$E$8))/4+INDEX(BookQ3,1238)*(5-MIN(4,3+'5. Scenarios'!$E$8))/4+INDEX(BookQ4,1238)*(5-MIN(4,4+'5. Scenarios'!$E$8))/4)*'5. Scenarios'!$E$6/(1+ProductivityDefault*('5. Scenarios'!$E$11-1))+INDEX(BookOneOff,1238)*$S1243)</f>
        <v/>
      </c>
    </row>
    <row r="1244" customFormat="false" ht="15" hidden="false" customHeight="false" outlineLevel="0" collapsed="false">
      <c r="A1244" s="0" t="str">
        <f aca="false">IF(INDEX(BookTitle,1239)="","",INDEX(BookKey,1239))</f>
        <v/>
      </c>
      <c r="B1244" s="0" t="str">
        <f aca="false">IF(INDEX(BookTitle,1239)="","",INDEX(BookGroup,1239))</f>
        <v/>
      </c>
      <c r="C1244" s="0" t="str">
        <f aca="false">IF(INDEX(BookTitle,1239)="","",INDEX(BookCategory,1239))</f>
        <v/>
      </c>
      <c r="D1244" s="56" t="str">
        <f aca="false">IF(INDEX(BookTitle,1239)="","",INDEX(BookTotal,1239)*'5. Scenarios'!$B$6/(1+ProductivityDefault*('5. Scenarios'!$B$11-1)))</f>
        <v/>
      </c>
      <c r="E1244" s="57" t="str">
        <f aca="false">IF($D1244="","",INDEX(BookRate,1239)*(1+'5. Scenarios'!$B$10)*$D1244)</f>
        <v/>
      </c>
      <c r="F1244" s="57" t="str">
        <f aca="false">IF($E1244="","",SUMIFS($E$6:$E$2405,$A$6:$A$2405,"&lt;="&amp;$A1244))</f>
        <v/>
      </c>
      <c r="G1244" s="57" t="str">
        <f aca="false">IF($E1244="","",IF($F1244&lt;=BankCostEnvelope*'5. Scenarios'!$B$7,1,0))</f>
        <v/>
      </c>
      <c r="H1244" s="57" t="str">
        <f aca="false">IF($D1244="","",INDEX(BookRate,1239)*(1+'5. Scenarios'!$B$10)*(INDEX(BookQ1,1239)*(5-MIN(4,1+'5. Scenarios'!$B$8))/4+INDEX(BookQ2,1239)*(5-MIN(4,2+'5. Scenarios'!$B$8))/4+INDEX(BookQ3,1239)*(5-MIN(4,3+'5. Scenarios'!$B$8))/4+INDEX(BookQ4,1239)*(5-MIN(4,4+'5. Scenarios'!$B$8))/4)*'5. Scenarios'!$B$6/(1+ProductivityDefault*('5. Scenarios'!$B$11-1))+INDEX(BookOneOff,1239)*$D1244)</f>
        <v/>
      </c>
      <c r="I1244" s="56" t="str">
        <f aca="false">IF(INDEX(BookTitle,1239)="","",INDEX(BookTotal,1239)*'5. Scenarios'!$C$6/(1+ProductivityDefault*('5. Scenarios'!$C$11-1)))</f>
        <v/>
      </c>
      <c r="J1244" s="57" t="str">
        <f aca="false">IF($I1244="","",INDEX(BookRate,1239)*(1+'5. Scenarios'!$C$10)*$I1244)</f>
        <v/>
      </c>
      <c r="K1244" s="57" t="str">
        <f aca="false">IF($J1244="","",SUMIFS($J$6:$J$2405,$A$6:$A$2405,"&lt;="&amp;$A1244))</f>
        <v/>
      </c>
      <c r="L1244" s="57" t="str">
        <f aca="false">IF($J1244="","",IF($K1244&lt;=BankCostEnvelope*'5. Scenarios'!$C$7,1,0))</f>
        <v/>
      </c>
      <c r="M1244" s="57" t="str">
        <f aca="false">IF($I1244="","",INDEX(BookRate,1239)*(1+'5. Scenarios'!$C$10)*(INDEX(BookQ1,1239)*(5-MIN(4,1+'5. Scenarios'!$C$8))/4+INDEX(BookQ2,1239)*(5-MIN(4,2+'5. Scenarios'!$C$8))/4+INDEX(BookQ3,1239)*(5-MIN(4,3+'5. Scenarios'!$C$8))/4+INDEX(BookQ4,1239)*(5-MIN(4,4+'5. Scenarios'!$C$8))/4)*'5. Scenarios'!$C$6/(1+ProductivityDefault*('5. Scenarios'!$C$11-1))+INDEX(BookOneOff,1239)*$I1244)</f>
        <v/>
      </c>
      <c r="N1244" s="56" t="str">
        <f aca="false">IF(INDEX(BookTitle,1239)="","",INDEX(BookTotal,1239)*'5. Scenarios'!$D$6/(1+ProductivityDefault*('5. Scenarios'!$D$11-1)))</f>
        <v/>
      </c>
      <c r="O1244" s="57" t="str">
        <f aca="false">IF($N1244="","",INDEX(BookRate,1239)*(1+'5. Scenarios'!$D$10)*$N1244)</f>
        <v/>
      </c>
      <c r="P1244" s="57" t="str">
        <f aca="false">IF($O1244="","",SUMIFS($O$6:$O$2405,$A$6:$A$2405,"&lt;="&amp;$A1244))</f>
        <v/>
      </c>
      <c r="Q1244" s="57" t="str">
        <f aca="false">IF($O1244="","",IF($P1244&lt;=BankCostEnvelope*'5. Scenarios'!$D$7,1,0))</f>
        <v/>
      </c>
      <c r="R1244" s="57" t="str">
        <f aca="false">IF($N1244="","",INDEX(BookRate,1239)*(1+'5. Scenarios'!$D$10)*(INDEX(BookQ1,1239)*(5-MIN(4,1+'5. Scenarios'!$D$8))/4+INDEX(BookQ2,1239)*(5-MIN(4,2+'5. Scenarios'!$D$8))/4+INDEX(BookQ3,1239)*(5-MIN(4,3+'5. Scenarios'!$D$8))/4+INDEX(BookQ4,1239)*(5-MIN(4,4+'5. Scenarios'!$D$8))/4)*'5. Scenarios'!$D$6/(1+ProductivityDefault*('5. Scenarios'!$D$11-1))+INDEX(BookOneOff,1239)*$N1244)</f>
        <v/>
      </c>
      <c r="S1244" s="56" t="str">
        <f aca="false">IF(INDEX(BookTitle,1239)="","",INDEX(BookTotal,1239)*'5. Scenarios'!$E$6/(1+ProductivityDefault*('5. Scenarios'!$E$11-1)))</f>
        <v/>
      </c>
      <c r="T1244" s="57" t="str">
        <f aca="false">IF($S1244="","",INDEX(BookRate,1239)*(1+'5. Scenarios'!$E$10)*$S1244)</f>
        <v/>
      </c>
      <c r="U1244" s="57" t="str">
        <f aca="false">IF($T1244="","",SUMIFS($T$6:$T$2405,$A$6:$A$2405,"&lt;="&amp;$A1244))</f>
        <v/>
      </c>
      <c r="V1244" s="57" t="str">
        <f aca="false">IF($T1244="","",IF($U1244&lt;=BankCostEnvelope*'5. Scenarios'!$E$7,1,0))</f>
        <v/>
      </c>
      <c r="W1244" s="57" t="str">
        <f aca="false">IF($S1244="","",INDEX(BookRate,1239)*(1+'5. Scenarios'!$E$10)*(INDEX(BookQ1,1239)*(5-MIN(4,1+'5. Scenarios'!$E$8))/4+INDEX(BookQ2,1239)*(5-MIN(4,2+'5. Scenarios'!$E$8))/4+INDEX(BookQ3,1239)*(5-MIN(4,3+'5. Scenarios'!$E$8))/4+INDEX(BookQ4,1239)*(5-MIN(4,4+'5. Scenarios'!$E$8))/4)*'5. Scenarios'!$E$6/(1+ProductivityDefault*('5. Scenarios'!$E$11-1))+INDEX(BookOneOff,1239)*$S1244)</f>
        <v/>
      </c>
    </row>
    <row r="1245" customFormat="false" ht="15" hidden="false" customHeight="false" outlineLevel="0" collapsed="false">
      <c r="A1245" s="0" t="str">
        <f aca="false">IF(INDEX(BookTitle,1240)="","",INDEX(BookKey,1240))</f>
        <v/>
      </c>
      <c r="B1245" s="0" t="str">
        <f aca="false">IF(INDEX(BookTitle,1240)="","",INDEX(BookGroup,1240))</f>
        <v/>
      </c>
      <c r="C1245" s="0" t="str">
        <f aca="false">IF(INDEX(BookTitle,1240)="","",INDEX(BookCategory,1240))</f>
        <v/>
      </c>
      <c r="D1245" s="56" t="str">
        <f aca="false">IF(INDEX(BookTitle,1240)="","",INDEX(BookTotal,1240)*'5. Scenarios'!$B$6/(1+ProductivityDefault*('5. Scenarios'!$B$11-1)))</f>
        <v/>
      </c>
      <c r="E1245" s="57" t="str">
        <f aca="false">IF($D1245="","",INDEX(BookRate,1240)*(1+'5. Scenarios'!$B$10)*$D1245)</f>
        <v/>
      </c>
      <c r="F1245" s="57" t="str">
        <f aca="false">IF($E1245="","",SUMIFS($E$6:$E$2405,$A$6:$A$2405,"&lt;="&amp;$A1245))</f>
        <v/>
      </c>
      <c r="G1245" s="57" t="str">
        <f aca="false">IF($E1245="","",IF($F1245&lt;=BankCostEnvelope*'5. Scenarios'!$B$7,1,0))</f>
        <v/>
      </c>
      <c r="H1245" s="57" t="str">
        <f aca="false">IF($D1245="","",INDEX(BookRate,1240)*(1+'5. Scenarios'!$B$10)*(INDEX(BookQ1,1240)*(5-MIN(4,1+'5. Scenarios'!$B$8))/4+INDEX(BookQ2,1240)*(5-MIN(4,2+'5. Scenarios'!$B$8))/4+INDEX(BookQ3,1240)*(5-MIN(4,3+'5. Scenarios'!$B$8))/4+INDEX(BookQ4,1240)*(5-MIN(4,4+'5. Scenarios'!$B$8))/4)*'5. Scenarios'!$B$6/(1+ProductivityDefault*('5. Scenarios'!$B$11-1))+INDEX(BookOneOff,1240)*$D1245)</f>
        <v/>
      </c>
      <c r="I1245" s="56" t="str">
        <f aca="false">IF(INDEX(BookTitle,1240)="","",INDEX(BookTotal,1240)*'5. Scenarios'!$C$6/(1+ProductivityDefault*('5. Scenarios'!$C$11-1)))</f>
        <v/>
      </c>
      <c r="J1245" s="57" t="str">
        <f aca="false">IF($I1245="","",INDEX(BookRate,1240)*(1+'5. Scenarios'!$C$10)*$I1245)</f>
        <v/>
      </c>
      <c r="K1245" s="57" t="str">
        <f aca="false">IF($J1245="","",SUMIFS($J$6:$J$2405,$A$6:$A$2405,"&lt;="&amp;$A1245))</f>
        <v/>
      </c>
      <c r="L1245" s="57" t="str">
        <f aca="false">IF($J1245="","",IF($K1245&lt;=BankCostEnvelope*'5. Scenarios'!$C$7,1,0))</f>
        <v/>
      </c>
      <c r="M1245" s="57" t="str">
        <f aca="false">IF($I1245="","",INDEX(BookRate,1240)*(1+'5. Scenarios'!$C$10)*(INDEX(BookQ1,1240)*(5-MIN(4,1+'5. Scenarios'!$C$8))/4+INDEX(BookQ2,1240)*(5-MIN(4,2+'5. Scenarios'!$C$8))/4+INDEX(BookQ3,1240)*(5-MIN(4,3+'5. Scenarios'!$C$8))/4+INDEX(BookQ4,1240)*(5-MIN(4,4+'5. Scenarios'!$C$8))/4)*'5. Scenarios'!$C$6/(1+ProductivityDefault*('5. Scenarios'!$C$11-1))+INDEX(BookOneOff,1240)*$I1245)</f>
        <v/>
      </c>
      <c r="N1245" s="56" t="str">
        <f aca="false">IF(INDEX(BookTitle,1240)="","",INDEX(BookTotal,1240)*'5. Scenarios'!$D$6/(1+ProductivityDefault*('5. Scenarios'!$D$11-1)))</f>
        <v/>
      </c>
      <c r="O1245" s="57" t="str">
        <f aca="false">IF($N1245="","",INDEX(BookRate,1240)*(1+'5. Scenarios'!$D$10)*$N1245)</f>
        <v/>
      </c>
      <c r="P1245" s="57" t="str">
        <f aca="false">IF($O1245="","",SUMIFS($O$6:$O$2405,$A$6:$A$2405,"&lt;="&amp;$A1245))</f>
        <v/>
      </c>
      <c r="Q1245" s="57" t="str">
        <f aca="false">IF($O1245="","",IF($P1245&lt;=BankCostEnvelope*'5. Scenarios'!$D$7,1,0))</f>
        <v/>
      </c>
      <c r="R1245" s="57" t="str">
        <f aca="false">IF($N1245="","",INDEX(BookRate,1240)*(1+'5. Scenarios'!$D$10)*(INDEX(BookQ1,1240)*(5-MIN(4,1+'5. Scenarios'!$D$8))/4+INDEX(BookQ2,1240)*(5-MIN(4,2+'5. Scenarios'!$D$8))/4+INDEX(BookQ3,1240)*(5-MIN(4,3+'5. Scenarios'!$D$8))/4+INDEX(BookQ4,1240)*(5-MIN(4,4+'5. Scenarios'!$D$8))/4)*'5. Scenarios'!$D$6/(1+ProductivityDefault*('5. Scenarios'!$D$11-1))+INDEX(BookOneOff,1240)*$N1245)</f>
        <v/>
      </c>
      <c r="S1245" s="56" t="str">
        <f aca="false">IF(INDEX(BookTitle,1240)="","",INDEX(BookTotal,1240)*'5. Scenarios'!$E$6/(1+ProductivityDefault*('5. Scenarios'!$E$11-1)))</f>
        <v/>
      </c>
      <c r="T1245" s="57" t="str">
        <f aca="false">IF($S1245="","",INDEX(BookRate,1240)*(1+'5. Scenarios'!$E$10)*$S1245)</f>
        <v/>
      </c>
      <c r="U1245" s="57" t="str">
        <f aca="false">IF($T1245="","",SUMIFS($T$6:$T$2405,$A$6:$A$2405,"&lt;="&amp;$A1245))</f>
        <v/>
      </c>
      <c r="V1245" s="57" t="str">
        <f aca="false">IF($T1245="","",IF($U1245&lt;=BankCostEnvelope*'5. Scenarios'!$E$7,1,0))</f>
        <v/>
      </c>
      <c r="W1245" s="57" t="str">
        <f aca="false">IF($S1245="","",INDEX(BookRate,1240)*(1+'5. Scenarios'!$E$10)*(INDEX(BookQ1,1240)*(5-MIN(4,1+'5. Scenarios'!$E$8))/4+INDEX(BookQ2,1240)*(5-MIN(4,2+'5. Scenarios'!$E$8))/4+INDEX(BookQ3,1240)*(5-MIN(4,3+'5. Scenarios'!$E$8))/4+INDEX(BookQ4,1240)*(5-MIN(4,4+'5. Scenarios'!$E$8))/4)*'5. Scenarios'!$E$6/(1+ProductivityDefault*('5. Scenarios'!$E$11-1))+INDEX(BookOneOff,1240)*$S1245)</f>
        <v/>
      </c>
    </row>
    <row r="1246" customFormat="false" ht="15" hidden="false" customHeight="false" outlineLevel="0" collapsed="false">
      <c r="A1246" s="0" t="str">
        <f aca="false">IF(INDEX(BookTitle,1241)="","",INDEX(BookKey,1241))</f>
        <v/>
      </c>
      <c r="B1246" s="0" t="str">
        <f aca="false">IF(INDEX(BookTitle,1241)="","",INDEX(BookGroup,1241))</f>
        <v/>
      </c>
      <c r="C1246" s="0" t="str">
        <f aca="false">IF(INDEX(BookTitle,1241)="","",INDEX(BookCategory,1241))</f>
        <v/>
      </c>
      <c r="D1246" s="56" t="str">
        <f aca="false">IF(INDEX(BookTitle,1241)="","",INDEX(BookTotal,1241)*'5. Scenarios'!$B$6/(1+ProductivityDefault*('5. Scenarios'!$B$11-1)))</f>
        <v/>
      </c>
      <c r="E1246" s="57" t="str">
        <f aca="false">IF($D1246="","",INDEX(BookRate,1241)*(1+'5. Scenarios'!$B$10)*$D1246)</f>
        <v/>
      </c>
      <c r="F1246" s="57" t="str">
        <f aca="false">IF($E1246="","",SUMIFS($E$6:$E$2405,$A$6:$A$2405,"&lt;="&amp;$A1246))</f>
        <v/>
      </c>
      <c r="G1246" s="57" t="str">
        <f aca="false">IF($E1246="","",IF($F1246&lt;=BankCostEnvelope*'5. Scenarios'!$B$7,1,0))</f>
        <v/>
      </c>
      <c r="H1246" s="57" t="str">
        <f aca="false">IF($D1246="","",INDEX(BookRate,1241)*(1+'5. Scenarios'!$B$10)*(INDEX(BookQ1,1241)*(5-MIN(4,1+'5. Scenarios'!$B$8))/4+INDEX(BookQ2,1241)*(5-MIN(4,2+'5. Scenarios'!$B$8))/4+INDEX(BookQ3,1241)*(5-MIN(4,3+'5. Scenarios'!$B$8))/4+INDEX(BookQ4,1241)*(5-MIN(4,4+'5. Scenarios'!$B$8))/4)*'5. Scenarios'!$B$6/(1+ProductivityDefault*('5. Scenarios'!$B$11-1))+INDEX(BookOneOff,1241)*$D1246)</f>
        <v/>
      </c>
      <c r="I1246" s="56" t="str">
        <f aca="false">IF(INDEX(BookTitle,1241)="","",INDEX(BookTotal,1241)*'5. Scenarios'!$C$6/(1+ProductivityDefault*('5. Scenarios'!$C$11-1)))</f>
        <v/>
      </c>
      <c r="J1246" s="57" t="str">
        <f aca="false">IF($I1246="","",INDEX(BookRate,1241)*(1+'5. Scenarios'!$C$10)*$I1246)</f>
        <v/>
      </c>
      <c r="K1246" s="57" t="str">
        <f aca="false">IF($J1246="","",SUMIFS($J$6:$J$2405,$A$6:$A$2405,"&lt;="&amp;$A1246))</f>
        <v/>
      </c>
      <c r="L1246" s="57" t="str">
        <f aca="false">IF($J1246="","",IF($K1246&lt;=BankCostEnvelope*'5. Scenarios'!$C$7,1,0))</f>
        <v/>
      </c>
      <c r="M1246" s="57" t="str">
        <f aca="false">IF($I1246="","",INDEX(BookRate,1241)*(1+'5. Scenarios'!$C$10)*(INDEX(BookQ1,1241)*(5-MIN(4,1+'5. Scenarios'!$C$8))/4+INDEX(BookQ2,1241)*(5-MIN(4,2+'5. Scenarios'!$C$8))/4+INDEX(BookQ3,1241)*(5-MIN(4,3+'5. Scenarios'!$C$8))/4+INDEX(BookQ4,1241)*(5-MIN(4,4+'5. Scenarios'!$C$8))/4)*'5. Scenarios'!$C$6/(1+ProductivityDefault*('5. Scenarios'!$C$11-1))+INDEX(BookOneOff,1241)*$I1246)</f>
        <v/>
      </c>
      <c r="N1246" s="56" t="str">
        <f aca="false">IF(INDEX(BookTitle,1241)="","",INDEX(BookTotal,1241)*'5. Scenarios'!$D$6/(1+ProductivityDefault*('5. Scenarios'!$D$11-1)))</f>
        <v/>
      </c>
      <c r="O1246" s="57" t="str">
        <f aca="false">IF($N1246="","",INDEX(BookRate,1241)*(1+'5. Scenarios'!$D$10)*$N1246)</f>
        <v/>
      </c>
      <c r="P1246" s="57" t="str">
        <f aca="false">IF($O1246="","",SUMIFS($O$6:$O$2405,$A$6:$A$2405,"&lt;="&amp;$A1246))</f>
        <v/>
      </c>
      <c r="Q1246" s="57" t="str">
        <f aca="false">IF($O1246="","",IF($P1246&lt;=BankCostEnvelope*'5. Scenarios'!$D$7,1,0))</f>
        <v/>
      </c>
      <c r="R1246" s="57" t="str">
        <f aca="false">IF($N1246="","",INDEX(BookRate,1241)*(1+'5. Scenarios'!$D$10)*(INDEX(BookQ1,1241)*(5-MIN(4,1+'5. Scenarios'!$D$8))/4+INDEX(BookQ2,1241)*(5-MIN(4,2+'5. Scenarios'!$D$8))/4+INDEX(BookQ3,1241)*(5-MIN(4,3+'5. Scenarios'!$D$8))/4+INDEX(BookQ4,1241)*(5-MIN(4,4+'5. Scenarios'!$D$8))/4)*'5. Scenarios'!$D$6/(1+ProductivityDefault*('5. Scenarios'!$D$11-1))+INDEX(BookOneOff,1241)*$N1246)</f>
        <v/>
      </c>
      <c r="S1246" s="56" t="str">
        <f aca="false">IF(INDEX(BookTitle,1241)="","",INDEX(BookTotal,1241)*'5. Scenarios'!$E$6/(1+ProductivityDefault*('5. Scenarios'!$E$11-1)))</f>
        <v/>
      </c>
      <c r="T1246" s="57" t="str">
        <f aca="false">IF($S1246="","",INDEX(BookRate,1241)*(1+'5. Scenarios'!$E$10)*$S1246)</f>
        <v/>
      </c>
      <c r="U1246" s="57" t="str">
        <f aca="false">IF($T1246="","",SUMIFS($T$6:$T$2405,$A$6:$A$2405,"&lt;="&amp;$A1246))</f>
        <v/>
      </c>
      <c r="V1246" s="57" t="str">
        <f aca="false">IF($T1246="","",IF($U1246&lt;=BankCostEnvelope*'5. Scenarios'!$E$7,1,0))</f>
        <v/>
      </c>
      <c r="W1246" s="57" t="str">
        <f aca="false">IF($S1246="","",INDEX(BookRate,1241)*(1+'5. Scenarios'!$E$10)*(INDEX(BookQ1,1241)*(5-MIN(4,1+'5. Scenarios'!$E$8))/4+INDEX(BookQ2,1241)*(5-MIN(4,2+'5. Scenarios'!$E$8))/4+INDEX(BookQ3,1241)*(5-MIN(4,3+'5. Scenarios'!$E$8))/4+INDEX(BookQ4,1241)*(5-MIN(4,4+'5. Scenarios'!$E$8))/4)*'5. Scenarios'!$E$6/(1+ProductivityDefault*('5. Scenarios'!$E$11-1))+INDEX(BookOneOff,1241)*$S1246)</f>
        <v/>
      </c>
    </row>
    <row r="1247" customFormat="false" ht="15" hidden="false" customHeight="false" outlineLevel="0" collapsed="false">
      <c r="A1247" s="0" t="str">
        <f aca="false">IF(INDEX(BookTitle,1242)="","",INDEX(BookKey,1242))</f>
        <v/>
      </c>
      <c r="B1247" s="0" t="str">
        <f aca="false">IF(INDEX(BookTitle,1242)="","",INDEX(BookGroup,1242))</f>
        <v/>
      </c>
      <c r="C1247" s="0" t="str">
        <f aca="false">IF(INDEX(BookTitle,1242)="","",INDEX(BookCategory,1242))</f>
        <v/>
      </c>
      <c r="D1247" s="56" t="str">
        <f aca="false">IF(INDEX(BookTitle,1242)="","",INDEX(BookTotal,1242)*'5. Scenarios'!$B$6/(1+ProductivityDefault*('5. Scenarios'!$B$11-1)))</f>
        <v/>
      </c>
      <c r="E1247" s="57" t="str">
        <f aca="false">IF($D1247="","",INDEX(BookRate,1242)*(1+'5. Scenarios'!$B$10)*$D1247)</f>
        <v/>
      </c>
      <c r="F1247" s="57" t="str">
        <f aca="false">IF($E1247="","",SUMIFS($E$6:$E$2405,$A$6:$A$2405,"&lt;="&amp;$A1247))</f>
        <v/>
      </c>
      <c r="G1247" s="57" t="str">
        <f aca="false">IF($E1247="","",IF($F1247&lt;=BankCostEnvelope*'5. Scenarios'!$B$7,1,0))</f>
        <v/>
      </c>
      <c r="H1247" s="57" t="str">
        <f aca="false">IF($D1247="","",INDEX(BookRate,1242)*(1+'5. Scenarios'!$B$10)*(INDEX(BookQ1,1242)*(5-MIN(4,1+'5. Scenarios'!$B$8))/4+INDEX(BookQ2,1242)*(5-MIN(4,2+'5. Scenarios'!$B$8))/4+INDEX(BookQ3,1242)*(5-MIN(4,3+'5. Scenarios'!$B$8))/4+INDEX(BookQ4,1242)*(5-MIN(4,4+'5. Scenarios'!$B$8))/4)*'5. Scenarios'!$B$6/(1+ProductivityDefault*('5. Scenarios'!$B$11-1))+INDEX(BookOneOff,1242)*$D1247)</f>
        <v/>
      </c>
      <c r="I1247" s="56" t="str">
        <f aca="false">IF(INDEX(BookTitle,1242)="","",INDEX(BookTotal,1242)*'5. Scenarios'!$C$6/(1+ProductivityDefault*('5. Scenarios'!$C$11-1)))</f>
        <v/>
      </c>
      <c r="J1247" s="57" t="str">
        <f aca="false">IF($I1247="","",INDEX(BookRate,1242)*(1+'5. Scenarios'!$C$10)*$I1247)</f>
        <v/>
      </c>
      <c r="K1247" s="57" t="str">
        <f aca="false">IF($J1247="","",SUMIFS($J$6:$J$2405,$A$6:$A$2405,"&lt;="&amp;$A1247))</f>
        <v/>
      </c>
      <c r="L1247" s="57" t="str">
        <f aca="false">IF($J1247="","",IF($K1247&lt;=BankCostEnvelope*'5. Scenarios'!$C$7,1,0))</f>
        <v/>
      </c>
      <c r="M1247" s="57" t="str">
        <f aca="false">IF($I1247="","",INDEX(BookRate,1242)*(1+'5. Scenarios'!$C$10)*(INDEX(BookQ1,1242)*(5-MIN(4,1+'5. Scenarios'!$C$8))/4+INDEX(BookQ2,1242)*(5-MIN(4,2+'5. Scenarios'!$C$8))/4+INDEX(BookQ3,1242)*(5-MIN(4,3+'5. Scenarios'!$C$8))/4+INDEX(BookQ4,1242)*(5-MIN(4,4+'5. Scenarios'!$C$8))/4)*'5. Scenarios'!$C$6/(1+ProductivityDefault*('5. Scenarios'!$C$11-1))+INDEX(BookOneOff,1242)*$I1247)</f>
        <v/>
      </c>
      <c r="N1247" s="56" t="str">
        <f aca="false">IF(INDEX(BookTitle,1242)="","",INDEX(BookTotal,1242)*'5. Scenarios'!$D$6/(1+ProductivityDefault*('5. Scenarios'!$D$11-1)))</f>
        <v/>
      </c>
      <c r="O1247" s="57" t="str">
        <f aca="false">IF($N1247="","",INDEX(BookRate,1242)*(1+'5. Scenarios'!$D$10)*$N1247)</f>
        <v/>
      </c>
      <c r="P1247" s="57" t="str">
        <f aca="false">IF($O1247="","",SUMIFS($O$6:$O$2405,$A$6:$A$2405,"&lt;="&amp;$A1247))</f>
        <v/>
      </c>
      <c r="Q1247" s="57" t="str">
        <f aca="false">IF($O1247="","",IF($P1247&lt;=BankCostEnvelope*'5. Scenarios'!$D$7,1,0))</f>
        <v/>
      </c>
      <c r="R1247" s="57" t="str">
        <f aca="false">IF($N1247="","",INDEX(BookRate,1242)*(1+'5. Scenarios'!$D$10)*(INDEX(BookQ1,1242)*(5-MIN(4,1+'5. Scenarios'!$D$8))/4+INDEX(BookQ2,1242)*(5-MIN(4,2+'5. Scenarios'!$D$8))/4+INDEX(BookQ3,1242)*(5-MIN(4,3+'5. Scenarios'!$D$8))/4+INDEX(BookQ4,1242)*(5-MIN(4,4+'5. Scenarios'!$D$8))/4)*'5. Scenarios'!$D$6/(1+ProductivityDefault*('5. Scenarios'!$D$11-1))+INDEX(BookOneOff,1242)*$N1247)</f>
        <v/>
      </c>
      <c r="S1247" s="56" t="str">
        <f aca="false">IF(INDEX(BookTitle,1242)="","",INDEX(BookTotal,1242)*'5. Scenarios'!$E$6/(1+ProductivityDefault*('5. Scenarios'!$E$11-1)))</f>
        <v/>
      </c>
      <c r="T1247" s="57" t="str">
        <f aca="false">IF($S1247="","",INDEX(BookRate,1242)*(1+'5. Scenarios'!$E$10)*$S1247)</f>
        <v/>
      </c>
      <c r="U1247" s="57" t="str">
        <f aca="false">IF($T1247="","",SUMIFS($T$6:$T$2405,$A$6:$A$2405,"&lt;="&amp;$A1247))</f>
        <v/>
      </c>
      <c r="V1247" s="57" t="str">
        <f aca="false">IF($T1247="","",IF($U1247&lt;=BankCostEnvelope*'5. Scenarios'!$E$7,1,0))</f>
        <v/>
      </c>
      <c r="W1247" s="57" t="str">
        <f aca="false">IF($S1247="","",INDEX(BookRate,1242)*(1+'5. Scenarios'!$E$10)*(INDEX(BookQ1,1242)*(5-MIN(4,1+'5. Scenarios'!$E$8))/4+INDEX(BookQ2,1242)*(5-MIN(4,2+'5. Scenarios'!$E$8))/4+INDEX(BookQ3,1242)*(5-MIN(4,3+'5. Scenarios'!$E$8))/4+INDEX(BookQ4,1242)*(5-MIN(4,4+'5. Scenarios'!$E$8))/4)*'5. Scenarios'!$E$6/(1+ProductivityDefault*('5. Scenarios'!$E$11-1))+INDEX(BookOneOff,1242)*$S1247)</f>
        <v/>
      </c>
    </row>
    <row r="1248" customFormat="false" ht="15" hidden="false" customHeight="false" outlineLevel="0" collapsed="false">
      <c r="A1248" s="0" t="str">
        <f aca="false">IF(INDEX(BookTitle,1243)="","",INDEX(BookKey,1243))</f>
        <v/>
      </c>
      <c r="B1248" s="0" t="str">
        <f aca="false">IF(INDEX(BookTitle,1243)="","",INDEX(BookGroup,1243))</f>
        <v/>
      </c>
      <c r="C1248" s="0" t="str">
        <f aca="false">IF(INDEX(BookTitle,1243)="","",INDEX(BookCategory,1243))</f>
        <v/>
      </c>
      <c r="D1248" s="56" t="str">
        <f aca="false">IF(INDEX(BookTitle,1243)="","",INDEX(BookTotal,1243)*'5. Scenarios'!$B$6/(1+ProductivityDefault*('5. Scenarios'!$B$11-1)))</f>
        <v/>
      </c>
      <c r="E1248" s="57" t="str">
        <f aca="false">IF($D1248="","",INDEX(BookRate,1243)*(1+'5. Scenarios'!$B$10)*$D1248)</f>
        <v/>
      </c>
      <c r="F1248" s="57" t="str">
        <f aca="false">IF($E1248="","",SUMIFS($E$6:$E$2405,$A$6:$A$2405,"&lt;="&amp;$A1248))</f>
        <v/>
      </c>
      <c r="G1248" s="57" t="str">
        <f aca="false">IF($E1248="","",IF($F1248&lt;=BankCostEnvelope*'5. Scenarios'!$B$7,1,0))</f>
        <v/>
      </c>
      <c r="H1248" s="57" t="str">
        <f aca="false">IF($D1248="","",INDEX(BookRate,1243)*(1+'5. Scenarios'!$B$10)*(INDEX(BookQ1,1243)*(5-MIN(4,1+'5. Scenarios'!$B$8))/4+INDEX(BookQ2,1243)*(5-MIN(4,2+'5. Scenarios'!$B$8))/4+INDEX(BookQ3,1243)*(5-MIN(4,3+'5. Scenarios'!$B$8))/4+INDEX(BookQ4,1243)*(5-MIN(4,4+'5. Scenarios'!$B$8))/4)*'5. Scenarios'!$B$6/(1+ProductivityDefault*('5. Scenarios'!$B$11-1))+INDEX(BookOneOff,1243)*$D1248)</f>
        <v/>
      </c>
      <c r="I1248" s="56" t="str">
        <f aca="false">IF(INDEX(BookTitle,1243)="","",INDEX(BookTotal,1243)*'5. Scenarios'!$C$6/(1+ProductivityDefault*('5. Scenarios'!$C$11-1)))</f>
        <v/>
      </c>
      <c r="J1248" s="57" t="str">
        <f aca="false">IF($I1248="","",INDEX(BookRate,1243)*(1+'5. Scenarios'!$C$10)*$I1248)</f>
        <v/>
      </c>
      <c r="K1248" s="57" t="str">
        <f aca="false">IF($J1248="","",SUMIFS($J$6:$J$2405,$A$6:$A$2405,"&lt;="&amp;$A1248))</f>
        <v/>
      </c>
      <c r="L1248" s="57" t="str">
        <f aca="false">IF($J1248="","",IF($K1248&lt;=BankCostEnvelope*'5. Scenarios'!$C$7,1,0))</f>
        <v/>
      </c>
      <c r="M1248" s="57" t="str">
        <f aca="false">IF($I1248="","",INDEX(BookRate,1243)*(1+'5. Scenarios'!$C$10)*(INDEX(BookQ1,1243)*(5-MIN(4,1+'5. Scenarios'!$C$8))/4+INDEX(BookQ2,1243)*(5-MIN(4,2+'5. Scenarios'!$C$8))/4+INDEX(BookQ3,1243)*(5-MIN(4,3+'5. Scenarios'!$C$8))/4+INDEX(BookQ4,1243)*(5-MIN(4,4+'5. Scenarios'!$C$8))/4)*'5. Scenarios'!$C$6/(1+ProductivityDefault*('5. Scenarios'!$C$11-1))+INDEX(BookOneOff,1243)*$I1248)</f>
        <v/>
      </c>
      <c r="N1248" s="56" t="str">
        <f aca="false">IF(INDEX(BookTitle,1243)="","",INDEX(BookTotal,1243)*'5. Scenarios'!$D$6/(1+ProductivityDefault*('5. Scenarios'!$D$11-1)))</f>
        <v/>
      </c>
      <c r="O1248" s="57" t="str">
        <f aca="false">IF($N1248="","",INDEX(BookRate,1243)*(1+'5. Scenarios'!$D$10)*$N1248)</f>
        <v/>
      </c>
      <c r="P1248" s="57" t="str">
        <f aca="false">IF($O1248="","",SUMIFS($O$6:$O$2405,$A$6:$A$2405,"&lt;="&amp;$A1248))</f>
        <v/>
      </c>
      <c r="Q1248" s="57" t="str">
        <f aca="false">IF($O1248="","",IF($P1248&lt;=BankCostEnvelope*'5. Scenarios'!$D$7,1,0))</f>
        <v/>
      </c>
      <c r="R1248" s="57" t="str">
        <f aca="false">IF($N1248="","",INDEX(BookRate,1243)*(1+'5. Scenarios'!$D$10)*(INDEX(BookQ1,1243)*(5-MIN(4,1+'5. Scenarios'!$D$8))/4+INDEX(BookQ2,1243)*(5-MIN(4,2+'5. Scenarios'!$D$8))/4+INDEX(BookQ3,1243)*(5-MIN(4,3+'5. Scenarios'!$D$8))/4+INDEX(BookQ4,1243)*(5-MIN(4,4+'5. Scenarios'!$D$8))/4)*'5. Scenarios'!$D$6/(1+ProductivityDefault*('5. Scenarios'!$D$11-1))+INDEX(BookOneOff,1243)*$N1248)</f>
        <v/>
      </c>
      <c r="S1248" s="56" t="str">
        <f aca="false">IF(INDEX(BookTitle,1243)="","",INDEX(BookTotal,1243)*'5. Scenarios'!$E$6/(1+ProductivityDefault*('5. Scenarios'!$E$11-1)))</f>
        <v/>
      </c>
      <c r="T1248" s="57" t="str">
        <f aca="false">IF($S1248="","",INDEX(BookRate,1243)*(1+'5. Scenarios'!$E$10)*$S1248)</f>
        <v/>
      </c>
      <c r="U1248" s="57" t="str">
        <f aca="false">IF($T1248="","",SUMIFS($T$6:$T$2405,$A$6:$A$2405,"&lt;="&amp;$A1248))</f>
        <v/>
      </c>
      <c r="V1248" s="57" t="str">
        <f aca="false">IF($T1248="","",IF($U1248&lt;=BankCostEnvelope*'5. Scenarios'!$E$7,1,0))</f>
        <v/>
      </c>
      <c r="W1248" s="57" t="str">
        <f aca="false">IF($S1248="","",INDEX(BookRate,1243)*(1+'5. Scenarios'!$E$10)*(INDEX(BookQ1,1243)*(5-MIN(4,1+'5. Scenarios'!$E$8))/4+INDEX(BookQ2,1243)*(5-MIN(4,2+'5. Scenarios'!$E$8))/4+INDEX(BookQ3,1243)*(5-MIN(4,3+'5. Scenarios'!$E$8))/4+INDEX(BookQ4,1243)*(5-MIN(4,4+'5. Scenarios'!$E$8))/4)*'5. Scenarios'!$E$6/(1+ProductivityDefault*('5. Scenarios'!$E$11-1))+INDEX(BookOneOff,1243)*$S1248)</f>
        <v/>
      </c>
    </row>
    <row r="1249" customFormat="false" ht="15" hidden="false" customHeight="false" outlineLevel="0" collapsed="false">
      <c r="A1249" s="0" t="str">
        <f aca="false">IF(INDEX(BookTitle,1244)="","",INDEX(BookKey,1244))</f>
        <v/>
      </c>
      <c r="B1249" s="0" t="str">
        <f aca="false">IF(INDEX(BookTitle,1244)="","",INDEX(BookGroup,1244))</f>
        <v/>
      </c>
      <c r="C1249" s="0" t="str">
        <f aca="false">IF(INDEX(BookTitle,1244)="","",INDEX(BookCategory,1244))</f>
        <v/>
      </c>
      <c r="D1249" s="56" t="str">
        <f aca="false">IF(INDEX(BookTitle,1244)="","",INDEX(BookTotal,1244)*'5. Scenarios'!$B$6/(1+ProductivityDefault*('5. Scenarios'!$B$11-1)))</f>
        <v/>
      </c>
      <c r="E1249" s="57" t="str">
        <f aca="false">IF($D1249="","",INDEX(BookRate,1244)*(1+'5. Scenarios'!$B$10)*$D1249)</f>
        <v/>
      </c>
      <c r="F1249" s="57" t="str">
        <f aca="false">IF($E1249="","",SUMIFS($E$6:$E$2405,$A$6:$A$2405,"&lt;="&amp;$A1249))</f>
        <v/>
      </c>
      <c r="G1249" s="57" t="str">
        <f aca="false">IF($E1249="","",IF($F1249&lt;=BankCostEnvelope*'5. Scenarios'!$B$7,1,0))</f>
        <v/>
      </c>
      <c r="H1249" s="57" t="str">
        <f aca="false">IF($D1249="","",INDEX(BookRate,1244)*(1+'5. Scenarios'!$B$10)*(INDEX(BookQ1,1244)*(5-MIN(4,1+'5. Scenarios'!$B$8))/4+INDEX(BookQ2,1244)*(5-MIN(4,2+'5. Scenarios'!$B$8))/4+INDEX(BookQ3,1244)*(5-MIN(4,3+'5. Scenarios'!$B$8))/4+INDEX(BookQ4,1244)*(5-MIN(4,4+'5. Scenarios'!$B$8))/4)*'5. Scenarios'!$B$6/(1+ProductivityDefault*('5. Scenarios'!$B$11-1))+INDEX(BookOneOff,1244)*$D1249)</f>
        <v/>
      </c>
      <c r="I1249" s="56" t="str">
        <f aca="false">IF(INDEX(BookTitle,1244)="","",INDEX(BookTotal,1244)*'5. Scenarios'!$C$6/(1+ProductivityDefault*('5. Scenarios'!$C$11-1)))</f>
        <v/>
      </c>
      <c r="J1249" s="57" t="str">
        <f aca="false">IF($I1249="","",INDEX(BookRate,1244)*(1+'5. Scenarios'!$C$10)*$I1249)</f>
        <v/>
      </c>
      <c r="K1249" s="57" t="str">
        <f aca="false">IF($J1249="","",SUMIFS($J$6:$J$2405,$A$6:$A$2405,"&lt;="&amp;$A1249))</f>
        <v/>
      </c>
      <c r="L1249" s="57" t="str">
        <f aca="false">IF($J1249="","",IF($K1249&lt;=BankCostEnvelope*'5. Scenarios'!$C$7,1,0))</f>
        <v/>
      </c>
      <c r="M1249" s="57" t="str">
        <f aca="false">IF($I1249="","",INDEX(BookRate,1244)*(1+'5. Scenarios'!$C$10)*(INDEX(BookQ1,1244)*(5-MIN(4,1+'5. Scenarios'!$C$8))/4+INDEX(BookQ2,1244)*(5-MIN(4,2+'5. Scenarios'!$C$8))/4+INDEX(BookQ3,1244)*(5-MIN(4,3+'5. Scenarios'!$C$8))/4+INDEX(BookQ4,1244)*(5-MIN(4,4+'5. Scenarios'!$C$8))/4)*'5. Scenarios'!$C$6/(1+ProductivityDefault*('5. Scenarios'!$C$11-1))+INDEX(BookOneOff,1244)*$I1249)</f>
        <v/>
      </c>
      <c r="N1249" s="56" t="str">
        <f aca="false">IF(INDEX(BookTitle,1244)="","",INDEX(BookTotal,1244)*'5. Scenarios'!$D$6/(1+ProductivityDefault*('5. Scenarios'!$D$11-1)))</f>
        <v/>
      </c>
      <c r="O1249" s="57" t="str">
        <f aca="false">IF($N1249="","",INDEX(BookRate,1244)*(1+'5. Scenarios'!$D$10)*$N1249)</f>
        <v/>
      </c>
      <c r="P1249" s="57" t="str">
        <f aca="false">IF($O1249="","",SUMIFS($O$6:$O$2405,$A$6:$A$2405,"&lt;="&amp;$A1249))</f>
        <v/>
      </c>
      <c r="Q1249" s="57" t="str">
        <f aca="false">IF($O1249="","",IF($P1249&lt;=BankCostEnvelope*'5. Scenarios'!$D$7,1,0))</f>
        <v/>
      </c>
      <c r="R1249" s="57" t="str">
        <f aca="false">IF($N1249="","",INDEX(BookRate,1244)*(1+'5. Scenarios'!$D$10)*(INDEX(BookQ1,1244)*(5-MIN(4,1+'5. Scenarios'!$D$8))/4+INDEX(BookQ2,1244)*(5-MIN(4,2+'5. Scenarios'!$D$8))/4+INDEX(BookQ3,1244)*(5-MIN(4,3+'5. Scenarios'!$D$8))/4+INDEX(BookQ4,1244)*(5-MIN(4,4+'5. Scenarios'!$D$8))/4)*'5. Scenarios'!$D$6/(1+ProductivityDefault*('5. Scenarios'!$D$11-1))+INDEX(BookOneOff,1244)*$N1249)</f>
        <v/>
      </c>
      <c r="S1249" s="56" t="str">
        <f aca="false">IF(INDEX(BookTitle,1244)="","",INDEX(BookTotal,1244)*'5. Scenarios'!$E$6/(1+ProductivityDefault*('5. Scenarios'!$E$11-1)))</f>
        <v/>
      </c>
      <c r="T1249" s="57" t="str">
        <f aca="false">IF($S1249="","",INDEX(BookRate,1244)*(1+'5. Scenarios'!$E$10)*$S1249)</f>
        <v/>
      </c>
      <c r="U1249" s="57" t="str">
        <f aca="false">IF($T1249="","",SUMIFS($T$6:$T$2405,$A$6:$A$2405,"&lt;="&amp;$A1249))</f>
        <v/>
      </c>
      <c r="V1249" s="57" t="str">
        <f aca="false">IF($T1249="","",IF($U1249&lt;=BankCostEnvelope*'5. Scenarios'!$E$7,1,0))</f>
        <v/>
      </c>
      <c r="W1249" s="57" t="str">
        <f aca="false">IF($S1249="","",INDEX(BookRate,1244)*(1+'5. Scenarios'!$E$10)*(INDEX(BookQ1,1244)*(5-MIN(4,1+'5. Scenarios'!$E$8))/4+INDEX(BookQ2,1244)*(5-MIN(4,2+'5. Scenarios'!$E$8))/4+INDEX(BookQ3,1244)*(5-MIN(4,3+'5. Scenarios'!$E$8))/4+INDEX(BookQ4,1244)*(5-MIN(4,4+'5. Scenarios'!$E$8))/4)*'5. Scenarios'!$E$6/(1+ProductivityDefault*('5. Scenarios'!$E$11-1))+INDEX(BookOneOff,1244)*$S1249)</f>
        <v/>
      </c>
    </row>
    <row r="1250" customFormat="false" ht="15" hidden="false" customHeight="false" outlineLevel="0" collapsed="false">
      <c r="A1250" s="0" t="str">
        <f aca="false">IF(INDEX(BookTitle,1245)="","",INDEX(BookKey,1245))</f>
        <v/>
      </c>
      <c r="B1250" s="0" t="str">
        <f aca="false">IF(INDEX(BookTitle,1245)="","",INDEX(BookGroup,1245))</f>
        <v/>
      </c>
      <c r="C1250" s="0" t="str">
        <f aca="false">IF(INDEX(BookTitle,1245)="","",INDEX(BookCategory,1245))</f>
        <v/>
      </c>
      <c r="D1250" s="56" t="str">
        <f aca="false">IF(INDEX(BookTitle,1245)="","",INDEX(BookTotal,1245)*'5. Scenarios'!$B$6/(1+ProductivityDefault*('5. Scenarios'!$B$11-1)))</f>
        <v/>
      </c>
      <c r="E1250" s="57" t="str">
        <f aca="false">IF($D1250="","",INDEX(BookRate,1245)*(1+'5. Scenarios'!$B$10)*$D1250)</f>
        <v/>
      </c>
      <c r="F1250" s="57" t="str">
        <f aca="false">IF($E1250="","",SUMIFS($E$6:$E$2405,$A$6:$A$2405,"&lt;="&amp;$A1250))</f>
        <v/>
      </c>
      <c r="G1250" s="57" t="str">
        <f aca="false">IF($E1250="","",IF($F1250&lt;=BankCostEnvelope*'5. Scenarios'!$B$7,1,0))</f>
        <v/>
      </c>
      <c r="H1250" s="57" t="str">
        <f aca="false">IF($D1250="","",INDEX(BookRate,1245)*(1+'5. Scenarios'!$B$10)*(INDEX(BookQ1,1245)*(5-MIN(4,1+'5. Scenarios'!$B$8))/4+INDEX(BookQ2,1245)*(5-MIN(4,2+'5. Scenarios'!$B$8))/4+INDEX(BookQ3,1245)*(5-MIN(4,3+'5. Scenarios'!$B$8))/4+INDEX(BookQ4,1245)*(5-MIN(4,4+'5. Scenarios'!$B$8))/4)*'5. Scenarios'!$B$6/(1+ProductivityDefault*('5. Scenarios'!$B$11-1))+INDEX(BookOneOff,1245)*$D1250)</f>
        <v/>
      </c>
      <c r="I1250" s="56" t="str">
        <f aca="false">IF(INDEX(BookTitle,1245)="","",INDEX(BookTotal,1245)*'5. Scenarios'!$C$6/(1+ProductivityDefault*('5. Scenarios'!$C$11-1)))</f>
        <v/>
      </c>
      <c r="J1250" s="57" t="str">
        <f aca="false">IF($I1250="","",INDEX(BookRate,1245)*(1+'5. Scenarios'!$C$10)*$I1250)</f>
        <v/>
      </c>
      <c r="K1250" s="57" t="str">
        <f aca="false">IF($J1250="","",SUMIFS($J$6:$J$2405,$A$6:$A$2405,"&lt;="&amp;$A1250))</f>
        <v/>
      </c>
      <c r="L1250" s="57" t="str">
        <f aca="false">IF($J1250="","",IF($K1250&lt;=BankCostEnvelope*'5. Scenarios'!$C$7,1,0))</f>
        <v/>
      </c>
      <c r="M1250" s="57" t="str">
        <f aca="false">IF($I1250="","",INDEX(BookRate,1245)*(1+'5. Scenarios'!$C$10)*(INDEX(BookQ1,1245)*(5-MIN(4,1+'5. Scenarios'!$C$8))/4+INDEX(BookQ2,1245)*(5-MIN(4,2+'5. Scenarios'!$C$8))/4+INDEX(BookQ3,1245)*(5-MIN(4,3+'5. Scenarios'!$C$8))/4+INDEX(BookQ4,1245)*(5-MIN(4,4+'5. Scenarios'!$C$8))/4)*'5. Scenarios'!$C$6/(1+ProductivityDefault*('5. Scenarios'!$C$11-1))+INDEX(BookOneOff,1245)*$I1250)</f>
        <v/>
      </c>
      <c r="N1250" s="56" t="str">
        <f aca="false">IF(INDEX(BookTitle,1245)="","",INDEX(BookTotal,1245)*'5. Scenarios'!$D$6/(1+ProductivityDefault*('5. Scenarios'!$D$11-1)))</f>
        <v/>
      </c>
      <c r="O1250" s="57" t="str">
        <f aca="false">IF($N1250="","",INDEX(BookRate,1245)*(1+'5. Scenarios'!$D$10)*$N1250)</f>
        <v/>
      </c>
      <c r="P1250" s="57" t="str">
        <f aca="false">IF($O1250="","",SUMIFS($O$6:$O$2405,$A$6:$A$2405,"&lt;="&amp;$A1250))</f>
        <v/>
      </c>
      <c r="Q1250" s="57" t="str">
        <f aca="false">IF($O1250="","",IF($P1250&lt;=BankCostEnvelope*'5. Scenarios'!$D$7,1,0))</f>
        <v/>
      </c>
      <c r="R1250" s="57" t="str">
        <f aca="false">IF($N1250="","",INDEX(BookRate,1245)*(1+'5. Scenarios'!$D$10)*(INDEX(BookQ1,1245)*(5-MIN(4,1+'5. Scenarios'!$D$8))/4+INDEX(BookQ2,1245)*(5-MIN(4,2+'5. Scenarios'!$D$8))/4+INDEX(BookQ3,1245)*(5-MIN(4,3+'5. Scenarios'!$D$8))/4+INDEX(BookQ4,1245)*(5-MIN(4,4+'5. Scenarios'!$D$8))/4)*'5. Scenarios'!$D$6/(1+ProductivityDefault*('5. Scenarios'!$D$11-1))+INDEX(BookOneOff,1245)*$N1250)</f>
        <v/>
      </c>
      <c r="S1250" s="56" t="str">
        <f aca="false">IF(INDEX(BookTitle,1245)="","",INDEX(BookTotal,1245)*'5. Scenarios'!$E$6/(1+ProductivityDefault*('5. Scenarios'!$E$11-1)))</f>
        <v/>
      </c>
      <c r="T1250" s="57" t="str">
        <f aca="false">IF($S1250="","",INDEX(BookRate,1245)*(1+'5. Scenarios'!$E$10)*$S1250)</f>
        <v/>
      </c>
      <c r="U1250" s="57" t="str">
        <f aca="false">IF($T1250="","",SUMIFS($T$6:$T$2405,$A$6:$A$2405,"&lt;="&amp;$A1250))</f>
        <v/>
      </c>
      <c r="V1250" s="57" t="str">
        <f aca="false">IF($T1250="","",IF($U1250&lt;=BankCostEnvelope*'5. Scenarios'!$E$7,1,0))</f>
        <v/>
      </c>
      <c r="W1250" s="57" t="str">
        <f aca="false">IF($S1250="","",INDEX(BookRate,1245)*(1+'5. Scenarios'!$E$10)*(INDEX(BookQ1,1245)*(5-MIN(4,1+'5. Scenarios'!$E$8))/4+INDEX(BookQ2,1245)*(5-MIN(4,2+'5. Scenarios'!$E$8))/4+INDEX(BookQ3,1245)*(5-MIN(4,3+'5. Scenarios'!$E$8))/4+INDEX(BookQ4,1245)*(5-MIN(4,4+'5. Scenarios'!$E$8))/4)*'5. Scenarios'!$E$6/(1+ProductivityDefault*('5. Scenarios'!$E$11-1))+INDEX(BookOneOff,1245)*$S1250)</f>
        <v/>
      </c>
    </row>
    <row r="1251" customFormat="false" ht="15" hidden="false" customHeight="false" outlineLevel="0" collapsed="false">
      <c r="A1251" s="0" t="str">
        <f aca="false">IF(INDEX(BookTitle,1246)="","",INDEX(BookKey,1246))</f>
        <v/>
      </c>
      <c r="B1251" s="0" t="str">
        <f aca="false">IF(INDEX(BookTitle,1246)="","",INDEX(BookGroup,1246))</f>
        <v/>
      </c>
      <c r="C1251" s="0" t="str">
        <f aca="false">IF(INDEX(BookTitle,1246)="","",INDEX(BookCategory,1246))</f>
        <v/>
      </c>
      <c r="D1251" s="56" t="str">
        <f aca="false">IF(INDEX(BookTitle,1246)="","",INDEX(BookTotal,1246)*'5. Scenarios'!$B$6/(1+ProductivityDefault*('5. Scenarios'!$B$11-1)))</f>
        <v/>
      </c>
      <c r="E1251" s="57" t="str">
        <f aca="false">IF($D1251="","",INDEX(BookRate,1246)*(1+'5. Scenarios'!$B$10)*$D1251)</f>
        <v/>
      </c>
      <c r="F1251" s="57" t="str">
        <f aca="false">IF($E1251="","",SUMIFS($E$6:$E$2405,$A$6:$A$2405,"&lt;="&amp;$A1251))</f>
        <v/>
      </c>
      <c r="G1251" s="57" t="str">
        <f aca="false">IF($E1251="","",IF($F1251&lt;=BankCostEnvelope*'5. Scenarios'!$B$7,1,0))</f>
        <v/>
      </c>
      <c r="H1251" s="57" t="str">
        <f aca="false">IF($D1251="","",INDEX(BookRate,1246)*(1+'5. Scenarios'!$B$10)*(INDEX(BookQ1,1246)*(5-MIN(4,1+'5. Scenarios'!$B$8))/4+INDEX(BookQ2,1246)*(5-MIN(4,2+'5. Scenarios'!$B$8))/4+INDEX(BookQ3,1246)*(5-MIN(4,3+'5. Scenarios'!$B$8))/4+INDEX(BookQ4,1246)*(5-MIN(4,4+'5. Scenarios'!$B$8))/4)*'5. Scenarios'!$B$6/(1+ProductivityDefault*('5. Scenarios'!$B$11-1))+INDEX(BookOneOff,1246)*$D1251)</f>
        <v/>
      </c>
      <c r="I1251" s="56" t="str">
        <f aca="false">IF(INDEX(BookTitle,1246)="","",INDEX(BookTotal,1246)*'5. Scenarios'!$C$6/(1+ProductivityDefault*('5. Scenarios'!$C$11-1)))</f>
        <v/>
      </c>
      <c r="J1251" s="57" t="str">
        <f aca="false">IF($I1251="","",INDEX(BookRate,1246)*(1+'5. Scenarios'!$C$10)*$I1251)</f>
        <v/>
      </c>
      <c r="K1251" s="57" t="str">
        <f aca="false">IF($J1251="","",SUMIFS($J$6:$J$2405,$A$6:$A$2405,"&lt;="&amp;$A1251))</f>
        <v/>
      </c>
      <c r="L1251" s="57" t="str">
        <f aca="false">IF($J1251="","",IF($K1251&lt;=BankCostEnvelope*'5. Scenarios'!$C$7,1,0))</f>
        <v/>
      </c>
      <c r="M1251" s="57" t="str">
        <f aca="false">IF($I1251="","",INDEX(BookRate,1246)*(1+'5. Scenarios'!$C$10)*(INDEX(BookQ1,1246)*(5-MIN(4,1+'5. Scenarios'!$C$8))/4+INDEX(BookQ2,1246)*(5-MIN(4,2+'5. Scenarios'!$C$8))/4+INDEX(BookQ3,1246)*(5-MIN(4,3+'5. Scenarios'!$C$8))/4+INDEX(BookQ4,1246)*(5-MIN(4,4+'5. Scenarios'!$C$8))/4)*'5. Scenarios'!$C$6/(1+ProductivityDefault*('5. Scenarios'!$C$11-1))+INDEX(BookOneOff,1246)*$I1251)</f>
        <v/>
      </c>
      <c r="N1251" s="56" t="str">
        <f aca="false">IF(INDEX(BookTitle,1246)="","",INDEX(BookTotal,1246)*'5. Scenarios'!$D$6/(1+ProductivityDefault*('5. Scenarios'!$D$11-1)))</f>
        <v/>
      </c>
      <c r="O1251" s="57" t="str">
        <f aca="false">IF($N1251="","",INDEX(BookRate,1246)*(1+'5. Scenarios'!$D$10)*$N1251)</f>
        <v/>
      </c>
      <c r="P1251" s="57" t="str">
        <f aca="false">IF($O1251="","",SUMIFS($O$6:$O$2405,$A$6:$A$2405,"&lt;="&amp;$A1251))</f>
        <v/>
      </c>
      <c r="Q1251" s="57" t="str">
        <f aca="false">IF($O1251="","",IF($P1251&lt;=BankCostEnvelope*'5. Scenarios'!$D$7,1,0))</f>
        <v/>
      </c>
      <c r="R1251" s="57" t="str">
        <f aca="false">IF($N1251="","",INDEX(BookRate,1246)*(1+'5. Scenarios'!$D$10)*(INDEX(BookQ1,1246)*(5-MIN(4,1+'5. Scenarios'!$D$8))/4+INDEX(BookQ2,1246)*(5-MIN(4,2+'5. Scenarios'!$D$8))/4+INDEX(BookQ3,1246)*(5-MIN(4,3+'5. Scenarios'!$D$8))/4+INDEX(BookQ4,1246)*(5-MIN(4,4+'5. Scenarios'!$D$8))/4)*'5. Scenarios'!$D$6/(1+ProductivityDefault*('5. Scenarios'!$D$11-1))+INDEX(BookOneOff,1246)*$N1251)</f>
        <v/>
      </c>
      <c r="S1251" s="56" t="str">
        <f aca="false">IF(INDEX(BookTitle,1246)="","",INDEX(BookTotal,1246)*'5. Scenarios'!$E$6/(1+ProductivityDefault*('5. Scenarios'!$E$11-1)))</f>
        <v/>
      </c>
      <c r="T1251" s="57" t="str">
        <f aca="false">IF($S1251="","",INDEX(BookRate,1246)*(1+'5. Scenarios'!$E$10)*$S1251)</f>
        <v/>
      </c>
      <c r="U1251" s="57" t="str">
        <f aca="false">IF($T1251="","",SUMIFS($T$6:$T$2405,$A$6:$A$2405,"&lt;="&amp;$A1251))</f>
        <v/>
      </c>
      <c r="V1251" s="57" t="str">
        <f aca="false">IF($T1251="","",IF($U1251&lt;=BankCostEnvelope*'5. Scenarios'!$E$7,1,0))</f>
        <v/>
      </c>
      <c r="W1251" s="57" t="str">
        <f aca="false">IF($S1251="","",INDEX(BookRate,1246)*(1+'5. Scenarios'!$E$10)*(INDEX(BookQ1,1246)*(5-MIN(4,1+'5. Scenarios'!$E$8))/4+INDEX(BookQ2,1246)*(5-MIN(4,2+'5. Scenarios'!$E$8))/4+INDEX(BookQ3,1246)*(5-MIN(4,3+'5. Scenarios'!$E$8))/4+INDEX(BookQ4,1246)*(5-MIN(4,4+'5. Scenarios'!$E$8))/4)*'5. Scenarios'!$E$6/(1+ProductivityDefault*('5. Scenarios'!$E$11-1))+INDEX(BookOneOff,1246)*$S1251)</f>
        <v/>
      </c>
    </row>
    <row r="1252" customFormat="false" ht="15" hidden="false" customHeight="false" outlineLevel="0" collapsed="false">
      <c r="A1252" s="0" t="str">
        <f aca="false">IF(INDEX(BookTitle,1247)="","",INDEX(BookKey,1247))</f>
        <v/>
      </c>
      <c r="B1252" s="0" t="str">
        <f aca="false">IF(INDEX(BookTitle,1247)="","",INDEX(BookGroup,1247))</f>
        <v/>
      </c>
      <c r="C1252" s="0" t="str">
        <f aca="false">IF(INDEX(BookTitle,1247)="","",INDEX(BookCategory,1247))</f>
        <v/>
      </c>
      <c r="D1252" s="56" t="str">
        <f aca="false">IF(INDEX(BookTitle,1247)="","",INDEX(BookTotal,1247)*'5. Scenarios'!$B$6/(1+ProductivityDefault*('5. Scenarios'!$B$11-1)))</f>
        <v/>
      </c>
      <c r="E1252" s="57" t="str">
        <f aca="false">IF($D1252="","",INDEX(BookRate,1247)*(1+'5. Scenarios'!$B$10)*$D1252)</f>
        <v/>
      </c>
      <c r="F1252" s="57" t="str">
        <f aca="false">IF($E1252="","",SUMIFS($E$6:$E$2405,$A$6:$A$2405,"&lt;="&amp;$A1252))</f>
        <v/>
      </c>
      <c r="G1252" s="57" t="str">
        <f aca="false">IF($E1252="","",IF($F1252&lt;=BankCostEnvelope*'5. Scenarios'!$B$7,1,0))</f>
        <v/>
      </c>
      <c r="H1252" s="57" t="str">
        <f aca="false">IF($D1252="","",INDEX(BookRate,1247)*(1+'5. Scenarios'!$B$10)*(INDEX(BookQ1,1247)*(5-MIN(4,1+'5. Scenarios'!$B$8))/4+INDEX(BookQ2,1247)*(5-MIN(4,2+'5. Scenarios'!$B$8))/4+INDEX(BookQ3,1247)*(5-MIN(4,3+'5. Scenarios'!$B$8))/4+INDEX(BookQ4,1247)*(5-MIN(4,4+'5. Scenarios'!$B$8))/4)*'5. Scenarios'!$B$6/(1+ProductivityDefault*('5. Scenarios'!$B$11-1))+INDEX(BookOneOff,1247)*$D1252)</f>
        <v/>
      </c>
      <c r="I1252" s="56" t="str">
        <f aca="false">IF(INDEX(BookTitle,1247)="","",INDEX(BookTotal,1247)*'5. Scenarios'!$C$6/(1+ProductivityDefault*('5. Scenarios'!$C$11-1)))</f>
        <v/>
      </c>
      <c r="J1252" s="57" t="str">
        <f aca="false">IF($I1252="","",INDEX(BookRate,1247)*(1+'5. Scenarios'!$C$10)*$I1252)</f>
        <v/>
      </c>
      <c r="K1252" s="57" t="str">
        <f aca="false">IF($J1252="","",SUMIFS($J$6:$J$2405,$A$6:$A$2405,"&lt;="&amp;$A1252))</f>
        <v/>
      </c>
      <c r="L1252" s="57" t="str">
        <f aca="false">IF($J1252="","",IF($K1252&lt;=BankCostEnvelope*'5. Scenarios'!$C$7,1,0))</f>
        <v/>
      </c>
      <c r="M1252" s="57" t="str">
        <f aca="false">IF($I1252="","",INDEX(BookRate,1247)*(1+'5. Scenarios'!$C$10)*(INDEX(BookQ1,1247)*(5-MIN(4,1+'5. Scenarios'!$C$8))/4+INDEX(BookQ2,1247)*(5-MIN(4,2+'5. Scenarios'!$C$8))/4+INDEX(BookQ3,1247)*(5-MIN(4,3+'5. Scenarios'!$C$8))/4+INDEX(BookQ4,1247)*(5-MIN(4,4+'5. Scenarios'!$C$8))/4)*'5. Scenarios'!$C$6/(1+ProductivityDefault*('5. Scenarios'!$C$11-1))+INDEX(BookOneOff,1247)*$I1252)</f>
        <v/>
      </c>
      <c r="N1252" s="56" t="str">
        <f aca="false">IF(INDEX(BookTitle,1247)="","",INDEX(BookTotal,1247)*'5. Scenarios'!$D$6/(1+ProductivityDefault*('5. Scenarios'!$D$11-1)))</f>
        <v/>
      </c>
      <c r="O1252" s="57" t="str">
        <f aca="false">IF($N1252="","",INDEX(BookRate,1247)*(1+'5. Scenarios'!$D$10)*$N1252)</f>
        <v/>
      </c>
      <c r="P1252" s="57" t="str">
        <f aca="false">IF($O1252="","",SUMIFS($O$6:$O$2405,$A$6:$A$2405,"&lt;="&amp;$A1252))</f>
        <v/>
      </c>
      <c r="Q1252" s="57" t="str">
        <f aca="false">IF($O1252="","",IF($P1252&lt;=BankCostEnvelope*'5. Scenarios'!$D$7,1,0))</f>
        <v/>
      </c>
      <c r="R1252" s="57" t="str">
        <f aca="false">IF($N1252="","",INDEX(BookRate,1247)*(1+'5. Scenarios'!$D$10)*(INDEX(BookQ1,1247)*(5-MIN(4,1+'5. Scenarios'!$D$8))/4+INDEX(BookQ2,1247)*(5-MIN(4,2+'5. Scenarios'!$D$8))/4+INDEX(BookQ3,1247)*(5-MIN(4,3+'5. Scenarios'!$D$8))/4+INDEX(BookQ4,1247)*(5-MIN(4,4+'5. Scenarios'!$D$8))/4)*'5. Scenarios'!$D$6/(1+ProductivityDefault*('5. Scenarios'!$D$11-1))+INDEX(BookOneOff,1247)*$N1252)</f>
        <v/>
      </c>
      <c r="S1252" s="56" t="str">
        <f aca="false">IF(INDEX(BookTitle,1247)="","",INDEX(BookTotal,1247)*'5. Scenarios'!$E$6/(1+ProductivityDefault*('5. Scenarios'!$E$11-1)))</f>
        <v/>
      </c>
      <c r="T1252" s="57" t="str">
        <f aca="false">IF($S1252="","",INDEX(BookRate,1247)*(1+'5. Scenarios'!$E$10)*$S1252)</f>
        <v/>
      </c>
      <c r="U1252" s="57" t="str">
        <f aca="false">IF($T1252="","",SUMIFS($T$6:$T$2405,$A$6:$A$2405,"&lt;="&amp;$A1252))</f>
        <v/>
      </c>
      <c r="V1252" s="57" t="str">
        <f aca="false">IF($T1252="","",IF($U1252&lt;=BankCostEnvelope*'5. Scenarios'!$E$7,1,0))</f>
        <v/>
      </c>
      <c r="W1252" s="57" t="str">
        <f aca="false">IF($S1252="","",INDEX(BookRate,1247)*(1+'5. Scenarios'!$E$10)*(INDEX(BookQ1,1247)*(5-MIN(4,1+'5. Scenarios'!$E$8))/4+INDEX(BookQ2,1247)*(5-MIN(4,2+'5. Scenarios'!$E$8))/4+INDEX(BookQ3,1247)*(5-MIN(4,3+'5. Scenarios'!$E$8))/4+INDEX(BookQ4,1247)*(5-MIN(4,4+'5. Scenarios'!$E$8))/4)*'5. Scenarios'!$E$6/(1+ProductivityDefault*('5. Scenarios'!$E$11-1))+INDEX(BookOneOff,1247)*$S1252)</f>
        <v/>
      </c>
    </row>
    <row r="1253" customFormat="false" ht="15" hidden="false" customHeight="false" outlineLevel="0" collapsed="false">
      <c r="A1253" s="0" t="str">
        <f aca="false">IF(INDEX(BookTitle,1248)="","",INDEX(BookKey,1248))</f>
        <v/>
      </c>
      <c r="B1253" s="0" t="str">
        <f aca="false">IF(INDEX(BookTitle,1248)="","",INDEX(BookGroup,1248))</f>
        <v/>
      </c>
      <c r="C1253" s="0" t="str">
        <f aca="false">IF(INDEX(BookTitle,1248)="","",INDEX(BookCategory,1248))</f>
        <v/>
      </c>
      <c r="D1253" s="56" t="str">
        <f aca="false">IF(INDEX(BookTitle,1248)="","",INDEX(BookTotal,1248)*'5. Scenarios'!$B$6/(1+ProductivityDefault*('5. Scenarios'!$B$11-1)))</f>
        <v/>
      </c>
      <c r="E1253" s="57" t="str">
        <f aca="false">IF($D1253="","",INDEX(BookRate,1248)*(1+'5. Scenarios'!$B$10)*$D1253)</f>
        <v/>
      </c>
      <c r="F1253" s="57" t="str">
        <f aca="false">IF($E1253="","",SUMIFS($E$6:$E$2405,$A$6:$A$2405,"&lt;="&amp;$A1253))</f>
        <v/>
      </c>
      <c r="G1253" s="57" t="str">
        <f aca="false">IF($E1253="","",IF($F1253&lt;=BankCostEnvelope*'5. Scenarios'!$B$7,1,0))</f>
        <v/>
      </c>
      <c r="H1253" s="57" t="str">
        <f aca="false">IF($D1253="","",INDEX(BookRate,1248)*(1+'5. Scenarios'!$B$10)*(INDEX(BookQ1,1248)*(5-MIN(4,1+'5. Scenarios'!$B$8))/4+INDEX(BookQ2,1248)*(5-MIN(4,2+'5. Scenarios'!$B$8))/4+INDEX(BookQ3,1248)*(5-MIN(4,3+'5. Scenarios'!$B$8))/4+INDEX(BookQ4,1248)*(5-MIN(4,4+'5. Scenarios'!$B$8))/4)*'5. Scenarios'!$B$6/(1+ProductivityDefault*('5. Scenarios'!$B$11-1))+INDEX(BookOneOff,1248)*$D1253)</f>
        <v/>
      </c>
      <c r="I1253" s="56" t="str">
        <f aca="false">IF(INDEX(BookTitle,1248)="","",INDEX(BookTotal,1248)*'5. Scenarios'!$C$6/(1+ProductivityDefault*('5. Scenarios'!$C$11-1)))</f>
        <v/>
      </c>
      <c r="J1253" s="57" t="str">
        <f aca="false">IF($I1253="","",INDEX(BookRate,1248)*(1+'5. Scenarios'!$C$10)*$I1253)</f>
        <v/>
      </c>
      <c r="K1253" s="57" t="str">
        <f aca="false">IF($J1253="","",SUMIFS($J$6:$J$2405,$A$6:$A$2405,"&lt;="&amp;$A1253))</f>
        <v/>
      </c>
      <c r="L1253" s="57" t="str">
        <f aca="false">IF($J1253="","",IF($K1253&lt;=BankCostEnvelope*'5. Scenarios'!$C$7,1,0))</f>
        <v/>
      </c>
      <c r="M1253" s="57" t="str">
        <f aca="false">IF($I1253="","",INDEX(BookRate,1248)*(1+'5. Scenarios'!$C$10)*(INDEX(BookQ1,1248)*(5-MIN(4,1+'5. Scenarios'!$C$8))/4+INDEX(BookQ2,1248)*(5-MIN(4,2+'5. Scenarios'!$C$8))/4+INDEX(BookQ3,1248)*(5-MIN(4,3+'5. Scenarios'!$C$8))/4+INDEX(BookQ4,1248)*(5-MIN(4,4+'5. Scenarios'!$C$8))/4)*'5. Scenarios'!$C$6/(1+ProductivityDefault*('5. Scenarios'!$C$11-1))+INDEX(BookOneOff,1248)*$I1253)</f>
        <v/>
      </c>
      <c r="N1253" s="56" t="str">
        <f aca="false">IF(INDEX(BookTitle,1248)="","",INDEX(BookTotal,1248)*'5. Scenarios'!$D$6/(1+ProductivityDefault*('5. Scenarios'!$D$11-1)))</f>
        <v/>
      </c>
      <c r="O1253" s="57" t="str">
        <f aca="false">IF($N1253="","",INDEX(BookRate,1248)*(1+'5. Scenarios'!$D$10)*$N1253)</f>
        <v/>
      </c>
      <c r="P1253" s="57" t="str">
        <f aca="false">IF($O1253="","",SUMIFS($O$6:$O$2405,$A$6:$A$2405,"&lt;="&amp;$A1253))</f>
        <v/>
      </c>
      <c r="Q1253" s="57" t="str">
        <f aca="false">IF($O1253="","",IF($P1253&lt;=BankCostEnvelope*'5. Scenarios'!$D$7,1,0))</f>
        <v/>
      </c>
      <c r="R1253" s="57" t="str">
        <f aca="false">IF($N1253="","",INDEX(BookRate,1248)*(1+'5. Scenarios'!$D$10)*(INDEX(BookQ1,1248)*(5-MIN(4,1+'5. Scenarios'!$D$8))/4+INDEX(BookQ2,1248)*(5-MIN(4,2+'5. Scenarios'!$D$8))/4+INDEX(BookQ3,1248)*(5-MIN(4,3+'5. Scenarios'!$D$8))/4+INDEX(BookQ4,1248)*(5-MIN(4,4+'5. Scenarios'!$D$8))/4)*'5. Scenarios'!$D$6/(1+ProductivityDefault*('5. Scenarios'!$D$11-1))+INDEX(BookOneOff,1248)*$N1253)</f>
        <v/>
      </c>
      <c r="S1253" s="56" t="str">
        <f aca="false">IF(INDEX(BookTitle,1248)="","",INDEX(BookTotal,1248)*'5. Scenarios'!$E$6/(1+ProductivityDefault*('5. Scenarios'!$E$11-1)))</f>
        <v/>
      </c>
      <c r="T1253" s="57" t="str">
        <f aca="false">IF($S1253="","",INDEX(BookRate,1248)*(1+'5. Scenarios'!$E$10)*$S1253)</f>
        <v/>
      </c>
      <c r="U1253" s="57" t="str">
        <f aca="false">IF($T1253="","",SUMIFS($T$6:$T$2405,$A$6:$A$2405,"&lt;="&amp;$A1253))</f>
        <v/>
      </c>
      <c r="V1253" s="57" t="str">
        <f aca="false">IF($T1253="","",IF($U1253&lt;=BankCostEnvelope*'5. Scenarios'!$E$7,1,0))</f>
        <v/>
      </c>
      <c r="W1253" s="57" t="str">
        <f aca="false">IF($S1253="","",INDEX(BookRate,1248)*(1+'5. Scenarios'!$E$10)*(INDEX(BookQ1,1248)*(5-MIN(4,1+'5. Scenarios'!$E$8))/4+INDEX(BookQ2,1248)*(5-MIN(4,2+'5. Scenarios'!$E$8))/4+INDEX(BookQ3,1248)*(5-MIN(4,3+'5. Scenarios'!$E$8))/4+INDEX(BookQ4,1248)*(5-MIN(4,4+'5. Scenarios'!$E$8))/4)*'5. Scenarios'!$E$6/(1+ProductivityDefault*('5. Scenarios'!$E$11-1))+INDEX(BookOneOff,1248)*$S1253)</f>
        <v/>
      </c>
    </row>
    <row r="1254" customFormat="false" ht="15" hidden="false" customHeight="false" outlineLevel="0" collapsed="false">
      <c r="A1254" s="0" t="str">
        <f aca="false">IF(INDEX(BookTitle,1249)="","",INDEX(BookKey,1249))</f>
        <v/>
      </c>
      <c r="B1254" s="0" t="str">
        <f aca="false">IF(INDEX(BookTitle,1249)="","",INDEX(BookGroup,1249))</f>
        <v/>
      </c>
      <c r="C1254" s="0" t="str">
        <f aca="false">IF(INDEX(BookTitle,1249)="","",INDEX(BookCategory,1249))</f>
        <v/>
      </c>
      <c r="D1254" s="56" t="str">
        <f aca="false">IF(INDEX(BookTitle,1249)="","",INDEX(BookTotal,1249)*'5. Scenarios'!$B$6/(1+ProductivityDefault*('5. Scenarios'!$B$11-1)))</f>
        <v/>
      </c>
      <c r="E1254" s="57" t="str">
        <f aca="false">IF($D1254="","",INDEX(BookRate,1249)*(1+'5. Scenarios'!$B$10)*$D1254)</f>
        <v/>
      </c>
      <c r="F1254" s="57" t="str">
        <f aca="false">IF($E1254="","",SUMIFS($E$6:$E$2405,$A$6:$A$2405,"&lt;="&amp;$A1254))</f>
        <v/>
      </c>
      <c r="G1254" s="57" t="str">
        <f aca="false">IF($E1254="","",IF($F1254&lt;=BankCostEnvelope*'5. Scenarios'!$B$7,1,0))</f>
        <v/>
      </c>
      <c r="H1254" s="57" t="str">
        <f aca="false">IF($D1254="","",INDEX(BookRate,1249)*(1+'5. Scenarios'!$B$10)*(INDEX(BookQ1,1249)*(5-MIN(4,1+'5. Scenarios'!$B$8))/4+INDEX(BookQ2,1249)*(5-MIN(4,2+'5. Scenarios'!$B$8))/4+INDEX(BookQ3,1249)*(5-MIN(4,3+'5. Scenarios'!$B$8))/4+INDEX(BookQ4,1249)*(5-MIN(4,4+'5. Scenarios'!$B$8))/4)*'5. Scenarios'!$B$6/(1+ProductivityDefault*('5. Scenarios'!$B$11-1))+INDEX(BookOneOff,1249)*$D1254)</f>
        <v/>
      </c>
      <c r="I1254" s="56" t="str">
        <f aca="false">IF(INDEX(BookTitle,1249)="","",INDEX(BookTotal,1249)*'5. Scenarios'!$C$6/(1+ProductivityDefault*('5. Scenarios'!$C$11-1)))</f>
        <v/>
      </c>
      <c r="J1254" s="57" t="str">
        <f aca="false">IF($I1254="","",INDEX(BookRate,1249)*(1+'5. Scenarios'!$C$10)*$I1254)</f>
        <v/>
      </c>
      <c r="K1254" s="57" t="str">
        <f aca="false">IF($J1254="","",SUMIFS($J$6:$J$2405,$A$6:$A$2405,"&lt;="&amp;$A1254))</f>
        <v/>
      </c>
      <c r="L1254" s="57" t="str">
        <f aca="false">IF($J1254="","",IF($K1254&lt;=BankCostEnvelope*'5. Scenarios'!$C$7,1,0))</f>
        <v/>
      </c>
      <c r="M1254" s="57" t="str">
        <f aca="false">IF($I1254="","",INDEX(BookRate,1249)*(1+'5. Scenarios'!$C$10)*(INDEX(BookQ1,1249)*(5-MIN(4,1+'5. Scenarios'!$C$8))/4+INDEX(BookQ2,1249)*(5-MIN(4,2+'5. Scenarios'!$C$8))/4+INDEX(BookQ3,1249)*(5-MIN(4,3+'5. Scenarios'!$C$8))/4+INDEX(BookQ4,1249)*(5-MIN(4,4+'5. Scenarios'!$C$8))/4)*'5. Scenarios'!$C$6/(1+ProductivityDefault*('5. Scenarios'!$C$11-1))+INDEX(BookOneOff,1249)*$I1254)</f>
        <v/>
      </c>
      <c r="N1254" s="56" t="str">
        <f aca="false">IF(INDEX(BookTitle,1249)="","",INDEX(BookTotal,1249)*'5. Scenarios'!$D$6/(1+ProductivityDefault*('5. Scenarios'!$D$11-1)))</f>
        <v/>
      </c>
      <c r="O1254" s="57" t="str">
        <f aca="false">IF($N1254="","",INDEX(BookRate,1249)*(1+'5. Scenarios'!$D$10)*$N1254)</f>
        <v/>
      </c>
      <c r="P1254" s="57" t="str">
        <f aca="false">IF($O1254="","",SUMIFS($O$6:$O$2405,$A$6:$A$2405,"&lt;="&amp;$A1254))</f>
        <v/>
      </c>
      <c r="Q1254" s="57" t="str">
        <f aca="false">IF($O1254="","",IF($P1254&lt;=BankCostEnvelope*'5. Scenarios'!$D$7,1,0))</f>
        <v/>
      </c>
      <c r="R1254" s="57" t="str">
        <f aca="false">IF($N1254="","",INDEX(BookRate,1249)*(1+'5. Scenarios'!$D$10)*(INDEX(BookQ1,1249)*(5-MIN(4,1+'5. Scenarios'!$D$8))/4+INDEX(BookQ2,1249)*(5-MIN(4,2+'5. Scenarios'!$D$8))/4+INDEX(BookQ3,1249)*(5-MIN(4,3+'5. Scenarios'!$D$8))/4+INDEX(BookQ4,1249)*(5-MIN(4,4+'5. Scenarios'!$D$8))/4)*'5. Scenarios'!$D$6/(1+ProductivityDefault*('5. Scenarios'!$D$11-1))+INDEX(BookOneOff,1249)*$N1254)</f>
        <v/>
      </c>
      <c r="S1254" s="56" t="str">
        <f aca="false">IF(INDEX(BookTitle,1249)="","",INDEX(BookTotal,1249)*'5. Scenarios'!$E$6/(1+ProductivityDefault*('5. Scenarios'!$E$11-1)))</f>
        <v/>
      </c>
      <c r="T1254" s="57" t="str">
        <f aca="false">IF($S1254="","",INDEX(BookRate,1249)*(1+'5. Scenarios'!$E$10)*$S1254)</f>
        <v/>
      </c>
      <c r="U1254" s="57" t="str">
        <f aca="false">IF($T1254="","",SUMIFS($T$6:$T$2405,$A$6:$A$2405,"&lt;="&amp;$A1254))</f>
        <v/>
      </c>
      <c r="V1254" s="57" t="str">
        <f aca="false">IF($T1254="","",IF($U1254&lt;=BankCostEnvelope*'5. Scenarios'!$E$7,1,0))</f>
        <v/>
      </c>
      <c r="W1254" s="57" t="str">
        <f aca="false">IF($S1254="","",INDEX(BookRate,1249)*(1+'5. Scenarios'!$E$10)*(INDEX(BookQ1,1249)*(5-MIN(4,1+'5. Scenarios'!$E$8))/4+INDEX(BookQ2,1249)*(5-MIN(4,2+'5. Scenarios'!$E$8))/4+INDEX(BookQ3,1249)*(5-MIN(4,3+'5. Scenarios'!$E$8))/4+INDEX(BookQ4,1249)*(5-MIN(4,4+'5. Scenarios'!$E$8))/4)*'5. Scenarios'!$E$6/(1+ProductivityDefault*('5. Scenarios'!$E$11-1))+INDEX(BookOneOff,1249)*$S1254)</f>
        <v/>
      </c>
    </row>
    <row r="1255" customFormat="false" ht="15" hidden="false" customHeight="false" outlineLevel="0" collapsed="false">
      <c r="A1255" s="0" t="str">
        <f aca="false">IF(INDEX(BookTitle,1250)="","",INDEX(BookKey,1250))</f>
        <v/>
      </c>
      <c r="B1255" s="0" t="str">
        <f aca="false">IF(INDEX(BookTitle,1250)="","",INDEX(BookGroup,1250))</f>
        <v/>
      </c>
      <c r="C1255" s="0" t="str">
        <f aca="false">IF(INDEX(BookTitle,1250)="","",INDEX(BookCategory,1250))</f>
        <v/>
      </c>
      <c r="D1255" s="56" t="str">
        <f aca="false">IF(INDEX(BookTitle,1250)="","",INDEX(BookTotal,1250)*'5. Scenarios'!$B$6/(1+ProductivityDefault*('5. Scenarios'!$B$11-1)))</f>
        <v/>
      </c>
      <c r="E1255" s="57" t="str">
        <f aca="false">IF($D1255="","",INDEX(BookRate,1250)*(1+'5. Scenarios'!$B$10)*$D1255)</f>
        <v/>
      </c>
      <c r="F1255" s="57" t="str">
        <f aca="false">IF($E1255="","",SUMIFS($E$6:$E$2405,$A$6:$A$2405,"&lt;="&amp;$A1255))</f>
        <v/>
      </c>
      <c r="G1255" s="57" t="str">
        <f aca="false">IF($E1255="","",IF($F1255&lt;=BankCostEnvelope*'5. Scenarios'!$B$7,1,0))</f>
        <v/>
      </c>
      <c r="H1255" s="57" t="str">
        <f aca="false">IF($D1255="","",INDEX(BookRate,1250)*(1+'5. Scenarios'!$B$10)*(INDEX(BookQ1,1250)*(5-MIN(4,1+'5. Scenarios'!$B$8))/4+INDEX(BookQ2,1250)*(5-MIN(4,2+'5. Scenarios'!$B$8))/4+INDEX(BookQ3,1250)*(5-MIN(4,3+'5. Scenarios'!$B$8))/4+INDEX(BookQ4,1250)*(5-MIN(4,4+'5. Scenarios'!$B$8))/4)*'5. Scenarios'!$B$6/(1+ProductivityDefault*('5. Scenarios'!$B$11-1))+INDEX(BookOneOff,1250)*$D1255)</f>
        <v/>
      </c>
      <c r="I1255" s="56" t="str">
        <f aca="false">IF(INDEX(BookTitle,1250)="","",INDEX(BookTotal,1250)*'5. Scenarios'!$C$6/(1+ProductivityDefault*('5. Scenarios'!$C$11-1)))</f>
        <v/>
      </c>
      <c r="J1255" s="57" t="str">
        <f aca="false">IF($I1255="","",INDEX(BookRate,1250)*(1+'5. Scenarios'!$C$10)*$I1255)</f>
        <v/>
      </c>
      <c r="K1255" s="57" t="str">
        <f aca="false">IF($J1255="","",SUMIFS($J$6:$J$2405,$A$6:$A$2405,"&lt;="&amp;$A1255))</f>
        <v/>
      </c>
      <c r="L1255" s="57" t="str">
        <f aca="false">IF($J1255="","",IF($K1255&lt;=BankCostEnvelope*'5. Scenarios'!$C$7,1,0))</f>
        <v/>
      </c>
      <c r="M1255" s="57" t="str">
        <f aca="false">IF($I1255="","",INDEX(BookRate,1250)*(1+'5. Scenarios'!$C$10)*(INDEX(BookQ1,1250)*(5-MIN(4,1+'5. Scenarios'!$C$8))/4+INDEX(BookQ2,1250)*(5-MIN(4,2+'5. Scenarios'!$C$8))/4+INDEX(BookQ3,1250)*(5-MIN(4,3+'5. Scenarios'!$C$8))/4+INDEX(BookQ4,1250)*(5-MIN(4,4+'5. Scenarios'!$C$8))/4)*'5. Scenarios'!$C$6/(1+ProductivityDefault*('5. Scenarios'!$C$11-1))+INDEX(BookOneOff,1250)*$I1255)</f>
        <v/>
      </c>
      <c r="N1255" s="56" t="str">
        <f aca="false">IF(INDEX(BookTitle,1250)="","",INDEX(BookTotal,1250)*'5. Scenarios'!$D$6/(1+ProductivityDefault*('5. Scenarios'!$D$11-1)))</f>
        <v/>
      </c>
      <c r="O1255" s="57" t="str">
        <f aca="false">IF($N1255="","",INDEX(BookRate,1250)*(1+'5. Scenarios'!$D$10)*$N1255)</f>
        <v/>
      </c>
      <c r="P1255" s="57" t="str">
        <f aca="false">IF($O1255="","",SUMIFS($O$6:$O$2405,$A$6:$A$2405,"&lt;="&amp;$A1255))</f>
        <v/>
      </c>
      <c r="Q1255" s="57" t="str">
        <f aca="false">IF($O1255="","",IF($P1255&lt;=BankCostEnvelope*'5. Scenarios'!$D$7,1,0))</f>
        <v/>
      </c>
      <c r="R1255" s="57" t="str">
        <f aca="false">IF($N1255="","",INDEX(BookRate,1250)*(1+'5. Scenarios'!$D$10)*(INDEX(BookQ1,1250)*(5-MIN(4,1+'5. Scenarios'!$D$8))/4+INDEX(BookQ2,1250)*(5-MIN(4,2+'5. Scenarios'!$D$8))/4+INDEX(BookQ3,1250)*(5-MIN(4,3+'5. Scenarios'!$D$8))/4+INDEX(BookQ4,1250)*(5-MIN(4,4+'5. Scenarios'!$D$8))/4)*'5. Scenarios'!$D$6/(1+ProductivityDefault*('5. Scenarios'!$D$11-1))+INDEX(BookOneOff,1250)*$N1255)</f>
        <v/>
      </c>
      <c r="S1255" s="56" t="str">
        <f aca="false">IF(INDEX(BookTitle,1250)="","",INDEX(BookTotal,1250)*'5. Scenarios'!$E$6/(1+ProductivityDefault*('5. Scenarios'!$E$11-1)))</f>
        <v/>
      </c>
      <c r="T1255" s="57" t="str">
        <f aca="false">IF($S1255="","",INDEX(BookRate,1250)*(1+'5. Scenarios'!$E$10)*$S1255)</f>
        <v/>
      </c>
      <c r="U1255" s="57" t="str">
        <f aca="false">IF($T1255="","",SUMIFS($T$6:$T$2405,$A$6:$A$2405,"&lt;="&amp;$A1255))</f>
        <v/>
      </c>
      <c r="V1255" s="57" t="str">
        <f aca="false">IF($T1255="","",IF($U1255&lt;=BankCostEnvelope*'5. Scenarios'!$E$7,1,0))</f>
        <v/>
      </c>
      <c r="W1255" s="57" t="str">
        <f aca="false">IF($S1255="","",INDEX(BookRate,1250)*(1+'5. Scenarios'!$E$10)*(INDEX(BookQ1,1250)*(5-MIN(4,1+'5. Scenarios'!$E$8))/4+INDEX(BookQ2,1250)*(5-MIN(4,2+'5. Scenarios'!$E$8))/4+INDEX(BookQ3,1250)*(5-MIN(4,3+'5. Scenarios'!$E$8))/4+INDEX(BookQ4,1250)*(5-MIN(4,4+'5. Scenarios'!$E$8))/4)*'5. Scenarios'!$E$6/(1+ProductivityDefault*('5. Scenarios'!$E$11-1))+INDEX(BookOneOff,1250)*$S1255)</f>
        <v/>
      </c>
    </row>
    <row r="1256" customFormat="false" ht="15" hidden="false" customHeight="false" outlineLevel="0" collapsed="false">
      <c r="A1256" s="0" t="str">
        <f aca="false">IF(INDEX(BookTitle,1251)="","",INDEX(BookKey,1251))</f>
        <v/>
      </c>
      <c r="B1256" s="0" t="str">
        <f aca="false">IF(INDEX(BookTitle,1251)="","",INDEX(BookGroup,1251))</f>
        <v/>
      </c>
      <c r="C1256" s="0" t="str">
        <f aca="false">IF(INDEX(BookTitle,1251)="","",INDEX(BookCategory,1251))</f>
        <v/>
      </c>
      <c r="D1256" s="56" t="str">
        <f aca="false">IF(INDEX(BookTitle,1251)="","",INDEX(BookTotal,1251)*'5. Scenarios'!$B$6/(1+ProductivityDefault*('5. Scenarios'!$B$11-1)))</f>
        <v/>
      </c>
      <c r="E1256" s="57" t="str">
        <f aca="false">IF($D1256="","",INDEX(BookRate,1251)*(1+'5. Scenarios'!$B$10)*$D1256)</f>
        <v/>
      </c>
      <c r="F1256" s="57" t="str">
        <f aca="false">IF($E1256="","",SUMIFS($E$6:$E$2405,$A$6:$A$2405,"&lt;="&amp;$A1256))</f>
        <v/>
      </c>
      <c r="G1256" s="57" t="str">
        <f aca="false">IF($E1256="","",IF($F1256&lt;=BankCostEnvelope*'5. Scenarios'!$B$7,1,0))</f>
        <v/>
      </c>
      <c r="H1256" s="57" t="str">
        <f aca="false">IF($D1256="","",INDEX(BookRate,1251)*(1+'5. Scenarios'!$B$10)*(INDEX(BookQ1,1251)*(5-MIN(4,1+'5. Scenarios'!$B$8))/4+INDEX(BookQ2,1251)*(5-MIN(4,2+'5. Scenarios'!$B$8))/4+INDEX(BookQ3,1251)*(5-MIN(4,3+'5. Scenarios'!$B$8))/4+INDEX(BookQ4,1251)*(5-MIN(4,4+'5. Scenarios'!$B$8))/4)*'5. Scenarios'!$B$6/(1+ProductivityDefault*('5. Scenarios'!$B$11-1))+INDEX(BookOneOff,1251)*$D1256)</f>
        <v/>
      </c>
      <c r="I1256" s="56" t="str">
        <f aca="false">IF(INDEX(BookTitle,1251)="","",INDEX(BookTotal,1251)*'5. Scenarios'!$C$6/(1+ProductivityDefault*('5. Scenarios'!$C$11-1)))</f>
        <v/>
      </c>
      <c r="J1256" s="57" t="str">
        <f aca="false">IF($I1256="","",INDEX(BookRate,1251)*(1+'5. Scenarios'!$C$10)*$I1256)</f>
        <v/>
      </c>
      <c r="K1256" s="57" t="str">
        <f aca="false">IF($J1256="","",SUMIFS($J$6:$J$2405,$A$6:$A$2405,"&lt;="&amp;$A1256))</f>
        <v/>
      </c>
      <c r="L1256" s="57" t="str">
        <f aca="false">IF($J1256="","",IF($K1256&lt;=BankCostEnvelope*'5. Scenarios'!$C$7,1,0))</f>
        <v/>
      </c>
      <c r="M1256" s="57" t="str">
        <f aca="false">IF($I1256="","",INDEX(BookRate,1251)*(1+'5. Scenarios'!$C$10)*(INDEX(BookQ1,1251)*(5-MIN(4,1+'5. Scenarios'!$C$8))/4+INDEX(BookQ2,1251)*(5-MIN(4,2+'5. Scenarios'!$C$8))/4+INDEX(BookQ3,1251)*(5-MIN(4,3+'5. Scenarios'!$C$8))/4+INDEX(BookQ4,1251)*(5-MIN(4,4+'5. Scenarios'!$C$8))/4)*'5. Scenarios'!$C$6/(1+ProductivityDefault*('5. Scenarios'!$C$11-1))+INDEX(BookOneOff,1251)*$I1256)</f>
        <v/>
      </c>
      <c r="N1256" s="56" t="str">
        <f aca="false">IF(INDEX(BookTitle,1251)="","",INDEX(BookTotal,1251)*'5. Scenarios'!$D$6/(1+ProductivityDefault*('5. Scenarios'!$D$11-1)))</f>
        <v/>
      </c>
      <c r="O1256" s="57" t="str">
        <f aca="false">IF($N1256="","",INDEX(BookRate,1251)*(1+'5. Scenarios'!$D$10)*$N1256)</f>
        <v/>
      </c>
      <c r="P1256" s="57" t="str">
        <f aca="false">IF($O1256="","",SUMIFS($O$6:$O$2405,$A$6:$A$2405,"&lt;="&amp;$A1256))</f>
        <v/>
      </c>
      <c r="Q1256" s="57" t="str">
        <f aca="false">IF($O1256="","",IF($P1256&lt;=BankCostEnvelope*'5. Scenarios'!$D$7,1,0))</f>
        <v/>
      </c>
      <c r="R1256" s="57" t="str">
        <f aca="false">IF($N1256="","",INDEX(BookRate,1251)*(1+'5. Scenarios'!$D$10)*(INDEX(BookQ1,1251)*(5-MIN(4,1+'5. Scenarios'!$D$8))/4+INDEX(BookQ2,1251)*(5-MIN(4,2+'5. Scenarios'!$D$8))/4+INDEX(BookQ3,1251)*(5-MIN(4,3+'5. Scenarios'!$D$8))/4+INDEX(BookQ4,1251)*(5-MIN(4,4+'5. Scenarios'!$D$8))/4)*'5. Scenarios'!$D$6/(1+ProductivityDefault*('5. Scenarios'!$D$11-1))+INDEX(BookOneOff,1251)*$N1256)</f>
        <v/>
      </c>
      <c r="S1256" s="56" t="str">
        <f aca="false">IF(INDEX(BookTitle,1251)="","",INDEX(BookTotal,1251)*'5. Scenarios'!$E$6/(1+ProductivityDefault*('5. Scenarios'!$E$11-1)))</f>
        <v/>
      </c>
      <c r="T1256" s="57" t="str">
        <f aca="false">IF($S1256="","",INDEX(BookRate,1251)*(1+'5. Scenarios'!$E$10)*$S1256)</f>
        <v/>
      </c>
      <c r="U1256" s="57" t="str">
        <f aca="false">IF($T1256="","",SUMIFS($T$6:$T$2405,$A$6:$A$2405,"&lt;="&amp;$A1256))</f>
        <v/>
      </c>
      <c r="V1256" s="57" t="str">
        <f aca="false">IF($T1256="","",IF($U1256&lt;=BankCostEnvelope*'5. Scenarios'!$E$7,1,0))</f>
        <v/>
      </c>
      <c r="W1256" s="57" t="str">
        <f aca="false">IF($S1256="","",INDEX(BookRate,1251)*(1+'5. Scenarios'!$E$10)*(INDEX(BookQ1,1251)*(5-MIN(4,1+'5. Scenarios'!$E$8))/4+INDEX(BookQ2,1251)*(5-MIN(4,2+'5. Scenarios'!$E$8))/4+INDEX(BookQ3,1251)*(5-MIN(4,3+'5. Scenarios'!$E$8))/4+INDEX(BookQ4,1251)*(5-MIN(4,4+'5. Scenarios'!$E$8))/4)*'5. Scenarios'!$E$6/(1+ProductivityDefault*('5. Scenarios'!$E$11-1))+INDEX(BookOneOff,1251)*$S1256)</f>
        <v/>
      </c>
    </row>
    <row r="1257" customFormat="false" ht="15" hidden="false" customHeight="false" outlineLevel="0" collapsed="false">
      <c r="A1257" s="0" t="str">
        <f aca="false">IF(INDEX(BookTitle,1252)="","",INDEX(BookKey,1252))</f>
        <v/>
      </c>
      <c r="B1257" s="0" t="str">
        <f aca="false">IF(INDEX(BookTitle,1252)="","",INDEX(BookGroup,1252))</f>
        <v/>
      </c>
      <c r="C1257" s="0" t="str">
        <f aca="false">IF(INDEX(BookTitle,1252)="","",INDEX(BookCategory,1252))</f>
        <v/>
      </c>
      <c r="D1257" s="56" t="str">
        <f aca="false">IF(INDEX(BookTitle,1252)="","",INDEX(BookTotal,1252)*'5. Scenarios'!$B$6/(1+ProductivityDefault*('5. Scenarios'!$B$11-1)))</f>
        <v/>
      </c>
      <c r="E1257" s="57" t="str">
        <f aca="false">IF($D1257="","",INDEX(BookRate,1252)*(1+'5. Scenarios'!$B$10)*$D1257)</f>
        <v/>
      </c>
      <c r="F1257" s="57" t="str">
        <f aca="false">IF($E1257="","",SUMIFS($E$6:$E$2405,$A$6:$A$2405,"&lt;="&amp;$A1257))</f>
        <v/>
      </c>
      <c r="G1257" s="57" t="str">
        <f aca="false">IF($E1257="","",IF($F1257&lt;=BankCostEnvelope*'5. Scenarios'!$B$7,1,0))</f>
        <v/>
      </c>
      <c r="H1257" s="57" t="str">
        <f aca="false">IF($D1257="","",INDEX(BookRate,1252)*(1+'5. Scenarios'!$B$10)*(INDEX(BookQ1,1252)*(5-MIN(4,1+'5. Scenarios'!$B$8))/4+INDEX(BookQ2,1252)*(5-MIN(4,2+'5. Scenarios'!$B$8))/4+INDEX(BookQ3,1252)*(5-MIN(4,3+'5. Scenarios'!$B$8))/4+INDEX(BookQ4,1252)*(5-MIN(4,4+'5. Scenarios'!$B$8))/4)*'5. Scenarios'!$B$6/(1+ProductivityDefault*('5. Scenarios'!$B$11-1))+INDEX(BookOneOff,1252)*$D1257)</f>
        <v/>
      </c>
      <c r="I1257" s="56" t="str">
        <f aca="false">IF(INDEX(BookTitle,1252)="","",INDEX(BookTotal,1252)*'5. Scenarios'!$C$6/(1+ProductivityDefault*('5. Scenarios'!$C$11-1)))</f>
        <v/>
      </c>
      <c r="J1257" s="57" t="str">
        <f aca="false">IF($I1257="","",INDEX(BookRate,1252)*(1+'5. Scenarios'!$C$10)*$I1257)</f>
        <v/>
      </c>
      <c r="K1257" s="57" t="str">
        <f aca="false">IF($J1257="","",SUMIFS($J$6:$J$2405,$A$6:$A$2405,"&lt;="&amp;$A1257))</f>
        <v/>
      </c>
      <c r="L1257" s="57" t="str">
        <f aca="false">IF($J1257="","",IF($K1257&lt;=BankCostEnvelope*'5. Scenarios'!$C$7,1,0))</f>
        <v/>
      </c>
      <c r="M1257" s="57" t="str">
        <f aca="false">IF($I1257="","",INDEX(BookRate,1252)*(1+'5. Scenarios'!$C$10)*(INDEX(BookQ1,1252)*(5-MIN(4,1+'5. Scenarios'!$C$8))/4+INDEX(BookQ2,1252)*(5-MIN(4,2+'5. Scenarios'!$C$8))/4+INDEX(BookQ3,1252)*(5-MIN(4,3+'5. Scenarios'!$C$8))/4+INDEX(BookQ4,1252)*(5-MIN(4,4+'5. Scenarios'!$C$8))/4)*'5. Scenarios'!$C$6/(1+ProductivityDefault*('5. Scenarios'!$C$11-1))+INDEX(BookOneOff,1252)*$I1257)</f>
        <v/>
      </c>
      <c r="N1257" s="56" t="str">
        <f aca="false">IF(INDEX(BookTitle,1252)="","",INDEX(BookTotal,1252)*'5. Scenarios'!$D$6/(1+ProductivityDefault*('5. Scenarios'!$D$11-1)))</f>
        <v/>
      </c>
      <c r="O1257" s="57" t="str">
        <f aca="false">IF($N1257="","",INDEX(BookRate,1252)*(1+'5. Scenarios'!$D$10)*$N1257)</f>
        <v/>
      </c>
      <c r="P1257" s="57" t="str">
        <f aca="false">IF($O1257="","",SUMIFS($O$6:$O$2405,$A$6:$A$2405,"&lt;="&amp;$A1257))</f>
        <v/>
      </c>
      <c r="Q1257" s="57" t="str">
        <f aca="false">IF($O1257="","",IF($P1257&lt;=BankCostEnvelope*'5. Scenarios'!$D$7,1,0))</f>
        <v/>
      </c>
      <c r="R1257" s="57" t="str">
        <f aca="false">IF($N1257="","",INDEX(BookRate,1252)*(1+'5. Scenarios'!$D$10)*(INDEX(BookQ1,1252)*(5-MIN(4,1+'5. Scenarios'!$D$8))/4+INDEX(BookQ2,1252)*(5-MIN(4,2+'5. Scenarios'!$D$8))/4+INDEX(BookQ3,1252)*(5-MIN(4,3+'5. Scenarios'!$D$8))/4+INDEX(BookQ4,1252)*(5-MIN(4,4+'5. Scenarios'!$D$8))/4)*'5. Scenarios'!$D$6/(1+ProductivityDefault*('5. Scenarios'!$D$11-1))+INDEX(BookOneOff,1252)*$N1257)</f>
        <v/>
      </c>
      <c r="S1257" s="56" t="str">
        <f aca="false">IF(INDEX(BookTitle,1252)="","",INDEX(BookTotal,1252)*'5. Scenarios'!$E$6/(1+ProductivityDefault*('5. Scenarios'!$E$11-1)))</f>
        <v/>
      </c>
      <c r="T1257" s="57" t="str">
        <f aca="false">IF($S1257="","",INDEX(BookRate,1252)*(1+'5. Scenarios'!$E$10)*$S1257)</f>
        <v/>
      </c>
      <c r="U1257" s="57" t="str">
        <f aca="false">IF($T1257="","",SUMIFS($T$6:$T$2405,$A$6:$A$2405,"&lt;="&amp;$A1257))</f>
        <v/>
      </c>
      <c r="V1257" s="57" t="str">
        <f aca="false">IF($T1257="","",IF($U1257&lt;=BankCostEnvelope*'5. Scenarios'!$E$7,1,0))</f>
        <v/>
      </c>
      <c r="W1257" s="57" t="str">
        <f aca="false">IF($S1257="","",INDEX(BookRate,1252)*(1+'5. Scenarios'!$E$10)*(INDEX(BookQ1,1252)*(5-MIN(4,1+'5. Scenarios'!$E$8))/4+INDEX(BookQ2,1252)*(5-MIN(4,2+'5. Scenarios'!$E$8))/4+INDEX(BookQ3,1252)*(5-MIN(4,3+'5. Scenarios'!$E$8))/4+INDEX(BookQ4,1252)*(5-MIN(4,4+'5. Scenarios'!$E$8))/4)*'5. Scenarios'!$E$6/(1+ProductivityDefault*('5. Scenarios'!$E$11-1))+INDEX(BookOneOff,1252)*$S1257)</f>
        <v/>
      </c>
    </row>
    <row r="1258" customFormat="false" ht="15" hidden="false" customHeight="false" outlineLevel="0" collapsed="false">
      <c r="A1258" s="0" t="str">
        <f aca="false">IF(INDEX(BookTitle,1253)="","",INDEX(BookKey,1253))</f>
        <v/>
      </c>
      <c r="B1258" s="0" t="str">
        <f aca="false">IF(INDEX(BookTitle,1253)="","",INDEX(BookGroup,1253))</f>
        <v/>
      </c>
      <c r="C1258" s="0" t="str">
        <f aca="false">IF(INDEX(BookTitle,1253)="","",INDEX(BookCategory,1253))</f>
        <v/>
      </c>
      <c r="D1258" s="56" t="str">
        <f aca="false">IF(INDEX(BookTitle,1253)="","",INDEX(BookTotal,1253)*'5. Scenarios'!$B$6/(1+ProductivityDefault*('5. Scenarios'!$B$11-1)))</f>
        <v/>
      </c>
      <c r="E1258" s="57" t="str">
        <f aca="false">IF($D1258="","",INDEX(BookRate,1253)*(1+'5. Scenarios'!$B$10)*$D1258)</f>
        <v/>
      </c>
      <c r="F1258" s="57" t="str">
        <f aca="false">IF($E1258="","",SUMIFS($E$6:$E$2405,$A$6:$A$2405,"&lt;="&amp;$A1258))</f>
        <v/>
      </c>
      <c r="G1258" s="57" t="str">
        <f aca="false">IF($E1258="","",IF($F1258&lt;=BankCostEnvelope*'5. Scenarios'!$B$7,1,0))</f>
        <v/>
      </c>
      <c r="H1258" s="57" t="str">
        <f aca="false">IF($D1258="","",INDEX(BookRate,1253)*(1+'5. Scenarios'!$B$10)*(INDEX(BookQ1,1253)*(5-MIN(4,1+'5. Scenarios'!$B$8))/4+INDEX(BookQ2,1253)*(5-MIN(4,2+'5. Scenarios'!$B$8))/4+INDEX(BookQ3,1253)*(5-MIN(4,3+'5. Scenarios'!$B$8))/4+INDEX(BookQ4,1253)*(5-MIN(4,4+'5. Scenarios'!$B$8))/4)*'5. Scenarios'!$B$6/(1+ProductivityDefault*('5. Scenarios'!$B$11-1))+INDEX(BookOneOff,1253)*$D1258)</f>
        <v/>
      </c>
      <c r="I1258" s="56" t="str">
        <f aca="false">IF(INDEX(BookTitle,1253)="","",INDEX(BookTotal,1253)*'5. Scenarios'!$C$6/(1+ProductivityDefault*('5. Scenarios'!$C$11-1)))</f>
        <v/>
      </c>
      <c r="J1258" s="57" t="str">
        <f aca="false">IF($I1258="","",INDEX(BookRate,1253)*(1+'5. Scenarios'!$C$10)*$I1258)</f>
        <v/>
      </c>
      <c r="K1258" s="57" t="str">
        <f aca="false">IF($J1258="","",SUMIFS($J$6:$J$2405,$A$6:$A$2405,"&lt;="&amp;$A1258))</f>
        <v/>
      </c>
      <c r="L1258" s="57" t="str">
        <f aca="false">IF($J1258="","",IF($K1258&lt;=BankCostEnvelope*'5. Scenarios'!$C$7,1,0))</f>
        <v/>
      </c>
      <c r="M1258" s="57" t="str">
        <f aca="false">IF($I1258="","",INDEX(BookRate,1253)*(1+'5. Scenarios'!$C$10)*(INDEX(BookQ1,1253)*(5-MIN(4,1+'5. Scenarios'!$C$8))/4+INDEX(BookQ2,1253)*(5-MIN(4,2+'5. Scenarios'!$C$8))/4+INDEX(BookQ3,1253)*(5-MIN(4,3+'5. Scenarios'!$C$8))/4+INDEX(BookQ4,1253)*(5-MIN(4,4+'5. Scenarios'!$C$8))/4)*'5. Scenarios'!$C$6/(1+ProductivityDefault*('5. Scenarios'!$C$11-1))+INDEX(BookOneOff,1253)*$I1258)</f>
        <v/>
      </c>
      <c r="N1258" s="56" t="str">
        <f aca="false">IF(INDEX(BookTitle,1253)="","",INDEX(BookTotal,1253)*'5. Scenarios'!$D$6/(1+ProductivityDefault*('5. Scenarios'!$D$11-1)))</f>
        <v/>
      </c>
      <c r="O1258" s="57" t="str">
        <f aca="false">IF($N1258="","",INDEX(BookRate,1253)*(1+'5. Scenarios'!$D$10)*$N1258)</f>
        <v/>
      </c>
      <c r="P1258" s="57" t="str">
        <f aca="false">IF($O1258="","",SUMIFS($O$6:$O$2405,$A$6:$A$2405,"&lt;="&amp;$A1258))</f>
        <v/>
      </c>
      <c r="Q1258" s="57" t="str">
        <f aca="false">IF($O1258="","",IF($P1258&lt;=BankCostEnvelope*'5. Scenarios'!$D$7,1,0))</f>
        <v/>
      </c>
      <c r="R1258" s="57" t="str">
        <f aca="false">IF($N1258="","",INDEX(BookRate,1253)*(1+'5. Scenarios'!$D$10)*(INDEX(BookQ1,1253)*(5-MIN(4,1+'5. Scenarios'!$D$8))/4+INDEX(BookQ2,1253)*(5-MIN(4,2+'5. Scenarios'!$D$8))/4+INDEX(BookQ3,1253)*(5-MIN(4,3+'5. Scenarios'!$D$8))/4+INDEX(BookQ4,1253)*(5-MIN(4,4+'5. Scenarios'!$D$8))/4)*'5. Scenarios'!$D$6/(1+ProductivityDefault*('5. Scenarios'!$D$11-1))+INDEX(BookOneOff,1253)*$N1258)</f>
        <v/>
      </c>
      <c r="S1258" s="56" t="str">
        <f aca="false">IF(INDEX(BookTitle,1253)="","",INDEX(BookTotal,1253)*'5. Scenarios'!$E$6/(1+ProductivityDefault*('5. Scenarios'!$E$11-1)))</f>
        <v/>
      </c>
      <c r="T1258" s="57" t="str">
        <f aca="false">IF($S1258="","",INDEX(BookRate,1253)*(1+'5. Scenarios'!$E$10)*$S1258)</f>
        <v/>
      </c>
      <c r="U1258" s="57" t="str">
        <f aca="false">IF($T1258="","",SUMIFS($T$6:$T$2405,$A$6:$A$2405,"&lt;="&amp;$A1258))</f>
        <v/>
      </c>
      <c r="V1258" s="57" t="str">
        <f aca="false">IF($T1258="","",IF($U1258&lt;=BankCostEnvelope*'5. Scenarios'!$E$7,1,0))</f>
        <v/>
      </c>
      <c r="W1258" s="57" t="str">
        <f aca="false">IF($S1258="","",INDEX(BookRate,1253)*(1+'5. Scenarios'!$E$10)*(INDEX(BookQ1,1253)*(5-MIN(4,1+'5. Scenarios'!$E$8))/4+INDEX(BookQ2,1253)*(5-MIN(4,2+'5. Scenarios'!$E$8))/4+INDEX(BookQ3,1253)*(5-MIN(4,3+'5. Scenarios'!$E$8))/4+INDEX(BookQ4,1253)*(5-MIN(4,4+'5. Scenarios'!$E$8))/4)*'5. Scenarios'!$E$6/(1+ProductivityDefault*('5. Scenarios'!$E$11-1))+INDEX(BookOneOff,1253)*$S1258)</f>
        <v/>
      </c>
    </row>
    <row r="1259" customFormat="false" ht="15" hidden="false" customHeight="false" outlineLevel="0" collapsed="false">
      <c r="A1259" s="0" t="str">
        <f aca="false">IF(INDEX(BookTitle,1254)="","",INDEX(BookKey,1254))</f>
        <v/>
      </c>
      <c r="B1259" s="0" t="str">
        <f aca="false">IF(INDEX(BookTitle,1254)="","",INDEX(BookGroup,1254))</f>
        <v/>
      </c>
      <c r="C1259" s="0" t="str">
        <f aca="false">IF(INDEX(BookTitle,1254)="","",INDEX(BookCategory,1254))</f>
        <v/>
      </c>
      <c r="D1259" s="56" t="str">
        <f aca="false">IF(INDEX(BookTitle,1254)="","",INDEX(BookTotal,1254)*'5. Scenarios'!$B$6/(1+ProductivityDefault*('5. Scenarios'!$B$11-1)))</f>
        <v/>
      </c>
      <c r="E1259" s="57" t="str">
        <f aca="false">IF($D1259="","",INDEX(BookRate,1254)*(1+'5. Scenarios'!$B$10)*$D1259)</f>
        <v/>
      </c>
      <c r="F1259" s="57" t="str">
        <f aca="false">IF($E1259="","",SUMIFS($E$6:$E$2405,$A$6:$A$2405,"&lt;="&amp;$A1259))</f>
        <v/>
      </c>
      <c r="G1259" s="57" t="str">
        <f aca="false">IF($E1259="","",IF($F1259&lt;=BankCostEnvelope*'5. Scenarios'!$B$7,1,0))</f>
        <v/>
      </c>
      <c r="H1259" s="57" t="str">
        <f aca="false">IF($D1259="","",INDEX(BookRate,1254)*(1+'5. Scenarios'!$B$10)*(INDEX(BookQ1,1254)*(5-MIN(4,1+'5. Scenarios'!$B$8))/4+INDEX(BookQ2,1254)*(5-MIN(4,2+'5. Scenarios'!$B$8))/4+INDEX(BookQ3,1254)*(5-MIN(4,3+'5. Scenarios'!$B$8))/4+INDEX(BookQ4,1254)*(5-MIN(4,4+'5. Scenarios'!$B$8))/4)*'5. Scenarios'!$B$6/(1+ProductivityDefault*('5. Scenarios'!$B$11-1))+INDEX(BookOneOff,1254)*$D1259)</f>
        <v/>
      </c>
      <c r="I1259" s="56" t="str">
        <f aca="false">IF(INDEX(BookTitle,1254)="","",INDEX(BookTotal,1254)*'5. Scenarios'!$C$6/(1+ProductivityDefault*('5. Scenarios'!$C$11-1)))</f>
        <v/>
      </c>
      <c r="J1259" s="57" t="str">
        <f aca="false">IF($I1259="","",INDEX(BookRate,1254)*(1+'5. Scenarios'!$C$10)*$I1259)</f>
        <v/>
      </c>
      <c r="K1259" s="57" t="str">
        <f aca="false">IF($J1259="","",SUMIFS($J$6:$J$2405,$A$6:$A$2405,"&lt;="&amp;$A1259))</f>
        <v/>
      </c>
      <c r="L1259" s="57" t="str">
        <f aca="false">IF($J1259="","",IF($K1259&lt;=BankCostEnvelope*'5. Scenarios'!$C$7,1,0))</f>
        <v/>
      </c>
      <c r="M1259" s="57" t="str">
        <f aca="false">IF($I1259="","",INDEX(BookRate,1254)*(1+'5. Scenarios'!$C$10)*(INDEX(BookQ1,1254)*(5-MIN(4,1+'5. Scenarios'!$C$8))/4+INDEX(BookQ2,1254)*(5-MIN(4,2+'5. Scenarios'!$C$8))/4+INDEX(BookQ3,1254)*(5-MIN(4,3+'5. Scenarios'!$C$8))/4+INDEX(BookQ4,1254)*(5-MIN(4,4+'5. Scenarios'!$C$8))/4)*'5. Scenarios'!$C$6/(1+ProductivityDefault*('5. Scenarios'!$C$11-1))+INDEX(BookOneOff,1254)*$I1259)</f>
        <v/>
      </c>
      <c r="N1259" s="56" t="str">
        <f aca="false">IF(INDEX(BookTitle,1254)="","",INDEX(BookTotal,1254)*'5. Scenarios'!$D$6/(1+ProductivityDefault*('5. Scenarios'!$D$11-1)))</f>
        <v/>
      </c>
      <c r="O1259" s="57" t="str">
        <f aca="false">IF($N1259="","",INDEX(BookRate,1254)*(1+'5. Scenarios'!$D$10)*$N1259)</f>
        <v/>
      </c>
      <c r="P1259" s="57" t="str">
        <f aca="false">IF($O1259="","",SUMIFS($O$6:$O$2405,$A$6:$A$2405,"&lt;="&amp;$A1259))</f>
        <v/>
      </c>
      <c r="Q1259" s="57" t="str">
        <f aca="false">IF($O1259="","",IF($P1259&lt;=BankCostEnvelope*'5. Scenarios'!$D$7,1,0))</f>
        <v/>
      </c>
      <c r="R1259" s="57" t="str">
        <f aca="false">IF($N1259="","",INDEX(BookRate,1254)*(1+'5. Scenarios'!$D$10)*(INDEX(BookQ1,1254)*(5-MIN(4,1+'5. Scenarios'!$D$8))/4+INDEX(BookQ2,1254)*(5-MIN(4,2+'5. Scenarios'!$D$8))/4+INDEX(BookQ3,1254)*(5-MIN(4,3+'5. Scenarios'!$D$8))/4+INDEX(BookQ4,1254)*(5-MIN(4,4+'5. Scenarios'!$D$8))/4)*'5. Scenarios'!$D$6/(1+ProductivityDefault*('5. Scenarios'!$D$11-1))+INDEX(BookOneOff,1254)*$N1259)</f>
        <v/>
      </c>
      <c r="S1259" s="56" t="str">
        <f aca="false">IF(INDEX(BookTitle,1254)="","",INDEX(BookTotal,1254)*'5. Scenarios'!$E$6/(1+ProductivityDefault*('5. Scenarios'!$E$11-1)))</f>
        <v/>
      </c>
      <c r="T1259" s="57" t="str">
        <f aca="false">IF($S1259="","",INDEX(BookRate,1254)*(1+'5. Scenarios'!$E$10)*$S1259)</f>
        <v/>
      </c>
      <c r="U1259" s="57" t="str">
        <f aca="false">IF($T1259="","",SUMIFS($T$6:$T$2405,$A$6:$A$2405,"&lt;="&amp;$A1259))</f>
        <v/>
      </c>
      <c r="V1259" s="57" t="str">
        <f aca="false">IF($T1259="","",IF($U1259&lt;=BankCostEnvelope*'5. Scenarios'!$E$7,1,0))</f>
        <v/>
      </c>
      <c r="W1259" s="57" t="str">
        <f aca="false">IF($S1259="","",INDEX(BookRate,1254)*(1+'5. Scenarios'!$E$10)*(INDEX(BookQ1,1254)*(5-MIN(4,1+'5. Scenarios'!$E$8))/4+INDEX(BookQ2,1254)*(5-MIN(4,2+'5. Scenarios'!$E$8))/4+INDEX(BookQ3,1254)*(5-MIN(4,3+'5. Scenarios'!$E$8))/4+INDEX(BookQ4,1254)*(5-MIN(4,4+'5. Scenarios'!$E$8))/4)*'5. Scenarios'!$E$6/(1+ProductivityDefault*('5. Scenarios'!$E$11-1))+INDEX(BookOneOff,1254)*$S1259)</f>
        <v/>
      </c>
    </row>
    <row r="1260" customFormat="false" ht="15" hidden="false" customHeight="false" outlineLevel="0" collapsed="false">
      <c r="A1260" s="0" t="str">
        <f aca="false">IF(INDEX(BookTitle,1255)="","",INDEX(BookKey,1255))</f>
        <v/>
      </c>
      <c r="B1260" s="0" t="str">
        <f aca="false">IF(INDEX(BookTitle,1255)="","",INDEX(BookGroup,1255))</f>
        <v/>
      </c>
      <c r="C1260" s="0" t="str">
        <f aca="false">IF(INDEX(BookTitle,1255)="","",INDEX(BookCategory,1255))</f>
        <v/>
      </c>
      <c r="D1260" s="56" t="str">
        <f aca="false">IF(INDEX(BookTitle,1255)="","",INDEX(BookTotal,1255)*'5. Scenarios'!$B$6/(1+ProductivityDefault*('5. Scenarios'!$B$11-1)))</f>
        <v/>
      </c>
      <c r="E1260" s="57" t="str">
        <f aca="false">IF($D1260="","",INDEX(BookRate,1255)*(1+'5. Scenarios'!$B$10)*$D1260)</f>
        <v/>
      </c>
      <c r="F1260" s="57" t="str">
        <f aca="false">IF($E1260="","",SUMIFS($E$6:$E$2405,$A$6:$A$2405,"&lt;="&amp;$A1260))</f>
        <v/>
      </c>
      <c r="G1260" s="57" t="str">
        <f aca="false">IF($E1260="","",IF($F1260&lt;=BankCostEnvelope*'5. Scenarios'!$B$7,1,0))</f>
        <v/>
      </c>
      <c r="H1260" s="57" t="str">
        <f aca="false">IF($D1260="","",INDEX(BookRate,1255)*(1+'5. Scenarios'!$B$10)*(INDEX(BookQ1,1255)*(5-MIN(4,1+'5. Scenarios'!$B$8))/4+INDEX(BookQ2,1255)*(5-MIN(4,2+'5. Scenarios'!$B$8))/4+INDEX(BookQ3,1255)*(5-MIN(4,3+'5. Scenarios'!$B$8))/4+INDEX(BookQ4,1255)*(5-MIN(4,4+'5. Scenarios'!$B$8))/4)*'5. Scenarios'!$B$6/(1+ProductivityDefault*('5. Scenarios'!$B$11-1))+INDEX(BookOneOff,1255)*$D1260)</f>
        <v/>
      </c>
      <c r="I1260" s="56" t="str">
        <f aca="false">IF(INDEX(BookTitle,1255)="","",INDEX(BookTotal,1255)*'5. Scenarios'!$C$6/(1+ProductivityDefault*('5. Scenarios'!$C$11-1)))</f>
        <v/>
      </c>
      <c r="J1260" s="57" t="str">
        <f aca="false">IF($I1260="","",INDEX(BookRate,1255)*(1+'5. Scenarios'!$C$10)*$I1260)</f>
        <v/>
      </c>
      <c r="K1260" s="57" t="str">
        <f aca="false">IF($J1260="","",SUMIFS($J$6:$J$2405,$A$6:$A$2405,"&lt;="&amp;$A1260))</f>
        <v/>
      </c>
      <c r="L1260" s="57" t="str">
        <f aca="false">IF($J1260="","",IF($K1260&lt;=BankCostEnvelope*'5. Scenarios'!$C$7,1,0))</f>
        <v/>
      </c>
      <c r="M1260" s="57" t="str">
        <f aca="false">IF($I1260="","",INDEX(BookRate,1255)*(1+'5. Scenarios'!$C$10)*(INDEX(BookQ1,1255)*(5-MIN(4,1+'5. Scenarios'!$C$8))/4+INDEX(BookQ2,1255)*(5-MIN(4,2+'5. Scenarios'!$C$8))/4+INDEX(BookQ3,1255)*(5-MIN(4,3+'5. Scenarios'!$C$8))/4+INDEX(BookQ4,1255)*(5-MIN(4,4+'5. Scenarios'!$C$8))/4)*'5. Scenarios'!$C$6/(1+ProductivityDefault*('5. Scenarios'!$C$11-1))+INDEX(BookOneOff,1255)*$I1260)</f>
        <v/>
      </c>
      <c r="N1260" s="56" t="str">
        <f aca="false">IF(INDEX(BookTitle,1255)="","",INDEX(BookTotal,1255)*'5. Scenarios'!$D$6/(1+ProductivityDefault*('5. Scenarios'!$D$11-1)))</f>
        <v/>
      </c>
      <c r="O1260" s="57" t="str">
        <f aca="false">IF($N1260="","",INDEX(BookRate,1255)*(1+'5. Scenarios'!$D$10)*$N1260)</f>
        <v/>
      </c>
      <c r="P1260" s="57" t="str">
        <f aca="false">IF($O1260="","",SUMIFS($O$6:$O$2405,$A$6:$A$2405,"&lt;="&amp;$A1260))</f>
        <v/>
      </c>
      <c r="Q1260" s="57" t="str">
        <f aca="false">IF($O1260="","",IF($P1260&lt;=BankCostEnvelope*'5. Scenarios'!$D$7,1,0))</f>
        <v/>
      </c>
      <c r="R1260" s="57" t="str">
        <f aca="false">IF($N1260="","",INDEX(BookRate,1255)*(1+'5. Scenarios'!$D$10)*(INDEX(BookQ1,1255)*(5-MIN(4,1+'5. Scenarios'!$D$8))/4+INDEX(BookQ2,1255)*(5-MIN(4,2+'5. Scenarios'!$D$8))/4+INDEX(BookQ3,1255)*(5-MIN(4,3+'5. Scenarios'!$D$8))/4+INDEX(BookQ4,1255)*(5-MIN(4,4+'5. Scenarios'!$D$8))/4)*'5. Scenarios'!$D$6/(1+ProductivityDefault*('5. Scenarios'!$D$11-1))+INDEX(BookOneOff,1255)*$N1260)</f>
        <v/>
      </c>
      <c r="S1260" s="56" t="str">
        <f aca="false">IF(INDEX(BookTitle,1255)="","",INDEX(BookTotal,1255)*'5. Scenarios'!$E$6/(1+ProductivityDefault*('5. Scenarios'!$E$11-1)))</f>
        <v/>
      </c>
      <c r="T1260" s="57" t="str">
        <f aca="false">IF($S1260="","",INDEX(BookRate,1255)*(1+'5. Scenarios'!$E$10)*$S1260)</f>
        <v/>
      </c>
      <c r="U1260" s="57" t="str">
        <f aca="false">IF($T1260="","",SUMIFS($T$6:$T$2405,$A$6:$A$2405,"&lt;="&amp;$A1260))</f>
        <v/>
      </c>
      <c r="V1260" s="57" t="str">
        <f aca="false">IF($T1260="","",IF($U1260&lt;=BankCostEnvelope*'5. Scenarios'!$E$7,1,0))</f>
        <v/>
      </c>
      <c r="W1260" s="57" t="str">
        <f aca="false">IF($S1260="","",INDEX(BookRate,1255)*(1+'5. Scenarios'!$E$10)*(INDEX(BookQ1,1255)*(5-MIN(4,1+'5. Scenarios'!$E$8))/4+INDEX(BookQ2,1255)*(5-MIN(4,2+'5. Scenarios'!$E$8))/4+INDEX(BookQ3,1255)*(5-MIN(4,3+'5. Scenarios'!$E$8))/4+INDEX(BookQ4,1255)*(5-MIN(4,4+'5. Scenarios'!$E$8))/4)*'5. Scenarios'!$E$6/(1+ProductivityDefault*('5. Scenarios'!$E$11-1))+INDEX(BookOneOff,1255)*$S1260)</f>
        <v/>
      </c>
    </row>
    <row r="1261" customFormat="false" ht="15" hidden="false" customHeight="false" outlineLevel="0" collapsed="false">
      <c r="A1261" s="0" t="str">
        <f aca="false">IF(INDEX(BookTitle,1256)="","",INDEX(BookKey,1256))</f>
        <v/>
      </c>
      <c r="B1261" s="0" t="str">
        <f aca="false">IF(INDEX(BookTitle,1256)="","",INDEX(BookGroup,1256))</f>
        <v/>
      </c>
      <c r="C1261" s="0" t="str">
        <f aca="false">IF(INDEX(BookTitle,1256)="","",INDEX(BookCategory,1256))</f>
        <v/>
      </c>
      <c r="D1261" s="56" t="str">
        <f aca="false">IF(INDEX(BookTitle,1256)="","",INDEX(BookTotal,1256)*'5. Scenarios'!$B$6/(1+ProductivityDefault*('5. Scenarios'!$B$11-1)))</f>
        <v/>
      </c>
      <c r="E1261" s="57" t="str">
        <f aca="false">IF($D1261="","",INDEX(BookRate,1256)*(1+'5. Scenarios'!$B$10)*$D1261)</f>
        <v/>
      </c>
      <c r="F1261" s="57" t="str">
        <f aca="false">IF($E1261="","",SUMIFS($E$6:$E$2405,$A$6:$A$2405,"&lt;="&amp;$A1261))</f>
        <v/>
      </c>
      <c r="G1261" s="57" t="str">
        <f aca="false">IF($E1261="","",IF($F1261&lt;=BankCostEnvelope*'5. Scenarios'!$B$7,1,0))</f>
        <v/>
      </c>
      <c r="H1261" s="57" t="str">
        <f aca="false">IF($D1261="","",INDEX(BookRate,1256)*(1+'5. Scenarios'!$B$10)*(INDEX(BookQ1,1256)*(5-MIN(4,1+'5. Scenarios'!$B$8))/4+INDEX(BookQ2,1256)*(5-MIN(4,2+'5. Scenarios'!$B$8))/4+INDEX(BookQ3,1256)*(5-MIN(4,3+'5. Scenarios'!$B$8))/4+INDEX(BookQ4,1256)*(5-MIN(4,4+'5. Scenarios'!$B$8))/4)*'5. Scenarios'!$B$6/(1+ProductivityDefault*('5. Scenarios'!$B$11-1))+INDEX(BookOneOff,1256)*$D1261)</f>
        <v/>
      </c>
      <c r="I1261" s="56" t="str">
        <f aca="false">IF(INDEX(BookTitle,1256)="","",INDEX(BookTotal,1256)*'5. Scenarios'!$C$6/(1+ProductivityDefault*('5. Scenarios'!$C$11-1)))</f>
        <v/>
      </c>
      <c r="J1261" s="57" t="str">
        <f aca="false">IF($I1261="","",INDEX(BookRate,1256)*(1+'5. Scenarios'!$C$10)*$I1261)</f>
        <v/>
      </c>
      <c r="K1261" s="57" t="str">
        <f aca="false">IF($J1261="","",SUMIFS($J$6:$J$2405,$A$6:$A$2405,"&lt;="&amp;$A1261))</f>
        <v/>
      </c>
      <c r="L1261" s="57" t="str">
        <f aca="false">IF($J1261="","",IF($K1261&lt;=BankCostEnvelope*'5. Scenarios'!$C$7,1,0))</f>
        <v/>
      </c>
      <c r="M1261" s="57" t="str">
        <f aca="false">IF($I1261="","",INDEX(BookRate,1256)*(1+'5. Scenarios'!$C$10)*(INDEX(BookQ1,1256)*(5-MIN(4,1+'5. Scenarios'!$C$8))/4+INDEX(BookQ2,1256)*(5-MIN(4,2+'5. Scenarios'!$C$8))/4+INDEX(BookQ3,1256)*(5-MIN(4,3+'5. Scenarios'!$C$8))/4+INDEX(BookQ4,1256)*(5-MIN(4,4+'5. Scenarios'!$C$8))/4)*'5. Scenarios'!$C$6/(1+ProductivityDefault*('5. Scenarios'!$C$11-1))+INDEX(BookOneOff,1256)*$I1261)</f>
        <v/>
      </c>
      <c r="N1261" s="56" t="str">
        <f aca="false">IF(INDEX(BookTitle,1256)="","",INDEX(BookTotal,1256)*'5. Scenarios'!$D$6/(1+ProductivityDefault*('5. Scenarios'!$D$11-1)))</f>
        <v/>
      </c>
      <c r="O1261" s="57" t="str">
        <f aca="false">IF($N1261="","",INDEX(BookRate,1256)*(1+'5. Scenarios'!$D$10)*$N1261)</f>
        <v/>
      </c>
      <c r="P1261" s="57" t="str">
        <f aca="false">IF($O1261="","",SUMIFS($O$6:$O$2405,$A$6:$A$2405,"&lt;="&amp;$A1261))</f>
        <v/>
      </c>
      <c r="Q1261" s="57" t="str">
        <f aca="false">IF($O1261="","",IF($P1261&lt;=BankCostEnvelope*'5. Scenarios'!$D$7,1,0))</f>
        <v/>
      </c>
      <c r="R1261" s="57" t="str">
        <f aca="false">IF($N1261="","",INDEX(BookRate,1256)*(1+'5. Scenarios'!$D$10)*(INDEX(BookQ1,1256)*(5-MIN(4,1+'5. Scenarios'!$D$8))/4+INDEX(BookQ2,1256)*(5-MIN(4,2+'5. Scenarios'!$D$8))/4+INDEX(BookQ3,1256)*(5-MIN(4,3+'5. Scenarios'!$D$8))/4+INDEX(BookQ4,1256)*(5-MIN(4,4+'5. Scenarios'!$D$8))/4)*'5. Scenarios'!$D$6/(1+ProductivityDefault*('5. Scenarios'!$D$11-1))+INDEX(BookOneOff,1256)*$N1261)</f>
        <v/>
      </c>
      <c r="S1261" s="56" t="str">
        <f aca="false">IF(INDEX(BookTitle,1256)="","",INDEX(BookTotal,1256)*'5. Scenarios'!$E$6/(1+ProductivityDefault*('5. Scenarios'!$E$11-1)))</f>
        <v/>
      </c>
      <c r="T1261" s="57" t="str">
        <f aca="false">IF($S1261="","",INDEX(BookRate,1256)*(1+'5. Scenarios'!$E$10)*$S1261)</f>
        <v/>
      </c>
      <c r="U1261" s="57" t="str">
        <f aca="false">IF($T1261="","",SUMIFS($T$6:$T$2405,$A$6:$A$2405,"&lt;="&amp;$A1261))</f>
        <v/>
      </c>
      <c r="V1261" s="57" t="str">
        <f aca="false">IF($T1261="","",IF($U1261&lt;=BankCostEnvelope*'5. Scenarios'!$E$7,1,0))</f>
        <v/>
      </c>
      <c r="W1261" s="57" t="str">
        <f aca="false">IF($S1261="","",INDEX(BookRate,1256)*(1+'5. Scenarios'!$E$10)*(INDEX(BookQ1,1256)*(5-MIN(4,1+'5. Scenarios'!$E$8))/4+INDEX(BookQ2,1256)*(5-MIN(4,2+'5. Scenarios'!$E$8))/4+INDEX(BookQ3,1256)*(5-MIN(4,3+'5. Scenarios'!$E$8))/4+INDEX(BookQ4,1256)*(5-MIN(4,4+'5. Scenarios'!$E$8))/4)*'5. Scenarios'!$E$6/(1+ProductivityDefault*('5. Scenarios'!$E$11-1))+INDEX(BookOneOff,1256)*$S1261)</f>
        <v/>
      </c>
    </row>
    <row r="1262" customFormat="false" ht="15" hidden="false" customHeight="false" outlineLevel="0" collapsed="false">
      <c r="A1262" s="0" t="str">
        <f aca="false">IF(INDEX(BookTitle,1257)="","",INDEX(BookKey,1257))</f>
        <v/>
      </c>
      <c r="B1262" s="0" t="str">
        <f aca="false">IF(INDEX(BookTitle,1257)="","",INDEX(BookGroup,1257))</f>
        <v/>
      </c>
      <c r="C1262" s="0" t="str">
        <f aca="false">IF(INDEX(BookTitle,1257)="","",INDEX(BookCategory,1257))</f>
        <v/>
      </c>
      <c r="D1262" s="56" t="str">
        <f aca="false">IF(INDEX(BookTitle,1257)="","",INDEX(BookTotal,1257)*'5. Scenarios'!$B$6/(1+ProductivityDefault*('5. Scenarios'!$B$11-1)))</f>
        <v/>
      </c>
      <c r="E1262" s="57" t="str">
        <f aca="false">IF($D1262="","",INDEX(BookRate,1257)*(1+'5. Scenarios'!$B$10)*$D1262)</f>
        <v/>
      </c>
      <c r="F1262" s="57" t="str">
        <f aca="false">IF($E1262="","",SUMIFS($E$6:$E$2405,$A$6:$A$2405,"&lt;="&amp;$A1262))</f>
        <v/>
      </c>
      <c r="G1262" s="57" t="str">
        <f aca="false">IF($E1262="","",IF($F1262&lt;=BankCostEnvelope*'5. Scenarios'!$B$7,1,0))</f>
        <v/>
      </c>
      <c r="H1262" s="57" t="str">
        <f aca="false">IF($D1262="","",INDEX(BookRate,1257)*(1+'5. Scenarios'!$B$10)*(INDEX(BookQ1,1257)*(5-MIN(4,1+'5. Scenarios'!$B$8))/4+INDEX(BookQ2,1257)*(5-MIN(4,2+'5. Scenarios'!$B$8))/4+INDEX(BookQ3,1257)*(5-MIN(4,3+'5. Scenarios'!$B$8))/4+INDEX(BookQ4,1257)*(5-MIN(4,4+'5. Scenarios'!$B$8))/4)*'5. Scenarios'!$B$6/(1+ProductivityDefault*('5. Scenarios'!$B$11-1))+INDEX(BookOneOff,1257)*$D1262)</f>
        <v/>
      </c>
      <c r="I1262" s="56" t="str">
        <f aca="false">IF(INDEX(BookTitle,1257)="","",INDEX(BookTotal,1257)*'5. Scenarios'!$C$6/(1+ProductivityDefault*('5. Scenarios'!$C$11-1)))</f>
        <v/>
      </c>
      <c r="J1262" s="57" t="str">
        <f aca="false">IF($I1262="","",INDEX(BookRate,1257)*(1+'5. Scenarios'!$C$10)*$I1262)</f>
        <v/>
      </c>
      <c r="K1262" s="57" t="str">
        <f aca="false">IF($J1262="","",SUMIFS($J$6:$J$2405,$A$6:$A$2405,"&lt;="&amp;$A1262))</f>
        <v/>
      </c>
      <c r="L1262" s="57" t="str">
        <f aca="false">IF($J1262="","",IF($K1262&lt;=BankCostEnvelope*'5. Scenarios'!$C$7,1,0))</f>
        <v/>
      </c>
      <c r="M1262" s="57" t="str">
        <f aca="false">IF($I1262="","",INDEX(BookRate,1257)*(1+'5. Scenarios'!$C$10)*(INDEX(BookQ1,1257)*(5-MIN(4,1+'5. Scenarios'!$C$8))/4+INDEX(BookQ2,1257)*(5-MIN(4,2+'5. Scenarios'!$C$8))/4+INDEX(BookQ3,1257)*(5-MIN(4,3+'5. Scenarios'!$C$8))/4+INDEX(BookQ4,1257)*(5-MIN(4,4+'5. Scenarios'!$C$8))/4)*'5. Scenarios'!$C$6/(1+ProductivityDefault*('5. Scenarios'!$C$11-1))+INDEX(BookOneOff,1257)*$I1262)</f>
        <v/>
      </c>
      <c r="N1262" s="56" t="str">
        <f aca="false">IF(INDEX(BookTitle,1257)="","",INDEX(BookTotal,1257)*'5. Scenarios'!$D$6/(1+ProductivityDefault*('5. Scenarios'!$D$11-1)))</f>
        <v/>
      </c>
      <c r="O1262" s="57" t="str">
        <f aca="false">IF($N1262="","",INDEX(BookRate,1257)*(1+'5. Scenarios'!$D$10)*$N1262)</f>
        <v/>
      </c>
      <c r="P1262" s="57" t="str">
        <f aca="false">IF($O1262="","",SUMIFS($O$6:$O$2405,$A$6:$A$2405,"&lt;="&amp;$A1262))</f>
        <v/>
      </c>
      <c r="Q1262" s="57" t="str">
        <f aca="false">IF($O1262="","",IF($P1262&lt;=BankCostEnvelope*'5. Scenarios'!$D$7,1,0))</f>
        <v/>
      </c>
      <c r="R1262" s="57" t="str">
        <f aca="false">IF($N1262="","",INDEX(BookRate,1257)*(1+'5. Scenarios'!$D$10)*(INDEX(BookQ1,1257)*(5-MIN(4,1+'5. Scenarios'!$D$8))/4+INDEX(BookQ2,1257)*(5-MIN(4,2+'5. Scenarios'!$D$8))/4+INDEX(BookQ3,1257)*(5-MIN(4,3+'5. Scenarios'!$D$8))/4+INDEX(BookQ4,1257)*(5-MIN(4,4+'5. Scenarios'!$D$8))/4)*'5. Scenarios'!$D$6/(1+ProductivityDefault*('5. Scenarios'!$D$11-1))+INDEX(BookOneOff,1257)*$N1262)</f>
        <v/>
      </c>
      <c r="S1262" s="56" t="str">
        <f aca="false">IF(INDEX(BookTitle,1257)="","",INDEX(BookTotal,1257)*'5. Scenarios'!$E$6/(1+ProductivityDefault*('5. Scenarios'!$E$11-1)))</f>
        <v/>
      </c>
      <c r="T1262" s="57" t="str">
        <f aca="false">IF($S1262="","",INDEX(BookRate,1257)*(1+'5. Scenarios'!$E$10)*$S1262)</f>
        <v/>
      </c>
      <c r="U1262" s="57" t="str">
        <f aca="false">IF($T1262="","",SUMIFS($T$6:$T$2405,$A$6:$A$2405,"&lt;="&amp;$A1262))</f>
        <v/>
      </c>
      <c r="V1262" s="57" t="str">
        <f aca="false">IF($T1262="","",IF($U1262&lt;=BankCostEnvelope*'5. Scenarios'!$E$7,1,0))</f>
        <v/>
      </c>
      <c r="W1262" s="57" t="str">
        <f aca="false">IF($S1262="","",INDEX(BookRate,1257)*(1+'5. Scenarios'!$E$10)*(INDEX(BookQ1,1257)*(5-MIN(4,1+'5. Scenarios'!$E$8))/4+INDEX(BookQ2,1257)*(5-MIN(4,2+'5. Scenarios'!$E$8))/4+INDEX(BookQ3,1257)*(5-MIN(4,3+'5. Scenarios'!$E$8))/4+INDEX(BookQ4,1257)*(5-MIN(4,4+'5. Scenarios'!$E$8))/4)*'5. Scenarios'!$E$6/(1+ProductivityDefault*('5. Scenarios'!$E$11-1))+INDEX(BookOneOff,1257)*$S1262)</f>
        <v/>
      </c>
    </row>
    <row r="1263" customFormat="false" ht="15" hidden="false" customHeight="false" outlineLevel="0" collapsed="false">
      <c r="A1263" s="0" t="str">
        <f aca="false">IF(INDEX(BookTitle,1258)="","",INDEX(BookKey,1258))</f>
        <v/>
      </c>
      <c r="B1263" s="0" t="str">
        <f aca="false">IF(INDEX(BookTitle,1258)="","",INDEX(BookGroup,1258))</f>
        <v/>
      </c>
      <c r="C1263" s="0" t="str">
        <f aca="false">IF(INDEX(BookTitle,1258)="","",INDEX(BookCategory,1258))</f>
        <v/>
      </c>
      <c r="D1263" s="56" t="str">
        <f aca="false">IF(INDEX(BookTitle,1258)="","",INDEX(BookTotal,1258)*'5. Scenarios'!$B$6/(1+ProductivityDefault*('5. Scenarios'!$B$11-1)))</f>
        <v/>
      </c>
      <c r="E1263" s="57" t="str">
        <f aca="false">IF($D1263="","",INDEX(BookRate,1258)*(1+'5. Scenarios'!$B$10)*$D1263)</f>
        <v/>
      </c>
      <c r="F1263" s="57" t="str">
        <f aca="false">IF($E1263="","",SUMIFS($E$6:$E$2405,$A$6:$A$2405,"&lt;="&amp;$A1263))</f>
        <v/>
      </c>
      <c r="G1263" s="57" t="str">
        <f aca="false">IF($E1263="","",IF($F1263&lt;=BankCostEnvelope*'5. Scenarios'!$B$7,1,0))</f>
        <v/>
      </c>
      <c r="H1263" s="57" t="str">
        <f aca="false">IF($D1263="","",INDEX(BookRate,1258)*(1+'5. Scenarios'!$B$10)*(INDEX(BookQ1,1258)*(5-MIN(4,1+'5. Scenarios'!$B$8))/4+INDEX(BookQ2,1258)*(5-MIN(4,2+'5. Scenarios'!$B$8))/4+INDEX(BookQ3,1258)*(5-MIN(4,3+'5. Scenarios'!$B$8))/4+INDEX(BookQ4,1258)*(5-MIN(4,4+'5. Scenarios'!$B$8))/4)*'5. Scenarios'!$B$6/(1+ProductivityDefault*('5. Scenarios'!$B$11-1))+INDEX(BookOneOff,1258)*$D1263)</f>
        <v/>
      </c>
      <c r="I1263" s="56" t="str">
        <f aca="false">IF(INDEX(BookTitle,1258)="","",INDEX(BookTotal,1258)*'5. Scenarios'!$C$6/(1+ProductivityDefault*('5. Scenarios'!$C$11-1)))</f>
        <v/>
      </c>
      <c r="J1263" s="57" t="str">
        <f aca="false">IF($I1263="","",INDEX(BookRate,1258)*(1+'5. Scenarios'!$C$10)*$I1263)</f>
        <v/>
      </c>
      <c r="K1263" s="57" t="str">
        <f aca="false">IF($J1263="","",SUMIFS($J$6:$J$2405,$A$6:$A$2405,"&lt;="&amp;$A1263))</f>
        <v/>
      </c>
      <c r="L1263" s="57" t="str">
        <f aca="false">IF($J1263="","",IF($K1263&lt;=BankCostEnvelope*'5. Scenarios'!$C$7,1,0))</f>
        <v/>
      </c>
      <c r="M1263" s="57" t="str">
        <f aca="false">IF($I1263="","",INDEX(BookRate,1258)*(1+'5. Scenarios'!$C$10)*(INDEX(BookQ1,1258)*(5-MIN(4,1+'5. Scenarios'!$C$8))/4+INDEX(BookQ2,1258)*(5-MIN(4,2+'5. Scenarios'!$C$8))/4+INDEX(BookQ3,1258)*(5-MIN(4,3+'5. Scenarios'!$C$8))/4+INDEX(BookQ4,1258)*(5-MIN(4,4+'5. Scenarios'!$C$8))/4)*'5. Scenarios'!$C$6/(1+ProductivityDefault*('5. Scenarios'!$C$11-1))+INDEX(BookOneOff,1258)*$I1263)</f>
        <v/>
      </c>
      <c r="N1263" s="56" t="str">
        <f aca="false">IF(INDEX(BookTitle,1258)="","",INDEX(BookTotal,1258)*'5. Scenarios'!$D$6/(1+ProductivityDefault*('5. Scenarios'!$D$11-1)))</f>
        <v/>
      </c>
      <c r="O1263" s="57" t="str">
        <f aca="false">IF($N1263="","",INDEX(BookRate,1258)*(1+'5. Scenarios'!$D$10)*$N1263)</f>
        <v/>
      </c>
      <c r="P1263" s="57" t="str">
        <f aca="false">IF($O1263="","",SUMIFS($O$6:$O$2405,$A$6:$A$2405,"&lt;="&amp;$A1263))</f>
        <v/>
      </c>
      <c r="Q1263" s="57" t="str">
        <f aca="false">IF($O1263="","",IF($P1263&lt;=BankCostEnvelope*'5. Scenarios'!$D$7,1,0))</f>
        <v/>
      </c>
      <c r="R1263" s="57" t="str">
        <f aca="false">IF($N1263="","",INDEX(BookRate,1258)*(1+'5. Scenarios'!$D$10)*(INDEX(BookQ1,1258)*(5-MIN(4,1+'5. Scenarios'!$D$8))/4+INDEX(BookQ2,1258)*(5-MIN(4,2+'5. Scenarios'!$D$8))/4+INDEX(BookQ3,1258)*(5-MIN(4,3+'5. Scenarios'!$D$8))/4+INDEX(BookQ4,1258)*(5-MIN(4,4+'5. Scenarios'!$D$8))/4)*'5. Scenarios'!$D$6/(1+ProductivityDefault*('5. Scenarios'!$D$11-1))+INDEX(BookOneOff,1258)*$N1263)</f>
        <v/>
      </c>
      <c r="S1263" s="56" t="str">
        <f aca="false">IF(INDEX(BookTitle,1258)="","",INDEX(BookTotal,1258)*'5. Scenarios'!$E$6/(1+ProductivityDefault*('5. Scenarios'!$E$11-1)))</f>
        <v/>
      </c>
      <c r="T1263" s="57" t="str">
        <f aca="false">IF($S1263="","",INDEX(BookRate,1258)*(1+'5. Scenarios'!$E$10)*$S1263)</f>
        <v/>
      </c>
      <c r="U1263" s="57" t="str">
        <f aca="false">IF($T1263="","",SUMIFS($T$6:$T$2405,$A$6:$A$2405,"&lt;="&amp;$A1263))</f>
        <v/>
      </c>
      <c r="V1263" s="57" t="str">
        <f aca="false">IF($T1263="","",IF($U1263&lt;=BankCostEnvelope*'5. Scenarios'!$E$7,1,0))</f>
        <v/>
      </c>
      <c r="W1263" s="57" t="str">
        <f aca="false">IF($S1263="","",INDEX(BookRate,1258)*(1+'5. Scenarios'!$E$10)*(INDEX(BookQ1,1258)*(5-MIN(4,1+'5. Scenarios'!$E$8))/4+INDEX(BookQ2,1258)*(5-MIN(4,2+'5. Scenarios'!$E$8))/4+INDEX(BookQ3,1258)*(5-MIN(4,3+'5. Scenarios'!$E$8))/4+INDEX(BookQ4,1258)*(5-MIN(4,4+'5. Scenarios'!$E$8))/4)*'5. Scenarios'!$E$6/(1+ProductivityDefault*('5. Scenarios'!$E$11-1))+INDEX(BookOneOff,1258)*$S1263)</f>
        <v/>
      </c>
    </row>
    <row r="1264" customFormat="false" ht="15" hidden="false" customHeight="false" outlineLevel="0" collapsed="false">
      <c r="A1264" s="0" t="str">
        <f aca="false">IF(INDEX(BookTitle,1259)="","",INDEX(BookKey,1259))</f>
        <v/>
      </c>
      <c r="B1264" s="0" t="str">
        <f aca="false">IF(INDEX(BookTitle,1259)="","",INDEX(BookGroup,1259))</f>
        <v/>
      </c>
      <c r="C1264" s="0" t="str">
        <f aca="false">IF(INDEX(BookTitle,1259)="","",INDEX(BookCategory,1259))</f>
        <v/>
      </c>
      <c r="D1264" s="56" t="str">
        <f aca="false">IF(INDEX(BookTitle,1259)="","",INDEX(BookTotal,1259)*'5. Scenarios'!$B$6/(1+ProductivityDefault*('5. Scenarios'!$B$11-1)))</f>
        <v/>
      </c>
      <c r="E1264" s="57" t="str">
        <f aca="false">IF($D1264="","",INDEX(BookRate,1259)*(1+'5. Scenarios'!$B$10)*$D1264)</f>
        <v/>
      </c>
      <c r="F1264" s="57" t="str">
        <f aca="false">IF($E1264="","",SUMIFS($E$6:$E$2405,$A$6:$A$2405,"&lt;="&amp;$A1264))</f>
        <v/>
      </c>
      <c r="G1264" s="57" t="str">
        <f aca="false">IF($E1264="","",IF($F1264&lt;=BankCostEnvelope*'5. Scenarios'!$B$7,1,0))</f>
        <v/>
      </c>
      <c r="H1264" s="57" t="str">
        <f aca="false">IF($D1264="","",INDEX(BookRate,1259)*(1+'5. Scenarios'!$B$10)*(INDEX(BookQ1,1259)*(5-MIN(4,1+'5. Scenarios'!$B$8))/4+INDEX(BookQ2,1259)*(5-MIN(4,2+'5. Scenarios'!$B$8))/4+INDEX(BookQ3,1259)*(5-MIN(4,3+'5. Scenarios'!$B$8))/4+INDEX(BookQ4,1259)*(5-MIN(4,4+'5. Scenarios'!$B$8))/4)*'5. Scenarios'!$B$6/(1+ProductivityDefault*('5. Scenarios'!$B$11-1))+INDEX(BookOneOff,1259)*$D1264)</f>
        <v/>
      </c>
      <c r="I1264" s="56" t="str">
        <f aca="false">IF(INDEX(BookTitle,1259)="","",INDEX(BookTotal,1259)*'5. Scenarios'!$C$6/(1+ProductivityDefault*('5. Scenarios'!$C$11-1)))</f>
        <v/>
      </c>
      <c r="J1264" s="57" t="str">
        <f aca="false">IF($I1264="","",INDEX(BookRate,1259)*(1+'5. Scenarios'!$C$10)*$I1264)</f>
        <v/>
      </c>
      <c r="K1264" s="57" t="str">
        <f aca="false">IF($J1264="","",SUMIFS($J$6:$J$2405,$A$6:$A$2405,"&lt;="&amp;$A1264))</f>
        <v/>
      </c>
      <c r="L1264" s="57" t="str">
        <f aca="false">IF($J1264="","",IF($K1264&lt;=BankCostEnvelope*'5. Scenarios'!$C$7,1,0))</f>
        <v/>
      </c>
      <c r="M1264" s="57" t="str">
        <f aca="false">IF($I1264="","",INDEX(BookRate,1259)*(1+'5. Scenarios'!$C$10)*(INDEX(BookQ1,1259)*(5-MIN(4,1+'5. Scenarios'!$C$8))/4+INDEX(BookQ2,1259)*(5-MIN(4,2+'5. Scenarios'!$C$8))/4+INDEX(BookQ3,1259)*(5-MIN(4,3+'5. Scenarios'!$C$8))/4+INDEX(BookQ4,1259)*(5-MIN(4,4+'5. Scenarios'!$C$8))/4)*'5. Scenarios'!$C$6/(1+ProductivityDefault*('5. Scenarios'!$C$11-1))+INDEX(BookOneOff,1259)*$I1264)</f>
        <v/>
      </c>
      <c r="N1264" s="56" t="str">
        <f aca="false">IF(INDEX(BookTitle,1259)="","",INDEX(BookTotal,1259)*'5. Scenarios'!$D$6/(1+ProductivityDefault*('5. Scenarios'!$D$11-1)))</f>
        <v/>
      </c>
      <c r="O1264" s="57" t="str">
        <f aca="false">IF($N1264="","",INDEX(BookRate,1259)*(1+'5. Scenarios'!$D$10)*$N1264)</f>
        <v/>
      </c>
      <c r="P1264" s="57" t="str">
        <f aca="false">IF($O1264="","",SUMIFS($O$6:$O$2405,$A$6:$A$2405,"&lt;="&amp;$A1264))</f>
        <v/>
      </c>
      <c r="Q1264" s="57" t="str">
        <f aca="false">IF($O1264="","",IF($P1264&lt;=BankCostEnvelope*'5. Scenarios'!$D$7,1,0))</f>
        <v/>
      </c>
      <c r="R1264" s="57" t="str">
        <f aca="false">IF($N1264="","",INDEX(BookRate,1259)*(1+'5. Scenarios'!$D$10)*(INDEX(BookQ1,1259)*(5-MIN(4,1+'5. Scenarios'!$D$8))/4+INDEX(BookQ2,1259)*(5-MIN(4,2+'5. Scenarios'!$D$8))/4+INDEX(BookQ3,1259)*(5-MIN(4,3+'5. Scenarios'!$D$8))/4+INDEX(BookQ4,1259)*(5-MIN(4,4+'5. Scenarios'!$D$8))/4)*'5. Scenarios'!$D$6/(1+ProductivityDefault*('5. Scenarios'!$D$11-1))+INDEX(BookOneOff,1259)*$N1264)</f>
        <v/>
      </c>
      <c r="S1264" s="56" t="str">
        <f aca="false">IF(INDEX(BookTitle,1259)="","",INDEX(BookTotal,1259)*'5. Scenarios'!$E$6/(1+ProductivityDefault*('5. Scenarios'!$E$11-1)))</f>
        <v/>
      </c>
      <c r="T1264" s="57" t="str">
        <f aca="false">IF($S1264="","",INDEX(BookRate,1259)*(1+'5. Scenarios'!$E$10)*$S1264)</f>
        <v/>
      </c>
      <c r="U1264" s="57" t="str">
        <f aca="false">IF($T1264="","",SUMIFS($T$6:$T$2405,$A$6:$A$2405,"&lt;="&amp;$A1264))</f>
        <v/>
      </c>
      <c r="V1264" s="57" t="str">
        <f aca="false">IF($T1264="","",IF($U1264&lt;=BankCostEnvelope*'5. Scenarios'!$E$7,1,0))</f>
        <v/>
      </c>
      <c r="W1264" s="57" t="str">
        <f aca="false">IF($S1264="","",INDEX(BookRate,1259)*(1+'5. Scenarios'!$E$10)*(INDEX(BookQ1,1259)*(5-MIN(4,1+'5. Scenarios'!$E$8))/4+INDEX(BookQ2,1259)*(5-MIN(4,2+'5. Scenarios'!$E$8))/4+INDEX(BookQ3,1259)*(5-MIN(4,3+'5. Scenarios'!$E$8))/4+INDEX(BookQ4,1259)*(5-MIN(4,4+'5. Scenarios'!$E$8))/4)*'5. Scenarios'!$E$6/(1+ProductivityDefault*('5. Scenarios'!$E$11-1))+INDEX(BookOneOff,1259)*$S1264)</f>
        <v/>
      </c>
    </row>
    <row r="1265" customFormat="false" ht="15" hidden="false" customHeight="false" outlineLevel="0" collapsed="false">
      <c r="A1265" s="0" t="str">
        <f aca="false">IF(INDEX(BookTitle,1260)="","",INDEX(BookKey,1260))</f>
        <v/>
      </c>
      <c r="B1265" s="0" t="str">
        <f aca="false">IF(INDEX(BookTitle,1260)="","",INDEX(BookGroup,1260))</f>
        <v/>
      </c>
      <c r="C1265" s="0" t="str">
        <f aca="false">IF(INDEX(BookTitle,1260)="","",INDEX(BookCategory,1260))</f>
        <v/>
      </c>
      <c r="D1265" s="56" t="str">
        <f aca="false">IF(INDEX(BookTitle,1260)="","",INDEX(BookTotal,1260)*'5. Scenarios'!$B$6/(1+ProductivityDefault*('5. Scenarios'!$B$11-1)))</f>
        <v/>
      </c>
      <c r="E1265" s="57" t="str">
        <f aca="false">IF($D1265="","",INDEX(BookRate,1260)*(1+'5. Scenarios'!$B$10)*$D1265)</f>
        <v/>
      </c>
      <c r="F1265" s="57" t="str">
        <f aca="false">IF($E1265="","",SUMIFS($E$6:$E$2405,$A$6:$A$2405,"&lt;="&amp;$A1265))</f>
        <v/>
      </c>
      <c r="G1265" s="57" t="str">
        <f aca="false">IF($E1265="","",IF($F1265&lt;=BankCostEnvelope*'5. Scenarios'!$B$7,1,0))</f>
        <v/>
      </c>
      <c r="H1265" s="57" t="str">
        <f aca="false">IF($D1265="","",INDEX(BookRate,1260)*(1+'5. Scenarios'!$B$10)*(INDEX(BookQ1,1260)*(5-MIN(4,1+'5. Scenarios'!$B$8))/4+INDEX(BookQ2,1260)*(5-MIN(4,2+'5. Scenarios'!$B$8))/4+INDEX(BookQ3,1260)*(5-MIN(4,3+'5. Scenarios'!$B$8))/4+INDEX(BookQ4,1260)*(5-MIN(4,4+'5. Scenarios'!$B$8))/4)*'5. Scenarios'!$B$6/(1+ProductivityDefault*('5. Scenarios'!$B$11-1))+INDEX(BookOneOff,1260)*$D1265)</f>
        <v/>
      </c>
      <c r="I1265" s="56" t="str">
        <f aca="false">IF(INDEX(BookTitle,1260)="","",INDEX(BookTotal,1260)*'5. Scenarios'!$C$6/(1+ProductivityDefault*('5. Scenarios'!$C$11-1)))</f>
        <v/>
      </c>
      <c r="J1265" s="57" t="str">
        <f aca="false">IF($I1265="","",INDEX(BookRate,1260)*(1+'5. Scenarios'!$C$10)*$I1265)</f>
        <v/>
      </c>
      <c r="K1265" s="57" t="str">
        <f aca="false">IF($J1265="","",SUMIFS($J$6:$J$2405,$A$6:$A$2405,"&lt;="&amp;$A1265))</f>
        <v/>
      </c>
      <c r="L1265" s="57" t="str">
        <f aca="false">IF($J1265="","",IF($K1265&lt;=BankCostEnvelope*'5. Scenarios'!$C$7,1,0))</f>
        <v/>
      </c>
      <c r="M1265" s="57" t="str">
        <f aca="false">IF($I1265="","",INDEX(BookRate,1260)*(1+'5. Scenarios'!$C$10)*(INDEX(BookQ1,1260)*(5-MIN(4,1+'5. Scenarios'!$C$8))/4+INDEX(BookQ2,1260)*(5-MIN(4,2+'5. Scenarios'!$C$8))/4+INDEX(BookQ3,1260)*(5-MIN(4,3+'5. Scenarios'!$C$8))/4+INDEX(BookQ4,1260)*(5-MIN(4,4+'5. Scenarios'!$C$8))/4)*'5. Scenarios'!$C$6/(1+ProductivityDefault*('5. Scenarios'!$C$11-1))+INDEX(BookOneOff,1260)*$I1265)</f>
        <v/>
      </c>
      <c r="N1265" s="56" t="str">
        <f aca="false">IF(INDEX(BookTitle,1260)="","",INDEX(BookTotal,1260)*'5. Scenarios'!$D$6/(1+ProductivityDefault*('5. Scenarios'!$D$11-1)))</f>
        <v/>
      </c>
      <c r="O1265" s="57" t="str">
        <f aca="false">IF($N1265="","",INDEX(BookRate,1260)*(1+'5. Scenarios'!$D$10)*$N1265)</f>
        <v/>
      </c>
      <c r="P1265" s="57" t="str">
        <f aca="false">IF($O1265="","",SUMIFS($O$6:$O$2405,$A$6:$A$2405,"&lt;="&amp;$A1265))</f>
        <v/>
      </c>
      <c r="Q1265" s="57" t="str">
        <f aca="false">IF($O1265="","",IF($P1265&lt;=BankCostEnvelope*'5. Scenarios'!$D$7,1,0))</f>
        <v/>
      </c>
      <c r="R1265" s="57" t="str">
        <f aca="false">IF($N1265="","",INDEX(BookRate,1260)*(1+'5. Scenarios'!$D$10)*(INDEX(BookQ1,1260)*(5-MIN(4,1+'5. Scenarios'!$D$8))/4+INDEX(BookQ2,1260)*(5-MIN(4,2+'5. Scenarios'!$D$8))/4+INDEX(BookQ3,1260)*(5-MIN(4,3+'5. Scenarios'!$D$8))/4+INDEX(BookQ4,1260)*(5-MIN(4,4+'5. Scenarios'!$D$8))/4)*'5. Scenarios'!$D$6/(1+ProductivityDefault*('5. Scenarios'!$D$11-1))+INDEX(BookOneOff,1260)*$N1265)</f>
        <v/>
      </c>
      <c r="S1265" s="56" t="str">
        <f aca="false">IF(INDEX(BookTitle,1260)="","",INDEX(BookTotal,1260)*'5. Scenarios'!$E$6/(1+ProductivityDefault*('5. Scenarios'!$E$11-1)))</f>
        <v/>
      </c>
      <c r="T1265" s="57" t="str">
        <f aca="false">IF($S1265="","",INDEX(BookRate,1260)*(1+'5. Scenarios'!$E$10)*$S1265)</f>
        <v/>
      </c>
      <c r="U1265" s="57" t="str">
        <f aca="false">IF($T1265="","",SUMIFS($T$6:$T$2405,$A$6:$A$2405,"&lt;="&amp;$A1265))</f>
        <v/>
      </c>
      <c r="V1265" s="57" t="str">
        <f aca="false">IF($T1265="","",IF($U1265&lt;=BankCostEnvelope*'5. Scenarios'!$E$7,1,0))</f>
        <v/>
      </c>
      <c r="W1265" s="57" t="str">
        <f aca="false">IF($S1265="","",INDEX(BookRate,1260)*(1+'5. Scenarios'!$E$10)*(INDEX(BookQ1,1260)*(5-MIN(4,1+'5. Scenarios'!$E$8))/4+INDEX(BookQ2,1260)*(5-MIN(4,2+'5. Scenarios'!$E$8))/4+INDEX(BookQ3,1260)*(5-MIN(4,3+'5. Scenarios'!$E$8))/4+INDEX(BookQ4,1260)*(5-MIN(4,4+'5. Scenarios'!$E$8))/4)*'5. Scenarios'!$E$6/(1+ProductivityDefault*('5. Scenarios'!$E$11-1))+INDEX(BookOneOff,1260)*$S1265)</f>
        <v/>
      </c>
    </row>
    <row r="1266" customFormat="false" ht="15" hidden="false" customHeight="false" outlineLevel="0" collapsed="false">
      <c r="A1266" s="0" t="str">
        <f aca="false">IF(INDEX(BookTitle,1261)="","",INDEX(BookKey,1261))</f>
        <v/>
      </c>
      <c r="B1266" s="0" t="str">
        <f aca="false">IF(INDEX(BookTitle,1261)="","",INDEX(BookGroup,1261))</f>
        <v/>
      </c>
      <c r="C1266" s="0" t="str">
        <f aca="false">IF(INDEX(BookTitle,1261)="","",INDEX(BookCategory,1261))</f>
        <v/>
      </c>
      <c r="D1266" s="56" t="str">
        <f aca="false">IF(INDEX(BookTitle,1261)="","",INDEX(BookTotal,1261)*'5. Scenarios'!$B$6/(1+ProductivityDefault*('5. Scenarios'!$B$11-1)))</f>
        <v/>
      </c>
      <c r="E1266" s="57" t="str">
        <f aca="false">IF($D1266="","",INDEX(BookRate,1261)*(1+'5. Scenarios'!$B$10)*$D1266)</f>
        <v/>
      </c>
      <c r="F1266" s="57" t="str">
        <f aca="false">IF($E1266="","",SUMIFS($E$6:$E$2405,$A$6:$A$2405,"&lt;="&amp;$A1266))</f>
        <v/>
      </c>
      <c r="G1266" s="57" t="str">
        <f aca="false">IF($E1266="","",IF($F1266&lt;=BankCostEnvelope*'5. Scenarios'!$B$7,1,0))</f>
        <v/>
      </c>
      <c r="H1266" s="57" t="str">
        <f aca="false">IF($D1266="","",INDEX(BookRate,1261)*(1+'5. Scenarios'!$B$10)*(INDEX(BookQ1,1261)*(5-MIN(4,1+'5. Scenarios'!$B$8))/4+INDEX(BookQ2,1261)*(5-MIN(4,2+'5. Scenarios'!$B$8))/4+INDEX(BookQ3,1261)*(5-MIN(4,3+'5. Scenarios'!$B$8))/4+INDEX(BookQ4,1261)*(5-MIN(4,4+'5. Scenarios'!$B$8))/4)*'5. Scenarios'!$B$6/(1+ProductivityDefault*('5. Scenarios'!$B$11-1))+INDEX(BookOneOff,1261)*$D1266)</f>
        <v/>
      </c>
      <c r="I1266" s="56" t="str">
        <f aca="false">IF(INDEX(BookTitle,1261)="","",INDEX(BookTotal,1261)*'5. Scenarios'!$C$6/(1+ProductivityDefault*('5. Scenarios'!$C$11-1)))</f>
        <v/>
      </c>
      <c r="J1266" s="57" t="str">
        <f aca="false">IF($I1266="","",INDEX(BookRate,1261)*(1+'5. Scenarios'!$C$10)*$I1266)</f>
        <v/>
      </c>
      <c r="K1266" s="57" t="str">
        <f aca="false">IF($J1266="","",SUMIFS($J$6:$J$2405,$A$6:$A$2405,"&lt;="&amp;$A1266))</f>
        <v/>
      </c>
      <c r="L1266" s="57" t="str">
        <f aca="false">IF($J1266="","",IF($K1266&lt;=BankCostEnvelope*'5. Scenarios'!$C$7,1,0))</f>
        <v/>
      </c>
      <c r="M1266" s="57" t="str">
        <f aca="false">IF($I1266="","",INDEX(BookRate,1261)*(1+'5. Scenarios'!$C$10)*(INDEX(BookQ1,1261)*(5-MIN(4,1+'5. Scenarios'!$C$8))/4+INDEX(BookQ2,1261)*(5-MIN(4,2+'5. Scenarios'!$C$8))/4+INDEX(BookQ3,1261)*(5-MIN(4,3+'5. Scenarios'!$C$8))/4+INDEX(BookQ4,1261)*(5-MIN(4,4+'5. Scenarios'!$C$8))/4)*'5. Scenarios'!$C$6/(1+ProductivityDefault*('5. Scenarios'!$C$11-1))+INDEX(BookOneOff,1261)*$I1266)</f>
        <v/>
      </c>
      <c r="N1266" s="56" t="str">
        <f aca="false">IF(INDEX(BookTitle,1261)="","",INDEX(BookTotal,1261)*'5. Scenarios'!$D$6/(1+ProductivityDefault*('5. Scenarios'!$D$11-1)))</f>
        <v/>
      </c>
      <c r="O1266" s="57" t="str">
        <f aca="false">IF($N1266="","",INDEX(BookRate,1261)*(1+'5. Scenarios'!$D$10)*$N1266)</f>
        <v/>
      </c>
      <c r="P1266" s="57" t="str">
        <f aca="false">IF($O1266="","",SUMIFS($O$6:$O$2405,$A$6:$A$2405,"&lt;="&amp;$A1266))</f>
        <v/>
      </c>
      <c r="Q1266" s="57" t="str">
        <f aca="false">IF($O1266="","",IF($P1266&lt;=BankCostEnvelope*'5. Scenarios'!$D$7,1,0))</f>
        <v/>
      </c>
      <c r="R1266" s="57" t="str">
        <f aca="false">IF($N1266="","",INDEX(BookRate,1261)*(1+'5. Scenarios'!$D$10)*(INDEX(BookQ1,1261)*(5-MIN(4,1+'5. Scenarios'!$D$8))/4+INDEX(BookQ2,1261)*(5-MIN(4,2+'5. Scenarios'!$D$8))/4+INDEX(BookQ3,1261)*(5-MIN(4,3+'5. Scenarios'!$D$8))/4+INDEX(BookQ4,1261)*(5-MIN(4,4+'5. Scenarios'!$D$8))/4)*'5. Scenarios'!$D$6/(1+ProductivityDefault*('5. Scenarios'!$D$11-1))+INDEX(BookOneOff,1261)*$N1266)</f>
        <v/>
      </c>
      <c r="S1266" s="56" t="str">
        <f aca="false">IF(INDEX(BookTitle,1261)="","",INDEX(BookTotal,1261)*'5. Scenarios'!$E$6/(1+ProductivityDefault*('5. Scenarios'!$E$11-1)))</f>
        <v/>
      </c>
      <c r="T1266" s="57" t="str">
        <f aca="false">IF($S1266="","",INDEX(BookRate,1261)*(1+'5. Scenarios'!$E$10)*$S1266)</f>
        <v/>
      </c>
      <c r="U1266" s="57" t="str">
        <f aca="false">IF($T1266="","",SUMIFS($T$6:$T$2405,$A$6:$A$2405,"&lt;="&amp;$A1266))</f>
        <v/>
      </c>
      <c r="V1266" s="57" t="str">
        <f aca="false">IF($T1266="","",IF($U1266&lt;=BankCostEnvelope*'5. Scenarios'!$E$7,1,0))</f>
        <v/>
      </c>
      <c r="W1266" s="57" t="str">
        <f aca="false">IF($S1266="","",INDEX(BookRate,1261)*(1+'5. Scenarios'!$E$10)*(INDEX(BookQ1,1261)*(5-MIN(4,1+'5. Scenarios'!$E$8))/4+INDEX(BookQ2,1261)*(5-MIN(4,2+'5. Scenarios'!$E$8))/4+INDEX(BookQ3,1261)*(5-MIN(4,3+'5. Scenarios'!$E$8))/4+INDEX(BookQ4,1261)*(5-MIN(4,4+'5. Scenarios'!$E$8))/4)*'5. Scenarios'!$E$6/(1+ProductivityDefault*('5. Scenarios'!$E$11-1))+INDEX(BookOneOff,1261)*$S1266)</f>
        <v/>
      </c>
    </row>
    <row r="1267" customFormat="false" ht="15" hidden="false" customHeight="false" outlineLevel="0" collapsed="false">
      <c r="A1267" s="0" t="str">
        <f aca="false">IF(INDEX(BookTitle,1262)="","",INDEX(BookKey,1262))</f>
        <v/>
      </c>
      <c r="B1267" s="0" t="str">
        <f aca="false">IF(INDEX(BookTitle,1262)="","",INDEX(BookGroup,1262))</f>
        <v/>
      </c>
      <c r="C1267" s="0" t="str">
        <f aca="false">IF(INDEX(BookTitle,1262)="","",INDEX(BookCategory,1262))</f>
        <v/>
      </c>
      <c r="D1267" s="56" t="str">
        <f aca="false">IF(INDEX(BookTitle,1262)="","",INDEX(BookTotal,1262)*'5. Scenarios'!$B$6/(1+ProductivityDefault*('5. Scenarios'!$B$11-1)))</f>
        <v/>
      </c>
      <c r="E1267" s="57" t="str">
        <f aca="false">IF($D1267="","",INDEX(BookRate,1262)*(1+'5. Scenarios'!$B$10)*$D1267)</f>
        <v/>
      </c>
      <c r="F1267" s="57" t="str">
        <f aca="false">IF($E1267="","",SUMIFS($E$6:$E$2405,$A$6:$A$2405,"&lt;="&amp;$A1267))</f>
        <v/>
      </c>
      <c r="G1267" s="57" t="str">
        <f aca="false">IF($E1267="","",IF($F1267&lt;=BankCostEnvelope*'5. Scenarios'!$B$7,1,0))</f>
        <v/>
      </c>
      <c r="H1267" s="57" t="str">
        <f aca="false">IF($D1267="","",INDEX(BookRate,1262)*(1+'5. Scenarios'!$B$10)*(INDEX(BookQ1,1262)*(5-MIN(4,1+'5. Scenarios'!$B$8))/4+INDEX(BookQ2,1262)*(5-MIN(4,2+'5. Scenarios'!$B$8))/4+INDEX(BookQ3,1262)*(5-MIN(4,3+'5. Scenarios'!$B$8))/4+INDEX(BookQ4,1262)*(5-MIN(4,4+'5. Scenarios'!$B$8))/4)*'5. Scenarios'!$B$6/(1+ProductivityDefault*('5. Scenarios'!$B$11-1))+INDEX(BookOneOff,1262)*$D1267)</f>
        <v/>
      </c>
      <c r="I1267" s="56" t="str">
        <f aca="false">IF(INDEX(BookTitle,1262)="","",INDEX(BookTotal,1262)*'5. Scenarios'!$C$6/(1+ProductivityDefault*('5. Scenarios'!$C$11-1)))</f>
        <v/>
      </c>
      <c r="J1267" s="57" t="str">
        <f aca="false">IF($I1267="","",INDEX(BookRate,1262)*(1+'5. Scenarios'!$C$10)*$I1267)</f>
        <v/>
      </c>
      <c r="K1267" s="57" t="str">
        <f aca="false">IF($J1267="","",SUMIFS($J$6:$J$2405,$A$6:$A$2405,"&lt;="&amp;$A1267))</f>
        <v/>
      </c>
      <c r="L1267" s="57" t="str">
        <f aca="false">IF($J1267="","",IF($K1267&lt;=BankCostEnvelope*'5. Scenarios'!$C$7,1,0))</f>
        <v/>
      </c>
      <c r="M1267" s="57" t="str">
        <f aca="false">IF($I1267="","",INDEX(BookRate,1262)*(1+'5. Scenarios'!$C$10)*(INDEX(BookQ1,1262)*(5-MIN(4,1+'5. Scenarios'!$C$8))/4+INDEX(BookQ2,1262)*(5-MIN(4,2+'5. Scenarios'!$C$8))/4+INDEX(BookQ3,1262)*(5-MIN(4,3+'5. Scenarios'!$C$8))/4+INDEX(BookQ4,1262)*(5-MIN(4,4+'5. Scenarios'!$C$8))/4)*'5. Scenarios'!$C$6/(1+ProductivityDefault*('5. Scenarios'!$C$11-1))+INDEX(BookOneOff,1262)*$I1267)</f>
        <v/>
      </c>
      <c r="N1267" s="56" t="str">
        <f aca="false">IF(INDEX(BookTitle,1262)="","",INDEX(BookTotal,1262)*'5. Scenarios'!$D$6/(1+ProductivityDefault*('5. Scenarios'!$D$11-1)))</f>
        <v/>
      </c>
      <c r="O1267" s="57" t="str">
        <f aca="false">IF($N1267="","",INDEX(BookRate,1262)*(1+'5. Scenarios'!$D$10)*$N1267)</f>
        <v/>
      </c>
      <c r="P1267" s="57" t="str">
        <f aca="false">IF($O1267="","",SUMIFS($O$6:$O$2405,$A$6:$A$2405,"&lt;="&amp;$A1267))</f>
        <v/>
      </c>
      <c r="Q1267" s="57" t="str">
        <f aca="false">IF($O1267="","",IF($P1267&lt;=BankCostEnvelope*'5. Scenarios'!$D$7,1,0))</f>
        <v/>
      </c>
      <c r="R1267" s="57" t="str">
        <f aca="false">IF($N1267="","",INDEX(BookRate,1262)*(1+'5. Scenarios'!$D$10)*(INDEX(BookQ1,1262)*(5-MIN(4,1+'5. Scenarios'!$D$8))/4+INDEX(BookQ2,1262)*(5-MIN(4,2+'5. Scenarios'!$D$8))/4+INDEX(BookQ3,1262)*(5-MIN(4,3+'5. Scenarios'!$D$8))/4+INDEX(BookQ4,1262)*(5-MIN(4,4+'5. Scenarios'!$D$8))/4)*'5. Scenarios'!$D$6/(1+ProductivityDefault*('5. Scenarios'!$D$11-1))+INDEX(BookOneOff,1262)*$N1267)</f>
        <v/>
      </c>
      <c r="S1267" s="56" t="str">
        <f aca="false">IF(INDEX(BookTitle,1262)="","",INDEX(BookTotal,1262)*'5. Scenarios'!$E$6/(1+ProductivityDefault*('5. Scenarios'!$E$11-1)))</f>
        <v/>
      </c>
      <c r="T1267" s="57" t="str">
        <f aca="false">IF($S1267="","",INDEX(BookRate,1262)*(1+'5. Scenarios'!$E$10)*$S1267)</f>
        <v/>
      </c>
      <c r="U1267" s="57" t="str">
        <f aca="false">IF($T1267="","",SUMIFS($T$6:$T$2405,$A$6:$A$2405,"&lt;="&amp;$A1267))</f>
        <v/>
      </c>
      <c r="V1267" s="57" t="str">
        <f aca="false">IF($T1267="","",IF($U1267&lt;=BankCostEnvelope*'5. Scenarios'!$E$7,1,0))</f>
        <v/>
      </c>
      <c r="W1267" s="57" t="str">
        <f aca="false">IF($S1267="","",INDEX(BookRate,1262)*(1+'5. Scenarios'!$E$10)*(INDEX(BookQ1,1262)*(5-MIN(4,1+'5. Scenarios'!$E$8))/4+INDEX(BookQ2,1262)*(5-MIN(4,2+'5. Scenarios'!$E$8))/4+INDEX(BookQ3,1262)*(5-MIN(4,3+'5. Scenarios'!$E$8))/4+INDEX(BookQ4,1262)*(5-MIN(4,4+'5. Scenarios'!$E$8))/4)*'5. Scenarios'!$E$6/(1+ProductivityDefault*('5. Scenarios'!$E$11-1))+INDEX(BookOneOff,1262)*$S1267)</f>
        <v/>
      </c>
    </row>
    <row r="1268" customFormat="false" ht="15" hidden="false" customHeight="false" outlineLevel="0" collapsed="false">
      <c r="A1268" s="0" t="str">
        <f aca="false">IF(INDEX(BookTitle,1263)="","",INDEX(BookKey,1263))</f>
        <v/>
      </c>
      <c r="B1268" s="0" t="str">
        <f aca="false">IF(INDEX(BookTitle,1263)="","",INDEX(BookGroup,1263))</f>
        <v/>
      </c>
      <c r="C1268" s="0" t="str">
        <f aca="false">IF(INDEX(BookTitle,1263)="","",INDEX(BookCategory,1263))</f>
        <v/>
      </c>
      <c r="D1268" s="56" t="str">
        <f aca="false">IF(INDEX(BookTitle,1263)="","",INDEX(BookTotal,1263)*'5. Scenarios'!$B$6/(1+ProductivityDefault*('5. Scenarios'!$B$11-1)))</f>
        <v/>
      </c>
      <c r="E1268" s="57" t="str">
        <f aca="false">IF($D1268="","",INDEX(BookRate,1263)*(1+'5. Scenarios'!$B$10)*$D1268)</f>
        <v/>
      </c>
      <c r="F1268" s="57" t="str">
        <f aca="false">IF($E1268="","",SUMIFS($E$6:$E$2405,$A$6:$A$2405,"&lt;="&amp;$A1268))</f>
        <v/>
      </c>
      <c r="G1268" s="57" t="str">
        <f aca="false">IF($E1268="","",IF($F1268&lt;=BankCostEnvelope*'5. Scenarios'!$B$7,1,0))</f>
        <v/>
      </c>
      <c r="H1268" s="57" t="str">
        <f aca="false">IF($D1268="","",INDEX(BookRate,1263)*(1+'5. Scenarios'!$B$10)*(INDEX(BookQ1,1263)*(5-MIN(4,1+'5. Scenarios'!$B$8))/4+INDEX(BookQ2,1263)*(5-MIN(4,2+'5. Scenarios'!$B$8))/4+INDEX(BookQ3,1263)*(5-MIN(4,3+'5. Scenarios'!$B$8))/4+INDEX(BookQ4,1263)*(5-MIN(4,4+'5. Scenarios'!$B$8))/4)*'5. Scenarios'!$B$6/(1+ProductivityDefault*('5. Scenarios'!$B$11-1))+INDEX(BookOneOff,1263)*$D1268)</f>
        <v/>
      </c>
      <c r="I1268" s="56" t="str">
        <f aca="false">IF(INDEX(BookTitle,1263)="","",INDEX(BookTotal,1263)*'5. Scenarios'!$C$6/(1+ProductivityDefault*('5. Scenarios'!$C$11-1)))</f>
        <v/>
      </c>
      <c r="J1268" s="57" t="str">
        <f aca="false">IF($I1268="","",INDEX(BookRate,1263)*(1+'5. Scenarios'!$C$10)*$I1268)</f>
        <v/>
      </c>
      <c r="K1268" s="57" t="str">
        <f aca="false">IF($J1268="","",SUMIFS($J$6:$J$2405,$A$6:$A$2405,"&lt;="&amp;$A1268))</f>
        <v/>
      </c>
      <c r="L1268" s="57" t="str">
        <f aca="false">IF($J1268="","",IF($K1268&lt;=BankCostEnvelope*'5. Scenarios'!$C$7,1,0))</f>
        <v/>
      </c>
      <c r="M1268" s="57" t="str">
        <f aca="false">IF($I1268="","",INDEX(BookRate,1263)*(1+'5. Scenarios'!$C$10)*(INDEX(BookQ1,1263)*(5-MIN(4,1+'5. Scenarios'!$C$8))/4+INDEX(BookQ2,1263)*(5-MIN(4,2+'5. Scenarios'!$C$8))/4+INDEX(BookQ3,1263)*(5-MIN(4,3+'5. Scenarios'!$C$8))/4+INDEX(BookQ4,1263)*(5-MIN(4,4+'5. Scenarios'!$C$8))/4)*'5. Scenarios'!$C$6/(1+ProductivityDefault*('5. Scenarios'!$C$11-1))+INDEX(BookOneOff,1263)*$I1268)</f>
        <v/>
      </c>
      <c r="N1268" s="56" t="str">
        <f aca="false">IF(INDEX(BookTitle,1263)="","",INDEX(BookTotal,1263)*'5. Scenarios'!$D$6/(1+ProductivityDefault*('5. Scenarios'!$D$11-1)))</f>
        <v/>
      </c>
      <c r="O1268" s="57" t="str">
        <f aca="false">IF($N1268="","",INDEX(BookRate,1263)*(1+'5. Scenarios'!$D$10)*$N1268)</f>
        <v/>
      </c>
      <c r="P1268" s="57" t="str">
        <f aca="false">IF($O1268="","",SUMIFS($O$6:$O$2405,$A$6:$A$2405,"&lt;="&amp;$A1268))</f>
        <v/>
      </c>
      <c r="Q1268" s="57" t="str">
        <f aca="false">IF($O1268="","",IF($P1268&lt;=BankCostEnvelope*'5. Scenarios'!$D$7,1,0))</f>
        <v/>
      </c>
      <c r="R1268" s="57" t="str">
        <f aca="false">IF($N1268="","",INDEX(BookRate,1263)*(1+'5. Scenarios'!$D$10)*(INDEX(BookQ1,1263)*(5-MIN(4,1+'5. Scenarios'!$D$8))/4+INDEX(BookQ2,1263)*(5-MIN(4,2+'5. Scenarios'!$D$8))/4+INDEX(BookQ3,1263)*(5-MIN(4,3+'5. Scenarios'!$D$8))/4+INDEX(BookQ4,1263)*(5-MIN(4,4+'5. Scenarios'!$D$8))/4)*'5. Scenarios'!$D$6/(1+ProductivityDefault*('5. Scenarios'!$D$11-1))+INDEX(BookOneOff,1263)*$N1268)</f>
        <v/>
      </c>
      <c r="S1268" s="56" t="str">
        <f aca="false">IF(INDEX(BookTitle,1263)="","",INDEX(BookTotal,1263)*'5. Scenarios'!$E$6/(1+ProductivityDefault*('5. Scenarios'!$E$11-1)))</f>
        <v/>
      </c>
      <c r="T1268" s="57" t="str">
        <f aca="false">IF($S1268="","",INDEX(BookRate,1263)*(1+'5. Scenarios'!$E$10)*$S1268)</f>
        <v/>
      </c>
      <c r="U1268" s="57" t="str">
        <f aca="false">IF($T1268="","",SUMIFS($T$6:$T$2405,$A$6:$A$2405,"&lt;="&amp;$A1268))</f>
        <v/>
      </c>
      <c r="V1268" s="57" t="str">
        <f aca="false">IF($T1268="","",IF($U1268&lt;=BankCostEnvelope*'5. Scenarios'!$E$7,1,0))</f>
        <v/>
      </c>
      <c r="W1268" s="57" t="str">
        <f aca="false">IF($S1268="","",INDEX(BookRate,1263)*(1+'5. Scenarios'!$E$10)*(INDEX(BookQ1,1263)*(5-MIN(4,1+'5. Scenarios'!$E$8))/4+INDEX(BookQ2,1263)*(5-MIN(4,2+'5. Scenarios'!$E$8))/4+INDEX(BookQ3,1263)*(5-MIN(4,3+'5. Scenarios'!$E$8))/4+INDEX(BookQ4,1263)*(5-MIN(4,4+'5. Scenarios'!$E$8))/4)*'5. Scenarios'!$E$6/(1+ProductivityDefault*('5. Scenarios'!$E$11-1))+INDEX(BookOneOff,1263)*$S1268)</f>
        <v/>
      </c>
    </row>
    <row r="1269" customFormat="false" ht="15" hidden="false" customHeight="false" outlineLevel="0" collapsed="false">
      <c r="A1269" s="0" t="str">
        <f aca="false">IF(INDEX(BookTitle,1264)="","",INDEX(BookKey,1264))</f>
        <v/>
      </c>
      <c r="B1269" s="0" t="str">
        <f aca="false">IF(INDEX(BookTitle,1264)="","",INDEX(BookGroup,1264))</f>
        <v/>
      </c>
      <c r="C1269" s="0" t="str">
        <f aca="false">IF(INDEX(BookTitle,1264)="","",INDEX(BookCategory,1264))</f>
        <v/>
      </c>
      <c r="D1269" s="56" t="str">
        <f aca="false">IF(INDEX(BookTitle,1264)="","",INDEX(BookTotal,1264)*'5. Scenarios'!$B$6/(1+ProductivityDefault*('5. Scenarios'!$B$11-1)))</f>
        <v/>
      </c>
      <c r="E1269" s="57" t="str">
        <f aca="false">IF($D1269="","",INDEX(BookRate,1264)*(1+'5. Scenarios'!$B$10)*$D1269)</f>
        <v/>
      </c>
      <c r="F1269" s="57" t="str">
        <f aca="false">IF($E1269="","",SUMIFS($E$6:$E$2405,$A$6:$A$2405,"&lt;="&amp;$A1269))</f>
        <v/>
      </c>
      <c r="G1269" s="57" t="str">
        <f aca="false">IF($E1269="","",IF($F1269&lt;=BankCostEnvelope*'5. Scenarios'!$B$7,1,0))</f>
        <v/>
      </c>
      <c r="H1269" s="57" t="str">
        <f aca="false">IF($D1269="","",INDEX(BookRate,1264)*(1+'5. Scenarios'!$B$10)*(INDEX(BookQ1,1264)*(5-MIN(4,1+'5. Scenarios'!$B$8))/4+INDEX(BookQ2,1264)*(5-MIN(4,2+'5. Scenarios'!$B$8))/4+INDEX(BookQ3,1264)*(5-MIN(4,3+'5. Scenarios'!$B$8))/4+INDEX(BookQ4,1264)*(5-MIN(4,4+'5. Scenarios'!$B$8))/4)*'5. Scenarios'!$B$6/(1+ProductivityDefault*('5. Scenarios'!$B$11-1))+INDEX(BookOneOff,1264)*$D1269)</f>
        <v/>
      </c>
      <c r="I1269" s="56" t="str">
        <f aca="false">IF(INDEX(BookTitle,1264)="","",INDEX(BookTotal,1264)*'5. Scenarios'!$C$6/(1+ProductivityDefault*('5. Scenarios'!$C$11-1)))</f>
        <v/>
      </c>
      <c r="J1269" s="57" t="str">
        <f aca="false">IF($I1269="","",INDEX(BookRate,1264)*(1+'5. Scenarios'!$C$10)*$I1269)</f>
        <v/>
      </c>
      <c r="K1269" s="57" t="str">
        <f aca="false">IF($J1269="","",SUMIFS($J$6:$J$2405,$A$6:$A$2405,"&lt;="&amp;$A1269))</f>
        <v/>
      </c>
      <c r="L1269" s="57" t="str">
        <f aca="false">IF($J1269="","",IF($K1269&lt;=BankCostEnvelope*'5. Scenarios'!$C$7,1,0))</f>
        <v/>
      </c>
      <c r="M1269" s="57" t="str">
        <f aca="false">IF($I1269="","",INDEX(BookRate,1264)*(1+'5. Scenarios'!$C$10)*(INDEX(BookQ1,1264)*(5-MIN(4,1+'5. Scenarios'!$C$8))/4+INDEX(BookQ2,1264)*(5-MIN(4,2+'5. Scenarios'!$C$8))/4+INDEX(BookQ3,1264)*(5-MIN(4,3+'5. Scenarios'!$C$8))/4+INDEX(BookQ4,1264)*(5-MIN(4,4+'5. Scenarios'!$C$8))/4)*'5. Scenarios'!$C$6/(1+ProductivityDefault*('5. Scenarios'!$C$11-1))+INDEX(BookOneOff,1264)*$I1269)</f>
        <v/>
      </c>
      <c r="N1269" s="56" t="str">
        <f aca="false">IF(INDEX(BookTitle,1264)="","",INDEX(BookTotal,1264)*'5. Scenarios'!$D$6/(1+ProductivityDefault*('5. Scenarios'!$D$11-1)))</f>
        <v/>
      </c>
      <c r="O1269" s="57" t="str">
        <f aca="false">IF($N1269="","",INDEX(BookRate,1264)*(1+'5. Scenarios'!$D$10)*$N1269)</f>
        <v/>
      </c>
      <c r="P1269" s="57" t="str">
        <f aca="false">IF($O1269="","",SUMIFS($O$6:$O$2405,$A$6:$A$2405,"&lt;="&amp;$A1269))</f>
        <v/>
      </c>
      <c r="Q1269" s="57" t="str">
        <f aca="false">IF($O1269="","",IF($P1269&lt;=BankCostEnvelope*'5. Scenarios'!$D$7,1,0))</f>
        <v/>
      </c>
      <c r="R1269" s="57" t="str">
        <f aca="false">IF($N1269="","",INDEX(BookRate,1264)*(1+'5. Scenarios'!$D$10)*(INDEX(BookQ1,1264)*(5-MIN(4,1+'5. Scenarios'!$D$8))/4+INDEX(BookQ2,1264)*(5-MIN(4,2+'5. Scenarios'!$D$8))/4+INDEX(BookQ3,1264)*(5-MIN(4,3+'5. Scenarios'!$D$8))/4+INDEX(BookQ4,1264)*(5-MIN(4,4+'5. Scenarios'!$D$8))/4)*'5. Scenarios'!$D$6/(1+ProductivityDefault*('5. Scenarios'!$D$11-1))+INDEX(BookOneOff,1264)*$N1269)</f>
        <v/>
      </c>
      <c r="S1269" s="56" t="str">
        <f aca="false">IF(INDEX(BookTitle,1264)="","",INDEX(BookTotal,1264)*'5. Scenarios'!$E$6/(1+ProductivityDefault*('5. Scenarios'!$E$11-1)))</f>
        <v/>
      </c>
      <c r="T1269" s="57" t="str">
        <f aca="false">IF($S1269="","",INDEX(BookRate,1264)*(1+'5. Scenarios'!$E$10)*$S1269)</f>
        <v/>
      </c>
      <c r="U1269" s="57" t="str">
        <f aca="false">IF($T1269="","",SUMIFS($T$6:$T$2405,$A$6:$A$2405,"&lt;="&amp;$A1269))</f>
        <v/>
      </c>
      <c r="V1269" s="57" t="str">
        <f aca="false">IF($T1269="","",IF($U1269&lt;=BankCostEnvelope*'5. Scenarios'!$E$7,1,0))</f>
        <v/>
      </c>
      <c r="W1269" s="57" t="str">
        <f aca="false">IF($S1269="","",INDEX(BookRate,1264)*(1+'5. Scenarios'!$E$10)*(INDEX(BookQ1,1264)*(5-MIN(4,1+'5. Scenarios'!$E$8))/4+INDEX(BookQ2,1264)*(5-MIN(4,2+'5. Scenarios'!$E$8))/4+INDEX(BookQ3,1264)*(5-MIN(4,3+'5. Scenarios'!$E$8))/4+INDEX(BookQ4,1264)*(5-MIN(4,4+'5. Scenarios'!$E$8))/4)*'5. Scenarios'!$E$6/(1+ProductivityDefault*('5. Scenarios'!$E$11-1))+INDEX(BookOneOff,1264)*$S1269)</f>
        <v/>
      </c>
    </row>
    <row r="1270" customFormat="false" ht="15" hidden="false" customHeight="false" outlineLevel="0" collapsed="false">
      <c r="A1270" s="0" t="str">
        <f aca="false">IF(INDEX(BookTitle,1265)="","",INDEX(BookKey,1265))</f>
        <v/>
      </c>
      <c r="B1270" s="0" t="str">
        <f aca="false">IF(INDEX(BookTitle,1265)="","",INDEX(BookGroup,1265))</f>
        <v/>
      </c>
      <c r="C1270" s="0" t="str">
        <f aca="false">IF(INDEX(BookTitle,1265)="","",INDEX(BookCategory,1265))</f>
        <v/>
      </c>
      <c r="D1270" s="56" t="str">
        <f aca="false">IF(INDEX(BookTitle,1265)="","",INDEX(BookTotal,1265)*'5. Scenarios'!$B$6/(1+ProductivityDefault*('5. Scenarios'!$B$11-1)))</f>
        <v/>
      </c>
      <c r="E1270" s="57" t="str">
        <f aca="false">IF($D1270="","",INDEX(BookRate,1265)*(1+'5. Scenarios'!$B$10)*$D1270)</f>
        <v/>
      </c>
      <c r="F1270" s="57" t="str">
        <f aca="false">IF($E1270="","",SUMIFS($E$6:$E$2405,$A$6:$A$2405,"&lt;="&amp;$A1270))</f>
        <v/>
      </c>
      <c r="G1270" s="57" t="str">
        <f aca="false">IF($E1270="","",IF($F1270&lt;=BankCostEnvelope*'5. Scenarios'!$B$7,1,0))</f>
        <v/>
      </c>
      <c r="H1270" s="57" t="str">
        <f aca="false">IF($D1270="","",INDEX(BookRate,1265)*(1+'5. Scenarios'!$B$10)*(INDEX(BookQ1,1265)*(5-MIN(4,1+'5. Scenarios'!$B$8))/4+INDEX(BookQ2,1265)*(5-MIN(4,2+'5. Scenarios'!$B$8))/4+INDEX(BookQ3,1265)*(5-MIN(4,3+'5. Scenarios'!$B$8))/4+INDEX(BookQ4,1265)*(5-MIN(4,4+'5. Scenarios'!$B$8))/4)*'5. Scenarios'!$B$6/(1+ProductivityDefault*('5. Scenarios'!$B$11-1))+INDEX(BookOneOff,1265)*$D1270)</f>
        <v/>
      </c>
      <c r="I1270" s="56" t="str">
        <f aca="false">IF(INDEX(BookTitle,1265)="","",INDEX(BookTotal,1265)*'5. Scenarios'!$C$6/(1+ProductivityDefault*('5. Scenarios'!$C$11-1)))</f>
        <v/>
      </c>
      <c r="J1270" s="57" t="str">
        <f aca="false">IF($I1270="","",INDEX(BookRate,1265)*(1+'5. Scenarios'!$C$10)*$I1270)</f>
        <v/>
      </c>
      <c r="K1270" s="57" t="str">
        <f aca="false">IF($J1270="","",SUMIFS($J$6:$J$2405,$A$6:$A$2405,"&lt;="&amp;$A1270))</f>
        <v/>
      </c>
      <c r="L1270" s="57" t="str">
        <f aca="false">IF($J1270="","",IF($K1270&lt;=BankCostEnvelope*'5. Scenarios'!$C$7,1,0))</f>
        <v/>
      </c>
      <c r="M1270" s="57" t="str">
        <f aca="false">IF($I1270="","",INDEX(BookRate,1265)*(1+'5. Scenarios'!$C$10)*(INDEX(BookQ1,1265)*(5-MIN(4,1+'5. Scenarios'!$C$8))/4+INDEX(BookQ2,1265)*(5-MIN(4,2+'5. Scenarios'!$C$8))/4+INDEX(BookQ3,1265)*(5-MIN(4,3+'5. Scenarios'!$C$8))/4+INDEX(BookQ4,1265)*(5-MIN(4,4+'5. Scenarios'!$C$8))/4)*'5. Scenarios'!$C$6/(1+ProductivityDefault*('5. Scenarios'!$C$11-1))+INDEX(BookOneOff,1265)*$I1270)</f>
        <v/>
      </c>
      <c r="N1270" s="56" t="str">
        <f aca="false">IF(INDEX(BookTitle,1265)="","",INDEX(BookTotal,1265)*'5. Scenarios'!$D$6/(1+ProductivityDefault*('5. Scenarios'!$D$11-1)))</f>
        <v/>
      </c>
      <c r="O1270" s="57" t="str">
        <f aca="false">IF($N1270="","",INDEX(BookRate,1265)*(1+'5. Scenarios'!$D$10)*$N1270)</f>
        <v/>
      </c>
      <c r="P1270" s="57" t="str">
        <f aca="false">IF($O1270="","",SUMIFS($O$6:$O$2405,$A$6:$A$2405,"&lt;="&amp;$A1270))</f>
        <v/>
      </c>
      <c r="Q1270" s="57" t="str">
        <f aca="false">IF($O1270="","",IF($P1270&lt;=BankCostEnvelope*'5. Scenarios'!$D$7,1,0))</f>
        <v/>
      </c>
      <c r="R1270" s="57" t="str">
        <f aca="false">IF($N1270="","",INDEX(BookRate,1265)*(1+'5. Scenarios'!$D$10)*(INDEX(BookQ1,1265)*(5-MIN(4,1+'5. Scenarios'!$D$8))/4+INDEX(BookQ2,1265)*(5-MIN(4,2+'5. Scenarios'!$D$8))/4+INDEX(BookQ3,1265)*(5-MIN(4,3+'5. Scenarios'!$D$8))/4+INDEX(BookQ4,1265)*(5-MIN(4,4+'5. Scenarios'!$D$8))/4)*'5. Scenarios'!$D$6/(1+ProductivityDefault*('5. Scenarios'!$D$11-1))+INDEX(BookOneOff,1265)*$N1270)</f>
        <v/>
      </c>
      <c r="S1270" s="56" t="str">
        <f aca="false">IF(INDEX(BookTitle,1265)="","",INDEX(BookTotal,1265)*'5. Scenarios'!$E$6/(1+ProductivityDefault*('5. Scenarios'!$E$11-1)))</f>
        <v/>
      </c>
      <c r="T1270" s="57" t="str">
        <f aca="false">IF($S1270="","",INDEX(BookRate,1265)*(1+'5. Scenarios'!$E$10)*$S1270)</f>
        <v/>
      </c>
      <c r="U1270" s="57" t="str">
        <f aca="false">IF($T1270="","",SUMIFS($T$6:$T$2405,$A$6:$A$2405,"&lt;="&amp;$A1270))</f>
        <v/>
      </c>
      <c r="V1270" s="57" t="str">
        <f aca="false">IF($T1270="","",IF($U1270&lt;=BankCostEnvelope*'5. Scenarios'!$E$7,1,0))</f>
        <v/>
      </c>
      <c r="W1270" s="57" t="str">
        <f aca="false">IF($S1270="","",INDEX(BookRate,1265)*(1+'5. Scenarios'!$E$10)*(INDEX(BookQ1,1265)*(5-MIN(4,1+'5. Scenarios'!$E$8))/4+INDEX(BookQ2,1265)*(5-MIN(4,2+'5. Scenarios'!$E$8))/4+INDEX(BookQ3,1265)*(5-MIN(4,3+'5. Scenarios'!$E$8))/4+INDEX(BookQ4,1265)*(5-MIN(4,4+'5. Scenarios'!$E$8))/4)*'5. Scenarios'!$E$6/(1+ProductivityDefault*('5. Scenarios'!$E$11-1))+INDEX(BookOneOff,1265)*$S1270)</f>
        <v/>
      </c>
    </row>
    <row r="1271" customFormat="false" ht="15" hidden="false" customHeight="false" outlineLevel="0" collapsed="false">
      <c r="A1271" s="0" t="str">
        <f aca="false">IF(INDEX(BookTitle,1266)="","",INDEX(BookKey,1266))</f>
        <v/>
      </c>
      <c r="B1271" s="0" t="str">
        <f aca="false">IF(INDEX(BookTitle,1266)="","",INDEX(BookGroup,1266))</f>
        <v/>
      </c>
      <c r="C1271" s="0" t="str">
        <f aca="false">IF(INDEX(BookTitle,1266)="","",INDEX(BookCategory,1266))</f>
        <v/>
      </c>
      <c r="D1271" s="56" t="str">
        <f aca="false">IF(INDEX(BookTitle,1266)="","",INDEX(BookTotal,1266)*'5. Scenarios'!$B$6/(1+ProductivityDefault*('5. Scenarios'!$B$11-1)))</f>
        <v/>
      </c>
      <c r="E1271" s="57" t="str">
        <f aca="false">IF($D1271="","",INDEX(BookRate,1266)*(1+'5. Scenarios'!$B$10)*$D1271)</f>
        <v/>
      </c>
      <c r="F1271" s="57" t="str">
        <f aca="false">IF($E1271="","",SUMIFS($E$6:$E$2405,$A$6:$A$2405,"&lt;="&amp;$A1271))</f>
        <v/>
      </c>
      <c r="G1271" s="57" t="str">
        <f aca="false">IF($E1271="","",IF($F1271&lt;=BankCostEnvelope*'5. Scenarios'!$B$7,1,0))</f>
        <v/>
      </c>
      <c r="H1271" s="57" t="str">
        <f aca="false">IF($D1271="","",INDEX(BookRate,1266)*(1+'5. Scenarios'!$B$10)*(INDEX(BookQ1,1266)*(5-MIN(4,1+'5. Scenarios'!$B$8))/4+INDEX(BookQ2,1266)*(5-MIN(4,2+'5. Scenarios'!$B$8))/4+INDEX(BookQ3,1266)*(5-MIN(4,3+'5. Scenarios'!$B$8))/4+INDEX(BookQ4,1266)*(5-MIN(4,4+'5. Scenarios'!$B$8))/4)*'5. Scenarios'!$B$6/(1+ProductivityDefault*('5. Scenarios'!$B$11-1))+INDEX(BookOneOff,1266)*$D1271)</f>
        <v/>
      </c>
      <c r="I1271" s="56" t="str">
        <f aca="false">IF(INDEX(BookTitle,1266)="","",INDEX(BookTotal,1266)*'5. Scenarios'!$C$6/(1+ProductivityDefault*('5. Scenarios'!$C$11-1)))</f>
        <v/>
      </c>
      <c r="J1271" s="57" t="str">
        <f aca="false">IF($I1271="","",INDEX(BookRate,1266)*(1+'5. Scenarios'!$C$10)*$I1271)</f>
        <v/>
      </c>
      <c r="K1271" s="57" t="str">
        <f aca="false">IF($J1271="","",SUMIFS($J$6:$J$2405,$A$6:$A$2405,"&lt;="&amp;$A1271))</f>
        <v/>
      </c>
      <c r="L1271" s="57" t="str">
        <f aca="false">IF($J1271="","",IF($K1271&lt;=BankCostEnvelope*'5. Scenarios'!$C$7,1,0))</f>
        <v/>
      </c>
      <c r="M1271" s="57" t="str">
        <f aca="false">IF($I1271="","",INDEX(BookRate,1266)*(1+'5. Scenarios'!$C$10)*(INDEX(BookQ1,1266)*(5-MIN(4,1+'5. Scenarios'!$C$8))/4+INDEX(BookQ2,1266)*(5-MIN(4,2+'5. Scenarios'!$C$8))/4+INDEX(BookQ3,1266)*(5-MIN(4,3+'5. Scenarios'!$C$8))/4+INDEX(BookQ4,1266)*(5-MIN(4,4+'5. Scenarios'!$C$8))/4)*'5. Scenarios'!$C$6/(1+ProductivityDefault*('5. Scenarios'!$C$11-1))+INDEX(BookOneOff,1266)*$I1271)</f>
        <v/>
      </c>
      <c r="N1271" s="56" t="str">
        <f aca="false">IF(INDEX(BookTitle,1266)="","",INDEX(BookTotal,1266)*'5. Scenarios'!$D$6/(1+ProductivityDefault*('5. Scenarios'!$D$11-1)))</f>
        <v/>
      </c>
      <c r="O1271" s="57" t="str">
        <f aca="false">IF($N1271="","",INDEX(BookRate,1266)*(1+'5. Scenarios'!$D$10)*$N1271)</f>
        <v/>
      </c>
      <c r="P1271" s="57" t="str">
        <f aca="false">IF($O1271="","",SUMIFS($O$6:$O$2405,$A$6:$A$2405,"&lt;="&amp;$A1271))</f>
        <v/>
      </c>
      <c r="Q1271" s="57" t="str">
        <f aca="false">IF($O1271="","",IF($P1271&lt;=BankCostEnvelope*'5. Scenarios'!$D$7,1,0))</f>
        <v/>
      </c>
      <c r="R1271" s="57" t="str">
        <f aca="false">IF($N1271="","",INDEX(BookRate,1266)*(1+'5. Scenarios'!$D$10)*(INDEX(BookQ1,1266)*(5-MIN(4,1+'5. Scenarios'!$D$8))/4+INDEX(BookQ2,1266)*(5-MIN(4,2+'5. Scenarios'!$D$8))/4+INDEX(BookQ3,1266)*(5-MIN(4,3+'5. Scenarios'!$D$8))/4+INDEX(BookQ4,1266)*(5-MIN(4,4+'5. Scenarios'!$D$8))/4)*'5. Scenarios'!$D$6/(1+ProductivityDefault*('5. Scenarios'!$D$11-1))+INDEX(BookOneOff,1266)*$N1271)</f>
        <v/>
      </c>
      <c r="S1271" s="56" t="str">
        <f aca="false">IF(INDEX(BookTitle,1266)="","",INDEX(BookTotal,1266)*'5. Scenarios'!$E$6/(1+ProductivityDefault*('5. Scenarios'!$E$11-1)))</f>
        <v/>
      </c>
      <c r="T1271" s="57" t="str">
        <f aca="false">IF($S1271="","",INDEX(BookRate,1266)*(1+'5. Scenarios'!$E$10)*$S1271)</f>
        <v/>
      </c>
      <c r="U1271" s="57" t="str">
        <f aca="false">IF($T1271="","",SUMIFS($T$6:$T$2405,$A$6:$A$2405,"&lt;="&amp;$A1271))</f>
        <v/>
      </c>
      <c r="V1271" s="57" t="str">
        <f aca="false">IF($T1271="","",IF($U1271&lt;=BankCostEnvelope*'5. Scenarios'!$E$7,1,0))</f>
        <v/>
      </c>
      <c r="W1271" s="57" t="str">
        <f aca="false">IF($S1271="","",INDEX(BookRate,1266)*(1+'5. Scenarios'!$E$10)*(INDEX(BookQ1,1266)*(5-MIN(4,1+'5. Scenarios'!$E$8))/4+INDEX(BookQ2,1266)*(5-MIN(4,2+'5. Scenarios'!$E$8))/4+INDEX(BookQ3,1266)*(5-MIN(4,3+'5. Scenarios'!$E$8))/4+INDEX(BookQ4,1266)*(5-MIN(4,4+'5. Scenarios'!$E$8))/4)*'5. Scenarios'!$E$6/(1+ProductivityDefault*('5. Scenarios'!$E$11-1))+INDEX(BookOneOff,1266)*$S1271)</f>
        <v/>
      </c>
    </row>
    <row r="1272" customFormat="false" ht="15" hidden="false" customHeight="false" outlineLevel="0" collapsed="false">
      <c r="A1272" s="0" t="str">
        <f aca="false">IF(INDEX(BookTitle,1267)="","",INDEX(BookKey,1267))</f>
        <v/>
      </c>
      <c r="B1272" s="0" t="str">
        <f aca="false">IF(INDEX(BookTitle,1267)="","",INDEX(BookGroup,1267))</f>
        <v/>
      </c>
      <c r="C1272" s="0" t="str">
        <f aca="false">IF(INDEX(BookTitle,1267)="","",INDEX(BookCategory,1267))</f>
        <v/>
      </c>
      <c r="D1272" s="56" t="str">
        <f aca="false">IF(INDEX(BookTitle,1267)="","",INDEX(BookTotal,1267)*'5. Scenarios'!$B$6/(1+ProductivityDefault*('5. Scenarios'!$B$11-1)))</f>
        <v/>
      </c>
      <c r="E1272" s="57" t="str">
        <f aca="false">IF($D1272="","",INDEX(BookRate,1267)*(1+'5. Scenarios'!$B$10)*$D1272)</f>
        <v/>
      </c>
      <c r="F1272" s="57" t="str">
        <f aca="false">IF($E1272="","",SUMIFS($E$6:$E$2405,$A$6:$A$2405,"&lt;="&amp;$A1272))</f>
        <v/>
      </c>
      <c r="G1272" s="57" t="str">
        <f aca="false">IF($E1272="","",IF($F1272&lt;=BankCostEnvelope*'5. Scenarios'!$B$7,1,0))</f>
        <v/>
      </c>
      <c r="H1272" s="57" t="str">
        <f aca="false">IF($D1272="","",INDEX(BookRate,1267)*(1+'5. Scenarios'!$B$10)*(INDEX(BookQ1,1267)*(5-MIN(4,1+'5. Scenarios'!$B$8))/4+INDEX(BookQ2,1267)*(5-MIN(4,2+'5. Scenarios'!$B$8))/4+INDEX(BookQ3,1267)*(5-MIN(4,3+'5. Scenarios'!$B$8))/4+INDEX(BookQ4,1267)*(5-MIN(4,4+'5. Scenarios'!$B$8))/4)*'5. Scenarios'!$B$6/(1+ProductivityDefault*('5. Scenarios'!$B$11-1))+INDEX(BookOneOff,1267)*$D1272)</f>
        <v/>
      </c>
      <c r="I1272" s="56" t="str">
        <f aca="false">IF(INDEX(BookTitle,1267)="","",INDEX(BookTotal,1267)*'5. Scenarios'!$C$6/(1+ProductivityDefault*('5. Scenarios'!$C$11-1)))</f>
        <v/>
      </c>
      <c r="J1272" s="57" t="str">
        <f aca="false">IF($I1272="","",INDEX(BookRate,1267)*(1+'5. Scenarios'!$C$10)*$I1272)</f>
        <v/>
      </c>
      <c r="K1272" s="57" t="str">
        <f aca="false">IF($J1272="","",SUMIFS($J$6:$J$2405,$A$6:$A$2405,"&lt;="&amp;$A1272))</f>
        <v/>
      </c>
      <c r="L1272" s="57" t="str">
        <f aca="false">IF($J1272="","",IF($K1272&lt;=BankCostEnvelope*'5. Scenarios'!$C$7,1,0))</f>
        <v/>
      </c>
      <c r="M1272" s="57" t="str">
        <f aca="false">IF($I1272="","",INDEX(BookRate,1267)*(1+'5. Scenarios'!$C$10)*(INDEX(BookQ1,1267)*(5-MIN(4,1+'5. Scenarios'!$C$8))/4+INDEX(BookQ2,1267)*(5-MIN(4,2+'5. Scenarios'!$C$8))/4+INDEX(BookQ3,1267)*(5-MIN(4,3+'5. Scenarios'!$C$8))/4+INDEX(BookQ4,1267)*(5-MIN(4,4+'5. Scenarios'!$C$8))/4)*'5. Scenarios'!$C$6/(1+ProductivityDefault*('5. Scenarios'!$C$11-1))+INDEX(BookOneOff,1267)*$I1272)</f>
        <v/>
      </c>
      <c r="N1272" s="56" t="str">
        <f aca="false">IF(INDEX(BookTitle,1267)="","",INDEX(BookTotal,1267)*'5. Scenarios'!$D$6/(1+ProductivityDefault*('5. Scenarios'!$D$11-1)))</f>
        <v/>
      </c>
      <c r="O1272" s="57" t="str">
        <f aca="false">IF($N1272="","",INDEX(BookRate,1267)*(1+'5. Scenarios'!$D$10)*$N1272)</f>
        <v/>
      </c>
      <c r="P1272" s="57" t="str">
        <f aca="false">IF($O1272="","",SUMIFS($O$6:$O$2405,$A$6:$A$2405,"&lt;="&amp;$A1272))</f>
        <v/>
      </c>
      <c r="Q1272" s="57" t="str">
        <f aca="false">IF($O1272="","",IF($P1272&lt;=BankCostEnvelope*'5. Scenarios'!$D$7,1,0))</f>
        <v/>
      </c>
      <c r="R1272" s="57" t="str">
        <f aca="false">IF($N1272="","",INDEX(BookRate,1267)*(1+'5. Scenarios'!$D$10)*(INDEX(BookQ1,1267)*(5-MIN(4,1+'5. Scenarios'!$D$8))/4+INDEX(BookQ2,1267)*(5-MIN(4,2+'5. Scenarios'!$D$8))/4+INDEX(BookQ3,1267)*(5-MIN(4,3+'5. Scenarios'!$D$8))/4+INDEX(BookQ4,1267)*(5-MIN(4,4+'5. Scenarios'!$D$8))/4)*'5. Scenarios'!$D$6/(1+ProductivityDefault*('5. Scenarios'!$D$11-1))+INDEX(BookOneOff,1267)*$N1272)</f>
        <v/>
      </c>
      <c r="S1272" s="56" t="str">
        <f aca="false">IF(INDEX(BookTitle,1267)="","",INDEX(BookTotal,1267)*'5. Scenarios'!$E$6/(1+ProductivityDefault*('5. Scenarios'!$E$11-1)))</f>
        <v/>
      </c>
      <c r="T1272" s="57" t="str">
        <f aca="false">IF($S1272="","",INDEX(BookRate,1267)*(1+'5. Scenarios'!$E$10)*$S1272)</f>
        <v/>
      </c>
      <c r="U1272" s="57" t="str">
        <f aca="false">IF($T1272="","",SUMIFS($T$6:$T$2405,$A$6:$A$2405,"&lt;="&amp;$A1272))</f>
        <v/>
      </c>
      <c r="V1272" s="57" t="str">
        <f aca="false">IF($T1272="","",IF($U1272&lt;=BankCostEnvelope*'5. Scenarios'!$E$7,1,0))</f>
        <v/>
      </c>
      <c r="W1272" s="57" t="str">
        <f aca="false">IF($S1272="","",INDEX(BookRate,1267)*(1+'5. Scenarios'!$E$10)*(INDEX(BookQ1,1267)*(5-MIN(4,1+'5. Scenarios'!$E$8))/4+INDEX(BookQ2,1267)*(5-MIN(4,2+'5. Scenarios'!$E$8))/4+INDEX(BookQ3,1267)*(5-MIN(4,3+'5. Scenarios'!$E$8))/4+INDEX(BookQ4,1267)*(5-MIN(4,4+'5. Scenarios'!$E$8))/4)*'5. Scenarios'!$E$6/(1+ProductivityDefault*('5. Scenarios'!$E$11-1))+INDEX(BookOneOff,1267)*$S1272)</f>
        <v/>
      </c>
    </row>
    <row r="1273" customFormat="false" ht="15" hidden="false" customHeight="false" outlineLevel="0" collapsed="false">
      <c r="A1273" s="0" t="str">
        <f aca="false">IF(INDEX(BookTitle,1268)="","",INDEX(BookKey,1268))</f>
        <v/>
      </c>
      <c r="B1273" s="0" t="str">
        <f aca="false">IF(INDEX(BookTitle,1268)="","",INDEX(BookGroup,1268))</f>
        <v/>
      </c>
      <c r="C1273" s="0" t="str">
        <f aca="false">IF(INDEX(BookTitle,1268)="","",INDEX(BookCategory,1268))</f>
        <v/>
      </c>
      <c r="D1273" s="56" t="str">
        <f aca="false">IF(INDEX(BookTitle,1268)="","",INDEX(BookTotal,1268)*'5. Scenarios'!$B$6/(1+ProductivityDefault*('5. Scenarios'!$B$11-1)))</f>
        <v/>
      </c>
      <c r="E1273" s="57" t="str">
        <f aca="false">IF($D1273="","",INDEX(BookRate,1268)*(1+'5. Scenarios'!$B$10)*$D1273)</f>
        <v/>
      </c>
      <c r="F1273" s="57" t="str">
        <f aca="false">IF($E1273="","",SUMIFS($E$6:$E$2405,$A$6:$A$2405,"&lt;="&amp;$A1273))</f>
        <v/>
      </c>
      <c r="G1273" s="57" t="str">
        <f aca="false">IF($E1273="","",IF($F1273&lt;=BankCostEnvelope*'5. Scenarios'!$B$7,1,0))</f>
        <v/>
      </c>
      <c r="H1273" s="57" t="str">
        <f aca="false">IF($D1273="","",INDEX(BookRate,1268)*(1+'5. Scenarios'!$B$10)*(INDEX(BookQ1,1268)*(5-MIN(4,1+'5. Scenarios'!$B$8))/4+INDEX(BookQ2,1268)*(5-MIN(4,2+'5. Scenarios'!$B$8))/4+INDEX(BookQ3,1268)*(5-MIN(4,3+'5. Scenarios'!$B$8))/4+INDEX(BookQ4,1268)*(5-MIN(4,4+'5. Scenarios'!$B$8))/4)*'5. Scenarios'!$B$6/(1+ProductivityDefault*('5. Scenarios'!$B$11-1))+INDEX(BookOneOff,1268)*$D1273)</f>
        <v/>
      </c>
      <c r="I1273" s="56" t="str">
        <f aca="false">IF(INDEX(BookTitle,1268)="","",INDEX(BookTotal,1268)*'5. Scenarios'!$C$6/(1+ProductivityDefault*('5. Scenarios'!$C$11-1)))</f>
        <v/>
      </c>
      <c r="J1273" s="57" t="str">
        <f aca="false">IF($I1273="","",INDEX(BookRate,1268)*(1+'5. Scenarios'!$C$10)*$I1273)</f>
        <v/>
      </c>
      <c r="K1273" s="57" t="str">
        <f aca="false">IF($J1273="","",SUMIFS($J$6:$J$2405,$A$6:$A$2405,"&lt;="&amp;$A1273))</f>
        <v/>
      </c>
      <c r="L1273" s="57" t="str">
        <f aca="false">IF($J1273="","",IF($K1273&lt;=BankCostEnvelope*'5. Scenarios'!$C$7,1,0))</f>
        <v/>
      </c>
      <c r="M1273" s="57" t="str">
        <f aca="false">IF($I1273="","",INDEX(BookRate,1268)*(1+'5. Scenarios'!$C$10)*(INDEX(BookQ1,1268)*(5-MIN(4,1+'5. Scenarios'!$C$8))/4+INDEX(BookQ2,1268)*(5-MIN(4,2+'5. Scenarios'!$C$8))/4+INDEX(BookQ3,1268)*(5-MIN(4,3+'5. Scenarios'!$C$8))/4+INDEX(BookQ4,1268)*(5-MIN(4,4+'5. Scenarios'!$C$8))/4)*'5. Scenarios'!$C$6/(1+ProductivityDefault*('5. Scenarios'!$C$11-1))+INDEX(BookOneOff,1268)*$I1273)</f>
        <v/>
      </c>
      <c r="N1273" s="56" t="str">
        <f aca="false">IF(INDEX(BookTitle,1268)="","",INDEX(BookTotal,1268)*'5. Scenarios'!$D$6/(1+ProductivityDefault*('5. Scenarios'!$D$11-1)))</f>
        <v/>
      </c>
      <c r="O1273" s="57" t="str">
        <f aca="false">IF($N1273="","",INDEX(BookRate,1268)*(1+'5. Scenarios'!$D$10)*$N1273)</f>
        <v/>
      </c>
      <c r="P1273" s="57" t="str">
        <f aca="false">IF($O1273="","",SUMIFS($O$6:$O$2405,$A$6:$A$2405,"&lt;="&amp;$A1273))</f>
        <v/>
      </c>
      <c r="Q1273" s="57" t="str">
        <f aca="false">IF($O1273="","",IF($P1273&lt;=BankCostEnvelope*'5. Scenarios'!$D$7,1,0))</f>
        <v/>
      </c>
      <c r="R1273" s="57" t="str">
        <f aca="false">IF($N1273="","",INDEX(BookRate,1268)*(1+'5. Scenarios'!$D$10)*(INDEX(BookQ1,1268)*(5-MIN(4,1+'5. Scenarios'!$D$8))/4+INDEX(BookQ2,1268)*(5-MIN(4,2+'5. Scenarios'!$D$8))/4+INDEX(BookQ3,1268)*(5-MIN(4,3+'5. Scenarios'!$D$8))/4+INDEX(BookQ4,1268)*(5-MIN(4,4+'5. Scenarios'!$D$8))/4)*'5. Scenarios'!$D$6/(1+ProductivityDefault*('5. Scenarios'!$D$11-1))+INDEX(BookOneOff,1268)*$N1273)</f>
        <v/>
      </c>
      <c r="S1273" s="56" t="str">
        <f aca="false">IF(INDEX(BookTitle,1268)="","",INDEX(BookTotal,1268)*'5. Scenarios'!$E$6/(1+ProductivityDefault*('5. Scenarios'!$E$11-1)))</f>
        <v/>
      </c>
      <c r="T1273" s="57" t="str">
        <f aca="false">IF($S1273="","",INDEX(BookRate,1268)*(1+'5. Scenarios'!$E$10)*$S1273)</f>
        <v/>
      </c>
      <c r="U1273" s="57" t="str">
        <f aca="false">IF($T1273="","",SUMIFS($T$6:$T$2405,$A$6:$A$2405,"&lt;="&amp;$A1273))</f>
        <v/>
      </c>
      <c r="V1273" s="57" t="str">
        <f aca="false">IF($T1273="","",IF($U1273&lt;=BankCostEnvelope*'5. Scenarios'!$E$7,1,0))</f>
        <v/>
      </c>
      <c r="W1273" s="57" t="str">
        <f aca="false">IF($S1273="","",INDEX(BookRate,1268)*(1+'5. Scenarios'!$E$10)*(INDEX(BookQ1,1268)*(5-MIN(4,1+'5. Scenarios'!$E$8))/4+INDEX(BookQ2,1268)*(5-MIN(4,2+'5. Scenarios'!$E$8))/4+INDEX(BookQ3,1268)*(5-MIN(4,3+'5. Scenarios'!$E$8))/4+INDEX(BookQ4,1268)*(5-MIN(4,4+'5. Scenarios'!$E$8))/4)*'5. Scenarios'!$E$6/(1+ProductivityDefault*('5. Scenarios'!$E$11-1))+INDEX(BookOneOff,1268)*$S1273)</f>
        <v/>
      </c>
    </row>
    <row r="1274" customFormat="false" ht="15" hidden="false" customHeight="false" outlineLevel="0" collapsed="false">
      <c r="A1274" s="0" t="str">
        <f aca="false">IF(INDEX(BookTitle,1269)="","",INDEX(BookKey,1269))</f>
        <v/>
      </c>
      <c r="B1274" s="0" t="str">
        <f aca="false">IF(INDEX(BookTitle,1269)="","",INDEX(BookGroup,1269))</f>
        <v/>
      </c>
      <c r="C1274" s="0" t="str">
        <f aca="false">IF(INDEX(BookTitle,1269)="","",INDEX(BookCategory,1269))</f>
        <v/>
      </c>
      <c r="D1274" s="56" t="str">
        <f aca="false">IF(INDEX(BookTitle,1269)="","",INDEX(BookTotal,1269)*'5. Scenarios'!$B$6/(1+ProductivityDefault*('5. Scenarios'!$B$11-1)))</f>
        <v/>
      </c>
      <c r="E1274" s="57" t="str">
        <f aca="false">IF($D1274="","",INDEX(BookRate,1269)*(1+'5. Scenarios'!$B$10)*$D1274)</f>
        <v/>
      </c>
      <c r="F1274" s="57" t="str">
        <f aca="false">IF($E1274="","",SUMIFS($E$6:$E$2405,$A$6:$A$2405,"&lt;="&amp;$A1274))</f>
        <v/>
      </c>
      <c r="G1274" s="57" t="str">
        <f aca="false">IF($E1274="","",IF($F1274&lt;=BankCostEnvelope*'5. Scenarios'!$B$7,1,0))</f>
        <v/>
      </c>
      <c r="H1274" s="57" t="str">
        <f aca="false">IF($D1274="","",INDEX(BookRate,1269)*(1+'5. Scenarios'!$B$10)*(INDEX(BookQ1,1269)*(5-MIN(4,1+'5. Scenarios'!$B$8))/4+INDEX(BookQ2,1269)*(5-MIN(4,2+'5. Scenarios'!$B$8))/4+INDEX(BookQ3,1269)*(5-MIN(4,3+'5. Scenarios'!$B$8))/4+INDEX(BookQ4,1269)*(5-MIN(4,4+'5. Scenarios'!$B$8))/4)*'5. Scenarios'!$B$6/(1+ProductivityDefault*('5. Scenarios'!$B$11-1))+INDEX(BookOneOff,1269)*$D1274)</f>
        <v/>
      </c>
      <c r="I1274" s="56" t="str">
        <f aca="false">IF(INDEX(BookTitle,1269)="","",INDEX(BookTotal,1269)*'5. Scenarios'!$C$6/(1+ProductivityDefault*('5. Scenarios'!$C$11-1)))</f>
        <v/>
      </c>
      <c r="J1274" s="57" t="str">
        <f aca="false">IF($I1274="","",INDEX(BookRate,1269)*(1+'5. Scenarios'!$C$10)*$I1274)</f>
        <v/>
      </c>
      <c r="K1274" s="57" t="str">
        <f aca="false">IF($J1274="","",SUMIFS($J$6:$J$2405,$A$6:$A$2405,"&lt;="&amp;$A1274))</f>
        <v/>
      </c>
      <c r="L1274" s="57" t="str">
        <f aca="false">IF($J1274="","",IF($K1274&lt;=BankCostEnvelope*'5. Scenarios'!$C$7,1,0))</f>
        <v/>
      </c>
      <c r="M1274" s="57" t="str">
        <f aca="false">IF($I1274="","",INDEX(BookRate,1269)*(1+'5. Scenarios'!$C$10)*(INDEX(BookQ1,1269)*(5-MIN(4,1+'5. Scenarios'!$C$8))/4+INDEX(BookQ2,1269)*(5-MIN(4,2+'5. Scenarios'!$C$8))/4+INDEX(BookQ3,1269)*(5-MIN(4,3+'5. Scenarios'!$C$8))/4+INDEX(BookQ4,1269)*(5-MIN(4,4+'5. Scenarios'!$C$8))/4)*'5. Scenarios'!$C$6/(1+ProductivityDefault*('5. Scenarios'!$C$11-1))+INDEX(BookOneOff,1269)*$I1274)</f>
        <v/>
      </c>
      <c r="N1274" s="56" t="str">
        <f aca="false">IF(INDEX(BookTitle,1269)="","",INDEX(BookTotal,1269)*'5. Scenarios'!$D$6/(1+ProductivityDefault*('5. Scenarios'!$D$11-1)))</f>
        <v/>
      </c>
      <c r="O1274" s="57" t="str">
        <f aca="false">IF($N1274="","",INDEX(BookRate,1269)*(1+'5. Scenarios'!$D$10)*$N1274)</f>
        <v/>
      </c>
      <c r="P1274" s="57" t="str">
        <f aca="false">IF($O1274="","",SUMIFS($O$6:$O$2405,$A$6:$A$2405,"&lt;="&amp;$A1274))</f>
        <v/>
      </c>
      <c r="Q1274" s="57" t="str">
        <f aca="false">IF($O1274="","",IF($P1274&lt;=BankCostEnvelope*'5. Scenarios'!$D$7,1,0))</f>
        <v/>
      </c>
      <c r="R1274" s="57" t="str">
        <f aca="false">IF($N1274="","",INDEX(BookRate,1269)*(1+'5. Scenarios'!$D$10)*(INDEX(BookQ1,1269)*(5-MIN(4,1+'5. Scenarios'!$D$8))/4+INDEX(BookQ2,1269)*(5-MIN(4,2+'5. Scenarios'!$D$8))/4+INDEX(BookQ3,1269)*(5-MIN(4,3+'5. Scenarios'!$D$8))/4+INDEX(BookQ4,1269)*(5-MIN(4,4+'5. Scenarios'!$D$8))/4)*'5. Scenarios'!$D$6/(1+ProductivityDefault*('5. Scenarios'!$D$11-1))+INDEX(BookOneOff,1269)*$N1274)</f>
        <v/>
      </c>
      <c r="S1274" s="56" t="str">
        <f aca="false">IF(INDEX(BookTitle,1269)="","",INDEX(BookTotal,1269)*'5. Scenarios'!$E$6/(1+ProductivityDefault*('5. Scenarios'!$E$11-1)))</f>
        <v/>
      </c>
      <c r="T1274" s="57" t="str">
        <f aca="false">IF($S1274="","",INDEX(BookRate,1269)*(1+'5. Scenarios'!$E$10)*$S1274)</f>
        <v/>
      </c>
      <c r="U1274" s="57" t="str">
        <f aca="false">IF($T1274="","",SUMIFS($T$6:$T$2405,$A$6:$A$2405,"&lt;="&amp;$A1274))</f>
        <v/>
      </c>
      <c r="V1274" s="57" t="str">
        <f aca="false">IF($T1274="","",IF($U1274&lt;=BankCostEnvelope*'5. Scenarios'!$E$7,1,0))</f>
        <v/>
      </c>
      <c r="W1274" s="57" t="str">
        <f aca="false">IF($S1274="","",INDEX(BookRate,1269)*(1+'5. Scenarios'!$E$10)*(INDEX(BookQ1,1269)*(5-MIN(4,1+'5. Scenarios'!$E$8))/4+INDEX(BookQ2,1269)*(5-MIN(4,2+'5. Scenarios'!$E$8))/4+INDEX(BookQ3,1269)*(5-MIN(4,3+'5. Scenarios'!$E$8))/4+INDEX(BookQ4,1269)*(5-MIN(4,4+'5. Scenarios'!$E$8))/4)*'5. Scenarios'!$E$6/(1+ProductivityDefault*('5. Scenarios'!$E$11-1))+INDEX(BookOneOff,1269)*$S1274)</f>
        <v/>
      </c>
    </row>
    <row r="1275" customFormat="false" ht="15" hidden="false" customHeight="false" outlineLevel="0" collapsed="false">
      <c r="A1275" s="0" t="str">
        <f aca="false">IF(INDEX(BookTitle,1270)="","",INDEX(BookKey,1270))</f>
        <v/>
      </c>
      <c r="B1275" s="0" t="str">
        <f aca="false">IF(INDEX(BookTitle,1270)="","",INDEX(BookGroup,1270))</f>
        <v/>
      </c>
      <c r="C1275" s="0" t="str">
        <f aca="false">IF(INDEX(BookTitle,1270)="","",INDEX(BookCategory,1270))</f>
        <v/>
      </c>
      <c r="D1275" s="56" t="str">
        <f aca="false">IF(INDEX(BookTitle,1270)="","",INDEX(BookTotal,1270)*'5. Scenarios'!$B$6/(1+ProductivityDefault*('5. Scenarios'!$B$11-1)))</f>
        <v/>
      </c>
      <c r="E1275" s="57" t="str">
        <f aca="false">IF($D1275="","",INDEX(BookRate,1270)*(1+'5. Scenarios'!$B$10)*$D1275)</f>
        <v/>
      </c>
      <c r="F1275" s="57" t="str">
        <f aca="false">IF($E1275="","",SUMIFS($E$6:$E$2405,$A$6:$A$2405,"&lt;="&amp;$A1275))</f>
        <v/>
      </c>
      <c r="G1275" s="57" t="str">
        <f aca="false">IF($E1275="","",IF($F1275&lt;=BankCostEnvelope*'5. Scenarios'!$B$7,1,0))</f>
        <v/>
      </c>
      <c r="H1275" s="57" t="str">
        <f aca="false">IF($D1275="","",INDEX(BookRate,1270)*(1+'5. Scenarios'!$B$10)*(INDEX(BookQ1,1270)*(5-MIN(4,1+'5. Scenarios'!$B$8))/4+INDEX(BookQ2,1270)*(5-MIN(4,2+'5. Scenarios'!$B$8))/4+INDEX(BookQ3,1270)*(5-MIN(4,3+'5. Scenarios'!$B$8))/4+INDEX(BookQ4,1270)*(5-MIN(4,4+'5. Scenarios'!$B$8))/4)*'5. Scenarios'!$B$6/(1+ProductivityDefault*('5. Scenarios'!$B$11-1))+INDEX(BookOneOff,1270)*$D1275)</f>
        <v/>
      </c>
      <c r="I1275" s="56" t="str">
        <f aca="false">IF(INDEX(BookTitle,1270)="","",INDEX(BookTotal,1270)*'5. Scenarios'!$C$6/(1+ProductivityDefault*('5. Scenarios'!$C$11-1)))</f>
        <v/>
      </c>
      <c r="J1275" s="57" t="str">
        <f aca="false">IF($I1275="","",INDEX(BookRate,1270)*(1+'5. Scenarios'!$C$10)*$I1275)</f>
        <v/>
      </c>
      <c r="K1275" s="57" t="str">
        <f aca="false">IF($J1275="","",SUMIFS($J$6:$J$2405,$A$6:$A$2405,"&lt;="&amp;$A1275))</f>
        <v/>
      </c>
      <c r="L1275" s="57" t="str">
        <f aca="false">IF($J1275="","",IF($K1275&lt;=BankCostEnvelope*'5. Scenarios'!$C$7,1,0))</f>
        <v/>
      </c>
      <c r="M1275" s="57" t="str">
        <f aca="false">IF($I1275="","",INDEX(BookRate,1270)*(1+'5. Scenarios'!$C$10)*(INDEX(BookQ1,1270)*(5-MIN(4,1+'5. Scenarios'!$C$8))/4+INDEX(BookQ2,1270)*(5-MIN(4,2+'5. Scenarios'!$C$8))/4+INDEX(BookQ3,1270)*(5-MIN(4,3+'5. Scenarios'!$C$8))/4+INDEX(BookQ4,1270)*(5-MIN(4,4+'5. Scenarios'!$C$8))/4)*'5. Scenarios'!$C$6/(1+ProductivityDefault*('5. Scenarios'!$C$11-1))+INDEX(BookOneOff,1270)*$I1275)</f>
        <v/>
      </c>
      <c r="N1275" s="56" t="str">
        <f aca="false">IF(INDEX(BookTitle,1270)="","",INDEX(BookTotal,1270)*'5. Scenarios'!$D$6/(1+ProductivityDefault*('5. Scenarios'!$D$11-1)))</f>
        <v/>
      </c>
      <c r="O1275" s="57" t="str">
        <f aca="false">IF($N1275="","",INDEX(BookRate,1270)*(1+'5. Scenarios'!$D$10)*$N1275)</f>
        <v/>
      </c>
      <c r="P1275" s="57" t="str">
        <f aca="false">IF($O1275="","",SUMIFS($O$6:$O$2405,$A$6:$A$2405,"&lt;="&amp;$A1275))</f>
        <v/>
      </c>
      <c r="Q1275" s="57" t="str">
        <f aca="false">IF($O1275="","",IF($P1275&lt;=BankCostEnvelope*'5. Scenarios'!$D$7,1,0))</f>
        <v/>
      </c>
      <c r="R1275" s="57" t="str">
        <f aca="false">IF($N1275="","",INDEX(BookRate,1270)*(1+'5. Scenarios'!$D$10)*(INDEX(BookQ1,1270)*(5-MIN(4,1+'5. Scenarios'!$D$8))/4+INDEX(BookQ2,1270)*(5-MIN(4,2+'5. Scenarios'!$D$8))/4+INDEX(BookQ3,1270)*(5-MIN(4,3+'5. Scenarios'!$D$8))/4+INDEX(BookQ4,1270)*(5-MIN(4,4+'5. Scenarios'!$D$8))/4)*'5. Scenarios'!$D$6/(1+ProductivityDefault*('5. Scenarios'!$D$11-1))+INDEX(BookOneOff,1270)*$N1275)</f>
        <v/>
      </c>
      <c r="S1275" s="56" t="str">
        <f aca="false">IF(INDEX(BookTitle,1270)="","",INDEX(BookTotal,1270)*'5. Scenarios'!$E$6/(1+ProductivityDefault*('5. Scenarios'!$E$11-1)))</f>
        <v/>
      </c>
      <c r="T1275" s="57" t="str">
        <f aca="false">IF($S1275="","",INDEX(BookRate,1270)*(1+'5. Scenarios'!$E$10)*$S1275)</f>
        <v/>
      </c>
      <c r="U1275" s="57" t="str">
        <f aca="false">IF($T1275="","",SUMIFS($T$6:$T$2405,$A$6:$A$2405,"&lt;="&amp;$A1275))</f>
        <v/>
      </c>
      <c r="V1275" s="57" t="str">
        <f aca="false">IF($T1275="","",IF($U1275&lt;=BankCostEnvelope*'5. Scenarios'!$E$7,1,0))</f>
        <v/>
      </c>
      <c r="W1275" s="57" t="str">
        <f aca="false">IF($S1275="","",INDEX(BookRate,1270)*(1+'5. Scenarios'!$E$10)*(INDEX(BookQ1,1270)*(5-MIN(4,1+'5. Scenarios'!$E$8))/4+INDEX(BookQ2,1270)*(5-MIN(4,2+'5. Scenarios'!$E$8))/4+INDEX(BookQ3,1270)*(5-MIN(4,3+'5. Scenarios'!$E$8))/4+INDEX(BookQ4,1270)*(5-MIN(4,4+'5. Scenarios'!$E$8))/4)*'5. Scenarios'!$E$6/(1+ProductivityDefault*('5. Scenarios'!$E$11-1))+INDEX(BookOneOff,1270)*$S1275)</f>
        <v/>
      </c>
    </row>
    <row r="1276" customFormat="false" ht="15" hidden="false" customHeight="false" outlineLevel="0" collapsed="false">
      <c r="A1276" s="0" t="str">
        <f aca="false">IF(INDEX(BookTitle,1271)="","",INDEX(BookKey,1271))</f>
        <v/>
      </c>
      <c r="B1276" s="0" t="str">
        <f aca="false">IF(INDEX(BookTitle,1271)="","",INDEX(BookGroup,1271))</f>
        <v/>
      </c>
      <c r="C1276" s="0" t="str">
        <f aca="false">IF(INDEX(BookTitle,1271)="","",INDEX(BookCategory,1271))</f>
        <v/>
      </c>
      <c r="D1276" s="56" t="str">
        <f aca="false">IF(INDEX(BookTitle,1271)="","",INDEX(BookTotal,1271)*'5. Scenarios'!$B$6/(1+ProductivityDefault*('5. Scenarios'!$B$11-1)))</f>
        <v/>
      </c>
      <c r="E1276" s="57" t="str">
        <f aca="false">IF($D1276="","",INDEX(BookRate,1271)*(1+'5. Scenarios'!$B$10)*$D1276)</f>
        <v/>
      </c>
      <c r="F1276" s="57" t="str">
        <f aca="false">IF($E1276="","",SUMIFS($E$6:$E$2405,$A$6:$A$2405,"&lt;="&amp;$A1276))</f>
        <v/>
      </c>
      <c r="G1276" s="57" t="str">
        <f aca="false">IF($E1276="","",IF($F1276&lt;=BankCostEnvelope*'5. Scenarios'!$B$7,1,0))</f>
        <v/>
      </c>
      <c r="H1276" s="57" t="str">
        <f aca="false">IF($D1276="","",INDEX(BookRate,1271)*(1+'5. Scenarios'!$B$10)*(INDEX(BookQ1,1271)*(5-MIN(4,1+'5. Scenarios'!$B$8))/4+INDEX(BookQ2,1271)*(5-MIN(4,2+'5. Scenarios'!$B$8))/4+INDEX(BookQ3,1271)*(5-MIN(4,3+'5. Scenarios'!$B$8))/4+INDEX(BookQ4,1271)*(5-MIN(4,4+'5. Scenarios'!$B$8))/4)*'5. Scenarios'!$B$6/(1+ProductivityDefault*('5. Scenarios'!$B$11-1))+INDEX(BookOneOff,1271)*$D1276)</f>
        <v/>
      </c>
      <c r="I1276" s="56" t="str">
        <f aca="false">IF(INDEX(BookTitle,1271)="","",INDEX(BookTotal,1271)*'5. Scenarios'!$C$6/(1+ProductivityDefault*('5. Scenarios'!$C$11-1)))</f>
        <v/>
      </c>
      <c r="J1276" s="57" t="str">
        <f aca="false">IF($I1276="","",INDEX(BookRate,1271)*(1+'5. Scenarios'!$C$10)*$I1276)</f>
        <v/>
      </c>
      <c r="K1276" s="57" t="str">
        <f aca="false">IF($J1276="","",SUMIFS($J$6:$J$2405,$A$6:$A$2405,"&lt;="&amp;$A1276))</f>
        <v/>
      </c>
      <c r="L1276" s="57" t="str">
        <f aca="false">IF($J1276="","",IF($K1276&lt;=BankCostEnvelope*'5. Scenarios'!$C$7,1,0))</f>
        <v/>
      </c>
      <c r="M1276" s="57" t="str">
        <f aca="false">IF($I1276="","",INDEX(BookRate,1271)*(1+'5. Scenarios'!$C$10)*(INDEX(BookQ1,1271)*(5-MIN(4,1+'5. Scenarios'!$C$8))/4+INDEX(BookQ2,1271)*(5-MIN(4,2+'5. Scenarios'!$C$8))/4+INDEX(BookQ3,1271)*(5-MIN(4,3+'5. Scenarios'!$C$8))/4+INDEX(BookQ4,1271)*(5-MIN(4,4+'5. Scenarios'!$C$8))/4)*'5. Scenarios'!$C$6/(1+ProductivityDefault*('5. Scenarios'!$C$11-1))+INDEX(BookOneOff,1271)*$I1276)</f>
        <v/>
      </c>
      <c r="N1276" s="56" t="str">
        <f aca="false">IF(INDEX(BookTitle,1271)="","",INDEX(BookTotal,1271)*'5. Scenarios'!$D$6/(1+ProductivityDefault*('5. Scenarios'!$D$11-1)))</f>
        <v/>
      </c>
      <c r="O1276" s="57" t="str">
        <f aca="false">IF($N1276="","",INDEX(BookRate,1271)*(1+'5. Scenarios'!$D$10)*$N1276)</f>
        <v/>
      </c>
      <c r="P1276" s="57" t="str">
        <f aca="false">IF($O1276="","",SUMIFS($O$6:$O$2405,$A$6:$A$2405,"&lt;="&amp;$A1276))</f>
        <v/>
      </c>
      <c r="Q1276" s="57" t="str">
        <f aca="false">IF($O1276="","",IF($P1276&lt;=BankCostEnvelope*'5. Scenarios'!$D$7,1,0))</f>
        <v/>
      </c>
      <c r="R1276" s="57" t="str">
        <f aca="false">IF($N1276="","",INDEX(BookRate,1271)*(1+'5. Scenarios'!$D$10)*(INDEX(BookQ1,1271)*(5-MIN(4,1+'5. Scenarios'!$D$8))/4+INDEX(BookQ2,1271)*(5-MIN(4,2+'5. Scenarios'!$D$8))/4+INDEX(BookQ3,1271)*(5-MIN(4,3+'5. Scenarios'!$D$8))/4+INDEX(BookQ4,1271)*(5-MIN(4,4+'5. Scenarios'!$D$8))/4)*'5. Scenarios'!$D$6/(1+ProductivityDefault*('5. Scenarios'!$D$11-1))+INDEX(BookOneOff,1271)*$N1276)</f>
        <v/>
      </c>
      <c r="S1276" s="56" t="str">
        <f aca="false">IF(INDEX(BookTitle,1271)="","",INDEX(BookTotal,1271)*'5. Scenarios'!$E$6/(1+ProductivityDefault*('5. Scenarios'!$E$11-1)))</f>
        <v/>
      </c>
      <c r="T1276" s="57" t="str">
        <f aca="false">IF($S1276="","",INDEX(BookRate,1271)*(1+'5. Scenarios'!$E$10)*$S1276)</f>
        <v/>
      </c>
      <c r="U1276" s="57" t="str">
        <f aca="false">IF($T1276="","",SUMIFS($T$6:$T$2405,$A$6:$A$2405,"&lt;="&amp;$A1276))</f>
        <v/>
      </c>
      <c r="V1276" s="57" t="str">
        <f aca="false">IF($T1276="","",IF($U1276&lt;=BankCostEnvelope*'5. Scenarios'!$E$7,1,0))</f>
        <v/>
      </c>
      <c r="W1276" s="57" t="str">
        <f aca="false">IF($S1276="","",INDEX(BookRate,1271)*(1+'5. Scenarios'!$E$10)*(INDEX(BookQ1,1271)*(5-MIN(4,1+'5. Scenarios'!$E$8))/4+INDEX(BookQ2,1271)*(5-MIN(4,2+'5. Scenarios'!$E$8))/4+INDEX(BookQ3,1271)*(5-MIN(4,3+'5. Scenarios'!$E$8))/4+INDEX(BookQ4,1271)*(5-MIN(4,4+'5. Scenarios'!$E$8))/4)*'5. Scenarios'!$E$6/(1+ProductivityDefault*('5. Scenarios'!$E$11-1))+INDEX(BookOneOff,1271)*$S1276)</f>
        <v/>
      </c>
    </row>
    <row r="1277" customFormat="false" ht="15" hidden="false" customHeight="false" outlineLevel="0" collapsed="false">
      <c r="A1277" s="0" t="str">
        <f aca="false">IF(INDEX(BookTitle,1272)="","",INDEX(BookKey,1272))</f>
        <v/>
      </c>
      <c r="B1277" s="0" t="str">
        <f aca="false">IF(INDEX(BookTitle,1272)="","",INDEX(BookGroup,1272))</f>
        <v/>
      </c>
      <c r="C1277" s="0" t="str">
        <f aca="false">IF(INDEX(BookTitle,1272)="","",INDEX(BookCategory,1272))</f>
        <v/>
      </c>
      <c r="D1277" s="56" t="str">
        <f aca="false">IF(INDEX(BookTitle,1272)="","",INDEX(BookTotal,1272)*'5. Scenarios'!$B$6/(1+ProductivityDefault*('5. Scenarios'!$B$11-1)))</f>
        <v/>
      </c>
      <c r="E1277" s="57" t="str">
        <f aca="false">IF($D1277="","",INDEX(BookRate,1272)*(1+'5. Scenarios'!$B$10)*$D1277)</f>
        <v/>
      </c>
      <c r="F1277" s="57" t="str">
        <f aca="false">IF($E1277="","",SUMIFS($E$6:$E$2405,$A$6:$A$2405,"&lt;="&amp;$A1277))</f>
        <v/>
      </c>
      <c r="G1277" s="57" t="str">
        <f aca="false">IF($E1277="","",IF($F1277&lt;=BankCostEnvelope*'5. Scenarios'!$B$7,1,0))</f>
        <v/>
      </c>
      <c r="H1277" s="57" t="str">
        <f aca="false">IF($D1277="","",INDEX(BookRate,1272)*(1+'5. Scenarios'!$B$10)*(INDEX(BookQ1,1272)*(5-MIN(4,1+'5. Scenarios'!$B$8))/4+INDEX(BookQ2,1272)*(5-MIN(4,2+'5. Scenarios'!$B$8))/4+INDEX(BookQ3,1272)*(5-MIN(4,3+'5. Scenarios'!$B$8))/4+INDEX(BookQ4,1272)*(5-MIN(4,4+'5. Scenarios'!$B$8))/4)*'5. Scenarios'!$B$6/(1+ProductivityDefault*('5. Scenarios'!$B$11-1))+INDEX(BookOneOff,1272)*$D1277)</f>
        <v/>
      </c>
      <c r="I1277" s="56" t="str">
        <f aca="false">IF(INDEX(BookTitle,1272)="","",INDEX(BookTotal,1272)*'5. Scenarios'!$C$6/(1+ProductivityDefault*('5. Scenarios'!$C$11-1)))</f>
        <v/>
      </c>
      <c r="J1277" s="57" t="str">
        <f aca="false">IF($I1277="","",INDEX(BookRate,1272)*(1+'5. Scenarios'!$C$10)*$I1277)</f>
        <v/>
      </c>
      <c r="K1277" s="57" t="str">
        <f aca="false">IF($J1277="","",SUMIFS($J$6:$J$2405,$A$6:$A$2405,"&lt;="&amp;$A1277))</f>
        <v/>
      </c>
      <c r="L1277" s="57" t="str">
        <f aca="false">IF($J1277="","",IF($K1277&lt;=BankCostEnvelope*'5. Scenarios'!$C$7,1,0))</f>
        <v/>
      </c>
      <c r="M1277" s="57" t="str">
        <f aca="false">IF($I1277="","",INDEX(BookRate,1272)*(1+'5. Scenarios'!$C$10)*(INDEX(BookQ1,1272)*(5-MIN(4,1+'5. Scenarios'!$C$8))/4+INDEX(BookQ2,1272)*(5-MIN(4,2+'5. Scenarios'!$C$8))/4+INDEX(BookQ3,1272)*(5-MIN(4,3+'5. Scenarios'!$C$8))/4+INDEX(BookQ4,1272)*(5-MIN(4,4+'5. Scenarios'!$C$8))/4)*'5. Scenarios'!$C$6/(1+ProductivityDefault*('5. Scenarios'!$C$11-1))+INDEX(BookOneOff,1272)*$I1277)</f>
        <v/>
      </c>
      <c r="N1277" s="56" t="str">
        <f aca="false">IF(INDEX(BookTitle,1272)="","",INDEX(BookTotal,1272)*'5. Scenarios'!$D$6/(1+ProductivityDefault*('5. Scenarios'!$D$11-1)))</f>
        <v/>
      </c>
      <c r="O1277" s="57" t="str">
        <f aca="false">IF($N1277="","",INDEX(BookRate,1272)*(1+'5. Scenarios'!$D$10)*$N1277)</f>
        <v/>
      </c>
      <c r="P1277" s="57" t="str">
        <f aca="false">IF($O1277="","",SUMIFS($O$6:$O$2405,$A$6:$A$2405,"&lt;="&amp;$A1277))</f>
        <v/>
      </c>
      <c r="Q1277" s="57" t="str">
        <f aca="false">IF($O1277="","",IF($P1277&lt;=BankCostEnvelope*'5. Scenarios'!$D$7,1,0))</f>
        <v/>
      </c>
      <c r="R1277" s="57" t="str">
        <f aca="false">IF($N1277="","",INDEX(BookRate,1272)*(1+'5. Scenarios'!$D$10)*(INDEX(BookQ1,1272)*(5-MIN(4,1+'5. Scenarios'!$D$8))/4+INDEX(BookQ2,1272)*(5-MIN(4,2+'5. Scenarios'!$D$8))/4+INDEX(BookQ3,1272)*(5-MIN(4,3+'5. Scenarios'!$D$8))/4+INDEX(BookQ4,1272)*(5-MIN(4,4+'5. Scenarios'!$D$8))/4)*'5. Scenarios'!$D$6/(1+ProductivityDefault*('5. Scenarios'!$D$11-1))+INDEX(BookOneOff,1272)*$N1277)</f>
        <v/>
      </c>
      <c r="S1277" s="56" t="str">
        <f aca="false">IF(INDEX(BookTitle,1272)="","",INDEX(BookTotal,1272)*'5. Scenarios'!$E$6/(1+ProductivityDefault*('5. Scenarios'!$E$11-1)))</f>
        <v/>
      </c>
      <c r="T1277" s="57" t="str">
        <f aca="false">IF($S1277="","",INDEX(BookRate,1272)*(1+'5. Scenarios'!$E$10)*$S1277)</f>
        <v/>
      </c>
      <c r="U1277" s="57" t="str">
        <f aca="false">IF($T1277="","",SUMIFS($T$6:$T$2405,$A$6:$A$2405,"&lt;="&amp;$A1277))</f>
        <v/>
      </c>
      <c r="V1277" s="57" t="str">
        <f aca="false">IF($T1277="","",IF($U1277&lt;=BankCostEnvelope*'5. Scenarios'!$E$7,1,0))</f>
        <v/>
      </c>
      <c r="W1277" s="57" t="str">
        <f aca="false">IF($S1277="","",INDEX(BookRate,1272)*(1+'5. Scenarios'!$E$10)*(INDEX(BookQ1,1272)*(5-MIN(4,1+'5. Scenarios'!$E$8))/4+INDEX(BookQ2,1272)*(5-MIN(4,2+'5. Scenarios'!$E$8))/4+INDEX(BookQ3,1272)*(5-MIN(4,3+'5. Scenarios'!$E$8))/4+INDEX(BookQ4,1272)*(5-MIN(4,4+'5. Scenarios'!$E$8))/4)*'5. Scenarios'!$E$6/(1+ProductivityDefault*('5. Scenarios'!$E$11-1))+INDEX(BookOneOff,1272)*$S1277)</f>
        <v/>
      </c>
    </row>
    <row r="1278" customFormat="false" ht="15" hidden="false" customHeight="false" outlineLevel="0" collapsed="false">
      <c r="A1278" s="0" t="str">
        <f aca="false">IF(INDEX(BookTitle,1273)="","",INDEX(BookKey,1273))</f>
        <v/>
      </c>
      <c r="B1278" s="0" t="str">
        <f aca="false">IF(INDEX(BookTitle,1273)="","",INDEX(BookGroup,1273))</f>
        <v/>
      </c>
      <c r="C1278" s="0" t="str">
        <f aca="false">IF(INDEX(BookTitle,1273)="","",INDEX(BookCategory,1273))</f>
        <v/>
      </c>
      <c r="D1278" s="56" t="str">
        <f aca="false">IF(INDEX(BookTitle,1273)="","",INDEX(BookTotal,1273)*'5. Scenarios'!$B$6/(1+ProductivityDefault*('5. Scenarios'!$B$11-1)))</f>
        <v/>
      </c>
      <c r="E1278" s="57" t="str">
        <f aca="false">IF($D1278="","",INDEX(BookRate,1273)*(1+'5. Scenarios'!$B$10)*$D1278)</f>
        <v/>
      </c>
      <c r="F1278" s="57" t="str">
        <f aca="false">IF($E1278="","",SUMIFS($E$6:$E$2405,$A$6:$A$2405,"&lt;="&amp;$A1278))</f>
        <v/>
      </c>
      <c r="G1278" s="57" t="str">
        <f aca="false">IF($E1278="","",IF($F1278&lt;=BankCostEnvelope*'5. Scenarios'!$B$7,1,0))</f>
        <v/>
      </c>
      <c r="H1278" s="57" t="str">
        <f aca="false">IF($D1278="","",INDEX(BookRate,1273)*(1+'5. Scenarios'!$B$10)*(INDEX(BookQ1,1273)*(5-MIN(4,1+'5. Scenarios'!$B$8))/4+INDEX(BookQ2,1273)*(5-MIN(4,2+'5. Scenarios'!$B$8))/4+INDEX(BookQ3,1273)*(5-MIN(4,3+'5. Scenarios'!$B$8))/4+INDEX(BookQ4,1273)*(5-MIN(4,4+'5. Scenarios'!$B$8))/4)*'5. Scenarios'!$B$6/(1+ProductivityDefault*('5. Scenarios'!$B$11-1))+INDEX(BookOneOff,1273)*$D1278)</f>
        <v/>
      </c>
      <c r="I1278" s="56" t="str">
        <f aca="false">IF(INDEX(BookTitle,1273)="","",INDEX(BookTotal,1273)*'5. Scenarios'!$C$6/(1+ProductivityDefault*('5. Scenarios'!$C$11-1)))</f>
        <v/>
      </c>
      <c r="J1278" s="57" t="str">
        <f aca="false">IF($I1278="","",INDEX(BookRate,1273)*(1+'5. Scenarios'!$C$10)*$I1278)</f>
        <v/>
      </c>
      <c r="K1278" s="57" t="str">
        <f aca="false">IF($J1278="","",SUMIFS($J$6:$J$2405,$A$6:$A$2405,"&lt;="&amp;$A1278))</f>
        <v/>
      </c>
      <c r="L1278" s="57" t="str">
        <f aca="false">IF($J1278="","",IF($K1278&lt;=BankCostEnvelope*'5. Scenarios'!$C$7,1,0))</f>
        <v/>
      </c>
      <c r="M1278" s="57" t="str">
        <f aca="false">IF($I1278="","",INDEX(BookRate,1273)*(1+'5. Scenarios'!$C$10)*(INDEX(BookQ1,1273)*(5-MIN(4,1+'5. Scenarios'!$C$8))/4+INDEX(BookQ2,1273)*(5-MIN(4,2+'5. Scenarios'!$C$8))/4+INDEX(BookQ3,1273)*(5-MIN(4,3+'5. Scenarios'!$C$8))/4+INDEX(BookQ4,1273)*(5-MIN(4,4+'5. Scenarios'!$C$8))/4)*'5. Scenarios'!$C$6/(1+ProductivityDefault*('5. Scenarios'!$C$11-1))+INDEX(BookOneOff,1273)*$I1278)</f>
        <v/>
      </c>
      <c r="N1278" s="56" t="str">
        <f aca="false">IF(INDEX(BookTitle,1273)="","",INDEX(BookTotal,1273)*'5. Scenarios'!$D$6/(1+ProductivityDefault*('5. Scenarios'!$D$11-1)))</f>
        <v/>
      </c>
      <c r="O1278" s="57" t="str">
        <f aca="false">IF($N1278="","",INDEX(BookRate,1273)*(1+'5. Scenarios'!$D$10)*$N1278)</f>
        <v/>
      </c>
      <c r="P1278" s="57" t="str">
        <f aca="false">IF($O1278="","",SUMIFS($O$6:$O$2405,$A$6:$A$2405,"&lt;="&amp;$A1278))</f>
        <v/>
      </c>
      <c r="Q1278" s="57" t="str">
        <f aca="false">IF($O1278="","",IF($P1278&lt;=BankCostEnvelope*'5. Scenarios'!$D$7,1,0))</f>
        <v/>
      </c>
      <c r="R1278" s="57" t="str">
        <f aca="false">IF($N1278="","",INDEX(BookRate,1273)*(1+'5. Scenarios'!$D$10)*(INDEX(BookQ1,1273)*(5-MIN(4,1+'5. Scenarios'!$D$8))/4+INDEX(BookQ2,1273)*(5-MIN(4,2+'5. Scenarios'!$D$8))/4+INDEX(BookQ3,1273)*(5-MIN(4,3+'5. Scenarios'!$D$8))/4+INDEX(BookQ4,1273)*(5-MIN(4,4+'5. Scenarios'!$D$8))/4)*'5. Scenarios'!$D$6/(1+ProductivityDefault*('5. Scenarios'!$D$11-1))+INDEX(BookOneOff,1273)*$N1278)</f>
        <v/>
      </c>
      <c r="S1278" s="56" t="str">
        <f aca="false">IF(INDEX(BookTitle,1273)="","",INDEX(BookTotal,1273)*'5. Scenarios'!$E$6/(1+ProductivityDefault*('5. Scenarios'!$E$11-1)))</f>
        <v/>
      </c>
      <c r="T1278" s="57" t="str">
        <f aca="false">IF($S1278="","",INDEX(BookRate,1273)*(1+'5. Scenarios'!$E$10)*$S1278)</f>
        <v/>
      </c>
      <c r="U1278" s="57" t="str">
        <f aca="false">IF($T1278="","",SUMIFS($T$6:$T$2405,$A$6:$A$2405,"&lt;="&amp;$A1278))</f>
        <v/>
      </c>
      <c r="V1278" s="57" t="str">
        <f aca="false">IF($T1278="","",IF($U1278&lt;=BankCostEnvelope*'5. Scenarios'!$E$7,1,0))</f>
        <v/>
      </c>
      <c r="W1278" s="57" t="str">
        <f aca="false">IF($S1278="","",INDEX(BookRate,1273)*(1+'5. Scenarios'!$E$10)*(INDEX(BookQ1,1273)*(5-MIN(4,1+'5. Scenarios'!$E$8))/4+INDEX(BookQ2,1273)*(5-MIN(4,2+'5. Scenarios'!$E$8))/4+INDEX(BookQ3,1273)*(5-MIN(4,3+'5. Scenarios'!$E$8))/4+INDEX(BookQ4,1273)*(5-MIN(4,4+'5. Scenarios'!$E$8))/4)*'5. Scenarios'!$E$6/(1+ProductivityDefault*('5. Scenarios'!$E$11-1))+INDEX(BookOneOff,1273)*$S1278)</f>
        <v/>
      </c>
    </row>
    <row r="1279" customFormat="false" ht="15" hidden="false" customHeight="false" outlineLevel="0" collapsed="false">
      <c r="A1279" s="0" t="str">
        <f aca="false">IF(INDEX(BookTitle,1274)="","",INDEX(BookKey,1274))</f>
        <v/>
      </c>
      <c r="B1279" s="0" t="str">
        <f aca="false">IF(INDEX(BookTitle,1274)="","",INDEX(BookGroup,1274))</f>
        <v/>
      </c>
      <c r="C1279" s="0" t="str">
        <f aca="false">IF(INDEX(BookTitle,1274)="","",INDEX(BookCategory,1274))</f>
        <v/>
      </c>
      <c r="D1279" s="56" t="str">
        <f aca="false">IF(INDEX(BookTitle,1274)="","",INDEX(BookTotal,1274)*'5. Scenarios'!$B$6/(1+ProductivityDefault*('5. Scenarios'!$B$11-1)))</f>
        <v/>
      </c>
      <c r="E1279" s="57" t="str">
        <f aca="false">IF($D1279="","",INDEX(BookRate,1274)*(1+'5. Scenarios'!$B$10)*$D1279)</f>
        <v/>
      </c>
      <c r="F1279" s="57" t="str">
        <f aca="false">IF($E1279="","",SUMIFS($E$6:$E$2405,$A$6:$A$2405,"&lt;="&amp;$A1279))</f>
        <v/>
      </c>
      <c r="G1279" s="57" t="str">
        <f aca="false">IF($E1279="","",IF($F1279&lt;=BankCostEnvelope*'5. Scenarios'!$B$7,1,0))</f>
        <v/>
      </c>
      <c r="H1279" s="57" t="str">
        <f aca="false">IF($D1279="","",INDEX(BookRate,1274)*(1+'5. Scenarios'!$B$10)*(INDEX(BookQ1,1274)*(5-MIN(4,1+'5. Scenarios'!$B$8))/4+INDEX(BookQ2,1274)*(5-MIN(4,2+'5. Scenarios'!$B$8))/4+INDEX(BookQ3,1274)*(5-MIN(4,3+'5. Scenarios'!$B$8))/4+INDEX(BookQ4,1274)*(5-MIN(4,4+'5. Scenarios'!$B$8))/4)*'5. Scenarios'!$B$6/(1+ProductivityDefault*('5. Scenarios'!$B$11-1))+INDEX(BookOneOff,1274)*$D1279)</f>
        <v/>
      </c>
      <c r="I1279" s="56" t="str">
        <f aca="false">IF(INDEX(BookTitle,1274)="","",INDEX(BookTotal,1274)*'5. Scenarios'!$C$6/(1+ProductivityDefault*('5. Scenarios'!$C$11-1)))</f>
        <v/>
      </c>
      <c r="J1279" s="57" t="str">
        <f aca="false">IF($I1279="","",INDEX(BookRate,1274)*(1+'5. Scenarios'!$C$10)*$I1279)</f>
        <v/>
      </c>
      <c r="K1279" s="57" t="str">
        <f aca="false">IF($J1279="","",SUMIFS($J$6:$J$2405,$A$6:$A$2405,"&lt;="&amp;$A1279))</f>
        <v/>
      </c>
      <c r="L1279" s="57" t="str">
        <f aca="false">IF($J1279="","",IF($K1279&lt;=BankCostEnvelope*'5. Scenarios'!$C$7,1,0))</f>
        <v/>
      </c>
      <c r="M1279" s="57" t="str">
        <f aca="false">IF($I1279="","",INDEX(BookRate,1274)*(1+'5. Scenarios'!$C$10)*(INDEX(BookQ1,1274)*(5-MIN(4,1+'5. Scenarios'!$C$8))/4+INDEX(BookQ2,1274)*(5-MIN(4,2+'5. Scenarios'!$C$8))/4+INDEX(BookQ3,1274)*(5-MIN(4,3+'5. Scenarios'!$C$8))/4+INDEX(BookQ4,1274)*(5-MIN(4,4+'5. Scenarios'!$C$8))/4)*'5. Scenarios'!$C$6/(1+ProductivityDefault*('5. Scenarios'!$C$11-1))+INDEX(BookOneOff,1274)*$I1279)</f>
        <v/>
      </c>
      <c r="N1279" s="56" t="str">
        <f aca="false">IF(INDEX(BookTitle,1274)="","",INDEX(BookTotal,1274)*'5. Scenarios'!$D$6/(1+ProductivityDefault*('5. Scenarios'!$D$11-1)))</f>
        <v/>
      </c>
      <c r="O1279" s="57" t="str">
        <f aca="false">IF($N1279="","",INDEX(BookRate,1274)*(1+'5. Scenarios'!$D$10)*$N1279)</f>
        <v/>
      </c>
      <c r="P1279" s="57" t="str">
        <f aca="false">IF($O1279="","",SUMIFS($O$6:$O$2405,$A$6:$A$2405,"&lt;="&amp;$A1279))</f>
        <v/>
      </c>
      <c r="Q1279" s="57" t="str">
        <f aca="false">IF($O1279="","",IF($P1279&lt;=BankCostEnvelope*'5. Scenarios'!$D$7,1,0))</f>
        <v/>
      </c>
      <c r="R1279" s="57" t="str">
        <f aca="false">IF($N1279="","",INDEX(BookRate,1274)*(1+'5. Scenarios'!$D$10)*(INDEX(BookQ1,1274)*(5-MIN(4,1+'5. Scenarios'!$D$8))/4+INDEX(BookQ2,1274)*(5-MIN(4,2+'5. Scenarios'!$D$8))/4+INDEX(BookQ3,1274)*(5-MIN(4,3+'5. Scenarios'!$D$8))/4+INDEX(BookQ4,1274)*(5-MIN(4,4+'5. Scenarios'!$D$8))/4)*'5. Scenarios'!$D$6/(1+ProductivityDefault*('5. Scenarios'!$D$11-1))+INDEX(BookOneOff,1274)*$N1279)</f>
        <v/>
      </c>
      <c r="S1279" s="56" t="str">
        <f aca="false">IF(INDEX(BookTitle,1274)="","",INDEX(BookTotal,1274)*'5. Scenarios'!$E$6/(1+ProductivityDefault*('5. Scenarios'!$E$11-1)))</f>
        <v/>
      </c>
      <c r="T1279" s="57" t="str">
        <f aca="false">IF($S1279="","",INDEX(BookRate,1274)*(1+'5. Scenarios'!$E$10)*$S1279)</f>
        <v/>
      </c>
      <c r="U1279" s="57" t="str">
        <f aca="false">IF($T1279="","",SUMIFS($T$6:$T$2405,$A$6:$A$2405,"&lt;="&amp;$A1279))</f>
        <v/>
      </c>
      <c r="V1279" s="57" t="str">
        <f aca="false">IF($T1279="","",IF($U1279&lt;=BankCostEnvelope*'5. Scenarios'!$E$7,1,0))</f>
        <v/>
      </c>
      <c r="W1279" s="57" t="str">
        <f aca="false">IF($S1279="","",INDEX(BookRate,1274)*(1+'5. Scenarios'!$E$10)*(INDEX(BookQ1,1274)*(5-MIN(4,1+'5. Scenarios'!$E$8))/4+INDEX(BookQ2,1274)*(5-MIN(4,2+'5. Scenarios'!$E$8))/4+INDEX(BookQ3,1274)*(5-MIN(4,3+'5. Scenarios'!$E$8))/4+INDEX(BookQ4,1274)*(5-MIN(4,4+'5. Scenarios'!$E$8))/4)*'5. Scenarios'!$E$6/(1+ProductivityDefault*('5. Scenarios'!$E$11-1))+INDEX(BookOneOff,1274)*$S1279)</f>
        <v/>
      </c>
    </row>
    <row r="1280" customFormat="false" ht="15" hidden="false" customHeight="false" outlineLevel="0" collapsed="false">
      <c r="A1280" s="0" t="str">
        <f aca="false">IF(INDEX(BookTitle,1275)="","",INDEX(BookKey,1275))</f>
        <v/>
      </c>
      <c r="B1280" s="0" t="str">
        <f aca="false">IF(INDEX(BookTitle,1275)="","",INDEX(BookGroup,1275))</f>
        <v/>
      </c>
      <c r="C1280" s="0" t="str">
        <f aca="false">IF(INDEX(BookTitle,1275)="","",INDEX(BookCategory,1275))</f>
        <v/>
      </c>
      <c r="D1280" s="56" t="str">
        <f aca="false">IF(INDEX(BookTitle,1275)="","",INDEX(BookTotal,1275)*'5. Scenarios'!$B$6/(1+ProductivityDefault*('5. Scenarios'!$B$11-1)))</f>
        <v/>
      </c>
      <c r="E1280" s="57" t="str">
        <f aca="false">IF($D1280="","",INDEX(BookRate,1275)*(1+'5. Scenarios'!$B$10)*$D1280)</f>
        <v/>
      </c>
      <c r="F1280" s="57" t="str">
        <f aca="false">IF($E1280="","",SUMIFS($E$6:$E$2405,$A$6:$A$2405,"&lt;="&amp;$A1280))</f>
        <v/>
      </c>
      <c r="G1280" s="57" t="str">
        <f aca="false">IF($E1280="","",IF($F1280&lt;=BankCostEnvelope*'5. Scenarios'!$B$7,1,0))</f>
        <v/>
      </c>
      <c r="H1280" s="57" t="str">
        <f aca="false">IF($D1280="","",INDEX(BookRate,1275)*(1+'5. Scenarios'!$B$10)*(INDEX(BookQ1,1275)*(5-MIN(4,1+'5. Scenarios'!$B$8))/4+INDEX(BookQ2,1275)*(5-MIN(4,2+'5. Scenarios'!$B$8))/4+INDEX(BookQ3,1275)*(5-MIN(4,3+'5. Scenarios'!$B$8))/4+INDEX(BookQ4,1275)*(5-MIN(4,4+'5. Scenarios'!$B$8))/4)*'5. Scenarios'!$B$6/(1+ProductivityDefault*('5. Scenarios'!$B$11-1))+INDEX(BookOneOff,1275)*$D1280)</f>
        <v/>
      </c>
      <c r="I1280" s="56" t="str">
        <f aca="false">IF(INDEX(BookTitle,1275)="","",INDEX(BookTotal,1275)*'5. Scenarios'!$C$6/(1+ProductivityDefault*('5. Scenarios'!$C$11-1)))</f>
        <v/>
      </c>
      <c r="J1280" s="57" t="str">
        <f aca="false">IF($I1280="","",INDEX(BookRate,1275)*(1+'5. Scenarios'!$C$10)*$I1280)</f>
        <v/>
      </c>
      <c r="K1280" s="57" t="str">
        <f aca="false">IF($J1280="","",SUMIFS($J$6:$J$2405,$A$6:$A$2405,"&lt;="&amp;$A1280))</f>
        <v/>
      </c>
      <c r="L1280" s="57" t="str">
        <f aca="false">IF($J1280="","",IF($K1280&lt;=BankCostEnvelope*'5. Scenarios'!$C$7,1,0))</f>
        <v/>
      </c>
      <c r="M1280" s="57" t="str">
        <f aca="false">IF($I1280="","",INDEX(BookRate,1275)*(1+'5. Scenarios'!$C$10)*(INDEX(BookQ1,1275)*(5-MIN(4,1+'5. Scenarios'!$C$8))/4+INDEX(BookQ2,1275)*(5-MIN(4,2+'5. Scenarios'!$C$8))/4+INDEX(BookQ3,1275)*(5-MIN(4,3+'5. Scenarios'!$C$8))/4+INDEX(BookQ4,1275)*(5-MIN(4,4+'5. Scenarios'!$C$8))/4)*'5. Scenarios'!$C$6/(1+ProductivityDefault*('5. Scenarios'!$C$11-1))+INDEX(BookOneOff,1275)*$I1280)</f>
        <v/>
      </c>
      <c r="N1280" s="56" t="str">
        <f aca="false">IF(INDEX(BookTitle,1275)="","",INDEX(BookTotal,1275)*'5. Scenarios'!$D$6/(1+ProductivityDefault*('5. Scenarios'!$D$11-1)))</f>
        <v/>
      </c>
      <c r="O1280" s="57" t="str">
        <f aca="false">IF($N1280="","",INDEX(BookRate,1275)*(1+'5. Scenarios'!$D$10)*$N1280)</f>
        <v/>
      </c>
      <c r="P1280" s="57" t="str">
        <f aca="false">IF($O1280="","",SUMIFS($O$6:$O$2405,$A$6:$A$2405,"&lt;="&amp;$A1280))</f>
        <v/>
      </c>
      <c r="Q1280" s="57" t="str">
        <f aca="false">IF($O1280="","",IF($P1280&lt;=BankCostEnvelope*'5. Scenarios'!$D$7,1,0))</f>
        <v/>
      </c>
      <c r="R1280" s="57" t="str">
        <f aca="false">IF($N1280="","",INDEX(BookRate,1275)*(1+'5. Scenarios'!$D$10)*(INDEX(BookQ1,1275)*(5-MIN(4,1+'5. Scenarios'!$D$8))/4+INDEX(BookQ2,1275)*(5-MIN(4,2+'5. Scenarios'!$D$8))/4+INDEX(BookQ3,1275)*(5-MIN(4,3+'5. Scenarios'!$D$8))/4+INDEX(BookQ4,1275)*(5-MIN(4,4+'5. Scenarios'!$D$8))/4)*'5. Scenarios'!$D$6/(1+ProductivityDefault*('5. Scenarios'!$D$11-1))+INDEX(BookOneOff,1275)*$N1280)</f>
        <v/>
      </c>
      <c r="S1280" s="56" t="str">
        <f aca="false">IF(INDEX(BookTitle,1275)="","",INDEX(BookTotal,1275)*'5. Scenarios'!$E$6/(1+ProductivityDefault*('5. Scenarios'!$E$11-1)))</f>
        <v/>
      </c>
      <c r="T1280" s="57" t="str">
        <f aca="false">IF($S1280="","",INDEX(BookRate,1275)*(1+'5. Scenarios'!$E$10)*$S1280)</f>
        <v/>
      </c>
      <c r="U1280" s="57" t="str">
        <f aca="false">IF($T1280="","",SUMIFS($T$6:$T$2405,$A$6:$A$2405,"&lt;="&amp;$A1280))</f>
        <v/>
      </c>
      <c r="V1280" s="57" t="str">
        <f aca="false">IF($T1280="","",IF($U1280&lt;=BankCostEnvelope*'5. Scenarios'!$E$7,1,0))</f>
        <v/>
      </c>
      <c r="W1280" s="57" t="str">
        <f aca="false">IF($S1280="","",INDEX(BookRate,1275)*(1+'5. Scenarios'!$E$10)*(INDEX(BookQ1,1275)*(5-MIN(4,1+'5. Scenarios'!$E$8))/4+INDEX(BookQ2,1275)*(5-MIN(4,2+'5. Scenarios'!$E$8))/4+INDEX(BookQ3,1275)*(5-MIN(4,3+'5. Scenarios'!$E$8))/4+INDEX(BookQ4,1275)*(5-MIN(4,4+'5. Scenarios'!$E$8))/4)*'5. Scenarios'!$E$6/(1+ProductivityDefault*('5. Scenarios'!$E$11-1))+INDEX(BookOneOff,1275)*$S1280)</f>
        <v/>
      </c>
    </row>
    <row r="1281" customFormat="false" ht="15" hidden="false" customHeight="false" outlineLevel="0" collapsed="false">
      <c r="A1281" s="0" t="str">
        <f aca="false">IF(INDEX(BookTitle,1276)="","",INDEX(BookKey,1276))</f>
        <v/>
      </c>
      <c r="B1281" s="0" t="str">
        <f aca="false">IF(INDEX(BookTitle,1276)="","",INDEX(BookGroup,1276))</f>
        <v/>
      </c>
      <c r="C1281" s="0" t="str">
        <f aca="false">IF(INDEX(BookTitle,1276)="","",INDEX(BookCategory,1276))</f>
        <v/>
      </c>
      <c r="D1281" s="56" t="str">
        <f aca="false">IF(INDEX(BookTitle,1276)="","",INDEX(BookTotal,1276)*'5. Scenarios'!$B$6/(1+ProductivityDefault*('5. Scenarios'!$B$11-1)))</f>
        <v/>
      </c>
      <c r="E1281" s="57" t="str">
        <f aca="false">IF($D1281="","",INDEX(BookRate,1276)*(1+'5. Scenarios'!$B$10)*$D1281)</f>
        <v/>
      </c>
      <c r="F1281" s="57" t="str">
        <f aca="false">IF($E1281="","",SUMIFS($E$6:$E$2405,$A$6:$A$2405,"&lt;="&amp;$A1281))</f>
        <v/>
      </c>
      <c r="G1281" s="57" t="str">
        <f aca="false">IF($E1281="","",IF($F1281&lt;=BankCostEnvelope*'5. Scenarios'!$B$7,1,0))</f>
        <v/>
      </c>
      <c r="H1281" s="57" t="str">
        <f aca="false">IF($D1281="","",INDEX(BookRate,1276)*(1+'5. Scenarios'!$B$10)*(INDEX(BookQ1,1276)*(5-MIN(4,1+'5. Scenarios'!$B$8))/4+INDEX(BookQ2,1276)*(5-MIN(4,2+'5. Scenarios'!$B$8))/4+INDEX(BookQ3,1276)*(5-MIN(4,3+'5. Scenarios'!$B$8))/4+INDEX(BookQ4,1276)*(5-MIN(4,4+'5. Scenarios'!$B$8))/4)*'5. Scenarios'!$B$6/(1+ProductivityDefault*('5. Scenarios'!$B$11-1))+INDEX(BookOneOff,1276)*$D1281)</f>
        <v/>
      </c>
      <c r="I1281" s="56" t="str">
        <f aca="false">IF(INDEX(BookTitle,1276)="","",INDEX(BookTotal,1276)*'5. Scenarios'!$C$6/(1+ProductivityDefault*('5. Scenarios'!$C$11-1)))</f>
        <v/>
      </c>
      <c r="J1281" s="57" t="str">
        <f aca="false">IF($I1281="","",INDEX(BookRate,1276)*(1+'5. Scenarios'!$C$10)*$I1281)</f>
        <v/>
      </c>
      <c r="K1281" s="57" t="str">
        <f aca="false">IF($J1281="","",SUMIFS($J$6:$J$2405,$A$6:$A$2405,"&lt;="&amp;$A1281))</f>
        <v/>
      </c>
      <c r="L1281" s="57" t="str">
        <f aca="false">IF($J1281="","",IF($K1281&lt;=BankCostEnvelope*'5. Scenarios'!$C$7,1,0))</f>
        <v/>
      </c>
      <c r="M1281" s="57" t="str">
        <f aca="false">IF($I1281="","",INDEX(BookRate,1276)*(1+'5. Scenarios'!$C$10)*(INDEX(BookQ1,1276)*(5-MIN(4,1+'5. Scenarios'!$C$8))/4+INDEX(BookQ2,1276)*(5-MIN(4,2+'5. Scenarios'!$C$8))/4+INDEX(BookQ3,1276)*(5-MIN(4,3+'5. Scenarios'!$C$8))/4+INDEX(BookQ4,1276)*(5-MIN(4,4+'5. Scenarios'!$C$8))/4)*'5. Scenarios'!$C$6/(1+ProductivityDefault*('5. Scenarios'!$C$11-1))+INDEX(BookOneOff,1276)*$I1281)</f>
        <v/>
      </c>
      <c r="N1281" s="56" t="str">
        <f aca="false">IF(INDEX(BookTitle,1276)="","",INDEX(BookTotal,1276)*'5. Scenarios'!$D$6/(1+ProductivityDefault*('5. Scenarios'!$D$11-1)))</f>
        <v/>
      </c>
      <c r="O1281" s="57" t="str">
        <f aca="false">IF($N1281="","",INDEX(BookRate,1276)*(1+'5. Scenarios'!$D$10)*$N1281)</f>
        <v/>
      </c>
      <c r="P1281" s="57" t="str">
        <f aca="false">IF($O1281="","",SUMIFS($O$6:$O$2405,$A$6:$A$2405,"&lt;="&amp;$A1281))</f>
        <v/>
      </c>
      <c r="Q1281" s="57" t="str">
        <f aca="false">IF($O1281="","",IF($P1281&lt;=BankCostEnvelope*'5. Scenarios'!$D$7,1,0))</f>
        <v/>
      </c>
      <c r="R1281" s="57" t="str">
        <f aca="false">IF($N1281="","",INDEX(BookRate,1276)*(1+'5. Scenarios'!$D$10)*(INDEX(BookQ1,1276)*(5-MIN(4,1+'5. Scenarios'!$D$8))/4+INDEX(BookQ2,1276)*(5-MIN(4,2+'5. Scenarios'!$D$8))/4+INDEX(BookQ3,1276)*(5-MIN(4,3+'5. Scenarios'!$D$8))/4+INDEX(BookQ4,1276)*(5-MIN(4,4+'5. Scenarios'!$D$8))/4)*'5. Scenarios'!$D$6/(1+ProductivityDefault*('5. Scenarios'!$D$11-1))+INDEX(BookOneOff,1276)*$N1281)</f>
        <v/>
      </c>
      <c r="S1281" s="56" t="str">
        <f aca="false">IF(INDEX(BookTitle,1276)="","",INDEX(BookTotal,1276)*'5. Scenarios'!$E$6/(1+ProductivityDefault*('5. Scenarios'!$E$11-1)))</f>
        <v/>
      </c>
      <c r="T1281" s="57" t="str">
        <f aca="false">IF($S1281="","",INDEX(BookRate,1276)*(1+'5. Scenarios'!$E$10)*$S1281)</f>
        <v/>
      </c>
      <c r="U1281" s="57" t="str">
        <f aca="false">IF($T1281="","",SUMIFS($T$6:$T$2405,$A$6:$A$2405,"&lt;="&amp;$A1281))</f>
        <v/>
      </c>
      <c r="V1281" s="57" t="str">
        <f aca="false">IF($T1281="","",IF($U1281&lt;=BankCostEnvelope*'5. Scenarios'!$E$7,1,0))</f>
        <v/>
      </c>
      <c r="W1281" s="57" t="str">
        <f aca="false">IF($S1281="","",INDEX(BookRate,1276)*(1+'5. Scenarios'!$E$10)*(INDEX(BookQ1,1276)*(5-MIN(4,1+'5. Scenarios'!$E$8))/4+INDEX(BookQ2,1276)*(5-MIN(4,2+'5. Scenarios'!$E$8))/4+INDEX(BookQ3,1276)*(5-MIN(4,3+'5. Scenarios'!$E$8))/4+INDEX(BookQ4,1276)*(5-MIN(4,4+'5. Scenarios'!$E$8))/4)*'5. Scenarios'!$E$6/(1+ProductivityDefault*('5. Scenarios'!$E$11-1))+INDEX(BookOneOff,1276)*$S1281)</f>
        <v/>
      </c>
    </row>
    <row r="1282" customFormat="false" ht="15" hidden="false" customHeight="false" outlineLevel="0" collapsed="false">
      <c r="A1282" s="0" t="str">
        <f aca="false">IF(INDEX(BookTitle,1277)="","",INDEX(BookKey,1277))</f>
        <v/>
      </c>
      <c r="B1282" s="0" t="str">
        <f aca="false">IF(INDEX(BookTitle,1277)="","",INDEX(BookGroup,1277))</f>
        <v/>
      </c>
      <c r="C1282" s="0" t="str">
        <f aca="false">IF(INDEX(BookTitle,1277)="","",INDEX(BookCategory,1277))</f>
        <v/>
      </c>
      <c r="D1282" s="56" t="str">
        <f aca="false">IF(INDEX(BookTitle,1277)="","",INDEX(BookTotal,1277)*'5. Scenarios'!$B$6/(1+ProductivityDefault*('5. Scenarios'!$B$11-1)))</f>
        <v/>
      </c>
      <c r="E1282" s="57" t="str">
        <f aca="false">IF($D1282="","",INDEX(BookRate,1277)*(1+'5. Scenarios'!$B$10)*$D1282)</f>
        <v/>
      </c>
      <c r="F1282" s="57" t="str">
        <f aca="false">IF($E1282="","",SUMIFS($E$6:$E$2405,$A$6:$A$2405,"&lt;="&amp;$A1282))</f>
        <v/>
      </c>
      <c r="G1282" s="57" t="str">
        <f aca="false">IF($E1282="","",IF($F1282&lt;=BankCostEnvelope*'5. Scenarios'!$B$7,1,0))</f>
        <v/>
      </c>
      <c r="H1282" s="57" t="str">
        <f aca="false">IF($D1282="","",INDEX(BookRate,1277)*(1+'5. Scenarios'!$B$10)*(INDEX(BookQ1,1277)*(5-MIN(4,1+'5. Scenarios'!$B$8))/4+INDEX(BookQ2,1277)*(5-MIN(4,2+'5. Scenarios'!$B$8))/4+INDEX(BookQ3,1277)*(5-MIN(4,3+'5. Scenarios'!$B$8))/4+INDEX(BookQ4,1277)*(5-MIN(4,4+'5. Scenarios'!$B$8))/4)*'5. Scenarios'!$B$6/(1+ProductivityDefault*('5. Scenarios'!$B$11-1))+INDEX(BookOneOff,1277)*$D1282)</f>
        <v/>
      </c>
      <c r="I1282" s="56" t="str">
        <f aca="false">IF(INDEX(BookTitle,1277)="","",INDEX(BookTotal,1277)*'5. Scenarios'!$C$6/(1+ProductivityDefault*('5. Scenarios'!$C$11-1)))</f>
        <v/>
      </c>
      <c r="J1282" s="57" t="str">
        <f aca="false">IF($I1282="","",INDEX(BookRate,1277)*(1+'5. Scenarios'!$C$10)*$I1282)</f>
        <v/>
      </c>
      <c r="K1282" s="57" t="str">
        <f aca="false">IF($J1282="","",SUMIFS($J$6:$J$2405,$A$6:$A$2405,"&lt;="&amp;$A1282))</f>
        <v/>
      </c>
      <c r="L1282" s="57" t="str">
        <f aca="false">IF($J1282="","",IF($K1282&lt;=BankCostEnvelope*'5. Scenarios'!$C$7,1,0))</f>
        <v/>
      </c>
      <c r="M1282" s="57" t="str">
        <f aca="false">IF($I1282="","",INDEX(BookRate,1277)*(1+'5. Scenarios'!$C$10)*(INDEX(BookQ1,1277)*(5-MIN(4,1+'5. Scenarios'!$C$8))/4+INDEX(BookQ2,1277)*(5-MIN(4,2+'5. Scenarios'!$C$8))/4+INDEX(BookQ3,1277)*(5-MIN(4,3+'5. Scenarios'!$C$8))/4+INDEX(BookQ4,1277)*(5-MIN(4,4+'5. Scenarios'!$C$8))/4)*'5. Scenarios'!$C$6/(1+ProductivityDefault*('5. Scenarios'!$C$11-1))+INDEX(BookOneOff,1277)*$I1282)</f>
        <v/>
      </c>
      <c r="N1282" s="56" t="str">
        <f aca="false">IF(INDEX(BookTitle,1277)="","",INDEX(BookTotal,1277)*'5. Scenarios'!$D$6/(1+ProductivityDefault*('5. Scenarios'!$D$11-1)))</f>
        <v/>
      </c>
      <c r="O1282" s="57" t="str">
        <f aca="false">IF($N1282="","",INDEX(BookRate,1277)*(1+'5. Scenarios'!$D$10)*$N1282)</f>
        <v/>
      </c>
      <c r="P1282" s="57" t="str">
        <f aca="false">IF($O1282="","",SUMIFS($O$6:$O$2405,$A$6:$A$2405,"&lt;="&amp;$A1282))</f>
        <v/>
      </c>
      <c r="Q1282" s="57" t="str">
        <f aca="false">IF($O1282="","",IF($P1282&lt;=BankCostEnvelope*'5. Scenarios'!$D$7,1,0))</f>
        <v/>
      </c>
      <c r="R1282" s="57" t="str">
        <f aca="false">IF($N1282="","",INDEX(BookRate,1277)*(1+'5. Scenarios'!$D$10)*(INDEX(BookQ1,1277)*(5-MIN(4,1+'5. Scenarios'!$D$8))/4+INDEX(BookQ2,1277)*(5-MIN(4,2+'5. Scenarios'!$D$8))/4+INDEX(BookQ3,1277)*(5-MIN(4,3+'5. Scenarios'!$D$8))/4+INDEX(BookQ4,1277)*(5-MIN(4,4+'5. Scenarios'!$D$8))/4)*'5. Scenarios'!$D$6/(1+ProductivityDefault*('5. Scenarios'!$D$11-1))+INDEX(BookOneOff,1277)*$N1282)</f>
        <v/>
      </c>
      <c r="S1282" s="56" t="str">
        <f aca="false">IF(INDEX(BookTitle,1277)="","",INDEX(BookTotal,1277)*'5. Scenarios'!$E$6/(1+ProductivityDefault*('5. Scenarios'!$E$11-1)))</f>
        <v/>
      </c>
      <c r="T1282" s="57" t="str">
        <f aca="false">IF($S1282="","",INDEX(BookRate,1277)*(1+'5. Scenarios'!$E$10)*$S1282)</f>
        <v/>
      </c>
      <c r="U1282" s="57" t="str">
        <f aca="false">IF($T1282="","",SUMIFS($T$6:$T$2405,$A$6:$A$2405,"&lt;="&amp;$A1282))</f>
        <v/>
      </c>
      <c r="V1282" s="57" t="str">
        <f aca="false">IF($T1282="","",IF($U1282&lt;=BankCostEnvelope*'5. Scenarios'!$E$7,1,0))</f>
        <v/>
      </c>
      <c r="W1282" s="57" t="str">
        <f aca="false">IF($S1282="","",INDEX(BookRate,1277)*(1+'5. Scenarios'!$E$10)*(INDEX(BookQ1,1277)*(5-MIN(4,1+'5. Scenarios'!$E$8))/4+INDEX(BookQ2,1277)*(5-MIN(4,2+'5. Scenarios'!$E$8))/4+INDEX(BookQ3,1277)*(5-MIN(4,3+'5. Scenarios'!$E$8))/4+INDEX(BookQ4,1277)*(5-MIN(4,4+'5. Scenarios'!$E$8))/4)*'5. Scenarios'!$E$6/(1+ProductivityDefault*('5. Scenarios'!$E$11-1))+INDEX(BookOneOff,1277)*$S1282)</f>
        <v/>
      </c>
    </row>
    <row r="1283" customFormat="false" ht="15" hidden="false" customHeight="false" outlineLevel="0" collapsed="false">
      <c r="A1283" s="0" t="str">
        <f aca="false">IF(INDEX(BookTitle,1278)="","",INDEX(BookKey,1278))</f>
        <v/>
      </c>
      <c r="B1283" s="0" t="str">
        <f aca="false">IF(INDEX(BookTitle,1278)="","",INDEX(BookGroup,1278))</f>
        <v/>
      </c>
      <c r="C1283" s="0" t="str">
        <f aca="false">IF(INDEX(BookTitle,1278)="","",INDEX(BookCategory,1278))</f>
        <v/>
      </c>
      <c r="D1283" s="56" t="str">
        <f aca="false">IF(INDEX(BookTitle,1278)="","",INDEX(BookTotal,1278)*'5. Scenarios'!$B$6/(1+ProductivityDefault*('5. Scenarios'!$B$11-1)))</f>
        <v/>
      </c>
      <c r="E1283" s="57" t="str">
        <f aca="false">IF($D1283="","",INDEX(BookRate,1278)*(1+'5. Scenarios'!$B$10)*$D1283)</f>
        <v/>
      </c>
      <c r="F1283" s="57" t="str">
        <f aca="false">IF($E1283="","",SUMIFS($E$6:$E$2405,$A$6:$A$2405,"&lt;="&amp;$A1283))</f>
        <v/>
      </c>
      <c r="G1283" s="57" t="str">
        <f aca="false">IF($E1283="","",IF($F1283&lt;=BankCostEnvelope*'5. Scenarios'!$B$7,1,0))</f>
        <v/>
      </c>
      <c r="H1283" s="57" t="str">
        <f aca="false">IF($D1283="","",INDEX(BookRate,1278)*(1+'5. Scenarios'!$B$10)*(INDEX(BookQ1,1278)*(5-MIN(4,1+'5. Scenarios'!$B$8))/4+INDEX(BookQ2,1278)*(5-MIN(4,2+'5. Scenarios'!$B$8))/4+INDEX(BookQ3,1278)*(5-MIN(4,3+'5. Scenarios'!$B$8))/4+INDEX(BookQ4,1278)*(5-MIN(4,4+'5. Scenarios'!$B$8))/4)*'5. Scenarios'!$B$6/(1+ProductivityDefault*('5. Scenarios'!$B$11-1))+INDEX(BookOneOff,1278)*$D1283)</f>
        <v/>
      </c>
      <c r="I1283" s="56" t="str">
        <f aca="false">IF(INDEX(BookTitle,1278)="","",INDEX(BookTotal,1278)*'5. Scenarios'!$C$6/(1+ProductivityDefault*('5. Scenarios'!$C$11-1)))</f>
        <v/>
      </c>
      <c r="J1283" s="57" t="str">
        <f aca="false">IF($I1283="","",INDEX(BookRate,1278)*(1+'5. Scenarios'!$C$10)*$I1283)</f>
        <v/>
      </c>
      <c r="K1283" s="57" t="str">
        <f aca="false">IF($J1283="","",SUMIFS($J$6:$J$2405,$A$6:$A$2405,"&lt;="&amp;$A1283))</f>
        <v/>
      </c>
      <c r="L1283" s="57" t="str">
        <f aca="false">IF($J1283="","",IF($K1283&lt;=BankCostEnvelope*'5. Scenarios'!$C$7,1,0))</f>
        <v/>
      </c>
      <c r="M1283" s="57" t="str">
        <f aca="false">IF($I1283="","",INDEX(BookRate,1278)*(1+'5. Scenarios'!$C$10)*(INDEX(BookQ1,1278)*(5-MIN(4,1+'5. Scenarios'!$C$8))/4+INDEX(BookQ2,1278)*(5-MIN(4,2+'5. Scenarios'!$C$8))/4+INDEX(BookQ3,1278)*(5-MIN(4,3+'5. Scenarios'!$C$8))/4+INDEX(BookQ4,1278)*(5-MIN(4,4+'5. Scenarios'!$C$8))/4)*'5. Scenarios'!$C$6/(1+ProductivityDefault*('5. Scenarios'!$C$11-1))+INDEX(BookOneOff,1278)*$I1283)</f>
        <v/>
      </c>
      <c r="N1283" s="56" t="str">
        <f aca="false">IF(INDEX(BookTitle,1278)="","",INDEX(BookTotal,1278)*'5. Scenarios'!$D$6/(1+ProductivityDefault*('5. Scenarios'!$D$11-1)))</f>
        <v/>
      </c>
      <c r="O1283" s="57" t="str">
        <f aca="false">IF($N1283="","",INDEX(BookRate,1278)*(1+'5. Scenarios'!$D$10)*$N1283)</f>
        <v/>
      </c>
      <c r="P1283" s="57" t="str">
        <f aca="false">IF($O1283="","",SUMIFS($O$6:$O$2405,$A$6:$A$2405,"&lt;="&amp;$A1283))</f>
        <v/>
      </c>
      <c r="Q1283" s="57" t="str">
        <f aca="false">IF($O1283="","",IF($P1283&lt;=BankCostEnvelope*'5. Scenarios'!$D$7,1,0))</f>
        <v/>
      </c>
      <c r="R1283" s="57" t="str">
        <f aca="false">IF($N1283="","",INDEX(BookRate,1278)*(1+'5. Scenarios'!$D$10)*(INDEX(BookQ1,1278)*(5-MIN(4,1+'5. Scenarios'!$D$8))/4+INDEX(BookQ2,1278)*(5-MIN(4,2+'5. Scenarios'!$D$8))/4+INDEX(BookQ3,1278)*(5-MIN(4,3+'5. Scenarios'!$D$8))/4+INDEX(BookQ4,1278)*(5-MIN(4,4+'5. Scenarios'!$D$8))/4)*'5. Scenarios'!$D$6/(1+ProductivityDefault*('5. Scenarios'!$D$11-1))+INDEX(BookOneOff,1278)*$N1283)</f>
        <v/>
      </c>
      <c r="S1283" s="56" t="str">
        <f aca="false">IF(INDEX(BookTitle,1278)="","",INDEX(BookTotal,1278)*'5. Scenarios'!$E$6/(1+ProductivityDefault*('5. Scenarios'!$E$11-1)))</f>
        <v/>
      </c>
      <c r="T1283" s="57" t="str">
        <f aca="false">IF($S1283="","",INDEX(BookRate,1278)*(1+'5. Scenarios'!$E$10)*$S1283)</f>
        <v/>
      </c>
      <c r="U1283" s="57" t="str">
        <f aca="false">IF($T1283="","",SUMIFS($T$6:$T$2405,$A$6:$A$2405,"&lt;="&amp;$A1283))</f>
        <v/>
      </c>
      <c r="V1283" s="57" t="str">
        <f aca="false">IF($T1283="","",IF($U1283&lt;=BankCostEnvelope*'5. Scenarios'!$E$7,1,0))</f>
        <v/>
      </c>
      <c r="W1283" s="57" t="str">
        <f aca="false">IF($S1283="","",INDEX(BookRate,1278)*(1+'5. Scenarios'!$E$10)*(INDEX(BookQ1,1278)*(5-MIN(4,1+'5. Scenarios'!$E$8))/4+INDEX(BookQ2,1278)*(5-MIN(4,2+'5. Scenarios'!$E$8))/4+INDEX(BookQ3,1278)*(5-MIN(4,3+'5. Scenarios'!$E$8))/4+INDEX(BookQ4,1278)*(5-MIN(4,4+'5. Scenarios'!$E$8))/4)*'5. Scenarios'!$E$6/(1+ProductivityDefault*('5. Scenarios'!$E$11-1))+INDEX(BookOneOff,1278)*$S1283)</f>
        <v/>
      </c>
    </row>
    <row r="1284" customFormat="false" ht="15" hidden="false" customHeight="false" outlineLevel="0" collapsed="false">
      <c r="A1284" s="0" t="str">
        <f aca="false">IF(INDEX(BookTitle,1279)="","",INDEX(BookKey,1279))</f>
        <v/>
      </c>
      <c r="B1284" s="0" t="str">
        <f aca="false">IF(INDEX(BookTitle,1279)="","",INDEX(BookGroup,1279))</f>
        <v/>
      </c>
      <c r="C1284" s="0" t="str">
        <f aca="false">IF(INDEX(BookTitle,1279)="","",INDEX(BookCategory,1279))</f>
        <v/>
      </c>
      <c r="D1284" s="56" t="str">
        <f aca="false">IF(INDEX(BookTitle,1279)="","",INDEX(BookTotal,1279)*'5. Scenarios'!$B$6/(1+ProductivityDefault*('5. Scenarios'!$B$11-1)))</f>
        <v/>
      </c>
      <c r="E1284" s="57" t="str">
        <f aca="false">IF($D1284="","",INDEX(BookRate,1279)*(1+'5. Scenarios'!$B$10)*$D1284)</f>
        <v/>
      </c>
      <c r="F1284" s="57" t="str">
        <f aca="false">IF($E1284="","",SUMIFS($E$6:$E$2405,$A$6:$A$2405,"&lt;="&amp;$A1284))</f>
        <v/>
      </c>
      <c r="G1284" s="57" t="str">
        <f aca="false">IF($E1284="","",IF($F1284&lt;=BankCostEnvelope*'5. Scenarios'!$B$7,1,0))</f>
        <v/>
      </c>
      <c r="H1284" s="57" t="str">
        <f aca="false">IF($D1284="","",INDEX(BookRate,1279)*(1+'5. Scenarios'!$B$10)*(INDEX(BookQ1,1279)*(5-MIN(4,1+'5. Scenarios'!$B$8))/4+INDEX(BookQ2,1279)*(5-MIN(4,2+'5. Scenarios'!$B$8))/4+INDEX(BookQ3,1279)*(5-MIN(4,3+'5. Scenarios'!$B$8))/4+INDEX(BookQ4,1279)*(5-MIN(4,4+'5. Scenarios'!$B$8))/4)*'5. Scenarios'!$B$6/(1+ProductivityDefault*('5. Scenarios'!$B$11-1))+INDEX(BookOneOff,1279)*$D1284)</f>
        <v/>
      </c>
      <c r="I1284" s="56" t="str">
        <f aca="false">IF(INDEX(BookTitle,1279)="","",INDEX(BookTotal,1279)*'5. Scenarios'!$C$6/(1+ProductivityDefault*('5. Scenarios'!$C$11-1)))</f>
        <v/>
      </c>
      <c r="J1284" s="57" t="str">
        <f aca="false">IF($I1284="","",INDEX(BookRate,1279)*(1+'5. Scenarios'!$C$10)*$I1284)</f>
        <v/>
      </c>
      <c r="K1284" s="57" t="str">
        <f aca="false">IF($J1284="","",SUMIFS($J$6:$J$2405,$A$6:$A$2405,"&lt;="&amp;$A1284))</f>
        <v/>
      </c>
      <c r="L1284" s="57" t="str">
        <f aca="false">IF($J1284="","",IF($K1284&lt;=BankCostEnvelope*'5. Scenarios'!$C$7,1,0))</f>
        <v/>
      </c>
      <c r="M1284" s="57" t="str">
        <f aca="false">IF($I1284="","",INDEX(BookRate,1279)*(1+'5. Scenarios'!$C$10)*(INDEX(BookQ1,1279)*(5-MIN(4,1+'5. Scenarios'!$C$8))/4+INDEX(BookQ2,1279)*(5-MIN(4,2+'5. Scenarios'!$C$8))/4+INDEX(BookQ3,1279)*(5-MIN(4,3+'5. Scenarios'!$C$8))/4+INDEX(BookQ4,1279)*(5-MIN(4,4+'5. Scenarios'!$C$8))/4)*'5. Scenarios'!$C$6/(1+ProductivityDefault*('5. Scenarios'!$C$11-1))+INDEX(BookOneOff,1279)*$I1284)</f>
        <v/>
      </c>
      <c r="N1284" s="56" t="str">
        <f aca="false">IF(INDEX(BookTitle,1279)="","",INDEX(BookTotal,1279)*'5. Scenarios'!$D$6/(1+ProductivityDefault*('5. Scenarios'!$D$11-1)))</f>
        <v/>
      </c>
      <c r="O1284" s="57" t="str">
        <f aca="false">IF($N1284="","",INDEX(BookRate,1279)*(1+'5. Scenarios'!$D$10)*$N1284)</f>
        <v/>
      </c>
      <c r="P1284" s="57" t="str">
        <f aca="false">IF($O1284="","",SUMIFS($O$6:$O$2405,$A$6:$A$2405,"&lt;="&amp;$A1284))</f>
        <v/>
      </c>
      <c r="Q1284" s="57" t="str">
        <f aca="false">IF($O1284="","",IF($P1284&lt;=BankCostEnvelope*'5. Scenarios'!$D$7,1,0))</f>
        <v/>
      </c>
      <c r="R1284" s="57" t="str">
        <f aca="false">IF($N1284="","",INDEX(BookRate,1279)*(1+'5. Scenarios'!$D$10)*(INDEX(BookQ1,1279)*(5-MIN(4,1+'5. Scenarios'!$D$8))/4+INDEX(BookQ2,1279)*(5-MIN(4,2+'5. Scenarios'!$D$8))/4+INDEX(BookQ3,1279)*(5-MIN(4,3+'5. Scenarios'!$D$8))/4+INDEX(BookQ4,1279)*(5-MIN(4,4+'5. Scenarios'!$D$8))/4)*'5. Scenarios'!$D$6/(1+ProductivityDefault*('5. Scenarios'!$D$11-1))+INDEX(BookOneOff,1279)*$N1284)</f>
        <v/>
      </c>
      <c r="S1284" s="56" t="str">
        <f aca="false">IF(INDEX(BookTitle,1279)="","",INDEX(BookTotal,1279)*'5. Scenarios'!$E$6/(1+ProductivityDefault*('5. Scenarios'!$E$11-1)))</f>
        <v/>
      </c>
      <c r="T1284" s="57" t="str">
        <f aca="false">IF($S1284="","",INDEX(BookRate,1279)*(1+'5. Scenarios'!$E$10)*$S1284)</f>
        <v/>
      </c>
      <c r="U1284" s="57" t="str">
        <f aca="false">IF($T1284="","",SUMIFS($T$6:$T$2405,$A$6:$A$2405,"&lt;="&amp;$A1284))</f>
        <v/>
      </c>
      <c r="V1284" s="57" t="str">
        <f aca="false">IF($T1284="","",IF($U1284&lt;=BankCostEnvelope*'5. Scenarios'!$E$7,1,0))</f>
        <v/>
      </c>
      <c r="W1284" s="57" t="str">
        <f aca="false">IF($S1284="","",INDEX(BookRate,1279)*(1+'5. Scenarios'!$E$10)*(INDEX(BookQ1,1279)*(5-MIN(4,1+'5. Scenarios'!$E$8))/4+INDEX(BookQ2,1279)*(5-MIN(4,2+'5. Scenarios'!$E$8))/4+INDEX(BookQ3,1279)*(5-MIN(4,3+'5. Scenarios'!$E$8))/4+INDEX(BookQ4,1279)*(5-MIN(4,4+'5. Scenarios'!$E$8))/4)*'5. Scenarios'!$E$6/(1+ProductivityDefault*('5. Scenarios'!$E$11-1))+INDEX(BookOneOff,1279)*$S1284)</f>
        <v/>
      </c>
    </row>
    <row r="1285" customFormat="false" ht="15" hidden="false" customHeight="false" outlineLevel="0" collapsed="false">
      <c r="A1285" s="0" t="str">
        <f aca="false">IF(INDEX(BookTitle,1280)="","",INDEX(BookKey,1280))</f>
        <v/>
      </c>
      <c r="B1285" s="0" t="str">
        <f aca="false">IF(INDEX(BookTitle,1280)="","",INDEX(BookGroup,1280))</f>
        <v/>
      </c>
      <c r="C1285" s="0" t="str">
        <f aca="false">IF(INDEX(BookTitle,1280)="","",INDEX(BookCategory,1280))</f>
        <v/>
      </c>
      <c r="D1285" s="56" t="str">
        <f aca="false">IF(INDEX(BookTitle,1280)="","",INDEX(BookTotal,1280)*'5. Scenarios'!$B$6/(1+ProductivityDefault*('5. Scenarios'!$B$11-1)))</f>
        <v/>
      </c>
      <c r="E1285" s="57" t="str">
        <f aca="false">IF($D1285="","",INDEX(BookRate,1280)*(1+'5. Scenarios'!$B$10)*$D1285)</f>
        <v/>
      </c>
      <c r="F1285" s="57" t="str">
        <f aca="false">IF($E1285="","",SUMIFS($E$6:$E$2405,$A$6:$A$2405,"&lt;="&amp;$A1285))</f>
        <v/>
      </c>
      <c r="G1285" s="57" t="str">
        <f aca="false">IF($E1285="","",IF($F1285&lt;=BankCostEnvelope*'5. Scenarios'!$B$7,1,0))</f>
        <v/>
      </c>
      <c r="H1285" s="57" t="str">
        <f aca="false">IF($D1285="","",INDEX(BookRate,1280)*(1+'5. Scenarios'!$B$10)*(INDEX(BookQ1,1280)*(5-MIN(4,1+'5. Scenarios'!$B$8))/4+INDEX(BookQ2,1280)*(5-MIN(4,2+'5. Scenarios'!$B$8))/4+INDEX(BookQ3,1280)*(5-MIN(4,3+'5. Scenarios'!$B$8))/4+INDEX(BookQ4,1280)*(5-MIN(4,4+'5. Scenarios'!$B$8))/4)*'5. Scenarios'!$B$6/(1+ProductivityDefault*('5. Scenarios'!$B$11-1))+INDEX(BookOneOff,1280)*$D1285)</f>
        <v/>
      </c>
      <c r="I1285" s="56" t="str">
        <f aca="false">IF(INDEX(BookTitle,1280)="","",INDEX(BookTotal,1280)*'5. Scenarios'!$C$6/(1+ProductivityDefault*('5. Scenarios'!$C$11-1)))</f>
        <v/>
      </c>
      <c r="J1285" s="57" t="str">
        <f aca="false">IF($I1285="","",INDEX(BookRate,1280)*(1+'5. Scenarios'!$C$10)*$I1285)</f>
        <v/>
      </c>
      <c r="K1285" s="57" t="str">
        <f aca="false">IF($J1285="","",SUMIFS($J$6:$J$2405,$A$6:$A$2405,"&lt;="&amp;$A1285))</f>
        <v/>
      </c>
      <c r="L1285" s="57" t="str">
        <f aca="false">IF($J1285="","",IF($K1285&lt;=BankCostEnvelope*'5. Scenarios'!$C$7,1,0))</f>
        <v/>
      </c>
      <c r="M1285" s="57" t="str">
        <f aca="false">IF($I1285="","",INDEX(BookRate,1280)*(1+'5. Scenarios'!$C$10)*(INDEX(BookQ1,1280)*(5-MIN(4,1+'5. Scenarios'!$C$8))/4+INDEX(BookQ2,1280)*(5-MIN(4,2+'5. Scenarios'!$C$8))/4+INDEX(BookQ3,1280)*(5-MIN(4,3+'5. Scenarios'!$C$8))/4+INDEX(BookQ4,1280)*(5-MIN(4,4+'5. Scenarios'!$C$8))/4)*'5. Scenarios'!$C$6/(1+ProductivityDefault*('5. Scenarios'!$C$11-1))+INDEX(BookOneOff,1280)*$I1285)</f>
        <v/>
      </c>
      <c r="N1285" s="56" t="str">
        <f aca="false">IF(INDEX(BookTitle,1280)="","",INDEX(BookTotal,1280)*'5. Scenarios'!$D$6/(1+ProductivityDefault*('5. Scenarios'!$D$11-1)))</f>
        <v/>
      </c>
      <c r="O1285" s="57" t="str">
        <f aca="false">IF($N1285="","",INDEX(BookRate,1280)*(1+'5. Scenarios'!$D$10)*$N1285)</f>
        <v/>
      </c>
      <c r="P1285" s="57" t="str">
        <f aca="false">IF($O1285="","",SUMIFS($O$6:$O$2405,$A$6:$A$2405,"&lt;="&amp;$A1285))</f>
        <v/>
      </c>
      <c r="Q1285" s="57" t="str">
        <f aca="false">IF($O1285="","",IF($P1285&lt;=BankCostEnvelope*'5. Scenarios'!$D$7,1,0))</f>
        <v/>
      </c>
      <c r="R1285" s="57" t="str">
        <f aca="false">IF($N1285="","",INDEX(BookRate,1280)*(1+'5. Scenarios'!$D$10)*(INDEX(BookQ1,1280)*(5-MIN(4,1+'5. Scenarios'!$D$8))/4+INDEX(BookQ2,1280)*(5-MIN(4,2+'5. Scenarios'!$D$8))/4+INDEX(BookQ3,1280)*(5-MIN(4,3+'5. Scenarios'!$D$8))/4+INDEX(BookQ4,1280)*(5-MIN(4,4+'5. Scenarios'!$D$8))/4)*'5. Scenarios'!$D$6/(1+ProductivityDefault*('5. Scenarios'!$D$11-1))+INDEX(BookOneOff,1280)*$N1285)</f>
        <v/>
      </c>
      <c r="S1285" s="56" t="str">
        <f aca="false">IF(INDEX(BookTitle,1280)="","",INDEX(BookTotal,1280)*'5. Scenarios'!$E$6/(1+ProductivityDefault*('5. Scenarios'!$E$11-1)))</f>
        <v/>
      </c>
      <c r="T1285" s="57" t="str">
        <f aca="false">IF($S1285="","",INDEX(BookRate,1280)*(1+'5. Scenarios'!$E$10)*$S1285)</f>
        <v/>
      </c>
      <c r="U1285" s="57" t="str">
        <f aca="false">IF($T1285="","",SUMIFS($T$6:$T$2405,$A$6:$A$2405,"&lt;="&amp;$A1285))</f>
        <v/>
      </c>
      <c r="V1285" s="57" t="str">
        <f aca="false">IF($T1285="","",IF($U1285&lt;=BankCostEnvelope*'5. Scenarios'!$E$7,1,0))</f>
        <v/>
      </c>
      <c r="W1285" s="57" t="str">
        <f aca="false">IF($S1285="","",INDEX(BookRate,1280)*(1+'5. Scenarios'!$E$10)*(INDEX(BookQ1,1280)*(5-MIN(4,1+'5. Scenarios'!$E$8))/4+INDEX(BookQ2,1280)*(5-MIN(4,2+'5. Scenarios'!$E$8))/4+INDEX(BookQ3,1280)*(5-MIN(4,3+'5. Scenarios'!$E$8))/4+INDEX(BookQ4,1280)*(5-MIN(4,4+'5. Scenarios'!$E$8))/4)*'5. Scenarios'!$E$6/(1+ProductivityDefault*('5. Scenarios'!$E$11-1))+INDEX(BookOneOff,1280)*$S1285)</f>
        <v/>
      </c>
    </row>
    <row r="1286" customFormat="false" ht="15" hidden="false" customHeight="false" outlineLevel="0" collapsed="false">
      <c r="A1286" s="0" t="str">
        <f aca="false">IF(INDEX(BookTitle,1281)="","",INDEX(BookKey,1281))</f>
        <v/>
      </c>
      <c r="B1286" s="0" t="str">
        <f aca="false">IF(INDEX(BookTitle,1281)="","",INDEX(BookGroup,1281))</f>
        <v/>
      </c>
      <c r="C1286" s="0" t="str">
        <f aca="false">IF(INDEX(BookTitle,1281)="","",INDEX(BookCategory,1281))</f>
        <v/>
      </c>
      <c r="D1286" s="56" t="str">
        <f aca="false">IF(INDEX(BookTitle,1281)="","",INDEX(BookTotal,1281)*'5. Scenarios'!$B$6/(1+ProductivityDefault*('5. Scenarios'!$B$11-1)))</f>
        <v/>
      </c>
      <c r="E1286" s="57" t="str">
        <f aca="false">IF($D1286="","",INDEX(BookRate,1281)*(1+'5. Scenarios'!$B$10)*$D1286)</f>
        <v/>
      </c>
      <c r="F1286" s="57" t="str">
        <f aca="false">IF($E1286="","",SUMIFS($E$6:$E$2405,$A$6:$A$2405,"&lt;="&amp;$A1286))</f>
        <v/>
      </c>
      <c r="G1286" s="57" t="str">
        <f aca="false">IF($E1286="","",IF($F1286&lt;=BankCostEnvelope*'5. Scenarios'!$B$7,1,0))</f>
        <v/>
      </c>
      <c r="H1286" s="57" t="str">
        <f aca="false">IF($D1286="","",INDEX(BookRate,1281)*(1+'5. Scenarios'!$B$10)*(INDEX(BookQ1,1281)*(5-MIN(4,1+'5. Scenarios'!$B$8))/4+INDEX(BookQ2,1281)*(5-MIN(4,2+'5. Scenarios'!$B$8))/4+INDEX(BookQ3,1281)*(5-MIN(4,3+'5. Scenarios'!$B$8))/4+INDEX(BookQ4,1281)*(5-MIN(4,4+'5. Scenarios'!$B$8))/4)*'5. Scenarios'!$B$6/(1+ProductivityDefault*('5. Scenarios'!$B$11-1))+INDEX(BookOneOff,1281)*$D1286)</f>
        <v/>
      </c>
      <c r="I1286" s="56" t="str">
        <f aca="false">IF(INDEX(BookTitle,1281)="","",INDEX(BookTotal,1281)*'5. Scenarios'!$C$6/(1+ProductivityDefault*('5. Scenarios'!$C$11-1)))</f>
        <v/>
      </c>
      <c r="J1286" s="57" t="str">
        <f aca="false">IF($I1286="","",INDEX(BookRate,1281)*(1+'5. Scenarios'!$C$10)*$I1286)</f>
        <v/>
      </c>
      <c r="K1286" s="57" t="str">
        <f aca="false">IF($J1286="","",SUMIFS($J$6:$J$2405,$A$6:$A$2405,"&lt;="&amp;$A1286))</f>
        <v/>
      </c>
      <c r="L1286" s="57" t="str">
        <f aca="false">IF($J1286="","",IF($K1286&lt;=BankCostEnvelope*'5. Scenarios'!$C$7,1,0))</f>
        <v/>
      </c>
      <c r="M1286" s="57" t="str">
        <f aca="false">IF($I1286="","",INDEX(BookRate,1281)*(1+'5. Scenarios'!$C$10)*(INDEX(BookQ1,1281)*(5-MIN(4,1+'5. Scenarios'!$C$8))/4+INDEX(BookQ2,1281)*(5-MIN(4,2+'5. Scenarios'!$C$8))/4+INDEX(BookQ3,1281)*(5-MIN(4,3+'5. Scenarios'!$C$8))/4+INDEX(BookQ4,1281)*(5-MIN(4,4+'5. Scenarios'!$C$8))/4)*'5. Scenarios'!$C$6/(1+ProductivityDefault*('5. Scenarios'!$C$11-1))+INDEX(BookOneOff,1281)*$I1286)</f>
        <v/>
      </c>
      <c r="N1286" s="56" t="str">
        <f aca="false">IF(INDEX(BookTitle,1281)="","",INDEX(BookTotal,1281)*'5. Scenarios'!$D$6/(1+ProductivityDefault*('5. Scenarios'!$D$11-1)))</f>
        <v/>
      </c>
      <c r="O1286" s="57" t="str">
        <f aca="false">IF($N1286="","",INDEX(BookRate,1281)*(1+'5. Scenarios'!$D$10)*$N1286)</f>
        <v/>
      </c>
      <c r="P1286" s="57" t="str">
        <f aca="false">IF($O1286="","",SUMIFS($O$6:$O$2405,$A$6:$A$2405,"&lt;="&amp;$A1286))</f>
        <v/>
      </c>
      <c r="Q1286" s="57" t="str">
        <f aca="false">IF($O1286="","",IF($P1286&lt;=BankCostEnvelope*'5. Scenarios'!$D$7,1,0))</f>
        <v/>
      </c>
      <c r="R1286" s="57" t="str">
        <f aca="false">IF($N1286="","",INDEX(BookRate,1281)*(1+'5. Scenarios'!$D$10)*(INDEX(BookQ1,1281)*(5-MIN(4,1+'5. Scenarios'!$D$8))/4+INDEX(BookQ2,1281)*(5-MIN(4,2+'5. Scenarios'!$D$8))/4+INDEX(BookQ3,1281)*(5-MIN(4,3+'5. Scenarios'!$D$8))/4+INDEX(BookQ4,1281)*(5-MIN(4,4+'5. Scenarios'!$D$8))/4)*'5. Scenarios'!$D$6/(1+ProductivityDefault*('5. Scenarios'!$D$11-1))+INDEX(BookOneOff,1281)*$N1286)</f>
        <v/>
      </c>
      <c r="S1286" s="56" t="str">
        <f aca="false">IF(INDEX(BookTitle,1281)="","",INDEX(BookTotal,1281)*'5. Scenarios'!$E$6/(1+ProductivityDefault*('5. Scenarios'!$E$11-1)))</f>
        <v/>
      </c>
      <c r="T1286" s="57" t="str">
        <f aca="false">IF($S1286="","",INDEX(BookRate,1281)*(1+'5. Scenarios'!$E$10)*$S1286)</f>
        <v/>
      </c>
      <c r="U1286" s="57" t="str">
        <f aca="false">IF($T1286="","",SUMIFS($T$6:$T$2405,$A$6:$A$2405,"&lt;="&amp;$A1286))</f>
        <v/>
      </c>
      <c r="V1286" s="57" t="str">
        <f aca="false">IF($T1286="","",IF($U1286&lt;=BankCostEnvelope*'5. Scenarios'!$E$7,1,0))</f>
        <v/>
      </c>
      <c r="W1286" s="57" t="str">
        <f aca="false">IF($S1286="","",INDEX(BookRate,1281)*(1+'5. Scenarios'!$E$10)*(INDEX(BookQ1,1281)*(5-MIN(4,1+'5. Scenarios'!$E$8))/4+INDEX(BookQ2,1281)*(5-MIN(4,2+'5. Scenarios'!$E$8))/4+INDEX(BookQ3,1281)*(5-MIN(4,3+'5. Scenarios'!$E$8))/4+INDEX(BookQ4,1281)*(5-MIN(4,4+'5. Scenarios'!$E$8))/4)*'5. Scenarios'!$E$6/(1+ProductivityDefault*('5. Scenarios'!$E$11-1))+INDEX(BookOneOff,1281)*$S1286)</f>
        <v/>
      </c>
    </row>
    <row r="1287" customFormat="false" ht="15" hidden="false" customHeight="false" outlineLevel="0" collapsed="false">
      <c r="A1287" s="0" t="str">
        <f aca="false">IF(INDEX(BookTitle,1282)="","",INDEX(BookKey,1282))</f>
        <v/>
      </c>
      <c r="B1287" s="0" t="str">
        <f aca="false">IF(INDEX(BookTitle,1282)="","",INDEX(BookGroup,1282))</f>
        <v/>
      </c>
      <c r="C1287" s="0" t="str">
        <f aca="false">IF(INDEX(BookTitle,1282)="","",INDEX(BookCategory,1282))</f>
        <v/>
      </c>
      <c r="D1287" s="56" t="str">
        <f aca="false">IF(INDEX(BookTitle,1282)="","",INDEX(BookTotal,1282)*'5. Scenarios'!$B$6/(1+ProductivityDefault*('5. Scenarios'!$B$11-1)))</f>
        <v/>
      </c>
      <c r="E1287" s="57" t="str">
        <f aca="false">IF($D1287="","",INDEX(BookRate,1282)*(1+'5. Scenarios'!$B$10)*$D1287)</f>
        <v/>
      </c>
      <c r="F1287" s="57" t="str">
        <f aca="false">IF($E1287="","",SUMIFS($E$6:$E$2405,$A$6:$A$2405,"&lt;="&amp;$A1287))</f>
        <v/>
      </c>
      <c r="G1287" s="57" t="str">
        <f aca="false">IF($E1287="","",IF($F1287&lt;=BankCostEnvelope*'5. Scenarios'!$B$7,1,0))</f>
        <v/>
      </c>
      <c r="H1287" s="57" t="str">
        <f aca="false">IF($D1287="","",INDEX(BookRate,1282)*(1+'5. Scenarios'!$B$10)*(INDEX(BookQ1,1282)*(5-MIN(4,1+'5. Scenarios'!$B$8))/4+INDEX(BookQ2,1282)*(5-MIN(4,2+'5. Scenarios'!$B$8))/4+INDEX(BookQ3,1282)*(5-MIN(4,3+'5. Scenarios'!$B$8))/4+INDEX(BookQ4,1282)*(5-MIN(4,4+'5. Scenarios'!$B$8))/4)*'5. Scenarios'!$B$6/(1+ProductivityDefault*('5. Scenarios'!$B$11-1))+INDEX(BookOneOff,1282)*$D1287)</f>
        <v/>
      </c>
      <c r="I1287" s="56" t="str">
        <f aca="false">IF(INDEX(BookTitle,1282)="","",INDEX(BookTotal,1282)*'5. Scenarios'!$C$6/(1+ProductivityDefault*('5. Scenarios'!$C$11-1)))</f>
        <v/>
      </c>
      <c r="J1287" s="57" t="str">
        <f aca="false">IF($I1287="","",INDEX(BookRate,1282)*(1+'5. Scenarios'!$C$10)*$I1287)</f>
        <v/>
      </c>
      <c r="K1287" s="57" t="str">
        <f aca="false">IF($J1287="","",SUMIFS($J$6:$J$2405,$A$6:$A$2405,"&lt;="&amp;$A1287))</f>
        <v/>
      </c>
      <c r="L1287" s="57" t="str">
        <f aca="false">IF($J1287="","",IF($K1287&lt;=BankCostEnvelope*'5. Scenarios'!$C$7,1,0))</f>
        <v/>
      </c>
      <c r="M1287" s="57" t="str">
        <f aca="false">IF($I1287="","",INDEX(BookRate,1282)*(1+'5. Scenarios'!$C$10)*(INDEX(BookQ1,1282)*(5-MIN(4,1+'5. Scenarios'!$C$8))/4+INDEX(BookQ2,1282)*(5-MIN(4,2+'5. Scenarios'!$C$8))/4+INDEX(BookQ3,1282)*(5-MIN(4,3+'5. Scenarios'!$C$8))/4+INDEX(BookQ4,1282)*(5-MIN(4,4+'5. Scenarios'!$C$8))/4)*'5. Scenarios'!$C$6/(1+ProductivityDefault*('5. Scenarios'!$C$11-1))+INDEX(BookOneOff,1282)*$I1287)</f>
        <v/>
      </c>
      <c r="N1287" s="56" t="str">
        <f aca="false">IF(INDEX(BookTitle,1282)="","",INDEX(BookTotal,1282)*'5. Scenarios'!$D$6/(1+ProductivityDefault*('5. Scenarios'!$D$11-1)))</f>
        <v/>
      </c>
      <c r="O1287" s="57" t="str">
        <f aca="false">IF($N1287="","",INDEX(BookRate,1282)*(1+'5. Scenarios'!$D$10)*$N1287)</f>
        <v/>
      </c>
      <c r="P1287" s="57" t="str">
        <f aca="false">IF($O1287="","",SUMIFS($O$6:$O$2405,$A$6:$A$2405,"&lt;="&amp;$A1287))</f>
        <v/>
      </c>
      <c r="Q1287" s="57" t="str">
        <f aca="false">IF($O1287="","",IF($P1287&lt;=BankCostEnvelope*'5. Scenarios'!$D$7,1,0))</f>
        <v/>
      </c>
      <c r="R1287" s="57" t="str">
        <f aca="false">IF($N1287="","",INDEX(BookRate,1282)*(1+'5. Scenarios'!$D$10)*(INDEX(BookQ1,1282)*(5-MIN(4,1+'5. Scenarios'!$D$8))/4+INDEX(BookQ2,1282)*(5-MIN(4,2+'5. Scenarios'!$D$8))/4+INDEX(BookQ3,1282)*(5-MIN(4,3+'5. Scenarios'!$D$8))/4+INDEX(BookQ4,1282)*(5-MIN(4,4+'5. Scenarios'!$D$8))/4)*'5. Scenarios'!$D$6/(1+ProductivityDefault*('5. Scenarios'!$D$11-1))+INDEX(BookOneOff,1282)*$N1287)</f>
        <v/>
      </c>
      <c r="S1287" s="56" t="str">
        <f aca="false">IF(INDEX(BookTitle,1282)="","",INDEX(BookTotal,1282)*'5. Scenarios'!$E$6/(1+ProductivityDefault*('5. Scenarios'!$E$11-1)))</f>
        <v/>
      </c>
      <c r="T1287" s="57" t="str">
        <f aca="false">IF($S1287="","",INDEX(BookRate,1282)*(1+'5. Scenarios'!$E$10)*$S1287)</f>
        <v/>
      </c>
      <c r="U1287" s="57" t="str">
        <f aca="false">IF($T1287="","",SUMIFS($T$6:$T$2405,$A$6:$A$2405,"&lt;="&amp;$A1287))</f>
        <v/>
      </c>
      <c r="V1287" s="57" t="str">
        <f aca="false">IF($T1287="","",IF($U1287&lt;=BankCostEnvelope*'5. Scenarios'!$E$7,1,0))</f>
        <v/>
      </c>
      <c r="W1287" s="57" t="str">
        <f aca="false">IF($S1287="","",INDEX(BookRate,1282)*(1+'5. Scenarios'!$E$10)*(INDEX(BookQ1,1282)*(5-MIN(4,1+'5. Scenarios'!$E$8))/4+INDEX(BookQ2,1282)*(5-MIN(4,2+'5. Scenarios'!$E$8))/4+INDEX(BookQ3,1282)*(5-MIN(4,3+'5. Scenarios'!$E$8))/4+INDEX(BookQ4,1282)*(5-MIN(4,4+'5. Scenarios'!$E$8))/4)*'5. Scenarios'!$E$6/(1+ProductivityDefault*('5. Scenarios'!$E$11-1))+INDEX(BookOneOff,1282)*$S1287)</f>
        <v/>
      </c>
    </row>
    <row r="1288" customFormat="false" ht="15" hidden="false" customHeight="false" outlineLevel="0" collapsed="false">
      <c r="A1288" s="0" t="str">
        <f aca="false">IF(INDEX(BookTitle,1283)="","",INDEX(BookKey,1283))</f>
        <v/>
      </c>
      <c r="B1288" s="0" t="str">
        <f aca="false">IF(INDEX(BookTitle,1283)="","",INDEX(BookGroup,1283))</f>
        <v/>
      </c>
      <c r="C1288" s="0" t="str">
        <f aca="false">IF(INDEX(BookTitle,1283)="","",INDEX(BookCategory,1283))</f>
        <v/>
      </c>
      <c r="D1288" s="56" t="str">
        <f aca="false">IF(INDEX(BookTitle,1283)="","",INDEX(BookTotal,1283)*'5. Scenarios'!$B$6/(1+ProductivityDefault*('5. Scenarios'!$B$11-1)))</f>
        <v/>
      </c>
      <c r="E1288" s="57" t="str">
        <f aca="false">IF($D1288="","",INDEX(BookRate,1283)*(1+'5. Scenarios'!$B$10)*$D1288)</f>
        <v/>
      </c>
      <c r="F1288" s="57" t="str">
        <f aca="false">IF($E1288="","",SUMIFS($E$6:$E$2405,$A$6:$A$2405,"&lt;="&amp;$A1288))</f>
        <v/>
      </c>
      <c r="G1288" s="57" t="str">
        <f aca="false">IF($E1288="","",IF($F1288&lt;=BankCostEnvelope*'5. Scenarios'!$B$7,1,0))</f>
        <v/>
      </c>
      <c r="H1288" s="57" t="str">
        <f aca="false">IF($D1288="","",INDEX(BookRate,1283)*(1+'5. Scenarios'!$B$10)*(INDEX(BookQ1,1283)*(5-MIN(4,1+'5. Scenarios'!$B$8))/4+INDEX(BookQ2,1283)*(5-MIN(4,2+'5. Scenarios'!$B$8))/4+INDEX(BookQ3,1283)*(5-MIN(4,3+'5. Scenarios'!$B$8))/4+INDEX(BookQ4,1283)*(5-MIN(4,4+'5. Scenarios'!$B$8))/4)*'5. Scenarios'!$B$6/(1+ProductivityDefault*('5. Scenarios'!$B$11-1))+INDEX(BookOneOff,1283)*$D1288)</f>
        <v/>
      </c>
      <c r="I1288" s="56" t="str">
        <f aca="false">IF(INDEX(BookTitle,1283)="","",INDEX(BookTotal,1283)*'5. Scenarios'!$C$6/(1+ProductivityDefault*('5. Scenarios'!$C$11-1)))</f>
        <v/>
      </c>
      <c r="J1288" s="57" t="str">
        <f aca="false">IF($I1288="","",INDEX(BookRate,1283)*(1+'5. Scenarios'!$C$10)*$I1288)</f>
        <v/>
      </c>
      <c r="K1288" s="57" t="str">
        <f aca="false">IF($J1288="","",SUMIFS($J$6:$J$2405,$A$6:$A$2405,"&lt;="&amp;$A1288))</f>
        <v/>
      </c>
      <c r="L1288" s="57" t="str">
        <f aca="false">IF($J1288="","",IF($K1288&lt;=BankCostEnvelope*'5. Scenarios'!$C$7,1,0))</f>
        <v/>
      </c>
      <c r="M1288" s="57" t="str">
        <f aca="false">IF($I1288="","",INDEX(BookRate,1283)*(1+'5. Scenarios'!$C$10)*(INDEX(BookQ1,1283)*(5-MIN(4,1+'5. Scenarios'!$C$8))/4+INDEX(BookQ2,1283)*(5-MIN(4,2+'5. Scenarios'!$C$8))/4+INDEX(BookQ3,1283)*(5-MIN(4,3+'5. Scenarios'!$C$8))/4+INDEX(BookQ4,1283)*(5-MIN(4,4+'5. Scenarios'!$C$8))/4)*'5. Scenarios'!$C$6/(1+ProductivityDefault*('5. Scenarios'!$C$11-1))+INDEX(BookOneOff,1283)*$I1288)</f>
        <v/>
      </c>
      <c r="N1288" s="56" t="str">
        <f aca="false">IF(INDEX(BookTitle,1283)="","",INDEX(BookTotal,1283)*'5. Scenarios'!$D$6/(1+ProductivityDefault*('5. Scenarios'!$D$11-1)))</f>
        <v/>
      </c>
      <c r="O1288" s="57" t="str">
        <f aca="false">IF($N1288="","",INDEX(BookRate,1283)*(1+'5. Scenarios'!$D$10)*$N1288)</f>
        <v/>
      </c>
      <c r="P1288" s="57" t="str">
        <f aca="false">IF($O1288="","",SUMIFS($O$6:$O$2405,$A$6:$A$2405,"&lt;="&amp;$A1288))</f>
        <v/>
      </c>
      <c r="Q1288" s="57" t="str">
        <f aca="false">IF($O1288="","",IF($P1288&lt;=BankCostEnvelope*'5. Scenarios'!$D$7,1,0))</f>
        <v/>
      </c>
      <c r="R1288" s="57" t="str">
        <f aca="false">IF($N1288="","",INDEX(BookRate,1283)*(1+'5. Scenarios'!$D$10)*(INDEX(BookQ1,1283)*(5-MIN(4,1+'5. Scenarios'!$D$8))/4+INDEX(BookQ2,1283)*(5-MIN(4,2+'5. Scenarios'!$D$8))/4+INDEX(BookQ3,1283)*(5-MIN(4,3+'5. Scenarios'!$D$8))/4+INDEX(BookQ4,1283)*(5-MIN(4,4+'5. Scenarios'!$D$8))/4)*'5. Scenarios'!$D$6/(1+ProductivityDefault*('5. Scenarios'!$D$11-1))+INDEX(BookOneOff,1283)*$N1288)</f>
        <v/>
      </c>
      <c r="S1288" s="56" t="str">
        <f aca="false">IF(INDEX(BookTitle,1283)="","",INDEX(BookTotal,1283)*'5. Scenarios'!$E$6/(1+ProductivityDefault*('5. Scenarios'!$E$11-1)))</f>
        <v/>
      </c>
      <c r="T1288" s="57" t="str">
        <f aca="false">IF($S1288="","",INDEX(BookRate,1283)*(1+'5. Scenarios'!$E$10)*$S1288)</f>
        <v/>
      </c>
      <c r="U1288" s="57" t="str">
        <f aca="false">IF($T1288="","",SUMIFS($T$6:$T$2405,$A$6:$A$2405,"&lt;="&amp;$A1288))</f>
        <v/>
      </c>
      <c r="V1288" s="57" t="str">
        <f aca="false">IF($T1288="","",IF($U1288&lt;=BankCostEnvelope*'5. Scenarios'!$E$7,1,0))</f>
        <v/>
      </c>
      <c r="W1288" s="57" t="str">
        <f aca="false">IF($S1288="","",INDEX(BookRate,1283)*(1+'5. Scenarios'!$E$10)*(INDEX(BookQ1,1283)*(5-MIN(4,1+'5. Scenarios'!$E$8))/4+INDEX(BookQ2,1283)*(5-MIN(4,2+'5. Scenarios'!$E$8))/4+INDEX(BookQ3,1283)*(5-MIN(4,3+'5. Scenarios'!$E$8))/4+INDEX(BookQ4,1283)*(5-MIN(4,4+'5. Scenarios'!$E$8))/4)*'5. Scenarios'!$E$6/(1+ProductivityDefault*('5. Scenarios'!$E$11-1))+INDEX(BookOneOff,1283)*$S1288)</f>
        <v/>
      </c>
    </row>
    <row r="1289" customFormat="false" ht="15" hidden="false" customHeight="false" outlineLevel="0" collapsed="false">
      <c r="A1289" s="0" t="str">
        <f aca="false">IF(INDEX(BookTitle,1284)="","",INDEX(BookKey,1284))</f>
        <v/>
      </c>
      <c r="B1289" s="0" t="str">
        <f aca="false">IF(INDEX(BookTitle,1284)="","",INDEX(BookGroup,1284))</f>
        <v/>
      </c>
      <c r="C1289" s="0" t="str">
        <f aca="false">IF(INDEX(BookTitle,1284)="","",INDEX(BookCategory,1284))</f>
        <v/>
      </c>
      <c r="D1289" s="56" t="str">
        <f aca="false">IF(INDEX(BookTitle,1284)="","",INDEX(BookTotal,1284)*'5. Scenarios'!$B$6/(1+ProductivityDefault*('5. Scenarios'!$B$11-1)))</f>
        <v/>
      </c>
      <c r="E1289" s="57" t="str">
        <f aca="false">IF($D1289="","",INDEX(BookRate,1284)*(1+'5. Scenarios'!$B$10)*$D1289)</f>
        <v/>
      </c>
      <c r="F1289" s="57" t="str">
        <f aca="false">IF($E1289="","",SUMIFS($E$6:$E$2405,$A$6:$A$2405,"&lt;="&amp;$A1289))</f>
        <v/>
      </c>
      <c r="G1289" s="57" t="str">
        <f aca="false">IF($E1289="","",IF($F1289&lt;=BankCostEnvelope*'5. Scenarios'!$B$7,1,0))</f>
        <v/>
      </c>
      <c r="H1289" s="57" t="str">
        <f aca="false">IF($D1289="","",INDEX(BookRate,1284)*(1+'5. Scenarios'!$B$10)*(INDEX(BookQ1,1284)*(5-MIN(4,1+'5. Scenarios'!$B$8))/4+INDEX(BookQ2,1284)*(5-MIN(4,2+'5. Scenarios'!$B$8))/4+INDEX(BookQ3,1284)*(5-MIN(4,3+'5. Scenarios'!$B$8))/4+INDEX(BookQ4,1284)*(5-MIN(4,4+'5. Scenarios'!$B$8))/4)*'5. Scenarios'!$B$6/(1+ProductivityDefault*('5. Scenarios'!$B$11-1))+INDEX(BookOneOff,1284)*$D1289)</f>
        <v/>
      </c>
      <c r="I1289" s="56" t="str">
        <f aca="false">IF(INDEX(BookTitle,1284)="","",INDEX(BookTotal,1284)*'5. Scenarios'!$C$6/(1+ProductivityDefault*('5. Scenarios'!$C$11-1)))</f>
        <v/>
      </c>
      <c r="J1289" s="57" t="str">
        <f aca="false">IF($I1289="","",INDEX(BookRate,1284)*(1+'5. Scenarios'!$C$10)*$I1289)</f>
        <v/>
      </c>
      <c r="K1289" s="57" t="str">
        <f aca="false">IF($J1289="","",SUMIFS($J$6:$J$2405,$A$6:$A$2405,"&lt;="&amp;$A1289))</f>
        <v/>
      </c>
      <c r="L1289" s="57" t="str">
        <f aca="false">IF($J1289="","",IF($K1289&lt;=BankCostEnvelope*'5. Scenarios'!$C$7,1,0))</f>
        <v/>
      </c>
      <c r="M1289" s="57" t="str">
        <f aca="false">IF($I1289="","",INDEX(BookRate,1284)*(1+'5. Scenarios'!$C$10)*(INDEX(BookQ1,1284)*(5-MIN(4,1+'5. Scenarios'!$C$8))/4+INDEX(BookQ2,1284)*(5-MIN(4,2+'5. Scenarios'!$C$8))/4+INDEX(BookQ3,1284)*(5-MIN(4,3+'5. Scenarios'!$C$8))/4+INDEX(BookQ4,1284)*(5-MIN(4,4+'5. Scenarios'!$C$8))/4)*'5. Scenarios'!$C$6/(1+ProductivityDefault*('5. Scenarios'!$C$11-1))+INDEX(BookOneOff,1284)*$I1289)</f>
        <v/>
      </c>
      <c r="N1289" s="56" t="str">
        <f aca="false">IF(INDEX(BookTitle,1284)="","",INDEX(BookTotal,1284)*'5. Scenarios'!$D$6/(1+ProductivityDefault*('5. Scenarios'!$D$11-1)))</f>
        <v/>
      </c>
      <c r="O1289" s="57" t="str">
        <f aca="false">IF($N1289="","",INDEX(BookRate,1284)*(1+'5. Scenarios'!$D$10)*$N1289)</f>
        <v/>
      </c>
      <c r="P1289" s="57" t="str">
        <f aca="false">IF($O1289="","",SUMIFS($O$6:$O$2405,$A$6:$A$2405,"&lt;="&amp;$A1289))</f>
        <v/>
      </c>
      <c r="Q1289" s="57" t="str">
        <f aca="false">IF($O1289="","",IF($P1289&lt;=BankCostEnvelope*'5. Scenarios'!$D$7,1,0))</f>
        <v/>
      </c>
      <c r="R1289" s="57" t="str">
        <f aca="false">IF($N1289="","",INDEX(BookRate,1284)*(1+'5. Scenarios'!$D$10)*(INDEX(BookQ1,1284)*(5-MIN(4,1+'5. Scenarios'!$D$8))/4+INDEX(BookQ2,1284)*(5-MIN(4,2+'5. Scenarios'!$D$8))/4+INDEX(BookQ3,1284)*(5-MIN(4,3+'5. Scenarios'!$D$8))/4+INDEX(BookQ4,1284)*(5-MIN(4,4+'5. Scenarios'!$D$8))/4)*'5. Scenarios'!$D$6/(1+ProductivityDefault*('5. Scenarios'!$D$11-1))+INDEX(BookOneOff,1284)*$N1289)</f>
        <v/>
      </c>
      <c r="S1289" s="56" t="str">
        <f aca="false">IF(INDEX(BookTitle,1284)="","",INDEX(BookTotal,1284)*'5. Scenarios'!$E$6/(1+ProductivityDefault*('5. Scenarios'!$E$11-1)))</f>
        <v/>
      </c>
      <c r="T1289" s="57" t="str">
        <f aca="false">IF($S1289="","",INDEX(BookRate,1284)*(1+'5. Scenarios'!$E$10)*$S1289)</f>
        <v/>
      </c>
      <c r="U1289" s="57" t="str">
        <f aca="false">IF($T1289="","",SUMIFS($T$6:$T$2405,$A$6:$A$2405,"&lt;="&amp;$A1289))</f>
        <v/>
      </c>
      <c r="V1289" s="57" t="str">
        <f aca="false">IF($T1289="","",IF($U1289&lt;=BankCostEnvelope*'5. Scenarios'!$E$7,1,0))</f>
        <v/>
      </c>
      <c r="W1289" s="57" t="str">
        <f aca="false">IF($S1289="","",INDEX(BookRate,1284)*(1+'5. Scenarios'!$E$10)*(INDEX(BookQ1,1284)*(5-MIN(4,1+'5. Scenarios'!$E$8))/4+INDEX(BookQ2,1284)*(5-MIN(4,2+'5. Scenarios'!$E$8))/4+INDEX(BookQ3,1284)*(5-MIN(4,3+'5. Scenarios'!$E$8))/4+INDEX(BookQ4,1284)*(5-MIN(4,4+'5. Scenarios'!$E$8))/4)*'5. Scenarios'!$E$6/(1+ProductivityDefault*('5. Scenarios'!$E$11-1))+INDEX(BookOneOff,1284)*$S1289)</f>
        <v/>
      </c>
    </row>
    <row r="1290" customFormat="false" ht="15" hidden="false" customHeight="false" outlineLevel="0" collapsed="false">
      <c r="A1290" s="0" t="str">
        <f aca="false">IF(INDEX(BookTitle,1285)="","",INDEX(BookKey,1285))</f>
        <v/>
      </c>
      <c r="B1290" s="0" t="str">
        <f aca="false">IF(INDEX(BookTitle,1285)="","",INDEX(BookGroup,1285))</f>
        <v/>
      </c>
      <c r="C1290" s="0" t="str">
        <f aca="false">IF(INDEX(BookTitle,1285)="","",INDEX(BookCategory,1285))</f>
        <v/>
      </c>
      <c r="D1290" s="56" t="str">
        <f aca="false">IF(INDEX(BookTitle,1285)="","",INDEX(BookTotal,1285)*'5. Scenarios'!$B$6/(1+ProductivityDefault*('5. Scenarios'!$B$11-1)))</f>
        <v/>
      </c>
      <c r="E1290" s="57" t="str">
        <f aca="false">IF($D1290="","",INDEX(BookRate,1285)*(1+'5. Scenarios'!$B$10)*$D1290)</f>
        <v/>
      </c>
      <c r="F1290" s="57" t="str">
        <f aca="false">IF($E1290="","",SUMIFS($E$6:$E$2405,$A$6:$A$2405,"&lt;="&amp;$A1290))</f>
        <v/>
      </c>
      <c r="G1290" s="57" t="str">
        <f aca="false">IF($E1290="","",IF($F1290&lt;=BankCostEnvelope*'5. Scenarios'!$B$7,1,0))</f>
        <v/>
      </c>
      <c r="H1290" s="57" t="str">
        <f aca="false">IF($D1290="","",INDEX(BookRate,1285)*(1+'5. Scenarios'!$B$10)*(INDEX(BookQ1,1285)*(5-MIN(4,1+'5. Scenarios'!$B$8))/4+INDEX(BookQ2,1285)*(5-MIN(4,2+'5. Scenarios'!$B$8))/4+INDEX(BookQ3,1285)*(5-MIN(4,3+'5. Scenarios'!$B$8))/4+INDEX(BookQ4,1285)*(5-MIN(4,4+'5. Scenarios'!$B$8))/4)*'5. Scenarios'!$B$6/(1+ProductivityDefault*('5. Scenarios'!$B$11-1))+INDEX(BookOneOff,1285)*$D1290)</f>
        <v/>
      </c>
      <c r="I1290" s="56" t="str">
        <f aca="false">IF(INDEX(BookTitle,1285)="","",INDEX(BookTotal,1285)*'5. Scenarios'!$C$6/(1+ProductivityDefault*('5. Scenarios'!$C$11-1)))</f>
        <v/>
      </c>
      <c r="J1290" s="57" t="str">
        <f aca="false">IF($I1290="","",INDEX(BookRate,1285)*(1+'5. Scenarios'!$C$10)*$I1290)</f>
        <v/>
      </c>
      <c r="K1290" s="57" t="str">
        <f aca="false">IF($J1290="","",SUMIFS($J$6:$J$2405,$A$6:$A$2405,"&lt;="&amp;$A1290))</f>
        <v/>
      </c>
      <c r="L1290" s="57" t="str">
        <f aca="false">IF($J1290="","",IF($K1290&lt;=BankCostEnvelope*'5. Scenarios'!$C$7,1,0))</f>
        <v/>
      </c>
      <c r="M1290" s="57" t="str">
        <f aca="false">IF($I1290="","",INDEX(BookRate,1285)*(1+'5. Scenarios'!$C$10)*(INDEX(BookQ1,1285)*(5-MIN(4,1+'5. Scenarios'!$C$8))/4+INDEX(BookQ2,1285)*(5-MIN(4,2+'5. Scenarios'!$C$8))/4+INDEX(BookQ3,1285)*(5-MIN(4,3+'5. Scenarios'!$C$8))/4+INDEX(BookQ4,1285)*(5-MIN(4,4+'5. Scenarios'!$C$8))/4)*'5. Scenarios'!$C$6/(1+ProductivityDefault*('5. Scenarios'!$C$11-1))+INDEX(BookOneOff,1285)*$I1290)</f>
        <v/>
      </c>
      <c r="N1290" s="56" t="str">
        <f aca="false">IF(INDEX(BookTitle,1285)="","",INDEX(BookTotal,1285)*'5. Scenarios'!$D$6/(1+ProductivityDefault*('5. Scenarios'!$D$11-1)))</f>
        <v/>
      </c>
      <c r="O1290" s="57" t="str">
        <f aca="false">IF($N1290="","",INDEX(BookRate,1285)*(1+'5. Scenarios'!$D$10)*$N1290)</f>
        <v/>
      </c>
      <c r="P1290" s="57" t="str">
        <f aca="false">IF($O1290="","",SUMIFS($O$6:$O$2405,$A$6:$A$2405,"&lt;="&amp;$A1290))</f>
        <v/>
      </c>
      <c r="Q1290" s="57" t="str">
        <f aca="false">IF($O1290="","",IF($P1290&lt;=BankCostEnvelope*'5. Scenarios'!$D$7,1,0))</f>
        <v/>
      </c>
      <c r="R1290" s="57" t="str">
        <f aca="false">IF($N1290="","",INDEX(BookRate,1285)*(1+'5. Scenarios'!$D$10)*(INDEX(BookQ1,1285)*(5-MIN(4,1+'5. Scenarios'!$D$8))/4+INDEX(BookQ2,1285)*(5-MIN(4,2+'5. Scenarios'!$D$8))/4+INDEX(BookQ3,1285)*(5-MIN(4,3+'5. Scenarios'!$D$8))/4+INDEX(BookQ4,1285)*(5-MIN(4,4+'5. Scenarios'!$D$8))/4)*'5. Scenarios'!$D$6/(1+ProductivityDefault*('5. Scenarios'!$D$11-1))+INDEX(BookOneOff,1285)*$N1290)</f>
        <v/>
      </c>
      <c r="S1290" s="56" t="str">
        <f aca="false">IF(INDEX(BookTitle,1285)="","",INDEX(BookTotal,1285)*'5. Scenarios'!$E$6/(1+ProductivityDefault*('5. Scenarios'!$E$11-1)))</f>
        <v/>
      </c>
      <c r="T1290" s="57" t="str">
        <f aca="false">IF($S1290="","",INDEX(BookRate,1285)*(1+'5. Scenarios'!$E$10)*$S1290)</f>
        <v/>
      </c>
      <c r="U1290" s="57" t="str">
        <f aca="false">IF($T1290="","",SUMIFS($T$6:$T$2405,$A$6:$A$2405,"&lt;="&amp;$A1290))</f>
        <v/>
      </c>
      <c r="V1290" s="57" t="str">
        <f aca="false">IF($T1290="","",IF($U1290&lt;=BankCostEnvelope*'5. Scenarios'!$E$7,1,0))</f>
        <v/>
      </c>
      <c r="W1290" s="57" t="str">
        <f aca="false">IF($S1290="","",INDEX(BookRate,1285)*(1+'5. Scenarios'!$E$10)*(INDEX(BookQ1,1285)*(5-MIN(4,1+'5. Scenarios'!$E$8))/4+INDEX(BookQ2,1285)*(5-MIN(4,2+'5. Scenarios'!$E$8))/4+INDEX(BookQ3,1285)*(5-MIN(4,3+'5. Scenarios'!$E$8))/4+INDEX(BookQ4,1285)*(5-MIN(4,4+'5. Scenarios'!$E$8))/4)*'5. Scenarios'!$E$6/(1+ProductivityDefault*('5. Scenarios'!$E$11-1))+INDEX(BookOneOff,1285)*$S1290)</f>
        <v/>
      </c>
    </row>
    <row r="1291" customFormat="false" ht="15" hidden="false" customHeight="false" outlineLevel="0" collapsed="false">
      <c r="A1291" s="0" t="str">
        <f aca="false">IF(INDEX(BookTitle,1286)="","",INDEX(BookKey,1286))</f>
        <v/>
      </c>
      <c r="B1291" s="0" t="str">
        <f aca="false">IF(INDEX(BookTitle,1286)="","",INDEX(BookGroup,1286))</f>
        <v/>
      </c>
      <c r="C1291" s="0" t="str">
        <f aca="false">IF(INDEX(BookTitle,1286)="","",INDEX(BookCategory,1286))</f>
        <v/>
      </c>
      <c r="D1291" s="56" t="str">
        <f aca="false">IF(INDEX(BookTitle,1286)="","",INDEX(BookTotal,1286)*'5. Scenarios'!$B$6/(1+ProductivityDefault*('5. Scenarios'!$B$11-1)))</f>
        <v/>
      </c>
      <c r="E1291" s="57" t="str">
        <f aca="false">IF($D1291="","",INDEX(BookRate,1286)*(1+'5. Scenarios'!$B$10)*$D1291)</f>
        <v/>
      </c>
      <c r="F1291" s="57" t="str">
        <f aca="false">IF($E1291="","",SUMIFS($E$6:$E$2405,$A$6:$A$2405,"&lt;="&amp;$A1291))</f>
        <v/>
      </c>
      <c r="G1291" s="57" t="str">
        <f aca="false">IF($E1291="","",IF($F1291&lt;=BankCostEnvelope*'5. Scenarios'!$B$7,1,0))</f>
        <v/>
      </c>
      <c r="H1291" s="57" t="str">
        <f aca="false">IF($D1291="","",INDEX(BookRate,1286)*(1+'5. Scenarios'!$B$10)*(INDEX(BookQ1,1286)*(5-MIN(4,1+'5. Scenarios'!$B$8))/4+INDEX(BookQ2,1286)*(5-MIN(4,2+'5. Scenarios'!$B$8))/4+INDEX(BookQ3,1286)*(5-MIN(4,3+'5. Scenarios'!$B$8))/4+INDEX(BookQ4,1286)*(5-MIN(4,4+'5. Scenarios'!$B$8))/4)*'5. Scenarios'!$B$6/(1+ProductivityDefault*('5. Scenarios'!$B$11-1))+INDEX(BookOneOff,1286)*$D1291)</f>
        <v/>
      </c>
      <c r="I1291" s="56" t="str">
        <f aca="false">IF(INDEX(BookTitle,1286)="","",INDEX(BookTotal,1286)*'5. Scenarios'!$C$6/(1+ProductivityDefault*('5. Scenarios'!$C$11-1)))</f>
        <v/>
      </c>
      <c r="J1291" s="57" t="str">
        <f aca="false">IF($I1291="","",INDEX(BookRate,1286)*(1+'5. Scenarios'!$C$10)*$I1291)</f>
        <v/>
      </c>
      <c r="K1291" s="57" t="str">
        <f aca="false">IF($J1291="","",SUMIFS($J$6:$J$2405,$A$6:$A$2405,"&lt;="&amp;$A1291))</f>
        <v/>
      </c>
      <c r="L1291" s="57" t="str">
        <f aca="false">IF($J1291="","",IF($K1291&lt;=BankCostEnvelope*'5. Scenarios'!$C$7,1,0))</f>
        <v/>
      </c>
      <c r="M1291" s="57" t="str">
        <f aca="false">IF($I1291="","",INDEX(BookRate,1286)*(1+'5. Scenarios'!$C$10)*(INDEX(BookQ1,1286)*(5-MIN(4,1+'5. Scenarios'!$C$8))/4+INDEX(BookQ2,1286)*(5-MIN(4,2+'5. Scenarios'!$C$8))/4+INDEX(BookQ3,1286)*(5-MIN(4,3+'5. Scenarios'!$C$8))/4+INDEX(BookQ4,1286)*(5-MIN(4,4+'5. Scenarios'!$C$8))/4)*'5. Scenarios'!$C$6/(1+ProductivityDefault*('5. Scenarios'!$C$11-1))+INDEX(BookOneOff,1286)*$I1291)</f>
        <v/>
      </c>
      <c r="N1291" s="56" t="str">
        <f aca="false">IF(INDEX(BookTitle,1286)="","",INDEX(BookTotal,1286)*'5. Scenarios'!$D$6/(1+ProductivityDefault*('5. Scenarios'!$D$11-1)))</f>
        <v/>
      </c>
      <c r="O1291" s="57" t="str">
        <f aca="false">IF($N1291="","",INDEX(BookRate,1286)*(1+'5. Scenarios'!$D$10)*$N1291)</f>
        <v/>
      </c>
      <c r="P1291" s="57" t="str">
        <f aca="false">IF($O1291="","",SUMIFS($O$6:$O$2405,$A$6:$A$2405,"&lt;="&amp;$A1291))</f>
        <v/>
      </c>
      <c r="Q1291" s="57" t="str">
        <f aca="false">IF($O1291="","",IF($P1291&lt;=BankCostEnvelope*'5. Scenarios'!$D$7,1,0))</f>
        <v/>
      </c>
      <c r="R1291" s="57" t="str">
        <f aca="false">IF($N1291="","",INDEX(BookRate,1286)*(1+'5. Scenarios'!$D$10)*(INDEX(BookQ1,1286)*(5-MIN(4,1+'5. Scenarios'!$D$8))/4+INDEX(BookQ2,1286)*(5-MIN(4,2+'5. Scenarios'!$D$8))/4+INDEX(BookQ3,1286)*(5-MIN(4,3+'5. Scenarios'!$D$8))/4+INDEX(BookQ4,1286)*(5-MIN(4,4+'5. Scenarios'!$D$8))/4)*'5. Scenarios'!$D$6/(1+ProductivityDefault*('5. Scenarios'!$D$11-1))+INDEX(BookOneOff,1286)*$N1291)</f>
        <v/>
      </c>
      <c r="S1291" s="56" t="str">
        <f aca="false">IF(INDEX(BookTitle,1286)="","",INDEX(BookTotal,1286)*'5. Scenarios'!$E$6/(1+ProductivityDefault*('5. Scenarios'!$E$11-1)))</f>
        <v/>
      </c>
      <c r="T1291" s="57" t="str">
        <f aca="false">IF($S1291="","",INDEX(BookRate,1286)*(1+'5. Scenarios'!$E$10)*$S1291)</f>
        <v/>
      </c>
      <c r="U1291" s="57" t="str">
        <f aca="false">IF($T1291="","",SUMIFS($T$6:$T$2405,$A$6:$A$2405,"&lt;="&amp;$A1291))</f>
        <v/>
      </c>
      <c r="V1291" s="57" t="str">
        <f aca="false">IF($T1291="","",IF($U1291&lt;=BankCostEnvelope*'5. Scenarios'!$E$7,1,0))</f>
        <v/>
      </c>
      <c r="W1291" s="57" t="str">
        <f aca="false">IF($S1291="","",INDEX(BookRate,1286)*(1+'5. Scenarios'!$E$10)*(INDEX(BookQ1,1286)*(5-MIN(4,1+'5. Scenarios'!$E$8))/4+INDEX(BookQ2,1286)*(5-MIN(4,2+'5. Scenarios'!$E$8))/4+INDEX(BookQ3,1286)*(5-MIN(4,3+'5. Scenarios'!$E$8))/4+INDEX(BookQ4,1286)*(5-MIN(4,4+'5. Scenarios'!$E$8))/4)*'5. Scenarios'!$E$6/(1+ProductivityDefault*('5. Scenarios'!$E$11-1))+INDEX(BookOneOff,1286)*$S1291)</f>
        <v/>
      </c>
    </row>
    <row r="1292" customFormat="false" ht="15" hidden="false" customHeight="false" outlineLevel="0" collapsed="false">
      <c r="A1292" s="0" t="str">
        <f aca="false">IF(INDEX(BookTitle,1287)="","",INDEX(BookKey,1287))</f>
        <v/>
      </c>
      <c r="B1292" s="0" t="str">
        <f aca="false">IF(INDEX(BookTitle,1287)="","",INDEX(BookGroup,1287))</f>
        <v/>
      </c>
      <c r="C1292" s="0" t="str">
        <f aca="false">IF(INDEX(BookTitle,1287)="","",INDEX(BookCategory,1287))</f>
        <v/>
      </c>
      <c r="D1292" s="56" t="str">
        <f aca="false">IF(INDEX(BookTitle,1287)="","",INDEX(BookTotal,1287)*'5. Scenarios'!$B$6/(1+ProductivityDefault*('5. Scenarios'!$B$11-1)))</f>
        <v/>
      </c>
      <c r="E1292" s="57" t="str">
        <f aca="false">IF($D1292="","",INDEX(BookRate,1287)*(1+'5. Scenarios'!$B$10)*$D1292)</f>
        <v/>
      </c>
      <c r="F1292" s="57" t="str">
        <f aca="false">IF($E1292="","",SUMIFS($E$6:$E$2405,$A$6:$A$2405,"&lt;="&amp;$A1292))</f>
        <v/>
      </c>
      <c r="G1292" s="57" t="str">
        <f aca="false">IF($E1292="","",IF($F1292&lt;=BankCostEnvelope*'5. Scenarios'!$B$7,1,0))</f>
        <v/>
      </c>
      <c r="H1292" s="57" t="str">
        <f aca="false">IF($D1292="","",INDEX(BookRate,1287)*(1+'5. Scenarios'!$B$10)*(INDEX(BookQ1,1287)*(5-MIN(4,1+'5. Scenarios'!$B$8))/4+INDEX(BookQ2,1287)*(5-MIN(4,2+'5. Scenarios'!$B$8))/4+INDEX(BookQ3,1287)*(5-MIN(4,3+'5. Scenarios'!$B$8))/4+INDEX(BookQ4,1287)*(5-MIN(4,4+'5. Scenarios'!$B$8))/4)*'5. Scenarios'!$B$6/(1+ProductivityDefault*('5. Scenarios'!$B$11-1))+INDEX(BookOneOff,1287)*$D1292)</f>
        <v/>
      </c>
      <c r="I1292" s="56" t="str">
        <f aca="false">IF(INDEX(BookTitle,1287)="","",INDEX(BookTotal,1287)*'5. Scenarios'!$C$6/(1+ProductivityDefault*('5. Scenarios'!$C$11-1)))</f>
        <v/>
      </c>
      <c r="J1292" s="57" t="str">
        <f aca="false">IF($I1292="","",INDEX(BookRate,1287)*(1+'5. Scenarios'!$C$10)*$I1292)</f>
        <v/>
      </c>
      <c r="K1292" s="57" t="str">
        <f aca="false">IF($J1292="","",SUMIFS($J$6:$J$2405,$A$6:$A$2405,"&lt;="&amp;$A1292))</f>
        <v/>
      </c>
      <c r="L1292" s="57" t="str">
        <f aca="false">IF($J1292="","",IF($K1292&lt;=BankCostEnvelope*'5. Scenarios'!$C$7,1,0))</f>
        <v/>
      </c>
      <c r="M1292" s="57" t="str">
        <f aca="false">IF($I1292="","",INDEX(BookRate,1287)*(1+'5. Scenarios'!$C$10)*(INDEX(BookQ1,1287)*(5-MIN(4,1+'5. Scenarios'!$C$8))/4+INDEX(BookQ2,1287)*(5-MIN(4,2+'5. Scenarios'!$C$8))/4+INDEX(BookQ3,1287)*(5-MIN(4,3+'5. Scenarios'!$C$8))/4+INDEX(BookQ4,1287)*(5-MIN(4,4+'5. Scenarios'!$C$8))/4)*'5. Scenarios'!$C$6/(1+ProductivityDefault*('5. Scenarios'!$C$11-1))+INDEX(BookOneOff,1287)*$I1292)</f>
        <v/>
      </c>
      <c r="N1292" s="56" t="str">
        <f aca="false">IF(INDEX(BookTitle,1287)="","",INDEX(BookTotal,1287)*'5. Scenarios'!$D$6/(1+ProductivityDefault*('5. Scenarios'!$D$11-1)))</f>
        <v/>
      </c>
      <c r="O1292" s="57" t="str">
        <f aca="false">IF($N1292="","",INDEX(BookRate,1287)*(1+'5. Scenarios'!$D$10)*$N1292)</f>
        <v/>
      </c>
      <c r="P1292" s="57" t="str">
        <f aca="false">IF($O1292="","",SUMIFS($O$6:$O$2405,$A$6:$A$2405,"&lt;="&amp;$A1292))</f>
        <v/>
      </c>
      <c r="Q1292" s="57" t="str">
        <f aca="false">IF($O1292="","",IF($P1292&lt;=BankCostEnvelope*'5. Scenarios'!$D$7,1,0))</f>
        <v/>
      </c>
      <c r="R1292" s="57" t="str">
        <f aca="false">IF($N1292="","",INDEX(BookRate,1287)*(1+'5. Scenarios'!$D$10)*(INDEX(BookQ1,1287)*(5-MIN(4,1+'5. Scenarios'!$D$8))/4+INDEX(BookQ2,1287)*(5-MIN(4,2+'5. Scenarios'!$D$8))/4+INDEX(BookQ3,1287)*(5-MIN(4,3+'5. Scenarios'!$D$8))/4+INDEX(BookQ4,1287)*(5-MIN(4,4+'5. Scenarios'!$D$8))/4)*'5. Scenarios'!$D$6/(1+ProductivityDefault*('5. Scenarios'!$D$11-1))+INDEX(BookOneOff,1287)*$N1292)</f>
        <v/>
      </c>
      <c r="S1292" s="56" t="str">
        <f aca="false">IF(INDEX(BookTitle,1287)="","",INDEX(BookTotal,1287)*'5. Scenarios'!$E$6/(1+ProductivityDefault*('5. Scenarios'!$E$11-1)))</f>
        <v/>
      </c>
      <c r="T1292" s="57" t="str">
        <f aca="false">IF($S1292="","",INDEX(BookRate,1287)*(1+'5. Scenarios'!$E$10)*$S1292)</f>
        <v/>
      </c>
      <c r="U1292" s="57" t="str">
        <f aca="false">IF($T1292="","",SUMIFS($T$6:$T$2405,$A$6:$A$2405,"&lt;="&amp;$A1292))</f>
        <v/>
      </c>
      <c r="V1292" s="57" t="str">
        <f aca="false">IF($T1292="","",IF($U1292&lt;=BankCostEnvelope*'5. Scenarios'!$E$7,1,0))</f>
        <v/>
      </c>
      <c r="W1292" s="57" t="str">
        <f aca="false">IF($S1292="","",INDEX(BookRate,1287)*(1+'5. Scenarios'!$E$10)*(INDEX(BookQ1,1287)*(5-MIN(4,1+'5. Scenarios'!$E$8))/4+INDEX(BookQ2,1287)*(5-MIN(4,2+'5. Scenarios'!$E$8))/4+INDEX(BookQ3,1287)*(5-MIN(4,3+'5. Scenarios'!$E$8))/4+INDEX(BookQ4,1287)*(5-MIN(4,4+'5. Scenarios'!$E$8))/4)*'5. Scenarios'!$E$6/(1+ProductivityDefault*('5. Scenarios'!$E$11-1))+INDEX(BookOneOff,1287)*$S1292)</f>
        <v/>
      </c>
    </row>
    <row r="1293" customFormat="false" ht="15" hidden="false" customHeight="false" outlineLevel="0" collapsed="false">
      <c r="A1293" s="0" t="str">
        <f aca="false">IF(INDEX(BookTitle,1288)="","",INDEX(BookKey,1288))</f>
        <v/>
      </c>
      <c r="B1293" s="0" t="str">
        <f aca="false">IF(INDEX(BookTitle,1288)="","",INDEX(BookGroup,1288))</f>
        <v/>
      </c>
      <c r="C1293" s="0" t="str">
        <f aca="false">IF(INDEX(BookTitle,1288)="","",INDEX(BookCategory,1288))</f>
        <v/>
      </c>
      <c r="D1293" s="56" t="str">
        <f aca="false">IF(INDEX(BookTitle,1288)="","",INDEX(BookTotal,1288)*'5. Scenarios'!$B$6/(1+ProductivityDefault*('5. Scenarios'!$B$11-1)))</f>
        <v/>
      </c>
      <c r="E1293" s="57" t="str">
        <f aca="false">IF($D1293="","",INDEX(BookRate,1288)*(1+'5. Scenarios'!$B$10)*$D1293)</f>
        <v/>
      </c>
      <c r="F1293" s="57" t="str">
        <f aca="false">IF($E1293="","",SUMIFS($E$6:$E$2405,$A$6:$A$2405,"&lt;="&amp;$A1293))</f>
        <v/>
      </c>
      <c r="G1293" s="57" t="str">
        <f aca="false">IF($E1293="","",IF($F1293&lt;=BankCostEnvelope*'5. Scenarios'!$B$7,1,0))</f>
        <v/>
      </c>
      <c r="H1293" s="57" t="str">
        <f aca="false">IF($D1293="","",INDEX(BookRate,1288)*(1+'5. Scenarios'!$B$10)*(INDEX(BookQ1,1288)*(5-MIN(4,1+'5. Scenarios'!$B$8))/4+INDEX(BookQ2,1288)*(5-MIN(4,2+'5. Scenarios'!$B$8))/4+INDEX(BookQ3,1288)*(5-MIN(4,3+'5. Scenarios'!$B$8))/4+INDEX(BookQ4,1288)*(5-MIN(4,4+'5. Scenarios'!$B$8))/4)*'5. Scenarios'!$B$6/(1+ProductivityDefault*('5. Scenarios'!$B$11-1))+INDEX(BookOneOff,1288)*$D1293)</f>
        <v/>
      </c>
      <c r="I1293" s="56" t="str">
        <f aca="false">IF(INDEX(BookTitle,1288)="","",INDEX(BookTotal,1288)*'5. Scenarios'!$C$6/(1+ProductivityDefault*('5. Scenarios'!$C$11-1)))</f>
        <v/>
      </c>
      <c r="J1293" s="57" t="str">
        <f aca="false">IF($I1293="","",INDEX(BookRate,1288)*(1+'5. Scenarios'!$C$10)*$I1293)</f>
        <v/>
      </c>
      <c r="K1293" s="57" t="str">
        <f aca="false">IF($J1293="","",SUMIFS($J$6:$J$2405,$A$6:$A$2405,"&lt;="&amp;$A1293))</f>
        <v/>
      </c>
      <c r="L1293" s="57" t="str">
        <f aca="false">IF($J1293="","",IF($K1293&lt;=BankCostEnvelope*'5. Scenarios'!$C$7,1,0))</f>
        <v/>
      </c>
      <c r="M1293" s="57" t="str">
        <f aca="false">IF($I1293="","",INDEX(BookRate,1288)*(1+'5. Scenarios'!$C$10)*(INDEX(BookQ1,1288)*(5-MIN(4,1+'5. Scenarios'!$C$8))/4+INDEX(BookQ2,1288)*(5-MIN(4,2+'5. Scenarios'!$C$8))/4+INDEX(BookQ3,1288)*(5-MIN(4,3+'5. Scenarios'!$C$8))/4+INDEX(BookQ4,1288)*(5-MIN(4,4+'5. Scenarios'!$C$8))/4)*'5. Scenarios'!$C$6/(1+ProductivityDefault*('5. Scenarios'!$C$11-1))+INDEX(BookOneOff,1288)*$I1293)</f>
        <v/>
      </c>
      <c r="N1293" s="56" t="str">
        <f aca="false">IF(INDEX(BookTitle,1288)="","",INDEX(BookTotal,1288)*'5. Scenarios'!$D$6/(1+ProductivityDefault*('5. Scenarios'!$D$11-1)))</f>
        <v/>
      </c>
      <c r="O1293" s="57" t="str">
        <f aca="false">IF($N1293="","",INDEX(BookRate,1288)*(1+'5. Scenarios'!$D$10)*$N1293)</f>
        <v/>
      </c>
      <c r="P1293" s="57" t="str">
        <f aca="false">IF($O1293="","",SUMIFS($O$6:$O$2405,$A$6:$A$2405,"&lt;="&amp;$A1293))</f>
        <v/>
      </c>
      <c r="Q1293" s="57" t="str">
        <f aca="false">IF($O1293="","",IF($P1293&lt;=BankCostEnvelope*'5. Scenarios'!$D$7,1,0))</f>
        <v/>
      </c>
      <c r="R1293" s="57" t="str">
        <f aca="false">IF($N1293="","",INDEX(BookRate,1288)*(1+'5. Scenarios'!$D$10)*(INDEX(BookQ1,1288)*(5-MIN(4,1+'5. Scenarios'!$D$8))/4+INDEX(BookQ2,1288)*(5-MIN(4,2+'5. Scenarios'!$D$8))/4+INDEX(BookQ3,1288)*(5-MIN(4,3+'5. Scenarios'!$D$8))/4+INDEX(BookQ4,1288)*(5-MIN(4,4+'5. Scenarios'!$D$8))/4)*'5. Scenarios'!$D$6/(1+ProductivityDefault*('5. Scenarios'!$D$11-1))+INDEX(BookOneOff,1288)*$N1293)</f>
        <v/>
      </c>
      <c r="S1293" s="56" t="str">
        <f aca="false">IF(INDEX(BookTitle,1288)="","",INDEX(BookTotal,1288)*'5. Scenarios'!$E$6/(1+ProductivityDefault*('5. Scenarios'!$E$11-1)))</f>
        <v/>
      </c>
      <c r="T1293" s="57" t="str">
        <f aca="false">IF($S1293="","",INDEX(BookRate,1288)*(1+'5. Scenarios'!$E$10)*$S1293)</f>
        <v/>
      </c>
      <c r="U1293" s="57" t="str">
        <f aca="false">IF($T1293="","",SUMIFS($T$6:$T$2405,$A$6:$A$2405,"&lt;="&amp;$A1293))</f>
        <v/>
      </c>
      <c r="V1293" s="57" t="str">
        <f aca="false">IF($T1293="","",IF($U1293&lt;=BankCostEnvelope*'5. Scenarios'!$E$7,1,0))</f>
        <v/>
      </c>
      <c r="W1293" s="57" t="str">
        <f aca="false">IF($S1293="","",INDEX(BookRate,1288)*(1+'5. Scenarios'!$E$10)*(INDEX(BookQ1,1288)*(5-MIN(4,1+'5. Scenarios'!$E$8))/4+INDEX(BookQ2,1288)*(5-MIN(4,2+'5. Scenarios'!$E$8))/4+INDEX(BookQ3,1288)*(5-MIN(4,3+'5. Scenarios'!$E$8))/4+INDEX(BookQ4,1288)*(5-MIN(4,4+'5. Scenarios'!$E$8))/4)*'5. Scenarios'!$E$6/(1+ProductivityDefault*('5. Scenarios'!$E$11-1))+INDEX(BookOneOff,1288)*$S1293)</f>
        <v/>
      </c>
    </row>
    <row r="1294" customFormat="false" ht="15" hidden="false" customHeight="false" outlineLevel="0" collapsed="false">
      <c r="A1294" s="0" t="str">
        <f aca="false">IF(INDEX(BookTitle,1289)="","",INDEX(BookKey,1289))</f>
        <v/>
      </c>
      <c r="B1294" s="0" t="str">
        <f aca="false">IF(INDEX(BookTitle,1289)="","",INDEX(BookGroup,1289))</f>
        <v/>
      </c>
      <c r="C1294" s="0" t="str">
        <f aca="false">IF(INDEX(BookTitle,1289)="","",INDEX(BookCategory,1289))</f>
        <v/>
      </c>
      <c r="D1294" s="56" t="str">
        <f aca="false">IF(INDEX(BookTitle,1289)="","",INDEX(BookTotal,1289)*'5. Scenarios'!$B$6/(1+ProductivityDefault*('5. Scenarios'!$B$11-1)))</f>
        <v/>
      </c>
      <c r="E1294" s="57" t="str">
        <f aca="false">IF($D1294="","",INDEX(BookRate,1289)*(1+'5. Scenarios'!$B$10)*$D1294)</f>
        <v/>
      </c>
      <c r="F1294" s="57" t="str">
        <f aca="false">IF($E1294="","",SUMIFS($E$6:$E$2405,$A$6:$A$2405,"&lt;="&amp;$A1294))</f>
        <v/>
      </c>
      <c r="G1294" s="57" t="str">
        <f aca="false">IF($E1294="","",IF($F1294&lt;=BankCostEnvelope*'5. Scenarios'!$B$7,1,0))</f>
        <v/>
      </c>
      <c r="H1294" s="57" t="str">
        <f aca="false">IF($D1294="","",INDEX(BookRate,1289)*(1+'5. Scenarios'!$B$10)*(INDEX(BookQ1,1289)*(5-MIN(4,1+'5. Scenarios'!$B$8))/4+INDEX(BookQ2,1289)*(5-MIN(4,2+'5. Scenarios'!$B$8))/4+INDEX(BookQ3,1289)*(5-MIN(4,3+'5. Scenarios'!$B$8))/4+INDEX(BookQ4,1289)*(5-MIN(4,4+'5. Scenarios'!$B$8))/4)*'5. Scenarios'!$B$6/(1+ProductivityDefault*('5. Scenarios'!$B$11-1))+INDEX(BookOneOff,1289)*$D1294)</f>
        <v/>
      </c>
      <c r="I1294" s="56" t="str">
        <f aca="false">IF(INDEX(BookTitle,1289)="","",INDEX(BookTotal,1289)*'5. Scenarios'!$C$6/(1+ProductivityDefault*('5. Scenarios'!$C$11-1)))</f>
        <v/>
      </c>
      <c r="J1294" s="57" t="str">
        <f aca="false">IF($I1294="","",INDEX(BookRate,1289)*(1+'5. Scenarios'!$C$10)*$I1294)</f>
        <v/>
      </c>
      <c r="K1294" s="57" t="str">
        <f aca="false">IF($J1294="","",SUMIFS($J$6:$J$2405,$A$6:$A$2405,"&lt;="&amp;$A1294))</f>
        <v/>
      </c>
      <c r="L1294" s="57" t="str">
        <f aca="false">IF($J1294="","",IF($K1294&lt;=BankCostEnvelope*'5. Scenarios'!$C$7,1,0))</f>
        <v/>
      </c>
      <c r="M1294" s="57" t="str">
        <f aca="false">IF($I1294="","",INDEX(BookRate,1289)*(1+'5. Scenarios'!$C$10)*(INDEX(BookQ1,1289)*(5-MIN(4,1+'5. Scenarios'!$C$8))/4+INDEX(BookQ2,1289)*(5-MIN(4,2+'5. Scenarios'!$C$8))/4+INDEX(BookQ3,1289)*(5-MIN(4,3+'5. Scenarios'!$C$8))/4+INDEX(BookQ4,1289)*(5-MIN(4,4+'5. Scenarios'!$C$8))/4)*'5. Scenarios'!$C$6/(1+ProductivityDefault*('5. Scenarios'!$C$11-1))+INDEX(BookOneOff,1289)*$I1294)</f>
        <v/>
      </c>
      <c r="N1294" s="56" t="str">
        <f aca="false">IF(INDEX(BookTitle,1289)="","",INDEX(BookTotal,1289)*'5. Scenarios'!$D$6/(1+ProductivityDefault*('5. Scenarios'!$D$11-1)))</f>
        <v/>
      </c>
      <c r="O1294" s="57" t="str">
        <f aca="false">IF($N1294="","",INDEX(BookRate,1289)*(1+'5. Scenarios'!$D$10)*$N1294)</f>
        <v/>
      </c>
      <c r="P1294" s="57" t="str">
        <f aca="false">IF($O1294="","",SUMIFS($O$6:$O$2405,$A$6:$A$2405,"&lt;="&amp;$A1294))</f>
        <v/>
      </c>
      <c r="Q1294" s="57" t="str">
        <f aca="false">IF($O1294="","",IF($P1294&lt;=BankCostEnvelope*'5. Scenarios'!$D$7,1,0))</f>
        <v/>
      </c>
      <c r="R1294" s="57" t="str">
        <f aca="false">IF($N1294="","",INDEX(BookRate,1289)*(1+'5. Scenarios'!$D$10)*(INDEX(BookQ1,1289)*(5-MIN(4,1+'5. Scenarios'!$D$8))/4+INDEX(BookQ2,1289)*(5-MIN(4,2+'5. Scenarios'!$D$8))/4+INDEX(BookQ3,1289)*(5-MIN(4,3+'5. Scenarios'!$D$8))/4+INDEX(BookQ4,1289)*(5-MIN(4,4+'5. Scenarios'!$D$8))/4)*'5. Scenarios'!$D$6/(1+ProductivityDefault*('5. Scenarios'!$D$11-1))+INDEX(BookOneOff,1289)*$N1294)</f>
        <v/>
      </c>
      <c r="S1294" s="56" t="str">
        <f aca="false">IF(INDEX(BookTitle,1289)="","",INDEX(BookTotal,1289)*'5. Scenarios'!$E$6/(1+ProductivityDefault*('5. Scenarios'!$E$11-1)))</f>
        <v/>
      </c>
      <c r="T1294" s="57" t="str">
        <f aca="false">IF($S1294="","",INDEX(BookRate,1289)*(1+'5. Scenarios'!$E$10)*$S1294)</f>
        <v/>
      </c>
      <c r="U1294" s="57" t="str">
        <f aca="false">IF($T1294="","",SUMIFS($T$6:$T$2405,$A$6:$A$2405,"&lt;="&amp;$A1294))</f>
        <v/>
      </c>
      <c r="V1294" s="57" t="str">
        <f aca="false">IF($T1294="","",IF($U1294&lt;=BankCostEnvelope*'5. Scenarios'!$E$7,1,0))</f>
        <v/>
      </c>
      <c r="W1294" s="57" t="str">
        <f aca="false">IF($S1294="","",INDEX(BookRate,1289)*(1+'5. Scenarios'!$E$10)*(INDEX(BookQ1,1289)*(5-MIN(4,1+'5. Scenarios'!$E$8))/4+INDEX(BookQ2,1289)*(5-MIN(4,2+'5. Scenarios'!$E$8))/4+INDEX(BookQ3,1289)*(5-MIN(4,3+'5. Scenarios'!$E$8))/4+INDEX(BookQ4,1289)*(5-MIN(4,4+'5. Scenarios'!$E$8))/4)*'5. Scenarios'!$E$6/(1+ProductivityDefault*('5. Scenarios'!$E$11-1))+INDEX(BookOneOff,1289)*$S1294)</f>
        <v/>
      </c>
    </row>
    <row r="1295" customFormat="false" ht="15" hidden="false" customHeight="false" outlineLevel="0" collapsed="false">
      <c r="A1295" s="0" t="str">
        <f aca="false">IF(INDEX(BookTitle,1290)="","",INDEX(BookKey,1290))</f>
        <v/>
      </c>
      <c r="B1295" s="0" t="str">
        <f aca="false">IF(INDEX(BookTitle,1290)="","",INDEX(BookGroup,1290))</f>
        <v/>
      </c>
      <c r="C1295" s="0" t="str">
        <f aca="false">IF(INDEX(BookTitle,1290)="","",INDEX(BookCategory,1290))</f>
        <v/>
      </c>
      <c r="D1295" s="56" t="str">
        <f aca="false">IF(INDEX(BookTitle,1290)="","",INDEX(BookTotal,1290)*'5. Scenarios'!$B$6/(1+ProductivityDefault*('5. Scenarios'!$B$11-1)))</f>
        <v/>
      </c>
      <c r="E1295" s="57" t="str">
        <f aca="false">IF($D1295="","",INDEX(BookRate,1290)*(1+'5. Scenarios'!$B$10)*$D1295)</f>
        <v/>
      </c>
      <c r="F1295" s="57" t="str">
        <f aca="false">IF($E1295="","",SUMIFS($E$6:$E$2405,$A$6:$A$2405,"&lt;="&amp;$A1295))</f>
        <v/>
      </c>
      <c r="G1295" s="57" t="str">
        <f aca="false">IF($E1295="","",IF($F1295&lt;=BankCostEnvelope*'5. Scenarios'!$B$7,1,0))</f>
        <v/>
      </c>
      <c r="H1295" s="57" t="str">
        <f aca="false">IF($D1295="","",INDEX(BookRate,1290)*(1+'5. Scenarios'!$B$10)*(INDEX(BookQ1,1290)*(5-MIN(4,1+'5. Scenarios'!$B$8))/4+INDEX(BookQ2,1290)*(5-MIN(4,2+'5. Scenarios'!$B$8))/4+INDEX(BookQ3,1290)*(5-MIN(4,3+'5. Scenarios'!$B$8))/4+INDEX(BookQ4,1290)*(5-MIN(4,4+'5. Scenarios'!$B$8))/4)*'5. Scenarios'!$B$6/(1+ProductivityDefault*('5. Scenarios'!$B$11-1))+INDEX(BookOneOff,1290)*$D1295)</f>
        <v/>
      </c>
      <c r="I1295" s="56" t="str">
        <f aca="false">IF(INDEX(BookTitle,1290)="","",INDEX(BookTotal,1290)*'5. Scenarios'!$C$6/(1+ProductivityDefault*('5. Scenarios'!$C$11-1)))</f>
        <v/>
      </c>
      <c r="J1295" s="57" t="str">
        <f aca="false">IF($I1295="","",INDEX(BookRate,1290)*(1+'5. Scenarios'!$C$10)*$I1295)</f>
        <v/>
      </c>
      <c r="K1295" s="57" t="str">
        <f aca="false">IF($J1295="","",SUMIFS($J$6:$J$2405,$A$6:$A$2405,"&lt;="&amp;$A1295))</f>
        <v/>
      </c>
      <c r="L1295" s="57" t="str">
        <f aca="false">IF($J1295="","",IF($K1295&lt;=BankCostEnvelope*'5. Scenarios'!$C$7,1,0))</f>
        <v/>
      </c>
      <c r="M1295" s="57" t="str">
        <f aca="false">IF($I1295="","",INDEX(BookRate,1290)*(1+'5. Scenarios'!$C$10)*(INDEX(BookQ1,1290)*(5-MIN(4,1+'5. Scenarios'!$C$8))/4+INDEX(BookQ2,1290)*(5-MIN(4,2+'5. Scenarios'!$C$8))/4+INDEX(BookQ3,1290)*(5-MIN(4,3+'5. Scenarios'!$C$8))/4+INDEX(BookQ4,1290)*(5-MIN(4,4+'5. Scenarios'!$C$8))/4)*'5. Scenarios'!$C$6/(1+ProductivityDefault*('5. Scenarios'!$C$11-1))+INDEX(BookOneOff,1290)*$I1295)</f>
        <v/>
      </c>
      <c r="N1295" s="56" t="str">
        <f aca="false">IF(INDEX(BookTitle,1290)="","",INDEX(BookTotal,1290)*'5. Scenarios'!$D$6/(1+ProductivityDefault*('5. Scenarios'!$D$11-1)))</f>
        <v/>
      </c>
      <c r="O1295" s="57" t="str">
        <f aca="false">IF($N1295="","",INDEX(BookRate,1290)*(1+'5. Scenarios'!$D$10)*$N1295)</f>
        <v/>
      </c>
      <c r="P1295" s="57" t="str">
        <f aca="false">IF($O1295="","",SUMIFS($O$6:$O$2405,$A$6:$A$2405,"&lt;="&amp;$A1295))</f>
        <v/>
      </c>
      <c r="Q1295" s="57" t="str">
        <f aca="false">IF($O1295="","",IF($P1295&lt;=BankCostEnvelope*'5. Scenarios'!$D$7,1,0))</f>
        <v/>
      </c>
      <c r="R1295" s="57" t="str">
        <f aca="false">IF($N1295="","",INDEX(BookRate,1290)*(1+'5. Scenarios'!$D$10)*(INDEX(BookQ1,1290)*(5-MIN(4,1+'5. Scenarios'!$D$8))/4+INDEX(BookQ2,1290)*(5-MIN(4,2+'5. Scenarios'!$D$8))/4+INDEX(BookQ3,1290)*(5-MIN(4,3+'5. Scenarios'!$D$8))/4+INDEX(BookQ4,1290)*(5-MIN(4,4+'5. Scenarios'!$D$8))/4)*'5. Scenarios'!$D$6/(1+ProductivityDefault*('5. Scenarios'!$D$11-1))+INDEX(BookOneOff,1290)*$N1295)</f>
        <v/>
      </c>
      <c r="S1295" s="56" t="str">
        <f aca="false">IF(INDEX(BookTitle,1290)="","",INDEX(BookTotal,1290)*'5. Scenarios'!$E$6/(1+ProductivityDefault*('5. Scenarios'!$E$11-1)))</f>
        <v/>
      </c>
      <c r="T1295" s="57" t="str">
        <f aca="false">IF($S1295="","",INDEX(BookRate,1290)*(1+'5. Scenarios'!$E$10)*$S1295)</f>
        <v/>
      </c>
      <c r="U1295" s="57" t="str">
        <f aca="false">IF($T1295="","",SUMIFS($T$6:$T$2405,$A$6:$A$2405,"&lt;="&amp;$A1295))</f>
        <v/>
      </c>
      <c r="V1295" s="57" t="str">
        <f aca="false">IF($T1295="","",IF($U1295&lt;=BankCostEnvelope*'5. Scenarios'!$E$7,1,0))</f>
        <v/>
      </c>
      <c r="W1295" s="57" t="str">
        <f aca="false">IF($S1295="","",INDEX(BookRate,1290)*(1+'5. Scenarios'!$E$10)*(INDEX(BookQ1,1290)*(5-MIN(4,1+'5. Scenarios'!$E$8))/4+INDEX(BookQ2,1290)*(5-MIN(4,2+'5. Scenarios'!$E$8))/4+INDEX(BookQ3,1290)*(5-MIN(4,3+'5. Scenarios'!$E$8))/4+INDEX(BookQ4,1290)*(5-MIN(4,4+'5. Scenarios'!$E$8))/4)*'5. Scenarios'!$E$6/(1+ProductivityDefault*('5. Scenarios'!$E$11-1))+INDEX(BookOneOff,1290)*$S1295)</f>
        <v/>
      </c>
    </row>
    <row r="1296" customFormat="false" ht="15" hidden="false" customHeight="false" outlineLevel="0" collapsed="false">
      <c r="A1296" s="0" t="str">
        <f aca="false">IF(INDEX(BookTitle,1291)="","",INDEX(BookKey,1291))</f>
        <v/>
      </c>
      <c r="B1296" s="0" t="str">
        <f aca="false">IF(INDEX(BookTitle,1291)="","",INDEX(BookGroup,1291))</f>
        <v/>
      </c>
      <c r="C1296" s="0" t="str">
        <f aca="false">IF(INDEX(BookTitle,1291)="","",INDEX(BookCategory,1291))</f>
        <v/>
      </c>
      <c r="D1296" s="56" t="str">
        <f aca="false">IF(INDEX(BookTitle,1291)="","",INDEX(BookTotal,1291)*'5. Scenarios'!$B$6/(1+ProductivityDefault*('5. Scenarios'!$B$11-1)))</f>
        <v/>
      </c>
      <c r="E1296" s="57" t="str">
        <f aca="false">IF($D1296="","",INDEX(BookRate,1291)*(1+'5. Scenarios'!$B$10)*$D1296)</f>
        <v/>
      </c>
      <c r="F1296" s="57" t="str">
        <f aca="false">IF($E1296="","",SUMIFS($E$6:$E$2405,$A$6:$A$2405,"&lt;="&amp;$A1296))</f>
        <v/>
      </c>
      <c r="G1296" s="57" t="str">
        <f aca="false">IF($E1296="","",IF($F1296&lt;=BankCostEnvelope*'5. Scenarios'!$B$7,1,0))</f>
        <v/>
      </c>
      <c r="H1296" s="57" t="str">
        <f aca="false">IF($D1296="","",INDEX(BookRate,1291)*(1+'5. Scenarios'!$B$10)*(INDEX(BookQ1,1291)*(5-MIN(4,1+'5. Scenarios'!$B$8))/4+INDEX(BookQ2,1291)*(5-MIN(4,2+'5. Scenarios'!$B$8))/4+INDEX(BookQ3,1291)*(5-MIN(4,3+'5. Scenarios'!$B$8))/4+INDEX(BookQ4,1291)*(5-MIN(4,4+'5. Scenarios'!$B$8))/4)*'5. Scenarios'!$B$6/(1+ProductivityDefault*('5. Scenarios'!$B$11-1))+INDEX(BookOneOff,1291)*$D1296)</f>
        <v/>
      </c>
      <c r="I1296" s="56" t="str">
        <f aca="false">IF(INDEX(BookTitle,1291)="","",INDEX(BookTotal,1291)*'5. Scenarios'!$C$6/(1+ProductivityDefault*('5. Scenarios'!$C$11-1)))</f>
        <v/>
      </c>
      <c r="J1296" s="57" t="str">
        <f aca="false">IF($I1296="","",INDEX(BookRate,1291)*(1+'5. Scenarios'!$C$10)*$I1296)</f>
        <v/>
      </c>
      <c r="K1296" s="57" t="str">
        <f aca="false">IF($J1296="","",SUMIFS($J$6:$J$2405,$A$6:$A$2405,"&lt;="&amp;$A1296))</f>
        <v/>
      </c>
      <c r="L1296" s="57" t="str">
        <f aca="false">IF($J1296="","",IF($K1296&lt;=BankCostEnvelope*'5. Scenarios'!$C$7,1,0))</f>
        <v/>
      </c>
      <c r="M1296" s="57" t="str">
        <f aca="false">IF($I1296="","",INDEX(BookRate,1291)*(1+'5. Scenarios'!$C$10)*(INDEX(BookQ1,1291)*(5-MIN(4,1+'5. Scenarios'!$C$8))/4+INDEX(BookQ2,1291)*(5-MIN(4,2+'5. Scenarios'!$C$8))/4+INDEX(BookQ3,1291)*(5-MIN(4,3+'5. Scenarios'!$C$8))/4+INDEX(BookQ4,1291)*(5-MIN(4,4+'5. Scenarios'!$C$8))/4)*'5. Scenarios'!$C$6/(1+ProductivityDefault*('5. Scenarios'!$C$11-1))+INDEX(BookOneOff,1291)*$I1296)</f>
        <v/>
      </c>
      <c r="N1296" s="56" t="str">
        <f aca="false">IF(INDEX(BookTitle,1291)="","",INDEX(BookTotal,1291)*'5. Scenarios'!$D$6/(1+ProductivityDefault*('5. Scenarios'!$D$11-1)))</f>
        <v/>
      </c>
      <c r="O1296" s="57" t="str">
        <f aca="false">IF($N1296="","",INDEX(BookRate,1291)*(1+'5. Scenarios'!$D$10)*$N1296)</f>
        <v/>
      </c>
      <c r="P1296" s="57" t="str">
        <f aca="false">IF($O1296="","",SUMIFS($O$6:$O$2405,$A$6:$A$2405,"&lt;="&amp;$A1296))</f>
        <v/>
      </c>
      <c r="Q1296" s="57" t="str">
        <f aca="false">IF($O1296="","",IF($P1296&lt;=BankCostEnvelope*'5. Scenarios'!$D$7,1,0))</f>
        <v/>
      </c>
      <c r="R1296" s="57" t="str">
        <f aca="false">IF($N1296="","",INDEX(BookRate,1291)*(1+'5. Scenarios'!$D$10)*(INDEX(BookQ1,1291)*(5-MIN(4,1+'5. Scenarios'!$D$8))/4+INDEX(BookQ2,1291)*(5-MIN(4,2+'5. Scenarios'!$D$8))/4+INDEX(BookQ3,1291)*(5-MIN(4,3+'5. Scenarios'!$D$8))/4+INDEX(BookQ4,1291)*(5-MIN(4,4+'5. Scenarios'!$D$8))/4)*'5. Scenarios'!$D$6/(1+ProductivityDefault*('5. Scenarios'!$D$11-1))+INDEX(BookOneOff,1291)*$N1296)</f>
        <v/>
      </c>
      <c r="S1296" s="56" t="str">
        <f aca="false">IF(INDEX(BookTitle,1291)="","",INDEX(BookTotal,1291)*'5. Scenarios'!$E$6/(1+ProductivityDefault*('5. Scenarios'!$E$11-1)))</f>
        <v/>
      </c>
      <c r="T1296" s="57" t="str">
        <f aca="false">IF($S1296="","",INDEX(BookRate,1291)*(1+'5. Scenarios'!$E$10)*$S1296)</f>
        <v/>
      </c>
      <c r="U1296" s="57" t="str">
        <f aca="false">IF($T1296="","",SUMIFS($T$6:$T$2405,$A$6:$A$2405,"&lt;="&amp;$A1296))</f>
        <v/>
      </c>
      <c r="V1296" s="57" t="str">
        <f aca="false">IF($T1296="","",IF($U1296&lt;=BankCostEnvelope*'5. Scenarios'!$E$7,1,0))</f>
        <v/>
      </c>
      <c r="W1296" s="57" t="str">
        <f aca="false">IF($S1296="","",INDEX(BookRate,1291)*(1+'5. Scenarios'!$E$10)*(INDEX(BookQ1,1291)*(5-MIN(4,1+'5. Scenarios'!$E$8))/4+INDEX(BookQ2,1291)*(5-MIN(4,2+'5. Scenarios'!$E$8))/4+INDEX(BookQ3,1291)*(5-MIN(4,3+'5. Scenarios'!$E$8))/4+INDEX(BookQ4,1291)*(5-MIN(4,4+'5. Scenarios'!$E$8))/4)*'5. Scenarios'!$E$6/(1+ProductivityDefault*('5. Scenarios'!$E$11-1))+INDEX(BookOneOff,1291)*$S1296)</f>
        <v/>
      </c>
    </row>
    <row r="1297" customFormat="false" ht="15" hidden="false" customHeight="false" outlineLevel="0" collapsed="false">
      <c r="A1297" s="0" t="str">
        <f aca="false">IF(INDEX(BookTitle,1292)="","",INDEX(BookKey,1292))</f>
        <v/>
      </c>
      <c r="B1297" s="0" t="str">
        <f aca="false">IF(INDEX(BookTitle,1292)="","",INDEX(BookGroup,1292))</f>
        <v/>
      </c>
      <c r="C1297" s="0" t="str">
        <f aca="false">IF(INDEX(BookTitle,1292)="","",INDEX(BookCategory,1292))</f>
        <v/>
      </c>
      <c r="D1297" s="56" t="str">
        <f aca="false">IF(INDEX(BookTitle,1292)="","",INDEX(BookTotal,1292)*'5. Scenarios'!$B$6/(1+ProductivityDefault*('5. Scenarios'!$B$11-1)))</f>
        <v/>
      </c>
      <c r="E1297" s="57" t="str">
        <f aca="false">IF($D1297="","",INDEX(BookRate,1292)*(1+'5. Scenarios'!$B$10)*$D1297)</f>
        <v/>
      </c>
      <c r="F1297" s="57" t="str">
        <f aca="false">IF($E1297="","",SUMIFS($E$6:$E$2405,$A$6:$A$2405,"&lt;="&amp;$A1297))</f>
        <v/>
      </c>
      <c r="G1297" s="57" t="str">
        <f aca="false">IF($E1297="","",IF($F1297&lt;=BankCostEnvelope*'5. Scenarios'!$B$7,1,0))</f>
        <v/>
      </c>
      <c r="H1297" s="57" t="str">
        <f aca="false">IF($D1297="","",INDEX(BookRate,1292)*(1+'5. Scenarios'!$B$10)*(INDEX(BookQ1,1292)*(5-MIN(4,1+'5. Scenarios'!$B$8))/4+INDEX(BookQ2,1292)*(5-MIN(4,2+'5. Scenarios'!$B$8))/4+INDEX(BookQ3,1292)*(5-MIN(4,3+'5. Scenarios'!$B$8))/4+INDEX(BookQ4,1292)*(5-MIN(4,4+'5. Scenarios'!$B$8))/4)*'5. Scenarios'!$B$6/(1+ProductivityDefault*('5. Scenarios'!$B$11-1))+INDEX(BookOneOff,1292)*$D1297)</f>
        <v/>
      </c>
      <c r="I1297" s="56" t="str">
        <f aca="false">IF(INDEX(BookTitle,1292)="","",INDEX(BookTotal,1292)*'5. Scenarios'!$C$6/(1+ProductivityDefault*('5. Scenarios'!$C$11-1)))</f>
        <v/>
      </c>
      <c r="J1297" s="57" t="str">
        <f aca="false">IF($I1297="","",INDEX(BookRate,1292)*(1+'5. Scenarios'!$C$10)*$I1297)</f>
        <v/>
      </c>
      <c r="K1297" s="57" t="str">
        <f aca="false">IF($J1297="","",SUMIFS($J$6:$J$2405,$A$6:$A$2405,"&lt;="&amp;$A1297))</f>
        <v/>
      </c>
      <c r="L1297" s="57" t="str">
        <f aca="false">IF($J1297="","",IF($K1297&lt;=BankCostEnvelope*'5. Scenarios'!$C$7,1,0))</f>
        <v/>
      </c>
      <c r="M1297" s="57" t="str">
        <f aca="false">IF($I1297="","",INDEX(BookRate,1292)*(1+'5. Scenarios'!$C$10)*(INDEX(BookQ1,1292)*(5-MIN(4,1+'5. Scenarios'!$C$8))/4+INDEX(BookQ2,1292)*(5-MIN(4,2+'5. Scenarios'!$C$8))/4+INDEX(BookQ3,1292)*(5-MIN(4,3+'5. Scenarios'!$C$8))/4+INDEX(BookQ4,1292)*(5-MIN(4,4+'5. Scenarios'!$C$8))/4)*'5. Scenarios'!$C$6/(1+ProductivityDefault*('5. Scenarios'!$C$11-1))+INDEX(BookOneOff,1292)*$I1297)</f>
        <v/>
      </c>
      <c r="N1297" s="56" t="str">
        <f aca="false">IF(INDEX(BookTitle,1292)="","",INDEX(BookTotal,1292)*'5. Scenarios'!$D$6/(1+ProductivityDefault*('5. Scenarios'!$D$11-1)))</f>
        <v/>
      </c>
      <c r="O1297" s="57" t="str">
        <f aca="false">IF($N1297="","",INDEX(BookRate,1292)*(1+'5. Scenarios'!$D$10)*$N1297)</f>
        <v/>
      </c>
      <c r="P1297" s="57" t="str">
        <f aca="false">IF($O1297="","",SUMIFS($O$6:$O$2405,$A$6:$A$2405,"&lt;="&amp;$A1297))</f>
        <v/>
      </c>
      <c r="Q1297" s="57" t="str">
        <f aca="false">IF($O1297="","",IF($P1297&lt;=BankCostEnvelope*'5. Scenarios'!$D$7,1,0))</f>
        <v/>
      </c>
      <c r="R1297" s="57" t="str">
        <f aca="false">IF($N1297="","",INDEX(BookRate,1292)*(1+'5. Scenarios'!$D$10)*(INDEX(BookQ1,1292)*(5-MIN(4,1+'5. Scenarios'!$D$8))/4+INDEX(BookQ2,1292)*(5-MIN(4,2+'5. Scenarios'!$D$8))/4+INDEX(BookQ3,1292)*(5-MIN(4,3+'5. Scenarios'!$D$8))/4+INDEX(BookQ4,1292)*(5-MIN(4,4+'5. Scenarios'!$D$8))/4)*'5. Scenarios'!$D$6/(1+ProductivityDefault*('5. Scenarios'!$D$11-1))+INDEX(BookOneOff,1292)*$N1297)</f>
        <v/>
      </c>
      <c r="S1297" s="56" t="str">
        <f aca="false">IF(INDEX(BookTitle,1292)="","",INDEX(BookTotal,1292)*'5. Scenarios'!$E$6/(1+ProductivityDefault*('5. Scenarios'!$E$11-1)))</f>
        <v/>
      </c>
      <c r="T1297" s="57" t="str">
        <f aca="false">IF($S1297="","",INDEX(BookRate,1292)*(1+'5. Scenarios'!$E$10)*$S1297)</f>
        <v/>
      </c>
      <c r="U1297" s="57" t="str">
        <f aca="false">IF($T1297="","",SUMIFS($T$6:$T$2405,$A$6:$A$2405,"&lt;="&amp;$A1297))</f>
        <v/>
      </c>
      <c r="V1297" s="57" t="str">
        <f aca="false">IF($T1297="","",IF($U1297&lt;=BankCostEnvelope*'5. Scenarios'!$E$7,1,0))</f>
        <v/>
      </c>
      <c r="W1297" s="57" t="str">
        <f aca="false">IF($S1297="","",INDEX(BookRate,1292)*(1+'5. Scenarios'!$E$10)*(INDEX(BookQ1,1292)*(5-MIN(4,1+'5. Scenarios'!$E$8))/4+INDEX(BookQ2,1292)*(5-MIN(4,2+'5. Scenarios'!$E$8))/4+INDEX(BookQ3,1292)*(5-MIN(4,3+'5. Scenarios'!$E$8))/4+INDEX(BookQ4,1292)*(5-MIN(4,4+'5. Scenarios'!$E$8))/4)*'5. Scenarios'!$E$6/(1+ProductivityDefault*('5. Scenarios'!$E$11-1))+INDEX(BookOneOff,1292)*$S1297)</f>
        <v/>
      </c>
    </row>
    <row r="1298" customFormat="false" ht="15" hidden="false" customHeight="false" outlineLevel="0" collapsed="false">
      <c r="A1298" s="0" t="str">
        <f aca="false">IF(INDEX(BookTitle,1293)="","",INDEX(BookKey,1293))</f>
        <v/>
      </c>
      <c r="B1298" s="0" t="str">
        <f aca="false">IF(INDEX(BookTitle,1293)="","",INDEX(BookGroup,1293))</f>
        <v/>
      </c>
      <c r="C1298" s="0" t="str">
        <f aca="false">IF(INDEX(BookTitle,1293)="","",INDEX(BookCategory,1293))</f>
        <v/>
      </c>
      <c r="D1298" s="56" t="str">
        <f aca="false">IF(INDEX(BookTitle,1293)="","",INDEX(BookTotal,1293)*'5. Scenarios'!$B$6/(1+ProductivityDefault*('5. Scenarios'!$B$11-1)))</f>
        <v/>
      </c>
      <c r="E1298" s="57" t="str">
        <f aca="false">IF($D1298="","",INDEX(BookRate,1293)*(1+'5. Scenarios'!$B$10)*$D1298)</f>
        <v/>
      </c>
      <c r="F1298" s="57" t="str">
        <f aca="false">IF($E1298="","",SUMIFS($E$6:$E$2405,$A$6:$A$2405,"&lt;="&amp;$A1298))</f>
        <v/>
      </c>
      <c r="G1298" s="57" t="str">
        <f aca="false">IF($E1298="","",IF($F1298&lt;=BankCostEnvelope*'5. Scenarios'!$B$7,1,0))</f>
        <v/>
      </c>
      <c r="H1298" s="57" t="str">
        <f aca="false">IF($D1298="","",INDEX(BookRate,1293)*(1+'5. Scenarios'!$B$10)*(INDEX(BookQ1,1293)*(5-MIN(4,1+'5. Scenarios'!$B$8))/4+INDEX(BookQ2,1293)*(5-MIN(4,2+'5. Scenarios'!$B$8))/4+INDEX(BookQ3,1293)*(5-MIN(4,3+'5. Scenarios'!$B$8))/4+INDEX(BookQ4,1293)*(5-MIN(4,4+'5. Scenarios'!$B$8))/4)*'5. Scenarios'!$B$6/(1+ProductivityDefault*('5. Scenarios'!$B$11-1))+INDEX(BookOneOff,1293)*$D1298)</f>
        <v/>
      </c>
      <c r="I1298" s="56" t="str">
        <f aca="false">IF(INDEX(BookTitle,1293)="","",INDEX(BookTotal,1293)*'5. Scenarios'!$C$6/(1+ProductivityDefault*('5. Scenarios'!$C$11-1)))</f>
        <v/>
      </c>
      <c r="J1298" s="57" t="str">
        <f aca="false">IF($I1298="","",INDEX(BookRate,1293)*(1+'5. Scenarios'!$C$10)*$I1298)</f>
        <v/>
      </c>
      <c r="K1298" s="57" t="str">
        <f aca="false">IF($J1298="","",SUMIFS($J$6:$J$2405,$A$6:$A$2405,"&lt;="&amp;$A1298))</f>
        <v/>
      </c>
      <c r="L1298" s="57" t="str">
        <f aca="false">IF($J1298="","",IF($K1298&lt;=BankCostEnvelope*'5. Scenarios'!$C$7,1,0))</f>
        <v/>
      </c>
      <c r="M1298" s="57" t="str">
        <f aca="false">IF($I1298="","",INDEX(BookRate,1293)*(1+'5. Scenarios'!$C$10)*(INDEX(BookQ1,1293)*(5-MIN(4,1+'5. Scenarios'!$C$8))/4+INDEX(BookQ2,1293)*(5-MIN(4,2+'5. Scenarios'!$C$8))/4+INDEX(BookQ3,1293)*(5-MIN(4,3+'5. Scenarios'!$C$8))/4+INDEX(BookQ4,1293)*(5-MIN(4,4+'5. Scenarios'!$C$8))/4)*'5. Scenarios'!$C$6/(1+ProductivityDefault*('5. Scenarios'!$C$11-1))+INDEX(BookOneOff,1293)*$I1298)</f>
        <v/>
      </c>
      <c r="N1298" s="56" t="str">
        <f aca="false">IF(INDEX(BookTitle,1293)="","",INDEX(BookTotal,1293)*'5. Scenarios'!$D$6/(1+ProductivityDefault*('5. Scenarios'!$D$11-1)))</f>
        <v/>
      </c>
      <c r="O1298" s="57" t="str">
        <f aca="false">IF($N1298="","",INDEX(BookRate,1293)*(1+'5. Scenarios'!$D$10)*$N1298)</f>
        <v/>
      </c>
      <c r="P1298" s="57" t="str">
        <f aca="false">IF($O1298="","",SUMIFS($O$6:$O$2405,$A$6:$A$2405,"&lt;="&amp;$A1298))</f>
        <v/>
      </c>
      <c r="Q1298" s="57" t="str">
        <f aca="false">IF($O1298="","",IF($P1298&lt;=BankCostEnvelope*'5. Scenarios'!$D$7,1,0))</f>
        <v/>
      </c>
      <c r="R1298" s="57" t="str">
        <f aca="false">IF($N1298="","",INDEX(BookRate,1293)*(1+'5. Scenarios'!$D$10)*(INDEX(BookQ1,1293)*(5-MIN(4,1+'5. Scenarios'!$D$8))/4+INDEX(BookQ2,1293)*(5-MIN(4,2+'5. Scenarios'!$D$8))/4+INDEX(BookQ3,1293)*(5-MIN(4,3+'5. Scenarios'!$D$8))/4+INDEX(BookQ4,1293)*(5-MIN(4,4+'5. Scenarios'!$D$8))/4)*'5. Scenarios'!$D$6/(1+ProductivityDefault*('5. Scenarios'!$D$11-1))+INDEX(BookOneOff,1293)*$N1298)</f>
        <v/>
      </c>
      <c r="S1298" s="56" t="str">
        <f aca="false">IF(INDEX(BookTitle,1293)="","",INDEX(BookTotal,1293)*'5. Scenarios'!$E$6/(1+ProductivityDefault*('5. Scenarios'!$E$11-1)))</f>
        <v/>
      </c>
      <c r="T1298" s="57" t="str">
        <f aca="false">IF($S1298="","",INDEX(BookRate,1293)*(1+'5. Scenarios'!$E$10)*$S1298)</f>
        <v/>
      </c>
      <c r="U1298" s="57" t="str">
        <f aca="false">IF($T1298="","",SUMIFS($T$6:$T$2405,$A$6:$A$2405,"&lt;="&amp;$A1298))</f>
        <v/>
      </c>
      <c r="V1298" s="57" t="str">
        <f aca="false">IF($T1298="","",IF($U1298&lt;=BankCostEnvelope*'5. Scenarios'!$E$7,1,0))</f>
        <v/>
      </c>
      <c r="W1298" s="57" t="str">
        <f aca="false">IF($S1298="","",INDEX(BookRate,1293)*(1+'5. Scenarios'!$E$10)*(INDEX(BookQ1,1293)*(5-MIN(4,1+'5. Scenarios'!$E$8))/4+INDEX(BookQ2,1293)*(5-MIN(4,2+'5. Scenarios'!$E$8))/4+INDEX(BookQ3,1293)*(5-MIN(4,3+'5. Scenarios'!$E$8))/4+INDEX(BookQ4,1293)*(5-MIN(4,4+'5. Scenarios'!$E$8))/4)*'5. Scenarios'!$E$6/(1+ProductivityDefault*('5. Scenarios'!$E$11-1))+INDEX(BookOneOff,1293)*$S1298)</f>
        <v/>
      </c>
    </row>
    <row r="1299" customFormat="false" ht="15" hidden="false" customHeight="false" outlineLevel="0" collapsed="false">
      <c r="A1299" s="0" t="str">
        <f aca="false">IF(INDEX(BookTitle,1294)="","",INDEX(BookKey,1294))</f>
        <v/>
      </c>
      <c r="B1299" s="0" t="str">
        <f aca="false">IF(INDEX(BookTitle,1294)="","",INDEX(BookGroup,1294))</f>
        <v/>
      </c>
      <c r="C1299" s="0" t="str">
        <f aca="false">IF(INDEX(BookTitle,1294)="","",INDEX(BookCategory,1294))</f>
        <v/>
      </c>
      <c r="D1299" s="56" t="str">
        <f aca="false">IF(INDEX(BookTitle,1294)="","",INDEX(BookTotal,1294)*'5. Scenarios'!$B$6/(1+ProductivityDefault*('5. Scenarios'!$B$11-1)))</f>
        <v/>
      </c>
      <c r="E1299" s="57" t="str">
        <f aca="false">IF($D1299="","",INDEX(BookRate,1294)*(1+'5. Scenarios'!$B$10)*$D1299)</f>
        <v/>
      </c>
      <c r="F1299" s="57" t="str">
        <f aca="false">IF($E1299="","",SUMIFS($E$6:$E$2405,$A$6:$A$2405,"&lt;="&amp;$A1299))</f>
        <v/>
      </c>
      <c r="G1299" s="57" t="str">
        <f aca="false">IF($E1299="","",IF($F1299&lt;=BankCostEnvelope*'5. Scenarios'!$B$7,1,0))</f>
        <v/>
      </c>
      <c r="H1299" s="57" t="str">
        <f aca="false">IF($D1299="","",INDEX(BookRate,1294)*(1+'5. Scenarios'!$B$10)*(INDEX(BookQ1,1294)*(5-MIN(4,1+'5. Scenarios'!$B$8))/4+INDEX(BookQ2,1294)*(5-MIN(4,2+'5. Scenarios'!$B$8))/4+INDEX(BookQ3,1294)*(5-MIN(4,3+'5. Scenarios'!$B$8))/4+INDEX(BookQ4,1294)*(5-MIN(4,4+'5. Scenarios'!$B$8))/4)*'5. Scenarios'!$B$6/(1+ProductivityDefault*('5. Scenarios'!$B$11-1))+INDEX(BookOneOff,1294)*$D1299)</f>
        <v/>
      </c>
      <c r="I1299" s="56" t="str">
        <f aca="false">IF(INDEX(BookTitle,1294)="","",INDEX(BookTotal,1294)*'5. Scenarios'!$C$6/(1+ProductivityDefault*('5. Scenarios'!$C$11-1)))</f>
        <v/>
      </c>
      <c r="J1299" s="57" t="str">
        <f aca="false">IF($I1299="","",INDEX(BookRate,1294)*(1+'5. Scenarios'!$C$10)*$I1299)</f>
        <v/>
      </c>
      <c r="K1299" s="57" t="str">
        <f aca="false">IF($J1299="","",SUMIFS($J$6:$J$2405,$A$6:$A$2405,"&lt;="&amp;$A1299))</f>
        <v/>
      </c>
      <c r="L1299" s="57" t="str">
        <f aca="false">IF($J1299="","",IF($K1299&lt;=BankCostEnvelope*'5. Scenarios'!$C$7,1,0))</f>
        <v/>
      </c>
      <c r="M1299" s="57" t="str">
        <f aca="false">IF($I1299="","",INDEX(BookRate,1294)*(1+'5. Scenarios'!$C$10)*(INDEX(BookQ1,1294)*(5-MIN(4,1+'5. Scenarios'!$C$8))/4+INDEX(BookQ2,1294)*(5-MIN(4,2+'5. Scenarios'!$C$8))/4+INDEX(BookQ3,1294)*(5-MIN(4,3+'5. Scenarios'!$C$8))/4+INDEX(BookQ4,1294)*(5-MIN(4,4+'5. Scenarios'!$C$8))/4)*'5. Scenarios'!$C$6/(1+ProductivityDefault*('5. Scenarios'!$C$11-1))+INDEX(BookOneOff,1294)*$I1299)</f>
        <v/>
      </c>
      <c r="N1299" s="56" t="str">
        <f aca="false">IF(INDEX(BookTitle,1294)="","",INDEX(BookTotal,1294)*'5. Scenarios'!$D$6/(1+ProductivityDefault*('5. Scenarios'!$D$11-1)))</f>
        <v/>
      </c>
      <c r="O1299" s="57" t="str">
        <f aca="false">IF($N1299="","",INDEX(BookRate,1294)*(1+'5. Scenarios'!$D$10)*$N1299)</f>
        <v/>
      </c>
      <c r="P1299" s="57" t="str">
        <f aca="false">IF($O1299="","",SUMIFS($O$6:$O$2405,$A$6:$A$2405,"&lt;="&amp;$A1299))</f>
        <v/>
      </c>
      <c r="Q1299" s="57" t="str">
        <f aca="false">IF($O1299="","",IF($P1299&lt;=BankCostEnvelope*'5. Scenarios'!$D$7,1,0))</f>
        <v/>
      </c>
      <c r="R1299" s="57" t="str">
        <f aca="false">IF($N1299="","",INDEX(BookRate,1294)*(1+'5. Scenarios'!$D$10)*(INDEX(BookQ1,1294)*(5-MIN(4,1+'5. Scenarios'!$D$8))/4+INDEX(BookQ2,1294)*(5-MIN(4,2+'5. Scenarios'!$D$8))/4+INDEX(BookQ3,1294)*(5-MIN(4,3+'5. Scenarios'!$D$8))/4+INDEX(BookQ4,1294)*(5-MIN(4,4+'5. Scenarios'!$D$8))/4)*'5. Scenarios'!$D$6/(1+ProductivityDefault*('5. Scenarios'!$D$11-1))+INDEX(BookOneOff,1294)*$N1299)</f>
        <v/>
      </c>
      <c r="S1299" s="56" t="str">
        <f aca="false">IF(INDEX(BookTitle,1294)="","",INDEX(BookTotal,1294)*'5. Scenarios'!$E$6/(1+ProductivityDefault*('5. Scenarios'!$E$11-1)))</f>
        <v/>
      </c>
      <c r="T1299" s="57" t="str">
        <f aca="false">IF($S1299="","",INDEX(BookRate,1294)*(1+'5. Scenarios'!$E$10)*$S1299)</f>
        <v/>
      </c>
      <c r="U1299" s="57" t="str">
        <f aca="false">IF($T1299="","",SUMIFS($T$6:$T$2405,$A$6:$A$2405,"&lt;="&amp;$A1299))</f>
        <v/>
      </c>
      <c r="V1299" s="57" t="str">
        <f aca="false">IF($T1299="","",IF($U1299&lt;=BankCostEnvelope*'5. Scenarios'!$E$7,1,0))</f>
        <v/>
      </c>
      <c r="W1299" s="57" t="str">
        <f aca="false">IF($S1299="","",INDEX(BookRate,1294)*(1+'5. Scenarios'!$E$10)*(INDEX(BookQ1,1294)*(5-MIN(4,1+'5. Scenarios'!$E$8))/4+INDEX(BookQ2,1294)*(5-MIN(4,2+'5. Scenarios'!$E$8))/4+INDEX(BookQ3,1294)*(5-MIN(4,3+'5. Scenarios'!$E$8))/4+INDEX(BookQ4,1294)*(5-MIN(4,4+'5. Scenarios'!$E$8))/4)*'5. Scenarios'!$E$6/(1+ProductivityDefault*('5. Scenarios'!$E$11-1))+INDEX(BookOneOff,1294)*$S1299)</f>
        <v/>
      </c>
    </row>
    <row r="1300" customFormat="false" ht="15" hidden="false" customHeight="false" outlineLevel="0" collapsed="false">
      <c r="A1300" s="0" t="str">
        <f aca="false">IF(INDEX(BookTitle,1295)="","",INDEX(BookKey,1295))</f>
        <v/>
      </c>
      <c r="B1300" s="0" t="str">
        <f aca="false">IF(INDEX(BookTitle,1295)="","",INDEX(BookGroup,1295))</f>
        <v/>
      </c>
      <c r="C1300" s="0" t="str">
        <f aca="false">IF(INDEX(BookTitle,1295)="","",INDEX(BookCategory,1295))</f>
        <v/>
      </c>
      <c r="D1300" s="56" t="str">
        <f aca="false">IF(INDEX(BookTitle,1295)="","",INDEX(BookTotal,1295)*'5. Scenarios'!$B$6/(1+ProductivityDefault*('5. Scenarios'!$B$11-1)))</f>
        <v/>
      </c>
      <c r="E1300" s="57" t="str">
        <f aca="false">IF($D1300="","",INDEX(BookRate,1295)*(1+'5. Scenarios'!$B$10)*$D1300)</f>
        <v/>
      </c>
      <c r="F1300" s="57" t="str">
        <f aca="false">IF($E1300="","",SUMIFS($E$6:$E$2405,$A$6:$A$2405,"&lt;="&amp;$A1300))</f>
        <v/>
      </c>
      <c r="G1300" s="57" t="str">
        <f aca="false">IF($E1300="","",IF($F1300&lt;=BankCostEnvelope*'5. Scenarios'!$B$7,1,0))</f>
        <v/>
      </c>
      <c r="H1300" s="57" t="str">
        <f aca="false">IF($D1300="","",INDEX(BookRate,1295)*(1+'5. Scenarios'!$B$10)*(INDEX(BookQ1,1295)*(5-MIN(4,1+'5. Scenarios'!$B$8))/4+INDEX(BookQ2,1295)*(5-MIN(4,2+'5. Scenarios'!$B$8))/4+INDEX(BookQ3,1295)*(5-MIN(4,3+'5. Scenarios'!$B$8))/4+INDEX(BookQ4,1295)*(5-MIN(4,4+'5. Scenarios'!$B$8))/4)*'5. Scenarios'!$B$6/(1+ProductivityDefault*('5. Scenarios'!$B$11-1))+INDEX(BookOneOff,1295)*$D1300)</f>
        <v/>
      </c>
      <c r="I1300" s="56" t="str">
        <f aca="false">IF(INDEX(BookTitle,1295)="","",INDEX(BookTotal,1295)*'5. Scenarios'!$C$6/(1+ProductivityDefault*('5. Scenarios'!$C$11-1)))</f>
        <v/>
      </c>
      <c r="J1300" s="57" t="str">
        <f aca="false">IF($I1300="","",INDEX(BookRate,1295)*(1+'5. Scenarios'!$C$10)*$I1300)</f>
        <v/>
      </c>
      <c r="K1300" s="57" t="str">
        <f aca="false">IF($J1300="","",SUMIFS($J$6:$J$2405,$A$6:$A$2405,"&lt;="&amp;$A1300))</f>
        <v/>
      </c>
      <c r="L1300" s="57" t="str">
        <f aca="false">IF($J1300="","",IF($K1300&lt;=BankCostEnvelope*'5. Scenarios'!$C$7,1,0))</f>
        <v/>
      </c>
      <c r="M1300" s="57" t="str">
        <f aca="false">IF($I1300="","",INDEX(BookRate,1295)*(1+'5. Scenarios'!$C$10)*(INDEX(BookQ1,1295)*(5-MIN(4,1+'5. Scenarios'!$C$8))/4+INDEX(BookQ2,1295)*(5-MIN(4,2+'5. Scenarios'!$C$8))/4+INDEX(BookQ3,1295)*(5-MIN(4,3+'5. Scenarios'!$C$8))/4+INDEX(BookQ4,1295)*(5-MIN(4,4+'5. Scenarios'!$C$8))/4)*'5. Scenarios'!$C$6/(1+ProductivityDefault*('5. Scenarios'!$C$11-1))+INDEX(BookOneOff,1295)*$I1300)</f>
        <v/>
      </c>
      <c r="N1300" s="56" t="str">
        <f aca="false">IF(INDEX(BookTitle,1295)="","",INDEX(BookTotal,1295)*'5. Scenarios'!$D$6/(1+ProductivityDefault*('5. Scenarios'!$D$11-1)))</f>
        <v/>
      </c>
      <c r="O1300" s="57" t="str">
        <f aca="false">IF($N1300="","",INDEX(BookRate,1295)*(1+'5. Scenarios'!$D$10)*$N1300)</f>
        <v/>
      </c>
      <c r="P1300" s="57" t="str">
        <f aca="false">IF($O1300="","",SUMIFS($O$6:$O$2405,$A$6:$A$2405,"&lt;="&amp;$A1300))</f>
        <v/>
      </c>
      <c r="Q1300" s="57" t="str">
        <f aca="false">IF($O1300="","",IF($P1300&lt;=BankCostEnvelope*'5. Scenarios'!$D$7,1,0))</f>
        <v/>
      </c>
      <c r="R1300" s="57" t="str">
        <f aca="false">IF($N1300="","",INDEX(BookRate,1295)*(1+'5. Scenarios'!$D$10)*(INDEX(BookQ1,1295)*(5-MIN(4,1+'5. Scenarios'!$D$8))/4+INDEX(BookQ2,1295)*(5-MIN(4,2+'5. Scenarios'!$D$8))/4+INDEX(BookQ3,1295)*(5-MIN(4,3+'5. Scenarios'!$D$8))/4+INDEX(BookQ4,1295)*(5-MIN(4,4+'5. Scenarios'!$D$8))/4)*'5. Scenarios'!$D$6/(1+ProductivityDefault*('5. Scenarios'!$D$11-1))+INDEX(BookOneOff,1295)*$N1300)</f>
        <v/>
      </c>
      <c r="S1300" s="56" t="str">
        <f aca="false">IF(INDEX(BookTitle,1295)="","",INDEX(BookTotal,1295)*'5. Scenarios'!$E$6/(1+ProductivityDefault*('5. Scenarios'!$E$11-1)))</f>
        <v/>
      </c>
      <c r="T1300" s="57" t="str">
        <f aca="false">IF($S1300="","",INDEX(BookRate,1295)*(1+'5. Scenarios'!$E$10)*$S1300)</f>
        <v/>
      </c>
      <c r="U1300" s="57" t="str">
        <f aca="false">IF($T1300="","",SUMIFS($T$6:$T$2405,$A$6:$A$2405,"&lt;="&amp;$A1300))</f>
        <v/>
      </c>
      <c r="V1300" s="57" t="str">
        <f aca="false">IF($T1300="","",IF($U1300&lt;=BankCostEnvelope*'5. Scenarios'!$E$7,1,0))</f>
        <v/>
      </c>
      <c r="W1300" s="57" t="str">
        <f aca="false">IF($S1300="","",INDEX(BookRate,1295)*(1+'5. Scenarios'!$E$10)*(INDEX(BookQ1,1295)*(5-MIN(4,1+'5. Scenarios'!$E$8))/4+INDEX(BookQ2,1295)*(5-MIN(4,2+'5. Scenarios'!$E$8))/4+INDEX(BookQ3,1295)*(5-MIN(4,3+'5. Scenarios'!$E$8))/4+INDEX(BookQ4,1295)*(5-MIN(4,4+'5. Scenarios'!$E$8))/4)*'5. Scenarios'!$E$6/(1+ProductivityDefault*('5. Scenarios'!$E$11-1))+INDEX(BookOneOff,1295)*$S1300)</f>
        <v/>
      </c>
    </row>
    <row r="1301" customFormat="false" ht="15" hidden="false" customHeight="false" outlineLevel="0" collapsed="false">
      <c r="A1301" s="0" t="str">
        <f aca="false">IF(INDEX(BookTitle,1296)="","",INDEX(BookKey,1296))</f>
        <v/>
      </c>
      <c r="B1301" s="0" t="str">
        <f aca="false">IF(INDEX(BookTitle,1296)="","",INDEX(BookGroup,1296))</f>
        <v/>
      </c>
      <c r="C1301" s="0" t="str">
        <f aca="false">IF(INDEX(BookTitle,1296)="","",INDEX(BookCategory,1296))</f>
        <v/>
      </c>
      <c r="D1301" s="56" t="str">
        <f aca="false">IF(INDEX(BookTitle,1296)="","",INDEX(BookTotal,1296)*'5. Scenarios'!$B$6/(1+ProductivityDefault*('5. Scenarios'!$B$11-1)))</f>
        <v/>
      </c>
      <c r="E1301" s="57" t="str">
        <f aca="false">IF($D1301="","",INDEX(BookRate,1296)*(1+'5. Scenarios'!$B$10)*$D1301)</f>
        <v/>
      </c>
      <c r="F1301" s="57" t="str">
        <f aca="false">IF($E1301="","",SUMIFS($E$6:$E$2405,$A$6:$A$2405,"&lt;="&amp;$A1301))</f>
        <v/>
      </c>
      <c r="G1301" s="57" t="str">
        <f aca="false">IF($E1301="","",IF($F1301&lt;=BankCostEnvelope*'5. Scenarios'!$B$7,1,0))</f>
        <v/>
      </c>
      <c r="H1301" s="57" t="str">
        <f aca="false">IF($D1301="","",INDEX(BookRate,1296)*(1+'5. Scenarios'!$B$10)*(INDEX(BookQ1,1296)*(5-MIN(4,1+'5. Scenarios'!$B$8))/4+INDEX(BookQ2,1296)*(5-MIN(4,2+'5. Scenarios'!$B$8))/4+INDEX(BookQ3,1296)*(5-MIN(4,3+'5. Scenarios'!$B$8))/4+INDEX(BookQ4,1296)*(5-MIN(4,4+'5. Scenarios'!$B$8))/4)*'5. Scenarios'!$B$6/(1+ProductivityDefault*('5. Scenarios'!$B$11-1))+INDEX(BookOneOff,1296)*$D1301)</f>
        <v/>
      </c>
      <c r="I1301" s="56" t="str">
        <f aca="false">IF(INDEX(BookTitle,1296)="","",INDEX(BookTotal,1296)*'5. Scenarios'!$C$6/(1+ProductivityDefault*('5. Scenarios'!$C$11-1)))</f>
        <v/>
      </c>
      <c r="J1301" s="57" t="str">
        <f aca="false">IF($I1301="","",INDEX(BookRate,1296)*(1+'5. Scenarios'!$C$10)*$I1301)</f>
        <v/>
      </c>
      <c r="K1301" s="57" t="str">
        <f aca="false">IF($J1301="","",SUMIFS($J$6:$J$2405,$A$6:$A$2405,"&lt;="&amp;$A1301))</f>
        <v/>
      </c>
      <c r="L1301" s="57" t="str">
        <f aca="false">IF($J1301="","",IF($K1301&lt;=BankCostEnvelope*'5. Scenarios'!$C$7,1,0))</f>
        <v/>
      </c>
      <c r="M1301" s="57" t="str">
        <f aca="false">IF($I1301="","",INDEX(BookRate,1296)*(1+'5. Scenarios'!$C$10)*(INDEX(BookQ1,1296)*(5-MIN(4,1+'5. Scenarios'!$C$8))/4+INDEX(BookQ2,1296)*(5-MIN(4,2+'5. Scenarios'!$C$8))/4+INDEX(BookQ3,1296)*(5-MIN(4,3+'5. Scenarios'!$C$8))/4+INDEX(BookQ4,1296)*(5-MIN(4,4+'5. Scenarios'!$C$8))/4)*'5. Scenarios'!$C$6/(1+ProductivityDefault*('5. Scenarios'!$C$11-1))+INDEX(BookOneOff,1296)*$I1301)</f>
        <v/>
      </c>
      <c r="N1301" s="56" t="str">
        <f aca="false">IF(INDEX(BookTitle,1296)="","",INDEX(BookTotal,1296)*'5. Scenarios'!$D$6/(1+ProductivityDefault*('5. Scenarios'!$D$11-1)))</f>
        <v/>
      </c>
      <c r="O1301" s="57" t="str">
        <f aca="false">IF($N1301="","",INDEX(BookRate,1296)*(1+'5. Scenarios'!$D$10)*$N1301)</f>
        <v/>
      </c>
      <c r="P1301" s="57" t="str">
        <f aca="false">IF($O1301="","",SUMIFS($O$6:$O$2405,$A$6:$A$2405,"&lt;="&amp;$A1301))</f>
        <v/>
      </c>
      <c r="Q1301" s="57" t="str">
        <f aca="false">IF($O1301="","",IF($P1301&lt;=BankCostEnvelope*'5. Scenarios'!$D$7,1,0))</f>
        <v/>
      </c>
      <c r="R1301" s="57" t="str">
        <f aca="false">IF($N1301="","",INDEX(BookRate,1296)*(1+'5. Scenarios'!$D$10)*(INDEX(BookQ1,1296)*(5-MIN(4,1+'5. Scenarios'!$D$8))/4+INDEX(BookQ2,1296)*(5-MIN(4,2+'5. Scenarios'!$D$8))/4+INDEX(BookQ3,1296)*(5-MIN(4,3+'5. Scenarios'!$D$8))/4+INDEX(BookQ4,1296)*(5-MIN(4,4+'5. Scenarios'!$D$8))/4)*'5. Scenarios'!$D$6/(1+ProductivityDefault*('5. Scenarios'!$D$11-1))+INDEX(BookOneOff,1296)*$N1301)</f>
        <v/>
      </c>
      <c r="S1301" s="56" t="str">
        <f aca="false">IF(INDEX(BookTitle,1296)="","",INDEX(BookTotal,1296)*'5. Scenarios'!$E$6/(1+ProductivityDefault*('5. Scenarios'!$E$11-1)))</f>
        <v/>
      </c>
      <c r="T1301" s="57" t="str">
        <f aca="false">IF($S1301="","",INDEX(BookRate,1296)*(1+'5. Scenarios'!$E$10)*$S1301)</f>
        <v/>
      </c>
      <c r="U1301" s="57" t="str">
        <f aca="false">IF($T1301="","",SUMIFS($T$6:$T$2405,$A$6:$A$2405,"&lt;="&amp;$A1301))</f>
        <v/>
      </c>
      <c r="V1301" s="57" t="str">
        <f aca="false">IF($T1301="","",IF($U1301&lt;=BankCostEnvelope*'5. Scenarios'!$E$7,1,0))</f>
        <v/>
      </c>
      <c r="W1301" s="57" t="str">
        <f aca="false">IF($S1301="","",INDEX(BookRate,1296)*(1+'5. Scenarios'!$E$10)*(INDEX(BookQ1,1296)*(5-MIN(4,1+'5. Scenarios'!$E$8))/4+INDEX(BookQ2,1296)*(5-MIN(4,2+'5. Scenarios'!$E$8))/4+INDEX(BookQ3,1296)*(5-MIN(4,3+'5. Scenarios'!$E$8))/4+INDEX(BookQ4,1296)*(5-MIN(4,4+'5. Scenarios'!$E$8))/4)*'5. Scenarios'!$E$6/(1+ProductivityDefault*('5. Scenarios'!$E$11-1))+INDEX(BookOneOff,1296)*$S1301)</f>
        <v/>
      </c>
    </row>
    <row r="1302" customFormat="false" ht="15" hidden="false" customHeight="false" outlineLevel="0" collapsed="false">
      <c r="A1302" s="0" t="str">
        <f aca="false">IF(INDEX(BookTitle,1297)="","",INDEX(BookKey,1297))</f>
        <v/>
      </c>
      <c r="B1302" s="0" t="str">
        <f aca="false">IF(INDEX(BookTitle,1297)="","",INDEX(BookGroup,1297))</f>
        <v/>
      </c>
      <c r="C1302" s="0" t="str">
        <f aca="false">IF(INDEX(BookTitle,1297)="","",INDEX(BookCategory,1297))</f>
        <v/>
      </c>
      <c r="D1302" s="56" t="str">
        <f aca="false">IF(INDEX(BookTitle,1297)="","",INDEX(BookTotal,1297)*'5. Scenarios'!$B$6/(1+ProductivityDefault*('5. Scenarios'!$B$11-1)))</f>
        <v/>
      </c>
      <c r="E1302" s="57" t="str">
        <f aca="false">IF($D1302="","",INDEX(BookRate,1297)*(1+'5. Scenarios'!$B$10)*$D1302)</f>
        <v/>
      </c>
      <c r="F1302" s="57" t="str">
        <f aca="false">IF($E1302="","",SUMIFS($E$6:$E$2405,$A$6:$A$2405,"&lt;="&amp;$A1302))</f>
        <v/>
      </c>
      <c r="G1302" s="57" t="str">
        <f aca="false">IF($E1302="","",IF($F1302&lt;=BankCostEnvelope*'5. Scenarios'!$B$7,1,0))</f>
        <v/>
      </c>
      <c r="H1302" s="57" t="str">
        <f aca="false">IF($D1302="","",INDEX(BookRate,1297)*(1+'5. Scenarios'!$B$10)*(INDEX(BookQ1,1297)*(5-MIN(4,1+'5. Scenarios'!$B$8))/4+INDEX(BookQ2,1297)*(5-MIN(4,2+'5. Scenarios'!$B$8))/4+INDEX(BookQ3,1297)*(5-MIN(4,3+'5. Scenarios'!$B$8))/4+INDEX(BookQ4,1297)*(5-MIN(4,4+'5. Scenarios'!$B$8))/4)*'5. Scenarios'!$B$6/(1+ProductivityDefault*('5. Scenarios'!$B$11-1))+INDEX(BookOneOff,1297)*$D1302)</f>
        <v/>
      </c>
      <c r="I1302" s="56" t="str">
        <f aca="false">IF(INDEX(BookTitle,1297)="","",INDEX(BookTotal,1297)*'5. Scenarios'!$C$6/(1+ProductivityDefault*('5. Scenarios'!$C$11-1)))</f>
        <v/>
      </c>
      <c r="J1302" s="57" t="str">
        <f aca="false">IF($I1302="","",INDEX(BookRate,1297)*(1+'5. Scenarios'!$C$10)*$I1302)</f>
        <v/>
      </c>
      <c r="K1302" s="57" t="str">
        <f aca="false">IF($J1302="","",SUMIFS($J$6:$J$2405,$A$6:$A$2405,"&lt;="&amp;$A1302))</f>
        <v/>
      </c>
      <c r="L1302" s="57" t="str">
        <f aca="false">IF($J1302="","",IF($K1302&lt;=BankCostEnvelope*'5. Scenarios'!$C$7,1,0))</f>
        <v/>
      </c>
      <c r="M1302" s="57" t="str">
        <f aca="false">IF($I1302="","",INDEX(BookRate,1297)*(1+'5. Scenarios'!$C$10)*(INDEX(BookQ1,1297)*(5-MIN(4,1+'5. Scenarios'!$C$8))/4+INDEX(BookQ2,1297)*(5-MIN(4,2+'5. Scenarios'!$C$8))/4+INDEX(BookQ3,1297)*(5-MIN(4,3+'5. Scenarios'!$C$8))/4+INDEX(BookQ4,1297)*(5-MIN(4,4+'5. Scenarios'!$C$8))/4)*'5. Scenarios'!$C$6/(1+ProductivityDefault*('5. Scenarios'!$C$11-1))+INDEX(BookOneOff,1297)*$I1302)</f>
        <v/>
      </c>
      <c r="N1302" s="56" t="str">
        <f aca="false">IF(INDEX(BookTitle,1297)="","",INDEX(BookTotal,1297)*'5. Scenarios'!$D$6/(1+ProductivityDefault*('5. Scenarios'!$D$11-1)))</f>
        <v/>
      </c>
      <c r="O1302" s="57" t="str">
        <f aca="false">IF($N1302="","",INDEX(BookRate,1297)*(1+'5. Scenarios'!$D$10)*$N1302)</f>
        <v/>
      </c>
      <c r="P1302" s="57" t="str">
        <f aca="false">IF($O1302="","",SUMIFS($O$6:$O$2405,$A$6:$A$2405,"&lt;="&amp;$A1302))</f>
        <v/>
      </c>
      <c r="Q1302" s="57" t="str">
        <f aca="false">IF($O1302="","",IF($P1302&lt;=BankCostEnvelope*'5. Scenarios'!$D$7,1,0))</f>
        <v/>
      </c>
      <c r="R1302" s="57" t="str">
        <f aca="false">IF($N1302="","",INDEX(BookRate,1297)*(1+'5. Scenarios'!$D$10)*(INDEX(BookQ1,1297)*(5-MIN(4,1+'5. Scenarios'!$D$8))/4+INDEX(BookQ2,1297)*(5-MIN(4,2+'5. Scenarios'!$D$8))/4+INDEX(BookQ3,1297)*(5-MIN(4,3+'5. Scenarios'!$D$8))/4+INDEX(BookQ4,1297)*(5-MIN(4,4+'5. Scenarios'!$D$8))/4)*'5. Scenarios'!$D$6/(1+ProductivityDefault*('5. Scenarios'!$D$11-1))+INDEX(BookOneOff,1297)*$N1302)</f>
        <v/>
      </c>
      <c r="S1302" s="56" t="str">
        <f aca="false">IF(INDEX(BookTitle,1297)="","",INDEX(BookTotal,1297)*'5. Scenarios'!$E$6/(1+ProductivityDefault*('5. Scenarios'!$E$11-1)))</f>
        <v/>
      </c>
      <c r="T1302" s="57" t="str">
        <f aca="false">IF($S1302="","",INDEX(BookRate,1297)*(1+'5. Scenarios'!$E$10)*$S1302)</f>
        <v/>
      </c>
      <c r="U1302" s="57" t="str">
        <f aca="false">IF($T1302="","",SUMIFS($T$6:$T$2405,$A$6:$A$2405,"&lt;="&amp;$A1302))</f>
        <v/>
      </c>
      <c r="V1302" s="57" t="str">
        <f aca="false">IF($T1302="","",IF($U1302&lt;=BankCostEnvelope*'5. Scenarios'!$E$7,1,0))</f>
        <v/>
      </c>
      <c r="W1302" s="57" t="str">
        <f aca="false">IF($S1302="","",INDEX(BookRate,1297)*(1+'5. Scenarios'!$E$10)*(INDEX(BookQ1,1297)*(5-MIN(4,1+'5. Scenarios'!$E$8))/4+INDEX(BookQ2,1297)*(5-MIN(4,2+'5. Scenarios'!$E$8))/4+INDEX(BookQ3,1297)*(5-MIN(4,3+'5. Scenarios'!$E$8))/4+INDEX(BookQ4,1297)*(5-MIN(4,4+'5. Scenarios'!$E$8))/4)*'5. Scenarios'!$E$6/(1+ProductivityDefault*('5. Scenarios'!$E$11-1))+INDEX(BookOneOff,1297)*$S1302)</f>
        <v/>
      </c>
    </row>
    <row r="1303" customFormat="false" ht="15" hidden="false" customHeight="false" outlineLevel="0" collapsed="false">
      <c r="A1303" s="0" t="str">
        <f aca="false">IF(INDEX(BookTitle,1298)="","",INDEX(BookKey,1298))</f>
        <v/>
      </c>
      <c r="B1303" s="0" t="str">
        <f aca="false">IF(INDEX(BookTitle,1298)="","",INDEX(BookGroup,1298))</f>
        <v/>
      </c>
      <c r="C1303" s="0" t="str">
        <f aca="false">IF(INDEX(BookTitle,1298)="","",INDEX(BookCategory,1298))</f>
        <v/>
      </c>
      <c r="D1303" s="56" t="str">
        <f aca="false">IF(INDEX(BookTitle,1298)="","",INDEX(BookTotal,1298)*'5. Scenarios'!$B$6/(1+ProductivityDefault*('5. Scenarios'!$B$11-1)))</f>
        <v/>
      </c>
      <c r="E1303" s="57" t="str">
        <f aca="false">IF($D1303="","",INDEX(BookRate,1298)*(1+'5. Scenarios'!$B$10)*$D1303)</f>
        <v/>
      </c>
      <c r="F1303" s="57" t="str">
        <f aca="false">IF($E1303="","",SUMIFS($E$6:$E$2405,$A$6:$A$2405,"&lt;="&amp;$A1303))</f>
        <v/>
      </c>
      <c r="G1303" s="57" t="str">
        <f aca="false">IF($E1303="","",IF($F1303&lt;=BankCostEnvelope*'5. Scenarios'!$B$7,1,0))</f>
        <v/>
      </c>
      <c r="H1303" s="57" t="str">
        <f aca="false">IF($D1303="","",INDEX(BookRate,1298)*(1+'5. Scenarios'!$B$10)*(INDEX(BookQ1,1298)*(5-MIN(4,1+'5. Scenarios'!$B$8))/4+INDEX(BookQ2,1298)*(5-MIN(4,2+'5. Scenarios'!$B$8))/4+INDEX(BookQ3,1298)*(5-MIN(4,3+'5. Scenarios'!$B$8))/4+INDEX(BookQ4,1298)*(5-MIN(4,4+'5. Scenarios'!$B$8))/4)*'5. Scenarios'!$B$6/(1+ProductivityDefault*('5. Scenarios'!$B$11-1))+INDEX(BookOneOff,1298)*$D1303)</f>
        <v/>
      </c>
      <c r="I1303" s="56" t="str">
        <f aca="false">IF(INDEX(BookTitle,1298)="","",INDEX(BookTotal,1298)*'5. Scenarios'!$C$6/(1+ProductivityDefault*('5. Scenarios'!$C$11-1)))</f>
        <v/>
      </c>
      <c r="J1303" s="57" t="str">
        <f aca="false">IF($I1303="","",INDEX(BookRate,1298)*(1+'5. Scenarios'!$C$10)*$I1303)</f>
        <v/>
      </c>
      <c r="K1303" s="57" t="str">
        <f aca="false">IF($J1303="","",SUMIFS($J$6:$J$2405,$A$6:$A$2405,"&lt;="&amp;$A1303))</f>
        <v/>
      </c>
      <c r="L1303" s="57" t="str">
        <f aca="false">IF($J1303="","",IF($K1303&lt;=BankCostEnvelope*'5. Scenarios'!$C$7,1,0))</f>
        <v/>
      </c>
      <c r="M1303" s="57" t="str">
        <f aca="false">IF($I1303="","",INDEX(BookRate,1298)*(1+'5. Scenarios'!$C$10)*(INDEX(BookQ1,1298)*(5-MIN(4,1+'5. Scenarios'!$C$8))/4+INDEX(BookQ2,1298)*(5-MIN(4,2+'5. Scenarios'!$C$8))/4+INDEX(BookQ3,1298)*(5-MIN(4,3+'5. Scenarios'!$C$8))/4+INDEX(BookQ4,1298)*(5-MIN(4,4+'5. Scenarios'!$C$8))/4)*'5. Scenarios'!$C$6/(1+ProductivityDefault*('5. Scenarios'!$C$11-1))+INDEX(BookOneOff,1298)*$I1303)</f>
        <v/>
      </c>
      <c r="N1303" s="56" t="str">
        <f aca="false">IF(INDEX(BookTitle,1298)="","",INDEX(BookTotal,1298)*'5. Scenarios'!$D$6/(1+ProductivityDefault*('5. Scenarios'!$D$11-1)))</f>
        <v/>
      </c>
      <c r="O1303" s="57" t="str">
        <f aca="false">IF($N1303="","",INDEX(BookRate,1298)*(1+'5. Scenarios'!$D$10)*$N1303)</f>
        <v/>
      </c>
      <c r="P1303" s="57" t="str">
        <f aca="false">IF($O1303="","",SUMIFS($O$6:$O$2405,$A$6:$A$2405,"&lt;="&amp;$A1303))</f>
        <v/>
      </c>
      <c r="Q1303" s="57" t="str">
        <f aca="false">IF($O1303="","",IF($P1303&lt;=BankCostEnvelope*'5. Scenarios'!$D$7,1,0))</f>
        <v/>
      </c>
      <c r="R1303" s="57" t="str">
        <f aca="false">IF($N1303="","",INDEX(BookRate,1298)*(1+'5. Scenarios'!$D$10)*(INDEX(BookQ1,1298)*(5-MIN(4,1+'5. Scenarios'!$D$8))/4+INDEX(BookQ2,1298)*(5-MIN(4,2+'5. Scenarios'!$D$8))/4+INDEX(BookQ3,1298)*(5-MIN(4,3+'5. Scenarios'!$D$8))/4+INDEX(BookQ4,1298)*(5-MIN(4,4+'5. Scenarios'!$D$8))/4)*'5. Scenarios'!$D$6/(1+ProductivityDefault*('5. Scenarios'!$D$11-1))+INDEX(BookOneOff,1298)*$N1303)</f>
        <v/>
      </c>
      <c r="S1303" s="56" t="str">
        <f aca="false">IF(INDEX(BookTitle,1298)="","",INDEX(BookTotal,1298)*'5. Scenarios'!$E$6/(1+ProductivityDefault*('5. Scenarios'!$E$11-1)))</f>
        <v/>
      </c>
      <c r="T1303" s="57" t="str">
        <f aca="false">IF($S1303="","",INDEX(BookRate,1298)*(1+'5. Scenarios'!$E$10)*$S1303)</f>
        <v/>
      </c>
      <c r="U1303" s="57" t="str">
        <f aca="false">IF($T1303="","",SUMIFS($T$6:$T$2405,$A$6:$A$2405,"&lt;="&amp;$A1303))</f>
        <v/>
      </c>
      <c r="V1303" s="57" t="str">
        <f aca="false">IF($T1303="","",IF($U1303&lt;=BankCostEnvelope*'5. Scenarios'!$E$7,1,0))</f>
        <v/>
      </c>
      <c r="W1303" s="57" t="str">
        <f aca="false">IF($S1303="","",INDEX(BookRate,1298)*(1+'5. Scenarios'!$E$10)*(INDEX(BookQ1,1298)*(5-MIN(4,1+'5. Scenarios'!$E$8))/4+INDEX(BookQ2,1298)*(5-MIN(4,2+'5. Scenarios'!$E$8))/4+INDEX(BookQ3,1298)*(5-MIN(4,3+'5. Scenarios'!$E$8))/4+INDEX(BookQ4,1298)*(5-MIN(4,4+'5. Scenarios'!$E$8))/4)*'5. Scenarios'!$E$6/(1+ProductivityDefault*('5. Scenarios'!$E$11-1))+INDEX(BookOneOff,1298)*$S1303)</f>
        <v/>
      </c>
    </row>
    <row r="1304" customFormat="false" ht="15" hidden="false" customHeight="false" outlineLevel="0" collapsed="false">
      <c r="A1304" s="0" t="str">
        <f aca="false">IF(INDEX(BookTitle,1299)="","",INDEX(BookKey,1299))</f>
        <v/>
      </c>
      <c r="B1304" s="0" t="str">
        <f aca="false">IF(INDEX(BookTitle,1299)="","",INDEX(BookGroup,1299))</f>
        <v/>
      </c>
      <c r="C1304" s="0" t="str">
        <f aca="false">IF(INDEX(BookTitle,1299)="","",INDEX(BookCategory,1299))</f>
        <v/>
      </c>
      <c r="D1304" s="56" t="str">
        <f aca="false">IF(INDEX(BookTitle,1299)="","",INDEX(BookTotal,1299)*'5. Scenarios'!$B$6/(1+ProductivityDefault*('5. Scenarios'!$B$11-1)))</f>
        <v/>
      </c>
      <c r="E1304" s="57" t="str">
        <f aca="false">IF($D1304="","",INDEX(BookRate,1299)*(1+'5. Scenarios'!$B$10)*$D1304)</f>
        <v/>
      </c>
      <c r="F1304" s="57" t="str">
        <f aca="false">IF($E1304="","",SUMIFS($E$6:$E$2405,$A$6:$A$2405,"&lt;="&amp;$A1304))</f>
        <v/>
      </c>
      <c r="G1304" s="57" t="str">
        <f aca="false">IF($E1304="","",IF($F1304&lt;=BankCostEnvelope*'5. Scenarios'!$B$7,1,0))</f>
        <v/>
      </c>
      <c r="H1304" s="57" t="str">
        <f aca="false">IF($D1304="","",INDEX(BookRate,1299)*(1+'5. Scenarios'!$B$10)*(INDEX(BookQ1,1299)*(5-MIN(4,1+'5. Scenarios'!$B$8))/4+INDEX(BookQ2,1299)*(5-MIN(4,2+'5. Scenarios'!$B$8))/4+INDEX(BookQ3,1299)*(5-MIN(4,3+'5. Scenarios'!$B$8))/4+INDEX(BookQ4,1299)*(5-MIN(4,4+'5. Scenarios'!$B$8))/4)*'5. Scenarios'!$B$6/(1+ProductivityDefault*('5. Scenarios'!$B$11-1))+INDEX(BookOneOff,1299)*$D1304)</f>
        <v/>
      </c>
      <c r="I1304" s="56" t="str">
        <f aca="false">IF(INDEX(BookTitle,1299)="","",INDEX(BookTotal,1299)*'5. Scenarios'!$C$6/(1+ProductivityDefault*('5. Scenarios'!$C$11-1)))</f>
        <v/>
      </c>
      <c r="J1304" s="57" t="str">
        <f aca="false">IF($I1304="","",INDEX(BookRate,1299)*(1+'5. Scenarios'!$C$10)*$I1304)</f>
        <v/>
      </c>
      <c r="K1304" s="57" t="str">
        <f aca="false">IF($J1304="","",SUMIFS($J$6:$J$2405,$A$6:$A$2405,"&lt;="&amp;$A1304))</f>
        <v/>
      </c>
      <c r="L1304" s="57" t="str">
        <f aca="false">IF($J1304="","",IF($K1304&lt;=BankCostEnvelope*'5. Scenarios'!$C$7,1,0))</f>
        <v/>
      </c>
      <c r="M1304" s="57" t="str">
        <f aca="false">IF($I1304="","",INDEX(BookRate,1299)*(1+'5. Scenarios'!$C$10)*(INDEX(BookQ1,1299)*(5-MIN(4,1+'5. Scenarios'!$C$8))/4+INDEX(BookQ2,1299)*(5-MIN(4,2+'5. Scenarios'!$C$8))/4+INDEX(BookQ3,1299)*(5-MIN(4,3+'5. Scenarios'!$C$8))/4+INDEX(BookQ4,1299)*(5-MIN(4,4+'5. Scenarios'!$C$8))/4)*'5. Scenarios'!$C$6/(1+ProductivityDefault*('5. Scenarios'!$C$11-1))+INDEX(BookOneOff,1299)*$I1304)</f>
        <v/>
      </c>
      <c r="N1304" s="56" t="str">
        <f aca="false">IF(INDEX(BookTitle,1299)="","",INDEX(BookTotal,1299)*'5. Scenarios'!$D$6/(1+ProductivityDefault*('5. Scenarios'!$D$11-1)))</f>
        <v/>
      </c>
      <c r="O1304" s="57" t="str">
        <f aca="false">IF($N1304="","",INDEX(BookRate,1299)*(1+'5. Scenarios'!$D$10)*$N1304)</f>
        <v/>
      </c>
      <c r="P1304" s="57" t="str">
        <f aca="false">IF($O1304="","",SUMIFS($O$6:$O$2405,$A$6:$A$2405,"&lt;="&amp;$A1304))</f>
        <v/>
      </c>
      <c r="Q1304" s="57" t="str">
        <f aca="false">IF($O1304="","",IF($P1304&lt;=BankCostEnvelope*'5. Scenarios'!$D$7,1,0))</f>
        <v/>
      </c>
      <c r="R1304" s="57" t="str">
        <f aca="false">IF($N1304="","",INDEX(BookRate,1299)*(1+'5. Scenarios'!$D$10)*(INDEX(BookQ1,1299)*(5-MIN(4,1+'5. Scenarios'!$D$8))/4+INDEX(BookQ2,1299)*(5-MIN(4,2+'5. Scenarios'!$D$8))/4+INDEX(BookQ3,1299)*(5-MIN(4,3+'5. Scenarios'!$D$8))/4+INDEX(BookQ4,1299)*(5-MIN(4,4+'5. Scenarios'!$D$8))/4)*'5. Scenarios'!$D$6/(1+ProductivityDefault*('5. Scenarios'!$D$11-1))+INDEX(BookOneOff,1299)*$N1304)</f>
        <v/>
      </c>
      <c r="S1304" s="56" t="str">
        <f aca="false">IF(INDEX(BookTitle,1299)="","",INDEX(BookTotal,1299)*'5. Scenarios'!$E$6/(1+ProductivityDefault*('5. Scenarios'!$E$11-1)))</f>
        <v/>
      </c>
      <c r="T1304" s="57" t="str">
        <f aca="false">IF($S1304="","",INDEX(BookRate,1299)*(1+'5. Scenarios'!$E$10)*$S1304)</f>
        <v/>
      </c>
      <c r="U1304" s="57" t="str">
        <f aca="false">IF($T1304="","",SUMIFS($T$6:$T$2405,$A$6:$A$2405,"&lt;="&amp;$A1304))</f>
        <v/>
      </c>
      <c r="V1304" s="57" t="str">
        <f aca="false">IF($T1304="","",IF($U1304&lt;=BankCostEnvelope*'5. Scenarios'!$E$7,1,0))</f>
        <v/>
      </c>
      <c r="W1304" s="57" t="str">
        <f aca="false">IF($S1304="","",INDEX(BookRate,1299)*(1+'5. Scenarios'!$E$10)*(INDEX(BookQ1,1299)*(5-MIN(4,1+'5. Scenarios'!$E$8))/4+INDEX(BookQ2,1299)*(5-MIN(4,2+'5. Scenarios'!$E$8))/4+INDEX(BookQ3,1299)*(5-MIN(4,3+'5. Scenarios'!$E$8))/4+INDEX(BookQ4,1299)*(5-MIN(4,4+'5. Scenarios'!$E$8))/4)*'5. Scenarios'!$E$6/(1+ProductivityDefault*('5. Scenarios'!$E$11-1))+INDEX(BookOneOff,1299)*$S1304)</f>
        <v/>
      </c>
    </row>
    <row r="1305" customFormat="false" ht="15" hidden="false" customHeight="false" outlineLevel="0" collapsed="false">
      <c r="A1305" s="0" t="str">
        <f aca="false">IF(INDEX(BookTitle,1300)="","",INDEX(BookKey,1300))</f>
        <v/>
      </c>
      <c r="B1305" s="0" t="str">
        <f aca="false">IF(INDEX(BookTitle,1300)="","",INDEX(BookGroup,1300))</f>
        <v/>
      </c>
      <c r="C1305" s="0" t="str">
        <f aca="false">IF(INDEX(BookTitle,1300)="","",INDEX(BookCategory,1300))</f>
        <v/>
      </c>
      <c r="D1305" s="56" t="str">
        <f aca="false">IF(INDEX(BookTitle,1300)="","",INDEX(BookTotal,1300)*'5. Scenarios'!$B$6/(1+ProductivityDefault*('5. Scenarios'!$B$11-1)))</f>
        <v/>
      </c>
      <c r="E1305" s="57" t="str">
        <f aca="false">IF($D1305="","",INDEX(BookRate,1300)*(1+'5. Scenarios'!$B$10)*$D1305)</f>
        <v/>
      </c>
      <c r="F1305" s="57" t="str">
        <f aca="false">IF($E1305="","",SUMIFS($E$6:$E$2405,$A$6:$A$2405,"&lt;="&amp;$A1305))</f>
        <v/>
      </c>
      <c r="G1305" s="57" t="str">
        <f aca="false">IF($E1305="","",IF($F1305&lt;=BankCostEnvelope*'5. Scenarios'!$B$7,1,0))</f>
        <v/>
      </c>
      <c r="H1305" s="57" t="str">
        <f aca="false">IF($D1305="","",INDEX(BookRate,1300)*(1+'5. Scenarios'!$B$10)*(INDEX(BookQ1,1300)*(5-MIN(4,1+'5. Scenarios'!$B$8))/4+INDEX(BookQ2,1300)*(5-MIN(4,2+'5. Scenarios'!$B$8))/4+INDEX(BookQ3,1300)*(5-MIN(4,3+'5. Scenarios'!$B$8))/4+INDEX(BookQ4,1300)*(5-MIN(4,4+'5. Scenarios'!$B$8))/4)*'5. Scenarios'!$B$6/(1+ProductivityDefault*('5. Scenarios'!$B$11-1))+INDEX(BookOneOff,1300)*$D1305)</f>
        <v/>
      </c>
      <c r="I1305" s="56" t="str">
        <f aca="false">IF(INDEX(BookTitle,1300)="","",INDEX(BookTotal,1300)*'5. Scenarios'!$C$6/(1+ProductivityDefault*('5. Scenarios'!$C$11-1)))</f>
        <v/>
      </c>
      <c r="J1305" s="57" t="str">
        <f aca="false">IF($I1305="","",INDEX(BookRate,1300)*(1+'5. Scenarios'!$C$10)*$I1305)</f>
        <v/>
      </c>
      <c r="K1305" s="57" t="str">
        <f aca="false">IF($J1305="","",SUMIFS($J$6:$J$2405,$A$6:$A$2405,"&lt;="&amp;$A1305))</f>
        <v/>
      </c>
      <c r="L1305" s="57" t="str">
        <f aca="false">IF($J1305="","",IF($K1305&lt;=BankCostEnvelope*'5. Scenarios'!$C$7,1,0))</f>
        <v/>
      </c>
      <c r="M1305" s="57" t="str">
        <f aca="false">IF($I1305="","",INDEX(BookRate,1300)*(1+'5. Scenarios'!$C$10)*(INDEX(BookQ1,1300)*(5-MIN(4,1+'5. Scenarios'!$C$8))/4+INDEX(BookQ2,1300)*(5-MIN(4,2+'5. Scenarios'!$C$8))/4+INDEX(BookQ3,1300)*(5-MIN(4,3+'5. Scenarios'!$C$8))/4+INDEX(BookQ4,1300)*(5-MIN(4,4+'5. Scenarios'!$C$8))/4)*'5. Scenarios'!$C$6/(1+ProductivityDefault*('5. Scenarios'!$C$11-1))+INDEX(BookOneOff,1300)*$I1305)</f>
        <v/>
      </c>
      <c r="N1305" s="56" t="str">
        <f aca="false">IF(INDEX(BookTitle,1300)="","",INDEX(BookTotal,1300)*'5. Scenarios'!$D$6/(1+ProductivityDefault*('5. Scenarios'!$D$11-1)))</f>
        <v/>
      </c>
      <c r="O1305" s="57" t="str">
        <f aca="false">IF($N1305="","",INDEX(BookRate,1300)*(1+'5. Scenarios'!$D$10)*$N1305)</f>
        <v/>
      </c>
      <c r="P1305" s="57" t="str">
        <f aca="false">IF($O1305="","",SUMIFS($O$6:$O$2405,$A$6:$A$2405,"&lt;="&amp;$A1305))</f>
        <v/>
      </c>
      <c r="Q1305" s="57" t="str">
        <f aca="false">IF($O1305="","",IF($P1305&lt;=BankCostEnvelope*'5. Scenarios'!$D$7,1,0))</f>
        <v/>
      </c>
      <c r="R1305" s="57" t="str">
        <f aca="false">IF($N1305="","",INDEX(BookRate,1300)*(1+'5. Scenarios'!$D$10)*(INDEX(BookQ1,1300)*(5-MIN(4,1+'5. Scenarios'!$D$8))/4+INDEX(BookQ2,1300)*(5-MIN(4,2+'5. Scenarios'!$D$8))/4+INDEX(BookQ3,1300)*(5-MIN(4,3+'5. Scenarios'!$D$8))/4+INDEX(BookQ4,1300)*(5-MIN(4,4+'5. Scenarios'!$D$8))/4)*'5. Scenarios'!$D$6/(1+ProductivityDefault*('5. Scenarios'!$D$11-1))+INDEX(BookOneOff,1300)*$N1305)</f>
        <v/>
      </c>
      <c r="S1305" s="56" t="str">
        <f aca="false">IF(INDEX(BookTitle,1300)="","",INDEX(BookTotal,1300)*'5. Scenarios'!$E$6/(1+ProductivityDefault*('5. Scenarios'!$E$11-1)))</f>
        <v/>
      </c>
      <c r="T1305" s="57" t="str">
        <f aca="false">IF($S1305="","",INDEX(BookRate,1300)*(1+'5. Scenarios'!$E$10)*$S1305)</f>
        <v/>
      </c>
      <c r="U1305" s="57" t="str">
        <f aca="false">IF($T1305="","",SUMIFS($T$6:$T$2405,$A$6:$A$2405,"&lt;="&amp;$A1305))</f>
        <v/>
      </c>
      <c r="V1305" s="57" t="str">
        <f aca="false">IF($T1305="","",IF($U1305&lt;=BankCostEnvelope*'5. Scenarios'!$E$7,1,0))</f>
        <v/>
      </c>
      <c r="W1305" s="57" t="str">
        <f aca="false">IF($S1305="","",INDEX(BookRate,1300)*(1+'5. Scenarios'!$E$10)*(INDEX(BookQ1,1300)*(5-MIN(4,1+'5. Scenarios'!$E$8))/4+INDEX(BookQ2,1300)*(5-MIN(4,2+'5. Scenarios'!$E$8))/4+INDEX(BookQ3,1300)*(5-MIN(4,3+'5. Scenarios'!$E$8))/4+INDEX(BookQ4,1300)*(5-MIN(4,4+'5. Scenarios'!$E$8))/4)*'5. Scenarios'!$E$6/(1+ProductivityDefault*('5. Scenarios'!$E$11-1))+INDEX(BookOneOff,1300)*$S1305)</f>
        <v/>
      </c>
    </row>
    <row r="1306" customFormat="false" ht="15" hidden="false" customHeight="false" outlineLevel="0" collapsed="false">
      <c r="A1306" s="0" t="str">
        <f aca="false">IF(INDEX(BookTitle,1301)="","",INDEX(BookKey,1301))</f>
        <v/>
      </c>
      <c r="B1306" s="0" t="str">
        <f aca="false">IF(INDEX(BookTitle,1301)="","",INDEX(BookGroup,1301))</f>
        <v/>
      </c>
      <c r="C1306" s="0" t="str">
        <f aca="false">IF(INDEX(BookTitle,1301)="","",INDEX(BookCategory,1301))</f>
        <v/>
      </c>
      <c r="D1306" s="56" t="str">
        <f aca="false">IF(INDEX(BookTitle,1301)="","",INDEX(BookTotal,1301)*'5. Scenarios'!$B$6/(1+ProductivityDefault*('5. Scenarios'!$B$11-1)))</f>
        <v/>
      </c>
      <c r="E1306" s="57" t="str">
        <f aca="false">IF($D1306="","",INDEX(BookRate,1301)*(1+'5. Scenarios'!$B$10)*$D1306)</f>
        <v/>
      </c>
      <c r="F1306" s="57" t="str">
        <f aca="false">IF($E1306="","",SUMIFS($E$6:$E$2405,$A$6:$A$2405,"&lt;="&amp;$A1306))</f>
        <v/>
      </c>
      <c r="G1306" s="57" t="str">
        <f aca="false">IF($E1306="","",IF($F1306&lt;=BankCostEnvelope*'5. Scenarios'!$B$7,1,0))</f>
        <v/>
      </c>
      <c r="H1306" s="57" t="str">
        <f aca="false">IF($D1306="","",INDEX(BookRate,1301)*(1+'5. Scenarios'!$B$10)*(INDEX(BookQ1,1301)*(5-MIN(4,1+'5. Scenarios'!$B$8))/4+INDEX(BookQ2,1301)*(5-MIN(4,2+'5. Scenarios'!$B$8))/4+INDEX(BookQ3,1301)*(5-MIN(4,3+'5. Scenarios'!$B$8))/4+INDEX(BookQ4,1301)*(5-MIN(4,4+'5. Scenarios'!$B$8))/4)*'5. Scenarios'!$B$6/(1+ProductivityDefault*('5. Scenarios'!$B$11-1))+INDEX(BookOneOff,1301)*$D1306)</f>
        <v/>
      </c>
      <c r="I1306" s="56" t="str">
        <f aca="false">IF(INDEX(BookTitle,1301)="","",INDEX(BookTotal,1301)*'5. Scenarios'!$C$6/(1+ProductivityDefault*('5. Scenarios'!$C$11-1)))</f>
        <v/>
      </c>
      <c r="J1306" s="57" t="str">
        <f aca="false">IF($I1306="","",INDEX(BookRate,1301)*(1+'5. Scenarios'!$C$10)*$I1306)</f>
        <v/>
      </c>
      <c r="K1306" s="57" t="str">
        <f aca="false">IF($J1306="","",SUMIFS($J$6:$J$2405,$A$6:$A$2405,"&lt;="&amp;$A1306))</f>
        <v/>
      </c>
      <c r="L1306" s="57" t="str">
        <f aca="false">IF($J1306="","",IF($K1306&lt;=BankCostEnvelope*'5. Scenarios'!$C$7,1,0))</f>
        <v/>
      </c>
      <c r="M1306" s="57" t="str">
        <f aca="false">IF($I1306="","",INDEX(BookRate,1301)*(1+'5. Scenarios'!$C$10)*(INDEX(BookQ1,1301)*(5-MIN(4,1+'5. Scenarios'!$C$8))/4+INDEX(BookQ2,1301)*(5-MIN(4,2+'5. Scenarios'!$C$8))/4+INDEX(BookQ3,1301)*(5-MIN(4,3+'5. Scenarios'!$C$8))/4+INDEX(BookQ4,1301)*(5-MIN(4,4+'5. Scenarios'!$C$8))/4)*'5. Scenarios'!$C$6/(1+ProductivityDefault*('5. Scenarios'!$C$11-1))+INDEX(BookOneOff,1301)*$I1306)</f>
        <v/>
      </c>
      <c r="N1306" s="56" t="str">
        <f aca="false">IF(INDEX(BookTitle,1301)="","",INDEX(BookTotal,1301)*'5. Scenarios'!$D$6/(1+ProductivityDefault*('5. Scenarios'!$D$11-1)))</f>
        <v/>
      </c>
      <c r="O1306" s="57" t="str">
        <f aca="false">IF($N1306="","",INDEX(BookRate,1301)*(1+'5. Scenarios'!$D$10)*$N1306)</f>
        <v/>
      </c>
      <c r="P1306" s="57" t="str">
        <f aca="false">IF($O1306="","",SUMIFS($O$6:$O$2405,$A$6:$A$2405,"&lt;="&amp;$A1306))</f>
        <v/>
      </c>
      <c r="Q1306" s="57" t="str">
        <f aca="false">IF($O1306="","",IF($P1306&lt;=BankCostEnvelope*'5. Scenarios'!$D$7,1,0))</f>
        <v/>
      </c>
      <c r="R1306" s="57" t="str">
        <f aca="false">IF($N1306="","",INDEX(BookRate,1301)*(1+'5. Scenarios'!$D$10)*(INDEX(BookQ1,1301)*(5-MIN(4,1+'5. Scenarios'!$D$8))/4+INDEX(BookQ2,1301)*(5-MIN(4,2+'5. Scenarios'!$D$8))/4+INDEX(BookQ3,1301)*(5-MIN(4,3+'5. Scenarios'!$D$8))/4+INDEX(BookQ4,1301)*(5-MIN(4,4+'5. Scenarios'!$D$8))/4)*'5. Scenarios'!$D$6/(1+ProductivityDefault*('5. Scenarios'!$D$11-1))+INDEX(BookOneOff,1301)*$N1306)</f>
        <v/>
      </c>
      <c r="S1306" s="56" t="str">
        <f aca="false">IF(INDEX(BookTitle,1301)="","",INDEX(BookTotal,1301)*'5. Scenarios'!$E$6/(1+ProductivityDefault*('5. Scenarios'!$E$11-1)))</f>
        <v/>
      </c>
      <c r="T1306" s="57" t="str">
        <f aca="false">IF($S1306="","",INDEX(BookRate,1301)*(1+'5. Scenarios'!$E$10)*$S1306)</f>
        <v/>
      </c>
      <c r="U1306" s="57" t="str">
        <f aca="false">IF($T1306="","",SUMIFS($T$6:$T$2405,$A$6:$A$2405,"&lt;="&amp;$A1306))</f>
        <v/>
      </c>
      <c r="V1306" s="57" t="str">
        <f aca="false">IF($T1306="","",IF($U1306&lt;=BankCostEnvelope*'5. Scenarios'!$E$7,1,0))</f>
        <v/>
      </c>
      <c r="W1306" s="57" t="str">
        <f aca="false">IF($S1306="","",INDEX(BookRate,1301)*(1+'5. Scenarios'!$E$10)*(INDEX(BookQ1,1301)*(5-MIN(4,1+'5. Scenarios'!$E$8))/4+INDEX(BookQ2,1301)*(5-MIN(4,2+'5. Scenarios'!$E$8))/4+INDEX(BookQ3,1301)*(5-MIN(4,3+'5. Scenarios'!$E$8))/4+INDEX(BookQ4,1301)*(5-MIN(4,4+'5. Scenarios'!$E$8))/4)*'5. Scenarios'!$E$6/(1+ProductivityDefault*('5. Scenarios'!$E$11-1))+INDEX(BookOneOff,1301)*$S1306)</f>
        <v/>
      </c>
    </row>
    <row r="1307" customFormat="false" ht="15" hidden="false" customHeight="false" outlineLevel="0" collapsed="false">
      <c r="A1307" s="0" t="str">
        <f aca="false">IF(INDEX(BookTitle,1302)="","",INDEX(BookKey,1302))</f>
        <v/>
      </c>
      <c r="B1307" s="0" t="str">
        <f aca="false">IF(INDEX(BookTitle,1302)="","",INDEX(BookGroup,1302))</f>
        <v/>
      </c>
      <c r="C1307" s="0" t="str">
        <f aca="false">IF(INDEX(BookTitle,1302)="","",INDEX(BookCategory,1302))</f>
        <v/>
      </c>
      <c r="D1307" s="56" t="str">
        <f aca="false">IF(INDEX(BookTitle,1302)="","",INDEX(BookTotal,1302)*'5. Scenarios'!$B$6/(1+ProductivityDefault*('5. Scenarios'!$B$11-1)))</f>
        <v/>
      </c>
      <c r="E1307" s="57" t="str">
        <f aca="false">IF($D1307="","",INDEX(BookRate,1302)*(1+'5. Scenarios'!$B$10)*$D1307)</f>
        <v/>
      </c>
      <c r="F1307" s="57" t="str">
        <f aca="false">IF($E1307="","",SUMIFS($E$6:$E$2405,$A$6:$A$2405,"&lt;="&amp;$A1307))</f>
        <v/>
      </c>
      <c r="G1307" s="57" t="str">
        <f aca="false">IF($E1307="","",IF($F1307&lt;=BankCostEnvelope*'5. Scenarios'!$B$7,1,0))</f>
        <v/>
      </c>
      <c r="H1307" s="57" t="str">
        <f aca="false">IF($D1307="","",INDEX(BookRate,1302)*(1+'5. Scenarios'!$B$10)*(INDEX(BookQ1,1302)*(5-MIN(4,1+'5. Scenarios'!$B$8))/4+INDEX(BookQ2,1302)*(5-MIN(4,2+'5. Scenarios'!$B$8))/4+INDEX(BookQ3,1302)*(5-MIN(4,3+'5. Scenarios'!$B$8))/4+INDEX(BookQ4,1302)*(5-MIN(4,4+'5. Scenarios'!$B$8))/4)*'5. Scenarios'!$B$6/(1+ProductivityDefault*('5. Scenarios'!$B$11-1))+INDEX(BookOneOff,1302)*$D1307)</f>
        <v/>
      </c>
      <c r="I1307" s="56" t="str">
        <f aca="false">IF(INDEX(BookTitle,1302)="","",INDEX(BookTotal,1302)*'5. Scenarios'!$C$6/(1+ProductivityDefault*('5. Scenarios'!$C$11-1)))</f>
        <v/>
      </c>
      <c r="J1307" s="57" t="str">
        <f aca="false">IF($I1307="","",INDEX(BookRate,1302)*(1+'5. Scenarios'!$C$10)*$I1307)</f>
        <v/>
      </c>
      <c r="K1307" s="57" t="str">
        <f aca="false">IF($J1307="","",SUMIFS($J$6:$J$2405,$A$6:$A$2405,"&lt;="&amp;$A1307))</f>
        <v/>
      </c>
      <c r="L1307" s="57" t="str">
        <f aca="false">IF($J1307="","",IF($K1307&lt;=BankCostEnvelope*'5. Scenarios'!$C$7,1,0))</f>
        <v/>
      </c>
      <c r="M1307" s="57" t="str">
        <f aca="false">IF($I1307="","",INDEX(BookRate,1302)*(1+'5. Scenarios'!$C$10)*(INDEX(BookQ1,1302)*(5-MIN(4,1+'5. Scenarios'!$C$8))/4+INDEX(BookQ2,1302)*(5-MIN(4,2+'5. Scenarios'!$C$8))/4+INDEX(BookQ3,1302)*(5-MIN(4,3+'5. Scenarios'!$C$8))/4+INDEX(BookQ4,1302)*(5-MIN(4,4+'5. Scenarios'!$C$8))/4)*'5. Scenarios'!$C$6/(1+ProductivityDefault*('5. Scenarios'!$C$11-1))+INDEX(BookOneOff,1302)*$I1307)</f>
        <v/>
      </c>
      <c r="N1307" s="56" t="str">
        <f aca="false">IF(INDEX(BookTitle,1302)="","",INDEX(BookTotal,1302)*'5. Scenarios'!$D$6/(1+ProductivityDefault*('5. Scenarios'!$D$11-1)))</f>
        <v/>
      </c>
      <c r="O1307" s="57" t="str">
        <f aca="false">IF($N1307="","",INDEX(BookRate,1302)*(1+'5. Scenarios'!$D$10)*$N1307)</f>
        <v/>
      </c>
      <c r="P1307" s="57" t="str">
        <f aca="false">IF($O1307="","",SUMIFS($O$6:$O$2405,$A$6:$A$2405,"&lt;="&amp;$A1307))</f>
        <v/>
      </c>
      <c r="Q1307" s="57" t="str">
        <f aca="false">IF($O1307="","",IF($P1307&lt;=BankCostEnvelope*'5. Scenarios'!$D$7,1,0))</f>
        <v/>
      </c>
      <c r="R1307" s="57" t="str">
        <f aca="false">IF($N1307="","",INDEX(BookRate,1302)*(1+'5. Scenarios'!$D$10)*(INDEX(BookQ1,1302)*(5-MIN(4,1+'5. Scenarios'!$D$8))/4+INDEX(BookQ2,1302)*(5-MIN(4,2+'5. Scenarios'!$D$8))/4+INDEX(BookQ3,1302)*(5-MIN(4,3+'5. Scenarios'!$D$8))/4+INDEX(BookQ4,1302)*(5-MIN(4,4+'5. Scenarios'!$D$8))/4)*'5. Scenarios'!$D$6/(1+ProductivityDefault*('5. Scenarios'!$D$11-1))+INDEX(BookOneOff,1302)*$N1307)</f>
        <v/>
      </c>
      <c r="S1307" s="56" t="str">
        <f aca="false">IF(INDEX(BookTitle,1302)="","",INDEX(BookTotal,1302)*'5. Scenarios'!$E$6/(1+ProductivityDefault*('5. Scenarios'!$E$11-1)))</f>
        <v/>
      </c>
      <c r="T1307" s="57" t="str">
        <f aca="false">IF($S1307="","",INDEX(BookRate,1302)*(1+'5. Scenarios'!$E$10)*$S1307)</f>
        <v/>
      </c>
      <c r="U1307" s="57" t="str">
        <f aca="false">IF($T1307="","",SUMIFS($T$6:$T$2405,$A$6:$A$2405,"&lt;="&amp;$A1307))</f>
        <v/>
      </c>
      <c r="V1307" s="57" t="str">
        <f aca="false">IF($T1307="","",IF($U1307&lt;=BankCostEnvelope*'5. Scenarios'!$E$7,1,0))</f>
        <v/>
      </c>
      <c r="W1307" s="57" t="str">
        <f aca="false">IF($S1307="","",INDEX(BookRate,1302)*(1+'5. Scenarios'!$E$10)*(INDEX(BookQ1,1302)*(5-MIN(4,1+'5. Scenarios'!$E$8))/4+INDEX(BookQ2,1302)*(5-MIN(4,2+'5. Scenarios'!$E$8))/4+INDEX(BookQ3,1302)*(5-MIN(4,3+'5. Scenarios'!$E$8))/4+INDEX(BookQ4,1302)*(5-MIN(4,4+'5. Scenarios'!$E$8))/4)*'5. Scenarios'!$E$6/(1+ProductivityDefault*('5. Scenarios'!$E$11-1))+INDEX(BookOneOff,1302)*$S1307)</f>
        <v/>
      </c>
    </row>
    <row r="1308" customFormat="false" ht="15" hidden="false" customHeight="false" outlineLevel="0" collapsed="false">
      <c r="A1308" s="0" t="str">
        <f aca="false">IF(INDEX(BookTitle,1303)="","",INDEX(BookKey,1303))</f>
        <v/>
      </c>
      <c r="B1308" s="0" t="str">
        <f aca="false">IF(INDEX(BookTitle,1303)="","",INDEX(BookGroup,1303))</f>
        <v/>
      </c>
      <c r="C1308" s="0" t="str">
        <f aca="false">IF(INDEX(BookTitle,1303)="","",INDEX(BookCategory,1303))</f>
        <v/>
      </c>
      <c r="D1308" s="56" t="str">
        <f aca="false">IF(INDEX(BookTitle,1303)="","",INDEX(BookTotal,1303)*'5. Scenarios'!$B$6/(1+ProductivityDefault*('5. Scenarios'!$B$11-1)))</f>
        <v/>
      </c>
      <c r="E1308" s="57" t="str">
        <f aca="false">IF($D1308="","",INDEX(BookRate,1303)*(1+'5. Scenarios'!$B$10)*$D1308)</f>
        <v/>
      </c>
      <c r="F1308" s="57" t="str">
        <f aca="false">IF($E1308="","",SUMIFS($E$6:$E$2405,$A$6:$A$2405,"&lt;="&amp;$A1308))</f>
        <v/>
      </c>
      <c r="G1308" s="57" t="str">
        <f aca="false">IF($E1308="","",IF($F1308&lt;=BankCostEnvelope*'5. Scenarios'!$B$7,1,0))</f>
        <v/>
      </c>
      <c r="H1308" s="57" t="str">
        <f aca="false">IF($D1308="","",INDEX(BookRate,1303)*(1+'5. Scenarios'!$B$10)*(INDEX(BookQ1,1303)*(5-MIN(4,1+'5. Scenarios'!$B$8))/4+INDEX(BookQ2,1303)*(5-MIN(4,2+'5. Scenarios'!$B$8))/4+INDEX(BookQ3,1303)*(5-MIN(4,3+'5. Scenarios'!$B$8))/4+INDEX(BookQ4,1303)*(5-MIN(4,4+'5. Scenarios'!$B$8))/4)*'5. Scenarios'!$B$6/(1+ProductivityDefault*('5. Scenarios'!$B$11-1))+INDEX(BookOneOff,1303)*$D1308)</f>
        <v/>
      </c>
      <c r="I1308" s="56" t="str">
        <f aca="false">IF(INDEX(BookTitle,1303)="","",INDEX(BookTotal,1303)*'5. Scenarios'!$C$6/(1+ProductivityDefault*('5. Scenarios'!$C$11-1)))</f>
        <v/>
      </c>
      <c r="J1308" s="57" t="str">
        <f aca="false">IF($I1308="","",INDEX(BookRate,1303)*(1+'5. Scenarios'!$C$10)*$I1308)</f>
        <v/>
      </c>
      <c r="K1308" s="57" t="str">
        <f aca="false">IF($J1308="","",SUMIFS($J$6:$J$2405,$A$6:$A$2405,"&lt;="&amp;$A1308))</f>
        <v/>
      </c>
      <c r="L1308" s="57" t="str">
        <f aca="false">IF($J1308="","",IF($K1308&lt;=BankCostEnvelope*'5. Scenarios'!$C$7,1,0))</f>
        <v/>
      </c>
      <c r="M1308" s="57" t="str">
        <f aca="false">IF($I1308="","",INDEX(BookRate,1303)*(1+'5. Scenarios'!$C$10)*(INDEX(BookQ1,1303)*(5-MIN(4,1+'5. Scenarios'!$C$8))/4+INDEX(BookQ2,1303)*(5-MIN(4,2+'5. Scenarios'!$C$8))/4+INDEX(BookQ3,1303)*(5-MIN(4,3+'5. Scenarios'!$C$8))/4+INDEX(BookQ4,1303)*(5-MIN(4,4+'5. Scenarios'!$C$8))/4)*'5. Scenarios'!$C$6/(1+ProductivityDefault*('5. Scenarios'!$C$11-1))+INDEX(BookOneOff,1303)*$I1308)</f>
        <v/>
      </c>
      <c r="N1308" s="56" t="str">
        <f aca="false">IF(INDEX(BookTitle,1303)="","",INDEX(BookTotal,1303)*'5. Scenarios'!$D$6/(1+ProductivityDefault*('5. Scenarios'!$D$11-1)))</f>
        <v/>
      </c>
      <c r="O1308" s="57" t="str">
        <f aca="false">IF($N1308="","",INDEX(BookRate,1303)*(1+'5. Scenarios'!$D$10)*$N1308)</f>
        <v/>
      </c>
      <c r="P1308" s="57" t="str">
        <f aca="false">IF($O1308="","",SUMIFS($O$6:$O$2405,$A$6:$A$2405,"&lt;="&amp;$A1308))</f>
        <v/>
      </c>
      <c r="Q1308" s="57" t="str">
        <f aca="false">IF($O1308="","",IF($P1308&lt;=BankCostEnvelope*'5. Scenarios'!$D$7,1,0))</f>
        <v/>
      </c>
      <c r="R1308" s="57" t="str">
        <f aca="false">IF($N1308="","",INDEX(BookRate,1303)*(1+'5. Scenarios'!$D$10)*(INDEX(BookQ1,1303)*(5-MIN(4,1+'5. Scenarios'!$D$8))/4+INDEX(BookQ2,1303)*(5-MIN(4,2+'5. Scenarios'!$D$8))/4+INDEX(BookQ3,1303)*(5-MIN(4,3+'5. Scenarios'!$D$8))/4+INDEX(BookQ4,1303)*(5-MIN(4,4+'5. Scenarios'!$D$8))/4)*'5. Scenarios'!$D$6/(1+ProductivityDefault*('5. Scenarios'!$D$11-1))+INDEX(BookOneOff,1303)*$N1308)</f>
        <v/>
      </c>
      <c r="S1308" s="56" t="str">
        <f aca="false">IF(INDEX(BookTitle,1303)="","",INDEX(BookTotal,1303)*'5. Scenarios'!$E$6/(1+ProductivityDefault*('5. Scenarios'!$E$11-1)))</f>
        <v/>
      </c>
      <c r="T1308" s="57" t="str">
        <f aca="false">IF($S1308="","",INDEX(BookRate,1303)*(1+'5. Scenarios'!$E$10)*$S1308)</f>
        <v/>
      </c>
      <c r="U1308" s="57" t="str">
        <f aca="false">IF($T1308="","",SUMIFS($T$6:$T$2405,$A$6:$A$2405,"&lt;="&amp;$A1308))</f>
        <v/>
      </c>
      <c r="V1308" s="57" t="str">
        <f aca="false">IF($T1308="","",IF($U1308&lt;=BankCostEnvelope*'5. Scenarios'!$E$7,1,0))</f>
        <v/>
      </c>
      <c r="W1308" s="57" t="str">
        <f aca="false">IF($S1308="","",INDEX(BookRate,1303)*(1+'5. Scenarios'!$E$10)*(INDEX(BookQ1,1303)*(5-MIN(4,1+'5. Scenarios'!$E$8))/4+INDEX(BookQ2,1303)*(5-MIN(4,2+'5. Scenarios'!$E$8))/4+INDEX(BookQ3,1303)*(5-MIN(4,3+'5. Scenarios'!$E$8))/4+INDEX(BookQ4,1303)*(5-MIN(4,4+'5. Scenarios'!$E$8))/4)*'5. Scenarios'!$E$6/(1+ProductivityDefault*('5. Scenarios'!$E$11-1))+INDEX(BookOneOff,1303)*$S1308)</f>
        <v/>
      </c>
    </row>
    <row r="1309" customFormat="false" ht="15" hidden="false" customHeight="false" outlineLevel="0" collapsed="false">
      <c r="A1309" s="0" t="str">
        <f aca="false">IF(INDEX(BookTitle,1304)="","",INDEX(BookKey,1304))</f>
        <v/>
      </c>
      <c r="B1309" s="0" t="str">
        <f aca="false">IF(INDEX(BookTitle,1304)="","",INDEX(BookGroup,1304))</f>
        <v/>
      </c>
      <c r="C1309" s="0" t="str">
        <f aca="false">IF(INDEX(BookTitle,1304)="","",INDEX(BookCategory,1304))</f>
        <v/>
      </c>
      <c r="D1309" s="56" t="str">
        <f aca="false">IF(INDEX(BookTitle,1304)="","",INDEX(BookTotal,1304)*'5. Scenarios'!$B$6/(1+ProductivityDefault*('5. Scenarios'!$B$11-1)))</f>
        <v/>
      </c>
      <c r="E1309" s="57" t="str">
        <f aca="false">IF($D1309="","",INDEX(BookRate,1304)*(1+'5. Scenarios'!$B$10)*$D1309)</f>
        <v/>
      </c>
      <c r="F1309" s="57" t="str">
        <f aca="false">IF($E1309="","",SUMIFS($E$6:$E$2405,$A$6:$A$2405,"&lt;="&amp;$A1309))</f>
        <v/>
      </c>
      <c r="G1309" s="57" t="str">
        <f aca="false">IF($E1309="","",IF($F1309&lt;=BankCostEnvelope*'5. Scenarios'!$B$7,1,0))</f>
        <v/>
      </c>
      <c r="H1309" s="57" t="str">
        <f aca="false">IF($D1309="","",INDEX(BookRate,1304)*(1+'5. Scenarios'!$B$10)*(INDEX(BookQ1,1304)*(5-MIN(4,1+'5. Scenarios'!$B$8))/4+INDEX(BookQ2,1304)*(5-MIN(4,2+'5. Scenarios'!$B$8))/4+INDEX(BookQ3,1304)*(5-MIN(4,3+'5. Scenarios'!$B$8))/4+INDEX(BookQ4,1304)*(5-MIN(4,4+'5. Scenarios'!$B$8))/4)*'5. Scenarios'!$B$6/(1+ProductivityDefault*('5. Scenarios'!$B$11-1))+INDEX(BookOneOff,1304)*$D1309)</f>
        <v/>
      </c>
      <c r="I1309" s="56" t="str">
        <f aca="false">IF(INDEX(BookTitle,1304)="","",INDEX(BookTotal,1304)*'5. Scenarios'!$C$6/(1+ProductivityDefault*('5. Scenarios'!$C$11-1)))</f>
        <v/>
      </c>
      <c r="J1309" s="57" t="str">
        <f aca="false">IF($I1309="","",INDEX(BookRate,1304)*(1+'5. Scenarios'!$C$10)*$I1309)</f>
        <v/>
      </c>
      <c r="K1309" s="57" t="str">
        <f aca="false">IF($J1309="","",SUMIFS($J$6:$J$2405,$A$6:$A$2405,"&lt;="&amp;$A1309))</f>
        <v/>
      </c>
      <c r="L1309" s="57" t="str">
        <f aca="false">IF($J1309="","",IF($K1309&lt;=BankCostEnvelope*'5. Scenarios'!$C$7,1,0))</f>
        <v/>
      </c>
      <c r="M1309" s="57" t="str">
        <f aca="false">IF($I1309="","",INDEX(BookRate,1304)*(1+'5. Scenarios'!$C$10)*(INDEX(BookQ1,1304)*(5-MIN(4,1+'5. Scenarios'!$C$8))/4+INDEX(BookQ2,1304)*(5-MIN(4,2+'5. Scenarios'!$C$8))/4+INDEX(BookQ3,1304)*(5-MIN(4,3+'5. Scenarios'!$C$8))/4+INDEX(BookQ4,1304)*(5-MIN(4,4+'5. Scenarios'!$C$8))/4)*'5. Scenarios'!$C$6/(1+ProductivityDefault*('5. Scenarios'!$C$11-1))+INDEX(BookOneOff,1304)*$I1309)</f>
        <v/>
      </c>
      <c r="N1309" s="56" t="str">
        <f aca="false">IF(INDEX(BookTitle,1304)="","",INDEX(BookTotal,1304)*'5. Scenarios'!$D$6/(1+ProductivityDefault*('5. Scenarios'!$D$11-1)))</f>
        <v/>
      </c>
      <c r="O1309" s="57" t="str">
        <f aca="false">IF($N1309="","",INDEX(BookRate,1304)*(1+'5. Scenarios'!$D$10)*$N1309)</f>
        <v/>
      </c>
      <c r="P1309" s="57" t="str">
        <f aca="false">IF($O1309="","",SUMIFS($O$6:$O$2405,$A$6:$A$2405,"&lt;="&amp;$A1309))</f>
        <v/>
      </c>
      <c r="Q1309" s="57" t="str">
        <f aca="false">IF($O1309="","",IF($P1309&lt;=BankCostEnvelope*'5. Scenarios'!$D$7,1,0))</f>
        <v/>
      </c>
      <c r="R1309" s="57" t="str">
        <f aca="false">IF($N1309="","",INDEX(BookRate,1304)*(1+'5. Scenarios'!$D$10)*(INDEX(BookQ1,1304)*(5-MIN(4,1+'5. Scenarios'!$D$8))/4+INDEX(BookQ2,1304)*(5-MIN(4,2+'5. Scenarios'!$D$8))/4+INDEX(BookQ3,1304)*(5-MIN(4,3+'5. Scenarios'!$D$8))/4+INDEX(BookQ4,1304)*(5-MIN(4,4+'5. Scenarios'!$D$8))/4)*'5. Scenarios'!$D$6/(1+ProductivityDefault*('5. Scenarios'!$D$11-1))+INDEX(BookOneOff,1304)*$N1309)</f>
        <v/>
      </c>
      <c r="S1309" s="56" t="str">
        <f aca="false">IF(INDEX(BookTitle,1304)="","",INDEX(BookTotal,1304)*'5. Scenarios'!$E$6/(1+ProductivityDefault*('5. Scenarios'!$E$11-1)))</f>
        <v/>
      </c>
      <c r="T1309" s="57" t="str">
        <f aca="false">IF($S1309="","",INDEX(BookRate,1304)*(1+'5. Scenarios'!$E$10)*$S1309)</f>
        <v/>
      </c>
      <c r="U1309" s="57" t="str">
        <f aca="false">IF($T1309="","",SUMIFS($T$6:$T$2405,$A$6:$A$2405,"&lt;="&amp;$A1309))</f>
        <v/>
      </c>
      <c r="V1309" s="57" t="str">
        <f aca="false">IF($T1309="","",IF($U1309&lt;=BankCostEnvelope*'5. Scenarios'!$E$7,1,0))</f>
        <v/>
      </c>
      <c r="W1309" s="57" t="str">
        <f aca="false">IF($S1309="","",INDEX(BookRate,1304)*(1+'5. Scenarios'!$E$10)*(INDEX(BookQ1,1304)*(5-MIN(4,1+'5. Scenarios'!$E$8))/4+INDEX(BookQ2,1304)*(5-MIN(4,2+'5. Scenarios'!$E$8))/4+INDEX(BookQ3,1304)*(5-MIN(4,3+'5. Scenarios'!$E$8))/4+INDEX(BookQ4,1304)*(5-MIN(4,4+'5. Scenarios'!$E$8))/4)*'5. Scenarios'!$E$6/(1+ProductivityDefault*('5. Scenarios'!$E$11-1))+INDEX(BookOneOff,1304)*$S1309)</f>
        <v/>
      </c>
    </row>
    <row r="1310" customFormat="false" ht="15" hidden="false" customHeight="false" outlineLevel="0" collapsed="false">
      <c r="A1310" s="0" t="str">
        <f aca="false">IF(INDEX(BookTitle,1305)="","",INDEX(BookKey,1305))</f>
        <v/>
      </c>
      <c r="B1310" s="0" t="str">
        <f aca="false">IF(INDEX(BookTitle,1305)="","",INDEX(BookGroup,1305))</f>
        <v/>
      </c>
      <c r="C1310" s="0" t="str">
        <f aca="false">IF(INDEX(BookTitle,1305)="","",INDEX(BookCategory,1305))</f>
        <v/>
      </c>
      <c r="D1310" s="56" t="str">
        <f aca="false">IF(INDEX(BookTitle,1305)="","",INDEX(BookTotal,1305)*'5. Scenarios'!$B$6/(1+ProductivityDefault*('5. Scenarios'!$B$11-1)))</f>
        <v/>
      </c>
      <c r="E1310" s="57" t="str">
        <f aca="false">IF($D1310="","",INDEX(BookRate,1305)*(1+'5. Scenarios'!$B$10)*$D1310)</f>
        <v/>
      </c>
      <c r="F1310" s="57" t="str">
        <f aca="false">IF($E1310="","",SUMIFS($E$6:$E$2405,$A$6:$A$2405,"&lt;="&amp;$A1310))</f>
        <v/>
      </c>
      <c r="G1310" s="57" t="str">
        <f aca="false">IF($E1310="","",IF($F1310&lt;=BankCostEnvelope*'5. Scenarios'!$B$7,1,0))</f>
        <v/>
      </c>
      <c r="H1310" s="57" t="str">
        <f aca="false">IF($D1310="","",INDEX(BookRate,1305)*(1+'5. Scenarios'!$B$10)*(INDEX(BookQ1,1305)*(5-MIN(4,1+'5. Scenarios'!$B$8))/4+INDEX(BookQ2,1305)*(5-MIN(4,2+'5. Scenarios'!$B$8))/4+INDEX(BookQ3,1305)*(5-MIN(4,3+'5. Scenarios'!$B$8))/4+INDEX(BookQ4,1305)*(5-MIN(4,4+'5. Scenarios'!$B$8))/4)*'5. Scenarios'!$B$6/(1+ProductivityDefault*('5. Scenarios'!$B$11-1))+INDEX(BookOneOff,1305)*$D1310)</f>
        <v/>
      </c>
      <c r="I1310" s="56" t="str">
        <f aca="false">IF(INDEX(BookTitle,1305)="","",INDEX(BookTotal,1305)*'5. Scenarios'!$C$6/(1+ProductivityDefault*('5. Scenarios'!$C$11-1)))</f>
        <v/>
      </c>
      <c r="J1310" s="57" t="str">
        <f aca="false">IF($I1310="","",INDEX(BookRate,1305)*(1+'5. Scenarios'!$C$10)*$I1310)</f>
        <v/>
      </c>
      <c r="K1310" s="57" t="str">
        <f aca="false">IF($J1310="","",SUMIFS($J$6:$J$2405,$A$6:$A$2405,"&lt;="&amp;$A1310))</f>
        <v/>
      </c>
      <c r="L1310" s="57" t="str">
        <f aca="false">IF($J1310="","",IF($K1310&lt;=BankCostEnvelope*'5. Scenarios'!$C$7,1,0))</f>
        <v/>
      </c>
      <c r="M1310" s="57" t="str">
        <f aca="false">IF($I1310="","",INDEX(BookRate,1305)*(1+'5. Scenarios'!$C$10)*(INDEX(BookQ1,1305)*(5-MIN(4,1+'5. Scenarios'!$C$8))/4+INDEX(BookQ2,1305)*(5-MIN(4,2+'5. Scenarios'!$C$8))/4+INDEX(BookQ3,1305)*(5-MIN(4,3+'5. Scenarios'!$C$8))/4+INDEX(BookQ4,1305)*(5-MIN(4,4+'5. Scenarios'!$C$8))/4)*'5. Scenarios'!$C$6/(1+ProductivityDefault*('5. Scenarios'!$C$11-1))+INDEX(BookOneOff,1305)*$I1310)</f>
        <v/>
      </c>
      <c r="N1310" s="56" t="str">
        <f aca="false">IF(INDEX(BookTitle,1305)="","",INDEX(BookTotal,1305)*'5. Scenarios'!$D$6/(1+ProductivityDefault*('5. Scenarios'!$D$11-1)))</f>
        <v/>
      </c>
      <c r="O1310" s="57" t="str">
        <f aca="false">IF($N1310="","",INDEX(BookRate,1305)*(1+'5. Scenarios'!$D$10)*$N1310)</f>
        <v/>
      </c>
      <c r="P1310" s="57" t="str">
        <f aca="false">IF($O1310="","",SUMIFS($O$6:$O$2405,$A$6:$A$2405,"&lt;="&amp;$A1310))</f>
        <v/>
      </c>
      <c r="Q1310" s="57" t="str">
        <f aca="false">IF($O1310="","",IF($P1310&lt;=BankCostEnvelope*'5. Scenarios'!$D$7,1,0))</f>
        <v/>
      </c>
      <c r="R1310" s="57" t="str">
        <f aca="false">IF($N1310="","",INDEX(BookRate,1305)*(1+'5. Scenarios'!$D$10)*(INDEX(BookQ1,1305)*(5-MIN(4,1+'5. Scenarios'!$D$8))/4+INDEX(BookQ2,1305)*(5-MIN(4,2+'5. Scenarios'!$D$8))/4+INDEX(BookQ3,1305)*(5-MIN(4,3+'5. Scenarios'!$D$8))/4+INDEX(BookQ4,1305)*(5-MIN(4,4+'5. Scenarios'!$D$8))/4)*'5. Scenarios'!$D$6/(1+ProductivityDefault*('5. Scenarios'!$D$11-1))+INDEX(BookOneOff,1305)*$N1310)</f>
        <v/>
      </c>
      <c r="S1310" s="56" t="str">
        <f aca="false">IF(INDEX(BookTitle,1305)="","",INDEX(BookTotal,1305)*'5. Scenarios'!$E$6/(1+ProductivityDefault*('5. Scenarios'!$E$11-1)))</f>
        <v/>
      </c>
      <c r="T1310" s="57" t="str">
        <f aca="false">IF($S1310="","",INDEX(BookRate,1305)*(1+'5. Scenarios'!$E$10)*$S1310)</f>
        <v/>
      </c>
      <c r="U1310" s="57" t="str">
        <f aca="false">IF($T1310="","",SUMIFS($T$6:$T$2405,$A$6:$A$2405,"&lt;="&amp;$A1310))</f>
        <v/>
      </c>
      <c r="V1310" s="57" t="str">
        <f aca="false">IF($T1310="","",IF($U1310&lt;=BankCostEnvelope*'5. Scenarios'!$E$7,1,0))</f>
        <v/>
      </c>
      <c r="W1310" s="57" t="str">
        <f aca="false">IF($S1310="","",INDEX(BookRate,1305)*(1+'5. Scenarios'!$E$10)*(INDEX(BookQ1,1305)*(5-MIN(4,1+'5. Scenarios'!$E$8))/4+INDEX(BookQ2,1305)*(5-MIN(4,2+'5. Scenarios'!$E$8))/4+INDEX(BookQ3,1305)*(5-MIN(4,3+'5. Scenarios'!$E$8))/4+INDEX(BookQ4,1305)*(5-MIN(4,4+'5. Scenarios'!$E$8))/4)*'5. Scenarios'!$E$6/(1+ProductivityDefault*('5. Scenarios'!$E$11-1))+INDEX(BookOneOff,1305)*$S1310)</f>
        <v/>
      </c>
    </row>
    <row r="1311" customFormat="false" ht="15" hidden="false" customHeight="false" outlineLevel="0" collapsed="false">
      <c r="A1311" s="0" t="str">
        <f aca="false">IF(INDEX(BookTitle,1306)="","",INDEX(BookKey,1306))</f>
        <v/>
      </c>
      <c r="B1311" s="0" t="str">
        <f aca="false">IF(INDEX(BookTitle,1306)="","",INDEX(BookGroup,1306))</f>
        <v/>
      </c>
      <c r="C1311" s="0" t="str">
        <f aca="false">IF(INDEX(BookTitle,1306)="","",INDEX(BookCategory,1306))</f>
        <v/>
      </c>
      <c r="D1311" s="56" t="str">
        <f aca="false">IF(INDEX(BookTitle,1306)="","",INDEX(BookTotal,1306)*'5. Scenarios'!$B$6/(1+ProductivityDefault*('5. Scenarios'!$B$11-1)))</f>
        <v/>
      </c>
      <c r="E1311" s="57" t="str">
        <f aca="false">IF($D1311="","",INDEX(BookRate,1306)*(1+'5. Scenarios'!$B$10)*$D1311)</f>
        <v/>
      </c>
      <c r="F1311" s="57" t="str">
        <f aca="false">IF($E1311="","",SUMIFS($E$6:$E$2405,$A$6:$A$2405,"&lt;="&amp;$A1311))</f>
        <v/>
      </c>
      <c r="G1311" s="57" t="str">
        <f aca="false">IF($E1311="","",IF($F1311&lt;=BankCostEnvelope*'5. Scenarios'!$B$7,1,0))</f>
        <v/>
      </c>
      <c r="H1311" s="57" t="str">
        <f aca="false">IF($D1311="","",INDEX(BookRate,1306)*(1+'5. Scenarios'!$B$10)*(INDEX(BookQ1,1306)*(5-MIN(4,1+'5. Scenarios'!$B$8))/4+INDEX(BookQ2,1306)*(5-MIN(4,2+'5. Scenarios'!$B$8))/4+INDEX(BookQ3,1306)*(5-MIN(4,3+'5. Scenarios'!$B$8))/4+INDEX(BookQ4,1306)*(5-MIN(4,4+'5. Scenarios'!$B$8))/4)*'5. Scenarios'!$B$6/(1+ProductivityDefault*('5. Scenarios'!$B$11-1))+INDEX(BookOneOff,1306)*$D1311)</f>
        <v/>
      </c>
      <c r="I1311" s="56" t="str">
        <f aca="false">IF(INDEX(BookTitle,1306)="","",INDEX(BookTotal,1306)*'5. Scenarios'!$C$6/(1+ProductivityDefault*('5. Scenarios'!$C$11-1)))</f>
        <v/>
      </c>
      <c r="J1311" s="57" t="str">
        <f aca="false">IF($I1311="","",INDEX(BookRate,1306)*(1+'5. Scenarios'!$C$10)*$I1311)</f>
        <v/>
      </c>
      <c r="K1311" s="57" t="str">
        <f aca="false">IF($J1311="","",SUMIFS($J$6:$J$2405,$A$6:$A$2405,"&lt;="&amp;$A1311))</f>
        <v/>
      </c>
      <c r="L1311" s="57" t="str">
        <f aca="false">IF($J1311="","",IF($K1311&lt;=BankCostEnvelope*'5. Scenarios'!$C$7,1,0))</f>
        <v/>
      </c>
      <c r="M1311" s="57" t="str">
        <f aca="false">IF($I1311="","",INDEX(BookRate,1306)*(1+'5. Scenarios'!$C$10)*(INDEX(BookQ1,1306)*(5-MIN(4,1+'5. Scenarios'!$C$8))/4+INDEX(BookQ2,1306)*(5-MIN(4,2+'5. Scenarios'!$C$8))/4+INDEX(BookQ3,1306)*(5-MIN(4,3+'5. Scenarios'!$C$8))/4+INDEX(BookQ4,1306)*(5-MIN(4,4+'5. Scenarios'!$C$8))/4)*'5. Scenarios'!$C$6/(1+ProductivityDefault*('5. Scenarios'!$C$11-1))+INDEX(BookOneOff,1306)*$I1311)</f>
        <v/>
      </c>
      <c r="N1311" s="56" t="str">
        <f aca="false">IF(INDEX(BookTitle,1306)="","",INDEX(BookTotal,1306)*'5. Scenarios'!$D$6/(1+ProductivityDefault*('5. Scenarios'!$D$11-1)))</f>
        <v/>
      </c>
      <c r="O1311" s="57" t="str">
        <f aca="false">IF($N1311="","",INDEX(BookRate,1306)*(1+'5. Scenarios'!$D$10)*$N1311)</f>
        <v/>
      </c>
      <c r="P1311" s="57" t="str">
        <f aca="false">IF($O1311="","",SUMIFS($O$6:$O$2405,$A$6:$A$2405,"&lt;="&amp;$A1311))</f>
        <v/>
      </c>
      <c r="Q1311" s="57" t="str">
        <f aca="false">IF($O1311="","",IF($P1311&lt;=BankCostEnvelope*'5. Scenarios'!$D$7,1,0))</f>
        <v/>
      </c>
      <c r="R1311" s="57" t="str">
        <f aca="false">IF($N1311="","",INDEX(BookRate,1306)*(1+'5. Scenarios'!$D$10)*(INDEX(BookQ1,1306)*(5-MIN(4,1+'5. Scenarios'!$D$8))/4+INDEX(BookQ2,1306)*(5-MIN(4,2+'5. Scenarios'!$D$8))/4+INDEX(BookQ3,1306)*(5-MIN(4,3+'5. Scenarios'!$D$8))/4+INDEX(BookQ4,1306)*(5-MIN(4,4+'5. Scenarios'!$D$8))/4)*'5. Scenarios'!$D$6/(1+ProductivityDefault*('5. Scenarios'!$D$11-1))+INDEX(BookOneOff,1306)*$N1311)</f>
        <v/>
      </c>
      <c r="S1311" s="56" t="str">
        <f aca="false">IF(INDEX(BookTitle,1306)="","",INDEX(BookTotal,1306)*'5. Scenarios'!$E$6/(1+ProductivityDefault*('5. Scenarios'!$E$11-1)))</f>
        <v/>
      </c>
      <c r="T1311" s="57" t="str">
        <f aca="false">IF($S1311="","",INDEX(BookRate,1306)*(1+'5. Scenarios'!$E$10)*$S1311)</f>
        <v/>
      </c>
      <c r="U1311" s="57" t="str">
        <f aca="false">IF($T1311="","",SUMIFS($T$6:$T$2405,$A$6:$A$2405,"&lt;="&amp;$A1311))</f>
        <v/>
      </c>
      <c r="V1311" s="57" t="str">
        <f aca="false">IF($T1311="","",IF($U1311&lt;=BankCostEnvelope*'5. Scenarios'!$E$7,1,0))</f>
        <v/>
      </c>
      <c r="W1311" s="57" t="str">
        <f aca="false">IF($S1311="","",INDEX(BookRate,1306)*(1+'5. Scenarios'!$E$10)*(INDEX(BookQ1,1306)*(5-MIN(4,1+'5. Scenarios'!$E$8))/4+INDEX(BookQ2,1306)*(5-MIN(4,2+'5. Scenarios'!$E$8))/4+INDEX(BookQ3,1306)*(5-MIN(4,3+'5. Scenarios'!$E$8))/4+INDEX(BookQ4,1306)*(5-MIN(4,4+'5. Scenarios'!$E$8))/4)*'5. Scenarios'!$E$6/(1+ProductivityDefault*('5. Scenarios'!$E$11-1))+INDEX(BookOneOff,1306)*$S1311)</f>
        <v/>
      </c>
    </row>
    <row r="1312" customFormat="false" ht="15" hidden="false" customHeight="false" outlineLevel="0" collapsed="false">
      <c r="A1312" s="0" t="str">
        <f aca="false">IF(INDEX(BookTitle,1307)="","",INDEX(BookKey,1307))</f>
        <v/>
      </c>
      <c r="B1312" s="0" t="str">
        <f aca="false">IF(INDEX(BookTitle,1307)="","",INDEX(BookGroup,1307))</f>
        <v/>
      </c>
      <c r="C1312" s="0" t="str">
        <f aca="false">IF(INDEX(BookTitle,1307)="","",INDEX(BookCategory,1307))</f>
        <v/>
      </c>
      <c r="D1312" s="56" t="str">
        <f aca="false">IF(INDEX(BookTitle,1307)="","",INDEX(BookTotal,1307)*'5. Scenarios'!$B$6/(1+ProductivityDefault*('5. Scenarios'!$B$11-1)))</f>
        <v/>
      </c>
      <c r="E1312" s="57" t="str">
        <f aca="false">IF($D1312="","",INDEX(BookRate,1307)*(1+'5. Scenarios'!$B$10)*$D1312)</f>
        <v/>
      </c>
      <c r="F1312" s="57" t="str">
        <f aca="false">IF($E1312="","",SUMIFS($E$6:$E$2405,$A$6:$A$2405,"&lt;="&amp;$A1312))</f>
        <v/>
      </c>
      <c r="G1312" s="57" t="str">
        <f aca="false">IF($E1312="","",IF($F1312&lt;=BankCostEnvelope*'5. Scenarios'!$B$7,1,0))</f>
        <v/>
      </c>
      <c r="H1312" s="57" t="str">
        <f aca="false">IF($D1312="","",INDEX(BookRate,1307)*(1+'5. Scenarios'!$B$10)*(INDEX(BookQ1,1307)*(5-MIN(4,1+'5. Scenarios'!$B$8))/4+INDEX(BookQ2,1307)*(5-MIN(4,2+'5. Scenarios'!$B$8))/4+INDEX(BookQ3,1307)*(5-MIN(4,3+'5. Scenarios'!$B$8))/4+INDEX(BookQ4,1307)*(5-MIN(4,4+'5. Scenarios'!$B$8))/4)*'5. Scenarios'!$B$6/(1+ProductivityDefault*('5. Scenarios'!$B$11-1))+INDEX(BookOneOff,1307)*$D1312)</f>
        <v/>
      </c>
      <c r="I1312" s="56" t="str">
        <f aca="false">IF(INDEX(BookTitle,1307)="","",INDEX(BookTotal,1307)*'5. Scenarios'!$C$6/(1+ProductivityDefault*('5. Scenarios'!$C$11-1)))</f>
        <v/>
      </c>
      <c r="J1312" s="57" t="str">
        <f aca="false">IF($I1312="","",INDEX(BookRate,1307)*(1+'5. Scenarios'!$C$10)*$I1312)</f>
        <v/>
      </c>
      <c r="K1312" s="57" t="str">
        <f aca="false">IF($J1312="","",SUMIFS($J$6:$J$2405,$A$6:$A$2405,"&lt;="&amp;$A1312))</f>
        <v/>
      </c>
      <c r="L1312" s="57" t="str">
        <f aca="false">IF($J1312="","",IF($K1312&lt;=BankCostEnvelope*'5. Scenarios'!$C$7,1,0))</f>
        <v/>
      </c>
      <c r="M1312" s="57" t="str">
        <f aca="false">IF($I1312="","",INDEX(BookRate,1307)*(1+'5. Scenarios'!$C$10)*(INDEX(BookQ1,1307)*(5-MIN(4,1+'5. Scenarios'!$C$8))/4+INDEX(BookQ2,1307)*(5-MIN(4,2+'5. Scenarios'!$C$8))/4+INDEX(BookQ3,1307)*(5-MIN(4,3+'5. Scenarios'!$C$8))/4+INDEX(BookQ4,1307)*(5-MIN(4,4+'5. Scenarios'!$C$8))/4)*'5. Scenarios'!$C$6/(1+ProductivityDefault*('5. Scenarios'!$C$11-1))+INDEX(BookOneOff,1307)*$I1312)</f>
        <v/>
      </c>
      <c r="N1312" s="56" t="str">
        <f aca="false">IF(INDEX(BookTitle,1307)="","",INDEX(BookTotal,1307)*'5. Scenarios'!$D$6/(1+ProductivityDefault*('5. Scenarios'!$D$11-1)))</f>
        <v/>
      </c>
      <c r="O1312" s="57" t="str">
        <f aca="false">IF($N1312="","",INDEX(BookRate,1307)*(1+'5. Scenarios'!$D$10)*$N1312)</f>
        <v/>
      </c>
      <c r="P1312" s="57" t="str">
        <f aca="false">IF($O1312="","",SUMIFS($O$6:$O$2405,$A$6:$A$2405,"&lt;="&amp;$A1312))</f>
        <v/>
      </c>
      <c r="Q1312" s="57" t="str">
        <f aca="false">IF($O1312="","",IF($P1312&lt;=BankCostEnvelope*'5. Scenarios'!$D$7,1,0))</f>
        <v/>
      </c>
      <c r="R1312" s="57" t="str">
        <f aca="false">IF($N1312="","",INDEX(BookRate,1307)*(1+'5. Scenarios'!$D$10)*(INDEX(BookQ1,1307)*(5-MIN(4,1+'5. Scenarios'!$D$8))/4+INDEX(BookQ2,1307)*(5-MIN(4,2+'5. Scenarios'!$D$8))/4+INDEX(BookQ3,1307)*(5-MIN(4,3+'5. Scenarios'!$D$8))/4+INDEX(BookQ4,1307)*(5-MIN(4,4+'5. Scenarios'!$D$8))/4)*'5. Scenarios'!$D$6/(1+ProductivityDefault*('5. Scenarios'!$D$11-1))+INDEX(BookOneOff,1307)*$N1312)</f>
        <v/>
      </c>
      <c r="S1312" s="56" t="str">
        <f aca="false">IF(INDEX(BookTitle,1307)="","",INDEX(BookTotal,1307)*'5. Scenarios'!$E$6/(1+ProductivityDefault*('5. Scenarios'!$E$11-1)))</f>
        <v/>
      </c>
      <c r="T1312" s="57" t="str">
        <f aca="false">IF($S1312="","",INDEX(BookRate,1307)*(1+'5. Scenarios'!$E$10)*$S1312)</f>
        <v/>
      </c>
      <c r="U1312" s="57" t="str">
        <f aca="false">IF($T1312="","",SUMIFS($T$6:$T$2405,$A$6:$A$2405,"&lt;="&amp;$A1312))</f>
        <v/>
      </c>
      <c r="V1312" s="57" t="str">
        <f aca="false">IF($T1312="","",IF($U1312&lt;=BankCostEnvelope*'5. Scenarios'!$E$7,1,0))</f>
        <v/>
      </c>
      <c r="W1312" s="57" t="str">
        <f aca="false">IF($S1312="","",INDEX(BookRate,1307)*(1+'5. Scenarios'!$E$10)*(INDEX(BookQ1,1307)*(5-MIN(4,1+'5. Scenarios'!$E$8))/4+INDEX(BookQ2,1307)*(5-MIN(4,2+'5. Scenarios'!$E$8))/4+INDEX(BookQ3,1307)*(5-MIN(4,3+'5. Scenarios'!$E$8))/4+INDEX(BookQ4,1307)*(5-MIN(4,4+'5. Scenarios'!$E$8))/4)*'5. Scenarios'!$E$6/(1+ProductivityDefault*('5. Scenarios'!$E$11-1))+INDEX(BookOneOff,1307)*$S1312)</f>
        <v/>
      </c>
    </row>
    <row r="1313" customFormat="false" ht="15" hidden="false" customHeight="false" outlineLevel="0" collapsed="false">
      <c r="A1313" s="0" t="str">
        <f aca="false">IF(INDEX(BookTitle,1308)="","",INDEX(BookKey,1308))</f>
        <v/>
      </c>
      <c r="B1313" s="0" t="str">
        <f aca="false">IF(INDEX(BookTitle,1308)="","",INDEX(BookGroup,1308))</f>
        <v/>
      </c>
      <c r="C1313" s="0" t="str">
        <f aca="false">IF(INDEX(BookTitle,1308)="","",INDEX(BookCategory,1308))</f>
        <v/>
      </c>
      <c r="D1313" s="56" t="str">
        <f aca="false">IF(INDEX(BookTitle,1308)="","",INDEX(BookTotal,1308)*'5. Scenarios'!$B$6/(1+ProductivityDefault*('5. Scenarios'!$B$11-1)))</f>
        <v/>
      </c>
      <c r="E1313" s="57" t="str">
        <f aca="false">IF($D1313="","",INDEX(BookRate,1308)*(1+'5. Scenarios'!$B$10)*$D1313)</f>
        <v/>
      </c>
      <c r="F1313" s="57" t="str">
        <f aca="false">IF($E1313="","",SUMIFS($E$6:$E$2405,$A$6:$A$2405,"&lt;="&amp;$A1313))</f>
        <v/>
      </c>
      <c r="G1313" s="57" t="str">
        <f aca="false">IF($E1313="","",IF($F1313&lt;=BankCostEnvelope*'5. Scenarios'!$B$7,1,0))</f>
        <v/>
      </c>
      <c r="H1313" s="57" t="str">
        <f aca="false">IF($D1313="","",INDEX(BookRate,1308)*(1+'5. Scenarios'!$B$10)*(INDEX(BookQ1,1308)*(5-MIN(4,1+'5. Scenarios'!$B$8))/4+INDEX(BookQ2,1308)*(5-MIN(4,2+'5. Scenarios'!$B$8))/4+INDEX(BookQ3,1308)*(5-MIN(4,3+'5. Scenarios'!$B$8))/4+INDEX(BookQ4,1308)*(5-MIN(4,4+'5. Scenarios'!$B$8))/4)*'5. Scenarios'!$B$6/(1+ProductivityDefault*('5. Scenarios'!$B$11-1))+INDEX(BookOneOff,1308)*$D1313)</f>
        <v/>
      </c>
      <c r="I1313" s="56" t="str">
        <f aca="false">IF(INDEX(BookTitle,1308)="","",INDEX(BookTotal,1308)*'5. Scenarios'!$C$6/(1+ProductivityDefault*('5. Scenarios'!$C$11-1)))</f>
        <v/>
      </c>
      <c r="J1313" s="57" t="str">
        <f aca="false">IF($I1313="","",INDEX(BookRate,1308)*(1+'5. Scenarios'!$C$10)*$I1313)</f>
        <v/>
      </c>
      <c r="K1313" s="57" t="str">
        <f aca="false">IF($J1313="","",SUMIFS($J$6:$J$2405,$A$6:$A$2405,"&lt;="&amp;$A1313))</f>
        <v/>
      </c>
      <c r="L1313" s="57" t="str">
        <f aca="false">IF($J1313="","",IF($K1313&lt;=BankCostEnvelope*'5. Scenarios'!$C$7,1,0))</f>
        <v/>
      </c>
      <c r="M1313" s="57" t="str">
        <f aca="false">IF($I1313="","",INDEX(BookRate,1308)*(1+'5. Scenarios'!$C$10)*(INDEX(BookQ1,1308)*(5-MIN(4,1+'5. Scenarios'!$C$8))/4+INDEX(BookQ2,1308)*(5-MIN(4,2+'5. Scenarios'!$C$8))/4+INDEX(BookQ3,1308)*(5-MIN(4,3+'5. Scenarios'!$C$8))/4+INDEX(BookQ4,1308)*(5-MIN(4,4+'5. Scenarios'!$C$8))/4)*'5. Scenarios'!$C$6/(1+ProductivityDefault*('5. Scenarios'!$C$11-1))+INDEX(BookOneOff,1308)*$I1313)</f>
        <v/>
      </c>
      <c r="N1313" s="56" t="str">
        <f aca="false">IF(INDEX(BookTitle,1308)="","",INDEX(BookTotal,1308)*'5. Scenarios'!$D$6/(1+ProductivityDefault*('5. Scenarios'!$D$11-1)))</f>
        <v/>
      </c>
      <c r="O1313" s="57" t="str">
        <f aca="false">IF($N1313="","",INDEX(BookRate,1308)*(1+'5. Scenarios'!$D$10)*$N1313)</f>
        <v/>
      </c>
      <c r="P1313" s="57" t="str">
        <f aca="false">IF($O1313="","",SUMIFS($O$6:$O$2405,$A$6:$A$2405,"&lt;="&amp;$A1313))</f>
        <v/>
      </c>
      <c r="Q1313" s="57" t="str">
        <f aca="false">IF($O1313="","",IF($P1313&lt;=BankCostEnvelope*'5. Scenarios'!$D$7,1,0))</f>
        <v/>
      </c>
      <c r="R1313" s="57" t="str">
        <f aca="false">IF($N1313="","",INDEX(BookRate,1308)*(1+'5. Scenarios'!$D$10)*(INDEX(BookQ1,1308)*(5-MIN(4,1+'5. Scenarios'!$D$8))/4+INDEX(BookQ2,1308)*(5-MIN(4,2+'5. Scenarios'!$D$8))/4+INDEX(BookQ3,1308)*(5-MIN(4,3+'5. Scenarios'!$D$8))/4+INDEX(BookQ4,1308)*(5-MIN(4,4+'5. Scenarios'!$D$8))/4)*'5. Scenarios'!$D$6/(1+ProductivityDefault*('5. Scenarios'!$D$11-1))+INDEX(BookOneOff,1308)*$N1313)</f>
        <v/>
      </c>
      <c r="S1313" s="56" t="str">
        <f aca="false">IF(INDEX(BookTitle,1308)="","",INDEX(BookTotal,1308)*'5. Scenarios'!$E$6/(1+ProductivityDefault*('5. Scenarios'!$E$11-1)))</f>
        <v/>
      </c>
      <c r="T1313" s="57" t="str">
        <f aca="false">IF($S1313="","",INDEX(BookRate,1308)*(1+'5. Scenarios'!$E$10)*$S1313)</f>
        <v/>
      </c>
      <c r="U1313" s="57" t="str">
        <f aca="false">IF($T1313="","",SUMIFS($T$6:$T$2405,$A$6:$A$2405,"&lt;="&amp;$A1313))</f>
        <v/>
      </c>
      <c r="V1313" s="57" t="str">
        <f aca="false">IF($T1313="","",IF($U1313&lt;=BankCostEnvelope*'5. Scenarios'!$E$7,1,0))</f>
        <v/>
      </c>
      <c r="W1313" s="57" t="str">
        <f aca="false">IF($S1313="","",INDEX(BookRate,1308)*(1+'5. Scenarios'!$E$10)*(INDEX(BookQ1,1308)*(5-MIN(4,1+'5. Scenarios'!$E$8))/4+INDEX(BookQ2,1308)*(5-MIN(4,2+'5. Scenarios'!$E$8))/4+INDEX(BookQ3,1308)*(5-MIN(4,3+'5. Scenarios'!$E$8))/4+INDEX(BookQ4,1308)*(5-MIN(4,4+'5. Scenarios'!$E$8))/4)*'5. Scenarios'!$E$6/(1+ProductivityDefault*('5. Scenarios'!$E$11-1))+INDEX(BookOneOff,1308)*$S1313)</f>
        <v/>
      </c>
    </row>
    <row r="1314" customFormat="false" ht="15" hidden="false" customHeight="false" outlineLevel="0" collapsed="false">
      <c r="A1314" s="0" t="str">
        <f aca="false">IF(INDEX(BookTitle,1309)="","",INDEX(BookKey,1309))</f>
        <v/>
      </c>
      <c r="B1314" s="0" t="str">
        <f aca="false">IF(INDEX(BookTitle,1309)="","",INDEX(BookGroup,1309))</f>
        <v/>
      </c>
      <c r="C1314" s="0" t="str">
        <f aca="false">IF(INDEX(BookTitle,1309)="","",INDEX(BookCategory,1309))</f>
        <v/>
      </c>
      <c r="D1314" s="56" t="str">
        <f aca="false">IF(INDEX(BookTitle,1309)="","",INDEX(BookTotal,1309)*'5. Scenarios'!$B$6/(1+ProductivityDefault*('5. Scenarios'!$B$11-1)))</f>
        <v/>
      </c>
      <c r="E1314" s="57" t="str">
        <f aca="false">IF($D1314="","",INDEX(BookRate,1309)*(1+'5. Scenarios'!$B$10)*$D1314)</f>
        <v/>
      </c>
      <c r="F1314" s="57" t="str">
        <f aca="false">IF($E1314="","",SUMIFS($E$6:$E$2405,$A$6:$A$2405,"&lt;="&amp;$A1314))</f>
        <v/>
      </c>
      <c r="G1314" s="57" t="str">
        <f aca="false">IF($E1314="","",IF($F1314&lt;=BankCostEnvelope*'5. Scenarios'!$B$7,1,0))</f>
        <v/>
      </c>
      <c r="H1314" s="57" t="str">
        <f aca="false">IF($D1314="","",INDEX(BookRate,1309)*(1+'5. Scenarios'!$B$10)*(INDEX(BookQ1,1309)*(5-MIN(4,1+'5. Scenarios'!$B$8))/4+INDEX(BookQ2,1309)*(5-MIN(4,2+'5. Scenarios'!$B$8))/4+INDEX(BookQ3,1309)*(5-MIN(4,3+'5. Scenarios'!$B$8))/4+INDEX(BookQ4,1309)*(5-MIN(4,4+'5. Scenarios'!$B$8))/4)*'5. Scenarios'!$B$6/(1+ProductivityDefault*('5. Scenarios'!$B$11-1))+INDEX(BookOneOff,1309)*$D1314)</f>
        <v/>
      </c>
      <c r="I1314" s="56" t="str">
        <f aca="false">IF(INDEX(BookTitle,1309)="","",INDEX(BookTotal,1309)*'5. Scenarios'!$C$6/(1+ProductivityDefault*('5. Scenarios'!$C$11-1)))</f>
        <v/>
      </c>
      <c r="J1314" s="57" t="str">
        <f aca="false">IF($I1314="","",INDEX(BookRate,1309)*(1+'5. Scenarios'!$C$10)*$I1314)</f>
        <v/>
      </c>
      <c r="K1314" s="57" t="str">
        <f aca="false">IF($J1314="","",SUMIFS($J$6:$J$2405,$A$6:$A$2405,"&lt;="&amp;$A1314))</f>
        <v/>
      </c>
      <c r="L1314" s="57" t="str">
        <f aca="false">IF($J1314="","",IF($K1314&lt;=BankCostEnvelope*'5. Scenarios'!$C$7,1,0))</f>
        <v/>
      </c>
      <c r="M1314" s="57" t="str">
        <f aca="false">IF($I1314="","",INDEX(BookRate,1309)*(1+'5. Scenarios'!$C$10)*(INDEX(BookQ1,1309)*(5-MIN(4,1+'5. Scenarios'!$C$8))/4+INDEX(BookQ2,1309)*(5-MIN(4,2+'5. Scenarios'!$C$8))/4+INDEX(BookQ3,1309)*(5-MIN(4,3+'5. Scenarios'!$C$8))/4+INDEX(BookQ4,1309)*(5-MIN(4,4+'5. Scenarios'!$C$8))/4)*'5. Scenarios'!$C$6/(1+ProductivityDefault*('5. Scenarios'!$C$11-1))+INDEX(BookOneOff,1309)*$I1314)</f>
        <v/>
      </c>
      <c r="N1314" s="56" t="str">
        <f aca="false">IF(INDEX(BookTitle,1309)="","",INDEX(BookTotal,1309)*'5. Scenarios'!$D$6/(1+ProductivityDefault*('5. Scenarios'!$D$11-1)))</f>
        <v/>
      </c>
      <c r="O1314" s="57" t="str">
        <f aca="false">IF($N1314="","",INDEX(BookRate,1309)*(1+'5. Scenarios'!$D$10)*$N1314)</f>
        <v/>
      </c>
      <c r="P1314" s="57" t="str">
        <f aca="false">IF($O1314="","",SUMIFS($O$6:$O$2405,$A$6:$A$2405,"&lt;="&amp;$A1314))</f>
        <v/>
      </c>
      <c r="Q1314" s="57" t="str">
        <f aca="false">IF($O1314="","",IF($P1314&lt;=BankCostEnvelope*'5. Scenarios'!$D$7,1,0))</f>
        <v/>
      </c>
      <c r="R1314" s="57" t="str">
        <f aca="false">IF($N1314="","",INDEX(BookRate,1309)*(1+'5. Scenarios'!$D$10)*(INDEX(BookQ1,1309)*(5-MIN(4,1+'5. Scenarios'!$D$8))/4+INDEX(BookQ2,1309)*(5-MIN(4,2+'5. Scenarios'!$D$8))/4+INDEX(BookQ3,1309)*(5-MIN(4,3+'5. Scenarios'!$D$8))/4+INDEX(BookQ4,1309)*(5-MIN(4,4+'5. Scenarios'!$D$8))/4)*'5. Scenarios'!$D$6/(1+ProductivityDefault*('5. Scenarios'!$D$11-1))+INDEX(BookOneOff,1309)*$N1314)</f>
        <v/>
      </c>
      <c r="S1314" s="56" t="str">
        <f aca="false">IF(INDEX(BookTitle,1309)="","",INDEX(BookTotal,1309)*'5. Scenarios'!$E$6/(1+ProductivityDefault*('5. Scenarios'!$E$11-1)))</f>
        <v/>
      </c>
      <c r="T1314" s="57" t="str">
        <f aca="false">IF($S1314="","",INDEX(BookRate,1309)*(1+'5. Scenarios'!$E$10)*$S1314)</f>
        <v/>
      </c>
      <c r="U1314" s="57" t="str">
        <f aca="false">IF($T1314="","",SUMIFS($T$6:$T$2405,$A$6:$A$2405,"&lt;="&amp;$A1314))</f>
        <v/>
      </c>
      <c r="V1314" s="57" t="str">
        <f aca="false">IF($T1314="","",IF($U1314&lt;=BankCostEnvelope*'5. Scenarios'!$E$7,1,0))</f>
        <v/>
      </c>
      <c r="W1314" s="57" t="str">
        <f aca="false">IF($S1314="","",INDEX(BookRate,1309)*(1+'5. Scenarios'!$E$10)*(INDEX(BookQ1,1309)*(5-MIN(4,1+'5. Scenarios'!$E$8))/4+INDEX(BookQ2,1309)*(5-MIN(4,2+'5. Scenarios'!$E$8))/4+INDEX(BookQ3,1309)*(5-MIN(4,3+'5. Scenarios'!$E$8))/4+INDEX(BookQ4,1309)*(5-MIN(4,4+'5. Scenarios'!$E$8))/4)*'5. Scenarios'!$E$6/(1+ProductivityDefault*('5. Scenarios'!$E$11-1))+INDEX(BookOneOff,1309)*$S1314)</f>
        <v/>
      </c>
    </row>
    <row r="1315" customFormat="false" ht="15" hidden="false" customHeight="false" outlineLevel="0" collapsed="false">
      <c r="A1315" s="0" t="str">
        <f aca="false">IF(INDEX(BookTitle,1310)="","",INDEX(BookKey,1310))</f>
        <v/>
      </c>
      <c r="B1315" s="0" t="str">
        <f aca="false">IF(INDEX(BookTitle,1310)="","",INDEX(BookGroup,1310))</f>
        <v/>
      </c>
      <c r="C1315" s="0" t="str">
        <f aca="false">IF(INDEX(BookTitle,1310)="","",INDEX(BookCategory,1310))</f>
        <v/>
      </c>
      <c r="D1315" s="56" t="str">
        <f aca="false">IF(INDEX(BookTitle,1310)="","",INDEX(BookTotal,1310)*'5. Scenarios'!$B$6/(1+ProductivityDefault*('5. Scenarios'!$B$11-1)))</f>
        <v/>
      </c>
      <c r="E1315" s="57" t="str">
        <f aca="false">IF($D1315="","",INDEX(BookRate,1310)*(1+'5. Scenarios'!$B$10)*$D1315)</f>
        <v/>
      </c>
      <c r="F1315" s="57" t="str">
        <f aca="false">IF($E1315="","",SUMIFS($E$6:$E$2405,$A$6:$A$2405,"&lt;="&amp;$A1315))</f>
        <v/>
      </c>
      <c r="G1315" s="57" t="str">
        <f aca="false">IF($E1315="","",IF($F1315&lt;=BankCostEnvelope*'5. Scenarios'!$B$7,1,0))</f>
        <v/>
      </c>
      <c r="H1315" s="57" t="str">
        <f aca="false">IF($D1315="","",INDEX(BookRate,1310)*(1+'5. Scenarios'!$B$10)*(INDEX(BookQ1,1310)*(5-MIN(4,1+'5. Scenarios'!$B$8))/4+INDEX(BookQ2,1310)*(5-MIN(4,2+'5. Scenarios'!$B$8))/4+INDEX(BookQ3,1310)*(5-MIN(4,3+'5. Scenarios'!$B$8))/4+INDEX(BookQ4,1310)*(5-MIN(4,4+'5. Scenarios'!$B$8))/4)*'5. Scenarios'!$B$6/(1+ProductivityDefault*('5. Scenarios'!$B$11-1))+INDEX(BookOneOff,1310)*$D1315)</f>
        <v/>
      </c>
      <c r="I1315" s="56" t="str">
        <f aca="false">IF(INDEX(BookTitle,1310)="","",INDEX(BookTotal,1310)*'5. Scenarios'!$C$6/(1+ProductivityDefault*('5. Scenarios'!$C$11-1)))</f>
        <v/>
      </c>
      <c r="J1315" s="57" t="str">
        <f aca="false">IF($I1315="","",INDEX(BookRate,1310)*(1+'5. Scenarios'!$C$10)*$I1315)</f>
        <v/>
      </c>
      <c r="K1315" s="57" t="str">
        <f aca="false">IF($J1315="","",SUMIFS($J$6:$J$2405,$A$6:$A$2405,"&lt;="&amp;$A1315))</f>
        <v/>
      </c>
      <c r="L1315" s="57" t="str">
        <f aca="false">IF($J1315="","",IF($K1315&lt;=BankCostEnvelope*'5. Scenarios'!$C$7,1,0))</f>
        <v/>
      </c>
      <c r="M1315" s="57" t="str">
        <f aca="false">IF($I1315="","",INDEX(BookRate,1310)*(1+'5. Scenarios'!$C$10)*(INDEX(BookQ1,1310)*(5-MIN(4,1+'5. Scenarios'!$C$8))/4+INDEX(BookQ2,1310)*(5-MIN(4,2+'5. Scenarios'!$C$8))/4+INDEX(BookQ3,1310)*(5-MIN(4,3+'5. Scenarios'!$C$8))/4+INDEX(BookQ4,1310)*(5-MIN(4,4+'5. Scenarios'!$C$8))/4)*'5. Scenarios'!$C$6/(1+ProductivityDefault*('5. Scenarios'!$C$11-1))+INDEX(BookOneOff,1310)*$I1315)</f>
        <v/>
      </c>
      <c r="N1315" s="56" t="str">
        <f aca="false">IF(INDEX(BookTitle,1310)="","",INDEX(BookTotal,1310)*'5. Scenarios'!$D$6/(1+ProductivityDefault*('5. Scenarios'!$D$11-1)))</f>
        <v/>
      </c>
      <c r="O1315" s="57" t="str">
        <f aca="false">IF($N1315="","",INDEX(BookRate,1310)*(1+'5. Scenarios'!$D$10)*$N1315)</f>
        <v/>
      </c>
      <c r="P1315" s="57" t="str">
        <f aca="false">IF($O1315="","",SUMIFS($O$6:$O$2405,$A$6:$A$2405,"&lt;="&amp;$A1315))</f>
        <v/>
      </c>
      <c r="Q1315" s="57" t="str">
        <f aca="false">IF($O1315="","",IF($P1315&lt;=BankCostEnvelope*'5. Scenarios'!$D$7,1,0))</f>
        <v/>
      </c>
      <c r="R1315" s="57" t="str">
        <f aca="false">IF($N1315="","",INDEX(BookRate,1310)*(1+'5. Scenarios'!$D$10)*(INDEX(BookQ1,1310)*(5-MIN(4,1+'5. Scenarios'!$D$8))/4+INDEX(BookQ2,1310)*(5-MIN(4,2+'5. Scenarios'!$D$8))/4+INDEX(BookQ3,1310)*(5-MIN(4,3+'5. Scenarios'!$D$8))/4+INDEX(BookQ4,1310)*(5-MIN(4,4+'5. Scenarios'!$D$8))/4)*'5. Scenarios'!$D$6/(1+ProductivityDefault*('5. Scenarios'!$D$11-1))+INDEX(BookOneOff,1310)*$N1315)</f>
        <v/>
      </c>
      <c r="S1315" s="56" t="str">
        <f aca="false">IF(INDEX(BookTitle,1310)="","",INDEX(BookTotal,1310)*'5. Scenarios'!$E$6/(1+ProductivityDefault*('5. Scenarios'!$E$11-1)))</f>
        <v/>
      </c>
      <c r="T1315" s="57" t="str">
        <f aca="false">IF($S1315="","",INDEX(BookRate,1310)*(1+'5. Scenarios'!$E$10)*$S1315)</f>
        <v/>
      </c>
      <c r="U1315" s="57" t="str">
        <f aca="false">IF($T1315="","",SUMIFS($T$6:$T$2405,$A$6:$A$2405,"&lt;="&amp;$A1315))</f>
        <v/>
      </c>
      <c r="V1315" s="57" t="str">
        <f aca="false">IF($T1315="","",IF($U1315&lt;=BankCostEnvelope*'5. Scenarios'!$E$7,1,0))</f>
        <v/>
      </c>
      <c r="W1315" s="57" t="str">
        <f aca="false">IF($S1315="","",INDEX(BookRate,1310)*(1+'5. Scenarios'!$E$10)*(INDEX(BookQ1,1310)*(5-MIN(4,1+'5. Scenarios'!$E$8))/4+INDEX(BookQ2,1310)*(5-MIN(4,2+'5. Scenarios'!$E$8))/4+INDEX(BookQ3,1310)*(5-MIN(4,3+'5. Scenarios'!$E$8))/4+INDEX(BookQ4,1310)*(5-MIN(4,4+'5. Scenarios'!$E$8))/4)*'5. Scenarios'!$E$6/(1+ProductivityDefault*('5. Scenarios'!$E$11-1))+INDEX(BookOneOff,1310)*$S1315)</f>
        <v/>
      </c>
    </row>
    <row r="1316" customFormat="false" ht="15" hidden="false" customHeight="false" outlineLevel="0" collapsed="false">
      <c r="A1316" s="0" t="str">
        <f aca="false">IF(INDEX(BookTitle,1311)="","",INDEX(BookKey,1311))</f>
        <v/>
      </c>
      <c r="B1316" s="0" t="str">
        <f aca="false">IF(INDEX(BookTitle,1311)="","",INDEX(BookGroup,1311))</f>
        <v/>
      </c>
      <c r="C1316" s="0" t="str">
        <f aca="false">IF(INDEX(BookTitle,1311)="","",INDEX(BookCategory,1311))</f>
        <v/>
      </c>
      <c r="D1316" s="56" t="str">
        <f aca="false">IF(INDEX(BookTitle,1311)="","",INDEX(BookTotal,1311)*'5. Scenarios'!$B$6/(1+ProductivityDefault*('5. Scenarios'!$B$11-1)))</f>
        <v/>
      </c>
      <c r="E1316" s="57" t="str">
        <f aca="false">IF($D1316="","",INDEX(BookRate,1311)*(1+'5. Scenarios'!$B$10)*$D1316)</f>
        <v/>
      </c>
      <c r="F1316" s="57" t="str">
        <f aca="false">IF($E1316="","",SUMIFS($E$6:$E$2405,$A$6:$A$2405,"&lt;="&amp;$A1316))</f>
        <v/>
      </c>
      <c r="G1316" s="57" t="str">
        <f aca="false">IF($E1316="","",IF($F1316&lt;=BankCostEnvelope*'5. Scenarios'!$B$7,1,0))</f>
        <v/>
      </c>
      <c r="H1316" s="57" t="str">
        <f aca="false">IF($D1316="","",INDEX(BookRate,1311)*(1+'5. Scenarios'!$B$10)*(INDEX(BookQ1,1311)*(5-MIN(4,1+'5. Scenarios'!$B$8))/4+INDEX(BookQ2,1311)*(5-MIN(4,2+'5. Scenarios'!$B$8))/4+INDEX(BookQ3,1311)*(5-MIN(4,3+'5. Scenarios'!$B$8))/4+INDEX(BookQ4,1311)*(5-MIN(4,4+'5. Scenarios'!$B$8))/4)*'5. Scenarios'!$B$6/(1+ProductivityDefault*('5. Scenarios'!$B$11-1))+INDEX(BookOneOff,1311)*$D1316)</f>
        <v/>
      </c>
      <c r="I1316" s="56" t="str">
        <f aca="false">IF(INDEX(BookTitle,1311)="","",INDEX(BookTotal,1311)*'5. Scenarios'!$C$6/(1+ProductivityDefault*('5. Scenarios'!$C$11-1)))</f>
        <v/>
      </c>
      <c r="J1316" s="57" t="str">
        <f aca="false">IF($I1316="","",INDEX(BookRate,1311)*(1+'5. Scenarios'!$C$10)*$I1316)</f>
        <v/>
      </c>
      <c r="K1316" s="57" t="str">
        <f aca="false">IF($J1316="","",SUMIFS($J$6:$J$2405,$A$6:$A$2405,"&lt;="&amp;$A1316))</f>
        <v/>
      </c>
      <c r="L1316" s="57" t="str">
        <f aca="false">IF($J1316="","",IF($K1316&lt;=BankCostEnvelope*'5. Scenarios'!$C$7,1,0))</f>
        <v/>
      </c>
      <c r="M1316" s="57" t="str">
        <f aca="false">IF($I1316="","",INDEX(BookRate,1311)*(1+'5. Scenarios'!$C$10)*(INDEX(BookQ1,1311)*(5-MIN(4,1+'5. Scenarios'!$C$8))/4+INDEX(BookQ2,1311)*(5-MIN(4,2+'5. Scenarios'!$C$8))/4+INDEX(BookQ3,1311)*(5-MIN(4,3+'5. Scenarios'!$C$8))/4+INDEX(BookQ4,1311)*(5-MIN(4,4+'5. Scenarios'!$C$8))/4)*'5. Scenarios'!$C$6/(1+ProductivityDefault*('5. Scenarios'!$C$11-1))+INDEX(BookOneOff,1311)*$I1316)</f>
        <v/>
      </c>
      <c r="N1316" s="56" t="str">
        <f aca="false">IF(INDEX(BookTitle,1311)="","",INDEX(BookTotal,1311)*'5. Scenarios'!$D$6/(1+ProductivityDefault*('5. Scenarios'!$D$11-1)))</f>
        <v/>
      </c>
      <c r="O1316" s="57" t="str">
        <f aca="false">IF($N1316="","",INDEX(BookRate,1311)*(1+'5. Scenarios'!$D$10)*$N1316)</f>
        <v/>
      </c>
      <c r="P1316" s="57" t="str">
        <f aca="false">IF($O1316="","",SUMIFS($O$6:$O$2405,$A$6:$A$2405,"&lt;="&amp;$A1316))</f>
        <v/>
      </c>
      <c r="Q1316" s="57" t="str">
        <f aca="false">IF($O1316="","",IF($P1316&lt;=BankCostEnvelope*'5. Scenarios'!$D$7,1,0))</f>
        <v/>
      </c>
      <c r="R1316" s="57" t="str">
        <f aca="false">IF($N1316="","",INDEX(BookRate,1311)*(1+'5. Scenarios'!$D$10)*(INDEX(BookQ1,1311)*(5-MIN(4,1+'5. Scenarios'!$D$8))/4+INDEX(BookQ2,1311)*(5-MIN(4,2+'5. Scenarios'!$D$8))/4+INDEX(BookQ3,1311)*(5-MIN(4,3+'5. Scenarios'!$D$8))/4+INDEX(BookQ4,1311)*(5-MIN(4,4+'5. Scenarios'!$D$8))/4)*'5. Scenarios'!$D$6/(1+ProductivityDefault*('5. Scenarios'!$D$11-1))+INDEX(BookOneOff,1311)*$N1316)</f>
        <v/>
      </c>
      <c r="S1316" s="56" t="str">
        <f aca="false">IF(INDEX(BookTitle,1311)="","",INDEX(BookTotal,1311)*'5. Scenarios'!$E$6/(1+ProductivityDefault*('5. Scenarios'!$E$11-1)))</f>
        <v/>
      </c>
      <c r="T1316" s="57" t="str">
        <f aca="false">IF($S1316="","",INDEX(BookRate,1311)*(1+'5. Scenarios'!$E$10)*$S1316)</f>
        <v/>
      </c>
      <c r="U1316" s="57" t="str">
        <f aca="false">IF($T1316="","",SUMIFS($T$6:$T$2405,$A$6:$A$2405,"&lt;="&amp;$A1316))</f>
        <v/>
      </c>
      <c r="V1316" s="57" t="str">
        <f aca="false">IF($T1316="","",IF($U1316&lt;=BankCostEnvelope*'5. Scenarios'!$E$7,1,0))</f>
        <v/>
      </c>
      <c r="W1316" s="57" t="str">
        <f aca="false">IF($S1316="","",INDEX(BookRate,1311)*(1+'5. Scenarios'!$E$10)*(INDEX(BookQ1,1311)*(5-MIN(4,1+'5. Scenarios'!$E$8))/4+INDEX(BookQ2,1311)*(5-MIN(4,2+'5. Scenarios'!$E$8))/4+INDEX(BookQ3,1311)*(5-MIN(4,3+'5. Scenarios'!$E$8))/4+INDEX(BookQ4,1311)*(5-MIN(4,4+'5. Scenarios'!$E$8))/4)*'5. Scenarios'!$E$6/(1+ProductivityDefault*('5. Scenarios'!$E$11-1))+INDEX(BookOneOff,1311)*$S1316)</f>
        <v/>
      </c>
    </row>
    <row r="1317" customFormat="false" ht="15" hidden="false" customHeight="false" outlineLevel="0" collapsed="false">
      <c r="A1317" s="0" t="str">
        <f aca="false">IF(INDEX(BookTitle,1312)="","",INDEX(BookKey,1312))</f>
        <v/>
      </c>
      <c r="B1317" s="0" t="str">
        <f aca="false">IF(INDEX(BookTitle,1312)="","",INDEX(BookGroup,1312))</f>
        <v/>
      </c>
      <c r="C1317" s="0" t="str">
        <f aca="false">IF(INDEX(BookTitle,1312)="","",INDEX(BookCategory,1312))</f>
        <v/>
      </c>
      <c r="D1317" s="56" t="str">
        <f aca="false">IF(INDEX(BookTitle,1312)="","",INDEX(BookTotal,1312)*'5. Scenarios'!$B$6/(1+ProductivityDefault*('5. Scenarios'!$B$11-1)))</f>
        <v/>
      </c>
      <c r="E1317" s="57" t="str">
        <f aca="false">IF($D1317="","",INDEX(BookRate,1312)*(1+'5. Scenarios'!$B$10)*$D1317)</f>
        <v/>
      </c>
      <c r="F1317" s="57" t="str">
        <f aca="false">IF($E1317="","",SUMIFS($E$6:$E$2405,$A$6:$A$2405,"&lt;="&amp;$A1317))</f>
        <v/>
      </c>
      <c r="G1317" s="57" t="str">
        <f aca="false">IF($E1317="","",IF($F1317&lt;=BankCostEnvelope*'5. Scenarios'!$B$7,1,0))</f>
        <v/>
      </c>
      <c r="H1317" s="57" t="str">
        <f aca="false">IF($D1317="","",INDEX(BookRate,1312)*(1+'5. Scenarios'!$B$10)*(INDEX(BookQ1,1312)*(5-MIN(4,1+'5. Scenarios'!$B$8))/4+INDEX(BookQ2,1312)*(5-MIN(4,2+'5. Scenarios'!$B$8))/4+INDEX(BookQ3,1312)*(5-MIN(4,3+'5. Scenarios'!$B$8))/4+INDEX(BookQ4,1312)*(5-MIN(4,4+'5. Scenarios'!$B$8))/4)*'5. Scenarios'!$B$6/(1+ProductivityDefault*('5. Scenarios'!$B$11-1))+INDEX(BookOneOff,1312)*$D1317)</f>
        <v/>
      </c>
      <c r="I1317" s="56" t="str">
        <f aca="false">IF(INDEX(BookTitle,1312)="","",INDEX(BookTotal,1312)*'5. Scenarios'!$C$6/(1+ProductivityDefault*('5. Scenarios'!$C$11-1)))</f>
        <v/>
      </c>
      <c r="J1317" s="57" t="str">
        <f aca="false">IF($I1317="","",INDEX(BookRate,1312)*(1+'5. Scenarios'!$C$10)*$I1317)</f>
        <v/>
      </c>
      <c r="K1317" s="57" t="str">
        <f aca="false">IF($J1317="","",SUMIFS($J$6:$J$2405,$A$6:$A$2405,"&lt;="&amp;$A1317))</f>
        <v/>
      </c>
      <c r="L1317" s="57" t="str">
        <f aca="false">IF($J1317="","",IF($K1317&lt;=BankCostEnvelope*'5. Scenarios'!$C$7,1,0))</f>
        <v/>
      </c>
      <c r="M1317" s="57" t="str">
        <f aca="false">IF($I1317="","",INDEX(BookRate,1312)*(1+'5. Scenarios'!$C$10)*(INDEX(BookQ1,1312)*(5-MIN(4,1+'5. Scenarios'!$C$8))/4+INDEX(BookQ2,1312)*(5-MIN(4,2+'5. Scenarios'!$C$8))/4+INDEX(BookQ3,1312)*(5-MIN(4,3+'5. Scenarios'!$C$8))/4+INDEX(BookQ4,1312)*(5-MIN(4,4+'5. Scenarios'!$C$8))/4)*'5. Scenarios'!$C$6/(1+ProductivityDefault*('5. Scenarios'!$C$11-1))+INDEX(BookOneOff,1312)*$I1317)</f>
        <v/>
      </c>
      <c r="N1317" s="56" t="str">
        <f aca="false">IF(INDEX(BookTitle,1312)="","",INDEX(BookTotal,1312)*'5. Scenarios'!$D$6/(1+ProductivityDefault*('5. Scenarios'!$D$11-1)))</f>
        <v/>
      </c>
      <c r="O1317" s="57" t="str">
        <f aca="false">IF($N1317="","",INDEX(BookRate,1312)*(1+'5. Scenarios'!$D$10)*$N1317)</f>
        <v/>
      </c>
      <c r="P1317" s="57" t="str">
        <f aca="false">IF($O1317="","",SUMIFS($O$6:$O$2405,$A$6:$A$2405,"&lt;="&amp;$A1317))</f>
        <v/>
      </c>
      <c r="Q1317" s="57" t="str">
        <f aca="false">IF($O1317="","",IF($P1317&lt;=BankCostEnvelope*'5. Scenarios'!$D$7,1,0))</f>
        <v/>
      </c>
      <c r="R1317" s="57" t="str">
        <f aca="false">IF($N1317="","",INDEX(BookRate,1312)*(1+'5. Scenarios'!$D$10)*(INDEX(BookQ1,1312)*(5-MIN(4,1+'5. Scenarios'!$D$8))/4+INDEX(BookQ2,1312)*(5-MIN(4,2+'5. Scenarios'!$D$8))/4+INDEX(BookQ3,1312)*(5-MIN(4,3+'5. Scenarios'!$D$8))/4+INDEX(BookQ4,1312)*(5-MIN(4,4+'5. Scenarios'!$D$8))/4)*'5. Scenarios'!$D$6/(1+ProductivityDefault*('5. Scenarios'!$D$11-1))+INDEX(BookOneOff,1312)*$N1317)</f>
        <v/>
      </c>
      <c r="S1317" s="56" t="str">
        <f aca="false">IF(INDEX(BookTitle,1312)="","",INDEX(BookTotal,1312)*'5. Scenarios'!$E$6/(1+ProductivityDefault*('5. Scenarios'!$E$11-1)))</f>
        <v/>
      </c>
      <c r="T1317" s="57" t="str">
        <f aca="false">IF($S1317="","",INDEX(BookRate,1312)*(1+'5. Scenarios'!$E$10)*$S1317)</f>
        <v/>
      </c>
      <c r="U1317" s="57" t="str">
        <f aca="false">IF($T1317="","",SUMIFS($T$6:$T$2405,$A$6:$A$2405,"&lt;="&amp;$A1317))</f>
        <v/>
      </c>
      <c r="V1317" s="57" t="str">
        <f aca="false">IF($T1317="","",IF($U1317&lt;=BankCostEnvelope*'5. Scenarios'!$E$7,1,0))</f>
        <v/>
      </c>
      <c r="W1317" s="57" t="str">
        <f aca="false">IF($S1317="","",INDEX(BookRate,1312)*(1+'5. Scenarios'!$E$10)*(INDEX(BookQ1,1312)*(5-MIN(4,1+'5. Scenarios'!$E$8))/4+INDEX(BookQ2,1312)*(5-MIN(4,2+'5. Scenarios'!$E$8))/4+INDEX(BookQ3,1312)*(5-MIN(4,3+'5. Scenarios'!$E$8))/4+INDEX(BookQ4,1312)*(5-MIN(4,4+'5. Scenarios'!$E$8))/4)*'5. Scenarios'!$E$6/(1+ProductivityDefault*('5. Scenarios'!$E$11-1))+INDEX(BookOneOff,1312)*$S1317)</f>
        <v/>
      </c>
    </row>
    <row r="1318" customFormat="false" ht="15" hidden="false" customHeight="false" outlineLevel="0" collapsed="false">
      <c r="A1318" s="0" t="str">
        <f aca="false">IF(INDEX(BookTitle,1313)="","",INDEX(BookKey,1313))</f>
        <v/>
      </c>
      <c r="B1318" s="0" t="str">
        <f aca="false">IF(INDEX(BookTitle,1313)="","",INDEX(BookGroup,1313))</f>
        <v/>
      </c>
      <c r="C1318" s="0" t="str">
        <f aca="false">IF(INDEX(BookTitle,1313)="","",INDEX(BookCategory,1313))</f>
        <v/>
      </c>
      <c r="D1318" s="56" t="str">
        <f aca="false">IF(INDEX(BookTitle,1313)="","",INDEX(BookTotal,1313)*'5. Scenarios'!$B$6/(1+ProductivityDefault*('5. Scenarios'!$B$11-1)))</f>
        <v/>
      </c>
      <c r="E1318" s="57" t="str">
        <f aca="false">IF($D1318="","",INDEX(BookRate,1313)*(1+'5. Scenarios'!$B$10)*$D1318)</f>
        <v/>
      </c>
      <c r="F1318" s="57" t="str">
        <f aca="false">IF($E1318="","",SUMIFS($E$6:$E$2405,$A$6:$A$2405,"&lt;="&amp;$A1318))</f>
        <v/>
      </c>
      <c r="G1318" s="57" t="str">
        <f aca="false">IF($E1318="","",IF($F1318&lt;=BankCostEnvelope*'5. Scenarios'!$B$7,1,0))</f>
        <v/>
      </c>
      <c r="H1318" s="57" t="str">
        <f aca="false">IF($D1318="","",INDEX(BookRate,1313)*(1+'5. Scenarios'!$B$10)*(INDEX(BookQ1,1313)*(5-MIN(4,1+'5. Scenarios'!$B$8))/4+INDEX(BookQ2,1313)*(5-MIN(4,2+'5. Scenarios'!$B$8))/4+INDEX(BookQ3,1313)*(5-MIN(4,3+'5. Scenarios'!$B$8))/4+INDEX(BookQ4,1313)*(5-MIN(4,4+'5. Scenarios'!$B$8))/4)*'5. Scenarios'!$B$6/(1+ProductivityDefault*('5. Scenarios'!$B$11-1))+INDEX(BookOneOff,1313)*$D1318)</f>
        <v/>
      </c>
      <c r="I1318" s="56" t="str">
        <f aca="false">IF(INDEX(BookTitle,1313)="","",INDEX(BookTotal,1313)*'5. Scenarios'!$C$6/(1+ProductivityDefault*('5. Scenarios'!$C$11-1)))</f>
        <v/>
      </c>
      <c r="J1318" s="57" t="str">
        <f aca="false">IF($I1318="","",INDEX(BookRate,1313)*(1+'5. Scenarios'!$C$10)*$I1318)</f>
        <v/>
      </c>
      <c r="K1318" s="57" t="str">
        <f aca="false">IF($J1318="","",SUMIFS($J$6:$J$2405,$A$6:$A$2405,"&lt;="&amp;$A1318))</f>
        <v/>
      </c>
      <c r="L1318" s="57" t="str">
        <f aca="false">IF($J1318="","",IF($K1318&lt;=BankCostEnvelope*'5. Scenarios'!$C$7,1,0))</f>
        <v/>
      </c>
      <c r="M1318" s="57" t="str">
        <f aca="false">IF($I1318="","",INDEX(BookRate,1313)*(1+'5. Scenarios'!$C$10)*(INDEX(BookQ1,1313)*(5-MIN(4,1+'5. Scenarios'!$C$8))/4+INDEX(BookQ2,1313)*(5-MIN(4,2+'5. Scenarios'!$C$8))/4+INDEX(BookQ3,1313)*(5-MIN(4,3+'5. Scenarios'!$C$8))/4+INDEX(BookQ4,1313)*(5-MIN(4,4+'5. Scenarios'!$C$8))/4)*'5. Scenarios'!$C$6/(1+ProductivityDefault*('5. Scenarios'!$C$11-1))+INDEX(BookOneOff,1313)*$I1318)</f>
        <v/>
      </c>
      <c r="N1318" s="56" t="str">
        <f aca="false">IF(INDEX(BookTitle,1313)="","",INDEX(BookTotal,1313)*'5. Scenarios'!$D$6/(1+ProductivityDefault*('5. Scenarios'!$D$11-1)))</f>
        <v/>
      </c>
      <c r="O1318" s="57" t="str">
        <f aca="false">IF($N1318="","",INDEX(BookRate,1313)*(1+'5. Scenarios'!$D$10)*$N1318)</f>
        <v/>
      </c>
      <c r="P1318" s="57" t="str">
        <f aca="false">IF($O1318="","",SUMIFS($O$6:$O$2405,$A$6:$A$2405,"&lt;="&amp;$A1318))</f>
        <v/>
      </c>
      <c r="Q1318" s="57" t="str">
        <f aca="false">IF($O1318="","",IF($P1318&lt;=BankCostEnvelope*'5. Scenarios'!$D$7,1,0))</f>
        <v/>
      </c>
      <c r="R1318" s="57" t="str">
        <f aca="false">IF($N1318="","",INDEX(BookRate,1313)*(1+'5. Scenarios'!$D$10)*(INDEX(BookQ1,1313)*(5-MIN(4,1+'5. Scenarios'!$D$8))/4+INDEX(BookQ2,1313)*(5-MIN(4,2+'5. Scenarios'!$D$8))/4+INDEX(BookQ3,1313)*(5-MIN(4,3+'5. Scenarios'!$D$8))/4+INDEX(BookQ4,1313)*(5-MIN(4,4+'5. Scenarios'!$D$8))/4)*'5. Scenarios'!$D$6/(1+ProductivityDefault*('5. Scenarios'!$D$11-1))+INDEX(BookOneOff,1313)*$N1318)</f>
        <v/>
      </c>
      <c r="S1318" s="56" t="str">
        <f aca="false">IF(INDEX(BookTitle,1313)="","",INDEX(BookTotal,1313)*'5. Scenarios'!$E$6/(1+ProductivityDefault*('5. Scenarios'!$E$11-1)))</f>
        <v/>
      </c>
      <c r="T1318" s="57" t="str">
        <f aca="false">IF($S1318="","",INDEX(BookRate,1313)*(1+'5. Scenarios'!$E$10)*$S1318)</f>
        <v/>
      </c>
      <c r="U1318" s="57" t="str">
        <f aca="false">IF($T1318="","",SUMIFS($T$6:$T$2405,$A$6:$A$2405,"&lt;="&amp;$A1318))</f>
        <v/>
      </c>
      <c r="V1318" s="57" t="str">
        <f aca="false">IF($T1318="","",IF($U1318&lt;=BankCostEnvelope*'5. Scenarios'!$E$7,1,0))</f>
        <v/>
      </c>
      <c r="W1318" s="57" t="str">
        <f aca="false">IF($S1318="","",INDEX(BookRate,1313)*(1+'5. Scenarios'!$E$10)*(INDEX(BookQ1,1313)*(5-MIN(4,1+'5. Scenarios'!$E$8))/4+INDEX(BookQ2,1313)*(5-MIN(4,2+'5. Scenarios'!$E$8))/4+INDEX(BookQ3,1313)*(5-MIN(4,3+'5. Scenarios'!$E$8))/4+INDEX(BookQ4,1313)*(5-MIN(4,4+'5. Scenarios'!$E$8))/4)*'5. Scenarios'!$E$6/(1+ProductivityDefault*('5. Scenarios'!$E$11-1))+INDEX(BookOneOff,1313)*$S1318)</f>
        <v/>
      </c>
    </row>
    <row r="1319" customFormat="false" ht="15" hidden="false" customHeight="false" outlineLevel="0" collapsed="false">
      <c r="A1319" s="0" t="str">
        <f aca="false">IF(INDEX(BookTitle,1314)="","",INDEX(BookKey,1314))</f>
        <v/>
      </c>
      <c r="B1319" s="0" t="str">
        <f aca="false">IF(INDEX(BookTitle,1314)="","",INDEX(BookGroup,1314))</f>
        <v/>
      </c>
      <c r="C1319" s="0" t="str">
        <f aca="false">IF(INDEX(BookTitle,1314)="","",INDEX(BookCategory,1314))</f>
        <v/>
      </c>
      <c r="D1319" s="56" t="str">
        <f aca="false">IF(INDEX(BookTitle,1314)="","",INDEX(BookTotal,1314)*'5. Scenarios'!$B$6/(1+ProductivityDefault*('5. Scenarios'!$B$11-1)))</f>
        <v/>
      </c>
      <c r="E1319" s="57" t="str">
        <f aca="false">IF($D1319="","",INDEX(BookRate,1314)*(1+'5. Scenarios'!$B$10)*$D1319)</f>
        <v/>
      </c>
      <c r="F1319" s="57" t="str">
        <f aca="false">IF($E1319="","",SUMIFS($E$6:$E$2405,$A$6:$A$2405,"&lt;="&amp;$A1319))</f>
        <v/>
      </c>
      <c r="G1319" s="57" t="str">
        <f aca="false">IF($E1319="","",IF($F1319&lt;=BankCostEnvelope*'5. Scenarios'!$B$7,1,0))</f>
        <v/>
      </c>
      <c r="H1319" s="57" t="str">
        <f aca="false">IF($D1319="","",INDEX(BookRate,1314)*(1+'5. Scenarios'!$B$10)*(INDEX(BookQ1,1314)*(5-MIN(4,1+'5. Scenarios'!$B$8))/4+INDEX(BookQ2,1314)*(5-MIN(4,2+'5. Scenarios'!$B$8))/4+INDEX(BookQ3,1314)*(5-MIN(4,3+'5. Scenarios'!$B$8))/4+INDEX(BookQ4,1314)*(5-MIN(4,4+'5. Scenarios'!$B$8))/4)*'5. Scenarios'!$B$6/(1+ProductivityDefault*('5. Scenarios'!$B$11-1))+INDEX(BookOneOff,1314)*$D1319)</f>
        <v/>
      </c>
      <c r="I1319" s="56" t="str">
        <f aca="false">IF(INDEX(BookTitle,1314)="","",INDEX(BookTotal,1314)*'5. Scenarios'!$C$6/(1+ProductivityDefault*('5. Scenarios'!$C$11-1)))</f>
        <v/>
      </c>
      <c r="J1319" s="57" t="str">
        <f aca="false">IF($I1319="","",INDEX(BookRate,1314)*(1+'5. Scenarios'!$C$10)*$I1319)</f>
        <v/>
      </c>
      <c r="K1319" s="57" t="str">
        <f aca="false">IF($J1319="","",SUMIFS($J$6:$J$2405,$A$6:$A$2405,"&lt;="&amp;$A1319))</f>
        <v/>
      </c>
      <c r="L1319" s="57" t="str">
        <f aca="false">IF($J1319="","",IF($K1319&lt;=BankCostEnvelope*'5. Scenarios'!$C$7,1,0))</f>
        <v/>
      </c>
      <c r="M1319" s="57" t="str">
        <f aca="false">IF($I1319="","",INDEX(BookRate,1314)*(1+'5. Scenarios'!$C$10)*(INDEX(BookQ1,1314)*(5-MIN(4,1+'5. Scenarios'!$C$8))/4+INDEX(BookQ2,1314)*(5-MIN(4,2+'5. Scenarios'!$C$8))/4+INDEX(BookQ3,1314)*(5-MIN(4,3+'5. Scenarios'!$C$8))/4+INDEX(BookQ4,1314)*(5-MIN(4,4+'5. Scenarios'!$C$8))/4)*'5. Scenarios'!$C$6/(1+ProductivityDefault*('5. Scenarios'!$C$11-1))+INDEX(BookOneOff,1314)*$I1319)</f>
        <v/>
      </c>
      <c r="N1319" s="56" t="str">
        <f aca="false">IF(INDEX(BookTitle,1314)="","",INDEX(BookTotal,1314)*'5. Scenarios'!$D$6/(1+ProductivityDefault*('5. Scenarios'!$D$11-1)))</f>
        <v/>
      </c>
      <c r="O1319" s="57" t="str">
        <f aca="false">IF($N1319="","",INDEX(BookRate,1314)*(1+'5. Scenarios'!$D$10)*$N1319)</f>
        <v/>
      </c>
      <c r="P1319" s="57" t="str">
        <f aca="false">IF($O1319="","",SUMIFS($O$6:$O$2405,$A$6:$A$2405,"&lt;="&amp;$A1319))</f>
        <v/>
      </c>
      <c r="Q1319" s="57" t="str">
        <f aca="false">IF($O1319="","",IF($P1319&lt;=BankCostEnvelope*'5. Scenarios'!$D$7,1,0))</f>
        <v/>
      </c>
      <c r="R1319" s="57" t="str">
        <f aca="false">IF($N1319="","",INDEX(BookRate,1314)*(1+'5. Scenarios'!$D$10)*(INDEX(BookQ1,1314)*(5-MIN(4,1+'5. Scenarios'!$D$8))/4+INDEX(BookQ2,1314)*(5-MIN(4,2+'5. Scenarios'!$D$8))/4+INDEX(BookQ3,1314)*(5-MIN(4,3+'5. Scenarios'!$D$8))/4+INDEX(BookQ4,1314)*(5-MIN(4,4+'5. Scenarios'!$D$8))/4)*'5. Scenarios'!$D$6/(1+ProductivityDefault*('5. Scenarios'!$D$11-1))+INDEX(BookOneOff,1314)*$N1319)</f>
        <v/>
      </c>
      <c r="S1319" s="56" t="str">
        <f aca="false">IF(INDEX(BookTitle,1314)="","",INDEX(BookTotal,1314)*'5. Scenarios'!$E$6/(1+ProductivityDefault*('5. Scenarios'!$E$11-1)))</f>
        <v/>
      </c>
      <c r="T1319" s="57" t="str">
        <f aca="false">IF($S1319="","",INDEX(BookRate,1314)*(1+'5. Scenarios'!$E$10)*$S1319)</f>
        <v/>
      </c>
      <c r="U1319" s="57" t="str">
        <f aca="false">IF($T1319="","",SUMIFS($T$6:$T$2405,$A$6:$A$2405,"&lt;="&amp;$A1319))</f>
        <v/>
      </c>
      <c r="V1319" s="57" t="str">
        <f aca="false">IF($T1319="","",IF($U1319&lt;=BankCostEnvelope*'5. Scenarios'!$E$7,1,0))</f>
        <v/>
      </c>
      <c r="W1319" s="57" t="str">
        <f aca="false">IF($S1319="","",INDEX(BookRate,1314)*(1+'5. Scenarios'!$E$10)*(INDEX(BookQ1,1314)*(5-MIN(4,1+'5. Scenarios'!$E$8))/4+INDEX(BookQ2,1314)*(5-MIN(4,2+'5. Scenarios'!$E$8))/4+INDEX(BookQ3,1314)*(5-MIN(4,3+'5. Scenarios'!$E$8))/4+INDEX(BookQ4,1314)*(5-MIN(4,4+'5. Scenarios'!$E$8))/4)*'5. Scenarios'!$E$6/(1+ProductivityDefault*('5. Scenarios'!$E$11-1))+INDEX(BookOneOff,1314)*$S1319)</f>
        <v/>
      </c>
    </row>
    <row r="1320" customFormat="false" ht="15" hidden="false" customHeight="false" outlineLevel="0" collapsed="false">
      <c r="A1320" s="0" t="str">
        <f aca="false">IF(INDEX(BookTitle,1315)="","",INDEX(BookKey,1315))</f>
        <v/>
      </c>
      <c r="B1320" s="0" t="str">
        <f aca="false">IF(INDEX(BookTitle,1315)="","",INDEX(BookGroup,1315))</f>
        <v/>
      </c>
      <c r="C1320" s="0" t="str">
        <f aca="false">IF(INDEX(BookTitle,1315)="","",INDEX(BookCategory,1315))</f>
        <v/>
      </c>
      <c r="D1320" s="56" t="str">
        <f aca="false">IF(INDEX(BookTitle,1315)="","",INDEX(BookTotal,1315)*'5. Scenarios'!$B$6/(1+ProductivityDefault*('5. Scenarios'!$B$11-1)))</f>
        <v/>
      </c>
      <c r="E1320" s="57" t="str">
        <f aca="false">IF($D1320="","",INDEX(BookRate,1315)*(1+'5. Scenarios'!$B$10)*$D1320)</f>
        <v/>
      </c>
      <c r="F1320" s="57" t="str">
        <f aca="false">IF($E1320="","",SUMIFS($E$6:$E$2405,$A$6:$A$2405,"&lt;="&amp;$A1320))</f>
        <v/>
      </c>
      <c r="G1320" s="57" t="str">
        <f aca="false">IF($E1320="","",IF($F1320&lt;=BankCostEnvelope*'5. Scenarios'!$B$7,1,0))</f>
        <v/>
      </c>
      <c r="H1320" s="57" t="str">
        <f aca="false">IF($D1320="","",INDEX(BookRate,1315)*(1+'5. Scenarios'!$B$10)*(INDEX(BookQ1,1315)*(5-MIN(4,1+'5. Scenarios'!$B$8))/4+INDEX(BookQ2,1315)*(5-MIN(4,2+'5. Scenarios'!$B$8))/4+INDEX(BookQ3,1315)*(5-MIN(4,3+'5. Scenarios'!$B$8))/4+INDEX(BookQ4,1315)*(5-MIN(4,4+'5. Scenarios'!$B$8))/4)*'5. Scenarios'!$B$6/(1+ProductivityDefault*('5. Scenarios'!$B$11-1))+INDEX(BookOneOff,1315)*$D1320)</f>
        <v/>
      </c>
      <c r="I1320" s="56" t="str">
        <f aca="false">IF(INDEX(BookTitle,1315)="","",INDEX(BookTotal,1315)*'5. Scenarios'!$C$6/(1+ProductivityDefault*('5. Scenarios'!$C$11-1)))</f>
        <v/>
      </c>
      <c r="J1320" s="57" t="str">
        <f aca="false">IF($I1320="","",INDEX(BookRate,1315)*(1+'5. Scenarios'!$C$10)*$I1320)</f>
        <v/>
      </c>
      <c r="K1320" s="57" t="str">
        <f aca="false">IF($J1320="","",SUMIFS($J$6:$J$2405,$A$6:$A$2405,"&lt;="&amp;$A1320))</f>
        <v/>
      </c>
      <c r="L1320" s="57" t="str">
        <f aca="false">IF($J1320="","",IF($K1320&lt;=BankCostEnvelope*'5. Scenarios'!$C$7,1,0))</f>
        <v/>
      </c>
      <c r="M1320" s="57" t="str">
        <f aca="false">IF($I1320="","",INDEX(BookRate,1315)*(1+'5. Scenarios'!$C$10)*(INDEX(BookQ1,1315)*(5-MIN(4,1+'5. Scenarios'!$C$8))/4+INDEX(BookQ2,1315)*(5-MIN(4,2+'5. Scenarios'!$C$8))/4+INDEX(BookQ3,1315)*(5-MIN(4,3+'5. Scenarios'!$C$8))/4+INDEX(BookQ4,1315)*(5-MIN(4,4+'5. Scenarios'!$C$8))/4)*'5. Scenarios'!$C$6/(1+ProductivityDefault*('5. Scenarios'!$C$11-1))+INDEX(BookOneOff,1315)*$I1320)</f>
        <v/>
      </c>
      <c r="N1320" s="56" t="str">
        <f aca="false">IF(INDEX(BookTitle,1315)="","",INDEX(BookTotal,1315)*'5. Scenarios'!$D$6/(1+ProductivityDefault*('5. Scenarios'!$D$11-1)))</f>
        <v/>
      </c>
      <c r="O1320" s="57" t="str">
        <f aca="false">IF($N1320="","",INDEX(BookRate,1315)*(1+'5. Scenarios'!$D$10)*$N1320)</f>
        <v/>
      </c>
      <c r="P1320" s="57" t="str">
        <f aca="false">IF($O1320="","",SUMIFS($O$6:$O$2405,$A$6:$A$2405,"&lt;="&amp;$A1320))</f>
        <v/>
      </c>
      <c r="Q1320" s="57" t="str">
        <f aca="false">IF($O1320="","",IF($P1320&lt;=BankCostEnvelope*'5. Scenarios'!$D$7,1,0))</f>
        <v/>
      </c>
      <c r="R1320" s="57" t="str">
        <f aca="false">IF($N1320="","",INDEX(BookRate,1315)*(1+'5. Scenarios'!$D$10)*(INDEX(BookQ1,1315)*(5-MIN(4,1+'5. Scenarios'!$D$8))/4+INDEX(BookQ2,1315)*(5-MIN(4,2+'5. Scenarios'!$D$8))/4+INDEX(BookQ3,1315)*(5-MIN(4,3+'5. Scenarios'!$D$8))/4+INDEX(BookQ4,1315)*(5-MIN(4,4+'5. Scenarios'!$D$8))/4)*'5. Scenarios'!$D$6/(1+ProductivityDefault*('5. Scenarios'!$D$11-1))+INDEX(BookOneOff,1315)*$N1320)</f>
        <v/>
      </c>
      <c r="S1320" s="56" t="str">
        <f aca="false">IF(INDEX(BookTitle,1315)="","",INDEX(BookTotal,1315)*'5. Scenarios'!$E$6/(1+ProductivityDefault*('5. Scenarios'!$E$11-1)))</f>
        <v/>
      </c>
      <c r="T1320" s="57" t="str">
        <f aca="false">IF($S1320="","",INDEX(BookRate,1315)*(1+'5. Scenarios'!$E$10)*$S1320)</f>
        <v/>
      </c>
      <c r="U1320" s="57" t="str">
        <f aca="false">IF($T1320="","",SUMIFS($T$6:$T$2405,$A$6:$A$2405,"&lt;="&amp;$A1320))</f>
        <v/>
      </c>
      <c r="V1320" s="57" t="str">
        <f aca="false">IF($T1320="","",IF($U1320&lt;=BankCostEnvelope*'5. Scenarios'!$E$7,1,0))</f>
        <v/>
      </c>
      <c r="W1320" s="57" t="str">
        <f aca="false">IF($S1320="","",INDEX(BookRate,1315)*(1+'5. Scenarios'!$E$10)*(INDEX(BookQ1,1315)*(5-MIN(4,1+'5. Scenarios'!$E$8))/4+INDEX(BookQ2,1315)*(5-MIN(4,2+'5. Scenarios'!$E$8))/4+INDEX(BookQ3,1315)*(5-MIN(4,3+'5. Scenarios'!$E$8))/4+INDEX(BookQ4,1315)*(5-MIN(4,4+'5. Scenarios'!$E$8))/4)*'5. Scenarios'!$E$6/(1+ProductivityDefault*('5. Scenarios'!$E$11-1))+INDEX(BookOneOff,1315)*$S1320)</f>
        <v/>
      </c>
    </row>
    <row r="1321" customFormat="false" ht="15" hidden="false" customHeight="false" outlineLevel="0" collapsed="false">
      <c r="A1321" s="0" t="str">
        <f aca="false">IF(INDEX(BookTitle,1316)="","",INDEX(BookKey,1316))</f>
        <v/>
      </c>
      <c r="B1321" s="0" t="str">
        <f aca="false">IF(INDEX(BookTitle,1316)="","",INDEX(BookGroup,1316))</f>
        <v/>
      </c>
      <c r="C1321" s="0" t="str">
        <f aca="false">IF(INDEX(BookTitle,1316)="","",INDEX(BookCategory,1316))</f>
        <v/>
      </c>
      <c r="D1321" s="56" t="str">
        <f aca="false">IF(INDEX(BookTitle,1316)="","",INDEX(BookTotal,1316)*'5. Scenarios'!$B$6/(1+ProductivityDefault*('5. Scenarios'!$B$11-1)))</f>
        <v/>
      </c>
      <c r="E1321" s="57" t="str">
        <f aca="false">IF($D1321="","",INDEX(BookRate,1316)*(1+'5. Scenarios'!$B$10)*$D1321)</f>
        <v/>
      </c>
      <c r="F1321" s="57" t="str">
        <f aca="false">IF($E1321="","",SUMIFS($E$6:$E$2405,$A$6:$A$2405,"&lt;="&amp;$A1321))</f>
        <v/>
      </c>
      <c r="G1321" s="57" t="str">
        <f aca="false">IF($E1321="","",IF($F1321&lt;=BankCostEnvelope*'5. Scenarios'!$B$7,1,0))</f>
        <v/>
      </c>
      <c r="H1321" s="57" t="str">
        <f aca="false">IF($D1321="","",INDEX(BookRate,1316)*(1+'5. Scenarios'!$B$10)*(INDEX(BookQ1,1316)*(5-MIN(4,1+'5. Scenarios'!$B$8))/4+INDEX(BookQ2,1316)*(5-MIN(4,2+'5. Scenarios'!$B$8))/4+INDEX(BookQ3,1316)*(5-MIN(4,3+'5. Scenarios'!$B$8))/4+INDEX(BookQ4,1316)*(5-MIN(4,4+'5. Scenarios'!$B$8))/4)*'5. Scenarios'!$B$6/(1+ProductivityDefault*('5. Scenarios'!$B$11-1))+INDEX(BookOneOff,1316)*$D1321)</f>
        <v/>
      </c>
      <c r="I1321" s="56" t="str">
        <f aca="false">IF(INDEX(BookTitle,1316)="","",INDEX(BookTotal,1316)*'5. Scenarios'!$C$6/(1+ProductivityDefault*('5. Scenarios'!$C$11-1)))</f>
        <v/>
      </c>
      <c r="J1321" s="57" t="str">
        <f aca="false">IF($I1321="","",INDEX(BookRate,1316)*(1+'5. Scenarios'!$C$10)*$I1321)</f>
        <v/>
      </c>
      <c r="K1321" s="57" t="str">
        <f aca="false">IF($J1321="","",SUMIFS($J$6:$J$2405,$A$6:$A$2405,"&lt;="&amp;$A1321))</f>
        <v/>
      </c>
      <c r="L1321" s="57" t="str">
        <f aca="false">IF($J1321="","",IF($K1321&lt;=BankCostEnvelope*'5. Scenarios'!$C$7,1,0))</f>
        <v/>
      </c>
      <c r="M1321" s="57" t="str">
        <f aca="false">IF($I1321="","",INDEX(BookRate,1316)*(1+'5. Scenarios'!$C$10)*(INDEX(BookQ1,1316)*(5-MIN(4,1+'5. Scenarios'!$C$8))/4+INDEX(BookQ2,1316)*(5-MIN(4,2+'5. Scenarios'!$C$8))/4+INDEX(BookQ3,1316)*(5-MIN(4,3+'5. Scenarios'!$C$8))/4+INDEX(BookQ4,1316)*(5-MIN(4,4+'5. Scenarios'!$C$8))/4)*'5. Scenarios'!$C$6/(1+ProductivityDefault*('5. Scenarios'!$C$11-1))+INDEX(BookOneOff,1316)*$I1321)</f>
        <v/>
      </c>
      <c r="N1321" s="56" t="str">
        <f aca="false">IF(INDEX(BookTitle,1316)="","",INDEX(BookTotal,1316)*'5. Scenarios'!$D$6/(1+ProductivityDefault*('5. Scenarios'!$D$11-1)))</f>
        <v/>
      </c>
      <c r="O1321" s="57" t="str">
        <f aca="false">IF($N1321="","",INDEX(BookRate,1316)*(1+'5. Scenarios'!$D$10)*$N1321)</f>
        <v/>
      </c>
      <c r="P1321" s="57" t="str">
        <f aca="false">IF($O1321="","",SUMIFS($O$6:$O$2405,$A$6:$A$2405,"&lt;="&amp;$A1321))</f>
        <v/>
      </c>
      <c r="Q1321" s="57" t="str">
        <f aca="false">IF($O1321="","",IF($P1321&lt;=BankCostEnvelope*'5. Scenarios'!$D$7,1,0))</f>
        <v/>
      </c>
      <c r="R1321" s="57" t="str">
        <f aca="false">IF($N1321="","",INDEX(BookRate,1316)*(1+'5. Scenarios'!$D$10)*(INDEX(BookQ1,1316)*(5-MIN(4,1+'5. Scenarios'!$D$8))/4+INDEX(BookQ2,1316)*(5-MIN(4,2+'5. Scenarios'!$D$8))/4+INDEX(BookQ3,1316)*(5-MIN(4,3+'5. Scenarios'!$D$8))/4+INDEX(BookQ4,1316)*(5-MIN(4,4+'5. Scenarios'!$D$8))/4)*'5. Scenarios'!$D$6/(1+ProductivityDefault*('5. Scenarios'!$D$11-1))+INDEX(BookOneOff,1316)*$N1321)</f>
        <v/>
      </c>
      <c r="S1321" s="56" t="str">
        <f aca="false">IF(INDEX(BookTitle,1316)="","",INDEX(BookTotal,1316)*'5. Scenarios'!$E$6/(1+ProductivityDefault*('5. Scenarios'!$E$11-1)))</f>
        <v/>
      </c>
      <c r="T1321" s="57" t="str">
        <f aca="false">IF($S1321="","",INDEX(BookRate,1316)*(1+'5. Scenarios'!$E$10)*$S1321)</f>
        <v/>
      </c>
      <c r="U1321" s="57" t="str">
        <f aca="false">IF($T1321="","",SUMIFS($T$6:$T$2405,$A$6:$A$2405,"&lt;="&amp;$A1321))</f>
        <v/>
      </c>
      <c r="V1321" s="57" t="str">
        <f aca="false">IF($T1321="","",IF($U1321&lt;=BankCostEnvelope*'5. Scenarios'!$E$7,1,0))</f>
        <v/>
      </c>
      <c r="W1321" s="57" t="str">
        <f aca="false">IF($S1321="","",INDEX(BookRate,1316)*(1+'5. Scenarios'!$E$10)*(INDEX(BookQ1,1316)*(5-MIN(4,1+'5. Scenarios'!$E$8))/4+INDEX(BookQ2,1316)*(5-MIN(4,2+'5. Scenarios'!$E$8))/4+INDEX(BookQ3,1316)*(5-MIN(4,3+'5. Scenarios'!$E$8))/4+INDEX(BookQ4,1316)*(5-MIN(4,4+'5. Scenarios'!$E$8))/4)*'5. Scenarios'!$E$6/(1+ProductivityDefault*('5. Scenarios'!$E$11-1))+INDEX(BookOneOff,1316)*$S1321)</f>
        <v/>
      </c>
    </row>
    <row r="1322" customFormat="false" ht="15" hidden="false" customHeight="false" outlineLevel="0" collapsed="false">
      <c r="A1322" s="0" t="str">
        <f aca="false">IF(INDEX(BookTitle,1317)="","",INDEX(BookKey,1317))</f>
        <v/>
      </c>
      <c r="B1322" s="0" t="str">
        <f aca="false">IF(INDEX(BookTitle,1317)="","",INDEX(BookGroup,1317))</f>
        <v/>
      </c>
      <c r="C1322" s="0" t="str">
        <f aca="false">IF(INDEX(BookTitle,1317)="","",INDEX(BookCategory,1317))</f>
        <v/>
      </c>
      <c r="D1322" s="56" t="str">
        <f aca="false">IF(INDEX(BookTitle,1317)="","",INDEX(BookTotal,1317)*'5. Scenarios'!$B$6/(1+ProductivityDefault*('5. Scenarios'!$B$11-1)))</f>
        <v/>
      </c>
      <c r="E1322" s="57" t="str">
        <f aca="false">IF($D1322="","",INDEX(BookRate,1317)*(1+'5. Scenarios'!$B$10)*$D1322)</f>
        <v/>
      </c>
      <c r="F1322" s="57" t="str">
        <f aca="false">IF($E1322="","",SUMIFS($E$6:$E$2405,$A$6:$A$2405,"&lt;="&amp;$A1322))</f>
        <v/>
      </c>
      <c r="G1322" s="57" t="str">
        <f aca="false">IF($E1322="","",IF($F1322&lt;=BankCostEnvelope*'5. Scenarios'!$B$7,1,0))</f>
        <v/>
      </c>
      <c r="H1322" s="57" t="str">
        <f aca="false">IF($D1322="","",INDEX(BookRate,1317)*(1+'5. Scenarios'!$B$10)*(INDEX(BookQ1,1317)*(5-MIN(4,1+'5. Scenarios'!$B$8))/4+INDEX(BookQ2,1317)*(5-MIN(4,2+'5. Scenarios'!$B$8))/4+INDEX(BookQ3,1317)*(5-MIN(4,3+'5. Scenarios'!$B$8))/4+INDEX(BookQ4,1317)*(5-MIN(4,4+'5. Scenarios'!$B$8))/4)*'5. Scenarios'!$B$6/(1+ProductivityDefault*('5. Scenarios'!$B$11-1))+INDEX(BookOneOff,1317)*$D1322)</f>
        <v/>
      </c>
      <c r="I1322" s="56" t="str">
        <f aca="false">IF(INDEX(BookTitle,1317)="","",INDEX(BookTotal,1317)*'5. Scenarios'!$C$6/(1+ProductivityDefault*('5. Scenarios'!$C$11-1)))</f>
        <v/>
      </c>
      <c r="J1322" s="57" t="str">
        <f aca="false">IF($I1322="","",INDEX(BookRate,1317)*(1+'5. Scenarios'!$C$10)*$I1322)</f>
        <v/>
      </c>
      <c r="K1322" s="57" t="str">
        <f aca="false">IF($J1322="","",SUMIFS($J$6:$J$2405,$A$6:$A$2405,"&lt;="&amp;$A1322))</f>
        <v/>
      </c>
      <c r="L1322" s="57" t="str">
        <f aca="false">IF($J1322="","",IF($K1322&lt;=BankCostEnvelope*'5. Scenarios'!$C$7,1,0))</f>
        <v/>
      </c>
      <c r="M1322" s="57" t="str">
        <f aca="false">IF($I1322="","",INDEX(BookRate,1317)*(1+'5. Scenarios'!$C$10)*(INDEX(BookQ1,1317)*(5-MIN(4,1+'5. Scenarios'!$C$8))/4+INDEX(BookQ2,1317)*(5-MIN(4,2+'5. Scenarios'!$C$8))/4+INDEX(BookQ3,1317)*(5-MIN(4,3+'5. Scenarios'!$C$8))/4+INDEX(BookQ4,1317)*(5-MIN(4,4+'5. Scenarios'!$C$8))/4)*'5. Scenarios'!$C$6/(1+ProductivityDefault*('5. Scenarios'!$C$11-1))+INDEX(BookOneOff,1317)*$I1322)</f>
        <v/>
      </c>
      <c r="N1322" s="56" t="str">
        <f aca="false">IF(INDEX(BookTitle,1317)="","",INDEX(BookTotal,1317)*'5. Scenarios'!$D$6/(1+ProductivityDefault*('5. Scenarios'!$D$11-1)))</f>
        <v/>
      </c>
      <c r="O1322" s="57" t="str">
        <f aca="false">IF($N1322="","",INDEX(BookRate,1317)*(1+'5. Scenarios'!$D$10)*$N1322)</f>
        <v/>
      </c>
      <c r="P1322" s="57" t="str">
        <f aca="false">IF($O1322="","",SUMIFS($O$6:$O$2405,$A$6:$A$2405,"&lt;="&amp;$A1322))</f>
        <v/>
      </c>
      <c r="Q1322" s="57" t="str">
        <f aca="false">IF($O1322="","",IF($P1322&lt;=BankCostEnvelope*'5. Scenarios'!$D$7,1,0))</f>
        <v/>
      </c>
      <c r="R1322" s="57" t="str">
        <f aca="false">IF($N1322="","",INDEX(BookRate,1317)*(1+'5. Scenarios'!$D$10)*(INDEX(BookQ1,1317)*(5-MIN(4,1+'5. Scenarios'!$D$8))/4+INDEX(BookQ2,1317)*(5-MIN(4,2+'5. Scenarios'!$D$8))/4+INDEX(BookQ3,1317)*(5-MIN(4,3+'5. Scenarios'!$D$8))/4+INDEX(BookQ4,1317)*(5-MIN(4,4+'5. Scenarios'!$D$8))/4)*'5. Scenarios'!$D$6/(1+ProductivityDefault*('5. Scenarios'!$D$11-1))+INDEX(BookOneOff,1317)*$N1322)</f>
        <v/>
      </c>
      <c r="S1322" s="56" t="str">
        <f aca="false">IF(INDEX(BookTitle,1317)="","",INDEX(BookTotal,1317)*'5. Scenarios'!$E$6/(1+ProductivityDefault*('5. Scenarios'!$E$11-1)))</f>
        <v/>
      </c>
      <c r="T1322" s="57" t="str">
        <f aca="false">IF($S1322="","",INDEX(BookRate,1317)*(1+'5. Scenarios'!$E$10)*$S1322)</f>
        <v/>
      </c>
      <c r="U1322" s="57" t="str">
        <f aca="false">IF($T1322="","",SUMIFS($T$6:$T$2405,$A$6:$A$2405,"&lt;="&amp;$A1322))</f>
        <v/>
      </c>
      <c r="V1322" s="57" t="str">
        <f aca="false">IF($T1322="","",IF($U1322&lt;=BankCostEnvelope*'5. Scenarios'!$E$7,1,0))</f>
        <v/>
      </c>
      <c r="W1322" s="57" t="str">
        <f aca="false">IF($S1322="","",INDEX(BookRate,1317)*(1+'5. Scenarios'!$E$10)*(INDEX(BookQ1,1317)*(5-MIN(4,1+'5. Scenarios'!$E$8))/4+INDEX(BookQ2,1317)*(5-MIN(4,2+'5. Scenarios'!$E$8))/4+INDEX(BookQ3,1317)*(5-MIN(4,3+'5. Scenarios'!$E$8))/4+INDEX(BookQ4,1317)*(5-MIN(4,4+'5. Scenarios'!$E$8))/4)*'5. Scenarios'!$E$6/(1+ProductivityDefault*('5. Scenarios'!$E$11-1))+INDEX(BookOneOff,1317)*$S1322)</f>
        <v/>
      </c>
    </row>
    <row r="1323" customFormat="false" ht="15" hidden="false" customHeight="false" outlineLevel="0" collapsed="false">
      <c r="A1323" s="0" t="str">
        <f aca="false">IF(INDEX(BookTitle,1318)="","",INDEX(BookKey,1318))</f>
        <v/>
      </c>
      <c r="B1323" s="0" t="str">
        <f aca="false">IF(INDEX(BookTitle,1318)="","",INDEX(BookGroup,1318))</f>
        <v/>
      </c>
      <c r="C1323" s="0" t="str">
        <f aca="false">IF(INDEX(BookTitle,1318)="","",INDEX(BookCategory,1318))</f>
        <v/>
      </c>
      <c r="D1323" s="56" t="str">
        <f aca="false">IF(INDEX(BookTitle,1318)="","",INDEX(BookTotal,1318)*'5. Scenarios'!$B$6/(1+ProductivityDefault*('5. Scenarios'!$B$11-1)))</f>
        <v/>
      </c>
      <c r="E1323" s="57" t="str">
        <f aca="false">IF($D1323="","",INDEX(BookRate,1318)*(1+'5. Scenarios'!$B$10)*$D1323)</f>
        <v/>
      </c>
      <c r="F1323" s="57" t="str">
        <f aca="false">IF($E1323="","",SUMIFS($E$6:$E$2405,$A$6:$A$2405,"&lt;="&amp;$A1323))</f>
        <v/>
      </c>
      <c r="G1323" s="57" t="str">
        <f aca="false">IF($E1323="","",IF($F1323&lt;=BankCostEnvelope*'5. Scenarios'!$B$7,1,0))</f>
        <v/>
      </c>
      <c r="H1323" s="57" t="str">
        <f aca="false">IF($D1323="","",INDEX(BookRate,1318)*(1+'5. Scenarios'!$B$10)*(INDEX(BookQ1,1318)*(5-MIN(4,1+'5. Scenarios'!$B$8))/4+INDEX(BookQ2,1318)*(5-MIN(4,2+'5. Scenarios'!$B$8))/4+INDEX(BookQ3,1318)*(5-MIN(4,3+'5. Scenarios'!$B$8))/4+INDEX(BookQ4,1318)*(5-MIN(4,4+'5. Scenarios'!$B$8))/4)*'5. Scenarios'!$B$6/(1+ProductivityDefault*('5. Scenarios'!$B$11-1))+INDEX(BookOneOff,1318)*$D1323)</f>
        <v/>
      </c>
      <c r="I1323" s="56" t="str">
        <f aca="false">IF(INDEX(BookTitle,1318)="","",INDEX(BookTotal,1318)*'5. Scenarios'!$C$6/(1+ProductivityDefault*('5. Scenarios'!$C$11-1)))</f>
        <v/>
      </c>
      <c r="J1323" s="57" t="str">
        <f aca="false">IF($I1323="","",INDEX(BookRate,1318)*(1+'5. Scenarios'!$C$10)*$I1323)</f>
        <v/>
      </c>
      <c r="K1323" s="57" t="str">
        <f aca="false">IF($J1323="","",SUMIFS($J$6:$J$2405,$A$6:$A$2405,"&lt;="&amp;$A1323))</f>
        <v/>
      </c>
      <c r="L1323" s="57" t="str">
        <f aca="false">IF($J1323="","",IF($K1323&lt;=BankCostEnvelope*'5. Scenarios'!$C$7,1,0))</f>
        <v/>
      </c>
      <c r="M1323" s="57" t="str">
        <f aca="false">IF($I1323="","",INDEX(BookRate,1318)*(1+'5. Scenarios'!$C$10)*(INDEX(BookQ1,1318)*(5-MIN(4,1+'5. Scenarios'!$C$8))/4+INDEX(BookQ2,1318)*(5-MIN(4,2+'5. Scenarios'!$C$8))/4+INDEX(BookQ3,1318)*(5-MIN(4,3+'5. Scenarios'!$C$8))/4+INDEX(BookQ4,1318)*(5-MIN(4,4+'5. Scenarios'!$C$8))/4)*'5. Scenarios'!$C$6/(1+ProductivityDefault*('5. Scenarios'!$C$11-1))+INDEX(BookOneOff,1318)*$I1323)</f>
        <v/>
      </c>
      <c r="N1323" s="56" t="str">
        <f aca="false">IF(INDEX(BookTitle,1318)="","",INDEX(BookTotal,1318)*'5. Scenarios'!$D$6/(1+ProductivityDefault*('5. Scenarios'!$D$11-1)))</f>
        <v/>
      </c>
      <c r="O1323" s="57" t="str">
        <f aca="false">IF($N1323="","",INDEX(BookRate,1318)*(1+'5. Scenarios'!$D$10)*$N1323)</f>
        <v/>
      </c>
      <c r="P1323" s="57" t="str">
        <f aca="false">IF($O1323="","",SUMIFS($O$6:$O$2405,$A$6:$A$2405,"&lt;="&amp;$A1323))</f>
        <v/>
      </c>
      <c r="Q1323" s="57" t="str">
        <f aca="false">IF($O1323="","",IF($P1323&lt;=BankCostEnvelope*'5. Scenarios'!$D$7,1,0))</f>
        <v/>
      </c>
      <c r="R1323" s="57" t="str">
        <f aca="false">IF($N1323="","",INDEX(BookRate,1318)*(1+'5. Scenarios'!$D$10)*(INDEX(BookQ1,1318)*(5-MIN(4,1+'5. Scenarios'!$D$8))/4+INDEX(BookQ2,1318)*(5-MIN(4,2+'5. Scenarios'!$D$8))/4+INDEX(BookQ3,1318)*(5-MIN(4,3+'5. Scenarios'!$D$8))/4+INDEX(BookQ4,1318)*(5-MIN(4,4+'5. Scenarios'!$D$8))/4)*'5. Scenarios'!$D$6/(1+ProductivityDefault*('5. Scenarios'!$D$11-1))+INDEX(BookOneOff,1318)*$N1323)</f>
        <v/>
      </c>
      <c r="S1323" s="56" t="str">
        <f aca="false">IF(INDEX(BookTitle,1318)="","",INDEX(BookTotal,1318)*'5. Scenarios'!$E$6/(1+ProductivityDefault*('5. Scenarios'!$E$11-1)))</f>
        <v/>
      </c>
      <c r="T1323" s="57" t="str">
        <f aca="false">IF($S1323="","",INDEX(BookRate,1318)*(1+'5. Scenarios'!$E$10)*$S1323)</f>
        <v/>
      </c>
      <c r="U1323" s="57" t="str">
        <f aca="false">IF($T1323="","",SUMIFS($T$6:$T$2405,$A$6:$A$2405,"&lt;="&amp;$A1323))</f>
        <v/>
      </c>
      <c r="V1323" s="57" t="str">
        <f aca="false">IF($T1323="","",IF($U1323&lt;=BankCostEnvelope*'5. Scenarios'!$E$7,1,0))</f>
        <v/>
      </c>
      <c r="W1323" s="57" t="str">
        <f aca="false">IF($S1323="","",INDEX(BookRate,1318)*(1+'5. Scenarios'!$E$10)*(INDEX(BookQ1,1318)*(5-MIN(4,1+'5. Scenarios'!$E$8))/4+INDEX(BookQ2,1318)*(5-MIN(4,2+'5. Scenarios'!$E$8))/4+INDEX(BookQ3,1318)*(5-MIN(4,3+'5. Scenarios'!$E$8))/4+INDEX(BookQ4,1318)*(5-MIN(4,4+'5. Scenarios'!$E$8))/4)*'5. Scenarios'!$E$6/(1+ProductivityDefault*('5. Scenarios'!$E$11-1))+INDEX(BookOneOff,1318)*$S1323)</f>
        <v/>
      </c>
    </row>
    <row r="1324" customFormat="false" ht="15" hidden="false" customHeight="false" outlineLevel="0" collapsed="false">
      <c r="A1324" s="0" t="str">
        <f aca="false">IF(INDEX(BookTitle,1319)="","",INDEX(BookKey,1319))</f>
        <v/>
      </c>
      <c r="B1324" s="0" t="str">
        <f aca="false">IF(INDEX(BookTitle,1319)="","",INDEX(BookGroup,1319))</f>
        <v/>
      </c>
      <c r="C1324" s="0" t="str">
        <f aca="false">IF(INDEX(BookTitle,1319)="","",INDEX(BookCategory,1319))</f>
        <v/>
      </c>
      <c r="D1324" s="56" t="str">
        <f aca="false">IF(INDEX(BookTitle,1319)="","",INDEX(BookTotal,1319)*'5. Scenarios'!$B$6/(1+ProductivityDefault*('5. Scenarios'!$B$11-1)))</f>
        <v/>
      </c>
      <c r="E1324" s="57" t="str">
        <f aca="false">IF($D1324="","",INDEX(BookRate,1319)*(1+'5. Scenarios'!$B$10)*$D1324)</f>
        <v/>
      </c>
      <c r="F1324" s="57" t="str">
        <f aca="false">IF($E1324="","",SUMIFS($E$6:$E$2405,$A$6:$A$2405,"&lt;="&amp;$A1324))</f>
        <v/>
      </c>
      <c r="G1324" s="57" t="str">
        <f aca="false">IF($E1324="","",IF($F1324&lt;=BankCostEnvelope*'5. Scenarios'!$B$7,1,0))</f>
        <v/>
      </c>
      <c r="H1324" s="57" t="str">
        <f aca="false">IF($D1324="","",INDEX(BookRate,1319)*(1+'5. Scenarios'!$B$10)*(INDEX(BookQ1,1319)*(5-MIN(4,1+'5. Scenarios'!$B$8))/4+INDEX(BookQ2,1319)*(5-MIN(4,2+'5. Scenarios'!$B$8))/4+INDEX(BookQ3,1319)*(5-MIN(4,3+'5. Scenarios'!$B$8))/4+INDEX(BookQ4,1319)*(5-MIN(4,4+'5. Scenarios'!$B$8))/4)*'5. Scenarios'!$B$6/(1+ProductivityDefault*('5. Scenarios'!$B$11-1))+INDEX(BookOneOff,1319)*$D1324)</f>
        <v/>
      </c>
      <c r="I1324" s="56" t="str">
        <f aca="false">IF(INDEX(BookTitle,1319)="","",INDEX(BookTotal,1319)*'5. Scenarios'!$C$6/(1+ProductivityDefault*('5. Scenarios'!$C$11-1)))</f>
        <v/>
      </c>
      <c r="J1324" s="57" t="str">
        <f aca="false">IF($I1324="","",INDEX(BookRate,1319)*(1+'5. Scenarios'!$C$10)*$I1324)</f>
        <v/>
      </c>
      <c r="K1324" s="57" t="str">
        <f aca="false">IF($J1324="","",SUMIFS($J$6:$J$2405,$A$6:$A$2405,"&lt;="&amp;$A1324))</f>
        <v/>
      </c>
      <c r="L1324" s="57" t="str">
        <f aca="false">IF($J1324="","",IF($K1324&lt;=BankCostEnvelope*'5. Scenarios'!$C$7,1,0))</f>
        <v/>
      </c>
      <c r="M1324" s="57" t="str">
        <f aca="false">IF($I1324="","",INDEX(BookRate,1319)*(1+'5. Scenarios'!$C$10)*(INDEX(BookQ1,1319)*(5-MIN(4,1+'5. Scenarios'!$C$8))/4+INDEX(BookQ2,1319)*(5-MIN(4,2+'5. Scenarios'!$C$8))/4+INDEX(BookQ3,1319)*(5-MIN(4,3+'5. Scenarios'!$C$8))/4+INDEX(BookQ4,1319)*(5-MIN(4,4+'5. Scenarios'!$C$8))/4)*'5. Scenarios'!$C$6/(1+ProductivityDefault*('5. Scenarios'!$C$11-1))+INDEX(BookOneOff,1319)*$I1324)</f>
        <v/>
      </c>
      <c r="N1324" s="56" t="str">
        <f aca="false">IF(INDEX(BookTitle,1319)="","",INDEX(BookTotal,1319)*'5. Scenarios'!$D$6/(1+ProductivityDefault*('5. Scenarios'!$D$11-1)))</f>
        <v/>
      </c>
      <c r="O1324" s="57" t="str">
        <f aca="false">IF($N1324="","",INDEX(BookRate,1319)*(1+'5. Scenarios'!$D$10)*$N1324)</f>
        <v/>
      </c>
      <c r="P1324" s="57" t="str">
        <f aca="false">IF($O1324="","",SUMIFS($O$6:$O$2405,$A$6:$A$2405,"&lt;="&amp;$A1324))</f>
        <v/>
      </c>
      <c r="Q1324" s="57" t="str">
        <f aca="false">IF($O1324="","",IF($P1324&lt;=BankCostEnvelope*'5. Scenarios'!$D$7,1,0))</f>
        <v/>
      </c>
      <c r="R1324" s="57" t="str">
        <f aca="false">IF($N1324="","",INDEX(BookRate,1319)*(1+'5. Scenarios'!$D$10)*(INDEX(BookQ1,1319)*(5-MIN(4,1+'5. Scenarios'!$D$8))/4+INDEX(BookQ2,1319)*(5-MIN(4,2+'5. Scenarios'!$D$8))/4+INDEX(BookQ3,1319)*(5-MIN(4,3+'5. Scenarios'!$D$8))/4+INDEX(BookQ4,1319)*(5-MIN(4,4+'5. Scenarios'!$D$8))/4)*'5. Scenarios'!$D$6/(1+ProductivityDefault*('5. Scenarios'!$D$11-1))+INDEX(BookOneOff,1319)*$N1324)</f>
        <v/>
      </c>
      <c r="S1324" s="56" t="str">
        <f aca="false">IF(INDEX(BookTitle,1319)="","",INDEX(BookTotal,1319)*'5. Scenarios'!$E$6/(1+ProductivityDefault*('5. Scenarios'!$E$11-1)))</f>
        <v/>
      </c>
      <c r="T1324" s="57" t="str">
        <f aca="false">IF($S1324="","",INDEX(BookRate,1319)*(1+'5. Scenarios'!$E$10)*$S1324)</f>
        <v/>
      </c>
      <c r="U1324" s="57" t="str">
        <f aca="false">IF($T1324="","",SUMIFS($T$6:$T$2405,$A$6:$A$2405,"&lt;="&amp;$A1324))</f>
        <v/>
      </c>
      <c r="V1324" s="57" t="str">
        <f aca="false">IF($T1324="","",IF($U1324&lt;=BankCostEnvelope*'5. Scenarios'!$E$7,1,0))</f>
        <v/>
      </c>
      <c r="W1324" s="57" t="str">
        <f aca="false">IF($S1324="","",INDEX(BookRate,1319)*(1+'5. Scenarios'!$E$10)*(INDEX(BookQ1,1319)*(5-MIN(4,1+'5. Scenarios'!$E$8))/4+INDEX(BookQ2,1319)*(5-MIN(4,2+'5. Scenarios'!$E$8))/4+INDEX(BookQ3,1319)*(5-MIN(4,3+'5. Scenarios'!$E$8))/4+INDEX(BookQ4,1319)*(5-MIN(4,4+'5. Scenarios'!$E$8))/4)*'5. Scenarios'!$E$6/(1+ProductivityDefault*('5. Scenarios'!$E$11-1))+INDEX(BookOneOff,1319)*$S1324)</f>
        <v/>
      </c>
    </row>
    <row r="1325" customFormat="false" ht="15" hidden="false" customHeight="false" outlineLevel="0" collapsed="false">
      <c r="A1325" s="0" t="str">
        <f aca="false">IF(INDEX(BookTitle,1320)="","",INDEX(BookKey,1320))</f>
        <v/>
      </c>
      <c r="B1325" s="0" t="str">
        <f aca="false">IF(INDEX(BookTitle,1320)="","",INDEX(BookGroup,1320))</f>
        <v/>
      </c>
      <c r="C1325" s="0" t="str">
        <f aca="false">IF(INDEX(BookTitle,1320)="","",INDEX(BookCategory,1320))</f>
        <v/>
      </c>
      <c r="D1325" s="56" t="str">
        <f aca="false">IF(INDEX(BookTitle,1320)="","",INDEX(BookTotal,1320)*'5. Scenarios'!$B$6/(1+ProductivityDefault*('5. Scenarios'!$B$11-1)))</f>
        <v/>
      </c>
      <c r="E1325" s="57" t="str">
        <f aca="false">IF($D1325="","",INDEX(BookRate,1320)*(1+'5. Scenarios'!$B$10)*$D1325)</f>
        <v/>
      </c>
      <c r="F1325" s="57" t="str">
        <f aca="false">IF($E1325="","",SUMIFS($E$6:$E$2405,$A$6:$A$2405,"&lt;="&amp;$A1325))</f>
        <v/>
      </c>
      <c r="G1325" s="57" t="str">
        <f aca="false">IF($E1325="","",IF($F1325&lt;=BankCostEnvelope*'5. Scenarios'!$B$7,1,0))</f>
        <v/>
      </c>
      <c r="H1325" s="57" t="str">
        <f aca="false">IF($D1325="","",INDEX(BookRate,1320)*(1+'5. Scenarios'!$B$10)*(INDEX(BookQ1,1320)*(5-MIN(4,1+'5. Scenarios'!$B$8))/4+INDEX(BookQ2,1320)*(5-MIN(4,2+'5. Scenarios'!$B$8))/4+INDEX(BookQ3,1320)*(5-MIN(4,3+'5. Scenarios'!$B$8))/4+INDEX(BookQ4,1320)*(5-MIN(4,4+'5. Scenarios'!$B$8))/4)*'5. Scenarios'!$B$6/(1+ProductivityDefault*('5. Scenarios'!$B$11-1))+INDEX(BookOneOff,1320)*$D1325)</f>
        <v/>
      </c>
      <c r="I1325" s="56" t="str">
        <f aca="false">IF(INDEX(BookTitle,1320)="","",INDEX(BookTotal,1320)*'5. Scenarios'!$C$6/(1+ProductivityDefault*('5. Scenarios'!$C$11-1)))</f>
        <v/>
      </c>
      <c r="J1325" s="57" t="str">
        <f aca="false">IF($I1325="","",INDEX(BookRate,1320)*(1+'5. Scenarios'!$C$10)*$I1325)</f>
        <v/>
      </c>
      <c r="K1325" s="57" t="str">
        <f aca="false">IF($J1325="","",SUMIFS($J$6:$J$2405,$A$6:$A$2405,"&lt;="&amp;$A1325))</f>
        <v/>
      </c>
      <c r="L1325" s="57" t="str">
        <f aca="false">IF($J1325="","",IF($K1325&lt;=BankCostEnvelope*'5. Scenarios'!$C$7,1,0))</f>
        <v/>
      </c>
      <c r="M1325" s="57" t="str">
        <f aca="false">IF($I1325="","",INDEX(BookRate,1320)*(1+'5. Scenarios'!$C$10)*(INDEX(BookQ1,1320)*(5-MIN(4,1+'5. Scenarios'!$C$8))/4+INDEX(BookQ2,1320)*(5-MIN(4,2+'5. Scenarios'!$C$8))/4+INDEX(BookQ3,1320)*(5-MIN(4,3+'5. Scenarios'!$C$8))/4+INDEX(BookQ4,1320)*(5-MIN(4,4+'5. Scenarios'!$C$8))/4)*'5. Scenarios'!$C$6/(1+ProductivityDefault*('5. Scenarios'!$C$11-1))+INDEX(BookOneOff,1320)*$I1325)</f>
        <v/>
      </c>
      <c r="N1325" s="56" t="str">
        <f aca="false">IF(INDEX(BookTitle,1320)="","",INDEX(BookTotal,1320)*'5. Scenarios'!$D$6/(1+ProductivityDefault*('5. Scenarios'!$D$11-1)))</f>
        <v/>
      </c>
      <c r="O1325" s="57" t="str">
        <f aca="false">IF($N1325="","",INDEX(BookRate,1320)*(1+'5. Scenarios'!$D$10)*$N1325)</f>
        <v/>
      </c>
      <c r="P1325" s="57" t="str">
        <f aca="false">IF($O1325="","",SUMIFS($O$6:$O$2405,$A$6:$A$2405,"&lt;="&amp;$A1325))</f>
        <v/>
      </c>
      <c r="Q1325" s="57" t="str">
        <f aca="false">IF($O1325="","",IF($P1325&lt;=BankCostEnvelope*'5. Scenarios'!$D$7,1,0))</f>
        <v/>
      </c>
      <c r="R1325" s="57" t="str">
        <f aca="false">IF($N1325="","",INDEX(BookRate,1320)*(1+'5. Scenarios'!$D$10)*(INDEX(BookQ1,1320)*(5-MIN(4,1+'5. Scenarios'!$D$8))/4+INDEX(BookQ2,1320)*(5-MIN(4,2+'5. Scenarios'!$D$8))/4+INDEX(BookQ3,1320)*(5-MIN(4,3+'5. Scenarios'!$D$8))/4+INDEX(BookQ4,1320)*(5-MIN(4,4+'5. Scenarios'!$D$8))/4)*'5. Scenarios'!$D$6/(1+ProductivityDefault*('5. Scenarios'!$D$11-1))+INDEX(BookOneOff,1320)*$N1325)</f>
        <v/>
      </c>
      <c r="S1325" s="56" t="str">
        <f aca="false">IF(INDEX(BookTitle,1320)="","",INDEX(BookTotal,1320)*'5. Scenarios'!$E$6/(1+ProductivityDefault*('5. Scenarios'!$E$11-1)))</f>
        <v/>
      </c>
      <c r="T1325" s="57" t="str">
        <f aca="false">IF($S1325="","",INDEX(BookRate,1320)*(1+'5. Scenarios'!$E$10)*$S1325)</f>
        <v/>
      </c>
      <c r="U1325" s="57" t="str">
        <f aca="false">IF($T1325="","",SUMIFS($T$6:$T$2405,$A$6:$A$2405,"&lt;="&amp;$A1325))</f>
        <v/>
      </c>
      <c r="V1325" s="57" t="str">
        <f aca="false">IF($T1325="","",IF($U1325&lt;=BankCostEnvelope*'5. Scenarios'!$E$7,1,0))</f>
        <v/>
      </c>
      <c r="W1325" s="57" t="str">
        <f aca="false">IF($S1325="","",INDEX(BookRate,1320)*(1+'5. Scenarios'!$E$10)*(INDEX(BookQ1,1320)*(5-MIN(4,1+'5. Scenarios'!$E$8))/4+INDEX(BookQ2,1320)*(5-MIN(4,2+'5. Scenarios'!$E$8))/4+INDEX(BookQ3,1320)*(5-MIN(4,3+'5. Scenarios'!$E$8))/4+INDEX(BookQ4,1320)*(5-MIN(4,4+'5. Scenarios'!$E$8))/4)*'5. Scenarios'!$E$6/(1+ProductivityDefault*('5. Scenarios'!$E$11-1))+INDEX(BookOneOff,1320)*$S1325)</f>
        <v/>
      </c>
    </row>
    <row r="1326" customFormat="false" ht="15" hidden="false" customHeight="false" outlineLevel="0" collapsed="false">
      <c r="A1326" s="0" t="str">
        <f aca="false">IF(INDEX(BookTitle,1321)="","",INDEX(BookKey,1321))</f>
        <v/>
      </c>
      <c r="B1326" s="0" t="str">
        <f aca="false">IF(INDEX(BookTitle,1321)="","",INDEX(BookGroup,1321))</f>
        <v/>
      </c>
      <c r="C1326" s="0" t="str">
        <f aca="false">IF(INDEX(BookTitle,1321)="","",INDEX(BookCategory,1321))</f>
        <v/>
      </c>
      <c r="D1326" s="56" t="str">
        <f aca="false">IF(INDEX(BookTitle,1321)="","",INDEX(BookTotal,1321)*'5. Scenarios'!$B$6/(1+ProductivityDefault*('5. Scenarios'!$B$11-1)))</f>
        <v/>
      </c>
      <c r="E1326" s="57" t="str">
        <f aca="false">IF($D1326="","",INDEX(BookRate,1321)*(1+'5. Scenarios'!$B$10)*$D1326)</f>
        <v/>
      </c>
      <c r="F1326" s="57" t="str">
        <f aca="false">IF($E1326="","",SUMIFS($E$6:$E$2405,$A$6:$A$2405,"&lt;="&amp;$A1326))</f>
        <v/>
      </c>
      <c r="G1326" s="57" t="str">
        <f aca="false">IF($E1326="","",IF($F1326&lt;=BankCostEnvelope*'5. Scenarios'!$B$7,1,0))</f>
        <v/>
      </c>
      <c r="H1326" s="57" t="str">
        <f aca="false">IF($D1326="","",INDEX(BookRate,1321)*(1+'5. Scenarios'!$B$10)*(INDEX(BookQ1,1321)*(5-MIN(4,1+'5. Scenarios'!$B$8))/4+INDEX(BookQ2,1321)*(5-MIN(4,2+'5. Scenarios'!$B$8))/4+INDEX(BookQ3,1321)*(5-MIN(4,3+'5. Scenarios'!$B$8))/4+INDEX(BookQ4,1321)*(5-MIN(4,4+'5. Scenarios'!$B$8))/4)*'5. Scenarios'!$B$6/(1+ProductivityDefault*('5. Scenarios'!$B$11-1))+INDEX(BookOneOff,1321)*$D1326)</f>
        <v/>
      </c>
      <c r="I1326" s="56" t="str">
        <f aca="false">IF(INDEX(BookTitle,1321)="","",INDEX(BookTotal,1321)*'5. Scenarios'!$C$6/(1+ProductivityDefault*('5. Scenarios'!$C$11-1)))</f>
        <v/>
      </c>
      <c r="J1326" s="57" t="str">
        <f aca="false">IF($I1326="","",INDEX(BookRate,1321)*(1+'5. Scenarios'!$C$10)*$I1326)</f>
        <v/>
      </c>
      <c r="K1326" s="57" t="str">
        <f aca="false">IF($J1326="","",SUMIFS($J$6:$J$2405,$A$6:$A$2405,"&lt;="&amp;$A1326))</f>
        <v/>
      </c>
      <c r="L1326" s="57" t="str">
        <f aca="false">IF($J1326="","",IF($K1326&lt;=BankCostEnvelope*'5. Scenarios'!$C$7,1,0))</f>
        <v/>
      </c>
      <c r="M1326" s="57" t="str">
        <f aca="false">IF($I1326="","",INDEX(BookRate,1321)*(1+'5. Scenarios'!$C$10)*(INDEX(BookQ1,1321)*(5-MIN(4,1+'5. Scenarios'!$C$8))/4+INDEX(BookQ2,1321)*(5-MIN(4,2+'5. Scenarios'!$C$8))/4+INDEX(BookQ3,1321)*(5-MIN(4,3+'5. Scenarios'!$C$8))/4+INDEX(BookQ4,1321)*(5-MIN(4,4+'5. Scenarios'!$C$8))/4)*'5. Scenarios'!$C$6/(1+ProductivityDefault*('5. Scenarios'!$C$11-1))+INDEX(BookOneOff,1321)*$I1326)</f>
        <v/>
      </c>
      <c r="N1326" s="56" t="str">
        <f aca="false">IF(INDEX(BookTitle,1321)="","",INDEX(BookTotal,1321)*'5. Scenarios'!$D$6/(1+ProductivityDefault*('5. Scenarios'!$D$11-1)))</f>
        <v/>
      </c>
      <c r="O1326" s="57" t="str">
        <f aca="false">IF($N1326="","",INDEX(BookRate,1321)*(1+'5. Scenarios'!$D$10)*$N1326)</f>
        <v/>
      </c>
      <c r="P1326" s="57" t="str">
        <f aca="false">IF($O1326="","",SUMIFS($O$6:$O$2405,$A$6:$A$2405,"&lt;="&amp;$A1326))</f>
        <v/>
      </c>
      <c r="Q1326" s="57" t="str">
        <f aca="false">IF($O1326="","",IF($P1326&lt;=BankCostEnvelope*'5. Scenarios'!$D$7,1,0))</f>
        <v/>
      </c>
      <c r="R1326" s="57" t="str">
        <f aca="false">IF($N1326="","",INDEX(BookRate,1321)*(1+'5. Scenarios'!$D$10)*(INDEX(BookQ1,1321)*(5-MIN(4,1+'5. Scenarios'!$D$8))/4+INDEX(BookQ2,1321)*(5-MIN(4,2+'5. Scenarios'!$D$8))/4+INDEX(BookQ3,1321)*(5-MIN(4,3+'5. Scenarios'!$D$8))/4+INDEX(BookQ4,1321)*(5-MIN(4,4+'5. Scenarios'!$D$8))/4)*'5. Scenarios'!$D$6/(1+ProductivityDefault*('5. Scenarios'!$D$11-1))+INDEX(BookOneOff,1321)*$N1326)</f>
        <v/>
      </c>
      <c r="S1326" s="56" t="str">
        <f aca="false">IF(INDEX(BookTitle,1321)="","",INDEX(BookTotal,1321)*'5. Scenarios'!$E$6/(1+ProductivityDefault*('5. Scenarios'!$E$11-1)))</f>
        <v/>
      </c>
      <c r="T1326" s="57" t="str">
        <f aca="false">IF($S1326="","",INDEX(BookRate,1321)*(1+'5. Scenarios'!$E$10)*$S1326)</f>
        <v/>
      </c>
      <c r="U1326" s="57" t="str">
        <f aca="false">IF($T1326="","",SUMIFS($T$6:$T$2405,$A$6:$A$2405,"&lt;="&amp;$A1326))</f>
        <v/>
      </c>
      <c r="V1326" s="57" t="str">
        <f aca="false">IF($T1326="","",IF($U1326&lt;=BankCostEnvelope*'5. Scenarios'!$E$7,1,0))</f>
        <v/>
      </c>
      <c r="W1326" s="57" t="str">
        <f aca="false">IF($S1326="","",INDEX(BookRate,1321)*(1+'5. Scenarios'!$E$10)*(INDEX(BookQ1,1321)*(5-MIN(4,1+'5. Scenarios'!$E$8))/4+INDEX(BookQ2,1321)*(5-MIN(4,2+'5. Scenarios'!$E$8))/4+INDEX(BookQ3,1321)*(5-MIN(4,3+'5. Scenarios'!$E$8))/4+INDEX(BookQ4,1321)*(5-MIN(4,4+'5. Scenarios'!$E$8))/4)*'5. Scenarios'!$E$6/(1+ProductivityDefault*('5. Scenarios'!$E$11-1))+INDEX(BookOneOff,1321)*$S1326)</f>
        <v/>
      </c>
    </row>
    <row r="1327" customFormat="false" ht="15" hidden="false" customHeight="false" outlineLevel="0" collapsed="false">
      <c r="A1327" s="0" t="str">
        <f aca="false">IF(INDEX(BookTitle,1322)="","",INDEX(BookKey,1322))</f>
        <v/>
      </c>
      <c r="B1327" s="0" t="str">
        <f aca="false">IF(INDEX(BookTitle,1322)="","",INDEX(BookGroup,1322))</f>
        <v/>
      </c>
      <c r="C1327" s="0" t="str">
        <f aca="false">IF(INDEX(BookTitle,1322)="","",INDEX(BookCategory,1322))</f>
        <v/>
      </c>
      <c r="D1327" s="56" t="str">
        <f aca="false">IF(INDEX(BookTitle,1322)="","",INDEX(BookTotal,1322)*'5. Scenarios'!$B$6/(1+ProductivityDefault*('5. Scenarios'!$B$11-1)))</f>
        <v/>
      </c>
      <c r="E1327" s="57" t="str">
        <f aca="false">IF($D1327="","",INDEX(BookRate,1322)*(1+'5. Scenarios'!$B$10)*$D1327)</f>
        <v/>
      </c>
      <c r="F1327" s="57" t="str">
        <f aca="false">IF($E1327="","",SUMIFS($E$6:$E$2405,$A$6:$A$2405,"&lt;="&amp;$A1327))</f>
        <v/>
      </c>
      <c r="G1327" s="57" t="str">
        <f aca="false">IF($E1327="","",IF($F1327&lt;=BankCostEnvelope*'5. Scenarios'!$B$7,1,0))</f>
        <v/>
      </c>
      <c r="H1327" s="57" t="str">
        <f aca="false">IF($D1327="","",INDEX(BookRate,1322)*(1+'5. Scenarios'!$B$10)*(INDEX(BookQ1,1322)*(5-MIN(4,1+'5. Scenarios'!$B$8))/4+INDEX(BookQ2,1322)*(5-MIN(4,2+'5. Scenarios'!$B$8))/4+INDEX(BookQ3,1322)*(5-MIN(4,3+'5. Scenarios'!$B$8))/4+INDEX(BookQ4,1322)*(5-MIN(4,4+'5. Scenarios'!$B$8))/4)*'5. Scenarios'!$B$6/(1+ProductivityDefault*('5. Scenarios'!$B$11-1))+INDEX(BookOneOff,1322)*$D1327)</f>
        <v/>
      </c>
      <c r="I1327" s="56" t="str">
        <f aca="false">IF(INDEX(BookTitle,1322)="","",INDEX(BookTotal,1322)*'5. Scenarios'!$C$6/(1+ProductivityDefault*('5. Scenarios'!$C$11-1)))</f>
        <v/>
      </c>
      <c r="J1327" s="57" t="str">
        <f aca="false">IF($I1327="","",INDEX(BookRate,1322)*(1+'5. Scenarios'!$C$10)*$I1327)</f>
        <v/>
      </c>
      <c r="K1327" s="57" t="str">
        <f aca="false">IF($J1327="","",SUMIFS($J$6:$J$2405,$A$6:$A$2405,"&lt;="&amp;$A1327))</f>
        <v/>
      </c>
      <c r="L1327" s="57" t="str">
        <f aca="false">IF($J1327="","",IF($K1327&lt;=BankCostEnvelope*'5. Scenarios'!$C$7,1,0))</f>
        <v/>
      </c>
      <c r="M1327" s="57" t="str">
        <f aca="false">IF($I1327="","",INDEX(BookRate,1322)*(1+'5. Scenarios'!$C$10)*(INDEX(BookQ1,1322)*(5-MIN(4,1+'5. Scenarios'!$C$8))/4+INDEX(BookQ2,1322)*(5-MIN(4,2+'5. Scenarios'!$C$8))/4+INDEX(BookQ3,1322)*(5-MIN(4,3+'5. Scenarios'!$C$8))/4+INDEX(BookQ4,1322)*(5-MIN(4,4+'5. Scenarios'!$C$8))/4)*'5. Scenarios'!$C$6/(1+ProductivityDefault*('5. Scenarios'!$C$11-1))+INDEX(BookOneOff,1322)*$I1327)</f>
        <v/>
      </c>
      <c r="N1327" s="56" t="str">
        <f aca="false">IF(INDEX(BookTitle,1322)="","",INDEX(BookTotal,1322)*'5. Scenarios'!$D$6/(1+ProductivityDefault*('5. Scenarios'!$D$11-1)))</f>
        <v/>
      </c>
      <c r="O1327" s="57" t="str">
        <f aca="false">IF($N1327="","",INDEX(BookRate,1322)*(1+'5. Scenarios'!$D$10)*$N1327)</f>
        <v/>
      </c>
      <c r="P1327" s="57" t="str">
        <f aca="false">IF($O1327="","",SUMIFS($O$6:$O$2405,$A$6:$A$2405,"&lt;="&amp;$A1327))</f>
        <v/>
      </c>
      <c r="Q1327" s="57" t="str">
        <f aca="false">IF($O1327="","",IF($P1327&lt;=BankCostEnvelope*'5. Scenarios'!$D$7,1,0))</f>
        <v/>
      </c>
      <c r="R1327" s="57" t="str">
        <f aca="false">IF($N1327="","",INDEX(BookRate,1322)*(1+'5. Scenarios'!$D$10)*(INDEX(BookQ1,1322)*(5-MIN(4,1+'5. Scenarios'!$D$8))/4+INDEX(BookQ2,1322)*(5-MIN(4,2+'5. Scenarios'!$D$8))/4+INDEX(BookQ3,1322)*(5-MIN(4,3+'5. Scenarios'!$D$8))/4+INDEX(BookQ4,1322)*(5-MIN(4,4+'5. Scenarios'!$D$8))/4)*'5. Scenarios'!$D$6/(1+ProductivityDefault*('5. Scenarios'!$D$11-1))+INDEX(BookOneOff,1322)*$N1327)</f>
        <v/>
      </c>
      <c r="S1327" s="56" t="str">
        <f aca="false">IF(INDEX(BookTitle,1322)="","",INDEX(BookTotal,1322)*'5. Scenarios'!$E$6/(1+ProductivityDefault*('5. Scenarios'!$E$11-1)))</f>
        <v/>
      </c>
      <c r="T1327" s="57" t="str">
        <f aca="false">IF($S1327="","",INDEX(BookRate,1322)*(1+'5. Scenarios'!$E$10)*$S1327)</f>
        <v/>
      </c>
      <c r="U1327" s="57" t="str">
        <f aca="false">IF($T1327="","",SUMIFS($T$6:$T$2405,$A$6:$A$2405,"&lt;="&amp;$A1327))</f>
        <v/>
      </c>
      <c r="V1327" s="57" t="str">
        <f aca="false">IF($T1327="","",IF($U1327&lt;=BankCostEnvelope*'5. Scenarios'!$E$7,1,0))</f>
        <v/>
      </c>
      <c r="W1327" s="57" t="str">
        <f aca="false">IF($S1327="","",INDEX(BookRate,1322)*(1+'5. Scenarios'!$E$10)*(INDEX(BookQ1,1322)*(5-MIN(4,1+'5. Scenarios'!$E$8))/4+INDEX(BookQ2,1322)*(5-MIN(4,2+'5. Scenarios'!$E$8))/4+INDEX(BookQ3,1322)*(5-MIN(4,3+'5. Scenarios'!$E$8))/4+INDEX(BookQ4,1322)*(5-MIN(4,4+'5. Scenarios'!$E$8))/4)*'5. Scenarios'!$E$6/(1+ProductivityDefault*('5. Scenarios'!$E$11-1))+INDEX(BookOneOff,1322)*$S1327)</f>
        <v/>
      </c>
    </row>
    <row r="1328" customFormat="false" ht="15" hidden="false" customHeight="false" outlineLevel="0" collapsed="false">
      <c r="A1328" s="0" t="str">
        <f aca="false">IF(INDEX(BookTitle,1323)="","",INDEX(BookKey,1323))</f>
        <v/>
      </c>
      <c r="B1328" s="0" t="str">
        <f aca="false">IF(INDEX(BookTitle,1323)="","",INDEX(BookGroup,1323))</f>
        <v/>
      </c>
      <c r="C1328" s="0" t="str">
        <f aca="false">IF(INDEX(BookTitle,1323)="","",INDEX(BookCategory,1323))</f>
        <v/>
      </c>
      <c r="D1328" s="56" t="str">
        <f aca="false">IF(INDEX(BookTitle,1323)="","",INDEX(BookTotal,1323)*'5. Scenarios'!$B$6/(1+ProductivityDefault*('5. Scenarios'!$B$11-1)))</f>
        <v/>
      </c>
      <c r="E1328" s="57" t="str">
        <f aca="false">IF($D1328="","",INDEX(BookRate,1323)*(1+'5. Scenarios'!$B$10)*$D1328)</f>
        <v/>
      </c>
      <c r="F1328" s="57" t="str">
        <f aca="false">IF($E1328="","",SUMIFS($E$6:$E$2405,$A$6:$A$2405,"&lt;="&amp;$A1328))</f>
        <v/>
      </c>
      <c r="G1328" s="57" t="str">
        <f aca="false">IF($E1328="","",IF($F1328&lt;=BankCostEnvelope*'5. Scenarios'!$B$7,1,0))</f>
        <v/>
      </c>
      <c r="H1328" s="57" t="str">
        <f aca="false">IF($D1328="","",INDEX(BookRate,1323)*(1+'5. Scenarios'!$B$10)*(INDEX(BookQ1,1323)*(5-MIN(4,1+'5. Scenarios'!$B$8))/4+INDEX(BookQ2,1323)*(5-MIN(4,2+'5. Scenarios'!$B$8))/4+INDEX(BookQ3,1323)*(5-MIN(4,3+'5. Scenarios'!$B$8))/4+INDEX(BookQ4,1323)*(5-MIN(4,4+'5. Scenarios'!$B$8))/4)*'5. Scenarios'!$B$6/(1+ProductivityDefault*('5. Scenarios'!$B$11-1))+INDEX(BookOneOff,1323)*$D1328)</f>
        <v/>
      </c>
      <c r="I1328" s="56" t="str">
        <f aca="false">IF(INDEX(BookTitle,1323)="","",INDEX(BookTotal,1323)*'5. Scenarios'!$C$6/(1+ProductivityDefault*('5. Scenarios'!$C$11-1)))</f>
        <v/>
      </c>
      <c r="J1328" s="57" t="str">
        <f aca="false">IF($I1328="","",INDEX(BookRate,1323)*(1+'5. Scenarios'!$C$10)*$I1328)</f>
        <v/>
      </c>
      <c r="K1328" s="57" t="str">
        <f aca="false">IF($J1328="","",SUMIFS($J$6:$J$2405,$A$6:$A$2405,"&lt;="&amp;$A1328))</f>
        <v/>
      </c>
      <c r="L1328" s="57" t="str">
        <f aca="false">IF($J1328="","",IF($K1328&lt;=BankCostEnvelope*'5. Scenarios'!$C$7,1,0))</f>
        <v/>
      </c>
      <c r="M1328" s="57" t="str">
        <f aca="false">IF($I1328="","",INDEX(BookRate,1323)*(1+'5. Scenarios'!$C$10)*(INDEX(BookQ1,1323)*(5-MIN(4,1+'5. Scenarios'!$C$8))/4+INDEX(BookQ2,1323)*(5-MIN(4,2+'5. Scenarios'!$C$8))/4+INDEX(BookQ3,1323)*(5-MIN(4,3+'5. Scenarios'!$C$8))/4+INDEX(BookQ4,1323)*(5-MIN(4,4+'5. Scenarios'!$C$8))/4)*'5. Scenarios'!$C$6/(1+ProductivityDefault*('5. Scenarios'!$C$11-1))+INDEX(BookOneOff,1323)*$I1328)</f>
        <v/>
      </c>
      <c r="N1328" s="56" t="str">
        <f aca="false">IF(INDEX(BookTitle,1323)="","",INDEX(BookTotal,1323)*'5. Scenarios'!$D$6/(1+ProductivityDefault*('5. Scenarios'!$D$11-1)))</f>
        <v/>
      </c>
      <c r="O1328" s="57" t="str">
        <f aca="false">IF($N1328="","",INDEX(BookRate,1323)*(1+'5. Scenarios'!$D$10)*$N1328)</f>
        <v/>
      </c>
      <c r="P1328" s="57" t="str">
        <f aca="false">IF($O1328="","",SUMIFS($O$6:$O$2405,$A$6:$A$2405,"&lt;="&amp;$A1328))</f>
        <v/>
      </c>
      <c r="Q1328" s="57" t="str">
        <f aca="false">IF($O1328="","",IF($P1328&lt;=BankCostEnvelope*'5. Scenarios'!$D$7,1,0))</f>
        <v/>
      </c>
      <c r="R1328" s="57" t="str">
        <f aca="false">IF($N1328="","",INDEX(BookRate,1323)*(1+'5. Scenarios'!$D$10)*(INDEX(BookQ1,1323)*(5-MIN(4,1+'5. Scenarios'!$D$8))/4+INDEX(BookQ2,1323)*(5-MIN(4,2+'5. Scenarios'!$D$8))/4+INDEX(BookQ3,1323)*(5-MIN(4,3+'5. Scenarios'!$D$8))/4+INDEX(BookQ4,1323)*(5-MIN(4,4+'5. Scenarios'!$D$8))/4)*'5. Scenarios'!$D$6/(1+ProductivityDefault*('5. Scenarios'!$D$11-1))+INDEX(BookOneOff,1323)*$N1328)</f>
        <v/>
      </c>
      <c r="S1328" s="56" t="str">
        <f aca="false">IF(INDEX(BookTitle,1323)="","",INDEX(BookTotal,1323)*'5. Scenarios'!$E$6/(1+ProductivityDefault*('5. Scenarios'!$E$11-1)))</f>
        <v/>
      </c>
      <c r="T1328" s="57" t="str">
        <f aca="false">IF($S1328="","",INDEX(BookRate,1323)*(1+'5. Scenarios'!$E$10)*$S1328)</f>
        <v/>
      </c>
      <c r="U1328" s="57" t="str">
        <f aca="false">IF($T1328="","",SUMIFS($T$6:$T$2405,$A$6:$A$2405,"&lt;="&amp;$A1328))</f>
        <v/>
      </c>
      <c r="V1328" s="57" t="str">
        <f aca="false">IF($T1328="","",IF($U1328&lt;=BankCostEnvelope*'5. Scenarios'!$E$7,1,0))</f>
        <v/>
      </c>
      <c r="W1328" s="57" t="str">
        <f aca="false">IF($S1328="","",INDEX(BookRate,1323)*(1+'5. Scenarios'!$E$10)*(INDEX(BookQ1,1323)*(5-MIN(4,1+'5. Scenarios'!$E$8))/4+INDEX(BookQ2,1323)*(5-MIN(4,2+'5. Scenarios'!$E$8))/4+INDEX(BookQ3,1323)*(5-MIN(4,3+'5. Scenarios'!$E$8))/4+INDEX(BookQ4,1323)*(5-MIN(4,4+'5. Scenarios'!$E$8))/4)*'5. Scenarios'!$E$6/(1+ProductivityDefault*('5. Scenarios'!$E$11-1))+INDEX(BookOneOff,1323)*$S1328)</f>
        <v/>
      </c>
    </row>
    <row r="1329" customFormat="false" ht="15" hidden="false" customHeight="false" outlineLevel="0" collapsed="false">
      <c r="A1329" s="0" t="str">
        <f aca="false">IF(INDEX(BookTitle,1324)="","",INDEX(BookKey,1324))</f>
        <v/>
      </c>
      <c r="B1329" s="0" t="str">
        <f aca="false">IF(INDEX(BookTitle,1324)="","",INDEX(BookGroup,1324))</f>
        <v/>
      </c>
      <c r="C1329" s="0" t="str">
        <f aca="false">IF(INDEX(BookTitle,1324)="","",INDEX(BookCategory,1324))</f>
        <v/>
      </c>
      <c r="D1329" s="56" t="str">
        <f aca="false">IF(INDEX(BookTitle,1324)="","",INDEX(BookTotal,1324)*'5. Scenarios'!$B$6/(1+ProductivityDefault*('5. Scenarios'!$B$11-1)))</f>
        <v/>
      </c>
      <c r="E1329" s="57" t="str">
        <f aca="false">IF($D1329="","",INDEX(BookRate,1324)*(1+'5. Scenarios'!$B$10)*$D1329)</f>
        <v/>
      </c>
      <c r="F1329" s="57" t="str">
        <f aca="false">IF($E1329="","",SUMIFS($E$6:$E$2405,$A$6:$A$2405,"&lt;="&amp;$A1329))</f>
        <v/>
      </c>
      <c r="G1329" s="57" t="str">
        <f aca="false">IF($E1329="","",IF($F1329&lt;=BankCostEnvelope*'5. Scenarios'!$B$7,1,0))</f>
        <v/>
      </c>
      <c r="H1329" s="57" t="str">
        <f aca="false">IF($D1329="","",INDEX(BookRate,1324)*(1+'5. Scenarios'!$B$10)*(INDEX(BookQ1,1324)*(5-MIN(4,1+'5. Scenarios'!$B$8))/4+INDEX(BookQ2,1324)*(5-MIN(4,2+'5. Scenarios'!$B$8))/4+INDEX(BookQ3,1324)*(5-MIN(4,3+'5. Scenarios'!$B$8))/4+INDEX(BookQ4,1324)*(5-MIN(4,4+'5. Scenarios'!$B$8))/4)*'5. Scenarios'!$B$6/(1+ProductivityDefault*('5. Scenarios'!$B$11-1))+INDEX(BookOneOff,1324)*$D1329)</f>
        <v/>
      </c>
      <c r="I1329" s="56" t="str">
        <f aca="false">IF(INDEX(BookTitle,1324)="","",INDEX(BookTotal,1324)*'5. Scenarios'!$C$6/(1+ProductivityDefault*('5. Scenarios'!$C$11-1)))</f>
        <v/>
      </c>
      <c r="J1329" s="57" t="str">
        <f aca="false">IF($I1329="","",INDEX(BookRate,1324)*(1+'5. Scenarios'!$C$10)*$I1329)</f>
        <v/>
      </c>
      <c r="K1329" s="57" t="str">
        <f aca="false">IF($J1329="","",SUMIFS($J$6:$J$2405,$A$6:$A$2405,"&lt;="&amp;$A1329))</f>
        <v/>
      </c>
      <c r="L1329" s="57" t="str">
        <f aca="false">IF($J1329="","",IF($K1329&lt;=BankCostEnvelope*'5. Scenarios'!$C$7,1,0))</f>
        <v/>
      </c>
      <c r="M1329" s="57" t="str">
        <f aca="false">IF($I1329="","",INDEX(BookRate,1324)*(1+'5. Scenarios'!$C$10)*(INDEX(BookQ1,1324)*(5-MIN(4,1+'5. Scenarios'!$C$8))/4+INDEX(BookQ2,1324)*(5-MIN(4,2+'5. Scenarios'!$C$8))/4+INDEX(BookQ3,1324)*(5-MIN(4,3+'5. Scenarios'!$C$8))/4+INDEX(BookQ4,1324)*(5-MIN(4,4+'5. Scenarios'!$C$8))/4)*'5. Scenarios'!$C$6/(1+ProductivityDefault*('5. Scenarios'!$C$11-1))+INDEX(BookOneOff,1324)*$I1329)</f>
        <v/>
      </c>
      <c r="N1329" s="56" t="str">
        <f aca="false">IF(INDEX(BookTitle,1324)="","",INDEX(BookTotal,1324)*'5. Scenarios'!$D$6/(1+ProductivityDefault*('5. Scenarios'!$D$11-1)))</f>
        <v/>
      </c>
      <c r="O1329" s="57" t="str">
        <f aca="false">IF($N1329="","",INDEX(BookRate,1324)*(1+'5. Scenarios'!$D$10)*$N1329)</f>
        <v/>
      </c>
      <c r="P1329" s="57" t="str">
        <f aca="false">IF($O1329="","",SUMIFS($O$6:$O$2405,$A$6:$A$2405,"&lt;="&amp;$A1329))</f>
        <v/>
      </c>
      <c r="Q1329" s="57" t="str">
        <f aca="false">IF($O1329="","",IF($P1329&lt;=BankCostEnvelope*'5. Scenarios'!$D$7,1,0))</f>
        <v/>
      </c>
      <c r="R1329" s="57" t="str">
        <f aca="false">IF($N1329="","",INDEX(BookRate,1324)*(1+'5. Scenarios'!$D$10)*(INDEX(BookQ1,1324)*(5-MIN(4,1+'5. Scenarios'!$D$8))/4+INDEX(BookQ2,1324)*(5-MIN(4,2+'5. Scenarios'!$D$8))/4+INDEX(BookQ3,1324)*(5-MIN(4,3+'5. Scenarios'!$D$8))/4+INDEX(BookQ4,1324)*(5-MIN(4,4+'5. Scenarios'!$D$8))/4)*'5. Scenarios'!$D$6/(1+ProductivityDefault*('5. Scenarios'!$D$11-1))+INDEX(BookOneOff,1324)*$N1329)</f>
        <v/>
      </c>
      <c r="S1329" s="56" t="str">
        <f aca="false">IF(INDEX(BookTitle,1324)="","",INDEX(BookTotal,1324)*'5. Scenarios'!$E$6/(1+ProductivityDefault*('5. Scenarios'!$E$11-1)))</f>
        <v/>
      </c>
      <c r="T1329" s="57" t="str">
        <f aca="false">IF($S1329="","",INDEX(BookRate,1324)*(1+'5. Scenarios'!$E$10)*$S1329)</f>
        <v/>
      </c>
      <c r="U1329" s="57" t="str">
        <f aca="false">IF($T1329="","",SUMIFS($T$6:$T$2405,$A$6:$A$2405,"&lt;="&amp;$A1329))</f>
        <v/>
      </c>
      <c r="V1329" s="57" t="str">
        <f aca="false">IF($T1329="","",IF($U1329&lt;=BankCostEnvelope*'5. Scenarios'!$E$7,1,0))</f>
        <v/>
      </c>
      <c r="W1329" s="57" t="str">
        <f aca="false">IF($S1329="","",INDEX(BookRate,1324)*(1+'5. Scenarios'!$E$10)*(INDEX(BookQ1,1324)*(5-MIN(4,1+'5. Scenarios'!$E$8))/4+INDEX(BookQ2,1324)*(5-MIN(4,2+'5. Scenarios'!$E$8))/4+INDEX(BookQ3,1324)*(5-MIN(4,3+'5. Scenarios'!$E$8))/4+INDEX(BookQ4,1324)*(5-MIN(4,4+'5. Scenarios'!$E$8))/4)*'5. Scenarios'!$E$6/(1+ProductivityDefault*('5. Scenarios'!$E$11-1))+INDEX(BookOneOff,1324)*$S1329)</f>
        <v/>
      </c>
    </row>
    <row r="1330" customFormat="false" ht="15" hidden="false" customHeight="false" outlineLevel="0" collapsed="false">
      <c r="A1330" s="0" t="str">
        <f aca="false">IF(INDEX(BookTitle,1325)="","",INDEX(BookKey,1325))</f>
        <v/>
      </c>
      <c r="B1330" s="0" t="str">
        <f aca="false">IF(INDEX(BookTitle,1325)="","",INDEX(BookGroup,1325))</f>
        <v/>
      </c>
      <c r="C1330" s="0" t="str">
        <f aca="false">IF(INDEX(BookTitle,1325)="","",INDEX(BookCategory,1325))</f>
        <v/>
      </c>
      <c r="D1330" s="56" t="str">
        <f aca="false">IF(INDEX(BookTitle,1325)="","",INDEX(BookTotal,1325)*'5. Scenarios'!$B$6/(1+ProductivityDefault*('5. Scenarios'!$B$11-1)))</f>
        <v/>
      </c>
      <c r="E1330" s="57" t="str">
        <f aca="false">IF($D1330="","",INDEX(BookRate,1325)*(1+'5. Scenarios'!$B$10)*$D1330)</f>
        <v/>
      </c>
      <c r="F1330" s="57" t="str">
        <f aca="false">IF($E1330="","",SUMIFS($E$6:$E$2405,$A$6:$A$2405,"&lt;="&amp;$A1330))</f>
        <v/>
      </c>
      <c r="G1330" s="57" t="str">
        <f aca="false">IF($E1330="","",IF($F1330&lt;=BankCostEnvelope*'5. Scenarios'!$B$7,1,0))</f>
        <v/>
      </c>
      <c r="H1330" s="57" t="str">
        <f aca="false">IF($D1330="","",INDEX(BookRate,1325)*(1+'5. Scenarios'!$B$10)*(INDEX(BookQ1,1325)*(5-MIN(4,1+'5. Scenarios'!$B$8))/4+INDEX(BookQ2,1325)*(5-MIN(4,2+'5. Scenarios'!$B$8))/4+INDEX(BookQ3,1325)*(5-MIN(4,3+'5. Scenarios'!$B$8))/4+INDEX(BookQ4,1325)*(5-MIN(4,4+'5. Scenarios'!$B$8))/4)*'5. Scenarios'!$B$6/(1+ProductivityDefault*('5. Scenarios'!$B$11-1))+INDEX(BookOneOff,1325)*$D1330)</f>
        <v/>
      </c>
      <c r="I1330" s="56" t="str">
        <f aca="false">IF(INDEX(BookTitle,1325)="","",INDEX(BookTotal,1325)*'5. Scenarios'!$C$6/(1+ProductivityDefault*('5. Scenarios'!$C$11-1)))</f>
        <v/>
      </c>
      <c r="J1330" s="57" t="str">
        <f aca="false">IF($I1330="","",INDEX(BookRate,1325)*(1+'5. Scenarios'!$C$10)*$I1330)</f>
        <v/>
      </c>
      <c r="K1330" s="57" t="str">
        <f aca="false">IF($J1330="","",SUMIFS($J$6:$J$2405,$A$6:$A$2405,"&lt;="&amp;$A1330))</f>
        <v/>
      </c>
      <c r="L1330" s="57" t="str">
        <f aca="false">IF($J1330="","",IF($K1330&lt;=BankCostEnvelope*'5. Scenarios'!$C$7,1,0))</f>
        <v/>
      </c>
      <c r="M1330" s="57" t="str">
        <f aca="false">IF($I1330="","",INDEX(BookRate,1325)*(1+'5. Scenarios'!$C$10)*(INDEX(BookQ1,1325)*(5-MIN(4,1+'5. Scenarios'!$C$8))/4+INDEX(BookQ2,1325)*(5-MIN(4,2+'5. Scenarios'!$C$8))/4+INDEX(BookQ3,1325)*(5-MIN(4,3+'5. Scenarios'!$C$8))/4+INDEX(BookQ4,1325)*(5-MIN(4,4+'5. Scenarios'!$C$8))/4)*'5. Scenarios'!$C$6/(1+ProductivityDefault*('5. Scenarios'!$C$11-1))+INDEX(BookOneOff,1325)*$I1330)</f>
        <v/>
      </c>
      <c r="N1330" s="56" t="str">
        <f aca="false">IF(INDEX(BookTitle,1325)="","",INDEX(BookTotal,1325)*'5. Scenarios'!$D$6/(1+ProductivityDefault*('5. Scenarios'!$D$11-1)))</f>
        <v/>
      </c>
      <c r="O1330" s="57" t="str">
        <f aca="false">IF($N1330="","",INDEX(BookRate,1325)*(1+'5. Scenarios'!$D$10)*$N1330)</f>
        <v/>
      </c>
      <c r="P1330" s="57" t="str">
        <f aca="false">IF($O1330="","",SUMIFS($O$6:$O$2405,$A$6:$A$2405,"&lt;="&amp;$A1330))</f>
        <v/>
      </c>
      <c r="Q1330" s="57" t="str">
        <f aca="false">IF($O1330="","",IF($P1330&lt;=BankCostEnvelope*'5. Scenarios'!$D$7,1,0))</f>
        <v/>
      </c>
      <c r="R1330" s="57" t="str">
        <f aca="false">IF($N1330="","",INDEX(BookRate,1325)*(1+'5. Scenarios'!$D$10)*(INDEX(BookQ1,1325)*(5-MIN(4,1+'5. Scenarios'!$D$8))/4+INDEX(BookQ2,1325)*(5-MIN(4,2+'5. Scenarios'!$D$8))/4+INDEX(BookQ3,1325)*(5-MIN(4,3+'5. Scenarios'!$D$8))/4+INDEX(BookQ4,1325)*(5-MIN(4,4+'5. Scenarios'!$D$8))/4)*'5. Scenarios'!$D$6/(1+ProductivityDefault*('5. Scenarios'!$D$11-1))+INDEX(BookOneOff,1325)*$N1330)</f>
        <v/>
      </c>
      <c r="S1330" s="56" t="str">
        <f aca="false">IF(INDEX(BookTitle,1325)="","",INDEX(BookTotal,1325)*'5. Scenarios'!$E$6/(1+ProductivityDefault*('5. Scenarios'!$E$11-1)))</f>
        <v/>
      </c>
      <c r="T1330" s="57" t="str">
        <f aca="false">IF($S1330="","",INDEX(BookRate,1325)*(1+'5. Scenarios'!$E$10)*$S1330)</f>
        <v/>
      </c>
      <c r="U1330" s="57" t="str">
        <f aca="false">IF($T1330="","",SUMIFS($T$6:$T$2405,$A$6:$A$2405,"&lt;="&amp;$A1330))</f>
        <v/>
      </c>
      <c r="V1330" s="57" t="str">
        <f aca="false">IF($T1330="","",IF($U1330&lt;=BankCostEnvelope*'5. Scenarios'!$E$7,1,0))</f>
        <v/>
      </c>
      <c r="W1330" s="57" t="str">
        <f aca="false">IF($S1330="","",INDEX(BookRate,1325)*(1+'5. Scenarios'!$E$10)*(INDEX(BookQ1,1325)*(5-MIN(4,1+'5. Scenarios'!$E$8))/4+INDEX(BookQ2,1325)*(5-MIN(4,2+'5. Scenarios'!$E$8))/4+INDEX(BookQ3,1325)*(5-MIN(4,3+'5. Scenarios'!$E$8))/4+INDEX(BookQ4,1325)*(5-MIN(4,4+'5. Scenarios'!$E$8))/4)*'5. Scenarios'!$E$6/(1+ProductivityDefault*('5. Scenarios'!$E$11-1))+INDEX(BookOneOff,1325)*$S1330)</f>
        <v/>
      </c>
    </row>
    <row r="1331" customFormat="false" ht="15" hidden="false" customHeight="false" outlineLevel="0" collapsed="false">
      <c r="A1331" s="0" t="str">
        <f aca="false">IF(INDEX(BookTitle,1326)="","",INDEX(BookKey,1326))</f>
        <v/>
      </c>
      <c r="B1331" s="0" t="str">
        <f aca="false">IF(INDEX(BookTitle,1326)="","",INDEX(BookGroup,1326))</f>
        <v/>
      </c>
      <c r="C1331" s="0" t="str">
        <f aca="false">IF(INDEX(BookTitle,1326)="","",INDEX(BookCategory,1326))</f>
        <v/>
      </c>
      <c r="D1331" s="56" t="str">
        <f aca="false">IF(INDEX(BookTitle,1326)="","",INDEX(BookTotal,1326)*'5. Scenarios'!$B$6/(1+ProductivityDefault*('5. Scenarios'!$B$11-1)))</f>
        <v/>
      </c>
      <c r="E1331" s="57" t="str">
        <f aca="false">IF($D1331="","",INDEX(BookRate,1326)*(1+'5. Scenarios'!$B$10)*$D1331)</f>
        <v/>
      </c>
      <c r="F1331" s="57" t="str">
        <f aca="false">IF($E1331="","",SUMIFS($E$6:$E$2405,$A$6:$A$2405,"&lt;="&amp;$A1331))</f>
        <v/>
      </c>
      <c r="G1331" s="57" t="str">
        <f aca="false">IF($E1331="","",IF($F1331&lt;=BankCostEnvelope*'5. Scenarios'!$B$7,1,0))</f>
        <v/>
      </c>
      <c r="H1331" s="57" t="str">
        <f aca="false">IF($D1331="","",INDEX(BookRate,1326)*(1+'5. Scenarios'!$B$10)*(INDEX(BookQ1,1326)*(5-MIN(4,1+'5. Scenarios'!$B$8))/4+INDEX(BookQ2,1326)*(5-MIN(4,2+'5. Scenarios'!$B$8))/4+INDEX(BookQ3,1326)*(5-MIN(4,3+'5. Scenarios'!$B$8))/4+INDEX(BookQ4,1326)*(5-MIN(4,4+'5. Scenarios'!$B$8))/4)*'5. Scenarios'!$B$6/(1+ProductivityDefault*('5. Scenarios'!$B$11-1))+INDEX(BookOneOff,1326)*$D1331)</f>
        <v/>
      </c>
      <c r="I1331" s="56" t="str">
        <f aca="false">IF(INDEX(BookTitle,1326)="","",INDEX(BookTotal,1326)*'5. Scenarios'!$C$6/(1+ProductivityDefault*('5. Scenarios'!$C$11-1)))</f>
        <v/>
      </c>
      <c r="J1331" s="57" t="str">
        <f aca="false">IF($I1331="","",INDEX(BookRate,1326)*(1+'5. Scenarios'!$C$10)*$I1331)</f>
        <v/>
      </c>
      <c r="K1331" s="57" t="str">
        <f aca="false">IF($J1331="","",SUMIFS($J$6:$J$2405,$A$6:$A$2405,"&lt;="&amp;$A1331))</f>
        <v/>
      </c>
      <c r="L1331" s="57" t="str">
        <f aca="false">IF($J1331="","",IF($K1331&lt;=BankCostEnvelope*'5. Scenarios'!$C$7,1,0))</f>
        <v/>
      </c>
      <c r="M1331" s="57" t="str">
        <f aca="false">IF($I1331="","",INDEX(BookRate,1326)*(1+'5. Scenarios'!$C$10)*(INDEX(BookQ1,1326)*(5-MIN(4,1+'5. Scenarios'!$C$8))/4+INDEX(BookQ2,1326)*(5-MIN(4,2+'5. Scenarios'!$C$8))/4+INDEX(BookQ3,1326)*(5-MIN(4,3+'5. Scenarios'!$C$8))/4+INDEX(BookQ4,1326)*(5-MIN(4,4+'5. Scenarios'!$C$8))/4)*'5. Scenarios'!$C$6/(1+ProductivityDefault*('5. Scenarios'!$C$11-1))+INDEX(BookOneOff,1326)*$I1331)</f>
        <v/>
      </c>
      <c r="N1331" s="56" t="str">
        <f aca="false">IF(INDEX(BookTitle,1326)="","",INDEX(BookTotal,1326)*'5. Scenarios'!$D$6/(1+ProductivityDefault*('5. Scenarios'!$D$11-1)))</f>
        <v/>
      </c>
      <c r="O1331" s="57" t="str">
        <f aca="false">IF($N1331="","",INDEX(BookRate,1326)*(1+'5. Scenarios'!$D$10)*$N1331)</f>
        <v/>
      </c>
      <c r="P1331" s="57" t="str">
        <f aca="false">IF($O1331="","",SUMIFS($O$6:$O$2405,$A$6:$A$2405,"&lt;="&amp;$A1331))</f>
        <v/>
      </c>
      <c r="Q1331" s="57" t="str">
        <f aca="false">IF($O1331="","",IF($P1331&lt;=BankCostEnvelope*'5. Scenarios'!$D$7,1,0))</f>
        <v/>
      </c>
      <c r="R1331" s="57" t="str">
        <f aca="false">IF($N1331="","",INDEX(BookRate,1326)*(1+'5. Scenarios'!$D$10)*(INDEX(BookQ1,1326)*(5-MIN(4,1+'5. Scenarios'!$D$8))/4+INDEX(BookQ2,1326)*(5-MIN(4,2+'5. Scenarios'!$D$8))/4+INDEX(BookQ3,1326)*(5-MIN(4,3+'5. Scenarios'!$D$8))/4+INDEX(BookQ4,1326)*(5-MIN(4,4+'5. Scenarios'!$D$8))/4)*'5. Scenarios'!$D$6/(1+ProductivityDefault*('5. Scenarios'!$D$11-1))+INDEX(BookOneOff,1326)*$N1331)</f>
        <v/>
      </c>
      <c r="S1331" s="56" t="str">
        <f aca="false">IF(INDEX(BookTitle,1326)="","",INDEX(BookTotal,1326)*'5. Scenarios'!$E$6/(1+ProductivityDefault*('5. Scenarios'!$E$11-1)))</f>
        <v/>
      </c>
      <c r="T1331" s="57" t="str">
        <f aca="false">IF($S1331="","",INDEX(BookRate,1326)*(1+'5. Scenarios'!$E$10)*$S1331)</f>
        <v/>
      </c>
      <c r="U1331" s="57" t="str">
        <f aca="false">IF($T1331="","",SUMIFS($T$6:$T$2405,$A$6:$A$2405,"&lt;="&amp;$A1331))</f>
        <v/>
      </c>
      <c r="V1331" s="57" t="str">
        <f aca="false">IF($T1331="","",IF($U1331&lt;=BankCostEnvelope*'5. Scenarios'!$E$7,1,0))</f>
        <v/>
      </c>
      <c r="W1331" s="57" t="str">
        <f aca="false">IF($S1331="","",INDEX(BookRate,1326)*(1+'5. Scenarios'!$E$10)*(INDEX(BookQ1,1326)*(5-MIN(4,1+'5. Scenarios'!$E$8))/4+INDEX(BookQ2,1326)*(5-MIN(4,2+'5. Scenarios'!$E$8))/4+INDEX(BookQ3,1326)*(5-MIN(4,3+'5. Scenarios'!$E$8))/4+INDEX(BookQ4,1326)*(5-MIN(4,4+'5. Scenarios'!$E$8))/4)*'5. Scenarios'!$E$6/(1+ProductivityDefault*('5. Scenarios'!$E$11-1))+INDEX(BookOneOff,1326)*$S1331)</f>
        <v/>
      </c>
    </row>
    <row r="1332" customFormat="false" ht="15" hidden="false" customHeight="false" outlineLevel="0" collapsed="false">
      <c r="A1332" s="0" t="str">
        <f aca="false">IF(INDEX(BookTitle,1327)="","",INDEX(BookKey,1327))</f>
        <v/>
      </c>
      <c r="B1332" s="0" t="str">
        <f aca="false">IF(INDEX(BookTitle,1327)="","",INDEX(BookGroup,1327))</f>
        <v/>
      </c>
      <c r="C1332" s="0" t="str">
        <f aca="false">IF(INDEX(BookTitle,1327)="","",INDEX(BookCategory,1327))</f>
        <v/>
      </c>
      <c r="D1332" s="56" t="str">
        <f aca="false">IF(INDEX(BookTitle,1327)="","",INDEX(BookTotal,1327)*'5. Scenarios'!$B$6/(1+ProductivityDefault*('5. Scenarios'!$B$11-1)))</f>
        <v/>
      </c>
      <c r="E1332" s="57" t="str">
        <f aca="false">IF($D1332="","",INDEX(BookRate,1327)*(1+'5. Scenarios'!$B$10)*$D1332)</f>
        <v/>
      </c>
      <c r="F1332" s="57" t="str">
        <f aca="false">IF($E1332="","",SUMIFS($E$6:$E$2405,$A$6:$A$2405,"&lt;="&amp;$A1332))</f>
        <v/>
      </c>
      <c r="G1332" s="57" t="str">
        <f aca="false">IF($E1332="","",IF($F1332&lt;=BankCostEnvelope*'5. Scenarios'!$B$7,1,0))</f>
        <v/>
      </c>
      <c r="H1332" s="57" t="str">
        <f aca="false">IF($D1332="","",INDEX(BookRate,1327)*(1+'5. Scenarios'!$B$10)*(INDEX(BookQ1,1327)*(5-MIN(4,1+'5. Scenarios'!$B$8))/4+INDEX(BookQ2,1327)*(5-MIN(4,2+'5. Scenarios'!$B$8))/4+INDEX(BookQ3,1327)*(5-MIN(4,3+'5. Scenarios'!$B$8))/4+INDEX(BookQ4,1327)*(5-MIN(4,4+'5. Scenarios'!$B$8))/4)*'5. Scenarios'!$B$6/(1+ProductivityDefault*('5. Scenarios'!$B$11-1))+INDEX(BookOneOff,1327)*$D1332)</f>
        <v/>
      </c>
      <c r="I1332" s="56" t="str">
        <f aca="false">IF(INDEX(BookTitle,1327)="","",INDEX(BookTotal,1327)*'5. Scenarios'!$C$6/(1+ProductivityDefault*('5. Scenarios'!$C$11-1)))</f>
        <v/>
      </c>
      <c r="J1332" s="57" t="str">
        <f aca="false">IF($I1332="","",INDEX(BookRate,1327)*(1+'5. Scenarios'!$C$10)*$I1332)</f>
        <v/>
      </c>
      <c r="K1332" s="57" t="str">
        <f aca="false">IF($J1332="","",SUMIFS($J$6:$J$2405,$A$6:$A$2405,"&lt;="&amp;$A1332))</f>
        <v/>
      </c>
      <c r="L1332" s="57" t="str">
        <f aca="false">IF($J1332="","",IF($K1332&lt;=BankCostEnvelope*'5. Scenarios'!$C$7,1,0))</f>
        <v/>
      </c>
      <c r="M1332" s="57" t="str">
        <f aca="false">IF($I1332="","",INDEX(BookRate,1327)*(1+'5. Scenarios'!$C$10)*(INDEX(BookQ1,1327)*(5-MIN(4,1+'5. Scenarios'!$C$8))/4+INDEX(BookQ2,1327)*(5-MIN(4,2+'5. Scenarios'!$C$8))/4+INDEX(BookQ3,1327)*(5-MIN(4,3+'5. Scenarios'!$C$8))/4+INDEX(BookQ4,1327)*(5-MIN(4,4+'5. Scenarios'!$C$8))/4)*'5. Scenarios'!$C$6/(1+ProductivityDefault*('5. Scenarios'!$C$11-1))+INDEX(BookOneOff,1327)*$I1332)</f>
        <v/>
      </c>
      <c r="N1332" s="56" t="str">
        <f aca="false">IF(INDEX(BookTitle,1327)="","",INDEX(BookTotal,1327)*'5. Scenarios'!$D$6/(1+ProductivityDefault*('5. Scenarios'!$D$11-1)))</f>
        <v/>
      </c>
      <c r="O1332" s="57" t="str">
        <f aca="false">IF($N1332="","",INDEX(BookRate,1327)*(1+'5. Scenarios'!$D$10)*$N1332)</f>
        <v/>
      </c>
      <c r="P1332" s="57" t="str">
        <f aca="false">IF($O1332="","",SUMIFS($O$6:$O$2405,$A$6:$A$2405,"&lt;="&amp;$A1332))</f>
        <v/>
      </c>
      <c r="Q1332" s="57" t="str">
        <f aca="false">IF($O1332="","",IF($P1332&lt;=BankCostEnvelope*'5. Scenarios'!$D$7,1,0))</f>
        <v/>
      </c>
      <c r="R1332" s="57" t="str">
        <f aca="false">IF($N1332="","",INDEX(BookRate,1327)*(1+'5. Scenarios'!$D$10)*(INDEX(BookQ1,1327)*(5-MIN(4,1+'5. Scenarios'!$D$8))/4+INDEX(BookQ2,1327)*(5-MIN(4,2+'5. Scenarios'!$D$8))/4+INDEX(BookQ3,1327)*(5-MIN(4,3+'5. Scenarios'!$D$8))/4+INDEX(BookQ4,1327)*(5-MIN(4,4+'5. Scenarios'!$D$8))/4)*'5. Scenarios'!$D$6/(1+ProductivityDefault*('5. Scenarios'!$D$11-1))+INDEX(BookOneOff,1327)*$N1332)</f>
        <v/>
      </c>
      <c r="S1332" s="56" t="str">
        <f aca="false">IF(INDEX(BookTitle,1327)="","",INDEX(BookTotal,1327)*'5. Scenarios'!$E$6/(1+ProductivityDefault*('5. Scenarios'!$E$11-1)))</f>
        <v/>
      </c>
      <c r="T1332" s="57" t="str">
        <f aca="false">IF($S1332="","",INDEX(BookRate,1327)*(1+'5. Scenarios'!$E$10)*$S1332)</f>
        <v/>
      </c>
      <c r="U1332" s="57" t="str">
        <f aca="false">IF($T1332="","",SUMIFS($T$6:$T$2405,$A$6:$A$2405,"&lt;="&amp;$A1332))</f>
        <v/>
      </c>
      <c r="V1332" s="57" t="str">
        <f aca="false">IF($T1332="","",IF($U1332&lt;=BankCostEnvelope*'5. Scenarios'!$E$7,1,0))</f>
        <v/>
      </c>
      <c r="W1332" s="57" t="str">
        <f aca="false">IF($S1332="","",INDEX(BookRate,1327)*(1+'5. Scenarios'!$E$10)*(INDEX(BookQ1,1327)*(5-MIN(4,1+'5. Scenarios'!$E$8))/4+INDEX(BookQ2,1327)*(5-MIN(4,2+'5. Scenarios'!$E$8))/4+INDEX(BookQ3,1327)*(5-MIN(4,3+'5. Scenarios'!$E$8))/4+INDEX(BookQ4,1327)*(5-MIN(4,4+'5. Scenarios'!$E$8))/4)*'5. Scenarios'!$E$6/(1+ProductivityDefault*('5. Scenarios'!$E$11-1))+INDEX(BookOneOff,1327)*$S1332)</f>
        <v/>
      </c>
    </row>
    <row r="1333" customFormat="false" ht="15" hidden="false" customHeight="false" outlineLevel="0" collapsed="false">
      <c r="A1333" s="0" t="str">
        <f aca="false">IF(INDEX(BookTitle,1328)="","",INDEX(BookKey,1328))</f>
        <v/>
      </c>
      <c r="B1333" s="0" t="str">
        <f aca="false">IF(INDEX(BookTitle,1328)="","",INDEX(BookGroup,1328))</f>
        <v/>
      </c>
      <c r="C1333" s="0" t="str">
        <f aca="false">IF(INDEX(BookTitle,1328)="","",INDEX(BookCategory,1328))</f>
        <v/>
      </c>
      <c r="D1333" s="56" t="str">
        <f aca="false">IF(INDEX(BookTitle,1328)="","",INDEX(BookTotal,1328)*'5. Scenarios'!$B$6/(1+ProductivityDefault*('5. Scenarios'!$B$11-1)))</f>
        <v/>
      </c>
      <c r="E1333" s="57" t="str">
        <f aca="false">IF($D1333="","",INDEX(BookRate,1328)*(1+'5. Scenarios'!$B$10)*$D1333)</f>
        <v/>
      </c>
      <c r="F1333" s="57" t="str">
        <f aca="false">IF($E1333="","",SUMIFS($E$6:$E$2405,$A$6:$A$2405,"&lt;="&amp;$A1333))</f>
        <v/>
      </c>
      <c r="G1333" s="57" t="str">
        <f aca="false">IF($E1333="","",IF($F1333&lt;=BankCostEnvelope*'5. Scenarios'!$B$7,1,0))</f>
        <v/>
      </c>
      <c r="H1333" s="57" t="str">
        <f aca="false">IF($D1333="","",INDEX(BookRate,1328)*(1+'5. Scenarios'!$B$10)*(INDEX(BookQ1,1328)*(5-MIN(4,1+'5. Scenarios'!$B$8))/4+INDEX(BookQ2,1328)*(5-MIN(4,2+'5. Scenarios'!$B$8))/4+INDEX(BookQ3,1328)*(5-MIN(4,3+'5. Scenarios'!$B$8))/4+INDEX(BookQ4,1328)*(5-MIN(4,4+'5. Scenarios'!$B$8))/4)*'5. Scenarios'!$B$6/(1+ProductivityDefault*('5. Scenarios'!$B$11-1))+INDEX(BookOneOff,1328)*$D1333)</f>
        <v/>
      </c>
      <c r="I1333" s="56" t="str">
        <f aca="false">IF(INDEX(BookTitle,1328)="","",INDEX(BookTotal,1328)*'5. Scenarios'!$C$6/(1+ProductivityDefault*('5. Scenarios'!$C$11-1)))</f>
        <v/>
      </c>
      <c r="J1333" s="57" t="str">
        <f aca="false">IF($I1333="","",INDEX(BookRate,1328)*(1+'5. Scenarios'!$C$10)*$I1333)</f>
        <v/>
      </c>
      <c r="K1333" s="57" t="str">
        <f aca="false">IF($J1333="","",SUMIFS($J$6:$J$2405,$A$6:$A$2405,"&lt;="&amp;$A1333))</f>
        <v/>
      </c>
      <c r="L1333" s="57" t="str">
        <f aca="false">IF($J1333="","",IF($K1333&lt;=BankCostEnvelope*'5. Scenarios'!$C$7,1,0))</f>
        <v/>
      </c>
      <c r="M1333" s="57" t="str">
        <f aca="false">IF($I1333="","",INDEX(BookRate,1328)*(1+'5. Scenarios'!$C$10)*(INDEX(BookQ1,1328)*(5-MIN(4,1+'5. Scenarios'!$C$8))/4+INDEX(BookQ2,1328)*(5-MIN(4,2+'5. Scenarios'!$C$8))/4+INDEX(BookQ3,1328)*(5-MIN(4,3+'5. Scenarios'!$C$8))/4+INDEX(BookQ4,1328)*(5-MIN(4,4+'5. Scenarios'!$C$8))/4)*'5. Scenarios'!$C$6/(1+ProductivityDefault*('5. Scenarios'!$C$11-1))+INDEX(BookOneOff,1328)*$I1333)</f>
        <v/>
      </c>
      <c r="N1333" s="56" t="str">
        <f aca="false">IF(INDEX(BookTitle,1328)="","",INDEX(BookTotal,1328)*'5. Scenarios'!$D$6/(1+ProductivityDefault*('5. Scenarios'!$D$11-1)))</f>
        <v/>
      </c>
      <c r="O1333" s="57" t="str">
        <f aca="false">IF($N1333="","",INDEX(BookRate,1328)*(1+'5. Scenarios'!$D$10)*$N1333)</f>
        <v/>
      </c>
      <c r="P1333" s="57" t="str">
        <f aca="false">IF($O1333="","",SUMIFS($O$6:$O$2405,$A$6:$A$2405,"&lt;="&amp;$A1333))</f>
        <v/>
      </c>
      <c r="Q1333" s="57" t="str">
        <f aca="false">IF($O1333="","",IF($P1333&lt;=BankCostEnvelope*'5. Scenarios'!$D$7,1,0))</f>
        <v/>
      </c>
      <c r="R1333" s="57" t="str">
        <f aca="false">IF($N1333="","",INDEX(BookRate,1328)*(1+'5. Scenarios'!$D$10)*(INDEX(BookQ1,1328)*(5-MIN(4,1+'5. Scenarios'!$D$8))/4+INDEX(BookQ2,1328)*(5-MIN(4,2+'5. Scenarios'!$D$8))/4+INDEX(BookQ3,1328)*(5-MIN(4,3+'5. Scenarios'!$D$8))/4+INDEX(BookQ4,1328)*(5-MIN(4,4+'5. Scenarios'!$D$8))/4)*'5. Scenarios'!$D$6/(1+ProductivityDefault*('5. Scenarios'!$D$11-1))+INDEX(BookOneOff,1328)*$N1333)</f>
        <v/>
      </c>
      <c r="S1333" s="56" t="str">
        <f aca="false">IF(INDEX(BookTitle,1328)="","",INDEX(BookTotal,1328)*'5. Scenarios'!$E$6/(1+ProductivityDefault*('5. Scenarios'!$E$11-1)))</f>
        <v/>
      </c>
      <c r="T1333" s="57" t="str">
        <f aca="false">IF($S1333="","",INDEX(BookRate,1328)*(1+'5. Scenarios'!$E$10)*$S1333)</f>
        <v/>
      </c>
      <c r="U1333" s="57" t="str">
        <f aca="false">IF($T1333="","",SUMIFS($T$6:$T$2405,$A$6:$A$2405,"&lt;="&amp;$A1333))</f>
        <v/>
      </c>
      <c r="V1333" s="57" t="str">
        <f aca="false">IF($T1333="","",IF($U1333&lt;=BankCostEnvelope*'5. Scenarios'!$E$7,1,0))</f>
        <v/>
      </c>
      <c r="W1333" s="57" t="str">
        <f aca="false">IF($S1333="","",INDEX(BookRate,1328)*(1+'5. Scenarios'!$E$10)*(INDEX(BookQ1,1328)*(5-MIN(4,1+'5. Scenarios'!$E$8))/4+INDEX(BookQ2,1328)*(5-MIN(4,2+'5. Scenarios'!$E$8))/4+INDEX(BookQ3,1328)*(5-MIN(4,3+'5. Scenarios'!$E$8))/4+INDEX(BookQ4,1328)*(5-MIN(4,4+'5. Scenarios'!$E$8))/4)*'5. Scenarios'!$E$6/(1+ProductivityDefault*('5. Scenarios'!$E$11-1))+INDEX(BookOneOff,1328)*$S1333)</f>
        <v/>
      </c>
    </row>
    <row r="1334" customFormat="false" ht="15" hidden="false" customHeight="false" outlineLevel="0" collapsed="false">
      <c r="A1334" s="0" t="str">
        <f aca="false">IF(INDEX(BookTitle,1329)="","",INDEX(BookKey,1329))</f>
        <v/>
      </c>
      <c r="B1334" s="0" t="str">
        <f aca="false">IF(INDEX(BookTitle,1329)="","",INDEX(BookGroup,1329))</f>
        <v/>
      </c>
      <c r="C1334" s="0" t="str">
        <f aca="false">IF(INDEX(BookTitle,1329)="","",INDEX(BookCategory,1329))</f>
        <v/>
      </c>
      <c r="D1334" s="56" t="str">
        <f aca="false">IF(INDEX(BookTitle,1329)="","",INDEX(BookTotal,1329)*'5. Scenarios'!$B$6/(1+ProductivityDefault*('5. Scenarios'!$B$11-1)))</f>
        <v/>
      </c>
      <c r="E1334" s="57" t="str">
        <f aca="false">IF($D1334="","",INDEX(BookRate,1329)*(1+'5. Scenarios'!$B$10)*$D1334)</f>
        <v/>
      </c>
      <c r="F1334" s="57" t="str">
        <f aca="false">IF($E1334="","",SUMIFS($E$6:$E$2405,$A$6:$A$2405,"&lt;="&amp;$A1334))</f>
        <v/>
      </c>
      <c r="G1334" s="57" t="str">
        <f aca="false">IF($E1334="","",IF($F1334&lt;=BankCostEnvelope*'5. Scenarios'!$B$7,1,0))</f>
        <v/>
      </c>
      <c r="H1334" s="57" t="str">
        <f aca="false">IF($D1334="","",INDEX(BookRate,1329)*(1+'5. Scenarios'!$B$10)*(INDEX(BookQ1,1329)*(5-MIN(4,1+'5. Scenarios'!$B$8))/4+INDEX(BookQ2,1329)*(5-MIN(4,2+'5. Scenarios'!$B$8))/4+INDEX(BookQ3,1329)*(5-MIN(4,3+'5. Scenarios'!$B$8))/4+INDEX(BookQ4,1329)*(5-MIN(4,4+'5. Scenarios'!$B$8))/4)*'5. Scenarios'!$B$6/(1+ProductivityDefault*('5. Scenarios'!$B$11-1))+INDEX(BookOneOff,1329)*$D1334)</f>
        <v/>
      </c>
      <c r="I1334" s="56" t="str">
        <f aca="false">IF(INDEX(BookTitle,1329)="","",INDEX(BookTotal,1329)*'5. Scenarios'!$C$6/(1+ProductivityDefault*('5. Scenarios'!$C$11-1)))</f>
        <v/>
      </c>
      <c r="J1334" s="57" t="str">
        <f aca="false">IF($I1334="","",INDEX(BookRate,1329)*(1+'5. Scenarios'!$C$10)*$I1334)</f>
        <v/>
      </c>
      <c r="K1334" s="57" t="str">
        <f aca="false">IF($J1334="","",SUMIFS($J$6:$J$2405,$A$6:$A$2405,"&lt;="&amp;$A1334))</f>
        <v/>
      </c>
      <c r="L1334" s="57" t="str">
        <f aca="false">IF($J1334="","",IF($K1334&lt;=BankCostEnvelope*'5. Scenarios'!$C$7,1,0))</f>
        <v/>
      </c>
      <c r="M1334" s="57" t="str">
        <f aca="false">IF($I1334="","",INDEX(BookRate,1329)*(1+'5. Scenarios'!$C$10)*(INDEX(BookQ1,1329)*(5-MIN(4,1+'5. Scenarios'!$C$8))/4+INDEX(BookQ2,1329)*(5-MIN(4,2+'5. Scenarios'!$C$8))/4+INDEX(BookQ3,1329)*(5-MIN(4,3+'5. Scenarios'!$C$8))/4+INDEX(BookQ4,1329)*(5-MIN(4,4+'5. Scenarios'!$C$8))/4)*'5. Scenarios'!$C$6/(1+ProductivityDefault*('5. Scenarios'!$C$11-1))+INDEX(BookOneOff,1329)*$I1334)</f>
        <v/>
      </c>
      <c r="N1334" s="56" t="str">
        <f aca="false">IF(INDEX(BookTitle,1329)="","",INDEX(BookTotal,1329)*'5. Scenarios'!$D$6/(1+ProductivityDefault*('5. Scenarios'!$D$11-1)))</f>
        <v/>
      </c>
      <c r="O1334" s="57" t="str">
        <f aca="false">IF($N1334="","",INDEX(BookRate,1329)*(1+'5. Scenarios'!$D$10)*$N1334)</f>
        <v/>
      </c>
      <c r="P1334" s="57" t="str">
        <f aca="false">IF($O1334="","",SUMIFS($O$6:$O$2405,$A$6:$A$2405,"&lt;="&amp;$A1334))</f>
        <v/>
      </c>
      <c r="Q1334" s="57" t="str">
        <f aca="false">IF($O1334="","",IF($P1334&lt;=BankCostEnvelope*'5. Scenarios'!$D$7,1,0))</f>
        <v/>
      </c>
      <c r="R1334" s="57" t="str">
        <f aca="false">IF($N1334="","",INDEX(BookRate,1329)*(1+'5. Scenarios'!$D$10)*(INDEX(BookQ1,1329)*(5-MIN(4,1+'5. Scenarios'!$D$8))/4+INDEX(BookQ2,1329)*(5-MIN(4,2+'5. Scenarios'!$D$8))/4+INDEX(BookQ3,1329)*(5-MIN(4,3+'5. Scenarios'!$D$8))/4+INDEX(BookQ4,1329)*(5-MIN(4,4+'5. Scenarios'!$D$8))/4)*'5. Scenarios'!$D$6/(1+ProductivityDefault*('5. Scenarios'!$D$11-1))+INDEX(BookOneOff,1329)*$N1334)</f>
        <v/>
      </c>
      <c r="S1334" s="56" t="str">
        <f aca="false">IF(INDEX(BookTitle,1329)="","",INDEX(BookTotal,1329)*'5. Scenarios'!$E$6/(1+ProductivityDefault*('5. Scenarios'!$E$11-1)))</f>
        <v/>
      </c>
      <c r="T1334" s="57" t="str">
        <f aca="false">IF($S1334="","",INDEX(BookRate,1329)*(1+'5. Scenarios'!$E$10)*$S1334)</f>
        <v/>
      </c>
      <c r="U1334" s="57" t="str">
        <f aca="false">IF($T1334="","",SUMIFS($T$6:$T$2405,$A$6:$A$2405,"&lt;="&amp;$A1334))</f>
        <v/>
      </c>
      <c r="V1334" s="57" t="str">
        <f aca="false">IF($T1334="","",IF($U1334&lt;=BankCostEnvelope*'5. Scenarios'!$E$7,1,0))</f>
        <v/>
      </c>
      <c r="W1334" s="57" t="str">
        <f aca="false">IF($S1334="","",INDEX(BookRate,1329)*(1+'5. Scenarios'!$E$10)*(INDEX(BookQ1,1329)*(5-MIN(4,1+'5. Scenarios'!$E$8))/4+INDEX(BookQ2,1329)*(5-MIN(4,2+'5. Scenarios'!$E$8))/4+INDEX(BookQ3,1329)*(5-MIN(4,3+'5. Scenarios'!$E$8))/4+INDEX(BookQ4,1329)*(5-MIN(4,4+'5. Scenarios'!$E$8))/4)*'5. Scenarios'!$E$6/(1+ProductivityDefault*('5. Scenarios'!$E$11-1))+INDEX(BookOneOff,1329)*$S1334)</f>
        <v/>
      </c>
    </row>
    <row r="1335" customFormat="false" ht="15" hidden="false" customHeight="false" outlineLevel="0" collapsed="false">
      <c r="A1335" s="0" t="str">
        <f aca="false">IF(INDEX(BookTitle,1330)="","",INDEX(BookKey,1330))</f>
        <v/>
      </c>
      <c r="B1335" s="0" t="str">
        <f aca="false">IF(INDEX(BookTitle,1330)="","",INDEX(BookGroup,1330))</f>
        <v/>
      </c>
      <c r="C1335" s="0" t="str">
        <f aca="false">IF(INDEX(BookTitle,1330)="","",INDEX(BookCategory,1330))</f>
        <v/>
      </c>
      <c r="D1335" s="56" t="str">
        <f aca="false">IF(INDEX(BookTitle,1330)="","",INDEX(BookTotal,1330)*'5. Scenarios'!$B$6/(1+ProductivityDefault*('5. Scenarios'!$B$11-1)))</f>
        <v/>
      </c>
      <c r="E1335" s="57" t="str">
        <f aca="false">IF($D1335="","",INDEX(BookRate,1330)*(1+'5. Scenarios'!$B$10)*$D1335)</f>
        <v/>
      </c>
      <c r="F1335" s="57" t="str">
        <f aca="false">IF($E1335="","",SUMIFS($E$6:$E$2405,$A$6:$A$2405,"&lt;="&amp;$A1335))</f>
        <v/>
      </c>
      <c r="G1335" s="57" t="str">
        <f aca="false">IF($E1335="","",IF($F1335&lt;=BankCostEnvelope*'5. Scenarios'!$B$7,1,0))</f>
        <v/>
      </c>
      <c r="H1335" s="57" t="str">
        <f aca="false">IF($D1335="","",INDEX(BookRate,1330)*(1+'5. Scenarios'!$B$10)*(INDEX(BookQ1,1330)*(5-MIN(4,1+'5. Scenarios'!$B$8))/4+INDEX(BookQ2,1330)*(5-MIN(4,2+'5. Scenarios'!$B$8))/4+INDEX(BookQ3,1330)*(5-MIN(4,3+'5. Scenarios'!$B$8))/4+INDEX(BookQ4,1330)*(5-MIN(4,4+'5. Scenarios'!$B$8))/4)*'5. Scenarios'!$B$6/(1+ProductivityDefault*('5. Scenarios'!$B$11-1))+INDEX(BookOneOff,1330)*$D1335)</f>
        <v/>
      </c>
      <c r="I1335" s="56" t="str">
        <f aca="false">IF(INDEX(BookTitle,1330)="","",INDEX(BookTotal,1330)*'5. Scenarios'!$C$6/(1+ProductivityDefault*('5. Scenarios'!$C$11-1)))</f>
        <v/>
      </c>
      <c r="J1335" s="57" t="str">
        <f aca="false">IF($I1335="","",INDEX(BookRate,1330)*(1+'5. Scenarios'!$C$10)*$I1335)</f>
        <v/>
      </c>
      <c r="K1335" s="57" t="str">
        <f aca="false">IF($J1335="","",SUMIFS($J$6:$J$2405,$A$6:$A$2405,"&lt;="&amp;$A1335))</f>
        <v/>
      </c>
      <c r="L1335" s="57" t="str">
        <f aca="false">IF($J1335="","",IF($K1335&lt;=BankCostEnvelope*'5. Scenarios'!$C$7,1,0))</f>
        <v/>
      </c>
      <c r="M1335" s="57" t="str">
        <f aca="false">IF($I1335="","",INDEX(BookRate,1330)*(1+'5. Scenarios'!$C$10)*(INDEX(BookQ1,1330)*(5-MIN(4,1+'5. Scenarios'!$C$8))/4+INDEX(BookQ2,1330)*(5-MIN(4,2+'5. Scenarios'!$C$8))/4+INDEX(BookQ3,1330)*(5-MIN(4,3+'5. Scenarios'!$C$8))/4+INDEX(BookQ4,1330)*(5-MIN(4,4+'5. Scenarios'!$C$8))/4)*'5. Scenarios'!$C$6/(1+ProductivityDefault*('5. Scenarios'!$C$11-1))+INDEX(BookOneOff,1330)*$I1335)</f>
        <v/>
      </c>
      <c r="N1335" s="56" t="str">
        <f aca="false">IF(INDEX(BookTitle,1330)="","",INDEX(BookTotal,1330)*'5. Scenarios'!$D$6/(1+ProductivityDefault*('5. Scenarios'!$D$11-1)))</f>
        <v/>
      </c>
      <c r="O1335" s="57" t="str">
        <f aca="false">IF($N1335="","",INDEX(BookRate,1330)*(1+'5. Scenarios'!$D$10)*$N1335)</f>
        <v/>
      </c>
      <c r="P1335" s="57" t="str">
        <f aca="false">IF($O1335="","",SUMIFS($O$6:$O$2405,$A$6:$A$2405,"&lt;="&amp;$A1335))</f>
        <v/>
      </c>
      <c r="Q1335" s="57" t="str">
        <f aca="false">IF($O1335="","",IF($P1335&lt;=BankCostEnvelope*'5. Scenarios'!$D$7,1,0))</f>
        <v/>
      </c>
      <c r="R1335" s="57" t="str">
        <f aca="false">IF($N1335="","",INDEX(BookRate,1330)*(1+'5. Scenarios'!$D$10)*(INDEX(BookQ1,1330)*(5-MIN(4,1+'5. Scenarios'!$D$8))/4+INDEX(BookQ2,1330)*(5-MIN(4,2+'5. Scenarios'!$D$8))/4+INDEX(BookQ3,1330)*(5-MIN(4,3+'5. Scenarios'!$D$8))/4+INDEX(BookQ4,1330)*(5-MIN(4,4+'5. Scenarios'!$D$8))/4)*'5. Scenarios'!$D$6/(1+ProductivityDefault*('5. Scenarios'!$D$11-1))+INDEX(BookOneOff,1330)*$N1335)</f>
        <v/>
      </c>
      <c r="S1335" s="56" t="str">
        <f aca="false">IF(INDEX(BookTitle,1330)="","",INDEX(BookTotal,1330)*'5. Scenarios'!$E$6/(1+ProductivityDefault*('5. Scenarios'!$E$11-1)))</f>
        <v/>
      </c>
      <c r="T1335" s="57" t="str">
        <f aca="false">IF($S1335="","",INDEX(BookRate,1330)*(1+'5. Scenarios'!$E$10)*$S1335)</f>
        <v/>
      </c>
      <c r="U1335" s="57" t="str">
        <f aca="false">IF($T1335="","",SUMIFS($T$6:$T$2405,$A$6:$A$2405,"&lt;="&amp;$A1335))</f>
        <v/>
      </c>
      <c r="V1335" s="57" t="str">
        <f aca="false">IF($T1335="","",IF($U1335&lt;=BankCostEnvelope*'5. Scenarios'!$E$7,1,0))</f>
        <v/>
      </c>
      <c r="W1335" s="57" t="str">
        <f aca="false">IF($S1335="","",INDEX(BookRate,1330)*(1+'5. Scenarios'!$E$10)*(INDEX(BookQ1,1330)*(5-MIN(4,1+'5. Scenarios'!$E$8))/4+INDEX(BookQ2,1330)*(5-MIN(4,2+'5. Scenarios'!$E$8))/4+INDEX(BookQ3,1330)*(5-MIN(4,3+'5. Scenarios'!$E$8))/4+INDEX(BookQ4,1330)*(5-MIN(4,4+'5. Scenarios'!$E$8))/4)*'5. Scenarios'!$E$6/(1+ProductivityDefault*('5. Scenarios'!$E$11-1))+INDEX(BookOneOff,1330)*$S1335)</f>
        <v/>
      </c>
    </row>
    <row r="1336" customFormat="false" ht="15" hidden="false" customHeight="false" outlineLevel="0" collapsed="false">
      <c r="A1336" s="0" t="str">
        <f aca="false">IF(INDEX(BookTitle,1331)="","",INDEX(BookKey,1331))</f>
        <v/>
      </c>
      <c r="B1336" s="0" t="str">
        <f aca="false">IF(INDEX(BookTitle,1331)="","",INDEX(BookGroup,1331))</f>
        <v/>
      </c>
      <c r="C1336" s="0" t="str">
        <f aca="false">IF(INDEX(BookTitle,1331)="","",INDEX(BookCategory,1331))</f>
        <v/>
      </c>
      <c r="D1336" s="56" t="str">
        <f aca="false">IF(INDEX(BookTitle,1331)="","",INDEX(BookTotal,1331)*'5. Scenarios'!$B$6/(1+ProductivityDefault*('5. Scenarios'!$B$11-1)))</f>
        <v/>
      </c>
      <c r="E1336" s="57" t="str">
        <f aca="false">IF($D1336="","",INDEX(BookRate,1331)*(1+'5. Scenarios'!$B$10)*$D1336)</f>
        <v/>
      </c>
      <c r="F1336" s="57" t="str">
        <f aca="false">IF($E1336="","",SUMIFS($E$6:$E$2405,$A$6:$A$2405,"&lt;="&amp;$A1336))</f>
        <v/>
      </c>
      <c r="G1336" s="57" t="str">
        <f aca="false">IF($E1336="","",IF($F1336&lt;=BankCostEnvelope*'5. Scenarios'!$B$7,1,0))</f>
        <v/>
      </c>
      <c r="H1336" s="57" t="str">
        <f aca="false">IF($D1336="","",INDEX(BookRate,1331)*(1+'5. Scenarios'!$B$10)*(INDEX(BookQ1,1331)*(5-MIN(4,1+'5. Scenarios'!$B$8))/4+INDEX(BookQ2,1331)*(5-MIN(4,2+'5. Scenarios'!$B$8))/4+INDEX(BookQ3,1331)*(5-MIN(4,3+'5. Scenarios'!$B$8))/4+INDEX(BookQ4,1331)*(5-MIN(4,4+'5. Scenarios'!$B$8))/4)*'5. Scenarios'!$B$6/(1+ProductivityDefault*('5. Scenarios'!$B$11-1))+INDEX(BookOneOff,1331)*$D1336)</f>
        <v/>
      </c>
      <c r="I1336" s="56" t="str">
        <f aca="false">IF(INDEX(BookTitle,1331)="","",INDEX(BookTotal,1331)*'5. Scenarios'!$C$6/(1+ProductivityDefault*('5. Scenarios'!$C$11-1)))</f>
        <v/>
      </c>
      <c r="J1336" s="57" t="str">
        <f aca="false">IF($I1336="","",INDEX(BookRate,1331)*(1+'5. Scenarios'!$C$10)*$I1336)</f>
        <v/>
      </c>
      <c r="K1336" s="57" t="str">
        <f aca="false">IF($J1336="","",SUMIFS($J$6:$J$2405,$A$6:$A$2405,"&lt;="&amp;$A1336))</f>
        <v/>
      </c>
      <c r="L1336" s="57" t="str">
        <f aca="false">IF($J1336="","",IF($K1336&lt;=BankCostEnvelope*'5. Scenarios'!$C$7,1,0))</f>
        <v/>
      </c>
      <c r="M1336" s="57" t="str">
        <f aca="false">IF($I1336="","",INDEX(BookRate,1331)*(1+'5. Scenarios'!$C$10)*(INDEX(BookQ1,1331)*(5-MIN(4,1+'5. Scenarios'!$C$8))/4+INDEX(BookQ2,1331)*(5-MIN(4,2+'5. Scenarios'!$C$8))/4+INDEX(BookQ3,1331)*(5-MIN(4,3+'5. Scenarios'!$C$8))/4+INDEX(BookQ4,1331)*(5-MIN(4,4+'5. Scenarios'!$C$8))/4)*'5. Scenarios'!$C$6/(1+ProductivityDefault*('5. Scenarios'!$C$11-1))+INDEX(BookOneOff,1331)*$I1336)</f>
        <v/>
      </c>
      <c r="N1336" s="56" t="str">
        <f aca="false">IF(INDEX(BookTitle,1331)="","",INDEX(BookTotal,1331)*'5. Scenarios'!$D$6/(1+ProductivityDefault*('5. Scenarios'!$D$11-1)))</f>
        <v/>
      </c>
      <c r="O1336" s="57" t="str">
        <f aca="false">IF($N1336="","",INDEX(BookRate,1331)*(1+'5. Scenarios'!$D$10)*$N1336)</f>
        <v/>
      </c>
      <c r="P1336" s="57" t="str">
        <f aca="false">IF($O1336="","",SUMIFS($O$6:$O$2405,$A$6:$A$2405,"&lt;="&amp;$A1336))</f>
        <v/>
      </c>
      <c r="Q1336" s="57" t="str">
        <f aca="false">IF($O1336="","",IF($P1336&lt;=BankCostEnvelope*'5. Scenarios'!$D$7,1,0))</f>
        <v/>
      </c>
      <c r="R1336" s="57" t="str">
        <f aca="false">IF($N1336="","",INDEX(BookRate,1331)*(1+'5. Scenarios'!$D$10)*(INDEX(BookQ1,1331)*(5-MIN(4,1+'5. Scenarios'!$D$8))/4+INDEX(BookQ2,1331)*(5-MIN(4,2+'5. Scenarios'!$D$8))/4+INDEX(BookQ3,1331)*(5-MIN(4,3+'5. Scenarios'!$D$8))/4+INDEX(BookQ4,1331)*(5-MIN(4,4+'5. Scenarios'!$D$8))/4)*'5. Scenarios'!$D$6/(1+ProductivityDefault*('5. Scenarios'!$D$11-1))+INDEX(BookOneOff,1331)*$N1336)</f>
        <v/>
      </c>
      <c r="S1336" s="56" t="str">
        <f aca="false">IF(INDEX(BookTitle,1331)="","",INDEX(BookTotal,1331)*'5. Scenarios'!$E$6/(1+ProductivityDefault*('5. Scenarios'!$E$11-1)))</f>
        <v/>
      </c>
      <c r="T1336" s="57" t="str">
        <f aca="false">IF($S1336="","",INDEX(BookRate,1331)*(1+'5. Scenarios'!$E$10)*$S1336)</f>
        <v/>
      </c>
      <c r="U1336" s="57" t="str">
        <f aca="false">IF($T1336="","",SUMIFS($T$6:$T$2405,$A$6:$A$2405,"&lt;="&amp;$A1336))</f>
        <v/>
      </c>
      <c r="V1336" s="57" t="str">
        <f aca="false">IF($T1336="","",IF($U1336&lt;=BankCostEnvelope*'5. Scenarios'!$E$7,1,0))</f>
        <v/>
      </c>
      <c r="W1336" s="57" t="str">
        <f aca="false">IF($S1336="","",INDEX(BookRate,1331)*(1+'5. Scenarios'!$E$10)*(INDEX(BookQ1,1331)*(5-MIN(4,1+'5. Scenarios'!$E$8))/4+INDEX(BookQ2,1331)*(5-MIN(4,2+'5. Scenarios'!$E$8))/4+INDEX(BookQ3,1331)*(5-MIN(4,3+'5. Scenarios'!$E$8))/4+INDEX(BookQ4,1331)*(5-MIN(4,4+'5. Scenarios'!$E$8))/4)*'5. Scenarios'!$E$6/(1+ProductivityDefault*('5. Scenarios'!$E$11-1))+INDEX(BookOneOff,1331)*$S1336)</f>
        <v/>
      </c>
    </row>
    <row r="1337" customFormat="false" ht="15" hidden="false" customHeight="false" outlineLevel="0" collapsed="false">
      <c r="A1337" s="0" t="str">
        <f aca="false">IF(INDEX(BookTitle,1332)="","",INDEX(BookKey,1332))</f>
        <v/>
      </c>
      <c r="B1337" s="0" t="str">
        <f aca="false">IF(INDEX(BookTitle,1332)="","",INDEX(BookGroup,1332))</f>
        <v/>
      </c>
      <c r="C1337" s="0" t="str">
        <f aca="false">IF(INDEX(BookTitle,1332)="","",INDEX(BookCategory,1332))</f>
        <v/>
      </c>
      <c r="D1337" s="56" t="str">
        <f aca="false">IF(INDEX(BookTitle,1332)="","",INDEX(BookTotal,1332)*'5. Scenarios'!$B$6/(1+ProductivityDefault*('5. Scenarios'!$B$11-1)))</f>
        <v/>
      </c>
      <c r="E1337" s="57" t="str">
        <f aca="false">IF($D1337="","",INDEX(BookRate,1332)*(1+'5. Scenarios'!$B$10)*$D1337)</f>
        <v/>
      </c>
      <c r="F1337" s="57" t="str">
        <f aca="false">IF($E1337="","",SUMIFS($E$6:$E$2405,$A$6:$A$2405,"&lt;="&amp;$A1337))</f>
        <v/>
      </c>
      <c r="G1337" s="57" t="str">
        <f aca="false">IF($E1337="","",IF($F1337&lt;=BankCostEnvelope*'5. Scenarios'!$B$7,1,0))</f>
        <v/>
      </c>
      <c r="H1337" s="57" t="str">
        <f aca="false">IF($D1337="","",INDEX(BookRate,1332)*(1+'5. Scenarios'!$B$10)*(INDEX(BookQ1,1332)*(5-MIN(4,1+'5. Scenarios'!$B$8))/4+INDEX(BookQ2,1332)*(5-MIN(4,2+'5. Scenarios'!$B$8))/4+INDEX(BookQ3,1332)*(5-MIN(4,3+'5. Scenarios'!$B$8))/4+INDEX(BookQ4,1332)*(5-MIN(4,4+'5. Scenarios'!$B$8))/4)*'5. Scenarios'!$B$6/(1+ProductivityDefault*('5. Scenarios'!$B$11-1))+INDEX(BookOneOff,1332)*$D1337)</f>
        <v/>
      </c>
      <c r="I1337" s="56" t="str">
        <f aca="false">IF(INDEX(BookTitle,1332)="","",INDEX(BookTotal,1332)*'5. Scenarios'!$C$6/(1+ProductivityDefault*('5. Scenarios'!$C$11-1)))</f>
        <v/>
      </c>
      <c r="J1337" s="57" t="str">
        <f aca="false">IF($I1337="","",INDEX(BookRate,1332)*(1+'5. Scenarios'!$C$10)*$I1337)</f>
        <v/>
      </c>
      <c r="K1337" s="57" t="str">
        <f aca="false">IF($J1337="","",SUMIFS($J$6:$J$2405,$A$6:$A$2405,"&lt;="&amp;$A1337))</f>
        <v/>
      </c>
      <c r="L1337" s="57" t="str">
        <f aca="false">IF($J1337="","",IF($K1337&lt;=BankCostEnvelope*'5. Scenarios'!$C$7,1,0))</f>
        <v/>
      </c>
      <c r="M1337" s="57" t="str">
        <f aca="false">IF($I1337="","",INDEX(BookRate,1332)*(1+'5. Scenarios'!$C$10)*(INDEX(BookQ1,1332)*(5-MIN(4,1+'5. Scenarios'!$C$8))/4+INDEX(BookQ2,1332)*(5-MIN(4,2+'5. Scenarios'!$C$8))/4+INDEX(BookQ3,1332)*(5-MIN(4,3+'5. Scenarios'!$C$8))/4+INDEX(BookQ4,1332)*(5-MIN(4,4+'5. Scenarios'!$C$8))/4)*'5. Scenarios'!$C$6/(1+ProductivityDefault*('5. Scenarios'!$C$11-1))+INDEX(BookOneOff,1332)*$I1337)</f>
        <v/>
      </c>
      <c r="N1337" s="56" t="str">
        <f aca="false">IF(INDEX(BookTitle,1332)="","",INDEX(BookTotal,1332)*'5. Scenarios'!$D$6/(1+ProductivityDefault*('5. Scenarios'!$D$11-1)))</f>
        <v/>
      </c>
      <c r="O1337" s="57" t="str">
        <f aca="false">IF($N1337="","",INDEX(BookRate,1332)*(1+'5. Scenarios'!$D$10)*$N1337)</f>
        <v/>
      </c>
      <c r="P1337" s="57" t="str">
        <f aca="false">IF($O1337="","",SUMIFS($O$6:$O$2405,$A$6:$A$2405,"&lt;="&amp;$A1337))</f>
        <v/>
      </c>
      <c r="Q1337" s="57" t="str">
        <f aca="false">IF($O1337="","",IF($P1337&lt;=BankCostEnvelope*'5. Scenarios'!$D$7,1,0))</f>
        <v/>
      </c>
      <c r="R1337" s="57" t="str">
        <f aca="false">IF($N1337="","",INDEX(BookRate,1332)*(1+'5. Scenarios'!$D$10)*(INDEX(BookQ1,1332)*(5-MIN(4,1+'5. Scenarios'!$D$8))/4+INDEX(BookQ2,1332)*(5-MIN(4,2+'5. Scenarios'!$D$8))/4+INDEX(BookQ3,1332)*(5-MIN(4,3+'5. Scenarios'!$D$8))/4+INDEX(BookQ4,1332)*(5-MIN(4,4+'5. Scenarios'!$D$8))/4)*'5. Scenarios'!$D$6/(1+ProductivityDefault*('5. Scenarios'!$D$11-1))+INDEX(BookOneOff,1332)*$N1337)</f>
        <v/>
      </c>
      <c r="S1337" s="56" t="str">
        <f aca="false">IF(INDEX(BookTitle,1332)="","",INDEX(BookTotal,1332)*'5. Scenarios'!$E$6/(1+ProductivityDefault*('5. Scenarios'!$E$11-1)))</f>
        <v/>
      </c>
      <c r="T1337" s="57" t="str">
        <f aca="false">IF($S1337="","",INDEX(BookRate,1332)*(1+'5. Scenarios'!$E$10)*$S1337)</f>
        <v/>
      </c>
      <c r="U1337" s="57" t="str">
        <f aca="false">IF($T1337="","",SUMIFS($T$6:$T$2405,$A$6:$A$2405,"&lt;="&amp;$A1337))</f>
        <v/>
      </c>
      <c r="V1337" s="57" t="str">
        <f aca="false">IF($T1337="","",IF($U1337&lt;=BankCostEnvelope*'5. Scenarios'!$E$7,1,0))</f>
        <v/>
      </c>
      <c r="W1337" s="57" t="str">
        <f aca="false">IF($S1337="","",INDEX(BookRate,1332)*(1+'5. Scenarios'!$E$10)*(INDEX(BookQ1,1332)*(5-MIN(4,1+'5. Scenarios'!$E$8))/4+INDEX(BookQ2,1332)*(5-MIN(4,2+'5. Scenarios'!$E$8))/4+INDEX(BookQ3,1332)*(5-MIN(4,3+'5. Scenarios'!$E$8))/4+INDEX(BookQ4,1332)*(5-MIN(4,4+'5. Scenarios'!$E$8))/4)*'5. Scenarios'!$E$6/(1+ProductivityDefault*('5. Scenarios'!$E$11-1))+INDEX(BookOneOff,1332)*$S1337)</f>
        <v/>
      </c>
    </row>
    <row r="1338" customFormat="false" ht="15" hidden="false" customHeight="false" outlineLevel="0" collapsed="false">
      <c r="A1338" s="0" t="str">
        <f aca="false">IF(INDEX(BookTitle,1333)="","",INDEX(BookKey,1333))</f>
        <v/>
      </c>
      <c r="B1338" s="0" t="str">
        <f aca="false">IF(INDEX(BookTitle,1333)="","",INDEX(BookGroup,1333))</f>
        <v/>
      </c>
      <c r="C1338" s="0" t="str">
        <f aca="false">IF(INDEX(BookTitle,1333)="","",INDEX(BookCategory,1333))</f>
        <v/>
      </c>
      <c r="D1338" s="56" t="str">
        <f aca="false">IF(INDEX(BookTitle,1333)="","",INDEX(BookTotal,1333)*'5. Scenarios'!$B$6/(1+ProductivityDefault*('5. Scenarios'!$B$11-1)))</f>
        <v/>
      </c>
      <c r="E1338" s="57" t="str">
        <f aca="false">IF($D1338="","",INDEX(BookRate,1333)*(1+'5. Scenarios'!$B$10)*$D1338)</f>
        <v/>
      </c>
      <c r="F1338" s="57" t="str">
        <f aca="false">IF($E1338="","",SUMIFS($E$6:$E$2405,$A$6:$A$2405,"&lt;="&amp;$A1338))</f>
        <v/>
      </c>
      <c r="G1338" s="57" t="str">
        <f aca="false">IF($E1338="","",IF($F1338&lt;=BankCostEnvelope*'5. Scenarios'!$B$7,1,0))</f>
        <v/>
      </c>
      <c r="H1338" s="57" t="str">
        <f aca="false">IF($D1338="","",INDEX(BookRate,1333)*(1+'5. Scenarios'!$B$10)*(INDEX(BookQ1,1333)*(5-MIN(4,1+'5. Scenarios'!$B$8))/4+INDEX(BookQ2,1333)*(5-MIN(4,2+'5. Scenarios'!$B$8))/4+INDEX(BookQ3,1333)*(5-MIN(4,3+'5. Scenarios'!$B$8))/4+INDEX(BookQ4,1333)*(5-MIN(4,4+'5. Scenarios'!$B$8))/4)*'5. Scenarios'!$B$6/(1+ProductivityDefault*('5. Scenarios'!$B$11-1))+INDEX(BookOneOff,1333)*$D1338)</f>
        <v/>
      </c>
      <c r="I1338" s="56" t="str">
        <f aca="false">IF(INDEX(BookTitle,1333)="","",INDEX(BookTotal,1333)*'5. Scenarios'!$C$6/(1+ProductivityDefault*('5. Scenarios'!$C$11-1)))</f>
        <v/>
      </c>
      <c r="J1338" s="57" t="str">
        <f aca="false">IF($I1338="","",INDEX(BookRate,1333)*(1+'5. Scenarios'!$C$10)*$I1338)</f>
        <v/>
      </c>
      <c r="K1338" s="57" t="str">
        <f aca="false">IF($J1338="","",SUMIFS($J$6:$J$2405,$A$6:$A$2405,"&lt;="&amp;$A1338))</f>
        <v/>
      </c>
      <c r="L1338" s="57" t="str">
        <f aca="false">IF($J1338="","",IF($K1338&lt;=BankCostEnvelope*'5. Scenarios'!$C$7,1,0))</f>
        <v/>
      </c>
      <c r="M1338" s="57" t="str">
        <f aca="false">IF($I1338="","",INDEX(BookRate,1333)*(1+'5. Scenarios'!$C$10)*(INDEX(BookQ1,1333)*(5-MIN(4,1+'5. Scenarios'!$C$8))/4+INDEX(BookQ2,1333)*(5-MIN(4,2+'5. Scenarios'!$C$8))/4+INDEX(BookQ3,1333)*(5-MIN(4,3+'5. Scenarios'!$C$8))/4+INDEX(BookQ4,1333)*(5-MIN(4,4+'5. Scenarios'!$C$8))/4)*'5. Scenarios'!$C$6/(1+ProductivityDefault*('5. Scenarios'!$C$11-1))+INDEX(BookOneOff,1333)*$I1338)</f>
        <v/>
      </c>
      <c r="N1338" s="56" t="str">
        <f aca="false">IF(INDEX(BookTitle,1333)="","",INDEX(BookTotal,1333)*'5. Scenarios'!$D$6/(1+ProductivityDefault*('5. Scenarios'!$D$11-1)))</f>
        <v/>
      </c>
      <c r="O1338" s="57" t="str">
        <f aca="false">IF($N1338="","",INDEX(BookRate,1333)*(1+'5. Scenarios'!$D$10)*$N1338)</f>
        <v/>
      </c>
      <c r="P1338" s="57" t="str">
        <f aca="false">IF($O1338="","",SUMIFS($O$6:$O$2405,$A$6:$A$2405,"&lt;="&amp;$A1338))</f>
        <v/>
      </c>
      <c r="Q1338" s="57" t="str">
        <f aca="false">IF($O1338="","",IF($P1338&lt;=BankCostEnvelope*'5. Scenarios'!$D$7,1,0))</f>
        <v/>
      </c>
      <c r="R1338" s="57" t="str">
        <f aca="false">IF($N1338="","",INDEX(BookRate,1333)*(1+'5. Scenarios'!$D$10)*(INDEX(BookQ1,1333)*(5-MIN(4,1+'5. Scenarios'!$D$8))/4+INDEX(BookQ2,1333)*(5-MIN(4,2+'5. Scenarios'!$D$8))/4+INDEX(BookQ3,1333)*(5-MIN(4,3+'5. Scenarios'!$D$8))/4+INDEX(BookQ4,1333)*(5-MIN(4,4+'5. Scenarios'!$D$8))/4)*'5. Scenarios'!$D$6/(1+ProductivityDefault*('5. Scenarios'!$D$11-1))+INDEX(BookOneOff,1333)*$N1338)</f>
        <v/>
      </c>
      <c r="S1338" s="56" t="str">
        <f aca="false">IF(INDEX(BookTitle,1333)="","",INDEX(BookTotal,1333)*'5. Scenarios'!$E$6/(1+ProductivityDefault*('5. Scenarios'!$E$11-1)))</f>
        <v/>
      </c>
      <c r="T1338" s="57" t="str">
        <f aca="false">IF($S1338="","",INDEX(BookRate,1333)*(1+'5. Scenarios'!$E$10)*$S1338)</f>
        <v/>
      </c>
      <c r="U1338" s="57" t="str">
        <f aca="false">IF($T1338="","",SUMIFS($T$6:$T$2405,$A$6:$A$2405,"&lt;="&amp;$A1338))</f>
        <v/>
      </c>
      <c r="V1338" s="57" t="str">
        <f aca="false">IF($T1338="","",IF($U1338&lt;=BankCostEnvelope*'5. Scenarios'!$E$7,1,0))</f>
        <v/>
      </c>
      <c r="W1338" s="57" t="str">
        <f aca="false">IF($S1338="","",INDEX(BookRate,1333)*(1+'5. Scenarios'!$E$10)*(INDEX(BookQ1,1333)*(5-MIN(4,1+'5. Scenarios'!$E$8))/4+INDEX(BookQ2,1333)*(5-MIN(4,2+'5. Scenarios'!$E$8))/4+INDEX(BookQ3,1333)*(5-MIN(4,3+'5. Scenarios'!$E$8))/4+INDEX(BookQ4,1333)*(5-MIN(4,4+'5. Scenarios'!$E$8))/4)*'5. Scenarios'!$E$6/(1+ProductivityDefault*('5. Scenarios'!$E$11-1))+INDEX(BookOneOff,1333)*$S1338)</f>
        <v/>
      </c>
    </row>
    <row r="1339" customFormat="false" ht="15" hidden="false" customHeight="false" outlineLevel="0" collapsed="false">
      <c r="A1339" s="0" t="str">
        <f aca="false">IF(INDEX(BookTitle,1334)="","",INDEX(BookKey,1334))</f>
        <v/>
      </c>
      <c r="B1339" s="0" t="str">
        <f aca="false">IF(INDEX(BookTitle,1334)="","",INDEX(BookGroup,1334))</f>
        <v/>
      </c>
      <c r="C1339" s="0" t="str">
        <f aca="false">IF(INDEX(BookTitle,1334)="","",INDEX(BookCategory,1334))</f>
        <v/>
      </c>
      <c r="D1339" s="56" t="str">
        <f aca="false">IF(INDEX(BookTitle,1334)="","",INDEX(BookTotal,1334)*'5. Scenarios'!$B$6/(1+ProductivityDefault*('5. Scenarios'!$B$11-1)))</f>
        <v/>
      </c>
      <c r="E1339" s="57" t="str">
        <f aca="false">IF($D1339="","",INDEX(BookRate,1334)*(1+'5. Scenarios'!$B$10)*$D1339)</f>
        <v/>
      </c>
      <c r="F1339" s="57" t="str">
        <f aca="false">IF($E1339="","",SUMIFS($E$6:$E$2405,$A$6:$A$2405,"&lt;="&amp;$A1339))</f>
        <v/>
      </c>
      <c r="G1339" s="57" t="str">
        <f aca="false">IF($E1339="","",IF($F1339&lt;=BankCostEnvelope*'5. Scenarios'!$B$7,1,0))</f>
        <v/>
      </c>
      <c r="H1339" s="57" t="str">
        <f aca="false">IF($D1339="","",INDEX(BookRate,1334)*(1+'5. Scenarios'!$B$10)*(INDEX(BookQ1,1334)*(5-MIN(4,1+'5. Scenarios'!$B$8))/4+INDEX(BookQ2,1334)*(5-MIN(4,2+'5. Scenarios'!$B$8))/4+INDEX(BookQ3,1334)*(5-MIN(4,3+'5. Scenarios'!$B$8))/4+INDEX(BookQ4,1334)*(5-MIN(4,4+'5. Scenarios'!$B$8))/4)*'5. Scenarios'!$B$6/(1+ProductivityDefault*('5. Scenarios'!$B$11-1))+INDEX(BookOneOff,1334)*$D1339)</f>
        <v/>
      </c>
      <c r="I1339" s="56" t="str">
        <f aca="false">IF(INDEX(BookTitle,1334)="","",INDEX(BookTotal,1334)*'5. Scenarios'!$C$6/(1+ProductivityDefault*('5. Scenarios'!$C$11-1)))</f>
        <v/>
      </c>
      <c r="J1339" s="57" t="str">
        <f aca="false">IF($I1339="","",INDEX(BookRate,1334)*(1+'5. Scenarios'!$C$10)*$I1339)</f>
        <v/>
      </c>
      <c r="K1339" s="57" t="str">
        <f aca="false">IF($J1339="","",SUMIFS($J$6:$J$2405,$A$6:$A$2405,"&lt;="&amp;$A1339))</f>
        <v/>
      </c>
      <c r="L1339" s="57" t="str">
        <f aca="false">IF($J1339="","",IF($K1339&lt;=BankCostEnvelope*'5. Scenarios'!$C$7,1,0))</f>
        <v/>
      </c>
      <c r="M1339" s="57" t="str">
        <f aca="false">IF($I1339="","",INDEX(BookRate,1334)*(1+'5. Scenarios'!$C$10)*(INDEX(BookQ1,1334)*(5-MIN(4,1+'5. Scenarios'!$C$8))/4+INDEX(BookQ2,1334)*(5-MIN(4,2+'5. Scenarios'!$C$8))/4+INDEX(BookQ3,1334)*(5-MIN(4,3+'5. Scenarios'!$C$8))/4+INDEX(BookQ4,1334)*(5-MIN(4,4+'5. Scenarios'!$C$8))/4)*'5. Scenarios'!$C$6/(1+ProductivityDefault*('5. Scenarios'!$C$11-1))+INDEX(BookOneOff,1334)*$I1339)</f>
        <v/>
      </c>
      <c r="N1339" s="56" t="str">
        <f aca="false">IF(INDEX(BookTitle,1334)="","",INDEX(BookTotal,1334)*'5. Scenarios'!$D$6/(1+ProductivityDefault*('5. Scenarios'!$D$11-1)))</f>
        <v/>
      </c>
      <c r="O1339" s="57" t="str">
        <f aca="false">IF($N1339="","",INDEX(BookRate,1334)*(1+'5. Scenarios'!$D$10)*$N1339)</f>
        <v/>
      </c>
      <c r="P1339" s="57" t="str">
        <f aca="false">IF($O1339="","",SUMIFS($O$6:$O$2405,$A$6:$A$2405,"&lt;="&amp;$A1339))</f>
        <v/>
      </c>
      <c r="Q1339" s="57" t="str">
        <f aca="false">IF($O1339="","",IF($P1339&lt;=BankCostEnvelope*'5. Scenarios'!$D$7,1,0))</f>
        <v/>
      </c>
      <c r="R1339" s="57" t="str">
        <f aca="false">IF($N1339="","",INDEX(BookRate,1334)*(1+'5. Scenarios'!$D$10)*(INDEX(BookQ1,1334)*(5-MIN(4,1+'5. Scenarios'!$D$8))/4+INDEX(BookQ2,1334)*(5-MIN(4,2+'5. Scenarios'!$D$8))/4+INDEX(BookQ3,1334)*(5-MIN(4,3+'5. Scenarios'!$D$8))/4+INDEX(BookQ4,1334)*(5-MIN(4,4+'5. Scenarios'!$D$8))/4)*'5. Scenarios'!$D$6/(1+ProductivityDefault*('5. Scenarios'!$D$11-1))+INDEX(BookOneOff,1334)*$N1339)</f>
        <v/>
      </c>
      <c r="S1339" s="56" t="str">
        <f aca="false">IF(INDEX(BookTitle,1334)="","",INDEX(BookTotal,1334)*'5. Scenarios'!$E$6/(1+ProductivityDefault*('5. Scenarios'!$E$11-1)))</f>
        <v/>
      </c>
      <c r="T1339" s="57" t="str">
        <f aca="false">IF($S1339="","",INDEX(BookRate,1334)*(1+'5. Scenarios'!$E$10)*$S1339)</f>
        <v/>
      </c>
      <c r="U1339" s="57" t="str">
        <f aca="false">IF($T1339="","",SUMIFS($T$6:$T$2405,$A$6:$A$2405,"&lt;="&amp;$A1339))</f>
        <v/>
      </c>
      <c r="V1339" s="57" t="str">
        <f aca="false">IF($T1339="","",IF($U1339&lt;=BankCostEnvelope*'5. Scenarios'!$E$7,1,0))</f>
        <v/>
      </c>
      <c r="W1339" s="57" t="str">
        <f aca="false">IF($S1339="","",INDEX(BookRate,1334)*(1+'5. Scenarios'!$E$10)*(INDEX(BookQ1,1334)*(5-MIN(4,1+'5. Scenarios'!$E$8))/4+INDEX(BookQ2,1334)*(5-MIN(4,2+'5. Scenarios'!$E$8))/4+INDEX(BookQ3,1334)*(5-MIN(4,3+'5. Scenarios'!$E$8))/4+INDEX(BookQ4,1334)*(5-MIN(4,4+'5. Scenarios'!$E$8))/4)*'5. Scenarios'!$E$6/(1+ProductivityDefault*('5. Scenarios'!$E$11-1))+INDEX(BookOneOff,1334)*$S1339)</f>
        <v/>
      </c>
    </row>
    <row r="1340" customFormat="false" ht="15" hidden="false" customHeight="false" outlineLevel="0" collapsed="false">
      <c r="A1340" s="0" t="str">
        <f aca="false">IF(INDEX(BookTitle,1335)="","",INDEX(BookKey,1335))</f>
        <v/>
      </c>
      <c r="B1340" s="0" t="str">
        <f aca="false">IF(INDEX(BookTitle,1335)="","",INDEX(BookGroup,1335))</f>
        <v/>
      </c>
      <c r="C1340" s="0" t="str">
        <f aca="false">IF(INDEX(BookTitle,1335)="","",INDEX(BookCategory,1335))</f>
        <v/>
      </c>
      <c r="D1340" s="56" t="str">
        <f aca="false">IF(INDEX(BookTitle,1335)="","",INDEX(BookTotal,1335)*'5. Scenarios'!$B$6/(1+ProductivityDefault*('5. Scenarios'!$B$11-1)))</f>
        <v/>
      </c>
      <c r="E1340" s="57" t="str">
        <f aca="false">IF($D1340="","",INDEX(BookRate,1335)*(1+'5. Scenarios'!$B$10)*$D1340)</f>
        <v/>
      </c>
      <c r="F1340" s="57" t="str">
        <f aca="false">IF($E1340="","",SUMIFS($E$6:$E$2405,$A$6:$A$2405,"&lt;="&amp;$A1340))</f>
        <v/>
      </c>
      <c r="G1340" s="57" t="str">
        <f aca="false">IF($E1340="","",IF($F1340&lt;=BankCostEnvelope*'5. Scenarios'!$B$7,1,0))</f>
        <v/>
      </c>
      <c r="H1340" s="57" t="str">
        <f aca="false">IF($D1340="","",INDEX(BookRate,1335)*(1+'5. Scenarios'!$B$10)*(INDEX(BookQ1,1335)*(5-MIN(4,1+'5. Scenarios'!$B$8))/4+INDEX(BookQ2,1335)*(5-MIN(4,2+'5. Scenarios'!$B$8))/4+INDEX(BookQ3,1335)*(5-MIN(4,3+'5. Scenarios'!$B$8))/4+INDEX(BookQ4,1335)*(5-MIN(4,4+'5. Scenarios'!$B$8))/4)*'5. Scenarios'!$B$6/(1+ProductivityDefault*('5. Scenarios'!$B$11-1))+INDEX(BookOneOff,1335)*$D1340)</f>
        <v/>
      </c>
      <c r="I1340" s="56" t="str">
        <f aca="false">IF(INDEX(BookTitle,1335)="","",INDEX(BookTotal,1335)*'5. Scenarios'!$C$6/(1+ProductivityDefault*('5. Scenarios'!$C$11-1)))</f>
        <v/>
      </c>
      <c r="J1340" s="57" t="str">
        <f aca="false">IF($I1340="","",INDEX(BookRate,1335)*(1+'5. Scenarios'!$C$10)*$I1340)</f>
        <v/>
      </c>
      <c r="K1340" s="57" t="str">
        <f aca="false">IF($J1340="","",SUMIFS($J$6:$J$2405,$A$6:$A$2405,"&lt;="&amp;$A1340))</f>
        <v/>
      </c>
      <c r="L1340" s="57" t="str">
        <f aca="false">IF($J1340="","",IF($K1340&lt;=BankCostEnvelope*'5. Scenarios'!$C$7,1,0))</f>
        <v/>
      </c>
      <c r="M1340" s="57" t="str">
        <f aca="false">IF($I1340="","",INDEX(BookRate,1335)*(1+'5. Scenarios'!$C$10)*(INDEX(BookQ1,1335)*(5-MIN(4,1+'5. Scenarios'!$C$8))/4+INDEX(BookQ2,1335)*(5-MIN(4,2+'5. Scenarios'!$C$8))/4+INDEX(BookQ3,1335)*(5-MIN(4,3+'5. Scenarios'!$C$8))/4+INDEX(BookQ4,1335)*(5-MIN(4,4+'5. Scenarios'!$C$8))/4)*'5. Scenarios'!$C$6/(1+ProductivityDefault*('5. Scenarios'!$C$11-1))+INDEX(BookOneOff,1335)*$I1340)</f>
        <v/>
      </c>
      <c r="N1340" s="56" t="str">
        <f aca="false">IF(INDEX(BookTitle,1335)="","",INDEX(BookTotal,1335)*'5. Scenarios'!$D$6/(1+ProductivityDefault*('5. Scenarios'!$D$11-1)))</f>
        <v/>
      </c>
      <c r="O1340" s="57" t="str">
        <f aca="false">IF($N1340="","",INDEX(BookRate,1335)*(1+'5. Scenarios'!$D$10)*$N1340)</f>
        <v/>
      </c>
      <c r="P1340" s="57" t="str">
        <f aca="false">IF($O1340="","",SUMIFS($O$6:$O$2405,$A$6:$A$2405,"&lt;="&amp;$A1340))</f>
        <v/>
      </c>
      <c r="Q1340" s="57" t="str">
        <f aca="false">IF($O1340="","",IF($P1340&lt;=BankCostEnvelope*'5. Scenarios'!$D$7,1,0))</f>
        <v/>
      </c>
      <c r="R1340" s="57" t="str">
        <f aca="false">IF($N1340="","",INDEX(BookRate,1335)*(1+'5. Scenarios'!$D$10)*(INDEX(BookQ1,1335)*(5-MIN(4,1+'5. Scenarios'!$D$8))/4+INDEX(BookQ2,1335)*(5-MIN(4,2+'5. Scenarios'!$D$8))/4+INDEX(BookQ3,1335)*(5-MIN(4,3+'5. Scenarios'!$D$8))/4+INDEX(BookQ4,1335)*(5-MIN(4,4+'5. Scenarios'!$D$8))/4)*'5. Scenarios'!$D$6/(1+ProductivityDefault*('5. Scenarios'!$D$11-1))+INDEX(BookOneOff,1335)*$N1340)</f>
        <v/>
      </c>
      <c r="S1340" s="56" t="str">
        <f aca="false">IF(INDEX(BookTitle,1335)="","",INDEX(BookTotal,1335)*'5. Scenarios'!$E$6/(1+ProductivityDefault*('5. Scenarios'!$E$11-1)))</f>
        <v/>
      </c>
      <c r="T1340" s="57" t="str">
        <f aca="false">IF($S1340="","",INDEX(BookRate,1335)*(1+'5. Scenarios'!$E$10)*$S1340)</f>
        <v/>
      </c>
      <c r="U1340" s="57" t="str">
        <f aca="false">IF($T1340="","",SUMIFS($T$6:$T$2405,$A$6:$A$2405,"&lt;="&amp;$A1340))</f>
        <v/>
      </c>
      <c r="V1340" s="57" t="str">
        <f aca="false">IF($T1340="","",IF($U1340&lt;=BankCostEnvelope*'5. Scenarios'!$E$7,1,0))</f>
        <v/>
      </c>
      <c r="W1340" s="57" t="str">
        <f aca="false">IF($S1340="","",INDEX(BookRate,1335)*(1+'5. Scenarios'!$E$10)*(INDEX(BookQ1,1335)*(5-MIN(4,1+'5. Scenarios'!$E$8))/4+INDEX(BookQ2,1335)*(5-MIN(4,2+'5. Scenarios'!$E$8))/4+INDEX(BookQ3,1335)*(5-MIN(4,3+'5. Scenarios'!$E$8))/4+INDEX(BookQ4,1335)*(5-MIN(4,4+'5. Scenarios'!$E$8))/4)*'5. Scenarios'!$E$6/(1+ProductivityDefault*('5. Scenarios'!$E$11-1))+INDEX(BookOneOff,1335)*$S1340)</f>
        <v/>
      </c>
    </row>
    <row r="1341" customFormat="false" ht="15" hidden="false" customHeight="false" outlineLevel="0" collapsed="false">
      <c r="A1341" s="0" t="str">
        <f aca="false">IF(INDEX(BookTitle,1336)="","",INDEX(BookKey,1336))</f>
        <v/>
      </c>
      <c r="B1341" s="0" t="str">
        <f aca="false">IF(INDEX(BookTitle,1336)="","",INDEX(BookGroup,1336))</f>
        <v/>
      </c>
      <c r="C1341" s="0" t="str">
        <f aca="false">IF(INDEX(BookTitle,1336)="","",INDEX(BookCategory,1336))</f>
        <v/>
      </c>
      <c r="D1341" s="56" t="str">
        <f aca="false">IF(INDEX(BookTitle,1336)="","",INDEX(BookTotal,1336)*'5. Scenarios'!$B$6/(1+ProductivityDefault*('5. Scenarios'!$B$11-1)))</f>
        <v/>
      </c>
      <c r="E1341" s="57" t="str">
        <f aca="false">IF($D1341="","",INDEX(BookRate,1336)*(1+'5. Scenarios'!$B$10)*$D1341)</f>
        <v/>
      </c>
      <c r="F1341" s="57" t="str">
        <f aca="false">IF($E1341="","",SUMIFS($E$6:$E$2405,$A$6:$A$2405,"&lt;="&amp;$A1341))</f>
        <v/>
      </c>
      <c r="G1341" s="57" t="str">
        <f aca="false">IF($E1341="","",IF($F1341&lt;=BankCostEnvelope*'5. Scenarios'!$B$7,1,0))</f>
        <v/>
      </c>
      <c r="H1341" s="57" t="str">
        <f aca="false">IF($D1341="","",INDEX(BookRate,1336)*(1+'5. Scenarios'!$B$10)*(INDEX(BookQ1,1336)*(5-MIN(4,1+'5. Scenarios'!$B$8))/4+INDEX(BookQ2,1336)*(5-MIN(4,2+'5. Scenarios'!$B$8))/4+INDEX(BookQ3,1336)*(5-MIN(4,3+'5. Scenarios'!$B$8))/4+INDEX(BookQ4,1336)*(5-MIN(4,4+'5. Scenarios'!$B$8))/4)*'5. Scenarios'!$B$6/(1+ProductivityDefault*('5. Scenarios'!$B$11-1))+INDEX(BookOneOff,1336)*$D1341)</f>
        <v/>
      </c>
      <c r="I1341" s="56" t="str">
        <f aca="false">IF(INDEX(BookTitle,1336)="","",INDEX(BookTotal,1336)*'5. Scenarios'!$C$6/(1+ProductivityDefault*('5. Scenarios'!$C$11-1)))</f>
        <v/>
      </c>
      <c r="J1341" s="57" t="str">
        <f aca="false">IF($I1341="","",INDEX(BookRate,1336)*(1+'5. Scenarios'!$C$10)*$I1341)</f>
        <v/>
      </c>
      <c r="K1341" s="57" t="str">
        <f aca="false">IF($J1341="","",SUMIFS($J$6:$J$2405,$A$6:$A$2405,"&lt;="&amp;$A1341))</f>
        <v/>
      </c>
      <c r="L1341" s="57" t="str">
        <f aca="false">IF($J1341="","",IF($K1341&lt;=BankCostEnvelope*'5. Scenarios'!$C$7,1,0))</f>
        <v/>
      </c>
      <c r="M1341" s="57" t="str">
        <f aca="false">IF($I1341="","",INDEX(BookRate,1336)*(1+'5. Scenarios'!$C$10)*(INDEX(BookQ1,1336)*(5-MIN(4,1+'5. Scenarios'!$C$8))/4+INDEX(BookQ2,1336)*(5-MIN(4,2+'5. Scenarios'!$C$8))/4+INDEX(BookQ3,1336)*(5-MIN(4,3+'5. Scenarios'!$C$8))/4+INDEX(BookQ4,1336)*(5-MIN(4,4+'5. Scenarios'!$C$8))/4)*'5. Scenarios'!$C$6/(1+ProductivityDefault*('5. Scenarios'!$C$11-1))+INDEX(BookOneOff,1336)*$I1341)</f>
        <v/>
      </c>
      <c r="N1341" s="56" t="str">
        <f aca="false">IF(INDEX(BookTitle,1336)="","",INDEX(BookTotal,1336)*'5. Scenarios'!$D$6/(1+ProductivityDefault*('5. Scenarios'!$D$11-1)))</f>
        <v/>
      </c>
      <c r="O1341" s="57" t="str">
        <f aca="false">IF($N1341="","",INDEX(BookRate,1336)*(1+'5. Scenarios'!$D$10)*$N1341)</f>
        <v/>
      </c>
      <c r="P1341" s="57" t="str">
        <f aca="false">IF($O1341="","",SUMIFS($O$6:$O$2405,$A$6:$A$2405,"&lt;="&amp;$A1341))</f>
        <v/>
      </c>
      <c r="Q1341" s="57" t="str">
        <f aca="false">IF($O1341="","",IF($P1341&lt;=BankCostEnvelope*'5. Scenarios'!$D$7,1,0))</f>
        <v/>
      </c>
      <c r="R1341" s="57" t="str">
        <f aca="false">IF($N1341="","",INDEX(BookRate,1336)*(1+'5. Scenarios'!$D$10)*(INDEX(BookQ1,1336)*(5-MIN(4,1+'5. Scenarios'!$D$8))/4+INDEX(BookQ2,1336)*(5-MIN(4,2+'5. Scenarios'!$D$8))/4+INDEX(BookQ3,1336)*(5-MIN(4,3+'5. Scenarios'!$D$8))/4+INDEX(BookQ4,1336)*(5-MIN(4,4+'5. Scenarios'!$D$8))/4)*'5. Scenarios'!$D$6/(1+ProductivityDefault*('5. Scenarios'!$D$11-1))+INDEX(BookOneOff,1336)*$N1341)</f>
        <v/>
      </c>
      <c r="S1341" s="56" t="str">
        <f aca="false">IF(INDEX(BookTitle,1336)="","",INDEX(BookTotal,1336)*'5. Scenarios'!$E$6/(1+ProductivityDefault*('5. Scenarios'!$E$11-1)))</f>
        <v/>
      </c>
      <c r="T1341" s="57" t="str">
        <f aca="false">IF($S1341="","",INDEX(BookRate,1336)*(1+'5. Scenarios'!$E$10)*$S1341)</f>
        <v/>
      </c>
      <c r="U1341" s="57" t="str">
        <f aca="false">IF($T1341="","",SUMIFS($T$6:$T$2405,$A$6:$A$2405,"&lt;="&amp;$A1341))</f>
        <v/>
      </c>
      <c r="V1341" s="57" t="str">
        <f aca="false">IF($T1341="","",IF($U1341&lt;=BankCostEnvelope*'5. Scenarios'!$E$7,1,0))</f>
        <v/>
      </c>
      <c r="W1341" s="57" t="str">
        <f aca="false">IF($S1341="","",INDEX(BookRate,1336)*(1+'5. Scenarios'!$E$10)*(INDEX(BookQ1,1336)*(5-MIN(4,1+'5. Scenarios'!$E$8))/4+INDEX(BookQ2,1336)*(5-MIN(4,2+'5. Scenarios'!$E$8))/4+INDEX(BookQ3,1336)*(5-MIN(4,3+'5. Scenarios'!$E$8))/4+INDEX(BookQ4,1336)*(5-MIN(4,4+'5. Scenarios'!$E$8))/4)*'5. Scenarios'!$E$6/(1+ProductivityDefault*('5. Scenarios'!$E$11-1))+INDEX(BookOneOff,1336)*$S1341)</f>
        <v/>
      </c>
    </row>
    <row r="1342" customFormat="false" ht="15" hidden="false" customHeight="false" outlineLevel="0" collapsed="false">
      <c r="A1342" s="0" t="str">
        <f aca="false">IF(INDEX(BookTitle,1337)="","",INDEX(BookKey,1337))</f>
        <v/>
      </c>
      <c r="B1342" s="0" t="str">
        <f aca="false">IF(INDEX(BookTitle,1337)="","",INDEX(BookGroup,1337))</f>
        <v/>
      </c>
      <c r="C1342" s="0" t="str">
        <f aca="false">IF(INDEX(BookTitle,1337)="","",INDEX(BookCategory,1337))</f>
        <v/>
      </c>
      <c r="D1342" s="56" t="str">
        <f aca="false">IF(INDEX(BookTitle,1337)="","",INDEX(BookTotal,1337)*'5. Scenarios'!$B$6/(1+ProductivityDefault*('5. Scenarios'!$B$11-1)))</f>
        <v/>
      </c>
      <c r="E1342" s="57" t="str">
        <f aca="false">IF($D1342="","",INDEX(BookRate,1337)*(1+'5. Scenarios'!$B$10)*$D1342)</f>
        <v/>
      </c>
      <c r="F1342" s="57" t="str">
        <f aca="false">IF($E1342="","",SUMIFS($E$6:$E$2405,$A$6:$A$2405,"&lt;="&amp;$A1342))</f>
        <v/>
      </c>
      <c r="G1342" s="57" t="str">
        <f aca="false">IF($E1342="","",IF($F1342&lt;=BankCostEnvelope*'5. Scenarios'!$B$7,1,0))</f>
        <v/>
      </c>
      <c r="H1342" s="57" t="str">
        <f aca="false">IF($D1342="","",INDEX(BookRate,1337)*(1+'5. Scenarios'!$B$10)*(INDEX(BookQ1,1337)*(5-MIN(4,1+'5. Scenarios'!$B$8))/4+INDEX(BookQ2,1337)*(5-MIN(4,2+'5. Scenarios'!$B$8))/4+INDEX(BookQ3,1337)*(5-MIN(4,3+'5. Scenarios'!$B$8))/4+INDEX(BookQ4,1337)*(5-MIN(4,4+'5. Scenarios'!$B$8))/4)*'5. Scenarios'!$B$6/(1+ProductivityDefault*('5. Scenarios'!$B$11-1))+INDEX(BookOneOff,1337)*$D1342)</f>
        <v/>
      </c>
      <c r="I1342" s="56" t="str">
        <f aca="false">IF(INDEX(BookTitle,1337)="","",INDEX(BookTotal,1337)*'5. Scenarios'!$C$6/(1+ProductivityDefault*('5. Scenarios'!$C$11-1)))</f>
        <v/>
      </c>
      <c r="J1342" s="57" t="str">
        <f aca="false">IF($I1342="","",INDEX(BookRate,1337)*(1+'5. Scenarios'!$C$10)*$I1342)</f>
        <v/>
      </c>
      <c r="K1342" s="57" t="str">
        <f aca="false">IF($J1342="","",SUMIFS($J$6:$J$2405,$A$6:$A$2405,"&lt;="&amp;$A1342))</f>
        <v/>
      </c>
      <c r="L1342" s="57" t="str">
        <f aca="false">IF($J1342="","",IF($K1342&lt;=BankCostEnvelope*'5. Scenarios'!$C$7,1,0))</f>
        <v/>
      </c>
      <c r="M1342" s="57" t="str">
        <f aca="false">IF($I1342="","",INDEX(BookRate,1337)*(1+'5. Scenarios'!$C$10)*(INDEX(BookQ1,1337)*(5-MIN(4,1+'5. Scenarios'!$C$8))/4+INDEX(BookQ2,1337)*(5-MIN(4,2+'5. Scenarios'!$C$8))/4+INDEX(BookQ3,1337)*(5-MIN(4,3+'5. Scenarios'!$C$8))/4+INDEX(BookQ4,1337)*(5-MIN(4,4+'5. Scenarios'!$C$8))/4)*'5. Scenarios'!$C$6/(1+ProductivityDefault*('5. Scenarios'!$C$11-1))+INDEX(BookOneOff,1337)*$I1342)</f>
        <v/>
      </c>
      <c r="N1342" s="56" t="str">
        <f aca="false">IF(INDEX(BookTitle,1337)="","",INDEX(BookTotal,1337)*'5. Scenarios'!$D$6/(1+ProductivityDefault*('5. Scenarios'!$D$11-1)))</f>
        <v/>
      </c>
      <c r="O1342" s="57" t="str">
        <f aca="false">IF($N1342="","",INDEX(BookRate,1337)*(1+'5. Scenarios'!$D$10)*$N1342)</f>
        <v/>
      </c>
      <c r="P1342" s="57" t="str">
        <f aca="false">IF($O1342="","",SUMIFS($O$6:$O$2405,$A$6:$A$2405,"&lt;="&amp;$A1342))</f>
        <v/>
      </c>
      <c r="Q1342" s="57" t="str">
        <f aca="false">IF($O1342="","",IF($P1342&lt;=BankCostEnvelope*'5. Scenarios'!$D$7,1,0))</f>
        <v/>
      </c>
      <c r="R1342" s="57" t="str">
        <f aca="false">IF($N1342="","",INDEX(BookRate,1337)*(1+'5. Scenarios'!$D$10)*(INDEX(BookQ1,1337)*(5-MIN(4,1+'5. Scenarios'!$D$8))/4+INDEX(BookQ2,1337)*(5-MIN(4,2+'5. Scenarios'!$D$8))/4+INDEX(BookQ3,1337)*(5-MIN(4,3+'5. Scenarios'!$D$8))/4+INDEX(BookQ4,1337)*(5-MIN(4,4+'5. Scenarios'!$D$8))/4)*'5. Scenarios'!$D$6/(1+ProductivityDefault*('5. Scenarios'!$D$11-1))+INDEX(BookOneOff,1337)*$N1342)</f>
        <v/>
      </c>
      <c r="S1342" s="56" t="str">
        <f aca="false">IF(INDEX(BookTitle,1337)="","",INDEX(BookTotal,1337)*'5. Scenarios'!$E$6/(1+ProductivityDefault*('5. Scenarios'!$E$11-1)))</f>
        <v/>
      </c>
      <c r="T1342" s="57" t="str">
        <f aca="false">IF($S1342="","",INDEX(BookRate,1337)*(1+'5. Scenarios'!$E$10)*$S1342)</f>
        <v/>
      </c>
      <c r="U1342" s="57" t="str">
        <f aca="false">IF($T1342="","",SUMIFS($T$6:$T$2405,$A$6:$A$2405,"&lt;="&amp;$A1342))</f>
        <v/>
      </c>
      <c r="V1342" s="57" t="str">
        <f aca="false">IF($T1342="","",IF($U1342&lt;=BankCostEnvelope*'5. Scenarios'!$E$7,1,0))</f>
        <v/>
      </c>
      <c r="W1342" s="57" t="str">
        <f aca="false">IF($S1342="","",INDEX(BookRate,1337)*(1+'5. Scenarios'!$E$10)*(INDEX(BookQ1,1337)*(5-MIN(4,1+'5. Scenarios'!$E$8))/4+INDEX(BookQ2,1337)*(5-MIN(4,2+'5. Scenarios'!$E$8))/4+INDEX(BookQ3,1337)*(5-MIN(4,3+'5. Scenarios'!$E$8))/4+INDEX(BookQ4,1337)*(5-MIN(4,4+'5. Scenarios'!$E$8))/4)*'5. Scenarios'!$E$6/(1+ProductivityDefault*('5. Scenarios'!$E$11-1))+INDEX(BookOneOff,1337)*$S1342)</f>
        <v/>
      </c>
    </row>
    <row r="1343" customFormat="false" ht="15" hidden="false" customHeight="false" outlineLevel="0" collapsed="false">
      <c r="A1343" s="0" t="str">
        <f aca="false">IF(INDEX(BookTitle,1338)="","",INDEX(BookKey,1338))</f>
        <v/>
      </c>
      <c r="B1343" s="0" t="str">
        <f aca="false">IF(INDEX(BookTitle,1338)="","",INDEX(BookGroup,1338))</f>
        <v/>
      </c>
      <c r="C1343" s="0" t="str">
        <f aca="false">IF(INDEX(BookTitle,1338)="","",INDEX(BookCategory,1338))</f>
        <v/>
      </c>
      <c r="D1343" s="56" t="str">
        <f aca="false">IF(INDEX(BookTitle,1338)="","",INDEX(BookTotal,1338)*'5. Scenarios'!$B$6/(1+ProductivityDefault*('5. Scenarios'!$B$11-1)))</f>
        <v/>
      </c>
      <c r="E1343" s="57" t="str">
        <f aca="false">IF($D1343="","",INDEX(BookRate,1338)*(1+'5. Scenarios'!$B$10)*$D1343)</f>
        <v/>
      </c>
      <c r="F1343" s="57" t="str">
        <f aca="false">IF($E1343="","",SUMIFS($E$6:$E$2405,$A$6:$A$2405,"&lt;="&amp;$A1343))</f>
        <v/>
      </c>
      <c r="G1343" s="57" t="str">
        <f aca="false">IF($E1343="","",IF($F1343&lt;=BankCostEnvelope*'5. Scenarios'!$B$7,1,0))</f>
        <v/>
      </c>
      <c r="H1343" s="57" t="str">
        <f aca="false">IF($D1343="","",INDEX(BookRate,1338)*(1+'5. Scenarios'!$B$10)*(INDEX(BookQ1,1338)*(5-MIN(4,1+'5. Scenarios'!$B$8))/4+INDEX(BookQ2,1338)*(5-MIN(4,2+'5. Scenarios'!$B$8))/4+INDEX(BookQ3,1338)*(5-MIN(4,3+'5. Scenarios'!$B$8))/4+INDEX(BookQ4,1338)*(5-MIN(4,4+'5. Scenarios'!$B$8))/4)*'5. Scenarios'!$B$6/(1+ProductivityDefault*('5. Scenarios'!$B$11-1))+INDEX(BookOneOff,1338)*$D1343)</f>
        <v/>
      </c>
      <c r="I1343" s="56" t="str">
        <f aca="false">IF(INDEX(BookTitle,1338)="","",INDEX(BookTotal,1338)*'5. Scenarios'!$C$6/(1+ProductivityDefault*('5. Scenarios'!$C$11-1)))</f>
        <v/>
      </c>
      <c r="J1343" s="57" t="str">
        <f aca="false">IF($I1343="","",INDEX(BookRate,1338)*(1+'5. Scenarios'!$C$10)*$I1343)</f>
        <v/>
      </c>
      <c r="K1343" s="57" t="str">
        <f aca="false">IF($J1343="","",SUMIFS($J$6:$J$2405,$A$6:$A$2405,"&lt;="&amp;$A1343))</f>
        <v/>
      </c>
      <c r="L1343" s="57" t="str">
        <f aca="false">IF($J1343="","",IF($K1343&lt;=BankCostEnvelope*'5. Scenarios'!$C$7,1,0))</f>
        <v/>
      </c>
      <c r="M1343" s="57" t="str">
        <f aca="false">IF($I1343="","",INDEX(BookRate,1338)*(1+'5. Scenarios'!$C$10)*(INDEX(BookQ1,1338)*(5-MIN(4,1+'5. Scenarios'!$C$8))/4+INDEX(BookQ2,1338)*(5-MIN(4,2+'5. Scenarios'!$C$8))/4+INDEX(BookQ3,1338)*(5-MIN(4,3+'5. Scenarios'!$C$8))/4+INDEX(BookQ4,1338)*(5-MIN(4,4+'5. Scenarios'!$C$8))/4)*'5. Scenarios'!$C$6/(1+ProductivityDefault*('5. Scenarios'!$C$11-1))+INDEX(BookOneOff,1338)*$I1343)</f>
        <v/>
      </c>
      <c r="N1343" s="56" t="str">
        <f aca="false">IF(INDEX(BookTitle,1338)="","",INDEX(BookTotal,1338)*'5. Scenarios'!$D$6/(1+ProductivityDefault*('5. Scenarios'!$D$11-1)))</f>
        <v/>
      </c>
      <c r="O1343" s="57" t="str">
        <f aca="false">IF($N1343="","",INDEX(BookRate,1338)*(1+'5. Scenarios'!$D$10)*$N1343)</f>
        <v/>
      </c>
      <c r="P1343" s="57" t="str">
        <f aca="false">IF($O1343="","",SUMIFS($O$6:$O$2405,$A$6:$A$2405,"&lt;="&amp;$A1343))</f>
        <v/>
      </c>
      <c r="Q1343" s="57" t="str">
        <f aca="false">IF($O1343="","",IF($P1343&lt;=BankCostEnvelope*'5. Scenarios'!$D$7,1,0))</f>
        <v/>
      </c>
      <c r="R1343" s="57" t="str">
        <f aca="false">IF($N1343="","",INDEX(BookRate,1338)*(1+'5. Scenarios'!$D$10)*(INDEX(BookQ1,1338)*(5-MIN(4,1+'5. Scenarios'!$D$8))/4+INDEX(BookQ2,1338)*(5-MIN(4,2+'5. Scenarios'!$D$8))/4+INDEX(BookQ3,1338)*(5-MIN(4,3+'5. Scenarios'!$D$8))/4+INDEX(BookQ4,1338)*(5-MIN(4,4+'5. Scenarios'!$D$8))/4)*'5. Scenarios'!$D$6/(1+ProductivityDefault*('5. Scenarios'!$D$11-1))+INDEX(BookOneOff,1338)*$N1343)</f>
        <v/>
      </c>
      <c r="S1343" s="56" t="str">
        <f aca="false">IF(INDEX(BookTitle,1338)="","",INDEX(BookTotal,1338)*'5. Scenarios'!$E$6/(1+ProductivityDefault*('5. Scenarios'!$E$11-1)))</f>
        <v/>
      </c>
      <c r="T1343" s="57" t="str">
        <f aca="false">IF($S1343="","",INDEX(BookRate,1338)*(1+'5. Scenarios'!$E$10)*$S1343)</f>
        <v/>
      </c>
      <c r="U1343" s="57" t="str">
        <f aca="false">IF($T1343="","",SUMIFS($T$6:$T$2405,$A$6:$A$2405,"&lt;="&amp;$A1343))</f>
        <v/>
      </c>
      <c r="V1343" s="57" t="str">
        <f aca="false">IF($T1343="","",IF($U1343&lt;=BankCostEnvelope*'5. Scenarios'!$E$7,1,0))</f>
        <v/>
      </c>
      <c r="W1343" s="57" t="str">
        <f aca="false">IF($S1343="","",INDEX(BookRate,1338)*(1+'5. Scenarios'!$E$10)*(INDEX(BookQ1,1338)*(5-MIN(4,1+'5. Scenarios'!$E$8))/4+INDEX(BookQ2,1338)*(5-MIN(4,2+'5. Scenarios'!$E$8))/4+INDEX(BookQ3,1338)*(5-MIN(4,3+'5. Scenarios'!$E$8))/4+INDEX(BookQ4,1338)*(5-MIN(4,4+'5. Scenarios'!$E$8))/4)*'5. Scenarios'!$E$6/(1+ProductivityDefault*('5. Scenarios'!$E$11-1))+INDEX(BookOneOff,1338)*$S1343)</f>
        <v/>
      </c>
    </row>
    <row r="1344" customFormat="false" ht="15" hidden="false" customHeight="false" outlineLevel="0" collapsed="false">
      <c r="A1344" s="0" t="str">
        <f aca="false">IF(INDEX(BookTitle,1339)="","",INDEX(BookKey,1339))</f>
        <v/>
      </c>
      <c r="B1344" s="0" t="str">
        <f aca="false">IF(INDEX(BookTitle,1339)="","",INDEX(BookGroup,1339))</f>
        <v/>
      </c>
      <c r="C1344" s="0" t="str">
        <f aca="false">IF(INDEX(BookTitle,1339)="","",INDEX(BookCategory,1339))</f>
        <v/>
      </c>
      <c r="D1344" s="56" t="str">
        <f aca="false">IF(INDEX(BookTitle,1339)="","",INDEX(BookTotal,1339)*'5. Scenarios'!$B$6/(1+ProductivityDefault*('5. Scenarios'!$B$11-1)))</f>
        <v/>
      </c>
      <c r="E1344" s="57" t="str">
        <f aca="false">IF($D1344="","",INDEX(BookRate,1339)*(1+'5. Scenarios'!$B$10)*$D1344)</f>
        <v/>
      </c>
      <c r="F1344" s="57" t="str">
        <f aca="false">IF($E1344="","",SUMIFS($E$6:$E$2405,$A$6:$A$2405,"&lt;="&amp;$A1344))</f>
        <v/>
      </c>
      <c r="G1344" s="57" t="str">
        <f aca="false">IF($E1344="","",IF($F1344&lt;=BankCostEnvelope*'5. Scenarios'!$B$7,1,0))</f>
        <v/>
      </c>
      <c r="H1344" s="57" t="str">
        <f aca="false">IF($D1344="","",INDEX(BookRate,1339)*(1+'5. Scenarios'!$B$10)*(INDEX(BookQ1,1339)*(5-MIN(4,1+'5. Scenarios'!$B$8))/4+INDEX(BookQ2,1339)*(5-MIN(4,2+'5. Scenarios'!$B$8))/4+INDEX(BookQ3,1339)*(5-MIN(4,3+'5. Scenarios'!$B$8))/4+INDEX(BookQ4,1339)*(5-MIN(4,4+'5. Scenarios'!$B$8))/4)*'5. Scenarios'!$B$6/(1+ProductivityDefault*('5. Scenarios'!$B$11-1))+INDEX(BookOneOff,1339)*$D1344)</f>
        <v/>
      </c>
      <c r="I1344" s="56" t="str">
        <f aca="false">IF(INDEX(BookTitle,1339)="","",INDEX(BookTotal,1339)*'5. Scenarios'!$C$6/(1+ProductivityDefault*('5. Scenarios'!$C$11-1)))</f>
        <v/>
      </c>
      <c r="J1344" s="57" t="str">
        <f aca="false">IF($I1344="","",INDEX(BookRate,1339)*(1+'5. Scenarios'!$C$10)*$I1344)</f>
        <v/>
      </c>
      <c r="K1344" s="57" t="str">
        <f aca="false">IF($J1344="","",SUMIFS($J$6:$J$2405,$A$6:$A$2405,"&lt;="&amp;$A1344))</f>
        <v/>
      </c>
      <c r="L1344" s="57" t="str">
        <f aca="false">IF($J1344="","",IF($K1344&lt;=BankCostEnvelope*'5. Scenarios'!$C$7,1,0))</f>
        <v/>
      </c>
      <c r="M1344" s="57" t="str">
        <f aca="false">IF($I1344="","",INDEX(BookRate,1339)*(1+'5. Scenarios'!$C$10)*(INDEX(BookQ1,1339)*(5-MIN(4,1+'5. Scenarios'!$C$8))/4+INDEX(BookQ2,1339)*(5-MIN(4,2+'5. Scenarios'!$C$8))/4+INDEX(BookQ3,1339)*(5-MIN(4,3+'5. Scenarios'!$C$8))/4+INDEX(BookQ4,1339)*(5-MIN(4,4+'5. Scenarios'!$C$8))/4)*'5. Scenarios'!$C$6/(1+ProductivityDefault*('5. Scenarios'!$C$11-1))+INDEX(BookOneOff,1339)*$I1344)</f>
        <v/>
      </c>
      <c r="N1344" s="56" t="str">
        <f aca="false">IF(INDEX(BookTitle,1339)="","",INDEX(BookTotal,1339)*'5. Scenarios'!$D$6/(1+ProductivityDefault*('5. Scenarios'!$D$11-1)))</f>
        <v/>
      </c>
      <c r="O1344" s="57" t="str">
        <f aca="false">IF($N1344="","",INDEX(BookRate,1339)*(1+'5. Scenarios'!$D$10)*$N1344)</f>
        <v/>
      </c>
      <c r="P1344" s="57" t="str">
        <f aca="false">IF($O1344="","",SUMIFS($O$6:$O$2405,$A$6:$A$2405,"&lt;="&amp;$A1344))</f>
        <v/>
      </c>
      <c r="Q1344" s="57" t="str">
        <f aca="false">IF($O1344="","",IF($P1344&lt;=BankCostEnvelope*'5. Scenarios'!$D$7,1,0))</f>
        <v/>
      </c>
      <c r="R1344" s="57" t="str">
        <f aca="false">IF($N1344="","",INDEX(BookRate,1339)*(1+'5. Scenarios'!$D$10)*(INDEX(BookQ1,1339)*(5-MIN(4,1+'5. Scenarios'!$D$8))/4+INDEX(BookQ2,1339)*(5-MIN(4,2+'5. Scenarios'!$D$8))/4+INDEX(BookQ3,1339)*(5-MIN(4,3+'5. Scenarios'!$D$8))/4+INDEX(BookQ4,1339)*(5-MIN(4,4+'5. Scenarios'!$D$8))/4)*'5. Scenarios'!$D$6/(1+ProductivityDefault*('5. Scenarios'!$D$11-1))+INDEX(BookOneOff,1339)*$N1344)</f>
        <v/>
      </c>
      <c r="S1344" s="56" t="str">
        <f aca="false">IF(INDEX(BookTitle,1339)="","",INDEX(BookTotal,1339)*'5. Scenarios'!$E$6/(1+ProductivityDefault*('5. Scenarios'!$E$11-1)))</f>
        <v/>
      </c>
      <c r="T1344" s="57" t="str">
        <f aca="false">IF($S1344="","",INDEX(BookRate,1339)*(1+'5. Scenarios'!$E$10)*$S1344)</f>
        <v/>
      </c>
      <c r="U1344" s="57" t="str">
        <f aca="false">IF($T1344="","",SUMIFS($T$6:$T$2405,$A$6:$A$2405,"&lt;="&amp;$A1344))</f>
        <v/>
      </c>
      <c r="V1344" s="57" t="str">
        <f aca="false">IF($T1344="","",IF($U1344&lt;=BankCostEnvelope*'5. Scenarios'!$E$7,1,0))</f>
        <v/>
      </c>
      <c r="W1344" s="57" t="str">
        <f aca="false">IF($S1344="","",INDEX(BookRate,1339)*(1+'5. Scenarios'!$E$10)*(INDEX(BookQ1,1339)*(5-MIN(4,1+'5. Scenarios'!$E$8))/4+INDEX(BookQ2,1339)*(5-MIN(4,2+'5. Scenarios'!$E$8))/4+INDEX(BookQ3,1339)*(5-MIN(4,3+'5. Scenarios'!$E$8))/4+INDEX(BookQ4,1339)*(5-MIN(4,4+'5. Scenarios'!$E$8))/4)*'5. Scenarios'!$E$6/(1+ProductivityDefault*('5. Scenarios'!$E$11-1))+INDEX(BookOneOff,1339)*$S1344)</f>
        <v/>
      </c>
    </row>
    <row r="1345" customFormat="false" ht="15" hidden="false" customHeight="false" outlineLevel="0" collapsed="false">
      <c r="A1345" s="0" t="str">
        <f aca="false">IF(INDEX(BookTitle,1340)="","",INDEX(BookKey,1340))</f>
        <v/>
      </c>
      <c r="B1345" s="0" t="str">
        <f aca="false">IF(INDEX(BookTitle,1340)="","",INDEX(BookGroup,1340))</f>
        <v/>
      </c>
      <c r="C1345" s="0" t="str">
        <f aca="false">IF(INDEX(BookTitle,1340)="","",INDEX(BookCategory,1340))</f>
        <v/>
      </c>
      <c r="D1345" s="56" t="str">
        <f aca="false">IF(INDEX(BookTitle,1340)="","",INDEX(BookTotal,1340)*'5. Scenarios'!$B$6/(1+ProductivityDefault*('5. Scenarios'!$B$11-1)))</f>
        <v/>
      </c>
      <c r="E1345" s="57" t="str">
        <f aca="false">IF($D1345="","",INDEX(BookRate,1340)*(1+'5. Scenarios'!$B$10)*$D1345)</f>
        <v/>
      </c>
      <c r="F1345" s="57" t="str">
        <f aca="false">IF($E1345="","",SUMIFS($E$6:$E$2405,$A$6:$A$2405,"&lt;="&amp;$A1345))</f>
        <v/>
      </c>
      <c r="G1345" s="57" t="str">
        <f aca="false">IF($E1345="","",IF($F1345&lt;=BankCostEnvelope*'5. Scenarios'!$B$7,1,0))</f>
        <v/>
      </c>
      <c r="H1345" s="57" t="str">
        <f aca="false">IF($D1345="","",INDEX(BookRate,1340)*(1+'5. Scenarios'!$B$10)*(INDEX(BookQ1,1340)*(5-MIN(4,1+'5. Scenarios'!$B$8))/4+INDEX(BookQ2,1340)*(5-MIN(4,2+'5. Scenarios'!$B$8))/4+INDEX(BookQ3,1340)*(5-MIN(4,3+'5. Scenarios'!$B$8))/4+INDEX(BookQ4,1340)*(5-MIN(4,4+'5. Scenarios'!$B$8))/4)*'5. Scenarios'!$B$6/(1+ProductivityDefault*('5. Scenarios'!$B$11-1))+INDEX(BookOneOff,1340)*$D1345)</f>
        <v/>
      </c>
      <c r="I1345" s="56" t="str">
        <f aca="false">IF(INDEX(BookTitle,1340)="","",INDEX(BookTotal,1340)*'5. Scenarios'!$C$6/(1+ProductivityDefault*('5. Scenarios'!$C$11-1)))</f>
        <v/>
      </c>
      <c r="J1345" s="57" t="str">
        <f aca="false">IF($I1345="","",INDEX(BookRate,1340)*(1+'5. Scenarios'!$C$10)*$I1345)</f>
        <v/>
      </c>
      <c r="K1345" s="57" t="str">
        <f aca="false">IF($J1345="","",SUMIFS($J$6:$J$2405,$A$6:$A$2405,"&lt;="&amp;$A1345))</f>
        <v/>
      </c>
      <c r="L1345" s="57" t="str">
        <f aca="false">IF($J1345="","",IF($K1345&lt;=BankCostEnvelope*'5. Scenarios'!$C$7,1,0))</f>
        <v/>
      </c>
      <c r="M1345" s="57" t="str">
        <f aca="false">IF($I1345="","",INDEX(BookRate,1340)*(1+'5. Scenarios'!$C$10)*(INDEX(BookQ1,1340)*(5-MIN(4,1+'5. Scenarios'!$C$8))/4+INDEX(BookQ2,1340)*(5-MIN(4,2+'5. Scenarios'!$C$8))/4+INDEX(BookQ3,1340)*(5-MIN(4,3+'5. Scenarios'!$C$8))/4+INDEX(BookQ4,1340)*(5-MIN(4,4+'5. Scenarios'!$C$8))/4)*'5. Scenarios'!$C$6/(1+ProductivityDefault*('5. Scenarios'!$C$11-1))+INDEX(BookOneOff,1340)*$I1345)</f>
        <v/>
      </c>
      <c r="N1345" s="56" t="str">
        <f aca="false">IF(INDEX(BookTitle,1340)="","",INDEX(BookTotal,1340)*'5. Scenarios'!$D$6/(1+ProductivityDefault*('5. Scenarios'!$D$11-1)))</f>
        <v/>
      </c>
      <c r="O1345" s="57" t="str">
        <f aca="false">IF($N1345="","",INDEX(BookRate,1340)*(1+'5. Scenarios'!$D$10)*$N1345)</f>
        <v/>
      </c>
      <c r="P1345" s="57" t="str">
        <f aca="false">IF($O1345="","",SUMIFS($O$6:$O$2405,$A$6:$A$2405,"&lt;="&amp;$A1345))</f>
        <v/>
      </c>
      <c r="Q1345" s="57" t="str">
        <f aca="false">IF($O1345="","",IF($P1345&lt;=BankCostEnvelope*'5. Scenarios'!$D$7,1,0))</f>
        <v/>
      </c>
      <c r="R1345" s="57" t="str">
        <f aca="false">IF($N1345="","",INDEX(BookRate,1340)*(1+'5. Scenarios'!$D$10)*(INDEX(BookQ1,1340)*(5-MIN(4,1+'5. Scenarios'!$D$8))/4+INDEX(BookQ2,1340)*(5-MIN(4,2+'5. Scenarios'!$D$8))/4+INDEX(BookQ3,1340)*(5-MIN(4,3+'5. Scenarios'!$D$8))/4+INDEX(BookQ4,1340)*(5-MIN(4,4+'5. Scenarios'!$D$8))/4)*'5. Scenarios'!$D$6/(1+ProductivityDefault*('5. Scenarios'!$D$11-1))+INDEX(BookOneOff,1340)*$N1345)</f>
        <v/>
      </c>
      <c r="S1345" s="56" t="str">
        <f aca="false">IF(INDEX(BookTitle,1340)="","",INDEX(BookTotal,1340)*'5. Scenarios'!$E$6/(1+ProductivityDefault*('5. Scenarios'!$E$11-1)))</f>
        <v/>
      </c>
      <c r="T1345" s="57" t="str">
        <f aca="false">IF($S1345="","",INDEX(BookRate,1340)*(1+'5. Scenarios'!$E$10)*$S1345)</f>
        <v/>
      </c>
      <c r="U1345" s="57" t="str">
        <f aca="false">IF($T1345="","",SUMIFS($T$6:$T$2405,$A$6:$A$2405,"&lt;="&amp;$A1345))</f>
        <v/>
      </c>
      <c r="V1345" s="57" t="str">
        <f aca="false">IF($T1345="","",IF($U1345&lt;=BankCostEnvelope*'5. Scenarios'!$E$7,1,0))</f>
        <v/>
      </c>
      <c r="W1345" s="57" t="str">
        <f aca="false">IF($S1345="","",INDEX(BookRate,1340)*(1+'5. Scenarios'!$E$10)*(INDEX(BookQ1,1340)*(5-MIN(4,1+'5. Scenarios'!$E$8))/4+INDEX(BookQ2,1340)*(5-MIN(4,2+'5. Scenarios'!$E$8))/4+INDEX(BookQ3,1340)*(5-MIN(4,3+'5. Scenarios'!$E$8))/4+INDEX(BookQ4,1340)*(5-MIN(4,4+'5. Scenarios'!$E$8))/4)*'5. Scenarios'!$E$6/(1+ProductivityDefault*('5. Scenarios'!$E$11-1))+INDEX(BookOneOff,1340)*$S1345)</f>
        <v/>
      </c>
    </row>
    <row r="1346" customFormat="false" ht="15" hidden="false" customHeight="false" outlineLevel="0" collapsed="false">
      <c r="A1346" s="0" t="str">
        <f aca="false">IF(INDEX(BookTitle,1341)="","",INDEX(BookKey,1341))</f>
        <v/>
      </c>
      <c r="B1346" s="0" t="str">
        <f aca="false">IF(INDEX(BookTitle,1341)="","",INDEX(BookGroup,1341))</f>
        <v/>
      </c>
      <c r="C1346" s="0" t="str">
        <f aca="false">IF(INDEX(BookTitle,1341)="","",INDEX(BookCategory,1341))</f>
        <v/>
      </c>
      <c r="D1346" s="56" t="str">
        <f aca="false">IF(INDEX(BookTitle,1341)="","",INDEX(BookTotal,1341)*'5. Scenarios'!$B$6/(1+ProductivityDefault*('5. Scenarios'!$B$11-1)))</f>
        <v/>
      </c>
      <c r="E1346" s="57" t="str">
        <f aca="false">IF($D1346="","",INDEX(BookRate,1341)*(1+'5. Scenarios'!$B$10)*$D1346)</f>
        <v/>
      </c>
      <c r="F1346" s="57" t="str">
        <f aca="false">IF($E1346="","",SUMIFS($E$6:$E$2405,$A$6:$A$2405,"&lt;="&amp;$A1346))</f>
        <v/>
      </c>
      <c r="G1346" s="57" t="str">
        <f aca="false">IF($E1346="","",IF($F1346&lt;=BankCostEnvelope*'5. Scenarios'!$B$7,1,0))</f>
        <v/>
      </c>
      <c r="H1346" s="57" t="str">
        <f aca="false">IF($D1346="","",INDEX(BookRate,1341)*(1+'5. Scenarios'!$B$10)*(INDEX(BookQ1,1341)*(5-MIN(4,1+'5. Scenarios'!$B$8))/4+INDEX(BookQ2,1341)*(5-MIN(4,2+'5. Scenarios'!$B$8))/4+INDEX(BookQ3,1341)*(5-MIN(4,3+'5. Scenarios'!$B$8))/4+INDEX(BookQ4,1341)*(5-MIN(4,4+'5. Scenarios'!$B$8))/4)*'5. Scenarios'!$B$6/(1+ProductivityDefault*('5. Scenarios'!$B$11-1))+INDEX(BookOneOff,1341)*$D1346)</f>
        <v/>
      </c>
      <c r="I1346" s="56" t="str">
        <f aca="false">IF(INDEX(BookTitle,1341)="","",INDEX(BookTotal,1341)*'5. Scenarios'!$C$6/(1+ProductivityDefault*('5. Scenarios'!$C$11-1)))</f>
        <v/>
      </c>
      <c r="J1346" s="57" t="str">
        <f aca="false">IF($I1346="","",INDEX(BookRate,1341)*(1+'5. Scenarios'!$C$10)*$I1346)</f>
        <v/>
      </c>
      <c r="K1346" s="57" t="str">
        <f aca="false">IF($J1346="","",SUMIFS($J$6:$J$2405,$A$6:$A$2405,"&lt;="&amp;$A1346))</f>
        <v/>
      </c>
      <c r="L1346" s="57" t="str">
        <f aca="false">IF($J1346="","",IF($K1346&lt;=BankCostEnvelope*'5. Scenarios'!$C$7,1,0))</f>
        <v/>
      </c>
      <c r="M1346" s="57" t="str">
        <f aca="false">IF($I1346="","",INDEX(BookRate,1341)*(1+'5. Scenarios'!$C$10)*(INDEX(BookQ1,1341)*(5-MIN(4,1+'5. Scenarios'!$C$8))/4+INDEX(BookQ2,1341)*(5-MIN(4,2+'5. Scenarios'!$C$8))/4+INDEX(BookQ3,1341)*(5-MIN(4,3+'5. Scenarios'!$C$8))/4+INDEX(BookQ4,1341)*(5-MIN(4,4+'5. Scenarios'!$C$8))/4)*'5. Scenarios'!$C$6/(1+ProductivityDefault*('5. Scenarios'!$C$11-1))+INDEX(BookOneOff,1341)*$I1346)</f>
        <v/>
      </c>
      <c r="N1346" s="56" t="str">
        <f aca="false">IF(INDEX(BookTitle,1341)="","",INDEX(BookTotal,1341)*'5. Scenarios'!$D$6/(1+ProductivityDefault*('5. Scenarios'!$D$11-1)))</f>
        <v/>
      </c>
      <c r="O1346" s="57" t="str">
        <f aca="false">IF($N1346="","",INDEX(BookRate,1341)*(1+'5. Scenarios'!$D$10)*$N1346)</f>
        <v/>
      </c>
      <c r="P1346" s="57" t="str">
        <f aca="false">IF($O1346="","",SUMIFS($O$6:$O$2405,$A$6:$A$2405,"&lt;="&amp;$A1346))</f>
        <v/>
      </c>
      <c r="Q1346" s="57" t="str">
        <f aca="false">IF($O1346="","",IF($P1346&lt;=BankCostEnvelope*'5. Scenarios'!$D$7,1,0))</f>
        <v/>
      </c>
      <c r="R1346" s="57" t="str">
        <f aca="false">IF($N1346="","",INDEX(BookRate,1341)*(1+'5. Scenarios'!$D$10)*(INDEX(BookQ1,1341)*(5-MIN(4,1+'5. Scenarios'!$D$8))/4+INDEX(BookQ2,1341)*(5-MIN(4,2+'5. Scenarios'!$D$8))/4+INDEX(BookQ3,1341)*(5-MIN(4,3+'5. Scenarios'!$D$8))/4+INDEX(BookQ4,1341)*(5-MIN(4,4+'5. Scenarios'!$D$8))/4)*'5. Scenarios'!$D$6/(1+ProductivityDefault*('5. Scenarios'!$D$11-1))+INDEX(BookOneOff,1341)*$N1346)</f>
        <v/>
      </c>
      <c r="S1346" s="56" t="str">
        <f aca="false">IF(INDEX(BookTitle,1341)="","",INDEX(BookTotal,1341)*'5. Scenarios'!$E$6/(1+ProductivityDefault*('5. Scenarios'!$E$11-1)))</f>
        <v/>
      </c>
      <c r="T1346" s="57" t="str">
        <f aca="false">IF($S1346="","",INDEX(BookRate,1341)*(1+'5. Scenarios'!$E$10)*$S1346)</f>
        <v/>
      </c>
      <c r="U1346" s="57" t="str">
        <f aca="false">IF($T1346="","",SUMIFS($T$6:$T$2405,$A$6:$A$2405,"&lt;="&amp;$A1346))</f>
        <v/>
      </c>
      <c r="V1346" s="57" t="str">
        <f aca="false">IF($T1346="","",IF($U1346&lt;=BankCostEnvelope*'5. Scenarios'!$E$7,1,0))</f>
        <v/>
      </c>
      <c r="W1346" s="57" t="str">
        <f aca="false">IF($S1346="","",INDEX(BookRate,1341)*(1+'5. Scenarios'!$E$10)*(INDEX(BookQ1,1341)*(5-MIN(4,1+'5. Scenarios'!$E$8))/4+INDEX(BookQ2,1341)*(5-MIN(4,2+'5. Scenarios'!$E$8))/4+INDEX(BookQ3,1341)*(5-MIN(4,3+'5. Scenarios'!$E$8))/4+INDEX(BookQ4,1341)*(5-MIN(4,4+'5. Scenarios'!$E$8))/4)*'5. Scenarios'!$E$6/(1+ProductivityDefault*('5. Scenarios'!$E$11-1))+INDEX(BookOneOff,1341)*$S1346)</f>
        <v/>
      </c>
    </row>
    <row r="1347" customFormat="false" ht="15" hidden="false" customHeight="false" outlineLevel="0" collapsed="false">
      <c r="A1347" s="0" t="str">
        <f aca="false">IF(INDEX(BookTitle,1342)="","",INDEX(BookKey,1342))</f>
        <v/>
      </c>
      <c r="B1347" s="0" t="str">
        <f aca="false">IF(INDEX(BookTitle,1342)="","",INDEX(BookGroup,1342))</f>
        <v/>
      </c>
      <c r="C1347" s="0" t="str">
        <f aca="false">IF(INDEX(BookTitle,1342)="","",INDEX(BookCategory,1342))</f>
        <v/>
      </c>
      <c r="D1347" s="56" t="str">
        <f aca="false">IF(INDEX(BookTitle,1342)="","",INDEX(BookTotal,1342)*'5. Scenarios'!$B$6/(1+ProductivityDefault*('5. Scenarios'!$B$11-1)))</f>
        <v/>
      </c>
      <c r="E1347" s="57" t="str">
        <f aca="false">IF($D1347="","",INDEX(BookRate,1342)*(1+'5. Scenarios'!$B$10)*$D1347)</f>
        <v/>
      </c>
      <c r="F1347" s="57" t="str">
        <f aca="false">IF($E1347="","",SUMIFS($E$6:$E$2405,$A$6:$A$2405,"&lt;="&amp;$A1347))</f>
        <v/>
      </c>
      <c r="G1347" s="57" t="str">
        <f aca="false">IF($E1347="","",IF($F1347&lt;=BankCostEnvelope*'5. Scenarios'!$B$7,1,0))</f>
        <v/>
      </c>
      <c r="H1347" s="57" t="str">
        <f aca="false">IF($D1347="","",INDEX(BookRate,1342)*(1+'5. Scenarios'!$B$10)*(INDEX(BookQ1,1342)*(5-MIN(4,1+'5. Scenarios'!$B$8))/4+INDEX(BookQ2,1342)*(5-MIN(4,2+'5. Scenarios'!$B$8))/4+INDEX(BookQ3,1342)*(5-MIN(4,3+'5. Scenarios'!$B$8))/4+INDEX(BookQ4,1342)*(5-MIN(4,4+'5. Scenarios'!$B$8))/4)*'5. Scenarios'!$B$6/(1+ProductivityDefault*('5. Scenarios'!$B$11-1))+INDEX(BookOneOff,1342)*$D1347)</f>
        <v/>
      </c>
      <c r="I1347" s="56" t="str">
        <f aca="false">IF(INDEX(BookTitle,1342)="","",INDEX(BookTotal,1342)*'5. Scenarios'!$C$6/(1+ProductivityDefault*('5. Scenarios'!$C$11-1)))</f>
        <v/>
      </c>
      <c r="J1347" s="57" t="str">
        <f aca="false">IF($I1347="","",INDEX(BookRate,1342)*(1+'5. Scenarios'!$C$10)*$I1347)</f>
        <v/>
      </c>
      <c r="K1347" s="57" t="str">
        <f aca="false">IF($J1347="","",SUMIFS($J$6:$J$2405,$A$6:$A$2405,"&lt;="&amp;$A1347))</f>
        <v/>
      </c>
      <c r="L1347" s="57" t="str">
        <f aca="false">IF($J1347="","",IF($K1347&lt;=BankCostEnvelope*'5. Scenarios'!$C$7,1,0))</f>
        <v/>
      </c>
      <c r="M1347" s="57" t="str">
        <f aca="false">IF($I1347="","",INDEX(BookRate,1342)*(1+'5. Scenarios'!$C$10)*(INDEX(BookQ1,1342)*(5-MIN(4,1+'5. Scenarios'!$C$8))/4+INDEX(BookQ2,1342)*(5-MIN(4,2+'5. Scenarios'!$C$8))/4+INDEX(BookQ3,1342)*(5-MIN(4,3+'5. Scenarios'!$C$8))/4+INDEX(BookQ4,1342)*(5-MIN(4,4+'5. Scenarios'!$C$8))/4)*'5. Scenarios'!$C$6/(1+ProductivityDefault*('5. Scenarios'!$C$11-1))+INDEX(BookOneOff,1342)*$I1347)</f>
        <v/>
      </c>
      <c r="N1347" s="56" t="str">
        <f aca="false">IF(INDEX(BookTitle,1342)="","",INDEX(BookTotal,1342)*'5. Scenarios'!$D$6/(1+ProductivityDefault*('5. Scenarios'!$D$11-1)))</f>
        <v/>
      </c>
      <c r="O1347" s="57" t="str">
        <f aca="false">IF($N1347="","",INDEX(BookRate,1342)*(1+'5. Scenarios'!$D$10)*$N1347)</f>
        <v/>
      </c>
      <c r="P1347" s="57" t="str">
        <f aca="false">IF($O1347="","",SUMIFS($O$6:$O$2405,$A$6:$A$2405,"&lt;="&amp;$A1347))</f>
        <v/>
      </c>
      <c r="Q1347" s="57" t="str">
        <f aca="false">IF($O1347="","",IF($P1347&lt;=BankCostEnvelope*'5. Scenarios'!$D$7,1,0))</f>
        <v/>
      </c>
      <c r="R1347" s="57" t="str">
        <f aca="false">IF($N1347="","",INDEX(BookRate,1342)*(1+'5. Scenarios'!$D$10)*(INDEX(BookQ1,1342)*(5-MIN(4,1+'5. Scenarios'!$D$8))/4+INDEX(BookQ2,1342)*(5-MIN(4,2+'5. Scenarios'!$D$8))/4+INDEX(BookQ3,1342)*(5-MIN(4,3+'5. Scenarios'!$D$8))/4+INDEX(BookQ4,1342)*(5-MIN(4,4+'5. Scenarios'!$D$8))/4)*'5. Scenarios'!$D$6/(1+ProductivityDefault*('5. Scenarios'!$D$11-1))+INDEX(BookOneOff,1342)*$N1347)</f>
        <v/>
      </c>
      <c r="S1347" s="56" t="str">
        <f aca="false">IF(INDEX(BookTitle,1342)="","",INDEX(BookTotal,1342)*'5. Scenarios'!$E$6/(1+ProductivityDefault*('5. Scenarios'!$E$11-1)))</f>
        <v/>
      </c>
      <c r="T1347" s="57" t="str">
        <f aca="false">IF($S1347="","",INDEX(BookRate,1342)*(1+'5. Scenarios'!$E$10)*$S1347)</f>
        <v/>
      </c>
      <c r="U1347" s="57" t="str">
        <f aca="false">IF($T1347="","",SUMIFS($T$6:$T$2405,$A$6:$A$2405,"&lt;="&amp;$A1347))</f>
        <v/>
      </c>
      <c r="V1347" s="57" t="str">
        <f aca="false">IF($T1347="","",IF($U1347&lt;=BankCostEnvelope*'5. Scenarios'!$E$7,1,0))</f>
        <v/>
      </c>
      <c r="W1347" s="57" t="str">
        <f aca="false">IF($S1347="","",INDEX(BookRate,1342)*(1+'5. Scenarios'!$E$10)*(INDEX(BookQ1,1342)*(5-MIN(4,1+'5. Scenarios'!$E$8))/4+INDEX(BookQ2,1342)*(5-MIN(4,2+'5. Scenarios'!$E$8))/4+INDEX(BookQ3,1342)*(5-MIN(4,3+'5. Scenarios'!$E$8))/4+INDEX(BookQ4,1342)*(5-MIN(4,4+'5. Scenarios'!$E$8))/4)*'5. Scenarios'!$E$6/(1+ProductivityDefault*('5. Scenarios'!$E$11-1))+INDEX(BookOneOff,1342)*$S1347)</f>
        <v/>
      </c>
    </row>
    <row r="1348" customFormat="false" ht="15" hidden="false" customHeight="false" outlineLevel="0" collapsed="false">
      <c r="A1348" s="0" t="str">
        <f aca="false">IF(INDEX(BookTitle,1343)="","",INDEX(BookKey,1343))</f>
        <v/>
      </c>
      <c r="B1348" s="0" t="str">
        <f aca="false">IF(INDEX(BookTitle,1343)="","",INDEX(BookGroup,1343))</f>
        <v/>
      </c>
      <c r="C1348" s="0" t="str">
        <f aca="false">IF(INDEX(BookTitle,1343)="","",INDEX(BookCategory,1343))</f>
        <v/>
      </c>
      <c r="D1348" s="56" t="str">
        <f aca="false">IF(INDEX(BookTitle,1343)="","",INDEX(BookTotal,1343)*'5. Scenarios'!$B$6/(1+ProductivityDefault*('5. Scenarios'!$B$11-1)))</f>
        <v/>
      </c>
      <c r="E1348" s="57" t="str">
        <f aca="false">IF($D1348="","",INDEX(BookRate,1343)*(1+'5. Scenarios'!$B$10)*$D1348)</f>
        <v/>
      </c>
      <c r="F1348" s="57" t="str">
        <f aca="false">IF($E1348="","",SUMIFS($E$6:$E$2405,$A$6:$A$2405,"&lt;="&amp;$A1348))</f>
        <v/>
      </c>
      <c r="G1348" s="57" t="str">
        <f aca="false">IF($E1348="","",IF($F1348&lt;=BankCostEnvelope*'5. Scenarios'!$B$7,1,0))</f>
        <v/>
      </c>
      <c r="H1348" s="57" t="str">
        <f aca="false">IF($D1348="","",INDEX(BookRate,1343)*(1+'5. Scenarios'!$B$10)*(INDEX(BookQ1,1343)*(5-MIN(4,1+'5. Scenarios'!$B$8))/4+INDEX(BookQ2,1343)*(5-MIN(4,2+'5. Scenarios'!$B$8))/4+INDEX(BookQ3,1343)*(5-MIN(4,3+'5. Scenarios'!$B$8))/4+INDEX(BookQ4,1343)*(5-MIN(4,4+'5. Scenarios'!$B$8))/4)*'5. Scenarios'!$B$6/(1+ProductivityDefault*('5. Scenarios'!$B$11-1))+INDEX(BookOneOff,1343)*$D1348)</f>
        <v/>
      </c>
      <c r="I1348" s="56" t="str">
        <f aca="false">IF(INDEX(BookTitle,1343)="","",INDEX(BookTotal,1343)*'5. Scenarios'!$C$6/(1+ProductivityDefault*('5. Scenarios'!$C$11-1)))</f>
        <v/>
      </c>
      <c r="J1348" s="57" t="str">
        <f aca="false">IF($I1348="","",INDEX(BookRate,1343)*(1+'5. Scenarios'!$C$10)*$I1348)</f>
        <v/>
      </c>
      <c r="K1348" s="57" t="str">
        <f aca="false">IF($J1348="","",SUMIFS($J$6:$J$2405,$A$6:$A$2405,"&lt;="&amp;$A1348))</f>
        <v/>
      </c>
      <c r="L1348" s="57" t="str">
        <f aca="false">IF($J1348="","",IF($K1348&lt;=BankCostEnvelope*'5. Scenarios'!$C$7,1,0))</f>
        <v/>
      </c>
      <c r="M1348" s="57" t="str">
        <f aca="false">IF($I1348="","",INDEX(BookRate,1343)*(1+'5. Scenarios'!$C$10)*(INDEX(BookQ1,1343)*(5-MIN(4,1+'5. Scenarios'!$C$8))/4+INDEX(BookQ2,1343)*(5-MIN(4,2+'5. Scenarios'!$C$8))/4+INDEX(BookQ3,1343)*(5-MIN(4,3+'5. Scenarios'!$C$8))/4+INDEX(BookQ4,1343)*(5-MIN(4,4+'5. Scenarios'!$C$8))/4)*'5. Scenarios'!$C$6/(1+ProductivityDefault*('5. Scenarios'!$C$11-1))+INDEX(BookOneOff,1343)*$I1348)</f>
        <v/>
      </c>
      <c r="N1348" s="56" t="str">
        <f aca="false">IF(INDEX(BookTitle,1343)="","",INDEX(BookTotal,1343)*'5. Scenarios'!$D$6/(1+ProductivityDefault*('5. Scenarios'!$D$11-1)))</f>
        <v/>
      </c>
      <c r="O1348" s="57" t="str">
        <f aca="false">IF($N1348="","",INDEX(BookRate,1343)*(1+'5. Scenarios'!$D$10)*$N1348)</f>
        <v/>
      </c>
      <c r="P1348" s="57" t="str">
        <f aca="false">IF($O1348="","",SUMIFS($O$6:$O$2405,$A$6:$A$2405,"&lt;="&amp;$A1348))</f>
        <v/>
      </c>
      <c r="Q1348" s="57" t="str">
        <f aca="false">IF($O1348="","",IF($P1348&lt;=BankCostEnvelope*'5. Scenarios'!$D$7,1,0))</f>
        <v/>
      </c>
      <c r="R1348" s="57" t="str">
        <f aca="false">IF($N1348="","",INDEX(BookRate,1343)*(1+'5. Scenarios'!$D$10)*(INDEX(BookQ1,1343)*(5-MIN(4,1+'5. Scenarios'!$D$8))/4+INDEX(BookQ2,1343)*(5-MIN(4,2+'5. Scenarios'!$D$8))/4+INDEX(BookQ3,1343)*(5-MIN(4,3+'5. Scenarios'!$D$8))/4+INDEX(BookQ4,1343)*(5-MIN(4,4+'5. Scenarios'!$D$8))/4)*'5. Scenarios'!$D$6/(1+ProductivityDefault*('5. Scenarios'!$D$11-1))+INDEX(BookOneOff,1343)*$N1348)</f>
        <v/>
      </c>
      <c r="S1348" s="56" t="str">
        <f aca="false">IF(INDEX(BookTitle,1343)="","",INDEX(BookTotal,1343)*'5. Scenarios'!$E$6/(1+ProductivityDefault*('5. Scenarios'!$E$11-1)))</f>
        <v/>
      </c>
      <c r="T1348" s="57" t="str">
        <f aca="false">IF($S1348="","",INDEX(BookRate,1343)*(1+'5. Scenarios'!$E$10)*$S1348)</f>
        <v/>
      </c>
      <c r="U1348" s="57" t="str">
        <f aca="false">IF($T1348="","",SUMIFS($T$6:$T$2405,$A$6:$A$2405,"&lt;="&amp;$A1348))</f>
        <v/>
      </c>
      <c r="V1348" s="57" t="str">
        <f aca="false">IF($T1348="","",IF($U1348&lt;=BankCostEnvelope*'5. Scenarios'!$E$7,1,0))</f>
        <v/>
      </c>
      <c r="W1348" s="57" t="str">
        <f aca="false">IF($S1348="","",INDEX(BookRate,1343)*(1+'5. Scenarios'!$E$10)*(INDEX(BookQ1,1343)*(5-MIN(4,1+'5. Scenarios'!$E$8))/4+INDEX(BookQ2,1343)*(5-MIN(4,2+'5. Scenarios'!$E$8))/4+INDEX(BookQ3,1343)*(5-MIN(4,3+'5. Scenarios'!$E$8))/4+INDEX(BookQ4,1343)*(5-MIN(4,4+'5. Scenarios'!$E$8))/4)*'5. Scenarios'!$E$6/(1+ProductivityDefault*('5. Scenarios'!$E$11-1))+INDEX(BookOneOff,1343)*$S1348)</f>
        <v/>
      </c>
    </row>
    <row r="1349" customFormat="false" ht="15" hidden="false" customHeight="false" outlineLevel="0" collapsed="false">
      <c r="A1349" s="0" t="str">
        <f aca="false">IF(INDEX(BookTitle,1344)="","",INDEX(BookKey,1344))</f>
        <v/>
      </c>
      <c r="B1349" s="0" t="str">
        <f aca="false">IF(INDEX(BookTitle,1344)="","",INDEX(BookGroup,1344))</f>
        <v/>
      </c>
      <c r="C1349" s="0" t="str">
        <f aca="false">IF(INDEX(BookTitle,1344)="","",INDEX(BookCategory,1344))</f>
        <v/>
      </c>
      <c r="D1349" s="56" t="str">
        <f aca="false">IF(INDEX(BookTitle,1344)="","",INDEX(BookTotal,1344)*'5. Scenarios'!$B$6/(1+ProductivityDefault*('5. Scenarios'!$B$11-1)))</f>
        <v/>
      </c>
      <c r="E1349" s="57" t="str">
        <f aca="false">IF($D1349="","",INDEX(BookRate,1344)*(1+'5. Scenarios'!$B$10)*$D1349)</f>
        <v/>
      </c>
      <c r="F1349" s="57" t="str">
        <f aca="false">IF($E1349="","",SUMIFS($E$6:$E$2405,$A$6:$A$2405,"&lt;="&amp;$A1349))</f>
        <v/>
      </c>
      <c r="G1349" s="57" t="str">
        <f aca="false">IF($E1349="","",IF($F1349&lt;=BankCostEnvelope*'5. Scenarios'!$B$7,1,0))</f>
        <v/>
      </c>
      <c r="H1349" s="57" t="str">
        <f aca="false">IF($D1349="","",INDEX(BookRate,1344)*(1+'5. Scenarios'!$B$10)*(INDEX(BookQ1,1344)*(5-MIN(4,1+'5. Scenarios'!$B$8))/4+INDEX(BookQ2,1344)*(5-MIN(4,2+'5. Scenarios'!$B$8))/4+INDEX(BookQ3,1344)*(5-MIN(4,3+'5. Scenarios'!$B$8))/4+INDEX(BookQ4,1344)*(5-MIN(4,4+'5. Scenarios'!$B$8))/4)*'5. Scenarios'!$B$6/(1+ProductivityDefault*('5. Scenarios'!$B$11-1))+INDEX(BookOneOff,1344)*$D1349)</f>
        <v/>
      </c>
      <c r="I1349" s="56" t="str">
        <f aca="false">IF(INDEX(BookTitle,1344)="","",INDEX(BookTotal,1344)*'5. Scenarios'!$C$6/(1+ProductivityDefault*('5. Scenarios'!$C$11-1)))</f>
        <v/>
      </c>
      <c r="J1349" s="57" t="str">
        <f aca="false">IF($I1349="","",INDEX(BookRate,1344)*(1+'5. Scenarios'!$C$10)*$I1349)</f>
        <v/>
      </c>
      <c r="K1349" s="57" t="str">
        <f aca="false">IF($J1349="","",SUMIFS($J$6:$J$2405,$A$6:$A$2405,"&lt;="&amp;$A1349))</f>
        <v/>
      </c>
      <c r="L1349" s="57" t="str">
        <f aca="false">IF($J1349="","",IF($K1349&lt;=BankCostEnvelope*'5. Scenarios'!$C$7,1,0))</f>
        <v/>
      </c>
      <c r="M1349" s="57" t="str">
        <f aca="false">IF($I1349="","",INDEX(BookRate,1344)*(1+'5. Scenarios'!$C$10)*(INDEX(BookQ1,1344)*(5-MIN(4,1+'5. Scenarios'!$C$8))/4+INDEX(BookQ2,1344)*(5-MIN(4,2+'5. Scenarios'!$C$8))/4+INDEX(BookQ3,1344)*(5-MIN(4,3+'5. Scenarios'!$C$8))/4+INDEX(BookQ4,1344)*(5-MIN(4,4+'5. Scenarios'!$C$8))/4)*'5. Scenarios'!$C$6/(1+ProductivityDefault*('5. Scenarios'!$C$11-1))+INDEX(BookOneOff,1344)*$I1349)</f>
        <v/>
      </c>
      <c r="N1349" s="56" t="str">
        <f aca="false">IF(INDEX(BookTitle,1344)="","",INDEX(BookTotal,1344)*'5. Scenarios'!$D$6/(1+ProductivityDefault*('5. Scenarios'!$D$11-1)))</f>
        <v/>
      </c>
      <c r="O1349" s="57" t="str">
        <f aca="false">IF($N1349="","",INDEX(BookRate,1344)*(1+'5. Scenarios'!$D$10)*$N1349)</f>
        <v/>
      </c>
      <c r="P1349" s="57" t="str">
        <f aca="false">IF($O1349="","",SUMIFS($O$6:$O$2405,$A$6:$A$2405,"&lt;="&amp;$A1349))</f>
        <v/>
      </c>
      <c r="Q1349" s="57" t="str">
        <f aca="false">IF($O1349="","",IF($P1349&lt;=BankCostEnvelope*'5. Scenarios'!$D$7,1,0))</f>
        <v/>
      </c>
      <c r="R1349" s="57" t="str">
        <f aca="false">IF($N1349="","",INDEX(BookRate,1344)*(1+'5. Scenarios'!$D$10)*(INDEX(BookQ1,1344)*(5-MIN(4,1+'5. Scenarios'!$D$8))/4+INDEX(BookQ2,1344)*(5-MIN(4,2+'5. Scenarios'!$D$8))/4+INDEX(BookQ3,1344)*(5-MIN(4,3+'5. Scenarios'!$D$8))/4+INDEX(BookQ4,1344)*(5-MIN(4,4+'5. Scenarios'!$D$8))/4)*'5. Scenarios'!$D$6/(1+ProductivityDefault*('5. Scenarios'!$D$11-1))+INDEX(BookOneOff,1344)*$N1349)</f>
        <v/>
      </c>
      <c r="S1349" s="56" t="str">
        <f aca="false">IF(INDEX(BookTitle,1344)="","",INDEX(BookTotal,1344)*'5. Scenarios'!$E$6/(1+ProductivityDefault*('5. Scenarios'!$E$11-1)))</f>
        <v/>
      </c>
      <c r="T1349" s="57" t="str">
        <f aca="false">IF($S1349="","",INDEX(BookRate,1344)*(1+'5. Scenarios'!$E$10)*$S1349)</f>
        <v/>
      </c>
      <c r="U1349" s="57" t="str">
        <f aca="false">IF($T1349="","",SUMIFS($T$6:$T$2405,$A$6:$A$2405,"&lt;="&amp;$A1349))</f>
        <v/>
      </c>
      <c r="V1349" s="57" t="str">
        <f aca="false">IF($T1349="","",IF($U1349&lt;=BankCostEnvelope*'5. Scenarios'!$E$7,1,0))</f>
        <v/>
      </c>
      <c r="W1349" s="57" t="str">
        <f aca="false">IF($S1349="","",INDEX(BookRate,1344)*(1+'5. Scenarios'!$E$10)*(INDEX(BookQ1,1344)*(5-MIN(4,1+'5. Scenarios'!$E$8))/4+INDEX(BookQ2,1344)*(5-MIN(4,2+'5. Scenarios'!$E$8))/4+INDEX(BookQ3,1344)*(5-MIN(4,3+'5. Scenarios'!$E$8))/4+INDEX(BookQ4,1344)*(5-MIN(4,4+'5. Scenarios'!$E$8))/4)*'5. Scenarios'!$E$6/(1+ProductivityDefault*('5. Scenarios'!$E$11-1))+INDEX(BookOneOff,1344)*$S1349)</f>
        <v/>
      </c>
    </row>
    <row r="1350" customFormat="false" ht="15" hidden="false" customHeight="false" outlineLevel="0" collapsed="false">
      <c r="A1350" s="0" t="str">
        <f aca="false">IF(INDEX(BookTitle,1345)="","",INDEX(BookKey,1345))</f>
        <v/>
      </c>
      <c r="B1350" s="0" t="str">
        <f aca="false">IF(INDEX(BookTitle,1345)="","",INDEX(BookGroup,1345))</f>
        <v/>
      </c>
      <c r="C1350" s="0" t="str">
        <f aca="false">IF(INDEX(BookTitle,1345)="","",INDEX(BookCategory,1345))</f>
        <v/>
      </c>
      <c r="D1350" s="56" t="str">
        <f aca="false">IF(INDEX(BookTitle,1345)="","",INDEX(BookTotal,1345)*'5. Scenarios'!$B$6/(1+ProductivityDefault*('5. Scenarios'!$B$11-1)))</f>
        <v/>
      </c>
      <c r="E1350" s="57" t="str">
        <f aca="false">IF($D1350="","",INDEX(BookRate,1345)*(1+'5. Scenarios'!$B$10)*$D1350)</f>
        <v/>
      </c>
      <c r="F1350" s="57" t="str">
        <f aca="false">IF($E1350="","",SUMIFS($E$6:$E$2405,$A$6:$A$2405,"&lt;="&amp;$A1350))</f>
        <v/>
      </c>
      <c r="G1350" s="57" t="str">
        <f aca="false">IF($E1350="","",IF($F1350&lt;=BankCostEnvelope*'5. Scenarios'!$B$7,1,0))</f>
        <v/>
      </c>
      <c r="H1350" s="57" t="str">
        <f aca="false">IF($D1350="","",INDEX(BookRate,1345)*(1+'5. Scenarios'!$B$10)*(INDEX(BookQ1,1345)*(5-MIN(4,1+'5. Scenarios'!$B$8))/4+INDEX(BookQ2,1345)*(5-MIN(4,2+'5. Scenarios'!$B$8))/4+INDEX(BookQ3,1345)*(5-MIN(4,3+'5. Scenarios'!$B$8))/4+INDEX(BookQ4,1345)*(5-MIN(4,4+'5. Scenarios'!$B$8))/4)*'5. Scenarios'!$B$6/(1+ProductivityDefault*('5. Scenarios'!$B$11-1))+INDEX(BookOneOff,1345)*$D1350)</f>
        <v/>
      </c>
      <c r="I1350" s="56" t="str">
        <f aca="false">IF(INDEX(BookTitle,1345)="","",INDEX(BookTotal,1345)*'5. Scenarios'!$C$6/(1+ProductivityDefault*('5. Scenarios'!$C$11-1)))</f>
        <v/>
      </c>
      <c r="J1350" s="57" t="str">
        <f aca="false">IF($I1350="","",INDEX(BookRate,1345)*(1+'5. Scenarios'!$C$10)*$I1350)</f>
        <v/>
      </c>
      <c r="K1350" s="57" t="str">
        <f aca="false">IF($J1350="","",SUMIFS($J$6:$J$2405,$A$6:$A$2405,"&lt;="&amp;$A1350))</f>
        <v/>
      </c>
      <c r="L1350" s="57" t="str">
        <f aca="false">IF($J1350="","",IF($K1350&lt;=BankCostEnvelope*'5. Scenarios'!$C$7,1,0))</f>
        <v/>
      </c>
      <c r="M1350" s="57" t="str">
        <f aca="false">IF($I1350="","",INDEX(BookRate,1345)*(1+'5. Scenarios'!$C$10)*(INDEX(BookQ1,1345)*(5-MIN(4,1+'5. Scenarios'!$C$8))/4+INDEX(BookQ2,1345)*(5-MIN(4,2+'5. Scenarios'!$C$8))/4+INDEX(BookQ3,1345)*(5-MIN(4,3+'5. Scenarios'!$C$8))/4+INDEX(BookQ4,1345)*(5-MIN(4,4+'5. Scenarios'!$C$8))/4)*'5. Scenarios'!$C$6/(1+ProductivityDefault*('5. Scenarios'!$C$11-1))+INDEX(BookOneOff,1345)*$I1350)</f>
        <v/>
      </c>
      <c r="N1350" s="56" t="str">
        <f aca="false">IF(INDEX(BookTitle,1345)="","",INDEX(BookTotal,1345)*'5. Scenarios'!$D$6/(1+ProductivityDefault*('5. Scenarios'!$D$11-1)))</f>
        <v/>
      </c>
      <c r="O1350" s="57" t="str">
        <f aca="false">IF($N1350="","",INDEX(BookRate,1345)*(1+'5. Scenarios'!$D$10)*$N1350)</f>
        <v/>
      </c>
      <c r="P1350" s="57" t="str">
        <f aca="false">IF($O1350="","",SUMIFS($O$6:$O$2405,$A$6:$A$2405,"&lt;="&amp;$A1350))</f>
        <v/>
      </c>
      <c r="Q1350" s="57" t="str">
        <f aca="false">IF($O1350="","",IF($P1350&lt;=BankCostEnvelope*'5. Scenarios'!$D$7,1,0))</f>
        <v/>
      </c>
      <c r="R1350" s="57" t="str">
        <f aca="false">IF($N1350="","",INDEX(BookRate,1345)*(1+'5. Scenarios'!$D$10)*(INDEX(BookQ1,1345)*(5-MIN(4,1+'5. Scenarios'!$D$8))/4+INDEX(BookQ2,1345)*(5-MIN(4,2+'5. Scenarios'!$D$8))/4+INDEX(BookQ3,1345)*(5-MIN(4,3+'5. Scenarios'!$D$8))/4+INDEX(BookQ4,1345)*(5-MIN(4,4+'5. Scenarios'!$D$8))/4)*'5. Scenarios'!$D$6/(1+ProductivityDefault*('5. Scenarios'!$D$11-1))+INDEX(BookOneOff,1345)*$N1350)</f>
        <v/>
      </c>
      <c r="S1350" s="56" t="str">
        <f aca="false">IF(INDEX(BookTitle,1345)="","",INDEX(BookTotal,1345)*'5. Scenarios'!$E$6/(1+ProductivityDefault*('5. Scenarios'!$E$11-1)))</f>
        <v/>
      </c>
      <c r="T1350" s="57" t="str">
        <f aca="false">IF($S1350="","",INDEX(BookRate,1345)*(1+'5. Scenarios'!$E$10)*$S1350)</f>
        <v/>
      </c>
      <c r="U1350" s="57" t="str">
        <f aca="false">IF($T1350="","",SUMIFS($T$6:$T$2405,$A$6:$A$2405,"&lt;="&amp;$A1350))</f>
        <v/>
      </c>
      <c r="V1350" s="57" t="str">
        <f aca="false">IF($T1350="","",IF($U1350&lt;=BankCostEnvelope*'5. Scenarios'!$E$7,1,0))</f>
        <v/>
      </c>
      <c r="W1350" s="57" t="str">
        <f aca="false">IF($S1350="","",INDEX(BookRate,1345)*(1+'5. Scenarios'!$E$10)*(INDEX(BookQ1,1345)*(5-MIN(4,1+'5. Scenarios'!$E$8))/4+INDEX(BookQ2,1345)*(5-MIN(4,2+'5. Scenarios'!$E$8))/4+INDEX(BookQ3,1345)*(5-MIN(4,3+'5. Scenarios'!$E$8))/4+INDEX(BookQ4,1345)*(5-MIN(4,4+'5. Scenarios'!$E$8))/4)*'5. Scenarios'!$E$6/(1+ProductivityDefault*('5. Scenarios'!$E$11-1))+INDEX(BookOneOff,1345)*$S1350)</f>
        <v/>
      </c>
    </row>
    <row r="1351" customFormat="false" ht="15" hidden="false" customHeight="false" outlineLevel="0" collapsed="false">
      <c r="A1351" s="0" t="str">
        <f aca="false">IF(INDEX(BookTitle,1346)="","",INDEX(BookKey,1346))</f>
        <v/>
      </c>
      <c r="B1351" s="0" t="str">
        <f aca="false">IF(INDEX(BookTitle,1346)="","",INDEX(BookGroup,1346))</f>
        <v/>
      </c>
      <c r="C1351" s="0" t="str">
        <f aca="false">IF(INDEX(BookTitle,1346)="","",INDEX(BookCategory,1346))</f>
        <v/>
      </c>
      <c r="D1351" s="56" t="str">
        <f aca="false">IF(INDEX(BookTitle,1346)="","",INDEX(BookTotal,1346)*'5. Scenarios'!$B$6/(1+ProductivityDefault*('5. Scenarios'!$B$11-1)))</f>
        <v/>
      </c>
      <c r="E1351" s="57" t="str">
        <f aca="false">IF($D1351="","",INDEX(BookRate,1346)*(1+'5. Scenarios'!$B$10)*$D1351)</f>
        <v/>
      </c>
      <c r="F1351" s="57" t="str">
        <f aca="false">IF($E1351="","",SUMIFS($E$6:$E$2405,$A$6:$A$2405,"&lt;="&amp;$A1351))</f>
        <v/>
      </c>
      <c r="G1351" s="57" t="str">
        <f aca="false">IF($E1351="","",IF($F1351&lt;=BankCostEnvelope*'5. Scenarios'!$B$7,1,0))</f>
        <v/>
      </c>
      <c r="H1351" s="57" t="str">
        <f aca="false">IF($D1351="","",INDEX(BookRate,1346)*(1+'5. Scenarios'!$B$10)*(INDEX(BookQ1,1346)*(5-MIN(4,1+'5. Scenarios'!$B$8))/4+INDEX(BookQ2,1346)*(5-MIN(4,2+'5. Scenarios'!$B$8))/4+INDEX(BookQ3,1346)*(5-MIN(4,3+'5. Scenarios'!$B$8))/4+INDEX(BookQ4,1346)*(5-MIN(4,4+'5. Scenarios'!$B$8))/4)*'5. Scenarios'!$B$6/(1+ProductivityDefault*('5. Scenarios'!$B$11-1))+INDEX(BookOneOff,1346)*$D1351)</f>
        <v/>
      </c>
      <c r="I1351" s="56" t="str">
        <f aca="false">IF(INDEX(BookTitle,1346)="","",INDEX(BookTotal,1346)*'5. Scenarios'!$C$6/(1+ProductivityDefault*('5. Scenarios'!$C$11-1)))</f>
        <v/>
      </c>
      <c r="J1351" s="57" t="str">
        <f aca="false">IF($I1351="","",INDEX(BookRate,1346)*(1+'5. Scenarios'!$C$10)*$I1351)</f>
        <v/>
      </c>
      <c r="K1351" s="57" t="str">
        <f aca="false">IF($J1351="","",SUMIFS($J$6:$J$2405,$A$6:$A$2405,"&lt;="&amp;$A1351))</f>
        <v/>
      </c>
      <c r="L1351" s="57" t="str">
        <f aca="false">IF($J1351="","",IF($K1351&lt;=BankCostEnvelope*'5. Scenarios'!$C$7,1,0))</f>
        <v/>
      </c>
      <c r="M1351" s="57" t="str">
        <f aca="false">IF($I1351="","",INDEX(BookRate,1346)*(1+'5. Scenarios'!$C$10)*(INDEX(BookQ1,1346)*(5-MIN(4,1+'5. Scenarios'!$C$8))/4+INDEX(BookQ2,1346)*(5-MIN(4,2+'5. Scenarios'!$C$8))/4+INDEX(BookQ3,1346)*(5-MIN(4,3+'5. Scenarios'!$C$8))/4+INDEX(BookQ4,1346)*(5-MIN(4,4+'5. Scenarios'!$C$8))/4)*'5. Scenarios'!$C$6/(1+ProductivityDefault*('5. Scenarios'!$C$11-1))+INDEX(BookOneOff,1346)*$I1351)</f>
        <v/>
      </c>
      <c r="N1351" s="56" t="str">
        <f aca="false">IF(INDEX(BookTitle,1346)="","",INDEX(BookTotal,1346)*'5. Scenarios'!$D$6/(1+ProductivityDefault*('5. Scenarios'!$D$11-1)))</f>
        <v/>
      </c>
      <c r="O1351" s="57" t="str">
        <f aca="false">IF($N1351="","",INDEX(BookRate,1346)*(1+'5. Scenarios'!$D$10)*$N1351)</f>
        <v/>
      </c>
      <c r="P1351" s="57" t="str">
        <f aca="false">IF($O1351="","",SUMIFS($O$6:$O$2405,$A$6:$A$2405,"&lt;="&amp;$A1351))</f>
        <v/>
      </c>
      <c r="Q1351" s="57" t="str">
        <f aca="false">IF($O1351="","",IF($P1351&lt;=BankCostEnvelope*'5. Scenarios'!$D$7,1,0))</f>
        <v/>
      </c>
      <c r="R1351" s="57" t="str">
        <f aca="false">IF($N1351="","",INDEX(BookRate,1346)*(1+'5. Scenarios'!$D$10)*(INDEX(BookQ1,1346)*(5-MIN(4,1+'5. Scenarios'!$D$8))/4+INDEX(BookQ2,1346)*(5-MIN(4,2+'5. Scenarios'!$D$8))/4+INDEX(BookQ3,1346)*(5-MIN(4,3+'5. Scenarios'!$D$8))/4+INDEX(BookQ4,1346)*(5-MIN(4,4+'5. Scenarios'!$D$8))/4)*'5. Scenarios'!$D$6/(1+ProductivityDefault*('5. Scenarios'!$D$11-1))+INDEX(BookOneOff,1346)*$N1351)</f>
        <v/>
      </c>
      <c r="S1351" s="56" t="str">
        <f aca="false">IF(INDEX(BookTitle,1346)="","",INDEX(BookTotal,1346)*'5. Scenarios'!$E$6/(1+ProductivityDefault*('5. Scenarios'!$E$11-1)))</f>
        <v/>
      </c>
      <c r="T1351" s="57" t="str">
        <f aca="false">IF($S1351="","",INDEX(BookRate,1346)*(1+'5. Scenarios'!$E$10)*$S1351)</f>
        <v/>
      </c>
      <c r="U1351" s="57" t="str">
        <f aca="false">IF($T1351="","",SUMIFS($T$6:$T$2405,$A$6:$A$2405,"&lt;="&amp;$A1351))</f>
        <v/>
      </c>
      <c r="V1351" s="57" t="str">
        <f aca="false">IF($T1351="","",IF($U1351&lt;=BankCostEnvelope*'5. Scenarios'!$E$7,1,0))</f>
        <v/>
      </c>
      <c r="W1351" s="57" t="str">
        <f aca="false">IF($S1351="","",INDEX(BookRate,1346)*(1+'5. Scenarios'!$E$10)*(INDEX(BookQ1,1346)*(5-MIN(4,1+'5. Scenarios'!$E$8))/4+INDEX(BookQ2,1346)*(5-MIN(4,2+'5. Scenarios'!$E$8))/4+INDEX(BookQ3,1346)*(5-MIN(4,3+'5. Scenarios'!$E$8))/4+INDEX(BookQ4,1346)*(5-MIN(4,4+'5. Scenarios'!$E$8))/4)*'5. Scenarios'!$E$6/(1+ProductivityDefault*('5. Scenarios'!$E$11-1))+INDEX(BookOneOff,1346)*$S1351)</f>
        <v/>
      </c>
    </row>
    <row r="1352" customFormat="false" ht="15" hidden="false" customHeight="false" outlineLevel="0" collapsed="false">
      <c r="A1352" s="0" t="str">
        <f aca="false">IF(INDEX(BookTitle,1347)="","",INDEX(BookKey,1347))</f>
        <v/>
      </c>
      <c r="B1352" s="0" t="str">
        <f aca="false">IF(INDEX(BookTitle,1347)="","",INDEX(BookGroup,1347))</f>
        <v/>
      </c>
      <c r="C1352" s="0" t="str">
        <f aca="false">IF(INDEX(BookTitle,1347)="","",INDEX(BookCategory,1347))</f>
        <v/>
      </c>
      <c r="D1352" s="56" t="str">
        <f aca="false">IF(INDEX(BookTitle,1347)="","",INDEX(BookTotal,1347)*'5. Scenarios'!$B$6/(1+ProductivityDefault*('5. Scenarios'!$B$11-1)))</f>
        <v/>
      </c>
      <c r="E1352" s="57" t="str">
        <f aca="false">IF($D1352="","",INDEX(BookRate,1347)*(1+'5. Scenarios'!$B$10)*$D1352)</f>
        <v/>
      </c>
      <c r="F1352" s="57" t="str">
        <f aca="false">IF($E1352="","",SUMIFS($E$6:$E$2405,$A$6:$A$2405,"&lt;="&amp;$A1352))</f>
        <v/>
      </c>
      <c r="G1352" s="57" t="str">
        <f aca="false">IF($E1352="","",IF($F1352&lt;=BankCostEnvelope*'5. Scenarios'!$B$7,1,0))</f>
        <v/>
      </c>
      <c r="H1352" s="57" t="str">
        <f aca="false">IF($D1352="","",INDEX(BookRate,1347)*(1+'5. Scenarios'!$B$10)*(INDEX(BookQ1,1347)*(5-MIN(4,1+'5. Scenarios'!$B$8))/4+INDEX(BookQ2,1347)*(5-MIN(4,2+'5. Scenarios'!$B$8))/4+INDEX(BookQ3,1347)*(5-MIN(4,3+'5. Scenarios'!$B$8))/4+INDEX(BookQ4,1347)*(5-MIN(4,4+'5. Scenarios'!$B$8))/4)*'5. Scenarios'!$B$6/(1+ProductivityDefault*('5. Scenarios'!$B$11-1))+INDEX(BookOneOff,1347)*$D1352)</f>
        <v/>
      </c>
      <c r="I1352" s="56" t="str">
        <f aca="false">IF(INDEX(BookTitle,1347)="","",INDEX(BookTotal,1347)*'5. Scenarios'!$C$6/(1+ProductivityDefault*('5. Scenarios'!$C$11-1)))</f>
        <v/>
      </c>
      <c r="J1352" s="57" t="str">
        <f aca="false">IF($I1352="","",INDEX(BookRate,1347)*(1+'5. Scenarios'!$C$10)*$I1352)</f>
        <v/>
      </c>
      <c r="K1352" s="57" t="str">
        <f aca="false">IF($J1352="","",SUMIFS($J$6:$J$2405,$A$6:$A$2405,"&lt;="&amp;$A1352))</f>
        <v/>
      </c>
      <c r="L1352" s="57" t="str">
        <f aca="false">IF($J1352="","",IF($K1352&lt;=BankCostEnvelope*'5. Scenarios'!$C$7,1,0))</f>
        <v/>
      </c>
      <c r="M1352" s="57" t="str">
        <f aca="false">IF($I1352="","",INDEX(BookRate,1347)*(1+'5. Scenarios'!$C$10)*(INDEX(BookQ1,1347)*(5-MIN(4,1+'5. Scenarios'!$C$8))/4+INDEX(BookQ2,1347)*(5-MIN(4,2+'5. Scenarios'!$C$8))/4+INDEX(BookQ3,1347)*(5-MIN(4,3+'5. Scenarios'!$C$8))/4+INDEX(BookQ4,1347)*(5-MIN(4,4+'5. Scenarios'!$C$8))/4)*'5. Scenarios'!$C$6/(1+ProductivityDefault*('5. Scenarios'!$C$11-1))+INDEX(BookOneOff,1347)*$I1352)</f>
        <v/>
      </c>
      <c r="N1352" s="56" t="str">
        <f aca="false">IF(INDEX(BookTitle,1347)="","",INDEX(BookTotal,1347)*'5. Scenarios'!$D$6/(1+ProductivityDefault*('5. Scenarios'!$D$11-1)))</f>
        <v/>
      </c>
      <c r="O1352" s="57" t="str">
        <f aca="false">IF($N1352="","",INDEX(BookRate,1347)*(1+'5. Scenarios'!$D$10)*$N1352)</f>
        <v/>
      </c>
      <c r="P1352" s="57" t="str">
        <f aca="false">IF($O1352="","",SUMIFS($O$6:$O$2405,$A$6:$A$2405,"&lt;="&amp;$A1352))</f>
        <v/>
      </c>
      <c r="Q1352" s="57" t="str">
        <f aca="false">IF($O1352="","",IF($P1352&lt;=BankCostEnvelope*'5. Scenarios'!$D$7,1,0))</f>
        <v/>
      </c>
      <c r="R1352" s="57" t="str">
        <f aca="false">IF($N1352="","",INDEX(BookRate,1347)*(1+'5. Scenarios'!$D$10)*(INDEX(BookQ1,1347)*(5-MIN(4,1+'5. Scenarios'!$D$8))/4+INDEX(BookQ2,1347)*(5-MIN(4,2+'5. Scenarios'!$D$8))/4+INDEX(BookQ3,1347)*(5-MIN(4,3+'5. Scenarios'!$D$8))/4+INDEX(BookQ4,1347)*(5-MIN(4,4+'5. Scenarios'!$D$8))/4)*'5. Scenarios'!$D$6/(1+ProductivityDefault*('5. Scenarios'!$D$11-1))+INDEX(BookOneOff,1347)*$N1352)</f>
        <v/>
      </c>
      <c r="S1352" s="56" t="str">
        <f aca="false">IF(INDEX(BookTitle,1347)="","",INDEX(BookTotal,1347)*'5. Scenarios'!$E$6/(1+ProductivityDefault*('5. Scenarios'!$E$11-1)))</f>
        <v/>
      </c>
      <c r="T1352" s="57" t="str">
        <f aca="false">IF($S1352="","",INDEX(BookRate,1347)*(1+'5. Scenarios'!$E$10)*$S1352)</f>
        <v/>
      </c>
      <c r="U1352" s="57" t="str">
        <f aca="false">IF($T1352="","",SUMIFS($T$6:$T$2405,$A$6:$A$2405,"&lt;="&amp;$A1352))</f>
        <v/>
      </c>
      <c r="V1352" s="57" t="str">
        <f aca="false">IF($T1352="","",IF($U1352&lt;=BankCostEnvelope*'5. Scenarios'!$E$7,1,0))</f>
        <v/>
      </c>
      <c r="W1352" s="57" t="str">
        <f aca="false">IF($S1352="","",INDEX(BookRate,1347)*(1+'5. Scenarios'!$E$10)*(INDEX(BookQ1,1347)*(5-MIN(4,1+'5. Scenarios'!$E$8))/4+INDEX(BookQ2,1347)*(5-MIN(4,2+'5. Scenarios'!$E$8))/4+INDEX(BookQ3,1347)*(5-MIN(4,3+'5. Scenarios'!$E$8))/4+INDEX(BookQ4,1347)*(5-MIN(4,4+'5. Scenarios'!$E$8))/4)*'5. Scenarios'!$E$6/(1+ProductivityDefault*('5. Scenarios'!$E$11-1))+INDEX(BookOneOff,1347)*$S1352)</f>
        <v/>
      </c>
    </row>
    <row r="1353" customFormat="false" ht="15" hidden="false" customHeight="false" outlineLevel="0" collapsed="false">
      <c r="A1353" s="0" t="str">
        <f aca="false">IF(INDEX(BookTitle,1348)="","",INDEX(BookKey,1348))</f>
        <v/>
      </c>
      <c r="B1353" s="0" t="str">
        <f aca="false">IF(INDEX(BookTitle,1348)="","",INDEX(BookGroup,1348))</f>
        <v/>
      </c>
      <c r="C1353" s="0" t="str">
        <f aca="false">IF(INDEX(BookTitle,1348)="","",INDEX(BookCategory,1348))</f>
        <v/>
      </c>
      <c r="D1353" s="56" t="str">
        <f aca="false">IF(INDEX(BookTitle,1348)="","",INDEX(BookTotal,1348)*'5. Scenarios'!$B$6/(1+ProductivityDefault*('5. Scenarios'!$B$11-1)))</f>
        <v/>
      </c>
      <c r="E1353" s="57" t="str">
        <f aca="false">IF($D1353="","",INDEX(BookRate,1348)*(1+'5. Scenarios'!$B$10)*$D1353)</f>
        <v/>
      </c>
      <c r="F1353" s="57" t="str">
        <f aca="false">IF($E1353="","",SUMIFS($E$6:$E$2405,$A$6:$A$2405,"&lt;="&amp;$A1353))</f>
        <v/>
      </c>
      <c r="G1353" s="57" t="str">
        <f aca="false">IF($E1353="","",IF($F1353&lt;=BankCostEnvelope*'5. Scenarios'!$B$7,1,0))</f>
        <v/>
      </c>
      <c r="H1353" s="57" t="str">
        <f aca="false">IF($D1353="","",INDEX(BookRate,1348)*(1+'5. Scenarios'!$B$10)*(INDEX(BookQ1,1348)*(5-MIN(4,1+'5. Scenarios'!$B$8))/4+INDEX(BookQ2,1348)*(5-MIN(4,2+'5. Scenarios'!$B$8))/4+INDEX(BookQ3,1348)*(5-MIN(4,3+'5. Scenarios'!$B$8))/4+INDEX(BookQ4,1348)*(5-MIN(4,4+'5. Scenarios'!$B$8))/4)*'5. Scenarios'!$B$6/(1+ProductivityDefault*('5. Scenarios'!$B$11-1))+INDEX(BookOneOff,1348)*$D1353)</f>
        <v/>
      </c>
      <c r="I1353" s="56" t="str">
        <f aca="false">IF(INDEX(BookTitle,1348)="","",INDEX(BookTotal,1348)*'5. Scenarios'!$C$6/(1+ProductivityDefault*('5. Scenarios'!$C$11-1)))</f>
        <v/>
      </c>
      <c r="J1353" s="57" t="str">
        <f aca="false">IF($I1353="","",INDEX(BookRate,1348)*(1+'5. Scenarios'!$C$10)*$I1353)</f>
        <v/>
      </c>
      <c r="K1353" s="57" t="str">
        <f aca="false">IF($J1353="","",SUMIFS($J$6:$J$2405,$A$6:$A$2405,"&lt;="&amp;$A1353))</f>
        <v/>
      </c>
      <c r="L1353" s="57" t="str">
        <f aca="false">IF($J1353="","",IF($K1353&lt;=BankCostEnvelope*'5. Scenarios'!$C$7,1,0))</f>
        <v/>
      </c>
      <c r="M1353" s="57" t="str">
        <f aca="false">IF($I1353="","",INDEX(BookRate,1348)*(1+'5. Scenarios'!$C$10)*(INDEX(BookQ1,1348)*(5-MIN(4,1+'5. Scenarios'!$C$8))/4+INDEX(BookQ2,1348)*(5-MIN(4,2+'5. Scenarios'!$C$8))/4+INDEX(BookQ3,1348)*(5-MIN(4,3+'5. Scenarios'!$C$8))/4+INDEX(BookQ4,1348)*(5-MIN(4,4+'5. Scenarios'!$C$8))/4)*'5. Scenarios'!$C$6/(1+ProductivityDefault*('5. Scenarios'!$C$11-1))+INDEX(BookOneOff,1348)*$I1353)</f>
        <v/>
      </c>
      <c r="N1353" s="56" t="str">
        <f aca="false">IF(INDEX(BookTitle,1348)="","",INDEX(BookTotal,1348)*'5. Scenarios'!$D$6/(1+ProductivityDefault*('5. Scenarios'!$D$11-1)))</f>
        <v/>
      </c>
      <c r="O1353" s="57" t="str">
        <f aca="false">IF($N1353="","",INDEX(BookRate,1348)*(1+'5. Scenarios'!$D$10)*$N1353)</f>
        <v/>
      </c>
      <c r="P1353" s="57" t="str">
        <f aca="false">IF($O1353="","",SUMIFS($O$6:$O$2405,$A$6:$A$2405,"&lt;="&amp;$A1353))</f>
        <v/>
      </c>
      <c r="Q1353" s="57" t="str">
        <f aca="false">IF($O1353="","",IF($P1353&lt;=BankCostEnvelope*'5. Scenarios'!$D$7,1,0))</f>
        <v/>
      </c>
      <c r="R1353" s="57" t="str">
        <f aca="false">IF($N1353="","",INDEX(BookRate,1348)*(1+'5. Scenarios'!$D$10)*(INDEX(BookQ1,1348)*(5-MIN(4,1+'5. Scenarios'!$D$8))/4+INDEX(BookQ2,1348)*(5-MIN(4,2+'5. Scenarios'!$D$8))/4+INDEX(BookQ3,1348)*(5-MIN(4,3+'5. Scenarios'!$D$8))/4+INDEX(BookQ4,1348)*(5-MIN(4,4+'5. Scenarios'!$D$8))/4)*'5. Scenarios'!$D$6/(1+ProductivityDefault*('5. Scenarios'!$D$11-1))+INDEX(BookOneOff,1348)*$N1353)</f>
        <v/>
      </c>
      <c r="S1353" s="56" t="str">
        <f aca="false">IF(INDEX(BookTitle,1348)="","",INDEX(BookTotal,1348)*'5. Scenarios'!$E$6/(1+ProductivityDefault*('5. Scenarios'!$E$11-1)))</f>
        <v/>
      </c>
      <c r="T1353" s="57" t="str">
        <f aca="false">IF($S1353="","",INDEX(BookRate,1348)*(1+'5. Scenarios'!$E$10)*$S1353)</f>
        <v/>
      </c>
      <c r="U1353" s="57" t="str">
        <f aca="false">IF($T1353="","",SUMIFS($T$6:$T$2405,$A$6:$A$2405,"&lt;="&amp;$A1353))</f>
        <v/>
      </c>
      <c r="V1353" s="57" t="str">
        <f aca="false">IF($T1353="","",IF($U1353&lt;=BankCostEnvelope*'5. Scenarios'!$E$7,1,0))</f>
        <v/>
      </c>
      <c r="W1353" s="57" t="str">
        <f aca="false">IF($S1353="","",INDEX(BookRate,1348)*(1+'5. Scenarios'!$E$10)*(INDEX(BookQ1,1348)*(5-MIN(4,1+'5. Scenarios'!$E$8))/4+INDEX(BookQ2,1348)*(5-MIN(4,2+'5. Scenarios'!$E$8))/4+INDEX(BookQ3,1348)*(5-MIN(4,3+'5. Scenarios'!$E$8))/4+INDEX(BookQ4,1348)*(5-MIN(4,4+'5. Scenarios'!$E$8))/4)*'5. Scenarios'!$E$6/(1+ProductivityDefault*('5. Scenarios'!$E$11-1))+INDEX(BookOneOff,1348)*$S1353)</f>
        <v/>
      </c>
    </row>
    <row r="1354" customFormat="false" ht="15" hidden="false" customHeight="false" outlineLevel="0" collapsed="false">
      <c r="A1354" s="0" t="str">
        <f aca="false">IF(INDEX(BookTitle,1349)="","",INDEX(BookKey,1349))</f>
        <v/>
      </c>
      <c r="B1354" s="0" t="str">
        <f aca="false">IF(INDEX(BookTitle,1349)="","",INDEX(BookGroup,1349))</f>
        <v/>
      </c>
      <c r="C1354" s="0" t="str">
        <f aca="false">IF(INDEX(BookTitle,1349)="","",INDEX(BookCategory,1349))</f>
        <v/>
      </c>
      <c r="D1354" s="56" t="str">
        <f aca="false">IF(INDEX(BookTitle,1349)="","",INDEX(BookTotal,1349)*'5. Scenarios'!$B$6/(1+ProductivityDefault*('5. Scenarios'!$B$11-1)))</f>
        <v/>
      </c>
      <c r="E1354" s="57" t="str">
        <f aca="false">IF($D1354="","",INDEX(BookRate,1349)*(1+'5. Scenarios'!$B$10)*$D1354)</f>
        <v/>
      </c>
      <c r="F1354" s="57" t="str">
        <f aca="false">IF($E1354="","",SUMIFS($E$6:$E$2405,$A$6:$A$2405,"&lt;="&amp;$A1354))</f>
        <v/>
      </c>
      <c r="G1354" s="57" t="str">
        <f aca="false">IF($E1354="","",IF($F1354&lt;=BankCostEnvelope*'5. Scenarios'!$B$7,1,0))</f>
        <v/>
      </c>
      <c r="H1354" s="57" t="str">
        <f aca="false">IF($D1354="","",INDEX(BookRate,1349)*(1+'5. Scenarios'!$B$10)*(INDEX(BookQ1,1349)*(5-MIN(4,1+'5. Scenarios'!$B$8))/4+INDEX(BookQ2,1349)*(5-MIN(4,2+'5. Scenarios'!$B$8))/4+INDEX(BookQ3,1349)*(5-MIN(4,3+'5. Scenarios'!$B$8))/4+INDEX(BookQ4,1349)*(5-MIN(4,4+'5. Scenarios'!$B$8))/4)*'5. Scenarios'!$B$6/(1+ProductivityDefault*('5. Scenarios'!$B$11-1))+INDEX(BookOneOff,1349)*$D1354)</f>
        <v/>
      </c>
      <c r="I1354" s="56" t="str">
        <f aca="false">IF(INDEX(BookTitle,1349)="","",INDEX(BookTotal,1349)*'5. Scenarios'!$C$6/(1+ProductivityDefault*('5. Scenarios'!$C$11-1)))</f>
        <v/>
      </c>
      <c r="J1354" s="57" t="str">
        <f aca="false">IF($I1354="","",INDEX(BookRate,1349)*(1+'5. Scenarios'!$C$10)*$I1354)</f>
        <v/>
      </c>
      <c r="K1354" s="57" t="str">
        <f aca="false">IF($J1354="","",SUMIFS($J$6:$J$2405,$A$6:$A$2405,"&lt;="&amp;$A1354))</f>
        <v/>
      </c>
      <c r="L1354" s="57" t="str">
        <f aca="false">IF($J1354="","",IF($K1354&lt;=BankCostEnvelope*'5. Scenarios'!$C$7,1,0))</f>
        <v/>
      </c>
      <c r="M1354" s="57" t="str">
        <f aca="false">IF($I1354="","",INDEX(BookRate,1349)*(1+'5. Scenarios'!$C$10)*(INDEX(BookQ1,1349)*(5-MIN(4,1+'5. Scenarios'!$C$8))/4+INDEX(BookQ2,1349)*(5-MIN(4,2+'5. Scenarios'!$C$8))/4+INDEX(BookQ3,1349)*(5-MIN(4,3+'5. Scenarios'!$C$8))/4+INDEX(BookQ4,1349)*(5-MIN(4,4+'5. Scenarios'!$C$8))/4)*'5. Scenarios'!$C$6/(1+ProductivityDefault*('5. Scenarios'!$C$11-1))+INDEX(BookOneOff,1349)*$I1354)</f>
        <v/>
      </c>
      <c r="N1354" s="56" t="str">
        <f aca="false">IF(INDEX(BookTitle,1349)="","",INDEX(BookTotal,1349)*'5. Scenarios'!$D$6/(1+ProductivityDefault*('5. Scenarios'!$D$11-1)))</f>
        <v/>
      </c>
      <c r="O1354" s="57" t="str">
        <f aca="false">IF($N1354="","",INDEX(BookRate,1349)*(1+'5. Scenarios'!$D$10)*$N1354)</f>
        <v/>
      </c>
      <c r="P1354" s="57" t="str">
        <f aca="false">IF($O1354="","",SUMIFS($O$6:$O$2405,$A$6:$A$2405,"&lt;="&amp;$A1354))</f>
        <v/>
      </c>
      <c r="Q1354" s="57" t="str">
        <f aca="false">IF($O1354="","",IF($P1354&lt;=BankCostEnvelope*'5. Scenarios'!$D$7,1,0))</f>
        <v/>
      </c>
      <c r="R1354" s="57" t="str">
        <f aca="false">IF($N1354="","",INDEX(BookRate,1349)*(1+'5. Scenarios'!$D$10)*(INDEX(BookQ1,1349)*(5-MIN(4,1+'5. Scenarios'!$D$8))/4+INDEX(BookQ2,1349)*(5-MIN(4,2+'5. Scenarios'!$D$8))/4+INDEX(BookQ3,1349)*(5-MIN(4,3+'5. Scenarios'!$D$8))/4+INDEX(BookQ4,1349)*(5-MIN(4,4+'5. Scenarios'!$D$8))/4)*'5. Scenarios'!$D$6/(1+ProductivityDefault*('5. Scenarios'!$D$11-1))+INDEX(BookOneOff,1349)*$N1354)</f>
        <v/>
      </c>
      <c r="S1354" s="56" t="str">
        <f aca="false">IF(INDEX(BookTitle,1349)="","",INDEX(BookTotal,1349)*'5. Scenarios'!$E$6/(1+ProductivityDefault*('5. Scenarios'!$E$11-1)))</f>
        <v/>
      </c>
      <c r="T1354" s="57" t="str">
        <f aca="false">IF($S1354="","",INDEX(BookRate,1349)*(1+'5. Scenarios'!$E$10)*$S1354)</f>
        <v/>
      </c>
      <c r="U1354" s="57" t="str">
        <f aca="false">IF($T1354="","",SUMIFS($T$6:$T$2405,$A$6:$A$2405,"&lt;="&amp;$A1354))</f>
        <v/>
      </c>
      <c r="V1354" s="57" t="str">
        <f aca="false">IF($T1354="","",IF($U1354&lt;=BankCostEnvelope*'5. Scenarios'!$E$7,1,0))</f>
        <v/>
      </c>
      <c r="W1354" s="57" t="str">
        <f aca="false">IF($S1354="","",INDEX(BookRate,1349)*(1+'5. Scenarios'!$E$10)*(INDEX(BookQ1,1349)*(5-MIN(4,1+'5. Scenarios'!$E$8))/4+INDEX(BookQ2,1349)*(5-MIN(4,2+'5. Scenarios'!$E$8))/4+INDEX(BookQ3,1349)*(5-MIN(4,3+'5. Scenarios'!$E$8))/4+INDEX(BookQ4,1349)*(5-MIN(4,4+'5. Scenarios'!$E$8))/4)*'5. Scenarios'!$E$6/(1+ProductivityDefault*('5. Scenarios'!$E$11-1))+INDEX(BookOneOff,1349)*$S1354)</f>
        <v/>
      </c>
    </row>
    <row r="1355" customFormat="false" ht="15" hidden="false" customHeight="false" outlineLevel="0" collapsed="false">
      <c r="A1355" s="0" t="str">
        <f aca="false">IF(INDEX(BookTitle,1350)="","",INDEX(BookKey,1350))</f>
        <v/>
      </c>
      <c r="B1355" s="0" t="str">
        <f aca="false">IF(INDEX(BookTitle,1350)="","",INDEX(BookGroup,1350))</f>
        <v/>
      </c>
      <c r="C1355" s="0" t="str">
        <f aca="false">IF(INDEX(BookTitle,1350)="","",INDEX(BookCategory,1350))</f>
        <v/>
      </c>
      <c r="D1355" s="56" t="str">
        <f aca="false">IF(INDEX(BookTitle,1350)="","",INDEX(BookTotal,1350)*'5. Scenarios'!$B$6/(1+ProductivityDefault*('5. Scenarios'!$B$11-1)))</f>
        <v/>
      </c>
      <c r="E1355" s="57" t="str">
        <f aca="false">IF($D1355="","",INDEX(BookRate,1350)*(1+'5. Scenarios'!$B$10)*$D1355)</f>
        <v/>
      </c>
      <c r="F1355" s="57" t="str">
        <f aca="false">IF($E1355="","",SUMIFS($E$6:$E$2405,$A$6:$A$2405,"&lt;="&amp;$A1355))</f>
        <v/>
      </c>
      <c r="G1355" s="57" t="str">
        <f aca="false">IF($E1355="","",IF($F1355&lt;=BankCostEnvelope*'5. Scenarios'!$B$7,1,0))</f>
        <v/>
      </c>
      <c r="H1355" s="57" t="str">
        <f aca="false">IF($D1355="","",INDEX(BookRate,1350)*(1+'5. Scenarios'!$B$10)*(INDEX(BookQ1,1350)*(5-MIN(4,1+'5. Scenarios'!$B$8))/4+INDEX(BookQ2,1350)*(5-MIN(4,2+'5. Scenarios'!$B$8))/4+INDEX(BookQ3,1350)*(5-MIN(4,3+'5. Scenarios'!$B$8))/4+INDEX(BookQ4,1350)*(5-MIN(4,4+'5. Scenarios'!$B$8))/4)*'5. Scenarios'!$B$6/(1+ProductivityDefault*('5. Scenarios'!$B$11-1))+INDEX(BookOneOff,1350)*$D1355)</f>
        <v/>
      </c>
      <c r="I1355" s="56" t="str">
        <f aca="false">IF(INDEX(BookTitle,1350)="","",INDEX(BookTotal,1350)*'5. Scenarios'!$C$6/(1+ProductivityDefault*('5. Scenarios'!$C$11-1)))</f>
        <v/>
      </c>
      <c r="J1355" s="57" t="str">
        <f aca="false">IF($I1355="","",INDEX(BookRate,1350)*(1+'5. Scenarios'!$C$10)*$I1355)</f>
        <v/>
      </c>
      <c r="K1355" s="57" t="str">
        <f aca="false">IF($J1355="","",SUMIFS($J$6:$J$2405,$A$6:$A$2405,"&lt;="&amp;$A1355))</f>
        <v/>
      </c>
      <c r="L1355" s="57" t="str">
        <f aca="false">IF($J1355="","",IF($K1355&lt;=BankCostEnvelope*'5. Scenarios'!$C$7,1,0))</f>
        <v/>
      </c>
      <c r="M1355" s="57" t="str">
        <f aca="false">IF($I1355="","",INDEX(BookRate,1350)*(1+'5. Scenarios'!$C$10)*(INDEX(BookQ1,1350)*(5-MIN(4,1+'5. Scenarios'!$C$8))/4+INDEX(BookQ2,1350)*(5-MIN(4,2+'5. Scenarios'!$C$8))/4+INDEX(BookQ3,1350)*(5-MIN(4,3+'5. Scenarios'!$C$8))/4+INDEX(BookQ4,1350)*(5-MIN(4,4+'5. Scenarios'!$C$8))/4)*'5. Scenarios'!$C$6/(1+ProductivityDefault*('5. Scenarios'!$C$11-1))+INDEX(BookOneOff,1350)*$I1355)</f>
        <v/>
      </c>
      <c r="N1355" s="56" t="str">
        <f aca="false">IF(INDEX(BookTitle,1350)="","",INDEX(BookTotal,1350)*'5. Scenarios'!$D$6/(1+ProductivityDefault*('5. Scenarios'!$D$11-1)))</f>
        <v/>
      </c>
      <c r="O1355" s="57" t="str">
        <f aca="false">IF($N1355="","",INDEX(BookRate,1350)*(1+'5. Scenarios'!$D$10)*$N1355)</f>
        <v/>
      </c>
      <c r="P1355" s="57" t="str">
        <f aca="false">IF($O1355="","",SUMIFS($O$6:$O$2405,$A$6:$A$2405,"&lt;="&amp;$A1355))</f>
        <v/>
      </c>
      <c r="Q1355" s="57" t="str">
        <f aca="false">IF($O1355="","",IF($P1355&lt;=BankCostEnvelope*'5. Scenarios'!$D$7,1,0))</f>
        <v/>
      </c>
      <c r="R1355" s="57" t="str">
        <f aca="false">IF($N1355="","",INDEX(BookRate,1350)*(1+'5. Scenarios'!$D$10)*(INDEX(BookQ1,1350)*(5-MIN(4,1+'5. Scenarios'!$D$8))/4+INDEX(BookQ2,1350)*(5-MIN(4,2+'5. Scenarios'!$D$8))/4+INDEX(BookQ3,1350)*(5-MIN(4,3+'5. Scenarios'!$D$8))/4+INDEX(BookQ4,1350)*(5-MIN(4,4+'5. Scenarios'!$D$8))/4)*'5. Scenarios'!$D$6/(1+ProductivityDefault*('5. Scenarios'!$D$11-1))+INDEX(BookOneOff,1350)*$N1355)</f>
        <v/>
      </c>
      <c r="S1355" s="56" t="str">
        <f aca="false">IF(INDEX(BookTitle,1350)="","",INDEX(BookTotal,1350)*'5. Scenarios'!$E$6/(1+ProductivityDefault*('5. Scenarios'!$E$11-1)))</f>
        <v/>
      </c>
      <c r="T1355" s="57" t="str">
        <f aca="false">IF($S1355="","",INDEX(BookRate,1350)*(1+'5. Scenarios'!$E$10)*$S1355)</f>
        <v/>
      </c>
      <c r="U1355" s="57" t="str">
        <f aca="false">IF($T1355="","",SUMIFS($T$6:$T$2405,$A$6:$A$2405,"&lt;="&amp;$A1355))</f>
        <v/>
      </c>
      <c r="V1355" s="57" t="str">
        <f aca="false">IF($T1355="","",IF($U1355&lt;=BankCostEnvelope*'5. Scenarios'!$E$7,1,0))</f>
        <v/>
      </c>
      <c r="W1355" s="57" t="str">
        <f aca="false">IF($S1355="","",INDEX(BookRate,1350)*(1+'5. Scenarios'!$E$10)*(INDEX(BookQ1,1350)*(5-MIN(4,1+'5. Scenarios'!$E$8))/4+INDEX(BookQ2,1350)*(5-MIN(4,2+'5. Scenarios'!$E$8))/4+INDEX(BookQ3,1350)*(5-MIN(4,3+'5. Scenarios'!$E$8))/4+INDEX(BookQ4,1350)*(5-MIN(4,4+'5. Scenarios'!$E$8))/4)*'5. Scenarios'!$E$6/(1+ProductivityDefault*('5. Scenarios'!$E$11-1))+INDEX(BookOneOff,1350)*$S1355)</f>
        <v/>
      </c>
    </row>
    <row r="1356" customFormat="false" ht="15" hidden="false" customHeight="false" outlineLevel="0" collapsed="false">
      <c r="A1356" s="0" t="str">
        <f aca="false">IF(INDEX(BookTitle,1351)="","",INDEX(BookKey,1351))</f>
        <v/>
      </c>
      <c r="B1356" s="0" t="str">
        <f aca="false">IF(INDEX(BookTitle,1351)="","",INDEX(BookGroup,1351))</f>
        <v/>
      </c>
      <c r="C1356" s="0" t="str">
        <f aca="false">IF(INDEX(BookTitle,1351)="","",INDEX(BookCategory,1351))</f>
        <v/>
      </c>
      <c r="D1356" s="56" t="str">
        <f aca="false">IF(INDEX(BookTitle,1351)="","",INDEX(BookTotal,1351)*'5. Scenarios'!$B$6/(1+ProductivityDefault*('5. Scenarios'!$B$11-1)))</f>
        <v/>
      </c>
      <c r="E1356" s="57" t="str">
        <f aca="false">IF($D1356="","",INDEX(BookRate,1351)*(1+'5. Scenarios'!$B$10)*$D1356)</f>
        <v/>
      </c>
      <c r="F1356" s="57" t="str">
        <f aca="false">IF($E1356="","",SUMIFS($E$6:$E$2405,$A$6:$A$2405,"&lt;="&amp;$A1356))</f>
        <v/>
      </c>
      <c r="G1356" s="57" t="str">
        <f aca="false">IF($E1356="","",IF($F1356&lt;=BankCostEnvelope*'5. Scenarios'!$B$7,1,0))</f>
        <v/>
      </c>
      <c r="H1356" s="57" t="str">
        <f aca="false">IF($D1356="","",INDEX(BookRate,1351)*(1+'5. Scenarios'!$B$10)*(INDEX(BookQ1,1351)*(5-MIN(4,1+'5. Scenarios'!$B$8))/4+INDEX(BookQ2,1351)*(5-MIN(4,2+'5. Scenarios'!$B$8))/4+INDEX(BookQ3,1351)*(5-MIN(4,3+'5. Scenarios'!$B$8))/4+INDEX(BookQ4,1351)*(5-MIN(4,4+'5. Scenarios'!$B$8))/4)*'5. Scenarios'!$B$6/(1+ProductivityDefault*('5. Scenarios'!$B$11-1))+INDEX(BookOneOff,1351)*$D1356)</f>
        <v/>
      </c>
      <c r="I1356" s="56" t="str">
        <f aca="false">IF(INDEX(BookTitle,1351)="","",INDEX(BookTotal,1351)*'5. Scenarios'!$C$6/(1+ProductivityDefault*('5. Scenarios'!$C$11-1)))</f>
        <v/>
      </c>
      <c r="J1356" s="57" t="str">
        <f aca="false">IF($I1356="","",INDEX(BookRate,1351)*(1+'5. Scenarios'!$C$10)*$I1356)</f>
        <v/>
      </c>
      <c r="K1356" s="57" t="str">
        <f aca="false">IF($J1356="","",SUMIFS($J$6:$J$2405,$A$6:$A$2405,"&lt;="&amp;$A1356))</f>
        <v/>
      </c>
      <c r="L1356" s="57" t="str">
        <f aca="false">IF($J1356="","",IF($K1356&lt;=BankCostEnvelope*'5. Scenarios'!$C$7,1,0))</f>
        <v/>
      </c>
      <c r="M1356" s="57" t="str">
        <f aca="false">IF($I1356="","",INDEX(BookRate,1351)*(1+'5. Scenarios'!$C$10)*(INDEX(BookQ1,1351)*(5-MIN(4,1+'5. Scenarios'!$C$8))/4+INDEX(BookQ2,1351)*(5-MIN(4,2+'5. Scenarios'!$C$8))/4+INDEX(BookQ3,1351)*(5-MIN(4,3+'5. Scenarios'!$C$8))/4+INDEX(BookQ4,1351)*(5-MIN(4,4+'5. Scenarios'!$C$8))/4)*'5. Scenarios'!$C$6/(1+ProductivityDefault*('5. Scenarios'!$C$11-1))+INDEX(BookOneOff,1351)*$I1356)</f>
        <v/>
      </c>
      <c r="N1356" s="56" t="str">
        <f aca="false">IF(INDEX(BookTitle,1351)="","",INDEX(BookTotal,1351)*'5. Scenarios'!$D$6/(1+ProductivityDefault*('5. Scenarios'!$D$11-1)))</f>
        <v/>
      </c>
      <c r="O1356" s="57" t="str">
        <f aca="false">IF($N1356="","",INDEX(BookRate,1351)*(1+'5. Scenarios'!$D$10)*$N1356)</f>
        <v/>
      </c>
      <c r="P1356" s="57" t="str">
        <f aca="false">IF($O1356="","",SUMIFS($O$6:$O$2405,$A$6:$A$2405,"&lt;="&amp;$A1356))</f>
        <v/>
      </c>
      <c r="Q1356" s="57" t="str">
        <f aca="false">IF($O1356="","",IF($P1356&lt;=BankCostEnvelope*'5. Scenarios'!$D$7,1,0))</f>
        <v/>
      </c>
      <c r="R1356" s="57" t="str">
        <f aca="false">IF($N1356="","",INDEX(BookRate,1351)*(1+'5. Scenarios'!$D$10)*(INDEX(BookQ1,1351)*(5-MIN(4,1+'5. Scenarios'!$D$8))/4+INDEX(BookQ2,1351)*(5-MIN(4,2+'5. Scenarios'!$D$8))/4+INDEX(BookQ3,1351)*(5-MIN(4,3+'5. Scenarios'!$D$8))/4+INDEX(BookQ4,1351)*(5-MIN(4,4+'5. Scenarios'!$D$8))/4)*'5. Scenarios'!$D$6/(1+ProductivityDefault*('5. Scenarios'!$D$11-1))+INDEX(BookOneOff,1351)*$N1356)</f>
        <v/>
      </c>
      <c r="S1356" s="56" t="str">
        <f aca="false">IF(INDEX(BookTitle,1351)="","",INDEX(BookTotal,1351)*'5. Scenarios'!$E$6/(1+ProductivityDefault*('5. Scenarios'!$E$11-1)))</f>
        <v/>
      </c>
      <c r="T1356" s="57" t="str">
        <f aca="false">IF($S1356="","",INDEX(BookRate,1351)*(1+'5. Scenarios'!$E$10)*$S1356)</f>
        <v/>
      </c>
      <c r="U1356" s="57" t="str">
        <f aca="false">IF($T1356="","",SUMIFS($T$6:$T$2405,$A$6:$A$2405,"&lt;="&amp;$A1356))</f>
        <v/>
      </c>
      <c r="V1356" s="57" t="str">
        <f aca="false">IF($T1356="","",IF($U1356&lt;=BankCostEnvelope*'5. Scenarios'!$E$7,1,0))</f>
        <v/>
      </c>
      <c r="W1356" s="57" t="str">
        <f aca="false">IF($S1356="","",INDEX(BookRate,1351)*(1+'5. Scenarios'!$E$10)*(INDEX(BookQ1,1351)*(5-MIN(4,1+'5. Scenarios'!$E$8))/4+INDEX(BookQ2,1351)*(5-MIN(4,2+'5. Scenarios'!$E$8))/4+INDEX(BookQ3,1351)*(5-MIN(4,3+'5. Scenarios'!$E$8))/4+INDEX(BookQ4,1351)*(5-MIN(4,4+'5. Scenarios'!$E$8))/4)*'5. Scenarios'!$E$6/(1+ProductivityDefault*('5. Scenarios'!$E$11-1))+INDEX(BookOneOff,1351)*$S1356)</f>
        <v/>
      </c>
    </row>
    <row r="1357" customFormat="false" ht="15" hidden="false" customHeight="false" outlineLevel="0" collapsed="false">
      <c r="A1357" s="0" t="str">
        <f aca="false">IF(INDEX(BookTitle,1352)="","",INDEX(BookKey,1352))</f>
        <v/>
      </c>
      <c r="B1357" s="0" t="str">
        <f aca="false">IF(INDEX(BookTitle,1352)="","",INDEX(BookGroup,1352))</f>
        <v/>
      </c>
      <c r="C1357" s="0" t="str">
        <f aca="false">IF(INDEX(BookTitle,1352)="","",INDEX(BookCategory,1352))</f>
        <v/>
      </c>
      <c r="D1357" s="56" t="str">
        <f aca="false">IF(INDEX(BookTitle,1352)="","",INDEX(BookTotal,1352)*'5. Scenarios'!$B$6/(1+ProductivityDefault*('5. Scenarios'!$B$11-1)))</f>
        <v/>
      </c>
      <c r="E1357" s="57" t="str">
        <f aca="false">IF($D1357="","",INDEX(BookRate,1352)*(1+'5. Scenarios'!$B$10)*$D1357)</f>
        <v/>
      </c>
      <c r="F1357" s="57" t="str">
        <f aca="false">IF($E1357="","",SUMIFS($E$6:$E$2405,$A$6:$A$2405,"&lt;="&amp;$A1357))</f>
        <v/>
      </c>
      <c r="G1357" s="57" t="str">
        <f aca="false">IF($E1357="","",IF($F1357&lt;=BankCostEnvelope*'5. Scenarios'!$B$7,1,0))</f>
        <v/>
      </c>
      <c r="H1357" s="57" t="str">
        <f aca="false">IF($D1357="","",INDEX(BookRate,1352)*(1+'5. Scenarios'!$B$10)*(INDEX(BookQ1,1352)*(5-MIN(4,1+'5. Scenarios'!$B$8))/4+INDEX(BookQ2,1352)*(5-MIN(4,2+'5. Scenarios'!$B$8))/4+INDEX(BookQ3,1352)*(5-MIN(4,3+'5. Scenarios'!$B$8))/4+INDEX(BookQ4,1352)*(5-MIN(4,4+'5. Scenarios'!$B$8))/4)*'5. Scenarios'!$B$6/(1+ProductivityDefault*('5. Scenarios'!$B$11-1))+INDEX(BookOneOff,1352)*$D1357)</f>
        <v/>
      </c>
      <c r="I1357" s="56" t="str">
        <f aca="false">IF(INDEX(BookTitle,1352)="","",INDEX(BookTotal,1352)*'5. Scenarios'!$C$6/(1+ProductivityDefault*('5. Scenarios'!$C$11-1)))</f>
        <v/>
      </c>
      <c r="J1357" s="57" t="str">
        <f aca="false">IF($I1357="","",INDEX(BookRate,1352)*(1+'5. Scenarios'!$C$10)*$I1357)</f>
        <v/>
      </c>
      <c r="K1357" s="57" t="str">
        <f aca="false">IF($J1357="","",SUMIFS($J$6:$J$2405,$A$6:$A$2405,"&lt;="&amp;$A1357))</f>
        <v/>
      </c>
      <c r="L1357" s="57" t="str">
        <f aca="false">IF($J1357="","",IF($K1357&lt;=BankCostEnvelope*'5. Scenarios'!$C$7,1,0))</f>
        <v/>
      </c>
      <c r="M1357" s="57" t="str">
        <f aca="false">IF($I1357="","",INDEX(BookRate,1352)*(1+'5. Scenarios'!$C$10)*(INDEX(BookQ1,1352)*(5-MIN(4,1+'5. Scenarios'!$C$8))/4+INDEX(BookQ2,1352)*(5-MIN(4,2+'5. Scenarios'!$C$8))/4+INDEX(BookQ3,1352)*(5-MIN(4,3+'5. Scenarios'!$C$8))/4+INDEX(BookQ4,1352)*(5-MIN(4,4+'5. Scenarios'!$C$8))/4)*'5. Scenarios'!$C$6/(1+ProductivityDefault*('5. Scenarios'!$C$11-1))+INDEX(BookOneOff,1352)*$I1357)</f>
        <v/>
      </c>
      <c r="N1357" s="56" t="str">
        <f aca="false">IF(INDEX(BookTitle,1352)="","",INDEX(BookTotal,1352)*'5. Scenarios'!$D$6/(1+ProductivityDefault*('5. Scenarios'!$D$11-1)))</f>
        <v/>
      </c>
      <c r="O1357" s="57" t="str">
        <f aca="false">IF($N1357="","",INDEX(BookRate,1352)*(1+'5. Scenarios'!$D$10)*$N1357)</f>
        <v/>
      </c>
      <c r="P1357" s="57" t="str">
        <f aca="false">IF($O1357="","",SUMIFS($O$6:$O$2405,$A$6:$A$2405,"&lt;="&amp;$A1357))</f>
        <v/>
      </c>
      <c r="Q1357" s="57" t="str">
        <f aca="false">IF($O1357="","",IF($P1357&lt;=BankCostEnvelope*'5. Scenarios'!$D$7,1,0))</f>
        <v/>
      </c>
      <c r="R1357" s="57" t="str">
        <f aca="false">IF($N1357="","",INDEX(BookRate,1352)*(1+'5. Scenarios'!$D$10)*(INDEX(BookQ1,1352)*(5-MIN(4,1+'5. Scenarios'!$D$8))/4+INDEX(BookQ2,1352)*(5-MIN(4,2+'5. Scenarios'!$D$8))/4+INDEX(BookQ3,1352)*(5-MIN(4,3+'5. Scenarios'!$D$8))/4+INDEX(BookQ4,1352)*(5-MIN(4,4+'5. Scenarios'!$D$8))/4)*'5. Scenarios'!$D$6/(1+ProductivityDefault*('5. Scenarios'!$D$11-1))+INDEX(BookOneOff,1352)*$N1357)</f>
        <v/>
      </c>
      <c r="S1357" s="56" t="str">
        <f aca="false">IF(INDEX(BookTitle,1352)="","",INDEX(BookTotal,1352)*'5. Scenarios'!$E$6/(1+ProductivityDefault*('5. Scenarios'!$E$11-1)))</f>
        <v/>
      </c>
      <c r="T1357" s="57" t="str">
        <f aca="false">IF($S1357="","",INDEX(BookRate,1352)*(1+'5. Scenarios'!$E$10)*$S1357)</f>
        <v/>
      </c>
      <c r="U1357" s="57" t="str">
        <f aca="false">IF($T1357="","",SUMIFS($T$6:$T$2405,$A$6:$A$2405,"&lt;="&amp;$A1357))</f>
        <v/>
      </c>
      <c r="V1357" s="57" t="str">
        <f aca="false">IF($T1357="","",IF($U1357&lt;=BankCostEnvelope*'5. Scenarios'!$E$7,1,0))</f>
        <v/>
      </c>
      <c r="W1357" s="57" t="str">
        <f aca="false">IF($S1357="","",INDEX(BookRate,1352)*(1+'5. Scenarios'!$E$10)*(INDEX(BookQ1,1352)*(5-MIN(4,1+'5. Scenarios'!$E$8))/4+INDEX(BookQ2,1352)*(5-MIN(4,2+'5. Scenarios'!$E$8))/4+INDEX(BookQ3,1352)*(5-MIN(4,3+'5. Scenarios'!$E$8))/4+INDEX(BookQ4,1352)*(5-MIN(4,4+'5. Scenarios'!$E$8))/4)*'5. Scenarios'!$E$6/(1+ProductivityDefault*('5. Scenarios'!$E$11-1))+INDEX(BookOneOff,1352)*$S1357)</f>
        <v/>
      </c>
    </row>
    <row r="1358" customFormat="false" ht="15" hidden="false" customHeight="false" outlineLevel="0" collapsed="false">
      <c r="A1358" s="0" t="str">
        <f aca="false">IF(INDEX(BookTitle,1353)="","",INDEX(BookKey,1353))</f>
        <v/>
      </c>
      <c r="B1358" s="0" t="str">
        <f aca="false">IF(INDEX(BookTitle,1353)="","",INDEX(BookGroup,1353))</f>
        <v/>
      </c>
      <c r="C1358" s="0" t="str">
        <f aca="false">IF(INDEX(BookTitle,1353)="","",INDEX(BookCategory,1353))</f>
        <v/>
      </c>
      <c r="D1358" s="56" t="str">
        <f aca="false">IF(INDEX(BookTitle,1353)="","",INDEX(BookTotal,1353)*'5. Scenarios'!$B$6/(1+ProductivityDefault*('5. Scenarios'!$B$11-1)))</f>
        <v/>
      </c>
      <c r="E1358" s="57" t="str">
        <f aca="false">IF($D1358="","",INDEX(BookRate,1353)*(1+'5. Scenarios'!$B$10)*$D1358)</f>
        <v/>
      </c>
      <c r="F1358" s="57" t="str">
        <f aca="false">IF($E1358="","",SUMIFS($E$6:$E$2405,$A$6:$A$2405,"&lt;="&amp;$A1358))</f>
        <v/>
      </c>
      <c r="G1358" s="57" t="str">
        <f aca="false">IF($E1358="","",IF($F1358&lt;=BankCostEnvelope*'5. Scenarios'!$B$7,1,0))</f>
        <v/>
      </c>
      <c r="H1358" s="57" t="str">
        <f aca="false">IF($D1358="","",INDEX(BookRate,1353)*(1+'5. Scenarios'!$B$10)*(INDEX(BookQ1,1353)*(5-MIN(4,1+'5. Scenarios'!$B$8))/4+INDEX(BookQ2,1353)*(5-MIN(4,2+'5. Scenarios'!$B$8))/4+INDEX(BookQ3,1353)*(5-MIN(4,3+'5. Scenarios'!$B$8))/4+INDEX(BookQ4,1353)*(5-MIN(4,4+'5. Scenarios'!$B$8))/4)*'5. Scenarios'!$B$6/(1+ProductivityDefault*('5. Scenarios'!$B$11-1))+INDEX(BookOneOff,1353)*$D1358)</f>
        <v/>
      </c>
      <c r="I1358" s="56" t="str">
        <f aca="false">IF(INDEX(BookTitle,1353)="","",INDEX(BookTotal,1353)*'5. Scenarios'!$C$6/(1+ProductivityDefault*('5. Scenarios'!$C$11-1)))</f>
        <v/>
      </c>
      <c r="J1358" s="57" t="str">
        <f aca="false">IF($I1358="","",INDEX(BookRate,1353)*(1+'5. Scenarios'!$C$10)*$I1358)</f>
        <v/>
      </c>
      <c r="K1358" s="57" t="str">
        <f aca="false">IF($J1358="","",SUMIFS($J$6:$J$2405,$A$6:$A$2405,"&lt;="&amp;$A1358))</f>
        <v/>
      </c>
      <c r="L1358" s="57" t="str">
        <f aca="false">IF($J1358="","",IF($K1358&lt;=BankCostEnvelope*'5. Scenarios'!$C$7,1,0))</f>
        <v/>
      </c>
      <c r="M1358" s="57" t="str">
        <f aca="false">IF($I1358="","",INDEX(BookRate,1353)*(1+'5. Scenarios'!$C$10)*(INDEX(BookQ1,1353)*(5-MIN(4,1+'5. Scenarios'!$C$8))/4+INDEX(BookQ2,1353)*(5-MIN(4,2+'5. Scenarios'!$C$8))/4+INDEX(BookQ3,1353)*(5-MIN(4,3+'5. Scenarios'!$C$8))/4+INDEX(BookQ4,1353)*(5-MIN(4,4+'5. Scenarios'!$C$8))/4)*'5. Scenarios'!$C$6/(1+ProductivityDefault*('5. Scenarios'!$C$11-1))+INDEX(BookOneOff,1353)*$I1358)</f>
        <v/>
      </c>
      <c r="N1358" s="56" t="str">
        <f aca="false">IF(INDEX(BookTitle,1353)="","",INDEX(BookTotal,1353)*'5. Scenarios'!$D$6/(1+ProductivityDefault*('5. Scenarios'!$D$11-1)))</f>
        <v/>
      </c>
      <c r="O1358" s="57" t="str">
        <f aca="false">IF($N1358="","",INDEX(BookRate,1353)*(1+'5. Scenarios'!$D$10)*$N1358)</f>
        <v/>
      </c>
      <c r="P1358" s="57" t="str">
        <f aca="false">IF($O1358="","",SUMIFS($O$6:$O$2405,$A$6:$A$2405,"&lt;="&amp;$A1358))</f>
        <v/>
      </c>
      <c r="Q1358" s="57" t="str">
        <f aca="false">IF($O1358="","",IF($P1358&lt;=BankCostEnvelope*'5. Scenarios'!$D$7,1,0))</f>
        <v/>
      </c>
      <c r="R1358" s="57" t="str">
        <f aca="false">IF($N1358="","",INDEX(BookRate,1353)*(1+'5. Scenarios'!$D$10)*(INDEX(BookQ1,1353)*(5-MIN(4,1+'5. Scenarios'!$D$8))/4+INDEX(BookQ2,1353)*(5-MIN(4,2+'5. Scenarios'!$D$8))/4+INDEX(BookQ3,1353)*(5-MIN(4,3+'5. Scenarios'!$D$8))/4+INDEX(BookQ4,1353)*(5-MIN(4,4+'5. Scenarios'!$D$8))/4)*'5. Scenarios'!$D$6/(1+ProductivityDefault*('5. Scenarios'!$D$11-1))+INDEX(BookOneOff,1353)*$N1358)</f>
        <v/>
      </c>
      <c r="S1358" s="56" t="str">
        <f aca="false">IF(INDEX(BookTitle,1353)="","",INDEX(BookTotal,1353)*'5. Scenarios'!$E$6/(1+ProductivityDefault*('5. Scenarios'!$E$11-1)))</f>
        <v/>
      </c>
      <c r="T1358" s="57" t="str">
        <f aca="false">IF($S1358="","",INDEX(BookRate,1353)*(1+'5. Scenarios'!$E$10)*$S1358)</f>
        <v/>
      </c>
      <c r="U1358" s="57" t="str">
        <f aca="false">IF($T1358="","",SUMIFS($T$6:$T$2405,$A$6:$A$2405,"&lt;="&amp;$A1358))</f>
        <v/>
      </c>
      <c r="V1358" s="57" t="str">
        <f aca="false">IF($T1358="","",IF($U1358&lt;=BankCostEnvelope*'5. Scenarios'!$E$7,1,0))</f>
        <v/>
      </c>
      <c r="W1358" s="57" t="str">
        <f aca="false">IF($S1358="","",INDEX(BookRate,1353)*(1+'5. Scenarios'!$E$10)*(INDEX(BookQ1,1353)*(5-MIN(4,1+'5. Scenarios'!$E$8))/4+INDEX(BookQ2,1353)*(5-MIN(4,2+'5. Scenarios'!$E$8))/4+INDEX(BookQ3,1353)*(5-MIN(4,3+'5. Scenarios'!$E$8))/4+INDEX(BookQ4,1353)*(5-MIN(4,4+'5. Scenarios'!$E$8))/4)*'5. Scenarios'!$E$6/(1+ProductivityDefault*('5. Scenarios'!$E$11-1))+INDEX(BookOneOff,1353)*$S1358)</f>
        <v/>
      </c>
    </row>
    <row r="1359" customFormat="false" ht="15" hidden="false" customHeight="false" outlineLevel="0" collapsed="false">
      <c r="A1359" s="0" t="str">
        <f aca="false">IF(INDEX(BookTitle,1354)="","",INDEX(BookKey,1354))</f>
        <v/>
      </c>
      <c r="B1359" s="0" t="str">
        <f aca="false">IF(INDEX(BookTitle,1354)="","",INDEX(BookGroup,1354))</f>
        <v/>
      </c>
      <c r="C1359" s="0" t="str">
        <f aca="false">IF(INDEX(BookTitle,1354)="","",INDEX(BookCategory,1354))</f>
        <v/>
      </c>
      <c r="D1359" s="56" t="str">
        <f aca="false">IF(INDEX(BookTitle,1354)="","",INDEX(BookTotal,1354)*'5. Scenarios'!$B$6/(1+ProductivityDefault*('5. Scenarios'!$B$11-1)))</f>
        <v/>
      </c>
      <c r="E1359" s="57" t="str">
        <f aca="false">IF($D1359="","",INDEX(BookRate,1354)*(1+'5. Scenarios'!$B$10)*$D1359)</f>
        <v/>
      </c>
      <c r="F1359" s="57" t="str">
        <f aca="false">IF($E1359="","",SUMIFS($E$6:$E$2405,$A$6:$A$2405,"&lt;="&amp;$A1359))</f>
        <v/>
      </c>
      <c r="G1359" s="57" t="str">
        <f aca="false">IF($E1359="","",IF($F1359&lt;=BankCostEnvelope*'5. Scenarios'!$B$7,1,0))</f>
        <v/>
      </c>
      <c r="H1359" s="57" t="str">
        <f aca="false">IF($D1359="","",INDEX(BookRate,1354)*(1+'5. Scenarios'!$B$10)*(INDEX(BookQ1,1354)*(5-MIN(4,1+'5. Scenarios'!$B$8))/4+INDEX(BookQ2,1354)*(5-MIN(4,2+'5. Scenarios'!$B$8))/4+INDEX(BookQ3,1354)*(5-MIN(4,3+'5. Scenarios'!$B$8))/4+INDEX(BookQ4,1354)*(5-MIN(4,4+'5. Scenarios'!$B$8))/4)*'5. Scenarios'!$B$6/(1+ProductivityDefault*('5. Scenarios'!$B$11-1))+INDEX(BookOneOff,1354)*$D1359)</f>
        <v/>
      </c>
      <c r="I1359" s="56" t="str">
        <f aca="false">IF(INDEX(BookTitle,1354)="","",INDEX(BookTotal,1354)*'5. Scenarios'!$C$6/(1+ProductivityDefault*('5. Scenarios'!$C$11-1)))</f>
        <v/>
      </c>
      <c r="J1359" s="57" t="str">
        <f aca="false">IF($I1359="","",INDEX(BookRate,1354)*(1+'5. Scenarios'!$C$10)*$I1359)</f>
        <v/>
      </c>
      <c r="K1359" s="57" t="str">
        <f aca="false">IF($J1359="","",SUMIFS($J$6:$J$2405,$A$6:$A$2405,"&lt;="&amp;$A1359))</f>
        <v/>
      </c>
      <c r="L1359" s="57" t="str">
        <f aca="false">IF($J1359="","",IF($K1359&lt;=BankCostEnvelope*'5. Scenarios'!$C$7,1,0))</f>
        <v/>
      </c>
      <c r="M1359" s="57" t="str">
        <f aca="false">IF($I1359="","",INDEX(BookRate,1354)*(1+'5. Scenarios'!$C$10)*(INDEX(BookQ1,1354)*(5-MIN(4,1+'5. Scenarios'!$C$8))/4+INDEX(BookQ2,1354)*(5-MIN(4,2+'5. Scenarios'!$C$8))/4+INDEX(BookQ3,1354)*(5-MIN(4,3+'5. Scenarios'!$C$8))/4+INDEX(BookQ4,1354)*(5-MIN(4,4+'5. Scenarios'!$C$8))/4)*'5. Scenarios'!$C$6/(1+ProductivityDefault*('5. Scenarios'!$C$11-1))+INDEX(BookOneOff,1354)*$I1359)</f>
        <v/>
      </c>
      <c r="N1359" s="56" t="str">
        <f aca="false">IF(INDEX(BookTitle,1354)="","",INDEX(BookTotal,1354)*'5. Scenarios'!$D$6/(1+ProductivityDefault*('5. Scenarios'!$D$11-1)))</f>
        <v/>
      </c>
      <c r="O1359" s="57" t="str">
        <f aca="false">IF($N1359="","",INDEX(BookRate,1354)*(1+'5. Scenarios'!$D$10)*$N1359)</f>
        <v/>
      </c>
      <c r="P1359" s="57" t="str">
        <f aca="false">IF($O1359="","",SUMIFS($O$6:$O$2405,$A$6:$A$2405,"&lt;="&amp;$A1359))</f>
        <v/>
      </c>
      <c r="Q1359" s="57" t="str">
        <f aca="false">IF($O1359="","",IF($P1359&lt;=BankCostEnvelope*'5. Scenarios'!$D$7,1,0))</f>
        <v/>
      </c>
      <c r="R1359" s="57" t="str">
        <f aca="false">IF($N1359="","",INDEX(BookRate,1354)*(1+'5. Scenarios'!$D$10)*(INDEX(BookQ1,1354)*(5-MIN(4,1+'5. Scenarios'!$D$8))/4+INDEX(BookQ2,1354)*(5-MIN(4,2+'5. Scenarios'!$D$8))/4+INDEX(BookQ3,1354)*(5-MIN(4,3+'5. Scenarios'!$D$8))/4+INDEX(BookQ4,1354)*(5-MIN(4,4+'5. Scenarios'!$D$8))/4)*'5. Scenarios'!$D$6/(1+ProductivityDefault*('5. Scenarios'!$D$11-1))+INDEX(BookOneOff,1354)*$N1359)</f>
        <v/>
      </c>
      <c r="S1359" s="56" t="str">
        <f aca="false">IF(INDEX(BookTitle,1354)="","",INDEX(BookTotal,1354)*'5. Scenarios'!$E$6/(1+ProductivityDefault*('5. Scenarios'!$E$11-1)))</f>
        <v/>
      </c>
      <c r="T1359" s="57" t="str">
        <f aca="false">IF($S1359="","",INDEX(BookRate,1354)*(1+'5. Scenarios'!$E$10)*$S1359)</f>
        <v/>
      </c>
      <c r="U1359" s="57" t="str">
        <f aca="false">IF($T1359="","",SUMIFS($T$6:$T$2405,$A$6:$A$2405,"&lt;="&amp;$A1359))</f>
        <v/>
      </c>
      <c r="V1359" s="57" t="str">
        <f aca="false">IF($T1359="","",IF($U1359&lt;=BankCostEnvelope*'5. Scenarios'!$E$7,1,0))</f>
        <v/>
      </c>
      <c r="W1359" s="57" t="str">
        <f aca="false">IF($S1359="","",INDEX(BookRate,1354)*(1+'5. Scenarios'!$E$10)*(INDEX(BookQ1,1354)*(5-MIN(4,1+'5. Scenarios'!$E$8))/4+INDEX(BookQ2,1354)*(5-MIN(4,2+'5. Scenarios'!$E$8))/4+INDEX(BookQ3,1354)*(5-MIN(4,3+'5. Scenarios'!$E$8))/4+INDEX(BookQ4,1354)*(5-MIN(4,4+'5. Scenarios'!$E$8))/4)*'5. Scenarios'!$E$6/(1+ProductivityDefault*('5. Scenarios'!$E$11-1))+INDEX(BookOneOff,1354)*$S1359)</f>
        <v/>
      </c>
    </row>
    <row r="1360" customFormat="false" ht="15" hidden="false" customHeight="false" outlineLevel="0" collapsed="false">
      <c r="A1360" s="0" t="str">
        <f aca="false">IF(INDEX(BookTitle,1355)="","",INDEX(BookKey,1355))</f>
        <v/>
      </c>
      <c r="B1360" s="0" t="str">
        <f aca="false">IF(INDEX(BookTitle,1355)="","",INDEX(BookGroup,1355))</f>
        <v/>
      </c>
      <c r="C1360" s="0" t="str">
        <f aca="false">IF(INDEX(BookTitle,1355)="","",INDEX(BookCategory,1355))</f>
        <v/>
      </c>
      <c r="D1360" s="56" t="str">
        <f aca="false">IF(INDEX(BookTitle,1355)="","",INDEX(BookTotal,1355)*'5. Scenarios'!$B$6/(1+ProductivityDefault*('5. Scenarios'!$B$11-1)))</f>
        <v/>
      </c>
      <c r="E1360" s="57" t="str">
        <f aca="false">IF($D1360="","",INDEX(BookRate,1355)*(1+'5. Scenarios'!$B$10)*$D1360)</f>
        <v/>
      </c>
      <c r="F1360" s="57" t="str">
        <f aca="false">IF($E1360="","",SUMIFS($E$6:$E$2405,$A$6:$A$2405,"&lt;="&amp;$A1360))</f>
        <v/>
      </c>
      <c r="G1360" s="57" t="str">
        <f aca="false">IF($E1360="","",IF($F1360&lt;=BankCostEnvelope*'5. Scenarios'!$B$7,1,0))</f>
        <v/>
      </c>
      <c r="H1360" s="57" t="str">
        <f aca="false">IF($D1360="","",INDEX(BookRate,1355)*(1+'5. Scenarios'!$B$10)*(INDEX(BookQ1,1355)*(5-MIN(4,1+'5. Scenarios'!$B$8))/4+INDEX(BookQ2,1355)*(5-MIN(4,2+'5. Scenarios'!$B$8))/4+INDEX(BookQ3,1355)*(5-MIN(4,3+'5. Scenarios'!$B$8))/4+INDEX(BookQ4,1355)*(5-MIN(4,4+'5. Scenarios'!$B$8))/4)*'5. Scenarios'!$B$6/(1+ProductivityDefault*('5. Scenarios'!$B$11-1))+INDEX(BookOneOff,1355)*$D1360)</f>
        <v/>
      </c>
      <c r="I1360" s="56" t="str">
        <f aca="false">IF(INDEX(BookTitle,1355)="","",INDEX(BookTotal,1355)*'5. Scenarios'!$C$6/(1+ProductivityDefault*('5. Scenarios'!$C$11-1)))</f>
        <v/>
      </c>
      <c r="J1360" s="57" t="str">
        <f aca="false">IF($I1360="","",INDEX(BookRate,1355)*(1+'5. Scenarios'!$C$10)*$I1360)</f>
        <v/>
      </c>
      <c r="K1360" s="57" t="str">
        <f aca="false">IF($J1360="","",SUMIFS($J$6:$J$2405,$A$6:$A$2405,"&lt;="&amp;$A1360))</f>
        <v/>
      </c>
      <c r="L1360" s="57" t="str">
        <f aca="false">IF($J1360="","",IF($K1360&lt;=BankCostEnvelope*'5. Scenarios'!$C$7,1,0))</f>
        <v/>
      </c>
      <c r="M1360" s="57" t="str">
        <f aca="false">IF($I1360="","",INDEX(BookRate,1355)*(1+'5. Scenarios'!$C$10)*(INDEX(BookQ1,1355)*(5-MIN(4,1+'5. Scenarios'!$C$8))/4+INDEX(BookQ2,1355)*(5-MIN(4,2+'5. Scenarios'!$C$8))/4+INDEX(BookQ3,1355)*(5-MIN(4,3+'5. Scenarios'!$C$8))/4+INDEX(BookQ4,1355)*(5-MIN(4,4+'5. Scenarios'!$C$8))/4)*'5. Scenarios'!$C$6/(1+ProductivityDefault*('5. Scenarios'!$C$11-1))+INDEX(BookOneOff,1355)*$I1360)</f>
        <v/>
      </c>
      <c r="N1360" s="56" t="str">
        <f aca="false">IF(INDEX(BookTitle,1355)="","",INDEX(BookTotal,1355)*'5. Scenarios'!$D$6/(1+ProductivityDefault*('5. Scenarios'!$D$11-1)))</f>
        <v/>
      </c>
      <c r="O1360" s="57" t="str">
        <f aca="false">IF($N1360="","",INDEX(BookRate,1355)*(1+'5. Scenarios'!$D$10)*$N1360)</f>
        <v/>
      </c>
      <c r="P1360" s="57" t="str">
        <f aca="false">IF($O1360="","",SUMIFS($O$6:$O$2405,$A$6:$A$2405,"&lt;="&amp;$A1360))</f>
        <v/>
      </c>
      <c r="Q1360" s="57" t="str">
        <f aca="false">IF($O1360="","",IF($P1360&lt;=BankCostEnvelope*'5. Scenarios'!$D$7,1,0))</f>
        <v/>
      </c>
      <c r="R1360" s="57" t="str">
        <f aca="false">IF($N1360="","",INDEX(BookRate,1355)*(1+'5. Scenarios'!$D$10)*(INDEX(BookQ1,1355)*(5-MIN(4,1+'5. Scenarios'!$D$8))/4+INDEX(BookQ2,1355)*(5-MIN(4,2+'5. Scenarios'!$D$8))/4+INDEX(BookQ3,1355)*(5-MIN(4,3+'5. Scenarios'!$D$8))/4+INDEX(BookQ4,1355)*(5-MIN(4,4+'5. Scenarios'!$D$8))/4)*'5. Scenarios'!$D$6/(1+ProductivityDefault*('5. Scenarios'!$D$11-1))+INDEX(BookOneOff,1355)*$N1360)</f>
        <v/>
      </c>
      <c r="S1360" s="56" t="str">
        <f aca="false">IF(INDEX(BookTitle,1355)="","",INDEX(BookTotal,1355)*'5. Scenarios'!$E$6/(1+ProductivityDefault*('5. Scenarios'!$E$11-1)))</f>
        <v/>
      </c>
      <c r="T1360" s="57" t="str">
        <f aca="false">IF($S1360="","",INDEX(BookRate,1355)*(1+'5. Scenarios'!$E$10)*$S1360)</f>
        <v/>
      </c>
      <c r="U1360" s="57" t="str">
        <f aca="false">IF($T1360="","",SUMIFS($T$6:$T$2405,$A$6:$A$2405,"&lt;="&amp;$A1360))</f>
        <v/>
      </c>
      <c r="V1360" s="57" t="str">
        <f aca="false">IF($T1360="","",IF($U1360&lt;=BankCostEnvelope*'5. Scenarios'!$E$7,1,0))</f>
        <v/>
      </c>
      <c r="W1360" s="57" t="str">
        <f aca="false">IF($S1360="","",INDEX(BookRate,1355)*(1+'5. Scenarios'!$E$10)*(INDEX(BookQ1,1355)*(5-MIN(4,1+'5. Scenarios'!$E$8))/4+INDEX(BookQ2,1355)*(5-MIN(4,2+'5. Scenarios'!$E$8))/4+INDEX(BookQ3,1355)*(5-MIN(4,3+'5. Scenarios'!$E$8))/4+INDEX(BookQ4,1355)*(5-MIN(4,4+'5. Scenarios'!$E$8))/4)*'5. Scenarios'!$E$6/(1+ProductivityDefault*('5. Scenarios'!$E$11-1))+INDEX(BookOneOff,1355)*$S1360)</f>
        <v/>
      </c>
    </row>
    <row r="1361" customFormat="false" ht="15" hidden="false" customHeight="false" outlineLevel="0" collapsed="false">
      <c r="A1361" s="0" t="str">
        <f aca="false">IF(INDEX(BookTitle,1356)="","",INDEX(BookKey,1356))</f>
        <v/>
      </c>
      <c r="B1361" s="0" t="str">
        <f aca="false">IF(INDEX(BookTitle,1356)="","",INDEX(BookGroup,1356))</f>
        <v/>
      </c>
      <c r="C1361" s="0" t="str">
        <f aca="false">IF(INDEX(BookTitle,1356)="","",INDEX(BookCategory,1356))</f>
        <v/>
      </c>
      <c r="D1361" s="56" t="str">
        <f aca="false">IF(INDEX(BookTitle,1356)="","",INDEX(BookTotal,1356)*'5. Scenarios'!$B$6/(1+ProductivityDefault*('5. Scenarios'!$B$11-1)))</f>
        <v/>
      </c>
      <c r="E1361" s="57" t="str">
        <f aca="false">IF($D1361="","",INDEX(BookRate,1356)*(1+'5. Scenarios'!$B$10)*$D1361)</f>
        <v/>
      </c>
      <c r="F1361" s="57" t="str">
        <f aca="false">IF($E1361="","",SUMIFS($E$6:$E$2405,$A$6:$A$2405,"&lt;="&amp;$A1361))</f>
        <v/>
      </c>
      <c r="G1361" s="57" t="str">
        <f aca="false">IF($E1361="","",IF($F1361&lt;=BankCostEnvelope*'5. Scenarios'!$B$7,1,0))</f>
        <v/>
      </c>
      <c r="H1361" s="57" t="str">
        <f aca="false">IF($D1361="","",INDEX(BookRate,1356)*(1+'5. Scenarios'!$B$10)*(INDEX(BookQ1,1356)*(5-MIN(4,1+'5. Scenarios'!$B$8))/4+INDEX(BookQ2,1356)*(5-MIN(4,2+'5. Scenarios'!$B$8))/4+INDEX(BookQ3,1356)*(5-MIN(4,3+'5. Scenarios'!$B$8))/4+INDEX(BookQ4,1356)*(5-MIN(4,4+'5. Scenarios'!$B$8))/4)*'5. Scenarios'!$B$6/(1+ProductivityDefault*('5. Scenarios'!$B$11-1))+INDEX(BookOneOff,1356)*$D1361)</f>
        <v/>
      </c>
      <c r="I1361" s="56" t="str">
        <f aca="false">IF(INDEX(BookTitle,1356)="","",INDEX(BookTotal,1356)*'5. Scenarios'!$C$6/(1+ProductivityDefault*('5. Scenarios'!$C$11-1)))</f>
        <v/>
      </c>
      <c r="J1361" s="57" t="str">
        <f aca="false">IF($I1361="","",INDEX(BookRate,1356)*(1+'5. Scenarios'!$C$10)*$I1361)</f>
        <v/>
      </c>
      <c r="K1361" s="57" t="str">
        <f aca="false">IF($J1361="","",SUMIFS($J$6:$J$2405,$A$6:$A$2405,"&lt;="&amp;$A1361))</f>
        <v/>
      </c>
      <c r="L1361" s="57" t="str">
        <f aca="false">IF($J1361="","",IF($K1361&lt;=BankCostEnvelope*'5. Scenarios'!$C$7,1,0))</f>
        <v/>
      </c>
      <c r="M1361" s="57" t="str">
        <f aca="false">IF($I1361="","",INDEX(BookRate,1356)*(1+'5. Scenarios'!$C$10)*(INDEX(BookQ1,1356)*(5-MIN(4,1+'5. Scenarios'!$C$8))/4+INDEX(BookQ2,1356)*(5-MIN(4,2+'5. Scenarios'!$C$8))/4+INDEX(BookQ3,1356)*(5-MIN(4,3+'5. Scenarios'!$C$8))/4+INDEX(BookQ4,1356)*(5-MIN(4,4+'5. Scenarios'!$C$8))/4)*'5. Scenarios'!$C$6/(1+ProductivityDefault*('5. Scenarios'!$C$11-1))+INDEX(BookOneOff,1356)*$I1361)</f>
        <v/>
      </c>
      <c r="N1361" s="56" t="str">
        <f aca="false">IF(INDEX(BookTitle,1356)="","",INDEX(BookTotal,1356)*'5. Scenarios'!$D$6/(1+ProductivityDefault*('5. Scenarios'!$D$11-1)))</f>
        <v/>
      </c>
      <c r="O1361" s="57" t="str">
        <f aca="false">IF($N1361="","",INDEX(BookRate,1356)*(1+'5. Scenarios'!$D$10)*$N1361)</f>
        <v/>
      </c>
      <c r="P1361" s="57" t="str">
        <f aca="false">IF($O1361="","",SUMIFS($O$6:$O$2405,$A$6:$A$2405,"&lt;="&amp;$A1361))</f>
        <v/>
      </c>
      <c r="Q1361" s="57" t="str">
        <f aca="false">IF($O1361="","",IF($P1361&lt;=BankCostEnvelope*'5. Scenarios'!$D$7,1,0))</f>
        <v/>
      </c>
      <c r="R1361" s="57" t="str">
        <f aca="false">IF($N1361="","",INDEX(BookRate,1356)*(1+'5. Scenarios'!$D$10)*(INDEX(BookQ1,1356)*(5-MIN(4,1+'5. Scenarios'!$D$8))/4+INDEX(BookQ2,1356)*(5-MIN(4,2+'5. Scenarios'!$D$8))/4+INDEX(BookQ3,1356)*(5-MIN(4,3+'5. Scenarios'!$D$8))/4+INDEX(BookQ4,1356)*(5-MIN(4,4+'5. Scenarios'!$D$8))/4)*'5. Scenarios'!$D$6/(1+ProductivityDefault*('5. Scenarios'!$D$11-1))+INDEX(BookOneOff,1356)*$N1361)</f>
        <v/>
      </c>
      <c r="S1361" s="56" t="str">
        <f aca="false">IF(INDEX(BookTitle,1356)="","",INDEX(BookTotal,1356)*'5. Scenarios'!$E$6/(1+ProductivityDefault*('5. Scenarios'!$E$11-1)))</f>
        <v/>
      </c>
      <c r="T1361" s="57" t="str">
        <f aca="false">IF($S1361="","",INDEX(BookRate,1356)*(1+'5. Scenarios'!$E$10)*$S1361)</f>
        <v/>
      </c>
      <c r="U1361" s="57" t="str">
        <f aca="false">IF($T1361="","",SUMIFS($T$6:$T$2405,$A$6:$A$2405,"&lt;="&amp;$A1361))</f>
        <v/>
      </c>
      <c r="V1361" s="57" t="str">
        <f aca="false">IF($T1361="","",IF($U1361&lt;=BankCostEnvelope*'5. Scenarios'!$E$7,1,0))</f>
        <v/>
      </c>
      <c r="W1361" s="57" t="str">
        <f aca="false">IF($S1361="","",INDEX(BookRate,1356)*(1+'5. Scenarios'!$E$10)*(INDEX(BookQ1,1356)*(5-MIN(4,1+'5. Scenarios'!$E$8))/4+INDEX(BookQ2,1356)*(5-MIN(4,2+'5. Scenarios'!$E$8))/4+INDEX(BookQ3,1356)*(5-MIN(4,3+'5. Scenarios'!$E$8))/4+INDEX(BookQ4,1356)*(5-MIN(4,4+'5. Scenarios'!$E$8))/4)*'5. Scenarios'!$E$6/(1+ProductivityDefault*('5. Scenarios'!$E$11-1))+INDEX(BookOneOff,1356)*$S1361)</f>
        <v/>
      </c>
    </row>
    <row r="1362" customFormat="false" ht="15" hidden="false" customHeight="false" outlineLevel="0" collapsed="false">
      <c r="A1362" s="0" t="str">
        <f aca="false">IF(INDEX(BookTitle,1357)="","",INDEX(BookKey,1357))</f>
        <v/>
      </c>
      <c r="B1362" s="0" t="str">
        <f aca="false">IF(INDEX(BookTitle,1357)="","",INDEX(BookGroup,1357))</f>
        <v/>
      </c>
      <c r="C1362" s="0" t="str">
        <f aca="false">IF(INDEX(BookTitle,1357)="","",INDEX(BookCategory,1357))</f>
        <v/>
      </c>
      <c r="D1362" s="56" t="str">
        <f aca="false">IF(INDEX(BookTitle,1357)="","",INDEX(BookTotal,1357)*'5. Scenarios'!$B$6/(1+ProductivityDefault*('5. Scenarios'!$B$11-1)))</f>
        <v/>
      </c>
      <c r="E1362" s="57" t="str">
        <f aca="false">IF($D1362="","",INDEX(BookRate,1357)*(1+'5. Scenarios'!$B$10)*$D1362)</f>
        <v/>
      </c>
      <c r="F1362" s="57" t="str">
        <f aca="false">IF($E1362="","",SUMIFS($E$6:$E$2405,$A$6:$A$2405,"&lt;="&amp;$A1362))</f>
        <v/>
      </c>
      <c r="G1362" s="57" t="str">
        <f aca="false">IF($E1362="","",IF($F1362&lt;=BankCostEnvelope*'5. Scenarios'!$B$7,1,0))</f>
        <v/>
      </c>
      <c r="H1362" s="57" t="str">
        <f aca="false">IF($D1362="","",INDEX(BookRate,1357)*(1+'5. Scenarios'!$B$10)*(INDEX(BookQ1,1357)*(5-MIN(4,1+'5. Scenarios'!$B$8))/4+INDEX(BookQ2,1357)*(5-MIN(4,2+'5. Scenarios'!$B$8))/4+INDEX(BookQ3,1357)*(5-MIN(4,3+'5. Scenarios'!$B$8))/4+INDEX(BookQ4,1357)*(5-MIN(4,4+'5. Scenarios'!$B$8))/4)*'5. Scenarios'!$B$6/(1+ProductivityDefault*('5. Scenarios'!$B$11-1))+INDEX(BookOneOff,1357)*$D1362)</f>
        <v/>
      </c>
      <c r="I1362" s="56" t="str">
        <f aca="false">IF(INDEX(BookTitle,1357)="","",INDEX(BookTotal,1357)*'5. Scenarios'!$C$6/(1+ProductivityDefault*('5. Scenarios'!$C$11-1)))</f>
        <v/>
      </c>
      <c r="J1362" s="57" t="str">
        <f aca="false">IF($I1362="","",INDEX(BookRate,1357)*(1+'5. Scenarios'!$C$10)*$I1362)</f>
        <v/>
      </c>
      <c r="K1362" s="57" t="str">
        <f aca="false">IF($J1362="","",SUMIFS($J$6:$J$2405,$A$6:$A$2405,"&lt;="&amp;$A1362))</f>
        <v/>
      </c>
      <c r="L1362" s="57" t="str">
        <f aca="false">IF($J1362="","",IF($K1362&lt;=BankCostEnvelope*'5. Scenarios'!$C$7,1,0))</f>
        <v/>
      </c>
      <c r="M1362" s="57" t="str">
        <f aca="false">IF($I1362="","",INDEX(BookRate,1357)*(1+'5. Scenarios'!$C$10)*(INDEX(BookQ1,1357)*(5-MIN(4,1+'5. Scenarios'!$C$8))/4+INDEX(BookQ2,1357)*(5-MIN(4,2+'5. Scenarios'!$C$8))/4+INDEX(BookQ3,1357)*(5-MIN(4,3+'5. Scenarios'!$C$8))/4+INDEX(BookQ4,1357)*(5-MIN(4,4+'5. Scenarios'!$C$8))/4)*'5. Scenarios'!$C$6/(1+ProductivityDefault*('5. Scenarios'!$C$11-1))+INDEX(BookOneOff,1357)*$I1362)</f>
        <v/>
      </c>
      <c r="N1362" s="56" t="str">
        <f aca="false">IF(INDEX(BookTitle,1357)="","",INDEX(BookTotal,1357)*'5. Scenarios'!$D$6/(1+ProductivityDefault*('5. Scenarios'!$D$11-1)))</f>
        <v/>
      </c>
      <c r="O1362" s="57" t="str">
        <f aca="false">IF($N1362="","",INDEX(BookRate,1357)*(1+'5. Scenarios'!$D$10)*$N1362)</f>
        <v/>
      </c>
      <c r="P1362" s="57" t="str">
        <f aca="false">IF($O1362="","",SUMIFS($O$6:$O$2405,$A$6:$A$2405,"&lt;="&amp;$A1362))</f>
        <v/>
      </c>
      <c r="Q1362" s="57" t="str">
        <f aca="false">IF($O1362="","",IF($P1362&lt;=BankCostEnvelope*'5. Scenarios'!$D$7,1,0))</f>
        <v/>
      </c>
      <c r="R1362" s="57" t="str">
        <f aca="false">IF($N1362="","",INDEX(BookRate,1357)*(1+'5. Scenarios'!$D$10)*(INDEX(BookQ1,1357)*(5-MIN(4,1+'5. Scenarios'!$D$8))/4+INDEX(BookQ2,1357)*(5-MIN(4,2+'5. Scenarios'!$D$8))/4+INDEX(BookQ3,1357)*(5-MIN(4,3+'5. Scenarios'!$D$8))/4+INDEX(BookQ4,1357)*(5-MIN(4,4+'5. Scenarios'!$D$8))/4)*'5. Scenarios'!$D$6/(1+ProductivityDefault*('5. Scenarios'!$D$11-1))+INDEX(BookOneOff,1357)*$N1362)</f>
        <v/>
      </c>
      <c r="S1362" s="56" t="str">
        <f aca="false">IF(INDEX(BookTitle,1357)="","",INDEX(BookTotal,1357)*'5. Scenarios'!$E$6/(1+ProductivityDefault*('5. Scenarios'!$E$11-1)))</f>
        <v/>
      </c>
      <c r="T1362" s="57" t="str">
        <f aca="false">IF($S1362="","",INDEX(BookRate,1357)*(1+'5. Scenarios'!$E$10)*$S1362)</f>
        <v/>
      </c>
      <c r="U1362" s="57" t="str">
        <f aca="false">IF($T1362="","",SUMIFS($T$6:$T$2405,$A$6:$A$2405,"&lt;="&amp;$A1362))</f>
        <v/>
      </c>
      <c r="V1362" s="57" t="str">
        <f aca="false">IF($T1362="","",IF($U1362&lt;=BankCostEnvelope*'5. Scenarios'!$E$7,1,0))</f>
        <v/>
      </c>
      <c r="W1362" s="57" t="str">
        <f aca="false">IF($S1362="","",INDEX(BookRate,1357)*(1+'5. Scenarios'!$E$10)*(INDEX(BookQ1,1357)*(5-MIN(4,1+'5. Scenarios'!$E$8))/4+INDEX(BookQ2,1357)*(5-MIN(4,2+'5. Scenarios'!$E$8))/4+INDEX(BookQ3,1357)*(5-MIN(4,3+'5. Scenarios'!$E$8))/4+INDEX(BookQ4,1357)*(5-MIN(4,4+'5. Scenarios'!$E$8))/4)*'5. Scenarios'!$E$6/(1+ProductivityDefault*('5. Scenarios'!$E$11-1))+INDEX(BookOneOff,1357)*$S1362)</f>
        <v/>
      </c>
    </row>
    <row r="1363" customFormat="false" ht="15" hidden="false" customHeight="false" outlineLevel="0" collapsed="false">
      <c r="A1363" s="0" t="str">
        <f aca="false">IF(INDEX(BookTitle,1358)="","",INDEX(BookKey,1358))</f>
        <v/>
      </c>
      <c r="B1363" s="0" t="str">
        <f aca="false">IF(INDEX(BookTitle,1358)="","",INDEX(BookGroup,1358))</f>
        <v/>
      </c>
      <c r="C1363" s="0" t="str">
        <f aca="false">IF(INDEX(BookTitle,1358)="","",INDEX(BookCategory,1358))</f>
        <v/>
      </c>
      <c r="D1363" s="56" t="str">
        <f aca="false">IF(INDEX(BookTitle,1358)="","",INDEX(BookTotal,1358)*'5. Scenarios'!$B$6/(1+ProductivityDefault*('5. Scenarios'!$B$11-1)))</f>
        <v/>
      </c>
      <c r="E1363" s="57" t="str">
        <f aca="false">IF($D1363="","",INDEX(BookRate,1358)*(1+'5. Scenarios'!$B$10)*$D1363)</f>
        <v/>
      </c>
      <c r="F1363" s="57" t="str">
        <f aca="false">IF($E1363="","",SUMIFS($E$6:$E$2405,$A$6:$A$2405,"&lt;="&amp;$A1363))</f>
        <v/>
      </c>
      <c r="G1363" s="57" t="str">
        <f aca="false">IF($E1363="","",IF($F1363&lt;=BankCostEnvelope*'5. Scenarios'!$B$7,1,0))</f>
        <v/>
      </c>
      <c r="H1363" s="57" t="str">
        <f aca="false">IF($D1363="","",INDEX(BookRate,1358)*(1+'5. Scenarios'!$B$10)*(INDEX(BookQ1,1358)*(5-MIN(4,1+'5. Scenarios'!$B$8))/4+INDEX(BookQ2,1358)*(5-MIN(4,2+'5. Scenarios'!$B$8))/4+INDEX(BookQ3,1358)*(5-MIN(4,3+'5. Scenarios'!$B$8))/4+INDEX(BookQ4,1358)*(5-MIN(4,4+'5. Scenarios'!$B$8))/4)*'5. Scenarios'!$B$6/(1+ProductivityDefault*('5. Scenarios'!$B$11-1))+INDEX(BookOneOff,1358)*$D1363)</f>
        <v/>
      </c>
      <c r="I1363" s="56" t="str">
        <f aca="false">IF(INDEX(BookTitle,1358)="","",INDEX(BookTotal,1358)*'5. Scenarios'!$C$6/(1+ProductivityDefault*('5. Scenarios'!$C$11-1)))</f>
        <v/>
      </c>
      <c r="J1363" s="57" t="str">
        <f aca="false">IF($I1363="","",INDEX(BookRate,1358)*(1+'5. Scenarios'!$C$10)*$I1363)</f>
        <v/>
      </c>
      <c r="K1363" s="57" t="str">
        <f aca="false">IF($J1363="","",SUMIFS($J$6:$J$2405,$A$6:$A$2405,"&lt;="&amp;$A1363))</f>
        <v/>
      </c>
      <c r="L1363" s="57" t="str">
        <f aca="false">IF($J1363="","",IF($K1363&lt;=BankCostEnvelope*'5. Scenarios'!$C$7,1,0))</f>
        <v/>
      </c>
      <c r="M1363" s="57" t="str">
        <f aca="false">IF($I1363="","",INDEX(BookRate,1358)*(1+'5. Scenarios'!$C$10)*(INDEX(BookQ1,1358)*(5-MIN(4,1+'5. Scenarios'!$C$8))/4+INDEX(BookQ2,1358)*(5-MIN(4,2+'5. Scenarios'!$C$8))/4+INDEX(BookQ3,1358)*(5-MIN(4,3+'5. Scenarios'!$C$8))/4+INDEX(BookQ4,1358)*(5-MIN(4,4+'5. Scenarios'!$C$8))/4)*'5. Scenarios'!$C$6/(1+ProductivityDefault*('5. Scenarios'!$C$11-1))+INDEX(BookOneOff,1358)*$I1363)</f>
        <v/>
      </c>
      <c r="N1363" s="56" t="str">
        <f aca="false">IF(INDEX(BookTitle,1358)="","",INDEX(BookTotal,1358)*'5. Scenarios'!$D$6/(1+ProductivityDefault*('5. Scenarios'!$D$11-1)))</f>
        <v/>
      </c>
      <c r="O1363" s="57" t="str">
        <f aca="false">IF($N1363="","",INDEX(BookRate,1358)*(1+'5. Scenarios'!$D$10)*$N1363)</f>
        <v/>
      </c>
      <c r="P1363" s="57" t="str">
        <f aca="false">IF($O1363="","",SUMIFS($O$6:$O$2405,$A$6:$A$2405,"&lt;="&amp;$A1363))</f>
        <v/>
      </c>
      <c r="Q1363" s="57" t="str">
        <f aca="false">IF($O1363="","",IF($P1363&lt;=BankCostEnvelope*'5. Scenarios'!$D$7,1,0))</f>
        <v/>
      </c>
      <c r="R1363" s="57" t="str">
        <f aca="false">IF($N1363="","",INDEX(BookRate,1358)*(1+'5. Scenarios'!$D$10)*(INDEX(BookQ1,1358)*(5-MIN(4,1+'5. Scenarios'!$D$8))/4+INDEX(BookQ2,1358)*(5-MIN(4,2+'5. Scenarios'!$D$8))/4+INDEX(BookQ3,1358)*(5-MIN(4,3+'5. Scenarios'!$D$8))/4+INDEX(BookQ4,1358)*(5-MIN(4,4+'5. Scenarios'!$D$8))/4)*'5. Scenarios'!$D$6/(1+ProductivityDefault*('5. Scenarios'!$D$11-1))+INDEX(BookOneOff,1358)*$N1363)</f>
        <v/>
      </c>
      <c r="S1363" s="56" t="str">
        <f aca="false">IF(INDEX(BookTitle,1358)="","",INDEX(BookTotal,1358)*'5. Scenarios'!$E$6/(1+ProductivityDefault*('5. Scenarios'!$E$11-1)))</f>
        <v/>
      </c>
      <c r="T1363" s="57" t="str">
        <f aca="false">IF($S1363="","",INDEX(BookRate,1358)*(1+'5. Scenarios'!$E$10)*$S1363)</f>
        <v/>
      </c>
      <c r="U1363" s="57" t="str">
        <f aca="false">IF($T1363="","",SUMIFS($T$6:$T$2405,$A$6:$A$2405,"&lt;="&amp;$A1363))</f>
        <v/>
      </c>
      <c r="V1363" s="57" t="str">
        <f aca="false">IF($T1363="","",IF($U1363&lt;=BankCostEnvelope*'5. Scenarios'!$E$7,1,0))</f>
        <v/>
      </c>
      <c r="W1363" s="57" t="str">
        <f aca="false">IF($S1363="","",INDEX(BookRate,1358)*(1+'5. Scenarios'!$E$10)*(INDEX(BookQ1,1358)*(5-MIN(4,1+'5. Scenarios'!$E$8))/4+INDEX(BookQ2,1358)*(5-MIN(4,2+'5. Scenarios'!$E$8))/4+INDEX(BookQ3,1358)*(5-MIN(4,3+'5. Scenarios'!$E$8))/4+INDEX(BookQ4,1358)*(5-MIN(4,4+'5. Scenarios'!$E$8))/4)*'5. Scenarios'!$E$6/(1+ProductivityDefault*('5. Scenarios'!$E$11-1))+INDEX(BookOneOff,1358)*$S1363)</f>
        <v/>
      </c>
    </row>
    <row r="1364" customFormat="false" ht="15" hidden="false" customHeight="false" outlineLevel="0" collapsed="false">
      <c r="A1364" s="0" t="str">
        <f aca="false">IF(INDEX(BookTitle,1359)="","",INDEX(BookKey,1359))</f>
        <v/>
      </c>
      <c r="B1364" s="0" t="str">
        <f aca="false">IF(INDEX(BookTitle,1359)="","",INDEX(BookGroup,1359))</f>
        <v/>
      </c>
      <c r="C1364" s="0" t="str">
        <f aca="false">IF(INDEX(BookTitle,1359)="","",INDEX(BookCategory,1359))</f>
        <v/>
      </c>
      <c r="D1364" s="56" t="str">
        <f aca="false">IF(INDEX(BookTitle,1359)="","",INDEX(BookTotal,1359)*'5. Scenarios'!$B$6/(1+ProductivityDefault*('5. Scenarios'!$B$11-1)))</f>
        <v/>
      </c>
      <c r="E1364" s="57" t="str">
        <f aca="false">IF($D1364="","",INDEX(BookRate,1359)*(1+'5. Scenarios'!$B$10)*$D1364)</f>
        <v/>
      </c>
      <c r="F1364" s="57" t="str">
        <f aca="false">IF($E1364="","",SUMIFS($E$6:$E$2405,$A$6:$A$2405,"&lt;="&amp;$A1364))</f>
        <v/>
      </c>
      <c r="G1364" s="57" t="str">
        <f aca="false">IF($E1364="","",IF($F1364&lt;=BankCostEnvelope*'5. Scenarios'!$B$7,1,0))</f>
        <v/>
      </c>
      <c r="H1364" s="57" t="str">
        <f aca="false">IF($D1364="","",INDEX(BookRate,1359)*(1+'5. Scenarios'!$B$10)*(INDEX(BookQ1,1359)*(5-MIN(4,1+'5. Scenarios'!$B$8))/4+INDEX(BookQ2,1359)*(5-MIN(4,2+'5. Scenarios'!$B$8))/4+INDEX(BookQ3,1359)*(5-MIN(4,3+'5. Scenarios'!$B$8))/4+INDEX(BookQ4,1359)*(5-MIN(4,4+'5. Scenarios'!$B$8))/4)*'5. Scenarios'!$B$6/(1+ProductivityDefault*('5. Scenarios'!$B$11-1))+INDEX(BookOneOff,1359)*$D1364)</f>
        <v/>
      </c>
      <c r="I1364" s="56" t="str">
        <f aca="false">IF(INDEX(BookTitle,1359)="","",INDEX(BookTotal,1359)*'5. Scenarios'!$C$6/(1+ProductivityDefault*('5. Scenarios'!$C$11-1)))</f>
        <v/>
      </c>
      <c r="J1364" s="57" t="str">
        <f aca="false">IF($I1364="","",INDEX(BookRate,1359)*(1+'5. Scenarios'!$C$10)*$I1364)</f>
        <v/>
      </c>
      <c r="K1364" s="57" t="str">
        <f aca="false">IF($J1364="","",SUMIFS($J$6:$J$2405,$A$6:$A$2405,"&lt;="&amp;$A1364))</f>
        <v/>
      </c>
      <c r="L1364" s="57" t="str">
        <f aca="false">IF($J1364="","",IF($K1364&lt;=BankCostEnvelope*'5. Scenarios'!$C$7,1,0))</f>
        <v/>
      </c>
      <c r="M1364" s="57" t="str">
        <f aca="false">IF($I1364="","",INDEX(BookRate,1359)*(1+'5. Scenarios'!$C$10)*(INDEX(BookQ1,1359)*(5-MIN(4,1+'5. Scenarios'!$C$8))/4+INDEX(BookQ2,1359)*(5-MIN(4,2+'5. Scenarios'!$C$8))/4+INDEX(BookQ3,1359)*(5-MIN(4,3+'5. Scenarios'!$C$8))/4+INDEX(BookQ4,1359)*(5-MIN(4,4+'5. Scenarios'!$C$8))/4)*'5. Scenarios'!$C$6/(1+ProductivityDefault*('5. Scenarios'!$C$11-1))+INDEX(BookOneOff,1359)*$I1364)</f>
        <v/>
      </c>
      <c r="N1364" s="56" t="str">
        <f aca="false">IF(INDEX(BookTitle,1359)="","",INDEX(BookTotal,1359)*'5. Scenarios'!$D$6/(1+ProductivityDefault*('5. Scenarios'!$D$11-1)))</f>
        <v/>
      </c>
      <c r="O1364" s="57" t="str">
        <f aca="false">IF($N1364="","",INDEX(BookRate,1359)*(1+'5. Scenarios'!$D$10)*$N1364)</f>
        <v/>
      </c>
      <c r="P1364" s="57" t="str">
        <f aca="false">IF($O1364="","",SUMIFS($O$6:$O$2405,$A$6:$A$2405,"&lt;="&amp;$A1364))</f>
        <v/>
      </c>
      <c r="Q1364" s="57" t="str">
        <f aca="false">IF($O1364="","",IF($P1364&lt;=BankCostEnvelope*'5. Scenarios'!$D$7,1,0))</f>
        <v/>
      </c>
      <c r="R1364" s="57" t="str">
        <f aca="false">IF($N1364="","",INDEX(BookRate,1359)*(1+'5. Scenarios'!$D$10)*(INDEX(BookQ1,1359)*(5-MIN(4,1+'5. Scenarios'!$D$8))/4+INDEX(BookQ2,1359)*(5-MIN(4,2+'5. Scenarios'!$D$8))/4+INDEX(BookQ3,1359)*(5-MIN(4,3+'5. Scenarios'!$D$8))/4+INDEX(BookQ4,1359)*(5-MIN(4,4+'5. Scenarios'!$D$8))/4)*'5. Scenarios'!$D$6/(1+ProductivityDefault*('5. Scenarios'!$D$11-1))+INDEX(BookOneOff,1359)*$N1364)</f>
        <v/>
      </c>
      <c r="S1364" s="56" t="str">
        <f aca="false">IF(INDEX(BookTitle,1359)="","",INDEX(BookTotal,1359)*'5. Scenarios'!$E$6/(1+ProductivityDefault*('5. Scenarios'!$E$11-1)))</f>
        <v/>
      </c>
      <c r="T1364" s="57" t="str">
        <f aca="false">IF($S1364="","",INDEX(BookRate,1359)*(1+'5. Scenarios'!$E$10)*$S1364)</f>
        <v/>
      </c>
      <c r="U1364" s="57" t="str">
        <f aca="false">IF($T1364="","",SUMIFS($T$6:$T$2405,$A$6:$A$2405,"&lt;="&amp;$A1364))</f>
        <v/>
      </c>
      <c r="V1364" s="57" t="str">
        <f aca="false">IF($T1364="","",IF($U1364&lt;=BankCostEnvelope*'5. Scenarios'!$E$7,1,0))</f>
        <v/>
      </c>
      <c r="W1364" s="57" t="str">
        <f aca="false">IF($S1364="","",INDEX(BookRate,1359)*(1+'5. Scenarios'!$E$10)*(INDEX(BookQ1,1359)*(5-MIN(4,1+'5. Scenarios'!$E$8))/4+INDEX(BookQ2,1359)*(5-MIN(4,2+'5. Scenarios'!$E$8))/4+INDEX(BookQ3,1359)*(5-MIN(4,3+'5. Scenarios'!$E$8))/4+INDEX(BookQ4,1359)*(5-MIN(4,4+'5. Scenarios'!$E$8))/4)*'5. Scenarios'!$E$6/(1+ProductivityDefault*('5. Scenarios'!$E$11-1))+INDEX(BookOneOff,1359)*$S1364)</f>
        <v/>
      </c>
    </row>
    <row r="1365" customFormat="false" ht="15" hidden="false" customHeight="false" outlineLevel="0" collapsed="false">
      <c r="A1365" s="0" t="str">
        <f aca="false">IF(INDEX(BookTitle,1360)="","",INDEX(BookKey,1360))</f>
        <v/>
      </c>
      <c r="B1365" s="0" t="str">
        <f aca="false">IF(INDEX(BookTitle,1360)="","",INDEX(BookGroup,1360))</f>
        <v/>
      </c>
      <c r="C1365" s="0" t="str">
        <f aca="false">IF(INDEX(BookTitle,1360)="","",INDEX(BookCategory,1360))</f>
        <v/>
      </c>
      <c r="D1365" s="56" t="str">
        <f aca="false">IF(INDEX(BookTitle,1360)="","",INDEX(BookTotal,1360)*'5. Scenarios'!$B$6/(1+ProductivityDefault*('5. Scenarios'!$B$11-1)))</f>
        <v/>
      </c>
      <c r="E1365" s="57" t="str">
        <f aca="false">IF($D1365="","",INDEX(BookRate,1360)*(1+'5. Scenarios'!$B$10)*$D1365)</f>
        <v/>
      </c>
      <c r="F1365" s="57" t="str">
        <f aca="false">IF($E1365="","",SUMIFS($E$6:$E$2405,$A$6:$A$2405,"&lt;="&amp;$A1365))</f>
        <v/>
      </c>
      <c r="G1365" s="57" t="str">
        <f aca="false">IF($E1365="","",IF($F1365&lt;=BankCostEnvelope*'5. Scenarios'!$B$7,1,0))</f>
        <v/>
      </c>
      <c r="H1365" s="57" t="str">
        <f aca="false">IF($D1365="","",INDEX(BookRate,1360)*(1+'5. Scenarios'!$B$10)*(INDEX(BookQ1,1360)*(5-MIN(4,1+'5. Scenarios'!$B$8))/4+INDEX(BookQ2,1360)*(5-MIN(4,2+'5. Scenarios'!$B$8))/4+INDEX(BookQ3,1360)*(5-MIN(4,3+'5. Scenarios'!$B$8))/4+INDEX(BookQ4,1360)*(5-MIN(4,4+'5. Scenarios'!$B$8))/4)*'5. Scenarios'!$B$6/(1+ProductivityDefault*('5. Scenarios'!$B$11-1))+INDEX(BookOneOff,1360)*$D1365)</f>
        <v/>
      </c>
      <c r="I1365" s="56" t="str">
        <f aca="false">IF(INDEX(BookTitle,1360)="","",INDEX(BookTotal,1360)*'5. Scenarios'!$C$6/(1+ProductivityDefault*('5. Scenarios'!$C$11-1)))</f>
        <v/>
      </c>
      <c r="J1365" s="57" t="str">
        <f aca="false">IF($I1365="","",INDEX(BookRate,1360)*(1+'5. Scenarios'!$C$10)*$I1365)</f>
        <v/>
      </c>
      <c r="K1365" s="57" t="str">
        <f aca="false">IF($J1365="","",SUMIFS($J$6:$J$2405,$A$6:$A$2405,"&lt;="&amp;$A1365))</f>
        <v/>
      </c>
      <c r="L1365" s="57" t="str">
        <f aca="false">IF($J1365="","",IF($K1365&lt;=BankCostEnvelope*'5. Scenarios'!$C$7,1,0))</f>
        <v/>
      </c>
      <c r="M1365" s="57" t="str">
        <f aca="false">IF($I1365="","",INDEX(BookRate,1360)*(1+'5. Scenarios'!$C$10)*(INDEX(BookQ1,1360)*(5-MIN(4,1+'5. Scenarios'!$C$8))/4+INDEX(BookQ2,1360)*(5-MIN(4,2+'5. Scenarios'!$C$8))/4+INDEX(BookQ3,1360)*(5-MIN(4,3+'5. Scenarios'!$C$8))/4+INDEX(BookQ4,1360)*(5-MIN(4,4+'5. Scenarios'!$C$8))/4)*'5. Scenarios'!$C$6/(1+ProductivityDefault*('5. Scenarios'!$C$11-1))+INDEX(BookOneOff,1360)*$I1365)</f>
        <v/>
      </c>
      <c r="N1365" s="56" t="str">
        <f aca="false">IF(INDEX(BookTitle,1360)="","",INDEX(BookTotal,1360)*'5. Scenarios'!$D$6/(1+ProductivityDefault*('5. Scenarios'!$D$11-1)))</f>
        <v/>
      </c>
      <c r="O1365" s="57" t="str">
        <f aca="false">IF($N1365="","",INDEX(BookRate,1360)*(1+'5. Scenarios'!$D$10)*$N1365)</f>
        <v/>
      </c>
      <c r="P1365" s="57" t="str">
        <f aca="false">IF($O1365="","",SUMIFS($O$6:$O$2405,$A$6:$A$2405,"&lt;="&amp;$A1365))</f>
        <v/>
      </c>
      <c r="Q1365" s="57" t="str">
        <f aca="false">IF($O1365="","",IF($P1365&lt;=BankCostEnvelope*'5. Scenarios'!$D$7,1,0))</f>
        <v/>
      </c>
      <c r="R1365" s="57" t="str">
        <f aca="false">IF($N1365="","",INDEX(BookRate,1360)*(1+'5. Scenarios'!$D$10)*(INDEX(BookQ1,1360)*(5-MIN(4,1+'5. Scenarios'!$D$8))/4+INDEX(BookQ2,1360)*(5-MIN(4,2+'5. Scenarios'!$D$8))/4+INDEX(BookQ3,1360)*(5-MIN(4,3+'5. Scenarios'!$D$8))/4+INDEX(BookQ4,1360)*(5-MIN(4,4+'5. Scenarios'!$D$8))/4)*'5. Scenarios'!$D$6/(1+ProductivityDefault*('5. Scenarios'!$D$11-1))+INDEX(BookOneOff,1360)*$N1365)</f>
        <v/>
      </c>
      <c r="S1365" s="56" t="str">
        <f aca="false">IF(INDEX(BookTitle,1360)="","",INDEX(BookTotal,1360)*'5. Scenarios'!$E$6/(1+ProductivityDefault*('5. Scenarios'!$E$11-1)))</f>
        <v/>
      </c>
      <c r="T1365" s="57" t="str">
        <f aca="false">IF($S1365="","",INDEX(BookRate,1360)*(1+'5. Scenarios'!$E$10)*$S1365)</f>
        <v/>
      </c>
      <c r="U1365" s="57" t="str">
        <f aca="false">IF($T1365="","",SUMIFS($T$6:$T$2405,$A$6:$A$2405,"&lt;="&amp;$A1365))</f>
        <v/>
      </c>
      <c r="V1365" s="57" t="str">
        <f aca="false">IF($T1365="","",IF($U1365&lt;=BankCostEnvelope*'5. Scenarios'!$E$7,1,0))</f>
        <v/>
      </c>
      <c r="W1365" s="57" t="str">
        <f aca="false">IF($S1365="","",INDEX(BookRate,1360)*(1+'5. Scenarios'!$E$10)*(INDEX(BookQ1,1360)*(5-MIN(4,1+'5. Scenarios'!$E$8))/4+INDEX(BookQ2,1360)*(5-MIN(4,2+'5. Scenarios'!$E$8))/4+INDEX(BookQ3,1360)*(5-MIN(4,3+'5. Scenarios'!$E$8))/4+INDEX(BookQ4,1360)*(5-MIN(4,4+'5. Scenarios'!$E$8))/4)*'5. Scenarios'!$E$6/(1+ProductivityDefault*('5. Scenarios'!$E$11-1))+INDEX(BookOneOff,1360)*$S1365)</f>
        <v/>
      </c>
    </row>
    <row r="1366" customFormat="false" ht="15" hidden="false" customHeight="false" outlineLevel="0" collapsed="false">
      <c r="A1366" s="0" t="str">
        <f aca="false">IF(INDEX(BookTitle,1361)="","",INDEX(BookKey,1361))</f>
        <v/>
      </c>
      <c r="B1366" s="0" t="str">
        <f aca="false">IF(INDEX(BookTitle,1361)="","",INDEX(BookGroup,1361))</f>
        <v/>
      </c>
      <c r="C1366" s="0" t="str">
        <f aca="false">IF(INDEX(BookTitle,1361)="","",INDEX(BookCategory,1361))</f>
        <v/>
      </c>
      <c r="D1366" s="56" t="str">
        <f aca="false">IF(INDEX(BookTitle,1361)="","",INDEX(BookTotal,1361)*'5. Scenarios'!$B$6/(1+ProductivityDefault*('5. Scenarios'!$B$11-1)))</f>
        <v/>
      </c>
      <c r="E1366" s="57" t="str">
        <f aca="false">IF($D1366="","",INDEX(BookRate,1361)*(1+'5. Scenarios'!$B$10)*$D1366)</f>
        <v/>
      </c>
      <c r="F1366" s="57" t="str">
        <f aca="false">IF($E1366="","",SUMIFS($E$6:$E$2405,$A$6:$A$2405,"&lt;="&amp;$A1366))</f>
        <v/>
      </c>
      <c r="G1366" s="57" t="str">
        <f aca="false">IF($E1366="","",IF($F1366&lt;=BankCostEnvelope*'5. Scenarios'!$B$7,1,0))</f>
        <v/>
      </c>
      <c r="H1366" s="57" t="str">
        <f aca="false">IF($D1366="","",INDEX(BookRate,1361)*(1+'5. Scenarios'!$B$10)*(INDEX(BookQ1,1361)*(5-MIN(4,1+'5. Scenarios'!$B$8))/4+INDEX(BookQ2,1361)*(5-MIN(4,2+'5. Scenarios'!$B$8))/4+INDEX(BookQ3,1361)*(5-MIN(4,3+'5. Scenarios'!$B$8))/4+INDEX(BookQ4,1361)*(5-MIN(4,4+'5. Scenarios'!$B$8))/4)*'5. Scenarios'!$B$6/(1+ProductivityDefault*('5. Scenarios'!$B$11-1))+INDEX(BookOneOff,1361)*$D1366)</f>
        <v/>
      </c>
      <c r="I1366" s="56" t="str">
        <f aca="false">IF(INDEX(BookTitle,1361)="","",INDEX(BookTotal,1361)*'5. Scenarios'!$C$6/(1+ProductivityDefault*('5. Scenarios'!$C$11-1)))</f>
        <v/>
      </c>
      <c r="J1366" s="57" t="str">
        <f aca="false">IF($I1366="","",INDEX(BookRate,1361)*(1+'5. Scenarios'!$C$10)*$I1366)</f>
        <v/>
      </c>
      <c r="K1366" s="57" t="str">
        <f aca="false">IF($J1366="","",SUMIFS($J$6:$J$2405,$A$6:$A$2405,"&lt;="&amp;$A1366))</f>
        <v/>
      </c>
      <c r="L1366" s="57" t="str">
        <f aca="false">IF($J1366="","",IF($K1366&lt;=BankCostEnvelope*'5. Scenarios'!$C$7,1,0))</f>
        <v/>
      </c>
      <c r="M1366" s="57" t="str">
        <f aca="false">IF($I1366="","",INDEX(BookRate,1361)*(1+'5. Scenarios'!$C$10)*(INDEX(BookQ1,1361)*(5-MIN(4,1+'5. Scenarios'!$C$8))/4+INDEX(BookQ2,1361)*(5-MIN(4,2+'5. Scenarios'!$C$8))/4+INDEX(BookQ3,1361)*(5-MIN(4,3+'5. Scenarios'!$C$8))/4+INDEX(BookQ4,1361)*(5-MIN(4,4+'5. Scenarios'!$C$8))/4)*'5. Scenarios'!$C$6/(1+ProductivityDefault*('5. Scenarios'!$C$11-1))+INDEX(BookOneOff,1361)*$I1366)</f>
        <v/>
      </c>
      <c r="N1366" s="56" t="str">
        <f aca="false">IF(INDEX(BookTitle,1361)="","",INDEX(BookTotal,1361)*'5. Scenarios'!$D$6/(1+ProductivityDefault*('5. Scenarios'!$D$11-1)))</f>
        <v/>
      </c>
      <c r="O1366" s="57" t="str">
        <f aca="false">IF($N1366="","",INDEX(BookRate,1361)*(1+'5. Scenarios'!$D$10)*$N1366)</f>
        <v/>
      </c>
      <c r="P1366" s="57" t="str">
        <f aca="false">IF($O1366="","",SUMIFS($O$6:$O$2405,$A$6:$A$2405,"&lt;="&amp;$A1366))</f>
        <v/>
      </c>
      <c r="Q1366" s="57" t="str">
        <f aca="false">IF($O1366="","",IF($P1366&lt;=BankCostEnvelope*'5. Scenarios'!$D$7,1,0))</f>
        <v/>
      </c>
      <c r="R1366" s="57" t="str">
        <f aca="false">IF($N1366="","",INDEX(BookRate,1361)*(1+'5. Scenarios'!$D$10)*(INDEX(BookQ1,1361)*(5-MIN(4,1+'5. Scenarios'!$D$8))/4+INDEX(BookQ2,1361)*(5-MIN(4,2+'5. Scenarios'!$D$8))/4+INDEX(BookQ3,1361)*(5-MIN(4,3+'5. Scenarios'!$D$8))/4+INDEX(BookQ4,1361)*(5-MIN(4,4+'5. Scenarios'!$D$8))/4)*'5. Scenarios'!$D$6/(1+ProductivityDefault*('5. Scenarios'!$D$11-1))+INDEX(BookOneOff,1361)*$N1366)</f>
        <v/>
      </c>
      <c r="S1366" s="56" t="str">
        <f aca="false">IF(INDEX(BookTitle,1361)="","",INDEX(BookTotal,1361)*'5. Scenarios'!$E$6/(1+ProductivityDefault*('5. Scenarios'!$E$11-1)))</f>
        <v/>
      </c>
      <c r="T1366" s="57" t="str">
        <f aca="false">IF($S1366="","",INDEX(BookRate,1361)*(1+'5. Scenarios'!$E$10)*$S1366)</f>
        <v/>
      </c>
      <c r="U1366" s="57" t="str">
        <f aca="false">IF($T1366="","",SUMIFS($T$6:$T$2405,$A$6:$A$2405,"&lt;="&amp;$A1366))</f>
        <v/>
      </c>
      <c r="V1366" s="57" t="str">
        <f aca="false">IF($T1366="","",IF($U1366&lt;=BankCostEnvelope*'5. Scenarios'!$E$7,1,0))</f>
        <v/>
      </c>
      <c r="W1366" s="57" t="str">
        <f aca="false">IF($S1366="","",INDEX(BookRate,1361)*(1+'5. Scenarios'!$E$10)*(INDEX(BookQ1,1361)*(5-MIN(4,1+'5. Scenarios'!$E$8))/4+INDEX(BookQ2,1361)*(5-MIN(4,2+'5. Scenarios'!$E$8))/4+INDEX(BookQ3,1361)*(5-MIN(4,3+'5. Scenarios'!$E$8))/4+INDEX(BookQ4,1361)*(5-MIN(4,4+'5. Scenarios'!$E$8))/4)*'5. Scenarios'!$E$6/(1+ProductivityDefault*('5. Scenarios'!$E$11-1))+INDEX(BookOneOff,1361)*$S1366)</f>
        <v/>
      </c>
    </row>
    <row r="1367" customFormat="false" ht="15" hidden="false" customHeight="false" outlineLevel="0" collapsed="false">
      <c r="A1367" s="0" t="str">
        <f aca="false">IF(INDEX(BookTitle,1362)="","",INDEX(BookKey,1362))</f>
        <v/>
      </c>
      <c r="B1367" s="0" t="str">
        <f aca="false">IF(INDEX(BookTitle,1362)="","",INDEX(BookGroup,1362))</f>
        <v/>
      </c>
      <c r="C1367" s="0" t="str">
        <f aca="false">IF(INDEX(BookTitle,1362)="","",INDEX(BookCategory,1362))</f>
        <v/>
      </c>
      <c r="D1367" s="56" t="str">
        <f aca="false">IF(INDEX(BookTitle,1362)="","",INDEX(BookTotal,1362)*'5. Scenarios'!$B$6/(1+ProductivityDefault*('5. Scenarios'!$B$11-1)))</f>
        <v/>
      </c>
      <c r="E1367" s="57" t="str">
        <f aca="false">IF($D1367="","",INDEX(BookRate,1362)*(1+'5. Scenarios'!$B$10)*$D1367)</f>
        <v/>
      </c>
      <c r="F1367" s="57" t="str">
        <f aca="false">IF($E1367="","",SUMIFS($E$6:$E$2405,$A$6:$A$2405,"&lt;="&amp;$A1367))</f>
        <v/>
      </c>
      <c r="G1367" s="57" t="str">
        <f aca="false">IF($E1367="","",IF($F1367&lt;=BankCostEnvelope*'5. Scenarios'!$B$7,1,0))</f>
        <v/>
      </c>
      <c r="H1367" s="57" t="str">
        <f aca="false">IF($D1367="","",INDEX(BookRate,1362)*(1+'5. Scenarios'!$B$10)*(INDEX(BookQ1,1362)*(5-MIN(4,1+'5. Scenarios'!$B$8))/4+INDEX(BookQ2,1362)*(5-MIN(4,2+'5. Scenarios'!$B$8))/4+INDEX(BookQ3,1362)*(5-MIN(4,3+'5. Scenarios'!$B$8))/4+INDEX(BookQ4,1362)*(5-MIN(4,4+'5. Scenarios'!$B$8))/4)*'5. Scenarios'!$B$6/(1+ProductivityDefault*('5. Scenarios'!$B$11-1))+INDEX(BookOneOff,1362)*$D1367)</f>
        <v/>
      </c>
      <c r="I1367" s="56" t="str">
        <f aca="false">IF(INDEX(BookTitle,1362)="","",INDEX(BookTotal,1362)*'5. Scenarios'!$C$6/(1+ProductivityDefault*('5. Scenarios'!$C$11-1)))</f>
        <v/>
      </c>
      <c r="J1367" s="57" t="str">
        <f aca="false">IF($I1367="","",INDEX(BookRate,1362)*(1+'5. Scenarios'!$C$10)*$I1367)</f>
        <v/>
      </c>
      <c r="K1367" s="57" t="str">
        <f aca="false">IF($J1367="","",SUMIFS($J$6:$J$2405,$A$6:$A$2405,"&lt;="&amp;$A1367))</f>
        <v/>
      </c>
      <c r="L1367" s="57" t="str">
        <f aca="false">IF($J1367="","",IF($K1367&lt;=BankCostEnvelope*'5. Scenarios'!$C$7,1,0))</f>
        <v/>
      </c>
      <c r="M1367" s="57" t="str">
        <f aca="false">IF($I1367="","",INDEX(BookRate,1362)*(1+'5. Scenarios'!$C$10)*(INDEX(BookQ1,1362)*(5-MIN(4,1+'5. Scenarios'!$C$8))/4+INDEX(BookQ2,1362)*(5-MIN(4,2+'5. Scenarios'!$C$8))/4+INDEX(BookQ3,1362)*(5-MIN(4,3+'5. Scenarios'!$C$8))/4+INDEX(BookQ4,1362)*(5-MIN(4,4+'5. Scenarios'!$C$8))/4)*'5. Scenarios'!$C$6/(1+ProductivityDefault*('5. Scenarios'!$C$11-1))+INDEX(BookOneOff,1362)*$I1367)</f>
        <v/>
      </c>
      <c r="N1367" s="56" t="str">
        <f aca="false">IF(INDEX(BookTitle,1362)="","",INDEX(BookTotal,1362)*'5. Scenarios'!$D$6/(1+ProductivityDefault*('5. Scenarios'!$D$11-1)))</f>
        <v/>
      </c>
      <c r="O1367" s="57" t="str">
        <f aca="false">IF($N1367="","",INDEX(BookRate,1362)*(1+'5. Scenarios'!$D$10)*$N1367)</f>
        <v/>
      </c>
      <c r="P1367" s="57" t="str">
        <f aca="false">IF($O1367="","",SUMIFS($O$6:$O$2405,$A$6:$A$2405,"&lt;="&amp;$A1367))</f>
        <v/>
      </c>
      <c r="Q1367" s="57" t="str">
        <f aca="false">IF($O1367="","",IF($P1367&lt;=BankCostEnvelope*'5. Scenarios'!$D$7,1,0))</f>
        <v/>
      </c>
      <c r="R1367" s="57" t="str">
        <f aca="false">IF($N1367="","",INDEX(BookRate,1362)*(1+'5. Scenarios'!$D$10)*(INDEX(BookQ1,1362)*(5-MIN(4,1+'5. Scenarios'!$D$8))/4+INDEX(BookQ2,1362)*(5-MIN(4,2+'5. Scenarios'!$D$8))/4+INDEX(BookQ3,1362)*(5-MIN(4,3+'5. Scenarios'!$D$8))/4+INDEX(BookQ4,1362)*(5-MIN(4,4+'5. Scenarios'!$D$8))/4)*'5. Scenarios'!$D$6/(1+ProductivityDefault*('5. Scenarios'!$D$11-1))+INDEX(BookOneOff,1362)*$N1367)</f>
        <v/>
      </c>
      <c r="S1367" s="56" t="str">
        <f aca="false">IF(INDEX(BookTitle,1362)="","",INDEX(BookTotal,1362)*'5. Scenarios'!$E$6/(1+ProductivityDefault*('5. Scenarios'!$E$11-1)))</f>
        <v/>
      </c>
      <c r="T1367" s="57" t="str">
        <f aca="false">IF($S1367="","",INDEX(BookRate,1362)*(1+'5. Scenarios'!$E$10)*$S1367)</f>
        <v/>
      </c>
      <c r="U1367" s="57" t="str">
        <f aca="false">IF($T1367="","",SUMIFS($T$6:$T$2405,$A$6:$A$2405,"&lt;="&amp;$A1367))</f>
        <v/>
      </c>
      <c r="V1367" s="57" t="str">
        <f aca="false">IF($T1367="","",IF($U1367&lt;=BankCostEnvelope*'5. Scenarios'!$E$7,1,0))</f>
        <v/>
      </c>
      <c r="W1367" s="57" t="str">
        <f aca="false">IF($S1367="","",INDEX(BookRate,1362)*(1+'5. Scenarios'!$E$10)*(INDEX(BookQ1,1362)*(5-MIN(4,1+'5. Scenarios'!$E$8))/4+INDEX(BookQ2,1362)*(5-MIN(4,2+'5. Scenarios'!$E$8))/4+INDEX(BookQ3,1362)*(5-MIN(4,3+'5. Scenarios'!$E$8))/4+INDEX(BookQ4,1362)*(5-MIN(4,4+'5. Scenarios'!$E$8))/4)*'5. Scenarios'!$E$6/(1+ProductivityDefault*('5. Scenarios'!$E$11-1))+INDEX(BookOneOff,1362)*$S1367)</f>
        <v/>
      </c>
    </row>
    <row r="1368" customFormat="false" ht="15" hidden="false" customHeight="false" outlineLevel="0" collapsed="false">
      <c r="A1368" s="0" t="str">
        <f aca="false">IF(INDEX(BookTitle,1363)="","",INDEX(BookKey,1363))</f>
        <v/>
      </c>
      <c r="B1368" s="0" t="str">
        <f aca="false">IF(INDEX(BookTitle,1363)="","",INDEX(BookGroup,1363))</f>
        <v/>
      </c>
      <c r="C1368" s="0" t="str">
        <f aca="false">IF(INDEX(BookTitle,1363)="","",INDEX(BookCategory,1363))</f>
        <v/>
      </c>
      <c r="D1368" s="56" t="str">
        <f aca="false">IF(INDEX(BookTitle,1363)="","",INDEX(BookTotal,1363)*'5. Scenarios'!$B$6/(1+ProductivityDefault*('5. Scenarios'!$B$11-1)))</f>
        <v/>
      </c>
      <c r="E1368" s="57" t="str">
        <f aca="false">IF($D1368="","",INDEX(BookRate,1363)*(1+'5. Scenarios'!$B$10)*$D1368)</f>
        <v/>
      </c>
      <c r="F1368" s="57" t="str">
        <f aca="false">IF($E1368="","",SUMIFS($E$6:$E$2405,$A$6:$A$2405,"&lt;="&amp;$A1368))</f>
        <v/>
      </c>
      <c r="G1368" s="57" t="str">
        <f aca="false">IF($E1368="","",IF($F1368&lt;=BankCostEnvelope*'5. Scenarios'!$B$7,1,0))</f>
        <v/>
      </c>
      <c r="H1368" s="57" t="str">
        <f aca="false">IF($D1368="","",INDEX(BookRate,1363)*(1+'5. Scenarios'!$B$10)*(INDEX(BookQ1,1363)*(5-MIN(4,1+'5. Scenarios'!$B$8))/4+INDEX(BookQ2,1363)*(5-MIN(4,2+'5. Scenarios'!$B$8))/4+INDEX(BookQ3,1363)*(5-MIN(4,3+'5. Scenarios'!$B$8))/4+INDEX(BookQ4,1363)*(5-MIN(4,4+'5. Scenarios'!$B$8))/4)*'5. Scenarios'!$B$6/(1+ProductivityDefault*('5. Scenarios'!$B$11-1))+INDEX(BookOneOff,1363)*$D1368)</f>
        <v/>
      </c>
      <c r="I1368" s="56" t="str">
        <f aca="false">IF(INDEX(BookTitle,1363)="","",INDEX(BookTotal,1363)*'5. Scenarios'!$C$6/(1+ProductivityDefault*('5. Scenarios'!$C$11-1)))</f>
        <v/>
      </c>
      <c r="J1368" s="57" t="str">
        <f aca="false">IF($I1368="","",INDEX(BookRate,1363)*(1+'5. Scenarios'!$C$10)*$I1368)</f>
        <v/>
      </c>
      <c r="K1368" s="57" t="str">
        <f aca="false">IF($J1368="","",SUMIFS($J$6:$J$2405,$A$6:$A$2405,"&lt;="&amp;$A1368))</f>
        <v/>
      </c>
      <c r="L1368" s="57" t="str">
        <f aca="false">IF($J1368="","",IF($K1368&lt;=BankCostEnvelope*'5. Scenarios'!$C$7,1,0))</f>
        <v/>
      </c>
      <c r="M1368" s="57" t="str">
        <f aca="false">IF($I1368="","",INDEX(BookRate,1363)*(1+'5. Scenarios'!$C$10)*(INDEX(BookQ1,1363)*(5-MIN(4,1+'5. Scenarios'!$C$8))/4+INDEX(BookQ2,1363)*(5-MIN(4,2+'5. Scenarios'!$C$8))/4+INDEX(BookQ3,1363)*(5-MIN(4,3+'5. Scenarios'!$C$8))/4+INDEX(BookQ4,1363)*(5-MIN(4,4+'5. Scenarios'!$C$8))/4)*'5. Scenarios'!$C$6/(1+ProductivityDefault*('5. Scenarios'!$C$11-1))+INDEX(BookOneOff,1363)*$I1368)</f>
        <v/>
      </c>
      <c r="N1368" s="56" t="str">
        <f aca="false">IF(INDEX(BookTitle,1363)="","",INDEX(BookTotal,1363)*'5. Scenarios'!$D$6/(1+ProductivityDefault*('5. Scenarios'!$D$11-1)))</f>
        <v/>
      </c>
      <c r="O1368" s="57" t="str">
        <f aca="false">IF($N1368="","",INDEX(BookRate,1363)*(1+'5. Scenarios'!$D$10)*$N1368)</f>
        <v/>
      </c>
      <c r="P1368" s="57" t="str">
        <f aca="false">IF($O1368="","",SUMIFS($O$6:$O$2405,$A$6:$A$2405,"&lt;="&amp;$A1368))</f>
        <v/>
      </c>
      <c r="Q1368" s="57" t="str">
        <f aca="false">IF($O1368="","",IF($P1368&lt;=BankCostEnvelope*'5. Scenarios'!$D$7,1,0))</f>
        <v/>
      </c>
      <c r="R1368" s="57" t="str">
        <f aca="false">IF($N1368="","",INDEX(BookRate,1363)*(1+'5. Scenarios'!$D$10)*(INDEX(BookQ1,1363)*(5-MIN(4,1+'5. Scenarios'!$D$8))/4+INDEX(BookQ2,1363)*(5-MIN(4,2+'5. Scenarios'!$D$8))/4+INDEX(BookQ3,1363)*(5-MIN(4,3+'5. Scenarios'!$D$8))/4+INDEX(BookQ4,1363)*(5-MIN(4,4+'5. Scenarios'!$D$8))/4)*'5. Scenarios'!$D$6/(1+ProductivityDefault*('5. Scenarios'!$D$11-1))+INDEX(BookOneOff,1363)*$N1368)</f>
        <v/>
      </c>
      <c r="S1368" s="56" t="str">
        <f aca="false">IF(INDEX(BookTitle,1363)="","",INDEX(BookTotal,1363)*'5. Scenarios'!$E$6/(1+ProductivityDefault*('5. Scenarios'!$E$11-1)))</f>
        <v/>
      </c>
      <c r="T1368" s="57" t="str">
        <f aca="false">IF($S1368="","",INDEX(BookRate,1363)*(1+'5. Scenarios'!$E$10)*$S1368)</f>
        <v/>
      </c>
      <c r="U1368" s="57" t="str">
        <f aca="false">IF($T1368="","",SUMIFS($T$6:$T$2405,$A$6:$A$2405,"&lt;="&amp;$A1368))</f>
        <v/>
      </c>
      <c r="V1368" s="57" t="str">
        <f aca="false">IF($T1368="","",IF($U1368&lt;=BankCostEnvelope*'5. Scenarios'!$E$7,1,0))</f>
        <v/>
      </c>
      <c r="W1368" s="57" t="str">
        <f aca="false">IF($S1368="","",INDEX(BookRate,1363)*(1+'5. Scenarios'!$E$10)*(INDEX(BookQ1,1363)*(5-MIN(4,1+'5. Scenarios'!$E$8))/4+INDEX(BookQ2,1363)*(5-MIN(4,2+'5. Scenarios'!$E$8))/4+INDEX(BookQ3,1363)*(5-MIN(4,3+'5. Scenarios'!$E$8))/4+INDEX(BookQ4,1363)*(5-MIN(4,4+'5. Scenarios'!$E$8))/4)*'5. Scenarios'!$E$6/(1+ProductivityDefault*('5. Scenarios'!$E$11-1))+INDEX(BookOneOff,1363)*$S1368)</f>
        <v/>
      </c>
    </row>
    <row r="1369" customFormat="false" ht="15" hidden="false" customHeight="false" outlineLevel="0" collapsed="false">
      <c r="A1369" s="0" t="str">
        <f aca="false">IF(INDEX(BookTitle,1364)="","",INDEX(BookKey,1364))</f>
        <v/>
      </c>
      <c r="B1369" s="0" t="str">
        <f aca="false">IF(INDEX(BookTitle,1364)="","",INDEX(BookGroup,1364))</f>
        <v/>
      </c>
      <c r="C1369" s="0" t="str">
        <f aca="false">IF(INDEX(BookTitle,1364)="","",INDEX(BookCategory,1364))</f>
        <v/>
      </c>
      <c r="D1369" s="56" t="str">
        <f aca="false">IF(INDEX(BookTitle,1364)="","",INDEX(BookTotal,1364)*'5. Scenarios'!$B$6/(1+ProductivityDefault*('5. Scenarios'!$B$11-1)))</f>
        <v/>
      </c>
      <c r="E1369" s="57" t="str">
        <f aca="false">IF($D1369="","",INDEX(BookRate,1364)*(1+'5. Scenarios'!$B$10)*$D1369)</f>
        <v/>
      </c>
      <c r="F1369" s="57" t="str">
        <f aca="false">IF($E1369="","",SUMIFS($E$6:$E$2405,$A$6:$A$2405,"&lt;="&amp;$A1369))</f>
        <v/>
      </c>
      <c r="G1369" s="57" t="str">
        <f aca="false">IF($E1369="","",IF($F1369&lt;=BankCostEnvelope*'5. Scenarios'!$B$7,1,0))</f>
        <v/>
      </c>
      <c r="H1369" s="57" t="str">
        <f aca="false">IF($D1369="","",INDEX(BookRate,1364)*(1+'5. Scenarios'!$B$10)*(INDEX(BookQ1,1364)*(5-MIN(4,1+'5. Scenarios'!$B$8))/4+INDEX(BookQ2,1364)*(5-MIN(4,2+'5. Scenarios'!$B$8))/4+INDEX(BookQ3,1364)*(5-MIN(4,3+'5. Scenarios'!$B$8))/4+INDEX(BookQ4,1364)*(5-MIN(4,4+'5. Scenarios'!$B$8))/4)*'5. Scenarios'!$B$6/(1+ProductivityDefault*('5. Scenarios'!$B$11-1))+INDEX(BookOneOff,1364)*$D1369)</f>
        <v/>
      </c>
      <c r="I1369" s="56" t="str">
        <f aca="false">IF(INDEX(BookTitle,1364)="","",INDEX(BookTotal,1364)*'5. Scenarios'!$C$6/(1+ProductivityDefault*('5. Scenarios'!$C$11-1)))</f>
        <v/>
      </c>
      <c r="J1369" s="57" t="str">
        <f aca="false">IF($I1369="","",INDEX(BookRate,1364)*(1+'5. Scenarios'!$C$10)*$I1369)</f>
        <v/>
      </c>
      <c r="K1369" s="57" t="str">
        <f aca="false">IF($J1369="","",SUMIFS($J$6:$J$2405,$A$6:$A$2405,"&lt;="&amp;$A1369))</f>
        <v/>
      </c>
      <c r="L1369" s="57" t="str">
        <f aca="false">IF($J1369="","",IF($K1369&lt;=BankCostEnvelope*'5. Scenarios'!$C$7,1,0))</f>
        <v/>
      </c>
      <c r="M1369" s="57" t="str">
        <f aca="false">IF($I1369="","",INDEX(BookRate,1364)*(1+'5. Scenarios'!$C$10)*(INDEX(BookQ1,1364)*(5-MIN(4,1+'5. Scenarios'!$C$8))/4+INDEX(BookQ2,1364)*(5-MIN(4,2+'5. Scenarios'!$C$8))/4+INDEX(BookQ3,1364)*(5-MIN(4,3+'5. Scenarios'!$C$8))/4+INDEX(BookQ4,1364)*(5-MIN(4,4+'5. Scenarios'!$C$8))/4)*'5. Scenarios'!$C$6/(1+ProductivityDefault*('5. Scenarios'!$C$11-1))+INDEX(BookOneOff,1364)*$I1369)</f>
        <v/>
      </c>
      <c r="N1369" s="56" t="str">
        <f aca="false">IF(INDEX(BookTitle,1364)="","",INDEX(BookTotal,1364)*'5. Scenarios'!$D$6/(1+ProductivityDefault*('5. Scenarios'!$D$11-1)))</f>
        <v/>
      </c>
      <c r="O1369" s="57" t="str">
        <f aca="false">IF($N1369="","",INDEX(BookRate,1364)*(1+'5. Scenarios'!$D$10)*$N1369)</f>
        <v/>
      </c>
      <c r="P1369" s="57" t="str">
        <f aca="false">IF($O1369="","",SUMIFS($O$6:$O$2405,$A$6:$A$2405,"&lt;="&amp;$A1369))</f>
        <v/>
      </c>
      <c r="Q1369" s="57" t="str">
        <f aca="false">IF($O1369="","",IF($P1369&lt;=BankCostEnvelope*'5. Scenarios'!$D$7,1,0))</f>
        <v/>
      </c>
      <c r="R1369" s="57" t="str">
        <f aca="false">IF($N1369="","",INDEX(BookRate,1364)*(1+'5. Scenarios'!$D$10)*(INDEX(BookQ1,1364)*(5-MIN(4,1+'5. Scenarios'!$D$8))/4+INDEX(BookQ2,1364)*(5-MIN(4,2+'5. Scenarios'!$D$8))/4+INDEX(BookQ3,1364)*(5-MIN(4,3+'5. Scenarios'!$D$8))/4+INDEX(BookQ4,1364)*(5-MIN(4,4+'5. Scenarios'!$D$8))/4)*'5. Scenarios'!$D$6/(1+ProductivityDefault*('5. Scenarios'!$D$11-1))+INDEX(BookOneOff,1364)*$N1369)</f>
        <v/>
      </c>
      <c r="S1369" s="56" t="str">
        <f aca="false">IF(INDEX(BookTitle,1364)="","",INDEX(BookTotal,1364)*'5. Scenarios'!$E$6/(1+ProductivityDefault*('5. Scenarios'!$E$11-1)))</f>
        <v/>
      </c>
      <c r="T1369" s="57" t="str">
        <f aca="false">IF($S1369="","",INDEX(BookRate,1364)*(1+'5. Scenarios'!$E$10)*$S1369)</f>
        <v/>
      </c>
      <c r="U1369" s="57" t="str">
        <f aca="false">IF($T1369="","",SUMIFS($T$6:$T$2405,$A$6:$A$2405,"&lt;="&amp;$A1369))</f>
        <v/>
      </c>
      <c r="V1369" s="57" t="str">
        <f aca="false">IF($T1369="","",IF($U1369&lt;=BankCostEnvelope*'5. Scenarios'!$E$7,1,0))</f>
        <v/>
      </c>
      <c r="W1369" s="57" t="str">
        <f aca="false">IF($S1369="","",INDEX(BookRate,1364)*(1+'5. Scenarios'!$E$10)*(INDEX(BookQ1,1364)*(5-MIN(4,1+'5. Scenarios'!$E$8))/4+INDEX(BookQ2,1364)*(5-MIN(4,2+'5. Scenarios'!$E$8))/4+INDEX(BookQ3,1364)*(5-MIN(4,3+'5. Scenarios'!$E$8))/4+INDEX(BookQ4,1364)*(5-MIN(4,4+'5. Scenarios'!$E$8))/4)*'5. Scenarios'!$E$6/(1+ProductivityDefault*('5. Scenarios'!$E$11-1))+INDEX(BookOneOff,1364)*$S1369)</f>
        <v/>
      </c>
    </row>
    <row r="1370" customFormat="false" ht="15" hidden="false" customHeight="false" outlineLevel="0" collapsed="false">
      <c r="A1370" s="0" t="str">
        <f aca="false">IF(INDEX(BookTitle,1365)="","",INDEX(BookKey,1365))</f>
        <v/>
      </c>
      <c r="B1370" s="0" t="str">
        <f aca="false">IF(INDEX(BookTitle,1365)="","",INDEX(BookGroup,1365))</f>
        <v/>
      </c>
      <c r="C1370" s="0" t="str">
        <f aca="false">IF(INDEX(BookTitle,1365)="","",INDEX(BookCategory,1365))</f>
        <v/>
      </c>
      <c r="D1370" s="56" t="str">
        <f aca="false">IF(INDEX(BookTitle,1365)="","",INDEX(BookTotal,1365)*'5. Scenarios'!$B$6/(1+ProductivityDefault*('5. Scenarios'!$B$11-1)))</f>
        <v/>
      </c>
      <c r="E1370" s="57" t="str">
        <f aca="false">IF($D1370="","",INDEX(BookRate,1365)*(1+'5. Scenarios'!$B$10)*$D1370)</f>
        <v/>
      </c>
      <c r="F1370" s="57" t="str">
        <f aca="false">IF($E1370="","",SUMIFS($E$6:$E$2405,$A$6:$A$2405,"&lt;="&amp;$A1370))</f>
        <v/>
      </c>
      <c r="G1370" s="57" t="str">
        <f aca="false">IF($E1370="","",IF($F1370&lt;=BankCostEnvelope*'5. Scenarios'!$B$7,1,0))</f>
        <v/>
      </c>
      <c r="H1370" s="57" t="str">
        <f aca="false">IF($D1370="","",INDEX(BookRate,1365)*(1+'5. Scenarios'!$B$10)*(INDEX(BookQ1,1365)*(5-MIN(4,1+'5. Scenarios'!$B$8))/4+INDEX(BookQ2,1365)*(5-MIN(4,2+'5. Scenarios'!$B$8))/4+INDEX(BookQ3,1365)*(5-MIN(4,3+'5. Scenarios'!$B$8))/4+INDEX(BookQ4,1365)*(5-MIN(4,4+'5. Scenarios'!$B$8))/4)*'5. Scenarios'!$B$6/(1+ProductivityDefault*('5. Scenarios'!$B$11-1))+INDEX(BookOneOff,1365)*$D1370)</f>
        <v/>
      </c>
      <c r="I1370" s="56" t="str">
        <f aca="false">IF(INDEX(BookTitle,1365)="","",INDEX(BookTotal,1365)*'5. Scenarios'!$C$6/(1+ProductivityDefault*('5. Scenarios'!$C$11-1)))</f>
        <v/>
      </c>
      <c r="J1370" s="57" t="str">
        <f aca="false">IF($I1370="","",INDEX(BookRate,1365)*(1+'5. Scenarios'!$C$10)*$I1370)</f>
        <v/>
      </c>
      <c r="K1370" s="57" t="str">
        <f aca="false">IF($J1370="","",SUMIFS($J$6:$J$2405,$A$6:$A$2405,"&lt;="&amp;$A1370))</f>
        <v/>
      </c>
      <c r="L1370" s="57" t="str">
        <f aca="false">IF($J1370="","",IF($K1370&lt;=BankCostEnvelope*'5. Scenarios'!$C$7,1,0))</f>
        <v/>
      </c>
      <c r="M1370" s="57" t="str">
        <f aca="false">IF($I1370="","",INDEX(BookRate,1365)*(1+'5. Scenarios'!$C$10)*(INDEX(BookQ1,1365)*(5-MIN(4,1+'5. Scenarios'!$C$8))/4+INDEX(BookQ2,1365)*(5-MIN(4,2+'5. Scenarios'!$C$8))/4+INDEX(BookQ3,1365)*(5-MIN(4,3+'5. Scenarios'!$C$8))/4+INDEX(BookQ4,1365)*(5-MIN(4,4+'5. Scenarios'!$C$8))/4)*'5. Scenarios'!$C$6/(1+ProductivityDefault*('5. Scenarios'!$C$11-1))+INDEX(BookOneOff,1365)*$I1370)</f>
        <v/>
      </c>
      <c r="N1370" s="56" t="str">
        <f aca="false">IF(INDEX(BookTitle,1365)="","",INDEX(BookTotal,1365)*'5. Scenarios'!$D$6/(1+ProductivityDefault*('5. Scenarios'!$D$11-1)))</f>
        <v/>
      </c>
      <c r="O1370" s="57" t="str">
        <f aca="false">IF($N1370="","",INDEX(BookRate,1365)*(1+'5. Scenarios'!$D$10)*$N1370)</f>
        <v/>
      </c>
      <c r="P1370" s="57" t="str">
        <f aca="false">IF($O1370="","",SUMIFS($O$6:$O$2405,$A$6:$A$2405,"&lt;="&amp;$A1370))</f>
        <v/>
      </c>
      <c r="Q1370" s="57" t="str">
        <f aca="false">IF($O1370="","",IF($P1370&lt;=BankCostEnvelope*'5. Scenarios'!$D$7,1,0))</f>
        <v/>
      </c>
      <c r="R1370" s="57" t="str">
        <f aca="false">IF($N1370="","",INDEX(BookRate,1365)*(1+'5. Scenarios'!$D$10)*(INDEX(BookQ1,1365)*(5-MIN(4,1+'5. Scenarios'!$D$8))/4+INDEX(BookQ2,1365)*(5-MIN(4,2+'5. Scenarios'!$D$8))/4+INDEX(BookQ3,1365)*(5-MIN(4,3+'5. Scenarios'!$D$8))/4+INDEX(BookQ4,1365)*(5-MIN(4,4+'5. Scenarios'!$D$8))/4)*'5. Scenarios'!$D$6/(1+ProductivityDefault*('5. Scenarios'!$D$11-1))+INDEX(BookOneOff,1365)*$N1370)</f>
        <v/>
      </c>
      <c r="S1370" s="56" t="str">
        <f aca="false">IF(INDEX(BookTitle,1365)="","",INDEX(BookTotal,1365)*'5. Scenarios'!$E$6/(1+ProductivityDefault*('5. Scenarios'!$E$11-1)))</f>
        <v/>
      </c>
      <c r="T1370" s="57" t="str">
        <f aca="false">IF($S1370="","",INDEX(BookRate,1365)*(1+'5. Scenarios'!$E$10)*$S1370)</f>
        <v/>
      </c>
      <c r="U1370" s="57" t="str">
        <f aca="false">IF($T1370="","",SUMIFS($T$6:$T$2405,$A$6:$A$2405,"&lt;="&amp;$A1370))</f>
        <v/>
      </c>
      <c r="V1370" s="57" t="str">
        <f aca="false">IF($T1370="","",IF($U1370&lt;=BankCostEnvelope*'5. Scenarios'!$E$7,1,0))</f>
        <v/>
      </c>
      <c r="W1370" s="57" t="str">
        <f aca="false">IF($S1370="","",INDEX(BookRate,1365)*(1+'5. Scenarios'!$E$10)*(INDEX(BookQ1,1365)*(5-MIN(4,1+'5. Scenarios'!$E$8))/4+INDEX(BookQ2,1365)*(5-MIN(4,2+'5. Scenarios'!$E$8))/4+INDEX(BookQ3,1365)*(5-MIN(4,3+'5. Scenarios'!$E$8))/4+INDEX(BookQ4,1365)*(5-MIN(4,4+'5. Scenarios'!$E$8))/4)*'5. Scenarios'!$E$6/(1+ProductivityDefault*('5. Scenarios'!$E$11-1))+INDEX(BookOneOff,1365)*$S1370)</f>
        <v/>
      </c>
    </row>
    <row r="1371" customFormat="false" ht="15" hidden="false" customHeight="false" outlineLevel="0" collapsed="false">
      <c r="A1371" s="0" t="str">
        <f aca="false">IF(INDEX(BookTitle,1366)="","",INDEX(BookKey,1366))</f>
        <v/>
      </c>
      <c r="B1371" s="0" t="str">
        <f aca="false">IF(INDEX(BookTitle,1366)="","",INDEX(BookGroup,1366))</f>
        <v/>
      </c>
      <c r="C1371" s="0" t="str">
        <f aca="false">IF(INDEX(BookTitle,1366)="","",INDEX(BookCategory,1366))</f>
        <v/>
      </c>
      <c r="D1371" s="56" t="str">
        <f aca="false">IF(INDEX(BookTitle,1366)="","",INDEX(BookTotal,1366)*'5. Scenarios'!$B$6/(1+ProductivityDefault*('5. Scenarios'!$B$11-1)))</f>
        <v/>
      </c>
      <c r="E1371" s="57" t="str">
        <f aca="false">IF($D1371="","",INDEX(BookRate,1366)*(1+'5. Scenarios'!$B$10)*$D1371)</f>
        <v/>
      </c>
      <c r="F1371" s="57" t="str">
        <f aca="false">IF($E1371="","",SUMIFS($E$6:$E$2405,$A$6:$A$2405,"&lt;="&amp;$A1371))</f>
        <v/>
      </c>
      <c r="G1371" s="57" t="str">
        <f aca="false">IF($E1371="","",IF($F1371&lt;=BankCostEnvelope*'5. Scenarios'!$B$7,1,0))</f>
        <v/>
      </c>
      <c r="H1371" s="57" t="str">
        <f aca="false">IF($D1371="","",INDEX(BookRate,1366)*(1+'5. Scenarios'!$B$10)*(INDEX(BookQ1,1366)*(5-MIN(4,1+'5. Scenarios'!$B$8))/4+INDEX(BookQ2,1366)*(5-MIN(4,2+'5. Scenarios'!$B$8))/4+INDEX(BookQ3,1366)*(5-MIN(4,3+'5. Scenarios'!$B$8))/4+INDEX(BookQ4,1366)*(5-MIN(4,4+'5. Scenarios'!$B$8))/4)*'5. Scenarios'!$B$6/(1+ProductivityDefault*('5. Scenarios'!$B$11-1))+INDEX(BookOneOff,1366)*$D1371)</f>
        <v/>
      </c>
      <c r="I1371" s="56" t="str">
        <f aca="false">IF(INDEX(BookTitle,1366)="","",INDEX(BookTotal,1366)*'5. Scenarios'!$C$6/(1+ProductivityDefault*('5. Scenarios'!$C$11-1)))</f>
        <v/>
      </c>
      <c r="J1371" s="57" t="str">
        <f aca="false">IF($I1371="","",INDEX(BookRate,1366)*(1+'5. Scenarios'!$C$10)*$I1371)</f>
        <v/>
      </c>
      <c r="K1371" s="57" t="str">
        <f aca="false">IF($J1371="","",SUMIFS($J$6:$J$2405,$A$6:$A$2405,"&lt;="&amp;$A1371))</f>
        <v/>
      </c>
      <c r="L1371" s="57" t="str">
        <f aca="false">IF($J1371="","",IF($K1371&lt;=BankCostEnvelope*'5. Scenarios'!$C$7,1,0))</f>
        <v/>
      </c>
      <c r="M1371" s="57" t="str">
        <f aca="false">IF($I1371="","",INDEX(BookRate,1366)*(1+'5. Scenarios'!$C$10)*(INDEX(BookQ1,1366)*(5-MIN(4,1+'5. Scenarios'!$C$8))/4+INDEX(BookQ2,1366)*(5-MIN(4,2+'5. Scenarios'!$C$8))/4+INDEX(BookQ3,1366)*(5-MIN(4,3+'5. Scenarios'!$C$8))/4+INDEX(BookQ4,1366)*(5-MIN(4,4+'5. Scenarios'!$C$8))/4)*'5. Scenarios'!$C$6/(1+ProductivityDefault*('5. Scenarios'!$C$11-1))+INDEX(BookOneOff,1366)*$I1371)</f>
        <v/>
      </c>
      <c r="N1371" s="56" t="str">
        <f aca="false">IF(INDEX(BookTitle,1366)="","",INDEX(BookTotal,1366)*'5. Scenarios'!$D$6/(1+ProductivityDefault*('5. Scenarios'!$D$11-1)))</f>
        <v/>
      </c>
      <c r="O1371" s="57" t="str">
        <f aca="false">IF($N1371="","",INDEX(BookRate,1366)*(1+'5. Scenarios'!$D$10)*$N1371)</f>
        <v/>
      </c>
      <c r="P1371" s="57" t="str">
        <f aca="false">IF($O1371="","",SUMIFS($O$6:$O$2405,$A$6:$A$2405,"&lt;="&amp;$A1371))</f>
        <v/>
      </c>
      <c r="Q1371" s="57" t="str">
        <f aca="false">IF($O1371="","",IF($P1371&lt;=BankCostEnvelope*'5. Scenarios'!$D$7,1,0))</f>
        <v/>
      </c>
      <c r="R1371" s="57" t="str">
        <f aca="false">IF($N1371="","",INDEX(BookRate,1366)*(1+'5. Scenarios'!$D$10)*(INDEX(BookQ1,1366)*(5-MIN(4,1+'5. Scenarios'!$D$8))/4+INDEX(BookQ2,1366)*(5-MIN(4,2+'5. Scenarios'!$D$8))/4+INDEX(BookQ3,1366)*(5-MIN(4,3+'5. Scenarios'!$D$8))/4+INDEX(BookQ4,1366)*(5-MIN(4,4+'5. Scenarios'!$D$8))/4)*'5. Scenarios'!$D$6/(1+ProductivityDefault*('5. Scenarios'!$D$11-1))+INDEX(BookOneOff,1366)*$N1371)</f>
        <v/>
      </c>
      <c r="S1371" s="56" t="str">
        <f aca="false">IF(INDEX(BookTitle,1366)="","",INDEX(BookTotal,1366)*'5. Scenarios'!$E$6/(1+ProductivityDefault*('5. Scenarios'!$E$11-1)))</f>
        <v/>
      </c>
      <c r="T1371" s="57" t="str">
        <f aca="false">IF($S1371="","",INDEX(BookRate,1366)*(1+'5. Scenarios'!$E$10)*$S1371)</f>
        <v/>
      </c>
      <c r="U1371" s="57" t="str">
        <f aca="false">IF($T1371="","",SUMIFS($T$6:$T$2405,$A$6:$A$2405,"&lt;="&amp;$A1371))</f>
        <v/>
      </c>
      <c r="V1371" s="57" t="str">
        <f aca="false">IF($T1371="","",IF($U1371&lt;=BankCostEnvelope*'5. Scenarios'!$E$7,1,0))</f>
        <v/>
      </c>
      <c r="W1371" s="57" t="str">
        <f aca="false">IF($S1371="","",INDEX(BookRate,1366)*(1+'5. Scenarios'!$E$10)*(INDEX(BookQ1,1366)*(5-MIN(4,1+'5. Scenarios'!$E$8))/4+INDEX(BookQ2,1366)*(5-MIN(4,2+'5. Scenarios'!$E$8))/4+INDEX(BookQ3,1366)*(5-MIN(4,3+'5. Scenarios'!$E$8))/4+INDEX(BookQ4,1366)*(5-MIN(4,4+'5. Scenarios'!$E$8))/4)*'5. Scenarios'!$E$6/(1+ProductivityDefault*('5. Scenarios'!$E$11-1))+INDEX(BookOneOff,1366)*$S1371)</f>
        <v/>
      </c>
    </row>
    <row r="1372" customFormat="false" ht="15" hidden="false" customHeight="false" outlineLevel="0" collapsed="false">
      <c r="A1372" s="0" t="str">
        <f aca="false">IF(INDEX(BookTitle,1367)="","",INDEX(BookKey,1367))</f>
        <v/>
      </c>
      <c r="B1372" s="0" t="str">
        <f aca="false">IF(INDEX(BookTitle,1367)="","",INDEX(BookGroup,1367))</f>
        <v/>
      </c>
      <c r="C1372" s="0" t="str">
        <f aca="false">IF(INDEX(BookTitle,1367)="","",INDEX(BookCategory,1367))</f>
        <v/>
      </c>
      <c r="D1372" s="56" t="str">
        <f aca="false">IF(INDEX(BookTitle,1367)="","",INDEX(BookTotal,1367)*'5. Scenarios'!$B$6/(1+ProductivityDefault*('5. Scenarios'!$B$11-1)))</f>
        <v/>
      </c>
      <c r="E1372" s="57" t="str">
        <f aca="false">IF($D1372="","",INDEX(BookRate,1367)*(1+'5. Scenarios'!$B$10)*$D1372)</f>
        <v/>
      </c>
      <c r="F1372" s="57" t="str">
        <f aca="false">IF($E1372="","",SUMIFS($E$6:$E$2405,$A$6:$A$2405,"&lt;="&amp;$A1372))</f>
        <v/>
      </c>
      <c r="G1372" s="57" t="str">
        <f aca="false">IF($E1372="","",IF($F1372&lt;=BankCostEnvelope*'5. Scenarios'!$B$7,1,0))</f>
        <v/>
      </c>
      <c r="H1372" s="57" t="str">
        <f aca="false">IF($D1372="","",INDEX(BookRate,1367)*(1+'5. Scenarios'!$B$10)*(INDEX(BookQ1,1367)*(5-MIN(4,1+'5. Scenarios'!$B$8))/4+INDEX(BookQ2,1367)*(5-MIN(4,2+'5. Scenarios'!$B$8))/4+INDEX(BookQ3,1367)*(5-MIN(4,3+'5. Scenarios'!$B$8))/4+INDEX(BookQ4,1367)*(5-MIN(4,4+'5. Scenarios'!$B$8))/4)*'5. Scenarios'!$B$6/(1+ProductivityDefault*('5. Scenarios'!$B$11-1))+INDEX(BookOneOff,1367)*$D1372)</f>
        <v/>
      </c>
      <c r="I1372" s="56" t="str">
        <f aca="false">IF(INDEX(BookTitle,1367)="","",INDEX(BookTotal,1367)*'5. Scenarios'!$C$6/(1+ProductivityDefault*('5. Scenarios'!$C$11-1)))</f>
        <v/>
      </c>
      <c r="J1372" s="57" t="str">
        <f aca="false">IF($I1372="","",INDEX(BookRate,1367)*(1+'5. Scenarios'!$C$10)*$I1372)</f>
        <v/>
      </c>
      <c r="K1372" s="57" t="str">
        <f aca="false">IF($J1372="","",SUMIFS($J$6:$J$2405,$A$6:$A$2405,"&lt;="&amp;$A1372))</f>
        <v/>
      </c>
      <c r="L1372" s="57" t="str">
        <f aca="false">IF($J1372="","",IF($K1372&lt;=BankCostEnvelope*'5. Scenarios'!$C$7,1,0))</f>
        <v/>
      </c>
      <c r="M1372" s="57" t="str">
        <f aca="false">IF($I1372="","",INDEX(BookRate,1367)*(1+'5. Scenarios'!$C$10)*(INDEX(BookQ1,1367)*(5-MIN(4,1+'5. Scenarios'!$C$8))/4+INDEX(BookQ2,1367)*(5-MIN(4,2+'5. Scenarios'!$C$8))/4+INDEX(BookQ3,1367)*(5-MIN(4,3+'5. Scenarios'!$C$8))/4+INDEX(BookQ4,1367)*(5-MIN(4,4+'5. Scenarios'!$C$8))/4)*'5. Scenarios'!$C$6/(1+ProductivityDefault*('5. Scenarios'!$C$11-1))+INDEX(BookOneOff,1367)*$I1372)</f>
        <v/>
      </c>
      <c r="N1372" s="56" t="str">
        <f aca="false">IF(INDEX(BookTitle,1367)="","",INDEX(BookTotal,1367)*'5. Scenarios'!$D$6/(1+ProductivityDefault*('5. Scenarios'!$D$11-1)))</f>
        <v/>
      </c>
      <c r="O1372" s="57" t="str">
        <f aca="false">IF($N1372="","",INDEX(BookRate,1367)*(1+'5. Scenarios'!$D$10)*$N1372)</f>
        <v/>
      </c>
      <c r="P1372" s="57" t="str">
        <f aca="false">IF($O1372="","",SUMIFS($O$6:$O$2405,$A$6:$A$2405,"&lt;="&amp;$A1372))</f>
        <v/>
      </c>
      <c r="Q1372" s="57" t="str">
        <f aca="false">IF($O1372="","",IF($P1372&lt;=BankCostEnvelope*'5. Scenarios'!$D$7,1,0))</f>
        <v/>
      </c>
      <c r="R1372" s="57" t="str">
        <f aca="false">IF($N1372="","",INDEX(BookRate,1367)*(1+'5. Scenarios'!$D$10)*(INDEX(BookQ1,1367)*(5-MIN(4,1+'5. Scenarios'!$D$8))/4+INDEX(BookQ2,1367)*(5-MIN(4,2+'5. Scenarios'!$D$8))/4+INDEX(BookQ3,1367)*(5-MIN(4,3+'5. Scenarios'!$D$8))/4+INDEX(BookQ4,1367)*(5-MIN(4,4+'5. Scenarios'!$D$8))/4)*'5. Scenarios'!$D$6/(1+ProductivityDefault*('5. Scenarios'!$D$11-1))+INDEX(BookOneOff,1367)*$N1372)</f>
        <v/>
      </c>
      <c r="S1372" s="56" t="str">
        <f aca="false">IF(INDEX(BookTitle,1367)="","",INDEX(BookTotal,1367)*'5. Scenarios'!$E$6/(1+ProductivityDefault*('5. Scenarios'!$E$11-1)))</f>
        <v/>
      </c>
      <c r="T1372" s="57" t="str">
        <f aca="false">IF($S1372="","",INDEX(BookRate,1367)*(1+'5. Scenarios'!$E$10)*$S1372)</f>
        <v/>
      </c>
      <c r="U1372" s="57" t="str">
        <f aca="false">IF($T1372="","",SUMIFS($T$6:$T$2405,$A$6:$A$2405,"&lt;="&amp;$A1372))</f>
        <v/>
      </c>
      <c r="V1372" s="57" t="str">
        <f aca="false">IF($T1372="","",IF($U1372&lt;=BankCostEnvelope*'5. Scenarios'!$E$7,1,0))</f>
        <v/>
      </c>
      <c r="W1372" s="57" t="str">
        <f aca="false">IF($S1372="","",INDEX(BookRate,1367)*(1+'5. Scenarios'!$E$10)*(INDEX(BookQ1,1367)*(5-MIN(4,1+'5. Scenarios'!$E$8))/4+INDEX(BookQ2,1367)*(5-MIN(4,2+'5. Scenarios'!$E$8))/4+INDEX(BookQ3,1367)*(5-MIN(4,3+'5. Scenarios'!$E$8))/4+INDEX(BookQ4,1367)*(5-MIN(4,4+'5. Scenarios'!$E$8))/4)*'5. Scenarios'!$E$6/(1+ProductivityDefault*('5. Scenarios'!$E$11-1))+INDEX(BookOneOff,1367)*$S1372)</f>
        <v/>
      </c>
    </row>
    <row r="1373" customFormat="false" ht="15" hidden="false" customHeight="false" outlineLevel="0" collapsed="false">
      <c r="A1373" s="0" t="str">
        <f aca="false">IF(INDEX(BookTitle,1368)="","",INDEX(BookKey,1368))</f>
        <v/>
      </c>
      <c r="B1373" s="0" t="str">
        <f aca="false">IF(INDEX(BookTitle,1368)="","",INDEX(BookGroup,1368))</f>
        <v/>
      </c>
      <c r="C1373" s="0" t="str">
        <f aca="false">IF(INDEX(BookTitle,1368)="","",INDEX(BookCategory,1368))</f>
        <v/>
      </c>
      <c r="D1373" s="56" t="str">
        <f aca="false">IF(INDEX(BookTitle,1368)="","",INDEX(BookTotal,1368)*'5. Scenarios'!$B$6/(1+ProductivityDefault*('5. Scenarios'!$B$11-1)))</f>
        <v/>
      </c>
      <c r="E1373" s="57" t="str">
        <f aca="false">IF($D1373="","",INDEX(BookRate,1368)*(1+'5. Scenarios'!$B$10)*$D1373)</f>
        <v/>
      </c>
      <c r="F1373" s="57" t="str">
        <f aca="false">IF($E1373="","",SUMIFS($E$6:$E$2405,$A$6:$A$2405,"&lt;="&amp;$A1373))</f>
        <v/>
      </c>
      <c r="G1373" s="57" t="str">
        <f aca="false">IF($E1373="","",IF($F1373&lt;=BankCostEnvelope*'5. Scenarios'!$B$7,1,0))</f>
        <v/>
      </c>
      <c r="H1373" s="57" t="str">
        <f aca="false">IF($D1373="","",INDEX(BookRate,1368)*(1+'5. Scenarios'!$B$10)*(INDEX(BookQ1,1368)*(5-MIN(4,1+'5. Scenarios'!$B$8))/4+INDEX(BookQ2,1368)*(5-MIN(4,2+'5. Scenarios'!$B$8))/4+INDEX(BookQ3,1368)*(5-MIN(4,3+'5. Scenarios'!$B$8))/4+INDEX(BookQ4,1368)*(5-MIN(4,4+'5. Scenarios'!$B$8))/4)*'5. Scenarios'!$B$6/(1+ProductivityDefault*('5. Scenarios'!$B$11-1))+INDEX(BookOneOff,1368)*$D1373)</f>
        <v/>
      </c>
      <c r="I1373" s="56" t="str">
        <f aca="false">IF(INDEX(BookTitle,1368)="","",INDEX(BookTotal,1368)*'5. Scenarios'!$C$6/(1+ProductivityDefault*('5. Scenarios'!$C$11-1)))</f>
        <v/>
      </c>
      <c r="J1373" s="57" t="str">
        <f aca="false">IF($I1373="","",INDEX(BookRate,1368)*(1+'5. Scenarios'!$C$10)*$I1373)</f>
        <v/>
      </c>
      <c r="K1373" s="57" t="str">
        <f aca="false">IF($J1373="","",SUMIFS($J$6:$J$2405,$A$6:$A$2405,"&lt;="&amp;$A1373))</f>
        <v/>
      </c>
      <c r="L1373" s="57" t="str">
        <f aca="false">IF($J1373="","",IF($K1373&lt;=BankCostEnvelope*'5. Scenarios'!$C$7,1,0))</f>
        <v/>
      </c>
      <c r="M1373" s="57" t="str">
        <f aca="false">IF($I1373="","",INDEX(BookRate,1368)*(1+'5. Scenarios'!$C$10)*(INDEX(BookQ1,1368)*(5-MIN(4,1+'5. Scenarios'!$C$8))/4+INDEX(BookQ2,1368)*(5-MIN(4,2+'5. Scenarios'!$C$8))/4+INDEX(BookQ3,1368)*(5-MIN(4,3+'5. Scenarios'!$C$8))/4+INDEX(BookQ4,1368)*(5-MIN(4,4+'5. Scenarios'!$C$8))/4)*'5. Scenarios'!$C$6/(1+ProductivityDefault*('5. Scenarios'!$C$11-1))+INDEX(BookOneOff,1368)*$I1373)</f>
        <v/>
      </c>
      <c r="N1373" s="56" t="str">
        <f aca="false">IF(INDEX(BookTitle,1368)="","",INDEX(BookTotal,1368)*'5. Scenarios'!$D$6/(1+ProductivityDefault*('5. Scenarios'!$D$11-1)))</f>
        <v/>
      </c>
      <c r="O1373" s="57" t="str">
        <f aca="false">IF($N1373="","",INDEX(BookRate,1368)*(1+'5. Scenarios'!$D$10)*$N1373)</f>
        <v/>
      </c>
      <c r="P1373" s="57" t="str">
        <f aca="false">IF($O1373="","",SUMIFS($O$6:$O$2405,$A$6:$A$2405,"&lt;="&amp;$A1373))</f>
        <v/>
      </c>
      <c r="Q1373" s="57" t="str">
        <f aca="false">IF($O1373="","",IF($P1373&lt;=BankCostEnvelope*'5. Scenarios'!$D$7,1,0))</f>
        <v/>
      </c>
      <c r="R1373" s="57" t="str">
        <f aca="false">IF($N1373="","",INDEX(BookRate,1368)*(1+'5. Scenarios'!$D$10)*(INDEX(BookQ1,1368)*(5-MIN(4,1+'5. Scenarios'!$D$8))/4+INDEX(BookQ2,1368)*(5-MIN(4,2+'5. Scenarios'!$D$8))/4+INDEX(BookQ3,1368)*(5-MIN(4,3+'5. Scenarios'!$D$8))/4+INDEX(BookQ4,1368)*(5-MIN(4,4+'5. Scenarios'!$D$8))/4)*'5. Scenarios'!$D$6/(1+ProductivityDefault*('5. Scenarios'!$D$11-1))+INDEX(BookOneOff,1368)*$N1373)</f>
        <v/>
      </c>
      <c r="S1373" s="56" t="str">
        <f aca="false">IF(INDEX(BookTitle,1368)="","",INDEX(BookTotal,1368)*'5. Scenarios'!$E$6/(1+ProductivityDefault*('5. Scenarios'!$E$11-1)))</f>
        <v/>
      </c>
      <c r="T1373" s="57" t="str">
        <f aca="false">IF($S1373="","",INDEX(BookRate,1368)*(1+'5. Scenarios'!$E$10)*$S1373)</f>
        <v/>
      </c>
      <c r="U1373" s="57" t="str">
        <f aca="false">IF($T1373="","",SUMIFS($T$6:$T$2405,$A$6:$A$2405,"&lt;="&amp;$A1373))</f>
        <v/>
      </c>
      <c r="V1373" s="57" t="str">
        <f aca="false">IF($T1373="","",IF($U1373&lt;=BankCostEnvelope*'5. Scenarios'!$E$7,1,0))</f>
        <v/>
      </c>
      <c r="W1373" s="57" t="str">
        <f aca="false">IF($S1373="","",INDEX(BookRate,1368)*(1+'5. Scenarios'!$E$10)*(INDEX(BookQ1,1368)*(5-MIN(4,1+'5. Scenarios'!$E$8))/4+INDEX(BookQ2,1368)*(5-MIN(4,2+'5. Scenarios'!$E$8))/4+INDEX(BookQ3,1368)*(5-MIN(4,3+'5. Scenarios'!$E$8))/4+INDEX(BookQ4,1368)*(5-MIN(4,4+'5. Scenarios'!$E$8))/4)*'5. Scenarios'!$E$6/(1+ProductivityDefault*('5. Scenarios'!$E$11-1))+INDEX(BookOneOff,1368)*$S1373)</f>
        <v/>
      </c>
    </row>
    <row r="1374" customFormat="false" ht="15" hidden="false" customHeight="false" outlineLevel="0" collapsed="false">
      <c r="A1374" s="0" t="str">
        <f aca="false">IF(INDEX(BookTitle,1369)="","",INDEX(BookKey,1369))</f>
        <v/>
      </c>
      <c r="B1374" s="0" t="str">
        <f aca="false">IF(INDEX(BookTitle,1369)="","",INDEX(BookGroup,1369))</f>
        <v/>
      </c>
      <c r="C1374" s="0" t="str">
        <f aca="false">IF(INDEX(BookTitle,1369)="","",INDEX(BookCategory,1369))</f>
        <v/>
      </c>
      <c r="D1374" s="56" t="str">
        <f aca="false">IF(INDEX(BookTitle,1369)="","",INDEX(BookTotal,1369)*'5. Scenarios'!$B$6/(1+ProductivityDefault*('5. Scenarios'!$B$11-1)))</f>
        <v/>
      </c>
      <c r="E1374" s="57" t="str">
        <f aca="false">IF($D1374="","",INDEX(BookRate,1369)*(1+'5. Scenarios'!$B$10)*$D1374)</f>
        <v/>
      </c>
      <c r="F1374" s="57" t="str">
        <f aca="false">IF($E1374="","",SUMIFS($E$6:$E$2405,$A$6:$A$2405,"&lt;="&amp;$A1374))</f>
        <v/>
      </c>
      <c r="G1374" s="57" t="str">
        <f aca="false">IF($E1374="","",IF($F1374&lt;=BankCostEnvelope*'5. Scenarios'!$B$7,1,0))</f>
        <v/>
      </c>
      <c r="H1374" s="57" t="str">
        <f aca="false">IF($D1374="","",INDEX(BookRate,1369)*(1+'5. Scenarios'!$B$10)*(INDEX(BookQ1,1369)*(5-MIN(4,1+'5. Scenarios'!$B$8))/4+INDEX(BookQ2,1369)*(5-MIN(4,2+'5. Scenarios'!$B$8))/4+INDEX(BookQ3,1369)*(5-MIN(4,3+'5. Scenarios'!$B$8))/4+INDEX(BookQ4,1369)*(5-MIN(4,4+'5. Scenarios'!$B$8))/4)*'5. Scenarios'!$B$6/(1+ProductivityDefault*('5. Scenarios'!$B$11-1))+INDEX(BookOneOff,1369)*$D1374)</f>
        <v/>
      </c>
      <c r="I1374" s="56" t="str">
        <f aca="false">IF(INDEX(BookTitle,1369)="","",INDEX(BookTotal,1369)*'5. Scenarios'!$C$6/(1+ProductivityDefault*('5. Scenarios'!$C$11-1)))</f>
        <v/>
      </c>
      <c r="J1374" s="57" t="str">
        <f aca="false">IF($I1374="","",INDEX(BookRate,1369)*(1+'5. Scenarios'!$C$10)*$I1374)</f>
        <v/>
      </c>
      <c r="K1374" s="57" t="str">
        <f aca="false">IF($J1374="","",SUMIFS($J$6:$J$2405,$A$6:$A$2405,"&lt;="&amp;$A1374))</f>
        <v/>
      </c>
      <c r="L1374" s="57" t="str">
        <f aca="false">IF($J1374="","",IF($K1374&lt;=BankCostEnvelope*'5. Scenarios'!$C$7,1,0))</f>
        <v/>
      </c>
      <c r="M1374" s="57" t="str">
        <f aca="false">IF($I1374="","",INDEX(BookRate,1369)*(1+'5. Scenarios'!$C$10)*(INDEX(BookQ1,1369)*(5-MIN(4,1+'5. Scenarios'!$C$8))/4+INDEX(BookQ2,1369)*(5-MIN(4,2+'5. Scenarios'!$C$8))/4+INDEX(BookQ3,1369)*(5-MIN(4,3+'5. Scenarios'!$C$8))/4+INDEX(BookQ4,1369)*(5-MIN(4,4+'5. Scenarios'!$C$8))/4)*'5. Scenarios'!$C$6/(1+ProductivityDefault*('5. Scenarios'!$C$11-1))+INDEX(BookOneOff,1369)*$I1374)</f>
        <v/>
      </c>
      <c r="N1374" s="56" t="str">
        <f aca="false">IF(INDEX(BookTitle,1369)="","",INDEX(BookTotal,1369)*'5. Scenarios'!$D$6/(1+ProductivityDefault*('5. Scenarios'!$D$11-1)))</f>
        <v/>
      </c>
      <c r="O1374" s="57" t="str">
        <f aca="false">IF($N1374="","",INDEX(BookRate,1369)*(1+'5. Scenarios'!$D$10)*$N1374)</f>
        <v/>
      </c>
      <c r="P1374" s="57" t="str">
        <f aca="false">IF($O1374="","",SUMIFS($O$6:$O$2405,$A$6:$A$2405,"&lt;="&amp;$A1374))</f>
        <v/>
      </c>
      <c r="Q1374" s="57" t="str">
        <f aca="false">IF($O1374="","",IF($P1374&lt;=BankCostEnvelope*'5. Scenarios'!$D$7,1,0))</f>
        <v/>
      </c>
      <c r="R1374" s="57" t="str">
        <f aca="false">IF($N1374="","",INDEX(BookRate,1369)*(1+'5. Scenarios'!$D$10)*(INDEX(BookQ1,1369)*(5-MIN(4,1+'5. Scenarios'!$D$8))/4+INDEX(BookQ2,1369)*(5-MIN(4,2+'5. Scenarios'!$D$8))/4+INDEX(BookQ3,1369)*(5-MIN(4,3+'5. Scenarios'!$D$8))/4+INDEX(BookQ4,1369)*(5-MIN(4,4+'5. Scenarios'!$D$8))/4)*'5. Scenarios'!$D$6/(1+ProductivityDefault*('5. Scenarios'!$D$11-1))+INDEX(BookOneOff,1369)*$N1374)</f>
        <v/>
      </c>
      <c r="S1374" s="56" t="str">
        <f aca="false">IF(INDEX(BookTitle,1369)="","",INDEX(BookTotal,1369)*'5. Scenarios'!$E$6/(1+ProductivityDefault*('5. Scenarios'!$E$11-1)))</f>
        <v/>
      </c>
      <c r="T1374" s="57" t="str">
        <f aca="false">IF($S1374="","",INDEX(BookRate,1369)*(1+'5. Scenarios'!$E$10)*$S1374)</f>
        <v/>
      </c>
      <c r="U1374" s="57" t="str">
        <f aca="false">IF($T1374="","",SUMIFS($T$6:$T$2405,$A$6:$A$2405,"&lt;="&amp;$A1374))</f>
        <v/>
      </c>
      <c r="V1374" s="57" t="str">
        <f aca="false">IF($T1374="","",IF($U1374&lt;=BankCostEnvelope*'5. Scenarios'!$E$7,1,0))</f>
        <v/>
      </c>
      <c r="W1374" s="57" t="str">
        <f aca="false">IF($S1374="","",INDEX(BookRate,1369)*(1+'5. Scenarios'!$E$10)*(INDEX(BookQ1,1369)*(5-MIN(4,1+'5. Scenarios'!$E$8))/4+INDEX(BookQ2,1369)*(5-MIN(4,2+'5. Scenarios'!$E$8))/4+INDEX(BookQ3,1369)*(5-MIN(4,3+'5. Scenarios'!$E$8))/4+INDEX(BookQ4,1369)*(5-MIN(4,4+'5. Scenarios'!$E$8))/4)*'5. Scenarios'!$E$6/(1+ProductivityDefault*('5. Scenarios'!$E$11-1))+INDEX(BookOneOff,1369)*$S1374)</f>
        <v/>
      </c>
    </row>
    <row r="1375" customFormat="false" ht="15" hidden="false" customHeight="false" outlineLevel="0" collapsed="false">
      <c r="A1375" s="0" t="str">
        <f aca="false">IF(INDEX(BookTitle,1370)="","",INDEX(BookKey,1370))</f>
        <v/>
      </c>
      <c r="B1375" s="0" t="str">
        <f aca="false">IF(INDEX(BookTitle,1370)="","",INDEX(BookGroup,1370))</f>
        <v/>
      </c>
      <c r="C1375" s="0" t="str">
        <f aca="false">IF(INDEX(BookTitle,1370)="","",INDEX(BookCategory,1370))</f>
        <v/>
      </c>
      <c r="D1375" s="56" t="str">
        <f aca="false">IF(INDEX(BookTitle,1370)="","",INDEX(BookTotal,1370)*'5. Scenarios'!$B$6/(1+ProductivityDefault*('5. Scenarios'!$B$11-1)))</f>
        <v/>
      </c>
      <c r="E1375" s="57" t="str">
        <f aca="false">IF($D1375="","",INDEX(BookRate,1370)*(1+'5. Scenarios'!$B$10)*$D1375)</f>
        <v/>
      </c>
      <c r="F1375" s="57" t="str">
        <f aca="false">IF($E1375="","",SUMIFS($E$6:$E$2405,$A$6:$A$2405,"&lt;="&amp;$A1375))</f>
        <v/>
      </c>
      <c r="G1375" s="57" t="str">
        <f aca="false">IF($E1375="","",IF($F1375&lt;=BankCostEnvelope*'5. Scenarios'!$B$7,1,0))</f>
        <v/>
      </c>
      <c r="H1375" s="57" t="str">
        <f aca="false">IF($D1375="","",INDEX(BookRate,1370)*(1+'5. Scenarios'!$B$10)*(INDEX(BookQ1,1370)*(5-MIN(4,1+'5. Scenarios'!$B$8))/4+INDEX(BookQ2,1370)*(5-MIN(4,2+'5. Scenarios'!$B$8))/4+INDEX(BookQ3,1370)*(5-MIN(4,3+'5. Scenarios'!$B$8))/4+INDEX(BookQ4,1370)*(5-MIN(4,4+'5. Scenarios'!$B$8))/4)*'5. Scenarios'!$B$6/(1+ProductivityDefault*('5. Scenarios'!$B$11-1))+INDEX(BookOneOff,1370)*$D1375)</f>
        <v/>
      </c>
      <c r="I1375" s="56" t="str">
        <f aca="false">IF(INDEX(BookTitle,1370)="","",INDEX(BookTotal,1370)*'5. Scenarios'!$C$6/(1+ProductivityDefault*('5. Scenarios'!$C$11-1)))</f>
        <v/>
      </c>
      <c r="J1375" s="57" t="str">
        <f aca="false">IF($I1375="","",INDEX(BookRate,1370)*(1+'5. Scenarios'!$C$10)*$I1375)</f>
        <v/>
      </c>
      <c r="K1375" s="57" t="str">
        <f aca="false">IF($J1375="","",SUMIFS($J$6:$J$2405,$A$6:$A$2405,"&lt;="&amp;$A1375))</f>
        <v/>
      </c>
      <c r="L1375" s="57" t="str">
        <f aca="false">IF($J1375="","",IF($K1375&lt;=BankCostEnvelope*'5. Scenarios'!$C$7,1,0))</f>
        <v/>
      </c>
      <c r="M1375" s="57" t="str">
        <f aca="false">IF($I1375="","",INDEX(BookRate,1370)*(1+'5. Scenarios'!$C$10)*(INDEX(BookQ1,1370)*(5-MIN(4,1+'5. Scenarios'!$C$8))/4+INDEX(BookQ2,1370)*(5-MIN(4,2+'5. Scenarios'!$C$8))/4+INDEX(BookQ3,1370)*(5-MIN(4,3+'5. Scenarios'!$C$8))/4+INDEX(BookQ4,1370)*(5-MIN(4,4+'5. Scenarios'!$C$8))/4)*'5. Scenarios'!$C$6/(1+ProductivityDefault*('5. Scenarios'!$C$11-1))+INDEX(BookOneOff,1370)*$I1375)</f>
        <v/>
      </c>
      <c r="N1375" s="56" t="str">
        <f aca="false">IF(INDEX(BookTitle,1370)="","",INDEX(BookTotal,1370)*'5. Scenarios'!$D$6/(1+ProductivityDefault*('5. Scenarios'!$D$11-1)))</f>
        <v/>
      </c>
      <c r="O1375" s="57" t="str">
        <f aca="false">IF($N1375="","",INDEX(BookRate,1370)*(1+'5. Scenarios'!$D$10)*$N1375)</f>
        <v/>
      </c>
      <c r="P1375" s="57" t="str">
        <f aca="false">IF($O1375="","",SUMIFS($O$6:$O$2405,$A$6:$A$2405,"&lt;="&amp;$A1375))</f>
        <v/>
      </c>
      <c r="Q1375" s="57" t="str">
        <f aca="false">IF($O1375="","",IF($P1375&lt;=BankCostEnvelope*'5. Scenarios'!$D$7,1,0))</f>
        <v/>
      </c>
      <c r="R1375" s="57" t="str">
        <f aca="false">IF($N1375="","",INDEX(BookRate,1370)*(1+'5. Scenarios'!$D$10)*(INDEX(BookQ1,1370)*(5-MIN(4,1+'5. Scenarios'!$D$8))/4+INDEX(BookQ2,1370)*(5-MIN(4,2+'5. Scenarios'!$D$8))/4+INDEX(BookQ3,1370)*(5-MIN(4,3+'5. Scenarios'!$D$8))/4+INDEX(BookQ4,1370)*(5-MIN(4,4+'5. Scenarios'!$D$8))/4)*'5. Scenarios'!$D$6/(1+ProductivityDefault*('5. Scenarios'!$D$11-1))+INDEX(BookOneOff,1370)*$N1375)</f>
        <v/>
      </c>
      <c r="S1375" s="56" t="str">
        <f aca="false">IF(INDEX(BookTitle,1370)="","",INDEX(BookTotal,1370)*'5. Scenarios'!$E$6/(1+ProductivityDefault*('5. Scenarios'!$E$11-1)))</f>
        <v/>
      </c>
      <c r="T1375" s="57" t="str">
        <f aca="false">IF($S1375="","",INDEX(BookRate,1370)*(1+'5. Scenarios'!$E$10)*$S1375)</f>
        <v/>
      </c>
      <c r="U1375" s="57" t="str">
        <f aca="false">IF($T1375="","",SUMIFS($T$6:$T$2405,$A$6:$A$2405,"&lt;="&amp;$A1375))</f>
        <v/>
      </c>
      <c r="V1375" s="57" t="str">
        <f aca="false">IF($T1375="","",IF($U1375&lt;=BankCostEnvelope*'5. Scenarios'!$E$7,1,0))</f>
        <v/>
      </c>
      <c r="W1375" s="57" t="str">
        <f aca="false">IF($S1375="","",INDEX(BookRate,1370)*(1+'5. Scenarios'!$E$10)*(INDEX(BookQ1,1370)*(5-MIN(4,1+'5. Scenarios'!$E$8))/4+INDEX(BookQ2,1370)*(5-MIN(4,2+'5. Scenarios'!$E$8))/4+INDEX(BookQ3,1370)*(5-MIN(4,3+'5. Scenarios'!$E$8))/4+INDEX(BookQ4,1370)*(5-MIN(4,4+'5. Scenarios'!$E$8))/4)*'5. Scenarios'!$E$6/(1+ProductivityDefault*('5. Scenarios'!$E$11-1))+INDEX(BookOneOff,1370)*$S1375)</f>
        <v/>
      </c>
    </row>
    <row r="1376" customFormat="false" ht="15" hidden="false" customHeight="false" outlineLevel="0" collapsed="false">
      <c r="A1376" s="0" t="str">
        <f aca="false">IF(INDEX(BookTitle,1371)="","",INDEX(BookKey,1371))</f>
        <v/>
      </c>
      <c r="B1376" s="0" t="str">
        <f aca="false">IF(INDEX(BookTitle,1371)="","",INDEX(BookGroup,1371))</f>
        <v/>
      </c>
      <c r="C1376" s="0" t="str">
        <f aca="false">IF(INDEX(BookTitle,1371)="","",INDEX(BookCategory,1371))</f>
        <v/>
      </c>
      <c r="D1376" s="56" t="str">
        <f aca="false">IF(INDEX(BookTitle,1371)="","",INDEX(BookTotal,1371)*'5. Scenarios'!$B$6/(1+ProductivityDefault*('5. Scenarios'!$B$11-1)))</f>
        <v/>
      </c>
      <c r="E1376" s="57" t="str">
        <f aca="false">IF($D1376="","",INDEX(BookRate,1371)*(1+'5. Scenarios'!$B$10)*$D1376)</f>
        <v/>
      </c>
      <c r="F1376" s="57" t="str">
        <f aca="false">IF($E1376="","",SUMIFS($E$6:$E$2405,$A$6:$A$2405,"&lt;="&amp;$A1376))</f>
        <v/>
      </c>
      <c r="G1376" s="57" t="str">
        <f aca="false">IF($E1376="","",IF($F1376&lt;=BankCostEnvelope*'5. Scenarios'!$B$7,1,0))</f>
        <v/>
      </c>
      <c r="H1376" s="57" t="str">
        <f aca="false">IF($D1376="","",INDEX(BookRate,1371)*(1+'5. Scenarios'!$B$10)*(INDEX(BookQ1,1371)*(5-MIN(4,1+'5. Scenarios'!$B$8))/4+INDEX(BookQ2,1371)*(5-MIN(4,2+'5. Scenarios'!$B$8))/4+INDEX(BookQ3,1371)*(5-MIN(4,3+'5. Scenarios'!$B$8))/4+INDEX(BookQ4,1371)*(5-MIN(4,4+'5. Scenarios'!$B$8))/4)*'5. Scenarios'!$B$6/(1+ProductivityDefault*('5. Scenarios'!$B$11-1))+INDEX(BookOneOff,1371)*$D1376)</f>
        <v/>
      </c>
      <c r="I1376" s="56" t="str">
        <f aca="false">IF(INDEX(BookTitle,1371)="","",INDEX(BookTotal,1371)*'5. Scenarios'!$C$6/(1+ProductivityDefault*('5. Scenarios'!$C$11-1)))</f>
        <v/>
      </c>
      <c r="J1376" s="57" t="str">
        <f aca="false">IF($I1376="","",INDEX(BookRate,1371)*(1+'5. Scenarios'!$C$10)*$I1376)</f>
        <v/>
      </c>
      <c r="K1376" s="57" t="str">
        <f aca="false">IF($J1376="","",SUMIFS($J$6:$J$2405,$A$6:$A$2405,"&lt;="&amp;$A1376))</f>
        <v/>
      </c>
      <c r="L1376" s="57" t="str">
        <f aca="false">IF($J1376="","",IF($K1376&lt;=BankCostEnvelope*'5. Scenarios'!$C$7,1,0))</f>
        <v/>
      </c>
      <c r="M1376" s="57" t="str">
        <f aca="false">IF($I1376="","",INDEX(BookRate,1371)*(1+'5. Scenarios'!$C$10)*(INDEX(BookQ1,1371)*(5-MIN(4,1+'5. Scenarios'!$C$8))/4+INDEX(BookQ2,1371)*(5-MIN(4,2+'5. Scenarios'!$C$8))/4+INDEX(BookQ3,1371)*(5-MIN(4,3+'5. Scenarios'!$C$8))/4+INDEX(BookQ4,1371)*(5-MIN(4,4+'5. Scenarios'!$C$8))/4)*'5. Scenarios'!$C$6/(1+ProductivityDefault*('5. Scenarios'!$C$11-1))+INDEX(BookOneOff,1371)*$I1376)</f>
        <v/>
      </c>
      <c r="N1376" s="56" t="str">
        <f aca="false">IF(INDEX(BookTitle,1371)="","",INDEX(BookTotal,1371)*'5. Scenarios'!$D$6/(1+ProductivityDefault*('5. Scenarios'!$D$11-1)))</f>
        <v/>
      </c>
      <c r="O1376" s="57" t="str">
        <f aca="false">IF($N1376="","",INDEX(BookRate,1371)*(1+'5. Scenarios'!$D$10)*$N1376)</f>
        <v/>
      </c>
      <c r="P1376" s="57" t="str">
        <f aca="false">IF($O1376="","",SUMIFS($O$6:$O$2405,$A$6:$A$2405,"&lt;="&amp;$A1376))</f>
        <v/>
      </c>
      <c r="Q1376" s="57" t="str">
        <f aca="false">IF($O1376="","",IF($P1376&lt;=BankCostEnvelope*'5. Scenarios'!$D$7,1,0))</f>
        <v/>
      </c>
      <c r="R1376" s="57" t="str">
        <f aca="false">IF($N1376="","",INDEX(BookRate,1371)*(1+'5. Scenarios'!$D$10)*(INDEX(BookQ1,1371)*(5-MIN(4,1+'5. Scenarios'!$D$8))/4+INDEX(BookQ2,1371)*(5-MIN(4,2+'5. Scenarios'!$D$8))/4+INDEX(BookQ3,1371)*(5-MIN(4,3+'5. Scenarios'!$D$8))/4+INDEX(BookQ4,1371)*(5-MIN(4,4+'5. Scenarios'!$D$8))/4)*'5. Scenarios'!$D$6/(1+ProductivityDefault*('5. Scenarios'!$D$11-1))+INDEX(BookOneOff,1371)*$N1376)</f>
        <v/>
      </c>
      <c r="S1376" s="56" t="str">
        <f aca="false">IF(INDEX(BookTitle,1371)="","",INDEX(BookTotal,1371)*'5. Scenarios'!$E$6/(1+ProductivityDefault*('5. Scenarios'!$E$11-1)))</f>
        <v/>
      </c>
      <c r="T1376" s="57" t="str">
        <f aca="false">IF($S1376="","",INDEX(BookRate,1371)*(1+'5. Scenarios'!$E$10)*$S1376)</f>
        <v/>
      </c>
      <c r="U1376" s="57" t="str">
        <f aca="false">IF($T1376="","",SUMIFS($T$6:$T$2405,$A$6:$A$2405,"&lt;="&amp;$A1376))</f>
        <v/>
      </c>
      <c r="V1376" s="57" t="str">
        <f aca="false">IF($T1376="","",IF($U1376&lt;=BankCostEnvelope*'5. Scenarios'!$E$7,1,0))</f>
        <v/>
      </c>
      <c r="W1376" s="57" t="str">
        <f aca="false">IF($S1376="","",INDEX(BookRate,1371)*(1+'5. Scenarios'!$E$10)*(INDEX(BookQ1,1371)*(5-MIN(4,1+'5. Scenarios'!$E$8))/4+INDEX(BookQ2,1371)*(5-MIN(4,2+'5. Scenarios'!$E$8))/4+INDEX(BookQ3,1371)*(5-MIN(4,3+'5. Scenarios'!$E$8))/4+INDEX(BookQ4,1371)*(5-MIN(4,4+'5. Scenarios'!$E$8))/4)*'5. Scenarios'!$E$6/(1+ProductivityDefault*('5. Scenarios'!$E$11-1))+INDEX(BookOneOff,1371)*$S1376)</f>
        <v/>
      </c>
    </row>
    <row r="1377" customFormat="false" ht="15" hidden="false" customHeight="false" outlineLevel="0" collapsed="false">
      <c r="A1377" s="0" t="str">
        <f aca="false">IF(INDEX(BookTitle,1372)="","",INDEX(BookKey,1372))</f>
        <v/>
      </c>
      <c r="B1377" s="0" t="str">
        <f aca="false">IF(INDEX(BookTitle,1372)="","",INDEX(BookGroup,1372))</f>
        <v/>
      </c>
      <c r="C1377" s="0" t="str">
        <f aca="false">IF(INDEX(BookTitle,1372)="","",INDEX(BookCategory,1372))</f>
        <v/>
      </c>
      <c r="D1377" s="56" t="str">
        <f aca="false">IF(INDEX(BookTitle,1372)="","",INDEX(BookTotal,1372)*'5. Scenarios'!$B$6/(1+ProductivityDefault*('5. Scenarios'!$B$11-1)))</f>
        <v/>
      </c>
      <c r="E1377" s="57" t="str">
        <f aca="false">IF($D1377="","",INDEX(BookRate,1372)*(1+'5. Scenarios'!$B$10)*$D1377)</f>
        <v/>
      </c>
      <c r="F1377" s="57" t="str">
        <f aca="false">IF($E1377="","",SUMIFS($E$6:$E$2405,$A$6:$A$2405,"&lt;="&amp;$A1377))</f>
        <v/>
      </c>
      <c r="G1377" s="57" t="str">
        <f aca="false">IF($E1377="","",IF($F1377&lt;=BankCostEnvelope*'5. Scenarios'!$B$7,1,0))</f>
        <v/>
      </c>
      <c r="H1377" s="57" t="str">
        <f aca="false">IF($D1377="","",INDEX(BookRate,1372)*(1+'5. Scenarios'!$B$10)*(INDEX(BookQ1,1372)*(5-MIN(4,1+'5. Scenarios'!$B$8))/4+INDEX(BookQ2,1372)*(5-MIN(4,2+'5. Scenarios'!$B$8))/4+INDEX(BookQ3,1372)*(5-MIN(4,3+'5. Scenarios'!$B$8))/4+INDEX(BookQ4,1372)*(5-MIN(4,4+'5. Scenarios'!$B$8))/4)*'5. Scenarios'!$B$6/(1+ProductivityDefault*('5. Scenarios'!$B$11-1))+INDEX(BookOneOff,1372)*$D1377)</f>
        <v/>
      </c>
      <c r="I1377" s="56" t="str">
        <f aca="false">IF(INDEX(BookTitle,1372)="","",INDEX(BookTotal,1372)*'5. Scenarios'!$C$6/(1+ProductivityDefault*('5. Scenarios'!$C$11-1)))</f>
        <v/>
      </c>
      <c r="J1377" s="57" t="str">
        <f aca="false">IF($I1377="","",INDEX(BookRate,1372)*(1+'5. Scenarios'!$C$10)*$I1377)</f>
        <v/>
      </c>
      <c r="K1377" s="57" t="str">
        <f aca="false">IF($J1377="","",SUMIFS($J$6:$J$2405,$A$6:$A$2405,"&lt;="&amp;$A1377))</f>
        <v/>
      </c>
      <c r="L1377" s="57" t="str">
        <f aca="false">IF($J1377="","",IF($K1377&lt;=BankCostEnvelope*'5. Scenarios'!$C$7,1,0))</f>
        <v/>
      </c>
      <c r="M1377" s="57" t="str">
        <f aca="false">IF($I1377="","",INDEX(BookRate,1372)*(1+'5. Scenarios'!$C$10)*(INDEX(BookQ1,1372)*(5-MIN(4,1+'5. Scenarios'!$C$8))/4+INDEX(BookQ2,1372)*(5-MIN(4,2+'5. Scenarios'!$C$8))/4+INDEX(BookQ3,1372)*(5-MIN(4,3+'5. Scenarios'!$C$8))/4+INDEX(BookQ4,1372)*(5-MIN(4,4+'5. Scenarios'!$C$8))/4)*'5. Scenarios'!$C$6/(1+ProductivityDefault*('5. Scenarios'!$C$11-1))+INDEX(BookOneOff,1372)*$I1377)</f>
        <v/>
      </c>
      <c r="N1377" s="56" t="str">
        <f aca="false">IF(INDEX(BookTitle,1372)="","",INDEX(BookTotal,1372)*'5. Scenarios'!$D$6/(1+ProductivityDefault*('5. Scenarios'!$D$11-1)))</f>
        <v/>
      </c>
      <c r="O1377" s="57" t="str">
        <f aca="false">IF($N1377="","",INDEX(BookRate,1372)*(1+'5. Scenarios'!$D$10)*$N1377)</f>
        <v/>
      </c>
      <c r="P1377" s="57" t="str">
        <f aca="false">IF($O1377="","",SUMIFS($O$6:$O$2405,$A$6:$A$2405,"&lt;="&amp;$A1377))</f>
        <v/>
      </c>
      <c r="Q1377" s="57" t="str">
        <f aca="false">IF($O1377="","",IF($P1377&lt;=BankCostEnvelope*'5. Scenarios'!$D$7,1,0))</f>
        <v/>
      </c>
      <c r="R1377" s="57" t="str">
        <f aca="false">IF($N1377="","",INDEX(BookRate,1372)*(1+'5. Scenarios'!$D$10)*(INDEX(BookQ1,1372)*(5-MIN(4,1+'5. Scenarios'!$D$8))/4+INDEX(BookQ2,1372)*(5-MIN(4,2+'5. Scenarios'!$D$8))/4+INDEX(BookQ3,1372)*(5-MIN(4,3+'5. Scenarios'!$D$8))/4+INDEX(BookQ4,1372)*(5-MIN(4,4+'5. Scenarios'!$D$8))/4)*'5. Scenarios'!$D$6/(1+ProductivityDefault*('5. Scenarios'!$D$11-1))+INDEX(BookOneOff,1372)*$N1377)</f>
        <v/>
      </c>
      <c r="S1377" s="56" t="str">
        <f aca="false">IF(INDEX(BookTitle,1372)="","",INDEX(BookTotal,1372)*'5. Scenarios'!$E$6/(1+ProductivityDefault*('5. Scenarios'!$E$11-1)))</f>
        <v/>
      </c>
      <c r="T1377" s="57" t="str">
        <f aca="false">IF($S1377="","",INDEX(BookRate,1372)*(1+'5. Scenarios'!$E$10)*$S1377)</f>
        <v/>
      </c>
      <c r="U1377" s="57" t="str">
        <f aca="false">IF($T1377="","",SUMIFS($T$6:$T$2405,$A$6:$A$2405,"&lt;="&amp;$A1377))</f>
        <v/>
      </c>
      <c r="V1377" s="57" t="str">
        <f aca="false">IF($T1377="","",IF($U1377&lt;=BankCostEnvelope*'5. Scenarios'!$E$7,1,0))</f>
        <v/>
      </c>
      <c r="W1377" s="57" t="str">
        <f aca="false">IF($S1377="","",INDEX(BookRate,1372)*(1+'5. Scenarios'!$E$10)*(INDEX(BookQ1,1372)*(5-MIN(4,1+'5. Scenarios'!$E$8))/4+INDEX(BookQ2,1372)*(5-MIN(4,2+'5. Scenarios'!$E$8))/4+INDEX(BookQ3,1372)*(5-MIN(4,3+'5. Scenarios'!$E$8))/4+INDEX(BookQ4,1372)*(5-MIN(4,4+'5. Scenarios'!$E$8))/4)*'5. Scenarios'!$E$6/(1+ProductivityDefault*('5. Scenarios'!$E$11-1))+INDEX(BookOneOff,1372)*$S1377)</f>
        <v/>
      </c>
    </row>
    <row r="1378" customFormat="false" ht="15" hidden="false" customHeight="false" outlineLevel="0" collapsed="false">
      <c r="A1378" s="0" t="str">
        <f aca="false">IF(INDEX(BookTitle,1373)="","",INDEX(BookKey,1373))</f>
        <v/>
      </c>
      <c r="B1378" s="0" t="str">
        <f aca="false">IF(INDEX(BookTitle,1373)="","",INDEX(BookGroup,1373))</f>
        <v/>
      </c>
      <c r="C1378" s="0" t="str">
        <f aca="false">IF(INDEX(BookTitle,1373)="","",INDEX(BookCategory,1373))</f>
        <v/>
      </c>
      <c r="D1378" s="56" t="str">
        <f aca="false">IF(INDEX(BookTitle,1373)="","",INDEX(BookTotal,1373)*'5. Scenarios'!$B$6/(1+ProductivityDefault*('5. Scenarios'!$B$11-1)))</f>
        <v/>
      </c>
      <c r="E1378" s="57" t="str">
        <f aca="false">IF($D1378="","",INDEX(BookRate,1373)*(1+'5. Scenarios'!$B$10)*$D1378)</f>
        <v/>
      </c>
      <c r="F1378" s="57" t="str">
        <f aca="false">IF($E1378="","",SUMIFS($E$6:$E$2405,$A$6:$A$2405,"&lt;="&amp;$A1378))</f>
        <v/>
      </c>
      <c r="G1378" s="57" t="str">
        <f aca="false">IF($E1378="","",IF($F1378&lt;=BankCostEnvelope*'5. Scenarios'!$B$7,1,0))</f>
        <v/>
      </c>
      <c r="H1378" s="57" t="str">
        <f aca="false">IF($D1378="","",INDEX(BookRate,1373)*(1+'5. Scenarios'!$B$10)*(INDEX(BookQ1,1373)*(5-MIN(4,1+'5. Scenarios'!$B$8))/4+INDEX(BookQ2,1373)*(5-MIN(4,2+'5. Scenarios'!$B$8))/4+INDEX(BookQ3,1373)*(5-MIN(4,3+'5. Scenarios'!$B$8))/4+INDEX(BookQ4,1373)*(5-MIN(4,4+'5. Scenarios'!$B$8))/4)*'5. Scenarios'!$B$6/(1+ProductivityDefault*('5. Scenarios'!$B$11-1))+INDEX(BookOneOff,1373)*$D1378)</f>
        <v/>
      </c>
      <c r="I1378" s="56" t="str">
        <f aca="false">IF(INDEX(BookTitle,1373)="","",INDEX(BookTotal,1373)*'5. Scenarios'!$C$6/(1+ProductivityDefault*('5. Scenarios'!$C$11-1)))</f>
        <v/>
      </c>
      <c r="J1378" s="57" t="str">
        <f aca="false">IF($I1378="","",INDEX(BookRate,1373)*(1+'5. Scenarios'!$C$10)*$I1378)</f>
        <v/>
      </c>
      <c r="K1378" s="57" t="str">
        <f aca="false">IF($J1378="","",SUMIFS($J$6:$J$2405,$A$6:$A$2405,"&lt;="&amp;$A1378))</f>
        <v/>
      </c>
      <c r="L1378" s="57" t="str">
        <f aca="false">IF($J1378="","",IF($K1378&lt;=BankCostEnvelope*'5. Scenarios'!$C$7,1,0))</f>
        <v/>
      </c>
      <c r="M1378" s="57" t="str">
        <f aca="false">IF($I1378="","",INDEX(BookRate,1373)*(1+'5. Scenarios'!$C$10)*(INDEX(BookQ1,1373)*(5-MIN(4,1+'5. Scenarios'!$C$8))/4+INDEX(BookQ2,1373)*(5-MIN(4,2+'5. Scenarios'!$C$8))/4+INDEX(BookQ3,1373)*(5-MIN(4,3+'5. Scenarios'!$C$8))/4+INDEX(BookQ4,1373)*(5-MIN(4,4+'5. Scenarios'!$C$8))/4)*'5. Scenarios'!$C$6/(1+ProductivityDefault*('5. Scenarios'!$C$11-1))+INDEX(BookOneOff,1373)*$I1378)</f>
        <v/>
      </c>
      <c r="N1378" s="56" t="str">
        <f aca="false">IF(INDEX(BookTitle,1373)="","",INDEX(BookTotal,1373)*'5. Scenarios'!$D$6/(1+ProductivityDefault*('5. Scenarios'!$D$11-1)))</f>
        <v/>
      </c>
      <c r="O1378" s="57" t="str">
        <f aca="false">IF($N1378="","",INDEX(BookRate,1373)*(1+'5. Scenarios'!$D$10)*$N1378)</f>
        <v/>
      </c>
      <c r="P1378" s="57" t="str">
        <f aca="false">IF($O1378="","",SUMIFS($O$6:$O$2405,$A$6:$A$2405,"&lt;="&amp;$A1378))</f>
        <v/>
      </c>
      <c r="Q1378" s="57" t="str">
        <f aca="false">IF($O1378="","",IF($P1378&lt;=BankCostEnvelope*'5. Scenarios'!$D$7,1,0))</f>
        <v/>
      </c>
      <c r="R1378" s="57" t="str">
        <f aca="false">IF($N1378="","",INDEX(BookRate,1373)*(1+'5. Scenarios'!$D$10)*(INDEX(BookQ1,1373)*(5-MIN(4,1+'5. Scenarios'!$D$8))/4+INDEX(BookQ2,1373)*(5-MIN(4,2+'5. Scenarios'!$D$8))/4+INDEX(BookQ3,1373)*(5-MIN(4,3+'5. Scenarios'!$D$8))/4+INDEX(BookQ4,1373)*(5-MIN(4,4+'5. Scenarios'!$D$8))/4)*'5. Scenarios'!$D$6/(1+ProductivityDefault*('5. Scenarios'!$D$11-1))+INDEX(BookOneOff,1373)*$N1378)</f>
        <v/>
      </c>
      <c r="S1378" s="56" t="str">
        <f aca="false">IF(INDEX(BookTitle,1373)="","",INDEX(BookTotal,1373)*'5. Scenarios'!$E$6/(1+ProductivityDefault*('5. Scenarios'!$E$11-1)))</f>
        <v/>
      </c>
      <c r="T1378" s="57" t="str">
        <f aca="false">IF($S1378="","",INDEX(BookRate,1373)*(1+'5. Scenarios'!$E$10)*$S1378)</f>
        <v/>
      </c>
      <c r="U1378" s="57" t="str">
        <f aca="false">IF($T1378="","",SUMIFS($T$6:$T$2405,$A$6:$A$2405,"&lt;="&amp;$A1378))</f>
        <v/>
      </c>
      <c r="V1378" s="57" t="str">
        <f aca="false">IF($T1378="","",IF($U1378&lt;=BankCostEnvelope*'5. Scenarios'!$E$7,1,0))</f>
        <v/>
      </c>
      <c r="W1378" s="57" t="str">
        <f aca="false">IF($S1378="","",INDEX(BookRate,1373)*(1+'5. Scenarios'!$E$10)*(INDEX(BookQ1,1373)*(5-MIN(4,1+'5. Scenarios'!$E$8))/4+INDEX(BookQ2,1373)*(5-MIN(4,2+'5. Scenarios'!$E$8))/4+INDEX(BookQ3,1373)*(5-MIN(4,3+'5. Scenarios'!$E$8))/4+INDEX(BookQ4,1373)*(5-MIN(4,4+'5. Scenarios'!$E$8))/4)*'5. Scenarios'!$E$6/(1+ProductivityDefault*('5. Scenarios'!$E$11-1))+INDEX(BookOneOff,1373)*$S1378)</f>
        <v/>
      </c>
    </row>
    <row r="1379" customFormat="false" ht="15" hidden="false" customHeight="false" outlineLevel="0" collapsed="false">
      <c r="A1379" s="0" t="str">
        <f aca="false">IF(INDEX(BookTitle,1374)="","",INDEX(BookKey,1374))</f>
        <v/>
      </c>
      <c r="B1379" s="0" t="str">
        <f aca="false">IF(INDEX(BookTitle,1374)="","",INDEX(BookGroup,1374))</f>
        <v/>
      </c>
      <c r="C1379" s="0" t="str">
        <f aca="false">IF(INDEX(BookTitle,1374)="","",INDEX(BookCategory,1374))</f>
        <v/>
      </c>
      <c r="D1379" s="56" t="str">
        <f aca="false">IF(INDEX(BookTitle,1374)="","",INDEX(BookTotal,1374)*'5. Scenarios'!$B$6/(1+ProductivityDefault*('5. Scenarios'!$B$11-1)))</f>
        <v/>
      </c>
      <c r="E1379" s="57" t="str">
        <f aca="false">IF($D1379="","",INDEX(BookRate,1374)*(1+'5. Scenarios'!$B$10)*$D1379)</f>
        <v/>
      </c>
      <c r="F1379" s="57" t="str">
        <f aca="false">IF($E1379="","",SUMIFS($E$6:$E$2405,$A$6:$A$2405,"&lt;="&amp;$A1379))</f>
        <v/>
      </c>
      <c r="G1379" s="57" t="str">
        <f aca="false">IF($E1379="","",IF($F1379&lt;=BankCostEnvelope*'5. Scenarios'!$B$7,1,0))</f>
        <v/>
      </c>
      <c r="H1379" s="57" t="str">
        <f aca="false">IF($D1379="","",INDEX(BookRate,1374)*(1+'5. Scenarios'!$B$10)*(INDEX(BookQ1,1374)*(5-MIN(4,1+'5. Scenarios'!$B$8))/4+INDEX(BookQ2,1374)*(5-MIN(4,2+'5. Scenarios'!$B$8))/4+INDEX(BookQ3,1374)*(5-MIN(4,3+'5. Scenarios'!$B$8))/4+INDEX(BookQ4,1374)*(5-MIN(4,4+'5. Scenarios'!$B$8))/4)*'5. Scenarios'!$B$6/(1+ProductivityDefault*('5. Scenarios'!$B$11-1))+INDEX(BookOneOff,1374)*$D1379)</f>
        <v/>
      </c>
      <c r="I1379" s="56" t="str">
        <f aca="false">IF(INDEX(BookTitle,1374)="","",INDEX(BookTotal,1374)*'5. Scenarios'!$C$6/(1+ProductivityDefault*('5. Scenarios'!$C$11-1)))</f>
        <v/>
      </c>
      <c r="J1379" s="57" t="str">
        <f aca="false">IF($I1379="","",INDEX(BookRate,1374)*(1+'5. Scenarios'!$C$10)*$I1379)</f>
        <v/>
      </c>
      <c r="K1379" s="57" t="str">
        <f aca="false">IF($J1379="","",SUMIFS($J$6:$J$2405,$A$6:$A$2405,"&lt;="&amp;$A1379))</f>
        <v/>
      </c>
      <c r="L1379" s="57" t="str">
        <f aca="false">IF($J1379="","",IF($K1379&lt;=BankCostEnvelope*'5. Scenarios'!$C$7,1,0))</f>
        <v/>
      </c>
      <c r="M1379" s="57" t="str">
        <f aca="false">IF($I1379="","",INDEX(BookRate,1374)*(1+'5. Scenarios'!$C$10)*(INDEX(BookQ1,1374)*(5-MIN(4,1+'5. Scenarios'!$C$8))/4+INDEX(BookQ2,1374)*(5-MIN(4,2+'5. Scenarios'!$C$8))/4+INDEX(BookQ3,1374)*(5-MIN(4,3+'5. Scenarios'!$C$8))/4+INDEX(BookQ4,1374)*(5-MIN(4,4+'5. Scenarios'!$C$8))/4)*'5. Scenarios'!$C$6/(1+ProductivityDefault*('5. Scenarios'!$C$11-1))+INDEX(BookOneOff,1374)*$I1379)</f>
        <v/>
      </c>
      <c r="N1379" s="56" t="str">
        <f aca="false">IF(INDEX(BookTitle,1374)="","",INDEX(BookTotal,1374)*'5. Scenarios'!$D$6/(1+ProductivityDefault*('5. Scenarios'!$D$11-1)))</f>
        <v/>
      </c>
      <c r="O1379" s="57" t="str">
        <f aca="false">IF($N1379="","",INDEX(BookRate,1374)*(1+'5. Scenarios'!$D$10)*$N1379)</f>
        <v/>
      </c>
      <c r="P1379" s="57" t="str">
        <f aca="false">IF($O1379="","",SUMIFS($O$6:$O$2405,$A$6:$A$2405,"&lt;="&amp;$A1379))</f>
        <v/>
      </c>
      <c r="Q1379" s="57" t="str">
        <f aca="false">IF($O1379="","",IF($P1379&lt;=BankCostEnvelope*'5. Scenarios'!$D$7,1,0))</f>
        <v/>
      </c>
      <c r="R1379" s="57" t="str">
        <f aca="false">IF($N1379="","",INDEX(BookRate,1374)*(1+'5. Scenarios'!$D$10)*(INDEX(BookQ1,1374)*(5-MIN(4,1+'5. Scenarios'!$D$8))/4+INDEX(BookQ2,1374)*(5-MIN(4,2+'5. Scenarios'!$D$8))/4+INDEX(BookQ3,1374)*(5-MIN(4,3+'5. Scenarios'!$D$8))/4+INDEX(BookQ4,1374)*(5-MIN(4,4+'5. Scenarios'!$D$8))/4)*'5. Scenarios'!$D$6/(1+ProductivityDefault*('5. Scenarios'!$D$11-1))+INDEX(BookOneOff,1374)*$N1379)</f>
        <v/>
      </c>
      <c r="S1379" s="56" t="str">
        <f aca="false">IF(INDEX(BookTitle,1374)="","",INDEX(BookTotal,1374)*'5. Scenarios'!$E$6/(1+ProductivityDefault*('5. Scenarios'!$E$11-1)))</f>
        <v/>
      </c>
      <c r="T1379" s="57" t="str">
        <f aca="false">IF($S1379="","",INDEX(BookRate,1374)*(1+'5. Scenarios'!$E$10)*$S1379)</f>
        <v/>
      </c>
      <c r="U1379" s="57" t="str">
        <f aca="false">IF($T1379="","",SUMIFS($T$6:$T$2405,$A$6:$A$2405,"&lt;="&amp;$A1379))</f>
        <v/>
      </c>
      <c r="V1379" s="57" t="str">
        <f aca="false">IF($T1379="","",IF($U1379&lt;=BankCostEnvelope*'5. Scenarios'!$E$7,1,0))</f>
        <v/>
      </c>
      <c r="W1379" s="57" t="str">
        <f aca="false">IF($S1379="","",INDEX(BookRate,1374)*(1+'5. Scenarios'!$E$10)*(INDEX(BookQ1,1374)*(5-MIN(4,1+'5. Scenarios'!$E$8))/4+INDEX(BookQ2,1374)*(5-MIN(4,2+'5. Scenarios'!$E$8))/4+INDEX(BookQ3,1374)*(5-MIN(4,3+'5. Scenarios'!$E$8))/4+INDEX(BookQ4,1374)*(5-MIN(4,4+'5. Scenarios'!$E$8))/4)*'5. Scenarios'!$E$6/(1+ProductivityDefault*('5. Scenarios'!$E$11-1))+INDEX(BookOneOff,1374)*$S1379)</f>
        <v/>
      </c>
    </row>
    <row r="1380" customFormat="false" ht="15" hidden="false" customHeight="false" outlineLevel="0" collapsed="false">
      <c r="A1380" s="0" t="str">
        <f aca="false">IF(INDEX(BookTitle,1375)="","",INDEX(BookKey,1375))</f>
        <v/>
      </c>
      <c r="B1380" s="0" t="str">
        <f aca="false">IF(INDEX(BookTitle,1375)="","",INDEX(BookGroup,1375))</f>
        <v/>
      </c>
      <c r="C1380" s="0" t="str">
        <f aca="false">IF(INDEX(BookTitle,1375)="","",INDEX(BookCategory,1375))</f>
        <v/>
      </c>
      <c r="D1380" s="56" t="str">
        <f aca="false">IF(INDEX(BookTitle,1375)="","",INDEX(BookTotal,1375)*'5. Scenarios'!$B$6/(1+ProductivityDefault*('5. Scenarios'!$B$11-1)))</f>
        <v/>
      </c>
      <c r="E1380" s="57" t="str">
        <f aca="false">IF($D1380="","",INDEX(BookRate,1375)*(1+'5. Scenarios'!$B$10)*$D1380)</f>
        <v/>
      </c>
      <c r="F1380" s="57" t="str">
        <f aca="false">IF($E1380="","",SUMIFS($E$6:$E$2405,$A$6:$A$2405,"&lt;="&amp;$A1380))</f>
        <v/>
      </c>
      <c r="G1380" s="57" t="str">
        <f aca="false">IF($E1380="","",IF($F1380&lt;=BankCostEnvelope*'5. Scenarios'!$B$7,1,0))</f>
        <v/>
      </c>
      <c r="H1380" s="57" t="str">
        <f aca="false">IF($D1380="","",INDEX(BookRate,1375)*(1+'5. Scenarios'!$B$10)*(INDEX(BookQ1,1375)*(5-MIN(4,1+'5. Scenarios'!$B$8))/4+INDEX(BookQ2,1375)*(5-MIN(4,2+'5. Scenarios'!$B$8))/4+INDEX(BookQ3,1375)*(5-MIN(4,3+'5. Scenarios'!$B$8))/4+INDEX(BookQ4,1375)*(5-MIN(4,4+'5. Scenarios'!$B$8))/4)*'5. Scenarios'!$B$6/(1+ProductivityDefault*('5. Scenarios'!$B$11-1))+INDEX(BookOneOff,1375)*$D1380)</f>
        <v/>
      </c>
      <c r="I1380" s="56" t="str">
        <f aca="false">IF(INDEX(BookTitle,1375)="","",INDEX(BookTotal,1375)*'5. Scenarios'!$C$6/(1+ProductivityDefault*('5. Scenarios'!$C$11-1)))</f>
        <v/>
      </c>
      <c r="J1380" s="57" t="str">
        <f aca="false">IF($I1380="","",INDEX(BookRate,1375)*(1+'5. Scenarios'!$C$10)*$I1380)</f>
        <v/>
      </c>
      <c r="K1380" s="57" t="str">
        <f aca="false">IF($J1380="","",SUMIFS($J$6:$J$2405,$A$6:$A$2405,"&lt;="&amp;$A1380))</f>
        <v/>
      </c>
      <c r="L1380" s="57" t="str">
        <f aca="false">IF($J1380="","",IF($K1380&lt;=BankCostEnvelope*'5. Scenarios'!$C$7,1,0))</f>
        <v/>
      </c>
      <c r="M1380" s="57" t="str">
        <f aca="false">IF($I1380="","",INDEX(BookRate,1375)*(1+'5. Scenarios'!$C$10)*(INDEX(BookQ1,1375)*(5-MIN(4,1+'5. Scenarios'!$C$8))/4+INDEX(BookQ2,1375)*(5-MIN(4,2+'5. Scenarios'!$C$8))/4+INDEX(BookQ3,1375)*(5-MIN(4,3+'5. Scenarios'!$C$8))/4+INDEX(BookQ4,1375)*(5-MIN(4,4+'5. Scenarios'!$C$8))/4)*'5. Scenarios'!$C$6/(1+ProductivityDefault*('5. Scenarios'!$C$11-1))+INDEX(BookOneOff,1375)*$I1380)</f>
        <v/>
      </c>
      <c r="N1380" s="56" t="str">
        <f aca="false">IF(INDEX(BookTitle,1375)="","",INDEX(BookTotal,1375)*'5. Scenarios'!$D$6/(1+ProductivityDefault*('5. Scenarios'!$D$11-1)))</f>
        <v/>
      </c>
      <c r="O1380" s="57" t="str">
        <f aca="false">IF($N1380="","",INDEX(BookRate,1375)*(1+'5. Scenarios'!$D$10)*$N1380)</f>
        <v/>
      </c>
      <c r="P1380" s="57" t="str">
        <f aca="false">IF($O1380="","",SUMIFS($O$6:$O$2405,$A$6:$A$2405,"&lt;="&amp;$A1380))</f>
        <v/>
      </c>
      <c r="Q1380" s="57" t="str">
        <f aca="false">IF($O1380="","",IF($P1380&lt;=BankCostEnvelope*'5. Scenarios'!$D$7,1,0))</f>
        <v/>
      </c>
      <c r="R1380" s="57" t="str">
        <f aca="false">IF($N1380="","",INDEX(BookRate,1375)*(1+'5. Scenarios'!$D$10)*(INDEX(BookQ1,1375)*(5-MIN(4,1+'5. Scenarios'!$D$8))/4+INDEX(BookQ2,1375)*(5-MIN(4,2+'5. Scenarios'!$D$8))/4+INDEX(BookQ3,1375)*(5-MIN(4,3+'5. Scenarios'!$D$8))/4+INDEX(BookQ4,1375)*(5-MIN(4,4+'5. Scenarios'!$D$8))/4)*'5. Scenarios'!$D$6/(1+ProductivityDefault*('5. Scenarios'!$D$11-1))+INDEX(BookOneOff,1375)*$N1380)</f>
        <v/>
      </c>
      <c r="S1380" s="56" t="str">
        <f aca="false">IF(INDEX(BookTitle,1375)="","",INDEX(BookTotal,1375)*'5. Scenarios'!$E$6/(1+ProductivityDefault*('5. Scenarios'!$E$11-1)))</f>
        <v/>
      </c>
      <c r="T1380" s="57" t="str">
        <f aca="false">IF($S1380="","",INDEX(BookRate,1375)*(1+'5. Scenarios'!$E$10)*$S1380)</f>
        <v/>
      </c>
      <c r="U1380" s="57" t="str">
        <f aca="false">IF($T1380="","",SUMIFS($T$6:$T$2405,$A$6:$A$2405,"&lt;="&amp;$A1380))</f>
        <v/>
      </c>
      <c r="V1380" s="57" t="str">
        <f aca="false">IF($T1380="","",IF($U1380&lt;=BankCostEnvelope*'5. Scenarios'!$E$7,1,0))</f>
        <v/>
      </c>
      <c r="W1380" s="57" t="str">
        <f aca="false">IF($S1380="","",INDEX(BookRate,1375)*(1+'5. Scenarios'!$E$10)*(INDEX(BookQ1,1375)*(5-MIN(4,1+'5. Scenarios'!$E$8))/4+INDEX(BookQ2,1375)*(5-MIN(4,2+'5. Scenarios'!$E$8))/4+INDEX(BookQ3,1375)*(5-MIN(4,3+'5. Scenarios'!$E$8))/4+INDEX(BookQ4,1375)*(5-MIN(4,4+'5. Scenarios'!$E$8))/4)*'5. Scenarios'!$E$6/(1+ProductivityDefault*('5. Scenarios'!$E$11-1))+INDEX(BookOneOff,1375)*$S1380)</f>
        <v/>
      </c>
    </row>
    <row r="1381" customFormat="false" ht="15" hidden="false" customHeight="false" outlineLevel="0" collapsed="false">
      <c r="A1381" s="0" t="str">
        <f aca="false">IF(INDEX(BookTitle,1376)="","",INDEX(BookKey,1376))</f>
        <v/>
      </c>
      <c r="B1381" s="0" t="str">
        <f aca="false">IF(INDEX(BookTitle,1376)="","",INDEX(BookGroup,1376))</f>
        <v/>
      </c>
      <c r="C1381" s="0" t="str">
        <f aca="false">IF(INDEX(BookTitle,1376)="","",INDEX(BookCategory,1376))</f>
        <v/>
      </c>
      <c r="D1381" s="56" t="str">
        <f aca="false">IF(INDEX(BookTitle,1376)="","",INDEX(BookTotal,1376)*'5. Scenarios'!$B$6/(1+ProductivityDefault*('5. Scenarios'!$B$11-1)))</f>
        <v/>
      </c>
      <c r="E1381" s="57" t="str">
        <f aca="false">IF($D1381="","",INDEX(BookRate,1376)*(1+'5. Scenarios'!$B$10)*$D1381)</f>
        <v/>
      </c>
      <c r="F1381" s="57" t="str">
        <f aca="false">IF($E1381="","",SUMIFS($E$6:$E$2405,$A$6:$A$2405,"&lt;="&amp;$A1381))</f>
        <v/>
      </c>
      <c r="G1381" s="57" t="str">
        <f aca="false">IF($E1381="","",IF($F1381&lt;=BankCostEnvelope*'5. Scenarios'!$B$7,1,0))</f>
        <v/>
      </c>
      <c r="H1381" s="57" t="str">
        <f aca="false">IF($D1381="","",INDEX(BookRate,1376)*(1+'5. Scenarios'!$B$10)*(INDEX(BookQ1,1376)*(5-MIN(4,1+'5. Scenarios'!$B$8))/4+INDEX(BookQ2,1376)*(5-MIN(4,2+'5. Scenarios'!$B$8))/4+INDEX(BookQ3,1376)*(5-MIN(4,3+'5. Scenarios'!$B$8))/4+INDEX(BookQ4,1376)*(5-MIN(4,4+'5. Scenarios'!$B$8))/4)*'5. Scenarios'!$B$6/(1+ProductivityDefault*('5. Scenarios'!$B$11-1))+INDEX(BookOneOff,1376)*$D1381)</f>
        <v/>
      </c>
      <c r="I1381" s="56" t="str">
        <f aca="false">IF(INDEX(BookTitle,1376)="","",INDEX(BookTotal,1376)*'5. Scenarios'!$C$6/(1+ProductivityDefault*('5. Scenarios'!$C$11-1)))</f>
        <v/>
      </c>
      <c r="J1381" s="57" t="str">
        <f aca="false">IF($I1381="","",INDEX(BookRate,1376)*(1+'5. Scenarios'!$C$10)*$I1381)</f>
        <v/>
      </c>
      <c r="K1381" s="57" t="str">
        <f aca="false">IF($J1381="","",SUMIFS($J$6:$J$2405,$A$6:$A$2405,"&lt;="&amp;$A1381))</f>
        <v/>
      </c>
      <c r="L1381" s="57" t="str">
        <f aca="false">IF($J1381="","",IF($K1381&lt;=BankCostEnvelope*'5. Scenarios'!$C$7,1,0))</f>
        <v/>
      </c>
      <c r="M1381" s="57" t="str">
        <f aca="false">IF($I1381="","",INDEX(BookRate,1376)*(1+'5. Scenarios'!$C$10)*(INDEX(BookQ1,1376)*(5-MIN(4,1+'5. Scenarios'!$C$8))/4+INDEX(BookQ2,1376)*(5-MIN(4,2+'5. Scenarios'!$C$8))/4+INDEX(BookQ3,1376)*(5-MIN(4,3+'5. Scenarios'!$C$8))/4+INDEX(BookQ4,1376)*(5-MIN(4,4+'5. Scenarios'!$C$8))/4)*'5. Scenarios'!$C$6/(1+ProductivityDefault*('5. Scenarios'!$C$11-1))+INDEX(BookOneOff,1376)*$I1381)</f>
        <v/>
      </c>
      <c r="N1381" s="56" t="str">
        <f aca="false">IF(INDEX(BookTitle,1376)="","",INDEX(BookTotal,1376)*'5. Scenarios'!$D$6/(1+ProductivityDefault*('5. Scenarios'!$D$11-1)))</f>
        <v/>
      </c>
      <c r="O1381" s="57" t="str">
        <f aca="false">IF($N1381="","",INDEX(BookRate,1376)*(1+'5. Scenarios'!$D$10)*$N1381)</f>
        <v/>
      </c>
      <c r="P1381" s="57" t="str">
        <f aca="false">IF($O1381="","",SUMIFS($O$6:$O$2405,$A$6:$A$2405,"&lt;="&amp;$A1381))</f>
        <v/>
      </c>
      <c r="Q1381" s="57" t="str">
        <f aca="false">IF($O1381="","",IF($P1381&lt;=BankCostEnvelope*'5. Scenarios'!$D$7,1,0))</f>
        <v/>
      </c>
      <c r="R1381" s="57" t="str">
        <f aca="false">IF($N1381="","",INDEX(BookRate,1376)*(1+'5. Scenarios'!$D$10)*(INDEX(BookQ1,1376)*(5-MIN(4,1+'5. Scenarios'!$D$8))/4+INDEX(BookQ2,1376)*(5-MIN(4,2+'5. Scenarios'!$D$8))/4+INDEX(BookQ3,1376)*(5-MIN(4,3+'5. Scenarios'!$D$8))/4+INDEX(BookQ4,1376)*(5-MIN(4,4+'5. Scenarios'!$D$8))/4)*'5. Scenarios'!$D$6/(1+ProductivityDefault*('5. Scenarios'!$D$11-1))+INDEX(BookOneOff,1376)*$N1381)</f>
        <v/>
      </c>
      <c r="S1381" s="56" t="str">
        <f aca="false">IF(INDEX(BookTitle,1376)="","",INDEX(BookTotal,1376)*'5. Scenarios'!$E$6/(1+ProductivityDefault*('5. Scenarios'!$E$11-1)))</f>
        <v/>
      </c>
      <c r="T1381" s="57" t="str">
        <f aca="false">IF($S1381="","",INDEX(BookRate,1376)*(1+'5. Scenarios'!$E$10)*$S1381)</f>
        <v/>
      </c>
      <c r="U1381" s="57" t="str">
        <f aca="false">IF($T1381="","",SUMIFS($T$6:$T$2405,$A$6:$A$2405,"&lt;="&amp;$A1381))</f>
        <v/>
      </c>
      <c r="V1381" s="57" t="str">
        <f aca="false">IF($T1381="","",IF($U1381&lt;=BankCostEnvelope*'5. Scenarios'!$E$7,1,0))</f>
        <v/>
      </c>
      <c r="W1381" s="57" t="str">
        <f aca="false">IF($S1381="","",INDEX(BookRate,1376)*(1+'5. Scenarios'!$E$10)*(INDEX(BookQ1,1376)*(5-MIN(4,1+'5. Scenarios'!$E$8))/4+INDEX(BookQ2,1376)*(5-MIN(4,2+'5. Scenarios'!$E$8))/4+INDEX(BookQ3,1376)*(5-MIN(4,3+'5. Scenarios'!$E$8))/4+INDEX(BookQ4,1376)*(5-MIN(4,4+'5. Scenarios'!$E$8))/4)*'5. Scenarios'!$E$6/(1+ProductivityDefault*('5. Scenarios'!$E$11-1))+INDEX(BookOneOff,1376)*$S1381)</f>
        <v/>
      </c>
    </row>
    <row r="1382" customFormat="false" ht="15" hidden="false" customHeight="false" outlineLevel="0" collapsed="false">
      <c r="A1382" s="0" t="str">
        <f aca="false">IF(INDEX(BookTitle,1377)="","",INDEX(BookKey,1377))</f>
        <v/>
      </c>
      <c r="B1382" s="0" t="str">
        <f aca="false">IF(INDEX(BookTitle,1377)="","",INDEX(BookGroup,1377))</f>
        <v/>
      </c>
      <c r="C1382" s="0" t="str">
        <f aca="false">IF(INDEX(BookTitle,1377)="","",INDEX(BookCategory,1377))</f>
        <v/>
      </c>
      <c r="D1382" s="56" t="str">
        <f aca="false">IF(INDEX(BookTitle,1377)="","",INDEX(BookTotal,1377)*'5. Scenarios'!$B$6/(1+ProductivityDefault*('5. Scenarios'!$B$11-1)))</f>
        <v/>
      </c>
      <c r="E1382" s="57" t="str">
        <f aca="false">IF($D1382="","",INDEX(BookRate,1377)*(1+'5. Scenarios'!$B$10)*$D1382)</f>
        <v/>
      </c>
      <c r="F1382" s="57" t="str">
        <f aca="false">IF($E1382="","",SUMIFS($E$6:$E$2405,$A$6:$A$2405,"&lt;="&amp;$A1382))</f>
        <v/>
      </c>
      <c r="G1382" s="57" t="str">
        <f aca="false">IF($E1382="","",IF($F1382&lt;=BankCostEnvelope*'5. Scenarios'!$B$7,1,0))</f>
        <v/>
      </c>
      <c r="H1382" s="57" t="str">
        <f aca="false">IF($D1382="","",INDEX(BookRate,1377)*(1+'5. Scenarios'!$B$10)*(INDEX(BookQ1,1377)*(5-MIN(4,1+'5. Scenarios'!$B$8))/4+INDEX(BookQ2,1377)*(5-MIN(4,2+'5. Scenarios'!$B$8))/4+INDEX(BookQ3,1377)*(5-MIN(4,3+'5. Scenarios'!$B$8))/4+INDEX(BookQ4,1377)*(5-MIN(4,4+'5. Scenarios'!$B$8))/4)*'5. Scenarios'!$B$6/(1+ProductivityDefault*('5. Scenarios'!$B$11-1))+INDEX(BookOneOff,1377)*$D1382)</f>
        <v/>
      </c>
      <c r="I1382" s="56" t="str">
        <f aca="false">IF(INDEX(BookTitle,1377)="","",INDEX(BookTotal,1377)*'5. Scenarios'!$C$6/(1+ProductivityDefault*('5. Scenarios'!$C$11-1)))</f>
        <v/>
      </c>
      <c r="J1382" s="57" t="str">
        <f aca="false">IF($I1382="","",INDEX(BookRate,1377)*(1+'5. Scenarios'!$C$10)*$I1382)</f>
        <v/>
      </c>
      <c r="K1382" s="57" t="str">
        <f aca="false">IF($J1382="","",SUMIFS($J$6:$J$2405,$A$6:$A$2405,"&lt;="&amp;$A1382))</f>
        <v/>
      </c>
      <c r="L1382" s="57" t="str">
        <f aca="false">IF($J1382="","",IF($K1382&lt;=BankCostEnvelope*'5. Scenarios'!$C$7,1,0))</f>
        <v/>
      </c>
      <c r="M1382" s="57" t="str">
        <f aca="false">IF($I1382="","",INDEX(BookRate,1377)*(1+'5. Scenarios'!$C$10)*(INDEX(BookQ1,1377)*(5-MIN(4,1+'5. Scenarios'!$C$8))/4+INDEX(BookQ2,1377)*(5-MIN(4,2+'5. Scenarios'!$C$8))/4+INDEX(BookQ3,1377)*(5-MIN(4,3+'5. Scenarios'!$C$8))/4+INDEX(BookQ4,1377)*(5-MIN(4,4+'5. Scenarios'!$C$8))/4)*'5. Scenarios'!$C$6/(1+ProductivityDefault*('5. Scenarios'!$C$11-1))+INDEX(BookOneOff,1377)*$I1382)</f>
        <v/>
      </c>
      <c r="N1382" s="56" t="str">
        <f aca="false">IF(INDEX(BookTitle,1377)="","",INDEX(BookTotal,1377)*'5. Scenarios'!$D$6/(1+ProductivityDefault*('5. Scenarios'!$D$11-1)))</f>
        <v/>
      </c>
      <c r="O1382" s="57" t="str">
        <f aca="false">IF($N1382="","",INDEX(BookRate,1377)*(1+'5. Scenarios'!$D$10)*$N1382)</f>
        <v/>
      </c>
      <c r="P1382" s="57" t="str">
        <f aca="false">IF($O1382="","",SUMIFS($O$6:$O$2405,$A$6:$A$2405,"&lt;="&amp;$A1382))</f>
        <v/>
      </c>
      <c r="Q1382" s="57" t="str">
        <f aca="false">IF($O1382="","",IF($P1382&lt;=BankCostEnvelope*'5. Scenarios'!$D$7,1,0))</f>
        <v/>
      </c>
      <c r="R1382" s="57" t="str">
        <f aca="false">IF($N1382="","",INDEX(BookRate,1377)*(1+'5. Scenarios'!$D$10)*(INDEX(BookQ1,1377)*(5-MIN(4,1+'5. Scenarios'!$D$8))/4+INDEX(BookQ2,1377)*(5-MIN(4,2+'5. Scenarios'!$D$8))/4+INDEX(BookQ3,1377)*(5-MIN(4,3+'5. Scenarios'!$D$8))/4+INDEX(BookQ4,1377)*(5-MIN(4,4+'5. Scenarios'!$D$8))/4)*'5. Scenarios'!$D$6/(1+ProductivityDefault*('5. Scenarios'!$D$11-1))+INDEX(BookOneOff,1377)*$N1382)</f>
        <v/>
      </c>
      <c r="S1382" s="56" t="str">
        <f aca="false">IF(INDEX(BookTitle,1377)="","",INDEX(BookTotal,1377)*'5. Scenarios'!$E$6/(1+ProductivityDefault*('5. Scenarios'!$E$11-1)))</f>
        <v/>
      </c>
      <c r="T1382" s="57" t="str">
        <f aca="false">IF($S1382="","",INDEX(BookRate,1377)*(1+'5. Scenarios'!$E$10)*$S1382)</f>
        <v/>
      </c>
      <c r="U1382" s="57" t="str">
        <f aca="false">IF($T1382="","",SUMIFS($T$6:$T$2405,$A$6:$A$2405,"&lt;="&amp;$A1382))</f>
        <v/>
      </c>
      <c r="V1382" s="57" t="str">
        <f aca="false">IF($T1382="","",IF($U1382&lt;=BankCostEnvelope*'5. Scenarios'!$E$7,1,0))</f>
        <v/>
      </c>
      <c r="W1382" s="57" t="str">
        <f aca="false">IF($S1382="","",INDEX(BookRate,1377)*(1+'5. Scenarios'!$E$10)*(INDEX(BookQ1,1377)*(5-MIN(4,1+'5. Scenarios'!$E$8))/4+INDEX(BookQ2,1377)*(5-MIN(4,2+'5. Scenarios'!$E$8))/4+INDEX(BookQ3,1377)*(5-MIN(4,3+'5. Scenarios'!$E$8))/4+INDEX(BookQ4,1377)*(5-MIN(4,4+'5. Scenarios'!$E$8))/4)*'5. Scenarios'!$E$6/(1+ProductivityDefault*('5. Scenarios'!$E$11-1))+INDEX(BookOneOff,1377)*$S1382)</f>
        <v/>
      </c>
    </row>
    <row r="1383" customFormat="false" ht="15" hidden="false" customHeight="false" outlineLevel="0" collapsed="false">
      <c r="A1383" s="0" t="str">
        <f aca="false">IF(INDEX(BookTitle,1378)="","",INDEX(BookKey,1378))</f>
        <v/>
      </c>
      <c r="B1383" s="0" t="str">
        <f aca="false">IF(INDEX(BookTitle,1378)="","",INDEX(BookGroup,1378))</f>
        <v/>
      </c>
      <c r="C1383" s="0" t="str">
        <f aca="false">IF(INDEX(BookTitle,1378)="","",INDEX(BookCategory,1378))</f>
        <v/>
      </c>
      <c r="D1383" s="56" t="str">
        <f aca="false">IF(INDEX(BookTitle,1378)="","",INDEX(BookTotal,1378)*'5. Scenarios'!$B$6/(1+ProductivityDefault*('5. Scenarios'!$B$11-1)))</f>
        <v/>
      </c>
      <c r="E1383" s="57" t="str">
        <f aca="false">IF($D1383="","",INDEX(BookRate,1378)*(1+'5. Scenarios'!$B$10)*$D1383)</f>
        <v/>
      </c>
      <c r="F1383" s="57" t="str">
        <f aca="false">IF($E1383="","",SUMIFS($E$6:$E$2405,$A$6:$A$2405,"&lt;="&amp;$A1383))</f>
        <v/>
      </c>
      <c r="G1383" s="57" t="str">
        <f aca="false">IF($E1383="","",IF($F1383&lt;=BankCostEnvelope*'5. Scenarios'!$B$7,1,0))</f>
        <v/>
      </c>
      <c r="H1383" s="57" t="str">
        <f aca="false">IF($D1383="","",INDEX(BookRate,1378)*(1+'5. Scenarios'!$B$10)*(INDEX(BookQ1,1378)*(5-MIN(4,1+'5. Scenarios'!$B$8))/4+INDEX(BookQ2,1378)*(5-MIN(4,2+'5. Scenarios'!$B$8))/4+INDEX(BookQ3,1378)*(5-MIN(4,3+'5. Scenarios'!$B$8))/4+INDEX(BookQ4,1378)*(5-MIN(4,4+'5. Scenarios'!$B$8))/4)*'5. Scenarios'!$B$6/(1+ProductivityDefault*('5. Scenarios'!$B$11-1))+INDEX(BookOneOff,1378)*$D1383)</f>
        <v/>
      </c>
      <c r="I1383" s="56" t="str">
        <f aca="false">IF(INDEX(BookTitle,1378)="","",INDEX(BookTotal,1378)*'5. Scenarios'!$C$6/(1+ProductivityDefault*('5. Scenarios'!$C$11-1)))</f>
        <v/>
      </c>
      <c r="J1383" s="57" t="str">
        <f aca="false">IF($I1383="","",INDEX(BookRate,1378)*(1+'5. Scenarios'!$C$10)*$I1383)</f>
        <v/>
      </c>
      <c r="K1383" s="57" t="str">
        <f aca="false">IF($J1383="","",SUMIFS($J$6:$J$2405,$A$6:$A$2405,"&lt;="&amp;$A1383))</f>
        <v/>
      </c>
      <c r="L1383" s="57" t="str">
        <f aca="false">IF($J1383="","",IF($K1383&lt;=BankCostEnvelope*'5. Scenarios'!$C$7,1,0))</f>
        <v/>
      </c>
      <c r="M1383" s="57" t="str">
        <f aca="false">IF($I1383="","",INDEX(BookRate,1378)*(1+'5. Scenarios'!$C$10)*(INDEX(BookQ1,1378)*(5-MIN(4,1+'5. Scenarios'!$C$8))/4+INDEX(BookQ2,1378)*(5-MIN(4,2+'5. Scenarios'!$C$8))/4+INDEX(BookQ3,1378)*(5-MIN(4,3+'5. Scenarios'!$C$8))/4+INDEX(BookQ4,1378)*(5-MIN(4,4+'5. Scenarios'!$C$8))/4)*'5. Scenarios'!$C$6/(1+ProductivityDefault*('5. Scenarios'!$C$11-1))+INDEX(BookOneOff,1378)*$I1383)</f>
        <v/>
      </c>
      <c r="N1383" s="56" t="str">
        <f aca="false">IF(INDEX(BookTitle,1378)="","",INDEX(BookTotal,1378)*'5. Scenarios'!$D$6/(1+ProductivityDefault*('5. Scenarios'!$D$11-1)))</f>
        <v/>
      </c>
      <c r="O1383" s="57" t="str">
        <f aca="false">IF($N1383="","",INDEX(BookRate,1378)*(1+'5. Scenarios'!$D$10)*$N1383)</f>
        <v/>
      </c>
      <c r="P1383" s="57" t="str">
        <f aca="false">IF($O1383="","",SUMIFS($O$6:$O$2405,$A$6:$A$2405,"&lt;="&amp;$A1383))</f>
        <v/>
      </c>
      <c r="Q1383" s="57" t="str">
        <f aca="false">IF($O1383="","",IF($P1383&lt;=BankCostEnvelope*'5. Scenarios'!$D$7,1,0))</f>
        <v/>
      </c>
      <c r="R1383" s="57" t="str">
        <f aca="false">IF($N1383="","",INDEX(BookRate,1378)*(1+'5. Scenarios'!$D$10)*(INDEX(BookQ1,1378)*(5-MIN(4,1+'5. Scenarios'!$D$8))/4+INDEX(BookQ2,1378)*(5-MIN(4,2+'5. Scenarios'!$D$8))/4+INDEX(BookQ3,1378)*(5-MIN(4,3+'5. Scenarios'!$D$8))/4+INDEX(BookQ4,1378)*(5-MIN(4,4+'5. Scenarios'!$D$8))/4)*'5. Scenarios'!$D$6/(1+ProductivityDefault*('5. Scenarios'!$D$11-1))+INDEX(BookOneOff,1378)*$N1383)</f>
        <v/>
      </c>
      <c r="S1383" s="56" t="str">
        <f aca="false">IF(INDEX(BookTitle,1378)="","",INDEX(BookTotal,1378)*'5. Scenarios'!$E$6/(1+ProductivityDefault*('5. Scenarios'!$E$11-1)))</f>
        <v/>
      </c>
      <c r="T1383" s="57" t="str">
        <f aca="false">IF($S1383="","",INDEX(BookRate,1378)*(1+'5. Scenarios'!$E$10)*$S1383)</f>
        <v/>
      </c>
      <c r="U1383" s="57" t="str">
        <f aca="false">IF($T1383="","",SUMIFS($T$6:$T$2405,$A$6:$A$2405,"&lt;="&amp;$A1383))</f>
        <v/>
      </c>
      <c r="V1383" s="57" t="str">
        <f aca="false">IF($T1383="","",IF($U1383&lt;=BankCostEnvelope*'5. Scenarios'!$E$7,1,0))</f>
        <v/>
      </c>
      <c r="W1383" s="57" t="str">
        <f aca="false">IF($S1383="","",INDEX(BookRate,1378)*(1+'5. Scenarios'!$E$10)*(INDEX(BookQ1,1378)*(5-MIN(4,1+'5. Scenarios'!$E$8))/4+INDEX(BookQ2,1378)*(5-MIN(4,2+'5. Scenarios'!$E$8))/4+INDEX(BookQ3,1378)*(5-MIN(4,3+'5. Scenarios'!$E$8))/4+INDEX(BookQ4,1378)*(5-MIN(4,4+'5. Scenarios'!$E$8))/4)*'5. Scenarios'!$E$6/(1+ProductivityDefault*('5. Scenarios'!$E$11-1))+INDEX(BookOneOff,1378)*$S1383)</f>
        <v/>
      </c>
    </row>
    <row r="1384" customFormat="false" ht="15" hidden="false" customHeight="false" outlineLevel="0" collapsed="false">
      <c r="A1384" s="0" t="str">
        <f aca="false">IF(INDEX(BookTitle,1379)="","",INDEX(BookKey,1379))</f>
        <v/>
      </c>
      <c r="B1384" s="0" t="str">
        <f aca="false">IF(INDEX(BookTitle,1379)="","",INDEX(BookGroup,1379))</f>
        <v/>
      </c>
      <c r="C1384" s="0" t="str">
        <f aca="false">IF(INDEX(BookTitle,1379)="","",INDEX(BookCategory,1379))</f>
        <v/>
      </c>
      <c r="D1384" s="56" t="str">
        <f aca="false">IF(INDEX(BookTitle,1379)="","",INDEX(BookTotal,1379)*'5. Scenarios'!$B$6/(1+ProductivityDefault*('5. Scenarios'!$B$11-1)))</f>
        <v/>
      </c>
      <c r="E1384" s="57" t="str">
        <f aca="false">IF($D1384="","",INDEX(BookRate,1379)*(1+'5. Scenarios'!$B$10)*$D1384)</f>
        <v/>
      </c>
      <c r="F1384" s="57" t="str">
        <f aca="false">IF($E1384="","",SUMIFS($E$6:$E$2405,$A$6:$A$2405,"&lt;="&amp;$A1384))</f>
        <v/>
      </c>
      <c r="G1384" s="57" t="str">
        <f aca="false">IF($E1384="","",IF($F1384&lt;=BankCostEnvelope*'5. Scenarios'!$B$7,1,0))</f>
        <v/>
      </c>
      <c r="H1384" s="57" t="str">
        <f aca="false">IF($D1384="","",INDEX(BookRate,1379)*(1+'5. Scenarios'!$B$10)*(INDEX(BookQ1,1379)*(5-MIN(4,1+'5. Scenarios'!$B$8))/4+INDEX(BookQ2,1379)*(5-MIN(4,2+'5. Scenarios'!$B$8))/4+INDEX(BookQ3,1379)*(5-MIN(4,3+'5. Scenarios'!$B$8))/4+INDEX(BookQ4,1379)*(5-MIN(4,4+'5. Scenarios'!$B$8))/4)*'5. Scenarios'!$B$6/(1+ProductivityDefault*('5. Scenarios'!$B$11-1))+INDEX(BookOneOff,1379)*$D1384)</f>
        <v/>
      </c>
      <c r="I1384" s="56" t="str">
        <f aca="false">IF(INDEX(BookTitle,1379)="","",INDEX(BookTotal,1379)*'5. Scenarios'!$C$6/(1+ProductivityDefault*('5. Scenarios'!$C$11-1)))</f>
        <v/>
      </c>
      <c r="J1384" s="57" t="str">
        <f aca="false">IF($I1384="","",INDEX(BookRate,1379)*(1+'5. Scenarios'!$C$10)*$I1384)</f>
        <v/>
      </c>
      <c r="K1384" s="57" t="str">
        <f aca="false">IF($J1384="","",SUMIFS($J$6:$J$2405,$A$6:$A$2405,"&lt;="&amp;$A1384))</f>
        <v/>
      </c>
      <c r="L1384" s="57" t="str">
        <f aca="false">IF($J1384="","",IF($K1384&lt;=BankCostEnvelope*'5. Scenarios'!$C$7,1,0))</f>
        <v/>
      </c>
      <c r="M1384" s="57" t="str">
        <f aca="false">IF($I1384="","",INDEX(BookRate,1379)*(1+'5. Scenarios'!$C$10)*(INDEX(BookQ1,1379)*(5-MIN(4,1+'5. Scenarios'!$C$8))/4+INDEX(BookQ2,1379)*(5-MIN(4,2+'5. Scenarios'!$C$8))/4+INDEX(BookQ3,1379)*(5-MIN(4,3+'5. Scenarios'!$C$8))/4+INDEX(BookQ4,1379)*(5-MIN(4,4+'5. Scenarios'!$C$8))/4)*'5. Scenarios'!$C$6/(1+ProductivityDefault*('5. Scenarios'!$C$11-1))+INDEX(BookOneOff,1379)*$I1384)</f>
        <v/>
      </c>
      <c r="N1384" s="56" t="str">
        <f aca="false">IF(INDEX(BookTitle,1379)="","",INDEX(BookTotal,1379)*'5. Scenarios'!$D$6/(1+ProductivityDefault*('5. Scenarios'!$D$11-1)))</f>
        <v/>
      </c>
      <c r="O1384" s="57" t="str">
        <f aca="false">IF($N1384="","",INDEX(BookRate,1379)*(1+'5. Scenarios'!$D$10)*$N1384)</f>
        <v/>
      </c>
      <c r="P1384" s="57" t="str">
        <f aca="false">IF($O1384="","",SUMIFS($O$6:$O$2405,$A$6:$A$2405,"&lt;="&amp;$A1384))</f>
        <v/>
      </c>
      <c r="Q1384" s="57" t="str">
        <f aca="false">IF($O1384="","",IF($P1384&lt;=BankCostEnvelope*'5. Scenarios'!$D$7,1,0))</f>
        <v/>
      </c>
      <c r="R1384" s="57" t="str">
        <f aca="false">IF($N1384="","",INDEX(BookRate,1379)*(1+'5. Scenarios'!$D$10)*(INDEX(BookQ1,1379)*(5-MIN(4,1+'5. Scenarios'!$D$8))/4+INDEX(BookQ2,1379)*(5-MIN(4,2+'5. Scenarios'!$D$8))/4+INDEX(BookQ3,1379)*(5-MIN(4,3+'5. Scenarios'!$D$8))/4+INDEX(BookQ4,1379)*(5-MIN(4,4+'5. Scenarios'!$D$8))/4)*'5. Scenarios'!$D$6/(1+ProductivityDefault*('5. Scenarios'!$D$11-1))+INDEX(BookOneOff,1379)*$N1384)</f>
        <v/>
      </c>
      <c r="S1384" s="56" t="str">
        <f aca="false">IF(INDEX(BookTitle,1379)="","",INDEX(BookTotal,1379)*'5. Scenarios'!$E$6/(1+ProductivityDefault*('5. Scenarios'!$E$11-1)))</f>
        <v/>
      </c>
      <c r="T1384" s="57" t="str">
        <f aca="false">IF($S1384="","",INDEX(BookRate,1379)*(1+'5. Scenarios'!$E$10)*$S1384)</f>
        <v/>
      </c>
      <c r="U1384" s="57" t="str">
        <f aca="false">IF($T1384="","",SUMIFS($T$6:$T$2405,$A$6:$A$2405,"&lt;="&amp;$A1384))</f>
        <v/>
      </c>
      <c r="V1384" s="57" t="str">
        <f aca="false">IF($T1384="","",IF($U1384&lt;=BankCostEnvelope*'5. Scenarios'!$E$7,1,0))</f>
        <v/>
      </c>
      <c r="W1384" s="57" t="str">
        <f aca="false">IF($S1384="","",INDEX(BookRate,1379)*(1+'5. Scenarios'!$E$10)*(INDEX(BookQ1,1379)*(5-MIN(4,1+'5. Scenarios'!$E$8))/4+INDEX(BookQ2,1379)*(5-MIN(4,2+'5. Scenarios'!$E$8))/4+INDEX(BookQ3,1379)*(5-MIN(4,3+'5. Scenarios'!$E$8))/4+INDEX(BookQ4,1379)*(5-MIN(4,4+'5. Scenarios'!$E$8))/4)*'5. Scenarios'!$E$6/(1+ProductivityDefault*('5. Scenarios'!$E$11-1))+INDEX(BookOneOff,1379)*$S1384)</f>
        <v/>
      </c>
    </row>
    <row r="1385" customFormat="false" ht="15" hidden="false" customHeight="false" outlineLevel="0" collapsed="false">
      <c r="A1385" s="0" t="str">
        <f aca="false">IF(INDEX(BookTitle,1380)="","",INDEX(BookKey,1380))</f>
        <v/>
      </c>
      <c r="B1385" s="0" t="str">
        <f aca="false">IF(INDEX(BookTitle,1380)="","",INDEX(BookGroup,1380))</f>
        <v/>
      </c>
      <c r="C1385" s="0" t="str">
        <f aca="false">IF(INDEX(BookTitle,1380)="","",INDEX(BookCategory,1380))</f>
        <v/>
      </c>
      <c r="D1385" s="56" t="str">
        <f aca="false">IF(INDEX(BookTitle,1380)="","",INDEX(BookTotal,1380)*'5. Scenarios'!$B$6/(1+ProductivityDefault*('5. Scenarios'!$B$11-1)))</f>
        <v/>
      </c>
      <c r="E1385" s="57" t="str">
        <f aca="false">IF($D1385="","",INDEX(BookRate,1380)*(1+'5. Scenarios'!$B$10)*$D1385)</f>
        <v/>
      </c>
      <c r="F1385" s="57" t="str">
        <f aca="false">IF($E1385="","",SUMIFS($E$6:$E$2405,$A$6:$A$2405,"&lt;="&amp;$A1385))</f>
        <v/>
      </c>
      <c r="G1385" s="57" t="str">
        <f aca="false">IF($E1385="","",IF($F1385&lt;=BankCostEnvelope*'5. Scenarios'!$B$7,1,0))</f>
        <v/>
      </c>
      <c r="H1385" s="57" t="str">
        <f aca="false">IF($D1385="","",INDEX(BookRate,1380)*(1+'5. Scenarios'!$B$10)*(INDEX(BookQ1,1380)*(5-MIN(4,1+'5. Scenarios'!$B$8))/4+INDEX(BookQ2,1380)*(5-MIN(4,2+'5. Scenarios'!$B$8))/4+INDEX(BookQ3,1380)*(5-MIN(4,3+'5. Scenarios'!$B$8))/4+INDEX(BookQ4,1380)*(5-MIN(4,4+'5. Scenarios'!$B$8))/4)*'5. Scenarios'!$B$6/(1+ProductivityDefault*('5. Scenarios'!$B$11-1))+INDEX(BookOneOff,1380)*$D1385)</f>
        <v/>
      </c>
      <c r="I1385" s="56" t="str">
        <f aca="false">IF(INDEX(BookTitle,1380)="","",INDEX(BookTotal,1380)*'5. Scenarios'!$C$6/(1+ProductivityDefault*('5. Scenarios'!$C$11-1)))</f>
        <v/>
      </c>
      <c r="J1385" s="57" t="str">
        <f aca="false">IF($I1385="","",INDEX(BookRate,1380)*(1+'5. Scenarios'!$C$10)*$I1385)</f>
        <v/>
      </c>
      <c r="K1385" s="57" t="str">
        <f aca="false">IF($J1385="","",SUMIFS($J$6:$J$2405,$A$6:$A$2405,"&lt;="&amp;$A1385))</f>
        <v/>
      </c>
      <c r="L1385" s="57" t="str">
        <f aca="false">IF($J1385="","",IF($K1385&lt;=BankCostEnvelope*'5. Scenarios'!$C$7,1,0))</f>
        <v/>
      </c>
      <c r="M1385" s="57" t="str">
        <f aca="false">IF($I1385="","",INDEX(BookRate,1380)*(1+'5. Scenarios'!$C$10)*(INDEX(BookQ1,1380)*(5-MIN(4,1+'5. Scenarios'!$C$8))/4+INDEX(BookQ2,1380)*(5-MIN(4,2+'5. Scenarios'!$C$8))/4+INDEX(BookQ3,1380)*(5-MIN(4,3+'5. Scenarios'!$C$8))/4+INDEX(BookQ4,1380)*(5-MIN(4,4+'5. Scenarios'!$C$8))/4)*'5. Scenarios'!$C$6/(1+ProductivityDefault*('5. Scenarios'!$C$11-1))+INDEX(BookOneOff,1380)*$I1385)</f>
        <v/>
      </c>
      <c r="N1385" s="56" t="str">
        <f aca="false">IF(INDEX(BookTitle,1380)="","",INDEX(BookTotal,1380)*'5. Scenarios'!$D$6/(1+ProductivityDefault*('5. Scenarios'!$D$11-1)))</f>
        <v/>
      </c>
      <c r="O1385" s="57" t="str">
        <f aca="false">IF($N1385="","",INDEX(BookRate,1380)*(1+'5. Scenarios'!$D$10)*$N1385)</f>
        <v/>
      </c>
      <c r="P1385" s="57" t="str">
        <f aca="false">IF($O1385="","",SUMIFS($O$6:$O$2405,$A$6:$A$2405,"&lt;="&amp;$A1385))</f>
        <v/>
      </c>
      <c r="Q1385" s="57" t="str">
        <f aca="false">IF($O1385="","",IF($P1385&lt;=BankCostEnvelope*'5. Scenarios'!$D$7,1,0))</f>
        <v/>
      </c>
      <c r="R1385" s="57" t="str">
        <f aca="false">IF($N1385="","",INDEX(BookRate,1380)*(1+'5. Scenarios'!$D$10)*(INDEX(BookQ1,1380)*(5-MIN(4,1+'5. Scenarios'!$D$8))/4+INDEX(BookQ2,1380)*(5-MIN(4,2+'5. Scenarios'!$D$8))/4+INDEX(BookQ3,1380)*(5-MIN(4,3+'5. Scenarios'!$D$8))/4+INDEX(BookQ4,1380)*(5-MIN(4,4+'5. Scenarios'!$D$8))/4)*'5. Scenarios'!$D$6/(1+ProductivityDefault*('5. Scenarios'!$D$11-1))+INDEX(BookOneOff,1380)*$N1385)</f>
        <v/>
      </c>
      <c r="S1385" s="56" t="str">
        <f aca="false">IF(INDEX(BookTitle,1380)="","",INDEX(BookTotal,1380)*'5. Scenarios'!$E$6/(1+ProductivityDefault*('5. Scenarios'!$E$11-1)))</f>
        <v/>
      </c>
      <c r="T1385" s="57" t="str">
        <f aca="false">IF($S1385="","",INDEX(BookRate,1380)*(1+'5. Scenarios'!$E$10)*$S1385)</f>
        <v/>
      </c>
      <c r="U1385" s="57" t="str">
        <f aca="false">IF($T1385="","",SUMIFS($T$6:$T$2405,$A$6:$A$2405,"&lt;="&amp;$A1385))</f>
        <v/>
      </c>
      <c r="V1385" s="57" t="str">
        <f aca="false">IF($T1385="","",IF($U1385&lt;=BankCostEnvelope*'5. Scenarios'!$E$7,1,0))</f>
        <v/>
      </c>
      <c r="W1385" s="57" t="str">
        <f aca="false">IF($S1385="","",INDEX(BookRate,1380)*(1+'5. Scenarios'!$E$10)*(INDEX(BookQ1,1380)*(5-MIN(4,1+'5. Scenarios'!$E$8))/4+INDEX(BookQ2,1380)*(5-MIN(4,2+'5. Scenarios'!$E$8))/4+INDEX(BookQ3,1380)*(5-MIN(4,3+'5. Scenarios'!$E$8))/4+INDEX(BookQ4,1380)*(5-MIN(4,4+'5. Scenarios'!$E$8))/4)*'5. Scenarios'!$E$6/(1+ProductivityDefault*('5. Scenarios'!$E$11-1))+INDEX(BookOneOff,1380)*$S1385)</f>
        <v/>
      </c>
    </row>
    <row r="1386" customFormat="false" ht="15" hidden="false" customHeight="false" outlineLevel="0" collapsed="false">
      <c r="A1386" s="0" t="str">
        <f aca="false">IF(INDEX(BookTitle,1381)="","",INDEX(BookKey,1381))</f>
        <v/>
      </c>
      <c r="B1386" s="0" t="str">
        <f aca="false">IF(INDEX(BookTitle,1381)="","",INDEX(BookGroup,1381))</f>
        <v/>
      </c>
      <c r="C1386" s="0" t="str">
        <f aca="false">IF(INDEX(BookTitle,1381)="","",INDEX(BookCategory,1381))</f>
        <v/>
      </c>
      <c r="D1386" s="56" t="str">
        <f aca="false">IF(INDEX(BookTitle,1381)="","",INDEX(BookTotal,1381)*'5. Scenarios'!$B$6/(1+ProductivityDefault*('5. Scenarios'!$B$11-1)))</f>
        <v/>
      </c>
      <c r="E1386" s="57" t="str">
        <f aca="false">IF($D1386="","",INDEX(BookRate,1381)*(1+'5. Scenarios'!$B$10)*$D1386)</f>
        <v/>
      </c>
      <c r="F1386" s="57" t="str">
        <f aca="false">IF($E1386="","",SUMIFS($E$6:$E$2405,$A$6:$A$2405,"&lt;="&amp;$A1386))</f>
        <v/>
      </c>
      <c r="G1386" s="57" t="str">
        <f aca="false">IF($E1386="","",IF($F1386&lt;=BankCostEnvelope*'5. Scenarios'!$B$7,1,0))</f>
        <v/>
      </c>
      <c r="H1386" s="57" t="str">
        <f aca="false">IF($D1386="","",INDEX(BookRate,1381)*(1+'5. Scenarios'!$B$10)*(INDEX(BookQ1,1381)*(5-MIN(4,1+'5. Scenarios'!$B$8))/4+INDEX(BookQ2,1381)*(5-MIN(4,2+'5. Scenarios'!$B$8))/4+INDEX(BookQ3,1381)*(5-MIN(4,3+'5. Scenarios'!$B$8))/4+INDEX(BookQ4,1381)*(5-MIN(4,4+'5. Scenarios'!$B$8))/4)*'5. Scenarios'!$B$6/(1+ProductivityDefault*('5. Scenarios'!$B$11-1))+INDEX(BookOneOff,1381)*$D1386)</f>
        <v/>
      </c>
      <c r="I1386" s="56" t="str">
        <f aca="false">IF(INDEX(BookTitle,1381)="","",INDEX(BookTotal,1381)*'5. Scenarios'!$C$6/(1+ProductivityDefault*('5. Scenarios'!$C$11-1)))</f>
        <v/>
      </c>
      <c r="J1386" s="57" t="str">
        <f aca="false">IF($I1386="","",INDEX(BookRate,1381)*(1+'5. Scenarios'!$C$10)*$I1386)</f>
        <v/>
      </c>
      <c r="K1386" s="57" t="str">
        <f aca="false">IF($J1386="","",SUMIFS($J$6:$J$2405,$A$6:$A$2405,"&lt;="&amp;$A1386))</f>
        <v/>
      </c>
      <c r="L1386" s="57" t="str">
        <f aca="false">IF($J1386="","",IF($K1386&lt;=BankCostEnvelope*'5. Scenarios'!$C$7,1,0))</f>
        <v/>
      </c>
      <c r="M1386" s="57" t="str">
        <f aca="false">IF($I1386="","",INDEX(BookRate,1381)*(1+'5. Scenarios'!$C$10)*(INDEX(BookQ1,1381)*(5-MIN(4,1+'5. Scenarios'!$C$8))/4+INDEX(BookQ2,1381)*(5-MIN(4,2+'5. Scenarios'!$C$8))/4+INDEX(BookQ3,1381)*(5-MIN(4,3+'5. Scenarios'!$C$8))/4+INDEX(BookQ4,1381)*(5-MIN(4,4+'5. Scenarios'!$C$8))/4)*'5. Scenarios'!$C$6/(1+ProductivityDefault*('5. Scenarios'!$C$11-1))+INDEX(BookOneOff,1381)*$I1386)</f>
        <v/>
      </c>
      <c r="N1386" s="56" t="str">
        <f aca="false">IF(INDEX(BookTitle,1381)="","",INDEX(BookTotal,1381)*'5. Scenarios'!$D$6/(1+ProductivityDefault*('5. Scenarios'!$D$11-1)))</f>
        <v/>
      </c>
      <c r="O1386" s="57" t="str">
        <f aca="false">IF($N1386="","",INDEX(BookRate,1381)*(1+'5. Scenarios'!$D$10)*$N1386)</f>
        <v/>
      </c>
      <c r="P1386" s="57" t="str">
        <f aca="false">IF($O1386="","",SUMIFS($O$6:$O$2405,$A$6:$A$2405,"&lt;="&amp;$A1386))</f>
        <v/>
      </c>
      <c r="Q1386" s="57" t="str">
        <f aca="false">IF($O1386="","",IF($P1386&lt;=BankCostEnvelope*'5. Scenarios'!$D$7,1,0))</f>
        <v/>
      </c>
      <c r="R1386" s="57" t="str">
        <f aca="false">IF($N1386="","",INDEX(BookRate,1381)*(1+'5. Scenarios'!$D$10)*(INDEX(BookQ1,1381)*(5-MIN(4,1+'5. Scenarios'!$D$8))/4+INDEX(BookQ2,1381)*(5-MIN(4,2+'5. Scenarios'!$D$8))/4+INDEX(BookQ3,1381)*(5-MIN(4,3+'5. Scenarios'!$D$8))/4+INDEX(BookQ4,1381)*(5-MIN(4,4+'5. Scenarios'!$D$8))/4)*'5. Scenarios'!$D$6/(1+ProductivityDefault*('5. Scenarios'!$D$11-1))+INDEX(BookOneOff,1381)*$N1386)</f>
        <v/>
      </c>
      <c r="S1386" s="56" t="str">
        <f aca="false">IF(INDEX(BookTitle,1381)="","",INDEX(BookTotal,1381)*'5. Scenarios'!$E$6/(1+ProductivityDefault*('5. Scenarios'!$E$11-1)))</f>
        <v/>
      </c>
      <c r="T1386" s="57" t="str">
        <f aca="false">IF($S1386="","",INDEX(BookRate,1381)*(1+'5. Scenarios'!$E$10)*$S1386)</f>
        <v/>
      </c>
      <c r="U1386" s="57" t="str">
        <f aca="false">IF($T1386="","",SUMIFS($T$6:$T$2405,$A$6:$A$2405,"&lt;="&amp;$A1386))</f>
        <v/>
      </c>
      <c r="V1386" s="57" t="str">
        <f aca="false">IF($T1386="","",IF($U1386&lt;=BankCostEnvelope*'5. Scenarios'!$E$7,1,0))</f>
        <v/>
      </c>
      <c r="W1386" s="57" t="str">
        <f aca="false">IF($S1386="","",INDEX(BookRate,1381)*(1+'5. Scenarios'!$E$10)*(INDEX(BookQ1,1381)*(5-MIN(4,1+'5. Scenarios'!$E$8))/4+INDEX(BookQ2,1381)*(5-MIN(4,2+'5. Scenarios'!$E$8))/4+INDEX(BookQ3,1381)*(5-MIN(4,3+'5. Scenarios'!$E$8))/4+INDEX(BookQ4,1381)*(5-MIN(4,4+'5. Scenarios'!$E$8))/4)*'5. Scenarios'!$E$6/(1+ProductivityDefault*('5. Scenarios'!$E$11-1))+INDEX(BookOneOff,1381)*$S1386)</f>
        <v/>
      </c>
    </row>
    <row r="1387" customFormat="false" ht="15" hidden="false" customHeight="false" outlineLevel="0" collapsed="false">
      <c r="A1387" s="0" t="str">
        <f aca="false">IF(INDEX(BookTitle,1382)="","",INDEX(BookKey,1382))</f>
        <v/>
      </c>
      <c r="B1387" s="0" t="str">
        <f aca="false">IF(INDEX(BookTitle,1382)="","",INDEX(BookGroup,1382))</f>
        <v/>
      </c>
      <c r="C1387" s="0" t="str">
        <f aca="false">IF(INDEX(BookTitle,1382)="","",INDEX(BookCategory,1382))</f>
        <v/>
      </c>
      <c r="D1387" s="56" t="str">
        <f aca="false">IF(INDEX(BookTitle,1382)="","",INDEX(BookTotal,1382)*'5. Scenarios'!$B$6/(1+ProductivityDefault*('5. Scenarios'!$B$11-1)))</f>
        <v/>
      </c>
      <c r="E1387" s="57" t="str">
        <f aca="false">IF($D1387="","",INDEX(BookRate,1382)*(1+'5. Scenarios'!$B$10)*$D1387)</f>
        <v/>
      </c>
      <c r="F1387" s="57" t="str">
        <f aca="false">IF($E1387="","",SUMIFS($E$6:$E$2405,$A$6:$A$2405,"&lt;="&amp;$A1387))</f>
        <v/>
      </c>
      <c r="G1387" s="57" t="str">
        <f aca="false">IF($E1387="","",IF($F1387&lt;=BankCostEnvelope*'5. Scenarios'!$B$7,1,0))</f>
        <v/>
      </c>
      <c r="H1387" s="57" t="str">
        <f aca="false">IF($D1387="","",INDEX(BookRate,1382)*(1+'5. Scenarios'!$B$10)*(INDEX(BookQ1,1382)*(5-MIN(4,1+'5. Scenarios'!$B$8))/4+INDEX(BookQ2,1382)*(5-MIN(4,2+'5. Scenarios'!$B$8))/4+INDEX(BookQ3,1382)*(5-MIN(4,3+'5. Scenarios'!$B$8))/4+INDEX(BookQ4,1382)*(5-MIN(4,4+'5. Scenarios'!$B$8))/4)*'5. Scenarios'!$B$6/(1+ProductivityDefault*('5. Scenarios'!$B$11-1))+INDEX(BookOneOff,1382)*$D1387)</f>
        <v/>
      </c>
      <c r="I1387" s="56" t="str">
        <f aca="false">IF(INDEX(BookTitle,1382)="","",INDEX(BookTotal,1382)*'5. Scenarios'!$C$6/(1+ProductivityDefault*('5. Scenarios'!$C$11-1)))</f>
        <v/>
      </c>
      <c r="J1387" s="57" t="str">
        <f aca="false">IF($I1387="","",INDEX(BookRate,1382)*(1+'5. Scenarios'!$C$10)*$I1387)</f>
        <v/>
      </c>
      <c r="K1387" s="57" t="str">
        <f aca="false">IF($J1387="","",SUMIFS($J$6:$J$2405,$A$6:$A$2405,"&lt;="&amp;$A1387))</f>
        <v/>
      </c>
      <c r="L1387" s="57" t="str">
        <f aca="false">IF($J1387="","",IF($K1387&lt;=BankCostEnvelope*'5. Scenarios'!$C$7,1,0))</f>
        <v/>
      </c>
      <c r="M1387" s="57" t="str">
        <f aca="false">IF($I1387="","",INDEX(BookRate,1382)*(1+'5. Scenarios'!$C$10)*(INDEX(BookQ1,1382)*(5-MIN(4,1+'5. Scenarios'!$C$8))/4+INDEX(BookQ2,1382)*(5-MIN(4,2+'5. Scenarios'!$C$8))/4+INDEX(BookQ3,1382)*(5-MIN(4,3+'5. Scenarios'!$C$8))/4+INDEX(BookQ4,1382)*(5-MIN(4,4+'5. Scenarios'!$C$8))/4)*'5. Scenarios'!$C$6/(1+ProductivityDefault*('5. Scenarios'!$C$11-1))+INDEX(BookOneOff,1382)*$I1387)</f>
        <v/>
      </c>
      <c r="N1387" s="56" t="str">
        <f aca="false">IF(INDEX(BookTitle,1382)="","",INDEX(BookTotal,1382)*'5. Scenarios'!$D$6/(1+ProductivityDefault*('5. Scenarios'!$D$11-1)))</f>
        <v/>
      </c>
      <c r="O1387" s="57" t="str">
        <f aca="false">IF($N1387="","",INDEX(BookRate,1382)*(1+'5. Scenarios'!$D$10)*$N1387)</f>
        <v/>
      </c>
      <c r="P1387" s="57" t="str">
        <f aca="false">IF($O1387="","",SUMIFS($O$6:$O$2405,$A$6:$A$2405,"&lt;="&amp;$A1387))</f>
        <v/>
      </c>
      <c r="Q1387" s="57" t="str">
        <f aca="false">IF($O1387="","",IF($P1387&lt;=BankCostEnvelope*'5. Scenarios'!$D$7,1,0))</f>
        <v/>
      </c>
      <c r="R1387" s="57" t="str">
        <f aca="false">IF($N1387="","",INDEX(BookRate,1382)*(1+'5. Scenarios'!$D$10)*(INDEX(BookQ1,1382)*(5-MIN(4,1+'5. Scenarios'!$D$8))/4+INDEX(BookQ2,1382)*(5-MIN(4,2+'5. Scenarios'!$D$8))/4+INDEX(BookQ3,1382)*(5-MIN(4,3+'5. Scenarios'!$D$8))/4+INDEX(BookQ4,1382)*(5-MIN(4,4+'5. Scenarios'!$D$8))/4)*'5. Scenarios'!$D$6/(1+ProductivityDefault*('5. Scenarios'!$D$11-1))+INDEX(BookOneOff,1382)*$N1387)</f>
        <v/>
      </c>
      <c r="S1387" s="56" t="str">
        <f aca="false">IF(INDEX(BookTitle,1382)="","",INDEX(BookTotal,1382)*'5. Scenarios'!$E$6/(1+ProductivityDefault*('5. Scenarios'!$E$11-1)))</f>
        <v/>
      </c>
      <c r="T1387" s="57" t="str">
        <f aca="false">IF($S1387="","",INDEX(BookRate,1382)*(1+'5. Scenarios'!$E$10)*$S1387)</f>
        <v/>
      </c>
      <c r="U1387" s="57" t="str">
        <f aca="false">IF($T1387="","",SUMIFS($T$6:$T$2405,$A$6:$A$2405,"&lt;="&amp;$A1387))</f>
        <v/>
      </c>
      <c r="V1387" s="57" t="str">
        <f aca="false">IF($T1387="","",IF($U1387&lt;=BankCostEnvelope*'5. Scenarios'!$E$7,1,0))</f>
        <v/>
      </c>
      <c r="W1387" s="57" t="str">
        <f aca="false">IF($S1387="","",INDEX(BookRate,1382)*(1+'5. Scenarios'!$E$10)*(INDEX(BookQ1,1382)*(5-MIN(4,1+'5. Scenarios'!$E$8))/4+INDEX(BookQ2,1382)*(5-MIN(4,2+'5. Scenarios'!$E$8))/4+INDEX(BookQ3,1382)*(5-MIN(4,3+'5. Scenarios'!$E$8))/4+INDEX(BookQ4,1382)*(5-MIN(4,4+'5. Scenarios'!$E$8))/4)*'5. Scenarios'!$E$6/(1+ProductivityDefault*('5. Scenarios'!$E$11-1))+INDEX(BookOneOff,1382)*$S1387)</f>
        <v/>
      </c>
    </row>
    <row r="1388" customFormat="false" ht="15" hidden="false" customHeight="false" outlineLevel="0" collapsed="false">
      <c r="A1388" s="0" t="str">
        <f aca="false">IF(INDEX(BookTitle,1383)="","",INDEX(BookKey,1383))</f>
        <v/>
      </c>
      <c r="B1388" s="0" t="str">
        <f aca="false">IF(INDEX(BookTitle,1383)="","",INDEX(BookGroup,1383))</f>
        <v/>
      </c>
      <c r="C1388" s="0" t="str">
        <f aca="false">IF(INDEX(BookTitle,1383)="","",INDEX(BookCategory,1383))</f>
        <v/>
      </c>
      <c r="D1388" s="56" t="str">
        <f aca="false">IF(INDEX(BookTitle,1383)="","",INDEX(BookTotal,1383)*'5. Scenarios'!$B$6/(1+ProductivityDefault*('5. Scenarios'!$B$11-1)))</f>
        <v/>
      </c>
      <c r="E1388" s="57" t="str">
        <f aca="false">IF($D1388="","",INDEX(BookRate,1383)*(1+'5. Scenarios'!$B$10)*$D1388)</f>
        <v/>
      </c>
      <c r="F1388" s="57" t="str">
        <f aca="false">IF($E1388="","",SUMIFS($E$6:$E$2405,$A$6:$A$2405,"&lt;="&amp;$A1388))</f>
        <v/>
      </c>
      <c r="G1388" s="57" t="str">
        <f aca="false">IF($E1388="","",IF($F1388&lt;=BankCostEnvelope*'5. Scenarios'!$B$7,1,0))</f>
        <v/>
      </c>
      <c r="H1388" s="57" t="str">
        <f aca="false">IF($D1388="","",INDEX(BookRate,1383)*(1+'5. Scenarios'!$B$10)*(INDEX(BookQ1,1383)*(5-MIN(4,1+'5. Scenarios'!$B$8))/4+INDEX(BookQ2,1383)*(5-MIN(4,2+'5. Scenarios'!$B$8))/4+INDEX(BookQ3,1383)*(5-MIN(4,3+'5. Scenarios'!$B$8))/4+INDEX(BookQ4,1383)*(5-MIN(4,4+'5. Scenarios'!$B$8))/4)*'5. Scenarios'!$B$6/(1+ProductivityDefault*('5. Scenarios'!$B$11-1))+INDEX(BookOneOff,1383)*$D1388)</f>
        <v/>
      </c>
      <c r="I1388" s="56" t="str">
        <f aca="false">IF(INDEX(BookTitle,1383)="","",INDEX(BookTotal,1383)*'5. Scenarios'!$C$6/(1+ProductivityDefault*('5. Scenarios'!$C$11-1)))</f>
        <v/>
      </c>
      <c r="J1388" s="57" t="str">
        <f aca="false">IF($I1388="","",INDEX(BookRate,1383)*(1+'5. Scenarios'!$C$10)*$I1388)</f>
        <v/>
      </c>
      <c r="K1388" s="57" t="str">
        <f aca="false">IF($J1388="","",SUMIFS($J$6:$J$2405,$A$6:$A$2405,"&lt;="&amp;$A1388))</f>
        <v/>
      </c>
      <c r="L1388" s="57" t="str">
        <f aca="false">IF($J1388="","",IF($K1388&lt;=BankCostEnvelope*'5. Scenarios'!$C$7,1,0))</f>
        <v/>
      </c>
      <c r="M1388" s="57" t="str">
        <f aca="false">IF($I1388="","",INDEX(BookRate,1383)*(1+'5. Scenarios'!$C$10)*(INDEX(BookQ1,1383)*(5-MIN(4,1+'5. Scenarios'!$C$8))/4+INDEX(BookQ2,1383)*(5-MIN(4,2+'5. Scenarios'!$C$8))/4+INDEX(BookQ3,1383)*(5-MIN(4,3+'5. Scenarios'!$C$8))/4+INDEX(BookQ4,1383)*(5-MIN(4,4+'5. Scenarios'!$C$8))/4)*'5. Scenarios'!$C$6/(1+ProductivityDefault*('5. Scenarios'!$C$11-1))+INDEX(BookOneOff,1383)*$I1388)</f>
        <v/>
      </c>
      <c r="N1388" s="56" t="str">
        <f aca="false">IF(INDEX(BookTitle,1383)="","",INDEX(BookTotal,1383)*'5. Scenarios'!$D$6/(1+ProductivityDefault*('5. Scenarios'!$D$11-1)))</f>
        <v/>
      </c>
      <c r="O1388" s="57" t="str">
        <f aca="false">IF($N1388="","",INDEX(BookRate,1383)*(1+'5. Scenarios'!$D$10)*$N1388)</f>
        <v/>
      </c>
      <c r="P1388" s="57" t="str">
        <f aca="false">IF($O1388="","",SUMIFS($O$6:$O$2405,$A$6:$A$2405,"&lt;="&amp;$A1388))</f>
        <v/>
      </c>
      <c r="Q1388" s="57" t="str">
        <f aca="false">IF($O1388="","",IF($P1388&lt;=BankCostEnvelope*'5. Scenarios'!$D$7,1,0))</f>
        <v/>
      </c>
      <c r="R1388" s="57" t="str">
        <f aca="false">IF($N1388="","",INDEX(BookRate,1383)*(1+'5. Scenarios'!$D$10)*(INDEX(BookQ1,1383)*(5-MIN(4,1+'5. Scenarios'!$D$8))/4+INDEX(BookQ2,1383)*(5-MIN(4,2+'5. Scenarios'!$D$8))/4+INDEX(BookQ3,1383)*(5-MIN(4,3+'5. Scenarios'!$D$8))/4+INDEX(BookQ4,1383)*(5-MIN(4,4+'5. Scenarios'!$D$8))/4)*'5. Scenarios'!$D$6/(1+ProductivityDefault*('5. Scenarios'!$D$11-1))+INDEX(BookOneOff,1383)*$N1388)</f>
        <v/>
      </c>
      <c r="S1388" s="56" t="str">
        <f aca="false">IF(INDEX(BookTitle,1383)="","",INDEX(BookTotal,1383)*'5. Scenarios'!$E$6/(1+ProductivityDefault*('5. Scenarios'!$E$11-1)))</f>
        <v/>
      </c>
      <c r="T1388" s="57" t="str">
        <f aca="false">IF($S1388="","",INDEX(BookRate,1383)*(1+'5. Scenarios'!$E$10)*$S1388)</f>
        <v/>
      </c>
      <c r="U1388" s="57" t="str">
        <f aca="false">IF($T1388="","",SUMIFS($T$6:$T$2405,$A$6:$A$2405,"&lt;="&amp;$A1388))</f>
        <v/>
      </c>
      <c r="V1388" s="57" t="str">
        <f aca="false">IF($T1388="","",IF($U1388&lt;=BankCostEnvelope*'5. Scenarios'!$E$7,1,0))</f>
        <v/>
      </c>
      <c r="W1388" s="57" t="str">
        <f aca="false">IF($S1388="","",INDEX(BookRate,1383)*(1+'5. Scenarios'!$E$10)*(INDEX(BookQ1,1383)*(5-MIN(4,1+'5. Scenarios'!$E$8))/4+INDEX(BookQ2,1383)*(5-MIN(4,2+'5. Scenarios'!$E$8))/4+INDEX(BookQ3,1383)*(5-MIN(4,3+'5. Scenarios'!$E$8))/4+INDEX(BookQ4,1383)*(5-MIN(4,4+'5. Scenarios'!$E$8))/4)*'5. Scenarios'!$E$6/(1+ProductivityDefault*('5. Scenarios'!$E$11-1))+INDEX(BookOneOff,1383)*$S1388)</f>
        <v/>
      </c>
    </row>
    <row r="1389" customFormat="false" ht="15" hidden="false" customHeight="false" outlineLevel="0" collapsed="false">
      <c r="A1389" s="0" t="str">
        <f aca="false">IF(INDEX(BookTitle,1384)="","",INDEX(BookKey,1384))</f>
        <v/>
      </c>
      <c r="B1389" s="0" t="str">
        <f aca="false">IF(INDEX(BookTitle,1384)="","",INDEX(BookGroup,1384))</f>
        <v/>
      </c>
      <c r="C1389" s="0" t="str">
        <f aca="false">IF(INDEX(BookTitle,1384)="","",INDEX(BookCategory,1384))</f>
        <v/>
      </c>
      <c r="D1389" s="56" t="str">
        <f aca="false">IF(INDEX(BookTitle,1384)="","",INDEX(BookTotal,1384)*'5. Scenarios'!$B$6/(1+ProductivityDefault*('5. Scenarios'!$B$11-1)))</f>
        <v/>
      </c>
      <c r="E1389" s="57" t="str">
        <f aca="false">IF($D1389="","",INDEX(BookRate,1384)*(1+'5. Scenarios'!$B$10)*$D1389)</f>
        <v/>
      </c>
      <c r="F1389" s="57" t="str">
        <f aca="false">IF($E1389="","",SUMIFS($E$6:$E$2405,$A$6:$A$2405,"&lt;="&amp;$A1389))</f>
        <v/>
      </c>
      <c r="G1389" s="57" t="str">
        <f aca="false">IF($E1389="","",IF($F1389&lt;=BankCostEnvelope*'5. Scenarios'!$B$7,1,0))</f>
        <v/>
      </c>
      <c r="H1389" s="57" t="str">
        <f aca="false">IF($D1389="","",INDEX(BookRate,1384)*(1+'5. Scenarios'!$B$10)*(INDEX(BookQ1,1384)*(5-MIN(4,1+'5. Scenarios'!$B$8))/4+INDEX(BookQ2,1384)*(5-MIN(4,2+'5. Scenarios'!$B$8))/4+INDEX(BookQ3,1384)*(5-MIN(4,3+'5. Scenarios'!$B$8))/4+INDEX(BookQ4,1384)*(5-MIN(4,4+'5. Scenarios'!$B$8))/4)*'5. Scenarios'!$B$6/(1+ProductivityDefault*('5. Scenarios'!$B$11-1))+INDEX(BookOneOff,1384)*$D1389)</f>
        <v/>
      </c>
      <c r="I1389" s="56" t="str">
        <f aca="false">IF(INDEX(BookTitle,1384)="","",INDEX(BookTotal,1384)*'5. Scenarios'!$C$6/(1+ProductivityDefault*('5. Scenarios'!$C$11-1)))</f>
        <v/>
      </c>
      <c r="J1389" s="57" t="str">
        <f aca="false">IF($I1389="","",INDEX(BookRate,1384)*(1+'5. Scenarios'!$C$10)*$I1389)</f>
        <v/>
      </c>
      <c r="K1389" s="57" t="str">
        <f aca="false">IF($J1389="","",SUMIFS($J$6:$J$2405,$A$6:$A$2405,"&lt;="&amp;$A1389))</f>
        <v/>
      </c>
      <c r="L1389" s="57" t="str">
        <f aca="false">IF($J1389="","",IF($K1389&lt;=BankCostEnvelope*'5. Scenarios'!$C$7,1,0))</f>
        <v/>
      </c>
      <c r="M1389" s="57" t="str">
        <f aca="false">IF($I1389="","",INDEX(BookRate,1384)*(1+'5. Scenarios'!$C$10)*(INDEX(BookQ1,1384)*(5-MIN(4,1+'5. Scenarios'!$C$8))/4+INDEX(BookQ2,1384)*(5-MIN(4,2+'5. Scenarios'!$C$8))/4+INDEX(BookQ3,1384)*(5-MIN(4,3+'5. Scenarios'!$C$8))/4+INDEX(BookQ4,1384)*(5-MIN(4,4+'5. Scenarios'!$C$8))/4)*'5. Scenarios'!$C$6/(1+ProductivityDefault*('5. Scenarios'!$C$11-1))+INDEX(BookOneOff,1384)*$I1389)</f>
        <v/>
      </c>
      <c r="N1389" s="56" t="str">
        <f aca="false">IF(INDEX(BookTitle,1384)="","",INDEX(BookTotal,1384)*'5. Scenarios'!$D$6/(1+ProductivityDefault*('5. Scenarios'!$D$11-1)))</f>
        <v/>
      </c>
      <c r="O1389" s="57" t="str">
        <f aca="false">IF($N1389="","",INDEX(BookRate,1384)*(1+'5. Scenarios'!$D$10)*$N1389)</f>
        <v/>
      </c>
      <c r="P1389" s="57" t="str">
        <f aca="false">IF($O1389="","",SUMIFS($O$6:$O$2405,$A$6:$A$2405,"&lt;="&amp;$A1389))</f>
        <v/>
      </c>
      <c r="Q1389" s="57" t="str">
        <f aca="false">IF($O1389="","",IF($P1389&lt;=BankCostEnvelope*'5. Scenarios'!$D$7,1,0))</f>
        <v/>
      </c>
      <c r="R1389" s="57" t="str">
        <f aca="false">IF($N1389="","",INDEX(BookRate,1384)*(1+'5. Scenarios'!$D$10)*(INDEX(BookQ1,1384)*(5-MIN(4,1+'5. Scenarios'!$D$8))/4+INDEX(BookQ2,1384)*(5-MIN(4,2+'5. Scenarios'!$D$8))/4+INDEX(BookQ3,1384)*(5-MIN(4,3+'5. Scenarios'!$D$8))/4+INDEX(BookQ4,1384)*(5-MIN(4,4+'5. Scenarios'!$D$8))/4)*'5. Scenarios'!$D$6/(1+ProductivityDefault*('5. Scenarios'!$D$11-1))+INDEX(BookOneOff,1384)*$N1389)</f>
        <v/>
      </c>
      <c r="S1389" s="56" t="str">
        <f aca="false">IF(INDEX(BookTitle,1384)="","",INDEX(BookTotal,1384)*'5. Scenarios'!$E$6/(1+ProductivityDefault*('5. Scenarios'!$E$11-1)))</f>
        <v/>
      </c>
      <c r="T1389" s="57" t="str">
        <f aca="false">IF($S1389="","",INDEX(BookRate,1384)*(1+'5. Scenarios'!$E$10)*$S1389)</f>
        <v/>
      </c>
      <c r="U1389" s="57" t="str">
        <f aca="false">IF($T1389="","",SUMIFS($T$6:$T$2405,$A$6:$A$2405,"&lt;="&amp;$A1389))</f>
        <v/>
      </c>
      <c r="V1389" s="57" t="str">
        <f aca="false">IF($T1389="","",IF($U1389&lt;=BankCostEnvelope*'5. Scenarios'!$E$7,1,0))</f>
        <v/>
      </c>
      <c r="W1389" s="57" t="str">
        <f aca="false">IF($S1389="","",INDEX(BookRate,1384)*(1+'5. Scenarios'!$E$10)*(INDEX(BookQ1,1384)*(5-MIN(4,1+'5. Scenarios'!$E$8))/4+INDEX(BookQ2,1384)*(5-MIN(4,2+'5. Scenarios'!$E$8))/4+INDEX(BookQ3,1384)*(5-MIN(4,3+'5. Scenarios'!$E$8))/4+INDEX(BookQ4,1384)*(5-MIN(4,4+'5. Scenarios'!$E$8))/4)*'5. Scenarios'!$E$6/(1+ProductivityDefault*('5. Scenarios'!$E$11-1))+INDEX(BookOneOff,1384)*$S1389)</f>
        <v/>
      </c>
    </row>
    <row r="1390" customFormat="false" ht="15" hidden="false" customHeight="false" outlineLevel="0" collapsed="false">
      <c r="A1390" s="0" t="str">
        <f aca="false">IF(INDEX(BookTitle,1385)="","",INDEX(BookKey,1385))</f>
        <v/>
      </c>
      <c r="B1390" s="0" t="str">
        <f aca="false">IF(INDEX(BookTitle,1385)="","",INDEX(BookGroup,1385))</f>
        <v/>
      </c>
      <c r="C1390" s="0" t="str">
        <f aca="false">IF(INDEX(BookTitle,1385)="","",INDEX(BookCategory,1385))</f>
        <v/>
      </c>
      <c r="D1390" s="56" t="str">
        <f aca="false">IF(INDEX(BookTitle,1385)="","",INDEX(BookTotal,1385)*'5. Scenarios'!$B$6/(1+ProductivityDefault*('5. Scenarios'!$B$11-1)))</f>
        <v/>
      </c>
      <c r="E1390" s="57" t="str">
        <f aca="false">IF($D1390="","",INDEX(BookRate,1385)*(1+'5. Scenarios'!$B$10)*$D1390)</f>
        <v/>
      </c>
      <c r="F1390" s="57" t="str">
        <f aca="false">IF($E1390="","",SUMIFS($E$6:$E$2405,$A$6:$A$2405,"&lt;="&amp;$A1390))</f>
        <v/>
      </c>
      <c r="G1390" s="57" t="str">
        <f aca="false">IF($E1390="","",IF($F1390&lt;=BankCostEnvelope*'5. Scenarios'!$B$7,1,0))</f>
        <v/>
      </c>
      <c r="H1390" s="57" t="str">
        <f aca="false">IF($D1390="","",INDEX(BookRate,1385)*(1+'5. Scenarios'!$B$10)*(INDEX(BookQ1,1385)*(5-MIN(4,1+'5. Scenarios'!$B$8))/4+INDEX(BookQ2,1385)*(5-MIN(4,2+'5. Scenarios'!$B$8))/4+INDEX(BookQ3,1385)*(5-MIN(4,3+'5. Scenarios'!$B$8))/4+INDEX(BookQ4,1385)*(5-MIN(4,4+'5. Scenarios'!$B$8))/4)*'5. Scenarios'!$B$6/(1+ProductivityDefault*('5. Scenarios'!$B$11-1))+INDEX(BookOneOff,1385)*$D1390)</f>
        <v/>
      </c>
      <c r="I1390" s="56" t="str">
        <f aca="false">IF(INDEX(BookTitle,1385)="","",INDEX(BookTotal,1385)*'5. Scenarios'!$C$6/(1+ProductivityDefault*('5. Scenarios'!$C$11-1)))</f>
        <v/>
      </c>
      <c r="J1390" s="57" t="str">
        <f aca="false">IF($I1390="","",INDEX(BookRate,1385)*(1+'5. Scenarios'!$C$10)*$I1390)</f>
        <v/>
      </c>
      <c r="K1390" s="57" t="str">
        <f aca="false">IF($J1390="","",SUMIFS($J$6:$J$2405,$A$6:$A$2405,"&lt;="&amp;$A1390))</f>
        <v/>
      </c>
      <c r="L1390" s="57" t="str">
        <f aca="false">IF($J1390="","",IF($K1390&lt;=BankCostEnvelope*'5. Scenarios'!$C$7,1,0))</f>
        <v/>
      </c>
      <c r="M1390" s="57" t="str">
        <f aca="false">IF($I1390="","",INDEX(BookRate,1385)*(1+'5. Scenarios'!$C$10)*(INDEX(BookQ1,1385)*(5-MIN(4,1+'5. Scenarios'!$C$8))/4+INDEX(BookQ2,1385)*(5-MIN(4,2+'5. Scenarios'!$C$8))/4+INDEX(BookQ3,1385)*(5-MIN(4,3+'5. Scenarios'!$C$8))/4+INDEX(BookQ4,1385)*(5-MIN(4,4+'5. Scenarios'!$C$8))/4)*'5. Scenarios'!$C$6/(1+ProductivityDefault*('5. Scenarios'!$C$11-1))+INDEX(BookOneOff,1385)*$I1390)</f>
        <v/>
      </c>
      <c r="N1390" s="56" t="str">
        <f aca="false">IF(INDEX(BookTitle,1385)="","",INDEX(BookTotal,1385)*'5. Scenarios'!$D$6/(1+ProductivityDefault*('5. Scenarios'!$D$11-1)))</f>
        <v/>
      </c>
      <c r="O1390" s="57" t="str">
        <f aca="false">IF($N1390="","",INDEX(BookRate,1385)*(1+'5. Scenarios'!$D$10)*$N1390)</f>
        <v/>
      </c>
      <c r="P1390" s="57" t="str">
        <f aca="false">IF($O1390="","",SUMIFS($O$6:$O$2405,$A$6:$A$2405,"&lt;="&amp;$A1390))</f>
        <v/>
      </c>
      <c r="Q1390" s="57" t="str">
        <f aca="false">IF($O1390="","",IF($P1390&lt;=BankCostEnvelope*'5. Scenarios'!$D$7,1,0))</f>
        <v/>
      </c>
      <c r="R1390" s="57" t="str">
        <f aca="false">IF($N1390="","",INDEX(BookRate,1385)*(1+'5. Scenarios'!$D$10)*(INDEX(BookQ1,1385)*(5-MIN(4,1+'5. Scenarios'!$D$8))/4+INDEX(BookQ2,1385)*(5-MIN(4,2+'5. Scenarios'!$D$8))/4+INDEX(BookQ3,1385)*(5-MIN(4,3+'5. Scenarios'!$D$8))/4+INDEX(BookQ4,1385)*(5-MIN(4,4+'5. Scenarios'!$D$8))/4)*'5. Scenarios'!$D$6/(1+ProductivityDefault*('5. Scenarios'!$D$11-1))+INDEX(BookOneOff,1385)*$N1390)</f>
        <v/>
      </c>
      <c r="S1390" s="56" t="str">
        <f aca="false">IF(INDEX(BookTitle,1385)="","",INDEX(BookTotal,1385)*'5. Scenarios'!$E$6/(1+ProductivityDefault*('5. Scenarios'!$E$11-1)))</f>
        <v/>
      </c>
      <c r="T1390" s="57" t="str">
        <f aca="false">IF($S1390="","",INDEX(BookRate,1385)*(1+'5. Scenarios'!$E$10)*$S1390)</f>
        <v/>
      </c>
      <c r="U1390" s="57" t="str">
        <f aca="false">IF($T1390="","",SUMIFS($T$6:$T$2405,$A$6:$A$2405,"&lt;="&amp;$A1390))</f>
        <v/>
      </c>
      <c r="V1390" s="57" t="str">
        <f aca="false">IF($T1390="","",IF($U1390&lt;=BankCostEnvelope*'5. Scenarios'!$E$7,1,0))</f>
        <v/>
      </c>
      <c r="W1390" s="57" t="str">
        <f aca="false">IF($S1390="","",INDEX(BookRate,1385)*(1+'5. Scenarios'!$E$10)*(INDEX(BookQ1,1385)*(5-MIN(4,1+'5. Scenarios'!$E$8))/4+INDEX(BookQ2,1385)*(5-MIN(4,2+'5. Scenarios'!$E$8))/4+INDEX(BookQ3,1385)*(5-MIN(4,3+'5. Scenarios'!$E$8))/4+INDEX(BookQ4,1385)*(5-MIN(4,4+'5. Scenarios'!$E$8))/4)*'5. Scenarios'!$E$6/(1+ProductivityDefault*('5. Scenarios'!$E$11-1))+INDEX(BookOneOff,1385)*$S1390)</f>
        <v/>
      </c>
    </row>
    <row r="1391" customFormat="false" ht="15" hidden="false" customHeight="false" outlineLevel="0" collapsed="false">
      <c r="A1391" s="0" t="str">
        <f aca="false">IF(INDEX(BookTitle,1386)="","",INDEX(BookKey,1386))</f>
        <v/>
      </c>
      <c r="B1391" s="0" t="str">
        <f aca="false">IF(INDEX(BookTitle,1386)="","",INDEX(BookGroup,1386))</f>
        <v/>
      </c>
      <c r="C1391" s="0" t="str">
        <f aca="false">IF(INDEX(BookTitle,1386)="","",INDEX(BookCategory,1386))</f>
        <v/>
      </c>
      <c r="D1391" s="56" t="str">
        <f aca="false">IF(INDEX(BookTitle,1386)="","",INDEX(BookTotal,1386)*'5. Scenarios'!$B$6/(1+ProductivityDefault*('5. Scenarios'!$B$11-1)))</f>
        <v/>
      </c>
      <c r="E1391" s="57" t="str">
        <f aca="false">IF($D1391="","",INDEX(BookRate,1386)*(1+'5. Scenarios'!$B$10)*$D1391)</f>
        <v/>
      </c>
      <c r="F1391" s="57" t="str">
        <f aca="false">IF($E1391="","",SUMIFS($E$6:$E$2405,$A$6:$A$2405,"&lt;="&amp;$A1391))</f>
        <v/>
      </c>
      <c r="G1391" s="57" t="str">
        <f aca="false">IF($E1391="","",IF($F1391&lt;=BankCostEnvelope*'5. Scenarios'!$B$7,1,0))</f>
        <v/>
      </c>
      <c r="H1391" s="57" t="str">
        <f aca="false">IF($D1391="","",INDEX(BookRate,1386)*(1+'5. Scenarios'!$B$10)*(INDEX(BookQ1,1386)*(5-MIN(4,1+'5. Scenarios'!$B$8))/4+INDEX(BookQ2,1386)*(5-MIN(4,2+'5. Scenarios'!$B$8))/4+INDEX(BookQ3,1386)*(5-MIN(4,3+'5. Scenarios'!$B$8))/4+INDEX(BookQ4,1386)*(5-MIN(4,4+'5. Scenarios'!$B$8))/4)*'5. Scenarios'!$B$6/(1+ProductivityDefault*('5. Scenarios'!$B$11-1))+INDEX(BookOneOff,1386)*$D1391)</f>
        <v/>
      </c>
      <c r="I1391" s="56" t="str">
        <f aca="false">IF(INDEX(BookTitle,1386)="","",INDEX(BookTotal,1386)*'5. Scenarios'!$C$6/(1+ProductivityDefault*('5. Scenarios'!$C$11-1)))</f>
        <v/>
      </c>
      <c r="J1391" s="57" t="str">
        <f aca="false">IF($I1391="","",INDEX(BookRate,1386)*(1+'5. Scenarios'!$C$10)*$I1391)</f>
        <v/>
      </c>
      <c r="K1391" s="57" t="str">
        <f aca="false">IF($J1391="","",SUMIFS($J$6:$J$2405,$A$6:$A$2405,"&lt;="&amp;$A1391))</f>
        <v/>
      </c>
      <c r="L1391" s="57" t="str">
        <f aca="false">IF($J1391="","",IF($K1391&lt;=BankCostEnvelope*'5. Scenarios'!$C$7,1,0))</f>
        <v/>
      </c>
      <c r="M1391" s="57" t="str">
        <f aca="false">IF($I1391="","",INDEX(BookRate,1386)*(1+'5. Scenarios'!$C$10)*(INDEX(BookQ1,1386)*(5-MIN(4,1+'5. Scenarios'!$C$8))/4+INDEX(BookQ2,1386)*(5-MIN(4,2+'5. Scenarios'!$C$8))/4+INDEX(BookQ3,1386)*(5-MIN(4,3+'5. Scenarios'!$C$8))/4+INDEX(BookQ4,1386)*(5-MIN(4,4+'5. Scenarios'!$C$8))/4)*'5. Scenarios'!$C$6/(1+ProductivityDefault*('5. Scenarios'!$C$11-1))+INDEX(BookOneOff,1386)*$I1391)</f>
        <v/>
      </c>
      <c r="N1391" s="56" t="str">
        <f aca="false">IF(INDEX(BookTitle,1386)="","",INDEX(BookTotal,1386)*'5. Scenarios'!$D$6/(1+ProductivityDefault*('5. Scenarios'!$D$11-1)))</f>
        <v/>
      </c>
      <c r="O1391" s="57" t="str">
        <f aca="false">IF($N1391="","",INDEX(BookRate,1386)*(1+'5. Scenarios'!$D$10)*$N1391)</f>
        <v/>
      </c>
      <c r="P1391" s="57" t="str">
        <f aca="false">IF($O1391="","",SUMIFS($O$6:$O$2405,$A$6:$A$2405,"&lt;="&amp;$A1391))</f>
        <v/>
      </c>
      <c r="Q1391" s="57" t="str">
        <f aca="false">IF($O1391="","",IF($P1391&lt;=BankCostEnvelope*'5. Scenarios'!$D$7,1,0))</f>
        <v/>
      </c>
      <c r="R1391" s="57" t="str">
        <f aca="false">IF($N1391="","",INDEX(BookRate,1386)*(1+'5. Scenarios'!$D$10)*(INDEX(BookQ1,1386)*(5-MIN(4,1+'5. Scenarios'!$D$8))/4+INDEX(BookQ2,1386)*(5-MIN(4,2+'5. Scenarios'!$D$8))/4+INDEX(BookQ3,1386)*(5-MIN(4,3+'5. Scenarios'!$D$8))/4+INDEX(BookQ4,1386)*(5-MIN(4,4+'5. Scenarios'!$D$8))/4)*'5. Scenarios'!$D$6/(1+ProductivityDefault*('5. Scenarios'!$D$11-1))+INDEX(BookOneOff,1386)*$N1391)</f>
        <v/>
      </c>
      <c r="S1391" s="56" t="str">
        <f aca="false">IF(INDEX(BookTitle,1386)="","",INDEX(BookTotal,1386)*'5. Scenarios'!$E$6/(1+ProductivityDefault*('5. Scenarios'!$E$11-1)))</f>
        <v/>
      </c>
      <c r="T1391" s="57" t="str">
        <f aca="false">IF($S1391="","",INDEX(BookRate,1386)*(1+'5. Scenarios'!$E$10)*$S1391)</f>
        <v/>
      </c>
      <c r="U1391" s="57" t="str">
        <f aca="false">IF($T1391="","",SUMIFS($T$6:$T$2405,$A$6:$A$2405,"&lt;="&amp;$A1391))</f>
        <v/>
      </c>
      <c r="V1391" s="57" t="str">
        <f aca="false">IF($T1391="","",IF($U1391&lt;=BankCostEnvelope*'5. Scenarios'!$E$7,1,0))</f>
        <v/>
      </c>
      <c r="W1391" s="57" t="str">
        <f aca="false">IF($S1391="","",INDEX(BookRate,1386)*(1+'5. Scenarios'!$E$10)*(INDEX(BookQ1,1386)*(5-MIN(4,1+'5. Scenarios'!$E$8))/4+INDEX(BookQ2,1386)*(5-MIN(4,2+'5. Scenarios'!$E$8))/4+INDEX(BookQ3,1386)*(5-MIN(4,3+'5. Scenarios'!$E$8))/4+INDEX(BookQ4,1386)*(5-MIN(4,4+'5. Scenarios'!$E$8))/4)*'5. Scenarios'!$E$6/(1+ProductivityDefault*('5. Scenarios'!$E$11-1))+INDEX(BookOneOff,1386)*$S1391)</f>
        <v/>
      </c>
    </row>
    <row r="1392" customFormat="false" ht="15" hidden="false" customHeight="false" outlineLevel="0" collapsed="false">
      <c r="A1392" s="0" t="str">
        <f aca="false">IF(INDEX(BookTitle,1387)="","",INDEX(BookKey,1387))</f>
        <v/>
      </c>
      <c r="B1392" s="0" t="str">
        <f aca="false">IF(INDEX(BookTitle,1387)="","",INDEX(BookGroup,1387))</f>
        <v/>
      </c>
      <c r="C1392" s="0" t="str">
        <f aca="false">IF(INDEX(BookTitle,1387)="","",INDEX(BookCategory,1387))</f>
        <v/>
      </c>
      <c r="D1392" s="56" t="str">
        <f aca="false">IF(INDEX(BookTitle,1387)="","",INDEX(BookTotal,1387)*'5. Scenarios'!$B$6/(1+ProductivityDefault*('5. Scenarios'!$B$11-1)))</f>
        <v/>
      </c>
      <c r="E1392" s="57" t="str">
        <f aca="false">IF($D1392="","",INDEX(BookRate,1387)*(1+'5. Scenarios'!$B$10)*$D1392)</f>
        <v/>
      </c>
      <c r="F1392" s="57" t="str">
        <f aca="false">IF($E1392="","",SUMIFS($E$6:$E$2405,$A$6:$A$2405,"&lt;="&amp;$A1392))</f>
        <v/>
      </c>
      <c r="G1392" s="57" t="str">
        <f aca="false">IF($E1392="","",IF($F1392&lt;=BankCostEnvelope*'5. Scenarios'!$B$7,1,0))</f>
        <v/>
      </c>
      <c r="H1392" s="57" t="str">
        <f aca="false">IF($D1392="","",INDEX(BookRate,1387)*(1+'5. Scenarios'!$B$10)*(INDEX(BookQ1,1387)*(5-MIN(4,1+'5. Scenarios'!$B$8))/4+INDEX(BookQ2,1387)*(5-MIN(4,2+'5. Scenarios'!$B$8))/4+INDEX(BookQ3,1387)*(5-MIN(4,3+'5. Scenarios'!$B$8))/4+INDEX(BookQ4,1387)*(5-MIN(4,4+'5. Scenarios'!$B$8))/4)*'5. Scenarios'!$B$6/(1+ProductivityDefault*('5. Scenarios'!$B$11-1))+INDEX(BookOneOff,1387)*$D1392)</f>
        <v/>
      </c>
      <c r="I1392" s="56" t="str">
        <f aca="false">IF(INDEX(BookTitle,1387)="","",INDEX(BookTotal,1387)*'5. Scenarios'!$C$6/(1+ProductivityDefault*('5. Scenarios'!$C$11-1)))</f>
        <v/>
      </c>
      <c r="J1392" s="57" t="str">
        <f aca="false">IF($I1392="","",INDEX(BookRate,1387)*(1+'5. Scenarios'!$C$10)*$I1392)</f>
        <v/>
      </c>
      <c r="K1392" s="57" t="str">
        <f aca="false">IF($J1392="","",SUMIFS($J$6:$J$2405,$A$6:$A$2405,"&lt;="&amp;$A1392))</f>
        <v/>
      </c>
      <c r="L1392" s="57" t="str">
        <f aca="false">IF($J1392="","",IF($K1392&lt;=BankCostEnvelope*'5. Scenarios'!$C$7,1,0))</f>
        <v/>
      </c>
      <c r="M1392" s="57" t="str">
        <f aca="false">IF($I1392="","",INDEX(BookRate,1387)*(1+'5. Scenarios'!$C$10)*(INDEX(BookQ1,1387)*(5-MIN(4,1+'5. Scenarios'!$C$8))/4+INDEX(BookQ2,1387)*(5-MIN(4,2+'5. Scenarios'!$C$8))/4+INDEX(BookQ3,1387)*(5-MIN(4,3+'5. Scenarios'!$C$8))/4+INDEX(BookQ4,1387)*(5-MIN(4,4+'5. Scenarios'!$C$8))/4)*'5. Scenarios'!$C$6/(1+ProductivityDefault*('5. Scenarios'!$C$11-1))+INDEX(BookOneOff,1387)*$I1392)</f>
        <v/>
      </c>
      <c r="N1392" s="56" t="str">
        <f aca="false">IF(INDEX(BookTitle,1387)="","",INDEX(BookTotal,1387)*'5. Scenarios'!$D$6/(1+ProductivityDefault*('5. Scenarios'!$D$11-1)))</f>
        <v/>
      </c>
      <c r="O1392" s="57" t="str">
        <f aca="false">IF($N1392="","",INDEX(BookRate,1387)*(1+'5. Scenarios'!$D$10)*$N1392)</f>
        <v/>
      </c>
      <c r="P1392" s="57" t="str">
        <f aca="false">IF($O1392="","",SUMIFS($O$6:$O$2405,$A$6:$A$2405,"&lt;="&amp;$A1392))</f>
        <v/>
      </c>
      <c r="Q1392" s="57" t="str">
        <f aca="false">IF($O1392="","",IF($P1392&lt;=BankCostEnvelope*'5. Scenarios'!$D$7,1,0))</f>
        <v/>
      </c>
      <c r="R1392" s="57" t="str">
        <f aca="false">IF($N1392="","",INDEX(BookRate,1387)*(1+'5. Scenarios'!$D$10)*(INDEX(BookQ1,1387)*(5-MIN(4,1+'5. Scenarios'!$D$8))/4+INDEX(BookQ2,1387)*(5-MIN(4,2+'5. Scenarios'!$D$8))/4+INDEX(BookQ3,1387)*(5-MIN(4,3+'5. Scenarios'!$D$8))/4+INDEX(BookQ4,1387)*(5-MIN(4,4+'5. Scenarios'!$D$8))/4)*'5. Scenarios'!$D$6/(1+ProductivityDefault*('5. Scenarios'!$D$11-1))+INDEX(BookOneOff,1387)*$N1392)</f>
        <v/>
      </c>
      <c r="S1392" s="56" t="str">
        <f aca="false">IF(INDEX(BookTitle,1387)="","",INDEX(BookTotal,1387)*'5. Scenarios'!$E$6/(1+ProductivityDefault*('5. Scenarios'!$E$11-1)))</f>
        <v/>
      </c>
      <c r="T1392" s="57" t="str">
        <f aca="false">IF($S1392="","",INDEX(BookRate,1387)*(1+'5. Scenarios'!$E$10)*$S1392)</f>
        <v/>
      </c>
      <c r="U1392" s="57" t="str">
        <f aca="false">IF($T1392="","",SUMIFS($T$6:$T$2405,$A$6:$A$2405,"&lt;="&amp;$A1392))</f>
        <v/>
      </c>
      <c r="V1392" s="57" t="str">
        <f aca="false">IF($T1392="","",IF($U1392&lt;=BankCostEnvelope*'5. Scenarios'!$E$7,1,0))</f>
        <v/>
      </c>
      <c r="W1392" s="57" t="str">
        <f aca="false">IF($S1392="","",INDEX(BookRate,1387)*(1+'5. Scenarios'!$E$10)*(INDEX(BookQ1,1387)*(5-MIN(4,1+'5. Scenarios'!$E$8))/4+INDEX(BookQ2,1387)*(5-MIN(4,2+'5. Scenarios'!$E$8))/4+INDEX(BookQ3,1387)*(5-MIN(4,3+'5. Scenarios'!$E$8))/4+INDEX(BookQ4,1387)*(5-MIN(4,4+'5. Scenarios'!$E$8))/4)*'5. Scenarios'!$E$6/(1+ProductivityDefault*('5. Scenarios'!$E$11-1))+INDEX(BookOneOff,1387)*$S1392)</f>
        <v/>
      </c>
    </row>
    <row r="1393" customFormat="false" ht="15" hidden="false" customHeight="false" outlineLevel="0" collapsed="false">
      <c r="A1393" s="0" t="str">
        <f aca="false">IF(INDEX(BookTitle,1388)="","",INDEX(BookKey,1388))</f>
        <v/>
      </c>
      <c r="B1393" s="0" t="str">
        <f aca="false">IF(INDEX(BookTitle,1388)="","",INDEX(BookGroup,1388))</f>
        <v/>
      </c>
      <c r="C1393" s="0" t="str">
        <f aca="false">IF(INDEX(BookTitle,1388)="","",INDEX(BookCategory,1388))</f>
        <v/>
      </c>
      <c r="D1393" s="56" t="str">
        <f aca="false">IF(INDEX(BookTitle,1388)="","",INDEX(BookTotal,1388)*'5. Scenarios'!$B$6/(1+ProductivityDefault*('5. Scenarios'!$B$11-1)))</f>
        <v/>
      </c>
      <c r="E1393" s="57" t="str">
        <f aca="false">IF($D1393="","",INDEX(BookRate,1388)*(1+'5. Scenarios'!$B$10)*$D1393)</f>
        <v/>
      </c>
      <c r="F1393" s="57" t="str">
        <f aca="false">IF($E1393="","",SUMIFS($E$6:$E$2405,$A$6:$A$2405,"&lt;="&amp;$A1393))</f>
        <v/>
      </c>
      <c r="G1393" s="57" t="str">
        <f aca="false">IF($E1393="","",IF($F1393&lt;=BankCostEnvelope*'5. Scenarios'!$B$7,1,0))</f>
        <v/>
      </c>
      <c r="H1393" s="57" t="str">
        <f aca="false">IF($D1393="","",INDEX(BookRate,1388)*(1+'5. Scenarios'!$B$10)*(INDEX(BookQ1,1388)*(5-MIN(4,1+'5. Scenarios'!$B$8))/4+INDEX(BookQ2,1388)*(5-MIN(4,2+'5. Scenarios'!$B$8))/4+INDEX(BookQ3,1388)*(5-MIN(4,3+'5. Scenarios'!$B$8))/4+INDEX(BookQ4,1388)*(5-MIN(4,4+'5. Scenarios'!$B$8))/4)*'5. Scenarios'!$B$6/(1+ProductivityDefault*('5. Scenarios'!$B$11-1))+INDEX(BookOneOff,1388)*$D1393)</f>
        <v/>
      </c>
      <c r="I1393" s="56" t="str">
        <f aca="false">IF(INDEX(BookTitle,1388)="","",INDEX(BookTotal,1388)*'5. Scenarios'!$C$6/(1+ProductivityDefault*('5. Scenarios'!$C$11-1)))</f>
        <v/>
      </c>
      <c r="J1393" s="57" t="str">
        <f aca="false">IF($I1393="","",INDEX(BookRate,1388)*(1+'5. Scenarios'!$C$10)*$I1393)</f>
        <v/>
      </c>
      <c r="K1393" s="57" t="str">
        <f aca="false">IF($J1393="","",SUMIFS($J$6:$J$2405,$A$6:$A$2405,"&lt;="&amp;$A1393))</f>
        <v/>
      </c>
      <c r="L1393" s="57" t="str">
        <f aca="false">IF($J1393="","",IF($K1393&lt;=BankCostEnvelope*'5. Scenarios'!$C$7,1,0))</f>
        <v/>
      </c>
      <c r="M1393" s="57" t="str">
        <f aca="false">IF($I1393="","",INDEX(BookRate,1388)*(1+'5. Scenarios'!$C$10)*(INDEX(BookQ1,1388)*(5-MIN(4,1+'5. Scenarios'!$C$8))/4+INDEX(BookQ2,1388)*(5-MIN(4,2+'5. Scenarios'!$C$8))/4+INDEX(BookQ3,1388)*(5-MIN(4,3+'5. Scenarios'!$C$8))/4+INDEX(BookQ4,1388)*(5-MIN(4,4+'5. Scenarios'!$C$8))/4)*'5. Scenarios'!$C$6/(1+ProductivityDefault*('5. Scenarios'!$C$11-1))+INDEX(BookOneOff,1388)*$I1393)</f>
        <v/>
      </c>
      <c r="N1393" s="56" t="str">
        <f aca="false">IF(INDEX(BookTitle,1388)="","",INDEX(BookTotal,1388)*'5. Scenarios'!$D$6/(1+ProductivityDefault*('5. Scenarios'!$D$11-1)))</f>
        <v/>
      </c>
      <c r="O1393" s="57" t="str">
        <f aca="false">IF($N1393="","",INDEX(BookRate,1388)*(1+'5. Scenarios'!$D$10)*$N1393)</f>
        <v/>
      </c>
      <c r="P1393" s="57" t="str">
        <f aca="false">IF($O1393="","",SUMIFS($O$6:$O$2405,$A$6:$A$2405,"&lt;="&amp;$A1393))</f>
        <v/>
      </c>
      <c r="Q1393" s="57" t="str">
        <f aca="false">IF($O1393="","",IF($P1393&lt;=BankCostEnvelope*'5. Scenarios'!$D$7,1,0))</f>
        <v/>
      </c>
      <c r="R1393" s="57" t="str">
        <f aca="false">IF($N1393="","",INDEX(BookRate,1388)*(1+'5. Scenarios'!$D$10)*(INDEX(BookQ1,1388)*(5-MIN(4,1+'5. Scenarios'!$D$8))/4+INDEX(BookQ2,1388)*(5-MIN(4,2+'5. Scenarios'!$D$8))/4+INDEX(BookQ3,1388)*(5-MIN(4,3+'5. Scenarios'!$D$8))/4+INDEX(BookQ4,1388)*(5-MIN(4,4+'5. Scenarios'!$D$8))/4)*'5. Scenarios'!$D$6/(1+ProductivityDefault*('5. Scenarios'!$D$11-1))+INDEX(BookOneOff,1388)*$N1393)</f>
        <v/>
      </c>
      <c r="S1393" s="56" t="str">
        <f aca="false">IF(INDEX(BookTitle,1388)="","",INDEX(BookTotal,1388)*'5. Scenarios'!$E$6/(1+ProductivityDefault*('5. Scenarios'!$E$11-1)))</f>
        <v/>
      </c>
      <c r="T1393" s="57" t="str">
        <f aca="false">IF($S1393="","",INDEX(BookRate,1388)*(1+'5. Scenarios'!$E$10)*$S1393)</f>
        <v/>
      </c>
      <c r="U1393" s="57" t="str">
        <f aca="false">IF($T1393="","",SUMIFS($T$6:$T$2405,$A$6:$A$2405,"&lt;="&amp;$A1393))</f>
        <v/>
      </c>
      <c r="V1393" s="57" t="str">
        <f aca="false">IF($T1393="","",IF($U1393&lt;=BankCostEnvelope*'5. Scenarios'!$E$7,1,0))</f>
        <v/>
      </c>
      <c r="W1393" s="57" t="str">
        <f aca="false">IF($S1393="","",INDEX(BookRate,1388)*(1+'5. Scenarios'!$E$10)*(INDEX(BookQ1,1388)*(5-MIN(4,1+'5. Scenarios'!$E$8))/4+INDEX(BookQ2,1388)*(5-MIN(4,2+'5. Scenarios'!$E$8))/4+INDEX(BookQ3,1388)*(5-MIN(4,3+'5. Scenarios'!$E$8))/4+INDEX(BookQ4,1388)*(5-MIN(4,4+'5. Scenarios'!$E$8))/4)*'5. Scenarios'!$E$6/(1+ProductivityDefault*('5. Scenarios'!$E$11-1))+INDEX(BookOneOff,1388)*$S1393)</f>
        <v/>
      </c>
    </row>
    <row r="1394" customFormat="false" ht="15" hidden="false" customHeight="false" outlineLevel="0" collapsed="false">
      <c r="A1394" s="0" t="str">
        <f aca="false">IF(INDEX(BookTitle,1389)="","",INDEX(BookKey,1389))</f>
        <v/>
      </c>
      <c r="B1394" s="0" t="str">
        <f aca="false">IF(INDEX(BookTitle,1389)="","",INDEX(BookGroup,1389))</f>
        <v/>
      </c>
      <c r="C1394" s="0" t="str">
        <f aca="false">IF(INDEX(BookTitle,1389)="","",INDEX(BookCategory,1389))</f>
        <v/>
      </c>
      <c r="D1394" s="56" t="str">
        <f aca="false">IF(INDEX(BookTitle,1389)="","",INDEX(BookTotal,1389)*'5. Scenarios'!$B$6/(1+ProductivityDefault*('5. Scenarios'!$B$11-1)))</f>
        <v/>
      </c>
      <c r="E1394" s="57" t="str">
        <f aca="false">IF($D1394="","",INDEX(BookRate,1389)*(1+'5. Scenarios'!$B$10)*$D1394)</f>
        <v/>
      </c>
      <c r="F1394" s="57" t="str">
        <f aca="false">IF($E1394="","",SUMIFS($E$6:$E$2405,$A$6:$A$2405,"&lt;="&amp;$A1394))</f>
        <v/>
      </c>
      <c r="G1394" s="57" t="str">
        <f aca="false">IF($E1394="","",IF($F1394&lt;=BankCostEnvelope*'5. Scenarios'!$B$7,1,0))</f>
        <v/>
      </c>
      <c r="H1394" s="57" t="str">
        <f aca="false">IF($D1394="","",INDEX(BookRate,1389)*(1+'5. Scenarios'!$B$10)*(INDEX(BookQ1,1389)*(5-MIN(4,1+'5. Scenarios'!$B$8))/4+INDEX(BookQ2,1389)*(5-MIN(4,2+'5. Scenarios'!$B$8))/4+INDEX(BookQ3,1389)*(5-MIN(4,3+'5. Scenarios'!$B$8))/4+INDEX(BookQ4,1389)*(5-MIN(4,4+'5. Scenarios'!$B$8))/4)*'5. Scenarios'!$B$6/(1+ProductivityDefault*('5. Scenarios'!$B$11-1))+INDEX(BookOneOff,1389)*$D1394)</f>
        <v/>
      </c>
      <c r="I1394" s="56" t="str">
        <f aca="false">IF(INDEX(BookTitle,1389)="","",INDEX(BookTotal,1389)*'5. Scenarios'!$C$6/(1+ProductivityDefault*('5. Scenarios'!$C$11-1)))</f>
        <v/>
      </c>
      <c r="J1394" s="57" t="str">
        <f aca="false">IF($I1394="","",INDEX(BookRate,1389)*(1+'5. Scenarios'!$C$10)*$I1394)</f>
        <v/>
      </c>
      <c r="K1394" s="57" t="str">
        <f aca="false">IF($J1394="","",SUMIFS($J$6:$J$2405,$A$6:$A$2405,"&lt;="&amp;$A1394))</f>
        <v/>
      </c>
      <c r="L1394" s="57" t="str">
        <f aca="false">IF($J1394="","",IF($K1394&lt;=BankCostEnvelope*'5. Scenarios'!$C$7,1,0))</f>
        <v/>
      </c>
      <c r="M1394" s="57" t="str">
        <f aca="false">IF($I1394="","",INDEX(BookRate,1389)*(1+'5. Scenarios'!$C$10)*(INDEX(BookQ1,1389)*(5-MIN(4,1+'5. Scenarios'!$C$8))/4+INDEX(BookQ2,1389)*(5-MIN(4,2+'5. Scenarios'!$C$8))/4+INDEX(BookQ3,1389)*(5-MIN(4,3+'5. Scenarios'!$C$8))/4+INDEX(BookQ4,1389)*(5-MIN(4,4+'5. Scenarios'!$C$8))/4)*'5. Scenarios'!$C$6/(1+ProductivityDefault*('5. Scenarios'!$C$11-1))+INDEX(BookOneOff,1389)*$I1394)</f>
        <v/>
      </c>
      <c r="N1394" s="56" t="str">
        <f aca="false">IF(INDEX(BookTitle,1389)="","",INDEX(BookTotal,1389)*'5. Scenarios'!$D$6/(1+ProductivityDefault*('5. Scenarios'!$D$11-1)))</f>
        <v/>
      </c>
      <c r="O1394" s="57" t="str">
        <f aca="false">IF($N1394="","",INDEX(BookRate,1389)*(1+'5. Scenarios'!$D$10)*$N1394)</f>
        <v/>
      </c>
      <c r="P1394" s="57" t="str">
        <f aca="false">IF($O1394="","",SUMIFS($O$6:$O$2405,$A$6:$A$2405,"&lt;="&amp;$A1394))</f>
        <v/>
      </c>
      <c r="Q1394" s="57" t="str">
        <f aca="false">IF($O1394="","",IF($P1394&lt;=BankCostEnvelope*'5. Scenarios'!$D$7,1,0))</f>
        <v/>
      </c>
      <c r="R1394" s="57" t="str">
        <f aca="false">IF($N1394="","",INDEX(BookRate,1389)*(1+'5. Scenarios'!$D$10)*(INDEX(BookQ1,1389)*(5-MIN(4,1+'5. Scenarios'!$D$8))/4+INDEX(BookQ2,1389)*(5-MIN(4,2+'5. Scenarios'!$D$8))/4+INDEX(BookQ3,1389)*(5-MIN(4,3+'5. Scenarios'!$D$8))/4+INDEX(BookQ4,1389)*(5-MIN(4,4+'5. Scenarios'!$D$8))/4)*'5. Scenarios'!$D$6/(1+ProductivityDefault*('5. Scenarios'!$D$11-1))+INDEX(BookOneOff,1389)*$N1394)</f>
        <v/>
      </c>
      <c r="S1394" s="56" t="str">
        <f aca="false">IF(INDEX(BookTitle,1389)="","",INDEX(BookTotal,1389)*'5. Scenarios'!$E$6/(1+ProductivityDefault*('5. Scenarios'!$E$11-1)))</f>
        <v/>
      </c>
      <c r="T1394" s="57" t="str">
        <f aca="false">IF($S1394="","",INDEX(BookRate,1389)*(1+'5. Scenarios'!$E$10)*$S1394)</f>
        <v/>
      </c>
      <c r="U1394" s="57" t="str">
        <f aca="false">IF($T1394="","",SUMIFS($T$6:$T$2405,$A$6:$A$2405,"&lt;="&amp;$A1394))</f>
        <v/>
      </c>
      <c r="V1394" s="57" t="str">
        <f aca="false">IF($T1394="","",IF($U1394&lt;=BankCostEnvelope*'5. Scenarios'!$E$7,1,0))</f>
        <v/>
      </c>
      <c r="W1394" s="57" t="str">
        <f aca="false">IF($S1394="","",INDEX(BookRate,1389)*(1+'5. Scenarios'!$E$10)*(INDEX(BookQ1,1389)*(5-MIN(4,1+'5. Scenarios'!$E$8))/4+INDEX(BookQ2,1389)*(5-MIN(4,2+'5. Scenarios'!$E$8))/4+INDEX(BookQ3,1389)*(5-MIN(4,3+'5. Scenarios'!$E$8))/4+INDEX(BookQ4,1389)*(5-MIN(4,4+'5. Scenarios'!$E$8))/4)*'5. Scenarios'!$E$6/(1+ProductivityDefault*('5. Scenarios'!$E$11-1))+INDEX(BookOneOff,1389)*$S1394)</f>
        <v/>
      </c>
    </row>
    <row r="1395" customFormat="false" ht="15" hidden="false" customHeight="false" outlineLevel="0" collapsed="false">
      <c r="A1395" s="0" t="str">
        <f aca="false">IF(INDEX(BookTitle,1390)="","",INDEX(BookKey,1390))</f>
        <v/>
      </c>
      <c r="B1395" s="0" t="str">
        <f aca="false">IF(INDEX(BookTitle,1390)="","",INDEX(BookGroup,1390))</f>
        <v/>
      </c>
      <c r="C1395" s="0" t="str">
        <f aca="false">IF(INDEX(BookTitle,1390)="","",INDEX(BookCategory,1390))</f>
        <v/>
      </c>
      <c r="D1395" s="56" t="str">
        <f aca="false">IF(INDEX(BookTitle,1390)="","",INDEX(BookTotal,1390)*'5. Scenarios'!$B$6/(1+ProductivityDefault*('5. Scenarios'!$B$11-1)))</f>
        <v/>
      </c>
      <c r="E1395" s="57" t="str">
        <f aca="false">IF($D1395="","",INDEX(BookRate,1390)*(1+'5. Scenarios'!$B$10)*$D1395)</f>
        <v/>
      </c>
      <c r="F1395" s="57" t="str">
        <f aca="false">IF($E1395="","",SUMIFS($E$6:$E$2405,$A$6:$A$2405,"&lt;="&amp;$A1395))</f>
        <v/>
      </c>
      <c r="G1395" s="57" t="str">
        <f aca="false">IF($E1395="","",IF($F1395&lt;=BankCostEnvelope*'5. Scenarios'!$B$7,1,0))</f>
        <v/>
      </c>
      <c r="H1395" s="57" t="str">
        <f aca="false">IF($D1395="","",INDEX(BookRate,1390)*(1+'5. Scenarios'!$B$10)*(INDEX(BookQ1,1390)*(5-MIN(4,1+'5. Scenarios'!$B$8))/4+INDEX(BookQ2,1390)*(5-MIN(4,2+'5. Scenarios'!$B$8))/4+INDEX(BookQ3,1390)*(5-MIN(4,3+'5. Scenarios'!$B$8))/4+INDEX(BookQ4,1390)*(5-MIN(4,4+'5. Scenarios'!$B$8))/4)*'5. Scenarios'!$B$6/(1+ProductivityDefault*('5. Scenarios'!$B$11-1))+INDEX(BookOneOff,1390)*$D1395)</f>
        <v/>
      </c>
      <c r="I1395" s="56" t="str">
        <f aca="false">IF(INDEX(BookTitle,1390)="","",INDEX(BookTotal,1390)*'5. Scenarios'!$C$6/(1+ProductivityDefault*('5. Scenarios'!$C$11-1)))</f>
        <v/>
      </c>
      <c r="J1395" s="57" t="str">
        <f aca="false">IF($I1395="","",INDEX(BookRate,1390)*(1+'5. Scenarios'!$C$10)*$I1395)</f>
        <v/>
      </c>
      <c r="K1395" s="57" t="str">
        <f aca="false">IF($J1395="","",SUMIFS($J$6:$J$2405,$A$6:$A$2405,"&lt;="&amp;$A1395))</f>
        <v/>
      </c>
      <c r="L1395" s="57" t="str">
        <f aca="false">IF($J1395="","",IF($K1395&lt;=BankCostEnvelope*'5. Scenarios'!$C$7,1,0))</f>
        <v/>
      </c>
      <c r="M1395" s="57" t="str">
        <f aca="false">IF($I1395="","",INDEX(BookRate,1390)*(1+'5. Scenarios'!$C$10)*(INDEX(BookQ1,1390)*(5-MIN(4,1+'5. Scenarios'!$C$8))/4+INDEX(BookQ2,1390)*(5-MIN(4,2+'5. Scenarios'!$C$8))/4+INDEX(BookQ3,1390)*(5-MIN(4,3+'5. Scenarios'!$C$8))/4+INDEX(BookQ4,1390)*(5-MIN(4,4+'5. Scenarios'!$C$8))/4)*'5. Scenarios'!$C$6/(1+ProductivityDefault*('5. Scenarios'!$C$11-1))+INDEX(BookOneOff,1390)*$I1395)</f>
        <v/>
      </c>
      <c r="N1395" s="56" t="str">
        <f aca="false">IF(INDEX(BookTitle,1390)="","",INDEX(BookTotal,1390)*'5. Scenarios'!$D$6/(1+ProductivityDefault*('5. Scenarios'!$D$11-1)))</f>
        <v/>
      </c>
      <c r="O1395" s="57" t="str">
        <f aca="false">IF($N1395="","",INDEX(BookRate,1390)*(1+'5. Scenarios'!$D$10)*$N1395)</f>
        <v/>
      </c>
      <c r="P1395" s="57" t="str">
        <f aca="false">IF($O1395="","",SUMIFS($O$6:$O$2405,$A$6:$A$2405,"&lt;="&amp;$A1395))</f>
        <v/>
      </c>
      <c r="Q1395" s="57" t="str">
        <f aca="false">IF($O1395="","",IF($P1395&lt;=BankCostEnvelope*'5. Scenarios'!$D$7,1,0))</f>
        <v/>
      </c>
      <c r="R1395" s="57" t="str">
        <f aca="false">IF($N1395="","",INDEX(BookRate,1390)*(1+'5. Scenarios'!$D$10)*(INDEX(BookQ1,1390)*(5-MIN(4,1+'5. Scenarios'!$D$8))/4+INDEX(BookQ2,1390)*(5-MIN(4,2+'5. Scenarios'!$D$8))/4+INDEX(BookQ3,1390)*(5-MIN(4,3+'5. Scenarios'!$D$8))/4+INDEX(BookQ4,1390)*(5-MIN(4,4+'5. Scenarios'!$D$8))/4)*'5. Scenarios'!$D$6/(1+ProductivityDefault*('5. Scenarios'!$D$11-1))+INDEX(BookOneOff,1390)*$N1395)</f>
        <v/>
      </c>
      <c r="S1395" s="56" t="str">
        <f aca="false">IF(INDEX(BookTitle,1390)="","",INDEX(BookTotal,1390)*'5. Scenarios'!$E$6/(1+ProductivityDefault*('5. Scenarios'!$E$11-1)))</f>
        <v/>
      </c>
      <c r="T1395" s="57" t="str">
        <f aca="false">IF($S1395="","",INDEX(BookRate,1390)*(1+'5. Scenarios'!$E$10)*$S1395)</f>
        <v/>
      </c>
      <c r="U1395" s="57" t="str">
        <f aca="false">IF($T1395="","",SUMIFS($T$6:$T$2405,$A$6:$A$2405,"&lt;="&amp;$A1395))</f>
        <v/>
      </c>
      <c r="V1395" s="57" t="str">
        <f aca="false">IF($T1395="","",IF($U1395&lt;=BankCostEnvelope*'5. Scenarios'!$E$7,1,0))</f>
        <v/>
      </c>
      <c r="W1395" s="57" t="str">
        <f aca="false">IF($S1395="","",INDEX(BookRate,1390)*(1+'5. Scenarios'!$E$10)*(INDEX(BookQ1,1390)*(5-MIN(4,1+'5. Scenarios'!$E$8))/4+INDEX(BookQ2,1390)*(5-MIN(4,2+'5. Scenarios'!$E$8))/4+INDEX(BookQ3,1390)*(5-MIN(4,3+'5. Scenarios'!$E$8))/4+INDEX(BookQ4,1390)*(5-MIN(4,4+'5. Scenarios'!$E$8))/4)*'5. Scenarios'!$E$6/(1+ProductivityDefault*('5. Scenarios'!$E$11-1))+INDEX(BookOneOff,1390)*$S1395)</f>
        <v/>
      </c>
    </row>
    <row r="1396" customFormat="false" ht="15" hidden="false" customHeight="false" outlineLevel="0" collapsed="false">
      <c r="A1396" s="0" t="str">
        <f aca="false">IF(INDEX(BookTitle,1391)="","",INDEX(BookKey,1391))</f>
        <v/>
      </c>
      <c r="B1396" s="0" t="str">
        <f aca="false">IF(INDEX(BookTitle,1391)="","",INDEX(BookGroup,1391))</f>
        <v/>
      </c>
      <c r="C1396" s="0" t="str">
        <f aca="false">IF(INDEX(BookTitle,1391)="","",INDEX(BookCategory,1391))</f>
        <v/>
      </c>
      <c r="D1396" s="56" t="str">
        <f aca="false">IF(INDEX(BookTitle,1391)="","",INDEX(BookTotal,1391)*'5. Scenarios'!$B$6/(1+ProductivityDefault*('5. Scenarios'!$B$11-1)))</f>
        <v/>
      </c>
      <c r="E1396" s="57" t="str">
        <f aca="false">IF($D1396="","",INDEX(BookRate,1391)*(1+'5. Scenarios'!$B$10)*$D1396)</f>
        <v/>
      </c>
      <c r="F1396" s="57" t="str">
        <f aca="false">IF($E1396="","",SUMIFS($E$6:$E$2405,$A$6:$A$2405,"&lt;="&amp;$A1396))</f>
        <v/>
      </c>
      <c r="G1396" s="57" t="str">
        <f aca="false">IF($E1396="","",IF($F1396&lt;=BankCostEnvelope*'5. Scenarios'!$B$7,1,0))</f>
        <v/>
      </c>
      <c r="H1396" s="57" t="str">
        <f aca="false">IF($D1396="","",INDEX(BookRate,1391)*(1+'5. Scenarios'!$B$10)*(INDEX(BookQ1,1391)*(5-MIN(4,1+'5. Scenarios'!$B$8))/4+INDEX(BookQ2,1391)*(5-MIN(4,2+'5. Scenarios'!$B$8))/4+INDEX(BookQ3,1391)*(5-MIN(4,3+'5. Scenarios'!$B$8))/4+INDEX(BookQ4,1391)*(5-MIN(4,4+'5. Scenarios'!$B$8))/4)*'5. Scenarios'!$B$6/(1+ProductivityDefault*('5. Scenarios'!$B$11-1))+INDEX(BookOneOff,1391)*$D1396)</f>
        <v/>
      </c>
      <c r="I1396" s="56" t="str">
        <f aca="false">IF(INDEX(BookTitle,1391)="","",INDEX(BookTotal,1391)*'5. Scenarios'!$C$6/(1+ProductivityDefault*('5. Scenarios'!$C$11-1)))</f>
        <v/>
      </c>
      <c r="J1396" s="57" t="str">
        <f aca="false">IF($I1396="","",INDEX(BookRate,1391)*(1+'5. Scenarios'!$C$10)*$I1396)</f>
        <v/>
      </c>
      <c r="K1396" s="57" t="str">
        <f aca="false">IF($J1396="","",SUMIFS($J$6:$J$2405,$A$6:$A$2405,"&lt;="&amp;$A1396))</f>
        <v/>
      </c>
      <c r="L1396" s="57" t="str">
        <f aca="false">IF($J1396="","",IF($K1396&lt;=BankCostEnvelope*'5. Scenarios'!$C$7,1,0))</f>
        <v/>
      </c>
      <c r="M1396" s="57" t="str">
        <f aca="false">IF($I1396="","",INDEX(BookRate,1391)*(1+'5. Scenarios'!$C$10)*(INDEX(BookQ1,1391)*(5-MIN(4,1+'5. Scenarios'!$C$8))/4+INDEX(BookQ2,1391)*(5-MIN(4,2+'5. Scenarios'!$C$8))/4+INDEX(BookQ3,1391)*(5-MIN(4,3+'5. Scenarios'!$C$8))/4+INDEX(BookQ4,1391)*(5-MIN(4,4+'5. Scenarios'!$C$8))/4)*'5. Scenarios'!$C$6/(1+ProductivityDefault*('5. Scenarios'!$C$11-1))+INDEX(BookOneOff,1391)*$I1396)</f>
        <v/>
      </c>
      <c r="N1396" s="56" t="str">
        <f aca="false">IF(INDEX(BookTitle,1391)="","",INDEX(BookTotal,1391)*'5. Scenarios'!$D$6/(1+ProductivityDefault*('5. Scenarios'!$D$11-1)))</f>
        <v/>
      </c>
      <c r="O1396" s="57" t="str">
        <f aca="false">IF($N1396="","",INDEX(BookRate,1391)*(1+'5. Scenarios'!$D$10)*$N1396)</f>
        <v/>
      </c>
      <c r="P1396" s="57" t="str">
        <f aca="false">IF($O1396="","",SUMIFS($O$6:$O$2405,$A$6:$A$2405,"&lt;="&amp;$A1396))</f>
        <v/>
      </c>
      <c r="Q1396" s="57" t="str">
        <f aca="false">IF($O1396="","",IF($P1396&lt;=BankCostEnvelope*'5. Scenarios'!$D$7,1,0))</f>
        <v/>
      </c>
      <c r="R1396" s="57" t="str">
        <f aca="false">IF($N1396="","",INDEX(BookRate,1391)*(1+'5. Scenarios'!$D$10)*(INDEX(BookQ1,1391)*(5-MIN(4,1+'5. Scenarios'!$D$8))/4+INDEX(BookQ2,1391)*(5-MIN(4,2+'5. Scenarios'!$D$8))/4+INDEX(BookQ3,1391)*(5-MIN(4,3+'5. Scenarios'!$D$8))/4+INDEX(BookQ4,1391)*(5-MIN(4,4+'5. Scenarios'!$D$8))/4)*'5. Scenarios'!$D$6/(1+ProductivityDefault*('5. Scenarios'!$D$11-1))+INDEX(BookOneOff,1391)*$N1396)</f>
        <v/>
      </c>
      <c r="S1396" s="56" t="str">
        <f aca="false">IF(INDEX(BookTitle,1391)="","",INDEX(BookTotal,1391)*'5. Scenarios'!$E$6/(1+ProductivityDefault*('5. Scenarios'!$E$11-1)))</f>
        <v/>
      </c>
      <c r="T1396" s="57" t="str">
        <f aca="false">IF($S1396="","",INDEX(BookRate,1391)*(1+'5. Scenarios'!$E$10)*$S1396)</f>
        <v/>
      </c>
      <c r="U1396" s="57" t="str">
        <f aca="false">IF($T1396="","",SUMIFS($T$6:$T$2405,$A$6:$A$2405,"&lt;="&amp;$A1396))</f>
        <v/>
      </c>
      <c r="V1396" s="57" t="str">
        <f aca="false">IF($T1396="","",IF($U1396&lt;=BankCostEnvelope*'5. Scenarios'!$E$7,1,0))</f>
        <v/>
      </c>
      <c r="W1396" s="57" t="str">
        <f aca="false">IF($S1396="","",INDEX(BookRate,1391)*(1+'5. Scenarios'!$E$10)*(INDEX(BookQ1,1391)*(5-MIN(4,1+'5. Scenarios'!$E$8))/4+INDEX(BookQ2,1391)*(5-MIN(4,2+'5. Scenarios'!$E$8))/4+INDEX(BookQ3,1391)*(5-MIN(4,3+'5. Scenarios'!$E$8))/4+INDEX(BookQ4,1391)*(5-MIN(4,4+'5. Scenarios'!$E$8))/4)*'5. Scenarios'!$E$6/(1+ProductivityDefault*('5. Scenarios'!$E$11-1))+INDEX(BookOneOff,1391)*$S1396)</f>
        <v/>
      </c>
    </row>
    <row r="1397" customFormat="false" ht="15" hidden="false" customHeight="false" outlineLevel="0" collapsed="false">
      <c r="A1397" s="0" t="str">
        <f aca="false">IF(INDEX(BookTitle,1392)="","",INDEX(BookKey,1392))</f>
        <v/>
      </c>
      <c r="B1397" s="0" t="str">
        <f aca="false">IF(INDEX(BookTitle,1392)="","",INDEX(BookGroup,1392))</f>
        <v/>
      </c>
      <c r="C1397" s="0" t="str">
        <f aca="false">IF(INDEX(BookTitle,1392)="","",INDEX(BookCategory,1392))</f>
        <v/>
      </c>
      <c r="D1397" s="56" t="str">
        <f aca="false">IF(INDEX(BookTitle,1392)="","",INDEX(BookTotal,1392)*'5. Scenarios'!$B$6/(1+ProductivityDefault*('5. Scenarios'!$B$11-1)))</f>
        <v/>
      </c>
      <c r="E1397" s="57" t="str">
        <f aca="false">IF($D1397="","",INDEX(BookRate,1392)*(1+'5. Scenarios'!$B$10)*$D1397)</f>
        <v/>
      </c>
      <c r="F1397" s="57" t="str">
        <f aca="false">IF($E1397="","",SUMIFS($E$6:$E$2405,$A$6:$A$2405,"&lt;="&amp;$A1397))</f>
        <v/>
      </c>
      <c r="G1397" s="57" t="str">
        <f aca="false">IF($E1397="","",IF($F1397&lt;=BankCostEnvelope*'5. Scenarios'!$B$7,1,0))</f>
        <v/>
      </c>
      <c r="H1397" s="57" t="str">
        <f aca="false">IF($D1397="","",INDEX(BookRate,1392)*(1+'5. Scenarios'!$B$10)*(INDEX(BookQ1,1392)*(5-MIN(4,1+'5. Scenarios'!$B$8))/4+INDEX(BookQ2,1392)*(5-MIN(4,2+'5. Scenarios'!$B$8))/4+INDEX(BookQ3,1392)*(5-MIN(4,3+'5. Scenarios'!$B$8))/4+INDEX(BookQ4,1392)*(5-MIN(4,4+'5. Scenarios'!$B$8))/4)*'5. Scenarios'!$B$6/(1+ProductivityDefault*('5. Scenarios'!$B$11-1))+INDEX(BookOneOff,1392)*$D1397)</f>
        <v/>
      </c>
      <c r="I1397" s="56" t="str">
        <f aca="false">IF(INDEX(BookTitle,1392)="","",INDEX(BookTotal,1392)*'5. Scenarios'!$C$6/(1+ProductivityDefault*('5. Scenarios'!$C$11-1)))</f>
        <v/>
      </c>
      <c r="J1397" s="57" t="str">
        <f aca="false">IF($I1397="","",INDEX(BookRate,1392)*(1+'5. Scenarios'!$C$10)*$I1397)</f>
        <v/>
      </c>
      <c r="K1397" s="57" t="str">
        <f aca="false">IF($J1397="","",SUMIFS($J$6:$J$2405,$A$6:$A$2405,"&lt;="&amp;$A1397))</f>
        <v/>
      </c>
      <c r="L1397" s="57" t="str">
        <f aca="false">IF($J1397="","",IF($K1397&lt;=BankCostEnvelope*'5. Scenarios'!$C$7,1,0))</f>
        <v/>
      </c>
      <c r="M1397" s="57" t="str">
        <f aca="false">IF($I1397="","",INDEX(BookRate,1392)*(1+'5. Scenarios'!$C$10)*(INDEX(BookQ1,1392)*(5-MIN(4,1+'5. Scenarios'!$C$8))/4+INDEX(BookQ2,1392)*(5-MIN(4,2+'5. Scenarios'!$C$8))/4+INDEX(BookQ3,1392)*(5-MIN(4,3+'5. Scenarios'!$C$8))/4+INDEX(BookQ4,1392)*(5-MIN(4,4+'5. Scenarios'!$C$8))/4)*'5. Scenarios'!$C$6/(1+ProductivityDefault*('5. Scenarios'!$C$11-1))+INDEX(BookOneOff,1392)*$I1397)</f>
        <v/>
      </c>
      <c r="N1397" s="56" t="str">
        <f aca="false">IF(INDEX(BookTitle,1392)="","",INDEX(BookTotal,1392)*'5. Scenarios'!$D$6/(1+ProductivityDefault*('5. Scenarios'!$D$11-1)))</f>
        <v/>
      </c>
      <c r="O1397" s="57" t="str">
        <f aca="false">IF($N1397="","",INDEX(BookRate,1392)*(1+'5. Scenarios'!$D$10)*$N1397)</f>
        <v/>
      </c>
      <c r="P1397" s="57" t="str">
        <f aca="false">IF($O1397="","",SUMIFS($O$6:$O$2405,$A$6:$A$2405,"&lt;="&amp;$A1397))</f>
        <v/>
      </c>
      <c r="Q1397" s="57" t="str">
        <f aca="false">IF($O1397="","",IF($P1397&lt;=BankCostEnvelope*'5. Scenarios'!$D$7,1,0))</f>
        <v/>
      </c>
      <c r="R1397" s="57" t="str">
        <f aca="false">IF($N1397="","",INDEX(BookRate,1392)*(1+'5. Scenarios'!$D$10)*(INDEX(BookQ1,1392)*(5-MIN(4,1+'5. Scenarios'!$D$8))/4+INDEX(BookQ2,1392)*(5-MIN(4,2+'5. Scenarios'!$D$8))/4+INDEX(BookQ3,1392)*(5-MIN(4,3+'5. Scenarios'!$D$8))/4+INDEX(BookQ4,1392)*(5-MIN(4,4+'5. Scenarios'!$D$8))/4)*'5. Scenarios'!$D$6/(1+ProductivityDefault*('5. Scenarios'!$D$11-1))+INDEX(BookOneOff,1392)*$N1397)</f>
        <v/>
      </c>
      <c r="S1397" s="56" t="str">
        <f aca="false">IF(INDEX(BookTitle,1392)="","",INDEX(BookTotal,1392)*'5. Scenarios'!$E$6/(1+ProductivityDefault*('5. Scenarios'!$E$11-1)))</f>
        <v/>
      </c>
      <c r="T1397" s="57" t="str">
        <f aca="false">IF($S1397="","",INDEX(BookRate,1392)*(1+'5. Scenarios'!$E$10)*$S1397)</f>
        <v/>
      </c>
      <c r="U1397" s="57" t="str">
        <f aca="false">IF($T1397="","",SUMIFS($T$6:$T$2405,$A$6:$A$2405,"&lt;="&amp;$A1397))</f>
        <v/>
      </c>
      <c r="V1397" s="57" t="str">
        <f aca="false">IF($T1397="","",IF($U1397&lt;=BankCostEnvelope*'5. Scenarios'!$E$7,1,0))</f>
        <v/>
      </c>
      <c r="W1397" s="57" t="str">
        <f aca="false">IF($S1397="","",INDEX(BookRate,1392)*(1+'5. Scenarios'!$E$10)*(INDEX(BookQ1,1392)*(5-MIN(4,1+'5. Scenarios'!$E$8))/4+INDEX(BookQ2,1392)*(5-MIN(4,2+'5. Scenarios'!$E$8))/4+INDEX(BookQ3,1392)*(5-MIN(4,3+'5. Scenarios'!$E$8))/4+INDEX(BookQ4,1392)*(5-MIN(4,4+'5. Scenarios'!$E$8))/4)*'5. Scenarios'!$E$6/(1+ProductivityDefault*('5. Scenarios'!$E$11-1))+INDEX(BookOneOff,1392)*$S1397)</f>
        <v/>
      </c>
    </row>
    <row r="1398" customFormat="false" ht="15" hidden="false" customHeight="false" outlineLevel="0" collapsed="false">
      <c r="A1398" s="0" t="str">
        <f aca="false">IF(INDEX(BookTitle,1393)="","",INDEX(BookKey,1393))</f>
        <v/>
      </c>
      <c r="B1398" s="0" t="str">
        <f aca="false">IF(INDEX(BookTitle,1393)="","",INDEX(BookGroup,1393))</f>
        <v/>
      </c>
      <c r="C1398" s="0" t="str">
        <f aca="false">IF(INDEX(BookTitle,1393)="","",INDEX(BookCategory,1393))</f>
        <v/>
      </c>
      <c r="D1398" s="56" t="str">
        <f aca="false">IF(INDEX(BookTitle,1393)="","",INDEX(BookTotal,1393)*'5. Scenarios'!$B$6/(1+ProductivityDefault*('5. Scenarios'!$B$11-1)))</f>
        <v/>
      </c>
      <c r="E1398" s="57" t="str">
        <f aca="false">IF($D1398="","",INDEX(BookRate,1393)*(1+'5. Scenarios'!$B$10)*$D1398)</f>
        <v/>
      </c>
      <c r="F1398" s="57" t="str">
        <f aca="false">IF($E1398="","",SUMIFS($E$6:$E$2405,$A$6:$A$2405,"&lt;="&amp;$A1398))</f>
        <v/>
      </c>
      <c r="G1398" s="57" t="str">
        <f aca="false">IF($E1398="","",IF($F1398&lt;=BankCostEnvelope*'5. Scenarios'!$B$7,1,0))</f>
        <v/>
      </c>
      <c r="H1398" s="57" t="str">
        <f aca="false">IF($D1398="","",INDEX(BookRate,1393)*(1+'5. Scenarios'!$B$10)*(INDEX(BookQ1,1393)*(5-MIN(4,1+'5. Scenarios'!$B$8))/4+INDEX(BookQ2,1393)*(5-MIN(4,2+'5. Scenarios'!$B$8))/4+INDEX(BookQ3,1393)*(5-MIN(4,3+'5. Scenarios'!$B$8))/4+INDEX(BookQ4,1393)*(5-MIN(4,4+'5. Scenarios'!$B$8))/4)*'5. Scenarios'!$B$6/(1+ProductivityDefault*('5. Scenarios'!$B$11-1))+INDEX(BookOneOff,1393)*$D1398)</f>
        <v/>
      </c>
      <c r="I1398" s="56" t="str">
        <f aca="false">IF(INDEX(BookTitle,1393)="","",INDEX(BookTotal,1393)*'5. Scenarios'!$C$6/(1+ProductivityDefault*('5. Scenarios'!$C$11-1)))</f>
        <v/>
      </c>
      <c r="J1398" s="57" t="str">
        <f aca="false">IF($I1398="","",INDEX(BookRate,1393)*(1+'5. Scenarios'!$C$10)*$I1398)</f>
        <v/>
      </c>
      <c r="K1398" s="57" t="str">
        <f aca="false">IF($J1398="","",SUMIFS($J$6:$J$2405,$A$6:$A$2405,"&lt;="&amp;$A1398))</f>
        <v/>
      </c>
      <c r="L1398" s="57" t="str">
        <f aca="false">IF($J1398="","",IF($K1398&lt;=BankCostEnvelope*'5. Scenarios'!$C$7,1,0))</f>
        <v/>
      </c>
      <c r="M1398" s="57" t="str">
        <f aca="false">IF($I1398="","",INDEX(BookRate,1393)*(1+'5. Scenarios'!$C$10)*(INDEX(BookQ1,1393)*(5-MIN(4,1+'5. Scenarios'!$C$8))/4+INDEX(BookQ2,1393)*(5-MIN(4,2+'5. Scenarios'!$C$8))/4+INDEX(BookQ3,1393)*(5-MIN(4,3+'5. Scenarios'!$C$8))/4+INDEX(BookQ4,1393)*(5-MIN(4,4+'5. Scenarios'!$C$8))/4)*'5. Scenarios'!$C$6/(1+ProductivityDefault*('5. Scenarios'!$C$11-1))+INDEX(BookOneOff,1393)*$I1398)</f>
        <v/>
      </c>
      <c r="N1398" s="56" t="str">
        <f aca="false">IF(INDEX(BookTitle,1393)="","",INDEX(BookTotal,1393)*'5. Scenarios'!$D$6/(1+ProductivityDefault*('5. Scenarios'!$D$11-1)))</f>
        <v/>
      </c>
      <c r="O1398" s="57" t="str">
        <f aca="false">IF($N1398="","",INDEX(BookRate,1393)*(1+'5. Scenarios'!$D$10)*$N1398)</f>
        <v/>
      </c>
      <c r="P1398" s="57" t="str">
        <f aca="false">IF($O1398="","",SUMIFS($O$6:$O$2405,$A$6:$A$2405,"&lt;="&amp;$A1398))</f>
        <v/>
      </c>
      <c r="Q1398" s="57" t="str">
        <f aca="false">IF($O1398="","",IF($P1398&lt;=BankCostEnvelope*'5. Scenarios'!$D$7,1,0))</f>
        <v/>
      </c>
      <c r="R1398" s="57" t="str">
        <f aca="false">IF($N1398="","",INDEX(BookRate,1393)*(1+'5. Scenarios'!$D$10)*(INDEX(BookQ1,1393)*(5-MIN(4,1+'5. Scenarios'!$D$8))/4+INDEX(BookQ2,1393)*(5-MIN(4,2+'5. Scenarios'!$D$8))/4+INDEX(BookQ3,1393)*(5-MIN(4,3+'5. Scenarios'!$D$8))/4+INDEX(BookQ4,1393)*(5-MIN(4,4+'5. Scenarios'!$D$8))/4)*'5. Scenarios'!$D$6/(1+ProductivityDefault*('5. Scenarios'!$D$11-1))+INDEX(BookOneOff,1393)*$N1398)</f>
        <v/>
      </c>
      <c r="S1398" s="56" t="str">
        <f aca="false">IF(INDEX(BookTitle,1393)="","",INDEX(BookTotal,1393)*'5. Scenarios'!$E$6/(1+ProductivityDefault*('5. Scenarios'!$E$11-1)))</f>
        <v/>
      </c>
      <c r="T1398" s="57" t="str">
        <f aca="false">IF($S1398="","",INDEX(BookRate,1393)*(1+'5. Scenarios'!$E$10)*$S1398)</f>
        <v/>
      </c>
      <c r="U1398" s="57" t="str">
        <f aca="false">IF($T1398="","",SUMIFS($T$6:$T$2405,$A$6:$A$2405,"&lt;="&amp;$A1398))</f>
        <v/>
      </c>
      <c r="V1398" s="57" t="str">
        <f aca="false">IF($T1398="","",IF($U1398&lt;=BankCostEnvelope*'5. Scenarios'!$E$7,1,0))</f>
        <v/>
      </c>
      <c r="W1398" s="57" t="str">
        <f aca="false">IF($S1398="","",INDEX(BookRate,1393)*(1+'5. Scenarios'!$E$10)*(INDEX(BookQ1,1393)*(5-MIN(4,1+'5. Scenarios'!$E$8))/4+INDEX(BookQ2,1393)*(5-MIN(4,2+'5. Scenarios'!$E$8))/4+INDEX(BookQ3,1393)*(5-MIN(4,3+'5. Scenarios'!$E$8))/4+INDEX(BookQ4,1393)*(5-MIN(4,4+'5. Scenarios'!$E$8))/4)*'5. Scenarios'!$E$6/(1+ProductivityDefault*('5. Scenarios'!$E$11-1))+INDEX(BookOneOff,1393)*$S1398)</f>
        <v/>
      </c>
    </row>
    <row r="1399" customFormat="false" ht="15" hidden="false" customHeight="false" outlineLevel="0" collapsed="false">
      <c r="A1399" s="0" t="str">
        <f aca="false">IF(INDEX(BookTitle,1394)="","",INDEX(BookKey,1394))</f>
        <v/>
      </c>
      <c r="B1399" s="0" t="str">
        <f aca="false">IF(INDEX(BookTitle,1394)="","",INDEX(BookGroup,1394))</f>
        <v/>
      </c>
      <c r="C1399" s="0" t="str">
        <f aca="false">IF(INDEX(BookTitle,1394)="","",INDEX(BookCategory,1394))</f>
        <v/>
      </c>
      <c r="D1399" s="56" t="str">
        <f aca="false">IF(INDEX(BookTitle,1394)="","",INDEX(BookTotal,1394)*'5. Scenarios'!$B$6/(1+ProductivityDefault*('5. Scenarios'!$B$11-1)))</f>
        <v/>
      </c>
      <c r="E1399" s="57" t="str">
        <f aca="false">IF($D1399="","",INDEX(BookRate,1394)*(1+'5. Scenarios'!$B$10)*$D1399)</f>
        <v/>
      </c>
      <c r="F1399" s="57" t="str">
        <f aca="false">IF($E1399="","",SUMIFS($E$6:$E$2405,$A$6:$A$2405,"&lt;="&amp;$A1399))</f>
        <v/>
      </c>
      <c r="G1399" s="57" t="str">
        <f aca="false">IF($E1399="","",IF($F1399&lt;=BankCostEnvelope*'5. Scenarios'!$B$7,1,0))</f>
        <v/>
      </c>
      <c r="H1399" s="57" t="str">
        <f aca="false">IF($D1399="","",INDEX(BookRate,1394)*(1+'5. Scenarios'!$B$10)*(INDEX(BookQ1,1394)*(5-MIN(4,1+'5. Scenarios'!$B$8))/4+INDEX(BookQ2,1394)*(5-MIN(4,2+'5. Scenarios'!$B$8))/4+INDEX(BookQ3,1394)*(5-MIN(4,3+'5. Scenarios'!$B$8))/4+INDEX(BookQ4,1394)*(5-MIN(4,4+'5. Scenarios'!$B$8))/4)*'5. Scenarios'!$B$6/(1+ProductivityDefault*('5. Scenarios'!$B$11-1))+INDEX(BookOneOff,1394)*$D1399)</f>
        <v/>
      </c>
      <c r="I1399" s="56" t="str">
        <f aca="false">IF(INDEX(BookTitle,1394)="","",INDEX(BookTotal,1394)*'5. Scenarios'!$C$6/(1+ProductivityDefault*('5. Scenarios'!$C$11-1)))</f>
        <v/>
      </c>
      <c r="J1399" s="57" t="str">
        <f aca="false">IF($I1399="","",INDEX(BookRate,1394)*(1+'5. Scenarios'!$C$10)*$I1399)</f>
        <v/>
      </c>
      <c r="K1399" s="57" t="str">
        <f aca="false">IF($J1399="","",SUMIFS($J$6:$J$2405,$A$6:$A$2405,"&lt;="&amp;$A1399))</f>
        <v/>
      </c>
      <c r="L1399" s="57" t="str">
        <f aca="false">IF($J1399="","",IF($K1399&lt;=BankCostEnvelope*'5. Scenarios'!$C$7,1,0))</f>
        <v/>
      </c>
      <c r="M1399" s="57" t="str">
        <f aca="false">IF($I1399="","",INDEX(BookRate,1394)*(1+'5. Scenarios'!$C$10)*(INDEX(BookQ1,1394)*(5-MIN(4,1+'5. Scenarios'!$C$8))/4+INDEX(BookQ2,1394)*(5-MIN(4,2+'5. Scenarios'!$C$8))/4+INDEX(BookQ3,1394)*(5-MIN(4,3+'5. Scenarios'!$C$8))/4+INDEX(BookQ4,1394)*(5-MIN(4,4+'5. Scenarios'!$C$8))/4)*'5. Scenarios'!$C$6/(1+ProductivityDefault*('5. Scenarios'!$C$11-1))+INDEX(BookOneOff,1394)*$I1399)</f>
        <v/>
      </c>
      <c r="N1399" s="56" t="str">
        <f aca="false">IF(INDEX(BookTitle,1394)="","",INDEX(BookTotal,1394)*'5. Scenarios'!$D$6/(1+ProductivityDefault*('5. Scenarios'!$D$11-1)))</f>
        <v/>
      </c>
      <c r="O1399" s="57" t="str">
        <f aca="false">IF($N1399="","",INDEX(BookRate,1394)*(1+'5. Scenarios'!$D$10)*$N1399)</f>
        <v/>
      </c>
      <c r="P1399" s="57" t="str">
        <f aca="false">IF($O1399="","",SUMIFS($O$6:$O$2405,$A$6:$A$2405,"&lt;="&amp;$A1399))</f>
        <v/>
      </c>
      <c r="Q1399" s="57" t="str">
        <f aca="false">IF($O1399="","",IF($P1399&lt;=BankCostEnvelope*'5. Scenarios'!$D$7,1,0))</f>
        <v/>
      </c>
      <c r="R1399" s="57" t="str">
        <f aca="false">IF($N1399="","",INDEX(BookRate,1394)*(1+'5. Scenarios'!$D$10)*(INDEX(BookQ1,1394)*(5-MIN(4,1+'5. Scenarios'!$D$8))/4+INDEX(BookQ2,1394)*(5-MIN(4,2+'5. Scenarios'!$D$8))/4+INDEX(BookQ3,1394)*(5-MIN(4,3+'5. Scenarios'!$D$8))/4+INDEX(BookQ4,1394)*(5-MIN(4,4+'5. Scenarios'!$D$8))/4)*'5. Scenarios'!$D$6/(1+ProductivityDefault*('5. Scenarios'!$D$11-1))+INDEX(BookOneOff,1394)*$N1399)</f>
        <v/>
      </c>
      <c r="S1399" s="56" t="str">
        <f aca="false">IF(INDEX(BookTitle,1394)="","",INDEX(BookTotal,1394)*'5. Scenarios'!$E$6/(1+ProductivityDefault*('5. Scenarios'!$E$11-1)))</f>
        <v/>
      </c>
      <c r="T1399" s="57" t="str">
        <f aca="false">IF($S1399="","",INDEX(BookRate,1394)*(1+'5. Scenarios'!$E$10)*$S1399)</f>
        <v/>
      </c>
      <c r="U1399" s="57" t="str">
        <f aca="false">IF($T1399="","",SUMIFS($T$6:$T$2405,$A$6:$A$2405,"&lt;="&amp;$A1399))</f>
        <v/>
      </c>
      <c r="V1399" s="57" t="str">
        <f aca="false">IF($T1399="","",IF($U1399&lt;=BankCostEnvelope*'5. Scenarios'!$E$7,1,0))</f>
        <v/>
      </c>
      <c r="W1399" s="57" t="str">
        <f aca="false">IF($S1399="","",INDEX(BookRate,1394)*(1+'5. Scenarios'!$E$10)*(INDEX(BookQ1,1394)*(5-MIN(4,1+'5. Scenarios'!$E$8))/4+INDEX(BookQ2,1394)*(5-MIN(4,2+'5. Scenarios'!$E$8))/4+INDEX(BookQ3,1394)*(5-MIN(4,3+'5. Scenarios'!$E$8))/4+INDEX(BookQ4,1394)*(5-MIN(4,4+'5. Scenarios'!$E$8))/4)*'5. Scenarios'!$E$6/(1+ProductivityDefault*('5. Scenarios'!$E$11-1))+INDEX(BookOneOff,1394)*$S1399)</f>
        <v/>
      </c>
    </row>
    <row r="1400" customFormat="false" ht="15" hidden="false" customHeight="false" outlineLevel="0" collapsed="false">
      <c r="A1400" s="0" t="str">
        <f aca="false">IF(INDEX(BookTitle,1395)="","",INDEX(BookKey,1395))</f>
        <v/>
      </c>
      <c r="B1400" s="0" t="str">
        <f aca="false">IF(INDEX(BookTitle,1395)="","",INDEX(BookGroup,1395))</f>
        <v/>
      </c>
      <c r="C1400" s="0" t="str">
        <f aca="false">IF(INDEX(BookTitle,1395)="","",INDEX(BookCategory,1395))</f>
        <v/>
      </c>
      <c r="D1400" s="56" t="str">
        <f aca="false">IF(INDEX(BookTitle,1395)="","",INDEX(BookTotal,1395)*'5. Scenarios'!$B$6/(1+ProductivityDefault*('5. Scenarios'!$B$11-1)))</f>
        <v/>
      </c>
      <c r="E1400" s="57" t="str">
        <f aca="false">IF($D1400="","",INDEX(BookRate,1395)*(1+'5. Scenarios'!$B$10)*$D1400)</f>
        <v/>
      </c>
      <c r="F1400" s="57" t="str">
        <f aca="false">IF($E1400="","",SUMIFS($E$6:$E$2405,$A$6:$A$2405,"&lt;="&amp;$A1400))</f>
        <v/>
      </c>
      <c r="G1400" s="57" t="str">
        <f aca="false">IF($E1400="","",IF($F1400&lt;=BankCostEnvelope*'5. Scenarios'!$B$7,1,0))</f>
        <v/>
      </c>
      <c r="H1400" s="57" t="str">
        <f aca="false">IF($D1400="","",INDEX(BookRate,1395)*(1+'5. Scenarios'!$B$10)*(INDEX(BookQ1,1395)*(5-MIN(4,1+'5. Scenarios'!$B$8))/4+INDEX(BookQ2,1395)*(5-MIN(4,2+'5. Scenarios'!$B$8))/4+INDEX(BookQ3,1395)*(5-MIN(4,3+'5. Scenarios'!$B$8))/4+INDEX(BookQ4,1395)*(5-MIN(4,4+'5. Scenarios'!$B$8))/4)*'5. Scenarios'!$B$6/(1+ProductivityDefault*('5. Scenarios'!$B$11-1))+INDEX(BookOneOff,1395)*$D1400)</f>
        <v/>
      </c>
      <c r="I1400" s="56" t="str">
        <f aca="false">IF(INDEX(BookTitle,1395)="","",INDEX(BookTotal,1395)*'5. Scenarios'!$C$6/(1+ProductivityDefault*('5. Scenarios'!$C$11-1)))</f>
        <v/>
      </c>
      <c r="J1400" s="57" t="str">
        <f aca="false">IF($I1400="","",INDEX(BookRate,1395)*(1+'5. Scenarios'!$C$10)*$I1400)</f>
        <v/>
      </c>
      <c r="K1400" s="57" t="str">
        <f aca="false">IF($J1400="","",SUMIFS($J$6:$J$2405,$A$6:$A$2405,"&lt;="&amp;$A1400))</f>
        <v/>
      </c>
      <c r="L1400" s="57" t="str">
        <f aca="false">IF($J1400="","",IF($K1400&lt;=BankCostEnvelope*'5. Scenarios'!$C$7,1,0))</f>
        <v/>
      </c>
      <c r="M1400" s="57" t="str">
        <f aca="false">IF($I1400="","",INDEX(BookRate,1395)*(1+'5. Scenarios'!$C$10)*(INDEX(BookQ1,1395)*(5-MIN(4,1+'5. Scenarios'!$C$8))/4+INDEX(BookQ2,1395)*(5-MIN(4,2+'5. Scenarios'!$C$8))/4+INDEX(BookQ3,1395)*(5-MIN(4,3+'5. Scenarios'!$C$8))/4+INDEX(BookQ4,1395)*(5-MIN(4,4+'5. Scenarios'!$C$8))/4)*'5. Scenarios'!$C$6/(1+ProductivityDefault*('5. Scenarios'!$C$11-1))+INDEX(BookOneOff,1395)*$I1400)</f>
        <v/>
      </c>
      <c r="N1400" s="56" t="str">
        <f aca="false">IF(INDEX(BookTitle,1395)="","",INDEX(BookTotal,1395)*'5. Scenarios'!$D$6/(1+ProductivityDefault*('5. Scenarios'!$D$11-1)))</f>
        <v/>
      </c>
      <c r="O1400" s="57" t="str">
        <f aca="false">IF($N1400="","",INDEX(BookRate,1395)*(1+'5. Scenarios'!$D$10)*$N1400)</f>
        <v/>
      </c>
      <c r="P1400" s="57" t="str">
        <f aca="false">IF($O1400="","",SUMIFS($O$6:$O$2405,$A$6:$A$2405,"&lt;="&amp;$A1400))</f>
        <v/>
      </c>
      <c r="Q1400" s="57" t="str">
        <f aca="false">IF($O1400="","",IF($P1400&lt;=BankCostEnvelope*'5. Scenarios'!$D$7,1,0))</f>
        <v/>
      </c>
      <c r="R1400" s="57" t="str">
        <f aca="false">IF($N1400="","",INDEX(BookRate,1395)*(1+'5. Scenarios'!$D$10)*(INDEX(BookQ1,1395)*(5-MIN(4,1+'5. Scenarios'!$D$8))/4+INDEX(BookQ2,1395)*(5-MIN(4,2+'5. Scenarios'!$D$8))/4+INDEX(BookQ3,1395)*(5-MIN(4,3+'5. Scenarios'!$D$8))/4+INDEX(BookQ4,1395)*(5-MIN(4,4+'5. Scenarios'!$D$8))/4)*'5. Scenarios'!$D$6/(1+ProductivityDefault*('5. Scenarios'!$D$11-1))+INDEX(BookOneOff,1395)*$N1400)</f>
        <v/>
      </c>
      <c r="S1400" s="56" t="str">
        <f aca="false">IF(INDEX(BookTitle,1395)="","",INDEX(BookTotal,1395)*'5. Scenarios'!$E$6/(1+ProductivityDefault*('5. Scenarios'!$E$11-1)))</f>
        <v/>
      </c>
      <c r="T1400" s="57" t="str">
        <f aca="false">IF($S1400="","",INDEX(BookRate,1395)*(1+'5. Scenarios'!$E$10)*$S1400)</f>
        <v/>
      </c>
      <c r="U1400" s="57" t="str">
        <f aca="false">IF($T1400="","",SUMIFS($T$6:$T$2405,$A$6:$A$2405,"&lt;="&amp;$A1400))</f>
        <v/>
      </c>
      <c r="V1400" s="57" t="str">
        <f aca="false">IF($T1400="","",IF($U1400&lt;=BankCostEnvelope*'5. Scenarios'!$E$7,1,0))</f>
        <v/>
      </c>
      <c r="W1400" s="57" t="str">
        <f aca="false">IF($S1400="","",INDEX(BookRate,1395)*(1+'5. Scenarios'!$E$10)*(INDEX(BookQ1,1395)*(5-MIN(4,1+'5. Scenarios'!$E$8))/4+INDEX(BookQ2,1395)*(5-MIN(4,2+'5. Scenarios'!$E$8))/4+INDEX(BookQ3,1395)*(5-MIN(4,3+'5. Scenarios'!$E$8))/4+INDEX(BookQ4,1395)*(5-MIN(4,4+'5. Scenarios'!$E$8))/4)*'5. Scenarios'!$E$6/(1+ProductivityDefault*('5. Scenarios'!$E$11-1))+INDEX(BookOneOff,1395)*$S1400)</f>
        <v/>
      </c>
    </row>
    <row r="1401" customFormat="false" ht="15" hidden="false" customHeight="false" outlineLevel="0" collapsed="false">
      <c r="A1401" s="0" t="str">
        <f aca="false">IF(INDEX(BookTitle,1396)="","",INDEX(BookKey,1396))</f>
        <v/>
      </c>
      <c r="B1401" s="0" t="str">
        <f aca="false">IF(INDEX(BookTitle,1396)="","",INDEX(BookGroup,1396))</f>
        <v/>
      </c>
      <c r="C1401" s="0" t="str">
        <f aca="false">IF(INDEX(BookTitle,1396)="","",INDEX(BookCategory,1396))</f>
        <v/>
      </c>
      <c r="D1401" s="56" t="str">
        <f aca="false">IF(INDEX(BookTitle,1396)="","",INDEX(BookTotal,1396)*'5. Scenarios'!$B$6/(1+ProductivityDefault*('5. Scenarios'!$B$11-1)))</f>
        <v/>
      </c>
      <c r="E1401" s="57" t="str">
        <f aca="false">IF($D1401="","",INDEX(BookRate,1396)*(1+'5. Scenarios'!$B$10)*$D1401)</f>
        <v/>
      </c>
      <c r="F1401" s="57" t="str">
        <f aca="false">IF($E1401="","",SUMIFS($E$6:$E$2405,$A$6:$A$2405,"&lt;="&amp;$A1401))</f>
        <v/>
      </c>
      <c r="G1401" s="57" t="str">
        <f aca="false">IF($E1401="","",IF($F1401&lt;=BankCostEnvelope*'5. Scenarios'!$B$7,1,0))</f>
        <v/>
      </c>
      <c r="H1401" s="57" t="str">
        <f aca="false">IF($D1401="","",INDEX(BookRate,1396)*(1+'5. Scenarios'!$B$10)*(INDEX(BookQ1,1396)*(5-MIN(4,1+'5. Scenarios'!$B$8))/4+INDEX(BookQ2,1396)*(5-MIN(4,2+'5. Scenarios'!$B$8))/4+INDEX(BookQ3,1396)*(5-MIN(4,3+'5. Scenarios'!$B$8))/4+INDEX(BookQ4,1396)*(5-MIN(4,4+'5. Scenarios'!$B$8))/4)*'5. Scenarios'!$B$6/(1+ProductivityDefault*('5. Scenarios'!$B$11-1))+INDEX(BookOneOff,1396)*$D1401)</f>
        <v/>
      </c>
      <c r="I1401" s="56" t="str">
        <f aca="false">IF(INDEX(BookTitle,1396)="","",INDEX(BookTotal,1396)*'5. Scenarios'!$C$6/(1+ProductivityDefault*('5. Scenarios'!$C$11-1)))</f>
        <v/>
      </c>
      <c r="J1401" s="57" t="str">
        <f aca="false">IF($I1401="","",INDEX(BookRate,1396)*(1+'5. Scenarios'!$C$10)*$I1401)</f>
        <v/>
      </c>
      <c r="K1401" s="57" t="str">
        <f aca="false">IF($J1401="","",SUMIFS($J$6:$J$2405,$A$6:$A$2405,"&lt;="&amp;$A1401))</f>
        <v/>
      </c>
      <c r="L1401" s="57" t="str">
        <f aca="false">IF($J1401="","",IF($K1401&lt;=BankCostEnvelope*'5. Scenarios'!$C$7,1,0))</f>
        <v/>
      </c>
      <c r="M1401" s="57" t="str">
        <f aca="false">IF($I1401="","",INDEX(BookRate,1396)*(1+'5. Scenarios'!$C$10)*(INDEX(BookQ1,1396)*(5-MIN(4,1+'5. Scenarios'!$C$8))/4+INDEX(BookQ2,1396)*(5-MIN(4,2+'5. Scenarios'!$C$8))/4+INDEX(BookQ3,1396)*(5-MIN(4,3+'5. Scenarios'!$C$8))/4+INDEX(BookQ4,1396)*(5-MIN(4,4+'5. Scenarios'!$C$8))/4)*'5. Scenarios'!$C$6/(1+ProductivityDefault*('5. Scenarios'!$C$11-1))+INDEX(BookOneOff,1396)*$I1401)</f>
        <v/>
      </c>
      <c r="N1401" s="56" t="str">
        <f aca="false">IF(INDEX(BookTitle,1396)="","",INDEX(BookTotal,1396)*'5. Scenarios'!$D$6/(1+ProductivityDefault*('5. Scenarios'!$D$11-1)))</f>
        <v/>
      </c>
      <c r="O1401" s="57" t="str">
        <f aca="false">IF($N1401="","",INDEX(BookRate,1396)*(1+'5. Scenarios'!$D$10)*$N1401)</f>
        <v/>
      </c>
      <c r="P1401" s="57" t="str">
        <f aca="false">IF($O1401="","",SUMIFS($O$6:$O$2405,$A$6:$A$2405,"&lt;="&amp;$A1401))</f>
        <v/>
      </c>
      <c r="Q1401" s="57" t="str">
        <f aca="false">IF($O1401="","",IF($P1401&lt;=BankCostEnvelope*'5. Scenarios'!$D$7,1,0))</f>
        <v/>
      </c>
      <c r="R1401" s="57" t="str">
        <f aca="false">IF($N1401="","",INDEX(BookRate,1396)*(1+'5. Scenarios'!$D$10)*(INDEX(BookQ1,1396)*(5-MIN(4,1+'5. Scenarios'!$D$8))/4+INDEX(BookQ2,1396)*(5-MIN(4,2+'5. Scenarios'!$D$8))/4+INDEX(BookQ3,1396)*(5-MIN(4,3+'5. Scenarios'!$D$8))/4+INDEX(BookQ4,1396)*(5-MIN(4,4+'5. Scenarios'!$D$8))/4)*'5. Scenarios'!$D$6/(1+ProductivityDefault*('5. Scenarios'!$D$11-1))+INDEX(BookOneOff,1396)*$N1401)</f>
        <v/>
      </c>
      <c r="S1401" s="56" t="str">
        <f aca="false">IF(INDEX(BookTitle,1396)="","",INDEX(BookTotal,1396)*'5. Scenarios'!$E$6/(1+ProductivityDefault*('5. Scenarios'!$E$11-1)))</f>
        <v/>
      </c>
      <c r="T1401" s="57" t="str">
        <f aca="false">IF($S1401="","",INDEX(BookRate,1396)*(1+'5. Scenarios'!$E$10)*$S1401)</f>
        <v/>
      </c>
      <c r="U1401" s="57" t="str">
        <f aca="false">IF($T1401="","",SUMIFS($T$6:$T$2405,$A$6:$A$2405,"&lt;="&amp;$A1401))</f>
        <v/>
      </c>
      <c r="V1401" s="57" t="str">
        <f aca="false">IF($T1401="","",IF($U1401&lt;=BankCostEnvelope*'5. Scenarios'!$E$7,1,0))</f>
        <v/>
      </c>
      <c r="W1401" s="57" t="str">
        <f aca="false">IF($S1401="","",INDEX(BookRate,1396)*(1+'5. Scenarios'!$E$10)*(INDEX(BookQ1,1396)*(5-MIN(4,1+'5. Scenarios'!$E$8))/4+INDEX(BookQ2,1396)*(5-MIN(4,2+'5. Scenarios'!$E$8))/4+INDEX(BookQ3,1396)*(5-MIN(4,3+'5. Scenarios'!$E$8))/4+INDEX(BookQ4,1396)*(5-MIN(4,4+'5. Scenarios'!$E$8))/4)*'5. Scenarios'!$E$6/(1+ProductivityDefault*('5. Scenarios'!$E$11-1))+INDEX(BookOneOff,1396)*$S1401)</f>
        <v/>
      </c>
    </row>
    <row r="1402" customFormat="false" ht="15" hidden="false" customHeight="false" outlineLevel="0" collapsed="false">
      <c r="A1402" s="0" t="str">
        <f aca="false">IF(INDEX(BookTitle,1397)="","",INDEX(BookKey,1397))</f>
        <v/>
      </c>
      <c r="B1402" s="0" t="str">
        <f aca="false">IF(INDEX(BookTitle,1397)="","",INDEX(BookGroup,1397))</f>
        <v/>
      </c>
      <c r="C1402" s="0" t="str">
        <f aca="false">IF(INDEX(BookTitle,1397)="","",INDEX(BookCategory,1397))</f>
        <v/>
      </c>
      <c r="D1402" s="56" t="str">
        <f aca="false">IF(INDEX(BookTitle,1397)="","",INDEX(BookTotal,1397)*'5. Scenarios'!$B$6/(1+ProductivityDefault*('5. Scenarios'!$B$11-1)))</f>
        <v/>
      </c>
      <c r="E1402" s="57" t="str">
        <f aca="false">IF($D1402="","",INDEX(BookRate,1397)*(1+'5. Scenarios'!$B$10)*$D1402)</f>
        <v/>
      </c>
      <c r="F1402" s="57" t="str">
        <f aca="false">IF($E1402="","",SUMIFS($E$6:$E$2405,$A$6:$A$2405,"&lt;="&amp;$A1402))</f>
        <v/>
      </c>
      <c r="G1402" s="57" t="str">
        <f aca="false">IF($E1402="","",IF($F1402&lt;=BankCostEnvelope*'5. Scenarios'!$B$7,1,0))</f>
        <v/>
      </c>
      <c r="H1402" s="57" t="str">
        <f aca="false">IF($D1402="","",INDEX(BookRate,1397)*(1+'5. Scenarios'!$B$10)*(INDEX(BookQ1,1397)*(5-MIN(4,1+'5. Scenarios'!$B$8))/4+INDEX(BookQ2,1397)*(5-MIN(4,2+'5. Scenarios'!$B$8))/4+INDEX(BookQ3,1397)*(5-MIN(4,3+'5. Scenarios'!$B$8))/4+INDEX(BookQ4,1397)*(5-MIN(4,4+'5. Scenarios'!$B$8))/4)*'5. Scenarios'!$B$6/(1+ProductivityDefault*('5. Scenarios'!$B$11-1))+INDEX(BookOneOff,1397)*$D1402)</f>
        <v/>
      </c>
      <c r="I1402" s="56" t="str">
        <f aca="false">IF(INDEX(BookTitle,1397)="","",INDEX(BookTotal,1397)*'5. Scenarios'!$C$6/(1+ProductivityDefault*('5. Scenarios'!$C$11-1)))</f>
        <v/>
      </c>
      <c r="J1402" s="57" t="str">
        <f aca="false">IF($I1402="","",INDEX(BookRate,1397)*(1+'5. Scenarios'!$C$10)*$I1402)</f>
        <v/>
      </c>
      <c r="K1402" s="57" t="str">
        <f aca="false">IF($J1402="","",SUMIFS($J$6:$J$2405,$A$6:$A$2405,"&lt;="&amp;$A1402))</f>
        <v/>
      </c>
      <c r="L1402" s="57" t="str">
        <f aca="false">IF($J1402="","",IF($K1402&lt;=BankCostEnvelope*'5. Scenarios'!$C$7,1,0))</f>
        <v/>
      </c>
      <c r="M1402" s="57" t="str">
        <f aca="false">IF($I1402="","",INDEX(BookRate,1397)*(1+'5. Scenarios'!$C$10)*(INDEX(BookQ1,1397)*(5-MIN(4,1+'5. Scenarios'!$C$8))/4+INDEX(BookQ2,1397)*(5-MIN(4,2+'5. Scenarios'!$C$8))/4+INDEX(BookQ3,1397)*(5-MIN(4,3+'5. Scenarios'!$C$8))/4+INDEX(BookQ4,1397)*(5-MIN(4,4+'5. Scenarios'!$C$8))/4)*'5. Scenarios'!$C$6/(1+ProductivityDefault*('5. Scenarios'!$C$11-1))+INDEX(BookOneOff,1397)*$I1402)</f>
        <v/>
      </c>
      <c r="N1402" s="56" t="str">
        <f aca="false">IF(INDEX(BookTitle,1397)="","",INDEX(BookTotal,1397)*'5. Scenarios'!$D$6/(1+ProductivityDefault*('5. Scenarios'!$D$11-1)))</f>
        <v/>
      </c>
      <c r="O1402" s="57" t="str">
        <f aca="false">IF($N1402="","",INDEX(BookRate,1397)*(1+'5. Scenarios'!$D$10)*$N1402)</f>
        <v/>
      </c>
      <c r="P1402" s="57" t="str">
        <f aca="false">IF($O1402="","",SUMIFS($O$6:$O$2405,$A$6:$A$2405,"&lt;="&amp;$A1402))</f>
        <v/>
      </c>
      <c r="Q1402" s="57" t="str">
        <f aca="false">IF($O1402="","",IF($P1402&lt;=BankCostEnvelope*'5. Scenarios'!$D$7,1,0))</f>
        <v/>
      </c>
      <c r="R1402" s="57" t="str">
        <f aca="false">IF($N1402="","",INDEX(BookRate,1397)*(1+'5. Scenarios'!$D$10)*(INDEX(BookQ1,1397)*(5-MIN(4,1+'5. Scenarios'!$D$8))/4+INDEX(BookQ2,1397)*(5-MIN(4,2+'5. Scenarios'!$D$8))/4+INDEX(BookQ3,1397)*(5-MIN(4,3+'5. Scenarios'!$D$8))/4+INDEX(BookQ4,1397)*(5-MIN(4,4+'5. Scenarios'!$D$8))/4)*'5. Scenarios'!$D$6/(1+ProductivityDefault*('5. Scenarios'!$D$11-1))+INDEX(BookOneOff,1397)*$N1402)</f>
        <v/>
      </c>
      <c r="S1402" s="56" t="str">
        <f aca="false">IF(INDEX(BookTitle,1397)="","",INDEX(BookTotal,1397)*'5. Scenarios'!$E$6/(1+ProductivityDefault*('5. Scenarios'!$E$11-1)))</f>
        <v/>
      </c>
      <c r="T1402" s="57" t="str">
        <f aca="false">IF($S1402="","",INDEX(BookRate,1397)*(1+'5. Scenarios'!$E$10)*$S1402)</f>
        <v/>
      </c>
      <c r="U1402" s="57" t="str">
        <f aca="false">IF($T1402="","",SUMIFS($T$6:$T$2405,$A$6:$A$2405,"&lt;="&amp;$A1402))</f>
        <v/>
      </c>
      <c r="V1402" s="57" t="str">
        <f aca="false">IF($T1402="","",IF($U1402&lt;=BankCostEnvelope*'5. Scenarios'!$E$7,1,0))</f>
        <v/>
      </c>
      <c r="W1402" s="57" t="str">
        <f aca="false">IF($S1402="","",INDEX(BookRate,1397)*(1+'5. Scenarios'!$E$10)*(INDEX(BookQ1,1397)*(5-MIN(4,1+'5. Scenarios'!$E$8))/4+INDEX(BookQ2,1397)*(5-MIN(4,2+'5. Scenarios'!$E$8))/4+INDEX(BookQ3,1397)*(5-MIN(4,3+'5. Scenarios'!$E$8))/4+INDEX(BookQ4,1397)*(5-MIN(4,4+'5. Scenarios'!$E$8))/4)*'5. Scenarios'!$E$6/(1+ProductivityDefault*('5. Scenarios'!$E$11-1))+INDEX(BookOneOff,1397)*$S1402)</f>
        <v/>
      </c>
    </row>
    <row r="1403" customFormat="false" ht="15" hidden="false" customHeight="false" outlineLevel="0" collapsed="false">
      <c r="A1403" s="0" t="str">
        <f aca="false">IF(INDEX(BookTitle,1398)="","",INDEX(BookKey,1398))</f>
        <v/>
      </c>
      <c r="B1403" s="0" t="str">
        <f aca="false">IF(INDEX(BookTitle,1398)="","",INDEX(BookGroup,1398))</f>
        <v/>
      </c>
      <c r="C1403" s="0" t="str">
        <f aca="false">IF(INDEX(BookTitle,1398)="","",INDEX(BookCategory,1398))</f>
        <v/>
      </c>
      <c r="D1403" s="56" t="str">
        <f aca="false">IF(INDEX(BookTitle,1398)="","",INDEX(BookTotal,1398)*'5. Scenarios'!$B$6/(1+ProductivityDefault*('5. Scenarios'!$B$11-1)))</f>
        <v/>
      </c>
      <c r="E1403" s="57" t="str">
        <f aca="false">IF($D1403="","",INDEX(BookRate,1398)*(1+'5. Scenarios'!$B$10)*$D1403)</f>
        <v/>
      </c>
      <c r="F1403" s="57" t="str">
        <f aca="false">IF($E1403="","",SUMIFS($E$6:$E$2405,$A$6:$A$2405,"&lt;="&amp;$A1403))</f>
        <v/>
      </c>
      <c r="G1403" s="57" t="str">
        <f aca="false">IF($E1403="","",IF($F1403&lt;=BankCostEnvelope*'5. Scenarios'!$B$7,1,0))</f>
        <v/>
      </c>
      <c r="H1403" s="57" t="str">
        <f aca="false">IF($D1403="","",INDEX(BookRate,1398)*(1+'5. Scenarios'!$B$10)*(INDEX(BookQ1,1398)*(5-MIN(4,1+'5. Scenarios'!$B$8))/4+INDEX(BookQ2,1398)*(5-MIN(4,2+'5. Scenarios'!$B$8))/4+INDEX(BookQ3,1398)*(5-MIN(4,3+'5. Scenarios'!$B$8))/4+INDEX(BookQ4,1398)*(5-MIN(4,4+'5. Scenarios'!$B$8))/4)*'5. Scenarios'!$B$6/(1+ProductivityDefault*('5. Scenarios'!$B$11-1))+INDEX(BookOneOff,1398)*$D1403)</f>
        <v/>
      </c>
      <c r="I1403" s="56" t="str">
        <f aca="false">IF(INDEX(BookTitle,1398)="","",INDEX(BookTotal,1398)*'5. Scenarios'!$C$6/(1+ProductivityDefault*('5. Scenarios'!$C$11-1)))</f>
        <v/>
      </c>
      <c r="J1403" s="57" t="str">
        <f aca="false">IF($I1403="","",INDEX(BookRate,1398)*(1+'5. Scenarios'!$C$10)*$I1403)</f>
        <v/>
      </c>
      <c r="K1403" s="57" t="str">
        <f aca="false">IF($J1403="","",SUMIFS($J$6:$J$2405,$A$6:$A$2405,"&lt;="&amp;$A1403))</f>
        <v/>
      </c>
      <c r="L1403" s="57" t="str">
        <f aca="false">IF($J1403="","",IF($K1403&lt;=BankCostEnvelope*'5. Scenarios'!$C$7,1,0))</f>
        <v/>
      </c>
      <c r="M1403" s="57" t="str">
        <f aca="false">IF($I1403="","",INDEX(BookRate,1398)*(1+'5. Scenarios'!$C$10)*(INDEX(BookQ1,1398)*(5-MIN(4,1+'5. Scenarios'!$C$8))/4+INDEX(BookQ2,1398)*(5-MIN(4,2+'5. Scenarios'!$C$8))/4+INDEX(BookQ3,1398)*(5-MIN(4,3+'5. Scenarios'!$C$8))/4+INDEX(BookQ4,1398)*(5-MIN(4,4+'5. Scenarios'!$C$8))/4)*'5. Scenarios'!$C$6/(1+ProductivityDefault*('5. Scenarios'!$C$11-1))+INDEX(BookOneOff,1398)*$I1403)</f>
        <v/>
      </c>
      <c r="N1403" s="56" t="str">
        <f aca="false">IF(INDEX(BookTitle,1398)="","",INDEX(BookTotal,1398)*'5. Scenarios'!$D$6/(1+ProductivityDefault*('5. Scenarios'!$D$11-1)))</f>
        <v/>
      </c>
      <c r="O1403" s="57" t="str">
        <f aca="false">IF($N1403="","",INDEX(BookRate,1398)*(1+'5. Scenarios'!$D$10)*$N1403)</f>
        <v/>
      </c>
      <c r="P1403" s="57" t="str">
        <f aca="false">IF($O1403="","",SUMIFS($O$6:$O$2405,$A$6:$A$2405,"&lt;="&amp;$A1403))</f>
        <v/>
      </c>
      <c r="Q1403" s="57" t="str">
        <f aca="false">IF($O1403="","",IF($P1403&lt;=BankCostEnvelope*'5. Scenarios'!$D$7,1,0))</f>
        <v/>
      </c>
      <c r="R1403" s="57" t="str">
        <f aca="false">IF($N1403="","",INDEX(BookRate,1398)*(1+'5. Scenarios'!$D$10)*(INDEX(BookQ1,1398)*(5-MIN(4,1+'5. Scenarios'!$D$8))/4+INDEX(BookQ2,1398)*(5-MIN(4,2+'5. Scenarios'!$D$8))/4+INDEX(BookQ3,1398)*(5-MIN(4,3+'5. Scenarios'!$D$8))/4+INDEX(BookQ4,1398)*(5-MIN(4,4+'5. Scenarios'!$D$8))/4)*'5. Scenarios'!$D$6/(1+ProductivityDefault*('5. Scenarios'!$D$11-1))+INDEX(BookOneOff,1398)*$N1403)</f>
        <v/>
      </c>
      <c r="S1403" s="56" t="str">
        <f aca="false">IF(INDEX(BookTitle,1398)="","",INDEX(BookTotal,1398)*'5. Scenarios'!$E$6/(1+ProductivityDefault*('5. Scenarios'!$E$11-1)))</f>
        <v/>
      </c>
      <c r="T1403" s="57" t="str">
        <f aca="false">IF($S1403="","",INDEX(BookRate,1398)*(1+'5. Scenarios'!$E$10)*$S1403)</f>
        <v/>
      </c>
      <c r="U1403" s="57" t="str">
        <f aca="false">IF($T1403="","",SUMIFS($T$6:$T$2405,$A$6:$A$2405,"&lt;="&amp;$A1403))</f>
        <v/>
      </c>
      <c r="V1403" s="57" t="str">
        <f aca="false">IF($T1403="","",IF($U1403&lt;=BankCostEnvelope*'5. Scenarios'!$E$7,1,0))</f>
        <v/>
      </c>
      <c r="W1403" s="57" t="str">
        <f aca="false">IF($S1403="","",INDEX(BookRate,1398)*(1+'5. Scenarios'!$E$10)*(INDEX(BookQ1,1398)*(5-MIN(4,1+'5. Scenarios'!$E$8))/4+INDEX(BookQ2,1398)*(5-MIN(4,2+'5. Scenarios'!$E$8))/4+INDEX(BookQ3,1398)*(5-MIN(4,3+'5. Scenarios'!$E$8))/4+INDEX(BookQ4,1398)*(5-MIN(4,4+'5. Scenarios'!$E$8))/4)*'5. Scenarios'!$E$6/(1+ProductivityDefault*('5. Scenarios'!$E$11-1))+INDEX(BookOneOff,1398)*$S1403)</f>
        <v/>
      </c>
    </row>
    <row r="1404" customFormat="false" ht="15" hidden="false" customHeight="false" outlineLevel="0" collapsed="false">
      <c r="A1404" s="0" t="str">
        <f aca="false">IF(INDEX(BookTitle,1399)="","",INDEX(BookKey,1399))</f>
        <v/>
      </c>
      <c r="B1404" s="0" t="str">
        <f aca="false">IF(INDEX(BookTitle,1399)="","",INDEX(BookGroup,1399))</f>
        <v/>
      </c>
      <c r="C1404" s="0" t="str">
        <f aca="false">IF(INDEX(BookTitle,1399)="","",INDEX(BookCategory,1399))</f>
        <v/>
      </c>
      <c r="D1404" s="56" t="str">
        <f aca="false">IF(INDEX(BookTitle,1399)="","",INDEX(BookTotal,1399)*'5. Scenarios'!$B$6/(1+ProductivityDefault*('5. Scenarios'!$B$11-1)))</f>
        <v/>
      </c>
      <c r="E1404" s="57" t="str">
        <f aca="false">IF($D1404="","",INDEX(BookRate,1399)*(1+'5. Scenarios'!$B$10)*$D1404)</f>
        <v/>
      </c>
      <c r="F1404" s="57" t="str">
        <f aca="false">IF($E1404="","",SUMIFS($E$6:$E$2405,$A$6:$A$2405,"&lt;="&amp;$A1404))</f>
        <v/>
      </c>
      <c r="G1404" s="57" t="str">
        <f aca="false">IF($E1404="","",IF($F1404&lt;=BankCostEnvelope*'5. Scenarios'!$B$7,1,0))</f>
        <v/>
      </c>
      <c r="H1404" s="57" t="str">
        <f aca="false">IF($D1404="","",INDEX(BookRate,1399)*(1+'5. Scenarios'!$B$10)*(INDEX(BookQ1,1399)*(5-MIN(4,1+'5. Scenarios'!$B$8))/4+INDEX(BookQ2,1399)*(5-MIN(4,2+'5. Scenarios'!$B$8))/4+INDEX(BookQ3,1399)*(5-MIN(4,3+'5. Scenarios'!$B$8))/4+INDEX(BookQ4,1399)*(5-MIN(4,4+'5. Scenarios'!$B$8))/4)*'5. Scenarios'!$B$6/(1+ProductivityDefault*('5. Scenarios'!$B$11-1))+INDEX(BookOneOff,1399)*$D1404)</f>
        <v/>
      </c>
      <c r="I1404" s="56" t="str">
        <f aca="false">IF(INDEX(BookTitle,1399)="","",INDEX(BookTotal,1399)*'5. Scenarios'!$C$6/(1+ProductivityDefault*('5. Scenarios'!$C$11-1)))</f>
        <v/>
      </c>
      <c r="J1404" s="57" t="str">
        <f aca="false">IF($I1404="","",INDEX(BookRate,1399)*(1+'5. Scenarios'!$C$10)*$I1404)</f>
        <v/>
      </c>
      <c r="K1404" s="57" t="str">
        <f aca="false">IF($J1404="","",SUMIFS($J$6:$J$2405,$A$6:$A$2405,"&lt;="&amp;$A1404))</f>
        <v/>
      </c>
      <c r="L1404" s="57" t="str">
        <f aca="false">IF($J1404="","",IF($K1404&lt;=BankCostEnvelope*'5. Scenarios'!$C$7,1,0))</f>
        <v/>
      </c>
      <c r="M1404" s="57" t="str">
        <f aca="false">IF($I1404="","",INDEX(BookRate,1399)*(1+'5. Scenarios'!$C$10)*(INDEX(BookQ1,1399)*(5-MIN(4,1+'5. Scenarios'!$C$8))/4+INDEX(BookQ2,1399)*(5-MIN(4,2+'5. Scenarios'!$C$8))/4+INDEX(BookQ3,1399)*(5-MIN(4,3+'5. Scenarios'!$C$8))/4+INDEX(BookQ4,1399)*(5-MIN(4,4+'5. Scenarios'!$C$8))/4)*'5. Scenarios'!$C$6/(1+ProductivityDefault*('5. Scenarios'!$C$11-1))+INDEX(BookOneOff,1399)*$I1404)</f>
        <v/>
      </c>
      <c r="N1404" s="56" t="str">
        <f aca="false">IF(INDEX(BookTitle,1399)="","",INDEX(BookTotal,1399)*'5. Scenarios'!$D$6/(1+ProductivityDefault*('5. Scenarios'!$D$11-1)))</f>
        <v/>
      </c>
      <c r="O1404" s="57" t="str">
        <f aca="false">IF($N1404="","",INDEX(BookRate,1399)*(1+'5. Scenarios'!$D$10)*$N1404)</f>
        <v/>
      </c>
      <c r="P1404" s="57" t="str">
        <f aca="false">IF($O1404="","",SUMIFS($O$6:$O$2405,$A$6:$A$2405,"&lt;="&amp;$A1404))</f>
        <v/>
      </c>
      <c r="Q1404" s="57" t="str">
        <f aca="false">IF($O1404="","",IF($P1404&lt;=BankCostEnvelope*'5. Scenarios'!$D$7,1,0))</f>
        <v/>
      </c>
      <c r="R1404" s="57" t="str">
        <f aca="false">IF($N1404="","",INDEX(BookRate,1399)*(1+'5. Scenarios'!$D$10)*(INDEX(BookQ1,1399)*(5-MIN(4,1+'5. Scenarios'!$D$8))/4+INDEX(BookQ2,1399)*(5-MIN(4,2+'5. Scenarios'!$D$8))/4+INDEX(BookQ3,1399)*(5-MIN(4,3+'5. Scenarios'!$D$8))/4+INDEX(BookQ4,1399)*(5-MIN(4,4+'5. Scenarios'!$D$8))/4)*'5. Scenarios'!$D$6/(1+ProductivityDefault*('5. Scenarios'!$D$11-1))+INDEX(BookOneOff,1399)*$N1404)</f>
        <v/>
      </c>
      <c r="S1404" s="56" t="str">
        <f aca="false">IF(INDEX(BookTitle,1399)="","",INDEX(BookTotal,1399)*'5. Scenarios'!$E$6/(1+ProductivityDefault*('5. Scenarios'!$E$11-1)))</f>
        <v/>
      </c>
      <c r="T1404" s="57" t="str">
        <f aca="false">IF($S1404="","",INDEX(BookRate,1399)*(1+'5. Scenarios'!$E$10)*$S1404)</f>
        <v/>
      </c>
      <c r="U1404" s="57" t="str">
        <f aca="false">IF($T1404="","",SUMIFS($T$6:$T$2405,$A$6:$A$2405,"&lt;="&amp;$A1404))</f>
        <v/>
      </c>
      <c r="V1404" s="57" t="str">
        <f aca="false">IF($T1404="","",IF($U1404&lt;=BankCostEnvelope*'5. Scenarios'!$E$7,1,0))</f>
        <v/>
      </c>
      <c r="W1404" s="57" t="str">
        <f aca="false">IF($S1404="","",INDEX(BookRate,1399)*(1+'5. Scenarios'!$E$10)*(INDEX(BookQ1,1399)*(5-MIN(4,1+'5. Scenarios'!$E$8))/4+INDEX(BookQ2,1399)*(5-MIN(4,2+'5. Scenarios'!$E$8))/4+INDEX(BookQ3,1399)*(5-MIN(4,3+'5. Scenarios'!$E$8))/4+INDEX(BookQ4,1399)*(5-MIN(4,4+'5. Scenarios'!$E$8))/4)*'5. Scenarios'!$E$6/(1+ProductivityDefault*('5. Scenarios'!$E$11-1))+INDEX(BookOneOff,1399)*$S1404)</f>
        <v/>
      </c>
    </row>
    <row r="1405" customFormat="false" ht="15" hidden="false" customHeight="false" outlineLevel="0" collapsed="false">
      <c r="A1405" s="0" t="str">
        <f aca="false">IF(INDEX(BookTitle,1400)="","",INDEX(BookKey,1400))</f>
        <v/>
      </c>
      <c r="B1405" s="0" t="str">
        <f aca="false">IF(INDEX(BookTitle,1400)="","",INDEX(BookGroup,1400))</f>
        <v/>
      </c>
      <c r="C1405" s="0" t="str">
        <f aca="false">IF(INDEX(BookTitle,1400)="","",INDEX(BookCategory,1400))</f>
        <v/>
      </c>
      <c r="D1405" s="56" t="str">
        <f aca="false">IF(INDEX(BookTitle,1400)="","",INDEX(BookTotal,1400)*'5. Scenarios'!$B$6/(1+ProductivityDefault*('5. Scenarios'!$B$11-1)))</f>
        <v/>
      </c>
      <c r="E1405" s="57" t="str">
        <f aca="false">IF($D1405="","",INDEX(BookRate,1400)*(1+'5. Scenarios'!$B$10)*$D1405)</f>
        <v/>
      </c>
      <c r="F1405" s="57" t="str">
        <f aca="false">IF($E1405="","",SUMIFS($E$6:$E$2405,$A$6:$A$2405,"&lt;="&amp;$A1405))</f>
        <v/>
      </c>
      <c r="G1405" s="57" t="str">
        <f aca="false">IF($E1405="","",IF($F1405&lt;=BankCostEnvelope*'5. Scenarios'!$B$7,1,0))</f>
        <v/>
      </c>
      <c r="H1405" s="57" t="str">
        <f aca="false">IF($D1405="","",INDEX(BookRate,1400)*(1+'5. Scenarios'!$B$10)*(INDEX(BookQ1,1400)*(5-MIN(4,1+'5. Scenarios'!$B$8))/4+INDEX(BookQ2,1400)*(5-MIN(4,2+'5. Scenarios'!$B$8))/4+INDEX(BookQ3,1400)*(5-MIN(4,3+'5. Scenarios'!$B$8))/4+INDEX(BookQ4,1400)*(5-MIN(4,4+'5. Scenarios'!$B$8))/4)*'5. Scenarios'!$B$6/(1+ProductivityDefault*('5. Scenarios'!$B$11-1))+INDEX(BookOneOff,1400)*$D1405)</f>
        <v/>
      </c>
      <c r="I1405" s="56" t="str">
        <f aca="false">IF(INDEX(BookTitle,1400)="","",INDEX(BookTotal,1400)*'5. Scenarios'!$C$6/(1+ProductivityDefault*('5. Scenarios'!$C$11-1)))</f>
        <v/>
      </c>
      <c r="J1405" s="57" t="str">
        <f aca="false">IF($I1405="","",INDEX(BookRate,1400)*(1+'5. Scenarios'!$C$10)*$I1405)</f>
        <v/>
      </c>
      <c r="K1405" s="57" t="str">
        <f aca="false">IF($J1405="","",SUMIFS($J$6:$J$2405,$A$6:$A$2405,"&lt;="&amp;$A1405))</f>
        <v/>
      </c>
      <c r="L1405" s="57" t="str">
        <f aca="false">IF($J1405="","",IF($K1405&lt;=BankCostEnvelope*'5. Scenarios'!$C$7,1,0))</f>
        <v/>
      </c>
      <c r="M1405" s="57" t="str">
        <f aca="false">IF($I1405="","",INDEX(BookRate,1400)*(1+'5. Scenarios'!$C$10)*(INDEX(BookQ1,1400)*(5-MIN(4,1+'5. Scenarios'!$C$8))/4+INDEX(BookQ2,1400)*(5-MIN(4,2+'5. Scenarios'!$C$8))/4+INDEX(BookQ3,1400)*(5-MIN(4,3+'5. Scenarios'!$C$8))/4+INDEX(BookQ4,1400)*(5-MIN(4,4+'5. Scenarios'!$C$8))/4)*'5. Scenarios'!$C$6/(1+ProductivityDefault*('5. Scenarios'!$C$11-1))+INDEX(BookOneOff,1400)*$I1405)</f>
        <v/>
      </c>
      <c r="N1405" s="56" t="str">
        <f aca="false">IF(INDEX(BookTitle,1400)="","",INDEX(BookTotal,1400)*'5. Scenarios'!$D$6/(1+ProductivityDefault*('5. Scenarios'!$D$11-1)))</f>
        <v/>
      </c>
      <c r="O1405" s="57" t="str">
        <f aca="false">IF($N1405="","",INDEX(BookRate,1400)*(1+'5. Scenarios'!$D$10)*$N1405)</f>
        <v/>
      </c>
      <c r="P1405" s="57" t="str">
        <f aca="false">IF($O1405="","",SUMIFS($O$6:$O$2405,$A$6:$A$2405,"&lt;="&amp;$A1405))</f>
        <v/>
      </c>
      <c r="Q1405" s="57" t="str">
        <f aca="false">IF($O1405="","",IF($P1405&lt;=BankCostEnvelope*'5. Scenarios'!$D$7,1,0))</f>
        <v/>
      </c>
      <c r="R1405" s="57" t="str">
        <f aca="false">IF($N1405="","",INDEX(BookRate,1400)*(1+'5. Scenarios'!$D$10)*(INDEX(BookQ1,1400)*(5-MIN(4,1+'5. Scenarios'!$D$8))/4+INDEX(BookQ2,1400)*(5-MIN(4,2+'5. Scenarios'!$D$8))/4+INDEX(BookQ3,1400)*(5-MIN(4,3+'5. Scenarios'!$D$8))/4+INDEX(BookQ4,1400)*(5-MIN(4,4+'5. Scenarios'!$D$8))/4)*'5. Scenarios'!$D$6/(1+ProductivityDefault*('5. Scenarios'!$D$11-1))+INDEX(BookOneOff,1400)*$N1405)</f>
        <v/>
      </c>
      <c r="S1405" s="56" t="str">
        <f aca="false">IF(INDEX(BookTitle,1400)="","",INDEX(BookTotal,1400)*'5. Scenarios'!$E$6/(1+ProductivityDefault*('5. Scenarios'!$E$11-1)))</f>
        <v/>
      </c>
      <c r="T1405" s="57" t="str">
        <f aca="false">IF($S1405="","",INDEX(BookRate,1400)*(1+'5. Scenarios'!$E$10)*$S1405)</f>
        <v/>
      </c>
      <c r="U1405" s="57" t="str">
        <f aca="false">IF($T1405="","",SUMIFS($T$6:$T$2405,$A$6:$A$2405,"&lt;="&amp;$A1405))</f>
        <v/>
      </c>
      <c r="V1405" s="57" t="str">
        <f aca="false">IF($T1405="","",IF($U1405&lt;=BankCostEnvelope*'5. Scenarios'!$E$7,1,0))</f>
        <v/>
      </c>
      <c r="W1405" s="57" t="str">
        <f aca="false">IF($S1405="","",INDEX(BookRate,1400)*(1+'5. Scenarios'!$E$10)*(INDEX(BookQ1,1400)*(5-MIN(4,1+'5. Scenarios'!$E$8))/4+INDEX(BookQ2,1400)*(5-MIN(4,2+'5. Scenarios'!$E$8))/4+INDEX(BookQ3,1400)*(5-MIN(4,3+'5. Scenarios'!$E$8))/4+INDEX(BookQ4,1400)*(5-MIN(4,4+'5. Scenarios'!$E$8))/4)*'5. Scenarios'!$E$6/(1+ProductivityDefault*('5. Scenarios'!$E$11-1))+INDEX(BookOneOff,1400)*$S1405)</f>
        <v/>
      </c>
    </row>
    <row r="1406" customFormat="false" ht="15" hidden="false" customHeight="false" outlineLevel="0" collapsed="false">
      <c r="A1406" s="0" t="str">
        <f aca="false">IF(INDEX(BookTitle,1401)="","",INDEX(BookKey,1401))</f>
        <v/>
      </c>
      <c r="B1406" s="0" t="str">
        <f aca="false">IF(INDEX(BookTitle,1401)="","",INDEX(BookGroup,1401))</f>
        <v/>
      </c>
      <c r="C1406" s="0" t="str">
        <f aca="false">IF(INDEX(BookTitle,1401)="","",INDEX(BookCategory,1401))</f>
        <v/>
      </c>
      <c r="D1406" s="56" t="str">
        <f aca="false">IF(INDEX(BookTitle,1401)="","",INDEX(BookTotal,1401)*'5. Scenarios'!$B$6/(1+ProductivityDefault*('5. Scenarios'!$B$11-1)))</f>
        <v/>
      </c>
      <c r="E1406" s="57" t="str">
        <f aca="false">IF($D1406="","",INDEX(BookRate,1401)*(1+'5. Scenarios'!$B$10)*$D1406)</f>
        <v/>
      </c>
      <c r="F1406" s="57" t="str">
        <f aca="false">IF($E1406="","",SUMIFS($E$6:$E$2405,$A$6:$A$2405,"&lt;="&amp;$A1406))</f>
        <v/>
      </c>
      <c r="G1406" s="57" t="str">
        <f aca="false">IF($E1406="","",IF($F1406&lt;=BankCostEnvelope*'5. Scenarios'!$B$7,1,0))</f>
        <v/>
      </c>
      <c r="H1406" s="57" t="str">
        <f aca="false">IF($D1406="","",INDEX(BookRate,1401)*(1+'5. Scenarios'!$B$10)*(INDEX(BookQ1,1401)*(5-MIN(4,1+'5. Scenarios'!$B$8))/4+INDEX(BookQ2,1401)*(5-MIN(4,2+'5. Scenarios'!$B$8))/4+INDEX(BookQ3,1401)*(5-MIN(4,3+'5. Scenarios'!$B$8))/4+INDEX(BookQ4,1401)*(5-MIN(4,4+'5. Scenarios'!$B$8))/4)*'5. Scenarios'!$B$6/(1+ProductivityDefault*('5. Scenarios'!$B$11-1))+INDEX(BookOneOff,1401)*$D1406)</f>
        <v/>
      </c>
      <c r="I1406" s="56" t="str">
        <f aca="false">IF(INDEX(BookTitle,1401)="","",INDEX(BookTotal,1401)*'5. Scenarios'!$C$6/(1+ProductivityDefault*('5. Scenarios'!$C$11-1)))</f>
        <v/>
      </c>
      <c r="J1406" s="57" t="str">
        <f aca="false">IF($I1406="","",INDEX(BookRate,1401)*(1+'5. Scenarios'!$C$10)*$I1406)</f>
        <v/>
      </c>
      <c r="K1406" s="57" t="str">
        <f aca="false">IF($J1406="","",SUMIFS($J$6:$J$2405,$A$6:$A$2405,"&lt;="&amp;$A1406))</f>
        <v/>
      </c>
      <c r="L1406" s="57" t="str">
        <f aca="false">IF($J1406="","",IF($K1406&lt;=BankCostEnvelope*'5. Scenarios'!$C$7,1,0))</f>
        <v/>
      </c>
      <c r="M1406" s="57" t="str">
        <f aca="false">IF($I1406="","",INDEX(BookRate,1401)*(1+'5. Scenarios'!$C$10)*(INDEX(BookQ1,1401)*(5-MIN(4,1+'5. Scenarios'!$C$8))/4+INDEX(BookQ2,1401)*(5-MIN(4,2+'5. Scenarios'!$C$8))/4+INDEX(BookQ3,1401)*(5-MIN(4,3+'5. Scenarios'!$C$8))/4+INDEX(BookQ4,1401)*(5-MIN(4,4+'5. Scenarios'!$C$8))/4)*'5. Scenarios'!$C$6/(1+ProductivityDefault*('5. Scenarios'!$C$11-1))+INDEX(BookOneOff,1401)*$I1406)</f>
        <v/>
      </c>
      <c r="N1406" s="56" t="str">
        <f aca="false">IF(INDEX(BookTitle,1401)="","",INDEX(BookTotal,1401)*'5. Scenarios'!$D$6/(1+ProductivityDefault*('5. Scenarios'!$D$11-1)))</f>
        <v/>
      </c>
      <c r="O1406" s="57" t="str">
        <f aca="false">IF($N1406="","",INDEX(BookRate,1401)*(1+'5. Scenarios'!$D$10)*$N1406)</f>
        <v/>
      </c>
      <c r="P1406" s="57" t="str">
        <f aca="false">IF($O1406="","",SUMIFS($O$6:$O$2405,$A$6:$A$2405,"&lt;="&amp;$A1406))</f>
        <v/>
      </c>
      <c r="Q1406" s="57" t="str">
        <f aca="false">IF($O1406="","",IF($P1406&lt;=BankCostEnvelope*'5. Scenarios'!$D$7,1,0))</f>
        <v/>
      </c>
      <c r="R1406" s="57" t="str">
        <f aca="false">IF($N1406="","",INDEX(BookRate,1401)*(1+'5. Scenarios'!$D$10)*(INDEX(BookQ1,1401)*(5-MIN(4,1+'5. Scenarios'!$D$8))/4+INDEX(BookQ2,1401)*(5-MIN(4,2+'5. Scenarios'!$D$8))/4+INDEX(BookQ3,1401)*(5-MIN(4,3+'5. Scenarios'!$D$8))/4+INDEX(BookQ4,1401)*(5-MIN(4,4+'5. Scenarios'!$D$8))/4)*'5. Scenarios'!$D$6/(1+ProductivityDefault*('5. Scenarios'!$D$11-1))+INDEX(BookOneOff,1401)*$N1406)</f>
        <v/>
      </c>
      <c r="S1406" s="56" t="str">
        <f aca="false">IF(INDEX(BookTitle,1401)="","",INDEX(BookTotal,1401)*'5. Scenarios'!$E$6/(1+ProductivityDefault*('5. Scenarios'!$E$11-1)))</f>
        <v/>
      </c>
      <c r="T1406" s="57" t="str">
        <f aca="false">IF($S1406="","",INDEX(BookRate,1401)*(1+'5. Scenarios'!$E$10)*$S1406)</f>
        <v/>
      </c>
      <c r="U1406" s="57" t="str">
        <f aca="false">IF($T1406="","",SUMIFS($T$6:$T$2405,$A$6:$A$2405,"&lt;="&amp;$A1406))</f>
        <v/>
      </c>
      <c r="V1406" s="57" t="str">
        <f aca="false">IF($T1406="","",IF($U1406&lt;=BankCostEnvelope*'5. Scenarios'!$E$7,1,0))</f>
        <v/>
      </c>
      <c r="W1406" s="57" t="str">
        <f aca="false">IF($S1406="","",INDEX(BookRate,1401)*(1+'5. Scenarios'!$E$10)*(INDEX(BookQ1,1401)*(5-MIN(4,1+'5. Scenarios'!$E$8))/4+INDEX(BookQ2,1401)*(5-MIN(4,2+'5. Scenarios'!$E$8))/4+INDEX(BookQ3,1401)*(5-MIN(4,3+'5. Scenarios'!$E$8))/4+INDEX(BookQ4,1401)*(5-MIN(4,4+'5. Scenarios'!$E$8))/4)*'5. Scenarios'!$E$6/(1+ProductivityDefault*('5. Scenarios'!$E$11-1))+INDEX(BookOneOff,1401)*$S1406)</f>
        <v/>
      </c>
    </row>
    <row r="1407" customFormat="false" ht="15" hidden="false" customHeight="false" outlineLevel="0" collapsed="false">
      <c r="A1407" s="0" t="str">
        <f aca="false">IF(INDEX(BookTitle,1402)="","",INDEX(BookKey,1402))</f>
        <v/>
      </c>
      <c r="B1407" s="0" t="str">
        <f aca="false">IF(INDEX(BookTitle,1402)="","",INDEX(BookGroup,1402))</f>
        <v/>
      </c>
      <c r="C1407" s="0" t="str">
        <f aca="false">IF(INDEX(BookTitle,1402)="","",INDEX(BookCategory,1402))</f>
        <v/>
      </c>
      <c r="D1407" s="56" t="str">
        <f aca="false">IF(INDEX(BookTitle,1402)="","",INDEX(BookTotal,1402)*'5. Scenarios'!$B$6/(1+ProductivityDefault*('5. Scenarios'!$B$11-1)))</f>
        <v/>
      </c>
      <c r="E1407" s="57" t="str">
        <f aca="false">IF($D1407="","",INDEX(BookRate,1402)*(1+'5. Scenarios'!$B$10)*$D1407)</f>
        <v/>
      </c>
      <c r="F1407" s="57" t="str">
        <f aca="false">IF($E1407="","",SUMIFS($E$6:$E$2405,$A$6:$A$2405,"&lt;="&amp;$A1407))</f>
        <v/>
      </c>
      <c r="G1407" s="57" t="str">
        <f aca="false">IF($E1407="","",IF($F1407&lt;=BankCostEnvelope*'5. Scenarios'!$B$7,1,0))</f>
        <v/>
      </c>
      <c r="H1407" s="57" t="str">
        <f aca="false">IF($D1407="","",INDEX(BookRate,1402)*(1+'5. Scenarios'!$B$10)*(INDEX(BookQ1,1402)*(5-MIN(4,1+'5. Scenarios'!$B$8))/4+INDEX(BookQ2,1402)*(5-MIN(4,2+'5. Scenarios'!$B$8))/4+INDEX(BookQ3,1402)*(5-MIN(4,3+'5. Scenarios'!$B$8))/4+INDEX(BookQ4,1402)*(5-MIN(4,4+'5. Scenarios'!$B$8))/4)*'5. Scenarios'!$B$6/(1+ProductivityDefault*('5. Scenarios'!$B$11-1))+INDEX(BookOneOff,1402)*$D1407)</f>
        <v/>
      </c>
      <c r="I1407" s="56" t="str">
        <f aca="false">IF(INDEX(BookTitle,1402)="","",INDEX(BookTotal,1402)*'5. Scenarios'!$C$6/(1+ProductivityDefault*('5. Scenarios'!$C$11-1)))</f>
        <v/>
      </c>
      <c r="J1407" s="57" t="str">
        <f aca="false">IF($I1407="","",INDEX(BookRate,1402)*(1+'5. Scenarios'!$C$10)*$I1407)</f>
        <v/>
      </c>
      <c r="K1407" s="57" t="str">
        <f aca="false">IF($J1407="","",SUMIFS($J$6:$J$2405,$A$6:$A$2405,"&lt;="&amp;$A1407))</f>
        <v/>
      </c>
      <c r="L1407" s="57" t="str">
        <f aca="false">IF($J1407="","",IF($K1407&lt;=BankCostEnvelope*'5. Scenarios'!$C$7,1,0))</f>
        <v/>
      </c>
      <c r="M1407" s="57" t="str">
        <f aca="false">IF($I1407="","",INDEX(BookRate,1402)*(1+'5. Scenarios'!$C$10)*(INDEX(BookQ1,1402)*(5-MIN(4,1+'5. Scenarios'!$C$8))/4+INDEX(BookQ2,1402)*(5-MIN(4,2+'5. Scenarios'!$C$8))/4+INDEX(BookQ3,1402)*(5-MIN(4,3+'5. Scenarios'!$C$8))/4+INDEX(BookQ4,1402)*(5-MIN(4,4+'5. Scenarios'!$C$8))/4)*'5. Scenarios'!$C$6/(1+ProductivityDefault*('5. Scenarios'!$C$11-1))+INDEX(BookOneOff,1402)*$I1407)</f>
        <v/>
      </c>
      <c r="N1407" s="56" t="str">
        <f aca="false">IF(INDEX(BookTitle,1402)="","",INDEX(BookTotal,1402)*'5. Scenarios'!$D$6/(1+ProductivityDefault*('5. Scenarios'!$D$11-1)))</f>
        <v/>
      </c>
      <c r="O1407" s="57" t="str">
        <f aca="false">IF($N1407="","",INDEX(BookRate,1402)*(1+'5. Scenarios'!$D$10)*$N1407)</f>
        <v/>
      </c>
      <c r="P1407" s="57" t="str">
        <f aca="false">IF($O1407="","",SUMIFS($O$6:$O$2405,$A$6:$A$2405,"&lt;="&amp;$A1407))</f>
        <v/>
      </c>
      <c r="Q1407" s="57" t="str">
        <f aca="false">IF($O1407="","",IF($P1407&lt;=BankCostEnvelope*'5. Scenarios'!$D$7,1,0))</f>
        <v/>
      </c>
      <c r="R1407" s="57" t="str">
        <f aca="false">IF($N1407="","",INDEX(BookRate,1402)*(1+'5. Scenarios'!$D$10)*(INDEX(BookQ1,1402)*(5-MIN(4,1+'5. Scenarios'!$D$8))/4+INDEX(BookQ2,1402)*(5-MIN(4,2+'5. Scenarios'!$D$8))/4+INDEX(BookQ3,1402)*(5-MIN(4,3+'5. Scenarios'!$D$8))/4+INDEX(BookQ4,1402)*(5-MIN(4,4+'5. Scenarios'!$D$8))/4)*'5. Scenarios'!$D$6/(1+ProductivityDefault*('5. Scenarios'!$D$11-1))+INDEX(BookOneOff,1402)*$N1407)</f>
        <v/>
      </c>
      <c r="S1407" s="56" t="str">
        <f aca="false">IF(INDEX(BookTitle,1402)="","",INDEX(BookTotal,1402)*'5. Scenarios'!$E$6/(1+ProductivityDefault*('5. Scenarios'!$E$11-1)))</f>
        <v/>
      </c>
      <c r="T1407" s="57" t="str">
        <f aca="false">IF($S1407="","",INDEX(BookRate,1402)*(1+'5. Scenarios'!$E$10)*$S1407)</f>
        <v/>
      </c>
      <c r="U1407" s="57" t="str">
        <f aca="false">IF($T1407="","",SUMIFS($T$6:$T$2405,$A$6:$A$2405,"&lt;="&amp;$A1407))</f>
        <v/>
      </c>
      <c r="V1407" s="57" t="str">
        <f aca="false">IF($T1407="","",IF($U1407&lt;=BankCostEnvelope*'5. Scenarios'!$E$7,1,0))</f>
        <v/>
      </c>
      <c r="W1407" s="57" t="str">
        <f aca="false">IF($S1407="","",INDEX(BookRate,1402)*(1+'5. Scenarios'!$E$10)*(INDEX(BookQ1,1402)*(5-MIN(4,1+'5. Scenarios'!$E$8))/4+INDEX(BookQ2,1402)*(5-MIN(4,2+'5. Scenarios'!$E$8))/4+INDEX(BookQ3,1402)*(5-MIN(4,3+'5. Scenarios'!$E$8))/4+INDEX(BookQ4,1402)*(5-MIN(4,4+'5. Scenarios'!$E$8))/4)*'5. Scenarios'!$E$6/(1+ProductivityDefault*('5. Scenarios'!$E$11-1))+INDEX(BookOneOff,1402)*$S1407)</f>
        <v/>
      </c>
    </row>
    <row r="1408" customFormat="false" ht="15" hidden="false" customHeight="false" outlineLevel="0" collapsed="false">
      <c r="A1408" s="0" t="str">
        <f aca="false">IF(INDEX(BookTitle,1403)="","",INDEX(BookKey,1403))</f>
        <v/>
      </c>
      <c r="B1408" s="0" t="str">
        <f aca="false">IF(INDEX(BookTitle,1403)="","",INDEX(BookGroup,1403))</f>
        <v/>
      </c>
      <c r="C1408" s="0" t="str">
        <f aca="false">IF(INDEX(BookTitle,1403)="","",INDEX(BookCategory,1403))</f>
        <v/>
      </c>
      <c r="D1408" s="56" t="str">
        <f aca="false">IF(INDEX(BookTitle,1403)="","",INDEX(BookTotal,1403)*'5. Scenarios'!$B$6/(1+ProductivityDefault*('5. Scenarios'!$B$11-1)))</f>
        <v/>
      </c>
      <c r="E1408" s="57" t="str">
        <f aca="false">IF($D1408="","",INDEX(BookRate,1403)*(1+'5. Scenarios'!$B$10)*$D1408)</f>
        <v/>
      </c>
      <c r="F1408" s="57" t="str">
        <f aca="false">IF($E1408="","",SUMIFS($E$6:$E$2405,$A$6:$A$2405,"&lt;="&amp;$A1408))</f>
        <v/>
      </c>
      <c r="G1408" s="57" t="str">
        <f aca="false">IF($E1408="","",IF($F1408&lt;=BankCostEnvelope*'5. Scenarios'!$B$7,1,0))</f>
        <v/>
      </c>
      <c r="H1408" s="57" t="str">
        <f aca="false">IF($D1408="","",INDEX(BookRate,1403)*(1+'5. Scenarios'!$B$10)*(INDEX(BookQ1,1403)*(5-MIN(4,1+'5. Scenarios'!$B$8))/4+INDEX(BookQ2,1403)*(5-MIN(4,2+'5. Scenarios'!$B$8))/4+INDEX(BookQ3,1403)*(5-MIN(4,3+'5. Scenarios'!$B$8))/4+INDEX(BookQ4,1403)*(5-MIN(4,4+'5. Scenarios'!$B$8))/4)*'5. Scenarios'!$B$6/(1+ProductivityDefault*('5. Scenarios'!$B$11-1))+INDEX(BookOneOff,1403)*$D1408)</f>
        <v/>
      </c>
      <c r="I1408" s="56" t="str">
        <f aca="false">IF(INDEX(BookTitle,1403)="","",INDEX(BookTotal,1403)*'5. Scenarios'!$C$6/(1+ProductivityDefault*('5. Scenarios'!$C$11-1)))</f>
        <v/>
      </c>
      <c r="J1408" s="57" t="str">
        <f aca="false">IF($I1408="","",INDEX(BookRate,1403)*(1+'5. Scenarios'!$C$10)*$I1408)</f>
        <v/>
      </c>
      <c r="K1408" s="57" t="str">
        <f aca="false">IF($J1408="","",SUMIFS($J$6:$J$2405,$A$6:$A$2405,"&lt;="&amp;$A1408))</f>
        <v/>
      </c>
      <c r="L1408" s="57" t="str">
        <f aca="false">IF($J1408="","",IF($K1408&lt;=BankCostEnvelope*'5. Scenarios'!$C$7,1,0))</f>
        <v/>
      </c>
      <c r="M1408" s="57" t="str">
        <f aca="false">IF($I1408="","",INDEX(BookRate,1403)*(1+'5. Scenarios'!$C$10)*(INDEX(BookQ1,1403)*(5-MIN(4,1+'5. Scenarios'!$C$8))/4+INDEX(BookQ2,1403)*(5-MIN(4,2+'5. Scenarios'!$C$8))/4+INDEX(BookQ3,1403)*(5-MIN(4,3+'5. Scenarios'!$C$8))/4+INDEX(BookQ4,1403)*(5-MIN(4,4+'5. Scenarios'!$C$8))/4)*'5. Scenarios'!$C$6/(1+ProductivityDefault*('5. Scenarios'!$C$11-1))+INDEX(BookOneOff,1403)*$I1408)</f>
        <v/>
      </c>
      <c r="N1408" s="56" t="str">
        <f aca="false">IF(INDEX(BookTitle,1403)="","",INDEX(BookTotal,1403)*'5. Scenarios'!$D$6/(1+ProductivityDefault*('5. Scenarios'!$D$11-1)))</f>
        <v/>
      </c>
      <c r="O1408" s="57" t="str">
        <f aca="false">IF($N1408="","",INDEX(BookRate,1403)*(1+'5. Scenarios'!$D$10)*$N1408)</f>
        <v/>
      </c>
      <c r="P1408" s="57" t="str">
        <f aca="false">IF($O1408="","",SUMIFS($O$6:$O$2405,$A$6:$A$2405,"&lt;="&amp;$A1408))</f>
        <v/>
      </c>
      <c r="Q1408" s="57" t="str">
        <f aca="false">IF($O1408="","",IF($P1408&lt;=BankCostEnvelope*'5. Scenarios'!$D$7,1,0))</f>
        <v/>
      </c>
      <c r="R1408" s="57" t="str">
        <f aca="false">IF($N1408="","",INDEX(BookRate,1403)*(1+'5. Scenarios'!$D$10)*(INDEX(BookQ1,1403)*(5-MIN(4,1+'5. Scenarios'!$D$8))/4+INDEX(BookQ2,1403)*(5-MIN(4,2+'5. Scenarios'!$D$8))/4+INDEX(BookQ3,1403)*(5-MIN(4,3+'5. Scenarios'!$D$8))/4+INDEX(BookQ4,1403)*(5-MIN(4,4+'5. Scenarios'!$D$8))/4)*'5. Scenarios'!$D$6/(1+ProductivityDefault*('5. Scenarios'!$D$11-1))+INDEX(BookOneOff,1403)*$N1408)</f>
        <v/>
      </c>
      <c r="S1408" s="56" t="str">
        <f aca="false">IF(INDEX(BookTitle,1403)="","",INDEX(BookTotal,1403)*'5. Scenarios'!$E$6/(1+ProductivityDefault*('5. Scenarios'!$E$11-1)))</f>
        <v/>
      </c>
      <c r="T1408" s="57" t="str">
        <f aca="false">IF($S1408="","",INDEX(BookRate,1403)*(1+'5. Scenarios'!$E$10)*$S1408)</f>
        <v/>
      </c>
      <c r="U1408" s="57" t="str">
        <f aca="false">IF($T1408="","",SUMIFS($T$6:$T$2405,$A$6:$A$2405,"&lt;="&amp;$A1408))</f>
        <v/>
      </c>
      <c r="V1408" s="57" t="str">
        <f aca="false">IF($T1408="","",IF($U1408&lt;=BankCostEnvelope*'5. Scenarios'!$E$7,1,0))</f>
        <v/>
      </c>
      <c r="W1408" s="57" t="str">
        <f aca="false">IF($S1408="","",INDEX(BookRate,1403)*(1+'5. Scenarios'!$E$10)*(INDEX(BookQ1,1403)*(5-MIN(4,1+'5. Scenarios'!$E$8))/4+INDEX(BookQ2,1403)*(5-MIN(4,2+'5. Scenarios'!$E$8))/4+INDEX(BookQ3,1403)*(5-MIN(4,3+'5. Scenarios'!$E$8))/4+INDEX(BookQ4,1403)*(5-MIN(4,4+'5. Scenarios'!$E$8))/4)*'5. Scenarios'!$E$6/(1+ProductivityDefault*('5. Scenarios'!$E$11-1))+INDEX(BookOneOff,1403)*$S1408)</f>
        <v/>
      </c>
    </row>
    <row r="1409" customFormat="false" ht="15" hidden="false" customHeight="false" outlineLevel="0" collapsed="false">
      <c r="A1409" s="0" t="str">
        <f aca="false">IF(INDEX(BookTitle,1404)="","",INDEX(BookKey,1404))</f>
        <v/>
      </c>
      <c r="B1409" s="0" t="str">
        <f aca="false">IF(INDEX(BookTitle,1404)="","",INDEX(BookGroup,1404))</f>
        <v/>
      </c>
      <c r="C1409" s="0" t="str">
        <f aca="false">IF(INDEX(BookTitle,1404)="","",INDEX(BookCategory,1404))</f>
        <v/>
      </c>
      <c r="D1409" s="56" t="str">
        <f aca="false">IF(INDEX(BookTitle,1404)="","",INDEX(BookTotal,1404)*'5. Scenarios'!$B$6/(1+ProductivityDefault*('5. Scenarios'!$B$11-1)))</f>
        <v/>
      </c>
      <c r="E1409" s="57" t="str">
        <f aca="false">IF($D1409="","",INDEX(BookRate,1404)*(1+'5. Scenarios'!$B$10)*$D1409)</f>
        <v/>
      </c>
      <c r="F1409" s="57" t="str">
        <f aca="false">IF($E1409="","",SUMIFS($E$6:$E$2405,$A$6:$A$2405,"&lt;="&amp;$A1409))</f>
        <v/>
      </c>
      <c r="G1409" s="57" t="str">
        <f aca="false">IF($E1409="","",IF($F1409&lt;=BankCostEnvelope*'5. Scenarios'!$B$7,1,0))</f>
        <v/>
      </c>
      <c r="H1409" s="57" t="str">
        <f aca="false">IF($D1409="","",INDEX(BookRate,1404)*(1+'5. Scenarios'!$B$10)*(INDEX(BookQ1,1404)*(5-MIN(4,1+'5. Scenarios'!$B$8))/4+INDEX(BookQ2,1404)*(5-MIN(4,2+'5. Scenarios'!$B$8))/4+INDEX(BookQ3,1404)*(5-MIN(4,3+'5. Scenarios'!$B$8))/4+INDEX(BookQ4,1404)*(5-MIN(4,4+'5. Scenarios'!$B$8))/4)*'5. Scenarios'!$B$6/(1+ProductivityDefault*('5. Scenarios'!$B$11-1))+INDEX(BookOneOff,1404)*$D1409)</f>
        <v/>
      </c>
      <c r="I1409" s="56" t="str">
        <f aca="false">IF(INDEX(BookTitle,1404)="","",INDEX(BookTotal,1404)*'5. Scenarios'!$C$6/(1+ProductivityDefault*('5. Scenarios'!$C$11-1)))</f>
        <v/>
      </c>
      <c r="J1409" s="57" t="str">
        <f aca="false">IF($I1409="","",INDEX(BookRate,1404)*(1+'5. Scenarios'!$C$10)*$I1409)</f>
        <v/>
      </c>
      <c r="K1409" s="57" t="str">
        <f aca="false">IF($J1409="","",SUMIFS($J$6:$J$2405,$A$6:$A$2405,"&lt;="&amp;$A1409))</f>
        <v/>
      </c>
      <c r="L1409" s="57" t="str">
        <f aca="false">IF($J1409="","",IF($K1409&lt;=BankCostEnvelope*'5. Scenarios'!$C$7,1,0))</f>
        <v/>
      </c>
      <c r="M1409" s="57" t="str">
        <f aca="false">IF($I1409="","",INDEX(BookRate,1404)*(1+'5. Scenarios'!$C$10)*(INDEX(BookQ1,1404)*(5-MIN(4,1+'5. Scenarios'!$C$8))/4+INDEX(BookQ2,1404)*(5-MIN(4,2+'5. Scenarios'!$C$8))/4+INDEX(BookQ3,1404)*(5-MIN(4,3+'5. Scenarios'!$C$8))/4+INDEX(BookQ4,1404)*(5-MIN(4,4+'5. Scenarios'!$C$8))/4)*'5. Scenarios'!$C$6/(1+ProductivityDefault*('5. Scenarios'!$C$11-1))+INDEX(BookOneOff,1404)*$I1409)</f>
        <v/>
      </c>
      <c r="N1409" s="56" t="str">
        <f aca="false">IF(INDEX(BookTitle,1404)="","",INDEX(BookTotal,1404)*'5. Scenarios'!$D$6/(1+ProductivityDefault*('5. Scenarios'!$D$11-1)))</f>
        <v/>
      </c>
      <c r="O1409" s="57" t="str">
        <f aca="false">IF($N1409="","",INDEX(BookRate,1404)*(1+'5. Scenarios'!$D$10)*$N1409)</f>
        <v/>
      </c>
      <c r="P1409" s="57" t="str">
        <f aca="false">IF($O1409="","",SUMIFS($O$6:$O$2405,$A$6:$A$2405,"&lt;="&amp;$A1409))</f>
        <v/>
      </c>
      <c r="Q1409" s="57" t="str">
        <f aca="false">IF($O1409="","",IF($P1409&lt;=BankCostEnvelope*'5. Scenarios'!$D$7,1,0))</f>
        <v/>
      </c>
      <c r="R1409" s="57" t="str">
        <f aca="false">IF($N1409="","",INDEX(BookRate,1404)*(1+'5. Scenarios'!$D$10)*(INDEX(BookQ1,1404)*(5-MIN(4,1+'5. Scenarios'!$D$8))/4+INDEX(BookQ2,1404)*(5-MIN(4,2+'5. Scenarios'!$D$8))/4+INDEX(BookQ3,1404)*(5-MIN(4,3+'5. Scenarios'!$D$8))/4+INDEX(BookQ4,1404)*(5-MIN(4,4+'5. Scenarios'!$D$8))/4)*'5. Scenarios'!$D$6/(1+ProductivityDefault*('5. Scenarios'!$D$11-1))+INDEX(BookOneOff,1404)*$N1409)</f>
        <v/>
      </c>
      <c r="S1409" s="56" t="str">
        <f aca="false">IF(INDEX(BookTitle,1404)="","",INDEX(BookTotal,1404)*'5. Scenarios'!$E$6/(1+ProductivityDefault*('5. Scenarios'!$E$11-1)))</f>
        <v/>
      </c>
      <c r="T1409" s="57" t="str">
        <f aca="false">IF($S1409="","",INDEX(BookRate,1404)*(1+'5. Scenarios'!$E$10)*$S1409)</f>
        <v/>
      </c>
      <c r="U1409" s="57" t="str">
        <f aca="false">IF($T1409="","",SUMIFS($T$6:$T$2405,$A$6:$A$2405,"&lt;="&amp;$A1409))</f>
        <v/>
      </c>
      <c r="V1409" s="57" t="str">
        <f aca="false">IF($T1409="","",IF($U1409&lt;=BankCostEnvelope*'5. Scenarios'!$E$7,1,0))</f>
        <v/>
      </c>
      <c r="W1409" s="57" t="str">
        <f aca="false">IF($S1409="","",INDEX(BookRate,1404)*(1+'5. Scenarios'!$E$10)*(INDEX(BookQ1,1404)*(5-MIN(4,1+'5. Scenarios'!$E$8))/4+INDEX(BookQ2,1404)*(5-MIN(4,2+'5. Scenarios'!$E$8))/4+INDEX(BookQ3,1404)*(5-MIN(4,3+'5. Scenarios'!$E$8))/4+INDEX(BookQ4,1404)*(5-MIN(4,4+'5. Scenarios'!$E$8))/4)*'5. Scenarios'!$E$6/(1+ProductivityDefault*('5. Scenarios'!$E$11-1))+INDEX(BookOneOff,1404)*$S1409)</f>
        <v/>
      </c>
    </row>
    <row r="1410" customFormat="false" ht="15" hidden="false" customHeight="false" outlineLevel="0" collapsed="false">
      <c r="A1410" s="0" t="str">
        <f aca="false">IF(INDEX(BookTitle,1405)="","",INDEX(BookKey,1405))</f>
        <v/>
      </c>
      <c r="B1410" s="0" t="str">
        <f aca="false">IF(INDEX(BookTitle,1405)="","",INDEX(BookGroup,1405))</f>
        <v/>
      </c>
      <c r="C1410" s="0" t="str">
        <f aca="false">IF(INDEX(BookTitle,1405)="","",INDEX(BookCategory,1405))</f>
        <v/>
      </c>
      <c r="D1410" s="56" t="str">
        <f aca="false">IF(INDEX(BookTitle,1405)="","",INDEX(BookTotal,1405)*'5. Scenarios'!$B$6/(1+ProductivityDefault*('5. Scenarios'!$B$11-1)))</f>
        <v/>
      </c>
      <c r="E1410" s="57" t="str">
        <f aca="false">IF($D1410="","",INDEX(BookRate,1405)*(1+'5. Scenarios'!$B$10)*$D1410)</f>
        <v/>
      </c>
      <c r="F1410" s="57" t="str">
        <f aca="false">IF($E1410="","",SUMIFS($E$6:$E$2405,$A$6:$A$2405,"&lt;="&amp;$A1410))</f>
        <v/>
      </c>
      <c r="G1410" s="57" t="str">
        <f aca="false">IF($E1410="","",IF($F1410&lt;=BankCostEnvelope*'5. Scenarios'!$B$7,1,0))</f>
        <v/>
      </c>
      <c r="H1410" s="57" t="str">
        <f aca="false">IF($D1410="","",INDEX(BookRate,1405)*(1+'5. Scenarios'!$B$10)*(INDEX(BookQ1,1405)*(5-MIN(4,1+'5. Scenarios'!$B$8))/4+INDEX(BookQ2,1405)*(5-MIN(4,2+'5. Scenarios'!$B$8))/4+INDEX(BookQ3,1405)*(5-MIN(4,3+'5. Scenarios'!$B$8))/4+INDEX(BookQ4,1405)*(5-MIN(4,4+'5. Scenarios'!$B$8))/4)*'5. Scenarios'!$B$6/(1+ProductivityDefault*('5. Scenarios'!$B$11-1))+INDEX(BookOneOff,1405)*$D1410)</f>
        <v/>
      </c>
      <c r="I1410" s="56" t="str">
        <f aca="false">IF(INDEX(BookTitle,1405)="","",INDEX(BookTotal,1405)*'5. Scenarios'!$C$6/(1+ProductivityDefault*('5. Scenarios'!$C$11-1)))</f>
        <v/>
      </c>
      <c r="J1410" s="57" t="str">
        <f aca="false">IF($I1410="","",INDEX(BookRate,1405)*(1+'5. Scenarios'!$C$10)*$I1410)</f>
        <v/>
      </c>
      <c r="K1410" s="57" t="str">
        <f aca="false">IF($J1410="","",SUMIFS($J$6:$J$2405,$A$6:$A$2405,"&lt;="&amp;$A1410))</f>
        <v/>
      </c>
      <c r="L1410" s="57" t="str">
        <f aca="false">IF($J1410="","",IF($K1410&lt;=BankCostEnvelope*'5. Scenarios'!$C$7,1,0))</f>
        <v/>
      </c>
      <c r="M1410" s="57" t="str">
        <f aca="false">IF($I1410="","",INDEX(BookRate,1405)*(1+'5. Scenarios'!$C$10)*(INDEX(BookQ1,1405)*(5-MIN(4,1+'5. Scenarios'!$C$8))/4+INDEX(BookQ2,1405)*(5-MIN(4,2+'5. Scenarios'!$C$8))/4+INDEX(BookQ3,1405)*(5-MIN(4,3+'5. Scenarios'!$C$8))/4+INDEX(BookQ4,1405)*(5-MIN(4,4+'5. Scenarios'!$C$8))/4)*'5. Scenarios'!$C$6/(1+ProductivityDefault*('5. Scenarios'!$C$11-1))+INDEX(BookOneOff,1405)*$I1410)</f>
        <v/>
      </c>
      <c r="N1410" s="56" t="str">
        <f aca="false">IF(INDEX(BookTitle,1405)="","",INDEX(BookTotal,1405)*'5. Scenarios'!$D$6/(1+ProductivityDefault*('5. Scenarios'!$D$11-1)))</f>
        <v/>
      </c>
      <c r="O1410" s="57" t="str">
        <f aca="false">IF($N1410="","",INDEX(BookRate,1405)*(1+'5. Scenarios'!$D$10)*$N1410)</f>
        <v/>
      </c>
      <c r="P1410" s="57" t="str">
        <f aca="false">IF($O1410="","",SUMIFS($O$6:$O$2405,$A$6:$A$2405,"&lt;="&amp;$A1410))</f>
        <v/>
      </c>
      <c r="Q1410" s="57" t="str">
        <f aca="false">IF($O1410="","",IF($P1410&lt;=BankCostEnvelope*'5. Scenarios'!$D$7,1,0))</f>
        <v/>
      </c>
      <c r="R1410" s="57" t="str">
        <f aca="false">IF($N1410="","",INDEX(BookRate,1405)*(1+'5. Scenarios'!$D$10)*(INDEX(BookQ1,1405)*(5-MIN(4,1+'5. Scenarios'!$D$8))/4+INDEX(BookQ2,1405)*(5-MIN(4,2+'5. Scenarios'!$D$8))/4+INDEX(BookQ3,1405)*(5-MIN(4,3+'5. Scenarios'!$D$8))/4+INDEX(BookQ4,1405)*(5-MIN(4,4+'5. Scenarios'!$D$8))/4)*'5. Scenarios'!$D$6/(1+ProductivityDefault*('5. Scenarios'!$D$11-1))+INDEX(BookOneOff,1405)*$N1410)</f>
        <v/>
      </c>
      <c r="S1410" s="56" t="str">
        <f aca="false">IF(INDEX(BookTitle,1405)="","",INDEX(BookTotal,1405)*'5. Scenarios'!$E$6/(1+ProductivityDefault*('5. Scenarios'!$E$11-1)))</f>
        <v/>
      </c>
      <c r="T1410" s="57" t="str">
        <f aca="false">IF($S1410="","",INDEX(BookRate,1405)*(1+'5. Scenarios'!$E$10)*$S1410)</f>
        <v/>
      </c>
      <c r="U1410" s="57" t="str">
        <f aca="false">IF($T1410="","",SUMIFS($T$6:$T$2405,$A$6:$A$2405,"&lt;="&amp;$A1410))</f>
        <v/>
      </c>
      <c r="V1410" s="57" t="str">
        <f aca="false">IF($T1410="","",IF($U1410&lt;=BankCostEnvelope*'5. Scenarios'!$E$7,1,0))</f>
        <v/>
      </c>
      <c r="W1410" s="57" t="str">
        <f aca="false">IF($S1410="","",INDEX(BookRate,1405)*(1+'5. Scenarios'!$E$10)*(INDEX(BookQ1,1405)*(5-MIN(4,1+'5. Scenarios'!$E$8))/4+INDEX(BookQ2,1405)*(5-MIN(4,2+'5. Scenarios'!$E$8))/4+INDEX(BookQ3,1405)*(5-MIN(4,3+'5. Scenarios'!$E$8))/4+INDEX(BookQ4,1405)*(5-MIN(4,4+'5. Scenarios'!$E$8))/4)*'5. Scenarios'!$E$6/(1+ProductivityDefault*('5. Scenarios'!$E$11-1))+INDEX(BookOneOff,1405)*$S1410)</f>
        <v/>
      </c>
    </row>
    <row r="1411" customFormat="false" ht="15" hidden="false" customHeight="false" outlineLevel="0" collapsed="false">
      <c r="A1411" s="0" t="str">
        <f aca="false">IF(INDEX(BookTitle,1406)="","",INDEX(BookKey,1406))</f>
        <v/>
      </c>
      <c r="B1411" s="0" t="str">
        <f aca="false">IF(INDEX(BookTitle,1406)="","",INDEX(BookGroup,1406))</f>
        <v/>
      </c>
      <c r="C1411" s="0" t="str">
        <f aca="false">IF(INDEX(BookTitle,1406)="","",INDEX(BookCategory,1406))</f>
        <v/>
      </c>
      <c r="D1411" s="56" t="str">
        <f aca="false">IF(INDEX(BookTitle,1406)="","",INDEX(BookTotal,1406)*'5. Scenarios'!$B$6/(1+ProductivityDefault*('5. Scenarios'!$B$11-1)))</f>
        <v/>
      </c>
      <c r="E1411" s="57" t="str">
        <f aca="false">IF($D1411="","",INDEX(BookRate,1406)*(1+'5. Scenarios'!$B$10)*$D1411)</f>
        <v/>
      </c>
      <c r="F1411" s="57" t="str">
        <f aca="false">IF($E1411="","",SUMIFS($E$6:$E$2405,$A$6:$A$2405,"&lt;="&amp;$A1411))</f>
        <v/>
      </c>
      <c r="G1411" s="57" t="str">
        <f aca="false">IF($E1411="","",IF($F1411&lt;=BankCostEnvelope*'5. Scenarios'!$B$7,1,0))</f>
        <v/>
      </c>
      <c r="H1411" s="57" t="str">
        <f aca="false">IF($D1411="","",INDEX(BookRate,1406)*(1+'5. Scenarios'!$B$10)*(INDEX(BookQ1,1406)*(5-MIN(4,1+'5. Scenarios'!$B$8))/4+INDEX(BookQ2,1406)*(5-MIN(4,2+'5. Scenarios'!$B$8))/4+INDEX(BookQ3,1406)*(5-MIN(4,3+'5. Scenarios'!$B$8))/4+INDEX(BookQ4,1406)*(5-MIN(4,4+'5. Scenarios'!$B$8))/4)*'5. Scenarios'!$B$6/(1+ProductivityDefault*('5. Scenarios'!$B$11-1))+INDEX(BookOneOff,1406)*$D1411)</f>
        <v/>
      </c>
      <c r="I1411" s="56" t="str">
        <f aca="false">IF(INDEX(BookTitle,1406)="","",INDEX(BookTotal,1406)*'5. Scenarios'!$C$6/(1+ProductivityDefault*('5. Scenarios'!$C$11-1)))</f>
        <v/>
      </c>
      <c r="J1411" s="57" t="str">
        <f aca="false">IF($I1411="","",INDEX(BookRate,1406)*(1+'5. Scenarios'!$C$10)*$I1411)</f>
        <v/>
      </c>
      <c r="K1411" s="57" t="str">
        <f aca="false">IF($J1411="","",SUMIFS($J$6:$J$2405,$A$6:$A$2405,"&lt;="&amp;$A1411))</f>
        <v/>
      </c>
      <c r="L1411" s="57" t="str">
        <f aca="false">IF($J1411="","",IF($K1411&lt;=BankCostEnvelope*'5. Scenarios'!$C$7,1,0))</f>
        <v/>
      </c>
      <c r="M1411" s="57" t="str">
        <f aca="false">IF($I1411="","",INDEX(BookRate,1406)*(1+'5. Scenarios'!$C$10)*(INDEX(BookQ1,1406)*(5-MIN(4,1+'5. Scenarios'!$C$8))/4+INDEX(BookQ2,1406)*(5-MIN(4,2+'5. Scenarios'!$C$8))/4+INDEX(BookQ3,1406)*(5-MIN(4,3+'5. Scenarios'!$C$8))/4+INDEX(BookQ4,1406)*(5-MIN(4,4+'5. Scenarios'!$C$8))/4)*'5. Scenarios'!$C$6/(1+ProductivityDefault*('5. Scenarios'!$C$11-1))+INDEX(BookOneOff,1406)*$I1411)</f>
        <v/>
      </c>
      <c r="N1411" s="56" t="str">
        <f aca="false">IF(INDEX(BookTitle,1406)="","",INDEX(BookTotal,1406)*'5. Scenarios'!$D$6/(1+ProductivityDefault*('5. Scenarios'!$D$11-1)))</f>
        <v/>
      </c>
      <c r="O1411" s="57" t="str">
        <f aca="false">IF($N1411="","",INDEX(BookRate,1406)*(1+'5. Scenarios'!$D$10)*$N1411)</f>
        <v/>
      </c>
      <c r="P1411" s="57" t="str">
        <f aca="false">IF($O1411="","",SUMIFS($O$6:$O$2405,$A$6:$A$2405,"&lt;="&amp;$A1411))</f>
        <v/>
      </c>
      <c r="Q1411" s="57" t="str">
        <f aca="false">IF($O1411="","",IF($P1411&lt;=BankCostEnvelope*'5. Scenarios'!$D$7,1,0))</f>
        <v/>
      </c>
      <c r="R1411" s="57" t="str">
        <f aca="false">IF($N1411="","",INDEX(BookRate,1406)*(1+'5. Scenarios'!$D$10)*(INDEX(BookQ1,1406)*(5-MIN(4,1+'5. Scenarios'!$D$8))/4+INDEX(BookQ2,1406)*(5-MIN(4,2+'5. Scenarios'!$D$8))/4+INDEX(BookQ3,1406)*(5-MIN(4,3+'5. Scenarios'!$D$8))/4+INDEX(BookQ4,1406)*(5-MIN(4,4+'5. Scenarios'!$D$8))/4)*'5. Scenarios'!$D$6/(1+ProductivityDefault*('5. Scenarios'!$D$11-1))+INDEX(BookOneOff,1406)*$N1411)</f>
        <v/>
      </c>
      <c r="S1411" s="56" t="str">
        <f aca="false">IF(INDEX(BookTitle,1406)="","",INDEX(BookTotal,1406)*'5. Scenarios'!$E$6/(1+ProductivityDefault*('5. Scenarios'!$E$11-1)))</f>
        <v/>
      </c>
      <c r="T1411" s="57" t="str">
        <f aca="false">IF($S1411="","",INDEX(BookRate,1406)*(1+'5. Scenarios'!$E$10)*$S1411)</f>
        <v/>
      </c>
      <c r="U1411" s="57" t="str">
        <f aca="false">IF($T1411="","",SUMIFS($T$6:$T$2405,$A$6:$A$2405,"&lt;="&amp;$A1411))</f>
        <v/>
      </c>
      <c r="V1411" s="57" t="str">
        <f aca="false">IF($T1411="","",IF($U1411&lt;=BankCostEnvelope*'5. Scenarios'!$E$7,1,0))</f>
        <v/>
      </c>
      <c r="W1411" s="57" t="str">
        <f aca="false">IF($S1411="","",INDEX(BookRate,1406)*(1+'5. Scenarios'!$E$10)*(INDEX(BookQ1,1406)*(5-MIN(4,1+'5. Scenarios'!$E$8))/4+INDEX(BookQ2,1406)*(5-MIN(4,2+'5. Scenarios'!$E$8))/4+INDEX(BookQ3,1406)*(5-MIN(4,3+'5. Scenarios'!$E$8))/4+INDEX(BookQ4,1406)*(5-MIN(4,4+'5. Scenarios'!$E$8))/4)*'5. Scenarios'!$E$6/(1+ProductivityDefault*('5. Scenarios'!$E$11-1))+INDEX(BookOneOff,1406)*$S1411)</f>
        <v/>
      </c>
    </row>
    <row r="1412" customFormat="false" ht="15" hidden="false" customHeight="false" outlineLevel="0" collapsed="false">
      <c r="A1412" s="0" t="str">
        <f aca="false">IF(INDEX(BookTitle,1407)="","",INDEX(BookKey,1407))</f>
        <v/>
      </c>
      <c r="B1412" s="0" t="str">
        <f aca="false">IF(INDEX(BookTitle,1407)="","",INDEX(BookGroup,1407))</f>
        <v/>
      </c>
      <c r="C1412" s="0" t="str">
        <f aca="false">IF(INDEX(BookTitle,1407)="","",INDEX(BookCategory,1407))</f>
        <v/>
      </c>
      <c r="D1412" s="56" t="str">
        <f aca="false">IF(INDEX(BookTitle,1407)="","",INDEX(BookTotal,1407)*'5. Scenarios'!$B$6/(1+ProductivityDefault*('5. Scenarios'!$B$11-1)))</f>
        <v/>
      </c>
      <c r="E1412" s="57" t="str">
        <f aca="false">IF($D1412="","",INDEX(BookRate,1407)*(1+'5. Scenarios'!$B$10)*$D1412)</f>
        <v/>
      </c>
      <c r="F1412" s="57" t="str">
        <f aca="false">IF($E1412="","",SUMIFS($E$6:$E$2405,$A$6:$A$2405,"&lt;="&amp;$A1412))</f>
        <v/>
      </c>
      <c r="G1412" s="57" t="str">
        <f aca="false">IF($E1412="","",IF($F1412&lt;=BankCostEnvelope*'5. Scenarios'!$B$7,1,0))</f>
        <v/>
      </c>
      <c r="H1412" s="57" t="str">
        <f aca="false">IF($D1412="","",INDEX(BookRate,1407)*(1+'5. Scenarios'!$B$10)*(INDEX(BookQ1,1407)*(5-MIN(4,1+'5. Scenarios'!$B$8))/4+INDEX(BookQ2,1407)*(5-MIN(4,2+'5. Scenarios'!$B$8))/4+INDEX(BookQ3,1407)*(5-MIN(4,3+'5. Scenarios'!$B$8))/4+INDEX(BookQ4,1407)*(5-MIN(4,4+'5. Scenarios'!$B$8))/4)*'5. Scenarios'!$B$6/(1+ProductivityDefault*('5. Scenarios'!$B$11-1))+INDEX(BookOneOff,1407)*$D1412)</f>
        <v/>
      </c>
      <c r="I1412" s="56" t="str">
        <f aca="false">IF(INDEX(BookTitle,1407)="","",INDEX(BookTotal,1407)*'5. Scenarios'!$C$6/(1+ProductivityDefault*('5. Scenarios'!$C$11-1)))</f>
        <v/>
      </c>
      <c r="J1412" s="57" t="str">
        <f aca="false">IF($I1412="","",INDEX(BookRate,1407)*(1+'5. Scenarios'!$C$10)*$I1412)</f>
        <v/>
      </c>
      <c r="K1412" s="57" t="str">
        <f aca="false">IF($J1412="","",SUMIFS($J$6:$J$2405,$A$6:$A$2405,"&lt;="&amp;$A1412))</f>
        <v/>
      </c>
      <c r="L1412" s="57" t="str">
        <f aca="false">IF($J1412="","",IF($K1412&lt;=BankCostEnvelope*'5. Scenarios'!$C$7,1,0))</f>
        <v/>
      </c>
      <c r="M1412" s="57" t="str">
        <f aca="false">IF($I1412="","",INDEX(BookRate,1407)*(1+'5. Scenarios'!$C$10)*(INDEX(BookQ1,1407)*(5-MIN(4,1+'5. Scenarios'!$C$8))/4+INDEX(BookQ2,1407)*(5-MIN(4,2+'5. Scenarios'!$C$8))/4+INDEX(BookQ3,1407)*(5-MIN(4,3+'5. Scenarios'!$C$8))/4+INDEX(BookQ4,1407)*(5-MIN(4,4+'5. Scenarios'!$C$8))/4)*'5. Scenarios'!$C$6/(1+ProductivityDefault*('5. Scenarios'!$C$11-1))+INDEX(BookOneOff,1407)*$I1412)</f>
        <v/>
      </c>
      <c r="N1412" s="56" t="str">
        <f aca="false">IF(INDEX(BookTitle,1407)="","",INDEX(BookTotal,1407)*'5. Scenarios'!$D$6/(1+ProductivityDefault*('5. Scenarios'!$D$11-1)))</f>
        <v/>
      </c>
      <c r="O1412" s="57" t="str">
        <f aca="false">IF($N1412="","",INDEX(BookRate,1407)*(1+'5. Scenarios'!$D$10)*$N1412)</f>
        <v/>
      </c>
      <c r="P1412" s="57" t="str">
        <f aca="false">IF($O1412="","",SUMIFS($O$6:$O$2405,$A$6:$A$2405,"&lt;="&amp;$A1412))</f>
        <v/>
      </c>
      <c r="Q1412" s="57" t="str">
        <f aca="false">IF($O1412="","",IF($P1412&lt;=BankCostEnvelope*'5. Scenarios'!$D$7,1,0))</f>
        <v/>
      </c>
      <c r="R1412" s="57" t="str">
        <f aca="false">IF($N1412="","",INDEX(BookRate,1407)*(1+'5. Scenarios'!$D$10)*(INDEX(BookQ1,1407)*(5-MIN(4,1+'5. Scenarios'!$D$8))/4+INDEX(BookQ2,1407)*(5-MIN(4,2+'5. Scenarios'!$D$8))/4+INDEX(BookQ3,1407)*(5-MIN(4,3+'5. Scenarios'!$D$8))/4+INDEX(BookQ4,1407)*(5-MIN(4,4+'5. Scenarios'!$D$8))/4)*'5. Scenarios'!$D$6/(1+ProductivityDefault*('5. Scenarios'!$D$11-1))+INDEX(BookOneOff,1407)*$N1412)</f>
        <v/>
      </c>
      <c r="S1412" s="56" t="str">
        <f aca="false">IF(INDEX(BookTitle,1407)="","",INDEX(BookTotal,1407)*'5. Scenarios'!$E$6/(1+ProductivityDefault*('5. Scenarios'!$E$11-1)))</f>
        <v/>
      </c>
      <c r="T1412" s="57" t="str">
        <f aca="false">IF($S1412="","",INDEX(BookRate,1407)*(1+'5. Scenarios'!$E$10)*$S1412)</f>
        <v/>
      </c>
      <c r="U1412" s="57" t="str">
        <f aca="false">IF($T1412="","",SUMIFS($T$6:$T$2405,$A$6:$A$2405,"&lt;="&amp;$A1412))</f>
        <v/>
      </c>
      <c r="V1412" s="57" t="str">
        <f aca="false">IF($T1412="","",IF($U1412&lt;=BankCostEnvelope*'5. Scenarios'!$E$7,1,0))</f>
        <v/>
      </c>
      <c r="W1412" s="57" t="str">
        <f aca="false">IF($S1412="","",INDEX(BookRate,1407)*(1+'5. Scenarios'!$E$10)*(INDEX(BookQ1,1407)*(5-MIN(4,1+'5. Scenarios'!$E$8))/4+INDEX(BookQ2,1407)*(5-MIN(4,2+'5. Scenarios'!$E$8))/4+INDEX(BookQ3,1407)*(5-MIN(4,3+'5. Scenarios'!$E$8))/4+INDEX(BookQ4,1407)*(5-MIN(4,4+'5. Scenarios'!$E$8))/4)*'5. Scenarios'!$E$6/(1+ProductivityDefault*('5. Scenarios'!$E$11-1))+INDEX(BookOneOff,1407)*$S1412)</f>
        <v/>
      </c>
    </row>
    <row r="1413" customFormat="false" ht="15" hidden="false" customHeight="false" outlineLevel="0" collapsed="false">
      <c r="A1413" s="0" t="str">
        <f aca="false">IF(INDEX(BookTitle,1408)="","",INDEX(BookKey,1408))</f>
        <v/>
      </c>
      <c r="B1413" s="0" t="str">
        <f aca="false">IF(INDEX(BookTitle,1408)="","",INDEX(BookGroup,1408))</f>
        <v/>
      </c>
      <c r="C1413" s="0" t="str">
        <f aca="false">IF(INDEX(BookTitle,1408)="","",INDEX(BookCategory,1408))</f>
        <v/>
      </c>
      <c r="D1413" s="56" t="str">
        <f aca="false">IF(INDEX(BookTitle,1408)="","",INDEX(BookTotal,1408)*'5. Scenarios'!$B$6/(1+ProductivityDefault*('5. Scenarios'!$B$11-1)))</f>
        <v/>
      </c>
      <c r="E1413" s="57" t="str">
        <f aca="false">IF($D1413="","",INDEX(BookRate,1408)*(1+'5. Scenarios'!$B$10)*$D1413)</f>
        <v/>
      </c>
      <c r="F1413" s="57" t="str">
        <f aca="false">IF($E1413="","",SUMIFS($E$6:$E$2405,$A$6:$A$2405,"&lt;="&amp;$A1413))</f>
        <v/>
      </c>
      <c r="G1413" s="57" t="str">
        <f aca="false">IF($E1413="","",IF($F1413&lt;=BankCostEnvelope*'5. Scenarios'!$B$7,1,0))</f>
        <v/>
      </c>
      <c r="H1413" s="57" t="str">
        <f aca="false">IF($D1413="","",INDEX(BookRate,1408)*(1+'5. Scenarios'!$B$10)*(INDEX(BookQ1,1408)*(5-MIN(4,1+'5. Scenarios'!$B$8))/4+INDEX(BookQ2,1408)*(5-MIN(4,2+'5. Scenarios'!$B$8))/4+INDEX(BookQ3,1408)*(5-MIN(4,3+'5. Scenarios'!$B$8))/4+INDEX(BookQ4,1408)*(5-MIN(4,4+'5. Scenarios'!$B$8))/4)*'5. Scenarios'!$B$6/(1+ProductivityDefault*('5. Scenarios'!$B$11-1))+INDEX(BookOneOff,1408)*$D1413)</f>
        <v/>
      </c>
      <c r="I1413" s="56" t="str">
        <f aca="false">IF(INDEX(BookTitle,1408)="","",INDEX(BookTotal,1408)*'5. Scenarios'!$C$6/(1+ProductivityDefault*('5. Scenarios'!$C$11-1)))</f>
        <v/>
      </c>
      <c r="J1413" s="57" t="str">
        <f aca="false">IF($I1413="","",INDEX(BookRate,1408)*(1+'5. Scenarios'!$C$10)*$I1413)</f>
        <v/>
      </c>
      <c r="K1413" s="57" t="str">
        <f aca="false">IF($J1413="","",SUMIFS($J$6:$J$2405,$A$6:$A$2405,"&lt;="&amp;$A1413))</f>
        <v/>
      </c>
      <c r="L1413" s="57" t="str">
        <f aca="false">IF($J1413="","",IF($K1413&lt;=BankCostEnvelope*'5. Scenarios'!$C$7,1,0))</f>
        <v/>
      </c>
      <c r="M1413" s="57" t="str">
        <f aca="false">IF($I1413="","",INDEX(BookRate,1408)*(1+'5. Scenarios'!$C$10)*(INDEX(BookQ1,1408)*(5-MIN(4,1+'5. Scenarios'!$C$8))/4+INDEX(BookQ2,1408)*(5-MIN(4,2+'5. Scenarios'!$C$8))/4+INDEX(BookQ3,1408)*(5-MIN(4,3+'5. Scenarios'!$C$8))/4+INDEX(BookQ4,1408)*(5-MIN(4,4+'5. Scenarios'!$C$8))/4)*'5. Scenarios'!$C$6/(1+ProductivityDefault*('5. Scenarios'!$C$11-1))+INDEX(BookOneOff,1408)*$I1413)</f>
        <v/>
      </c>
      <c r="N1413" s="56" t="str">
        <f aca="false">IF(INDEX(BookTitle,1408)="","",INDEX(BookTotal,1408)*'5. Scenarios'!$D$6/(1+ProductivityDefault*('5. Scenarios'!$D$11-1)))</f>
        <v/>
      </c>
      <c r="O1413" s="57" t="str">
        <f aca="false">IF($N1413="","",INDEX(BookRate,1408)*(1+'5. Scenarios'!$D$10)*$N1413)</f>
        <v/>
      </c>
      <c r="P1413" s="57" t="str">
        <f aca="false">IF($O1413="","",SUMIFS($O$6:$O$2405,$A$6:$A$2405,"&lt;="&amp;$A1413))</f>
        <v/>
      </c>
      <c r="Q1413" s="57" t="str">
        <f aca="false">IF($O1413="","",IF($P1413&lt;=BankCostEnvelope*'5. Scenarios'!$D$7,1,0))</f>
        <v/>
      </c>
      <c r="R1413" s="57" t="str">
        <f aca="false">IF($N1413="","",INDEX(BookRate,1408)*(1+'5. Scenarios'!$D$10)*(INDEX(BookQ1,1408)*(5-MIN(4,1+'5. Scenarios'!$D$8))/4+INDEX(BookQ2,1408)*(5-MIN(4,2+'5. Scenarios'!$D$8))/4+INDEX(BookQ3,1408)*(5-MIN(4,3+'5. Scenarios'!$D$8))/4+INDEX(BookQ4,1408)*(5-MIN(4,4+'5. Scenarios'!$D$8))/4)*'5. Scenarios'!$D$6/(1+ProductivityDefault*('5. Scenarios'!$D$11-1))+INDEX(BookOneOff,1408)*$N1413)</f>
        <v/>
      </c>
      <c r="S1413" s="56" t="str">
        <f aca="false">IF(INDEX(BookTitle,1408)="","",INDEX(BookTotal,1408)*'5. Scenarios'!$E$6/(1+ProductivityDefault*('5. Scenarios'!$E$11-1)))</f>
        <v/>
      </c>
      <c r="T1413" s="57" t="str">
        <f aca="false">IF($S1413="","",INDEX(BookRate,1408)*(1+'5. Scenarios'!$E$10)*$S1413)</f>
        <v/>
      </c>
      <c r="U1413" s="57" t="str">
        <f aca="false">IF($T1413="","",SUMIFS($T$6:$T$2405,$A$6:$A$2405,"&lt;="&amp;$A1413))</f>
        <v/>
      </c>
      <c r="V1413" s="57" t="str">
        <f aca="false">IF($T1413="","",IF($U1413&lt;=BankCostEnvelope*'5. Scenarios'!$E$7,1,0))</f>
        <v/>
      </c>
      <c r="W1413" s="57" t="str">
        <f aca="false">IF($S1413="","",INDEX(BookRate,1408)*(1+'5. Scenarios'!$E$10)*(INDEX(BookQ1,1408)*(5-MIN(4,1+'5. Scenarios'!$E$8))/4+INDEX(BookQ2,1408)*(5-MIN(4,2+'5. Scenarios'!$E$8))/4+INDEX(BookQ3,1408)*(5-MIN(4,3+'5. Scenarios'!$E$8))/4+INDEX(BookQ4,1408)*(5-MIN(4,4+'5. Scenarios'!$E$8))/4)*'5. Scenarios'!$E$6/(1+ProductivityDefault*('5. Scenarios'!$E$11-1))+INDEX(BookOneOff,1408)*$S1413)</f>
        <v/>
      </c>
    </row>
    <row r="1414" customFormat="false" ht="15" hidden="false" customHeight="false" outlineLevel="0" collapsed="false">
      <c r="A1414" s="0" t="str">
        <f aca="false">IF(INDEX(BookTitle,1409)="","",INDEX(BookKey,1409))</f>
        <v/>
      </c>
      <c r="B1414" s="0" t="str">
        <f aca="false">IF(INDEX(BookTitle,1409)="","",INDEX(BookGroup,1409))</f>
        <v/>
      </c>
      <c r="C1414" s="0" t="str">
        <f aca="false">IF(INDEX(BookTitle,1409)="","",INDEX(BookCategory,1409))</f>
        <v/>
      </c>
      <c r="D1414" s="56" t="str">
        <f aca="false">IF(INDEX(BookTitle,1409)="","",INDEX(BookTotal,1409)*'5. Scenarios'!$B$6/(1+ProductivityDefault*('5. Scenarios'!$B$11-1)))</f>
        <v/>
      </c>
      <c r="E1414" s="57" t="str">
        <f aca="false">IF($D1414="","",INDEX(BookRate,1409)*(1+'5. Scenarios'!$B$10)*$D1414)</f>
        <v/>
      </c>
      <c r="F1414" s="57" t="str">
        <f aca="false">IF($E1414="","",SUMIFS($E$6:$E$2405,$A$6:$A$2405,"&lt;="&amp;$A1414))</f>
        <v/>
      </c>
      <c r="G1414" s="57" t="str">
        <f aca="false">IF($E1414="","",IF($F1414&lt;=BankCostEnvelope*'5. Scenarios'!$B$7,1,0))</f>
        <v/>
      </c>
      <c r="H1414" s="57" t="str">
        <f aca="false">IF($D1414="","",INDEX(BookRate,1409)*(1+'5. Scenarios'!$B$10)*(INDEX(BookQ1,1409)*(5-MIN(4,1+'5. Scenarios'!$B$8))/4+INDEX(BookQ2,1409)*(5-MIN(4,2+'5. Scenarios'!$B$8))/4+INDEX(BookQ3,1409)*(5-MIN(4,3+'5. Scenarios'!$B$8))/4+INDEX(BookQ4,1409)*(5-MIN(4,4+'5. Scenarios'!$B$8))/4)*'5. Scenarios'!$B$6/(1+ProductivityDefault*('5. Scenarios'!$B$11-1))+INDEX(BookOneOff,1409)*$D1414)</f>
        <v/>
      </c>
      <c r="I1414" s="56" t="str">
        <f aca="false">IF(INDEX(BookTitle,1409)="","",INDEX(BookTotal,1409)*'5. Scenarios'!$C$6/(1+ProductivityDefault*('5. Scenarios'!$C$11-1)))</f>
        <v/>
      </c>
      <c r="J1414" s="57" t="str">
        <f aca="false">IF($I1414="","",INDEX(BookRate,1409)*(1+'5. Scenarios'!$C$10)*$I1414)</f>
        <v/>
      </c>
      <c r="K1414" s="57" t="str">
        <f aca="false">IF($J1414="","",SUMIFS($J$6:$J$2405,$A$6:$A$2405,"&lt;="&amp;$A1414))</f>
        <v/>
      </c>
      <c r="L1414" s="57" t="str">
        <f aca="false">IF($J1414="","",IF($K1414&lt;=BankCostEnvelope*'5. Scenarios'!$C$7,1,0))</f>
        <v/>
      </c>
      <c r="M1414" s="57" t="str">
        <f aca="false">IF($I1414="","",INDEX(BookRate,1409)*(1+'5. Scenarios'!$C$10)*(INDEX(BookQ1,1409)*(5-MIN(4,1+'5. Scenarios'!$C$8))/4+INDEX(BookQ2,1409)*(5-MIN(4,2+'5. Scenarios'!$C$8))/4+INDEX(BookQ3,1409)*(5-MIN(4,3+'5. Scenarios'!$C$8))/4+INDEX(BookQ4,1409)*(5-MIN(4,4+'5. Scenarios'!$C$8))/4)*'5. Scenarios'!$C$6/(1+ProductivityDefault*('5. Scenarios'!$C$11-1))+INDEX(BookOneOff,1409)*$I1414)</f>
        <v/>
      </c>
      <c r="N1414" s="56" t="str">
        <f aca="false">IF(INDEX(BookTitle,1409)="","",INDEX(BookTotal,1409)*'5. Scenarios'!$D$6/(1+ProductivityDefault*('5. Scenarios'!$D$11-1)))</f>
        <v/>
      </c>
      <c r="O1414" s="57" t="str">
        <f aca="false">IF($N1414="","",INDEX(BookRate,1409)*(1+'5. Scenarios'!$D$10)*$N1414)</f>
        <v/>
      </c>
      <c r="P1414" s="57" t="str">
        <f aca="false">IF($O1414="","",SUMIFS($O$6:$O$2405,$A$6:$A$2405,"&lt;="&amp;$A1414))</f>
        <v/>
      </c>
      <c r="Q1414" s="57" t="str">
        <f aca="false">IF($O1414="","",IF($P1414&lt;=BankCostEnvelope*'5. Scenarios'!$D$7,1,0))</f>
        <v/>
      </c>
      <c r="R1414" s="57" t="str">
        <f aca="false">IF($N1414="","",INDEX(BookRate,1409)*(1+'5. Scenarios'!$D$10)*(INDEX(BookQ1,1409)*(5-MIN(4,1+'5. Scenarios'!$D$8))/4+INDEX(BookQ2,1409)*(5-MIN(4,2+'5. Scenarios'!$D$8))/4+INDEX(BookQ3,1409)*(5-MIN(4,3+'5. Scenarios'!$D$8))/4+INDEX(BookQ4,1409)*(5-MIN(4,4+'5. Scenarios'!$D$8))/4)*'5. Scenarios'!$D$6/(1+ProductivityDefault*('5. Scenarios'!$D$11-1))+INDEX(BookOneOff,1409)*$N1414)</f>
        <v/>
      </c>
      <c r="S1414" s="56" t="str">
        <f aca="false">IF(INDEX(BookTitle,1409)="","",INDEX(BookTotal,1409)*'5. Scenarios'!$E$6/(1+ProductivityDefault*('5. Scenarios'!$E$11-1)))</f>
        <v/>
      </c>
      <c r="T1414" s="57" t="str">
        <f aca="false">IF($S1414="","",INDEX(BookRate,1409)*(1+'5. Scenarios'!$E$10)*$S1414)</f>
        <v/>
      </c>
      <c r="U1414" s="57" t="str">
        <f aca="false">IF($T1414="","",SUMIFS($T$6:$T$2405,$A$6:$A$2405,"&lt;="&amp;$A1414))</f>
        <v/>
      </c>
      <c r="V1414" s="57" t="str">
        <f aca="false">IF($T1414="","",IF($U1414&lt;=BankCostEnvelope*'5. Scenarios'!$E$7,1,0))</f>
        <v/>
      </c>
      <c r="W1414" s="57" t="str">
        <f aca="false">IF($S1414="","",INDEX(BookRate,1409)*(1+'5. Scenarios'!$E$10)*(INDEX(BookQ1,1409)*(5-MIN(4,1+'5. Scenarios'!$E$8))/4+INDEX(BookQ2,1409)*(5-MIN(4,2+'5. Scenarios'!$E$8))/4+INDEX(BookQ3,1409)*(5-MIN(4,3+'5. Scenarios'!$E$8))/4+INDEX(BookQ4,1409)*(5-MIN(4,4+'5. Scenarios'!$E$8))/4)*'5. Scenarios'!$E$6/(1+ProductivityDefault*('5. Scenarios'!$E$11-1))+INDEX(BookOneOff,1409)*$S1414)</f>
        <v/>
      </c>
    </row>
    <row r="1415" customFormat="false" ht="15" hidden="false" customHeight="false" outlineLevel="0" collapsed="false">
      <c r="A1415" s="0" t="str">
        <f aca="false">IF(INDEX(BookTitle,1410)="","",INDEX(BookKey,1410))</f>
        <v/>
      </c>
      <c r="B1415" s="0" t="str">
        <f aca="false">IF(INDEX(BookTitle,1410)="","",INDEX(BookGroup,1410))</f>
        <v/>
      </c>
      <c r="C1415" s="0" t="str">
        <f aca="false">IF(INDEX(BookTitle,1410)="","",INDEX(BookCategory,1410))</f>
        <v/>
      </c>
      <c r="D1415" s="56" t="str">
        <f aca="false">IF(INDEX(BookTitle,1410)="","",INDEX(BookTotal,1410)*'5. Scenarios'!$B$6/(1+ProductivityDefault*('5. Scenarios'!$B$11-1)))</f>
        <v/>
      </c>
      <c r="E1415" s="57" t="str">
        <f aca="false">IF($D1415="","",INDEX(BookRate,1410)*(1+'5. Scenarios'!$B$10)*$D1415)</f>
        <v/>
      </c>
      <c r="F1415" s="57" t="str">
        <f aca="false">IF($E1415="","",SUMIFS($E$6:$E$2405,$A$6:$A$2405,"&lt;="&amp;$A1415))</f>
        <v/>
      </c>
      <c r="G1415" s="57" t="str">
        <f aca="false">IF($E1415="","",IF($F1415&lt;=BankCostEnvelope*'5. Scenarios'!$B$7,1,0))</f>
        <v/>
      </c>
      <c r="H1415" s="57" t="str">
        <f aca="false">IF($D1415="","",INDEX(BookRate,1410)*(1+'5. Scenarios'!$B$10)*(INDEX(BookQ1,1410)*(5-MIN(4,1+'5. Scenarios'!$B$8))/4+INDEX(BookQ2,1410)*(5-MIN(4,2+'5. Scenarios'!$B$8))/4+INDEX(BookQ3,1410)*(5-MIN(4,3+'5. Scenarios'!$B$8))/4+INDEX(BookQ4,1410)*(5-MIN(4,4+'5. Scenarios'!$B$8))/4)*'5. Scenarios'!$B$6/(1+ProductivityDefault*('5. Scenarios'!$B$11-1))+INDEX(BookOneOff,1410)*$D1415)</f>
        <v/>
      </c>
      <c r="I1415" s="56" t="str">
        <f aca="false">IF(INDEX(BookTitle,1410)="","",INDEX(BookTotal,1410)*'5. Scenarios'!$C$6/(1+ProductivityDefault*('5. Scenarios'!$C$11-1)))</f>
        <v/>
      </c>
      <c r="J1415" s="57" t="str">
        <f aca="false">IF($I1415="","",INDEX(BookRate,1410)*(1+'5. Scenarios'!$C$10)*$I1415)</f>
        <v/>
      </c>
      <c r="K1415" s="57" t="str">
        <f aca="false">IF($J1415="","",SUMIFS($J$6:$J$2405,$A$6:$A$2405,"&lt;="&amp;$A1415))</f>
        <v/>
      </c>
      <c r="L1415" s="57" t="str">
        <f aca="false">IF($J1415="","",IF($K1415&lt;=BankCostEnvelope*'5. Scenarios'!$C$7,1,0))</f>
        <v/>
      </c>
      <c r="M1415" s="57" t="str">
        <f aca="false">IF($I1415="","",INDEX(BookRate,1410)*(1+'5. Scenarios'!$C$10)*(INDEX(BookQ1,1410)*(5-MIN(4,1+'5. Scenarios'!$C$8))/4+INDEX(BookQ2,1410)*(5-MIN(4,2+'5. Scenarios'!$C$8))/4+INDEX(BookQ3,1410)*(5-MIN(4,3+'5. Scenarios'!$C$8))/4+INDEX(BookQ4,1410)*(5-MIN(4,4+'5. Scenarios'!$C$8))/4)*'5. Scenarios'!$C$6/(1+ProductivityDefault*('5. Scenarios'!$C$11-1))+INDEX(BookOneOff,1410)*$I1415)</f>
        <v/>
      </c>
      <c r="N1415" s="56" t="str">
        <f aca="false">IF(INDEX(BookTitle,1410)="","",INDEX(BookTotal,1410)*'5. Scenarios'!$D$6/(1+ProductivityDefault*('5. Scenarios'!$D$11-1)))</f>
        <v/>
      </c>
      <c r="O1415" s="57" t="str">
        <f aca="false">IF($N1415="","",INDEX(BookRate,1410)*(1+'5. Scenarios'!$D$10)*$N1415)</f>
        <v/>
      </c>
      <c r="P1415" s="57" t="str">
        <f aca="false">IF($O1415="","",SUMIFS($O$6:$O$2405,$A$6:$A$2405,"&lt;="&amp;$A1415))</f>
        <v/>
      </c>
      <c r="Q1415" s="57" t="str">
        <f aca="false">IF($O1415="","",IF($P1415&lt;=BankCostEnvelope*'5. Scenarios'!$D$7,1,0))</f>
        <v/>
      </c>
      <c r="R1415" s="57" t="str">
        <f aca="false">IF($N1415="","",INDEX(BookRate,1410)*(1+'5. Scenarios'!$D$10)*(INDEX(BookQ1,1410)*(5-MIN(4,1+'5. Scenarios'!$D$8))/4+INDEX(BookQ2,1410)*(5-MIN(4,2+'5. Scenarios'!$D$8))/4+INDEX(BookQ3,1410)*(5-MIN(4,3+'5. Scenarios'!$D$8))/4+INDEX(BookQ4,1410)*(5-MIN(4,4+'5. Scenarios'!$D$8))/4)*'5. Scenarios'!$D$6/(1+ProductivityDefault*('5. Scenarios'!$D$11-1))+INDEX(BookOneOff,1410)*$N1415)</f>
        <v/>
      </c>
      <c r="S1415" s="56" t="str">
        <f aca="false">IF(INDEX(BookTitle,1410)="","",INDEX(BookTotal,1410)*'5. Scenarios'!$E$6/(1+ProductivityDefault*('5. Scenarios'!$E$11-1)))</f>
        <v/>
      </c>
      <c r="T1415" s="57" t="str">
        <f aca="false">IF($S1415="","",INDEX(BookRate,1410)*(1+'5. Scenarios'!$E$10)*$S1415)</f>
        <v/>
      </c>
      <c r="U1415" s="57" t="str">
        <f aca="false">IF($T1415="","",SUMIFS($T$6:$T$2405,$A$6:$A$2405,"&lt;="&amp;$A1415))</f>
        <v/>
      </c>
      <c r="V1415" s="57" t="str">
        <f aca="false">IF($T1415="","",IF($U1415&lt;=BankCostEnvelope*'5. Scenarios'!$E$7,1,0))</f>
        <v/>
      </c>
      <c r="W1415" s="57" t="str">
        <f aca="false">IF($S1415="","",INDEX(BookRate,1410)*(1+'5. Scenarios'!$E$10)*(INDEX(BookQ1,1410)*(5-MIN(4,1+'5. Scenarios'!$E$8))/4+INDEX(BookQ2,1410)*(5-MIN(4,2+'5. Scenarios'!$E$8))/4+INDEX(BookQ3,1410)*(5-MIN(4,3+'5. Scenarios'!$E$8))/4+INDEX(BookQ4,1410)*(5-MIN(4,4+'5. Scenarios'!$E$8))/4)*'5. Scenarios'!$E$6/(1+ProductivityDefault*('5. Scenarios'!$E$11-1))+INDEX(BookOneOff,1410)*$S1415)</f>
        <v/>
      </c>
    </row>
    <row r="1416" customFormat="false" ht="15" hidden="false" customHeight="false" outlineLevel="0" collapsed="false">
      <c r="A1416" s="0" t="str">
        <f aca="false">IF(INDEX(BookTitle,1411)="","",INDEX(BookKey,1411))</f>
        <v/>
      </c>
      <c r="B1416" s="0" t="str">
        <f aca="false">IF(INDEX(BookTitle,1411)="","",INDEX(BookGroup,1411))</f>
        <v/>
      </c>
      <c r="C1416" s="0" t="str">
        <f aca="false">IF(INDEX(BookTitle,1411)="","",INDEX(BookCategory,1411))</f>
        <v/>
      </c>
      <c r="D1416" s="56" t="str">
        <f aca="false">IF(INDEX(BookTitle,1411)="","",INDEX(BookTotal,1411)*'5. Scenarios'!$B$6/(1+ProductivityDefault*('5. Scenarios'!$B$11-1)))</f>
        <v/>
      </c>
      <c r="E1416" s="57" t="str">
        <f aca="false">IF($D1416="","",INDEX(BookRate,1411)*(1+'5. Scenarios'!$B$10)*$D1416)</f>
        <v/>
      </c>
      <c r="F1416" s="57" t="str">
        <f aca="false">IF($E1416="","",SUMIFS($E$6:$E$2405,$A$6:$A$2405,"&lt;="&amp;$A1416))</f>
        <v/>
      </c>
      <c r="G1416" s="57" t="str">
        <f aca="false">IF($E1416="","",IF($F1416&lt;=BankCostEnvelope*'5. Scenarios'!$B$7,1,0))</f>
        <v/>
      </c>
      <c r="H1416" s="57" t="str">
        <f aca="false">IF($D1416="","",INDEX(BookRate,1411)*(1+'5. Scenarios'!$B$10)*(INDEX(BookQ1,1411)*(5-MIN(4,1+'5. Scenarios'!$B$8))/4+INDEX(BookQ2,1411)*(5-MIN(4,2+'5. Scenarios'!$B$8))/4+INDEX(BookQ3,1411)*(5-MIN(4,3+'5. Scenarios'!$B$8))/4+INDEX(BookQ4,1411)*(5-MIN(4,4+'5. Scenarios'!$B$8))/4)*'5. Scenarios'!$B$6/(1+ProductivityDefault*('5. Scenarios'!$B$11-1))+INDEX(BookOneOff,1411)*$D1416)</f>
        <v/>
      </c>
      <c r="I1416" s="56" t="str">
        <f aca="false">IF(INDEX(BookTitle,1411)="","",INDEX(BookTotal,1411)*'5. Scenarios'!$C$6/(1+ProductivityDefault*('5. Scenarios'!$C$11-1)))</f>
        <v/>
      </c>
      <c r="J1416" s="57" t="str">
        <f aca="false">IF($I1416="","",INDEX(BookRate,1411)*(1+'5. Scenarios'!$C$10)*$I1416)</f>
        <v/>
      </c>
      <c r="K1416" s="57" t="str">
        <f aca="false">IF($J1416="","",SUMIFS($J$6:$J$2405,$A$6:$A$2405,"&lt;="&amp;$A1416))</f>
        <v/>
      </c>
      <c r="L1416" s="57" t="str">
        <f aca="false">IF($J1416="","",IF($K1416&lt;=BankCostEnvelope*'5. Scenarios'!$C$7,1,0))</f>
        <v/>
      </c>
      <c r="M1416" s="57" t="str">
        <f aca="false">IF($I1416="","",INDEX(BookRate,1411)*(1+'5. Scenarios'!$C$10)*(INDEX(BookQ1,1411)*(5-MIN(4,1+'5. Scenarios'!$C$8))/4+INDEX(BookQ2,1411)*(5-MIN(4,2+'5. Scenarios'!$C$8))/4+INDEX(BookQ3,1411)*(5-MIN(4,3+'5. Scenarios'!$C$8))/4+INDEX(BookQ4,1411)*(5-MIN(4,4+'5. Scenarios'!$C$8))/4)*'5. Scenarios'!$C$6/(1+ProductivityDefault*('5. Scenarios'!$C$11-1))+INDEX(BookOneOff,1411)*$I1416)</f>
        <v/>
      </c>
      <c r="N1416" s="56" t="str">
        <f aca="false">IF(INDEX(BookTitle,1411)="","",INDEX(BookTotal,1411)*'5. Scenarios'!$D$6/(1+ProductivityDefault*('5. Scenarios'!$D$11-1)))</f>
        <v/>
      </c>
      <c r="O1416" s="57" t="str">
        <f aca="false">IF($N1416="","",INDEX(BookRate,1411)*(1+'5. Scenarios'!$D$10)*$N1416)</f>
        <v/>
      </c>
      <c r="P1416" s="57" t="str">
        <f aca="false">IF($O1416="","",SUMIFS($O$6:$O$2405,$A$6:$A$2405,"&lt;="&amp;$A1416))</f>
        <v/>
      </c>
      <c r="Q1416" s="57" t="str">
        <f aca="false">IF($O1416="","",IF($P1416&lt;=BankCostEnvelope*'5. Scenarios'!$D$7,1,0))</f>
        <v/>
      </c>
      <c r="R1416" s="57" t="str">
        <f aca="false">IF($N1416="","",INDEX(BookRate,1411)*(1+'5. Scenarios'!$D$10)*(INDEX(BookQ1,1411)*(5-MIN(4,1+'5. Scenarios'!$D$8))/4+INDEX(BookQ2,1411)*(5-MIN(4,2+'5. Scenarios'!$D$8))/4+INDEX(BookQ3,1411)*(5-MIN(4,3+'5. Scenarios'!$D$8))/4+INDEX(BookQ4,1411)*(5-MIN(4,4+'5. Scenarios'!$D$8))/4)*'5. Scenarios'!$D$6/(1+ProductivityDefault*('5. Scenarios'!$D$11-1))+INDEX(BookOneOff,1411)*$N1416)</f>
        <v/>
      </c>
      <c r="S1416" s="56" t="str">
        <f aca="false">IF(INDEX(BookTitle,1411)="","",INDEX(BookTotal,1411)*'5. Scenarios'!$E$6/(1+ProductivityDefault*('5. Scenarios'!$E$11-1)))</f>
        <v/>
      </c>
      <c r="T1416" s="57" t="str">
        <f aca="false">IF($S1416="","",INDEX(BookRate,1411)*(1+'5. Scenarios'!$E$10)*$S1416)</f>
        <v/>
      </c>
      <c r="U1416" s="57" t="str">
        <f aca="false">IF($T1416="","",SUMIFS($T$6:$T$2405,$A$6:$A$2405,"&lt;="&amp;$A1416))</f>
        <v/>
      </c>
      <c r="V1416" s="57" t="str">
        <f aca="false">IF($T1416="","",IF($U1416&lt;=BankCostEnvelope*'5. Scenarios'!$E$7,1,0))</f>
        <v/>
      </c>
      <c r="W1416" s="57" t="str">
        <f aca="false">IF($S1416="","",INDEX(BookRate,1411)*(1+'5. Scenarios'!$E$10)*(INDEX(BookQ1,1411)*(5-MIN(4,1+'5. Scenarios'!$E$8))/4+INDEX(BookQ2,1411)*(5-MIN(4,2+'5. Scenarios'!$E$8))/4+INDEX(BookQ3,1411)*(5-MIN(4,3+'5. Scenarios'!$E$8))/4+INDEX(BookQ4,1411)*(5-MIN(4,4+'5. Scenarios'!$E$8))/4)*'5. Scenarios'!$E$6/(1+ProductivityDefault*('5. Scenarios'!$E$11-1))+INDEX(BookOneOff,1411)*$S1416)</f>
        <v/>
      </c>
    </row>
    <row r="1417" customFormat="false" ht="15" hidden="false" customHeight="false" outlineLevel="0" collapsed="false">
      <c r="A1417" s="0" t="str">
        <f aca="false">IF(INDEX(BookTitle,1412)="","",INDEX(BookKey,1412))</f>
        <v/>
      </c>
      <c r="B1417" s="0" t="str">
        <f aca="false">IF(INDEX(BookTitle,1412)="","",INDEX(BookGroup,1412))</f>
        <v/>
      </c>
      <c r="C1417" s="0" t="str">
        <f aca="false">IF(INDEX(BookTitle,1412)="","",INDEX(BookCategory,1412))</f>
        <v/>
      </c>
      <c r="D1417" s="56" t="str">
        <f aca="false">IF(INDEX(BookTitle,1412)="","",INDEX(BookTotal,1412)*'5. Scenarios'!$B$6/(1+ProductivityDefault*('5. Scenarios'!$B$11-1)))</f>
        <v/>
      </c>
      <c r="E1417" s="57" t="str">
        <f aca="false">IF($D1417="","",INDEX(BookRate,1412)*(1+'5. Scenarios'!$B$10)*$D1417)</f>
        <v/>
      </c>
      <c r="F1417" s="57" t="str">
        <f aca="false">IF($E1417="","",SUMIFS($E$6:$E$2405,$A$6:$A$2405,"&lt;="&amp;$A1417))</f>
        <v/>
      </c>
      <c r="G1417" s="57" t="str">
        <f aca="false">IF($E1417="","",IF($F1417&lt;=BankCostEnvelope*'5. Scenarios'!$B$7,1,0))</f>
        <v/>
      </c>
      <c r="H1417" s="57" t="str">
        <f aca="false">IF($D1417="","",INDEX(BookRate,1412)*(1+'5. Scenarios'!$B$10)*(INDEX(BookQ1,1412)*(5-MIN(4,1+'5. Scenarios'!$B$8))/4+INDEX(BookQ2,1412)*(5-MIN(4,2+'5. Scenarios'!$B$8))/4+INDEX(BookQ3,1412)*(5-MIN(4,3+'5. Scenarios'!$B$8))/4+INDEX(BookQ4,1412)*(5-MIN(4,4+'5. Scenarios'!$B$8))/4)*'5. Scenarios'!$B$6/(1+ProductivityDefault*('5. Scenarios'!$B$11-1))+INDEX(BookOneOff,1412)*$D1417)</f>
        <v/>
      </c>
      <c r="I1417" s="56" t="str">
        <f aca="false">IF(INDEX(BookTitle,1412)="","",INDEX(BookTotal,1412)*'5. Scenarios'!$C$6/(1+ProductivityDefault*('5. Scenarios'!$C$11-1)))</f>
        <v/>
      </c>
      <c r="J1417" s="57" t="str">
        <f aca="false">IF($I1417="","",INDEX(BookRate,1412)*(1+'5. Scenarios'!$C$10)*$I1417)</f>
        <v/>
      </c>
      <c r="K1417" s="57" t="str">
        <f aca="false">IF($J1417="","",SUMIFS($J$6:$J$2405,$A$6:$A$2405,"&lt;="&amp;$A1417))</f>
        <v/>
      </c>
      <c r="L1417" s="57" t="str">
        <f aca="false">IF($J1417="","",IF($K1417&lt;=BankCostEnvelope*'5. Scenarios'!$C$7,1,0))</f>
        <v/>
      </c>
      <c r="M1417" s="57" t="str">
        <f aca="false">IF($I1417="","",INDEX(BookRate,1412)*(1+'5. Scenarios'!$C$10)*(INDEX(BookQ1,1412)*(5-MIN(4,1+'5. Scenarios'!$C$8))/4+INDEX(BookQ2,1412)*(5-MIN(4,2+'5. Scenarios'!$C$8))/4+INDEX(BookQ3,1412)*(5-MIN(4,3+'5. Scenarios'!$C$8))/4+INDEX(BookQ4,1412)*(5-MIN(4,4+'5. Scenarios'!$C$8))/4)*'5. Scenarios'!$C$6/(1+ProductivityDefault*('5. Scenarios'!$C$11-1))+INDEX(BookOneOff,1412)*$I1417)</f>
        <v/>
      </c>
      <c r="N1417" s="56" t="str">
        <f aca="false">IF(INDEX(BookTitle,1412)="","",INDEX(BookTotal,1412)*'5. Scenarios'!$D$6/(1+ProductivityDefault*('5. Scenarios'!$D$11-1)))</f>
        <v/>
      </c>
      <c r="O1417" s="57" t="str">
        <f aca="false">IF($N1417="","",INDEX(BookRate,1412)*(1+'5. Scenarios'!$D$10)*$N1417)</f>
        <v/>
      </c>
      <c r="P1417" s="57" t="str">
        <f aca="false">IF($O1417="","",SUMIFS($O$6:$O$2405,$A$6:$A$2405,"&lt;="&amp;$A1417))</f>
        <v/>
      </c>
      <c r="Q1417" s="57" t="str">
        <f aca="false">IF($O1417="","",IF($P1417&lt;=BankCostEnvelope*'5. Scenarios'!$D$7,1,0))</f>
        <v/>
      </c>
      <c r="R1417" s="57" t="str">
        <f aca="false">IF($N1417="","",INDEX(BookRate,1412)*(1+'5. Scenarios'!$D$10)*(INDEX(BookQ1,1412)*(5-MIN(4,1+'5. Scenarios'!$D$8))/4+INDEX(BookQ2,1412)*(5-MIN(4,2+'5. Scenarios'!$D$8))/4+INDEX(BookQ3,1412)*(5-MIN(4,3+'5. Scenarios'!$D$8))/4+INDEX(BookQ4,1412)*(5-MIN(4,4+'5. Scenarios'!$D$8))/4)*'5. Scenarios'!$D$6/(1+ProductivityDefault*('5. Scenarios'!$D$11-1))+INDEX(BookOneOff,1412)*$N1417)</f>
        <v/>
      </c>
      <c r="S1417" s="56" t="str">
        <f aca="false">IF(INDEX(BookTitle,1412)="","",INDEX(BookTotal,1412)*'5. Scenarios'!$E$6/(1+ProductivityDefault*('5. Scenarios'!$E$11-1)))</f>
        <v/>
      </c>
      <c r="T1417" s="57" t="str">
        <f aca="false">IF($S1417="","",INDEX(BookRate,1412)*(1+'5. Scenarios'!$E$10)*$S1417)</f>
        <v/>
      </c>
      <c r="U1417" s="57" t="str">
        <f aca="false">IF($T1417="","",SUMIFS($T$6:$T$2405,$A$6:$A$2405,"&lt;="&amp;$A1417))</f>
        <v/>
      </c>
      <c r="V1417" s="57" t="str">
        <f aca="false">IF($T1417="","",IF($U1417&lt;=BankCostEnvelope*'5. Scenarios'!$E$7,1,0))</f>
        <v/>
      </c>
      <c r="W1417" s="57" t="str">
        <f aca="false">IF($S1417="","",INDEX(BookRate,1412)*(1+'5. Scenarios'!$E$10)*(INDEX(BookQ1,1412)*(5-MIN(4,1+'5. Scenarios'!$E$8))/4+INDEX(BookQ2,1412)*(5-MIN(4,2+'5. Scenarios'!$E$8))/4+INDEX(BookQ3,1412)*(5-MIN(4,3+'5. Scenarios'!$E$8))/4+INDEX(BookQ4,1412)*(5-MIN(4,4+'5. Scenarios'!$E$8))/4)*'5. Scenarios'!$E$6/(1+ProductivityDefault*('5. Scenarios'!$E$11-1))+INDEX(BookOneOff,1412)*$S1417)</f>
        <v/>
      </c>
    </row>
    <row r="1418" customFormat="false" ht="15" hidden="false" customHeight="false" outlineLevel="0" collapsed="false">
      <c r="A1418" s="0" t="str">
        <f aca="false">IF(INDEX(BookTitle,1413)="","",INDEX(BookKey,1413))</f>
        <v/>
      </c>
      <c r="B1418" s="0" t="str">
        <f aca="false">IF(INDEX(BookTitle,1413)="","",INDEX(BookGroup,1413))</f>
        <v/>
      </c>
      <c r="C1418" s="0" t="str">
        <f aca="false">IF(INDEX(BookTitle,1413)="","",INDEX(BookCategory,1413))</f>
        <v/>
      </c>
      <c r="D1418" s="56" t="str">
        <f aca="false">IF(INDEX(BookTitle,1413)="","",INDEX(BookTotal,1413)*'5. Scenarios'!$B$6/(1+ProductivityDefault*('5. Scenarios'!$B$11-1)))</f>
        <v/>
      </c>
      <c r="E1418" s="57" t="str">
        <f aca="false">IF($D1418="","",INDEX(BookRate,1413)*(1+'5. Scenarios'!$B$10)*$D1418)</f>
        <v/>
      </c>
      <c r="F1418" s="57" t="str">
        <f aca="false">IF($E1418="","",SUMIFS($E$6:$E$2405,$A$6:$A$2405,"&lt;="&amp;$A1418))</f>
        <v/>
      </c>
      <c r="G1418" s="57" t="str">
        <f aca="false">IF($E1418="","",IF($F1418&lt;=BankCostEnvelope*'5. Scenarios'!$B$7,1,0))</f>
        <v/>
      </c>
      <c r="H1418" s="57" t="str">
        <f aca="false">IF($D1418="","",INDEX(BookRate,1413)*(1+'5. Scenarios'!$B$10)*(INDEX(BookQ1,1413)*(5-MIN(4,1+'5. Scenarios'!$B$8))/4+INDEX(BookQ2,1413)*(5-MIN(4,2+'5. Scenarios'!$B$8))/4+INDEX(BookQ3,1413)*(5-MIN(4,3+'5. Scenarios'!$B$8))/4+INDEX(BookQ4,1413)*(5-MIN(4,4+'5. Scenarios'!$B$8))/4)*'5. Scenarios'!$B$6/(1+ProductivityDefault*('5. Scenarios'!$B$11-1))+INDEX(BookOneOff,1413)*$D1418)</f>
        <v/>
      </c>
      <c r="I1418" s="56" t="str">
        <f aca="false">IF(INDEX(BookTitle,1413)="","",INDEX(BookTotal,1413)*'5. Scenarios'!$C$6/(1+ProductivityDefault*('5. Scenarios'!$C$11-1)))</f>
        <v/>
      </c>
      <c r="J1418" s="57" t="str">
        <f aca="false">IF($I1418="","",INDEX(BookRate,1413)*(1+'5. Scenarios'!$C$10)*$I1418)</f>
        <v/>
      </c>
      <c r="K1418" s="57" t="str">
        <f aca="false">IF($J1418="","",SUMIFS($J$6:$J$2405,$A$6:$A$2405,"&lt;="&amp;$A1418))</f>
        <v/>
      </c>
      <c r="L1418" s="57" t="str">
        <f aca="false">IF($J1418="","",IF($K1418&lt;=BankCostEnvelope*'5. Scenarios'!$C$7,1,0))</f>
        <v/>
      </c>
      <c r="M1418" s="57" t="str">
        <f aca="false">IF($I1418="","",INDEX(BookRate,1413)*(1+'5. Scenarios'!$C$10)*(INDEX(BookQ1,1413)*(5-MIN(4,1+'5. Scenarios'!$C$8))/4+INDEX(BookQ2,1413)*(5-MIN(4,2+'5. Scenarios'!$C$8))/4+INDEX(BookQ3,1413)*(5-MIN(4,3+'5. Scenarios'!$C$8))/4+INDEX(BookQ4,1413)*(5-MIN(4,4+'5. Scenarios'!$C$8))/4)*'5. Scenarios'!$C$6/(1+ProductivityDefault*('5. Scenarios'!$C$11-1))+INDEX(BookOneOff,1413)*$I1418)</f>
        <v/>
      </c>
      <c r="N1418" s="56" t="str">
        <f aca="false">IF(INDEX(BookTitle,1413)="","",INDEX(BookTotal,1413)*'5. Scenarios'!$D$6/(1+ProductivityDefault*('5. Scenarios'!$D$11-1)))</f>
        <v/>
      </c>
      <c r="O1418" s="57" t="str">
        <f aca="false">IF($N1418="","",INDEX(BookRate,1413)*(1+'5. Scenarios'!$D$10)*$N1418)</f>
        <v/>
      </c>
      <c r="P1418" s="57" t="str">
        <f aca="false">IF($O1418="","",SUMIFS($O$6:$O$2405,$A$6:$A$2405,"&lt;="&amp;$A1418))</f>
        <v/>
      </c>
      <c r="Q1418" s="57" t="str">
        <f aca="false">IF($O1418="","",IF($P1418&lt;=BankCostEnvelope*'5. Scenarios'!$D$7,1,0))</f>
        <v/>
      </c>
      <c r="R1418" s="57" t="str">
        <f aca="false">IF($N1418="","",INDEX(BookRate,1413)*(1+'5. Scenarios'!$D$10)*(INDEX(BookQ1,1413)*(5-MIN(4,1+'5. Scenarios'!$D$8))/4+INDEX(BookQ2,1413)*(5-MIN(4,2+'5. Scenarios'!$D$8))/4+INDEX(BookQ3,1413)*(5-MIN(4,3+'5. Scenarios'!$D$8))/4+INDEX(BookQ4,1413)*(5-MIN(4,4+'5. Scenarios'!$D$8))/4)*'5. Scenarios'!$D$6/(1+ProductivityDefault*('5. Scenarios'!$D$11-1))+INDEX(BookOneOff,1413)*$N1418)</f>
        <v/>
      </c>
      <c r="S1418" s="56" t="str">
        <f aca="false">IF(INDEX(BookTitle,1413)="","",INDEX(BookTotal,1413)*'5. Scenarios'!$E$6/(1+ProductivityDefault*('5. Scenarios'!$E$11-1)))</f>
        <v/>
      </c>
      <c r="T1418" s="57" t="str">
        <f aca="false">IF($S1418="","",INDEX(BookRate,1413)*(1+'5. Scenarios'!$E$10)*$S1418)</f>
        <v/>
      </c>
      <c r="U1418" s="57" t="str">
        <f aca="false">IF($T1418="","",SUMIFS($T$6:$T$2405,$A$6:$A$2405,"&lt;="&amp;$A1418))</f>
        <v/>
      </c>
      <c r="V1418" s="57" t="str">
        <f aca="false">IF($T1418="","",IF($U1418&lt;=BankCostEnvelope*'5. Scenarios'!$E$7,1,0))</f>
        <v/>
      </c>
      <c r="W1418" s="57" t="str">
        <f aca="false">IF($S1418="","",INDEX(BookRate,1413)*(1+'5. Scenarios'!$E$10)*(INDEX(BookQ1,1413)*(5-MIN(4,1+'5. Scenarios'!$E$8))/4+INDEX(BookQ2,1413)*(5-MIN(4,2+'5. Scenarios'!$E$8))/4+INDEX(BookQ3,1413)*(5-MIN(4,3+'5. Scenarios'!$E$8))/4+INDEX(BookQ4,1413)*(5-MIN(4,4+'5. Scenarios'!$E$8))/4)*'5. Scenarios'!$E$6/(1+ProductivityDefault*('5. Scenarios'!$E$11-1))+INDEX(BookOneOff,1413)*$S1418)</f>
        <v/>
      </c>
    </row>
    <row r="1419" customFormat="false" ht="15" hidden="false" customHeight="false" outlineLevel="0" collapsed="false">
      <c r="A1419" s="0" t="str">
        <f aca="false">IF(INDEX(BookTitle,1414)="","",INDEX(BookKey,1414))</f>
        <v/>
      </c>
      <c r="B1419" s="0" t="str">
        <f aca="false">IF(INDEX(BookTitle,1414)="","",INDEX(BookGroup,1414))</f>
        <v/>
      </c>
      <c r="C1419" s="0" t="str">
        <f aca="false">IF(INDEX(BookTitle,1414)="","",INDEX(BookCategory,1414))</f>
        <v/>
      </c>
      <c r="D1419" s="56" t="str">
        <f aca="false">IF(INDEX(BookTitle,1414)="","",INDEX(BookTotal,1414)*'5. Scenarios'!$B$6/(1+ProductivityDefault*('5. Scenarios'!$B$11-1)))</f>
        <v/>
      </c>
      <c r="E1419" s="57" t="str">
        <f aca="false">IF($D1419="","",INDEX(BookRate,1414)*(1+'5. Scenarios'!$B$10)*$D1419)</f>
        <v/>
      </c>
      <c r="F1419" s="57" t="str">
        <f aca="false">IF($E1419="","",SUMIFS($E$6:$E$2405,$A$6:$A$2405,"&lt;="&amp;$A1419))</f>
        <v/>
      </c>
      <c r="G1419" s="57" t="str">
        <f aca="false">IF($E1419="","",IF($F1419&lt;=BankCostEnvelope*'5. Scenarios'!$B$7,1,0))</f>
        <v/>
      </c>
      <c r="H1419" s="57" t="str">
        <f aca="false">IF($D1419="","",INDEX(BookRate,1414)*(1+'5. Scenarios'!$B$10)*(INDEX(BookQ1,1414)*(5-MIN(4,1+'5. Scenarios'!$B$8))/4+INDEX(BookQ2,1414)*(5-MIN(4,2+'5. Scenarios'!$B$8))/4+INDEX(BookQ3,1414)*(5-MIN(4,3+'5. Scenarios'!$B$8))/4+INDEX(BookQ4,1414)*(5-MIN(4,4+'5. Scenarios'!$B$8))/4)*'5. Scenarios'!$B$6/(1+ProductivityDefault*('5. Scenarios'!$B$11-1))+INDEX(BookOneOff,1414)*$D1419)</f>
        <v/>
      </c>
      <c r="I1419" s="56" t="str">
        <f aca="false">IF(INDEX(BookTitle,1414)="","",INDEX(BookTotal,1414)*'5. Scenarios'!$C$6/(1+ProductivityDefault*('5. Scenarios'!$C$11-1)))</f>
        <v/>
      </c>
      <c r="J1419" s="57" t="str">
        <f aca="false">IF($I1419="","",INDEX(BookRate,1414)*(1+'5. Scenarios'!$C$10)*$I1419)</f>
        <v/>
      </c>
      <c r="K1419" s="57" t="str">
        <f aca="false">IF($J1419="","",SUMIFS($J$6:$J$2405,$A$6:$A$2405,"&lt;="&amp;$A1419))</f>
        <v/>
      </c>
      <c r="L1419" s="57" t="str">
        <f aca="false">IF($J1419="","",IF($K1419&lt;=BankCostEnvelope*'5. Scenarios'!$C$7,1,0))</f>
        <v/>
      </c>
      <c r="M1419" s="57" t="str">
        <f aca="false">IF($I1419="","",INDEX(BookRate,1414)*(1+'5. Scenarios'!$C$10)*(INDEX(BookQ1,1414)*(5-MIN(4,1+'5. Scenarios'!$C$8))/4+INDEX(BookQ2,1414)*(5-MIN(4,2+'5. Scenarios'!$C$8))/4+INDEX(BookQ3,1414)*(5-MIN(4,3+'5. Scenarios'!$C$8))/4+INDEX(BookQ4,1414)*(5-MIN(4,4+'5. Scenarios'!$C$8))/4)*'5. Scenarios'!$C$6/(1+ProductivityDefault*('5. Scenarios'!$C$11-1))+INDEX(BookOneOff,1414)*$I1419)</f>
        <v/>
      </c>
      <c r="N1419" s="56" t="str">
        <f aca="false">IF(INDEX(BookTitle,1414)="","",INDEX(BookTotal,1414)*'5. Scenarios'!$D$6/(1+ProductivityDefault*('5. Scenarios'!$D$11-1)))</f>
        <v/>
      </c>
      <c r="O1419" s="57" t="str">
        <f aca="false">IF($N1419="","",INDEX(BookRate,1414)*(1+'5. Scenarios'!$D$10)*$N1419)</f>
        <v/>
      </c>
      <c r="P1419" s="57" t="str">
        <f aca="false">IF($O1419="","",SUMIFS($O$6:$O$2405,$A$6:$A$2405,"&lt;="&amp;$A1419))</f>
        <v/>
      </c>
      <c r="Q1419" s="57" t="str">
        <f aca="false">IF($O1419="","",IF($P1419&lt;=BankCostEnvelope*'5. Scenarios'!$D$7,1,0))</f>
        <v/>
      </c>
      <c r="R1419" s="57" t="str">
        <f aca="false">IF($N1419="","",INDEX(BookRate,1414)*(1+'5. Scenarios'!$D$10)*(INDEX(BookQ1,1414)*(5-MIN(4,1+'5. Scenarios'!$D$8))/4+INDEX(BookQ2,1414)*(5-MIN(4,2+'5. Scenarios'!$D$8))/4+INDEX(BookQ3,1414)*(5-MIN(4,3+'5. Scenarios'!$D$8))/4+INDEX(BookQ4,1414)*(5-MIN(4,4+'5. Scenarios'!$D$8))/4)*'5. Scenarios'!$D$6/(1+ProductivityDefault*('5. Scenarios'!$D$11-1))+INDEX(BookOneOff,1414)*$N1419)</f>
        <v/>
      </c>
      <c r="S1419" s="56" t="str">
        <f aca="false">IF(INDEX(BookTitle,1414)="","",INDEX(BookTotal,1414)*'5. Scenarios'!$E$6/(1+ProductivityDefault*('5. Scenarios'!$E$11-1)))</f>
        <v/>
      </c>
      <c r="T1419" s="57" t="str">
        <f aca="false">IF($S1419="","",INDEX(BookRate,1414)*(1+'5. Scenarios'!$E$10)*$S1419)</f>
        <v/>
      </c>
      <c r="U1419" s="57" t="str">
        <f aca="false">IF($T1419="","",SUMIFS($T$6:$T$2405,$A$6:$A$2405,"&lt;="&amp;$A1419))</f>
        <v/>
      </c>
      <c r="V1419" s="57" t="str">
        <f aca="false">IF($T1419="","",IF($U1419&lt;=BankCostEnvelope*'5. Scenarios'!$E$7,1,0))</f>
        <v/>
      </c>
      <c r="W1419" s="57" t="str">
        <f aca="false">IF($S1419="","",INDEX(BookRate,1414)*(1+'5. Scenarios'!$E$10)*(INDEX(BookQ1,1414)*(5-MIN(4,1+'5. Scenarios'!$E$8))/4+INDEX(BookQ2,1414)*(5-MIN(4,2+'5. Scenarios'!$E$8))/4+INDEX(BookQ3,1414)*(5-MIN(4,3+'5. Scenarios'!$E$8))/4+INDEX(BookQ4,1414)*(5-MIN(4,4+'5. Scenarios'!$E$8))/4)*'5. Scenarios'!$E$6/(1+ProductivityDefault*('5. Scenarios'!$E$11-1))+INDEX(BookOneOff,1414)*$S1419)</f>
        <v/>
      </c>
    </row>
    <row r="1420" customFormat="false" ht="15" hidden="false" customHeight="false" outlineLevel="0" collapsed="false">
      <c r="A1420" s="0" t="str">
        <f aca="false">IF(INDEX(BookTitle,1415)="","",INDEX(BookKey,1415))</f>
        <v/>
      </c>
      <c r="B1420" s="0" t="str">
        <f aca="false">IF(INDEX(BookTitle,1415)="","",INDEX(BookGroup,1415))</f>
        <v/>
      </c>
      <c r="C1420" s="0" t="str">
        <f aca="false">IF(INDEX(BookTitle,1415)="","",INDEX(BookCategory,1415))</f>
        <v/>
      </c>
      <c r="D1420" s="56" t="str">
        <f aca="false">IF(INDEX(BookTitle,1415)="","",INDEX(BookTotal,1415)*'5. Scenarios'!$B$6/(1+ProductivityDefault*('5. Scenarios'!$B$11-1)))</f>
        <v/>
      </c>
      <c r="E1420" s="57" t="str">
        <f aca="false">IF($D1420="","",INDEX(BookRate,1415)*(1+'5. Scenarios'!$B$10)*$D1420)</f>
        <v/>
      </c>
      <c r="F1420" s="57" t="str">
        <f aca="false">IF($E1420="","",SUMIFS($E$6:$E$2405,$A$6:$A$2405,"&lt;="&amp;$A1420))</f>
        <v/>
      </c>
      <c r="G1420" s="57" t="str">
        <f aca="false">IF($E1420="","",IF($F1420&lt;=BankCostEnvelope*'5. Scenarios'!$B$7,1,0))</f>
        <v/>
      </c>
      <c r="H1420" s="57" t="str">
        <f aca="false">IF($D1420="","",INDEX(BookRate,1415)*(1+'5. Scenarios'!$B$10)*(INDEX(BookQ1,1415)*(5-MIN(4,1+'5. Scenarios'!$B$8))/4+INDEX(BookQ2,1415)*(5-MIN(4,2+'5. Scenarios'!$B$8))/4+INDEX(BookQ3,1415)*(5-MIN(4,3+'5. Scenarios'!$B$8))/4+INDEX(BookQ4,1415)*(5-MIN(4,4+'5. Scenarios'!$B$8))/4)*'5. Scenarios'!$B$6/(1+ProductivityDefault*('5. Scenarios'!$B$11-1))+INDEX(BookOneOff,1415)*$D1420)</f>
        <v/>
      </c>
      <c r="I1420" s="56" t="str">
        <f aca="false">IF(INDEX(BookTitle,1415)="","",INDEX(BookTotal,1415)*'5. Scenarios'!$C$6/(1+ProductivityDefault*('5. Scenarios'!$C$11-1)))</f>
        <v/>
      </c>
      <c r="J1420" s="57" t="str">
        <f aca="false">IF($I1420="","",INDEX(BookRate,1415)*(1+'5. Scenarios'!$C$10)*$I1420)</f>
        <v/>
      </c>
      <c r="K1420" s="57" t="str">
        <f aca="false">IF($J1420="","",SUMIFS($J$6:$J$2405,$A$6:$A$2405,"&lt;="&amp;$A1420))</f>
        <v/>
      </c>
      <c r="L1420" s="57" t="str">
        <f aca="false">IF($J1420="","",IF($K1420&lt;=BankCostEnvelope*'5. Scenarios'!$C$7,1,0))</f>
        <v/>
      </c>
      <c r="M1420" s="57" t="str">
        <f aca="false">IF($I1420="","",INDEX(BookRate,1415)*(1+'5. Scenarios'!$C$10)*(INDEX(BookQ1,1415)*(5-MIN(4,1+'5. Scenarios'!$C$8))/4+INDEX(BookQ2,1415)*(5-MIN(4,2+'5. Scenarios'!$C$8))/4+INDEX(BookQ3,1415)*(5-MIN(4,3+'5. Scenarios'!$C$8))/4+INDEX(BookQ4,1415)*(5-MIN(4,4+'5. Scenarios'!$C$8))/4)*'5. Scenarios'!$C$6/(1+ProductivityDefault*('5. Scenarios'!$C$11-1))+INDEX(BookOneOff,1415)*$I1420)</f>
        <v/>
      </c>
      <c r="N1420" s="56" t="str">
        <f aca="false">IF(INDEX(BookTitle,1415)="","",INDEX(BookTotal,1415)*'5. Scenarios'!$D$6/(1+ProductivityDefault*('5. Scenarios'!$D$11-1)))</f>
        <v/>
      </c>
      <c r="O1420" s="57" t="str">
        <f aca="false">IF($N1420="","",INDEX(BookRate,1415)*(1+'5. Scenarios'!$D$10)*$N1420)</f>
        <v/>
      </c>
      <c r="P1420" s="57" t="str">
        <f aca="false">IF($O1420="","",SUMIFS($O$6:$O$2405,$A$6:$A$2405,"&lt;="&amp;$A1420))</f>
        <v/>
      </c>
      <c r="Q1420" s="57" t="str">
        <f aca="false">IF($O1420="","",IF($P1420&lt;=BankCostEnvelope*'5. Scenarios'!$D$7,1,0))</f>
        <v/>
      </c>
      <c r="R1420" s="57" t="str">
        <f aca="false">IF($N1420="","",INDEX(BookRate,1415)*(1+'5. Scenarios'!$D$10)*(INDEX(BookQ1,1415)*(5-MIN(4,1+'5. Scenarios'!$D$8))/4+INDEX(BookQ2,1415)*(5-MIN(4,2+'5. Scenarios'!$D$8))/4+INDEX(BookQ3,1415)*(5-MIN(4,3+'5. Scenarios'!$D$8))/4+INDEX(BookQ4,1415)*(5-MIN(4,4+'5. Scenarios'!$D$8))/4)*'5. Scenarios'!$D$6/(1+ProductivityDefault*('5. Scenarios'!$D$11-1))+INDEX(BookOneOff,1415)*$N1420)</f>
        <v/>
      </c>
      <c r="S1420" s="56" t="str">
        <f aca="false">IF(INDEX(BookTitle,1415)="","",INDEX(BookTotal,1415)*'5. Scenarios'!$E$6/(1+ProductivityDefault*('5. Scenarios'!$E$11-1)))</f>
        <v/>
      </c>
      <c r="T1420" s="57" t="str">
        <f aca="false">IF($S1420="","",INDEX(BookRate,1415)*(1+'5. Scenarios'!$E$10)*$S1420)</f>
        <v/>
      </c>
      <c r="U1420" s="57" t="str">
        <f aca="false">IF($T1420="","",SUMIFS($T$6:$T$2405,$A$6:$A$2405,"&lt;="&amp;$A1420))</f>
        <v/>
      </c>
      <c r="V1420" s="57" t="str">
        <f aca="false">IF($T1420="","",IF($U1420&lt;=BankCostEnvelope*'5. Scenarios'!$E$7,1,0))</f>
        <v/>
      </c>
      <c r="W1420" s="57" t="str">
        <f aca="false">IF($S1420="","",INDEX(BookRate,1415)*(1+'5. Scenarios'!$E$10)*(INDEX(BookQ1,1415)*(5-MIN(4,1+'5. Scenarios'!$E$8))/4+INDEX(BookQ2,1415)*(5-MIN(4,2+'5. Scenarios'!$E$8))/4+INDEX(BookQ3,1415)*(5-MIN(4,3+'5. Scenarios'!$E$8))/4+INDEX(BookQ4,1415)*(5-MIN(4,4+'5. Scenarios'!$E$8))/4)*'5. Scenarios'!$E$6/(1+ProductivityDefault*('5. Scenarios'!$E$11-1))+INDEX(BookOneOff,1415)*$S1420)</f>
        <v/>
      </c>
    </row>
    <row r="1421" customFormat="false" ht="15" hidden="false" customHeight="false" outlineLevel="0" collapsed="false">
      <c r="A1421" s="0" t="str">
        <f aca="false">IF(INDEX(BookTitle,1416)="","",INDEX(BookKey,1416))</f>
        <v/>
      </c>
      <c r="B1421" s="0" t="str">
        <f aca="false">IF(INDEX(BookTitle,1416)="","",INDEX(BookGroup,1416))</f>
        <v/>
      </c>
      <c r="C1421" s="0" t="str">
        <f aca="false">IF(INDEX(BookTitle,1416)="","",INDEX(BookCategory,1416))</f>
        <v/>
      </c>
      <c r="D1421" s="56" t="str">
        <f aca="false">IF(INDEX(BookTitle,1416)="","",INDEX(BookTotal,1416)*'5. Scenarios'!$B$6/(1+ProductivityDefault*('5. Scenarios'!$B$11-1)))</f>
        <v/>
      </c>
      <c r="E1421" s="57" t="str">
        <f aca="false">IF($D1421="","",INDEX(BookRate,1416)*(1+'5. Scenarios'!$B$10)*$D1421)</f>
        <v/>
      </c>
      <c r="F1421" s="57" t="str">
        <f aca="false">IF($E1421="","",SUMIFS($E$6:$E$2405,$A$6:$A$2405,"&lt;="&amp;$A1421))</f>
        <v/>
      </c>
      <c r="G1421" s="57" t="str">
        <f aca="false">IF($E1421="","",IF($F1421&lt;=BankCostEnvelope*'5. Scenarios'!$B$7,1,0))</f>
        <v/>
      </c>
      <c r="H1421" s="57" t="str">
        <f aca="false">IF($D1421="","",INDEX(BookRate,1416)*(1+'5. Scenarios'!$B$10)*(INDEX(BookQ1,1416)*(5-MIN(4,1+'5. Scenarios'!$B$8))/4+INDEX(BookQ2,1416)*(5-MIN(4,2+'5. Scenarios'!$B$8))/4+INDEX(BookQ3,1416)*(5-MIN(4,3+'5. Scenarios'!$B$8))/4+INDEX(BookQ4,1416)*(5-MIN(4,4+'5. Scenarios'!$B$8))/4)*'5. Scenarios'!$B$6/(1+ProductivityDefault*('5. Scenarios'!$B$11-1))+INDEX(BookOneOff,1416)*$D1421)</f>
        <v/>
      </c>
      <c r="I1421" s="56" t="str">
        <f aca="false">IF(INDEX(BookTitle,1416)="","",INDEX(BookTotal,1416)*'5. Scenarios'!$C$6/(1+ProductivityDefault*('5. Scenarios'!$C$11-1)))</f>
        <v/>
      </c>
      <c r="J1421" s="57" t="str">
        <f aca="false">IF($I1421="","",INDEX(BookRate,1416)*(1+'5. Scenarios'!$C$10)*$I1421)</f>
        <v/>
      </c>
      <c r="K1421" s="57" t="str">
        <f aca="false">IF($J1421="","",SUMIFS($J$6:$J$2405,$A$6:$A$2405,"&lt;="&amp;$A1421))</f>
        <v/>
      </c>
      <c r="L1421" s="57" t="str">
        <f aca="false">IF($J1421="","",IF($K1421&lt;=BankCostEnvelope*'5. Scenarios'!$C$7,1,0))</f>
        <v/>
      </c>
      <c r="M1421" s="57" t="str">
        <f aca="false">IF($I1421="","",INDEX(BookRate,1416)*(1+'5. Scenarios'!$C$10)*(INDEX(BookQ1,1416)*(5-MIN(4,1+'5. Scenarios'!$C$8))/4+INDEX(BookQ2,1416)*(5-MIN(4,2+'5. Scenarios'!$C$8))/4+INDEX(BookQ3,1416)*(5-MIN(4,3+'5. Scenarios'!$C$8))/4+INDEX(BookQ4,1416)*(5-MIN(4,4+'5. Scenarios'!$C$8))/4)*'5. Scenarios'!$C$6/(1+ProductivityDefault*('5. Scenarios'!$C$11-1))+INDEX(BookOneOff,1416)*$I1421)</f>
        <v/>
      </c>
      <c r="N1421" s="56" t="str">
        <f aca="false">IF(INDEX(BookTitle,1416)="","",INDEX(BookTotal,1416)*'5. Scenarios'!$D$6/(1+ProductivityDefault*('5. Scenarios'!$D$11-1)))</f>
        <v/>
      </c>
      <c r="O1421" s="57" t="str">
        <f aca="false">IF($N1421="","",INDEX(BookRate,1416)*(1+'5. Scenarios'!$D$10)*$N1421)</f>
        <v/>
      </c>
      <c r="P1421" s="57" t="str">
        <f aca="false">IF($O1421="","",SUMIFS($O$6:$O$2405,$A$6:$A$2405,"&lt;="&amp;$A1421))</f>
        <v/>
      </c>
      <c r="Q1421" s="57" t="str">
        <f aca="false">IF($O1421="","",IF($P1421&lt;=BankCostEnvelope*'5. Scenarios'!$D$7,1,0))</f>
        <v/>
      </c>
      <c r="R1421" s="57" t="str">
        <f aca="false">IF($N1421="","",INDEX(BookRate,1416)*(1+'5. Scenarios'!$D$10)*(INDEX(BookQ1,1416)*(5-MIN(4,1+'5. Scenarios'!$D$8))/4+INDEX(BookQ2,1416)*(5-MIN(4,2+'5. Scenarios'!$D$8))/4+INDEX(BookQ3,1416)*(5-MIN(4,3+'5. Scenarios'!$D$8))/4+INDEX(BookQ4,1416)*(5-MIN(4,4+'5. Scenarios'!$D$8))/4)*'5. Scenarios'!$D$6/(1+ProductivityDefault*('5. Scenarios'!$D$11-1))+INDEX(BookOneOff,1416)*$N1421)</f>
        <v/>
      </c>
      <c r="S1421" s="56" t="str">
        <f aca="false">IF(INDEX(BookTitle,1416)="","",INDEX(BookTotal,1416)*'5. Scenarios'!$E$6/(1+ProductivityDefault*('5. Scenarios'!$E$11-1)))</f>
        <v/>
      </c>
      <c r="T1421" s="57" t="str">
        <f aca="false">IF($S1421="","",INDEX(BookRate,1416)*(1+'5. Scenarios'!$E$10)*$S1421)</f>
        <v/>
      </c>
      <c r="U1421" s="57" t="str">
        <f aca="false">IF($T1421="","",SUMIFS($T$6:$T$2405,$A$6:$A$2405,"&lt;="&amp;$A1421))</f>
        <v/>
      </c>
      <c r="V1421" s="57" t="str">
        <f aca="false">IF($T1421="","",IF($U1421&lt;=BankCostEnvelope*'5. Scenarios'!$E$7,1,0))</f>
        <v/>
      </c>
      <c r="W1421" s="57" t="str">
        <f aca="false">IF($S1421="","",INDEX(BookRate,1416)*(1+'5. Scenarios'!$E$10)*(INDEX(BookQ1,1416)*(5-MIN(4,1+'5. Scenarios'!$E$8))/4+INDEX(BookQ2,1416)*(5-MIN(4,2+'5. Scenarios'!$E$8))/4+INDEX(BookQ3,1416)*(5-MIN(4,3+'5. Scenarios'!$E$8))/4+INDEX(BookQ4,1416)*(5-MIN(4,4+'5. Scenarios'!$E$8))/4)*'5. Scenarios'!$E$6/(1+ProductivityDefault*('5. Scenarios'!$E$11-1))+INDEX(BookOneOff,1416)*$S1421)</f>
        <v/>
      </c>
    </row>
    <row r="1422" customFormat="false" ht="15" hidden="false" customHeight="false" outlineLevel="0" collapsed="false">
      <c r="A1422" s="0" t="str">
        <f aca="false">IF(INDEX(BookTitle,1417)="","",INDEX(BookKey,1417))</f>
        <v/>
      </c>
      <c r="B1422" s="0" t="str">
        <f aca="false">IF(INDEX(BookTitle,1417)="","",INDEX(BookGroup,1417))</f>
        <v/>
      </c>
      <c r="C1422" s="0" t="str">
        <f aca="false">IF(INDEX(BookTitle,1417)="","",INDEX(BookCategory,1417))</f>
        <v/>
      </c>
      <c r="D1422" s="56" t="str">
        <f aca="false">IF(INDEX(BookTitle,1417)="","",INDEX(BookTotal,1417)*'5. Scenarios'!$B$6/(1+ProductivityDefault*('5. Scenarios'!$B$11-1)))</f>
        <v/>
      </c>
      <c r="E1422" s="57" t="str">
        <f aca="false">IF($D1422="","",INDEX(BookRate,1417)*(1+'5. Scenarios'!$B$10)*$D1422)</f>
        <v/>
      </c>
      <c r="F1422" s="57" t="str">
        <f aca="false">IF($E1422="","",SUMIFS($E$6:$E$2405,$A$6:$A$2405,"&lt;="&amp;$A1422))</f>
        <v/>
      </c>
      <c r="G1422" s="57" t="str">
        <f aca="false">IF($E1422="","",IF($F1422&lt;=BankCostEnvelope*'5. Scenarios'!$B$7,1,0))</f>
        <v/>
      </c>
      <c r="H1422" s="57" t="str">
        <f aca="false">IF($D1422="","",INDEX(BookRate,1417)*(1+'5. Scenarios'!$B$10)*(INDEX(BookQ1,1417)*(5-MIN(4,1+'5. Scenarios'!$B$8))/4+INDEX(BookQ2,1417)*(5-MIN(4,2+'5. Scenarios'!$B$8))/4+INDEX(BookQ3,1417)*(5-MIN(4,3+'5. Scenarios'!$B$8))/4+INDEX(BookQ4,1417)*(5-MIN(4,4+'5. Scenarios'!$B$8))/4)*'5. Scenarios'!$B$6/(1+ProductivityDefault*('5. Scenarios'!$B$11-1))+INDEX(BookOneOff,1417)*$D1422)</f>
        <v/>
      </c>
      <c r="I1422" s="56" t="str">
        <f aca="false">IF(INDEX(BookTitle,1417)="","",INDEX(BookTotal,1417)*'5. Scenarios'!$C$6/(1+ProductivityDefault*('5. Scenarios'!$C$11-1)))</f>
        <v/>
      </c>
      <c r="J1422" s="57" t="str">
        <f aca="false">IF($I1422="","",INDEX(BookRate,1417)*(1+'5. Scenarios'!$C$10)*$I1422)</f>
        <v/>
      </c>
      <c r="K1422" s="57" t="str">
        <f aca="false">IF($J1422="","",SUMIFS($J$6:$J$2405,$A$6:$A$2405,"&lt;="&amp;$A1422))</f>
        <v/>
      </c>
      <c r="L1422" s="57" t="str">
        <f aca="false">IF($J1422="","",IF($K1422&lt;=BankCostEnvelope*'5. Scenarios'!$C$7,1,0))</f>
        <v/>
      </c>
      <c r="M1422" s="57" t="str">
        <f aca="false">IF($I1422="","",INDEX(BookRate,1417)*(1+'5. Scenarios'!$C$10)*(INDEX(BookQ1,1417)*(5-MIN(4,1+'5. Scenarios'!$C$8))/4+INDEX(BookQ2,1417)*(5-MIN(4,2+'5. Scenarios'!$C$8))/4+INDEX(BookQ3,1417)*(5-MIN(4,3+'5. Scenarios'!$C$8))/4+INDEX(BookQ4,1417)*(5-MIN(4,4+'5. Scenarios'!$C$8))/4)*'5. Scenarios'!$C$6/(1+ProductivityDefault*('5. Scenarios'!$C$11-1))+INDEX(BookOneOff,1417)*$I1422)</f>
        <v/>
      </c>
      <c r="N1422" s="56" t="str">
        <f aca="false">IF(INDEX(BookTitle,1417)="","",INDEX(BookTotal,1417)*'5. Scenarios'!$D$6/(1+ProductivityDefault*('5. Scenarios'!$D$11-1)))</f>
        <v/>
      </c>
      <c r="O1422" s="57" t="str">
        <f aca="false">IF($N1422="","",INDEX(BookRate,1417)*(1+'5. Scenarios'!$D$10)*$N1422)</f>
        <v/>
      </c>
      <c r="P1422" s="57" t="str">
        <f aca="false">IF($O1422="","",SUMIFS($O$6:$O$2405,$A$6:$A$2405,"&lt;="&amp;$A1422))</f>
        <v/>
      </c>
      <c r="Q1422" s="57" t="str">
        <f aca="false">IF($O1422="","",IF($P1422&lt;=BankCostEnvelope*'5. Scenarios'!$D$7,1,0))</f>
        <v/>
      </c>
      <c r="R1422" s="57" t="str">
        <f aca="false">IF($N1422="","",INDEX(BookRate,1417)*(1+'5. Scenarios'!$D$10)*(INDEX(BookQ1,1417)*(5-MIN(4,1+'5. Scenarios'!$D$8))/4+INDEX(BookQ2,1417)*(5-MIN(4,2+'5. Scenarios'!$D$8))/4+INDEX(BookQ3,1417)*(5-MIN(4,3+'5. Scenarios'!$D$8))/4+INDEX(BookQ4,1417)*(5-MIN(4,4+'5. Scenarios'!$D$8))/4)*'5. Scenarios'!$D$6/(1+ProductivityDefault*('5. Scenarios'!$D$11-1))+INDEX(BookOneOff,1417)*$N1422)</f>
        <v/>
      </c>
      <c r="S1422" s="56" t="str">
        <f aca="false">IF(INDEX(BookTitle,1417)="","",INDEX(BookTotal,1417)*'5. Scenarios'!$E$6/(1+ProductivityDefault*('5. Scenarios'!$E$11-1)))</f>
        <v/>
      </c>
      <c r="T1422" s="57" t="str">
        <f aca="false">IF($S1422="","",INDEX(BookRate,1417)*(1+'5. Scenarios'!$E$10)*$S1422)</f>
        <v/>
      </c>
      <c r="U1422" s="57" t="str">
        <f aca="false">IF($T1422="","",SUMIFS($T$6:$T$2405,$A$6:$A$2405,"&lt;="&amp;$A1422))</f>
        <v/>
      </c>
      <c r="V1422" s="57" t="str">
        <f aca="false">IF($T1422="","",IF($U1422&lt;=BankCostEnvelope*'5. Scenarios'!$E$7,1,0))</f>
        <v/>
      </c>
      <c r="W1422" s="57" t="str">
        <f aca="false">IF($S1422="","",INDEX(BookRate,1417)*(1+'5. Scenarios'!$E$10)*(INDEX(BookQ1,1417)*(5-MIN(4,1+'5. Scenarios'!$E$8))/4+INDEX(BookQ2,1417)*(5-MIN(4,2+'5. Scenarios'!$E$8))/4+INDEX(BookQ3,1417)*(5-MIN(4,3+'5. Scenarios'!$E$8))/4+INDEX(BookQ4,1417)*(5-MIN(4,4+'5. Scenarios'!$E$8))/4)*'5. Scenarios'!$E$6/(1+ProductivityDefault*('5. Scenarios'!$E$11-1))+INDEX(BookOneOff,1417)*$S1422)</f>
        <v/>
      </c>
    </row>
    <row r="1423" customFormat="false" ht="15" hidden="false" customHeight="false" outlineLevel="0" collapsed="false">
      <c r="A1423" s="0" t="str">
        <f aca="false">IF(INDEX(BookTitle,1418)="","",INDEX(BookKey,1418))</f>
        <v/>
      </c>
      <c r="B1423" s="0" t="str">
        <f aca="false">IF(INDEX(BookTitle,1418)="","",INDEX(BookGroup,1418))</f>
        <v/>
      </c>
      <c r="C1423" s="0" t="str">
        <f aca="false">IF(INDEX(BookTitle,1418)="","",INDEX(BookCategory,1418))</f>
        <v/>
      </c>
      <c r="D1423" s="56" t="str">
        <f aca="false">IF(INDEX(BookTitle,1418)="","",INDEX(BookTotal,1418)*'5. Scenarios'!$B$6/(1+ProductivityDefault*('5. Scenarios'!$B$11-1)))</f>
        <v/>
      </c>
      <c r="E1423" s="57" t="str">
        <f aca="false">IF($D1423="","",INDEX(BookRate,1418)*(1+'5. Scenarios'!$B$10)*$D1423)</f>
        <v/>
      </c>
      <c r="F1423" s="57" t="str">
        <f aca="false">IF($E1423="","",SUMIFS($E$6:$E$2405,$A$6:$A$2405,"&lt;="&amp;$A1423))</f>
        <v/>
      </c>
      <c r="G1423" s="57" t="str">
        <f aca="false">IF($E1423="","",IF($F1423&lt;=BankCostEnvelope*'5. Scenarios'!$B$7,1,0))</f>
        <v/>
      </c>
      <c r="H1423" s="57" t="str">
        <f aca="false">IF($D1423="","",INDEX(BookRate,1418)*(1+'5. Scenarios'!$B$10)*(INDEX(BookQ1,1418)*(5-MIN(4,1+'5. Scenarios'!$B$8))/4+INDEX(BookQ2,1418)*(5-MIN(4,2+'5. Scenarios'!$B$8))/4+INDEX(BookQ3,1418)*(5-MIN(4,3+'5. Scenarios'!$B$8))/4+INDEX(BookQ4,1418)*(5-MIN(4,4+'5. Scenarios'!$B$8))/4)*'5. Scenarios'!$B$6/(1+ProductivityDefault*('5. Scenarios'!$B$11-1))+INDEX(BookOneOff,1418)*$D1423)</f>
        <v/>
      </c>
      <c r="I1423" s="56" t="str">
        <f aca="false">IF(INDEX(BookTitle,1418)="","",INDEX(BookTotal,1418)*'5. Scenarios'!$C$6/(1+ProductivityDefault*('5. Scenarios'!$C$11-1)))</f>
        <v/>
      </c>
      <c r="J1423" s="57" t="str">
        <f aca="false">IF($I1423="","",INDEX(BookRate,1418)*(1+'5. Scenarios'!$C$10)*$I1423)</f>
        <v/>
      </c>
      <c r="K1423" s="57" t="str">
        <f aca="false">IF($J1423="","",SUMIFS($J$6:$J$2405,$A$6:$A$2405,"&lt;="&amp;$A1423))</f>
        <v/>
      </c>
      <c r="L1423" s="57" t="str">
        <f aca="false">IF($J1423="","",IF($K1423&lt;=BankCostEnvelope*'5. Scenarios'!$C$7,1,0))</f>
        <v/>
      </c>
      <c r="M1423" s="57" t="str">
        <f aca="false">IF($I1423="","",INDEX(BookRate,1418)*(1+'5. Scenarios'!$C$10)*(INDEX(BookQ1,1418)*(5-MIN(4,1+'5. Scenarios'!$C$8))/4+INDEX(BookQ2,1418)*(5-MIN(4,2+'5. Scenarios'!$C$8))/4+INDEX(BookQ3,1418)*(5-MIN(4,3+'5. Scenarios'!$C$8))/4+INDEX(BookQ4,1418)*(5-MIN(4,4+'5. Scenarios'!$C$8))/4)*'5. Scenarios'!$C$6/(1+ProductivityDefault*('5. Scenarios'!$C$11-1))+INDEX(BookOneOff,1418)*$I1423)</f>
        <v/>
      </c>
      <c r="N1423" s="56" t="str">
        <f aca="false">IF(INDEX(BookTitle,1418)="","",INDEX(BookTotal,1418)*'5. Scenarios'!$D$6/(1+ProductivityDefault*('5. Scenarios'!$D$11-1)))</f>
        <v/>
      </c>
      <c r="O1423" s="57" t="str">
        <f aca="false">IF($N1423="","",INDEX(BookRate,1418)*(1+'5. Scenarios'!$D$10)*$N1423)</f>
        <v/>
      </c>
      <c r="P1423" s="57" t="str">
        <f aca="false">IF($O1423="","",SUMIFS($O$6:$O$2405,$A$6:$A$2405,"&lt;="&amp;$A1423))</f>
        <v/>
      </c>
      <c r="Q1423" s="57" t="str">
        <f aca="false">IF($O1423="","",IF($P1423&lt;=BankCostEnvelope*'5. Scenarios'!$D$7,1,0))</f>
        <v/>
      </c>
      <c r="R1423" s="57" t="str">
        <f aca="false">IF($N1423="","",INDEX(BookRate,1418)*(1+'5. Scenarios'!$D$10)*(INDEX(BookQ1,1418)*(5-MIN(4,1+'5. Scenarios'!$D$8))/4+INDEX(BookQ2,1418)*(5-MIN(4,2+'5. Scenarios'!$D$8))/4+INDEX(BookQ3,1418)*(5-MIN(4,3+'5. Scenarios'!$D$8))/4+INDEX(BookQ4,1418)*(5-MIN(4,4+'5. Scenarios'!$D$8))/4)*'5. Scenarios'!$D$6/(1+ProductivityDefault*('5. Scenarios'!$D$11-1))+INDEX(BookOneOff,1418)*$N1423)</f>
        <v/>
      </c>
      <c r="S1423" s="56" t="str">
        <f aca="false">IF(INDEX(BookTitle,1418)="","",INDEX(BookTotal,1418)*'5. Scenarios'!$E$6/(1+ProductivityDefault*('5. Scenarios'!$E$11-1)))</f>
        <v/>
      </c>
      <c r="T1423" s="57" t="str">
        <f aca="false">IF($S1423="","",INDEX(BookRate,1418)*(1+'5. Scenarios'!$E$10)*$S1423)</f>
        <v/>
      </c>
      <c r="U1423" s="57" t="str">
        <f aca="false">IF($T1423="","",SUMIFS($T$6:$T$2405,$A$6:$A$2405,"&lt;="&amp;$A1423))</f>
        <v/>
      </c>
      <c r="V1423" s="57" t="str">
        <f aca="false">IF($T1423="","",IF($U1423&lt;=BankCostEnvelope*'5. Scenarios'!$E$7,1,0))</f>
        <v/>
      </c>
      <c r="W1423" s="57" t="str">
        <f aca="false">IF($S1423="","",INDEX(BookRate,1418)*(1+'5. Scenarios'!$E$10)*(INDEX(BookQ1,1418)*(5-MIN(4,1+'5. Scenarios'!$E$8))/4+INDEX(BookQ2,1418)*(5-MIN(4,2+'5. Scenarios'!$E$8))/4+INDEX(BookQ3,1418)*(5-MIN(4,3+'5. Scenarios'!$E$8))/4+INDEX(BookQ4,1418)*(5-MIN(4,4+'5. Scenarios'!$E$8))/4)*'5. Scenarios'!$E$6/(1+ProductivityDefault*('5. Scenarios'!$E$11-1))+INDEX(BookOneOff,1418)*$S1423)</f>
        <v/>
      </c>
    </row>
    <row r="1424" customFormat="false" ht="15" hidden="false" customHeight="false" outlineLevel="0" collapsed="false">
      <c r="A1424" s="0" t="str">
        <f aca="false">IF(INDEX(BookTitle,1419)="","",INDEX(BookKey,1419))</f>
        <v/>
      </c>
      <c r="B1424" s="0" t="str">
        <f aca="false">IF(INDEX(BookTitle,1419)="","",INDEX(BookGroup,1419))</f>
        <v/>
      </c>
      <c r="C1424" s="0" t="str">
        <f aca="false">IF(INDEX(BookTitle,1419)="","",INDEX(BookCategory,1419))</f>
        <v/>
      </c>
      <c r="D1424" s="56" t="str">
        <f aca="false">IF(INDEX(BookTitle,1419)="","",INDEX(BookTotal,1419)*'5. Scenarios'!$B$6/(1+ProductivityDefault*('5. Scenarios'!$B$11-1)))</f>
        <v/>
      </c>
      <c r="E1424" s="57" t="str">
        <f aca="false">IF($D1424="","",INDEX(BookRate,1419)*(1+'5. Scenarios'!$B$10)*$D1424)</f>
        <v/>
      </c>
      <c r="F1424" s="57" t="str">
        <f aca="false">IF($E1424="","",SUMIFS($E$6:$E$2405,$A$6:$A$2405,"&lt;="&amp;$A1424))</f>
        <v/>
      </c>
      <c r="G1424" s="57" t="str">
        <f aca="false">IF($E1424="","",IF($F1424&lt;=BankCostEnvelope*'5. Scenarios'!$B$7,1,0))</f>
        <v/>
      </c>
      <c r="H1424" s="57" t="str">
        <f aca="false">IF($D1424="","",INDEX(BookRate,1419)*(1+'5. Scenarios'!$B$10)*(INDEX(BookQ1,1419)*(5-MIN(4,1+'5. Scenarios'!$B$8))/4+INDEX(BookQ2,1419)*(5-MIN(4,2+'5. Scenarios'!$B$8))/4+INDEX(BookQ3,1419)*(5-MIN(4,3+'5. Scenarios'!$B$8))/4+INDEX(BookQ4,1419)*(5-MIN(4,4+'5. Scenarios'!$B$8))/4)*'5. Scenarios'!$B$6/(1+ProductivityDefault*('5. Scenarios'!$B$11-1))+INDEX(BookOneOff,1419)*$D1424)</f>
        <v/>
      </c>
      <c r="I1424" s="56" t="str">
        <f aca="false">IF(INDEX(BookTitle,1419)="","",INDEX(BookTotal,1419)*'5. Scenarios'!$C$6/(1+ProductivityDefault*('5. Scenarios'!$C$11-1)))</f>
        <v/>
      </c>
      <c r="J1424" s="57" t="str">
        <f aca="false">IF($I1424="","",INDEX(BookRate,1419)*(1+'5. Scenarios'!$C$10)*$I1424)</f>
        <v/>
      </c>
      <c r="K1424" s="57" t="str">
        <f aca="false">IF($J1424="","",SUMIFS($J$6:$J$2405,$A$6:$A$2405,"&lt;="&amp;$A1424))</f>
        <v/>
      </c>
      <c r="L1424" s="57" t="str">
        <f aca="false">IF($J1424="","",IF($K1424&lt;=BankCostEnvelope*'5. Scenarios'!$C$7,1,0))</f>
        <v/>
      </c>
      <c r="M1424" s="57" t="str">
        <f aca="false">IF($I1424="","",INDEX(BookRate,1419)*(1+'5. Scenarios'!$C$10)*(INDEX(BookQ1,1419)*(5-MIN(4,1+'5. Scenarios'!$C$8))/4+INDEX(BookQ2,1419)*(5-MIN(4,2+'5. Scenarios'!$C$8))/4+INDEX(BookQ3,1419)*(5-MIN(4,3+'5. Scenarios'!$C$8))/4+INDEX(BookQ4,1419)*(5-MIN(4,4+'5. Scenarios'!$C$8))/4)*'5. Scenarios'!$C$6/(1+ProductivityDefault*('5. Scenarios'!$C$11-1))+INDEX(BookOneOff,1419)*$I1424)</f>
        <v/>
      </c>
      <c r="N1424" s="56" t="str">
        <f aca="false">IF(INDEX(BookTitle,1419)="","",INDEX(BookTotal,1419)*'5. Scenarios'!$D$6/(1+ProductivityDefault*('5. Scenarios'!$D$11-1)))</f>
        <v/>
      </c>
      <c r="O1424" s="57" t="str">
        <f aca="false">IF($N1424="","",INDEX(BookRate,1419)*(1+'5. Scenarios'!$D$10)*$N1424)</f>
        <v/>
      </c>
      <c r="P1424" s="57" t="str">
        <f aca="false">IF($O1424="","",SUMIFS($O$6:$O$2405,$A$6:$A$2405,"&lt;="&amp;$A1424))</f>
        <v/>
      </c>
      <c r="Q1424" s="57" t="str">
        <f aca="false">IF($O1424="","",IF($P1424&lt;=BankCostEnvelope*'5. Scenarios'!$D$7,1,0))</f>
        <v/>
      </c>
      <c r="R1424" s="57" t="str">
        <f aca="false">IF($N1424="","",INDEX(BookRate,1419)*(1+'5. Scenarios'!$D$10)*(INDEX(BookQ1,1419)*(5-MIN(4,1+'5. Scenarios'!$D$8))/4+INDEX(BookQ2,1419)*(5-MIN(4,2+'5. Scenarios'!$D$8))/4+INDEX(BookQ3,1419)*(5-MIN(4,3+'5. Scenarios'!$D$8))/4+INDEX(BookQ4,1419)*(5-MIN(4,4+'5. Scenarios'!$D$8))/4)*'5. Scenarios'!$D$6/(1+ProductivityDefault*('5. Scenarios'!$D$11-1))+INDEX(BookOneOff,1419)*$N1424)</f>
        <v/>
      </c>
      <c r="S1424" s="56" t="str">
        <f aca="false">IF(INDEX(BookTitle,1419)="","",INDEX(BookTotal,1419)*'5. Scenarios'!$E$6/(1+ProductivityDefault*('5. Scenarios'!$E$11-1)))</f>
        <v/>
      </c>
      <c r="T1424" s="57" t="str">
        <f aca="false">IF($S1424="","",INDEX(BookRate,1419)*(1+'5. Scenarios'!$E$10)*$S1424)</f>
        <v/>
      </c>
      <c r="U1424" s="57" t="str">
        <f aca="false">IF($T1424="","",SUMIFS($T$6:$T$2405,$A$6:$A$2405,"&lt;="&amp;$A1424))</f>
        <v/>
      </c>
      <c r="V1424" s="57" t="str">
        <f aca="false">IF($T1424="","",IF($U1424&lt;=BankCostEnvelope*'5. Scenarios'!$E$7,1,0))</f>
        <v/>
      </c>
      <c r="W1424" s="57" t="str">
        <f aca="false">IF($S1424="","",INDEX(BookRate,1419)*(1+'5. Scenarios'!$E$10)*(INDEX(BookQ1,1419)*(5-MIN(4,1+'5. Scenarios'!$E$8))/4+INDEX(BookQ2,1419)*(5-MIN(4,2+'5. Scenarios'!$E$8))/4+INDEX(BookQ3,1419)*(5-MIN(4,3+'5. Scenarios'!$E$8))/4+INDEX(BookQ4,1419)*(5-MIN(4,4+'5. Scenarios'!$E$8))/4)*'5. Scenarios'!$E$6/(1+ProductivityDefault*('5. Scenarios'!$E$11-1))+INDEX(BookOneOff,1419)*$S1424)</f>
        <v/>
      </c>
    </row>
    <row r="1425" customFormat="false" ht="15" hidden="false" customHeight="false" outlineLevel="0" collapsed="false">
      <c r="A1425" s="0" t="str">
        <f aca="false">IF(INDEX(BookTitle,1420)="","",INDEX(BookKey,1420))</f>
        <v/>
      </c>
      <c r="B1425" s="0" t="str">
        <f aca="false">IF(INDEX(BookTitle,1420)="","",INDEX(BookGroup,1420))</f>
        <v/>
      </c>
      <c r="C1425" s="0" t="str">
        <f aca="false">IF(INDEX(BookTitle,1420)="","",INDEX(BookCategory,1420))</f>
        <v/>
      </c>
      <c r="D1425" s="56" t="str">
        <f aca="false">IF(INDEX(BookTitle,1420)="","",INDEX(BookTotal,1420)*'5. Scenarios'!$B$6/(1+ProductivityDefault*('5. Scenarios'!$B$11-1)))</f>
        <v/>
      </c>
      <c r="E1425" s="57" t="str">
        <f aca="false">IF($D1425="","",INDEX(BookRate,1420)*(1+'5. Scenarios'!$B$10)*$D1425)</f>
        <v/>
      </c>
      <c r="F1425" s="57" t="str">
        <f aca="false">IF($E1425="","",SUMIFS($E$6:$E$2405,$A$6:$A$2405,"&lt;="&amp;$A1425))</f>
        <v/>
      </c>
      <c r="G1425" s="57" t="str">
        <f aca="false">IF($E1425="","",IF($F1425&lt;=BankCostEnvelope*'5. Scenarios'!$B$7,1,0))</f>
        <v/>
      </c>
      <c r="H1425" s="57" t="str">
        <f aca="false">IF($D1425="","",INDEX(BookRate,1420)*(1+'5. Scenarios'!$B$10)*(INDEX(BookQ1,1420)*(5-MIN(4,1+'5. Scenarios'!$B$8))/4+INDEX(BookQ2,1420)*(5-MIN(4,2+'5. Scenarios'!$B$8))/4+INDEX(BookQ3,1420)*(5-MIN(4,3+'5. Scenarios'!$B$8))/4+INDEX(BookQ4,1420)*(5-MIN(4,4+'5. Scenarios'!$B$8))/4)*'5. Scenarios'!$B$6/(1+ProductivityDefault*('5. Scenarios'!$B$11-1))+INDEX(BookOneOff,1420)*$D1425)</f>
        <v/>
      </c>
      <c r="I1425" s="56" t="str">
        <f aca="false">IF(INDEX(BookTitle,1420)="","",INDEX(BookTotal,1420)*'5. Scenarios'!$C$6/(1+ProductivityDefault*('5. Scenarios'!$C$11-1)))</f>
        <v/>
      </c>
      <c r="J1425" s="57" t="str">
        <f aca="false">IF($I1425="","",INDEX(BookRate,1420)*(1+'5. Scenarios'!$C$10)*$I1425)</f>
        <v/>
      </c>
      <c r="K1425" s="57" t="str">
        <f aca="false">IF($J1425="","",SUMIFS($J$6:$J$2405,$A$6:$A$2405,"&lt;="&amp;$A1425))</f>
        <v/>
      </c>
      <c r="L1425" s="57" t="str">
        <f aca="false">IF($J1425="","",IF($K1425&lt;=BankCostEnvelope*'5. Scenarios'!$C$7,1,0))</f>
        <v/>
      </c>
      <c r="M1425" s="57" t="str">
        <f aca="false">IF($I1425="","",INDEX(BookRate,1420)*(1+'5. Scenarios'!$C$10)*(INDEX(BookQ1,1420)*(5-MIN(4,1+'5. Scenarios'!$C$8))/4+INDEX(BookQ2,1420)*(5-MIN(4,2+'5. Scenarios'!$C$8))/4+INDEX(BookQ3,1420)*(5-MIN(4,3+'5. Scenarios'!$C$8))/4+INDEX(BookQ4,1420)*(5-MIN(4,4+'5. Scenarios'!$C$8))/4)*'5. Scenarios'!$C$6/(1+ProductivityDefault*('5. Scenarios'!$C$11-1))+INDEX(BookOneOff,1420)*$I1425)</f>
        <v/>
      </c>
      <c r="N1425" s="56" t="str">
        <f aca="false">IF(INDEX(BookTitle,1420)="","",INDEX(BookTotal,1420)*'5. Scenarios'!$D$6/(1+ProductivityDefault*('5. Scenarios'!$D$11-1)))</f>
        <v/>
      </c>
      <c r="O1425" s="57" t="str">
        <f aca="false">IF($N1425="","",INDEX(BookRate,1420)*(1+'5. Scenarios'!$D$10)*$N1425)</f>
        <v/>
      </c>
      <c r="P1425" s="57" t="str">
        <f aca="false">IF($O1425="","",SUMIFS($O$6:$O$2405,$A$6:$A$2405,"&lt;="&amp;$A1425))</f>
        <v/>
      </c>
      <c r="Q1425" s="57" t="str">
        <f aca="false">IF($O1425="","",IF($P1425&lt;=BankCostEnvelope*'5. Scenarios'!$D$7,1,0))</f>
        <v/>
      </c>
      <c r="R1425" s="57" t="str">
        <f aca="false">IF($N1425="","",INDEX(BookRate,1420)*(1+'5. Scenarios'!$D$10)*(INDEX(BookQ1,1420)*(5-MIN(4,1+'5. Scenarios'!$D$8))/4+INDEX(BookQ2,1420)*(5-MIN(4,2+'5. Scenarios'!$D$8))/4+INDEX(BookQ3,1420)*(5-MIN(4,3+'5. Scenarios'!$D$8))/4+INDEX(BookQ4,1420)*(5-MIN(4,4+'5. Scenarios'!$D$8))/4)*'5. Scenarios'!$D$6/(1+ProductivityDefault*('5. Scenarios'!$D$11-1))+INDEX(BookOneOff,1420)*$N1425)</f>
        <v/>
      </c>
      <c r="S1425" s="56" t="str">
        <f aca="false">IF(INDEX(BookTitle,1420)="","",INDEX(BookTotal,1420)*'5. Scenarios'!$E$6/(1+ProductivityDefault*('5. Scenarios'!$E$11-1)))</f>
        <v/>
      </c>
      <c r="T1425" s="57" t="str">
        <f aca="false">IF($S1425="","",INDEX(BookRate,1420)*(1+'5. Scenarios'!$E$10)*$S1425)</f>
        <v/>
      </c>
      <c r="U1425" s="57" t="str">
        <f aca="false">IF($T1425="","",SUMIFS($T$6:$T$2405,$A$6:$A$2405,"&lt;="&amp;$A1425))</f>
        <v/>
      </c>
      <c r="V1425" s="57" t="str">
        <f aca="false">IF($T1425="","",IF($U1425&lt;=BankCostEnvelope*'5. Scenarios'!$E$7,1,0))</f>
        <v/>
      </c>
      <c r="W1425" s="57" t="str">
        <f aca="false">IF($S1425="","",INDEX(BookRate,1420)*(1+'5. Scenarios'!$E$10)*(INDEX(BookQ1,1420)*(5-MIN(4,1+'5. Scenarios'!$E$8))/4+INDEX(BookQ2,1420)*(5-MIN(4,2+'5. Scenarios'!$E$8))/4+INDEX(BookQ3,1420)*(5-MIN(4,3+'5. Scenarios'!$E$8))/4+INDEX(BookQ4,1420)*(5-MIN(4,4+'5. Scenarios'!$E$8))/4)*'5. Scenarios'!$E$6/(1+ProductivityDefault*('5. Scenarios'!$E$11-1))+INDEX(BookOneOff,1420)*$S1425)</f>
        <v/>
      </c>
    </row>
    <row r="1426" customFormat="false" ht="15" hidden="false" customHeight="false" outlineLevel="0" collapsed="false">
      <c r="A1426" s="0" t="str">
        <f aca="false">IF(INDEX(BookTitle,1421)="","",INDEX(BookKey,1421))</f>
        <v/>
      </c>
      <c r="B1426" s="0" t="str">
        <f aca="false">IF(INDEX(BookTitle,1421)="","",INDEX(BookGroup,1421))</f>
        <v/>
      </c>
      <c r="C1426" s="0" t="str">
        <f aca="false">IF(INDEX(BookTitle,1421)="","",INDEX(BookCategory,1421))</f>
        <v/>
      </c>
      <c r="D1426" s="56" t="str">
        <f aca="false">IF(INDEX(BookTitle,1421)="","",INDEX(BookTotal,1421)*'5. Scenarios'!$B$6/(1+ProductivityDefault*('5. Scenarios'!$B$11-1)))</f>
        <v/>
      </c>
      <c r="E1426" s="57" t="str">
        <f aca="false">IF($D1426="","",INDEX(BookRate,1421)*(1+'5. Scenarios'!$B$10)*$D1426)</f>
        <v/>
      </c>
      <c r="F1426" s="57" t="str">
        <f aca="false">IF($E1426="","",SUMIFS($E$6:$E$2405,$A$6:$A$2405,"&lt;="&amp;$A1426))</f>
        <v/>
      </c>
      <c r="G1426" s="57" t="str">
        <f aca="false">IF($E1426="","",IF($F1426&lt;=BankCostEnvelope*'5. Scenarios'!$B$7,1,0))</f>
        <v/>
      </c>
      <c r="H1426" s="57" t="str">
        <f aca="false">IF($D1426="","",INDEX(BookRate,1421)*(1+'5. Scenarios'!$B$10)*(INDEX(BookQ1,1421)*(5-MIN(4,1+'5. Scenarios'!$B$8))/4+INDEX(BookQ2,1421)*(5-MIN(4,2+'5. Scenarios'!$B$8))/4+INDEX(BookQ3,1421)*(5-MIN(4,3+'5. Scenarios'!$B$8))/4+INDEX(BookQ4,1421)*(5-MIN(4,4+'5. Scenarios'!$B$8))/4)*'5. Scenarios'!$B$6/(1+ProductivityDefault*('5. Scenarios'!$B$11-1))+INDEX(BookOneOff,1421)*$D1426)</f>
        <v/>
      </c>
      <c r="I1426" s="56" t="str">
        <f aca="false">IF(INDEX(BookTitle,1421)="","",INDEX(BookTotal,1421)*'5. Scenarios'!$C$6/(1+ProductivityDefault*('5. Scenarios'!$C$11-1)))</f>
        <v/>
      </c>
      <c r="J1426" s="57" t="str">
        <f aca="false">IF($I1426="","",INDEX(BookRate,1421)*(1+'5. Scenarios'!$C$10)*$I1426)</f>
        <v/>
      </c>
      <c r="K1426" s="57" t="str">
        <f aca="false">IF($J1426="","",SUMIFS($J$6:$J$2405,$A$6:$A$2405,"&lt;="&amp;$A1426))</f>
        <v/>
      </c>
      <c r="L1426" s="57" t="str">
        <f aca="false">IF($J1426="","",IF($K1426&lt;=BankCostEnvelope*'5. Scenarios'!$C$7,1,0))</f>
        <v/>
      </c>
      <c r="M1426" s="57" t="str">
        <f aca="false">IF($I1426="","",INDEX(BookRate,1421)*(1+'5. Scenarios'!$C$10)*(INDEX(BookQ1,1421)*(5-MIN(4,1+'5. Scenarios'!$C$8))/4+INDEX(BookQ2,1421)*(5-MIN(4,2+'5. Scenarios'!$C$8))/4+INDEX(BookQ3,1421)*(5-MIN(4,3+'5. Scenarios'!$C$8))/4+INDEX(BookQ4,1421)*(5-MIN(4,4+'5. Scenarios'!$C$8))/4)*'5. Scenarios'!$C$6/(1+ProductivityDefault*('5. Scenarios'!$C$11-1))+INDEX(BookOneOff,1421)*$I1426)</f>
        <v/>
      </c>
      <c r="N1426" s="56" t="str">
        <f aca="false">IF(INDEX(BookTitle,1421)="","",INDEX(BookTotal,1421)*'5. Scenarios'!$D$6/(1+ProductivityDefault*('5. Scenarios'!$D$11-1)))</f>
        <v/>
      </c>
      <c r="O1426" s="57" t="str">
        <f aca="false">IF($N1426="","",INDEX(BookRate,1421)*(1+'5. Scenarios'!$D$10)*$N1426)</f>
        <v/>
      </c>
      <c r="P1426" s="57" t="str">
        <f aca="false">IF($O1426="","",SUMIFS($O$6:$O$2405,$A$6:$A$2405,"&lt;="&amp;$A1426))</f>
        <v/>
      </c>
      <c r="Q1426" s="57" t="str">
        <f aca="false">IF($O1426="","",IF($P1426&lt;=BankCostEnvelope*'5. Scenarios'!$D$7,1,0))</f>
        <v/>
      </c>
      <c r="R1426" s="57" t="str">
        <f aca="false">IF($N1426="","",INDEX(BookRate,1421)*(1+'5. Scenarios'!$D$10)*(INDEX(BookQ1,1421)*(5-MIN(4,1+'5. Scenarios'!$D$8))/4+INDEX(BookQ2,1421)*(5-MIN(4,2+'5. Scenarios'!$D$8))/4+INDEX(BookQ3,1421)*(5-MIN(4,3+'5. Scenarios'!$D$8))/4+INDEX(BookQ4,1421)*(5-MIN(4,4+'5. Scenarios'!$D$8))/4)*'5. Scenarios'!$D$6/(1+ProductivityDefault*('5. Scenarios'!$D$11-1))+INDEX(BookOneOff,1421)*$N1426)</f>
        <v/>
      </c>
      <c r="S1426" s="56" t="str">
        <f aca="false">IF(INDEX(BookTitle,1421)="","",INDEX(BookTotal,1421)*'5. Scenarios'!$E$6/(1+ProductivityDefault*('5. Scenarios'!$E$11-1)))</f>
        <v/>
      </c>
      <c r="T1426" s="57" t="str">
        <f aca="false">IF($S1426="","",INDEX(BookRate,1421)*(1+'5. Scenarios'!$E$10)*$S1426)</f>
        <v/>
      </c>
      <c r="U1426" s="57" t="str">
        <f aca="false">IF($T1426="","",SUMIFS($T$6:$T$2405,$A$6:$A$2405,"&lt;="&amp;$A1426))</f>
        <v/>
      </c>
      <c r="V1426" s="57" t="str">
        <f aca="false">IF($T1426="","",IF($U1426&lt;=BankCostEnvelope*'5. Scenarios'!$E$7,1,0))</f>
        <v/>
      </c>
      <c r="W1426" s="57" t="str">
        <f aca="false">IF($S1426="","",INDEX(BookRate,1421)*(1+'5. Scenarios'!$E$10)*(INDEX(BookQ1,1421)*(5-MIN(4,1+'5. Scenarios'!$E$8))/4+INDEX(BookQ2,1421)*(5-MIN(4,2+'5. Scenarios'!$E$8))/4+INDEX(BookQ3,1421)*(5-MIN(4,3+'5. Scenarios'!$E$8))/4+INDEX(BookQ4,1421)*(5-MIN(4,4+'5. Scenarios'!$E$8))/4)*'5. Scenarios'!$E$6/(1+ProductivityDefault*('5. Scenarios'!$E$11-1))+INDEX(BookOneOff,1421)*$S1426)</f>
        <v/>
      </c>
    </row>
    <row r="1427" customFormat="false" ht="15" hidden="false" customHeight="false" outlineLevel="0" collapsed="false">
      <c r="A1427" s="0" t="str">
        <f aca="false">IF(INDEX(BookTitle,1422)="","",INDEX(BookKey,1422))</f>
        <v/>
      </c>
      <c r="B1427" s="0" t="str">
        <f aca="false">IF(INDEX(BookTitle,1422)="","",INDEX(BookGroup,1422))</f>
        <v/>
      </c>
      <c r="C1427" s="0" t="str">
        <f aca="false">IF(INDEX(BookTitle,1422)="","",INDEX(BookCategory,1422))</f>
        <v/>
      </c>
      <c r="D1427" s="56" t="str">
        <f aca="false">IF(INDEX(BookTitle,1422)="","",INDEX(BookTotal,1422)*'5. Scenarios'!$B$6/(1+ProductivityDefault*('5. Scenarios'!$B$11-1)))</f>
        <v/>
      </c>
      <c r="E1427" s="57" t="str">
        <f aca="false">IF($D1427="","",INDEX(BookRate,1422)*(1+'5. Scenarios'!$B$10)*$D1427)</f>
        <v/>
      </c>
      <c r="F1427" s="57" t="str">
        <f aca="false">IF($E1427="","",SUMIFS($E$6:$E$2405,$A$6:$A$2405,"&lt;="&amp;$A1427))</f>
        <v/>
      </c>
      <c r="G1427" s="57" t="str">
        <f aca="false">IF($E1427="","",IF($F1427&lt;=BankCostEnvelope*'5. Scenarios'!$B$7,1,0))</f>
        <v/>
      </c>
      <c r="H1427" s="57" t="str">
        <f aca="false">IF($D1427="","",INDEX(BookRate,1422)*(1+'5. Scenarios'!$B$10)*(INDEX(BookQ1,1422)*(5-MIN(4,1+'5. Scenarios'!$B$8))/4+INDEX(BookQ2,1422)*(5-MIN(4,2+'5. Scenarios'!$B$8))/4+INDEX(BookQ3,1422)*(5-MIN(4,3+'5. Scenarios'!$B$8))/4+INDEX(BookQ4,1422)*(5-MIN(4,4+'5. Scenarios'!$B$8))/4)*'5. Scenarios'!$B$6/(1+ProductivityDefault*('5. Scenarios'!$B$11-1))+INDEX(BookOneOff,1422)*$D1427)</f>
        <v/>
      </c>
      <c r="I1427" s="56" t="str">
        <f aca="false">IF(INDEX(BookTitle,1422)="","",INDEX(BookTotal,1422)*'5. Scenarios'!$C$6/(1+ProductivityDefault*('5. Scenarios'!$C$11-1)))</f>
        <v/>
      </c>
      <c r="J1427" s="57" t="str">
        <f aca="false">IF($I1427="","",INDEX(BookRate,1422)*(1+'5. Scenarios'!$C$10)*$I1427)</f>
        <v/>
      </c>
      <c r="K1427" s="57" t="str">
        <f aca="false">IF($J1427="","",SUMIFS($J$6:$J$2405,$A$6:$A$2405,"&lt;="&amp;$A1427))</f>
        <v/>
      </c>
      <c r="L1427" s="57" t="str">
        <f aca="false">IF($J1427="","",IF($K1427&lt;=BankCostEnvelope*'5. Scenarios'!$C$7,1,0))</f>
        <v/>
      </c>
      <c r="M1427" s="57" t="str">
        <f aca="false">IF($I1427="","",INDEX(BookRate,1422)*(1+'5. Scenarios'!$C$10)*(INDEX(BookQ1,1422)*(5-MIN(4,1+'5. Scenarios'!$C$8))/4+INDEX(BookQ2,1422)*(5-MIN(4,2+'5. Scenarios'!$C$8))/4+INDEX(BookQ3,1422)*(5-MIN(4,3+'5. Scenarios'!$C$8))/4+INDEX(BookQ4,1422)*(5-MIN(4,4+'5. Scenarios'!$C$8))/4)*'5. Scenarios'!$C$6/(1+ProductivityDefault*('5. Scenarios'!$C$11-1))+INDEX(BookOneOff,1422)*$I1427)</f>
        <v/>
      </c>
      <c r="N1427" s="56" t="str">
        <f aca="false">IF(INDEX(BookTitle,1422)="","",INDEX(BookTotal,1422)*'5. Scenarios'!$D$6/(1+ProductivityDefault*('5. Scenarios'!$D$11-1)))</f>
        <v/>
      </c>
      <c r="O1427" s="57" t="str">
        <f aca="false">IF($N1427="","",INDEX(BookRate,1422)*(1+'5. Scenarios'!$D$10)*$N1427)</f>
        <v/>
      </c>
      <c r="P1427" s="57" t="str">
        <f aca="false">IF($O1427="","",SUMIFS($O$6:$O$2405,$A$6:$A$2405,"&lt;="&amp;$A1427))</f>
        <v/>
      </c>
      <c r="Q1427" s="57" t="str">
        <f aca="false">IF($O1427="","",IF($P1427&lt;=BankCostEnvelope*'5. Scenarios'!$D$7,1,0))</f>
        <v/>
      </c>
      <c r="R1427" s="57" t="str">
        <f aca="false">IF($N1427="","",INDEX(BookRate,1422)*(1+'5. Scenarios'!$D$10)*(INDEX(BookQ1,1422)*(5-MIN(4,1+'5. Scenarios'!$D$8))/4+INDEX(BookQ2,1422)*(5-MIN(4,2+'5. Scenarios'!$D$8))/4+INDEX(BookQ3,1422)*(5-MIN(4,3+'5. Scenarios'!$D$8))/4+INDEX(BookQ4,1422)*(5-MIN(4,4+'5. Scenarios'!$D$8))/4)*'5. Scenarios'!$D$6/(1+ProductivityDefault*('5. Scenarios'!$D$11-1))+INDEX(BookOneOff,1422)*$N1427)</f>
        <v/>
      </c>
      <c r="S1427" s="56" t="str">
        <f aca="false">IF(INDEX(BookTitle,1422)="","",INDEX(BookTotal,1422)*'5. Scenarios'!$E$6/(1+ProductivityDefault*('5. Scenarios'!$E$11-1)))</f>
        <v/>
      </c>
      <c r="T1427" s="57" t="str">
        <f aca="false">IF($S1427="","",INDEX(BookRate,1422)*(1+'5. Scenarios'!$E$10)*$S1427)</f>
        <v/>
      </c>
      <c r="U1427" s="57" t="str">
        <f aca="false">IF($T1427="","",SUMIFS($T$6:$T$2405,$A$6:$A$2405,"&lt;="&amp;$A1427))</f>
        <v/>
      </c>
      <c r="V1427" s="57" t="str">
        <f aca="false">IF($T1427="","",IF($U1427&lt;=BankCostEnvelope*'5. Scenarios'!$E$7,1,0))</f>
        <v/>
      </c>
      <c r="W1427" s="57" t="str">
        <f aca="false">IF($S1427="","",INDEX(BookRate,1422)*(1+'5. Scenarios'!$E$10)*(INDEX(BookQ1,1422)*(5-MIN(4,1+'5. Scenarios'!$E$8))/4+INDEX(BookQ2,1422)*(5-MIN(4,2+'5. Scenarios'!$E$8))/4+INDEX(BookQ3,1422)*(5-MIN(4,3+'5. Scenarios'!$E$8))/4+INDEX(BookQ4,1422)*(5-MIN(4,4+'5. Scenarios'!$E$8))/4)*'5. Scenarios'!$E$6/(1+ProductivityDefault*('5. Scenarios'!$E$11-1))+INDEX(BookOneOff,1422)*$S1427)</f>
        <v/>
      </c>
    </row>
    <row r="1428" customFormat="false" ht="15" hidden="false" customHeight="false" outlineLevel="0" collapsed="false">
      <c r="A1428" s="0" t="str">
        <f aca="false">IF(INDEX(BookTitle,1423)="","",INDEX(BookKey,1423))</f>
        <v/>
      </c>
      <c r="B1428" s="0" t="str">
        <f aca="false">IF(INDEX(BookTitle,1423)="","",INDEX(BookGroup,1423))</f>
        <v/>
      </c>
      <c r="C1428" s="0" t="str">
        <f aca="false">IF(INDEX(BookTitle,1423)="","",INDEX(BookCategory,1423))</f>
        <v/>
      </c>
      <c r="D1428" s="56" t="str">
        <f aca="false">IF(INDEX(BookTitle,1423)="","",INDEX(BookTotal,1423)*'5. Scenarios'!$B$6/(1+ProductivityDefault*('5. Scenarios'!$B$11-1)))</f>
        <v/>
      </c>
      <c r="E1428" s="57" t="str">
        <f aca="false">IF($D1428="","",INDEX(BookRate,1423)*(1+'5. Scenarios'!$B$10)*$D1428)</f>
        <v/>
      </c>
      <c r="F1428" s="57" t="str">
        <f aca="false">IF($E1428="","",SUMIFS($E$6:$E$2405,$A$6:$A$2405,"&lt;="&amp;$A1428))</f>
        <v/>
      </c>
      <c r="G1428" s="57" t="str">
        <f aca="false">IF($E1428="","",IF($F1428&lt;=BankCostEnvelope*'5. Scenarios'!$B$7,1,0))</f>
        <v/>
      </c>
      <c r="H1428" s="57" t="str">
        <f aca="false">IF($D1428="","",INDEX(BookRate,1423)*(1+'5. Scenarios'!$B$10)*(INDEX(BookQ1,1423)*(5-MIN(4,1+'5. Scenarios'!$B$8))/4+INDEX(BookQ2,1423)*(5-MIN(4,2+'5. Scenarios'!$B$8))/4+INDEX(BookQ3,1423)*(5-MIN(4,3+'5. Scenarios'!$B$8))/4+INDEX(BookQ4,1423)*(5-MIN(4,4+'5. Scenarios'!$B$8))/4)*'5. Scenarios'!$B$6/(1+ProductivityDefault*('5. Scenarios'!$B$11-1))+INDEX(BookOneOff,1423)*$D1428)</f>
        <v/>
      </c>
      <c r="I1428" s="56" t="str">
        <f aca="false">IF(INDEX(BookTitle,1423)="","",INDEX(BookTotal,1423)*'5. Scenarios'!$C$6/(1+ProductivityDefault*('5. Scenarios'!$C$11-1)))</f>
        <v/>
      </c>
      <c r="J1428" s="57" t="str">
        <f aca="false">IF($I1428="","",INDEX(BookRate,1423)*(1+'5. Scenarios'!$C$10)*$I1428)</f>
        <v/>
      </c>
      <c r="K1428" s="57" t="str">
        <f aca="false">IF($J1428="","",SUMIFS($J$6:$J$2405,$A$6:$A$2405,"&lt;="&amp;$A1428))</f>
        <v/>
      </c>
      <c r="L1428" s="57" t="str">
        <f aca="false">IF($J1428="","",IF($K1428&lt;=BankCostEnvelope*'5. Scenarios'!$C$7,1,0))</f>
        <v/>
      </c>
      <c r="M1428" s="57" t="str">
        <f aca="false">IF($I1428="","",INDEX(BookRate,1423)*(1+'5. Scenarios'!$C$10)*(INDEX(BookQ1,1423)*(5-MIN(4,1+'5. Scenarios'!$C$8))/4+INDEX(BookQ2,1423)*(5-MIN(4,2+'5. Scenarios'!$C$8))/4+INDEX(BookQ3,1423)*(5-MIN(4,3+'5. Scenarios'!$C$8))/4+INDEX(BookQ4,1423)*(5-MIN(4,4+'5. Scenarios'!$C$8))/4)*'5. Scenarios'!$C$6/(1+ProductivityDefault*('5. Scenarios'!$C$11-1))+INDEX(BookOneOff,1423)*$I1428)</f>
        <v/>
      </c>
      <c r="N1428" s="56" t="str">
        <f aca="false">IF(INDEX(BookTitle,1423)="","",INDEX(BookTotal,1423)*'5. Scenarios'!$D$6/(1+ProductivityDefault*('5. Scenarios'!$D$11-1)))</f>
        <v/>
      </c>
      <c r="O1428" s="57" t="str">
        <f aca="false">IF($N1428="","",INDEX(BookRate,1423)*(1+'5. Scenarios'!$D$10)*$N1428)</f>
        <v/>
      </c>
      <c r="P1428" s="57" t="str">
        <f aca="false">IF($O1428="","",SUMIFS($O$6:$O$2405,$A$6:$A$2405,"&lt;="&amp;$A1428))</f>
        <v/>
      </c>
      <c r="Q1428" s="57" t="str">
        <f aca="false">IF($O1428="","",IF($P1428&lt;=BankCostEnvelope*'5. Scenarios'!$D$7,1,0))</f>
        <v/>
      </c>
      <c r="R1428" s="57" t="str">
        <f aca="false">IF($N1428="","",INDEX(BookRate,1423)*(1+'5. Scenarios'!$D$10)*(INDEX(BookQ1,1423)*(5-MIN(4,1+'5. Scenarios'!$D$8))/4+INDEX(BookQ2,1423)*(5-MIN(4,2+'5. Scenarios'!$D$8))/4+INDEX(BookQ3,1423)*(5-MIN(4,3+'5. Scenarios'!$D$8))/4+INDEX(BookQ4,1423)*(5-MIN(4,4+'5. Scenarios'!$D$8))/4)*'5. Scenarios'!$D$6/(1+ProductivityDefault*('5. Scenarios'!$D$11-1))+INDEX(BookOneOff,1423)*$N1428)</f>
        <v/>
      </c>
      <c r="S1428" s="56" t="str">
        <f aca="false">IF(INDEX(BookTitle,1423)="","",INDEX(BookTotal,1423)*'5. Scenarios'!$E$6/(1+ProductivityDefault*('5. Scenarios'!$E$11-1)))</f>
        <v/>
      </c>
      <c r="T1428" s="57" t="str">
        <f aca="false">IF($S1428="","",INDEX(BookRate,1423)*(1+'5. Scenarios'!$E$10)*$S1428)</f>
        <v/>
      </c>
      <c r="U1428" s="57" t="str">
        <f aca="false">IF($T1428="","",SUMIFS($T$6:$T$2405,$A$6:$A$2405,"&lt;="&amp;$A1428))</f>
        <v/>
      </c>
      <c r="V1428" s="57" t="str">
        <f aca="false">IF($T1428="","",IF($U1428&lt;=BankCostEnvelope*'5. Scenarios'!$E$7,1,0))</f>
        <v/>
      </c>
      <c r="W1428" s="57" t="str">
        <f aca="false">IF($S1428="","",INDEX(BookRate,1423)*(1+'5. Scenarios'!$E$10)*(INDEX(BookQ1,1423)*(5-MIN(4,1+'5. Scenarios'!$E$8))/4+INDEX(BookQ2,1423)*(5-MIN(4,2+'5. Scenarios'!$E$8))/4+INDEX(BookQ3,1423)*(5-MIN(4,3+'5. Scenarios'!$E$8))/4+INDEX(BookQ4,1423)*(5-MIN(4,4+'5. Scenarios'!$E$8))/4)*'5. Scenarios'!$E$6/(1+ProductivityDefault*('5. Scenarios'!$E$11-1))+INDEX(BookOneOff,1423)*$S1428)</f>
        <v/>
      </c>
    </row>
    <row r="1429" customFormat="false" ht="15" hidden="false" customHeight="false" outlineLevel="0" collapsed="false">
      <c r="A1429" s="0" t="str">
        <f aca="false">IF(INDEX(BookTitle,1424)="","",INDEX(BookKey,1424))</f>
        <v/>
      </c>
      <c r="B1429" s="0" t="str">
        <f aca="false">IF(INDEX(BookTitle,1424)="","",INDEX(BookGroup,1424))</f>
        <v/>
      </c>
      <c r="C1429" s="0" t="str">
        <f aca="false">IF(INDEX(BookTitle,1424)="","",INDEX(BookCategory,1424))</f>
        <v/>
      </c>
      <c r="D1429" s="56" t="str">
        <f aca="false">IF(INDEX(BookTitle,1424)="","",INDEX(BookTotal,1424)*'5. Scenarios'!$B$6/(1+ProductivityDefault*('5. Scenarios'!$B$11-1)))</f>
        <v/>
      </c>
      <c r="E1429" s="57" t="str">
        <f aca="false">IF($D1429="","",INDEX(BookRate,1424)*(1+'5. Scenarios'!$B$10)*$D1429)</f>
        <v/>
      </c>
      <c r="F1429" s="57" t="str">
        <f aca="false">IF($E1429="","",SUMIFS($E$6:$E$2405,$A$6:$A$2405,"&lt;="&amp;$A1429))</f>
        <v/>
      </c>
      <c r="G1429" s="57" t="str">
        <f aca="false">IF($E1429="","",IF($F1429&lt;=BankCostEnvelope*'5. Scenarios'!$B$7,1,0))</f>
        <v/>
      </c>
      <c r="H1429" s="57" t="str">
        <f aca="false">IF($D1429="","",INDEX(BookRate,1424)*(1+'5. Scenarios'!$B$10)*(INDEX(BookQ1,1424)*(5-MIN(4,1+'5. Scenarios'!$B$8))/4+INDEX(BookQ2,1424)*(5-MIN(4,2+'5. Scenarios'!$B$8))/4+INDEX(BookQ3,1424)*(5-MIN(4,3+'5. Scenarios'!$B$8))/4+INDEX(BookQ4,1424)*(5-MIN(4,4+'5. Scenarios'!$B$8))/4)*'5. Scenarios'!$B$6/(1+ProductivityDefault*('5. Scenarios'!$B$11-1))+INDEX(BookOneOff,1424)*$D1429)</f>
        <v/>
      </c>
      <c r="I1429" s="56" t="str">
        <f aca="false">IF(INDEX(BookTitle,1424)="","",INDEX(BookTotal,1424)*'5. Scenarios'!$C$6/(1+ProductivityDefault*('5. Scenarios'!$C$11-1)))</f>
        <v/>
      </c>
      <c r="J1429" s="57" t="str">
        <f aca="false">IF($I1429="","",INDEX(BookRate,1424)*(1+'5. Scenarios'!$C$10)*$I1429)</f>
        <v/>
      </c>
      <c r="K1429" s="57" t="str">
        <f aca="false">IF($J1429="","",SUMIFS($J$6:$J$2405,$A$6:$A$2405,"&lt;="&amp;$A1429))</f>
        <v/>
      </c>
      <c r="L1429" s="57" t="str">
        <f aca="false">IF($J1429="","",IF($K1429&lt;=BankCostEnvelope*'5. Scenarios'!$C$7,1,0))</f>
        <v/>
      </c>
      <c r="M1429" s="57" t="str">
        <f aca="false">IF($I1429="","",INDEX(BookRate,1424)*(1+'5. Scenarios'!$C$10)*(INDEX(BookQ1,1424)*(5-MIN(4,1+'5. Scenarios'!$C$8))/4+INDEX(BookQ2,1424)*(5-MIN(4,2+'5. Scenarios'!$C$8))/4+INDEX(BookQ3,1424)*(5-MIN(4,3+'5. Scenarios'!$C$8))/4+INDEX(BookQ4,1424)*(5-MIN(4,4+'5. Scenarios'!$C$8))/4)*'5. Scenarios'!$C$6/(1+ProductivityDefault*('5. Scenarios'!$C$11-1))+INDEX(BookOneOff,1424)*$I1429)</f>
        <v/>
      </c>
      <c r="N1429" s="56" t="str">
        <f aca="false">IF(INDEX(BookTitle,1424)="","",INDEX(BookTotal,1424)*'5. Scenarios'!$D$6/(1+ProductivityDefault*('5. Scenarios'!$D$11-1)))</f>
        <v/>
      </c>
      <c r="O1429" s="57" t="str">
        <f aca="false">IF($N1429="","",INDEX(BookRate,1424)*(1+'5. Scenarios'!$D$10)*$N1429)</f>
        <v/>
      </c>
      <c r="P1429" s="57" t="str">
        <f aca="false">IF($O1429="","",SUMIFS($O$6:$O$2405,$A$6:$A$2405,"&lt;="&amp;$A1429))</f>
        <v/>
      </c>
      <c r="Q1429" s="57" t="str">
        <f aca="false">IF($O1429="","",IF($P1429&lt;=BankCostEnvelope*'5. Scenarios'!$D$7,1,0))</f>
        <v/>
      </c>
      <c r="R1429" s="57" t="str">
        <f aca="false">IF($N1429="","",INDEX(BookRate,1424)*(1+'5. Scenarios'!$D$10)*(INDEX(BookQ1,1424)*(5-MIN(4,1+'5. Scenarios'!$D$8))/4+INDEX(BookQ2,1424)*(5-MIN(4,2+'5. Scenarios'!$D$8))/4+INDEX(BookQ3,1424)*(5-MIN(4,3+'5. Scenarios'!$D$8))/4+INDEX(BookQ4,1424)*(5-MIN(4,4+'5. Scenarios'!$D$8))/4)*'5. Scenarios'!$D$6/(1+ProductivityDefault*('5. Scenarios'!$D$11-1))+INDEX(BookOneOff,1424)*$N1429)</f>
        <v/>
      </c>
      <c r="S1429" s="56" t="str">
        <f aca="false">IF(INDEX(BookTitle,1424)="","",INDEX(BookTotal,1424)*'5. Scenarios'!$E$6/(1+ProductivityDefault*('5. Scenarios'!$E$11-1)))</f>
        <v/>
      </c>
      <c r="T1429" s="57" t="str">
        <f aca="false">IF($S1429="","",INDEX(BookRate,1424)*(1+'5. Scenarios'!$E$10)*$S1429)</f>
        <v/>
      </c>
      <c r="U1429" s="57" t="str">
        <f aca="false">IF($T1429="","",SUMIFS($T$6:$T$2405,$A$6:$A$2405,"&lt;="&amp;$A1429))</f>
        <v/>
      </c>
      <c r="V1429" s="57" t="str">
        <f aca="false">IF($T1429="","",IF($U1429&lt;=BankCostEnvelope*'5. Scenarios'!$E$7,1,0))</f>
        <v/>
      </c>
      <c r="W1429" s="57" t="str">
        <f aca="false">IF($S1429="","",INDEX(BookRate,1424)*(1+'5. Scenarios'!$E$10)*(INDEX(BookQ1,1424)*(5-MIN(4,1+'5. Scenarios'!$E$8))/4+INDEX(BookQ2,1424)*(5-MIN(4,2+'5. Scenarios'!$E$8))/4+INDEX(BookQ3,1424)*(5-MIN(4,3+'5. Scenarios'!$E$8))/4+INDEX(BookQ4,1424)*(5-MIN(4,4+'5. Scenarios'!$E$8))/4)*'5. Scenarios'!$E$6/(1+ProductivityDefault*('5. Scenarios'!$E$11-1))+INDEX(BookOneOff,1424)*$S1429)</f>
        <v/>
      </c>
    </row>
    <row r="1430" customFormat="false" ht="15" hidden="false" customHeight="false" outlineLevel="0" collapsed="false">
      <c r="A1430" s="0" t="str">
        <f aca="false">IF(INDEX(BookTitle,1425)="","",INDEX(BookKey,1425))</f>
        <v/>
      </c>
      <c r="B1430" s="0" t="str">
        <f aca="false">IF(INDEX(BookTitle,1425)="","",INDEX(BookGroup,1425))</f>
        <v/>
      </c>
      <c r="C1430" s="0" t="str">
        <f aca="false">IF(INDEX(BookTitle,1425)="","",INDEX(BookCategory,1425))</f>
        <v/>
      </c>
      <c r="D1430" s="56" t="str">
        <f aca="false">IF(INDEX(BookTitle,1425)="","",INDEX(BookTotal,1425)*'5. Scenarios'!$B$6/(1+ProductivityDefault*('5. Scenarios'!$B$11-1)))</f>
        <v/>
      </c>
      <c r="E1430" s="57" t="str">
        <f aca="false">IF($D1430="","",INDEX(BookRate,1425)*(1+'5. Scenarios'!$B$10)*$D1430)</f>
        <v/>
      </c>
      <c r="F1430" s="57" t="str">
        <f aca="false">IF($E1430="","",SUMIFS($E$6:$E$2405,$A$6:$A$2405,"&lt;="&amp;$A1430))</f>
        <v/>
      </c>
      <c r="G1430" s="57" t="str">
        <f aca="false">IF($E1430="","",IF($F1430&lt;=BankCostEnvelope*'5. Scenarios'!$B$7,1,0))</f>
        <v/>
      </c>
      <c r="H1430" s="57" t="str">
        <f aca="false">IF($D1430="","",INDEX(BookRate,1425)*(1+'5. Scenarios'!$B$10)*(INDEX(BookQ1,1425)*(5-MIN(4,1+'5. Scenarios'!$B$8))/4+INDEX(BookQ2,1425)*(5-MIN(4,2+'5. Scenarios'!$B$8))/4+INDEX(BookQ3,1425)*(5-MIN(4,3+'5. Scenarios'!$B$8))/4+INDEX(BookQ4,1425)*(5-MIN(4,4+'5. Scenarios'!$B$8))/4)*'5. Scenarios'!$B$6/(1+ProductivityDefault*('5. Scenarios'!$B$11-1))+INDEX(BookOneOff,1425)*$D1430)</f>
        <v/>
      </c>
      <c r="I1430" s="56" t="str">
        <f aca="false">IF(INDEX(BookTitle,1425)="","",INDEX(BookTotal,1425)*'5. Scenarios'!$C$6/(1+ProductivityDefault*('5. Scenarios'!$C$11-1)))</f>
        <v/>
      </c>
      <c r="J1430" s="57" t="str">
        <f aca="false">IF($I1430="","",INDEX(BookRate,1425)*(1+'5. Scenarios'!$C$10)*$I1430)</f>
        <v/>
      </c>
      <c r="K1430" s="57" t="str">
        <f aca="false">IF($J1430="","",SUMIFS($J$6:$J$2405,$A$6:$A$2405,"&lt;="&amp;$A1430))</f>
        <v/>
      </c>
      <c r="L1430" s="57" t="str">
        <f aca="false">IF($J1430="","",IF($K1430&lt;=BankCostEnvelope*'5. Scenarios'!$C$7,1,0))</f>
        <v/>
      </c>
      <c r="M1430" s="57" t="str">
        <f aca="false">IF($I1430="","",INDEX(BookRate,1425)*(1+'5. Scenarios'!$C$10)*(INDEX(BookQ1,1425)*(5-MIN(4,1+'5. Scenarios'!$C$8))/4+INDEX(BookQ2,1425)*(5-MIN(4,2+'5. Scenarios'!$C$8))/4+INDEX(BookQ3,1425)*(5-MIN(4,3+'5. Scenarios'!$C$8))/4+INDEX(BookQ4,1425)*(5-MIN(4,4+'5. Scenarios'!$C$8))/4)*'5. Scenarios'!$C$6/(1+ProductivityDefault*('5. Scenarios'!$C$11-1))+INDEX(BookOneOff,1425)*$I1430)</f>
        <v/>
      </c>
      <c r="N1430" s="56" t="str">
        <f aca="false">IF(INDEX(BookTitle,1425)="","",INDEX(BookTotal,1425)*'5. Scenarios'!$D$6/(1+ProductivityDefault*('5. Scenarios'!$D$11-1)))</f>
        <v/>
      </c>
      <c r="O1430" s="57" t="str">
        <f aca="false">IF($N1430="","",INDEX(BookRate,1425)*(1+'5. Scenarios'!$D$10)*$N1430)</f>
        <v/>
      </c>
      <c r="P1430" s="57" t="str">
        <f aca="false">IF($O1430="","",SUMIFS($O$6:$O$2405,$A$6:$A$2405,"&lt;="&amp;$A1430))</f>
        <v/>
      </c>
      <c r="Q1430" s="57" t="str">
        <f aca="false">IF($O1430="","",IF($P1430&lt;=BankCostEnvelope*'5. Scenarios'!$D$7,1,0))</f>
        <v/>
      </c>
      <c r="R1430" s="57" t="str">
        <f aca="false">IF($N1430="","",INDEX(BookRate,1425)*(1+'5. Scenarios'!$D$10)*(INDEX(BookQ1,1425)*(5-MIN(4,1+'5. Scenarios'!$D$8))/4+INDEX(BookQ2,1425)*(5-MIN(4,2+'5. Scenarios'!$D$8))/4+INDEX(BookQ3,1425)*(5-MIN(4,3+'5. Scenarios'!$D$8))/4+INDEX(BookQ4,1425)*(5-MIN(4,4+'5. Scenarios'!$D$8))/4)*'5. Scenarios'!$D$6/(1+ProductivityDefault*('5. Scenarios'!$D$11-1))+INDEX(BookOneOff,1425)*$N1430)</f>
        <v/>
      </c>
      <c r="S1430" s="56" t="str">
        <f aca="false">IF(INDEX(BookTitle,1425)="","",INDEX(BookTotal,1425)*'5. Scenarios'!$E$6/(1+ProductivityDefault*('5. Scenarios'!$E$11-1)))</f>
        <v/>
      </c>
      <c r="T1430" s="57" t="str">
        <f aca="false">IF($S1430="","",INDEX(BookRate,1425)*(1+'5. Scenarios'!$E$10)*$S1430)</f>
        <v/>
      </c>
      <c r="U1430" s="57" t="str">
        <f aca="false">IF($T1430="","",SUMIFS($T$6:$T$2405,$A$6:$A$2405,"&lt;="&amp;$A1430))</f>
        <v/>
      </c>
      <c r="V1430" s="57" t="str">
        <f aca="false">IF($T1430="","",IF($U1430&lt;=BankCostEnvelope*'5. Scenarios'!$E$7,1,0))</f>
        <v/>
      </c>
      <c r="W1430" s="57" t="str">
        <f aca="false">IF($S1430="","",INDEX(BookRate,1425)*(1+'5. Scenarios'!$E$10)*(INDEX(BookQ1,1425)*(5-MIN(4,1+'5. Scenarios'!$E$8))/4+INDEX(BookQ2,1425)*(5-MIN(4,2+'5. Scenarios'!$E$8))/4+INDEX(BookQ3,1425)*(5-MIN(4,3+'5. Scenarios'!$E$8))/4+INDEX(BookQ4,1425)*(5-MIN(4,4+'5. Scenarios'!$E$8))/4)*'5. Scenarios'!$E$6/(1+ProductivityDefault*('5. Scenarios'!$E$11-1))+INDEX(BookOneOff,1425)*$S1430)</f>
        <v/>
      </c>
    </row>
    <row r="1431" customFormat="false" ht="15" hidden="false" customHeight="false" outlineLevel="0" collapsed="false">
      <c r="A1431" s="0" t="str">
        <f aca="false">IF(INDEX(BookTitle,1426)="","",INDEX(BookKey,1426))</f>
        <v/>
      </c>
      <c r="B1431" s="0" t="str">
        <f aca="false">IF(INDEX(BookTitle,1426)="","",INDEX(BookGroup,1426))</f>
        <v/>
      </c>
      <c r="C1431" s="0" t="str">
        <f aca="false">IF(INDEX(BookTitle,1426)="","",INDEX(BookCategory,1426))</f>
        <v/>
      </c>
      <c r="D1431" s="56" t="str">
        <f aca="false">IF(INDEX(BookTitle,1426)="","",INDEX(BookTotal,1426)*'5. Scenarios'!$B$6/(1+ProductivityDefault*('5. Scenarios'!$B$11-1)))</f>
        <v/>
      </c>
      <c r="E1431" s="57" t="str">
        <f aca="false">IF($D1431="","",INDEX(BookRate,1426)*(1+'5. Scenarios'!$B$10)*$D1431)</f>
        <v/>
      </c>
      <c r="F1431" s="57" t="str">
        <f aca="false">IF($E1431="","",SUMIFS($E$6:$E$2405,$A$6:$A$2405,"&lt;="&amp;$A1431))</f>
        <v/>
      </c>
      <c r="G1431" s="57" t="str">
        <f aca="false">IF($E1431="","",IF($F1431&lt;=BankCostEnvelope*'5. Scenarios'!$B$7,1,0))</f>
        <v/>
      </c>
      <c r="H1431" s="57" t="str">
        <f aca="false">IF($D1431="","",INDEX(BookRate,1426)*(1+'5. Scenarios'!$B$10)*(INDEX(BookQ1,1426)*(5-MIN(4,1+'5. Scenarios'!$B$8))/4+INDEX(BookQ2,1426)*(5-MIN(4,2+'5. Scenarios'!$B$8))/4+INDEX(BookQ3,1426)*(5-MIN(4,3+'5. Scenarios'!$B$8))/4+INDEX(BookQ4,1426)*(5-MIN(4,4+'5. Scenarios'!$B$8))/4)*'5. Scenarios'!$B$6/(1+ProductivityDefault*('5. Scenarios'!$B$11-1))+INDEX(BookOneOff,1426)*$D1431)</f>
        <v/>
      </c>
      <c r="I1431" s="56" t="str">
        <f aca="false">IF(INDEX(BookTitle,1426)="","",INDEX(BookTotal,1426)*'5. Scenarios'!$C$6/(1+ProductivityDefault*('5. Scenarios'!$C$11-1)))</f>
        <v/>
      </c>
      <c r="J1431" s="57" t="str">
        <f aca="false">IF($I1431="","",INDEX(BookRate,1426)*(1+'5. Scenarios'!$C$10)*$I1431)</f>
        <v/>
      </c>
      <c r="K1431" s="57" t="str">
        <f aca="false">IF($J1431="","",SUMIFS($J$6:$J$2405,$A$6:$A$2405,"&lt;="&amp;$A1431))</f>
        <v/>
      </c>
      <c r="L1431" s="57" t="str">
        <f aca="false">IF($J1431="","",IF($K1431&lt;=BankCostEnvelope*'5. Scenarios'!$C$7,1,0))</f>
        <v/>
      </c>
      <c r="M1431" s="57" t="str">
        <f aca="false">IF($I1431="","",INDEX(BookRate,1426)*(1+'5. Scenarios'!$C$10)*(INDEX(BookQ1,1426)*(5-MIN(4,1+'5. Scenarios'!$C$8))/4+INDEX(BookQ2,1426)*(5-MIN(4,2+'5. Scenarios'!$C$8))/4+INDEX(BookQ3,1426)*(5-MIN(4,3+'5. Scenarios'!$C$8))/4+INDEX(BookQ4,1426)*(5-MIN(4,4+'5. Scenarios'!$C$8))/4)*'5. Scenarios'!$C$6/(1+ProductivityDefault*('5. Scenarios'!$C$11-1))+INDEX(BookOneOff,1426)*$I1431)</f>
        <v/>
      </c>
      <c r="N1431" s="56" t="str">
        <f aca="false">IF(INDEX(BookTitle,1426)="","",INDEX(BookTotal,1426)*'5. Scenarios'!$D$6/(1+ProductivityDefault*('5. Scenarios'!$D$11-1)))</f>
        <v/>
      </c>
      <c r="O1431" s="57" t="str">
        <f aca="false">IF($N1431="","",INDEX(BookRate,1426)*(1+'5. Scenarios'!$D$10)*$N1431)</f>
        <v/>
      </c>
      <c r="P1431" s="57" t="str">
        <f aca="false">IF($O1431="","",SUMIFS($O$6:$O$2405,$A$6:$A$2405,"&lt;="&amp;$A1431))</f>
        <v/>
      </c>
      <c r="Q1431" s="57" t="str">
        <f aca="false">IF($O1431="","",IF($P1431&lt;=BankCostEnvelope*'5. Scenarios'!$D$7,1,0))</f>
        <v/>
      </c>
      <c r="R1431" s="57" t="str">
        <f aca="false">IF($N1431="","",INDEX(BookRate,1426)*(1+'5. Scenarios'!$D$10)*(INDEX(BookQ1,1426)*(5-MIN(4,1+'5. Scenarios'!$D$8))/4+INDEX(BookQ2,1426)*(5-MIN(4,2+'5. Scenarios'!$D$8))/4+INDEX(BookQ3,1426)*(5-MIN(4,3+'5. Scenarios'!$D$8))/4+INDEX(BookQ4,1426)*(5-MIN(4,4+'5. Scenarios'!$D$8))/4)*'5. Scenarios'!$D$6/(1+ProductivityDefault*('5. Scenarios'!$D$11-1))+INDEX(BookOneOff,1426)*$N1431)</f>
        <v/>
      </c>
      <c r="S1431" s="56" t="str">
        <f aca="false">IF(INDEX(BookTitle,1426)="","",INDEX(BookTotal,1426)*'5. Scenarios'!$E$6/(1+ProductivityDefault*('5. Scenarios'!$E$11-1)))</f>
        <v/>
      </c>
      <c r="T1431" s="57" t="str">
        <f aca="false">IF($S1431="","",INDEX(BookRate,1426)*(1+'5. Scenarios'!$E$10)*$S1431)</f>
        <v/>
      </c>
      <c r="U1431" s="57" t="str">
        <f aca="false">IF($T1431="","",SUMIFS($T$6:$T$2405,$A$6:$A$2405,"&lt;="&amp;$A1431))</f>
        <v/>
      </c>
      <c r="V1431" s="57" t="str">
        <f aca="false">IF($T1431="","",IF($U1431&lt;=BankCostEnvelope*'5. Scenarios'!$E$7,1,0))</f>
        <v/>
      </c>
      <c r="W1431" s="57" t="str">
        <f aca="false">IF($S1431="","",INDEX(BookRate,1426)*(1+'5. Scenarios'!$E$10)*(INDEX(BookQ1,1426)*(5-MIN(4,1+'5. Scenarios'!$E$8))/4+INDEX(BookQ2,1426)*(5-MIN(4,2+'5. Scenarios'!$E$8))/4+INDEX(BookQ3,1426)*(5-MIN(4,3+'5. Scenarios'!$E$8))/4+INDEX(BookQ4,1426)*(5-MIN(4,4+'5. Scenarios'!$E$8))/4)*'5. Scenarios'!$E$6/(1+ProductivityDefault*('5. Scenarios'!$E$11-1))+INDEX(BookOneOff,1426)*$S1431)</f>
        <v/>
      </c>
    </row>
    <row r="1432" customFormat="false" ht="15" hidden="false" customHeight="false" outlineLevel="0" collapsed="false">
      <c r="A1432" s="0" t="str">
        <f aca="false">IF(INDEX(BookTitle,1427)="","",INDEX(BookKey,1427))</f>
        <v/>
      </c>
      <c r="B1432" s="0" t="str">
        <f aca="false">IF(INDEX(BookTitle,1427)="","",INDEX(BookGroup,1427))</f>
        <v/>
      </c>
      <c r="C1432" s="0" t="str">
        <f aca="false">IF(INDEX(BookTitle,1427)="","",INDEX(BookCategory,1427))</f>
        <v/>
      </c>
      <c r="D1432" s="56" t="str">
        <f aca="false">IF(INDEX(BookTitle,1427)="","",INDEX(BookTotal,1427)*'5. Scenarios'!$B$6/(1+ProductivityDefault*('5. Scenarios'!$B$11-1)))</f>
        <v/>
      </c>
      <c r="E1432" s="57" t="str">
        <f aca="false">IF($D1432="","",INDEX(BookRate,1427)*(1+'5. Scenarios'!$B$10)*$D1432)</f>
        <v/>
      </c>
      <c r="F1432" s="57" t="str">
        <f aca="false">IF($E1432="","",SUMIFS($E$6:$E$2405,$A$6:$A$2405,"&lt;="&amp;$A1432))</f>
        <v/>
      </c>
      <c r="G1432" s="57" t="str">
        <f aca="false">IF($E1432="","",IF($F1432&lt;=BankCostEnvelope*'5. Scenarios'!$B$7,1,0))</f>
        <v/>
      </c>
      <c r="H1432" s="57" t="str">
        <f aca="false">IF($D1432="","",INDEX(BookRate,1427)*(1+'5. Scenarios'!$B$10)*(INDEX(BookQ1,1427)*(5-MIN(4,1+'5. Scenarios'!$B$8))/4+INDEX(BookQ2,1427)*(5-MIN(4,2+'5. Scenarios'!$B$8))/4+INDEX(BookQ3,1427)*(5-MIN(4,3+'5. Scenarios'!$B$8))/4+INDEX(BookQ4,1427)*(5-MIN(4,4+'5. Scenarios'!$B$8))/4)*'5. Scenarios'!$B$6/(1+ProductivityDefault*('5. Scenarios'!$B$11-1))+INDEX(BookOneOff,1427)*$D1432)</f>
        <v/>
      </c>
      <c r="I1432" s="56" t="str">
        <f aca="false">IF(INDEX(BookTitle,1427)="","",INDEX(BookTotal,1427)*'5. Scenarios'!$C$6/(1+ProductivityDefault*('5. Scenarios'!$C$11-1)))</f>
        <v/>
      </c>
      <c r="J1432" s="57" t="str">
        <f aca="false">IF($I1432="","",INDEX(BookRate,1427)*(1+'5. Scenarios'!$C$10)*$I1432)</f>
        <v/>
      </c>
      <c r="K1432" s="57" t="str">
        <f aca="false">IF($J1432="","",SUMIFS($J$6:$J$2405,$A$6:$A$2405,"&lt;="&amp;$A1432))</f>
        <v/>
      </c>
      <c r="L1432" s="57" t="str">
        <f aca="false">IF($J1432="","",IF($K1432&lt;=BankCostEnvelope*'5. Scenarios'!$C$7,1,0))</f>
        <v/>
      </c>
      <c r="M1432" s="57" t="str">
        <f aca="false">IF($I1432="","",INDEX(BookRate,1427)*(1+'5. Scenarios'!$C$10)*(INDEX(BookQ1,1427)*(5-MIN(4,1+'5. Scenarios'!$C$8))/4+INDEX(BookQ2,1427)*(5-MIN(4,2+'5. Scenarios'!$C$8))/4+INDEX(BookQ3,1427)*(5-MIN(4,3+'5. Scenarios'!$C$8))/4+INDEX(BookQ4,1427)*(5-MIN(4,4+'5. Scenarios'!$C$8))/4)*'5. Scenarios'!$C$6/(1+ProductivityDefault*('5. Scenarios'!$C$11-1))+INDEX(BookOneOff,1427)*$I1432)</f>
        <v/>
      </c>
      <c r="N1432" s="56" t="str">
        <f aca="false">IF(INDEX(BookTitle,1427)="","",INDEX(BookTotal,1427)*'5. Scenarios'!$D$6/(1+ProductivityDefault*('5. Scenarios'!$D$11-1)))</f>
        <v/>
      </c>
      <c r="O1432" s="57" t="str">
        <f aca="false">IF($N1432="","",INDEX(BookRate,1427)*(1+'5. Scenarios'!$D$10)*$N1432)</f>
        <v/>
      </c>
      <c r="P1432" s="57" t="str">
        <f aca="false">IF($O1432="","",SUMIFS($O$6:$O$2405,$A$6:$A$2405,"&lt;="&amp;$A1432))</f>
        <v/>
      </c>
      <c r="Q1432" s="57" t="str">
        <f aca="false">IF($O1432="","",IF($P1432&lt;=BankCostEnvelope*'5. Scenarios'!$D$7,1,0))</f>
        <v/>
      </c>
      <c r="R1432" s="57" t="str">
        <f aca="false">IF($N1432="","",INDEX(BookRate,1427)*(1+'5. Scenarios'!$D$10)*(INDEX(BookQ1,1427)*(5-MIN(4,1+'5. Scenarios'!$D$8))/4+INDEX(BookQ2,1427)*(5-MIN(4,2+'5. Scenarios'!$D$8))/4+INDEX(BookQ3,1427)*(5-MIN(4,3+'5. Scenarios'!$D$8))/4+INDEX(BookQ4,1427)*(5-MIN(4,4+'5. Scenarios'!$D$8))/4)*'5. Scenarios'!$D$6/(1+ProductivityDefault*('5. Scenarios'!$D$11-1))+INDEX(BookOneOff,1427)*$N1432)</f>
        <v/>
      </c>
      <c r="S1432" s="56" t="str">
        <f aca="false">IF(INDEX(BookTitle,1427)="","",INDEX(BookTotal,1427)*'5. Scenarios'!$E$6/(1+ProductivityDefault*('5. Scenarios'!$E$11-1)))</f>
        <v/>
      </c>
      <c r="T1432" s="57" t="str">
        <f aca="false">IF($S1432="","",INDEX(BookRate,1427)*(1+'5. Scenarios'!$E$10)*$S1432)</f>
        <v/>
      </c>
      <c r="U1432" s="57" t="str">
        <f aca="false">IF($T1432="","",SUMIFS($T$6:$T$2405,$A$6:$A$2405,"&lt;="&amp;$A1432))</f>
        <v/>
      </c>
      <c r="V1432" s="57" t="str">
        <f aca="false">IF($T1432="","",IF($U1432&lt;=BankCostEnvelope*'5. Scenarios'!$E$7,1,0))</f>
        <v/>
      </c>
      <c r="W1432" s="57" t="str">
        <f aca="false">IF($S1432="","",INDEX(BookRate,1427)*(1+'5. Scenarios'!$E$10)*(INDEX(BookQ1,1427)*(5-MIN(4,1+'5. Scenarios'!$E$8))/4+INDEX(BookQ2,1427)*(5-MIN(4,2+'5. Scenarios'!$E$8))/4+INDEX(BookQ3,1427)*(5-MIN(4,3+'5. Scenarios'!$E$8))/4+INDEX(BookQ4,1427)*(5-MIN(4,4+'5. Scenarios'!$E$8))/4)*'5. Scenarios'!$E$6/(1+ProductivityDefault*('5. Scenarios'!$E$11-1))+INDEX(BookOneOff,1427)*$S1432)</f>
        <v/>
      </c>
    </row>
    <row r="1433" customFormat="false" ht="15" hidden="false" customHeight="false" outlineLevel="0" collapsed="false">
      <c r="A1433" s="0" t="str">
        <f aca="false">IF(INDEX(BookTitle,1428)="","",INDEX(BookKey,1428))</f>
        <v/>
      </c>
      <c r="B1433" s="0" t="str">
        <f aca="false">IF(INDEX(BookTitle,1428)="","",INDEX(BookGroup,1428))</f>
        <v/>
      </c>
      <c r="C1433" s="0" t="str">
        <f aca="false">IF(INDEX(BookTitle,1428)="","",INDEX(BookCategory,1428))</f>
        <v/>
      </c>
      <c r="D1433" s="56" t="str">
        <f aca="false">IF(INDEX(BookTitle,1428)="","",INDEX(BookTotal,1428)*'5. Scenarios'!$B$6/(1+ProductivityDefault*('5. Scenarios'!$B$11-1)))</f>
        <v/>
      </c>
      <c r="E1433" s="57" t="str">
        <f aca="false">IF($D1433="","",INDEX(BookRate,1428)*(1+'5. Scenarios'!$B$10)*$D1433)</f>
        <v/>
      </c>
      <c r="F1433" s="57" t="str">
        <f aca="false">IF($E1433="","",SUMIFS($E$6:$E$2405,$A$6:$A$2405,"&lt;="&amp;$A1433))</f>
        <v/>
      </c>
      <c r="G1433" s="57" t="str">
        <f aca="false">IF($E1433="","",IF($F1433&lt;=BankCostEnvelope*'5. Scenarios'!$B$7,1,0))</f>
        <v/>
      </c>
      <c r="H1433" s="57" t="str">
        <f aca="false">IF($D1433="","",INDEX(BookRate,1428)*(1+'5. Scenarios'!$B$10)*(INDEX(BookQ1,1428)*(5-MIN(4,1+'5. Scenarios'!$B$8))/4+INDEX(BookQ2,1428)*(5-MIN(4,2+'5. Scenarios'!$B$8))/4+INDEX(BookQ3,1428)*(5-MIN(4,3+'5. Scenarios'!$B$8))/4+INDEX(BookQ4,1428)*(5-MIN(4,4+'5. Scenarios'!$B$8))/4)*'5. Scenarios'!$B$6/(1+ProductivityDefault*('5. Scenarios'!$B$11-1))+INDEX(BookOneOff,1428)*$D1433)</f>
        <v/>
      </c>
      <c r="I1433" s="56" t="str">
        <f aca="false">IF(INDEX(BookTitle,1428)="","",INDEX(BookTotal,1428)*'5. Scenarios'!$C$6/(1+ProductivityDefault*('5. Scenarios'!$C$11-1)))</f>
        <v/>
      </c>
      <c r="J1433" s="57" t="str">
        <f aca="false">IF($I1433="","",INDEX(BookRate,1428)*(1+'5. Scenarios'!$C$10)*$I1433)</f>
        <v/>
      </c>
      <c r="K1433" s="57" t="str">
        <f aca="false">IF($J1433="","",SUMIFS($J$6:$J$2405,$A$6:$A$2405,"&lt;="&amp;$A1433))</f>
        <v/>
      </c>
      <c r="L1433" s="57" t="str">
        <f aca="false">IF($J1433="","",IF($K1433&lt;=BankCostEnvelope*'5. Scenarios'!$C$7,1,0))</f>
        <v/>
      </c>
      <c r="M1433" s="57" t="str">
        <f aca="false">IF($I1433="","",INDEX(BookRate,1428)*(1+'5. Scenarios'!$C$10)*(INDEX(BookQ1,1428)*(5-MIN(4,1+'5. Scenarios'!$C$8))/4+INDEX(BookQ2,1428)*(5-MIN(4,2+'5. Scenarios'!$C$8))/4+INDEX(BookQ3,1428)*(5-MIN(4,3+'5. Scenarios'!$C$8))/4+INDEX(BookQ4,1428)*(5-MIN(4,4+'5. Scenarios'!$C$8))/4)*'5. Scenarios'!$C$6/(1+ProductivityDefault*('5. Scenarios'!$C$11-1))+INDEX(BookOneOff,1428)*$I1433)</f>
        <v/>
      </c>
      <c r="N1433" s="56" t="str">
        <f aca="false">IF(INDEX(BookTitle,1428)="","",INDEX(BookTotal,1428)*'5. Scenarios'!$D$6/(1+ProductivityDefault*('5. Scenarios'!$D$11-1)))</f>
        <v/>
      </c>
      <c r="O1433" s="57" t="str">
        <f aca="false">IF($N1433="","",INDEX(BookRate,1428)*(1+'5. Scenarios'!$D$10)*$N1433)</f>
        <v/>
      </c>
      <c r="P1433" s="57" t="str">
        <f aca="false">IF($O1433="","",SUMIFS($O$6:$O$2405,$A$6:$A$2405,"&lt;="&amp;$A1433))</f>
        <v/>
      </c>
      <c r="Q1433" s="57" t="str">
        <f aca="false">IF($O1433="","",IF($P1433&lt;=BankCostEnvelope*'5. Scenarios'!$D$7,1,0))</f>
        <v/>
      </c>
      <c r="R1433" s="57" t="str">
        <f aca="false">IF($N1433="","",INDEX(BookRate,1428)*(1+'5. Scenarios'!$D$10)*(INDEX(BookQ1,1428)*(5-MIN(4,1+'5. Scenarios'!$D$8))/4+INDEX(BookQ2,1428)*(5-MIN(4,2+'5. Scenarios'!$D$8))/4+INDEX(BookQ3,1428)*(5-MIN(4,3+'5. Scenarios'!$D$8))/4+INDEX(BookQ4,1428)*(5-MIN(4,4+'5. Scenarios'!$D$8))/4)*'5. Scenarios'!$D$6/(1+ProductivityDefault*('5. Scenarios'!$D$11-1))+INDEX(BookOneOff,1428)*$N1433)</f>
        <v/>
      </c>
      <c r="S1433" s="56" t="str">
        <f aca="false">IF(INDEX(BookTitle,1428)="","",INDEX(BookTotal,1428)*'5. Scenarios'!$E$6/(1+ProductivityDefault*('5. Scenarios'!$E$11-1)))</f>
        <v/>
      </c>
      <c r="T1433" s="57" t="str">
        <f aca="false">IF($S1433="","",INDEX(BookRate,1428)*(1+'5. Scenarios'!$E$10)*$S1433)</f>
        <v/>
      </c>
      <c r="U1433" s="57" t="str">
        <f aca="false">IF($T1433="","",SUMIFS($T$6:$T$2405,$A$6:$A$2405,"&lt;="&amp;$A1433))</f>
        <v/>
      </c>
      <c r="V1433" s="57" t="str">
        <f aca="false">IF($T1433="","",IF($U1433&lt;=BankCostEnvelope*'5. Scenarios'!$E$7,1,0))</f>
        <v/>
      </c>
      <c r="W1433" s="57" t="str">
        <f aca="false">IF($S1433="","",INDEX(BookRate,1428)*(1+'5. Scenarios'!$E$10)*(INDEX(BookQ1,1428)*(5-MIN(4,1+'5. Scenarios'!$E$8))/4+INDEX(BookQ2,1428)*(5-MIN(4,2+'5. Scenarios'!$E$8))/4+INDEX(BookQ3,1428)*(5-MIN(4,3+'5. Scenarios'!$E$8))/4+INDEX(BookQ4,1428)*(5-MIN(4,4+'5. Scenarios'!$E$8))/4)*'5. Scenarios'!$E$6/(1+ProductivityDefault*('5. Scenarios'!$E$11-1))+INDEX(BookOneOff,1428)*$S1433)</f>
        <v/>
      </c>
    </row>
    <row r="1434" customFormat="false" ht="15" hidden="false" customHeight="false" outlineLevel="0" collapsed="false">
      <c r="A1434" s="0" t="str">
        <f aca="false">IF(INDEX(BookTitle,1429)="","",INDEX(BookKey,1429))</f>
        <v/>
      </c>
      <c r="B1434" s="0" t="str">
        <f aca="false">IF(INDEX(BookTitle,1429)="","",INDEX(BookGroup,1429))</f>
        <v/>
      </c>
      <c r="C1434" s="0" t="str">
        <f aca="false">IF(INDEX(BookTitle,1429)="","",INDEX(BookCategory,1429))</f>
        <v/>
      </c>
      <c r="D1434" s="56" t="str">
        <f aca="false">IF(INDEX(BookTitle,1429)="","",INDEX(BookTotal,1429)*'5. Scenarios'!$B$6/(1+ProductivityDefault*('5. Scenarios'!$B$11-1)))</f>
        <v/>
      </c>
      <c r="E1434" s="57" t="str">
        <f aca="false">IF($D1434="","",INDEX(BookRate,1429)*(1+'5. Scenarios'!$B$10)*$D1434)</f>
        <v/>
      </c>
      <c r="F1434" s="57" t="str">
        <f aca="false">IF($E1434="","",SUMIFS($E$6:$E$2405,$A$6:$A$2405,"&lt;="&amp;$A1434))</f>
        <v/>
      </c>
      <c r="G1434" s="57" t="str">
        <f aca="false">IF($E1434="","",IF($F1434&lt;=BankCostEnvelope*'5. Scenarios'!$B$7,1,0))</f>
        <v/>
      </c>
      <c r="H1434" s="57" t="str">
        <f aca="false">IF($D1434="","",INDEX(BookRate,1429)*(1+'5. Scenarios'!$B$10)*(INDEX(BookQ1,1429)*(5-MIN(4,1+'5. Scenarios'!$B$8))/4+INDEX(BookQ2,1429)*(5-MIN(4,2+'5. Scenarios'!$B$8))/4+INDEX(BookQ3,1429)*(5-MIN(4,3+'5. Scenarios'!$B$8))/4+INDEX(BookQ4,1429)*(5-MIN(4,4+'5. Scenarios'!$B$8))/4)*'5. Scenarios'!$B$6/(1+ProductivityDefault*('5. Scenarios'!$B$11-1))+INDEX(BookOneOff,1429)*$D1434)</f>
        <v/>
      </c>
      <c r="I1434" s="56" t="str">
        <f aca="false">IF(INDEX(BookTitle,1429)="","",INDEX(BookTotal,1429)*'5. Scenarios'!$C$6/(1+ProductivityDefault*('5. Scenarios'!$C$11-1)))</f>
        <v/>
      </c>
      <c r="J1434" s="57" t="str">
        <f aca="false">IF($I1434="","",INDEX(BookRate,1429)*(1+'5. Scenarios'!$C$10)*$I1434)</f>
        <v/>
      </c>
      <c r="K1434" s="57" t="str">
        <f aca="false">IF($J1434="","",SUMIFS($J$6:$J$2405,$A$6:$A$2405,"&lt;="&amp;$A1434))</f>
        <v/>
      </c>
      <c r="L1434" s="57" t="str">
        <f aca="false">IF($J1434="","",IF($K1434&lt;=BankCostEnvelope*'5. Scenarios'!$C$7,1,0))</f>
        <v/>
      </c>
      <c r="M1434" s="57" t="str">
        <f aca="false">IF($I1434="","",INDEX(BookRate,1429)*(1+'5. Scenarios'!$C$10)*(INDEX(BookQ1,1429)*(5-MIN(4,1+'5. Scenarios'!$C$8))/4+INDEX(BookQ2,1429)*(5-MIN(4,2+'5. Scenarios'!$C$8))/4+INDEX(BookQ3,1429)*(5-MIN(4,3+'5. Scenarios'!$C$8))/4+INDEX(BookQ4,1429)*(5-MIN(4,4+'5. Scenarios'!$C$8))/4)*'5. Scenarios'!$C$6/(1+ProductivityDefault*('5. Scenarios'!$C$11-1))+INDEX(BookOneOff,1429)*$I1434)</f>
        <v/>
      </c>
      <c r="N1434" s="56" t="str">
        <f aca="false">IF(INDEX(BookTitle,1429)="","",INDEX(BookTotal,1429)*'5. Scenarios'!$D$6/(1+ProductivityDefault*('5. Scenarios'!$D$11-1)))</f>
        <v/>
      </c>
      <c r="O1434" s="57" t="str">
        <f aca="false">IF($N1434="","",INDEX(BookRate,1429)*(1+'5. Scenarios'!$D$10)*$N1434)</f>
        <v/>
      </c>
      <c r="P1434" s="57" t="str">
        <f aca="false">IF($O1434="","",SUMIFS($O$6:$O$2405,$A$6:$A$2405,"&lt;="&amp;$A1434))</f>
        <v/>
      </c>
      <c r="Q1434" s="57" t="str">
        <f aca="false">IF($O1434="","",IF($P1434&lt;=BankCostEnvelope*'5. Scenarios'!$D$7,1,0))</f>
        <v/>
      </c>
      <c r="R1434" s="57" t="str">
        <f aca="false">IF($N1434="","",INDEX(BookRate,1429)*(1+'5. Scenarios'!$D$10)*(INDEX(BookQ1,1429)*(5-MIN(4,1+'5. Scenarios'!$D$8))/4+INDEX(BookQ2,1429)*(5-MIN(4,2+'5. Scenarios'!$D$8))/4+INDEX(BookQ3,1429)*(5-MIN(4,3+'5. Scenarios'!$D$8))/4+INDEX(BookQ4,1429)*(5-MIN(4,4+'5. Scenarios'!$D$8))/4)*'5. Scenarios'!$D$6/(1+ProductivityDefault*('5. Scenarios'!$D$11-1))+INDEX(BookOneOff,1429)*$N1434)</f>
        <v/>
      </c>
      <c r="S1434" s="56" t="str">
        <f aca="false">IF(INDEX(BookTitle,1429)="","",INDEX(BookTotal,1429)*'5. Scenarios'!$E$6/(1+ProductivityDefault*('5. Scenarios'!$E$11-1)))</f>
        <v/>
      </c>
      <c r="T1434" s="57" t="str">
        <f aca="false">IF($S1434="","",INDEX(BookRate,1429)*(1+'5. Scenarios'!$E$10)*$S1434)</f>
        <v/>
      </c>
      <c r="U1434" s="57" t="str">
        <f aca="false">IF($T1434="","",SUMIFS($T$6:$T$2405,$A$6:$A$2405,"&lt;="&amp;$A1434))</f>
        <v/>
      </c>
      <c r="V1434" s="57" t="str">
        <f aca="false">IF($T1434="","",IF($U1434&lt;=BankCostEnvelope*'5. Scenarios'!$E$7,1,0))</f>
        <v/>
      </c>
      <c r="W1434" s="57" t="str">
        <f aca="false">IF($S1434="","",INDEX(BookRate,1429)*(1+'5. Scenarios'!$E$10)*(INDEX(BookQ1,1429)*(5-MIN(4,1+'5. Scenarios'!$E$8))/4+INDEX(BookQ2,1429)*(5-MIN(4,2+'5. Scenarios'!$E$8))/4+INDEX(BookQ3,1429)*(5-MIN(4,3+'5. Scenarios'!$E$8))/4+INDEX(BookQ4,1429)*(5-MIN(4,4+'5. Scenarios'!$E$8))/4)*'5. Scenarios'!$E$6/(1+ProductivityDefault*('5. Scenarios'!$E$11-1))+INDEX(BookOneOff,1429)*$S1434)</f>
        <v/>
      </c>
    </row>
    <row r="1435" customFormat="false" ht="15" hidden="false" customHeight="false" outlineLevel="0" collapsed="false">
      <c r="A1435" s="0" t="str">
        <f aca="false">IF(INDEX(BookTitle,1430)="","",INDEX(BookKey,1430))</f>
        <v/>
      </c>
      <c r="B1435" s="0" t="str">
        <f aca="false">IF(INDEX(BookTitle,1430)="","",INDEX(BookGroup,1430))</f>
        <v/>
      </c>
      <c r="C1435" s="0" t="str">
        <f aca="false">IF(INDEX(BookTitle,1430)="","",INDEX(BookCategory,1430))</f>
        <v/>
      </c>
      <c r="D1435" s="56" t="str">
        <f aca="false">IF(INDEX(BookTitle,1430)="","",INDEX(BookTotal,1430)*'5. Scenarios'!$B$6/(1+ProductivityDefault*('5. Scenarios'!$B$11-1)))</f>
        <v/>
      </c>
      <c r="E1435" s="57" t="str">
        <f aca="false">IF($D1435="","",INDEX(BookRate,1430)*(1+'5. Scenarios'!$B$10)*$D1435)</f>
        <v/>
      </c>
      <c r="F1435" s="57" t="str">
        <f aca="false">IF($E1435="","",SUMIFS($E$6:$E$2405,$A$6:$A$2405,"&lt;="&amp;$A1435))</f>
        <v/>
      </c>
      <c r="G1435" s="57" t="str">
        <f aca="false">IF($E1435="","",IF($F1435&lt;=BankCostEnvelope*'5. Scenarios'!$B$7,1,0))</f>
        <v/>
      </c>
      <c r="H1435" s="57" t="str">
        <f aca="false">IF($D1435="","",INDEX(BookRate,1430)*(1+'5. Scenarios'!$B$10)*(INDEX(BookQ1,1430)*(5-MIN(4,1+'5. Scenarios'!$B$8))/4+INDEX(BookQ2,1430)*(5-MIN(4,2+'5. Scenarios'!$B$8))/4+INDEX(BookQ3,1430)*(5-MIN(4,3+'5. Scenarios'!$B$8))/4+INDEX(BookQ4,1430)*(5-MIN(4,4+'5. Scenarios'!$B$8))/4)*'5. Scenarios'!$B$6/(1+ProductivityDefault*('5. Scenarios'!$B$11-1))+INDEX(BookOneOff,1430)*$D1435)</f>
        <v/>
      </c>
      <c r="I1435" s="56" t="str">
        <f aca="false">IF(INDEX(BookTitle,1430)="","",INDEX(BookTotal,1430)*'5. Scenarios'!$C$6/(1+ProductivityDefault*('5. Scenarios'!$C$11-1)))</f>
        <v/>
      </c>
      <c r="J1435" s="57" t="str">
        <f aca="false">IF($I1435="","",INDEX(BookRate,1430)*(1+'5. Scenarios'!$C$10)*$I1435)</f>
        <v/>
      </c>
      <c r="K1435" s="57" t="str">
        <f aca="false">IF($J1435="","",SUMIFS($J$6:$J$2405,$A$6:$A$2405,"&lt;="&amp;$A1435))</f>
        <v/>
      </c>
      <c r="L1435" s="57" t="str">
        <f aca="false">IF($J1435="","",IF($K1435&lt;=BankCostEnvelope*'5. Scenarios'!$C$7,1,0))</f>
        <v/>
      </c>
      <c r="M1435" s="57" t="str">
        <f aca="false">IF($I1435="","",INDEX(BookRate,1430)*(1+'5. Scenarios'!$C$10)*(INDEX(BookQ1,1430)*(5-MIN(4,1+'5. Scenarios'!$C$8))/4+INDEX(BookQ2,1430)*(5-MIN(4,2+'5. Scenarios'!$C$8))/4+INDEX(BookQ3,1430)*(5-MIN(4,3+'5. Scenarios'!$C$8))/4+INDEX(BookQ4,1430)*(5-MIN(4,4+'5. Scenarios'!$C$8))/4)*'5. Scenarios'!$C$6/(1+ProductivityDefault*('5. Scenarios'!$C$11-1))+INDEX(BookOneOff,1430)*$I1435)</f>
        <v/>
      </c>
      <c r="N1435" s="56" t="str">
        <f aca="false">IF(INDEX(BookTitle,1430)="","",INDEX(BookTotal,1430)*'5. Scenarios'!$D$6/(1+ProductivityDefault*('5. Scenarios'!$D$11-1)))</f>
        <v/>
      </c>
      <c r="O1435" s="57" t="str">
        <f aca="false">IF($N1435="","",INDEX(BookRate,1430)*(1+'5. Scenarios'!$D$10)*$N1435)</f>
        <v/>
      </c>
      <c r="P1435" s="57" t="str">
        <f aca="false">IF($O1435="","",SUMIFS($O$6:$O$2405,$A$6:$A$2405,"&lt;="&amp;$A1435))</f>
        <v/>
      </c>
      <c r="Q1435" s="57" t="str">
        <f aca="false">IF($O1435="","",IF($P1435&lt;=BankCostEnvelope*'5. Scenarios'!$D$7,1,0))</f>
        <v/>
      </c>
      <c r="R1435" s="57" t="str">
        <f aca="false">IF($N1435="","",INDEX(BookRate,1430)*(1+'5. Scenarios'!$D$10)*(INDEX(BookQ1,1430)*(5-MIN(4,1+'5. Scenarios'!$D$8))/4+INDEX(BookQ2,1430)*(5-MIN(4,2+'5. Scenarios'!$D$8))/4+INDEX(BookQ3,1430)*(5-MIN(4,3+'5. Scenarios'!$D$8))/4+INDEX(BookQ4,1430)*(5-MIN(4,4+'5. Scenarios'!$D$8))/4)*'5. Scenarios'!$D$6/(1+ProductivityDefault*('5. Scenarios'!$D$11-1))+INDEX(BookOneOff,1430)*$N1435)</f>
        <v/>
      </c>
      <c r="S1435" s="56" t="str">
        <f aca="false">IF(INDEX(BookTitle,1430)="","",INDEX(BookTotal,1430)*'5. Scenarios'!$E$6/(1+ProductivityDefault*('5. Scenarios'!$E$11-1)))</f>
        <v/>
      </c>
      <c r="T1435" s="57" t="str">
        <f aca="false">IF($S1435="","",INDEX(BookRate,1430)*(1+'5. Scenarios'!$E$10)*$S1435)</f>
        <v/>
      </c>
      <c r="U1435" s="57" t="str">
        <f aca="false">IF($T1435="","",SUMIFS($T$6:$T$2405,$A$6:$A$2405,"&lt;="&amp;$A1435))</f>
        <v/>
      </c>
      <c r="V1435" s="57" t="str">
        <f aca="false">IF($T1435="","",IF($U1435&lt;=BankCostEnvelope*'5. Scenarios'!$E$7,1,0))</f>
        <v/>
      </c>
      <c r="W1435" s="57" t="str">
        <f aca="false">IF($S1435="","",INDEX(BookRate,1430)*(1+'5. Scenarios'!$E$10)*(INDEX(BookQ1,1430)*(5-MIN(4,1+'5. Scenarios'!$E$8))/4+INDEX(BookQ2,1430)*(5-MIN(4,2+'5. Scenarios'!$E$8))/4+INDEX(BookQ3,1430)*(5-MIN(4,3+'5. Scenarios'!$E$8))/4+INDEX(BookQ4,1430)*(5-MIN(4,4+'5. Scenarios'!$E$8))/4)*'5. Scenarios'!$E$6/(1+ProductivityDefault*('5. Scenarios'!$E$11-1))+INDEX(BookOneOff,1430)*$S1435)</f>
        <v/>
      </c>
    </row>
    <row r="1436" customFormat="false" ht="15" hidden="false" customHeight="false" outlineLevel="0" collapsed="false">
      <c r="A1436" s="0" t="str">
        <f aca="false">IF(INDEX(BookTitle,1431)="","",INDEX(BookKey,1431))</f>
        <v/>
      </c>
      <c r="B1436" s="0" t="str">
        <f aca="false">IF(INDEX(BookTitle,1431)="","",INDEX(BookGroup,1431))</f>
        <v/>
      </c>
      <c r="C1436" s="0" t="str">
        <f aca="false">IF(INDEX(BookTitle,1431)="","",INDEX(BookCategory,1431))</f>
        <v/>
      </c>
      <c r="D1436" s="56" t="str">
        <f aca="false">IF(INDEX(BookTitle,1431)="","",INDEX(BookTotal,1431)*'5. Scenarios'!$B$6/(1+ProductivityDefault*('5. Scenarios'!$B$11-1)))</f>
        <v/>
      </c>
      <c r="E1436" s="57" t="str">
        <f aca="false">IF($D1436="","",INDEX(BookRate,1431)*(1+'5. Scenarios'!$B$10)*$D1436)</f>
        <v/>
      </c>
      <c r="F1436" s="57" t="str">
        <f aca="false">IF($E1436="","",SUMIFS($E$6:$E$2405,$A$6:$A$2405,"&lt;="&amp;$A1436))</f>
        <v/>
      </c>
      <c r="G1436" s="57" t="str">
        <f aca="false">IF($E1436="","",IF($F1436&lt;=BankCostEnvelope*'5. Scenarios'!$B$7,1,0))</f>
        <v/>
      </c>
      <c r="H1436" s="57" t="str">
        <f aca="false">IF($D1436="","",INDEX(BookRate,1431)*(1+'5. Scenarios'!$B$10)*(INDEX(BookQ1,1431)*(5-MIN(4,1+'5. Scenarios'!$B$8))/4+INDEX(BookQ2,1431)*(5-MIN(4,2+'5. Scenarios'!$B$8))/4+INDEX(BookQ3,1431)*(5-MIN(4,3+'5. Scenarios'!$B$8))/4+INDEX(BookQ4,1431)*(5-MIN(4,4+'5. Scenarios'!$B$8))/4)*'5. Scenarios'!$B$6/(1+ProductivityDefault*('5. Scenarios'!$B$11-1))+INDEX(BookOneOff,1431)*$D1436)</f>
        <v/>
      </c>
      <c r="I1436" s="56" t="str">
        <f aca="false">IF(INDEX(BookTitle,1431)="","",INDEX(BookTotal,1431)*'5. Scenarios'!$C$6/(1+ProductivityDefault*('5. Scenarios'!$C$11-1)))</f>
        <v/>
      </c>
      <c r="J1436" s="57" t="str">
        <f aca="false">IF($I1436="","",INDEX(BookRate,1431)*(1+'5. Scenarios'!$C$10)*$I1436)</f>
        <v/>
      </c>
      <c r="K1436" s="57" t="str">
        <f aca="false">IF($J1436="","",SUMIFS($J$6:$J$2405,$A$6:$A$2405,"&lt;="&amp;$A1436))</f>
        <v/>
      </c>
      <c r="L1436" s="57" t="str">
        <f aca="false">IF($J1436="","",IF($K1436&lt;=BankCostEnvelope*'5. Scenarios'!$C$7,1,0))</f>
        <v/>
      </c>
      <c r="M1436" s="57" t="str">
        <f aca="false">IF($I1436="","",INDEX(BookRate,1431)*(1+'5. Scenarios'!$C$10)*(INDEX(BookQ1,1431)*(5-MIN(4,1+'5. Scenarios'!$C$8))/4+INDEX(BookQ2,1431)*(5-MIN(4,2+'5. Scenarios'!$C$8))/4+INDEX(BookQ3,1431)*(5-MIN(4,3+'5. Scenarios'!$C$8))/4+INDEX(BookQ4,1431)*(5-MIN(4,4+'5. Scenarios'!$C$8))/4)*'5. Scenarios'!$C$6/(1+ProductivityDefault*('5. Scenarios'!$C$11-1))+INDEX(BookOneOff,1431)*$I1436)</f>
        <v/>
      </c>
      <c r="N1436" s="56" t="str">
        <f aca="false">IF(INDEX(BookTitle,1431)="","",INDEX(BookTotal,1431)*'5. Scenarios'!$D$6/(1+ProductivityDefault*('5. Scenarios'!$D$11-1)))</f>
        <v/>
      </c>
      <c r="O1436" s="57" t="str">
        <f aca="false">IF($N1436="","",INDEX(BookRate,1431)*(1+'5. Scenarios'!$D$10)*$N1436)</f>
        <v/>
      </c>
      <c r="P1436" s="57" t="str">
        <f aca="false">IF($O1436="","",SUMIFS($O$6:$O$2405,$A$6:$A$2405,"&lt;="&amp;$A1436))</f>
        <v/>
      </c>
      <c r="Q1436" s="57" t="str">
        <f aca="false">IF($O1436="","",IF($P1436&lt;=BankCostEnvelope*'5. Scenarios'!$D$7,1,0))</f>
        <v/>
      </c>
      <c r="R1436" s="57" t="str">
        <f aca="false">IF($N1436="","",INDEX(BookRate,1431)*(1+'5. Scenarios'!$D$10)*(INDEX(BookQ1,1431)*(5-MIN(4,1+'5. Scenarios'!$D$8))/4+INDEX(BookQ2,1431)*(5-MIN(4,2+'5. Scenarios'!$D$8))/4+INDEX(BookQ3,1431)*(5-MIN(4,3+'5. Scenarios'!$D$8))/4+INDEX(BookQ4,1431)*(5-MIN(4,4+'5. Scenarios'!$D$8))/4)*'5. Scenarios'!$D$6/(1+ProductivityDefault*('5. Scenarios'!$D$11-1))+INDEX(BookOneOff,1431)*$N1436)</f>
        <v/>
      </c>
      <c r="S1436" s="56" t="str">
        <f aca="false">IF(INDEX(BookTitle,1431)="","",INDEX(BookTotal,1431)*'5. Scenarios'!$E$6/(1+ProductivityDefault*('5. Scenarios'!$E$11-1)))</f>
        <v/>
      </c>
      <c r="T1436" s="57" t="str">
        <f aca="false">IF($S1436="","",INDEX(BookRate,1431)*(1+'5. Scenarios'!$E$10)*$S1436)</f>
        <v/>
      </c>
      <c r="U1436" s="57" t="str">
        <f aca="false">IF($T1436="","",SUMIFS($T$6:$T$2405,$A$6:$A$2405,"&lt;="&amp;$A1436))</f>
        <v/>
      </c>
      <c r="V1436" s="57" t="str">
        <f aca="false">IF($T1436="","",IF($U1436&lt;=BankCostEnvelope*'5. Scenarios'!$E$7,1,0))</f>
        <v/>
      </c>
      <c r="W1436" s="57" t="str">
        <f aca="false">IF($S1436="","",INDEX(BookRate,1431)*(1+'5. Scenarios'!$E$10)*(INDEX(BookQ1,1431)*(5-MIN(4,1+'5. Scenarios'!$E$8))/4+INDEX(BookQ2,1431)*(5-MIN(4,2+'5. Scenarios'!$E$8))/4+INDEX(BookQ3,1431)*(5-MIN(4,3+'5. Scenarios'!$E$8))/4+INDEX(BookQ4,1431)*(5-MIN(4,4+'5. Scenarios'!$E$8))/4)*'5. Scenarios'!$E$6/(1+ProductivityDefault*('5. Scenarios'!$E$11-1))+INDEX(BookOneOff,1431)*$S1436)</f>
        <v/>
      </c>
    </row>
    <row r="1437" customFormat="false" ht="15" hidden="false" customHeight="false" outlineLevel="0" collapsed="false">
      <c r="A1437" s="0" t="str">
        <f aca="false">IF(INDEX(BookTitle,1432)="","",INDEX(BookKey,1432))</f>
        <v/>
      </c>
      <c r="B1437" s="0" t="str">
        <f aca="false">IF(INDEX(BookTitle,1432)="","",INDEX(BookGroup,1432))</f>
        <v/>
      </c>
      <c r="C1437" s="0" t="str">
        <f aca="false">IF(INDEX(BookTitle,1432)="","",INDEX(BookCategory,1432))</f>
        <v/>
      </c>
      <c r="D1437" s="56" t="str">
        <f aca="false">IF(INDEX(BookTitle,1432)="","",INDEX(BookTotal,1432)*'5. Scenarios'!$B$6/(1+ProductivityDefault*('5. Scenarios'!$B$11-1)))</f>
        <v/>
      </c>
      <c r="E1437" s="57" t="str">
        <f aca="false">IF($D1437="","",INDEX(BookRate,1432)*(1+'5. Scenarios'!$B$10)*$D1437)</f>
        <v/>
      </c>
      <c r="F1437" s="57" t="str">
        <f aca="false">IF($E1437="","",SUMIFS($E$6:$E$2405,$A$6:$A$2405,"&lt;="&amp;$A1437))</f>
        <v/>
      </c>
      <c r="G1437" s="57" t="str">
        <f aca="false">IF($E1437="","",IF($F1437&lt;=BankCostEnvelope*'5. Scenarios'!$B$7,1,0))</f>
        <v/>
      </c>
      <c r="H1437" s="57" t="str">
        <f aca="false">IF($D1437="","",INDEX(BookRate,1432)*(1+'5. Scenarios'!$B$10)*(INDEX(BookQ1,1432)*(5-MIN(4,1+'5. Scenarios'!$B$8))/4+INDEX(BookQ2,1432)*(5-MIN(4,2+'5. Scenarios'!$B$8))/4+INDEX(BookQ3,1432)*(5-MIN(4,3+'5. Scenarios'!$B$8))/4+INDEX(BookQ4,1432)*(5-MIN(4,4+'5. Scenarios'!$B$8))/4)*'5. Scenarios'!$B$6/(1+ProductivityDefault*('5. Scenarios'!$B$11-1))+INDEX(BookOneOff,1432)*$D1437)</f>
        <v/>
      </c>
      <c r="I1437" s="56" t="str">
        <f aca="false">IF(INDEX(BookTitle,1432)="","",INDEX(BookTotal,1432)*'5. Scenarios'!$C$6/(1+ProductivityDefault*('5. Scenarios'!$C$11-1)))</f>
        <v/>
      </c>
      <c r="J1437" s="57" t="str">
        <f aca="false">IF($I1437="","",INDEX(BookRate,1432)*(1+'5. Scenarios'!$C$10)*$I1437)</f>
        <v/>
      </c>
      <c r="K1437" s="57" t="str">
        <f aca="false">IF($J1437="","",SUMIFS($J$6:$J$2405,$A$6:$A$2405,"&lt;="&amp;$A1437))</f>
        <v/>
      </c>
      <c r="L1437" s="57" t="str">
        <f aca="false">IF($J1437="","",IF($K1437&lt;=BankCostEnvelope*'5. Scenarios'!$C$7,1,0))</f>
        <v/>
      </c>
      <c r="M1437" s="57" t="str">
        <f aca="false">IF($I1437="","",INDEX(BookRate,1432)*(1+'5. Scenarios'!$C$10)*(INDEX(BookQ1,1432)*(5-MIN(4,1+'5. Scenarios'!$C$8))/4+INDEX(BookQ2,1432)*(5-MIN(4,2+'5. Scenarios'!$C$8))/4+INDEX(BookQ3,1432)*(5-MIN(4,3+'5. Scenarios'!$C$8))/4+INDEX(BookQ4,1432)*(5-MIN(4,4+'5. Scenarios'!$C$8))/4)*'5. Scenarios'!$C$6/(1+ProductivityDefault*('5. Scenarios'!$C$11-1))+INDEX(BookOneOff,1432)*$I1437)</f>
        <v/>
      </c>
      <c r="N1437" s="56" t="str">
        <f aca="false">IF(INDEX(BookTitle,1432)="","",INDEX(BookTotal,1432)*'5. Scenarios'!$D$6/(1+ProductivityDefault*('5. Scenarios'!$D$11-1)))</f>
        <v/>
      </c>
      <c r="O1437" s="57" t="str">
        <f aca="false">IF($N1437="","",INDEX(BookRate,1432)*(1+'5. Scenarios'!$D$10)*$N1437)</f>
        <v/>
      </c>
      <c r="P1437" s="57" t="str">
        <f aca="false">IF($O1437="","",SUMIFS($O$6:$O$2405,$A$6:$A$2405,"&lt;="&amp;$A1437))</f>
        <v/>
      </c>
      <c r="Q1437" s="57" t="str">
        <f aca="false">IF($O1437="","",IF($P1437&lt;=BankCostEnvelope*'5. Scenarios'!$D$7,1,0))</f>
        <v/>
      </c>
      <c r="R1437" s="57" t="str">
        <f aca="false">IF($N1437="","",INDEX(BookRate,1432)*(1+'5. Scenarios'!$D$10)*(INDEX(BookQ1,1432)*(5-MIN(4,1+'5. Scenarios'!$D$8))/4+INDEX(BookQ2,1432)*(5-MIN(4,2+'5. Scenarios'!$D$8))/4+INDEX(BookQ3,1432)*(5-MIN(4,3+'5. Scenarios'!$D$8))/4+INDEX(BookQ4,1432)*(5-MIN(4,4+'5. Scenarios'!$D$8))/4)*'5. Scenarios'!$D$6/(1+ProductivityDefault*('5. Scenarios'!$D$11-1))+INDEX(BookOneOff,1432)*$N1437)</f>
        <v/>
      </c>
      <c r="S1437" s="56" t="str">
        <f aca="false">IF(INDEX(BookTitle,1432)="","",INDEX(BookTotal,1432)*'5. Scenarios'!$E$6/(1+ProductivityDefault*('5. Scenarios'!$E$11-1)))</f>
        <v/>
      </c>
      <c r="T1437" s="57" t="str">
        <f aca="false">IF($S1437="","",INDEX(BookRate,1432)*(1+'5. Scenarios'!$E$10)*$S1437)</f>
        <v/>
      </c>
      <c r="U1437" s="57" t="str">
        <f aca="false">IF($T1437="","",SUMIFS($T$6:$T$2405,$A$6:$A$2405,"&lt;="&amp;$A1437))</f>
        <v/>
      </c>
      <c r="V1437" s="57" t="str">
        <f aca="false">IF($T1437="","",IF($U1437&lt;=BankCostEnvelope*'5. Scenarios'!$E$7,1,0))</f>
        <v/>
      </c>
      <c r="W1437" s="57" t="str">
        <f aca="false">IF($S1437="","",INDEX(BookRate,1432)*(1+'5. Scenarios'!$E$10)*(INDEX(BookQ1,1432)*(5-MIN(4,1+'5. Scenarios'!$E$8))/4+INDEX(BookQ2,1432)*(5-MIN(4,2+'5. Scenarios'!$E$8))/4+INDEX(BookQ3,1432)*(5-MIN(4,3+'5. Scenarios'!$E$8))/4+INDEX(BookQ4,1432)*(5-MIN(4,4+'5. Scenarios'!$E$8))/4)*'5. Scenarios'!$E$6/(1+ProductivityDefault*('5. Scenarios'!$E$11-1))+INDEX(BookOneOff,1432)*$S1437)</f>
        <v/>
      </c>
    </row>
    <row r="1438" customFormat="false" ht="15" hidden="false" customHeight="false" outlineLevel="0" collapsed="false">
      <c r="A1438" s="0" t="str">
        <f aca="false">IF(INDEX(BookTitle,1433)="","",INDEX(BookKey,1433))</f>
        <v/>
      </c>
      <c r="B1438" s="0" t="str">
        <f aca="false">IF(INDEX(BookTitle,1433)="","",INDEX(BookGroup,1433))</f>
        <v/>
      </c>
      <c r="C1438" s="0" t="str">
        <f aca="false">IF(INDEX(BookTitle,1433)="","",INDEX(BookCategory,1433))</f>
        <v/>
      </c>
      <c r="D1438" s="56" t="str">
        <f aca="false">IF(INDEX(BookTitle,1433)="","",INDEX(BookTotal,1433)*'5. Scenarios'!$B$6/(1+ProductivityDefault*('5. Scenarios'!$B$11-1)))</f>
        <v/>
      </c>
      <c r="E1438" s="57" t="str">
        <f aca="false">IF($D1438="","",INDEX(BookRate,1433)*(1+'5. Scenarios'!$B$10)*$D1438)</f>
        <v/>
      </c>
      <c r="F1438" s="57" t="str">
        <f aca="false">IF($E1438="","",SUMIFS($E$6:$E$2405,$A$6:$A$2405,"&lt;="&amp;$A1438))</f>
        <v/>
      </c>
      <c r="G1438" s="57" t="str">
        <f aca="false">IF($E1438="","",IF($F1438&lt;=BankCostEnvelope*'5. Scenarios'!$B$7,1,0))</f>
        <v/>
      </c>
      <c r="H1438" s="57" t="str">
        <f aca="false">IF($D1438="","",INDEX(BookRate,1433)*(1+'5. Scenarios'!$B$10)*(INDEX(BookQ1,1433)*(5-MIN(4,1+'5. Scenarios'!$B$8))/4+INDEX(BookQ2,1433)*(5-MIN(4,2+'5. Scenarios'!$B$8))/4+INDEX(BookQ3,1433)*(5-MIN(4,3+'5. Scenarios'!$B$8))/4+INDEX(BookQ4,1433)*(5-MIN(4,4+'5. Scenarios'!$B$8))/4)*'5. Scenarios'!$B$6/(1+ProductivityDefault*('5. Scenarios'!$B$11-1))+INDEX(BookOneOff,1433)*$D1438)</f>
        <v/>
      </c>
      <c r="I1438" s="56" t="str">
        <f aca="false">IF(INDEX(BookTitle,1433)="","",INDEX(BookTotal,1433)*'5. Scenarios'!$C$6/(1+ProductivityDefault*('5. Scenarios'!$C$11-1)))</f>
        <v/>
      </c>
      <c r="J1438" s="57" t="str">
        <f aca="false">IF($I1438="","",INDEX(BookRate,1433)*(1+'5. Scenarios'!$C$10)*$I1438)</f>
        <v/>
      </c>
      <c r="K1438" s="57" t="str">
        <f aca="false">IF($J1438="","",SUMIFS($J$6:$J$2405,$A$6:$A$2405,"&lt;="&amp;$A1438))</f>
        <v/>
      </c>
      <c r="L1438" s="57" t="str">
        <f aca="false">IF($J1438="","",IF($K1438&lt;=BankCostEnvelope*'5. Scenarios'!$C$7,1,0))</f>
        <v/>
      </c>
      <c r="M1438" s="57" t="str">
        <f aca="false">IF($I1438="","",INDEX(BookRate,1433)*(1+'5. Scenarios'!$C$10)*(INDEX(BookQ1,1433)*(5-MIN(4,1+'5. Scenarios'!$C$8))/4+INDEX(BookQ2,1433)*(5-MIN(4,2+'5. Scenarios'!$C$8))/4+INDEX(BookQ3,1433)*(5-MIN(4,3+'5. Scenarios'!$C$8))/4+INDEX(BookQ4,1433)*(5-MIN(4,4+'5. Scenarios'!$C$8))/4)*'5. Scenarios'!$C$6/(1+ProductivityDefault*('5. Scenarios'!$C$11-1))+INDEX(BookOneOff,1433)*$I1438)</f>
        <v/>
      </c>
      <c r="N1438" s="56" t="str">
        <f aca="false">IF(INDEX(BookTitle,1433)="","",INDEX(BookTotal,1433)*'5. Scenarios'!$D$6/(1+ProductivityDefault*('5. Scenarios'!$D$11-1)))</f>
        <v/>
      </c>
      <c r="O1438" s="57" t="str">
        <f aca="false">IF($N1438="","",INDEX(BookRate,1433)*(1+'5. Scenarios'!$D$10)*$N1438)</f>
        <v/>
      </c>
      <c r="P1438" s="57" t="str">
        <f aca="false">IF($O1438="","",SUMIFS($O$6:$O$2405,$A$6:$A$2405,"&lt;="&amp;$A1438))</f>
        <v/>
      </c>
      <c r="Q1438" s="57" t="str">
        <f aca="false">IF($O1438="","",IF($P1438&lt;=BankCostEnvelope*'5. Scenarios'!$D$7,1,0))</f>
        <v/>
      </c>
      <c r="R1438" s="57" t="str">
        <f aca="false">IF($N1438="","",INDEX(BookRate,1433)*(1+'5. Scenarios'!$D$10)*(INDEX(BookQ1,1433)*(5-MIN(4,1+'5. Scenarios'!$D$8))/4+INDEX(BookQ2,1433)*(5-MIN(4,2+'5. Scenarios'!$D$8))/4+INDEX(BookQ3,1433)*(5-MIN(4,3+'5. Scenarios'!$D$8))/4+INDEX(BookQ4,1433)*(5-MIN(4,4+'5. Scenarios'!$D$8))/4)*'5. Scenarios'!$D$6/(1+ProductivityDefault*('5. Scenarios'!$D$11-1))+INDEX(BookOneOff,1433)*$N1438)</f>
        <v/>
      </c>
      <c r="S1438" s="56" t="str">
        <f aca="false">IF(INDEX(BookTitle,1433)="","",INDEX(BookTotal,1433)*'5. Scenarios'!$E$6/(1+ProductivityDefault*('5. Scenarios'!$E$11-1)))</f>
        <v/>
      </c>
      <c r="T1438" s="57" t="str">
        <f aca="false">IF($S1438="","",INDEX(BookRate,1433)*(1+'5. Scenarios'!$E$10)*$S1438)</f>
        <v/>
      </c>
      <c r="U1438" s="57" t="str">
        <f aca="false">IF($T1438="","",SUMIFS($T$6:$T$2405,$A$6:$A$2405,"&lt;="&amp;$A1438))</f>
        <v/>
      </c>
      <c r="V1438" s="57" t="str">
        <f aca="false">IF($T1438="","",IF($U1438&lt;=BankCostEnvelope*'5. Scenarios'!$E$7,1,0))</f>
        <v/>
      </c>
      <c r="W1438" s="57" t="str">
        <f aca="false">IF($S1438="","",INDEX(BookRate,1433)*(1+'5. Scenarios'!$E$10)*(INDEX(BookQ1,1433)*(5-MIN(4,1+'5. Scenarios'!$E$8))/4+INDEX(BookQ2,1433)*(5-MIN(4,2+'5. Scenarios'!$E$8))/4+INDEX(BookQ3,1433)*(5-MIN(4,3+'5. Scenarios'!$E$8))/4+INDEX(BookQ4,1433)*(5-MIN(4,4+'5. Scenarios'!$E$8))/4)*'5. Scenarios'!$E$6/(1+ProductivityDefault*('5. Scenarios'!$E$11-1))+INDEX(BookOneOff,1433)*$S1438)</f>
        <v/>
      </c>
    </row>
    <row r="1439" customFormat="false" ht="15" hidden="false" customHeight="false" outlineLevel="0" collapsed="false">
      <c r="A1439" s="0" t="str">
        <f aca="false">IF(INDEX(BookTitle,1434)="","",INDEX(BookKey,1434))</f>
        <v/>
      </c>
      <c r="B1439" s="0" t="str">
        <f aca="false">IF(INDEX(BookTitle,1434)="","",INDEX(BookGroup,1434))</f>
        <v/>
      </c>
      <c r="C1439" s="0" t="str">
        <f aca="false">IF(INDEX(BookTitle,1434)="","",INDEX(BookCategory,1434))</f>
        <v/>
      </c>
      <c r="D1439" s="56" t="str">
        <f aca="false">IF(INDEX(BookTitle,1434)="","",INDEX(BookTotal,1434)*'5. Scenarios'!$B$6/(1+ProductivityDefault*('5. Scenarios'!$B$11-1)))</f>
        <v/>
      </c>
      <c r="E1439" s="57" t="str">
        <f aca="false">IF($D1439="","",INDEX(BookRate,1434)*(1+'5. Scenarios'!$B$10)*$D1439)</f>
        <v/>
      </c>
      <c r="F1439" s="57" t="str">
        <f aca="false">IF($E1439="","",SUMIFS($E$6:$E$2405,$A$6:$A$2405,"&lt;="&amp;$A1439))</f>
        <v/>
      </c>
      <c r="G1439" s="57" t="str">
        <f aca="false">IF($E1439="","",IF($F1439&lt;=BankCostEnvelope*'5. Scenarios'!$B$7,1,0))</f>
        <v/>
      </c>
      <c r="H1439" s="57" t="str">
        <f aca="false">IF($D1439="","",INDEX(BookRate,1434)*(1+'5. Scenarios'!$B$10)*(INDEX(BookQ1,1434)*(5-MIN(4,1+'5. Scenarios'!$B$8))/4+INDEX(BookQ2,1434)*(5-MIN(4,2+'5. Scenarios'!$B$8))/4+INDEX(BookQ3,1434)*(5-MIN(4,3+'5. Scenarios'!$B$8))/4+INDEX(BookQ4,1434)*(5-MIN(4,4+'5. Scenarios'!$B$8))/4)*'5. Scenarios'!$B$6/(1+ProductivityDefault*('5. Scenarios'!$B$11-1))+INDEX(BookOneOff,1434)*$D1439)</f>
        <v/>
      </c>
      <c r="I1439" s="56" t="str">
        <f aca="false">IF(INDEX(BookTitle,1434)="","",INDEX(BookTotal,1434)*'5. Scenarios'!$C$6/(1+ProductivityDefault*('5. Scenarios'!$C$11-1)))</f>
        <v/>
      </c>
      <c r="J1439" s="57" t="str">
        <f aca="false">IF($I1439="","",INDEX(BookRate,1434)*(1+'5. Scenarios'!$C$10)*$I1439)</f>
        <v/>
      </c>
      <c r="K1439" s="57" t="str">
        <f aca="false">IF($J1439="","",SUMIFS($J$6:$J$2405,$A$6:$A$2405,"&lt;="&amp;$A1439))</f>
        <v/>
      </c>
      <c r="L1439" s="57" t="str">
        <f aca="false">IF($J1439="","",IF($K1439&lt;=BankCostEnvelope*'5. Scenarios'!$C$7,1,0))</f>
        <v/>
      </c>
      <c r="M1439" s="57" t="str">
        <f aca="false">IF($I1439="","",INDEX(BookRate,1434)*(1+'5. Scenarios'!$C$10)*(INDEX(BookQ1,1434)*(5-MIN(4,1+'5. Scenarios'!$C$8))/4+INDEX(BookQ2,1434)*(5-MIN(4,2+'5. Scenarios'!$C$8))/4+INDEX(BookQ3,1434)*(5-MIN(4,3+'5. Scenarios'!$C$8))/4+INDEX(BookQ4,1434)*(5-MIN(4,4+'5. Scenarios'!$C$8))/4)*'5. Scenarios'!$C$6/(1+ProductivityDefault*('5. Scenarios'!$C$11-1))+INDEX(BookOneOff,1434)*$I1439)</f>
        <v/>
      </c>
      <c r="N1439" s="56" t="str">
        <f aca="false">IF(INDEX(BookTitle,1434)="","",INDEX(BookTotal,1434)*'5. Scenarios'!$D$6/(1+ProductivityDefault*('5. Scenarios'!$D$11-1)))</f>
        <v/>
      </c>
      <c r="O1439" s="57" t="str">
        <f aca="false">IF($N1439="","",INDEX(BookRate,1434)*(1+'5. Scenarios'!$D$10)*$N1439)</f>
        <v/>
      </c>
      <c r="P1439" s="57" t="str">
        <f aca="false">IF($O1439="","",SUMIFS($O$6:$O$2405,$A$6:$A$2405,"&lt;="&amp;$A1439))</f>
        <v/>
      </c>
      <c r="Q1439" s="57" t="str">
        <f aca="false">IF($O1439="","",IF($P1439&lt;=BankCostEnvelope*'5. Scenarios'!$D$7,1,0))</f>
        <v/>
      </c>
      <c r="R1439" s="57" t="str">
        <f aca="false">IF($N1439="","",INDEX(BookRate,1434)*(1+'5. Scenarios'!$D$10)*(INDEX(BookQ1,1434)*(5-MIN(4,1+'5. Scenarios'!$D$8))/4+INDEX(BookQ2,1434)*(5-MIN(4,2+'5. Scenarios'!$D$8))/4+INDEX(BookQ3,1434)*(5-MIN(4,3+'5. Scenarios'!$D$8))/4+INDEX(BookQ4,1434)*(5-MIN(4,4+'5. Scenarios'!$D$8))/4)*'5. Scenarios'!$D$6/(1+ProductivityDefault*('5. Scenarios'!$D$11-1))+INDEX(BookOneOff,1434)*$N1439)</f>
        <v/>
      </c>
      <c r="S1439" s="56" t="str">
        <f aca="false">IF(INDEX(BookTitle,1434)="","",INDEX(BookTotal,1434)*'5. Scenarios'!$E$6/(1+ProductivityDefault*('5. Scenarios'!$E$11-1)))</f>
        <v/>
      </c>
      <c r="T1439" s="57" t="str">
        <f aca="false">IF($S1439="","",INDEX(BookRate,1434)*(1+'5. Scenarios'!$E$10)*$S1439)</f>
        <v/>
      </c>
      <c r="U1439" s="57" t="str">
        <f aca="false">IF($T1439="","",SUMIFS($T$6:$T$2405,$A$6:$A$2405,"&lt;="&amp;$A1439))</f>
        <v/>
      </c>
      <c r="V1439" s="57" t="str">
        <f aca="false">IF($T1439="","",IF($U1439&lt;=BankCostEnvelope*'5. Scenarios'!$E$7,1,0))</f>
        <v/>
      </c>
      <c r="W1439" s="57" t="str">
        <f aca="false">IF($S1439="","",INDEX(BookRate,1434)*(1+'5. Scenarios'!$E$10)*(INDEX(BookQ1,1434)*(5-MIN(4,1+'5. Scenarios'!$E$8))/4+INDEX(BookQ2,1434)*(5-MIN(4,2+'5. Scenarios'!$E$8))/4+INDEX(BookQ3,1434)*(5-MIN(4,3+'5. Scenarios'!$E$8))/4+INDEX(BookQ4,1434)*(5-MIN(4,4+'5. Scenarios'!$E$8))/4)*'5. Scenarios'!$E$6/(1+ProductivityDefault*('5. Scenarios'!$E$11-1))+INDEX(BookOneOff,1434)*$S1439)</f>
        <v/>
      </c>
    </row>
    <row r="1440" customFormat="false" ht="15" hidden="false" customHeight="false" outlineLevel="0" collapsed="false">
      <c r="A1440" s="0" t="str">
        <f aca="false">IF(INDEX(BookTitle,1435)="","",INDEX(BookKey,1435))</f>
        <v/>
      </c>
      <c r="B1440" s="0" t="str">
        <f aca="false">IF(INDEX(BookTitle,1435)="","",INDEX(BookGroup,1435))</f>
        <v/>
      </c>
      <c r="C1440" s="0" t="str">
        <f aca="false">IF(INDEX(BookTitle,1435)="","",INDEX(BookCategory,1435))</f>
        <v/>
      </c>
      <c r="D1440" s="56" t="str">
        <f aca="false">IF(INDEX(BookTitle,1435)="","",INDEX(BookTotal,1435)*'5. Scenarios'!$B$6/(1+ProductivityDefault*('5. Scenarios'!$B$11-1)))</f>
        <v/>
      </c>
      <c r="E1440" s="57" t="str">
        <f aca="false">IF($D1440="","",INDEX(BookRate,1435)*(1+'5. Scenarios'!$B$10)*$D1440)</f>
        <v/>
      </c>
      <c r="F1440" s="57" t="str">
        <f aca="false">IF($E1440="","",SUMIFS($E$6:$E$2405,$A$6:$A$2405,"&lt;="&amp;$A1440))</f>
        <v/>
      </c>
      <c r="G1440" s="57" t="str">
        <f aca="false">IF($E1440="","",IF($F1440&lt;=BankCostEnvelope*'5. Scenarios'!$B$7,1,0))</f>
        <v/>
      </c>
      <c r="H1440" s="57" t="str">
        <f aca="false">IF($D1440="","",INDEX(BookRate,1435)*(1+'5. Scenarios'!$B$10)*(INDEX(BookQ1,1435)*(5-MIN(4,1+'5. Scenarios'!$B$8))/4+INDEX(BookQ2,1435)*(5-MIN(4,2+'5. Scenarios'!$B$8))/4+INDEX(BookQ3,1435)*(5-MIN(4,3+'5. Scenarios'!$B$8))/4+INDEX(BookQ4,1435)*(5-MIN(4,4+'5. Scenarios'!$B$8))/4)*'5. Scenarios'!$B$6/(1+ProductivityDefault*('5. Scenarios'!$B$11-1))+INDEX(BookOneOff,1435)*$D1440)</f>
        <v/>
      </c>
      <c r="I1440" s="56" t="str">
        <f aca="false">IF(INDEX(BookTitle,1435)="","",INDEX(BookTotal,1435)*'5. Scenarios'!$C$6/(1+ProductivityDefault*('5. Scenarios'!$C$11-1)))</f>
        <v/>
      </c>
      <c r="J1440" s="57" t="str">
        <f aca="false">IF($I1440="","",INDEX(BookRate,1435)*(1+'5. Scenarios'!$C$10)*$I1440)</f>
        <v/>
      </c>
      <c r="K1440" s="57" t="str">
        <f aca="false">IF($J1440="","",SUMIFS($J$6:$J$2405,$A$6:$A$2405,"&lt;="&amp;$A1440))</f>
        <v/>
      </c>
      <c r="L1440" s="57" t="str">
        <f aca="false">IF($J1440="","",IF($K1440&lt;=BankCostEnvelope*'5. Scenarios'!$C$7,1,0))</f>
        <v/>
      </c>
      <c r="M1440" s="57" t="str">
        <f aca="false">IF($I1440="","",INDEX(BookRate,1435)*(1+'5. Scenarios'!$C$10)*(INDEX(BookQ1,1435)*(5-MIN(4,1+'5. Scenarios'!$C$8))/4+INDEX(BookQ2,1435)*(5-MIN(4,2+'5. Scenarios'!$C$8))/4+INDEX(BookQ3,1435)*(5-MIN(4,3+'5. Scenarios'!$C$8))/4+INDEX(BookQ4,1435)*(5-MIN(4,4+'5. Scenarios'!$C$8))/4)*'5. Scenarios'!$C$6/(1+ProductivityDefault*('5. Scenarios'!$C$11-1))+INDEX(BookOneOff,1435)*$I1440)</f>
        <v/>
      </c>
      <c r="N1440" s="56" t="str">
        <f aca="false">IF(INDEX(BookTitle,1435)="","",INDEX(BookTotal,1435)*'5. Scenarios'!$D$6/(1+ProductivityDefault*('5. Scenarios'!$D$11-1)))</f>
        <v/>
      </c>
      <c r="O1440" s="57" t="str">
        <f aca="false">IF($N1440="","",INDEX(BookRate,1435)*(1+'5. Scenarios'!$D$10)*$N1440)</f>
        <v/>
      </c>
      <c r="P1440" s="57" t="str">
        <f aca="false">IF($O1440="","",SUMIFS($O$6:$O$2405,$A$6:$A$2405,"&lt;="&amp;$A1440))</f>
        <v/>
      </c>
      <c r="Q1440" s="57" t="str">
        <f aca="false">IF($O1440="","",IF($P1440&lt;=BankCostEnvelope*'5. Scenarios'!$D$7,1,0))</f>
        <v/>
      </c>
      <c r="R1440" s="57" t="str">
        <f aca="false">IF($N1440="","",INDEX(BookRate,1435)*(1+'5. Scenarios'!$D$10)*(INDEX(BookQ1,1435)*(5-MIN(4,1+'5. Scenarios'!$D$8))/4+INDEX(BookQ2,1435)*(5-MIN(4,2+'5. Scenarios'!$D$8))/4+INDEX(BookQ3,1435)*(5-MIN(4,3+'5. Scenarios'!$D$8))/4+INDEX(BookQ4,1435)*(5-MIN(4,4+'5. Scenarios'!$D$8))/4)*'5. Scenarios'!$D$6/(1+ProductivityDefault*('5. Scenarios'!$D$11-1))+INDEX(BookOneOff,1435)*$N1440)</f>
        <v/>
      </c>
      <c r="S1440" s="56" t="str">
        <f aca="false">IF(INDEX(BookTitle,1435)="","",INDEX(BookTotal,1435)*'5. Scenarios'!$E$6/(1+ProductivityDefault*('5. Scenarios'!$E$11-1)))</f>
        <v/>
      </c>
      <c r="T1440" s="57" t="str">
        <f aca="false">IF($S1440="","",INDEX(BookRate,1435)*(1+'5. Scenarios'!$E$10)*$S1440)</f>
        <v/>
      </c>
      <c r="U1440" s="57" t="str">
        <f aca="false">IF($T1440="","",SUMIFS($T$6:$T$2405,$A$6:$A$2405,"&lt;="&amp;$A1440))</f>
        <v/>
      </c>
      <c r="V1440" s="57" t="str">
        <f aca="false">IF($T1440="","",IF($U1440&lt;=BankCostEnvelope*'5. Scenarios'!$E$7,1,0))</f>
        <v/>
      </c>
      <c r="W1440" s="57" t="str">
        <f aca="false">IF($S1440="","",INDEX(BookRate,1435)*(1+'5. Scenarios'!$E$10)*(INDEX(BookQ1,1435)*(5-MIN(4,1+'5. Scenarios'!$E$8))/4+INDEX(BookQ2,1435)*(5-MIN(4,2+'5. Scenarios'!$E$8))/4+INDEX(BookQ3,1435)*(5-MIN(4,3+'5. Scenarios'!$E$8))/4+INDEX(BookQ4,1435)*(5-MIN(4,4+'5. Scenarios'!$E$8))/4)*'5. Scenarios'!$E$6/(1+ProductivityDefault*('5. Scenarios'!$E$11-1))+INDEX(BookOneOff,1435)*$S1440)</f>
        <v/>
      </c>
    </row>
    <row r="1441" customFormat="false" ht="15" hidden="false" customHeight="false" outlineLevel="0" collapsed="false">
      <c r="A1441" s="0" t="str">
        <f aca="false">IF(INDEX(BookTitle,1436)="","",INDEX(BookKey,1436))</f>
        <v/>
      </c>
      <c r="B1441" s="0" t="str">
        <f aca="false">IF(INDEX(BookTitle,1436)="","",INDEX(BookGroup,1436))</f>
        <v/>
      </c>
      <c r="C1441" s="0" t="str">
        <f aca="false">IF(INDEX(BookTitle,1436)="","",INDEX(BookCategory,1436))</f>
        <v/>
      </c>
      <c r="D1441" s="56" t="str">
        <f aca="false">IF(INDEX(BookTitle,1436)="","",INDEX(BookTotal,1436)*'5. Scenarios'!$B$6/(1+ProductivityDefault*('5. Scenarios'!$B$11-1)))</f>
        <v/>
      </c>
      <c r="E1441" s="57" t="str">
        <f aca="false">IF($D1441="","",INDEX(BookRate,1436)*(1+'5. Scenarios'!$B$10)*$D1441)</f>
        <v/>
      </c>
      <c r="F1441" s="57" t="str">
        <f aca="false">IF($E1441="","",SUMIFS($E$6:$E$2405,$A$6:$A$2405,"&lt;="&amp;$A1441))</f>
        <v/>
      </c>
      <c r="G1441" s="57" t="str">
        <f aca="false">IF($E1441="","",IF($F1441&lt;=BankCostEnvelope*'5. Scenarios'!$B$7,1,0))</f>
        <v/>
      </c>
      <c r="H1441" s="57" t="str">
        <f aca="false">IF($D1441="","",INDEX(BookRate,1436)*(1+'5. Scenarios'!$B$10)*(INDEX(BookQ1,1436)*(5-MIN(4,1+'5. Scenarios'!$B$8))/4+INDEX(BookQ2,1436)*(5-MIN(4,2+'5. Scenarios'!$B$8))/4+INDEX(BookQ3,1436)*(5-MIN(4,3+'5. Scenarios'!$B$8))/4+INDEX(BookQ4,1436)*(5-MIN(4,4+'5. Scenarios'!$B$8))/4)*'5. Scenarios'!$B$6/(1+ProductivityDefault*('5. Scenarios'!$B$11-1))+INDEX(BookOneOff,1436)*$D1441)</f>
        <v/>
      </c>
      <c r="I1441" s="56" t="str">
        <f aca="false">IF(INDEX(BookTitle,1436)="","",INDEX(BookTotal,1436)*'5. Scenarios'!$C$6/(1+ProductivityDefault*('5. Scenarios'!$C$11-1)))</f>
        <v/>
      </c>
      <c r="J1441" s="57" t="str">
        <f aca="false">IF($I1441="","",INDEX(BookRate,1436)*(1+'5. Scenarios'!$C$10)*$I1441)</f>
        <v/>
      </c>
      <c r="K1441" s="57" t="str">
        <f aca="false">IF($J1441="","",SUMIFS($J$6:$J$2405,$A$6:$A$2405,"&lt;="&amp;$A1441))</f>
        <v/>
      </c>
      <c r="L1441" s="57" t="str">
        <f aca="false">IF($J1441="","",IF($K1441&lt;=BankCostEnvelope*'5. Scenarios'!$C$7,1,0))</f>
        <v/>
      </c>
      <c r="M1441" s="57" t="str">
        <f aca="false">IF($I1441="","",INDEX(BookRate,1436)*(1+'5. Scenarios'!$C$10)*(INDEX(BookQ1,1436)*(5-MIN(4,1+'5. Scenarios'!$C$8))/4+INDEX(BookQ2,1436)*(5-MIN(4,2+'5. Scenarios'!$C$8))/4+INDEX(BookQ3,1436)*(5-MIN(4,3+'5. Scenarios'!$C$8))/4+INDEX(BookQ4,1436)*(5-MIN(4,4+'5. Scenarios'!$C$8))/4)*'5. Scenarios'!$C$6/(1+ProductivityDefault*('5. Scenarios'!$C$11-1))+INDEX(BookOneOff,1436)*$I1441)</f>
        <v/>
      </c>
      <c r="N1441" s="56" t="str">
        <f aca="false">IF(INDEX(BookTitle,1436)="","",INDEX(BookTotal,1436)*'5. Scenarios'!$D$6/(1+ProductivityDefault*('5. Scenarios'!$D$11-1)))</f>
        <v/>
      </c>
      <c r="O1441" s="57" t="str">
        <f aca="false">IF($N1441="","",INDEX(BookRate,1436)*(1+'5. Scenarios'!$D$10)*$N1441)</f>
        <v/>
      </c>
      <c r="P1441" s="57" t="str">
        <f aca="false">IF($O1441="","",SUMIFS($O$6:$O$2405,$A$6:$A$2405,"&lt;="&amp;$A1441))</f>
        <v/>
      </c>
      <c r="Q1441" s="57" t="str">
        <f aca="false">IF($O1441="","",IF($P1441&lt;=BankCostEnvelope*'5. Scenarios'!$D$7,1,0))</f>
        <v/>
      </c>
      <c r="R1441" s="57" t="str">
        <f aca="false">IF($N1441="","",INDEX(BookRate,1436)*(1+'5. Scenarios'!$D$10)*(INDEX(BookQ1,1436)*(5-MIN(4,1+'5. Scenarios'!$D$8))/4+INDEX(BookQ2,1436)*(5-MIN(4,2+'5. Scenarios'!$D$8))/4+INDEX(BookQ3,1436)*(5-MIN(4,3+'5. Scenarios'!$D$8))/4+INDEX(BookQ4,1436)*(5-MIN(4,4+'5. Scenarios'!$D$8))/4)*'5. Scenarios'!$D$6/(1+ProductivityDefault*('5. Scenarios'!$D$11-1))+INDEX(BookOneOff,1436)*$N1441)</f>
        <v/>
      </c>
      <c r="S1441" s="56" t="str">
        <f aca="false">IF(INDEX(BookTitle,1436)="","",INDEX(BookTotal,1436)*'5. Scenarios'!$E$6/(1+ProductivityDefault*('5. Scenarios'!$E$11-1)))</f>
        <v/>
      </c>
      <c r="T1441" s="57" t="str">
        <f aca="false">IF($S1441="","",INDEX(BookRate,1436)*(1+'5. Scenarios'!$E$10)*$S1441)</f>
        <v/>
      </c>
      <c r="U1441" s="57" t="str">
        <f aca="false">IF($T1441="","",SUMIFS($T$6:$T$2405,$A$6:$A$2405,"&lt;="&amp;$A1441))</f>
        <v/>
      </c>
      <c r="V1441" s="57" t="str">
        <f aca="false">IF($T1441="","",IF($U1441&lt;=BankCostEnvelope*'5. Scenarios'!$E$7,1,0))</f>
        <v/>
      </c>
      <c r="W1441" s="57" t="str">
        <f aca="false">IF($S1441="","",INDEX(BookRate,1436)*(1+'5. Scenarios'!$E$10)*(INDEX(BookQ1,1436)*(5-MIN(4,1+'5. Scenarios'!$E$8))/4+INDEX(BookQ2,1436)*(5-MIN(4,2+'5. Scenarios'!$E$8))/4+INDEX(BookQ3,1436)*(5-MIN(4,3+'5. Scenarios'!$E$8))/4+INDEX(BookQ4,1436)*(5-MIN(4,4+'5. Scenarios'!$E$8))/4)*'5. Scenarios'!$E$6/(1+ProductivityDefault*('5. Scenarios'!$E$11-1))+INDEX(BookOneOff,1436)*$S1441)</f>
        <v/>
      </c>
    </row>
    <row r="1442" customFormat="false" ht="15" hidden="false" customHeight="false" outlineLevel="0" collapsed="false">
      <c r="A1442" s="0" t="str">
        <f aca="false">IF(INDEX(BookTitle,1437)="","",INDEX(BookKey,1437))</f>
        <v/>
      </c>
      <c r="B1442" s="0" t="str">
        <f aca="false">IF(INDEX(BookTitle,1437)="","",INDEX(BookGroup,1437))</f>
        <v/>
      </c>
      <c r="C1442" s="0" t="str">
        <f aca="false">IF(INDEX(BookTitle,1437)="","",INDEX(BookCategory,1437))</f>
        <v/>
      </c>
      <c r="D1442" s="56" t="str">
        <f aca="false">IF(INDEX(BookTitle,1437)="","",INDEX(BookTotal,1437)*'5. Scenarios'!$B$6/(1+ProductivityDefault*('5. Scenarios'!$B$11-1)))</f>
        <v/>
      </c>
      <c r="E1442" s="57" t="str">
        <f aca="false">IF($D1442="","",INDEX(BookRate,1437)*(1+'5. Scenarios'!$B$10)*$D1442)</f>
        <v/>
      </c>
      <c r="F1442" s="57" t="str">
        <f aca="false">IF($E1442="","",SUMIFS($E$6:$E$2405,$A$6:$A$2405,"&lt;="&amp;$A1442))</f>
        <v/>
      </c>
      <c r="G1442" s="57" t="str">
        <f aca="false">IF($E1442="","",IF($F1442&lt;=BankCostEnvelope*'5. Scenarios'!$B$7,1,0))</f>
        <v/>
      </c>
      <c r="H1442" s="57" t="str">
        <f aca="false">IF($D1442="","",INDEX(BookRate,1437)*(1+'5. Scenarios'!$B$10)*(INDEX(BookQ1,1437)*(5-MIN(4,1+'5. Scenarios'!$B$8))/4+INDEX(BookQ2,1437)*(5-MIN(4,2+'5. Scenarios'!$B$8))/4+INDEX(BookQ3,1437)*(5-MIN(4,3+'5. Scenarios'!$B$8))/4+INDEX(BookQ4,1437)*(5-MIN(4,4+'5. Scenarios'!$B$8))/4)*'5. Scenarios'!$B$6/(1+ProductivityDefault*('5. Scenarios'!$B$11-1))+INDEX(BookOneOff,1437)*$D1442)</f>
        <v/>
      </c>
      <c r="I1442" s="56" t="str">
        <f aca="false">IF(INDEX(BookTitle,1437)="","",INDEX(BookTotal,1437)*'5. Scenarios'!$C$6/(1+ProductivityDefault*('5. Scenarios'!$C$11-1)))</f>
        <v/>
      </c>
      <c r="J1442" s="57" t="str">
        <f aca="false">IF($I1442="","",INDEX(BookRate,1437)*(1+'5. Scenarios'!$C$10)*$I1442)</f>
        <v/>
      </c>
      <c r="K1442" s="57" t="str">
        <f aca="false">IF($J1442="","",SUMIFS($J$6:$J$2405,$A$6:$A$2405,"&lt;="&amp;$A1442))</f>
        <v/>
      </c>
      <c r="L1442" s="57" t="str">
        <f aca="false">IF($J1442="","",IF($K1442&lt;=BankCostEnvelope*'5. Scenarios'!$C$7,1,0))</f>
        <v/>
      </c>
      <c r="M1442" s="57" t="str">
        <f aca="false">IF($I1442="","",INDEX(BookRate,1437)*(1+'5. Scenarios'!$C$10)*(INDEX(BookQ1,1437)*(5-MIN(4,1+'5. Scenarios'!$C$8))/4+INDEX(BookQ2,1437)*(5-MIN(4,2+'5. Scenarios'!$C$8))/4+INDEX(BookQ3,1437)*(5-MIN(4,3+'5. Scenarios'!$C$8))/4+INDEX(BookQ4,1437)*(5-MIN(4,4+'5. Scenarios'!$C$8))/4)*'5. Scenarios'!$C$6/(1+ProductivityDefault*('5. Scenarios'!$C$11-1))+INDEX(BookOneOff,1437)*$I1442)</f>
        <v/>
      </c>
      <c r="N1442" s="56" t="str">
        <f aca="false">IF(INDEX(BookTitle,1437)="","",INDEX(BookTotal,1437)*'5. Scenarios'!$D$6/(1+ProductivityDefault*('5. Scenarios'!$D$11-1)))</f>
        <v/>
      </c>
      <c r="O1442" s="57" t="str">
        <f aca="false">IF($N1442="","",INDEX(BookRate,1437)*(1+'5. Scenarios'!$D$10)*$N1442)</f>
        <v/>
      </c>
      <c r="P1442" s="57" t="str">
        <f aca="false">IF($O1442="","",SUMIFS($O$6:$O$2405,$A$6:$A$2405,"&lt;="&amp;$A1442))</f>
        <v/>
      </c>
      <c r="Q1442" s="57" t="str">
        <f aca="false">IF($O1442="","",IF($P1442&lt;=BankCostEnvelope*'5. Scenarios'!$D$7,1,0))</f>
        <v/>
      </c>
      <c r="R1442" s="57" t="str">
        <f aca="false">IF($N1442="","",INDEX(BookRate,1437)*(1+'5. Scenarios'!$D$10)*(INDEX(BookQ1,1437)*(5-MIN(4,1+'5. Scenarios'!$D$8))/4+INDEX(BookQ2,1437)*(5-MIN(4,2+'5. Scenarios'!$D$8))/4+INDEX(BookQ3,1437)*(5-MIN(4,3+'5. Scenarios'!$D$8))/4+INDEX(BookQ4,1437)*(5-MIN(4,4+'5. Scenarios'!$D$8))/4)*'5. Scenarios'!$D$6/(1+ProductivityDefault*('5. Scenarios'!$D$11-1))+INDEX(BookOneOff,1437)*$N1442)</f>
        <v/>
      </c>
      <c r="S1442" s="56" t="str">
        <f aca="false">IF(INDEX(BookTitle,1437)="","",INDEX(BookTotal,1437)*'5. Scenarios'!$E$6/(1+ProductivityDefault*('5. Scenarios'!$E$11-1)))</f>
        <v/>
      </c>
      <c r="T1442" s="57" t="str">
        <f aca="false">IF($S1442="","",INDEX(BookRate,1437)*(1+'5. Scenarios'!$E$10)*$S1442)</f>
        <v/>
      </c>
      <c r="U1442" s="57" t="str">
        <f aca="false">IF($T1442="","",SUMIFS($T$6:$T$2405,$A$6:$A$2405,"&lt;="&amp;$A1442))</f>
        <v/>
      </c>
      <c r="V1442" s="57" t="str">
        <f aca="false">IF($T1442="","",IF($U1442&lt;=BankCostEnvelope*'5. Scenarios'!$E$7,1,0))</f>
        <v/>
      </c>
      <c r="W1442" s="57" t="str">
        <f aca="false">IF($S1442="","",INDEX(BookRate,1437)*(1+'5. Scenarios'!$E$10)*(INDEX(BookQ1,1437)*(5-MIN(4,1+'5. Scenarios'!$E$8))/4+INDEX(BookQ2,1437)*(5-MIN(4,2+'5. Scenarios'!$E$8))/4+INDEX(BookQ3,1437)*(5-MIN(4,3+'5. Scenarios'!$E$8))/4+INDEX(BookQ4,1437)*(5-MIN(4,4+'5. Scenarios'!$E$8))/4)*'5. Scenarios'!$E$6/(1+ProductivityDefault*('5. Scenarios'!$E$11-1))+INDEX(BookOneOff,1437)*$S1442)</f>
        <v/>
      </c>
    </row>
    <row r="1443" customFormat="false" ht="15" hidden="false" customHeight="false" outlineLevel="0" collapsed="false">
      <c r="A1443" s="0" t="str">
        <f aca="false">IF(INDEX(BookTitle,1438)="","",INDEX(BookKey,1438))</f>
        <v/>
      </c>
      <c r="B1443" s="0" t="str">
        <f aca="false">IF(INDEX(BookTitle,1438)="","",INDEX(BookGroup,1438))</f>
        <v/>
      </c>
      <c r="C1443" s="0" t="str">
        <f aca="false">IF(INDEX(BookTitle,1438)="","",INDEX(BookCategory,1438))</f>
        <v/>
      </c>
      <c r="D1443" s="56" t="str">
        <f aca="false">IF(INDEX(BookTitle,1438)="","",INDEX(BookTotal,1438)*'5. Scenarios'!$B$6/(1+ProductivityDefault*('5. Scenarios'!$B$11-1)))</f>
        <v/>
      </c>
      <c r="E1443" s="57" t="str">
        <f aca="false">IF($D1443="","",INDEX(BookRate,1438)*(1+'5. Scenarios'!$B$10)*$D1443)</f>
        <v/>
      </c>
      <c r="F1443" s="57" t="str">
        <f aca="false">IF($E1443="","",SUMIFS($E$6:$E$2405,$A$6:$A$2405,"&lt;="&amp;$A1443))</f>
        <v/>
      </c>
      <c r="G1443" s="57" t="str">
        <f aca="false">IF($E1443="","",IF($F1443&lt;=BankCostEnvelope*'5. Scenarios'!$B$7,1,0))</f>
        <v/>
      </c>
      <c r="H1443" s="57" t="str">
        <f aca="false">IF($D1443="","",INDEX(BookRate,1438)*(1+'5. Scenarios'!$B$10)*(INDEX(BookQ1,1438)*(5-MIN(4,1+'5. Scenarios'!$B$8))/4+INDEX(BookQ2,1438)*(5-MIN(4,2+'5. Scenarios'!$B$8))/4+INDEX(BookQ3,1438)*(5-MIN(4,3+'5. Scenarios'!$B$8))/4+INDEX(BookQ4,1438)*(5-MIN(4,4+'5. Scenarios'!$B$8))/4)*'5. Scenarios'!$B$6/(1+ProductivityDefault*('5. Scenarios'!$B$11-1))+INDEX(BookOneOff,1438)*$D1443)</f>
        <v/>
      </c>
      <c r="I1443" s="56" t="str">
        <f aca="false">IF(INDEX(BookTitle,1438)="","",INDEX(BookTotal,1438)*'5. Scenarios'!$C$6/(1+ProductivityDefault*('5. Scenarios'!$C$11-1)))</f>
        <v/>
      </c>
      <c r="J1443" s="57" t="str">
        <f aca="false">IF($I1443="","",INDEX(BookRate,1438)*(1+'5. Scenarios'!$C$10)*$I1443)</f>
        <v/>
      </c>
      <c r="K1443" s="57" t="str">
        <f aca="false">IF($J1443="","",SUMIFS($J$6:$J$2405,$A$6:$A$2405,"&lt;="&amp;$A1443))</f>
        <v/>
      </c>
      <c r="L1443" s="57" t="str">
        <f aca="false">IF($J1443="","",IF($K1443&lt;=BankCostEnvelope*'5. Scenarios'!$C$7,1,0))</f>
        <v/>
      </c>
      <c r="M1443" s="57" t="str">
        <f aca="false">IF($I1443="","",INDEX(BookRate,1438)*(1+'5. Scenarios'!$C$10)*(INDEX(BookQ1,1438)*(5-MIN(4,1+'5. Scenarios'!$C$8))/4+INDEX(BookQ2,1438)*(5-MIN(4,2+'5. Scenarios'!$C$8))/4+INDEX(BookQ3,1438)*(5-MIN(4,3+'5. Scenarios'!$C$8))/4+INDEX(BookQ4,1438)*(5-MIN(4,4+'5. Scenarios'!$C$8))/4)*'5. Scenarios'!$C$6/(1+ProductivityDefault*('5. Scenarios'!$C$11-1))+INDEX(BookOneOff,1438)*$I1443)</f>
        <v/>
      </c>
      <c r="N1443" s="56" t="str">
        <f aca="false">IF(INDEX(BookTitle,1438)="","",INDEX(BookTotal,1438)*'5. Scenarios'!$D$6/(1+ProductivityDefault*('5. Scenarios'!$D$11-1)))</f>
        <v/>
      </c>
      <c r="O1443" s="57" t="str">
        <f aca="false">IF($N1443="","",INDEX(BookRate,1438)*(1+'5. Scenarios'!$D$10)*$N1443)</f>
        <v/>
      </c>
      <c r="P1443" s="57" t="str">
        <f aca="false">IF($O1443="","",SUMIFS($O$6:$O$2405,$A$6:$A$2405,"&lt;="&amp;$A1443))</f>
        <v/>
      </c>
      <c r="Q1443" s="57" t="str">
        <f aca="false">IF($O1443="","",IF($P1443&lt;=BankCostEnvelope*'5. Scenarios'!$D$7,1,0))</f>
        <v/>
      </c>
      <c r="R1443" s="57" t="str">
        <f aca="false">IF($N1443="","",INDEX(BookRate,1438)*(1+'5. Scenarios'!$D$10)*(INDEX(BookQ1,1438)*(5-MIN(4,1+'5. Scenarios'!$D$8))/4+INDEX(BookQ2,1438)*(5-MIN(4,2+'5. Scenarios'!$D$8))/4+INDEX(BookQ3,1438)*(5-MIN(4,3+'5. Scenarios'!$D$8))/4+INDEX(BookQ4,1438)*(5-MIN(4,4+'5. Scenarios'!$D$8))/4)*'5. Scenarios'!$D$6/(1+ProductivityDefault*('5. Scenarios'!$D$11-1))+INDEX(BookOneOff,1438)*$N1443)</f>
        <v/>
      </c>
      <c r="S1443" s="56" t="str">
        <f aca="false">IF(INDEX(BookTitle,1438)="","",INDEX(BookTotal,1438)*'5. Scenarios'!$E$6/(1+ProductivityDefault*('5. Scenarios'!$E$11-1)))</f>
        <v/>
      </c>
      <c r="T1443" s="57" t="str">
        <f aca="false">IF($S1443="","",INDEX(BookRate,1438)*(1+'5. Scenarios'!$E$10)*$S1443)</f>
        <v/>
      </c>
      <c r="U1443" s="57" t="str">
        <f aca="false">IF($T1443="","",SUMIFS($T$6:$T$2405,$A$6:$A$2405,"&lt;="&amp;$A1443))</f>
        <v/>
      </c>
      <c r="V1443" s="57" t="str">
        <f aca="false">IF($T1443="","",IF($U1443&lt;=BankCostEnvelope*'5. Scenarios'!$E$7,1,0))</f>
        <v/>
      </c>
      <c r="W1443" s="57" t="str">
        <f aca="false">IF($S1443="","",INDEX(BookRate,1438)*(1+'5. Scenarios'!$E$10)*(INDEX(BookQ1,1438)*(5-MIN(4,1+'5. Scenarios'!$E$8))/4+INDEX(BookQ2,1438)*(5-MIN(4,2+'5. Scenarios'!$E$8))/4+INDEX(BookQ3,1438)*(5-MIN(4,3+'5. Scenarios'!$E$8))/4+INDEX(BookQ4,1438)*(5-MIN(4,4+'5. Scenarios'!$E$8))/4)*'5. Scenarios'!$E$6/(1+ProductivityDefault*('5. Scenarios'!$E$11-1))+INDEX(BookOneOff,1438)*$S1443)</f>
        <v/>
      </c>
    </row>
    <row r="1444" customFormat="false" ht="15" hidden="false" customHeight="false" outlineLevel="0" collapsed="false">
      <c r="A1444" s="0" t="str">
        <f aca="false">IF(INDEX(BookTitle,1439)="","",INDEX(BookKey,1439))</f>
        <v/>
      </c>
      <c r="B1444" s="0" t="str">
        <f aca="false">IF(INDEX(BookTitle,1439)="","",INDEX(BookGroup,1439))</f>
        <v/>
      </c>
      <c r="C1444" s="0" t="str">
        <f aca="false">IF(INDEX(BookTitle,1439)="","",INDEX(BookCategory,1439))</f>
        <v/>
      </c>
      <c r="D1444" s="56" t="str">
        <f aca="false">IF(INDEX(BookTitle,1439)="","",INDEX(BookTotal,1439)*'5. Scenarios'!$B$6/(1+ProductivityDefault*('5. Scenarios'!$B$11-1)))</f>
        <v/>
      </c>
      <c r="E1444" s="57" t="str">
        <f aca="false">IF($D1444="","",INDEX(BookRate,1439)*(1+'5. Scenarios'!$B$10)*$D1444)</f>
        <v/>
      </c>
      <c r="F1444" s="57" t="str">
        <f aca="false">IF($E1444="","",SUMIFS($E$6:$E$2405,$A$6:$A$2405,"&lt;="&amp;$A1444))</f>
        <v/>
      </c>
      <c r="G1444" s="57" t="str">
        <f aca="false">IF($E1444="","",IF($F1444&lt;=BankCostEnvelope*'5. Scenarios'!$B$7,1,0))</f>
        <v/>
      </c>
      <c r="H1444" s="57" t="str">
        <f aca="false">IF($D1444="","",INDEX(BookRate,1439)*(1+'5. Scenarios'!$B$10)*(INDEX(BookQ1,1439)*(5-MIN(4,1+'5. Scenarios'!$B$8))/4+INDEX(BookQ2,1439)*(5-MIN(4,2+'5. Scenarios'!$B$8))/4+INDEX(BookQ3,1439)*(5-MIN(4,3+'5. Scenarios'!$B$8))/4+INDEX(BookQ4,1439)*(5-MIN(4,4+'5. Scenarios'!$B$8))/4)*'5. Scenarios'!$B$6/(1+ProductivityDefault*('5. Scenarios'!$B$11-1))+INDEX(BookOneOff,1439)*$D1444)</f>
        <v/>
      </c>
      <c r="I1444" s="56" t="str">
        <f aca="false">IF(INDEX(BookTitle,1439)="","",INDEX(BookTotal,1439)*'5. Scenarios'!$C$6/(1+ProductivityDefault*('5. Scenarios'!$C$11-1)))</f>
        <v/>
      </c>
      <c r="J1444" s="57" t="str">
        <f aca="false">IF($I1444="","",INDEX(BookRate,1439)*(1+'5. Scenarios'!$C$10)*$I1444)</f>
        <v/>
      </c>
      <c r="K1444" s="57" t="str">
        <f aca="false">IF($J1444="","",SUMIFS($J$6:$J$2405,$A$6:$A$2405,"&lt;="&amp;$A1444))</f>
        <v/>
      </c>
      <c r="L1444" s="57" t="str">
        <f aca="false">IF($J1444="","",IF($K1444&lt;=BankCostEnvelope*'5. Scenarios'!$C$7,1,0))</f>
        <v/>
      </c>
      <c r="M1444" s="57" t="str">
        <f aca="false">IF($I1444="","",INDEX(BookRate,1439)*(1+'5. Scenarios'!$C$10)*(INDEX(BookQ1,1439)*(5-MIN(4,1+'5. Scenarios'!$C$8))/4+INDEX(BookQ2,1439)*(5-MIN(4,2+'5. Scenarios'!$C$8))/4+INDEX(BookQ3,1439)*(5-MIN(4,3+'5. Scenarios'!$C$8))/4+INDEX(BookQ4,1439)*(5-MIN(4,4+'5. Scenarios'!$C$8))/4)*'5. Scenarios'!$C$6/(1+ProductivityDefault*('5. Scenarios'!$C$11-1))+INDEX(BookOneOff,1439)*$I1444)</f>
        <v/>
      </c>
      <c r="N1444" s="56" t="str">
        <f aca="false">IF(INDEX(BookTitle,1439)="","",INDEX(BookTotal,1439)*'5. Scenarios'!$D$6/(1+ProductivityDefault*('5. Scenarios'!$D$11-1)))</f>
        <v/>
      </c>
      <c r="O1444" s="57" t="str">
        <f aca="false">IF($N1444="","",INDEX(BookRate,1439)*(1+'5. Scenarios'!$D$10)*$N1444)</f>
        <v/>
      </c>
      <c r="P1444" s="57" t="str">
        <f aca="false">IF($O1444="","",SUMIFS($O$6:$O$2405,$A$6:$A$2405,"&lt;="&amp;$A1444))</f>
        <v/>
      </c>
      <c r="Q1444" s="57" t="str">
        <f aca="false">IF($O1444="","",IF($P1444&lt;=BankCostEnvelope*'5. Scenarios'!$D$7,1,0))</f>
        <v/>
      </c>
      <c r="R1444" s="57" t="str">
        <f aca="false">IF($N1444="","",INDEX(BookRate,1439)*(1+'5. Scenarios'!$D$10)*(INDEX(BookQ1,1439)*(5-MIN(4,1+'5. Scenarios'!$D$8))/4+INDEX(BookQ2,1439)*(5-MIN(4,2+'5. Scenarios'!$D$8))/4+INDEX(BookQ3,1439)*(5-MIN(4,3+'5. Scenarios'!$D$8))/4+INDEX(BookQ4,1439)*(5-MIN(4,4+'5. Scenarios'!$D$8))/4)*'5. Scenarios'!$D$6/(1+ProductivityDefault*('5. Scenarios'!$D$11-1))+INDEX(BookOneOff,1439)*$N1444)</f>
        <v/>
      </c>
      <c r="S1444" s="56" t="str">
        <f aca="false">IF(INDEX(BookTitle,1439)="","",INDEX(BookTotal,1439)*'5. Scenarios'!$E$6/(1+ProductivityDefault*('5. Scenarios'!$E$11-1)))</f>
        <v/>
      </c>
      <c r="T1444" s="57" t="str">
        <f aca="false">IF($S1444="","",INDEX(BookRate,1439)*(1+'5. Scenarios'!$E$10)*$S1444)</f>
        <v/>
      </c>
      <c r="U1444" s="57" t="str">
        <f aca="false">IF($T1444="","",SUMIFS($T$6:$T$2405,$A$6:$A$2405,"&lt;="&amp;$A1444))</f>
        <v/>
      </c>
      <c r="V1444" s="57" t="str">
        <f aca="false">IF($T1444="","",IF($U1444&lt;=BankCostEnvelope*'5. Scenarios'!$E$7,1,0))</f>
        <v/>
      </c>
      <c r="W1444" s="57" t="str">
        <f aca="false">IF($S1444="","",INDEX(BookRate,1439)*(1+'5. Scenarios'!$E$10)*(INDEX(BookQ1,1439)*(5-MIN(4,1+'5. Scenarios'!$E$8))/4+INDEX(BookQ2,1439)*(5-MIN(4,2+'5. Scenarios'!$E$8))/4+INDEX(BookQ3,1439)*(5-MIN(4,3+'5. Scenarios'!$E$8))/4+INDEX(BookQ4,1439)*(5-MIN(4,4+'5. Scenarios'!$E$8))/4)*'5. Scenarios'!$E$6/(1+ProductivityDefault*('5. Scenarios'!$E$11-1))+INDEX(BookOneOff,1439)*$S1444)</f>
        <v/>
      </c>
    </row>
    <row r="1445" customFormat="false" ht="15" hidden="false" customHeight="false" outlineLevel="0" collapsed="false">
      <c r="A1445" s="0" t="str">
        <f aca="false">IF(INDEX(BookTitle,1440)="","",INDEX(BookKey,1440))</f>
        <v/>
      </c>
      <c r="B1445" s="0" t="str">
        <f aca="false">IF(INDEX(BookTitle,1440)="","",INDEX(BookGroup,1440))</f>
        <v/>
      </c>
      <c r="C1445" s="0" t="str">
        <f aca="false">IF(INDEX(BookTitle,1440)="","",INDEX(BookCategory,1440))</f>
        <v/>
      </c>
      <c r="D1445" s="56" t="str">
        <f aca="false">IF(INDEX(BookTitle,1440)="","",INDEX(BookTotal,1440)*'5. Scenarios'!$B$6/(1+ProductivityDefault*('5. Scenarios'!$B$11-1)))</f>
        <v/>
      </c>
      <c r="E1445" s="57" t="str">
        <f aca="false">IF($D1445="","",INDEX(BookRate,1440)*(1+'5. Scenarios'!$B$10)*$D1445)</f>
        <v/>
      </c>
      <c r="F1445" s="57" t="str">
        <f aca="false">IF($E1445="","",SUMIFS($E$6:$E$2405,$A$6:$A$2405,"&lt;="&amp;$A1445))</f>
        <v/>
      </c>
      <c r="G1445" s="57" t="str">
        <f aca="false">IF($E1445="","",IF($F1445&lt;=BankCostEnvelope*'5. Scenarios'!$B$7,1,0))</f>
        <v/>
      </c>
      <c r="H1445" s="57" t="str">
        <f aca="false">IF($D1445="","",INDEX(BookRate,1440)*(1+'5. Scenarios'!$B$10)*(INDEX(BookQ1,1440)*(5-MIN(4,1+'5. Scenarios'!$B$8))/4+INDEX(BookQ2,1440)*(5-MIN(4,2+'5. Scenarios'!$B$8))/4+INDEX(BookQ3,1440)*(5-MIN(4,3+'5. Scenarios'!$B$8))/4+INDEX(BookQ4,1440)*(5-MIN(4,4+'5. Scenarios'!$B$8))/4)*'5. Scenarios'!$B$6/(1+ProductivityDefault*('5. Scenarios'!$B$11-1))+INDEX(BookOneOff,1440)*$D1445)</f>
        <v/>
      </c>
      <c r="I1445" s="56" t="str">
        <f aca="false">IF(INDEX(BookTitle,1440)="","",INDEX(BookTotal,1440)*'5. Scenarios'!$C$6/(1+ProductivityDefault*('5. Scenarios'!$C$11-1)))</f>
        <v/>
      </c>
      <c r="J1445" s="57" t="str">
        <f aca="false">IF($I1445="","",INDEX(BookRate,1440)*(1+'5. Scenarios'!$C$10)*$I1445)</f>
        <v/>
      </c>
      <c r="K1445" s="57" t="str">
        <f aca="false">IF($J1445="","",SUMIFS($J$6:$J$2405,$A$6:$A$2405,"&lt;="&amp;$A1445))</f>
        <v/>
      </c>
      <c r="L1445" s="57" t="str">
        <f aca="false">IF($J1445="","",IF($K1445&lt;=BankCostEnvelope*'5. Scenarios'!$C$7,1,0))</f>
        <v/>
      </c>
      <c r="M1445" s="57" t="str">
        <f aca="false">IF($I1445="","",INDEX(BookRate,1440)*(1+'5. Scenarios'!$C$10)*(INDEX(BookQ1,1440)*(5-MIN(4,1+'5. Scenarios'!$C$8))/4+INDEX(BookQ2,1440)*(5-MIN(4,2+'5. Scenarios'!$C$8))/4+INDEX(BookQ3,1440)*(5-MIN(4,3+'5. Scenarios'!$C$8))/4+INDEX(BookQ4,1440)*(5-MIN(4,4+'5. Scenarios'!$C$8))/4)*'5. Scenarios'!$C$6/(1+ProductivityDefault*('5. Scenarios'!$C$11-1))+INDEX(BookOneOff,1440)*$I1445)</f>
        <v/>
      </c>
      <c r="N1445" s="56" t="str">
        <f aca="false">IF(INDEX(BookTitle,1440)="","",INDEX(BookTotal,1440)*'5. Scenarios'!$D$6/(1+ProductivityDefault*('5. Scenarios'!$D$11-1)))</f>
        <v/>
      </c>
      <c r="O1445" s="57" t="str">
        <f aca="false">IF($N1445="","",INDEX(BookRate,1440)*(1+'5. Scenarios'!$D$10)*$N1445)</f>
        <v/>
      </c>
      <c r="P1445" s="57" t="str">
        <f aca="false">IF($O1445="","",SUMIFS($O$6:$O$2405,$A$6:$A$2405,"&lt;="&amp;$A1445))</f>
        <v/>
      </c>
      <c r="Q1445" s="57" t="str">
        <f aca="false">IF($O1445="","",IF($P1445&lt;=BankCostEnvelope*'5. Scenarios'!$D$7,1,0))</f>
        <v/>
      </c>
      <c r="R1445" s="57" t="str">
        <f aca="false">IF($N1445="","",INDEX(BookRate,1440)*(1+'5. Scenarios'!$D$10)*(INDEX(BookQ1,1440)*(5-MIN(4,1+'5. Scenarios'!$D$8))/4+INDEX(BookQ2,1440)*(5-MIN(4,2+'5. Scenarios'!$D$8))/4+INDEX(BookQ3,1440)*(5-MIN(4,3+'5. Scenarios'!$D$8))/4+INDEX(BookQ4,1440)*(5-MIN(4,4+'5. Scenarios'!$D$8))/4)*'5. Scenarios'!$D$6/(1+ProductivityDefault*('5. Scenarios'!$D$11-1))+INDEX(BookOneOff,1440)*$N1445)</f>
        <v/>
      </c>
      <c r="S1445" s="56" t="str">
        <f aca="false">IF(INDEX(BookTitle,1440)="","",INDEX(BookTotal,1440)*'5. Scenarios'!$E$6/(1+ProductivityDefault*('5. Scenarios'!$E$11-1)))</f>
        <v/>
      </c>
      <c r="T1445" s="57" t="str">
        <f aca="false">IF($S1445="","",INDEX(BookRate,1440)*(1+'5. Scenarios'!$E$10)*$S1445)</f>
        <v/>
      </c>
      <c r="U1445" s="57" t="str">
        <f aca="false">IF($T1445="","",SUMIFS($T$6:$T$2405,$A$6:$A$2405,"&lt;="&amp;$A1445))</f>
        <v/>
      </c>
      <c r="V1445" s="57" t="str">
        <f aca="false">IF($T1445="","",IF($U1445&lt;=BankCostEnvelope*'5. Scenarios'!$E$7,1,0))</f>
        <v/>
      </c>
      <c r="W1445" s="57" t="str">
        <f aca="false">IF($S1445="","",INDEX(BookRate,1440)*(1+'5. Scenarios'!$E$10)*(INDEX(BookQ1,1440)*(5-MIN(4,1+'5. Scenarios'!$E$8))/4+INDEX(BookQ2,1440)*(5-MIN(4,2+'5. Scenarios'!$E$8))/4+INDEX(BookQ3,1440)*(5-MIN(4,3+'5. Scenarios'!$E$8))/4+INDEX(BookQ4,1440)*(5-MIN(4,4+'5. Scenarios'!$E$8))/4)*'5. Scenarios'!$E$6/(1+ProductivityDefault*('5. Scenarios'!$E$11-1))+INDEX(BookOneOff,1440)*$S1445)</f>
        <v/>
      </c>
    </row>
    <row r="1446" customFormat="false" ht="15" hidden="false" customHeight="false" outlineLevel="0" collapsed="false">
      <c r="A1446" s="0" t="str">
        <f aca="false">IF(INDEX(BookTitle,1441)="","",INDEX(BookKey,1441))</f>
        <v/>
      </c>
      <c r="B1446" s="0" t="str">
        <f aca="false">IF(INDEX(BookTitle,1441)="","",INDEX(BookGroup,1441))</f>
        <v/>
      </c>
      <c r="C1446" s="0" t="str">
        <f aca="false">IF(INDEX(BookTitle,1441)="","",INDEX(BookCategory,1441))</f>
        <v/>
      </c>
      <c r="D1446" s="56" t="str">
        <f aca="false">IF(INDEX(BookTitle,1441)="","",INDEX(BookTotal,1441)*'5. Scenarios'!$B$6/(1+ProductivityDefault*('5. Scenarios'!$B$11-1)))</f>
        <v/>
      </c>
      <c r="E1446" s="57" t="str">
        <f aca="false">IF($D1446="","",INDEX(BookRate,1441)*(1+'5. Scenarios'!$B$10)*$D1446)</f>
        <v/>
      </c>
      <c r="F1446" s="57" t="str">
        <f aca="false">IF($E1446="","",SUMIFS($E$6:$E$2405,$A$6:$A$2405,"&lt;="&amp;$A1446))</f>
        <v/>
      </c>
      <c r="G1446" s="57" t="str">
        <f aca="false">IF($E1446="","",IF($F1446&lt;=BankCostEnvelope*'5. Scenarios'!$B$7,1,0))</f>
        <v/>
      </c>
      <c r="H1446" s="57" t="str">
        <f aca="false">IF($D1446="","",INDEX(BookRate,1441)*(1+'5. Scenarios'!$B$10)*(INDEX(BookQ1,1441)*(5-MIN(4,1+'5. Scenarios'!$B$8))/4+INDEX(BookQ2,1441)*(5-MIN(4,2+'5. Scenarios'!$B$8))/4+INDEX(BookQ3,1441)*(5-MIN(4,3+'5. Scenarios'!$B$8))/4+INDEX(BookQ4,1441)*(5-MIN(4,4+'5. Scenarios'!$B$8))/4)*'5. Scenarios'!$B$6/(1+ProductivityDefault*('5. Scenarios'!$B$11-1))+INDEX(BookOneOff,1441)*$D1446)</f>
        <v/>
      </c>
      <c r="I1446" s="56" t="str">
        <f aca="false">IF(INDEX(BookTitle,1441)="","",INDEX(BookTotal,1441)*'5. Scenarios'!$C$6/(1+ProductivityDefault*('5. Scenarios'!$C$11-1)))</f>
        <v/>
      </c>
      <c r="J1446" s="57" t="str">
        <f aca="false">IF($I1446="","",INDEX(BookRate,1441)*(1+'5. Scenarios'!$C$10)*$I1446)</f>
        <v/>
      </c>
      <c r="K1446" s="57" t="str">
        <f aca="false">IF($J1446="","",SUMIFS($J$6:$J$2405,$A$6:$A$2405,"&lt;="&amp;$A1446))</f>
        <v/>
      </c>
      <c r="L1446" s="57" t="str">
        <f aca="false">IF($J1446="","",IF($K1446&lt;=BankCostEnvelope*'5. Scenarios'!$C$7,1,0))</f>
        <v/>
      </c>
      <c r="M1446" s="57" t="str">
        <f aca="false">IF($I1446="","",INDEX(BookRate,1441)*(1+'5. Scenarios'!$C$10)*(INDEX(BookQ1,1441)*(5-MIN(4,1+'5. Scenarios'!$C$8))/4+INDEX(BookQ2,1441)*(5-MIN(4,2+'5. Scenarios'!$C$8))/4+INDEX(BookQ3,1441)*(5-MIN(4,3+'5. Scenarios'!$C$8))/4+INDEX(BookQ4,1441)*(5-MIN(4,4+'5. Scenarios'!$C$8))/4)*'5. Scenarios'!$C$6/(1+ProductivityDefault*('5. Scenarios'!$C$11-1))+INDEX(BookOneOff,1441)*$I1446)</f>
        <v/>
      </c>
      <c r="N1446" s="56" t="str">
        <f aca="false">IF(INDEX(BookTitle,1441)="","",INDEX(BookTotal,1441)*'5. Scenarios'!$D$6/(1+ProductivityDefault*('5. Scenarios'!$D$11-1)))</f>
        <v/>
      </c>
      <c r="O1446" s="57" t="str">
        <f aca="false">IF($N1446="","",INDEX(BookRate,1441)*(1+'5. Scenarios'!$D$10)*$N1446)</f>
        <v/>
      </c>
      <c r="P1446" s="57" t="str">
        <f aca="false">IF($O1446="","",SUMIFS($O$6:$O$2405,$A$6:$A$2405,"&lt;="&amp;$A1446))</f>
        <v/>
      </c>
      <c r="Q1446" s="57" t="str">
        <f aca="false">IF($O1446="","",IF($P1446&lt;=BankCostEnvelope*'5. Scenarios'!$D$7,1,0))</f>
        <v/>
      </c>
      <c r="R1446" s="57" t="str">
        <f aca="false">IF($N1446="","",INDEX(BookRate,1441)*(1+'5. Scenarios'!$D$10)*(INDEX(BookQ1,1441)*(5-MIN(4,1+'5. Scenarios'!$D$8))/4+INDEX(BookQ2,1441)*(5-MIN(4,2+'5. Scenarios'!$D$8))/4+INDEX(BookQ3,1441)*(5-MIN(4,3+'5. Scenarios'!$D$8))/4+INDEX(BookQ4,1441)*(5-MIN(4,4+'5. Scenarios'!$D$8))/4)*'5. Scenarios'!$D$6/(1+ProductivityDefault*('5. Scenarios'!$D$11-1))+INDEX(BookOneOff,1441)*$N1446)</f>
        <v/>
      </c>
      <c r="S1446" s="56" t="str">
        <f aca="false">IF(INDEX(BookTitle,1441)="","",INDEX(BookTotal,1441)*'5. Scenarios'!$E$6/(1+ProductivityDefault*('5. Scenarios'!$E$11-1)))</f>
        <v/>
      </c>
      <c r="T1446" s="57" t="str">
        <f aca="false">IF($S1446="","",INDEX(BookRate,1441)*(1+'5. Scenarios'!$E$10)*$S1446)</f>
        <v/>
      </c>
      <c r="U1446" s="57" t="str">
        <f aca="false">IF($T1446="","",SUMIFS($T$6:$T$2405,$A$6:$A$2405,"&lt;="&amp;$A1446))</f>
        <v/>
      </c>
      <c r="V1446" s="57" t="str">
        <f aca="false">IF($T1446="","",IF($U1446&lt;=BankCostEnvelope*'5. Scenarios'!$E$7,1,0))</f>
        <v/>
      </c>
      <c r="W1446" s="57" t="str">
        <f aca="false">IF($S1446="","",INDEX(BookRate,1441)*(1+'5. Scenarios'!$E$10)*(INDEX(BookQ1,1441)*(5-MIN(4,1+'5. Scenarios'!$E$8))/4+INDEX(BookQ2,1441)*(5-MIN(4,2+'5. Scenarios'!$E$8))/4+INDEX(BookQ3,1441)*(5-MIN(4,3+'5. Scenarios'!$E$8))/4+INDEX(BookQ4,1441)*(5-MIN(4,4+'5. Scenarios'!$E$8))/4)*'5. Scenarios'!$E$6/(1+ProductivityDefault*('5. Scenarios'!$E$11-1))+INDEX(BookOneOff,1441)*$S1446)</f>
        <v/>
      </c>
    </row>
    <row r="1447" customFormat="false" ht="15" hidden="false" customHeight="false" outlineLevel="0" collapsed="false">
      <c r="A1447" s="0" t="str">
        <f aca="false">IF(INDEX(BookTitle,1442)="","",INDEX(BookKey,1442))</f>
        <v/>
      </c>
      <c r="B1447" s="0" t="str">
        <f aca="false">IF(INDEX(BookTitle,1442)="","",INDEX(BookGroup,1442))</f>
        <v/>
      </c>
      <c r="C1447" s="0" t="str">
        <f aca="false">IF(INDEX(BookTitle,1442)="","",INDEX(BookCategory,1442))</f>
        <v/>
      </c>
      <c r="D1447" s="56" t="str">
        <f aca="false">IF(INDEX(BookTitle,1442)="","",INDEX(BookTotal,1442)*'5. Scenarios'!$B$6/(1+ProductivityDefault*('5. Scenarios'!$B$11-1)))</f>
        <v/>
      </c>
      <c r="E1447" s="57" t="str">
        <f aca="false">IF($D1447="","",INDEX(BookRate,1442)*(1+'5. Scenarios'!$B$10)*$D1447)</f>
        <v/>
      </c>
      <c r="F1447" s="57" t="str">
        <f aca="false">IF($E1447="","",SUMIFS($E$6:$E$2405,$A$6:$A$2405,"&lt;="&amp;$A1447))</f>
        <v/>
      </c>
      <c r="G1447" s="57" t="str">
        <f aca="false">IF($E1447="","",IF($F1447&lt;=BankCostEnvelope*'5. Scenarios'!$B$7,1,0))</f>
        <v/>
      </c>
      <c r="H1447" s="57" t="str">
        <f aca="false">IF($D1447="","",INDEX(BookRate,1442)*(1+'5. Scenarios'!$B$10)*(INDEX(BookQ1,1442)*(5-MIN(4,1+'5. Scenarios'!$B$8))/4+INDEX(BookQ2,1442)*(5-MIN(4,2+'5. Scenarios'!$B$8))/4+INDEX(BookQ3,1442)*(5-MIN(4,3+'5. Scenarios'!$B$8))/4+INDEX(BookQ4,1442)*(5-MIN(4,4+'5. Scenarios'!$B$8))/4)*'5. Scenarios'!$B$6/(1+ProductivityDefault*('5. Scenarios'!$B$11-1))+INDEX(BookOneOff,1442)*$D1447)</f>
        <v/>
      </c>
      <c r="I1447" s="56" t="str">
        <f aca="false">IF(INDEX(BookTitle,1442)="","",INDEX(BookTotal,1442)*'5. Scenarios'!$C$6/(1+ProductivityDefault*('5. Scenarios'!$C$11-1)))</f>
        <v/>
      </c>
      <c r="J1447" s="57" t="str">
        <f aca="false">IF($I1447="","",INDEX(BookRate,1442)*(1+'5. Scenarios'!$C$10)*$I1447)</f>
        <v/>
      </c>
      <c r="K1447" s="57" t="str">
        <f aca="false">IF($J1447="","",SUMIFS($J$6:$J$2405,$A$6:$A$2405,"&lt;="&amp;$A1447))</f>
        <v/>
      </c>
      <c r="L1447" s="57" t="str">
        <f aca="false">IF($J1447="","",IF($K1447&lt;=BankCostEnvelope*'5. Scenarios'!$C$7,1,0))</f>
        <v/>
      </c>
      <c r="M1447" s="57" t="str">
        <f aca="false">IF($I1447="","",INDEX(BookRate,1442)*(1+'5. Scenarios'!$C$10)*(INDEX(BookQ1,1442)*(5-MIN(4,1+'5. Scenarios'!$C$8))/4+INDEX(BookQ2,1442)*(5-MIN(4,2+'5. Scenarios'!$C$8))/4+INDEX(BookQ3,1442)*(5-MIN(4,3+'5. Scenarios'!$C$8))/4+INDEX(BookQ4,1442)*(5-MIN(4,4+'5. Scenarios'!$C$8))/4)*'5. Scenarios'!$C$6/(1+ProductivityDefault*('5. Scenarios'!$C$11-1))+INDEX(BookOneOff,1442)*$I1447)</f>
        <v/>
      </c>
      <c r="N1447" s="56" t="str">
        <f aca="false">IF(INDEX(BookTitle,1442)="","",INDEX(BookTotal,1442)*'5. Scenarios'!$D$6/(1+ProductivityDefault*('5. Scenarios'!$D$11-1)))</f>
        <v/>
      </c>
      <c r="O1447" s="57" t="str">
        <f aca="false">IF($N1447="","",INDEX(BookRate,1442)*(1+'5. Scenarios'!$D$10)*$N1447)</f>
        <v/>
      </c>
      <c r="P1447" s="57" t="str">
        <f aca="false">IF($O1447="","",SUMIFS($O$6:$O$2405,$A$6:$A$2405,"&lt;="&amp;$A1447))</f>
        <v/>
      </c>
      <c r="Q1447" s="57" t="str">
        <f aca="false">IF($O1447="","",IF($P1447&lt;=BankCostEnvelope*'5. Scenarios'!$D$7,1,0))</f>
        <v/>
      </c>
      <c r="R1447" s="57" t="str">
        <f aca="false">IF($N1447="","",INDEX(BookRate,1442)*(1+'5. Scenarios'!$D$10)*(INDEX(BookQ1,1442)*(5-MIN(4,1+'5. Scenarios'!$D$8))/4+INDEX(BookQ2,1442)*(5-MIN(4,2+'5. Scenarios'!$D$8))/4+INDEX(BookQ3,1442)*(5-MIN(4,3+'5. Scenarios'!$D$8))/4+INDEX(BookQ4,1442)*(5-MIN(4,4+'5. Scenarios'!$D$8))/4)*'5. Scenarios'!$D$6/(1+ProductivityDefault*('5. Scenarios'!$D$11-1))+INDEX(BookOneOff,1442)*$N1447)</f>
        <v/>
      </c>
      <c r="S1447" s="56" t="str">
        <f aca="false">IF(INDEX(BookTitle,1442)="","",INDEX(BookTotal,1442)*'5. Scenarios'!$E$6/(1+ProductivityDefault*('5. Scenarios'!$E$11-1)))</f>
        <v/>
      </c>
      <c r="T1447" s="57" t="str">
        <f aca="false">IF($S1447="","",INDEX(BookRate,1442)*(1+'5. Scenarios'!$E$10)*$S1447)</f>
        <v/>
      </c>
      <c r="U1447" s="57" t="str">
        <f aca="false">IF($T1447="","",SUMIFS($T$6:$T$2405,$A$6:$A$2405,"&lt;="&amp;$A1447))</f>
        <v/>
      </c>
      <c r="V1447" s="57" t="str">
        <f aca="false">IF($T1447="","",IF($U1447&lt;=BankCostEnvelope*'5. Scenarios'!$E$7,1,0))</f>
        <v/>
      </c>
      <c r="W1447" s="57" t="str">
        <f aca="false">IF($S1447="","",INDEX(BookRate,1442)*(1+'5. Scenarios'!$E$10)*(INDEX(BookQ1,1442)*(5-MIN(4,1+'5. Scenarios'!$E$8))/4+INDEX(BookQ2,1442)*(5-MIN(4,2+'5. Scenarios'!$E$8))/4+INDEX(BookQ3,1442)*(5-MIN(4,3+'5. Scenarios'!$E$8))/4+INDEX(BookQ4,1442)*(5-MIN(4,4+'5. Scenarios'!$E$8))/4)*'5. Scenarios'!$E$6/(1+ProductivityDefault*('5. Scenarios'!$E$11-1))+INDEX(BookOneOff,1442)*$S1447)</f>
        <v/>
      </c>
    </row>
    <row r="1448" customFormat="false" ht="15" hidden="false" customHeight="false" outlineLevel="0" collapsed="false">
      <c r="A1448" s="0" t="str">
        <f aca="false">IF(INDEX(BookTitle,1443)="","",INDEX(BookKey,1443))</f>
        <v/>
      </c>
      <c r="B1448" s="0" t="str">
        <f aca="false">IF(INDEX(BookTitle,1443)="","",INDEX(BookGroup,1443))</f>
        <v/>
      </c>
      <c r="C1448" s="0" t="str">
        <f aca="false">IF(INDEX(BookTitle,1443)="","",INDEX(BookCategory,1443))</f>
        <v/>
      </c>
      <c r="D1448" s="56" t="str">
        <f aca="false">IF(INDEX(BookTitle,1443)="","",INDEX(BookTotal,1443)*'5. Scenarios'!$B$6/(1+ProductivityDefault*('5. Scenarios'!$B$11-1)))</f>
        <v/>
      </c>
      <c r="E1448" s="57" t="str">
        <f aca="false">IF($D1448="","",INDEX(BookRate,1443)*(1+'5. Scenarios'!$B$10)*$D1448)</f>
        <v/>
      </c>
      <c r="F1448" s="57" t="str">
        <f aca="false">IF($E1448="","",SUMIFS($E$6:$E$2405,$A$6:$A$2405,"&lt;="&amp;$A1448))</f>
        <v/>
      </c>
      <c r="G1448" s="57" t="str">
        <f aca="false">IF($E1448="","",IF($F1448&lt;=BankCostEnvelope*'5. Scenarios'!$B$7,1,0))</f>
        <v/>
      </c>
      <c r="H1448" s="57" t="str">
        <f aca="false">IF($D1448="","",INDEX(BookRate,1443)*(1+'5. Scenarios'!$B$10)*(INDEX(BookQ1,1443)*(5-MIN(4,1+'5. Scenarios'!$B$8))/4+INDEX(BookQ2,1443)*(5-MIN(4,2+'5. Scenarios'!$B$8))/4+INDEX(BookQ3,1443)*(5-MIN(4,3+'5. Scenarios'!$B$8))/4+INDEX(BookQ4,1443)*(5-MIN(4,4+'5. Scenarios'!$B$8))/4)*'5. Scenarios'!$B$6/(1+ProductivityDefault*('5. Scenarios'!$B$11-1))+INDEX(BookOneOff,1443)*$D1448)</f>
        <v/>
      </c>
      <c r="I1448" s="56" t="str">
        <f aca="false">IF(INDEX(BookTitle,1443)="","",INDEX(BookTotal,1443)*'5. Scenarios'!$C$6/(1+ProductivityDefault*('5. Scenarios'!$C$11-1)))</f>
        <v/>
      </c>
      <c r="J1448" s="57" t="str">
        <f aca="false">IF($I1448="","",INDEX(BookRate,1443)*(1+'5. Scenarios'!$C$10)*$I1448)</f>
        <v/>
      </c>
      <c r="K1448" s="57" t="str">
        <f aca="false">IF($J1448="","",SUMIFS($J$6:$J$2405,$A$6:$A$2405,"&lt;="&amp;$A1448))</f>
        <v/>
      </c>
      <c r="L1448" s="57" t="str">
        <f aca="false">IF($J1448="","",IF($K1448&lt;=BankCostEnvelope*'5. Scenarios'!$C$7,1,0))</f>
        <v/>
      </c>
      <c r="M1448" s="57" t="str">
        <f aca="false">IF($I1448="","",INDEX(BookRate,1443)*(1+'5. Scenarios'!$C$10)*(INDEX(BookQ1,1443)*(5-MIN(4,1+'5. Scenarios'!$C$8))/4+INDEX(BookQ2,1443)*(5-MIN(4,2+'5. Scenarios'!$C$8))/4+INDEX(BookQ3,1443)*(5-MIN(4,3+'5. Scenarios'!$C$8))/4+INDEX(BookQ4,1443)*(5-MIN(4,4+'5. Scenarios'!$C$8))/4)*'5. Scenarios'!$C$6/(1+ProductivityDefault*('5. Scenarios'!$C$11-1))+INDEX(BookOneOff,1443)*$I1448)</f>
        <v/>
      </c>
      <c r="N1448" s="56" t="str">
        <f aca="false">IF(INDEX(BookTitle,1443)="","",INDEX(BookTotal,1443)*'5. Scenarios'!$D$6/(1+ProductivityDefault*('5. Scenarios'!$D$11-1)))</f>
        <v/>
      </c>
      <c r="O1448" s="57" t="str">
        <f aca="false">IF($N1448="","",INDEX(BookRate,1443)*(1+'5. Scenarios'!$D$10)*$N1448)</f>
        <v/>
      </c>
      <c r="P1448" s="57" t="str">
        <f aca="false">IF($O1448="","",SUMIFS($O$6:$O$2405,$A$6:$A$2405,"&lt;="&amp;$A1448))</f>
        <v/>
      </c>
      <c r="Q1448" s="57" t="str">
        <f aca="false">IF($O1448="","",IF($P1448&lt;=BankCostEnvelope*'5. Scenarios'!$D$7,1,0))</f>
        <v/>
      </c>
      <c r="R1448" s="57" t="str">
        <f aca="false">IF($N1448="","",INDEX(BookRate,1443)*(1+'5. Scenarios'!$D$10)*(INDEX(BookQ1,1443)*(5-MIN(4,1+'5. Scenarios'!$D$8))/4+INDEX(BookQ2,1443)*(5-MIN(4,2+'5. Scenarios'!$D$8))/4+INDEX(BookQ3,1443)*(5-MIN(4,3+'5. Scenarios'!$D$8))/4+INDEX(BookQ4,1443)*(5-MIN(4,4+'5. Scenarios'!$D$8))/4)*'5. Scenarios'!$D$6/(1+ProductivityDefault*('5. Scenarios'!$D$11-1))+INDEX(BookOneOff,1443)*$N1448)</f>
        <v/>
      </c>
      <c r="S1448" s="56" t="str">
        <f aca="false">IF(INDEX(BookTitle,1443)="","",INDEX(BookTotal,1443)*'5. Scenarios'!$E$6/(1+ProductivityDefault*('5. Scenarios'!$E$11-1)))</f>
        <v/>
      </c>
      <c r="T1448" s="57" t="str">
        <f aca="false">IF($S1448="","",INDEX(BookRate,1443)*(1+'5. Scenarios'!$E$10)*$S1448)</f>
        <v/>
      </c>
      <c r="U1448" s="57" t="str">
        <f aca="false">IF($T1448="","",SUMIFS($T$6:$T$2405,$A$6:$A$2405,"&lt;="&amp;$A1448))</f>
        <v/>
      </c>
      <c r="V1448" s="57" t="str">
        <f aca="false">IF($T1448="","",IF($U1448&lt;=BankCostEnvelope*'5. Scenarios'!$E$7,1,0))</f>
        <v/>
      </c>
      <c r="W1448" s="57" t="str">
        <f aca="false">IF($S1448="","",INDEX(BookRate,1443)*(1+'5. Scenarios'!$E$10)*(INDEX(BookQ1,1443)*(5-MIN(4,1+'5. Scenarios'!$E$8))/4+INDEX(BookQ2,1443)*(5-MIN(4,2+'5. Scenarios'!$E$8))/4+INDEX(BookQ3,1443)*(5-MIN(4,3+'5. Scenarios'!$E$8))/4+INDEX(BookQ4,1443)*(5-MIN(4,4+'5. Scenarios'!$E$8))/4)*'5. Scenarios'!$E$6/(1+ProductivityDefault*('5. Scenarios'!$E$11-1))+INDEX(BookOneOff,1443)*$S1448)</f>
        <v/>
      </c>
    </row>
    <row r="1449" customFormat="false" ht="15" hidden="false" customHeight="false" outlineLevel="0" collapsed="false">
      <c r="A1449" s="0" t="str">
        <f aca="false">IF(INDEX(BookTitle,1444)="","",INDEX(BookKey,1444))</f>
        <v/>
      </c>
      <c r="B1449" s="0" t="str">
        <f aca="false">IF(INDEX(BookTitle,1444)="","",INDEX(BookGroup,1444))</f>
        <v/>
      </c>
      <c r="C1449" s="0" t="str">
        <f aca="false">IF(INDEX(BookTitle,1444)="","",INDEX(BookCategory,1444))</f>
        <v/>
      </c>
      <c r="D1449" s="56" t="str">
        <f aca="false">IF(INDEX(BookTitle,1444)="","",INDEX(BookTotal,1444)*'5. Scenarios'!$B$6/(1+ProductivityDefault*('5. Scenarios'!$B$11-1)))</f>
        <v/>
      </c>
      <c r="E1449" s="57" t="str">
        <f aca="false">IF($D1449="","",INDEX(BookRate,1444)*(1+'5. Scenarios'!$B$10)*$D1449)</f>
        <v/>
      </c>
      <c r="F1449" s="57" t="str">
        <f aca="false">IF($E1449="","",SUMIFS($E$6:$E$2405,$A$6:$A$2405,"&lt;="&amp;$A1449))</f>
        <v/>
      </c>
      <c r="G1449" s="57" t="str">
        <f aca="false">IF($E1449="","",IF($F1449&lt;=BankCostEnvelope*'5. Scenarios'!$B$7,1,0))</f>
        <v/>
      </c>
      <c r="H1449" s="57" t="str">
        <f aca="false">IF($D1449="","",INDEX(BookRate,1444)*(1+'5. Scenarios'!$B$10)*(INDEX(BookQ1,1444)*(5-MIN(4,1+'5. Scenarios'!$B$8))/4+INDEX(BookQ2,1444)*(5-MIN(4,2+'5. Scenarios'!$B$8))/4+INDEX(BookQ3,1444)*(5-MIN(4,3+'5. Scenarios'!$B$8))/4+INDEX(BookQ4,1444)*(5-MIN(4,4+'5. Scenarios'!$B$8))/4)*'5. Scenarios'!$B$6/(1+ProductivityDefault*('5. Scenarios'!$B$11-1))+INDEX(BookOneOff,1444)*$D1449)</f>
        <v/>
      </c>
      <c r="I1449" s="56" t="str">
        <f aca="false">IF(INDEX(BookTitle,1444)="","",INDEX(BookTotal,1444)*'5. Scenarios'!$C$6/(1+ProductivityDefault*('5. Scenarios'!$C$11-1)))</f>
        <v/>
      </c>
      <c r="J1449" s="57" t="str">
        <f aca="false">IF($I1449="","",INDEX(BookRate,1444)*(1+'5. Scenarios'!$C$10)*$I1449)</f>
        <v/>
      </c>
      <c r="K1449" s="57" t="str">
        <f aca="false">IF($J1449="","",SUMIFS($J$6:$J$2405,$A$6:$A$2405,"&lt;="&amp;$A1449))</f>
        <v/>
      </c>
      <c r="L1449" s="57" t="str">
        <f aca="false">IF($J1449="","",IF($K1449&lt;=BankCostEnvelope*'5. Scenarios'!$C$7,1,0))</f>
        <v/>
      </c>
      <c r="M1449" s="57" t="str">
        <f aca="false">IF($I1449="","",INDEX(BookRate,1444)*(1+'5. Scenarios'!$C$10)*(INDEX(BookQ1,1444)*(5-MIN(4,1+'5. Scenarios'!$C$8))/4+INDEX(BookQ2,1444)*(5-MIN(4,2+'5. Scenarios'!$C$8))/4+INDEX(BookQ3,1444)*(5-MIN(4,3+'5. Scenarios'!$C$8))/4+INDEX(BookQ4,1444)*(5-MIN(4,4+'5. Scenarios'!$C$8))/4)*'5. Scenarios'!$C$6/(1+ProductivityDefault*('5. Scenarios'!$C$11-1))+INDEX(BookOneOff,1444)*$I1449)</f>
        <v/>
      </c>
      <c r="N1449" s="56" t="str">
        <f aca="false">IF(INDEX(BookTitle,1444)="","",INDEX(BookTotal,1444)*'5. Scenarios'!$D$6/(1+ProductivityDefault*('5. Scenarios'!$D$11-1)))</f>
        <v/>
      </c>
      <c r="O1449" s="57" t="str">
        <f aca="false">IF($N1449="","",INDEX(BookRate,1444)*(1+'5. Scenarios'!$D$10)*$N1449)</f>
        <v/>
      </c>
      <c r="P1449" s="57" t="str">
        <f aca="false">IF($O1449="","",SUMIFS($O$6:$O$2405,$A$6:$A$2405,"&lt;="&amp;$A1449))</f>
        <v/>
      </c>
      <c r="Q1449" s="57" t="str">
        <f aca="false">IF($O1449="","",IF($P1449&lt;=BankCostEnvelope*'5. Scenarios'!$D$7,1,0))</f>
        <v/>
      </c>
      <c r="R1449" s="57" t="str">
        <f aca="false">IF($N1449="","",INDEX(BookRate,1444)*(1+'5. Scenarios'!$D$10)*(INDEX(BookQ1,1444)*(5-MIN(4,1+'5. Scenarios'!$D$8))/4+INDEX(BookQ2,1444)*(5-MIN(4,2+'5. Scenarios'!$D$8))/4+INDEX(BookQ3,1444)*(5-MIN(4,3+'5. Scenarios'!$D$8))/4+INDEX(BookQ4,1444)*(5-MIN(4,4+'5. Scenarios'!$D$8))/4)*'5. Scenarios'!$D$6/(1+ProductivityDefault*('5. Scenarios'!$D$11-1))+INDEX(BookOneOff,1444)*$N1449)</f>
        <v/>
      </c>
      <c r="S1449" s="56" t="str">
        <f aca="false">IF(INDEX(BookTitle,1444)="","",INDEX(BookTotal,1444)*'5. Scenarios'!$E$6/(1+ProductivityDefault*('5. Scenarios'!$E$11-1)))</f>
        <v/>
      </c>
      <c r="T1449" s="57" t="str">
        <f aca="false">IF($S1449="","",INDEX(BookRate,1444)*(1+'5. Scenarios'!$E$10)*$S1449)</f>
        <v/>
      </c>
      <c r="U1449" s="57" t="str">
        <f aca="false">IF($T1449="","",SUMIFS($T$6:$T$2405,$A$6:$A$2405,"&lt;="&amp;$A1449))</f>
        <v/>
      </c>
      <c r="V1449" s="57" t="str">
        <f aca="false">IF($T1449="","",IF($U1449&lt;=BankCostEnvelope*'5. Scenarios'!$E$7,1,0))</f>
        <v/>
      </c>
      <c r="W1449" s="57" t="str">
        <f aca="false">IF($S1449="","",INDEX(BookRate,1444)*(1+'5. Scenarios'!$E$10)*(INDEX(BookQ1,1444)*(5-MIN(4,1+'5. Scenarios'!$E$8))/4+INDEX(BookQ2,1444)*(5-MIN(4,2+'5. Scenarios'!$E$8))/4+INDEX(BookQ3,1444)*(5-MIN(4,3+'5. Scenarios'!$E$8))/4+INDEX(BookQ4,1444)*(5-MIN(4,4+'5. Scenarios'!$E$8))/4)*'5. Scenarios'!$E$6/(1+ProductivityDefault*('5. Scenarios'!$E$11-1))+INDEX(BookOneOff,1444)*$S1449)</f>
        <v/>
      </c>
    </row>
    <row r="1450" customFormat="false" ht="15" hidden="false" customHeight="false" outlineLevel="0" collapsed="false">
      <c r="A1450" s="0" t="str">
        <f aca="false">IF(INDEX(BookTitle,1445)="","",INDEX(BookKey,1445))</f>
        <v/>
      </c>
      <c r="B1450" s="0" t="str">
        <f aca="false">IF(INDEX(BookTitle,1445)="","",INDEX(BookGroup,1445))</f>
        <v/>
      </c>
      <c r="C1450" s="0" t="str">
        <f aca="false">IF(INDEX(BookTitle,1445)="","",INDEX(BookCategory,1445))</f>
        <v/>
      </c>
      <c r="D1450" s="56" t="str">
        <f aca="false">IF(INDEX(BookTitle,1445)="","",INDEX(BookTotal,1445)*'5. Scenarios'!$B$6/(1+ProductivityDefault*('5. Scenarios'!$B$11-1)))</f>
        <v/>
      </c>
      <c r="E1450" s="57" t="str">
        <f aca="false">IF($D1450="","",INDEX(BookRate,1445)*(1+'5. Scenarios'!$B$10)*$D1450)</f>
        <v/>
      </c>
      <c r="F1450" s="57" t="str">
        <f aca="false">IF($E1450="","",SUMIFS($E$6:$E$2405,$A$6:$A$2405,"&lt;="&amp;$A1450))</f>
        <v/>
      </c>
      <c r="G1450" s="57" t="str">
        <f aca="false">IF($E1450="","",IF($F1450&lt;=BankCostEnvelope*'5. Scenarios'!$B$7,1,0))</f>
        <v/>
      </c>
      <c r="H1450" s="57" t="str">
        <f aca="false">IF($D1450="","",INDEX(BookRate,1445)*(1+'5. Scenarios'!$B$10)*(INDEX(BookQ1,1445)*(5-MIN(4,1+'5. Scenarios'!$B$8))/4+INDEX(BookQ2,1445)*(5-MIN(4,2+'5. Scenarios'!$B$8))/4+INDEX(BookQ3,1445)*(5-MIN(4,3+'5. Scenarios'!$B$8))/4+INDEX(BookQ4,1445)*(5-MIN(4,4+'5. Scenarios'!$B$8))/4)*'5. Scenarios'!$B$6/(1+ProductivityDefault*('5. Scenarios'!$B$11-1))+INDEX(BookOneOff,1445)*$D1450)</f>
        <v/>
      </c>
      <c r="I1450" s="56" t="str">
        <f aca="false">IF(INDEX(BookTitle,1445)="","",INDEX(BookTotal,1445)*'5. Scenarios'!$C$6/(1+ProductivityDefault*('5. Scenarios'!$C$11-1)))</f>
        <v/>
      </c>
      <c r="J1450" s="57" t="str">
        <f aca="false">IF($I1450="","",INDEX(BookRate,1445)*(1+'5. Scenarios'!$C$10)*$I1450)</f>
        <v/>
      </c>
      <c r="K1450" s="57" t="str">
        <f aca="false">IF($J1450="","",SUMIFS($J$6:$J$2405,$A$6:$A$2405,"&lt;="&amp;$A1450))</f>
        <v/>
      </c>
      <c r="L1450" s="57" t="str">
        <f aca="false">IF($J1450="","",IF($K1450&lt;=BankCostEnvelope*'5. Scenarios'!$C$7,1,0))</f>
        <v/>
      </c>
      <c r="M1450" s="57" t="str">
        <f aca="false">IF($I1450="","",INDEX(BookRate,1445)*(1+'5. Scenarios'!$C$10)*(INDEX(BookQ1,1445)*(5-MIN(4,1+'5. Scenarios'!$C$8))/4+INDEX(BookQ2,1445)*(5-MIN(4,2+'5. Scenarios'!$C$8))/4+INDEX(BookQ3,1445)*(5-MIN(4,3+'5. Scenarios'!$C$8))/4+INDEX(BookQ4,1445)*(5-MIN(4,4+'5. Scenarios'!$C$8))/4)*'5. Scenarios'!$C$6/(1+ProductivityDefault*('5. Scenarios'!$C$11-1))+INDEX(BookOneOff,1445)*$I1450)</f>
        <v/>
      </c>
      <c r="N1450" s="56" t="str">
        <f aca="false">IF(INDEX(BookTitle,1445)="","",INDEX(BookTotal,1445)*'5. Scenarios'!$D$6/(1+ProductivityDefault*('5. Scenarios'!$D$11-1)))</f>
        <v/>
      </c>
      <c r="O1450" s="57" t="str">
        <f aca="false">IF($N1450="","",INDEX(BookRate,1445)*(1+'5. Scenarios'!$D$10)*$N1450)</f>
        <v/>
      </c>
      <c r="P1450" s="57" t="str">
        <f aca="false">IF($O1450="","",SUMIFS($O$6:$O$2405,$A$6:$A$2405,"&lt;="&amp;$A1450))</f>
        <v/>
      </c>
      <c r="Q1450" s="57" t="str">
        <f aca="false">IF($O1450="","",IF($P1450&lt;=BankCostEnvelope*'5. Scenarios'!$D$7,1,0))</f>
        <v/>
      </c>
      <c r="R1450" s="57" t="str">
        <f aca="false">IF($N1450="","",INDEX(BookRate,1445)*(1+'5. Scenarios'!$D$10)*(INDEX(BookQ1,1445)*(5-MIN(4,1+'5. Scenarios'!$D$8))/4+INDEX(BookQ2,1445)*(5-MIN(4,2+'5. Scenarios'!$D$8))/4+INDEX(BookQ3,1445)*(5-MIN(4,3+'5. Scenarios'!$D$8))/4+INDEX(BookQ4,1445)*(5-MIN(4,4+'5. Scenarios'!$D$8))/4)*'5. Scenarios'!$D$6/(1+ProductivityDefault*('5. Scenarios'!$D$11-1))+INDEX(BookOneOff,1445)*$N1450)</f>
        <v/>
      </c>
      <c r="S1450" s="56" t="str">
        <f aca="false">IF(INDEX(BookTitle,1445)="","",INDEX(BookTotal,1445)*'5. Scenarios'!$E$6/(1+ProductivityDefault*('5. Scenarios'!$E$11-1)))</f>
        <v/>
      </c>
      <c r="T1450" s="57" t="str">
        <f aca="false">IF($S1450="","",INDEX(BookRate,1445)*(1+'5. Scenarios'!$E$10)*$S1450)</f>
        <v/>
      </c>
      <c r="U1450" s="57" t="str">
        <f aca="false">IF($T1450="","",SUMIFS($T$6:$T$2405,$A$6:$A$2405,"&lt;="&amp;$A1450))</f>
        <v/>
      </c>
      <c r="V1450" s="57" t="str">
        <f aca="false">IF($T1450="","",IF($U1450&lt;=BankCostEnvelope*'5. Scenarios'!$E$7,1,0))</f>
        <v/>
      </c>
      <c r="W1450" s="57" t="str">
        <f aca="false">IF($S1450="","",INDEX(BookRate,1445)*(1+'5. Scenarios'!$E$10)*(INDEX(BookQ1,1445)*(5-MIN(4,1+'5. Scenarios'!$E$8))/4+INDEX(BookQ2,1445)*(5-MIN(4,2+'5. Scenarios'!$E$8))/4+INDEX(BookQ3,1445)*(5-MIN(4,3+'5. Scenarios'!$E$8))/4+INDEX(BookQ4,1445)*(5-MIN(4,4+'5. Scenarios'!$E$8))/4)*'5. Scenarios'!$E$6/(1+ProductivityDefault*('5. Scenarios'!$E$11-1))+INDEX(BookOneOff,1445)*$S1450)</f>
        <v/>
      </c>
    </row>
    <row r="1451" customFormat="false" ht="15" hidden="false" customHeight="false" outlineLevel="0" collapsed="false">
      <c r="A1451" s="0" t="str">
        <f aca="false">IF(INDEX(BookTitle,1446)="","",INDEX(BookKey,1446))</f>
        <v/>
      </c>
      <c r="B1451" s="0" t="str">
        <f aca="false">IF(INDEX(BookTitle,1446)="","",INDEX(BookGroup,1446))</f>
        <v/>
      </c>
      <c r="C1451" s="0" t="str">
        <f aca="false">IF(INDEX(BookTitle,1446)="","",INDEX(BookCategory,1446))</f>
        <v/>
      </c>
      <c r="D1451" s="56" t="str">
        <f aca="false">IF(INDEX(BookTitle,1446)="","",INDEX(BookTotal,1446)*'5. Scenarios'!$B$6/(1+ProductivityDefault*('5. Scenarios'!$B$11-1)))</f>
        <v/>
      </c>
      <c r="E1451" s="57" t="str">
        <f aca="false">IF($D1451="","",INDEX(BookRate,1446)*(1+'5. Scenarios'!$B$10)*$D1451)</f>
        <v/>
      </c>
      <c r="F1451" s="57" t="str">
        <f aca="false">IF($E1451="","",SUMIFS($E$6:$E$2405,$A$6:$A$2405,"&lt;="&amp;$A1451))</f>
        <v/>
      </c>
      <c r="G1451" s="57" t="str">
        <f aca="false">IF($E1451="","",IF($F1451&lt;=BankCostEnvelope*'5. Scenarios'!$B$7,1,0))</f>
        <v/>
      </c>
      <c r="H1451" s="57" t="str">
        <f aca="false">IF($D1451="","",INDEX(BookRate,1446)*(1+'5. Scenarios'!$B$10)*(INDEX(BookQ1,1446)*(5-MIN(4,1+'5. Scenarios'!$B$8))/4+INDEX(BookQ2,1446)*(5-MIN(4,2+'5. Scenarios'!$B$8))/4+INDEX(BookQ3,1446)*(5-MIN(4,3+'5. Scenarios'!$B$8))/4+INDEX(BookQ4,1446)*(5-MIN(4,4+'5. Scenarios'!$B$8))/4)*'5. Scenarios'!$B$6/(1+ProductivityDefault*('5. Scenarios'!$B$11-1))+INDEX(BookOneOff,1446)*$D1451)</f>
        <v/>
      </c>
      <c r="I1451" s="56" t="str">
        <f aca="false">IF(INDEX(BookTitle,1446)="","",INDEX(BookTotal,1446)*'5. Scenarios'!$C$6/(1+ProductivityDefault*('5. Scenarios'!$C$11-1)))</f>
        <v/>
      </c>
      <c r="J1451" s="57" t="str">
        <f aca="false">IF($I1451="","",INDEX(BookRate,1446)*(1+'5. Scenarios'!$C$10)*$I1451)</f>
        <v/>
      </c>
      <c r="K1451" s="57" t="str">
        <f aca="false">IF($J1451="","",SUMIFS($J$6:$J$2405,$A$6:$A$2405,"&lt;="&amp;$A1451))</f>
        <v/>
      </c>
      <c r="L1451" s="57" t="str">
        <f aca="false">IF($J1451="","",IF($K1451&lt;=BankCostEnvelope*'5. Scenarios'!$C$7,1,0))</f>
        <v/>
      </c>
      <c r="M1451" s="57" t="str">
        <f aca="false">IF($I1451="","",INDEX(BookRate,1446)*(1+'5. Scenarios'!$C$10)*(INDEX(BookQ1,1446)*(5-MIN(4,1+'5. Scenarios'!$C$8))/4+INDEX(BookQ2,1446)*(5-MIN(4,2+'5. Scenarios'!$C$8))/4+INDEX(BookQ3,1446)*(5-MIN(4,3+'5. Scenarios'!$C$8))/4+INDEX(BookQ4,1446)*(5-MIN(4,4+'5. Scenarios'!$C$8))/4)*'5. Scenarios'!$C$6/(1+ProductivityDefault*('5. Scenarios'!$C$11-1))+INDEX(BookOneOff,1446)*$I1451)</f>
        <v/>
      </c>
      <c r="N1451" s="56" t="str">
        <f aca="false">IF(INDEX(BookTitle,1446)="","",INDEX(BookTotal,1446)*'5. Scenarios'!$D$6/(1+ProductivityDefault*('5. Scenarios'!$D$11-1)))</f>
        <v/>
      </c>
      <c r="O1451" s="57" t="str">
        <f aca="false">IF($N1451="","",INDEX(BookRate,1446)*(1+'5. Scenarios'!$D$10)*$N1451)</f>
        <v/>
      </c>
      <c r="P1451" s="57" t="str">
        <f aca="false">IF($O1451="","",SUMIFS($O$6:$O$2405,$A$6:$A$2405,"&lt;="&amp;$A1451))</f>
        <v/>
      </c>
      <c r="Q1451" s="57" t="str">
        <f aca="false">IF($O1451="","",IF($P1451&lt;=BankCostEnvelope*'5. Scenarios'!$D$7,1,0))</f>
        <v/>
      </c>
      <c r="R1451" s="57" t="str">
        <f aca="false">IF($N1451="","",INDEX(BookRate,1446)*(1+'5. Scenarios'!$D$10)*(INDEX(BookQ1,1446)*(5-MIN(4,1+'5. Scenarios'!$D$8))/4+INDEX(BookQ2,1446)*(5-MIN(4,2+'5. Scenarios'!$D$8))/4+INDEX(BookQ3,1446)*(5-MIN(4,3+'5. Scenarios'!$D$8))/4+INDEX(BookQ4,1446)*(5-MIN(4,4+'5. Scenarios'!$D$8))/4)*'5. Scenarios'!$D$6/(1+ProductivityDefault*('5. Scenarios'!$D$11-1))+INDEX(BookOneOff,1446)*$N1451)</f>
        <v/>
      </c>
      <c r="S1451" s="56" t="str">
        <f aca="false">IF(INDEX(BookTitle,1446)="","",INDEX(BookTotal,1446)*'5. Scenarios'!$E$6/(1+ProductivityDefault*('5. Scenarios'!$E$11-1)))</f>
        <v/>
      </c>
      <c r="T1451" s="57" t="str">
        <f aca="false">IF($S1451="","",INDEX(BookRate,1446)*(1+'5. Scenarios'!$E$10)*$S1451)</f>
        <v/>
      </c>
      <c r="U1451" s="57" t="str">
        <f aca="false">IF($T1451="","",SUMIFS($T$6:$T$2405,$A$6:$A$2405,"&lt;="&amp;$A1451))</f>
        <v/>
      </c>
      <c r="V1451" s="57" t="str">
        <f aca="false">IF($T1451="","",IF($U1451&lt;=BankCostEnvelope*'5. Scenarios'!$E$7,1,0))</f>
        <v/>
      </c>
      <c r="W1451" s="57" t="str">
        <f aca="false">IF($S1451="","",INDEX(BookRate,1446)*(1+'5. Scenarios'!$E$10)*(INDEX(BookQ1,1446)*(5-MIN(4,1+'5. Scenarios'!$E$8))/4+INDEX(BookQ2,1446)*(5-MIN(4,2+'5. Scenarios'!$E$8))/4+INDEX(BookQ3,1446)*(5-MIN(4,3+'5. Scenarios'!$E$8))/4+INDEX(BookQ4,1446)*(5-MIN(4,4+'5. Scenarios'!$E$8))/4)*'5. Scenarios'!$E$6/(1+ProductivityDefault*('5. Scenarios'!$E$11-1))+INDEX(BookOneOff,1446)*$S1451)</f>
        <v/>
      </c>
    </row>
    <row r="1452" customFormat="false" ht="15" hidden="false" customHeight="false" outlineLevel="0" collapsed="false">
      <c r="A1452" s="0" t="str">
        <f aca="false">IF(INDEX(BookTitle,1447)="","",INDEX(BookKey,1447))</f>
        <v/>
      </c>
      <c r="B1452" s="0" t="str">
        <f aca="false">IF(INDEX(BookTitle,1447)="","",INDEX(BookGroup,1447))</f>
        <v/>
      </c>
      <c r="C1452" s="0" t="str">
        <f aca="false">IF(INDEX(BookTitle,1447)="","",INDEX(BookCategory,1447))</f>
        <v/>
      </c>
      <c r="D1452" s="56" t="str">
        <f aca="false">IF(INDEX(BookTitle,1447)="","",INDEX(BookTotal,1447)*'5. Scenarios'!$B$6/(1+ProductivityDefault*('5. Scenarios'!$B$11-1)))</f>
        <v/>
      </c>
      <c r="E1452" s="57" t="str">
        <f aca="false">IF($D1452="","",INDEX(BookRate,1447)*(1+'5. Scenarios'!$B$10)*$D1452)</f>
        <v/>
      </c>
      <c r="F1452" s="57" t="str">
        <f aca="false">IF($E1452="","",SUMIFS($E$6:$E$2405,$A$6:$A$2405,"&lt;="&amp;$A1452))</f>
        <v/>
      </c>
      <c r="G1452" s="57" t="str">
        <f aca="false">IF($E1452="","",IF($F1452&lt;=BankCostEnvelope*'5. Scenarios'!$B$7,1,0))</f>
        <v/>
      </c>
      <c r="H1452" s="57" t="str">
        <f aca="false">IF($D1452="","",INDEX(BookRate,1447)*(1+'5. Scenarios'!$B$10)*(INDEX(BookQ1,1447)*(5-MIN(4,1+'5. Scenarios'!$B$8))/4+INDEX(BookQ2,1447)*(5-MIN(4,2+'5. Scenarios'!$B$8))/4+INDEX(BookQ3,1447)*(5-MIN(4,3+'5. Scenarios'!$B$8))/4+INDEX(BookQ4,1447)*(5-MIN(4,4+'5. Scenarios'!$B$8))/4)*'5. Scenarios'!$B$6/(1+ProductivityDefault*('5. Scenarios'!$B$11-1))+INDEX(BookOneOff,1447)*$D1452)</f>
        <v/>
      </c>
      <c r="I1452" s="56" t="str">
        <f aca="false">IF(INDEX(BookTitle,1447)="","",INDEX(BookTotal,1447)*'5. Scenarios'!$C$6/(1+ProductivityDefault*('5. Scenarios'!$C$11-1)))</f>
        <v/>
      </c>
      <c r="J1452" s="57" t="str">
        <f aca="false">IF($I1452="","",INDEX(BookRate,1447)*(1+'5. Scenarios'!$C$10)*$I1452)</f>
        <v/>
      </c>
      <c r="K1452" s="57" t="str">
        <f aca="false">IF($J1452="","",SUMIFS($J$6:$J$2405,$A$6:$A$2405,"&lt;="&amp;$A1452))</f>
        <v/>
      </c>
      <c r="L1452" s="57" t="str">
        <f aca="false">IF($J1452="","",IF($K1452&lt;=BankCostEnvelope*'5. Scenarios'!$C$7,1,0))</f>
        <v/>
      </c>
      <c r="M1452" s="57" t="str">
        <f aca="false">IF($I1452="","",INDEX(BookRate,1447)*(1+'5. Scenarios'!$C$10)*(INDEX(BookQ1,1447)*(5-MIN(4,1+'5. Scenarios'!$C$8))/4+INDEX(BookQ2,1447)*(5-MIN(4,2+'5. Scenarios'!$C$8))/4+INDEX(BookQ3,1447)*(5-MIN(4,3+'5. Scenarios'!$C$8))/4+INDEX(BookQ4,1447)*(5-MIN(4,4+'5. Scenarios'!$C$8))/4)*'5. Scenarios'!$C$6/(1+ProductivityDefault*('5. Scenarios'!$C$11-1))+INDEX(BookOneOff,1447)*$I1452)</f>
        <v/>
      </c>
      <c r="N1452" s="56" t="str">
        <f aca="false">IF(INDEX(BookTitle,1447)="","",INDEX(BookTotal,1447)*'5. Scenarios'!$D$6/(1+ProductivityDefault*('5. Scenarios'!$D$11-1)))</f>
        <v/>
      </c>
      <c r="O1452" s="57" t="str">
        <f aca="false">IF($N1452="","",INDEX(BookRate,1447)*(1+'5. Scenarios'!$D$10)*$N1452)</f>
        <v/>
      </c>
      <c r="P1452" s="57" t="str">
        <f aca="false">IF($O1452="","",SUMIFS($O$6:$O$2405,$A$6:$A$2405,"&lt;="&amp;$A1452))</f>
        <v/>
      </c>
      <c r="Q1452" s="57" t="str">
        <f aca="false">IF($O1452="","",IF($P1452&lt;=BankCostEnvelope*'5. Scenarios'!$D$7,1,0))</f>
        <v/>
      </c>
      <c r="R1452" s="57" t="str">
        <f aca="false">IF($N1452="","",INDEX(BookRate,1447)*(1+'5. Scenarios'!$D$10)*(INDEX(BookQ1,1447)*(5-MIN(4,1+'5. Scenarios'!$D$8))/4+INDEX(BookQ2,1447)*(5-MIN(4,2+'5. Scenarios'!$D$8))/4+INDEX(BookQ3,1447)*(5-MIN(4,3+'5. Scenarios'!$D$8))/4+INDEX(BookQ4,1447)*(5-MIN(4,4+'5. Scenarios'!$D$8))/4)*'5. Scenarios'!$D$6/(1+ProductivityDefault*('5. Scenarios'!$D$11-1))+INDEX(BookOneOff,1447)*$N1452)</f>
        <v/>
      </c>
      <c r="S1452" s="56" t="str">
        <f aca="false">IF(INDEX(BookTitle,1447)="","",INDEX(BookTotal,1447)*'5. Scenarios'!$E$6/(1+ProductivityDefault*('5. Scenarios'!$E$11-1)))</f>
        <v/>
      </c>
      <c r="T1452" s="57" t="str">
        <f aca="false">IF($S1452="","",INDEX(BookRate,1447)*(1+'5. Scenarios'!$E$10)*$S1452)</f>
        <v/>
      </c>
      <c r="U1452" s="57" t="str">
        <f aca="false">IF($T1452="","",SUMIFS($T$6:$T$2405,$A$6:$A$2405,"&lt;="&amp;$A1452))</f>
        <v/>
      </c>
      <c r="V1452" s="57" t="str">
        <f aca="false">IF($T1452="","",IF($U1452&lt;=BankCostEnvelope*'5. Scenarios'!$E$7,1,0))</f>
        <v/>
      </c>
      <c r="W1452" s="57" t="str">
        <f aca="false">IF($S1452="","",INDEX(BookRate,1447)*(1+'5. Scenarios'!$E$10)*(INDEX(BookQ1,1447)*(5-MIN(4,1+'5. Scenarios'!$E$8))/4+INDEX(BookQ2,1447)*(5-MIN(4,2+'5. Scenarios'!$E$8))/4+INDEX(BookQ3,1447)*(5-MIN(4,3+'5. Scenarios'!$E$8))/4+INDEX(BookQ4,1447)*(5-MIN(4,4+'5. Scenarios'!$E$8))/4)*'5. Scenarios'!$E$6/(1+ProductivityDefault*('5. Scenarios'!$E$11-1))+INDEX(BookOneOff,1447)*$S1452)</f>
        <v/>
      </c>
    </row>
    <row r="1453" customFormat="false" ht="15" hidden="false" customHeight="false" outlineLevel="0" collapsed="false">
      <c r="A1453" s="0" t="str">
        <f aca="false">IF(INDEX(BookTitle,1448)="","",INDEX(BookKey,1448))</f>
        <v/>
      </c>
      <c r="B1453" s="0" t="str">
        <f aca="false">IF(INDEX(BookTitle,1448)="","",INDEX(BookGroup,1448))</f>
        <v/>
      </c>
      <c r="C1453" s="0" t="str">
        <f aca="false">IF(INDEX(BookTitle,1448)="","",INDEX(BookCategory,1448))</f>
        <v/>
      </c>
      <c r="D1453" s="56" t="str">
        <f aca="false">IF(INDEX(BookTitle,1448)="","",INDEX(BookTotal,1448)*'5. Scenarios'!$B$6/(1+ProductivityDefault*('5. Scenarios'!$B$11-1)))</f>
        <v/>
      </c>
      <c r="E1453" s="57" t="str">
        <f aca="false">IF($D1453="","",INDEX(BookRate,1448)*(1+'5. Scenarios'!$B$10)*$D1453)</f>
        <v/>
      </c>
      <c r="F1453" s="57" t="str">
        <f aca="false">IF($E1453="","",SUMIFS($E$6:$E$2405,$A$6:$A$2405,"&lt;="&amp;$A1453))</f>
        <v/>
      </c>
      <c r="G1453" s="57" t="str">
        <f aca="false">IF($E1453="","",IF($F1453&lt;=BankCostEnvelope*'5. Scenarios'!$B$7,1,0))</f>
        <v/>
      </c>
      <c r="H1453" s="57" t="str">
        <f aca="false">IF($D1453="","",INDEX(BookRate,1448)*(1+'5. Scenarios'!$B$10)*(INDEX(BookQ1,1448)*(5-MIN(4,1+'5. Scenarios'!$B$8))/4+INDEX(BookQ2,1448)*(5-MIN(4,2+'5. Scenarios'!$B$8))/4+INDEX(BookQ3,1448)*(5-MIN(4,3+'5. Scenarios'!$B$8))/4+INDEX(BookQ4,1448)*(5-MIN(4,4+'5. Scenarios'!$B$8))/4)*'5. Scenarios'!$B$6/(1+ProductivityDefault*('5. Scenarios'!$B$11-1))+INDEX(BookOneOff,1448)*$D1453)</f>
        <v/>
      </c>
      <c r="I1453" s="56" t="str">
        <f aca="false">IF(INDEX(BookTitle,1448)="","",INDEX(BookTotal,1448)*'5. Scenarios'!$C$6/(1+ProductivityDefault*('5. Scenarios'!$C$11-1)))</f>
        <v/>
      </c>
      <c r="J1453" s="57" t="str">
        <f aca="false">IF($I1453="","",INDEX(BookRate,1448)*(1+'5. Scenarios'!$C$10)*$I1453)</f>
        <v/>
      </c>
      <c r="K1453" s="57" t="str">
        <f aca="false">IF($J1453="","",SUMIFS($J$6:$J$2405,$A$6:$A$2405,"&lt;="&amp;$A1453))</f>
        <v/>
      </c>
      <c r="L1453" s="57" t="str">
        <f aca="false">IF($J1453="","",IF($K1453&lt;=BankCostEnvelope*'5. Scenarios'!$C$7,1,0))</f>
        <v/>
      </c>
      <c r="M1453" s="57" t="str">
        <f aca="false">IF($I1453="","",INDEX(BookRate,1448)*(1+'5. Scenarios'!$C$10)*(INDEX(BookQ1,1448)*(5-MIN(4,1+'5. Scenarios'!$C$8))/4+INDEX(BookQ2,1448)*(5-MIN(4,2+'5. Scenarios'!$C$8))/4+INDEX(BookQ3,1448)*(5-MIN(4,3+'5. Scenarios'!$C$8))/4+INDEX(BookQ4,1448)*(5-MIN(4,4+'5. Scenarios'!$C$8))/4)*'5. Scenarios'!$C$6/(1+ProductivityDefault*('5. Scenarios'!$C$11-1))+INDEX(BookOneOff,1448)*$I1453)</f>
        <v/>
      </c>
      <c r="N1453" s="56" t="str">
        <f aca="false">IF(INDEX(BookTitle,1448)="","",INDEX(BookTotal,1448)*'5. Scenarios'!$D$6/(1+ProductivityDefault*('5. Scenarios'!$D$11-1)))</f>
        <v/>
      </c>
      <c r="O1453" s="57" t="str">
        <f aca="false">IF($N1453="","",INDEX(BookRate,1448)*(1+'5. Scenarios'!$D$10)*$N1453)</f>
        <v/>
      </c>
      <c r="P1453" s="57" t="str">
        <f aca="false">IF($O1453="","",SUMIFS($O$6:$O$2405,$A$6:$A$2405,"&lt;="&amp;$A1453))</f>
        <v/>
      </c>
      <c r="Q1453" s="57" t="str">
        <f aca="false">IF($O1453="","",IF($P1453&lt;=BankCostEnvelope*'5. Scenarios'!$D$7,1,0))</f>
        <v/>
      </c>
      <c r="R1453" s="57" t="str">
        <f aca="false">IF($N1453="","",INDEX(BookRate,1448)*(1+'5. Scenarios'!$D$10)*(INDEX(BookQ1,1448)*(5-MIN(4,1+'5. Scenarios'!$D$8))/4+INDEX(BookQ2,1448)*(5-MIN(4,2+'5. Scenarios'!$D$8))/4+INDEX(BookQ3,1448)*(5-MIN(4,3+'5. Scenarios'!$D$8))/4+INDEX(BookQ4,1448)*(5-MIN(4,4+'5. Scenarios'!$D$8))/4)*'5. Scenarios'!$D$6/(1+ProductivityDefault*('5. Scenarios'!$D$11-1))+INDEX(BookOneOff,1448)*$N1453)</f>
        <v/>
      </c>
      <c r="S1453" s="56" t="str">
        <f aca="false">IF(INDEX(BookTitle,1448)="","",INDEX(BookTotal,1448)*'5. Scenarios'!$E$6/(1+ProductivityDefault*('5. Scenarios'!$E$11-1)))</f>
        <v/>
      </c>
      <c r="T1453" s="57" t="str">
        <f aca="false">IF($S1453="","",INDEX(BookRate,1448)*(1+'5. Scenarios'!$E$10)*$S1453)</f>
        <v/>
      </c>
      <c r="U1453" s="57" t="str">
        <f aca="false">IF($T1453="","",SUMIFS($T$6:$T$2405,$A$6:$A$2405,"&lt;="&amp;$A1453))</f>
        <v/>
      </c>
      <c r="V1453" s="57" t="str">
        <f aca="false">IF($T1453="","",IF($U1453&lt;=BankCostEnvelope*'5. Scenarios'!$E$7,1,0))</f>
        <v/>
      </c>
      <c r="W1453" s="57" t="str">
        <f aca="false">IF($S1453="","",INDEX(BookRate,1448)*(1+'5. Scenarios'!$E$10)*(INDEX(BookQ1,1448)*(5-MIN(4,1+'5. Scenarios'!$E$8))/4+INDEX(BookQ2,1448)*(5-MIN(4,2+'5. Scenarios'!$E$8))/4+INDEX(BookQ3,1448)*(5-MIN(4,3+'5. Scenarios'!$E$8))/4+INDEX(BookQ4,1448)*(5-MIN(4,4+'5. Scenarios'!$E$8))/4)*'5. Scenarios'!$E$6/(1+ProductivityDefault*('5. Scenarios'!$E$11-1))+INDEX(BookOneOff,1448)*$S1453)</f>
        <v/>
      </c>
    </row>
    <row r="1454" customFormat="false" ht="15" hidden="false" customHeight="false" outlineLevel="0" collapsed="false">
      <c r="A1454" s="0" t="str">
        <f aca="false">IF(INDEX(BookTitle,1449)="","",INDEX(BookKey,1449))</f>
        <v/>
      </c>
      <c r="B1454" s="0" t="str">
        <f aca="false">IF(INDEX(BookTitle,1449)="","",INDEX(BookGroup,1449))</f>
        <v/>
      </c>
      <c r="C1454" s="0" t="str">
        <f aca="false">IF(INDEX(BookTitle,1449)="","",INDEX(BookCategory,1449))</f>
        <v/>
      </c>
      <c r="D1454" s="56" t="str">
        <f aca="false">IF(INDEX(BookTitle,1449)="","",INDEX(BookTotal,1449)*'5. Scenarios'!$B$6/(1+ProductivityDefault*('5. Scenarios'!$B$11-1)))</f>
        <v/>
      </c>
      <c r="E1454" s="57" t="str">
        <f aca="false">IF($D1454="","",INDEX(BookRate,1449)*(1+'5. Scenarios'!$B$10)*$D1454)</f>
        <v/>
      </c>
      <c r="F1454" s="57" t="str">
        <f aca="false">IF($E1454="","",SUMIFS($E$6:$E$2405,$A$6:$A$2405,"&lt;="&amp;$A1454))</f>
        <v/>
      </c>
      <c r="G1454" s="57" t="str">
        <f aca="false">IF($E1454="","",IF($F1454&lt;=BankCostEnvelope*'5. Scenarios'!$B$7,1,0))</f>
        <v/>
      </c>
      <c r="H1454" s="57" t="str">
        <f aca="false">IF($D1454="","",INDEX(BookRate,1449)*(1+'5. Scenarios'!$B$10)*(INDEX(BookQ1,1449)*(5-MIN(4,1+'5. Scenarios'!$B$8))/4+INDEX(BookQ2,1449)*(5-MIN(4,2+'5. Scenarios'!$B$8))/4+INDEX(BookQ3,1449)*(5-MIN(4,3+'5. Scenarios'!$B$8))/4+INDEX(BookQ4,1449)*(5-MIN(4,4+'5. Scenarios'!$B$8))/4)*'5. Scenarios'!$B$6/(1+ProductivityDefault*('5. Scenarios'!$B$11-1))+INDEX(BookOneOff,1449)*$D1454)</f>
        <v/>
      </c>
      <c r="I1454" s="56" t="str">
        <f aca="false">IF(INDEX(BookTitle,1449)="","",INDEX(BookTotal,1449)*'5. Scenarios'!$C$6/(1+ProductivityDefault*('5. Scenarios'!$C$11-1)))</f>
        <v/>
      </c>
      <c r="J1454" s="57" t="str">
        <f aca="false">IF($I1454="","",INDEX(BookRate,1449)*(1+'5. Scenarios'!$C$10)*$I1454)</f>
        <v/>
      </c>
      <c r="K1454" s="57" t="str">
        <f aca="false">IF($J1454="","",SUMIFS($J$6:$J$2405,$A$6:$A$2405,"&lt;="&amp;$A1454))</f>
        <v/>
      </c>
      <c r="L1454" s="57" t="str">
        <f aca="false">IF($J1454="","",IF($K1454&lt;=BankCostEnvelope*'5. Scenarios'!$C$7,1,0))</f>
        <v/>
      </c>
      <c r="M1454" s="57" t="str">
        <f aca="false">IF($I1454="","",INDEX(BookRate,1449)*(1+'5. Scenarios'!$C$10)*(INDEX(BookQ1,1449)*(5-MIN(4,1+'5. Scenarios'!$C$8))/4+INDEX(BookQ2,1449)*(5-MIN(4,2+'5. Scenarios'!$C$8))/4+INDEX(BookQ3,1449)*(5-MIN(4,3+'5. Scenarios'!$C$8))/4+INDEX(BookQ4,1449)*(5-MIN(4,4+'5. Scenarios'!$C$8))/4)*'5. Scenarios'!$C$6/(1+ProductivityDefault*('5. Scenarios'!$C$11-1))+INDEX(BookOneOff,1449)*$I1454)</f>
        <v/>
      </c>
      <c r="N1454" s="56" t="str">
        <f aca="false">IF(INDEX(BookTitle,1449)="","",INDEX(BookTotal,1449)*'5. Scenarios'!$D$6/(1+ProductivityDefault*('5. Scenarios'!$D$11-1)))</f>
        <v/>
      </c>
      <c r="O1454" s="57" t="str">
        <f aca="false">IF($N1454="","",INDEX(BookRate,1449)*(1+'5. Scenarios'!$D$10)*$N1454)</f>
        <v/>
      </c>
      <c r="P1454" s="57" t="str">
        <f aca="false">IF($O1454="","",SUMIFS($O$6:$O$2405,$A$6:$A$2405,"&lt;="&amp;$A1454))</f>
        <v/>
      </c>
      <c r="Q1454" s="57" t="str">
        <f aca="false">IF($O1454="","",IF($P1454&lt;=BankCostEnvelope*'5. Scenarios'!$D$7,1,0))</f>
        <v/>
      </c>
      <c r="R1454" s="57" t="str">
        <f aca="false">IF($N1454="","",INDEX(BookRate,1449)*(1+'5. Scenarios'!$D$10)*(INDEX(BookQ1,1449)*(5-MIN(4,1+'5. Scenarios'!$D$8))/4+INDEX(BookQ2,1449)*(5-MIN(4,2+'5. Scenarios'!$D$8))/4+INDEX(BookQ3,1449)*(5-MIN(4,3+'5. Scenarios'!$D$8))/4+INDEX(BookQ4,1449)*(5-MIN(4,4+'5. Scenarios'!$D$8))/4)*'5. Scenarios'!$D$6/(1+ProductivityDefault*('5. Scenarios'!$D$11-1))+INDEX(BookOneOff,1449)*$N1454)</f>
        <v/>
      </c>
      <c r="S1454" s="56" t="str">
        <f aca="false">IF(INDEX(BookTitle,1449)="","",INDEX(BookTotal,1449)*'5. Scenarios'!$E$6/(1+ProductivityDefault*('5. Scenarios'!$E$11-1)))</f>
        <v/>
      </c>
      <c r="T1454" s="57" t="str">
        <f aca="false">IF($S1454="","",INDEX(BookRate,1449)*(1+'5. Scenarios'!$E$10)*$S1454)</f>
        <v/>
      </c>
      <c r="U1454" s="57" t="str">
        <f aca="false">IF($T1454="","",SUMIFS($T$6:$T$2405,$A$6:$A$2405,"&lt;="&amp;$A1454))</f>
        <v/>
      </c>
      <c r="V1454" s="57" t="str">
        <f aca="false">IF($T1454="","",IF($U1454&lt;=BankCostEnvelope*'5. Scenarios'!$E$7,1,0))</f>
        <v/>
      </c>
      <c r="W1454" s="57" t="str">
        <f aca="false">IF($S1454="","",INDEX(BookRate,1449)*(1+'5. Scenarios'!$E$10)*(INDEX(BookQ1,1449)*(5-MIN(4,1+'5. Scenarios'!$E$8))/4+INDEX(BookQ2,1449)*(5-MIN(4,2+'5. Scenarios'!$E$8))/4+INDEX(BookQ3,1449)*(5-MIN(4,3+'5. Scenarios'!$E$8))/4+INDEX(BookQ4,1449)*(5-MIN(4,4+'5. Scenarios'!$E$8))/4)*'5. Scenarios'!$E$6/(1+ProductivityDefault*('5. Scenarios'!$E$11-1))+INDEX(BookOneOff,1449)*$S1454)</f>
        <v/>
      </c>
    </row>
    <row r="1455" customFormat="false" ht="15" hidden="false" customHeight="false" outlineLevel="0" collapsed="false">
      <c r="A1455" s="0" t="str">
        <f aca="false">IF(INDEX(BookTitle,1450)="","",INDEX(BookKey,1450))</f>
        <v/>
      </c>
      <c r="B1455" s="0" t="str">
        <f aca="false">IF(INDEX(BookTitle,1450)="","",INDEX(BookGroup,1450))</f>
        <v/>
      </c>
      <c r="C1455" s="0" t="str">
        <f aca="false">IF(INDEX(BookTitle,1450)="","",INDEX(BookCategory,1450))</f>
        <v/>
      </c>
      <c r="D1455" s="56" t="str">
        <f aca="false">IF(INDEX(BookTitle,1450)="","",INDEX(BookTotal,1450)*'5. Scenarios'!$B$6/(1+ProductivityDefault*('5. Scenarios'!$B$11-1)))</f>
        <v/>
      </c>
      <c r="E1455" s="57" t="str">
        <f aca="false">IF($D1455="","",INDEX(BookRate,1450)*(1+'5. Scenarios'!$B$10)*$D1455)</f>
        <v/>
      </c>
      <c r="F1455" s="57" t="str">
        <f aca="false">IF($E1455="","",SUMIFS($E$6:$E$2405,$A$6:$A$2405,"&lt;="&amp;$A1455))</f>
        <v/>
      </c>
      <c r="G1455" s="57" t="str">
        <f aca="false">IF($E1455="","",IF($F1455&lt;=BankCostEnvelope*'5. Scenarios'!$B$7,1,0))</f>
        <v/>
      </c>
      <c r="H1455" s="57" t="str">
        <f aca="false">IF($D1455="","",INDEX(BookRate,1450)*(1+'5. Scenarios'!$B$10)*(INDEX(BookQ1,1450)*(5-MIN(4,1+'5. Scenarios'!$B$8))/4+INDEX(BookQ2,1450)*(5-MIN(4,2+'5. Scenarios'!$B$8))/4+INDEX(BookQ3,1450)*(5-MIN(4,3+'5. Scenarios'!$B$8))/4+INDEX(BookQ4,1450)*(5-MIN(4,4+'5. Scenarios'!$B$8))/4)*'5. Scenarios'!$B$6/(1+ProductivityDefault*('5. Scenarios'!$B$11-1))+INDEX(BookOneOff,1450)*$D1455)</f>
        <v/>
      </c>
      <c r="I1455" s="56" t="str">
        <f aca="false">IF(INDEX(BookTitle,1450)="","",INDEX(BookTotal,1450)*'5. Scenarios'!$C$6/(1+ProductivityDefault*('5. Scenarios'!$C$11-1)))</f>
        <v/>
      </c>
      <c r="J1455" s="57" t="str">
        <f aca="false">IF($I1455="","",INDEX(BookRate,1450)*(1+'5. Scenarios'!$C$10)*$I1455)</f>
        <v/>
      </c>
      <c r="K1455" s="57" t="str">
        <f aca="false">IF($J1455="","",SUMIFS($J$6:$J$2405,$A$6:$A$2405,"&lt;="&amp;$A1455))</f>
        <v/>
      </c>
      <c r="L1455" s="57" t="str">
        <f aca="false">IF($J1455="","",IF($K1455&lt;=BankCostEnvelope*'5. Scenarios'!$C$7,1,0))</f>
        <v/>
      </c>
      <c r="M1455" s="57" t="str">
        <f aca="false">IF($I1455="","",INDEX(BookRate,1450)*(1+'5. Scenarios'!$C$10)*(INDEX(BookQ1,1450)*(5-MIN(4,1+'5. Scenarios'!$C$8))/4+INDEX(BookQ2,1450)*(5-MIN(4,2+'5. Scenarios'!$C$8))/4+INDEX(BookQ3,1450)*(5-MIN(4,3+'5. Scenarios'!$C$8))/4+INDEX(BookQ4,1450)*(5-MIN(4,4+'5. Scenarios'!$C$8))/4)*'5. Scenarios'!$C$6/(1+ProductivityDefault*('5. Scenarios'!$C$11-1))+INDEX(BookOneOff,1450)*$I1455)</f>
        <v/>
      </c>
      <c r="N1455" s="56" t="str">
        <f aca="false">IF(INDEX(BookTitle,1450)="","",INDEX(BookTotal,1450)*'5. Scenarios'!$D$6/(1+ProductivityDefault*('5. Scenarios'!$D$11-1)))</f>
        <v/>
      </c>
      <c r="O1455" s="57" t="str">
        <f aca="false">IF($N1455="","",INDEX(BookRate,1450)*(1+'5. Scenarios'!$D$10)*$N1455)</f>
        <v/>
      </c>
      <c r="P1455" s="57" t="str">
        <f aca="false">IF($O1455="","",SUMIFS($O$6:$O$2405,$A$6:$A$2405,"&lt;="&amp;$A1455))</f>
        <v/>
      </c>
      <c r="Q1455" s="57" t="str">
        <f aca="false">IF($O1455="","",IF($P1455&lt;=BankCostEnvelope*'5. Scenarios'!$D$7,1,0))</f>
        <v/>
      </c>
      <c r="R1455" s="57" t="str">
        <f aca="false">IF($N1455="","",INDEX(BookRate,1450)*(1+'5. Scenarios'!$D$10)*(INDEX(BookQ1,1450)*(5-MIN(4,1+'5. Scenarios'!$D$8))/4+INDEX(BookQ2,1450)*(5-MIN(4,2+'5. Scenarios'!$D$8))/4+INDEX(BookQ3,1450)*(5-MIN(4,3+'5. Scenarios'!$D$8))/4+INDEX(BookQ4,1450)*(5-MIN(4,4+'5. Scenarios'!$D$8))/4)*'5. Scenarios'!$D$6/(1+ProductivityDefault*('5. Scenarios'!$D$11-1))+INDEX(BookOneOff,1450)*$N1455)</f>
        <v/>
      </c>
      <c r="S1455" s="56" t="str">
        <f aca="false">IF(INDEX(BookTitle,1450)="","",INDEX(BookTotal,1450)*'5. Scenarios'!$E$6/(1+ProductivityDefault*('5. Scenarios'!$E$11-1)))</f>
        <v/>
      </c>
      <c r="T1455" s="57" t="str">
        <f aca="false">IF($S1455="","",INDEX(BookRate,1450)*(1+'5. Scenarios'!$E$10)*$S1455)</f>
        <v/>
      </c>
      <c r="U1455" s="57" t="str">
        <f aca="false">IF($T1455="","",SUMIFS($T$6:$T$2405,$A$6:$A$2405,"&lt;="&amp;$A1455))</f>
        <v/>
      </c>
      <c r="V1455" s="57" t="str">
        <f aca="false">IF($T1455="","",IF($U1455&lt;=BankCostEnvelope*'5. Scenarios'!$E$7,1,0))</f>
        <v/>
      </c>
      <c r="W1455" s="57" t="str">
        <f aca="false">IF($S1455="","",INDEX(BookRate,1450)*(1+'5. Scenarios'!$E$10)*(INDEX(BookQ1,1450)*(5-MIN(4,1+'5. Scenarios'!$E$8))/4+INDEX(BookQ2,1450)*(5-MIN(4,2+'5. Scenarios'!$E$8))/4+INDEX(BookQ3,1450)*(5-MIN(4,3+'5. Scenarios'!$E$8))/4+INDEX(BookQ4,1450)*(5-MIN(4,4+'5. Scenarios'!$E$8))/4)*'5. Scenarios'!$E$6/(1+ProductivityDefault*('5. Scenarios'!$E$11-1))+INDEX(BookOneOff,1450)*$S1455)</f>
        <v/>
      </c>
    </row>
    <row r="1456" customFormat="false" ht="15" hidden="false" customHeight="false" outlineLevel="0" collapsed="false">
      <c r="A1456" s="0" t="str">
        <f aca="false">IF(INDEX(BookTitle,1451)="","",INDEX(BookKey,1451))</f>
        <v/>
      </c>
      <c r="B1456" s="0" t="str">
        <f aca="false">IF(INDEX(BookTitle,1451)="","",INDEX(BookGroup,1451))</f>
        <v/>
      </c>
      <c r="C1456" s="0" t="str">
        <f aca="false">IF(INDEX(BookTitle,1451)="","",INDEX(BookCategory,1451))</f>
        <v/>
      </c>
      <c r="D1456" s="56" t="str">
        <f aca="false">IF(INDEX(BookTitle,1451)="","",INDEX(BookTotal,1451)*'5. Scenarios'!$B$6/(1+ProductivityDefault*('5. Scenarios'!$B$11-1)))</f>
        <v/>
      </c>
      <c r="E1456" s="57" t="str">
        <f aca="false">IF($D1456="","",INDEX(BookRate,1451)*(1+'5. Scenarios'!$B$10)*$D1456)</f>
        <v/>
      </c>
      <c r="F1456" s="57" t="str">
        <f aca="false">IF($E1456="","",SUMIFS($E$6:$E$2405,$A$6:$A$2405,"&lt;="&amp;$A1456))</f>
        <v/>
      </c>
      <c r="G1456" s="57" t="str">
        <f aca="false">IF($E1456="","",IF($F1456&lt;=BankCostEnvelope*'5. Scenarios'!$B$7,1,0))</f>
        <v/>
      </c>
      <c r="H1456" s="57" t="str">
        <f aca="false">IF($D1456="","",INDEX(BookRate,1451)*(1+'5. Scenarios'!$B$10)*(INDEX(BookQ1,1451)*(5-MIN(4,1+'5. Scenarios'!$B$8))/4+INDEX(BookQ2,1451)*(5-MIN(4,2+'5. Scenarios'!$B$8))/4+INDEX(BookQ3,1451)*(5-MIN(4,3+'5. Scenarios'!$B$8))/4+INDEX(BookQ4,1451)*(5-MIN(4,4+'5. Scenarios'!$B$8))/4)*'5. Scenarios'!$B$6/(1+ProductivityDefault*('5. Scenarios'!$B$11-1))+INDEX(BookOneOff,1451)*$D1456)</f>
        <v/>
      </c>
      <c r="I1456" s="56" t="str">
        <f aca="false">IF(INDEX(BookTitle,1451)="","",INDEX(BookTotal,1451)*'5. Scenarios'!$C$6/(1+ProductivityDefault*('5. Scenarios'!$C$11-1)))</f>
        <v/>
      </c>
      <c r="J1456" s="57" t="str">
        <f aca="false">IF($I1456="","",INDEX(BookRate,1451)*(1+'5. Scenarios'!$C$10)*$I1456)</f>
        <v/>
      </c>
      <c r="K1456" s="57" t="str">
        <f aca="false">IF($J1456="","",SUMIFS($J$6:$J$2405,$A$6:$A$2405,"&lt;="&amp;$A1456))</f>
        <v/>
      </c>
      <c r="L1456" s="57" t="str">
        <f aca="false">IF($J1456="","",IF($K1456&lt;=BankCostEnvelope*'5. Scenarios'!$C$7,1,0))</f>
        <v/>
      </c>
      <c r="M1456" s="57" t="str">
        <f aca="false">IF($I1456="","",INDEX(BookRate,1451)*(1+'5. Scenarios'!$C$10)*(INDEX(BookQ1,1451)*(5-MIN(4,1+'5. Scenarios'!$C$8))/4+INDEX(BookQ2,1451)*(5-MIN(4,2+'5. Scenarios'!$C$8))/4+INDEX(BookQ3,1451)*(5-MIN(4,3+'5. Scenarios'!$C$8))/4+INDEX(BookQ4,1451)*(5-MIN(4,4+'5. Scenarios'!$C$8))/4)*'5. Scenarios'!$C$6/(1+ProductivityDefault*('5. Scenarios'!$C$11-1))+INDEX(BookOneOff,1451)*$I1456)</f>
        <v/>
      </c>
      <c r="N1456" s="56" t="str">
        <f aca="false">IF(INDEX(BookTitle,1451)="","",INDEX(BookTotal,1451)*'5. Scenarios'!$D$6/(1+ProductivityDefault*('5. Scenarios'!$D$11-1)))</f>
        <v/>
      </c>
      <c r="O1456" s="57" t="str">
        <f aca="false">IF($N1456="","",INDEX(BookRate,1451)*(1+'5. Scenarios'!$D$10)*$N1456)</f>
        <v/>
      </c>
      <c r="P1456" s="57" t="str">
        <f aca="false">IF($O1456="","",SUMIFS($O$6:$O$2405,$A$6:$A$2405,"&lt;="&amp;$A1456))</f>
        <v/>
      </c>
      <c r="Q1456" s="57" t="str">
        <f aca="false">IF($O1456="","",IF($P1456&lt;=BankCostEnvelope*'5. Scenarios'!$D$7,1,0))</f>
        <v/>
      </c>
      <c r="R1456" s="57" t="str">
        <f aca="false">IF($N1456="","",INDEX(BookRate,1451)*(1+'5. Scenarios'!$D$10)*(INDEX(BookQ1,1451)*(5-MIN(4,1+'5. Scenarios'!$D$8))/4+INDEX(BookQ2,1451)*(5-MIN(4,2+'5. Scenarios'!$D$8))/4+INDEX(BookQ3,1451)*(5-MIN(4,3+'5. Scenarios'!$D$8))/4+INDEX(BookQ4,1451)*(5-MIN(4,4+'5. Scenarios'!$D$8))/4)*'5. Scenarios'!$D$6/(1+ProductivityDefault*('5. Scenarios'!$D$11-1))+INDEX(BookOneOff,1451)*$N1456)</f>
        <v/>
      </c>
      <c r="S1456" s="56" t="str">
        <f aca="false">IF(INDEX(BookTitle,1451)="","",INDEX(BookTotal,1451)*'5. Scenarios'!$E$6/(1+ProductivityDefault*('5. Scenarios'!$E$11-1)))</f>
        <v/>
      </c>
      <c r="T1456" s="57" t="str">
        <f aca="false">IF($S1456="","",INDEX(BookRate,1451)*(1+'5. Scenarios'!$E$10)*$S1456)</f>
        <v/>
      </c>
      <c r="U1456" s="57" t="str">
        <f aca="false">IF($T1456="","",SUMIFS($T$6:$T$2405,$A$6:$A$2405,"&lt;="&amp;$A1456))</f>
        <v/>
      </c>
      <c r="V1456" s="57" t="str">
        <f aca="false">IF($T1456="","",IF($U1456&lt;=BankCostEnvelope*'5. Scenarios'!$E$7,1,0))</f>
        <v/>
      </c>
      <c r="W1456" s="57" t="str">
        <f aca="false">IF($S1456="","",INDEX(BookRate,1451)*(1+'5. Scenarios'!$E$10)*(INDEX(BookQ1,1451)*(5-MIN(4,1+'5. Scenarios'!$E$8))/4+INDEX(BookQ2,1451)*(5-MIN(4,2+'5. Scenarios'!$E$8))/4+INDEX(BookQ3,1451)*(5-MIN(4,3+'5. Scenarios'!$E$8))/4+INDEX(BookQ4,1451)*(5-MIN(4,4+'5. Scenarios'!$E$8))/4)*'5. Scenarios'!$E$6/(1+ProductivityDefault*('5. Scenarios'!$E$11-1))+INDEX(BookOneOff,1451)*$S1456)</f>
        <v/>
      </c>
    </row>
    <row r="1457" customFormat="false" ht="15" hidden="false" customHeight="false" outlineLevel="0" collapsed="false">
      <c r="A1457" s="0" t="str">
        <f aca="false">IF(INDEX(BookTitle,1452)="","",INDEX(BookKey,1452))</f>
        <v/>
      </c>
      <c r="B1457" s="0" t="str">
        <f aca="false">IF(INDEX(BookTitle,1452)="","",INDEX(BookGroup,1452))</f>
        <v/>
      </c>
      <c r="C1457" s="0" t="str">
        <f aca="false">IF(INDEX(BookTitle,1452)="","",INDEX(BookCategory,1452))</f>
        <v/>
      </c>
      <c r="D1457" s="56" t="str">
        <f aca="false">IF(INDEX(BookTitle,1452)="","",INDEX(BookTotal,1452)*'5. Scenarios'!$B$6/(1+ProductivityDefault*('5. Scenarios'!$B$11-1)))</f>
        <v/>
      </c>
      <c r="E1457" s="57" t="str">
        <f aca="false">IF($D1457="","",INDEX(BookRate,1452)*(1+'5. Scenarios'!$B$10)*$D1457)</f>
        <v/>
      </c>
      <c r="F1457" s="57" t="str">
        <f aca="false">IF($E1457="","",SUMIFS($E$6:$E$2405,$A$6:$A$2405,"&lt;="&amp;$A1457))</f>
        <v/>
      </c>
      <c r="G1457" s="57" t="str">
        <f aca="false">IF($E1457="","",IF($F1457&lt;=BankCostEnvelope*'5. Scenarios'!$B$7,1,0))</f>
        <v/>
      </c>
      <c r="H1457" s="57" t="str">
        <f aca="false">IF($D1457="","",INDEX(BookRate,1452)*(1+'5. Scenarios'!$B$10)*(INDEX(BookQ1,1452)*(5-MIN(4,1+'5. Scenarios'!$B$8))/4+INDEX(BookQ2,1452)*(5-MIN(4,2+'5. Scenarios'!$B$8))/4+INDEX(BookQ3,1452)*(5-MIN(4,3+'5. Scenarios'!$B$8))/4+INDEX(BookQ4,1452)*(5-MIN(4,4+'5. Scenarios'!$B$8))/4)*'5. Scenarios'!$B$6/(1+ProductivityDefault*('5. Scenarios'!$B$11-1))+INDEX(BookOneOff,1452)*$D1457)</f>
        <v/>
      </c>
      <c r="I1457" s="56" t="str">
        <f aca="false">IF(INDEX(BookTitle,1452)="","",INDEX(BookTotal,1452)*'5. Scenarios'!$C$6/(1+ProductivityDefault*('5. Scenarios'!$C$11-1)))</f>
        <v/>
      </c>
      <c r="J1457" s="57" t="str">
        <f aca="false">IF($I1457="","",INDEX(BookRate,1452)*(1+'5. Scenarios'!$C$10)*$I1457)</f>
        <v/>
      </c>
      <c r="K1457" s="57" t="str">
        <f aca="false">IF($J1457="","",SUMIFS($J$6:$J$2405,$A$6:$A$2405,"&lt;="&amp;$A1457))</f>
        <v/>
      </c>
      <c r="L1457" s="57" t="str">
        <f aca="false">IF($J1457="","",IF($K1457&lt;=BankCostEnvelope*'5. Scenarios'!$C$7,1,0))</f>
        <v/>
      </c>
      <c r="M1457" s="57" t="str">
        <f aca="false">IF($I1457="","",INDEX(BookRate,1452)*(1+'5. Scenarios'!$C$10)*(INDEX(BookQ1,1452)*(5-MIN(4,1+'5. Scenarios'!$C$8))/4+INDEX(BookQ2,1452)*(5-MIN(4,2+'5. Scenarios'!$C$8))/4+INDEX(BookQ3,1452)*(5-MIN(4,3+'5. Scenarios'!$C$8))/4+INDEX(BookQ4,1452)*(5-MIN(4,4+'5. Scenarios'!$C$8))/4)*'5. Scenarios'!$C$6/(1+ProductivityDefault*('5. Scenarios'!$C$11-1))+INDEX(BookOneOff,1452)*$I1457)</f>
        <v/>
      </c>
      <c r="N1457" s="56" t="str">
        <f aca="false">IF(INDEX(BookTitle,1452)="","",INDEX(BookTotal,1452)*'5. Scenarios'!$D$6/(1+ProductivityDefault*('5. Scenarios'!$D$11-1)))</f>
        <v/>
      </c>
      <c r="O1457" s="57" t="str">
        <f aca="false">IF($N1457="","",INDEX(BookRate,1452)*(1+'5. Scenarios'!$D$10)*$N1457)</f>
        <v/>
      </c>
      <c r="P1457" s="57" t="str">
        <f aca="false">IF($O1457="","",SUMIFS($O$6:$O$2405,$A$6:$A$2405,"&lt;="&amp;$A1457))</f>
        <v/>
      </c>
      <c r="Q1457" s="57" t="str">
        <f aca="false">IF($O1457="","",IF($P1457&lt;=BankCostEnvelope*'5. Scenarios'!$D$7,1,0))</f>
        <v/>
      </c>
      <c r="R1457" s="57" t="str">
        <f aca="false">IF($N1457="","",INDEX(BookRate,1452)*(1+'5. Scenarios'!$D$10)*(INDEX(BookQ1,1452)*(5-MIN(4,1+'5. Scenarios'!$D$8))/4+INDEX(BookQ2,1452)*(5-MIN(4,2+'5. Scenarios'!$D$8))/4+INDEX(BookQ3,1452)*(5-MIN(4,3+'5. Scenarios'!$D$8))/4+INDEX(BookQ4,1452)*(5-MIN(4,4+'5. Scenarios'!$D$8))/4)*'5. Scenarios'!$D$6/(1+ProductivityDefault*('5. Scenarios'!$D$11-1))+INDEX(BookOneOff,1452)*$N1457)</f>
        <v/>
      </c>
      <c r="S1457" s="56" t="str">
        <f aca="false">IF(INDEX(BookTitle,1452)="","",INDEX(BookTotal,1452)*'5. Scenarios'!$E$6/(1+ProductivityDefault*('5. Scenarios'!$E$11-1)))</f>
        <v/>
      </c>
      <c r="T1457" s="57" t="str">
        <f aca="false">IF($S1457="","",INDEX(BookRate,1452)*(1+'5. Scenarios'!$E$10)*$S1457)</f>
        <v/>
      </c>
      <c r="U1457" s="57" t="str">
        <f aca="false">IF($T1457="","",SUMIFS($T$6:$T$2405,$A$6:$A$2405,"&lt;="&amp;$A1457))</f>
        <v/>
      </c>
      <c r="V1457" s="57" t="str">
        <f aca="false">IF($T1457="","",IF($U1457&lt;=BankCostEnvelope*'5. Scenarios'!$E$7,1,0))</f>
        <v/>
      </c>
      <c r="W1457" s="57" t="str">
        <f aca="false">IF($S1457="","",INDEX(BookRate,1452)*(1+'5. Scenarios'!$E$10)*(INDEX(BookQ1,1452)*(5-MIN(4,1+'5. Scenarios'!$E$8))/4+INDEX(BookQ2,1452)*(5-MIN(4,2+'5. Scenarios'!$E$8))/4+INDEX(BookQ3,1452)*(5-MIN(4,3+'5. Scenarios'!$E$8))/4+INDEX(BookQ4,1452)*(5-MIN(4,4+'5. Scenarios'!$E$8))/4)*'5. Scenarios'!$E$6/(1+ProductivityDefault*('5. Scenarios'!$E$11-1))+INDEX(BookOneOff,1452)*$S1457)</f>
        <v/>
      </c>
    </row>
    <row r="1458" customFormat="false" ht="15" hidden="false" customHeight="false" outlineLevel="0" collapsed="false">
      <c r="A1458" s="0" t="str">
        <f aca="false">IF(INDEX(BookTitle,1453)="","",INDEX(BookKey,1453))</f>
        <v/>
      </c>
      <c r="B1458" s="0" t="str">
        <f aca="false">IF(INDEX(BookTitle,1453)="","",INDEX(BookGroup,1453))</f>
        <v/>
      </c>
      <c r="C1458" s="0" t="str">
        <f aca="false">IF(INDEX(BookTitle,1453)="","",INDEX(BookCategory,1453))</f>
        <v/>
      </c>
      <c r="D1458" s="56" t="str">
        <f aca="false">IF(INDEX(BookTitle,1453)="","",INDEX(BookTotal,1453)*'5. Scenarios'!$B$6/(1+ProductivityDefault*('5. Scenarios'!$B$11-1)))</f>
        <v/>
      </c>
      <c r="E1458" s="57" t="str">
        <f aca="false">IF($D1458="","",INDEX(BookRate,1453)*(1+'5. Scenarios'!$B$10)*$D1458)</f>
        <v/>
      </c>
      <c r="F1458" s="57" t="str">
        <f aca="false">IF($E1458="","",SUMIFS($E$6:$E$2405,$A$6:$A$2405,"&lt;="&amp;$A1458))</f>
        <v/>
      </c>
      <c r="G1458" s="57" t="str">
        <f aca="false">IF($E1458="","",IF($F1458&lt;=BankCostEnvelope*'5. Scenarios'!$B$7,1,0))</f>
        <v/>
      </c>
      <c r="H1458" s="57" t="str">
        <f aca="false">IF($D1458="","",INDEX(BookRate,1453)*(1+'5. Scenarios'!$B$10)*(INDEX(BookQ1,1453)*(5-MIN(4,1+'5. Scenarios'!$B$8))/4+INDEX(BookQ2,1453)*(5-MIN(4,2+'5. Scenarios'!$B$8))/4+INDEX(BookQ3,1453)*(5-MIN(4,3+'5. Scenarios'!$B$8))/4+INDEX(BookQ4,1453)*(5-MIN(4,4+'5. Scenarios'!$B$8))/4)*'5. Scenarios'!$B$6/(1+ProductivityDefault*('5. Scenarios'!$B$11-1))+INDEX(BookOneOff,1453)*$D1458)</f>
        <v/>
      </c>
      <c r="I1458" s="56" t="str">
        <f aca="false">IF(INDEX(BookTitle,1453)="","",INDEX(BookTotal,1453)*'5. Scenarios'!$C$6/(1+ProductivityDefault*('5. Scenarios'!$C$11-1)))</f>
        <v/>
      </c>
      <c r="J1458" s="57" t="str">
        <f aca="false">IF($I1458="","",INDEX(BookRate,1453)*(1+'5. Scenarios'!$C$10)*$I1458)</f>
        <v/>
      </c>
      <c r="K1458" s="57" t="str">
        <f aca="false">IF($J1458="","",SUMIFS($J$6:$J$2405,$A$6:$A$2405,"&lt;="&amp;$A1458))</f>
        <v/>
      </c>
      <c r="L1458" s="57" t="str">
        <f aca="false">IF($J1458="","",IF($K1458&lt;=BankCostEnvelope*'5. Scenarios'!$C$7,1,0))</f>
        <v/>
      </c>
      <c r="M1458" s="57" t="str">
        <f aca="false">IF($I1458="","",INDEX(BookRate,1453)*(1+'5. Scenarios'!$C$10)*(INDEX(BookQ1,1453)*(5-MIN(4,1+'5. Scenarios'!$C$8))/4+INDEX(BookQ2,1453)*(5-MIN(4,2+'5. Scenarios'!$C$8))/4+INDEX(BookQ3,1453)*(5-MIN(4,3+'5. Scenarios'!$C$8))/4+INDEX(BookQ4,1453)*(5-MIN(4,4+'5. Scenarios'!$C$8))/4)*'5. Scenarios'!$C$6/(1+ProductivityDefault*('5. Scenarios'!$C$11-1))+INDEX(BookOneOff,1453)*$I1458)</f>
        <v/>
      </c>
      <c r="N1458" s="56" t="str">
        <f aca="false">IF(INDEX(BookTitle,1453)="","",INDEX(BookTotal,1453)*'5. Scenarios'!$D$6/(1+ProductivityDefault*('5. Scenarios'!$D$11-1)))</f>
        <v/>
      </c>
      <c r="O1458" s="57" t="str">
        <f aca="false">IF($N1458="","",INDEX(BookRate,1453)*(1+'5. Scenarios'!$D$10)*$N1458)</f>
        <v/>
      </c>
      <c r="P1458" s="57" t="str">
        <f aca="false">IF($O1458="","",SUMIFS($O$6:$O$2405,$A$6:$A$2405,"&lt;="&amp;$A1458))</f>
        <v/>
      </c>
      <c r="Q1458" s="57" t="str">
        <f aca="false">IF($O1458="","",IF($P1458&lt;=BankCostEnvelope*'5. Scenarios'!$D$7,1,0))</f>
        <v/>
      </c>
      <c r="R1458" s="57" t="str">
        <f aca="false">IF($N1458="","",INDEX(BookRate,1453)*(1+'5. Scenarios'!$D$10)*(INDEX(BookQ1,1453)*(5-MIN(4,1+'5. Scenarios'!$D$8))/4+INDEX(BookQ2,1453)*(5-MIN(4,2+'5. Scenarios'!$D$8))/4+INDEX(BookQ3,1453)*(5-MIN(4,3+'5. Scenarios'!$D$8))/4+INDEX(BookQ4,1453)*(5-MIN(4,4+'5. Scenarios'!$D$8))/4)*'5. Scenarios'!$D$6/(1+ProductivityDefault*('5. Scenarios'!$D$11-1))+INDEX(BookOneOff,1453)*$N1458)</f>
        <v/>
      </c>
      <c r="S1458" s="56" t="str">
        <f aca="false">IF(INDEX(BookTitle,1453)="","",INDEX(BookTotal,1453)*'5. Scenarios'!$E$6/(1+ProductivityDefault*('5. Scenarios'!$E$11-1)))</f>
        <v/>
      </c>
      <c r="T1458" s="57" t="str">
        <f aca="false">IF($S1458="","",INDEX(BookRate,1453)*(1+'5. Scenarios'!$E$10)*$S1458)</f>
        <v/>
      </c>
      <c r="U1458" s="57" t="str">
        <f aca="false">IF($T1458="","",SUMIFS($T$6:$T$2405,$A$6:$A$2405,"&lt;="&amp;$A1458))</f>
        <v/>
      </c>
      <c r="V1458" s="57" t="str">
        <f aca="false">IF($T1458="","",IF($U1458&lt;=BankCostEnvelope*'5. Scenarios'!$E$7,1,0))</f>
        <v/>
      </c>
      <c r="W1458" s="57" t="str">
        <f aca="false">IF($S1458="","",INDEX(BookRate,1453)*(1+'5. Scenarios'!$E$10)*(INDEX(BookQ1,1453)*(5-MIN(4,1+'5. Scenarios'!$E$8))/4+INDEX(BookQ2,1453)*(5-MIN(4,2+'5. Scenarios'!$E$8))/4+INDEX(BookQ3,1453)*(5-MIN(4,3+'5. Scenarios'!$E$8))/4+INDEX(BookQ4,1453)*(5-MIN(4,4+'5. Scenarios'!$E$8))/4)*'5. Scenarios'!$E$6/(1+ProductivityDefault*('5. Scenarios'!$E$11-1))+INDEX(BookOneOff,1453)*$S1458)</f>
        <v/>
      </c>
    </row>
    <row r="1459" customFormat="false" ht="15" hidden="false" customHeight="false" outlineLevel="0" collapsed="false">
      <c r="A1459" s="0" t="str">
        <f aca="false">IF(INDEX(BookTitle,1454)="","",INDEX(BookKey,1454))</f>
        <v/>
      </c>
      <c r="B1459" s="0" t="str">
        <f aca="false">IF(INDEX(BookTitle,1454)="","",INDEX(BookGroup,1454))</f>
        <v/>
      </c>
      <c r="C1459" s="0" t="str">
        <f aca="false">IF(INDEX(BookTitle,1454)="","",INDEX(BookCategory,1454))</f>
        <v/>
      </c>
      <c r="D1459" s="56" t="str">
        <f aca="false">IF(INDEX(BookTitle,1454)="","",INDEX(BookTotal,1454)*'5. Scenarios'!$B$6/(1+ProductivityDefault*('5. Scenarios'!$B$11-1)))</f>
        <v/>
      </c>
      <c r="E1459" s="57" t="str">
        <f aca="false">IF($D1459="","",INDEX(BookRate,1454)*(1+'5. Scenarios'!$B$10)*$D1459)</f>
        <v/>
      </c>
      <c r="F1459" s="57" t="str">
        <f aca="false">IF($E1459="","",SUMIFS($E$6:$E$2405,$A$6:$A$2405,"&lt;="&amp;$A1459))</f>
        <v/>
      </c>
      <c r="G1459" s="57" t="str">
        <f aca="false">IF($E1459="","",IF($F1459&lt;=BankCostEnvelope*'5. Scenarios'!$B$7,1,0))</f>
        <v/>
      </c>
      <c r="H1459" s="57" t="str">
        <f aca="false">IF($D1459="","",INDEX(BookRate,1454)*(1+'5. Scenarios'!$B$10)*(INDEX(BookQ1,1454)*(5-MIN(4,1+'5. Scenarios'!$B$8))/4+INDEX(BookQ2,1454)*(5-MIN(4,2+'5. Scenarios'!$B$8))/4+INDEX(BookQ3,1454)*(5-MIN(4,3+'5. Scenarios'!$B$8))/4+INDEX(BookQ4,1454)*(5-MIN(4,4+'5. Scenarios'!$B$8))/4)*'5. Scenarios'!$B$6/(1+ProductivityDefault*('5. Scenarios'!$B$11-1))+INDEX(BookOneOff,1454)*$D1459)</f>
        <v/>
      </c>
      <c r="I1459" s="56" t="str">
        <f aca="false">IF(INDEX(BookTitle,1454)="","",INDEX(BookTotal,1454)*'5. Scenarios'!$C$6/(1+ProductivityDefault*('5. Scenarios'!$C$11-1)))</f>
        <v/>
      </c>
      <c r="J1459" s="57" t="str">
        <f aca="false">IF($I1459="","",INDEX(BookRate,1454)*(1+'5. Scenarios'!$C$10)*$I1459)</f>
        <v/>
      </c>
      <c r="K1459" s="57" t="str">
        <f aca="false">IF($J1459="","",SUMIFS($J$6:$J$2405,$A$6:$A$2405,"&lt;="&amp;$A1459))</f>
        <v/>
      </c>
      <c r="L1459" s="57" t="str">
        <f aca="false">IF($J1459="","",IF($K1459&lt;=BankCostEnvelope*'5. Scenarios'!$C$7,1,0))</f>
        <v/>
      </c>
      <c r="M1459" s="57" t="str">
        <f aca="false">IF($I1459="","",INDEX(BookRate,1454)*(1+'5. Scenarios'!$C$10)*(INDEX(BookQ1,1454)*(5-MIN(4,1+'5. Scenarios'!$C$8))/4+INDEX(BookQ2,1454)*(5-MIN(4,2+'5. Scenarios'!$C$8))/4+INDEX(BookQ3,1454)*(5-MIN(4,3+'5. Scenarios'!$C$8))/4+INDEX(BookQ4,1454)*(5-MIN(4,4+'5. Scenarios'!$C$8))/4)*'5. Scenarios'!$C$6/(1+ProductivityDefault*('5. Scenarios'!$C$11-1))+INDEX(BookOneOff,1454)*$I1459)</f>
        <v/>
      </c>
      <c r="N1459" s="56" t="str">
        <f aca="false">IF(INDEX(BookTitle,1454)="","",INDEX(BookTotal,1454)*'5. Scenarios'!$D$6/(1+ProductivityDefault*('5. Scenarios'!$D$11-1)))</f>
        <v/>
      </c>
      <c r="O1459" s="57" t="str">
        <f aca="false">IF($N1459="","",INDEX(BookRate,1454)*(1+'5. Scenarios'!$D$10)*$N1459)</f>
        <v/>
      </c>
      <c r="P1459" s="57" t="str">
        <f aca="false">IF($O1459="","",SUMIFS($O$6:$O$2405,$A$6:$A$2405,"&lt;="&amp;$A1459))</f>
        <v/>
      </c>
      <c r="Q1459" s="57" t="str">
        <f aca="false">IF($O1459="","",IF($P1459&lt;=BankCostEnvelope*'5. Scenarios'!$D$7,1,0))</f>
        <v/>
      </c>
      <c r="R1459" s="57" t="str">
        <f aca="false">IF($N1459="","",INDEX(BookRate,1454)*(1+'5. Scenarios'!$D$10)*(INDEX(BookQ1,1454)*(5-MIN(4,1+'5. Scenarios'!$D$8))/4+INDEX(BookQ2,1454)*(5-MIN(4,2+'5. Scenarios'!$D$8))/4+INDEX(BookQ3,1454)*(5-MIN(4,3+'5. Scenarios'!$D$8))/4+INDEX(BookQ4,1454)*(5-MIN(4,4+'5. Scenarios'!$D$8))/4)*'5. Scenarios'!$D$6/(1+ProductivityDefault*('5. Scenarios'!$D$11-1))+INDEX(BookOneOff,1454)*$N1459)</f>
        <v/>
      </c>
      <c r="S1459" s="56" t="str">
        <f aca="false">IF(INDEX(BookTitle,1454)="","",INDEX(BookTotal,1454)*'5. Scenarios'!$E$6/(1+ProductivityDefault*('5. Scenarios'!$E$11-1)))</f>
        <v/>
      </c>
      <c r="T1459" s="57" t="str">
        <f aca="false">IF($S1459="","",INDEX(BookRate,1454)*(1+'5. Scenarios'!$E$10)*$S1459)</f>
        <v/>
      </c>
      <c r="U1459" s="57" t="str">
        <f aca="false">IF($T1459="","",SUMIFS($T$6:$T$2405,$A$6:$A$2405,"&lt;="&amp;$A1459))</f>
        <v/>
      </c>
      <c r="V1459" s="57" t="str">
        <f aca="false">IF($T1459="","",IF($U1459&lt;=BankCostEnvelope*'5. Scenarios'!$E$7,1,0))</f>
        <v/>
      </c>
      <c r="W1459" s="57" t="str">
        <f aca="false">IF($S1459="","",INDEX(BookRate,1454)*(1+'5. Scenarios'!$E$10)*(INDEX(BookQ1,1454)*(5-MIN(4,1+'5. Scenarios'!$E$8))/4+INDEX(BookQ2,1454)*(5-MIN(4,2+'5. Scenarios'!$E$8))/4+INDEX(BookQ3,1454)*(5-MIN(4,3+'5. Scenarios'!$E$8))/4+INDEX(BookQ4,1454)*(5-MIN(4,4+'5. Scenarios'!$E$8))/4)*'5. Scenarios'!$E$6/(1+ProductivityDefault*('5. Scenarios'!$E$11-1))+INDEX(BookOneOff,1454)*$S1459)</f>
        <v/>
      </c>
    </row>
    <row r="1460" customFormat="false" ht="15" hidden="false" customHeight="false" outlineLevel="0" collapsed="false">
      <c r="A1460" s="0" t="str">
        <f aca="false">IF(INDEX(BookTitle,1455)="","",INDEX(BookKey,1455))</f>
        <v/>
      </c>
      <c r="B1460" s="0" t="str">
        <f aca="false">IF(INDEX(BookTitle,1455)="","",INDEX(BookGroup,1455))</f>
        <v/>
      </c>
      <c r="C1460" s="0" t="str">
        <f aca="false">IF(INDEX(BookTitle,1455)="","",INDEX(BookCategory,1455))</f>
        <v/>
      </c>
      <c r="D1460" s="56" t="str">
        <f aca="false">IF(INDEX(BookTitle,1455)="","",INDEX(BookTotal,1455)*'5. Scenarios'!$B$6/(1+ProductivityDefault*('5. Scenarios'!$B$11-1)))</f>
        <v/>
      </c>
      <c r="E1460" s="57" t="str">
        <f aca="false">IF($D1460="","",INDEX(BookRate,1455)*(1+'5. Scenarios'!$B$10)*$D1460)</f>
        <v/>
      </c>
      <c r="F1460" s="57" t="str">
        <f aca="false">IF($E1460="","",SUMIFS($E$6:$E$2405,$A$6:$A$2405,"&lt;="&amp;$A1460))</f>
        <v/>
      </c>
      <c r="G1460" s="57" t="str">
        <f aca="false">IF($E1460="","",IF($F1460&lt;=BankCostEnvelope*'5. Scenarios'!$B$7,1,0))</f>
        <v/>
      </c>
      <c r="H1460" s="57" t="str">
        <f aca="false">IF($D1460="","",INDEX(BookRate,1455)*(1+'5. Scenarios'!$B$10)*(INDEX(BookQ1,1455)*(5-MIN(4,1+'5. Scenarios'!$B$8))/4+INDEX(BookQ2,1455)*(5-MIN(4,2+'5. Scenarios'!$B$8))/4+INDEX(BookQ3,1455)*(5-MIN(4,3+'5. Scenarios'!$B$8))/4+INDEX(BookQ4,1455)*(5-MIN(4,4+'5. Scenarios'!$B$8))/4)*'5. Scenarios'!$B$6/(1+ProductivityDefault*('5. Scenarios'!$B$11-1))+INDEX(BookOneOff,1455)*$D1460)</f>
        <v/>
      </c>
      <c r="I1460" s="56" t="str">
        <f aca="false">IF(INDEX(BookTitle,1455)="","",INDEX(BookTotal,1455)*'5. Scenarios'!$C$6/(1+ProductivityDefault*('5. Scenarios'!$C$11-1)))</f>
        <v/>
      </c>
      <c r="J1460" s="57" t="str">
        <f aca="false">IF($I1460="","",INDEX(BookRate,1455)*(1+'5. Scenarios'!$C$10)*$I1460)</f>
        <v/>
      </c>
      <c r="K1460" s="57" t="str">
        <f aca="false">IF($J1460="","",SUMIFS($J$6:$J$2405,$A$6:$A$2405,"&lt;="&amp;$A1460))</f>
        <v/>
      </c>
      <c r="L1460" s="57" t="str">
        <f aca="false">IF($J1460="","",IF($K1460&lt;=BankCostEnvelope*'5. Scenarios'!$C$7,1,0))</f>
        <v/>
      </c>
      <c r="M1460" s="57" t="str">
        <f aca="false">IF($I1460="","",INDEX(BookRate,1455)*(1+'5. Scenarios'!$C$10)*(INDEX(BookQ1,1455)*(5-MIN(4,1+'5. Scenarios'!$C$8))/4+INDEX(BookQ2,1455)*(5-MIN(4,2+'5. Scenarios'!$C$8))/4+INDEX(BookQ3,1455)*(5-MIN(4,3+'5. Scenarios'!$C$8))/4+INDEX(BookQ4,1455)*(5-MIN(4,4+'5. Scenarios'!$C$8))/4)*'5. Scenarios'!$C$6/(1+ProductivityDefault*('5. Scenarios'!$C$11-1))+INDEX(BookOneOff,1455)*$I1460)</f>
        <v/>
      </c>
      <c r="N1460" s="56" t="str">
        <f aca="false">IF(INDEX(BookTitle,1455)="","",INDEX(BookTotal,1455)*'5. Scenarios'!$D$6/(1+ProductivityDefault*('5. Scenarios'!$D$11-1)))</f>
        <v/>
      </c>
      <c r="O1460" s="57" t="str">
        <f aca="false">IF($N1460="","",INDEX(BookRate,1455)*(1+'5. Scenarios'!$D$10)*$N1460)</f>
        <v/>
      </c>
      <c r="P1460" s="57" t="str">
        <f aca="false">IF($O1460="","",SUMIFS($O$6:$O$2405,$A$6:$A$2405,"&lt;="&amp;$A1460))</f>
        <v/>
      </c>
      <c r="Q1460" s="57" t="str">
        <f aca="false">IF($O1460="","",IF($P1460&lt;=BankCostEnvelope*'5. Scenarios'!$D$7,1,0))</f>
        <v/>
      </c>
      <c r="R1460" s="57" t="str">
        <f aca="false">IF($N1460="","",INDEX(BookRate,1455)*(1+'5. Scenarios'!$D$10)*(INDEX(BookQ1,1455)*(5-MIN(4,1+'5. Scenarios'!$D$8))/4+INDEX(BookQ2,1455)*(5-MIN(4,2+'5. Scenarios'!$D$8))/4+INDEX(BookQ3,1455)*(5-MIN(4,3+'5. Scenarios'!$D$8))/4+INDEX(BookQ4,1455)*(5-MIN(4,4+'5. Scenarios'!$D$8))/4)*'5. Scenarios'!$D$6/(1+ProductivityDefault*('5. Scenarios'!$D$11-1))+INDEX(BookOneOff,1455)*$N1460)</f>
        <v/>
      </c>
      <c r="S1460" s="56" t="str">
        <f aca="false">IF(INDEX(BookTitle,1455)="","",INDEX(BookTotal,1455)*'5. Scenarios'!$E$6/(1+ProductivityDefault*('5. Scenarios'!$E$11-1)))</f>
        <v/>
      </c>
      <c r="T1460" s="57" t="str">
        <f aca="false">IF($S1460="","",INDEX(BookRate,1455)*(1+'5. Scenarios'!$E$10)*$S1460)</f>
        <v/>
      </c>
      <c r="U1460" s="57" t="str">
        <f aca="false">IF($T1460="","",SUMIFS($T$6:$T$2405,$A$6:$A$2405,"&lt;="&amp;$A1460))</f>
        <v/>
      </c>
      <c r="V1460" s="57" t="str">
        <f aca="false">IF($T1460="","",IF($U1460&lt;=BankCostEnvelope*'5. Scenarios'!$E$7,1,0))</f>
        <v/>
      </c>
      <c r="W1460" s="57" t="str">
        <f aca="false">IF($S1460="","",INDEX(BookRate,1455)*(1+'5. Scenarios'!$E$10)*(INDEX(BookQ1,1455)*(5-MIN(4,1+'5. Scenarios'!$E$8))/4+INDEX(BookQ2,1455)*(5-MIN(4,2+'5. Scenarios'!$E$8))/4+INDEX(BookQ3,1455)*(5-MIN(4,3+'5. Scenarios'!$E$8))/4+INDEX(BookQ4,1455)*(5-MIN(4,4+'5. Scenarios'!$E$8))/4)*'5. Scenarios'!$E$6/(1+ProductivityDefault*('5. Scenarios'!$E$11-1))+INDEX(BookOneOff,1455)*$S1460)</f>
        <v/>
      </c>
    </row>
    <row r="1461" customFormat="false" ht="15" hidden="false" customHeight="false" outlineLevel="0" collapsed="false">
      <c r="A1461" s="0" t="str">
        <f aca="false">IF(INDEX(BookTitle,1456)="","",INDEX(BookKey,1456))</f>
        <v/>
      </c>
      <c r="B1461" s="0" t="str">
        <f aca="false">IF(INDEX(BookTitle,1456)="","",INDEX(BookGroup,1456))</f>
        <v/>
      </c>
      <c r="C1461" s="0" t="str">
        <f aca="false">IF(INDEX(BookTitle,1456)="","",INDEX(BookCategory,1456))</f>
        <v/>
      </c>
      <c r="D1461" s="56" t="str">
        <f aca="false">IF(INDEX(BookTitle,1456)="","",INDEX(BookTotal,1456)*'5. Scenarios'!$B$6/(1+ProductivityDefault*('5. Scenarios'!$B$11-1)))</f>
        <v/>
      </c>
      <c r="E1461" s="57" t="str">
        <f aca="false">IF($D1461="","",INDEX(BookRate,1456)*(1+'5. Scenarios'!$B$10)*$D1461)</f>
        <v/>
      </c>
      <c r="F1461" s="57" t="str">
        <f aca="false">IF($E1461="","",SUMIFS($E$6:$E$2405,$A$6:$A$2405,"&lt;="&amp;$A1461))</f>
        <v/>
      </c>
      <c r="G1461" s="57" t="str">
        <f aca="false">IF($E1461="","",IF($F1461&lt;=BankCostEnvelope*'5. Scenarios'!$B$7,1,0))</f>
        <v/>
      </c>
      <c r="H1461" s="57" t="str">
        <f aca="false">IF($D1461="","",INDEX(BookRate,1456)*(1+'5. Scenarios'!$B$10)*(INDEX(BookQ1,1456)*(5-MIN(4,1+'5. Scenarios'!$B$8))/4+INDEX(BookQ2,1456)*(5-MIN(4,2+'5. Scenarios'!$B$8))/4+INDEX(BookQ3,1456)*(5-MIN(4,3+'5. Scenarios'!$B$8))/4+INDEX(BookQ4,1456)*(5-MIN(4,4+'5. Scenarios'!$B$8))/4)*'5. Scenarios'!$B$6/(1+ProductivityDefault*('5. Scenarios'!$B$11-1))+INDEX(BookOneOff,1456)*$D1461)</f>
        <v/>
      </c>
      <c r="I1461" s="56" t="str">
        <f aca="false">IF(INDEX(BookTitle,1456)="","",INDEX(BookTotal,1456)*'5. Scenarios'!$C$6/(1+ProductivityDefault*('5. Scenarios'!$C$11-1)))</f>
        <v/>
      </c>
      <c r="J1461" s="57" t="str">
        <f aca="false">IF($I1461="","",INDEX(BookRate,1456)*(1+'5. Scenarios'!$C$10)*$I1461)</f>
        <v/>
      </c>
      <c r="K1461" s="57" t="str">
        <f aca="false">IF($J1461="","",SUMIFS($J$6:$J$2405,$A$6:$A$2405,"&lt;="&amp;$A1461))</f>
        <v/>
      </c>
      <c r="L1461" s="57" t="str">
        <f aca="false">IF($J1461="","",IF($K1461&lt;=BankCostEnvelope*'5. Scenarios'!$C$7,1,0))</f>
        <v/>
      </c>
      <c r="M1461" s="57" t="str">
        <f aca="false">IF($I1461="","",INDEX(BookRate,1456)*(1+'5. Scenarios'!$C$10)*(INDEX(BookQ1,1456)*(5-MIN(4,1+'5. Scenarios'!$C$8))/4+INDEX(BookQ2,1456)*(5-MIN(4,2+'5. Scenarios'!$C$8))/4+INDEX(BookQ3,1456)*(5-MIN(4,3+'5. Scenarios'!$C$8))/4+INDEX(BookQ4,1456)*(5-MIN(4,4+'5. Scenarios'!$C$8))/4)*'5. Scenarios'!$C$6/(1+ProductivityDefault*('5. Scenarios'!$C$11-1))+INDEX(BookOneOff,1456)*$I1461)</f>
        <v/>
      </c>
      <c r="N1461" s="56" t="str">
        <f aca="false">IF(INDEX(BookTitle,1456)="","",INDEX(BookTotal,1456)*'5. Scenarios'!$D$6/(1+ProductivityDefault*('5. Scenarios'!$D$11-1)))</f>
        <v/>
      </c>
      <c r="O1461" s="57" t="str">
        <f aca="false">IF($N1461="","",INDEX(BookRate,1456)*(1+'5. Scenarios'!$D$10)*$N1461)</f>
        <v/>
      </c>
      <c r="P1461" s="57" t="str">
        <f aca="false">IF($O1461="","",SUMIFS($O$6:$O$2405,$A$6:$A$2405,"&lt;="&amp;$A1461))</f>
        <v/>
      </c>
      <c r="Q1461" s="57" t="str">
        <f aca="false">IF($O1461="","",IF($P1461&lt;=BankCostEnvelope*'5. Scenarios'!$D$7,1,0))</f>
        <v/>
      </c>
      <c r="R1461" s="57" t="str">
        <f aca="false">IF($N1461="","",INDEX(BookRate,1456)*(1+'5. Scenarios'!$D$10)*(INDEX(BookQ1,1456)*(5-MIN(4,1+'5. Scenarios'!$D$8))/4+INDEX(BookQ2,1456)*(5-MIN(4,2+'5. Scenarios'!$D$8))/4+INDEX(BookQ3,1456)*(5-MIN(4,3+'5. Scenarios'!$D$8))/4+INDEX(BookQ4,1456)*(5-MIN(4,4+'5. Scenarios'!$D$8))/4)*'5. Scenarios'!$D$6/(1+ProductivityDefault*('5. Scenarios'!$D$11-1))+INDEX(BookOneOff,1456)*$N1461)</f>
        <v/>
      </c>
      <c r="S1461" s="56" t="str">
        <f aca="false">IF(INDEX(BookTitle,1456)="","",INDEX(BookTotal,1456)*'5. Scenarios'!$E$6/(1+ProductivityDefault*('5. Scenarios'!$E$11-1)))</f>
        <v/>
      </c>
      <c r="T1461" s="57" t="str">
        <f aca="false">IF($S1461="","",INDEX(BookRate,1456)*(1+'5. Scenarios'!$E$10)*$S1461)</f>
        <v/>
      </c>
      <c r="U1461" s="57" t="str">
        <f aca="false">IF($T1461="","",SUMIFS($T$6:$T$2405,$A$6:$A$2405,"&lt;="&amp;$A1461))</f>
        <v/>
      </c>
      <c r="V1461" s="57" t="str">
        <f aca="false">IF($T1461="","",IF($U1461&lt;=BankCostEnvelope*'5. Scenarios'!$E$7,1,0))</f>
        <v/>
      </c>
      <c r="W1461" s="57" t="str">
        <f aca="false">IF($S1461="","",INDEX(BookRate,1456)*(1+'5. Scenarios'!$E$10)*(INDEX(BookQ1,1456)*(5-MIN(4,1+'5. Scenarios'!$E$8))/4+INDEX(BookQ2,1456)*(5-MIN(4,2+'5. Scenarios'!$E$8))/4+INDEX(BookQ3,1456)*(5-MIN(4,3+'5. Scenarios'!$E$8))/4+INDEX(BookQ4,1456)*(5-MIN(4,4+'5. Scenarios'!$E$8))/4)*'5. Scenarios'!$E$6/(1+ProductivityDefault*('5. Scenarios'!$E$11-1))+INDEX(BookOneOff,1456)*$S1461)</f>
        <v/>
      </c>
    </row>
    <row r="1462" customFormat="false" ht="15" hidden="false" customHeight="false" outlineLevel="0" collapsed="false">
      <c r="A1462" s="0" t="str">
        <f aca="false">IF(INDEX(BookTitle,1457)="","",INDEX(BookKey,1457))</f>
        <v/>
      </c>
      <c r="B1462" s="0" t="str">
        <f aca="false">IF(INDEX(BookTitle,1457)="","",INDEX(BookGroup,1457))</f>
        <v/>
      </c>
      <c r="C1462" s="0" t="str">
        <f aca="false">IF(INDEX(BookTitle,1457)="","",INDEX(BookCategory,1457))</f>
        <v/>
      </c>
      <c r="D1462" s="56" t="str">
        <f aca="false">IF(INDEX(BookTitle,1457)="","",INDEX(BookTotal,1457)*'5. Scenarios'!$B$6/(1+ProductivityDefault*('5. Scenarios'!$B$11-1)))</f>
        <v/>
      </c>
      <c r="E1462" s="57" t="str">
        <f aca="false">IF($D1462="","",INDEX(BookRate,1457)*(1+'5. Scenarios'!$B$10)*$D1462)</f>
        <v/>
      </c>
      <c r="F1462" s="57" t="str">
        <f aca="false">IF($E1462="","",SUMIFS($E$6:$E$2405,$A$6:$A$2405,"&lt;="&amp;$A1462))</f>
        <v/>
      </c>
      <c r="G1462" s="57" t="str">
        <f aca="false">IF($E1462="","",IF($F1462&lt;=BankCostEnvelope*'5. Scenarios'!$B$7,1,0))</f>
        <v/>
      </c>
      <c r="H1462" s="57" t="str">
        <f aca="false">IF($D1462="","",INDEX(BookRate,1457)*(1+'5. Scenarios'!$B$10)*(INDEX(BookQ1,1457)*(5-MIN(4,1+'5. Scenarios'!$B$8))/4+INDEX(BookQ2,1457)*(5-MIN(4,2+'5. Scenarios'!$B$8))/4+INDEX(BookQ3,1457)*(5-MIN(4,3+'5. Scenarios'!$B$8))/4+INDEX(BookQ4,1457)*(5-MIN(4,4+'5. Scenarios'!$B$8))/4)*'5. Scenarios'!$B$6/(1+ProductivityDefault*('5. Scenarios'!$B$11-1))+INDEX(BookOneOff,1457)*$D1462)</f>
        <v/>
      </c>
      <c r="I1462" s="56" t="str">
        <f aca="false">IF(INDEX(BookTitle,1457)="","",INDEX(BookTotal,1457)*'5. Scenarios'!$C$6/(1+ProductivityDefault*('5. Scenarios'!$C$11-1)))</f>
        <v/>
      </c>
      <c r="J1462" s="57" t="str">
        <f aca="false">IF($I1462="","",INDEX(BookRate,1457)*(1+'5. Scenarios'!$C$10)*$I1462)</f>
        <v/>
      </c>
      <c r="K1462" s="57" t="str">
        <f aca="false">IF($J1462="","",SUMIFS($J$6:$J$2405,$A$6:$A$2405,"&lt;="&amp;$A1462))</f>
        <v/>
      </c>
      <c r="L1462" s="57" t="str">
        <f aca="false">IF($J1462="","",IF($K1462&lt;=BankCostEnvelope*'5. Scenarios'!$C$7,1,0))</f>
        <v/>
      </c>
      <c r="M1462" s="57" t="str">
        <f aca="false">IF($I1462="","",INDEX(BookRate,1457)*(1+'5. Scenarios'!$C$10)*(INDEX(BookQ1,1457)*(5-MIN(4,1+'5. Scenarios'!$C$8))/4+INDEX(BookQ2,1457)*(5-MIN(4,2+'5. Scenarios'!$C$8))/4+INDEX(BookQ3,1457)*(5-MIN(4,3+'5. Scenarios'!$C$8))/4+INDEX(BookQ4,1457)*(5-MIN(4,4+'5. Scenarios'!$C$8))/4)*'5. Scenarios'!$C$6/(1+ProductivityDefault*('5. Scenarios'!$C$11-1))+INDEX(BookOneOff,1457)*$I1462)</f>
        <v/>
      </c>
      <c r="N1462" s="56" t="str">
        <f aca="false">IF(INDEX(BookTitle,1457)="","",INDEX(BookTotal,1457)*'5. Scenarios'!$D$6/(1+ProductivityDefault*('5. Scenarios'!$D$11-1)))</f>
        <v/>
      </c>
      <c r="O1462" s="57" t="str">
        <f aca="false">IF($N1462="","",INDEX(BookRate,1457)*(1+'5. Scenarios'!$D$10)*$N1462)</f>
        <v/>
      </c>
      <c r="P1462" s="57" t="str">
        <f aca="false">IF($O1462="","",SUMIFS($O$6:$O$2405,$A$6:$A$2405,"&lt;="&amp;$A1462))</f>
        <v/>
      </c>
      <c r="Q1462" s="57" t="str">
        <f aca="false">IF($O1462="","",IF($P1462&lt;=BankCostEnvelope*'5. Scenarios'!$D$7,1,0))</f>
        <v/>
      </c>
      <c r="R1462" s="57" t="str">
        <f aca="false">IF($N1462="","",INDEX(BookRate,1457)*(1+'5. Scenarios'!$D$10)*(INDEX(BookQ1,1457)*(5-MIN(4,1+'5. Scenarios'!$D$8))/4+INDEX(BookQ2,1457)*(5-MIN(4,2+'5. Scenarios'!$D$8))/4+INDEX(BookQ3,1457)*(5-MIN(4,3+'5. Scenarios'!$D$8))/4+INDEX(BookQ4,1457)*(5-MIN(4,4+'5. Scenarios'!$D$8))/4)*'5. Scenarios'!$D$6/(1+ProductivityDefault*('5. Scenarios'!$D$11-1))+INDEX(BookOneOff,1457)*$N1462)</f>
        <v/>
      </c>
      <c r="S1462" s="56" t="str">
        <f aca="false">IF(INDEX(BookTitle,1457)="","",INDEX(BookTotal,1457)*'5. Scenarios'!$E$6/(1+ProductivityDefault*('5. Scenarios'!$E$11-1)))</f>
        <v/>
      </c>
      <c r="T1462" s="57" t="str">
        <f aca="false">IF($S1462="","",INDEX(BookRate,1457)*(1+'5. Scenarios'!$E$10)*$S1462)</f>
        <v/>
      </c>
      <c r="U1462" s="57" t="str">
        <f aca="false">IF($T1462="","",SUMIFS($T$6:$T$2405,$A$6:$A$2405,"&lt;="&amp;$A1462))</f>
        <v/>
      </c>
      <c r="V1462" s="57" t="str">
        <f aca="false">IF($T1462="","",IF($U1462&lt;=BankCostEnvelope*'5. Scenarios'!$E$7,1,0))</f>
        <v/>
      </c>
      <c r="W1462" s="57" t="str">
        <f aca="false">IF($S1462="","",INDEX(BookRate,1457)*(1+'5. Scenarios'!$E$10)*(INDEX(BookQ1,1457)*(5-MIN(4,1+'5. Scenarios'!$E$8))/4+INDEX(BookQ2,1457)*(5-MIN(4,2+'5. Scenarios'!$E$8))/4+INDEX(BookQ3,1457)*(5-MIN(4,3+'5. Scenarios'!$E$8))/4+INDEX(BookQ4,1457)*(5-MIN(4,4+'5. Scenarios'!$E$8))/4)*'5. Scenarios'!$E$6/(1+ProductivityDefault*('5. Scenarios'!$E$11-1))+INDEX(BookOneOff,1457)*$S1462)</f>
        <v/>
      </c>
    </row>
    <row r="1463" customFormat="false" ht="15" hidden="false" customHeight="false" outlineLevel="0" collapsed="false">
      <c r="A1463" s="0" t="str">
        <f aca="false">IF(INDEX(BookTitle,1458)="","",INDEX(BookKey,1458))</f>
        <v/>
      </c>
      <c r="B1463" s="0" t="str">
        <f aca="false">IF(INDEX(BookTitle,1458)="","",INDEX(BookGroup,1458))</f>
        <v/>
      </c>
      <c r="C1463" s="0" t="str">
        <f aca="false">IF(INDEX(BookTitle,1458)="","",INDEX(BookCategory,1458))</f>
        <v/>
      </c>
      <c r="D1463" s="56" t="str">
        <f aca="false">IF(INDEX(BookTitle,1458)="","",INDEX(BookTotal,1458)*'5. Scenarios'!$B$6/(1+ProductivityDefault*('5. Scenarios'!$B$11-1)))</f>
        <v/>
      </c>
      <c r="E1463" s="57" t="str">
        <f aca="false">IF($D1463="","",INDEX(BookRate,1458)*(1+'5. Scenarios'!$B$10)*$D1463)</f>
        <v/>
      </c>
      <c r="F1463" s="57" t="str">
        <f aca="false">IF($E1463="","",SUMIFS($E$6:$E$2405,$A$6:$A$2405,"&lt;="&amp;$A1463))</f>
        <v/>
      </c>
      <c r="G1463" s="57" t="str">
        <f aca="false">IF($E1463="","",IF($F1463&lt;=BankCostEnvelope*'5. Scenarios'!$B$7,1,0))</f>
        <v/>
      </c>
      <c r="H1463" s="57" t="str">
        <f aca="false">IF($D1463="","",INDEX(BookRate,1458)*(1+'5. Scenarios'!$B$10)*(INDEX(BookQ1,1458)*(5-MIN(4,1+'5. Scenarios'!$B$8))/4+INDEX(BookQ2,1458)*(5-MIN(4,2+'5. Scenarios'!$B$8))/4+INDEX(BookQ3,1458)*(5-MIN(4,3+'5. Scenarios'!$B$8))/4+INDEX(BookQ4,1458)*(5-MIN(4,4+'5. Scenarios'!$B$8))/4)*'5. Scenarios'!$B$6/(1+ProductivityDefault*('5. Scenarios'!$B$11-1))+INDEX(BookOneOff,1458)*$D1463)</f>
        <v/>
      </c>
      <c r="I1463" s="56" t="str">
        <f aca="false">IF(INDEX(BookTitle,1458)="","",INDEX(BookTotal,1458)*'5. Scenarios'!$C$6/(1+ProductivityDefault*('5. Scenarios'!$C$11-1)))</f>
        <v/>
      </c>
      <c r="J1463" s="57" t="str">
        <f aca="false">IF($I1463="","",INDEX(BookRate,1458)*(1+'5. Scenarios'!$C$10)*$I1463)</f>
        <v/>
      </c>
      <c r="K1463" s="57" t="str">
        <f aca="false">IF($J1463="","",SUMIFS($J$6:$J$2405,$A$6:$A$2405,"&lt;="&amp;$A1463))</f>
        <v/>
      </c>
      <c r="L1463" s="57" t="str">
        <f aca="false">IF($J1463="","",IF($K1463&lt;=BankCostEnvelope*'5. Scenarios'!$C$7,1,0))</f>
        <v/>
      </c>
      <c r="M1463" s="57" t="str">
        <f aca="false">IF($I1463="","",INDEX(BookRate,1458)*(1+'5. Scenarios'!$C$10)*(INDEX(BookQ1,1458)*(5-MIN(4,1+'5. Scenarios'!$C$8))/4+INDEX(BookQ2,1458)*(5-MIN(4,2+'5. Scenarios'!$C$8))/4+INDEX(BookQ3,1458)*(5-MIN(4,3+'5. Scenarios'!$C$8))/4+INDEX(BookQ4,1458)*(5-MIN(4,4+'5. Scenarios'!$C$8))/4)*'5. Scenarios'!$C$6/(1+ProductivityDefault*('5. Scenarios'!$C$11-1))+INDEX(BookOneOff,1458)*$I1463)</f>
        <v/>
      </c>
      <c r="N1463" s="56" t="str">
        <f aca="false">IF(INDEX(BookTitle,1458)="","",INDEX(BookTotal,1458)*'5. Scenarios'!$D$6/(1+ProductivityDefault*('5. Scenarios'!$D$11-1)))</f>
        <v/>
      </c>
      <c r="O1463" s="57" t="str">
        <f aca="false">IF($N1463="","",INDEX(BookRate,1458)*(1+'5. Scenarios'!$D$10)*$N1463)</f>
        <v/>
      </c>
      <c r="P1463" s="57" t="str">
        <f aca="false">IF($O1463="","",SUMIFS($O$6:$O$2405,$A$6:$A$2405,"&lt;="&amp;$A1463))</f>
        <v/>
      </c>
      <c r="Q1463" s="57" t="str">
        <f aca="false">IF($O1463="","",IF($P1463&lt;=BankCostEnvelope*'5. Scenarios'!$D$7,1,0))</f>
        <v/>
      </c>
      <c r="R1463" s="57" t="str">
        <f aca="false">IF($N1463="","",INDEX(BookRate,1458)*(1+'5. Scenarios'!$D$10)*(INDEX(BookQ1,1458)*(5-MIN(4,1+'5. Scenarios'!$D$8))/4+INDEX(BookQ2,1458)*(5-MIN(4,2+'5. Scenarios'!$D$8))/4+INDEX(BookQ3,1458)*(5-MIN(4,3+'5. Scenarios'!$D$8))/4+INDEX(BookQ4,1458)*(5-MIN(4,4+'5. Scenarios'!$D$8))/4)*'5. Scenarios'!$D$6/(1+ProductivityDefault*('5. Scenarios'!$D$11-1))+INDEX(BookOneOff,1458)*$N1463)</f>
        <v/>
      </c>
      <c r="S1463" s="56" t="str">
        <f aca="false">IF(INDEX(BookTitle,1458)="","",INDEX(BookTotal,1458)*'5. Scenarios'!$E$6/(1+ProductivityDefault*('5. Scenarios'!$E$11-1)))</f>
        <v/>
      </c>
      <c r="T1463" s="57" t="str">
        <f aca="false">IF($S1463="","",INDEX(BookRate,1458)*(1+'5. Scenarios'!$E$10)*$S1463)</f>
        <v/>
      </c>
      <c r="U1463" s="57" t="str">
        <f aca="false">IF($T1463="","",SUMIFS($T$6:$T$2405,$A$6:$A$2405,"&lt;="&amp;$A1463))</f>
        <v/>
      </c>
      <c r="V1463" s="57" t="str">
        <f aca="false">IF($T1463="","",IF($U1463&lt;=BankCostEnvelope*'5. Scenarios'!$E$7,1,0))</f>
        <v/>
      </c>
      <c r="W1463" s="57" t="str">
        <f aca="false">IF($S1463="","",INDEX(BookRate,1458)*(1+'5. Scenarios'!$E$10)*(INDEX(BookQ1,1458)*(5-MIN(4,1+'5. Scenarios'!$E$8))/4+INDEX(BookQ2,1458)*(5-MIN(4,2+'5. Scenarios'!$E$8))/4+INDEX(BookQ3,1458)*(5-MIN(4,3+'5. Scenarios'!$E$8))/4+INDEX(BookQ4,1458)*(5-MIN(4,4+'5. Scenarios'!$E$8))/4)*'5. Scenarios'!$E$6/(1+ProductivityDefault*('5. Scenarios'!$E$11-1))+INDEX(BookOneOff,1458)*$S1463)</f>
        <v/>
      </c>
    </row>
    <row r="1464" customFormat="false" ht="15" hidden="false" customHeight="false" outlineLevel="0" collapsed="false">
      <c r="A1464" s="0" t="str">
        <f aca="false">IF(INDEX(BookTitle,1459)="","",INDEX(BookKey,1459))</f>
        <v/>
      </c>
      <c r="B1464" s="0" t="str">
        <f aca="false">IF(INDEX(BookTitle,1459)="","",INDEX(BookGroup,1459))</f>
        <v/>
      </c>
      <c r="C1464" s="0" t="str">
        <f aca="false">IF(INDEX(BookTitle,1459)="","",INDEX(BookCategory,1459))</f>
        <v/>
      </c>
      <c r="D1464" s="56" t="str">
        <f aca="false">IF(INDEX(BookTitle,1459)="","",INDEX(BookTotal,1459)*'5. Scenarios'!$B$6/(1+ProductivityDefault*('5. Scenarios'!$B$11-1)))</f>
        <v/>
      </c>
      <c r="E1464" s="57" t="str">
        <f aca="false">IF($D1464="","",INDEX(BookRate,1459)*(1+'5. Scenarios'!$B$10)*$D1464)</f>
        <v/>
      </c>
      <c r="F1464" s="57" t="str">
        <f aca="false">IF($E1464="","",SUMIFS($E$6:$E$2405,$A$6:$A$2405,"&lt;="&amp;$A1464))</f>
        <v/>
      </c>
      <c r="G1464" s="57" t="str">
        <f aca="false">IF($E1464="","",IF($F1464&lt;=BankCostEnvelope*'5. Scenarios'!$B$7,1,0))</f>
        <v/>
      </c>
      <c r="H1464" s="57" t="str">
        <f aca="false">IF($D1464="","",INDEX(BookRate,1459)*(1+'5. Scenarios'!$B$10)*(INDEX(BookQ1,1459)*(5-MIN(4,1+'5. Scenarios'!$B$8))/4+INDEX(BookQ2,1459)*(5-MIN(4,2+'5. Scenarios'!$B$8))/4+INDEX(BookQ3,1459)*(5-MIN(4,3+'5. Scenarios'!$B$8))/4+INDEX(BookQ4,1459)*(5-MIN(4,4+'5. Scenarios'!$B$8))/4)*'5. Scenarios'!$B$6/(1+ProductivityDefault*('5. Scenarios'!$B$11-1))+INDEX(BookOneOff,1459)*$D1464)</f>
        <v/>
      </c>
      <c r="I1464" s="56" t="str">
        <f aca="false">IF(INDEX(BookTitle,1459)="","",INDEX(BookTotal,1459)*'5. Scenarios'!$C$6/(1+ProductivityDefault*('5. Scenarios'!$C$11-1)))</f>
        <v/>
      </c>
      <c r="J1464" s="57" t="str">
        <f aca="false">IF($I1464="","",INDEX(BookRate,1459)*(1+'5. Scenarios'!$C$10)*$I1464)</f>
        <v/>
      </c>
      <c r="K1464" s="57" t="str">
        <f aca="false">IF($J1464="","",SUMIFS($J$6:$J$2405,$A$6:$A$2405,"&lt;="&amp;$A1464))</f>
        <v/>
      </c>
      <c r="L1464" s="57" t="str">
        <f aca="false">IF($J1464="","",IF($K1464&lt;=BankCostEnvelope*'5. Scenarios'!$C$7,1,0))</f>
        <v/>
      </c>
      <c r="M1464" s="57" t="str">
        <f aca="false">IF($I1464="","",INDEX(BookRate,1459)*(1+'5. Scenarios'!$C$10)*(INDEX(BookQ1,1459)*(5-MIN(4,1+'5. Scenarios'!$C$8))/4+INDEX(BookQ2,1459)*(5-MIN(4,2+'5. Scenarios'!$C$8))/4+INDEX(BookQ3,1459)*(5-MIN(4,3+'5. Scenarios'!$C$8))/4+INDEX(BookQ4,1459)*(5-MIN(4,4+'5. Scenarios'!$C$8))/4)*'5. Scenarios'!$C$6/(1+ProductivityDefault*('5. Scenarios'!$C$11-1))+INDEX(BookOneOff,1459)*$I1464)</f>
        <v/>
      </c>
      <c r="N1464" s="56" t="str">
        <f aca="false">IF(INDEX(BookTitle,1459)="","",INDEX(BookTotal,1459)*'5. Scenarios'!$D$6/(1+ProductivityDefault*('5. Scenarios'!$D$11-1)))</f>
        <v/>
      </c>
      <c r="O1464" s="57" t="str">
        <f aca="false">IF($N1464="","",INDEX(BookRate,1459)*(1+'5. Scenarios'!$D$10)*$N1464)</f>
        <v/>
      </c>
      <c r="P1464" s="57" t="str">
        <f aca="false">IF($O1464="","",SUMIFS($O$6:$O$2405,$A$6:$A$2405,"&lt;="&amp;$A1464))</f>
        <v/>
      </c>
      <c r="Q1464" s="57" t="str">
        <f aca="false">IF($O1464="","",IF($P1464&lt;=BankCostEnvelope*'5. Scenarios'!$D$7,1,0))</f>
        <v/>
      </c>
      <c r="R1464" s="57" t="str">
        <f aca="false">IF($N1464="","",INDEX(BookRate,1459)*(1+'5. Scenarios'!$D$10)*(INDEX(BookQ1,1459)*(5-MIN(4,1+'5. Scenarios'!$D$8))/4+INDEX(BookQ2,1459)*(5-MIN(4,2+'5. Scenarios'!$D$8))/4+INDEX(BookQ3,1459)*(5-MIN(4,3+'5. Scenarios'!$D$8))/4+INDEX(BookQ4,1459)*(5-MIN(4,4+'5. Scenarios'!$D$8))/4)*'5. Scenarios'!$D$6/(1+ProductivityDefault*('5. Scenarios'!$D$11-1))+INDEX(BookOneOff,1459)*$N1464)</f>
        <v/>
      </c>
      <c r="S1464" s="56" t="str">
        <f aca="false">IF(INDEX(BookTitle,1459)="","",INDEX(BookTotal,1459)*'5. Scenarios'!$E$6/(1+ProductivityDefault*('5. Scenarios'!$E$11-1)))</f>
        <v/>
      </c>
      <c r="T1464" s="57" t="str">
        <f aca="false">IF($S1464="","",INDEX(BookRate,1459)*(1+'5. Scenarios'!$E$10)*$S1464)</f>
        <v/>
      </c>
      <c r="U1464" s="57" t="str">
        <f aca="false">IF($T1464="","",SUMIFS($T$6:$T$2405,$A$6:$A$2405,"&lt;="&amp;$A1464))</f>
        <v/>
      </c>
      <c r="V1464" s="57" t="str">
        <f aca="false">IF($T1464="","",IF($U1464&lt;=BankCostEnvelope*'5. Scenarios'!$E$7,1,0))</f>
        <v/>
      </c>
      <c r="W1464" s="57" t="str">
        <f aca="false">IF($S1464="","",INDEX(BookRate,1459)*(1+'5. Scenarios'!$E$10)*(INDEX(BookQ1,1459)*(5-MIN(4,1+'5. Scenarios'!$E$8))/4+INDEX(BookQ2,1459)*(5-MIN(4,2+'5. Scenarios'!$E$8))/4+INDEX(BookQ3,1459)*(5-MIN(4,3+'5. Scenarios'!$E$8))/4+INDEX(BookQ4,1459)*(5-MIN(4,4+'5. Scenarios'!$E$8))/4)*'5. Scenarios'!$E$6/(1+ProductivityDefault*('5. Scenarios'!$E$11-1))+INDEX(BookOneOff,1459)*$S1464)</f>
        <v/>
      </c>
    </row>
    <row r="1465" customFormat="false" ht="15" hidden="false" customHeight="false" outlineLevel="0" collapsed="false">
      <c r="A1465" s="0" t="str">
        <f aca="false">IF(INDEX(BookTitle,1460)="","",INDEX(BookKey,1460))</f>
        <v/>
      </c>
      <c r="B1465" s="0" t="str">
        <f aca="false">IF(INDEX(BookTitle,1460)="","",INDEX(BookGroup,1460))</f>
        <v/>
      </c>
      <c r="C1465" s="0" t="str">
        <f aca="false">IF(INDEX(BookTitle,1460)="","",INDEX(BookCategory,1460))</f>
        <v/>
      </c>
      <c r="D1465" s="56" t="str">
        <f aca="false">IF(INDEX(BookTitle,1460)="","",INDEX(BookTotal,1460)*'5. Scenarios'!$B$6/(1+ProductivityDefault*('5. Scenarios'!$B$11-1)))</f>
        <v/>
      </c>
      <c r="E1465" s="57" t="str">
        <f aca="false">IF($D1465="","",INDEX(BookRate,1460)*(1+'5. Scenarios'!$B$10)*$D1465)</f>
        <v/>
      </c>
      <c r="F1465" s="57" t="str">
        <f aca="false">IF($E1465="","",SUMIFS($E$6:$E$2405,$A$6:$A$2405,"&lt;="&amp;$A1465))</f>
        <v/>
      </c>
      <c r="G1465" s="57" t="str">
        <f aca="false">IF($E1465="","",IF($F1465&lt;=BankCostEnvelope*'5. Scenarios'!$B$7,1,0))</f>
        <v/>
      </c>
      <c r="H1465" s="57" t="str">
        <f aca="false">IF($D1465="","",INDEX(BookRate,1460)*(1+'5. Scenarios'!$B$10)*(INDEX(BookQ1,1460)*(5-MIN(4,1+'5. Scenarios'!$B$8))/4+INDEX(BookQ2,1460)*(5-MIN(4,2+'5. Scenarios'!$B$8))/4+INDEX(BookQ3,1460)*(5-MIN(4,3+'5. Scenarios'!$B$8))/4+INDEX(BookQ4,1460)*(5-MIN(4,4+'5. Scenarios'!$B$8))/4)*'5. Scenarios'!$B$6/(1+ProductivityDefault*('5. Scenarios'!$B$11-1))+INDEX(BookOneOff,1460)*$D1465)</f>
        <v/>
      </c>
      <c r="I1465" s="56" t="str">
        <f aca="false">IF(INDEX(BookTitle,1460)="","",INDEX(BookTotal,1460)*'5. Scenarios'!$C$6/(1+ProductivityDefault*('5. Scenarios'!$C$11-1)))</f>
        <v/>
      </c>
      <c r="J1465" s="57" t="str">
        <f aca="false">IF($I1465="","",INDEX(BookRate,1460)*(1+'5. Scenarios'!$C$10)*$I1465)</f>
        <v/>
      </c>
      <c r="K1465" s="57" t="str">
        <f aca="false">IF($J1465="","",SUMIFS($J$6:$J$2405,$A$6:$A$2405,"&lt;="&amp;$A1465))</f>
        <v/>
      </c>
      <c r="L1465" s="57" t="str">
        <f aca="false">IF($J1465="","",IF($K1465&lt;=BankCostEnvelope*'5. Scenarios'!$C$7,1,0))</f>
        <v/>
      </c>
      <c r="M1465" s="57" t="str">
        <f aca="false">IF($I1465="","",INDEX(BookRate,1460)*(1+'5. Scenarios'!$C$10)*(INDEX(BookQ1,1460)*(5-MIN(4,1+'5. Scenarios'!$C$8))/4+INDEX(BookQ2,1460)*(5-MIN(4,2+'5. Scenarios'!$C$8))/4+INDEX(BookQ3,1460)*(5-MIN(4,3+'5. Scenarios'!$C$8))/4+INDEX(BookQ4,1460)*(5-MIN(4,4+'5. Scenarios'!$C$8))/4)*'5. Scenarios'!$C$6/(1+ProductivityDefault*('5. Scenarios'!$C$11-1))+INDEX(BookOneOff,1460)*$I1465)</f>
        <v/>
      </c>
      <c r="N1465" s="56" t="str">
        <f aca="false">IF(INDEX(BookTitle,1460)="","",INDEX(BookTotal,1460)*'5. Scenarios'!$D$6/(1+ProductivityDefault*('5. Scenarios'!$D$11-1)))</f>
        <v/>
      </c>
      <c r="O1465" s="57" t="str">
        <f aca="false">IF($N1465="","",INDEX(BookRate,1460)*(1+'5. Scenarios'!$D$10)*$N1465)</f>
        <v/>
      </c>
      <c r="P1465" s="57" t="str">
        <f aca="false">IF($O1465="","",SUMIFS($O$6:$O$2405,$A$6:$A$2405,"&lt;="&amp;$A1465))</f>
        <v/>
      </c>
      <c r="Q1465" s="57" t="str">
        <f aca="false">IF($O1465="","",IF($P1465&lt;=BankCostEnvelope*'5. Scenarios'!$D$7,1,0))</f>
        <v/>
      </c>
      <c r="R1465" s="57" t="str">
        <f aca="false">IF($N1465="","",INDEX(BookRate,1460)*(1+'5. Scenarios'!$D$10)*(INDEX(BookQ1,1460)*(5-MIN(4,1+'5. Scenarios'!$D$8))/4+INDEX(BookQ2,1460)*(5-MIN(4,2+'5. Scenarios'!$D$8))/4+INDEX(BookQ3,1460)*(5-MIN(4,3+'5. Scenarios'!$D$8))/4+INDEX(BookQ4,1460)*(5-MIN(4,4+'5. Scenarios'!$D$8))/4)*'5. Scenarios'!$D$6/(1+ProductivityDefault*('5. Scenarios'!$D$11-1))+INDEX(BookOneOff,1460)*$N1465)</f>
        <v/>
      </c>
      <c r="S1465" s="56" t="str">
        <f aca="false">IF(INDEX(BookTitle,1460)="","",INDEX(BookTotal,1460)*'5. Scenarios'!$E$6/(1+ProductivityDefault*('5. Scenarios'!$E$11-1)))</f>
        <v/>
      </c>
      <c r="T1465" s="57" t="str">
        <f aca="false">IF($S1465="","",INDEX(BookRate,1460)*(1+'5. Scenarios'!$E$10)*$S1465)</f>
        <v/>
      </c>
      <c r="U1465" s="57" t="str">
        <f aca="false">IF($T1465="","",SUMIFS($T$6:$T$2405,$A$6:$A$2405,"&lt;="&amp;$A1465))</f>
        <v/>
      </c>
      <c r="V1465" s="57" t="str">
        <f aca="false">IF($T1465="","",IF($U1465&lt;=BankCostEnvelope*'5. Scenarios'!$E$7,1,0))</f>
        <v/>
      </c>
      <c r="W1465" s="57" t="str">
        <f aca="false">IF($S1465="","",INDEX(BookRate,1460)*(1+'5. Scenarios'!$E$10)*(INDEX(BookQ1,1460)*(5-MIN(4,1+'5. Scenarios'!$E$8))/4+INDEX(BookQ2,1460)*(5-MIN(4,2+'5. Scenarios'!$E$8))/4+INDEX(BookQ3,1460)*(5-MIN(4,3+'5. Scenarios'!$E$8))/4+INDEX(BookQ4,1460)*(5-MIN(4,4+'5. Scenarios'!$E$8))/4)*'5. Scenarios'!$E$6/(1+ProductivityDefault*('5. Scenarios'!$E$11-1))+INDEX(BookOneOff,1460)*$S1465)</f>
        <v/>
      </c>
    </row>
    <row r="1466" customFormat="false" ht="15" hidden="false" customHeight="false" outlineLevel="0" collapsed="false">
      <c r="A1466" s="0" t="str">
        <f aca="false">IF(INDEX(BookTitle,1461)="","",INDEX(BookKey,1461))</f>
        <v/>
      </c>
      <c r="B1466" s="0" t="str">
        <f aca="false">IF(INDEX(BookTitle,1461)="","",INDEX(BookGroup,1461))</f>
        <v/>
      </c>
      <c r="C1466" s="0" t="str">
        <f aca="false">IF(INDEX(BookTitle,1461)="","",INDEX(BookCategory,1461))</f>
        <v/>
      </c>
      <c r="D1466" s="56" t="str">
        <f aca="false">IF(INDEX(BookTitle,1461)="","",INDEX(BookTotal,1461)*'5. Scenarios'!$B$6/(1+ProductivityDefault*('5. Scenarios'!$B$11-1)))</f>
        <v/>
      </c>
      <c r="E1466" s="57" t="str">
        <f aca="false">IF($D1466="","",INDEX(BookRate,1461)*(1+'5. Scenarios'!$B$10)*$D1466)</f>
        <v/>
      </c>
      <c r="F1466" s="57" t="str">
        <f aca="false">IF($E1466="","",SUMIFS($E$6:$E$2405,$A$6:$A$2405,"&lt;="&amp;$A1466))</f>
        <v/>
      </c>
      <c r="G1466" s="57" t="str">
        <f aca="false">IF($E1466="","",IF($F1466&lt;=BankCostEnvelope*'5. Scenarios'!$B$7,1,0))</f>
        <v/>
      </c>
      <c r="H1466" s="57" t="str">
        <f aca="false">IF($D1466="","",INDEX(BookRate,1461)*(1+'5. Scenarios'!$B$10)*(INDEX(BookQ1,1461)*(5-MIN(4,1+'5. Scenarios'!$B$8))/4+INDEX(BookQ2,1461)*(5-MIN(4,2+'5. Scenarios'!$B$8))/4+INDEX(BookQ3,1461)*(5-MIN(4,3+'5. Scenarios'!$B$8))/4+INDEX(BookQ4,1461)*(5-MIN(4,4+'5. Scenarios'!$B$8))/4)*'5. Scenarios'!$B$6/(1+ProductivityDefault*('5. Scenarios'!$B$11-1))+INDEX(BookOneOff,1461)*$D1466)</f>
        <v/>
      </c>
      <c r="I1466" s="56" t="str">
        <f aca="false">IF(INDEX(BookTitle,1461)="","",INDEX(BookTotal,1461)*'5. Scenarios'!$C$6/(1+ProductivityDefault*('5. Scenarios'!$C$11-1)))</f>
        <v/>
      </c>
      <c r="J1466" s="57" t="str">
        <f aca="false">IF($I1466="","",INDEX(BookRate,1461)*(1+'5. Scenarios'!$C$10)*$I1466)</f>
        <v/>
      </c>
      <c r="K1466" s="57" t="str">
        <f aca="false">IF($J1466="","",SUMIFS($J$6:$J$2405,$A$6:$A$2405,"&lt;="&amp;$A1466))</f>
        <v/>
      </c>
      <c r="L1466" s="57" t="str">
        <f aca="false">IF($J1466="","",IF($K1466&lt;=BankCostEnvelope*'5. Scenarios'!$C$7,1,0))</f>
        <v/>
      </c>
      <c r="M1466" s="57" t="str">
        <f aca="false">IF($I1466="","",INDEX(BookRate,1461)*(1+'5. Scenarios'!$C$10)*(INDEX(BookQ1,1461)*(5-MIN(4,1+'5. Scenarios'!$C$8))/4+INDEX(BookQ2,1461)*(5-MIN(4,2+'5. Scenarios'!$C$8))/4+INDEX(BookQ3,1461)*(5-MIN(4,3+'5. Scenarios'!$C$8))/4+INDEX(BookQ4,1461)*(5-MIN(4,4+'5. Scenarios'!$C$8))/4)*'5. Scenarios'!$C$6/(1+ProductivityDefault*('5. Scenarios'!$C$11-1))+INDEX(BookOneOff,1461)*$I1466)</f>
        <v/>
      </c>
      <c r="N1466" s="56" t="str">
        <f aca="false">IF(INDEX(BookTitle,1461)="","",INDEX(BookTotal,1461)*'5. Scenarios'!$D$6/(1+ProductivityDefault*('5. Scenarios'!$D$11-1)))</f>
        <v/>
      </c>
      <c r="O1466" s="57" t="str">
        <f aca="false">IF($N1466="","",INDEX(BookRate,1461)*(1+'5. Scenarios'!$D$10)*$N1466)</f>
        <v/>
      </c>
      <c r="P1466" s="57" t="str">
        <f aca="false">IF($O1466="","",SUMIFS($O$6:$O$2405,$A$6:$A$2405,"&lt;="&amp;$A1466))</f>
        <v/>
      </c>
      <c r="Q1466" s="57" t="str">
        <f aca="false">IF($O1466="","",IF($P1466&lt;=BankCostEnvelope*'5. Scenarios'!$D$7,1,0))</f>
        <v/>
      </c>
      <c r="R1466" s="57" t="str">
        <f aca="false">IF($N1466="","",INDEX(BookRate,1461)*(1+'5. Scenarios'!$D$10)*(INDEX(BookQ1,1461)*(5-MIN(4,1+'5. Scenarios'!$D$8))/4+INDEX(BookQ2,1461)*(5-MIN(4,2+'5. Scenarios'!$D$8))/4+INDEX(BookQ3,1461)*(5-MIN(4,3+'5. Scenarios'!$D$8))/4+INDEX(BookQ4,1461)*(5-MIN(4,4+'5. Scenarios'!$D$8))/4)*'5. Scenarios'!$D$6/(1+ProductivityDefault*('5. Scenarios'!$D$11-1))+INDEX(BookOneOff,1461)*$N1466)</f>
        <v/>
      </c>
      <c r="S1466" s="56" t="str">
        <f aca="false">IF(INDEX(BookTitle,1461)="","",INDEX(BookTotal,1461)*'5. Scenarios'!$E$6/(1+ProductivityDefault*('5. Scenarios'!$E$11-1)))</f>
        <v/>
      </c>
      <c r="T1466" s="57" t="str">
        <f aca="false">IF($S1466="","",INDEX(BookRate,1461)*(1+'5. Scenarios'!$E$10)*$S1466)</f>
        <v/>
      </c>
      <c r="U1466" s="57" t="str">
        <f aca="false">IF($T1466="","",SUMIFS($T$6:$T$2405,$A$6:$A$2405,"&lt;="&amp;$A1466))</f>
        <v/>
      </c>
      <c r="V1466" s="57" t="str">
        <f aca="false">IF($T1466="","",IF($U1466&lt;=BankCostEnvelope*'5. Scenarios'!$E$7,1,0))</f>
        <v/>
      </c>
      <c r="W1466" s="57" t="str">
        <f aca="false">IF($S1466="","",INDEX(BookRate,1461)*(1+'5. Scenarios'!$E$10)*(INDEX(BookQ1,1461)*(5-MIN(4,1+'5. Scenarios'!$E$8))/4+INDEX(BookQ2,1461)*(5-MIN(4,2+'5. Scenarios'!$E$8))/4+INDEX(BookQ3,1461)*(5-MIN(4,3+'5. Scenarios'!$E$8))/4+INDEX(BookQ4,1461)*(5-MIN(4,4+'5. Scenarios'!$E$8))/4)*'5. Scenarios'!$E$6/(1+ProductivityDefault*('5. Scenarios'!$E$11-1))+INDEX(BookOneOff,1461)*$S1466)</f>
        <v/>
      </c>
    </row>
    <row r="1467" customFormat="false" ht="15" hidden="false" customHeight="false" outlineLevel="0" collapsed="false">
      <c r="A1467" s="0" t="str">
        <f aca="false">IF(INDEX(BookTitle,1462)="","",INDEX(BookKey,1462))</f>
        <v/>
      </c>
      <c r="B1467" s="0" t="str">
        <f aca="false">IF(INDEX(BookTitle,1462)="","",INDEX(BookGroup,1462))</f>
        <v/>
      </c>
      <c r="C1467" s="0" t="str">
        <f aca="false">IF(INDEX(BookTitle,1462)="","",INDEX(BookCategory,1462))</f>
        <v/>
      </c>
      <c r="D1467" s="56" t="str">
        <f aca="false">IF(INDEX(BookTitle,1462)="","",INDEX(BookTotal,1462)*'5. Scenarios'!$B$6/(1+ProductivityDefault*('5. Scenarios'!$B$11-1)))</f>
        <v/>
      </c>
      <c r="E1467" s="57" t="str">
        <f aca="false">IF($D1467="","",INDEX(BookRate,1462)*(1+'5. Scenarios'!$B$10)*$D1467)</f>
        <v/>
      </c>
      <c r="F1467" s="57" t="str">
        <f aca="false">IF($E1467="","",SUMIFS($E$6:$E$2405,$A$6:$A$2405,"&lt;="&amp;$A1467))</f>
        <v/>
      </c>
      <c r="G1467" s="57" t="str">
        <f aca="false">IF($E1467="","",IF($F1467&lt;=BankCostEnvelope*'5. Scenarios'!$B$7,1,0))</f>
        <v/>
      </c>
      <c r="H1467" s="57" t="str">
        <f aca="false">IF($D1467="","",INDEX(BookRate,1462)*(1+'5. Scenarios'!$B$10)*(INDEX(BookQ1,1462)*(5-MIN(4,1+'5. Scenarios'!$B$8))/4+INDEX(BookQ2,1462)*(5-MIN(4,2+'5. Scenarios'!$B$8))/4+INDEX(BookQ3,1462)*(5-MIN(4,3+'5. Scenarios'!$B$8))/4+INDEX(BookQ4,1462)*(5-MIN(4,4+'5. Scenarios'!$B$8))/4)*'5. Scenarios'!$B$6/(1+ProductivityDefault*('5. Scenarios'!$B$11-1))+INDEX(BookOneOff,1462)*$D1467)</f>
        <v/>
      </c>
      <c r="I1467" s="56" t="str">
        <f aca="false">IF(INDEX(BookTitle,1462)="","",INDEX(BookTotal,1462)*'5. Scenarios'!$C$6/(1+ProductivityDefault*('5. Scenarios'!$C$11-1)))</f>
        <v/>
      </c>
      <c r="J1467" s="57" t="str">
        <f aca="false">IF($I1467="","",INDEX(BookRate,1462)*(1+'5. Scenarios'!$C$10)*$I1467)</f>
        <v/>
      </c>
      <c r="K1467" s="57" t="str">
        <f aca="false">IF($J1467="","",SUMIFS($J$6:$J$2405,$A$6:$A$2405,"&lt;="&amp;$A1467))</f>
        <v/>
      </c>
      <c r="L1467" s="57" t="str">
        <f aca="false">IF($J1467="","",IF($K1467&lt;=BankCostEnvelope*'5. Scenarios'!$C$7,1,0))</f>
        <v/>
      </c>
      <c r="M1467" s="57" t="str">
        <f aca="false">IF($I1467="","",INDEX(BookRate,1462)*(1+'5. Scenarios'!$C$10)*(INDEX(BookQ1,1462)*(5-MIN(4,1+'5. Scenarios'!$C$8))/4+INDEX(BookQ2,1462)*(5-MIN(4,2+'5. Scenarios'!$C$8))/4+INDEX(BookQ3,1462)*(5-MIN(4,3+'5. Scenarios'!$C$8))/4+INDEX(BookQ4,1462)*(5-MIN(4,4+'5. Scenarios'!$C$8))/4)*'5. Scenarios'!$C$6/(1+ProductivityDefault*('5. Scenarios'!$C$11-1))+INDEX(BookOneOff,1462)*$I1467)</f>
        <v/>
      </c>
      <c r="N1467" s="56" t="str">
        <f aca="false">IF(INDEX(BookTitle,1462)="","",INDEX(BookTotal,1462)*'5. Scenarios'!$D$6/(1+ProductivityDefault*('5. Scenarios'!$D$11-1)))</f>
        <v/>
      </c>
      <c r="O1467" s="57" t="str">
        <f aca="false">IF($N1467="","",INDEX(BookRate,1462)*(1+'5. Scenarios'!$D$10)*$N1467)</f>
        <v/>
      </c>
      <c r="P1467" s="57" t="str">
        <f aca="false">IF($O1467="","",SUMIFS($O$6:$O$2405,$A$6:$A$2405,"&lt;="&amp;$A1467))</f>
        <v/>
      </c>
      <c r="Q1467" s="57" t="str">
        <f aca="false">IF($O1467="","",IF($P1467&lt;=BankCostEnvelope*'5. Scenarios'!$D$7,1,0))</f>
        <v/>
      </c>
      <c r="R1467" s="57" t="str">
        <f aca="false">IF($N1467="","",INDEX(BookRate,1462)*(1+'5. Scenarios'!$D$10)*(INDEX(BookQ1,1462)*(5-MIN(4,1+'5. Scenarios'!$D$8))/4+INDEX(BookQ2,1462)*(5-MIN(4,2+'5. Scenarios'!$D$8))/4+INDEX(BookQ3,1462)*(5-MIN(4,3+'5. Scenarios'!$D$8))/4+INDEX(BookQ4,1462)*(5-MIN(4,4+'5. Scenarios'!$D$8))/4)*'5. Scenarios'!$D$6/(1+ProductivityDefault*('5. Scenarios'!$D$11-1))+INDEX(BookOneOff,1462)*$N1467)</f>
        <v/>
      </c>
      <c r="S1467" s="56" t="str">
        <f aca="false">IF(INDEX(BookTitle,1462)="","",INDEX(BookTotal,1462)*'5. Scenarios'!$E$6/(1+ProductivityDefault*('5. Scenarios'!$E$11-1)))</f>
        <v/>
      </c>
      <c r="T1467" s="57" t="str">
        <f aca="false">IF($S1467="","",INDEX(BookRate,1462)*(1+'5. Scenarios'!$E$10)*$S1467)</f>
        <v/>
      </c>
      <c r="U1467" s="57" t="str">
        <f aca="false">IF($T1467="","",SUMIFS($T$6:$T$2405,$A$6:$A$2405,"&lt;="&amp;$A1467))</f>
        <v/>
      </c>
      <c r="V1467" s="57" t="str">
        <f aca="false">IF($T1467="","",IF($U1467&lt;=BankCostEnvelope*'5. Scenarios'!$E$7,1,0))</f>
        <v/>
      </c>
      <c r="W1467" s="57" t="str">
        <f aca="false">IF($S1467="","",INDEX(BookRate,1462)*(1+'5. Scenarios'!$E$10)*(INDEX(BookQ1,1462)*(5-MIN(4,1+'5. Scenarios'!$E$8))/4+INDEX(BookQ2,1462)*(5-MIN(4,2+'5. Scenarios'!$E$8))/4+INDEX(BookQ3,1462)*(5-MIN(4,3+'5. Scenarios'!$E$8))/4+INDEX(BookQ4,1462)*(5-MIN(4,4+'5. Scenarios'!$E$8))/4)*'5. Scenarios'!$E$6/(1+ProductivityDefault*('5. Scenarios'!$E$11-1))+INDEX(BookOneOff,1462)*$S1467)</f>
        <v/>
      </c>
    </row>
    <row r="1468" customFormat="false" ht="15" hidden="false" customHeight="false" outlineLevel="0" collapsed="false">
      <c r="A1468" s="0" t="str">
        <f aca="false">IF(INDEX(BookTitle,1463)="","",INDEX(BookKey,1463))</f>
        <v/>
      </c>
      <c r="B1468" s="0" t="str">
        <f aca="false">IF(INDEX(BookTitle,1463)="","",INDEX(BookGroup,1463))</f>
        <v/>
      </c>
      <c r="C1468" s="0" t="str">
        <f aca="false">IF(INDEX(BookTitle,1463)="","",INDEX(BookCategory,1463))</f>
        <v/>
      </c>
      <c r="D1468" s="56" t="str">
        <f aca="false">IF(INDEX(BookTitle,1463)="","",INDEX(BookTotal,1463)*'5. Scenarios'!$B$6/(1+ProductivityDefault*('5. Scenarios'!$B$11-1)))</f>
        <v/>
      </c>
      <c r="E1468" s="57" t="str">
        <f aca="false">IF($D1468="","",INDEX(BookRate,1463)*(1+'5. Scenarios'!$B$10)*$D1468)</f>
        <v/>
      </c>
      <c r="F1468" s="57" t="str">
        <f aca="false">IF($E1468="","",SUMIFS($E$6:$E$2405,$A$6:$A$2405,"&lt;="&amp;$A1468))</f>
        <v/>
      </c>
      <c r="G1468" s="57" t="str">
        <f aca="false">IF($E1468="","",IF($F1468&lt;=BankCostEnvelope*'5. Scenarios'!$B$7,1,0))</f>
        <v/>
      </c>
      <c r="H1468" s="57" t="str">
        <f aca="false">IF($D1468="","",INDEX(BookRate,1463)*(1+'5. Scenarios'!$B$10)*(INDEX(BookQ1,1463)*(5-MIN(4,1+'5. Scenarios'!$B$8))/4+INDEX(BookQ2,1463)*(5-MIN(4,2+'5. Scenarios'!$B$8))/4+INDEX(BookQ3,1463)*(5-MIN(4,3+'5. Scenarios'!$B$8))/4+INDEX(BookQ4,1463)*(5-MIN(4,4+'5. Scenarios'!$B$8))/4)*'5. Scenarios'!$B$6/(1+ProductivityDefault*('5. Scenarios'!$B$11-1))+INDEX(BookOneOff,1463)*$D1468)</f>
        <v/>
      </c>
      <c r="I1468" s="56" t="str">
        <f aca="false">IF(INDEX(BookTitle,1463)="","",INDEX(BookTotal,1463)*'5. Scenarios'!$C$6/(1+ProductivityDefault*('5. Scenarios'!$C$11-1)))</f>
        <v/>
      </c>
      <c r="J1468" s="57" t="str">
        <f aca="false">IF($I1468="","",INDEX(BookRate,1463)*(1+'5. Scenarios'!$C$10)*$I1468)</f>
        <v/>
      </c>
      <c r="K1468" s="57" t="str">
        <f aca="false">IF($J1468="","",SUMIFS($J$6:$J$2405,$A$6:$A$2405,"&lt;="&amp;$A1468))</f>
        <v/>
      </c>
      <c r="L1468" s="57" t="str">
        <f aca="false">IF($J1468="","",IF($K1468&lt;=BankCostEnvelope*'5. Scenarios'!$C$7,1,0))</f>
        <v/>
      </c>
      <c r="M1468" s="57" t="str">
        <f aca="false">IF($I1468="","",INDEX(BookRate,1463)*(1+'5. Scenarios'!$C$10)*(INDEX(BookQ1,1463)*(5-MIN(4,1+'5. Scenarios'!$C$8))/4+INDEX(BookQ2,1463)*(5-MIN(4,2+'5. Scenarios'!$C$8))/4+INDEX(BookQ3,1463)*(5-MIN(4,3+'5. Scenarios'!$C$8))/4+INDEX(BookQ4,1463)*(5-MIN(4,4+'5. Scenarios'!$C$8))/4)*'5. Scenarios'!$C$6/(1+ProductivityDefault*('5. Scenarios'!$C$11-1))+INDEX(BookOneOff,1463)*$I1468)</f>
        <v/>
      </c>
      <c r="N1468" s="56" t="str">
        <f aca="false">IF(INDEX(BookTitle,1463)="","",INDEX(BookTotal,1463)*'5. Scenarios'!$D$6/(1+ProductivityDefault*('5. Scenarios'!$D$11-1)))</f>
        <v/>
      </c>
      <c r="O1468" s="57" t="str">
        <f aca="false">IF($N1468="","",INDEX(BookRate,1463)*(1+'5. Scenarios'!$D$10)*$N1468)</f>
        <v/>
      </c>
      <c r="P1468" s="57" t="str">
        <f aca="false">IF($O1468="","",SUMIFS($O$6:$O$2405,$A$6:$A$2405,"&lt;="&amp;$A1468))</f>
        <v/>
      </c>
      <c r="Q1468" s="57" t="str">
        <f aca="false">IF($O1468="","",IF($P1468&lt;=BankCostEnvelope*'5. Scenarios'!$D$7,1,0))</f>
        <v/>
      </c>
      <c r="R1468" s="57" t="str">
        <f aca="false">IF($N1468="","",INDEX(BookRate,1463)*(1+'5. Scenarios'!$D$10)*(INDEX(BookQ1,1463)*(5-MIN(4,1+'5. Scenarios'!$D$8))/4+INDEX(BookQ2,1463)*(5-MIN(4,2+'5. Scenarios'!$D$8))/4+INDEX(BookQ3,1463)*(5-MIN(4,3+'5. Scenarios'!$D$8))/4+INDEX(BookQ4,1463)*(5-MIN(4,4+'5. Scenarios'!$D$8))/4)*'5. Scenarios'!$D$6/(1+ProductivityDefault*('5. Scenarios'!$D$11-1))+INDEX(BookOneOff,1463)*$N1468)</f>
        <v/>
      </c>
      <c r="S1468" s="56" t="str">
        <f aca="false">IF(INDEX(BookTitle,1463)="","",INDEX(BookTotal,1463)*'5. Scenarios'!$E$6/(1+ProductivityDefault*('5. Scenarios'!$E$11-1)))</f>
        <v/>
      </c>
      <c r="T1468" s="57" t="str">
        <f aca="false">IF($S1468="","",INDEX(BookRate,1463)*(1+'5. Scenarios'!$E$10)*$S1468)</f>
        <v/>
      </c>
      <c r="U1468" s="57" t="str">
        <f aca="false">IF($T1468="","",SUMIFS($T$6:$T$2405,$A$6:$A$2405,"&lt;="&amp;$A1468))</f>
        <v/>
      </c>
      <c r="V1468" s="57" t="str">
        <f aca="false">IF($T1468="","",IF($U1468&lt;=BankCostEnvelope*'5. Scenarios'!$E$7,1,0))</f>
        <v/>
      </c>
      <c r="W1468" s="57" t="str">
        <f aca="false">IF($S1468="","",INDEX(BookRate,1463)*(1+'5. Scenarios'!$E$10)*(INDEX(BookQ1,1463)*(5-MIN(4,1+'5. Scenarios'!$E$8))/4+INDEX(BookQ2,1463)*(5-MIN(4,2+'5. Scenarios'!$E$8))/4+INDEX(BookQ3,1463)*(5-MIN(4,3+'5. Scenarios'!$E$8))/4+INDEX(BookQ4,1463)*(5-MIN(4,4+'5. Scenarios'!$E$8))/4)*'5. Scenarios'!$E$6/(1+ProductivityDefault*('5. Scenarios'!$E$11-1))+INDEX(BookOneOff,1463)*$S1468)</f>
        <v/>
      </c>
    </row>
    <row r="1469" customFormat="false" ht="15" hidden="false" customHeight="false" outlineLevel="0" collapsed="false">
      <c r="A1469" s="0" t="str">
        <f aca="false">IF(INDEX(BookTitle,1464)="","",INDEX(BookKey,1464))</f>
        <v/>
      </c>
      <c r="B1469" s="0" t="str">
        <f aca="false">IF(INDEX(BookTitle,1464)="","",INDEX(BookGroup,1464))</f>
        <v/>
      </c>
      <c r="C1469" s="0" t="str">
        <f aca="false">IF(INDEX(BookTitle,1464)="","",INDEX(BookCategory,1464))</f>
        <v/>
      </c>
      <c r="D1469" s="56" t="str">
        <f aca="false">IF(INDEX(BookTitle,1464)="","",INDEX(BookTotal,1464)*'5. Scenarios'!$B$6/(1+ProductivityDefault*('5. Scenarios'!$B$11-1)))</f>
        <v/>
      </c>
      <c r="E1469" s="57" t="str">
        <f aca="false">IF($D1469="","",INDEX(BookRate,1464)*(1+'5. Scenarios'!$B$10)*$D1469)</f>
        <v/>
      </c>
      <c r="F1469" s="57" t="str">
        <f aca="false">IF($E1469="","",SUMIFS($E$6:$E$2405,$A$6:$A$2405,"&lt;="&amp;$A1469))</f>
        <v/>
      </c>
      <c r="G1469" s="57" t="str">
        <f aca="false">IF($E1469="","",IF($F1469&lt;=BankCostEnvelope*'5. Scenarios'!$B$7,1,0))</f>
        <v/>
      </c>
      <c r="H1469" s="57" t="str">
        <f aca="false">IF($D1469="","",INDEX(BookRate,1464)*(1+'5. Scenarios'!$B$10)*(INDEX(BookQ1,1464)*(5-MIN(4,1+'5. Scenarios'!$B$8))/4+INDEX(BookQ2,1464)*(5-MIN(4,2+'5. Scenarios'!$B$8))/4+INDEX(BookQ3,1464)*(5-MIN(4,3+'5. Scenarios'!$B$8))/4+INDEX(BookQ4,1464)*(5-MIN(4,4+'5. Scenarios'!$B$8))/4)*'5. Scenarios'!$B$6/(1+ProductivityDefault*('5. Scenarios'!$B$11-1))+INDEX(BookOneOff,1464)*$D1469)</f>
        <v/>
      </c>
      <c r="I1469" s="56" t="str">
        <f aca="false">IF(INDEX(BookTitle,1464)="","",INDEX(BookTotal,1464)*'5. Scenarios'!$C$6/(1+ProductivityDefault*('5. Scenarios'!$C$11-1)))</f>
        <v/>
      </c>
      <c r="J1469" s="57" t="str">
        <f aca="false">IF($I1469="","",INDEX(BookRate,1464)*(1+'5. Scenarios'!$C$10)*$I1469)</f>
        <v/>
      </c>
      <c r="K1469" s="57" t="str">
        <f aca="false">IF($J1469="","",SUMIFS($J$6:$J$2405,$A$6:$A$2405,"&lt;="&amp;$A1469))</f>
        <v/>
      </c>
      <c r="L1469" s="57" t="str">
        <f aca="false">IF($J1469="","",IF($K1469&lt;=BankCostEnvelope*'5. Scenarios'!$C$7,1,0))</f>
        <v/>
      </c>
      <c r="M1469" s="57" t="str">
        <f aca="false">IF($I1469="","",INDEX(BookRate,1464)*(1+'5. Scenarios'!$C$10)*(INDEX(BookQ1,1464)*(5-MIN(4,1+'5. Scenarios'!$C$8))/4+INDEX(BookQ2,1464)*(5-MIN(4,2+'5. Scenarios'!$C$8))/4+INDEX(BookQ3,1464)*(5-MIN(4,3+'5. Scenarios'!$C$8))/4+INDEX(BookQ4,1464)*(5-MIN(4,4+'5. Scenarios'!$C$8))/4)*'5. Scenarios'!$C$6/(1+ProductivityDefault*('5. Scenarios'!$C$11-1))+INDEX(BookOneOff,1464)*$I1469)</f>
        <v/>
      </c>
      <c r="N1469" s="56" t="str">
        <f aca="false">IF(INDEX(BookTitle,1464)="","",INDEX(BookTotal,1464)*'5. Scenarios'!$D$6/(1+ProductivityDefault*('5. Scenarios'!$D$11-1)))</f>
        <v/>
      </c>
      <c r="O1469" s="57" t="str">
        <f aca="false">IF($N1469="","",INDEX(BookRate,1464)*(1+'5. Scenarios'!$D$10)*$N1469)</f>
        <v/>
      </c>
      <c r="P1469" s="57" t="str">
        <f aca="false">IF($O1469="","",SUMIFS($O$6:$O$2405,$A$6:$A$2405,"&lt;="&amp;$A1469))</f>
        <v/>
      </c>
      <c r="Q1469" s="57" t="str">
        <f aca="false">IF($O1469="","",IF($P1469&lt;=BankCostEnvelope*'5. Scenarios'!$D$7,1,0))</f>
        <v/>
      </c>
      <c r="R1469" s="57" t="str">
        <f aca="false">IF($N1469="","",INDEX(BookRate,1464)*(1+'5. Scenarios'!$D$10)*(INDEX(BookQ1,1464)*(5-MIN(4,1+'5. Scenarios'!$D$8))/4+INDEX(BookQ2,1464)*(5-MIN(4,2+'5. Scenarios'!$D$8))/4+INDEX(BookQ3,1464)*(5-MIN(4,3+'5. Scenarios'!$D$8))/4+INDEX(BookQ4,1464)*(5-MIN(4,4+'5. Scenarios'!$D$8))/4)*'5. Scenarios'!$D$6/(1+ProductivityDefault*('5. Scenarios'!$D$11-1))+INDEX(BookOneOff,1464)*$N1469)</f>
        <v/>
      </c>
      <c r="S1469" s="56" t="str">
        <f aca="false">IF(INDEX(BookTitle,1464)="","",INDEX(BookTotal,1464)*'5. Scenarios'!$E$6/(1+ProductivityDefault*('5. Scenarios'!$E$11-1)))</f>
        <v/>
      </c>
      <c r="T1469" s="57" t="str">
        <f aca="false">IF($S1469="","",INDEX(BookRate,1464)*(1+'5. Scenarios'!$E$10)*$S1469)</f>
        <v/>
      </c>
      <c r="U1469" s="57" t="str">
        <f aca="false">IF($T1469="","",SUMIFS($T$6:$T$2405,$A$6:$A$2405,"&lt;="&amp;$A1469))</f>
        <v/>
      </c>
      <c r="V1469" s="57" t="str">
        <f aca="false">IF($T1469="","",IF($U1469&lt;=BankCostEnvelope*'5. Scenarios'!$E$7,1,0))</f>
        <v/>
      </c>
      <c r="W1469" s="57" t="str">
        <f aca="false">IF($S1469="","",INDEX(BookRate,1464)*(1+'5. Scenarios'!$E$10)*(INDEX(BookQ1,1464)*(5-MIN(4,1+'5. Scenarios'!$E$8))/4+INDEX(BookQ2,1464)*(5-MIN(4,2+'5. Scenarios'!$E$8))/4+INDEX(BookQ3,1464)*(5-MIN(4,3+'5. Scenarios'!$E$8))/4+INDEX(BookQ4,1464)*(5-MIN(4,4+'5. Scenarios'!$E$8))/4)*'5. Scenarios'!$E$6/(1+ProductivityDefault*('5. Scenarios'!$E$11-1))+INDEX(BookOneOff,1464)*$S1469)</f>
        <v/>
      </c>
    </row>
    <row r="1470" customFormat="false" ht="15" hidden="false" customHeight="false" outlineLevel="0" collapsed="false">
      <c r="A1470" s="0" t="str">
        <f aca="false">IF(INDEX(BookTitle,1465)="","",INDEX(BookKey,1465))</f>
        <v/>
      </c>
      <c r="B1470" s="0" t="str">
        <f aca="false">IF(INDEX(BookTitle,1465)="","",INDEX(BookGroup,1465))</f>
        <v/>
      </c>
      <c r="C1470" s="0" t="str">
        <f aca="false">IF(INDEX(BookTitle,1465)="","",INDEX(BookCategory,1465))</f>
        <v/>
      </c>
      <c r="D1470" s="56" t="str">
        <f aca="false">IF(INDEX(BookTitle,1465)="","",INDEX(BookTotal,1465)*'5. Scenarios'!$B$6/(1+ProductivityDefault*('5. Scenarios'!$B$11-1)))</f>
        <v/>
      </c>
      <c r="E1470" s="57" t="str">
        <f aca="false">IF($D1470="","",INDEX(BookRate,1465)*(1+'5. Scenarios'!$B$10)*$D1470)</f>
        <v/>
      </c>
      <c r="F1470" s="57" t="str">
        <f aca="false">IF($E1470="","",SUMIFS($E$6:$E$2405,$A$6:$A$2405,"&lt;="&amp;$A1470))</f>
        <v/>
      </c>
      <c r="G1470" s="57" t="str">
        <f aca="false">IF($E1470="","",IF($F1470&lt;=BankCostEnvelope*'5. Scenarios'!$B$7,1,0))</f>
        <v/>
      </c>
      <c r="H1470" s="57" t="str">
        <f aca="false">IF($D1470="","",INDEX(BookRate,1465)*(1+'5. Scenarios'!$B$10)*(INDEX(BookQ1,1465)*(5-MIN(4,1+'5. Scenarios'!$B$8))/4+INDEX(BookQ2,1465)*(5-MIN(4,2+'5. Scenarios'!$B$8))/4+INDEX(BookQ3,1465)*(5-MIN(4,3+'5. Scenarios'!$B$8))/4+INDEX(BookQ4,1465)*(5-MIN(4,4+'5. Scenarios'!$B$8))/4)*'5. Scenarios'!$B$6/(1+ProductivityDefault*('5. Scenarios'!$B$11-1))+INDEX(BookOneOff,1465)*$D1470)</f>
        <v/>
      </c>
      <c r="I1470" s="56" t="str">
        <f aca="false">IF(INDEX(BookTitle,1465)="","",INDEX(BookTotal,1465)*'5. Scenarios'!$C$6/(1+ProductivityDefault*('5. Scenarios'!$C$11-1)))</f>
        <v/>
      </c>
      <c r="J1470" s="57" t="str">
        <f aca="false">IF($I1470="","",INDEX(BookRate,1465)*(1+'5. Scenarios'!$C$10)*$I1470)</f>
        <v/>
      </c>
      <c r="K1470" s="57" t="str">
        <f aca="false">IF($J1470="","",SUMIFS($J$6:$J$2405,$A$6:$A$2405,"&lt;="&amp;$A1470))</f>
        <v/>
      </c>
      <c r="L1470" s="57" t="str">
        <f aca="false">IF($J1470="","",IF($K1470&lt;=BankCostEnvelope*'5. Scenarios'!$C$7,1,0))</f>
        <v/>
      </c>
      <c r="M1470" s="57" t="str">
        <f aca="false">IF($I1470="","",INDEX(BookRate,1465)*(1+'5. Scenarios'!$C$10)*(INDEX(BookQ1,1465)*(5-MIN(4,1+'5. Scenarios'!$C$8))/4+INDEX(BookQ2,1465)*(5-MIN(4,2+'5. Scenarios'!$C$8))/4+INDEX(BookQ3,1465)*(5-MIN(4,3+'5. Scenarios'!$C$8))/4+INDEX(BookQ4,1465)*(5-MIN(4,4+'5. Scenarios'!$C$8))/4)*'5. Scenarios'!$C$6/(1+ProductivityDefault*('5. Scenarios'!$C$11-1))+INDEX(BookOneOff,1465)*$I1470)</f>
        <v/>
      </c>
      <c r="N1470" s="56" t="str">
        <f aca="false">IF(INDEX(BookTitle,1465)="","",INDEX(BookTotal,1465)*'5. Scenarios'!$D$6/(1+ProductivityDefault*('5. Scenarios'!$D$11-1)))</f>
        <v/>
      </c>
      <c r="O1470" s="57" t="str">
        <f aca="false">IF($N1470="","",INDEX(BookRate,1465)*(1+'5. Scenarios'!$D$10)*$N1470)</f>
        <v/>
      </c>
      <c r="P1470" s="57" t="str">
        <f aca="false">IF($O1470="","",SUMIFS($O$6:$O$2405,$A$6:$A$2405,"&lt;="&amp;$A1470))</f>
        <v/>
      </c>
      <c r="Q1470" s="57" t="str">
        <f aca="false">IF($O1470="","",IF($P1470&lt;=BankCostEnvelope*'5. Scenarios'!$D$7,1,0))</f>
        <v/>
      </c>
      <c r="R1470" s="57" t="str">
        <f aca="false">IF($N1470="","",INDEX(BookRate,1465)*(1+'5. Scenarios'!$D$10)*(INDEX(BookQ1,1465)*(5-MIN(4,1+'5. Scenarios'!$D$8))/4+INDEX(BookQ2,1465)*(5-MIN(4,2+'5. Scenarios'!$D$8))/4+INDEX(BookQ3,1465)*(5-MIN(4,3+'5. Scenarios'!$D$8))/4+INDEX(BookQ4,1465)*(5-MIN(4,4+'5. Scenarios'!$D$8))/4)*'5. Scenarios'!$D$6/(1+ProductivityDefault*('5. Scenarios'!$D$11-1))+INDEX(BookOneOff,1465)*$N1470)</f>
        <v/>
      </c>
      <c r="S1470" s="56" t="str">
        <f aca="false">IF(INDEX(BookTitle,1465)="","",INDEX(BookTotal,1465)*'5. Scenarios'!$E$6/(1+ProductivityDefault*('5. Scenarios'!$E$11-1)))</f>
        <v/>
      </c>
      <c r="T1470" s="57" t="str">
        <f aca="false">IF($S1470="","",INDEX(BookRate,1465)*(1+'5. Scenarios'!$E$10)*$S1470)</f>
        <v/>
      </c>
      <c r="U1470" s="57" t="str">
        <f aca="false">IF($T1470="","",SUMIFS($T$6:$T$2405,$A$6:$A$2405,"&lt;="&amp;$A1470))</f>
        <v/>
      </c>
      <c r="V1470" s="57" t="str">
        <f aca="false">IF($T1470="","",IF($U1470&lt;=BankCostEnvelope*'5. Scenarios'!$E$7,1,0))</f>
        <v/>
      </c>
      <c r="W1470" s="57" t="str">
        <f aca="false">IF($S1470="","",INDEX(BookRate,1465)*(1+'5. Scenarios'!$E$10)*(INDEX(BookQ1,1465)*(5-MIN(4,1+'5. Scenarios'!$E$8))/4+INDEX(BookQ2,1465)*(5-MIN(4,2+'5. Scenarios'!$E$8))/4+INDEX(BookQ3,1465)*(5-MIN(4,3+'5. Scenarios'!$E$8))/4+INDEX(BookQ4,1465)*(5-MIN(4,4+'5. Scenarios'!$E$8))/4)*'5. Scenarios'!$E$6/(1+ProductivityDefault*('5. Scenarios'!$E$11-1))+INDEX(BookOneOff,1465)*$S1470)</f>
        <v/>
      </c>
    </row>
    <row r="1471" customFormat="false" ht="15" hidden="false" customHeight="false" outlineLevel="0" collapsed="false">
      <c r="A1471" s="0" t="str">
        <f aca="false">IF(INDEX(BookTitle,1466)="","",INDEX(BookKey,1466))</f>
        <v/>
      </c>
      <c r="B1471" s="0" t="str">
        <f aca="false">IF(INDEX(BookTitle,1466)="","",INDEX(BookGroup,1466))</f>
        <v/>
      </c>
      <c r="C1471" s="0" t="str">
        <f aca="false">IF(INDEX(BookTitle,1466)="","",INDEX(BookCategory,1466))</f>
        <v/>
      </c>
      <c r="D1471" s="56" t="str">
        <f aca="false">IF(INDEX(BookTitle,1466)="","",INDEX(BookTotal,1466)*'5. Scenarios'!$B$6/(1+ProductivityDefault*('5. Scenarios'!$B$11-1)))</f>
        <v/>
      </c>
      <c r="E1471" s="57" t="str">
        <f aca="false">IF($D1471="","",INDEX(BookRate,1466)*(1+'5. Scenarios'!$B$10)*$D1471)</f>
        <v/>
      </c>
      <c r="F1471" s="57" t="str">
        <f aca="false">IF($E1471="","",SUMIFS($E$6:$E$2405,$A$6:$A$2405,"&lt;="&amp;$A1471))</f>
        <v/>
      </c>
      <c r="G1471" s="57" t="str">
        <f aca="false">IF($E1471="","",IF($F1471&lt;=BankCostEnvelope*'5. Scenarios'!$B$7,1,0))</f>
        <v/>
      </c>
      <c r="H1471" s="57" t="str">
        <f aca="false">IF($D1471="","",INDEX(BookRate,1466)*(1+'5. Scenarios'!$B$10)*(INDEX(BookQ1,1466)*(5-MIN(4,1+'5. Scenarios'!$B$8))/4+INDEX(BookQ2,1466)*(5-MIN(4,2+'5. Scenarios'!$B$8))/4+INDEX(BookQ3,1466)*(5-MIN(4,3+'5. Scenarios'!$B$8))/4+INDEX(BookQ4,1466)*(5-MIN(4,4+'5. Scenarios'!$B$8))/4)*'5. Scenarios'!$B$6/(1+ProductivityDefault*('5. Scenarios'!$B$11-1))+INDEX(BookOneOff,1466)*$D1471)</f>
        <v/>
      </c>
      <c r="I1471" s="56" t="str">
        <f aca="false">IF(INDEX(BookTitle,1466)="","",INDEX(BookTotal,1466)*'5. Scenarios'!$C$6/(1+ProductivityDefault*('5. Scenarios'!$C$11-1)))</f>
        <v/>
      </c>
      <c r="J1471" s="57" t="str">
        <f aca="false">IF($I1471="","",INDEX(BookRate,1466)*(1+'5. Scenarios'!$C$10)*$I1471)</f>
        <v/>
      </c>
      <c r="K1471" s="57" t="str">
        <f aca="false">IF($J1471="","",SUMIFS($J$6:$J$2405,$A$6:$A$2405,"&lt;="&amp;$A1471))</f>
        <v/>
      </c>
      <c r="L1471" s="57" t="str">
        <f aca="false">IF($J1471="","",IF($K1471&lt;=BankCostEnvelope*'5. Scenarios'!$C$7,1,0))</f>
        <v/>
      </c>
      <c r="M1471" s="57" t="str">
        <f aca="false">IF($I1471="","",INDEX(BookRate,1466)*(1+'5. Scenarios'!$C$10)*(INDEX(BookQ1,1466)*(5-MIN(4,1+'5. Scenarios'!$C$8))/4+INDEX(BookQ2,1466)*(5-MIN(4,2+'5. Scenarios'!$C$8))/4+INDEX(BookQ3,1466)*(5-MIN(4,3+'5. Scenarios'!$C$8))/4+INDEX(BookQ4,1466)*(5-MIN(4,4+'5. Scenarios'!$C$8))/4)*'5. Scenarios'!$C$6/(1+ProductivityDefault*('5. Scenarios'!$C$11-1))+INDEX(BookOneOff,1466)*$I1471)</f>
        <v/>
      </c>
      <c r="N1471" s="56" t="str">
        <f aca="false">IF(INDEX(BookTitle,1466)="","",INDEX(BookTotal,1466)*'5. Scenarios'!$D$6/(1+ProductivityDefault*('5. Scenarios'!$D$11-1)))</f>
        <v/>
      </c>
      <c r="O1471" s="57" t="str">
        <f aca="false">IF($N1471="","",INDEX(BookRate,1466)*(1+'5. Scenarios'!$D$10)*$N1471)</f>
        <v/>
      </c>
      <c r="P1471" s="57" t="str">
        <f aca="false">IF($O1471="","",SUMIFS($O$6:$O$2405,$A$6:$A$2405,"&lt;="&amp;$A1471))</f>
        <v/>
      </c>
      <c r="Q1471" s="57" t="str">
        <f aca="false">IF($O1471="","",IF($P1471&lt;=BankCostEnvelope*'5. Scenarios'!$D$7,1,0))</f>
        <v/>
      </c>
      <c r="R1471" s="57" t="str">
        <f aca="false">IF($N1471="","",INDEX(BookRate,1466)*(1+'5. Scenarios'!$D$10)*(INDEX(BookQ1,1466)*(5-MIN(4,1+'5. Scenarios'!$D$8))/4+INDEX(BookQ2,1466)*(5-MIN(4,2+'5. Scenarios'!$D$8))/4+INDEX(BookQ3,1466)*(5-MIN(4,3+'5. Scenarios'!$D$8))/4+INDEX(BookQ4,1466)*(5-MIN(4,4+'5. Scenarios'!$D$8))/4)*'5. Scenarios'!$D$6/(1+ProductivityDefault*('5. Scenarios'!$D$11-1))+INDEX(BookOneOff,1466)*$N1471)</f>
        <v/>
      </c>
      <c r="S1471" s="56" t="str">
        <f aca="false">IF(INDEX(BookTitle,1466)="","",INDEX(BookTotal,1466)*'5. Scenarios'!$E$6/(1+ProductivityDefault*('5. Scenarios'!$E$11-1)))</f>
        <v/>
      </c>
      <c r="T1471" s="57" t="str">
        <f aca="false">IF($S1471="","",INDEX(BookRate,1466)*(1+'5. Scenarios'!$E$10)*$S1471)</f>
        <v/>
      </c>
      <c r="U1471" s="57" t="str">
        <f aca="false">IF($T1471="","",SUMIFS($T$6:$T$2405,$A$6:$A$2405,"&lt;="&amp;$A1471))</f>
        <v/>
      </c>
      <c r="V1471" s="57" t="str">
        <f aca="false">IF($T1471="","",IF($U1471&lt;=BankCostEnvelope*'5. Scenarios'!$E$7,1,0))</f>
        <v/>
      </c>
      <c r="W1471" s="57" t="str">
        <f aca="false">IF($S1471="","",INDEX(BookRate,1466)*(1+'5. Scenarios'!$E$10)*(INDEX(BookQ1,1466)*(5-MIN(4,1+'5. Scenarios'!$E$8))/4+INDEX(BookQ2,1466)*(5-MIN(4,2+'5. Scenarios'!$E$8))/4+INDEX(BookQ3,1466)*(5-MIN(4,3+'5. Scenarios'!$E$8))/4+INDEX(BookQ4,1466)*(5-MIN(4,4+'5. Scenarios'!$E$8))/4)*'5. Scenarios'!$E$6/(1+ProductivityDefault*('5. Scenarios'!$E$11-1))+INDEX(BookOneOff,1466)*$S1471)</f>
        <v/>
      </c>
    </row>
    <row r="1472" customFormat="false" ht="15" hidden="false" customHeight="false" outlineLevel="0" collapsed="false">
      <c r="A1472" s="0" t="str">
        <f aca="false">IF(INDEX(BookTitle,1467)="","",INDEX(BookKey,1467))</f>
        <v/>
      </c>
      <c r="B1472" s="0" t="str">
        <f aca="false">IF(INDEX(BookTitle,1467)="","",INDEX(BookGroup,1467))</f>
        <v/>
      </c>
      <c r="C1472" s="0" t="str">
        <f aca="false">IF(INDEX(BookTitle,1467)="","",INDEX(BookCategory,1467))</f>
        <v/>
      </c>
      <c r="D1472" s="56" t="str">
        <f aca="false">IF(INDEX(BookTitle,1467)="","",INDEX(BookTotal,1467)*'5. Scenarios'!$B$6/(1+ProductivityDefault*('5. Scenarios'!$B$11-1)))</f>
        <v/>
      </c>
      <c r="E1472" s="57" t="str">
        <f aca="false">IF($D1472="","",INDEX(BookRate,1467)*(1+'5. Scenarios'!$B$10)*$D1472)</f>
        <v/>
      </c>
      <c r="F1472" s="57" t="str">
        <f aca="false">IF($E1472="","",SUMIFS($E$6:$E$2405,$A$6:$A$2405,"&lt;="&amp;$A1472))</f>
        <v/>
      </c>
      <c r="G1472" s="57" t="str">
        <f aca="false">IF($E1472="","",IF($F1472&lt;=BankCostEnvelope*'5. Scenarios'!$B$7,1,0))</f>
        <v/>
      </c>
      <c r="H1472" s="57" t="str">
        <f aca="false">IF($D1472="","",INDEX(BookRate,1467)*(1+'5. Scenarios'!$B$10)*(INDEX(BookQ1,1467)*(5-MIN(4,1+'5. Scenarios'!$B$8))/4+INDEX(BookQ2,1467)*(5-MIN(4,2+'5. Scenarios'!$B$8))/4+INDEX(BookQ3,1467)*(5-MIN(4,3+'5. Scenarios'!$B$8))/4+INDEX(BookQ4,1467)*(5-MIN(4,4+'5. Scenarios'!$B$8))/4)*'5. Scenarios'!$B$6/(1+ProductivityDefault*('5. Scenarios'!$B$11-1))+INDEX(BookOneOff,1467)*$D1472)</f>
        <v/>
      </c>
      <c r="I1472" s="56" t="str">
        <f aca="false">IF(INDEX(BookTitle,1467)="","",INDEX(BookTotal,1467)*'5. Scenarios'!$C$6/(1+ProductivityDefault*('5. Scenarios'!$C$11-1)))</f>
        <v/>
      </c>
      <c r="J1472" s="57" t="str">
        <f aca="false">IF($I1472="","",INDEX(BookRate,1467)*(1+'5. Scenarios'!$C$10)*$I1472)</f>
        <v/>
      </c>
      <c r="K1472" s="57" t="str">
        <f aca="false">IF($J1472="","",SUMIFS($J$6:$J$2405,$A$6:$A$2405,"&lt;="&amp;$A1472))</f>
        <v/>
      </c>
      <c r="L1472" s="57" t="str">
        <f aca="false">IF($J1472="","",IF($K1472&lt;=BankCostEnvelope*'5. Scenarios'!$C$7,1,0))</f>
        <v/>
      </c>
      <c r="M1472" s="57" t="str">
        <f aca="false">IF($I1472="","",INDEX(BookRate,1467)*(1+'5. Scenarios'!$C$10)*(INDEX(BookQ1,1467)*(5-MIN(4,1+'5. Scenarios'!$C$8))/4+INDEX(BookQ2,1467)*(5-MIN(4,2+'5. Scenarios'!$C$8))/4+INDEX(BookQ3,1467)*(5-MIN(4,3+'5. Scenarios'!$C$8))/4+INDEX(BookQ4,1467)*(5-MIN(4,4+'5. Scenarios'!$C$8))/4)*'5. Scenarios'!$C$6/(1+ProductivityDefault*('5. Scenarios'!$C$11-1))+INDEX(BookOneOff,1467)*$I1472)</f>
        <v/>
      </c>
      <c r="N1472" s="56" t="str">
        <f aca="false">IF(INDEX(BookTitle,1467)="","",INDEX(BookTotal,1467)*'5. Scenarios'!$D$6/(1+ProductivityDefault*('5. Scenarios'!$D$11-1)))</f>
        <v/>
      </c>
      <c r="O1472" s="57" t="str">
        <f aca="false">IF($N1472="","",INDEX(BookRate,1467)*(1+'5. Scenarios'!$D$10)*$N1472)</f>
        <v/>
      </c>
      <c r="P1472" s="57" t="str">
        <f aca="false">IF($O1472="","",SUMIFS($O$6:$O$2405,$A$6:$A$2405,"&lt;="&amp;$A1472))</f>
        <v/>
      </c>
      <c r="Q1472" s="57" t="str">
        <f aca="false">IF($O1472="","",IF($P1472&lt;=BankCostEnvelope*'5. Scenarios'!$D$7,1,0))</f>
        <v/>
      </c>
      <c r="R1472" s="57" t="str">
        <f aca="false">IF($N1472="","",INDEX(BookRate,1467)*(1+'5. Scenarios'!$D$10)*(INDEX(BookQ1,1467)*(5-MIN(4,1+'5. Scenarios'!$D$8))/4+INDEX(BookQ2,1467)*(5-MIN(4,2+'5. Scenarios'!$D$8))/4+INDEX(BookQ3,1467)*(5-MIN(4,3+'5. Scenarios'!$D$8))/4+INDEX(BookQ4,1467)*(5-MIN(4,4+'5. Scenarios'!$D$8))/4)*'5. Scenarios'!$D$6/(1+ProductivityDefault*('5. Scenarios'!$D$11-1))+INDEX(BookOneOff,1467)*$N1472)</f>
        <v/>
      </c>
      <c r="S1472" s="56" t="str">
        <f aca="false">IF(INDEX(BookTitle,1467)="","",INDEX(BookTotal,1467)*'5. Scenarios'!$E$6/(1+ProductivityDefault*('5. Scenarios'!$E$11-1)))</f>
        <v/>
      </c>
      <c r="T1472" s="57" t="str">
        <f aca="false">IF($S1472="","",INDEX(BookRate,1467)*(1+'5. Scenarios'!$E$10)*$S1472)</f>
        <v/>
      </c>
      <c r="U1472" s="57" t="str">
        <f aca="false">IF($T1472="","",SUMIFS($T$6:$T$2405,$A$6:$A$2405,"&lt;="&amp;$A1472))</f>
        <v/>
      </c>
      <c r="V1472" s="57" t="str">
        <f aca="false">IF($T1472="","",IF($U1472&lt;=BankCostEnvelope*'5. Scenarios'!$E$7,1,0))</f>
        <v/>
      </c>
      <c r="W1472" s="57" t="str">
        <f aca="false">IF($S1472="","",INDEX(BookRate,1467)*(1+'5. Scenarios'!$E$10)*(INDEX(BookQ1,1467)*(5-MIN(4,1+'5. Scenarios'!$E$8))/4+INDEX(BookQ2,1467)*(5-MIN(4,2+'5. Scenarios'!$E$8))/4+INDEX(BookQ3,1467)*(5-MIN(4,3+'5. Scenarios'!$E$8))/4+INDEX(BookQ4,1467)*(5-MIN(4,4+'5. Scenarios'!$E$8))/4)*'5. Scenarios'!$E$6/(1+ProductivityDefault*('5. Scenarios'!$E$11-1))+INDEX(BookOneOff,1467)*$S1472)</f>
        <v/>
      </c>
    </row>
    <row r="1473" customFormat="false" ht="15" hidden="false" customHeight="false" outlineLevel="0" collapsed="false">
      <c r="A1473" s="0" t="str">
        <f aca="false">IF(INDEX(BookTitle,1468)="","",INDEX(BookKey,1468))</f>
        <v/>
      </c>
      <c r="B1473" s="0" t="str">
        <f aca="false">IF(INDEX(BookTitle,1468)="","",INDEX(BookGroup,1468))</f>
        <v/>
      </c>
      <c r="C1473" s="0" t="str">
        <f aca="false">IF(INDEX(BookTitle,1468)="","",INDEX(BookCategory,1468))</f>
        <v/>
      </c>
      <c r="D1473" s="56" t="str">
        <f aca="false">IF(INDEX(BookTitle,1468)="","",INDEX(BookTotal,1468)*'5. Scenarios'!$B$6/(1+ProductivityDefault*('5. Scenarios'!$B$11-1)))</f>
        <v/>
      </c>
      <c r="E1473" s="57" t="str">
        <f aca="false">IF($D1473="","",INDEX(BookRate,1468)*(1+'5. Scenarios'!$B$10)*$D1473)</f>
        <v/>
      </c>
      <c r="F1473" s="57" t="str">
        <f aca="false">IF($E1473="","",SUMIFS($E$6:$E$2405,$A$6:$A$2405,"&lt;="&amp;$A1473))</f>
        <v/>
      </c>
      <c r="G1473" s="57" t="str">
        <f aca="false">IF($E1473="","",IF($F1473&lt;=BankCostEnvelope*'5. Scenarios'!$B$7,1,0))</f>
        <v/>
      </c>
      <c r="H1473" s="57" t="str">
        <f aca="false">IF($D1473="","",INDEX(BookRate,1468)*(1+'5. Scenarios'!$B$10)*(INDEX(BookQ1,1468)*(5-MIN(4,1+'5. Scenarios'!$B$8))/4+INDEX(BookQ2,1468)*(5-MIN(4,2+'5. Scenarios'!$B$8))/4+INDEX(BookQ3,1468)*(5-MIN(4,3+'5. Scenarios'!$B$8))/4+INDEX(BookQ4,1468)*(5-MIN(4,4+'5. Scenarios'!$B$8))/4)*'5. Scenarios'!$B$6/(1+ProductivityDefault*('5. Scenarios'!$B$11-1))+INDEX(BookOneOff,1468)*$D1473)</f>
        <v/>
      </c>
      <c r="I1473" s="56" t="str">
        <f aca="false">IF(INDEX(BookTitle,1468)="","",INDEX(BookTotal,1468)*'5. Scenarios'!$C$6/(1+ProductivityDefault*('5. Scenarios'!$C$11-1)))</f>
        <v/>
      </c>
      <c r="J1473" s="57" t="str">
        <f aca="false">IF($I1473="","",INDEX(BookRate,1468)*(1+'5. Scenarios'!$C$10)*$I1473)</f>
        <v/>
      </c>
      <c r="K1473" s="57" t="str">
        <f aca="false">IF($J1473="","",SUMIFS($J$6:$J$2405,$A$6:$A$2405,"&lt;="&amp;$A1473))</f>
        <v/>
      </c>
      <c r="L1473" s="57" t="str">
        <f aca="false">IF($J1473="","",IF($K1473&lt;=BankCostEnvelope*'5. Scenarios'!$C$7,1,0))</f>
        <v/>
      </c>
      <c r="M1473" s="57" t="str">
        <f aca="false">IF($I1473="","",INDEX(BookRate,1468)*(1+'5. Scenarios'!$C$10)*(INDEX(BookQ1,1468)*(5-MIN(4,1+'5. Scenarios'!$C$8))/4+INDEX(BookQ2,1468)*(5-MIN(4,2+'5. Scenarios'!$C$8))/4+INDEX(BookQ3,1468)*(5-MIN(4,3+'5. Scenarios'!$C$8))/4+INDEX(BookQ4,1468)*(5-MIN(4,4+'5. Scenarios'!$C$8))/4)*'5. Scenarios'!$C$6/(1+ProductivityDefault*('5. Scenarios'!$C$11-1))+INDEX(BookOneOff,1468)*$I1473)</f>
        <v/>
      </c>
      <c r="N1473" s="56" t="str">
        <f aca="false">IF(INDEX(BookTitle,1468)="","",INDEX(BookTotal,1468)*'5. Scenarios'!$D$6/(1+ProductivityDefault*('5. Scenarios'!$D$11-1)))</f>
        <v/>
      </c>
      <c r="O1473" s="57" t="str">
        <f aca="false">IF($N1473="","",INDEX(BookRate,1468)*(1+'5. Scenarios'!$D$10)*$N1473)</f>
        <v/>
      </c>
      <c r="P1473" s="57" t="str">
        <f aca="false">IF($O1473="","",SUMIFS($O$6:$O$2405,$A$6:$A$2405,"&lt;="&amp;$A1473))</f>
        <v/>
      </c>
      <c r="Q1473" s="57" t="str">
        <f aca="false">IF($O1473="","",IF($P1473&lt;=BankCostEnvelope*'5. Scenarios'!$D$7,1,0))</f>
        <v/>
      </c>
      <c r="R1473" s="57" t="str">
        <f aca="false">IF($N1473="","",INDEX(BookRate,1468)*(1+'5. Scenarios'!$D$10)*(INDEX(BookQ1,1468)*(5-MIN(4,1+'5. Scenarios'!$D$8))/4+INDEX(BookQ2,1468)*(5-MIN(4,2+'5. Scenarios'!$D$8))/4+INDEX(BookQ3,1468)*(5-MIN(4,3+'5. Scenarios'!$D$8))/4+INDEX(BookQ4,1468)*(5-MIN(4,4+'5. Scenarios'!$D$8))/4)*'5. Scenarios'!$D$6/(1+ProductivityDefault*('5. Scenarios'!$D$11-1))+INDEX(BookOneOff,1468)*$N1473)</f>
        <v/>
      </c>
      <c r="S1473" s="56" t="str">
        <f aca="false">IF(INDEX(BookTitle,1468)="","",INDEX(BookTotal,1468)*'5. Scenarios'!$E$6/(1+ProductivityDefault*('5. Scenarios'!$E$11-1)))</f>
        <v/>
      </c>
      <c r="T1473" s="57" t="str">
        <f aca="false">IF($S1473="","",INDEX(BookRate,1468)*(1+'5. Scenarios'!$E$10)*$S1473)</f>
        <v/>
      </c>
      <c r="U1473" s="57" t="str">
        <f aca="false">IF($T1473="","",SUMIFS($T$6:$T$2405,$A$6:$A$2405,"&lt;="&amp;$A1473))</f>
        <v/>
      </c>
      <c r="V1473" s="57" t="str">
        <f aca="false">IF($T1473="","",IF($U1473&lt;=BankCostEnvelope*'5. Scenarios'!$E$7,1,0))</f>
        <v/>
      </c>
      <c r="W1473" s="57" t="str">
        <f aca="false">IF($S1473="","",INDEX(BookRate,1468)*(1+'5. Scenarios'!$E$10)*(INDEX(BookQ1,1468)*(5-MIN(4,1+'5. Scenarios'!$E$8))/4+INDEX(BookQ2,1468)*(5-MIN(4,2+'5. Scenarios'!$E$8))/4+INDEX(BookQ3,1468)*(5-MIN(4,3+'5. Scenarios'!$E$8))/4+INDEX(BookQ4,1468)*(5-MIN(4,4+'5. Scenarios'!$E$8))/4)*'5. Scenarios'!$E$6/(1+ProductivityDefault*('5. Scenarios'!$E$11-1))+INDEX(BookOneOff,1468)*$S1473)</f>
        <v/>
      </c>
    </row>
    <row r="1474" customFormat="false" ht="15" hidden="false" customHeight="false" outlineLevel="0" collapsed="false">
      <c r="A1474" s="0" t="str">
        <f aca="false">IF(INDEX(BookTitle,1469)="","",INDEX(BookKey,1469))</f>
        <v/>
      </c>
      <c r="B1474" s="0" t="str">
        <f aca="false">IF(INDEX(BookTitle,1469)="","",INDEX(BookGroup,1469))</f>
        <v/>
      </c>
      <c r="C1474" s="0" t="str">
        <f aca="false">IF(INDEX(BookTitle,1469)="","",INDEX(BookCategory,1469))</f>
        <v/>
      </c>
      <c r="D1474" s="56" t="str">
        <f aca="false">IF(INDEX(BookTitle,1469)="","",INDEX(BookTotal,1469)*'5. Scenarios'!$B$6/(1+ProductivityDefault*('5. Scenarios'!$B$11-1)))</f>
        <v/>
      </c>
      <c r="E1474" s="57" t="str">
        <f aca="false">IF($D1474="","",INDEX(BookRate,1469)*(1+'5. Scenarios'!$B$10)*$D1474)</f>
        <v/>
      </c>
      <c r="F1474" s="57" t="str">
        <f aca="false">IF($E1474="","",SUMIFS($E$6:$E$2405,$A$6:$A$2405,"&lt;="&amp;$A1474))</f>
        <v/>
      </c>
      <c r="G1474" s="57" t="str">
        <f aca="false">IF($E1474="","",IF($F1474&lt;=BankCostEnvelope*'5. Scenarios'!$B$7,1,0))</f>
        <v/>
      </c>
      <c r="H1474" s="57" t="str">
        <f aca="false">IF($D1474="","",INDEX(BookRate,1469)*(1+'5. Scenarios'!$B$10)*(INDEX(BookQ1,1469)*(5-MIN(4,1+'5. Scenarios'!$B$8))/4+INDEX(BookQ2,1469)*(5-MIN(4,2+'5. Scenarios'!$B$8))/4+INDEX(BookQ3,1469)*(5-MIN(4,3+'5. Scenarios'!$B$8))/4+INDEX(BookQ4,1469)*(5-MIN(4,4+'5. Scenarios'!$B$8))/4)*'5. Scenarios'!$B$6/(1+ProductivityDefault*('5. Scenarios'!$B$11-1))+INDEX(BookOneOff,1469)*$D1474)</f>
        <v/>
      </c>
      <c r="I1474" s="56" t="str">
        <f aca="false">IF(INDEX(BookTitle,1469)="","",INDEX(BookTotal,1469)*'5. Scenarios'!$C$6/(1+ProductivityDefault*('5. Scenarios'!$C$11-1)))</f>
        <v/>
      </c>
      <c r="J1474" s="57" t="str">
        <f aca="false">IF($I1474="","",INDEX(BookRate,1469)*(1+'5. Scenarios'!$C$10)*$I1474)</f>
        <v/>
      </c>
      <c r="K1474" s="57" t="str">
        <f aca="false">IF($J1474="","",SUMIFS($J$6:$J$2405,$A$6:$A$2405,"&lt;="&amp;$A1474))</f>
        <v/>
      </c>
      <c r="L1474" s="57" t="str">
        <f aca="false">IF($J1474="","",IF($K1474&lt;=BankCostEnvelope*'5. Scenarios'!$C$7,1,0))</f>
        <v/>
      </c>
      <c r="M1474" s="57" t="str">
        <f aca="false">IF($I1474="","",INDEX(BookRate,1469)*(1+'5. Scenarios'!$C$10)*(INDEX(BookQ1,1469)*(5-MIN(4,1+'5. Scenarios'!$C$8))/4+INDEX(BookQ2,1469)*(5-MIN(4,2+'5. Scenarios'!$C$8))/4+INDEX(BookQ3,1469)*(5-MIN(4,3+'5. Scenarios'!$C$8))/4+INDEX(BookQ4,1469)*(5-MIN(4,4+'5. Scenarios'!$C$8))/4)*'5. Scenarios'!$C$6/(1+ProductivityDefault*('5. Scenarios'!$C$11-1))+INDEX(BookOneOff,1469)*$I1474)</f>
        <v/>
      </c>
      <c r="N1474" s="56" t="str">
        <f aca="false">IF(INDEX(BookTitle,1469)="","",INDEX(BookTotal,1469)*'5. Scenarios'!$D$6/(1+ProductivityDefault*('5. Scenarios'!$D$11-1)))</f>
        <v/>
      </c>
      <c r="O1474" s="57" t="str">
        <f aca="false">IF($N1474="","",INDEX(BookRate,1469)*(1+'5. Scenarios'!$D$10)*$N1474)</f>
        <v/>
      </c>
      <c r="P1474" s="57" t="str">
        <f aca="false">IF($O1474="","",SUMIFS($O$6:$O$2405,$A$6:$A$2405,"&lt;="&amp;$A1474))</f>
        <v/>
      </c>
      <c r="Q1474" s="57" t="str">
        <f aca="false">IF($O1474="","",IF($P1474&lt;=BankCostEnvelope*'5. Scenarios'!$D$7,1,0))</f>
        <v/>
      </c>
      <c r="R1474" s="57" t="str">
        <f aca="false">IF($N1474="","",INDEX(BookRate,1469)*(1+'5. Scenarios'!$D$10)*(INDEX(BookQ1,1469)*(5-MIN(4,1+'5. Scenarios'!$D$8))/4+INDEX(BookQ2,1469)*(5-MIN(4,2+'5. Scenarios'!$D$8))/4+INDEX(BookQ3,1469)*(5-MIN(4,3+'5. Scenarios'!$D$8))/4+INDEX(BookQ4,1469)*(5-MIN(4,4+'5. Scenarios'!$D$8))/4)*'5. Scenarios'!$D$6/(1+ProductivityDefault*('5. Scenarios'!$D$11-1))+INDEX(BookOneOff,1469)*$N1474)</f>
        <v/>
      </c>
      <c r="S1474" s="56" t="str">
        <f aca="false">IF(INDEX(BookTitle,1469)="","",INDEX(BookTotal,1469)*'5. Scenarios'!$E$6/(1+ProductivityDefault*('5. Scenarios'!$E$11-1)))</f>
        <v/>
      </c>
      <c r="T1474" s="57" t="str">
        <f aca="false">IF($S1474="","",INDEX(BookRate,1469)*(1+'5. Scenarios'!$E$10)*$S1474)</f>
        <v/>
      </c>
      <c r="U1474" s="57" t="str">
        <f aca="false">IF($T1474="","",SUMIFS($T$6:$T$2405,$A$6:$A$2405,"&lt;="&amp;$A1474))</f>
        <v/>
      </c>
      <c r="V1474" s="57" t="str">
        <f aca="false">IF($T1474="","",IF($U1474&lt;=BankCostEnvelope*'5. Scenarios'!$E$7,1,0))</f>
        <v/>
      </c>
      <c r="W1474" s="57" t="str">
        <f aca="false">IF($S1474="","",INDEX(BookRate,1469)*(1+'5. Scenarios'!$E$10)*(INDEX(BookQ1,1469)*(5-MIN(4,1+'5. Scenarios'!$E$8))/4+INDEX(BookQ2,1469)*(5-MIN(4,2+'5. Scenarios'!$E$8))/4+INDEX(BookQ3,1469)*(5-MIN(4,3+'5. Scenarios'!$E$8))/4+INDEX(BookQ4,1469)*(5-MIN(4,4+'5. Scenarios'!$E$8))/4)*'5. Scenarios'!$E$6/(1+ProductivityDefault*('5. Scenarios'!$E$11-1))+INDEX(BookOneOff,1469)*$S1474)</f>
        <v/>
      </c>
    </row>
    <row r="1475" customFormat="false" ht="15" hidden="false" customHeight="false" outlineLevel="0" collapsed="false">
      <c r="A1475" s="0" t="str">
        <f aca="false">IF(INDEX(BookTitle,1470)="","",INDEX(BookKey,1470))</f>
        <v/>
      </c>
      <c r="B1475" s="0" t="str">
        <f aca="false">IF(INDEX(BookTitle,1470)="","",INDEX(BookGroup,1470))</f>
        <v/>
      </c>
      <c r="C1475" s="0" t="str">
        <f aca="false">IF(INDEX(BookTitle,1470)="","",INDEX(BookCategory,1470))</f>
        <v/>
      </c>
      <c r="D1475" s="56" t="str">
        <f aca="false">IF(INDEX(BookTitle,1470)="","",INDEX(BookTotal,1470)*'5. Scenarios'!$B$6/(1+ProductivityDefault*('5. Scenarios'!$B$11-1)))</f>
        <v/>
      </c>
      <c r="E1475" s="57" t="str">
        <f aca="false">IF($D1475="","",INDEX(BookRate,1470)*(1+'5. Scenarios'!$B$10)*$D1475)</f>
        <v/>
      </c>
      <c r="F1475" s="57" t="str">
        <f aca="false">IF($E1475="","",SUMIFS($E$6:$E$2405,$A$6:$A$2405,"&lt;="&amp;$A1475))</f>
        <v/>
      </c>
      <c r="G1475" s="57" t="str">
        <f aca="false">IF($E1475="","",IF($F1475&lt;=BankCostEnvelope*'5. Scenarios'!$B$7,1,0))</f>
        <v/>
      </c>
      <c r="H1475" s="57" t="str">
        <f aca="false">IF($D1475="","",INDEX(BookRate,1470)*(1+'5. Scenarios'!$B$10)*(INDEX(BookQ1,1470)*(5-MIN(4,1+'5. Scenarios'!$B$8))/4+INDEX(BookQ2,1470)*(5-MIN(4,2+'5. Scenarios'!$B$8))/4+INDEX(BookQ3,1470)*(5-MIN(4,3+'5. Scenarios'!$B$8))/4+INDEX(BookQ4,1470)*(5-MIN(4,4+'5. Scenarios'!$B$8))/4)*'5. Scenarios'!$B$6/(1+ProductivityDefault*('5. Scenarios'!$B$11-1))+INDEX(BookOneOff,1470)*$D1475)</f>
        <v/>
      </c>
      <c r="I1475" s="56" t="str">
        <f aca="false">IF(INDEX(BookTitle,1470)="","",INDEX(BookTotal,1470)*'5. Scenarios'!$C$6/(1+ProductivityDefault*('5. Scenarios'!$C$11-1)))</f>
        <v/>
      </c>
      <c r="J1475" s="57" t="str">
        <f aca="false">IF($I1475="","",INDEX(BookRate,1470)*(1+'5. Scenarios'!$C$10)*$I1475)</f>
        <v/>
      </c>
      <c r="K1475" s="57" t="str">
        <f aca="false">IF($J1475="","",SUMIFS($J$6:$J$2405,$A$6:$A$2405,"&lt;="&amp;$A1475))</f>
        <v/>
      </c>
      <c r="L1475" s="57" t="str">
        <f aca="false">IF($J1475="","",IF($K1475&lt;=BankCostEnvelope*'5. Scenarios'!$C$7,1,0))</f>
        <v/>
      </c>
      <c r="M1475" s="57" t="str">
        <f aca="false">IF($I1475="","",INDEX(BookRate,1470)*(1+'5. Scenarios'!$C$10)*(INDEX(BookQ1,1470)*(5-MIN(4,1+'5. Scenarios'!$C$8))/4+INDEX(BookQ2,1470)*(5-MIN(4,2+'5. Scenarios'!$C$8))/4+INDEX(BookQ3,1470)*(5-MIN(4,3+'5. Scenarios'!$C$8))/4+INDEX(BookQ4,1470)*(5-MIN(4,4+'5. Scenarios'!$C$8))/4)*'5. Scenarios'!$C$6/(1+ProductivityDefault*('5. Scenarios'!$C$11-1))+INDEX(BookOneOff,1470)*$I1475)</f>
        <v/>
      </c>
      <c r="N1475" s="56" t="str">
        <f aca="false">IF(INDEX(BookTitle,1470)="","",INDEX(BookTotal,1470)*'5. Scenarios'!$D$6/(1+ProductivityDefault*('5. Scenarios'!$D$11-1)))</f>
        <v/>
      </c>
      <c r="O1475" s="57" t="str">
        <f aca="false">IF($N1475="","",INDEX(BookRate,1470)*(1+'5. Scenarios'!$D$10)*$N1475)</f>
        <v/>
      </c>
      <c r="P1475" s="57" t="str">
        <f aca="false">IF($O1475="","",SUMIFS($O$6:$O$2405,$A$6:$A$2405,"&lt;="&amp;$A1475))</f>
        <v/>
      </c>
      <c r="Q1475" s="57" t="str">
        <f aca="false">IF($O1475="","",IF($P1475&lt;=BankCostEnvelope*'5. Scenarios'!$D$7,1,0))</f>
        <v/>
      </c>
      <c r="R1475" s="57" t="str">
        <f aca="false">IF($N1475="","",INDEX(BookRate,1470)*(1+'5. Scenarios'!$D$10)*(INDEX(BookQ1,1470)*(5-MIN(4,1+'5. Scenarios'!$D$8))/4+INDEX(BookQ2,1470)*(5-MIN(4,2+'5. Scenarios'!$D$8))/4+INDEX(BookQ3,1470)*(5-MIN(4,3+'5. Scenarios'!$D$8))/4+INDEX(BookQ4,1470)*(5-MIN(4,4+'5. Scenarios'!$D$8))/4)*'5. Scenarios'!$D$6/(1+ProductivityDefault*('5. Scenarios'!$D$11-1))+INDEX(BookOneOff,1470)*$N1475)</f>
        <v/>
      </c>
      <c r="S1475" s="56" t="str">
        <f aca="false">IF(INDEX(BookTitle,1470)="","",INDEX(BookTotal,1470)*'5. Scenarios'!$E$6/(1+ProductivityDefault*('5. Scenarios'!$E$11-1)))</f>
        <v/>
      </c>
      <c r="T1475" s="57" t="str">
        <f aca="false">IF($S1475="","",INDEX(BookRate,1470)*(1+'5. Scenarios'!$E$10)*$S1475)</f>
        <v/>
      </c>
      <c r="U1475" s="57" t="str">
        <f aca="false">IF($T1475="","",SUMIFS($T$6:$T$2405,$A$6:$A$2405,"&lt;="&amp;$A1475))</f>
        <v/>
      </c>
      <c r="V1475" s="57" t="str">
        <f aca="false">IF($T1475="","",IF($U1475&lt;=BankCostEnvelope*'5. Scenarios'!$E$7,1,0))</f>
        <v/>
      </c>
      <c r="W1475" s="57" t="str">
        <f aca="false">IF($S1475="","",INDEX(BookRate,1470)*(1+'5. Scenarios'!$E$10)*(INDEX(BookQ1,1470)*(5-MIN(4,1+'5. Scenarios'!$E$8))/4+INDEX(BookQ2,1470)*(5-MIN(4,2+'5. Scenarios'!$E$8))/4+INDEX(BookQ3,1470)*(5-MIN(4,3+'5. Scenarios'!$E$8))/4+INDEX(BookQ4,1470)*(5-MIN(4,4+'5. Scenarios'!$E$8))/4)*'5. Scenarios'!$E$6/(1+ProductivityDefault*('5. Scenarios'!$E$11-1))+INDEX(BookOneOff,1470)*$S1475)</f>
        <v/>
      </c>
    </row>
    <row r="1476" customFormat="false" ht="15" hidden="false" customHeight="false" outlineLevel="0" collapsed="false">
      <c r="A1476" s="0" t="str">
        <f aca="false">IF(INDEX(BookTitle,1471)="","",INDEX(BookKey,1471))</f>
        <v/>
      </c>
      <c r="B1476" s="0" t="str">
        <f aca="false">IF(INDEX(BookTitle,1471)="","",INDEX(BookGroup,1471))</f>
        <v/>
      </c>
      <c r="C1476" s="0" t="str">
        <f aca="false">IF(INDEX(BookTitle,1471)="","",INDEX(BookCategory,1471))</f>
        <v/>
      </c>
      <c r="D1476" s="56" t="str">
        <f aca="false">IF(INDEX(BookTitle,1471)="","",INDEX(BookTotal,1471)*'5. Scenarios'!$B$6/(1+ProductivityDefault*('5. Scenarios'!$B$11-1)))</f>
        <v/>
      </c>
      <c r="E1476" s="57" t="str">
        <f aca="false">IF($D1476="","",INDEX(BookRate,1471)*(1+'5. Scenarios'!$B$10)*$D1476)</f>
        <v/>
      </c>
      <c r="F1476" s="57" t="str">
        <f aca="false">IF($E1476="","",SUMIFS($E$6:$E$2405,$A$6:$A$2405,"&lt;="&amp;$A1476))</f>
        <v/>
      </c>
      <c r="G1476" s="57" t="str">
        <f aca="false">IF($E1476="","",IF($F1476&lt;=BankCostEnvelope*'5. Scenarios'!$B$7,1,0))</f>
        <v/>
      </c>
      <c r="H1476" s="57" t="str">
        <f aca="false">IF($D1476="","",INDEX(BookRate,1471)*(1+'5. Scenarios'!$B$10)*(INDEX(BookQ1,1471)*(5-MIN(4,1+'5. Scenarios'!$B$8))/4+INDEX(BookQ2,1471)*(5-MIN(4,2+'5. Scenarios'!$B$8))/4+INDEX(BookQ3,1471)*(5-MIN(4,3+'5. Scenarios'!$B$8))/4+INDEX(BookQ4,1471)*(5-MIN(4,4+'5. Scenarios'!$B$8))/4)*'5. Scenarios'!$B$6/(1+ProductivityDefault*('5. Scenarios'!$B$11-1))+INDEX(BookOneOff,1471)*$D1476)</f>
        <v/>
      </c>
      <c r="I1476" s="56" t="str">
        <f aca="false">IF(INDEX(BookTitle,1471)="","",INDEX(BookTotal,1471)*'5. Scenarios'!$C$6/(1+ProductivityDefault*('5. Scenarios'!$C$11-1)))</f>
        <v/>
      </c>
      <c r="J1476" s="57" t="str">
        <f aca="false">IF($I1476="","",INDEX(BookRate,1471)*(1+'5. Scenarios'!$C$10)*$I1476)</f>
        <v/>
      </c>
      <c r="K1476" s="57" t="str">
        <f aca="false">IF($J1476="","",SUMIFS($J$6:$J$2405,$A$6:$A$2405,"&lt;="&amp;$A1476))</f>
        <v/>
      </c>
      <c r="L1476" s="57" t="str">
        <f aca="false">IF($J1476="","",IF($K1476&lt;=BankCostEnvelope*'5. Scenarios'!$C$7,1,0))</f>
        <v/>
      </c>
      <c r="M1476" s="57" t="str">
        <f aca="false">IF($I1476="","",INDEX(BookRate,1471)*(1+'5. Scenarios'!$C$10)*(INDEX(BookQ1,1471)*(5-MIN(4,1+'5. Scenarios'!$C$8))/4+INDEX(BookQ2,1471)*(5-MIN(4,2+'5. Scenarios'!$C$8))/4+INDEX(BookQ3,1471)*(5-MIN(4,3+'5. Scenarios'!$C$8))/4+INDEX(BookQ4,1471)*(5-MIN(4,4+'5. Scenarios'!$C$8))/4)*'5. Scenarios'!$C$6/(1+ProductivityDefault*('5. Scenarios'!$C$11-1))+INDEX(BookOneOff,1471)*$I1476)</f>
        <v/>
      </c>
      <c r="N1476" s="56" t="str">
        <f aca="false">IF(INDEX(BookTitle,1471)="","",INDEX(BookTotal,1471)*'5. Scenarios'!$D$6/(1+ProductivityDefault*('5. Scenarios'!$D$11-1)))</f>
        <v/>
      </c>
      <c r="O1476" s="57" t="str">
        <f aca="false">IF($N1476="","",INDEX(BookRate,1471)*(1+'5. Scenarios'!$D$10)*$N1476)</f>
        <v/>
      </c>
      <c r="P1476" s="57" t="str">
        <f aca="false">IF($O1476="","",SUMIFS($O$6:$O$2405,$A$6:$A$2405,"&lt;="&amp;$A1476))</f>
        <v/>
      </c>
      <c r="Q1476" s="57" t="str">
        <f aca="false">IF($O1476="","",IF($P1476&lt;=BankCostEnvelope*'5. Scenarios'!$D$7,1,0))</f>
        <v/>
      </c>
      <c r="R1476" s="57" t="str">
        <f aca="false">IF($N1476="","",INDEX(BookRate,1471)*(1+'5. Scenarios'!$D$10)*(INDEX(BookQ1,1471)*(5-MIN(4,1+'5. Scenarios'!$D$8))/4+INDEX(BookQ2,1471)*(5-MIN(4,2+'5. Scenarios'!$D$8))/4+INDEX(BookQ3,1471)*(5-MIN(4,3+'5. Scenarios'!$D$8))/4+INDEX(BookQ4,1471)*(5-MIN(4,4+'5. Scenarios'!$D$8))/4)*'5. Scenarios'!$D$6/(1+ProductivityDefault*('5. Scenarios'!$D$11-1))+INDEX(BookOneOff,1471)*$N1476)</f>
        <v/>
      </c>
      <c r="S1476" s="56" t="str">
        <f aca="false">IF(INDEX(BookTitle,1471)="","",INDEX(BookTotal,1471)*'5. Scenarios'!$E$6/(1+ProductivityDefault*('5. Scenarios'!$E$11-1)))</f>
        <v/>
      </c>
      <c r="T1476" s="57" t="str">
        <f aca="false">IF($S1476="","",INDEX(BookRate,1471)*(1+'5. Scenarios'!$E$10)*$S1476)</f>
        <v/>
      </c>
      <c r="U1476" s="57" t="str">
        <f aca="false">IF($T1476="","",SUMIFS($T$6:$T$2405,$A$6:$A$2405,"&lt;="&amp;$A1476))</f>
        <v/>
      </c>
      <c r="V1476" s="57" t="str">
        <f aca="false">IF($T1476="","",IF($U1476&lt;=BankCostEnvelope*'5. Scenarios'!$E$7,1,0))</f>
        <v/>
      </c>
      <c r="W1476" s="57" t="str">
        <f aca="false">IF($S1476="","",INDEX(BookRate,1471)*(1+'5. Scenarios'!$E$10)*(INDEX(BookQ1,1471)*(5-MIN(4,1+'5. Scenarios'!$E$8))/4+INDEX(BookQ2,1471)*(5-MIN(4,2+'5. Scenarios'!$E$8))/4+INDEX(BookQ3,1471)*(5-MIN(4,3+'5. Scenarios'!$E$8))/4+INDEX(BookQ4,1471)*(5-MIN(4,4+'5. Scenarios'!$E$8))/4)*'5. Scenarios'!$E$6/(1+ProductivityDefault*('5. Scenarios'!$E$11-1))+INDEX(BookOneOff,1471)*$S1476)</f>
        <v/>
      </c>
    </row>
    <row r="1477" customFormat="false" ht="15" hidden="false" customHeight="false" outlineLevel="0" collapsed="false">
      <c r="A1477" s="0" t="str">
        <f aca="false">IF(INDEX(BookTitle,1472)="","",INDEX(BookKey,1472))</f>
        <v/>
      </c>
      <c r="B1477" s="0" t="str">
        <f aca="false">IF(INDEX(BookTitle,1472)="","",INDEX(BookGroup,1472))</f>
        <v/>
      </c>
      <c r="C1477" s="0" t="str">
        <f aca="false">IF(INDEX(BookTitle,1472)="","",INDEX(BookCategory,1472))</f>
        <v/>
      </c>
      <c r="D1477" s="56" t="str">
        <f aca="false">IF(INDEX(BookTitle,1472)="","",INDEX(BookTotal,1472)*'5. Scenarios'!$B$6/(1+ProductivityDefault*('5. Scenarios'!$B$11-1)))</f>
        <v/>
      </c>
      <c r="E1477" s="57" t="str">
        <f aca="false">IF($D1477="","",INDEX(BookRate,1472)*(1+'5. Scenarios'!$B$10)*$D1477)</f>
        <v/>
      </c>
      <c r="F1477" s="57" t="str">
        <f aca="false">IF($E1477="","",SUMIFS($E$6:$E$2405,$A$6:$A$2405,"&lt;="&amp;$A1477))</f>
        <v/>
      </c>
      <c r="G1477" s="57" t="str">
        <f aca="false">IF($E1477="","",IF($F1477&lt;=BankCostEnvelope*'5. Scenarios'!$B$7,1,0))</f>
        <v/>
      </c>
      <c r="H1477" s="57" t="str">
        <f aca="false">IF($D1477="","",INDEX(BookRate,1472)*(1+'5. Scenarios'!$B$10)*(INDEX(BookQ1,1472)*(5-MIN(4,1+'5. Scenarios'!$B$8))/4+INDEX(BookQ2,1472)*(5-MIN(4,2+'5. Scenarios'!$B$8))/4+INDEX(BookQ3,1472)*(5-MIN(4,3+'5. Scenarios'!$B$8))/4+INDEX(BookQ4,1472)*(5-MIN(4,4+'5. Scenarios'!$B$8))/4)*'5. Scenarios'!$B$6/(1+ProductivityDefault*('5. Scenarios'!$B$11-1))+INDEX(BookOneOff,1472)*$D1477)</f>
        <v/>
      </c>
      <c r="I1477" s="56" t="str">
        <f aca="false">IF(INDEX(BookTitle,1472)="","",INDEX(BookTotal,1472)*'5. Scenarios'!$C$6/(1+ProductivityDefault*('5. Scenarios'!$C$11-1)))</f>
        <v/>
      </c>
      <c r="J1477" s="57" t="str">
        <f aca="false">IF($I1477="","",INDEX(BookRate,1472)*(1+'5. Scenarios'!$C$10)*$I1477)</f>
        <v/>
      </c>
      <c r="K1477" s="57" t="str">
        <f aca="false">IF($J1477="","",SUMIFS($J$6:$J$2405,$A$6:$A$2405,"&lt;="&amp;$A1477))</f>
        <v/>
      </c>
      <c r="L1477" s="57" t="str">
        <f aca="false">IF($J1477="","",IF($K1477&lt;=BankCostEnvelope*'5. Scenarios'!$C$7,1,0))</f>
        <v/>
      </c>
      <c r="M1477" s="57" t="str">
        <f aca="false">IF($I1477="","",INDEX(BookRate,1472)*(1+'5. Scenarios'!$C$10)*(INDEX(BookQ1,1472)*(5-MIN(4,1+'5. Scenarios'!$C$8))/4+INDEX(BookQ2,1472)*(5-MIN(4,2+'5. Scenarios'!$C$8))/4+INDEX(BookQ3,1472)*(5-MIN(4,3+'5. Scenarios'!$C$8))/4+INDEX(BookQ4,1472)*(5-MIN(4,4+'5. Scenarios'!$C$8))/4)*'5. Scenarios'!$C$6/(1+ProductivityDefault*('5. Scenarios'!$C$11-1))+INDEX(BookOneOff,1472)*$I1477)</f>
        <v/>
      </c>
      <c r="N1477" s="56" t="str">
        <f aca="false">IF(INDEX(BookTitle,1472)="","",INDEX(BookTotal,1472)*'5. Scenarios'!$D$6/(1+ProductivityDefault*('5. Scenarios'!$D$11-1)))</f>
        <v/>
      </c>
      <c r="O1477" s="57" t="str">
        <f aca="false">IF($N1477="","",INDEX(BookRate,1472)*(1+'5. Scenarios'!$D$10)*$N1477)</f>
        <v/>
      </c>
      <c r="P1477" s="57" t="str">
        <f aca="false">IF($O1477="","",SUMIFS($O$6:$O$2405,$A$6:$A$2405,"&lt;="&amp;$A1477))</f>
        <v/>
      </c>
      <c r="Q1477" s="57" t="str">
        <f aca="false">IF($O1477="","",IF($P1477&lt;=BankCostEnvelope*'5. Scenarios'!$D$7,1,0))</f>
        <v/>
      </c>
      <c r="R1477" s="57" t="str">
        <f aca="false">IF($N1477="","",INDEX(BookRate,1472)*(1+'5. Scenarios'!$D$10)*(INDEX(BookQ1,1472)*(5-MIN(4,1+'5. Scenarios'!$D$8))/4+INDEX(BookQ2,1472)*(5-MIN(4,2+'5. Scenarios'!$D$8))/4+INDEX(BookQ3,1472)*(5-MIN(4,3+'5. Scenarios'!$D$8))/4+INDEX(BookQ4,1472)*(5-MIN(4,4+'5. Scenarios'!$D$8))/4)*'5. Scenarios'!$D$6/(1+ProductivityDefault*('5. Scenarios'!$D$11-1))+INDEX(BookOneOff,1472)*$N1477)</f>
        <v/>
      </c>
      <c r="S1477" s="56" t="str">
        <f aca="false">IF(INDEX(BookTitle,1472)="","",INDEX(BookTotal,1472)*'5. Scenarios'!$E$6/(1+ProductivityDefault*('5. Scenarios'!$E$11-1)))</f>
        <v/>
      </c>
      <c r="T1477" s="57" t="str">
        <f aca="false">IF($S1477="","",INDEX(BookRate,1472)*(1+'5. Scenarios'!$E$10)*$S1477)</f>
        <v/>
      </c>
      <c r="U1477" s="57" t="str">
        <f aca="false">IF($T1477="","",SUMIFS($T$6:$T$2405,$A$6:$A$2405,"&lt;="&amp;$A1477))</f>
        <v/>
      </c>
      <c r="V1477" s="57" t="str">
        <f aca="false">IF($T1477="","",IF($U1477&lt;=BankCostEnvelope*'5. Scenarios'!$E$7,1,0))</f>
        <v/>
      </c>
      <c r="W1477" s="57" t="str">
        <f aca="false">IF($S1477="","",INDEX(BookRate,1472)*(1+'5. Scenarios'!$E$10)*(INDEX(BookQ1,1472)*(5-MIN(4,1+'5. Scenarios'!$E$8))/4+INDEX(BookQ2,1472)*(5-MIN(4,2+'5. Scenarios'!$E$8))/4+INDEX(BookQ3,1472)*(5-MIN(4,3+'5. Scenarios'!$E$8))/4+INDEX(BookQ4,1472)*(5-MIN(4,4+'5. Scenarios'!$E$8))/4)*'5. Scenarios'!$E$6/(1+ProductivityDefault*('5. Scenarios'!$E$11-1))+INDEX(BookOneOff,1472)*$S1477)</f>
        <v/>
      </c>
    </row>
    <row r="1478" customFormat="false" ht="15" hidden="false" customHeight="false" outlineLevel="0" collapsed="false">
      <c r="A1478" s="0" t="str">
        <f aca="false">IF(INDEX(BookTitle,1473)="","",INDEX(BookKey,1473))</f>
        <v/>
      </c>
      <c r="B1478" s="0" t="str">
        <f aca="false">IF(INDEX(BookTitle,1473)="","",INDEX(BookGroup,1473))</f>
        <v/>
      </c>
      <c r="C1478" s="0" t="str">
        <f aca="false">IF(INDEX(BookTitle,1473)="","",INDEX(BookCategory,1473))</f>
        <v/>
      </c>
      <c r="D1478" s="56" t="str">
        <f aca="false">IF(INDEX(BookTitle,1473)="","",INDEX(BookTotal,1473)*'5. Scenarios'!$B$6/(1+ProductivityDefault*('5. Scenarios'!$B$11-1)))</f>
        <v/>
      </c>
      <c r="E1478" s="57" t="str">
        <f aca="false">IF($D1478="","",INDEX(BookRate,1473)*(1+'5. Scenarios'!$B$10)*$D1478)</f>
        <v/>
      </c>
      <c r="F1478" s="57" t="str">
        <f aca="false">IF($E1478="","",SUMIFS($E$6:$E$2405,$A$6:$A$2405,"&lt;="&amp;$A1478))</f>
        <v/>
      </c>
      <c r="G1478" s="57" t="str">
        <f aca="false">IF($E1478="","",IF($F1478&lt;=BankCostEnvelope*'5. Scenarios'!$B$7,1,0))</f>
        <v/>
      </c>
      <c r="H1478" s="57" t="str">
        <f aca="false">IF($D1478="","",INDEX(BookRate,1473)*(1+'5. Scenarios'!$B$10)*(INDEX(BookQ1,1473)*(5-MIN(4,1+'5. Scenarios'!$B$8))/4+INDEX(BookQ2,1473)*(5-MIN(4,2+'5. Scenarios'!$B$8))/4+INDEX(BookQ3,1473)*(5-MIN(4,3+'5. Scenarios'!$B$8))/4+INDEX(BookQ4,1473)*(5-MIN(4,4+'5. Scenarios'!$B$8))/4)*'5. Scenarios'!$B$6/(1+ProductivityDefault*('5. Scenarios'!$B$11-1))+INDEX(BookOneOff,1473)*$D1478)</f>
        <v/>
      </c>
      <c r="I1478" s="56" t="str">
        <f aca="false">IF(INDEX(BookTitle,1473)="","",INDEX(BookTotal,1473)*'5. Scenarios'!$C$6/(1+ProductivityDefault*('5. Scenarios'!$C$11-1)))</f>
        <v/>
      </c>
      <c r="J1478" s="57" t="str">
        <f aca="false">IF($I1478="","",INDEX(BookRate,1473)*(1+'5. Scenarios'!$C$10)*$I1478)</f>
        <v/>
      </c>
      <c r="K1478" s="57" t="str">
        <f aca="false">IF($J1478="","",SUMIFS($J$6:$J$2405,$A$6:$A$2405,"&lt;="&amp;$A1478))</f>
        <v/>
      </c>
      <c r="L1478" s="57" t="str">
        <f aca="false">IF($J1478="","",IF($K1478&lt;=BankCostEnvelope*'5. Scenarios'!$C$7,1,0))</f>
        <v/>
      </c>
      <c r="M1478" s="57" t="str">
        <f aca="false">IF($I1478="","",INDEX(BookRate,1473)*(1+'5. Scenarios'!$C$10)*(INDEX(BookQ1,1473)*(5-MIN(4,1+'5. Scenarios'!$C$8))/4+INDEX(BookQ2,1473)*(5-MIN(4,2+'5. Scenarios'!$C$8))/4+INDEX(BookQ3,1473)*(5-MIN(4,3+'5. Scenarios'!$C$8))/4+INDEX(BookQ4,1473)*(5-MIN(4,4+'5. Scenarios'!$C$8))/4)*'5. Scenarios'!$C$6/(1+ProductivityDefault*('5. Scenarios'!$C$11-1))+INDEX(BookOneOff,1473)*$I1478)</f>
        <v/>
      </c>
      <c r="N1478" s="56" t="str">
        <f aca="false">IF(INDEX(BookTitle,1473)="","",INDEX(BookTotal,1473)*'5. Scenarios'!$D$6/(1+ProductivityDefault*('5. Scenarios'!$D$11-1)))</f>
        <v/>
      </c>
      <c r="O1478" s="57" t="str">
        <f aca="false">IF($N1478="","",INDEX(BookRate,1473)*(1+'5. Scenarios'!$D$10)*$N1478)</f>
        <v/>
      </c>
      <c r="P1478" s="57" t="str">
        <f aca="false">IF($O1478="","",SUMIFS($O$6:$O$2405,$A$6:$A$2405,"&lt;="&amp;$A1478))</f>
        <v/>
      </c>
      <c r="Q1478" s="57" t="str">
        <f aca="false">IF($O1478="","",IF($P1478&lt;=BankCostEnvelope*'5. Scenarios'!$D$7,1,0))</f>
        <v/>
      </c>
      <c r="R1478" s="57" t="str">
        <f aca="false">IF($N1478="","",INDEX(BookRate,1473)*(1+'5. Scenarios'!$D$10)*(INDEX(BookQ1,1473)*(5-MIN(4,1+'5. Scenarios'!$D$8))/4+INDEX(BookQ2,1473)*(5-MIN(4,2+'5. Scenarios'!$D$8))/4+INDEX(BookQ3,1473)*(5-MIN(4,3+'5. Scenarios'!$D$8))/4+INDEX(BookQ4,1473)*(5-MIN(4,4+'5. Scenarios'!$D$8))/4)*'5. Scenarios'!$D$6/(1+ProductivityDefault*('5. Scenarios'!$D$11-1))+INDEX(BookOneOff,1473)*$N1478)</f>
        <v/>
      </c>
      <c r="S1478" s="56" t="str">
        <f aca="false">IF(INDEX(BookTitle,1473)="","",INDEX(BookTotal,1473)*'5. Scenarios'!$E$6/(1+ProductivityDefault*('5. Scenarios'!$E$11-1)))</f>
        <v/>
      </c>
      <c r="T1478" s="57" t="str">
        <f aca="false">IF($S1478="","",INDEX(BookRate,1473)*(1+'5. Scenarios'!$E$10)*$S1478)</f>
        <v/>
      </c>
      <c r="U1478" s="57" t="str">
        <f aca="false">IF($T1478="","",SUMIFS($T$6:$T$2405,$A$6:$A$2405,"&lt;="&amp;$A1478))</f>
        <v/>
      </c>
      <c r="V1478" s="57" t="str">
        <f aca="false">IF($T1478="","",IF($U1478&lt;=BankCostEnvelope*'5. Scenarios'!$E$7,1,0))</f>
        <v/>
      </c>
      <c r="W1478" s="57" t="str">
        <f aca="false">IF($S1478="","",INDEX(BookRate,1473)*(1+'5. Scenarios'!$E$10)*(INDEX(BookQ1,1473)*(5-MIN(4,1+'5. Scenarios'!$E$8))/4+INDEX(BookQ2,1473)*(5-MIN(4,2+'5. Scenarios'!$E$8))/4+INDEX(BookQ3,1473)*(5-MIN(4,3+'5. Scenarios'!$E$8))/4+INDEX(BookQ4,1473)*(5-MIN(4,4+'5. Scenarios'!$E$8))/4)*'5. Scenarios'!$E$6/(1+ProductivityDefault*('5. Scenarios'!$E$11-1))+INDEX(BookOneOff,1473)*$S1478)</f>
        <v/>
      </c>
    </row>
    <row r="1479" customFormat="false" ht="15" hidden="false" customHeight="false" outlineLevel="0" collapsed="false">
      <c r="A1479" s="0" t="str">
        <f aca="false">IF(INDEX(BookTitle,1474)="","",INDEX(BookKey,1474))</f>
        <v/>
      </c>
      <c r="B1479" s="0" t="str">
        <f aca="false">IF(INDEX(BookTitle,1474)="","",INDEX(BookGroup,1474))</f>
        <v/>
      </c>
      <c r="C1479" s="0" t="str">
        <f aca="false">IF(INDEX(BookTitle,1474)="","",INDEX(BookCategory,1474))</f>
        <v/>
      </c>
      <c r="D1479" s="56" t="str">
        <f aca="false">IF(INDEX(BookTitle,1474)="","",INDEX(BookTotal,1474)*'5. Scenarios'!$B$6/(1+ProductivityDefault*('5. Scenarios'!$B$11-1)))</f>
        <v/>
      </c>
      <c r="E1479" s="57" t="str">
        <f aca="false">IF($D1479="","",INDEX(BookRate,1474)*(1+'5. Scenarios'!$B$10)*$D1479)</f>
        <v/>
      </c>
      <c r="F1479" s="57" t="str">
        <f aca="false">IF($E1479="","",SUMIFS($E$6:$E$2405,$A$6:$A$2405,"&lt;="&amp;$A1479))</f>
        <v/>
      </c>
      <c r="G1479" s="57" t="str">
        <f aca="false">IF($E1479="","",IF($F1479&lt;=BankCostEnvelope*'5. Scenarios'!$B$7,1,0))</f>
        <v/>
      </c>
      <c r="H1479" s="57" t="str">
        <f aca="false">IF($D1479="","",INDEX(BookRate,1474)*(1+'5. Scenarios'!$B$10)*(INDEX(BookQ1,1474)*(5-MIN(4,1+'5. Scenarios'!$B$8))/4+INDEX(BookQ2,1474)*(5-MIN(4,2+'5. Scenarios'!$B$8))/4+INDEX(BookQ3,1474)*(5-MIN(4,3+'5. Scenarios'!$B$8))/4+INDEX(BookQ4,1474)*(5-MIN(4,4+'5. Scenarios'!$B$8))/4)*'5. Scenarios'!$B$6/(1+ProductivityDefault*('5. Scenarios'!$B$11-1))+INDEX(BookOneOff,1474)*$D1479)</f>
        <v/>
      </c>
      <c r="I1479" s="56" t="str">
        <f aca="false">IF(INDEX(BookTitle,1474)="","",INDEX(BookTotal,1474)*'5. Scenarios'!$C$6/(1+ProductivityDefault*('5. Scenarios'!$C$11-1)))</f>
        <v/>
      </c>
      <c r="J1479" s="57" t="str">
        <f aca="false">IF($I1479="","",INDEX(BookRate,1474)*(1+'5. Scenarios'!$C$10)*$I1479)</f>
        <v/>
      </c>
      <c r="K1479" s="57" t="str">
        <f aca="false">IF($J1479="","",SUMIFS($J$6:$J$2405,$A$6:$A$2405,"&lt;="&amp;$A1479))</f>
        <v/>
      </c>
      <c r="L1479" s="57" t="str">
        <f aca="false">IF($J1479="","",IF($K1479&lt;=BankCostEnvelope*'5. Scenarios'!$C$7,1,0))</f>
        <v/>
      </c>
      <c r="M1479" s="57" t="str">
        <f aca="false">IF($I1479="","",INDEX(BookRate,1474)*(1+'5. Scenarios'!$C$10)*(INDEX(BookQ1,1474)*(5-MIN(4,1+'5. Scenarios'!$C$8))/4+INDEX(BookQ2,1474)*(5-MIN(4,2+'5. Scenarios'!$C$8))/4+INDEX(BookQ3,1474)*(5-MIN(4,3+'5. Scenarios'!$C$8))/4+INDEX(BookQ4,1474)*(5-MIN(4,4+'5. Scenarios'!$C$8))/4)*'5. Scenarios'!$C$6/(1+ProductivityDefault*('5. Scenarios'!$C$11-1))+INDEX(BookOneOff,1474)*$I1479)</f>
        <v/>
      </c>
      <c r="N1479" s="56" t="str">
        <f aca="false">IF(INDEX(BookTitle,1474)="","",INDEX(BookTotal,1474)*'5. Scenarios'!$D$6/(1+ProductivityDefault*('5. Scenarios'!$D$11-1)))</f>
        <v/>
      </c>
      <c r="O1479" s="57" t="str">
        <f aca="false">IF($N1479="","",INDEX(BookRate,1474)*(1+'5. Scenarios'!$D$10)*$N1479)</f>
        <v/>
      </c>
      <c r="P1479" s="57" t="str">
        <f aca="false">IF($O1479="","",SUMIFS($O$6:$O$2405,$A$6:$A$2405,"&lt;="&amp;$A1479))</f>
        <v/>
      </c>
      <c r="Q1479" s="57" t="str">
        <f aca="false">IF($O1479="","",IF($P1479&lt;=BankCostEnvelope*'5. Scenarios'!$D$7,1,0))</f>
        <v/>
      </c>
      <c r="R1479" s="57" t="str">
        <f aca="false">IF($N1479="","",INDEX(BookRate,1474)*(1+'5. Scenarios'!$D$10)*(INDEX(BookQ1,1474)*(5-MIN(4,1+'5. Scenarios'!$D$8))/4+INDEX(BookQ2,1474)*(5-MIN(4,2+'5. Scenarios'!$D$8))/4+INDEX(BookQ3,1474)*(5-MIN(4,3+'5. Scenarios'!$D$8))/4+INDEX(BookQ4,1474)*(5-MIN(4,4+'5. Scenarios'!$D$8))/4)*'5. Scenarios'!$D$6/(1+ProductivityDefault*('5. Scenarios'!$D$11-1))+INDEX(BookOneOff,1474)*$N1479)</f>
        <v/>
      </c>
      <c r="S1479" s="56" t="str">
        <f aca="false">IF(INDEX(BookTitle,1474)="","",INDEX(BookTotal,1474)*'5. Scenarios'!$E$6/(1+ProductivityDefault*('5. Scenarios'!$E$11-1)))</f>
        <v/>
      </c>
      <c r="T1479" s="57" t="str">
        <f aca="false">IF($S1479="","",INDEX(BookRate,1474)*(1+'5. Scenarios'!$E$10)*$S1479)</f>
        <v/>
      </c>
      <c r="U1479" s="57" t="str">
        <f aca="false">IF($T1479="","",SUMIFS($T$6:$T$2405,$A$6:$A$2405,"&lt;="&amp;$A1479))</f>
        <v/>
      </c>
      <c r="V1479" s="57" t="str">
        <f aca="false">IF($T1479="","",IF($U1479&lt;=BankCostEnvelope*'5. Scenarios'!$E$7,1,0))</f>
        <v/>
      </c>
      <c r="W1479" s="57" t="str">
        <f aca="false">IF($S1479="","",INDEX(BookRate,1474)*(1+'5. Scenarios'!$E$10)*(INDEX(BookQ1,1474)*(5-MIN(4,1+'5. Scenarios'!$E$8))/4+INDEX(BookQ2,1474)*(5-MIN(4,2+'5. Scenarios'!$E$8))/4+INDEX(BookQ3,1474)*(5-MIN(4,3+'5. Scenarios'!$E$8))/4+INDEX(BookQ4,1474)*(5-MIN(4,4+'5. Scenarios'!$E$8))/4)*'5. Scenarios'!$E$6/(1+ProductivityDefault*('5. Scenarios'!$E$11-1))+INDEX(BookOneOff,1474)*$S1479)</f>
        <v/>
      </c>
    </row>
    <row r="1480" customFormat="false" ht="15" hidden="false" customHeight="false" outlineLevel="0" collapsed="false">
      <c r="A1480" s="0" t="str">
        <f aca="false">IF(INDEX(BookTitle,1475)="","",INDEX(BookKey,1475))</f>
        <v/>
      </c>
      <c r="B1480" s="0" t="str">
        <f aca="false">IF(INDEX(BookTitle,1475)="","",INDEX(BookGroup,1475))</f>
        <v/>
      </c>
      <c r="C1480" s="0" t="str">
        <f aca="false">IF(INDEX(BookTitle,1475)="","",INDEX(BookCategory,1475))</f>
        <v/>
      </c>
      <c r="D1480" s="56" t="str">
        <f aca="false">IF(INDEX(BookTitle,1475)="","",INDEX(BookTotal,1475)*'5. Scenarios'!$B$6/(1+ProductivityDefault*('5. Scenarios'!$B$11-1)))</f>
        <v/>
      </c>
      <c r="E1480" s="57" t="str">
        <f aca="false">IF($D1480="","",INDEX(BookRate,1475)*(1+'5. Scenarios'!$B$10)*$D1480)</f>
        <v/>
      </c>
      <c r="F1480" s="57" t="str">
        <f aca="false">IF($E1480="","",SUMIFS($E$6:$E$2405,$A$6:$A$2405,"&lt;="&amp;$A1480))</f>
        <v/>
      </c>
      <c r="G1480" s="57" t="str">
        <f aca="false">IF($E1480="","",IF($F1480&lt;=BankCostEnvelope*'5. Scenarios'!$B$7,1,0))</f>
        <v/>
      </c>
      <c r="H1480" s="57" t="str">
        <f aca="false">IF($D1480="","",INDEX(BookRate,1475)*(1+'5. Scenarios'!$B$10)*(INDEX(BookQ1,1475)*(5-MIN(4,1+'5. Scenarios'!$B$8))/4+INDEX(BookQ2,1475)*(5-MIN(4,2+'5. Scenarios'!$B$8))/4+INDEX(BookQ3,1475)*(5-MIN(4,3+'5. Scenarios'!$B$8))/4+INDEX(BookQ4,1475)*(5-MIN(4,4+'5. Scenarios'!$B$8))/4)*'5. Scenarios'!$B$6/(1+ProductivityDefault*('5. Scenarios'!$B$11-1))+INDEX(BookOneOff,1475)*$D1480)</f>
        <v/>
      </c>
      <c r="I1480" s="56" t="str">
        <f aca="false">IF(INDEX(BookTitle,1475)="","",INDEX(BookTotal,1475)*'5. Scenarios'!$C$6/(1+ProductivityDefault*('5. Scenarios'!$C$11-1)))</f>
        <v/>
      </c>
      <c r="J1480" s="57" t="str">
        <f aca="false">IF($I1480="","",INDEX(BookRate,1475)*(1+'5. Scenarios'!$C$10)*$I1480)</f>
        <v/>
      </c>
      <c r="K1480" s="57" t="str">
        <f aca="false">IF($J1480="","",SUMIFS($J$6:$J$2405,$A$6:$A$2405,"&lt;="&amp;$A1480))</f>
        <v/>
      </c>
      <c r="L1480" s="57" t="str">
        <f aca="false">IF($J1480="","",IF($K1480&lt;=BankCostEnvelope*'5. Scenarios'!$C$7,1,0))</f>
        <v/>
      </c>
      <c r="M1480" s="57" t="str">
        <f aca="false">IF($I1480="","",INDEX(BookRate,1475)*(1+'5. Scenarios'!$C$10)*(INDEX(BookQ1,1475)*(5-MIN(4,1+'5. Scenarios'!$C$8))/4+INDEX(BookQ2,1475)*(5-MIN(4,2+'5. Scenarios'!$C$8))/4+INDEX(BookQ3,1475)*(5-MIN(4,3+'5. Scenarios'!$C$8))/4+INDEX(BookQ4,1475)*(5-MIN(4,4+'5. Scenarios'!$C$8))/4)*'5. Scenarios'!$C$6/(1+ProductivityDefault*('5. Scenarios'!$C$11-1))+INDEX(BookOneOff,1475)*$I1480)</f>
        <v/>
      </c>
      <c r="N1480" s="56" t="str">
        <f aca="false">IF(INDEX(BookTitle,1475)="","",INDEX(BookTotal,1475)*'5. Scenarios'!$D$6/(1+ProductivityDefault*('5. Scenarios'!$D$11-1)))</f>
        <v/>
      </c>
      <c r="O1480" s="57" t="str">
        <f aca="false">IF($N1480="","",INDEX(BookRate,1475)*(1+'5. Scenarios'!$D$10)*$N1480)</f>
        <v/>
      </c>
      <c r="P1480" s="57" t="str">
        <f aca="false">IF($O1480="","",SUMIFS($O$6:$O$2405,$A$6:$A$2405,"&lt;="&amp;$A1480))</f>
        <v/>
      </c>
      <c r="Q1480" s="57" t="str">
        <f aca="false">IF($O1480="","",IF($P1480&lt;=BankCostEnvelope*'5. Scenarios'!$D$7,1,0))</f>
        <v/>
      </c>
      <c r="R1480" s="57" t="str">
        <f aca="false">IF($N1480="","",INDEX(BookRate,1475)*(1+'5. Scenarios'!$D$10)*(INDEX(BookQ1,1475)*(5-MIN(4,1+'5. Scenarios'!$D$8))/4+INDEX(BookQ2,1475)*(5-MIN(4,2+'5. Scenarios'!$D$8))/4+INDEX(BookQ3,1475)*(5-MIN(4,3+'5. Scenarios'!$D$8))/4+INDEX(BookQ4,1475)*(5-MIN(4,4+'5. Scenarios'!$D$8))/4)*'5. Scenarios'!$D$6/(1+ProductivityDefault*('5. Scenarios'!$D$11-1))+INDEX(BookOneOff,1475)*$N1480)</f>
        <v/>
      </c>
      <c r="S1480" s="56" t="str">
        <f aca="false">IF(INDEX(BookTitle,1475)="","",INDEX(BookTotal,1475)*'5. Scenarios'!$E$6/(1+ProductivityDefault*('5. Scenarios'!$E$11-1)))</f>
        <v/>
      </c>
      <c r="T1480" s="57" t="str">
        <f aca="false">IF($S1480="","",INDEX(BookRate,1475)*(1+'5. Scenarios'!$E$10)*$S1480)</f>
        <v/>
      </c>
      <c r="U1480" s="57" t="str">
        <f aca="false">IF($T1480="","",SUMIFS($T$6:$T$2405,$A$6:$A$2405,"&lt;="&amp;$A1480))</f>
        <v/>
      </c>
      <c r="V1480" s="57" t="str">
        <f aca="false">IF($T1480="","",IF($U1480&lt;=BankCostEnvelope*'5. Scenarios'!$E$7,1,0))</f>
        <v/>
      </c>
      <c r="W1480" s="57" t="str">
        <f aca="false">IF($S1480="","",INDEX(BookRate,1475)*(1+'5. Scenarios'!$E$10)*(INDEX(BookQ1,1475)*(5-MIN(4,1+'5. Scenarios'!$E$8))/4+INDEX(BookQ2,1475)*(5-MIN(4,2+'5. Scenarios'!$E$8))/4+INDEX(BookQ3,1475)*(5-MIN(4,3+'5. Scenarios'!$E$8))/4+INDEX(BookQ4,1475)*(5-MIN(4,4+'5. Scenarios'!$E$8))/4)*'5. Scenarios'!$E$6/(1+ProductivityDefault*('5. Scenarios'!$E$11-1))+INDEX(BookOneOff,1475)*$S1480)</f>
        <v/>
      </c>
    </row>
    <row r="1481" customFormat="false" ht="15" hidden="false" customHeight="false" outlineLevel="0" collapsed="false">
      <c r="A1481" s="0" t="str">
        <f aca="false">IF(INDEX(BookTitle,1476)="","",INDEX(BookKey,1476))</f>
        <v/>
      </c>
      <c r="B1481" s="0" t="str">
        <f aca="false">IF(INDEX(BookTitle,1476)="","",INDEX(BookGroup,1476))</f>
        <v/>
      </c>
      <c r="C1481" s="0" t="str">
        <f aca="false">IF(INDEX(BookTitle,1476)="","",INDEX(BookCategory,1476))</f>
        <v/>
      </c>
      <c r="D1481" s="56" t="str">
        <f aca="false">IF(INDEX(BookTitle,1476)="","",INDEX(BookTotal,1476)*'5. Scenarios'!$B$6/(1+ProductivityDefault*('5. Scenarios'!$B$11-1)))</f>
        <v/>
      </c>
      <c r="E1481" s="57" t="str">
        <f aca="false">IF($D1481="","",INDEX(BookRate,1476)*(1+'5. Scenarios'!$B$10)*$D1481)</f>
        <v/>
      </c>
      <c r="F1481" s="57" t="str">
        <f aca="false">IF($E1481="","",SUMIFS($E$6:$E$2405,$A$6:$A$2405,"&lt;="&amp;$A1481))</f>
        <v/>
      </c>
      <c r="G1481" s="57" t="str">
        <f aca="false">IF($E1481="","",IF($F1481&lt;=BankCostEnvelope*'5. Scenarios'!$B$7,1,0))</f>
        <v/>
      </c>
      <c r="H1481" s="57" t="str">
        <f aca="false">IF($D1481="","",INDEX(BookRate,1476)*(1+'5. Scenarios'!$B$10)*(INDEX(BookQ1,1476)*(5-MIN(4,1+'5. Scenarios'!$B$8))/4+INDEX(BookQ2,1476)*(5-MIN(4,2+'5. Scenarios'!$B$8))/4+INDEX(BookQ3,1476)*(5-MIN(4,3+'5. Scenarios'!$B$8))/4+INDEX(BookQ4,1476)*(5-MIN(4,4+'5. Scenarios'!$B$8))/4)*'5. Scenarios'!$B$6/(1+ProductivityDefault*('5. Scenarios'!$B$11-1))+INDEX(BookOneOff,1476)*$D1481)</f>
        <v/>
      </c>
      <c r="I1481" s="56" t="str">
        <f aca="false">IF(INDEX(BookTitle,1476)="","",INDEX(BookTotal,1476)*'5. Scenarios'!$C$6/(1+ProductivityDefault*('5. Scenarios'!$C$11-1)))</f>
        <v/>
      </c>
      <c r="J1481" s="57" t="str">
        <f aca="false">IF($I1481="","",INDEX(BookRate,1476)*(1+'5. Scenarios'!$C$10)*$I1481)</f>
        <v/>
      </c>
      <c r="K1481" s="57" t="str">
        <f aca="false">IF($J1481="","",SUMIFS($J$6:$J$2405,$A$6:$A$2405,"&lt;="&amp;$A1481))</f>
        <v/>
      </c>
      <c r="L1481" s="57" t="str">
        <f aca="false">IF($J1481="","",IF($K1481&lt;=BankCostEnvelope*'5. Scenarios'!$C$7,1,0))</f>
        <v/>
      </c>
      <c r="M1481" s="57" t="str">
        <f aca="false">IF($I1481="","",INDEX(BookRate,1476)*(1+'5. Scenarios'!$C$10)*(INDEX(BookQ1,1476)*(5-MIN(4,1+'5. Scenarios'!$C$8))/4+INDEX(BookQ2,1476)*(5-MIN(4,2+'5. Scenarios'!$C$8))/4+INDEX(BookQ3,1476)*(5-MIN(4,3+'5. Scenarios'!$C$8))/4+INDEX(BookQ4,1476)*(5-MIN(4,4+'5. Scenarios'!$C$8))/4)*'5. Scenarios'!$C$6/(1+ProductivityDefault*('5. Scenarios'!$C$11-1))+INDEX(BookOneOff,1476)*$I1481)</f>
        <v/>
      </c>
      <c r="N1481" s="56" t="str">
        <f aca="false">IF(INDEX(BookTitle,1476)="","",INDEX(BookTotal,1476)*'5. Scenarios'!$D$6/(1+ProductivityDefault*('5. Scenarios'!$D$11-1)))</f>
        <v/>
      </c>
      <c r="O1481" s="57" t="str">
        <f aca="false">IF($N1481="","",INDEX(BookRate,1476)*(1+'5. Scenarios'!$D$10)*$N1481)</f>
        <v/>
      </c>
      <c r="P1481" s="57" t="str">
        <f aca="false">IF($O1481="","",SUMIFS($O$6:$O$2405,$A$6:$A$2405,"&lt;="&amp;$A1481))</f>
        <v/>
      </c>
      <c r="Q1481" s="57" t="str">
        <f aca="false">IF($O1481="","",IF($P1481&lt;=BankCostEnvelope*'5. Scenarios'!$D$7,1,0))</f>
        <v/>
      </c>
      <c r="R1481" s="57" t="str">
        <f aca="false">IF($N1481="","",INDEX(BookRate,1476)*(1+'5. Scenarios'!$D$10)*(INDEX(BookQ1,1476)*(5-MIN(4,1+'5. Scenarios'!$D$8))/4+INDEX(BookQ2,1476)*(5-MIN(4,2+'5. Scenarios'!$D$8))/4+INDEX(BookQ3,1476)*(5-MIN(4,3+'5. Scenarios'!$D$8))/4+INDEX(BookQ4,1476)*(5-MIN(4,4+'5. Scenarios'!$D$8))/4)*'5. Scenarios'!$D$6/(1+ProductivityDefault*('5. Scenarios'!$D$11-1))+INDEX(BookOneOff,1476)*$N1481)</f>
        <v/>
      </c>
      <c r="S1481" s="56" t="str">
        <f aca="false">IF(INDEX(BookTitle,1476)="","",INDEX(BookTotal,1476)*'5. Scenarios'!$E$6/(1+ProductivityDefault*('5. Scenarios'!$E$11-1)))</f>
        <v/>
      </c>
      <c r="T1481" s="57" t="str">
        <f aca="false">IF($S1481="","",INDEX(BookRate,1476)*(1+'5. Scenarios'!$E$10)*$S1481)</f>
        <v/>
      </c>
      <c r="U1481" s="57" t="str">
        <f aca="false">IF($T1481="","",SUMIFS($T$6:$T$2405,$A$6:$A$2405,"&lt;="&amp;$A1481))</f>
        <v/>
      </c>
      <c r="V1481" s="57" t="str">
        <f aca="false">IF($T1481="","",IF($U1481&lt;=BankCostEnvelope*'5. Scenarios'!$E$7,1,0))</f>
        <v/>
      </c>
      <c r="W1481" s="57" t="str">
        <f aca="false">IF($S1481="","",INDEX(BookRate,1476)*(1+'5. Scenarios'!$E$10)*(INDEX(BookQ1,1476)*(5-MIN(4,1+'5. Scenarios'!$E$8))/4+INDEX(BookQ2,1476)*(5-MIN(4,2+'5. Scenarios'!$E$8))/4+INDEX(BookQ3,1476)*(5-MIN(4,3+'5. Scenarios'!$E$8))/4+INDEX(BookQ4,1476)*(5-MIN(4,4+'5. Scenarios'!$E$8))/4)*'5. Scenarios'!$E$6/(1+ProductivityDefault*('5. Scenarios'!$E$11-1))+INDEX(BookOneOff,1476)*$S1481)</f>
        <v/>
      </c>
    </row>
    <row r="1482" customFormat="false" ht="15" hidden="false" customHeight="false" outlineLevel="0" collapsed="false">
      <c r="A1482" s="0" t="str">
        <f aca="false">IF(INDEX(BookTitle,1477)="","",INDEX(BookKey,1477))</f>
        <v/>
      </c>
      <c r="B1482" s="0" t="str">
        <f aca="false">IF(INDEX(BookTitle,1477)="","",INDEX(BookGroup,1477))</f>
        <v/>
      </c>
      <c r="C1482" s="0" t="str">
        <f aca="false">IF(INDEX(BookTitle,1477)="","",INDEX(BookCategory,1477))</f>
        <v/>
      </c>
      <c r="D1482" s="56" t="str">
        <f aca="false">IF(INDEX(BookTitle,1477)="","",INDEX(BookTotal,1477)*'5. Scenarios'!$B$6/(1+ProductivityDefault*('5. Scenarios'!$B$11-1)))</f>
        <v/>
      </c>
      <c r="E1482" s="57" t="str">
        <f aca="false">IF($D1482="","",INDEX(BookRate,1477)*(1+'5. Scenarios'!$B$10)*$D1482)</f>
        <v/>
      </c>
      <c r="F1482" s="57" t="str">
        <f aca="false">IF($E1482="","",SUMIFS($E$6:$E$2405,$A$6:$A$2405,"&lt;="&amp;$A1482))</f>
        <v/>
      </c>
      <c r="G1482" s="57" t="str">
        <f aca="false">IF($E1482="","",IF($F1482&lt;=BankCostEnvelope*'5. Scenarios'!$B$7,1,0))</f>
        <v/>
      </c>
      <c r="H1482" s="57" t="str">
        <f aca="false">IF($D1482="","",INDEX(BookRate,1477)*(1+'5. Scenarios'!$B$10)*(INDEX(BookQ1,1477)*(5-MIN(4,1+'5. Scenarios'!$B$8))/4+INDEX(BookQ2,1477)*(5-MIN(4,2+'5. Scenarios'!$B$8))/4+INDEX(BookQ3,1477)*(5-MIN(4,3+'5. Scenarios'!$B$8))/4+INDEX(BookQ4,1477)*(5-MIN(4,4+'5. Scenarios'!$B$8))/4)*'5. Scenarios'!$B$6/(1+ProductivityDefault*('5. Scenarios'!$B$11-1))+INDEX(BookOneOff,1477)*$D1482)</f>
        <v/>
      </c>
      <c r="I1482" s="56" t="str">
        <f aca="false">IF(INDEX(BookTitle,1477)="","",INDEX(BookTotal,1477)*'5. Scenarios'!$C$6/(1+ProductivityDefault*('5. Scenarios'!$C$11-1)))</f>
        <v/>
      </c>
      <c r="J1482" s="57" t="str">
        <f aca="false">IF($I1482="","",INDEX(BookRate,1477)*(1+'5. Scenarios'!$C$10)*$I1482)</f>
        <v/>
      </c>
      <c r="K1482" s="57" t="str">
        <f aca="false">IF($J1482="","",SUMIFS($J$6:$J$2405,$A$6:$A$2405,"&lt;="&amp;$A1482))</f>
        <v/>
      </c>
      <c r="L1482" s="57" t="str">
        <f aca="false">IF($J1482="","",IF($K1482&lt;=BankCostEnvelope*'5. Scenarios'!$C$7,1,0))</f>
        <v/>
      </c>
      <c r="M1482" s="57" t="str">
        <f aca="false">IF($I1482="","",INDEX(BookRate,1477)*(1+'5. Scenarios'!$C$10)*(INDEX(BookQ1,1477)*(5-MIN(4,1+'5. Scenarios'!$C$8))/4+INDEX(BookQ2,1477)*(5-MIN(4,2+'5. Scenarios'!$C$8))/4+INDEX(BookQ3,1477)*(5-MIN(4,3+'5. Scenarios'!$C$8))/4+INDEX(BookQ4,1477)*(5-MIN(4,4+'5. Scenarios'!$C$8))/4)*'5. Scenarios'!$C$6/(1+ProductivityDefault*('5. Scenarios'!$C$11-1))+INDEX(BookOneOff,1477)*$I1482)</f>
        <v/>
      </c>
      <c r="N1482" s="56" t="str">
        <f aca="false">IF(INDEX(BookTitle,1477)="","",INDEX(BookTotal,1477)*'5. Scenarios'!$D$6/(1+ProductivityDefault*('5. Scenarios'!$D$11-1)))</f>
        <v/>
      </c>
      <c r="O1482" s="57" t="str">
        <f aca="false">IF($N1482="","",INDEX(BookRate,1477)*(1+'5. Scenarios'!$D$10)*$N1482)</f>
        <v/>
      </c>
      <c r="P1482" s="57" t="str">
        <f aca="false">IF($O1482="","",SUMIFS($O$6:$O$2405,$A$6:$A$2405,"&lt;="&amp;$A1482))</f>
        <v/>
      </c>
      <c r="Q1482" s="57" t="str">
        <f aca="false">IF($O1482="","",IF($P1482&lt;=BankCostEnvelope*'5. Scenarios'!$D$7,1,0))</f>
        <v/>
      </c>
      <c r="R1482" s="57" t="str">
        <f aca="false">IF($N1482="","",INDEX(BookRate,1477)*(1+'5. Scenarios'!$D$10)*(INDEX(BookQ1,1477)*(5-MIN(4,1+'5. Scenarios'!$D$8))/4+INDEX(BookQ2,1477)*(5-MIN(4,2+'5. Scenarios'!$D$8))/4+INDEX(BookQ3,1477)*(5-MIN(4,3+'5. Scenarios'!$D$8))/4+INDEX(BookQ4,1477)*(5-MIN(4,4+'5. Scenarios'!$D$8))/4)*'5. Scenarios'!$D$6/(1+ProductivityDefault*('5. Scenarios'!$D$11-1))+INDEX(BookOneOff,1477)*$N1482)</f>
        <v/>
      </c>
      <c r="S1482" s="56" t="str">
        <f aca="false">IF(INDEX(BookTitle,1477)="","",INDEX(BookTotal,1477)*'5. Scenarios'!$E$6/(1+ProductivityDefault*('5. Scenarios'!$E$11-1)))</f>
        <v/>
      </c>
      <c r="T1482" s="57" t="str">
        <f aca="false">IF($S1482="","",INDEX(BookRate,1477)*(1+'5. Scenarios'!$E$10)*$S1482)</f>
        <v/>
      </c>
      <c r="U1482" s="57" t="str">
        <f aca="false">IF($T1482="","",SUMIFS($T$6:$T$2405,$A$6:$A$2405,"&lt;="&amp;$A1482))</f>
        <v/>
      </c>
      <c r="V1482" s="57" t="str">
        <f aca="false">IF($T1482="","",IF($U1482&lt;=BankCostEnvelope*'5. Scenarios'!$E$7,1,0))</f>
        <v/>
      </c>
      <c r="W1482" s="57" t="str">
        <f aca="false">IF($S1482="","",INDEX(BookRate,1477)*(1+'5. Scenarios'!$E$10)*(INDEX(BookQ1,1477)*(5-MIN(4,1+'5. Scenarios'!$E$8))/4+INDEX(BookQ2,1477)*(5-MIN(4,2+'5. Scenarios'!$E$8))/4+INDEX(BookQ3,1477)*(5-MIN(4,3+'5. Scenarios'!$E$8))/4+INDEX(BookQ4,1477)*(5-MIN(4,4+'5. Scenarios'!$E$8))/4)*'5. Scenarios'!$E$6/(1+ProductivityDefault*('5. Scenarios'!$E$11-1))+INDEX(BookOneOff,1477)*$S1482)</f>
        <v/>
      </c>
    </row>
    <row r="1483" customFormat="false" ht="15" hidden="false" customHeight="false" outlineLevel="0" collapsed="false">
      <c r="A1483" s="0" t="str">
        <f aca="false">IF(INDEX(BookTitle,1478)="","",INDEX(BookKey,1478))</f>
        <v/>
      </c>
      <c r="B1483" s="0" t="str">
        <f aca="false">IF(INDEX(BookTitle,1478)="","",INDEX(BookGroup,1478))</f>
        <v/>
      </c>
      <c r="C1483" s="0" t="str">
        <f aca="false">IF(INDEX(BookTitle,1478)="","",INDEX(BookCategory,1478))</f>
        <v/>
      </c>
      <c r="D1483" s="56" t="str">
        <f aca="false">IF(INDEX(BookTitle,1478)="","",INDEX(BookTotal,1478)*'5. Scenarios'!$B$6/(1+ProductivityDefault*('5. Scenarios'!$B$11-1)))</f>
        <v/>
      </c>
      <c r="E1483" s="57" t="str">
        <f aca="false">IF($D1483="","",INDEX(BookRate,1478)*(1+'5. Scenarios'!$B$10)*$D1483)</f>
        <v/>
      </c>
      <c r="F1483" s="57" t="str">
        <f aca="false">IF($E1483="","",SUMIFS($E$6:$E$2405,$A$6:$A$2405,"&lt;="&amp;$A1483))</f>
        <v/>
      </c>
      <c r="G1483" s="57" t="str">
        <f aca="false">IF($E1483="","",IF($F1483&lt;=BankCostEnvelope*'5. Scenarios'!$B$7,1,0))</f>
        <v/>
      </c>
      <c r="H1483" s="57" t="str">
        <f aca="false">IF($D1483="","",INDEX(BookRate,1478)*(1+'5. Scenarios'!$B$10)*(INDEX(BookQ1,1478)*(5-MIN(4,1+'5. Scenarios'!$B$8))/4+INDEX(BookQ2,1478)*(5-MIN(4,2+'5. Scenarios'!$B$8))/4+INDEX(BookQ3,1478)*(5-MIN(4,3+'5. Scenarios'!$B$8))/4+INDEX(BookQ4,1478)*(5-MIN(4,4+'5. Scenarios'!$B$8))/4)*'5. Scenarios'!$B$6/(1+ProductivityDefault*('5. Scenarios'!$B$11-1))+INDEX(BookOneOff,1478)*$D1483)</f>
        <v/>
      </c>
      <c r="I1483" s="56" t="str">
        <f aca="false">IF(INDEX(BookTitle,1478)="","",INDEX(BookTotal,1478)*'5. Scenarios'!$C$6/(1+ProductivityDefault*('5. Scenarios'!$C$11-1)))</f>
        <v/>
      </c>
      <c r="J1483" s="57" t="str">
        <f aca="false">IF($I1483="","",INDEX(BookRate,1478)*(1+'5. Scenarios'!$C$10)*$I1483)</f>
        <v/>
      </c>
      <c r="K1483" s="57" t="str">
        <f aca="false">IF($J1483="","",SUMIFS($J$6:$J$2405,$A$6:$A$2405,"&lt;="&amp;$A1483))</f>
        <v/>
      </c>
      <c r="L1483" s="57" t="str">
        <f aca="false">IF($J1483="","",IF($K1483&lt;=BankCostEnvelope*'5. Scenarios'!$C$7,1,0))</f>
        <v/>
      </c>
      <c r="M1483" s="57" t="str">
        <f aca="false">IF($I1483="","",INDEX(BookRate,1478)*(1+'5. Scenarios'!$C$10)*(INDEX(BookQ1,1478)*(5-MIN(4,1+'5. Scenarios'!$C$8))/4+INDEX(BookQ2,1478)*(5-MIN(4,2+'5. Scenarios'!$C$8))/4+INDEX(BookQ3,1478)*(5-MIN(4,3+'5. Scenarios'!$C$8))/4+INDEX(BookQ4,1478)*(5-MIN(4,4+'5. Scenarios'!$C$8))/4)*'5. Scenarios'!$C$6/(1+ProductivityDefault*('5. Scenarios'!$C$11-1))+INDEX(BookOneOff,1478)*$I1483)</f>
        <v/>
      </c>
      <c r="N1483" s="56" t="str">
        <f aca="false">IF(INDEX(BookTitle,1478)="","",INDEX(BookTotal,1478)*'5. Scenarios'!$D$6/(1+ProductivityDefault*('5. Scenarios'!$D$11-1)))</f>
        <v/>
      </c>
      <c r="O1483" s="57" t="str">
        <f aca="false">IF($N1483="","",INDEX(BookRate,1478)*(1+'5. Scenarios'!$D$10)*$N1483)</f>
        <v/>
      </c>
      <c r="P1483" s="57" t="str">
        <f aca="false">IF($O1483="","",SUMIFS($O$6:$O$2405,$A$6:$A$2405,"&lt;="&amp;$A1483))</f>
        <v/>
      </c>
      <c r="Q1483" s="57" t="str">
        <f aca="false">IF($O1483="","",IF($P1483&lt;=BankCostEnvelope*'5. Scenarios'!$D$7,1,0))</f>
        <v/>
      </c>
      <c r="R1483" s="57" t="str">
        <f aca="false">IF($N1483="","",INDEX(BookRate,1478)*(1+'5. Scenarios'!$D$10)*(INDEX(BookQ1,1478)*(5-MIN(4,1+'5. Scenarios'!$D$8))/4+INDEX(BookQ2,1478)*(5-MIN(4,2+'5. Scenarios'!$D$8))/4+INDEX(BookQ3,1478)*(5-MIN(4,3+'5. Scenarios'!$D$8))/4+INDEX(BookQ4,1478)*(5-MIN(4,4+'5. Scenarios'!$D$8))/4)*'5. Scenarios'!$D$6/(1+ProductivityDefault*('5. Scenarios'!$D$11-1))+INDEX(BookOneOff,1478)*$N1483)</f>
        <v/>
      </c>
      <c r="S1483" s="56" t="str">
        <f aca="false">IF(INDEX(BookTitle,1478)="","",INDEX(BookTotal,1478)*'5. Scenarios'!$E$6/(1+ProductivityDefault*('5. Scenarios'!$E$11-1)))</f>
        <v/>
      </c>
      <c r="T1483" s="57" t="str">
        <f aca="false">IF($S1483="","",INDEX(BookRate,1478)*(1+'5. Scenarios'!$E$10)*$S1483)</f>
        <v/>
      </c>
      <c r="U1483" s="57" t="str">
        <f aca="false">IF($T1483="","",SUMIFS($T$6:$T$2405,$A$6:$A$2405,"&lt;="&amp;$A1483))</f>
        <v/>
      </c>
      <c r="V1483" s="57" t="str">
        <f aca="false">IF($T1483="","",IF($U1483&lt;=BankCostEnvelope*'5. Scenarios'!$E$7,1,0))</f>
        <v/>
      </c>
      <c r="W1483" s="57" t="str">
        <f aca="false">IF($S1483="","",INDEX(BookRate,1478)*(1+'5. Scenarios'!$E$10)*(INDEX(BookQ1,1478)*(5-MIN(4,1+'5. Scenarios'!$E$8))/4+INDEX(BookQ2,1478)*(5-MIN(4,2+'5. Scenarios'!$E$8))/4+INDEX(BookQ3,1478)*(5-MIN(4,3+'5. Scenarios'!$E$8))/4+INDEX(BookQ4,1478)*(5-MIN(4,4+'5. Scenarios'!$E$8))/4)*'5. Scenarios'!$E$6/(1+ProductivityDefault*('5. Scenarios'!$E$11-1))+INDEX(BookOneOff,1478)*$S1483)</f>
        <v/>
      </c>
    </row>
    <row r="1484" customFormat="false" ht="15" hidden="false" customHeight="false" outlineLevel="0" collapsed="false">
      <c r="A1484" s="0" t="str">
        <f aca="false">IF(INDEX(BookTitle,1479)="","",INDEX(BookKey,1479))</f>
        <v/>
      </c>
      <c r="B1484" s="0" t="str">
        <f aca="false">IF(INDEX(BookTitle,1479)="","",INDEX(BookGroup,1479))</f>
        <v/>
      </c>
      <c r="C1484" s="0" t="str">
        <f aca="false">IF(INDEX(BookTitle,1479)="","",INDEX(BookCategory,1479))</f>
        <v/>
      </c>
      <c r="D1484" s="56" t="str">
        <f aca="false">IF(INDEX(BookTitle,1479)="","",INDEX(BookTotal,1479)*'5. Scenarios'!$B$6/(1+ProductivityDefault*('5. Scenarios'!$B$11-1)))</f>
        <v/>
      </c>
      <c r="E1484" s="57" t="str">
        <f aca="false">IF($D1484="","",INDEX(BookRate,1479)*(1+'5. Scenarios'!$B$10)*$D1484)</f>
        <v/>
      </c>
      <c r="F1484" s="57" t="str">
        <f aca="false">IF($E1484="","",SUMIFS($E$6:$E$2405,$A$6:$A$2405,"&lt;="&amp;$A1484))</f>
        <v/>
      </c>
      <c r="G1484" s="57" t="str">
        <f aca="false">IF($E1484="","",IF($F1484&lt;=BankCostEnvelope*'5. Scenarios'!$B$7,1,0))</f>
        <v/>
      </c>
      <c r="H1484" s="57" t="str">
        <f aca="false">IF($D1484="","",INDEX(BookRate,1479)*(1+'5. Scenarios'!$B$10)*(INDEX(BookQ1,1479)*(5-MIN(4,1+'5. Scenarios'!$B$8))/4+INDEX(BookQ2,1479)*(5-MIN(4,2+'5. Scenarios'!$B$8))/4+INDEX(BookQ3,1479)*(5-MIN(4,3+'5. Scenarios'!$B$8))/4+INDEX(BookQ4,1479)*(5-MIN(4,4+'5. Scenarios'!$B$8))/4)*'5. Scenarios'!$B$6/(1+ProductivityDefault*('5. Scenarios'!$B$11-1))+INDEX(BookOneOff,1479)*$D1484)</f>
        <v/>
      </c>
      <c r="I1484" s="56" t="str">
        <f aca="false">IF(INDEX(BookTitle,1479)="","",INDEX(BookTotal,1479)*'5. Scenarios'!$C$6/(1+ProductivityDefault*('5. Scenarios'!$C$11-1)))</f>
        <v/>
      </c>
      <c r="J1484" s="57" t="str">
        <f aca="false">IF($I1484="","",INDEX(BookRate,1479)*(1+'5. Scenarios'!$C$10)*$I1484)</f>
        <v/>
      </c>
      <c r="K1484" s="57" t="str">
        <f aca="false">IF($J1484="","",SUMIFS($J$6:$J$2405,$A$6:$A$2405,"&lt;="&amp;$A1484))</f>
        <v/>
      </c>
      <c r="L1484" s="57" t="str">
        <f aca="false">IF($J1484="","",IF($K1484&lt;=BankCostEnvelope*'5. Scenarios'!$C$7,1,0))</f>
        <v/>
      </c>
      <c r="M1484" s="57" t="str">
        <f aca="false">IF($I1484="","",INDEX(BookRate,1479)*(1+'5. Scenarios'!$C$10)*(INDEX(BookQ1,1479)*(5-MIN(4,1+'5. Scenarios'!$C$8))/4+INDEX(BookQ2,1479)*(5-MIN(4,2+'5. Scenarios'!$C$8))/4+INDEX(BookQ3,1479)*(5-MIN(4,3+'5. Scenarios'!$C$8))/4+INDEX(BookQ4,1479)*(5-MIN(4,4+'5. Scenarios'!$C$8))/4)*'5. Scenarios'!$C$6/(1+ProductivityDefault*('5. Scenarios'!$C$11-1))+INDEX(BookOneOff,1479)*$I1484)</f>
        <v/>
      </c>
      <c r="N1484" s="56" t="str">
        <f aca="false">IF(INDEX(BookTitle,1479)="","",INDEX(BookTotal,1479)*'5. Scenarios'!$D$6/(1+ProductivityDefault*('5. Scenarios'!$D$11-1)))</f>
        <v/>
      </c>
      <c r="O1484" s="57" t="str">
        <f aca="false">IF($N1484="","",INDEX(BookRate,1479)*(1+'5. Scenarios'!$D$10)*$N1484)</f>
        <v/>
      </c>
      <c r="P1484" s="57" t="str">
        <f aca="false">IF($O1484="","",SUMIFS($O$6:$O$2405,$A$6:$A$2405,"&lt;="&amp;$A1484))</f>
        <v/>
      </c>
      <c r="Q1484" s="57" t="str">
        <f aca="false">IF($O1484="","",IF($P1484&lt;=BankCostEnvelope*'5. Scenarios'!$D$7,1,0))</f>
        <v/>
      </c>
      <c r="R1484" s="57" t="str">
        <f aca="false">IF($N1484="","",INDEX(BookRate,1479)*(1+'5. Scenarios'!$D$10)*(INDEX(BookQ1,1479)*(5-MIN(4,1+'5. Scenarios'!$D$8))/4+INDEX(BookQ2,1479)*(5-MIN(4,2+'5. Scenarios'!$D$8))/4+INDEX(BookQ3,1479)*(5-MIN(4,3+'5. Scenarios'!$D$8))/4+INDEX(BookQ4,1479)*(5-MIN(4,4+'5. Scenarios'!$D$8))/4)*'5. Scenarios'!$D$6/(1+ProductivityDefault*('5. Scenarios'!$D$11-1))+INDEX(BookOneOff,1479)*$N1484)</f>
        <v/>
      </c>
      <c r="S1484" s="56" t="str">
        <f aca="false">IF(INDEX(BookTitle,1479)="","",INDEX(BookTotal,1479)*'5. Scenarios'!$E$6/(1+ProductivityDefault*('5. Scenarios'!$E$11-1)))</f>
        <v/>
      </c>
      <c r="T1484" s="57" t="str">
        <f aca="false">IF($S1484="","",INDEX(BookRate,1479)*(1+'5. Scenarios'!$E$10)*$S1484)</f>
        <v/>
      </c>
      <c r="U1484" s="57" t="str">
        <f aca="false">IF($T1484="","",SUMIFS($T$6:$T$2405,$A$6:$A$2405,"&lt;="&amp;$A1484))</f>
        <v/>
      </c>
      <c r="V1484" s="57" t="str">
        <f aca="false">IF($T1484="","",IF($U1484&lt;=BankCostEnvelope*'5. Scenarios'!$E$7,1,0))</f>
        <v/>
      </c>
      <c r="W1484" s="57" t="str">
        <f aca="false">IF($S1484="","",INDEX(BookRate,1479)*(1+'5. Scenarios'!$E$10)*(INDEX(BookQ1,1479)*(5-MIN(4,1+'5. Scenarios'!$E$8))/4+INDEX(BookQ2,1479)*(5-MIN(4,2+'5. Scenarios'!$E$8))/4+INDEX(BookQ3,1479)*(5-MIN(4,3+'5. Scenarios'!$E$8))/4+INDEX(BookQ4,1479)*(5-MIN(4,4+'5. Scenarios'!$E$8))/4)*'5. Scenarios'!$E$6/(1+ProductivityDefault*('5. Scenarios'!$E$11-1))+INDEX(BookOneOff,1479)*$S1484)</f>
        <v/>
      </c>
    </row>
    <row r="1485" customFormat="false" ht="15" hidden="false" customHeight="false" outlineLevel="0" collapsed="false">
      <c r="A1485" s="0" t="str">
        <f aca="false">IF(INDEX(BookTitle,1480)="","",INDEX(BookKey,1480))</f>
        <v/>
      </c>
      <c r="B1485" s="0" t="str">
        <f aca="false">IF(INDEX(BookTitle,1480)="","",INDEX(BookGroup,1480))</f>
        <v/>
      </c>
      <c r="C1485" s="0" t="str">
        <f aca="false">IF(INDEX(BookTitle,1480)="","",INDEX(BookCategory,1480))</f>
        <v/>
      </c>
      <c r="D1485" s="56" t="str">
        <f aca="false">IF(INDEX(BookTitle,1480)="","",INDEX(BookTotal,1480)*'5. Scenarios'!$B$6/(1+ProductivityDefault*('5. Scenarios'!$B$11-1)))</f>
        <v/>
      </c>
      <c r="E1485" s="57" t="str">
        <f aca="false">IF($D1485="","",INDEX(BookRate,1480)*(1+'5. Scenarios'!$B$10)*$D1485)</f>
        <v/>
      </c>
      <c r="F1485" s="57" t="str">
        <f aca="false">IF($E1485="","",SUMIFS($E$6:$E$2405,$A$6:$A$2405,"&lt;="&amp;$A1485))</f>
        <v/>
      </c>
      <c r="G1485" s="57" t="str">
        <f aca="false">IF($E1485="","",IF($F1485&lt;=BankCostEnvelope*'5. Scenarios'!$B$7,1,0))</f>
        <v/>
      </c>
      <c r="H1485" s="57" t="str">
        <f aca="false">IF($D1485="","",INDEX(BookRate,1480)*(1+'5. Scenarios'!$B$10)*(INDEX(BookQ1,1480)*(5-MIN(4,1+'5. Scenarios'!$B$8))/4+INDEX(BookQ2,1480)*(5-MIN(4,2+'5. Scenarios'!$B$8))/4+INDEX(BookQ3,1480)*(5-MIN(4,3+'5. Scenarios'!$B$8))/4+INDEX(BookQ4,1480)*(5-MIN(4,4+'5. Scenarios'!$B$8))/4)*'5. Scenarios'!$B$6/(1+ProductivityDefault*('5. Scenarios'!$B$11-1))+INDEX(BookOneOff,1480)*$D1485)</f>
        <v/>
      </c>
      <c r="I1485" s="56" t="str">
        <f aca="false">IF(INDEX(BookTitle,1480)="","",INDEX(BookTotal,1480)*'5. Scenarios'!$C$6/(1+ProductivityDefault*('5. Scenarios'!$C$11-1)))</f>
        <v/>
      </c>
      <c r="J1485" s="57" t="str">
        <f aca="false">IF($I1485="","",INDEX(BookRate,1480)*(1+'5. Scenarios'!$C$10)*$I1485)</f>
        <v/>
      </c>
      <c r="K1485" s="57" t="str">
        <f aca="false">IF($J1485="","",SUMIFS($J$6:$J$2405,$A$6:$A$2405,"&lt;="&amp;$A1485))</f>
        <v/>
      </c>
      <c r="L1485" s="57" t="str">
        <f aca="false">IF($J1485="","",IF($K1485&lt;=BankCostEnvelope*'5. Scenarios'!$C$7,1,0))</f>
        <v/>
      </c>
      <c r="M1485" s="57" t="str">
        <f aca="false">IF($I1485="","",INDEX(BookRate,1480)*(1+'5. Scenarios'!$C$10)*(INDEX(BookQ1,1480)*(5-MIN(4,1+'5. Scenarios'!$C$8))/4+INDEX(BookQ2,1480)*(5-MIN(4,2+'5. Scenarios'!$C$8))/4+INDEX(BookQ3,1480)*(5-MIN(4,3+'5. Scenarios'!$C$8))/4+INDEX(BookQ4,1480)*(5-MIN(4,4+'5. Scenarios'!$C$8))/4)*'5. Scenarios'!$C$6/(1+ProductivityDefault*('5. Scenarios'!$C$11-1))+INDEX(BookOneOff,1480)*$I1485)</f>
        <v/>
      </c>
      <c r="N1485" s="56" t="str">
        <f aca="false">IF(INDEX(BookTitle,1480)="","",INDEX(BookTotal,1480)*'5. Scenarios'!$D$6/(1+ProductivityDefault*('5. Scenarios'!$D$11-1)))</f>
        <v/>
      </c>
      <c r="O1485" s="57" t="str">
        <f aca="false">IF($N1485="","",INDEX(BookRate,1480)*(1+'5. Scenarios'!$D$10)*$N1485)</f>
        <v/>
      </c>
      <c r="P1485" s="57" t="str">
        <f aca="false">IF($O1485="","",SUMIFS($O$6:$O$2405,$A$6:$A$2405,"&lt;="&amp;$A1485))</f>
        <v/>
      </c>
      <c r="Q1485" s="57" t="str">
        <f aca="false">IF($O1485="","",IF($P1485&lt;=BankCostEnvelope*'5. Scenarios'!$D$7,1,0))</f>
        <v/>
      </c>
      <c r="R1485" s="57" t="str">
        <f aca="false">IF($N1485="","",INDEX(BookRate,1480)*(1+'5. Scenarios'!$D$10)*(INDEX(BookQ1,1480)*(5-MIN(4,1+'5. Scenarios'!$D$8))/4+INDEX(BookQ2,1480)*(5-MIN(4,2+'5. Scenarios'!$D$8))/4+INDEX(BookQ3,1480)*(5-MIN(4,3+'5. Scenarios'!$D$8))/4+INDEX(BookQ4,1480)*(5-MIN(4,4+'5. Scenarios'!$D$8))/4)*'5. Scenarios'!$D$6/(1+ProductivityDefault*('5. Scenarios'!$D$11-1))+INDEX(BookOneOff,1480)*$N1485)</f>
        <v/>
      </c>
      <c r="S1485" s="56" t="str">
        <f aca="false">IF(INDEX(BookTitle,1480)="","",INDEX(BookTotal,1480)*'5. Scenarios'!$E$6/(1+ProductivityDefault*('5. Scenarios'!$E$11-1)))</f>
        <v/>
      </c>
      <c r="T1485" s="57" t="str">
        <f aca="false">IF($S1485="","",INDEX(BookRate,1480)*(1+'5. Scenarios'!$E$10)*$S1485)</f>
        <v/>
      </c>
      <c r="U1485" s="57" t="str">
        <f aca="false">IF($T1485="","",SUMIFS($T$6:$T$2405,$A$6:$A$2405,"&lt;="&amp;$A1485))</f>
        <v/>
      </c>
      <c r="V1485" s="57" t="str">
        <f aca="false">IF($T1485="","",IF($U1485&lt;=BankCostEnvelope*'5. Scenarios'!$E$7,1,0))</f>
        <v/>
      </c>
      <c r="W1485" s="57" t="str">
        <f aca="false">IF($S1485="","",INDEX(BookRate,1480)*(1+'5. Scenarios'!$E$10)*(INDEX(BookQ1,1480)*(5-MIN(4,1+'5. Scenarios'!$E$8))/4+INDEX(BookQ2,1480)*(5-MIN(4,2+'5. Scenarios'!$E$8))/4+INDEX(BookQ3,1480)*(5-MIN(4,3+'5. Scenarios'!$E$8))/4+INDEX(BookQ4,1480)*(5-MIN(4,4+'5. Scenarios'!$E$8))/4)*'5. Scenarios'!$E$6/(1+ProductivityDefault*('5. Scenarios'!$E$11-1))+INDEX(BookOneOff,1480)*$S1485)</f>
        <v/>
      </c>
    </row>
    <row r="1486" customFormat="false" ht="15" hidden="false" customHeight="false" outlineLevel="0" collapsed="false">
      <c r="A1486" s="0" t="str">
        <f aca="false">IF(INDEX(BookTitle,1481)="","",INDEX(BookKey,1481))</f>
        <v/>
      </c>
      <c r="B1486" s="0" t="str">
        <f aca="false">IF(INDEX(BookTitle,1481)="","",INDEX(BookGroup,1481))</f>
        <v/>
      </c>
      <c r="C1486" s="0" t="str">
        <f aca="false">IF(INDEX(BookTitle,1481)="","",INDEX(BookCategory,1481))</f>
        <v/>
      </c>
      <c r="D1486" s="56" t="str">
        <f aca="false">IF(INDEX(BookTitle,1481)="","",INDEX(BookTotal,1481)*'5. Scenarios'!$B$6/(1+ProductivityDefault*('5. Scenarios'!$B$11-1)))</f>
        <v/>
      </c>
      <c r="E1486" s="57" t="str">
        <f aca="false">IF($D1486="","",INDEX(BookRate,1481)*(1+'5. Scenarios'!$B$10)*$D1486)</f>
        <v/>
      </c>
      <c r="F1486" s="57" t="str">
        <f aca="false">IF($E1486="","",SUMIFS($E$6:$E$2405,$A$6:$A$2405,"&lt;="&amp;$A1486))</f>
        <v/>
      </c>
      <c r="G1486" s="57" t="str">
        <f aca="false">IF($E1486="","",IF($F1486&lt;=BankCostEnvelope*'5. Scenarios'!$B$7,1,0))</f>
        <v/>
      </c>
      <c r="H1486" s="57" t="str">
        <f aca="false">IF($D1486="","",INDEX(BookRate,1481)*(1+'5. Scenarios'!$B$10)*(INDEX(BookQ1,1481)*(5-MIN(4,1+'5. Scenarios'!$B$8))/4+INDEX(BookQ2,1481)*(5-MIN(4,2+'5. Scenarios'!$B$8))/4+INDEX(BookQ3,1481)*(5-MIN(4,3+'5. Scenarios'!$B$8))/4+INDEX(BookQ4,1481)*(5-MIN(4,4+'5. Scenarios'!$B$8))/4)*'5. Scenarios'!$B$6/(1+ProductivityDefault*('5. Scenarios'!$B$11-1))+INDEX(BookOneOff,1481)*$D1486)</f>
        <v/>
      </c>
      <c r="I1486" s="56" t="str">
        <f aca="false">IF(INDEX(BookTitle,1481)="","",INDEX(BookTotal,1481)*'5. Scenarios'!$C$6/(1+ProductivityDefault*('5. Scenarios'!$C$11-1)))</f>
        <v/>
      </c>
      <c r="J1486" s="57" t="str">
        <f aca="false">IF($I1486="","",INDEX(BookRate,1481)*(1+'5. Scenarios'!$C$10)*$I1486)</f>
        <v/>
      </c>
      <c r="K1486" s="57" t="str">
        <f aca="false">IF($J1486="","",SUMIFS($J$6:$J$2405,$A$6:$A$2405,"&lt;="&amp;$A1486))</f>
        <v/>
      </c>
      <c r="L1486" s="57" t="str">
        <f aca="false">IF($J1486="","",IF($K1486&lt;=BankCostEnvelope*'5. Scenarios'!$C$7,1,0))</f>
        <v/>
      </c>
      <c r="M1486" s="57" t="str">
        <f aca="false">IF($I1486="","",INDEX(BookRate,1481)*(1+'5. Scenarios'!$C$10)*(INDEX(BookQ1,1481)*(5-MIN(4,1+'5. Scenarios'!$C$8))/4+INDEX(BookQ2,1481)*(5-MIN(4,2+'5. Scenarios'!$C$8))/4+INDEX(BookQ3,1481)*(5-MIN(4,3+'5. Scenarios'!$C$8))/4+INDEX(BookQ4,1481)*(5-MIN(4,4+'5. Scenarios'!$C$8))/4)*'5. Scenarios'!$C$6/(1+ProductivityDefault*('5. Scenarios'!$C$11-1))+INDEX(BookOneOff,1481)*$I1486)</f>
        <v/>
      </c>
      <c r="N1486" s="56" t="str">
        <f aca="false">IF(INDEX(BookTitle,1481)="","",INDEX(BookTotal,1481)*'5. Scenarios'!$D$6/(1+ProductivityDefault*('5. Scenarios'!$D$11-1)))</f>
        <v/>
      </c>
      <c r="O1486" s="57" t="str">
        <f aca="false">IF($N1486="","",INDEX(BookRate,1481)*(1+'5. Scenarios'!$D$10)*$N1486)</f>
        <v/>
      </c>
      <c r="P1486" s="57" t="str">
        <f aca="false">IF($O1486="","",SUMIFS($O$6:$O$2405,$A$6:$A$2405,"&lt;="&amp;$A1486))</f>
        <v/>
      </c>
      <c r="Q1486" s="57" t="str">
        <f aca="false">IF($O1486="","",IF($P1486&lt;=BankCostEnvelope*'5. Scenarios'!$D$7,1,0))</f>
        <v/>
      </c>
      <c r="R1486" s="57" t="str">
        <f aca="false">IF($N1486="","",INDEX(BookRate,1481)*(1+'5. Scenarios'!$D$10)*(INDEX(BookQ1,1481)*(5-MIN(4,1+'5. Scenarios'!$D$8))/4+INDEX(BookQ2,1481)*(5-MIN(4,2+'5. Scenarios'!$D$8))/4+INDEX(BookQ3,1481)*(5-MIN(4,3+'5. Scenarios'!$D$8))/4+INDEX(BookQ4,1481)*(5-MIN(4,4+'5. Scenarios'!$D$8))/4)*'5. Scenarios'!$D$6/(1+ProductivityDefault*('5. Scenarios'!$D$11-1))+INDEX(BookOneOff,1481)*$N1486)</f>
        <v/>
      </c>
      <c r="S1486" s="56" t="str">
        <f aca="false">IF(INDEX(BookTitle,1481)="","",INDEX(BookTotal,1481)*'5. Scenarios'!$E$6/(1+ProductivityDefault*('5. Scenarios'!$E$11-1)))</f>
        <v/>
      </c>
      <c r="T1486" s="57" t="str">
        <f aca="false">IF($S1486="","",INDEX(BookRate,1481)*(1+'5. Scenarios'!$E$10)*$S1486)</f>
        <v/>
      </c>
      <c r="U1486" s="57" t="str">
        <f aca="false">IF($T1486="","",SUMIFS($T$6:$T$2405,$A$6:$A$2405,"&lt;="&amp;$A1486))</f>
        <v/>
      </c>
      <c r="V1486" s="57" t="str">
        <f aca="false">IF($T1486="","",IF($U1486&lt;=BankCostEnvelope*'5. Scenarios'!$E$7,1,0))</f>
        <v/>
      </c>
      <c r="W1486" s="57" t="str">
        <f aca="false">IF($S1486="","",INDEX(BookRate,1481)*(1+'5. Scenarios'!$E$10)*(INDEX(BookQ1,1481)*(5-MIN(4,1+'5. Scenarios'!$E$8))/4+INDEX(BookQ2,1481)*(5-MIN(4,2+'5. Scenarios'!$E$8))/4+INDEX(BookQ3,1481)*(5-MIN(4,3+'5. Scenarios'!$E$8))/4+INDEX(BookQ4,1481)*(5-MIN(4,4+'5. Scenarios'!$E$8))/4)*'5. Scenarios'!$E$6/(1+ProductivityDefault*('5. Scenarios'!$E$11-1))+INDEX(BookOneOff,1481)*$S1486)</f>
        <v/>
      </c>
    </row>
    <row r="1487" customFormat="false" ht="15" hidden="false" customHeight="false" outlineLevel="0" collapsed="false">
      <c r="A1487" s="0" t="str">
        <f aca="false">IF(INDEX(BookTitle,1482)="","",INDEX(BookKey,1482))</f>
        <v/>
      </c>
      <c r="B1487" s="0" t="str">
        <f aca="false">IF(INDEX(BookTitle,1482)="","",INDEX(BookGroup,1482))</f>
        <v/>
      </c>
      <c r="C1487" s="0" t="str">
        <f aca="false">IF(INDEX(BookTitle,1482)="","",INDEX(BookCategory,1482))</f>
        <v/>
      </c>
      <c r="D1487" s="56" t="str">
        <f aca="false">IF(INDEX(BookTitle,1482)="","",INDEX(BookTotal,1482)*'5. Scenarios'!$B$6/(1+ProductivityDefault*('5. Scenarios'!$B$11-1)))</f>
        <v/>
      </c>
      <c r="E1487" s="57" t="str">
        <f aca="false">IF($D1487="","",INDEX(BookRate,1482)*(1+'5. Scenarios'!$B$10)*$D1487)</f>
        <v/>
      </c>
      <c r="F1487" s="57" t="str">
        <f aca="false">IF($E1487="","",SUMIFS($E$6:$E$2405,$A$6:$A$2405,"&lt;="&amp;$A1487))</f>
        <v/>
      </c>
      <c r="G1487" s="57" t="str">
        <f aca="false">IF($E1487="","",IF($F1487&lt;=BankCostEnvelope*'5. Scenarios'!$B$7,1,0))</f>
        <v/>
      </c>
      <c r="H1487" s="57" t="str">
        <f aca="false">IF($D1487="","",INDEX(BookRate,1482)*(1+'5. Scenarios'!$B$10)*(INDEX(BookQ1,1482)*(5-MIN(4,1+'5. Scenarios'!$B$8))/4+INDEX(BookQ2,1482)*(5-MIN(4,2+'5. Scenarios'!$B$8))/4+INDEX(BookQ3,1482)*(5-MIN(4,3+'5. Scenarios'!$B$8))/4+INDEX(BookQ4,1482)*(5-MIN(4,4+'5. Scenarios'!$B$8))/4)*'5. Scenarios'!$B$6/(1+ProductivityDefault*('5. Scenarios'!$B$11-1))+INDEX(BookOneOff,1482)*$D1487)</f>
        <v/>
      </c>
      <c r="I1487" s="56" t="str">
        <f aca="false">IF(INDEX(BookTitle,1482)="","",INDEX(BookTotal,1482)*'5. Scenarios'!$C$6/(1+ProductivityDefault*('5. Scenarios'!$C$11-1)))</f>
        <v/>
      </c>
      <c r="J1487" s="57" t="str">
        <f aca="false">IF($I1487="","",INDEX(BookRate,1482)*(1+'5. Scenarios'!$C$10)*$I1487)</f>
        <v/>
      </c>
      <c r="K1487" s="57" t="str">
        <f aca="false">IF($J1487="","",SUMIFS($J$6:$J$2405,$A$6:$A$2405,"&lt;="&amp;$A1487))</f>
        <v/>
      </c>
      <c r="L1487" s="57" t="str">
        <f aca="false">IF($J1487="","",IF($K1487&lt;=BankCostEnvelope*'5. Scenarios'!$C$7,1,0))</f>
        <v/>
      </c>
      <c r="M1487" s="57" t="str">
        <f aca="false">IF($I1487="","",INDEX(BookRate,1482)*(1+'5. Scenarios'!$C$10)*(INDEX(BookQ1,1482)*(5-MIN(4,1+'5. Scenarios'!$C$8))/4+INDEX(BookQ2,1482)*(5-MIN(4,2+'5. Scenarios'!$C$8))/4+INDEX(BookQ3,1482)*(5-MIN(4,3+'5. Scenarios'!$C$8))/4+INDEX(BookQ4,1482)*(5-MIN(4,4+'5. Scenarios'!$C$8))/4)*'5. Scenarios'!$C$6/(1+ProductivityDefault*('5. Scenarios'!$C$11-1))+INDEX(BookOneOff,1482)*$I1487)</f>
        <v/>
      </c>
      <c r="N1487" s="56" t="str">
        <f aca="false">IF(INDEX(BookTitle,1482)="","",INDEX(BookTotal,1482)*'5. Scenarios'!$D$6/(1+ProductivityDefault*('5. Scenarios'!$D$11-1)))</f>
        <v/>
      </c>
      <c r="O1487" s="57" t="str">
        <f aca="false">IF($N1487="","",INDEX(BookRate,1482)*(1+'5. Scenarios'!$D$10)*$N1487)</f>
        <v/>
      </c>
      <c r="P1487" s="57" t="str">
        <f aca="false">IF($O1487="","",SUMIFS($O$6:$O$2405,$A$6:$A$2405,"&lt;="&amp;$A1487))</f>
        <v/>
      </c>
      <c r="Q1487" s="57" t="str">
        <f aca="false">IF($O1487="","",IF($P1487&lt;=BankCostEnvelope*'5. Scenarios'!$D$7,1,0))</f>
        <v/>
      </c>
      <c r="R1487" s="57" t="str">
        <f aca="false">IF($N1487="","",INDEX(BookRate,1482)*(1+'5. Scenarios'!$D$10)*(INDEX(BookQ1,1482)*(5-MIN(4,1+'5. Scenarios'!$D$8))/4+INDEX(BookQ2,1482)*(5-MIN(4,2+'5. Scenarios'!$D$8))/4+INDEX(BookQ3,1482)*(5-MIN(4,3+'5. Scenarios'!$D$8))/4+INDEX(BookQ4,1482)*(5-MIN(4,4+'5. Scenarios'!$D$8))/4)*'5. Scenarios'!$D$6/(1+ProductivityDefault*('5. Scenarios'!$D$11-1))+INDEX(BookOneOff,1482)*$N1487)</f>
        <v/>
      </c>
      <c r="S1487" s="56" t="str">
        <f aca="false">IF(INDEX(BookTitle,1482)="","",INDEX(BookTotal,1482)*'5. Scenarios'!$E$6/(1+ProductivityDefault*('5. Scenarios'!$E$11-1)))</f>
        <v/>
      </c>
      <c r="T1487" s="57" t="str">
        <f aca="false">IF($S1487="","",INDEX(BookRate,1482)*(1+'5. Scenarios'!$E$10)*$S1487)</f>
        <v/>
      </c>
      <c r="U1487" s="57" t="str">
        <f aca="false">IF($T1487="","",SUMIFS($T$6:$T$2405,$A$6:$A$2405,"&lt;="&amp;$A1487))</f>
        <v/>
      </c>
      <c r="V1487" s="57" t="str">
        <f aca="false">IF($T1487="","",IF($U1487&lt;=BankCostEnvelope*'5. Scenarios'!$E$7,1,0))</f>
        <v/>
      </c>
      <c r="W1487" s="57" t="str">
        <f aca="false">IF($S1487="","",INDEX(BookRate,1482)*(1+'5. Scenarios'!$E$10)*(INDEX(BookQ1,1482)*(5-MIN(4,1+'5. Scenarios'!$E$8))/4+INDEX(BookQ2,1482)*(5-MIN(4,2+'5. Scenarios'!$E$8))/4+INDEX(BookQ3,1482)*(5-MIN(4,3+'5. Scenarios'!$E$8))/4+INDEX(BookQ4,1482)*(5-MIN(4,4+'5. Scenarios'!$E$8))/4)*'5. Scenarios'!$E$6/(1+ProductivityDefault*('5. Scenarios'!$E$11-1))+INDEX(BookOneOff,1482)*$S1487)</f>
        <v/>
      </c>
    </row>
    <row r="1488" customFormat="false" ht="15" hidden="false" customHeight="false" outlineLevel="0" collapsed="false">
      <c r="A1488" s="0" t="str">
        <f aca="false">IF(INDEX(BookTitle,1483)="","",INDEX(BookKey,1483))</f>
        <v/>
      </c>
      <c r="B1488" s="0" t="str">
        <f aca="false">IF(INDEX(BookTitle,1483)="","",INDEX(BookGroup,1483))</f>
        <v/>
      </c>
      <c r="C1488" s="0" t="str">
        <f aca="false">IF(INDEX(BookTitle,1483)="","",INDEX(BookCategory,1483))</f>
        <v/>
      </c>
      <c r="D1488" s="56" t="str">
        <f aca="false">IF(INDEX(BookTitle,1483)="","",INDEX(BookTotal,1483)*'5. Scenarios'!$B$6/(1+ProductivityDefault*('5. Scenarios'!$B$11-1)))</f>
        <v/>
      </c>
      <c r="E1488" s="57" t="str">
        <f aca="false">IF($D1488="","",INDEX(BookRate,1483)*(1+'5. Scenarios'!$B$10)*$D1488)</f>
        <v/>
      </c>
      <c r="F1488" s="57" t="str">
        <f aca="false">IF($E1488="","",SUMIFS($E$6:$E$2405,$A$6:$A$2405,"&lt;="&amp;$A1488))</f>
        <v/>
      </c>
      <c r="G1488" s="57" t="str">
        <f aca="false">IF($E1488="","",IF($F1488&lt;=BankCostEnvelope*'5. Scenarios'!$B$7,1,0))</f>
        <v/>
      </c>
      <c r="H1488" s="57" t="str">
        <f aca="false">IF($D1488="","",INDEX(BookRate,1483)*(1+'5. Scenarios'!$B$10)*(INDEX(BookQ1,1483)*(5-MIN(4,1+'5. Scenarios'!$B$8))/4+INDEX(BookQ2,1483)*(5-MIN(4,2+'5. Scenarios'!$B$8))/4+INDEX(BookQ3,1483)*(5-MIN(4,3+'5. Scenarios'!$B$8))/4+INDEX(BookQ4,1483)*(5-MIN(4,4+'5. Scenarios'!$B$8))/4)*'5. Scenarios'!$B$6/(1+ProductivityDefault*('5. Scenarios'!$B$11-1))+INDEX(BookOneOff,1483)*$D1488)</f>
        <v/>
      </c>
      <c r="I1488" s="56" t="str">
        <f aca="false">IF(INDEX(BookTitle,1483)="","",INDEX(BookTotal,1483)*'5. Scenarios'!$C$6/(1+ProductivityDefault*('5. Scenarios'!$C$11-1)))</f>
        <v/>
      </c>
      <c r="J1488" s="57" t="str">
        <f aca="false">IF($I1488="","",INDEX(BookRate,1483)*(1+'5. Scenarios'!$C$10)*$I1488)</f>
        <v/>
      </c>
      <c r="K1488" s="57" t="str">
        <f aca="false">IF($J1488="","",SUMIFS($J$6:$J$2405,$A$6:$A$2405,"&lt;="&amp;$A1488))</f>
        <v/>
      </c>
      <c r="L1488" s="57" t="str">
        <f aca="false">IF($J1488="","",IF($K1488&lt;=BankCostEnvelope*'5. Scenarios'!$C$7,1,0))</f>
        <v/>
      </c>
      <c r="M1488" s="57" t="str">
        <f aca="false">IF($I1488="","",INDEX(BookRate,1483)*(1+'5. Scenarios'!$C$10)*(INDEX(BookQ1,1483)*(5-MIN(4,1+'5. Scenarios'!$C$8))/4+INDEX(BookQ2,1483)*(5-MIN(4,2+'5. Scenarios'!$C$8))/4+INDEX(BookQ3,1483)*(5-MIN(4,3+'5. Scenarios'!$C$8))/4+INDEX(BookQ4,1483)*(5-MIN(4,4+'5. Scenarios'!$C$8))/4)*'5. Scenarios'!$C$6/(1+ProductivityDefault*('5. Scenarios'!$C$11-1))+INDEX(BookOneOff,1483)*$I1488)</f>
        <v/>
      </c>
      <c r="N1488" s="56" t="str">
        <f aca="false">IF(INDEX(BookTitle,1483)="","",INDEX(BookTotal,1483)*'5. Scenarios'!$D$6/(1+ProductivityDefault*('5. Scenarios'!$D$11-1)))</f>
        <v/>
      </c>
      <c r="O1488" s="57" t="str">
        <f aca="false">IF($N1488="","",INDEX(BookRate,1483)*(1+'5. Scenarios'!$D$10)*$N1488)</f>
        <v/>
      </c>
      <c r="P1488" s="57" t="str">
        <f aca="false">IF($O1488="","",SUMIFS($O$6:$O$2405,$A$6:$A$2405,"&lt;="&amp;$A1488))</f>
        <v/>
      </c>
      <c r="Q1488" s="57" t="str">
        <f aca="false">IF($O1488="","",IF($P1488&lt;=BankCostEnvelope*'5. Scenarios'!$D$7,1,0))</f>
        <v/>
      </c>
      <c r="R1488" s="57" t="str">
        <f aca="false">IF($N1488="","",INDEX(BookRate,1483)*(1+'5. Scenarios'!$D$10)*(INDEX(BookQ1,1483)*(5-MIN(4,1+'5. Scenarios'!$D$8))/4+INDEX(BookQ2,1483)*(5-MIN(4,2+'5. Scenarios'!$D$8))/4+INDEX(BookQ3,1483)*(5-MIN(4,3+'5. Scenarios'!$D$8))/4+INDEX(BookQ4,1483)*(5-MIN(4,4+'5. Scenarios'!$D$8))/4)*'5. Scenarios'!$D$6/(1+ProductivityDefault*('5. Scenarios'!$D$11-1))+INDEX(BookOneOff,1483)*$N1488)</f>
        <v/>
      </c>
      <c r="S1488" s="56" t="str">
        <f aca="false">IF(INDEX(BookTitle,1483)="","",INDEX(BookTotal,1483)*'5. Scenarios'!$E$6/(1+ProductivityDefault*('5. Scenarios'!$E$11-1)))</f>
        <v/>
      </c>
      <c r="T1488" s="57" t="str">
        <f aca="false">IF($S1488="","",INDEX(BookRate,1483)*(1+'5. Scenarios'!$E$10)*$S1488)</f>
        <v/>
      </c>
      <c r="U1488" s="57" t="str">
        <f aca="false">IF($T1488="","",SUMIFS($T$6:$T$2405,$A$6:$A$2405,"&lt;="&amp;$A1488))</f>
        <v/>
      </c>
      <c r="V1488" s="57" t="str">
        <f aca="false">IF($T1488="","",IF($U1488&lt;=BankCostEnvelope*'5. Scenarios'!$E$7,1,0))</f>
        <v/>
      </c>
      <c r="W1488" s="57" t="str">
        <f aca="false">IF($S1488="","",INDEX(BookRate,1483)*(1+'5. Scenarios'!$E$10)*(INDEX(BookQ1,1483)*(5-MIN(4,1+'5. Scenarios'!$E$8))/4+INDEX(BookQ2,1483)*(5-MIN(4,2+'5. Scenarios'!$E$8))/4+INDEX(BookQ3,1483)*(5-MIN(4,3+'5. Scenarios'!$E$8))/4+INDEX(BookQ4,1483)*(5-MIN(4,4+'5. Scenarios'!$E$8))/4)*'5. Scenarios'!$E$6/(1+ProductivityDefault*('5. Scenarios'!$E$11-1))+INDEX(BookOneOff,1483)*$S1488)</f>
        <v/>
      </c>
    </row>
    <row r="1489" customFormat="false" ht="15" hidden="false" customHeight="false" outlineLevel="0" collapsed="false">
      <c r="A1489" s="0" t="str">
        <f aca="false">IF(INDEX(BookTitle,1484)="","",INDEX(BookKey,1484))</f>
        <v/>
      </c>
      <c r="B1489" s="0" t="str">
        <f aca="false">IF(INDEX(BookTitle,1484)="","",INDEX(BookGroup,1484))</f>
        <v/>
      </c>
      <c r="C1489" s="0" t="str">
        <f aca="false">IF(INDEX(BookTitle,1484)="","",INDEX(BookCategory,1484))</f>
        <v/>
      </c>
      <c r="D1489" s="56" t="str">
        <f aca="false">IF(INDEX(BookTitle,1484)="","",INDEX(BookTotal,1484)*'5. Scenarios'!$B$6/(1+ProductivityDefault*('5. Scenarios'!$B$11-1)))</f>
        <v/>
      </c>
      <c r="E1489" s="57" t="str">
        <f aca="false">IF($D1489="","",INDEX(BookRate,1484)*(1+'5. Scenarios'!$B$10)*$D1489)</f>
        <v/>
      </c>
      <c r="F1489" s="57" t="str">
        <f aca="false">IF($E1489="","",SUMIFS($E$6:$E$2405,$A$6:$A$2405,"&lt;="&amp;$A1489))</f>
        <v/>
      </c>
      <c r="G1489" s="57" t="str">
        <f aca="false">IF($E1489="","",IF($F1489&lt;=BankCostEnvelope*'5. Scenarios'!$B$7,1,0))</f>
        <v/>
      </c>
      <c r="H1489" s="57" t="str">
        <f aca="false">IF($D1489="","",INDEX(BookRate,1484)*(1+'5. Scenarios'!$B$10)*(INDEX(BookQ1,1484)*(5-MIN(4,1+'5. Scenarios'!$B$8))/4+INDEX(BookQ2,1484)*(5-MIN(4,2+'5. Scenarios'!$B$8))/4+INDEX(BookQ3,1484)*(5-MIN(4,3+'5. Scenarios'!$B$8))/4+INDEX(BookQ4,1484)*(5-MIN(4,4+'5. Scenarios'!$B$8))/4)*'5. Scenarios'!$B$6/(1+ProductivityDefault*('5. Scenarios'!$B$11-1))+INDEX(BookOneOff,1484)*$D1489)</f>
        <v/>
      </c>
      <c r="I1489" s="56" t="str">
        <f aca="false">IF(INDEX(BookTitle,1484)="","",INDEX(BookTotal,1484)*'5. Scenarios'!$C$6/(1+ProductivityDefault*('5. Scenarios'!$C$11-1)))</f>
        <v/>
      </c>
      <c r="J1489" s="57" t="str">
        <f aca="false">IF($I1489="","",INDEX(BookRate,1484)*(1+'5. Scenarios'!$C$10)*$I1489)</f>
        <v/>
      </c>
      <c r="K1489" s="57" t="str">
        <f aca="false">IF($J1489="","",SUMIFS($J$6:$J$2405,$A$6:$A$2405,"&lt;="&amp;$A1489))</f>
        <v/>
      </c>
      <c r="L1489" s="57" t="str">
        <f aca="false">IF($J1489="","",IF($K1489&lt;=BankCostEnvelope*'5. Scenarios'!$C$7,1,0))</f>
        <v/>
      </c>
      <c r="M1489" s="57" t="str">
        <f aca="false">IF($I1489="","",INDEX(BookRate,1484)*(1+'5. Scenarios'!$C$10)*(INDEX(BookQ1,1484)*(5-MIN(4,1+'5. Scenarios'!$C$8))/4+INDEX(BookQ2,1484)*(5-MIN(4,2+'5. Scenarios'!$C$8))/4+INDEX(BookQ3,1484)*(5-MIN(4,3+'5. Scenarios'!$C$8))/4+INDEX(BookQ4,1484)*(5-MIN(4,4+'5. Scenarios'!$C$8))/4)*'5. Scenarios'!$C$6/(1+ProductivityDefault*('5. Scenarios'!$C$11-1))+INDEX(BookOneOff,1484)*$I1489)</f>
        <v/>
      </c>
      <c r="N1489" s="56" t="str">
        <f aca="false">IF(INDEX(BookTitle,1484)="","",INDEX(BookTotal,1484)*'5. Scenarios'!$D$6/(1+ProductivityDefault*('5. Scenarios'!$D$11-1)))</f>
        <v/>
      </c>
      <c r="O1489" s="57" t="str">
        <f aca="false">IF($N1489="","",INDEX(BookRate,1484)*(1+'5. Scenarios'!$D$10)*$N1489)</f>
        <v/>
      </c>
      <c r="P1489" s="57" t="str">
        <f aca="false">IF($O1489="","",SUMIFS($O$6:$O$2405,$A$6:$A$2405,"&lt;="&amp;$A1489))</f>
        <v/>
      </c>
      <c r="Q1489" s="57" t="str">
        <f aca="false">IF($O1489="","",IF($P1489&lt;=BankCostEnvelope*'5. Scenarios'!$D$7,1,0))</f>
        <v/>
      </c>
      <c r="R1489" s="57" t="str">
        <f aca="false">IF($N1489="","",INDEX(BookRate,1484)*(1+'5. Scenarios'!$D$10)*(INDEX(BookQ1,1484)*(5-MIN(4,1+'5. Scenarios'!$D$8))/4+INDEX(BookQ2,1484)*(5-MIN(4,2+'5. Scenarios'!$D$8))/4+INDEX(BookQ3,1484)*(5-MIN(4,3+'5. Scenarios'!$D$8))/4+INDEX(BookQ4,1484)*(5-MIN(4,4+'5. Scenarios'!$D$8))/4)*'5. Scenarios'!$D$6/(1+ProductivityDefault*('5. Scenarios'!$D$11-1))+INDEX(BookOneOff,1484)*$N1489)</f>
        <v/>
      </c>
      <c r="S1489" s="56" t="str">
        <f aca="false">IF(INDEX(BookTitle,1484)="","",INDEX(BookTotal,1484)*'5. Scenarios'!$E$6/(1+ProductivityDefault*('5. Scenarios'!$E$11-1)))</f>
        <v/>
      </c>
      <c r="T1489" s="57" t="str">
        <f aca="false">IF($S1489="","",INDEX(BookRate,1484)*(1+'5. Scenarios'!$E$10)*$S1489)</f>
        <v/>
      </c>
      <c r="U1489" s="57" t="str">
        <f aca="false">IF($T1489="","",SUMIFS($T$6:$T$2405,$A$6:$A$2405,"&lt;="&amp;$A1489))</f>
        <v/>
      </c>
      <c r="V1489" s="57" t="str">
        <f aca="false">IF($T1489="","",IF($U1489&lt;=BankCostEnvelope*'5. Scenarios'!$E$7,1,0))</f>
        <v/>
      </c>
      <c r="W1489" s="57" t="str">
        <f aca="false">IF($S1489="","",INDEX(BookRate,1484)*(1+'5. Scenarios'!$E$10)*(INDEX(BookQ1,1484)*(5-MIN(4,1+'5. Scenarios'!$E$8))/4+INDEX(BookQ2,1484)*(5-MIN(4,2+'5. Scenarios'!$E$8))/4+INDEX(BookQ3,1484)*(5-MIN(4,3+'5. Scenarios'!$E$8))/4+INDEX(BookQ4,1484)*(5-MIN(4,4+'5. Scenarios'!$E$8))/4)*'5. Scenarios'!$E$6/(1+ProductivityDefault*('5. Scenarios'!$E$11-1))+INDEX(BookOneOff,1484)*$S1489)</f>
        <v/>
      </c>
    </row>
    <row r="1490" customFormat="false" ht="15" hidden="false" customHeight="false" outlineLevel="0" collapsed="false">
      <c r="A1490" s="0" t="str">
        <f aca="false">IF(INDEX(BookTitle,1485)="","",INDEX(BookKey,1485))</f>
        <v/>
      </c>
      <c r="B1490" s="0" t="str">
        <f aca="false">IF(INDEX(BookTitle,1485)="","",INDEX(BookGroup,1485))</f>
        <v/>
      </c>
      <c r="C1490" s="0" t="str">
        <f aca="false">IF(INDEX(BookTitle,1485)="","",INDEX(BookCategory,1485))</f>
        <v/>
      </c>
      <c r="D1490" s="56" t="str">
        <f aca="false">IF(INDEX(BookTitle,1485)="","",INDEX(BookTotal,1485)*'5. Scenarios'!$B$6/(1+ProductivityDefault*('5. Scenarios'!$B$11-1)))</f>
        <v/>
      </c>
      <c r="E1490" s="57" t="str">
        <f aca="false">IF($D1490="","",INDEX(BookRate,1485)*(1+'5. Scenarios'!$B$10)*$D1490)</f>
        <v/>
      </c>
      <c r="F1490" s="57" t="str">
        <f aca="false">IF($E1490="","",SUMIFS($E$6:$E$2405,$A$6:$A$2405,"&lt;="&amp;$A1490))</f>
        <v/>
      </c>
      <c r="G1490" s="57" t="str">
        <f aca="false">IF($E1490="","",IF($F1490&lt;=BankCostEnvelope*'5. Scenarios'!$B$7,1,0))</f>
        <v/>
      </c>
      <c r="H1490" s="57" t="str">
        <f aca="false">IF($D1490="","",INDEX(BookRate,1485)*(1+'5. Scenarios'!$B$10)*(INDEX(BookQ1,1485)*(5-MIN(4,1+'5. Scenarios'!$B$8))/4+INDEX(BookQ2,1485)*(5-MIN(4,2+'5. Scenarios'!$B$8))/4+INDEX(BookQ3,1485)*(5-MIN(4,3+'5. Scenarios'!$B$8))/4+INDEX(BookQ4,1485)*(5-MIN(4,4+'5. Scenarios'!$B$8))/4)*'5. Scenarios'!$B$6/(1+ProductivityDefault*('5. Scenarios'!$B$11-1))+INDEX(BookOneOff,1485)*$D1490)</f>
        <v/>
      </c>
      <c r="I1490" s="56" t="str">
        <f aca="false">IF(INDEX(BookTitle,1485)="","",INDEX(BookTotal,1485)*'5. Scenarios'!$C$6/(1+ProductivityDefault*('5. Scenarios'!$C$11-1)))</f>
        <v/>
      </c>
      <c r="J1490" s="57" t="str">
        <f aca="false">IF($I1490="","",INDEX(BookRate,1485)*(1+'5. Scenarios'!$C$10)*$I1490)</f>
        <v/>
      </c>
      <c r="K1490" s="57" t="str">
        <f aca="false">IF($J1490="","",SUMIFS($J$6:$J$2405,$A$6:$A$2405,"&lt;="&amp;$A1490))</f>
        <v/>
      </c>
      <c r="L1490" s="57" t="str">
        <f aca="false">IF($J1490="","",IF($K1490&lt;=BankCostEnvelope*'5. Scenarios'!$C$7,1,0))</f>
        <v/>
      </c>
      <c r="M1490" s="57" t="str">
        <f aca="false">IF($I1490="","",INDEX(BookRate,1485)*(1+'5. Scenarios'!$C$10)*(INDEX(BookQ1,1485)*(5-MIN(4,1+'5. Scenarios'!$C$8))/4+INDEX(BookQ2,1485)*(5-MIN(4,2+'5. Scenarios'!$C$8))/4+INDEX(BookQ3,1485)*(5-MIN(4,3+'5. Scenarios'!$C$8))/4+INDEX(BookQ4,1485)*(5-MIN(4,4+'5. Scenarios'!$C$8))/4)*'5. Scenarios'!$C$6/(1+ProductivityDefault*('5. Scenarios'!$C$11-1))+INDEX(BookOneOff,1485)*$I1490)</f>
        <v/>
      </c>
      <c r="N1490" s="56" t="str">
        <f aca="false">IF(INDEX(BookTitle,1485)="","",INDEX(BookTotal,1485)*'5. Scenarios'!$D$6/(1+ProductivityDefault*('5. Scenarios'!$D$11-1)))</f>
        <v/>
      </c>
      <c r="O1490" s="57" t="str">
        <f aca="false">IF($N1490="","",INDEX(BookRate,1485)*(1+'5. Scenarios'!$D$10)*$N1490)</f>
        <v/>
      </c>
      <c r="P1490" s="57" t="str">
        <f aca="false">IF($O1490="","",SUMIFS($O$6:$O$2405,$A$6:$A$2405,"&lt;="&amp;$A1490))</f>
        <v/>
      </c>
      <c r="Q1490" s="57" t="str">
        <f aca="false">IF($O1490="","",IF($P1490&lt;=BankCostEnvelope*'5. Scenarios'!$D$7,1,0))</f>
        <v/>
      </c>
      <c r="R1490" s="57" t="str">
        <f aca="false">IF($N1490="","",INDEX(BookRate,1485)*(1+'5. Scenarios'!$D$10)*(INDEX(BookQ1,1485)*(5-MIN(4,1+'5. Scenarios'!$D$8))/4+INDEX(BookQ2,1485)*(5-MIN(4,2+'5. Scenarios'!$D$8))/4+INDEX(BookQ3,1485)*(5-MIN(4,3+'5. Scenarios'!$D$8))/4+INDEX(BookQ4,1485)*(5-MIN(4,4+'5. Scenarios'!$D$8))/4)*'5. Scenarios'!$D$6/(1+ProductivityDefault*('5. Scenarios'!$D$11-1))+INDEX(BookOneOff,1485)*$N1490)</f>
        <v/>
      </c>
      <c r="S1490" s="56" t="str">
        <f aca="false">IF(INDEX(BookTitle,1485)="","",INDEX(BookTotal,1485)*'5. Scenarios'!$E$6/(1+ProductivityDefault*('5. Scenarios'!$E$11-1)))</f>
        <v/>
      </c>
      <c r="T1490" s="57" t="str">
        <f aca="false">IF($S1490="","",INDEX(BookRate,1485)*(1+'5. Scenarios'!$E$10)*$S1490)</f>
        <v/>
      </c>
      <c r="U1490" s="57" t="str">
        <f aca="false">IF($T1490="","",SUMIFS($T$6:$T$2405,$A$6:$A$2405,"&lt;="&amp;$A1490))</f>
        <v/>
      </c>
      <c r="V1490" s="57" t="str">
        <f aca="false">IF($T1490="","",IF($U1490&lt;=BankCostEnvelope*'5. Scenarios'!$E$7,1,0))</f>
        <v/>
      </c>
      <c r="W1490" s="57" t="str">
        <f aca="false">IF($S1490="","",INDEX(BookRate,1485)*(1+'5. Scenarios'!$E$10)*(INDEX(BookQ1,1485)*(5-MIN(4,1+'5. Scenarios'!$E$8))/4+INDEX(BookQ2,1485)*(5-MIN(4,2+'5. Scenarios'!$E$8))/4+INDEX(BookQ3,1485)*(5-MIN(4,3+'5. Scenarios'!$E$8))/4+INDEX(BookQ4,1485)*(5-MIN(4,4+'5. Scenarios'!$E$8))/4)*'5. Scenarios'!$E$6/(1+ProductivityDefault*('5. Scenarios'!$E$11-1))+INDEX(BookOneOff,1485)*$S1490)</f>
        <v/>
      </c>
    </row>
    <row r="1491" customFormat="false" ht="15" hidden="false" customHeight="false" outlineLevel="0" collapsed="false">
      <c r="A1491" s="0" t="str">
        <f aca="false">IF(INDEX(BookTitle,1486)="","",INDEX(BookKey,1486))</f>
        <v/>
      </c>
      <c r="B1491" s="0" t="str">
        <f aca="false">IF(INDEX(BookTitle,1486)="","",INDEX(BookGroup,1486))</f>
        <v/>
      </c>
      <c r="C1491" s="0" t="str">
        <f aca="false">IF(INDEX(BookTitle,1486)="","",INDEX(BookCategory,1486))</f>
        <v/>
      </c>
      <c r="D1491" s="56" t="str">
        <f aca="false">IF(INDEX(BookTitle,1486)="","",INDEX(BookTotal,1486)*'5. Scenarios'!$B$6/(1+ProductivityDefault*('5. Scenarios'!$B$11-1)))</f>
        <v/>
      </c>
      <c r="E1491" s="57" t="str">
        <f aca="false">IF($D1491="","",INDEX(BookRate,1486)*(1+'5. Scenarios'!$B$10)*$D1491)</f>
        <v/>
      </c>
      <c r="F1491" s="57" t="str">
        <f aca="false">IF($E1491="","",SUMIFS($E$6:$E$2405,$A$6:$A$2405,"&lt;="&amp;$A1491))</f>
        <v/>
      </c>
      <c r="G1491" s="57" t="str">
        <f aca="false">IF($E1491="","",IF($F1491&lt;=BankCostEnvelope*'5. Scenarios'!$B$7,1,0))</f>
        <v/>
      </c>
      <c r="H1491" s="57" t="str">
        <f aca="false">IF($D1491="","",INDEX(BookRate,1486)*(1+'5. Scenarios'!$B$10)*(INDEX(BookQ1,1486)*(5-MIN(4,1+'5. Scenarios'!$B$8))/4+INDEX(BookQ2,1486)*(5-MIN(4,2+'5. Scenarios'!$B$8))/4+INDEX(BookQ3,1486)*(5-MIN(4,3+'5. Scenarios'!$B$8))/4+INDEX(BookQ4,1486)*(5-MIN(4,4+'5. Scenarios'!$B$8))/4)*'5. Scenarios'!$B$6/(1+ProductivityDefault*('5. Scenarios'!$B$11-1))+INDEX(BookOneOff,1486)*$D1491)</f>
        <v/>
      </c>
      <c r="I1491" s="56" t="str">
        <f aca="false">IF(INDEX(BookTitle,1486)="","",INDEX(BookTotal,1486)*'5. Scenarios'!$C$6/(1+ProductivityDefault*('5. Scenarios'!$C$11-1)))</f>
        <v/>
      </c>
      <c r="J1491" s="57" t="str">
        <f aca="false">IF($I1491="","",INDEX(BookRate,1486)*(1+'5. Scenarios'!$C$10)*$I1491)</f>
        <v/>
      </c>
      <c r="K1491" s="57" t="str">
        <f aca="false">IF($J1491="","",SUMIFS($J$6:$J$2405,$A$6:$A$2405,"&lt;="&amp;$A1491))</f>
        <v/>
      </c>
      <c r="L1491" s="57" t="str">
        <f aca="false">IF($J1491="","",IF($K1491&lt;=BankCostEnvelope*'5. Scenarios'!$C$7,1,0))</f>
        <v/>
      </c>
      <c r="M1491" s="57" t="str">
        <f aca="false">IF($I1491="","",INDEX(BookRate,1486)*(1+'5. Scenarios'!$C$10)*(INDEX(BookQ1,1486)*(5-MIN(4,1+'5. Scenarios'!$C$8))/4+INDEX(BookQ2,1486)*(5-MIN(4,2+'5. Scenarios'!$C$8))/4+INDEX(BookQ3,1486)*(5-MIN(4,3+'5. Scenarios'!$C$8))/4+INDEX(BookQ4,1486)*(5-MIN(4,4+'5. Scenarios'!$C$8))/4)*'5. Scenarios'!$C$6/(1+ProductivityDefault*('5. Scenarios'!$C$11-1))+INDEX(BookOneOff,1486)*$I1491)</f>
        <v/>
      </c>
      <c r="N1491" s="56" t="str">
        <f aca="false">IF(INDEX(BookTitle,1486)="","",INDEX(BookTotal,1486)*'5. Scenarios'!$D$6/(1+ProductivityDefault*('5. Scenarios'!$D$11-1)))</f>
        <v/>
      </c>
      <c r="O1491" s="57" t="str">
        <f aca="false">IF($N1491="","",INDEX(BookRate,1486)*(1+'5. Scenarios'!$D$10)*$N1491)</f>
        <v/>
      </c>
      <c r="P1491" s="57" t="str">
        <f aca="false">IF($O1491="","",SUMIFS($O$6:$O$2405,$A$6:$A$2405,"&lt;="&amp;$A1491))</f>
        <v/>
      </c>
      <c r="Q1491" s="57" t="str">
        <f aca="false">IF($O1491="","",IF($P1491&lt;=BankCostEnvelope*'5. Scenarios'!$D$7,1,0))</f>
        <v/>
      </c>
      <c r="R1491" s="57" t="str">
        <f aca="false">IF($N1491="","",INDEX(BookRate,1486)*(1+'5. Scenarios'!$D$10)*(INDEX(BookQ1,1486)*(5-MIN(4,1+'5. Scenarios'!$D$8))/4+INDEX(BookQ2,1486)*(5-MIN(4,2+'5. Scenarios'!$D$8))/4+INDEX(BookQ3,1486)*(5-MIN(4,3+'5. Scenarios'!$D$8))/4+INDEX(BookQ4,1486)*(5-MIN(4,4+'5. Scenarios'!$D$8))/4)*'5. Scenarios'!$D$6/(1+ProductivityDefault*('5. Scenarios'!$D$11-1))+INDEX(BookOneOff,1486)*$N1491)</f>
        <v/>
      </c>
      <c r="S1491" s="56" t="str">
        <f aca="false">IF(INDEX(BookTitle,1486)="","",INDEX(BookTotal,1486)*'5. Scenarios'!$E$6/(1+ProductivityDefault*('5. Scenarios'!$E$11-1)))</f>
        <v/>
      </c>
      <c r="T1491" s="57" t="str">
        <f aca="false">IF($S1491="","",INDEX(BookRate,1486)*(1+'5. Scenarios'!$E$10)*$S1491)</f>
        <v/>
      </c>
      <c r="U1491" s="57" t="str">
        <f aca="false">IF($T1491="","",SUMIFS($T$6:$T$2405,$A$6:$A$2405,"&lt;="&amp;$A1491))</f>
        <v/>
      </c>
      <c r="V1491" s="57" t="str">
        <f aca="false">IF($T1491="","",IF($U1491&lt;=BankCostEnvelope*'5. Scenarios'!$E$7,1,0))</f>
        <v/>
      </c>
      <c r="W1491" s="57" t="str">
        <f aca="false">IF($S1491="","",INDEX(BookRate,1486)*(1+'5. Scenarios'!$E$10)*(INDEX(BookQ1,1486)*(5-MIN(4,1+'5. Scenarios'!$E$8))/4+INDEX(BookQ2,1486)*(5-MIN(4,2+'5. Scenarios'!$E$8))/4+INDEX(BookQ3,1486)*(5-MIN(4,3+'5. Scenarios'!$E$8))/4+INDEX(BookQ4,1486)*(5-MIN(4,4+'5. Scenarios'!$E$8))/4)*'5. Scenarios'!$E$6/(1+ProductivityDefault*('5. Scenarios'!$E$11-1))+INDEX(BookOneOff,1486)*$S1491)</f>
        <v/>
      </c>
    </row>
    <row r="1492" customFormat="false" ht="15" hidden="false" customHeight="false" outlineLevel="0" collapsed="false">
      <c r="A1492" s="0" t="str">
        <f aca="false">IF(INDEX(BookTitle,1487)="","",INDEX(BookKey,1487))</f>
        <v/>
      </c>
      <c r="B1492" s="0" t="str">
        <f aca="false">IF(INDEX(BookTitle,1487)="","",INDEX(BookGroup,1487))</f>
        <v/>
      </c>
      <c r="C1492" s="0" t="str">
        <f aca="false">IF(INDEX(BookTitle,1487)="","",INDEX(BookCategory,1487))</f>
        <v/>
      </c>
      <c r="D1492" s="56" t="str">
        <f aca="false">IF(INDEX(BookTitle,1487)="","",INDEX(BookTotal,1487)*'5. Scenarios'!$B$6/(1+ProductivityDefault*('5. Scenarios'!$B$11-1)))</f>
        <v/>
      </c>
      <c r="E1492" s="57" t="str">
        <f aca="false">IF($D1492="","",INDEX(BookRate,1487)*(1+'5. Scenarios'!$B$10)*$D1492)</f>
        <v/>
      </c>
      <c r="F1492" s="57" t="str">
        <f aca="false">IF($E1492="","",SUMIFS($E$6:$E$2405,$A$6:$A$2405,"&lt;="&amp;$A1492))</f>
        <v/>
      </c>
      <c r="G1492" s="57" t="str">
        <f aca="false">IF($E1492="","",IF($F1492&lt;=BankCostEnvelope*'5. Scenarios'!$B$7,1,0))</f>
        <v/>
      </c>
      <c r="H1492" s="57" t="str">
        <f aca="false">IF($D1492="","",INDEX(BookRate,1487)*(1+'5. Scenarios'!$B$10)*(INDEX(BookQ1,1487)*(5-MIN(4,1+'5. Scenarios'!$B$8))/4+INDEX(BookQ2,1487)*(5-MIN(4,2+'5. Scenarios'!$B$8))/4+INDEX(BookQ3,1487)*(5-MIN(4,3+'5. Scenarios'!$B$8))/4+INDEX(BookQ4,1487)*(5-MIN(4,4+'5. Scenarios'!$B$8))/4)*'5. Scenarios'!$B$6/(1+ProductivityDefault*('5. Scenarios'!$B$11-1))+INDEX(BookOneOff,1487)*$D1492)</f>
        <v/>
      </c>
      <c r="I1492" s="56" t="str">
        <f aca="false">IF(INDEX(BookTitle,1487)="","",INDEX(BookTotal,1487)*'5. Scenarios'!$C$6/(1+ProductivityDefault*('5. Scenarios'!$C$11-1)))</f>
        <v/>
      </c>
      <c r="J1492" s="57" t="str">
        <f aca="false">IF($I1492="","",INDEX(BookRate,1487)*(1+'5. Scenarios'!$C$10)*$I1492)</f>
        <v/>
      </c>
      <c r="K1492" s="57" t="str">
        <f aca="false">IF($J1492="","",SUMIFS($J$6:$J$2405,$A$6:$A$2405,"&lt;="&amp;$A1492))</f>
        <v/>
      </c>
      <c r="L1492" s="57" t="str">
        <f aca="false">IF($J1492="","",IF($K1492&lt;=BankCostEnvelope*'5. Scenarios'!$C$7,1,0))</f>
        <v/>
      </c>
      <c r="M1492" s="57" t="str">
        <f aca="false">IF($I1492="","",INDEX(BookRate,1487)*(1+'5. Scenarios'!$C$10)*(INDEX(BookQ1,1487)*(5-MIN(4,1+'5. Scenarios'!$C$8))/4+INDEX(BookQ2,1487)*(5-MIN(4,2+'5. Scenarios'!$C$8))/4+INDEX(BookQ3,1487)*(5-MIN(4,3+'5. Scenarios'!$C$8))/4+INDEX(BookQ4,1487)*(5-MIN(4,4+'5. Scenarios'!$C$8))/4)*'5. Scenarios'!$C$6/(1+ProductivityDefault*('5. Scenarios'!$C$11-1))+INDEX(BookOneOff,1487)*$I1492)</f>
        <v/>
      </c>
      <c r="N1492" s="56" t="str">
        <f aca="false">IF(INDEX(BookTitle,1487)="","",INDEX(BookTotal,1487)*'5. Scenarios'!$D$6/(1+ProductivityDefault*('5. Scenarios'!$D$11-1)))</f>
        <v/>
      </c>
      <c r="O1492" s="57" t="str">
        <f aca="false">IF($N1492="","",INDEX(BookRate,1487)*(1+'5. Scenarios'!$D$10)*$N1492)</f>
        <v/>
      </c>
      <c r="P1492" s="57" t="str">
        <f aca="false">IF($O1492="","",SUMIFS($O$6:$O$2405,$A$6:$A$2405,"&lt;="&amp;$A1492))</f>
        <v/>
      </c>
      <c r="Q1492" s="57" t="str">
        <f aca="false">IF($O1492="","",IF($P1492&lt;=BankCostEnvelope*'5. Scenarios'!$D$7,1,0))</f>
        <v/>
      </c>
      <c r="R1492" s="57" t="str">
        <f aca="false">IF($N1492="","",INDEX(BookRate,1487)*(1+'5. Scenarios'!$D$10)*(INDEX(BookQ1,1487)*(5-MIN(4,1+'5. Scenarios'!$D$8))/4+INDEX(BookQ2,1487)*(5-MIN(4,2+'5. Scenarios'!$D$8))/4+INDEX(BookQ3,1487)*(5-MIN(4,3+'5. Scenarios'!$D$8))/4+INDEX(BookQ4,1487)*(5-MIN(4,4+'5. Scenarios'!$D$8))/4)*'5. Scenarios'!$D$6/(1+ProductivityDefault*('5. Scenarios'!$D$11-1))+INDEX(BookOneOff,1487)*$N1492)</f>
        <v/>
      </c>
      <c r="S1492" s="56" t="str">
        <f aca="false">IF(INDEX(BookTitle,1487)="","",INDEX(BookTotal,1487)*'5. Scenarios'!$E$6/(1+ProductivityDefault*('5. Scenarios'!$E$11-1)))</f>
        <v/>
      </c>
      <c r="T1492" s="57" t="str">
        <f aca="false">IF($S1492="","",INDEX(BookRate,1487)*(1+'5. Scenarios'!$E$10)*$S1492)</f>
        <v/>
      </c>
      <c r="U1492" s="57" t="str">
        <f aca="false">IF($T1492="","",SUMIFS($T$6:$T$2405,$A$6:$A$2405,"&lt;="&amp;$A1492))</f>
        <v/>
      </c>
      <c r="V1492" s="57" t="str">
        <f aca="false">IF($T1492="","",IF($U1492&lt;=BankCostEnvelope*'5. Scenarios'!$E$7,1,0))</f>
        <v/>
      </c>
      <c r="W1492" s="57" t="str">
        <f aca="false">IF($S1492="","",INDEX(BookRate,1487)*(1+'5. Scenarios'!$E$10)*(INDEX(BookQ1,1487)*(5-MIN(4,1+'5. Scenarios'!$E$8))/4+INDEX(BookQ2,1487)*(5-MIN(4,2+'5. Scenarios'!$E$8))/4+INDEX(BookQ3,1487)*(5-MIN(4,3+'5. Scenarios'!$E$8))/4+INDEX(BookQ4,1487)*(5-MIN(4,4+'5. Scenarios'!$E$8))/4)*'5. Scenarios'!$E$6/(1+ProductivityDefault*('5. Scenarios'!$E$11-1))+INDEX(BookOneOff,1487)*$S1492)</f>
        <v/>
      </c>
    </row>
    <row r="1493" customFormat="false" ht="15" hidden="false" customHeight="false" outlineLevel="0" collapsed="false">
      <c r="A1493" s="0" t="str">
        <f aca="false">IF(INDEX(BookTitle,1488)="","",INDEX(BookKey,1488))</f>
        <v/>
      </c>
      <c r="B1493" s="0" t="str">
        <f aca="false">IF(INDEX(BookTitle,1488)="","",INDEX(BookGroup,1488))</f>
        <v/>
      </c>
      <c r="C1493" s="0" t="str">
        <f aca="false">IF(INDEX(BookTitle,1488)="","",INDEX(BookCategory,1488))</f>
        <v/>
      </c>
      <c r="D1493" s="56" t="str">
        <f aca="false">IF(INDEX(BookTitle,1488)="","",INDEX(BookTotal,1488)*'5. Scenarios'!$B$6/(1+ProductivityDefault*('5. Scenarios'!$B$11-1)))</f>
        <v/>
      </c>
      <c r="E1493" s="57" t="str">
        <f aca="false">IF($D1493="","",INDEX(BookRate,1488)*(1+'5. Scenarios'!$B$10)*$D1493)</f>
        <v/>
      </c>
      <c r="F1493" s="57" t="str">
        <f aca="false">IF($E1493="","",SUMIFS($E$6:$E$2405,$A$6:$A$2405,"&lt;="&amp;$A1493))</f>
        <v/>
      </c>
      <c r="G1493" s="57" t="str">
        <f aca="false">IF($E1493="","",IF($F1493&lt;=BankCostEnvelope*'5. Scenarios'!$B$7,1,0))</f>
        <v/>
      </c>
      <c r="H1493" s="57" t="str">
        <f aca="false">IF($D1493="","",INDEX(BookRate,1488)*(1+'5. Scenarios'!$B$10)*(INDEX(BookQ1,1488)*(5-MIN(4,1+'5. Scenarios'!$B$8))/4+INDEX(BookQ2,1488)*(5-MIN(4,2+'5. Scenarios'!$B$8))/4+INDEX(BookQ3,1488)*(5-MIN(4,3+'5. Scenarios'!$B$8))/4+INDEX(BookQ4,1488)*(5-MIN(4,4+'5. Scenarios'!$B$8))/4)*'5. Scenarios'!$B$6/(1+ProductivityDefault*('5. Scenarios'!$B$11-1))+INDEX(BookOneOff,1488)*$D1493)</f>
        <v/>
      </c>
      <c r="I1493" s="56" t="str">
        <f aca="false">IF(INDEX(BookTitle,1488)="","",INDEX(BookTotal,1488)*'5. Scenarios'!$C$6/(1+ProductivityDefault*('5. Scenarios'!$C$11-1)))</f>
        <v/>
      </c>
      <c r="J1493" s="57" t="str">
        <f aca="false">IF($I1493="","",INDEX(BookRate,1488)*(1+'5. Scenarios'!$C$10)*$I1493)</f>
        <v/>
      </c>
      <c r="K1493" s="57" t="str">
        <f aca="false">IF($J1493="","",SUMIFS($J$6:$J$2405,$A$6:$A$2405,"&lt;="&amp;$A1493))</f>
        <v/>
      </c>
      <c r="L1493" s="57" t="str">
        <f aca="false">IF($J1493="","",IF($K1493&lt;=BankCostEnvelope*'5. Scenarios'!$C$7,1,0))</f>
        <v/>
      </c>
      <c r="M1493" s="57" t="str">
        <f aca="false">IF($I1493="","",INDEX(BookRate,1488)*(1+'5. Scenarios'!$C$10)*(INDEX(BookQ1,1488)*(5-MIN(4,1+'5. Scenarios'!$C$8))/4+INDEX(BookQ2,1488)*(5-MIN(4,2+'5. Scenarios'!$C$8))/4+INDEX(BookQ3,1488)*(5-MIN(4,3+'5. Scenarios'!$C$8))/4+INDEX(BookQ4,1488)*(5-MIN(4,4+'5. Scenarios'!$C$8))/4)*'5. Scenarios'!$C$6/(1+ProductivityDefault*('5. Scenarios'!$C$11-1))+INDEX(BookOneOff,1488)*$I1493)</f>
        <v/>
      </c>
      <c r="N1493" s="56" t="str">
        <f aca="false">IF(INDEX(BookTitle,1488)="","",INDEX(BookTotal,1488)*'5. Scenarios'!$D$6/(1+ProductivityDefault*('5. Scenarios'!$D$11-1)))</f>
        <v/>
      </c>
      <c r="O1493" s="57" t="str">
        <f aca="false">IF($N1493="","",INDEX(BookRate,1488)*(1+'5. Scenarios'!$D$10)*$N1493)</f>
        <v/>
      </c>
      <c r="P1493" s="57" t="str">
        <f aca="false">IF($O1493="","",SUMIFS($O$6:$O$2405,$A$6:$A$2405,"&lt;="&amp;$A1493))</f>
        <v/>
      </c>
      <c r="Q1493" s="57" t="str">
        <f aca="false">IF($O1493="","",IF($P1493&lt;=BankCostEnvelope*'5. Scenarios'!$D$7,1,0))</f>
        <v/>
      </c>
      <c r="R1493" s="57" t="str">
        <f aca="false">IF($N1493="","",INDEX(BookRate,1488)*(1+'5. Scenarios'!$D$10)*(INDEX(BookQ1,1488)*(5-MIN(4,1+'5. Scenarios'!$D$8))/4+INDEX(BookQ2,1488)*(5-MIN(4,2+'5. Scenarios'!$D$8))/4+INDEX(BookQ3,1488)*(5-MIN(4,3+'5. Scenarios'!$D$8))/4+INDEX(BookQ4,1488)*(5-MIN(4,4+'5. Scenarios'!$D$8))/4)*'5. Scenarios'!$D$6/(1+ProductivityDefault*('5. Scenarios'!$D$11-1))+INDEX(BookOneOff,1488)*$N1493)</f>
        <v/>
      </c>
      <c r="S1493" s="56" t="str">
        <f aca="false">IF(INDEX(BookTitle,1488)="","",INDEX(BookTotal,1488)*'5. Scenarios'!$E$6/(1+ProductivityDefault*('5. Scenarios'!$E$11-1)))</f>
        <v/>
      </c>
      <c r="T1493" s="57" t="str">
        <f aca="false">IF($S1493="","",INDEX(BookRate,1488)*(1+'5. Scenarios'!$E$10)*$S1493)</f>
        <v/>
      </c>
      <c r="U1493" s="57" t="str">
        <f aca="false">IF($T1493="","",SUMIFS($T$6:$T$2405,$A$6:$A$2405,"&lt;="&amp;$A1493))</f>
        <v/>
      </c>
      <c r="V1493" s="57" t="str">
        <f aca="false">IF($T1493="","",IF($U1493&lt;=BankCostEnvelope*'5. Scenarios'!$E$7,1,0))</f>
        <v/>
      </c>
      <c r="W1493" s="57" t="str">
        <f aca="false">IF($S1493="","",INDEX(BookRate,1488)*(1+'5. Scenarios'!$E$10)*(INDEX(BookQ1,1488)*(5-MIN(4,1+'5. Scenarios'!$E$8))/4+INDEX(BookQ2,1488)*(5-MIN(4,2+'5. Scenarios'!$E$8))/4+INDEX(BookQ3,1488)*(5-MIN(4,3+'5. Scenarios'!$E$8))/4+INDEX(BookQ4,1488)*(5-MIN(4,4+'5. Scenarios'!$E$8))/4)*'5. Scenarios'!$E$6/(1+ProductivityDefault*('5. Scenarios'!$E$11-1))+INDEX(BookOneOff,1488)*$S1493)</f>
        <v/>
      </c>
    </row>
    <row r="1494" customFormat="false" ht="15" hidden="false" customHeight="false" outlineLevel="0" collapsed="false">
      <c r="A1494" s="0" t="str">
        <f aca="false">IF(INDEX(BookTitle,1489)="","",INDEX(BookKey,1489))</f>
        <v/>
      </c>
      <c r="B1494" s="0" t="str">
        <f aca="false">IF(INDEX(BookTitle,1489)="","",INDEX(BookGroup,1489))</f>
        <v/>
      </c>
      <c r="C1494" s="0" t="str">
        <f aca="false">IF(INDEX(BookTitle,1489)="","",INDEX(BookCategory,1489))</f>
        <v/>
      </c>
      <c r="D1494" s="56" t="str">
        <f aca="false">IF(INDEX(BookTitle,1489)="","",INDEX(BookTotal,1489)*'5. Scenarios'!$B$6/(1+ProductivityDefault*('5. Scenarios'!$B$11-1)))</f>
        <v/>
      </c>
      <c r="E1494" s="57" t="str">
        <f aca="false">IF($D1494="","",INDEX(BookRate,1489)*(1+'5. Scenarios'!$B$10)*$D1494)</f>
        <v/>
      </c>
      <c r="F1494" s="57" t="str">
        <f aca="false">IF($E1494="","",SUMIFS($E$6:$E$2405,$A$6:$A$2405,"&lt;="&amp;$A1494))</f>
        <v/>
      </c>
      <c r="G1494" s="57" t="str">
        <f aca="false">IF($E1494="","",IF($F1494&lt;=BankCostEnvelope*'5. Scenarios'!$B$7,1,0))</f>
        <v/>
      </c>
      <c r="H1494" s="57" t="str">
        <f aca="false">IF($D1494="","",INDEX(BookRate,1489)*(1+'5. Scenarios'!$B$10)*(INDEX(BookQ1,1489)*(5-MIN(4,1+'5. Scenarios'!$B$8))/4+INDEX(BookQ2,1489)*(5-MIN(4,2+'5. Scenarios'!$B$8))/4+INDEX(BookQ3,1489)*(5-MIN(4,3+'5. Scenarios'!$B$8))/4+INDEX(BookQ4,1489)*(5-MIN(4,4+'5. Scenarios'!$B$8))/4)*'5. Scenarios'!$B$6/(1+ProductivityDefault*('5. Scenarios'!$B$11-1))+INDEX(BookOneOff,1489)*$D1494)</f>
        <v/>
      </c>
      <c r="I1494" s="56" t="str">
        <f aca="false">IF(INDEX(BookTitle,1489)="","",INDEX(BookTotal,1489)*'5. Scenarios'!$C$6/(1+ProductivityDefault*('5. Scenarios'!$C$11-1)))</f>
        <v/>
      </c>
      <c r="J1494" s="57" t="str">
        <f aca="false">IF($I1494="","",INDEX(BookRate,1489)*(1+'5. Scenarios'!$C$10)*$I1494)</f>
        <v/>
      </c>
      <c r="K1494" s="57" t="str">
        <f aca="false">IF($J1494="","",SUMIFS($J$6:$J$2405,$A$6:$A$2405,"&lt;="&amp;$A1494))</f>
        <v/>
      </c>
      <c r="L1494" s="57" t="str">
        <f aca="false">IF($J1494="","",IF($K1494&lt;=BankCostEnvelope*'5. Scenarios'!$C$7,1,0))</f>
        <v/>
      </c>
      <c r="M1494" s="57" t="str">
        <f aca="false">IF($I1494="","",INDEX(BookRate,1489)*(1+'5. Scenarios'!$C$10)*(INDEX(BookQ1,1489)*(5-MIN(4,1+'5. Scenarios'!$C$8))/4+INDEX(BookQ2,1489)*(5-MIN(4,2+'5. Scenarios'!$C$8))/4+INDEX(BookQ3,1489)*(5-MIN(4,3+'5. Scenarios'!$C$8))/4+INDEX(BookQ4,1489)*(5-MIN(4,4+'5. Scenarios'!$C$8))/4)*'5. Scenarios'!$C$6/(1+ProductivityDefault*('5. Scenarios'!$C$11-1))+INDEX(BookOneOff,1489)*$I1494)</f>
        <v/>
      </c>
      <c r="N1494" s="56" t="str">
        <f aca="false">IF(INDEX(BookTitle,1489)="","",INDEX(BookTotal,1489)*'5. Scenarios'!$D$6/(1+ProductivityDefault*('5. Scenarios'!$D$11-1)))</f>
        <v/>
      </c>
      <c r="O1494" s="57" t="str">
        <f aca="false">IF($N1494="","",INDEX(BookRate,1489)*(1+'5. Scenarios'!$D$10)*$N1494)</f>
        <v/>
      </c>
      <c r="P1494" s="57" t="str">
        <f aca="false">IF($O1494="","",SUMIFS($O$6:$O$2405,$A$6:$A$2405,"&lt;="&amp;$A1494))</f>
        <v/>
      </c>
      <c r="Q1494" s="57" t="str">
        <f aca="false">IF($O1494="","",IF($P1494&lt;=BankCostEnvelope*'5. Scenarios'!$D$7,1,0))</f>
        <v/>
      </c>
      <c r="R1494" s="57" t="str">
        <f aca="false">IF($N1494="","",INDEX(BookRate,1489)*(1+'5. Scenarios'!$D$10)*(INDEX(BookQ1,1489)*(5-MIN(4,1+'5. Scenarios'!$D$8))/4+INDEX(BookQ2,1489)*(5-MIN(4,2+'5. Scenarios'!$D$8))/4+INDEX(BookQ3,1489)*(5-MIN(4,3+'5. Scenarios'!$D$8))/4+INDEX(BookQ4,1489)*(5-MIN(4,4+'5. Scenarios'!$D$8))/4)*'5. Scenarios'!$D$6/(1+ProductivityDefault*('5. Scenarios'!$D$11-1))+INDEX(BookOneOff,1489)*$N1494)</f>
        <v/>
      </c>
      <c r="S1494" s="56" t="str">
        <f aca="false">IF(INDEX(BookTitle,1489)="","",INDEX(BookTotal,1489)*'5. Scenarios'!$E$6/(1+ProductivityDefault*('5. Scenarios'!$E$11-1)))</f>
        <v/>
      </c>
      <c r="T1494" s="57" t="str">
        <f aca="false">IF($S1494="","",INDEX(BookRate,1489)*(1+'5. Scenarios'!$E$10)*$S1494)</f>
        <v/>
      </c>
      <c r="U1494" s="57" t="str">
        <f aca="false">IF($T1494="","",SUMIFS($T$6:$T$2405,$A$6:$A$2405,"&lt;="&amp;$A1494))</f>
        <v/>
      </c>
      <c r="V1494" s="57" t="str">
        <f aca="false">IF($T1494="","",IF($U1494&lt;=BankCostEnvelope*'5. Scenarios'!$E$7,1,0))</f>
        <v/>
      </c>
      <c r="W1494" s="57" t="str">
        <f aca="false">IF($S1494="","",INDEX(BookRate,1489)*(1+'5. Scenarios'!$E$10)*(INDEX(BookQ1,1489)*(5-MIN(4,1+'5. Scenarios'!$E$8))/4+INDEX(BookQ2,1489)*(5-MIN(4,2+'5. Scenarios'!$E$8))/4+INDEX(BookQ3,1489)*(5-MIN(4,3+'5. Scenarios'!$E$8))/4+INDEX(BookQ4,1489)*(5-MIN(4,4+'5. Scenarios'!$E$8))/4)*'5. Scenarios'!$E$6/(1+ProductivityDefault*('5. Scenarios'!$E$11-1))+INDEX(BookOneOff,1489)*$S1494)</f>
        <v/>
      </c>
    </row>
    <row r="1495" customFormat="false" ht="15" hidden="false" customHeight="false" outlineLevel="0" collapsed="false">
      <c r="A1495" s="0" t="str">
        <f aca="false">IF(INDEX(BookTitle,1490)="","",INDEX(BookKey,1490))</f>
        <v/>
      </c>
      <c r="B1495" s="0" t="str">
        <f aca="false">IF(INDEX(BookTitle,1490)="","",INDEX(BookGroup,1490))</f>
        <v/>
      </c>
      <c r="C1495" s="0" t="str">
        <f aca="false">IF(INDEX(BookTitle,1490)="","",INDEX(BookCategory,1490))</f>
        <v/>
      </c>
      <c r="D1495" s="56" t="str">
        <f aca="false">IF(INDEX(BookTitle,1490)="","",INDEX(BookTotal,1490)*'5. Scenarios'!$B$6/(1+ProductivityDefault*('5. Scenarios'!$B$11-1)))</f>
        <v/>
      </c>
      <c r="E1495" s="57" t="str">
        <f aca="false">IF($D1495="","",INDEX(BookRate,1490)*(1+'5. Scenarios'!$B$10)*$D1495)</f>
        <v/>
      </c>
      <c r="F1495" s="57" t="str">
        <f aca="false">IF($E1495="","",SUMIFS($E$6:$E$2405,$A$6:$A$2405,"&lt;="&amp;$A1495))</f>
        <v/>
      </c>
      <c r="G1495" s="57" t="str">
        <f aca="false">IF($E1495="","",IF($F1495&lt;=BankCostEnvelope*'5. Scenarios'!$B$7,1,0))</f>
        <v/>
      </c>
      <c r="H1495" s="57" t="str">
        <f aca="false">IF($D1495="","",INDEX(BookRate,1490)*(1+'5. Scenarios'!$B$10)*(INDEX(BookQ1,1490)*(5-MIN(4,1+'5. Scenarios'!$B$8))/4+INDEX(BookQ2,1490)*(5-MIN(4,2+'5. Scenarios'!$B$8))/4+INDEX(BookQ3,1490)*(5-MIN(4,3+'5. Scenarios'!$B$8))/4+INDEX(BookQ4,1490)*(5-MIN(4,4+'5. Scenarios'!$B$8))/4)*'5. Scenarios'!$B$6/(1+ProductivityDefault*('5. Scenarios'!$B$11-1))+INDEX(BookOneOff,1490)*$D1495)</f>
        <v/>
      </c>
      <c r="I1495" s="56" t="str">
        <f aca="false">IF(INDEX(BookTitle,1490)="","",INDEX(BookTotal,1490)*'5. Scenarios'!$C$6/(1+ProductivityDefault*('5. Scenarios'!$C$11-1)))</f>
        <v/>
      </c>
      <c r="J1495" s="57" t="str">
        <f aca="false">IF($I1495="","",INDEX(BookRate,1490)*(1+'5. Scenarios'!$C$10)*$I1495)</f>
        <v/>
      </c>
      <c r="K1495" s="57" t="str">
        <f aca="false">IF($J1495="","",SUMIFS($J$6:$J$2405,$A$6:$A$2405,"&lt;="&amp;$A1495))</f>
        <v/>
      </c>
      <c r="L1495" s="57" t="str">
        <f aca="false">IF($J1495="","",IF($K1495&lt;=BankCostEnvelope*'5. Scenarios'!$C$7,1,0))</f>
        <v/>
      </c>
      <c r="M1495" s="57" t="str">
        <f aca="false">IF($I1495="","",INDEX(BookRate,1490)*(1+'5. Scenarios'!$C$10)*(INDEX(BookQ1,1490)*(5-MIN(4,1+'5. Scenarios'!$C$8))/4+INDEX(BookQ2,1490)*(5-MIN(4,2+'5. Scenarios'!$C$8))/4+INDEX(BookQ3,1490)*(5-MIN(4,3+'5. Scenarios'!$C$8))/4+INDEX(BookQ4,1490)*(5-MIN(4,4+'5. Scenarios'!$C$8))/4)*'5. Scenarios'!$C$6/(1+ProductivityDefault*('5. Scenarios'!$C$11-1))+INDEX(BookOneOff,1490)*$I1495)</f>
        <v/>
      </c>
      <c r="N1495" s="56" t="str">
        <f aca="false">IF(INDEX(BookTitle,1490)="","",INDEX(BookTotal,1490)*'5. Scenarios'!$D$6/(1+ProductivityDefault*('5. Scenarios'!$D$11-1)))</f>
        <v/>
      </c>
      <c r="O1495" s="57" t="str">
        <f aca="false">IF($N1495="","",INDEX(BookRate,1490)*(1+'5. Scenarios'!$D$10)*$N1495)</f>
        <v/>
      </c>
      <c r="P1495" s="57" t="str">
        <f aca="false">IF($O1495="","",SUMIFS($O$6:$O$2405,$A$6:$A$2405,"&lt;="&amp;$A1495))</f>
        <v/>
      </c>
      <c r="Q1495" s="57" t="str">
        <f aca="false">IF($O1495="","",IF($P1495&lt;=BankCostEnvelope*'5. Scenarios'!$D$7,1,0))</f>
        <v/>
      </c>
      <c r="R1495" s="57" t="str">
        <f aca="false">IF($N1495="","",INDEX(BookRate,1490)*(1+'5. Scenarios'!$D$10)*(INDEX(BookQ1,1490)*(5-MIN(4,1+'5. Scenarios'!$D$8))/4+INDEX(BookQ2,1490)*(5-MIN(4,2+'5. Scenarios'!$D$8))/4+INDEX(BookQ3,1490)*(5-MIN(4,3+'5. Scenarios'!$D$8))/4+INDEX(BookQ4,1490)*(5-MIN(4,4+'5. Scenarios'!$D$8))/4)*'5. Scenarios'!$D$6/(1+ProductivityDefault*('5. Scenarios'!$D$11-1))+INDEX(BookOneOff,1490)*$N1495)</f>
        <v/>
      </c>
      <c r="S1495" s="56" t="str">
        <f aca="false">IF(INDEX(BookTitle,1490)="","",INDEX(BookTotal,1490)*'5. Scenarios'!$E$6/(1+ProductivityDefault*('5. Scenarios'!$E$11-1)))</f>
        <v/>
      </c>
      <c r="T1495" s="57" t="str">
        <f aca="false">IF($S1495="","",INDEX(BookRate,1490)*(1+'5. Scenarios'!$E$10)*$S1495)</f>
        <v/>
      </c>
      <c r="U1495" s="57" t="str">
        <f aca="false">IF($T1495="","",SUMIFS($T$6:$T$2405,$A$6:$A$2405,"&lt;="&amp;$A1495))</f>
        <v/>
      </c>
      <c r="V1495" s="57" t="str">
        <f aca="false">IF($T1495="","",IF($U1495&lt;=BankCostEnvelope*'5. Scenarios'!$E$7,1,0))</f>
        <v/>
      </c>
      <c r="W1495" s="57" t="str">
        <f aca="false">IF($S1495="","",INDEX(BookRate,1490)*(1+'5. Scenarios'!$E$10)*(INDEX(BookQ1,1490)*(5-MIN(4,1+'5. Scenarios'!$E$8))/4+INDEX(BookQ2,1490)*(5-MIN(4,2+'5. Scenarios'!$E$8))/4+INDEX(BookQ3,1490)*(5-MIN(4,3+'5. Scenarios'!$E$8))/4+INDEX(BookQ4,1490)*(5-MIN(4,4+'5. Scenarios'!$E$8))/4)*'5. Scenarios'!$E$6/(1+ProductivityDefault*('5. Scenarios'!$E$11-1))+INDEX(BookOneOff,1490)*$S1495)</f>
        <v/>
      </c>
    </row>
    <row r="1496" customFormat="false" ht="15" hidden="false" customHeight="false" outlineLevel="0" collapsed="false">
      <c r="A1496" s="0" t="str">
        <f aca="false">IF(INDEX(BookTitle,1491)="","",INDEX(BookKey,1491))</f>
        <v/>
      </c>
      <c r="B1496" s="0" t="str">
        <f aca="false">IF(INDEX(BookTitle,1491)="","",INDEX(BookGroup,1491))</f>
        <v/>
      </c>
      <c r="C1496" s="0" t="str">
        <f aca="false">IF(INDEX(BookTitle,1491)="","",INDEX(BookCategory,1491))</f>
        <v/>
      </c>
      <c r="D1496" s="56" t="str">
        <f aca="false">IF(INDEX(BookTitle,1491)="","",INDEX(BookTotal,1491)*'5. Scenarios'!$B$6/(1+ProductivityDefault*('5. Scenarios'!$B$11-1)))</f>
        <v/>
      </c>
      <c r="E1496" s="57" t="str">
        <f aca="false">IF($D1496="","",INDEX(BookRate,1491)*(1+'5. Scenarios'!$B$10)*$D1496)</f>
        <v/>
      </c>
      <c r="F1496" s="57" t="str">
        <f aca="false">IF($E1496="","",SUMIFS($E$6:$E$2405,$A$6:$A$2405,"&lt;="&amp;$A1496))</f>
        <v/>
      </c>
      <c r="G1496" s="57" t="str">
        <f aca="false">IF($E1496="","",IF($F1496&lt;=BankCostEnvelope*'5. Scenarios'!$B$7,1,0))</f>
        <v/>
      </c>
      <c r="H1496" s="57" t="str">
        <f aca="false">IF($D1496="","",INDEX(BookRate,1491)*(1+'5. Scenarios'!$B$10)*(INDEX(BookQ1,1491)*(5-MIN(4,1+'5. Scenarios'!$B$8))/4+INDEX(BookQ2,1491)*(5-MIN(4,2+'5. Scenarios'!$B$8))/4+INDEX(BookQ3,1491)*(5-MIN(4,3+'5. Scenarios'!$B$8))/4+INDEX(BookQ4,1491)*(5-MIN(4,4+'5. Scenarios'!$B$8))/4)*'5. Scenarios'!$B$6/(1+ProductivityDefault*('5. Scenarios'!$B$11-1))+INDEX(BookOneOff,1491)*$D1496)</f>
        <v/>
      </c>
      <c r="I1496" s="56" t="str">
        <f aca="false">IF(INDEX(BookTitle,1491)="","",INDEX(BookTotal,1491)*'5. Scenarios'!$C$6/(1+ProductivityDefault*('5. Scenarios'!$C$11-1)))</f>
        <v/>
      </c>
      <c r="J1496" s="57" t="str">
        <f aca="false">IF($I1496="","",INDEX(BookRate,1491)*(1+'5. Scenarios'!$C$10)*$I1496)</f>
        <v/>
      </c>
      <c r="K1496" s="57" t="str">
        <f aca="false">IF($J1496="","",SUMIFS($J$6:$J$2405,$A$6:$A$2405,"&lt;="&amp;$A1496))</f>
        <v/>
      </c>
      <c r="L1496" s="57" t="str">
        <f aca="false">IF($J1496="","",IF($K1496&lt;=BankCostEnvelope*'5. Scenarios'!$C$7,1,0))</f>
        <v/>
      </c>
      <c r="M1496" s="57" t="str">
        <f aca="false">IF($I1496="","",INDEX(BookRate,1491)*(1+'5. Scenarios'!$C$10)*(INDEX(BookQ1,1491)*(5-MIN(4,1+'5. Scenarios'!$C$8))/4+INDEX(BookQ2,1491)*(5-MIN(4,2+'5. Scenarios'!$C$8))/4+INDEX(BookQ3,1491)*(5-MIN(4,3+'5. Scenarios'!$C$8))/4+INDEX(BookQ4,1491)*(5-MIN(4,4+'5. Scenarios'!$C$8))/4)*'5. Scenarios'!$C$6/(1+ProductivityDefault*('5. Scenarios'!$C$11-1))+INDEX(BookOneOff,1491)*$I1496)</f>
        <v/>
      </c>
      <c r="N1496" s="56" t="str">
        <f aca="false">IF(INDEX(BookTitle,1491)="","",INDEX(BookTotal,1491)*'5. Scenarios'!$D$6/(1+ProductivityDefault*('5. Scenarios'!$D$11-1)))</f>
        <v/>
      </c>
      <c r="O1496" s="57" t="str">
        <f aca="false">IF($N1496="","",INDEX(BookRate,1491)*(1+'5. Scenarios'!$D$10)*$N1496)</f>
        <v/>
      </c>
      <c r="P1496" s="57" t="str">
        <f aca="false">IF($O1496="","",SUMIFS($O$6:$O$2405,$A$6:$A$2405,"&lt;="&amp;$A1496))</f>
        <v/>
      </c>
      <c r="Q1496" s="57" t="str">
        <f aca="false">IF($O1496="","",IF($P1496&lt;=BankCostEnvelope*'5. Scenarios'!$D$7,1,0))</f>
        <v/>
      </c>
      <c r="R1496" s="57" t="str">
        <f aca="false">IF($N1496="","",INDEX(BookRate,1491)*(1+'5. Scenarios'!$D$10)*(INDEX(BookQ1,1491)*(5-MIN(4,1+'5. Scenarios'!$D$8))/4+INDEX(BookQ2,1491)*(5-MIN(4,2+'5. Scenarios'!$D$8))/4+INDEX(BookQ3,1491)*(5-MIN(4,3+'5. Scenarios'!$D$8))/4+INDEX(BookQ4,1491)*(5-MIN(4,4+'5. Scenarios'!$D$8))/4)*'5. Scenarios'!$D$6/(1+ProductivityDefault*('5. Scenarios'!$D$11-1))+INDEX(BookOneOff,1491)*$N1496)</f>
        <v/>
      </c>
      <c r="S1496" s="56" t="str">
        <f aca="false">IF(INDEX(BookTitle,1491)="","",INDEX(BookTotal,1491)*'5. Scenarios'!$E$6/(1+ProductivityDefault*('5. Scenarios'!$E$11-1)))</f>
        <v/>
      </c>
      <c r="T1496" s="57" t="str">
        <f aca="false">IF($S1496="","",INDEX(BookRate,1491)*(1+'5. Scenarios'!$E$10)*$S1496)</f>
        <v/>
      </c>
      <c r="U1496" s="57" t="str">
        <f aca="false">IF($T1496="","",SUMIFS($T$6:$T$2405,$A$6:$A$2405,"&lt;="&amp;$A1496))</f>
        <v/>
      </c>
      <c r="V1496" s="57" t="str">
        <f aca="false">IF($T1496="","",IF($U1496&lt;=BankCostEnvelope*'5. Scenarios'!$E$7,1,0))</f>
        <v/>
      </c>
      <c r="W1496" s="57" t="str">
        <f aca="false">IF($S1496="","",INDEX(BookRate,1491)*(1+'5. Scenarios'!$E$10)*(INDEX(BookQ1,1491)*(5-MIN(4,1+'5. Scenarios'!$E$8))/4+INDEX(BookQ2,1491)*(5-MIN(4,2+'5. Scenarios'!$E$8))/4+INDEX(BookQ3,1491)*(5-MIN(4,3+'5. Scenarios'!$E$8))/4+INDEX(BookQ4,1491)*(5-MIN(4,4+'5. Scenarios'!$E$8))/4)*'5. Scenarios'!$E$6/(1+ProductivityDefault*('5. Scenarios'!$E$11-1))+INDEX(BookOneOff,1491)*$S1496)</f>
        <v/>
      </c>
    </row>
    <row r="1497" customFormat="false" ht="15" hidden="false" customHeight="false" outlineLevel="0" collapsed="false">
      <c r="A1497" s="0" t="str">
        <f aca="false">IF(INDEX(BookTitle,1492)="","",INDEX(BookKey,1492))</f>
        <v/>
      </c>
      <c r="B1497" s="0" t="str">
        <f aca="false">IF(INDEX(BookTitle,1492)="","",INDEX(BookGroup,1492))</f>
        <v/>
      </c>
      <c r="C1497" s="0" t="str">
        <f aca="false">IF(INDEX(BookTitle,1492)="","",INDEX(BookCategory,1492))</f>
        <v/>
      </c>
      <c r="D1497" s="56" t="str">
        <f aca="false">IF(INDEX(BookTitle,1492)="","",INDEX(BookTotal,1492)*'5. Scenarios'!$B$6/(1+ProductivityDefault*('5. Scenarios'!$B$11-1)))</f>
        <v/>
      </c>
      <c r="E1497" s="57" t="str">
        <f aca="false">IF($D1497="","",INDEX(BookRate,1492)*(1+'5. Scenarios'!$B$10)*$D1497)</f>
        <v/>
      </c>
      <c r="F1497" s="57" t="str">
        <f aca="false">IF($E1497="","",SUMIFS($E$6:$E$2405,$A$6:$A$2405,"&lt;="&amp;$A1497))</f>
        <v/>
      </c>
      <c r="G1497" s="57" t="str">
        <f aca="false">IF($E1497="","",IF($F1497&lt;=BankCostEnvelope*'5. Scenarios'!$B$7,1,0))</f>
        <v/>
      </c>
      <c r="H1497" s="57" t="str">
        <f aca="false">IF($D1497="","",INDEX(BookRate,1492)*(1+'5. Scenarios'!$B$10)*(INDEX(BookQ1,1492)*(5-MIN(4,1+'5. Scenarios'!$B$8))/4+INDEX(BookQ2,1492)*(5-MIN(4,2+'5. Scenarios'!$B$8))/4+INDEX(BookQ3,1492)*(5-MIN(4,3+'5. Scenarios'!$B$8))/4+INDEX(BookQ4,1492)*(5-MIN(4,4+'5. Scenarios'!$B$8))/4)*'5. Scenarios'!$B$6/(1+ProductivityDefault*('5. Scenarios'!$B$11-1))+INDEX(BookOneOff,1492)*$D1497)</f>
        <v/>
      </c>
      <c r="I1497" s="56" t="str">
        <f aca="false">IF(INDEX(BookTitle,1492)="","",INDEX(BookTotal,1492)*'5. Scenarios'!$C$6/(1+ProductivityDefault*('5. Scenarios'!$C$11-1)))</f>
        <v/>
      </c>
      <c r="J1497" s="57" t="str">
        <f aca="false">IF($I1497="","",INDEX(BookRate,1492)*(1+'5. Scenarios'!$C$10)*$I1497)</f>
        <v/>
      </c>
      <c r="K1497" s="57" t="str">
        <f aca="false">IF($J1497="","",SUMIFS($J$6:$J$2405,$A$6:$A$2405,"&lt;="&amp;$A1497))</f>
        <v/>
      </c>
      <c r="L1497" s="57" t="str">
        <f aca="false">IF($J1497="","",IF($K1497&lt;=BankCostEnvelope*'5. Scenarios'!$C$7,1,0))</f>
        <v/>
      </c>
      <c r="M1497" s="57" t="str">
        <f aca="false">IF($I1497="","",INDEX(BookRate,1492)*(1+'5. Scenarios'!$C$10)*(INDEX(BookQ1,1492)*(5-MIN(4,1+'5. Scenarios'!$C$8))/4+INDEX(BookQ2,1492)*(5-MIN(4,2+'5. Scenarios'!$C$8))/4+INDEX(BookQ3,1492)*(5-MIN(4,3+'5. Scenarios'!$C$8))/4+INDEX(BookQ4,1492)*(5-MIN(4,4+'5. Scenarios'!$C$8))/4)*'5. Scenarios'!$C$6/(1+ProductivityDefault*('5. Scenarios'!$C$11-1))+INDEX(BookOneOff,1492)*$I1497)</f>
        <v/>
      </c>
      <c r="N1497" s="56" t="str">
        <f aca="false">IF(INDEX(BookTitle,1492)="","",INDEX(BookTotal,1492)*'5. Scenarios'!$D$6/(1+ProductivityDefault*('5. Scenarios'!$D$11-1)))</f>
        <v/>
      </c>
      <c r="O1497" s="57" t="str">
        <f aca="false">IF($N1497="","",INDEX(BookRate,1492)*(1+'5. Scenarios'!$D$10)*$N1497)</f>
        <v/>
      </c>
      <c r="P1497" s="57" t="str">
        <f aca="false">IF($O1497="","",SUMIFS($O$6:$O$2405,$A$6:$A$2405,"&lt;="&amp;$A1497))</f>
        <v/>
      </c>
      <c r="Q1497" s="57" t="str">
        <f aca="false">IF($O1497="","",IF($P1497&lt;=BankCostEnvelope*'5. Scenarios'!$D$7,1,0))</f>
        <v/>
      </c>
      <c r="R1497" s="57" t="str">
        <f aca="false">IF($N1497="","",INDEX(BookRate,1492)*(1+'5. Scenarios'!$D$10)*(INDEX(BookQ1,1492)*(5-MIN(4,1+'5. Scenarios'!$D$8))/4+INDEX(BookQ2,1492)*(5-MIN(4,2+'5. Scenarios'!$D$8))/4+INDEX(BookQ3,1492)*(5-MIN(4,3+'5. Scenarios'!$D$8))/4+INDEX(BookQ4,1492)*(5-MIN(4,4+'5. Scenarios'!$D$8))/4)*'5. Scenarios'!$D$6/(1+ProductivityDefault*('5. Scenarios'!$D$11-1))+INDEX(BookOneOff,1492)*$N1497)</f>
        <v/>
      </c>
      <c r="S1497" s="56" t="str">
        <f aca="false">IF(INDEX(BookTitle,1492)="","",INDEX(BookTotal,1492)*'5. Scenarios'!$E$6/(1+ProductivityDefault*('5. Scenarios'!$E$11-1)))</f>
        <v/>
      </c>
      <c r="T1497" s="57" t="str">
        <f aca="false">IF($S1497="","",INDEX(BookRate,1492)*(1+'5. Scenarios'!$E$10)*$S1497)</f>
        <v/>
      </c>
      <c r="U1497" s="57" t="str">
        <f aca="false">IF($T1497="","",SUMIFS($T$6:$T$2405,$A$6:$A$2405,"&lt;="&amp;$A1497))</f>
        <v/>
      </c>
      <c r="V1497" s="57" t="str">
        <f aca="false">IF($T1497="","",IF($U1497&lt;=BankCostEnvelope*'5. Scenarios'!$E$7,1,0))</f>
        <v/>
      </c>
      <c r="W1497" s="57" t="str">
        <f aca="false">IF($S1497="","",INDEX(BookRate,1492)*(1+'5. Scenarios'!$E$10)*(INDEX(BookQ1,1492)*(5-MIN(4,1+'5. Scenarios'!$E$8))/4+INDEX(BookQ2,1492)*(5-MIN(4,2+'5. Scenarios'!$E$8))/4+INDEX(BookQ3,1492)*(5-MIN(4,3+'5. Scenarios'!$E$8))/4+INDEX(BookQ4,1492)*(5-MIN(4,4+'5. Scenarios'!$E$8))/4)*'5. Scenarios'!$E$6/(1+ProductivityDefault*('5. Scenarios'!$E$11-1))+INDEX(BookOneOff,1492)*$S1497)</f>
        <v/>
      </c>
    </row>
    <row r="1498" customFormat="false" ht="15" hidden="false" customHeight="false" outlineLevel="0" collapsed="false">
      <c r="A1498" s="0" t="str">
        <f aca="false">IF(INDEX(BookTitle,1493)="","",INDEX(BookKey,1493))</f>
        <v/>
      </c>
      <c r="B1498" s="0" t="str">
        <f aca="false">IF(INDEX(BookTitle,1493)="","",INDEX(BookGroup,1493))</f>
        <v/>
      </c>
      <c r="C1498" s="0" t="str">
        <f aca="false">IF(INDEX(BookTitle,1493)="","",INDEX(BookCategory,1493))</f>
        <v/>
      </c>
      <c r="D1498" s="56" t="str">
        <f aca="false">IF(INDEX(BookTitle,1493)="","",INDEX(BookTotal,1493)*'5. Scenarios'!$B$6/(1+ProductivityDefault*('5. Scenarios'!$B$11-1)))</f>
        <v/>
      </c>
      <c r="E1498" s="57" t="str">
        <f aca="false">IF($D1498="","",INDEX(BookRate,1493)*(1+'5. Scenarios'!$B$10)*$D1498)</f>
        <v/>
      </c>
      <c r="F1498" s="57" t="str">
        <f aca="false">IF($E1498="","",SUMIFS($E$6:$E$2405,$A$6:$A$2405,"&lt;="&amp;$A1498))</f>
        <v/>
      </c>
      <c r="G1498" s="57" t="str">
        <f aca="false">IF($E1498="","",IF($F1498&lt;=BankCostEnvelope*'5. Scenarios'!$B$7,1,0))</f>
        <v/>
      </c>
      <c r="H1498" s="57" t="str">
        <f aca="false">IF($D1498="","",INDEX(BookRate,1493)*(1+'5. Scenarios'!$B$10)*(INDEX(BookQ1,1493)*(5-MIN(4,1+'5. Scenarios'!$B$8))/4+INDEX(BookQ2,1493)*(5-MIN(4,2+'5. Scenarios'!$B$8))/4+INDEX(BookQ3,1493)*(5-MIN(4,3+'5. Scenarios'!$B$8))/4+INDEX(BookQ4,1493)*(5-MIN(4,4+'5. Scenarios'!$B$8))/4)*'5. Scenarios'!$B$6/(1+ProductivityDefault*('5. Scenarios'!$B$11-1))+INDEX(BookOneOff,1493)*$D1498)</f>
        <v/>
      </c>
      <c r="I1498" s="56" t="str">
        <f aca="false">IF(INDEX(BookTitle,1493)="","",INDEX(BookTotal,1493)*'5. Scenarios'!$C$6/(1+ProductivityDefault*('5. Scenarios'!$C$11-1)))</f>
        <v/>
      </c>
      <c r="J1498" s="57" t="str">
        <f aca="false">IF($I1498="","",INDEX(BookRate,1493)*(1+'5. Scenarios'!$C$10)*$I1498)</f>
        <v/>
      </c>
      <c r="K1498" s="57" t="str">
        <f aca="false">IF($J1498="","",SUMIFS($J$6:$J$2405,$A$6:$A$2405,"&lt;="&amp;$A1498))</f>
        <v/>
      </c>
      <c r="L1498" s="57" t="str">
        <f aca="false">IF($J1498="","",IF($K1498&lt;=BankCostEnvelope*'5. Scenarios'!$C$7,1,0))</f>
        <v/>
      </c>
      <c r="M1498" s="57" t="str">
        <f aca="false">IF($I1498="","",INDEX(BookRate,1493)*(1+'5. Scenarios'!$C$10)*(INDEX(BookQ1,1493)*(5-MIN(4,1+'5. Scenarios'!$C$8))/4+INDEX(BookQ2,1493)*(5-MIN(4,2+'5. Scenarios'!$C$8))/4+INDEX(BookQ3,1493)*(5-MIN(4,3+'5. Scenarios'!$C$8))/4+INDEX(BookQ4,1493)*(5-MIN(4,4+'5. Scenarios'!$C$8))/4)*'5. Scenarios'!$C$6/(1+ProductivityDefault*('5. Scenarios'!$C$11-1))+INDEX(BookOneOff,1493)*$I1498)</f>
        <v/>
      </c>
      <c r="N1498" s="56" t="str">
        <f aca="false">IF(INDEX(BookTitle,1493)="","",INDEX(BookTotal,1493)*'5. Scenarios'!$D$6/(1+ProductivityDefault*('5. Scenarios'!$D$11-1)))</f>
        <v/>
      </c>
      <c r="O1498" s="57" t="str">
        <f aca="false">IF($N1498="","",INDEX(BookRate,1493)*(1+'5. Scenarios'!$D$10)*$N1498)</f>
        <v/>
      </c>
      <c r="P1498" s="57" t="str">
        <f aca="false">IF($O1498="","",SUMIFS($O$6:$O$2405,$A$6:$A$2405,"&lt;="&amp;$A1498))</f>
        <v/>
      </c>
      <c r="Q1498" s="57" t="str">
        <f aca="false">IF($O1498="","",IF($P1498&lt;=BankCostEnvelope*'5. Scenarios'!$D$7,1,0))</f>
        <v/>
      </c>
      <c r="R1498" s="57" t="str">
        <f aca="false">IF($N1498="","",INDEX(BookRate,1493)*(1+'5. Scenarios'!$D$10)*(INDEX(BookQ1,1493)*(5-MIN(4,1+'5. Scenarios'!$D$8))/4+INDEX(BookQ2,1493)*(5-MIN(4,2+'5. Scenarios'!$D$8))/4+INDEX(BookQ3,1493)*(5-MIN(4,3+'5. Scenarios'!$D$8))/4+INDEX(BookQ4,1493)*(5-MIN(4,4+'5. Scenarios'!$D$8))/4)*'5. Scenarios'!$D$6/(1+ProductivityDefault*('5. Scenarios'!$D$11-1))+INDEX(BookOneOff,1493)*$N1498)</f>
        <v/>
      </c>
      <c r="S1498" s="56" t="str">
        <f aca="false">IF(INDEX(BookTitle,1493)="","",INDEX(BookTotal,1493)*'5. Scenarios'!$E$6/(1+ProductivityDefault*('5. Scenarios'!$E$11-1)))</f>
        <v/>
      </c>
      <c r="T1498" s="57" t="str">
        <f aca="false">IF($S1498="","",INDEX(BookRate,1493)*(1+'5. Scenarios'!$E$10)*$S1498)</f>
        <v/>
      </c>
      <c r="U1498" s="57" t="str">
        <f aca="false">IF($T1498="","",SUMIFS($T$6:$T$2405,$A$6:$A$2405,"&lt;="&amp;$A1498))</f>
        <v/>
      </c>
      <c r="V1498" s="57" t="str">
        <f aca="false">IF($T1498="","",IF($U1498&lt;=BankCostEnvelope*'5. Scenarios'!$E$7,1,0))</f>
        <v/>
      </c>
      <c r="W1498" s="57" t="str">
        <f aca="false">IF($S1498="","",INDEX(BookRate,1493)*(1+'5. Scenarios'!$E$10)*(INDEX(BookQ1,1493)*(5-MIN(4,1+'5. Scenarios'!$E$8))/4+INDEX(BookQ2,1493)*(5-MIN(4,2+'5. Scenarios'!$E$8))/4+INDEX(BookQ3,1493)*(5-MIN(4,3+'5. Scenarios'!$E$8))/4+INDEX(BookQ4,1493)*(5-MIN(4,4+'5. Scenarios'!$E$8))/4)*'5. Scenarios'!$E$6/(1+ProductivityDefault*('5. Scenarios'!$E$11-1))+INDEX(BookOneOff,1493)*$S1498)</f>
        <v/>
      </c>
    </row>
    <row r="1499" customFormat="false" ht="15" hidden="false" customHeight="false" outlineLevel="0" collapsed="false">
      <c r="A1499" s="0" t="str">
        <f aca="false">IF(INDEX(BookTitle,1494)="","",INDEX(BookKey,1494))</f>
        <v/>
      </c>
      <c r="B1499" s="0" t="str">
        <f aca="false">IF(INDEX(BookTitle,1494)="","",INDEX(BookGroup,1494))</f>
        <v/>
      </c>
      <c r="C1499" s="0" t="str">
        <f aca="false">IF(INDEX(BookTitle,1494)="","",INDEX(BookCategory,1494))</f>
        <v/>
      </c>
      <c r="D1499" s="56" t="str">
        <f aca="false">IF(INDEX(BookTitle,1494)="","",INDEX(BookTotal,1494)*'5. Scenarios'!$B$6/(1+ProductivityDefault*('5. Scenarios'!$B$11-1)))</f>
        <v/>
      </c>
      <c r="E1499" s="57" t="str">
        <f aca="false">IF($D1499="","",INDEX(BookRate,1494)*(1+'5. Scenarios'!$B$10)*$D1499)</f>
        <v/>
      </c>
      <c r="F1499" s="57" t="str">
        <f aca="false">IF($E1499="","",SUMIFS($E$6:$E$2405,$A$6:$A$2405,"&lt;="&amp;$A1499))</f>
        <v/>
      </c>
      <c r="G1499" s="57" t="str">
        <f aca="false">IF($E1499="","",IF($F1499&lt;=BankCostEnvelope*'5. Scenarios'!$B$7,1,0))</f>
        <v/>
      </c>
      <c r="H1499" s="57" t="str">
        <f aca="false">IF($D1499="","",INDEX(BookRate,1494)*(1+'5. Scenarios'!$B$10)*(INDEX(BookQ1,1494)*(5-MIN(4,1+'5. Scenarios'!$B$8))/4+INDEX(BookQ2,1494)*(5-MIN(4,2+'5. Scenarios'!$B$8))/4+INDEX(BookQ3,1494)*(5-MIN(4,3+'5. Scenarios'!$B$8))/4+INDEX(BookQ4,1494)*(5-MIN(4,4+'5. Scenarios'!$B$8))/4)*'5. Scenarios'!$B$6/(1+ProductivityDefault*('5. Scenarios'!$B$11-1))+INDEX(BookOneOff,1494)*$D1499)</f>
        <v/>
      </c>
      <c r="I1499" s="56" t="str">
        <f aca="false">IF(INDEX(BookTitle,1494)="","",INDEX(BookTotal,1494)*'5. Scenarios'!$C$6/(1+ProductivityDefault*('5. Scenarios'!$C$11-1)))</f>
        <v/>
      </c>
      <c r="J1499" s="57" t="str">
        <f aca="false">IF($I1499="","",INDEX(BookRate,1494)*(1+'5. Scenarios'!$C$10)*$I1499)</f>
        <v/>
      </c>
      <c r="K1499" s="57" t="str">
        <f aca="false">IF($J1499="","",SUMIFS($J$6:$J$2405,$A$6:$A$2405,"&lt;="&amp;$A1499))</f>
        <v/>
      </c>
      <c r="L1499" s="57" t="str">
        <f aca="false">IF($J1499="","",IF($K1499&lt;=BankCostEnvelope*'5. Scenarios'!$C$7,1,0))</f>
        <v/>
      </c>
      <c r="M1499" s="57" t="str">
        <f aca="false">IF($I1499="","",INDEX(BookRate,1494)*(1+'5. Scenarios'!$C$10)*(INDEX(BookQ1,1494)*(5-MIN(4,1+'5. Scenarios'!$C$8))/4+INDEX(BookQ2,1494)*(5-MIN(4,2+'5. Scenarios'!$C$8))/4+INDEX(BookQ3,1494)*(5-MIN(4,3+'5. Scenarios'!$C$8))/4+INDEX(BookQ4,1494)*(5-MIN(4,4+'5. Scenarios'!$C$8))/4)*'5. Scenarios'!$C$6/(1+ProductivityDefault*('5. Scenarios'!$C$11-1))+INDEX(BookOneOff,1494)*$I1499)</f>
        <v/>
      </c>
      <c r="N1499" s="56" t="str">
        <f aca="false">IF(INDEX(BookTitle,1494)="","",INDEX(BookTotal,1494)*'5. Scenarios'!$D$6/(1+ProductivityDefault*('5. Scenarios'!$D$11-1)))</f>
        <v/>
      </c>
      <c r="O1499" s="57" t="str">
        <f aca="false">IF($N1499="","",INDEX(BookRate,1494)*(1+'5. Scenarios'!$D$10)*$N1499)</f>
        <v/>
      </c>
      <c r="P1499" s="57" t="str">
        <f aca="false">IF($O1499="","",SUMIFS($O$6:$O$2405,$A$6:$A$2405,"&lt;="&amp;$A1499))</f>
        <v/>
      </c>
      <c r="Q1499" s="57" t="str">
        <f aca="false">IF($O1499="","",IF($P1499&lt;=BankCostEnvelope*'5. Scenarios'!$D$7,1,0))</f>
        <v/>
      </c>
      <c r="R1499" s="57" t="str">
        <f aca="false">IF($N1499="","",INDEX(BookRate,1494)*(1+'5. Scenarios'!$D$10)*(INDEX(BookQ1,1494)*(5-MIN(4,1+'5. Scenarios'!$D$8))/4+INDEX(BookQ2,1494)*(5-MIN(4,2+'5. Scenarios'!$D$8))/4+INDEX(BookQ3,1494)*(5-MIN(4,3+'5. Scenarios'!$D$8))/4+INDEX(BookQ4,1494)*(5-MIN(4,4+'5. Scenarios'!$D$8))/4)*'5. Scenarios'!$D$6/(1+ProductivityDefault*('5. Scenarios'!$D$11-1))+INDEX(BookOneOff,1494)*$N1499)</f>
        <v/>
      </c>
      <c r="S1499" s="56" t="str">
        <f aca="false">IF(INDEX(BookTitle,1494)="","",INDEX(BookTotal,1494)*'5. Scenarios'!$E$6/(1+ProductivityDefault*('5. Scenarios'!$E$11-1)))</f>
        <v/>
      </c>
      <c r="T1499" s="57" t="str">
        <f aca="false">IF($S1499="","",INDEX(BookRate,1494)*(1+'5. Scenarios'!$E$10)*$S1499)</f>
        <v/>
      </c>
      <c r="U1499" s="57" t="str">
        <f aca="false">IF($T1499="","",SUMIFS($T$6:$T$2405,$A$6:$A$2405,"&lt;="&amp;$A1499))</f>
        <v/>
      </c>
      <c r="V1499" s="57" t="str">
        <f aca="false">IF($T1499="","",IF($U1499&lt;=BankCostEnvelope*'5. Scenarios'!$E$7,1,0))</f>
        <v/>
      </c>
      <c r="W1499" s="57" t="str">
        <f aca="false">IF($S1499="","",INDEX(BookRate,1494)*(1+'5. Scenarios'!$E$10)*(INDEX(BookQ1,1494)*(5-MIN(4,1+'5. Scenarios'!$E$8))/4+INDEX(BookQ2,1494)*(5-MIN(4,2+'5. Scenarios'!$E$8))/4+INDEX(BookQ3,1494)*(5-MIN(4,3+'5. Scenarios'!$E$8))/4+INDEX(BookQ4,1494)*(5-MIN(4,4+'5. Scenarios'!$E$8))/4)*'5. Scenarios'!$E$6/(1+ProductivityDefault*('5. Scenarios'!$E$11-1))+INDEX(BookOneOff,1494)*$S1499)</f>
        <v/>
      </c>
    </row>
    <row r="1500" customFormat="false" ht="15" hidden="false" customHeight="false" outlineLevel="0" collapsed="false">
      <c r="A1500" s="0" t="str">
        <f aca="false">IF(INDEX(BookTitle,1495)="","",INDEX(BookKey,1495))</f>
        <v/>
      </c>
      <c r="B1500" s="0" t="str">
        <f aca="false">IF(INDEX(BookTitle,1495)="","",INDEX(BookGroup,1495))</f>
        <v/>
      </c>
      <c r="C1500" s="0" t="str">
        <f aca="false">IF(INDEX(BookTitle,1495)="","",INDEX(BookCategory,1495))</f>
        <v/>
      </c>
      <c r="D1500" s="56" t="str">
        <f aca="false">IF(INDEX(BookTitle,1495)="","",INDEX(BookTotal,1495)*'5. Scenarios'!$B$6/(1+ProductivityDefault*('5. Scenarios'!$B$11-1)))</f>
        <v/>
      </c>
      <c r="E1500" s="57" t="str">
        <f aca="false">IF($D1500="","",INDEX(BookRate,1495)*(1+'5. Scenarios'!$B$10)*$D1500)</f>
        <v/>
      </c>
      <c r="F1500" s="57" t="str">
        <f aca="false">IF($E1500="","",SUMIFS($E$6:$E$2405,$A$6:$A$2405,"&lt;="&amp;$A1500))</f>
        <v/>
      </c>
      <c r="G1500" s="57" t="str">
        <f aca="false">IF($E1500="","",IF($F1500&lt;=BankCostEnvelope*'5. Scenarios'!$B$7,1,0))</f>
        <v/>
      </c>
      <c r="H1500" s="57" t="str">
        <f aca="false">IF($D1500="","",INDEX(BookRate,1495)*(1+'5. Scenarios'!$B$10)*(INDEX(BookQ1,1495)*(5-MIN(4,1+'5. Scenarios'!$B$8))/4+INDEX(BookQ2,1495)*(5-MIN(4,2+'5. Scenarios'!$B$8))/4+INDEX(BookQ3,1495)*(5-MIN(4,3+'5. Scenarios'!$B$8))/4+INDEX(BookQ4,1495)*(5-MIN(4,4+'5. Scenarios'!$B$8))/4)*'5. Scenarios'!$B$6/(1+ProductivityDefault*('5. Scenarios'!$B$11-1))+INDEX(BookOneOff,1495)*$D1500)</f>
        <v/>
      </c>
      <c r="I1500" s="56" t="str">
        <f aca="false">IF(INDEX(BookTitle,1495)="","",INDEX(BookTotal,1495)*'5. Scenarios'!$C$6/(1+ProductivityDefault*('5. Scenarios'!$C$11-1)))</f>
        <v/>
      </c>
      <c r="J1500" s="57" t="str">
        <f aca="false">IF($I1500="","",INDEX(BookRate,1495)*(1+'5. Scenarios'!$C$10)*$I1500)</f>
        <v/>
      </c>
      <c r="K1500" s="57" t="str">
        <f aca="false">IF($J1500="","",SUMIFS($J$6:$J$2405,$A$6:$A$2405,"&lt;="&amp;$A1500))</f>
        <v/>
      </c>
      <c r="L1500" s="57" t="str">
        <f aca="false">IF($J1500="","",IF($K1500&lt;=BankCostEnvelope*'5. Scenarios'!$C$7,1,0))</f>
        <v/>
      </c>
      <c r="M1500" s="57" t="str">
        <f aca="false">IF($I1500="","",INDEX(BookRate,1495)*(1+'5. Scenarios'!$C$10)*(INDEX(BookQ1,1495)*(5-MIN(4,1+'5. Scenarios'!$C$8))/4+INDEX(BookQ2,1495)*(5-MIN(4,2+'5. Scenarios'!$C$8))/4+INDEX(BookQ3,1495)*(5-MIN(4,3+'5. Scenarios'!$C$8))/4+INDEX(BookQ4,1495)*(5-MIN(4,4+'5. Scenarios'!$C$8))/4)*'5. Scenarios'!$C$6/(1+ProductivityDefault*('5. Scenarios'!$C$11-1))+INDEX(BookOneOff,1495)*$I1500)</f>
        <v/>
      </c>
      <c r="N1500" s="56" t="str">
        <f aca="false">IF(INDEX(BookTitle,1495)="","",INDEX(BookTotal,1495)*'5. Scenarios'!$D$6/(1+ProductivityDefault*('5. Scenarios'!$D$11-1)))</f>
        <v/>
      </c>
      <c r="O1500" s="57" t="str">
        <f aca="false">IF($N1500="","",INDEX(BookRate,1495)*(1+'5. Scenarios'!$D$10)*$N1500)</f>
        <v/>
      </c>
      <c r="P1500" s="57" t="str">
        <f aca="false">IF($O1500="","",SUMIFS($O$6:$O$2405,$A$6:$A$2405,"&lt;="&amp;$A1500))</f>
        <v/>
      </c>
      <c r="Q1500" s="57" t="str">
        <f aca="false">IF($O1500="","",IF($P1500&lt;=BankCostEnvelope*'5. Scenarios'!$D$7,1,0))</f>
        <v/>
      </c>
      <c r="R1500" s="57" t="str">
        <f aca="false">IF($N1500="","",INDEX(BookRate,1495)*(1+'5. Scenarios'!$D$10)*(INDEX(BookQ1,1495)*(5-MIN(4,1+'5. Scenarios'!$D$8))/4+INDEX(BookQ2,1495)*(5-MIN(4,2+'5. Scenarios'!$D$8))/4+INDEX(BookQ3,1495)*(5-MIN(4,3+'5. Scenarios'!$D$8))/4+INDEX(BookQ4,1495)*(5-MIN(4,4+'5. Scenarios'!$D$8))/4)*'5. Scenarios'!$D$6/(1+ProductivityDefault*('5. Scenarios'!$D$11-1))+INDEX(BookOneOff,1495)*$N1500)</f>
        <v/>
      </c>
      <c r="S1500" s="56" t="str">
        <f aca="false">IF(INDEX(BookTitle,1495)="","",INDEX(BookTotal,1495)*'5. Scenarios'!$E$6/(1+ProductivityDefault*('5. Scenarios'!$E$11-1)))</f>
        <v/>
      </c>
      <c r="T1500" s="57" t="str">
        <f aca="false">IF($S1500="","",INDEX(BookRate,1495)*(1+'5. Scenarios'!$E$10)*$S1500)</f>
        <v/>
      </c>
      <c r="U1500" s="57" t="str">
        <f aca="false">IF($T1500="","",SUMIFS($T$6:$T$2405,$A$6:$A$2405,"&lt;="&amp;$A1500))</f>
        <v/>
      </c>
      <c r="V1500" s="57" t="str">
        <f aca="false">IF($T1500="","",IF($U1500&lt;=BankCostEnvelope*'5. Scenarios'!$E$7,1,0))</f>
        <v/>
      </c>
      <c r="W1500" s="57" t="str">
        <f aca="false">IF($S1500="","",INDEX(BookRate,1495)*(1+'5. Scenarios'!$E$10)*(INDEX(BookQ1,1495)*(5-MIN(4,1+'5. Scenarios'!$E$8))/4+INDEX(BookQ2,1495)*(5-MIN(4,2+'5. Scenarios'!$E$8))/4+INDEX(BookQ3,1495)*(5-MIN(4,3+'5. Scenarios'!$E$8))/4+INDEX(BookQ4,1495)*(5-MIN(4,4+'5. Scenarios'!$E$8))/4)*'5. Scenarios'!$E$6/(1+ProductivityDefault*('5. Scenarios'!$E$11-1))+INDEX(BookOneOff,1495)*$S1500)</f>
        <v/>
      </c>
    </row>
    <row r="1501" customFormat="false" ht="15" hidden="false" customHeight="false" outlineLevel="0" collapsed="false">
      <c r="A1501" s="0" t="str">
        <f aca="false">IF(INDEX(BookTitle,1496)="","",INDEX(BookKey,1496))</f>
        <v/>
      </c>
      <c r="B1501" s="0" t="str">
        <f aca="false">IF(INDEX(BookTitle,1496)="","",INDEX(BookGroup,1496))</f>
        <v/>
      </c>
      <c r="C1501" s="0" t="str">
        <f aca="false">IF(INDEX(BookTitle,1496)="","",INDEX(BookCategory,1496))</f>
        <v/>
      </c>
      <c r="D1501" s="56" t="str">
        <f aca="false">IF(INDEX(BookTitle,1496)="","",INDEX(BookTotal,1496)*'5. Scenarios'!$B$6/(1+ProductivityDefault*('5. Scenarios'!$B$11-1)))</f>
        <v/>
      </c>
      <c r="E1501" s="57" t="str">
        <f aca="false">IF($D1501="","",INDEX(BookRate,1496)*(1+'5. Scenarios'!$B$10)*$D1501)</f>
        <v/>
      </c>
      <c r="F1501" s="57" t="str">
        <f aca="false">IF($E1501="","",SUMIFS($E$6:$E$2405,$A$6:$A$2405,"&lt;="&amp;$A1501))</f>
        <v/>
      </c>
      <c r="G1501" s="57" t="str">
        <f aca="false">IF($E1501="","",IF($F1501&lt;=BankCostEnvelope*'5. Scenarios'!$B$7,1,0))</f>
        <v/>
      </c>
      <c r="H1501" s="57" t="str">
        <f aca="false">IF($D1501="","",INDEX(BookRate,1496)*(1+'5. Scenarios'!$B$10)*(INDEX(BookQ1,1496)*(5-MIN(4,1+'5. Scenarios'!$B$8))/4+INDEX(BookQ2,1496)*(5-MIN(4,2+'5. Scenarios'!$B$8))/4+INDEX(BookQ3,1496)*(5-MIN(4,3+'5. Scenarios'!$B$8))/4+INDEX(BookQ4,1496)*(5-MIN(4,4+'5. Scenarios'!$B$8))/4)*'5. Scenarios'!$B$6/(1+ProductivityDefault*('5. Scenarios'!$B$11-1))+INDEX(BookOneOff,1496)*$D1501)</f>
        <v/>
      </c>
      <c r="I1501" s="56" t="str">
        <f aca="false">IF(INDEX(BookTitle,1496)="","",INDEX(BookTotal,1496)*'5. Scenarios'!$C$6/(1+ProductivityDefault*('5. Scenarios'!$C$11-1)))</f>
        <v/>
      </c>
      <c r="J1501" s="57" t="str">
        <f aca="false">IF($I1501="","",INDEX(BookRate,1496)*(1+'5. Scenarios'!$C$10)*$I1501)</f>
        <v/>
      </c>
      <c r="K1501" s="57" t="str">
        <f aca="false">IF($J1501="","",SUMIFS($J$6:$J$2405,$A$6:$A$2405,"&lt;="&amp;$A1501))</f>
        <v/>
      </c>
      <c r="L1501" s="57" t="str">
        <f aca="false">IF($J1501="","",IF($K1501&lt;=BankCostEnvelope*'5. Scenarios'!$C$7,1,0))</f>
        <v/>
      </c>
      <c r="M1501" s="57" t="str">
        <f aca="false">IF($I1501="","",INDEX(BookRate,1496)*(1+'5. Scenarios'!$C$10)*(INDEX(BookQ1,1496)*(5-MIN(4,1+'5. Scenarios'!$C$8))/4+INDEX(BookQ2,1496)*(5-MIN(4,2+'5. Scenarios'!$C$8))/4+INDEX(BookQ3,1496)*(5-MIN(4,3+'5. Scenarios'!$C$8))/4+INDEX(BookQ4,1496)*(5-MIN(4,4+'5. Scenarios'!$C$8))/4)*'5. Scenarios'!$C$6/(1+ProductivityDefault*('5. Scenarios'!$C$11-1))+INDEX(BookOneOff,1496)*$I1501)</f>
        <v/>
      </c>
      <c r="N1501" s="56" t="str">
        <f aca="false">IF(INDEX(BookTitle,1496)="","",INDEX(BookTotal,1496)*'5. Scenarios'!$D$6/(1+ProductivityDefault*('5. Scenarios'!$D$11-1)))</f>
        <v/>
      </c>
      <c r="O1501" s="57" t="str">
        <f aca="false">IF($N1501="","",INDEX(BookRate,1496)*(1+'5. Scenarios'!$D$10)*$N1501)</f>
        <v/>
      </c>
      <c r="P1501" s="57" t="str">
        <f aca="false">IF($O1501="","",SUMIFS($O$6:$O$2405,$A$6:$A$2405,"&lt;="&amp;$A1501))</f>
        <v/>
      </c>
      <c r="Q1501" s="57" t="str">
        <f aca="false">IF($O1501="","",IF($P1501&lt;=BankCostEnvelope*'5. Scenarios'!$D$7,1,0))</f>
        <v/>
      </c>
      <c r="R1501" s="57" t="str">
        <f aca="false">IF($N1501="","",INDEX(BookRate,1496)*(1+'5. Scenarios'!$D$10)*(INDEX(BookQ1,1496)*(5-MIN(4,1+'5. Scenarios'!$D$8))/4+INDEX(BookQ2,1496)*(5-MIN(4,2+'5. Scenarios'!$D$8))/4+INDEX(BookQ3,1496)*(5-MIN(4,3+'5. Scenarios'!$D$8))/4+INDEX(BookQ4,1496)*(5-MIN(4,4+'5. Scenarios'!$D$8))/4)*'5. Scenarios'!$D$6/(1+ProductivityDefault*('5. Scenarios'!$D$11-1))+INDEX(BookOneOff,1496)*$N1501)</f>
        <v/>
      </c>
      <c r="S1501" s="56" t="str">
        <f aca="false">IF(INDEX(BookTitle,1496)="","",INDEX(BookTotal,1496)*'5. Scenarios'!$E$6/(1+ProductivityDefault*('5. Scenarios'!$E$11-1)))</f>
        <v/>
      </c>
      <c r="T1501" s="57" t="str">
        <f aca="false">IF($S1501="","",INDEX(BookRate,1496)*(1+'5. Scenarios'!$E$10)*$S1501)</f>
        <v/>
      </c>
      <c r="U1501" s="57" t="str">
        <f aca="false">IF($T1501="","",SUMIFS($T$6:$T$2405,$A$6:$A$2405,"&lt;="&amp;$A1501))</f>
        <v/>
      </c>
      <c r="V1501" s="57" t="str">
        <f aca="false">IF($T1501="","",IF($U1501&lt;=BankCostEnvelope*'5. Scenarios'!$E$7,1,0))</f>
        <v/>
      </c>
      <c r="W1501" s="57" t="str">
        <f aca="false">IF($S1501="","",INDEX(BookRate,1496)*(1+'5. Scenarios'!$E$10)*(INDEX(BookQ1,1496)*(5-MIN(4,1+'5. Scenarios'!$E$8))/4+INDEX(BookQ2,1496)*(5-MIN(4,2+'5. Scenarios'!$E$8))/4+INDEX(BookQ3,1496)*(5-MIN(4,3+'5. Scenarios'!$E$8))/4+INDEX(BookQ4,1496)*(5-MIN(4,4+'5. Scenarios'!$E$8))/4)*'5. Scenarios'!$E$6/(1+ProductivityDefault*('5. Scenarios'!$E$11-1))+INDEX(BookOneOff,1496)*$S1501)</f>
        <v/>
      </c>
    </row>
    <row r="1502" customFormat="false" ht="15" hidden="false" customHeight="false" outlineLevel="0" collapsed="false">
      <c r="A1502" s="0" t="str">
        <f aca="false">IF(INDEX(BookTitle,1497)="","",INDEX(BookKey,1497))</f>
        <v/>
      </c>
      <c r="B1502" s="0" t="str">
        <f aca="false">IF(INDEX(BookTitle,1497)="","",INDEX(BookGroup,1497))</f>
        <v/>
      </c>
      <c r="C1502" s="0" t="str">
        <f aca="false">IF(INDEX(BookTitle,1497)="","",INDEX(BookCategory,1497))</f>
        <v/>
      </c>
      <c r="D1502" s="56" t="str">
        <f aca="false">IF(INDEX(BookTitle,1497)="","",INDEX(BookTotal,1497)*'5. Scenarios'!$B$6/(1+ProductivityDefault*('5. Scenarios'!$B$11-1)))</f>
        <v/>
      </c>
      <c r="E1502" s="57" t="str">
        <f aca="false">IF($D1502="","",INDEX(BookRate,1497)*(1+'5. Scenarios'!$B$10)*$D1502)</f>
        <v/>
      </c>
      <c r="F1502" s="57" t="str">
        <f aca="false">IF($E1502="","",SUMIFS($E$6:$E$2405,$A$6:$A$2405,"&lt;="&amp;$A1502))</f>
        <v/>
      </c>
      <c r="G1502" s="57" t="str">
        <f aca="false">IF($E1502="","",IF($F1502&lt;=BankCostEnvelope*'5. Scenarios'!$B$7,1,0))</f>
        <v/>
      </c>
      <c r="H1502" s="57" t="str">
        <f aca="false">IF($D1502="","",INDEX(BookRate,1497)*(1+'5. Scenarios'!$B$10)*(INDEX(BookQ1,1497)*(5-MIN(4,1+'5. Scenarios'!$B$8))/4+INDEX(BookQ2,1497)*(5-MIN(4,2+'5. Scenarios'!$B$8))/4+INDEX(BookQ3,1497)*(5-MIN(4,3+'5. Scenarios'!$B$8))/4+INDEX(BookQ4,1497)*(5-MIN(4,4+'5. Scenarios'!$B$8))/4)*'5. Scenarios'!$B$6/(1+ProductivityDefault*('5. Scenarios'!$B$11-1))+INDEX(BookOneOff,1497)*$D1502)</f>
        <v/>
      </c>
      <c r="I1502" s="56" t="str">
        <f aca="false">IF(INDEX(BookTitle,1497)="","",INDEX(BookTotal,1497)*'5. Scenarios'!$C$6/(1+ProductivityDefault*('5. Scenarios'!$C$11-1)))</f>
        <v/>
      </c>
      <c r="J1502" s="57" t="str">
        <f aca="false">IF($I1502="","",INDEX(BookRate,1497)*(1+'5. Scenarios'!$C$10)*$I1502)</f>
        <v/>
      </c>
      <c r="K1502" s="57" t="str">
        <f aca="false">IF($J1502="","",SUMIFS($J$6:$J$2405,$A$6:$A$2405,"&lt;="&amp;$A1502))</f>
        <v/>
      </c>
      <c r="L1502" s="57" t="str">
        <f aca="false">IF($J1502="","",IF($K1502&lt;=BankCostEnvelope*'5. Scenarios'!$C$7,1,0))</f>
        <v/>
      </c>
      <c r="M1502" s="57" t="str">
        <f aca="false">IF($I1502="","",INDEX(BookRate,1497)*(1+'5. Scenarios'!$C$10)*(INDEX(BookQ1,1497)*(5-MIN(4,1+'5. Scenarios'!$C$8))/4+INDEX(BookQ2,1497)*(5-MIN(4,2+'5. Scenarios'!$C$8))/4+INDEX(BookQ3,1497)*(5-MIN(4,3+'5. Scenarios'!$C$8))/4+INDEX(BookQ4,1497)*(5-MIN(4,4+'5. Scenarios'!$C$8))/4)*'5. Scenarios'!$C$6/(1+ProductivityDefault*('5. Scenarios'!$C$11-1))+INDEX(BookOneOff,1497)*$I1502)</f>
        <v/>
      </c>
      <c r="N1502" s="56" t="str">
        <f aca="false">IF(INDEX(BookTitle,1497)="","",INDEX(BookTotal,1497)*'5. Scenarios'!$D$6/(1+ProductivityDefault*('5. Scenarios'!$D$11-1)))</f>
        <v/>
      </c>
      <c r="O1502" s="57" t="str">
        <f aca="false">IF($N1502="","",INDEX(BookRate,1497)*(1+'5. Scenarios'!$D$10)*$N1502)</f>
        <v/>
      </c>
      <c r="P1502" s="57" t="str">
        <f aca="false">IF($O1502="","",SUMIFS($O$6:$O$2405,$A$6:$A$2405,"&lt;="&amp;$A1502))</f>
        <v/>
      </c>
      <c r="Q1502" s="57" t="str">
        <f aca="false">IF($O1502="","",IF($P1502&lt;=BankCostEnvelope*'5. Scenarios'!$D$7,1,0))</f>
        <v/>
      </c>
      <c r="R1502" s="57" t="str">
        <f aca="false">IF($N1502="","",INDEX(BookRate,1497)*(1+'5. Scenarios'!$D$10)*(INDEX(BookQ1,1497)*(5-MIN(4,1+'5. Scenarios'!$D$8))/4+INDEX(BookQ2,1497)*(5-MIN(4,2+'5. Scenarios'!$D$8))/4+INDEX(BookQ3,1497)*(5-MIN(4,3+'5. Scenarios'!$D$8))/4+INDEX(BookQ4,1497)*(5-MIN(4,4+'5. Scenarios'!$D$8))/4)*'5. Scenarios'!$D$6/(1+ProductivityDefault*('5. Scenarios'!$D$11-1))+INDEX(BookOneOff,1497)*$N1502)</f>
        <v/>
      </c>
      <c r="S1502" s="56" t="str">
        <f aca="false">IF(INDEX(BookTitle,1497)="","",INDEX(BookTotal,1497)*'5. Scenarios'!$E$6/(1+ProductivityDefault*('5. Scenarios'!$E$11-1)))</f>
        <v/>
      </c>
      <c r="T1502" s="57" t="str">
        <f aca="false">IF($S1502="","",INDEX(BookRate,1497)*(1+'5. Scenarios'!$E$10)*$S1502)</f>
        <v/>
      </c>
      <c r="U1502" s="57" t="str">
        <f aca="false">IF($T1502="","",SUMIFS($T$6:$T$2405,$A$6:$A$2405,"&lt;="&amp;$A1502))</f>
        <v/>
      </c>
      <c r="V1502" s="57" t="str">
        <f aca="false">IF($T1502="","",IF($U1502&lt;=BankCostEnvelope*'5. Scenarios'!$E$7,1,0))</f>
        <v/>
      </c>
      <c r="W1502" s="57" t="str">
        <f aca="false">IF($S1502="","",INDEX(BookRate,1497)*(1+'5. Scenarios'!$E$10)*(INDEX(BookQ1,1497)*(5-MIN(4,1+'5. Scenarios'!$E$8))/4+INDEX(BookQ2,1497)*(5-MIN(4,2+'5. Scenarios'!$E$8))/4+INDEX(BookQ3,1497)*(5-MIN(4,3+'5. Scenarios'!$E$8))/4+INDEX(BookQ4,1497)*(5-MIN(4,4+'5. Scenarios'!$E$8))/4)*'5. Scenarios'!$E$6/(1+ProductivityDefault*('5. Scenarios'!$E$11-1))+INDEX(BookOneOff,1497)*$S1502)</f>
        <v/>
      </c>
    </row>
    <row r="1503" customFormat="false" ht="15" hidden="false" customHeight="false" outlineLevel="0" collapsed="false">
      <c r="A1503" s="0" t="str">
        <f aca="false">IF(INDEX(BookTitle,1498)="","",INDEX(BookKey,1498))</f>
        <v/>
      </c>
      <c r="B1503" s="0" t="str">
        <f aca="false">IF(INDEX(BookTitle,1498)="","",INDEX(BookGroup,1498))</f>
        <v/>
      </c>
      <c r="C1503" s="0" t="str">
        <f aca="false">IF(INDEX(BookTitle,1498)="","",INDEX(BookCategory,1498))</f>
        <v/>
      </c>
      <c r="D1503" s="56" t="str">
        <f aca="false">IF(INDEX(BookTitle,1498)="","",INDEX(BookTotal,1498)*'5. Scenarios'!$B$6/(1+ProductivityDefault*('5. Scenarios'!$B$11-1)))</f>
        <v/>
      </c>
      <c r="E1503" s="57" t="str">
        <f aca="false">IF($D1503="","",INDEX(BookRate,1498)*(1+'5. Scenarios'!$B$10)*$D1503)</f>
        <v/>
      </c>
      <c r="F1503" s="57" t="str">
        <f aca="false">IF($E1503="","",SUMIFS($E$6:$E$2405,$A$6:$A$2405,"&lt;="&amp;$A1503))</f>
        <v/>
      </c>
      <c r="G1503" s="57" t="str">
        <f aca="false">IF($E1503="","",IF($F1503&lt;=BankCostEnvelope*'5. Scenarios'!$B$7,1,0))</f>
        <v/>
      </c>
      <c r="H1503" s="57" t="str">
        <f aca="false">IF($D1503="","",INDEX(BookRate,1498)*(1+'5. Scenarios'!$B$10)*(INDEX(BookQ1,1498)*(5-MIN(4,1+'5. Scenarios'!$B$8))/4+INDEX(BookQ2,1498)*(5-MIN(4,2+'5. Scenarios'!$B$8))/4+INDEX(BookQ3,1498)*(5-MIN(4,3+'5. Scenarios'!$B$8))/4+INDEX(BookQ4,1498)*(5-MIN(4,4+'5. Scenarios'!$B$8))/4)*'5. Scenarios'!$B$6/(1+ProductivityDefault*('5. Scenarios'!$B$11-1))+INDEX(BookOneOff,1498)*$D1503)</f>
        <v/>
      </c>
      <c r="I1503" s="56" t="str">
        <f aca="false">IF(INDEX(BookTitle,1498)="","",INDEX(BookTotal,1498)*'5. Scenarios'!$C$6/(1+ProductivityDefault*('5. Scenarios'!$C$11-1)))</f>
        <v/>
      </c>
      <c r="J1503" s="57" t="str">
        <f aca="false">IF($I1503="","",INDEX(BookRate,1498)*(1+'5. Scenarios'!$C$10)*$I1503)</f>
        <v/>
      </c>
      <c r="K1503" s="57" t="str">
        <f aca="false">IF($J1503="","",SUMIFS($J$6:$J$2405,$A$6:$A$2405,"&lt;="&amp;$A1503))</f>
        <v/>
      </c>
      <c r="L1503" s="57" t="str">
        <f aca="false">IF($J1503="","",IF($K1503&lt;=BankCostEnvelope*'5. Scenarios'!$C$7,1,0))</f>
        <v/>
      </c>
      <c r="M1503" s="57" t="str">
        <f aca="false">IF($I1503="","",INDEX(BookRate,1498)*(1+'5. Scenarios'!$C$10)*(INDEX(BookQ1,1498)*(5-MIN(4,1+'5. Scenarios'!$C$8))/4+INDEX(BookQ2,1498)*(5-MIN(4,2+'5. Scenarios'!$C$8))/4+INDEX(BookQ3,1498)*(5-MIN(4,3+'5. Scenarios'!$C$8))/4+INDEX(BookQ4,1498)*(5-MIN(4,4+'5. Scenarios'!$C$8))/4)*'5. Scenarios'!$C$6/(1+ProductivityDefault*('5. Scenarios'!$C$11-1))+INDEX(BookOneOff,1498)*$I1503)</f>
        <v/>
      </c>
      <c r="N1503" s="56" t="str">
        <f aca="false">IF(INDEX(BookTitle,1498)="","",INDEX(BookTotal,1498)*'5. Scenarios'!$D$6/(1+ProductivityDefault*('5. Scenarios'!$D$11-1)))</f>
        <v/>
      </c>
      <c r="O1503" s="57" t="str">
        <f aca="false">IF($N1503="","",INDEX(BookRate,1498)*(1+'5. Scenarios'!$D$10)*$N1503)</f>
        <v/>
      </c>
      <c r="P1503" s="57" t="str">
        <f aca="false">IF($O1503="","",SUMIFS($O$6:$O$2405,$A$6:$A$2405,"&lt;="&amp;$A1503))</f>
        <v/>
      </c>
      <c r="Q1503" s="57" t="str">
        <f aca="false">IF($O1503="","",IF($P1503&lt;=BankCostEnvelope*'5. Scenarios'!$D$7,1,0))</f>
        <v/>
      </c>
      <c r="R1503" s="57" t="str">
        <f aca="false">IF($N1503="","",INDEX(BookRate,1498)*(1+'5. Scenarios'!$D$10)*(INDEX(BookQ1,1498)*(5-MIN(4,1+'5. Scenarios'!$D$8))/4+INDEX(BookQ2,1498)*(5-MIN(4,2+'5. Scenarios'!$D$8))/4+INDEX(BookQ3,1498)*(5-MIN(4,3+'5. Scenarios'!$D$8))/4+INDEX(BookQ4,1498)*(5-MIN(4,4+'5. Scenarios'!$D$8))/4)*'5. Scenarios'!$D$6/(1+ProductivityDefault*('5. Scenarios'!$D$11-1))+INDEX(BookOneOff,1498)*$N1503)</f>
        <v/>
      </c>
      <c r="S1503" s="56" t="str">
        <f aca="false">IF(INDEX(BookTitle,1498)="","",INDEX(BookTotal,1498)*'5. Scenarios'!$E$6/(1+ProductivityDefault*('5. Scenarios'!$E$11-1)))</f>
        <v/>
      </c>
      <c r="T1503" s="57" t="str">
        <f aca="false">IF($S1503="","",INDEX(BookRate,1498)*(1+'5. Scenarios'!$E$10)*$S1503)</f>
        <v/>
      </c>
      <c r="U1503" s="57" t="str">
        <f aca="false">IF($T1503="","",SUMIFS($T$6:$T$2405,$A$6:$A$2405,"&lt;="&amp;$A1503))</f>
        <v/>
      </c>
      <c r="V1503" s="57" t="str">
        <f aca="false">IF($T1503="","",IF($U1503&lt;=BankCostEnvelope*'5. Scenarios'!$E$7,1,0))</f>
        <v/>
      </c>
      <c r="W1503" s="57" t="str">
        <f aca="false">IF($S1503="","",INDEX(BookRate,1498)*(1+'5. Scenarios'!$E$10)*(INDEX(BookQ1,1498)*(5-MIN(4,1+'5. Scenarios'!$E$8))/4+INDEX(BookQ2,1498)*(5-MIN(4,2+'5. Scenarios'!$E$8))/4+INDEX(BookQ3,1498)*(5-MIN(4,3+'5. Scenarios'!$E$8))/4+INDEX(BookQ4,1498)*(5-MIN(4,4+'5. Scenarios'!$E$8))/4)*'5. Scenarios'!$E$6/(1+ProductivityDefault*('5. Scenarios'!$E$11-1))+INDEX(BookOneOff,1498)*$S1503)</f>
        <v/>
      </c>
    </row>
    <row r="1504" customFormat="false" ht="15" hidden="false" customHeight="false" outlineLevel="0" collapsed="false">
      <c r="A1504" s="0" t="str">
        <f aca="false">IF(INDEX(BookTitle,1499)="","",INDEX(BookKey,1499))</f>
        <v/>
      </c>
      <c r="B1504" s="0" t="str">
        <f aca="false">IF(INDEX(BookTitle,1499)="","",INDEX(BookGroup,1499))</f>
        <v/>
      </c>
      <c r="C1504" s="0" t="str">
        <f aca="false">IF(INDEX(BookTitle,1499)="","",INDEX(BookCategory,1499))</f>
        <v/>
      </c>
      <c r="D1504" s="56" t="str">
        <f aca="false">IF(INDEX(BookTitle,1499)="","",INDEX(BookTotal,1499)*'5. Scenarios'!$B$6/(1+ProductivityDefault*('5. Scenarios'!$B$11-1)))</f>
        <v/>
      </c>
      <c r="E1504" s="57" t="str">
        <f aca="false">IF($D1504="","",INDEX(BookRate,1499)*(1+'5. Scenarios'!$B$10)*$D1504)</f>
        <v/>
      </c>
      <c r="F1504" s="57" t="str">
        <f aca="false">IF($E1504="","",SUMIFS($E$6:$E$2405,$A$6:$A$2405,"&lt;="&amp;$A1504))</f>
        <v/>
      </c>
      <c r="G1504" s="57" t="str">
        <f aca="false">IF($E1504="","",IF($F1504&lt;=BankCostEnvelope*'5. Scenarios'!$B$7,1,0))</f>
        <v/>
      </c>
      <c r="H1504" s="57" t="str">
        <f aca="false">IF($D1504="","",INDEX(BookRate,1499)*(1+'5. Scenarios'!$B$10)*(INDEX(BookQ1,1499)*(5-MIN(4,1+'5. Scenarios'!$B$8))/4+INDEX(BookQ2,1499)*(5-MIN(4,2+'5. Scenarios'!$B$8))/4+INDEX(BookQ3,1499)*(5-MIN(4,3+'5. Scenarios'!$B$8))/4+INDEX(BookQ4,1499)*(5-MIN(4,4+'5. Scenarios'!$B$8))/4)*'5. Scenarios'!$B$6/(1+ProductivityDefault*('5. Scenarios'!$B$11-1))+INDEX(BookOneOff,1499)*$D1504)</f>
        <v/>
      </c>
      <c r="I1504" s="56" t="str">
        <f aca="false">IF(INDEX(BookTitle,1499)="","",INDEX(BookTotal,1499)*'5. Scenarios'!$C$6/(1+ProductivityDefault*('5. Scenarios'!$C$11-1)))</f>
        <v/>
      </c>
      <c r="J1504" s="57" t="str">
        <f aca="false">IF($I1504="","",INDEX(BookRate,1499)*(1+'5. Scenarios'!$C$10)*$I1504)</f>
        <v/>
      </c>
      <c r="K1504" s="57" t="str">
        <f aca="false">IF($J1504="","",SUMIFS($J$6:$J$2405,$A$6:$A$2405,"&lt;="&amp;$A1504))</f>
        <v/>
      </c>
      <c r="L1504" s="57" t="str">
        <f aca="false">IF($J1504="","",IF($K1504&lt;=BankCostEnvelope*'5. Scenarios'!$C$7,1,0))</f>
        <v/>
      </c>
      <c r="M1504" s="57" t="str">
        <f aca="false">IF($I1504="","",INDEX(BookRate,1499)*(1+'5. Scenarios'!$C$10)*(INDEX(BookQ1,1499)*(5-MIN(4,1+'5. Scenarios'!$C$8))/4+INDEX(BookQ2,1499)*(5-MIN(4,2+'5. Scenarios'!$C$8))/4+INDEX(BookQ3,1499)*(5-MIN(4,3+'5. Scenarios'!$C$8))/4+INDEX(BookQ4,1499)*(5-MIN(4,4+'5. Scenarios'!$C$8))/4)*'5. Scenarios'!$C$6/(1+ProductivityDefault*('5. Scenarios'!$C$11-1))+INDEX(BookOneOff,1499)*$I1504)</f>
        <v/>
      </c>
      <c r="N1504" s="56" t="str">
        <f aca="false">IF(INDEX(BookTitle,1499)="","",INDEX(BookTotal,1499)*'5. Scenarios'!$D$6/(1+ProductivityDefault*('5. Scenarios'!$D$11-1)))</f>
        <v/>
      </c>
      <c r="O1504" s="57" t="str">
        <f aca="false">IF($N1504="","",INDEX(BookRate,1499)*(1+'5. Scenarios'!$D$10)*$N1504)</f>
        <v/>
      </c>
      <c r="P1504" s="57" t="str">
        <f aca="false">IF($O1504="","",SUMIFS($O$6:$O$2405,$A$6:$A$2405,"&lt;="&amp;$A1504))</f>
        <v/>
      </c>
      <c r="Q1504" s="57" t="str">
        <f aca="false">IF($O1504="","",IF($P1504&lt;=BankCostEnvelope*'5. Scenarios'!$D$7,1,0))</f>
        <v/>
      </c>
      <c r="R1504" s="57" t="str">
        <f aca="false">IF($N1504="","",INDEX(BookRate,1499)*(1+'5. Scenarios'!$D$10)*(INDEX(BookQ1,1499)*(5-MIN(4,1+'5. Scenarios'!$D$8))/4+INDEX(BookQ2,1499)*(5-MIN(4,2+'5. Scenarios'!$D$8))/4+INDEX(BookQ3,1499)*(5-MIN(4,3+'5. Scenarios'!$D$8))/4+INDEX(BookQ4,1499)*(5-MIN(4,4+'5. Scenarios'!$D$8))/4)*'5. Scenarios'!$D$6/(1+ProductivityDefault*('5. Scenarios'!$D$11-1))+INDEX(BookOneOff,1499)*$N1504)</f>
        <v/>
      </c>
      <c r="S1504" s="56" t="str">
        <f aca="false">IF(INDEX(BookTitle,1499)="","",INDEX(BookTotal,1499)*'5. Scenarios'!$E$6/(1+ProductivityDefault*('5. Scenarios'!$E$11-1)))</f>
        <v/>
      </c>
      <c r="T1504" s="57" t="str">
        <f aca="false">IF($S1504="","",INDEX(BookRate,1499)*(1+'5. Scenarios'!$E$10)*$S1504)</f>
        <v/>
      </c>
      <c r="U1504" s="57" t="str">
        <f aca="false">IF($T1504="","",SUMIFS($T$6:$T$2405,$A$6:$A$2405,"&lt;="&amp;$A1504))</f>
        <v/>
      </c>
      <c r="V1504" s="57" t="str">
        <f aca="false">IF($T1504="","",IF($U1504&lt;=BankCostEnvelope*'5. Scenarios'!$E$7,1,0))</f>
        <v/>
      </c>
      <c r="W1504" s="57" t="str">
        <f aca="false">IF($S1504="","",INDEX(BookRate,1499)*(1+'5. Scenarios'!$E$10)*(INDEX(BookQ1,1499)*(5-MIN(4,1+'5. Scenarios'!$E$8))/4+INDEX(BookQ2,1499)*(5-MIN(4,2+'5. Scenarios'!$E$8))/4+INDEX(BookQ3,1499)*(5-MIN(4,3+'5. Scenarios'!$E$8))/4+INDEX(BookQ4,1499)*(5-MIN(4,4+'5. Scenarios'!$E$8))/4)*'5. Scenarios'!$E$6/(1+ProductivityDefault*('5. Scenarios'!$E$11-1))+INDEX(BookOneOff,1499)*$S1504)</f>
        <v/>
      </c>
    </row>
    <row r="1505" customFormat="false" ht="15" hidden="false" customHeight="false" outlineLevel="0" collapsed="false">
      <c r="A1505" s="0" t="str">
        <f aca="false">IF(INDEX(BookTitle,1500)="","",INDEX(BookKey,1500))</f>
        <v/>
      </c>
      <c r="B1505" s="0" t="str">
        <f aca="false">IF(INDEX(BookTitle,1500)="","",INDEX(BookGroup,1500))</f>
        <v/>
      </c>
      <c r="C1505" s="0" t="str">
        <f aca="false">IF(INDEX(BookTitle,1500)="","",INDEX(BookCategory,1500))</f>
        <v/>
      </c>
      <c r="D1505" s="56" t="str">
        <f aca="false">IF(INDEX(BookTitle,1500)="","",INDEX(BookTotal,1500)*'5. Scenarios'!$B$6/(1+ProductivityDefault*('5. Scenarios'!$B$11-1)))</f>
        <v/>
      </c>
      <c r="E1505" s="57" t="str">
        <f aca="false">IF($D1505="","",INDEX(BookRate,1500)*(1+'5. Scenarios'!$B$10)*$D1505)</f>
        <v/>
      </c>
      <c r="F1505" s="57" t="str">
        <f aca="false">IF($E1505="","",SUMIFS($E$6:$E$2405,$A$6:$A$2405,"&lt;="&amp;$A1505))</f>
        <v/>
      </c>
      <c r="G1505" s="57" t="str">
        <f aca="false">IF($E1505="","",IF($F1505&lt;=BankCostEnvelope*'5. Scenarios'!$B$7,1,0))</f>
        <v/>
      </c>
      <c r="H1505" s="57" t="str">
        <f aca="false">IF($D1505="","",INDEX(BookRate,1500)*(1+'5. Scenarios'!$B$10)*(INDEX(BookQ1,1500)*(5-MIN(4,1+'5. Scenarios'!$B$8))/4+INDEX(BookQ2,1500)*(5-MIN(4,2+'5. Scenarios'!$B$8))/4+INDEX(BookQ3,1500)*(5-MIN(4,3+'5. Scenarios'!$B$8))/4+INDEX(BookQ4,1500)*(5-MIN(4,4+'5. Scenarios'!$B$8))/4)*'5. Scenarios'!$B$6/(1+ProductivityDefault*('5. Scenarios'!$B$11-1))+INDEX(BookOneOff,1500)*$D1505)</f>
        <v/>
      </c>
      <c r="I1505" s="56" t="str">
        <f aca="false">IF(INDEX(BookTitle,1500)="","",INDEX(BookTotal,1500)*'5. Scenarios'!$C$6/(1+ProductivityDefault*('5. Scenarios'!$C$11-1)))</f>
        <v/>
      </c>
      <c r="J1505" s="57" t="str">
        <f aca="false">IF($I1505="","",INDEX(BookRate,1500)*(1+'5. Scenarios'!$C$10)*$I1505)</f>
        <v/>
      </c>
      <c r="K1505" s="57" t="str">
        <f aca="false">IF($J1505="","",SUMIFS($J$6:$J$2405,$A$6:$A$2405,"&lt;="&amp;$A1505))</f>
        <v/>
      </c>
      <c r="L1505" s="57" t="str">
        <f aca="false">IF($J1505="","",IF($K1505&lt;=BankCostEnvelope*'5. Scenarios'!$C$7,1,0))</f>
        <v/>
      </c>
      <c r="M1505" s="57" t="str">
        <f aca="false">IF($I1505="","",INDEX(BookRate,1500)*(1+'5. Scenarios'!$C$10)*(INDEX(BookQ1,1500)*(5-MIN(4,1+'5. Scenarios'!$C$8))/4+INDEX(BookQ2,1500)*(5-MIN(4,2+'5. Scenarios'!$C$8))/4+INDEX(BookQ3,1500)*(5-MIN(4,3+'5. Scenarios'!$C$8))/4+INDEX(BookQ4,1500)*(5-MIN(4,4+'5. Scenarios'!$C$8))/4)*'5. Scenarios'!$C$6/(1+ProductivityDefault*('5. Scenarios'!$C$11-1))+INDEX(BookOneOff,1500)*$I1505)</f>
        <v/>
      </c>
      <c r="N1505" s="56" t="str">
        <f aca="false">IF(INDEX(BookTitle,1500)="","",INDEX(BookTotal,1500)*'5. Scenarios'!$D$6/(1+ProductivityDefault*('5. Scenarios'!$D$11-1)))</f>
        <v/>
      </c>
      <c r="O1505" s="57" t="str">
        <f aca="false">IF($N1505="","",INDEX(BookRate,1500)*(1+'5. Scenarios'!$D$10)*$N1505)</f>
        <v/>
      </c>
      <c r="P1505" s="57" t="str">
        <f aca="false">IF($O1505="","",SUMIFS($O$6:$O$2405,$A$6:$A$2405,"&lt;="&amp;$A1505))</f>
        <v/>
      </c>
      <c r="Q1505" s="57" t="str">
        <f aca="false">IF($O1505="","",IF($P1505&lt;=BankCostEnvelope*'5. Scenarios'!$D$7,1,0))</f>
        <v/>
      </c>
      <c r="R1505" s="57" t="str">
        <f aca="false">IF($N1505="","",INDEX(BookRate,1500)*(1+'5. Scenarios'!$D$10)*(INDEX(BookQ1,1500)*(5-MIN(4,1+'5. Scenarios'!$D$8))/4+INDEX(BookQ2,1500)*(5-MIN(4,2+'5. Scenarios'!$D$8))/4+INDEX(BookQ3,1500)*(5-MIN(4,3+'5. Scenarios'!$D$8))/4+INDEX(BookQ4,1500)*(5-MIN(4,4+'5. Scenarios'!$D$8))/4)*'5. Scenarios'!$D$6/(1+ProductivityDefault*('5. Scenarios'!$D$11-1))+INDEX(BookOneOff,1500)*$N1505)</f>
        <v/>
      </c>
      <c r="S1505" s="56" t="str">
        <f aca="false">IF(INDEX(BookTitle,1500)="","",INDEX(BookTotal,1500)*'5. Scenarios'!$E$6/(1+ProductivityDefault*('5. Scenarios'!$E$11-1)))</f>
        <v/>
      </c>
      <c r="T1505" s="57" t="str">
        <f aca="false">IF($S1505="","",INDEX(BookRate,1500)*(1+'5. Scenarios'!$E$10)*$S1505)</f>
        <v/>
      </c>
      <c r="U1505" s="57" t="str">
        <f aca="false">IF($T1505="","",SUMIFS($T$6:$T$2405,$A$6:$A$2405,"&lt;="&amp;$A1505))</f>
        <v/>
      </c>
      <c r="V1505" s="57" t="str">
        <f aca="false">IF($T1505="","",IF($U1505&lt;=BankCostEnvelope*'5. Scenarios'!$E$7,1,0))</f>
        <v/>
      </c>
      <c r="W1505" s="57" t="str">
        <f aca="false">IF($S1505="","",INDEX(BookRate,1500)*(1+'5. Scenarios'!$E$10)*(INDEX(BookQ1,1500)*(5-MIN(4,1+'5. Scenarios'!$E$8))/4+INDEX(BookQ2,1500)*(5-MIN(4,2+'5. Scenarios'!$E$8))/4+INDEX(BookQ3,1500)*(5-MIN(4,3+'5. Scenarios'!$E$8))/4+INDEX(BookQ4,1500)*(5-MIN(4,4+'5. Scenarios'!$E$8))/4)*'5. Scenarios'!$E$6/(1+ProductivityDefault*('5. Scenarios'!$E$11-1))+INDEX(BookOneOff,1500)*$S1505)</f>
        <v/>
      </c>
    </row>
    <row r="1506" customFormat="false" ht="15" hidden="false" customHeight="false" outlineLevel="0" collapsed="false">
      <c r="A1506" s="0" t="str">
        <f aca="false">IF(INDEX(BookTitle,1501)="","",INDEX(BookKey,1501))</f>
        <v/>
      </c>
      <c r="B1506" s="0" t="str">
        <f aca="false">IF(INDEX(BookTitle,1501)="","",INDEX(BookGroup,1501))</f>
        <v/>
      </c>
      <c r="C1506" s="0" t="str">
        <f aca="false">IF(INDEX(BookTitle,1501)="","",INDEX(BookCategory,1501))</f>
        <v/>
      </c>
      <c r="D1506" s="56" t="str">
        <f aca="false">IF(INDEX(BookTitle,1501)="","",INDEX(BookTotal,1501)*'5. Scenarios'!$B$6/(1+ProductivityDefault*('5. Scenarios'!$B$11-1)))</f>
        <v/>
      </c>
      <c r="E1506" s="57" t="str">
        <f aca="false">IF($D1506="","",INDEX(BookRate,1501)*(1+'5. Scenarios'!$B$10)*$D1506)</f>
        <v/>
      </c>
      <c r="F1506" s="57" t="str">
        <f aca="false">IF($E1506="","",SUMIFS($E$6:$E$2405,$A$6:$A$2405,"&lt;="&amp;$A1506))</f>
        <v/>
      </c>
      <c r="G1506" s="57" t="str">
        <f aca="false">IF($E1506="","",IF($F1506&lt;=BankCostEnvelope*'5. Scenarios'!$B$7,1,0))</f>
        <v/>
      </c>
      <c r="H1506" s="57" t="str">
        <f aca="false">IF($D1506="","",INDEX(BookRate,1501)*(1+'5. Scenarios'!$B$10)*(INDEX(BookQ1,1501)*(5-MIN(4,1+'5. Scenarios'!$B$8))/4+INDEX(BookQ2,1501)*(5-MIN(4,2+'5. Scenarios'!$B$8))/4+INDEX(BookQ3,1501)*(5-MIN(4,3+'5. Scenarios'!$B$8))/4+INDEX(BookQ4,1501)*(5-MIN(4,4+'5. Scenarios'!$B$8))/4)*'5. Scenarios'!$B$6/(1+ProductivityDefault*('5. Scenarios'!$B$11-1))+INDEX(BookOneOff,1501)*$D1506)</f>
        <v/>
      </c>
      <c r="I1506" s="56" t="str">
        <f aca="false">IF(INDEX(BookTitle,1501)="","",INDEX(BookTotal,1501)*'5. Scenarios'!$C$6/(1+ProductivityDefault*('5. Scenarios'!$C$11-1)))</f>
        <v/>
      </c>
      <c r="J1506" s="57" t="str">
        <f aca="false">IF($I1506="","",INDEX(BookRate,1501)*(1+'5. Scenarios'!$C$10)*$I1506)</f>
        <v/>
      </c>
      <c r="K1506" s="57" t="str">
        <f aca="false">IF($J1506="","",SUMIFS($J$6:$J$2405,$A$6:$A$2405,"&lt;="&amp;$A1506))</f>
        <v/>
      </c>
      <c r="L1506" s="57" t="str">
        <f aca="false">IF($J1506="","",IF($K1506&lt;=BankCostEnvelope*'5. Scenarios'!$C$7,1,0))</f>
        <v/>
      </c>
      <c r="M1506" s="57" t="str">
        <f aca="false">IF($I1506="","",INDEX(BookRate,1501)*(1+'5. Scenarios'!$C$10)*(INDEX(BookQ1,1501)*(5-MIN(4,1+'5. Scenarios'!$C$8))/4+INDEX(BookQ2,1501)*(5-MIN(4,2+'5. Scenarios'!$C$8))/4+INDEX(BookQ3,1501)*(5-MIN(4,3+'5. Scenarios'!$C$8))/4+INDEX(BookQ4,1501)*(5-MIN(4,4+'5. Scenarios'!$C$8))/4)*'5. Scenarios'!$C$6/(1+ProductivityDefault*('5. Scenarios'!$C$11-1))+INDEX(BookOneOff,1501)*$I1506)</f>
        <v/>
      </c>
      <c r="N1506" s="56" t="str">
        <f aca="false">IF(INDEX(BookTitle,1501)="","",INDEX(BookTotal,1501)*'5. Scenarios'!$D$6/(1+ProductivityDefault*('5. Scenarios'!$D$11-1)))</f>
        <v/>
      </c>
      <c r="O1506" s="57" t="str">
        <f aca="false">IF($N1506="","",INDEX(BookRate,1501)*(1+'5. Scenarios'!$D$10)*$N1506)</f>
        <v/>
      </c>
      <c r="P1506" s="57" t="str">
        <f aca="false">IF($O1506="","",SUMIFS($O$6:$O$2405,$A$6:$A$2405,"&lt;="&amp;$A1506))</f>
        <v/>
      </c>
      <c r="Q1506" s="57" t="str">
        <f aca="false">IF($O1506="","",IF($P1506&lt;=BankCostEnvelope*'5. Scenarios'!$D$7,1,0))</f>
        <v/>
      </c>
      <c r="R1506" s="57" t="str">
        <f aca="false">IF($N1506="","",INDEX(BookRate,1501)*(1+'5. Scenarios'!$D$10)*(INDEX(BookQ1,1501)*(5-MIN(4,1+'5. Scenarios'!$D$8))/4+INDEX(BookQ2,1501)*(5-MIN(4,2+'5. Scenarios'!$D$8))/4+INDEX(BookQ3,1501)*(5-MIN(4,3+'5. Scenarios'!$D$8))/4+INDEX(BookQ4,1501)*(5-MIN(4,4+'5. Scenarios'!$D$8))/4)*'5. Scenarios'!$D$6/(1+ProductivityDefault*('5. Scenarios'!$D$11-1))+INDEX(BookOneOff,1501)*$N1506)</f>
        <v/>
      </c>
      <c r="S1506" s="56" t="str">
        <f aca="false">IF(INDEX(BookTitle,1501)="","",INDEX(BookTotal,1501)*'5. Scenarios'!$E$6/(1+ProductivityDefault*('5. Scenarios'!$E$11-1)))</f>
        <v/>
      </c>
      <c r="T1506" s="57" t="str">
        <f aca="false">IF($S1506="","",INDEX(BookRate,1501)*(1+'5. Scenarios'!$E$10)*$S1506)</f>
        <v/>
      </c>
      <c r="U1506" s="57" t="str">
        <f aca="false">IF($T1506="","",SUMIFS($T$6:$T$2405,$A$6:$A$2405,"&lt;="&amp;$A1506))</f>
        <v/>
      </c>
      <c r="V1506" s="57" t="str">
        <f aca="false">IF($T1506="","",IF($U1506&lt;=BankCostEnvelope*'5. Scenarios'!$E$7,1,0))</f>
        <v/>
      </c>
      <c r="W1506" s="57" t="str">
        <f aca="false">IF($S1506="","",INDEX(BookRate,1501)*(1+'5. Scenarios'!$E$10)*(INDEX(BookQ1,1501)*(5-MIN(4,1+'5. Scenarios'!$E$8))/4+INDEX(BookQ2,1501)*(5-MIN(4,2+'5. Scenarios'!$E$8))/4+INDEX(BookQ3,1501)*(5-MIN(4,3+'5. Scenarios'!$E$8))/4+INDEX(BookQ4,1501)*(5-MIN(4,4+'5. Scenarios'!$E$8))/4)*'5. Scenarios'!$E$6/(1+ProductivityDefault*('5. Scenarios'!$E$11-1))+INDEX(BookOneOff,1501)*$S1506)</f>
        <v/>
      </c>
    </row>
    <row r="1507" customFormat="false" ht="15" hidden="false" customHeight="false" outlineLevel="0" collapsed="false">
      <c r="A1507" s="0" t="str">
        <f aca="false">IF(INDEX(BookTitle,1502)="","",INDEX(BookKey,1502))</f>
        <v/>
      </c>
      <c r="B1507" s="0" t="str">
        <f aca="false">IF(INDEX(BookTitle,1502)="","",INDEX(BookGroup,1502))</f>
        <v/>
      </c>
      <c r="C1507" s="0" t="str">
        <f aca="false">IF(INDEX(BookTitle,1502)="","",INDEX(BookCategory,1502))</f>
        <v/>
      </c>
      <c r="D1507" s="56" t="str">
        <f aca="false">IF(INDEX(BookTitle,1502)="","",INDEX(BookTotal,1502)*'5. Scenarios'!$B$6/(1+ProductivityDefault*('5. Scenarios'!$B$11-1)))</f>
        <v/>
      </c>
      <c r="E1507" s="57" t="str">
        <f aca="false">IF($D1507="","",INDEX(BookRate,1502)*(1+'5. Scenarios'!$B$10)*$D1507)</f>
        <v/>
      </c>
      <c r="F1507" s="57" t="str">
        <f aca="false">IF($E1507="","",SUMIFS($E$6:$E$2405,$A$6:$A$2405,"&lt;="&amp;$A1507))</f>
        <v/>
      </c>
      <c r="G1507" s="57" t="str">
        <f aca="false">IF($E1507="","",IF($F1507&lt;=BankCostEnvelope*'5. Scenarios'!$B$7,1,0))</f>
        <v/>
      </c>
      <c r="H1507" s="57" t="str">
        <f aca="false">IF($D1507="","",INDEX(BookRate,1502)*(1+'5. Scenarios'!$B$10)*(INDEX(BookQ1,1502)*(5-MIN(4,1+'5. Scenarios'!$B$8))/4+INDEX(BookQ2,1502)*(5-MIN(4,2+'5. Scenarios'!$B$8))/4+INDEX(BookQ3,1502)*(5-MIN(4,3+'5. Scenarios'!$B$8))/4+INDEX(BookQ4,1502)*(5-MIN(4,4+'5. Scenarios'!$B$8))/4)*'5. Scenarios'!$B$6/(1+ProductivityDefault*('5. Scenarios'!$B$11-1))+INDEX(BookOneOff,1502)*$D1507)</f>
        <v/>
      </c>
      <c r="I1507" s="56" t="str">
        <f aca="false">IF(INDEX(BookTitle,1502)="","",INDEX(BookTotal,1502)*'5. Scenarios'!$C$6/(1+ProductivityDefault*('5. Scenarios'!$C$11-1)))</f>
        <v/>
      </c>
      <c r="J1507" s="57" t="str">
        <f aca="false">IF($I1507="","",INDEX(BookRate,1502)*(1+'5. Scenarios'!$C$10)*$I1507)</f>
        <v/>
      </c>
      <c r="K1507" s="57" t="str">
        <f aca="false">IF($J1507="","",SUMIFS($J$6:$J$2405,$A$6:$A$2405,"&lt;="&amp;$A1507))</f>
        <v/>
      </c>
      <c r="L1507" s="57" t="str">
        <f aca="false">IF($J1507="","",IF($K1507&lt;=BankCostEnvelope*'5. Scenarios'!$C$7,1,0))</f>
        <v/>
      </c>
      <c r="M1507" s="57" t="str">
        <f aca="false">IF($I1507="","",INDEX(BookRate,1502)*(1+'5. Scenarios'!$C$10)*(INDEX(BookQ1,1502)*(5-MIN(4,1+'5. Scenarios'!$C$8))/4+INDEX(BookQ2,1502)*(5-MIN(4,2+'5. Scenarios'!$C$8))/4+INDEX(BookQ3,1502)*(5-MIN(4,3+'5. Scenarios'!$C$8))/4+INDEX(BookQ4,1502)*(5-MIN(4,4+'5. Scenarios'!$C$8))/4)*'5. Scenarios'!$C$6/(1+ProductivityDefault*('5. Scenarios'!$C$11-1))+INDEX(BookOneOff,1502)*$I1507)</f>
        <v/>
      </c>
      <c r="N1507" s="56" t="str">
        <f aca="false">IF(INDEX(BookTitle,1502)="","",INDEX(BookTotal,1502)*'5. Scenarios'!$D$6/(1+ProductivityDefault*('5. Scenarios'!$D$11-1)))</f>
        <v/>
      </c>
      <c r="O1507" s="57" t="str">
        <f aca="false">IF($N1507="","",INDEX(BookRate,1502)*(1+'5. Scenarios'!$D$10)*$N1507)</f>
        <v/>
      </c>
      <c r="P1507" s="57" t="str">
        <f aca="false">IF($O1507="","",SUMIFS($O$6:$O$2405,$A$6:$A$2405,"&lt;="&amp;$A1507))</f>
        <v/>
      </c>
      <c r="Q1507" s="57" t="str">
        <f aca="false">IF($O1507="","",IF($P1507&lt;=BankCostEnvelope*'5. Scenarios'!$D$7,1,0))</f>
        <v/>
      </c>
      <c r="R1507" s="57" t="str">
        <f aca="false">IF($N1507="","",INDEX(BookRate,1502)*(1+'5. Scenarios'!$D$10)*(INDEX(BookQ1,1502)*(5-MIN(4,1+'5. Scenarios'!$D$8))/4+INDEX(BookQ2,1502)*(5-MIN(4,2+'5. Scenarios'!$D$8))/4+INDEX(BookQ3,1502)*(5-MIN(4,3+'5. Scenarios'!$D$8))/4+INDEX(BookQ4,1502)*(5-MIN(4,4+'5. Scenarios'!$D$8))/4)*'5. Scenarios'!$D$6/(1+ProductivityDefault*('5. Scenarios'!$D$11-1))+INDEX(BookOneOff,1502)*$N1507)</f>
        <v/>
      </c>
      <c r="S1507" s="56" t="str">
        <f aca="false">IF(INDEX(BookTitle,1502)="","",INDEX(BookTotal,1502)*'5. Scenarios'!$E$6/(1+ProductivityDefault*('5. Scenarios'!$E$11-1)))</f>
        <v/>
      </c>
      <c r="T1507" s="57" t="str">
        <f aca="false">IF($S1507="","",INDEX(BookRate,1502)*(1+'5. Scenarios'!$E$10)*$S1507)</f>
        <v/>
      </c>
      <c r="U1507" s="57" t="str">
        <f aca="false">IF($T1507="","",SUMIFS($T$6:$T$2405,$A$6:$A$2405,"&lt;="&amp;$A1507))</f>
        <v/>
      </c>
      <c r="V1507" s="57" t="str">
        <f aca="false">IF($T1507="","",IF($U1507&lt;=BankCostEnvelope*'5. Scenarios'!$E$7,1,0))</f>
        <v/>
      </c>
      <c r="W1507" s="57" t="str">
        <f aca="false">IF($S1507="","",INDEX(BookRate,1502)*(1+'5. Scenarios'!$E$10)*(INDEX(BookQ1,1502)*(5-MIN(4,1+'5. Scenarios'!$E$8))/4+INDEX(BookQ2,1502)*(5-MIN(4,2+'5. Scenarios'!$E$8))/4+INDEX(BookQ3,1502)*(5-MIN(4,3+'5. Scenarios'!$E$8))/4+INDEX(BookQ4,1502)*(5-MIN(4,4+'5. Scenarios'!$E$8))/4)*'5. Scenarios'!$E$6/(1+ProductivityDefault*('5. Scenarios'!$E$11-1))+INDEX(BookOneOff,1502)*$S1507)</f>
        <v/>
      </c>
    </row>
    <row r="1508" customFormat="false" ht="15" hidden="false" customHeight="false" outlineLevel="0" collapsed="false">
      <c r="A1508" s="0" t="str">
        <f aca="false">IF(INDEX(BookTitle,1503)="","",INDEX(BookKey,1503))</f>
        <v/>
      </c>
      <c r="B1508" s="0" t="str">
        <f aca="false">IF(INDEX(BookTitle,1503)="","",INDEX(BookGroup,1503))</f>
        <v/>
      </c>
      <c r="C1508" s="0" t="str">
        <f aca="false">IF(INDEX(BookTitle,1503)="","",INDEX(BookCategory,1503))</f>
        <v/>
      </c>
      <c r="D1508" s="56" t="str">
        <f aca="false">IF(INDEX(BookTitle,1503)="","",INDEX(BookTotal,1503)*'5. Scenarios'!$B$6/(1+ProductivityDefault*('5. Scenarios'!$B$11-1)))</f>
        <v/>
      </c>
      <c r="E1508" s="57" t="str">
        <f aca="false">IF($D1508="","",INDEX(BookRate,1503)*(1+'5. Scenarios'!$B$10)*$D1508)</f>
        <v/>
      </c>
      <c r="F1508" s="57" t="str">
        <f aca="false">IF($E1508="","",SUMIFS($E$6:$E$2405,$A$6:$A$2405,"&lt;="&amp;$A1508))</f>
        <v/>
      </c>
      <c r="G1508" s="57" t="str">
        <f aca="false">IF($E1508="","",IF($F1508&lt;=BankCostEnvelope*'5. Scenarios'!$B$7,1,0))</f>
        <v/>
      </c>
      <c r="H1508" s="57" t="str">
        <f aca="false">IF($D1508="","",INDEX(BookRate,1503)*(1+'5. Scenarios'!$B$10)*(INDEX(BookQ1,1503)*(5-MIN(4,1+'5. Scenarios'!$B$8))/4+INDEX(BookQ2,1503)*(5-MIN(4,2+'5. Scenarios'!$B$8))/4+INDEX(BookQ3,1503)*(5-MIN(4,3+'5. Scenarios'!$B$8))/4+INDEX(BookQ4,1503)*(5-MIN(4,4+'5. Scenarios'!$B$8))/4)*'5. Scenarios'!$B$6/(1+ProductivityDefault*('5. Scenarios'!$B$11-1))+INDEX(BookOneOff,1503)*$D1508)</f>
        <v/>
      </c>
      <c r="I1508" s="56" t="str">
        <f aca="false">IF(INDEX(BookTitle,1503)="","",INDEX(BookTotal,1503)*'5. Scenarios'!$C$6/(1+ProductivityDefault*('5. Scenarios'!$C$11-1)))</f>
        <v/>
      </c>
      <c r="J1508" s="57" t="str">
        <f aca="false">IF($I1508="","",INDEX(BookRate,1503)*(1+'5. Scenarios'!$C$10)*$I1508)</f>
        <v/>
      </c>
      <c r="K1508" s="57" t="str">
        <f aca="false">IF($J1508="","",SUMIFS($J$6:$J$2405,$A$6:$A$2405,"&lt;="&amp;$A1508))</f>
        <v/>
      </c>
      <c r="L1508" s="57" t="str">
        <f aca="false">IF($J1508="","",IF($K1508&lt;=BankCostEnvelope*'5. Scenarios'!$C$7,1,0))</f>
        <v/>
      </c>
      <c r="M1508" s="57" t="str">
        <f aca="false">IF($I1508="","",INDEX(BookRate,1503)*(1+'5. Scenarios'!$C$10)*(INDEX(BookQ1,1503)*(5-MIN(4,1+'5. Scenarios'!$C$8))/4+INDEX(BookQ2,1503)*(5-MIN(4,2+'5. Scenarios'!$C$8))/4+INDEX(BookQ3,1503)*(5-MIN(4,3+'5. Scenarios'!$C$8))/4+INDEX(BookQ4,1503)*(5-MIN(4,4+'5. Scenarios'!$C$8))/4)*'5. Scenarios'!$C$6/(1+ProductivityDefault*('5. Scenarios'!$C$11-1))+INDEX(BookOneOff,1503)*$I1508)</f>
        <v/>
      </c>
      <c r="N1508" s="56" t="str">
        <f aca="false">IF(INDEX(BookTitle,1503)="","",INDEX(BookTotal,1503)*'5. Scenarios'!$D$6/(1+ProductivityDefault*('5. Scenarios'!$D$11-1)))</f>
        <v/>
      </c>
      <c r="O1508" s="57" t="str">
        <f aca="false">IF($N1508="","",INDEX(BookRate,1503)*(1+'5. Scenarios'!$D$10)*$N1508)</f>
        <v/>
      </c>
      <c r="P1508" s="57" t="str">
        <f aca="false">IF($O1508="","",SUMIFS($O$6:$O$2405,$A$6:$A$2405,"&lt;="&amp;$A1508))</f>
        <v/>
      </c>
      <c r="Q1508" s="57" t="str">
        <f aca="false">IF($O1508="","",IF($P1508&lt;=BankCostEnvelope*'5. Scenarios'!$D$7,1,0))</f>
        <v/>
      </c>
      <c r="R1508" s="57" t="str">
        <f aca="false">IF($N1508="","",INDEX(BookRate,1503)*(1+'5. Scenarios'!$D$10)*(INDEX(BookQ1,1503)*(5-MIN(4,1+'5. Scenarios'!$D$8))/4+INDEX(BookQ2,1503)*(5-MIN(4,2+'5. Scenarios'!$D$8))/4+INDEX(BookQ3,1503)*(5-MIN(4,3+'5. Scenarios'!$D$8))/4+INDEX(BookQ4,1503)*(5-MIN(4,4+'5. Scenarios'!$D$8))/4)*'5. Scenarios'!$D$6/(1+ProductivityDefault*('5. Scenarios'!$D$11-1))+INDEX(BookOneOff,1503)*$N1508)</f>
        <v/>
      </c>
      <c r="S1508" s="56" t="str">
        <f aca="false">IF(INDEX(BookTitle,1503)="","",INDEX(BookTotal,1503)*'5. Scenarios'!$E$6/(1+ProductivityDefault*('5. Scenarios'!$E$11-1)))</f>
        <v/>
      </c>
      <c r="T1508" s="57" t="str">
        <f aca="false">IF($S1508="","",INDEX(BookRate,1503)*(1+'5. Scenarios'!$E$10)*$S1508)</f>
        <v/>
      </c>
      <c r="U1508" s="57" t="str">
        <f aca="false">IF($T1508="","",SUMIFS($T$6:$T$2405,$A$6:$A$2405,"&lt;="&amp;$A1508))</f>
        <v/>
      </c>
      <c r="V1508" s="57" t="str">
        <f aca="false">IF($T1508="","",IF($U1508&lt;=BankCostEnvelope*'5. Scenarios'!$E$7,1,0))</f>
        <v/>
      </c>
      <c r="W1508" s="57" t="str">
        <f aca="false">IF($S1508="","",INDEX(BookRate,1503)*(1+'5. Scenarios'!$E$10)*(INDEX(BookQ1,1503)*(5-MIN(4,1+'5. Scenarios'!$E$8))/4+INDEX(BookQ2,1503)*(5-MIN(4,2+'5. Scenarios'!$E$8))/4+INDEX(BookQ3,1503)*(5-MIN(4,3+'5. Scenarios'!$E$8))/4+INDEX(BookQ4,1503)*(5-MIN(4,4+'5. Scenarios'!$E$8))/4)*'5. Scenarios'!$E$6/(1+ProductivityDefault*('5. Scenarios'!$E$11-1))+INDEX(BookOneOff,1503)*$S1508)</f>
        <v/>
      </c>
    </row>
    <row r="1509" customFormat="false" ht="15" hidden="false" customHeight="false" outlineLevel="0" collapsed="false">
      <c r="A1509" s="0" t="str">
        <f aca="false">IF(INDEX(BookTitle,1504)="","",INDEX(BookKey,1504))</f>
        <v/>
      </c>
      <c r="B1509" s="0" t="str">
        <f aca="false">IF(INDEX(BookTitle,1504)="","",INDEX(BookGroup,1504))</f>
        <v/>
      </c>
      <c r="C1509" s="0" t="str">
        <f aca="false">IF(INDEX(BookTitle,1504)="","",INDEX(BookCategory,1504))</f>
        <v/>
      </c>
      <c r="D1509" s="56" t="str">
        <f aca="false">IF(INDEX(BookTitle,1504)="","",INDEX(BookTotal,1504)*'5. Scenarios'!$B$6/(1+ProductivityDefault*('5. Scenarios'!$B$11-1)))</f>
        <v/>
      </c>
      <c r="E1509" s="57" t="str">
        <f aca="false">IF($D1509="","",INDEX(BookRate,1504)*(1+'5. Scenarios'!$B$10)*$D1509)</f>
        <v/>
      </c>
      <c r="F1509" s="57" t="str">
        <f aca="false">IF($E1509="","",SUMIFS($E$6:$E$2405,$A$6:$A$2405,"&lt;="&amp;$A1509))</f>
        <v/>
      </c>
      <c r="G1509" s="57" t="str">
        <f aca="false">IF($E1509="","",IF($F1509&lt;=BankCostEnvelope*'5. Scenarios'!$B$7,1,0))</f>
        <v/>
      </c>
      <c r="H1509" s="57" t="str">
        <f aca="false">IF($D1509="","",INDEX(BookRate,1504)*(1+'5. Scenarios'!$B$10)*(INDEX(BookQ1,1504)*(5-MIN(4,1+'5. Scenarios'!$B$8))/4+INDEX(BookQ2,1504)*(5-MIN(4,2+'5. Scenarios'!$B$8))/4+INDEX(BookQ3,1504)*(5-MIN(4,3+'5. Scenarios'!$B$8))/4+INDEX(BookQ4,1504)*(5-MIN(4,4+'5. Scenarios'!$B$8))/4)*'5. Scenarios'!$B$6/(1+ProductivityDefault*('5. Scenarios'!$B$11-1))+INDEX(BookOneOff,1504)*$D1509)</f>
        <v/>
      </c>
      <c r="I1509" s="56" t="str">
        <f aca="false">IF(INDEX(BookTitle,1504)="","",INDEX(BookTotal,1504)*'5. Scenarios'!$C$6/(1+ProductivityDefault*('5. Scenarios'!$C$11-1)))</f>
        <v/>
      </c>
      <c r="J1509" s="57" t="str">
        <f aca="false">IF($I1509="","",INDEX(BookRate,1504)*(1+'5. Scenarios'!$C$10)*$I1509)</f>
        <v/>
      </c>
      <c r="K1509" s="57" t="str">
        <f aca="false">IF($J1509="","",SUMIFS($J$6:$J$2405,$A$6:$A$2405,"&lt;="&amp;$A1509))</f>
        <v/>
      </c>
      <c r="L1509" s="57" t="str">
        <f aca="false">IF($J1509="","",IF($K1509&lt;=BankCostEnvelope*'5. Scenarios'!$C$7,1,0))</f>
        <v/>
      </c>
      <c r="M1509" s="57" t="str">
        <f aca="false">IF($I1509="","",INDEX(BookRate,1504)*(1+'5. Scenarios'!$C$10)*(INDEX(BookQ1,1504)*(5-MIN(4,1+'5. Scenarios'!$C$8))/4+INDEX(BookQ2,1504)*(5-MIN(4,2+'5. Scenarios'!$C$8))/4+INDEX(BookQ3,1504)*(5-MIN(4,3+'5. Scenarios'!$C$8))/4+INDEX(BookQ4,1504)*(5-MIN(4,4+'5. Scenarios'!$C$8))/4)*'5. Scenarios'!$C$6/(1+ProductivityDefault*('5. Scenarios'!$C$11-1))+INDEX(BookOneOff,1504)*$I1509)</f>
        <v/>
      </c>
      <c r="N1509" s="56" t="str">
        <f aca="false">IF(INDEX(BookTitle,1504)="","",INDEX(BookTotal,1504)*'5. Scenarios'!$D$6/(1+ProductivityDefault*('5. Scenarios'!$D$11-1)))</f>
        <v/>
      </c>
      <c r="O1509" s="57" t="str">
        <f aca="false">IF($N1509="","",INDEX(BookRate,1504)*(1+'5. Scenarios'!$D$10)*$N1509)</f>
        <v/>
      </c>
      <c r="P1509" s="57" t="str">
        <f aca="false">IF($O1509="","",SUMIFS($O$6:$O$2405,$A$6:$A$2405,"&lt;="&amp;$A1509))</f>
        <v/>
      </c>
      <c r="Q1509" s="57" t="str">
        <f aca="false">IF($O1509="","",IF($P1509&lt;=BankCostEnvelope*'5. Scenarios'!$D$7,1,0))</f>
        <v/>
      </c>
      <c r="R1509" s="57" t="str">
        <f aca="false">IF($N1509="","",INDEX(BookRate,1504)*(1+'5. Scenarios'!$D$10)*(INDEX(BookQ1,1504)*(5-MIN(4,1+'5. Scenarios'!$D$8))/4+INDEX(BookQ2,1504)*(5-MIN(4,2+'5. Scenarios'!$D$8))/4+INDEX(BookQ3,1504)*(5-MIN(4,3+'5. Scenarios'!$D$8))/4+INDEX(BookQ4,1504)*(5-MIN(4,4+'5. Scenarios'!$D$8))/4)*'5. Scenarios'!$D$6/(1+ProductivityDefault*('5. Scenarios'!$D$11-1))+INDEX(BookOneOff,1504)*$N1509)</f>
        <v/>
      </c>
      <c r="S1509" s="56" t="str">
        <f aca="false">IF(INDEX(BookTitle,1504)="","",INDEX(BookTotal,1504)*'5. Scenarios'!$E$6/(1+ProductivityDefault*('5. Scenarios'!$E$11-1)))</f>
        <v/>
      </c>
      <c r="T1509" s="57" t="str">
        <f aca="false">IF($S1509="","",INDEX(BookRate,1504)*(1+'5. Scenarios'!$E$10)*$S1509)</f>
        <v/>
      </c>
      <c r="U1509" s="57" t="str">
        <f aca="false">IF($T1509="","",SUMIFS($T$6:$T$2405,$A$6:$A$2405,"&lt;="&amp;$A1509))</f>
        <v/>
      </c>
      <c r="V1509" s="57" t="str">
        <f aca="false">IF($T1509="","",IF($U1509&lt;=BankCostEnvelope*'5. Scenarios'!$E$7,1,0))</f>
        <v/>
      </c>
      <c r="W1509" s="57" t="str">
        <f aca="false">IF($S1509="","",INDEX(BookRate,1504)*(1+'5. Scenarios'!$E$10)*(INDEX(BookQ1,1504)*(5-MIN(4,1+'5. Scenarios'!$E$8))/4+INDEX(BookQ2,1504)*(5-MIN(4,2+'5. Scenarios'!$E$8))/4+INDEX(BookQ3,1504)*(5-MIN(4,3+'5. Scenarios'!$E$8))/4+INDEX(BookQ4,1504)*(5-MIN(4,4+'5. Scenarios'!$E$8))/4)*'5. Scenarios'!$E$6/(1+ProductivityDefault*('5. Scenarios'!$E$11-1))+INDEX(BookOneOff,1504)*$S1509)</f>
        <v/>
      </c>
    </row>
    <row r="1510" customFormat="false" ht="15" hidden="false" customHeight="false" outlineLevel="0" collapsed="false">
      <c r="A1510" s="0" t="str">
        <f aca="false">IF(INDEX(BookTitle,1505)="","",INDEX(BookKey,1505))</f>
        <v/>
      </c>
      <c r="B1510" s="0" t="str">
        <f aca="false">IF(INDEX(BookTitle,1505)="","",INDEX(BookGroup,1505))</f>
        <v/>
      </c>
      <c r="C1510" s="0" t="str">
        <f aca="false">IF(INDEX(BookTitle,1505)="","",INDEX(BookCategory,1505))</f>
        <v/>
      </c>
      <c r="D1510" s="56" t="str">
        <f aca="false">IF(INDEX(BookTitle,1505)="","",INDEX(BookTotal,1505)*'5. Scenarios'!$B$6/(1+ProductivityDefault*('5. Scenarios'!$B$11-1)))</f>
        <v/>
      </c>
      <c r="E1510" s="57" t="str">
        <f aca="false">IF($D1510="","",INDEX(BookRate,1505)*(1+'5. Scenarios'!$B$10)*$D1510)</f>
        <v/>
      </c>
      <c r="F1510" s="57" t="str">
        <f aca="false">IF($E1510="","",SUMIFS($E$6:$E$2405,$A$6:$A$2405,"&lt;="&amp;$A1510))</f>
        <v/>
      </c>
      <c r="G1510" s="57" t="str">
        <f aca="false">IF($E1510="","",IF($F1510&lt;=BankCostEnvelope*'5. Scenarios'!$B$7,1,0))</f>
        <v/>
      </c>
      <c r="H1510" s="57" t="str">
        <f aca="false">IF($D1510="","",INDEX(BookRate,1505)*(1+'5. Scenarios'!$B$10)*(INDEX(BookQ1,1505)*(5-MIN(4,1+'5. Scenarios'!$B$8))/4+INDEX(BookQ2,1505)*(5-MIN(4,2+'5. Scenarios'!$B$8))/4+INDEX(BookQ3,1505)*(5-MIN(4,3+'5. Scenarios'!$B$8))/4+INDEX(BookQ4,1505)*(5-MIN(4,4+'5. Scenarios'!$B$8))/4)*'5. Scenarios'!$B$6/(1+ProductivityDefault*('5. Scenarios'!$B$11-1))+INDEX(BookOneOff,1505)*$D1510)</f>
        <v/>
      </c>
      <c r="I1510" s="56" t="str">
        <f aca="false">IF(INDEX(BookTitle,1505)="","",INDEX(BookTotal,1505)*'5. Scenarios'!$C$6/(1+ProductivityDefault*('5. Scenarios'!$C$11-1)))</f>
        <v/>
      </c>
      <c r="J1510" s="57" t="str">
        <f aca="false">IF($I1510="","",INDEX(BookRate,1505)*(1+'5. Scenarios'!$C$10)*$I1510)</f>
        <v/>
      </c>
      <c r="K1510" s="57" t="str">
        <f aca="false">IF($J1510="","",SUMIFS($J$6:$J$2405,$A$6:$A$2405,"&lt;="&amp;$A1510))</f>
        <v/>
      </c>
      <c r="L1510" s="57" t="str">
        <f aca="false">IF($J1510="","",IF($K1510&lt;=BankCostEnvelope*'5. Scenarios'!$C$7,1,0))</f>
        <v/>
      </c>
      <c r="M1510" s="57" t="str">
        <f aca="false">IF($I1510="","",INDEX(BookRate,1505)*(1+'5. Scenarios'!$C$10)*(INDEX(BookQ1,1505)*(5-MIN(4,1+'5. Scenarios'!$C$8))/4+INDEX(BookQ2,1505)*(5-MIN(4,2+'5. Scenarios'!$C$8))/4+INDEX(BookQ3,1505)*(5-MIN(4,3+'5. Scenarios'!$C$8))/4+INDEX(BookQ4,1505)*(5-MIN(4,4+'5. Scenarios'!$C$8))/4)*'5. Scenarios'!$C$6/(1+ProductivityDefault*('5. Scenarios'!$C$11-1))+INDEX(BookOneOff,1505)*$I1510)</f>
        <v/>
      </c>
      <c r="N1510" s="56" t="str">
        <f aca="false">IF(INDEX(BookTitle,1505)="","",INDEX(BookTotal,1505)*'5. Scenarios'!$D$6/(1+ProductivityDefault*('5. Scenarios'!$D$11-1)))</f>
        <v/>
      </c>
      <c r="O1510" s="57" t="str">
        <f aca="false">IF($N1510="","",INDEX(BookRate,1505)*(1+'5. Scenarios'!$D$10)*$N1510)</f>
        <v/>
      </c>
      <c r="P1510" s="57" t="str">
        <f aca="false">IF($O1510="","",SUMIFS($O$6:$O$2405,$A$6:$A$2405,"&lt;="&amp;$A1510))</f>
        <v/>
      </c>
      <c r="Q1510" s="57" t="str">
        <f aca="false">IF($O1510="","",IF($P1510&lt;=BankCostEnvelope*'5. Scenarios'!$D$7,1,0))</f>
        <v/>
      </c>
      <c r="R1510" s="57" t="str">
        <f aca="false">IF($N1510="","",INDEX(BookRate,1505)*(1+'5. Scenarios'!$D$10)*(INDEX(BookQ1,1505)*(5-MIN(4,1+'5. Scenarios'!$D$8))/4+INDEX(BookQ2,1505)*(5-MIN(4,2+'5. Scenarios'!$D$8))/4+INDEX(BookQ3,1505)*(5-MIN(4,3+'5. Scenarios'!$D$8))/4+INDEX(BookQ4,1505)*(5-MIN(4,4+'5. Scenarios'!$D$8))/4)*'5. Scenarios'!$D$6/(1+ProductivityDefault*('5. Scenarios'!$D$11-1))+INDEX(BookOneOff,1505)*$N1510)</f>
        <v/>
      </c>
      <c r="S1510" s="56" t="str">
        <f aca="false">IF(INDEX(BookTitle,1505)="","",INDEX(BookTotal,1505)*'5. Scenarios'!$E$6/(1+ProductivityDefault*('5. Scenarios'!$E$11-1)))</f>
        <v/>
      </c>
      <c r="T1510" s="57" t="str">
        <f aca="false">IF($S1510="","",INDEX(BookRate,1505)*(1+'5. Scenarios'!$E$10)*$S1510)</f>
        <v/>
      </c>
      <c r="U1510" s="57" t="str">
        <f aca="false">IF($T1510="","",SUMIFS($T$6:$T$2405,$A$6:$A$2405,"&lt;="&amp;$A1510))</f>
        <v/>
      </c>
      <c r="V1510" s="57" t="str">
        <f aca="false">IF($T1510="","",IF($U1510&lt;=BankCostEnvelope*'5. Scenarios'!$E$7,1,0))</f>
        <v/>
      </c>
      <c r="W1510" s="57" t="str">
        <f aca="false">IF($S1510="","",INDEX(BookRate,1505)*(1+'5. Scenarios'!$E$10)*(INDEX(BookQ1,1505)*(5-MIN(4,1+'5. Scenarios'!$E$8))/4+INDEX(BookQ2,1505)*(5-MIN(4,2+'5. Scenarios'!$E$8))/4+INDEX(BookQ3,1505)*(5-MIN(4,3+'5. Scenarios'!$E$8))/4+INDEX(BookQ4,1505)*(5-MIN(4,4+'5. Scenarios'!$E$8))/4)*'5. Scenarios'!$E$6/(1+ProductivityDefault*('5. Scenarios'!$E$11-1))+INDEX(BookOneOff,1505)*$S1510)</f>
        <v/>
      </c>
    </row>
    <row r="1511" customFormat="false" ht="15" hidden="false" customHeight="false" outlineLevel="0" collapsed="false">
      <c r="A1511" s="0" t="str">
        <f aca="false">IF(INDEX(BookTitle,1506)="","",INDEX(BookKey,1506))</f>
        <v/>
      </c>
      <c r="B1511" s="0" t="str">
        <f aca="false">IF(INDEX(BookTitle,1506)="","",INDEX(BookGroup,1506))</f>
        <v/>
      </c>
      <c r="C1511" s="0" t="str">
        <f aca="false">IF(INDEX(BookTitle,1506)="","",INDEX(BookCategory,1506))</f>
        <v/>
      </c>
      <c r="D1511" s="56" t="str">
        <f aca="false">IF(INDEX(BookTitle,1506)="","",INDEX(BookTotal,1506)*'5. Scenarios'!$B$6/(1+ProductivityDefault*('5. Scenarios'!$B$11-1)))</f>
        <v/>
      </c>
      <c r="E1511" s="57" t="str">
        <f aca="false">IF($D1511="","",INDEX(BookRate,1506)*(1+'5. Scenarios'!$B$10)*$D1511)</f>
        <v/>
      </c>
      <c r="F1511" s="57" t="str">
        <f aca="false">IF($E1511="","",SUMIFS($E$6:$E$2405,$A$6:$A$2405,"&lt;="&amp;$A1511))</f>
        <v/>
      </c>
      <c r="G1511" s="57" t="str">
        <f aca="false">IF($E1511="","",IF($F1511&lt;=BankCostEnvelope*'5. Scenarios'!$B$7,1,0))</f>
        <v/>
      </c>
      <c r="H1511" s="57" t="str">
        <f aca="false">IF($D1511="","",INDEX(BookRate,1506)*(1+'5. Scenarios'!$B$10)*(INDEX(BookQ1,1506)*(5-MIN(4,1+'5. Scenarios'!$B$8))/4+INDEX(BookQ2,1506)*(5-MIN(4,2+'5. Scenarios'!$B$8))/4+INDEX(BookQ3,1506)*(5-MIN(4,3+'5. Scenarios'!$B$8))/4+INDEX(BookQ4,1506)*(5-MIN(4,4+'5. Scenarios'!$B$8))/4)*'5. Scenarios'!$B$6/(1+ProductivityDefault*('5. Scenarios'!$B$11-1))+INDEX(BookOneOff,1506)*$D1511)</f>
        <v/>
      </c>
      <c r="I1511" s="56" t="str">
        <f aca="false">IF(INDEX(BookTitle,1506)="","",INDEX(BookTotal,1506)*'5. Scenarios'!$C$6/(1+ProductivityDefault*('5. Scenarios'!$C$11-1)))</f>
        <v/>
      </c>
      <c r="J1511" s="57" t="str">
        <f aca="false">IF($I1511="","",INDEX(BookRate,1506)*(1+'5. Scenarios'!$C$10)*$I1511)</f>
        <v/>
      </c>
      <c r="K1511" s="57" t="str">
        <f aca="false">IF($J1511="","",SUMIFS($J$6:$J$2405,$A$6:$A$2405,"&lt;="&amp;$A1511))</f>
        <v/>
      </c>
      <c r="L1511" s="57" t="str">
        <f aca="false">IF($J1511="","",IF($K1511&lt;=BankCostEnvelope*'5. Scenarios'!$C$7,1,0))</f>
        <v/>
      </c>
      <c r="M1511" s="57" t="str">
        <f aca="false">IF($I1511="","",INDEX(BookRate,1506)*(1+'5. Scenarios'!$C$10)*(INDEX(BookQ1,1506)*(5-MIN(4,1+'5. Scenarios'!$C$8))/4+INDEX(BookQ2,1506)*(5-MIN(4,2+'5. Scenarios'!$C$8))/4+INDEX(BookQ3,1506)*(5-MIN(4,3+'5. Scenarios'!$C$8))/4+INDEX(BookQ4,1506)*(5-MIN(4,4+'5. Scenarios'!$C$8))/4)*'5. Scenarios'!$C$6/(1+ProductivityDefault*('5. Scenarios'!$C$11-1))+INDEX(BookOneOff,1506)*$I1511)</f>
        <v/>
      </c>
      <c r="N1511" s="56" t="str">
        <f aca="false">IF(INDEX(BookTitle,1506)="","",INDEX(BookTotal,1506)*'5. Scenarios'!$D$6/(1+ProductivityDefault*('5. Scenarios'!$D$11-1)))</f>
        <v/>
      </c>
      <c r="O1511" s="57" t="str">
        <f aca="false">IF($N1511="","",INDEX(BookRate,1506)*(1+'5. Scenarios'!$D$10)*$N1511)</f>
        <v/>
      </c>
      <c r="P1511" s="57" t="str">
        <f aca="false">IF($O1511="","",SUMIFS($O$6:$O$2405,$A$6:$A$2405,"&lt;="&amp;$A1511))</f>
        <v/>
      </c>
      <c r="Q1511" s="57" t="str">
        <f aca="false">IF($O1511="","",IF($P1511&lt;=BankCostEnvelope*'5. Scenarios'!$D$7,1,0))</f>
        <v/>
      </c>
      <c r="R1511" s="57" t="str">
        <f aca="false">IF($N1511="","",INDEX(BookRate,1506)*(1+'5. Scenarios'!$D$10)*(INDEX(BookQ1,1506)*(5-MIN(4,1+'5. Scenarios'!$D$8))/4+INDEX(BookQ2,1506)*(5-MIN(4,2+'5. Scenarios'!$D$8))/4+INDEX(BookQ3,1506)*(5-MIN(4,3+'5. Scenarios'!$D$8))/4+INDEX(BookQ4,1506)*(5-MIN(4,4+'5. Scenarios'!$D$8))/4)*'5. Scenarios'!$D$6/(1+ProductivityDefault*('5. Scenarios'!$D$11-1))+INDEX(BookOneOff,1506)*$N1511)</f>
        <v/>
      </c>
      <c r="S1511" s="56" t="str">
        <f aca="false">IF(INDEX(BookTitle,1506)="","",INDEX(BookTotal,1506)*'5. Scenarios'!$E$6/(1+ProductivityDefault*('5. Scenarios'!$E$11-1)))</f>
        <v/>
      </c>
      <c r="T1511" s="57" t="str">
        <f aca="false">IF($S1511="","",INDEX(BookRate,1506)*(1+'5. Scenarios'!$E$10)*$S1511)</f>
        <v/>
      </c>
      <c r="U1511" s="57" t="str">
        <f aca="false">IF($T1511="","",SUMIFS($T$6:$T$2405,$A$6:$A$2405,"&lt;="&amp;$A1511))</f>
        <v/>
      </c>
      <c r="V1511" s="57" t="str">
        <f aca="false">IF($T1511="","",IF($U1511&lt;=BankCostEnvelope*'5. Scenarios'!$E$7,1,0))</f>
        <v/>
      </c>
      <c r="W1511" s="57" t="str">
        <f aca="false">IF($S1511="","",INDEX(BookRate,1506)*(1+'5. Scenarios'!$E$10)*(INDEX(BookQ1,1506)*(5-MIN(4,1+'5. Scenarios'!$E$8))/4+INDEX(BookQ2,1506)*(5-MIN(4,2+'5. Scenarios'!$E$8))/4+INDEX(BookQ3,1506)*(5-MIN(4,3+'5. Scenarios'!$E$8))/4+INDEX(BookQ4,1506)*(5-MIN(4,4+'5. Scenarios'!$E$8))/4)*'5. Scenarios'!$E$6/(1+ProductivityDefault*('5. Scenarios'!$E$11-1))+INDEX(BookOneOff,1506)*$S1511)</f>
        <v/>
      </c>
    </row>
    <row r="1512" customFormat="false" ht="15" hidden="false" customHeight="false" outlineLevel="0" collapsed="false">
      <c r="A1512" s="0" t="str">
        <f aca="false">IF(INDEX(BookTitle,1507)="","",INDEX(BookKey,1507))</f>
        <v/>
      </c>
      <c r="B1512" s="0" t="str">
        <f aca="false">IF(INDEX(BookTitle,1507)="","",INDEX(BookGroup,1507))</f>
        <v/>
      </c>
      <c r="C1512" s="0" t="str">
        <f aca="false">IF(INDEX(BookTitle,1507)="","",INDEX(BookCategory,1507))</f>
        <v/>
      </c>
      <c r="D1512" s="56" t="str">
        <f aca="false">IF(INDEX(BookTitle,1507)="","",INDEX(BookTotal,1507)*'5. Scenarios'!$B$6/(1+ProductivityDefault*('5. Scenarios'!$B$11-1)))</f>
        <v/>
      </c>
      <c r="E1512" s="57" t="str">
        <f aca="false">IF($D1512="","",INDEX(BookRate,1507)*(1+'5. Scenarios'!$B$10)*$D1512)</f>
        <v/>
      </c>
      <c r="F1512" s="57" t="str">
        <f aca="false">IF($E1512="","",SUMIFS($E$6:$E$2405,$A$6:$A$2405,"&lt;="&amp;$A1512))</f>
        <v/>
      </c>
      <c r="G1512" s="57" t="str">
        <f aca="false">IF($E1512="","",IF($F1512&lt;=BankCostEnvelope*'5. Scenarios'!$B$7,1,0))</f>
        <v/>
      </c>
      <c r="H1512" s="57" t="str">
        <f aca="false">IF($D1512="","",INDEX(BookRate,1507)*(1+'5. Scenarios'!$B$10)*(INDEX(BookQ1,1507)*(5-MIN(4,1+'5. Scenarios'!$B$8))/4+INDEX(BookQ2,1507)*(5-MIN(4,2+'5. Scenarios'!$B$8))/4+INDEX(BookQ3,1507)*(5-MIN(4,3+'5. Scenarios'!$B$8))/4+INDEX(BookQ4,1507)*(5-MIN(4,4+'5. Scenarios'!$B$8))/4)*'5. Scenarios'!$B$6/(1+ProductivityDefault*('5. Scenarios'!$B$11-1))+INDEX(BookOneOff,1507)*$D1512)</f>
        <v/>
      </c>
      <c r="I1512" s="56" t="str">
        <f aca="false">IF(INDEX(BookTitle,1507)="","",INDEX(BookTotal,1507)*'5. Scenarios'!$C$6/(1+ProductivityDefault*('5. Scenarios'!$C$11-1)))</f>
        <v/>
      </c>
      <c r="J1512" s="57" t="str">
        <f aca="false">IF($I1512="","",INDEX(BookRate,1507)*(1+'5. Scenarios'!$C$10)*$I1512)</f>
        <v/>
      </c>
      <c r="K1512" s="57" t="str">
        <f aca="false">IF($J1512="","",SUMIFS($J$6:$J$2405,$A$6:$A$2405,"&lt;="&amp;$A1512))</f>
        <v/>
      </c>
      <c r="L1512" s="57" t="str">
        <f aca="false">IF($J1512="","",IF($K1512&lt;=BankCostEnvelope*'5. Scenarios'!$C$7,1,0))</f>
        <v/>
      </c>
      <c r="M1512" s="57" t="str">
        <f aca="false">IF($I1512="","",INDEX(BookRate,1507)*(1+'5. Scenarios'!$C$10)*(INDEX(BookQ1,1507)*(5-MIN(4,1+'5. Scenarios'!$C$8))/4+INDEX(BookQ2,1507)*(5-MIN(4,2+'5. Scenarios'!$C$8))/4+INDEX(BookQ3,1507)*(5-MIN(4,3+'5. Scenarios'!$C$8))/4+INDEX(BookQ4,1507)*(5-MIN(4,4+'5. Scenarios'!$C$8))/4)*'5. Scenarios'!$C$6/(1+ProductivityDefault*('5. Scenarios'!$C$11-1))+INDEX(BookOneOff,1507)*$I1512)</f>
        <v/>
      </c>
      <c r="N1512" s="56" t="str">
        <f aca="false">IF(INDEX(BookTitle,1507)="","",INDEX(BookTotal,1507)*'5. Scenarios'!$D$6/(1+ProductivityDefault*('5. Scenarios'!$D$11-1)))</f>
        <v/>
      </c>
      <c r="O1512" s="57" t="str">
        <f aca="false">IF($N1512="","",INDEX(BookRate,1507)*(1+'5. Scenarios'!$D$10)*$N1512)</f>
        <v/>
      </c>
      <c r="P1512" s="57" t="str">
        <f aca="false">IF($O1512="","",SUMIFS($O$6:$O$2405,$A$6:$A$2405,"&lt;="&amp;$A1512))</f>
        <v/>
      </c>
      <c r="Q1512" s="57" t="str">
        <f aca="false">IF($O1512="","",IF($P1512&lt;=BankCostEnvelope*'5. Scenarios'!$D$7,1,0))</f>
        <v/>
      </c>
      <c r="R1512" s="57" t="str">
        <f aca="false">IF($N1512="","",INDEX(BookRate,1507)*(1+'5. Scenarios'!$D$10)*(INDEX(BookQ1,1507)*(5-MIN(4,1+'5. Scenarios'!$D$8))/4+INDEX(BookQ2,1507)*(5-MIN(4,2+'5. Scenarios'!$D$8))/4+INDEX(BookQ3,1507)*(5-MIN(4,3+'5. Scenarios'!$D$8))/4+INDEX(BookQ4,1507)*(5-MIN(4,4+'5. Scenarios'!$D$8))/4)*'5. Scenarios'!$D$6/(1+ProductivityDefault*('5. Scenarios'!$D$11-1))+INDEX(BookOneOff,1507)*$N1512)</f>
        <v/>
      </c>
      <c r="S1512" s="56" t="str">
        <f aca="false">IF(INDEX(BookTitle,1507)="","",INDEX(BookTotal,1507)*'5. Scenarios'!$E$6/(1+ProductivityDefault*('5. Scenarios'!$E$11-1)))</f>
        <v/>
      </c>
      <c r="T1512" s="57" t="str">
        <f aca="false">IF($S1512="","",INDEX(BookRate,1507)*(1+'5. Scenarios'!$E$10)*$S1512)</f>
        <v/>
      </c>
      <c r="U1512" s="57" t="str">
        <f aca="false">IF($T1512="","",SUMIFS($T$6:$T$2405,$A$6:$A$2405,"&lt;="&amp;$A1512))</f>
        <v/>
      </c>
      <c r="V1512" s="57" t="str">
        <f aca="false">IF($T1512="","",IF($U1512&lt;=BankCostEnvelope*'5. Scenarios'!$E$7,1,0))</f>
        <v/>
      </c>
      <c r="W1512" s="57" t="str">
        <f aca="false">IF($S1512="","",INDEX(BookRate,1507)*(1+'5. Scenarios'!$E$10)*(INDEX(BookQ1,1507)*(5-MIN(4,1+'5. Scenarios'!$E$8))/4+INDEX(BookQ2,1507)*(5-MIN(4,2+'5. Scenarios'!$E$8))/4+INDEX(BookQ3,1507)*(5-MIN(4,3+'5. Scenarios'!$E$8))/4+INDEX(BookQ4,1507)*(5-MIN(4,4+'5. Scenarios'!$E$8))/4)*'5. Scenarios'!$E$6/(1+ProductivityDefault*('5. Scenarios'!$E$11-1))+INDEX(BookOneOff,1507)*$S1512)</f>
        <v/>
      </c>
    </row>
    <row r="1513" customFormat="false" ht="15" hidden="false" customHeight="false" outlineLevel="0" collapsed="false">
      <c r="A1513" s="0" t="str">
        <f aca="false">IF(INDEX(BookTitle,1508)="","",INDEX(BookKey,1508))</f>
        <v/>
      </c>
      <c r="B1513" s="0" t="str">
        <f aca="false">IF(INDEX(BookTitle,1508)="","",INDEX(BookGroup,1508))</f>
        <v/>
      </c>
      <c r="C1513" s="0" t="str">
        <f aca="false">IF(INDEX(BookTitle,1508)="","",INDEX(BookCategory,1508))</f>
        <v/>
      </c>
      <c r="D1513" s="56" t="str">
        <f aca="false">IF(INDEX(BookTitle,1508)="","",INDEX(BookTotal,1508)*'5. Scenarios'!$B$6/(1+ProductivityDefault*('5. Scenarios'!$B$11-1)))</f>
        <v/>
      </c>
      <c r="E1513" s="57" t="str">
        <f aca="false">IF($D1513="","",INDEX(BookRate,1508)*(1+'5. Scenarios'!$B$10)*$D1513)</f>
        <v/>
      </c>
      <c r="F1513" s="57" t="str">
        <f aca="false">IF($E1513="","",SUMIFS($E$6:$E$2405,$A$6:$A$2405,"&lt;="&amp;$A1513))</f>
        <v/>
      </c>
      <c r="G1513" s="57" t="str">
        <f aca="false">IF($E1513="","",IF($F1513&lt;=BankCostEnvelope*'5. Scenarios'!$B$7,1,0))</f>
        <v/>
      </c>
      <c r="H1513" s="57" t="str">
        <f aca="false">IF($D1513="","",INDEX(BookRate,1508)*(1+'5. Scenarios'!$B$10)*(INDEX(BookQ1,1508)*(5-MIN(4,1+'5. Scenarios'!$B$8))/4+INDEX(BookQ2,1508)*(5-MIN(4,2+'5. Scenarios'!$B$8))/4+INDEX(BookQ3,1508)*(5-MIN(4,3+'5. Scenarios'!$B$8))/4+INDEX(BookQ4,1508)*(5-MIN(4,4+'5. Scenarios'!$B$8))/4)*'5. Scenarios'!$B$6/(1+ProductivityDefault*('5. Scenarios'!$B$11-1))+INDEX(BookOneOff,1508)*$D1513)</f>
        <v/>
      </c>
      <c r="I1513" s="56" t="str">
        <f aca="false">IF(INDEX(BookTitle,1508)="","",INDEX(BookTotal,1508)*'5. Scenarios'!$C$6/(1+ProductivityDefault*('5. Scenarios'!$C$11-1)))</f>
        <v/>
      </c>
      <c r="J1513" s="57" t="str">
        <f aca="false">IF($I1513="","",INDEX(BookRate,1508)*(1+'5. Scenarios'!$C$10)*$I1513)</f>
        <v/>
      </c>
      <c r="K1513" s="57" t="str">
        <f aca="false">IF($J1513="","",SUMIFS($J$6:$J$2405,$A$6:$A$2405,"&lt;="&amp;$A1513))</f>
        <v/>
      </c>
      <c r="L1513" s="57" t="str">
        <f aca="false">IF($J1513="","",IF($K1513&lt;=BankCostEnvelope*'5. Scenarios'!$C$7,1,0))</f>
        <v/>
      </c>
      <c r="M1513" s="57" t="str">
        <f aca="false">IF($I1513="","",INDEX(BookRate,1508)*(1+'5. Scenarios'!$C$10)*(INDEX(BookQ1,1508)*(5-MIN(4,1+'5. Scenarios'!$C$8))/4+INDEX(BookQ2,1508)*(5-MIN(4,2+'5. Scenarios'!$C$8))/4+INDEX(BookQ3,1508)*(5-MIN(4,3+'5. Scenarios'!$C$8))/4+INDEX(BookQ4,1508)*(5-MIN(4,4+'5. Scenarios'!$C$8))/4)*'5. Scenarios'!$C$6/(1+ProductivityDefault*('5. Scenarios'!$C$11-1))+INDEX(BookOneOff,1508)*$I1513)</f>
        <v/>
      </c>
      <c r="N1513" s="56" t="str">
        <f aca="false">IF(INDEX(BookTitle,1508)="","",INDEX(BookTotal,1508)*'5. Scenarios'!$D$6/(1+ProductivityDefault*('5. Scenarios'!$D$11-1)))</f>
        <v/>
      </c>
      <c r="O1513" s="57" t="str">
        <f aca="false">IF($N1513="","",INDEX(BookRate,1508)*(1+'5. Scenarios'!$D$10)*$N1513)</f>
        <v/>
      </c>
      <c r="P1513" s="57" t="str">
        <f aca="false">IF($O1513="","",SUMIFS($O$6:$O$2405,$A$6:$A$2405,"&lt;="&amp;$A1513))</f>
        <v/>
      </c>
      <c r="Q1513" s="57" t="str">
        <f aca="false">IF($O1513="","",IF($P1513&lt;=BankCostEnvelope*'5. Scenarios'!$D$7,1,0))</f>
        <v/>
      </c>
      <c r="R1513" s="57" t="str">
        <f aca="false">IF($N1513="","",INDEX(BookRate,1508)*(1+'5. Scenarios'!$D$10)*(INDEX(BookQ1,1508)*(5-MIN(4,1+'5. Scenarios'!$D$8))/4+INDEX(BookQ2,1508)*(5-MIN(4,2+'5. Scenarios'!$D$8))/4+INDEX(BookQ3,1508)*(5-MIN(4,3+'5. Scenarios'!$D$8))/4+INDEX(BookQ4,1508)*(5-MIN(4,4+'5. Scenarios'!$D$8))/4)*'5. Scenarios'!$D$6/(1+ProductivityDefault*('5. Scenarios'!$D$11-1))+INDEX(BookOneOff,1508)*$N1513)</f>
        <v/>
      </c>
      <c r="S1513" s="56" t="str">
        <f aca="false">IF(INDEX(BookTitle,1508)="","",INDEX(BookTotal,1508)*'5. Scenarios'!$E$6/(1+ProductivityDefault*('5. Scenarios'!$E$11-1)))</f>
        <v/>
      </c>
      <c r="T1513" s="57" t="str">
        <f aca="false">IF($S1513="","",INDEX(BookRate,1508)*(1+'5. Scenarios'!$E$10)*$S1513)</f>
        <v/>
      </c>
      <c r="U1513" s="57" t="str">
        <f aca="false">IF($T1513="","",SUMIFS($T$6:$T$2405,$A$6:$A$2405,"&lt;="&amp;$A1513))</f>
        <v/>
      </c>
      <c r="V1513" s="57" t="str">
        <f aca="false">IF($T1513="","",IF($U1513&lt;=BankCostEnvelope*'5. Scenarios'!$E$7,1,0))</f>
        <v/>
      </c>
      <c r="W1513" s="57" t="str">
        <f aca="false">IF($S1513="","",INDEX(BookRate,1508)*(1+'5. Scenarios'!$E$10)*(INDEX(BookQ1,1508)*(5-MIN(4,1+'5. Scenarios'!$E$8))/4+INDEX(BookQ2,1508)*(5-MIN(4,2+'5. Scenarios'!$E$8))/4+INDEX(BookQ3,1508)*(5-MIN(4,3+'5. Scenarios'!$E$8))/4+INDEX(BookQ4,1508)*(5-MIN(4,4+'5. Scenarios'!$E$8))/4)*'5. Scenarios'!$E$6/(1+ProductivityDefault*('5. Scenarios'!$E$11-1))+INDEX(BookOneOff,1508)*$S1513)</f>
        <v/>
      </c>
    </row>
    <row r="1514" customFormat="false" ht="15" hidden="false" customHeight="false" outlineLevel="0" collapsed="false">
      <c r="A1514" s="0" t="str">
        <f aca="false">IF(INDEX(BookTitle,1509)="","",INDEX(BookKey,1509))</f>
        <v/>
      </c>
      <c r="B1514" s="0" t="str">
        <f aca="false">IF(INDEX(BookTitle,1509)="","",INDEX(BookGroup,1509))</f>
        <v/>
      </c>
      <c r="C1514" s="0" t="str">
        <f aca="false">IF(INDEX(BookTitle,1509)="","",INDEX(BookCategory,1509))</f>
        <v/>
      </c>
      <c r="D1514" s="56" t="str">
        <f aca="false">IF(INDEX(BookTitle,1509)="","",INDEX(BookTotal,1509)*'5. Scenarios'!$B$6/(1+ProductivityDefault*('5. Scenarios'!$B$11-1)))</f>
        <v/>
      </c>
      <c r="E1514" s="57" t="str">
        <f aca="false">IF($D1514="","",INDEX(BookRate,1509)*(1+'5. Scenarios'!$B$10)*$D1514)</f>
        <v/>
      </c>
      <c r="F1514" s="57" t="str">
        <f aca="false">IF($E1514="","",SUMIFS($E$6:$E$2405,$A$6:$A$2405,"&lt;="&amp;$A1514))</f>
        <v/>
      </c>
      <c r="G1514" s="57" t="str">
        <f aca="false">IF($E1514="","",IF($F1514&lt;=BankCostEnvelope*'5. Scenarios'!$B$7,1,0))</f>
        <v/>
      </c>
      <c r="H1514" s="57" t="str">
        <f aca="false">IF($D1514="","",INDEX(BookRate,1509)*(1+'5. Scenarios'!$B$10)*(INDEX(BookQ1,1509)*(5-MIN(4,1+'5. Scenarios'!$B$8))/4+INDEX(BookQ2,1509)*(5-MIN(4,2+'5. Scenarios'!$B$8))/4+INDEX(BookQ3,1509)*(5-MIN(4,3+'5. Scenarios'!$B$8))/4+INDEX(BookQ4,1509)*(5-MIN(4,4+'5. Scenarios'!$B$8))/4)*'5. Scenarios'!$B$6/(1+ProductivityDefault*('5. Scenarios'!$B$11-1))+INDEX(BookOneOff,1509)*$D1514)</f>
        <v/>
      </c>
      <c r="I1514" s="56" t="str">
        <f aca="false">IF(INDEX(BookTitle,1509)="","",INDEX(BookTotal,1509)*'5. Scenarios'!$C$6/(1+ProductivityDefault*('5. Scenarios'!$C$11-1)))</f>
        <v/>
      </c>
      <c r="J1514" s="57" t="str">
        <f aca="false">IF($I1514="","",INDEX(BookRate,1509)*(1+'5. Scenarios'!$C$10)*$I1514)</f>
        <v/>
      </c>
      <c r="K1514" s="57" t="str">
        <f aca="false">IF($J1514="","",SUMIFS($J$6:$J$2405,$A$6:$A$2405,"&lt;="&amp;$A1514))</f>
        <v/>
      </c>
      <c r="L1514" s="57" t="str">
        <f aca="false">IF($J1514="","",IF($K1514&lt;=BankCostEnvelope*'5. Scenarios'!$C$7,1,0))</f>
        <v/>
      </c>
      <c r="M1514" s="57" t="str">
        <f aca="false">IF($I1514="","",INDEX(BookRate,1509)*(1+'5. Scenarios'!$C$10)*(INDEX(BookQ1,1509)*(5-MIN(4,1+'5. Scenarios'!$C$8))/4+INDEX(BookQ2,1509)*(5-MIN(4,2+'5. Scenarios'!$C$8))/4+INDEX(BookQ3,1509)*(5-MIN(4,3+'5. Scenarios'!$C$8))/4+INDEX(BookQ4,1509)*(5-MIN(4,4+'5. Scenarios'!$C$8))/4)*'5. Scenarios'!$C$6/(1+ProductivityDefault*('5. Scenarios'!$C$11-1))+INDEX(BookOneOff,1509)*$I1514)</f>
        <v/>
      </c>
      <c r="N1514" s="56" t="str">
        <f aca="false">IF(INDEX(BookTitle,1509)="","",INDEX(BookTotal,1509)*'5. Scenarios'!$D$6/(1+ProductivityDefault*('5. Scenarios'!$D$11-1)))</f>
        <v/>
      </c>
      <c r="O1514" s="57" t="str">
        <f aca="false">IF($N1514="","",INDEX(BookRate,1509)*(1+'5. Scenarios'!$D$10)*$N1514)</f>
        <v/>
      </c>
      <c r="P1514" s="57" t="str">
        <f aca="false">IF($O1514="","",SUMIFS($O$6:$O$2405,$A$6:$A$2405,"&lt;="&amp;$A1514))</f>
        <v/>
      </c>
      <c r="Q1514" s="57" t="str">
        <f aca="false">IF($O1514="","",IF($P1514&lt;=BankCostEnvelope*'5. Scenarios'!$D$7,1,0))</f>
        <v/>
      </c>
      <c r="R1514" s="57" t="str">
        <f aca="false">IF($N1514="","",INDEX(BookRate,1509)*(1+'5. Scenarios'!$D$10)*(INDEX(BookQ1,1509)*(5-MIN(4,1+'5. Scenarios'!$D$8))/4+INDEX(BookQ2,1509)*(5-MIN(4,2+'5. Scenarios'!$D$8))/4+INDEX(BookQ3,1509)*(5-MIN(4,3+'5. Scenarios'!$D$8))/4+INDEX(BookQ4,1509)*(5-MIN(4,4+'5. Scenarios'!$D$8))/4)*'5. Scenarios'!$D$6/(1+ProductivityDefault*('5. Scenarios'!$D$11-1))+INDEX(BookOneOff,1509)*$N1514)</f>
        <v/>
      </c>
      <c r="S1514" s="56" t="str">
        <f aca="false">IF(INDEX(BookTitle,1509)="","",INDEX(BookTotal,1509)*'5. Scenarios'!$E$6/(1+ProductivityDefault*('5. Scenarios'!$E$11-1)))</f>
        <v/>
      </c>
      <c r="T1514" s="57" t="str">
        <f aca="false">IF($S1514="","",INDEX(BookRate,1509)*(1+'5. Scenarios'!$E$10)*$S1514)</f>
        <v/>
      </c>
      <c r="U1514" s="57" t="str">
        <f aca="false">IF($T1514="","",SUMIFS($T$6:$T$2405,$A$6:$A$2405,"&lt;="&amp;$A1514))</f>
        <v/>
      </c>
      <c r="V1514" s="57" t="str">
        <f aca="false">IF($T1514="","",IF($U1514&lt;=BankCostEnvelope*'5. Scenarios'!$E$7,1,0))</f>
        <v/>
      </c>
      <c r="W1514" s="57" t="str">
        <f aca="false">IF($S1514="","",INDEX(BookRate,1509)*(1+'5. Scenarios'!$E$10)*(INDEX(BookQ1,1509)*(5-MIN(4,1+'5. Scenarios'!$E$8))/4+INDEX(BookQ2,1509)*(5-MIN(4,2+'5. Scenarios'!$E$8))/4+INDEX(BookQ3,1509)*(5-MIN(4,3+'5. Scenarios'!$E$8))/4+INDEX(BookQ4,1509)*(5-MIN(4,4+'5. Scenarios'!$E$8))/4)*'5. Scenarios'!$E$6/(1+ProductivityDefault*('5. Scenarios'!$E$11-1))+INDEX(BookOneOff,1509)*$S1514)</f>
        <v/>
      </c>
    </row>
    <row r="1515" customFormat="false" ht="15" hidden="false" customHeight="false" outlineLevel="0" collapsed="false">
      <c r="A1515" s="0" t="str">
        <f aca="false">IF(INDEX(BookTitle,1510)="","",INDEX(BookKey,1510))</f>
        <v/>
      </c>
      <c r="B1515" s="0" t="str">
        <f aca="false">IF(INDEX(BookTitle,1510)="","",INDEX(BookGroup,1510))</f>
        <v/>
      </c>
      <c r="C1515" s="0" t="str">
        <f aca="false">IF(INDEX(BookTitle,1510)="","",INDEX(BookCategory,1510))</f>
        <v/>
      </c>
      <c r="D1515" s="56" t="str">
        <f aca="false">IF(INDEX(BookTitle,1510)="","",INDEX(BookTotal,1510)*'5. Scenarios'!$B$6/(1+ProductivityDefault*('5. Scenarios'!$B$11-1)))</f>
        <v/>
      </c>
      <c r="E1515" s="57" t="str">
        <f aca="false">IF($D1515="","",INDEX(BookRate,1510)*(1+'5. Scenarios'!$B$10)*$D1515)</f>
        <v/>
      </c>
      <c r="F1515" s="57" t="str">
        <f aca="false">IF($E1515="","",SUMIFS($E$6:$E$2405,$A$6:$A$2405,"&lt;="&amp;$A1515))</f>
        <v/>
      </c>
      <c r="G1515" s="57" t="str">
        <f aca="false">IF($E1515="","",IF($F1515&lt;=BankCostEnvelope*'5. Scenarios'!$B$7,1,0))</f>
        <v/>
      </c>
      <c r="H1515" s="57" t="str">
        <f aca="false">IF($D1515="","",INDEX(BookRate,1510)*(1+'5. Scenarios'!$B$10)*(INDEX(BookQ1,1510)*(5-MIN(4,1+'5. Scenarios'!$B$8))/4+INDEX(BookQ2,1510)*(5-MIN(4,2+'5. Scenarios'!$B$8))/4+INDEX(BookQ3,1510)*(5-MIN(4,3+'5. Scenarios'!$B$8))/4+INDEX(BookQ4,1510)*(5-MIN(4,4+'5. Scenarios'!$B$8))/4)*'5. Scenarios'!$B$6/(1+ProductivityDefault*('5. Scenarios'!$B$11-1))+INDEX(BookOneOff,1510)*$D1515)</f>
        <v/>
      </c>
      <c r="I1515" s="56" t="str">
        <f aca="false">IF(INDEX(BookTitle,1510)="","",INDEX(BookTotal,1510)*'5. Scenarios'!$C$6/(1+ProductivityDefault*('5. Scenarios'!$C$11-1)))</f>
        <v/>
      </c>
      <c r="J1515" s="57" t="str">
        <f aca="false">IF($I1515="","",INDEX(BookRate,1510)*(1+'5. Scenarios'!$C$10)*$I1515)</f>
        <v/>
      </c>
      <c r="K1515" s="57" t="str">
        <f aca="false">IF($J1515="","",SUMIFS($J$6:$J$2405,$A$6:$A$2405,"&lt;="&amp;$A1515))</f>
        <v/>
      </c>
      <c r="L1515" s="57" t="str">
        <f aca="false">IF($J1515="","",IF($K1515&lt;=BankCostEnvelope*'5. Scenarios'!$C$7,1,0))</f>
        <v/>
      </c>
      <c r="M1515" s="57" t="str">
        <f aca="false">IF($I1515="","",INDEX(BookRate,1510)*(1+'5. Scenarios'!$C$10)*(INDEX(BookQ1,1510)*(5-MIN(4,1+'5. Scenarios'!$C$8))/4+INDEX(BookQ2,1510)*(5-MIN(4,2+'5. Scenarios'!$C$8))/4+INDEX(BookQ3,1510)*(5-MIN(4,3+'5. Scenarios'!$C$8))/4+INDEX(BookQ4,1510)*(5-MIN(4,4+'5. Scenarios'!$C$8))/4)*'5. Scenarios'!$C$6/(1+ProductivityDefault*('5. Scenarios'!$C$11-1))+INDEX(BookOneOff,1510)*$I1515)</f>
        <v/>
      </c>
      <c r="N1515" s="56" t="str">
        <f aca="false">IF(INDEX(BookTitle,1510)="","",INDEX(BookTotal,1510)*'5. Scenarios'!$D$6/(1+ProductivityDefault*('5. Scenarios'!$D$11-1)))</f>
        <v/>
      </c>
      <c r="O1515" s="57" t="str">
        <f aca="false">IF($N1515="","",INDEX(BookRate,1510)*(1+'5. Scenarios'!$D$10)*$N1515)</f>
        <v/>
      </c>
      <c r="P1515" s="57" t="str">
        <f aca="false">IF($O1515="","",SUMIFS($O$6:$O$2405,$A$6:$A$2405,"&lt;="&amp;$A1515))</f>
        <v/>
      </c>
      <c r="Q1515" s="57" t="str">
        <f aca="false">IF($O1515="","",IF($P1515&lt;=BankCostEnvelope*'5. Scenarios'!$D$7,1,0))</f>
        <v/>
      </c>
      <c r="R1515" s="57" t="str">
        <f aca="false">IF($N1515="","",INDEX(BookRate,1510)*(1+'5. Scenarios'!$D$10)*(INDEX(BookQ1,1510)*(5-MIN(4,1+'5. Scenarios'!$D$8))/4+INDEX(BookQ2,1510)*(5-MIN(4,2+'5. Scenarios'!$D$8))/4+INDEX(BookQ3,1510)*(5-MIN(4,3+'5. Scenarios'!$D$8))/4+INDEX(BookQ4,1510)*(5-MIN(4,4+'5. Scenarios'!$D$8))/4)*'5. Scenarios'!$D$6/(1+ProductivityDefault*('5. Scenarios'!$D$11-1))+INDEX(BookOneOff,1510)*$N1515)</f>
        <v/>
      </c>
      <c r="S1515" s="56" t="str">
        <f aca="false">IF(INDEX(BookTitle,1510)="","",INDEX(BookTotal,1510)*'5. Scenarios'!$E$6/(1+ProductivityDefault*('5. Scenarios'!$E$11-1)))</f>
        <v/>
      </c>
      <c r="T1515" s="57" t="str">
        <f aca="false">IF($S1515="","",INDEX(BookRate,1510)*(1+'5. Scenarios'!$E$10)*$S1515)</f>
        <v/>
      </c>
      <c r="U1515" s="57" t="str">
        <f aca="false">IF($T1515="","",SUMIFS($T$6:$T$2405,$A$6:$A$2405,"&lt;="&amp;$A1515))</f>
        <v/>
      </c>
      <c r="V1515" s="57" t="str">
        <f aca="false">IF($T1515="","",IF($U1515&lt;=BankCostEnvelope*'5. Scenarios'!$E$7,1,0))</f>
        <v/>
      </c>
      <c r="W1515" s="57" t="str">
        <f aca="false">IF($S1515="","",INDEX(BookRate,1510)*(1+'5. Scenarios'!$E$10)*(INDEX(BookQ1,1510)*(5-MIN(4,1+'5. Scenarios'!$E$8))/4+INDEX(BookQ2,1510)*(5-MIN(4,2+'5. Scenarios'!$E$8))/4+INDEX(BookQ3,1510)*(5-MIN(4,3+'5. Scenarios'!$E$8))/4+INDEX(BookQ4,1510)*(5-MIN(4,4+'5. Scenarios'!$E$8))/4)*'5. Scenarios'!$E$6/(1+ProductivityDefault*('5. Scenarios'!$E$11-1))+INDEX(BookOneOff,1510)*$S1515)</f>
        <v/>
      </c>
    </row>
    <row r="1516" customFormat="false" ht="15" hidden="false" customHeight="false" outlineLevel="0" collapsed="false">
      <c r="A1516" s="0" t="str">
        <f aca="false">IF(INDEX(BookTitle,1511)="","",INDEX(BookKey,1511))</f>
        <v/>
      </c>
      <c r="B1516" s="0" t="str">
        <f aca="false">IF(INDEX(BookTitle,1511)="","",INDEX(BookGroup,1511))</f>
        <v/>
      </c>
      <c r="C1516" s="0" t="str">
        <f aca="false">IF(INDEX(BookTitle,1511)="","",INDEX(BookCategory,1511))</f>
        <v/>
      </c>
      <c r="D1516" s="56" t="str">
        <f aca="false">IF(INDEX(BookTitle,1511)="","",INDEX(BookTotal,1511)*'5. Scenarios'!$B$6/(1+ProductivityDefault*('5. Scenarios'!$B$11-1)))</f>
        <v/>
      </c>
      <c r="E1516" s="57" t="str">
        <f aca="false">IF($D1516="","",INDEX(BookRate,1511)*(1+'5. Scenarios'!$B$10)*$D1516)</f>
        <v/>
      </c>
      <c r="F1516" s="57" t="str">
        <f aca="false">IF($E1516="","",SUMIFS($E$6:$E$2405,$A$6:$A$2405,"&lt;="&amp;$A1516))</f>
        <v/>
      </c>
      <c r="G1516" s="57" t="str">
        <f aca="false">IF($E1516="","",IF($F1516&lt;=BankCostEnvelope*'5. Scenarios'!$B$7,1,0))</f>
        <v/>
      </c>
      <c r="H1516" s="57" t="str">
        <f aca="false">IF($D1516="","",INDEX(BookRate,1511)*(1+'5. Scenarios'!$B$10)*(INDEX(BookQ1,1511)*(5-MIN(4,1+'5. Scenarios'!$B$8))/4+INDEX(BookQ2,1511)*(5-MIN(4,2+'5. Scenarios'!$B$8))/4+INDEX(BookQ3,1511)*(5-MIN(4,3+'5. Scenarios'!$B$8))/4+INDEX(BookQ4,1511)*(5-MIN(4,4+'5. Scenarios'!$B$8))/4)*'5. Scenarios'!$B$6/(1+ProductivityDefault*('5. Scenarios'!$B$11-1))+INDEX(BookOneOff,1511)*$D1516)</f>
        <v/>
      </c>
      <c r="I1516" s="56" t="str">
        <f aca="false">IF(INDEX(BookTitle,1511)="","",INDEX(BookTotal,1511)*'5. Scenarios'!$C$6/(1+ProductivityDefault*('5. Scenarios'!$C$11-1)))</f>
        <v/>
      </c>
      <c r="J1516" s="57" t="str">
        <f aca="false">IF($I1516="","",INDEX(BookRate,1511)*(1+'5. Scenarios'!$C$10)*$I1516)</f>
        <v/>
      </c>
      <c r="K1516" s="57" t="str">
        <f aca="false">IF($J1516="","",SUMIFS($J$6:$J$2405,$A$6:$A$2405,"&lt;="&amp;$A1516))</f>
        <v/>
      </c>
      <c r="L1516" s="57" t="str">
        <f aca="false">IF($J1516="","",IF($K1516&lt;=BankCostEnvelope*'5. Scenarios'!$C$7,1,0))</f>
        <v/>
      </c>
      <c r="M1516" s="57" t="str">
        <f aca="false">IF($I1516="","",INDEX(BookRate,1511)*(1+'5. Scenarios'!$C$10)*(INDEX(BookQ1,1511)*(5-MIN(4,1+'5. Scenarios'!$C$8))/4+INDEX(BookQ2,1511)*(5-MIN(4,2+'5. Scenarios'!$C$8))/4+INDEX(BookQ3,1511)*(5-MIN(4,3+'5. Scenarios'!$C$8))/4+INDEX(BookQ4,1511)*(5-MIN(4,4+'5. Scenarios'!$C$8))/4)*'5. Scenarios'!$C$6/(1+ProductivityDefault*('5. Scenarios'!$C$11-1))+INDEX(BookOneOff,1511)*$I1516)</f>
        <v/>
      </c>
      <c r="N1516" s="56" t="str">
        <f aca="false">IF(INDEX(BookTitle,1511)="","",INDEX(BookTotal,1511)*'5. Scenarios'!$D$6/(1+ProductivityDefault*('5. Scenarios'!$D$11-1)))</f>
        <v/>
      </c>
      <c r="O1516" s="57" t="str">
        <f aca="false">IF($N1516="","",INDEX(BookRate,1511)*(1+'5. Scenarios'!$D$10)*$N1516)</f>
        <v/>
      </c>
      <c r="P1516" s="57" t="str">
        <f aca="false">IF($O1516="","",SUMIFS($O$6:$O$2405,$A$6:$A$2405,"&lt;="&amp;$A1516))</f>
        <v/>
      </c>
      <c r="Q1516" s="57" t="str">
        <f aca="false">IF($O1516="","",IF($P1516&lt;=BankCostEnvelope*'5. Scenarios'!$D$7,1,0))</f>
        <v/>
      </c>
      <c r="R1516" s="57" t="str">
        <f aca="false">IF($N1516="","",INDEX(BookRate,1511)*(1+'5. Scenarios'!$D$10)*(INDEX(BookQ1,1511)*(5-MIN(4,1+'5. Scenarios'!$D$8))/4+INDEX(BookQ2,1511)*(5-MIN(4,2+'5. Scenarios'!$D$8))/4+INDEX(BookQ3,1511)*(5-MIN(4,3+'5. Scenarios'!$D$8))/4+INDEX(BookQ4,1511)*(5-MIN(4,4+'5. Scenarios'!$D$8))/4)*'5. Scenarios'!$D$6/(1+ProductivityDefault*('5. Scenarios'!$D$11-1))+INDEX(BookOneOff,1511)*$N1516)</f>
        <v/>
      </c>
      <c r="S1516" s="56" t="str">
        <f aca="false">IF(INDEX(BookTitle,1511)="","",INDEX(BookTotal,1511)*'5. Scenarios'!$E$6/(1+ProductivityDefault*('5. Scenarios'!$E$11-1)))</f>
        <v/>
      </c>
      <c r="T1516" s="57" t="str">
        <f aca="false">IF($S1516="","",INDEX(BookRate,1511)*(1+'5. Scenarios'!$E$10)*$S1516)</f>
        <v/>
      </c>
      <c r="U1516" s="57" t="str">
        <f aca="false">IF($T1516="","",SUMIFS($T$6:$T$2405,$A$6:$A$2405,"&lt;="&amp;$A1516))</f>
        <v/>
      </c>
      <c r="V1516" s="57" t="str">
        <f aca="false">IF($T1516="","",IF($U1516&lt;=BankCostEnvelope*'5. Scenarios'!$E$7,1,0))</f>
        <v/>
      </c>
      <c r="W1516" s="57" t="str">
        <f aca="false">IF($S1516="","",INDEX(BookRate,1511)*(1+'5. Scenarios'!$E$10)*(INDEX(BookQ1,1511)*(5-MIN(4,1+'5. Scenarios'!$E$8))/4+INDEX(BookQ2,1511)*(5-MIN(4,2+'5. Scenarios'!$E$8))/4+INDEX(BookQ3,1511)*(5-MIN(4,3+'5. Scenarios'!$E$8))/4+INDEX(BookQ4,1511)*(5-MIN(4,4+'5. Scenarios'!$E$8))/4)*'5. Scenarios'!$E$6/(1+ProductivityDefault*('5. Scenarios'!$E$11-1))+INDEX(BookOneOff,1511)*$S1516)</f>
        <v/>
      </c>
    </row>
    <row r="1517" customFormat="false" ht="15" hidden="false" customHeight="false" outlineLevel="0" collapsed="false">
      <c r="A1517" s="0" t="str">
        <f aca="false">IF(INDEX(BookTitle,1512)="","",INDEX(BookKey,1512))</f>
        <v/>
      </c>
      <c r="B1517" s="0" t="str">
        <f aca="false">IF(INDEX(BookTitle,1512)="","",INDEX(BookGroup,1512))</f>
        <v/>
      </c>
      <c r="C1517" s="0" t="str">
        <f aca="false">IF(INDEX(BookTitle,1512)="","",INDEX(BookCategory,1512))</f>
        <v/>
      </c>
      <c r="D1517" s="56" t="str">
        <f aca="false">IF(INDEX(BookTitle,1512)="","",INDEX(BookTotal,1512)*'5. Scenarios'!$B$6/(1+ProductivityDefault*('5. Scenarios'!$B$11-1)))</f>
        <v/>
      </c>
      <c r="E1517" s="57" t="str">
        <f aca="false">IF($D1517="","",INDEX(BookRate,1512)*(1+'5. Scenarios'!$B$10)*$D1517)</f>
        <v/>
      </c>
      <c r="F1517" s="57" t="str">
        <f aca="false">IF($E1517="","",SUMIFS($E$6:$E$2405,$A$6:$A$2405,"&lt;="&amp;$A1517))</f>
        <v/>
      </c>
      <c r="G1517" s="57" t="str">
        <f aca="false">IF($E1517="","",IF($F1517&lt;=BankCostEnvelope*'5. Scenarios'!$B$7,1,0))</f>
        <v/>
      </c>
      <c r="H1517" s="57" t="str">
        <f aca="false">IF($D1517="","",INDEX(BookRate,1512)*(1+'5. Scenarios'!$B$10)*(INDEX(BookQ1,1512)*(5-MIN(4,1+'5. Scenarios'!$B$8))/4+INDEX(BookQ2,1512)*(5-MIN(4,2+'5. Scenarios'!$B$8))/4+INDEX(BookQ3,1512)*(5-MIN(4,3+'5. Scenarios'!$B$8))/4+INDEX(BookQ4,1512)*(5-MIN(4,4+'5. Scenarios'!$B$8))/4)*'5. Scenarios'!$B$6/(1+ProductivityDefault*('5. Scenarios'!$B$11-1))+INDEX(BookOneOff,1512)*$D1517)</f>
        <v/>
      </c>
      <c r="I1517" s="56" t="str">
        <f aca="false">IF(INDEX(BookTitle,1512)="","",INDEX(BookTotal,1512)*'5. Scenarios'!$C$6/(1+ProductivityDefault*('5. Scenarios'!$C$11-1)))</f>
        <v/>
      </c>
      <c r="J1517" s="57" t="str">
        <f aca="false">IF($I1517="","",INDEX(BookRate,1512)*(1+'5. Scenarios'!$C$10)*$I1517)</f>
        <v/>
      </c>
      <c r="K1517" s="57" t="str">
        <f aca="false">IF($J1517="","",SUMIFS($J$6:$J$2405,$A$6:$A$2405,"&lt;="&amp;$A1517))</f>
        <v/>
      </c>
      <c r="L1517" s="57" t="str">
        <f aca="false">IF($J1517="","",IF($K1517&lt;=BankCostEnvelope*'5. Scenarios'!$C$7,1,0))</f>
        <v/>
      </c>
      <c r="M1517" s="57" t="str">
        <f aca="false">IF($I1517="","",INDEX(BookRate,1512)*(1+'5. Scenarios'!$C$10)*(INDEX(BookQ1,1512)*(5-MIN(4,1+'5. Scenarios'!$C$8))/4+INDEX(BookQ2,1512)*(5-MIN(4,2+'5. Scenarios'!$C$8))/4+INDEX(BookQ3,1512)*(5-MIN(4,3+'5. Scenarios'!$C$8))/4+INDEX(BookQ4,1512)*(5-MIN(4,4+'5. Scenarios'!$C$8))/4)*'5. Scenarios'!$C$6/(1+ProductivityDefault*('5. Scenarios'!$C$11-1))+INDEX(BookOneOff,1512)*$I1517)</f>
        <v/>
      </c>
      <c r="N1517" s="56" t="str">
        <f aca="false">IF(INDEX(BookTitle,1512)="","",INDEX(BookTotal,1512)*'5. Scenarios'!$D$6/(1+ProductivityDefault*('5. Scenarios'!$D$11-1)))</f>
        <v/>
      </c>
      <c r="O1517" s="57" t="str">
        <f aca="false">IF($N1517="","",INDEX(BookRate,1512)*(1+'5. Scenarios'!$D$10)*$N1517)</f>
        <v/>
      </c>
      <c r="P1517" s="57" t="str">
        <f aca="false">IF($O1517="","",SUMIFS($O$6:$O$2405,$A$6:$A$2405,"&lt;="&amp;$A1517))</f>
        <v/>
      </c>
      <c r="Q1517" s="57" t="str">
        <f aca="false">IF($O1517="","",IF($P1517&lt;=BankCostEnvelope*'5. Scenarios'!$D$7,1,0))</f>
        <v/>
      </c>
      <c r="R1517" s="57" t="str">
        <f aca="false">IF($N1517="","",INDEX(BookRate,1512)*(1+'5. Scenarios'!$D$10)*(INDEX(BookQ1,1512)*(5-MIN(4,1+'5. Scenarios'!$D$8))/4+INDEX(BookQ2,1512)*(5-MIN(4,2+'5. Scenarios'!$D$8))/4+INDEX(BookQ3,1512)*(5-MIN(4,3+'5. Scenarios'!$D$8))/4+INDEX(BookQ4,1512)*(5-MIN(4,4+'5. Scenarios'!$D$8))/4)*'5. Scenarios'!$D$6/(1+ProductivityDefault*('5. Scenarios'!$D$11-1))+INDEX(BookOneOff,1512)*$N1517)</f>
        <v/>
      </c>
      <c r="S1517" s="56" t="str">
        <f aca="false">IF(INDEX(BookTitle,1512)="","",INDEX(BookTotal,1512)*'5. Scenarios'!$E$6/(1+ProductivityDefault*('5. Scenarios'!$E$11-1)))</f>
        <v/>
      </c>
      <c r="T1517" s="57" t="str">
        <f aca="false">IF($S1517="","",INDEX(BookRate,1512)*(1+'5. Scenarios'!$E$10)*$S1517)</f>
        <v/>
      </c>
      <c r="U1517" s="57" t="str">
        <f aca="false">IF($T1517="","",SUMIFS($T$6:$T$2405,$A$6:$A$2405,"&lt;="&amp;$A1517))</f>
        <v/>
      </c>
      <c r="V1517" s="57" t="str">
        <f aca="false">IF($T1517="","",IF($U1517&lt;=BankCostEnvelope*'5. Scenarios'!$E$7,1,0))</f>
        <v/>
      </c>
      <c r="W1517" s="57" t="str">
        <f aca="false">IF($S1517="","",INDEX(BookRate,1512)*(1+'5. Scenarios'!$E$10)*(INDEX(BookQ1,1512)*(5-MIN(4,1+'5. Scenarios'!$E$8))/4+INDEX(BookQ2,1512)*(5-MIN(4,2+'5. Scenarios'!$E$8))/4+INDEX(BookQ3,1512)*(5-MIN(4,3+'5. Scenarios'!$E$8))/4+INDEX(BookQ4,1512)*(5-MIN(4,4+'5. Scenarios'!$E$8))/4)*'5. Scenarios'!$E$6/(1+ProductivityDefault*('5. Scenarios'!$E$11-1))+INDEX(BookOneOff,1512)*$S1517)</f>
        <v/>
      </c>
    </row>
    <row r="1518" customFormat="false" ht="15" hidden="false" customHeight="false" outlineLevel="0" collapsed="false">
      <c r="A1518" s="0" t="str">
        <f aca="false">IF(INDEX(BookTitle,1513)="","",INDEX(BookKey,1513))</f>
        <v/>
      </c>
      <c r="B1518" s="0" t="str">
        <f aca="false">IF(INDEX(BookTitle,1513)="","",INDEX(BookGroup,1513))</f>
        <v/>
      </c>
      <c r="C1518" s="0" t="str">
        <f aca="false">IF(INDEX(BookTitle,1513)="","",INDEX(BookCategory,1513))</f>
        <v/>
      </c>
      <c r="D1518" s="56" t="str">
        <f aca="false">IF(INDEX(BookTitle,1513)="","",INDEX(BookTotal,1513)*'5. Scenarios'!$B$6/(1+ProductivityDefault*('5. Scenarios'!$B$11-1)))</f>
        <v/>
      </c>
      <c r="E1518" s="57" t="str">
        <f aca="false">IF($D1518="","",INDEX(BookRate,1513)*(1+'5. Scenarios'!$B$10)*$D1518)</f>
        <v/>
      </c>
      <c r="F1518" s="57" t="str">
        <f aca="false">IF($E1518="","",SUMIFS($E$6:$E$2405,$A$6:$A$2405,"&lt;="&amp;$A1518))</f>
        <v/>
      </c>
      <c r="G1518" s="57" t="str">
        <f aca="false">IF($E1518="","",IF($F1518&lt;=BankCostEnvelope*'5. Scenarios'!$B$7,1,0))</f>
        <v/>
      </c>
      <c r="H1518" s="57" t="str">
        <f aca="false">IF($D1518="","",INDEX(BookRate,1513)*(1+'5. Scenarios'!$B$10)*(INDEX(BookQ1,1513)*(5-MIN(4,1+'5. Scenarios'!$B$8))/4+INDEX(BookQ2,1513)*(5-MIN(4,2+'5. Scenarios'!$B$8))/4+INDEX(BookQ3,1513)*(5-MIN(4,3+'5. Scenarios'!$B$8))/4+INDEX(BookQ4,1513)*(5-MIN(4,4+'5. Scenarios'!$B$8))/4)*'5. Scenarios'!$B$6/(1+ProductivityDefault*('5. Scenarios'!$B$11-1))+INDEX(BookOneOff,1513)*$D1518)</f>
        <v/>
      </c>
      <c r="I1518" s="56" t="str">
        <f aca="false">IF(INDEX(BookTitle,1513)="","",INDEX(BookTotal,1513)*'5. Scenarios'!$C$6/(1+ProductivityDefault*('5. Scenarios'!$C$11-1)))</f>
        <v/>
      </c>
      <c r="J1518" s="57" t="str">
        <f aca="false">IF($I1518="","",INDEX(BookRate,1513)*(1+'5. Scenarios'!$C$10)*$I1518)</f>
        <v/>
      </c>
      <c r="K1518" s="57" t="str">
        <f aca="false">IF($J1518="","",SUMIFS($J$6:$J$2405,$A$6:$A$2405,"&lt;="&amp;$A1518))</f>
        <v/>
      </c>
      <c r="L1518" s="57" t="str">
        <f aca="false">IF($J1518="","",IF($K1518&lt;=BankCostEnvelope*'5. Scenarios'!$C$7,1,0))</f>
        <v/>
      </c>
      <c r="M1518" s="57" t="str">
        <f aca="false">IF($I1518="","",INDEX(BookRate,1513)*(1+'5. Scenarios'!$C$10)*(INDEX(BookQ1,1513)*(5-MIN(4,1+'5. Scenarios'!$C$8))/4+INDEX(BookQ2,1513)*(5-MIN(4,2+'5. Scenarios'!$C$8))/4+INDEX(BookQ3,1513)*(5-MIN(4,3+'5. Scenarios'!$C$8))/4+INDEX(BookQ4,1513)*(5-MIN(4,4+'5. Scenarios'!$C$8))/4)*'5. Scenarios'!$C$6/(1+ProductivityDefault*('5. Scenarios'!$C$11-1))+INDEX(BookOneOff,1513)*$I1518)</f>
        <v/>
      </c>
      <c r="N1518" s="56" t="str">
        <f aca="false">IF(INDEX(BookTitle,1513)="","",INDEX(BookTotal,1513)*'5. Scenarios'!$D$6/(1+ProductivityDefault*('5. Scenarios'!$D$11-1)))</f>
        <v/>
      </c>
      <c r="O1518" s="57" t="str">
        <f aca="false">IF($N1518="","",INDEX(BookRate,1513)*(1+'5. Scenarios'!$D$10)*$N1518)</f>
        <v/>
      </c>
      <c r="P1518" s="57" t="str">
        <f aca="false">IF($O1518="","",SUMIFS($O$6:$O$2405,$A$6:$A$2405,"&lt;="&amp;$A1518))</f>
        <v/>
      </c>
      <c r="Q1518" s="57" t="str">
        <f aca="false">IF($O1518="","",IF($P1518&lt;=BankCostEnvelope*'5. Scenarios'!$D$7,1,0))</f>
        <v/>
      </c>
      <c r="R1518" s="57" t="str">
        <f aca="false">IF($N1518="","",INDEX(BookRate,1513)*(1+'5. Scenarios'!$D$10)*(INDEX(BookQ1,1513)*(5-MIN(4,1+'5. Scenarios'!$D$8))/4+INDEX(BookQ2,1513)*(5-MIN(4,2+'5. Scenarios'!$D$8))/4+INDEX(BookQ3,1513)*(5-MIN(4,3+'5. Scenarios'!$D$8))/4+INDEX(BookQ4,1513)*(5-MIN(4,4+'5. Scenarios'!$D$8))/4)*'5. Scenarios'!$D$6/(1+ProductivityDefault*('5. Scenarios'!$D$11-1))+INDEX(BookOneOff,1513)*$N1518)</f>
        <v/>
      </c>
      <c r="S1518" s="56" t="str">
        <f aca="false">IF(INDEX(BookTitle,1513)="","",INDEX(BookTotal,1513)*'5. Scenarios'!$E$6/(1+ProductivityDefault*('5. Scenarios'!$E$11-1)))</f>
        <v/>
      </c>
      <c r="T1518" s="57" t="str">
        <f aca="false">IF($S1518="","",INDEX(BookRate,1513)*(1+'5. Scenarios'!$E$10)*$S1518)</f>
        <v/>
      </c>
      <c r="U1518" s="57" t="str">
        <f aca="false">IF($T1518="","",SUMIFS($T$6:$T$2405,$A$6:$A$2405,"&lt;="&amp;$A1518))</f>
        <v/>
      </c>
      <c r="V1518" s="57" t="str">
        <f aca="false">IF($T1518="","",IF($U1518&lt;=BankCostEnvelope*'5. Scenarios'!$E$7,1,0))</f>
        <v/>
      </c>
      <c r="W1518" s="57" t="str">
        <f aca="false">IF($S1518="","",INDEX(BookRate,1513)*(1+'5. Scenarios'!$E$10)*(INDEX(BookQ1,1513)*(5-MIN(4,1+'5. Scenarios'!$E$8))/4+INDEX(BookQ2,1513)*(5-MIN(4,2+'5. Scenarios'!$E$8))/4+INDEX(BookQ3,1513)*(5-MIN(4,3+'5. Scenarios'!$E$8))/4+INDEX(BookQ4,1513)*(5-MIN(4,4+'5. Scenarios'!$E$8))/4)*'5. Scenarios'!$E$6/(1+ProductivityDefault*('5. Scenarios'!$E$11-1))+INDEX(BookOneOff,1513)*$S1518)</f>
        <v/>
      </c>
    </row>
    <row r="1519" customFormat="false" ht="15" hidden="false" customHeight="false" outlineLevel="0" collapsed="false">
      <c r="A1519" s="0" t="str">
        <f aca="false">IF(INDEX(BookTitle,1514)="","",INDEX(BookKey,1514))</f>
        <v/>
      </c>
      <c r="B1519" s="0" t="str">
        <f aca="false">IF(INDEX(BookTitle,1514)="","",INDEX(BookGroup,1514))</f>
        <v/>
      </c>
      <c r="C1519" s="0" t="str">
        <f aca="false">IF(INDEX(BookTitle,1514)="","",INDEX(BookCategory,1514))</f>
        <v/>
      </c>
      <c r="D1519" s="56" t="str">
        <f aca="false">IF(INDEX(BookTitle,1514)="","",INDEX(BookTotal,1514)*'5. Scenarios'!$B$6/(1+ProductivityDefault*('5. Scenarios'!$B$11-1)))</f>
        <v/>
      </c>
      <c r="E1519" s="57" t="str">
        <f aca="false">IF($D1519="","",INDEX(BookRate,1514)*(1+'5. Scenarios'!$B$10)*$D1519)</f>
        <v/>
      </c>
      <c r="F1519" s="57" t="str">
        <f aca="false">IF($E1519="","",SUMIFS($E$6:$E$2405,$A$6:$A$2405,"&lt;="&amp;$A1519))</f>
        <v/>
      </c>
      <c r="G1519" s="57" t="str">
        <f aca="false">IF($E1519="","",IF($F1519&lt;=BankCostEnvelope*'5. Scenarios'!$B$7,1,0))</f>
        <v/>
      </c>
      <c r="H1519" s="57" t="str">
        <f aca="false">IF($D1519="","",INDEX(BookRate,1514)*(1+'5. Scenarios'!$B$10)*(INDEX(BookQ1,1514)*(5-MIN(4,1+'5. Scenarios'!$B$8))/4+INDEX(BookQ2,1514)*(5-MIN(4,2+'5. Scenarios'!$B$8))/4+INDEX(BookQ3,1514)*(5-MIN(4,3+'5. Scenarios'!$B$8))/4+INDEX(BookQ4,1514)*(5-MIN(4,4+'5. Scenarios'!$B$8))/4)*'5. Scenarios'!$B$6/(1+ProductivityDefault*('5. Scenarios'!$B$11-1))+INDEX(BookOneOff,1514)*$D1519)</f>
        <v/>
      </c>
      <c r="I1519" s="56" t="str">
        <f aca="false">IF(INDEX(BookTitle,1514)="","",INDEX(BookTotal,1514)*'5. Scenarios'!$C$6/(1+ProductivityDefault*('5. Scenarios'!$C$11-1)))</f>
        <v/>
      </c>
      <c r="J1519" s="57" t="str">
        <f aca="false">IF($I1519="","",INDEX(BookRate,1514)*(1+'5. Scenarios'!$C$10)*$I1519)</f>
        <v/>
      </c>
      <c r="K1519" s="57" t="str">
        <f aca="false">IF($J1519="","",SUMIFS($J$6:$J$2405,$A$6:$A$2405,"&lt;="&amp;$A1519))</f>
        <v/>
      </c>
      <c r="L1519" s="57" t="str">
        <f aca="false">IF($J1519="","",IF($K1519&lt;=BankCostEnvelope*'5. Scenarios'!$C$7,1,0))</f>
        <v/>
      </c>
      <c r="M1519" s="57" t="str">
        <f aca="false">IF($I1519="","",INDEX(BookRate,1514)*(1+'5. Scenarios'!$C$10)*(INDEX(BookQ1,1514)*(5-MIN(4,1+'5. Scenarios'!$C$8))/4+INDEX(BookQ2,1514)*(5-MIN(4,2+'5. Scenarios'!$C$8))/4+INDEX(BookQ3,1514)*(5-MIN(4,3+'5. Scenarios'!$C$8))/4+INDEX(BookQ4,1514)*(5-MIN(4,4+'5. Scenarios'!$C$8))/4)*'5. Scenarios'!$C$6/(1+ProductivityDefault*('5. Scenarios'!$C$11-1))+INDEX(BookOneOff,1514)*$I1519)</f>
        <v/>
      </c>
      <c r="N1519" s="56" t="str">
        <f aca="false">IF(INDEX(BookTitle,1514)="","",INDEX(BookTotal,1514)*'5. Scenarios'!$D$6/(1+ProductivityDefault*('5. Scenarios'!$D$11-1)))</f>
        <v/>
      </c>
      <c r="O1519" s="57" t="str">
        <f aca="false">IF($N1519="","",INDEX(BookRate,1514)*(1+'5. Scenarios'!$D$10)*$N1519)</f>
        <v/>
      </c>
      <c r="P1519" s="57" t="str">
        <f aca="false">IF($O1519="","",SUMIFS($O$6:$O$2405,$A$6:$A$2405,"&lt;="&amp;$A1519))</f>
        <v/>
      </c>
      <c r="Q1519" s="57" t="str">
        <f aca="false">IF($O1519="","",IF($P1519&lt;=BankCostEnvelope*'5. Scenarios'!$D$7,1,0))</f>
        <v/>
      </c>
      <c r="R1519" s="57" t="str">
        <f aca="false">IF($N1519="","",INDEX(BookRate,1514)*(1+'5. Scenarios'!$D$10)*(INDEX(BookQ1,1514)*(5-MIN(4,1+'5. Scenarios'!$D$8))/4+INDEX(BookQ2,1514)*(5-MIN(4,2+'5. Scenarios'!$D$8))/4+INDEX(BookQ3,1514)*(5-MIN(4,3+'5. Scenarios'!$D$8))/4+INDEX(BookQ4,1514)*(5-MIN(4,4+'5. Scenarios'!$D$8))/4)*'5. Scenarios'!$D$6/(1+ProductivityDefault*('5. Scenarios'!$D$11-1))+INDEX(BookOneOff,1514)*$N1519)</f>
        <v/>
      </c>
      <c r="S1519" s="56" t="str">
        <f aca="false">IF(INDEX(BookTitle,1514)="","",INDEX(BookTotal,1514)*'5. Scenarios'!$E$6/(1+ProductivityDefault*('5. Scenarios'!$E$11-1)))</f>
        <v/>
      </c>
      <c r="T1519" s="57" t="str">
        <f aca="false">IF($S1519="","",INDEX(BookRate,1514)*(1+'5. Scenarios'!$E$10)*$S1519)</f>
        <v/>
      </c>
      <c r="U1519" s="57" t="str">
        <f aca="false">IF($T1519="","",SUMIFS($T$6:$T$2405,$A$6:$A$2405,"&lt;="&amp;$A1519))</f>
        <v/>
      </c>
      <c r="V1519" s="57" t="str">
        <f aca="false">IF($T1519="","",IF($U1519&lt;=BankCostEnvelope*'5. Scenarios'!$E$7,1,0))</f>
        <v/>
      </c>
      <c r="W1519" s="57" t="str">
        <f aca="false">IF($S1519="","",INDEX(BookRate,1514)*(1+'5. Scenarios'!$E$10)*(INDEX(BookQ1,1514)*(5-MIN(4,1+'5. Scenarios'!$E$8))/4+INDEX(BookQ2,1514)*(5-MIN(4,2+'5. Scenarios'!$E$8))/4+INDEX(BookQ3,1514)*(5-MIN(4,3+'5. Scenarios'!$E$8))/4+INDEX(BookQ4,1514)*(5-MIN(4,4+'5. Scenarios'!$E$8))/4)*'5. Scenarios'!$E$6/(1+ProductivityDefault*('5. Scenarios'!$E$11-1))+INDEX(BookOneOff,1514)*$S1519)</f>
        <v/>
      </c>
    </row>
    <row r="1520" customFormat="false" ht="15" hidden="false" customHeight="false" outlineLevel="0" collapsed="false">
      <c r="A1520" s="0" t="str">
        <f aca="false">IF(INDEX(BookTitle,1515)="","",INDEX(BookKey,1515))</f>
        <v/>
      </c>
      <c r="B1520" s="0" t="str">
        <f aca="false">IF(INDEX(BookTitle,1515)="","",INDEX(BookGroup,1515))</f>
        <v/>
      </c>
      <c r="C1520" s="0" t="str">
        <f aca="false">IF(INDEX(BookTitle,1515)="","",INDEX(BookCategory,1515))</f>
        <v/>
      </c>
      <c r="D1520" s="56" t="str">
        <f aca="false">IF(INDEX(BookTitle,1515)="","",INDEX(BookTotal,1515)*'5. Scenarios'!$B$6/(1+ProductivityDefault*('5. Scenarios'!$B$11-1)))</f>
        <v/>
      </c>
      <c r="E1520" s="57" t="str">
        <f aca="false">IF($D1520="","",INDEX(BookRate,1515)*(1+'5. Scenarios'!$B$10)*$D1520)</f>
        <v/>
      </c>
      <c r="F1520" s="57" t="str">
        <f aca="false">IF($E1520="","",SUMIFS($E$6:$E$2405,$A$6:$A$2405,"&lt;="&amp;$A1520))</f>
        <v/>
      </c>
      <c r="G1520" s="57" t="str">
        <f aca="false">IF($E1520="","",IF($F1520&lt;=BankCostEnvelope*'5. Scenarios'!$B$7,1,0))</f>
        <v/>
      </c>
      <c r="H1520" s="57" t="str">
        <f aca="false">IF($D1520="","",INDEX(BookRate,1515)*(1+'5. Scenarios'!$B$10)*(INDEX(BookQ1,1515)*(5-MIN(4,1+'5. Scenarios'!$B$8))/4+INDEX(BookQ2,1515)*(5-MIN(4,2+'5. Scenarios'!$B$8))/4+INDEX(BookQ3,1515)*(5-MIN(4,3+'5. Scenarios'!$B$8))/4+INDEX(BookQ4,1515)*(5-MIN(4,4+'5. Scenarios'!$B$8))/4)*'5. Scenarios'!$B$6/(1+ProductivityDefault*('5. Scenarios'!$B$11-1))+INDEX(BookOneOff,1515)*$D1520)</f>
        <v/>
      </c>
      <c r="I1520" s="56" t="str">
        <f aca="false">IF(INDEX(BookTitle,1515)="","",INDEX(BookTotal,1515)*'5. Scenarios'!$C$6/(1+ProductivityDefault*('5. Scenarios'!$C$11-1)))</f>
        <v/>
      </c>
      <c r="J1520" s="57" t="str">
        <f aca="false">IF($I1520="","",INDEX(BookRate,1515)*(1+'5. Scenarios'!$C$10)*$I1520)</f>
        <v/>
      </c>
      <c r="K1520" s="57" t="str">
        <f aca="false">IF($J1520="","",SUMIFS($J$6:$J$2405,$A$6:$A$2405,"&lt;="&amp;$A1520))</f>
        <v/>
      </c>
      <c r="L1520" s="57" t="str">
        <f aca="false">IF($J1520="","",IF($K1520&lt;=BankCostEnvelope*'5. Scenarios'!$C$7,1,0))</f>
        <v/>
      </c>
      <c r="M1520" s="57" t="str">
        <f aca="false">IF($I1520="","",INDEX(BookRate,1515)*(1+'5. Scenarios'!$C$10)*(INDEX(BookQ1,1515)*(5-MIN(4,1+'5. Scenarios'!$C$8))/4+INDEX(BookQ2,1515)*(5-MIN(4,2+'5. Scenarios'!$C$8))/4+INDEX(BookQ3,1515)*(5-MIN(4,3+'5. Scenarios'!$C$8))/4+INDEX(BookQ4,1515)*(5-MIN(4,4+'5. Scenarios'!$C$8))/4)*'5. Scenarios'!$C$6/(1+ProductivityDefault*('5. Scenarios'!$C$11-1))+INDEX(BookOneOff,1515)*$I1520)</f>
        <v/>
      </c>
      <c r="N1520" s="56" t="str">
        <f aca="false">IF(INDEX(BookTitle,1515)="","",INDEX(BookTotal,1515)*'5. Scenarios'!$D$6/(1+ProductivityDefault*('5. Scenarios'!$D$11-1)))</f>
        <v/>
      </c>
      <c r="O1520" s="57" t="str">
        <f aca="false">IF($N1520="","",INDEX(BookRate,1515)*(1+'5. Scenarios'!$D$10)*$N1520)</f>
        <v/>
      </c>
      <c r="P1520" s="57" t="str">
        <f aca="false">IF($O1520="","",SUMIFS($O$6:$O$2405,$A$6:$A$2405,"&lt;="&amp;$A1520))</f>
        <v/>
      </c>
      <c r="Q1520" s="57" t="str">
        <f aca="false">IF($O1520="","",IF($P1520&lt;=BankCostEnvelope*'5. Scenarios'!$D$7,1,0))</f>
        <v/>
      </c>
      <c r="R1520" s="57" t="str">
        <f aca="false">IF($N1520="","",INDEX(BookRate,1515)*(1+'5. Scenarios'!$D$10)*(INDEX(BookQ1,1515)*(5-MIN(4,1+'5. Scenarios'!$D$8))/4+INDEX(BookQ2,1515)*(5-MIN(4,2+'5. Scenarios'!$D$8))/4+INDEX(BookQ3,1515)*(5-MIN(4,3+'5. Scenarios'!$D$8))/4+INDEX(BookQ4,1515)*(5-MIN(4,4+'5. Scenarios'!$D$8))/4)*'5. Scenarios'!$D$6/(1+ProductivityDefault*('5. Scenarios'!$D$11-1))+INDEX(BookOneOff,1515)*$N1520)</f>
        <v/>
      </c>
      <c r="S1520" s="56" t="str">
        <f aca="false">IF(INDEX(BookTitle,1515)="","",INDEX(BookTotal,1515)*'5. Scenarios'!$E$6/(1+ProductivityDefault*('5. Scenarios'!$E$11-1)))</f>
        <v/>
      </c>
      <c r="T1520" s="57" t="str">
        <f aca="false">IF($S1520="","",INDEX(BookRate,1515)*(1+'5. Scenarios'!$E$10)*$S1520)</f>
        <v/>
      </c>
      <c r="U1520" s="57" t="str">
        <f aca="false">IF($T1520="","",SUMIFS($T$6:$T$2405,$A$6:$A$2405,"&lt;="&amp;$A1520))</f>
        <v/>
      </c>
      <c r="V1520" s="57" t="str">
        <f aca="false">IF($T1520="","",IF($U1520&lt;=BankCostEnvelope*'5. Scenarios'!$E$7,1,0))</f>
        <v/>
      </c>
      <c r="W1520" s="57" t="str">
        <f aca="false">IF($S1520="","",INDEX(BookRate,1515)*(1+'5. Scenarios'!$E$10)*(INDEX(BookQ1,1515)*(5-MIN(4,1+'5. Scenarios'!$E$8))/4+INDEX(BookQ2,1515)*(5-MIN(4,2+'5. Scenarios'!$E$8))/4+INDEX(BookQ3,1515)*(5-MIN(4,3+'5. Scenarios'!$E$8))/4+INDEX(BookQ4,1515)*(5-MIN(4,4+'5. Scenarios'!$E$8))/4)*'5. Scenarios'!$E$6/(1+ProductivityDefault*('5. Scenarios'!$E$11-1))+INDEX(BookOneOff,1515)*$S1520)</f>
        <v/>
      </c>
    </row>
    <row r="1521" customFormat="false" ht="15" hidden="false" customHeight="false" outlineLevel="0" collapsed="false">
      <c r="A1521" s="0" t="str">
        <f aca="false">IF(INDEX(BookTitle,1516)="","",INDEX(BookKey,1516))</f>
        <v/>
      </c>
      <c r="B1521" s="0" t="str">
        <f aca="false">IF(INDEX(BookTitle,1516)="","",INDEX(BookGroup,1516))</f>
        <v/>
      </c>
      <c r="C1521" s="0" t="str">
        <f aca="false">IF(INDEX(BookTitle,1516)="","",INDEX(BookCategory,1516))</f>
        <v/>
      </c>
      <c r="D1521" s="56" t="str">
        <f aca="false">IF(INDEX(BookTitle,1516)="","",INDEX(BookTotal,1516)*'5. Scenarios'!$B$6/(1+ProductivityDefault*('5. Scenarios'!$B$11-1)))</f>
        <v/>
      </c>
      <c r="E1521" s="57" t="str">
        <f aca="false">IF($D1521="","",INDEX(BookRate,1516)*(1+'5. Scenarios'!$B$10)*$D1521)</f>
        <v/>
      </c>
      <c r="F1521" s="57" t="str">
        <f aca="false">IF($E1521="","",SUMIFS($E$6:$E$2405,$A$6:$A$2405,"&lt;="&amp;$A1521))</f>
        <v/>
      </c>
      <c r="G1521" s="57" t="str">
        <f aca="false">IF($E1521="","",IF($F1521&lt;=BankCostEnvelope*'5. Scenarios'!$B$7,1,0))</f>
        <v/>
      </c>
      <c r="H1521" s="57" t="str">
        <f aca="false">IF($D1521="","",INDEX(BookRate,1516)*(1+'5. Scenarios'!$B$10)*(INDEX(BookQ1,1516)*(5-MIN(4,1+'5. Scenarios'!$B$8))/4+INDEX(BookQ2,1516)*(5-MIN(4,2+'5. Scenarios'!$B$8))/4+INDEX(BookQ3,1516)*(5-MIN(4,3+'5. Scenarios'!$B$8))/4+INDEX(BookQ4,1516)*(5-MIN(4,4+'5. Scenarios'!$B$8))/4)*'5. Scenarios'!$B$6/(1+ProductivityDefault*('5. Scenarios'!$B$11-1))+INDEX(BookOneOff,1516)*$D1521)</f>
        <v/>
      </c>
      <c r="I1521" s="56" t="str">
        <f aca="false">IF(INDEX(BookTitle,1516)="","",INDEX(BookTotal,1516)*'5. Scenarios'!$C$6/(1+ProductivityDefault*('5. Scenarios'!$C$11-1)))</f>
        <v/>
      </c>
      <c r="J1521" s="57" t="str">
        <f aca="false">IF($I1521="","",INDEX(BookRate,1516)*(1+'5. Scenarios'!$C$10)*$I1521)</f>
        <v/>
      </c>
      <c r="K1521" s="57" t="str">
        <f aca="false">IF($J1521="","",SUMIFS($J$6:$J$2405,$A$6:$A$2405,"&lt;="&amp;$A1521))</f>
        <v/>
      </c>
      <c r="L1521" s="57" t="str">
        <f aca="false">IF($J1521="","",IF($K1521&lt;=BankCostEnvelope*'5. Scenarios'!$C$7,1,0))</f>
        <v/>
      </c>
      <c r="M1521" s="57" t="str">
        <f aca="false">IF($I1521="","",INDEX(BookRate,1516)*(1+'5. Scenarios'!$C$10)*(INDEX(BookQ1,1516)*(5-MIN(4,1+'5. Scenarios'!$C$8))/4+INDEX(BookQ2,1516)*(5-MIN(4,2+'5. Scenarios'!$C$8))/4+INDEX(BookQ3,1516)*(5-MIN(4,3+'5. Scenarios'!$C$8))/4+INDEX(BookQ4,1516)*(5-MIN(4,4+'5. Scenarios'!$C$8))/4)*'5. Scenarios'!$C$6/(1+ProductivityDefault*('5. Scenarios'!$C$11-1))+INDEX(BookOneOff,1516)*$I1521)</f>
        <v/>
      </c>
      <c r="N1521" s="56" t="str">
        <f aca="false">IF(INDEX(BookTitle,1516)="","",INDEX(BookTotal,1516)*'5. Scenarios'!$D$6/(1+ProductivityDefault*('5. Scenarios'!$D$11-1)))</f>
        <v/>
      </c>
      <c r="O1521" s="57" t="str">
        <f aca="false">IF($N1521="","",INDEX(BookRate,1516)*(1+'5. Scenarios'!$D$10)*$N1521)</f>
        <v/>
      </c>
      <c r="P1521" s="57" t="str">
        <f aca="false">IF($O1521="","",SUMIFS($O$6:$O$2405,$A$6:$A$2405,"&lt;="&amp;$A1521))</f>
        <v/>
      </c>
      <c r="Q1521" s="57" t="str">
        <f aca="false">IF($O1521="","",IF($P1521&lt;=BankCostEnvelope*'5. Scenarios'!$D$7,1,0))</f>
        <v/>
      </c>
      <c r="R1521" s="57" t="str">
        <f aca="false">IF($N1521="","",INDEX(BookRate,1516)*(1+'5. Scenarios'!$D$10)*(INDEX(BookQ1,1516)*(5-MIN(4,1+'5. Scenarios'!$D$8))/4+INDEX(BookQ2,1516)*(5-MIN(4,2+'5. Scenarios'!$D$8))/4+INDEX(BookQ3,1516)*(5-MIN(4,3+'5. Scenarios'!$D$8))/4+INDEX(BookQ4,1516)*(5-MIN(4,4+'5. Scenarios'!$D$8))/4)*'5. Scenarios'!$D$6/(1+ProductivityDefault*('5. Scenarios'!$D$11-1))+INDEX(BookOneOff,1516)*$N1521)</f>
        <v/>
      </c>
      <c r="S1521" s="56" t="str">
        <f aca="false">IF(INDEX(BookTitle,1516)="","",INDEX(BookTotal,1516)*'5. Scenarios'!$E$6/(1+ProductivityDefault*('5. Scenarios'!$E$11-1)))</f>
        <v/>
      </c>
      <c r="T1521" s="57" t="str">
        <f aca="false">IF($S1521="","",INDEX(BookRate,1516)*(1+'5. Scenarios'!$E$10)*$S1521)</f>
        <v/>
      </c>
      <c r="U1521" s="57" t="str">
        <f aca="false">IF($T1521="","",SUMIFS($T$6:$T$2405,$A$6:$A$2405,"&lt;="&amp;$A1521))</f>
        <v/>
      </c>
      <c r="V1521" s="57" t="str">
        <f aca="false">IF($T1521="","",IF($U1521&lt;=BankCostEnvelope*'5. Scenarios'!$E$7,1,0))</f>
        <v/>
      </c>
      <c r="W1521" s="57" t="str">
        <f aca="false">IF($S1521="","",INDEX(BookRate,1516)*(1+'5. Scenarios'!$E$10)*(INDEX(BookQ1,1516)*(5-MIN(4,1+'5. Scenarios'!$E$8))/4+INDEX(BookQ2,1516)*(5-MIN(4,2+'5. Scenarios'!$E$8))/4+INDEX(BookQ3,1516)*(5-MIN(4,3+'5. Scenarios'!$E$8))/4+INDEX(BookQ4,1516)*(5-MIN(4,4+'5. Scenarios'!$E$8))/4)*'5. Scenarios'!$E$6/(1+ProductivityDefault*('5. Scenarios'!$E$11-1))+INDEX(BookOneOff,1516)*$S1521)</f>
        <v/>
      </c>
    </row>
    <row r="1522" customFormat="false" ht="15" hidden="false" customHeight="false" outlineLevel="0" collapsed="false">
      <c r="A1522" s="0" t="str">
        <f aca="false">IF(INDEX(BookTitle,1517)="","",INDEX(BookKey,1517))</f>
        <v/>
      </c>
      <c r="B1522" s="0" t="str">
        <f aca="false">IF(INDEX(BookTitle,1517)="","",INDEX(BookGroup,1517))</f>
        <v/>
      </c>
      <c r="C1522" s="0" t="str">
        <f aca="false">IF(INDEX(BookTitle,1517)="","",INDEX(BookCategory,1517))</f>
        <v/>
      </c>
      <c r="D1522" s="56" t="str">
        <f aca="false">IF(INDEX(BookTitle,1517)="","",INDEX(BookTotal,1517)*'5. Scenarios'!$B$6/(1+ProductivityDefault*('5. Scenarios'!$B$11-1)))</f>
        <v/>
      </c>
      <c r="E1522" s="57" t="str">
        <f aca="false">IF($D1522="","",INDEX(BookRate,1517)*(1+'5. Scenarios'!$B$10)*$D1522)</f>
        <v/>
      </c>
      <c r="F1522" s="57" t="str">
        <f aca="false">IF($E1522="","",SUMIFS($E$6:$E$2405,$A$6:$A$2405,"&lt;="&amp;$A1522))</f>
        <v/>
      </c>
      <c r="G1522" s="57" t="str">
        <f aca="false">IF($E1522="","",IF($F1522&lt;=BankCostEnvelope*'5. Scenarios'!$B$7,1,0))</f>
        <v/>
      </c>
      <c r="H1522" s="57" t="str">
        <f aca="false">IF($D1522="","",INDEX(BookRate,1517)*(1+'5. Scenarios'!$B$10)*(INDEX(BookQ1,1517)*(5-MIN(4,1+'5. Scenarios'!$B$8))/4+INDEX(BookQ2,1517)*(5-MIN(4,2+'5. Scenarios'!$B$8))/4+INDEX(BookQ3,1517)*(5-MIN(4,3+'5. Scenarios'!$B$8))/4+INDEX(BookQ4,1517)*(5-MIN(4,4+'5. Scenarios'!$B$8))/4)*'5. Scenarios'!$B$6/(1+ProductivityDefault*('5. Scenarios'!$B$11-1))+INDEX(BookOneOff,1517)*$D1522)</f>
        <v/>
      </c>
      <c r="I1522" s="56" t="str">
        <f aca="false">IF(INDEX(BookTitle,1517)="","",INDEX(BookTotal,1517)*'5. Scenarios'!$C$6/(1+ProductivityDefault*('5. Scenarios'!$C$11-1)))</f>
        <v/>
      </c>
      <c r="J1522" s="57" t="str">
        <f aca="false">IF($I1522="","",INDEX(BookRate,1517)*(1+'5. Scenarios'!$C$10)*$I1522)</f>
        <v/>
      </c>
      <c r="K1522" s="57" t="str">
        <f aca="false">IF($J1522="","",SUMIFS($J$6:$J$2405,$A$6:$A$2405,"&lt;="&amp;$A1522))</f>
        <v/>
      </c>
      <c r="L1522" s="57" t="str">
        <f aca="false">IF($J1522="","",IF($K1522&lt;=BankCostEnvelope*'5. Scenarios'!$C$7,1,0))</f>
        <v/>
      </c>
      <c r="M1522" s="57" t="str">
        <f aca="false">IF($I1522="","",INDEX(BookRate,1517)*(1+'5. Scenarios'!$C$10)*(INDEX(BookQ1,1517)*(5-MIN(4,1+'5. Scenarios'!$C$8))/4+INDEX(BookQ2,1517)*(5-MIN(4,2+'5. Scenarios'!$C$8))/4+INDEX(BookQ3,1517)*(5-MIN(4,3+'5. Scenarios'!$C$8))/4+INDEX(BookQ4,1517)*(5-MIN(4,4+'5. Scenarios'!$C$8))/4)*'5. Scenarios'!$C$6/(1+ProductivityDefault*('5. Scenarios'!$C$11-1))+INDEX(BookOneOff,1517)*$I1522)</f>
        <v/>
      </c>
      <c r="N1522" s="56" t="str">
        <f aca="false">IF(INDEX(BookTitle,1517)="","",INDEX(BookTotal,1517)*'5. Scenarios'!$D$6/(1+ProductivityDefault*('5. Scenarios'!$D$11-1)))</f>
        <v/>
      </c>
      <c r="O1522" s="57" t="str">
        <f aca="false">IF($N1522="","",INDEX(BookRate,1517)*(1+'5. Scenarios'!$D$10)*$N1522)</f>
        <v/>
      </c>
      <c r="P1522" s="57" t="str">
        <f aca="false">IF($O1522="","",SUMIFS($O$6:$O$2405,$A$6:$A$2405,"&lt;="&amp;$A1522))</f>
        <v/>
      </c>
      <c r="Q1522" s="57" t="str">
        <f aca="false">IF($O1522="","",IF($P1522&lt;=BankCostEnvelope*'5. Scenarios'!$D$7,1,0))</f>
        <v/>
      </c>
      <c r="R1522" s="57" t="str">
        <f aca="false">IF($N1522="","",INDEX(BookRate,1517)*(1+'5. Scenarios'!$D$10)*(INDEX(BookQ1,1517)*(5-MIN(4,1+'5. Scenarios'!$D$8))/4+INDEX(BookQ2,1517)*(5-MIN(4,2+'5. Scenarios'!$D$8))/4+INDEX(BookQ3,1517)*(5-MIN(4,3+'5. Scenarios'!$D$8))/4+INDEX(BookQ4,1517)*(5-MIN(4,4+'5. Scenarios'!$D$8))/4)*'5. Scenarios'!$D$6/(1+ProductivityDefault*('5. Scenarios'!$D$11-1))+INDEX(BookOneOff,1517)*$N1522)</f>
        <v/>
      </c>
      <c r="S1522" s="56" t="str">
        <f aca="false">IF(INDEX(BookTitle,1517)="","",INDEX(BookTotal,1517)*'5. Scenarios'!$E$6/(1+ProductivityDefault*('5. Scenarios'!$E$11-1)))</f>
        <v/>
      </c>
      <c r="T1522" s="57" t="str">
        <f aca="false">IF($S1522="","",INDEX(BookRate,1517)*(1+'5. Scenarios'!$E$10)*$S1522)</f>
        <v/>
      </c>
      <c r="U1522" s="57" t="str">
        <f aca="false">IF($T1522="","",SUMIFS($T$6:$T$2405,$A$6:$A$2405,"&lt;="&amp;$A1522))</f>
        <v/>
      </c>
      <c r="V1522" s="57" t="str">
        <f aca="false">IF($T1522="","",IF($U1522&lt;=BankCostEnvelope*'5. Scenarios'!$E$7,1,0))</f>
        <v/>
      </c>
      <c r="W1522" s="57" t="str">
        <f aca="false">IF($S1522="","",INDEX(BookRate,1517)*(1+'5. Scenarios'!$E$10)*(INDEX(BookQ1,1517)*(5-MIN(4,1+'5. Scenarios'!$E$8))/4+INDEX(BookQ2,1517)*(5-MIN(4,2+'5. Scenarios'!$E$8))/4+INDEX(BookQ3,1517)*(5-MIN(4,3+'5. Scenarios'!$E$8))/4+INDEX(BookQ4,1517)*(5-MIN(4,4+'5. Scenarios'!$E$8))/4)*'5. Scenarios'!$E$6/(1+ProductivityDefault*('5. Scenarios'!$E$11-1))+INDEX(BookOneOff,1517)*$S1522)</f>
        <v/>
      </c>
    </row>
    <row r="1523" customFormat="false" ht="15" hidden="false" customHeight="false" outlineLevel="0" collapsed="false">
      <c r="A1523" s="0" t="str">
        <f aca="false">IF(INDEX(BookTitle,1518)="","",INDEX(BookKey,1518))</f>
        <v/>
      </c>
      <c r="B1523" s="0" t="str">
        <f aca="false">IF(INDEX(BookTitle,1518)="","",INDEX(BookGroup,1518))</f>
        <v/>
      </c>
      <c r="C1523" s="0" t="str">
        <f aca="false">IF(INDEX(BookTitle,1518)="","",INDEX(BookCategory,1518))</f>
        <v/>
      </c>
      <c r="D1523" s="56" t="str">
        <f aca="false">IF(INDEX(BookTitle,1518)="","",INDEX(BookTotal,1518)*'5. Scenarios'!$B$6/(1+ProductivityDefault*('5. Scenarios'!$B$11-1)))</f>
        <v/>
      </c>
      <c r="E1523" s="57" t="str">
        <f aca="false">IF($D1523="","",INDEX(BookRate,1518)*(1+'5. Scenarios'!$B$10)*$D1523)</f>
        <v/>
      </c>
      <c r="F1523" s="57" t="str">
        <f aca="false">IF($E1523="","",SUMIFS($E$6:$E$2405,$A$6:$A$2405,"&lt;="&amp;$A1523))</f>
        <v/>
      </c>
      <c r="G1523" s="57" t="str">
        <f aca="false">IF($E1523="","",IF($F1523&lt;=BankCostEnvelope*'5. Scenarios'!$B$7,1,0))</f>
        <v/>
      </c>
      <c r="H1523" s="57" t="str">
        <f aca="false">IF($D1523="","",INDEX(BookRate,1518)*(1+'5. Scenarios'!$B$10)*(INDEX(BookQ1,1518)*(5-MIN(4,1+'5. Scenarios'!$B$8))/4+INDEX(BookQ2,1518)*(5-MIN(4,2+'5. Scenarios'!$B$8))/4+INDEX(BookQ3,1518)*(5-MIN(4,3+'5. Scenarios'!$B$8))/4+INDEX(BookQ4,1518)*(5-MIN(4,4+'5. Scenarios'!$B$8))/4)*'5. Scenarios'!$B$6/(1+ProductivityDefault*('5. Scenarios'!$B$11-1))+INDEX(BookOneOff,1518)*$D1523)</f>
        <v/>
      </c>
      <c r="I1523" s="56" t="str">
        <f aca="false">IF(INDEX(BookTitle,1518)="","",INDEX(BookTotal,1518)*'5. Scenarios'!$C$6/(1+ProductivityDefault*('5. Scenarios'!$C$11-1)))</f>
        <v/>
      </c>
      <c r="J1523" s="57" t="str">
        <f aca="false">IF($I1523="","",INDEX(BookRate,1518)*(1+'5. Scenarios'!$C$10)*$I1523)</f>
        <v/>
      </c>
      <c r="K1523" s="57" t="str">
        <f aca="false">IF($J1523="","",SUMIFS($J$6:$J$2405,$A$6:$A$2405,"&lt;="&amp;$A1523))</f>
        <v/>
      </c>
      <c r="L1523" s="57" t="str">
        <f aca="false">IF($J1523="","",IF($K1523&lt;=BankCostEnvelope*'5. Scenarios'!$C$7,1,0))</f>
        <v/>
      </c>
      <c r="M1523" s="57" t="str">
        <f aca="false">IF($I1523="","",INDEX(BookRate,1518)*(1+'5. Scenarios'!$C$10)*(INDEX(BookQ1,1518)*(5-MIN(4,1+'5. Scenarios'!$C$8))/4+INDEX(BookQ2,1518)*(5-MIN(4,2+'5. Scenarios'!$C$8))/4+INDEX(BookQ3,1518)*(5-MIN(4,3+'5. Scenarios'!$C$8))/4+INDEX(BookQ4,1518)*(5-MIN(4,4+'5. Scenarios'!$C$8))/4)*'5. Scenarios'!$C$6/(1+ProductivityDefault*('5. Scenarios'!$C$11-1))+INDEX(BookOneOff,1518)*$I1523)</f>
        <v/>
      </c>
      <c r="N1523" s="56" t="str">
        <f aca="false">IF(INDEX(BookTitle,1518)="","",INDEX(BookTotal,1518)*'5. Scenarios'!$D$6/(1+ProductivityDefault*('5. Scenarios'!$D$11-1)))</f>
        <v/>
      </c>
      <c r="O1523" s="57" t="str">
        <f aca="false">IF($N1523="","",INDEX(BookRate,1518)*(1+'5. Scenarios'!$D$10)*$N1523)</f>
        <v/>
      </c>
      <c r="P1523" s="57" t="str">
        <f aca="false">IF($O1523="","",SUMIFS($O$6:$O$2405,$A$6:$A$2405,"&lt;="&amp;$A1523))</f>
        <v/>
      </c>
      <c r="Q1523" s="57" t="str">
        <f aca="false">IF($O1523="","",IF($P1523&lt;=BankCostEnvelope*'5. Scenarios'!$D$7,1,0))</f>
        <v/>
      </c>
      <c r="R1523" s="57" t="str">
        <f aca="false">IF($N1523="","",INDEX(BookRate,1518)*(1+'5. Scenarios'!$D$10)*(INDEX(BookQ1,1518)*(5-MIN(4,1+'5. Scenarios'!$D$8))/4+INDEX(BookQ2,1518)*(5-MIN(4,2+'5. Scenarios'!$D$8))/4+INDEX(BookQ3,1518)*(5-MIN(4,3+'5. Scenarios'!$D$8))/4+INDEX(BookQ4,1518)*(5-MIN(4,4+'5. Scenarios'!$D$8))/4)*'5. Scenarios'!$D$6/(1+ProductivityDefault*('5. Scenarios'!$D$11-1))+INDEX(BookOneOff,1518)*$N1523)</f>
        <v/>
      </c>
      <c r="S1523" s="56" t="str">
        <f aca="false">IF(INDEX(BookTitle,1518)="","",INDEX(BookTotal,1518)*'5. Scenarios'!$E$6/(1+ProductivityDefault*('5. Scenarios'!$E$11-1)))</f>
        <v/>
      </c>
      <c r="T1523" s="57" t="str">
        <f aca="false">IF($S1523="","",INDEX(BookRate,1518)*(1+'5. Scenarios'!$E$10)*$S1523)</f>
        <v/>
      </c>
      <c r="U1523" s="57" t="str">
        <f aca="false">IF($T1523="","",SUMIFS($T$6:$T$2405,$A$6:$A$2405,"&lt;="&amp;$A1523))</f>
        <v/>
      </c>
      <c r="V1523" s="57" t="str">
        <f aca="false">IF($T1523="","",IF($U1523&lt;=BankCostEnvelope*'5. Scenarios'!$E$7,1,0))</f>
        <v/>
      </c>
      <c r="W1523" s="57" t="str">
        <f aca="false">IF($S1523="","",INDEX(BookRate,1518)*(1+'5. Scenarios'!$E$10)*(INDEX(BookQ1,1518)*(5-MIN(4,1+'5. Scenarios'!$E$8))/4+INDEX(BookQ2,1518)*(5-MIN(4,2+'5. Scenarios'!$E$8))/4+INDEX(BookQ3,1518)*(5-MIN(4,3+'5. Scenarios'!$E$8))/4+INDEX(BookQ4,1518)*(5-MIN(4,4+'5. Scenarios'!$E$8))/4)*'5. Scenarios'!$E$6/(1+ProductivityDefault*('5. Scenarios'!$E$11-1))+INDEX(BookOneOff,1518)*$S1523)</f>
        <v/>
      </c>
    </row>
    <row r="1524" customFormat="false" ht="15" hidden="false" customHeight="false" outlineLevel="0" collapsed="false">
      <c r="A1524" s="0" t="str">
        <f aca="false">IF(INDEX(BookTitle,1519)="","",INDEX(BookKey,1519))</f>
        <v/>
      </c>
      <c r="B1524" s="0" t="str">
        <f aca="false">IF(INDEX(BookTitle,1519)="","",INDEX(BookGroup,1519))</f>
        <v/>
      </c>
      <c r="C1524" s="0" t="str">
        <f aca="false">IF(INDEX(BookTitle,1519)="","",INDEX(BookCategory,1519))</f>
        <v/>
      </c>
      <c r="D1524" s="56" t="str">
        <f aca="false">IF(INDEX(BookTitle,1519)="","",INDEX(BookTotal,1519)*'5. Scenarios'!$B$6/(1+ProductivityDefault*('5. Scenarios'!$B$11-1)))</f>
        <v/>
      </c>
      <c r="E1524" s="57" t="str">
        <f aca="false">IF($D1524="","",INDEX(BookRate,1519)*(1+'5. Scenarios'!$B$10)*$D1524)</f>
        <v/>
      </c>
      <c r="F1524" s="57" t="str">
        <f aca="false">IF($E1524="","",SUMIFS($E$6:$E$2405,$A$6:$A$2405,"&lt;="&amp;$A1524))</f>
        <v/>
      </c>
      <c r="G1524" s="57" t="str">
        <f aca="false">IF($E1524="","",IF($F1524&lt;=BankCostEnvelope*'5. Scenarios'!$B$7,1,0))</f>
        <v/>
      </c>
      <c r="H1524" s="57" t="str">
        <f aca="false">IF($D1524="","",INDEX(BookRate,1519)*(1+'5. Scenarios'!$B$10)*(INDEX(BookQ1,1519)*(5-MIN(4,1+'5. Scenarios'!$B$8))/4+INDEX(BookQ2,1519)*(5-MIN(4,2+'5. Scenarios'!$B$8))/4+INDEX(BookQ3,1519)*(5-MIN(4,3+'5. Scenarios'!$B$8))/4+INDEX(BookQ4,1519)*(5-MIN(4,4+'5. Scenarios'!$B$8))/4)*'5. Scenarios'!$B$6/(1+ProductivityDefault*('5. Scenarios'!$B$11-1))+INDEX(BookOneOff,1519)*$D1524)</f>
        <v/>
      </c>
      <c r="I1524" s="56" t="str">
        <f aca="false">IF(INDEX(BookTitle,1519)="","",INDEX(BookTotal,1519)*'5. Scenarios'!$C$6/(1+ProductivityDefault*('5. Scenarios'!$C$11-1)))</f>
        <v/>
      </c>
      <c r="J1524" s="57" t="str">
        <f aca="false">IF($I1524="","",INDEX(BookRate,1519)*(1+'5. Scenarios'!$C$10)*$I1524)</f>
        <v/>
      </c>
      <c r="K1524" s="57" t="str">
        <f aca="false">IF($J1524="","",SUMIFS($J$6:$J$2405,$A$6:$A$2405,"&lt;="&amp;$A1524))</f>
        <v/>
      </c>
      <c r="L1524" s="57" t="str">
        <f aca="false">IF($J1524="","",IF($K1524&lt;=BankCostEnvelope*'5. Scenarios'!$C$7,1,0))</f>
        <v/>
      </c>
      <c r="M1524" s="57" t="str">
        <f aca="false">IF($I1524="","",INDEX(BookRate,1519)*(1+'5. Scenarios'!$C$10)*(INDEX(BookQ1,1519)*(5-MIN(4,1+'5. Scenarios'!$C$8))/4+INDEX(BookQ2,1519)*(5-MIN(4,2+'5. Scenarios'!$C$8))/4+INDEX(BookQ3,1519)*(5-MIN(4,3+'5. Scenarios'!$C$8))/4+INDEX(BookQ4,1519)*(5-MIN(4,4+'5. Scenarios'!$C$8))/4)*'5. Scenarios'!$C$6/(1+ProductivityDefault*('5. Scenarios'!$C$11-1))+INDEX(BookOneOff,1519)*$I1524)</f>
        <v/>
      </c>
      <c r="N1524" s="56" t="str">
        <f aca="false">IF(INDEX(BookTitle,1519)="","",INDEX(BookTotal,1519)*'5. Scenarios'!$D$6/(1+ProductivityDefault*('5. Scenarios'!$D$11-1)))</f>
        <v/>
      </c>
      <c r="O1524" s="57" t="str">
        <f aca="false">IF($N1524="","",INDEX(BookRate,1519)*(1+'5. Scenarios'!$D$10)*$N1524)</f>
        <v/>
      </c>
      <c r="P1524" s="57" t="str">
        <f aca="false">IF($O1524="","",SUMIFS($O$6:$O$2405,$A$6:$A$2405,"&lt;="&amp;$A1524))</f>
        <v/>
      </c>
      <c r="Q1524" s="57" t="str">
        <f aca="false">IF($O1524="","",IF($P1524&lt;=BankCostEnvelope*'5. Scenarios'!$D$7,1,0))</f>
        <v/>
      </c>
      <c r="R1524" s="57" t="str">
        <f aca="false">IF($N1524="","",INDEX(BookRate,1519)*(1+'5. Scenarios'!$D$10)*(INDEX(BookQ1,1519)*(5-MIN(4,1+'5. Scenarios'!$D$8))/4+INDEX(BookQ2,1519)*(5-MIN(4,2+'5. Scenarios'!$D$8))/4+INDEX(BookQ3,1519)*(5-MIN(4,3+'5. Scenarios'!$D$8))/4+INDEX(BookQ4,1519)*(5-MIN(4,4+'5. Scenarios'!$D$8))/4)*'5. Scenarios'!$D$6/(1+ProductivityDefault*('5. Scenarios'!$D$11-1))+INDEX(BookOneOff,1519)*$N1524)</f>
        <v/>
      </c>
      <c r="S1524" s="56" t="str">
        <f aca="false">IF(INDEX(BookTitle,1519)="","",INDEX(BookTotal,1519)*'5. Scenarios'!$E$6/(1+ProductivityDefault*('5. Scenarios'!$E$11-1)))</f>
        <v/>
      </c>
      <c r="T1524" s="57" t="str">
        <f aca="false">IF($S1524="","",INDEX(BookRate,1519)*(1+'5. Scenarios'!$E$10)*$S1524)</f>
        <v/>
      </c>
      <c r="U1524" s="57" t="str">
        <f aca="false">IF($T1524="","",SUMIFS($T$6:$T$2405,$A$6:$A$2405,"&lt;="&amp;$A1524))</f>
        <v/>
      </c>
      <c r="V1524" s="57" t="str">
        <f aca="false">IF($T1524="","",IF($U1524&lt;=BankCostEnvelope*'5. Scenarios'!$E$7,1,0))</f>
        <v/>
      </c>
      <c r="W1524" s="57" t="str">
        <f aca="false">IF($S1524="","",INDEX(BookRate,1519)*(1+'5. Scenarios'!$E$10)*(INDEX(BookQ1,1519)*(5-MIN(4,1+'5. Scenarios'!$E$8))/4+INDEX(BookQ2,1519)*(5-MIN(4,2+'5. Scenarios'!$E$8))/4+INDEX(BookQ3,1519)*(5-MIN(4,3+'5. Scenarios'!$E$8))/4+INDEX(BookQ4,1519)*(5-MIN(4,4+'5. Scenarios'!$E$8))/4)*'5. Scenarios'!$E$6/(1+ProductivityDefault*('5. Scenarios'!$E$11-1))+INDEX(BookOneOff,1519)*$S1524)</f>
        <v/>
      </c>
    </row>
    <row r="1525" customFormat="false" ht="15" hidden="false" customHeight="false" outlineLevel="0" collapsed="false">
      <c r="A1525" s="0" t="str">
        <f aca="false">IF(INDEX(BookTitle,1520)="","",INDEX(BookKey,1520))</f>
        <v/>
      </c>
      <c r="B1525" s="0" t="str">
        <f aca="false">IF(INDEX(BookTitle,1520)="","",INDEX(BookGroup,1520))</f>
        <v/>
      </c>
      <c r="C1525" s="0" t="str">
        <f aca="false">IF(INDEX(BookTitle,1520)="","",INDEX(BookCategory,1520))</f>
        <v/>
      </c>
      <c r="D1525" s="56" t="str">
        <f aca="false">IF(INDEX(BookTitle,1520)="","",INDEX(BookTotal,1520)*'5. Scenarios'!$B$6/(1+ProductivityDefault*('5. Scenarios'!$B$11-1)))</f>
        <v/>
      </c>
      <c r="E1525" s="57" t="str">
        <f aca="false">IF($D1525="","",INDEX(BookRate,1520)*(1+'5. Scenarios'!$B$10)*$D1525)</f>
        <v/>
      </c>
      <c r="F1525" s="57" t="str">
        <f aca="false">IF($E1525="","",SUMIFS($E$6:$E$2405,$A$6:$A$2405,"&lt;="&amp;$A1525))</f>
        <v/>
      </c>
      <c r="G1525" s="57" t="str">
        <f aca="false">IF($E1525="","",IF($F1525&lt;=BankCostEnvelope*'5. Scenarios'!$B$7,1,0))</f>
        <v/>
      </c>
      <c r="H1525" s="57" t="str">
        <f aca="false">IF($D1525="","",INDEX(BookRate,1520)*(1+'5. Scenarios'!$B$10)*(INDEX(BookQ1,1520)*(5-MIN(4,1+'5. Scenarios'!$B$8))/4+INDEX(BookQ2,1520)*(5-MIN(4,2+'5. Scenarios'!$B$8))/4+INDEX(BookQ3,1520)*(5-MIN(4,3+'5. Scenarios'!$B$8))/4+INDEX(BookQ4,1520)*(5-MIN(4,4+'5. Scenarios'!$B$8))/4)*'5. Scenarios'!$B$6/(1+ProductivityDefault*('5. Scenarios'!$B$11-1))+INDEX(BookOneOff,1520)*$D1525)</f>
        <v/>
      </c>
      <c r="I1525" s="56" t="str">
        <f aca="false">IF(INDEX(BookTitle,1520)="","",INDEX(BookTotal,1520)*'5. Scenarios'!$C$6/(1+ProductivityDefault*('5. Scenarios'!$C$11-1)))</f>
        <v/>
      </c>
      <c r="J1525" s="57" t="str">
        <f aca="false">IF($I1525="","",INDEX(BookRate,1520)*(1+'5. Scenarios'!$C$10)*$I1525)</f>
        <v/>
      </c>
      <c r="K1525" s="57" t="str">
        <f aca="false">IF($J1525="","",SUMIFS($J$6:$J$2405,$A$6:$A$2405,"&lt;="&amp;$A1525))</f>
        <v/>
      </c>
      <c r="L1525" s="57" t="str">
        <f aca="false">IF($J1525="","",IF($K1525&lt;=BankCostEnvelope*'5. Scenarios'!$C$7,1,0))</f>
        <v/>
      </c>
      <c r="M1525" s="57" t="str">
        <f aca="false">IF($I1525="","",INDEX(BookRate,1520)*(1+'5. Scenarios'!$C$10)*(INDEX(BookQ1,1520)*(5-MIN(4,1+'5. Scenarios'!$C$8))/4+INDEX(BookQ2,1520)*(5-MIN(4,2+'5. Scenarios'!$C$8))/4+INDEX(BookQ3,1520)*(5-MIN(4,3+'5. Scenarios'!$C$8))/4+INDEX(BookQ4,1520)*(5-MIN(4,4+'5. Scenarios'!$C$8))/4)*'5. Scenarios'!$C$6/(1+ProductivityDefault*('5. Scenarios'!$C$11-1))+INDEX(BookOneOff,1520)*$I1525)</f>
        <v/>
      </c>
      <c r="N1525" s="56" t="str">
        <f aca="false">IF(INDEX(BookTitle,1520)="","",INDEX(BookTotal,1520)*'5. Scenarios'!$D$6/(1+ProductivityDefault*('5. Scenarios'!$D$11-1)))</f>
        <v/>
      </c>
      <c r="O1525" s="57" t="str">
        <f aca="false">IF($N1525="","",INDEX(BookRate,1520)*(1+'5. Scenarios'!$D$10)*$N1525)</f>
        <v/>
      </c>
      <c r="P1525" s="57" t="str">
        <f aca="false">IF($O1525="","",SUMIFS($O$6:$O$2405,$A$6:$A$2405,"&lt;="&amp;$A1525))</f>
        <v/>
      </c>
      <c r="Q1525" s="57" t="str">
        <f aca="false">IF($O1525="","",IF($P1525&lt;=BankCostEnvelope*'5. Scenarios'!$D$7,1,0))</f>
        <v/>
      </c>
      <c r="R1525" s="57" t="str">
        <f aca="false">IF($N1525="","",INDEX(BookRate,1520)*(1+'5. Scenarios'!$D$10)*(INDEX(BookQ1,1520)*(5-MIN(4,1+'5. Scenarios'!$D$8))/4+INDEX(BookQ2,1520)*(5-MIN(4,2+'5. Scenarios'!$D$8))/4+INDEX(BookQ3,1520)*(5-MIN(4,3+'5. Scenarios'!$D$8))/4+INDEX(BookQ4,1520)*(5-MIN(4,4+'5. Scenarios'!$D$8))/4)*'5. Scenarios'!$D$6/(1+ProductivityDefault*('5. Scenarios'!$D$11-1))+INDEX(BookOneOff,1520)*$N1525)</f>
        <v/>
      </c>
      <c r="S1525" s="56" t="str">
        <f aca="false">IF(INDEX(BookTitle,1520)="","",INDEX(BookTotal,1520)*'5. Scenarios'!$E$6/(1+ProductivityDefault*('5. Scenarios'!$E$11-1)))</f>
        <v/>
      </c>
      <c r="T1525" s="57" t="str">
        <f aca="false">IF($S1525="","",INDEX(BookRate,1520)*(1+'5. Scenarios'!$E$10)*$S1525)</f>
        <v/>
      </c>
      <c r="U1525" s="57" t="str">
        <f aca="false">IF($T1525="","",SUMIFS($T$6:$T$2405,$A$6:$A$2405,"&lt;="&amp;$A1525))</f>
        <v/>
      </c>
      <c r="V1525" s="57" t="str">
        <f aca="false">IF($T1525="","",IF($U1525&lt;=BankCostEnvelope*'5. Scenarios'!$E$7,1,0))</f>
        <v/>
      </c>
      <c r="W1525" s="57" t="str">
        <f aca="false">IF($S1525="","",INDEX(BookRate,1520)*(1+'5. Scenarios'!$E$10)*(INDEX(BookQ1,1520)*(5-MIN(4,1+'5. Scenarios'!$E$8))/4+INDEX(BookQ2,1520)*(5-MIN(4,2+'5. Scenarios'!$E$8))/4+INDEX(BookQ3,1520)*(5-MIN(4,3+'5. Scenarios'!$E$8))/4+INDEX(BookQ4,1520)*(5-MIN(4,4+'5. Scenarios'!$E$8))/4)*'5. Scenarios'!$E$6/(1+ProductivityDefault*('5. Scenarios'!$E$11-1))+INDEX(BookOneOff,1520)*$S1525)</f>
        <v/>
      </c>
    </row>
    <row r="1526" customFormat="false" ht="15" hidden="false" customHeight="false" outlineLevel="0" collapsed="false">
      <c r="A1526" s="0" t="str">
        <f aca="false">IF(INDEX(BookTitle,1521)="","",INDEX(BookKey,1521))</f>
        <v/>
      </c>
      <c r="B1526" s="0" t="str">
        <f aca="false">IF(INDEX(BookTitle,1521)="","",INDEX(BookGroup,1521))</f>
        <v/>
      </c>
      <c r="C1526" s="0" t="str">
        <f aca="false">IF(INDEX(BookTitle,1521)="","",INDEX(BookCategory,1521))</f>
        <v/>
      </c>
      <c r="D1526" s="56" t="str">
        <f aca="false">IF(INDEX(BookTitle,1521)="","",INDEX(BookTotal,1521)*'5. Scenarios'!$B$6/(1+ProductivityDefault*('5. Scenarios'!$B$11-1)))</f>
        <v/>
      </c>
      <c r="E1526" s="57" t="str">
        <f aca="false">IF($D1526="","",INDEX(BookRate,1521)*(1+'5. Scenarios'!$B$10)*$D1526)</f>
        <v/>
      </c>
      <c r="F1526" s="57" t="str">
        <f aca="false">IF($E1526="","",SUMIFS($E$6:$E$2405,$A$6:$A$2405,"&lt;="&amp;$A1526))</f>
        <v/>
      </c>
      <c r="G1526" s="57" t="str">
        <f aca="false">IF($E1526="","",IF($F1526&lt;=BankCostEnvelope*'5. Scenarios'!$B$7,1,0))</f>
        <v/>
      </c>
      <c r="H1526" s="57" t="str">
        <f aca="false">IF($D1526="","",INDEX(BookRate,1521)*(1+'5. Scenarios'!$B$10)*(INDEX(BookQ1,1521)*(5-MIN(4,1+'5. Scenarios'!$B$8))/4+INDEX(BookQ2,1521)*(5-MIN(4,2+'5. Scenarios'!$B$8))/4+INDEX(BookQ3,1521)*(5-MIN(4,3+'5. Scenarios'!$B$8))/4+INDEX(BookQ4,1521)*(5-MIN(4,4+'5. Scenarios'!$B$8))/4)*'5. Scenarios'!$B$6/(1+ProductivityDefault*('5. Scenarios'!$B$11-1))+INDEX(BookOneOff,1521)*$D1526)</f>
        <v/>
      </c>
      <c r="I1526" s="56" t="str">
        <f aca="false">IF(INDEX(BookTitle,1521)="","",INDEX(BookTotal,1521)*'5. Scenarios'!$C$6/(1+ProductivityDefault*('5. Scenarios'!$C$11-1)))</f>
        <v/>
      </c>
      <c r="J1526" s="57" t="str">
        <f aca="false">IF($I1526="","",INDEX(BookRate,1521)*(1+'5. Scenarios'!$C$10)*$I1526)</f>
        <v/>
      </c>
      <c r="K1526" s="57" t="str">
        <f aca="false">IF($J1526="","",SUMIFS($J$6:$J$2405,$A$6:$A$2405,"&lt;="&amp;$A1526))</f>
        <v/>
      </c>
      <c r="L1526" s="57" t="str">
        <f aca="false">IF($J1526="","",IF($K1526&lt;=BankCostEnvelope*'5. Scenarios'!$C$7,1,0))</f>
        <v/>
      </c>
      <c r="M1526" s="57" t="str">
        <f aca="false">IF($I1526="","",INDEX(BookRate,1521)*(1+'5. Scenarios'!$C$10)*(INDEX(BookQ1,1521)*(5-MIN(4,1+'5. Scenarios'!$C$8))/4+INDEX(BookQ2,1521)*(5-MIN(4,2+'5. Scenarios'!$C$8))/4+INDEX(BookQ3,1521)*(5-MIN(4,3+'5. Scenarios'!$C$8))/4+INDEX(BookQ4,1521)*(5-MIN(4,4+'5. Scenarios'!$C$8))/4)*'5. Scenarios'!$C$6/(1+ProductivityDefault*('5. Scenarios'!$C$11-1))+INDEX(BookOneOff,1521)*$I1526)</f>
        <v/>
      </c>
      <c r="N1526" s="56" t="str">
        <f aca="false">IF(INDEX(BookTitle,1521)="","",INDEX(BookTotal,1521)*'5. Scenarios'!$D$6/(1+ProductivityDefault*('5. Scenarios'!$D$11-1)))</f>
        <v/>
      </c>
      <c r="O1526" s="57" t="str">
        <f aca="false">IF($N1526="","",INDEX(BookRate,1521)*(1+'5. Scenarios'!$D$10)*$N1526)</f>
        <v/>
      </c>
      <c r="P1526" s="57" t="str">
        <f aca="false">IF($O1526="","",SUMIFS($O$6:$O$2405,$A$6:$A$2405,"&lt;="&amp;$A1526))</f>
        <v/>
      </c>
      <c r="Q1526" s="57" t="str">
        <f aca="false">IF($O1526="","",IF($P1526&lt;=BankCostEnvelope*'5. Scenarios'!$D$7,1,0))</f>
        <v/>
      </c>
      <c r="R1526" s="57" t="str">
        <f aca="false">IF($N1526="","",INDEX(BookRate,1521)*(1+'5. Scenarios'!$D$10)*(INDEX(BookQ1,1521)*(5-MIN(4,1+'5. Scenarios'!$D$8))/4+INDEX(BookQ2,1521)*(5-MIN(4,2+'5. Scenarios'!$D$8))/4+INDEX(BookQ3,1521)*(5-MIN(4,3+'5. Scenarios'!$D$8))/4+INDEX(BookQ4,1521)*(5-MIN(4,4+'5. Scenarios'!$D$8))/4)*'5. Scenarios'!$D$6/(1+ProductivityDefault*('5. Scenarios'!$D$11-1))+INDEX(BookOneOff,1521)*$N1526)</f>
        <v/>
      </c>
      <c r="S1526" s="56" t="str">
        <f aca="false">IF(INDEX(BookTitle,1521)="","",INDEX(BookTotal,1521)*'5. Scenarios'!$E$6/(1+ProductivityDefault*('5. Scenarios'!$E$11-1)))</f>
        <v/>
      </c>
      <c r="T1526" s="57" t="str">
        <f aca="false">IF($S1526="","",INDEX(BookRate,1521)*(1+'5. Scenarios'!$E$10)*$S1526)</f>
        <v/>
      </c>
      <c r="U1526" s="57" t="str">
        <f aca="false">IF($T1526="","",SUMIFS($T$6:$T$2405,$A$6:$A$2405,"&lt;="&amp;$A1526))</f>
        <v/>
      </c>
      <c r="V1526" s="57" t="str">
        <f aca="false">IF($T1526="","",IF($U1526&lt;=BankCostEnvelope*'5. Scenarios'!$E$7,1,0))</f>
        <v/>
      </c>
      <c r="W1526" s="57" t="str">
        <f aca="false">IF($S1526="","",INDEX(BookRate,1521)*(1+'5. Scenarios'!$E$10)*(INDEX(BookQ1,1521)*(5-MIN(4,1+'5. Scenarios'!$E$8))/4+INDEX(BookQ2,1521)*(5-MIN(4,2+'5. Scenarios'!$E$8))/4+INDEX(BookQ3,1521)*(5-MIN(4,3+'5. Scenarios'!$E$8))/4+INDEX(BookQ4,1521)*(5-MIN(4,4+'5. Scenarios'!$E$8))/4)*'5. Scenarios'!$E$6/(1+ProductivityDefault*('5. Scenarios'!$E$11-1))+INDEX(BookOneOff,1521)*$S1526)</f>
        <v/>
      </c>
    </row>
    <row r="1527" customFormat="false" ht="15" hidden="false" customHeight="false" outlineLevel="0" collapsed="false">
      <c r="A1527" s="0" t="str">
        <f aca="false">IF(INDEX(BookTitle,1522)="","",INDEX(BookKey,1522))</f>
        <v/>
      </c>
      <c r="B1527" s="0" t="str">
        <f aca="false">IF(INDEX(BookTitle,1522)="","",INDEX(BookGroup,1522))</f>
        <v/>
      </c>
      <c r="C1527" s="0" t="str">
        <f aca="false">IF(INDEX(BookTitle,1522)="","",INDEX(BookCategory,1522))</f>
        <v/>
      </c>
      <c r="D1527" s="56" t="str">
        <f aca="false">IF(INDEX(BookTitle,1522)="","",INDEX(BookTotal,1522)*'5. Scenarios'!$B$6/(1+ProductivityDefault*('5. Scenarios'!$B$11-1)))</f>
        <v/>
      </c>
      <c r="E1527" s="57" t="str">
        <f aca="false">IF($D1527="","",INDEX(BookRate,1522)*(1+'5. Scenarios'!$B$10)*$D1527)</f>
        <v/>
      </c>
      <c r="F1527" s="57" t="str">
        <f aca="false">IF($E1527="","",SUMIFS($E$6:$E$2405,$A$6:$A$2405,"&lt;="&amp;$A1527))</f>
        <v/>
      </c>
      <c r="G1527" s="57" t="str">
        <f aca="false">IF($E1527="","",IF($F1527&lt;=BankCostEnvelope*'5. Scenarios'!$B$7,1,0))</f>
        <v/>
      </c>
      <c r="H1527" s="57" t="str">
        <f aca="false">IF($D1527="","",INDEX(BookRate,1522)*(1+'5. Scenarios'!$B$10)*(INDEX(BookQ1,1522)*(5-MIN(4,1+'5. Scenarios'!$B$8))/4+INDEX(BookQ2,1522)*(5-MIN(4,2+'5. Scenarios'!$B$8))/4+INDEX(BookQ3,1522)*(5-MIN(4,3+'5. Scenarios'!$B$8))/4+INDEX(BookQ4,1522)*(5-MIN(4,4+'5. Scenarios'!$B$8))/4)*'5. Scenarios'!$B$6/(1+ProductivityDefault*('5. Scenarios'!$B$11-1))+INDEX(BookOneOff,1522)*$D1527)</f>
        <v/>
      </c>
      <c r="I1527" s="56" t="str">
        <f aca="false">IF(INDEX(BookTitle,1522)="","",INDEX(BookTotal,1522)*'5. Scenarios'!$C$6/(1+ProductivityDefault*('5. Scenarios'!$C$11-1)))</f>
        <v/>
      </c>
      <c r="J1527" s="57" t="str">
        <f aca="false">IF($I1527="","",INDEX(BookRate,1522)*(1+'5. Scenarios'!$C$10)*$I1527)</f>
        <v/>
      </c>
      <c r="K1527" s="57" t="str">
        <f aca="false">IF($J1527="","",SUMIFS($J$6:$J$2405,$A$6:$A$2405,"&lt;="&amp;$A1527))</f>
        <v/>
      </c>
      <c r="L1527" s="57" t="str">
        <f aca="false">IF($J1527="","",IF($K1527&lt;=BankCostEnvelope*'5. Scenarios'!$C$7,1,0))</f>
        <v/>
      </c>
      <c r="M1527" s="57" t="str">
        <f aca="false">IF($I1527="","",INDEX(BookRate,1522)*(1+'5. Scenarios'!$C$10)*(INDEX(BookQ1,1522)*(5-MIN(4,1+'5. Scenarios'!$C$8))/4+INDEX(BookQ2,1522)*(5-MIN(4,2+'5. Scenarios'!$C$8))/4+INDEX(BookQ3,1522)*(5-MIN(4,3+'5. Scenarios'!$C$8))/4+INDEX(BookQ4,1522)*(5-MIN(4,4+'5. Scenarios'!$C$8))/4)*'5. Scenarios'!$C$6/(1+ProductivityDefault*('5. Scenarios'!$C$11-1))+INDEX(BookOneOff,1522)*$I1527)</f>
        <v/>
      </c>
      <c r="N1527" s="56" t="str">
        <f aca="false">IF(INDEX(BookTitle,1522)="","",INDEX(BookTotal,1522)*'5. Scenarios'!$D$6/(1+ProductivityDefault*('5. Scenarios'!$D$11-1)))</f>
        <v/>
      </c>
      <c r="O1527" s="57" t="str">
        <f aca="false">IF($N1527="","",INDEX(BookRate,1522)*(1+'5. Scenarios'!$D$10)*$N1527)</f>
        <v/>
      </c>
      <c r="P1527" s="57" t="str">
        <f aca="false">IF($O1527="","",SUMIFS($O$6:$O$2405,$A$6:$A$2405,"&lt;="&amp;$A1527))</f>
        <v/>
      </c>
      <c r="Q1527" s="57" t="str">
        <f aca="false">IF($O1527="","",IF($P1527&lt;=BankCostEnvelope*'5. Scenarios'!$D$7,1,0))</f>
        <v/>
      </c>
      <c r="R1527" s="57" t="str">
        <f aca="false">IF($N1527="","",INDEX(BookRate,1522)*(1+'5. Scenarios'!$D$10)*(INDEX(BookQ1,1522)*(5-MIN(4,1+'5. Scenarios'!$D$8))/4+INDEX(BookQ2,1522)*(5-MIN(4,2+'5. Scenarios'!$D$8))/4+INDEX(BookQ3,1522)*(5-MIN(4,3+'5. Scenarios'!$D$8))/4+INDEX(BookQ4,1522)*(5-MIN(4,4+'5. Scenarios'!$D$8))/4)*'5. Scenarios'!$D$6/(1+ProductivityDefault*('5. Scenarios'!$D$11-1))+INDEX(BookOneOff,1522)*$N1527)</f>
        <v/>
      </c>
      <c r="S1527" s="56" t="str">
        <f aca="false">IF(INDEX(BookTitle,1522)="","",INDEX(BookTotal,1522)*'5. Scenarios'!$E$6/(1+ProductivityDefault*('5. Scenarios'!$E$11-1)))</f>
        <v/>
      </c>
      <c r="T1527" s="57" t="str">
        <f aca="false">IF($S1527="","",INDEX(BookRate,1522)*(1+'5. Scenarios'!$E$10)*$S1527)</f>
        <v/>
      </c>
      <c r="U1527" s="57" t="str">
        <f aca="false">IF($T1527="","",SUMIFS($T$6:$T$2405,$A$6:$A$2405,"&lt;="&amp;$A1527))</f>
        <v/>
      </c>
      <c r="V1527" s="57" t="str">
        <f aca="false">IF($T1527="","",IF($U1527&lt;=BankCostEnvelope*'5. Scenarios'!$E$7,1,0))</f>
        <v/>
      </c>
      <c r="W1527" s="57" t="str">
        <f aca="false">IF($S1527="","",INDEX(BookRate,1522)*(1+'5. Scenarios'!$E$10)*(INDEX(BookQ1,1522)*(5-MIN(4,1+'5. Scenarios'!$E$8))/4+INDEX(BookQ2,1522)*(5-MIN(4,2+'5. Scenarios'!$E$8))/4+INDEX(BookQ3,1522)*(5-MIN(4,3+'5. Scenarios'!$E$8))/4+INDEX(BookQ4,1522)*(5-MIN(4,4+'5. Scenarios'!$E$8))/4)*'5. Scenarios'!$E$6/(1+ProductivityDefault*('5. Scenarios'!$E$11-1))+INDEX(BookOneOff,1522)*$S1527)</f>
        <v/>
      </c>
    </row>
    <row r="1528" customFormat="false" ht="15" hidden="false" customHeight="false" outlineLevel="0" collapsed="false">
      <c r="A1528" s="0" t="str">
        <f aca="false">IF(INDEX(BookTitle,1523)="","",INDEX(BookKey,1523))</f>
        <v/>
      </c>
      <c r="B1528" s="0" t="str">
        <f aca="false">IF(INDEX(BookTitle,1523)="","",INDEX(BookGroup,1523))</f>
        <v/>
      </c>
      <c r="C1528" s="0" t="str">
        <f aca="false">IF(INDEX(BookTitle,1523)="","",INDEX(BookCategory,1523))</f>
        <v/>
      </c>
      <c r="D1528" s="56" t="str">
        <f aca="false">IF(INDEX(BookTitle,1523)="","",INDEX(BookTotal,1523)*'5. Scenarios'!$B$6/(1+ProductivityDefault*('5. Scenarios'!$B$11-1)))</f>
        <v/>
      </c>
      <c r="E1528" s="57" t="str">
        <f aca="false">IF($D1528="","",INDEX(BookRate,1523)*(1+'5. Scenarios'!$B$10)*$D1528)</f>
        <v/>
      </c>
      <c r="F1528" s="57" t="str">
        <f aca="false">IF($E1528="","",SUMIFS($E$6:$E$2405,$A$6:$A$2405,"&lt;="&amp;$A1528))</f>
        <v/>
      </c>
      <c r="G1528" s="57" t="str">
        <f aca="false">IF($E1528="","",IF($F1528&lt;=BankCostEnvelope*'5. Scenarios'!$B$7,1,0))</f>
        <v/>
      </c>
      <c r="H1528" s="57" t="str">
        <f aca="false">IF($D1528="","",INDEX(BookRate,1523)*(1+'5. Scenarios'!$B$10)*(INDEX(BookQ1,1523)*(5-MIN(4,1+'5. Scenarios'!$B$8))/4+INDEX(BookQ2,1523)*(5-MIN(4,2+'5. Scenarios'!$B$8))/4+INDEX(BookQ3,1523)*(5-MIN(4,3+'5. Scenarios'!$B$8))/4+INDEX(BookQ4,1523)*(5-MIN(4,4+'5. Scenarios'!$B$8))/4)*'5. Scenarios'!$B$6/(1+ProductivityDefault*('5. Scenarios'!$B$11-1))+INDEX(BookOneOff,1523)*$D1528)</f>
        <v/>
      </c>
      <c r="I1528" s="56" t="str">
        <f aca="false">IF(INDEX(BookTitle,1523)="","",INDEX(BookTotal,1523)*'5. Scenarios'!$C$6/(1+ProductivityDefault*('5. Scenarios'!$C$11-1)))</f>
        <v/>
      </c>
      <c r="J1528" s="57" t="str">
        <f aca="false">IF($I1528="","",INDEX(BookRate,1523)*(1+'5. Scenarios'!$C$10)*$I1528)</f>
        <v/>
      </c>
      <c r="K1528" s="57" t="str">
        <f aca="false">IF($J1528="","",SUMIFS($J$6:$J$2405,$A$6:$A$2405,"&lt;="&amp;$A1528))</f>
        <v/>
      </c>
      <c r="L1528" s="57" t="str">
        <f aca="false">IF($J1528="","",IF($K1528&lt;=BankCostEnvelope*'5. Scenarios'!$C$7,1,0))</f>
        <v/>
      </c>
      <c r="M1528" s="57" t="str">
        <f aca="false">IF($I1528="","",INDEX(BookRate,1523)*(1+'5. Scenarios'!$C$10)*(INDEX(BookQ1,1523)*(5-MIN(4,1+'5. Scenarios'!$C$8))/4+INDEX(BookQ2,1523)*(5-MIN(4,2+'5. Scenarios'!$C$8))/4+INDEX(BookQ3,1523)*(5-MIN(4,3+'5. Scenarios'!$C$8))/4+INDEX(BookQ4,1523)*(5-MIN(4,4+'5. Scenarios'!$C$8))/4)*'5. Scenarios'!$C$6/(1+ProductivityDefault*('5. Scenarios'!$C$11-1))+INDEX(BookOneOff,1523)*$I1528)</f>
        <v/>
      </c>
      <c r="N1528" s="56" t="str">
        <f aca="false">IF(INDEX(BookTitle,1523)="","",INDEX(BookTotal,1523)*'5. Scenarios'!$D$6/(1+ProductivityDefault*('5. Scenarios'!$D$11-1)))</f>
        <v/>
      </c>
      <c r="O1528" s="57" t="str">
        <f aca="false">IF($N1528="","",INDEX(BookRate,1523)*(1+'5. Scenarios'!$D$10)*$N1528)</f>
        <v/>
      </c>
      <c r="P1528" s="57" t="str">
        <f aca="false">IF($O1528="","",SUMIFS($O$6:$O$2405,$A$6:$A$2405,"&lt;="&amp;$A1528))</f>
        <v/>
      </c>
      <c r="Q1528" s="57" t="str">
        <f aca="false">IF($O1528="","",IF($P1528&lt;=BankCostEnvelope*'5. Scenarios'!$D$7,1,0))</f>
        <v/>
      </c>
      <c r="R1528" s="57" t="str">
        <f aca="false">IF($N1528="","",INDEX(BookRate,1523)*(1+'5. Scenarios'!$D$10)*(INDEX(BookQ1,1523)*(5-MIN(4,1+'5. Scenarios'!$D$8))/4+INDEX(BookQ2,1523)*(5-MIN(4,2+'5. Scenarios'!$D$8))/4+INDEX(BookQ3,1523)*(5-MIN(4,3+'5. Scenarios'!$D$8))/4+INDEX(BookQ4,1523)*(5-MIN(4,4+'5. Scenarios'!$D$8))/4)*'5. Scenarios'!$D$6/(1+ProductivityDefault*('5. Scenarios'!$D$11-1))+INDEX(BookOneOff,1523)*$N1528)</f>
        <v/>
      </c>
      <c r="S1528" s="56" t="str">
        <f aca="false">IF(INDEX(BookTitle,1523)="","",INDEX(BookTotal,1523)*'5. Scenarios'!$E$6/(1+ProductivityDefault*('5. Scenarios'!$E$11-1)))</f>
        <v/>
      </c>
      <c r="T1528" s="57" t="str">
        <f aca="false">IF($S1528="","",INDEX(BookRate,1523)*(1+'5. Scenarios'!$E$10)*$S1528)</f>
        <v/>
      </c>
      <c r="U1528" s="57" t="str">
        <f aca="false">IF($T1528="","",SUMIFS($T$6:$T$2405,$A$6:$A$2405,"&lt;="&amp;$A1528))</f>
        <v/>
      </c>
      <c r="V1528" s="57" t="str">
        <f aca="false">IF($T1528="","",IF($U1528&lt;=BankCostEnvelope*'5. Scenarios'!$E$7,1,0))</f>
        <v/>
      </c>
      <c r="W1528" s="57" t="str">
        <f aca="false">IF($S1528="","",INDEX(BookRate,1523)*(1+'5. Scenarios'!$E$10)*(INDEX(BookQ1,1523)*(5-MIN(4,1+'5. Scenarios'!$E$8))/4+INDEX(BookQ2,1523)*(5-MIN(4,2+'5. Scenarios'!$E$8))/4+INDEX(BookQ3,1523)*(5-MIN(4,3+'5. Scenarios'!$E$8))/4+INDEX(BookQ4,1523)*(5-MIN(4,4+'5. Scenarios'!$E$8))/4)*'5. Scenarios'!$E$6/(1+ProductivityDefault*('5. Scenarios'!$E$11-1))+INDEX(BookOneOff,1523)*$S1528)</f>
        <v/>
      </c>
    </row>
    <row r="1529" customFormat="false" ht="15" hidden="false" customHeight="false" outlineLevel="0" collapsed="false">
      <c r="A1529" s="0" t="str">
        <f aca="false">IF(INDEX(BookTitle,1524)="","",INDEX(BookKey,1524))</f>
        <v/>
      </c>
      <c r="B1529" s="0" t="str">
        <f aca="false">IF(INDEX(BookTitle,1524)="","",INDEX(BookGroup,1524))</f>
        <v/>
      </c>
      <c r="C1529" s="0" t="str">
        <f aca="false">IF(INDEX(BookTitle,1524)="","",INDEX(BookCategory,1524))</f>
        <v/>
      </c>
      <c r="D1529" s="56" t="str">
        <f aca="false">IF(INDEX(BookTitle,1524)="","",INDEX(BookTotal,1524)*'5. Scenarios'!$B$6/(1+ProductivityDefault*('5. Scenarios'!$B$11-1)))</f>
        <v/>
      </c>
      <c r="E1529" s="57" t="str">
        <f aca="false">IF($D1529="","",INDEX(BookRate,1524)*(1+'5. Scenarios'!$B$10)*$D1529)</f>
        <v/>
      </c>
      <c r="F1529" s="57" t="str">
        <f aca="false">IF($E1529="","",SUMIFS($E$6:$E$2405,$A$6:$A$2405,"&lt;="&amp;$A1529))</f>
        <v/>
      </c>
      <c r="G1529" s="57" t="str">
        <f aca="false">IF($E1529="","",IF($F1529&lt;=BankCostEnvelope*'5. Scenarios'!$B$7,1,0))</f>
        <v/>
      </c>
      <c r="H1529" s="57" t="str">
        <f aca="false">IF($D1529="","",INDEX(BookRate,1524)*(1+'5. Scenarios'!$B$10)*(INDEX(BookQ1,1524)*(5-MIN(4,1+'5. Scenarios'!$B$8))/4+INDEX(BookQ2,1524)*(5-MIN(4,2+'5. Scenarios'!$B$8))/4+INDEX(BookQ3,1524)*(5-MIN(4,3+'5. Scenarios'!$B$8))/4+INDEX(BookQ4,1524)*(5-MIN(4,4+'5. Scenarios'!$B$8))/4)*'5. Scenarios'!$B$6/(1+ProductivityDefault*('5. Scenarios'!$B$11-1))+INDEX(BookOneOff,1524)*$D1529)</f>
        <v/>
      </c>
      <c r="I1529" s="56" t="str">
        <f aca="false">IF(INDEX(BookTitle,1524)="","",INDEX(BookTotal,1524)*'5. Scenarios'!$C$6/(1+ProductivityDefault*('5. Scenarios'!$C$11-1)))</f>
        <v/>
      </c>
      <c r="J1529" s="57" t="str">
        <f aca="false">IF($I1529="","",INDEX(BookRate,1524)*(1+'5. Scenarios'!$C$10)*$I1529)</f>
        <v/>
      </c>
      <c r="K1529" s="57" t="str">
        <f aca="false">IF($J1529="","",SUMIFS($J$6:$J$2405,$A$6:$A$2405,"&lt;="&amp;$A1529))</f>
        <v/>
      </c>
      <c r="L1529" s="57" t="str">
        <f aca="false">IF($J1529="","",IF($K1529&lt;=BankCostEnvelope*'5. Scenarios'!$C$7,1,0))</f>
        <v/>
      </c>
      <c r="M1529" s="57" t="str">
        <f aca="false">IF($I1529="","",INDEX(BookRate,1524)*(1+'5. Scenarios'!$C$10)*(INDEX(BookQ1,1524)*(5-MIN(4,1+'5. Scenarios'!$C$8))/4+INDEX(BookQ2,1524)*(5-MIN(4,2+'5. Scenarios'!$C$8))/4+INDEX(BookQ3,1524)*(5-MIN(4,3+'5. Scenarios'!$C$8))/4+INDEX(BookQ4,1524)*(5-MIN(4,4+'5. Scenarios'!$C$8))/4)*'5. Scenarios'!$C$6/(1+ProductivityDefault*('5. Scenarios'!$C$11-1))+INDEX(BookOneOff,1524)*$I1529)</f>
        <v/>
      </c>
      <c r="N1529" s="56" t="str">
        <f aca="false">IF(INDEX(BookTitle,1524)="","",INDEX(BookTotal,1524)*'5. Scenarios'!$D$6/(1+ProductivityDefault*('5. Scenarios'!$D$11-1)))</f>
        <v/>
      </c>
      <c r="O1529" s="57" t="str">
        <f aca="false">IF($N1529="","",INDEX(BookRate,1524)*(1+'5. Scenarios'!$D$10)*$N1529)</f>
        <v/>
      </c>
      <c r="P1529" s="57" t="str">
        <f aca="false">IF($O1529="","",SUMIFS($O$6:$O$2405,$A$6:$A$2405,"&lt;="&amp;$A1529))</f>
        <v/>
      </c>
      <c r="Q1529" s="57" t="str">
        <f aca="false">IF($O1529="","",IF($P1529&lt;=BankCostEnvelope*'5. Scenarios'!$D$7,1,0))</f>
        <v/>
      </c>
      <c r="R1529" s="57" t="str">
        <f aca="false">IF($N1529="","",INDEX(BookRate,1524)*(1+'5. Scenarios'!$D$10)*(INDEX(BookQ1,1524)*(5-MIN(4,1+'5. Scenarios'!$D$8))/4+INDEX(BookQ2,1524)*(5-MIN(4,2+'5. Scenarios'!$D$8))/4+INDEX(BookQ3,1524)*(5-MIN(4,3+'5. Scenarios'!$D$8))/4+INDEX(BookQ4,1524)*(5-MIN(4,4+'5. Scenarios'!$D$8))/4)*'5. Scenarios'!$D$6/(1+ProductivityDefault*('5. Scenarios'!$D$11-1))+INDEX(BookOneOff,1524)*$N1529)</f>
        <v/>
      </c>
      <c r="S1529" s="56" t="str">
        <f aca="false">IF(INDEX(BookTitle,1524)="","",INDEX(BookTotal,1524)*'5. Scenarios'!$E$6/(1+ProductivityDefault*('5. Scenarios'!$E$11-1)))</f>
        <v/>
      </c>
      <c r="T1529" s="57" t="str">
        <f aca="false">IF($S1529="","",INDEX(BookRate,1524)*(1+'5. Scenarios'!$E$10)*$S1529)</f>
        <v/>
      </c>
      <c r="U1529" s="57" t="str">
        <f aca="false">IF($T1529="","",SUMIFS($T$6:$T$2405,$A$6:$A$2405,"&lt;="&amp;$A1529))</f>
        <v/>
      </c>
      <c r="V1529" s="57" t="str">
        <f aca="false">IF($T1529="","",IF($U1529&lt;=BankCostEnvelope*'5. Scenarios'!$E$7,1,0))</f>
        <v/>
      </c>
      <c r="W1529" s="57" t="str">
        <f aca="false">IF($S1529="","",INDEX(BookRate,1524)*(1+'5. Scenarios'!$E$10)*(INDEX(BookQ1,1524)*(5-MIN(4,1+'5. Scenarios'!$E$8))/4+INDEX(BookQ2,1524)*(5-MIN(4,2+'5. Scenarios'!$E$8))/4+INDEX(BookQ3,1524)*(5-MIN(4,3+'5. Scenarios'!$E$8))/4+INDEX(BookQ4,1524)*(5-MIN(4,4+'5. Scenarios'!$E$8))/4)*'5. Scenarios'!$E$6/(1+ProductivityDefault*('5. Scenarios'!$E$11-1))+INDEX(BookOneOff,1524)*$S1529)</f>
        <v/>
      </c>
    </row>
    <row r="1530" customFormat="false" ht="15" hidden="false" customHeight="false" outlineLevel="0" collapsed="false">
      <c r="A1530" s="0" t="str">
        <f aca="false">IF(INDEX(BookTitle,1525)="","",INDEX(BookKey,1525))</f>
        <v/>
      </c>
      <c r="B1530" s="0" t="str">
        <f aca="false">IF(INDEX(BookTitle,1525)="","",INDEX(BookGroup,1525))</f>
        <v/>
      </c>
      <c r="C1530" s="0" t="str">
        <f aca="false">IF(INDEX(BookTitle,1525)="","",INDEX(BookCategory,1525))</f>
        <v/>
      </c>
      <c r="D1530" s="56" t="str">
        <f aca="false">IF(INDEX(BookTitle,1525)="","",INDEX(BookTotal,1525)*'5. Scenarios'!$B$6/(1+ProductivityDefault*('5. Scenarios'!$B$11-1)))</f>
        <v/>
      </c>
      <c r="E1530" s="57" t="str">
        <f aca="false">IF($D1530="","",INDEX(BookRate,1525)*(1+'5. Scenarios'!$B$10)*$D1530)</f>
        <v/>
      </c>
      <c r="F1530" s="57" t="str">
        <f aca="false">IF($E1530="","",SUMIFS($E$6:$E$2405,$A$6:$A$2405,"&lt;="&amp;$A1530))</f>
        <v/>
      </c>
      <c r="G1530" s="57" t="str">
        <f aca="false">IF($E1530="","",IF($F1530&lt;=BankCostEnvelope*'5. Scenarios'!$B$7,1,0))</f>
        <v/>
      </c>
      <c r="H1530" s="57" t="str">
        <f aca="false">IF($D1530="","",INDEX(BookRate,1525)*(1+'5. Scenarios'!$B$10)*(INDEX(BookQ1,1525)*(5-MIN(4,1+'5. Scenarios'!$B$8))/4+INDEX(BookQ2,1525)*(5-MIN(4,2+'5. Scenarios'!$B$8))/4+INDEX(BookQ3,1525)*(5-MIN(4,3+'5. Scenarios'!$B$8))/4+INDEX(BookQ4,1525)*(5-MIN(4,4+'5. Scenarios'!$B$8))/4)*'5. Scenarios'!$B$6/(1+ProductivityDefault*('5. Scenarios'!$B$11-1))+INDEX(BookOneOff,1525)*$D1530)</f>
        <v/>
      </c>
      <c r="I1530" s="56" t="str">
        <f aca="false">IF(INDEX(BookTitle,1525)="","",INDEX(BookTotal,1525)*'5. Scenarios'!$C$6/(1+ProductivityDefault*('5. Scenarios'!$C$11-1)))</f>
        <v/>
      </c>
      <c r="J1530" s="57" t="str">
        <f aca="false">IF($I1530="","",INDEX(BookRate,1525)*(1+'5. Scenarios'!$C$10)*$I1530)</f>
        <v/>
      </c>
      <c r="K1530" s="57" t="str">
        <f aca="false">IF($J1530="","",SUMIFS($J$6:$J$2405,$A$6:$A$2405,"&lt;="&amp;$A1530))</f>
        <v/>
      </c>
      <c r="L1530" s="57" t="str">
        <f aca="false">IF($J1530="","",IF($K1530&lt;=BankCostEnvelope*'5. Scenarios'!$C$7,1,0))</f>
        <v/>
      </c>
      <c r="M1530" s="57" t="str">
        <f aca="false">IF($I1530="","",INDEX(BookRate,1525)*(1+'5. Scenarios'!$C$10)*(INDEX(BookQ1,1525)*(5-MIN(4,1+'5. Scenarios'!$C$8))/4+INDEX(BookQ2,1525)*(5-MIN(4,2+'5. Scenarios'!$C$8))/4+INDEX(BookQ3,1525)*(5-MIN(4,3+'5. Scenarios'!$C$8))/4+INDEX(BookQ4,1525)*(5-MIN(4,4+'5. Scenarios'!$C$8))/4)*'5. Scenarios'!$C$6/(1+ProductivityDefault*('5. Scenarios'!$C$11-1))+INDEX(BookOneOff,1525)*$I1530)</f>
        <v/>
      </c>
      <c r="N1530" s="56" t="str">
        <f aca="false">IF(INDEX(BookTitle,1525)="","",INDEX(BookTotal,1525)*'5. Scenarios'!$D$6/(1+ProductivityDefault*('5. Scenarios'!$D$11-1)))</f>
        <v/>
      </c>
      <c r="O1530" s="57" t="str">
        <f aca="false">IF($N1530="","",INDEX(BookRate,1525)*(1+'5. Scenarios'!$D$10)*$N1530)</f>
        <v/>
      </c>
      <c r="P1530" s="57" t="str">
        <f aca="false">IF($O1530="","",SUMIFS($O$6:$O$2405,$A$6:$A$2405,"&lt;="&amp;$A1530))</f>
        <v/>
      </c>
      <c r="Q1530" s="57" t="str">
        <f aca="false">IF($O1530="","",IF($P1530&lt;=BankCostEnvelope*'5. Scenarios'!$D$7,1,0))</f>
        <v/>
      </c>
      <c r="R1530" s="57" t="str">
        <f aca="false">IF($N1530="","",INDEX(BookRate,1525)*(1+'5. Scenarios'!$D$10)*(INDEX(BookQ1,1525)*(5-MIN(4,1+'5. Scenarios'!$D$8))/4+INDEX(BookQ2,1525)*(5-MIN(4,2+'5. Scenarios'!$D$8))/4+INDEX(BookQ3,1525)*(5-MIN(4,3+'5. Scenarios'!$D$8))/4+INDEX(BookQ4,1525)*(5-MIN(4,4+'5. Scenarios'!$D$8))/4)*'5. Scenarios'!$D$6/(1+ProductivityDefault*('5. Scenarios'!$D$11-1))+INDEX(BookOneOff,1525)*$N1530)</f>
        <v/>
      </c>
      <c r="S1530" s="56" t="str">
        <f aca="false">IF(INDEX(BookTitle,1525)="","",INDEX(BookTotal,1525)*'5. Scenarios'!$E$6/(1+ProductivityDefault*('5. Scenarios'!$E$11-1)))</f>
        <v/>
      </c>
      <c r="T1530" s="57" t="str">
        <f aca="false">IF($S1530="","",INDEX(BookRate,1525)*(1+'5. Scenarios'!$E$10)*$S1530)</f>
        <v/>
      </c>
      <c r="U1530" s="57" t="str">
        <f aca="false">IF($T1530="","",SUMIFS($T$6:$T$2405,$A$6:$A$2405,"&lt;="&amp;$A1530))</f>
        <v/>
      </c>
      <c r="V1530" s="57" t="str">
        <f aca="false">IF($T1530="","",IF($U1530&lt;=BankCostEnvelope*'5. Scenarios'!$E$7,1,0))</f>
        <v/>
      </c>
      <c r="W1530" s="57" t="str">
        <f aca="false">IF($S1530="","",INDEX(BookRate,1525)*(1+'5. Scenarios'!$E$10)*(INDEX(BookQ1,1525)*(5-MIN(4,1+'5. Scenarios'!$E$8))/4+INDEX(BookQ2,1525)*(5-MIN(4,2+'5. Scenarios'!$E$8))/4+INDEX(BookQ3,1525)*(5-MIN(4,3+'5. Scenarios'!$E$8))/4+INDEX(BookQ4,1525)*(5-MIN(4,4+'5. Scenarios'!$E$8))/4)*'5. Scenarios'!$E$6/(1+ProductivityDefault*('5. Scenarios'!$E$11-1))+INDEX(BookOneOff,1525)*$S1530)</f>
        <v/>
      </c>
    </row>
    <row r="1531" customFormat="false" ht="15" hidden="false" customHeight="false" outlineLevel="0" collapsed="false">
      <c r="A1531" s="0" t="str">
        <f aca="false">IF(INDEX(BookTitle,1526)="","",INDEX(BookKey,1526))</f>
        <v/>
      </c>
      <c r="B1531" s="0" t="str">
        <f aca="false">IF(INDEX(BookTitle,1526)="","",INDEX(BookGroup,1526))</f>
        <v/>
      </c>
      <c r="C1531" s="0" t="str">
        <f aca="false">IF(INDEX(BookTitle,1526)="","",INDEX(BookCategory,1526))</f>
        <v/>
      </c>
      <c r="D1531" s="56" t="str">
        <f aca="false">IF(INDEX(BookTitle,1526)="","",INDEX(BookTotal,1526)*'5. Scenarios'!$B$6/(1+ProductivityDefault*('5. Scenarios'!$B$11-1)))</f>
        <v/>
      </c>
      <c r="E1531" s="57" t="str">
        <f aca="false">IF($D1531="","",INDEX(BookRate,1526)*(1+'5. Scenarios'!$B$10)*$D1531)</f>
        <v/>
      </c>
      <c r="F1531" s="57" t="str">
        <f aca="false">IF($E1531="","",SUMIFS($E$6:$E$2405,$A$6:$A$2405,"&lt;="&amp;$A1531))</f>
        <v/>
      </c>
      <c r="G1531" s="57" t="str">
        <f aca="false">IF($E1531="","",IF($F1531&lt;=BankCostEnvelope*'5. Scenarios'!$B$7,1,0))</f>
        <v/>
      </c>
      <c r="H1531" s="57" t="str">
        <f aca="false">IF($D1531="","",INDEX(BookRate,1526)*(1+'5. Scenarios'!$B$10)*(INDEX(BookQ1,1526)*(5-MIN(4,1+'5. Scenarios'!$B$8))/4+INDEX(BookQ2,1526)*(5-MIN(4,2+'5. Scenarios'!$B$8))/4+INDEX(BookQ3,1526)*(5-MIN(4,3+'5. Scenarios'!$B$8))/4+INDEX(BookQ4,1526)*(5-MIN(4,4+'5. Scenarios'!$B$8))/4)*'5. Scenarios'!$B$6/(1+ProductivityDefault*('5. Scenarios'!$B$11-1))+INDEX(BookOneOff,1526)*$D1531)</f>
        <v/>
      </c>
      <c r="I1531" s="56" t="str">
        <f aca="false">IF(INDEX(BookTitle,1526)="","",INDEX(BookTotal,1526)*'5. Scenarios'!$C$6/(1+ProductivityDefault*('5. Scenarios'!$C$11-1)))</f>
        <v/>
      </c>
      <c r="J1531" s="57" t="str">
        <f aca="false">IF($I1531="","",INDEX(BookRate,1526)*(1+'5. Scenarios'!$C$10)*$I1531)</f>
        <v/>
      </c>
      <c r="K1531" s="57" t="str">
        <f aca="false">IF($J1531="","",SUMIFS($J$6:$J$2405,$A$6:$A$2405,"&lt;="&amp;$A1531))</f>
        <v/>
      </c>
      <c r="L1531" s="57" t="str">
        <f aca="false">IF($J1531="","",IF($K1531&lt;=BankCostEnvelope*'5. Scenarios'!$C$7,1,0))</f>
        <v/>
      </c>
      <c r="M1531" s="57" t="str">
        <f aca="false">IF($I1531="","",INDEX(BookRate,1526)*(1+'5. Scenarios'!$C$10)*(INDEX(BookQ1,1526)*(5-MIN(4,1+'5. Scenarios'!$C$8))/4+INDEX(BookQ2,1526)*(5-MIN(4,2+'5. Scenarios'!$C$8))/4+INDEX(BookQ3,1526)*(5-MIN(4,3+'5. Scenarios'!$C$8))/4+INDEX(BookQ4,1526)*(5-MIN(4,4+'5. Scenarios'!$C$8))/4)*'5. Scenarios'!$C$6/(1+ProductivityDefault*('5. Scenarios'!$C$11-1))+INDEX(BookOneOff,1526)*$I1531)</f>
        <v/>
      </c>
      <c r="N1531" s="56" t="str">
        <f aca="false">IF(INDEX(BookTitle,1526)="","",INDEX(BookTotal,1526)*'5. Scenarios'!$D$6/(1+ProductivityDefault*('5. Scenarios'!$D$11-1)))</f>
        <v/>
      </c>
      <c r="O1531" s="57" t="str">
        <f aca="false">IF($N1531="","",INDEX(BookRate,1526)*(1+'5. Scenarios'!$D$10)*$N1531)</f>
        <v/>
      </c>
      <c r="P1531" s="57" t="str">
        <f aca="false">IF($O1531="","",SUMIFS($O$6:$O$2405,$A$6:$A$2405,"&lt;="&amp;$A1531))</f>
        <v/>
      </c>
      <c r="Q1531" s="57" t="str">
        <f aca="false">IF($O1531="","",IF($P1531&lt;=BankCostEnvelope*'5. Scenarios'!$D$7,1,0))</f>
        <v/>
      </c>
      <c r="R1531" s="57" t="str">
        <f aca="false">IF($N1531="","",INDEX(BookRate,1526)*(1+'5. Scenarios'!$D$10)*(INDEX(BookQ1,1526)*(5-MIN(4,1+'5. Scenarios'!$D$8))/4+INDEX(BookQ2,1526)*(5-MIN(4,2+'5. Scenarios'!$D$8))/4+INDEX(BookQ3,1526)*(5-MIN(4,3+'5. Scenarios'!$D$8))/4+INDEX(BookQ4,1526)*(5-MIN(4,4+'5. Scenarios'!$D$8))/4)*'5. Scenarios'!$D$6/(1+ProductivityDefault*('5. Scenarios'!$D$11-1))+INDEX(BookOneOff,1526)*$N1531)</f>
        <v/>
      </c>
      <c r="S1531" s="56" t="str">
        <f aca="false">IF(INDEX(BookTitle,1526)="","",INDEX(BookTotal,1526)*'5. Scenarios'!$E$6/(1+ProductivityDefault*('5. Scenarios'!$E$11-1)))</f>
        <v/>
      </c>
      <c r="T1531" s="57" t="str">
        <f aca="false">IF($S1531="","",INDEX(BookRate,1526)*(1+'5. Scenarios'!$E$10)*$S1531)</f>
        <v/>
      </c>
      <c r="U1531" s="57" t="str">
        <f aca="false">IF($T1531="","",SUMIFS($T$6:$T$2405,$A$6:$A$2405,"&lt;="&amp;$A1531))</f>
        <v/>
      </c>
      <c r="V1531" s="57" t="str">
        <f aca="false">IF($T1531="","",IF($U1531&lt;=BankCostEnvelope*'5. Scenarios'!$E$7,1,0))</f>
        <v/>
      </c>
      <c r="W1531" s="57" t="str">
        <f aca="false">IF($S1531="","",INDEX(BookRate,1526)*(1+'5. Scenarios'!$E$10)*(INDEX(BookQ1,1526)*(5-MIN(4,1+'5. Scenarios'!$E$8))/4+INDEX(BookQ2,1526)*(5-MIN(4,2+'5. Scenarios'!$E$8))/4+INDEX(BookQ3,1526)*(5-MIN(4,3+'5. Scenarios'!$E$8))/4+INDEX(BookQ4,1526)*(5-MIN(4,4+'5. Scenarios'!$E$8))/4)*'5. Scenarios'!$E$6/(1+ProductivityDefault*('5. Scenarios'!$E$11-1))+INDEX(BookOneOff,1526)*$S1531)</f>
        <v/>
      </c>
    </row>
    <row r="1532" customFormat="false" ht="15" hidden="false" customHeight="false" outlineLevel="0" collapsed="false">
      <c r="A1532" s="0" t="str">
        <f aca="false">IF(INDEX(BookTitle,1527)="","",INDEX(BookKey,1527))</f>
        <v/>
      </c>
      <c r="B1532" s="0" t="str">
        <f aca="false">IF(INDEX(BookTitle,1527)="","",INDEX(BookGroup,1527))</f>
        <v/>
      </c>
      <c r="C1532" s="0" t="str">
        <f aca="false">IF(INDEX(BookTitle,1527)="","",INDEX(BookCategory,1527))</f>
        <v/>
      </c>
      <c r="D1532" s="56" t="str">
        <f aca="false">IF(INDEX(BookTitle,1527)="","",INDEX(BookTotal,1527)*'5. Scenarios'!$B$6/(1+ProductivityDefault*('5. Scenarios'!$B$11-1)))</f>
        <v/>
      </c>
      <c r="E1532" s="57" t="str">
        <f aca="false">IF($D1532="","",INDEX(BookRate,1527)*(1+'5. Scenarios'!$B$10)*$D1532)</f>
        <v/>
      </c>
      <c r="F1532" s="57" t="str">
        <f aca="false">IF($E1532="","",SUMIFS($E$6:$E$2405,$A$6:$A$2405,"&lt;="&amp;$A1532))</f>
        <v/>
      </c>
      <c r="G1532" s="57" t="str">
        <f aca="false">IF($E1532="","",IF($F1532&lt;=BankCostEnvelope*'5. Scenarios'!$B$7,1,0))</f>
        <v/>
      </c>
      <c r="H1532" s="57" t="str">
        <f aca="false">IF($D1532="","",INDEX(BookRate,1527)*(1+'5. Scenarios'!$B$10)*(INDEX(BookQ1,1527)*(5-MIN(4,1+'5. Scenarios'!$B$8))/4+INDEX(BookQ2,1527)*(5-MIN(4,2+'5. Scenarios'!$B$8))/4+INDEX(BookQ3,1527)*(5-MIN(4,3+'5. Scenarios'!$B$8))/4+INDEX(BookQ4,1527)*(5-MIN(4,4+'5. Scenarios'!$B$8))/4)*'5. Scenarios'!$B$6/(1+ProductivityDefault*('5. Scenarios'!$B$11-1))+INDEX(BookOneOff,1527)*$D1532)</f>
        <v/>
      </c>
      <c r="I1532" s="56" t="str">
        <f aca="false">IF(INDEX(BookTitle,1527)="","",INDEX(BookTotal,1527)*'5. Scenarios'!$C$6/(1+ProductivityDefault*('5. Scenarios'!$C$11-1)))</f>
        <v/>
      </c>
      <c r="J1532" s="57" t="str">
        <f aca="false">IF($I1532="","",INDEX(BookRate,1527)*(1+'5. Scenarios'!$C$10)*$I1532)</f>
        <v/>
      </c>
      <c r="K1532" s="57" t="str">
        <f aca="false">IF($J1532="","",SUMIFS($J$6:$J$2405,$A$6:$A$2405,"&lt;="&amp;$A1532))</f>
        <v/>
      </c>
      <c r="L1532" s="57" t="str">
        <f aca="false">IF($J1532="","",IF($K1532&lt;=BankCostEnvelope*'5. Scenarios'!$C$7,1,0))</f>
        <v/>
      </c>
      <c r="M1532" s="57" t="str">
        <f aca="false">IF($I1532="","",INDEX(BookRate,1527)*(1+'5. Scenarios'!$C$10)*(INDEX(BookQ1,1527)*(5-MIN(4,1+'5. Scenarios'!$C$8))/4+INDEX(BookQ2,1527)*(5-MIN(4,2+'5. Scenarios'!$C$8))/4+INDEX(BookQ3,1527)*(5-MIN(4,3+'5. Scenarios'!$C$8))/4+INDEX(BookQ4,1527)*(5-MIN(4,4+'5. Scenarios'!$C$8))/4)*'5. Scenarios'!$C$6/(1+ProductivityDefault*('5. Scenarios'!$C$11-1))+INDEX(BookOneOff,1527)*$I1532)</f>
        <v/>
      </c>
      <c r="N1532" s="56" t="str">
        <f aca="false">IF(INDEX(BookTitle,1527)="","",INDEX(BookTotal,1527)*'5. Scenarios'!$D$6/(1+ProductivityDefault*('5. Scenarios'!$D$11-1)))</f>
        <v/>
      </c>
      <c r="O1532" s="57" t="str">
        <f aca="false">IF($N1532="","",INDEX(BookRate,1527)*(1+'5. Scenarios'!$D$10)*$N1532)</f>
        <v/>
      </c>
      <c r="P1532" s="57" t="str">
        <f aca="false">IF($O1532="","",SUMIFS($O$6:$O$2405,$A$6:$A$2405,"&lt;="&amp;$A1532))</f>
        <v/>
      </c>
      <c r="Q1532" s="57" t="str">
        <f aca="false">IF($O1532="","",IF($P1532&lt;=BankCostEnvelope*'5. Scenarios'!$D$7,1,0))</f>
        <v/>
      </c>
      <c r="R1532" s="57" t="str">
        <f aca="false">IF($N1532="","",INDEX(BookRate,1527)*(1+'5. Scenarios'!$D$10)*(INDEX(BookQ1,1527)*(5-MIN(4,1+'5. Scenarios'!$D$8))/4+INDEX(BookQ2,1527)*(5-MIN(4,2+'5. Scenarios'!$D$8))/4+INDEX(BookQ3,1527)*(5-MIN(4,3+'5. Scenarios'!$D$8))/4+INDEX(BookQ4,1527)*(5-MIN(4,4+'5. Scenarios'!$D$8))/4)*'5. Scenarios'!$D$6/(1+ProductivityDefault*('5. Scenarios'!$D$11-1))+INDEX(BookOneOff,1527)*$N1532)</f>
        <v/>
      </c>
      <c r="S1532" s="56" t="str">
        <f aca="false">IF(INDEX(BookTitle,1527)="","",INDEX(BookTotal,1527)*'5. Scenarios'!$E$6/(1+ProductivityDefault*('5. Scenarios'!$E$11-1)))</f>
        <v/>
      </c>
      <c r="T1532" s="57" t="str">
        <f aca="false">IF($S1532="","",INDEX(BookRate,1527)*(1+'5. Scenarios'!$E$10)*$S1532)</f>
        <v/>
      </c>
      <c r="U1532" s="57" t="str">
        <f aca="false">IF($T1532="","",SUMIFS($T$6:$T$2405,$A$6:$A$2405,"&lt;="&amp;$A1532))</f>
        <v/>
      </c>
      <c r="V1532" s="57" t="str">
        <f aca="false">IF($T1532="","",IF($U1532&lt;=BankCostEnvelope*'5. Scenarios'!$E$7,1,0))</f>
        <v/>
      </c>
      <c r="W1532" s="57" t="str">
        <f aca="false">IF($S1532="","",INDEX(BookRate,1527)*(1+'5. Scenarios'!$E$10)*(INDEX(BookQ1,1527)*(5-MIN(4,1+'5. Scenarios'!$E$8))/4+INDEX(BookQ2,1527)*(5-MIN(4,2+'5. Scenarios'!$E$8))/4+INDEX(BookQ3,1527)*(5-MIN(4,3+'5. Scenarios'!$E$8))/4+INDEX(BookQ4,1527)*(5-MIN(4,4+'5. Scenarios'!$E$8))/4)*'5. Scenarios'!$E$6/(1+ProductivityDefault*('5. Scenarios'!$E$11-1))+INDEX(BookOneOff,1527)*$S1532)</f>
        <v/>
      </c>
    </row>
    <row r="1533" customFormat="false" ht="15" hidden="false" customHeight="false" outlineLevel="0" collapsed="false">
      <c r="A1533" s="0" t="str">
        <f aca="false">IF(INDEX(BookTitle,1528)="","",INDEX(BookKey,1528))</f>
        <v/>
      </c>
      <c r="B1533" s="0" t="str">
        <f aca="false">IF(INDEX(BookTitle,1528)="","",INDEX(BookGroup,1528))</f>
        <v/>
      </c>
      <c r="C1533" s="0" t="str">
        <f aca="false">IF(INDEX(BookTitle,1528)="","",INDEX(BookCategory,1528))</f>
        <v/>
      </c>
      <c r="D1533" s="56" t="str">
        <f aca="false">IF(INDEX(BookTitle,1528)="","",INDEX(BookTotal,1528)*'5. Scenarios'!$B$6/(1+ProductivityDefault*('5. Scenarios'!$B$11-1)))</f>
        <v/>
      </c>
      <c r="E1533" s="57" t="str">
        <f aca="false">IF($D1533="","",INDEX(BookRate,1528)*(1+'5. Scenarios'!$B$10)*$D1533)</f>
        <v/>
      </c>
      <c r="F1533" s="57" t="str">
        <f aca="false">IF($E1533="","",SUMIFS($E$6:$E$2405,$A$6:$A$2405,"&lt;="&amp;$A1533))</f>
        <v/>
      </c>
      <c r="G1533" s="57" t="str">
        <f aca="false">IF($E1533="","",IF($F1533&lt;=BankCostEnvelope*'5. Scenarios'!$B$7,1,0))</f>
        <v/>
      </c>
      <c r="H1533" s="57" t="str">
        <f aca="false">IF($D1533="","",INDEX(BookRate,1528)*(1+'5. Scenarios'!$B$10)*(INDEX(BookQ1,1528)*(5-MIN(4,1+'5. Scenarios'!$B$8))/4+INDEX(BookQ2,1528)*(5-MIN(4,2+'5. Scenarios'!$B$8))/4+INDEX(BookQ3,1528)*(5-MIN(4,3+'5. Scenarios'!$B$8))/4+INDEX(BookQ4,1528)*(5-MIN(4,4+'5. Scenarios'!$B$8))/4)*'5. Scenarios'!$B$6/(1+ProductivityDefault*('5. Scenarios'!$B$11-1))+INDEX(BookOneOff,1528)*$D1533)</f>
        <v/>
      </c>
      <c r="I1533" s="56" t="str">
        <f aca="false">IF(INDEX(BookTitle,1528)="","",INDEX(BookTotal,1528)*'5. Scenarios'!$C$6/(1+ProductivityDefault*('5. Scenarios'!$C$11-1)))</f>
        <v/>
      </c>
      <c r="J1533" s="57" t="str">
        <f aca="false">IF($I1533="","",INDEX(BookRate,1528)*(1+'5. Scenarios'!$C$10)*$I1533)</f>
        <v/>
      </c>
      <c r="K1533" s="57" t="str">
        <f aca="false">IF($J1533="","",SUMIFS($J$6:$J$2405,$A$6:$A$2405,"&lt;="&amp;$A1533))</f>
        <v/>
      </c>
      <c r="L1533" s="57" t="str">
        <f aca="false">IF($J1533="","",IF($K1533&lt;=BankCostEnvelope*'5. Scenarios'!$C$7,1,0))</f>
        <v/>
      </c>
      <c r="M1533" s="57" t="str">
        <f aca="false">IF($I1533="","",INDEX(BookRate,1528)*(1+'5. Scenarios'!$C$10)*(INDEX(BookQ1,1528)*(5-MIN(4,1+'5. Scenarios'!$C$8))/4+INDEX(BookQ2,1528)*(5-MIN(4,2+'5. Scenarios'!$C$8))/4+INDEX(BookQ3,1528)*(5-MIN(4,3+'5. Scenarios'!$C$8))/4+INDEX(BookQ4,1528)*(5-MIN(4,4+'5. Scenarios'!$C$8))/4)*'5. Scenarios'!$C$6/(1+ProductivityDefault*('5. Scenarios'!$C$11-1))+INDEX(BookOneOff,1528)*$I1533)</f>
        <v/>
      </c>
      <c r="N1533" s="56" t="str">
        <f aca="false">IF(INDEX(BookTitle,1528)="","",INDEX(BookTotal,1528)*'5. Scenarios'!$D$6/(1+ProductivityDefault*('5. Scenarios'!$D$11-1)))</f>
        <v/>
      </c>
      <c r="O1533" s="57" t="str">
        <f aca="false">IF($N1533="","",INDEX(BookRate,1528)*(1+'5. Scenarios'!$D$10)*$N1533)</f>
        <v/>
      </c>
      <c r="P1533" s="57" t="str">
        <f aca="false">IF($O1533="","",SUMIFS($O$6:$O$2405,$A$6:$A$2405,"&lt;="&amp;$A1533))</f>
        <v/>
      </c>
      <c r="Q1533" s="57" t="str">
        <f aca="false">IF($O1533="","",IF($P1533&lt;=BankCostEnvelope*'5. Scenarios'!$D$7,1,0))</f>
        <v/>
      </c>
      <c r="R1533" s="57" t="str">
        <f aca="false">IF($N1533="","",INDEX(BookRate,1528)*(1+'5. Scenarios'!$D$10)*(INDEX(BookQ1,1528)*(5-MIN(4,1+'5. Scenarios'!$D$8))/4+INDEX(BookQ2,1528)*(5-MIN(4,2+'5. Scenarios'!$D$8))/4+INDEX(BookQ3,1528)*(5-MIN(4,3+'5. Scenarios'!$D$8))/4+INDEX(BookQ4,1528)*(5-MIN(4,4+'5. Scenarios'!$D$8))/4)*'5. Scenarios'!$D$6/(1+ProductivityDefault*('5. Scenarios'!$D$11-1))+INDEX(BookOneOff,1528)*$N1533)</f>
        <v/>
      </c>
      <c r="S1533" s="56" t="str">
        <f aca="false">IF(INDEX(BookTitle,1528)="","",INDEX(BookTotal,1528)*'5. Scenarios'!$E$6/(1+ProductivityDefault*('5. Scenarios'!$E$11-1)))</f>
        <v/>
      </c>
      <c r="T1533" s="57" t="str">
        <f aca="false">IF($S1533="","",INDEX(BookRate,1528)*(1+'5. Scenarios'!$E$10)*$S1533)</f>
        <v/>
      </c>
      <c r="U1533" s="57" t="str">
        <f aca="false">IF($T1533="","",SUMIFS($T$6:$T$2405,$A$6:$A$2405,"&lt;="&amp;$A1533))</f>
        <v/>
      </c>
      <c r="V1533" s="57" t="str">
        <f aca="false">IF($T1533="","",IF($U1533&lt;=BankCostEnvelope*'5. Scenarios'!$E$7,1,0))</f>
        <v/>
      </c>
      <c r="W1533" s="57" t="str">
        <f aca="false">IF($S1533="","",INDEX(BookRate,1528)*(1+'5. Scenarios'!$E$10)*(INDEX(BookQ1,1528)*(5-MIN(4,1+'5. Scenarios'!$E$8))/4+INDEX(BookQ2,1528)*(5-MIN(4,2+'5. Scenarios'!$E$8))/4+INDEX(BookQ3,1528)*(5-MIN(4,3+'5. Scenarios'!$E$8))/4+INDEX(BookQ4,1528)*(5-MIN(4,4+'5. Scenarios'!$E$8))/4)*'5. Scenarios'!$E$6/(1+ProductivityDefault*('5. Scenarios'!$E$11-1))+INDEX(BookOneOff,1528)*$S1533)</f>
        <v/>
      </c>
    </row>
    <row r="1534" customFormat="false" ht="15" hidden="false" customHeight="false" outlineLevel="0" collapsed="false">
      <c r="A1534" s="0" t="str">
        <f aca="false">IF(INDEX(BookTitle,1529)="","",INDEX(BookKey,1529))</f>
        <v/>
      </c>
      <c r="B1534" s="0" t="str">
        <f aca="false">IF(INDEX(BookTitle,1529)="","",INDEX(BookGroup,1529))</f>
        <v/>
      </c>
      <c r="C1534" s="0" t="str">
        <f aca="false">IF(INDEX(BookTitle,1529)="","",INDEX(BookCategory,1529))</f>
        <v/>
      </c>
      <c r="D1534" s="56" t="str">
        <f aca="false">IF(INDEX(BookTitle,1529)="","",INDEX(BookTotal,1529)*'5. Scenarios'!$B$6/(1+ProductivityDefault*('5. Scenarios'!$B$11-1)))</f>
        <v/>
      </c>
      <c r="E1534" s="57" t="str">
        <f aca="false">IF($D1534="","",INDEX(BookRate,1529)*(1+'5. Scenarios'!$B$10)*$D1534)</f>
        <v/>
      </c>
      <c r="F1534" s="57" t="str">
        <f aca="false">IF($E1534="","",SUMIFS($E$6:$E$2405,$A$6:$A$2405,"&lt;="&amp;$A1534))</f>
        <v/>
      </c>
      <c r="G1534" s="57" t="str">
        <f aca="false">IF($E1534="","",IF($F1534&lt;=BankCostEnvelope*'5. Scenarios'!$B$7,1,0))</f>
        <v/>
      </c>
      <c r="H1534" s="57" t="str">
        <f aca="false">IF($D1534="","",INDEX(BookRate,1529)*(1+'5. Scenarios'!$B$10)*(INDEX(BookQ1,1529)*(5-MIN(4,1+'5. Scenarios'!$B$8))/4+INDEX(BookQ2,1529)*(5-MIN(4,2+'5. Scenarios'!$B$8))/4+INDEX(BookQ3,1529)*(5-MIN(4,3+'5. Scenarios'!$B$8))/4+INDEX(BookQ4,1529)*(5-MIN(4,4+'5. Scenarios'!$B$8))/4)*'5. Scenarios'!$B$6/(1+ProductivityDefault*('5. Scenarios'!$B$11-1))+INDEX(BookOneOff,1529)*$D1534)</f>
        <v/>
      </c>
      <c r="I1534" s="56" t="str">
        <f aca="false">IF(INDEX(BookTitle,1529)="","",INDEX(BookTotal,1529)*'5. Scenarios'!$C$6/(1+ProductivityDefault*('5. Scenarios'!$C$11-1)))</f>
        <v/>
      </c>
      <c r="J1534" s="57" t="str">
        <f aca="false">IF($I1534="","",INDEX(BookRate,1529)*(1+'5. Scenarios'!$C$10)*$I1534)</f>
        <v/>
      </c>
      <c r="K1534" s="57" t="str">
        <f aca="false">IF($J1534="","",SUMIFS($J$6:$J$2405,$A$6:$A$2405,"&lt;="&amp;$A1534))</f>
        <v/>
      </c>
      <c r="L1534" s="57" t="str">
        <f aca="false">IF($J1534="","",IF($K1534&lt;=BankCostEnvelope*'5. Scenarios'!$C$7,1,0))</f>
        <v/>
      </c>
      <c r="M1534" s="57" t="str">
        <f aca="false">IF($I1534="","",INDEX(BookRate,1529)*(1+'5. Scenarios'!$C$10)*(INDEX(BookQ1,1529)*(5-MIN(4,1+'5. Scenarios'!$C$8))/4+INDEX(BookQ2,1529)*(5-MIN(4,2+'5. Scenarios'!$C$8))/4+INDEX(BookQ3,1529)*(5-MIN(4,3+'5. Scenarios'!$C$8))/4+INDEX(BookQ4,1529)*(5-MIN(4,4+'5. Scenarios'!$C$8))/4)*'5. Scenarios'!$C$6/(1+ProductivityDefault*('5. Scenarios'!$C$11-1))+INDEX(BookOneOff,1529)*$I1534)</f>
        <v/>
      </c>
      <c r="N1534" s="56" t="str">
        <f aca="false">IF(INDEX(BookTitle,1529)="","",INDEX(BookTotal,1529)*'5. Scenarios'!$D$6/(1+ProductivityDefault*('5. Scenarios'!$D$11-1)))</f>
        <v/>
      </c>
      <c r="O1534" s="57" t="str">
        <f aca="false">IF($N1534="","",INDEX(BookRate,1529)*(1+'5. Scenarios'!$D$10)*$N1534)</f>
        <v/>
      </c>
      <c r="P1534" s="57" t="str">
        <f aca="false">IF($O1534="","",SUMIFS($O$6:$O$2405,$A$6:$A$2405,"&lt;="&amp;$A1534))</f>
        <v/>
      </c>
      <c r="Q1534" s="57" t="str">
        <f aca="false">IF($O1534="","",IF($P1534&lt;=BankCostEnvelope*'5. Scenarios'!$D$7,1,0))</f>
        <v/>
      </c>
      <c r="R1534" s="57" t="str">
        <f aca="false">IF($N1534="","",INDEX(BookRate,1529)*(1+'5. Scenarios'!$D$10)*(INDEX(BookQ1,1529)*(5-MIN(4,1+'5. Scenarios'!$D$8))/4+INDEX(BookQ2,1529)*(5-MIN(4,2+'5. Scenarios'!$D$8))/4+INDEX(BookQ3,1529)*(5-MIN(4,3+'5. Scenarios'!$D$8))/4+INDEX(BookQ4,1529)*(5-MIN(4,4+'5. Scenarios'!$D$8))/4)*'5. Scenarios'!$D$6/(1+ProductivityDefault*('5. Scenarios'!$D$11-1))+INDEX(BookOneOff,1529)*$N1534)</f>
        <v/>
      </c>
      <c r="S1534" s="56" t="str">
        <f aca="false">IF(INDEX(BookTitle,1529)="","",INDEX(BookTotal,1529)*'5. Scenarios'!$E$6/(1+ProductivityDefault*('5. Scenarios'!$E$11-1)))</f>
        <v/>
      </c>
      <c r="T1534" s="57" t="str">
        <f aca="false">IF($S1534="","",INDEX(BookRate,1529)*(1+'5. Scenarios'!$E$10)*$S1534)</f>
        <v/>
      </c>
      <c r="U1534" s="57" t="str">
        <f aca="false">IF($T1534="","",SUMIFS($T$6:$T$2405,$A$6:$A$2405,"&lt;="&amp;$A1534))</f>
        <v/>
      </c>
      <c r="V1534" s="57" t="str">
        <f aca="false">IF($T1534="","",IF($U1534&lt;=BankCostEnvelope*'5. Scenarios'!$E$7,1,0))</f>
        <v/>
      </c>
      <c r="W1534" s="57" t="str">
        <f aca="false">IF($S1534="","",INDEX(BookRate,1529)*(1+'5. Scenarios'!$E$10)*(INDEX(BookQ1,1529)*(5-MIN(4,1+'5. Scenarios'!$E$8))/4+INDEX(BookQ2,1529)*(5-MIN(4,2+'5. Scenarios'!$E$8))/4+INDEX(BookQ3,1529)*(5-MIN(4,3+'5. Scenarios'!$E$8))/4+INDEX(BookQ4,1529)*(5-MIN(4,4+'5. Scenarios'!$E$8))/4)*'5. Scenarios'!$E$6/(1+ProductivityDefault*('5. Scenarios'!$E$11-1))+INDEX(BookOneOff,1529)*$S1534)</f>
        <v/>
      </c>
    </row>
    <row r="1535" customFormat="false" ht="15" hidden="false" customHeight="false" outlineLevel="0" collapsed="false">
      <c r="A1535" s="0" t="str">
        <f aca="false">IF(INDEX(BookTitle,1530)="","",INDEX(BookKey,1530))</f>
        <v/>
      </c>
      <c r="B1535" s="0" t="str">
        <f aca="false">IF(INDEX(BookTitle,1530)="","",INDEX(BookGroup,1530))</f>
        <v/>
      </c>
      <c r="C1535" s="0" t="str">
        <f aca="false">IF(INDEX(BookTitle,1530)="","",INDEX(BookCategory,1530))</f>
        <v/>
      </c>
      <c r="D1535" s="56" t="str">
        <f aca="false">IF(INDEX(BookTitle,1530)="","",INDEX(BookTotal,1530)*'5. Scenarios'!$B$6/(1+ProductivityDefault*('5. Scenarios'!$B$11-1)))</f>
        <v/>
      </c>
      <c r="E1535" s="57" t="str">
        <f aca="false">IF($D1535="","",INDEX(BookRate,1530)*(1+'5. Scenarios'!$B$10)*$D1535)</f>
        <v/>
      </c>
      <c r="F1535" s="57" t="str">
        <f aca="false">IF($E1535="","",SUMIFS($E$6:$E$2405,$A$6:$A$2405,"&lt;="&amp;$A1535))</f>
        <v/>
      </c>
      <c r="G1535" s="57" t="str">
        <f aca="false">IF($E1535="","",IF($F1535&lt;=BankCostEnvelope*'5. Scenarios'!$B$7,1,0))</f>
        <v/>
      </c>
      <c r="H1535" s="57" t="str">
        <f aca="false">IF($D1535="","",INDEX(BookRate,1530)*(1+'5. Scenarios'!$B$10)*(INDEX(BookQ1,1530)*(5-MIN(4,1+'5. Scenarios'!$B$8))/4+INDEX(BookQ2,1530)*(5-MIN(4,2+'5. Scenarios'!$B$8))/4+INDEX(BookQ3,1530)*(5-MIN(4,3+'5. Scenarios'!$B$8))/4+INDEX(BookQ4,1530)*(5-MIN(4,4+'5. Scenarios'!$B$8))/4)*'5. Scenarios'!$B$6/(1+ProductivityDefault*('5. Scenarios'!$B$11-1))+INDEX(BookOneOff,1530)*$D1535)</f>
        <v/>
      </c>
      <c r="I1535" s="56" t="str">
        <f aca="false">IF(INDEX(BookTitle,1530)="","",INDEX(BookTotal,1530)*'5. Scenarios'!$C$6/(1+ProductivityDefault*('5. Scenarios'!$C$11-1)))</f>
        <v/>
      </c>
      <c r="J1535" s="57" t="str">
        <f aca="false">IF($I1535="","",INDEX(BookRate,1530)*(1+'5. Scenarios'!$C$10)*$I1535)</f>
        <v/>
      </c>
      <c r="K1535" s="57" t="str">
        <f aca="false">IF($J1535="","",SUMIFS($J$6:$J$2405,$A$6:$A$2405,"&lt;="&amp;$A1535))</f>
        <v/>
      </c>
      <c r="L1535" s="57" t="str">
        <f aca="false">IF($J1535="","",IF($K1535&lt;=BankCostEnvelope*'5. Scenarios'!$C$7,1,0))</f>
        <v/>
      </c>
      <c r="M1535" s="57" t="str">
        <f aca="false">IF($I1535="","",INDEX(BookRate,1530)*(1+'5. Scenarios'!$C$10)*(INDEX(BookQ1,1530)*(5-MIN(4,1+'5. Scenarios'!$C$8))/4+INDEX(BookQ2,1530)*(5-MIN(4,2+'5. Scenarios'!$C$8))/4+INDEX(BookQ3,1530)*(5-MIN(4,3+'5. Scenarios'!$C$8))/4+INDEX(BookQ4,1530)*(5-MIN(4,4+'5. Scenarios'!$C$8))/4)*'5. Scenarios'!$C$6/(1+ProductivityDefault*('5. Scenarios'!$C$11-1))+INDEX(BookOneOff,1530)*$I1535)</f>
        <v/>
      </c>
      <c r="N1535" s="56" t="str">
        <f aca="false">IF(INDEX(BookTitle,1530)="","",INDEX(BookTotal,1530)*'5. Scenarios'!$D$6/(1+ProductivityDefault*('5. Scenarios'!$D$11-1)))</f>
        <v/>
      </c>
      <c r="O1535" s="57" t="str">
        <f aca="false">IF($N1535="","",INDEX(BookRate,1530)*(1+'5. Scenarios'!$D$10)*$N1535)</f>
        <v/>
      </c>
      <c r="P1535" s="57" t="str">
        <f aca="false">IF($O1535="","",SUMIFS($O$6:$O$2405,$A$6:$A$2405,"&lt;="&amp;$A1535))</f>
        <v/>
      </c>
      <c r="Q1535" s="57" t="str">
        <f aca="false">IF($O1535="","",IF($P1535&lt;=BankCostEnvelope*'5. Scenarios'!$D$7,1,0))</f>
        <v/>
      </c>
      <c r="R1535" s="57" t="str">
        <f aca="false">IF($N1535="","",INDEX(BookRate,1530)*(1+'5. Scenarios'!$D$10)*(INDEX(BookQ1,1530)*(5-MIN(4,1+'5. Scenarios'!$D$8))/4+INDEX(BookQ2,1530)*(5-MIN(4,2+'5. Scenarios'!$D$8))/4+INDEX(BookQ3,1530)*(5-MIN(4,3+'5. Scenarios'!$D$8))/4+INDEX(BookQ4,1530)*(5-MIN(4,4+'5. Scenarios'!$D$8))/4)*'5. Scenarios'!$D$6/(1+ProductivityDefault*('5. Scenarios'!$D$11-1))+INDEX(BookOneOff,1530)*$N1535)</f>
        <v/>
      </c>
      <c r="S1535" s="56" t="str">
        <f aca="false">IF(INDEX(BookTitle,1530)="","",INDEX(BookTotal,1530)*'5. Scenarios'!$E$6/(1+ProductivityDefault*('5. Scenarios'!$E$11-1)))</f>
        <v/>
      </c>
      <c r="T1535" s="57" t="str">
        <f aca="false">IF($S1535="","",INDEX(BookRate,1530)*(1+'5. Scenarios'!$E$10)*$S1535)</f>
        <v/>
      </c>
      <c r="U1535" s="57" t="str">
        <f aca="false">IF($T1535="","",SUMIFS($T$6:$T$2405,$A$6:$A$2405,"&lt;="&amp;$A1535))</f>
        <v/>
      </c>
      <c r="V1535" s="57" t="str">
        <f aca="false">IF($T1535="","",IF($U1535&lt;=BankCostEnvelope*'5. Scenarios'!$E$7,1,0))</f>
        <v/>
      </c>
      <c r="W1535" s="57" t="str">
        <f aca="false">IF($S1535="","",INDEX(BookRate,1530)*(1+'5. Scenarios'!$E$10)*(INDEX(BookQ1,1530)*(5-MIN(4,1+'5. Scenarios'!$E$8))/4+INDEX(BookQ2,1530)*(5-MIN(4,2+'5. Scenarios'!$E$8))/4+INDEX(BookQ3,1530)*(5-MIN(4,3+'5. Scenarios'!$E$8))/4+INDEX(BookQ4,1530)*(5-MIN(4,4+'5. Scenarios'!$E$8))/4)*'5. Scenarios'!$E$6/(1+ProductivityDefault*('5. Scenarios'!$E$11-1))+INDEX(BookOneOff,1530)*$S1535)</f>
        <v/>
      </c>
    </row>
    <row r="1536" customFormat="false" ht="15" hidden="false" customHeight="false" outlineLevel="0" collapsed="false">
      <c r="A1536" s="0" t="str">
        <f aca="false">IF(INDEX(BookTitle,1531)="","",INDEX(BookKey,1531))</f>
        <v/>
      </c>
      <c r="B1536" s="0" t="str">
        <f aca="false">IF(INDEX(BookTitle,1531)="","",INDEX(BookGroup,1531))</f>
        <v/>
      </c>
      <c r="C1536" s="0" t="str">
        <f aca="false">IF(INDEX(BookTitle,1531)="","",INDEX(BookCategory,1531))</f>
        <v/>
      </c>
      <c r="D1536" s="56" t="str">
        <f aca="false">IF(INDEX(BookTitle,1531)="","",INDEX(BookTotal,1531)*'5. Scenarios'!$B$6/(1+ProductivityDefault*('5. Scenarios'!$B$11-1)))</f>
        <v/>
      </c>
      <c r="E1536" s="57" t="str">
        <f aca="false">IF($D1536="","",INDEX(BookRate,1531)*(1+'5. Scenarios'!$B$10)*$D1536)</f>
        <v/>
      </c>
      <c r="F1536" s="57" t="str">
        <f aca="false">IF($E1536="","",SUMIFS($E$6:$E$2405,$A$6:$A$2405,"&lt;="&amp;$A1536))</f>
        <v/>
      </c>
      <c r="G1536" s="57" t="str">
        <f aca="false">IF($E1536="","",IF($F1536&lt;=BankCostEnvelope*'5. Scenarios'!$B$7,1,0))</f>
        <v/>
      </c>
      <c r="H1536" s="57" t="str">
        <f aca="false">IF($D1536="","",INDEX(BookRate,1531)*(1+'5. Scenarios'!$B$10)*(INDEX(BookQ1,1531)*(5-MIN(4,1+'5. Scenarios'!$B$8))/4+INDEX(BookQ2,1531)*(5-MIN(4,2+'5. Scenarios'!$B$8))/4+INDEX(BookQ3,1531)*(5-MIN(4,3+'5. Scenarios'!$B$8))/4+INDEX(BookQ4,1531)*(5-MIN(4,4+'5. Scenarios'!$B$8))/4)*'5. Scenarios'!$B$6/(1+ProductivityDefault*('5. Scenarios'!$B$11-1))+INDEX(BookOneOff,1531)*$D1536)</f>
        <v/>
      </c>
      <c r="I1536" s="56" t="str">
        <f aca="false">IF(INDEX(BookTitle,1531)="","",INDEX(BookTotal,1531)*'5. Scenarios'!$C$6/(1+ProductivityDefault*('5. Scenarios'!$C$11-1)))</f>
        <v/>
      </c>
      <c r="J1536" s="57" t="str">
        <f aca="false">IF($I1536="","",INDEX(BookRate,1531)*(1+'5. Scenarios'!$C$10)*$I1536)</f>
        <v/>
      </c>
      <c r="K1536" s="57" t="str">
        <f aca="false">IF($J1536="","",SUMIFS($J$6:$J$2405,$A$6:$A$2405,"&lt;="&amp;$A1536))</f>
        <v/>
      </c>
      <c r="L1536" s="57" t="str">
        <f aca="false">IF($J1536="","",IF($K1536&lt;=BankCostEnvelope*'5. Scenarios'!$C$7,1,0))</f>
        <v/>
      </c>
      <c r="M1536" s="57" t="str">
        <f aca="false">IF($I1536="","",INDEX(BookRate,1531)*(1+'5. Scenarios'!$C$10)*(INDEX(BookQ1,1531)*(5-MIN(4,1+'5. Scenarios'!$C$8))/4+INDEX(BookQ2,1531)*(5-MIN(4,2+'5. Scenarios'!$C$8))/4+INDEX(BookQ3,1531)*(5-MIN(4,3+'5. Scenarios'!$C$8))/4+INDEX(BookQ4,1531)*(5-MIN(4,4+'5. Scenarios'!$C$8))/4)*'5. Scenarios'!$C$6/(1+ProductivityDefault*('5. Scenarios'!$C$11-1))+INDEX(BookOneOff,1531)*$I1536)</f>
        <v/>
      </c>
      <c r="N1536" s="56" t="str">
        <f aca="false">IF(INDEX(BookTitle,1531)="","",INDEX(BookTotal,1531)*'5. Scenarios'!$D$6/(1+ProductivityDefault*('5. Scenarios'!$D$11-1)))</f>
        <v/>
      </c>
      <c r="O1536" s="57" t="str">
        <f aca="false">IF($N1536="","",INDEX(BookRate,1531)*(1+'5. Scenarios'!$D$10)*$N1536)</f>
        <v/>
      </c>
      <c r="P1536" s="57" t="str">
        <f aca="false">IF($O1536="","",SUMIFS($O$6:$O$2405,$A$6:$A$2405,"&lt;="&amp;$A1536))</f>
        <v/>
      </c>
      <c r="Q1536" s="57" t="str">
        <f aca="false">IF($O1536="","",IF($P1536&lt;=BankCostEnvelope*'5. Scenarios'!$D$7,1,0))</f>
        <v/>
      </c>
      <c r="R1536" s="57" t="str">
        <f aca="false">IF($N1536="","",INDEX(BookRate,1531)*(1+'5. Scenarios'!$D$10)*(INDEX(BookQ1,1531)*(5-MIN(4,1+'5. Scenarios'!$D$8))/4+INDEX(BookQ2,1531)*(5-MIN(4,2+'5. Scenarios'!$D$8))/4+INDEX(BookQ3,1531)*(5-MIN(4,3+'5. Scenarios'!$D$8))/4+INDEX(BookQ4,1531)*(5-MIN(4,4+'5. Scenarios'!$D$8))/4)*'5. Scenarios'!$D$6/(1+ProductivityDefault*('5. Scenarios'!$D$11-1))+INDEX(BookOneOff,1531)*$N1536)</f>
        <v/>
      </c>
      <c r="S1536" s="56" t="str">
        <f aca="false">IF(INDEX(BookTitle,1531)="","",INDEX(BookTotal,1531)*'5. Scenarios'!$E$6/(1+ProductivityDefault*('5. Scenarios'!$E$11-1)))</f>
        <v/>
      </c>
      <c r="T1536" s="57" t="str">
        <f aca="false">IF($S1536="","",INDEX(BookRate,1531)*(1+'5. Scenarios'!$E$10)*$S1536)</f>
        <v/>
      </c>
      <c r="U1536" s="57" t="str">
        <f aca="false">IF($T1536="","",SUMIFS($T$6:$T$2405,$A$6:$A$2405,"&lt;="&amp;$A1536))</f>
        <v/>
      </c>
      <c r="V1536" s="57" t="str">
        <f aca="false">IF($T1536="","",IF($U1536&lt;=BankCostEnvelope*'5. Scenarios'!$E$7,1,0))</f>
        <v/>
      </c>
      <c r="W1536" s="57" t="str">
        <f aca="false">IF($S1536="","",INDEX(BookRate,1531)*(1+'5. Scenarios'!$E$10)*(INDEX(BookQ1,1531)*(5-MIN(4,1+'5. Scenarios'!$E$8))/4+INDEX(BookQ2,1531)*(5-MIN(4,2+'5. Scenarios'!$E$8))/4+INDEX(BookQ3,1531)*(5-MIN(4,3+'5. Scenarios'!$E$8))/4+INDEX(BookQ4,1531)*(5-MIN(4,4+'5. Scenarios'!$E$8))/4)*'5. Scenarios'!$E$6/(1+ProductivityDefault*('5. Scenarios'!$E$11-1))+INDEX(BookOneOff,1531)*$S1536)</f>
        <v/>
      </c>
    </row>
    <row r="1537" customFormat="false" ht="15" hidden="false" customHeight="false" outlineLevel="0" collapsed="false">
      <c r="A1537" s="0" t="str">
        <f aca="false">IF(INDEX(BookTitle,1532)="","",INDEX(BookKey,1532))</f>
        <v/>
      </c>
      <c r="B1537" s="0" t="str">
        <f aca="false">IF(INDEX(BookTitle,1532)="","",INDEX(BookGroup,1532))</f>
        <v/>
      </c>
      <c r="C1537" s="0" t="str">
        <f aca="false">IF(INDEX(BookTitle,1532)="","",INDEX(BookCategory,1532))</f>
        <v/>
      </c>
      <c r="D1537" s="56" t="str">
        <f aca="false">IF(INDEX(BookTitle,1532)="","",INDEX(BookTotal,1532)*'5. Scenarios'!$B$6/(1+ProductivityDefault*('5. Scenarios'!$B$11-1)))</f>
        <v/>
      </c>
      <c r="E1537" s="57" t="str">
        <f aca="false">IF($D1537="","",INDEX(BookRate,1532)*(1+'5. Scenarios'!$B$10)*$D1537)</f>
        <v/>
      </c>
      <c r="F1537" s="57" t="str">
        <f aca="false">IF($E1537="","",SUMIFS($E$6:$E$2405,$A$6:$A$2405,"&lt;="&amp;$A1537))</f>
        <v/>
      </c>
      <c r="G1537" s="57" t="str">
        <f aca="false">IF($E1537="","",IF($F1537&lt;=BankCostEnvelope*'5. Scenarios'!$B$7,1,0))</f>
        <v/>
      </c>
      <c r="H1537" s="57" t="str">
        <f aca="false">IF($D1537="","",INDEX(BookRate,1532)*(1+'5. Scenarios'!$B$10)*(INDEX(BookQ1,1532)*(5-MIN(4,1+'5. Scenarios'!$B$8))/4+INDEX(BookQ2,1532)*(5-MIN(4,2+'5. Scenarios'!$B$8))/4+INDEX(BookQ3,1532)*(5-MIN(4,3+'5. Scenarios'!$B$8))/4+INDEX(BookQ4,1532)*(5-MIN(4,4+'5. Scenarios'!$B$8))/4)*'5. Scenarios'!$B$6/(1+ProductivityDefault*('5. Scenarios'!$B$11-1))+INDEX(BookOneOff,1532)*$D1537)</f>
        <v/>
      </c>
      <c r="I1537" s="56" t="str">
        <f aca="false">IF(INDEX(BookTitle,1532)="","",INDEX(BookTotal,1532)*'5. Scenarios'!$C$6/(1+ProductivityDefault*('5. Scenarios'!$C$11-1)))</f>
        <v/>
      </c>
      <c r="J1537" s="57" t="str">
        <f aca="false">IF($I1537="","",INDEX(BookRate,1532)*(1+'5. Scenarios'!$C$10)*$I1537)</f>
        <v/>
      </c>
      <c r="K1537" s="57" t="str">
        <f aca="false">IF($J1537="","",SUMIFS($J$6:$J$2405,$A$6:$A$2405,"&lt;="&amp;$A1537))</f>
        <v/>
      </c>
      <c r="L1537" s="57" t="str">
        <f aca="false">IF($J1537="","",IF($K1537&lt;=BankCostEnvelope*'5. Scenarios'!$C$7,1,0))</f>
        <v/>
      </c>
      <c r="M1537" s="57" t="str">
        <f aca="false">IF($I1537="","",INDEX(BookRate,1532)*(1+'5. Scenarios'!$C$10)*(INDEX(BookQ1,1532)*(5-MIN(4,1+'5. Scenarios'!$C$8))/4+INDEX(BookQ2,1532)*(5-MIN(4,2+'5. Scenarios'!$C$8))/4+INDEX(BookQ3,1532)*(5-MIN(4,3+'5. Scenarios'!$C$8))/4+INDEX(BookQ4,1532)*(5-MIN(4,4+'5. Scenarios'!$C$8))/4)*'5. Scenarios'!$C$6/(1+ProductivityDefault*('5. Scenarios'!$C$11-1))+INDEX(BookOneOff,1532)*$I1537)</f>
        <v/>
      </c>
      <c r="N1537" s="56" t="str">
        <f aca="false">IF(INDEX(BookTitle,1532)="","",INDEX(BookTotal,1532)*'5. Scenarios'!$D$6/(1+ProductivityDefault*('5. Scenarios'!$D$11-1)))</f>
        <v/>
      </c>
      <c r="O1537" s="57" t="str">
        <f aca="false">IF($N1537="","",INDEX(BookRate,1532)*(1+'5. Scenarios'!$D$10)*$N1537)</f>
        <v/>
      </c>
      <c r="P1537" s="57" t="str">
        <f aca="false">IF($O1537="","",SUMIFS($O$6:$O$2405,$A$6:$A$2405,"&lt;="&amp;$A1537))</f>
        <v/>
      </c>
      <c r="Q1537" s="57" t="str">
        <f aca="false">IF($O1537="","",IF($P1537&lt;=BankCostEnvelope*'5. Scenarios'!$D$7,1,0))</f>
        <v/>
      </c>
      <c r="R1537" s="57" t="str">
        <f aca="false">IF($N1537="","",INDEX(BookRate,1532)*(1+'5. Scenarios'!$D$10)*(INDEX(BookQ1,1532)*(5-MIN(4,1+'5. Scenarios'!$D$8))/4+INDEX(BookQ2,1532)*(5-MIN(4,2+'5. Scenarios'!$D$8))/4+INDEX(BookQ3,1532)*(5-MIN(4,3+'5. Scenarios'!$D$8))/4+INDEX(BookQ4,1532)*(5-MIN(4,4+'5. Scenarios'!$D$8))/4)*'5. Scenarios'!$D$6/(1+ProductivityDefault*('5. Scenarios'!$D$11-1))+INDEX(BookOneOff,1532)*$N1537)</f>
        <v/>
      </c>
      <c r="S1537" s="56" t="str">
        <f aca="false">IF(INDEX(BookTitle,1532)="","",INDEX(BookTotal,1532)*'5. Scenarios'!$E$6/(1+ProductivityDefault*('5. Scenarios'!$E$11-1)))</f>
        <v/>
      </c>
      <c r="T1537" s="57" t="str">
        <f aca="false">IF($S1537="","",INDEX(BookRate,1532)*(1+'5. Scenarios'!$E$10)*$S1537)</f>
        <v/>
      </c>
      <c r="U1537" s="57" t="str">
        <f aca="false">IF($T1537="","",SUMIFS($T$6:$T$2405,$A$6:$A$2405,"&lt;="&amp;$A1537))</f>
        <v/>
      </c>
      <c r="V1537" s="57" t="str">
        <f aca="false">IF($T1537="","",IF($U1537&lt;=BankCostEnvelope*'5. Scenarios'!$E$7,1,0))</f>
        <v/>
      </c>
      <c r="W1537" s="57" t="str">
        <f aca="false">IF($S1537="","",INDEX(BookRate,1532)*(1+'5. Scenarios'!$E$10)*(INDEX(BookQ1,1532)*(5-MIN(4,1+'5. Scenarios'!$E$8))/4+INDEX(BookQ2,1532)*(5-MIN(4,2+'5. Scenarios'!$E$8))/4+INDEX(BookQ3,1532)*(5-MIN(4,3+'5. Scenarios'!$E$8))/4+INDEX(BookQ4,1532)*(5-MIN(4,4+'5. Scenarios'!$E$8))/4)*'5. Scenarios'!$E$6/(1+ProductivityDefault*('5. Scenarios'!$E$11-1))+INDEX(BookOneOff,1532)*$S1537)</f>
        <v/>
      </c>
    </row>
    <row r="1538" customFormat="false" ht="15" hidden="false" customHeight="false" outlineLevel="0" collapsed="false">
      <c r="A1538" s="0" t="str">
        <f aca="false">IF(INDEX(BookTitle,1533)="","",INDEX(BookKey,1533))</f>
        <v/>
      </c>
      <c r="B1538" s="0" t="str">
        <f aca="false">IF(INDEX(BookTitle,1533)="","",INDEX(BookGroup,1533))</f>
        <v/>
      </c>
      <c r="C1538" s="0" t="str">
        <f aca="false">IF(INDEX(BookTitle,1533)="","",INDEX(BookCategory,1533))</f>
        <v/>
      </c>
      <c r="D1538" s="56" t="str">
        <f aca="false">IF(INDEX(BookTitle,1533)="","",INDEX(BookTotal,1533)*'5. Scenarios'!$B$6/(1+ProductivityDefault*('5. Scenarios'!$B$11-1)))</f>
        <v/>
      </c>
      <c r="E1538" s="57" t="str">
        <f aca="false">IF($D1538="","",INDEX(BookRate,1533)*(1+'5. Scenarios'!$B$10)*$D1538)</f>
        <v/>
      </c>
      <c r="F1538" s="57" t="str">
        <f aca="false">IF($E1538="","",SUMIFS($E$6:$E$2405,$A$6:$A$2405,"&lt;="&amp;$A1538))</f>
        <v/>
      </c>
      <c r="G1538" s="57" t="str">
        <f aca="false">IF($E1538="","",IF($F1538&lt;=BankCostEnvelope*'5. Scenarios'!$B$7,1,0))</f>
        <v/>
      </c>
      <c r="H1538" s="57" t="str">
        <f aca="false">IF($D1538="","",INDEX(BookRate,1533)*(1+'5. Scenarios'!$B$10)*(INDEX(BookQ1,1533)*(5-MIN(4,1+'5. Scenarios'!$B$8))/4+INDEX(BookQ2,1533)*(5-MIN(4,2+'5. Scenarios'!$B$8))/4+INDEX(BookQ3,1533)*(5-MIN(4,3+'5. Scenarios'!$B$8))/4+INDEX(BookQ4,1533)*(5-MIN(4,4+'5. Scenarios'!$B$8))/4)*'5. Scenarios'!$B$6/(1+ProductivityDefault*('5. Scenarios'!$B$11-1))+INDEX(BookOneOff,1533)*$D1538)</f>
        <v/>
      </c>
      <c r="I1538" s="56" t="str">
        <f aca="false">IF(INDEX(BookTitle,1533)="","",INDEX(BookTotal,1533)*'5. Scenarios'!$C$6/(1+ProductivityDefault*('5. Scenarios'!$C$11-1)))</f>
        <v/>
      </c>
      <c r="J1538" s="57" t="str">
        <f aca="false">IF($I1538="","",INDEX(BookRate,1533)*(1+'5. Scenarios'!$C$10)*$I1538)</f>
        <v/>
      </c>
      <c r="K1538" s="57" t="str">
        <f aca="false">IF($J1538="","",SUMIFS($J$6:$J$2405,$A$6:$A$2405,"&lt;="&amp;$A1538))</f>
        <v/>
      </c>
      <c r="L1538" s="57" t="str">
        <f aca="false">IF($J1538="","",IF($K1538&lt;=BankCostEnvelope*'5. Scenarios'!$C$7,1,0))</f>
        <v/>
      </c>
      <c r="M1538" s="57" t="str">
        <f aca="false">IF($I1538="","",INDEX(BookRate,1533)*(1+'5. Scenarios'!$C$10)*(INDEX(BookQ1,1533)*(5-MIN(4,1+'5. Scenarios'!$C$8))/4+INDEX(BookQ2,1533)*(5-MIN(4,2+'5. Scenarios'!$C$8))/4+INDEX(BookQ3,1533)*(5-MIN(4,3+'5. Scenarios'!$C$8))/4+INDEX(BookQ4,1533)*(5-MIN(4,4+'5. Scenarios'!$C$8))/4)*'5. Scenarios'!$C$6/(1+ProductivityDefault*('5. Scenarios'!$C$11-1))+INDEX(BookOneOff,1533)*$I1538)</f>
        <v/>
      </c>
      <c r="N1538" s="56" t="str">
        <f aca="false">IF(INDEX(BookTitle,1533)="","",INDEX(BookTotal,1533)*'5. Scenarios'!$D$6/(1+ProductivityDefault*('5. Scenarios'!$D$11-1)))</f>
        <v/>
      </c>
      <c r="O1538" s="57" t="str">
        <f aca="false">IF($N1538="","",INDEX(BookRate,1533)*(1+'5. Scenarios'!$D$10)*$N1538)</f>
        <v/>
      </c>
      <c r="P1538" s="57" t="str">
        <f aca="false">IF($O1538="","",SUMIFS($O$6:$O$2405,$A$6:$A$2405,"&lt;="&amp;$A1538))</f>
        <v/>
      </c>
      <c r="Q1538" s="57" t="str">
        <f aca="false">IF($O1538="","",IF($P1538&lt;=BankCostEnvelope*'5. Scenarios'!$D$7,1,0))</f>
        <v/>
      </c>
      <c r="R1538" s="57" t="str">
        <f aca="false">IF($N1538="","",INDEX(BookRate,1533)*(1+'5. Scenarios'!$D$10)*(INDEX(BookQ1,1533)*(5-MIN(4,1+'5. Scenarios'!$D$8))/4+INDEX(BookQ2,1533)*(5-MIN(4,2+'5. Scenarios'!$D$8))/4+INDEX(BookQ3,1533)*(5-MIN(4,3+'5. Scenarios'!$D$8))/4+INDEX(BookQ4,1533)*(5-MIN(4,4+'5. Scenarios'!$D$8))/4)*'5. Scenarios'!$D$6/(1+ProductivityDefault*('5. Scenarios'!$D$11-1))+INDEX(BookOneOff,1533)*$N1538)</f>
        <v/>
      </c>
      <c r="S1538" s="56" t="str">
        <f aca="false">IF(INDEX(BookTitle,1533)="","",INDEX(BookTotal,1533)*'5. Scenarios'!$E$6/(1+ProductivityDefault*('5. Scenarios'!$E$11-1)))</f>
        <v/>
      </c>
      <c r="T1538" s="57" t="str">
        <f aca="false">IF($S1538="","",INDEX(BookRate,1533)*(1+'5. Scenarios'!$E$10)*$S1538)</f>
        <v/>
      </c>
      <c r="U1538" s="57" t="str">
        <f aca="false">IF($T1538="","",SUMIFS($T$6:$T$2405,$A$6:$A$2405,"&lt;="&amp;$A1538))</f>
        <v/>
      </c>
      <c r="V1538" s="57" t="str">
        <f aca="false">IF($T1538="","",IF($U1538&lt;=BankCostEnvelope*'5. Scenarios'!$E$7,1,0))</f>
        <v/>
      </c>
      <c r="W1538" s="57" t="str">
        <f aca="false">IF($S1538="","",INDEX(BookRate,1533)*(1+'5. Scenarios'!$E$10)*(INDEX(BookQ1,1533)*(5-MIN(4,1+'5. Scenarios'!$E$8))/4+INDEX(BookQ2,1533)*(5-MIN(4,2+'5. Scenarios'!$E$8))/4+INDEX(BookQ3,1533)*(5-MIN(4,3+'5. Scenarios'!$E$8))/4+INDEX(BookQ4,1533)*(5-MIN(4,4+'5. Scenarios'!$E$8))/4)*'5. Scenarios'!$E$6/(1+ProductivityDefault*('5. Scenarios'!$E$11-1))+INDEX(BookOneOff,1533)*$S1538)</f>
        <v/>
      </c>
    </row>
    <row r="1539" customFormat="false" ht="15" hidden="false" customHeight="false" outlineLevel="0" collapsed="false">
      <c r="A1539" s="0" t="str">
        <f aca="false">IF(INDEX(BookTitle,1534)="","",INDEX(BookKey,1534))</f>
        <v/>
      </c>
      <c r="B1539" s="0" t="str">
        <f aca="false">IF(INDEX(BookTitle,1534)="","",INDEX(BookGroup,1534))</f>
        <v/>
      </c>
      <c r="C1539" s="0" t="str">
        <f aca="false">IF(INDEX(BookTitle,1534)="","",INDEX(BookCategory,1534))</f>
        <v/>
      </c>
      <c r="D1539" s="56" t="str">
        <f aca="false">IF(INDEX(BookTitle,1534)="","",INDEX(BookTotal,1534)*'5. Scenarios'!$B$6/(1+ProductivityDefault*('5. Scenarios'!$B$11-1)))</f>
        <v/>
      </c>
      <c r="E1539" s="57" t="str">
        <f aca="false">IF($D1539="","",INDEX(BookRate,1534)*(1+'5. Scenarios'!$B$10)*$D1539)</f>
        <v/>
      </c>
      <c r="F1539" s="57" t="str">
        <f aca="false">IF($E1539="","",SUMIFS($E$6:$E$2405,$A$6:$A$2405,"&lt;="&amp;$A1539))</f>
        <v/>
      </c>
      <c r="G1539" s="57" t="str">
        <f aca="false">IF($E1539="","",IF($F1539&lt;=BankCostEnvelope*'5. Scenarios'!$B$7,1,0))</f>
        <v/>
      </c>
      <c r="H1539" s="57" t="str">
        <f aca="false">IF($D1539="","",INDEX(BookRate,1534)*(1+'5. Scenarios'!$B$10)*(INDEX(BookQ1,1534)*(5-MIN(4,1+'5. Scenarios'!$B$8))/4+INDEX(BookQ2,1534)*(5-MIN(4,2+'5. Scenarios'!$B$8))/4+INDEX(BookQ3,1534)*(5-MIN(4,3+'5. Scenarios'!$B$8))/4+INDEX(BookQ4,1534)*(5-MIN(4,4+'5. Scenarios'!$B$8))/4)*'5. Scenarios'!$B$6/(1+ProductivityDefault*('5. Scenarios'!$B$11-1))+INDEX(BookOneOff,1534)*$D1539)</f>
        <v/>
      </c>
      <c r="I1539" s="56" t="str">
        <f aca="false">IF(INDEX(BookTitle,1534)="","",INDEX(BookTotal,1534)*'5. Scenarios'!$C$6/(1+ProductivityDefault*('5. Scenarios'!$C$11-1)))</f>
        <v/>
      </c>
      <c r="J1539" s="57" t="str">
        <f aca="false">IF($I1539="","",INDEX(BookRate,1534)*(1+'5. Scenarios'!$C$10)*$I1539)</f>
        <v/>
      </c>
      <c r="K1539" s="57" t="str">
        <f aca="false">IF($J1539="","",SUMIFS($J$6:$J$2405,$A$6:$A$2405,"&lt;="&amp;$A1539))</f>
        <v/>
      </c>
      <c r="L1539" s="57" t="str">
        <f aca="false">IF($J1539="","",IF($K1539&lt;=BankCostEnvelope*'5. Scenarios'!$C$7,1,0))</f>
        <v/>
      </c>
      <c r="M1539" s="57" t="str">
        <f aca="false">IF($I1539="","",INDEX(BookRate,1534)*(1+'5. Scenarios'!$C$10)*(INDEX(BookQ1,1534)*(5-MIN(4,1+'5. Scenarios'!$C$8))/4+INDEX(BookQ2,1534)*(5-MIN(4,2+'5. Scenarios'!$C$8))/4+INDEX(BookQ3,1534)*(5-MIN(4,3+'5. Scenarios'!$C$8))/4+INDEX(BookQ4,1534)*(5-MIN(4,4+'5. Scenarios'!$C$8))/4)*'5. Scenarios'!$C$6/(1+ProductivityDefault*('5. Scenarios'!$C$11-1))+INDEX(BookOneOff,1534)*$I1539)</f>
        <v/>
      </c>
      <c r="N1539" s="56" t="str">
        <f aca="false">IF(INDEX(BookTitle,1534)="","",INDEX(BookTotal,1534)*'5. Scenarios'!$D$6/(1+ProductivityDefault*('5. Scenarios'!$D$11-1)))</f>
        <v/>
      </c>
      <c r="O1539" s="57" t="str">
        <f aca="false">IF($N1539="","",INDEX(BookRate,1534)*(1+'5. Scenarios'!$D$10)*$N1539)</f>
        <v/>
      </c>
      <c r="P1539" s="57" t="str">
        <f aca="false">IF($O1539="","",SUMIFS($O$6:$O$2405,$A$6:$A$2405,"&lt;="&amp;$A1539))</f>
        <v/>
      </c>
      <c r="Q1539" s="57" t="str">
        <f aca="false">IF($O1539="","",IF($P1539&lt;=BankCostEnvelope*'5. Scenarios'!$D$7,1,0))</f>
        <v/>
      </c>
      <c r="R1539" s="57" t="str">
        <f aca="false">IF($N1539="","",INDEX(BookRate,1534)*(1+'5. Scenarios'!$D$10)*(INDEX(BookQ1,1534)*(5-MIN(4,1+'5. Scenarios'!$D$8))/4+INDEX(BookQ2,1534)*(5-MIN(4,2+'5. Scenarios'!$D$8))/4+INDEX(BookQ3,1534)*(5-MIN(4,3+'5. Scenarios'!$D$8))/4+INDEX(BookQ4,1534)*(5-MIN(4,4+'5. Scenarios'!$D$8))/4)*'5. Scenarios'!$D$6/(1+ProductivityDefault*('5. Scenarios'!$D$11-1))+INDEX(BookOneOff,1534)*$N1539)</f>
        <v/>
      </c>
      <c r="S1539" s="56" t="str">
        <f aca="false">IF(INDEX(BookTitle,1534)="","",INDEX(BookTotal,1534)*'5. Scenarios'!$E$6/(1+ProductivityDefault*('5. Scenarios'!$E$11-1)))</f>
        <v/>
      </c>
      <c r="T1539" s="57" t="str">
        <f aca="false">IF($S1539="","",INDEX(BookRate,1534)*(1+'5. Scenarios'!$E$10)*$S1539)</f>
        <v/>
      </c>
      <c r="U1539" s="57" t="str">
        <f aca="false">IF($T1539="","",SUMIFS($T$6:$T$2405,$A$6:$A$2405,"&lt;="&amp;$A1539))</f>
        <v/>
      </c>
      <c r="V1539" s="57" t="str">
        <f aca="false">IF($T1539="","",IF($U1539&lt;=BankCostEnvelope*'5. Scenarios'!$E$7,1,0))</f>
        <v/>
      </c>
      <c r="W1539" s="57" t="str">
        <f aca="false">IF($S1539="","",INDEX(BookRate,1534)*(1+'5. Scenarios'!$E$10)*(INDEX(BookQ1,1534)*(5-MIN(4,1+'5. Scenarios'!$E$8))/4+INDEX(BookQ2,1534)*(5-MIN(4,2+'5. Scenarios'!$E$8))/4+INDEX(BookQ3,1534)*(5-MIN(4,3+'5. Scenarios'!$E$8))/4+INDEX(BookQ4,1534)*(5-MIN(4,4+'5. Scenarios'!$E$8))/4)*'5. Scenarios'!$E$6/(1+ProductivityDefault*('5. Scenarios'!$E$11-1))+INDEX(BookOneOff,1534)*$S1539)</f>
        <v/>
      </c>
    </row>
    <row r="1540" customFormat="false" ht="15" hidden="false" customHeight="false" outlineLevel="0" collapsed="false">
      <c r="A1540" s="0" t="str">
        <f aca="false">IF(INDEX(BookTitle,1535)="","",INDEX(BookKey,1535))</f>
        <v/>
      </c>
      <c r="B1540" s="0" t="str">
        <f aca="false">IF(INDEX(BookTitle,1535)="","",INDEX(BookGroup,1535))</f>
        <v/>
      </c>
      <c r="C1540" s="0" t="str">
        <f aca="false">IF(INDEX(BookTitle,1535)="","",INDEX(BookCategory,1535))</f>
        <v/>
      </c>
      <c r="D1540" s="56" t="str">
        <f aca="false">IF(INDEX(BookTitle,1535)="","",INDEX(BookTotal,1535)*'5. Scenarios'!$B$6/(1+ProductivityDefault*('5. Scenarios'!$B$11-1)))</f>
        <v/>
      </c>
      <c r="E1540" s="57" t="str">
        <f aca="false">IF($D1540="","",INDEX(BookRate,1535)*(1+'5. Scenarios'!$B$10)*$D1540)</f>
        <v/>
      </c>
      <c r="F1540" s="57" t="str">
        <f aca="false">IF($E1540="","",SUMIFS($E$6:$E$2405,$A$6:$A$2405,"&lt;="&amp;$A1540))</f>
        <v/>
      </c>
      <c r="G1540" s="57" t="str">
        <f aca="false">IF($E1540="","",IF($F1540&lt;=BankCostEnvelope*'5. Scenarios'!$B$7,1,0))</f>
        <v/>
      </c>
      <c r="H1540" s="57" t="str">
        <f aca="false">IF($D1540="","",INDEX(BookRate,1535)*(1+'5. Scenarios'!$B$10)*(INDEX(BookQ1,1535)*(5-MIN(4,1+'5. Scenarios'!$B$8))/4+INDEX(BookQ2,1535)*(5-MIN(4,2+'5. Scenarios'!$B$8))/4+INDEX(BookQ3,1535)*(5-MIN(4,3+'5. Scenarios'!$B$8))/4+INDEX(BookQ4,1535)*(5-MIN(4,4+'5. Scenarios'!$B$8))/4)*'5. Scenarios'!$B$6/(1+ProductivityDefault*('5. Scenarios'!$B$11-1))+INDEX(BookOneOff,1535)*$D1540)</f>
        <v/>
      </c>
      <c r="I1540" s="56" t="str">
        <f aca="false">IF(INDEX(BookTitle,1535)="","",INDEX(BookTotal,1535)*'5. Scenarios'!$C$6/(1+ProductivityDefault*('5. Scenarios'!$C$11-1)))</f>
        <v/>
      </c>
      <c r="J1540" s="57" t="str">
        <f aca="false">IF($I1540="","",INDEX(BookRate,1535)*(1+'5. Scenarios'!$C$10)*$I1540)</f>
        <v/>
      </c>
      <c r="K1540" s="57" t="str">
        <f aca="false">IF($J1540="","",SUMIFS($J$6:$J$2405,$A$6:$A$2405,"&lt;="&amp;$A1540))</f>
        <v/>
      </c>
      <c r="L1540" s="57" t="str">
        <f aca="false">IF($J1540="","",IF($K1540&lt;=BankCostEnvelope*'5. Scenarios'!$C$7,1,0))</f>
        <v/>
      </c>
      <c r="M1540" s="57" t="str">
        <f aca="false">IF($I1540="","",INDEX(BookRate,1535)*(1+'5. Scenarios'!$C$10)*(INDEX(BookQ1,1535)*(5-MIN(4,1+'5. Scenarios'!$C$8))/4+INDEX(BookQ2,1535)*(5-MIN(4,2+'5. Scenarios'!$C$8))/4+INDEX(BookQ3,1535)*(5-MIN(4,3+'5. Scenarios'!$C$8))/4+INDEX(BookQ4,1535)*(5-MIN(4,4+'5. Scenarios'!$C$8))/4)*'5. Scenarios'!$C$6/(1+ProductivityDefault*('5. Scenarios'!$C$11-1))+INDEX(BookOneOff,1535)*$I1540)</f>
        <v/>
      </c>
      <c r="N1540" s="56" t="str">
        <f aca="false">IF(INDEX(BookTitle,1535)="","",INDEX(BookTotal,1535)*'5. Scenarios'!$D$6/(1+ProductivityDefault*('5. Scenarios'!$D$11-1)))</f>
        <v/>
      </c>
      <c r="O1540" s="57" t="str">
        <f aca="false">IF($N1540="","",INDEX(BookRate,1535)*(1+'5. Scenarios'!$D$10)*$N1540)</f>
        <v/>
      </c>
      <c r="P1540" s="57" t="str">
        <f aca="false">IF($O1540="","",SUMIFS($O$6:$O$2405,$A$6:$A$2405,"&lt;="&amp;$A1540))</f>
        <v/>
      </c>
      <c r="Q1540" s="57" t="str">
        <f aca="false">IF($O1540="","",IF($P1540&lt;=BankCostEnvelope*'5. Scenarios'!$D$7,1,0))</f>
        <v/>
      </c>
      <c r="R1540" s="57" t="str">
        <f aca="false">IF($N1540="","",INDEX(BookRate,1535)*(1+'5. Scenarios'!$D$10)*(INDEX(BookQ1,1535)*(5-MIN(4,1+'5. Scenarios'!$D$8))/4+INDEX(BookQ2,1535)*(5-MIN(4,2+'5. Scenarios'!$D$8))/4+INDEX(BookQ3,1535)*(5-MIN(4,3+'5. Scenarios'!$D$8))/4+INDEX(BookQ4,1535)*(5-MIN(4,4+'5. Scenarios'!$D$8))/4)*'5. Scenarios'!$D$6/(1+ProductivityDefault*('5. Scenarios'!$D$11-1))+INDEX(BookOneOff,1535)*$N1540)</f>
        <v/>
      </c>
      <c r="S1540" s="56" t="str">
        <f aca="false">IF(INDEX(BookTitle,1535)="","",INDEX(BookTotal,1535)*'5. Scenarios'!$E$6/(1+ProductivityDefault*('5. Scenarios'!$E$11-1)))</f>
        <v/>
      </c>
      <c r="T1540" s="57" t="str">
        <f aca="false">IF($S1540="","",INDEX(BookRate,1535)*(1+'5. Scenarios'!$E$10)*$S1540)</f>
        <v/>
      </c>
      <c r="U1540" s="57" t="str">
        <f aca="false">IF($T1540="","",SUMIFS($T$6:$T$2405,$A$6:$A$2405,"&lt;="&amp;$A1540))</f>
        <v/>
      </c>
      <c r="V1540" s="57" t="str">
        <f aca="false">IF($T1540="","",IF($U1540&lt;=BankCostEnvelope*'5. Scenarios'!$E$7,1,0))</f>
        <v/>
      </c>
      <c r="W1540" s="57" t="str">
        <f aca="false">IF($S1540="","",INDEX(BookRate,1535)*(1+'5. Scenarios'!$E$10)*(INDEX(BookQ1,1535)*(5-MIN(4,1+'5. Scenarios'!$E$8))/4+INDEX(BookQ2,1535)*(5-MIN(4,2+'5. Scenarios'!$E$8))/4+INDEX(BookQ3,1535)*(5-MIN(4,3+'5. Scenarios'!$E$8))/4+INDEX(BookQ4,1535)*(5-MIN(4,4+'5. Scenarios'!$E$8))/4)*'5. Scenarios'!$E$6/(1+ProductivityDefault*('5. Scenarios'!$E$11-1))+INDEX(BookOneOff,1535)*$S1540)</f>
        <v/>
      </c>
    </row>
    <row r="1541" customFormat="false" ht="15" hidden="false" customHeight="false" outlineLevel="0" collapsed="false">
      <c r="A1541" s="0" t="str">
        <f aca="false">IF(INDEX(BookTitle,1536)="","",INDEX(BookKey,1536))</f>
        <v/>
      </c>
      <c r="B1541" s="0" t="str">
        <f aca="false">IF(INDEX(BookTitle,1536)="","",INDEX(BookGroup,1536))</f>
        <v/>
      </c>
      <c r="C1541" s="0" t="str">
        <f aca="false">IF(INDEX(BookTitle,1536)="","",INDEX(BookCategory,1536))</f>
        <v/>
      </c>
      <c r="D1541" s="56" t="str">
        <f aca="false">IF(INDEX(BookTitle,1536)="","",INDEX(BookTotal,1536)*'5. Scenarios'!$B$6/(1+ProductivityDefault*('5. Scenarios'!$B$11-1)))</f>
        <v/>
      </c>
      <c r="E1541" s="57" t="str">
        <f aca="false">IF($D1541="","",INDEX(BookRate,1536)*(1+'5. Scenarios'!$B$10)*$D1541)</f>
        <v/>
      </c>
      <c r="F1541" s="57" t="str">
        <f aca="false">IF($E1541="","",SUMIFS($E$6:$E$2405,$A$6:$A$2405,"&lt;="&amp;$A1541))</f>
        <v/>
      </c>
      <c r="G1541" s="57" t="str">
        <f aca="false">IF($E1541="","",IF($F1541&lt;=BankCostEnvelope*'5. Scenarios'!$B$7,1,0))</f>
        <v/>
      </c>
      <c r="H1541" s="57" t="str">
        <f aca="false">IF($D1541="","",INDEX(BookRate,1536)*(1+'5. Scenarios'!$B$10)*(INDEX(BookQ1,1536)*(5-MIN(4,1+'5. Scenarios'!$B$8))/4+INDEX(BookQ2,1536)*(5-MIN(4,2+'5. Scenarios'!$B$8))/4+INDEX(BookQ3,1536)*(5-MIN(4,3+'5. Scenarios'!$B$8))/4+INDEX(BookQ4,1536)*(5-MIN(4,4+'5. Scenarios'!$B$8))/4)*'5. Scenarios'!$B$6/(1+ProductivityDefault*('5. Scenarios'!$B$11-1))+INDEX(BookOneOff,1536)*$D1541)</f>
        <v/>
      </c>
      <c r="I1541" s="56" t="str">
        <f aca="false">IF(INDEX(BookTitle,1536)="","",INDEX(BookTotal,1536)*'5. Scenarios'!$C$6/(1+ProductivityDefault*('5. Scenarios'!$C$11-1)))</f>
        <v/>
      </c>
      <c r="J1541" s="57" t="str">
        <f aca="false">IF($I1541="","",INDEX(BookRate,1536)*(1+'5. Scenarios'!$C$10)*$I1541)</f>
        <v/>
      </c>
      <c r="K1541" s="57" t="str">
        <f aca="false">IF($J1541="","",SUMIFS($J$6:$J$2405,$A$6:$A$2405,"&lt;="&amp;$A1541))</f>
        <v/>
      </c>
      <c r="L1541" s="57" t="str">
        <f aca="false">IF($J1541="","",IF($K1541&lt;=BankCostEnvelope*'5. Scenarios'!$C$7,1,0))</f>
        <v/>
      </c>
      <c r="M1541" s="57" t="str">
        <f aca="false">IF($I1541="","",INDEX(BookRate,1536)*(1+'5. Scenarios'!$C$10)*(INDEX(BookQ1,1536)*(5-MIN(4,1+'5. Scenarios'!$C$8))/4+INDEX(BookQ2,1536)*(5-MIN(4,2+'5. Scenarios'!$C$8))/4+INDEX(BookQ3,1536)*(5-MIN(4,3+'5. Scenarios'!$C$8))/4+INDEX(BookQ4,1536)*(5-MIN(4,4+'5. Scenarios'!$C$8))/4)*'5. Scenarios'!$C$6/(1+ProductivityDefault*('5. Scenarios'!$C$11-1))+INDEX(BookOneOff,1536)*$I1541)</f>
        <v/>
      </c>
      <c r="N1541" s="56" t="str">
        <f aca="false">IF(INDEX(BookTitle,1536)="","",INDEX(BookTotal,1536)*'5. Scenarios'!$D$6/(1+ProductivityDefault*('5. Scenarios'!$D$11-1)))</f>
        <v/>
      </c>
      <c r="O1541" s="57" t="str">
        <f aca="false">IF($N1541="","",INDEX(BookRate,1536)*(1+'5. Scenarios'!$D$10)*$N1541)</f>
        <v/>
      </c>
      <c r="P1541" s="57" t="str">
        <f aca="false">IF($O1541="","",SUMIFS($O$6:$O$2405,$A$6:$A$2405,"&lt;="&amp;$A1541))</f>
        <v/>
      </c>
      <c r="Q1541" s="57" t="str">
        <f aca="false">IF($O1541="","",IF($P1541&lt;=BankCostEnvelope*'5. Scenarios'!$D$7,1,0))</f>
        <v/>
      </c>
      <c r="R1541" s="57" t="str">
        <f aca="false">IF($N1541="","",INDEX(BookRate,1536)*(1+'5. Scenarios'!$D$10)*(INDEX(BookQ1,1536)*(5-MIN(4,1+'5. Scenarios'!$D$8))/4+INDEX(BookQ2,1536)*(5-MIN(4,2+'5. Scenarios'!$D$8))/4+INDEX(BookQ3,1536)*(5-MIN(4,3+'5. Scenarios'!$D$8))/4+INDEX(BookQ4,1536)*(5-MIN(4,4+'5. Scenarios'!$D$8))/4)*'5. Scenarios'!$D$6/(1+ProductivityDefault*('5. Scenarios'!$D$11-1))+INDEX(BookOneOff,1536)*$N1541)</f>
        <v/>
      </c>
      <c r="S1541" s="56" t="str">
        <f aca="false">IF(INDEX(BookTitle,1536)="","",INDEX(BookTotal,1536)*'5. Scenarios'!$E$6/(1+ProductivityDefault*('5. Scenarios'!$E$11-1)))</f>
        <v/>
      </c>
      <c r="T1541" s="57" t="str">
        <f aca="false">IF($S1541="","",INDEX(BookRate,1536)*(1+'5. Scenarios'!$E$10)*$S1541)</f>
        <v/>
      </c>
      <c r="U1541" s="57" t="str">
        <f aca="false">IF($T1541="","",SUMIFS($T$6:$T$2405,$A$6:$A$2405,"&lt;="&amp;$A1541))</f>
        <v/>
      </c>
      <c r="V1541" s="57" t="str">
        <f aca="false">IF($T1541="","",IF($U1541&lt;=BankCostEnvelope*'5. Scenarios'!$E$7,1,0))</f>
        <v/>
      </c>
      <c r="W1541" s="57" t="str">
        <f aca="false">IF($S1541="","",INDEX(BookRate,1536)*(1+'5. Scenarios'!$E$10)*(INDEX(BookQ1,1536)*(5-MIN(4,1+'5. Scenarios'!$E$8))/4+INDEX(BookQ2,1536)*(5-MIN(4,2+'5. Scenarios'!$E$8))/4+INDEX(BookQ3,1536)*(5-MIN(4,3+'5. Scenarios'!$E$8))/4+INDEX(BookQ4,1536)*(5-MIN(4,4+'5. Scenarios'!$E$8))/4)*'5. Scenarios'!$E$6/(1+ProductivityDefault*('5. Scenarios'!$E$11-1))+INDEX(BookOneOff,1536)*$S1541)</f>
        <v/>
      </c>
    </row>
    <row r="1542" customFormat="false" ht="15" hidden="false" customHeight="false" outlineLevel="0" collapsed="false">
      <c r="A1542" s="0" t="str">
        <f aca="false">IF(INDEX(BookTitle,1537)="","",INDEX(BookKey,1537))</f>
        <v/>
      </c>
      <c r="B1542" s="0" t="str">
        <f aca="false">IF(INDEX(BookTitle,1537)="","",INDEX(BookGroup,1537))</f>
        <v/>
      </c>
      <c r="C1542" s="0" t="str">
        <f aca="false">IF(INDEX(BookTitle,1537)="","",INDEX(BookCategory,1537))</f>
        <v/>
      </c>
      <c r="D1542" s="56" t="str">
        <f aca="false">IF(INDEX(BookTitle,1537)="","",INDEX(BookTotal,1537)*'5. Scenarios'!$B$6/(1+ProductivityDefault*('5. Scenarios'!$B$11-1)))</f>
        <v/>
      </c>
      <c r="E1542" s="57" t="str">
        <f aca="false">IF($D1542="","",INDEX(BookRate,1537)*(1+'5. Scenarios'!$B$10)*$D1542)</f>
        <v/>
      </c>
      <c r="F1542" s="57" t="str">
        <f aca="false">IF($E1542="","",SUMIFS($E$6:$E$2405,$A$6:$A$2405,"&lt;="&amp;$A1542))</f>
        <v/>
      </c>
      <c r="G1542" s="57" t="str">
        <f aca="false">IF($E1542="","",IF($F1542&lt;=BankCostEnvelope*'5. Scenarios'!$B$7,1,0))</f>
        <v/>
      </c>
      <c r="H1542" s="57" t="str">
        <f aca="false">IF($D1542="","",INDEX(BookRate,1537)*(1+'5. Scenarios'!$B$10)*(INDEX(BookQ1,1537)*(5-MIN(4,1+'5. Scenarios'!$B$8))/4+INDEX(BookQ2,1537)*(5-MIN(4,2+'5. Scenarios'!$B$8))/4+INDEX(BookQ3,1537)*(5-MIN(4,3+'5. Scenarios'!$B$8))/4+INDEX(BookQ4,1537)*(5-MIN(4,4+'5. Scenarios'!$B$8))/4)*'5. Scenarios'!$B$6/(1+ProductivityDefault*('5. Scenarios'!$B$11-1))+INDEX(BookOneOff,1537)*$D1542)</f>
        <v/>
      </c>
      <c r="I1542" s="56" t="str">
        <f aca="false">IF(INDEX(BookTitle,1537)="","",INDEX(BookTotal,1537)*'5. Scenarios'!$C$6/(1+ProductivityDefault*('5. Scenarios'!$C$11-1)))</f>
        <v/>
      </c>
      <c r="J1542" s="57" t="str">
        <f aca="false">IF($I1542="","",INDEX(BookRate,1537)*(1+'5. Scenarios'!$C$10)*$I1542)</f>
        <v/>
      </c>
      <c r="K1542" s="57" t="str">
        <f aca="false">IF($J1542="","",SUMIFS($J$6:$J$2405,$A$6:$A$2405,"&lt;="&amp;$A1542))</f>
        <v/>
      </c>
      <c r="L1542" s="57" t="str">
        <f aca="false">IF($J1542="","",IF($K1542&lt;=BankCostEnvelope*'5. Scenarios'!$C$7,1,0))</f>
        <v/>
      </c>
      <c r="M1542" s="57" t="str">
        <f aca="false">IF($I1542="","",INDEX(BookRate,1537)*(1+'5. Scenarios'!$C$10)*(INDEX(BookQ1,1537)*(5-MIN(4,1+'5. Scenarios'!$C$8))/4+INDEX(BookQ2,1537)*(5-MIN(4,2+'5. Scenarios'!$C$8))/4+INDEX(BookQ3,1537)*(5-MIN(4,3+'5. Scenarios'!$C$8))/4+INDEX(BookQ4,1537)*(5-MIN(4,4+'5. Scenarios'!$C$8))/4)*'5. Scenarios'!$C$6/(1+ProductivityDefault*('5. Scenarios'!$C$11-1))+INDEX(BookOneOff,1537)*$I1542)</f>
        <v/>
      </c>
      <c r="N1542" s="56" t="str">
        <f aca="false">IF(INDEX(BookTitle,1537)="","",INDEX(BookTotal,1537)*'5. Scenarios'!$D$6/(1+ProductivityDefault*('5. Scenarios'!$D$11-1)))</f>
        <v/>
      </c>
      <c r="O1542" s="57" t="str">
        <f aca="false">IF($N1542="","",INDEX(BookRate,1537)*(1+'5. Scenarios'!$D$10)*$N1542)</f>
        <v/>
      </c>
      <c r="P1542" s="57" t="str">
        <f aca="false">IF($O1542="","",SUMIFS($O$6:$O$2405,$A$6:$A$2405,"&lt;="&amp;$A1542))</f>
        <v/>
      </c>
      <c r="Q1542" s="57" t="str">
        <f aca="false">IF($O1542="","",IF($P1542&lt;=BankCostEnvelope*'5. Scenarios'!$D$7,1,0))</f>
        <v/>
      </c>
      <c r="R1542" s="57" t="str">
        <f aca="false">IF($N1542="","",INDEX(BookRate,1537)*(1+'5. Scenarios'!$D$10)*(INDEX(BookQ1,1537)*(5-MIN(4,1+'5. Scenarios'!$D$8))/4+INDEX(BookQ2,1537)*(5-MIN(4,2+'5. Scenarios'!$D$8))/4+INDEX(BookQ3,1537)*(5-MIN(4,3+'5. Scenarios'!$D$8))/4+INDEX(BookQ4,1537)*(5-MIN(4,4+'5. Scenarios'!$D$8))/4)*'5. Scenarios'!$D$6/(1+ProductivityDefault*('5. Scenarios'!$D$11-1))+INDEX(BookOneOff,1537)*$N1542)</f>
        <v/>
      </c>
      <c r="S1542" s="56" t="str">
        <f aca="false">IF(INDEX(BookTitle,1537)="","",INDEX(BookTotal,1537)*'5. Scenarios'!$E$6/(1+ProductivityDefault*('5. Scenarios'!$E$11-1)))</f>
        <v/>
      </c>
      <c r="T1542" s="57" t="str">
        <f aca="false">IF($S1542="","",INDEX(BookRate,1537)*(1+'5. Scenarios'!$E$10)*$S1542)</f>
        <v/>
      </c>
      <c r="U1542" s="57" t="str">
        <f aca="false">IF($T1542="","",SUMIFS($T$6:$T$2405,$A$6:$A$2405,"&lt;="&amp;$A1542))</f>
        <v/>
      </c>
      <c r="V1542" s="57" t="str">
        <f aca="false">IF($T1542="","",IF($U1542&lt;=BankCostEnvelope*'5. Scenarios'!$E$7,1,0))</f>
        <v/>
      </c>
      <c r="W1542" s="57" t="str">
        <f aca="false">IF($S1542="","",INDEX(BookRate,1537)*(1+'5. Scenarios'!$E$10)*(INDEX(BookQ1,1537)*(5-MIN(4,1+'5. Scenarios'!$E$8))/4+INDEX(BookQ2,1537)*(5-MIN(4,2+'5. Scenarios'!$E$8))/4+INDEX(BookQ3,1537)*(5-MIN(4,3+'5. Scenarios'!$E$8))/4+INDEX(BookQ4,1537)*(5-MIN(4,4+'5. Scenarios'!$E$8))/4)*'5. Scenarios'!$E$6/(1+ProductivityDefault*('5. Scenarios'!$E$11-1))+INDEX(BookOneOff,1537)*$S1542)</f>
        <v/>
      </c>
    </row>
    <row r="1543" customFormat="false" ht="15" hidden="false" customHeight="false" outlineLevel="0" collapsed="false">
      <c r="A1543" s="0" t="str">
        <f aca="false">IF(INDEX(BookTitle,1538)="","",INDEX(BookKey,1538))</f>
        <v/>
      </c>
      <c r="B1543" s="0" t="str">
        <f aca="false">IF(INDEX(BookTitle,1538)="","",INDEX(BookGroup,1538))</f>
        <v/>
      </c>
      <c r="C1543" s="0" t="str">
        <f aca="false">IF(INDEX(BookTitle,1538)="","",INDEX(BookCategory,1538))</f>
        <v/>
      </c>
      <c r="D1543" s="56" t="str">
        <f aca="false">IF(INDEX(BookTitle,1538)="","",INDEX(BookTotal,1538)*'5. Scenarios'!$B$6/(1+ProductivityDefault*('5. Scenarios'!$B$11-1)))</f>
        <v/>
      </c>
      <c r="E1543" s="57" t="str">
        <f aca="false">IF($D1543="","",INDEX(BookRate,1538)*(1+'5. Scenarios'!$B$10)*$D1543)</f>
        <v/>
      </c>
      <c r="F1543" s="57" t="str">
        <f aca="false">IF($E1543="","",SUMIFS($E$6:$E$2405,$A$6:$A$2405,"&lt;="&amp;$A1543))</f>
        <v/>
      </c>
      <c r="G1543" s="57" t="str">
        <f aca="false">IF($E1543="","",IF($F1543&lt;=BankCostEnvelope*'5. Scenarios'!$B$7,1,0))</f>
        <v/>
      </c>
      <c r="H1543" s="57" t="str">
        <f aca="false">IF($D1543="","",INDEX(BookRate,1538)*(1+'5. Scenarios'!$B$10)*(INDEX(BookQ1,1538)*(5-MIN(4,1+'5. Scenarios'!$B$8))/4+INDEX(BookQ2,1538)*(5-MIN(4,2+'5. Scenarios'!$B$8))/4+INDEX(BookQ3,1538)*(5-MIN(4,3+'5. Scenarios'!$B$8))/4+INDEX(BookQ4,1538)*(5-MIN(4,4+'5. Scenarios'!$B$8))/4)*'5. Scenarios'!$B$6/(1+ProductivityDefault*('5. Scenarios'!$B$11-1))+INDEX(BookOneOff,1538)*$D1543)</f>
        <v/>
      </c>
      <c r="I1543" s="56" t="str">
        <f aca="false">IF(INDEX(BookTitle,1538)="","",INDEX(BookTotal,1538)*'5. Scenarios'!$C$6/(1+ProductivityDefault*('5. Scenarios'!$C$11-1)))</f>
        <v/>
      </c>
      <c r="J1543" s="57" t="str">
        <f aca="false">IF($I1543="","",INDEX(BookRate,1538)*(1+'5. Scenarios'!$C$10)*$I1543)</f>
        <v/>
      </c>
      <c r="K1543" s="57" t="str">
        <f aca="false">IF($J1543="","",SUMIFS($J$6:$J$2405,$A$6:$A$2405,"&lt;="&amp;$A1543))</f>
        <v/>
      </c>
      <c r="L1543" s="57" t="str">
        <f aca="false">IF($J1543="","",IF($K1543&lt;=BankCostEnvelope*'5. Scenarios'!$C$7,1,0))</f>
        <v/>
      </c>
      <c r="M1543" s="57" t="str">
        <f aca="false">IF($I1543="","",INDEX(BookRate,1538)*(1+'5. Scenarios'!$C$10)*(INDEX(BookQ1,1538)*(5-MIN(4,1+'5. Scenarios'!$C$8))/4+INDEX(BookQ2,1538)*(5-MIN(4,2+'5. Scenarios'!$C$8))/4+INDEX(BookQ3,1538)*(5-MIN(4,3+'5. Scenarios'!$C$8))/4+INDEX(BookQ4,1538)*(5-MIN(4,4+'5. Scenarios'!$C$8))/4)*'5. Scenarios'!$C$6/(1+ProductivityDefault*('5. Scenarios'!$C$11-1))+INDEX(BookOneOff,1538)*$I1543)</f>
        <v/>
      </c>
      <c r="N1543" s="56" t="str">
        <f aca="false">IF(INDEX(BookTitle,1538)="","",INDEX(BookTotal,1538)*'5. Scenarios'!$D$6/(1+ProductivityDefault*('5. Scenarios'!$D$11-1)))</f>
        <v/>
      </c>
      <c r="O1543" s="57" t="str">
        <f aca="false">IF($N1543="","",INDEX(BookRate,1538)*(1+'5. Scenarios'!$D$10)*$N1543)</f>
        <v/>
      </c>
      <c r="P1543" s="57" t="str">
        <f aca="false">IF($O1543="","",SUMIFS($O$6:$O$2405,$A$6:$A$2405,"&lt;="&amp;$A1543))</f>
        <v/>
      </c>
      <c r="Q1543" s="57" t="str">
        <f aca="false">IF($O1543="","",IF($P1543&lt;=BankCostEnvelope*'5. Scenarios'!$D$7,1,0))</f>
        <v/>
      </c>
      <c r="R1543" s="57" t="str">
        <f aca="false">IF($N1543="","",INDEX(BookRate,1538)*(1+'5. Scenarios'!$D$10)*(INDEX(BookQ1,1538)*(5-MIN(4,1+'5. Scenarios'!$D$8))/4+INDEX(BookQ2,1538)*(5-MIN(4,2+'5. Scenarios'!$D$8))/4+INDEX(BookQ3,1538)*(5-MIN(4,3+'5. Scenarios'!$D$8))/4+INDEX(BookQ4,1538)*(5-MIN(4,4+'5. Scenarios'!$D$8))/4)*'5. Scenarios'!$D$6/(1+ProductivityDefault*('5. Scenarios'!$D$11-1))+INDEX(BookOneOff,1538)*$N1543)</f>
        <v/>
      </c>
      <c r="S1543" s="56" t="str">
        <f aca="false">IF(INDEX(BookTitle,1538)="","",INDEX(BookTotal,1538)*'5. Scenarios'!$E$6/(1+ProductivityDefault*('5. Scenarios'!$E$11-1)))</f>
        <v/>
      </c>
      <c r="T1543" s="57" t="str">
        <f aca="false">IF($S1543="","",INDEX(BookRate,1538)*(1+'5. Scenarios'!$E$10)*$S1543)</f>
        <v/>
      </c>
      <c r="U1543" s="57" t="str">
        <f aca="false">IF($T1543="","",SUMIFS($T$6:$T$2405,$A$6:$A$2405,"&lt;="&amp;$A1543))</f>
        <v/>
      </c>
      <c r="V1543" s="57" t="str">
        <f aca="false">IF($T1543="","",IF($U1543&lt;=BankCostEnvelope*'5. Scenarios'!$E$7,1,0))</f>
        <v/>
      </c>
      <c r="W1543" s="57" t="str">
        <f aca="false">IF($S1543="","",INDEX(BookRate,1538)*(1+'5. Scenarios'!$E$10)*(INDEX(BookQ1,1538)*(5-MIN(4,1+'5. Scenarios'!$E$8))/4+INDEX(BookQ2,1538)*(5-MIN(4,2+'5. Scenarios'!$E$8))/4+INDEX(BookQ3,1538)*(5-MIN(4,3+'5. Scenarios'!$E$8))/4+INDEX(BookQ4,1538)*(5-MIN(4,4+'5. Scenarios'!$E$8))/4)*'5. Scenarios'!$E$6/(1+ProductivityDefault*('5. Scenarios'!$E$11-1))+INDEX(BookOneOff,1538)*$S1543)</f>
        <v/>
      </c>
    </row>
    <row r="1544" customFormat="false" ht="15" hidden="false" customHeight="false" outlineLevel="0" collapsed="false">
      <c r="A1544" s="0" t="str">
        <f aca="false">IF(INDEX(BookTitle,1539)="","",INDEX(BookKey,1539))</f>
        <v/>
      </c>
      <c r="B1544" s="0" t="str">
        <f aca="false">IF(INDEX(BookTitle,1539)="","",INDEX(BookGroup,1539))</f>
        <v/>
      </c>
      <c r="C1544" s="0" t="str">
        <f aca="false">IF(INDEX(BookTitle,1539)="","",INDEX(BookCategory,1539))</f>
        <v/>
      </c>
      <c r="D1544" s="56" t="str">
        <f aca="false">IF(INDEX(BookTitle,1539)="","",INDEX(BookTotal,1539)*'5. Scenarios'!$B$6/(1+ProductivityDefault*('5. Scenarios'!$B$11-1)))</f>
        <v/>
      </c>
      <c r="E1544" s="57" t="str">
        <f aca="false">IF($D1544="","",INDEX(BookRate,1539)*(1+'5. Scenarios'!$B$10)*$D1544)</f>
        <v/>
      </c>
      <c r="F1544" s="57" t="str">
        <f aca="false">IF($E1544="","",SUMIFS($E$6:$E$2405,$A$6:$A$2405,"&lt;="&amp;$A1544))</f>
        <v/>
      </c>
      <c r="G1544" s="57" t="str">
        <f aca="false">IF($E1544="","",IF($F1544&lt;=BankCostEnvelope*'5. Scenarios'!$B$7,1,0))</f>
        <v/>
      </c>
      <c r="H1544" s="57" t="str">
        <f aca="false">IF($D1544="","",INDEX(BookRate,1539)*(1+'5. Scenarios'!$B$10)*(INDEX(BookQ1,1539)*(5-MIN(4,1+'5. Scenarios'!$B$8))/4+INDEX(BookQ2,1539)*(5-MIN(4,2+'5. Scenarios'!$B$8))/4+INDEX(BookQ3,1539)*(5-MIN(4,3+'5. Scenarios'!$B$8))/4+INDEX(BookQ4,1539)*(5-MIN(4,4+'5. Scenarios'!$B$8))/4)*'5. Scenarios'!$B$6/(1+ProductivityDefault*('5. Scenarios'!$B$11-1))+INDEX(BookOneOff,1539)*$D1544)</f>
        <v/>
      </c>
      <c r="I1544" s="56" t="str">
        <f aca="false">IF(INDEX(BookTitle,1539)="","",INDEX(BookTotal,1539)*'5. Scenarios'!$C$6/(1+ProductivityDefault*('5. Scenarios'!$C$11-1)))</f>
        <v/>
      </c>
      <c r="J1544" s="57" t="str">
        <f aca="false">IF($I1544="","",INDEX(BookRate,1539)*(1+'5. Scenarios'!$C$10)*$I1544)</f>
        <v/>
      </c>
      <c r="K1544" s="57" t="str">
        <f aca="false">IF($J1544="","",SUMIFS($J$6:$J$2405,$A$6:$A$2405,"&lt;="&amp;$A1544))</f>
        <v/>
      </c>
      <c r="L1544" s="57" t="str">
        <f aca="false">IF($J1544="","",IF($K1544&lt;=BankCostEnvelope*'5. Scenarios'!$C$7,1,0))</f>
        <v/>
      </c>
      <c r="M1544" s="57" t="str">
        <f aca="false">IF($I1544="","",INDEX(BookRate,1539)*(1+'5. Scenarios'!$C$10)*(INDEX(BookQ1,1539)*(5-MIN(4,1+'5. Scenarios'!$C$8))/4+INDEX(BookQ2,1539)*(5-MIN(4,2+'5. Scenarios'!$C$8))/4+INDEX(BookQ3,1539)*(5-MIN(4,3+'5. Scenarios'!$C$8))/4+INDEX(BookQ4,1539)*(5-MIN(4,4+'5. Scenarios'!$C$8))/4)*'5. Scenarios'!$C$6/(1+ProductivityDefault*('5. Scenarios'!$C$11-1))+INDEX(BookOneOff,1539)*$I1544)</f>
        <v/>
      </c>
      <c r="N1544" s="56" t="str">
        <f aca="false">IF(INDEX(BookTitle,1539)="","",INDEX(BookTotal,1539)*'5. Scenarios'!$D$6/(1+ProductivityDefault*('5. Scenarios'!$D$11-1)))</f>
        <v/>
      </c>
      <c r="O1544" s="57" t="str">
        <f aca="false">IF($N1544="","",INDEX(BookRate,1539)*(1+'5. Scenarios'!$D$10)*$N1544)</f>
        <v/>
      </c>
      <c r="P1544" s="57" t="str">
        <f aca="false">IF($O1544="","",SUMIFS($O$6:$O$2405,$A$6:$A$2405,"&lt;="&amp;$A1544))</f>
        <v/>
      </c>
      <c r="Q1544" s="57" t="str">
        <f aca="false">IF($O1544="","",IF($P1544&lt;=BankCostEnvelope*'5. Scenarios'!$D$7,1,0))</f>
        <v/>
      </c>
      <c r="R1544" s="57" t="str">
        <f aca="false">IF($N1544="","",INDEX(BookRate,1539)*(1+'5. Scenarios'!$D$10)*(INDEX(BookQ1,1539)*(5-MIN(4,1+'5. Scenarios'!$D$8))/4+INDEX(BookQ2,1539)*(5-MIN(4,2+'5. Scenarios'!$D$8))/4+INDEX(BookQ3,1539)*(5-MIN(4,3+'5. Scenarios'!$D$8))/4+INDEX(BookQ4,1539)*(5-MIN(4,4+'5. Scenarios'!$D$8))/4)*'5. Scenarios'!$D$6/(1+ProductivityDefault*('5. Scenarios'!$D$11-1))+INDEX(BookOneOff,1539)*$N1544)</f>
        <v/>
      </c>
      <c r="S1544" s="56" t="str">
        <f aca="false">IF(INDEX(BookTitle,1539)="","",INDEX(BookTotal,1539)*'5. Scenarios'!$E$6/(1+ProductivityDefault*('5. Scenarios'!$E$11-1)))</f>
        <v/>
      </c>
      <c r="T1544" s="57" t="str">
        <f aca="false">IF($S1544="","",INDEX(BookRate,1539)*(1+'5. Scenarios'!$E$10)*$S1544)</f>
        <v/>
      </c>
      <c r="U1544" s="57" t="str">
        <f aca="false">IF($T1544="","",SUMIFS($T$6:$T$2405,$A$6:$A$2405,"&lt;="&amp;$A1544))</f>
        <v/>
      </c>
      <c r="V1544" s="57" t="str">
        <f aca="false">IF($T1544="","",IF($U1544&lt;=BankCostEnvelope*'5. Scenarios'!$E$7,1,0))</f>
        <v/>
      </c>
      <c r="W1544" s="57" t="str">
        <f aca="false">IF($S1544="","",INDEX(BookRate,1539)*(1+'5. Scenarios'!$E$10)*(INDEX(BookQ1,1539)*(5-MIN(4,1+'5. Scenarios'!$E$8))/4+INDEX(BookQ2,1539)*(5-MIN(4,2+'5. Scenarios'!$E$8))/4+INDEX(BookQ3,1539)*(5-MIN(4,3+'5. Scenarios'!$E$8))/4+INDEX(BookQ4,1539)*(5-MIN(4,4+'5. Scenarios'!$E$8))/4)*'5. Scenarios'!$E$6/(1+ProductivityDefault*('5. Scenarios'!$E$11-1))+INDEX(BookOneOff,1539)*$S1544)</f>
        <v/>
      </c>
    </row>
    <row r="1545" customFormat="false" ht="15" hidden="false" customHeight="false" outlineLevel="0" collapsed="false">
      <c r="A1545" s="0" t="str">
        <f aca="false">IF(INDEX(BookTitle,1540)="","",INDEX(BookKey,1540))</f>
        <v/>
      </c>
      <c r="B1545" s="0" t="str">
        <f aca="false">IF(INDEX(BookTitle,1540)="","",INDEX(BookGroup,1540))</f>
        <v/>
      </c>
      <c r="C1545" s="0" t="str">
        <f aca="false">IF(INDEX(BookTitle,1540)="","",INDEX(BookCategory,1540))</f>
        <v/>
      </c>
      <c r="D1545" s="56" t="str">
        <f aca="false">IF(INDEX(BookTitle,1540)="","",INDEX(BookTotal,1540)*'5. Scenarios'!$B$6/(1+ProductivityDefault*('5. Scenarios'!$B$11-1)))</f>
        <v/>
      </c>
      <c r="E1545" s="57" t="str">
        <f aca="false">IF($D1545="","",INDEX(BookRate,1540)*(1+'5. Scenarios'!$B$10)*$D1545)</f>
        <v/>
      </c>
      <c r="F1545" s="57" t="str">
        <f aca="false">IF($E1545="","",SUMIFS($E$6:$E$2405,$A$6:$A$2405,"&lt;="&amp;$A1545))</f>
        <v/>
      </c>
      <c r="G1545" s="57" t="str">
        <f aca="false">IF($E1545="","",IF($F1545&lt;=BankCostEnvelope*'5. Scenarios'!$B$7,1,0))</f>
        <v/>
      </c>
      <c r="H1545" s="57" t="str">
        <f aca="false">IF($D1545="","",INDEX(BookRate,1540)*(1+'5. Scenarios'!$B$10)*(INDEX(BookQ1,1540)*(5-MIN(4,1+'5. Scenarios'!$B$8))/4+INDEX(BookQ2,1540)*(5-MIN(4,2+'5. Scenarios'!$B$8))/4+INDEX(BookQ3,1540)*(5-MIN(4,3+'5. Scenarios'!$B$8))/4+INDEX(BookQ4,1540)*(5-MIN(4,4+'5. Scenarios'!$B$8))/4)*'5. Scenarios'!$B$6/(1+ProductivityDefault*('5. Scenarios'!$B$11-1))+INDEX(BookOneOff,1540)*$D1545)</f>
        <v/>
      </c>
      <c r="I1545" s="56" t="str">
        <f aca="false">IF(INDEX(BookTitle,1540)="","",INDEX(BookTotal,1540)*'5. Scenarios'!$C$6/(1+ProductivityDefault*('5. Scenarios'!$C$11-1)))</f>
        <v/>
      </c>
      <c r="J1545" s="57" t="str">
        <f aca="false">IF($I1545="","",INDEX(BookRate,1540)*(1+'5. Scenarios'!$C$10)*$I1545)</f>
        <v/>
      </c>
      <c r="K1545" s="57" t="str">
        <f aca="false">IF($J1545="","",SUMIFS($J$6:$J$2405,$A$6:$A$2405,"&lt;="&amp;$A1545))</f>
        <v/>
      </c>
      <c r="L1545" s="57" t="str">
        <f aca="false">IF($J1545="","",IF($K1545&lt;=BankCostEnvelope*'5. Scenarios'!$C$7,1,0))</f>
        <v/>
      </c>
      <c r="M1545" s="57" t="str">
        <f aca="false">IF($I1545="","",INDEX(BookRate,1540)*(1+'5. Scenarios'!$C$10)*(INDEX(BookQ1,1540)*(5-MIN(4,1+'5. Scenarios'!$C$8))/4+INDEX(BookQ2,1540)*(5-MIN(4,2+'5. Scenarios'!$C$8))/4+INDEX(BookQ3,1540)*(5-MIN(4,3+'5. Scenarios'!$C$8))/4+INDEX(BookQ4,1540)*(5-MIN(4,4+'5. Scenarios'!$C$8))/4)*'5. Scenarios'!$C$6/(1+ProductivityDefault*('5. Scenarios'!$C$11-1))+INDEX(BookOneOff,1540)*$I1545)</f>
        <v/>
      </c>
      <c r="N1545" s="56" t="str">
        <f aca="false">IF(INDEX(BookTitle,1540)="","",INDEX(BookTotal,1540)*'5. Scenarios'!$D$6/(1+ProductivityDefault*('5. Scenarios'!$D$11-1)))</f>
        <v/>
      </c>
      <c r="O1545" s="57" t="str">
        <f aca="false">IF($N1545="","",INDEX(BookRate,1540)*(1+'5. Scenarios'!$D$10)*$N1545)</f>
        <v/>
      </c>
      <c r="P1545" s="57" t="str">
        <f aca="false">IF($O1545="","",SUMIFS($O$6:$O$2405,$A$6:$A$2405,"&lt;="&amp;$A1545))</f>
        <v/>
      </c>
      <c r="Q1545" s="57" t="str">
        <f aca="false">IF($O1545="","",IF($P1545&lt;=BankCostEnvelope*'5. Scenarios'!$D$7,1,0))</f>
        <v/>
      </c>
      <c r="R1545" s="57" t="str">
        <f aca="false">IF($N1545="","",INDEX(BookRate,1540)*(1+'5. Scenarios'!$D$10)*(INDEX(BookQ1,1540)*(5-MIN(4,1+'5. Scenarios'!$D$8))/4+INDEX(BookQ2,1540)*(5-MIN(4,2+'5. Scenarios'!$D$8))/4+INDEX(BookQ3,1540)*(5-MIN(4,3+'5. Scenarios'!$D$8))/4+INDEX(BookQ4,1540)*(5-MIN(4,4+'5. Scenarios'!$D$8))/4)*'5. Scenarios'!$D$6/(1+ProductivityDefault*('5. Scenarios'!$D$11-1))+INDEX(BookOneOff,1540)*$N1545)</f>
        <v/>
      </c>
      <c r="S1545" s="56" t="str">
        <f aca="false">IF(INDEX(BookTitle,1540)="","",INDEX(BookTotal,1540)*'5. Scenarios'!$E$6/(1+ProductivityDefault*('5. Scenarios'!$E$11-1)))</f>
        <v/>
      </c>
      <c r="T1545" s="57" t="str">
        <f aca="false">IF($S1545="","",INDEX(BookRate,1540)*(1+'5. Scenarios'!$E$10)*$S1545)</f>
        <v/>
      </c>
      <c r="U1545" s="57" t="str">
        <f aca="false">IF($T1545="","",SUMIFS($T$6:$T$2405,$A$6:$A$2405,"&lt;="&amp;$A1545))</f>
        <v/>
      </c>
      <c r="V1545" s="57" t="str">
        <f aca="false">IF($T1545="","",IF($U1545&lt;=BankCostEnvelope*'5. Scenarios'!$E$7,1,0))</f>
        <v/>
      </c>
      <c r="W1545" s="57" t="str">
        <f aca="false">IF($S1545="","",INDEX(BookRate,1540)*(1+'5. Scenarios'!$E$10)*(INDEX(BookQ1,1540)*(5-MIN(4,1+'5. Scenarios'!$E$8))/4+INDEX(BookQ2,1540)*(5-MIN(4,2+'5. Scenarios'!$E$8))/4+INDEX(BookQ3,1540)*(5-MIN(4,3+'5. Scenarios'!$E$8))/4+INDEX(BookQ4,1540)*(5-MIN(4,4+'5. Scenarios'!$E$8))/4)*'5. Scenarios'!$E$6/(1+ProductivityDefault*('5. Scenarios'!$E$11-1))+INDEX(BookOneOff,1540)*$S1545)</f>
        <v/>
      </c>
    </row>
    <row r="1546" customFormat="false" ht="15" hidden="false" customHeight="false" outlineLevel="0" collapsed="false">
      <c r="A1546" s="0" t="str">
        <f aca="false">IF(INDEX(BookTitle,1541)="","",INDEX(BookKey,1541))</f>
        <v/>
      </c>
      <c r="B1546" s="0" t="str">
        <f aca="false">IF(INDEX(BookTitle,1541)="","",INDEX(BookGroup,1541))</f>
        <v/>
      </c>
      <c r="C1546" s="0" t="str">
        <f aca="false">IF(INDEX(BookTitle,1541)="","",INDEX(BookCategory,1541))</f>
        <v/>
      </c>
      <c r="D1546" s="56" t="str">
        <f aca="false">IF(INDEX(BookTitle,1541)="","",INDEX(BookTotal,1541)*'5. Scenarios'!$B$6/(1+ProductivityDefault*('5. Scenarios'!$B$11-1)))</f>
        <v/>
      </c>
      <c r="E1546" s="57" t="str">
        <f aca="false">IF($D1546="","",INDEX(BookRate,1541)*(1+'5. Scenarios'!$B$10)*$D1546)</f>
        <v/>
      </c>
      <c r="F1546" s="57" t="str">
        <f aca="false">IF($E1546="","",SUMIFS($E$6:$E$2405,$A$6:$A$2405,"&lt;="&amp;$A1546))</f>
        <v/>
      </c>
      <c r="G1546" s="57" t="str">
        <f aca="false">IF($E1546="","",IF($F1546&lt;=BankCostEnvelope*'5. Scenarios'!$B$7,1,0))</f>
        <v/>
      </c>
      <c r="H1546" s="57" t="str">
        <f aca="false">IF($D1546="","",INDEX(BookRate,1541)*(1+'5. Scenarios'!$B$10)*(INDEX(BookQ1,1541)*(5-MIN(4,1+'5. Scenarios'!$B$8))/4+INDEX(BookQ2,1541)*(5-MIN(4,2+'5. Scenarios'!$B$8))/4+INDEX(BookQ3,1541)*(5-MIN(4,3+'5. Scenarios'!$B$8))/4+INDEX(BookQ4,1541)*(5-MIN(4,4+'5. Scenarios'!$B$8))/4)*'5. Scenarios'!$B$6/(1+ProductivityDefault*('5. Scenarios'!$B$11-1))+INDEX(BookOneOff,1541)*$D1546)</f>
        <v/>
      </c>
      <c r="I1546" s="56" t="str">
        <f aca="false">IF(INDEX(BookTitle,1541)="","",INDEX(BookTotal,1541)*'5. Scenarios'!$C$6/(1+ProductivityDefault*('5. Scenarios'!$C$11-1)))</f>
        <v/>
      </c>
      <c r="J1546" s="57" t="str">
        <f aca="false">IF($I1546="","",INDEX(BookRate,1541)*(1+'5. Scenarios'!$C$10)*$I1546)</f>
        <v/>
      </c>
      <c r="K1546" s="57" t="str">
        <f aca="false">IF($J1546="","",SUMIFS($J$6:$J$2405,$A$6:$A$2405,"&lt;="&amp;$A1546))</f>
        <v/>
      </c>
      <c r="L1546" s="57" t="str">
        <f aca="false">IF($J1546="","",IF($K1546&lt;=BankCostEnvelope*'5. Scenarios'!$C$7,1,0))</f>
        <v/>
      </c>
      <c r="M1546" s="57" t="str">
        <f aca="false">IF($I1546="","",INDEX(BookRate,1541)*(1+'5. Scenarios'!$C$10)*(INDEX(BookQ1,1541)*(5-MIN(4,1+'5. Scenarios'!$C$8))/4+INDEX(BookQ2,1541)*(5-MIN(4,2+'5. Scenarios'!$C$8))/4+INDEX(BookQ3,1541)*(5-MIN(4,3+'5. Scenarios'!$C$8))/4+INDEX(BookQ4,1541)*(5-MIN(4,4+'5. Scenarios'!$C$8))/4)*'5. Scenarios'!$C$6/(1+ProductivityDefault*('5. Scenarios'!$C$11-1))+INDEX(BookOneOff,1541)*$I1546)</f>
        <v/>
      </c>
      <c r="N1546" s="56" t="str">
        <f aca="false">IF(INDEX(BookTitle,1541)="","",INDEX(BookTotal,1541)*'5. Scenarios'!$D$6/(1+ProductivityDefault*('5. Scenarios'!$D$11-1)))</f>
        <v/>
      </c>
      <c r="O1546" s="57" t="str">
        <f aca="false">IF($N1546="","",INDEX(BookRate,1541)*(1+'5. Scenarios'!$D$10)*$N1546)</f>
        <v/>
      </c>
      <c r="P1546" s="57" t="str">
        <f aca="false">IF($O1546="","",SUMIFS($O$6:$O$2405,$A$6:$A$2405,"&lt;="&amp;$A1546))</f>
        <v/>
      </c>
      <c r="Q1546" s="57" t="str">
        <f aca="false">IF($O1546="","",IF($P1546&lt;=BankCostEnvelope*'5. Scenarios'!$D$7,1,0))</f>
        <v/>
      </c>
      <c r="R1546" s="57" t="str">
        <f aca="false">IF($N1546="","",INDEX(BookRate,1541)*(1+'5. Scenarios'!$D$10)*(INDEX(BookQ1,1541)*(5-MIN(4,1+'5. Scenarios'!$D$8))/4+INDEX(BookQ2,1541)*(5-MIN(4,2+'5. Scenarios'!$D$8))/4+INDEX(BookQ3,1541)*(5-MIN(4,3+'5. Scenarios'!$D$8))/4+INDEX(BookQ4,1541)*(5-MIN(4,4+'5. Scenarios'!$D$8))/4)*'5. Scenarios'!$D$6/(1+ProductivityDefault*('5. Scenarios'!$D$11-1))+INDEX(BookOneOff,1541)*$N1546)</f>
        <v/>
      </c>
      <c r="S1546" s="56" t="str">
        <f aca="false">IF(INDEX(BookTitle,1541)="","",INDEX(BookTotal,1541)*'5. Scenarios'!$E$6/(1+ProductivityDefault*('5. Scenarios'!$E$11-1)))</f>
        <v/>
      </c>
      <c r="T1546" s="57" t="str">
        <f aca="false">IF($S1546="","",INDEX(BookRate,1541)*(1+'5. Scenarios'!$E$10)*$S1546)</f>
        <v/>
      </c>
      <c r="U1546" s="57" t="str">
        <f aca="false">IF($T1546="","",SUMIFS($T$6:$T$2405,$A$6:$A$2405,"&lt;="&amp;$A1546))</f>
        <v/>
      </c>
      <c r="V1546" s="57" t="str">
        <f aca="false">IF($T1546="","",IF($U1546&lt;=BankCostEnvelope*'5. Scenarios'!$E$7,1,0))</f>
        <v/>
      </c>
      <c r="W1546" s="57" t="str">
        <f aca="false">IF($S1546="","",INDEX(BookRate,1541)*(1+'5. Scenarios'!$E$10)*(INDEX(BookQ1,1541)*(5-MIN(4,1+'5. Scenarios'!$E$8))/4+INDEX(BookQ2,1541)*(5-MIN(4,2+'5. Scenarios'!$E$8))/4+INDEX(BookQ3,1541)*(5-MIN(4,3+'5. Scenarios'!$E$8))/4+INDEX(BookQ4,1541)*(5-MIN(4,4+'5. Scenarios'!$E$8))/4)*'5. Scenarios'!$E$6/(1+ProductivityDefault*('5. Scenarios'!$E$11-1))+INDEX(BookOneOff,1541)*$S1546)</f>
        <v/>
      </c>
    </row>
    <row r="1547" customFormat="false" ht="15" hidden="false" customHeight="false" outlineLevel="0" collapsed="false">
      <c r="A1547" s="0" t="str">
        <f aca="false">IF(INDEX(BookTitle,1542)="","",INDEX(BookKey,1542))</f>
        <v/>
      </c>
      <c r="B1547" s="0" t="str">
        <f aca="false">IF(INDEX(BookTitle,1542)="","",INDEX(BookGroup,1542))</f>
        <v/>
      </c>
      <c r="C1547" s="0" t="str">
        <f aca="false">IF(INDEX(BookTitle,1542)="","",INDEX(BookCategory,1542))</f>
        <v/>
      </c>
      <c r="D1547" s="56" t="str">
        <f aca="false">IF(INDEX(BookTitle,1542)="","",INDEX(BookTotal,1542)*'5. Scenarios'!$B$6/(1+ProductivityDefault*('5. Scenarios'!$B$11-1)))</f>
        <v/>
      </c>
      <c r="E1547" s="57" t="str">
        <f aca="false">IF($D1547="","",INDEX(BookRate,1542)*(1+'5. Scenarios'!$B$10)*$D1547)</f>
        <v/>
      </c>
      <c r="F1547" s="57" t="str">
        <f aca="false">IF($E1547="","",SUMIFS($E$6:$E$2405,$A$6:$A$2405,"&lt;="&amp;$A1547))</f>
        <v/>
      </c>
      <c r="G1547" s="57" t="str">
        <f aca="false">IF($E1547="","",IF($F1547&lt;=BankCostEnvelope*'5. Scenarios'!$B$7,1,0))</f>
        <v/>
      </c>
      <c r="H1547" s="57" t="str">
        <f aca="false">IF($D1547="","",INDEX(BookRate,1542)*(1+'5. Scenarios'!$B$10)*(INDEX(BookQ1,1542)*(5-MIN(4,1+'5. Scenarios'!$B$8))/4+INDEX(BookQ2,1542)*(5-MIN(4,2+'5. Scenarios'!$B$8))/4+INDEX(BookQ3,1542)*(5-MIN(4,3+'5. Scenarios'!$B$8))/4+INDEX(BookQ4,1542)*(5-MIN(4,4+'5. Scenarios'!$B$8))/4)*'5. Scenarios'!$B$6/(1+ProductivityDefault*('5. Scenarios'!$B$11-1))+INDEX(BookOneOff,1542)*$D1547)</f>
        <v/>
      </c>
      <c r="I1547" s="56" t="str">
        <f aca="false">IF(INDEX(BookTitle,1542)="","",INDEX(BookTotal,1542)*'5. Scenarios'!$C$6/(1+ProductivityDefault*('5. Scenarios'!$C$11-1)))</f>
        <v/>
      </c>
      <c r="J1547" s="57" t="str">
        <f aca="false">IF($I1547="","",INDEX(BookRate,1542)*(1+'5. Scenarios'!$C$10)*$I1547)</f>
        <v/>
      </c>
      <c r="K1547" s="57" t="str">
        <f aca="false">IF($J1547="","",SUMIFS($J$6:$J$2405,$A$6:$A$2405,"&lt;="&amp;$A1547))</f>
        <v/>
      </c>
      <c r="L1547" s="57" t="str">
        <f aca="false">IF($J1547="","",IF($K1547&lt;=BankCostEnvelope*'5. Scenarios'!$C$7,1,0))</f>
        <v/>
      </c>
      <c r="M1547" s="57" t="str">
        <f aca="false">IF($I1547="","",INDEX(BookRate,1542)*(1+'5. Scenarios'!$C$10)*(INDEX(BookQ1,1542)*(5-MIN(4,1+'5. Scenarios'!$C$8))/4+INDEX(BookQ2,1542)*(5-MIN(4,2+'5. Scenarios'!$C$8))/4+INDEX(BookQ3,1542)*(5-MIN(4,3+'5. Scenarios'!$C$8))/4+INDEX(BookQ4,1542)*(5-MIN(4,4+'5. Scenarios'!$C$8))/4)*'5. Scenarios'!$C$6/(1+ProductivityDefault*('5. Scenarios'!$C$11-1))+INDEX(BookOneOff,1542)*$I1547)</f>
        <v/>
      </c>
      <c r="N1547" s="56" t="str">
        <f aca="false">IF(INDEX(BookTitle,1542)="","",INDEX(BookTotal,1542)*'5. Scenarios'!$D$6/(1+ProductivityDefault*('5. Scenarios'!$D$11-1)))</f>
        <v/>
      </c>
      <c r="O1547" s="57" t="str">
        <f aca="false">IF($N1547="","",INDEX(BookRate,1542)*(1+'5. Scenarios'!$D$10)*$N1547)</f>
        <v/>
      </c>
      <c r="P1547" s="57" t="str">
        <f aca="false">IF($O1547="","",SUMIFS($O$6:$O$2405,$A$6:$A$2405,"&lt;="&amp;$A1547))</f>
        <v/>
      </c>
      <c r="Q1547" s="57" t="str">
        <f aca="false">IF($O1547="","",IF($P1547&lt;=BankCostEnvelope*'5. Scenarios'!$D$7,1,0))</f>
        <v/>
      </c>
      <c r="R1547" s="57" t="str">
        <f aca="false">IF($N1547="","",INDEX(BookRate,1542)*(1+'5. Scenarios'!$D$10)*(INDEX(BookQ1,1542)*(5-MIN(4,1+'5. Scenarios'!$D$8))/4+INDEX(BookQ2,1542)*(5-MIN(4,2+'5. Scenarios'!$D$8))/4+INDEX(BookQ3,1542)*(5-MIN(4,3+'5. Scenarios'!$D$8))/4+INDEX(BookQ4,1542)*(5-MIN(4,4+'5. Scenarios'!$D$8))/4)*'5. Scenarios'!$D$6/(1+ProductivityDefault*('5. Scenarios'!$D$11-1))+INDEX(BookOneOff,1542)*$N1547)</f>
        <v/>
      </c>
      <c r="S1547" s="56" t="str">
        <f aca="false">IF(INDEX(BookTitle,1542)="","",INDEX(BookTotal,1542)*'5. Scenarios'!$E$6/(1+ProductivityDefault*('5. Scenarios'!$E$11-1)))</f>
        <v/>
      </c>
      <c r="T1547" s="57" t="str">
        <f aca="false">IF($S1547="","",INDEX(BookRate,1542)*(1+'5. Scenarios'!$E$10)*$S1547)</f>
        <v/>
      </c>
      <c r="U1547" s="57" t="str">
        <f aca="false">IF($T1547="","",SUMIFS($T$6:$T$2405,$A$6:$A$2405,"&lt;="&amp;$A1547))</f>
        <v/>
      </c>
      <c r="V1547" s="57" t="str">
        <f aca="false">IF($T1547="","",IF($U1547&lt;=BankCostEnvelope*'5. Scenarios'!$E$7,1,0))</f>
        <v/>
      </c>
      <c r="W1547" s="57" t="str">
        <f aca="false">IF($S1547="","",INDEX(BookRate,1542)*(1+'5. Scenarios'!$E$10)*(INDEX(BookQ1,1542)*(5-MIN(4,1+'5. Scenarios'!$E$8))/4+INDEX(BookQ2,1542)*(5-MIN(4,2+'5. Scenarios'!$E$8))/4+INDEX(BookQ3,1542)*(5-MIN(4,3+'5. Scenarios'!$E$8))/4+INDEX(BookQ4,1542)*(5-MIN(4,4+'5. Scenarios'!$E$8))/4)*'5. Scenarios'!$E$6/(1+ProductivityDefault*('5. Scenarios'!$E$11-1))+INDEX(BookOneOff,1542)*$S1547)</f>
        <v/>
      </c>
    </row>
    <row r="1548" customFormat="false" ht="15" hidden="false" customHeight="false" outlineLevel="0" collapsed="false">
      <c r="A1548" s="0" t="str">
        <f aca="false">IF(INDEX(BookTitle,1543)="","",INDEX(BookKey,1543))</f>
        <v/>
      </c>
      <c r="B1548" s="0" t="str">
        <f aca="false">IF(INDEX(BookTitle,1543)="","",INDEX(BookGroup,1543))</f>
        <v/>
      </c>
      <c r="C1548" s="0" t="str">
        <f aca="false">IF(INDEX(BookTitle,1543)="","",INDEX(BookCategory,1543))</f>
        <v/>
      </c>
      <c r="D1548" s="56" t="str">
        <f aca="false">IF(INDEX(BookTitle,1543)="","",INDEX(BookTotal,1543)*'5. Scenarios'!$B$6/(1+ProductivityDefault*('5. Scenarios'!$B$11-1)))</f>
        <v/>
      </c>
      <c r="E1548" s="57" t="str">
        <f aca="false">IF($D1548="","",INDEX(BookRate,1543)*(1+'5. Scenarios'!$B$10)*$D1548)</f>
        <v/>
      </c>
      <c r="F1548" s="57" t="str">
        <f aca="false">IF($E1548="","",SUMIFS($E$6:$E$2405,$A$6:$A$2405,"&lt;="&amp;$A1548))</f>
        <v/>
      </c>
      <c r="G1548" s="57" t="str">
        <f aca="false">IF($E1548="","",IF($F1548&lt;=BankCostEnvelope*'5. Scenarios'!$B$7,1,0))</f>
        <v/>
      </c>
      <c r="H1548" s="57" t="str">
        <f aca="false">IF($D1548="","",INDEX(BookRate,1543)*(1+'5. Scenarios'!$B$10)*(INDEX(BookQ1,1543)*(5-MIN(4,1+'5. Scenarios'!$B$8))/4+INDEX(BookQ2,1543)*(5-MIN(4,2+'5. Scenarios'!$B$8))/4+INDEX(BookQ3,1543)*(5-MIN(4,3+'5. Scenarios'!$B$8))/4+INDEX(BookQ4,1543)*(5-MIN(4,4+'5. Scenarios'!$B$8))/4)*'5. Scenarios'!$B$6/(1+ProductivityDefault*('5. Scenarios'!$B$11-1))+INDEX(BookOneOff,1543)*$D1548)</f>
        <v/>
      </c>
      <c r="I1548" s="56" t="str">
        <f aca="false">IF(INDEX(BookTitle,1543)="","",INDEX(BookTotal,1543)*'5. Scenarios'!$C$6/(1+ProductivityDefault*('5. Scenarios'!$C$11-1)))</f>
        <v/>
      </c>
      <c r="J1548" s="57" t="str">
        <f aca="false">IF($I1548="","",INDEX(BookRate,1543)*(1+'5. Scenarios'!$C$10)*$I1548)</f>
        <v/>
      </c>
      <c r="K1548" s="57" t="str">
        <f aca="false">IF($J1548="","",SUMIFS($J$6:$J$2405,$A$6:$A$2405,"&lt;="&amp;$A1548))</f>
        <v/>
      </c>
      <c r="L1548" s="57" t="str">
        <f aca="false">IF($J1548="","",IF($K1548&lt;=BankCostEnvelope*'5. Scenarios'!$C$7,1,0))</f>
        <v/>
      </c>
      <c r="M1548" s="57" t="str">
        <f aca="false">IF($I1548="","",INDEX(BookRate,1543)*(1+'5. Scenarios'!$C$10)*(INDEX(BookQ1,1543)*(5-MIN(4,1+'5. Scenarios'!$C$8))/4+INDEX(BookQ2,1543)*(5-MIN(4,2+'5. Scenarios'!$C$8))/4+INDEX(BookQ3,1543)*(5-MIN(4,3+'5. Scenarios'!$C$8))/4+INDEX(BookQ4,1543)*(5-MIN(4,4+'5. Scenarios'!$C$8))/4)*'5. Scenarios'!$C$6/(1+ProductivityDefault*('5. Scenarios'!$C$11-1))+INDEX(BookOneOff,1543)*$I1548)</f>
        <v/>
      </c>
      <c r="N1548" s="56" t="str">
        <f aca="false">IF(INDEX(BookTitle,1543)="","",INDEX(BookTotal,1543)*'5. Scenarios'!$D$6/(1+ProductivityDefault*('5. Scenarios'!$D$11-1)))</f>
        <v/>
      </c>
      <c r="O1548" s="57" t="str">
        <f aca="false">IF($N1548="","",INDEX(BookRate,1543)*(1+'5. Scenarios'!$D$10)*$N1548)</f>
        <v/>
      </c>
      <c r="P1548" s="57" t="str">
        <f aca="false">IF($O1548="","",SUMIFS($O$6:$O$2405,$A$6:$A$2405,"&lt;="&amp;$A1548))</f>
        <v/>
      </c>
      <c r="Q1548" s="57" t="str">
        <f aca="false">IF($O1548="","",IF($P1548&lt;=BankCostEnvelope*'5. Scenarios'!$D$7,1,0))</f>
        <v/>
      </c>
      <c r="R1548" s="57" t="str">
        <f aca="false">IF($N1548="","",INDEX(BookRate,1543)*(1+'5. Scenarios'!$D$10)*(INDEX(BookQ1,1543)*(5-MIN(4,1+'5. Scenarios'!$D$8))/4+INDEX(BookQ2,1543)*(5-MIN(4,2+'5. Scenarios'!$D$8))/4+INDEX(BookQ3,1543)*(5-MIN(4,3+'5. Scenarios'!$D$8))/4+INDEX(BookQ4,1543)*(5-MIN(4,4+'5. Scenarios'!$D$8))/4)*'5. Scenarios'!$D$6/(1+ProductivityDefault*('5. Scenarios'!$D$11-1))+INDEX(BookOneOff,1543)*$N1548)</f>
        <v/>
      </c>
      <c r="S1548" s="56" t="str">
        <f aca="false">IF(INDEX(BookTitle,1543)="","",INDEX(BookTotal,1543)*'5. Scenarios'!$E$6/(1+ProductivityDefault*('5. Scenarios'!$E$11-1)))</f>
        <v/>
      </c>
      <c r="T1548" s="57" t="str">
        <f aca="false">IF($S1548="","",INDEX(BookRate,1543)*(1+'5. Scenarios'!$E$10)*$S1548)</f>
        <v/>
      </c>
      <c r="U1548" s="57" t="str">
        <f aca="false">IF($T1548="","",SUMIFS($T$6:$T$2405,$A$6:$A$2405,"&lt;="&amp;$A1548))</f>
        <v/>
      </c>
      <c r="V1548" s="57" t="str">
        <f aca="false">IF($T1548="","",IF($U1548&lt;=BankCostEnvelope*'5. Scenarios'!$E$7,1,0))</f>
        <v/>
      </c>
      <c r="W1548" s="57" t="str">
        <f aca="false">IF($S1548="","",INDEX(BookRate,1543)*(1+'5. Scenarios'!$E$10)*(INDEX(BookQ1,1543)*(5-MIN(4,1+'5. Scenarios'!$E$8))/4+INDEX(BookQ2,1543)*(5-MIN(4,2+'5. Scenarios'!$E$8))/4+INDEX(BookQ3,1543)*(5-MIN(4,3+'5. Scenarios'!$E$8))/4+INDEX(BookQ4,1543)*(5-MIN(4,4+'5. Scenarios'!$E$8))/4)*'5. Scenarios'!$E$6/(1+ProductivityDefault*('5. Scenarios'!$E$11-1))+INDEX(BookOneOff,1543)*$S1548)</f>
        <v/>
      </c>
    </row>
    <row r="1549" customFormat="false" ht="15" hidden="false" customHeight="false" outlineLevel="0" collapsed="false">
      <c r="A1549" s="0" t="str">
        <f aca="false">IF(INDEX(BookTitle,1544)="","",INDEX(BookKey,1544))</f>
        <v/>
      </c>
      <c r="B1549" s="0" t="str">
        <f aca="false">IF(INDEX(BookTitle,1544)="","",INDEX(BookGroup,1544))</f>
        <v/>
      </c>
      <c r="C1549" s="0" t="str">
        <f aca="false">IF(INDEX(BookTitle,1544)="","",INDEX(BookCategory,1544))</f>
        <v/>
      </c>
      <c r="D1549" s="56" t="str">
        <f aca="false">IF(INDEX(BookTitle,1544)="","",INDEX(BookTotal,1544)*'5. Scenarios'!$B$6/(1+ProductivityDefault*('5. Scenarios'!$B$11-1)))</f>
        <v/>
      </c>
      <c r="E1549" s="57" t="str">
        <f aca="false">IF($D1549="","",INDEX(BookRate,1544)*(1+'5. Scenarios'!$B$10)*$D1549)</f>
        <v/>
      </c>
      <c r="F1549" s="57" t="str">
        <f aca="false">IF($E1549="","",SUMIFS($E$6:$E$2405,$A$6:$A$2405,"&lt;="&amp;$A1549))</f>
        <v/>
      </c>
      <c r="G1549" s="57" t="str">
        <f aca="false">IF($E1549="","",IF($F1549&lt;=BankCostEnvelope*'5. Scenarios'!$B$7,1,0))</f>
        <v/>
      </c>
      <c r="H1549" s="57" t="str">
        <f aca="false">IF($D1549="","",INDEX(BookRate,1544)*(1+'5. Scenarios'!$B$10)*(INDEX(BookQ1,1544)*(5-MIN(4,1+'5. Scenarios'!$B$8))/4+INDEX(BookQ2,1544)*(5-MIN(4,2+'5. Scenarios'!$B$8))/4+INDEX(BookQ3,1544)*(5-MIN(4,3+'5. Scenarios'!$B$8))/4+INDEX(BookQ4,1544)*(5-MIN(4,4+'5. Scenarios'!$B$8))/4)*'5. Scenarios'!$B$6/(1+ProductivityDefault*('5. Scenarios'!$B$11-1))+INDEX(BookOneOff,1544)*$D1549)</f>
        <v/>
      </c>
      <c r="I1549" s="56" t="str">
        <f aca="false">IF(INDEX(BookTitle,1544)="","",INDEX(BookTotal,1544)*'5. Scenarios'!$C$6/(1+ProductivityDefault*('5. Scenarios'!$C$11-1)))</f>
        <v/>
      </c>
      <c r="J1549" s="57" t="str">
        <f aca="false">IF($I1549="","",INDEX(BookRate,1544)*(1+'5. Scenarios'!$C$10)*$I1549)</f>
        <v/>
      </c>
      <c r="K1549" s="57" t="str">
        <f aca="false">IF($J1549="","",SUMIFS($J$6:$J$2405,$A$6:$A$2405,"&lt;="&amp;$A1549))</f>
        <v/>
      </c>
      <c r="L1549" s="57" t="str">
        <f aca="false">IF($J1549="","",IF($K1549&lt;=BankCostEnvelope*'5. Scenarios'!$C$7,1,0))</f>
        <v/>
      </c>
      <c r="M1549" s="57" t="str">
        <f aca="false">IF($I1549="","",INDEX(BookRate,1544)*(1+'5. Scenarios'!$C$10)*(INDEX(BookQ1,1544)*(5-MIN(4,1+'5. Scenarios'!$C$8))/4+INDEX(BookQ2,1544)*(5-MIN(4,2+'5. Scenarios'!$C$8))/4+INDEX(BookQ3,1544)*(5-MIN(4,3+'5. Scenarios'!$C$8))/4+INDEX(BookQ4,1544)*(5-MIN(4,4+'5. Scenarios'!$C$8))/4)*'5. Scenarios'!$C$6/(1+ProductivityDefault*('5. Scenarios'!$C$11-1))+INDEX(BookOneOff,1544)*$I1549)</f>
        <v/>
      </c>
      <c r="N1549" s="56" t="str">
        <f aca="false">IF(INDEX(BookTitle,1544)="","",INDEX(BookTotal,1544)*'5. Scenarios'!$D$6/(1+ProductivityDefault*('5. Scenarios'!$D$11-1)))</f>
        <v/>
      </c>
      <c r="O1549" s="57" t="str">
        <f aca="false">IF($N1549="","",INDEX(BookRate,1544)*(1+'5. Scenarios'!$D$10)*$N1549)</f>
        <v/>
      </c>
      <c r="P1549" s="57" t="str">
        <f aca="false">IF($O1549="","",SUMIFS($O$6:$O$2405,$A$6:$A$2405,"&lt;="&amp;$A1549))</f>
        <v/>
      </c>
      <c r="Q1549" s="57" t="str">
        <f aca="false">IF($O1549="","",IF($P1549&lt;=BankCostEnvelope*'5. Scenarios'!$D$7,1,0))</f>
        <v/>
      </c>
      <c r="R1549" s="57" t="str">
        <f aca="false">IF($N1549="","",INDEX(BookRate,1544)*(1+'5. Scenarios'!$D$10)*(INDEX(BookQ1,1544)*(5-MIN(4,1+'5. Scenarios'!$D$8))/4+INDEX(BookQ2,1544)*(5-MIN(4,2+'5. Scenarios'!$D$8))/4+INDEX(BookQ3,1544)*(5-MIN(4,3+'5. Scenarios'!$D$8))/4+INDEX(BookQ4,1544)*(5-MIN(4,4+'5. Scenarios'!$D$8))/4)*'5. Scenarios'!$D$6/(1+ProductivityDefault*('5. Scenarios'!$D$11-1))+INDEX(BookOneOff,1544)*$N1549)</f>
        <v/>
      </c>
      <c r="S1549" s="56" t="str">
        <f aca="false">IF(INDEX(BookTitle,1544)="","",INDEX(BookTotal,1544)*'5. Scenarios'!$E$6/(1+ProductivityDefault*('5. Scenarios'!$E$11-1)))</f>
        <v/>
      </c>
      <c r="T1549" s="57" t="str">
        <f aca="false">IF($S1549="","",INDEX(BookRate,1544)*(1+'5. Scenarios'!$E$10)*$S1549)</f>
        <v/>
      </c>
      <c r="U1549" s="57" t="str">
        <f aca="false">IF($T1549="","",SUMIFS($T$6:$T$2405,$A$6:$A$2405,"&lt;="&amp;$A1549))</f>
        <v/>
      </c>
      <c r="V1549" s="57" t="str">
        <f aca="false">IF($T1549="","",IF($U1549&lt;=BankCostEnvelope*'5. Scenarios'!$E$7,1,0))</f>
        <v/>
      </c>
      <c r="W1549" s="57" t="str">
        <f aca="false">IF($S1549="","",INDEX(BookRate,1544)*(1+'5. Scenarios'!$E$10)*(INDEX(BookQ1,1544)*(5-MIN(4,1+'5. Scenarios'!$E$8))/4+INDEX(BookQ2,1544)*(5-MIN(4,2+'5. Scenarios'!$E$8))/4+INDEX(BookQ3,1544)*(5-MIN(4,3+'5. Scenarios'!$E$8))/4+INDEX(BookQ4,1544)*(5-MIN(4,4+'5. Scenarios'!$E$8))/4)*'5. Scenarios'!$E$6/(1+ProductivityDefault*('5. Scenarios'!$E$11-1))+INDEX(BookOneOff,1544)*$S1549)</f>
        <v/>
      </c>
    </row>
    <row r="1550" customFormat="false" ht="15" hidden="false" customHeight="false" outlineLevel="0" collapsed="false">
      <c r="A1550" s="0" t="str">
        <f aca="false">IF(INDEX(BookTitle,1545)="","",INDEX(BookKey,1545))</f>
        <v/>
      </c>
      <c r="B1550" s="0" t="str">
        <f aca="false">IF(INDEX(BookTitle,1545)="","",INDEX(BookGroup,1545))</f>
        <v/>
      </c>
      <c r="C1550" s="0" t="str">
        <f aca="false">IF(INDEX(BookTitle,1545)="","",INDEX(BookCategory,1545))</f>
        <v/>
      </c>
      <c r="D1550" s="56" t="str">
        <f aca="false">IF(INDEX(BookTitle,1545)="","",INDEX(BookTotal,1545)*'5. Scenarios'!$B$6/(1+ProductivityDefault*('5. Scenarios'!$B$11-1)))</f>
        <v/>
      </c>
      <c r="E1550" s="57" t="str">
        <f aca="false">IF($D1550="","",INDEX(BookRate,1545)*(1+'5. Scenarios'!$B$10)*$D1550)</f>
        <v/>
      </c>
      <c r="F1550" s="57" t="str">
        <f aca="false">IF($E1550="","",SUMIFS($E$6:$E$2405,$A$6:$A$2405,"&lt;="&amp;$A1550))</f>
        <v/>
      </c>
      <c r="G1550" s="57" t="str">
        <f aca="false">IF($E1550="","",IF($F1550&lt;=BankCostEnvelope*'5. Scenarios'!$B$7,1,0))</f>
        <v/>
      </c>
      <c r="H1550" s="57" t="str">
        <f aca="false">IF($D1550="","",INDEX(BookRate,1545)*(1+'5. Scenarios'!$B$10)*(INDEX(BookQ1,1545)*(5-MIN(4,1+'5. Scenarios'!$B$8))/4+INDEX(BookQ2,1545)*(5-MIN(4,2+'5. Scenarios'!$B$8))/4+INDEX(BookQ3,1545)*(5-MIN(4,3+'5. Scenarios'!$B$8))/4+INDEX(BookQ4,1545)*(5-MIN(4,4+'5. Scenarios'!$B$8))/4)*'5. Scenarios'!$B$6/(1+ProductivityDefault*('5. Scenarios'!$B$11-1))+INDEX(BookOneOff,1545)*$D1550)</f>
        <v/>
      </c>
      <c r="I1550" s="56" t="str">
        <f aca="false">IF(INDEX(BookTitle,1545)="","",INDEX(BookTotal,1545)*'5. Scenarios'!$C$6/(1+ProductivityDefault*('5. Scenarios'!$C$11-1)))</f>
        <v/>
      </c>
      <c r="J1550" s="57" t="str">
        <f aca="false">IF($I1550="","",INDEX(BookRate,1545)*(1+'5. Scenarios'!$C$10)*$I1550)</f>
        <v/>
      </c>
      <c r="K1550" s="57" t="str">
        <f aca="false">IF($J1550="","",SUMIFS($J$6:$J$2405,$A$6:$A$2405,"&lt;="&amp;$A1550))</f>
        <v/>
      </c>
      <c r="L1550" s="57" t="str">
        <f aca="false">IF($J1550="","",IF($K1550&lt;=BankCostEnvelope*'5. Scenarios'!$C$7,1,0))</f>
        <v/>
      </c>
      <c r="M1550" s="57" t="str">
        <f aca="false">IF($I1550="","",INDEX(BookRate,1545)*(1+'5. Scenarios'!$C$10)*(INDEX(BookQ1,1545)*(5-MIN(4,1+'5. Scenarios'!$C$8))/4+INDEX(BookQ2,1545)*(5-MIN(4,2+'5. Scenarios'!$C$8))/4+INDEX(BookQ3,1545)*(5-MIN(4,3+'5. Scenarios'!$C$8))/4+INDEX(BookQ4,1545)*(5-MIN(4,4+'5. Scenarios'!$C$8))/4)*'5. Scenarios'!$C$6/(1+ProductivityDefault*('5. Scenarios'!$C$11-1))+INDEX(BookOneOff,1545)*$I1550)</f>
        <v/>
      </c>
      <c r="N1550" s="56" t="str">
        <f aca="false">IF(INDEX(BookTitle,1545)="","",INDEX(BookTotal,1545)*'5. Scenarios'!$D$6/(1+ProductivityDefault*('5. Scenarios'!$D$11-1)))</f>
        <v/>
      </c>
      <c r="O1550" s="57" t="str">
        <f aca="false">IF($N1550="","",INDEX(BookRate,1545)*(1+'5. Scenarios'!$D$10)*$N1550)</f>
        <v/>
      </c>
      <c r="P1550" s="57" t="str">
        <f aca="false">IF($O1550="","",SUMIFS($O$6:$O$2405,$A$6:$A$2405,"&lt;="&amp;$A1550))</f>
        <v/>
      </c>
      <c r="Q1550" s="57" t="str">
        <f aca="false">IF($O1550="","",IF($P1550&lt;=BankCostEnvelope*'5. Scenarios'!$D$7,1,0))</f>
        <v/>
      </c>
      <c r="R1550" s="57" t="str">
        <f aca="false">IF($N1550="","",INDEX(BookRate,1545)*(1+'5. Scenarios'!$D$10)*(INDEX(BookQ1,1545)*(5-MIN(4,1+'5. Scenarios'!$D$8))/4+INDEX(BookQ2,1545)*(5-MIN(4,2+'5. Scenarios'!$D$8))/4+INDEX(BookQ3,1545)*(5-MIN(4,3+'5. Scenarios'!$D$8))/4+INDEX(BookQ4,1545)*(5-MIN(4,4+'5. Scenarios'!$D$8))/4)*'5. Scenarios'!$D$6/(1+ProductivityDefault*('5. Scenarios'!$D$11-1))+INDEX(BookOneOff,1545)*$N1550)</f>
        <v/>
      </c>
      <c r="S1550" s="56" t="str">
        <f aca="false">IF(INDEX(BookTitle,1545)="","",INDEX(BookTotal,1545)*'5. Scenarios'!$E$6/(1+ProductivityDefault*('5. Scenarios'!$E$11-1)))</f>
        <v/>
      </c>
      <c r="T1550" s="57" t="str">
        <f aca="false">IF($S1550="","",INDEX(BookRate,1545)*(1+'5. Scenarios'!$E$10)*$S1550)</f>
        <v/>
      </c>
      <c r="U1550" s="57" t="str">
        <f aca="false">IF($T1550="","",SUMIFS($T$6:$T$2405,$A$6:$A$2405,"&lt;="&amp;$A1550))</f>
        <v/>
      </c>
      <c r="V1550" s="57" t="str">
        <f aca="false">IF($T1550="","",IF($U1550&lt;=BankCostEnvelope*'5. Scenarios'!$E$7,1,0))</f>
        <v/>
      </c>
      <c r="W1550" s="57" t="str">
        <f aca="false">IF($S1550="","",INDEX(BookRate,1545)*(1+'5. Scenarios'!$E$10)*(INDEX(BookQ1,1545)*(5-MIN(4,1+'5. Scenarios'!$E$8))/4+INDEX(BookQ2,1545)*(5-MIN(4,2+'5. Scenarios'!$E$8))/4+INDEX(BookQ3,1545)*(5-MIN(4,3+'5. Scenarios'!$E$8))/4+INDEX(BookQ4,1545)*(5-MIN(4,4+'5. Scenarios'!$E$8))/4)*'5. Scenarios'!$E$6/(1+ProductivityDefault*('5. Scenarios'!$E$11-1))+INDEX(BookOneOff,1545)*$S1550)</f>
        <v/>
      </c>
    </row>
    <row r="1551" customFormat="false" ht="15" hidden="false" customHeight="false" outlineLevel="0" collapsed="false">
      <c r="A1551" s="0" t="str">
        <f aca="false">IF(INDEX(BookTitle,1546)="","",INDEX(BookKey,1546))</f>
        <v/>
      </c>
      <c r="B1551" s="0" t="str">
        <f aca="false">IF(INDEX(BookTitle,1546)="","",INDEX(BookGroup,1546))</f>
        <v/>
      </c>
      <c r="C1551" s="0" t="str">
        <f aca="false">IF(INDEX(BookTitle,1546)="","",INDEX(BookCategory,1546))</f>
        <v/>
      </c>
      <c r="D1551" s="56" t="str">
        <f aca="false">IF(INDEX(BookTitle,1546)="","",INDEX(BookTotal,1546)*'5. Scenarios'!$B$6/(1+ProductivityDefault*('5. Scenarios'!$B$11-1)))</f>
        <v/>
      </c>
      <c r="E1551" s="57" t="str">
        <f aca="false">IF($D1551="","",INDEX(BookRate,1546)*(1+'5. Scenarios'!$B$10)*$D1551)</f>
        <v/>
      </c>
      <c r="F1551" s="57" t="str">
        <f aca="false">IF($E1551="","",SUMIFS($E$6:$E$2405,$A$6:$A$2405,"&lt;="&amp;$A1551))</f>
        <v/>
      </c>
      <c r="G1551" s="57" t="str">
        <f aca="false">IF($E1551="","",IF($F1551&lt;=BankCostEnvelope*'5. Scenarios'!$B$7,1,0))</f>
        <v/>
      </c>
      <c r="H1551" s="57" t="str">
        <f aca="false">IF($D1551="","",INDEX(BookRate,1546)*(1+'5. Scenarios'!$B$10)*(INDEX(BookQ1,1546)*(5-MIN(4,1+'5. Scenarios'!$B$8))/4+INDEX(BookQ2,1546)*(5-MIN(4,2+'5. Scenarios'!$B$8))/4+INDEX(BookQ3,1546)*(5-MIN(4,3+'5. Scenarios'!$B$8))/4+INDEX(BookQ4,1546)*(5-MIN(4,4+'5. Scenarios'!$B$8))/4)*'5. Scenarios'!$B$6/(1+ProductivityDefault*('5. Scenarios'!$B$11-1))+INDEX(BookOneOff,1546)*$D1551)</f>
        <v/>
      </c>
      <c r="I1551" s="56" t="str">
        <f aca="false">IF(INDEX(BookTitle,1546)="","",INDEX(BookTotal,1546)*'5. Scenarios'!$C$6/(1+ProductivityDefault*('5. Scenarios'!$C$11-1)))</f>
        <v/>
      </c>
      <c r="J1551" s="57" t="str">
        <f aca="false">IF($I1551="","",INDEX(BookRate,1546)*(1+'5. Scenarios'!$C$10)*$I1551)</f>
        <v/>
      </c>
      <c r="K1551" s="57" t="str">
        <f aca="false">IF($J1551="","",SUMIFS($J$6:$J$2405,$A$6:$A$2405,"&lt;="&amp;$A1551))</f>
        <v/>
      </c>
      <c r="L1551" s="57" t="str">
        <f aca="false">IF($J1551="","",IF($K1551&lt;=BankCostEnvelope*'5. Scenarios'!$C$7,1,0))</f>
        <v/>
      </c>
      <c r="M1551" s="57" t="str">
        <f aca="false">IF($I1551="","",INDEX(BookRate,1546)*(1+'5. Scenarios'!$C$10)*(INDEX(BookQ1,1546)*(5-MIN(4,1+'5. Scenarios'!$C$8))/4+INDEX(BookQ2,1546)*(5-MIN(4,2+'5. Scenarios'!$C$8))/4+INDEX(BookQ3,1546)*(5-MIN(4,3+'5. Scenarios'!$C$8))/4+INDEX(BookQ4,1546)*(5-MIN(4,4+'5. Scenarios'!$C$8))/4)*'5. Scenarios'!$C$6/(1+ProductivityDefault*('5. Scenarios'!$C$11-1))+INDEX(BookOneOff,1546)*$I1551)</f>
        <v/>
      </c>
      <c r="N1551" s="56" t="str">
        <f aca="false">IF(INDEX(BookTitle,1546)="","",INDEX(BookTotal,1546)*'5. Scenarios'!$D$6/(1+ProductivityDefault*('5. Scenarios'!$D$11-1)))</f>
        <v/>
      </c>
      <c r="O1551" s="57" t="str">
        <f aca="false">IF($N1551="","",INDEX(BookRate,1546)*(1+'5. Scenarios'!$D$10)*$N1551)</f>
        <v/>
      </c>
      <c r="P1551" s="57" t="str">
        <f aca="false">IF($O1551="","",SUMIFS($O$6:$O$2405,$A$6:$A$2405,"&lt;="&amp;$A1551))</f>
        <v/>
      </c>
      <c r="Q1551" s="57" t="str">
        <f aca="false">IF($O1551="","",IF($P1551&lt;=BankCostEnvelope*'5. Scenarios'!$D$7,1,0))</f>
        <v/>
      </c>
      <c r="R1551" s="57" t="str">
        <f aca="false">IF($N1551="","",INDEX(BookRate,1546)*(1+'5. Scenarios'!$D$10)*(INDEX(BookQ1,1546)*(5-MIN(4,1+'5. Scenarios'!$D$8))/4+INDEX(BookQ2,1546)*(5-MIN(4,2+'5. Scenarios'!$D$8))/4+INDEX(BookQ3,1546)*(5-MIN(4,3+'5. Scenarios'!$D$8))/4+INDEX(BookQ4,1546)*(5-MIN(4,4+'5. Scenarios'!$D$8))/4)*'5. Scenarios'!$D$6/(1+ProductivityDefault*('5. Scenarios'!$D$11-1))+INDEX(BookOneOff,1546)*$N1551)</f>
        <v/>
      </c>
      <c r="S1551" s="56" t="str">
        <f aca="false">IF(INDEX(BookTitle,1546)="","",INDEX(BookTotal,1546)*'5. Scenarios'!$E$6/(1+ProductivityDefault*('5. Scenarios'!$E$11-1)))</f>
        <v/>
      </c>
      <c r="T1551" s="57" t="str">
        <f aca="false">IF($S1551="","",INDEX(BookRate,1546)*(1+'5. Scenarios'!$E$10)*$S1551)</f>
        <v/>
      </c>
      <c r="U1551" s="57" t="str">
        <f aca="false">IF($T1551="","",SUMIFS($T$6:$T$2405,$A$6:$A$2405,"&lt;="&amp;$A1551))</f>
        <v/>
      </c>
      <c r="V1551" s="57" t="str">
        <f aca="false">IF($T1551="","",IF($U1551&lt;=BankCostEnvelope*'5. Scenarios'!$E$7,1,0))</f>
        <v/>
      </c>
      <c r="W1551" s="57" t="str">
        <f aca="false">IF($S1551="","",INDEX(BookRate,1546)*(1+'5. Scenarios'!$E$10)*(INDEX(BookQ1,1546)*(5-MIN(4,1+'5. Scenarios'!$E$8))/4+INDEX(BookQ2,1546)*(5-MIN(4,2+'5. Scenarios'!$E$8))/4+INDEX(BookQ3,1546)*(5-MIN(4,3+'5. Scenarios'!$E$8))/4+INDEX(BookQ4,1546)*(5-MIN(4,4+'5. Scenarios'!$E$8))/4)*'5. Scenarios'!$E$6/(1+ProductivityDefault*('5. Scenarios'!$E$11-1))+INDEX(BookOneOff,1546)*$S1551)</f>
        <v/>
      </c>
    </row>
    <row r="1552" customFormat="false" ht="15" hidden="false" customHeight="false" outlineLevel="0" collapsed="false">
      <c r="A1552" s="0" t="str">
        <f aca="false">IF(INDEX(BookTitle,1547)="","",INDEX(BookKey,1547))</f>
        <v/>
      </c>
      <c r="B1552" s="0" t="str">
        <f aca="false">IF(INDEX(BookTitle,1547)="","",INDEX(BookGroup,1547))</f>
        <v/>
      </c>
      <c r="C1552" s="0" t="str">
        <f aca="false">IF(INDEX(BookTitle,1547)="","",INDEX(BookCategory,1547))</f>
        <v/>
      </c>
      <c r="D1552" s="56" t="str">
        <f aca="false">IF(INDEX(BookTitle,1547)="","",INDEX(BookTotal,1547)*'5. Scenarios'!$B$6/(1+ProductivityDefault*('5. Scenarios'!$B$11-1)))</f>
        <v/>
      </c>
      <c r="E1552" s="57" t="str">
        <f aca="false">IF($D1552="","",INDEX(BookRate,1547)*(1+'5. Scenarios'!$B$10)*$D1552)</f>
        <v/>
      </c>
      <c r="F1552" s="57" t="str">
        <f aca="false">IF($E1552="","",SUMIFS($E$6:$E$2405,$A$6:$A$2405,"&lt;="&amp;$A1552))</f>
        <v/>
      </c>
      <c r="G1552" s="57" t="str">
        <f aca="false">IF($E1552="","",IF($F1552&lt;=BankCostEnvelope*'5. Scenarios'!$B$7,1,0))</f>
        <v/>
      </c>
      <c r="H1552" s="57" t="str">
        <f aca="false">IF($D1552="","",INDEX(BookRate,1547)*(1+'5. Scenarios'!$B$10)*(INDEX(BookQ1,1547)*(5-MIN(4,1+'5. Scenarios'!$B$8))/4+INDEX(BookQ2,1547)*(5-MIN(4,2+'5. Scenarios'!$B$8))/4+INDEX(BookQ3,1547)*(5-MIN(4,3+'5. Scenarios'!$B$8))/4+INDEX(BookQ4,1547)*(5-MIN(4,4+'5. Scenarios'!$B$8))/4)*'5. Scenarios'!$B$6/(1+ProductivityDefault*('5. Scenarios'!$B$11-1))+INDEX(BookOneOff,1547)*$D1552)</f>
        <v/>
      </c>
      <c r="I1552" s="56" t="str">
        <f aca="false">IF(INDEX(BookTitle,1547)="","",INDEX(BookTotal,1547)*'5. Scenarios'!$C$6/(1+ProductivityDefault*('5. Scenarios'!$C$11-1)))</f>
        <v/>
      </c>
      <c r="J1552" s="57" t="str">
        <f aca="false">IF($I1552="","",INDEX(BookRate,1547)*(1+'5. Scenarios'!$C$10)*$I1552)</f>
        <v/>
      </c>
      <c r="K1552" s="57" t="str">
        <f aca="false">IF($J1552="","",SUMIFS($J$6:$J$2405,$A$6:$A$2405,"&lt;="&amp;$A1552))</f>
        <v/>
      </c>
      <c r="L1552" s="57" t="str">
        <f aca="false">IF($J1552="","",IF($K1552&lt;=BankCostEnvelope*'5. Scenarios'!$C$7,1,0))</f>
        <v/>
      </c>
      <c r="M1552" s="57" t="str">
        <f aca="false">IF($I1552="","",INDEX(BookRate,1547)*(1+'5. Scenarios'!$C$10)*(INDEX(BookQ1,1547)*(5-MIN(4,1+'5. Scenarios'!$C$8))/4+INDEX(BookQ2,1547)*(5-MIN(4,2+'5. Scenarios'!$C$8))/4+INDEX(BookQ3,1547)*(5-MIN(4,3+'5. Scenarios'!$C$8))/4+INDEX(BookQ4,1547)*(5-MIN(4,4+'5. Scenarios'!$C$8))/4)*'5. Scenarios'!$C$6/(1+ProductivityDefault*('5. Scenarios'!$C$11-1))+INDEX(BookOneOff,1547)*$I1552)</f>
        <v/>
      </c>
      <c r="N1552" s="56" t="str">
        <f aca="false">IF(INDEX(BookTitle,1547)="","",INDEX(BookTotal,1547)*'5. Scenarios'!$D$6/(1+ProductivityDefault*('5. Scenarios'!$D$11-1)))</f>
        <v/>
      </c>
      <c r="O1552" s="57" t="str">
        <f aca="false">IF($N1552="","",INDEX(BookRate,1547)*(1+'5. Scenarios'!$D$10)*$N1552)</f>
        <v/>
      </c>
      <c r="P1552" s="57" t="str">
        <f aca="false">IF($O1552="","",SUMIFS($O$6:$O$2405,$A$6:$A$2405,"&lt;="&amp;$A1552))</f>
        <v/>
      </c>
      <c r="Q1552" s="57" t="str">
        <f aca="false">IF($O1552="","",IF($P1552&lt;=BankCostEnvelope*'5. Scenarios'!$D$7,1,0))</f>
        <v/>
      </c>
      <c r="R1552" s="57" t="str">
        <f aca="false">IF($N1552="","",INDEX(BookRate,1547)*(1+'5. Scenarios'!$D$10)*(INDEX(BookQ1,1547)*(5-MIN(4,1+'5. Scenarios'!$D$8))/4+INDEX(BookQ2,1547)*(5-MIN(4,2+'5. Scenarios'!$D$8))/4+INDEX(BookQ3,1547)*(5-MIN(4,3+'5. Scenarios'!$D$8))/4+INDEX(BookQ4,1547)*(5-MIN(4,4+'5. Scenarios'!$D$8))/4)*'5. Scenarios'!$D$6/(1+ProductivityDefault*('5. Scenarios'!$D$11-1))+INDEX(BookOneOff,1547)*$N1552)</f>
        <v/>
      </c>
      <c r="S1552" s="56" t="str">
        <f aca="false">IF(INDEX(BookTitle,1547)="","",INDEX(BookTotal,1547)*'5. Scenarios'!$E$6/(1+ProductivityDefault*('5. Scenarios'!$E$11-1)))</f>
        <v/>
      </c>
      <c r="T1552" s="57" t="str">
        <f aca="false">IF($S1552="","",INDEX(BookRate,1547)*(1+'5. Scenarios'!$E$10)*$S1552)</f>
        <v/>
      </c>
      <c r="U1552" s="57" t="str">
        <f aca="false">IF($T1552="","",SUMIFS($T$6:$T$2405,$A$6:$A$2405,"&lt;="&amp;$A1552))</f>
        <v/>
      </c>
      <c r="V1552" s="57" t="str">
        <f aca="false">IF($T1552="","",IF($U1552&lt;=BankCostEnvelope*'5. Scenarios'!$E$7,1,0))</f>
        <v/>
      </c>
      <c r="W1552" s="57" t="str">
        <f aca="false">IF($S1552="","",INDEX(BookRate,1547)*(1+'5. Scenarios'!$E$10)*(INDEX(BookQ1,1547)*(5-MIN(4,1+'5. Scenarios'!$E$8))/4+INDEX(BookQ2,1547)*(5-MIN(4,2+'5. Scenarios'!$E$8))/4+INDEX(BookQ3,1547)*(5-MIN(4,3+'5. Scenarios'!$E$8))/4+INDEX(BookQ4,1547)*(5-MIN(4,4+'5. Scenarios'!$E$8))/4)*'5. Scenarios'!$E$6/(1+ProductivityDefault*('5. Scenarios'!$E$11-1))+INDEX(BookOneOff,1547)*$S1552)</f>
        <v/>
      </c>
    </row>
    <row r="1553" customFormat="false" ht="15" hidden="false" customHeight="false" outlineLevel="0" collapsed="false">
      <c r="A1553" s="0" t="str">
        <f aca="false">IF(INDEX(BookTitle,1548)="","",INDEX(BookKey,1548))</f>
        <v/>
      </c>
      <c r="B1553" s="0" t="str">
        <f aca="false">IF(INDEX(BookTitle,1548)="","",INDEX(BookGroup,1548))</f>
        <v/>
      </c>
      <c r="C1553" s="0" t="str">
        <f aca="false">IF(INDEX(BookTitle,1548)="","",INDEX(BookCategory,1548))</f>
        <v/>
      </c>
      <c r="D1553" s="56" t="str">
        <f aca="false">IF(INDEX(BookTitle,1548)="","",INDEX(BookTotal,1548)*'5. Scenarios'!$B$6/(1+ProductivityDefault*('5. Scenarios'!$B$11-1)))</f>
        <v/>
      </c>
      <c r="E1553" s="57" t="str">
        <f aca="false">IF($D1553="","",INDEX(BookRate,1548)*(1+'5. Scenarios'!$B$10)*$D1553)</f>
        <v/>
      </c>
      <c r="F1553" s="57" t="str">
        <f aca="false">IF($E1553="","",SUMIFS($E$6:$E$2405,$A$6:$A$2405,"&lt;="&amp;$A1553))</f>
        <v/>
      </c>
      <c r="G1553" s="57" t="str">
        <f aca="false">IF($E1553="","",IF($F1553&lt;=BankCostEnvelope*'5. Scenarios'!$B$7,1,0))</f>
        <v/>
      </c>
      <c r="H1553" s="57" t="str">
        <f aca="false">IF($D1553="","",INDEX(BookRate,1548)*(1+'5. Scenarios'!$B$10)*(INDEX(BookQ1,1548)*(5-MIN(4,1+'5. Scenarios'!$B$8))/4+INDEX(BookQ2,1548)*(5-MIN(4,2+'5. Scenarios'!$B$8))/4+INDEX(BookQ3,1548)*(5-MIN(4,3+'5. Scenarios'!$B$8))/4+INDEX(BookQ4,1548)*(5-MIN(4,4+'5. Scenarios'!$B$8))/4)*'5. Scenarios'!$B$6/(1+ProductivityDefault*('5. Scenarios'!$B$11-1))+INDEX(BookOneOff,1548)*$D1553)</f>
        <v/>
      </c>
      <c r="I1553" s="56" t="str">
        <f aca="false">IF(INDEX(BookTitle,1548)="","",INDEX(BookTotal,1548)*'5. Scenarios'!$C$6/(1+ProductivityDefault*('5. Scenarios'!$C$11-1)))</f>
        <v/>
      </c>
      <c r="J1553" s="57" t="str">
        <f aca="false">IF($I1553="","",INDEX(BookRate,1548)*(1+'5. Scenarios'!$C$10)*$I1553)</f>
        <v/>
      </c>
      <c r="K1553" s="57" t="str">
        <f aca="false">IF($J1553="","",SUMIFS($J$6:$J$2405,$A$6:$A$2405,"&lt;="&amp;$A1553))</f>
        <v/>
      </c>
      <c r="L1553" s="57" t="str">
        <f aca="false">IF($J1553="","",IF($K1553&lt;=BankCostEnvelope*'5. Scenarios'!$C$7,1,0))</f>
        <v/>
      </c>
      <c r="M1553" s="57" t="str">
        <f aca="false">IF($I1553="","",INDEX(BookRate,1548)*(1+'5. Scenarios'!$C$10)*(INDEX(BookQ1,1548)*(5-MIN(4,1+'5. Scenarios'!$C$8))/4+INDEX(BookQ2,1548)*(5-MIN(4,2+'5. Scenarios'!$C$8))/4+INDEX(BookQ3,1548)*(5-MIN(4,3+'5. Scenarios'!$C$8))/4+INDEX(BookQ4,1548)*(5-MIN(4,4+'5. Scenarios'!$C$8))/4)*'5. Scenarios'!$C$6/(1+ProductivityDefault*('5. Scenarios'!$C$11-1))+INDEX(BookOneOff,1548)*$I1553)</f>
        <v/>
      </c>
      <c r="N1553" s="56" t="str">
        <f aca="false">IF(INDEX(BookTitle,1548)="","",INDEX(BookTotal,1548)*'5. Scenarios'!$D$6/(1+ProductivityDefault*('5. Scenarios'!$D$11-1)))</f>
        <v/>
      </c>
      <c r="O1553" s="57" t="str">
        <f aca="false">IF($N1553="","",INDEX(BookRate,1548)*(1+'5. Scenarios'!$D$10)*$N1553)</f>
        <v/>
      </c>
      <c r="P1553" s="57" t="str">
        <f aca="false">IF($O1553="","",SUMIFS($O$6:$O$2405,$A$6:$A$2405,"&lt;="&amp;$A1553))</f>
        <v/>
      </c>
      <c r="Q1553" s="57" t="str">
        <f aca="false">IF($O1553="","",IF($P1553&lt;=BankCostEnvelope*'5. Scenarios'!$D$7,1,0))</f>
        <v/>
      </c>
      <c r="R1553" s="57" t="str">
        <f aca="false">IF($N1553="","",INDEX(BookRate,1548)*(1+'5. Scenarios'!$D$10)*(INDEX(BookQ1,1548)*(5-MIN(4,1+'5. Scenarios'!$D$8))/4+INDEX(BookQ2,1548)*(5-MIN(4,2+'5. Scenarios'!$D$8))/4+INDEX(BookQ3,1548)*(5-MIN(4,3+'5. Scenarios'!$D$8))/4+INDEX(BookQ4,1548)*(5-MIN(4,4+'5. Scenarios'!$D$8))/4)*'5. Scenarios'!$D$6/(1+ProductivityDefault*('5. Scenarios'!$D$11-1))+INDEX(BookOneOff,1548)*$N1553)</f>
        <v/>
      </c>
      <c r="S1553" s="56" t="str">
        <f aca="false">IF(INDEX(BookTitle,1548)="","",INDEX(BookTotal,1548)*'5. Scenarios'!$E$6/(1+ProductivityDefault*('5. Scenarios'!$E$11-1)))</f>
        <v/>
      </c>
      <c r="T1553" s="57" t="str">
        <f aca="false">IF($S1553="","",INDEX(BookRate,1548)*(1+'5. Scenarios'!$E$10)*$S1553)</f>
        <v/>
      </c>
      <c r="U1553" s="57" t="str">
        <f aca="false">IF($T1553="","",SUMIFS($T$6:$T$2405,$A$6:$A$2405,"&lt;="&amp;$A1553))</f>
        <v/>
      </c>
      <c r="V1553" s="57" t="str">
        <f aca="false">IF($T1553="","",IF($U1553&lt;=BankCostEnvelope*'5. Scenarios'!$E$7,1,0))</f>
        <v/>
      </c>
      <c r="W1553" s="57" t="str">
        <f aca="false">IF($S1553="","",INDEX(BookRate,1548)*(1+'5. Scenarios'!$E$10)*(INDEX(BookQ1,1548)*(5-MIN(4,1+'5. Scenarios'!$E$8))/4+INDEX(BookQ2,1548)*(5-MIN(4,2+'5. Scenarios'!$E$8))/4+INDEX(BookQ3,1548)*(5-MIN(4,3+'5. Scenarios'!$E$8))/4+INDEX(BookQ4,1548)*(5-MIN(4,4+'5. Scenarios'!$E$8))/4)*'5. Scenarios'!$E$6/(1+ProductivityDefault*('5. Scenarios'!$E$11-1))+INDEX(BookOneOff,1548)*$S1553)</f>
        <v/>
      </c>
    </row>
    <row r="1554" customFormat="false" ht="15" hidden="false" customHeight="false" outlineLevel="0" collapsed="false">
      <c r="A1554" s="0" t="str">
        <f aca="false">IF(INDEX(BookTitle,1549)="","",INDEX(BookKey,1549))</f>
        <v/>
      </c>
      <c r="B1554" s="0" t="str">
        <f aca="false">IF(INDEX(BookTitle,1549)="","",INDEX(BookGroup,1549))</f>
        <v/>
      </c>
      <c r="C1554" s="0" t="str">
        <f aca="false">IF(INDEX(BookTitle,1549)="","",INDEX(BookCategory,1549))</f>
        <v/>
      </c>
      <c r="D1554" s="56" t="str">
        <f aca="false">IF(INDEX(BookTitle,1549)="","",INDEX(BookTotal,1549)*'5. Scenarios'!$B$6/(1+ProductivityDefault*('5. Scenarios'!$B$11-1)))</f>
        <v/>
      </c>
      <c r="E1554" s="57" t="str">
        <f aca="false">IF($D1554="","",INDEX(BookRate,1549)*(1+'5. Scenarios'!$B$10)*$D1554)</f>
        <v/>
      </c>
      <c r="F1554" s="57" t="str">
        <f aca="false">IF($E1554="","",SUMIFS($E$6:$E$2405,$A$6:$A$2405,"&lt;="&amp;$A1554))</f>
        <v/>
      </c>
      <c r="G1554" s="57" t="str">
        <f aca="false">IF($E1554="","",IF($F1554&lt;=BankCostEnvelope*'5. Scenarios'!$B$7,1,0))</f>
        <v/>
      </c>
      <c r="H1554" s="57" t="str">
        <f aca="false">IF($D1554="","",INDEX(BookRate,1549)*(1+'5. Scenarios'!$B$10)*(INDEX(BookQ1,1549)*(5-MIN(4,1+'5. Scenarios'!$B$8))/4+INDEX(BookQ2,1549)*(5-MIN(4,2+'5. Scenarios'!$B$8))/4+INDEX(BookQ3,1549)*(5-MIN(4,3+'5. Scenarios'!$B$8))/4+INDEX(BookQ4,1549)*(5-MIN(4,4+'5. Scenarios'!$B$8))/4)*'5. Scenarios'!$B$6/(1+ProductivityDefault*('5. Scenarios'!$B$11-1))+INDEX(BookOneOff,1549)*$D1554)</f>
        <v/>
      </c>
      <c r="I1554" s="56" t="str">
        <f aca="false">IF(INDEX(BookTitle,1549)="","",INDEX(BookTotal,1549)*'5. Scenarios'!$C$6/(1+ProductivityDefault*('5. Scenarios'!$C$11-1)))</f>
        <v/>
      </c>
      <c r="J1554" s="57" t="str">
        <f aca="false">IF($I1554="","",INDEX(BookRate,1549)*(1+'5. Scenarios'!$C$10)*$I1554)</f>
        <v/>
      </c>
      <c r="K1554" s="57" t="str">
        <f aca="false">IF($J1554="","",SUMIFS($J$6:$J$2405,$A$6:$A$2405,"&lt;="&amp;$A1554))</f>
        <v/>
      </c>
      <c r="L1554" s="57" t="str">
        <f aca="false">IF($J1554="","",IF($K1554&lt;=BankCostEnvelope*'5. Scenarios'!$C$7,1,0))</f>
        <v/>
      </c>
      <c r="M1554" s="57" t="str">
        <f aca="false">IF($I1554="","",INDEX(BookRate,1549)*(1+'5. Scenarios'!$C$10)*(INDEX(BookQ1,1549)*(5-MIN(4,1+'5. Scenarios'!$C$8))/4+INDEX(BookQ2,1549)*(5-MIN(4,2+'5. Scenarios'!$C$8))/4+INDEX(BookQ3,1549)*(5-MIN(4,3+'5. Scenarios'!$C$8))/4+INDEX(BookQ4,1549)*(5-MIN(4,4+'5. Scenarios'!$C$8))/4)*'5. Scenarios'!$C$6/(1+ProductivityDefault*('5. Scenarios'!$C$11-1))+INDEX(BookOneOff,1549)*$I1554)</f>
        <v/>
      </c>
      <c r="N1554" s="56" t="str">
        <f aca="false">IF(INDEX(BookTitle,1549)="","",INDEX(BookTotal,1549)*'5. Scenarios'!$D$6/(1+ProductivityDefault*('5. Scenarios'!$D$11-1)))</f>
        <v/>
      </c>
      <c r="O1554" s="57" t="str">
        <f aca="false">IF($N1554="","",INDEX(BookRate,1549)*(1+'5. Scenarios'!$D$10)*$N1554)</f>
        <v/>
      </c>
      <c r="P1554" s="57" t="str">
        <f aca="false">IF($O1554="","",SUMIFS($O$6:$O$2405,$A$6:$A$2405,"&lt;="&amp;$A1554))</f>
        <v/>
      </c>
      <c r="Q1554" s="57" t="str">
        <f aca="false">IF($O1554="","",IF($P1554&lt;=BankCostEnvelope*'5. Scenarios'!$D$7,1,0))</f>
        <v/>
      </c>
      <c r="R1554" s="57" t="str">
        <f aca="false">IF($N1554="","",INDEX(BookRate,1549)*(1+'5. Scenarios'!$D$10)*(INDEX(BookQ1,1549)*(5-MIN(4,1+'5. Scenarios'!$D$8))/4+INDEX(BookQ2,1549)*(5-MIN(4,2+'5. Scenarios'!$D$8))/4+INDEX(BookQ3,1549)*(5-MIN(4,3+'5. Scenarios'!$D$8))/4+INDEX(BookQ4,1549)*(5-MIN(4,4+'5. Scenarios'!$D$8))/4)*'5. Scenarios'!$D$6/(1+ProductivityDefault*('5. Scenarios'!$D$11-1))+INDEX(BookOneOff,1549)*$N1554)</f>
        <v/>
      </c>
      <c r="S1554" s="56" t="str">
        <f aca="false">IF(INDEX(BookTitle,1549)="","",INDEX(BookTotal,1549)*'5. Scenarios'!$E$6/(1+ProductivityDefault*('5. Scenarios'!$E$11-1)))</f>
        <v/>
      </c>
      <c r="T1554" s="57" t="str">
        <f aca="false">IF($S1554="","",INDEX(BookRate,1549)*(1+'5. Scenarios'!$E$10)*$S1554)</f>
        <v/>
      </c>
      <c r="U1554" s="57" t="str">
        <f aca="false">IF($T1554="","",SUMIFS($T$6:$T$2405,$A$6:$A$2405,"&lt;="&amp;$A1554))</f>
        <v/>
      </c>
      <c r="V1554" s="57" t="str">
        <f aca="false">IF($T1554="","",IF($U1554&lt;=BankCostEnvelope*'5. Scenarios'!$E$7,1,0))</f>
        <v/>
      </c>
      <c r="W1554" s="57" t="str">
        <f aca="false">IF($S1554="","",INDEX(BookRate,1549)*(1+'5. Scenarios'!$E$10)*(INDEX(BookQ1,1549)*(5-MIN(4,1+'5. Scenarios'!$E$8))/4+INDEX(BookQ2,1549)*(5-MIN(4,2+'5. Scenarios'!$E$8))/4+INDEX(BookQ3,1549)*(5-MIN(4,3+'5. Scenarios'!$E$8))/4+INDEX(BookQ4,1549)*(5-MIN(4,4+'5. Scenarios'!$E$8))/4)*'5. Scenarios'!$E$6/(1+ProductivityDefault*('5. Scenarios'!$E$11-1))+INDEX(BookOneOff,1549)*$S1554)</f>
        <v/>
      </c>
    </row>
    <row r="1555" customFormat="false" ht="15" hidden="false" customHeight="false" outlineLevel="0" collapsed="false">
      <c r="A1555" s="0" t="str">
        <f aca="false">IF(INDEX(BookTitle,1550)="","",INDEX(BookKey,1550))</f>
        <v/>
      </c>
      <c r="B1555" s="0" t="str">
        <f aca="false">IF(INDEX(BookTitle,1550)="","",INDEX(BookGroup,1550))</f>
        <v/>
      </c>
      <c r="C1555" s="0" t="str">
        <f aca="false">IF(INDEX(BookTitle,1550)="","",INDEX(BookCategory,1550))</f>
        <v/>
      </c>
      <c r="D1555" s="56" t="str">
        <f aca="false">IF(INDEX(BookTitle,1550)="","",INDEX(BookTotal,1550)*'5. Scenarios'!$B$6/(1+ProductivityDefault*('5. Scenarios'!$B$11-1)))</f>
        <v/>
      </c>
      <c r="E1555" s="57" t="str">
        <f aca="false">IF($D1555="","",INDEX(BookRate,1550)*(1+'5. Scenarios'!$B$10)*$D1555)</f>
        <v/>
      </c>
      <c r="F1555" s="57" t="str">
        <f aca="false">IF($E1555="","",SUMIFS($E$6:$E$2405,$A$6:$A$2405,"&lt;="&amp;$A1555))</f>
        <v/>
      </c>
      <c r="G1555" s="57" t="str">
        <f aca="false">IF($E1555="","",IF($F1555&lt;=BankCostEnvelope*'5. Scenarios'!$B$7,1,0))</f>
        <v/>
      </c>
      <c r="H1555" s="57" t="str">
        <f aca="false">IF($D1555="","",INDEX(BookRate,1550)*(1+'5. Scenarios'!$B$10)*(INDEX(BookQ1,1550)*(5-MIN(4,1+'5. Scenarios'!$B$8))/4+INDEX(BookQ2,1550)*(5-MIN(4,2+'5. Scenarios'!$B$8))/4+INDEX(BookQ3,1550)*(5-MIN(4,3+'5. Scenarios'!$B$8))/4+INDEX(BookQ4,1550)*(5-MIN(4,4+'5. Scenarios'!$B$8))/4)*'5. Scenarios'!$B$6/(1+ProductivityDefault*('5. Scenarios'!$B$11-1))+INDEX(BookOneOff,1550)*$D1555)</f>
        <v/>
      </c>
      <c r="I1555" s="56" t="str">
        <f aca="false">IF(INDEX(BookTitle,1550)="","",INDEX(BookTotal,1550)*'5. Scenarios'!$C$6/(1+ProductivityDefault*('5. Scenarios'!$C$11-1)))</f>
        <v/>
      </c>
      <c r="J1555" s="57" t="str">
        <f aca="false">IF($I1555="","",INDEX(BookRate,1550)*(1+'5. Scenarios'!$C$10)*$I1555)</f>
        <v/>
      </c>
      <c r="K1555" s="57" t="str">
        <f aca="false">IF($J1555="","",SUMIFS($J$6:$J$2405,$A$6:$A$2405,"&lt;="&amp;$A1555))</f>
        <v/>
      </c>
      <c r="L1555" s="57" t="str">
        <f aca="false">IF($J1555="","",IF($K1555&lt;=BankCostEnvelope*'5. Scenarios'!$C$7,1,0))</f>
        <v/>
      </c>
      <c r="M1555" s="57" t="str">
        <f aca="false">IF($I1555="","",INDEX(BookRate,1550)*(1+'5. Scenarios'!$C$10)*(INDEX(BookQ1,1550)*(5-MIN(4,1+'5. Scenarios'!$C$8))/4+INDEX(BookQ2,1550)*(5-MIN(4,2+'5. Scenarios'!$C$8))/4+INDEX(BookQ3,1550)*(5-MIN(4,3+'5. Scenarios'!$C$8))/4+INDEX(BookQ4,1550)*(5-MIN(4,4+'5. Scenarios'!$C$8))/4)*'5. Scenarios'!$C$6/(1+ProductivityDefault*('5. Scenarios'!$C$11-1))+INDEX(BookOneOff,1550)*$I1555)</f>
        <v/>
      </c>
      <c r="N1555" s="56" t="str">
        <f aca="false">IF(INDEX(BookTitle,1550)="","",INDEX(BookTotal,1550)*'5. Scenarios'!$D$6/(1+ProductivityDefault*('5. Scenarios'!$D$11-1)))</f>
        <v/>
      </c>
      <c r="O1555" s="57" t="str">
        <f aca="false">IF($N1555="","",INDEX(BookRate,1550)*(1+'5. Scenarios'!$D$10)*$N1555)</f>
        <v/>
      </c>
      <c r="P1555" s="57" t="str">
        <f aca="false">IF($O1555="","",SUMIFS($O$6:$O$2405,$A$6:$A$2405,"&lt;="&amp;$A1555))</f>
        <v/>
      </c>
      <c r="Q1555" s="57" t="str">
        <f aca="false">IF($O1555="","",IF($P1555&lt;=BankCostEnvelope*'5. Scenarios'!$D$7,1,0))</f>
        <v/>
      </c>
      <c r="R1555" s="57" t="str">
        <f aca="false">IF($N1555="","",INDEX(BookRate,1550)*(1+'5. Scenarios'!$D$10)*(INDEX(BookQ1,1550)*(5-MIN(4,1+'5. Scenarios'!$D$8))/4+INDEX(BookQ2,1550)*(5-MIN(4,2+'5. Scenarios'!$D$8))/4+INDEX(BookQ3,1550)*(5-MIN(4,3+'5. Scenarios'!$D$8))/4+INDEX(BookQ4,1550)*(5-MIN(4,4+'5. Scenarios'!$D$8))/4)*'5. Scenarios'!$D$6/(1+ProductivityDefault*('5. Scenarios'!$D$11-1))+INDEX(BookOneOff,1550)*$N1555)</f>
        <v/>
      </c>
      <c r="S1555" s="56" t="str">
        <f aca="false">IF(INDEX(BookTitle,1550)="","",INDEX(BookTotal,1550)*'5. Scenarios'!$E$6/(1+ProductivityDefault*('5. Scenarios'!$E$11-1)))</f>
        <v/>
      </c>
      <c r="T1555" s="57" t="str">
        <f aca="false">IF($S1555="","",INDEX(BookRate,1550)*(1+'5. Scenarios'!$E$10)*$S1555)</f>
        <v/>
      </c>
      <c r="U1555" s="57" t="str">
        <f aca="false">IF($T1555="","",SUMIFS($T$6:$T$2405,$A$6:$A$2405,"&lt;="&amp;$A1555))</f>
        <v/>
      </c>
      <c r="V1555" s="57" t="str">
        <f aca="false">IF($T1555="","",IF($U1555&lt;=BankCostEnvelope*'5. Scenarios'!$E$7,1,0))</f>
        <v/>
      </c>
      <c r="W1555" s="57" t="str">
        <f aca="false">IF($S1555="","",INDEX(BookRate,1550)*(1+'5. Scenarios'!$E$10)*(INDEX(BookQ1,1550)*(5-MIN(4,1+'5. Scenarios'!$E$8))/4+INDEX(BookQ2,1550)*(5-MIN(4,2+'5. Scenarios'!$E$8))/4+INDEX(BookQ3,1550)*(5-MIN(4,3+'5. Scenarios'!$E$8))/4+INDEX(BookQ4,1550)*(5-MIN(4,4+'5. Scenarios'!$E$8))/4)*'5. Scenarios'!$E$6/(1+ProductivityDefault*('5. Scenarios'!$E$11-1))+INDEX(BookOneOff,1550)*$S1555)</f>
        <v/>
      </c>
    </row>
    <row r="1556" customFormat="false" ht="15" hidden="false" customHeight="false" outlineLevel="0" collapsed="false">
      <c r="A1556" s="0" t="str">
        <f aca="false">IF(INDEX(BookTitle,1551)="","",INDEX(BookKey,1551))</f>
        <v/>
      </c>
      <c r="B1556" s="0" t="str">
        <f aca="false">IF(INDEX(BookTitle,1551)="","",INDEX(BookGroup,1551))</f>
        <v/>
      </c>
      <c r="C1556" s="0" t="str">
        <f aca="false">IF(INDEX(BookTitle,1551)="","",INDEX(BookCategory,1551))</f>
        <v/>
      </c>
      <c r="D1556" s="56" t="str">
        <f aca="false">IF(INDEX(BookTitle,1551)="","",INDEX(BookTotal,1551)*'5. Scenarios'!$B$6/(1+ProductivityDefault*('5. Scenarios'!$B$11-1)))</f>
        <v/>
      </c>
      <c r="E1556" s="57" t="str">
        <f aca="false">IF($D1556="","",INDEX(BookRate,1551)*(1+'5. Scenarios'!$B$10)*$D1556)</f>
        <v/>
      </c>
      <c r="F1556" s="57" t="str">
        <f aca="false">IF($E1556="","",SUMIFS($E$6:$E$2405,$A$6:$A$2405,"&lt;="&amp;$A1556))</f>
        <v/>
      </c>
      <c r="G1556" s="57" t="str">
        <f aca="false">IF($E1556="","",IF($F1556&lt;=BankCostEnvelope*'5. Scenarios'!$B$7,1,0))</f>
        <v/>
      </c>
      <c r="H1556" s="57" t="str">
        <f aca="false">IF($D1556="","",INDEX(BookRate,1551)*(1+'5. Scenarios'!$B$10)*(INDEX(BookQ1,1551)*(5-MIN(4,1+'5. Scenarios'!$B$8))/4+INDEX(BookQ2,1551)*(5-MIN(4,2+'5. Scenarios'!$B$8))/4+INDEX(BookQ3,1551)*(5-MIN(4,3+'5. Scenarios'!$B$8))/4+INDEX(BookQ4,1551)*(5-MIN(4,4+'5. Scenarios'!$B$8))/4)*'5. Scenarios'!$B$6/(1+ProductivityDefault*('5. Scenarios'!$B$11-1))+INDEX(BookOneOff,1551)*$D1556)</f>
        <v/>
      </c>
      <c r="I1556" s="56" t="str">
        <f aca="false">IF(INDEX(BookTitle,1551)="","",INDEX(BookTotal,1551)*'5. Scenarios'!$C$6/(1+ProductivityDefault*('5. Scenarios'!$C$11-1)))</f>
        <v/>
      </c>
      <c r="J1556" s="57" t="str">
        <f aca="false">IF($I1556="","",INDEX(BookRate,1551)*(1+'5. Scenarios'!$C$10)*$I1556)</f>
        <v/>
      </c>
      <c r="K1556" s="57" t="str">
        <f aca="false">IF($J1556="","",SUMIFS($J$6:$J$2405,$A$6:$A$2405,"&lt;="&amp;$A1556))</f>
        <v/>
      </c>
      <c r="L1556" s="57" t="str">
        <f aca="false">IF($J1556="","",IF($K1556&lt;=BankCostEnvelope*'5. Scenarios'!$C$7,1,0))</f>
        <v/>
      </c>
      <c r="M1556" s="57" t="str">
        <f aca="false">IF($I1556="","",INDEX(BookRate,1551)*(1+'5. Scenarios'!$C$10)*(INDEX(BookQ1,1551)*(5-MIN(4,1+'5. Scenarios'!$C$8))/4+INDEX(BookQ2,1551)*(5-MIN(4,2+'5. Scenarios'!$C$8))/4+INDEX(BookQ3,1551)*(5-MIN(4,3+'5. Scenarios'!$C$8))/4+INDEX(BookQ4,1551)*(5-MIN(4,4+'5. Scenarios'!$C$8))/4)*'5. Scenarios'!$C$6/(1+ProductivityDefault*('5. Scenarios'!$C$11-1))+INDEX(BookOneOff,1551)*$I1556)</f>
        <v/>
      </c>
      <c r="N1556" s="56" t="str">
        <f aca="false">IF(INDEX(BookTitle,1551)="","",INDEX(BookTotal,1551)*'5. Scenarios'!$D$6/(1+ProductivityDefault*('5. Scenarios'!$D$11-1)))</f>
        <v/>
      </c>
      <c r="O1556" s="57" t="str">
        <f aca="false">IF($N1556="","",INDEX(BookRate,1551)*(1+'5. Scenarios'!$D$10)*$N1556)</f>
        <v/>
      </c>
      <c r="P1556" s="57" t="str">
        <f aca="false">IF($O1556="","",SUMIFS($O$6:$O$2405,$A$6:$A$2405,"&lt;="&amp;$A1556))</f>
        <v/>
      </c>
      <c r="Q1556" s="57" t="str">
        <f aca="false">IF($O1556="","",IF($P1556&lt;=BankCostEnvelope*'5. Scenarios'!$D$7,1,0))</f>
        <v/>
      </c>
      <c r="R1556" s="57" t="str">
        <f aca="false">IF($N1556="","",INDEX(BookRate,1551)*(1+'5. Scenarios'!$D$10)*(INDEX(BookQ1,1551)*(5-MIN(4,1+'5. Scenarios'!$D$8))/4+INDEX(BookQ2,1551)*(5-MIN(4,2+'5. Scenarios'!$D$8))/4+INDEX(BookQ3,1551)*(5-MIN(4,3+'5. Scenarios'!$D$8))/4+INDEX(BookQ4,1551)*(5-MIN(4,4+'5. Scenarios'!$D$8))/4)*'5. Scenarios'!$D$6/(1+ProductivityDefault*('5. Scenarios'!$D$11-1))+INDEX(BookOneOff,1551)*$N1556)</f>
        <v/>
      </c>
      <c r="S1556" s="56" t="str">
        <f aca="false">IF(INDEX(BookTitle,1551)="","",INDEX(BookTotal,1551)*'5. Scenarios'!$E$6/(1+ProductivityDefault*('5. Scenarios'!$E$11-1)))</f>
        <v/>
      </c>
      <c r="T1556" s="57" t="str">
        <f aca="false">IF($S1556="","",INDEX(BookRate,1551)*(1+'5. Scenarios'!$E$10)*$S1556)</f>
        <v/>
      </c>
      <c r="U1556" s="57" t="str">
        <f aca="false">IF($T1556="","",SUMIFS($T$6:$T$2405,$A$6:$A$2405,"&lt;="&amp;$A1556))</f>
        <v/>
      </c>
      <c r="V1556" s="57" t="str">
        <f aca="false">IF($T1556="","",IF($U1556&lt;=BankCostEnvelope*'5. Scenarios'!$E$7,1,0))</f>
        <v/>
      </c>
      <c r="W1556" s="57" t="str">
        <f aca="false">IF($S1556="","",INDEX(BookRate,1551)*(1+'5. Scenarios'!$E$10)*(INDEX(BookQ1,1551)*(5-MIN(4,1+'5. Scenarios'!$E$8))/4+INDEX(BookQ2,1551)*(5-MIN(4,2+'5. Scenarios'!$E$8))/4+INDEX(BookQ3,1551)*(5-MIN(4,3+'5. Scenarios'!$E$8))/4+INDEX(BookQ4,1551)*(5-MIN(4,4+'5. Scenarios'!$E$8))/4)*'5. Scenarios'!$E$6/(1+ProductivityDefault*('5. Scenarios'!$E$11-1))+INDEX(BookOneOff,1551)*$S1556)</f>
        <v/>
      </c>
    </row>
    <row r="1557" customFormat="false" ht="15" hidden="false" customHeight="false" outlineLevel="0" collapsed="false">
      <c r="A1557" s="0" t="str">
        <f aca="false">IF(INDEX(BookTitle,1552)="","",INDEX(BookKey,1552))</f>
        <v/>
      </c>
      <c r="B1557" s="0" t="str">
        <f aca="false">IF(INDEX(BookTitle,1552)="","",INDEX(BookGroup,1552))</f>
        <v/>
      </c>
      <c r="C1557" s="0" t="str">
        <f aca="false">IF(INDEX(BookTitle,1552)="","",INDEX(BookCategory,1552))</f>
        <v/>
      </c>
      <c r="D1557" s="56" t="str">
        <f aca="false">IF(INDEX(BookTitle,1552)="","",INDEX(BookTotal,1552)*'5. Scenarios'!$B$6/(1+ProductivityDefault*('5. Scenarios'!$B$11-1)))</f>
        <v/>
      </c>
      <c r="E1557" s="57" t="str">
        <f aca="false">IF($D1557="","",INDEX(BookRate,1552)*(1+'5. Scenarios'!$B$10)*$D1557)</f>
        <v/>
      </c>
      <c r="F1557" s="57" t="str">
        <f aca="false">IF($E1557="","",SUMIFS($E$6:$E$2405,$A$6:$A$2405,"&lt;="&amp;$A1557))</f>
        <v/>
      </c>
      <c r="G1557" s="57" t="str">
        <f aca="false">IF($E1557="","",IF($F1557&lt;=BankCostEnvelope*'5. Scenarios'!$B$7,1,0))</f>
        <v/>
      </c>
      <c r="H1557" s="57" t="str">
        <f aca="false">IF($D1557="","",INDEX(BookRate,1552)*(1+'5. Scenarios'!$B$10)*(INDEX(BookQ1,1552)*(5-MIN(4,1+'5. Scenarios'!$B$8))/4+INDEX(BookQ2,1552)*(5-MIN(4,2+'5. Scenarios'!$B$8))/4+INDEX(BookQ3,1552)*(5-MIN(4,3+'5. Scenarios'!$B$8))/4+INDEX(BookQ4,1552)*(5-MIN(4,4+'5. Scenarios'!$B$8))/4)*'5. Scenarios'!$B$6/(1+ProductivityDefault*('5. Scenarios'!$B$11-1))+INDEX(BookOneOff,1552)*$D1557)</f>
        <v/>
      </c>
      <c r="I1557" s="56" t="str">
        <f aca="false">IF(INDEX(BookTitle,1552)="","",INDEX(BookTotal,1552)*'5. Scenarios'!$C$6/(1+ProductivityDefault*('5. Scenarios'!$C$11-1)))</f>
        <v/>
      </c>
      <c r="J1557" s="57" t="str">
        <f aca="false">IF($I1557="","",INDEX(BookRate,1552)*(1+'5. Scenarios'!$C$10)*$I1557)</f>
        <v/>
      </c>
      <c r="K1557" s="57" t="str">
        <f aca="false">IF($J1557="","",SUMIFS($J$6:$J$2405,$A$6:$A$2405,"&lt;="&amp;$A1557))</f>
        <v/>
      </c>
      <c r="L1557" s="57" t="str">
        <f aca="false">IF($J1557="","",IF($K1557&lt;=BankCostEnvelope*'5. Scenarios'!$C$7,1,0))</f>
        <v/>
      </c>
      <c r="M1557" s="57" t="str">
        <f aca="false">IF($I1557="","",INDEX(BookRate,1552)*(1+'5. Scenarios'!$C$10)*(INDEX(BookQ1,1552)*(5-MIN(4,1+'5. Scenarios'!$C$8))/4+INDEX(BookQ2,1552)*(5-MIN(4,2+'5. Scenarios'!$C$8))/4+INDEX(BookQ3,1552)*(5-MIN(4,3+'5. Scenarios'!$C$8))/4+INDEX(BookQ4,1552)*(5-MIN(4,4+'5. Scenarios'!$C$8))/4)*'5. Scenarios'!$C$6/(1+ProductivityDefault*('5. Scenarios'!$C$11-1))+INDEX(BookOneOff,1552)*$I1557)</f>
        <v/>
      </c>
      <c r="N1557" s="56" t="str">
        <f aca="false">IF(INDEX(BookTitle,1552)="","",INDEX(BookTotal,1552)*'5. Scenarios'!$D$6/(1+ProductivityDefault*('5. Scenarios'!$D$11-1)))</f>
        <v/>
      </c>
      <c r="O1557" s="57" t="str">
        <f aca="false">IF($N1557="","",INDEX(BookRate,1552)*(1+'5. Scenarios'!$D$10)*$N1557)</f>
        <v/>
      </c>
      <c r="P1557" s="57" t="str">
        <f aca="false">IF($O1557="","",SUMIFS($O$6:$O$2405,$A$6:$A$2405,"&lt;="&amp;$A1557))</f>
        <v/>
      </c>
      <c r="Q1557" s="57" t="str">
        <f aca="false">IF($O1557="","",IF($P1557&lt;=BankCostEnvelope*'5. Scenarios'!$D$7,1,0))</f>
        <v/>
      </c>
      <c r="R1557" s="57" t="str">
        <f aca="false">IF($N1557="","",INDEX(BookRate,1552)*(1+'5. Scenarios'!$D$10)*(INDEX(BookQ1,1552)*(5-MIN(4,1+'5. Scenarios'!$D$8))/4+INDEX(BookQ2,1552)*(5-MIN(4,2+'5. Scenarios'!$D$8))/4+INDEX(BookQ3,1552)*(5-MIN(4,3+'5. Scenarios'!$D$8))/4+INDEX(BookQ4,1552)*(5-MIN(4,4+'5. Scenarios'!$D$8))/4)*'5. Scenarios'!$D$6/(1+ProductivityDefault*('5. Scenarios'!$D$11-1))+INDEX(BookOneOff,1552)*$N1557)</f>
        <v/>
      </c>
      <c r="S1557" s="56" t="str">
        <f aca="false">IF(INDEX(BookTitle,1552)="","",INDEX(BookTotal,1552)*'5. Scenarios'!$E$6/(1+ProductivityDefault*('5. Scenarios'!$E$11-1)))</f>
        <v/>
      </c>
      <c r="T1557" s="57" t="str">
        <f aca="false">IF($S1557="","",INDEX(BookRate,1552)*(1+'5. Scenarios'!$E$10)*$S1557)</f>
        <v/>
      </c>
      <c r="U1557" s="57" t="str">
        <f aca="false">IF($T1557="","",SUMIFS($T$6:$T$2405,$A$6:$A$2405,"&lt;="&amp;$A1557))</f>
        <v/>
      </c>
      <c r="V1557" s="57" t="str">
        <f aca="false">IF($T1557="","",IF($U1557&lt;=BankCostEnvelope*'5. Scenarios'!$E$7,1,0))</f>
        <v/>
      </c>
      <c r="W1557" s="57" t="str">
        <f aca="false">IF($S1557="","",INDEX(BookRate,1552)*(1+'5. Scenarios'!$E$10)*(INDEX(BookQ1,1552)*(5-MIN(4,1+'5. Scenarios'!$E$8))/4+INDEX(BookQ2,1552)*(5-MIN(4,2+'5. Scenarios'!$E$8))/4+INDEX(BookQ3,1552)*(5-MIN(4,3+'5. Scenarios'!$E$8))/4+INDEX(BookQ4,1552)*(5-MIN(4,4+'5. Scenarios'!$E$8))/4)*'5. Scenarios'!$E$6/(1+ProductivityDefault*('5. Scenarios'!$E$11-1))+INDEX(BookOneOff,1552)*$S1557)</f>
        <v/>
      </c>
    </row>
    <row r="1558" customFormat="false" ht="15" hidden="false" customHeight="false" outlineLevel="0" collapsed="false">
      <c r="A1558" s="0" t="str">
        <f aca="false">IF(INDEX(BookTitle,1553)="","",INDEX(BookKey,1553))</f>
        <v/>
      </c>
      <c r="B1558" s="0" t="str">
        <f aca="false">IF(INDEX(BookTitle,1553)="","",INDEX(BookGroup,1553))</f>
        <v/>
      </c>
      <c r="C1558" s="0" t="str">
        <f aca="false">IF(INDEX(BookTitle,1553)="","",INDEX(BookCategory,1553))</f>
        <v/>
      </c>
      <c r="D1558" s="56" t="str">
        <f aca="false">IF(INDEX(BookTitle,1553)="","",INDEX(BookTotal,1553)*'5. Scenarios'!$B$6/(1+ProductivityDefault*('5. Scenarios'!$B$11-1)))</f>
        <v/>
      </c>
      <c r="E1558" s="57" t="str">
        <f aca="false">IF($D1558="","",INDEX(BookRate,1553)*(1+'5. Scenarios'!$B$10)*$D1558)</f>
        <v/>
      </c>
      <c r="F1558" s="57" t="str">
        <f aca="false">IF($E1558="","",SUMIFS($E$6:$E$2405,$A$6:$A$2405,"&lt;="&amp;$A1558))</f>
        <v/>
      </c>
      <c r="G1558" s="57" t="str">
        <f aca="false">IF($E1558="","",IF($F1558&lt;=BankCostEnvelope*'5. Scenarios'!$B$7,1,0))</f>
        <v/>
      </c>
      <c r="H1558" s="57" t="str">
        <f aca="false">IF($D1558="","",INDEX(BookRate,1553)*(1+'5. Scenarios'!$B$10)*(INDEX(BookQ1,1553)*(5-MIN(4,1+'5. Scenarios'!$B$8))/4+INDEX(BookQ2,1553)*(5-MIN(4,2+'5. Scenarios'!$B$8))/4+INDEX(BookQ3,1553)*(5-MIN(4,3+'5. Scenarios'!$B$8))/4+INDEX(BookQ4,1553)*(5-MIN(4,4+'5. Scenarios'!$B$8))/4)*'5. Scenarios'!$B$6/(1+ProductivityDefault*('5. Scenarios'!$B$11-1))+INDEX(BookOneOff,1553)*$D1558)</f>
        <v/>
      </c>
      <c r="I1558" s="56" t="str">
        <f aca="false">IF(INDEX(BookTitle,1553)="","",INDEX(BookTotal,1553)*'5. Scenarios'!$C$6/(1+ProductivityDefault*('5. Scenarios'!$C$11-1)))</f>
        <v/>
      </c>
      <c r="J1558" s="57" t="str">
        <f aca="false">IF($I1558="","",INDEX(BookRate,1553)*(1+'5. Scenarios'!$C$10)*$I1558)</f>
        <v/>
      </c>
      <c r="K1558" s="57" t="str">
        <f aca="false">IF($J1558="","",SUMIFS($J$6:$J$2405,$A$6:$A$2405,"&lt;="&amp;$A1558))</f>
        <v/>
      </c>
      <c r="L1558" s="57" t="str">
        <f aca="false">IF($J1558="","",IF($K1558&lt;=BankCostEnvelope*'5. Scenarios'!$C$7,1,0))</f>
        <v/>
      </c>
      <c r="M1558" s="57" t="str">
        <f aca="false">IF($I1558="","",INDEX(BookRate,1553)*(1+'5. Scenarios'!$C$10)*(INDEX(BookQ1,1553)*(5-MIN(4,1+'5. Scenarios'!$C$8))/4+INDEX(BookQ2,1553)*(5-MIN(4,2+'5. Scenarios'!$C$8))/4+INDEX(BookQ3,1553)*(5-MIN(4,3+'5. Scenarios'!$C$8))/4+INDEX(BookQ4,1553)*(5-MIN(4,4+'5. Scenarios'!$C$8))/4)*'5. Scenarios'!$C$6/(1+ProductivityDefault*('5. Scenarios'!$C$11-1))+INDEX(BookOneOff,1553)*$I1558)</f>
        <v/>
      </c>
      <c r="N1558" s="56" t="str">
        <f aca="false">IF(INDEX(BookTitle,1553)="","",INDEX(BookTotal,1553)*'5. Scenarios'!$D$6/(1+ProductivityDefault*('5. Scenarios'!$D$11-1)))</f>
        <v/>
      </c>
      <c r="O1558" s="57" t="str">
        <f aca="false">IF($N1558="","",INDEX(BookRate,1553)*(1+'5. Scenarios'!$D$10)*$N1558)</f>
        <v/>
      </c>
      <c r="P1558" s="57" t="str">
        <f aca="false">IF($O1558="","",SUMIFS($O$6:$O$2405,$A$6:$A$2405,"&lt;="&amp;$A1558))</f>
        <v/>
      </c>
      <c r="Q1558" s="57" t="str">
        <f aca="false">IF($O1558="","",IF($P1558&lt;=BankCostEnvelope*'5. Scenarios'!$D$7,1,0))</f>
        <v/>
      </c>
      <c r="R1558" s="57" t="str">
        <f aca="false">IF($N1558="","",INDEX(BookRate,1553)*(1+'5. Scenarios'!$D$10)*(INDEX(BookQ1,1553)*(5-MIN(4,1+'5. Scenarios'!$D$8))/4+INDEX(BookQ2,1553)*(5-MIN(4,2+'5. Scenarios'!$D$8))/4+INDEX(BookQ3,1553)*(5-MIN(4,3+'5. Scenarios'!$D$8))/4+INDEX(BookQ4,1553)*(5-MIN(4,4+'5. Scenarios'!$D$8))/4)*'5. Scenarios'!$D$6/(1+ProductivityDefault*('5. Scenarios'!$D$11-1))+INDEX(BookOneOff,1553)*$N1558)</f>
        <v/>
      </c>
      <c r="S1558" s="56" t="str">
        <f aca="false">IF(INDEX(BookTitle,1553)="","",INDEX(BookTotal,1553)*'5. Scenarios'!$E$6/(1+ProductivityDefault*('5. Scenarios'!$E$11-1)))</f>
        <v/>
      </c>
      <c r="T1558" s="57" t="str">
        <f aca="false">IF($S1558="","",INDEX(BookRate,1553)*(1+'5. Scenarios'!$E$10)*$S1558)</f>
        <v/>
      </c>
      <c r="U1558" s="57" t="str">
        <f aca="false">IF($T1558="","",SUMIFS($T$6:$T$2405,$A$6:$A$2405,"&lt;="&amp;$A1558))</f>
        <v/>
      </c>
      <c r="V1558" s="57" t="str">
        <f aca="false">IF($T1558="","",IF($U1558&lt;=BankCostEnvelope*'5. Scenarios'!$E$7,1,0))</f>
        <v/>
      </c>
      <c r="W1558" s="57" t="str">
        <f aca="false">IF($S1558="","",INDEX(BookRate,1553)*(1+'5. Scenarios'!$E$10)*(INDEX(BookQ1,1553)*(5-MIN(4,1+'5. Scenarios'!$E$8))/4+INDEX(BookQ2,1553)*(5-MIN(4,2+'5. Scenarios'!$E$8))/4+INDEX(BookQ3,1553)*(5-MIN(4,3+'5. Scenarios'!$E$8))/4+INDEX(BookQ4,1553)*(5-MIN(4,4+'5. Scenarios'!$E$8))/4)*'5. Scenarios'!$E$6/(1+ProductivityDefault*('5. Scenarios'!$E$11-1))+INDEX(BookOneOff,1553)*$S1558)</f>
        <v/>
      </c>
    </row>
    <row r="1559" customFormat="false" ht="15" hidden="false" customHeight="false" outlineLevel="0" collapsed="false">
      <c r="A1559" s="0" t="str">
        <f aca="false">IF(INDEX(BookTitle,1554)="","",INDEX(BookKey,1554))</f>
        <v/>
      </c>
      <c r="B1559" s="0" t="str">
        <f aca="false">IF(INDEX(BookTitle,1554)="","",INDEX(BookGroup,1554))</f>
        <v/>
      </c>
      <c r="C1559" s="0" t="str">
        <f aca="false">IF(INDEX(BookTitle,1554)="","",INDEX(BookCategory,1554))</f>
        <v/>
      </c>
      <c r="D1559" s="56" t="str">
        <f aca="false">IF(INDEX(BookTitle,1554)="","",INDEX(BookTotal,1554)*'5. Scenarios'!$B$6/(1+ProductivityDefault*('5. Scenarios'!$B$11-1)))</f>
        <v/>
      </c>
      <c r="E1559" s="57" t="str">
        <f aca="false">IF($D1559="","",INDEX(BookRate,1554)*(1+'5. Scenarios'!$B$10)*$D1559)</f>
        <v/>
      </c>
      <c r="F1559" s="57" t="str">
        <f aca="false">IF($E1559="","",SUMIFS($E$6:$E$2405,$A$6:$A$2405,"&lt;="&amp;$A1559))</f>
        <v/>
      </c>
      <c r="G1559" s="57" t="str">
        <f aca="false">IF($E1559="","",IF($F1559&lt;=BankCostEnvelope*'5. Scenarios'!$B$7,1,0))</f>
        <v/>
      </c>
      <c r="H1559" s="57" t="str">
        <f aca="false">IF($D1559="","",INDEX(BookRate,1554)*(1+'5. Scenarios'!$B$10)*(INDEX(BookQ1,1554)*(5-MIN(4,1+'5. Scenarios'!$B$8))/4+INDEX(BookQ2,1554)*(5-MIN(4,2+'5. Scenarios'!$B$8))/4+INDEX(BookQ3,1554)*(5-MIN(4,3+'5. Scenarios'!$B$8))/4+INDEX(BookQ4,1554)*(5-MIN(4,4+'5. Scenarios'!$B$8))/4)*'5. Scenarios'!$B$6/(1+ProductivityDefault*('5. Scenarios'!$B$11-1))+INDEX(BookOneOff,1554)*$D1559)</f>
        <v/>
      </c>
      <c r="I1559" s="56" t="str">
        <f aca="false">IF(INDEX(BookTitle,1554)="","",INDEX(BookTotal,1554)*'5. Scenarios'!$C$6/(1+ProductivityDefault*('5. Scenarios'!$C$11-1)))</f>
        <v/>
      </c>
      <c r="J1559" s="57" t="str">
        <f aca="false">IF($I1559="","",INDEX(BookRate,1554)*(1+'5. Scenarios'!$C$10)*$I1559)</f>
        <v/>
      </c>
      <c r="K1559" s="57" t="str">
        <f aca="false">IF($J1559="","",SUMIFS($J$6:$J$2405,$A$6:$A$2405,"&lt;="&amp;$A1559))</f>
        <v/>
      </c>
      <c r="L1559" s="57" t="str">
        <f aca="false">IF($J1559="","",IF($K1559&lt;=BankCostEnvelope*'5. Scenarios'!$C$7,1,0))</f>
        <v/>
      </c>
      <c r="M1559" s="57" t="str">
        <f aca="false">IF($I1559="","",INDEX(BookRate,1554)*(1+'5. Scenarios'!$C$10)*(INDEX(BookQ1,1554)*(5-MIN(4,1+'5. Scenarios'!$C$8))/4+INDEX(BookQ2,1554)*(5-MIN(4,2+'5. Scenarios'!$C$8))/4+INDEX(BookQ3,1554)*(5-MIN(4,3+'5. Scenarios'!$C$8))/4+INDEX(BookQ4,1554)*(5-MIN(4,4+'5. Scenarios'!$C$8))/4)*'5. Scenarios'!$C$6/(1+ProductivityDefault*('5. Scenarios'!$C$11-1))+INDEX(BookOneOff,1554)*$I1559)</f>
        <v/>
      </c>
      <c r="N1559" s="56" t="str">
        <f aca="false">IF(INDEX(BookTitle,1554)="","",INDEX(BookTotal,1554)*'5. Scenarios'!$D$6/(1+ProductivityDefault*('5. Scenarios'!$D$11-1)))</f>
        <v/>
      </c>
      <c r="O1559" s="57" t="str">
        <f aca="false">IF($N1559="","",INDEX(BookRate,1554)*(1+'5. Scenarios'!$D$10)*$N1559)</f>
        <v/>
      </c>
      <c r="P1559" s="57" t="str">
        <f aca="false">IF($O1559="","",SUMIFS($O$6:$O$2405,$A$6:$A$2405,"&lt;="&amp;$A1559))</f>
        <v/>
      </c>
      <c r="Q1559" s="57" t="str">
        <f aca="false">IF($O1559="","",IF($P1559&lt;=BankCostEnvelope*'5. Scenarios'!$D$7,1,0))</f>
        <v/>
      </c>
      <c r="R1559" s="57" t="str">
        <f aca="false">IF($N1559="","",INDEX(BookRate,1554)*(1+'5. Scenarios'!$D$10)*(INDEX(BookQ1,1554)*(5-MIN(4,1+'5. Scenarios'!$D$8))/4+INDEX(BookQ2,1554)*(5-MIN(4,2+'5. Scenarios'!$D$8))/4+INDEX(BookQ3,1554)*(5-MIN(4,3+'5. Scenarios'!$D$8))/4+INDEX(BookQ4,1554)*(5-MIN(4,4+'5. Scenarios'!$D$8))/4)*'5. Scenarios'!$D$6/(1+ProductivityDefault*('5. Scenarios'!$D$11-1))+INDEX(BookOneOff,1554)*$N1559)</f>
        <v/>
      </c>
      <c r="S1559" s="56" t="str">
        <f aca="false">IF(INDEX(BookTitle,1554)="","",INDEX(BookTotal,1554)*'5. Scenarios'!$E$6/(1+ProductivityDefault*('5. Scenarios'!$E$11-1)))</f>
        <v/>
      </c>
      <c r="T1559" s="57" t="str">
        <f aca="false">IF($S1559="","",INDEX(BookRate,1554)*(1+'5. Scenarios'!$E$10)*$S1559)</f>
        <v/>
      </c>
      <c r="U1559" s="57" t="str">
        <f aca="false">IF($T1559="","",SUMIFS($T$6:$T$2405,$A$6:$A$2405,"&lt;="&amp;$A1559))</f>
        <v/>
      </c>
      <c r="V1559" s="57" t="str">
        <f aca="false">IF($T1559="","",IF($U1559&lt;=BankCostEnvelope*'5. Scenarios'!$E$7,1,0))</f>
        <v/>
      </c>
      <c r="W1559" s="57" t="str">
        <f aca="false">IF($S1559="","",INDEX(BookRate,1554)*(1+'5. Scenarios'!$E$10)*(INDEX(BookQ1,1554)*(5-MIN(4,1+'5. Scenarios'!$E$8))/4+INDEX(BookQ2,1554)*(5-MIN(4,2+'5. Scenarios'!$E$8))/4+INDEX(BookQ3,1554)*(5-MIN(4,3+'5. Scenarios'!$E$8))/4+INDEX(BookQ4,1554)*(5-MIN(4,4+'5. Scenarios'!$E$8))/4)*'5. Scenarios'!$E$6/(1+ProductivityDefault*('5. Scenarios'!$E$11-1))+INDEX(BookOneOff,1554)*$S1559)</f>
        <v/>
      </c>
    </row>
    <row r="1560" customFormat="false" ht="15" hidden="false" customHeight="false" outlineLevel="0" collapsed="false">
      <c r="A1560" s="0" t="str">
        <f aca="false">IF(INDEX(BookTitle,1555)="","",INDEX(BookKey,1555))</f>
        <v/>
      </c>
      <c r="B1560" s="0" t="str">
        <f aca="false">IF(INDEX(BookTitle,1555)="","",INDEX(BookGroup,1555))</f>
        <v/>
      </c>
      <c r="C1560" s="0" t="str">
        <f aca="false">IF(INDEX(BookTitle,1555)="","",INDEX(BookCategory,1555))</f>
        <v/>
      </c>
      <c r="D1560" s="56" t="str">
        <f aca="false">IF(INDEX(BookTitle,1555)="","",INDEX(BookTotal,1555)*'5. Scenarios'!$B$6/(1+ProductivityDefault*('5. Scenarios'!$B$11-1)))</f>
        <v/>
      </c>
      <c r="E1560" s="57" t="str">
        <f aca="false">IF($D1560="","",INDEX(BookRate,1555)*(1+'5. Scenarios'!$B$10)*$D1560)</f>
        <v/>
      </c>
      <c r="F1560" s="57" t="str">
        <f aca="false">IF($E1560="","",SUMIFS($E$6:$E$2405,$A$6:$A$2405,"&lt;="&amp;$A1560))</f>
        <v/>
      </c>
      <c r="G1560" s="57" t="str">
        <f aca="false">IF($E1560="","",IF($F1560&lt;=BankCostEnvelope*'5. Scenarios'!$B$7,1,0))</f>
        <v/>
      </c>
      <c r="H1560" s="57" t="str">
        <f aca="false">IF($D1560="","",INDEX(BookRate,1555)*(1+'5. Scenarios'!$B$10)*(INDEX(BookQ1,1555)*(5-MIN(4,1+'5. Scenarios'!$B$8))/4+INDEX(BookQ2,1555)*(5-MIN(4,2+'5. Scenarios'!$B$8))/4+INDEX(BookQ3,1555)*(5-MIN(4,3+'5. Scenarios'!$B$8))/4+INDEX(BookQ4,1555)*(5-MIN(4,4+'5. Scenarios'!$B$8))/4)*'5. Scenarios'!$B$6/(1+ProductivityDefault*('5. Scenarios'!$B$11-1))+INDEX(BookOneOff,1555)*$D1560)</f>
        <v/>
      </c>
      <c r="I1560" s="56" t="str">
        <f aca="false">IF(INDEX(BookTitle,1555)="","",INDEX(BookTotal,1555)*'5. Scenarios'!$C$6/(1+ProductivityDefault*('5. Scenarios'!$C$11-1)))</f>
        <v/>
      </c>
      <c r="J1560" s="57" t="str">
        <f aca="false">IF($I1560="","",INDEX(BookRate,1555)*(1+'5. Scenarios'!$C$10)*$I1560)</f>
        <v/>
      </c>
      <c r="K1560" s="57" t="str">
        <f aca="false">IF($J1560="","",SUMIFS($J$6:$J$2405,$A$6:$A$2405,"&lt;="&amp;$A1560))</f>
        <v/>
      </c>
      <c r="L1560" s="57" t="str">
        <f aca="false">IF($J1560="","",IF($K1560&lt;=BankCostEnvelope*'5. Scenarios'!$C$7,1,0))</f>
        <v/>
      </c>
      <c r="M1560" s="57" t="str">
        <f aca="false">IF($I1560="","",INDEX(BookRate,1555)*(1+'5. Scenarios'!$C$10)*(INDEX(BookQ1,1555)*(5-MIN(4,1+'5. Scenarios'!$C$8))/4+INDEX(BookQ2,1555)*(5-MIN(4,2+'5. Scenarios'!$C$8))/4+INDEX(BookQ3,1555)*(5-MIN(4,3+'5. Scenarios'!$C$8))/4+INDEX(BookQ4,1555)*(5-MIN(4,4+'5. Scenarios'!$C$8))/4)*'5. Scenarios'!$C$6/(1+ProductivityDefault*('5. Scenarios'!$C$11-1))+INDEX(BookOneOff,1555)*$I1560)</f>
        <v/>
      </c>
      <c r="N1560" s="56" t="str">
        <f aca="false">IF(INDEX(BookTitle,1555)="","",INDEX(BookTotal,1555)*'5. Scenarios'!$D$6/(1+ProductivityDefault*('5. Scenarios'!$D$11-1)))</f>
        <v/>
      </c>
      <c r="O1560" s="57" t="str">
        <f aca="false">IF($N1560="","",INDEX(BookRate,1555)*(1+'5. Scenarios'!$D$10)*$N1560)</f>
        <v/>
      </c>
      <c r="P1560" s="57" t="str">
        <f aca="false">IF($O1560="","",SUMIFS($O$6:$O$2405,$A$6:$A$2405,"&lt;="&amp;$A1560))</f>
        <v/>
      </c>
      <c r="Q1560" s="57" t="str">
        <f aca="false">IF($O1560="","",IF($P1560&lt;=BankCostEnvelope*'5. Scenarios'!$D$7,1,0))</f>
        <v/>
      </c>
      <c r="R1560" s="57" t="str">
        <f aca="false">IF($N1560="","",INDEX(BookRate,1555)*(1+'5. Scenarios'!$D$10)*(INDEX(BookQ1,1555)*(5-MIN(4,1+'5. Scenarios'!$D$8))/4+INDEX(BookQ2,1555)*(5-MIN(4,2+'5. Scenarios'!$D$8))/4+INDEX(BookQ3,1555)*(5-MIN(4,3+'5. Scenarios'!$D$8))/4+INDEX(BookQ4,1555)*(5-MIN(4,4+'5. Scenarios'!$D$8))/4)*'5. Scenarios'!$D$6/(1+ProductivityDefault*('5. Scenarios'!$D$11-1))+INDEX(BookOneOff,1555)*$N1560)</f>
        <v/>
      </c>
      <c r="S1560" s="56" t="str">
        <f aca="false">IF(INDEX(BookTitle,1555)="","",INDEX(BookTotal,1555)*'5. Scenarios'!$E$6/(1+ProductivityDefault*('5. Scenarios'!$E$11-1)))</f>
        <v/>
      </c>
      <c r="T1560" s="57" t="str">
        <f aca="false">IF($S1560="","",INDEX(BookRate,1555)*(1+'5. Scenarios'!$E$10)*$S1560)</f>
        <v/>
      </c>
      <c r="U1560" s="57" t="str">
        <f aca="false">IF($T1560="","",SUMIFS($T$6:$T$2405,$A$6:$A$2405,"&lt;="&amp;$A1560))</f>
        <v/>
      </c>
      <c r="V1560" s="57" t="str">
        <f aca="false">IF($T1560="","",IF($U1560&lt;=BankCostEnvelope*'5. Scenarios'!$E$7,1,0))</f>
        <v/>
      </c>
      <c r="W1560" s="57" t="str">
        <f aca="false">IF($S1560="","",INDEX(BookRate,1555)*(1+'5. Scenarios'!$E$10)*(INDEX(BookQ1,1555)*(5-MIN(4,1+'5. Scenarios'!$E$8))/4+INDEX(BookQ2,1555)*(5-MIN(4,2+'5. Scenarios'!$E$8))/4+INDEX(BookQ3,1555)*(5-MIN(4,3+'5. Scenarios'!$E$8))/4+INDEX(BookQ4,1555)*(5-MIN(4,4+'5. Scenarios'!$E$8))/4)*'5. Scenarios'!$E$6/(1+ProductivityDefault*('5. Scenarios'!$E$11-1))+INDEX(BookOneOff,1555)*$S1560)</f>
        <v/>
      </c>
    </row>
    <row r="1561" customFormat="false" ht="15" hidden="false" customHeight="false" outlineLevel="0" collapsed="false">
      <c r="A1561" s="0" t="str">
        <f aca="false">IF(INDEX(BookTitle,1556)="","",INDEX(BookKey,1556))</f>
        <v/>
      </c>
      <c r="B1561" s="0" t="str">
        <f aca="false">IF(INDEX(BookTitle,1556)="","",INDEX(BookGroup,1556))</f>
        <v/>
      </c>
      <c r="C1561" s="0" t="str">
        <f aca="false">IF(INDEX(BookTitle,1556)="","",INDEX(BookCategory,1556))</f>
        <v/>
      </c>
      <c r="D1561" s="56" t="str">
        <f aca="false">IF(INDEX(BookTitle,1556)="","",INDEX(BookTotal,1556)*'5. Scenarios'!$B$6/(1+ProductivityDefault*('5. Scenarios'!$B$11-1)))</f>
        <v/>
      </c>
      <c r="E1561" s="57" t="str">
        <f aca="false">IF($D1561="","",INDEX(BookRate,1556)*(1+'5. Scenarios'!$B$10)*$D1561)</f>
        <v/>
      </c>
      <c r="F1561" s="57" t="str">
        <f aca="false">IF($E1561="","",SUMIFS($E$6:$E$2405,$A$6:$A$2405,"&lt;="&amp;$A1561))</f>
        <v/>
      </c>
      <c r="G1561" s="57" t="str">
        <f aca="false">IF($E1561="","",IF($F1561&lt;=BankCostEnvelope*'5. Scenarios'!$B$7,1,0))</f>
        <v/>
      </c>
      <c r="H1561" s="57" t="str">
        <f aca="false">IF($D1561="","",INDEX(BookRate,1556)*(1+'5. Scenarios'!$B$10)*(INDEX(BookQ1,1556)*(5-MIN(4,1+'5. Scenarios'!$B$8))/4+INDEX(BookQ2,1556)*(5-MIN(4,2+'5. Scenarios'!$B$8))/4+INDEX(BookQ3,1556)*(5-MIN(4,3+'5. Scenarios'!$B$8))/4+INDEX(BookQ4,1556)*(5-MIN(4,4+'5. Scenarios'!$B$8))/4)*'5. Scenarios'!$B$6/(1+ProductivityDefault*('5. Scenarios'!$B$11-1))+INDEX(BookOneOff,1556)*$D1561)</f>
        <v/>
      </c>
      <c r="I1561" s="56" t="str">
        <f aca="false">IF(INDEX(BookTitle,1556)="","",INDEX(BookTotal,1556)*'5. Scenarios'!$C$6/(1+ProductivityDefault*('5. Scenarios'!$C$11-1)))</f>
        <v/>
      </c>
      <c r="J1561" s="57" t="str">
        <f aca="false">IF($I1561="","",INDEX(BookRate,1556)*(1+'5. Scenarios'!$C$10)*$I1561)</f>
        <v/>
      </c>
      <c r="K1561" s="57" t="str">
        <f aca="false">IF($J1561="","",SUMIFS($J$6:$J$2405,$A$6:$A$2405,"&lt;="&amp;$A1561))</f>
        <v/>
      </c>
      <c r="L1561" s="57" t="str">
        <f aca="false">IF($J1561="","",IF($K1561&lt;=BankCostEnvelope*'5. Scenarios'!$C$7,1,0))</f>
        <v/>
      </c>
      <c r="M1561" s="57" t="str">
        <f aca="false">IF($I1561="","",INDEX(BookRate,1556)*(1+'5. Scenarios'!$C$10)*(INDEX(BookQ1,1556)*(5-MIN(4,1+'5. Scenarios'!$C$8))/4+INDEX(BookQ2,1556)*(5-MIN(4,2+'5. Scenarios'!$C$8))/4+INDEX(BookQ3,1556)*(5-MIN(4,3+'5. Scenarios'!$C$8))/4+INDEX(BookQ4,1556)*(5-MIN(4,4+'5. Scenarios'!$C$8))/4)*'5. Scenarios'!$C$6/(1+ProductivityDefault*('5. Scenarios'!$C$11-1))+INDEX(BookOneOff,1556)*$I1561)</f>
        <v/>
      </c>
      <c r="N1561" s="56" t="str">
        <f aca="false">IF(INDEX(BookTitle,1556)="","",INDEX(BookTotal,1556)*'5. Scenarios'!$D$6/(1+ProductivityDefault*('5. Scenarios'!$D$11-1)))</f>
        <v/>
      </c>
      <c r="O1561" s="57" t="str">
        <f aca="false">IF($N1561="","",INDEX(BookRate,1556)*(1+'5. Scenarios'!$D$10)*$N1561)</f>
        <v/>
      </c>
      <c r="P1561" s="57" t="str">
        <f aca="false">IF($O1561="","",SUMIFS($O$6:$O$2405,$A$6:$A$2405,"&lt;="&amp;$A1561))</f>
        <v/>
      </c>
      <c r="Q1561" s="57" t="str">
        <f aca="false">IF($O1561="","",IF($P1561&lt;=BankCostEnvelope*'5. Scenarios'!$D$7,1,0))</f>
        <v/>
      </c>
      <c r="R1561" s="57" t="str">
        <f aca="false">IF($N1561="","",INDEX(BookRate,1556)*(1+'5. Scenarios'!$D$10)*(INDEX(BookQ1,1556)*(5-MIN(4,1+'5. Scenarios'!$D$8))/4+INDEX(BookQ2,1556)*(5-MIN(4,2+'5. Scenarios'!$D$8))/4+INDEX(BookQ3,1556)*(5-MIN(4,3+'5. Scenarios'!$D$8))/4+INDEX(BookQ4,1556)*(5-MIN(4,4+'5. Scenarios'!$D$8))/4)*'5. Scenarios'!$D$6/(1+ProductivityDefault*('5. Scenarios'!$D$11-1))+INDEX(BookOneOff,1556)*$N1561)</f>
        <v/>
      </c>
      <c r="S1561" s="56" t="str">
        <f aca="false">IF(INDEX(BookTitle,1556)="","",INDEX(BookTotal,1556)*'5. Scenarios'!$E$6/(1+ProductivityDefault*('5. Scenarios'!$E$11-1)))</f>
        <v/>
      </c>
      <c r="T1561" s="57" t="str">
        <f aca="false">IF($S1561="","",INDEX(BookRate,1556)*(1+'5. Scenarios'!$E$10)*$S1561)</f>
        <v/>
      </c>
      <c r="U1561" s="57" t="str">
        <f aca="false">IF($T1561="","",SUMIFS($T$6:$T$2405,$A$6:$A$2405,"&lt;="&amp;$A1561))</f>
        <v/>
      </c>
      <c r="V1561" s="57" t="str">
        <f aca="false">IF($T1561="","",IF($U1561&lt;=BankCostEnvelope*'5. Scenarios'!$E$7,1,0))</f>
        <v/>
      </c>
      <c r="W1561" s="57" t="str">
        <f aca="false">IF($S1561="","",INDEX(BookRate,1556)*(1+'5. Scenarios'!$E$10)*(INDEX(BookQ1,1556)*(5-MIN(4,1+'5. Scenarios'!$E$8))/4+INDEX(BookQ2,1556)*(5-MIN(4,2+'5. Scenarios'!$E$8))/4+INDEX(BookQ3,1556)*(5-MIN(4,3+'5. Scenarios'!$E$8))/4+INDEX(BookQ4,1556)*(5-MIN(4,4+'5. Scenarios'!$E$8))/4)*'5. Scenarios'!$E$6/(1+ProductivityDefault*('5. Scenarios'!$E$11-1))+INDEX(BookOneOff,1556)*$S1561)</f>
        <v/>
      </c>
    </row>
    <row r="1562" customFormat="false" ht="15" hidden="false" customHeight="false" outlineLevel="0" collapsed="false">
      <c r="A1562" s="0" t="str">
        <f aca="false">IF(INDEX(BookTitle,1557)="","",INDEX(BookKey,1557))</f>
        <v/>
      </c>
      <c r="B1562" s="0" t="str">
        <f aca="false">IF(INDEX(BookTitle,1557)="","",INDEX(BookGroup,1557))</f>
        <v/>
      </c>
      <c r="C1562" s="0" t="str">
        <f aca="false">IF(INDEX(BookTitle,1557)="","",INDEX(BookCategory,1557))</f>
        <v/>
      </c>
      <c r="D1562" s="56" t="str">
        <f aca="false">IF(INDEX(BookTitle,1557)="","",INDEX(BookTotal,1557)*'5. Scenarios'!$B$6/(1+ProductivityDefault*('5. Scenarios'!$B$11-1)))</f>
        <v/>
      </c>
      <c r="E1562" s="57" t="str">
        <f aca="false">IF($D1562="","",INDEX(BookRate,1557)*(1+'5. Scenarios'!$B$10)*$D1562)</f>
        <v/>
      </c>
      <c r="F1562" s="57" t="str">
        <f aca="false">IF($E1562="","",SUMIFS($E$6:$E$2405,$A$6:$A$2405,"&lt;="&amp;$A1562))</f>
        <v/>
      </c>
      <c r="G1562" s="57" t="str">
        <f aca="false">IF($E1562="","",IF($F1562&lt;=BankCostEnvelope*'5. Scenarios'!$B$7,1,0))</f>
        <v/>
      </c>
      <c r="H1562" s="57" t="str">
        <f aca="false">IF($D1562="","",INDEX(BookRate,1557)*(1+'5. Scenarios'!$B$10)*(INDEX(BookQ1,1557)*(5-MIN(4,1+'5. Scenarios'!$B$8))/4+INDEX(BookQ2,1557)*(5-MIN(4,2+'5. Scenarios'!$B$8))/4+INDEX(BookQ3,1557)*(5-MIN(4,3+'5. Scenarios'!$B$8))/4+INDEX(BookQ4,1557)*(5-MIN(4,4+'5. Scenarios'!$B$8))/4)*'5. Scenarios'!$B$6/(1+ProductivityDefault*('5. Scenarios'!$B$11-1))+INDEX(BookOneOff,1557)*$D1562)</f>
        <v/>
      </c>
      <c r="I1562" s="56" t="str">
        <f aca="false">IF(INDEX(BookTitle,1557)="","",INDEX(BookTotal,1557)*'5. Scenarios'!$C$6/(1+ProductivityDefault*('5. Scenarios'!$C$11-1)))</f>
        <v/>
      </c>
      <c r="J1562" s="57" t="str">
        <f aca="false">IF($I1562="","",INDEX(BookRate,1557)*(1+'5. Scenarios'!$C$10)*$I1562)</f>
        <v/>
      </c>
      <c r="K1562" s="57" t="str">
        <f aca="false">IF($J1562="","",SUMIFS($J$6:$J$2405,$A$6:$A$2405,"&lt;="&amp;$A1562))</f>
        <v/>
      </c>
      <c r="L1562" s="57" t="str">
        <f aca="false">IF($J1562="","",IF($K1562&lt;=BankCostEnvelope*'5. Scenarios'!$C$7,1,0))</f>
        <v/>
      </c>
      <c r="M1562" s="57" t="str">
        <f aca="false">IF($I1562="","",INDEX(BookRate,1557)*(1+'5. Scenarios'!$C$10)*(INDEX(BookQ1,1557)*(5-MIN(4,1+'5. Scenarios'!$C$8))/4+INDEX(BookQ2,1557)*(5-MIN(4,2+'5. Scenarios'!$C$8))/4+INDEX(BookQ3,1557)*(5-MIN(4,3+'5. Scenarios'!$C$8))/4+INDEX(BookQ4,1557)*(5-MIN(4,4+'5. Scenarios'!$C$8))/4)*'5. Scenarios'!$C$6/(1+ProductivityDefault*('5. Scenarios'!$C$11-1))+INDEX(BookOneOff,1557)*$I1562)</f>
        <v/>
      </c>
      <c r="N1562" s="56" t="str">
        <f aca="false">IF(INDEX(BookTitle,1557)="","",INDEX(BookTotal,1557)*'5. Scenarios'!$D$6/(1+ProductivityDefault*('5. Scenarios'!$D$11-1)))</f>
        <v/>
      </c>
      <c r="O1562" s="57" t="str">
        <f aca="false">IF($N1562="","",INDEX(BookRate,1557)*(1+'5. Scenarios'!$D$10)*$N1562)</f>
        <v/>
      </c>
      <c r="P1562" s="57" t="str">
        <f aca="false">IF($O1562="","",SUMIFS($O$6:$O$2405,$A$6:$A$2405,"&lt;="&amp;$A1562))</f>
        <v/>
      </c>
      <c r="Q1562" s="57" t="str">
        <f aca="false">IF($O1562="","",IF($P1562&lt;=BankCostEnvelope*'5. Scenarios'!$D$7,1,0))</f>
        <v/>
      </c>
      <c r="R1562" s="57" t="str">
        <f aca="false">IF($N1562="","",INDEX(BookRate,1557)*(1+'5. Scenarios'!$D$10)*(INDEX(BookQ1,1557)*(5-MIN(4,1+'5. Scenarios'!$D$8))/4+INDEX(BookQ2,1557)*(5-MIN(4,2+'5. Scenarios'!$D$8))/4+INDEX(BookQ3,1557)*(5-MIN(4,3+'5. Scenarios'!$D$8))/4+INDEX(BookQ4,1557)*(5-MIN(4,4+'5. Scenarios'!$D$8))/4)*'5. Scenarios'!$D$6/(1+ProductivityDefault*('5. Scenarios'!$D$11-1))+INDEX(BookOneOff,1557)*$N1562)</f>
        <v/>
      </c>
      <c r="S1562" s="56" t="str">
        <f aca="false">IF(INDEX(BookTitle,1557)="","",INDEX(BookTotal,1557)*'5. Scenarios'!$E$6/(1+ProductivityDefault*('5. Scenarios'!$E$11-1)))</f>
        <v/>
      </c>
      <c r="T1562" s="57" t="str">
        <f aca="false">IF($S1562="","",INDEX(BookRate,1557)*(1+'5. Scenarios'!$E$10)*$S1562)</f>
        <v/>
      </c>
      <c r="U1562" s="57" t="str">
        <f aca="false">IF($T1562="","",SUMIFS($T$6:$T$2405,$A$6:$A$2405,"&lt;="&amp;$A1562))</f>
        <v/>
      </c>
      <c r="V1562" s="57" t="str">
        <f aca="false">IF($T1562="","",IF($U1562&lt;=BankCostEnvelope*'5. Scenarios'!$E$7,1,0))</f>
        <v/>
      </c>
      <c r="W1562" s="57" t="str">
        <f aca="false">IF($S1562="","",INDEX(BookRate,1557)*(1+'5. Scenarios'!$E$10)*(INDEX(BookQ1,1557)*(5-MIN(4,1+'5. Scenarios'!$E$8))/4+INDEX(BookQ2,1557)*(5-MIN(4,2+'5. Scenarios'!$E$8))/4+INDEX(BookQ3,1557)*(5-MIN(4,3+'5. Scenarios'!$E$8))/4+INDEX(BookQ4,1557)*(5-MIN(4,4+'5. Scenarios'!$E$8))/4)*'5. Scenarios'!$E$6/(1+ProductivityDefault*('5. Scenarios'!$E$11-1))+INDEX(BookOneOff,1557)*$S1562)</f>
        <v/>
      </c>
    </row>
    <row r="1563" customFormat="false" ht="15" hidden="false" customHeight="false" outlineLevel="0" collapsed="false">
      <c r="A1563" s="0" t="str">
        <f aca="false">IF(INDEX(BookTitle,1558)="","",INDEX(BookKey,1558))</f>
        <v/>
      </c>
      <c r="B1563" s="0" t="str">
        <f aca="false">IF(INDEX(BookTitle,1558)="","",INDEX(BookGroup,1558))</f>
        <v/>
      </c>
      <c r="C1563" s="0" t="str">
        <f aca="false">IF(INDEX(BookTitle,1558)="","",INDEX(BookCategory,1558))</f>
        <v/>
      </c>
      <c r="D1563" s="56" t="str">
        <f aca="false">IF(INDEX(BookTitle,1558)="","",INDEX(BookTotal,1558)*'5. Scenarios'!$B$6/(1+ProductivityDefault*('5. Scenarios'!$B$11-1)))</f>
        <v/>
      </c>
      <c r="E1563" s="57" t="str">
        <f aca="false">IF($D1563="","",INDEX(BookRate,1558)*(1+'5. Scenarios'!$B$10)*$D1563)</f>
        <v/>
      </c>
      <c r="F1563" s="57" t="str">
        <f aca="false">IF($E1563="","",SUMIFS($E$6:$E$2405,$A$6:$A$2405,"&lt;="&amp;$A1563))</f>
        <v/>
      </c>
      <c r="G1563" s="57" t="str">
        <f aca="false">IF($E1563="","",IF($F1563&lt;=BankCostEnvelope*'5. Scenarios'!$B$7,1,0))</f>
        <v/>
      </c>
      <c r="H1563" s="57" t="str">
        <f aca="false">IF($D1563="","",INDEX(BookRate,1558)*(1+'5. Scenarios'!$B$10)*(INDEX(BookQ1,1558)*(5-MIN(4,1+'5. Scenarios'!$B$8))/4+INDEX(BookQ2,1558)*(5-MIN(4,2+'5. Scenarios'!$B$8))/4+INDEX(BookQ3,1558)*(5-MIN(4,3+'5. Scenarios'!$B$8))/4+INDEX(BookQ4,1558)*(5-MIN(4,4+'5. Scenarios'!$B$8))/4)*'5. Scenarios'!$B$6/(1+ProductivityDefault*('5. Scenarios'!$B$11-1))+INDEX(BookOneOff,1558)*$D1563)</f>
        <v/>
      </c>
      <c r="I1563" s="56" t="str">
        <f aca="false">IF(INDEX(BookTitle,1558)="","",INDEX(BookTotal,1558)*'5. Scenarios'!$C$6/(1+ProductivityDefault*('5. Scenarios'!$C$11-1)))</f>
        <v/>
      </c>
      <c r="J1563" s="57" t="str">
        <f aca="false">IF($I1563="","",INDEX(BookRate,1558)*(1+'5. Scenarios'!$C$10)*$I1563)</f>
        <v/>
      </c>
      <c r="K1563" s="57" t="str">
        <f aca="false">IF($J1563="","",SUMIFS($J$6:$J$2405,$A$6:$A$2405,"&lt;="&amp;$A1563))</f>
        <v/>
      </c>
      <c r="L1563" s="57" t="str">
        <f aca="false">IF($J1563="","",IF($K1563&lt;=BankCostEnvelope*'5. Scenarios'!$C$7,1,0))</f>
        <v/>
      </c>
      <c r="M1563" s="57" t="str">
        <f aca="false">IF($I1563="","",INDEX(BookRate,1558)*(1+'5. Scenarios'!$C$10)*(INDEX(BookQ1,1558)*(5-MIN(4,1+'5. Scenarios'!$C$8))/4+INDEX(BookQ2,1558)*(5-MIN(4,2+'5. Scenarios'!$C$8))/4+INDEX(BookQ3,1558)*(5-MIN(4,3+'5. Scenarios'!$C$8))/4+INDEX(BookQ4,1558)*(5-MIN(4,4+'5. Scenarios'!$C$8))/4)*'5. Scenarios'!$C$6/(1+ProductivityDefault*('5. Scenarios'!$C$11-1))+INDEX(BookOneOff,1558)*$I1563)</f>
        <v/>
      </c>
      <c r="N1563" s="56" t="str">
        <f aca="false">IF(INDEX(BookTitle,1558)="","",INDEX(BookTotal,1558)*'5. Scenarios'!$D$6/(1+ProductivityDefault*('5. Scenarios'!$D$11-1)))</f>
        <v/>
      </c>
      <c r="O1563" s="57" t="str">
        <f aca="false">IF($N1563="","",INDEX(BookRate,1558)*(1+'5. Scenarios'!$D$10)*$N1563)</f>
        <v/>
      </c>
      <c r="P1563" s="57" t="str">
        <f aca="false">IF($O1563="","",SUMIFS($O$6:$O$2405,$A$6:$A$2405,"&lt;="&amp;$A1563))</f>
        <v/>
      </c>
      <c r="Q1563" s="57" t="str">
        <f aca="false">IF($O1563="","",IF($P1563&lt;=BankCostEnvelope*'5. Scenarios'!$D$7,1,0))</f>
        <v/>
      </c>
      <c r="R1563" s="57" t="str">
        <f aca="false">IF($N1563="","",INDEX(BookRate,1558)*(1+'5. Scenarios'!$D$10)*(INDEX(BookQ1,1558)*(5-MIN(4,1+'5. Scenarios'!$D$8))/4+INDEX(BookQ2,1558)*(5-MIN(4,2+'5. Scenarios'!$D$8))/4+INDEX(BookQ3,1558)*(5-MIN(4,3+'5. Scenarios'!$D$8))/4+INDEX(BookQ4,1558)*(5-MIN(4,4+'5. Scenarios'!$D$8))/4)*'5. Scenarios'!$D$6/(1+ProductivityDefault*('5. Scenarios'!$D$11-1))+INDEX(BookOneOff,1558)*$N1563)</f>
        <v/>
      </c>
      <c r="S1563" s="56" t="str">
        <f aca="false">IF(INDEX(BookTitle,1558)="","",INDEX(BookTotal,1558)*'5. Scenarios'!$E$6/(1+ProductivityDefault*('5. Scenarios'!$E$11-1)))</f>
        <v/>
      </c>
      <c r="T1563" s="57" t="str">
        <f aca="false">IF($S1563="","",INDEX(BookRate,1558)*(1+'5. Scenarios'!$E$10)*$S1563)</f>
        <v/>
      </c>
      <c r="U1563" s="57" t="str">
        <f aca="false">IF($T1563="","",SUMIFS($T$6:$T$2405,$A$6:$A$2405,"&lt;="&amp;$A1563))</f>
        <v/>
      </c>
      <c r="V1563" s="57" t="str">
        <f aca="false">IF($T1563="","",IF($U1563&lt;=BankCostEnvelope*'5. Scenarios'!$E$7,1,0))</f>
        <v/>
      </c>
      <c r="W1563" s="57" t="str">
        <f aca="false">IF($S1563="","",INDEX(BookRate,1558)*(1+'5. Scenarios'!$E$10)*(INDEX(BookQ1,1558)*(5-MIN(4,1+'5. Scenarios'!$E$8))/4+INDEX(BookQ2,1558)*(5-MIN(4,2+'5. Scenarios'!$E$8))/4+INDEX(BookQ3,1558)*(5-MIN(4,3+'5. Scenarios'!$E$8))/4+INDEX(BookQ4,1558)*(5-MIN(4,4+'5. Scenarios'!$E$8))/4)*'5. Scenarios'!$E$6/(1+ProductivityDefault*('5. Scenarios'!$E$11-1))+INDEX(BookOneOff,1558)*$S1563)</f>
        <v/>
      </c>
    </row>
    <row r="1564" customFormat="false" ht="15" hidden="false" customHeight="false" outlineLevel="0" collapsed="false">
      <c r="A1564" s="0" t="str">
        <f aca="false">IF(INDEX(BookTitle,1559)="","",INDEX(BookKey,1559))</f>
        <v/>
      </c>
      <c r="B1564" s="0" t="str">
        <f aca="false">IF(INDEX(BookTitle,1559)="","",INDEX(BookGroup,1559))</f>
        <v/>
      </c>
      <c r="C1564" s="0" t="str">
        <f aca="false">IF(INDEX(BookTitle,1559)="","",INDEX(BookCategory,1559))</f>
        <v/>
      </c>
      <c r="D1564" s="56" t="str">
        <f aca="false">IF(INDEX(BookTitle,1559)="","",INDEX(BookTotal,1559)*'5. Scenarios'!$B$6/(1+ProductivityDefault*('5. Scenarios'!$B$11-1)))</f>
        <v/>
      </c>
      <c r="E1564" s="57" t="str">
        <f aca="false">IF($D1564="","",INDEX(BookRate,1559)*(1+'5. Scenarios'!$B$10)*$D1564)</f>
        <v/>
      </c>
      <c r="F1564" s="57" t="str">
        <f aca="false">IF($E1564="","",SUMIFS($E$6:$E$2405,$A$6:$A$2405,"&lt;="&amp;$A1564))</f>
        <v/>
      </c>
      <c r="G1564" s="57" t="str">
        <f aca="false">IF($E1564="","",IF($F1564&lt;=BankCostEnvelope*'5. Scenarios'!$B$7,1,0))</f>
        <v/>
      </c>
      <c r="H1564" s="57" t="str">
        <f aca="false">IF($D1564="","",INDEX(BookRate,1559)*(1+'5. Scenarios'!$B$10)*(INDEX(BookQ1,1559)*(5-MIN(4,1+'5. Scenarios'!$B$8))/4+INDEX(BookQ2,1559)*(5-MIN(4,2+'5. Scenarios'!$B$8))/4+INDEX(BookQ3,1559)*(5-MIN(4,3+'5. Scenarios'!$B$8))/4+INDEX(BookQ4,1559)*(5-MIN(4,4+'5. Scenarios'!$B$8))/4)*'5. Scenarios'!$B$6/(1+ProductivityDefault*('5. Scenarios'!$B$11-1))+INDEX(BookOneOff,1559)*$D1564)</f>
        <v/>
      </c>
      <c r="I1564" s="56" t="str">
        <f aca="false">IF(INDEX(BookTitle,1559)="","",INDEX(BookTotal,1559)*'5. Scenarios'!$C$6/(1+ProductivityDefault*('5. Scenarios'!$C$11-1)))</f>
        <v/>
      </c>
      <c r="J1564" s="57" t="str">
        <f aca="false">IF($I1564="","",INDEX(BookRate,1559)*(1+'5. Scenarios'!$C$10)*$I1564)</f>
        <v/>
      </c>
      <c r="K1564" s="57" t="str">
        <f aca="false">IF($J1564="","",SUMIFS($J$6:$J$2405,$A$6:$A$2405,"&lt;="&amp;$A1564))</f>
        <v/>
      </c>
      <c r="L1564" s="57" t="str">
        <f aca="false">IF($J1564="","",IF($K1564&lt;=BankCostEnvelope*'5. Scenarios'!$C$7,1,0))</f>
        <v/>
      </c>
      <c r="M1564" s="57" t="str">
        <f aca="false">IF($I1564="","",INDEX(BookRate,1559)*(1+'5. Scenarios'!$C$10)*(INDEX(BookQ1,1559)*(5-MIN(4,1+'5. Scenarios'!$C$8))/4+INDEX(BookQ2,1559)*(5-MIN(4,2+'5. Scenarios'!$C$8))/4+INDEX(BookQ3,1559)*(5-MIN(4,3+'5. Scenarios'!$C$8))/4+INDEX(BookQ4,1559)*(5-MIN(4,4+'5. Scenarios'!$C$8))/4)*'5. Scenarios'!$C$6/(1+ProductivityDefault*('5. Scenarios'!$C$11-1))+INDEX(BookOneOff,1559)*$I1564)</f>
        <v/>
      </c>
      <c r="N1564" s="56" t="str">
        <f aca="false">IF(INDEX(BookTitle,1559)="","",INDEX(BookTotal,1559)*'5. Scenarios'!$D$6/(1+ProductivityDefault*('5. Scenarios'!$D$11-1)))</f>
        <v/>
      </c>
      <c r="O1564" s="57" t="str">
        <f aca="false">IF($N1564="","",INDEX(BookRate,1559)*(1+'5. Scenarios'!$D$10)*$N1564)</f>
        <v/>
      </c>
      <c r="P1564" s="57" t="str">
        <f aca="false">IF($O1564="","",SUMIFS($O$6:$O$2405,$A$6:$A$2405,"&lt;="&amp;$A1564))</f>
        <v/>
      </c>
      <c r="Q1564" s="57" t="str">
        <f aca="false">IF($O1564="","",IF($P1564&lt;=BankCostEnvelope*'5. Scenarios'!$D$7,1,0))</f>
        <v/>
      </c>
      <c r="R1564" s="57" t="str">
        <f aca="false">IF($N1564="","",INDEX(BookRate,1559)*(1+'5. Scenarios'!$D$10)*(INDEX(BookQ1,1559)*(5-MIN(4,1+'5. Scenarios'!$D$8))/4+INDEX(BookQ2,1559)*(5-MIN(4,2+'5. Scenarios'!$D$8))/4+INDEX(BookQ3,1559)*(5-MIN(4,3+'5. Scenarios'!$D$8))/4+INDEX(BookQ4,1559)*(5-MIN(4,4+'5. Scenarios'!$D$8))/4)*'5. Scenarios'!$D$6/(1+ProductivityDefault*('5. Scenarios'!$D$11-1))+INDEX(BookOneOff,1559)*$N1564)</f>
        <v/>
      </c>
      <c r="S1564" s="56" t="str">
        <f aca="false">IF(INDEX(BookTitle,1559)="","",INDEX(BookTotal,1559)*'5. Scenarios'!$E$6/(1+ProductivityDefault*('5. Scenarios'!$E$11-1)))</f>
        <v/>
      </c>
      <c r="T1564" s="57" t="str">
        <f aca="false">IF($S1564="","",INDEX(BookRate,1559)*(1+'5. Scenarios'!$E$10)*$S1564)</f>
        <v/>
      </c>
      <c r="U1564" s="57" t="str">
        <f aca="false">IF($T1564="","",SUMIFS($T$6:$T$2405,$A$6:$A$2405,"&lt;="&amp;$A1564))</f>
        <v/>
      </c>
      <c r="V1564" s="57" t="str">
        <f aca="false">IF($T1564="","",IF($U1564&lt;=BankCostEnvelope*'5. Scenarios'!$E$7,1,0))</f>
        <v/>
      </c>
      <c r="W1564" s="57" t="str">
        <f aca="false">IF($S1564="","",INDEX(BookRate,1559)*(1+'5. Scenarios'!$E$10)*(INDEX(BookQ1,1559)*(5-MIN(4,1+'5. Scenarios'!$E$8))/4+INDEX(BookQ2,1559)*(5-MIN(4,2+'5. Scenarios'!$E$8))/4+INDEX(BookQ3,1559)*(5-MIN(4,3+'5. Scenarios'!$E$8))/4+INDEX(BookQ4,1559)*(5-MIN(4,4+'5. Scenarios'!$E$8))/4)*'5. Scenarios'!$E$6/(1+ProductivityDefault*('5. Scenarios'!$E$11-1))+INDEX(BookOneOff,1559)*$S1564)</f>
        <v/>
      </c>
    </row>
    <row r="1565" customFormat="false" ht="15" hidden="false" customHeight="false" outlineLevel="0" collapsed="false">
      <c r="A1565" s="0" t="str">
        <f aca="false">IF(INDEX(BookTitle,1560)="","",INDEX(BookKey,1560))</f>
        <v/>
      </c>
      <c r="B1565" s="0" t="str">
        <f aca="false">IF(INDEX(BookTitle,1560)="","",INDEX(BookGroup,1560))</f>
        <v/>
      </c>
      <c r="C1565" s="0" t="str">
        <f aca="false">IF(INDEX(BookTitle,1560)="","",INDEX(BookCategory,1560))</f>
        <v/>
      </c>
      <c r="D1565" s="56" t="str">
        <f aca="false">IF(INDEX(BookTitle,1560)="","",INDEX(BookTotal,1560)*'5. Scenarios'!$B$6/(1+ProductivityDefault*('5. Scenarios'!$B$11-1)))</f>
        <v/>
      </c>
      <c r="E1565" s="57" t="str">
        <f aca="false">IF($D1565="","",INDEX(BookRate,1560)*(1+'5. Scenarios'!$B$10)*$D1565)</f>
        <v/>
      </c>
      <c r="F1565" s="57" t="str">
        <f aca="false">IF($E1565="","",SUMIFS($E$6:$E$2405,$A$6:$A$2405,"&lt;="&amp;$A1565))</f>
        <v/>
      </c>
      <c r="G1565" s="57" t="str">
        <f aca="false">IF($E1565="","",IF($F1565&lt;=BankCostEnvelope*'5. Scenarios'!$B$7,1,0))</f>
        <v/>
      </c>
      <c r="H1565" s="57" t="str">
        <f aca="false">IF($D1565="","",INDEX(BookRate,1560)*(1+'5. Scenarios'!$B$10)*(INDEX(BookQ1,1560)*(5-MIN(4,1+'5. Scenarios'!$B$8))/4+INDEX(BookQ2,1560)*(5-MIN(4,2+'5. Scenarios'!$B$8))/4+INDEX(BookQ3,1560)*(5-MIN(4,3+'5. Scenarios'!$B$8))/4+INDEX(BookQ4,1560)*(5-MIN(4,4+'5. Scenarios'!$B$8))/4)*'5. Scenarios'!$B$6/(1+ProductivityDefault*('5. Scenarios'!$B$11-1))+INDEX(BookOneOff,1560)*$D1565)</f>
        <v/>
      </c>
      <c r="I1565" s="56" t="str">
        <f aca="false">IF(INDEX(BookTitle,1560)="","",INDEX(BookTotal,1560)*'5. Scenarios'!$C$6/(1+ProductivityDefault*('5. Scenarios'!$C$11-1)))</f>
        <v/>
      </c>
      <c r="J1565" s="57" t="str">
        <f aca="false">IF($I1565="","",INDEX(BookRate,1560)*(1+'5. Scenarios'!$C$10)*$I1565)</f>
        <v/>
      </c>
      <c r="K1565" s="57" t="str">
        <f aca="false">IF($J1565="","",SUMIFS($J$6:$J$2405,$A$6:$A$2405,"&lt;="&amp;$A1565))</f>
        <v/>
      </c>
      <c r="L1565" s="57" t="str">
        <f aca="false">IF($J1565="","",IF($K1565&lt;=BankCostEnvelope*'5. Scenarios'!$C$7,1,0))</f>
        <v/>
      </c>
      <c r="M1565" s="57" t="str">
        <f aca="false">IF($I1565="","",INDEX(BookRate,1560)*(1+'5. Scenarios'!$C$10)*(INDEX(BookQ1,1560)*(5-MIN(4,1+'5. Scenarios'!$C$8))/4+INDEX(BookQ2,1560)*(5-MIN(4,2+'5. Scenarios'!$C$8))/4+INDEX(BookQ3,1560)*(5-MIN(4,3+'5. Scenarios'!$C$8))/4+INDEX(BookQ4,1560)*(5-MIN(4,4+'5. Scenarios'!$C$8))/4)*'5. Scenarios'!$C$6/(1+ProductivityDefault*('5. Scenarios'!$C$11-1))+INDEX(BookOneOff,1560)*$I1565)</f>
        <v/>
      </c>
      <c r="N1565" s="56" t="str">
        <f aca="false">IF(INDEX(BookTitle,1560)="","",INDEX(BookTotal,1560)*'5. Scenarios'!$D$6/(1+ProductivityDefault*('5. Scenarios'!$D$11-1)))</f>
        <v/>
      </c>
      <c r="O1565" s="57" t="str">
        <f aca="false">IF($N1565="","",INDEX(BookRate,1560)*(1+'5. Scenarios'!$D$10)*$N1565)</f>
        <v/>
      </c>
      <c r="P1565" s="57" t="str">
        <f aca="false">IF($O1565="","",SUMIFS($O$6:$O$2405,$A$6:$A$2405,"&lt;="&amp;$A1565))</f>
        <v/>
      </c>
      <c r="Q1565" s="57" t="str">
        <f aca="false">IF($O1565="","",IF($P1565&lt;=BankCostEnvelope*'5. Scenarios'!$D$7,1,0))</f>
        <v/>
      </c>
      <c r="R1565" s="57" t="str">
        <f aca="false">IF($N1565="","",INDEX(BookRate,1560)*(1+'5. Scenarios'!$D$10)*(INDEX(BookQ1,1560)*(5-MIN(4,1+'5. Scenarios'!$D$8))/4+INDEX(BookQ2,1560)*(5-MIN(4,2+'5. Scenarios'!$D$8))/4+INDEX(BookQ3,1560)*(5-MIN(4,3+'5. Scenarios'!$D$8))/4+INDEX(BookQ4,1560)*(5-MIN(4,4+'5. Scenarios'!$D$8))/4)*'5. Scenarios'!$D$6/(1+ProductivityDefault*('5. Scenarios'!$D$11-1))+INDEX(BookOneOff,1560)*$N1565)</f>
        <v/>
      </c>
      <c r="S1565" s="56" t="str">
        <f aca="false">IF(INDEX(BookTitle,1560)="","",INDEX(BookTotal,1560)*'5. Scenarios'!$E$6/(1+ProductivityDefault*('5. Scenarios'!$E$11-1)))</f>
        <v/>
      </c>
      <c r="T1565" s="57" t="str">
        <f aca="false">IF($S1565="","",INDEX(BookRate,1560)*(1+'5. Scenarios'!$E$10)*$S1565)</f>
        <v/>
      </c>
      <c r="U1565" s="57" t="str">
        <f aca="false">IF($T1565="","",SUMIFS($T$6:$T$2405,$A$6:$A$2405,"&lt;="&amp;$A1565))</f>
        <v/>
      </c>
      <c r="V1565" s="57" t="str">
        <f aca="false">IF($T1565="","",IF($U1565&lt;=BankCostEnvelope*'5. Scenarios'!$E$7,1,0))</f>
        <v/>
      </c>
      <c r="W1565" s="57" t="str">
        <f aca="false">IF($S1565="","",INDEX(BookRate,1560)*(1+'5. Scenarios'!$E$10)*(INDEX(BookQ1,1560)*(5-MIN(4,1+'5. Scenarios'!$E$8))/4+INDEX(BookQ2,1560)*(5-MIN(4,2+'5. Scenarios'!$E$8))/4+INDEX(BookQ3,1560)*(5-MIN(4,3+'5. Scenarios'!$E$8))/4+INDEX(BookQ4,1560)*(5-MIN(4,4+'5. Scenarios'!$E$8))/4)*'5. Scenarios'!$E$6/(1+ProductivityDefault*('5. Scenarios'!$E$11-1))+INDEX(BookOneOff,1560)*$S1565)</f>
        <v/>
      </c>
    </row>
    <row r="1566" customFormat="false" ht="15" hidden="false" customHeight="false" outlineLevel="0" collapsed="false">
      <c r="A1566" s="0" t="str">
        <f aca="false">IF(INDEX(BookTitle,1561)="","",INDEX(BookKey,1561))</f>
        <v/>
      </c>
      <c r="B1566" s="0" t="str">
        <f aca="false">IF(INDEX(BookTitle,1561)="","",INDEX(BookGroup,1561))</f>
        <v/>
      </c>
      <c r="C1566" s="0" t="str">
        <f aca="false">IF(INDEX(BookTitle,1561)="","",INDEX(BookCategory,1561))</f>
        <v/>
      </c>
      <c r="D1566" s="56" t="str">
        <f aca="false">IF(INDEX(BookTitle,1561)="","",INDEX(BookTotal,1561)*'5. Scenarios'!$B$6/(1+ProductivityDefault*('5. Scenarios'!$B$11-1)))</f>
        <v/>
      </c>
      <c r="E1566" s="57" t="str">
        <f aca="false">IF($D1566="","",INDEX(BookRate,1561)*(1+'5. Scenarios'!$B$10)*$D1566)</f>
        <v/>
      </c>
      <c r="F1566" s="57" t="str">
        <f aca="false">IF($E1566="","",SUMIFS($E$6:$E$2405,$A$6:$A$2405,"&lt;="&amp;$A1566))</f>
        <v/>
      </c>
      <c r="G1566" s="57" t="str">
        <f aca="false">IF($E1566="","",IF($F1566&lt;=BankCostEnvelope*'5. Scenarios'!$B$7,1,0))</f>
        <v/>
      </c>
      <c r="H1566" s="57" t="str">
        <f aca="false">IF($D1566="","",INDEX(BookRate,1561)*(1+'5. Scenarios'!$B$10)*(INDEX(BookQ1,1561)*(5-MIN(4,1+'5. Scenarios'!$B$8))/4+INDEX(BookQ2,1561)*(5-MIN(4,2+'5. Scenarios'!$B$8))/4+INDEX(BookQ3,1561)*(5-MIN(4,3+'5. Scenarios'!$B$8))/4+INDEX(BookQ4,1561)*(5-MIN(4,4+'5. Scenarios'!$B$8))/4)*'5. Scenarios'!$B$6/(1+ProductivityDefault*('5. Scenarios'!$B$11-1))+INDEX(BookOneOff,1561)*$D1566)</f>
        <v/>
      </c>
      <c r="I1566" s="56" t="str">
        <f aca="false">IF(INDEX(BookTitle,1561)="","",INDEX(BookTotal,1561)*'5. Scenarios'!$C$6/(1+ProductivityDefault*('5. Scenarios'!$C$11-1)))</f>
        <v/>
      </c>
      <c r="J1566" s="57" t="str">
        <f aca="false">IF($I1566="","",INDEX(BookRate,1561)*(1+'5. Scenarios'!$C$10)*$I1566)</f>
        <v/>
      </c>
      <c r="K1566" s="57" t="str">
        <f aca="false">IF($J1566="","",SUMIFS($J$6:$J$2405,$A$6:$A$2405,"&lt;="&amp;$A1566))</f>
        <v/>
      </c>
      <c r="L1566" s="57" t="str">
        <f aca="false">IF($J1566="","",IF($K1566&lt;=BankCostEnvelope*'5. Scenarios'!$C$7,1,0))</f>
        <v/>
      </c>
      <c r="M1566" s="57" t="str">
        <f aca="false">IF($I1566="","",INDEX(BookRate,1561)*(1+'5. Scenarios'!$C$10)*(INDEX(BookQ1,1561)*(5-MIN(4,1+'5. Scenarios'!$C$8))/4+INDEX(BookQ2,1561)*(5-MIN(4,2+'5. Scenarios'!$C$8))/4+INDEX(BookQ3,1561)*(5-MIN(4,3+'5. Scenarios'!$C$8))/4+INDEX(BookQ4,1561)*(5-MIN(4,4+'5. Scenarios'!$C$8))/4)*'5. Scenarios'!$C$6/(1+ProductivityDefault*('5. Scenarios'!$C$11-1))+INDEX(BookOneOff,1561)*$I1566)</f>
        <v/>
      </c>
      <c r="N1566" s="56" t="str">
        <f aca="false">IF(INDEX(BookTitle,1561)="","",INDEX(BookTotal,1561)*'5. Scenarios'!$D$6/(1+ProductivityDefault*('5. Scenarios'!$D$11-1)))</f>
        <v/>
      </c>
      <c r="O1566" s="57" t="str">
        <f aca="false">IF($N1566="","",INDEX(BookRate,1561)*(1+'5. Scenarios'!$D$10)*$N1566)</f>
        <v/>
      </c>
      <c r="P1566" s="57" t="str">
        <f aca="false">IF($O1566="","",SUMIFS($O$6:$O$2405,$A$6:$A$2405,"&lt;="&amp;$A1566))</f>
        <v/>
      </c>
      <c r="Q1566" s="57" t="str">
        <f aca="false">IF($O1566="","",IF($P1566&lt;=BankCostEnvelope*'5. Scenarios'!$D$7,1,0))</f>
        <v/>
      </c>
      <c r="R1566" s="57" t="str">
        <f aca="false">IF($N1566="","",INDEX(BookRate,1561)*(1+'5. Scenarios'!$D$10)*(INDEX(BookQ1,1561)*(5-MIN(4,1+'5. Scenarios'!$D$8))/4+INDEX(BookQ2,1561)*(5-MIN(4,2+'5. Scenarios'!$D$8))/4+INDEX(BookQ3,1561)*(5-MIN(4,3+'5. Scenarios'!$D$8))/4+INDEX(BookQ4,1561)*(5-MIN(4,4+'5. Scenarios'!$D$8))/4)*'5. Scenarios'!$D$6/(1+ProductivityDefault*('5. Scenarios'!$D$11-1))+INDEX(BookOneOff,1561)*$N1566)</f>
        <v/>
      </c>
      <c r="S1566" s="56" t="str">
        <f aca="false">IF(INDEX(BookTitle,1561)="","",INDEX(BookTotal,1561)*'5. Scenarios'!$E$6/(1+ProductivityDefault*('5. Scenarios'!$E$11-1)))</f>
        <v/>
      </c>
      <c r="T1566" s="57" t="str">
        <f aca="false">IF($S1566="","",INDEX(BookRate,1561)*(1+'5. Scenarios'!$E$10)*$S1566)</f>
        <v/>
      </c>
      <c r="U1566" s="57" t="str">
        <f aca="false">IF($T1566="","",SUMIFS($T$6:$T$2405,$A$6:$A$2405,"&lt;="&amp;$A1566))</f>
        <v/>
      </c>
      <c r="V1566" s="57" t="str">
        <f aca="false">IF($T1566="","",IF($U1566&lt;=BankCostEnvelope*'5. Scenarios'!$E$7,1,0))</f>
        <v/>
      </c>
      <c r="W1566" s="57" t="str">
        <f aca="false">IF($S1566="","",INDEX(BookRate,1561)*(1+'5. Scenarios'!$E$10)*(INDEX(BookQ1,1561)*(5-MIN(4,1+'5. Scenarios'!$E$8))/4+INDEX(BookQ2,1561)*(5-MIN(4,2+'5. Scenarios'!$E$8))/4+INDEX(BookQ3,1561)*(5-MIN(4,3+'5. Scenarios'!$E$8))/4+INDEX(BookQ4,1561)*(5-MIN(4,4+'5. Scenarios'!$E$8))/4)*'5. Scenarios'!$E$6/(1+ProductivityDefault*('5. Scenarios'!$E$11-1))+INDEX(BookOneOff,1561)*$S1566)</f>
        <v/>
      </c>
    </row>
    <row r="1567" customFormat="false" ht="15" hidden="false" customHeight="false" outlineLevel="0" collapsed="false">
      <c r="A1567" s="0" t="str">
        <f aca="false">IF(INDEX(BookTitle,1562)="","",INDEX(BookKey,1562))</f>
        <v/>
      </c>
      <c r="B1567" s="0" t="str">
        <f aca="false">IF(INDEX(BookTitle,1562)="","",INDEX(BookGroup,1562))</f>
        <v/>
      </c>
      <c r="C1567" s="0" t="str">
        <f aca="false">IF(INDEX(BookTitle,1562)="","",INDEX(BookCategory,1562))</f>
        <v/>
      </c>
      <c r="D1567" s="56" t="str">
        <f aca="false">IF(INDEX(BookTitle,1562)="","",INDEX(BookTotal,1562)*'5. Scenarios'!$B$6/(1+ProductivityDefault*('5. Scenarios'!$B$11-1)))</f>
        <v/>
      </c>
      <c r="E1567" s="57" t="str">
        <f aca="false">IF($D1567="","",INDEX(BookRate,1562)*(1+'5. Scenarios'!$B$10)*$D1567)</f>
        <v/>
      </c>
      <c r="F1567" s="57" t="str">
        <f aca="false">IF($E1567="","",SUMIFS($E$6:$E$2405,$A$6:$A$2405,"&lt;="&amp;$A1567))</f>
        <v/>
      </c>
      <c r="G1567" s="57" t="str">
        <f aca="false">IF($E1567="","",IF($F1567&lt;=BankCostEnvelope*'5. Scenarios'!$B$7,1,0))</f>
        <v/>
      </c>
      <c r="H1567" s="57" t="str">
        <f aca="false">IF($D1567="","",INDEX(BookRate,1562)*(1+'5. Scenarios'!$B$10)*(INDEX(BookQ1,1562)*(5-MIN(4,1+'5. Scenarios'!$B$8))/4+INDEX(BookQ2,1562)*(5-MIN(4,2+'5. Scenarios'!$B$8))/4+INDEX(BookQ3,1562)*(5-MIN(4,3+'5. Scenarios'!$B$8))/4+INDEX(BookQ4,1562)*(5-MIN(4,4+'5. Scenarios'!$B$8))/4)*'5. Scenarios'!$B$6/(1+ProductivityDefault*('5. Scenarios'!$B$11-1))+INDEX(BookOneOff,1562)*$D1567)</f>
        <v/>
      </c>
      <c r="I1567" s="56" t="str">
        <f aca="false">IF(INDEX(BookTitle,1562)="","",INDEX(BookTotal,1562)*'5. Scenarios'!$C$6/(1+ProductivityDefault*('5. Scenarios'!$C$11-1)))</f>
        <v/>
      </c>
      <c r="J1567" s="57" t="str">
        <f aca="false">IF($I1567="","",INDEX(BookRate,1562)*(1+'5. Scenarios'!$C$10)*$I1567)</f>
        <v/>
      </c>
      <c r="K1567" s="57" t="str">
        <f aca="false">IF($J1567="","",SUMIFS($J$6:$J$2405,$A$6:$A$2405,"&lt;="&amp;$A1567))</f>
        <v/>
      </c>
      <c r="L1567" s="57" t="str">
        <f aca="false">IF($J1567="","",IF($K1567&lt;=BankCostEnvelope*'5. Scenarios'!$C$7,1,0))</f>
        <v/>
      </c>
      <c r="M1567" s="57" t="str">
        <f aca="false">IF($I1567="","",INDEX(BookRate,1562)*(1+'5. Scenarios'!$C$10)*(INDEX(BookQ1,1562)*(5-MIN(4,1+'5. Scenarios'!$C$8))/4+INDEX(BookQ2,1562)*(5-MIN(4,2+'5. Scenarios'!$C$8))/4+INDEX(BookQ3,1562)*(5-MIN(4,3+'5. Scenarios'!$C$8))/4+INDEX(BookQ4,1562)*(5-MIN(4,4+'5. Scenarios'!$C$8))/4)*'5. Scenarios'!$C$6/(1+ProductivityDefault*('5. Scenarios'!$C$11-1))+INDEX(BookOneOff,1562)*$I1567)</f>
        <v/>
      </c>
      <c r="N1567" s="56" t="str">
        <f aca="false">IF(INDEX(BookTitle,1562)="","",INDEX(BookTotal,1562)*'5. Scenarios'!$D$6/(1+ProductivityDefault*('5. Scenarios'!$D$11-1)))</f>
        <v/>
      </c>
      <c r="O1567" s="57" t="str">
        <f aca="false">IF($N1567="","",INDEX(BookRate,1562)*(1+'5. Scenarios'!$D$10)*$N1567)</f>
        <v/>
      </c>
      <c r="P1567" s="57" t="str">
        <f aca="false">IF($O1567="","",SUMIFS($O$6:$O$2405,$A$6:$A$2405,"&lt;="&amp;$A1567))</f>
        <v/>
      </c>
      <c r="Q1567" s="57" t="str">
        <f aca="false">IF($O1567="","",IF($P1567&lt;=BankCostEnvelope*'5. Scenarios'!$D$7,1,0))</f>
        <v/>
      </c>
      <c r="R1567" s="57" t="str">
        <f aca="false">IF($N1567="","",INDEX(BookRate,1562)*(1+'5. Scenarios'!$D$10)*(INDEX(BookQ1,1562)*(5-MIN(4,1+'5. Scenarios'!$D$8))/4+INDEX(BookQ2,1562)*(5-MIN(4,2+'5. Scenarios'!$D$8))/4+INDEX(BookQ3,1562)*(5-MIN(4,3+'5. Scenarios'!$D$8))/4+INDEX(BookQ4,1562)*(5-MIN(4,4+'5. Scenarios'!$D$8))/4)*'5. Scenarios'!$D$6/(1+ProductivityDefault*('5. Scenarios'!$D$11-1))+INDEX(BookOneOff,1562)*$N1567)</f>
        <v/>
      </c>
      <c r="S1567" s="56" t="str">
        <f aca="false">IF(INDEX(BookTitle,1562)="","",INDEX(BookTotal,1562)*'5. Scenarios'!$E$6/(1+ProductivityDefault*('5. Scenarios'!$E$11-1)))</f>
        <v/>
      </c>
      <c r="T1567" s="57" t="str">
        <f aca="false">IF($S1567="","",INDEX(BookRate,1562)*(1+'5. Scenarios'!$E$10)*$S1567)</f>
        <v/>
      </c>
      <c r="U1567" s="57" t="str">
        <f aca="false">IF($T1567="","",SUMIFS($T$6:$T$2405,$A$6:$A$2405,"&lt;="&amp;$A1567))</f>
        <v/>
      </c>
      <c r="V1567" s="57" t="str">
        <f aca="false">IF($T1567="","",IF($U1567&lt;=BankCostEnvelope*'5. Scenarios'!$E$7,1,0))</f>
        <v/>
      </c>
      <c r="W1567" s="57" t="str">
        <f aca="false">IF($S1567="","",INDEX(BookRate,1562)*(1+'5. Scenarios'!$E$10)*(INDEX(BookQ1,1562)*(5-MIN(4,1+'5. Scenarios'!$E$8))/4+INDEX(BookQ2,1562)*(5-MIN(4,2+'5. Scenarios'!$E$8))/4+INDEX(BookQ3,1562)*(5-MIN(4,3+'5. Scenarios'!$E$8))/4+INDEX(BookQ4,1562)*(5-MIN(4,4+'5. Scenarios'!$E$8))/4)*'5. Scenarios'!$E$6/(1+ProductivityDefault*('5. Scenarios'!$E$11-1))+INDEX(BookOneOff,1562)*$S1567)</f>
        <v/>
      </c>
    </row>
    <row r="1568" customFormat="false" ht="15" hidden="false" customHeight="false" outlineLevel="0" collapsed="false">
      <c r="A1568" s="0" t="str">
        <f aca="false">IF(INDEX(BookTitle,1563)="","",INDEX(BookKey,1563))</f>
        <v/>
      </c>
      <c r="B1568" s="0" t="str">
        <f aca="false">IF(INDEX(BookTitle,1563)="","",INDEX(BookGroup,1563))</f>
        <v/>
      </c>
      <c r="C1568" s="0" t="str">
        <f aca="false">IF(INDEX(BookTitle,1563)="","",INDEX(BookCategory,1563))</f>
        <v/>
      </c>
      <c r="D1568" s="56" t="str">
        <f aca="false">IF(INDEX(BookTitle,1563)="","",INDEX(BookTotal,1563)*'5. Scenarios'!$B$6/(1+ProductivityDefault*('5. Scenarios'!$B$11-1)))</f>
        <v/>
      </c>
      <c r="E1568" s="57" t="str">
        <f aca="false">IF($D1568="","",INDEX(BookRate,1563)*(1+'5. Scenarios'!$B$10)*$D1568)</f>
        <v/>
      </c>
      <c r="F1568" s="57" t="str">
        <f aca="false">IF($E1568="","",SUMIFS($E$6:$E$2405,$A$6:$A$2405,"&lt;="&amp;$A1568))</f>
        <v/>
      </c>
      <c r="G1568" s="57" t="str">
        <f aca="false">IF($E1568="","",IF($F1568&lt;=BankCostEnvelope*'5. Scenarios'!$B$7,1,0))</f>
        <v/>
      </c>
      <c r="H1568" s="57" t="str">
        <f aca="false">IF($D1568="","",INDEX(BookRate,1563)*(1+'5. Scenarios'!$B$10)*(INDEX(BookQ1,1563)*(5-MIN(4,1+'5. Scenarios'!$B$8))/4+INDEX(BookQ2,1563)*(5-MIN(4,2+'5. Scenarios'!$B$8))/4+INDEX(BookQ3,1563)*(5-MIN(4,3+'5. Scenarios'!$B$8))/4+INDEX(BookQ4,1563)*(5-MIN(4,4+'5. Scenarios'!$B$8))/4)*'5. Scenarios'!$B$6/(1+ProductivityDefault*('5. Scenarios'!$B$11-1))+INDEX(BookOneOff,1563)*$D1568)</f>
        <v/>
      </c>
      <c r="I1568" s="56" t="str">
        <f aca="false">IF(INDEX(BookTitle,1563)="","",INDEX(BookTotal,1563)*'5. Scenarios'!$C$6/(1+ProductivityDefault*('5. Scenarios'!$C$11-1)))</f>
        <v/>
      </c>
      <c r="J1568" s="57" t="str">
        <f aca="false">IF($I1568="","",INDEX(BookRate,1563)*(1+'5. Scenarios'!$C$10)*$I1568)</f>
        <v/>
      </c>
      <c r="K1568" s="57" t="str">
        <f aca="false">IF($J1568="","",SUMIFS($J$6:$J$2405,$A$6:$A$2405,"&lt;="&amp;$A1568))</f>
        <v/>
      </c>
      <c r="L1568" s="57" t="str">
        <f aca="false">IF($J1568="","",IF($K1568&lt;=BankCostEnvelope*'5. Scenarios'!$C$7,1,0))</f>
        <v/>
      </c>
      <c r="M1568" s="57" t="str">
        <f aca="false">IF($I1568="","",INDEX(BookRate,1563)*(1+'5. Scenarios'!$C$10)*(INDEX(BookQ1,1563)*(5-MIN(4,1+'5. Scenarios'!$C$8))/4+INDEX(BookQ2,1563)*(5-MIN(4,2+'5. Scenarios'!$C$8))/4+INDEX(BookQ3,1563)*(5-MIN(4,3+'5. Scenarios'!$C$8))/4+INDEX(BookQ4,1563)*(5-MIN(4,4+'5. Scenarios'!$C$8))/4)*'5. Scenarios'!$C$6/(1+ProductivityDefault*('5. Scenarios'!$C$11-1))+INDEX(BookOneOff,1563)*$I1568)</f>
        <v/>
      </c>
      <c r="N1568" s="56" t="str">
        <f aca="false">IF(INDEX(BookTitle,1563)="","",INDEX(BookTotal,1563)*'5. Scenarios'!$D$6/(1+ProductivityDefault*('5. Scenarios'!$D$11-1)))</f>
        <v/>
      </c>
      <c r="O1568" s="57" t="str">
        <f aca="false">IF($N1568="","",INDEX(BookRate,1563)*(1+'5. Scenarios'!$D$10)*$N1568)</f>
        <v/>
      </c>
      <c r="P1568" s="57" t="str">
        <f aca="false">IF($O1568="","",SUMIFS($O$6:$O$2405,$A$6:$A$2405,"&lt;="&amp;$A1568))</f>
        <v/>
      </c>
      <c r="Q1568" s="57" t="str">
        <f aca="false">IF($O1568="","",IF($P1568&lt;=BankCostEnvelope*'5. Scenarios'!$D$7,1,0))</f>
        <v/>
      </c>
      <c r="R1568" s="57" t="str">
        <f aca="false">IF($N1568="","",INDEX(BookRate,1563)*(1+'5. Scenarios'!$D$10)*(INDEX(BookQ1,1563)*(5-MIN(4,1+'5. Scenarios'!$D$8))/4+INDEX(BookQ2,1563)*(5-MIN(4,2+'5. Scenarios'!$D$8))/4+INDEX(BookQ3,1563)*(5-MIN(4,3+'5. Scenarios'!$D$8))/4+INDEX(BookQ4,1563)*(5-MIN(4,4+'5. Scenarios'!$D$8))/4)*'5. Scenarios'!$D$6/(1+ProductivityDefault*('5. Scenarios'!$D$11-1))+INDEX(BookOneOff,1563)*$N1568)</f>
        <v/>
      </c>
      <c r="S1568" s="56" t="str">
        <f aca="false">IF(INDEX(BookTitle,1563)="","",INDEX(BookTotal,1563)*'5. Scenarios'!$E$6/(1+ProductivityDefault*('5. Scenarios'!$E$11-1)))</f>
        <v/>
      </c>
      <c r="T1568" s="57" t="str">
        <f aca="false">IF($S1568="","",INDEX(BookRate,1563)*(1+'5. Scenarios'!$E$10)*$S1568)</f>
        <v/>
      </c>
      <c r="U1568" s="57" t="str">
        <f aca="false">IF($T1568="","",SUMIFS($T$6:$T$2405,$A$6:$A$2405,"&lt;="&amp;$A1568))</f>
        <v/>
      </c>
      <c r="V1568" s="57" t="str">
        <f aca="false">IF($T1568="","",IF($U1568&lt;=BankCostEnvelope*'5. Scenarios'!$E$7,1,0))</f>
        <v/>
      </c>
      <c r="W1568" s="57" t="str">
        <f aca="false">IF($S1568="","",INDEX(BookRate,1563)*(1+'5. Scenarios'!$E$10)*(INDEX(BookQ1,1563)*(5-MIN(4,1+'5. Scenarios'!$E$8))/4+INDEX(BookQ2,1563)*(5-MIN(4,2+'5. Scenarios'!$E$8))/4+INDEX(BookQ3,1563)*(5-MIN(4,3+'5. Scenarios'!$E$8))/4+INDEX(BookQ4,1563)*(5-MIN(4,4+'5. Scenarios'!$E$8))/4)*'5. Scenarios'!$E$6/(1+ProductivityDefault*('5. Scenarios'!$E$11-1))+INDEX(BookOneOff,1563)*$S1568)</f>
        <v/>
      </c>
    </row>
    <row r="1569" customFormat="false" ht="15" hidden="false" customHeight="false" outlineLevel="0" collapsed="false">
      <c r="A1569" s="0" t="str">
        <f aca="false">IF(INDEX(BookTitle,1564)="","",INDEX(BookKey,1564))</f>
        <v/>
      </c>
      <c r="B1569" s="0" t="str">
        <f aca="false">IF(INDEX(BookTitle,1564)="","",INDEX(BookGroup,1564))</f>
        <v/>
      </c>
      <c r="C1569" s="0" t="str">
        <f aca="false">IF(INDEX(BookTitle,1564)="","",INDEX(BookCategory,1564))</f>
        <v/>
      </c>
      <c r="D1569" s="56" t="str">
        <f aca="false">IF(INDEX(BookTitle,1564)="","",INDEX(BookTotal,1564)*'5. Scenarios'!$B$6/(1+ProductivityDefault*('5. Scenarios'!$B$11-1)))</f>
        <v/>
      </c>
      <c r="E1569" s="57" t="str">
        <f aca="false">IF($D1569="","",INDEX(BookRate,1564)*(1+'5. Scenarios'!$B$10)*$D1569)</f>
        <v/>
      </c>
      <c r="F1569" s="57" t="str">
        <f aca="false">IF($E1569="","",SUMIFS($E$6:$E$2405,$A$6:$A$2405,"&lt;="&amp;$A1569))</f>
        <v/>
      </c>
      <c r="G1569" s="57" t="str">
        <f aca="false">IF($E1569="","",IF($F1569&lt;=BankCostEnvelope*'5. Scenarios'!$B$7,1,0))</f>
        <v/>
      </c>
      <c r="H1569" s="57" t="str">
        <f aca="false">IF($D1569="","",INDEX(BookRate,1564)*(1+'5. Scenarios'!$B$10)*(INDEX(BookQ1,1564)*(5-MIN(4,1+'5. Scenarios'!$B$8))/4+INDEX(BookQ2,1564)*(5-MIN(4,2+'5. Scenarios'!$B$8))/4+INDEX(BookQ3,1564)*(5-MIN(4,3+'5. Scenarios'!$B$8))/4+INDEX(BookQ4,1564)*(5-MIN(4,4+'5. Scenarios'!$B$8))/4)*'5. Scenarios'!$B$6/(1+ProductivityDefault*('5. Scenarios'!$B$11-1))+INDEX(BookOneOff,1564)*$D1569)</f>
        <v/>
      </c>
      <c r="I1569" s="56" t="str">
        <f aca="false">IF(INDEX(BookTitle,1564)="","",INDEX(BookTotal,1564)*'5. Scenarios'!$C$6/(1+ProductivityDefault*('5. Scenarios'!$C$11-1)))</f>
        <v/>
      </c>
      <c r="J1569" s="57" t="str">
        <f aca="false">IF($I1569="","",INDEX(BookRate,1564)*(1+'5. Scenarios'!$C$10)*$I1569)</f>
        <v/>
      </c>
      <c r="K1569" s="57" t="str">
        <f aca="false">IF($J1569="","",SUMIFS($J$6:$J$2405,$A$6:$A$2405,"&lt;="&amp;$A1569))</f>
        <v/>
      </c>
      <c r="L1569" s="57" t="str">
        <f aca="false">IF($J1569="","",IF($K1569&lt;=BankCostEnvelope*'5. Scenarios'!$C$7,1,0))</f>
        <v/>
      </c>
      <c r="M1569" s="57" t="str">
        <f aca="false">IF($I1569="","",INDEX(BookRate,1564)*(1+'5. Scenarios'!$C$10)*(INDEX(BookQ1,1564)*(5-MIN(4,1+'5. Scenarios'!$C$8))/4+INDEX(BookQ2,1564)*(5-MIN(4,2+'5. Scenarios'!$C$8))/4+INDEX(BookQ3,1564)*(5-MIN(4,3+'5. Scenarios'!$C$8))/4+INDEX(BookQ4,1564)*(5-MIN(4,4+'5. Scenarios'!$C$8))/4)*'5. Scenarios'!$C$6/(1+ProductivityDefault*('5. Scenarios'!$C$11-1))+INDEX(BookOneOff,1564)*$I1569)</f>
        <v/>
      </c>
      <c r="N1569" s="56" t="str">
        <f aca="false">IF(INDEX(BookTitle,1564)="","",INDEX(BookTotal,1564)*'5. Scenarios'!$D$6/(1+ProductivityDefault*('5. Scenarios'!$D$11-1)))</f>
        <v/>
      </c>
      <c r="O1569" s="57" t="str">
        <f aca="false">IF($N1569="","",INDEX(BookRate,1564)*(1+'5. Scenarios'!$D$10)*$N1569)</f>
        <v/>
      </c>
      <c r="P1569" s="57" t="str">
        <f aca="false">IF($O1569="","",SUMIFS($O$6:$O$2405,$A$6:$A$2405,"&lt;="&amp;$A1569))</f>
        <v/>
      </c>
      <c r="Q1569" s="57" t="str">
        <f aca="false">IF($O1569="","",IF($P1569&lt;=BankCostEnvelope*'5. Scenarios'!$D$7,1,0))</f>
        <v/>
      </c>
      <c r="R1569" s="57" t="str">
        <f aca="false">IF($N1569="","",INDEX(BookRate,1564)*(1+'5. Scenarios'!$D$10)*(INDEX(BookQ1,1564)*(5-MIN(4,1+'5. Scenarios'!$D$8))/4+INDEX(BookQ2,1564)*(5-MIN(4,2+'5. Scenarios'!$D$8))/4+INDEX(BookQ3,1564)*(5-MIN(4,3+'5. Scenarios'!$D$8))/4+INDEX(BookQ4,1564)*(5-MIN(4,4+'5. Scenarios'!$D$8))/4)*'5. Scenarios'!$D$6/(1+ProductivityDefault*('5. Scenarios'!$D$11-1))+INDEX(BookOneOff,1564)*$N1569)</f>
        <v/>
      </c>
      <c r="S1569" s="56" t="str">
        <f aca="false">IF(INDEX(BookTitle,1564)="","",INDEX(BookTotal,1564)*'5. Scenarios'!$E$6/(1+ProductivityDefault*('5. Scenarios'!$E$11-1)))</f>
        <v/>
      </c>
      <c r="T1569" s="57" t="str">
        <f aca="false">IF($S1569="","",INDEX(BookRate,1564)*(1+'5. Scenarios'!$E$10)*$S1569)</f>
        <v/>
      </c>
      <c r="U1569" s="57" t="str">
        <f aca="false">IF($T1569="","",SUMIFS($T$6:$T$2405,$A$6:$A$2405,"&lt;="&amp;$A1569))</f>
        <v/>
      </c>
      <c r="V1569" s="57" t="str">
        <f aca="false">IF($T1569="","",IF($U1569&lt;=BankCostEnvelope*'5. Scenarios'!$E$7,1,0))</f>
        <v/>
      </c>
      <c r="W1569" s="57" t="str">
        <f aca="false">IF($S1569="","",INDEX(BookRate,1564)*(1+'5. Scenarios'!$E$10)*(INDEX(BookQ1,1564)*(5-MIN(4,1+'5. Scenarios'!$E$8))/4+INDEX(BookQ2,1564)*(5-MIN(4,2+'5. Scenarios'!$E$8))/4+INDEX(BookQ3,1564)*(5-MIN(4,3+'5. Scenarios'!$E$8))/4+INDEX(BookQ4,1564)*(5-MIN(4,4+'5. Scenarios'!$E$8))/4)*'5. Scenarios'!$E$6/(1+ProductivityDefault*('5. Scenarios'!$E$11-1))+INDEX(BookOneOff,1564)*$S1569)</f>
        <v/>
      </c>
    </row>
    <row r="1570" customFormat="false" ht="15" hidden="false" customHeight="false" outlineLevel="0" collapsed="false">
      <c r="A1570" s="0" t="str">
        <f aca="false">IF(INDEX(BookTitle,1565)="","",INDEX(BookKey,1565))</f>
        <v/>
      </c>
      <c r="B1570" s="0" t="str">
        <f aca="false">IF(INDEX(BookTitle,1565)="","",INDEX(BookGroup,1565))</f>
        <v/>
      </c>
      <c r="C1570" s="0" t="str">
        <f aca="false">IF(INDEX(BookTitle,1565)="","",INDEX(BookCategory,1565))</f>
        <v/>
      </c>
      <c r="D1570" s="56" t="str">
        <f aca="false">IF(INDEX(BookTitle,1565)="","",INDEX(BookTotal,1565)*'5. Scenarios'!$B$6/(1+ProductivityDefault*('5. Scenarios'!$B$11-1)))</f>
        <v/>
      </c>
      <c r="E1570" s="57" t="str">
        <f aca="false">IF($D1570="","",INDEX(BookRate,1565)*(1+'5. Scenarios'!$B$10)*$D1570)</f>
        <v/>
      </c>
      <c r="F1570" s="57" t="str">
        <f aca="false">IF($E1570="","",SUMIFS($E$6:$E$2405,$A$6:$A$2405,"&lt;="&amp;$A1570))</f>
        <v/>
      </c>
      <c r="G1570" s="57" t="str">
        <f aca="false">IF($E1570="","",IF($F1570&lt;=BankCostEnvelope*'5. Scenarios'!$B$7,1,0))</f>
        <v/>
      </c>
      <c r="H1570" s="57" t="str">
        <f aca="false">IF($D1570="","",INDEX(BookRate,1565)*(1+'5. Scenarios'!$B$10)*(INDEX(BookQ1,1565)*(5-MIN(4,1+'5. Scenarios'!$B$8))/4+INDEX(BookQ2,1565)*(5-MIN(4,2+'5. Scenarios'!$B$8))/4+INDEX(BookQ3,1565)*(5-MIN(4,3+'5. Scenarios'!$B$8))/4+INDEX(BookQ4,1565)*(5-MIN(4,4+'5. Scenarios'!$B$8))/4)*'5. Scenarios'!$B$6/(1+ProductivityDefault*('5. Scenarios'!$B$11-1))+INDEX(BookOneOff,1565)*$D1570)</f>
        <v/>
      </c>
      <c r="I1570" s="56" t="str">
        <f aca="false">IF(INDEX(BookTitle,1565)="","",INDEX(BookTotal,1565)*'5. Scenarios'!$C$6/(1+ProductivityDefault*('5. Scenarios'!$C$11-1)))</f>
        <v/>
      </c>
      <c r="J1570" s="57" t="str">
        <f aca="false">IF($I1570="","",INDEX(BookRate,1565)*(1+'5. Scenarios'!$C$10)*$I1570)</f>
        <v/>
      </c>
      <c r="K1570" s="57" t="str">
        <f aca="false">IF($J1570="","",SUMIFS($J$6:$J$2405,$A$6:$A$2405,"&lt;="&amp;$A1570))</f>
        <v/>
      </c>
      <c r="L1570" s="57" t="str">
        <f aca="false">IF($J1570="","",IF($K1570&lt;=BankCostEnvelope*'5. Scenarios'!$C$7,1,0))</f>
        <v/>
      </c>
      <c r="M1570" s="57" t="str">
        <f aca="false">IF($I1570="","",INDEX(BookRate,1565)*(1+'5. Scenarios'!$C$10)*(INDEX(BookQ1,1565)*(5-MIN(4,1+'5. Scenarios'!$C$8))/4+INDEX(BookQ2,1565)*(5-MIN(4,2+'5. Scenarios'!$C$8))/4+INDEX(BookQ3,1565)*(5-MIN(4,3+'5. Scenarios'!$C$8))/4+INDEX(BookQ4,1565)*(5-MIN(4,4+'5. Scenarios'!$C$8))/4)*'5. Scenarios'!$C$6/(1+ProductivityDefault*('5. Scenarios'!$C$11-1))+INDEX(BookOneOff,1565)*$I1570)</f>
        <v/>
      </c>
      <c r="N1570" s="56" t="str">
        <f aca="false">IF(INDEX(BookTitle,1565)="","",INDEX(BookTotal,1565)*'5. Scenarios'!$D$6/(1+ProductivityDefault*('5. Scenarios'!$D$11-1)))</f>
        <v/>
      </c>
      <c r="O1570" s="57" t="str">
        <f aca="false">IF($N1570="","",INDEX(BookRate,1565)*(1+'5. Scenarios'!$D$10)*$N1570)</f>
        <v/>
      </c>
      <c r="P1570" s="57" t="str">
        <f aca="false">IF($O1570="","",SUMIFS($O$6:$O$2405,$A$6:$A$2405,"&lt;="&amp;$A1570))</f>
        <v/>
      </c>
      <c r="Q1570" s="57" t="str">
        <f aca="false">IF($O1570="","",IF($P1570&lt;=BankCostEnvelope*'5. Scenarios'!$D$7,1,0))</f>
        <v/>
      </c>
      <c r="R1570" s="57" t="str">
        <f aca="false">IF($N1570="","",INDEX(BookRate,1565)*(1+'5. Scenarios'!$D$10)*(INDEX(BookQ1,1565)*(5-MIN(4,1+'5. Scenarios'!$D$8))/4+INDEX(BookQ2,1565)*(5-MIN(4,2+'5. Scenarios'!$D$8))/4+INDEX(BookQ3,1565)*(5-MIN(4,3+'5. Scenarios'!$D$8))/4+INDEX(BookQ4,1565)*(5-MIN(4,4+'5. Scenarios'!$D$8))/4)*'5. Scenarios'!$D$6/(1+ProductivityDefault*('5. Scenarios'!$D$11-1))+INDEX(BookOneOff,1565)*$N1570)</f>
        <v/>
      </c>
      <c r="S1570" s="56" t="str">
        <f aca="false">IF(INDEX(BookTitle,1565)="","",INDEX(BookTotal,1565)*'5. Scenarios'!$E$6/(1+ProductivityDefault*('5. Scenarios'!$E$11-1)))</f>
        <v/>
      </c>
      <c r="T1570" s="57" t="str">
        <f aca="false">IF($S1570="","",INDEX(BookRate,1565)*(1+'5. Scenarios'!$E$10)*$S1570)</f>
        <v/>
      </c>
      <c r="U1570" s="57" t="str">
        <f aca="false">IF($T1570="","",SUMIFS($T$6:$T$2405,$A$6:$A$2405,"&lt;="&amp;$A1570))</f>
        <v/>
      </c>
      <c r="V1570" s="57" t="str">
        <f aca="false">IF($T1570="","",IF($U1570&lt;=BankCostEnvelope*'5. Scenarios'!$E$7,1,0))</f>
        <v/>
      </c>
      <c r="W1570" s="57" t="str">
        <f aca="false">IF($S1570="","",INDEX(BookRate,1565)*(1+'5. Scenarios'!$E$10)*(INDEX(BookQ1,1565)*(5-MIN(4,1+'5. Scenarios'!$E$8))/4+INDEX(BookQ2,1565)*(5-MIN(4,2+'5. Scenarios'!$E$8))/4+INDEX(BookQ3,1565)*(5-MIN(4,3+'5. Scenarios'!$E$8))/4+INDEX(BookQ4,1565)*(5-MIN(4,4+'5. Scenarios'!$E$8))/4)*'5. Scenarios'!$E$6/(1+ProductivityDefault*('5. Scenarios'!$E$11-1))+INDEX(BookOneOff,1565)*$S1570)</f>
        <v/>
      </c>
    </row>
    <row r="1571" customFormat="false" ht="15" hidden="false" customHeight="false" outlineLevel="0" collapsed="false">
      <c r="A1571" s="0" t="str">
        <f aca="false">IF(INDEX(BookTitle,1566)="","",INDEX(BookKey,1566))</f>
        <v/>
      </c>
      <c r="B1571" s="0" t="str">
        <f aca="false">IF(INDEX(BookTitle,1566)="","",INDEX(BookGroup,1566))</f>
        <v/>
      </c>
      <c r="C1571" s="0" t="str">
        <f aca="false">IF(INDEX(BookTitle,1566)="","",INDEX(BookCategory,1566))</f>
        <v/>
      </c>
      <c r="D1571" s="56" t="str">
        <f aca="false">IF(INDEX(BookTitle,1566)="","",INDEX(BookTotal,1566)*'5. Scenarios'!$B$6/(1+ProductivityDefault*('5. Scenarios'!$B$11-1)))</f>
        <v/>
      </c>
      <c r="E1571" s="57" t="str">
        <f aca="false">IF($D1571="","",INDEX(BookRate,1566)*(1+'5. Scenarios'!$B$10)*$D1571)</f>
        <v/>
      </c>
      <c r="F1571" s="57" t="str">
        <f aca="false">IF($E1571="","",SUMIFS($E$6:$E$2405,$A$6:$A$2405,"&lt;="&amp;$A1571))</f>
        <v/>
      </c>
      <c r="G1571" s="57" t="str">
        <f aca="false">IF($E1571="","",IF($F1571&lt;=BankCostEnvelope*'5. Scenarios'!$B$7,1,0))</f>
        <v/>
      </c>
      <c r="H1571" s="57" t="str">
        <f aca="false">IF($D1571="","",INDEX(BookRate,1566)*(1+'5. Scenarios'!$B$10)*(INDEX(BookQ1,1566)*(5-MIN(4,1+'5. Scenarios'!$B$8))/4+INDEX(BookQ2,1566)*(5-MIN(4,2+'5. Scenarios'!$B$8))/4+INDEX(BookQ3,1566)*(5-MIN(4,3+'5. Scenarios'!$B$8))/4+INDEX(BookQ4,1566)*(5-MIN(4,4+'5. Scenarios'!$B$8))/4)*'5. Scenarios'!$B$6/(1+ProductivityDefault*('5. Scenarios'!$B$11-1))+INDEX(BookOneOff,1566)*$D1571)</f>
        <v/>
      </c>
      <c r="I1571" s="56" t="str">
        <f aca="false">IF(INDEX(BookTitle,1566)="","",INDEX(BookTotal,1566)*'5. Scenarios'!$C$6/(1+ProductivityDefault*('5. Scenarios'!$C$11-1)))</f>
        <v/>
      </c>
      <c r="J1571" s="57" t="str">
        <f aca="false">IF($I1571="","",INDEX(BookRate,1566)*(1+'5. Scenarios'!$C$10)*$I1571)</f>
        <v/>
      </c>
      <c r="K1571" s="57" t="str">
        <f aca="false">IF($J1571="","",SUMIFS($J$6:$J$2405,$A$6:$A$2405,"&lt;="&amp;$A1571))</f>
        <v/>
      </c>
      <c r="L1571" s="57" t="str">
        <f aca="false">IF($J1571="","",IF($K1571&lt;=BankCostEnvelope*'5. Scenarios'!$C$7,1,0))</f>
        <v/>
      </c>
      <c r="M1571" s="57" t="str">
        <f aca="false">IF($I1571="","",INDEX(BookRate,1566)*(1+'5. Scenarios'!$C$10)*(INDEX(BookQ1,1566)*(5-MIN(4,1+'5. Scenarios'!$C$8))/4+INDEX(BookQ2,1566)*(5-MIN(4,2+'5. Scenarios'!$C$8))/4+INDEX(BookQ3,1566)*(5-MIN(4,3+'5. Scenarios'!$C$8))/4+INDEX(BookQ4,1566)*(5-MIN(4,4+'5. Scenarios'!$C$8))/4)*'5. Scenarios'!$C$6/(1+ProductivityDefault*('5. Scenarios'!$C$11-1))+INDEX(BookOneOff,1566)*$I1571)</f>
        <v/>
      </c>
      <c r="N1571" s="56" t="str">
        <f aca="false">IF(INDEX(BookTitle,1566)="","",INDEX(BookTotal,1566)*'5. Scenarios'!$D$6/(1+ProductivityDefault*('5. Scenarios'!$D$11-1)))</f>
        <v/>
      </c>
      <c r="O1571" s="57" t="str">
        <f aca="false">IF($N1571="","",INDEX(BookRate,1566)*(1+'5. Scenarios'!$D$10)*$N1571)</f>
        <v/>
      </c>
      <c r="P1571" s="57" t="str">
        <f aca="false">IF($O1571="","",SUMIFS($O$6:$O$2405,$A$6:$A$2405,"&lt;="&amp;$A1571))</f>
        <v/>
      </c>
      <c r="Q1571" s="57" t="str">
        <f aca="false">IF($O1571="","",IF($P1571&lt;=BankCostEnvelope*'5. Scenarios'!$D$7,1,0))</f>
        <v/>
      </c>
      <c r="R1571" s="57" t="str">
        <f aca="false">IF($N1571="","",INDEX(BookRate,1566)*(1+'5. Scenarios'!$D$10)*(INDEX(BookQ1,1566)*(5-MIN(4,1+'5. Scenarios'!$D$8))/4+INDEX(BookQ2,1566)*(5-MIN(4,2+'5. Scenarios'!$D$8))/4+INDEX(BookQ3,1566)*(5-MIN(4,3+'5. Scenarios'!$D$8))/4+INDEX(BookQ4,1566)*(5-MIN(4,4+'5. Scenarios'!$D$8))/4)*'5. Scenarios'!$D$6/(1+ProductivityDefault*('5. Scenarios'!$D$11-1))+INDEX(BookOneOff,1566)*$N1571)</f>
        <v/>
      </c>
      <c r="S1571" s="56" t="str">
        <f aca="false">IF(INDEX(BookTitle,1566)="","",INDEX(BookTotal,1566)*'5. Scenarios'!$E$6/(1+ProductivityDefault*('5. Scenarios'!$E$11-1)))</f>
        <v/>
      </c>
      <c r="T1571" s="57" t="str">
        <f aca="false">IF($S1571="","",INDEX(BookRate,1566)*(1+'5. Scenarios'!$E$10)*$S1571)</f>
        <v/>
      </c>
      <c r="U1571" s="57" t="str">
        <f aca="false">IF($T1571="","",SUMIFS($T$6:$T$2405,$A$6:$A$2405,"&lt;="&amp;$A1571))</f>
        <v/>
      </c>
      <c r="V1571" s="57" t="str">
        <f aca="false">IF($T1571="","",IF($U1571&lt;=BankCostEnvelope*'5. Scenarios'!$E$7,1,0))</f>
        <v/>
      </c>
      <c r="W1571" s="57" t="str">
        <f aca="false">IF($S1571="","",INDEX(BookRate,1566)*(1+'5. Scenarios'!$E$10)*(INDEX(BookQ1,1566)*(5-MIN(4,1+'5. Scenarios'!$E$8))/4+INDEX(BookQ2,1566)*(5-MIN(4,2+'5. Scenarios'!$E$8))/4+INDEX(BookQ3,1566)*(5-MIN(4,3+'5. Scenarios'!$E$8))/4+INDEX(BookQ4,1566)*(5-MIN(4,4+'5. Scenarios'!$E$8))/4)*'5. Scenarios'!$E$6/(1+ProductivityDefault*('5. Scenarios'!$E$11-1))+INDEX(BookOneOff,1566)*$S1571)</f>
        <v/>
      </c>
    </row>
    <row r="1572" customFormat="false" ht="15" hidden="false" customHeight="false" outlineLevel="0" collapsed="false">
      <c r="A1572" s="0" t="str">
        <f aca="false">IF(INDEX(BookTitle,1567)="","",INDEX(BookKey,1567))</f>
        <v/>
      </c>
      <c r="B1572" s="0" t="str">
        <f aca="false">IF(INDEX(BookTitle,1567)="","",INDEX(BookGroup,1567))</f>
        <v/>
      </c>
      <c r="C1572" s="0" t="str">
        <f aca="false">IF(INDEX(BookTitle,1567)="","",INDEX(BookCategory,1567))</f>
        <v/>
      </c>
      <c r="D1572" s="56" t="str">
        <f aca="false">IF(INDEX(BookTitle,1567)="","",INDEX(BookTotal,1567)*'5. Scenarios'!$B$6/(1+ProductivityDefault*('5. Scenarios'!$B$11-1)))</f>
        <v/>
      </c>
      <c r="E1572" s="57" t="str">
        <f aca="false">IF($D1572="","",INDEX(BookRate,1567)*(1+'5. Scenarios'!$B$10)*$D1572)</f>
        <v/>
      </c>
      <c r="F1572" s="57" t="str">
        <f aca="false">IF($E1572="","",SUMIFS($E$6:$E$2405,$A$6:$A$2405,"&lt;="&amp;$A1572))</f>
        <v/>
      </c>
      <c r="G1572" s="57" t="str">
        <f aca="false">IF($E1572="","",IF($F1572&lt;=BankCostEnvelope*'5. Scenarios'!$B$7,1,0))</f>
        <v/>
      </c>
      <c r="H1572" s="57" t="str">
        <f aca="false">IF($D1572="","",INDEX(BookRate,1567)*(1+'5. Scenarios'!$B$10)*(INDEX(BookQ1,1567)*(5-MIN(4,1+'5. Scenarios'!$B$8))/4+INDEX(BookQ2,1567)*(5-MIN(4,2+'5. Scenarios'!$B$8))/4+INDEX(BookQ3,1567)*(5-MIN(4,3+'5. Scenarios'!$B$8))/4+INDEX(BookQ4,1567)*(5-MIN(4,4+'5. Scenarios'!$B$8))/4)*'5. Scenarios'!$B$6/(1+ProductivityDefault*('5. Scenarios'!$B$11-1))+INDEX(BookOneOff,1567)*$D1572)</f>
        <v/>
      </c>
      <c r="I1572" s="56" t="str">
        <f aca="false">IF(INDEX(BookTitle,1567)="","",INDEX(BookTotal,1567)*'5. Scenarios'!$C$6/(1+ProductivityDefault*('5. Scenarios'!$C$11-1)))</f>
        <v/>
      </c>
      <c r="J1572" s="57" t="str">
        <f aca="false">IF($I1572="","",INDEX(BookRate,1567)*(1+'5. Scenarios'!$C$10)*$I1572)</f>
        <v/>
      </c>
      <c r="K1572" s="57" t="str">
        <f aca="false">IF($J1572="","",SUMIFS($J$6:$J$2405,$A$6:$A$2405,"&lt;="&amp;$A1572))</f>
        <v/>
      </c>
      <c r="L1572" s="57" t="str">
        <f aca="false">IF($J1572="","",IF($K1572&lt;=BankCostEnvelope*'5. Scenarios'!$C$7,1,0))</f>
        <v/>
      </c>
      <c r="M1572" s="57" t="str">
        <f aca="false">IF($I1572="","",INDEX(BookRate,1567)*(1+'5. Scenarios'!$C$10)*(INDEX(BookQ1,1567)*(5-MIN(4,1+'5. Scenarios'!$C$8))/4+INDEX(BookQ2,1567)*(5-MIN(4,2+'5. Scenarios'!$C$8))/4+INDEX(BookQ3,1567)*(5-MIN(4,3+'5. Scenarios'!$C$8))/4+INDEX(BookQ4,1567)*(5-MIN(4,4+'5. Scenarios'!$C$8))/4)*'5. Scenarios'!$C$6/(1+ProductivityDefault*('5. Scenarios'!$C$11-1))+INDEX(BookOneOff,1567)*$I1572)</f>
        <v/>
      </c>
      <c r="N1572" s="56" t="str">
        <f aca="false">IF(INDEX(BookTitle,1567)="","",INDEX(BookTotal,1567)*'5. Scenarios'!$D$6/(1+ProductivityDefault*('5. Scenarios'!$D$11-1)))</f>
        <v/>
      </c>
      <c r="O1572" s="57" t="str">
        <f aca="false">IF($N1572="","",INDEX(BookRate,1567)*(1+'5. Scenarios'!$D$10)*$N1572)</f>
        <v/>
      </c>
      <c r="P1572" s="57" t="str">
        <f aca="false">IF($O1572="","",SUMIFS($O$6:$O$2405,$A$6:$A$2405,"&lt;="&amp;$A1572))</f>
        <v/>
      </c>
      <c r="Q1572" s="57" t="str">
        <f aca="false">IF($O1572="","",IF($P1572&lt;=BankCostEnvelope*'5. Scenarios'!$D$7,1,0))</f>
        <v/>
      </c>
      <c r="R1572" s="57" t="str">
        <f aca="false">IF($N1572="","",INDEX(BookRate,1567)*(1+'5. Scenarios'!$D$10)*(INDEX(BookQ1,1567)*(5-MIN(4,1+'5. Scenarios'!$D$8))/4+INDEX(BookQ2,1567)*(5-MIN(4,2+'5. Scenarios'!$D$8))/4+INDEX(BookQ3,1567)*(5-MIN(4,3+'5. Scenarios'!$D$8))/4+INDEX(BookQ4,1567)*(5-MIN(4,4+'5. Scenarios'!$D$8))/4)*'5. Scenarios'!$D$6/(1+ProductivityDefault*('5. Scenarios'!$D$11-1))+INDEX(BookOneOff,1567)*$N1572)</f>
        <v/>
      </c>
      <c r="S1572" s="56" t="str">
        <f aca="false">IF(INDEX(BookTitle,1567)="","",INDEX(BookTotal,1567)*'5. Scenarios'!$E$6/(1+ProductivityDefault*('5. Scenarios'!$E$11-1)))</f>
        <v/>
      </c>
      <c r="T1572" s="57" t="str">
        <f aca="false">IF($S1572="","",INDEX(BookRate,1567)*(1+'5. Scenarios'!$E$10)*$S1572)</f>
        <v/>
      </c>
      <c r="U1572" s="57" t="str">
        <f aca="false">IF($T1572="","",SUMIFS($T$6:$T$2405,$A$6:$A$2405,"&lt;="&amp;$A1572))</f>
        <v/>
      </c>
      <c r="V1572" s="57" t="str">
        <f aca="false">IF($T1572="","",IF($U1572&lt;=BankCostEnvelope*'5. Scenarios'!$E$7,1,0))</f>
        <v/>
      </c>
      <c r="W1572" s="57" t="str">
        <f aca="false">IF($S1572="","",INDEX(BookRate,1567)*(1+'5. Scenarios'!$E$10)*(INDEX(BookQ1,1567)*(5-MIN(4,1+'5. Scenarios'!$E$8))/4+INDEX(BookQ2,1567)*(5-MIN(4,2+'5. Scenarios'!$E$8))/4+INDEX(BookQ3,1567)*(5-MIN(4,3+'5. Scenarios'!$E$8))/4+INDEX(BookQ4,1567)*(5-MIN(4,4+'5. Scenarios'!$E$8))/4)*'5. Scenarios'!$E$6/(1+ProductivityDefault*('5. Scenarios'!$E$11-1))+INDEX(BookOneOff,1567)*$S1572)</f>
        <v/>
      </c>
    </row>
    <row r="1573" customFormat="false" ht="15" hidden="false" customHeight="false" outlineLevel="0" collapsed="false">
      <c r="A1573" s="0" t="str">
        <f aca="false">IF(INDEX(BookTitle,1568)="","",INDEX(BookKey,1568))</f>
        <v/>
      </c>
      <c r="B1573" s="0" t="str">
        <f aca="false">IF(INDEX(BookTitle,1568)="","",INDEX(BookGroup,1568))</f>
        <v/>
      </c>
      <c r="C1573" s="0" t="str">
        <f aca="false">IF(INDEX(BookTitle,1568)="","",INDEX(BookCategory,1568))</f>
        <v/>
      </c>
      <c r="D1573" s="56" t="str">
        <f aca="false">IF(INDEX(BookTitle,1568)="","",INDEX(BookTotal,1568)*'5. Scenarios'!$B$6/(1+ProductivityDefault*('5. Scenarios'!$B$11-1)))</f>
        <v/>
      </c>
      <c r="E1573" s="57" t="str">
        <f aca="false">IF($D1573="","",INDEX(BookRate,1568)*(1+'5. Scenarios'!$B$10)*$D1573)</f>
        <v/>
      </c>
      <c r="F1573" s="57" t="str">
        <f aca="false">IF($E1573="","",SUMIFS($E$6:$E$2405,$A$6:$A$2405,"&lt;="&amp;$A1573))</f>
        <v/>
      </c>
      <c r="G1573" s="57" t="str">
        <f aca="false">IF($E1573="","",IF($F1573&lt;=BankCostEnvelope*'5. Scenarios'!$B$7,1,0))</f>
        <v/>
      </c>
      <c r="H1573" s="57" t="str">
        <f aca="false">IF($D1573="","",INDEX(BookRate,1568)*(1+'5. Scenarios'!$B$10)*(INDEX(BookQ1,1568)*(5-MIN(4,1+'5. Scenarios'!$B$8))/4+INDEX(BookQ2,1568)*(5-MIN(4,2+'5. Scenarios'!$B$8))/4+INDEX(BookQ3,1568)*(5-MIN(4,3+'5. Scenarios'!$B$8))/4+INDEX(BookQ4,1568)*(5-MIN(4,4+'5. Scenarios'!$B$8))/4)*'5. Scenarios'!$B$6/(1+ProductivityDefault*('5. Scenarios'!$B$11-1))+INDEX(BookOneOff,1568)*$D1573)</f>
        <v/>
      </c>
      <c r="I1573" s="56" t="str">
        <f aca="false">IF(INDEX(BookTitle,1568)="","",INDEX(BookTotal,1568)*'5. Scenarios'!$C$6/(1+ProductivityDefault*('5. Scenarios'!$C$11-1)))</f>
        <v/>
      </c>
      <c r="J1573" s="57" t="str">
        <f aca="false">IF($I1573="","",INDEX(BookRate,1568)*(1+'5. Scenarios'!$C$10)*$I1573)</f>
        <v/>
      </c>
      <c r="K1573" s="57" t="str">
        <f aca="false">IF($J1573="","",SUMIFS($J$6:$J$2405,$A$6:$A$2405,"&lt;="&amp;$A1573))</f>
        <v/>
      </c>
      <c r="L1573" s="57" t="str">
        <f aca="false">IF($J1573="","",IF($K1573&lt;=BankCostEnvelope*'5. Scenarios'!$C$7,1,0))</f>
        <v/>
      </c>
      <c r="M1573" s="57" t="str">
        <f aca="false">IF($I1573="","",INDEX(BookRate,1568)*(1+'5. Scenarios'!$C$10)*(INDEX(BookQ1,1568)*(5-MIN(4,1+'5. Scenarios'!$C$8))/4+INDEX(BookQ2,1568)*(5-MIN(4,2+'5. Scenarios'!$C$8))/4+INDEX(BookQ3,1568)*(5-MIN(4,3+'5. Scenarios'!$C$8))/4+INDEX(BookQ4,1568)*(5-MIN(4,4+'5. Scenarios'!$C$8))/4)*'5. Scenarios'!$C$6/(1+ProductivityDefault*('5. Scenarios'!$C$11-1))+INDEX(BookOneOff,1568)*$I1573)</f>
        <v/>
      </c>
      <c r="N1573" s="56" t="str">
        <f aca="false">IF(INDEX(BookTitle,1568)="","",INDEX(BookTotal,1568)*'5. Scenarios'!$D$6/(1+ProductivityDefault*('5. Scenarios'!$D$11-1)))</f>
        <v/>
      </c>
      <c r="O1573" s="57" t="str">
        <f aca="false">IF($N1573="","",INDEX(BookRate,1568)*(1+'5. Scenarios'!$D$10)*$N1573)</f>
        <v/>
      </c>
      <c r="P1573" s="57" t="str">
        <f aca="false">IF($O1573="","",SUMIFS($O$6:$O$2405,$A$6:$A$2405,"&lt;="&amp;$A1573))</f>
        <v/>
      </c>
      <c r="Q1573" s="57" t="str">
        <f aca="false">IF($O1573="","",IF($P1573&lt;=BankCostEnvelope*'5. Scenarios'!$D$7,1,0))</f>
        <v/>
      </c>
      <c r="R1573" s="57" t="str">
        <f aca="false">IF($N1573="","",INDEX(BookRate,1568)*(1+'5. Scenarios'!$D$10)*(INDEX(BookQ1,1568)*(5-MIN(4,1+'5. Scenarios'!$D$8))/4+INDEX(BookQ2,1568)*(5-MIN(4,2+'5. Scenarios'!$D$8))/4+INDEX(BookQ3,1568)*(5-MIN(4,3+'5. Scenarios'!$D$8))/4+INDEX(BookQ4,1568)*(5-MIN(4,4+'5. Scenarios'!$D$8))/4)*'5. Scenarios'!$D$6/(1+ProductivityDefault*('5. Scenarios'!$D$11-1))+INDEX(BookOneOff,1568)*$N1573)</f>
        <v/>
      </c>
      <c r="S1573" s="56" t="str">
        <f aca="false">IF(INDEX(BookTitle,1568)="","",INDEX(BookTotal,1568)*'5. Scenarios'!$E$6/(1+ProductivityDefault*('5. Scenarios'!$E$11-1)))</f>
        <v/>
      </c>
      <c r="T1573" s="57" t="str">
        <f aca="false">IF($S1573="","",INDEX(BookRate,1568)*(1+'5. Scenarios'!$E$10)*$S1573)</f>
        <v/>
      </c>
      <c r="U1573" s="57" t="str">
        <f aca="false">IF($T1573="","",SUMIFS($T$6:$T$2405,$A$6:$A$2405,"&lt;="&amp;$A1573))</f>
        <v/>
      </c>
      <c r="V1573" s="57" t="str">
        <f aca="false">IF($T1573="","",IF($U1573&lt;=BankCostEnvelope*'5. Scenarios'!$E$7,1,0))</f>
        <v/>
      </c>
      <c r="W1573" s="57" t="str">
        <f aca="false">IF($S1573="","",INDEX(BookRate,1568)*(1+'5. Scenarios'!$E$10)*(INDEX(BookQ1,1568)*(5-MIN(4,1+'5. Scenarios'!$E$8))/4+INDEX(BookQ2,1568)*(5-MIN(4,2+'5. Scenarios'!$E$8))/4+INDEX(BookQ3,1568)*(5-MIN(4,3+'5. Scenarios'!$E$8))/4+INDEX(BookQ4,1568)*(5-MIN(4,4+'5. Scenarios'!$E$8))/4)*'5. Scenarios'!$E$6/(1+ProductivityDefault*('5. Scenarios'!$E$11-1))+INDEX(BookOneOff,1568)*$S1573)</f>
        <v/>
      </c>
    </row>
    <row r="1574" customFormat="false" ht="15" hidden="false" customHeight="false" outlineLevel="0" collapsed="false">
      <c r="A1574" s="0" t="str">
        <f aca="false">IF(INDEX(BookTitle,1569)="","",INDEX(BookKey,1569))</f>
        <v/>
      </c>
      <c r="B1574" s="0" t="str">
        <f aca="false">IF(INDEX(BookTitle,1569)="","",INDEX(BookGroup,1569))</f>
        <v/>
      </c>
      <c r="C1574" s="0" t="str">
        <f aca="false">IF(INDEX(BookTitle,1569)="","",INDEX(BookCategory,1569))</f>
        <v/>
      </c>
      <c r="D1574" s="56" t="str">
        <f aca="false">IF(INDEX(BookTitle,1569)="","",INDEX(BookTotal,1569)*'5. Scenarios'!$B$6/(1+ProductivityDefault*('5. Scenarios'!$B$11-1)))</f>
        <v/>
      </c>
      <c r="E1574" s="57" t="str">
        <f aca="false">IF($D1574="","",INDEX(BookRate,1569)*(1+'5. Scenarios'!$B$10)*$D1574)</f>
        <v/>
      </c>
      <c r="F1574" s="57" t="str">
        <f aca="false">IF($E1574="","",SUMIFS($E$6:$E$2405,$A$6:$A$2405,"&lt;="&amp;$A1574))</f>
        <v/>
      </c>
      <c r="G1574" s="57" t="str">
        <f aca="false">IF($E1574="","",IF($F1574&lt;=BankCostEnvelope*'5. Scenarios'!$B$7,1,0))</f>
        <v/>
      </c>
      <c r="H1574" s="57" t="str">
        <f aca="false">IF($D1574="","",INDEX(BookRate,1569)*(1+'5. Scenarios'!$B$10)*(INDEX(BookQ1,1569)*(5-MIN(4,1+'5. Scenarios'!$B$8))/4+INDEX(BookQ2,1569)*(5-MIN(4,2+'5. Scenarios'!$B$8))/4+INDEX(BookQ3,1569)*(5-MIN(4,3+'5. Scenarios'!$B$8))/4+INDEX(BookQ4,1569)*(5-MIN(4,4+'5. Scenarios'!$B$8))/4)*'5. Scenarios'!$B$6/(1+ProductivityDefault*('5. Scenarios'!$B$11-1))+INDEX(BookOneOff,1569)*$D1574)</f>
        <v/>
      </c>
      <c r="I1574" s="56" t="str">
        <f aca="false">IF(INDEX(BookTitle,1569)="","",INDEX(BookTotal,1569)*'5. Scenarios'!$C$6/(1+ProductivityDefault*('5. Scenarios'!$C$11-1)))</f>
        <v/>
      </c>
      <c r="J1574" s="57" t="str">
        <f aca="false">IF($I1574="","",INDEX(BookRate,1569)*(1+'5. Scenarios'!$C$10)*$I1574)</f>
        <v/>
      </c>
      <c r="K1574" s="57" t="str">
        <f aca="false">IF($J1574="","",SUMIFS($J$6:$J$2405,$A$6:$A$2405,"&lt;="&amp;$A1574))</f>
        <v/>
      </c>
      <c r="L1574" s="57" t="str">
        <f aca="false">IF($J1574="","",IF($K1574&lt;=BankCostEnvelope*'5. Scenarios'!$C$7,1,0))</f>
        <v/>
      </c>
      <c r="M1574" s="57" t="str">
        <f aca="false">IF($I1574="","",INDEX(BookRate,1569)*(1+'5. Scenarios'!$C$10)*(INDEX(BookQ1,1569)*(5-MIN(4,1+'5. Scenarios'!$C$8))/4+INDEX(BookQ2,1569)*(5-MIN(4,2+'5. Scenarios'!$C$8))/4+INDEX(BookQ3,1569)*(5-MIN(4,3+'5. Scenarios'!$C$8))/4+INDEX(BookQ4,1569)*(5-MIN(4,4+'5. Scenarios'!$C$8))/4)*'5. Scenarios'!$C$6/(1+ProductivityDefault*('5. Scenarios'!$C$11-1))+INDEX(BookOneOff,1569)*$I1574)</f>
        <v/>
      </c>
      <c r="N1574" s="56" t="str">
        <f aca="false">IF(INDEX(BookTitle,1569)="","",INDEX(BookTotal,1569)*'5. Scenarios'!$D$6/(1+ProductivityDefault*('5. Scenarios'!$D$11-1)))</f>
        <v/>
      </c>
      <c r="O1574" s="57" t="str">
        <f aca="false">IF($N1574="","",INDEX(BookRate,1569)*(1+'5. Scenarios'!$D$10)*$N1574)</f>
        <v/>
      </c>
      <c r="P1574" s="57" t="str">
        <f aca="false">IF($O1574="","",SUMIFS($O$6:$O$2405,$A$6:$A$2405,"&lt;="&amp;$A1574))</f>
        <v/>
      </c>
      <c r="Q1574" s="57" t="str">
        <f aca="false">IF($O1574="","",IF($P1574&lt;=BankCostEnvelope*'5. Scenarios'!$D$7,1,0))</f>
        <v/>
      </c>
      <c r="R1574" s="57" t="str">
        <f aca="false">IF($N1574="","",INDEX(BookRate,1569)*(1+'5. Scenarios'!$D$10)*(INDEX(BookQ1,1569)*(5-MIN(4,1+'5. Scenarios'!$D$8))/4+INDEX(BookQ2,1569)*(5-MIN(4,2+'5. Scenarios'!$D$8))/4+INDEX(BookQ3,1569)*(5-MIN(4,3+'5. Scenarios'!$D$8))/4+INDEX(BookQ4,1569)*(5-MIN(4,4+'5. Scenarios'!$D$8))/4)*'5. Scenarios'!$D$6/(1+ProductivityDefault*('5. Scenarios'!$D$11-1))+INDEX(BookOneOff,1569)*$N1574)</f>
        <v/>
      </c>
      <c r="S1574" s="56" t="str">
        <f aca="false">IF(INDEX(BookTitle,1569)="","",INDEX(BookTotal,1569)*'5. Scenarios'!$E$6/(1+ProductivityDefault*('5. Scenarios'!$E$11-1)))</f>
        <v/>
      </c>
      <c r="T1574" s="57" t="str">
        <f aca="false">IF($S1574="","",INDEX(BookRate,1569)*(1+'5. Scenarios'!$E$10)*$S1574)</f>
        <v/>
      </c>
      <c r="U1574" s="57" t="str">
        <f aca="false">IF($T1574="","",SUMIFS($T$6:$T$2405,$A$6:$A$2405,"&lt;="&amp;$A1574))</f>
        <v/>
      </c>
      <c r="V1574" s="57" t="str">
        <f aca="false">IF($T1574="","",IF($U1574&lt;=BankCostEnvelope*'5. Scenarios'!$E$7,1,0))</f>
        <v/>
      </c>
      <c r="W1574" s="57" t="str">
        <f aca="false">IF($S1574="","",INDEX(BookRate,1569)*(1+'5. Scenarios'!$E$10)*(INDEX(BookQ1,1569)*(5-MIN(4,1+'5. Scenarios'!$E$8))/4+INDEX(BookQ2,1569)*(5-MIN(4,2+'5. Scenarios'!$E$8))/4+INDEX(BookQ3,1569)*(5-MIN(4,3+'5. Scenarios'!$E$8))/4+INDEX(BookQ4,1569)*(5-MIN(4,4+'5. Scenarios'!$E$8))/4)*'5. Scenarios'!$E$6/(1+ProductivityDefault*('5. Scenarios'!$E$11-1))+INDEX(BookOneOff,1569)*$S1574)</f>
        <v/>
      </c>
    </row>
    <row r="1575" customFormat="false" ht="15" hidden="false" customHeight="false" outlineLevel="0" collapsed="false">
      <c r="A1575" s="0" t="str">
        <f aca="false">IF(INDEX(BookTitle,1570)="","",INDEX(BookKey,1570))</f>
        <v/>
      </c>
      <c r="B1575" s="0" t="str">
        <f aca="false">IF(INDEX(BookTitle,1570)="","",INDEX(BookGroup,1570))</f>
        <v/>
      </c>
      <c r="C1575" s="0" t="str">
        <f aca="false">IF(INDEX(BookTitle,1570)="","",INDEX(BookCategory,1570))</f>
        <v/>
      </c>
      <c r="D1575" s="56" t="str">
        <f aca="false">IF(INDEX(BookTitle,1570)="","",INDEX(BookTotal,1570)*'5. Scenarios'!$B$6/(1+ProductivityDefault*('5. Scenarios'!$B$11-1)))</f>
        <v/>
      </c>
      <c r="E1575" s="57" t="str">
        <f aca="false">IF($D1575="","",INDEX(BookRate,1570)*(1+'5. Scenarios'!$B$10)*$D1575)</f>
        <v/>
      </c>
      <c r="F1575" s="57" t="str">
        <f aca="false">IF($E1575="","",SUMIFS($E$6:$E$2405,$A$6:$A$2405,"&lt;="&amp;$A1575))</f>
        <v/>
      </c>
      <c r="G1575" s="57" t="str">
        <f aca="false">IF($E1575="","",IF($F1575&lt;=BankCostEnvelope*'5. Scenarios'!$B$7,1,0))</f>
        <v/>
      </c>
      <c r="H1575" s="57" t="str">
        <f aca="false">IF($D1575="","",INDEX(BookRate,1570)*(1+'5. Scenarios'!$B$10)*(INDEX(BookQ1,1570)*(5-MIN(4,1+'5. Scenarios'!$B$8))/4+INDEX(BookQ2,1570)*(5-MIN(4,2+'5. Scenarios'!$B$8))/4+INDEX(BookQ3,1570)*(5-MIN(4,3+'5. Scenarios'!$B$8))/4+INDEX(BookQ4,1570)*(5-MIN(4,4+'5. Scenarios'!$B$8))/4)*'5. Scenarios'!$B$6/(1+ProductivityDefault*('5. Scenarios'!$B$11-1))+INDEX(BookOneOff,1570)*$D1575)</f>
        <v/>
      </c>
      <c r="I1575" s="56" t="str">
        <f aca="false">IF(INDEX(BookTitle,1570)="","",INDEX(BookTotal,1570)*'5. Scenarios'!$C$6/(1+ProductivityDefault*('5. Scenarios'!$C$11-1)))</f>
        <v/>
      </c>
      <c r="J1575" s="57" t="str">
        <f aca="false">IF($I1575="","",INDEX(BookRate,1570)*(1+'5. Scenarios'!$C$10)*$I1575)</f>
        <v/>
      </c>
      <c r="K1575" s="57" t="str">
        <f aca="false">IF($J1575="","",SUMIFS($J$6:$J$2405,$A$6:$A$2405,"&lt;="&amp;$A1575))</f>
        <v/>
      </c>
      <c r="L1575" s="57" t="str">
        <f aca="false">IF($J1575="","",IF($K1575&lt;=BankCostEnvelope*'5. Scenarios'!$C$7,1,0))</f>
        <v/>
      </c>
      <c r="M1575" s="57" t="str">
        <f aca="false">IF($I1575="","",INDEX(BookRate,1570)*(1+'5. Scenarios'!$C$10)*(INDEX(BookQ1,1570)*(5-MIN(4,1+'5. Scenarios'!$C$8))/4+INDEX(BookQ2,1570)*(5-MIN(4,2+'5. Scenarios'!$C$8))/4+INDEX(BookQ3,1570)*(5-MIN(4,3+'5. Scenarios'!$C$8))/4+INDEX(BookQ4,1570)*(5-MIN(4,4+'5. Scenarios'!$C$8))/4)*'5. Scenarios'!$C$6/(1+ProductivityDefault*('5. Scenarios'!$C$11-1))+INDEX(BookOneOff,1570)*$I1575)</f>
        <v/>
      </c>
      <c r="N1575" s="56" t="str">
        <f aca="false">IF(INDEX(BookTitle,1570)="","",INDEX(BookTotal,1570)*'5. Scenarios'!$D$6/(1+ProductivityDefault*('5. Scenarios'!$D$11-1)))</f>
        <v/>
      </c>
      <c r="O1575" s="57" t="str">
        <f aca="false">IF($N1575="","",INDEX(BookRate,1570)*(1+'5. Scenarios'!$D$10)*$N1575)</f>
        <v/>
      </c>
      <c r="P1575" s="57" t="str">
        <f aca="false">IF($O1575="","",SUMIFS($O$6:$O$2405,$A$6:$A$2405,"&lt;="&amp;$A1575))</f>
        <v/>
      </c>
      <c r="Q1575" s="57" t="str">
        <f aca="false">IF($O1575="","",IF($P1575&lt;=BankCostEnvelope*'5. Scenarios'!$D$7,1,0))</f>
        <v/>
      </c>
      <c r="R1575" s="57" t="str">
        <f aca="false">IF($N1575="","",INDEX(BookRate,1570)*(1+'5. Scenarios'!$D$10)*(INDEX(BookQ1,1570)*(5-MIN(4,1+'5. Scenarios'!$D$8))/4+INDEX(BookQ2,1570)*(5-MIN(4,2+'5. Scenarios'!$D$8))/4+INDEX(BookQ3,1570)*(5-MIN(4,3+'5. Scenarios'!$D$8))/4+INDEX(BookQ4,1570)*(5-MIN(4,4+'5. Scenarios'!$D$8))/4)*'5. Scenarios'!$D$6/(1+ProductivityDefault*('5. Scenarios'!$D$11-1))+INDEX(BookOneOff,1570)*$N1575)</f>
        <v/>
      </c>
      <c r="S1575" s="56" t="str">
        <f aca="false">IF(INDEX(BookTitle,1570)="","",INDEX(BookTotal,1570)*'5. Scenarios'!$E$6/(1+ProductivityDefault*('5. Scenarios'!$E$11-1)))</f>
        <v/>
      </c>
      <c r="T1575" s="57" t="str">
        <f aca="false">IF($S1575="","",INDEX(BookRate,1570)*(1+'5. Scenarios'!$E$10)*$S1575)</f>
        <v/>
      </c>
      <c r="U1575" s="57" t="str">
        <f aca="false">IF($T1575="","",SUMIFS($T$6:$T$2405,$A$6:$A$2405,"&lt;="&amp;$A1575))</f>
        <v/>
      </c>
      <c r="V1575" s="57" t="str">
        <f aca="false">IF($T1575="","",IF($U1575&lt;=BankCostEnvelope*'5. Scenarios'!$E$7,1,0))</f>
        <v/>
      </c>
      <c r="W1575" s="57" t="str">
        <f aca="false">IF($S1575="","",INDEX(BookRate,1570)*(1+'5. Scenarios'!$E$10)*(INDEX(BookQ1,1570)*(5-MIN(4,1+'5. Scenarios'!$E$8))/4+INDEX(BookQ2,1570)*(5-MIN(4,2+'5. Scenarios'!$E$8))/4+INDEX(BookQ3,1570)*(5-MIN(4,3+'5. Scenarios'!$E$8))/4+INDEX(BookQ4,1570)*(5-MIN(4,4+'5. Scenarios'!$E$8))/4)*'5. Scenarios'!$E$6/(1+ProductivityDefault*('5. Scenarios'!$E$11-1))+INDEX(BookOneOff,1570)*$S1575)</f>
        <v/>
      </c>
    </row>
    <row r="1576" customFormat="false" ht="15" hidden="false" customHeight="false" outlineLevel="0" collapsed="false">
      <c r="A1576" s="0" t="str">
        <f aca="false">IF(INDEX(BookTitle,1571)="","",INDEX(BookKey,1571))</f>
        <v/>
      </c>
      <c r="B1576" s="0" t="str">
        <f aca="false">IF(INDEX(BookTitle,1571)="","",INDEX(BookGroup,1571))</f>
        <v/>
      </c>
      <c r="C1576" s="0" t="str">
        <f aca="false">IF(INDEX(BookTitle,1571)="","",INDEX(BookCategory,1571))</f>
        <v/>
      </c>
      <c r="D1576" s="56" t="str">
        <f aca="false">IF(INDEX(BookTitle,1571)="","",INDEX(BookTotal,1571)*'5. Scenarios'!$B$6/(1+ProductivityDefault*('5. Scenarios'!$B$11-1)))</f>
        <v/>
      </c>
      <c r="E1576" s="57" t="str">
        <f aca="false">IF($D1576="","",INDEX(BookRate,1571)*(1+'5. Scenarios'!$B$10)*$D1576)</f>
        <v/>
      </c>
      <c r="F1576" s="57" t="str">
        <f aca="false">IF($E1576="","",SUMIFS($E$6:$E$2405,$A$6:$A$2405,"&lt;="&amp;$A1576))</f>
        <v/>
      </c>
      <c r="G1576" s="57" t="str">
        <f aca="false">IF($E1576="","",IF($F1576&lt;=BankCostEnvelope*'5. Scenarios'!$B$7,1,0))</f>
        <v/>
      </c>
      <c r="H1576" s="57" t="str">
        <f aca="false">IF($D1576="","",INDEX(BookRate,1571)*(1+'5. Scenarios'!$B$10)*(INDEX(BookQ1,1571)*(5-MIN(4,1+'5. Scenarios'!$B$8))/4+INDEX(BookQ2,1571)*(5-MIN(4,2+'5. Scenarios'!$B$8))/4+INDEX(BookQ3,1571)*(5-MIN(4,3+'5. Scenarios'!$B$8))/4+INDEX(BookQ4,1571)*(5-MIN(4,4+'5. Scenarios'!$B$8))/4)*'5. Scenarios'!$B$6/(1+ProductivityDefault*('5. Scenarios'!$B$11-1))+INDEX(BookOneOff,1571)*$D1576)</f>
        <v/>
      </c>
      <c r="I1576" s="56" t="str">
        <f aca="false">IF(INDEX(BookTitle,1571)="","",INDEX(BookTotal,1571)*'5. Scenarios'!$C$6/(1+ProductivityDefault*('5. Scenarios'!$C$11-1)))</f>
        <v/>
      </c>
      <c r="J1576" s="57" t="str">
        <f aca="false">IF($I1576="","",INDEX(BookRate,1571)*(1+'5. Scenarios'!$C$10)*$I1576)</f>
        <v/>
      </c>
      <c r="K1576" s="57" t="str">
        <f aca="false">IF($J1576="","",SUMIFS($J$6:$J$2405,$A$6:$A$2405,"&lt;="&amp;$A1576))</f>
        <v/>
      </c>
      <c r="L1576" s="57" t="str">
        <f aca="false">IF($J1576="","",IF($K1576&lt;=BankCostEnvelope*'5. Scenarios'!$C$7,1,0))</f>
        <v/>
      </c>
      <c r="M1576" s="57" t="str">
        <f aca="false">IF($I1576="","",INDEX(BookRate,1571)*(1+'5. Scenarios'!$C$10)*(INDEX(BookQ1,1571)*(5-MIN(4,1+'5. Scenarios'!$C$8))/4+INDEX(BookQ2,1571)*(5-MIN(4,2+'5. Scenarios'!$C$8))/4+INDEX(BookQ3,1571)*(5-MIN(4,3+'5. Scenarios'!$C$8))/4+INDEX(BookQ4,1571)*(5-MIN(4,4+'5. Scenarios'!$C$8))/4)*'5. Scenarios'!$C$6/(1+ProductivityDefault*('5. Scenarios'!$C$11-1))+INDEX(BookOneOff,1571)*$I1576)</f>
        <v/>
      </c>
      <c r="N1576" s="56" t="str">
        <f aca="false">IF(INDEX(BookTitle,1571)="","",INDEX(BookTotal,1571)*'5. Scenarios'!$D$6/(1+ProductivityDefault*('5. Scenarios'!$D$11-1)))</f>
        <v/>
      </c>
      <c r="O1576" s="57" t="str">
        <f aca="false">IF($N1576="","",INDEX(BookRate,1571)*(1+'5. Scenarios'!$D$10)*$N1576)</f>
        <v/>
      </c>
      <c r="P1576" s="57" t="str">
        <f aca="false">IF($O1576="","",SUMIFS($O$6:$O$2405,$A$6:$A$2405,"&lt;="&amp;$A1576))</f>
        <v/>
      </c>
      <c r="Q1576" s="57" t="str">
        <f aca="false">IF($O1576="","",IF($P1576&lt;=BankCostEnvelope*'5. Scenarios'!$D$7,1,0))</f>
        <v/>
      </c>
      <c r="R1576" s="57" t="str">
        <f aca="false">IF($N1576="","",INDEX(BookRate,1571)*(1+'5. Scenarios'!$D$10)*(INDEX(BookQ1,1571)*(5-MIN(4,1+'5. Scenarios'!$D$8))/4+INDEX(BookQ2,1571)*(5-MIN(4,2+'5. Scenarios'!$D$8))/4+INDEX(BookQ3,1571)*(5-MIN(4,3+'5. Scenarios'!$D$8))/4+INDEX(BookQ4,1571)*(5-MIN(4,4+'5. Scenarios'!$D$8))/4)*'5. Scenarios'!$D$6/(1+ProductivityDefault*('5. Scenarios'!$D$11-1))+INDEX(BookOneOff,1571)*$N1576)</f>
        <v/>
      </c>
      <c r="S1576" s="56" t="str">
        <f aca="false">IF(INDEX(BookTitle,1571)="","",INDEX(BookTotal,1571)*'5. Scenarios'!$E$6/(1+ProductivityDefault*('5. Scenarios'!$E$11-1)))</f>
        <v/>
      </c>
      <c r="T1576" s="57" t="str">
        <f aca="false">IF($S1576="","",INDEX(BookRate,1571)*(1+'5. Scenarios'!$E$10)*$S1576)</f>
        <v/>
      </c>
      <c r="U1576" s="57" t="str">
        <f aca="false">IF($T1576="","",SUMIFS($T$6:$T$2405,$A$6:$A$2405,"&lt;="&amp;$A1576))</f>
        <v/>
      </c>
      <c r="V1576" s="57" t="str">
        <f aca="false">IF($T1576="","",IF($U1576&lt;=BankCostEnvelope*'5. Scenarios'!$E$7,1,0))</f>
        <v/>
      </c>
      <c r="W1576" s="57" t="str">
        <f aca="false">IF($S1576="","",INDEX(BookRate,1571)*(1+'5. Scenarios'!$E$10)*(INDEX(BookQ1,1571)*(5-MIN(4,1+'5. Scenarios'!$E$8))/4+INDEX(BookQ2,1571)*(5-MIN(4,2+'5. Scenarios'!$E$8))/4+INDEX(BookQ3,1571)*(5-MIN(4,3+'5. Scenarios'!$E$8))/4+INDEX(BookQ4,1571)*(5-MIN(4,4+'5. Scenarios'!$E$8))/4)*'5. Scenarios'!$E$6/(1+ProductivityDefault*('5. Scenarios'!$E$11-1))+INDEX(BookOneOff,1571)*$S1576)</f>
        <v/>
      </c>
    </row>
    <row r="1577" customFormat="false" ht="15" hidden="false" customHeight="false" outlineLevel="0" collapsed="false">
      <c r="A1577" s="0" t="str">
        <f aca="false">IF(INDEX(BookTitle,1572)="","",INDEX(BookKey,1572))</f>
        <v/>
      </c>
      <c r="B1577" s="0" t="str">
        <f aca="false">IF(INDEX(BookTitle,1572)="","",INDEX(BookGroup,1572))</f>
        <v/>
      </c>
      <c r="C1577" s="0" t="str">
        <f aca="false">IF(INDEX(BookTitle,1572)="","",INDEX(BookCategory,1572))</f>
        <v/>
      </c>
      <c r="D1577" s="56" t="str">
        <f aca="false">IF(INDEX(BookTitle,1572)="","",INDEX(BookTotal,1572)*'5. Scenarios'!$B$6/(1+ProductivityDefault*('5. Scenarios'!$B$11-1)))</f>
        <v/>
      </c>
      <c r="E1577" s="57" t="str">
        <f aca="false">IF($D1577="","",INDEX(BookRate,1572)*(1+'5. Scenarios'!$B$10)*$D1577)</f>
        <v/>
      </c>
      <c r="F1577" s="57" t="str">
        <f aca="false">IF($E1577="","",SUMIFS($E$6:$E$2405,$A$6:$A$2405,"&lt;="&amp;$A1577))</f>
        <v/>
      </c>
      <c r="G1577" s="57" t="str">
        <f aca="false">IF($E1577="","",IF($F1577&lt;=BankCostEnvelope*'5. Scenarios'!$B$7,1,0))</f>
        <v/>
      </c>
      <c r="H1577" s="57" t="str">
        <f aca="false">IF($D1577="","",INDEX(BookRate,1572)*(1+'5. Scenarios'!$B$10)*(INDEX(BookQ1,1572)*(5-MIN(4,1+'5. Scenarios'!$B$8))/4+INDEX(BookQ2,1572)*(5-MIN(4,2+'5. Scenarios'!$B$8))/4+INDEX(BookQ3,1572)*(5-MIN(4,3+'5. Scenarios'!$B$8))/4+INDEX(BookQ4,1572)*(5-MIN(4,4+'5. Scenarios'!$B$8))/4)*'5. Scenarios'!$B$6/(1+ProductivityDefault*('5. Scenarios'!$B$11-1))+INDEX(BookOneOff,1572)*$D1577)</f>
        <v/>
      </c>
      <c r="I1577" s="56" t="str">
        <f aca="false">IF(INDEX(BookTitle,1572)="","",INDEX(BookTotal,1572)*'5. Scenarios'!$C$6/(1+ProductivityDefault*('5. Scenarios'!$C$11-1)))</f>
        <v/>
      </c>
      <c r="J1577" s="57" t="str">
        <f aca="false">IF($I1577="","",INDEX(BookRate,1572)*(1+'5. Scenarios'!$C$10)*$I1577)</f>
        <v/>
      </c>
      <c r="K1577" s="57" t="str">
        <f aca="false">IF($J1577="","",SUMIFS($J$6:$J$2405,$A$6:$A$2405,"&lt;="&amp;$A1577))</f>
        <v/>
      </c>
      <c r="L1577" s="57" t="str">
        <f aca="false">IF($J1577="","",IF($K1577&lt;=BankCostEnvelope*'5. Scenarios'!$C$7,1,0))</f>
        <v/>
      </c>
      <c r="M1577" s="57" t="str">
        <f aca="false">IF($I1577="","",INDEX(BookRate,1572)*(1+'5. Scenarios'!$C$10)*(INDEX(BookQ1,1572)*(5-MIN(4,1+'5. Scenarios'!$C$8))/4+INDEX(BookQ2,1572)*(5-MIN(4,2+'5. Scenarios'!$C$8))/4+INDEX(BookQ3,1572)*(5-MIN(4,3+'5. Scenarios'!$C$8))/4+INDEX(BookQ4,1572)*(5-MIN(4,4+'5. Scenarios'!$C$8))/4)*'5. Scenarios'!$C$6/(1+ProductivityDefault*('5. Scenarios'!$C$11-1))+INDEX(BookOneOff,1572)*$I1577)</f>
        <v/>
      </c>
      <c r="N1577" s="56" t="str">
        <f aca="false">IF(INDEX(BookTitle,1572)="","",INDEX(BookTotal,1572)*'5. Scenarios'!$D$6/(1+ProductivityDefault*('5. Scenarios'!$D$11-1)))</f>
        <v/>
      </c>
      <c r="O1577" s="57" t="str">
        <f aca="false">IF($N1577="","",INDEX(BookRate,1572)*(1+'5. Scenarios'!$D$10)*$N1577)</f>
        <v/>
      </c>
      <c r="P1577" s="57" t="str">
        <f aca="false">IF($O1577="","",SUMIFS($O$6:$O$2405,$A$6:$A$2405,"&lt;="&amp;$A1577))</f>
        <v/>
      </c>
      <c r="Q1577" s="57" t="str">
        <f aca="false">IF($O1577="","",IF($P1577&lt;=BankCostEnvelope*'5. Scenarios'!$D$7,1,0))</f>
        <v/>
      </c>
      <c r="R1577" s="57" t="str">
        <f aca="false">IF($N1577="","",INDEX(BookRate,1572)*(1+'5. Scenarios'!$D$10)*(INDEX(BookQ1,1572)*(5-MIN(4,1+'5. Scenarios'!$D$8))/4+INDEX(BookQ2,1572)*(5-MIN(4,2+'5. Scenarios'!$D$8))/4+INDEX(BookQ3,1572)*(5-MIN(4,3+'5. Scenarios'!$D$8))/4+INDEX(BookQ4,1572)*(5-MIN(4,4+'5. Scenarios'!$D$8))/4)*'5. Scenarios'!$D$6/(1+ProductivityDefault*('5. Scenarios'!$D$11-1))+INDEX(BookOneOff,1572)*$N1577)</f>
        <v/>
      </c>
      <c r="S1577" s="56" t="str">
        <f aca="false">IF(INDEX(BookTitle,1572)="","",INDEX(BookTotal,1572)*'5. Scenarios'!$E$6/(1+ProductivityDefault*('5. Scenarios'!$E$11-1)))</f>
        <v/>
      </c>
      <c r="T1577" s="57" t="str">
        <f aca="false">IF($S1577="","",INDEX(BookRate,1572)*(1+'5. Scenarios'!$E$10)*$S1577)</f>
        <v/>
      </c>
      <c r="U1577" s="57" t="str">
        <f aca="false">IF($T1577="","",SUMIFS($T$6:$T$2405,$A$6:$A$2405,"&lt;="&amp;$A1577))</f>
        <v/>
      </c>
      <c r="V1577" s="57" t="str">
        <f aca="false">IF($T1577="","",IF($U1577&lt;=BankCostEnvelope*'5. Scenarios'!$E$7,1,0))</f>
        <v/>
      </c>
      <c r="W1577" s="57" t="str">
        <f aca="false">IF($S1577="","",INDEX(BookRate,1572)*(1+'5. Scenarios'!$E$10)*(INDEX(BookQ1,1572)*(5-MIN(4,1+'5. Scenarios'!$E$8))/4+INDEX(BookQ2,1572)*(5-MIN(4,2+'5. Scenarios'!$E$8))/4+INDEX(BookQ3,1572)*(5-MIN(4,3+'5. Scenarios'!$E$8))/4+INDEX(BookQ4,1572)*(5-MIN(4,4+'5. Scenarios'!$E$8))/4)*'5. Scenarios'!$E$6/(1+ProductivityDefault*('5. Scenarios'!$E$11-1))+INDEX(BookOneOff,1572)*$S1577)</f>
        <v/>
      </c>
    </row>
    <row r="1578" customFormat="false" ht="15" hidden="false" customHeight="false" outlineLevel="0" collapsed="false">
      <c r="A1578" s="0" t="str">
        <f aca="false">IF(INDEX(BookTitle,1573)="","",INDEX(BookKey,1573))</f>
        <v/>
      </c>
      <c r="B1578" s="0" t="str">
        <f aca="false">IF(INDEX(BookTitle,1573)="","",INDEX(BookGroup,1573))</f>
        <v/>
      </c>
      <c r="C1578" s="0" t="str">
        <f aca="false">IF(INDEX(BookTitle,1573)="","",INDEX(BookCategory,1573))</f>
        <v/>
      </c>
      <c r="D1578" s="56" t="str">
        <f aca="false">IF(INDEX(BookTitle,1573)="","",INDEX(BookTotal,1573)*'5. Scenarios'!$B$6/(1+ProductivityDefault*('5. Scenarios'!$B$11-1)))</f>
        <v/>
      </c>
      <c r="E1578" s="57" t="str">
        <f aca="false">IF($D1578="","",INDEX(BookRate,1573)*(1+'5. Scenarios'!$B$10)*$D1578)</f>
        <v/>
      </c>
      <c r="F1578" s="57" t="str">
        <f aca="false">IF($E1578="","",SUMIFS($E$6:$E$2405,$A$6:$A$2405,"&lt;="&amp;$A1578))</f>
        <v/>
      </c>
      <c r="G1578" s="57" t="str">
        <f aca="false">IF($E1578="","",IF($F1578&lt;=BankCostEnvelope*'5. Scenarios'!$B$7,1,0))</f>
        <v/>
      </c>
      <c r="H1578" s="57" t="str">
        <f aca="false">IF($D1578="","",INDEX(BookRate,1573)*(1+'5. Scenarios'!$B$10)*(INDEX(BookQ1,1573)*(5-MIN(4,1+'5. Scenarios'!$B$8))/4+INDEX(BookQ2,1573)*(5-MIN(4,2+'5. Scenarios'!$B$8))/4+INDEX(BookQ3,1573)*(5-MIN(4,3+'5. Scenarios'!$B$8))/4+INDEX(BookQ4,1573)*(5-MIN(4,4+'5. Scenarios'!$B$8))/4)*'5. Scenarios'!$B$6/(1+ProductivityDefault*('5. Scenarios'!$B$11-1))+INDEX(BookOneOff,1573)*$D1578)</f>
        <v/>
      </c>
      <c r="I1578" s="56" t="str">
        <f aca="false">IF(INDEX(BookTitle,1573)="","",INDEX(BookTotal,1573)*'5. Scenarios'!$C$6/(1+ProductivityDefault*('5. Scenarios'!$C$11-1)))</f>
        <v/>
      </c>
      <c r="J1578" s="57" t="str">
        <f aca="false">IF($I1578="","",INDEX(BookRate,1573)*(1+'5. Scenarios'!$C$10)*$I1578)</f>
        <v/>
      </c>
      <c r="K1578" s="57" t="str">
        <f aca="false">IF($J1578="","",SUMIFS($J$6:$J$2405,$A$6:$A$2405,"&lt;="&amp;$A1578))</f>
        <v/>
      </c>
      <c r="L1578" s="57" t="str">
        <f aca="false">IF($J1578="","",IF($K1578&lt;=BankCostEnvelope*'5. Scenarios'!$C$7,1,0))</f>
        <v/>
      </c>
      <c r="M1578" s="57" t="str">
        <f aca="false">IF($I1578="","",INDEX(BookRate,1573)*(1+'5. Scenarios'!$C$10)*(INDEX(BookQ1,1573)*(5-MIN(4,1+'5. Scenarios'!$C$8))/4+INDEX(BookQ2,1573)*(5-MIN(4,2+'5. Scenarios'!$C$8))/4+INDEX(BookQ3,1573)*(5-MIN(4,3+'5. Scenarios'!$C$8))/4+INDEX(BookQ4,1573)*(5-MIN(4,4+'5. Scenarios'!$C$8))/4)*'5. Scenarios'!$C$6/(1+ProductivityDefault*('5. Scenarios'!$C$11-1))+INDEX(BookOneOff,1573)*$I1578)</f>
        <v/>
      </c>
      <c r="N1578" s="56" t="str">
        <f aca="false">IF(INDEX(BookTitle,1573)="","",INDEX(BookTotal,1573)*'5. Scenarios'!$D$6/(1+ProductivityDefault*('5. Scenarios'!$D$11-1)))</f>
        <v/>
      </c>
      <c r="O1578" s="57" t="str">
        <f aca="false">IF($N1578="","",INDEX(BookRate,1573)*(1+'5. Scenarios'!$D$10)*$N1578)</f>
        <v/>
      </c>
      <c r="P1578" s="57" t="str">
        <f aca="false">IF($O1578="","",SUMIFS($O$6:$O$2405,$A$6:$A$2405,"&lt;="&amp;$A1578))</f>
        <v/>
      </c>
      <c r="Q1578" s="57" t="str">
        <f aca="false">IF($O1578="","",IF($P1578&lt;=BankCostEnvelope*'5. Scenarios'!$D$7,1,0))</f>
        <v/>
      </c>
      <c r="R1578" s="57" t="str">
        <f aca="false">IF($N1578="","",INDEX(BookRate,1573)*(1+'5. Scenarios'!$D$10)*(INDEX(BookQ1,1573)*(5-MIN(4,1+'5. Scenarios'!$D$8))/4+INDEX(BookQ2,1573)*(5-MIN(4,2+'5. Scenarios'!$D$8))/4+INDEX(BookQ3,1573)*(5-MIN(4,3+'5. Scenarios'!$D$8))/4+INDEX(BookQ4,1573)*(5-MIN(4,4+'5. Scenarios'!$D$8))/4)*'5. Scenarios'!$D$6/(1+ProductivityDefault*('5. Scenarios'!$D$11-1))+INDEX(BookOneOff,1573)*$N1578)</f>
        <v/>
      </c>
      <c r="S1578" s="56" t="str">
        <f aca="false">IF(INDEX(BookTitle,1573)="","",INDEX(BookTotal,1573)*'5. Scenarios'!$E$6/(1+ProductivityDefault*('5. Scenarios'!$E$11-1)))</f>
        <v/>
      </c>
      <c r="T1578" s="57" t="str">
        <f aca="false">IF($S1578="","",INDEX(BookRate,1573)*(1+'5. Scenarios'!$E$10)*$S1578)</f>
        <v/>
      </c>
      <c r="U1578" s="57" t="str">
        <f aca="false">IF($T1578="","",SUMIFS($T$6:$T$2405,$A$6:$A$2405,"&lt;="&amp;$A1578))</f>
        <v/>
      </c>
      <c r="V1578" s="57" t="str">
        <f aca="false">IF($T1578="","",IF($U1578&lt;=BankCostEnvelope*'5. Scenarios'!$E$7,1,0))</f>
        <v/>
      </c>
      <c r="W1578" s="57" t="str">
        <f aca="false">IF($S1578="","",INDEX(BookRate,1573)*(1+'5. Scenarios'!$E$10)*(INDEX(BookQ1,1573)*(5-MIN(4,1+'5. Scenarios'!$E$8))/4+INDEX(BookQ2,1573)*(5-MIN(4,2+'5. Scenarios'!$E$8))/4+INDEX(BookQ3,1573)*(5-MIN(4,3+'5. Scenarios'!$E$8))/4+INDEX(BookQ4,1573)*(5-MIN(4,4+'5. Scenarios'!$E$8))/4)*'5. Scenarios'!$E$6/(1+ProductivityDefault*('5. Scenarios'!$E$11-1))+INDEX(BookOneOff,1573)*$S1578)</f>
        <v/>
      </c>
    </row>
    <row r="1579" customFormat="false" ht="15" hidden="false" customHeight="false" outlineLevel="0" collapsed="false">
      <c r="A1579" s="0" t="str">
        <f aca="false">IF(INDEX(BookTitle,1574)="","",INDEX(BookKey,1574))</f>
        <v/>
      </c>
      <c r="B1579" s="0" t="str">
        <f aca="false">IF(INDEX(BookTitle,1574)="","",INDEX(BookGroup,1574))</f>
        <v/>
      </c>
      <c r="C1579" s="0" t="str">
        <f aca="false">IF(INDEX(BookTitle,1574)="","",INDEX(BookCategory,1574))</f>
        <v/>
      </c>
      <c r="D1579" s="56" t="str">
        <f aca="false">IF(INDEX(BookTitle,1574)="","",INDEX(BookTotal,1574)*'5. Scenarios'!$B$6/(1+ProductivityDefault*('5. Scenarios'!$B$11-1)))</f>
        <v/>
      </c>
      <c r="E1579" s="57" t="str">
        <f aca="false">IF($D1579="","",INDEX(BookRate,1574)*(1+'5. Scenarios'!$B$10)*$D1579)</f>
        <v/>
      </c>
      <c r="F1579" s="57" t="str">
        <f aca="false">IF($E1579="","",SUMIFS($E$6:$E$2405,$A$6:$A$2405,"&lt;="&amp;$A1579))</f>
        <v/>
      </c>
      <c r="G1579" s="57" t="str">
        <f aca="false">IF($E1579="","",IF($F1579&lt;=BankCostEnvelope*'5. Scenarios'!$B$7,1,0))</f>
        <v/>
      </c>
      <c r="H1579" s="57" t="str">
        <f aca="false">IF($D1579="","",INDEX(BookRate,1574)*(1+'5. Scenarios'!$B$10)*(INDEX(BookQ1,1574)*(5-MIN(4,1+'5. Scenarios'!$B$8))/4+INDEX(BookQ2,1574)*(5-MIN(4,2+'5. Scenarios'!$B$8))/4+INDEX(BookQ3,1574)*(5-MIN(4,3+'5. Scenarios'!$B$8))/4+INDEX(BookQ4,1574)*(5-MIN(4,4+'5. Scenarios'!$B$8))/4)*'5. Scenarios'!$B$6/(1+ProductivityDefault*('5. Scenarios'!$B$11-1))+INDEX(BookOneOff,1574)*$D1579)</f>
        <v/>
      </c>
      <c r="I1579" s="56" t="str">
        <f aca="false">IF(INDEX(BookTitle,1574)="","",INDEX(BookTotal,1574)*'5. Scenarios'!$C$6/(1+ProductivityDefault*('5. Scenarios'!$C$11-1)))</f>
        <v/>
      </c>
      <c r="J1579" s="57" t="str">
        <f aca="false">IF($I1579="","",INDEX(BookRate,1574)*(1+'5. Scenarios'!$C$10)*$I1579)</f>
        <v/>
      </c>
      <c r="K1579" s="57" t="str">
        <f aca="false">IF($J1579="","",SUMIFS($J$6:$J$2405,$A$6:$A$2405,"&lt;="&amp;$A1579))</f>
        <v/>
      </c>
      <c r="L1579" s="57" t="str">
        <f aca="false">IF($J1579="","",IF($K1579&lt;=BankCostEnvelope*'5. Scenarios'!$C$7,1,0))</f>
        <v/>
      </c>
      <c r="M1579" s="57" t="str">
        <f aca="false">IF($I1579="","",INDEX(BookRate,1574)*(1+'5. Scenarios'!$C$10)*(INDEX(BookQ1,1574)*(5-MIN(4,1+'5. Scenarios'!$C$8))/4+INDEX(BookQ2,1574)*(5-MIN(4,2+'5. Scenarios'!$C$8))/4+INDEX(BookQ3,1574)*(5-MIN(4,3+'5. Scenarios'!$C$8))/4+INDEX(BookQ4,1574)*(5-MIN(4,4+'5. Scenarios'!$C$8))/4)*'5. Scenarios'!$C$6/(1+ProductivityDefault*('5. Scenarios'!$C$11-1))+INDEX(BookOneOff,1574)*$I1579)</f>
        <v/>
      </c>
      <c r="N1579" s="56" t="str">
        <f aca="false">IF(INDEX(BookTitle,1574)="","",INDEX(BookTotal,1574)*'5. Scenarios'!$D$6/(1+ProductivityDefault*('5. Scenarios'!$D$11-1)))</f>
        <v/>
      </c>
      <c r="O1579" s="57" t="str">
        <f aca="false">IF($N1579="","",INDEX(BookRate,1574)*(1+'5. Scenarios'!$D$10)*$N1579)</f>
        <v/>
      </c>
      <c r="P1579" s="57" t="str">
        <f aca="false">IF($O1579="","",SUMIFS($O$6:$O$2405,$A$6:$A$2405,"&lt;="&amp;$A1579))</f>
        <v/>
      </c>
      <c r="Q1579" s="57" t="str">
        <f aca="false">IF($O1579="","",IF($P1579&lt;=BankCostEnvelope*'5. Scenarios'!$D$7,1,0))</f>
        <v/>
      </c>
      <c r="R1579" s="57" t="str">
        <f aca="false">IF($N1579="","",INDEX(BookRate,1574)*(1+'5. Scenarios'!$D$10)*(INDEX(BookQ1,1574)*(5-MIN(4,1+'5. Scenarios'!$D$8))/4+INDEX(BookQ2,1574)*(5-MIN(4,2+'5. Scenarios'!$D$8))/4+INDEX(BookQ3,1574)*(5-MIN(4,3+'5. Scenarios'!$D$8))/4+INDEX(BookQ4,1574)*(5-MIN(4,4+'5. Scenarios'!$D$8))/4)*'5. Scenarios'!$D$6/(1+ProductivityDefault*('5. Scenarios'!$D$11-1))+INDEX(BookOneOff,1574)*$N1579)</f>
        <v/>
      </c>
      <c r="S1579" s="56" t="str">
        <f aca="false">IF(INDEX(BookTitle,1574)="","",INDEX(BookTotal,1574)*'5. Scenarios'!$E$6/(1+ProductivityDefault*('5. Scenarios'!$E$11-1)))</f>
        <v/>
      </c>
      <c r="T1579" s="57" t="str">
        <f aca="false">IF($S1579="","",INDEX(BookRate,1574)*(1+'5. Scenarios'!$E$10)*$S1579)</f>
        <v/>
      </c>
      <c r="U1579" s="57" t="str">
        <f aca="false">IF($T1579="","",SUMIFS($T$6:$T$2405,$A$6:$A$2405,"&lt;="&amp;$A1579))</f>
        <v/>
      </c>
      <c r="V1579" s="57" t="str">
        <f aca="false">IF($T1579="","",IF($U1579&lt;=BankCostEnvelope*'5. Scenarios'!$E$7,1,0))</f>
        <v/>
      </c>
      <c r="W1579" s="57" t="str">
        <f aca="false">IF($S1579="","",INDEX(BookRate,1574)*(1+'5. Scenarios'!$E$10)*(INDEX(BookQ1,1574)*(5-MIN(4,1+'5. Scenarios'!$E$8))/4+INDEX(BookQ2,1574)*(5-MIN(4,2+'5. Scenarios'!$E$8))/4+INDEX(BookQ3,1574)*(5-MIN(4,3+'5. Scenarios'!$E$8))/4+INDEX(BookQ4,1574)*(5-MIN(4,4+'5. Scenarios'!$E$8))/4)*'5. Scenarios'!$E$6/(1+ProductivityDefault*('5. Scenarios'!$E$11-1))+INDEX(BookOneOff,1574)*$S1579)</f>
        <v/>
      </c>
    </row>
    <row r="1580" customFormat="false" ht="15" hidden="false" customHeight="false" outlineLevel="0" collapsed="false">
      <c r="A1580" s="0" t="str">
        <f aca="false">IF(INDEX(BookTitle,1575)="","",INDEX(BookKey,1575))</f>
        <v/>
      </c>
      <c r="B1580" s="0" t="str">
        <f aca="false">IF(INDEX(BookTitle,1575)="","",INDEX(BookGroup,1575))</f>
        <v/>
      </c>
      <c r="C1580" s="0" t="str">
        <f aca="false">IF(INDEX(BookTitle,1575)="","",INDEX(BookCategory,1575))</f>
        <v/>
      </c>
      <c r="D1580" s="56" t="str">
        <f aca="false">IF(INDEX(BookTitle,1575)="","",INDEX(BookTotal,1575)*'5. Scenarios'!$B$6/(1+ProductivityDefault*('5. Scenarios'!$B$11-1)))</f>
        <v/>
      </c>
      <c r="E1580" s="57" t="str">
        <f aca="false">IF($D1580="","",INDEX(BookRate,1575)*(1+'5. Scenarios'!$B$10)*$D1580)</f>
        <v/>
      </c>
      <c r="F1580" s="57" t="str">
        <f aca="false">IF($E1580="","",SUMIFS($E$6:$E$2405,$A$6:$A$2405,"&lt;="&amp;$A1580))</f>
        <v/>
      </c>
      <c r="G1580" s="57" t="str">
        <f aca="false">IF($E1580="","",IF($F1580&lt;=BankCostEnvelope*'5. Scenarios'!$B$7,1,0))</f>
        <v/>
      </c>
      <c r="H1580" s="57" t="str">
        <f aca="false">IF($D1580="","",INDEX(BookRate,1575)*(1+'5. Scenarios'!$B$10)*(INDEX(BookQ1,1575)*(5-MIN(4,1+'5. Scenarios'!$B$8))/4+INDEX(BookQ2,1575)*(5-MIN(4,2+'5. Scenarios'!$B$8))/4+INDEX(BookQ3,1575)*(5-MIN(4,3+'5. Scenarios'!$B$8))/4+INDEX(BookQ4,1575)*(5-MIN(4,4+'5. Scenarios'!$B$8))/4)*'5. Scenarios'!$B$6/(1+ProductivityDefault*('5. Scenarios'!$B$11-1))+INDEX(BookOneOff,1575)*$D1580)</f>
        <v/>
      </c>
      <c r="I1580" s="56" t="str">
        <f aca="false">IF(INDEX(BookTitle,1575)="","",INDEX(BookTotal,1575)*'5. Scenarios'!$C$6/(1+ProductivityDefault*('5. Scenarios'!$C$11-1)))</f>
        <v/>
      </c>
      <c r="J1580" s="57" t="str">
        <f aca="false">IF($I1580="","",INDEX(BookRate,1575)*(1+'5. Scenarios'!$C$10)*$I1580)</f>
        <v/>
      </c>
      <c r="K1580" s="57" t="str">
        <f aca="false">IF($J1580="","",SUMIFS($J$6:$J$2405,$A$6:$A$2405,"&lt;="&amp;$A1580))</f>
        <v/>
      </c>
      <c r="L1580" s="57" t="str">
        <f aca="false">IF($J1580="","",IF($K1580&lt;=BankCostEnvelope*'5. Scenarios'!$C$7,1,0))</f>
        <v/>
      </c>
      <c r="M1580" s="57" t="str">
        <f aca="false">IF($I1580="","",INDEX(BookRate,1575)*(1+'5. Scenarios'!$C$10)*(INDEX(BookQ1,1575)*(5-MIN(4,1+'5. Scenarios'!$C$8))/4+INDEX(BookQ2,1575)*(5-MIN(4,2+'5. Scenarios'!$C$8))/4+INDEX(BookQ3,1575)*(5-MIN(4,3+'5. Scenarios'!$C$8))/4+INDEX(BookQ4,1575)*(5-MIN(4,4+'5. Scenarios'!$C$8))/4)*'5. Scenarios'!$C$6/(1+ProductivityDefault*('5. Scenarios'!$C$11-1))+INDEX(BookOneOff,1575)*$I1580)</f>
        <v/>
      </c>
      <c r="N1580" s="56" t="str">
        <f aca="false">IF(INDEX(BookTitle,1575)="","",INDEX(BookTotal,1575)*'5. Scenarios'!$D$6/(1+ProductivityDefault*('5. Scenarios'!$D$11-1)))</f>
        <v/>
      </c>
      <c r="O1580" s="57" t="str">
        <f aca="false">IF($N1580="","",INDEX(BookRate,1575)*(1+'5. Scenarios'!$D$10)*$N1580)</f>
        <v/>
      </c>
      <c r="P1580" s="57" t="str">
        <f aca="false">IF($O1580="","",SUMIFS($O$6:$O$2405,$A$6:$A$2405,"&lt;="&amp;$A1580))</f>
        <v/>
      </c>
      <c r="Q1580" s="57" t="str">
        <f aca="false">IF($O1580="","",IF($P1580&lt;=BankCostEnvelope*'5. Scenarios'!$D$7,1,0))</f>
        <v/>
      </c>
      <c r="R1580" s="57" t="str">
        <f aca="false">IF($N1580="","",INDEX(BookRate,1575)*(1+'5. Scenarios'!$D$10)*(INDEX(BookQ1,1575)*(5-MIN(4,1+'5. Scenarios'!$D$8))/4+INDEX(BookQ2,1575)*(5-MIN(4,2+'5. Scenarios'!$D$8))/4+INDEX(BookQ3,1575)*(5-MIN(4,3+'5. Scenarios'!$D$8))/4+INDEX(BookQ4,1575)*(5-MIN(4,4+'5. Scenarios'!$D$8))/4)*'5. Scenarios'!$D$6/(1+ProductivityDefault*('5. Scenarios'!$D$11-1))+INDEX(BookOneOff,1575)*$N1580)</f>
        <v/>
      </c>
      <c r="S1580" s="56" t="str">
        <f aca="false">IF(INDEX(BookTitle,1575)="","",INDEX(BookTotal,1575)*'5. Scenarios'!$E$6/(1+ProductivityDefault*('5. Scenarios'!$E$11-1)))</f>
        <v/>
      </c>
      <c r="T1580" s="57" t="str">
        <f aca="false">IF($S1580="","",INDEX(BookRate,1575)*(1+'5. Scenarios'!$E$10)*$S1580)</f>
        <v/>
      </c>
      <c r="U1580" s="57" t="str">
        <f aca="false">IF($T1580="","",SUMIFS($T$6:$T$2405,$A$6:$A$2405,"&lt;="&amp;$A1580))</f>
        <v/>
      </c>
      <c r="V1580" s="57" t="str">
        <f aca="false">IF($T1580="","",IF($U1580&lt;=BankCostEnvelope*'5. Scenarios'!$E$7,1,0))</f>
        <v/>
      </c>
      <c r="W1580" s="57" t="str">
        <f aca="false">IF($S1580="","",INDEX(BookRate,1575)*(1+'5. Scenarios'!$E$10)*(INDEX(BookQ1,1575)*(5-MIN(4,1+'5. Scenarios'!$E$8))/4+INDEX(BookQ2,1575)*(5-MIN(4,2+'5. Scenarios'!$E$8))/4+INDEX(BookQ3,1575)*(5-MIN(4,3+'5. Scenarios'!$E$8))/4+INDEX(BookQ4,1575)*(5-MIN(4,4+'5. Scenarios'!$E$8))/4)*'5. Scenarios'!$E$6/(1+ProductivityDefault*('5. Scenarios'!$E$11-1))+INDEX(BookOneOff,1575)*$S1580)</f>
        <v/>
      </c>
    </row>
    <row r="1581" customFormat="false" ht="15" hidden="false" customHeight="false" outlineLevel="0" collapsed="false">
      <c r="A1581" s="0" t="str">
        <f aca="false">IF(INDEX(BookTitle,1576)="","",INDEX(BookKey,1576))</f>
        <v/>
      </c>
      <c r="B1581" s="0" t="str">
        <f aca="false">IF(INDEX(BookTitle,1576)="","",INDEX(BookGroup,1576))</f>
        <v/>
      </c>
      <c r="C1581" s="0" t="str">
        <f aca="false">IF(INDEX(BookTitle,1576)="","",INDEX(BookCategory,1576))</f>
        <v/>
      </c>
      <c r="D1581" s="56" t="str">
        <f aca="false">IF(INDEX(BookTitle,1576)="","",INDEX(BookTotal,1576)*'5. Scenarios'!$B$6/(1+ProductivityDefault*('5. Scenarios'!$B$11-1)))</f>
        <v/>
      </c>
      <c r="E1581" s="57" t="str">
        <f aca="false">IF($D1581="","",INDEX(BookRate,1576)*(1+'5. Scenarios'!$B$10)*$D1581)</f>
        <v/>
      </c>
      <c r="F1581" s="57" t="str">
        <f aca="false">IF($E1581="","",SUMIFS($E$6:$E$2405,$A$6:$A$2405,"&lt;="&amp;$A1581))</f>
        <v/>
      </c>
      <c r="G1581" s="57" t="str">
        <f aca="false">IF($E1581="","",IF($F1581&lt;=BankCostEnvelope*'5. Scenarios'!$B$7,1,0))</f>
        <v/>
      </c>
      <c r="H1581" s="57" t="str">
        <f aca="false">IF($D1581="","",INDEX(BookRate,1576)*(1+'5. Scenarios'!$B$10)*(INDEX(BookQ1,1576)*(5-MIN(4,1+'5. Scenarios'!$B$8))/4+INDEX(BookQ2,1576)*(5-MIN(4,2+'5. Scenarios'!$B$8))/4+INDEX(BookQ3,1576)*(5-MIN(4,3+'5. Scenarios'!$B$8))/4+INDEX(BookQ4,1576)*(5-MIN(4,4+'5. Scenarios'!$B$8))/4)*'5. Scenarios'!$B$6/(1+ProductivityDefault*('5. Scenarios'!$B$11-1))+INDEX(BookOneOff,1576)*$D1581)</f>
        <v/>
      </c>
      <c r="I1581" s="56" t="str">
        <f aca="false">IF(INDEX(BookTitle,1576)="","",INDEX(BookTotal,1576)*'5. Scenarios'!$C$6/(1+ProductivityDefault*('5. Scenarios'!$C$11-1)))</f>
        <v/>
      </c>
      <c r="J1581" s="57" t="str">
        <f aca="false">IF($I1581="","",INDEX(BookRate,1576)*(1+'5. Scenarios'!$C$10)*$I1581)</f>
        <v/>
      </c>
      <c r="K1581" s="57" t="str">
        <f aca="false">IF($J1581="","",SUMIFS($J$6:$J$2405,$A$6:$A$2405,"&lt;="&amp;$A1581))</f>
        <v/>
      </c>
      <c r="L1581" s="57" t="str">
        <f aca="false">IF($J1581="","",IF($K1581&lt;=BankCostEnvelope*'5. Scenarios'!$C$7,1,0))</f>
        <v/>
      </c>
      <c r="M1581" s="57" t="str">
        <f aca="false">IF($I1581="","",INDEX(BookRate,1576)*(1+'5. Scenarios'!$C$10)*(INDEX(BookQ1,1576)*(5-MIN(4,1+'5. Scenarios'!$C$8))/4+INDEX(BookQ2,1576)*(5-MIN(4,2+'5. Scenarios'!$C$8))/4+INDEX(BookQ3,1576)*(5-MIN(4,3+'5. Scenarios'!$C$8))/4+INDEX(BookQ4,1576)*(5-MIN(4,4+'5. Scenarios'!$C$8))/4)*'5. Scenarios'!$C$6/(1+ProductivityDefault*('5. Scenarios'!$C$11-1))+INDEX(BookOneOff,1576)*$I1581)</f>
        <v/>
      </c>
      <c r="N1581" s="56" t="str">
        <f aca="false">IF(INDEX(BookTitle,1576)="","",INDEX(BookTotal,1576)*'5. Scenarios'!$D$6/(1+ProductivityDefault*('5. Scenarios'!$D$11-1)))</f>
        <v/>
      </c>
      <c r="O1581" s="57" t="str">
        <f aca="false">IF($N1581="","",INDEX(BookRate,1576)*(1+'5. Scenarios'!$D$10)*$N1581)</f>
        <v/>
      </c>
      <c r="P1581" s="57" t="str">
        <f aca="false">IF($O1581="","",SUMIFS($O$6:$O$2405,$A$6:$A$2405,"&lt;="&amp;$A1581))</f>
        <v/>
      </c>
      <c r="Q1581" s="57" t="str">
        <f aca="false">IF($O1581="","",IF($P1581&lt;=BankCostEnvelope*'5. Scenarios'!$D$7,1,0))</f>
        <v/>
      </c>
      <c r="R1581" s="57" t="str">
        <f aca="false">IF($N1581="","",INDEX(BookRate,1576)*(1+'5. Scenarios'!$D$10)*(INDEX(BookQ1,1576)*(5-MIN(4,1+'5. Scenarios'!$D$8))/4+INDEX(BookQ2,1576)*(5-MIN(4,2+'5. Scenarios'!$D$8))/4+INDEX(BookQ3,1576)*(5-MIN(4,3+'5. Scenarios'!$D$8))/4+INDEX(BookQ4,1576)*(5-MIN(4,4+'5. Scenarios'!$D$8))/4)*'5. Scenarios'!$D$6/(1+ProductivityDefault*('5. Scenarios'!$D$11-1))+INDEX(BookOneOff,1576)*$N1581)</f>
        <v/>
      </c>
      <c r="S1581" s="56" t="str">
        <f aca="false">IF(INDEX(BookTitle,1576)="","",INDEX(BookTotal,1576)*'5. Scenarios'!$E$6/(1+ProductivityDefault*('5. Scenarios'!$E$11-1)))</f>
        <v/>
      </c>
      <c r="T1581" s="57" t="str">
        <f aca="false">IF($S1581="","",INDEX(BookRate,1576)*(1+'5. Scenarios'!$E$10)*$S1581)</f>
        <v/>
      </c>
      <c r="U1581" s="57" t="str">
        <f aca="false">IF($T1581="","",SUMIFS($T$6:$T$2405,$A$6:$A$2405,"&lt;="&amp;$A1581))</f>
        <v/>
      </c>
      <c r="V1581" s="57" t="str">
        <f aca="false">IF($T1581="","",IF($U1581&lt;=BankCostEnvelope*'5. Scenarios'!$E$7,1,0))</f>
        <v/>
      </c>
      <c r="W1581" s="57" t="str">
        <f aca="false">IF($S1581="","",INDEX(BookRate,1576)*(1+'5. Scenarios'!$E$10)*(INDEX(BookQ1,1576)*(5-MIN(4,1+'5. Scenarios'!$E$8))/4+INDEX(BookQ2,1576)*(5-MIN(4,2+'5. Scenarios'!$E$8))/4+INDEX(BookQ3,1576)*(5-MIN(4,3+'5. Scenarios'!$E$8))/4+INDEX(BookQ4,1576)*(5-MIN(4,4+'5. Scenarios'!$E$8))/4)*'5. Scenarios'!$E$6/(1+ProductivityDefault*('5. Scenarios'!$E$11-1))+INDEX(BookOneOff,1576)*$S1581)</f>
        <v/>
      </c>
    </row>
    <row r="1582" customFormat="false" ht="15" hidden="false" customHeight="false" outlineLevel="0" collapsed="false">
      <c r="A1582" s="0" t="str">
        <f aca="false">IF(INDEX(BookTitle,1577)="","",INDEX(BookKey,1577))</f>
        <v/>
      </c>
      <c r="B1582" s="0" t="str">
        <f aca="false">IF(INDEX(BookTitle,1577)="","",INDEX(BookGroup,1577))</f>
        <v/>
      </c>
      <c r="C1582" s="0" t="str">
        <f aca="false">IF(INDEX(BookTitle,1577)="","",INDEX(BookCategory,1577))</f>
        <v/>
      </c>
      <c r="D1582" s="56" t="str">
        <f aca="false">IF(INDEX(BookTitle,1577)="","",INDEX(BookTotal,1577)*'5. Scenarios'!$B$6/(1+ProductivityDefault*('5. Scenarios'!$B$11-1)))</f>
        <v/>
      </c>
      <c r="E1582" s="57" t="str">
        <f aca="false">IF($D1582="","",INDEX(BookRate,1577)*(1+'5. Scenarios'!$B$10)*$D1582)</f>
        <v/>
      </c>
      <c r="F1582" s="57" t="str">
        <f aca="false">IF($E1582="","",SUMIFS($E$6:$E$2405,$A$6:$A$2405,"&lt;="&amp;$A1582))</f>
        <v/>
      </c>
      <c r="G1582" s="57" t="str">
        <f aca="false">IF($E1582="","",IF($F1582&lt;=BankCostEnvelope*'5. Scenarios'!$B$7,1,0))</f>
        <v/>
      </c>
      <c r="H1582" s="57" t="str">
        <f aca="false">IF($D1582="","",INDEX(BookRate,1577)*(1+'5. Scenarios'!$B$10)*(INDEX(BookQ1,1577)*(5-MIN(4,1+'5. Scenarios'!$B$8))/4+INDEX(BookQ2,1577)*(5-MIN(4,2+'5. Scenarios'!$B$8))/4+INDEX(BookQ3,1577)*(5-MIN(4,3+'5. Scenarios'!$B$8))/4+INDEX(BookQ4,1577)*(5-MIN(4,4+'5. Scenarios'!$B$8))/4)*'5. Scenarios'!$B$6/(1+ProductivityDefault*('5. Scenarios'!$B$11-1))+INDEX(BookOneOff,1577)*$D1582)</f>
        <v/>
      </c>
      <c r="I1582" s="56" t="str">
        <f aca="false">IF(INDEX(BookTitle,1577)="","",INDEX(BookTotal,1577)*'5. Scenarios'!$C$6/(1+ProductivityDefault*('5. Scenarios'!$C$11-1)))</f>
        <v/>
      </c>
      <c r="J1582" s="57" t="str">
        <f aca="false">IF($I1582="","",INDEX(BookRate,1577)*(1+'5. Scenarios'!$C$10)*$I1582)</f>
        <v/>
      </c>
      <c r="K1582" s="57" t="str">
        <f aca="false">IF($J1582="","",SUMIFS($J$6:$J$2405,$A$6:$A$2405,"&lt;="&amp;$A1582))</f>
        <v/>
      </c>
      <c r="L1582" s="57" t="str">
        <f aca="false">IF($J1582="","",IF($K1582&lt;=BankCostEnvelope*'5. Scenarios'!$C$7,1,0))</f>
        <v/>
      </c>
      <c r="M1582" s="57" t="str">
        <f aca="false">IF($I1582="","",INDEX(BookRate,1577)*(1+'5. Scenarios'!$C$10)*(INDEX(BookQ1,1577)*(5-MIN(4,1+'5. Scenarios'!$C$8))/4+INDEX(BookQ2,1577)*(5-MIN(4,2+'5. Scenarios'!$C$8))/4+INDEX(BookQ3,1577)*(5-MIN(4,3+'5. Scenarios'!$C$8))/4+INDEX(BookQ4,1577)*(5-MIN(4,4+'5. Scenarios'!$C$8))/4)*'5. Scenarios'!$C$6/(1+ProductivityDefault*('5. Scenarios'!$C$11-1))+INDEX(BookOneOff,1577)*$I1582)</f>
        <v/>
      </c>
      <c r="N1582" s="56" t="str">
        <f aca="false">IF(INDEX(BookTitle,1577)="","",INDEX(BookTotal,1577)*'5. Scenarios'!$D$6/(1+ProductivityDefault*('5. Scenarios'!$D$11-1)))</f>
        <v/>
      </c>
      <c r="O1582" s="57" t="str">
        <f aca="false">IF($N1582="","",INDEX(BookRate,1577)*(1+'5. Scenarios'!$D$10)*$N1582)</f>
        <v/>
      </c>
      <c r="P1582" s="57" t="str">
        <f aca="false">IF($O1582="","",SUMIFS($O$6:$O$2405,$A$6:$A$2405,"&lt;="&amp;$A1582))</f>
        <v/>
      </c>
      <c r="Q1582" s="57" t="str">
        <f aca="false">IF($O1582="","",IF($P1582&lt;=BankCostEnvelope*'5. Scenarios'!$D$7,1,0))</f>
        <v/>
      </c>
      <c r="R1582" s="57" t="str">
        <f aca="false">IF($N1582="","",INDEX(BookRate,1577)*(1+'5. Scenarios'!$D$10)*(INDEX(BookQ1,1577)*(5-MIN(4,1+'5. Scenarios'!$D$8))/4+INDEX(BookQ2,1577)*(5-MIN(4,2+'5. Scenarios'!$D$8))/4+INDEX(BookQ3,1577)*(5-MIN(4,3+'5. Scenarios'!$D$8))/4+INDEX(BookQ4,1577)*(5-MIN(4,4+'5. Scenarios'!$D$8))/4)*'5. Scenarios'!$D$6/(1+ProductivityDefault*('5. Scenarios'!$D$11-1))+INDEX(BookOneOff,1577)*$N1582)</f>
        <v/>
      </c>
      <c r="S1582" s="56" t="str">
        <f aca="false">IF(INDEX(BookTitle,1577)="","",INDEX(BookTotal,1577)*'5. Scenarios'!$E$6/(1+ProductivityDefault*('5. Scenarios'!$E$11-1)))</f>
        <v/>
      </c>
      <c r="T1582" s="57" t="str">
        <f aca="false">IF($S1582="","",INDEX(BookRate,1577)*(1+'5. Scenarios'!$E$10)*$S1582)</f>
        <v/>
      </c>
      <c r="U1582" s="57" t="str">
        <f aca="false">IF($T1582="","",SUMIFS($T$6:$T$2405,$A$6:$A$2405,"&lt;="&amp;$A1582))</f>
        <v/>
      </c>
      <c r="V1582" s="57" t="str">
        <f aca="false">IF($T1582="","",IF($U1582&lt;=BankCostEnvelope*'5. Scenarios'!$E$7,1,0))</f>
        <v/>
      </c>
      <c r="W1582" s="57" t="str">
        <f aca="false">IF($S1582="","",INDEX(BookRate,1577)*(1+'5. Scenarios'!$E$10)*(INDEX(BookQ1,1577)*(5-MIN(4,1+'5. Scenarios'!$E$8))/4+INDEX(BookQ2,1577)*(5-MIN(4,2+'5. Scenarios'!$E$8))/4+INDEX(BookQ3,1577)*(5-MIN(4,3+'5. Scenarios'!$E$8))/4+INDEX(BookQ4,1577)*(5-MIN(4,4+'5. Scenarios'!$E$8))/4)*'5. Scenarios'!$E$6/(1+ProductivityDefault*('5. Scenarios'!$E$11-1))+INDEX(BookOneOff,1577)*$S1582)</f>
        <v/>
      </c>
    </row>
    <row r="1583" customFormat="false" ht="15" hidden="false" customHeight="false" outlineLevel="0" collapsed="false">
      <c r="A1583" s="0" t="str">
        <f aca="false">IF(INDEX(BookTitle,1578)="","",INDEX(BookKey,1578))</f>
        <v/>
      </c>
      <c r="B1583" s="0" t="str">
        <f aca="false">IF(INDEX(BookTitle,1578)="","",INDEX(BookGroup,1578))</f>
        <v/>
      </c>
      <c r="C1583" s="0" t="str">
        <f aca="false">IF(INDEX(BookTitle,1578)="","",INDEX(BookCategory,1578))</f>
        <v/>
      </c>
      <c r="D1583" s="56" t="str">
        <f aca="false">IF(INDEX(BookTitle,1578)="","",INDEX(BookTotal,1578)*'5. Scenarios'!$B$6/(1+ProductivityDefault*('5. Scenarios'!$B$11-1)))</f>
        <v/>
      </c>
      <c r="E1583" s="57" t="str">
        <f aca="false">IF($D1583="","",INDEX(BookRate,1578)*(1+'5. Scenarios'!$B$10)*$D1583)</f>
        <v/>
      </c>
      <c r="F1583" s="57" t="str">
        <f aca="false">IF($E1583="","",SUMIFS($E$6:$E$2405,$A$6:$A$2405,"&lt;="&amp;$A1583))</f>
        <v/>
      </c>
      <c r="G1583" s="57" t="str">
        <f aca="false">IF($E1583="","",IF($F1583&lt;=BankCostEnvelope*'5. Scenarios'!$B$7,1,0))</f>
        <v/>
      </c>
      <c r="H1583" s="57" t="str">
        <f aca="false">IF($D1583="","",INDEX(BookRate,1578)*(1+'5. Scenarios'!$B$10)*(INDEX(BookQ1,1578)*(5-MIN(4,1+'5. Scenarios'!$B$8))/4+INDEX(BookQ2,1578)*(5-MIN(4,2+'5. Scenarios'!$B$8))/4+INDEX(BookQ3,1578)*(5-MIN(4,3+'5. Scenarios'!$B$8))/4+INDEX(BookQ4,1578)*(5-MIN(4,4+'5. Scenarios'!$B$8))/4)*'5. Scenarios'!$B$6/(1+ProductivityDefault*('5. Scenarios'!$B$11-1))+INDEX(BookOneOff,1578)*$D1583)</f>
        <v/>
      </c>
      <c r="I1583" s="56" t="str">
        <f aca="false">IF(INDEX(BookTitle,1578)="","",INDEX(BookTotal,1578)*'5. Scenarios'!$C$6/(1+ProductivityDefault*('5. Scenarios'!$C$11-1)))</f>
        <v/>
      </c>
      <c r="J1583" s="57" t="str">
        <f aca="false">IF($I1583="","",INDEX(BookRate,1578)*(1+'5. Scenarios'!$C$10)*$I1583)</f>
        <v/>
      </c>
      <c r="K1583" s="57" t="str">
        <f aca="false">IF($J1583="","",SUMIFS($J$6:$J$2405,$A$6:$A$2405,"&lt;="&amp;$A1583))</f>
        <v/>
      </c>
      <c r="L1583" s="57" t="str">
        <f aca="false">IF($J1583="","",IF($K1583&lt;=BankCostEnvelope*'5. Scenarios'!$C$7,1,0))</f>
        <v/>
      </c>
      <c r="M1583" s="57" t="str">
        <f aca="false">IF($I1583="","",INDEX(BookRate,1578)*(1+'5. Scenarios'!$C$10)*(INDEX(BookQ1,1578)*(5-MIN(4,1+'5. Scenarios'!$C$8))/4+INDEX(BookQ2,1578)*(5-MIN(4,2+'5. Scenarios'!$C$8))/4+INDEX(BookQ3,1578)*(5-MIN(4,3+'5. Scenarios'!$C$8))/4+INDEX(BookQ4,1578)*(5-MIN(4,4+'5. Scenarios'!$C$8))/4)*'5. Scenarios'!$C$6/(1+ProductivityDefault*('5. Scenarios'!$C$11-1))+INDEX(BookOneOff,1578)*$I1583)</f>
        <v/>
      </c>
      <c r="N1583" s="56" t="str">
        <f aca="false">IF(INDEX(BookTitle,1578)="","",INDEX(BookTotal,1578)*'5. Scenarios'!$D$6/(1+ProductivityDefault*('5. Scenarios'!$D$11-1)))</f>
        <v/>
      </c>
      <c r="O1583" s="57" t="str">
        <f aca="false">IF($N1583="","",INDEX(BookRate,1578)*(1+'5. Scenarios'!$D$10)*$N1583)</f>
        <v/>
      </c>
      <c r="P1583" s="57" t="str">
        <f aca="false">IF($O1583="","",SUMIFS($O$6:$O$2405,$A$6:$A$2405,"&lt;="&amp;$A1583))</f>
        <v/>
      </c>
      <c r="Q1583" s="57" t="str">
        <f aca="false">IF($O1583="","",IF($P1583&lt;=BankCostEnvelope*'5. Scenarios'!$D$7,1,0))</f>
        <v/>
      </c>
      <c r="R1583" s="57" t="str">
        <f aca="false">IF($N1583="","",INDEX(BookRate,1578)*(1+'5. Scenarios'!$D$10)*(INDEX(BookQ1,1578)*(5-MIN(4,1+'5. Scenarios'!$D$8))/4+INDEX(BookQ2,1578)*(5-MIN(4,2+'5. Scenarios'!$D$8))/4+INDEX(BookQ3,1578)*(5-MIN(4,3+'5. Scenarios'!$D$8))/4+INDEX(BookQ4,1578)*(5-MIN(4,4+'5. Scenarios'!$D$8))/4)*'5. Scenarios'!$D$6/(1+ProductivityDefault*('5. Scenarios'!$D$11-1))+INDEX(BookOneOff,1578)*$N1583)</f>
        <v/>
      </c>
      <c r="S1583" s="56" t="str">
        <f aca="false">IF(INDEX(BookTitle,1578)="","",INDEX(BookTotal,1578)*'5. Scenarios'!$E$6/(1+ProductivityDefault*('5. Scenarios'!$E$11-1)))</f>
        <v/>
      </c>
      <c r="T1583" s="57" t="str">
        <f aca="false">IF($S1583="","",INDEX(BookRate,1578)*(1+'5. Scenarios'!$E$10)*$S1583)</f>
        <v/>
      </c>
      <c r="U1583" s="57" t="str">
        <f aca="false">IF($T1583="","",SUMIFS($T$6:$T$2405,$A$6:$A$2405,"&lt;="&amp;$A1583))</f>
        <v/>
      </c>
      <c r="V1583" s="57" t="str">
        <f aca="false">IF($T1583="","",IF($U1583&lt;=BankCostEnvelope*'5. Scenarios'!$E$7,1,0))</f>
        <v/>
      </c>
      <c r="W1583" s="57" t="str">
        <f aca="false">IF($S1583="","",INDEX(BookRate,1578)*(1+'5. Scenarios'!$E$10)*(INDEX(BookQ1,1578)*(5-MIN(4,1+'5. Scenarios'!$E$8))/4+INDEX(BookQ2,1578)*(5-MIN(4,2+'5. Scenarios'!$E$8))/4+INDEX(BookQ3,1578)*(5-MIN(4,3+'5. Scenarios'!$E$8))/4+INDEX(BookQ4,1578)*(5-MIN(4,4+'5. Scenarios'!$E$8))/4)*'5. Scenarios'!$E$6/(1+ProductivityDefault*('5. Scenarios'!$E$11-1))+INDEX(BookOneOff,1578)*$S1583)</f>
        <v/>
      </c>
    </row>
    <row r="1584" customFormat="false" ht="15" hidden="false" customHeight="false" outlineLevel="0" collapsed="false">
      <c r="A1584" s="0" t="str">
        <f aca="false">IF(INDEX(BookTitle,1579)="","",INDEX(BookKey,1579))</f>
        <v/>
      </c>
      <c r="B1584" s="0" t="str">
        <f aca="false">IF(INDEX(BookTitle,1579)="","",INDEX(BookGroup,1579))</f>
        <v/>
      </c>
      <c r="C1584" s="0" t="str">
        <f aca="false">IF(INDEX(BookTitle,1579)="","",INDEX(BookCategory,1579))</f>
        <v/>
      </c>
      <c r="D1584" s="56" t="str">
        <f aca="false">IF(INDEX(BookTitle,1579)="","",INDEX(BookTotal,1579)*'5. Scenarios'!$B$6/(1+ProductivityDefault*('5. Scenarios'!$B$11-1)))</f>
        <v/>
      </c>
      <c r="E1584" s="57" t="str">
        <f aca="false">IF($D1584="","",INDEX(BookRate,1579)*(1+'5. Scenarios'!$B$10)*$D1584)</f>
        <v/>
      </c>
      <c r="F1584" s="57" t="str">
        <f aca="false">IF($E1584="","",SUMIFS($E$6:$E$2405,$A$6:$A$2405,"&lt;="&amp;$A1584))</f>
        <v/>
      </c>
      <c r="G1584" s="57" t="str">
        <f aca="false">IF($E1584="","",IF($F1584&lt;=BankCostEnvelope*'5. Scenarios'!$B$7,1,0))</f>
        <v/>
      </c>
      <c r="H1584" s="57" t="str">
        <f aca="false">IF($D1584="","",INDEX(BookRate,1579)*(1+'5. Scenarios'!$B$10)*(INDEX(BookQ1,1579)*(5-MIN(4,1+'5. Scenarios'!$B$8))/4+INDEX(BookQ2,1579)*(5-MIN(4,2+'5. Scenarios'!$B$8))/4+INDEX(BookQ3,1579)*(5-MIN(4,3+'5. Scenarios'!$B$8))/4+INDEX(BookQ4,1579)*(5-MIN(4,4+'5. Scenarios'!$B$8))/4)*'5. Scenarios'!$B$6/(1+ProductivityDefault*('5. Scenarios'!$B$11-1))+INDEX(BookOneOff,1579)*$D1584)</f>
        <v/>
      </c>
      <c r="I1584" s="56" t="str">
        <f aca="false">IF(INDEX(BookTitle,1579)="","",INDEX(BookTotal,1579)*'5. Scenarios'!$C$6/(1+ProductivityDefault*('5. Scenarios'!$C$11-1)))</f>
        <v/>
      </c>
      <c r="J1584" s="57" t="str">
        <f aca="false">IF($I1584="","",INDEX(BookRate,1579)*(1+'5. Scenarios'!$C$10)*$I1584)</f>
        <v/>
      </c>
      <c r="K1584" s="57" t="str">
        <f aca="false">IF($J1584="","",SUMIFS($J$6:$J$2405,$A$6:$A$2405,"&lt;="&amp;$A1584))</f>
        <v/>
      </c>
      <c r="L1584" s="57" t="str">
        <f aca="false">IF($J1584="","",IF($K1584&lt;=BankCostEnvelope*'5. Scenarios'!$C$7,1,0))</f>
        <v/>
      </c>
      <c r="M1584" s="57" t="str">
        <f aca="false">IF($I1584="","",INDEX(BookRate,1579)*(1+'5. Scenarios'!$C$10)*(INDEX(BookQ1,1579)*(5-MIN(4,1+'5. Scenarios'!$C$8))/4+INDEX(BookQ2,1579)*(5-MIN(4,2+'5. Scenarios'!$C$8))/4+INDEX(BookQ3,1579)*(5-MIN(4,3+'5. Scenarios'!$C$8))/4+INDEX(BookQ4,1579)*(5-MIN(4,4+'5. Scenarios'!$C$8))/4)*'5. Scenarios'!$C$6/(1+ProductivityDefault*('5. Scenarios'!$C$11-1))+INDEX(BookOneOff,1579)*$I1584)</f>
        <v/>
      </c>
      <c r="N1584" s="56" t="str">
        <f aca="false">IF(INDEX(BookTitle,1579)="","",INDEX(BookTotal,1579)*'5. Scenarios'!$D$6/(1+ProductivityDefault*('5. Scenarios'!$D$11-1)))</f>
        <v/>
      </c>
      <c r="O1584" s="57" t="str">
        <f aca="false">IF($N1584="","",INDEX(BookRate,1579)*(1+'5. Scenarios'!$D$10)*$N1584)</f>
        <v/>
      </c>
      <c r="P1584" s="57" t="str">
        <f aca="false">IF($O1584="","",SUMIFS($O$6:$O$2405,$A$6:$A$2405,"&lt;="&amp;$A1584))</f>
        <v/>
      </c>
      <c r="Q1584" s="57" t="str">
        <f aca="false">IF($O1584="","",IF($P1584&lt;=BankCostEnvelope*'5. Scenarios'!$D$7,1,0))</f>
        <v/>
      </c>
      <c r="R1584" s="57" t="str">
        <f aca="false">IF($N1584="","",INDEX(BookRate,1579)*(1+'5. Scenarios'!$D$10)*(INDEX(BookQ1,1579)*(5-MIN(4,1+'5. Scenarios'!$D$8))/4+INDEX(BookQ2,1579)*(5-MIN(4,2+'5. Scenarios'!$D$8))/4+INDEX(BookQ3,1579)*(5-MIN(4,3+'5. Scenarios'!$D$8))/4+INDEX(BookQ4,1579)*(5-MIN(4,4+'5. Scenarios'!$D$8))/4)*'5. Scenarios'!$D$6/(1+ProductivityDefault*('5. Scenarios'!$D$11-1))+INDEX(BookOneOff,1579)*$N1584)</f>
        <v/>
      </c>
      <c r="S1584" s="56" t="str">
        <f aca="false">IF(INDEX(BookTitle,1579)="","",INDEX(BookTotal,1579)*'5. Scenarios'!$E$6/(1+ProductivityDefault*('5. Scenarios'!$E$11-1)))</f>
        <v/>
      </c>
      <c r="T1584" s="57" t="str">
        <f aca="false">IF($S1584="","",INDEX(BookRate,1579)*(1+'5. Scenarios'!$E$10)*$S1584)</f>
        <v/>
      </c>
      <c r="U1584" s="57" t="str">
        <f aca="false">IF($T1584="","",SUMIFS($T$6:$T$2405,$A$6:$A$2405,"&lt;="&amp;$A1584))</f>
        <v/>
      </c>
      <c r="V1584" s="57" t="str">
        <f aca="false">IF($T1584="","",IF($U1584&lt;=BankCostEnvelope*'5. Scenarios'!$E$7,1,0))</f>
        <v/>
      </c>
      <c r="W1584" s="57" t="str">
        <f aca="false">IF($S1584="","",INDEX(BookRate,1579)*(1+'5. Scenarios'!$E$10)*(INDEX(BookQ1,1579)*(5-MIN(4,1+'5. Scenarios'!$E$8))/4+INDEX(BookQ2,1579)*(5-MIN(4,2+'5. Scenarios'!$E$8))/4+INDEX(BookQ3,1579)*(5-MIN(4,3+'5. Scenarios'!$E$8))/4+INDEX(BookQ4,1579)*(5-MIN(4,4+'5. Scenarios'!$E$8))/4)*'5. Scenarios'!$E$6/(1+ProductivityDefault*('5. Scenarios'!$E$11-1))+INDEX(BookOneOff,1579)*$S1584)</f>
        <v/>
      </c>
    </row>
    <row r="1585" customFormat="false" ht="15" hidden="false" customHeight="false" outlineLevel="0" collapsed="false">
      <c r="A1585" s="0" t="str">
        <f aca="false">IF(INDEX(BookTitle,1580)="","",INDEX(BookKey,1580))</f>
        <v/>
      </c>
      <c r="B1585" s="0" t="str">
        <f aca="false">IF(INDEX(BookTitle,1580)="","",INDEX(BookGroup,1580))</f>
        <v/>
      </c>
      <c r="C1585" s="0" t="str">
        <f aca="false">IF(INDEX(BookTitle,1580)="","",INDEX(BookCategory,1580))</f>
        <v/>
      </c>
      <c r="D1585" s="56" t="str">
        <f aca="false">IF(INDEX(BookTitle,1580)="","",INDEX(BookTotal,1580)*'5. Scenarios'!$B$6/(1+ProductivityDefault*('5. Scenarios'!$B$11-1)))</f>
        <v/>
      </c>
      <c r="E1585" s="57" t="str">
        <f aca="false">IF($D1585="","",INDEX(BookRate,1580)*(1+'5. Scenarios'!$B$10)*$D1585)</f>
        <v/>
      </c>
      <c r="F1585" s="57" t="str">
        <f aca="false">IF($E1585="","",SUMIFS($E$6:$E$2405,$A$6:$A$2405,"&lt;="&amp;$A1585))</f>
        <v/>
      </c>
      <c r="G1585" s="57" t="str">
        <f aca="false">IF($E1585="","",IF($F1585&lt;=BankCostEnvelope*'5. Scenarios'!$B$7,1,0))</f>
        <v/>
      </c>
      <c r="H1585" s="57" t="str">
        <f aca="false">IF($D1585="","",INDEX(BookRate,1580)*(1+'5. Scenarios'!$B$10)*(INDEX(BookQ1,1580)*(5-MIN(4,1+'5. Scenarios'!$B$8))/4+INDEX(BookQ2,1580)*(5-MIN(4,2+'5. Scenarios'!$B$8))/4+INDEX(BookQ3,1580)*(5-MIN(4,3+'5. Scenarios'!$B$8))/4+INDEX(BookQ4,1580)*(5-MIN(4,4+'5. Scenarios'!$B$8))/4)*'5. Scenarios'!$B$6/(1+ProductivityDefault*('5. Scenarios'!$B$11-1))+INDEX(BookOneOff,1580)*$D1585)</f>
        <v/>
      </c>
      <c r="I1585" s="56" t="str">
        <f aca="false">IF(INDEX(BookTitle,1580)="","",INDEX(BookTotal,1580)*'5. Scenarios'!$C$6/(1+ProductivityDefault*('5. Scenarios'!$C$11-1)))</f>
        <v/>
      </c>
      <c r="J1585" s="57" t="str">
        <f aca="false">IF($I1585="","",INDEX(BookRate,1580)*(1+'5. Scenarios'!$C$10)*$I1585)</f>
        <v/>
      </c>
      <c r="K1585" s="57" t="str">
        <f aca="false">IF($J1585="","",SUMIFS($J$6:$J$2405,$A$6:$A$2405,"&lt;="&amp;$A1585))</f>
        <v/>
      </c>
      <c r="L1585" s="57" t="str">
        <f aca="false">IF($J1585="","",IF($K1585&lt;=BankCostEnvelope*'5. Scenarios'!$C$7,1,0))</f>
        <v/>
      </c>
      <c r="M1585" s="57" t="str">
        <f aca="false">IF($I1585="","",INDEX(BookRate,1580)*(1+'5. Scenarios'!$C$10)*(INDEX(BookQ1,1580)*(5-MIN(4,1+'5. Scenarios'!$C$8))/4+INDEX(BookQ2,1580)*(5-MIN(4,2+'5. Scenarios'!$C$8))/4+INDEX(BookQ3,1580)*(5-MIN(4,3+'5. Scenarios'!$C$8))/4+INDEX(BookQ4,1580)*(5-MIN(4,4+'5. Scenarios'!$C$8))/4)*'5. Scenarios'!$C$6/(1+ProductivityDefault*('5. Scenarios'!$C$11-1))+INDEX(BookOneOff,1580)*$I1585)</f>
        <v/>
      </c>
      <c r="N1585" s="56" t="str">
        <f aca="false">IF(INDEX(BookTitle,1580)="","",INDEX(BookTotal,1580)*'5. Scenarios'!$D$6/(1+ProductivityDefault*('5. Scenarios'!$D$11-1)))</f>
        <v/>
      </c>
      <c r="O1585" s="57" t="str">
        <f aca="false">IF($N1585="","",INDEX(BookRate,1580)*(1+'5. Scenarios'!$D$10)*$N1585)</f>
        <v/>
      </c>
      <c r="P1585" s="57" t="str">
        <f aca="false">IF($O1585="","",SUMIFS($O$6:$O$2405,$A$6:$A$2405,"&lt;="&amp;$A1585))</f>
        <v/>
      </c>
      <c r="Q1585" s="57" t="str">
        <f aca="false">IF($O1585="","",IF($P1585&lt;=BankCostEnvelope*'5. Scenarios'!$D$7,1,0))</f>
        <v/>
      </c>
      <c r="R1585" s="57" t="str">
        <f aca="false">IF($N1585="","",INDEX(BookRate,1580)*(1+'5. Scenarios'!$D$10)*(INDEX(BookQ1,1580)*(5-MIN(4,1+'5. Scenarios'!$D$8))/4+INDEX(BookQ2,1580)*(5-MIN(4,2+'5. Scenarios'!$D$8))/4+INDEX(BookQ3,1580)*(5-MIN(4,3+'5. Scenarios'!$D$8))/4+INDEX(BookQ4,1580)*(5-MIN(4,4+'5. Scenarios'!$D$8))/4)*'5. Scenarios'!$D$6/(1+ProductivityDefault*('5. Scenarios'!$D$11-1))+INDEX(BookOneOff,1580)*$N1585)</f>
        <v/>
      </c>
      <c r="S1585" s="56" t="str">
        <f aca="false">IF(INDEX(BookTitle,1580)="","",INDEX(BookTotal,1580)*'5. Scenarios'!$E$6/(1+ProductivityDefault*('5. Scenarios'!$E$11-1)))</f>
        <v/>
      </c>
      <c r="T1585" s="57" t="str">
        <f aca="false">IF($S1585="","",INDEX(BookRate,1580)*(1+'5. Scenarios'!$E$10)*$S1585)</f>
        <v/>
      </c>
      <c r="U1585" s="57" t="str">
        <f aca="false">IF($T1585="","",SUMIFS($T$6:$T$2405,$A$6:$A$2405,"&lt;="&amp;$A1585))</f>
        <v/>
      </c>
      <c r="V1585" s="57" t="str">
        <f aca="false">IF($T1585="","",IF($U1585&lt;=BankCostEnvelope*'5. Scenarios'!$E$7,1,0))</f>
        <v/>
      </c>
      <c r="W1585" s="57" t="str">
        <f aca="false">IF($S1585="","",INDEX(BookRate,1580)*(1+'5. Scenarios'!$E$10)*(INDEX(BookQ1,1580)*(5-MIN(4,1+'5. Scenarios'!$E$8))/4+INDEX(BookQ2,1580)*(5-MIN(4,2+'5. Scenarios'!$E$8))/4+INDEX(BookQ3,1580)*(5-MIN(4,3+'5. Scenarios'!$E$8))/4+INDEX(BookQ4,1580)*(5-MIN(4,4+'5. Scenarios'!$E$8))/4)*'5. Scenarios'!$E$6/(1+ProductivityDefault*('5. Scenarios'!$E$11-1))+INDEX(BookOneOff,1580)*$S1585)</f>
        <v/>
      </c>
    </row>
    <row r="1586" customFormat="false" ht="15" hidden="false" customHeight="false" outlineLevel="0" collapsed="false">
      <c r="A1586" s="0" t="str">
        <f aca="false">IF(INDEX(BookTitle,1581)="","",INDEX(BookKey,1581))</f>
        <v/>
      </c>
      <c r="B1586" s="0" t="str">
        <f aca="false">IF(INDEX(BookTitle,1581)="","",INDEX(BookGroup,1581))</f>
        <v/>
      </c>
      <c r="C1586" s="0" t="str">
        <f aca="false">IF(INDEX(BookTitle,1581)="","",INDEX(BookCategory,1581))</f>
        <v/>
      </c>
      <c r="D1586" s="56" t="str">
        <f aca="false">IF(INDEX(BookTitle,1581)="","",INDEX(BookTotal,1581)*'5. Scenarios'!$B$6/(1+ProductivityDefault*('5. Scenarios'!$B$11-1)))</f>
        <v/>
      </c>
      <c r="E1586" s="57" t="str">
        <f aca="false">IF($D1586="","",INDEX(BookRate,1581)*(1+'5. Scenarios'!$B$10)*$D1586)</f>
        <v/>
      </c>
      <c r="F1586" s="57" t="str">
        <f aca="false">IF($E1586="","",SUMIFS($E$6:$E$2405,$A$6:$A$2405,"&lt;="&amp;$A1586))</f>
        <v/>
      </c>
      <c r="G1586" s="57" t="str">
        <f aca="false">IF($E1586="","",IF($F1586&lt;=BankCostEnvelope*'5. Scenarios'!$B$7,1,0))</f>
        <v/>
      </c>
      <c r="H1586" s="57" t="str">
        <f aca="false">IF($D1586="","",INDEX(BookRate,1581)*(1+'5. Scenarios'!$B$10)*(INDEX(BookQ1,1581)*(5-MIN(4,1+'5. Scenarios'!$B$8))/4+INDEX(BookQ2,1581)*(5-MIN(4,2+'5. Scenarios'!$B$8))/4+INDEX(BookQ3,1581)*(5-MIN(4,3+'5. Scenarios'!$B$8))/4+INDEX(BookQ4,1581)*(5-MIN(4,4+'5. Scenarios'!$B$8))/4)*'5. Scenarios'!$B$6/(1+ProductivityDefault*('5. Scenarios'!$B$11-1))+INDEX(BookOneOff,1581)*$D1586)</f>
        <v/>
      </c>
      <c r="I1586" s="56" t="str">
        <f aca="false">IF(INDEX(BookTitle,1581)="","",INDEX(BookTotal,1581)*'5. Scenarios'!$C$6/(1+ProductivityDefault*('5. Scenarios'!$C$11-1)))</f>
        <v/>
      </c>
      <c r="J1586" s="57" t="str">
        <f aca="false">IF($I1586="","",INDEX(BookRate,1581)*(1+'5. Scenarios'!$C$10)*$I1586)</f>
        <v/>
      </c>
      <c r="K1586" s="57" t="str">
        <f aca="false">IF($J1586="","",SUMIFS($J$6:$J$2405,$A$6:$A$2405,"&lt;="&amp;$A1586))</f>
        <v/>
      </c>
      <c r="L1586" s="57" t="str">
        <f aca="false">IF($J1586="","",IF($K1586&lt;=BankCostEnvelope*'5. Scenarios'!$C$7,1,0))</f>
        <v/>
      </c>
      <c r="M1586" s="57" t="str">
        <f aca="false">IF($I1586="","",INDEX(BookRate,1581)*(1+'5. Scenarios'!$C$10)*(INDEX(BookQ1,1581)*(5-MIN(4,1+'5. Scenarios'!$C$8))/4+INDEX(BookQ2,1581)*(5-MIN(4,2+'5. Scenarios'!$C$8))/4+INDEX(BookQ3,1581)*(5-MIN(4,3+'5. Scenarios'!$C$8))/4+INDEX(BookQ4,1581)*(5-MIN(4,4+'5. Scenarios'!$C$8))/4)*'5. Scenarios'!$C$6/(1+ProductivityDefault*('5. Scenarios'!$C$11-1))+INDEX(BookOneOff,1581)*$I1586)</f>
        <v/>
      </c>
      <c r="N1586" s="56" t="str">
        <f aca="false">IF(INDEX(BookTitle,1581)="","",INDEX(BookTotal,1581)*'5. Scenarios'!$D$6/(1+ProductivityDefault*('5. Scenarios'!$D$11-1)))</f>
        <v/>
      </c>
      <c r="O1586" s="57" t="str">
        <f aca="false">IF($N1586="","",INDEX(BookRate,1581)*(1+'5. Scenarios'!$D$10)*$N1586)</f>
        <v/>
      </c>
      <c r="P1586" s="57" t="str">
        <f aca="false">IF($O1586="","",SUMIFS($O$6:$O$2405,$A$6:$A$2405,"&lt;="&amp;$A1586))</f>
        <v/>
      </c>
      <c r="Q1586" s="57" t="str">
        <f aca="false">IF($O1586="","",IF($P1586&lt;=BankCostEnvelope*'5. Scenarios'!$D$7,1,0))</f>
        <v/>
      </c>
      <c r="R1586" s="57" t="str">
        <f aca="false">IF($N1586="","",INDEX(BookRate,1581)*(1+'5. Scenarios'!$D$10)*(INDEX(BookQ1,1581)*(5-MIN(4,1+'5. Scenarios'!$D$8))/4+INDEX(BookQ2,1581)*(5-MIN(4,2+'5. Scenarios'!$D$8))/4+INDEX(BookQ3,1581)*(5-MIN(4,3+'5. Scenarios'!$D$8))/4+INDEX(BookQ4,1581)*(5-MIN(4,4+'5. Scenarios'!$D$8))/4)*'5. Scenarios'!$D$6/(1+ProductivityDefault*('5. Scenarios'!$D$11-1))+INDEX(BookOneOff,1581)*$N1586)</f>
        <v/>
      </c>
      <c r="S1586" s="56" t="str">
        <f aca="false">IF(INDEX(BookTitle,1581)="","",INDEX(BookTotal,1581)*'5. Scenarios'!$E$6/(1+ProductivityDefault*('5. Scenarios'!$E$11-1)))</f>
        <v/>
      </c>
      <c r="T1586" s="57" t="str">
        <f aca="false">IF($S1586="","",INDEX(BookRate,1581)*(1+'5. Scenarios'!$E$10)*$S1586)</f>
        <v/>
      </c>
      <c r="U1586" s="57" t="str">
        <f aca="false">IF($T1586="","",SUMIFS($T$6:$T$2405,$A$6:$A$2405,"&lt;="&amp;$A1586))</f>
        <v/>
      </c>
      <c r="V1586" s="57" t="str">
        <f aca="false">IF($T1586="","",IF($U1586&lt;=BankCostEnvelope*'5. Scenarios'!$E$7,1,0))</f>
        <v/>
      </c>
      <c r="W1586" s="57" t="str">
        <f aca="false">IF($S1586="","",INDEX(BookRate,1581)*(1+'5. Scenarios'!$E$10)*(INDEX(BookQ1,1581)*(5-MIN(4,1+'5. Scenarios'!$E$8))/4+INDEX(BookQ2,1581)*(5-MIN(4,2+'5. Scenarios'!$E$8))/4+INDEX(BookQ3,1581)*(5-MIN(4,3+'5. Scenarios'!$E$8))/4+INDEX(BookQ4,1581)*(5-MIN(4,4+'5. Scenarios'!$E$8))/4)*'5. Scenarios'!$E$6/(1+ProductivityDefault*('5. Scenarios'!$E$11-1))+INDEX(BookOneOff,1581)*$S1586)</f>
        <v/>
      </c>
    </row>
    <row r="1587" customFormat="false" ht="15" hidden="false" customHeight="false" outlineLevel="0" collapsed="false">
      <c r="A1587" s="0" t="str">
        <f aca="false">IF(INDEX(BookTitle,1582)="","",INDEX(BookKey,1582))</f>
        <v/>
      </c>
      <c r="B1587" s="0" t="str">
        <f aca="false">IF(INDEX(BookTitle,1582)="","",INDEX(BookGroup,1582))</f>
        <v/>
      </c>
      <c r="C1587" s="0" t="str">
        <f aca="false">IF(INDEX(BookTitle,1582)="","",INDEX(BookCategory,1582))</f>
        <v/>
      </c>
      <c r="D1587" s="56" t="str">
        <f aca="false">IF(INDEX(BookTitle,1582)="","",INDEX(BookTotal,1582)*'5. Scenarios'!$B$6/(1+ProductivityDefault*('5. Scenarios'!$B$11-1)))</f>
        <v/>
      </c>
      <c r="E1587" s="57" t="str">
        <f aca="false">IF($D1587="","",INDEX(BookRate,1582)*(1+'5. Scenarios'!$B$10)*$D1587)</f>
        <v/>
      </c>
      <c r="F1587" s="57" t="str">
        <f aca="false">IF($E1587="","",SUMIFS($E$6:$E$2405,$A$6:$A$2405,"&lt;="&amp;$A1587))</f>
        <v/>
      </c>
      <c r="G1587" s="57" t="str">
        <f aca="false">IF($E1587="","",IF($F1587&lt;=BankCostEnvelope*'5. Scenarios'!$B$7,1,0))</f>
        <v/>
      </c>
      <c r="H1587" s="57" t="str">
        <f aca="false">IF($D1587="","",INDEX(BookRate,1582)*(1+'5. Scenarios'!$B$10)*(INDEX(BookQ1,1582)*(5-MIN(4,1+'5. Scenarios'!$B$8))/4+INDEX(BookQ2,1582)*(5-MIN(4,2+'5. Scenarios'!$B$8))/4+INDEX(BookQ3,1582)*(5-MIN(4,3+'5. Scenarios'!$B$8))/4+INDEX(BookQ4,1582)*(5-MIN(4,4+'5. Scenarios'!$B$8))/4)*'5. Scenarios'!$B$6/(1+ProductivityDefault*('5. Scenarios'!$B$11-1))+INDEX(BookOneOff,1582)*$D1587)</f>
        <v/>
      </c>
      <c r="I1587" s="56" t="str">
        <f aca="false">IF(INDEX(BookTitle,1582)="","",INDEX(BookTotal,1582)*'5. Scenarios'!$C$6/(1+ProductivityDefault*('5. Scenarios'!$C$11-1)))</f>
        <v/>
      </c>
      <c r="J1587" s="57" t="str">
        <f aca="false">IF($I1587="","",INDEX(BookRate,1582)*(1+'5. Scenarios'!$C$10)*$I1587)</f>
        <v/>
      </c>
      <c r="K1587" s="57" t="str">
        <f aca="false">IF($J1587="","",SUMIFS($J$6:$J$2405,$A$6:$A$2405,"&lt;="&amp;$A1587))</f>
        <v/>
      </c>
      <c r="L1587" s="57" t="str">
        <f aca="false">IF($J1587="","",IF($K1587&lt;=BankCostEnvelope*'5. Scenarios'!$C$7,1,0))</f>
        <v/>
      </c>
      <c r="M1587" s="57" t="str">
        <f aca="false">IF($I1587="","",INDEX(BookRate,1582)*(1+'5. Scenarios'!$C$10)*(INDEX(BookQ1,1582)*(5-MIN(4,1+'5. Scenarios'!$C$8))/4+INDEX(BookQ2,1582)*(5-MIN(4,2+'5. Scenarios'!$C$8))/4+INDEX(BookQ3,1582)*(5-MIN(4,3+'5. Scenarios'!$C$8))/4+INDEX(BookQ4,1582)*(5-MIN(4,4+'5. Scenarios'!$C$8))/4)*'5. Scenarios'!$C$6/(1+ProductivityDefault*('5. Scenarios'!$C$11-1))+INDEX(BookOneOff,1582)*$I1587)</f>
        <v/>
      </c>
      <c r="N1587" s="56" t="str">
        <f aca="false">IF(INDEX(BookTitle,1582)="","",INDEX(BookTotal,1582)*'5. Scenarios'!$D$6/(1+ProductivityDefault*('5. Scenarios'!$D$11-1)))</f>
        <v/>
      </c>
      <c r="O1587" s="57" t="str">
        <f aca="false">IF($N1587="","",INDEX(BookRate,1582)*(1+'5. Scenarios'!$D$10)*$N1587)</f>
        <v/>
      </c>
      <c r="P1587" s="57" t="str">
        <f aca="false">IF($O1587="","",SUMIFS($O$6:$O$2405,$A$6:$A$2405,"&lt;="&amp;$A1587))</f>
        <v/>
      </c>
      <c r="Q1587" s="57" t="str">
        <f aca="false">IF($O1587="","",IF($P1587&lt;=BankCostEnvelope*'5. Scenarios'!$D$7,1,0))</f>
        <v/>
      </c>
      <c r="R1587" s="57" t="str">
        <f aca="false">IF($N1587="","",INDEX(BookRate,1582)*(1+'5. Scenarios'!$D$10)*(INDEX(BookQ1,1582)*(5-MIN(4,1+'5. Scenarios'!$D$8))/4+INDEX(BookQ2,1582)*(5-MIN(4,2+'5. Scenarios'!$D$8))/4+INDEX(BookQ3,1582)*(5-MIN(4,3+'5. Scenarios'!$D$8))/4+INDEX(BookQ4,1582)*(5-MIN(4,4+'5. Scenarios'!$D$8))/4)*'5. Scenarios'!$D$6/(1+ProductivityDefault*('5. Scenarios'!$D$11-1))+INDEX(BookOneOff,1582)*$N1587)</f>
        <v/>
      </c>
      <c r="S1587" s="56" t="str">
        <f aca="false">IF(INDEX(BookTitle,1582)="","",INDEX(BookTotal,1582)*'5. Scenarios'!$E$6/(1+ProductivityDefault*('5. Scenarios'!$E$11-1)))</f>
        <v/>
      </c>
      <c r="T1587" s="57" t="str">
        <f aca="false">IF($S1587="","",INDEX(BookRate,1582)*(1+'5. Scenarios'!$E$10)*$S1587)</f>
        <v/>
      </c>
      <c r="U1587" s="57" t="str">
        <f aca="false">IF($T1587="","",SUMIFS($T$6:$T$2405,$A$6:$A$2405,"&lt;="&amp;$A1587))</f>
        <v/>
      </c>
      <c r="V1587" s="57" t="str">
        <f aca="false">IF($T1587="","",IF($U1587&lt;=BankCostEnvelope*'5. Scenarios'!$E$7,1,0))</f>
        <v/>
      </c>
      <c r="W1587" s="57" t="str">
        <f aca="false">IF($S1587="","",INDEX(BookRate,1582)*(1+'5. Scenarios'!$E$10)*(INDEX(BookQ1,1582)*(5-MIN(4,1+'5. Scenarios'!$E$8))/4+INDEX(BookQ2,1582)*(5-MIN(4,2+'5. Scenarios'!$E$8))/4+INDEX(BookQ3,1582)*(5-MIN(4,3+'5. Scenarios'!$E$8))/4+INDEX(BookQ4,1582)*(5-MIN(4,4+'5. Scenarios'!$E$8))/4)*'5. Scenarios'!$E$6/(1+ProductivityDefault*('5. Scenarios'!$E$11-1))+INDEX(BookOneOff,1582)*$S1587)</f>
        <v/>
      </c>
    </row>
    <row r="1588" customFormat="false" ht="15" hidden="false" customHeight="false" outlineLevel="0" collapsed="false">
      <c r="A1588" s="0" t="str">
        <f aca="false">IF(INDEX(BookTitle,1583)="","",INDEX(BookKey,1583))</f>
        <v/>
      </c>
      <c r="B1588" s="0" t="str">
        <f aca="false">IF(INDEX(BookTitle,1583)="","",INDEX(BookGroup,1583))</f>
        <v/>
      </c>
      <c r="C1588" s="0" t="str">
        <f aca="false">IF(INDEX(BookTitle,1583)="","",INDEX(BookCategory,1583))</f>
        <v/>
      </c>
      <c r="D1588" s="56" t="str">
        <f aca="false">IF(INDEX(BookTitle,1583)="","",INDEX(BookTotal,1583)*'5. Scenarios'!$B$6/(1+ProductivityDefault*('5. Scenarios'!$B$11-1)))</f>
        <v/>
      </c>
      <c r="E1588" s="57" t="str">
        <f aca="false">IF($D1588="","",INDEX(BookRate,1583)*(1+'5. Scenarios'!$B$10)*$D1588)</f>
        <v/>
      </c>
      <c r="F1588" s="57" t="str">
        <f aca="false">IF($E1588="","",SUMIFS($E$6:$E$2405,$A$6:$A$2405,"&lt;="&amp;$A1588))</f>
        <v/>
      </c>
      <c r="G1588" s="57" t="str">
        <f aca="false">IF($E1588="","",IF($F1588&lt;=BankCostEnvelope*'5. Scenarios'!$B$7,1,0))</f>
        <v/>
      </c>
      <c r="H1588" s="57" t="str">
        <f aca="false">IF($D1588="","",INDEX(BookRate,1583)*(1+'5. Scenarios'!$B$10)*(INDEX(BookQ1,1583)*(5-MIN(4,1+'5. Scenarios'!$B$8))/4+INDEX(BookQ2,1583)*(5-MIN(4,2+'5. Scenarios'!$B$8))/4+INDEX(BookQ3,1583)*(5-MIN(4,3+'5. Scenarios'!$B$8))/4+INDEX(BookQ4,1583)*(5-MIN(4,4+'5. Scenarios'!$B$8))/4)*'5. Scenarios'!$B$6/(1+ProductivityDefault*('5. Scenarios'!$B$11-1))+INDEX(BookOneOff,1583)*$D1588)</f>
        <v/>
      </c>
      <c r="I1588" s="56" t="str">
        <f aca="false">IF(INDEX(BookTitle,1583)="","",INDEX(BookTotal,1583)*'5. Scenarios'!$C$6/(1+ProductivityDefault*('5. Scenarios'!$C$11-1)))</f>
        <v/>
      </c>
      <c r="J1588" s="57" t="str">
        <f aca="false">IF($I1588="","",INDEX(BookRate,1583)*(1+'5. Scenarios'!$C$10)*$I1588)</f>
        <v/>
      </c>
      <c r="K1588" s="57" t="str">
        <f aca="false">IF($J1588="","",SUMIFS($J$6:$J$2405,$A$6:$A$2405,"&lt;="&amp;$A1588))</f>
        <v/>
      </c>
      <c r="L1588" s="57" t="str">
        <f aca="false">IF($J1588="","",IF($K1588&lt;=BankCostEnvelope*'5. Scenarios'!$C$7,1,0))</f>
        <v/>
      </c>
      <c r="M1588" s="57" t="str">
        <f aca="false">IF($I1588="","",INDEX(BookRate,1583)*(1+'5. Scenarios'!$C$10)*(INDEX(BookQ1,1583)*(5-MIN(4,1+'5. Scenarios'!$C$8))/4+INDEX(BookQ2,1583)*(5-MIN(4,2+'5. Scenarios'!$C$8))/4+INDEX(BookQ3,1583)*(5-MIN(4,3+'5. Scenarios'!$C$8))/4+INDEX(BookQ4,1583)*(5-MIN(4,4+'5. Scenarios'!$C$8))/4)*'5. Scenarios'!$C$6/(1+ProductivityDefault*('5. Scenarios'!$C$11-1))+INDEX(BookOneOff,1583)*$I1588)</f>
        <v/>
      </c>
      <c r="N1588" s="56" t="str">
        <f aca="false">IF(INDEX(BookTitle,1583)="","",INDEX(BookTotal,1583)*'5. Scenarios'!$D$6/(1+ProductivityDefault*('5. Scenarios'!$D$11-1)))</f>
        <v/>
      </c>
      <c r="O1588" s="57" t="str">
        <f aca="false">IF($N1588="","",INDEX(BookRate,1583)*(1+'5. Scenarios'!$D$10)*$N1588)</f>
        <v/>
      </c>
      <c r="P1588" s="57" t="str">
        <f aca="false">IF($O1588="","",SUMIFS($O$6:$O$2405,$A$6:$A$2405,"&lt;="&amp;$A1588))</f>
        <v/>
      </c>
      <c r="Q1588" s="57" t="str">
        <f aca="false">IF($O1588="","",IF($P1588&lt;=BankCostEnvelope*'5. Scenarios'!$D$7,1,0))</f>
        <v/>
      </c>
      <c r="R1588" s="57" t="str">
        <f aca="false">IF($N1588="","",INDEX(BookRate,1583)*(1+'5. Scenarios'!$D$10)*(INDEX(BookQ1,1583)*(5-MIN(4,1+'5. Scenarios'!$D$8))/4+INDEX(BookQ2,1583)*(5-MIN(4,2+'5. Scenarios'!$D$8))/4+INDEX(BookQ3,1583)*(5-MIN(4,3+'5. Scenarios'!$D$8))/4+INDEX(BookQ4,1583)*(5-MIN(4,4+'5. Scenarios'!$D$8))/4)*'5. Scenarios'!$D$6/(1+ProductivityDefault*('5. Scenarios'!$D$11-1))+INDEX(BookOneOff,1583)*$N1588)</f>
        <v/>
      </c>
      <c r="S1588" s="56" t="str">
        <f aca="false">IF(INDEX(BookTitle,1583)="","",INDEX(BookTotal,1583)*'5. Scenarios'!$E$6/(1+ProductivityDefault*('5. Scenarios'!$E$11-1)))</f>
        <v/>
      </c>
      <c r="T1588" s="57" t="str">
        <f aca="false">IF($S1588="","",INDEX(BookRate,1583)*(1+'5. Scenarios'!$E$10)*$S1588)</f>
        <v/>
      </c>
      <c r="U1588" s="57" t="str">
        <f aca="false">IF($T1588="","",SUMIFS($T$6:$T$2405,$A$6:$A$2405,"&lt;="&amp;$A1588))</f>
        <v/>
      </c>
      <c r="V1588" s="57" t="str">
        <f aca="false">IF($T1588="","",IF($U1588&lt;=BankCostEnvelope*'5. Scenarios'!$E$7,1,0))</f>
        <v/>
      </c>
      <c r="W1588" s="57" t="str">
        <f aca="false">IF($S1588="","",INDEX(BookRate,1583)*(1+'5. Scenarios'!$E$10)*(INDEX(BookQ1,1583)*(5-MIN(4,1+'5. Scenarios'!$E$8))/4+INDEX(BookQ2,1583)*(5-MIN(4,2+'5. Scenarios'!$E$8))/4+INDEX(BookQ3,1583)*(5-MIN(4,3+'5. Scenarios'!$E$8))/4+INDEX(BookQ4,1583)*(5-MIN(4,4+'5. Scenarios'!$E$8))/4)*'5. Scenarios'!$E$6/(1+ProductivityDefault*('5. Scenarios'!$E$11-1))+INDEX(BookOneOff,1583)*$S1588)</f>
        <v/>
      </c>
    </row>
    <row r="1589" customFormat="false" ht="15" hidden="false" customHeight="false" outlineLevel="0" collapsed="false">
      <c r="A1589" s="0" t="str">
        <f aca="false">IF(INDEX(BookTitle,1584)="","",INDEX(BookKey,1584))</f>
        <v/>
      </c>
      <c r="B1589" s="0" t="str">
        <f aca="false">IF(INDEX(BookTitle,1584)="","",INDEX(BookGroup,1584))</f>
        <v/>
      </c>
      <c r="C1589" s="0" t="str">
        <f aca="false">IF(INDEX(BookTitle,1584)="","",INDEX(BookCategory,1584))</f>
        <v/>
      </c>
      <c r="D1589" s="56" t="str">
        <f aca="false">IF(INDEX(BookTitle,1584)="","",INDEX(BookTotal,1584)*'5. Scenarios'!$B$6/(1+ProductivityDefault*('5. Scenarios'!$B$11-1)))</f>
        <v/>
      </c>
      <c r="E1589" s="57" t="str">
        <f aca="false">IF($D1589="","",INDEX(BookRate,1584)*(1+'5. Scenarios'!$B$10)*$D1589)</f>
        <v/>
      </c>
      <c r="F1589" s="57" t="str">
        <f aca="false">IF($E1589="","",SUMIFS($E$6:$E$2405,$A$6:$A$2405,"&lt;="&amp;$A1589))</f>
        <v/>
      </c>
      <c r="G1589" s="57" t="str">
        <f aca="false">IF($E1589="","",IF($F1589&lt;=BankCostEnvelope*'5. Scenarios'!$B$7,1,0))</f>
        <v/>
      </c>
      <c r="H1589" s="57" t="str">
        <f aca="false">IF($D1589="","",INDEX(BookRate,1584)*(1+'5. Scenarios'!$B$10)*(INDEX(BookQ1,1584)*(5-MIN(4,1+'5. Scenarios'!$B$8))/4+INDEX(BookQ2,1584)*(5-MIN(4,2+'5. Scenarios'!$B$8))/4+INDEX(BookQ3,1584)*(5-MIN(4,3+'5. Scenarios'!$B$8))/4+INDEX(BookQ4,1584)*(5-MIN(4,4+'5. Scenarios'!$B$8))/4)*'5. Scenarios'!$B$6/(1+ProductivityDefault*('5. Scenarios'!$B$11-1))+INDEX(BookOneOff,1584)*$D1589)</f>
        <v/>
      </c>
      <c r="I1589" s="56" t="str">
        <f aca="false">IF(INDEX(BookTitle,1584)="","",INDEX(BookTotal,1584)*'5. Scenarios'!$C$6/(1+ProductivityDefault*('5. Scenarios'!$C$11-1)))</f>
        <v/>
      </c>
      <c r="J1589" s="57" t="str">
        <f aca="false">IF($I1589="","",INDEX(BookRate,1584)*(1+'5. Scenarios'!$C$10)*$I1589)</f>
        <v/>
      </c>
      <c r="K1589" s="57" t="str">
        <f aca="false">IF($J1589="","",SUMIFS($J$6:$J$2405,$A$6:$A$2405,"&lt;="&amp;$A1589))</f>
        <v/>
      </c>
      <c r="L1589" s="57" t="str">
        <f aca="false">IF($J1589="","",IF($K1589&lt;=BankCostEnvelope*'5. Scenarios'!$C$7,1,0))</f>
        <v/>
      </c>
      <c r="M1589" s="57" t="str">
        <f aca="false">IF($I1589="","",INDEX(BookRate,1584)*(1+'5. Scenarios'!$C$10)*(INDEX(BookQ1,1584)*(5-MIN(4,1+'5. Scenarios'!$C$8))/4+INDEX(BookQ2,1584)*(5-MIN(4,2+'5. Scenarios'!$C$8))/4+INDEX(BookQ3,1584)*(5-MIN(4,3+'5. Scenarios'!$C$8))/4+INDEX(BookQ4,1584)*(5-MIN(4,4+'5. Scenarios'!$C$8))/4)*'5. Scenarios'!$C$6/(1+ProductivityDefault*('5. Scenarios'!$C$11-1))+INDEX(BookOneOff,1584)*$I1589)</f>
        <v/>
      </c>
      <c r="N1589" s="56" t="str">
        <f aca="false">IF(INDEX(BookTitle,1584)="","",INDEX(BookTotal,1584)*'5. Scenarios'!$D$6/(1+ProductivityDefault*('5. Scenarios'!$D$11-1)))</f>
        <v/>
      </c>
      <c r="O1589" s="57" t="str">
        <f aca="false">IF($N1589="","",INDEX(BookRate,1584)*(1+'5. Scenarios'!$D$10)*$N1589)</f>
        <v/>
      </c>
      <c r="P1589" s="57" t="str">
        <f aca="false">IF($O1589="","",SUMIFS($O$6:$O$2405,$A$6:$A$2405,"&lt;="&amp;$A1589))</f>
        <v/>
      </c>
      <c r="Q1589" s="57" t="str">
        <f aca="false">IF($O1589="","",IF($P1589&lt;=BankCostEnvelope*'5. Scenarios'!$D$7,1,0))</f>
        <v/>
      </c>
      <c r="R1589" s="57" t="str">
        <f aca="false">IF($N1589="","",INDEX(BookRate,1584)*(1+'5. Scenarios'!$D$10)*(INDEX(BookQ1,1584)*(5-MIN(4,1+'5. Scenarios'!$D$8))/4+INDEX(BookQ2,1584)*(5-MIN(4,2+'5. Scenarios'!$D$8))/4+INDEX(BookQ3,1584)*(5-MIN(4,3+'5. Scenarios'!$D$8))/4+INDEX(BookQ4,1584)*(5-MIN(4,4+'5. Scenarios'!$D$8))/4)*'5. Scenarios'!$D$6/(1+ProductivityDefault*('5. Scenarios'!$D$11-1))+INDEX(BookOneOff,1584)*$N1589)</f>
        <v/>
      </c>
      <c r="S1589" s="56" t="str">
        <f aca="false">IF(INDEX(BookTitle,1584)="","",INDEX(BookTotal,1584)*'5. Scenarios'!$E$6/(1+ProductivityDefault*('5. Scenarios'!$E$11-1)))</f>
        <v/>
      </c>
      <c r="T1589" s="57" t="str">
        <f aca="false">IF($S1589="","",INDEX(BookRate,1584)*(1+'5. Scenarios'!$E$10)*$S1589)</f>
        <v/>
      </c>
      <c r="U1589" s="57" t="str">
        <f aca="false">IF($T1589="","",SUMIFS($T$6:$T$2405,$A$6:$A$2405,"&lt;="&amp;$A1589))</f>
        <v/>
      </c>
      <c r="V1589" s="57" t="str">
        <f aca="false">IF($T1589="","",IF($U1589&lt;=BankCostEnvelope*'5. Scenarios'!$E$7,1,0))</f>
        <v/>
      </c>
      <c r="W1589" s="57" t="str">
        <f aca="false">IF($S1589="","",INDEX(BookRate,1584)*(1+'5. Scenarios'!$E$10)*(INDEX(BookQ1,1584)*(5-MIN(4,1+'5. Scenarios'!$E$8))/4+INDEX(BookQ2,1584)*(5-MIN(4,2+'5. Scenarios'!$E$8))/4+INDEX(BookQ3,1584)*(5-MIN(4,3+'5. Scenarios'!$E$8))/4+INDEX(BookQ4,1584)*(5-MIN(4,4+'5. Scenarios'!$E$8))/4)*'5. Scenarios'!$E$6/(1+ProductivityDefault*('5. Scenarios'!$E$11-1))+INDEX(BookOneOff,1584)*$S1589)</f>
        <v/>
      </c>
    </row>
    <row r="1590" customFormat="false" ht="15" hidden="false" customHeight="false" outlineLevel="0" collapsed="false">
      <c r="A1590" s="0" t="str">
        <f aca="false">IF(INDEX(BookTitle,1585)="","",INDEX(BookKey,1585))</f>
        <v/>
      </c>
      <c r="B1590" s="0" t="str">
        <f aca="false">IF(INDEX(BookTitle,1585)="","",INDEX(BookGroup,1585))</f>
        <v/>
      </c>
      <c r="C1590" s="0" t="str">
        <f aca="false">IF(INDEX(BookTitle,1585)="","",INDEX(BookCategory,1585))</f>
        <v/>
      </c>
      <c r="D1590" s="56" t="str">
        <f aca="false">IF(INDEX(BookTitle,1585)="","",INDEX(BookTotal,1585)*'5. Scenarios'!$B$6/(1+ProductivityDefault*('5. Scenarios'!$B$11-1)))</f>
        <v/>
      </c>
      <c r="E1590" s="57" t="str">
        <f aca="false">IF($D1590="","",INDEX(BookRate,1585)*(1+'5. Scenarios'!$B$10)*$D1590)</f>
        <v/>
      </c>
      <c r="F1590" s="57" t="str">
        <f aca="false">IF($E1590="","",SUMIFS($E$6:$E$2405,$A$6:$A$2405,"&lt;="&amp;$A1590))</f>
        <v/>
      </c>
      <c r="G1590" s="57" t="str">
        <f aca="false">IF($E1590="","",IF($F1590&lt;=BankCostEnvelope*'5. Scenarios'!$B$7,1,0))</f>
        <v/>
      </c>
      <c r="H1590" s="57" t="str">
        <f aca="false">IF($D1590="","",INDEX(BookRate,1585)*(1+'5. Scenarios'!$B$10)*(INDEX(BookQ1,1585)*(5-MIN(4,1+'5. Scenarios'!$B$8))/4+INDEX(BookQ2,1585)*(5-MIN(4,2+'5. Scenarios'!$B$8))/4+INDEX(BookQ3,1585)*(5-MIN(4,3+'5. Scenarios'!$B$8))/4+INDEX(BookQ4,1585)*(5-MIN(4,4+'5. Scenarios'!$B$8))/4)*'5. Scenarios'!$B$6/(1+ProductivityDefault*('5. Scenarios'!$B$11-1))+INDEX(BookOneOff,1585)*$D1590)</f>
        <v/>
      </c>
      <c r="I1590" s="56" t="str">
        <f aca="false">IF(INDEX(BookTitle,1585)="","",INDEX(BookTotal,1585)*'5. Scenarios'!$C$6/(1+ProductivityDefault*('5. Scenarios'!$C$11-1)))</f>
        <v/>
      </c>
      <c r="J1590" s="57" t="str">
        <f aca="false">IF($I1590="","",INDEX(BookRate,1585)*(1+'5. Scenarios'!$C$10)*$I1590)</f>
        <v/>
      </c>
      <c r="K1590" s="57" t="str">
        <f aca="false">IF($J1590="","",SUMIFS($J$6:$J$2405,$A$6:$A$2405,"&lt;="&amp;$A1590))</f>
        <v/>
      </c>
      <c r="L1590" s="57" t="str">
        <f aca="false">IF($J1590="","",IF($K1590&lt;=BankCostEnvelope*'5. Scenarios'!$C$7,1,0))</f>
        <v/>
      </c>
      <c r="M1590" s="57" t="str">
        <f aca="false">IF($I1590="","",INDEX(BookRate,1585)*(1+'5. Scenarios'!$C$10)*(INDEX(BookQ1,1585)*(5-MIN(4,1+'5. Scenarios'!$C$8))/4+INDEX(BookQ2,1585)*(5-MIN(4,2+'5. Scenarios'!$C$8))/4+INDEX(BookQ3,1585)*(5-MIN(4,3+'5. Scenarios'!$C$8))/4+INDEX(BookQ4,1585)*(5-MIN(4,4+'5. Scenarios'!$C$8))/4)*'5. Scenarios'!$C$6/(1+ProductivityDefault*('5. Scenarios'!$C$11-1))+INDEX(BookOneOff,1585)*$I1590)</f>
        <v/>
      </c>
      <c r="N1590" s="56" t="str">
        <f aca="false">IF(INDEX(BookTitle,1585)="","",INDEX(BookTotal,1585)*'5. Scenarios'!$D$6/(1+ProductivityDefault*('5. Scenarios'!$D$11-1)))</f>
        <v/>
      </c>
      <c r="O1590" s="57" t="str">
        <f aca="false">IF($N1590="","",INDEX(BookRate,1585)*(1+'5. Scenarios'!$D$10)*$N1590)</f>
        <v/>
      </c>
      <c r="P1590" s="57" t="str">
        <f aca="false">IF($O1590="","",SUMIFS($O$6:$O$2405,$A$6:$A$2405,"&lt;="&amp;$A1590))</f>
        <v/>
      </c>
      <c r="Q1590" s="57" t="str">
        <f aca="false">IF($O1590="","",IF($P1590&lt;=BankCostEnvelope*'5. Scenarios'!$D$7,1,0))</f>
        <v/>
      </c>
      <c r="R1590" s="57" t="str">
        <f aca="false">IF($N1590="","",INDEX(BookRate,1585)*(1+'5. Scenarios'!$D$10)*(INDEX(BookQ1,1585)*(5-MIN(4,1+'5. Scenarios'!$D$8))/4+INDEX(BookQ2,1585)*(5-MIN(4,2+'5. Scenarios'!$D$8))/4+INDEX(BookQ3,1585)*(5-MIN(4,3+'5. Scenarios'!$D$8))/4+INDEX(BookQ4,1585)*(5-MIN(4,4+'5. Scenarios'!$D$8))/4)*'5. Scenarios'!$D$6/(1+ProductivityDefault*('5. Scenarios'!$D$11-1))+INDEX(BookOneOff,1585)*$N1590)</f>
        <v/>
      </c>
      <c r="S1590" s="56" t="str">
        <f aca="false">IF(INDEX(BookTitle,1585)="","",INDEX(BookTotal,1585)*'5. Scenarios'!$E$6/(1+ProductivityDefault*('5. Scenarios'!$E$11-1)))</f>
        <v/>
      </c>
      <c r="T1590" s="57" t="str">
        <f aca="false">IF($S1590="","",INDEX(BookRate,1585)*(1+'5. Scenarios'!$E$10)*$S1590)</f>
        <v/>
      </c>
      <c r="U1590" s="57" t="str">
        <f aca="false">IF($T1590="","",SUMIFS($T$6:$T$2405,$A$6:$A$2405,"&lt;="&amp;$A1590))</f>
        <v/>
      </c>
      <c r="V1590" s="57" t="str">
        <f aca="false">IF($T1590="","",IF($U1590&lt;=BankCostEnvelope*'5. Scenarios'!$E$7,1,0))</f>
        <v/>
      </c>
      <c r="W1590" s="57" t="str">
        <f aca="false">IF($S1590="","",INDEX(BookRate,1585)*(1+'5. Scenarios'!$E$10)*(INDEX(BookQ1,1585)*(5-MIN(4,1+'5. Scenarios'!$E$8))/4+INDEX(BookQ2,1585)*(5-MIN(4,2+'5. Scenarios'!$E$8))/4+INDEX(BookQ3,1585)*(5-MIN(4,3+'5. Scenarios'!$E$8))/4+INDEX(BookQ4,1585)*(5-MIN(4,4+'5. Scenarios'!$E$8))/4)*'5. Scenarios'!$E$6/(1+ProductivityDefault*('5. Scenarios'!$E$11-1))+INDEX(BookOneOff,1585)*$S1590)</f>
        <v/>
      </c>
    </row>
    <row r="1591" customFormat="false" ht="15" hidden="false" customHeight="false" outlineLevel="0" collapsed="false">
      <c r="A1591" s="0" t="str">
        <f aca="false">IF(INDEX(BookTitle,1586)="","",INDEX(BookKey,1586))</f>
        <v/>
      </c>
      <c r="B1591" s="0" t="str">
        <f aca="false">IF(INDEX(BookTitle,1586)="","",INDEX(BookGroup,1586))</f>
        <v/>
      </c>
      <c r="C1591" s="0" t="str">
        <f aca="false">IF(INDEX(BookTitle,1586)="","",INDEX(BookCategory,1586))</f>
        <v/>
      </c>
      <c r="D1591" s="56" t="str">
        <f aca="false">IF(INDEX(BookTitle,1586)="","",INDEX(BookTotal,1586)*'5. Scenarios'!$B$6/(1+ProductivityDefault*('5. Scenarios'!$B$11-1)))</f>
        <v/>
      </c>
      <c r="E1591" s="57" t="str">
        <f aca="false">IF($D1591="","",INDEX(BookRate,1586)*(1+'5. Scenarios'!$B$10)*$D1591)</f>
        <v/>
      </c>
      <c r="F1591" s="57" t="str">
        <f aca="false">IF($E1591="","",SUMIFS($E$6:$E$2405,$A$6:$A$2405,"&lt;="&amp;$A1591))</f>
        <v/>
      </c>
      <c r="G1591" s="57" t="str">
        <f aca="false">IF($E1591="","",IF($F1591&lt;=BankCostEnvelope*'5. Scenarios'!$B$7,1,0))</f>
        <v/>
      </c>
      <c r="H1591" s="57" t="str">
        <f aca="false">IF($D1591="","",INDEX(BookRate,1586)*(1+'5. Scenarios'!$B$10)*(INDEX(BookQ1,1586)*(5-MIN(4,1+'5. Scenarios'!$B$8))/4+INDEX(BookQ2,1586)*(5-MIN(4,2+'5. Scenarios'!$B$8))/4+INDEX(BookQ3,1586)*(5-MIN(4,3+'5. Scenarios'!$B$8))/4+INDEX(BookQ4,1586)*(5-MIN(4,4+'5. Scenarios'!$B$8))/4)*'5. Scenarios'!$B$6/(1+ProductivityDefault*('5. Scenarios'!$B$11-1))+INDEX(BookOneOff,1586)*$D1591)</f>
        <v/>
      </c>
      <c r="I1591" s="56" t="str">
        <f aca="false">IF(INDEX(BookTitle,1586)="","",INDEX(BookTotal,1586)*'5. Scenarios'!$C$6/(1+ProductivityDefault*('5. Scenarios'!$C$11-1)))</f>
        <v/>
      </c>
      <c r="J1591" s="57" t="str">
        <f aca="false">IF($I1591="","",INDEX(BookRate,1586)*(1+'5. Scenarios'!$C$10)*$I1591)</f>
        <v/>
      </c>
      <c r="K1591" s="57" t="str">
        <f aca="false">IF($J1591="","",SUMIFS($J$6:$J$2405,$A$6:$A$2405,"&lt;="&amp;$A1591))</f>
        <v/>
      </c>
      <c r="L1591" s="57" t="str">
        <f aca="false">IF($J1591="","",IF($K1591&lt;=BankCostEnvelope*'5. Scenarios'!$C$7,1,0))</f>
        <v/>
      </c>
      <c r="M1591" s="57" t="str">
        <f aca="false">IF($I1591="","",INDEX(BookRate,1586)*(1+'5. Scenarios'!$C$10)*(INDEX(BookQ1,1586)*(5-MIN(4,1+'5. Scenarios'!$C$8))/4+INDEX(BookQ2,1586)*(5-MIN(4,2+'5. Scenarios'!$C$8))/4+INDEX(BookQ3,1586)*(5-MIN(4,3+'5. Scenarios'!$C$8))/4+INDEX(BookQ4,1586)*(5-MIN(4,4+'5. Scenarios'!$C$8))/4)*'5. Scenarios'!$C$6/(1+ProductivityDefault*('5. Scenarios'!$C$11-1))+INDEX(BookOneOff,1586)*$I1591)</f>
        <v/>
      </c>
      <c r="N1591" s="56" t="str">
        <f aca="false">IF(INDEX(BookTitle,1586)="","",INDEX(BookTotal,1586)*'5. Scenarios'!$D$6/(1+ProductivityDefault*('5. Scenarios'!$D$11-1)))</f>
        <v/>
      </c>
      <c r="O1591" s="57" t="str">
        <f aca="false">IF($N1591="","",INDEX(BookRate,1586)*(1+'5. Scenarios'!$D$10)*$N1591)</f>
        <v/>
      </c>
      <c r="P1591" s="57" t="str">
        <f aca="false">IF($O1591="","",SUMIFS($O$6:$O$2405,$A$6:$A$2405,"&lt;="&amp;$A1591))</f>
        <v/>
      </c>
      <c r="Q1591" s="57" t="str">
        <f aca="false">IF($O1591="","",IF($P1591&lt;=BankCostEnvelope*'5. Scenarios'!$D$7,1,0))</f>
        <v/>
      </c>
      <c r="R1591" s="57" t="str">
        <f aca="false">IF($N1591="","",INDEX(BookRate,1586)*(1+'5. Scenarios'!$D$10)*(INDEX(BookQ1,1586)*(5-MIN(4,1+'5. Scenarios'!$D$8))/4+INDEX(BookQ2,1586)*(5-MIN(4,2+'5. Scenarios'!$D$8))/4+INDEX(BookQ3,1586)*(5-MIN(4,3+'5. Scenarios'!$D$8))/4+INDEX(BookQ4,1586)*(5-MIN(4,4+'5. Scenarios'!$D$8))/4)*'5. Scenarios'!$D$6/(1+ProductivityDefault*('5. Scenarios'!$D$11-1))+INDEX(BookOneOff,1586)*$N1591)</f>
        <v/>
      </c>
      <c r="S1591" s="56" t="str">
        <f aca="false">IF(INDEX(BookTitle,1586)="","",INDEX(BookTotal,1586)*'5. Scenarios'!$E$6/(1+ProductivityDefault*('5. Scenarios'!$E$11-1)))</f>
        <v/>
      </c>
      <c r="T1591" s="57" t="str">
        <f aca="false">IF($S1591="","",INDEX(BookRate,1586)*(1+'5. Scenarios'!$E$10)*$S1591)</f>
        <v/>
      </c>
      <c r="U1591" s="57" t="str">
        <f aca="false">IF($T1591="","",SUMIFS($T$6:$T$2405,$A$6:$A$2405,"&lt;="&amp;$A1591))</f>
        <v/>
      </c>
      <c r="V1591" s="57" t="str">
        <f aca="false">IF($T1591="","",IF($U1591&lt;=BankCostEnvelope*'5. Scenarios'!$E$7,1,0))</f>
        <v/>
      </c>
      <c r="W1591" s="57" t="str">
        <f aca="false">IF($S1591="","",INDEX(BookRate,1586)*(1+'5. Scenarios'!$E$10)*(INDEX(BookQ1,1586)*(5-MIN(4,1+'5. Scenarios'!$E$8))/4+INDEX(BookQ2,1586)*(5-MIN(4,2+'5. Scenarios'!$E$8))/4+INDEX(BookQ3,1586)*(5-MIN(4,3+'5. Scenarios'!$E$8))/4+INDEX(BookQ4,1586)*(5-MIN(4,4+'5. Scenarios'!$E$8))/4)*'5. Scenarios'!$E$6/(1+ProductivityDefault*('5. Scenarios'!$E$11-1))+INDEX(BookOneOff,1586)*$S1591)</f>
        <v/>
      </c>
    </row>
    <row r="1592" customFormat="false" ht="15" hidden="false" customHeight="false" outlineLevel="0" collapsed="false">
      <c r="A1592" s="0" t="str">
        <f aca="false">IF(INDEX(BookTitle,1587)="","",INDEX(BookKey,1587))</f>
        <v/>
      </c>
      <c r="B1592" s="0" t="str">
        <f aca="false">IF(INDEX(BookTitle,1587)="","",INDEX(BookGroup,1587))</f>
        <v/>
      </c>
      <c r="C1592" s="0" t="str">
        <f aca="false">IF(INDEX(BookTitle,1587)="","",INDEX(BookCategory,1587))</f>
        <v/>
      </c>
      <c r="D1592" s="56" t="str">
        <f aca="false">IF(INDEX(BookTitle,1587)="","",INDEX(BookTotal,1587)*'5. Scenarios'!$B$6/(1+ProductivityDefault*('5. Scenarios'!$B$11-1)))</f>
        <v/>
      </c>
      <c r="E1592" s="57" t="str">
        <f aca="false">IF($D1592="","",INDEX(BookRate,1587)*(1+'5. Scenarios'!$B$10)*$D1592)</f>
        <v/>
      </c>
      <c r="F1592" s="57" t="str">
        <f aca="false">IF($E1592="","",SUMIFS($E$6:$E$2405,$A$6:$A$2405,"&lt;="&amp;$A1592))</f>
        <v/>
      </c>
      <c r="G1592" s="57" t="str">
        <f aca="false">IF($E1592="","",IF($F1592&lt;=BankCostEnvelope*'5. Scenarios'!$B$7,1,0))</f>
        <v/>
      </c>
      <c r="H1592" s="57" t="str">
        <f aca="false">IF($D1592="","",INDEX(BookRate,1587)*(1+'5. Scenarios'!$B$10)*(INDEX(BookQ1,1587)*(5-MIN(4,1+'5. Scenarios'!$B$8))/4+INDEX(BookQ2,1587)*(5-MIN(4,2+'5. Scenarios'!$B$8))/4+INDEX(BookQ3,1587)*(5-MIN(4,3+'5. Scenarios'!$B$8))/4+INDEX(BookQ4,1587)*(5-MIN(4,4+'5. Scenarios'!$B$8))/4)*'5. Scenarios'!$B$6/(1+ProductivityDefault*('5. Scenarios'!$B$11-1))+INDEX(BookOneOff,1587)*$D1592)</f>
        <v/>
      </c>
      <c r="I1592" s="56" t="str">
        <f aca="false">IF(INDEX(BookTitle,1587)="","",INDEX(BookTotal,1587)*'5. Scenarios'!$C$6/(1+ProductivityDefault*('5. Scenarios'!$C$11-1)))</f>
        <v/>
      </c>
      <c r="J1592" s="57" t="str">
        <f aca="false">IF($I1592="","",INDEX(BookRate,1587)*(1+'5. Scenarios'!$C$10)*$I1592)</f>
        <v/>
      </c>
      <c r="K1592" s="57" t="str">
        <f aca="false">IF($J1592="","",SUMIFS($J$6:$J$2405,$A$6:$A$2405,"&lt;="&amp;$A1592))</f>
        <v/>
      </c>
      <c r="L1592" s="57" t="str">
        <f aca="false">IF($J1592="","",IF($K1592&lt;=BankCostEnvelope*'5. Scenarios'!$C$7,1,0))</f>
        <v/>
      </c>
      <c r="M1592" s="57" t="str">
        <f aca="false">IF($I1592="","",INDEX(BookRate,1587)*(1+'5. Scenarios'!$C$10)*(INDEX(BookQ1,1587)*(5-MIN(4,1+'5. Scenarios'!$C$8))/4+INDEX(BookQ2,1587)*(5-MIN(4,2+'5. Scenarios'!$C$8))/4+INDEX(BookQ3,1587)*(5-MIN(4,3+'5. Scenarios'!$C$8))/4+INDEX(BookQ4,1587)*(5-MIN(4,4+'5. Scenarios'!$C$8))/4)*'5. Scenarios'!$C$6/(1+ProductivityDefault*('5. Scenarios'!$C$11-1))+INDEX(BookOneOff,1587)*$I1592)</f>
        <v/>
      </c>
      <c r="N1592" s="56" t="str">
        <f aca="false">IF(INDEX(BookTitle,1587)="","",INDEX(BookTotal,1587)*'5. Scenarios'!$D$6/(1+ProductivityDefault*('5. Scenarios'!$D$11-1)))</f>
        <v/>
      </c>
      <c r="O1592" s="57" t="str">
        <f aca="false">IF($N1592="","",INDEX(BookRate,1587)*(1+'5. Scenarios'!$D$10)*$N1592)</f>
        <v/>
      </c>
      <c r="P1592" s="57" t="str">
        <f aca="false">IF($O1592="","",SUMIFS($O$6:$O$2405,$A$6:$A$2405,"&lt;="&amp;$A1592))</f>
        <v/>
      </c>
      <c r="Q1592" s="57" t="str">
        <f aca="false">IF($O1592="","",IF($P1592&lt;=BankCostEnvelope*'5. Scenarios'!$D$7,1,0))</f>
        <v/>
      </c>
      <c r="R1592" s="57" t="str">
        <f aca="false">IF($N1592="","",INDEX(BookRate,1587)*(1+'5. Scenarios'!$D$10)*(INDEX(BookQ1,1587)*(5-MIN(4,1+'5. Scenarios'!$D$8))/4+INDEX(BookQ2,1587)*(5-MIN(4,2+'5. Scenarios'!$D$8))/4+INDEX(BookQ3,1587)*(5-MIN(4,3+'5. Scenarios'!$D$8))/4+INDEX(BookQ4,1587)*(5-MIN(4,4+'5. Scenarios'!$D$8))/4)*'5. Scenarios'!$D$6/(1+ProductivityDefault*('5. Scenarios'!$D$11-1))+INDEX(BookOneOff,1587)*$N1592)</f>
        <v/>
      </c>
      <c r="S1592" s="56" t="str">
        <f aca="false">IF(INDEX(BookTitle,1587)="","",INDEX(BookTotal,1587)*'5. Scenarios'!$E$6/(1+ProductivityDefault*('5. Scenarios'!$E$11-1)))</f>
        <v/>
      </c>
      <c r="T1592" s="57" t="str">
        <f aca="false">IF($S1592="","",INDEX(BookRate,1587)*(1+'5. Scenarios'!$E$10)*$S1592)</f>
        <v/>
      </c>
      <c r="U1592" s="57" t="str">
        <f aca="false">IF($T1592="","",SUMIFS($T$6:$T$2405,$A$6:$A$2405,"&lt;="&amp;$A1592))</f>
        <v/>
      </c>
      <c r="V1592" s="57" t="str">
        <f aca="false">IF($T1592="","",IF($U1592&lt;=BankCostEnvelope*'5. Scenarios'!$E$7,1,0))</f>
        <v/>
      </c>
      <c r="W1592" s="57" t="str">
        <f aca="false">IF($S1592="","",INDEX(BookRate,1587)*(1+'5. Scenarios'!$E$10)*(INDEX(BookQ1,1587)*(5-MIN(4,1+'5. Scenarios'!$E$8))/4+INDEX(BookQ2,1587)*(5-MIN(4,2+'5. Scenarios'!$E$8))/4+INDEX(BookQ3,1587)*(5-MIN(4,3+'5. Scenarios'!$E$8))/4+INDEX(BookQ4,1587)*(5-MIN(4,4+'5. Scenarios'!$E$8))/4)*'5. Scenarios'!$E$6/(1+ProductivityDefault*('5. Scenarios'!$E$11-1))+INDEX(BookOneOff,1587)*$S1592)</f>
        <v/>
      </c>
    </row>
    <row r="1593" customFormat="false" ht="15" hidden="false" customHeight="false" outlineLevel="0" collapsed="false">
      <c r="A1593" s="0" t="str">
        <f aca="false">IF(INDEX(BookTitle,1588)="","",INDEX(BookKey,1588))</f>
        <v/>
      </c>
      <c r="B1593" s="0" t="str">
        <f aca="false">IF(INDEX(BookTitle,1588)="","",INDEX(BookGroup,1588))</f>
        <v/>
      </c>
      <c r="C1593" s="0" t="str">
        <f aca="false">IF(INDEX(BookTitle,1588)="","",INDEX(BookCategory,1588))</f>
        <v/>
      </c>
      <c r="D1593" s="56" t="str">
        <f aca="false">IF(INDEX(BookTitle,1588)="","",INDEX(BookTotal,1588)*'5. Scenarios'!$B$6/(1+ProductivityDefault*('5. Scenarios'!$B$11-1)))</f>
        <v/>
      </c>
      <c r="E1593" s="57" t="str">
        <f aca="false">IF($D1593="","",INDEX(BookRate,1588)*(1+'5. Scenarios'!$B$10)*$D1593)</f>
        <v/>
      </c>
      <c r="F1593" s="57" t="str">
        <f aca="false">IF($E1593="","",SUMIFS($E$6:$E$2405,$A$6:$A$2405,"&lt;="&amp;$A1593))</f>
        <v/>
      </c>
      <c r="G1593" s="57" t="str">
        <f aca="false">IF($E1593="","",IF($F1593&lt;=BankCostEnvelope*'5. Scenarios'!$B$7,1,0))</f>
        <v/>
      </c>
      <c r="H1593" s="57" t="str">
        <f aca="false">IF($D1593="","",INDEX(BookRate,1588)*(1+'5. Scenarios'!$B$10)*(INDEX(BookQ1,1588)*(5-MIN(4,1+'5. Scenarios'!$B$8))/4+INDEX(BookQ2,1588)*(5-MIN(4,2+'5. Scenarios'!$B$8))/4+INDEX(BookQ3,1588)*(5-MIN(4,3+'5. Scenarios'!$B$8))/4+INDEX(BookQ4,1588)*(5-MIN(4,4+'5. Scenarios'!$B$8))/4)*'5. Scenarios'!$B$6/(1+ProductivityDefault*('5. Scenarios'!$B$11-1))+INDEX(BookOneOff,1588)*$D1593)</f>
        <v/>
      </c>
      <c r="I1593" s="56" t="str">
        <f aca="false">IF(INDEX(BookTitle,1588)="","",INDEX(BookTotal,1588)*'5. Scenarios'!$C$6/(1+ProductivityDefault*('5. Scenarios'!$C$11-1)))</f>
        <v/>
      </c>
      <c r="J1593" s="57" t="str">
        <f aca="false">IF($I1593="","",INDEX(BookRate,1588)*(1+'5. Scenarios'!$C$10)*$I1593)</f>
        <v/>
      </c>
      <c r="K1593" s="57" t="str">
        <f aca="false">IF($J1593="","",SUMIFS($J$6:$J$2405,$A$6:$A$2405,"&lt;="&amp;$A1593))</f>
        <v/>
      </c>
      <c r="L1593" s="57" t="str">
        <f aca="false">IF($J1593="","",IF($K1593&lt;=BankCostEnvelope*'5. Scenarios'!$C$7,1,0))</f>
        <v/>
      </c>
      <c r="M1593" s="57" t="str">
        <f aca="false">IF($I1593="","",INDEX(BookRate,1588)*(1+'5. Scenarios'!$C$10)*(INDEX(BookQ1,1588)*(5-MIN(4,1+'5. Scenarios'!$C$8))/4+INDEX(BookQ2,1588)*(5-MIN(4,2+'5. Scenarios'!$C$8))/4+INDEX(BookQ3,1588)*(5-MIN(4,3+'5. Scenarios'!$C$8))/4+INDEX(BookQ4,1588)*(5-MIN(4,4+'5. Scenarios'!$C$8))/4)*'5. Scenarios'!$C$6/(1+ProductivityDefault*('5. Scenarios'!$C$11-1))+INDEX(BookOneOff,1588)*$I1593)</f>
        <v/>
      </c>
      <c r="N1593" s="56" t="str">
        <f aca="false">IF(INDEX(BookTitle,1588)="","",INDEX(BookTotal,1588)*'5. Scenarios'!$D$6/(1+ProductivityDefault*('5. Scenarios'!$D$11-1)))</f>
        <v/>
      </c>
      <c r="O1593" s="57" t="str">
        <f aca="false">IF($N1593="","",INDEX(BookRate,1588)*(1+'5. Scenarios'!$D$10)*$N1593)</f>
        <v/>
      </c>
      <c r="P1593" s="57" t="str">
        <f aca="false">IF($O1593="","",SUMIFS($O$6:$O$2405,$A$6:$A$2405,"&lt;="&amp;$A1593))</f>
        <v/>
      </c>
      <c r="Q1593" s="57" t="str">
        <f aca="false">IF($O1593="","",IF($P1593&lt;=BankCostEnvelope*'5. Scenarios'!$D$7,1,0))</f>
        <v/>
      </c>
      <c r="R1593" s="57" t="str">
        <f aca="false">IF($N1593="","",INDEX(BookRate,1588)*(1+'5. Scenarios'!$D$10)*(INDEX(BookQ1,1588)*(5-MIN(4,1+'5. Scenarios'!$D$8))/4+INDEX(BookQ2,1588)*(5-MIN(4,2+'5. Scenarios'!$D$8))/4+INDEX(BookQ3,1588)*(5-MIN(4,3+'5. Scenarios'!$D$8))/4+INDEX(BookQ4,1588)*(5-MIN(4,4+'5. Scenarios'!$D$8))/4)*'5. Scenarios'!$D$6/(1+ProductivityDefault*('5. Scenarios'!$D$11-1))+INDEX(BookOneOff,1588)*$N1593)</f>
        <v/>
      </c>
      <c r="S1593" s="56" t="str">
        <f aca="false">IF(INDEX(BookTitle,1588)="","",INDEX(BookTotal,1588)*'5. Scenarios'!$E$6/(1+ProductivityDefault*('5. Scenarios'!$E$11-1)))</f>
        <v/>
      </c>
      <c r="T1593" s="57" t="str">
        <f aca="false">IF($S1593="","",INDEX(BookRate,1588)*(1+'5. Scenarios'!$E$10)*$S1593)</f>
        <v/>
      </c>
      <c r="U1593" s="57" t="str">
        <f aca="false">IF($T1593="","",SUMIFS($T$6:$T$2405,$A$6:$A$2405,"&lt;="&amp;$A1593))</f>
        <v/>
      </c>
      <c r="V1593" s="57" t="str">
        <f aca="false">IF($T1593="","",IF($U1593&lt;=BankCostEnvelope*'5. Scenarios'!$E$7,1,0))</f>
        <v/>
      </c>
      <c r="W1593" s="57" t="str">
        <f aca="false">IF($S1593="","",INDEX(BookRate,1588)*(1+'5. Scenarios'!$E$10)*(INDEX(BookQ1,1588)*(5-MIN(4,1+'5. Scenarios'!$E$8))/4+INDEX(BookQ2,1588)*(5-MIN(4,2+'5. Scenarios'!$E$8))/4+INDEX(BookQ3,1588)*(5-MIN(4,3+'5. Scenarios'!$E$8))/4+INDEX(BookQ4,1588)*(5-MIN(4,4+'5. Scenarios'!$E$8))/4)*'5. Scenarios'!$E$6/(1+ProductivityDefault*('5. Scenarios'!$E$11-1))+INDEX(BookOneOff,1588)*$S1593)</f>
        <v/>
      </c>
    </row>
    <row r="1594" customFormat="false" ht="15" hidden="false" customHeight="false" outlineLevel="0" collapsed="false">
      <c r="A1594" s="0" t="str">
        <f aca="false">IF(INDEX(BookTitle,1589)="","",INDEX(BookKey,1589))</f>
        <v/>
      </c>
      <c r="B1594" s="0" t="str">
        <f aca="false">IF(INDEX(BookTitle,1589)="","",INDEX(BookGroup,1589))</f>
        <v/>
      </c>
      <c r="C1594" s="0" t="str">
        <f aca="false">IF(INDEX(BookTitle,1589)="","",INDEX(BookCategory,1589))</f>
        <v/>
      </c>
      <c r="D1594" s="56" t="str">
        <f aca="false">IF(INDEX(BookTitle,1589)="","",INDEX(BookTotal,1589)*'5. Scenarios'!$B$6/(1+ProductivityDefault*('5. Scenarios'!$B$11-1)))</f>
        <v/>
      </c>
      <c r="E1594" s="57" t="str">
        <f aca="false">IF($D1594="","",INDEX(BookRate,1589)*(1+'5. Scenarios'!$B$10)*$D1594)</f>
        <v/>
      </c>
      <c r="F1594" s="57" t="str">
        <f aca="false">IF($E1594="","",SUMIFS($E$6:$E$2405,$A$6:$A$2405,"&lt;="&amp;$A1594))</f>
        <v/>
      </c>
      <c r="G1594" s="57" t="str">
        <f aca="false">IF($E1594="","",IF($F1594&lt;=BankCostEnvelope*'5. Scenarios'!$B$7,1,0))</f>
        <v/>
      </c>
      <c r="H1594" s="57" t="str">
        <f aca="false">IF($D1594="","",INDEX(BookRate,1589)*(1+'5. Scenarios'!$B$10)*(INDEX(BookQ1,1589)*(5-MIN(4,1+'5. Scenarios'!$B$8))/4+INDEX(BookQ2,1589)*(5-MIN(4,2+'5. Scenarios'!$B$8))/4+INDEX(BookQ3,1589)*(5-MIN(4,3+'5. Scenarios'!$B$8))/4+INDEX(BookQ4,1589)*(5-MIN(4,4+'5. Scenarios'!$B$8))/4)*'5. Scenarios'!$B$6/(1+ProductivityDefault*('5. Scenarios'!$B$11-1))+INDEX(BookOneOff,1589)*$D1594)</f>
        <v/>
      </c>
      <c r="I1594" s="56" t="str">
        <f aca="false">IF(INDEX(BookTitle,1589)="","",INDEX(BookTotal,1589)*'5. Scenarios'!$C$6/(1+ProductivityDefault*('5. Scenarios'!$C$11-1)))</f>
        <v/>
      </c>
      <c r="J1594" s="57" t="str">
        <f aca="false">IF($I1594="","",INDEX(BookRate,1589)*(1+'5. Scenarios'!$C$10)*$I1594)</f>
        <v/>
      </c>
      <c r="K1594" s="57" t="str">
        <f aca="false">IF($J1594="","",SUMIFS($J$6:$J$2405,$A$6:$A$2405,"&lt;="&amp;$A1594))</f>
        <v/>
      </c>
      <c r="L1594" s="57" t="str">
        <f aca="false">IF($J1594="","",IF($K1594&lt;=BankCostEnvelope*'5. Scenarios'!$C$7,1,0))</f>
        <v/>
      </c>
      <c r="M1594" s="57" t="str">
        <f aca="false">IF($I1594="","",INDEX(BookRate,1589)*(1+'5. Scenarios'!$C$10)*(INDEX(BookQ1,1589)*(5-MIN(4,1+'5. Scenarios'!$C$8))/4+INDEX(BookQ2,1589)*(5-MIN(4,2+'5. Scenarios'!$C$8))/4+INDEX(BookQ3,1589)*(5-MIN(4,3+'5. Scenarios'!$C$8))/4+INDEX(BookQ4,1589)*(5-MIN(4,4+'5. Scenarios'!$C$8))/4)*'5. Scenarios'!$C$6/(1+ProductivityDefault*('5. Scenarios'!$C$11-1))+INDEX(BookOneOff,1589)*$I1594)</f>
        <v/>
      </c>
      <c r="N1594" s="56" t="str">
        <f aca="false">IF(INDEX(BookTitle,1589)="","",INDEX(BookTotal,1589)*'5. Scenarios'!$D$6/(1+ProductivityDefault*('5. Scenarios'!$D$11-1)))</f>
        <v/>
      </c>
      <c r="O1594" s="57" t="str">
        <f aca="false">IF($N1594="","",INDEX(BookRate,1589)*(1+'5. Scenarios'!$D$10)*$N1594)</f>
        <v/>
      </c>
      <c r="P1594" s="57" t="str">
        <f aca="false">IF($O1594="","",SUMIFS($O$6:$O$2405,$A$6:$A$2405,"&lt;="&amp;$A1594))</f>
        <v/>
      </c>
      <c r="Q1594" s="57" t="str">
        <f aca="false">IF($O1594="","",IF($P1594&lt;=BankCostEnvelope*'5. Scenarios'!$D$7,1,0))</f>
        <v/>
      </c>
      <c r="R1594" s="57" t="str">
        <f aca="false">IF($N1594="","",INDEX(BookRate,1589)*(1+'5. Scenarios'!$D$10)*(INDEX(BookQ1,1589)*(5-MIN(4,1+'5. Scenarios'!$D$8))/4+INDEX(BookQ2,1589)*(5-MIN(4,2+'5. Scenarios'!$D$8))/4+INDEX(BookQ3,1589)*(5-MIN(4,3+'5. Scenarios'!$D$8))/4+INDEX(BookQ4,1589)*(5-MIN(4,4+'5. Scenarios'!$D$8))/4)*'5. Scenarios'!$D$6/(1+ProductivityDefault*('5. Scenarios'!$D$11-1))+INDEX(BookOneOff,1589)*$N1594)</f>
        <v/>
      </c>
      <c r="S1594" s="56" t="str">
        <f aca="false">IF(INDEX(BookTitle,1589)="","",INDEX(BookTotal,1589)*'5. Scenarios'!$E$6/(1+ProductivityDefault*('5. Scenarios'!$E$11-1)))</f>
        <v/>
      </c>
      <c r="T1594" s="57" t="str">
        <f aca="false">IF($S1594="","",INDEX(BookRate,1589)*(1+'5. Scenarios'!$E$10)*$S1594)</f>
        <v/>
      </c>
      <c r="U1594" s="57" t="str">
        <f aca="false">IF($T1594="","",SUMIFS($T$6:$T$2405,$A$6:$A$2405,"&lt;="&amp;$A1594))</f>
        <v/>
      </c>
      <c r="V1594" s="57" t="str">
        <f aca="false">IF($T1594="","",IF($U1594&lt;=BankCostEnvelope*'5. Scenarios'!$E$7,1,0))</f>
        <v/>
      </c>
      <c r="W1594" s="57" t="str">
        <f aca="false">IF($S1594="","",INDEX(BookRate,1589)*(1+'5. Scenarios'!$E$10)*(INDEX(BookQ1,1589)*(5-MIN(4,1+'5. Scenarios'!$E$8))/4+INDEX(BookQ2,1589)*(5-MIN(4,2+'5. Scenarios'!$E$8))/4+INDEX(BookQ3,1589)*(5-MIN(4,3+'5. Scenarios'!$E$8))/4+INDEX(BookQ4,1589)*(5-MIN(4,4+'5. Scenarios'!$E$8))/4)*'5. Scenarios'!$E$6/(1+ProductivityDefault*('5. Scenarios'!$E$11-1))+INDEX(BookOneOff,1589)*$S1594)</f>
        <v/>
      </c>
    </row>
    <row r="1595" customFormat="false" ht="15" hidden="false" customHeight="false" outlineLevel="0" collapsed="false">
      <c r="A1595" s="0" t="str">
        <f aca="false">IF(INDEX(BookTitle,1590)="","",INDEX(BookKey,1590))</f>
        <v/>
      </c>
      <c r="B1595" s="0" t="str">
        <f aca="false">IF(INDEX(BookTitle,1590)="","",INDEX(BookGroup,1590))</f>
        <v/>
      </c>
      <c r="C1595" s="0" t="str">
        <f aca="false">IF(INDEX(BookTitle,1590)="","",INDEX(BookCategory,1590))</f>
        <v/>
      </c>
      <c r="D1595" s="56" t="str">
        <f aca="false">IF(INDEX(BookTitle,1590)="","",INDEX(BookTotal,1590)*'5. Scenarios'!$B$6/(1+ProductivityDefault*('5. Scenarios'!$B$11-1)))</f>
        <v/>
      </c>
      <c r="E1595" s="57" t="str">
        <f aca="false">IF($D1595="","",INDEX(BookRate,1590)*(1+'5. Scenarios'!$B$10)*$D1595)</f>
        <v/>
      </c>
      <c r="F1595" s="57" t="str">
        <f aca="false">IF($E1595="","",SUMIFS($E$6:$E$2405,$A$6:$A$2405,"&lt;="&amp;$A1595))</f>
        <v/>
      </c>
      <c r="G1595" s="57" t="str">
        <f aca="false">IF($E1595="","",IF($F1595&lt;=BankCostEnvelope*'5. Scenarios'!$B$7,1,0))</f>
        <v/>
      </c>
      <c r="H1595" s="57" t="str">
        <f aca="false">IF($D1595="","",INDEX(BookRate,1590)*(1+'5. Scenarios'!$B$10)*(INDEX(BookQ1,1590)*(5-MIN(4,1+'5. Scenarios'!$B$8))/4+INDEX(BookQ2,1590)*(5-MIN(4,2+'5. Scenarios'!$B$8))/4+INDEX(BookQ3,1590)*(5-MIN(4,3+'5. Scenarios'!$B$8))/4+INDEX(BookQ4,1590)*(5-MIN(4,4+'5. Scenarios'!$B$8))/4)*'5. Scenarios'!$B$6/(1+ProductivityDefault*('5. Scenarios'!$B$11-1))+INDEX(BookOneOff,1590)*$D1595)</f>
        <v/>
      </c>
      <c r="I1595" s="56" t="str">
        <f aca="false">IF(INDEX(BookTitle,1590)="","",INDEX(BookTotal,1590)*'5. Scenarios'!$C$6/(1+ProductivityDefault*('5. Scenarios'!$C$11-1)))</f>
        <v/>
      </c>
      <c r="J1595" s="57" t="str">
        <f aca="false">IF($I1595="","",INDEX(BookRate,1590)*(1+'5. Scenarios'!$C$10)*$I1595)</f>
        <v/>
      </c>
      <c r="K1595" s="57" t="str">
        <f aca="false">IF($J1595="","",SUMIFS($J$6:$J$2405,$A$6:$A$2405,"&lt;="&amp;$A1595))</f>
        <v/>
      </c>
      <c r="L1595" s="57" t="str">
        <f aca="false">IF($J1595="","",IF($K1595&lt;=BankCostEnvelope*'5. Scenarios'!$C$7,1,0))</f>
        <v/>
      </c>
      <c r="M1595" s="57" t="str">
        <f aca="false">IF($I1595="","",INDEX(BookRate,1590)*(1+'5. Scenarios'!$C$10)*(INDEX(BookQ1,1590)*(5-MIN(4,1+'5. Scenarios'!$C$8))/4+INDEX(BookQ2,1590)*(5-MIN(4,2+'5. Scenarios'!$C$8))/4+INDEX(BookQ3,1590)*(5-MIN(4,3+'5. Scenarios'!$C$8))/4+INDEX(BookQ4,1590)*(5-MIN(4,4+'5. Scenarios'!$C$8))/4)*'5. Scenarios'!$C$6/(1+ProductivityDefault*('5. Scenarios'!$C$11-1))+INDEX(BookOneOff,1590)*$I1595)</f>
        <v/>
      </c>
      <c r="N1595" s="56" t="str">
        <f aca="false">IF(INDEX(BookTitle,1590)="","",INDEX(BookTotal,1590)*'5. Scenarios'!$D$6/(1+ProductivityDefault*('5. Scenarios'!$D$11-1)))</f>
        <v/>
      </c>
      <c r="O1595" s="57" t="str">
        <f aca="false">IF($N1595="","",INDEX(BookRate,1590)*(1+'5. Scenarios'!$D$10)*$N1595)</f>
        <v/>
      </c>
      <c r="P1595" s="57" t="str">
        <f aca="false">IF($O1595="","",SUMIFS($O$6:$O$2405,$A$6:$A$2405,"&lt;="&amp;$A1595))</f>
        <v/>
      </c>
      <c r="Q1595" s="57" t="str">
        <f aca="false">IF($O1595="","",IF($P1595&lt;=BankCostEnvelope*'5. Scenarios'!$D$7,1,0))</f>
        <v/>
      </c>
      <c r="R1595" s="57" t="str">
        <f aca="false">IF($N1595="","",INDEX(BookRate,1590)*(1+'5. Scenarios'!$D$10)*(INDEX(BookQ1,1590)*(5-MIN(4,1+'5. Scenarios'!$D$8))/4+INDEX(BookQ2,1590)*(5-MIN(4,2+'5. Scenarios'!$D$8))/4+INDEX(BookQ3,1590)*(5-MIN(4,3+'5. Scenarios'!$D$8))/4+INDEX(BookQ4,1590)*(5-MIN(4,4+'5. Scenarios'!$D$8))/4)*'5. Scenarios'!$D$6/(1+ProductivityDefault*('5. Scenarios'!$D$11-1))+INDEX(BookOneOff,1590)*$N1595)</f>
        <v/>
      </c>
      <c r="S1595" s="56" t="str">
        <f aca="false">IF(INDEX(BookTitle,1590)="","",INDEX(BookTotal,1590)*'5. Scenarios'!$E$6/(1+ProductivityDefault*('5. Scenarios'!$E$11-1)))</f>
        <v/>
      </c>
      <c r="T1595" s="57" t="str">
        <f aca="false">IF($S1595="","",INDEX(BookRate,1590)*(1+'5. Scenarios'!$E$10)*$S1595)</f>
        <v/>
      </c>
      <c r="U1595" s="57" t="str">
        <f aca="false">IF($T1595="","",SUMIFS($T$6:$T$2405,$A$6:$A$2405,"&lt;="&amp;$A1595))</f>
        <v/>
      </c>
      <c r="V1595" s="57" t="str">
        <f aca="false">IF($T1595="","",IF($U1595&lt;=BankCostEnvelope*'5. Scenarios'!$E$7,1,0))</f>
        <v/>
      </c>
      <c r="W1595" s="57" t="str">
        <f aca="false">IF($S1595="","",INDEX(BookRate,1590)*(1+'5. Scenarios'!$E$10)*(INDEX(BookQ1,1590)*(5-MIN(4,1+'5. Scenarios'!$E$8))/4+INDEX(BookQ2,1590)*(5-MIN(4,2+'5. Scenarios'!$E$8))/4+INDEX(BookQ3,1590)*(5-MIN(4,3+'5. Scenarios'!$E$8))/4+INDEX(BookQ4,1590)*(5-MIN(4,4+'5. Scenarios'!$E$8))/4)*'5. Scenarios'!$E$6/(1+ProductivityDefault*('5. Scenarios'!$E$11-1))+INDEX(BookOneOff,1590)*$S1595)</f>
        <v/>
      </c>
    </row>
    <row r="1596" customFormat="false" ht="15" hidden="false" customHeight="false" outlineLevel="0" collapsed="false">
      <c r="A1596" s="0" t="str">
        <f aca="false">IF(INDEX(BookTitle,1591)="","",INDEX(BookKey,1591))</f>
        <v/>
      </c>
      <c r="B1596" s="0" t="str">
        <f aca="false">IF(INDEX(BookTitle,1591)="","",INDEX(BookGroup,1591))</f>
        <v/>
      </c>
      <c r="C1596" s="0" t="str">
        <f aca="false">IF(INDEX(BookTitle,1591)="","",INDEX(BookCategory,1591))</f>
        <v/>
      </c>
      <c r="D1596" s="56" t="str">
        <f aca="false">IF(INDEX(BookTitle,1591)="","",INDEX(BookTotal,1591)*'5. Scenarios'!$B$6/(1+ProductivityDefault*('5. Scenarios'!$B$11-1)))</f>
        <v/>
      </c>
      <c r="E1596" s="57" t="str">
        <f aca="false">IF($D1596="","",INDEX(BookRate,1591)*(1+'5. Scenarios'!$B$10)*$D1596)</f>
        <v/>
      </c>
      <c r="F1596" s="57" t="str">
        <f aca="false">IF($E1596="","",SUMIFS($E$6:$E$2405,$A$6:$A$2405,"&lt;="&amp;$A1596))</f>
        <v/>
      </c>
      <c r="G1596" s="57" t="str">
        <f aca="false">IF($E1596="","",IF($F1596&lt;=BankCostEnvelope*'5. Scenarios'!$B$7,1,0))</f>
        <v/>
      </c>
      <c r="H1596" s="57" t="str">
        <f aca="false">IF($D1596="","",INDEX(BookRate,1591)*(1+'5. Scenarios'!$B$10)*(INDEX(BookQ1,1591)*(5-MIN(4,1+'5. Scenarios'!$B$8))/4+INDEX(BookQ2,1591)*(5-MIN(4,2+'5. Scenarios'!$B$8))/4+INDEX(BookQ3,1591)*(5-MIN(4,3+'5. Scenarios'!$B$8))/4+INDEX(BookQ4,1591)*(5-MIN(4,4+'5. Scenarios'!$B$8))/4)*'5. Scenarios'!$B$6/(1+ProductivityDefault*('5. Scenarios'!$B$11-1))+INDEX(BookOneOff,1591)*$D1596)</f>
        <v/>
      </c>
      <c r="I1596" s="56" t="str">
        <f aca="false">IF(INDEX(BookTitle,1591)="","",INDEX(BookTotal,1591)*'5. Scenarios'!$C$6/(1+ProductivityDefault*('5. Scenarios'!$C$11-1)))</f>
        <v/>
      </c>
      <c r="J1596" s="57" t="str">
        <f aca="false">IF($I1596="","",INDEX(BookRate,1591)*(1+'5. Scenarios'!$C$10)*$I1596)</f>
        <v/>
      </c>
      <c r="K1596" s="57" t="str">
        <f aca="false">IF($J1596="","",SUMIFS($J$6:$J$2405,$A$6:$A$2405,"&lt;="&amp;$A1596))</f>
        <v/>
      </c>
      <c r="L1596" s="57" t="str">
        <f aca="false">IF($J1596="","",IF($K1596&lt;=BankCostEnvelope*'5. Scenarios'!$C$7,1,0))</f>
        <v/>
      </c>
      <c r="M1596" s="57" t="str">
        <f aca="false">IF($I1596="","",INDEX(BookRate,1591)*(1+'5. Scenarios'!$C$10)*(INDEX(BookQ1,1591)*(5-MIN(4,1+'5. Scenarios'!$C$8))/4+INDEX(BookQ2,1591)*(5-MIN(4,2+'5. Scenarios'!$C$8))/4+INDEX(BookQ3,1591)*(5-MIN(4,3+'5. Scenarios'!$C$8))/4+INDEX(BookQ4,1591)*(5-MIN(4,4+'5. Scenarios'!$C$8))/4)*'5. Scenarios'!$C$6/(1+ProductivityDefault*('5. Scenarios'!$C$11-1))+INDEX(BookOneOff,1591)*$I1596)</f>
        <v/>
      </c>
      <c r="N1596" s="56" t="str">
        <f aca="false">IF(INDEX(BookTitle,1591)="","",INDEX(BookTotal,1591)*'5. Scenarios'!$D$6/(1+ProductivityDefault*('5. Scenarios'!$D$11-1)))</f>
        <v/>
      </c>
      <c r="O1596" s="57" t="str">
        <f aca="false">IF($N1596="","",INDEX(BookRate,1591)*(1+'5. Scenarios'!$D$10)*$N1596)</f>
        <v/>
      </c>
      <c r="P1596" s="57" t="str">
        <f aca="false">IF($O1596="","",SUMIFS($O$6:$O$2405,$A$6:$A$2405,"&lt;="&amp;$A1596))</f>
        <v/>
      </c>
      <c r="Q1596" s="57" t="str">
        <f aca="false">IF($O1596="","",IF($P1596&lt;=BankCostEnvelope*'5. Scenarios'!$D$7,1,0))</f>
        <v/>
      </c>
      <c r="R1596" s="57" t="str">
        <f aca="false">IF($N1596="","",INDEX(BookRate,1591)*(1+'5. Scenarios'!$D$10)*(INDEX(BookQ1,1591)*(5-MIN(4,1+'5. Scenarios'!$D$8))/4+INDEX(BookQ2,1591)*(5-MIN(4,2+'5. Scenarios'!$D$8))/4+INDEX(BookQ3,1591)*(5-MIN(4,3+'5. Scenarios'!$D$8))/4+INDEX(BookQ4,1591)*(5-MIN(4,4+'5. Scenarios'!$D$8))/4)*'5. Scenarios'!$D$6/(1+ProductivityDefault*('5. Scenarios'!$D$11-1))+INDEX(BookOneOff,1591)*$N1596)</f>
        <v/>
      </c>
      <c r="S1596" s="56" t="str">
        <f aca="false">IF(INDEX(BookTitle,1591)="","",INDEX(BookTotal,1591)*'5. Scenarios'!$E$6/(1+ProductivityDefault*('5. Scenarios'!$E$11-1)))</f>
        <v/>
      </c>
      <c r="T1596" s="57" t="str">
        <f aca="false">IF($S1596="","",INDEX(BookRate,1591)*(1+'5. Scenarios'!$E$10)*$S1596)</f>
        <v/>
      </c>
      <c r="U1596" s="57" t="str">
        <f aca="false">IF($T1596="","",SUMIFS($T$6:$T$2405,$A$6:$A$2405,"&lt;="&amp;$A1596))</f>
        <v/>
      </c>
      <c r="V1596" s="57" t="str">
        <f aca="false">IF($T1596="","",IF($U1596&lt;=BankCostEnvelope*'5. Scenarios'!$E$7,1,0))</f>
        <v/>
      </c>
      <c r="W1596" s="57" t="str">
        <f aca="false">IF($S1596="","",INDEX(BookRate,1591)*(1+'5. Scenarios'!$E$10)*(INDEX(BookQ1,1591)*(5-MIN(4,1+'5. Scenarios'!$E$8))/4+INDEX(BookQ2,1591)*(5-MIN(4,2+'5. Scenarios'!$E$8))/4+INDEX(BookQ3,1591)*(5-MIN(4,3+'5. Scenarios'!$E$8))/4+INDEX(BookQ4,1591)*(5-MIN(4,4+'5. Scenarios'!$E$8))/4)*'5. Scenarios'!$E$6/(1+ProductivityDefault*('5. Scenarios'!$E$11-1))+INDEX(BookOneOff,1591)*$S1596)</f>
        <v/>
      </c>
    </row>
    <row r="1597" customFormat="false" ht="15" hidden="false" customHeight="false" outlineLevel="0" collapsed="false">
      <c r="A1597" s="0" t="str">
        <f aca="false">IF(INDEX(BookTitle,1592)="","",INDEX(BookKey,1592))</f>
        <v/>
      </c>
      <c r="B1597" s="0" t="str">
        <f aca="false">IF(INDEX(BookTitle,1592)="","",INDEX(BookGroup,1592))</f>
        <v/>
      </c>
      <c r="C1597" s="0" t="str">
        <f aca="false">IF(INDEX(BookTitle,1592)="","",INDEX(BookCategory,1592))</f>
        <v/>
      </c>
      <c r="D1597" s="56" t="str">
        <f aca="false">IF(INDEX(BookTitle,1592)="","",INDEX(BookTotal,1592)*'5. Scenarios'!$B$6/(1+ProductivityDefault*('5. Scenarios'!$B$11-1)))</f>
        <v/>
      </c>
      <c r="E1597" s="57" t="str">
        <f aca="false">IF($D1597="","",INDEX(BookRate,1592)*(1+'5. Scenarios'!$B$10)*$D1597)</f>
        <v/>
      </c>
      <c r="F1597" s="57" t="str">
        <f aca="false">IF($E1597="","",SUMIFS($E$6:$E$2405,$A$6:$A$2405,"&lt;="&amp;$A1597))</f>
        <v/>
      </c>
      <c r="G1597" s="57" t="str">
        <f aca="false">IF($E1597="","",IF($F1597&lt;=BankCostEnvelope*'5. Scenarios'!$B$7,1,0))</f>
        <v/>
      </c>
      <c r="H1597" s="57" t="str">
        <f aca="false">IF($D1597="","",INDEX(BookRate,1592)*(1+'5. Scenarios'!$B$10)*(INDEX(BookQ1,1592)*(5-MIN(4,1+'5. Scenarios'!$B$8))/4+INDEX(BookQ2,1592)*(5-MIN(4,2+'5. Scenarios'!$B$8))/4+INDEX(BookQ3,1592)*(5-MIN(4,3+'5. Scenarios'!$B$8))/4+INDEX(BookQ4,1592)*(5-MIN(4,4+'5. Scenarios'!$B$8))/4)*'5. Scenarios'!$B$6/(1+ProductivityDefault*('5. Scenarios'!$B$11-1))+INDEX(BookOneOff,1592)*$D1597)</f>
        <v/>
      </c>
      <c r="I1597" s="56" t="str">
        <f aca="false">IF(INDEX(BookTitle,1592)="","",INDEX(BookTotal,1592)*'5. Scenarios'!$C$6/(1+ProductivityDefault*('5. Scenarios'!$C$11-1)))</f>
        <v/>
      </c>
      <c r="J1597" s="57" t="str">
        <f aca="false">IF($I1597="","",INDEX(BookRate,1592)*(1+'5. Scenarios'!$C$10)*$I1597)</f>
        <v/>
      </c>
      <c r="K1597" s="57" t="str">
        <f aca="false">IF($J1597="","",SUMIFS($J$6:$J$2405,$A$6:$A$2405,"&lt;="&amp;$A1597))</f>
        <v/>
      </c>
      <c r="L1597" s="57" t="str">
        <f aca="false">IF($J1597="","",IF($K1597&lt;=BankCostEnvelope*'5. Scenarios'!$C$7,1,0))</f>
        <v/>
      </c>
      <c r="M1597" s="57" t="str">
        <f aca="false">IF($I1597="","",INDEX(BookRate,1592)*(1+'5. Scenarios'!$C$10)*(INDEX(BookQ1,1592)*(5-MIN(4,1+'5. Scenarios'!$C$8))/4+INDEX(BookQ2,1592)*(5-MIN(4,2+'5. Scenarios'!$C$8))/4+INDEX(BookQ3,1592)*(5-MIN(4,3+'5. Scenarios'!$C$8))/4+INDEX(BookQ4,1592)*(5-MIN(4,4+'5. Scenarios'!$C$8))/4)*'5. Scenarios'!$C$6/(1+ProductivityDefault*('5. Scenarios'!$C$11-1))+INDEX(BookOneOff,1592)*$I1597)</f>
        <v/>
      </c>
      <c r="N1597" s="56" t="str">
        <f aca="false">IF(INDEX(BookTitle,1592)="","",INDEX(BookTotal,1592)*'5. Scenarios'!$D$6/(1+ProductivityDefault*('5. Scenarios'!$D$11-1)))</f>
        <v/>
      </c>
      <c r="O1597" s="57" t="str">
        <f aca="false">IF($N1597="","",INDEX(BookRate,1592)*(1+'5. Scenarios'!$D$10)*$N1597)</f>
        <v/>
      </c>
      <c r="P1597" s="57" t="str">
        <f aca="false">IF($O1597="","",SUMIFS($O$6:$O$2405,$A$6:$A$2405,"&lt;="&amp;$A1597))</f>
        <v/>
      </c>
      <c r="Q1597" s="57" t="str">
        <f aca="false">IF($O1597="","",IF($P1597&lt;=BankCostEnvelope*'5. Scenarios'!$D$7,1,0))</f>
        <v/>
      </c>
      <c r="R1597" s="57" t="str">
        <f aca="false">IF($N1597="","",INDEX(BookRate,1592)*(1+'5. Scenarios'!$D$10)*(INDEX(BookQ1,1592)*(5-MIN(4,1+'5. Scenarios'!$D$8))/4+INDEX(BookQ2,1592)*(5-MIN(4,2+'5. Scenarios'!$D$8))/4+INDEX(BookQ3,1592)*(5-MIN(4,3+'5. Scenarios'!$D$8))/4+INDEX(BookQ4,1592)*(5-MIN(4,4+'5. Scenarios'!$D$8))/4)*'5. Scenarios'!$D$6/(1+ProductivityDefault*('5. Scenarios'!$D$11-1))+INDEX(BookOneOff,1592)*$N1597)</f>
        <v/>
      </c>
      <c r="S1597" s="56" t="str">
        <f aca="false">IF(INDEX(BookTitle,1592)="","",INDEX(BookTotal,1592)*'5. Scenarios'!$E$6/(1+ProductivityDefault*('5. Scenarios'!$E$11-1)))</f>
        <v/>
      </c>
      <c r="T1597" s="57" t="str">
        <f aca="false">IF($S1597="","",INDEX(BookRate,1592)*(1+'5. Scenarios'!$E$10)*$S1597)</f>
        <v/>
      </c>
      <c r="U1597" s="57" t="str">
        <f aca="false">IF($T1597="","",SUMIFS($T$6:$T$2405,$A$6:$A$2405,"&lt;="&amp;$A1597))</f>
        <v/>
      </c>
      <c r="V1597" s="57" t="str">
        <f aca="false">IF($T1597="","",IF($U1597&lt;=BankCostEnvelope*'5. Scenarios'!$E$7,1,0))</f>
        <v/>
      </c>
      <c r="W1597" s="57" t="str">
        <f aca="false">IF($S1597="","",INDEX(BookRate,1592)*(1+'5. Scenarios'!$E$10)*(INDEX(BookQ1,1592)*(5-MIN(4,1+'5. Scenarios'!$E$8))/4+INDEX(BookQ2,1592)*(5-MIN(4,2+'5. Scenarios'!$E$8))/4+INDEX(BookQ3,1592)*(5-MIN(4,3+'5. Scenarios'!$E$8))/4+INDEX(BookQ4,1592)*(5-MIN(4,4+'5. Scenarios'!$E$8))/4)*'5. Scenarios'!$E$6/(1+ProductivityDefault*('5. Scenarios'!$E$11-1))+INDEX(BookOneOff,1592)*$S1597)</f>
        <v/>
      </c>
    </row>
    <row r="1598" customFormat="false" ht="15" hidden="false" customHeight="false" outlineLevel="0" collapsed="false">
      <c r="A1598" s="0" t="str">
        <f aca="false">IF(INDEX(BookTitle,1593)="","",INDEX(BookKey,1593))</f>
        <v/>
      </c>
      <c r="B1598" s="0" t="str">
        <f aca="false">IF(INDEX(BookTitle,1593)="","",INDEX(BookGroup,1593))</f>
        <v/>
      </c>
      <c r="C1598" s="0" t="str">
        <f aca="false">IF(INDEX(BookTitle,1593)="","",INDEX(BookCategory,1593))</f>
        <v/>
      </c>
      <c r="D1598" s="56" t="str">
        <f aca="false">IF(INDEX(BookTitle,1593)="","",INDEX(BookTotal,1593)*'5. Scenarios'!$B$6/(1+ProductivityDefault*('5. Scenarios'!$B$11-1)))</f>
        <v/>
      </c>
      <c r="E1598" s="57" t="str">
        <f aca="false">IF($D1598="","",INDEX(BookRate,1593)*(1+'5. Scenarios'!$B$10)*$D1598)</f>
        <v/>
      </c>
      <c r="F1598" s="57" t="str">
        <f aca="false">IF($E1598="","",SUMIFS($E$6:$E$2405,$A$6:$A$2405,"&lt;="&amp;$A1598))</f>
        <v/>
      </c>
      <c r="G1598" s="57" t="str">
        <f aca="false">IF($E1598="","",IF($F1598&lt;=BankCostEnvelope*'5. Scenarios'!$B$7,1,0))</f>
        <v/>
      </c>
      <c r="H1598" s="57" t="str">
        <f aca="false">IF($D1598="","",INDEX(BookRate,1593)*(1+'5. Scenarios'!$B$10)*(INDEX(BookQ1,1593)*(5-MIN(4,1+'5. Scenarios'!$B$8))/4+INDEX(BookQ2,1593)*(5-MIN(4,2+'5. Scenarios'!$B$8))/4+INDEX(BookQ3,1593)*(5-MIN(4,3+'5. Scenarios'!$B$8))/4+INDEX(BookQ4,1593)*(5-MIN(4,4+'5. Scenarios'!$B$8))/4)*'5. Scenarios'!$B$6/(1+ProductivityDefault*('5. Scenarios'!$B$11-1))+INDEX(BookOneOff,1593)*$D1598)</f>
        <v/>
      </c>
      <c r="I1598" s="56" t="str">
        <f aca="false">IF(INDEX(BookTitle,1593)="","",INDEX(BookTotal,1593)*'5. Scenarios'!$C$6/(1+ProductivityDefault*('5. Scenarios'!$C$11-1)))</f>
        <v/>
      </c>
      <c r="J1598" s="57" t="str">
        <f aca="false">IF($I1598="","",INDEX(BookRate,1593)*(1+'5. Scenarios'!$C$10)*$I1598)</f>
        <v/>
      </c>
      <c r="K1598" s="57" t="str">
        <f aca="false">IF($J1598="","",SUMIFS($J$6:$J$2405,$A$6:$A$2405,"&lt;="&amp;$A1598))</f>
        <v/>
      </c>
      <c r="L1598" s="57" t="str">
        <f aca="false">IF($J1598="","",IF($K1598&lt;=BankCostEnvelope*'5. Scenarios'!$C$7,1,0))</f>
        <v/>
      </c>
      <c r="M1598" s="57" t="str">
        <f aca="false">IF($I1598="","",INDEX(BookRate,1593)*(1+'5. Scenarios'!$C$10)*(INDEX(BookQ1,1593)*(5-MIN(4,1+'5. Scenarios'!$C$8))/4+INDEX(BookQ2,1593)*(5-MIN(4,2+'5. Scenarios'!$C$8))/4+INDEX(BookQ3,1593)*(5-MIN(4,3+'5. Scenarios'!$C$8))/4+INDEX(BookQ4,1593)*(5-MIN(4,4+'5. Scenarios'!$C$8))/4)*'5. Scenarios'!$C$6/(1+ProductivityDefault*('5. Scenarios'!$C$11-1))+INDEX(BookOneOff,1593)*$I1598)</f>
        <v/>
      </c>
      <c r="N1598" s="56" t="str">
        <f aca="false">IF(INDEX(BookTitle,1593)="","",INDEX(BookTotal,1593)*'5. Scenarios'!$D$6/(1+ProductivityDefault*('5. Scenarios'!$D$11-1)))</f>
        <v/>
      </c>
      <c r="O1598" s="57" t="str">
        <f aca="false">IF($N1598="","",INDEX(BookRate,1593)*(1+'5. Scenarios'!$D$10)*$N1598)</f>
        <v/>
      </c>
      <c r="P1598" s="57" t="str">
        <f aca="false">IF($O1598="","",SUMIFS($O$6:$O$2405,$A$6:$A$2405,"&lt;="&amp;$A1598))</f>
        <v/>
      </c>
      <c r="Q1598" s="57" t="str">
        <f aca="false">IF($O1598="","",IF($P1598&lt;=BankCostEnvelope*'5. Scenarios'!$D$7,1,0))</f>
        <v/>
      </c>
      <c r="R1598" s="57" t="str">
        <f aca="false">IF($N1598="","",INDEX(BookRate,1593)*(1+'5. Scenarios'!$D$10)*(INDEX(BookQ1,1593)*(5-MIN(4,1+'5. Scenarios'!$D$8))/4+INDEX(BookQ2,1593)*(5-MIN(4,2+'5. Scenarios'!$D$8))/4+INDEX(BookQ3,1593)*(5-MIN(4,3+'5. Scenarios'!$D$8))/4+INDEX(BookQ4,1593)*(5-MIN(4,4+'5. Scenarios'!$D$8))/4)*'5. Scenarios'!$D$6/(1+ProductivityDefault*('5. Scenarios'!$D$11-1))+INDEX(BookOneOff,1593)*$N1598)</f>
        <v/>
      </c>
      <c r="S1598" s="56" t="str">
        <f aca="false">IF(INDEX(BookTitle,1593)="","",INDEX(BookTotal,1593)*'5. Scenarios'!$E$6/(1+ProductivityDefault*('5. Scenarios'!$E$11-1)))</f>
        <v/>
      </c>
      <c r="T1598" s="57" t="str">
        <f aca="false">IF($S1598="","",INDEX(BookRate,1593)*(1+'5. Scenarios'!$E$10)*$S1598)</f>
        <v/>
      </c>
      <c r="U1598" s="57" t="str">
        <f aca="false">IF($T1598="","",SUMIFS($T$6:$T$2405,$A$6:$A$2405,"&lt;="&amp;$A1598))</f>
        <v/>
      </c>
      <c r="V1598" s="57" t="str">
        <f aca="false">IF($T1598="","",IF($U1598&lt;=BankCostEnvelope*'5. Scenarios'!$E$7,1,0))</f>
        <v/>
      </c>
      <c r="W1598" s="57" t="str">
        <f aca="false">IF($S1598="","",INDEX(BookRate,1593)*(1+'5. Scenarios'!$E$10)*(INDEX(BookQ1,1593)*(5-MIN(4,1+'5. Scenarios'!$E$8))/4+INDEX(BookQ2,1593)*(5-MIN(4,2+'5. Scenarios'!$E$8))/4+INDEX(BookQ3,1593)*(5-MIN(4,3+'5. Scenarios'!$E$8))/4+INDEX(BookQ4,1593)*(5-MIN(4,4+'5. Scenarios'!$E$8))/4)*'5. Scenarios'!$E$6/(1+ProductivityDefault*('5. Scenarios'!$E$11-1))+INDEX(BookOneOff,1593)*$S1598)</f>
        <v/>
      </c>
    </row>
    <row r="1599" customFormat="false" ht="15" hidden="false" customHeight="false" outlineLevel="0" collapsed="false">
      <c r="A1599" s="0" t="str">
        <f aca="false">IF(INDEX(BookTitle,1594)="","",INDEX(BookKey,1594))</f>
        <v/>
      </c>
      <c r="B1599" s="0" t="str">
        <f aca="false">IF(INDEX(BookTitle,1594)="","",INDEX(BookGroup,1594))</f>
        <v/>
      </c>
      <c r="C1599" s="0" t="str">
        <f aca="false">IF(INDEX(BookTitle,1594)="","",INDEX(BookCategory,1594))</f>
        <v/>
      </c>
      <c r="D1599" s="56" t="str">
        <f aca="false">IF(INDEX(BookTitle,1594)="","",INDEX(BookTotal,1594)*'5. Scenarios'!$B$6/(1+ProductivityDefault*('5. Scenarios'!$B$11-1)))</f>
        <v/>
      </c>
      <c r="E1599" s="57" t="str">
        <f aca="false">IF($D1599="","",INDEX(BookRate,1594)*(1+'5. Scenarios'!$B$10)*$D1599)</f>
        <v/>
      </c>
      <c r="F1599" s="57" t="str">
        <f aca="false">IF($E1599="","",SUMIFS($E$6:$E$2405,$A$6:$A$2405,"&lt;="&amp;$A1599))</f>
        <v/>
      </c>
      <c r="G1599" s="57" t="str">
        <f aca="false">IF($E1599="","",IF($F1599&lt;=BankCostEnvelope*'5. Scenarios'!$B$7,1,0))</f>
        <v/>
      </c>
      <c r="H1599" s="57" t="str">
        <f aca="false">IF($D1599="","",INDEX(BookRate,1594)*(1+'5. Scenarios'!$B$10)*(INDEX(BookQ1,1594)*(5-MIN(4,1+'5. Scenarios'!$B$8))/4+INDEX(BookQ2,1594)*(5-MIN(4,2+'5. Scenarios'!$B$8))/4+INDEX(BookQ3,1594)*(5-MIN(4,3+'5. Scenarios'!$B$8))/4+INDEX(BookQ4,1594)*(5-MIN(4,4+'5. Scenarios'!$B$8))/4)*'5. Scenarios'!$B$6/(1+ProductivityDefault*('5. Scenarios'!$B$11-1))+INDEX(BookOneOff,1594)*$D1599)</f>
        <v/>
      </c>
      <c r="I1599" s="56" t="str">
        <f aca="false">IF(INDEX(BookTitle,1594)="","",INDEX(BookTotal,1594)*'5. Scenarios'!$C$6/(1+ProductivityDefault*('5. Scenarios'!$C$11-1)))</f>
        <v/>
      </c>
      <c r="J1599" s="57" t="str">
        <f aca="false">IF($I1599="","",INDEX(BookRate,1594)*(1+'5. Scenarios'!$C$10)*$I1599)</f>
        <v/>
      </c>
      <c r="K1599" s="57" t="str">
        <f aca="false">IF($J1599="","",SUMIFS($J$6:$J$2405,$A$6:$A$2405,"&lt;="&amp;$A1599))</f>
        <v/>
      </c>
      <c r="L1599" s="57" t="str">
        <f aca="false">IF($J1599="","",IF($K1599&lt;=BankCostEnvelope*'5. Scenarios'!$C$7,1,0))</f>
        <v/>
      </c>
      <c r="M1599" s="57" t="str">
        <f aca="false">IF($I1599="","",INDEX(BookRate,1594)*(1+'5. Scenarios'!$C$10)*(INDEX(BookQ1,1594)*(5-MIN(4,1+'5. Scenarios'!$C$8))/4+INDEX(BookQ2,1594)*(5-MIN(4,2+'5. Scenarios'!$C$8))/4+INDEX(BookQ3,1594)*(5-MIN(4,3+'5. Scenarios'!$C$8))/4+INDEX(BookQ4,1594)*(5-MIN(4,4+'5. Scenarios'!$C$8))/4)*'5. Scenarios'!$C$6/(1+ProductivityDefault*('5. Scenarios'!$C$11-1))+INDEX(BookOneOff,1594)*$I1599)</f>
        <v/>
      </c>
      <c r="N1599" s="56" t="str">
        <f aca="false">IF(INDEX(BookTitle,1594)="","",INDEX(BookTotal,1594)*'5. Scenarios'!$D$6/(1+ProductivityDefault*('5. Scenarios'!$D$11-1)))</f>
        <v/>
      </c>
      <c r="O1599" s="57" t="str">
        <f aca="false">IF($N1599="","",INDEX(BookRate,1594)*(1+'5. Scenarios'!$D$10)*$N1599)</f>
        <v/>
      </c>
      <c r="P1599" s="57" t="str">
        <f aca="false">IF($O1599="","",SUMIFS($O$6:$O$2405,$A$6:$A$2405,"&lt;="&amp;$A1599))</f>
        <v/>
      </c>
      <c r="Q1599" s="57" t="str">
        <f aca="false">IF($O1599="","",IF($P1599&lt;=BankCostEnvelope*'5. Scenarios'!$D$7,1,0))</f>
        <v/>
      </c>
      <c r="R1599" s="57" t="str">
        <f aca="false">IF($N1599="","",INDEX(BookRate,1594)*(1+'5. Scenarios'!$D$10)*(INDEX(BookQ1,1594)*(5-MIN(4,1+'5. Scenarios'!$D$8))/4+INDEX(BookQ2,1594)*(5-MIN(4,2+'5. Scenarios'!$D$8))/4+INDEX(BookQ3,1594)*(5-MIN(4,3+'5. Scenarios'!$D$8))/4+INDEX(BookQ4,1594)*(5-MIN(4,4+'5. Scenarios'!$D$8))/4)*'5. Scenarios'!$D$6/(1+ProductivityDefault*('5. Scenarios'!$D$11-1))+INDEX(BookOneOff,1594)*$N1599)</f>
        <v/>
      </c>
      <c r="S1599" s="56" t="str">
        <f aca="false">IF(INDEX(BookTitle,1594)="","",INDEX(BookTotal,1594)*'5. Scenarios'!$E$6/(1+ProductivityDefault*('5. Scenarios'!$E$11-1)))</f>
        <v/>
      </c>
      <c r="T1599" s="57" t="str">
        <f aca="false">IF($S1599="","",INDEX(BookRate,1594)*(1+'5. Scenarios'!$E$10)*$S1599)</f>
        <v/>
      </c>
      <c r="U1599" s="57" t="str">
        <f aca="false">IF($T1599="","",SUMIFS($T$6:$T$2405,$A$6:$A$2405,"&lt;="&amp;$A1599))</f>
        <v/>
      </c>
      <c r="V1599" s="57" t="str">
        <f aca="false">IF($T1599="","",IF($U1599&lt;=BankCostEnvelope*'5. Scenarios'!$E$7,1,0))</f>
        <v/>
      </c>
      <c r="W1599" s="57" t="str">
        <f aca="false">IF($S1599="","",INDEX(BookRate,1594)*(1+'5. Scenarios'!$E$10)*(INDEX(BookQ1,1594)*(5-MIN(4,1+'5. Scenarios'!$E$8))/4+INDEX(BookQ2,1594)*(5-MIN(4,2+'5. Scenarios'!$E$8))/4+INDEX(BookQ3,1594)*(5-MIN(4,3+'5. Scenarios'!$E$8))/4+INDEX(BookQ4,1594)*(5-MIN(4,4+'5. Scenarios'!$E$8))/4)*'5. Scenarios'!$E$6/(1+ProductivityDefault*('5. Scenarios'!$E$11-1))+INDEX(BookOneOff,1594)*$S1599)</f>
        <v/>
      </c>
    </row>
    <row r="1600" customFormat="false" ht="15" hidden="false" customHeight="false" outlineLevel="0" collapsed="false">
      <c r="A1600" s="0" t="str">
        <f aca="false">IF(INDEX(BookTitle,1595)="","",INDEX(BookKey,1595))</f>
        <v/>
      </c>
      <c r="B1600" s="0" t="str">
        <f aca="false">IF(INDEX(BookTitle,1595)="","",INDEX(BookGroup,1595))</f>
        <v/>
      </c>
      <c r="C1600" s="0" t="str">
        <f aca="false">IF(INDEX(BookTitle,1595)="","",INDEX(BookCategory,1595))</f>
        <v/>
      </c>
      <c r="D1600" s="56" t="str">
        <f aca="false">IF(INDEX(BookTitle,1595)="","",INDEX(BookTotal,1595)*'5. Scenarios'!$B$6/(1+ProductivityDefault*('5. Scenarios'!$B$11-1)))</f>
        <v/>
      </c>
      <c r="E1600" s="57" t="str">
        <f aca="false">IF($D1600="","",INDEX(BookRate,1595)*(1+'5. Scenarios'!$B$10)*$D1600)</f>
        <v/>
      </c>
      <c r="F1600" s="57" t="str">
        <f aca="false">IF($E1600="","",SUMIFS($E$6:$E$2405,$A$6:$A$2405,"&lt;="&amp;$A1600))</f>
        <v/>
      </c>
      <c r="G1600" s="57" t="str">
        <f aca="false">IF($E1600="","",IF($F1600&lt;=BankCostEnvelope*'5. Scenarios'!$B$7,1,0))</f>
        <v/>
      </c>
      <c r="H1600" s="57" t="str">
        <f aca="false">IF($D1600="","",INDEX(BookRate,1595)*(1+'5. Scenarios'!$B$10)*(INDEX(BookQ1,1595)*(5-MIN(4,1+'5. Scenarios'!$B$8))/4+INDEX(BookQ2,1595)*(5-MIN(4,2+'5. Scenarios'!$B$8))/4+INDEX(BookQ3,1595)*(5-MIN(4,3+'5. Scenarios'!$B$8))/4+INDEX(BookQ4,1595)*(5-MIN(4,4+'5. Scenarios'!$B$8))/4)*'5. Scenarios'!$B$6/(1+ProductivityDefault*('5. Scenarios'!$B$11-1))+INDEX(BookOneOff,1595)*$D1600)</f>
        <v/>
      </c>
      <c r="I1600" s="56" t="str">
        <f aca="false">IF(INDEX(BookTitle,1595)="","",INDEX(BookTotal,1595)*'5. Scenarios'!$C$6/(1+ProductivityDefault*('5. Scenarios'!$C$11-1)))</f>
        <v/>
      </c>
      <c r="J1600" s="57" t="str">
        <f aca="false">IF($I1600="","",INDEX(BookRate,1595)*(1+'5. Scenarios'!$C$10)*$I1600)</f>
        <v/>
      </c>
      <c r="K1600" s="57" t="str">
        <f aca="false">IF($J1600="","",SUMIFS($J$6:$J$2405,$A$6:$A$2405,"&lt;="&amp;$A1600))</f>
        <v/>
      </c>
      <c r="L1600" s="57" t="str">
        <f aca="false">IF($J1600="","",IF($K1600&lt;=BankCostEnvelope*'5. Scenarios'!$C$7,1,0))</f>
        <v/>
      </c>
      <c r="M1600" s="57" t="str">
        <f aca="false">IF($I1600="","",INDEX(BookRate,1595)*(1+'5. Scenarios'!$C$10)*(INDEX(BookQ1,1595)*(5-MIN(4,1+'5. Scenarios'!$C$8))/4+INDEX(BookQ2,1595)*(5-MIN(4,2+'5. Scenarios'!$C$8))/4+INDEX(BookQ3,1595)*(5-MIN(4,3+'5. Scenarios'!$C$8))/4+INDEX(BookQ4,1595)*(5-MIN(4,4+'5. Scenarios'!$C$8))/4)*'5. Scenarios'!$C$6/(1+ProductivityDefault*('5. Scenarios'!$C$11-1))+INDEX(BookOneOff,1595)*$I1600)</f>
        <v/>
      </c>
      <c r="N1600" s="56" t="str">
        <f aca="false">IF(INDEX(BookTitle,1595)="","",INDEX(BookTotal,1595)*'5. Scenarios'!$D$6/(1+ProductivityDefault*('5. Scenarios'!$D$11-1)))</f>
        <v/>
      </c>
      <c r="O1600" s="57" t="str">
        <f aca="false">IF($N1600="","",INDEX(BookRate,1595)*(1+'5. Scenarios'!$D$10)*$N1600)</f>
        <v/>
      </c>
      <c r="P1600" s="57" t="str">
        <f aca="false">IF($O1600="","",SUMIFS($O$6:$O$2405,$A$6:$A$2405,"&lt;="&amp;$A1600))</f>
        <v/>
      </c>
      <c r="Q1600" s="57" t="str">
        <f aca="false">IF($O1600="","",IF($P1600&lt;=BankCostEnvelope*'5. Scenarios'!$D$7,1,0))</f>
        <v/>
      </c>
      <c r="R1600" s="57" t="str">
        <f aca="false">IF($N1600="","",INDEX(BookRate,1595)*(1+'5. Scenarios'!$D$10)*(INDEX(BookQ1,1595)*(5-MIN(4,1+'5. Scenarios'!$D$8))/4+INDEX(BookQ2,1595)*(5-MIN(4,2+'5. Scenarios'!$D$8))/4+INDEX(BookQ3,1595)*(5-MIN(4,3+'5. Scenarios'!$D$8))/4+INDEX(BookQ4,1595)*(5-MIN(4,4+'5. Scenarios'!$D$8))/4)*'5. Scenarios'!$D$6/(1+ProductivityDefault*('5. Scenarios'!$D$11-1))+INDEX(BookOneOff,1595)*$N1600)</f>
        <v/>
      </c>
      <c r="S1600" s="56" t="str">
        <f aca="false">IF(INDEX(BookTitle,1595)="","",INDEX(BookTotal,1595)*'5. Scenarios'!$E$6/(1+ProductivityDefault*('5. Scenarios'!$E$11-1)))</f>
        <v/>
      </c>
      <c r="T1600" s="57" t="str">
        <f aca="false">IF($S1600="","",INDEX(BookRate,1595)*(1+'5. Scenarios'!$E$10)*$S1600)</f>
        <v/>
      </c>
      <c r="U1600" s="57" t="str">
        <f aca="false">IF($T1600="","",SUMIFS($T$6:$T$2405,$A$6:$A$2405,"&lt;="&amp;$A1600))</f>
        <v/>
      </c>
      <c r="V1600" s="57" t="str">
        <f aca="false">IF($T1600="","",IF($U1600&lt;=BankCostEnvelope*'5. Scenarios'!$E$7,1,0))</f>
        <v/>
      </c>
      <c r="W1600" s="57" t="str">
        <f aca="false">IF($S1600="","",INDEX(BookRate,1595)*(1+'5. Scenarios'!$E$10)*(INDEX(BookQ1,1595)*(5-MIN(4,1+'5. Scenarios'!$E$8))/4+INDEX(BookQ2,1595)*(5-MIN(4,2+'5. Scenarios'!$E$8))/4+INDEX(BookQ3,1595)*(5-MIN(4,3+'5. Scenarios'!$E$8))/4+INDEX(BookQ4,1595)*(5-MIN(4,4+'5. Scenarios'!$E$8))/4)*'5. Scenarios'!$E$6/(1+ProductivityDefault*('5. Scenarios'!$E$11-1))+INDEX(BookOneOff,1595)*$S1600)</f>
        <v/>
      </c>
    </row>
    <row r="1601" customFormat="false" ht="15" hidden="false" customHeight="false" outlineLevel="0" collapsed="false">
      <c r="A1601" s="0" t="str">
        <f aca="false">IF(INDEX(BookTitle,1596)="","",INDEX(BookKey,1596))</f>
        <v/>
      </c>
      <c r="B1601" s="0" t="str">
        <f aca="false">IF(INDEX(BookTitle,1596)="","",INDEX(BookGroup,1596))</f>
        <v/>
      </c>
      <c r="C1601" s="0" t="str">
        <f aca="false">IF(INDEX(BookTitle,1596)="","",INDEX(BookCategory,1596))</f>
        <v/>
      </c>
      <c r="D1601" s="56" t="str">
        <f aca="false">IF(INDEX(BookTitle,1596)="","",INDEX(BookTotal,1596)*'5. Scenarios'!$B$6/(1+ProductivityDefault*('5. Scenarios'!$B$11-1)))</f>
        <v/>
      </c>
      <c r="E1601" s="57" t="str">
        <f aca="false">IF($D1601="","",INDEX(BookRate,1596)*(1+'5. Scenarios'!$B$10)*$D1601)</f>
        <v/>
      </c>
      <c r="F1601" s="57" t="str">
        <f aca="false">IF($E1601="","",SUMIFS($E$6:$E$2405,$A$6:$A$2405,"&lt;="&amp;$A1601))</f>
        <v/>
      </c>
      <c r="G1601" s="57" t="str">
        <f aca="false">IF($E1601="","",IF($F1601&lt;=BankCostEnvelope*'5. Scenarios'!$B$7,1,0))</f>
        <v/>
      </c>
      <c r="H1601" s="57" t="str">
        <f aca="false">IF($D1601="","",INDEX(BookRate,1596)*(1+'5. Scenarios'!$B$10)*(INDEX(BookQ1,1596)*(5-MIN(4,1+'5. Scenarios'!$B$8))/4+INDEX(BookQ2,1596)*(5-MIN(4,2+'5. Scenarios'!$B$8))/4+INDEX(BookQ3,1596)*(5-MIN(4,3+'5. Scenarios'!$B$8))/4+INDEX(BookQ4,1596)*(5-MIN(4,4+'5. Scenarios'!$B$8))/4)*'5. Scenarios'!$B$6/(1+ProductivityDefault*('5. Scenarios'!$B$11-1))+INDEX(BookOneOff,1596)*$D1601)</f>
        <v/>
      </c>
      <c r="I1601" s="56" t="str">
        <f aca="false">IF(INDEX(BookTitle,1596)="","",INDEX(BookTotal,1596)*'5. Scenarios'!$C$6/(1+ProductivityDefault*('5. Scenarios'!$C$11-1)))</f>
        <v/>
      </c>
      <c r="J1601" s="57" t="str">
        <f aca="false">IF($I1601="","",INDEX(BookRate,1596)*(1+'5. Scenarios'!$C$10)*$I1601)</f>
        <v/>
      </c>
      <c r="K1601" s="57" t="str">
        <f aca="false">IF($J1601="","",SUMIFS($J$6:$J$2405,$A$6:$A$2405,"&lt;="&amp;$A1601))</f>
        <v/>
      </c>
      <c r="L1601" s="57" t="str">
        <f aca="false">IF($J1601="","",IF($K1601&lt;=BankCostEnvelope*'5. Scenarios'!$C$7,1,0))</f>
        <v/>
      </c>
      <c r="M1601" s="57" t="str">
        <f aca="false">IF($I1601="","",INDEX(BookRate,1596)*(1+'5. Scenarios'!$C$10)*(INDEX(BookQ1,1596)*(5-MIN(4,1+'5. Scenarios'!$C$8))/4+INDEX(BookQ2,1596)*(5-MIN(4,2+'5. Scenarios'!$C$8))/4+INDEX(BookQ3,1596)*(5-MIN(4,3+'5. Scenarios'!$C$8))/4+INDEX(BookQ4,1596)*(5-MIN(4,4+'5. Scenarios'!$C$8))/4)*'5. Scenarios'!$C$6/(1+ProductivityDefault*('5. Scenarios'!$C$11-1))+INDEX(BookOneOff,1596)*$I1601)</f>
        <v/>
      </c>
      <c r="N1601" s="56" t="str">
        <f aca="false">IF(INDEX(BookTitle,1596)="","",INDEX(BookTotal,1596)*'5. Scenarios'!$D$6/(1+ProductivityDefault*('5. Scenarios'!$D$11-1)))</f>
        <v/>
      </c>
      <c r="O1601" s="57" t="str">
        <f aca="false">IF($N1601="","",INDEX(BookRate,1596)*(1+'5. Scenarios'!$D$10)*$N1601)</f>
        <v/>
      </c>
      <c r="P1601" s="57" t="str">
        <f aca="false">IF($O1601="","",SUMIFS($O$6:$O$2405,$A$6:$A$2405,"&lt;="&amp;$A1601))</f>
        <v/>
      </c>
      <c r="Q1601" s="57" t="str">
        <f aca="false">IF($O1601="","",IF($P1601&lt;=BankCostEnvelope*'5. Scenarios'!$D$7,1,0))</f>
        <v/>
      </c>
      <c r="R1601" s="57" t="str">
        <f aca="false">IF($N1601="","",INDEX(BookRate,1596)*(1+'5. Scenarios'!$D$10)*(INDEX(BookQ1,1596)*(5-MIN(4,1+'5. Scenarios'!$D$8))/4+INDEX(BookQ2,1596)*(5-MIN(4,2+'5. Scenarios'!$D$8))/4+INDEX(BookQ3,1596)*(5-MIN(4,3+'5. Scenarios'!$D$8))/4+INDEX(BookQ4,1596)*(5-MIN(4,4+'5. Scenarios'!$D$8))/4)*'5. Scenarios'!$D$6/(1+ProductivityDefault*('5. Scenarios'!$D$11-1))+INDEX(BookOneOff,1596)*$N1601)</f>
        <v/>
      </c>
      <c r="S1601" s="56" t="str">
        <f aca="false">IF(INDEX(BookTitle,1596)="","",INDEX(BookTotal,1596)*'5. Scenarios'!$E$6/(1+ProductivityDefault*('5. Scenarios'!$E$11-1)))</f>
        <v/>
      </c>
      <c r="T1601" s="57" t="str">
        <f aca="false">IF($S1601="","",INDEX(BookRate,1596)*(1+'5. Scenarios'!$E$10)*$S1601)</f>
        <v/>
      </c>
      <c r="U1601" s="57" t="str">
        <f aca="false">IF($T1601="","",SUMIFS($T$6:$T$2405,$A$6:$A$2405,"&lt;="&amp;$A1601))</f>
        <v/>
      </c>
      <c r="V1601" s="57" t="str">
        <f aca="false">IF($T1601="","",IF($U1601&lt;=BankCostEnvelope*'5. Scenarios'!$E$7,1,0))</f>
        <v/>
      </c>
      <c r="W1601" s="57" t="str">
        <f aca="false">IF($S1601="","",INDEX(BookRate,1596)*(1+'5. Scenarios'!$E$10)*(INDEX(BookQ1,1596)*(5-MIN(4,1+'5. Scenarios'!$E$8))/4+INDEX(BookQ2,1596)*(5-MIN(4,2+'5. Scenarios'!$E$8))/4+INDEX(BookQ3,1596)*(5-MIN(4,3+'5. Scenarios'!$E$8))/4+INDEX(BookQ4,1596)*(5-MIN(4,4+'5. Scenarios'!$E$8))/4)*'5. Scenarios'!$E$6/(1+ProductivityDefault*('5. Scenarios'!$E$11-1))+INDEX(BookOneOff,1596)*$S1601)</f>
        <v/>
      </c>
    </row>
    <row r="1602" customFormat="false" ht="15" hidden="false" customHeight="false" outlineLevel="0" collapsed="false">
      <c r="A1602" s="0" t="str">
        <f aca="false">IF(INDEX(BookTitle,1597)="","",INDEX(BookKey,1597))</f>
        <v/>
      </c>
      <c r="B1602" s="0" t="str">
        <f aca="false">IF(INDEX(BookTitle,1597)="","",INDEX(BookGroup,1597))</f>
        <v/>
      </c>
      <c r="C1602" s="0" t="str">
        <f aca="false">IF(INDEX(BookTitle,1597)="","",INDEX(BookCategory,1597))</f>
        <v/>
      </c>
      <c r="D1602" s="56" t="str">
        <f aca="false">IF(INDEX(BookTitle,1597)="","",INDEX(BookTotal,1597)*'5. Scenarios'!$B$6/(1+ProductivityDefault*('5. Scenarios'!$B$11-1)))</f>
        <v/>
      </c>
      <c r="E1602" s="57" t="str">
        <f aca="false">IF($D1602="","",INDEX(BookRate,1597)*(1+'5. Scenarios'!$B$10)*$D1602)</f>
        <v/>
      </c>
      <c r="F1602" s="57" t="str">
        <f aca="false">IF($E1602="","",SUMIFS($E$6:$E$2405,$A$6:$A$2405,"&lt;="&amp;$A1602))</f>
        <v/>
      </c>
      <c r="G1602" s="57" t="str">
        <f aca="false">IF($E1602="","",IF($F1602&lt;=BankCostEnvelope*'5. Scenarios'!$B$7,1,0))</f>
        <v/>
      </c>
      <c r="H1602" s="57" t="str">
        <f aca="false">IF($D1602="","",INDEX(BookRate,1597)*(1+'5. Scenarios'!$B$10)*(INDEX(BookQ1,1597)*(5-MIN(4,1+'5. Scenarios'!$B$8))/4+INDEX(BookQ2,1597)*(5-MIN(4,2+'5. Scenarios'!$B$8))/4+INDEX(BookQ3,1597)*(5-MIN(4,3+'5. Scenarios'!$B$8))/4+INDEX(BookQ4,1597)*(5-MIN(4,4+'5. Scenarios'!$B$8))/4)*'5. Scenarios'!$B$6/(1+ProductivityDefault*('5. Scenarios'!$B$11-1))+INDEX(BookOneOff,1597)*$D1602)</f>
        <v/>
      </c>
      <c r="I1602" s="56" t="str">
        <f aca="false">IF(INDEX(BookTitle,1597)="","",INDEX(BookTotal,1597)*'5. Scenarios'!$C$6/(1+ProductivityDefault*('5. Scenarios'!$C$11-1)))</f>
        <v/>
      </c>
      <c r="J1602" s="57" t="str">
        <f aca="false">IF($I1602="","",INDEX(BookRate,1597)*(1+'5. Scenarios'!$C$10)*$I1602)</f>
        <v/>
      </c>
      <c r="K1602" s="57" t="str">
        <f aca="false">IF($J1602="","",SUMIFS($J$6:$J$2405,$A$6:$A$2405,"&lt;="&amp;$A1602))</f>
        <v/>
      </c>
      <c r="L1602" s="57" t="str">
        <f aca="false">IF($J1602="","",IF($K1602&lt;=BankCostEnvelope*'5. Scenarios'!$C$7,1,0))</f>
        <v/>
      </c>
      <c r="M1602" s="57" t="str">
        <f aca="false">IF($I1602="","",INDEX(BookRate,1597)*(1+'5. Scenarios'!$C$10)*(INDEX(BookQ1,1597)*(5-MIN(4,1+'5. Scenarios'!$C$8))/4+INDEX(BookQ2,1597)*(5-MIN(4,2+'5. Scenarios'!$C$8))/4+INDEX(BookQ3,1597)*(5-MIN(4,3+'5. Scenarios'!$C$8))/4+INDEX(BookQ4,1597)*(5-MIN(4,4+'5. Scenarios'!$C$8))/4)*'5. Scenarios'!$C$6/(1+ProductivityDefault*('5. Scenarios'!$C$11-1))+INDEX(BookOneOff,1597)*$I1602)</f>
        <v/>
      </c>
      <c r="N1602" s="56" t="str">
        <f aca="false">IF(INDEX(BookTitle,1597)="","",INDEX(BookTotal,1597)*'5. Scenarios'!$D$6/(1+ProductivityDefault*('5. Scenarios'!$D$11-1)))</f>
        <v/>
      </c>
      <c r="O1602" s="57" t="str">
        <f aca="false">IF($N1602="","",INDEX(BookRate,1597)*(1+'5. Scenarios'!$D$10)*$N1602)</f>
        <v/>
      </c>
      <c r="P1602" s="57" t="str">
        <f aca="false">IF($O1602="","",SUMIFS($O$6:$O$2405,$A$6:$A$2405,"&lt;="&amp;$A1602))</f>
        <v/>
      </c>
      <c r="Q1602" s="57" t="str">
        <f aca="false">IF($O1602="","",IF($P1602&lt;=BankCostEnvelope*'5. Scenarios'!$D$7,1,0))</f>
        <v/>
      </c>
      <c r="R1602" s="57" t="str">
        <f aca="false">IF($N1602="","",INDEX(BookRate,1597)*(1+'5. Scenarios'!$D$10)*(INDEX(BookQ1,1597)*(5-MIN(4,1+'5. Scenarios'!$D$8))/4+INDEX(BookQ2,1597)*(5-MIN(4,2+'5. Scenarios'!$D$8))/4+INDEX(BookQ3,1597)*(5-MIN(4,3+'5. Scenarios'!$D$8))/4+INDEX(BookQ4,1597)*(5-MIN(4,4+'5. Scenarios'!$D$8))/4)*'5. Scenarios'!$D$6/(1+ProductivityDefault*('5. Scenarios'!$D$11-1))+INDEX(BookOneOff,1597)*$N1602)</f>
        <v/>
      </c>
      <c r="S1602" s="56" t="str">
        <f aca="false">IF(INDEX(BookTitle,1597)="","",INDEX(BookTotal,1597)*'5. Scenarios'!$E$6/(1+ProductivityDefault*('5. Scenarios'!$E$11-1)))</f>
        <v/>
      </c>
      <c r="T1602" s="57" t="str">
        <f aca="false">IF($S1602="","",INDEX(BookRate,1597)*(1+'5. Scenarios'!$E$10)*$S1602)</f>
        <v/>
      </c>
      <c r="U1602" s="57" t="str">
        <f aca="false">IF($T1602="","",SUMIFS($T$6:$T$2405,$A$6:$A$2405,"&lt;="&amp;$A1602))</f>
        <v/>
      </c>
      <c r="V1602" s="57" t="str">
        <f aca="false">IF($T1602="","",IF($U1602&lt;=BankCostEnvelope*'5. Scenarios'!$E$7,1,0))</f>
        <v/>
      </c>
      <c r="W1602" s="57" t="str">
        <f aca="false">IF($S1602="","",INDEX(BookRate,1597)*(1+'5. Scenarios'!$E$10)*(INDEX(BookQ1,1597)*(5-MIN(4,1+'5. Scenarios'!$E$8))/4+INDEX(BookQ2,1597)*(5-MIN(4,2+'5. Scenarios'!$E$8))/4+INDEX(BookQ3,1597)*(5-MIN(4,3+'5. Scenarios'!$E$8))/4+INDEX(BookQ4,1597)*(5-MIN(4,4+'5. Scenarios'!$E$8))/4)*'5. Scenarios'!$E$6/(1+ProductivityDefault*('5. Scenarios'!$E$11-1))+INDEX(BookOneOff,1597)*$S1602)</f>
        <v/>
      </c>
    </row>
    <row r="1603" customFormat="false" ht="15" hidden="false" customHeight="false" outlineLevel="0" collapsed="false">
      <c r="A1603" s="0" t="str">
        <f aca="false">IF(INDEX(BookTitle,1598)="","",INDEX(BookKey,1598))</f>
        <v/>
      </c>
      <c r="B1603" s="0" t="str">
        <f aca="false">IF(INDEX(BookTitle,1598)="","",INDEX(BookGroup,1598))</f>
        <v/>
      </c>
      <c r="C1603" s="0" t="str">
        <f aca="false">IF(INDEX(BookTitle,1598)="","",INDEX(BookCategory,1598))</f>
        <v/>
      </c>
      <c r="D1603" s="56" t="str">
        <f aca="false">IF(INDEX(BookTitle,1598)="","",INDEX(BookTotal,1598)*'5. Scenarios'!$B$6/(1+ProductivityDefault*('5. Scenarios'!$B$11-1)))</f>
        <v/>
      </c>
      <c r="E1603" s="57" t="str">
        <f aca="false">IF($D1603="","",INDEX(BookRate,1598)*(1+'5. Scenarios'!$B$10)*$D1603)</f>
        <v/>
      </c>
      <c r="F1603" s="57" t="str">
        <f aca="false">IF($E1603="","",SUMIFS($E$6:$E$2405,$A$6:$A$2405,"&lt;="&amp;$A1603))</f>
        <v/>
      </c>
      <c r="G1603" s="57" t="str">
        <f aca="false">IF($E1603="","",IF($F1603&lt;=BankCostEnvelope*'5. Scenarios'!$B$7,1,0))</f>
        <v/>
      </c>
      <c r="H1603" s="57" t="str">
        <f aca="false">IF($D1603="","",INDEX(BookRate,1598)*(1+'5. Scenarios'!$B$10)*(INDEX(BookQ1,1598)*(5-MIN(4,1+'5. Scenarios'!$B$8))/4+INDEX(BookQ2,1598)*(5-MIN(4,2+'5. Scenarios'!$B$8))/4+INDEX(BookQ3,1598)*(5-MIN(4,3+'5. Scenarios'!$B$8))/4+INDEX(BookQ4,1598)*(5-MIN(4,4+'5. Scenarios'!$B$8))/4)*'5. Scenarios'!$B$6/(1+ProductivityDefault*('5. Scenarios'!$B$11-1))+INDEX(BookOneOff,1598)*$D1603)</f>
        <v/>
      </c>
      <c r="I1603" s="56" t="str">
        <f aca="false">IF(INDEX(BookTitle,1598)="","",INDEX(BookTotal,1598)*'5. Scenarios'!$C$6/(1+ProductivityDefault*('5. Scenarios'!$C$11-1)))</f>
        <v/>
      </c>
      <c r="J1603" s="57" t="str">
        <f aca="false">IF($I1603="","",INDEX(BookRate,1598)*(1+'5. Scenarios'!$C$10)*$I1603)</f>
        <v/>
      </c>
      <c r="K1603" s="57" t="str">
        <f aca="false">IF($J1603="","",SUMIFS($J$6:$J$2405,$A$6:$A$2405,"&lt;="&amp;$A1603))</f>
        <v/>
      </c>
      <c r="L1603" s="57" t="str">
        <f aca="false">IF($J1603="","",IF($K1603&lt;=BankCostEnvelope*'5. Scenarios'!$C$7,1,0))</f>
        <v/>
      </c>
      <c r="M1603" s="57" t="str">
        <f aca="false">IF($I1603="","",INDEX(BookRate,1598)*(1+'5. Scenarios'!$C$10)*(INDEX(BookQ1,1598)*(5-MIN(4,1+'5. Scenarios'!$C$8))/4+INDEX(BookQ2,1598)*(5-MIN(4,2+'5. Scenarios'!$C$8))/4+INDEX(BookQ3,1598)*(5-MIN(4,3+'5. Scenarios'!$C$8))/4+INDEX(BookQ4,1598)*(5-MIN(4,4+'5. Scenarios'!$C$8))/4)*'5. Scenarios'!$C$6/(1+ProductivityDefault*('5. Scenarios'!$C$11-1))+INDEX(BookOneOff,1598)*$I1603)</f>
        <v/>
      </c>
      <c r="N1603" s="56" t="str">
        <f aca="false">IF(INDEX(BookTitle,1598)="","",INDEX(BookTotal,1598)*'5. Scenarios'!$D$6/(1+ProductivityDefault*('5. Scenarios'!$D$11-1)))</f>
        <v/>
      </c>
      <c r="O1603" s="57" t="str">
        <f aca="false">IF($N1603="","",INDEX(BookRate,1598)*(1+'5. Scenarios'!$D$10)*$N1603)</f>
        <v/>
      </c>
      <c r="P1603" s="57" t="str">
        <f aca="false">IF($O1603="","",SUMIFS($O$6:$O$2405,$A$6:$A$2405,"&lt;="&amp;$A1603))</f>
        <v/>
      </c>
      <c r="Q1603" s="57" t="str">
        <f aca="false">IF($O1603="","",IF($P1603&lt;=BankCostEnvelope*'5. Scenarios'!$D$7,1,0))</f>
        <v/>
      </c>
      <c r="R1603" s="57" t="str">
        <f aca="false">IF($N1603="","",INDEX(BookRate,1598)*(1+'5. Scenarios'!$D$10)*(INDEX(BookQ1,1598)*(5-MIN(4,1+'5. Scenarios'!$D$8))/4+INDEX(BookQ2,1598)*(5-MIN(4,2+'5. Scenarios'!$D$8))/4+INDEX(BookQ3,1598)*(5-MIN(4,3+'5. Scenarios'!$D$8))/4+INDEX(BookQ4,1598)*(5-MIN(4,4+'5. Scenarios'!$D$8))/4)*'5. Scenarios'!$D$6/(1+ProductivityDefault*('5. Scenarios'!$D$11-1))+INDEX(BookOneOff,1598)*$N1603)</f>
        <v/>
      </c>
      <c r="S1603" s="56" t="str">
        <f aca="false">IF(INDEX(BookTitle,1598)="","",INDEX(BookTotal,1598)*'5. Scenarios'!$E$6/(1+ProductivityDefault*('5. Scenarios'!$E$11-1)))</f>
        <v/>
      </c>
      <c r="T1603" s="57" t="str">
        <f aca="false">IF($S1603="","",INDEX(BookRate,1598)*(1+'5. Scenarios'!$E$10)*$S1603)</f>
        <v/>
      </c>
      <c r="U1603" s="57" t="str">
        <f aca="false">IF($T1603="","",SUMIFS($T$6:$T$2405,$A$6:$A$2405,"&lt;="&amp;$A1603))</f>
        <v/>
      </c>
      <c r="V1603" s="57" t="str">
        <f aca="false">IF($T1603="","",IF($U1603&lt;=BankCostEnvelope*'5. Scenarios'!$E$7,1,0))</f>
        <v/>
      </c>
      <c r="W1603" s="57" t="str">
        <f aca="false">IF($S1603="","",INDEX(BookRate,1598)*(1+'5. Scenarios'!$E$10)*(INDEX(BookQ1,1598)*(5-MIN(4,1+'5. Scenarios'!$E$8))/4+INDEX(BookQ2,1598)*(5-MIN(4,2+'5. Scenarios'!$E$8))/4+INDEX(BookQ3,1598)*(5-MIN(4,3+'5. Scenarios'!$E$8))/4+INDEX(BookQ4,1598)*(5-MIN(4,4+'5. Scenarios'!$E$8))/4)*'5. Scenarios'!$E$6/(1+ProductivityDefault*('5. Scenarios'!$E$11-1))+INDEX(BookOneOff,1598)*$S1603)</f>
        <v/>
      </c>
    </row>
    <row r="1604" customFormat="false" ht="15" hidden="false" customHeight="false" outlineLevel="0" collapsed="false">
      <c r="A1604" s="0" t="str">
        <f aca="false">IF(INDEX(BookTitle,1599)="","",INDEX(BookKey,1599))</f>
        <v/>
      </c>
      <c r="B1604" s="0" t="str">
        <f aca="false">IF(INDEX(BookTitle,1599)="","",INDEX(BookGroup,1599))</f>
        <v/>
      </c>
      <c r="C1604" s="0" t="str">
        <f aca="false">IF(INDEX(BookTitle,1599)="","",INDEX(BookCategory,1599))</f>
        <v/>
      </c>
      <c r="D1604" s="56" t="str">
        <f aca="false">IF(INDEX(BookTitle,1599)="","",INDEX(BookTotal,1599)*'5. Scenarios'!$B$6/(1+ProductivityDefault*('5. Scenarios'!$B$11-1)))</f>
        <v/>
      </c>
      <c r="E1604" s="57" t="str">
        <f aca="false">IF($D1604="","",INDEX(BookRate,1599)*(1+'5. Scenarios'!$B$10)*$D1604)</f>
        <v/>
      </c>
      <c r="F1604" s="57" t="str">
        <f aca="false">IF($E1604="","",SUMIFS($E$6:$E$2405,$A$6:$A$2405,"&lt;="&amp;$A1604))</f>
        <v/>
      </c>
      <c r="G1604" s="57" t="str">
        <f aca="false">IF($E1604="","",IF($F1604&lt;=BankCostEnvelope*'5. Scenarios'!$B$7,1,0))</f>
        <v/>
      </c>
      <c r="H1604" s="57" t="str">
        <f aca="false">IF($D1604="","",INDEX(BookRate,1599)*(1+'5. Scenarios'!$B$10)*(INDEX(BookQ1,1599)*(5-MIN(4,1+'5. Scenarios'!$B$8))/4+INDEX(BookQ2,1599)*(5-MIN(4,2+'5. Scenarios'!$B$8))/4+INDEX(BookQ3,1599)*(5-MIN(4,3+'5. Scenarios'!$B$8))/4+INDEX(BookQ4,1599)*(5-MIN(4,4+'5. Scenarios'!$B$8))/4)*'5. Scenarios'!$B$6/(1+ProductivityDefault*('5. Scenarios'!$B$11-1))+INDEX(BookOneOff,1599)*$D1604)</f>
        <v/>
      </c>
      <c r="I1604" s="56" t="str">
        <f aca="false">IF(INDEX(BookTitle,1599)="","",INDEX(BookTotal,1599)*'5. Scenarios'!$C$6/(1+ProductivityDefault*('5. Scenarios'!$C$11-1)))</f>
        <v/>
      </c>
      <c r="J1604" s="57" t="str">
        <f aca="false">IF($I1604="","",INDEX(BookRate,1599)*(1+'5. Scenarios'!$C$10)*$I1604)</f>
        <v/>
      </c>
      <c r="K1604" s="57" t="str">
        <f aca="false">IF($J1604="","",SUMIFS($J$6:$J$2405,$A$6:$A$2405,"&lt;="&amp;$A1604))</f>
        <v/>
      </c>
      <c r="L1604" s="57" t="str">
        <f aca="false">IF($J1604="","",IF($K1604&lt;=BankCostEnvelope*'5. Scenarios'!$C$7,1,0))</f>
        <v/>
      </c>
      <c r="M1604" s="57" t="str">
        <f aca="false">IF($I1604="","",INDEX(BookRate,1599)*(1+'5. Scenarios'!$C$10)*(INDEX(BookQ1,1599)*(5-MIN(4,1+'5. Scenarios'!$C$8))/4+INDEX(BookQ2,1599)*(5-MIN(4,2+'5. Scenarios'!$C$8))/4+INDEX(BookQ3,1599)*(5-MIN(4,3+'5. Scenarios'!$C$8))/4+INDEX(BookQ4,1599)*(5-MIN(4,4+'5. Scenarios'!$C$8))/4)*'5. Scenarios'!$C$6/(1+ProductivityDefault*('5. Scenarios'!$C$11-1))+INDEX(BookOneOff,1599)*$I1604)</f>
        <v/>
      </c>
      <c r="N1604" s="56" t="str">
        <f aca="false">IF(INDEX(BookTitle,1599)="","",INDEX(BookTotal,1599)*'5. Scenarios'!$D$6/(1+ProductivityDefault*('5. Scenarios'!$D$11-1)))</f>
        <v/>
      </c>
      <c r="O1604" s="57" t="str">
        <f aca="false">IF($N1604="","",INDEX(BookRate,1599)*(1+'5. Scenarios'!$D$10)*$N1604)</f>
        <v/>
      </c>
      <c r="P1604" s="57" t="str">
        <f aca="false">IF($O1604="","",SUMIFS($O$6:$O$2405,$A$6:$A$2405,"&lt;="&amp;$A1604))</f>
        <v/>
      </c>
      <c r="Q1604" s="57" t="str">
        <f aca="false">IF($O1604="","",IF($P1604&lt;=BankCostEnvelope*'5. Scenarios'!$D$7,1,0))</f>
        <v/>
      </c>
      <c r="R1604" s="57" t="str">
        <f aca="false">IF($N1604="","",INDEX(BookRate,1599)*(1+'5. Scenarios'!$D$10)*(INDEX(BookQ1,1599)*(5-MIN(4,1+'5. Scenarios'!$D$8))/4+INDEX(BookQ2,1599)*(5-MIN(4,2+'5. Scenarios'!$D$8))/4+INDEX(BookQ3,1599)*(5-MIN(4,3+'5. Scenarios'!$D$8))/4+INDEX(BookQ4,1599)*(5-MIN(4,4+'5. Scenarios'!$D$8))/4)*'5. Scenarios'!$D$6/(1+ProductivityDefault*('5. Scenarios'!$D$11-1))+INDEX(BookOneOff,1599)*$N1604)</f>
        <v/>
      </c>
      <c r="S1604" s="56" t="str">
        <f aca="false">IF(INDEX(BookTitle,1599)="","",INDEX(BookTotal,1599)*'5. Scenarios'!$E$6/(1+ProductivityDefault*('5. Scenarios'!$E$11-1)))</f>
        <v/>
      </c>
      <c r="T1604" s="57" t="str">
        <f aca="false">IF($S1604="","",INDEX(BookRate,1599)*(1+'5. Scenarios'!$E$10)*$S1604)</f>
        <v/>
      </c>
      <c r="U1604" s="57" t="str">
        <f aca="false">IF($T1604="","",SUMIFS($T$6:$T$2405,$A$6:$A$2405,"&lt;="&amp;$A1604))</f>
        <v/>
      </c>
      <c r="V1604" s="57" t="str">
        <f aca="false">IF($T1604="","",IF($U1604&lt;=BankCostEnvelope*'5. Scenarios'!$E$7,1,0))</f>
        <v/>
      </c>
      <c r="W1604" s="57" t="str">
        <f aca="false">IF($S1604="","",INDEX(BookRate,1599)*(1+'5. Scenarios'!$E$10)*(INDEX(BookQ1,1599)*(5-MIN(4,1+'5. Scenarios'!$E$8))/4+INDEX(BookQ2,1599)*(5-MIN(4,2+'5. Scenarios'!$E$8))/4+INDEX(BookQ3,1599)*(5-MIN(4,3+'5. Scenarios'!$E$8))/4+INDEX(BookQ4,1599)*(5-MIN(4,4+'5. Scenarios'!$E$8))/4)*'5. Scenarios'!$E$6/(1+ProductivityDefault*('5. Scenarios'!$E$11-1))+INDEX(BookOneOff,1599)*$S1604)</f>
        <v/>
      </c>
    </row>
    <row r="1605" customFormat="false" ht="15" hidden="false" customHeight="false" outlineLevel="0" collapsed="false">
      <c r="A1605" s="0" t="str">
        <f aca="false">IF(INDEX(BookTitle,1600)="","",INDEX(BookKey,1600))</f>
        <v/>
      </c>
      <c r="B1605" s="0" t="str">
        <f aca="false">IF(INDEX(BookTitle,1600)="","",INDEX(BookGroup,1600))</f>
        <v/>
      </c>
      <c r="C1605" s="0" t="str">
        <f aca="false">IF(INDEX(BookTitle,1600)="","",INDEX(BookCategory,1600))</f>
        <v/>
      </c>
      <c r="D1605" s="56" t="str">
        <f aca="false">IF(INDEX(BookTitle,1600)="","",INDEX(BookTotal,1600)*'5. Scenarios'!$B$6/(1+ProductivityDefault*('5. Scenarios'!$B$11-1)))</f>
        <v/>
      </c>
      <c r="E1605" s="57" t="str">
        <f aca="false">IF($D1605="","",INDEX(BookRate,1600)*(1+'5. Scenarios'!$B$10)*$D1605)</f>
        <v/>
      </c>
      <c r="F1605" s="57" t="str">
        <f aca="false">IF($E1605="","",SUMIFS($E$6:$E$2405,$A$6:$A$2405,"&lt;="&amp;$A1605))</f>
        <v/>
      </c>
      <c r="G1605" s="57" t="str">
        <f aca="false">IF($E1605="","",IF($F1605&lt;=BankCostEnvelope*'5. Scenarios'!$B$7,1,0))</f>
        <v/>
      </c>
      <c r="H1605" s="57" t="str">
        <f aca="false">IF($D1605="","",INDEX(BookRate,1600)*(1+'5. Scenarios'!$B$10)*(INDEX(BookQ1,1600)*(5-MIN(4,1+'5. Scenarios'!$B$8))/4+INDEX(BookQ2,1600)*(5-MIN(4,2+'5. Scenarios'!$B$8))/4+INDEX(BookQ3,1600)*(5-MIN(4,3+'5. Scenarios'!$B$8))/4+INDEX(BookQ4,1600)*(5-MIN(4,4+'5. Scenarios'!$B$8))/4)*'5. Scenarios'!$B$6/(1+ProductivityDefault*('5. Scenarios'!$B$11-1))+INDEX(BookOneOff,1600)*$D1605)</f>
        <v/>
      </c>
      <c r="I1605" s="56" t="str">
        <f aca="false">IF(INDEX(BookTitle,1600)="","",INDEX(BookTotal,1600)*'5. Scenarios'!$C$6/(1+ProductivityDefault*('5. Scenarios'!$C$11-1)))</f>
        <v/>
      </c>
      <c r="J1605" s="57" t="str">
        <f aca="false">IF($I1605="","",INDEX(BookRate,1600)*(1+'5. Scenarios'!$C$10)*$I1605)</f>
        <v/>
      </c>
      <c r="K1605" s="57" t="str">
        <f aca="false">IF($J1605="","",SUMIFS($J$6:$J$2405,$A$6:$A$2405,"&lt;="&amp;$A1605))</f>
        <v/>
      </c>
      <c r="L1605" s="57" t="str">
        <f aca="false">IF($J1605="","",IF($K1605&lt;=BankCostEnvelope*'5. Scenarios'!$C$7,1,0))</f>
        <v/>
      </c>
      <c r="M1605" s="57" t="str">
        <f aca="false">IF($I1605="","",INDEX(BookRate,1600)*(1+'5. Scenarios'!$C$10)*(INDEX(BookQ1,1600)*(5-MIN(4,1+'5. Scenarios'!$C$8))/4+INDEX(BookQ2,1600)*(5-MIN(4,2+'5. Scenarios'!$C$8))/4+INDEX(BookQ3,1600)*(5-MIN(4,3+'5. Scenarios'!$C$8))/4+INDEX(BookQ4,1600)*(5-MIN(4,4+'5. Scenarios'!$C$8))/4)*'5. Scenarios'!$C$6/(1+ProductivityDefault*('5. Scenarios'!$C$11-1))+INDEX(BookOneOff,1600)*$I1605)</f>
        <v/>
      </c>
      <c r="N1605" s="56" t="str">
        <f aca="false">IF(INDEX(BookTitle,1600)="","",INDEX(BookTotal,1600)*'5. Scenarios'!$D$6/(1+ProductivityDefault*('5. Scenarios'!$D$11-1)))</f>
        <v/>
      </c>
      <c r="O1605" s="57" t="str">
        <f aca="false">IF($N1605="","",INDEX(BookRate,1600)*(1+'5. Scenarios'!$D$10)*$N1605)</f>
        <v/>
      </c>
      <c r="P1605" s="57" t="str">
        <f aca="false">IF($O1605="","",SUMIFS($O$6:$O$2405,$A$6:$A$2405,"&lt;="&amp;$A1605))</f>
        <v/>
      </c>
      <c r="Q1605" s="57" t="str">
        <f aca="false">IF($O1605="","",IF($P1605&lt;=BankCostEnvelope*'5. Scenarios'!$D$7,1,0))</f>
        <v/>
      </c>
      <c r="R1605" s="57" t="str">
        <f aca="false">IF($N1605="","",INDEX(BookRate,1600)*(1+'5. Scenarios'!$D$10)*(INDEX(BookQ1,1600)*(5-MIN(4,1+'5. Scenarios'!$D$8))/4+INDEX(BookQ2,1600)*(5-MIN(4,2+'5. Scenarios'!$D$8))/4+INDEX(BookQ3,1600)*(5-MIN(4,3+'5. Scenarios'!$D$8))/4+INDEX(BookQ4,1600)*(5-MIN(4,4+'5. Scenarios'!$D$8))/4)*'5. Scenarios'!$D$6/(1+ProductivityDefault*('5. Scenarios'!$D$11-1))+INDEX(BookOneOff,1600)*$N1605)</f>
        <v/>
      </c>
      <c r="S1605" s="56" t="str">
        <f aca="false">IF(INDEX(BookTitle,1600)="","",INDEX(BookTotal,1600)*'5. Scenarios'!$E$6/(1+ProductivityDefault*('5. Scenarios'!$E$11-1)))</f>
        <v/>
      </c>
      <c r="T1605" s="57" t="str">
        <f aca="false">IF($S1605="","",INDEX(BookRate,1600)*(1+'5. Scenarios'!$E$10)*$S1605)</f>
        <v/>
      </c>
      <c r="U1605" s="57" t="str">
        <f aca="false">IF($T1605="","",SUMIFS($T$6:$T$2405,$A$6:$A$2405,"&lt;="&amp;$A1605))</f>
        <v/>
      </c>
      <c r="V1605" s="57" t="str">
        <f aca="false">IF($T1605="","",IF($U1605&lt;=BankCostEnvelope*'5. Scenarios'!$E$7,1,0))</f>
        <v/>
      </c>
      <c r="W1605" s="57" t="str">
        <f aca="false">IF($S1605="","",INDEX(BookRate,1600)*(1+'5. Scenarios'!$E$10)*(INDEX(BookQ1,1600)*(5-MIN(4,1+'5. Scenarios'!$E$8))/4+INDEX(BookQ2,1600)*(5-MIN(4,2+'5. Scenarios'!$E$8))/4+INDEX(BookQ3,1600)*(5-MIN(4,3+'5. Scenarios'!$E$8))/4+INDEX(BookQ4,1600)*(5-MIN(4,4+'5. Scenarios'!$E$8))/4)*'5. Scenarios'!$E$6/(1+ProductivityDefault*('5. Scenarios'!$E$11-1))+INDEX(BookOneOff,1600)*$S1605)</f>
        <v/>
      </c>
    </row>
    <row r="1606" customFormat="false" ht="15" hidden="false" customHeight="false" outlineLevel="0" collapsed="false">
      <c r="A1606" s="0" t="str">
        <f aca="false">IF(INDEX(BookTitle,1601)="","",INDEX(BookKey,1601))</f>
        <v/>
      </c>
      <c r="B1606" s="0" t="str">
        <f aca="false">IF(INDEX(BookTitle,1601)="","",INDEX(BookGroup,1601))</f>
        <v/>
      </c>
      <c r="C1606" s="0" t="str">
        <f aca="false">IF(INDEX(BookTitle,1601)="","",INDEX(BookCategory,1601))</f>
        <v/>
      </c>
      <c r="D1606" s="56" t="str">
        <f aca="false">IF(INDEX(BookTitle,1601)="","",INDEX(BookTotal,1601)*'5. Scenarios'!$B$6/(1+ProductivityDefault*('5. Scenarios'!$B$11-1)))</f>
        <v/>
      </c>
      <c r="E1606" s="57" t="str">
        <f aca="false">IF($D1606="","",INDEX(BookRate,1601)*(1+'5. Scenarios'!$B$10)*$D1606)</f>
        <v/>
      </c>
      <c r="F1606" s="57" t="str">
        <f aca="false">IF($E1606="","",SUMIFS($E$6:$E$2405,$A$6:$A$2405,"&lt;="&amp;$A1606))</f>
        <v/>
      </c>
      <c r="G1606" s="57" t="str">
        <f aca="false">IF($E1606="","",IF($F1606&lt;=BankCostEnvelope*'5. Scenarios'!$B$7,1,0))</f>
        <v/>
      </c>
      <c r="H1606" s="57" t="str">
        <f aca="false">IF($D1606="","",INDEX(BookRate,1601)*(1+'5. Scenarios'!$B$10)*(INDEX(BookQ1,1601)*(5-MIN(4,1+'5. Scenarios'!$B$8))/4+INDEX(BookQ2,1601)*(5-MIN(4,2+'5. Scenarios'!$B$8))/4+INDEX(BookQ3,1601)*(5-MIN(4,3+'5. Scenarios'!$B$8))/4+INDEX(BookQ4,1601)*(5-MIN(4,4+'5. Scenarios'!$B$8))/4)*'5. Scenarios'!$B$6/(1+ProductivityDefault*('5. Scenarios'!$B$11-1))+INDEX(BookOneOff,1601)*$D1606)</f>
        <v/>
      </c>
      <c r="I1606" s="56" t="str">
        <f aca="false">IF(INDEX(BookTitle,1601)="","",INDEX(BookTotal,1601)*'5. Scenarios'!$C$6/(1+ProductivityDefault*('5. Scenarios'!$C$11-1)))</f>
        <v/>
      </c>
      <c r="J1606" s="57" t="str">
        <f aca="false">IF($I1606="","",INDEX(BookRate,1601)*(1+'5. Scenarios'!$C$10)*$I1606)</f>
        <v/>
      </c>
      <c r="K1606" s="57" t="str">
        <f aca="false">IF($J1606="","",SUMIFS($J$6:$J$2405,$A$6:$A$2405,"&lt;="&amp;$A1606))</f>
        <v/>
      </c>
      <c r="L1606" s="57" t="str">
        <f aca="false">IF($J1606="","",IF($K1606&lt;=BankCostEnvelope*'5. Scenarios'!$C$7,1,0))</f>
        <v/>
      </c>
      <c r="M1606" s="57" t="str">
        <f aca="false">IF($I1606="","",INDEX(BookRate,1601)*(1+'5. Scenarios'!$C$10)*(INDEX(BookQ1,1601)*(5-MIN(4,1+'5. Scenarios'!$C$8))/4+INDEX(BookQ2,1601)*(5-MIN(4,2+'5. Scenarios'!$C$8))/4+INDEX(BookQ3,1601)*(5-MIN(4,3+'5. Scenarios'!$C$8))/4+INDEX(BookQ4,1601)*(5-MIN(4,4+'5. Scenarios'!$C$8))/4)*'5. Scenarios'!$C$6/(1+ProductivityDefault*('5. Scenarios'!$C$11-1))+INDEX(BookOneOff,1601)*$I1606)</f>
        <v/>
      </c>
      <c r="N1606" s="56" t="str">
        <f aca="false">IF(INDEX(BookTitle,1601)="","",INDEX(BookTotal,1601)*'5. Scenarios'!$D$6/(1+ProductivityDefault*('5. Scenarios'!$D$11-1)))</f>
        <v/>
      </c>
      <c r="O1606" s="57" t="str">
        <f aca="false">IF($N1606="","",INDEX(BookRate,1601)*(1+'5. Scenarios'!$D$10)*$N1606)</f>
        <v/>
      </c>
      <c r="P1606" s="57" t="str">
        <f aca="false">IF($O1606="","",SUMIFS($O$6:$O$2405,$A$6:$A$2405,"&lt;="&amp;$A1606))</f>
        <v/>
      </c>
      <c r="Q1606" s="57" t="str">
        <f aca="false">IF($O1606="","",IF($P1606&lt;=BankCostEnvelope*'5. Scenarios'!$D$7,1,0))</f>
        <v/>
      </c>
      <c r="R1606" s="57" t="str">
        <f aca="false">IF($N1606="","",INDEX(BookRate,1601)*(1+'5. Scenarios'!$D$10)*(INDEX(BookQ1,1601)*(5-MIN(4,1+'5. Scenarios'!$D$8))/4+INDEX(BookQ2,1601)*(5-MIN(4,2+'5. Scenarios'!$D$8))/4+INDEX(BookQ3,1601)*(5-MIN(4,3+'5. Scenarios'!$D$8))/4+INDEX(BookQ4,1601)*(5-MIN(4,4+'5. Scenarios'!$D$8))/4)*'5. Scenarios'!$D$6/(1+ProductivityDefault*('5. Scenarios'!$D$11-1))+INDEX(BookOneOff,1601)*$N1606)</f>
        <v/>
      </c>
      <c r="S1606" s="56" t="str">
        <f aca="false">IF(INDEX(BookTitle,1601)="","",INDEX(BookTotal,1601)*'5. Scenarios'!$E$6/(1+ProductivityDefault*('5. Scenarios'!$E$11-1)))</f>
        <v/>
      </c>
      <c r="T1606" s="57" t="str">
        <f aca="false">IF($S1606="","",INDEX(BookRate,1601)*(1+'5. Scenarios'!$E$10)*$S1606)</f>
        <v/>
      </c>
      <c r="U1606" s="57" t="str">
        <f aca="false">IF($T1606="","",SUMIFS($T$6:$T$2405,$A$6:$A$2405,"&lt;="&amp;$A1606))</f>
        <v/>
      </c>
      <c r="V1606" s="57" t="str">
        <f aca="false">IF($T1606="","",IF($U1606&lt;=BankCostEnvelope*'5. Scenarios'!$E$7,1,0))</f>
        <v/>
      </c>
      <c r="W1606" s="57" t="str">
        <f aca="false">IF($S1606="","",INDEX(BookRate,1601)*(1+'5. Scenarios'!$E$10)*(INDEX(BookQ1,1601)*(5-MIN(4,1+'5. Scenarios'!$E$8))/4+INDEX(BookQ2,1601)*(5-MIN(4,2+'5. Scenarios'!$E$8))/4+INDEX(BookQ3,1601)*(5-MIN(4,3+'5. Scenarios'!$E$8))/4+INDEX(BookQ4,1601)*(5-MIN(4,4+'5. Scenarios'!$E$8))/4)*'5. Scenarios'!$E$6/(1+ProductivityDefault*('5. Scenarios'!$E$11-1))+INDEX(BookOneOff,1601)*$S1606)</f>
        <v/>
      </c>
    </row>
    <row r="1607" customFormat="false" ht="15" hidden="false" customHeight="false" outlineLevel="0" collapsed="false">
      <c r="A1607" s="0" t="str">
        <f aca="false">IF(INDEX(BookTitle,1602)="","",INDEX(BookKey,1602))</f>
        <v/>
      </c>
      <c r="B1607" s="0" t="str">
        <f aca="false">IF(INDEX(BookTitle,1602)="","",INDEX(BookGroup,1602))</f>
        <v/>
      </c>
      <c r="C1607" s="0" t="str">
        <f aca="false">IF(INDEX(BookTitle,1602)="","",INDEX(BookCategory,1602))</f>
        <v/>
      </c>
      <c r="D1607" s="56" t="str">
        <f aca="false">IF(INDEX(BookTitle,1602)="","",INDEX(BookTotal,1602)*'5. Scenarios'!$B$6/(1+ProductivityDefault*('5. Scenarios'!$B$11-1)))</f>
        <v/>
      </c>
      <c r="E1607" s="57" t="str">
        <f aca="false">IF($D1607="","",INDEX(BookRate,1602)*(1+'5. Scenarios'!$B$10)*$D1607)</f>
        <v/>
      </c>
      <c r="F1607" s="57" t="str">
        <f aca="false">IF($E1607="","",SUMIFS($E$6:$E$2405,$A$6:$A$2405,"&lt;="&amp;$A1607))</f>
        <v/>
      </c>
      <c r="G1607" s="57" t="str">
        <f aca="false">IF($E1607="","",IF($F1607&lt;=BankCostEnvelope*'5. Scenarios'!$B$7,1,0))</f>
        <v/>
      </c>
      <c r="H1607" s="57" t="str">
        <f aca="false">IF($D1607="","",INDEX(BookRate,1602)*(1+'5. Scenarios'!$B$10)*(INDEX(BookQ1,1602)*(5-MIN(4,1+'5. Scenarios'!$B$8))/4+INDEX(BookQ2,1602)*(5-MIN(4,2+'5. Scenarios'!$B$8))/4+INDEX(BookQ3,1602)*(5-MIN(4,3+'5. Scenarios'!$B$8))/4+INDEX(BookQ4,1602)*(5-MIN(4,4+'5. Scenarios'!$B$8))/4)*'5. Scenarios'!$B$6/(1+ProductivityDefault*('5. Scenarios'!$B$11-1))+INDEX(BookOneOff,1602)*$D1607)</f>
        <v/>
      </c>
      <c r="I1607" s="56" t="str">
        <f aca="false">IF(INDEX(BookTitle,1602)="","",INDEX(BookTotal,1602)*'5. Scenarios'!$C$6/(1+ProductivityDefault*('5. Scenarios'!$C$11-1)))</f>
        <v/>
      </c>
      <c r="J1607" s="57" t="str">
        <f aca="false">IF($I1607="","",INDEX(BookRate,1602)*(1+'5. Scenarios'!$C$10)*$I1607)</f>
        <v/>
      </c>
      <c r="K1607" s="57" t="str">
        <f aca="false">IF($J1607="","",SUMIFS($J$6:$J$2405,$A$6:$A$2405,"&lt;="&amp;$A1607))</f>
        <v/>
      </c>
      <c r="L1607" s="57" t="str">
        <f aca="false">IF($J1607="","",IF($K1607&lt;=BankCostEnvelope*'5. Scenarios'!$C$7,1,0))</f>
        <v/>
      </c>
      <c r="M1607" s="57" t="str">
        <f aca="false">IF($I1607="","",INDEX(BookRate,1602)*(1+'5. Scenarios'!$C$10)*(INDEX(BookQ1,1602)*(5-MIN(4,1+'5. Scenarios'!$C$8))/4+INDEX(BookQ2,1602)*(5-MIN(4,2+'5. Scenarios'!$C$8))/4+INDEX(BookQ3,1602)*(5-MIN(4,3+'5. Scenarios'!$C$8))/4+INDEX(BookQ4,1602)*(5-MIN(4,4+'5. Scenarios'!$C$8))/4)*'5. Scenarios'!$C$6/(1+ProductivityDefault*('5. Scenarios'!$C$11-1))+INDEX(BookOneOff,1602)*$I1607)</f>
        <v/>
      </c>
      <c r="N1607" s="56" t="str">
        <f aca="false">IF(INDEX(BookTitle,1602)="","",INDEX(BookTotal,1602)*'5. Scenarios'!$D$6/(1+ProductivityDefault*('5. Scenarios'!$D$11-1)))</f>
        <v/>
      </c>
      <c r="O1607" s="57" t="str">
        <f aca="false">IF($N1607="","",INDEX(BookRate,1602)*(1+'5. Scenarios'!$D$10)*$N1607)</f>
        <v/>
      </c>
      <c r="P1607" s="57" t="str">
        <f aca="false">IF($O1607="","",SUMIFS($O$6:$O$2405,$A$6:$A$2405,"&lt;="&amp;$A1607))</f>
        <v/>
      </c>
      <c r="Q1607" s="57" t="str">
        <f aca="false">IF($O1607="","",IF($P1607&lt;=BankCostEnvelope*'5. Scenarios'!$D$7,1,0))</f>
        <v/>
      </c>
      <c r="R1607" s="57" t="str">
        <f aca="false">IF($N1607="","",INDEX(BookRate,1602)*(1+'5. Scenarios'!$D$10)*(INDEX(BookQ1,1602)*(5-MIN(4,1+'5. Scenarios'!$D$8))/4+INDEX(BookQ2,1602)*(5-MIN(4,2+'5. Scenarios'!$D$8))/4+INDEX(BookQ3,1602)*(5-MIN(4,3+'5. Scenarios'!$D$8))/4+INDEX(BookQ4,1602)*(5-MIN(4,4+'5. Scenarios'!$D$8))/4)*'5. Scenarios'!$D$6/(1+ProductivityDefault*('5. Scenarios'!$D$11-1))+INDEX(BookOneOff,1602)*$N1607)</f>
        <v/>
      </c>
      <c r="S1607" s="56" t="str">
        <f aca="false">IF(INDEX(BookTitle,1602)="","",INDEX(BookTotal,1602)*'5. Scenarios'!$E$6/(1+ProductivityDefault*('5. Scenarios'!$E$11-1)))</f>
        <v/>
      </c>
      <c r="T1607" s="57" t="str">
        <f aca="false">IF($S1607="","",INDEX(BookRate,1602)*(1+'5. Scenarios'!$E$10)*$S1607)</f>
        <v/>
      </c>
      <c r="U1607" s="57" t="str">
        <f aca="false">IF($T1607="","",SUMIFS($T$6:$T$2405,$A$6:$A$2405,"&lt;="&amp;$A1607))</f>
        <v/>
      </c>
      <c r="V1607" s="57" t="str">
        <f aca="false">IF($T1607="","",IF($U1607&lt;=BankCostEnvelope*'5. Scenarios'!$E$7,1,0))</f>
        <v/>
      </c>
      <c r="W1607" s="57" t="str">
        <f aca="false">IF($S1607="","",INDEX(BookRate,1602)*(1+'5. Scenarios'!$E$10)*(INDEX(BookQ1,1602)*(5-MIN(4,1+'5. Scenarios'!$E$8))/4+INDEX(BookQ2,1602)*(5-MIN(4,2+'5. Scenarios'!$E$8))/4+INDEX(BookQ3,1602)*(5-MIN(4,3+'5. Scenarios'!$E$8))/4+INDEX(BookQ4,1602)*(5-MIN(4,4+'5. Scenarios'!$E$8))/4)*'5. Scenarios'!$E$6/(1+ProductivityDefault*('5. Scenarios'!$E$11-1))+INDEX(BookOneOff,1602)*$S1607)</f>
        <v/>
      </c>
    </row>
    <row r="1608" customFormat="false" ht="15" hidden="false" customHeight="false" outlineLevel="0" collapsed="false">
      <c r="A1608" s="0" t="str">
        <f aca="false">IF(INDEX(BookTitle,1603)="","",INDEX(BookKey,1603))</f>
        <v/>
      </c>
      <c r="B1608" s="0" t="str">
        <f aca="false">IF(INDEX(BookTitle,1603)="","",INDEX(BookGroup,1603))</f>
        <v/>
      </c>
      <c r="C1608" s="0" t="str">
        <f aca="false">IF(INDEX(BookTitle,1603)="","",INDEX(BookCategory,1603))</f>
        <v/>
      </c>
      <c r="D1608" s="56" t="str">
        <f aca="false">IF(INDEX(BookTitle,1603)="","",INDEX(BookTotal,1603)*'5. Scenarios'!$B$6/(1+ProductivityDefault*('5. Scenarios'!$B$11-1)))</f>
        <v/>
      </c>
      <c r="E1608" s="57" t="str">
        <f aca="false">IF($D1608="","",INDEX(BookRate,1603)*(1+'5. Scenarios'!$B$10)*$D1608)</f>
        <v/>
      </c>
      <c r="F1608" s="57" t="str">
        <f aca="false">IF($E1608="","",SUMIFS($E$6:$E$2405,$A$6:$A$2405,"&lt;="&amp;$A1608))</f>
        <v/>
      </c>
      <c r="G1608" s="57" t="str">
        <f aca="false">IF($E1608="","",IF($F1608&lt;=BankCostEnvelope*'5. Scenarios'!$B$7,1,0))</f>
        <v/>
      </c>
      <c r="H1608" s="57" t="str">
        <f aca="false">IF($D1608="","",INDEX(BookRate,1603)*(1+'5. Scenarios'!$B$10)*(INDEX(BookQ1,1603)*(5-MIN(4,1+'5. Scenarios'!$B$8))/4+INDEX(BookQ2,1603)*(5-MIN(4,2+'5. Scenarios'!$B$8))/4+INDEX(BookQ3,1603)*(5-MIN(4,3+'5. Scenarios'!$B$8))/4+INDEX(BookQ4,1603)*(5-MIN(4,4+'5. Scenarios'!$B$8))/4)*'5. Scenarios'!$B$6/(1+ProductivityDefault*('5. Scenarios'!$B$11-1))+INDEX(BookOneOff,1603)*$D1608)</f>
        <v/>
      </c>
      <c r="I1608" s="56" t="str">
        <f aca="false">IF(INDEX(BookTitle,1603)="","",INDEX(BookTotal,1603)*'5. Scenarios'!$C$6/(1+ProductivityDefault*('5. Scenarios'!$C$11-1)))</f>
        <v/>
      </c>
      <c r="J1608" s="57" t="str">
        <f aca="false">IF($I1608="","",INDEX(BookRate,1603)*(1+'5. Scenarios'!$C$10)*$I1608)</f>
        <v/>
      </c>
      <c r="K1608" s="57" t="str">
        <f aca="false">IF($J1608="","",SUMIFS($J$6:$J$2405,$A$6:$A$2405,"&lt;="&amp;$A1608))</f>
        <v/>
      </c>
      <c r="L1608" s="57" t="str">
        <f aca="false">IF($J1608="","",IF($K1608&lt;=BankCostEnvelope*'5. Scenarios'!$C$7,1,0))</f>
        <v/>
      </c>
      <c r="M1608" s="57" t="str">
        <f aca="false">IF($I1608="","",INDEX(BookRate,1603)*(1+'5. Scenarios'!$C$10)*(INDEX(BookQ1,1603)*(5-MIN(4,1+'5. Scenarios'!$C$8))/4+INDEX(BookQ2,1603)*(5-MIN(4,2+'5. Scenarios'!$C$8))/4+INDEX(BookQ3,1603)*(5-MIN(4,3+'5. Scenarios'!$C$8))/4+INDEX(BookQ4,1603)*(5-MIN(4,4+'5. Scenarios'!$C$8))/4)*'5. Scenarios'!$C$6/(1+ProductivityDefault*('5. Scenarios'!$C$11-1))+INDEX(BookOneOff,1603)*$I1608)</f>
        <v/>
      </c>
      <c r="N1608" s="56" t="str">
        <f aca="false">IF(INDEX(BookTitle,1603)="","",INDEX(BookTotal,1603)*'5. Scenarios'!$D$6/(1+ProductivityDefault*('5. Scenarios'!$D$11-1)))</f>
        <v/>
      </c>
      <c r="O1608" s="57" t="str">
        <f aca="false">IF($N1608="","",INDEX(BookRate,1603)*(1+'5. Scenarios'!$D$10)*$N1608)</f>
        <v/>
      </c>
      <c r="P1608" s="57" t="str">
        <f aca="false">IF($O1608="","",SUMIFS($O$6:$O$2405,$A$6:$A$2405,"&lt;="&amp;$A1608))</f>
        <v/>
      </c>
      <c r="Q1608" s="57" t="str">
        <f aca="false">IF($O1608="","",IF($P1608&lt;=BankCostEnvelope*'5. Scenarios'!$D$7,1,0))</f>
        <v/>
      </c>
      <c r="R1608" s="57" t="str">
        <f aca="false">IF($N1608="","",INDEX(BookRate,1603)*(1+'5. Scenarios'!$D$10)*(INDEX(BookQ1,1603)*(5-MIN(4,1+'5. Scenarios'!$D$8))/4+INDEX(BookQ2,1603)*(5-MIN(4,2+'5. Scenarios'!$D$8))/4+INDEX(BookQ3,1603)*(5-MIN(4,3+'5. Scenarios'!$D$8))/4+INDEX(BookQ4,1603)*(5-MIN(4,4+'5. Scenarios'!$D$8))/4)*'5. Scenarios'!$D$6/(1+ProductivityDefault*('5. Scenarios'!$D$11-1))+INDEX(BookOneOff,1603)*$N1608)</f>
        <v/>
      </c>
      <c r="S1608" s="56" t="str">
        <f aca="false">IF(INDEX(BookTitle,1603)="","",INDEX(BookTotal,1603)*'5. Scenarios'!$E$6/(1+ProductivityDefault*('5. Scenarios'!$E$11-1)))</f>
        <v/>
      </c>
      <c r="T1608" s="57" t="str">
        <f aca="false">IF($S1608="","",INDEX(BookRate,1603)*(1+'5. Scenarios'!$E$10)*$S1608)</f>
        <v/>
      </c>
      <c r="U1608" s="57" t="str">
        <f aca="false">IF($T1608="","",SUMIFS($T$6:$T$2405,$A$6:$A$2405,"&lt;="&amp;$A1608))</f>
        <v/>
      </c>
      <c r="V1608" s="57" t="str">
        <f aca="false">IF($T1608="","",IF($U1608&lt;=BankCostEnvelope*'5. Scenarios'!$E$7,1,0))</f>
        <v/>
      </c>
      <c r="W1608" s="57" t="str">
        <f aca="false">IF($S1608="","",INDEX(BookRate,1603)*(1+'5. Scenarios'!$E$10)*(INDEX(BookQ1,1603)*(5-MIN(4,1+'5. Scenarios'!$E$8))/4+INDEX(BookQ2,1603)*(5-MIN(4,2+'5. Scenarios'!$E$8))/4+INDEX(BookQ3,1603)*(5-MIN(4,3+'5. Scenarios'!$E$8))/4+INDEX(BookQ4,1603)*(5-MIN(4,4+'5. Scenarios'!$E$8))/4)*'5. Scenarios'!$E$6/(1+ProductivityDefault*('5. Scenarios'!$E$11-1))+INDEX(BookOneOff,1603)*$S1608)</f>
        <v/>
      </c>
    </row>
    <row r="1609" customFormat="false" ht="15" hidden="false" customHeight="false" outlineLevel="0" collapsed="false">
      <c r="A1609" s="0" t="str">
        <f aca="false">IF(INDEX(BookTitle,1604)="","",INDEX(BookKey,1604))</f>
        <v/>
      </c>
      <c r="B1609" s="0" t="str">
        <f aca="false">IF(INDEX(BookTitle,1604)="","",INDEX(BookGroup,1604))</f>
        <v/>
      </c>
      <c r="C1609" s="0" t="str">
        <f aca="false">IF(INDEX(BookTitle,1604)="","",INDEX(BookCategory,1604))</f>
        <v/>
      </c>
      <c r="D1609" s="56" t="str">
        <f aca="false">IF(INDEX(BookTitle,1604)="","",INDEX(BookTotal,1604)*'5. Scenarios'!$B$6/(1+ProductivityDefault*('5. Scenarios'!$B$11-1)))</f>
        <v/>
      </c>
      <c r="E1609" s="57" t="str">
        <f aca="false">IF($D1609="","",INDEX(BookRate,1604)*(1+'5. Scenarios'!$B$10)*$D1609)</f>
        <v/>
      </c>
      <c r="F1609" s="57" t="str">
        <f aca="false">IF($E1609="","",SUMIFS($E$6:$E$2405,$A$6:$A$2405,"&lt;="&amp;$A1609))</f>
        <v/>
      </c>
      <c r="G1609" s="57" t="str">
        <f aca="false">IF($E1609="","",IF($F1609&lt;=BankCostEnvelope*'5. Scenarios'!$B$7,1,0))</f>
        <v/>
      </c>
      <c r="H1609" s="57" t="str">
        <f aca="false">IF($D1609="","",INDEX(BookRate,1604)*(1+'5. Scenarios'!$B$10)*(INDEX(BookQ1,1604)*(5-MIN(4,1+'5. Scenarios'!$B$8))/4+INDEX(BookQ2,1604)*(5-MIN(4,2+'5. Scenarios'!$B$8))/4+INDEX(BookQ3,1604)*(5-MIN(4,3+'5. Scenarios'!$B$8))/4+INDEX(BookQ4,1604)*(5-MIN(4,4+'5. Scenarios'!$B$8))/4)*'5. Scenarios'!$B$6/(1+ProductivityDefault*('5. Scenarios'!$B$11-1))+INDEX(BookOneOff,1604)*$D1609)</f>
        <v/>
      </c>
      <c r="I1609" s="56" t="str">
        <f aca="false">IF(INDEX(BookTitle,1604)="","",INDEX(BookTotal,1604)*'5. Scenarios'!$C$6/(1+ProductivityDefault*('5. Scenarios'!$C$11-1)))</f>
        <v/>
      </c>
      <c r="J1609" s="57" t="str">
        <f aca="false">IF($I1609="","",INDEX(BookRate,1604)*(1+'5. Scenarios'!$C$10)*$I1609)</f>
        <v/>
      </c>
      <c r="K1609" s="57" t="str">
        <f aca="false">IF($J1609="","",SUMIFS($J$6:$J$2405,$A$6:$A$2405,"&lt;="&amp;$A1609))</f>
        <v/>
      </c>
      <c r="L1609" s="57" t="str">
        <f aca="false">IF($J1609="","",IF($K1609&lt;=BankCostEnvelope*'5. Scenarios'!$C$7,1,0))</f>
        <v/>
      </c>
      <c r="M1609" s="57" t="str">
        <f aca="false">IF($I1609="","",INDEX(BookRate,1604)*(1+'5. Scenarios'!$C$10)*(INDEX(BookQ1,1604)*(5-MIN(4,1+'5. Scenarios'!$C$8))/4+INDEX(BookQ2,1604)*(5-MIN(4,2+'5. Scenarios'!$C$8))/4+INDEX(BookQ3,1604)*(5-MIN(4,3+'5. Scenarios'!$C$8))/4+INDEX(BookQ4,1604)*(5-MIN(4,4+'5. Scenarios'!$C$8))/4)*'5. Scenarios'!$C$6/(1+ProductivityDefault*('5. Scenarios'!$C$11-1))+INDEX(BookOneOff,1604)*$I1609)</f>
        <v/>
      </c>
      <c r="N1609" s="56" t="str">
        <f aca="false">IF(INDEX(BookTitle,1604)="","",INDEX(BookTotal,1604)*'5. Scenarios'!$D$6/(1+ProductivityDefault*('5. Scenarios'!$D$11-1)))</f>
        <v/>
      </c>
      <c r="O1609" s="57" t="str">
        <f aca="false">IF($N1609="","",INDEX(BookRate,1604)*(1+'5. Scenarios'!$D$10)*$N1609)</f>
        <v/>
      </c>
      <c r="P1609" s="57" t="str">
        <f aca="false">IF($O1609="","",SUMIFS($O$6:$O$2405,$A$6:$A$2405,"&lt;="&amp;$A1609))</f>
        <v/>
      </c>
      <c r="Q1609" s="57" t="str">
        <f aca="false">IF($O1609="","",IF($P1609&lt;=BankCostEnvelope*'5. Scenarios'!$D$7,1,0))</f>
        <v/>
      </c>
      <c r="R1609" s="57" t="str">
        <f aca="false">IF($N1609="","",INDEX(BookRate,1604)*(1+'5. Scenarios'!$D$10)*(INDEX(BookQ1,1604)*(5-MIN(4,1+'5. Scenarios'!$D$8))/4+INDEX(BookQ2,1604)*(5-MIN(4,2+'5. Scenarios'!$D$8))/4+INDEX(BookQ3,1604)*(5-MIN(4,3+'5. Scenarios'!$D$8))/4+INDEX(BookQ4,1604)*(5-MIN(4,4+'5. Scenarios'!$D$8))/4)*'5. Scenarios'!$D$6/(1+ProductivityDefault*('5. Scenarios'!$D$11-1))+INDEX(BookOneOff,1604)*$N1609)</f>
        <v/>
      </c>
      <c r="S1609" s="56" t="str">
        <f aca="false">IF(INDEX(BookTitle,1604)="","",INDEX(BookTotal,1604)*'5. Scenarios'!$E$6/(1+ProductivityDefault*('5. Scenarios'!$E$11-1)))</f>
        <v/>
      </c>
      <c r="T1609" s="57" t="str">
        <f aca="false">IF($S1609="","",INDEX(BookRate,1604)*(1+'5. Scenarios'!$E$10)*$S1609)</f>
        <v/>
      </c>
      <c r="U1609" s="57" t="str">
        <f aca="false">IF($T1609="","",SUMIFS($T$6:$T$2405,$A$6:$A$2405,"&lt;="&amp;$A1609))</f>
        <v/>
      </c>
      <c r="V1609" s="57" t="str">
        <f aca="false">IF($T1609="","",IF($U1609&lt;=BankCostEnvelope*'5. Scenarios'!$E$7,1,0))</f>
        <v/>
      </c>
      <c r="W1609" s="57" t="str">
        <f aca="false">IF($S1609="","",INDEX(BookRate,1604)*(1+'5. Scenarios'!$E$10)*(INDEX(BookQ1,1604)*(5-MIN(4,1+'5. Scenarios'!$E$8))/4+INDEX(BookQ2,1604)*(5-MIN(4,2+'5. Scenarios'!$E$8))/4+INDEX(BookQ3,1604)*(5-MIN(4,3+'5. Scenarios'!$E$8))/4+INDEX(BookQ4,1604)*(5-MIN(4,4+'5. Scenarios'!$E$8))/4)*'5. Scenarios'!$E$6/(1+ProductivityDefault*('5. Scenarios'!$E$11-1))+INDEX(BookOneOff,1604)*$S1609)</f>
        <v/>
      </c>
    </row>
    <row r="1610" customFormat="false" ht="15" hidden="false" customHeight="false" outlineLevel="0" collapsed="false">
      <c r="A1610" s="0" t="str">
        <f aca="false">IF(INDEX(BookTitle,1605)="","",INDEX(BookKey,1605))</f>
        <v/>
      </c>
      <c r="B1610" s="0" t="str">
        <f aca="false">IF(INDEX(BookTitle,1605)="","",INDEX(BookGroup,1605))</f>
        <v/>
      </c>
      <c r="C1610" s="0" t="str">
        <f aca="false">IF(INDEX(BookTitle,1605)="","",INDEX(BookCategory,1605))</f>
        <v/>
      </c>
      <c r="D1610" s="56" t="str">
        <f aca="false">IF(INDEX(BookTitle,1605)="","",INDEX(BookTotal,1605)*'5. Scenarios'!$B$6/(1+ProductivityDefault*('5. Scenarios'!$B$11-1)))</f>
        <v/>
      </c>
      <c r="E1610" s="57" t="str">
        <f aca="false">IF($D1610="","",INDEX(BookRate,1605)*(1+'5. Scenarios'!$B$10)*$D1610)</f>
        <v/>
      </c>
      <c r="F1610" s="57" t="str">
        <f aca="false">IF($E1610="","",SUMIFS($E$6:$E$2405,$A$6:$A$2405,"&lt;="&amp;$A1610))</f>
        <v/>
      </c>
      <c r="G1610" s="57" t="str">
        <f aca="false">IF($E1610="","",IF($F1610&lt;=BankCostEnvelope*'5. Scenarios'!$B$7,1,0))</f>
        <v/>
      </c>
      <c r="H1610" s="57" t="str">
        <f aca="false">IF($D1610="","",INDEX(BookRate,1605)*(1+'5. Scenarios'!$B$10)*(INDEX(BookQ1,1605)*(5-MIN(4,1+'5. Scenarios'!$B$8))/4+INDEX(BookQ2,1605)*(5-MIN(4,2+'5. Scenarios'!$B$8))/4+INDEX(BookQ3,1605)*(5-MIN(4,3+'5. Scenarios'!$B$8))/4+INDEX(BookQ4,1605)*(5-MIN(4,4+'5. Scenarios'!$B$8))/4)*'5. Scenarios'!$B$6/(1+ProductivityDefault*('5. Scenarios'!$B$11-1))+INDEX(BookOneOff,1605)*$D1610)</f>
        <v/>
      </c>
      <c r="I1610" s="56" t="str">
        <f aca="false">IF(INDEX(BookTitle,1605)="","",INDEX(BookTotal,1605)*'5. Scenarios'!$C$6/(1+ProductivityDefault*('5. Scenarios'!$C$11-1)))</f>
        <v/>
      </c>
      <c r="J1610" s="57" t="str">
        <f aca="false">IF($I1610="","",INDEX(BookRate,1605)*(1+'5. Scenarios'!$C$10)*$I1610)</f>
        <v/>
      </c>
      <c r="K1610" s="57" t="str">
        <f aca="false">IF($J1610="","",SUMIFS($J$6:$J$2405,$A$6:$A$2405,"&lt;="&amp;$A1610))</f>
        <v/>
      </c>
      <c r="L1610" s="57" t="str">
        <f aca="false">IF($J1610="","",IF($K1610&lt;=BankCostEnvelope*'5. Scenarios'!$C$7,1,0))</f>
        <v/>
      </c>
      <c r="M1610" s="57" t="str">
        <f aca="false">IF($I1610="","",INDEX(BookRate,1605)*(1+'5. Scenarios'!$C$10)*(INDEX(BookQ1,1605)*(5-MIN(4,1+'5. Scenarios'!$C$8))/4+INDEX(BookQ2,1605)*(5-MIN(4,2+'5. Scenarios'!$C$8))/4+INDEX(BookQ3,1605)*(5-MIN(4,3+'5. Scenarios'!$C$8))/4+INDEX(BookQ4,1605)*(5-MIN(4,4+'5. Scenarios'!$C$8))/4)*'5. Scenarios'!$C$6/(1+ProductivityDefault*('5. Scenarios'!$C$11-1))+INDEX(BookOneOff,1605)*$I1610)</f>
        <v/>
      </c>
      <c r="N1610" s="56" t="str">
        <f aca="false">IF(INDEX(BookTitle,1605)="","",INDEX(BookTotal,1605)*'5. Scenarios'!$D$6/(1+ProductivityDefault*('5. Scenarios'!$D$11-1)))</f>
        <v/>
      </c>
      <c r="O1610" s="57" t="str">
        <f aca="false">IF($N1610="","",INDEX(BookRate,1605)*(1+'5. Scenarios'!$D$10)*$N1610)</f>
        <v/>
      </c>
      <c r="P1610" s="57" t="str">
        <f aca="false">IF($O1610="","",SUMIFS($O$6:$O$2405,$A$6:$A$2405,"&lt;="&amp;$A1610))</f>
        <v/>
      </c>
      <c r="Q1610" s="57" t="str">
        <f aca="false">IF($O1610="","",IF($P1610&lt;=BankCostEnvelope*'5. Scenarios'!$D$7,1,0))</f>
        <v/>
      </c>
      <c r="R1610" s="57" t="str">
        <f aca="false">IF($N1610="","",INDEX(BookRate,1605)*(1+'5. Scenarios'!$D$10)*(INDEX(BookQ1,1605)*(5-MIN(4,1+'5. Scenarios'!$D$8))/4+INDEX(BookQ2,1605)*(5-MIN(4,2+'5. Scenarios'!$D$8))/4+INDEX(BookQ3,1605)*(5-MIN(4,3+'5. Scenarios'!$D$8))/4+INDEX(BookQ4,1605)*(5-MIN(4,4+'5. Scenarios'!$D$8))/4)*'5. Scenarios'!$D$6/(1+ProductivityDefault*('5. Scenarios'!$D$11-1))+INDEX(BookOneOff,1605)*$N1610)</f>
        <v/>
      </c>
      <c r="S1610" s="56" t="str">
        <f aca="false">IF(INDEX(BookTitle,1605)="","",INDEX(BookTotal,1605)*'5. Scenarios'!$E$6/(1+ProductivityDefault*('5. Scenarios'!$E$11-1)))</f>
        <v/>
      </c>
      <c r="T1610" s="57" t="str">
        <f aca="false">IF($S1610="","",INDEX(BookRate,1605)*(1+'5. Scenarios'!$E$10)*$S1610)</f>
        <v/>
      </c>
      <c r="U1610" s="57" t="str">
        <f aca="false">IF($T1610="","",SUMIFS($T$6:$T$2405,$A$6:$A$2405,"&lt;="&amp;$A1610))</f>
        <v/>
      </c>
      <c r="V1610" s="57" t="str">
        <f aca="false">IF($T1610="","",IF($U1610&lt;=BankCostEnvelope*'5. Scenarios'!$E$7,1,0))</f>
        <v/>
      </c>
      <c r="W1610" s="57" t="str">
        <f aca="false">IF($S1610="","",INDEX(BookRate,1605)*(1+'5. Scenarios'!$E$10)*(INDEX(BookQ1,1605)*(5-MIN(4,1+'5. Scenarios'!$E$8))/4+INDEX(BookQ2,1605)*(5-MIN(4,2+'5. Scenarios'!$E$8))/4+INDEX(BookQ3,1605)*(5-MIN(4,3+'5. Scenarios'!$E$8))/4+INDEX(BookQ4,1605)*(5-MIN(4,4+'5. Scenarios'!$E$8))/4)*'5. Scenarios'!$E$6/(1+ProductivityDefault*('5. Scenarios'!$E$11-1))+INDEX(BookOneOff,1605)*$S1610)</f>
        <v/>
      </c>
    </row>
    <row r="1611" customFormat="false" ht="15" hidden="false" customHeight="false" outlineLevel="0" collapsed="false">
      <c r="A1611" s="0" t="str">
        <f aca="false">IF(INDEX(BookTitle,1606)="","",INDEX(BookKey,1606))</f>
        <v/>
      </c>
      <c r="B1611" s="0" t="str">
        <f aca="false">IF(INDEX(BookTitle,1606)="","",INDEX(BookGroup,1606))</f>
        <v/>
      </c>
      <c r="C1611" s="0" t="str">
        <f aca="false">IF(INDEX(BookTitle,1606)="","",INDEX(BookCategory,1606))</f>
        <v/>
      </c>
      <c r="D1611" s="56" t="str">
        <f aca="false">IF(INDEX(BookTitle,1606)="","",INDEX(BookTotal,1606)*'5. Scenarios'!$B$6/(1+ProductivityDefault*('5. Scenarios'!$B$11-1)))</f>
        <v/>
      </c>
      <c r="E1611" s="57" t="str">
        <f aca="false">IF($D1611="","",INDEX(BookRate,1606)*(1+'5. Scenarios'!$B$10)*$D1611)</f>
        <v/>
      </c>
      <c r="F1611" s="57" t="str">
        <f aca="false">IF($E1611="","",SUMIFS($E$6:$E$2405,$A$6:$A$2405,"&lt;="&amp;$A1611))</f>
        <v/>
      </c>
      <c r="G1611" s="57" t="str">
        <f aca="false">IF($E1611="","",IF($F1611&lt;=BankCostEnvelope*'5. Scenarios'!$B$7,1,0))</f>
        <v/>
      </c>
      <c r="H1611" s="57" t="str">
        <f aca="false">IF($D1611="","",INDEX(BookRate,1606)*(1+'5. Scenarios'!$B$10)*(INDEX(BookQ1,1606)*(5-MIN(4,1+'5. Scenarios'!$B$8))/4+INDEX(BookQ2,1606)*(5-MIN(4,2+'5. Scenarios'!$B$8))/4+INDEX(BookQ3,1606)*(5-MIN(4,3+'5. Scenarios'!$B$8))/4+INDEX(BookQ4,1606)*(5-MIN(4,4+'5. Scenarios'!$B$8))/4)*'5. Scenarios'!$B$6/(1+ProductivityDefault*('5. Scenarios'!$B$11-1))+INDEX(BookOneOff,1606)*$D1611)</f>
        <v/>
      </c>
      <c r="I1611" s="56" t="str">
        <f aca="false">IF(INDEX(BookTitle,1606)="","",INDEX(BookTotal,1606)*'5. Scenarios'!$C$6/(1+ProductivityDefault*('5. Scenarios'!$C$11-1)))</f>
        <v/>
      </c>
      <c r="J1611" s="57" t="str">
        <f aca="false">IF($I1611="","",INDEX(BookRate,1606)*(1+'5. Scenarios'!$C$10)*$I1611)</f>
        <v/>
      </c>
      <c r="K1611" s="57" t="str">
        <f aca="false">IF($J1611="","",SUMIFS($J$6:$J$2405,$A$6:$A$2405,"&lt;="&amp;$A1611))</f>
        <v/>
      </c>
      <c r="L1611" s="57" t="str">
        <f aca="false">IF($J1611="","",IF($K1611&lt;=BankCostEnvelope*'5. Scenarios'!$C$7,1,0))</f>
        <v/>
      </c>
      <c r="M1611" s="57" t="str">
        <f aca="false">IF($I1611="","",INDEX(BookRate,1606)*(1+'5. Scenarios'!$C$10)*(INDEX(BookQ1,1606)*(5-MIN(4,1+'5. Scenarios'!$C$8))/4+INDEX(BookQ2,1606)*(5-MIN(4,2+'5. Scenarios'!$C$8))/4+INDEX(BookQ3,1606)*(5-MIN(4,3+'5. Scenarios'!$C$8))/4+INDEX(BookQ4,1606)*(5-MIN(4,4+'5. Scenarios'!$C$8))/4)*'5. Scenarios'!$C$6/(1+ProductivityDefault*('5. Scenarios'!$C$11-1))+INDEX(BookOneOff,1606)*$I1611)</f>
        <v/>
      </c>
      <c r="N1611" s="56" t="str">
        <f aca="false">IF(INDEX(BookTitle,1606)="","",INDEX(BookTotal,1606)*'5. Scenarios'!$D$6/(1+ProductivityDefault*('5. Scenarios'!$D$11-1)))</f>
        <v/>
      </c>
      <c r="O1611" s="57" t="str">
        <f aca="false">IF($N1611="","",INDEX(BookRate,1606)*(1+'5. Scenarios'!$D$10)*$N1611)</f>
        <v/>
      </c>
      <c r="P1611" s="57" t="str">
        <f aca="false">IF($O1611="","",SUMIFS($O$6:$O$2405,$A$6:$A$2405,"&lt;="&amp;$A1611))</f>
        <v/>
      </c>
      <c r="Q1611" s="57" t="str">
        <f aca="false">IF($O1611="","",IF($P1611&lt;=BankCostEnvelope*'5. Scenarios'!$D$7,1,0))</f>
        <v/>
      </c>
      <c r="R1611" s="57" t="str">
        <f aca="false">IF($N1611="","",INDEX(BookRate,1606)*(1+'5. Scenarios'!$D$10)*(INDEX(BookQ1,1606)*(5-MIN(4,1+'5. Scenarios'!$D$8))/4+INDEX(BookQ2,1606)*(5-MIN(4,2+'5. Scenarios'!$D$8))/4+INDEX(BookQ3,1606)*(5-MIN(4,3+'5. Scenarios'!$D$8))/4+INDEX(BookQ4,1606)*(5-MIN(4,4+'5. Scenarios'!$D$8))/4)*'5. Scenarios'!$D$6/(1+ProductivityDefault*('5. Scenarios'!$D$11-1))+INDEX(BookOneOff,1606)*$N1611)</f>
        <v/>
      </c>
      <c r="S1611" s="56" t="str">
        <f aca="false">IF(INDEX(BookTitle,1606)="","",INDEX(BookTotal,1606)*'5. Scenarios'!$E$6/(1+ProductivityDefault*('5. Scenarios'!$E$11-1)))</f>
        <v/>
      </c>
      <c r="T1611" s="57" t="str">
        <f aca="false">IF($S1611="","",INDEX(BookRate,1606)*(1+'5. Scenarios'!$E$10)*$S1611)</f>
        <v/>
      </c>
      <c r="U1611" s="57" t="str">
        <f aca="false">IF($T1611="","",SUMIFS($T$6:$T$2405,$A$6:$A$2405,"&lt;="&amp;$A1611))</f>
        <v/>
      </c>
      <c r="V1611" s="57" t="str">
        <f aca="false">IF($T1611="","",IF($U1611&lt;=BankCostEnvelope*'5. Scenarios'!$E$7,1,0))</f>
        <v/>
      </c>
      <c r="W1611" s="57" t="str">
        <f aca="false">IF($S1611="","",INDEX(BookRate,1606)*(1+'5. Scenarios'!$E$10)*(INDEX(BookQ1,1606)*(5-MIN(4,1+'5. Scenarios'!$E$8))/4+INDEX(BookQ2,1606)*(5-MIN(4,2+'5. Scenarios'!$E$8))/4+INDEX(BookQ3,1606)*(5-MIN(4,3+'5. Scenarios'!$E$8))/4+INDEX(BookQ4,1606)*(5-MIN(4,4+'5. Scenarios'!$E$8))/4)*'5. Scenarios'!$E$6/(1+ProductivityDefault*('5. Scenarios'!$E$11-1))+INDEX(BookOneOff,1606)*$S1611)</f>
        <v/>
      </c>
    </row>
    <row r="1612" customFormat="false" ht="15" hidden="false" customHeight="false" outlineLevel="0" collapsed="false">
      <c r="A1612" s="0" t="str">
        <f aca="false">IF(INDEX(BookTitle,1607)="","",INDEX(BookKey,1607))</f>
        <v/>
      </c>
      <c r="B1612" s="0" t="str">
        <f aca="false">IF(INDEX(BookTitle,1607)="","",INDEX(BookGroup,1607))</f>
        <v/>
      </c>
      <c r="C1612" s="0" t="str">
        <f aca="false">IF(INDEX(BookTitle,1607)="","",INDEX(BookCategory,1607))</f>
        <v/>
      </c>
      <c r="D1612" s="56" t="str">
        <f aca="false">IF(INDEX(BookTitle,1607)="","",INDEX(BookTotal,1607)*'5. Scenarios'!$B$6/(1+ProductivityDefault*('5. Scenarios'!$B$11-1)))</f>
        <v/>
      </c>
      <c r="E1612" s="57" t="str">
        <f aca="false">IF($D1612="","",INDEX(BookRate,1607)*(1+'5. Scenarios'!$B$10)*$D1612)</f>
        <v/>
      </c>
      <c r="F1612" s="57" t="str">
        <f aca="false">IF($E1612="","",SUMIFS($E$6:$E$2405,$A$6:$A$2405,"&lt;="&amp;$A1612))</f>
        <v/>
      </c>
      <c r="G1612" s="57" t="str">
        <f aca="false">IF($E1612="","",IF($F1612&lt;=BankCostEnvelope*'5. Scenarios'!$B$7,1,0))</f>
        <v/>
      </c>
      <c r="H1612" s="57" t="str">
        <f aca="false">IF($D1612="","",INDEX(BookRate,1607)*(1+'5. Scenarios'!$B$10)*(INDEX(BookQ1,1607)*(5-MIN(4,1+'5. Scenarios'!$B$8))/4+INDEX(BookQ2,1607)*(5-MIN(4,2+'5. Scenarios'!$B$8))/4+INDEX(BookQ3,1607)*(5-MIN(4,3+'5. Scenarios'!$B$8))/4+INDEX(BookQ4,1607)*(5-MIN(4,4+'5. Scenarios'!$B$8))/4)*'5. Scenarios'!$B$6/(1+ProductivityDefault*('5. Scenarios'!$B$11-1))+INDEX(BookOneOff,1607)*$D1612)</f>
        <v/>
      </c>
      <c r="I1612" s="56" t="str">
        <f aca="false">IF(INDEX(BookTitle,1607)="","",INDEX(BookTotal,1607)*'5. Scenarios'!$C$6/(1+ProductivityDefault*('5. Scenarios'!$C$11-1)))</f>
        <v/>
      </c>
      <c r="J1612" s="57" t="str">
        <f aca="false">IF($I1612="","",INDEX(BookRate,1607)*(1+'5. Scenarios'!$C$10)*$I1612)</f>
        <v/>
      </c>
      <c r="K1612" s="57" t="str">
        <f aca="false">IF($J1612="","",SUMIFS($J$6:$J$2405,$A$6:$A$2405,"&lt;="&amp;$A1612))</f>
        <v/>
      </c>
      <c r="L1612" s="57" t="str">
        <f aca="false">IF($J1612="","",IF($K1612&lt;=BankCostEnvelope*'5. Scenarios'!$C$7,1,0))</f>
        <v/>
      </c>
      <c r="M1612" s="57" t="str">
        <f aca="false">IF($I1612="","",INDEX(BookRate,1607)*(1+'5. Scenarios'!$C$10)*(INDEX(BookQ1,1607)*(5-MIN(4,1+'5. Scenarios'!$C$8))/4+INDEX(BookQ2,1607)*(5-MIN(4,2+'5. Scenarios'!$C$8))/4+INDEX(BookQ3,1607)*(5-MIN(4,3+'5. Scenarios'!$C$8))/4+INDEX(BookQ4,1607)*(5-MIN(4,4+'5. Scenarios'!$C$8))/4)*'5. Scenarios'!$C$6/(1+ProductivityDefault*('5. Scenarios'!$C$11-1))+INDEX(BookOneOff,1607)*$I1612)</f>
        <v/>
      </c>
      <c r="N1612" s="56" t="str">
        <f aca="false">IF(INDEX(BookTitle,1607)="","",INDEX(BookTotal,1607)*'5. Scenarios'!$D$6/(1+ProductivityDefault*('5. Scenarios'!$D$11-1)))</f>
        <v/>
      </c>
      <c r="O1612" s="57" t="str">
        <f aca="false">IF($N1612="","",INDEX(BookRate,1607)*(1+'5. Scenarios'!$D$10)*$N1612)</f>
        <v/>
      </c>
      <c r="P1612" s="57" t="str">
        <f aca="false">IF($O1612="","",SUMIFS($O$6:$O$2405,$A$6:$A$2405,"&lt;="&amp;$A1612))</f>
        <v/>
      </c>
      <c r="Q1612" s="57" t="str">
        <f aca="false">IF($O1612="","",IF($P1612&lt;=BankCostEnvelope*'5. Scenarios'!$D$7,1,0))</f>
        <v/>
      </c>
      <c r="R1612" s="57" t="str">
        <f aca="false">IF($N1612="","",INDEX(BookRate,1607)*(1+'5. Scenarios'!$D$10)*(INDEX(BookQ1,1607)*(5-MIN(4,1+'5. Scenarios'!$D$8))/4+INDEX(BookQ2,1607)*(5-MIN(4,2+'5. Scenarios'!$D$8))/4+INDEX(BookQ3,1607)*(5-MIN(4,3+'5. Scenarios'!$D$8))/4+INDEX(BookQ4,1607)*(5-MIN(4,4+'5. Scenarios'!$D$8))/4)*'5. Scenarios'!$D$6/(1+ProductivityDefault*('5. Scenarios'!$D$11-1))+INDEX(BookOneOff,1607)*$N1612)</f>
        <v/>
      </c>
      <c r="S1612" s="56" t="str">
        <f aca="false">IF(INDEX(BookTitle,1607)="","",INDEX(BookTotal,1607)*'5. Scenarios'!$E$6/(1+ProductivityDefault*('5. Scenarios'!$E$11-1)))</f>
        <v/>
      </c>
      <c r="T1612" s="57" t="str">
        <f aca="false">IF($S1612="","",INDEX(BookRate,1607)*(1+'5. Scenarios'!$E$10)*$S1612)</f>
        <v/>
      </c>
      <c r="U1612" s="57" t="str">
        <f aca="false">IF($T1612="","",SUMIFS($T$6:$T$2405,$A$6:$A$2405,"&lt;="&amp;$A1612))</f>
        <v/>
      </c>
      <c r="V1612" s="57" t="str">
        <f aca="false">IF($T1612="","",IF($U1612&lt;=BankCostEnvelope*'5. Scenarios'!$E$7,1,0))</f>
        <v/>
      </c>
      <c r="W1612" s="57" t="str">
        <f aca="false">IF($S1612="","",INDEX(BookRate,1607)*(1+'5. Scenarios'!$E$10)*(INDEX(BookQ1,1607)*(5-MIN(4,1+'5. Scenarios'!$E$8))/4+INDEX(BookQ2,1607)*(5-MIN(4,2+'5. Scenarios'!$E$8))/4+INDEX(BookQ3,1607)*(5-MIN(4,3+'5. Scenarios'!$E$8))/4+INDEX(BookQ4,1607)*(5-MIN(4,4+'5. Scenarios'!$E$8))/4)*'5. Scenarios'!$E$6/(1+ProductivityDefault*('5. Scenarios'!$E$11-1))+INDEX(BookOneOff,1607)*$S1612)</f>
        <v/>
      </c>
    </row>
    <row r="1613" customFormat="false" ht="15" hidden="false" customHeight="false" outlineLevel="0" collapsed="false">
      <c r="A1613" s="0" t="str">
        <f aca="false">IF(INDEX(BookTitle,1608)="","",INDEX(BookKey,1608))</f>
        <v/>
      </c>
      <c r="B1613" s="0" t="str">
        <f aca="false">IF(INDEX(BookTitle,1608)="","",INDEX(BookGroup,1608))</f>
        <v/>
      </c>
      <c r="C1613" s="0" t="str">
        <f aca="false">IF(INDEX(BookTitle,1608)="","",INDEX(BookCategory,1608))</f>
        <v/>
      </c>
      <c r="D1613" s="56" t="str">
        <f aca="false">IF(INDEX(BookTitle,1608)="","",INDEX(BookTotal,1608)*'5. Scenarios'!$B$6/(1+ProductivityDefault*('5. Scenarios'!$B$11-1)))</f>
        <v/>
      </c>
      <c r="E1613" s="57" t="str">
        <f aca="false">IF($D1613="","",INDEX(BookRate,1608)*(1+'5. Scenarios'!$B$10)*$D1613)</f>
        <v/>
      </c>
      <c r="F1613" s="57" t="str">
        <f aca="false">IF($E1613="","",SUMIFS($E$6:$E$2405,$A$6:$A$2405,"&lt;="&amp;$A1613))</f>
        <v/>
      </c>
      <c r="G1613" s="57" t="str">
        <f aca="false">IF($E1613="","",IF($F1613&lt;=BankCostEnvelope*'5. Scenarios'!$B$7,1,0))</f>
        <v/>
      </c>
      <c r="H1613" s="57" t="str">
        <f aca="false">IF($D1613="","",INDEX(BookRate,1608)*(1+'5. Scenarios'!$B$10)*(INDEX(BookQ1,1608)*(5-MIN(4,1+'5. Scenarios'!$B$8))/4+INDEX(BookQ2,1608)*(5-MIN(4,2+'5. Scenarios'!$B$8))/4+INDEX(BookQ3,1608)*(5-MIN(4,3+'5. Scenarios'!$B$8))/4+INDEX(BookQ4,1608)*(5-MIN(4,4+'5. Scenarios'!$B$8))/4)*'5. Scenarios'!$B$6/(1+ProductivityDefault*('5. Scenarios'!$B$11-1))+INDEX(BookOneOff,1608)*$D1613)</f>
        <v/>
      </c>
      <c r="I1613" s="56" t="str">
        <f aca="false">IF(INDEX(BookTitle,1608)="","",INDEX(BookTotal,1608)*'5. Scenarios'!$C$6/(1+ProductivityDefault*('5. Scenarios'!$C$11-1)))</f>
        <v/>
      </c>
      <c r="J1613" s="57" t="str">
        <f aca="false">IF($I1613="","",INDEX(BookRate,1608)*(1+'5. Scenarios'!$C$10)*$I1613)</f>
        <v/>
      </c>
      <c r="K1613" s="57" t="str">
        <f aca="false">IF($J1613="","",SUMIFS($J$6:$J$2405,$A$6:$A$2405,"&lt;="&amp;$A1613))</f>
        <v/>
      </c>
      <c r="L1613" s="57" t="str">
        <f aca="false">IF($J1613="","",IF($K1613&lt;=BankCostEnvelope*'5. Scenarios'!$C$7,1,0))</f>
        <v/>
      </c>
      <c r="M1613" s="57" t="str">
        <f aca="false">IF($I1613="","",INDEX(BookRate,1608)*(1+'5. Scenarios'!$C$10)*(INDEX(BookQ1,1608)*(5-MIN(4,1+'5. Scenarios'!$C$8))/4+INDEX(BookQ2,1608)*(5-MIN(4,2+'5. Scenarios'!$C$8))/4+INDEX(BookQ3,1608)*(5-MIN(4,3+'5. Scenarios'!$C$8))/4+INDEX(BookQ4,1608)*(5-MIN(4,4+'5. Scenarios'!$C$8))/4)*'5. Scenarios'!$C$6/(1+ProductivityDefault*('5. Scenarios'!$C$11-1))+INDEX(BookOneOff,1608)*$I1613)</f>
        <v/>
      </c>
      <c r="N1613" s="56" t="str">
        <f aca="false">IF(INDEX(BookTitle,1608)="","",INDEX(BookTotal,1608)*'5. Scenarios'!$D$6/(1+ProductivityDefault*('5. Scenarios'!$D$11-1)))</f>
        <v/>
      </c>
      <c r="O1613" s="57" t="str">
        <f aca="false">IF($N1613="","",INDEX(BookRate,1608)*(1+'5. Scenarios'!$D$10)*$N1613)</f>
        <v/>
      </c>
      <c r="P1613" s="57" t="str">
        <f aca="false">IF($O1613="","",SUMIFS($O$6:$O$2405,$A$6:$A$2405,"&lt;="&amp;$A1613))</f>
        <v/>
      </c>
      <c r="Q1613" s="57" t="str">
        <f aca="false">IF($O1613="","",IF($P1613&lt;=BankCostEnvelope*'5. Scenarios'!$D$7,1,0))</f>
        <v/>
      </c>
      <c r="R1613" s="57" t="str">
        <f aca="false">IF($N1613="","",INDEX(BookRate,1608)*(1+'5. Scenarios'!$D$10)*(INDEX(BookQ1,1608)*(5-MIN(4,1+'5. Scenarios'!$D$8))/4+INDEX(BookQ2,1608)*(5-MIN(4,2+'5. Scenarios'!$D$8))/4+INDEX(BookQ3,1608)*(5-MIN(4,3+'5. Scenarios'!$D$8))/4+INDEX(BookQ4,1608)*(5-MIN(4,4+'5. Scenarios'!$D$8))/4)*'5. Scenarios'!$D$6/(1+ProductivityDefault*('5. Scenarios'!$D$11-1))+INDEX(BookOneOff,1608)*$N1613)</f>
        <v/>
      </c>
      <c r="S1613" s="56" t="str">
        <f aca="false">IF(INDEX(BookTitle,1608)="","",INDEX(BookTotal,1608)*'5. Scenarios'!$E$6/(1+ProductivityDefault*('5. Scenarios'!$E$11-1)))</f>
        <v/>
      </c>
      <c r="T1613" s="57" t="str">
        <f aca="false">IF($S1613="","",INDEX(BookRate,1608)*(1+'5. Scenarios'!$E$10)*$S1613)</f>
        <v/>
      </c>
      <c r="U1613" s="57" t="str">
        <f aca="false">IF($T1613="","",SUMIFS($T$6:$T$2405,$A$6:$A$2405,"&lt;="&amp;$A1613))</f>
        <v/>
      </c>
      <c r="V1613" s="57" t="str">
        <f aca="false">IF($T1613="","",IF($U1613&lt;=BankCostEnvelope*'5. Scenarios'!$E$7,1,0))</f>
        <v/>
      </c>
      <c r="W1613" s="57" t="str">
        <f aca="false">IF($S1613="","",INDEX(BookRate,1608)*(1+'5. Scenarios'!$E$10)*(INDEX(BookQ1,1608)*(5-MIN(4,1+'5. Scenarios'!$E$8))/4+INDEX(BookQ2,1608)*(5-MIN(4,2+'5. Scenarios'!$E$8))/4+INDEX(BookQ3,1608)*(5-MIN(4,3+'5. Scenarios'!$E$8))/4+INDEX(BookQ4,1608)*(5-MIN(4,4+'5. Scenarios'!$E$8))/4)*'5. Scenarios'!$E$6/(1+ProductivityDefault*('5. Scenarios'!$E$11-1))+INDEX(BookOneOff,1608)*$S1613)</f>
        <v/>
      </c>
    </row>
    <row r="1614" customFormat="false" ht="15" hidden="false" customHeight="false" outlineLevel="0" collapsed="false">
      <c r="A1614" s="0" t="str">
        <f aca="false">IF(INDEX(BookTitle,1609)="","",INDEX(BookKey,1609))</f>
        <v/>
      </c>
      <c r="B1614" s="0" t="str">
        <f aca="false">IF(INDEX(BookTitle,1609)="","",INDEX(BookGroup,1609))</f>
        <v/>
      </c>
      <c r="C1614" s="0" t="str">
        <f aca="false">IF(INDEX(BookTitle,1609)="","",INDEX(BookCategory,1609))</f>
        <v/>
      </c>
      <c r="D1614" s="56" t="str">
        <f aca="false">IF(INDEX(BookTitle,1609)="","",INDEX(BookTotal,1609)*'5. Scenarios'!$B$6/(1+ProductivityDefault*('5. Scenarios'!$B$11-1)))</f>
        <v/>
      </c>
      <c r="E1614" s="57" t="str">
        <f aca="false">IF($D1614="","",INDEX(BookRate,1609)*(1+'5. Scenarios'!$B$10)*$D1614)</f>
        <v/>
      </c>
      <c r="F1614" s="57" t="str">
        <f aca="false">IF($E1614="","",SUMIFS($E$6:$E$2405,$A$6:$A$2405,"&lt;="&amp;$A1614))</f>
        <v/>
      </c>
      <c r="G1614" s="57" t="str">
        <f aca="false">IF($E1614="","",IF($F1614&lt;=BankCostEnvelope*'5. Scenarios'!$B$7,1,0))</f>
        <v/>
      </c>
      <c r="H1614" s="57" t="str">
        <f aca="false">IF($D1614="","",INDEX(BookRate,1609)*(1+'5. Scenarios'!$B$10)*(INDEX(BookQ1,1609)*(5-MIN(4,1+'5. Scenarios'!$B$8))/4+INDEX(BookQ2,1609)*(5-MIN(4,2+'5. Scenarios'!$B$8))/4+INDEX(BookQ3,1609)*(5-MIN(4,3+'5. Scenarios'!$B$8))/4+INDEX(BookQ4,1609)*(5-MIN(4,4+'5. Scenarios'!$B$8))/4)*'5. Scenarios'!$B$6/(1+ProductivityDefault*('5. Scenarios'!$B$11-1))+INDEX(BookOneOff,1609)*$D1614)</f>
        <v/>
      </c>
      <c r="I1614" s="56" t="str">
        <f aca="false">IF(INDEX(BookTitle,1609)="","",INDEX(BookTotal,1609)*'5. Scenarios'!$C$6/(1+ProductivityDefault*('5. Scenarios'!$C$11-1)))</f>
        <v/>
      </c>
      <c r="J1614" s="57" t="str">
        <f aca="false">IF($I1614="","",INDEX(BookRate,1609)*(1+'5. Scenarios'!$C$10)*$I1614)</f>
        <v/>
      </c>
      <c r="K1614" s="57" t="str">
        <f aca="false">IF($J1614="","",SUMIFS($J$6:$J$2405,$A$6:$A$2405,"&lt;="&amp;$A1614))</f>
        <v/>
      </c>
      <c r="L1614" s="57" t="str">
        <f aca="false">IF($J1614="","",IF($K1614&lt;=BankCostEnvelope*'5. Scenarios'!$C$7,1,0))</f>
        <v/>
      </c>
      <c r="M1614" s="57" t="str">
        <f aca="false">IF($I1614="","",INDEX(BookRate,1609)*(1+'5. Scenarios'!$C$10)*(INDEX(BookQ1,1609)*(5-MIN(4,1+'5. Scenarios'!$C$8))/4+INDEX(BookQ2,1609)*(5-MIN(4,2+'5. Scenarios'!$C$8))/4+INDEX(BookQ3,1609)*(5-MIN(4,3+'5. Scenarios'!$C$8))/4+INDEX(BookQ4,1609)*(5-MIN(4,4+'5. Scenarios'!$C$8))/4)*'5. Scenarios'!$C$6/(1+ProductivityDefault*('5. Scenarios'!$C$11-1))+INDEX(BookOneOff,1609)*$I1614)</f>
        <v/>
      </c>
      <c r="N1614" s="56" t="str">
        <f aca="false">IF(INDEX(BookTitle,1609)="","",INDEX(BookTotal,1609)*'5. Scenarios'!$D$6/(1+ProductivityDefault*('5. Scenarios'!$D$11-1)))</f>
        <v/>
      </c>
      <c r="O1614" s="57" t="str">
        <f aca="false">IF($N1614="","",INDEX(BookRate,1609)*(1+'5. Scenarios'!$D$10)*$N1614)</f>
        <v/>
      </c>
      <c r="P1614" s="57" t="str">
        <f aca="false">IF($O1614="","",SUMIFS($O$6:$O$2405,$A$6:$A$2405,"&lt;="&amp;$A1614))</f>
        <v/>
      </c>
      <c r="Q1614" s="57" t="str">
        <f aca="false">IF($O1614="","",IF($P1614&lt;=BankCostEnvelope*'5. Scenarios'!$D$7,1,0))</f>
        <v/>
      </c>
      <c r="R1614" s="57" t="str">
        <f aca="false">IF($N1614="","",INDEX(BookRate,1609)*(1+'5. Scenarios'!$D$10)*(INDEX(BookQ1,1609)*(5-MIN(4,1+'5. Scenarios'!$D$8))/4+INDEX(BookQ2,1609)*(5-MIN(4,2+'5. Scenarios'!$D$8))/4+INDEX(BookQ3,1609)*(5-MIN(4,3+'5. Scenarios'!$D$8))/4+INDEX(BookQ4,1609)*(5-MIN(4,4+'5. Scenarios'!$D$8))/4)*'5. Scenarios'!$D$6/(1+ProductivityDefault*('5. Scenarios'!$D$11-1))+INDEX(BookOneOff,1609)*$N1614)</f>
        <v/>
      </c>
      <c r="S1614" s="56" t="str">
        <f aca="false">IF(INDEX(BookTitle,1609)="","",INDEX(BookTotal,1609)*'5. Scenarios'!$E$6/(1+ProductivityDefault*('5. Scenarios'!$E$11-1)))</f>
        <v/>
      </c>
      <c r="T1614" s="57" t="str">
        <f aca="false">IF($S1614="","",INDEX(BookRate,1609)*(1+'5. Scenarios'!$E$10)*$S1614)</f>
        <v/>
      </c>
      <c r="U1614" s="57" t="str">
        <f aca="false">IF($T1614="","",SUMIFS($T$6:$T$2405,$A$6:$A$2405,"&lt;="&amp;$A1614))</f>
        <v/>
      </c>
      <c r="V1614" s="57" t="str">
        <f aca="false">IF($T1614="","",IF($U1614&lt;=BankCostEnvelope*'5. Scenarios'!$E$7,1,0))</f>
        <v/>
      </c>
      <c r="W1614" s="57" t="str">
        <f aca="false">IF($S1614="","",INDEX(BookRate,1609)*(1+'5. Scenarios'!$E$10)*(INDEX(BookQ1,1609)*(5-MIN(4,1+'5. Scenarios'!$E$8))/4+INDEX(BookQ2,1609)*(5-MIN(4,2+'5. Scenarios'!$E$8))/4+INDEX(BookQ3,1609)*(5-MIN(4,3+'5. Scenarios'!$E$8))/4+INDEX(BookQ4,1609)*(5-MIN(4,4+'5. Scenarios'!$E$8))/4)*'5. Scenarios'!$E$6/(1+ProductivityDefault*('5. Scenarios'!$E$11-1))+INDEX(BookOneOff,1609)*$S1614)</f>
        <v/>
      </c>
    </row>
    <row r="1615" customFormat="false" ht="15" hidden="false" customHeight="false" outlineLevel="0" collapsed="false">
      <c r="A1615" s="0" t="str">
        <f aca="false">IF(INDEX(BookTitle,1610)="","",INDEX(BookKey,1610))</f>
        <v/>
      </c>
      <c r="B1615" s="0" t="str">
        <f aca="false">IF(INDEX(BookTitle,1610)="","",INDEX(BookGroup,1610))</f>
        <v/>
      </c>
      <c r="C1615" s="0" t="str">
        <f aca="false">IF(INDEX(BookTitle,1610)="","",INDEX(BookCategory,1610))</f>
        <v/>
      </c>
      <c r="D1615" s="56" t="str">
        <f aca="false">IF(INDEX(BookTitle,1610)="","",INDEX(BookTotal,1610)*'5. Scenarios'!$B$6/(1+ProductivityDefault*('5. Scenarios'!$B$11-1)))</f>
        <v/>
      </c>
      <c r="E1615" s="57" t="str">
        <f aca="false">IF($D1615="","",INDEX(BookRate,1610)*(1+'5. Scenarios'!$B$10)*$D1615)</f>
        <v/>
      </c>
      <c r="F1615" s="57" t="str">
        <f aca="false">IF($E1615="","",SUMIFS($E$6:$E$2405,$A$6:$A$2405,"&lt;="&amp;$A1615))</f>
        <v/>
      </c>
      <c r="G1615" s="57" t="str">
        <f aca="false">IF($E1615="","",IF($F1615&lt;=BankCostEnvelope*'5. Scenarios'!$B$7,1,0))</f>
        <v/>
      </c>
      <c r="H1615" s="57" t="str">
        <f aca="false">IF($D1615="","",INDEX(BookRate,1610)*(1+'5. Scenarios'!$B$10)*(INDEX(BookQ1,1610)*(5-MIN(4,1+'5. Scenarios'!$B$8))/4+INDEX(BookQ2,1610)*(5-MIN(4,2+'5. Scenarios'!$B$8))/4+INDEX(BookQ3,1610)*(5-MIN(4,3+'5. Scenarios'!$B$8))/4+INDEX(BookQ4,1610)*(5-MIN(4,4+'5. Scenarios'!$B$8))/4)*'5. Scenarios'!$B$6/(1+ProductivityDefault*('5. Scenarios'!$B$11-1))+INDEX(BookOneOff,1610)*$D1615)</f>
        <v/>
      </c>
      <c r="I1615" s="56" t="str">
        <f aca="false">IF(INDEX(BookTitle,1610)="","",INDEX(BookTotal,1610)*'5. Scenarios'!$C$6/(1+ProductivityDefault*('5. Scenarios'!$C$11-1)))</f>
        <v/>
      </c>
      <c r="J1615" s="57" t="str">
        <f aca="false">IF($I1615="","",INDEX(BookRate,1610)*(1+'5. Scenarios'!$C$10)*$I1615)</f>
        <v/>
      </c>
      <c r="K1615" s="57" t="str">
        <f aca="false">IF($J1615="","",SUMIFS($J$6:$J$2405,$A$6:$A$2405,"&lt;="&amp;$A1615))</f>
        <v/>
      </c>
      <c r="L1615" s="57" t="str">
        <f aca="false">IF($J1615="","",IF($K1615&lt;=BankCostEnvelope*'5. Scenarios'!$C$7,1,0))</f>
        <v/>
      </c>
      <c r="M1615" s="57" t="str">
        <f aca="false">IF($I1615="","",INDEX(BookRate,1610)*(1+'5. Scenarios'!$C$10)*(INDEX(BookQ1,1610)*(5-MIN(4,1+'5. Scenarios'!$C$8))/4+INDEX(BookQ2,1610)*(5-MIN(4,2+'5. Scenarios'!$C$8))/4+INDEX(BookQ3,1610)*(5-MIN(4,3+'5. Scenarios'!$C$8))/4+INDEX(BookQ4,1610)*(5-MIN(4,4+'5. Scenarios'!$C$8))/4)*'5. Scenarios'!$C$6/(1+ProductivityDefault*('5. Scenarios'!$C$11-1))+INDEX(BookOneOff,1610)*$I1615)</f>
        <v/>
      </c>
      <c r="N1615" s="56" t="str">
        <f aca="false">IF(INDEX(BookTitle,1610)="","",INDEX(BookTotal,1610)*'5. Scenarios'!$D$6/(1+ProductivityDefault*('5. Scenarios'!$D$11-1)))</f>
        <v/>
      </c>
      <c r="O1615" s="57" t="str">
        <f aca="false">IF($N1615="","",INDEX(BookRate,1610)*(1+'5. Scenarios'!$D$10)*$N1615)</f>
        <v/>
      </c>
      <c r="P1615" s="57" t="str">
        <f aca="false">IF($O1615="","",SUMIFS($O$6:$O$2405,$A$6:$A$2405,"&lt;="&amp;$A1615))</f>
        <v/>
      </c>
      <c r="Q1615" s="57" t="str">
        <f aca="false">IF($O1615="","",IF($P1615&lt;=BankCostEnvelope*'5. Scenarios'!$D$7,1,0))</f>
        <v/>
      </c>
      <c r="R1615" s="57" t="str">
        <f aca="false">IF($N1615="","",INDEX(BookRate,1610)*(1+'5. Scenarios'!$D$10)*(INDEX(BookQ1,1610)*(5-MIN(4,1+'5. Scenarios'!$D$8))/4+INDEX(BookQ2,1610)*(5-MIN(4,2+'5. Scenarios'!$D$8))/4+INDEX(BookQ3,1610)*(5-MIN(4,3+'5. Scenarios'!$D$8))/4+INDEX(BookQ4,1610)*(5-MIN(4,4+'5. Scenarios'!$D$8))/4)*'5. Scenarios'!$D$6/(1+ProductivityDefault*('5. Scenarios'!$D$11-1))+INDEX(BookOneOff,1610)*$N1615)</f>
        <v/>
      </c>
      <c r="S1615" s="56" t="str">
        <f aca="false">IF(INDEX(BookTitle,1610)="","",INDEX(BookTotal,1610)*'5. Scenarios'!$E$6/(1+ProductivityDefault*('5. Scenarios'!$E$11-1)))</f>
        <v/>
      </c>
      <c r="T1615" s="57" t="str">
        <f aca="false">IF($S1615="","",INDEX(BookRate,1610)*(1+'5. Scenarios'!$E$10)*$S1615)</f>
        <v/>
      </c>
      <c r="U1615" s="57" t="str">
        <f aca="false">IF($T1615="","",SUMIFS($T$6:$T$2405,$A$6:$A$2405,"&lt;="&amp;$A1615))</f>
        <v/>
      </c>
      <c r="V1615" s="57" t="str">
        <f aca="false">IF($T1615="","",IF($U1615&lt;=BankCostEnvelope*'5. Scenarios'!$E$7,1,0))</f>
        <v/>
      </c>
      <c r="W1615" s="57" t="str">
        <f aca="false">IF($S1615="","",INDEX(BookRate,1610)*(1+'5. Scenarios'!$E$10)*(INDEX(BookQ1,1610)*(5-MIN(4,1+'5. Scenarios'!$E$8))/4+INDEX(BookQ2,1610)*(5-MIN(4,2+'5. Scenarios'!$E$8))/4+INDEX(BookQ3,1610)*(5-MIN(4,3+'5. Scenarios'!$E$8))/4+INDEX(BookQ4,1610)*(5-MIN(4,4+'5. Scenarios'!$E$8))/4)*'5. Scenarios'!$E$6/(1+ProductivityDefault*('5. Scenarios'!$E$11-1))+INDEX(BookOneOff,1610)*$S1615)</f>
        <v/>
      </c>
    </row>
    <row r="1616" customFormat="false" ht="15" hidden="false" customHeight="false" outlineLevel="0" collapsed="false">
      <c r="A1616" s="0" t="str">
        <f aca="false">IF(INDEX(BookTitle,1611)="","",INDEX(BookKey,1611))</f>
        <v/>
      </c>
      <c r="B1616" s="0" t="str">
        <f aca="false">IF(INDEX(BookTitle,1611)="","",INDEX(BookGroup,1611))</f>
        <v/>
      </c>
      <c r="C1616" s="0" t="str">
        <f aca="false">IF(INDEX(BookTitle,1611)="","",INDEX(BookCategory,1611))</f>
        <v/>
      </c>
      <c r="D1616" s="56" t="str">
        <f aca="false">IF(INDEX(BookTitle,1611)="","",INDEX(BookTotal,1611)*'5. Scenarios'!$B$6/(1+ProductivityDefault*('5. Scenarios'!$B$11-1)))</f>
        <v/>
      </c>
      <c r="E1616" s="57" t="str">
        <f aca="false">IF($D1616="","",INDEX(BookRate,1611)*(1+'5. Scenarios'!$B$10)*$D1616)</f>
        <v/>
      </c>
      <c r="F1616" s="57" t="str">
        <f aca="false">IF($E1616="","",SUMIFS($E$6:$E$2405,$A$6:$A$2405,"&lt;="&amp;$A1616))</f>
        <v/>
      </c>
      <c r="G1616" s="57" t="str">
        <f aca="false">IF($E1616="","",IF($F1616&lt;=BankCostEnvelope*'5. Scenarios'!$B$7,1,0))</f>
        <v/>
      </c>
      <c r="H1616" s="57" t="str">
        <f aca="false">IF($D1616="","",INDEX(BookRate,1611)*(1+'5. Scenarios'!$B$10)*(INDEX(BookQ1,1611)*(5-MIN(4,1+'5. Scenarios'!$B$8))/4+INDEX(BookQ2,1611)*(5-MIN(4,2+'5. Scenarios'!$B$8))/4+INDEX(BookQ3,1611)*(5-MIN(4,3+'5. Scenarios'!$B$8))/4+INDEX(BookQ4,1611)*(5-MIN(4,4+'5. Scenarios'!$B$8))/4)*'5. Scenarios'!$B$6/(1+ProductivityDefault*('5. Scenarios'!$B$11-1))+INDEX(BookOneOff,1611)*$D1616)</f>
        <v/>
      </c>
      <c r="I1616" s="56" t="str">
        <f aca="false">IF(INDEX(BookTitle,1611)="","",INDEX(BookTotal,1611)*'5. Scenarios'!$C$6/(1+ProductivityDefault*('5. Scenarios'!$C$11-1)))</f>
        <v/>
      </c>
      <c r="J1616" s="57" t="str">
        <f aca="false">IF($I1616="","",INDEX(BookRate,1611)*(1+'5. Scenarios'!$C$10)*$I1616)</f>
        <v/>
      </c>
      <c r="K1616" s="57" t="str">
        <f aca="false">IF($J1616="","",SUMIFS($J$6:$J$2405,$A$6:$A$2405,"&lt;="&amp;$A1616))</f>
        <v/>
      </c>
      <c r="L1616" s="57" t="str">
        <f aca="false">IF($J1616="","",IF($K1616&lt;=BankCostEnvelope*'5. Scenarios'!$C$7,1,0))</f>
        <v/>
      </c>
      <c r="M1616" s="57" t="str">
        <f aca="false">IF($I1616="","",INDEX(BookRate,1611)*(1+'5. Scenarios'!$C$10)*(INDEX(BookQ1,1611)*(5-MIN(4,1+'5. Scenarios'!$C$8))/4+INDEX(BookQ2,1611)*(5-MIN(4,2+'5. Scenarios'!$C$8))/4+INDEX(BookQ3,1611)*(5-MIN(4,3+'5. Scenarios'!$C$8))/4+INDEX(BookQ4,1611)*(5-MIN(4,4+'5. Scenarios'!$C$8))/4)*'5. Scenarios'!$C$6/(1+ProductivityDefault*('5. Scenarios'!$C$11-1))+INDEX(BookOneOff,1611)*$I1616)</f>
        <v/>
      </c>
      <c r="N1616" s="56" t="str">
        <f aca="false">IF(INDEX(BookTitle,1611)="","",INDEX(BookTotal,1611)*'5. Scenarios'!$D$6/(1+ProductivityDefault*('5. Scenarios'!$D$11-1)))</f>
        <v/>
      </c>
      <c r="O1616" s="57" t="str">
        <f aca="false">IF($N1616="","",INDEX(BookRate,1611)*(1+'5. Scenarios'!$D$10)*$N1616)</f>
        <v/>
      </c>
      <c r="P1616" s="57" t="str">
        <f aca="false">IF($O1616="","",SUMIFS($O$6:$O$2405,$A$6:$A$2405,"&lt;="&amp;$A1616))</f>
        <v/>
      </c>
      <c r="Q1616" s="57" t="str">
        <f aca="false">IF($O1616="","",IF($P1616&lt;=BankCostEnvelope*'5. Scenarios'!$D$7,1,0))</f>
        <v/>
      </c>
      <c r="R1616" s="57" t="str">
        <f aca="false">IF($N1616="","",INDEX(BookRate,1611)*(1+'5. Scenarios'!$D$10)*(INDEX(BookQ1,1611)*(5-MIN(4,1+'5. Scenarios'!$D$8))/4+INDEX(BookQ2,1611)*(5-MIN(4,2+'5. Scenarios'!$D$8))/4+INDEX(BookQ3,1611)*(5-MIN(4,3+'5. Scenarios'!$D$8))/4+INDEX(BookQ4,1611)*(5-MIN(4,4+'5. Scenarios'!$D$8))/4)*'5. Scenarios'!$D$6/(1+ProductivityDefault*('5. Scenarios'!$D$11-1))+INDEX(BookOneOff,1611)*$N1616)</f>
        <v/>
      </c>
      <c r="S1616" s="56" t="str">
        <f aca="false">IF(INDEX(BookTitle,1611)="","",INDEX(BookTotal,1611)*'5. Scenarios'!$E$6/(1+ProductivityDefault*('5. Scenarios'!$E$11-1)))</f>
        <v/>
      </c>
      <c r="T1616" s="57" t="str">
        <f aca="false">IF($S1616="","",INDEX(BookRate,1611)*(1+'5. Scenarios'!$E$10)*$S1616)</f>
        <v/>
      </c>
      <c r="U1616" s="57" t="str">
        <f aca="false">IF($T1616="","",SUMIFS($T$6:$T$2405,$A$6:$A$2405,"&lt;="&amp;$A1616))</f>
        <v/>
      </c>
      <c r="V1616" s="57" t="str">
        <f aca="false">IF($T1616="","",IF($U1616&lt;=BankCostEnvelope*'5. Scenarios'!$E$7,1,0))</f>
        <v/>
      </c>
      <c r="W1616" s="57" t="str">
        <f aca="false">IF($S1616="","",INDEX(BookRate,1611)*(1+'5. Scenarios'!$E$10)*(INDEX(BookQ1,1611)*(5-MIN(4,1+'5. Scenarios'!$E$8))/4+INDEX(BookQ2,1611)*(5-MIN(4,2+'5. Scenarios'!$E$8))/4+INDEX(BookQ3,1611)*(5-MIN(4,3+'5. Scenarios'!$E$8))/4+INDEX(BookQ4,1611)*(5-MIN(4,4+'5. Scenarios'!$E$8))/4)*'5. Scenarios'!$E$6/(1+ProductivityDefault*('5. Scenarios'!$E$11-1))+INDEX(BookOneOff,1611)*$S1616)</f>
        <v/>
      </c>
    </row>
    <row r="1617" customFormat="false" ht="15" hidden="false" customHeight="false" outlineLevel="0" collapsed="false">
      <c r="A1617" s="0" t="str">
        <f aca="false">IF(INDEX(BookTitle,1612)="","",INDEX(BookKey,1612))</f>
        <v/>
      </c>
      <c r="B1617" s="0" t="str">
        <f aca="false">IF(INDEX(BookTitle,1612)="","",INDEX(BookGroup,1612))</f>
        <v/>
      </c>
      <c r="C1617" s="0" t="str">
        <f aca="false">IF(INDEX(BookTitle,1612)="","",INDEX(BookCategory,1612))</f>
        <v/>
      </c>
      <c r="D1617" s="56" t="str">
        <f aca="false">IF(INDEX(BookTitle,1612)="","",INDEX(BookTotal,1612)*'5. Scenarios'!$B$6/(1+ProductivityDefault*('5. Scenarios'!$B$11-1)))</f>
        <v/>
      </c>
      <c r="E1617" s="57" t="str">
        <f aca="false">IF($D1617="","",INDEX(BookRate,1612)*(1+'5. Scenarios'!$B$10)*$D1617)</f>
        <v/>
      </c>
      <c r="F1617" s="57" t="str">
        <f aca="false">IF($E1617="","",SUMIFS($E$6:$E$2405,$A$6:$A$2405,"&lt;="&amp;$A1617))</f>
        <v/>
      </c>
      <c r="G1617" s="57" t="str">
        <f aca="false">IF($E1617="","",IF($F1617&lt;=BankCostEnvelope*'5. Scenarios'!$B$7,1,0))</f>
        <v/>
      </c>
      <c r="H1617" s="57" t="str">
        <f aca="false">IF($D1617="","",INDEX(BookRate,1612)*(1+'5. Scenarios'!$B$10)*(INDEX(BookQ1,1612)*(5-MIN(4,1+'5. Scenarios'!$B$8))/4+INDEX(BookQ2,1612)*(5-MIN(4,2+'5. Scenarios'!$B$8))/4+INDEX(BookQ3,1612)*(5-MIN(4,3+'5. Scenarios'!$B$8))/4+INDEX(BookQ4,1612)*(5-MIN(4,4+'5. Scenarios'!$B$8))/4)*'5. Scenarios'!$B$6/(1+ProductivityDefault*('5. Scenarios'!$B$11-1))+INDEX(BookOneOff,1612)*$D1617)</f>
        <v/>
      </c>
      <c r="I1617" s="56" t="str">
        <f aca="false">IF(INDEX(BookTitle,1612)="","",INDEX(BookTotal,1612)*'5. Scenarios'!$C$6/(1+ProductivityDefault*('5. Scenarios'!$C$11-1)))</f>
        <v/>
      </c>
      <c r="J1617" s="57" t="str">
        <f aca="false">IF($I1617="","",INDEX(BookRate,1612)*(1+'5. Scenarios'!$C$10)*$I1617)</f>
        <v/>
      </c>
      <c r="K1617" s="57" t="str">
        <f aca="false">IF($J1617="","",SUMIFS($J$6:$J$2405,$A$6:$A$2405,"&lt;="&amp;$A1617))</f>
        <v/>
      </c>
      <c r="L1617" s="57" t="str">
        <f aca="false">IF($J1617="","",IF($K1617&lt;=BankCostEnvelope*'5. Scenarios'!$C$7,1,0))</f>
        <v/>
      </c>
      <c r="M1617" s="57" t="str">
        <f aca="false">IF($I1617="","",INDEX(BookRate,1612)*(1+'5. Scenarios'!$C$10)*(INDEX(BookQ1,1612)*(5-MIN(4,1+'5. Scenarios'!$C$8))/4+INDEX(BookQ2,1612)*(5-MIN(4,2+'5. Scenarios'!$C$8))/4+INDEX(BookQ3,1612)*(5-MIN(4,3+'5. Scenarios'!$C$8))/4+INDEX(BookQ4,1612)*(5-MIN(4,4+'5. Scenarios'!$C$8))/4)*'5. Scenarios'!$C$6/(1+ProductivityDefault*('5. Scenarios'!$C$11-1))+INDEX(BookOneOff,1612)*$I1617)</f>
        <v/>
      </c>
      <c r="N1617" s="56" t="str">
        <f aca="false">IF(INDEX(BookTitle,1612)="","",INDEX(BookTotal,1612)*'5. Scenarios'!$D$6/(1+ProductivityDefault*('5. Scenarios'!$D$11-1)))</f>
        <v/>
      </c>
      <c r="O1617" s="57" t="str">
        <f aca="false">IF($N1617="","",INDEX(BookRate,1612)*(1+'5. Scenarios'!$D$10)*$N1617)</f>
        <v/>
      </c>
      <c r="P1617" s="57" t="str">
        <f aca="false">IF($O1617="","",SUMIFS($O$6:$O$2405,$A$6:$A$2405,"&lt;="&amp;$A1617))</f>
        <v/>
      </c>
      <c r="Q1617" s="57" t="str">
        <f aca="false">IF($O1617="","",IF($P1617&lt;=BankCostEnvelope*'5. Scenarios'!$D$7,1,0))</f>
        <v/>
      </c>
      <c r="R1617" s="57" t="str">
        <f aca="false">IF($N1617="","",INDEX(BookRate,1612)*(1+'5. Scenarios'!$D$10)*(INDEX(BookQ1,1612)*(5-MIN(4,1+'5. Scenarios'!$D$8))/4+INDEX(BookQ2,1612)*(5-MIN(4,2+'5. Scenarios'!$D$8))/4+INDEX(BookQ3,1612)*(5-MIN(4,3+'5. Scenarios'!$D$8))/4+INDEX(BookQ4,1612)*(5-MIN(4,4+'5. Scenarios'!$D$8))/4)*'5. Scenarios'!$D$6/(1+ProductivityDefault*('5. Scenarios'!$D$11-1))+INDEX(BookOneOff,1612)*$N1617)</f>
        <v/>
      </c>
      <c r="S1617" s="56" t="str">
        <f aca="false">IF(INDEX(BookTitle,1612)="","",INDEX(BookTotal,1612)*'5. Scenarios'!$E$6/(1+ProductivityDefault*('5. Scenarios'!$E$11-1)))</f>
        <v/>
      </c>
      <c r="T1617" s="57" t="str">
        <f aca="false">IF($S1617="","",INDEX(BookRate,1612)*(1+'5. Scenarios'!$E$10)*$S1617)</f>
        <v/>
      </c>
      <c r="U1617" s="57" t="str">
        <f aca="false">IF($T1617="","",SUMIFS($T$6:$T$2405,$A$6:$A$2405,"&lt;="&amp;$A1617))</f>
        <v/>
      </c>
      <c r="V1617" s="57" t="str">
        <f aca="false">IF($T1617="","",IF($U1617&lt;=BankCostEnvelope*'5. Scenarios'!$E$7,1,0))</f>
        <v/>
      </c>
      <c r="W1617" s="57" t="str">
        <f aca="false">IF($S1617="","",INDEX(BookRate,1612)*(1+'5. Scenarios'!$E$10)*(INDEX(BookQ1,1612)*(5-MIN(4,1+'5. Scenarios'!$E$8))/4+INDEX(BookQ2,1612)*(5-MIN(4,2+'5. Scenarios'!$E$8))/4+INDEX(BookQ3,1612)*(5-MIN(4,3+'5. Scenarios'!$E$8))/4+INDEX(BookQ4,1612)*(5-MIN(4,4+'5. Scenarios'!$E$8))/4)*'5. Scenarios'!$E$6/(1+ProductivityDefault*('5. Scenarios'!$E$11-1))+INDEX(BookOneOff,1612)*$S1617)</f>
        <v/>
      </c>
    </row>
    <row r="1618" customFormat="false" ht="15" hidden="false" customHeight="false" outlineLevel="0" collapsed="false">
      <c r="A1618" s="0" t="str">
        <f aca="false">IF(INDEX(BookTitle,1613)="","",INDEX(BookKey,1613))</f>
        <v/>
      </c>
      <c r="B1618" s="0" t="str">
        <f aca="false">IF(INDEX(BookTitle,1613)="","",INDEX(BookGroup,1613))</f>
        <v/>
      </c>
      <c r="C1618" s="0" t="str">
        <f aca="false">IF(INDEX(BookTitle,1613)="","",INDEX(BookCategory,1613))</f>
        <v/>
      </c>
      <c r="D1618" s="56" t="str">
        <f aca="false">IF(INDEX(BookTitle,1613)="","",INDEX(BookTotal,1613)*'5. Scenarios'!$B$6/(1+ProductivityDefault*('5. Scenarios'!$B$11-1)))</f>
        <v/>
      </c>
      <c r="E1618" s="57" t="str">
        <f aca="false">IF($D1618="","",INDEX(BookRate,1613)*(1+'5. Scenarios'!$B$10)*$D1618)</f>
        <v/>
      </c>
      <c r="F1618" s="57" t="str">
        <f aca="false">IF($E1618="","",SUMIFS($E$6:$E$2405,$A$6:$A$2405,"&lt;="&amp;$A1618))</f>
        <v/>
      </c>
      <c r="G1618" s="57" t="str">
        <f aca="false">IF($E1618="","",IF($F1618&lt;=BankCostEnvelope*'5. Scenarios'!$B$7,1,0))</f>
        <v/>
      </c>
      <c r="H1618" s="57" t="str">
        <f aca="false">IF($D1618="","",INDEX(BookRate,1613)*(1+'5. Scenarios'!$B$10)*(INDEX(BookQ1,1613)*(5-MIN(4,1+'5. Scenarios'!$B$8))/4+INDEX(BookQ2,1613)*(5-MIN(4,2+'5. Scenarios'!$B$8))/4+INDEX(BookQ3,1613)*(5-MIN(4,3+'5. Scenarios'!$B$8))/4+INDEX(BookQ4,1613)*(5-MIN(4,4+'5. Scenarios'!$B$8))/4)*'5. Scenarios'!$B$6/(1+ProductivityDefault*('5. Scenarios'!$B$11-1))+INDEX(BookOneOff,1613)*$D1618)</f>
        <v/>
      </c>
      <c r="I1618" s="56" t="str">
        <f aca="false">IF(INDEX(BookTitle,1613)="","",INDEX(BookTotal,1613)*'5. Scenarios'!$C$6/(1+ProductivityDefault*('5. Scenarios'!$C$11-1)))</f>
        <v/>
      </c>
      <c r="J1618" s="57" t="str">
        <f aca="false">IF($I1618="","",INDEX(BookRate,1613)*(1+'5. Scenarios'!$C$10)*$I1618)</f>
        <v/>
      </c>
      <c r="K1618" s="57" t="str">
        <f aca="false">IF($J1618="","",SUMIFS($J$6:$J$2405,$A$6:$A$2405,"&lt;="&amp;$A1618))</f>
        <v/>
      </c>
      <c r="L1618" s="57" t="str">
        <f aca="false">IF($J1618="","",IF($K1618&lt;=BankCostEnvelope*'5. Scenarios'!$C$7,1,0))</f>
        <v/>
      </c>
      <c r="M1618" s="57" t="str">
        <f aca="false">IF($I1618="","",INDEX(BookRate,1613)*(1+'5. Scenarios'!$C$10)*(INDEX(BookQ1,1613)*(5-MIN(4,1+'5. Scenarios'!$C$8))/4+INDEX(BookQ2,1613)*(5-MIN(4,2+'5. Scenarios'!$C$8))/4+INDEX(BookQ3,1613)*(5-MIN(4,3+'5. Scenarios'!$C$8))/4+INDEX(BookQ4,1613)*(5-MIN(4,4+'5. Scenarios'!$C$8))/4)*'5. Scenarios'!$C$6/(1+ProductivityDefault*('5. Scenarios'!$C$11-1))+INDEX(BookOneOff,1613)*$I1618)</f>
        <v/>
      </c>
      <c r="N1618" s="56" t="str">
        <f aca="false">IF(INDEX(BookTitle,1613)="","",INDEX(BookTotal,1613)*'5. Scenarios'!$D$6/(1+ProductivityDefault*('5. Scenarios'!$D$11-1)))</f>
        <v/>
      </c>
      <c r="O1618" s="57" t="str">
        <f aca="false">IF($N1618="","",INDEX(BookRate,1613)*(1+'5. Scenarios'!$D$10)*$N1618)</f>
        <v/>
      </c>
      <c r="P1618" s="57" t="str">
        <f aca="false">IF($O1618="","",SUMIFS($O$6:$O$2405,$A$6:$A$2405,"&lt;="&amp;$A1618))</f>
        <v/>
      </c>
      <c r="Q1618" s="57" t="str">
        <f aca="false">IF($O1618="","",IF($P1618&lt;=BankCostEnvelope*'5. Scenarios'!$D$7,1,0))</f>
        <v/>
      </c>
      <c r="R1618" s="57" t="str">
        <f aca="false">IF($N1618="","",INDEX(BookRate,1613)*(1+'5. Scenarios'!$D$10)*(INDEX(BookQ1,1613)*(5-MIN(4,1+'5. Scenarios'!$D$8))/4+INDEX(BookQ2,1613)*(5-MIN(4,2+'5. Scenarios'!$D$8))/4+INDEX(BookQ3,1613)*(5-MIN(4,3+'5. Scenarios'!$D$8))/4+INDEX(BookQ4,1613)*(5-MIN(4,4+'5. Scenarios'!$D$8))/4)*'5. Scenarios'!$D$6/(1+ProductivityDefault*('5. Scenarios'!$D$11-1))+INDEX(BookOneOff,1613)*$N1618)</f>
        <v/>
      </c>
      <c r="S1618" s="56" t="str">
        <f aca="false">IF(INDEX(BookTitle,1613)="","",INDEX(BookTotal,1613)*'5. Scenarios'!$E$6/(1+ProductivityDefault*('5. Scenarios'!$E$11-1)))</f>
        <v/>
      </c>
      <c r="T1618" s="57" t="str">
        <f aca="false">IF($S1618="","",INDEX(BookRate,1613)*(1+'5. Scenarios'!$E$10)*$S1618)</f>
        <v/>
      </c>
      <c r="U1618" s="57" t="str">
        <f aca="false">IF($T1618="","",SUMIFS($T$6:$T$2405,$A$6:$A$2405,"&lt;="&amp;$A1618))</f>
        <v/>
      </c>
      <c r="V1618" s="57" t="str">
        <f aca="false">IF($T1618="","",IF($U1618&lt;=BankCostEnvelope*'5. Scenarios'!$E$7,1,0))</f>
        <v/>
      </c>
      <c r="W1618" s="57" t="str">
        <f aca="false">IF($S1618="","",INDEX(BookRate,1613)*(1+'5. Scenarios'!$E$10)*(INDEX(BookQ1,1613)*(5-MIN(4,1+'5. Scenarios'!$E$8))/4+INDEX(BookQ2,1613)*(5-MIN(4,2+'5. Scenarios'!$E$8))/4+INDEX(BookQ3,1613)*(5-MIN(4,3+'5. Scenarios'!$E$8))/4+INDEX(BookQ4,1613)*(5-MIN(4,4+'5. Scenarios'!$E$8))/4)*'5. Scenarios'!$E$6/(1+ProductivityDefault*('5. Scenarios'!$E$11-1))+INDEX(BookOneOff,1613)*$S1618)</f>
        <v/>
      </c>
    </row>
    <row r="1619" customFormat="false" ht="15" hidden="false" customHeight="false" outlineLevel="0" collapsed="false">
      <c r="A1619" s="0" t="str">
        <f aca="false">IF(INDEX(BookTitle,1614)="","",INDEX(BookKey,1614))</f>
        <v/>
      </c>
      <c r="B1619" s="0" t="str">
        <f aca="false">IF(INDEX(BookTitle,1614)="","",INDEX(BookGroup,1614))</f>
        <v/>
      </c>
      <c r="C1619" s="0" t="str">
        <f aca="false">IF(INDEX(BookTitle,1614)="","",INDEX(BookCategory,1614))</f>
        <v/>
      </c>
      <c r="D1619" s="56" t="str">
        <f aca="false">IF(INDEX(BookTitle,1614)="","",INDEX(BookTotal,1614)*'5. Scenarios'!$B$6/(1+ProductivityDefault*('5. Scenarios'!$B$11-1)))</f>
        <v/>
      </c>
      <c r="E1619" s="57" t="str">
        <f aca="false">IF($D1619="","",INDEX(BookRate,1614)*(1+'5. Scenarios'!$B$10)*$D1619)</f>
        <v/>
      </c>
      <c r="F1619" s="57" t="str">
        <f aca="false">IF($E1619="","",SUMIFS($E$6:$E$2405,$A$6:$A$2405,"&lt;="&amp;$A1619))</f>
        <v/>
      </c>
      <c r="G1619" s="57" t="str">
        <f aca="false">IF($E1619="","",IF($F1619&lt;=BankCostEnvelope*'5. Scenarios'!$B$7,1,0))</f>
        <v/>
      </c>
      <c r="H1619" s="57" t="str">
        <f aca="false">IF($D1619="","",INDEX(BookRate,1614)*(1+'5. Scenarios'!$B$10)*(INDEX(BookQ1,1614)*(5-MIN(4,1+'5. Scenarios'!$B$8))/4+INDEX(BookQ2,1614)*(5-MIN(4,2+'5. Scenarios'!$B$8))/4+INDEX(BookQ3,1614)*(5-MIN(4,3+'5. Scenarios'!$B$8))/4+INDEX(BookQ4,1614)*(5-MIN(4,4+'5. Scenarios'!$B$8))/4)*'5. Scenarios'!$B$6/(1+ProductivityDefault*('5. Scenarios'!$B$11-1))+INDEX(BookOneOff,1614)*$D1619)</f>
        <v/>
      </c>
      <c r="I1619" s="56" t="str">
        <f aca="false">IF(INDEX(BookTitle,1614)="","",INDEX(BookTotal,1614)*'5. Scenarios'!$C$6/(1+ProductivityDefault*('5. Scenarios'!$C$11-1)))</f>
        <v/>
      </c>
      <c r="J1619" s="57" t="str">
        <f aca="false">IF($I1619="","",INDEX(BookRate,1614)*(1+'5. Scenarios'!$C$10)*$I1619)</f>
        <v/>
      </c>
      <c r="K1619" s="57" t="str">
        <f aca="false">IF($J1619="","",SUMIFS($J$6:$J$2405,$A$6:$A$2405,"&lt;="&amp;$A1619))</f>
        <v/>
      </c>
      <c r="L1619" s="57" t="str">
        <f aca="false">IF($J1619="","",IF($K1619&lt;=BankCostEnvelope*'5. Scenarios'!$C$7,1,0))</f>
        <v/>
      </c>
      <c r="M1619" s="57" t="str">
        <f aca="false">IF($I1619="","",INDEX(BookRate,1614)*(1+'5. Scenarios'!$C$10)*(INDEX(BookQ1,1614)*(5-MIN(4,1+'5. Scenarios'!$C$8))/4+INDEX(BookQ2,1614)*(5-MIN(4,2+'5. Scenarios'!$C$8))/4+INDEX(BookQ3,1614)*(5-MIN(4,3+'5. Scenarios'!$C$8))/4+INDEX(BookQ4,1614)*(5-MIN(4,4+'5. Scenarios'!$C$8))/4)*'5. Scenarios'!$C$6/(1+ProductivityDefault*('5. Scenarios'!$C$11-1))+INDEX(BookOneOff,1614)*$I1619)</f>
        <v/>
      </c>
      <c r="N1619" s="56" t="str">
        <f aca="false">IF(INDEX(BookTitle,1614)="","",INDEX(BookTotal,1614)*'5. Scenarios'!$D$6/(1+ProductivityDefault*('5. Scenarios'!$D$11-1)))</f>
        <v/>
      </c>
      <c r="O1619" s="57" t="str">
        <f aca="false">IF($N1619="","",INDEX(BookRate,1614)*(1+'5. Scenarios'!$D$10)*$N1619)</f>
        <v/>
      </c>
      <c r="P1619" s="57" t="str">
        <f aca="false">IF($O1619="","",SUMIFS($O$6:$O$2405,$A$6:$A$2405,"&lt;="&amp;$A1619))</f>
        <v/>
      </c>
      <c r="Q1619" s="57" t="str">
        <f aca="false">IF($O1619="","",IF($P1619&lt;=BankCostEnvelope*'5. Scenarios'!$D$7,1,0))</f>
        <v/>
      </c>
      <c r="R1619" s="57" t="str">
        <f aca="false">IF($N1619="","",INDEX(BookRate,1614)*(1+'5. Scenarios'!$D$10)*(INDEX(BookQ1,1614)*(5-MIN(4,1+'5. Scenarios'!$D$8))/4+INDEX(BookQ2,1614)*(5-MIN(4,2+'5. Scenarios'!$D$8))/4+INDEX(BookQ3,1614)*(5-MIN(4,3+'5. Scenarios'!$D$8))/4+INDEX(BookQ4,1614)*(5-MIN(4,4+'5. Scenarios'!$D$8))/4)*'5. Scenarios'!$D$6/(1+ProductivityDefault*('5. Scenarios'!$D$11-1))+INDEX(BookOneOff,1614)*$N1619)</f>
        <v/>
      </c>
      <c r="S1619" s="56" t="str">
        <f aca="false">IF(INDEX(BookTitle,1614)="","",INDEX(BookTotal,1614)*'5. Scenarios'!$E$6/(1+ProductivityDefault*('5. Scenarios'!$E$11-1)))</f>
        <v/>
      </c>
      <c r="T1619" s="57" t="str">
        <f aca="false">IF($S1619="","",INDEX(BookRate,1614)*(1+'5. Scenarios'!$E$10)*$S1619)</f>
        <v/>
      </c>
      <c r="U1619" s="57" t="str">
        <f aca="false">IF($T1619="","",SUMIFS($T$6:$T$2405,$A$6:$A$2405,"&lt;="&amp;$A1619))</f>
        <v/>
      </c>
      <c r="V1619" s="57" t="str">
        <f aca="false">IF($T1619="","",IF($U1619&lt;=BankCostEnvelope*'5. Scenarios'!$E$7,1,0))</f>
        <v/>
      </c>
      <c r="W1619" s="57" t="str">
        <f aca="false">IF($S1619="","",INDEX(BookRate,1614)*(1+'5. Scenarios'!$E$10)*(INDEX(BookQ1,1614)*(5-MIN(4,1+'5. Scenarios'!$E$8))/4+INDEX(BookQ2,1614)*(5-MIN(4,2+'5. Scenarios'!$E$8))/4+INDEX(BookQ3,1614)*(5-MIN(4,3+'5. Scenarios'!$E$8))/4+INDEX(BookQ4,1614)*(5-MIN(4,4+'5. Scenarios'!$E$8))/4)*'5. Scenarios'!$E$6/(1+ProductivityDefault*('5. Scenarios'!$E$11-1))+INDEX(BookOneOff,1614)*$S1619)</f>
        <v/>
      </c>
    </row>
    <row r="1620" customFormat="false" ht="15" hidden="false" customHeight="false" outlineLevel="0" collapsed="false">
      <c r="A1620" s="0" t="str">
        <f aca="false">IF(INDEX(BookTitle,1615)="","",INDEX(BookKey,1615))</f>
        <v/>
      </c>
      <c r="B1620" s="0" t="str">
        <f aca="false">IF(INDEX(BookTitle,1615)="","",INDEX(BookGroup,1615))</f>
        <v/>
      </c>
      <c r="C1620" s="0" t="str">
        <f aca="false">IF(INDEX(BookTitle,1615)="","",INDEX(BookCategory,1615))</f>
        <v/>
      </c>
      <c r="D1620" s="56" t="str">
        <f aca="false">IF(INDEX(BookTitle,1615)="","",INDEX(BookTotal,1615)*'5. Scenarios'!$B$6/(1+ProductivityDefault*('5. Scenarios'!$B$11-1)))</f>
        <v/>
      </c>
      <c r="E1620" s="57" t="str">
        <f aca="false">IF($D1620="","",INDEX(BookRate,1615)*(1+'5. Scenarios'!$B$10)*$D1620)</f>
        <v/>
      </c>
      <c r="F1620" s="57" t="str">
        <f aca="false">IF($E1620="","",SUMIFS($E$6:$E$2405,$A$6:$A$2405,"&lt;="&amp;$A1620))</f>
        <v/>
      </c>
      <c r="G1620" s="57" t="str">
        <f aca="false">IF($E1620="","",IF($F1620&lt;=BankCostEnvelope*'5. Scenarios'!$B$7,1,0))</f>
        <v/>
      </c>
      <c r="H1620" s="57" t="str">
        <f aca="false">IF($D1620="","",INDEX(BookRate,1615)*(1+'5. Scenarios'!$B$10)*(INDEX(BookQ1,1615)*(5-MIN(4,1+'5. Scenarios'!$B$8))/4+INDEX(BookQ2,1615)*(5-MIN(4,2+'5. Scenarios'!$B$8))/4+INDEX(BookQ3,1615)*(5-MIN(4,3+'5. Scenarios'!$B$8))/4+INDEX(BookQ4,1615)*(5-MIN(4,4+'5. Scenarios'!$B$8))/4)*'5. Scenarios'!$B$6/(1+ProductivityDefault*('5. Scenarios'!$B$11-1))+INDEX(BookOneOff,1615)*$D1620)</f>
        <v/>
      </c>
      <c r="I1620" s="56" t="str">
        <f aca="false">IF(INDEX(BookTitle,1615)="","",INDEX(BookTotal,1615)*'5. Scenarios'!$C$6/(1+ProductivityDefault*('5. Scenarios'!$C$11-1)))</f>
        <v/>
      </c>
      <c r="J1620" s="57" t="str">
        <f aca="false">IF($I1620="","",INDEX(BookRate,1615)*(1+'5. Scenarios'!$C$10)*$I1620)</f>
        <v/>
      </c>
      <c r="K1620" s="57" t="str">
        <f aca="false">IF($J1620="","",SUMIFS($J$6:$J$2405,$A$6:$A$2405,"&lt;="&amp;$A1620))</f>
        <v/>
      </c>
      <c r="L1620" s="57" t="str">
        <f aca="false">IF($J1620="","",IF($K1620&lt;=BankCostEnvelope*'5. Scenarios'!$C$7,1,0))</f>
        <v/>
      </c>
      <c r="M1620" s="57" t="str">
        <f aca="false">IF($I1620="","",INDEX(BookRate,1615)*(1+'5. Scenarios'!$C$10)*(INDEX(BookQ1,1615)*(5-MIN(4,1+'5. Scenarios'!$C$8))/4+INDEX(BookQ2,1615)*(5-MIN(4,2+'5. Scenarios'!$C$8))/4+INDEX(BookQ3,1615)*(5-MIN(4,3+'5. Scenarios'!$C$8))/4+INDEX(BookQ4,1615)*(5-MIN(4,4+'5. Scenarios'!$C$8))/4)*'5. Scenarios'!$C$6/(1+ProductivityDefault*('5. Scenarios'!$C$11-1))+INDEX(BookOneOff,1615)*$I1620)</f>
        <v/>
      </c>
      <c r="N1620" s="56" t="str">
        <f aca="false">IF(INDEX(BookTitle,1615)="","",INDEX(BookTotal,1615)*'5. Scenarios'!$D$6/(1+ProductivityDefault*('5. Scenarios'!$D$11-1)))</f>
        <v/>
      </c>
      <c r="O1620" s="57" t="str">
        <f aca="false">IF($N1620="","",INDEX(BookRate,1615)*(1+'5. Scenarios'!$D$10)*$N1620)</f>
        <v/>
      </c>
      <c r="P1620" s="57" t="str">
        <f aca="false">IF($O1620="","",SUMIFS($O$6:$O$2405,$A$6:$A$2405,"&lt;="&amp;$A1620))</f>
        <v/>
      </c>
      <c r="Q1620" s="57" t="str">
        <f aca="false">IF($O1620="","",IF($P1620&lt;=BankCostEnvelope*'5. Scenarios'!$D$7,1,0))</f>
        <v/>
      </c>
      <c r="R1620" s="57" t="str">
        <f aca="false">IF($N1620="","",INDEX(BookRate,1615)*(1+'5. Scenarios'!$D$10)*(INDEX(BookQ1,1615)*(5-MIN(4,1+'5. Scenarios'!$D$8))/4+INDEX(BookQ2,1615)*(5-MIN(4,2+'5. Scenarios'!$D$8))/4+INDEX(BookQ3,1615)*(5-MIN(4,3+'5. Scenarios'!$D$8))/4+INDEX(BookQ4,1615)*(5-MIN(4,4+'5. Scenarios'!$D$8))/4)*'5. Scenarios'!$D$6/(1+ProductivityDefault*('5. Scenarios'!$D$11-1))+INDEX(BookOneOff,1615)*$N1620)</f>
        <v/>
      </c>
      <c r="S1620" s="56" t="str">
        <f aca="false">IF(INDEX(BookTitle,1615)="","",INDEX(BookTotal,1615)*'5. Scenarios'!$E$6/(1+ProductivityDefault*('5. Scenarios'!$E$11-1)))</f>
        <v/>
      </c>
      <c r="T1620" s="57" t="str">
        <f aca="false">IF($S1620="","",INDEX(BookRate,1615)*(1+'5. Scenarios'!$E$10)*$S1620)</f>
        <v/>
      </c>
      <c r="U1620" s="57" t="str">
        <f aca="false">IF($T1620="","",SUMIFS($T$6:$T$2405,$A$6:$A$2405,"&lt;="&amp;$A1620))</f>
        <v/>
      </c>
      <c r="V1620" s="57" t="str">
        <f aca="false">IF($T1620="","",IF($U1620&lt;=BankCostEnvelope*'5. Scenarios'!$E$7,1,0))</f>
        <v/>
      </c>
      <c r="W1620" s="57" t="str">
        <f aca="false">IF($S1620="","",INDEX(BookRate,1615)*(1+'5. Scenarios'!$E$10)*(INDEX(BookQ1,1615)*(5-MIN(4,1+'5. Scenarios'!$E$8))/4+INDEX(BookQ2,1615)*(5-MIN(4,2+'5. Scenarios'!$E$8))/4+INDEX(BookQ3,1615)*(5-MIN(4,3+'5. Scenarios'!$E$8))/4+INDEX(BookQ4,1615)*(5-MIN(4,4+'5. Scenarios'!$E$8))/4)*'5. Scenarios'!$E$6/(1+ProductivityDefault*('5. Scenarios'!$E$11-1))+INDEX(BookOneOff,1615)*$S1620)</f>
        <v/>
      </c>
    </row>
    <row r="1621" customFormat="false" ht="15" hidden="false" customHeight="false" outlineLevel="0" collapsed="false">
      <c r="A1621" s="0" t="str">
        <f aca="false">IF(INDEX(BookTitle,1616)="","",INDEX(BookKey,1616))</f>
        <v/>
      </c>
      <c r="B1621" s="0" t="str">
        <f aca="false">IF(INDEX(BookTitle,1616)="","",INDEX(BookGroup,1616))</f>
        <v/>
      </c>
      <c r="C1621" s="0" t="str">
        <f aca="false">IF(INDEX(BookTitle,1616)="","",INDEX(BookCategory,1616))</f>
        <v/>
      </c>
      <c r="D1621" s="56" t="str">
        <f aca="false">IF(INDEX(BookTitle,1616)="","",INDEX(BookTotal,1616)*'5. Scenarios'!$B$6/(1+ProductivityDefault*('5. Scenarios'!$B$11-1)))</f>
        <v/>
      </c>
      <c r="E1621" s="57" t="str">
        <f aca="false">IF($D1621="","",INDEX(BookRate,1616)*(1+'5. Scenarios'!$B$10)*$D1621)</f>
        <v/>
      </c>
      <c r="F1621" s="57" t="str">
        <f aca="false">IF($E1621="","",SUMIFS($E$6:$E$2405,$A$6:$A$2405,"&lt;="&amp;$A1621))</f>
        <v/>
      </c>
      <c r="G1621" s="57" t="str">
        <f aca="false">IF($E1621="","",IF($F1621&lt;=BankCostEnvelope*'5. Scenarios'!$B$7,1,0))</f>
        <v/>
      </c>
      <c r="H1621" s="57" t="str">
        <f aca="false">IF($D1621="","",INDEX(BookRate,1616)*(1+'5. Scenarios'!$B$10)*(INDEX(BookQ1,1616)*(5-MIN(4,1+'5. Scenarios'!$B$8))/4+INDEX(BookQ2,1616)*(5-MIN(4,2+'5. Scenarios'!$B$8))/4+INDEX(BookQ3,1616)*(5-MIN(4,3+'5. Scenarios'!$B$8))/4+INDEX(BookQ4,1616)*(5-MIN(4,4+'5. Scenarios'!$B$8))/4)*'5. Scenarios'!$B$6/(1+ProductivityDefault*('5. Scenarios'!$B$11-1))+INDEX(BookOneOff,1616)*$D1621)</f>
        <v/>
      </c>
      <c r="I1621" s="56" t="str">
        <f aca="false">IF(INDEX(BookTitle,1616)="","",INDEX(BookTotal,1616)*'5. Scenarios'!$C$6/(1+ProductivityDefault*('5. Scenarios'!$C$11-1)))</f>
        <v/>
      </c>
      <c r="J1621" s="57" t="str">
        <f aca="false">IF($I1621="","",INDEX(BookRate,1616)*(1+'5. Scenarios'!$C$10)*$I1621)</f>
        <v/>
      </c>
      <c r="K1621" s="57" t="str">
        <f aca="false">IF($J1621="","",SUMIFS($J$6:$J$2405,$A$6:$A$2405,"&lt;="&amp;$A1621))</f>
        <v/>
      </c>
      <c r="L1621" s="57" t="str">
        <f aca="false">IF($J1621="","",IF($K1621&lt;=BankCostEnvelope*'5. Scenarios'!$C$7,1,0))</f>
        <v/>
      </c>
      <c r="M1621" s="57" t="str">
        <f aca="false">IF($I1621="","",INDEX(BookRate,1616)*(1+'5. Scenarios'!$C$10)*(INDEX(BookQ1,1616)*(5-MIN(4,1+'5. Scenarios'!$C$8))/4+INDEX(BookQ2,1616)*(5-MIN(4,2+'5. Scenarios'!$C$8))/4+INDEX(BookQ3,1616)*(5-MIN(4,3+'5. Scenarios'!$C$8))/4+INDEX(BookQ4,1616)*(5-MIN(4,4+'5. Scenarios'!$C$8))/4)*'5. Scenarios'!$C$6/(1+ProductivityDefault*('5. Scenarios'!$C$11-1))+INDEX(BookOneOff,1616)*$I1621)</f>
        <v/>
      </c>
      <c r="N1621" s="56" t="str">
        <f aca="false">IF(INDEX(BookTitle,1616)="","",INDEX(BookTotal,1616)*'5. Scenarios'!$D$6/(1+ProductivityDefault*('5. Scenarios'!$D$11-1)))</f>
        <v/>
      </c>
      <c r="O1621" s="57" t="str">
        <f aca="false">IF($N1621="","",INDEX(BookRate,1616)*(1+'5. Scenarios'!$D$10)*$N1621)</f>
        <v/>
      </c>
      <c r="P1621" s="57" t="str">
        <f aca="false">IF($O1621="","",SUMIFS($O$6:$O$2405,$A$6:$A$2405,"&lt;="&amp;$A1621))</f>
        <v/>
      </c>
      <c r="Q1621" s="57" t="str">
        <f aca="false">IF($O1621="","",IF($P1621&lt;=BankCostEnvelope*'5. Scenarios'!$D$7,1,0))</f>
        <v/>
      </c>
      <c r="R1621" s="57" t="str">
        <f aca="false">IF($N1621="","",INDEX(BookRate,1616)*(1+'5. Scenarios'!$D$10)*(INDEX(BookQ1,1616)*(5-MIN(4,1+'5. Scenarios'!$D$8))/4+INDEX(BookQ2,1616)*(5-MIN(4,2+'5. Scenarios'!$D$8))/4+INDEX(BookQ3,1616)*(5-MIN(4,3+'5. Scenarios'!$D$8))/4+INDEX(BookQ4,1616)*(5-MIN(4,4+'5. Scenarios'!$D$8))/4)*'5. Scenarios'!$D$6/(1+ProductivityDefault*('5. Scenarios'!$D$11-1))+INDEX(BookOneOff,1616)*$N1621)</f>
        <v/>
      </c>
      <c r="S1621" s="56" t="str">
        <f aca="false">IF(INDEX(BookTitle,1616)="","",INDEX(BookTotal,1616)*'5. Scenarios'!$E$6/(1+ProductivityDefault*('5. Scenarios'!$E$11-1)))</f>
        <v/>
      </c>
      <c r="T1621" s="57" t="str">
        <f aca="false">IF($S1621="","",INDEX(BookRate,1616)*(1+'5. Scenarios'!$E$10)*$S1621)</f>
        <v/>
      </c>
      <c r="U1621" s="57" t="str">
        <f aca="false">IF($T1621="","",SUMIFS($T$6:$T$2405,$A$6:$A$2405,"&lt;="&amp;$A1621))</f>
        <v/>
      </c>
      <c r="V1621" s="57" t="str">
        <f aca="false">IF($T1621="","",IF($U1621&lt;=BankCostEnvelope*'5. Scenarios'!$E$7,1,0))</f>
        <v/>
      </c>
      <c r="W1621" s="57" t="str">
        <f aca="false">IF($S1621="","",INDEX(BookRate,1616)*(1+'5. Scenarios'!$E$10)*(INDEX(BookQ1,1616)*(5-MIN(4,1+'5. Scenarios'!$E$8))/4+INDEX(BookQ2,1616)*(5-MIN(4,2+'5. Scenarios'!$E$8))/4+INDEX(BookQ3,1616)*(5-MIN(4,3+'5. Scenarios'!$E$8))/4+INDEX(BookQ4,1616)*(5-MIN(4,4+'5. Scenarios'!$E$8))/4)*'5. Scenarios'!$E$6/(1+ProductivityDefault*('5. Scenarios'!$E$11-1))+INDEX(BookOneOff,1616)*$S1621)</f>
        <v/>
      </c>
    </row>
    <row r="1622" customFormat="false" ht="15" hidden="false" customHeight="false" outlineLevel="0" collapsed="false">
      <c r="A1622" s="0" t="str">
        <f aca="false">IF(INDEX(BookTitle,1617)="","",INDEX(BookKey,1617))</f>
        <v/>
      </c>
      <c r="B1622" s="0" t="str">
        <f aca="false">IF(INDEX(BookTitle,1617)="","",INDEX(BookGroup,1617))</f>
        <v/>
      </c>
      <c r="C1622" s="0" t="str">
        <f aca="false">IF(INDEX(BookTitle,1617)="","",INDEX(BookCategory,1617))</f>
        <v/>
      </c>
      <c r="D1622" s="56" t="str">
        <f aca="false">IF(INDEX(BookTitle,1617)="","",INDEX(BookTotal,1617)*'5. Scenarios'!$B$6/(1+ProductivityDefault*('5. Scenarios'!$B$11-1)))</f>
        <v/>
      </c>
      <c r="E1622" s="57" t="str">
        <f aca="false">IF($D1622="","",INDEX(BookRate,1617)*(1+'5. Scenarios'!$B$10)*$D1622)</f>
        <v/>
      </c>
      <c r="F1622" s="57" t="str">
        <f aca="false">IF($E1622="","",SUMIFS($E$6:$E$2405,$A$6:$A$2405,"&lt;="&amp;$A1622))</f>
        <v/>
      </c>
      <c r="G1622" s="57" t="str">
        <f aca="false">IF($E1622="","",IF($F1622&lt;=BankCostEnvelope*'5. Scenarios'!$B$7,1,0))</f>
        <v/>
      </c>
      <c r="H1622" s="57" t="str">
        <f aca="false">IF($D1622="","",INDEX(BookRate,1617)*(1+'5. Scenarios'!$B$10)*(INDEX(BookQ1,1617)*(5-MIN(4,1+'5. Scenarios'!$B$8))/4+INDEX(BookQ2,1617)*(5-MIN(4,2+'5. Scenarios'!$B$8))/4+INDEX(BookQ3,1617)*(5-MIN(4,3+'5. Scenarios'!$B$8))/4+INDEX(BookQ4,1617)*(5-MIN(4,4+'5. Scenarios'!$B$8))/4)*'5. Scenarios'!$B$6/(1+ProductivityDefault*('5. Scenarios'!$B$11-1))+INDEX(BookOneOff,1617)*$D1622)</f>
        <v/>
      </c>
      <c r="I1622" s="56" t="str">
        <f aca="false">IF(INDEX(BookTitle,1617)="","",INDEX(BookTotal,1617)*'5. Scenarios'!$C$6/(1+ProductivityDefault*('5. Scenarios'!$C$11-1)))</f>
        <v/>
      </c>
      <c r="J1622" s="57" t="str">
        <f aca="false">IF($I1622="","",INDEX(BookRate,1617)*(1+'5. Scenarios'!$C$10)*$I1622)</f>
        <v/>
      </c>
      <c r="K1622" s="57" t="str">
        <f aca="false">IF($J1622="","",SUMIFS($J$6:$J$2405,$A$6:$A$2405,"&lt;="&amp;$A1622))</f>
        <v/>
      </c>
      <c r="L1622" s="57" t="str">
        <f aca="false">IF($J1622="","",IF($K1622&lt;=BankCostEnvelope*'5. Scenarios'!$C$7,1,0))</f>
        <v/>
      </c>
      <c r="M1622" s="57" t="str">
        <f aca="false">IF($I1622="","",INDEX(BookRate,1617)*(1+'5. Scenarios'!$C$10)*(INDEX(BookQ1,1617)*(5-MIN(4,1+'5. Scenarios'!$C$8))/4+INDEX(BookQ2,1617)*(5-MIN(4,2+'5. Scenarios'!$C$8))/4+INDEX(BookQ3,1617)*(5-MIN(4,3+'5. Scenarios'!$C$8))/4+INDEX(BookQ4,1617)*(5-MIN(4,4+'5. Scenarios'!$C$8))/4)*'5. Scenarios'!$C$6/(1+ProductivityDefault*('5. Scenarios'!$C$11-1))+INDEX(BookOneOff,1617)*$I1622)</f>
        <v/>
      </c>
      <c r="N1622" s="56" t="str">
        <f aca="false">IF(INDEX(BookTitle,1617)="","",INDEX(BookTotal,1617)*'5. Scenarios'!$D$6/(1+ProductivityDefault*('5. Scenarios'!$D$11-1)))</f>
        <v/>
      </c>
      <c r="O1622" s="57" t="str">
        <f aca="false">IF($N1622="","",INDEX(BookRate,1617)*(1+'5. Scenarios'!$D$10)*$N1622)</f>
        <v/>
      </c>
      <c r="P1622" s="57" t="str">
        <f aca="false">IF($O1622="","",SUMIFS($O$6:$O$2405,$A$6:$A$2405,"&lt;="&amp;$A1622))</f>
        <v/>
      </c>
      <c r="Q1622" s="57" t="str">
        <f aca="false">IF($O1622="","",IF($P1622&lt;=BankCostEnvelope*'5. Scenarios'!$D$7,1,0))</f>
        <v/>
      </c>
      <c r="R1622" s="57" t="str">
        <f aca="false">IF($N1622="","",INDEX(BookRate,1617)*(1+'5. Scenarios'!$D$10)*(INDEX(BookQ1,1617)*(5-MIN(4,1+'5. Scenarios'!$D$8))/4+INDEX(BookQ2,1617)*(5-MIN(4,2+'5. Scenarios'!$D$8))/4+INDEX(BookQ3,1617)*(5-MIN(4,3+'5. Scenarios'!$D$8))/4+INDEX(BookQ4,1617)*(5-MIN(4,4+'5. Scenarios'!$D$8))/4)*'5. Scenarios'!$D$6/(1+ProductivityDefault*('5. Scenarios'!$D$11-1))+INDEX(BookOneOff,1617)*$N1622)</f>
        <v/>
      </c>
      <c r="S1622" s="56" t="str">
        <f aca="false">IF(INDEX(BookTitle,1617)="","",INDEX(BookTotal,1617)*'5. Scenarios'!$E$6/(1+ProductivityDefault*('5. Scenarios'!$E$11-1)))</f>
        <v/>
      </c>
      <c r="T1622" s="57" t="str">
        <f aca="false">IF($S1622="","",INDEX(BookRate,1617)*(1+'5. Scenarios'!$E$10)*$S1622)</f>
        <v/>
      </c>
      <c r="U1622" s="57" t="str">
        <f aca="false">IF($T1622="","",SUMIFS($T$6:$T$2405,$A$6:$A$2405,"&lt;="&amp;$A1622))</f>
        <v/>
      </c>
      <c r="V1622" s="57" t="str">
        <f aca="false">IF($T1622="","",IF($U1622&lt;=BankCostEnvelope*'5. Scenarios'!$E$7,1,0))</f>
        <v/>
      </c>
      <c r="W1622" s="57" t="str">
        <f aca="false">IF($S1622="","",INDEX(BookRate,1617)*(1+'5. Scenarios'!$E$10)*(INDEX(BookQ1,1617)*(5-MIN(4,1+'5. Scenarios'!$E$8))/4+INDEX(BookQ2,1617)*(5-MIN(4,2+'5. Scenarios'!$E$8))/4+INDEX(BookQ3,1617)*(5-MIN(4,3+'5. Scenarios'!$E$8))/4+INDEX(BookQ4,1617)*(5-MIN(4,4+'5. Scenarios'!$E$8))/4)*'5. Scenarios'!$E$6/(1+ProductivityDefault*('5. Scenarios'!$E$11-1))+INDEX(BookOneOff,1617)*$S1622)</f>
        <v/>
      </c>
    </row>
    <row r="1623" customFormat="false" ht="15" hidden="false" customHeight="false" outlineLevel="0" collapsed="false">
      <c r="A1623" s="0" t="str">
        <f aca="false">IF(INDEX(BookTitle,1618)="","",INDEX(BookKey,1618))</f>
        <v/>
      </c>
      <c r="B1623" s="0" t="str">
        <f aca="false">IF(INDEX(BookTitle,1618)="","",INDEX(BookGroup,1618))</f>
        <v/>
      </c>
      <c r="C1623" s="0" t="str">
        <f aca="false">IF(INDEX(BookTitle,1618)="","",INDEX(BookCategory,1618))</f>
        <v/>
      </c>
      <c r="D1623" s="56" t="str">
        <f aca="false">IF(INDEX(BookTitle,1618)="","",INDEX(BookTotal,1618)*'5. Scenarios'!$B$6/(1+ProductivityDefault*('5. Scenarios'!$B$11-1)))</f>
        <v/>
      </c>
      <c r="E1623" s="57" t="str">
        <f aca="false">IF($D1623="","",INDEX(BookRate,1618)*(1+'5. Scenarios'!$B$10)*$D1623)</f>
        <v/>
      </c>
      <c r="F1623" s="57" t="str">
        <f aca="false">IF($E1623="","",SUMIFS($E$6:$E$2405,$A$6:$A$2405,"&lt;="&amp;$A1623))</f>
        <v/>
      </c>
      <c r="G1623" s="57" t="str">
        <f aca="false">IF($E1623="","",IF($F1623&lt;=BankCostEnvelope*'5. Scenarios'!$B$7,1,0))</f>
        <v/>
      </c>
      <c r="H1623" s="57" t="str">
        <f aca="false">IF($D1623="","",INDEX(BookRate,1618)*(1+'5. Scenarios'!$B$10)*(INDEX(BookQ1,1618)*(5-MIN(4,1+'5. Scenarios'!$B$8))/4+INDEX(BookQ2,1618)*(5-MIN(4,2+'5. Scenarios'!$B$8))/4+INDEX(BookQ3,1618)*(5-MIN(4,3+'5. Scenarios'!$B$8))/4+INDEX(BookQ4,1618)*(5-MIN(4,4+'5. Scenarios'!$B$8))/4)*'5. Scenarios'!$B$6/(1+ProductivityDefault*('5. Scenarios'!$B$11-1))+INDEX(BookOneOff,1618)*$D1623)</f>
        <v/>
      </c>
      <c r="I1623" s="56" t="str">
        <f aca="false">IF(INDEX(BookTitle,1618)="","",INDEX(BookTotal,1618)*'5. Scenarios'!$C$6/(1+ProductivityDefault*('5. Scenarios'!$C$11-1)))</f>
        <v/>
      </c>
      <c r="J1623" s="57" t="str">
        <f aca="false">IF($I1623="","",INDEX(BookRate,1618)*(1+'5. Scenarios'!$C$10)*$I1623)</f>
        <v/>
      </c>
      <c r="K1623" s="57" t="str">
        <f aca="false">IF($J1623="","",SUMIFS($J$6:$J$2405,$A$6:$A$2405,"&lt;="&amp;$A1623))</f>
        <v/>
      </c>
      <c r="L1623" s="57" t="str">
        <f aca="false">IF($J1623="","",IF($K1623&lt;=BankCostEnvelope*'5. Scenarios'!$C$7,1,0))</f>
        <v/>
      </c>
      <c r="M1623" s="57" t="str">
        <f aca="false">IF($I1623="","",INDEX(BookRate,1618)*(1+'5. Scenarios'!$C$10)*(INDEX(BookQ1,1618)*(5-MIN(4,1+'5. Scenarios'!$C$8))/4+INDEX(BookQ2,1618)*(5-MIN(4,2+'5. Scenarios'!$C$8))/4+INDEX(BookQ3,1618)*(5-MIN(4,3+'5. Scenarios'!$C$8))/4+INDEX(BookQ4,1618)*(5-MIN(4,4+'5. Scenarios'!$C$8))/4)*'5. Scenarios'!$C$6/(1+ProductivityDefault*('5. Scenarios'!$C$11-1))+INDEX(BookOneOff,1618)*$I1623)</f>
        <v/>
      </c>
      <c r="N1623" s="56" t="str">
        <f aca="false">IF(INDEX(BookTitle,1618)="","",INDEX(BookTotal,1618)*'5. Scenarios'!$D$6/(1+ProductivityDefault*('5. Scenarios'!$D$11-1)))</f>
        <v/>
      </c>
      <c r="O1623" s="57" t="str">
        <f aca="false">IF($N1623="","",INDEX(BookRate,1618)*(1+'5. Scenarios'!$D$10)*$N1623)</f>
        <v/>
      </c>
      <c r="P1623" s="57" t="str">
        <f aca="false">IF($O1623="","",SUMIFS($O$6:$O$2405,$A$6:$A$2405,"&lt;="&amp;$A1623))</f>
        <v/>
      </c>
      <c r="Q1623" s="57" t="str">
        <f aca="false">IF($O1623="","",IF($P1623&lt;=BankCostEnvelope*'5. Scenarios'!$D$7,1,0))</f>
        <v/>
      </c>
      <c r="R1623" s="57" t="str">
        <f aca="false">IF($N1623="","",INDEX(BookRate,1618)*(1+'5. Scenarios'!$D$10)*(INDEX(BookQ1,1618)*(5-MIN(4,1+'5. Scenarios'!$D$8))/4+INDEX(BookQ2,1618)*(5-MIN(4,2+'5. Scenarios'!$D$8))/4+INDEX(BookQ3,1618)*(5-MIN(4,3+'5. Scenarios'!$D$8))/4+INDEX(BookQ4,1618)*(5-MIN(4,4+'5. Scenarios'!$D$8))/4)*'5. Scenarios'!$D$6/(1+ProductivityDefault*('5. Scenarios'!$D$11-1))+INDEX(BookOneOff,1618)*$N1623)</f>
        <v/>
      </c>
      <c r="S1623" s="56" t="str">
        <f aca="false">IF(INDEX(BookTitle,1618)="","",INDEX(BookTotal,1618)*'5. Scenarios'!$E$6/(1+ProductivityDefault*('5. Scenarios'!$E$11-1)))</f>
        <v/>
      </c>
      <c r="T1623" s="57" t="str">
        <f aca="false">IF($S1623="","",INDEX(BookRate,1618)*(1+'5. Scenarios'!$E$10)*$S1623)</f>
        <v/>
      </c>
      <c r="U1623" s="57" t="str">
        <f aca="false">IF($T1623="","",SUMIFS($T$6:$T$2405,$A$6:$A$2405,"&lt;="&amp;$A1623))</f>
        <v/>
      </c>
      <c r="V1623" s="57" t="str">
        <f aca="false">IF($T1623="","",IF($U1623&lt;=BankCostEnvelope*'5. Scenarios'!$E$7,1,0))</f>
        <v/>
      </c>
      <c r="W1623" s="57" t="str">
        <f aca="false">IF($S1623="","",INDEX(BookRate,1618)*(1+'5. Scenarios'!$E$10)*(INDEX(BookQ1,1618)*(5-MIN(4,1+'5. Scenarios'!$E$8))/4+INDEX(BookQ2,1618)*(5-MIN(4,2+'5. Scenarios'!$E$8))/4+INDEX(BookQ3,1618)*(5-MIN(4,3+'5. Scenarios'!$E$8))/4+INDEX(BookQ4,1618)*(5-MIN(4,4+'5. Scenarios'!$E$8))/4)*'5. Scenarios'!$E$6/(1+ProductivityDefault*('5. Scenarios'!$E$11-1))+INDEX(BookOneOff,1618)*$S1623)</f>
        <v/>
      </c>
    </row>
    <row r="1624" customFormat="false" ht="15" hidden="false" customHeight="false" outlineLevel="0" collapsed="false">
      <c r="A1624" s="0" t="str">
        <f aca="false">IF(INDEX(BookTitle,1619)="","",INDEX(BookKey,1619))</f>
        <v/>
      </c>
      <c r="B1624" s="0" t="str">
        <f aca="false">IF(INDEX(BookTitle,1619)="","",INDEX(BookGroup,1619))</f>
        <v/>
      </c>
      <c r="C1624" s="0" t="str">
        <f aca="false">IF(INDEX(BookTitle,1619)="","",INDEX(BookCategory,1619))</f>
        <v/>
      </c>
      <c r="D1624" s="56" t="str">
        <f aca="false">IF(INDEX(BookTitle,1619)="","",INDEX(BookTotal,1619)*'5. Scenarios'!$B$6/(1+ProductivityDefault*('5. Scenarios'!$B$11-1)))</f>
        <v/>
      </c>
      <c r="E1624" s="57" t="str">
        <f aca="false">IF($D1624="","",INDEX(BookRate,1619)*(1+'5. Scenarios'!$B$10)*$D1624)</f>
        <v/>
      </c>
      <c r="F1624" s="57" t="str">
        <f aca="false">IF($E1624="","",SUMIFS($E$6:$E$2405,$A$6:$A$2405,"&lt;="&amp;$A1624))</f>
        <v/>
      </c>
      <c r="G1624" s="57" t="str">
        <f aca="false">IF($E1624="","",IF($F1624&lt;=BankCostEnvelope*'5. Scenarios'!$B$7,1,0))</f>
        <v/>
      </c>
      <c r="H1624" s="57" t="str">
        <f aca="false">IF($D1624="","",INDEX(BookRate,1619)*(1+'5. Scenarios'!$B$10)*(INDEX(BookQ1,1619)*(5-MIN(4,1+'5. Scenarios'!$B$8))/4+INDEX(BookQ2,1619)*(5-MIN(4,2+'5. Scenarios'!$B$8))/4+INDEX(BookQ3,1619)*(5-MIN(4,3+'5. Scenarios'!$B$8))/4+INDEX(BookQ4,1619)*(5-MIN(4,4+'5. Scenarios'!$B$8))/4)*'5. Scenarios'!$B$6/(1+ProductivityDefault*('5. Scenarios'!$B$11-1))+INDEX(BookOneOff,1619)*$D1624)</f>
        <v/>
      </c>
      <c r="I1624" s="56" t="str">
        <f aca="false">IF(INDEX(BookTitle,1619)="","",INDEX(BookTotal,1619)*'5. Scenarios'!$C$6/(1+ProductivityDefault*('5. Scenarios'!$C$11-1)))</f>
        <v/>
      </c>
      <c r="J1624" s="57" t="str">
        <f aca="false">IF($I1624="","",INDEX(BookRate,1619)*(1+'5. Scenarios'!$C$10)*$I1624)</f>
        <v/>
      </c>
      <c r="K1624" s="57" t="str">
        <f aca="false">IF($J1624="","",SUMIFS($J$6:$J$2405,$A$6:$A$2405,"&lt;="&amp;$A1624))</f>
        <v/>
      </c>
      <c r="L1624" s="57" t="str">
        <f aca="false">IF($J1624="","",IF($K1624&lt;=BankCostEnvelope*'5. Scenarios'!$C$7,1,0))</f>
        <v/>
      </c>
      <c r="M1624" s="57" t="str">
        <f aca="false">IF($I1624="","",INDEX(BookRate,1619)*(1+'5. Scenarios'!$C$10)*(INDEX(BookQ1,1619)*(5-MIN(4,1+'5. Scenarios'!$C$8))/4+INDEX(BookQ2,1619)*(5-MIN(4,2+'5. Scenarios'!$C$8))/4+INDEX(BookQ3,1619)*(5-MIN(4,3+'5. Scenarios'!$C$8))/4+INDEX(BookQ4,1619)*(5-MIN(4,4+'5. Scenarios'!$C$8))/4)*'5. Scenarios'!$C$6/(1+ProductivityDefault*('5. Scenarios'!$C$11-1))+INDEX(BookOneOff,1619)*$I1624)</f>
        <v/>
      </c>
      <c r="N1624" s="56" t="str">
        <f aca="false">IF(INDEX(BookTitle,1619)="","",INDEX(BookTotal,1619)*'5. Scenarios'!$D$6/(1+ProductivityDefault*('5. Scenarios'!$D$11-1)))</f>
        <v/>
      </c>
      <c r="O1624" s="57" t="str">
        <f aca="false">IF($N1624="","",INDEX(BookRate,1619)*(1+'5. Scenarios'!$D$10)*$N1624)</f>
        <v/>
      </c>
      <c r="P1624" s="57" t="str">
        <f aca="false">IF($O1624="","",SUMIFS($O$6:$O$2405,$A$6:$A$2405,"&lt;="&amp;$A1624))</f>
        <v/>
      </c>
      <c r="Q1624" s="57" t="str">
        <f aca="false">IF($O1624="","",IF($P1624&lt;=BankCostEnvelope*'5. Scenarios'!$D$7,1,0))</f>
        <v/>
      </c>
      <c r="R1624" s="57" t="str">
        <f aca="false">IF($N1624="","",INDEX(BookRate,1619)*(1+'5. Scenarios'!$D$10)*(INDEX(BookQ1,1619)*(5-MIN(4,1+'5. Scenarios'!$D$8))/4+INDEX(BookQ2,1619)*(5-MIN(4,2+'5. Scenarios'!$D$8))/4+INDEX(BookQ3,1619)*(5-MIN(4,3+'5. Scenarios'!$D$8))/4+INDEX(BookQ4,1619)*(5-MIN(4,4+'5. Scenarios'!$D$8))/4)*'5. Scenarios'!$D$6/(1+ProductivityDefault*('5. Scenarios'!$D$11-1))+INDEX(BookOneOff,1619)*$N1624)</f>
        <v/>
      </c>
      <c r="S1624" s="56" t="str">
        <f aca="false">IF(INDEX(BookTitle,1619)="","",INDEX(BookTotal,1619)*'5. Scenarios'!$E$6/(1+ProductivityDefault*('5. Scenarios'!$E$11-1)))</f>
        <v/>
      </c>
      <c r="T1624" s="57" t="str">
        <f aca="false">IF($S1624="","",INDEX(BookRate,1619)*(1+'5. Scenarios'!$E$10)*$S1624)</f>
        <v/>
      </c>
      <c r="U1624" s="57" t="str">
        <f aca="false">IF($T1624="","",SUMIFS($T$6:$T$2405,$A$6:$A$2405,"&lt;="&amp;$A1624))</f>
        <v/>
      </c>
      <c r="V1624" s="57" t="str">
        <f aca="false">IF($T1624="","",IF($U1624&lt;=BankCostEnvelope*'5. Scenarios'!$E$7,1,0))</f>
        <v/>
      </c>
      <c r="W1624" s="57" t="str">
        <f aca="false">IF($S1624="","",INDEX(BookRate,1619)*(1+'5. Scenarios'!$E$10)*(INDEX(BookQ1,1619)*(5-MIN(4,1+'5. Scenarios'!$E$8))/4+INDEX(BookQ2,1619)*(5-MIN(4,2+'5. Scenarios'!$E$8))/4+INDEX(BookQ3,1619)*(5-MIN(4,3+'5. Scenarios'!$E$8))/4+INDEX(BookQ4,1619)*(5-MIN(4,4+'5. Scenarios'!$E$8))/4)*'5. Scenarios'!$E$6/(1+ProductivityDefault*('5. Scenarios'!$E$11-1))+INDEX(BookOneOff,1619)*$S1624)</f>
        <v/>
      </c>
    </row>
    <row r="1625" customFormat="false" ht="15" hidden="false" customHeight="false" outlineLevel="0" collapsed="false">
      <c r="A1625" s="0" t="str">
        <f aca="false">IF(INDEX(BookTitle,1620)="","",INDEX(BookKey,1620))</f>
        <v/>
      </c>
      <c r="B1625" s="0" t="str">
        <f aca="false">IF(INDEX(BookTitle,1620)="","",INDEX(BookGroup,1620))</f>
        <v/>
      </c>
      <c r="C1625" s="0" t="str">
        <f aca="false">IF(INDEX(BookTitle,1620)="","",INDEX(BookCategory,1620))</f>
        <v/>
      </c>
      <c r="D1625" s="56" t="str">
        <f aca="false">IF(INDEX(BookTitle,1620)="","",INDEX(BookTotal,1620)*'5. Scenarios'!$B$6/(1+ProductivityDefault*('5. Scenarios'!$B$11-1)))</f>
        <v/>
      </c>
      <c r="E1625" s="57" t="str">
        <f aca="false">IF($D1625="","",INDEX(BookRate,1620)*(1+'5. Scenarios'!$B$10)*$D1625)</f>
        <v/>
      </c>
      <c r="F1625" s="57" t="str">
        <f aca="false">IF($E1625="","",SUMIFS($E$6:$E$2405,$A$6:$A$2405,"&lt;="&amp;$A1625))</f>
        <v/>
      </c>
      <c r="G1625" s="57" t="str">
        <f aca="false">IF($E1625="","",IF($F1625&lt;=BankCostEnvelope*'5. Scenarios'!$B$7,1,0))</f>
        <v/>
      </c>
      <c r="H1625" s="57" t="str">
        <f aca="false">IF($D1625="","",INDEX(BookRate,1620)*(1+'5. Scenarios'!$B$10)*(INDEX(BookQ1,1620)*(5-MIN(4,1+'5. Scenarios'!$B$8))/4+INDEX(BookQ2,1620)*(5-MIN(4,2+'5. Scenarios'!$B$8))/4+INDEX(BookQ3,1620)*(5-MIN(4,3+'5. Scenarios'!$B$8))/4+INDEX(BookQ4,1620)*(5-MIN(4,4+'5. Scenarios'!$B$8))/4)*'5. Scenarios'!$B$6/(1+ProductivityDefault*('5. Scenarios'!$B$11-1))+INDEX(BookOneOff,1620)*$D1625)</f>
        <v/>
      </c>
      <c r="I1625" s="56" t="str">
        <f aca="false">IF(INDEX(BookTitle,1620)="","",INDEX(BookTotal,1620)*'5. Scenarios'!$C$6/(1+ProductivityDefault*('5. Scenarios'!$C$11-1)))</f>
        <v/>
      </c>
      <c r="J1625" s="57" t="str">
        <f aca="false">IF($I1625="","",INDEX(BookRate,1620)*(1+'5. Scenarios'!$C$10)*$I1625)</f>
        <v/>
      </c>
      <c r="K1625" s="57" t="str">
        <f aca="false">IF($J1625="","",SUMIFS($J$6:$J$2405,$A$6:$A$2405,"&lt;="&amp;$A1625))</f>
        <v/>
      </c>
      <c r="L1625" s="57" t="str">
        <f aca="false">IF($J1625="","",IF($K1625&lt;=BankCostEnvelope*'5. Scenarios'!$C$7,1,0))</f>
        <v/>
      </c>
      <c r="M1625" s="57" t="str">
        <f aca="false">IF($I1625="","",INDEX(BookRate,1620)*(1+'5. Scenarios'!$C$10)*(INDEX(BookQ1,1620)*(5-MIN(4,1+'5. Scenarios'!$C$8))/4+INDEX(BookQ2,1620)*(5-MIN(4,2+'5. Scenarios'!$C$8))/4+INDEX(BookQ3,1620)*(5-MIN(4,3+'5. Scenarios'!$C$8))/4+INDEX(BookQ4,1620)*(5-MIN(4,4+'5. Scenarios'!$C$8))/4)*'5. Scenarios'!$C$6/(1+ProductivityDefault*('5. Scenarios'!$C$11-1))+INDEX(BookOneOff,1620)*$I1625)</f>
        <v/>
      </c>
      <c r="N1625" s="56" t="str">
        <f aca="false">IF(INDEX(BookTitle,1620)="","",INDEX(BookTotal,1620)*'5. Scenarios'!$D$6/(1+ProductivityDefault*('5. Scenarios'!$D$11-1)))</f>
        <v/>
      </c>
      <c r="O1625" s="57" t="str">
        <f aca="false">IF($N1625="","",INDEX(BookRate,1620)*(1+'5. Scenarios'!$D$10)*$N1625)</f>
        <v/>
      </c>
      <c r="P1625" s="57" t="str">
        <f aca="false">IF($O1625="","",SUMIFS($O$6:$O$2405,$A$6:$A$2405,"&lt;="&amp;$A1625))</f>
        <v/>
      </c>
      <c r="Q1625" s="57" t="str">
        <f aca="false">IF($O1625="","",IF($P1625&lt;=BankCostEnvelope*'5. Scenarios'!$D$7,1,0))</f>
        <v/>
      </c>
      <c r="R1625" s="57" t="str">
        <f aca="false">IF($N1625="","",INDEX(BookRate,1620)*(1+'5. Scenarios'!$D$10)*(INDEX(BookQ1,1620)*(5-MIN(4,1+'5. Scenarios'!$D$8))/4+INDEX(BookQ2,1620)*(5-MIN(4,2+'5. Scenarios'!$D$8))/4+INDEX(BookQ3,1620)*(5-MIN(4,3+'5. Scenarios'!$D$8))/4+INDEX(BookQ4,1620)*(5-MIN(4,4+'5. Scenarios'!$D$8))/4)*'5. Scenarios'!$D$6/(1+ProductivityDefault*('5. Scenarios'!$D$11-1))+INDEX(BookOneOff,1620)*$N1625)</f>
        <v/>
      </c>
      <c r="S1625" s="56" t="str">
        <f aca="false">IF(INDEX(BookTitle,1620)="","",INDEX(BookTotal,1620)*'5. Scenarios'!$E$6/(1+ProductivityDefault*('5. Scenarios'!$E$11-1)))</f>
        <v/>
      </c>
      <c r="T1625" s="57" t="str">
        <f aca="false">IF($S1625="","",INDEX(BookRate,1620)*(1+'5. Scenarios'!$E$10)*$S1625)</f>
        <v/>
      </c>
      <c r="U1625" s="57" t="str">
        <f aca="false">IF($T1625="","",SUMIFS($T$6:$T$2405,$A$6:$A$2405,"&lt;="&amp;$A1625))</f>
        <v/>
      </c>
      <c r="V1625" s="57" t="str">
        <f aca="false">IF($T1625="","",IF($U1625&lt;=BankCostEnvelope*'5. Scenarios'!$E$7,1,0))</f>
        <v/>
      </c>
      <c r="W1625" s="57" t="str">
        <f aca="false">IF($S1625="","",INDEX(BookRate,1620)*(1+'5. Scenarios'!$E$10)*(INDEX(BookQ1,1620)*(5-MIN(4,1+'5. Scenarios'!$E$8))/4+INDEX(BookQ2,1620)*(5-MIN(4,2+'5. Scenarios'!$E$8))/4+INDEX(BookQ3,1620)*(5-MIN(4,3+'5. Scenarios'!$E$8))/4+INDEX(BookQ4,1620)*(5-MIN(4,4+'5. Scenarios'!$E$8))/4)*'5. Scenarios'!$E$6/(1+ProductivityDefault*('5. Scenarios'!$E$11-1))+INDEX(BookOneOff,1620)*$S1625)</f>
        <v/>
      </c>
    </row>
    <row r="1626" customFormat="false" ht="15" hidden="false" customHeight="false" outlineLevel="0" collapsed="false">
      <c r="A1626" s="0" t="str">
        <f aca="false">IF(INDEX(BookTitle,1621)="","",INDEX(BookKey,1621))</f>
        <v/>
      </c>
      <c r="B1626" s="0" t="str">
        <f aca="false">IF(INDEX(BookTitle,1621)="","",INDEX(BookGroup,1621))</f>
        <v/>
      </c>
      <c r="C1626" s="0" t="str">
        <f aca="false">IF(INDEX(BookTitle,1621)="","",INDEX(BookCategory,1621))</f>
        <v/>
      </c>
      <c r="D1626" s="56" t="str">
        <f aca="false">IF(INDEX(BookTitle,1621)="","",INDEX(BookTotal,1621)*'5. Scenarios'!$B$6/(1+ProductivityDefault*('5. Scenarios'!$B$11-1)))</f>
        <v/>
      </c>
      <c r="E1626" s="57" t="str">
        <f aca="false">IF($D1626="","",INDEX(BookRate,1621)*(1+'5. Scenarios'!$B$10)*$D1626)</f>
        <v/>
      </c>
      <c r="F1626" s="57" t="str">
        <f aca="false">IF($E1626="","",SUMIFS($E$6:$E$2405,$A$6:$A$2405,"&lt;="&amp;$A1626))</f>
        <v/>
      </c>
      <c r="G1626" s="57" t="str">
        <f aca="false">IF($E1626="","",IF($F1626&lt;=BankCostEnvelope*'5. Scenarios'!$B$7,1,0))</f>
        <v/>
      </c>
      <c r="H1626" s="57" t="str">
        <f aca="false">IF($D1626="","",INDEX(BookRate,1621)*(1+'5. Scenarios'!$B$10)*(INDEX(BookQ1,1621)*(5-MIN(4,1+'5. Scenarios'!$B$8))/4+INDEX(BookQ2,1621)*(5-MIN(4,2+'5. Scenarios'!$B$8))/4+INDEX(BookQ3,1621)*(5-MIN(4,3+'5. Scenarios'!$B$8))/4+INDEX(BookQ4,1621)*(5-MIN(4,4+'5. Scenarios'!$B$8))/4)*'5. Scenarios'!$B$6/(1+ProductivityDefault*('5. Scenarios'!$B$11-1))+INDEX(BookOneOff,1621)*$D1626)</f>
        <v/>
      </c>
      <c r="I1626" s="56" t="str">
        <f aca="false">IF(INDEX(BookTitle,1621)="","",INDEX(BookTotal,1621)*'5. Scenarios'!$C$6/(1+ProductivityDefault*('5. Scenarios'!$C$11-1)))</f>
        <v/>
      </c>
      <c r="J1626" s="57" t="str">
        <f aca="false">IF($I1626="","",INDEX(BookRate,1621)*(1+'5. Scenarios'!$C$10)*$I1626)</f>
        <v/>
      </c>
      <c r="K1626" s="57" t="str">
        <f aca="false">IF($J1626="","",SUMIFS($J$6:$J$2405,$A$6:$A$2405,"&lt;="&amp;$A1626))</f>
        <v/>
      </c>
      <c r="L1626" s="57" t="str">
        <f aca="false">IF($J1626="","",IF($K1626&lt;=BankCostEnvelope*'5. Scenarios'!$C$7,1,0))</f>
        <v/>
      </c>
      <c r="M1626" s="57" t="str">
        <f aca="false">IF($I1626="","",INDEX(BookRate,1621)*(1+'5. Scenarios'!$C$10)*(INDEX(BookQ1,1621)*(5-MIN(4,1+'5. Scenarios'!$C$8))/4+INDEX(BookQ2,1621)*(5-MIN(4,2+'5. Scenarios'!$C$8))/4+INDEX(BookQ3,1621)*(5-MIN(4,3+'5. Scenarios'!$C$8))/4+INDEX(BookQ4,1621)*(5-MIN(4,4+'5. Scenarios'!$C$8))/4)*'5. Scenarios'!$C$6/(1+ProductivityDefault*('5. Scenarios'!$C$11-1))+INDEX(BookOneOff,1621)*$I1626)</f>
        <v/>
      </c>
      <c r="N1626" s="56" t="str">
        <f aca="false">IF(INDEX(BookTitle,1621)="","",INDEX(BookTotal,1621)*'5. Scenarios'!$D$6/(1+ProductivityDefault*('5. Scenarios'!$D$11-1)))</f>
        <v/>
      </c>
      <c r="O1626" s="57" t="str">
        <f aca="false">IF($N1626="","",INDEX(BookRate,1621)*(1+'5. Scenarios'!$D$10)*$N1626)</f>
        <v/>
      </c>
      <c r="P1626" s="57" t="str">
        <f aca="false">IF($O1626="","",SUMIFS($O$6:$O$2405,$A$6:$A$2405,"&lt;="&amp;$A1626))</f>
        <v/>
      </c>
      <c r="Q1626" s="57" t="str">
        <f aca="false">IF($O1626="","",IF($P1626&lt;=BankCostEnvelope*'5. Scenarios'!$D$7,1,0))</f>
        <v/>
      </c>
      <c r="R1626" s="57" t="str">
        <f aca="false">IF($N1626="","",INDEX(BookRate,1621)*(1+'5. Scenarios'!$D$10)*(INDEX(BookQ1,1621)*(5-MIN(4,1+'5. Scenarios'!$D$8))/4+INDEX(BookQ2,1621)*(5-MIN(4,2+'5. Scenarios'!$D$8))/4+INDEX(BookQ3,1621)*(5-MIN(4,3+'5. Scenarios'!$D$8))/4+INDEX(BookQ4,1621)*(5-MIN(4,4+'5. Scenarios'!$D$8))/4)*'5. Scenarios'!$D$6/(1+ProductivityDefault*('5. Scenarios'!$D$11-1))+INDEX(BookOneOff,1621)*$N1626)</f>
        <v/>
      </c>
      <c r="S1626" s="56" t="str">
        <f aca="false">IF(INDEX(BookTitle,1621)="","",INDEX(BookTotal,1621)*'5. Scenarios'!$E$6/(1+ProductivityDefault*('5. Scenarios'!$E$11-1)))</f>
        <v/>
      </c>
      <c r="T1626" s="57" t="str">
        <f aca="false">IF($S1626="","",INDEX(BookRate,1621)*(1+'5. Scenarios'!$E$10)*$S1626)</f>
        <v/>
      </c>
      <c r="U1626" s="57" t="str">
        <f aca="false">IF($T1626="","",SUMIFS($T$6:$T$2405,$A$6:$A$2405,"&lt;="&amp;$A1626))</f>
        <v/>
      </c>
      <c r="V1626" s="57" t="str">
        <f aca="false">IF($T1626="","",IF($U1626&lt;=BankCostEnvelope*'5. Scenarios'!$E$7,1,0))</f>
        <v/>
      </c>
      <c r="W1626" s="57" t="str">
        <f aca="false">IF($S1626="","",INDEX(BookRate,1621)*(1+'5. Scenarios'!$E$10)*(INDEX(BookQ1,1621)*(5-MIN(4,1+'5. Scenarios'!$E$8))/4+INDEX(BookQ2,1621)*(5-MIN(4,2+'5. Scenarios'!$E$8))/4+INDEX(BookQ3,1621)*(5-MIN(4,3+'5. Scenarios'!$E$8))/4+INDEX(BookQ4,1621)*(5-MIN(4,4+'5. Scenarios'!$E$8))/4)*'5. Scenarios'!$E$6/(1+ProductivityDefault*('5. Scenarios'!$E$11-1))+INDEX(BookOneOff,1621)*$S1626)</f>
        <v/>
      </c>
    </row>
    <row r="1627" customFormat="false" ht="15" hidden="false" customHeight="false" outlineLevel="0" collapsed="false">
      <c r="A1627" s="0" t="str">
        <f aca="false">IF(INDEX(BookTitle,1622)="","",INDEX(BookKey,1622))</f>
        <v/>
      </c>
      <c r="B1627" s="0" t="str">
        <f aca="false">IF(INDEX(BookTitle,1622)="","",INDEX(BookGroup,1622))</f>
        <v/>
      </c>
      <c r="C1627" s="0" t="str">
        <f aca="false">IF(INDEX(BookTitle,1622)="","",INDEX(BookCategory,1622))</f>
        <v/>
      </c>
      <c r="D1627" s="56" t="str">
        <f aca="false">IF(INDEX(BookTitle,1622)="","",INDEX(BookTotal,1622)*'5. Scenarios'!$B$6/(1+ProductivityDefault*('5. Scenarios'!$B$11-1)))</f>
        <v/>
      </c>
      <c r="E1627" s="57" t="str">
        <f aca="false">IF($D1627="","",INDEX(BookRate,1622)*(1+'5. Scenarios'!$B$10)*$D1627)</f>
        <v/>
      </c>
      <c r="F1627" s="57" t="str">
        <f aca="false">IF($E1627="","",SUMIFS($E$6:$E$2405,$A$6:$A$2405,"&lt;="&amp;$A1627))</f>
        <v/>
      </c>
      <c r="G1627" s="57" t="str">
        <f aca="false">IF($E1627="","",IF($F1627&lt;=BankCostEnvelope*'5. Scenarios'!$B$7,1,0))</f>
        <v/>
      </c>
      <c r="H1627" s="57" t="str">
        <f aca="false">IF($D1627="","",INDEX(BookRate,1622)*(1+'5. Scenarios'!$B$10)*(INDEX(BookQ1,1622)*(5-MIN(4,1+'5. Scenarios'!$B$8))/4+INDEX(BookQ2,1622)*(5-MIN(4,2+'5. Scenarios'!$B$8))/4+INDEX(BookQ3,1622)*(5-MIN(4,3+'5. Scenarios'!$B$8))/4+INDEX(BookQ4,1622)*(5-MIN(4,4+'5. Scenarios'!$B$8))/4)*'5. Scenarios'!$B$6/(1+ProductivityDefault*('5. Scenarios'!$B$11-1))+INDEX(BookOneOff,1622)*$D1627)</f>
        <v/>
      </c>
      <c r="I1627" s="56" t="str">
        <f aca="false">IF(INDEX(BookTitle,1622)="","",INDEX(BookTotal,1622)*'5. Scenarios'!$C$6/(1+ProductivityDefault*('5. Scenarios'!$C$11-1)))</f>
        <v/>
      </c>
      <c r="J1627" s="57" t="str">
        <f aca="false">IF($I1627="","",INDEX(BookRate,1622)*(1+'5. Scenarios'!$C$10)*$I1627)</f>
        <v/>
      </c>
      <c r="K1627" s="57" t="str">
        <f aca="false">IF($J1627="","",SUMIFS($J$6:$J$2405,$A$6:$A$2405,"&lt;="&amp;$A1627))</f>
        <v/>
      </c>
      <c r="L1627" s="57" t="str">
        <f aca="false">IF($J1627="","",IF($K1627&lt;=BankCostEnvelope*'5. Scenarios'!$C$7,1,0))</f>
        <v/>
      </c>
      <c r="M1627" s="57" t="str">
        <f aca="false">IF($I1627="","",INDEX(BookRate,1622)*(1+'5. Scenarios'!$C$10)*(INDEX(BookQ1,1622)*(5-MIN(4,1+'5. Scenarios'!$C$8))/4+INDEX(BookQ2,1622)*(5-MIN(4,2+'5. Scenarios'!$C$8))/4+INDEX(BookQ3,1622)*(5-MIN(4,3+'5. Scenarios'!$C$8))/4+INDEX(BookQ4,1622)*(5-MIN(4,4+'5. Scenarios'!$C$8))/4)*'5. Scenarios'!$C$6/(1+ProductivityDefault*('5. Scenarios'!$C$11-1))+INDEX(BookOneOff,1622)*$I1627)</f>
        <v/>
      </c>
      <c r="N1627" s="56" t="str">
        <f aca="false">IF(INDEX(BookTitle,1622)="","",INDEX(BookTotal,1622)*'5. Scenarios'!$D$6/(1+ProductivityDefault*('5. Scenarios'!$D$11-1)))</f>
        <v/>
      </c>
      <c r="O1627" s="57" t="str">
        <f aca="false">IF($N1627="","",INDEX(BookRate,1622)*(1+'5. Scenarios'!$D$10)*$N1627)</f>
        <v/>
      </c>
      <c r="P1627" s="57" t="str">
        <f aca="false">IF($O1627="","",SUMIFS($O$6:$O$2405,$A$6:$A$2405,"&lt;="&amp;$A1627))</f>
        <v/>
      </c>
      <c r="Q1627" s="57" t="str">
        <f aca="false">IF($O1627="","",IF($P1627&lt;=BankCostEnvelope*'5. Scenarios'!$D$7,1,0))</f>
        <v/>
      </c>
      <c r="R1627" s="57" t="str">
        <f aca="false">IF($N1627="","",INDEX(BookRate,1622)*(1+'5. Scenarios'!$D$10)*(INDEX(BookQ1,1622)*(5-MIN(4,1+'5. Scenarios'!$D$8))/4+INDEX(BookQ2,1622)*(5-MIN(4,2+'5. Scenarios'!$D$8))/4+INDEX(BookQ3,1622)*(5-MIN(4,3+'5. Scenarios'!$D$8))/4+INDEX(BookQ4,1622)*(5-MIN(4,4+'5. Scenarios'!$D$8))/4)*'5. Scenarios'!$D$6/(1+ProductivityDefault*('5. Scenarios'!$D$11-1))+INDEX(BookOneOff,1622)*$N1627)</f>
        <v/>
      </c>
      <c r="S1627" s="56" t="str">
        <f aca="false">IF(INDEX(BookTitle,1622)="","",INDEX(BookTotal,1622)*'5. Scenarios'!$E$6/(1+ProductivityDefault*('5. Scenarios'!$E$11-1)))</f>
        <v/>
      </c>
      <c r="T1627" s="57" t="str">
        <f aca="false">IF($S1627="","",INDEX(BookRate,1622)*(1+'5. Scenarios'!$E$10)*$S1627)</f>
        <v/>
      </c>
      <c r="U1627" s="57" t="str">
        <f aca="false">IF($T1627="","",SUMIFS($T$6:$T$2405,$A$6:$A$2405,"&lt;="&amp;$A1627))</f>
        <v/>
      </c>
      <c r="V1627" s="57" t="str">
        <f aca="false">IF($T1627="","",IF($U1627&lt;=BankCostEnvelope*'5. Scenarios'!$E$7,1,0))</f>
        <v/>
      </c>
      <c r="W1627" s="57" t="str">
        <f aca="false">IF($S1627="","",INDEX(BookRate,1622)*(1+'5. Scenarios'!$E$10)*(INDEX(BookQ1,1622)*(5-MIN(4,1+'5. Scenarios'!$E$8))/4+INDEX(BookQ2,1622)*(5-MIN(4,2+'5. Scenarios'!$E$8))/4+INDEX(BookQ3,1622)*(5-MIN(4,3+'5. Scenarios'!$E$8))/4+INDEX(BookQ4,1622)*(5-MIN(4,4+'5. Scenarios'!$E$8))/4)*'5. Scenarios'!$E$6/(1+ProductivityDefault*('5. Scenarios'!$E$11-1))+INDEX(BookOneOff,1622)*$S1627)</f>
        <v/>
      </c>
    </row>
    <row r="1628" customFormat="false" ht="15" hidden="false" customHeight="false" outlineLevel="0" collapsed="false">
      <c r="A1628" s="0" t="str">
        <f aca="false">IF(INDEX(BookTitle,1623)="","",INDEX(BookKey,1623))</f>
        <v/>
      </c>
      <c r="B1628" s="0" t="str">
        <f aca="false">IF(INDEX(BookTitle,1623)="","",INDEX(BookGroup,1623))</f>
        <v/>
      </c>
      <c r="C1628" s="0" t="str">
        <f aca="false">IF(INDEX(BookTitle,1623)="","",INDEX(BookCategory,1623))</f>
        <v/>
      </c>
      <c r="D1628" s="56" t="str">
        <f aca="false">IF(INDEX(BookTitle,1623)="","",INDEX(BookTotal,1623)*'5. Scenarios'!$B$6/(1+ProductivityDefault*('5. Scenarios'!$B$11-1)))</f>
        <v/>
      </c>
      <c r="E1628" s="57" t="str">
        <f aca="false">IF($D1628="","",INDEX(BookRate,1623)*(1+'5. Scenarios'!$B$10)*$D1628)</f>
        <v/>
      </c>
      <c r="F1628" s="57" t="str">
        <f aca="false">IF($E1628="","",SUMIFS($E$6:$E$2405,$A$6:$A$2405,"&lt;="&amp;$A1628))</f>
        <v/>
      </c>
      <c r="G1628" s="57" t="str">
        <f aca="false">IF($E1628="","",IF($F1628&lt;=BankCostEnvelope*'5. Scenarios'!$B$7,1,0))</f>
        <v/>
      </c>
      <c r="H1628" s="57" t="str">
        <f aca="false">IF($D1628="","",INDEX(BookRate,1623)*(1+'5. Scenarios'!$B$10)*(INDEX(BookQ1,1623)*(5-MIN(4,1+'5. Scenarios'!$B$8))/4+INDEX(BookQ2,1623)*(5-MIN(4,2+'5. Scenarios'!$B$8))/4+INDEX(BookQ3,1623)*(5-MIN(4,3+'5. Scenarios'!$B$8))/4+INDEX(BookQ4,1623)*(5-MIN(4,4+'5. Scenarios'!$B$8))/4)*'5. Scenarios'!$B$6/(1+ProductivityDefault*('5. Scenarios'!$B$11-1))+INDEX(BookOneOff,1623)*$D1628)</f>
        <v/>
      </c>
      <c r="I1628" s="56" t="str">
        <f aca="false">IF(INDEX(BookTitle,1623)="","",INDEX(BookTotal,1623)*'5. Scenarios'!$C$6/(1+ProductivityDefault*('5. Scenarios'!$C$11-1)))</f>
        <v/>
      </c>
      <c r="J1628" s="57" t="str">
        <f aca="false">IF($I1628="","",INDEX(BookRate,1623)*(1+'5. Scenarios'!$C$10)*$I1628)</f>
        <v/>
      </c>
      <c r="K1628" s="57" t="str">
        <f aca="false">IF($J1628="","",SUMIFS($J$6:$J$2405,$A$6:$A$2405,"&lt;="&amp;$A1628))</f>
        <v/>
      </c>
      <c r="L1628" s="57" t="str">
        <f aca="false">IF($J1628="","",IF($K1628&lt;=BankCostEnvelope*'5. Scenarios'!$C$7,1,0))</f>
        <v/>
      </c>
      <c r="M1628" s="57" t="str">
        <f aca="false">IF($I1628="","",INDEX(BookRate,1623)*(1+'5. Scenarios'!$C$10)*(INDEX(BookQ1,1623)*(5-MIN(4,1+'5. Scenarios'!$C$8))/4+INDEX(BookQ2,1623)*(5-MIN(4,2+'5. Scenarios'!$C$8))/4+INDEX(BookQ3,1623)*(5-MIN(4,3+'5. Scenarios'!$C$8))/4+INDEX(BookQ4,1623)*(5-MIN(4,4+'5. Scenarios'!$C$8))/4)*'5. Scenarios'!$C$6/(1+ProductivityDefault*('5. Scenarios'!$C$11-1))+INDEX(BookOneOff,1623)*$I1628)</f>
        <v/>
      </c>
      <c r="N1628" s="56" t="str">
        <f aca="false">IF(INDEX(BookTitle,1623)="","",INDEX(BookTotal,1623)*'5. Scenarios'!$D$6/(1+ProductivityDefault*('5. Scenarios'!$D$11-1)))</f>
        <v/>
      </c>
      <c r="O1628" s="57" t="str">
        <f aca="false">IF($N1628="","",INDEX(BookRate,1623)*(1+'5. Scenarios'!$D$10)*$N1628)</f>
        <v/>
      </c>
      <c r="P1628" s="57" t="str">
        <f aca="false">IF($O1628="","",SUMIFS($O$6:$O$2405,$A$6:$A$2405,"&lt;="&amp;$A1628))</f>
        <v/>
      </c>
      <c r="Q1628" s="57" t="str">
        <f aca="false">IF($O1628="","",IF($P1628&lt;=BankCostEnvelope*'5. Scenarios'!$D$7,1,0))</f>
        <v/>
      </c>
      <c r="R1628" s="57" t="str">
        <f aca="false">IF($N1628="","",INDEX(BookRate,1623)*(1+'5. Scenarios'!$D$10)*(INDEX(BookQ1,1623)*(5-MIN(4,1+'5. Scenarios'!$D$8))/4+INDEX(BookQ2,1623)*(5-MIN(4,2+'5. Scenarios'!$D$8))/4+INDEX(BookQ3,1623)*(5-MIN(4,3+'5. Scenarios'!$D$8))/4+INDEX(BookQ4,1623)*(5-MIN(4,4+'5. Scenarios'!$D$8))/4)*'5. Scenarios'!$D$6/(1+ProductivityDefault*('5. Scenarios'!$D$11-1))+INDEX(BookOneOff,1623)*$N1628)</f>
        <v/>
      </c>
      <c r="S1628" s="56" t="str">
        <f aca="false">IF(INDEX(BookTitle,1623)="","",INDEX(BookTotal,1623)*'5. Scenarios'!$E$6/(1+ProductivityDefault*('5. Scenarios'!$E$11-1)))</f>
        <v/>
      </c>
      <c r="T1628" s="57" t="str">
        <f aca="false">IF($S1628="","",INDEX(BookRate,1623)*(1+'5. Scenarios'!$E$10)*$S1628)</f>
        <v/>
      </c>
      <c r="U1628" s="57" t="str">
        <f aca="false">IF($T1628="","",SUMIFS($T$6:$T$2405,$A$6:$A$2405,"&lt;="&amp;$A1628))</f>
        <v/>
      </c>
      <c r="V1628" s="57" t="str">
        <f aca="false">IF($T1628="","",IF($U1628&lt;=BankCostEnvelope*'5. Scenarios'!$E$7,1,0))</f>
        <v/>
      </c>
      <c r="W1628" s="57" t="str">
        <f aca="false">IF($S1628="","",INDEX(BookRate,1623)*(1+'5. Scenarios'!$E$10)*(INDEX(BookQ1,1623)*(5-MIN(4,1+'5. Scenarios'!$E$8))/4+INDEX(BookQ2,1623)*(5-MIN(4,2+'5. Scenarios'!$E$8))/4+INDEX(BookQ3,1623)*(5-MIN(4,3+'5. Scenarios'!$E$8))/4+INDEX(BookQ4,1623)*(5-MIN(4,4+'5. Scenarios'!$E$8))/4)*'5. Scenarios'!$E$6/(1+ProductivityDefault*('5. Scenarios'!$E$11-1))+INDEX(BookOneOff,1623)*$S1628)</f>
        <v/>
      </c>
    </row>
    <row r="1629" customFormat="false" ht="15" hidden="false" customHeight="false" outlineLevel="0" collapsed="false">
      <c r="A1629" s="0" t="str">
        <f aca="false">IF(INDEX(BookTitle,1624)="","",INDEX(BookKey,1624))</f>
        <v/>
      </c>
      <c r="B1629" s="0" t="str">
        <f aca="false">IF(INDEX(BookTitle,1624)="","",INDEX(BookGroup,1624))</f>
        <v/>
      </c>
      <c r="C1629" s="0" t="str">
        <f aca="false">IF(INDEX(BookTitle,1624)="","",INDEX(BookCategory,1624))</f>
        <v/>
      </c>
      <c r="D1629" s="56" t="str">
        <f aca="false">IF(INDEX(BookTitle,1624)="","",INDEX(BookTotal,1624)*'5. Scenarios'!$B$6/(1+ProductivityDefault*('5. Scenarios'!$B$11-1)))</f>
        <v/>
      </c>
      <c r="E1629" s="57" t="str">
        <f aca="false">IF($D1629="","",INDEX(BookRate,1624)*(1+'5. Scenarios'!$B$10)*$D1629)</f>
        <v/>
      </c>
      <c r="F1629" s="57" t="str">
        <f aca="false">IF($E1629="","",SUMIFS($E$6:$E$2405,$A$6:$A$2405,"&lt;="&amp;$A1629))</f>
        <v/>
      </c>
      <c r="G1629" s="57" t="str">
        <f aca="false">IF($E1629="","",IF($F1629&lt;=BankCostEnvelope*'5. Scenarios'!$B$7,1,0))</f>
        <v/>
      </c>
      <c r="H1629" s="57" t="str">
        <f aca="false">IF($D1629="","",INDEX(BookRate,1624)*(1+'5. Scenarios'!$B$10)*(INDEX(BookQ1,1624)*(5-MIN(4,1+'5. Scenarios'!$B$8))/4+INDEX(BookQ2,1624)*(5-MIN(4,2+'5. Scenarios'!$B$8))/4+INDEX(BookQ3,1624)*(5-MIN(4,3+'5. Scenarios'!$B$8))/4+INDEX(BookQ4,1624)*(5-MIN(4,4+'5. Scenarios'!$B$8))/4)*'5. Scenarios'!$B$6/(1+ProductivityDefault*('5. Scenarios'!$B$11-1))+INDEX(BookOneOff,1624)*$D1629)</f>
        <v/>
      </c>
      <c r="I1629" s="56" t="str">
        <f aca="false">IF(INDEX(BookTitle,1624)="","",INDEX(BookTotal,1624)*'5. Scenarios'!$C$6/(1+ProductivityDefault*('5. Scenarios'!$C$11-1)))</f>
        <v/>
      </c>
      <c r="J1629" s="57" t="str">
        <f aca="false">IF($I1629="","",INDEX(BookRate,1624)*(1+'5. Scenarios'!$C$10)*$I1629)</f>
        <v/>
      </c>
      <c r="K1629" s="57" t="str">
        <f aca="false">IF($J1629="","",SUMIFS($J$6:$J$2405,$A$6:$A$2405,"&lt;="&amp;$A1629))</f>
        <v/>
      </c>
      <c r="L1629" s="57" t="str">
        <f aca="false">IF($J1629="","",IF($K1629&lt;=BankCostEnvelope*'5. Scenarios'!$C$7,1,0))</f>
        <v/>
      </c>
      <c r="M1629" s="57" t="str">
        <f aca="false">IF($I1629="","",INDEX(BookRate,1624)*(1+'5. Scenarios'!$C$10)*(INDEX(BookQ1,1624)*(5-MIN(4,1+'5. Scenarios'!$C$8))/4+INDEX(BookQ2,1624)*(5-MIN(4,2+'5. Scenarios'!$C$8))/4+INDEX(BookQ3,1624)*(5-MIN(4,3+'5. Scenarios'!$C$8))/4+INDEX(BookQ4,1624)*(5-MIN(4,4+'5. Scenarios'!$C$8))/4)*'5. Scenarios'!$C$6/(1+ProductivityDefault*('5. Scenarios'!$C$11-1))+INDEX(BookOneOff,1624)*$I1629)</f>
        <v/>
      </c>
      <c r="N1629" s="56" t="str">
        <f aca="false">IF(INDEX(BookTitle,1624)="","",INDEX(BookTotal,1624)*'5. Scenarios'!$D$6/(1+ProductivityDefault*('5. Scenarios'!$D$11-1)))</f>
        <v/>
      </c>
      <c r="O1629" s="57" t="str">
        <f aca="false">IF($N1629="","",INDEX(BookRate,1624)*(1+'5. Scenarios'!$D$10)*$N1629)</f>
        <v/>
      </c>
      <c r="P1629" s="57" t="str">
        <f aca="false">IF($O1629="","",SUMIFS($O$6:$O$2405,$A$6:$A$2405,"&lt;="&amp;$A1629))</f>
        <v/>
      </c>
      <c r="Q1629" s="57" t="str">
        <f aca="false">IF($O1629="","",IF($P1629&lt;=BankCostEnvelope*'5. Scenarios'!$D$7,1,0))</f>
        <v/>
      </c>
      <c r="R1629" s="57" t="str">
        <f aca="false">IF($N1629="","",INDEX(BookRate,1624)*(1+'5. Scenarios'!$D$10)*(INDEX(BookQ1,1624)*(5-MIN(4,1+'5. Scenarios'!$D$8))/4+INDEX(BookQ2,1624)*(5-MIN(4,2+'5. Scenarios'!$D$8))/4+INDEX(BookQ3,1624)*(5-MIN(4,3+'5. Scenarios'!$D$8))/4+INDEX(BookQ4,1624)*(5-MIN(4,4+'5. Scenarios'!$D$8))/4)*'5. Scenarios'!$D$6/(1+ProductivityDefault*('5. Scenarios'!$D$11-1))+INDEX(BookOneOff,1624)*$N1629)</f>
        <v/>
      </c>
      <c r="S1629" s="56" t="str">
        <f aca="false">IF(INDEX(BookTitle,1624)="","",INDEX(BookTotal,1624)*'5. Scenarios'!$E$6/(1+ProductivityDefault*('5. Scenarios'!$E$11-1)))</f>
        <v/>
      </c>
      <c r="T1629" s="57" t="str">
        <f aca="false">IF($S1629="","",INDEX(BookRate,1624)*(1+'5. Scenarios'!$E$10)*$S1629)</f>
        <v/>
      </c>
      <c r="U1629" s="57" t="str">
        <f aca="false">IF($T1629="","",SUMIFS($T$6:$T$2405,$A$6:$A$2405,"&lt;="&amp;$A1629))</f>
        <v/>
      </c>
      <c r="V1629" s="57" t="str">
        <f aca="false">IF($T1629="","",IF($U1629&lt;=BankCostEnvelope*'5. Scenarios'!$E$7,1,0))</f>
        <v/>
      </c>
      <c r="W1629" s="57" t="str">
        <f aca="false">IF($S1629="","",INDEX(BookRate,1624)*(1+'5. Scenarios'!$E$10)*(INDEX(BookQ1,1624)*(5-MIN(4,1+'5. Scenarios'!$E$8))/4+INDEX(BookQ2,1624)*(5-MIN(4,2+'5. Scenarios'!$E$8))/4+INDEX(BookQ3,1624)*(5-MIN(4,3+'5. Scenarios'!$E$8))/4+INDEX(BookQ4,1624)*(5-MIN(4,4+'5. Scenarios'!$E$8))/4)*'5. Scenarios'!$E$6/(1+ProductivityDefault*('5. Scenarios'!$E$11-1))+INDEX(BookOneOff,1624)*$S1629)</f>
        <v/>
      </c>
    </row>
    <row r="1630" customFormat="false" ht="15" hidden="false" customHeight="false" outlineLevel="0" collapsed="false">
      <c r="A1630" s="0" t="str">
        <f aca="false">IF(INDEX(BookTitle,1625)="","",INDEX(BookKey,1625))</f>
        <v/>
      </c>
      <c r="B1630" s="0" t="str">
        <f aca="false">IF(INDEX(BookTitle,1625)="","",INDEX(BookGroup,1625))</f>
        <v/>
      </c>
      <c r="C1630" s="0" t="str">
        <f aca="false">IF(INDEX(BookTitle,1625)="","",INDEX(BookCategory,1625))</f>
        <v/>
      </c>
      <c r="D1630" s="56" t="str">
        <f aca="false">IF(INDEX(BookTitle,1625)="","",INDEX(BookTotal,1625)*'5. Scenarios'!$B$6/(1+ProductivityDefault*('5. Scenarios'!$B$11-1)))</f>
        <v/>
      </c>
      <c r="E1630" s="57" t="str">
        <f aca="false">IF($D1630="","",INDEX(BookRate,1625)*(1+'5. Scenarios'!$B$10)*$D1630)</f>
        <v/>
      </c>
      <c r="F1630" s="57" t="str">
        <f aca="false">IF($E1630="","",SUMIFS($E$6:$E$2405,$A$6:$A$2405,"&lt;="&amp;$A1630))</f>
        <v/>
      </c>
      <c r="G1630" s="57" t="str">
        <f aca="false">IF($E1630="","",IF($F1630&lt;=BankCostEnvelope*'5. Scenarios'!$B$7,1,0))</f>
        <v/>
      </c>
      <c r="H1630" s="57" t="str">
        <f aca="false">IF($D1630="","",INDEX(BookRate,1625)*(1+'5. Scenarios'!$B$10)*(INDEX(BookQ1,1625)*(5-MIN(4,1+'5. Scenarios'!$B$8))/4+INDEX(BookQ2,1625)*(5-MIN(4,2+'5. Scenarios'!$B$8))/4+INDEX(BookQ3,1625)*(5-MIN(4,3+'5. Scenarios'!$B$8))/4+INDEX(BookQ4,1625)*(5-MIN(4,4+'5. Scenarios'!$B$8))/4)*'5. Scenarios'!$B$6/(1+ProductivityDefault*('5. Scenarios'!$B$11-1))+INDEX(BookOneOff,1625)*$D1630)</f>
        <v/>
      </c>
      <c r="I1630" s="56" t="str">
        <f aca="false">IF(INDEX(BookTitle,1625)="","",INDEX(BookTotal,1625)*'5. Scenarios'!$C$6/(1+ProductivityDefault*('5. Scenarios'!$C$11-1)))</f>
        <v/>
      </c>
      <c r="J1630" s="57" t="str">
        <f aca="false">IF($I1630="","",INDEX(BookRate,1625)*(1+'5. Scenarios'!$C$10)*$I1630)</f>
        <v/>
      </c>
      <c r="K1630" s="57" t="str">
        <f aca="false">IF($J1630="","",SUMIFS($J$6:$J$2405,$A$6:$A$2405,"&lt;="&amp;$A1630))</f>
        <v/>
      </c>
      <c r="L1630" s="57" t="str">
        <f aca="false">IF($J1630="","",IF($K1630&lt;=BankCostEnvelope*'5. Scenarios'!$C$7,1,0))</f>
        <v/>
      </c>
      <c r="M1630" s="57" t="str">
        <f aca="false">IF($I1630="","",INDEX(BookRate,1625)*(1+'5. Scenarios'!$C$10)*(INDEX(BookQ1,1625)*(5-MIN(4,1+'5. Scenarios'!$C$8))/4+INDEX(BookQ2,1625)*(5-MIN(4,2+'5. Scenarios'!$C$8))/4+INDEX(BookQ3,1625)*(5-MIN(4,3+'5. Scenarios'!$C$8))/4+INDEX(BookQ4,1625)*(5-MIN(4,4+'5. Scenarios'!$C$8))/4)*'5. Scenarios'!$C$6/(1+ProductivityDefault*('5. Scenarios'!$C$11-1))+INDEX(BookOneOff,1625)*$I1630)</f>
        <v/>
      </c>
      <c r="N1630" s="56" t="str">
        <f aca="false">IF(INDEX(BookTitle,1625)="","",INDEX(BookTotal,1625)*'5. Scenarios'!$D$6/(1+ProductivityDefault*('5. Scenarios'!$D$11-1)))</f>
        <v/>
      </c>
      <c r="O1630" s="57" t="str">
        <f aca="false">IF($N1630="","",INDEX(BookRate,1625)*(1+'5. Scenarios'!$D$10)*$N1630)</f>
        <v/>
      </c>
      <c r="P1630" s="57" t="str">
        <f aca="false">IF($O1630="","",SUMIFS($O$6:$O$2405,$A$6:$A$2405,"&lt;="&amp;$A1630))</f>
        <v/>
      </c>
      <c r="Q1630" s="57" t="str">
        <f aca="false">IF($O1630="","",IF($P1630&lt;=BankCostEnvelope*'5. Scenarios'!$D$7,1,0))</f>
        <v/>
      </c>
      <c r="R1630" s="57" t="str">
        <f aca="false">IF($N1630="","",INDEX(BookRate,1625)*(1+'5. Scenarios'!$D$10)*(INDEX(BookQ1,1625)*(5-MIN(4,1+'5. Scenarios'!$D$8))/4+INDEX(BookQ2,1625)*(5-MIN(4,2+'5. Scenarios'!$D$8))/4+INDEX(BookQ3,1625)*(5-MIN(4,3+'5. Scenarios'!$D$8))/4+INDEX(BookQ4,1625)*(5-MIN(4,4+'5. Scenarios'!$D$8))/4)*'5. Scenarios'!$D$6/(1+ProductivityDefault*('5. Scenarios'!$D$11-1))+INDEX(BookOneOff,1625)*$N1630)</f>
        <v/>
      </c>
      <c r="S1630" s="56" t="str">
        <f aca="false">IF(INDEX(BookTitle,1625)="","",INDEX(BookTotal,1625)*'5. Scenarios'!$E$6/(1+ProductivityDefault*('5. Scenarios'!$E$11-1)))</f>
        <v/>
      </c>
      <c r="T1630" s="57" t="str">
        <f aca="false">IF($S1630="","",INDEX(BookRate,1625)*(1+'5. Scenarios'!$E$10)*$S1630)</f>
        <v/>
      </c>
      <c r="U1630" s="57" t="str">
        <f aca="false">IF($T1630="","",SUMIFS($T$6:$T$2405,$A$6:$A$2405,"&lt;="&amp;$A1630))</f>
        <v/>
      </c>
      <c r="V1630" s="57" t="str">
        <f aca="false">IF($T1630="","",IF($U1630&lt;=BankCostEnvelope*'5. Scenarios'!$E$7,1,0))</f>
        <v/>
      </c>
      <c r="W1630" s="57" t="str">
        <f aca="false">IF($S1630="","",INDEX(BookRate,1625)*(1+'5. Scenarios'!$E$10)*(INDEX(BookQ1,1625)*(5-MIN(4,1+'5. Scenarios'!$E$8))/4+INDEX(BookQ2,1625)*(5-MIN(4,2+'5. Scenarios'!$E$8))/4+INDEX(BookQ3,1625)*(5-MIN(4,3+'5. Scenarios'!$E$8))/4+INDEX(BookQ4,1625)*(5-MIN(4,4+'5. Scenarios'!$E$8))/4)*'5. Scenarios'!$E$6/(1+ProductivityDefault*('5. Scenarios'!$E$11-1))+INDEX(BookOneOff,1625)*$S1630)</f>
        <v/>
      </c>
    </row>
    <row r="1631" customFormat="false" ht="15" hidden="false" customHeight="false" outlineLevel="0" collapsed="false">
      <c r="A1631" s="0" t="str">
        <f aca="false">IF(INDEX(BookTitle,1626)="","",INDEX(BookKey,1626))</f>
        <v/>
      </c>
      <c r="B1631" s="0" t="str">
        <f aca="false">IF(INDEX(BookTitle,1626)="","",INDEX(BookGroup,1626))</f>
        <v/>
      </c>
      <c r="C1631" s="0" t="str">
        <f aca="false">IF(INDEX(BookTitle,1626)="","",INDEX(BookCategory,1626))</f>
        <v/>
      </c>
      <c r="D1631" s="56" t="str">
        <f aca="false">IF(INDEX(BookTitle,1626)="","",INDEX(BookTotal,1626)*'5. Scenarios'!$B$6/(1+ProductivityDefault*('5. Scenarios'!$B$11-1)))</f>
        <v/>
      </c>
      <c r="E1631" s="57" t="str">
        <f aca="false">IF($D1631="","",INDEX(BookRate,1626)*(1+'5. Scenarios'!$B$10)*$D1631)</f>
        <v/>
      </c>
      <c r="F1631" s="57" t="str">
        <f aca="false">IF($E1631="","",SUMIFS($E$6:$E$2405,$A$6:$A$2405,"&lt;="&amp;$A1631))</f>
        <v/>
      </c>
      <c r="G1631" s="57" t="str">
        <f aca="false">IF($E1631="","",IF($F1631&lt;=BankCostEnvelope*'5. Scenarios'!$B$7,1,0))</f>
        <v/>
      </c>
      <c r="H1631" s="57" t="str">
        <f aca="false">IF($D1631="","",INDEX(BookRate,1626)*(1+'5. Scenarios'!$B$10)*(INDEX(BookQ1,1626)*(5-MIN(4,1+'5. Scenarios'!$B$8))/4+INDEX(BookQ2,1626)*(5-MIN(4,2+'5. Scenarios'!$B$8))/4+INDEX(BookQ3,1626)*(5-MIN(4,3+'5. Scenarios'!$B$8))/4+INDEX(BookQ4,1626)*(5-MIN(4,4+'5. Scenarios'!$B$8))/4)*'5. Scenarios'!$B$6/(1+ProductivityDefault*('5. Scenarios'!$B$11-1))+INDEX(BookOneOff,1626)*$D1631)</f>
        <v/>
      </c>
      <c r="I1631" s="56" t="str">
        <f aca="false">IF(INDEX(BookTitle,1626)="","",INDEX(BookTotal,1626)*'5. Scenarios'!$C$6/(1+ProductivityDefault*('5. Scenarios'!$C$11-1)))</f>
        <v/>
      </c>
      <c r="J1631" s="57" t="str">
        <f aca="false">IF($I1631="","",INDEX(BookRate,1626)*(1+'5. Scenarios'!$C$10)*$I1631)</f>
        <v/>
      </c>
      <c r="K1631" s="57" t="str">
        <f aca="false">IF($J1631="","",SUMIFS($J$6:$J$2405,$A$6:$A$2405,"&lt;="&amp;$A1631))</f>
        <v/>
      </c>
      <c r="L1631" s="57" t="str">
        <f aca="false">IF($J1631="","",IF($K1631&lt;=BankCostEnvelope*'5. Scenarios'!$C$7,1,0))</f>
        <v/>
      </c>
      <c r="M1631" s="57" t="str">
        <f aca="false">IF($I1631="","",INDEX(BookRate,1626)*(1+'5. Scenarios'!$C$10)*(INDEX(BookQ1,1626)*(5-MIN(4,1+'5. Scenarios'!$C$8))/4+INDEX(BookQ2,1626)*(5-MIN(4,2+'5. Scenarios'!$C$8))/4+INDEX(BookQ3,1626)*(5-MIN(4,3+'5. Scenarios'!$C$8))/4+INDEX(BookQ4,1626)*(5-MIN(4,4+'5. Scenarios'!$C$8))/4)*'5. Scenarios'!$C$6/(1+ProductivityDefault*('5. Scenarios'!$C$11-1))+INDEX(BookOneOff,1626)*$I1631)</f>
        <v/>
      </c>
      <c r="N1631" s="56" t="str">
        <f aca="false">IF(INDEX(BookTitle,1626)="","",INDEX(BookTotal,1626)*'5. Scenarios'!$D$6/(1+ProductivityDefault*('5. Scenarios'!$D$11-1)))</f>
        <v/>
      </c>
      <c r="O1631" s="57" t="str">
        <f aca="false">IF($N1631="","",INDEX(BookRate,1626)*(1+'5. Scenarios'!$D$10)*$N1631)</f>
        <v/>
      </c>
      <c r="P1631" s="57" t="str">
        <f aca="false">IF($O1631="","",SUMIFS($O$6:$O$2405,$A$6:$A$2405,"&lt;="&amp;$A1631))</f>
        <v/>
      </c>
      <c r="Q1631" s="57" t="str">
        <f aca="false">IF($O1631="","",IF($P1631&lt;=BankCostEnvelope*'5. Scenarios'!$D$7,1,0))</f>
        <v/>
      </c>
      <c r="R1631" s="57" t="str">
        <f aca="false">IF($N1631="","",INDEX(BookRate,1626)*(1+'5. Scenarios'!$D$10)*(INDEX(BookQ1,1626)*(5-MIN(4,1+'5. Scenarios'!$D$8))/4+INDEX(BookQ2,1626)*(5-MIN(4,2+'5. Scenarios'!$D$8))/4+INDEX(BookQ3,1626)*(5-MIN(4,3+'5. Scenarios'!$D$8))/4+INDEX(BookQ4,1626)*(5-MIN(4,4+'5. Scenarios'!$D$8))/4)*'5. Scenarios'!$D$6/(1+ProductivityDefault*('5. Scenarios'!$D$11-1))+INDEX(BookOneOff,1626)*$N1631)</f>
        <v/>
      </c>
      <c r="S1631" s="56" t="str">
        <f aca="false">IF(INDEX(BookTitle,1626)="","",INDEX(BookTotal,1626)*'5. Scenarios'!$E$6/(1+ProductivityDefault*('5. Scenarios'!$E$11-1)))</f>
        <v/>
      </c>
      <c r="T1631" s="57" t="str">
        <f aca="false">IF($S1631="","",INDEX(BookRate,1626)*(1+'5. Scenarios'!$E$10)*$S1631)</f>
        <v/>
      </c>
      <c r="U1631" s="57" t="str">
        <f aca="false">IF($T1631="","",SUMIFS($T$6:$T$2405,$A$6:$A$2405,"&lt;="&amp;$A1631))</f>
        <v/>
      </c>
      <c r="V1631" s="57" t="str">
        <f aca="false">IF($T1631="","",IF($U1631&lt;=BankCostEnvelope*'5. Scenarios'!$E$7,1,0))</f>
        <v/>
      </c>
      <c r="W1631" s="57" t="str">
        <f aca="false">IF($S1631="","",INDEX(BookRate,1626)*(1+'5. Scenarios'!$E$10)*(INDEX(BookQ1,1626)*(5-MIN(4,1+'5. Scenarios'!$E$8))/4+INDEX(BookQ2,1626)*(5-MIN(4,2+'5. Scenarios'!$E$8))/4+INDEX(BookQ3,1626)*(5-MIN(4,3+'5. Scenarios'!$E$8))/4+INDEX(BookQ4,1626)*(5-MIN(4,4+'5. Scenarios'!$E$8))/4)*'5. Scenarios'!$E$6/(1+ProductivityDefault*('5. Scenarios'!$E$11-1))+INDEX(BookOneOff,1626)*$S1631)</f>
        <v/>
      </c>
    </row>
    <row r="1632" customFormat="false" ht="15" hidden="false" customHeight="false" outlineLevel="0" collapsed="false">
      <c r="A1632" s="0" t="str">
        <f aca="false">IF(INDEX(BookTitle,1627)="","",INDEX(BookKey,1627))</f>
        <v/>
      </c>
      <c r="B1632" s="0" t="str">
        <f aca="false">IF(INDEX(BookTitle,1627)="","",INDEX(BookGroup,1627))</f>
        <v/>
      </c>
      <c r="C1632" s="0" t="str">
        <f aca="false">IF(INDEX(BookTitle,1627)="","",INDEX(BookCategory,1627))</f>
        <v/>
      </c>
      <c r="D1632" s="56" t="str">
        <f aca="false">IF(INDEX(BookTitle,1627)="","",INDEX(BookTotal,1627)*'5. Scenarios'!$B$6/(1+ProductivityDefault*('5. Scenarios'!$B$11-1)))</f>
        <v/>
      </c>
      <c r="E1632" s="57" t="str">
        <f aca="false">IF($D1632="","",INDEX(BookRate,1627)*(1+'5. Scenarios'!$B$10)*$D1632)</f>
        <v/>
      </c>
      <c r="F1632" s="57" t="str">
        <f aca="false">IF($E1632="","",SUMIFS($E$6:$E$2405,$A$6:$A$2405,"&lt;="&amp;$A1632))</f>
        <v/>
      </c>
      <c r="G1632" s="57" t="str">
        <f aca="false">IF($E1632="","",IF($F1632&lt;=BankCostEnvelope*'5. Scenarios'!$B$7,1,0))</f>
        <v/>
      </c>
      <c r="H1632" s="57" t="str">
        <f aca="false">IF($D1632="","",INDEX(BookRate,1627)*(1+'5. Scenarios'!$B$10)*(INDEX(BookQ1,1627)*(5-MIN(4,1+'5. Scenarios'!$B$8))/4+INDEX(BookQ2,1627)*(5-MIN(4,2+'5. Scenarios'!$B$8))/4+INDEX(BookQ3,1627)*(5-MIN(4,3+'5. Scenarios'!$B$8))/4+INDEX(BookQ4,1627)*(5-MIN(4,4+'5. Scenarios'!$B$8))/4)*'5. Scenarios'!$B$6/(1+ProductivityDefault*('5. Scenarios'!$B$11-1))+INDEX(BookOneOff,1627)*$D1632)</f>
        <v/>
      </c>
      <c r="I1632" s="56" t="str">
        <f aca="false">IF(INDEX(BookTitle,1627)="","",INDEX(BookTotal,1627)*'5. Scenarios'!$C$6/(1+ProductivityDefault*('5. Scenarios'!$C$11-1)))</f>
        <v/>
      </c>
      <c r="J1632" s="57" t="str">
        <f aca="false">IF($I1632="","",INDEX(BookRate,1627)*(1+'5. Scenarios'!$C$10)*$I1632)</f>
        <v/>
      </c>
      <c r="K1632" s="57" t="str">
        <f aca="false">IF($J1632="","",SUMIFS($J$6:$J$2405,$A$6:$A$2405,"&lt;="&amp;$A1632))</f>
        <v/>
      </c>
      <c r="L1632" s="57" t="str">
        <f aca="false">IF($J1632="","",IF($K1632&lt;=BankCostEnvelope*'5. Scenarios'!$C$7,1,0))</f>
        <v/>
      </c>
      <c r="M1632" s="57" t="str">
        <f aca="false">IF($I1632="","",INDEX(BookRate,1627)*(1+'5. Scenarios'!$C$10)*(INDEX(BookQ1,1627)*(5-MIN(4,1+'5. Scenarios'!$C$8))/4+INDEX(BookQ2,1627)*(5-MIN(4,2+'5. Scenarios'!$C$8))/4+INDEX(BookQ3,1627)*(5-MIN(4,3+'5. Scenarios'!$C$8))/4+INDEX(BookQ4,1627)*(5-MIN(4,4+'5. Scenarios'!$C$8))/4)*'5. Scenarios'!$C$6/(1+ProductivityDefault*('5. Scenarios'!$C$11-1))+INDEX(BookOneOff,1627)*$I1632)</f>
        <v/>
      </c>
      <c r="N1632" s="56" t="str">
        <f aca="false">IF(INDEX(BookTitle,1627)="","",INDEX(BookTotal,1627)*'5. Scenarios'!$D$6/(1+ProductivityDefault*('5. Scenarios'!$D$11-1)))</f>
        <v/>
      </c>
      <c r="O1632" s="57" t="str">
        <f aca="false">IF($N1632="","",INDEX(BookRate,1627)*(1+'5. Scenarios'!$D$10)*$N1632)</f>
        <v/>
      </c>
      <c r="P1632" s="57" t="str">
        <f aca="false">IF($O1632="","",SUMIFS($O$6:$O$2405,$A$6:$A$2405,"&lt;="&amp;$A1632))</f>
        <v/>
      </c>
      <c r="Q1632" s="57" t="str">
        <f aca="false">IF($O1632="","",IF($P1632&lt;=BankCostEnvelope*'5. Scenarios'!$D$7,1,0))</f>
        <v/>
      </c>
      <c r="R1632" s="57" t="str">
        <f aca="false">IF($N1632="","",INDEX(BookRate,1627)*(1+'5. Scenarios'!$D$10)*(INDEX(BookQ1,1627)*(5-MIN(4,1+'5. Scenarios'!$D$8))/4+INDEX(BookQ2,1627)*(5-MIN(4,2+'5. Scenarios'!$D$8))/4+INDEX(BookQ3,1627)*(5-MIN(4,3+'5. Scenarios'!$D$8))/4+INDEX(BookQ4,1627)*(5-MIN(4,4+'5. Scenarios'!$D$8))/4)*'5. Scenarios'!$D$6/(1+ProductivityDefault*('5. Scenarios'!$D$11-1))+INDEX(BookOneOff,1627)*$N1632)</f>
        <v/>
      </c>
      <c r="S1632" s="56" t="str">
        <f aca="false">IF(INDEX(BookTitle,1627)="","",INDEX(BookTotal,1627)*'5. Scenarios'!$E$6/(1+ProductivityDefault*('5. Scenarios'!$E$11-1)))</f>
        <v/>
      </c>
      <c r="T1632" s="57" t="str">
        <f aca="false">IF($S1632="","",INDEX(BookRate,1627)*(1+'5. Scenarios'!$E$10)*$S1632)</f>
        <v/>
      </c>
      <c r="U1632" s="57" t="str">
        <f aca="false">IF($T1632="","",SUMIFS($T$6:$T$2405,$A$6:$A$2405,"&lt;="&amp;$A1632))</f>
        <v/>
      </c>
      <c r="V1632" s="57" t="str">
        <f aca="false">IF($T1632="","",IF($U1632&lt;=BankCostEnvelope*'5. Scenarios'!$E$7,1,0))</f>
        <v/>
      </c>
      <c r="W1632" s="57" t="str">
        <f aca="false">IF($S1632="","",INDEX(BookRate,1627)*(1+'5. Scenarios'!$E$10)*(INDEX(BookQ1,1627)*(5-MIN(4,1+'5. Scenarios'!$E$8))/4+INDEX(BookQ2,1627)*(5-MIN(4,2+'5. Scenarios'!$E$8))/4+INDEX(BookQ3,1627)*(5-MIN(4,3+'5. Scenarios'!$E$8))/4+INDEX(BookQ4,1627)*(5-MIN(4,4+'5. Scenarios'!$E$8))/4)*'5. Scenarios'!$E$6/(1+ProductivityDefault*('5. Scenarios'!$E$11-1))+INDEX(BookOneOff,1627)*$S1632)</f>
        <v/>
      </c>
    </row>
    <row r="1633" customFormat="false" ht="15" hidden="false" customHeight="false" outlineLevel="0" collapsed="false">
      <c r="A1633" s="0" t="str">
        <f aca="false">IF(INDEX(BookTitle,1628)="","",INDEX(BookKey,1628))</f>
        <v/>
      </c>
      <c r="B1633" s="0" t="str">
        <f aca="false">IF(INDEX(BookTitle,1628)="","",INDEX(BookGroup,1628))</f>
        <v/>
      </c>
      <c r="C1633" s="0" t="str">
        <f aca="false">IF(INDEX(BookTitle,1628)="","",INDEX(BookCategory,1628))</f>
        <v/>
      </c>
      <c r="D1633" s="56" t="str">
        <f aca="false">IF(INDEX(BookTitle,1628)="","",INDEX(BookTotal,1628)*'5. Scenarios'!$B$6/(1+ProductivityDefault*('5. Scenarios'!$B$11-1)))</f>
        <v/>
      </c>
      <c r="E1633" s="57" t="str">
        <f aca="false">IF($D1633="","",INDEX(BookRate,1628)*(1+'5. Scenarios'!$B$10)*$D1633)</f>
        <v/>
      </c>
      <c r="F1633" s="57" t="str">
        <f aca="false">IF($E1633="","",SUMIFS($E$6:$E$2405,$A$6:$A$2405,"&lt;="&amp;$A1633))</f>
        <v/>
      </c>
      <c r="G1633" s="57" t="str">
        <f aca="false">IF($E1633="","",IF($F1633&lt;=BankCostEnvelope*'5. Scenarios'!$B$7,1,0))</f>
        <v/>
      </c>
      <c r="H1633" s="57" t="str">
        <f aca="false">IF($D1633="","",INDEX(BookRate,1628)*(1+'5. Scenarios'!$B$10)*(INDEX(BookQ1,1628)*(5-MIN(4,1+'5. Scenarios'!$B$8))/4+INDEX(BookQ2,1628)*(5-MIN(4,2+'5. Scenarios'!$B$8))/4+INDEX(BookQ3,1628)*(5-MIN(4,3+'5. Scenarios'!$B$8))/4+INDEX(BookQ4,1628)*(5-MIN(4,4+'5. Scenarios'!$B$8))/4)*'5. Scenarios'!$B$6/(1+ProductivityDefault*('5. Scenarios'!$B$11-1))+INDEX(BookOneOff,1628)*$D1633)</f>
        <v/>
      </c>
      <c r="I1633" s="56" t="str">
        <f aca="false">IF(INDEX(BookTitle,1628)="","",INDEX(BookTotal,1628)*'5. Scenarios'!$C$6/(1+ProductivityDefault*('5. Scenarios'!$C$11-1)))</f>
        <v/>
      </c>
      <c r="J1633" s="57" t="str">
        <f aca="false">IF($I1633="","",INDEX(BookRate,1628)*(1+'5. Scenarios'!$C$10)*$I1633)</f>
        <v/>
      </c>
      <c r="K1633" s="57" t="str">
        <f aca="false">IF($J1633="","",SUMIFS($J$6:$J$2405,$A$6:$A$2405,"&lt;="&amp;$A1633))</f>
        <v/>
      </c>
      <c r="L1633" s="57" t="str">
        <f aca="false">IF($J1633="","",IF($K1633&lt;=BankCostEnvelope*'5. Scenarios'!$C$7,1,0))</f>
        <v/>
      </c>
      <c r="M1633" s="57" t="str">
        <f aca="false">IF($I1633="","",INDEX(BookRate,1628)*(1+'5. Scenarios'!$C$10)*(INDEX(BookQ1,1628)*(5-MIN(4,1+'5. Scenarios'!$C$8))/4+INDEX(BookQ2,1628)*(5-MIN(4,2+'5. Scenarios'!$C$8))/4+INDEX(BookQ3,1628)*(5-MIN(4,3+'5. Scenarios'!$C$8))/4+INDEX(BookQ4,1628)*(5-MIN(4,4+'5. Scenarios'!$C$8))/4)*'5. Scenarios'!$C$6/(1+ProductivityDefault*('5. Scenarios'!$C$11-1))+INDEX(BookOneOff,1628)*$I1633)</f>
        <v/>
      </c>
      <c r="N1633" s="56" t="str">
        <f aca="false">IF(INDEX(BookTitle,1628)="","",INDEX(BookTotal,1628)*'5. Scenarios'!$D$6/(1+ProductivityDefault*('5. Scenarios'!$D$11-1)))</f>
        <v/>
      </c>
      <c r="O1633" s="57" t="str">
        <f aca="false">IF($N1633="","",INDEX(BookRate,1628)*(1+'5. Scenarios'!$D$10)*$N1633)</f>
        <v/>
      </c>
      <c r="P1633" s="57" t="str">
        <f aca="false">IF($O1633="","",SUMIFS($O$6:$O$2405,$A$6:$A$2405,"&lt;="&amp;$A1633))</f>
        <v/>
      </c>
      <c r="Q1633" s="57" t="str">
        <f aca="false">IF($O1633="","",IF($P1633&lt;=BankCostEnvelope*'5. Scenarios'!$D$7,1,0))</f>
        <v/>
      </c>
      <c r="R1633" s="57" t="str">
        <f aca="false">IF($N1633="","",INDEX(BookRate,1628)*(1+'5. Scenarios'!$D$10)*(INDEX(BookQ1,1628)*(5-MIN(4,1+'5. Scenarios'!$D$8))/4+INDEX(BookQ2,1628)*(5-MIN(4,2+'5. Scenarios'!$D$8))/4+INDEX(BookQ3,1628)*(5-MIN(4,3+'5. Scenarios'!$D$8))/4+INDEX(BookQ4,1628)*(5-MIN(4,4+'5. Scenarios'!$D$8))/4)*'5. Scenarios'!$D$6/(1+ProductivityDefault*('5. Scenarios'!$D$11-1))+INDEX(BookOneOff,1628)*$N1633)</f>
        <v/>
      </c>
      <c r="S1633" s="56" t="str">
        <f aca="false">IF(INDEX(BookTitle,1628)="","",INDEX(BookTotal,1628)*'5. Scenarios'!$E$6/(1+ProductivityDefault*('5. Scenarios'!$E$11-1)))</f>
        <v/>
      </c>
      <c r="T1633" s="57" t="str">
        <f aca="false">IF($S1633="","",INDEX(BookRate,1628)*(1+'5. Scenarios'!$E$10)*$S1633)</f>
        <v/>
      </c>
      <c r="U1633" s="57" t="str">
        <f aca="false">IF($T1633="","",SUMIFS($T$6:$T$2405,$A$6:$A$2405,"&lt;="&amp;$A1633))</f>
        <v/>
      </c>
      <c r="V1633" s="57" t="str">
        <f aca="false">IF($T1633="","",IF($U1633&lt;=BankCostEnvelope*'5. Scenarios'!$E$7,1,0))</f>
        <v/>
      </c>
      <c r="W1633" s="57" t="str">
        <f aca="false">IF($S1633="","",INDEX(BookRate,1628)*(1+'5. Scenarios'!$E$10)*(INDEX(BookQ1,1628)*(5-MIN(4,1+'5. Scenarios'!$E$8))/4+INDEX(BookQ2,1628)*(5-MIN(4,2+'5. Scenarios'!$E$8))/4+INDEX(BookQ3,1628)*(5-MIN(4,3+'5. Scenarios'!$E$8))/4+INDEX(BookQ4,1628)*(5-MIN(4,4+'5. Scenarios'!$E$8))/4)*'5. Scenarios'!$E$6/(1+ProductivityDefault*('5. Scenarios'!$E$11-1))+INDEX(BookOneOff,1628)*$S1633)</f>
        <v/>
      </c>
    </row>
    <row r="1634" customFormat="false" ht="15" hidden="false" customHeight="false" outlineLevel="0" collapsed="false">
      <c r="A1634" s="0" t="str">
        <f aca="false">IF(INDEX(BookTitle,1629)="","",INDEX(BookKey,1629))</f>
        <v/>
      </c>
      <c r="B1634" s="0" t="str">
        <f aca="false">IF(INDEX(BookTitle,1629)="","",INDEX(BookGroup,1629))</f>
        <v/>
      </c>
      <c r="C1634" s="0" t="str">
        <f aca="false">IF(INDEX(BookTitle,1629)="","",INDEX(BookCategory,1629))</f>
        <v/>
      </c>
      <c r="D1634" s="56" t="str">
        <f aca="false">IF(INDEX(BookTitle,1629)="","",INDEX(BookTotal,1629)*'5. Scenarios'!$B$6/(1+ProductivityDefault*('5. Scenarios'!$B$11-1)))</f>
        <v/>
      </c>
      <c r="E1634" s="57" t="str">
        <f aca="false">IF($D1634="","",INDEX(BookRate,1629)*(1+'5. Scenarios'!$B$10)*$D1634)</f>
        <v/>
      </c>
      <c r="F1634" s="57" t="str">
        <f aca="false">IF($E1634="","",SUMIFS($E$6:$E$2405,$A$6:$A$2405,"&lt;="&amp;$A1634))</f>
        <v/>
      </c>
      <c r="G1634" s="57" t="str">
        <f aca="false">IF($E1634="","",IF($F1634&lt;=BankCostEnvelope*'5. Scenarios'!$B$7,1,0))</f>
        <v/>
      </c>
      <c r="H1634" s="57" t="str">
        <f aca="false">IF($D1634="","",INDEX(BookRate,1629)*(1+'5. Scenarios'!$B$10)*(INDEX(BookQ1,1629)*(5-MIN(4,1+'5. Scenarios'!$B$8))/4+INDEX(BookQ2,1629)*(5-MIN(4,2+'5. Scenarios'!$B$8))/4+INDEX(BookQ3,1629)*(5-MIN(4,3+'5. Scenarios'!$B$8))/4+INDEX(BookQ4,1629)*(5-MIN(4,4+'5. Scenarios'!$B$8))/4)*'5. Scenarios'!$B$6/(1+ProductivityDefault*('5. Scenarios'!$B$11-1))+INDEX(BookOneOff,1629)*$D1634)</f>
        <v/>
      </c>
      <c r="I1634" s="56" t="str">
        <f aca="false">IF(INDEX(BookTitle,1629)="","",INDEX(BookTotal,1629)*'5. Scenarios'!$C$6/(1+ProductivityDefault*('5. Scenarios'!$C$11-1)))</f>
        <v/>
      </c>
      <c r="J1634" s="57" t="str">
        <f aca="false">IF($I1634="","",INDEX(BookRate,1629)*(1+'5. Scenarios'!$C$10)*$I1634)</f>
        <v/>
      </c>
      <c r="K1634" s="57" t="str">
        <f aca="false">IF($J1634="","",SUMIFS($J$6:$J$2405,$A$6:$A$2405,"&lt;="&amp;$A1634))</f>
        <v/>
      </c>
      <c r="L1634" s="57" t="str">
        <f aca="false">IF($J1634="","",IF($K1634&lt;=BankCostEnvelope*'5. Scenarios'!$C$7,1,0))</f>
        <v/>
      </c>
      <c r="M1634" s="57" t="str">
        <f aca="false">IF($I1634="","",INDEX(BookRate,1629)*(1+'5. Scenarios'!$C$10)*(INDEX(BookQ1,1629)*(5-MIN(4,1+'5. Scenarios'!$C$8))/4+INDEX(BookQ2,1629)*(5-MIN(4,2+'5. Scenarios'!$C$8))/4+INDEX(BookQ3,1629)*(5-MIN(4,3+'5. Scenarios'!$C$8))/4+INDEX(BookQ4,1629)*(5-MIN(4,4+'5. Scenarios'!$C$8))/4)*'5. Scenarios'!$C$6/(1+ProductivityDefault*('5. Scenarios'!$C$11-1))+INDEX(BookOneOff,1629)*$I1634)</f>
        <v/>
      </c>
      <c r="N1634" s="56" t="str">
        <f aca="false">IF(INDEX(BookTitle,1629)="","",INDEX(BookTotal,1629)*'5. Scenarios'!$D$6/(1+ProductivityDefault*('5. Scenarios'!$D$11-1)))</f>
        <v/>
      </c>
      <c r="O1634" s="57" t="str">
        <f aca="false">IF($N1634="","",INDEX(BookRate,1629)*(1+'5. Scenarios'!$D$10)*$N1634)</f>
        <v/>
      </c>
      <c r="P1634" s="57" t="str">
        <f aca="false">IF($O1634="","",SUMIFS($O$6:$O$2405,$A$6:$A$2405,"&lt;="&amp;$A1634))</f>
        <v/>
      </c>
      <c r="Q1634" s="57" t="str">
        <f aca="false">IF($O1634="","",IF($P1634&lt;=BankCostEnvelope*'5. Scenarios'!$D$7,1,0))</f>
        <v/>
      </c>
      <c r="R1634" s="57" t="str">
        <f aca="false">IF($N1634="","",INDEX(BookRate,1629)*(1+'5. Scenarios'!$D$10)*(INDEX(BookQ1,1629)*(5-MIN(4,1+'5. Scenarios'!$D$8))/4+INDEX(BookQ2,1629)*(5-MIN(4,2+'5. Scenarios'!$D$8))/4+INDEX(BookQ3,1629)*(5-MIN(4,3+'5. Scenarios'!$D$8))/4+INDEX(BookQ4,1629)*(5-MIN(4,4+'5. Scenarios'!$D$8))/4)*'5. Scenarios'!$D$6/(1+ProductivityDefault*('5. Scenarios'!$D$11-1))+INDEX(BookOneOff,1629)*$N1634)</f>
        <v/>
      </c>
      <c r="S1634" s="56" t="str">
        <f aca="false">IF(INDEX(BookTitle,1629)="","",INDEX(BookTotal,1629)*'5. Scenarios'!$E$6/(1+ProductivityDefault*('5. Scenarios'!$E$11-1)))</f>
        <v/>
      </c>
      <c r="T1634" s="57" t="str">
        <f aca="false">IF($S1634="","",INDEX(BookRate,1629)*(1+'5. Scenarios'!$E$10)*$S1634)</f>
        <v/>
      </c>
      <c r="U1634" s="57" t="str">
        <f aca="false">IF($T1634="","",SUMIFS($T$6:$T$2405,$A$6:$A$2405,"&lt;="&amp;$A1634))</f>
        <v/>
      </c>
      <c r="V1634" s="57" t="str">
        <f aca="false">IF($T1634="","",IF($U1634&lt;=BankCostEnvelope*'5. Scenarios'!$E$7,1,0))</f>
        <v/>
      </c>
      <c r="W1634" s="57" t="str">
        <f aca="false">IF($S1634="","",INDEX(BookRate,1629)*(1+'5. Scenarios'!$E$10)*(INDEX(BookQ1,1629)*(5-MIN(4,1+'5. Scenarios'!$E$8))/4+INDEX(BookQ2,1629)*(5-MIN(4,2+'5. Scenarios'!$E$8))/4+INDEX(BookQ3,1629)*(5-MIN(4,3+'5. Scenarios'!$E$8))/4+INDEX(BookQ4,1629)*(5-MIN(4,4+'5. Scenarios'!$E$8))/4)*'5. Scenarios'!$E$6/(1+ProductivityDefault*('5. Scenarios'!$E$11-1))+INDEX(BookOneOff,1629)*$S1634)</f>
        <v/>
      </c>
    </row>
    <row r="1635" customFormat="false" ht="15" hidden="false" customHeight="false" outlineLevel="0" collapsed="false">
      <c r="A1635" s="0" t="str">
        <f aca="false">IF(INDEX(BookTitle,1630)="","",INDEX(BookKey,1630))</f>
        <v/>
      </c>
      <c r="B1635" s="0" t="str">
        <f aca="false">IF(INDEX(BookTitle,1630)="","",INDEX(BookGroup,1630))</f>
        <v/>
      </c>
      <c r="C1635" s="0" t="str">
        <f aca="false">IF(INDEX(BookTitle,1630)="","",INDEX(BookCategory,1630))</f>
        <v/>
      </c>
      <c r="D1635" s="56" t="str">
        <f aca="false">IF(INDEX(BookTitle,1630)="","",INDEX(BookTotal,1630)*'5. Scenarios'!$B$6/(1+ProductivityDefault*('5. Scenarios'!$B$11-1)))</f>
        <v/>
      </c>
      <c r="E1635" s="57" t="str">
        <f aca="false">IF($D1635="","",INDEX(BookRate,1630)*(1+'5. Scenarios'!$B$10)*$D1635)</f>
        <v/>
      </c>
      <c r="F1635" s="57" t="str">
        <f aca="false">IF($E1635="","",SUMIFS($E$6:$E$2405,$A$6:$A$2405,"&lt;="&amp;$A1635))</f>
        <v/>
      </c>
      <c r="G1635" s="57" t="str">
        <f aca="false">IF($E1635="","",IF($F1635&lt;=BankCostEnvelope*'5. Scenarios'!$B$7,1,0))</f>
        <v/>
      </c>
      <c r="H1635" s="57" t="str">
        <f aca="false">IF($D1635="","",INDEX(BookRate,1630)*(1+'5. Scenarios'!$B$10)*(INDEX(BookQ1,1630)*(5-MIN(4,1+'5. Scenarios'!$B$8))/4+INDEX(BookQ2,1630)*(5-MIN(4,2+'5. Scenarios'!$B$8))/4+INDEX(BookQ3,1630)*(5-MIN(4,3+'5. Scenarios'!$B$8))/4+INDEX(BookQ4,1630)*(5-MIN(4,4+'5. Scenarios'!$B$8))/4)*'5. Scenarios'!$B$6/(1+ProductivityDefault*('5. Scenarios'!$B$11-1))+INDEX(BookOneOff,1630)*$D1635)</f>
        <v/>
      </c>
      <c r="I1635" s="56" t="str">
        <f aca="false">IF(INDEX(BookTitle,1630)="","",INDEX(BookTotal,1630)*'5. Scenarios'!$C$6/(1+ProductivityDefault*('5. Scenarios'!$C$11-1)))</f>
        <v/>
      </c>
      <c r="J1635" s="57" t="str">
        <f aca="false">IF($I1635="","",INDEX(BookRate,1630)*(1+'5. Scenarios'!$C$10)*$I1635)</f>
        <v/>
      </c>
      <c r="K1635" s="57" t="str">
        <f aca="false">IF($J1635="","",SUMIFS($J$6:$J$2405,$A$6:$A$2405,"&lt;="&amp;$A1635))</f>
        <v/>
      </c>
      <c r="L1635" s="57" t="str">
        <f aca="false">IF($J1635="","",IF($K1635&lt;=BankCostEnvelope*'5. Scenarios'!$C$7,1,0))</f>
        <v/>
      </c>
      <c r="M1635" s="57" t="str">
        <f aca="false">IF($I1635="","",INDEX(BookRate,1630)*(1+'5. Scenarios'!$C$10)*(INDEX(BookQ1,1630)*(5-MIN(4,1+'5. Scenarios'!$C$8))/4+INDEX(BookQ2,1630)*(5-MIN(4,2+'5. Scenarios'!$C$8))/4+INDEX(BookQ3,1630)*(5-MIN(4,3+'5. Scenarios'!$C$8))/4+INDEX(BookQ4,1630)*(5-MIN(4,4+'5. Scenarios'!$C$8))/4)*'5. Scenarios'!$C$6/(1+ProductivityDefault*('5. Scenarios'!$C$11-1))+INDEX(BookOneOff,1630)*$I1635)</f>
        <v/>
      </c>
      <c r="N1635" s="56" t="str">
        <f aca="false">IF(INDEX(BookTitle,1630)="","",INDEX(BookTotal,1630)*'5. Scenarios'!$D$6/(1+ProductivityDefault*('5. Scenarios'!$D$11-1)))</f>
        <v/>
      </c>
      <c r="O1635" s="57" t="str">
        <f aca="false">IF($N1635="","",INDEX(BookRate,1630)*(1+'5. Scenarios'!$D$10)*$N1635)</f>
        <v/>
      </c>
      <c r="P1635" s="57" t="str">
        <f aca="false">IF($O1635="","",SUMIFS($O$6:$O$2405,$A$6:$A$2405,"&lt;="&amp;$A1635))</f>
        <v/>
      </c>
      <c r="Q1635" s="57" t="str">
        <f aca="false">IF($O1635="","",IF($P1635&lt;=BankCostEnvelope*'5. Scenarios'!$D$7,1,0))</f>
        <v/>
      </c>
      <c r="R1635" s="57" t="str">
        <f aca="false">IF($N1635="","",INDEX(BookRate,1630)*(1+'5. Scenarios'!$D$10)*(INDEX(BookQ1,1630)*(5-MIN(4,1+'5. Scenarios'!$D$8))/4+INDEX(BookQ2,1630)*(5-MIN(4,2+'5. Scenarios'!$D$8))/4+INDEX(BookQ3,1630)*(5-MIN(4,3+'5. Scenarios'!$D$8))/4+INDEX(BookQ4,1630)*(5-MIN(4,4+'5. Scenarios'!$D$8))/4)*'5. Scenarios'!$D$6/(1+ProductivityDefault*('5. Scenarios'!$D$11-1))+INDEX(BookOneOff,1630)*$N1635)</f>
        <v/>
      </c>
      <c r="S1635" s="56" t="str">
        <f aca="false">IF(INDEX(BookTitle,1630)="","",INDEX(BookTotal,1630)*'5. Scenarios'!$E$6/(1+ProductivityDefault*('5. Scenarios'!$E$11-1)))</f>
        <v/>
      </c>
      <c r="T1635" s="57" t="str">
        <f aca="false">IF($S1635="","",INDEX(BookRate,1630)*(1+'5. Scenarios'!$E$10)*$S1635)</f>
        <v/>
      </c>
      <c r="U1635" s="57" t="str">
        <f aca="false">IF($T1635="","",SUMIFS($T$6:$T$2405,$A$6:$A$2405,"&lt;="&amp;$A1635))</f>
        <v/>
      </c>
      <c r="V1635" s="57" t="str">
        <f aca="false">IF($T1635="","",IF($U1635&lt;=BankCostEnvelope*'5. Scenarios'!$E$7,1,0))</f>
        <v/>
      </c>
      <c r="W1635" s="57" t="str">
        <f aca="false">IF($S1635="","",INDEX(BookRate,1630)*(1+'5. Scenarios'!$E$10)*(INDEX(BookQ1,1630)*(5-MIN(4,1+'5. Scenarios'!$E$8))/4+INDEX(BookQ2,1630)*(5-MIN(4,2+'5. Scenarios'!$E$8))/4+INDEX(BookQ3,1630)*(5-MIN(4,3+'5. Scenarios'!$E$8))/4+INDEX(BookQ4,1630)*(5-MIN(4,4+'5. Scenarios'!$E$8))/4)*'5. Scenarios'!$E$6/(1+ProductivityDefault*('5. Scenarios'!$E$11-1))+INDEX(BookOneOff,1630)*$S1635)</f>
        <v/>
      </c>
    </row>
    <row r="1636" customFormat="false" ht="15" hidden="false" customHeight="false" outlineLevel="0" collapsed="false">
      <c r="A1636" s="0" t="str">
        <f aca="false">IF(INDEX(BookTitle,1631)="","",INDEX(BookKey,1631))</f>
        <v/>
      </c>
      <c r="B1636" s="0" t="str">
        <f aca="false">IF(INDEX(BookTitle,1631)="","",INDEX(BookGroup,1631))</f>
        <v/>
      </c>
      <c r="C1636" s="0" t="str">
        <f aca="false">IF(INDEX(BookTitle,1631)="","",INDEX(BookCategory,1631))</f>
        <v/>
      </c>
      <c r="D1636" s="56" t="str">
        <f aca="false">IF(INDEX(BookTitle,1631)="","",INDEX(BookTotal,1631)*'5. Scenarios'!$B$6/(1+ProductivityDefault*('5. Scenarios'!$B$11-1)))</f>
        <v/>
      </c>
      <c r="E1636" s="57" t="str">
        <f aca="false">IF($D1636="","",INDEX(BookRate,1631)*(1+'5. Scenarios'!$B$10)*$D1636)</f>
        <v/>
      </c>
      <c r="F1636" s="57" t="str">
        <f aca="false">IF($E1636="","",SUMIFS($E$6:$E$2405,$A$6:$A$2405,"&lt;="&amp;$A1636))</f>
        <v/>
      </c>
      <c r="G1636" s="57" t="str">
        <f aca="false">IF($E1636="","",IF($F1636&lt;=BankCostEnvelope*'5. Scenarios'!$B$7,1,0))</f>
        <v/>
      </c>
      <c r="H1636" s="57" t="str">
        <f aca="false">IF($D1636="","",INDEX(BookRate,1631)*(1+'5. Scenarios'!$B$10)*(INDEX(BookQ1,1631)*(5-MIN(4,1+'5. Scenarios'!$B$8))/4+INDEX(BookQ2,1631)*(5-MIN(4,2+'5. Scenarios'!$B$8))/4+INDEX(BookQ3,1631)*(5-MIN(4,3+'5. Scenarios'!$B$8))/4+INDEX(BookQ4,1631)*(5-MIN(4,4+'5. Scenarios'!$B$8))/4)*'5. Scenarios'!$B$6/(1+ProductivityDefault*('5. Scenarios'!$B$11-1))+INDEX(BookOneOff,1631)*$D1636)</f>
        <v/>
      </c>
      <c r="I1636" s="56" t="str">
        <f aca="false">IF(INDEX(BookTitle,1631)="","",INDEX(BookTotal,1631)*'5. Scenarios'!$C$6/(1+ProductivityDefault*('5. Scenarios'!$C$11-1)))</f>
        <v/>
      </c>
      <c r="J1636" s="57" t="str">
        <f aca="false">IF($I1636="","",INDEX(BookRate,1631)*(1+'5. Scenarios'!$C$10)*$I1636)</f>
        <v/>
      </c>
      <c r="K1636" s="57" t="str">
        <f aca="false">IF($J1636="","",SUMIFS($J$6:$J$2405,$A$6:$A$2405,"&lt;="&amp;$A1636))</f>
        <v/>
      </c>
      <c r="L1636" s="57" t="str">
        <f aca="false">IF($J1636="","",IF($K1636&lt;=BankCostEnvelope*'5. Scenarios'!$C$7,1,0))</f>
        <v/>
      </c>
      <c r="M1636" s="57" t="str">
        <f aca="false">IF($I1636="","",INDEX(BookRate,1631)*(1+'5. Scenarios'!$C$10)*(INDEX(BookQ1,1631)*(5-MIN(4,1+'5. Scenarios'!$C$8))/4+INDEX(BookQ2,1631)*(5-MIN(4,2+'5. Scenarios'!$C$8))/4+INDEX(BookQ3,1631)*(5-MIN(4,3+'5. Scenarios'!$C$8))/4+INDEX(BookQ4,1631)*(5-MIN(4,4+'5. Scenarios'!$C$8))/4)*'5. Scenarios'!$C$6/(1+ProductivityDefault*('5. Scenarios'!$C$11-1))+INDEX(BookOneOff,1631)*$I1636)</f>
        <v/>
      </c>
      <c r="N1636" s="56" t="str">
        <f aca="false">IF(INDEX(BookTitle,1631)="","",INDEX(BookTotal,1631)*'5. Scenarios'!$D$6/(1+ProductivityDefault*('5. Scenarios'!$D$11-1)))</f>
        <v/>
      </c>
      <c r="O1636" s="57" t="str">
        <f aca="false">IF($N1636="","",INDEX(BookRate,1631)*(1+'5. Scenarios'!$D$10)*$N1636)</f>
        <v/>
      </c>
      <c r="P1636" s="57" t="str">
        <f aca="false">IF($O1636="","",SUMIFS($O$6:$O$2405,$A$6:$A$2405,"&lt;="&amp;$A1636))</f>
        <v/>
      </c>
      <c r="Q1636" s="57" t="str">
        <f aca="false">IF($O1636="","",IF($P1636&lt;=BankCostEnvelope*'5. Scenarios'!$D$7,1,0))</f>
        <v/>
      </c>
      <c r="R1636" s="57" t="str">
        <f aca="false">IF($N1636="","",INDEX(BookRate,1631)*(1+'5. Scenarios'!$D$10)*(INDEX(BookQ1,1631)*(5-MIN(4,1+'5. Scenarios'!$D$8))/4+INDEX(BookQ2,1631)*(5-MIN(4,2+'5. Scenarios'!$D$8))/4+INDEX(BookQ3,1631)*(5-MIN(4,3+'5. Scenarios'!$D$8))/4+INDEX(BookQ4,1631)*(5-MIN(4,4+'5. Scenarios'!$D$8))/4)*'5. Scenarios'!$D$6/(1+ProductivityDefault*('5. Scenarios'!$D$11-1))+INDEX(BookOneOff,1631)*$N1636)</f>
        <v/>
      </c>
      <c r="S1636" s="56" t="str">
        <f aca="false">IF(INDEX(BookTitle,1631)="","",INDEX(BookTotal,1631)*'5. Scenarios'!$E$6/(1+ProductivityDefault*('5. Scenarios'!$E$11-1)))</f>
        <v/>
      </c>
      <c r="T1636" s="57" t="str">
        <f aca="false">IF($S1636="","",INDEX(BookRate,1631)*(1+'5. Scenarios'!$E$10)*$S1636)</f>
        <v/>
      </c>
      <c r="U1636" s="57" t="str">
        <f aca="false">IF($T1636="","",SUMIFS($T$6:$T$2405,$A$6:$A$2405,"&lt;="&amp;$A1636))</f>
        <v/>
      </c>
      <c r="V1636" s="57" t="str">
        <f aca="false">IF($T1636="","",IF($U1636&lt;=BankCostEnvelope*'5. Scenarios'!$E$7,1,0))</f>
        <v/>
      </c>
      <c r="W1636" s="57" t="str">
        <f aca="false">IF($S1636="","",INDEX(BookRate,1631)*(1+'5. Scenarios'!$E$10)*(INDEX(BookQ1,1631)*(5-MIN(4,1+'5. Scenarios'!$E$8))/4+INDEX(BookQ2,1631)*(5-MIN(4,2+'5. Scenarios'!$E$8))/4+INDEX(BookQ3,1631)*(5-MIN(4,3+'5. Scenarios'!$E$8))/4+INDEX(BookQ4,1631)*(5-MIN(4,4+'5. Scenarios'!$E$8))/4)*'5. Scenarios'!$E$6/(1+ProductivityDefault*('5. Scenarios'!$E$11-1))+INDEX(BookOneOff,1631)*$S1636)</f>
        <v/>
      </c>
    </row>
    <row r="1637" customFormat="false" ht="15" hidden="false" customHeight="false" outlineLevel="0" collapsed="false">
      <c r="A1637" s="0" t="str">
        <f aca="false">IF(INDEX(BookTitle,1632)="","",INDEX(BookKey,1632))</f>
        <v/>
      </c>
      <c r="B1637" s="0" t="str">
        <f aca="false">IF(INDEX(BookTitle,1632)="","",INDEX(BookGroup,1632))</f>
        <v/>
      </c>
      <c r="C1637" s="0" t="str">
        <f aca="false">IF(INDEX(BookTitle,1632)="","",INDEX(BookCategory,1632))</f>
        <v/>
      </c>
      <c r="D1637" s="56" t="str">
        <f aca="false">IF(INDEX(BookTitle,1632)="","",INDEX(BookTotal,1632)*'5. Scenarios'!$B$6/(1+ProductivityDefault*('5. Scenarios'!$B$11-1)))</f>
        <v/>
      </c>
      <c r="E1637" s="57" t="str">
        <f aca="false">IF($D1637="","",INDEX(BookRate,1632)*(1+'5. Scenarios'!$B$10)*$D1637)</f>
        <v/>
      </c>
      <c r="F1637" s="57" t="str">
        <f aca="false">IF($E1637="","",SUMIFS($E$6:$E$2405,$A$6:$A$2405,"&lt;="&amp;$A1637))</f>
        <v/>
      </c>
      <c r="G1637" s="57" t="str">
        <f aca="false">IF($E1637="","",IF($F1637&lt;=BankCostEnvelope*'5. Scenarios'!$B$7,1,0))</f>
        <v/>
      </c>
      <c r="H1637" s="57" t="str">
        <f aca="false">IF($D1637="","",INDEX(BookRate,1632)*(1+'5. Scenarios'!$B$10)*(INDEX(BookQ1,1632)*(5-MIN(4,1+'5. Scenarios'!$B$8))/4+INDEX(BookQ2,1632)*(5-MIN(4,2+'5. Scenarios'!$B$8))/4+INDEX(BookQ3,1632)*(5-MIN(4,3+'5. Scenarios'!$B$8))/4+INDEX(BookQ4,1632)*(5-MIN(4,4+'5. Scenarios'!$B$8))/4)*'5. Scenarios'!$B$6/(1+ProductivityDefault*('5. Scenarios'!$B$11-1))+INDEX(BookOneOff,1632)*$D1637)</f>
        <v/>
      </c>
      <c r="I1637" s="56" t="str">
        <f aca="false">IF(INDEX(BookTitle,1632)="","",INDEX(BookTotal,1632)*'5. Scenarios'!$C$6/(1+ProductivityDefault*('5. Scenarios'!$C$11-1)))</f>
        <v/>
      </c>
      <c r="J1637" s="57" t="str">
        <f aca="false">IF($I1637="","",INDEX(BookRate,1632)*(1+'5. Scenarios'!$C$10)*$I1637)</f>
        <v/>
      </c>
      <c r="K1637" s="57" t="str">
        <f aca="false">IF($J1637="","",SUMIFS($J$6:$J$2405,$A$6:$A$2405,"&lt;="&amp;$A1637))</f>
        <v/>
      </c>
      <c r="L1637" s="57" t="str">
        <f aca="false">IF($J1637="","",IF($K1637&lt;=BankCostEnvelope*'5. Scenarios'!$C$7,1,0))</f>
        <v/>
      </c>
      <c r="M1637" s="57" t="str">
        <f aca="false">IF($I1637="","",INDEX(BookRate,1632)*(1+'5. Scenarios'!$C$10)*(INDEX(BookQ1,1632)*(5-MIN(4,1+'5. Scenarios'!$C$8))/4+INDEX(BookQ2,1632)*(5-MIN(4,2+'5. Scenarios'!$C$8))/4+INDEX(BookQ3,1632)*(5-MIN(4,3+'5. Scenarios'!$C$8))/4+INDEX(BookQ4,1632)*(5-MIN(4,4+'5. Scenarios'!$C$8))/4)*'5. Scenarios'!$C$6/(1+ProductivityDefault*('5. Scenarios'!$C$11-1))+INDEX(BookOneOff,1632)*$I1637)</f>
        <v/>
      </c>
      <c r="N1637" s="56" t="str">
        <f aca="false">IF(INDEX(BookTitle,1632)="","",INDEX(BookTotal,1632)*'5. Scenarios'!$D$6/(1+ProductivityDefault*('5. Scenarios'!$D$11-1)))</f>
        <v/>
      </c>
      <c r="O1637" s="57" t="str">
        <f aca="false">IF($N1637="","",INDEX(BookRate,1632)*(1+'5. Scenarios'!$D$10)*$N1637)</f>
        <v/>
      </c>
      <c r="P1637" s="57" t="str">
        <f aca="false">IF($O1637="","",SUMIFS($O$6:$O$2405,$A$6:$A$2405,"&lt;="&amp;$A1637))</f>
        <v/>
      </c>
      <c r="Q1637" s="57" t="str">
        <f aca="false">IF($O1637="","",IF($P1637&lt;=BankCostEnvelope*'5. Scenarios'!$D$7,1,0))</f>
        <v/>
      </c>
      <c r="R1637" s="57" t="str">
        <f aca="false">IF($N1637="","",INDEX(BookRate,1632)*(1+'5. Scenarios'!$D$10)*(INDEX(BookQ1,1632)*(5-MIN(4,1+'5. Scenarios'!$D$8))/4+INDEX(BookQ2,1632)*(5-MIN(4,2+'5. Scenarios'!$D$8))/4+INDEX(BookQ3,1632)*(5-MIN(4,3+'5. Scenarios'!$D$8))/4+INDEX(BookQ4,1632)*(5-MIN(4,4+'5. Scenarios'!$D$8))/4)*'5. Scenarios'!$D$6/(1+ProductivityDefault*('5. Scenarios'!$D$11-1))+INDEX(BookOneOff,1632)*$N1637)</f>
        <v/>
      </c>
      <c r="S1637" s="56" t="str">
        <f aca="false">IF(INDEX(BookTitle,1632)="","",INDEX(BookTotal,1632)*'5. Scenarios'!$E$6/(1+ProductivityDefault*('5. Scenarios'!$E$11-1)))</f>
        <v/>
      </c>
      <c r="T1637" s="57" t="str">
        <f aca="false">IF($S1637="","",INDEX(BookRate,1632)*(1+'5. Scenarios'!$E$10)*$S1637)</f>
        <v/>
      </c>
      <c r="U1637" s="57" t="str">
        <f aca="false">IF($T1637="","",SUMIFS($T$6:$T$2405,$A$6:$A$2405,"&lt;="&amp;$A1637))</f>
        <v/>
      </c>
      <c r="V1637" s="57" t="str">
        <f aca="false">IF($T1637="","",IF($U1637&lt;=BankCostEnvelope*'5. Scenarios'!$E$7,1,0))</f>
        <v/>
      </c>
      <c r="W1637" s="57" t="str">
        <f aca="false">IF($S1637="","",INDEX(BookRate,1632)*(1+'5. Scenarios'!$E$10)*(INDEX(BookQ1,1632)*(5-MIN(4,1+'5. Scenarios'!$E$8))/4+INDEX(BookQ2,1632)*(5-MIN(4,2+'5. Scenarios'!$E$8))/4+INDEX(BookQ3,1632)*(5-MIN(4,3+'5. Scenarios'!$E$8))/4+INDEX(BookQ4,1632)*(5-MIN(4,4+'5. Scenarios'!$E$8))/4)*'5. Scenarios'!$E$6/(1+ProductivityDefault*('5. Scenarios'!$E$11-1))+INDEX(BookOneOff,1632)*$S1637)</f>
        <v/>
      </c>
    </row>
    <row r="1638" customFormat="false" ht="15" hidden="false" customHeight="false" outlineLevel="0" collapsed="false">
      <c r="A1638" s="0" t="str">
        <f aca="false">IF(INDEX(BookTitle,1633)="","",INDEX(BookKey,1633))</f>
        <v/>
      </c>
      <c r="B1638" s="0" t="str">
        <f aca="false">IF(INDEX(BookTitle,1633)="","",INDEX(BookGroup,1633))</f>
        <v/>
      </c>
      <c r="C1638" s="0" t="str">
        <f aca="false">IF(INDEX(BookTitle,1633)="","",INDEX(BookCategory,1633))</f>
        <v/>
      </c>
      <c r="D1638" s="56" t="str">
        <f aca="false">IF(INDEX(BookTitle,1633)="","",INDEX(BookTotal,1633)*'5. Scenarios'!$B$6/(1+ProductivityDefault*('5. Scenarios'!$B$11-1)))</f>
        <v/>
      </c>
      <c r="E1638" s="57" t="str">
        <f aca="false">IF($D1638="","",INDEX(BookRate,1633)*(1+'5. Scenarios'!$B$10)*$D1638)</f>
        <v/>
      </c>
      <c r="F1638" s="57" t="str">
        <f aca="false">IF($E1638="","",SUMIFS($E$6:$E$2405,$A$6:$A$2405,"&lt;="&amp;$A1638))</f>
        <v/>
      </c>
      <c r="G1638" s="57" t="str">
        <f aca="false">IF($E1638="","",IF($F1638&lt;=BankCostEnvelope*'5. Scenarios'!$B$7,1,0))</f>
        <v/>
      </c>
      <c r="H1638" s="57" t="str">
        <f aca="false">IF($D1638="","",INDEX(BookRate,1633)*(1+'5. Scenarios'!$B$10)*(INDEX(BookQ1,1633)*(5-MIN(4,1+'5. Scenarios'!$B$8))/4+INDEX(BookQ2,1633)*(5-MIN(4,2+'5. Scenarios'!$B$8))/4+INDEX(BookQ3,1633)*(5-MIN(4,3+'5. Scenarios'!$B$8))/4+INDEX(BookQ4,1633)*(5-MIN(4,4+'5. Scenarios'!$B$8))/4)*'5. Scenarios'!$B$6/(1+ProductivityDefault*('5. Scenarios'!$B$11-1))+INDEX(BookOneOff,1633)*$D1638)</f>
        <v/>
      </c>
      <c r="I1638" s="56" t="str">
        <f aca="false">IF(INDEX(BookTitle,1633)="","",INDEX(BookTotal,1633)*'5. Scenarios'!$C$6/(1+ProductivityDefault*('5. Scenarios'!$C$11-1)))</f>
        <v/>
      </c>
      <c r="J1638" s="57" t="str">
        <f aca="false">IF($I1638="","",INDEX(BookRate,1633)*(1+'5. Scenarios'!$C$10)*$I1638)</f>
        <v/>
      </c>
      <c r="K1638" s="57" t="str">
        <f aca="false">IF($J1638="","",SUMIFS($J$6:$J$2405,$A$6:$A$2405,"&lt;="&amp;$A1638))</f>
        <v/>
      </c>
      <c r="L1638" s="57" t="str">
        <f aca="false">IF($J1638="","",IF($K1638&lt;=BankCostEnvelope*'5. Scenarios'!$C$7,1,0))</f>
        <v/>
      </c>
      <c r="M1638" s="57" t="str">
        <f aca="false">IF($I1638="","",INDEX(BookRate,1633)*(1+'5. Scenarios'!$C$10)*(INDEX(BookQ1,1633)*(5-MIN(4,1+'5. Scenarios'!$C$8))/4+INDEX(BookQ2,1633)*(5-MIN(4,2+'5. Scenarios'!$C$8))/4+INDEX(BookQ3,1633)*(5-MIN(4,3+'5. Scenarios'!$C$8))/4+INDEX(BookQ4,1633)*(5-MIN(4,4+'5. Scenarios'!$C$8))/4)*'5. Scenarios'!$C$6/(1+ProductivityDefault*('5. Scenarios'!$C$11-1))+INDEX(BookOneOff,1633)*$I1638)</f>
        <v/>
      </c>
      <c r="N1638" s="56" t="str">
        <f aca="false">IF(INDEX(BookTitle,1633)="","",INDEX(BookTotal,1633)*'5. Scenarios'!$D$6/(1+ProductivityDefault*('5. Scenarios'!$D$11-1)))</f>
        <v/>
      </c>
      <c r="O1638" s="57" t="str">
        <f aca="false">IF($N1638="","",INDEX(BookRate,1633)*(1+'5. Scenarios'!$D$10)*$N1638)</f>
        <v/>
      </c>
      <c r="P1638" s="57" t="str">
        <f aca="false">IF($O1638="","",SUMIFS($O$6:$O$2405,$A$6:$A$2405,"&lt;="&amp;$A1638))</f>
        <v/>
      </c>
      <c r="Q1638" s="57" t="str">
        <f aca="false">IF($O1638="","",IF($P1638&lt;=BankCostEnvelope*'5. Scenarios'!$D$7,1,0))</f>
        <v/>
      </c>
      <c r="R1638" s="57" t="str">
        <f aca="false">IF($N1638="","",INDEX(BookRate,1633)*(1+'5. Scenarios'!$D$10)*(INDEX(BookQ1,1633)*(5-MIN(4,1+'5. Scenarios'!$D$8))/4+INDEX(BookQ2,1633)*(5-MIN(4,2+'5. Scenarios'!$D$8))/4+INDEX(BookQ3,1633)*(5-MIN(4,3+'5. Scenarios'!$D$8))/4+INDEX(BookQ4,1633)*(5-MIN(4,4+'5. Scenarios'!$D$8))/4)*'5. Scenarios'!$D$6/(1+ProductivityDefault*('5. Scenarios'!$D$11-1))+INDEX(BookOneOff,1633)*$N1638)</f>
        <v/>
      </c>
      <c r="S1638" s="56" t="str">
        <f aca="false">IF(INDEX(BookTitle,1633)="","",INDEX(BookTotal,1633)*'5. Scenarios'!$E$6/(1+ProductivityDefault*('5. Scenarios'!$E$11-1)))</f>
        <v/>
      </c>
      <c r="T1638" s="57" t="str">
        <f aca="false">IF($S1638="","",INDEX(BookRate,1633)*(1+'5. Scenarios'!$E$10)*$S1638)</f>
        <v/>
      </c>
      <c r="U1638" s="57" t="str">
        <f aca="false">IF($T1638="","",SUMIFS($T$6:$T$2405,$A$6:$A$2405,"&lt;="&amp;$A1638))</f>
        <v/>
      </c>
      <c r="V1638" s="57" t="str">
        <f aca="false">IF($T1638="","",IF($U1638&lt;=BankCostEnvelope*'5. Scenarios'!$E$7,1,0))</f>
        <v/>
      </c>
      <c r="W1638" s="57" t="str">
        <f aca="false">IF($S1638="","",INDEX(BookRate,1633)*(1+'5. Scenarios'!$E$10)*(INDEX(BookQ1,1633)*(5-MIN(4,1+'5. Scenarios'!$E$8))/4+INDEX(BookQ2,1633)*(5-MIN(4,2+'5. Scenarios'!$E$8))/4+INDEX(BookQ3,1633)*(5-MIN(4,3+'5. Scenarios'!$E$8))/4+INDEX(BookQ4,1633)*(5-MIN(4,4+'5. Scenarios'!$E$8))/4)*'5. Scenarios'!$E$6/(1+ProductivityDefault*('5. Scenarios'!$E$11-1))+INDEX(BookOneOff,1633)*$S1638)</f>
        <v/>
      </c>
    </row>
    <row r="1639" customFormat="false" ht="15" hidden="false" customHeight="false" outlineLevel="0" collapsed="false">
      <c r="A1639" s="0" t="str">
        <f aca="false">IF(INDEX(BookTitle,1634)="","",INDEX(BookKey,1634))</f>
        <v/>
      </c>
      <c r="B1639" s="0" t="str">
        <f aca="false">IF(INDEX(BookTitle,1634)="","",INDEX(BookGroup,1634))</f>
        <v/>
      </c>
      <c r="C1639" s="0" t="str">
        <f aca="false">IF(INDEX(BookTitle,1634)="","",INDEX(BookCategory,1634))</f>
        <v/>
      </c>
      <c r="D1639" s="56" t="str">
        <f aca="false">IF(INDEX(BookTitle,1634)="","",INDEX(BookTotal,1634)*'5. Scenarios'!$B$6/(1+ProductivityDefault*('5. Scenarios'!$B$11-1)))</f>
        <v/>
      </c>
      <c r="E1639" s="57" t="str">
        <f aca="false">IF($D1639="","",INDEX(BookRate,1634)*(1+'5. Scenarios'!$B$10)*$D1639)</f>
        <v/>
      </c>
      <c r="F1639" s="57" t="str">
        <f aca="false">IF($E1639="","",SUMIFS($E$6:$E$2405,$A$6:$A$2405,"&lt;="&amp;$A1639))</f>
        <v/>
      </c>
      <c r="G1639" s="57" t="str">
        <f aca="false">IF($E1639="","",IF($F1639&lt;=BankCostEnvelope*'5. Scenarios'!$B$7,1,0))</f>
        <v/>
      </c>
      <c r="H1639" s="57" t="str">
        <f aca="false">IF($D1639="","",INDEX(BookRate,1634)*(1+'5. Scenarios'!$B$10)*(INDEX(BookQ1,1634)*(5-MIN(4,1+'5. Scenarios'!$B$8))/4+INDEX(BookQ2,1634)*(5-MIN(4,2+'5. Scenarios'!$B$8))/4+INDEX(BookQ3,1634)*(5-MIN(4,3+'5. Scenarios'!$B$8))/4+INDEX(BookQ4,1634)*(5-MIN(4,4+'5. Scenarios'!$B$8))/4)*'5. Scenarios'!$B$6/(1+ProductivityDefault*('5. Scenarios'!$B$11-1))+INDEX(BookOneOff,1634)*$D1639)</f>
        <v/>
      </c>
      <c r="I1639" s="56" t="str">
        <f aca="false">IF(INDEX(BookTitle,1634)="","",INDEX(BookTotal,1634)*'5. Scenarios'!$C$6/(1+ProductivityDefault*('5. Scenarios'!$C$11-1)))</f>
        <v/>
      </c>
      <c r="J1639" s="57" t="str">
        <f aca="false">IF($I1639="","",INDEX(BookRate,1634)*(1+'5. Scenarios'!$C$10)*$I1639)</f>
        <v/>
      </c>
      <c r="K1639" s="57" t="str">
        <f aca="false">IF($J1639="","",SUMIFS($J$6:$J$2405,$A$6:$A$2405,"&lt;="&amp;$A1639))</f>
        <v/>
      </c>
      <c r="L1639" s="57" t="str">
        <f aca="false">IF($J1639="","",IF($K1639&lt;=BankCostEnvelope*'5. Scenarios'!$C$7,1,0))</f>
        <v/>
      </c>
      <c r="M1639" s="57" t="str">
        <f aca="false">IF($I1639="","",INDEX(BookRate,1634)*(1+'5. Scenarios'!$C$10)*(INDEX(BookQ1,1634)*(5-MIN(4,1+'5. Scenarios'!$C$8))/4+INDEX(BookQ2,1634)*(5-MIN(4,2+'5. Scenarios'!$C$8))/4+INDEX(BookQ3,1634)*(5-MIN(4,3+'5. Scenarios'!$C$8))/4+INDEX(BookQ4,1634)*(5-MIN(4,4+'5. Scenarios'!$C$8))/4)*'5. Scenarios'!$C$6/(1+ProductivityDefault*('5. Scenarios'!$C$11-1))+INDEX(BookOneOff,1634)*$I1639)</f>
        <v/>
      </c>
      <c r="N1639" s="56" t="str">
        <f aca="false">IF(INDEX(BookTitle,1634)="","",INDEX(BookTotal,1634)*'5. Scenarios'!$D$6/(1+ProductivityDefault*('5. Scenarios'!$D$11-1)))</f>
        <v/>
      </c>
      <c r="O1639" s="57" t="str">
        <f aca="false">IF($N1639="","",INDEX(BookRate,1634)*(1+'5. Scenarios'!$D$10)*$N1639)</f>
        <v/>
      </c>
      <c r="P1639" s="57" t="str">
        <f aca="false">IF($O1639="","",SUMIFS($O$6:$O$2405,$A$6:$A$2405,"&lt;="&amp;$A1639))</f>
        <v/>
      </c>
      <c r="Q1639" s="57" t="str">
        <f aca="false">IF($O1639="","",IF($P1639&lt;=BankCostEnvelope*'5. Scenarios'!$D$7,1,0))</f>
        <v/>
      </c>
      <c r="R1639" s="57" t="str">
        <f aca="false">IF($N1639="","",INDEX(BookRate,1634)*(1+'5. Scenarios'!$D$10)*(INDEX(BookQ1,1634)*(5-MIN(4,1+'5. Scenarios'!$D$8))/4+INDEX(BookQ2,1634)*(5-MIN(4,2+'5. Scenarios'!$D$8))/4+INDEX(BookQ3,1634)*(5-MIN(4,3+'5. Scenarios'!$D$8))/4+INDEX(BookQ4,1634)*(5-MIN(4,4+'5. Scenarios'!$D$8))/4)*'5. Scenarios'!$D$6/(1+ProductivityDefault*('5. Scenarios'!$D$11-1))+INDEX(BookOneOff,1634)*$N1639)</f>
        <v/>
      </c>
      <c r="S1639" s="56" t="str">
        <f aca="false">IF(INDEX(BookTitle,1634)="","",INDEX(BookTotal,1634)*'5. Scenarios'!$E$6/(1+ProductivityDefault*('5. Scenarios'!$E$11-1)))</f>
        <v/>
      </c>
      <c r="T1639" s="57" t="str">
        <f aca="false">IF($S1639="","",INDEX(BookRate,1634)*(1+'5. Scenarios'!$E$10)*$S1639)</f>
        <v/>
      </c>
      <c r="U1639" s="57" t="str">
        <f aca="false">IF($T1639="","",SUMIFS($T$6:$T$2405,$A$6:$A$2405,"&lt;="&amp;$A1639))</f>
        <v/>
      </c>
      <c r="V1639" s="57" t="str">
        <f aca="false">IF($T1639="","",IF($U1639&lt;=BankCostEnvelope*'5. Scenarios'!$E$7,1,0))</f>
        <v/>
      </c>
      <c r="W1639" s="57" t="str">
        <f aca="false">IF($S1639="","",INDEX(BookRate,1634)*(1+'5. Scenarios'!$E$10)*(INDEX(BookQ1,1634)*(5-MIN(4,1+'5. Scenarios'!$E$8))/4+INDEX(BookQ2,1634)*(5-MIN(4,2+'5. Scenarios'!$E$8))/4+INDEX(BookQ3,1634)*(5-MIN(4,3+'5. Scenarios'!$E$8))/4+INDEX(BookQ4,1634)*(5-MIN(4,4+'5. Scenarios'!$E$8))/4)*'5. Scenarios'!$E$6/(1+ProductivityDefault*('5. Scenarios'!$E$11-1))+INDEX(BookOneOff,1634)*$S1639)</f>
        <v/>
      </c>
    </row>
    <row r="1640" customFormat="false" ht="15" hidden="false" customHeight="false" outlineLevel="0" collapsed="false">
      <c r="A1640" s="0" t="str">
        <f aca="false">IF(INDEX(BookTitle,1635)="","",INDEX(BookKey,1635))</f>
        <v/>
      </c>
      <c r="B1640" s="0" t="str">
        <f aca="false">IF(INDEX(BookTitle,1635)="","",INDEX(BookGroup,1635))</f>
        <v/>
      </c>
      <c r="C1640" s="0" t="str">
        <f aca="false">IF(INDEX(BookTitle,1635)="","",INDEX(BookCategory,1635))</f>
        <v/>
      </c>
      <c r="D1640" s="56" t="str">
        <f aca="false">IF(INDEX(BookTitle,1635)="","",INDEX(BookTotal,1635)*'5. Scenarios'!$B$6/(1+ProductivityDefault*('5. Scenarios'!$B$11-1)))</f>
        <v/>
      </c>
      <c r="E1640" s="57" t="str">
        <f aca="false">IF($D1640="","",INDEX(BookRate,1635)*(1+'5. Scenarios'!$B$10)*$D1640)</f>
        <v/>
      </c>
      <c r="F1640" s="57" t="str">
        <f aca="false">IF($E1640="","",SUMIFS($E$6:$E$2405,$A$6:$A$2405,"&lt;="&amp;$A1640))</f>
        <v/>
      </c>
      <c r="G1640" s="57" t="str">
        <f aca="false">IF($E1640="","",IF($F1640&lt;=BankCostEnvelope*'5. Scenarios'!$B$7,1,0))</f>
        <v/>
      </c>
      <c r="H1640" s="57" t="str">
        <f aca="false">IF($D1640="","",INDEX(BookRate,1635)*(1+'5. Scenarios'!$B$10)*(INDEX(BookQ1,1635)*(5-MIN(4,1+'5. Scenarios'!$B$8))/4+INDEX(BookQ2,1635)*(5-MIN(4,2+'5. Scenarios'!$B$8))/4+INDEX(BookQ3,1635)*(5-MIN(4,3+'5. Scenarios'!$B$8))/4+INDEX(BookQ4,1635)*(5-MIN(4,4+'5. Scenarios'!$B$8))/4)*'5. Scenarios'!$B$6/(1+ProductivityDefault*('5. Scenarios'!$B$11-1))+INDEX(BookOneOff,1635)*$D1640)</f>
        <v/>
      </c>
      <c r="I1640" s="56" t="str">
        <f aca="false">IF(INDEX(BookTitle,1635)="","",INDEX(BookTotal,1635)*'5. Scenarios'!$C$6/(1+ProductivityDefault*('5. Scenarios'!$C$11-1)))</f>
        <v/>
      </c>
      <c r="J1640" s="57" t="str">
        <f aca="false">IF($I1640="","",INDEX(BookRate,1635)*(1+'5. Scenarios'!$C$10)*$I1640)</f>
        <v/>
      </c>
      <c r="K1640" s="57" t="str">
        <f aca="false">IF($J1640="","",SUMIFS($J$6:$J$2405,$A$6:$A$2405,"&lt;="&amp;$A1640))</f>
        <v/>
      </c>
      <c r="L1640" s="57" t="str">
        <f aca="false">IF($J1640="","",IF($K1640&lt;=BankCostEnvelope*'5. Scenarios'!$C$7,1,0))</f>
        <v/>
      </c>
      <c r="M1640" s="57" t="str">
        <f aca="false">IF($I1640="","",INDEX(BookRate,1635)*(1+'5. Scenarios'!$C$10)*(INDEX(BookQ1,1635)*(5-MIN(4,1+'5. Scenarios'!$C$8))/4+INDEX(BookQ2,1635)*(5-MIN(4,2+'5. Scenarios'!$C$8))/4+INDEX(BookQ3,1635)*(5-MIN(4,3+'5. Scenarios'!$C$8))/4+INDEX(BookQ4,1635)*(5-MIN(4,4+'5. Scenarios'!$C$8))/4)*'5. Scenarios'!$C$6/(1+ProductivityDefault*('5. Scenarios'!$C$11-1))+INDEX(BookOneOff,1635)*$I1640)</f>
        <v/>
      </c>
      <c r="N1640" s="56" t="str">
        <f aca="false">IF(INDEX(BookTitle,1635)="","",INDEX(BookTotal,1635)*'5. Scenarios'!$D$6/(1+ProductivityDefault*('5. Scenarios'!$D$11-1)))</f>
        <v/>
      </c>
      <c r="O1640" s="57" t="str">
        <f aca="false">IF($N1640="","",INDEX(BookRate,1635)*(1+'5. Scenarios'!$D$10)*$N1640)</f>
        <v/>
      </c>
      <c r="P1640" s="57" t="str">
        <f aca="false">IF($O1640="","",SUMIFS($O$6:$O$2405,$A$6:$A$2405,"&lt;="&amp;$A1640))</f>
        <v/>
      </c>
      <c r="Q1640" s="57" t="str">
        <f aca="false">IF($O1640="","",IF($P1640&lt;=BankCostEnvelope*'5. Scenarios'!$D$7,1,0))</f>
        <v/>
      </c>
      <c r="R1640" s="57" t="str">
        <f aca="false">IF($N1640="","",INDEX(BookRate,1635)*(1+'5. Scenarios'!$D$10)*(INDEX(BookQ1,1635)*(5-MIN(4,1+'5. Scenarios'!$D$8))/4+INDEX(BookQ2,1635)*(5-MIN(4,2+'5. Scenarios'!$D$8))/4+INDEX(BookQ3,1635)*(5-MIN(4,3+'5. Scenarios'!$D$8))/4+INDEX(BookQ4,1635)*(5-MIN(4,4+'5. Scenarios'!$D$8))/4)*'5. Scenarios'!$D$6/(1+ProductivityDefault*('5. Scenarios'!$D$11-1))+INDEX(BookOneOff,1635)*$N1640)</f>
        <v/>
      </c>
      <c r="S1640" s="56" t="str">
        <f aca="false">IF(INDEX(BookTitle,1635)="","",INDEX(BookTotal,1635)*'5. Scenarios'!$E$6/(1+ProductivityDefault*('5. Scenarios'!$E$11-1)))</f>
        <v/>
      </c>
      <c r="T1640" s="57" t="str">
        <f aca="false">IF($S1640="","",INDEX(BookRate,1635)*(1+'5. Scenarios'!$E$10)*$S1640)</f>
        <v/>
      </c>
      <c r="U1640" s="57" t="str">
        <f aca="false">IF($T1640="","",SUMIFS($T$6:$T$2405,$A$6:$A$2405,"&lt;="&amp;$A1640))</f>
        <v/>
      </c>
      <c r="V1640" s="57" t="str">
        <f aca="false">IF($T1640="","",IF($U1640&lt;=BankCostEnvelope*'5. Scenarios'!$E$7,1,0))</f>
        <v/>
      </c>
      <c r="W1640" s="57" t="str">
        <f aca="false">IF($S1640="","",INDEX(BookRate,1635)*(1+'5. Scenarios'!$E$10)*(INDEX(BookQ1,1635)*(5-MIN(4,1+'5. Scenarios'!$E$8))/4+INDEX(BookQ2,1635)*(5-MIN(4,2+'5. Scenarios'!$E$8))/4+INDEX(BookQ3,1635)*(5-MIN(4,3+'5. Scenarios'!$E$8))/4+INDEX(BookQ4,1635)*(5-MIN(4,4+'5. Scenarios'!$E$8))/4)*'5. Scenarios'!$E$6/(1+ProductivityDefault*('5. Scenarios'!$E$11-1))+INDEX(BookOneOff,1635)*$S1640)</f>
        <v/>
      </c>
    </row>
    <row r="1641" customFormat="false" ht="15" hidden="false" customHeight="false" outlineLevel="0" collapsed="false">
      <c r="A1641" s="0" t="str">
        <f aca="false">IF(INDEX(BookTitle,1636)="","",INDEX(BookKey,1636))</f>
        <v/>
      </c>
      <c r="B1641" s="0" t="str">
        <f aca="false">IF(INDEX(BookTitle,1636)="","",INDEX(BookGroup,1636))</f>
        <v/>
      </c>
      <c r="C1641" s="0" t="str">
        <f aca="false">IF(INDEX(BookTitle,1636)="","",INDEX(BookCategory,1636))</f>
        <v/>
      </c>
      <c r="D1641" s="56" t="str">
        <f aca="false">IF(INDEX(BookTitle,1636)="","",INDEX(BookTotal,1636)*'5. Scenarios'!$B$6/(1+ProductivityDefault*('5. Scenarios'!$B$11-1)))</f>
        <v/>
      </c>
      <c r="E1641" s="57" t="str">
        <f aca="false">IF($D1641="","",INDEX(BookRate,1636)*(1+'5. Scenarios'!$B$10)*$D1641)</f>
        <v/>
      </c>
      <c r="F1641" s="57" t="str">
        <f aca="false">IF($E1641="","",SUMIFS($E$6:$E$2405,$A$6:$A$2405,"&lt;="&amp;$A1641))</f>
        <v/>
      </c>
      <c r="G1641" s="57" t="str">
        <f aca="false">IF($E1641="","",IF($F1641&lt;=BankCostEnvelope*'5. Scenarios'!$B$7,1,0))</f>
        <v/>
      </c>
      <c r="H1641" s="57" t="str">
        <f aca="false">IF($D1641="","",INDEX(BookRate,1636)*(1+'5. Scenarios'!$B$10)*(INDEX(BookQ1,1636)*(5-MIN(4,1+'5. Scenarios'!$B$8))/4+INDEX(BookQ2,1636)*(5-MIN(4,2+'5. Scenarios'!$B$8))/4+INDEX(BookQ3,1636)*(5-MIN(4,3+'5. Scenarios'!$B$8))/4+INDEX(BookQ4,1636)*(5-MIN(4,4+'5. Scenarios'!$B$8))/4)*'5. Scenarios'!$B$6/(1+ProductivityDefault*('5. Scenarios'!$B$11-1))+INDEX(BookOneOff,1636)*$D1641)</f>
        <v/>
      </c>
      <c r="I1641" s="56" t="str">
        <f aca="false">IF(INDEX(BookTitle,1636)="","",INDEX(BookTotal,1636)*'5. Scenarios'!$C$6/(1+ProductivityDefault*('5. Scenarios'!$C$11-1)))</f>
        <v/>
      </c>
      <c r="J1641" s="57" t="str">
        <f aca="false">IF($I1641="","",INDEX(BookRate,1636)*(1+'5. Scenarios'!$C$10)*$I1641)</f>
        <v/>
      </c>
      <c r="K1641" s="57" t="str">
        <f aca="false">IF($J1641="","",SUMIFS($J$6:$J$2405,$A$6:$A$2405,"&lt;="&amp;$A1641))</f>
        <v/>
      </c>
      <c r="L1641" s="57" t="str">
        <f aca="false">IF($J1641="","",IF($K1641&lt;=BankCostEnvelope*'5. Scenarios'!$C$7,1,0))</f>
        <v/>
      </c>
      <c r="M1641" s="57" t="str">
        <f aca="false">IF($I1641="","",INDEX(BookRate,1636)*(1+'5. Scenarios'!$C$10)*(INDEX(BookQ1,1636)*(5-MIN(4,1+'5. Scenarios'!$C$8))/4+INDEX(BookQ2,1636)*(5-MIN(4,2+'5. Scenarios'!$C$8))/4+INDEX(BookQ3,1636)*(5-MIN(4,3+'5. Scenarios'!$C$8))/4+INDEX(BookQ4,1636)*(5-MIN(4,4+'5. Scenarios'!$C$8))/4)*'5. Scenarios'!$C$6/(1+ProductivityDefault*('5. Scenarios'!$C$11-1))+INDEX(BookOneOff,1636)*$I1641)</f>
        <v/>
      </c>
      <c r="N1641" s="56" t="str">
        <f aca="false">IF(INDEX(BookTitle,1636)="","",INDEX(BookTotal,1636)*'5. Scenarios'!$D$6/(1+ProductivityDefault*('5. Scenarios'!$D$11-1)))</f>
        <v/>
      </c>
      <c r="O1641" s="57" t="str">
        <f aca="false">IF($N1641="","",INDEX(BookRate,1636)*(1+'5. Scenarios'!$D$10)*$N1641)</f>
        <v/>
      </c>
      <c r="P1641" s="57" t="str">
        <f aca="false">IF($O1641="","",SUMIFS($O$6:$O$2405,$A$6:$A$2405,"&lt;="&amp;$A1641))</f>
        <v/>
      </c>
      <c r="Q1641" s="57" t="str">
        <f aca="false">IF($O1641="","",IF($P1641&lt;=BankCostEnvelope*'5. Scenarios'!$D$7,1,0))</f>
        <v/>
      </c>
      <c r="R1641" s="57" t="str">
        <f aca="false">IF($N1641="","",INDEX(BookRate,1636)*(1+'5. Scenarios'!$D$10)*(INDEX(BookQ1,1636)*(5-MIN(4,1+'5. Scenarios'!$D$8))/4+INDEX(BookQ2,1636)*(5-MIN(4,2+'5. Scenarios'!$D$8))/4+INDEX(BookQ3,1636)*(5-MIN(4,3+'5. Scenarios'!$D$8))/4+INDEX(BookQ4,1636)*(5-MIN(4,4+'5. Scenarios'!$D$8))/4)*'5. Scenarios'!$D$6/(1+ProductivityDefault*('5. Scenarios'!$D$11-1))+INDEX(BookOneOff,1636)*$N1641)</f>
        <v/>
      </c>
      <c r="S1641" s="56" t="str">
        <f aca="false">IF(INDEX(BookTitle,1636)="","",INDEX(BookTotal,1636)*'5. Scenarios'!$E$6/(1+ProductivityDefault*('5. Scenarios'!$E$11-1)))</f>
        <v/>
      </c>
      <c r="T1641" s="57" t="str">
        <f aca="false">IF($S1641="","",INDEX(BookRate,1636)*(1+'5. Scenarios'!$E$10)*$S1641)</f>
        <v/>
      </c>
      <c r="U1641" s="57" t="str">
        <f aca="false">IF($T1641="","",SUMIFS($T$6:$T$2405,$A$6:$A$2405,"&lt;="&amp;$A1641))</f>
        <v/>
      </c>
      <c r="V1641" s="57" t="str">
        <f aca="false">IF($T1641="","",IF($U1641&lt;=BankCostEnvelope*'5. Scenarios'!$E$7,1,0))</f>
        <v/>
      </c>
      <c r="W1641" s="57" t="str">
        <f aca="false">IF($S1641="","",INDEX(BookRate,1636)*(1+'5. Scenarios'!$E$10)*(INDEX(BookQ1,1636)*(5-MIN(4,1+'5. Scenarios'!$E$8))/4+INDEX(BookQ2,1636)*(5-MIN(4,2+'5. Scenarios'!$E$8))/4+INDEX(BookQ3,1636)*(5-MIN(4,3+'5. Scenarios'!$E$8))/4+INDEX(BookQ4,1636)*(5-MIN(4,4+'5. Scenarios'!$E$8))/4)*'5. Scenarios'!$E$6/(1+ProductivityDefault*('5. Scenarios'!$E$11-1))+INDEX(BookOneOff,1636)*$S1641)</f>
        <v/>
      </c>
    </row>
    <row r="1642" customFormat="false" ht="15" hidden="false" customHeight="false" outlineLevel="0" collapsed="false">
      <c r="A1642" s="0" t="str">
        <f aca="false">IF(INDEX(BookTitle,1637)="","",INDEX(BookKey,1637))</f>
        <v/>
      </c>
      <c r="B1642" s="0" t="str">
        <f aca="false">IF(INDEX(BookTitle,1637)="","",INDEX(BookGroup,1637))</f>
        <v/>
      </c>
      <c r="C1642" s="0" t="str">
        <f aca="false">IF(INDEX(BookTitle,1637)="","",INDEX(BookCategory,1637))</f>
        <v/>
      </c>
      <c r="D1642" s="56" t="str">
        <f aca="false">IF(INDEX(BookTitle,1637)="","",INDEX(BookTotal,1637)*'5. Scenarios'!$B$6/(1+ProductivityDefault*('5. Scenarios'!$B$11-1)))</f>
        <v/>
      </c>
      <c r="E1642" s="57" t="str">
        <f aca="false">IF($D1642="","",INDEX(BookRate,1637)*(1+'5. Scenarios'!$B$10)*$D1642)</f>
        <v/>
      </c>
      <c r="F1642" s="57" t="str">
        <f aca="false">IF($E1642="","",SUMIFS($E$6:$E$2405,$A$6:$A$2405,"&lt;="&amp;$A1642))</f>
        <v/>
      </c>
      <c r="G1642" s="57" t="str">
        <f aca="false">IF($E1642="","",IF($F1642&lt;=BankCostEnvelope*'5. Scenarios'!$B$7,1,0))</f>
        <v/>
      </c>
      <c r="H1642" s="57" t="str">
        <f aca="false">IF($D1642="","",INDEX(BookRate,1637)*(1+'5. Scenarios'!$B$10)*(INDEX(BookQ1,1637)*(5-MIN(4,1+'5. Scenarios'!$B$8))/4+INDEX(BookQ2,1637)*(5-MIN(4,2+'5. Scenarios'!$B$8))/4+INDEX(BookQ3,1637)*(5-MIN(4,3+'5. Scenarios'!$B$8))/4+INDEX(BookQ4,1637)*(5-MIN(4,4+'5. Scenarios'!$B$8))/4)*'5. Scenarios'!$B$6/(1+ProductivityDefault*('5. Scenarios'!$B$11-1))+INDEX(BookOneOff,1637)*$D1642)</f>
        <v/>
      </c>
      <c r="I1642" s="56" t="str">
        <f aca="false">IF(INDEX(BookTitle,1637)="","",INDEX(BookTotal,1637)*'5. Scenarios'!$C$6/(1+ProductivityDefault*('5. Scenarios'!$C$11-1)))</f>
        <v/>
      </c>
      <c r="J1642" s="57" t="str">
        <f aca="false">IF($I1642="","",INDEX(BookRate,1637)*(1+'5. Scenarios'!$C$10)*$I1642)</f>
        <v/>
      </c>
      <c r="K1642" s="57" t="str">
        <f aca="false">IF($J1642="","",SUMIFS($J$6:$J$2405,$A$6:$A$2405,"&lt;="&amp;$A1642))</f>
        <v/>
      </c>
      <c r="L1642" s="57" t="str">
        <f aca="false">IF($J1642="","",IF($K1642&lt;=BankCostEnvelope*'5. Scenarios'!$C$7,1,0))</f>
        <v/>
      </c>
      <c r="M1642" s="57" t="str">
        <f aca="false">IF($I1642="","",INDEX(BookRate,1637)*(1+'5. Scenarios'!$C$10)*(INDEX(BookQ1,1637)*(5-MIN(4,1+'5. Scenarios'!$C$8))/4+INDEX(BookQ2,1637)*(5-MIN(4,2+'5. Scenarios'!$C$8))/4+INDEX(BookQ3,1637)*(5-MIN(4,3+'5. Scenarios'!$C$8))/4+INDEX(BookQ4,1637)*(5-MIN(4,4+'5. Scenarios'!$C$8))/4)*'5. Scenarios'!$C$6/(1+ProductivityDefault*('5. Scenarios'!$C$11-1))+INDEX(BookOneOff,1637)*$I1642)</f>
        <v/>
      </c>
      <c r="N1642" s="56" t="str">
        <f aca="false">IF(INDEX(BookTitle,1637)="","",INDEX(BookTotal,1637)*'5. Scenarios'!$D$6/(1+ProductivityDefault*('5. Scenarios'!$D$11-1)))</f>
        <v/>
      </c>
      <c r="O1642" s="57" t="str">
        <f aca="false">IF($N1642="","",INDEX(BookRate,1637)*(1+'5. Scenarios'!$D$10)*$N1642)</f>
        <v/>
      </c>
      <c r="P1642" s="57" t="str">
        <f aca="false">IF($O1642="","",SUMIFS($O$6:$O$2405,$A$6:$A$2405,"&lt;="&amp;$A1642))</f>
        <v/>
      </c>
      <c r="Q1642" s="57" t="str">
        <f aca="false">IF($O1642="","",IF($P1642&lt;=BankCostEnvelope*'5. Scenarios'!$D$7,1,0))</f>
        <v/>
      </c>
      <c r="R1642" s="57" t="str">
        <f aca="false">IF($N1642="","",INDEX(BookRate,1637)*(1+'5. Scenarios'!$D$10)*(INDEX(BookQ1,1637)*(5-MIN(4,1+'5. Scenarios'!$D$8))/4+INDEX(BookQ2,1637)*(5-MIN(4,2+'5. Scenarios'!$D$8))/4+INDEX(BookQ3,1637)*(5-MIN(4,3+'5. Scenarios'!$D$8))/4+INDEX(BookQ4,1637)*(5-MIN(4,4+'5. Scenarios'!$D$8))/4)*'5. Scenarios'!$D$6/(1+ProductivityDefault*('5. Scenarios'!$D$11-1))+INDEX(BookOneOff,1637)*$N1642)</f>
        <v/>
      </c>
      <c r="S1642" s="56" t="str">
        <f aca="false">IF(INDEX(BookTitle,1637)="","",INDEX(BookTotal,1637)*'5. Scenarios'!$E$6/(1+ProductivityDefault*('5. Scenarios'!$E$11-1)))</f>
        <v/>
      </c>
      <c r="T1642" s="57" t="str">
        <f aca="false">IF($S1642="","",INDEX(BookRate,1637)*(1+'5. Scenarios'!$E$10)*$S1642)</f>
        <v/>
      </c>
      <c r="U1642" s="57" t="str">
        <f aca="false">IF($T1642="","",SUMIFS($T$6:$T$2405,$A$6:$A$2405,"&lt;="&amp;$A1642))</f>
        <v/>
      </c>
      <c r="V1642" s="57" t="str">
        <f aca="false">IF($T1642="","",IF($U1642&lt;=BankCostEnvelope*'5. Scenarios'!$E$7,1,0))</f>
        <v/>
      </c>
      <c r="W1642" s="57" t="str">
        <f aca="false">IF($S1642="","",INDEX(BookRate,1637)*(1+'5. Scenarios'!$E$10)*(INDEX(BookQ1,1637)*(5-MIN(4,1+'5. Scenarios'!$E$8))/4+INDEX(BookQ2,1637)*(5-MIN(4,2+'5. Scenarios'!$E$8))/4+INDEX(BookQ3,1637)*(5-MIN(4,3+'5. Scenarios'!$E$8))/4+INDEX(BookQ4,1637)*(5-MIN(4,4+'5. Scenarios'!$E$8))/4)*'5. Scenarios'!$E$6/(1+ProductivityDefault*('5. Scenarios'!$E$11-1))+INDEX(BookOneOff,1637)*$S1642)</f>
        <v/>
      </c>
    </row>
    <row r="1643" customFormat="false" ht="15" hidden="false" customHeight="false" outlineLevel="0" collapsed="false">
      <c r="A1643" s="0" t="str">
        <f aca="false">IF(INDEX(BookTitle,1638)="","",INDEX(BookKey,1638))</f>
        <v/>
      </c>
      <c r="B1643" s="0" t="str">
        <f aca="false">IF(INDEX(BookTitle,1638)="","",INDEX(BookGroup,1638))</f>
        <v/>
      </c>
      <c r="C1643" s="0" t="str">
        <f aca="false">IF(INDEX(BookTitle,1638)="","",INDEX(BookCategory,1638))</f>
        <v/>
      </c>
      <c r="D1643" s="56" t="str">
        <f aca="false">IF(INDEX(BookTitle,1638)="","",INDEX(BookTotal,1638)*'5. Scenarios'!$B$6/(1+ProductivityDefault*('5. Scenarios'!$B$11-1)))</f>
        <v/>
      </c>
      <c r="E1643" s="57" t="str">
        <f aca="false">IF($D1643="","",INDEX(BookRate,1638)*(1+'5. Scenarios'!$B$10)*$D1643)</f>
        <v/>
      </c>
      <c r="F1643" s="57" t="str">
        <f aca="false">IF($E1643="","",SUMIFS($E$6:$E$2405,$A$6:$A$2405,"&lt;="&amp;$A1643))</f>
        <v/>
      </c>
      <c r="G1643" s="57" t="str">
        <f aca="false">IF($E1643="","",IF($F1643&lt;=BankCostEnvelope*'5. Scenarios'!$B$7,1,0))</f>
        <v/>
      </c>
      <c r="H1643" s="57" t="str">
        <f aca="false">IF($D1643="","",INDEX(BookRate,1638)*(1+'5. Scenarios'!$B$10)*(INDEX(BookQ1,1638)*(5-MIN(4,1+'5. Scenarios'!$B$8))/4+INDEX(BookQ2,1638)*(5-MIN(4,2+'5. Scenarios'!$B$8))/4+INDEX(BookQ3,1638)*(5-MIN(4,3+'5. Scenarios'!$B$8))/4+INDEX(BookQ4,1638)*(5-MIN(4,4+'5. Scenarios'!$B$8))/4)*'5. Scenarios'!$B$6/(1+ProductivityDefault*('5. Scenarios'!$B$11-1))+INDEX(BookOneOff,1638)*$D1643)</f>
        <v/>
      </c>
      <c r="I1643" s="56" t="str">
        <f aca="false">IF(INDEX(BookTitle,1638)="","",INDEX(BookTotal,1638)*'5. Scenarios'!$C$6/(1+ProductivityDefault*('5. Scenarios'!$C$11-1)))</f>
        <v/>
      </c>
      <c r="J1643" s="57" t="str">
        <f aca="false">IF($I1643="","",INDEX(BookRate,1638)*(1+'5. Scenarios'!$C$10)*$I1643)</f>
        <v/>
      </c>
      <c r="K1643" s="57" t="str">
        <f aca="false">IF($J1643="","",SUMIFS($J$6:$J$2405,$A$6:$A$2405,"&lt;="&amp;$A1643))</f>
        <v/>
      </c>
      <c r="L1643" s="57" t="str">
        <f aca="false">IF($J1643="","",IF($K1643&lt;=BankCostEnvelope*'5. Scenarios'!$C$7,1,0))</f>
        <v/>
      </c>
      <c r="M1643" s="57" t="str">
        <f aca="false">IF($I1643="","",INDEX(BookRate,1638)*(1+'5. Scenarios'!$C$10)*(INDEX(BookQ1,1638)*(5-MIN(4,1+'5. Scenarios'!$C$8))/4+INDEX(BookQ2,1638)*(5-MIN(4,2+'5. Scenarios'!$C$8))/4+INDEX(BookQ3,1638)*(5-MIN(4,3+'5. Scenarios'!$C$8))/4+INDEX(BookQ4,1638)*(5-MIN(4,4+'5. Scenarios'!$C$8))/4)*'5. Scenarios'!$C$6/(1+ProductivityDefault*('5. Scenarios'!$C$11-1))+INDEX(BookOneOff,1638)*$I1643)</f>
        <v/>
      </c>
      <c r="N1643" s="56" t="str">
        <f aca="false">IF(INDEX(BookTitle,1638)="","",INDEX(BookTotal,1638)*'5. Scenarios'!$D$6/(1+ProductivityDefault*('5. Scenarios'!$D$11-1)))</f>
        <v/>
      </c>
      <c r="O1643" s="57" t="str">
        <f aca="false">IF($N1643="","",INDEX(BookRate,1638)*(1+'5. Scenarios'!$D$10)*$N1643)</f>
        <v/>
      </c>
      <c r="P1643" s="57" t="str">
        <f aca="false">IF($O1643="","",SUMIFS($O$6:$O$2405,$A$6:$A$2405,"&lt;="&amp;$A1643))</f>
        <v/>
      </c>
      <c r="Q1643" s="57" t="str">
        <f aca="false">IF($O1643="","",IF($P1643&lt;=BankCostEnvelope*'5. Scenarios'!$D$7,1,0))</f>
        <v/>
      </c>
      <c r="R1643" s="57" t="str">
        <f aca="false">IF($N1643="","",INDEX(BookRate,1638)*(1+'5. Scenarios'!$D$10)*(INDEX(BookQ1,1638)*(5-MIN(4,1+'5. Scenarios'!$D$8))/4+INDEX(BookQ2,1638)*(5-MIN(4,2+'5. Scenarios'!$D$8))/4+INDEX(BookQ3,1638)*(5-MIN(4,3+'5. Scenarios'!$D$8))/4+INDEX(BookQ4,1638)*(5-MIN(4,4+'5. Scenarios'!$D$8))/4)*'5. Scenarios'!$D$6/(1+ProductivityDefault*('5. Scenarios'!$D$11-1))+INDEX(BookOneOff,1638)*$N1643)</f>
        <v/>
      </c>
      <c r="S1643" s="56" t="str">
        <f aca="false">IF(INDEX(BookTitle,1638)="","",INDEX(BookTotal,1638)*'5. Scenarios'!$E$6/(1+ProductivityDefault*('5. Scenarios'!$E$11-1)))</f>
        <v/>
      </c>
      <c r="T1643" s="57" t="str">
        <f aca="false">IF($S1643="","",INDEX(BookRate,1638)*(1+'5. Scenarios'!$E$10)*$S1643)</f>
        <v/>
      </c>
      <c r="U1643" s="57" t="str">
        <f aca="false">IF($T1643="","",SUMIFS($T$6:$T$2405,$A$6:$A$2405,"&lt;="&amp;$A1643))</f>
        <v/>
      </c>
      <c r="V1643" s="57" t="str">
        <f aca="false">IF($T1643="","",IF($U1643&lt;=BankCostEnvelope*'5. Scenarios'!$E$7,1,0))</f>
        <v/>
      </c>
      <c r="W1643" s="57" t="str">
        <f aca="false">IF($S1643="","",INDEX(BookRate,1638)*(1+'5. Scenarios'!$E$10)*(INDEX(BookQ1,1638)*(5-MIN(4,1+'5. Scenarios'!$E$8))/4+INDEX(BookQ2,1638)*(5-MIN(4,2+'5. Scenarios'!$E$8))/4+INDEX(BookQ3,1638)*(5-MIN(4,3+'5. Scenarios'!$E$8))/4+INDEX(BookQ4,1638)*(5-MIN(4,4+'5. Scenarios'!$E$8))/4)*'5. Scenarios'!$E$6/(1+ProductivityDefault*('5. Scenarios'!$E$11-1))+INDEX(BookOneOff,1638)*$S1643)</f>
        <v/>
      </c>
    </row>
    <row r="1644" customFormat="false" ht="15" hidden="false" customHeight="false" outlineLevel="0" collapsed="false">
      <c r="A1644" s="0" t="str">
        <f aca="false">IF(INDEX(BookTitle,1639)="","",INDEX(BookKey,1639))</f>
        <v/>
      </c>
      <c r="B1644" s="0" t="str">
        <f aca="false">IF(INDEX(BookTitle,1639)="","",INDEX(BookGroup,1639))</f>
        <v/>
      </c>
      <c r="C1644" s="0" t="str">
        <f aca="false">IF(INDEX(BookTitle,1639)="","",INDEX(BookCategory,1639))</f>
        <v/>
      </c>
      <c r="D1644" s="56" t="str">
        <f aca="false">IF(INDEX(BookTitle,1639)="","",INDEX(BookTotal,1639)*'5. Scenarios'!$B$6/(1+ProductivityDefault*('5. Scenarios'!$B$11-1)))</f>
        <v/>
      </c>
      <c r="E1644" s="57" t="str">
        <f aca="false">IF($D1644="","",INDEX(BookRate,1639)*(1+'5. Scenarios'!$B$10)*$D1644)</f>
        <v/>
      </c>
      <c r="F1644" s="57" t="str">
        <f aca="false">IF($E1644="","",SUMIFS($E$6:$E$2405,$A$6:$A$2405,"&lt;="&amp;$A1644))</f>
        <v/>
      </c>
      <c r="G1644" s="57" t="str">
        <f aca="false">IF($E1644="","",IF($F1644&lt;=BankCostEnvelope*'5. Scenarios'!$B$7,1,0))</f>
        <v/>
      </c>
      <c r="H1644" s="57" t="str">
        <f aca="false">IF($D1644="","",INDEX(BookRate,1639)*(1+'5. Scenarios'!$B$10)*(INDEX(BookQ1,1639)*(5-MIN(4,1+'5. Scenarios'!$B$8))/4+INDEX(BookQ2,1639)*(5-MIN(4,2+'5. Scenarios'!$B$8))/4+INDEX(BookQ3,1639)*(5-MIN(4,3+'5. Scenarios'!$B$8))/4+INDEX(BookQ4,1639)*(5-MIN(4,4+'5. Scenarios'!$B$8))/4)*'5. Scenarios'!$B$6/(1+ProductivityDefault*('5. Scenarios'!$B$11-1))+INDEX(BookOneOff,1639)*$D1644)</f>
        <v/>
      </c>
      <c r="I1644" s="56" t="str">
        <f aca="false">IF(INDEX(BookTitle,1639)="","",INDEX(BookTotal,1639)*'5. Scenarios'!$C$6/(1+ProductivityDefault*('5. Scenarios'!$C$11-1)))</f>
        <v/>
      </c>
      <c r="J1644" s="57" t="str">
        <f aca="false">IF($I1644="","",INDEX(BookRate,1639)*(1+'5. Scenarios'!$C$10)*$I1644)</f>
        <v/>
      </c>
      <c r="K1644" s="57" t="str">
        <f aca="false">IF($J1644="","",SUMIFS($J$6:$J$2405,$A$6:$A$2405,"&lt;="&amp;$A1644))</f>
        <v/>
      </c>
      <c r="L1644" s="57" t="str">
        <f aca="false">IF($J1644="","",IF($K1644&lt;=BankCostEnvelope*'5. Scenarios'!$C$7,1,0))</f>
        <v/>
      </c>
      <c r="M1644" s="57" t="str">
        <f aca="false">IF($I1644="","",INDEX(BookRate,1639)*(1+'5. Scenarios'!$C$10)*(INDEX(BookQ1,1639)*(5-MIN(4,1+'5. Scenarios'!$C$8))/4+INDEX(BookQ2,1639)*(5-MIN(4,2+'5. Scenarios'!$C$8))/4+INDEX(BookQ3,1639)*(5-MIN(4,3+'5. Scenarios'!$C$8))/4+INDEX(BookQ4,1639)*(5-MIN(4,4+'5. Scenarios'!$C$8))/4)*'5. Scenarios'!$C$6/(1+ProductivityDefault*('5. Scenarios'!$C$11-1))+INDEX(BookOneOff,1639)*$I1644)</f>
        <v/>
      </c>
      <c r="N1644" s="56" t="str">
        <f aca="false">IF(INDEX(BookTitle,1639)="","",INDEX(BookTotal,1639)*'5. Scenarios'!$D$6/(1+ProductivityDefault*('5. Scenarios'!$D$11-1)))</f>
        <v/>
      </c>
      <c r="O1644" s="57" t="str">
        <f aca="false">IF($N1644="","",INDEX(BookRate,1639)*(1+'5. Scenarios'!$D$10)*$N1644)</f>
        <v/>
      </c>
      <c r="P1644" s="57" t="str">
        <f aca="false">IF($O1644="","",SUMIFS($O$6:$O$2405,$A$6:$A$2405,"&lt;="&amp;$A1644))</f>
        <v/>
      </c>
      <c r="Q1644" s="57" t="str">
        <f aca="false">IF($O1644="","",IF($P1644&lt;=BankCostEnvelope*'5. Scenarios'!$D$7,1,0))</f>
        <v/>
      </c>
      <c r="R1644" s="57" t="str">
        <f aca="false">IF($N1644="","",INDEX(BookRate,1639)*(1+'5. Scenarios'!$D$10)*(INDEX(BookQ1,1639)*(5-MIN(4,1+'5. Scenarios'!$D$8))/4+INDEX(BookQ2,1639)*(5-MIN(4,2+'5. Scenarios'!$D$8))/4+INDEX(BookQ3,1639)*(5-MIN(4,3+'5. Scenarios'!$D$8))/4+INDEX(BookQ4,1639)*(5-MIN(4,4+'5. Scenarios'!$D$8))/4)*'5. Scenarios'!$D$6/(1+ProductivityDefault*('5. Scenarios'!$D$11-1))+INDEX(BookOneOff,1639)*$N1644)</f>
        <v/>
      </c>
      <c r="S1644" s="56" t="str">
        <f aca="false">IF(INDEX(BookTitle,1639)="","",INDEX(BookTotal,1639)*'5. Scenarios'!$E$6/(1+ProductivityDefault*('5. Scenarios'!$E$11-1)))</f>
        <v/>
      </c>
      <c r="T1644" s="57" t="str">
        <f aca="false">IF($S1644="","",INDEX(BookRate,1639)*(1+'5. Scenarios'!$E$10)*$S1644)</f>
        <v/>
      </c>
      <c r="U1644" s="57" t="str">
        <f aca="false">IF($T1644="","",SUMIFS($T$6:$T$2405,$A$6:$A$2405,"&lt;="&amp;$A1644))</f>
        <v/>
      </c>
      <c r="V1644" s="57" t="str">
        <f aca="false">IF($T1644="","",IF($U1644&lt;=BankCostEnvelope*'5. Scenarios'!$E$7,1,0))</f>
        <v/>
      </c>
      <c r="W1644" s="57" t="str">
        <f aca="false">IF($S1644="","",INDEX(BookRate,1639)*(1+'5. Scenarios'!$E$10)*(INDEX(BookQ1,1639)*(5-MIN(4,1+'5. Scenarios'!$E$8))/4+INDEX(BookQ2,1639)*(5-MIN(4,2+'5. Scenarios'!$E$8))/4+INDEX(BookQ3,1639)*(5-MIN(4,3+'5. Scenarios'!$E$8))/4+INDEX(BookQ4,1639)*(5-MIN(4,4+'5. Scenarios'!$E$8))/4)*'5. Scenarios'!$E$6/(1+ProductivityDefault*('5. Scenarios'!$E$11-1))+INDEX(BookOneOff,1639)*$S1644)</f>
        <v/>
      </c>
    </row>
    <row r="1645" customFormat="false" ht="15" hidden="false" customHeight="false" outlineLevel="0" collapsed="false">
      <c r="A1645" s="0" t="str">
        <f aca="false">IF(INDEX(BookTitle,1640)="","",INDEX(BookKey,1640))</f>
        <v/>
      </c>
      <c r="B1645" s="0" t="str">
        <f aca="false">IF(INDEX(BookTitle,1640)="","",INDEX(BookGroup,1640))</f>
        <v/>
      </c>
      <c r="C1645" s="0" t="str">
        <f aca="false">IF(INDEX(BookTitle,1640)="","",INDEX(BookCategory,1640))</f>
        <v/>
      </c>
      <c r="D1645" s="56" t="str">
        <f aca="false">IF(INDEX(BookTitle,1640)="","",INDEX(BookTotal,1640)*'5. Scenarios'!$B$6/(1+ProductivityDefault*('5. Scenarios'!$B$11-1)))</f>
        <v/>
      </c>
      <c r="E1645" s="57" t="str">
        <f aca="false">IF($D1645="","",INDEX(BookRate,1640)*(1+'5. Scenarios'!$B$10)*$D1645)</f>
        <v/>
      </c>
      <c r="F1645" s="57" t="str">
        <f aca="false">IF($E1645="","",SUMIFS($E$6:$E$2405,$A$6:$A$2405,"&lt;="&amp;$A1645))</f>
        <v/>
      </c>
      <c r="G1645" s="57" t="str">
        <f aca="false">IF($E1645="","",IF($F1645&lt;=BankCostEnvelope*'5. Scenarios'!$B$7,1,0))</f>
        <v/>
      </c>
      <c r="H1645" s="57" t="str">
        <f aca="false">IF($D1645="","",INDEX(BookRate,1640)*(1+'5. Scenarios'!$B$10)*(INDEX(BookQ1,1640)*(5-MIN(4,1+'5. Scenarios'!$B$8))/4+INDEX(BookQ2,1640)*(5-MIN(4,2+'5. Scenarios'!$B$8))/4+INDEX(BookQ3,1640)*(5-MIN(4,3+'5. Scenarios'!$B$8))/4+INDEX(BookQ4,1640)*(5-MIN(4,4+'5. Scenarios'!$B$8))/4)*'5. Scenarios'!$B$6/(1+ProductivityDefault*('5. Scenarios'!$B$11-1))+INDEX(BookOneOff,1640)*$D1645)</f>
        <v/>
      </c>
      <c r="I1645" s="56" t="str">
        <f aca="false">IF(INDEX(BookTitle,1640)="","",INDEX(BookTotal,1640)*'5. Scenarios'!$C$6/(1+ProductivityDefault*('5. Scenarios'!$C$11-1)))</f>
        <v/>
      </c>
      <c r="J1645" s="57" t="str">
        <f aca="false">IF($I1645="","",INDEX(BookRate,1640)*(1+'5. Scenarios'!$C$10)*$I1645)</f>
        <v/>
      </c>
      <c r="K1645" s="57" t="str">
        <f aca="false">IF($J1645="","",SUMIFS($J$6:$J$2405,$A$6:$A$2405,"&lt;="&amp;$A1645))</f>
        <v/>
      </c>
      <c r="L1645" s="57" t="str">
        <f aca="false">IF($J1645="","",IF($K1645&lt;=BankCostEnvelope*'5. Scenarios'!$C$7,1,0))</f>
        <v/>
      </c>
      <c r="M1645" s="57" t="str">
        <f aca="false">IF($I1645="","",INDEX(BookRate,1640)*(1+'5. Scenarios'!$C$10)*(INDEX(BookQ1,1640)*(5-MIN(4,1+'5. Scenarios'!$C$8))/4+INDEX(BookQ2,1640)*(5-MIN(4,2+'5. Scenarios'!$C$8))/4+INDEX(BookQ3,1640)*(5-MIN(4,3+'5. Scenarios'!$C$8))/4+INDEX(BookQ4,1640)*(5-MIN(4,4+'5. Scenarios'!$C$8))/4)*'5. Scenarios'!$C$6/(1+ProductivityDefault*('5. Scenarios'!$C$11-1))+INDEX(BookOneOff,1640)*$I1645)</f>
        <v/>
      </c>
      <c r="N1645" s="56" t="str">
        <f aca="false">IF(INDEX(BookTitle,1640)="","",INDEX(BookTotal,1640)*'5. Scenarios'!$D$6/(1+ProductivityDefault*('5. Scenarios'!$D$11-1)))</f>
        <v/>
      </c>
      <c r="O1645" s="57" t="str">
        <f aca="false">IF($N1645="","",INDEX(BookRate,1640)*(1+'5. Scenarios'!$D$10)*$N1645)</f>
        <v/>
      </c>
      <c r="P1645" s="57" t="str">
        <f aca="false">IF($O1645="","",SUMIFS($O$6:$O$2405,$A$6:$A$2405,"&lt;="&amp;$A1645))</f>
        <v/>
      </c>
      <c r="Q1645" s="57" t="str">
        <f aca="false">IF($O1645="","",IF($P1645&lt;=BankCostEnvelope*'5. Scenarios'!$D$7,1,0))</f>
        <v/>
      </c>
      <c r="R1645" s="57" t="str">
        <f aca="false">IF($N1645="","",INDEX(BookRate,1640)*(1+'5. Scenarios'!$D$10)*(INDEX(BookQ1,1640)*(5-MIN(4,1+'5. Scenarios'!$D$8))/4+INDEX(BookQ2,1640)*(5-MIN(4,2+'5. Scenarios'!$D$8))/4+INDEX(BookQ3,1640)*(5-MIN(4,3+'5. Scenarios'!$D$8))/4+INDEX(BookQ4,1640)*(5-MIN(4,4+'5. Scenarios'!$D$8))/4)*'5. Scenarios'!$D$6/(1+ProductivityDefault*('5. Scenarios'!$D$11-1))+INDEX(BookOneOff,1640)*$N1645)</f>
        <v/>
      </c>
      <c r="S1645" s="56" t="str">
        <f aca="false">IF(INDEX(BookTitle,1640)="","",INDEX(BookTotal,1640)*'5. Scenarios'!$E$6/(1+ProductivityDefault*('5. Scenarios'!$E$11-1)))</f>
        <v/>
      </c>
      <c r="T1645" s="57" t="str">
        <f aca="false">IF($S1645="","",INDEX(BookRate,1640)*(1+'5. Scenarios'!$E$10)*$S1645)</f>
        <v/>
      </c>
      <c r="U1645" s="57" t="str">
        <f aca="false">IF($T1645="","",SUMIFS($T$6:$T$2405,$A$6:$A$2405,"&lt;="&amp;$A1645))</f>
        <v/>
      </c>
      <c r="V1645" s="57" t="str">
        <f aca="false">IF($T1645="","",IF($U1645&lt;=BankCostEnvelope*'5. Scenarios'!$E$7,1,0))</f>
        <v/>
      </c>
      <c r="W1645" s="57" t="str">
        <f aca="false">IF($S1645="","",INDEX(BookRate,1640)*(1+'5. Scenarios'!$E$10)*(INDEX(BookQ1,1640)*(5-MIN(4,1+'5. Scenarios'!$E$8))/4+INDEX(BookQ2,1640)*(5-MIN(4,2+'5. Scenarios'!$E$8))/4+INDEX(BookQ3,1640)*(5-MIN(4,3+'5. Scenarios'!$E$8))/4+INDEX(BookQ4,1640)*(5-MIN(4,4+'5. Scenarios'!$E$8))/4)*'5. Scenarios'!$E$6/(1+ProductivityDefault*('5. Scenarios'!$E$11-1))+INDEX(BookOneOff,1640)*$S1645)</f>
        <v/>
      </c>
    </row>
    <row r="1646" customFormat="false" ht="15" hidden="false" customHeight="false" outlineLevel="0" collapsed="false">
      <c r="A1646" s="0" t="str">
        <f aca="false">IF(INDEX(BookTitle,1641)="","",INDEX(BookKey,1641))</f>
        <v/>
      </c>
      <c r="B1646" s="0" t="str">
        <f aca="false">IF(INDEX(BookTitle,1641)="","",INDEX(BookGroup,1641))</f>
        <v/>
      </c>
      <c r="C1646" s="0" t="str">
        <f aca="false">IF(INDEX(BookTitle,1641)="","",INDEX(BookCategory,1641))</f>
        <v/>
      </c>
      <c r="D1646" s="56" t="str">
        <f aca="false">IF(INDEX(BookTitle,1641)="","",INDEX(BookTotal,1641)*'5. Scenarios'!$B$6/(1+ProductivityDefault*('5. Scenarios'!$B$11-1)))</f>
        <v/>
      </c>
      <c r="E1646" s="57" t="str">
        <f aca="false">IF($D1646="","",INDEX(BookRate,1641)*(1+'5. Scenarios'!$B$10)*$D1646)</f>
        <v/>
      </c>
      <c r="F1646" s="57" t="str">
        <f aca="false">IF($E1646="","",SUMIFS($E$6:$E$2405,$A$6:$A$2405,"&lt;="&amp;$A1646))</f>
        <v/>
      </c>
      <c r="G1646" s="57" t="str">
        <f aca="false">IF($E1646="","",IF($F1646&lt;=BankCostEnvelope*'5. Scenarios'!$B$7,1,0))</f>
        <v/>
      </c>
      <c r="H1646" s="57" t="str">
        <f aca="false">IF($D1646="","",INDEX(BookRate,1641)*(1+'5. Scenarios'!$B$10)*(INDEX(BookQ1,1641)*(5-MIN(4,1+'5. Scenarios'!$B$8))/4+INDEX(BookQ2,1641)*(5-MIN(4,2+'5. Scenarios'!$B$8))/4+INDEX(BookQ3,1641)*(5-MIN(4,3+'5. Scenarios'!$B$8))/4+INDEX(BookQ4,1641)*(5-MIN(4,4+'5. Scenarios'!$B$8))/4)*'5. Scenarios'!$B$6/(1+ProductivityDefault*('5. Scenarios'!$B$11-1))+INDEX(BookOneOff,1641)*$D1646)</f>
        <v/>
      </c>
      <c r="I1646" s="56" t="str">
        <f aca="false">IF(INDEX(BookTitle,1641)="","",INDEX(BookTotal,1641)*'5. Scenarios'!$C$6/(1+ProductivityDefault*('5. Scenarios'!$C$11-1)))</f>
        <v/>
      </c>
      <c r="J1646" s="57" t="str">
        <f aca="false">IF($I1646="","",INDEX(BookRate,1641)*(1+'5. Scenarios'!$C$10)*$I1646)</f>
        <v/>
      </c>
      <c r="K1646" s="57" t="str">
        <f aca="false">IF($J1646="","",SUMIFS($J$6:$J$2405,$A$6:$A$2405,"&lt;="&amp;$A1646))</f>
        <v/>
      </c>
      <c r="L1646" s="57" t="str">
        <f aca="false">IF($J1646="","",IF($K1646&lt;=BankCostEnvelope*'5. Scenarios'!$C$7,1,0))</f>
        <v/>
      </c>
      <c r="M1646" s="57" t="str">
        <f aca="false">IF($I1646="","",INDEX(BookRate,1641)*(1+'5. Scenarios'!$C$10)*(INDEX(BookQ1,1641)*(5-MIN(4,1+'5. Scenarios'!$C$8))/4+INDEX(BookQ2,1641)*(5-MIN(4,2+'5. Scenarios'!$C$8))/4+INDEX(BookQ3,1641)*(5-MIN(4,3+'5. Scenarios'!$C$8))/4+INDEX(BookQ4,1641)*(5-MIN(4,4+'5. Scenarios'!$C$8))/4)*'5. Scenarios'!$C$6/(1+ProductivityDefault*('5. Scenarios'!$C$11-1))+INDEX(BookOneOff,1641)*$I1646)</f>
        <v/>
      </c>
      <c r="N1646" s="56" t="str">
        <f aca="false">IF(INDEX(BookTitle,1641)="","",INDEX(BookTotal,1641)*'5. Scenarios'!$D$6/(1+ProductivityDefault*('5. Scenarios'!$D$11-1)))</f>
        <v/>
      </c>
      <c r="O1646" s="57" t="str">
        <f aca="false">IF($N1646="","",INDEX(BookRate,1641)*(1+'5. Scenarios'!$D$10)*$N1646)</f>
        <v/>
      </c>
      <c r="P1646" s="57" t="str">
        <f aca="false">IF($O1646="","",SUMIFS($O$6:$O$2405,$A$6:$A$2405,"&lt;="&amp;$A1646))</f>
        <v/>
      </c>
      <c r="Q1646" s="57" t="str">
        <f aca="false">IF($O1646="","",IF($P1646&lt;=BankCostEnvelope*'5. Scenarios'!$D$7,1,0))</f>
        <v/>
      </c>
      <c r="R1646" s="57" t="str">
        <f aca="false">IF($N1646="","",INDEX(BookRate,1641)*(1+'5. Scenarios'!$D$10)*(INDEX(BookQ1,1641)*(5-MIN(4,1+'5. Scenarios'!$D$8))/4+INDEX(BookQ2,1641)*(5-MIN(4,2+'5. Scenarios'!$D$8))/4+INDEX(BookQ3,1641)*(5-MIN(4,3+'5. Scenarios'!$D$8))/4+INDEX(BookQ4,1641)*(5-MIN(4,4+'5. Scenarios'!$D$8))/4)*'5. Scenarios'!$D$6/(1+ProductivityDefault*('5. Scenarios'!$D$11-1))+INDEX(BookOneOff,1641)*$N1646)</f>
        <v/>
      </c>
      <c r="S1646" s="56" t="str">
        <f aca="false">IF(INDEX(BookTitle,1641)="","",INDEX(BookTotal,1641)*'5. Scenarios'!$E$6/(1+ProductivityDefault*('5. Scenarios'!$E$11-1)))</f>
        <v/>
      </c>
      <c r="T1646" s="57" t="str">
        <f aca="false">IF($S1646="","",INDEX(BookRate,1641)*(1+'5. Scenarios'!$E$10)*$S1646)</f>
        <v/>
      </c>
      <c r="U1646" s="57" t="str">
        <f aca="false">IF($T1646="","",SUMIFS($T$6:$T$2405,$A$6:$A$2405,"&lt;="&amp;$A1646))</f>
        <v/>
      </c>
      <c r="V1646" s="57" t="str">
        <f aca="false">IF($T1646="","",IF($U1646&lt;=BankCostEnvelope*'5. Scenarios'!$E$7,1,0))</f>
        <v/>
      </c>
      <c r="W1646" s="57" t="str">
        <f aca="false">IF($S1646="","",INDEX(BookRate,1641)*(1+'5. Scenarios'!$E$10)*(INDEX(BookQ1,1641)*(5-MIN(4,1+'5. Scenarios'!$E$8))/4+INDEX(BookQ2,1641)*(5-MIN(4,2+'5. Scenarios'!$E$8))/4+INDEX(BookQ3,1641)*(5-MIN(4,3+'5. Scenarios'!$E$8))/4+INDEX(BookQ4,1641)*(5-MIN(4,4+'5. Scenarios'!$E$8))/4)*'5. Scenarios'!$E$6/(1+ProductivityDefault*('5. Scenarios'!$E$11-1))+INDEX(BookOneOff,1641)*$S1646)</f>
        <v/>
      </c>
    </row>
    <row r="1647" customFormat="false" ht="15" hidden="false" customHeight="false" outlineLevel="0" collapsed="false">
      <c r="A1647" s="0" t="str">
        <f aca="false">IF(INDEX(BookTitle,1642)="","",INDEX(BookKey,1642))</f>
        <v/>
      </c>
      <c r="B1647" s="0" t="str">
        <f aca="false">IF(INDEX(BookTitle,1642)="","",INDEX(BookGroup,1642))</f>
        <v/>
      </c>
      <c r="C1647" s="0" t="str">
        <f aca="false">IF(INDEX(BookTitle,1642)="","",INDEX(BookCategory,1642))</f>
        <v/>
      </c>
      <c r="D1647" s="56" t="str">
        <f aca="false">IF(INDEX(BookTitle,1642)="","",INDEX(BookTotal,1642)*'5. Scenarios'!$B$6/(1+ProductivityDefault*('5. Scenarios'!$B$11-1)))</f>
        <v/>
      </c>
      <c r="E1647" s="57" t="str">
        <f aca="false">IF($D1647="","",INDEX(BookRate,1642)*(1+'5. Scenarios'!$B$10)*$D1647)</f>
        <v/>
      </c>
      <c r="F1647" s="57" t="str">
        <f aca="false">IF($E1647="","",SUMIFS($E$6:$E$2405,$A$6:$A$2405,"&lt;="&amp;$A1647))</f>
        <v/>
      </c>
      <c r="G1647" s="57" t="str">
        <f aca="false">IF($E1647="","",IF($F1647&lt;=BankCostEnvelope*'5. Scenarios'!$B$7,1,0))</f>
        <v/>
      </c>
      <c r="H1647" s="57" t="str">
        <f aca="false">IF($D1647="","",INDEX(BookRate,1642)*(1+'5. Scenarios'!$B$10)*(INDEX(BookQ1,1642)*(5-MIN(4,1+'5. Scenarios'!$B$8))/4+INDEX(BookQ2,1642)*(5-MIN(4,2+'5. Scenarios'!$B$8))/4+INDEX(BookQ3,1642)*(5-MIN(4,3+'5. Scenarios'!$B$8))/4+INDEX(BookQ4,1642)*(5-MIN(4,4+'5. Scenarios'!$B$8))/4)*'5. Scenarios'!$B$6/(1+ProductivityDefault*('5. Scenarios'!$B$11-1))+INDEX(BookOneOff,1642)*$D1647)</f>
        <v/>
      </c>
      <c r="I1647" s="56" t="str">
        <f aca="false">IF(INDEX(BookTitle,1642)="","",INDEX(BookTotal,1642)*'5. Scenarios'!$C$6/(1+ProductivityDefault*('5. Scenarios'!$C$11-1)))</f>
        <v/>
      </c>
      <c r="J1647" s="57" t="str">
        <f aca="false">IF($I1647="","",INDEX(BookRate,1642)*(1+'5. Scenarios'!$C$10)*$I1647)</f>
        <v/>
      </c>
      <c r="K1647" s="57" t="str">
        <f aca="false">IF($J1647="","",SUMIFS($J$6:$J$2405,$A$6:$A$2405,"&lt;="&amp;$A1647))</f>
        <v/>
      </c>
      <c r="L1647" s="57" t="str">
        <f aca="false">IF($J1647="","",IF($K1647&lt;=BankCostEnvelope*'5. Scenarios'!$C$7,1,0))</f>
        <v/>
      </c>
      <c r="M1647" s="57" t="str">
        <f aca="false">IF($I1647="","",INDEX(BookRate,1642)*(1+'5. Scenarios'!$C$10)*(INDEX(BookQ1,1642)*(5-MIN(4,1+'5. Scenarios'!$C$8))/4+INDEX(BookQ2,1642)*(5-MIN(4,2+'5. Scenarios'!$C$8))/4+INDEX(BookQ3,1642)*(5-MIN(4,3+'5. Scenarios'!$C$8))/4+INDEX(BookQ4,1642)*(5-MIN(4,4+'5. Scenarios'!$C$8))/4)*'5. Scenarios'!$C$6/(1+ProductivityDefault*('5. Scenarios'!$C$11-1))+INDEX(BookOneOff,1642)*$I1647)</f>
        <v/>
      </c>
      <c r="N1647" s="56" t="str">
        <f aca="false">IF(INDEX(BookTitle,1642)="","",INDEX(BookTotal,1642)*'5. Scenarios'!$D$6/(1+ProductivityDefault*('5. Scenarios'!$D$11-1)))</f>
        <v/>
      </c>
      <c r="O1647" s="57" t="str">
        <f aca="false">IF($N1647="","",INDEX(BookRate,1642)*(1+'5. Scenarios'!$D$10)*$N1647)</f>
        <v/>
      </c>
      <c r="P1647" s="57" t="str">
        <f aca="false">IF($O1647="","",SUMIFS($O$6:$O$2405,$A$6:$A$2405,"&lt;="&amp;$A1647))</f>
        <v/>
      </c>
      <c r="Q1647" s="57" t="str">
        <f aca="false">IF($O1647="","",IF($P1647&lt;=BankCostEnvelope*'5. Scenarios'!$D$7,1,0))</f>
        <v/>
      </c>
      <c r="R1647" s="57" t="str">
        <f aca="false">IF($N1647="","",INDEX(BookRate,1642)*(1+'5. Scenarios'!$D$10)*(INDEX(BookQ1,1642)*(5-MIN(4,1+'5. Scenarios'!$D$8))/4+INDEX(BookQ2,1642)*(5-MIN(4,2+'5. Scenarios'!$D$8))/4+INDEX(BookQ3,1642)*(5-MIN(4,3+'5. Scenarios'!$D$8))/4+INDEX(BookQ4,1642)*(5-MIN(4,4+'5. Scenarios'!$D$8))/4)*'5. Scenarios'!$D$6/(1+ProductivityDefault*('5. Scenarios'!$D$11-1))+INDEX(BookOneOff,1642)*$N1647)</f>
        <v/>
      </c>
      <c r="S1647" s="56" t="str">
        <f aca="false">IF(INDEX(BookTitle,1642)="","",INDEX(BookTotal,1642)*'5. Scenarios'!$E$6/(1+ProductivityDefault*('5. Scenarios'!$E$11-1)))</f>
        <v/>
      </c>
      <c r="T1647" s="57" t="str">
        <f aca="false">IF($S1647="","",INDEX(BookRate,1642)*(1+'5. Scenarios'!$E$10)*$S1647)</f>
        <v/>
      </c>
      <c r="U1647" s="57" t="str">
        <f aca="false">IF($T1647="","",SUMIFS($T$6:$T$2405,$A$6:$A$2405,"&lt;="&amp;$A1647))</f>
        <v/>
      </c>
      <c r="V1647" s="57" t="str">
        <f aca="false">IF($T1647="","",IF($U1647&lt;=BankCostEnvelope*'5. Scenarios'!$E$7,1,0))</f>
        <v/>
      </c>
      <c r="W1647" s="57" t="str">
        <f aca="false">IF($S1647="","",INDEX(BookRate,1642)*(1+'5. Scenarios'!$E$10)*(INDEX(BookQ1,1642)*(5-MIN(4,1+'5. Scenarios'!$E$8))/4+INDEX(BookQ2,1642)*(5-MIN(4,2+'5. Scenarios'!$E$8))/4+INDEX(BookQ3,1642)*(5-MIN(4,3+'5. Scenarios'!$E$8))/4+INDEX(BookQ4,1642)*(5-MIN(4,4+'5. Scenarios'!$E$8))/4)*'5. Scenarios'!$E$6/(1+ProductivityDefault*('5. Scenarios'!$E$11-1))+INDEX(BookOneOff,1642)*$S1647)</f>
        <v/>
      </c>
    </row>
    <row r="1648" customFormat="false" ht="15" hidden="false" customHeight="false" outlineLevel="0" collapsed="false">
      <c r="A1648" s="0" t="str">
        <f aca="false">IF(INDEX(BookTitle,1643)="","",INDEX(BookKey,1643))</f>
        <v/>
      </c>
      <c r="B1648" s="0" t="str">
        <f aca="false">IF(INDEX(BookTitle,1643)="","",INDEX(BookGroup,1643))</f>
        <v/>
      </c>
      <c r="C1648" s="0" t="str">
        <f aca="false">IF(INDEX(BookTitle,1643)="","",INDEX(BookCategory,1643))</f>
        <v/>
      </c>
      <c r="D1648" s="56" t="str">
        <f aca="false">IF(INDEX(BookTitle,1643)="","",INDEX(BookTotal,1643)*'5. Scenarios'!$B$6/(1+ProductivityDefault*('5. Scenarios'!$B$11-1)))</f>
        <v/>
      </c>
      <c r="E1648" s="57" t="str">
        <f aca="false">IF($D1648="","",INDEX(BookRate,1643)*(1+'5. Scenarios'!$B$10)*$D1648)</f>
        <v/>
      </c>
      <c r="F1648" s="57" t="str">
        <f aca="false">IF($E1648="","",SUMIFS($E$6:$E$2405,$A$6:$A$2405,"&lt;="&amp;$A1648))</f>
        <v/>
      </c>
      <c r="G1648" s="57" t="str">
        <f aca="false">IF($E1648="","",IF($F1648&lt;=BankCostEnvelope*'5. Scenarios'!$B$7,1,0))</f>
        <v/>
      </c>
      <c r="H1648" s="57" t="str">
        <f aca="false">IF($D1648="","",INDEX(BookRate,1643)*(1+'5. Scenarios'!$B$10)*(INDEX(BookQ1,1643)*(5-MIN(4,1+'5. Scenarios'!$B$8))/4+INDEX(BookQ2,1643)*(5-MIN(4,2+'5. Scenarios'!$B$8))/4+INDEX(BookQ3,1643)*(5-MIN(4,3+'5. Scenarios'!$B$8))/4+INDEX(BookQ4,1643)*(5-MIN(4,4+'5. Scenarios'!$B$8))/4)*'5. Scenarios'!$B$6/(1+ProductivityDefault*('5. Scenarios'!$B$11-1))+INDEX(BookOneOff,1643)*$D1648)</f>
        <v/>
      </c>
      <c r="I1648" s="56" t="str">
        <f aca="false">IF(INDEX(BookTitle,1643)="","",INDEX(BookTotal,1643)*'5. Scenarios'!$C$6/(1+ProductivityDefault*('5. Scenarios'!$C$11-1)))</f>
        <v/>
      </c>
      <c r="J1648" s="57" t="str">
        <f aca="false">IF($I1648="","",INDEX(BookRate,1643)*(1+'5. Scenarios'!$C$10)*$I1648)</f>
        <v/>
      </c>
      <c r="K1648" s="57" t="str">
        <f aca="false">IF($J1648="","",SUMIFS($J$6:$J$2405,$A$6:$A$2405,"&lt;="&amp;$A1648))</f>
        <v/>
      </c>
      <c r="L1648" s="57" t="str">
        <f aca="false">IF($J1648="","",IF($K1648&lt;=BankCostEnvelope*'5. Scenarios'!$C$7,1,0))</f>
        <v/>
      </c>
      <c r="M1648" s="57" t="str">
        <f aca="false">IF($I1648="","",INDEX(BookRate,1643)*(1+'5. Scenarios'!$C$10)*(INDEX(BookQ1,1643)*(5-MIN(4,1+'5. Scenarios'!$C$8))/4+INDEX(BookQ2,1643)*(5-MIN(4,2+'5. Scenarios'!$C$8))/4+INDEX(BookQ3,1643)*(5-MIN(4,3+'5. Scenarios'!$C$8))/4+INDEX(BookQ4,1643)*(5-MIN(4,4+'5. Scenarios'!$C$8))/4)*'5. Scenarios'!$C$6/(1+ProductivityDefault*('5. Scenarios'!$C$11-1))+INDEX(BookOneOff,1643)*$I1648)</f>
        <v/>
      </c>
      <c r="N1648" s="56" t="str">
        <f aca="false">IF(INDEX(BookTitle,1643)="","",INDEX(BookTotal,1643)*'5. Scenarios'!$D$6/(1+ProductivityDefault*('5. Scenarios'!$D$11-1)))</f>
        <v/>
      </c>
      <c r="O1648" s="57" t="str">
        <f aca="false">IF($N1648="","",INDEX(BookRate,1643)*(1+'5. Scenarios'!$D$10)*$N1648)</f>
        <v/>
      </c>
      <c r="P1648" s="57" t="str">
        <f aca="false">IF($O1648="","",SUMIFS($O$6:$O$2405,$A$6:$A$2405,"&lt;="&amp;$A1648))</f>
        <v/>
      </c>
      <c r="Q1648" s="57" t="str">
        <f aca="false">IF($O1648="","",IF($P1648&lt;=BankCostEnvelope*'5. Scenarios'!$D$7,1,0))</f>
        <v/>
      </c>
      <c r="R1648" s="57" t="str">
        <f aca="false">IF($N1648="","",INDEX(BookRate,1643)*(1+'5. Scenarios'!$D$10)*(INDEX(BookQ1,1643)*(5-MIN(4,1+'5. Scenarios'!$D$8))/4+INDEX(BookQ2,1643)*(5-MIN(4,2+'5. Scenarios'!$D$8))/4+INDEX(BookQ3,1643)*(5-MIN(4,3+'5. Scenarios'!$D$8))/4+INDEX(BookQ4,1643)*(5-MIN(4,4+'5. Scenarios'!$D$8))/4)*'5. Scenarios'!$D$6/(1+ProductivityDefault*('5. Scenarios'!$D$11-1))+INDEX(BookOneOff,1643)*$N1648)</f>
        <v/>
      </c>
      <c r="S1648" s="56" t="str">
        <f aca="false">IF(INDEX(BookTitle,1643)="","",INDEX(BookTotal,1643)*'5. Scenarios'!$E$6/(1+ProductivityDefault*('5. Scenarios'!$E$11-1)))</f>
        <v/>
      </c>
      <c r="T1648" s="57" t="str">
        <f aca="false">IF($S1648="","",INDEX(BookRate,1643)*(1+'5. Scenarios'!$E$10)*$S1648)</f>
        <v/>
      </c>
      <c r="U1648" s="57" t="str">
        <f aca="false">IF($T1648="","",SUMIFS($T$6:$T$2405,$A$6:$A$2405,"&lt;="&amp;$A1648))</f>
        <v/>
      </c>
      <c r="V1648" s="57" t="str">
        <f aca="false">IF($T1648="","",IF($U1648&lt;=BankCostEnvelope*'5. Scenarios'!$E$7,1,0))</f>
        <v/>
      </c>
      <c r="W1648" s="57" t="str">
        <f aca="false">IF($S1648="","",INDEX(BookRate,1643)*(1+'5. Scenarios'!$E$10)*(INDEX(BookQ1,1643)*(5-MIN(4,1+'5. Scenarios'!$E$8))/4+INDEX(BookQ2,1643)*(5-MIN(4,2+'5. Scenarios'!$E$8))/4+INDEX(BookQ3,1643)*(5-MIN(4,3+'5. Scenarios'!$E$8))/4+INDEX(BookQ4,1643)*(5-MIN(4,4+'5. Scenarios'!$E$8))/4)*'5. Scenarios'!$E$6/(1+ProductivityDefault*('5. Scenarios'!$E$11-1))+INDEX(BookOneOff,1643)*$S1648)</f>
        <v/>
      </c>
    </row>
    <row r="1649" customFormat="false" ht="15" hidden="false" customHeight="false" outlineLevel="0" collapsed="false">
      <c r="A1649" s="0" t="str">
        <f aca="false">IF(INDEX(BookTitle,1644)="","",INDEX(BookKey,1644))</f>
        <v/>
      </c>
      <c r="B1649" s="0" t="str">
        <f aca="false">IF(INDEX(BookTitle,1644)="","",INDEX(BookGroup,1644))</f>
        <v/>
      </c>
      <c r="C1649" s="0" t="str">
        <f aca="false">IF(INDEX(BookTitle,1644)="","",INDEX(BookCategory,1644))</f>
        <v/>
      </c>
      <c r="D1649" s="56" t="str">
        <f aca="false">IF(INDEX(BookTitle,1644)="","",INDEX(BookTotal,1644)*'5. Scenarios'!$B$6/(1+ProductivityDefault*('5. Scenarios'!$B$11-1)))</f>
        <v/>
      </c>
      <c r="E1649" s="57" t="str">
        <f aca="false">IF($D1649="","",INDEX(BookRate,1644)*(1+'5. Scenarios'!$B$10)*$D1649)</f>
        <v/>
      </c>
      <c r="F1649" s="57" t="str">
        <f aca="false">IF($E1649="","",SUMIFS($E$6:$E$2405,$A$6:$A$2405,"&lt;="&amp;$A1649))</f>
        <v/>
      </c>
      <c r="G1649" s="57" t="str">
        <f aca="false">IF($E1649="","",IF($F1649&lt;=BankCostEnvelope*'5. Scenarios'!$B$7,1,0))</f>
        <v/>
      </c>
      <c r="H1649" s="57" t="str">
        <f aca="false">IF($D1649="","",INDEX(BookRate,1644)*(1+'5. Scenarios'!$B$10)*(INDEX(BookQ1,1644)*(5-MIN(4,1+'5. Scenarios'!$B$8))/4+INDEX(BookQ2,1644)*(5-MIN(4,2+'5. Scenarios'!$B$8))/4+INDEX(BookQ3,1644)*(5-MIN(4,3+'5. Scenarios'!$B$8))/4+INDEX(BookQ4,1644)*(5-MIN(4,4+'5. Scenarios'!$B$8))/4)*'5. Scenarios'!$B$6/(1+ProductivityDefault*('5. Scenarios'!$B$11-1))+INDEX(BookOneOff,1644)*$D1649)</f>
        <v/>
      </c>
      <c r="I1649" s="56" t="str">
        <f aca="false">IF(INDEX(BookTitle,1644)="","",INDEX(BookTotal,1644)*'5. Scenarios'!$C$6/(1+ProductivityDefault*('5. Scenarios'!$C$11-1)))</f>
        <v/>
      </c>
      <c r="J1649" s="57" t="str">
        <f aca="false">IF($I1649="","",INDEX(BookRate,1644)*(1+'5. Scenarios'!$C$10)*$I1649)</f>
        <v/>
      </c>
      <c r="K1649" s="57" t="str">
        <f aca="false">IF($J1649="","",SUMIFS($J$6:$J$2405,$A$6:$A$2405,"&lt;="&amp;$A1649))</f>
        <v/>
      </c>
      <c r="L1649" s="57" t="str">
        <f aca="false">IF($J1649="","",IF($K1649&lt;=BankCostEnvelope*'5. Scenarios'!$C$7,1,0))</f>
        <v/>
      </c>
      <c r="M1649" s="57" t="str">
        <f aca="false">IF($I1649="","",INDEX(BookRate,1644)*(1+'5. Scenarios'!$C$10)*(INDEX(BookQ1,1644)*(5-MIN(4,1+'5. Scenarios'!$C$8))/4+INDEX(BookQ2,1644)*(5-MIN(4,2+'5. Scenarios'!$C$8))/4+INDEX(BookQ3,1644)*(5-MIN(4,3+'5. Scenarios'!$C$8))/4+INDEX(BookQ4,1644)*(5-MIN(4,4+'5. Scenarios'!$C$8))/4)*'5. Scenarios'!$C$6/(1+ProductivityDefault*('5. Scenarios'!$C$11-1))+INDEX(BookOneOff,1644)*$I1649)</f>
        <v/>
      </c>
      <c r="N1649" s="56" t="str">
        <f aca="false">IF(INDEX(BookTitle,1644)="","",INDEX(BookTotal,1644)*'5. Scenarios'!$D$6/(1+ProductivityDefault*('5. Scenarios'!$D$11-1)))</f>
        <v/>
      </c>
      <c r="O1649" s="57" t="str">
        <f aca="false">IF($N1649="","",INDEX(BookRate,1644)*(1+'5. Scenarios'!$D$10)*$N1649)</f>
        <v/>
      </c>
      <c r="P1649" s="57" t="str">
        <f aca="false">IF($O1649="","",SUMIFS($O$6:$O$2405,$A$6:$A$2405,"&lt;="&amp;$A1649))</f>
        <v/>
      </c>
      <c r="Q1649" s="57" t="str">
        <f aca="false">IF($O1649="","",IF($P1649&lt;=BankCostEnvelope*'5. Scenarios'!$D$7,1,0))</f>
        <v/>
      </c>
      <c r="R1649" s="57" t="str">
        <f aca="false">IF($N1649="","",INDEX(BookRate,1644)*(1+'5. Scenarios'!$D$10)*(INDEX(BookQ1,1644)*(5-MIN(4,1+'5. Scenarios'!$D$8))/4+INDEX(BookQ2,1644)*(5-MIN(4,2+'5. Scenarios'!$D$8))/4+INDEX(BookQ3,1644)*(5-MIN(4,3+'5. Scenarios'!$D$8))/4+INDEX(BookQ4,1644)*(5-MIN(4,4+'5. Scenarios'!$D$8))/4)*'5. Scenarios'!$D$6/(1+ProductivityDefault*('5. Scenarios'!$D$11-1))+INDEX(BookOneOff,1644)*$N1649)</f>
        <v/>
      </c>
      <c r="S1649" s="56" t="str">
        <f aca="false">IF(INDEX(BookTitle,1644)="","",INDEX(BookTotal,1644)*'5. Scenarios'!$E$6/(1+ProductivityDefault*('5. Scenarios'!$E$11-1)))</f>
        <v/>
      </c>
      <c r="T1649" s="57" t="str">
        <f aca="false">IF($S1649="","",INDEX(BookRate,1644)*(1+'5. Scenarios'!$E$10)*$S1649)</f>
        <v/>
      </c>
      <c r="U1649" s="57" t="str">
        <f aca="false">IF($T1649="","",SUMIFS($T$6:$T$2405,$A$6:$A$2405,"&lt;="&amp;$A1649))</f>
        <v/>
      </c>
      <c r="V1649" s="57" t="str">
        <f aca="false">IF($T1649="","",IF($U1649&lt;=BankCostEnvelope*'5. Scenarios'!$E$7,1,0))</f>
        <v/>
      </c>
      <c r="W1649" s="57" t="str">
        <f aca="false">IF($S1649="","",INDEX(BookRate,1644)*(1+'5. Scenarios'!$E$10)*(INDEX(BookQ1,1644)*(5-MIN(4,1+'5. Scenarios'!$E$8))/4+INDEX(BookQ2,1644)*(5-MIN(4,2+'5. Scenarios'!$E$8))/4+INDEX(BookQ3,1644)*(5-MIN(4,3+'5. Scenarios'!$E$8))/4+INDEX(BookQ4,1644)*(5-MIN(4,4+'5. Scenarios'!$E$8))/4)*'5. Scenarios'!$E$6/(1+ProductivityDefault*('5. Scenarios'!$E$11-1))+INDEX(BookOneOff,1644)*$S1649)</f>
        <v/>
      </c>
    </row>
    <row r="1650" customFormat="false" ht="15" hidden="false" customHeight="false" outlineLevel="0" collapsed="false">
      <c r="A1650" s="0" t="str">
        <f aca="false">IF(INDEX(BookTitle,1645)="","",INDEX(BookKey,1645))</f>
        <v/>
      </c>
      <c r="B1650" s="0" t="str">
        <f aca="false">IF(INDEX(BookTitle,1645)="","",INDEX(BookGroup,1645))</f>
        <v/>
      </c>
      <c r="C1650" s="0" t="str">
        <f aca="false">IF(INDEX(BookTitle,1645)="","",INDEX(BookCategory,1645))</f>
        <v/>
      </c>
      <c r="D1650" s="56" t="str">
        <f aca="false">IF(INDEX(BookTitle,1645)="","",INDEX(BookTotal,1645)*'5. Scenarios'!$B$6/(1+ProductivityDefault*('5. Scenarios'!$B$11-1)))</f>
        <v/>
      </c>
      <c r="E1650" s="57" t="str">
        <f aca="false">IF($D1650="","",INDEX(BookRate,1645)*(1+'5. Scenarios'!$B$10)*$D1650)</f>
        <v/>
      </c>
      <c r="F1650" s="57" t="str">
        <f aca="false">IF($E1650="","",SUMIFS($E$6:$E$2405,$A$6:$A$2405,"&lt;="&amp;$A1650))</f>
        <v/>
      </c>
      <c r="G1650" s="57" t="str">
        <f aca="false">IF($E1650="","",IF($F1650&lt;=BankCostEnvelope*'5. Scenarios'!$B$7,1,0))</f>
        <v/>
      </c>
      <c r="H1650" s="57" t="str">
        <f aca="false">IF($D1650="","",INDEX(BookRate,1645)*(1+'5. Scenarios'!$B$10)*(INDEX(BookQ1,1645)*(5-MIN(4,1+'5. Scenarios'!$B$8))/4+INDEX(BookQ2,1645)*(5-MIN(4,2+'5. Scenarios'!$B$8))/4+INDEX(BookQ3,1645)*(5-MIN(4,3+'5. Scenarios'!$B$8))/4+INDEX(BookQ4,1645)*(5-MIN(4,4+'5. Scenarios'!$B$8))/4)*'5. Scenarios'!$B$6/(1+ProductivityDefault*('5. Scenarios'!$B$11-1))+INDEX(BookOneOff,1645)*$D1650)</f>
        <v/>
      </c>
      <c r="I1650" s="56" t="str">
        <f aca="false">IF(INDEX(BookTitle,1645)="","",INDEX(BookTotal,1645)*'5. Scenarios'!$C$6/(1+ProductivityDefault*('5. Scenarios'!$C$11-1)))</f>
        <v/>
      </c>
      <c r="J1650" s="57" t="str">
        <f aca="false">IF($I1650="","",INDEX(BookRate,1645)*(1+'5. Scenarios'!$C$10)*$I1650)</f>
        <v/>
      </c>
      <c r="K1650" s="57" t="str">
        <f aca="false">IF($J1650="","",SUMIFS($J$6:$J$2405,$A$6:$A$2405,"&lt;="&amp;$A1650))</f>
        <v/>
      </c>
      <c r="L1650" s="57" t="str">
        <f aca="false">IF($J1650="","",IF($K1650&lt;=BankCostEnvelope*'5. Scenarios'!$C$7,1,0))</f>
        <v/>
      </c>
      <c r="M1650" s="57" t="str">
        <f aca="false">IF($I1650="","",INDEX(BookRate,1645)*(1+'5. Scenarios'!$C$10)*(INDEX(BookQ1,1645)*(5-MIN(4,1+'5. Scenarios'!$C$8))/4+INDEX(BookQ2,1645)*(5-MIN(4,2+'5. Scenarios'!$C$8))/4+INDEX(BookQ3,1645)*(5-MIN(4,3+'5. Scenarios'!$C$8))/4+INDEX(BookQ4,1645)*(5-MIN(4,4+'5. Scenarios'!$C$8))/4)*'5. Scenarios'!$C$6/(1+ProductivityDefault*('5. Scenarios'!$C$11-1))+INDEX(BookOneOff,1645)*$I1650)</f>
        <v/>
      </c>
      <c r="N1650" s="56" t="str">
        <f aca="false">IF(INDEX(BookTitle,1645)="","",INDEX(BookTotal,1645)*'5. Scenarios'!$D$6/(1+ProductivityDefault*('5. Scenarios'!$D$11-1)))</f>
        <v/>
      </c>
      <c r="O1650" s="57" t="str">
        <f aca="false">IF($N1650="","",INDEX(BookRate,1645)*(1+'5. Scenarios'!$D$10)*$N1650)</f>
        <v/>
      </c>
      <c r="P1650" s="57" t="str">
        <f aca="false">IF($O1650="","",SUMIFS($O$6:$O$2405,$A$6:$A$2405,"&lt;="&amp;$A1650))</f>
        <v/>
      </c>
      <c r="Q1650" s="57" t="str">
        <f aca="false">IF($O1650="","",IF($P1650&lt;=BankCostEnvelope*'5. Scenarios'!$D$7,1,0))</f>
        <v/>
      </c>
      <c r="R1650" s="57" t="str">
        <f aca="false">IF($N1650="","",INDEX(BookRate,1645)*(1+'5. Scenarios'!$D$10)*(INDEX(BookQ1,1645)*(5-MIN(4,1+'5. Scenarios'!$D$8))/4+INDEX(BookQ2,1645)*(5-MIN(4,2+'5. Scenarios'!$D$8))/4+INDEX(BookQ3,1645)*(5-MIN(4,3+'5. Scenarios'!$D$8))/4+INDEX(BookQ4,1645)*(5-MIN(4,4+'5. Scenarios'!$D$8))/4)*'5. Scenarios'!$D$6/(1+ProductivityDefault*('5. Scenarios'!$D$11-1))+INDEX(BookOneOff,1645)*$N1650)</f>
        <v/>
      </c>
      <c r="S1650" s="56" t="str">
        <f aca="false">IF(INDEX(BookTitle,1645)="","",INDEX(BookTotal,1645)*'5. Scenarios'!$E$6/(1+ProductivityDefault*('5. Scenarios'!$E$11-1)))</f>
        <v/>
      </c>
      <c r="T1650" s="57" t="str">
        <f aca="false">IF($S1650="","",INDEX(BookRate,1645)*(1+'5. Scenarios'!$E$10)*$S1650)</f>
        <v/>
      </c>
      <c r="U1650" s="57" t="str">
        <f aca="false">IF($T1650="","",SUMIFS($T$6:$T$2405,$A$6:$A$2405,"&lt;="&amp;$A1650))</f>
        <v/>
      </c>
      <c r="V1650" s="57" t="str">
        <f aca="false">IF($T1650="","",IF($U1650&lt;=BankCostEnvelope*'5. Scenarios'!$E$7,1,0))</f>
        <v/>
      </c>
      <c r="W1650" s="57" t="str">
        <f aca="false">IF($S1650="","",INDEX(BookRate,1645)*(1+'5. Scenarios'!$E$10)*(INDEX(BookQ1,1645)*(5-MIN(4,1+'5. Scenarios'!$E$8))/4+INDEX(BookQ2,1645)*(5-MIN(4,2+'5. Scenarios'!$E$8))/4+INDEX(BookQ3,1645)*(5-MIN(4,3+'5. Scenarios'!$E$8))/4+INDEX(BookQ4,1645)*(5-MIN(4,4+'5. Scenarios'!$E$8))/4)*'5. Scenarios'!$E$6/(1+ProductivityDefault*('5. Scenarios'!$E$11-1))+INDEX(BookOneOff,1645)*$S1650)</f>
        <v/>
      </c>
    </row>
    <row r="1651" customFormat="false" ht="15" hidden="false" customHeight="false" outlineLevel="0" collapsed="false">
      <c r="A1651" s="0" t="str">
        <f aca="false">IF(INDEX(BookTitle,1646)="","",INDEX(BookKey,1646))</f>
        <v/>
      </c>
      <c r="B1651" s="0" t="str">
        <f aca="false">IF(INDEX(BookTitle,1646)="","",INDEX(BookGroup,1646))</f>
        <v/>
      </c>
      <c r="C1651" s="0" t="str">
        <f aca="false">IF(INDEX(BookTitle,1646)="","",INDEX(BookCategory,1646))</f>
        <v/>
      </c>
      <c r="D1651" s="56" t="str">
        <f aca="false">IF(INDEX(BookTitle,1646)="","",INDEX(BookTotal,1646)*'5. Scenarios'!$B$6/(1+ProductivityDefault*('5. Scenarios'!$B$11-1)))</f>
        <v/>
      </c>
      <c r="E1651" s="57" t="str">
        <f aca="false">IF($D1651="","",INDEX(BookRate,1646)*(1+'5. Scenarios'!$B$10)*$D1651)</f>
        <v/>
      </c>
      <c r="F1651" s="57" t="str">
        <f aca="false">IF($E1651="","",SUMIFS($E$6:$E$2405,$A$6:$A$2405,"&lt;="&amp;$A1651))</f>
        <v/>
      </c>
      <c r="G1651" s="57" t="str">
        <f aca="false">IF($E1651="","",IF($F1651&lt;=BankCostEnvelope*'5. Scenarios'!$B$7,1,0))</f>
        <v/>
      </c>
      <c r="H1651" s="57" t="str">
        <f aca="false">IF($D1651="","",INDEX(BookRate,1646)*(1+'5. Scenarios'!$B$10)*(INDEX(BookQ1,1646)*(5-MIN(4,1+'5. Scenarios'!$B$8))/4+INDEX(BookQ2,1646)*(5-MIN(4,2+'5. Scenarios'!$B$8))/4+INDEX(BookQ3,1646)*(5-MIN(4,3+'5. Scenarios'!$B$8))/4+INDEX(BookQ4,1646)*(5-MIN(4,4+'5. Scenarios'!$B$8))/4)*'5. Scenarios'!$B$6/(1+ProductivityDefault*('5. Scenarios'!$B$11-1))+INDEX(BookOneOff,1646)*$D1651)</f>
        <v/>
      </c>
      <c r="I1651" s="56" t="str">
        <f aca="false">IF(INDEX(BookTitle,1646)="","",INDEX(BookTotal,1646)*'5. Scenarios'!$C$6/(1+ProductivityDefault*('5. Scenarios'!$C$11-1)))</f>
        <v/>
      </c>
      <c r="J1651" s="57" t="str">
        <f aca="false">IF($I1651="","",INDEX(BookRate,1646)*(1+'5. Scenarios'!$C$10)*$I1651)</f>
        <v/>
      </c>
      <c r="K1651" s="57" t="str">
        <f aca="false">IF($J1651="","",SUMIFS($J$6:$J$2405,$A$6:$A$2405,"&lt;="&amp;$A1651))</f>
        <v/>
      </c>
      <c r="L1651" s="57" t="str">
        <f aca="false">IF($J1651="","",IF($K1651&lt;=BankCostEnvelope*'5. Scenarios'!$C$7,1,0))</f>
        <v/>
      </c>
      <c r="M1651" s="57" t="str">
        <f aca="false">IF($I1651="","",INDEX(BookRate,1646)*(1+'5. Scenarios'!$C$10)*(INDEX(BookQ1,1646)*(5-MIN(4,1+'5. Scenarios'!$C$8))/4+INDEX(BookQ2,1646)*(5-MIN(4,2+'5. Scenarios'!$C$8))/4+INDEX(BookQ3,1646)*(5-MIN(4,3+'5. Scenarios'!$C$8))/4+INDEX(BookQ4,1646)*(5-MIN(4,4+'5. Scenarios'!$C$8))/4)*'5. Scenarios'!$C$6/(1+ProductivityDefault*('5. Scenarios'!$C$11-1))+INDEX(BookOneOff,1646)*$I1651)</f>
        <v/>
      </c>
      <c r="N1651" s="56" t="str">
        <f aca="false">IF(INDEX(BookTitle,1646)="","",INDEX(BookTotal,1646)*'5. Scenarios'!$D$6/(1+ProductivityDefault*('5. Scenarios'!$D$11-1)))</f>
        <v/>
      </c>
      <c r="O1651" s="57" t="str">
        <f aca="false">IF($N1651="","",INDEX(BookRate,1646)*(1+'5. Scenarios'!$D$10)*$N1651)</f>
        <v/>
      </c>
      <c r="P1651" s="57" t="str">
        <f aca="false">IF($O1651="","",SUMIFS($O$6:$O$2405,$A$6:$A$2405,"&lt;="&amp;$A1651))</f>
        <v/>
      </c>
      <c r="Q1651" s="57" t="str">
        <f aca="false">IF($O1651="","",IF($P1651&lt;=BankCostEnvelope*'5. Scenarios'!$D$7,1,0))</f>
        <v/>
      </c>
      <c r="R1651" s="57" t="str">
        <f aca="false">IF($N1651="","",INDEX(BookRate,1646)*(1+'5. Scenarios'!$D$10)*(INDEX(BookQ1,1646)*(5-MIN(4,1+'5. Scenarios'!$D$8))/4+INDEX(BookQ2,1646)*(5-MIN(4,2+'5. Scenarios'!$D$8))/4+INDEX(BookQ3,1646)*(5-MIN(4,3+'5. Scenarios'!$D$8))/4+INDEX(BookQ4,1646)*(5-MIN(4,4+'5. Scenarios'!$D$8))/4)*'5. Scenarios'!$D$6/(1+ProductivityDefault*('5. Scenarios'!$D$11-1))+INDEX(BookOneOff,1646)*$N1651)</f>
        <v/>
      </c>
      <c r="S1651" s="56" t="str">
        <f aca="false">IF(INDEX(BookTitle,1646)="","",INDEX(BookTotal,1646)*'5. Scenarios'!$E$6/(1+ProductivityDefault*('5. Scenarios'!$E$11-1)))</f>
        <v/>
      </c>
      <c r="T1651" s="57" t="str">
        <f aca="false">IF($S1651="","",INDEX(BookRate,1646)*(1+'5. Scenarios'!$E$10)*$S1651)</f>
        <v/>
      </c>
      <c r="U1651" s="57" t="str">
        <f aca="false">IF($T1651="","",SUMIFS($T$6:$T$2405,$A$6:$A$2405,"&lt;="&amp;$A1651))</f>
        <v/>
      </c>
      <c r="V1651" s="57" t="str">
        <f aca="false">IF($T1651="","",IF($U1651&lt;=BankCostEnvelope*'5. Scenarios'!$E$7,1,0))</f>
        <v/>
      </c>
      <c r="W1651" s="57" t="str">
        <f aca="false">IF($S1651="","",INDEX(BookRate,1646)*(1+'5. Scenarios'!$E$10)*(INDEX(BookQ1,1646)*(5-MIN(4,1+'5. Scenarios'!$E$8))/4+INDEX(BookQ2,1646)*(5-MIN(4,2+'5. Scenarios'!$E$8))/4+INDEX(BookQ3,1646)*(5-MIN(4,3+'5. Scenarios'!$E$8))/4+INDEX(BookQ4,1646)*(5-MIN(4,4+'5. Scenarios'!$E$8))/4)*'5. Scenarios'!$E$6/(1+ProductivityDefault*('5. Scenarios'!$E$11-1))+INDEX(BookOneOff,1646)*$S1651)</f>
        <v/>
      </c>
    </row>
    <row r="1652" customFormat="false" ht="15" hidden="false" customHeight="false" outlineLevel="0" collapsed="false">
      <c r="A1652" s="0" t="str">
        <f aca="false">IF(INDEX(BookTitle,1647)="","",INDEX(BookKey,1647))</f>
        <v/>
      </c>
      <c r="B1652" s="0" t="str">
        <f aca="false">IF(INDEX(BookTitle,1647)="","",INDEX(BookGroup,1647))</f>
        <v/>
      </c>
      <c r="C1652" s="0" t="str">
        <f aca="false">IF(INDEX(BookTitle,1647)="","",INDEX(BookCategory,1647))</f>
        <v/>
      </c>
      <c r="D1652" s="56" t="str">
        <f aca="false">IF(INDEX(BookTitle,1647)="","",INDEX(BookTotal,1647)*'5. Scenarios'!$B$6/(1+ProductivityDefault*('5. Scenarios'!$B$11-1)))</f>
        <v/>
      </c>
      <c r="E1652" s="57" t="str">
        <f aca="false">IF($D1652="","",INDEX(BookRate,1647)*(1+'5. Scenarios'!$B$10)*$D1652)</f>
        <v/>
      </c>
      <c r="F1652" s="57" t="str">
        <f aca="false">IF($E1652="","",SUMIFS($E$6:$E$2405,$A$6:$A$2405,"&lt;="&amp;$A1652))</f>
        <v/>
      </c>
      <c r="G1652" s="57" t="str">
        <f aca="false">IF($E1652="","",IF($F1652&lt;=BankCostEnvelope*'5. Scenarios'!$B$7,1,0))</f>
        <v/>
      </c>
      <c r="H1652" s="57" t="str">
        <f aca="false">IF($D1652="","",INDEX(BookRate,1647)*(1+'5. Scenarios'!$B$10)*(INDEX(BookQ1,1647)*(5-MIN(4,1+'5. Scenarios'!$B$8))/4+INDEX(BookQ2,1647)*(5-MIN(4,2+'5. Scenarios'!$B$8))/4+INDEX(BookQ3,1647)*(5-MIN(4,3+'5. Scenarios'!$B$8))/4+INDEX(BookQ4,1647)*(5-MIN(4,4+'5. Scenarios'!$B$8))/4)*'5. Scenarios'!$B$6/(1+ProductivityDefault*('5. Scenarios'!$B$11-1))+INDEX(BookOneOff,1647)*$D1652)</f>
        <v/>
      </c>
      <c r="I1652" s="56" t="str">
        <f aca="false">IF(INDEX(BookTitle,1647)="","",INDEX(BookTotal,1647)*'5. Scenarios'!$C$6/(1+ProductivityDefault*('5. Scenarios'!$C$11-1)))</f>
        <v/>
      </c>
      <c r="J1652" s="57" t="str">
        <f aca="false">IF($I1652="","",INDEX(BookRate,1647)*(1+'5. Scenarios'!$C$10)*$I1652)</f>
        <v/>
      </c>
      <c r="K1652" s="57" t="str">
        <f aca="false">IF($J1652="","",SUMIFS($J$6:$J$2405,$A$6:$A$2405,"&lt;="&amp;$A1652))</f>
        <v/>
      </c>
      <c r="L1652" s="57" t="str">
        <f aca="false">IF($J1652="","",IF($K1652&lt;=BankCostEnvelope*'5. Scenarios'!$C$7,1,0))</f>
        <v/>
      </c>
      <c r="M1652" s="57" t="str">
        <f aca="false">IF($I1652="","",INDEX(BookRate,1647)*(1+'5. Scenarios'!$C$10)*(INDEX(BookQ1,1647)*(5-MIN(4,1+'5. Scenarios'!$C$8))/4+INDEX(BookQ2,1647)*(5-MIN(4,2+'5. Scenarios'!$C$8))/4+INDEX(BookQ3,1647)*(5-MIN(4,3+'5. Scenarios'!$C$8))/4+INDEX(BookQ4,1647)*(5-MIN(4,4+'5. Scenarios'!$C$8))/4)*'5. Scenarios'!$C$6/(1+ProductivityDefault*('5. Scenarios'!$C$11-1))+INDEX(BookOneOff,1647)*$I1652)</f>
        <v/>
      </c>
      <c r="N1652" s="56" t="str">
        <f aca="false">IF(INDEX(BookTitle,1647)="","",INDEX(BookTotal,1647)*'5. Scenarios'!$D$6/(1+ProductivityDefault*('5. Scenarios'!$D$11-1)))</f>
        <v/>
      </c>
      <c r="O1652" s="57" t="str">
        <f aca="false">IF($N1652="","",INDEX(BookRate,1647)*(1+'5. Scenarios'!$D$10)*$N1652)</f>
        <v/>
      </c>
      <c r="P1652" s="57" t="str">
        <f aca="false">IF($O1652="","",SUMIFS($O$6:$O$2405,$A$6:$A$2405,"&lt;="&amp;$A1652))</f>
        <v/>
      </c>
      <c r="Q1652" s="57" t="str">
        <f aca="false">IF($O1652="","",IF($P1652&lt;=BankCostEnvelope*'5. Scenarios'!$D$7,1,0))</f>
        <v/>
      </c>
      <c r="R1652" s="57" t="str">
        <f aca="false">IF($N1652="","",INDEX(BookRate,1647)*(1+'5. Scenarios'!$D$10)*(INDEX(BookQ1,1647)*(5-MIN(4,1+'5. Scenarios'!$D$8))/4+INDEX(BookQ2,1647)*(5-MIN(4,2+'5. Scenarios'!$D$8))/4+INDEX(BookQ3,1647)*(5-MIN(4,3+'5. Scenarios'!$D$8))/4+INDEX(BookQ4,1647)*(5-MIN(4,4+'5. Scenarios'!$D$8))/4)*'5. Scenarios'!$D$6/(1+ProductivityDefault*('5. Scenarios'!$D$11-1))+INDEX(BookOneOff,1647)*$N1652)</f>
        <v/>
      </c>
      <c r="S1652" s="56" t="str">
        <f aca="false">IF(INDEX(BookTitle,1647)="","",INDEX(BookTotal,1647)*'5. Scenarios'!$E$6/(1+ProductivityDefault*('5. Scenarios'!$E$11-1)))</f>
        <v/>
      </c>
      <c r="T1652" s="57" t="str">
        <f aca="false">IF($S1652="","",INDEX(BookRate,1647)*(1+'5. Scenarios'!$E$10)*$S1652)</f>
        <v/>
      </c>
      <c r="U1652" s="57" t="str">
        <f aca="false">IF($T1652="","",SUMIFS($T$6:$T$2405,$A$6:$A$2405,"&lt;="&amp;$A1652))</f>
        <v/>
      </c>
      <c r="V1652" s="57" t="str">
        <f aca="false">IF($T1652="","",IF($U1652&lt;=BankCostEnvelope*'5. Scenarios'!$E$7,1,0))</f>
        <v/>
      </c>
      <c r="W1652" s="57" t="str">
        <f aca="false">IF($S1652="","",INDEX(BookRate,1647)*(1+'5. Scenarios'!$E$10)*(INDEX(BookQ1,1647)*(5-MIN(4,1+'5. Scenarios'!$E$8))/4+INDEX(BookQ2,1647)*(5-MIN(4,2+'5. Scenarios'!$E$8))/4+INDEX(BookQ3,1647)*(5-MIN(4,3+'5. Scenarios'!$E$8))/4+INDEX(BookQ4,1647)*(5-MIN(4,4+'5. Scenarios'!$E$8))/4)*'5. Scenarios'!$E$6/(1+ProductivityDefault*('5. Scenarios'!$E$11-1))+INDEX(BookOneOff,1647)*$S1652)</f>
        <v/>
      </c>
    </row>
    <row r="1653" customFormat="false" ht="15" hidden="false" customHeight="false" outlineLevel="0" collapsed="false">
      <c r="A1653" s="0" t="str">
        <f aca="false">IF(INDEX(BookTitle,1648)="","",INDEX(BookKey,1648))</f>
        <v/>
      </c>
      <c r="B1653" s="0" t="str">
        <f aca="false">IF(INDEX(BookTitle,1648)="","",INDEX(BookGroup,1648))</f>
        <v/>
      </c>
      <c r="C1653" s="0" t="str">
        <f aca="false">IF(INDEX(BookTitle,1648)="","",INDEX(BookCategory,1648))</f>
        <v/>
      </c>
      <c r="D1653" s="56" t="str">
        <f aca="false">IF(INDEX(BookTitle,1648)="","",INDEX(BookTotal,1648)*'5. Scenarios'!$B$6/(1+ProductivityDefault*('5. Scenarios'!$B$11-1)))</f>
        <v/>
      </c>
      <c r="E1653" s="57" t="str">
        <f aca="false">IF($D1653="","",INDEX(BookRate,1648)*(1+'5. Scenarios'!$B$10)*$D1653)</f>
        <v/>
      </c>
      <c r="F1653" s="57" t="str">
        <f aca="false">IF($E1653="","",SUMIFS($E$6:$E$2405,$A$6:$A$2405,"&lt;="&amp;$A1653))</f>
        <v/>
      </c>
      <c r="G1653" s="57" t="str">
        <f aca="false">IF($E1653="","",IF($F1653&lt;=BankCostEnvelope*'5. Scenarios'!$B$7,1,0))</f>
        <v/>
      </c>
      <c r="H1653" s="57" t="str">
        <f aca="false">IF($D1653="","",INDEX(BookRate,1648)*(1+'5. Scenarios'!$B$10)*(INDEX(BookQ1,1648)*(5-MIN(4,1+'5. Scenarios'!$B$8))/4+INDEX(BookQ2,1648)*(5-MIN(4,2+'5. Scenarios'!$B$8))/4+INDEX(BookQ3,1648)*(5-MIN(4,3+'5. Scenarios'!$B$8))/4+INDEX(BookQ4,1648)*(5-MIN(4,4+'5. Scenarios'!$B$8))/4)*'5. Scenarios'!$B$6/(1+ProductivityDefault*('5. Scenarios'!$B$11-1))+INDEX(BookOneOff,1648)*$D1653)</f>
        <v/>
      </c>
      <c r="I1653" s="56" t="str">
        <f aca="false">IF(INDEX(BookTitle,1648)="","",INDEX(BookTotal,1648)*'5. Scenarios'!$C$6/(1+ProductivityDefault*('5. Scenarios'!$C$11-1)))</f>
        <v/>
      </c>
      <c r="J1653" s="57" t="str">
        <f aca="false">IF($I1653="","",INDEX(BookRate,1648)*(1+'5. Scenarios'!$C$10)*$I1653)</f>
        <v/>
      </c>
      <c r="K1653" s="57" t="str">
        <f aca="false">IF($J1653="","",SUMIFS($J$6:$J$2405,$A$6:$A$2405,"&lt;="&amp;$A1653))</f>
        <v/>
      </c>
      <c r="L1653" s="57" t="str">
        <f aca="false">IF($J1653="","",IF($K1653&lt;=BankCostEnvelope*'5. Scenarios'!$C$7,1,0))</f>
        <v/>
      </c>
      <c r="M1653" s="57" t="str">
        <f aca="false">IF($I1653="","",INDEX(BookRate,1648)*(1+'5. Scenarios'!$C$10)*(INDEX(BookQ1,1648)*(5-MIN(4,1+'5. Scenarios'!$C$8))/4+INDEX(BookQ2,1648)*(5-MIN(4,2+'5. Scenarios'!$C$8))/4+INDEX(BookQ3,1648)*(5-MIN(4,3+'5. Scenarios'!$C$8))/4+INDEX(BookQ4,1648)*(5-MIN(4,4+'5. Scenarios'!$C$8))/4)*'5. Scenarios'!$C$6/(1+ProductivityDefault*('5. Scenarios'!$C$11-1))+INDEX(BookOneOff,1648)*$I1653)</f>
        <v/>
      </c>
      <c r="N1653" s="56" t="str">
        <f aca="false">IF(INDEX(BookTitle,1648)="","",INDEX(BookTotal,1648)*'5. Scenarios'!$D$6/(1+ProductivityDefault*('5. Scenarios'!$D$11-1)))</f>
        <v/>
      </c>
      <c r="O1653" s="57" t="str">
        <f aca="false">IF($N1653="","",INDEX(BookRate,1648)*(1+'5. Scenarios'!$D$10)*$N1653)</f>
        <v/>
      </c>
      <c r="P1653" s="57" t="str">
        <f aca="false">IF($O1653="","",SUMIFS($O$6:$O$2405,$A$6:$A$2405,"&lt;="&amp;$A1653))</f>
        <v/>
      </c>
      <c r="Q1653" s="57" t="str">
        <f aca="false">IF($O1653="","",IF($P1653&lt;=BankCostEnvelope*'5. Scenarios'!$D$7,1,0))</f>
        <v/>
      </c>
      <c r="R1653" s="57" t="str">
        <f aca="false">IF($N1653="","",INDEX(BookRate,1648)*(1+'5. Scenarios'!$D$10)*(INDEX(BookQ1,1648)*(5-MIN(4,1+'5. Scenarios'!$D$8))/4+INDEX(BookQ2,1648)*(5-MIN(4,2+'5. Scenarios'!$D$8))/4+INDEX(BookQ3,1648)*(5-MIN(4,3+'5. Scenarios'!$D$8))/4+INDEX(BookQ4,1648)*(5-MIN(4,4+'5. Scenarios'!$D$8))/4)*'5. Scenarios'!$D$6/(1+ProductivityDefault*('5. Scenarios'!$D$11-1))+INDEX(BookOneOff,1648)*$N1653)</f>
        <v/>
      </c>
      <c r="S1653" s="56" t="str">
        <f aca="false">IF(INDEX(BookTitle,1648)="","",INDEX(BookTotal,1648)*'5. Scenarios'!$E$6/(1+ProductivityDefault*('5. Scenarios'!$E$11-1)))</f>
        <v/>
      </c>
      <c r="T1653" s="57" t="str">
        <f aca="false">IF($S1653="","",INDEX(BookRate,1648)*(1+'5. Scenarios'!$E$10)*$S1653)</f>
        <v/>
      </c>
      <c r="U1653" s="57" t="str">
        <f aca="false">IF($T1653="","",SUMIFS($T$6:$T$2405,$A$6:$A$2405,"&lt;="&amp;$A1653))</f>
        <v/>
      </c>
      <c r="V1653" s="57" t="str">
        <f aca="false">IF($T1653="","",IF($U1653&lt;=BankCostEnvelope*'5. Scenarios'!$E$7,1,0))</f>
        <v/>
      </c>
      <c r="W1653" s="57" t="str">
        <f aca="false">IF($S1653="","",INDEX(BookRate,1648)*(1+'5. Scenarios'!$E$10)*(INDEX(BookQ1,1648)*(5-MIN(4,1+'5. Scenarios'!$E$8))/4+INDEX(BookQ2,1648)*(5-MIN(4,2+'5. Scenarios'!$E$8))/4+INDEX(BookQ3,1648)*(5-MIN(4,3+'5. Scenarios'!$E$8))/4+INDEX(BookQ4,1648)*(5-MIN(4,4+'5. Scenarios'!$E$8))/4)*'5. Scenarios'!$E$6/(1+ProductivityDefault*('5. Scenarios'!$E$11-1))+INDEX(BookOneOff,1648)*$S1653)</f>
        <v/>
      </c>
    </row>
    <row r="1654" customFormat="false" ht="15" hidden="false" customHeight="false" outlineLevel="0" collapsed="false">
      <c r="A1654" s="0" t="str">
        <f aca="false">IF(INDEX(BookTitle,1649)="","",INDEX(BookKey,1649))</f>
        <v/>
      </c>
      <c r="B1654" s="0" t="str">
        <f aca="false">IF(INDEX(BookTitle,1649)="","",INDEX(BookGroup,1649))</f>
        <v/>
      </c>
      <c r="C1654" s="0" t="str">
        <f aca="false">IF(INDEX(BookTitle,1649)="","",INDEX(BookCategory,1649))</f>
        <v/>
      </c>
      <c r="D1654" s="56" t="str">
        <f aca="false">IF(INDEX(BookTitle,1649)="","",INDEX(BookTotal,1649)*'5. Scenarios'!$B$6/(1+ProductivityDefault*('5. Scenarios'!$B$11-1)))</f>
        <v/>
      </c>
      <c r="E1654" s="57" t="str">
        <f aca="false">IF($D1654="","",INDEX(BookRate,1649)*(1+'5. Scenarios'!$B$10)*$D1654)</f>
        <v/>
      </c>
      <c r="F1654" s="57" t="str">
        <f aca="false">IF($E1654="","",SUMIFS($E$6:$E$2405,$A$6:$A$2405,"&lt;="&amp;$A1654))</f>
        <v/>
      </c>
      <c r="G1654" s="57" t="str">
        <f aca="false">IF($E1654="","",IF($F1654&lt;=BankCostEnvelope*'5. Scenarios'!$B$7,1,0))</f>
        <v/>
      </c>
      <c r="H1654" s="57" t="str">
        <f aca="false">IF($D1654="","",INDEX(BookRate,1649)*(1+'5. Scenarios'!$B$10)*(INDEX(BookQ1,1649)*(5-MIN(4,1+'5. Scenarios'!$B$8))/4+INDEX(BookQ2,1649)*(5-MIN(4,2+'5. Scenarios'!$B$8))/4+INDEX(BookQ3,1649)*(5-MIN(4,3+'5. Scenarios'!$B$8))/4+INDEX(BookQ4,1649)*(5-MIN(4,4+'5. Scenarios'!$B$8))/4)*'5. Scenarios'!$B$6/(1+ProductivityDefault*('5. Scenarios'!$B$11-1))+INDEX(BookOneOff,1649)*$D1654)</f>
        <v/>
      </c>
      <c r="I1654" s="56" t="str">
        <f aca="false">IF(INDEX(BookTitle,1649)="","",INDEX(BookTotal,1649)*'5. Scenarios'!$C$6/(1+ProductivityDefault*('5. Scenarios'!$C$11-1)))</f>
        <v/>
      </c>
      <c r="J1654" s="57" t="str">
        <f aca="false">IF($I1654="","",INDEX(BookRate,1649)*(1+'5. Scenarios'!$C$10)*$I1654)</f>
        <v/>
      </c>
      <c r="K1654" s="57" t="str">
        <f aca="false">IF($J1654="","",SUMIFS($J$6:$J$2405,$A$6:$A$2405,"&lt;="&amp;$A1654))</f>
        <v/>
      </c>
      <c r="L1654" s="57" t="str">
        <f aca="false">IF($J1654="","",IF($K1654&lt;=BankCostEnvelope*'5. Scenarios'!$C$7,1,0))</f>
        <v/>
      </c>
      <c r="M1654" s="57" t="str">
        <f aca="false">IF($I1654="","",INDEX(BookRate,1649)*(1+'5. Scenarios'!$C$10)*(INDEX(BookQ1,1649)*(5-MIN(4,1+'5. Scenarios'!$C$8))/4+INDEX(BookQ2,1649)*(5-MIN(4,2+'5. Scenarios'!$C$8))/4+INDEX(BookQ3,1649)*(5-MIN(4,3+'5. Scenarios'!$C$8))/4+INDEX(BookQ4,1649)*(5-MIN(4,4+'5. Scenarios'!$C$8))/4)*'5. Scenarios'!$C$6/(1+ProductivityDefault*('5. Scenarios'!$C$11-1))+INDEX(BookOneOff,1649)*$I1654)</f>
        <v/>
      </c>
      <c r="N1654" s="56" t="str">
        <f aca="false">IF(INDEX(BookTitle,1649)="","",INDEX(BookTotal,1649)*'5. Scenarios'!$D$6/(1+ProductivityDefault*('5. Scenarios'!$D$11-1)))</f>
        <v/>
      </c>
      <c r="O1654" s="57" t="str">
        <f aca="false">IF($N1654="","",INDEX(BookRate,1649)*(1+'5. Scenarios'!$D$10)*$N1654)</f>
        <v/>
      </c>
      <c r="P1654" s="57" t="str">
        <f aca="false">IF($O1654="","",SUMIFS($O$6:$O$2405,$A$6:$A$2405,"&lt;="&amp;$A1654))</f>
        <v/>
      </c>
      <c r="Q1654" s="57" t="str">
        <f aca="false">IF($O1654="","",IF($P1654&lt;=BankCostEnvelope*'5. Scenarios'!$D$7,1,0))</f>
        <v/>
      </c>
      <c r="R1654" s="57" t="str">
        <f aca="false">IF($N1654="","",INDEX(BookRate,1649)*(1+'5. Scenarios'!$D$10)*(INDEX(BookQ1,1649)*(5-MIN(4,1+'5. Scenarios'!$D$8))/4+INDEX(BookQ2,1649)*(5-MIN(4,2+'5. Scenarios'!$D$8))/4+INDEX(BookQ3,1649)*(5-MIN(4,3+'5. Scenarios'!$D$8))/4+INDEX(BookQ4,1649)*(5-MIN(4,4+'5. Scenarios'!$D$8))/4)*'5. Scenarios'!$D$6/(1+ProductivityDefault*('5. Scenarios'!$D$11-1))+INDEX(BookOneOff,1649)*$N1654)</f>
        <v/>
      </c>
      <c r="S1654" s="56" t="str">
        <f aca="false">IF(INDEX(BookTitle,1649)="","",INDEX(BookTotal,1649)*'5. Scenarios'!$E$6/(1+ProductivityDefault*('5. Scenarios'!$E$11-1)))</f>
        <v/>
      </c>
      <c r="T1654" s="57" t="str">
        <f aca="false">IF($S1654="","",INDEX(BookRate,1649)*(1+'5. Scenarios'!$E$10)*$S1654)</f>
        <v/>
      </c>
      <c r="U1654" s="57" t="str">
        <f aca="false">IF($T1654="","",SUMIFS($T$6:$T$2405,$A$6:$A$2405,"&lt;="&amp;$A1654))</f>
        <v/>
      </c>
      <c r="V1654" s="57" t="str">
        <f aca="false">IF($T1654="","",IF($U1654&lt;=BankCostEnvelope*'5. Scenarios'!$E$7,1,0))</f>
        <v/>
      </c>
      <c r="W1654" s="57" t="str">
        <f aca="false">IF($S1654="","",INDEX(BookRate,1649)*(1+'5. Scenarios'!$E$10)*(INDEX(BookQ1,1649)*(5-MIN(4,1+'5. Scenarios'!$E$8))/4+INDEX(BookQ2,1649)*(5-MIN(4,2+'5. Scenarios'!$E$8))/4+INDEX(BookQ3,1649)*(5-MIN(4,3+'5. Scenarios'!$E$8))/4+INDEX(BookQ4,1649)*(5-MIN(4,4+'5. Scenarios'!$E$8))/4)*'5. Scenarios'!$E$6/(1+ProductivityDefault*('5. Scenarios'!$E$11-1))+INDEX(BookOneOff,1649)*$S1654)</f>
        <v/>
      </c>
    </row>
    <row r="1655" customFormat="false" ht="15" hidden="false" customHeight="false" outlineLevel="0" collapsed="false">
      <c r="A1655" s="0" t="str">
        <f aca="false">IF(INDEX(BookTitle,1650)="","",INDEX(BookKey,1650))</f>
        <v/>
      </c>
      <c r="B1655" s="0" t="str">
        <f aca="false">IF(INDEX(BookTitle,1650)="","",INDEX(BookGroup,1650))</f>
        <v/>
      </c>
      <c r="C1655" s="0" t="str">
        <f aca="false">IF(INDEX(BookTitle,1650)="","",INDEX(BookCategory,1650))</f>
        <v/>
      </c>
      <c r="D1655" s="56" t="str">
        <f aca="false">IF(INDEX(BookTitle,1650)="","",INDEX(BookTotal,1650)*'5. Scenarios'!$B$6/(1+ProductivityDefault*('5. Scenarios'!$B$11-1)))</f>
        <v/>
      </c>
      <c r="E1655" s="57" t="str">
        <f aca="false">IF($D1655="","",INDEX(BookRate,1650)*(1+'5. Scenarios'!$B$10)*$D1655)</f>
        <v/>
      </c>
      <c r="F1655" s="57" t="str">
        <f aca="false">IF($E1655="","",SUMIFS($E$6:$E$2405,$A$6:$A$2405,"&lt;="&amp;$A1655))</f>
        <v/>
      </c>
      <c r="G1655" s="57" t="str">
        <f aca="false">IF($E1655="","",IF($F1655&lt;=BankCostEnvelope*'5. Scenarios'!$B$7,1,0))</f>
        <v/>
      </c>
      <c r="H1655" s="57" t="str">
        <f aca="false">IF($D1655="","",INDEX(BookRate,1650)*(1+'5. Scenarios'!$B$10)*(INDEX(BookQ1,1650)*(5-MIN(4,1+'5. Scenarios'!$B$8))/4+INDEX(BookQ2,1650)*(5-MIN(4,2+'5. Scenarios'!$B$8))/4+INDEX(BookQ3,1650)*(5-MIN(4,3+'5. Scenarios'!$B$8))/4+INDEX(BookQ4,1650)*(5-MIN(4,4+'5. Scenarios'!$B$8))/4)*'5. Scenarios'!$B$6/(1+ProductivityDefault*('5. Scenarios'!$B$11-1))+INDEX(BookOneOff,1650)*$D1655)</f>
        <v/>
      </c>
      <c r="I1655" s="56" t="str">
        <f aca="false">IF(INDEX(BookTitle,1650)="","",INDEX(BookTotal,1650)*'5. Scenarios'!$C$6/(1+ProductivityDefault*('5. Scenarios'!$C$11-1)))</f>
        <v/>
      </c>
      <c r="J1655" s="57" t="str">
        <f aca="false">IF($I1655="","",INDEX(BookRate,1650)*(1+'5. Scenarios'!$C$10)*$I1655)</f>
        <v/>
      </c>
      <c r="K1655" s="57" t="str">
        <f aca="false">IF($J1655="","",SUMIFS($J$6:$J$2405,$A$6:$A$2405,"&lt;="&amp;$A1655))</f>
        <v/>
      </c>
      <c r="L1655" s="57" t="str">
        <f aca="false">IF($J1655="","",IF($K1655&lt;=BankCostEnvelope*'5. Scenarios'!$C$7,1,0))</f>
        <v/>
      </c>
      <c r="M1655" s="57" t="str">
        <f aca="false">IF($I1655="","",INDEX(BookRate,1650)*(1+'5. Scenarios'!$C$10)*(INDEX(BookQ1,1650)*(5-MIN(4,1+'5. Scenarios'!$C$8))/4+INDEX(BookQ2,1650)*(5-MIN(4,2+'5. Scenarios'!$C$8))/4+INDEX(BookQ3,1650)*(5-MIN(4,3+'5. Scenarios'!$C$8))/4+INDEX(BookQ4,1650)*(5-MIN(4,4+'5. Scenarios'!$C$8))/4)*'5. Scenarios'!$C$6/(1+ProductivityDefault*('5. Scenarios'!$C$11-1))+INDEX(BookOneOff,1650)*$I1655)</f>
        <v/>
      </c>
      <c r="N1655" s="56" t="str">
        <f aca="false">IF(INDEX(BookTitle,1650)="","",INDEX(BookTotal,1650)*'5. Scenarios'!$D$6/(1+ProductivityDefault*('5. Scenarios'!$D$11-1)))</f>
        <v/>
      </c>
      <c r="O1655" s="57" t="str">
        <f aca="false">IF($N1655="","",INDEX(BookRate,1650)*(1+'5. Scenarios'!$D$10)*$N1655)</f>
        <v/>
      </c>
      <c r="P1655" s="57" t="str">
        <f aca="false">IF($O1655="","",SUMIFS($O$6:$O$2405,$A$6:$A$2405,"&lt;="&amp;$A1655))</f>
        <v/>
      </c>
      <c r="Q1655" s="57" t="str">
        <f aca="false">IF($O1655="","",IF($P1655&lt;=BankCostEnvelope*'5. Scenarios'!$D$7,1,0))</f>
        <v/>
      </c>
      <c r="R1655" s="57" t="str">
        <f aca="false">IF($N1655="","",INDEX(BookRate,1650)*(1+'5. Scenarios'!$D$10)*(INDEX(BookQ1,1650)*(5-MIN(4,1+'5. Scenarios'!$D$8))/4+INDEX(BookQ2,1650)*(5-MIN(4,2+'5. Scenarios'!$D$8))/4+INDEX(BookQ3,1650)*(5-MIN(4,3+'5. Scenarios'!$D$8))/4+INDEX(BookQ4,1650)*(5-MIN(4,4+'5. Scenarios'!$D$8))/4)*'5. Scenarios'!$D$6/(1+ProductivityDefault*('5. Scenarios'!$D$11-1))+INDEX(BookOneOff,1650)*$N1655)</f>
        <v/>
      </c>
      <c r="S1655" s="56" t="str">
        <f aca="false">IF(INDEX(BookTitle,1650)="","",INDEX(BookTotal,1650)*'5. Scenarios'!$E$6/(1+ProductivityDefault*('5. Scenarios'!$E$11-1)))</f>
        <v/>
      </c>
      <c r="T1655" s="57" t="str">
        <f aca="false">IF($S1655="","",INDEX(BookRate,1650)*(1+'5. Scenarios'!$E$10)*$S1655)</f>
        <v/>
      </c>
      <c r="U1655" s="57" t="str">
        <f aca="false">IF($T1655="","",SUMIFS($T$6:$T$2405,$A$6:$A$2405,"&lt;="&amp;$A1655))</f>
        <v/>
      </c>
      <c r="V1655" s="57" t="str">
        <f aca="false">IF($T1655="","",IF($U1655&lt;=BankCostEnvelope*'5. Scenarios'!$E$7,1,0))</f>
        <v/>
      </c>
      <c r="W1655" s="57" t="str">
        <f aca="false">IF($S1655="","",INDEX(BookRate,1650)*(1+'5. Scenarios'!$E$10)*(INDEX(BookQ1,1650)*(5-MIN(4,1+'5. Scenarios'!$E$8))/4+INDEX(BookQ2,1650)*(5-MIN(4,2+'5. Scenarios'!$E$8))/4+INDEX(BookQ3,1650)*(5-MIN(4,3+'5. Scenarios'!$E$8))/4+INDEX(BookQ4,1650)*(5-MIN(4,4+'5. Scenarios'!$E$8))/4)*'5. Scenarios'!$E$6/(1+ProductivityDefault*('5. Scenarios'!$E$11-1))+INDEX(BookOneOff,1650)*$S1655)</f>
        <v/>
      </c>
    </row>
    <row r="1656" customFormat="false" ht="15" hidden="false" customHeight="false" outlineLevel="0" collapsed="false">
      <c r="A1656" s="0" t="str">
        <f aca="false">IF(INDEX(BookTitle,1651)="","",INDEX(BookKey,1651))</f>
        <v/>
      </c>
      <c r="B1656" s="0" t="str">
        <f aca="false">IF(INDEX(BookTitle,1651)="","",INDEX(BookGroup,1651))</f>
        <v/>
      </c>
      <c r="C1656" s="0" t="str">
        <f aca="false">IF(INDEX(BookTitle,1651)="","",INDEX(BookCategory,1651))</f>
        <v/>
      </c>
      <c r="D1656" s="56" t="str">
        <f aca="false">IF(INDEX(BookTitle,1651)="","",INDEX(BookTotal,1651)*'5. Scenarios'!$B$6/(1+ProductivityDefault*('5. Scenarios'!$B$11-1)))</f>
        <v/>
      </c>
      <c r="E1656" s="57" t="str">
        <f aca="false">IF($D1656="","",INDEX(BookRate,1651)*(1+'5. Scenarios'!$B$10)*$D1656)</f>
        <v/>
      </c>
      <c r="F1656" s="57" t="str">
        <f aca="false">IF($E1656="","",SUMIFS($E$6:$E$2405,$A$6:$A$2405,"&lt;="&amp;$A1656))</f>
        <v/>
      </c>
      <c r="G1656" s="57" t="str">
        <f aca="false">IF($E1656="","",IF($F1656&lt;=BankCostEnvelope*'5. Scenarios'!$B$7,1,0))</f>
        <v/>
      </c>
      <c r="H1656" s="57" t="str">
        <f aca="false">IF($D1656="","",INDEX(BookRate,1651)*(1+'5. Scenarios'!$B$10)*(INDEX(BookQ1,1651)*(5-MIN(4,1+'5. Scenarios'!$B$8))/4+INDEX(BookQ2,1651)*(5-MIN(4,2+'5. Scenarios'!$B$8))/4+INDEX(BookQ3,1651)*(5-MIN(4,3+'5. Scenarios'!$B$8))/4+INDEX(BookQ4,1651)*(5-MIN(4,4+'5. Scenarios'!$B$8))/4)*'5. Scenarios'!$B$6/(1+ProductivityDefault*('5. Scenarios'!$B$11-1))+INDEX(BookOneOff,1651)*$D1656)</f>
        <v/>
      </c>
      <c r="I1656" s="56" t="str">
        <f aca="false">IF(INDEX(BookTitle,1651)="","",INDEX(BookTotal,1651)*'5. Scenarios'!$C$6/(1+ProductivityDefault*('5. Scenarios'!$C$11-1)))</f>
        <v/>
      </c>
      <c r="J1656" s="57" t="str">
        <f aca="false">IF($I1656="","",INDEX(BookRate,1651)*(1+'5. Scenarios'!$C$10)*$I1656)</f>
        <v/>
      </c>
      <c r="K1656" s="57" t="str">
        <f aca="false">IF($J1656="","",SUMIFS($J$6:$J$2405,$A$6:$A$2405,"&lt;="&amp;$A1656))</f>
        <v/>
      </c>
      <c r="L1656" s="57" t="str">
        <f aca="false">IF($J1656="","",IF($K1656&lt;=BankCostEnvelope*'5. Scenarios'!$C$7,1,0))</f>
        <v/>
      </c>
      <c r="M1656" s="57" t="str">
        <f aca="false">IF($I1656="","",INDEX(BookRate,1651)*(1+'5. Scenarios'!$C$10)*(INDEX(BookQ1,1651)*(5-MIN(4,1+'5. Scenarios'!$C$8))/4+INDEX(BookQ2,1651)*(5-MIN(4,2+'5. Scenarios'!$C$8))/4+INDEX(BookQ3,1651)*(5-MIN(4,3+'5. Scenarios'!$C$8))/4+INDEX(BookQ4,1651)*(5-MIN(4,4+'5. Scenarios'!$C$8))/4)*'5. Scenarios'!$C$6/(1+ProductivityDefault*('5. Scenarios'!$C$11-1))+INDEX(BookOneOff,1651)*$I1656)</f>
        <v/>
      </c>
      <c r="N1656" s="56" t="str">
        <f aca="false">IF(INDEX(BookTitle,1651)="","",INDEX(BookTotal,1651)*'5. Scenarios'!$D$6/(1+ProductivityDefault*('5. Scenarios'!$D$11-1)))</f>
        <v/>
      </c>
      <c r="O1656" s="57" t="str">
        <f aca="false">IF($N1656="","",INDEX(BookRate,1651)*(1+'5. Scenarios'!$D$10)*$N1656)</f>
        <v/>
      </c>
      <c r="P1656" s="57" t="str">
        <f aca="false">IF($O1656="","",SUMIFS($O$6:$O$2405,$A$6:$A$2405,"&lt;="&amp;$A1656))</f>
        <v/>
      </c>
      <c r="Q1656" s="57" t="str">
        <f aca="false">IF($O1656="","",IF($P1656&lt;=BankCostEnvelope*'5. Scenarios'!$D$7,1,0))</f>
        <v/>
      </c>
      <c r="R1656" s="57" t="str">
        <f aca="false">IF($N1656="","",INDEX(BookRate,1651)*(1+'5. Scenarios'!$D$10)*(INDEX(BookQ1,1651)*(5-MIN(4,1+'5. Scenarios'!$D$8))/4+INDEX(BookQ2,1651)*(5-MIN(4,2+'5. Scenarios'!$D$8))/4+INDEX(BookQ3,1651)*(5-MIN(4,3+'5. Scenarios'!$D$8))/4+INDEX(BookQ4,1651)*(5-MIN(4,4+'5. Scenarios'!$D$8))/4)*'5. Scenarios'!$D$6/(1+ProductivityDefault*('5. Scenarios'!$D$11-1))+INDEX(BookOneOff,1651)*$N1656)</f>
        <v/>
      </c>
      <c r="S1656" s="56" t="str">
        <f aca="false">IF(INDEX(BookTitle,1651)="","",INDEX(BookTotal,1651)*'5. Scenarios'!$E$6/(1+ProductivityDefault*('5. Scenarios'!$E$11-1)))</f>
        <v/>
      </c>
      <c r="T1656" s="57" t="str">
        <f aca="false">IF($S1656="","",INDEX(BookRate,1651)*(1+'5. Scenarios'!$E$10)*$S1656)</f>
        <v/>
      </c>
      <c r="U1656" s="57" t="str">
        <f aca="false">IF($T1656="","",SUMIFS($T$6:$T$2405,$A$6:$A$2405,"&lt;="&amp;$A1656))</f>
        <v/>
      </c>
      <c r="V1656" s="57" t="str">
        <f aca="false">IF($T1656="","",IF($U1656&lt;=BankCostEnvelope*'5. Scenarios'!$E$7,1,0))</f>
        <v/>
      </c>
      <c r="W1656" s="57" t="str">
        <f aca="false">IF($S1656="","",INDEX(BookRate,1651)*(1+'5. Scenarios'!$E$10)*(INDEX(BookQ1,1651)*(5-MIN(4,1+'5. Scenarios'!$E$8))/4+INDEX(BookQ2,1651)*(5-MIN(4,2+'5. Scenarios'!$E$8))/4+INDEX(BookQ3,1651)*(5-MIN(4,3+'5. Scenarios'!$E$8))/4+INDEX(BookQ4,1651)*(5-MIN(4,4+'5. Scenarios'!$E$8))/4)*'5. Scenarios'!$E$6/(1+ProductivityDefault*('5. Scenarios'!$E$11-1))+INDEX(BookOneOff,1651)*$S1656)</f>
        <v/>
      </c>
    </row>
    <row r="1657" customFormat="false" ht="15" hidden="false" customHeight="false" outlineLevel="0" collapsed="false">
      <c r="A1657" s="0" t="str">
        <f aca="false">IF(INDEX(BookTitle,1652)="","",INDEX(BookKey,1652))</f>
        <v/>
      </c>
      <c r="B1657" s="0" t="str">
        <f aca="false">IF(INDEX(BookTitle,1652)="","",INDEX(BookGroup,1652))</f>
        <v/>
      </c>
      <c r="C1657" s="0" t="str">
        <f aca="false">IF(INDEX(BookTitle,1652)="","",INDEX(BookCategory,1652))</f>
        <v/>
      </c>
      <c r="D1657" s="56" t="str">
        <f aca="false">IF(INDEX(BookTitle,1652)="","",INDEX(BookTotal,1652)*'5. Scenarios'!$B$6/(1+ProductivityDefault*('5. Scenarios'!$B$11-1)))</f>
        <v/>
      </c>
      <c r="E1657" s="57" t="str">
        <f aca="false">IF($D1657="","",INDEX(BookRate,1652)*(1+'5. Scenarios'!$B$10)*$D1657)</f>
        <v/>
      </c>
      <c r="F1657" s="57" t="str">
        <f aca="false">IF($E1657="","",SUMIFS($E$6:$E$2405,$A$6:$A$2405,"&lt;="&amp;$A1657))</f>
        <v/>
      </c>
      <c r="G1657" s="57" t="str">
        <f aca="false">IF($E1657="","",IF($F1657&lt;=BankCostEnvelope*'5. Scenarios'!$B$7,1,0))</f>
        <v/>
      </c>
      <c r="H1657" s="57" t="str">
        <f aca="false">IF($D1657="","",INDEX(BookRate,1652)*(1+'5. Scenarios'!$B$10)*(INDEX(BookQ1,1652)*(5-MIN(4,1+'5. Scenarios'!$B$8))/4+INDEX(BookQ2,1652)*(5-MIN(4,2+'5. Scenarios'!$B$8))/4+INDEX(BookQ3,1652)*(5-MIN(4,3+'5. Scenarios'!$B$8))/4+INDEX(BookQ4,1652)*(5-MIN(4,4+'5. Scenarios'!$B$8))/4)*'5. Scenarios'!$B$6/(1+ProductivityDefault*('5. Scenarios'!$B$11-1))+INDEX(BookOneOff,1652)*$D1657)</f>
        <v/>
      </c>
      <c r="I1657" s="56" t="str">
        <f aca="false">IF(INDEX(BookTitle,1652)="","",INDEX(BookTotal,1652)*'5. Scenarios'!$C$6/(1+ProductivityDefault*('5. Scenarios'!$C$11-1)))</f>
        <v/>
      </c>
      <c r="J1657" s="57" t="str">
        <f aca="false">IF($I1657="","",INDEX(BookRate,1652)*(1+'5. Scenarios'!$C$10)*$I1657)</f>
        <v/>
      </c>
      <c r="K1657" s="57" t="str">
        <f aca="false">IF($J1657="","",SUMIFS($J$6:$J$2405,$A$6:$A$2405,"&lt;="&amp;$A1657))</f>
        <v/>
      </c>
      <c r="L1657" s="57" t="str">
        <f aca="false">IF($J1657="","",IF($K1657&lt;=BankCostEnvelope*'5. Scenarios'!$C$7,1,0))</f>
        <v/>
      </c>
      <c r="M1657" s="57" t="str">
        <f aca="false">IF($I1657="","",INDEX(BookRate,1652)*(1+'5. Scenarios'!$C$10)*(INDEX(BookQ1,1652)*(5-MIN(4,1+'5. Scenarios'!$C$8))/4+INDEX(BookQ2,1652)*(5-MIN(4,2+'5. Scenarios'!$C$8))/4+INDEX(BookQ3,1652)*(5-MIN(4,3+'5. Scenarios'!$C$8))/4+INDEX(BookQ4,1652)*(5-MIN(4,4+'5. Scenarios'!$C$8))/4)*'5. Scenarios'!$C$6/(1+ProductivityDefault*('5. Scenarios'!$C$11-1))+INDEX(BookOneOff,1652)*$I1657)</f>
        <v/>
      </c>
      <c r="N1657" s="56" t="str">
        <f aca="false">IF(INDEX(BookTitle,1652)="","",INDEX(BookTotal,1652)*'5. Scenarios'!$D$6/(1+ProductivityDefault*('5. Scenarios'!$D$11-1)))</f>
        <v/>
      </c>
      <c r="O1657" s="57" t="str">
        <f aca="false">IF($N1657="","",INDEX(BookRate,1652)*(1+'5. Scenarios'!$D$10)*$N1657)</f>
        <v/>
      </c>
      <c r="P1657" s="57" t="str">
        <f aca="false">IF($O1657="","",SUMIFS($O$6:$O$2405,$A$6:$A$2405,"&lt;="&amp;$A1657))</f>
        <v/>
      </c>
      <c r="Q1657" s="57" t="str">
        <f aca="false">IF($O1657="","",IF($P1657&lt;=BankCostEnvelope*'5. Scenarios'!$D$7,1,0))</f>
        <v/>
      </c>
      <c r="R1657" s="57" t="str">
        <f aca="false">IF($N1657="","",INDEX(BookRate,1652)*(1+'5. Scenarios'!$D$10)*(INDEX(BookQ1,1652)*(5-MIN(4,1+'5. Scenarios'!$D$8))/4+INDEX(BookQ2,1652)*(5-MIN(4,2+'5. Scenarios'!$D$8))/4+INDEX(BookQ3,1652)*(5-MIN(4,3+'5. Scenarios'!$D$8))/4+INDEX(BookQ4,1652)*(5-MIN(4,4+'5. Scenarios'!$D$8))/4)*'5. Scenarios'!$D$6/(1+ProductivityDefault*('5. Scenarios'!$D$11-1))+INDEX(BookOneOff,1652)*$N1657)</f>
        <v/>
      </c>
      <c r="S1657" s="56" t="str">
        <f aca="false">IF(INDEX(BookTitle,1652)="","",INDEX(BookTotal,1652)*'5. Scenarios'!$E$6/(1+ProductivityDefault*('5. Scenarios'!$E$11-1)))</f>
        <v/>
      </c>
      <c r="T1657" s="57" t="str">
        <f aca="false">IF($S1657="","",INDEX(BookRate,1652)*(1+'5. Scenarios'!$E$10)*$S1657)</f>
        <v/>
      </c>
      <c r="U1657" s="57" t="str">
        <f aca="false">IF($T1657="","",SUMIFS($T$6:$T$2405,$A$6:$A$2405,"&lt;="&amp;$A1657))</f>
        <v/>
      </c>
      <c r="V1657" s="57" t="str">
        <f aca="false">IF($T1657="","",IF($U1657&lt;=BankCostEnvelope*'5. Scenarios'!$E$7,1,0))</f>
        <v/>
      </c>
      <c r="W1657" s="57" t="str">
        <f aca="false">IF($S1657="","",INDEX(BookRate,1652)*(1+'5. Scenarios'!$E$10)*(INDEX(BookQ1,1652)*(5-MIN(4,1+'5. Scenarios'!$E$8))/4+INDEX(BookQ2,1652)*(5-MIN(4,2+'5. Scenarios'!$E$8))/4+INDEX(BookQ3,1652)*(5-MIN(4,3+'5. Scenarios'!$E$8))/4+INDEX(BookQ4,1652)*(5-MIN(4,4+'5. Scenarios'!$E$8))/4)*'5. Scenarios'!$E$6/(1+ProductivityDefault*('5. Scenarios'!$E$11-1))+INDEX(BookOneOff,1652)*$S1657)</f>
        <v/>
      </c>
    </row>
    <row r="1658" customFormat="false" ht="15" hidden="false" customHeight="false" outlineLevel="0" collapsed="false">
      <c r="A1658" s="0" t="str">
        <f aca="false">IF(INDEX(BookTitle,1653)="","",INDEX(BookKey,1653))</f>
        <v/>
      </c>
      <c r="B1658" s="0" t="str">
        <f aca="false">IF(INDEX(BookTitle,1653)="","",INDEX(BookGroup,1653))</f>
        <v/>
      </c>
      <c r="C1658" s="0" t="str">
        <f aca="false">IF(INDEX(BookTitle,1653)="","",INDEX(BookCategory,1653))</f>
        <v/>
      </c>
      <c r="D1658" s="56" t="str">
        <f aca="false">IF(INDEX(BookTitle,1653)="","",INDEX(BookTotal,1653)*'5. Scenarios'!$B$6/(1+ProductivityDefault*('5. Scenarios'!$B$11-1)))</f>
        <v/>
      </c>
      <c r="E1658" s="57" t="str">
        <f aca="false">IF($D1658="","",INDEX(BookRate,1653)*(1+'5. Scenarios'!$B$10)*$D1658)</f>
        <v/>
      </c>
      <c r="F1658" s="57" t="str">
        <f aca="false">IF($E1658="","",SUMIFS($E$6:$E$2405,$A$6:$A$2405,"&lt;="&amp;$A1658))</f>
        <v/>
      </c>
      <c r="G1658" s="57" t="str">
        <f aca="false">IF($E1658="","",IF($F1658&lt;=BankCostEnvelope*'5. Scenarios'!$B$7,1,0))</f>
        <v/>
      </c>
      <c r="H1658" s="57" t="str">
        <f aca="false">IF($D1658="","",INDEX(BookRate,1653)*(1+'5. Scenarios'!$B$10)*(INDEX(BookQ1,1653)*(5-MIN(4,1+'5. Scenarios'!$B$8))/4+INDEX(BookQ2,1653)*(5-MIN(4,2+'5. Scenarios'!$B$8))/4+INDEX(BookQ3,1653)*(5-MIN(4,3+'5. Scenarios'!$B$8))/4+INDEX(BookQ4,1653)*(5-MIN(4,4+'5. Scenarios'!$B$8))/4)*'5. Scenarios'!$B$6/(1+ProductivityDefault*('5. Scenarios'!$B$11-1))+INDEX(BookOneOff,1653)*$D1658)</f>
        <v/>
      </c>
      <c r="I1658" s="56" t="str">
        <f aca="false">IF(INDEX(BookTitle,1653)="","",INDEX(BookTotal,1653)*'5. Scenarios'!$C$6/(1+ProductivityDefault*('5. Scenarios'!$C$11-1)))</f>
        <v/>
      </c>
      <c r="J1658" s="57" t="str">
        <f aca="false">IF($I1658="","",INDEX(BookRate,1653)*(1+'5. Scenarios'!$C$10)*$I1658)</f>
        <v/>
      </c>
      <c r="K1658" s="57" t="str">
        <f aca="false">IF($J1658="","",SUMIFS($J$6:$J$2405,$A$6:$A$2405,"&lt;="&amp;$A1658))</f>
        <v/>
      </c>
      <c r="L1658" s="57" t="str">
        <f aca="false">IF($J1658="","",IF($K1658&lt;=BankCostEnvelope*'5. Scenarios'!$C$7,1,0))</f>
        <v/>
      </c>
      <c r="M1658" s="57" t="str">
        <f aca="false">IF($I1658="","",INDEX(BookRate,1653)*(1+'5. Scenarios'!$C$10)*(INDEX(BookQ1,1653)*(5-MIN(4,1+'5. Scenarios'!$C$8))/4+INDEX(BookQ2,1653)*(5-MIN(4,2+'5. Scenarios'!$C$8))/4+INDEX(BookQ3,1653)*(5-MIN(4,3+'5. Scenarios'!$C$8))/4+INDEX(BookQ4,1653)*(5-MIN(4,4+'5. Scenarios'!$C$8))/4)*'5. Scenarios'!$C$6/(1+ProductivityDefault*('5. Scenarios'!$C$11-1))+INDEX(BookOneOff,1653)*$I1658)</f>
        <v/>
      </c>
      <c r="N1658" s="56" t="str">
        <f aca="false">IF(INDEX(BookTitle,1653)="","",INDEX(BookTotal,1653)*'5. Scenarios'!$D$6/(1+ProductivityDefault*('5. Scenarios'!$D$11-1)))</f>
        <v/>
      </c>
      <c r="O1658" s="57" t="str">
        <f aca="false">IF($N1658="","",INDEX(BookRate,1653)*(1+'5. Scenarios'!$D$10)*$N1658)</f>
        <v/>
      </c>
      <c r="P1658" s="57" t="str">
        <f aca="false">IF($O1658="","",SUMIFS($O$6:$O$2405,$A$6:$A$2405,"&lt;="&amp;$A1658))</f>
        <v/>
      </c>
      <c r="Q1658" s="57" t="str">
        <f aca="false">IF($O1658="","",IF($P1658&lt;=BankCostEnvelope*'5. Scenarios'!$D$7,1,0))</f>
        <v/>
      </c>
      <c r="R1658" s="57" t="str">
        <f aca="false">IF($N1658="","",INDEX(BookRate,1653)*(1+'5. Scenarios'!$D$10)*(INDEX(BookQ1,1653)*(5-MIN(4,1+'5. Scenarios'!$D$8))/4+INDEX(BookQ2,1653)*(5-MIN(4,2+'5. Scenarios'!$D$8))/4+INDEX(BookQ3,1653)*(5-MIN(4,3+'5. Scenarios'!$D$8))/4+INDEX(BookQ4,1653)*(5-MIN(4,4+'5. Scenarios'!$D$8))/4)*'5. Scenarios'!$D$6/(1+ProductivityDefault*('5. Scenarios'!$D$11-1))+INDEX(BookOneOff,1653)*$N1658)</f>
        <v/>
      </c>
      <c r="S1658" s="56" t="str">
        <f aca="false">IF(INDEX(BookTitle,1653)="","",INDEX(BookTotal,1653)*'5. Scenarios'!$E$6/(1+ProductivityDefault*('5. Scenarios'!$E$11-1)))</f>
        <v/>
      </c>
      <c r="T1658" s="57" t="str">
        <f aca="false">IF($S1658="","",INDEX(BookRate,1653)*(1+'5. Scenarios'!$E$10)*$S1658)</f>
        <v/>
      </c>
      <c r="U1658" s="57" t="str">
        <f aca="false">IF($T1658="","",SUMIFS($T$6:$T$2405,$A$6:$A$2405,"&lt;="&amp;$A1658))</f>
        <v/>
      </c>
      <c r="V1658" s="57" t="str">
        <f aca="false">IF($T1658="","",IF($U1658&lt;=BankCostEnvelope*'5. Scenarios'!$E$7,1,0))</f>
        <v/>
      </c>
      <c r="W1658" s="57" t="str">
        <f aca="false">IF($S1658="","",INDEX(BookRate,1653)*(1+'5. Scenarios'!$E$10)*(INDEX(BookQ1,1653)*(5-MIN(4,1+'5. Scenarios'!$E$8))/4+INDEX(BookQ2,1653)*(5-MIN(4,2+'5. Scenarios'!$E$8))/4+INDEX(BookQ3,1653)*(5-MIN(4,3+'5. Scenarios'!$E$8))/4+INDEX(BookQ4,1653)*(5-MIN(4,4+'5. Scenarios'!$E$8))/4)*'5. Scenarios'!$E$6/(1+ProductivityDefault*('5. Scenarios'!$E$11-1))+INDEX(BookOneOff,1653)*$S1658)</f>
        <v/>
      </c>
    </row>
    <row r="1659" customFormat="false" ht="15" hidden="false" customHeight="false" outlineLevel="0" collapsed="false">
      <c r="A1659" s="0" t="str">
        <f aca="false">IF(INDEX(BookTitle,1654)="","",INDEX(BookKey,1654))</f>
        <v/>
      </c>
      <c r="B1659" s="0" t="str">
        <f aca="false">IF(INDEX(BookTitle,1654)="","",INDEX(BookGroup,1654))</f>
        <v/>
      </c>
      <c r="C1659" s="0" t="str">
        <f aca="false">IF(INDEX(BookTitle,1654)="","",INDEX(BookCategory,1654))</f>
        <v/>
      </c>
      <c r="D1659" s="56" t="str">
        <f aca="false">IF(INDEX(BookTitle,1654)="","",INDEX(BookTotal,1654)*'5. Scenarios'!$B$6/(1+ProductivityDefault*('5. Scenarios'!$B$11-1)))</f>
        <v/>
      </c>
      <c r="E1659" s="57" t="str">
        <f aca="false">IF($D1659="","",INDEX(BookRate,1654)*(1+'5. Scenarios'!$B$10)*$D1659)</f>
        <v/>
      </c>
      <c r="F1659" s="57" t="str">
        <f aca="false">IF($E1659="","",SUMIFS($E$6:$E$2405,$A$6:$A$2405,"&lt;="&amp;$A1659))</f>
        <v/>
      </c>
      <c r="G1659" s="57" t="str">
        <f aca="false">IF($E1659="","",IF($F1659&lt;=BankCostEnvelope*'5. Scenarios'!$B$7,1,0))</f>
        <v/>
      </c>
      <c r="H1659" s="57" t="str">
        <f aca="false">IF($D1659="","",INDEX(BookRate,1654)*(1+'5. Scenarios'!$B$10)*(INDEX(BookQ1,1654)*(5-MIN(4,1+'5. Scenarios'!$B$8))/4+INDEX(BookQ2,1654)*(5-MIN(4,2+'5. Scenarios'!$B$8))/4+INDEX(BookQ3,1654)*(5-MIN(4,3+'5. Scenarios'!$B$8))/4+INDEX(BookQ4,1654)*(5-MIN(4,4+'5. Scenarios'!$B$8))/4)*'5. Scenarios'!$B$6/(1+ProductivityDefault*('5. Scenarios'!$B$11-1))+INDEX(BookOneOff,1654)*$D1659)</f>
        <v/>
      </c>
      <c r="I1659" s="56" t="str">
        <f aca="false">IF(INDEX(BookTitle,1654)="","",INDEX(BookTotal,1654)*'5. Scenarios'!$C$6/(1+ProductivityDefault*('5. Scenarios'!$C$11-1)))</f>
        <v/>
      </c>
      <c r="J1659" s="57" t="str">
        <f aca="false">IF($I1659="","",INDEX(BookRate,1654)*(1+'5. Scenarios'!$C$10)*$I1659)</f>
        <v/>
      </c>
      <c r="K1659" s="57" t="str">
        <f aca="false">IF($J1659="","",SUMIFS($J$6:$J$2405,$A$6:$A$2405,"&lt;="&amp;$A1659))</f>
        <v/>
      </c>
      <c r="L1659" s="57" t="str">
        <f aca="false">IF($J1659="","",IF($K1659&lt;=BankCostEnvelope*'5. Scenarios'!$C$7,1,0))</f>
        <v/>
      </c>
      <c r="M1659" s="57" t="str">
        <f aca="false">IF($I1659="","",INDEX(BookRate,1654)*(1+'5. Scenarios'!$C$10)*(INDEX(BookQ1,1654)*(5-MIN(4,1+'5. Scenarios'!$C$8))/4+INDEX(BookQ2,1654)*(5-MIN(4,2+'5. Scenarios'!$C$8))/4+INDEX(BookQ3,1654)*(5-MIN(4,3+'5. Scenarios'!$C$8))/4+INDEX(BookQ4,1654)*(5-MIN(4,4+'5. Scenarios'!$C$8))/4)*'5. Scenarios'!$C$6/(1+ProductivityDefault*('5. Scenarios'!$C$11-1))+INDEX(BookOneOff,1654)*$I1659)</f>
        <v/>
      </c>
      <c r="N1659" s="56" t="str">
        <f aca="false">IF(INDEX(BookTitle,1654)="","",INDEX(BookTotal,1654)*'5. Scenarios'!$D$6/(1+ProductivityDefault*('5. Scenarios'!$D$11-1)))</f>
        <v/>
      </c>
      <c r="O1659" s="57" t="str">
        <f aca="false">IF($N1659="","",INDEX(BookRate,1654)*(1+'5. Scenarios'!$D$10)*$N1659)</f>
        <v/>
      </c>
      <c r="P1659" s="57" t="str">
        <f aca="false">IF($O1659="","",SUMIFS($O$6:$O$2405,$A$6:$A$2405,"&lt;="&amp;$A1659))</f>
        <v/>
      </c>
      <c r="Q1659" s="57" t="str">
        <f aca="false">IF($O1659="","",IF($P1659&lt;=BankCostEnvelope*'5. Scenarios'!$D$7,1,0))</f>
        <v/>
      </c>
      <c r="R1659" s="57" t="str">
        <f aca="false">IF($N1659="","",INDEX(BookRate,1654)*(1+'5. Scenarios'!$D$10)*(INDEX(BookQ1,1654)*(5-MIN(4,1+'5. Scenarios'!$D$8))/4+INDEX(BookQ2,1654)*(5-MIN(4,2+'5. Scenarios'!$D$8))/4+INDEX(BookQ3,1654)*(5-MIN(4,3+'5. Scenarios'!$D$8))/4+INDEX(BookQ4,1654)*(5-MIN(4,4+'5. Scenarios'!$D$8))/4)*'5. Scenarios'!$D$6/(1+ProductivityDefault*('5. Scenarios'!$D$11-1))+INDEX(BookOneOff,1654)*$N1659)</f>
        <v/>
      </c>
      <c r="S1659" s="56" t="str">
        <f aca="false">IF(INDEX(BookTitle,1654)="","",INDEX(BookTotal,1654)*'5. Scenarios'!$E$6/(1+ProductivityDefault*('5. Scenarios'!$E$11-1)))</f>
        <v/>
      </c>
      <c r="T1659" s="57" t="str">
        <f aca="false">IF($S1659="","",INDEX(BookRate,1654)*(1+'5. Scenarios'!$E$10)*$S1659)</f>
        <v/>
      </c>
      <c r="U1659" s="57" t="str">
        <f aca="false">IF($T1659="","",SUMIFS($T$6:$T$2405,$A$6:$A$2405,"&lt;="&amp;$A1659))</f>
        <v/>
      </c>
      <c r="V1659" s="57" t="str">
        <f aca="false">IF($T1659="","",IF($U1659&lt;=BankCostEnvelope*'5. Scenarios'!$E$7,1,0))</f>
        <v/>
      </c>
      <c r="W1659" s="57" t="str">
        <f aca="false">IF($S1659="","",INDEX(BookRate,1654)*(1+'5. Scenarios'!$E$10)*(INDEX(BookQ1,1654)*(5-MIN(4,1+'5. Scenarios'!$E$8))/4+INDEX(BookQ2,1654)*(5-MIN(4,2+'5. Scenarios'!$E$8))/4+INDEX(BookQ3,1654)*(5-MIN(4,3+'5. Scenarios'!$E$8))/4+INDEX(BookQ4,1654)*(5-MIN(4,4+'5. Scenarios'!$E$8))/4)*'5. Scenarios'!$E$6/(1+ProductivityDefault*('5. Scenarios'!$E$11-1))+INDEX(BookOneOff,1654)*$S1659)</f>
        <v/>
      </c>
    </row>
    <row r="1660" customFormat="false" ht="15" hidden="false" customHeight="false" outlineLevel="0" collapsed="false">
      <c r="A1660" s="0" t="str">
        <f aca="false">IF(INDEX(BookTitle,1655)="","",INDEX(BookKey,1655))</f>
        <v/>
      </c>
      <c r="B1660" s="0" t="str">
        <f aca="false">IF(INDEX(BookTitle,1655)="","",INDEX(BookGroup,1655))</f>
        <v/>
      </c>
      <c r="C1660" s="0" t="str">
        <f aca="false">IF(INDEX(BookTitle,1655)="","",INDEX(BookCategory,1655))</f>
        <v/>
      </c>
      <c r="D1660" s="56" t="str">
        <f aca="false">IF(INDEX(BookTitle,1655)="","",INDEX(BookTotal,1655)*'5. Scenarios'!$B$6/(1+ProductivityDefault*('5. Scenarios'!$B$11-1)))</f>
        <v/>
      </c>
      <c r="E1660" s="57" t="str">
        <f aca="false">IF($D1660="","",INDEX(BookRate,1655)*(1+'5. Scenarios'!$B$10)*$D1660)</f>
        <v/>
      </c>
      <c r="F1660" s="57" t="str">
        <f aca="false">IF($E1660="","",SUMIFS($E$6:$E$2405,$A$6:$A$2405,"&lt;="&amp;$A1660))</f>
        <v/>
      </c>
      <c r="G1660" s="57" t="str">
        <f aca="false">IF($E1660="","",IF($F1660&lt;=BankCostEnvelope*'5. Scenarios'!$B$7,1,0))</f>
        <v/>
      </c>
      <c r="H1660" s="57" t="str">
        <f aca="false">IF($D1660="","",INDEX(BookRate,1655)*(1+'5. Scenarios'!$B$10)*(INDEX(BookQ1,1655)*(5-MIN(4,1+'5. Scenarios'!$B$8))/4+INDEX(BookQ2,1655)*(5-MIN(4,2+'5. Scenarios'!$B$8))/4+INDEX(BookQ3,1655)*(5-MIN(4,3+'5. Scenarios'!$B$8))/4+INDEX(BookQ4,1655)*(5-MIN(4,4+'5. Scenarios'!$B$8))/4)*'5. Scenarios'!$B$6/(1+ProductivityDefault*('5. Scenarios'!$B$11-1))+INDEX(BookOneOff,1655)*$D1660)</f>
        <v/>
      </c>
      <c r="I1660" s="56" t="str">
        <f aca="false">IF(INDEX(BookTitle,1655)="","",INDEX(BookTotal,1655)*'5. Scenarios'!$C$6/(1+ProductivityDefault*('5. Scenarios'!$C$11-1)))</f>
        <v/>
      </c>
      <c r="J1660" s="57" t="str">
        <f aca="false">IF($I1660="","",INDEX(BookRate,1655)*(1+'5. Scenarios'!$C$10)*$I1660)</f>
        <v/>
      </c>
      <c r="K1660" s="57" t="str">
        <f aca="false">IF($J1660="","",SUMIFS($J$6:$J$2405,$A$6:$A$2405,"&lt;="&amp;$A1660))</f>
        <v/>
      </c>
      <c r="L1660" s="57" t="str">
        <f aca="false">IF($J1660="","",IF($K1660&lt;=BankCostEnvelope*'5. Scenarios'!$C$7,1,0))</f>
        <v/>
      </c>
      <c r="M1660" s="57" t="str">
        <f aca="false">IF($I1660="","",INDEX(BookRate,1655)*(1+'5. Scenarios'!$C$10)*(INDEX(BookQ1,1655)*(5-MIN(4,1+'5. Scenarios'!$C$8))/4+INDEX(BookQ2,1655)*(5-MIN(4,2+'5. Scenarios'!$C$8))/4+INDEX(BookQ3,1655)*(5-MIN(4,3+'5. Scenarios'!$C$8))/4+INDEX(BookQ4,1655)*(5-MIN(4,4+'5. Scenarios'!$C$8))/4)*'5. Scenarios'!$C$6/(1+ProductivityDefault*('5. Scenarios'!$C$11-1))+INDEX(BookOneOff,1655)*$I1660)</f>
        <v/>
      </c>
      <c r="N1660" s="56" t="str">
        <f aca="false">IF(INDEX(BookTitle,1655)="","",INDEX(BookTotal,1655)*'5. Scenarios'!$D$6/(1+ProductivityDefault*('5. Scenarios'!$D$11-1)))</f>
        <v/>
      </c>
      <c r="O1660" s="57" t="str">
        <f aca="false">IF($N1660="","",INDEX(BookRate,1655)*(1+'5. Scenarios'!$D$10)*$N1660)</f>
        <v/>
      </c>
      <c r="P1660" s="57" t="str">
        <f aca="false">IF($O1660="","",SUMIFS($O$6:$O$2405,$A$6:$A$2405,"&lt;="&amp;$A1660))</f>
        <v/>
      </c>
      <c r="Q1660" s="57" t="str">
        <f aca="false">IF($O1660="","",IF($P1660&lt;=BankCostEnvelope*'5. Scenarios'!$D$7,1,0))</f>
        <v/>
      </c>
      <c r="R1660" s="57" t="str">
        <f aca="false">IF($N1660="","",INDEX(BookRate,1655)*(1+'5. Scenarios'!$D$10)*(INDEX(BookQ1,1655)*(5-MIN(4,1+'5. Scenarios'!$D$8))/4+INDEX(BookQ2,1655)*(5-MIN(4,2+'5. Scenarios'!$D$8))/4+INDEX(BookQ3,1655)*(5-MIN(4,3+'5. Scenarios'!$D$8))/4+INDEX(BookQ4,1655)*(5-MIN(4,4+'5. Scenarios'!$D$8))/4)*'5. Scenarios'!$D$6/(1+ProductivityDefault*('5. Scenarios'!$D$11-1))+INDEX(BookOneOff,1655)*$N1660)</f>
        <v/>
      </c>
      <c r="S1660" s="56" t="str">
        <f aca="false">IF(INDEX(BookTitle,1655)="","",INDEX(BookTotal,1655)*'5. Scenarios'!$E$6/(1+ProductivityDefault*('5. Scenarios'!$E$11-1)))</f>
        <v/>
      </c>
      <c r="T1660" s="57" t="str">
        <f aca="false">IF($S1660="","",INDEX(BookRate,1655)*(1+'5. Scenarios'!$E$10)*$S1660)</f>
        <v/>
      </c>
      <c r="U1660" s="57" t="str">
        <f aca="false">IF($T1660="","",SUMIFS($T$6:$T$2405,$A$6:$A$2405,"&lt;="&amp;$A1660))</f>
        <v/>
      </c>
      <c r="V1660" s="57" t="str">
        <f aca="false">IF($T1660="","",IF($U1660&lt;=BankCostEnvelope*'5. Scenarios'!$E$7,1,0))</f>
        <v/>
      </c>
      <c r="W1660" s="57" t="str">
        <f aca="false">IF($S1660="","",INDEX(BookRate,1655)*(1+'5. Scenarios'!$E$10)*(INDEX(BookQ1,1655)*(5-MIN(4,1+'5. Scenarios'!$E$8))/4+INDEX(BookQ2,1655)*(5-MIN(4,2+'5. Scenarios'!$E$8))/4+INDEX(BookQ3,1655)*(5-MIN(4,3+'5. Scenarios'!$E$8))/4+INDEX(BookQ4,1655)*(5-MIN(4,4+'5. Scenarios'!$E$8))/4)*'5. Scenarios'!$E$6/(1+ProductivityDefault*('5. Scenarios'!$E$11-1))+INDEX(BookOneOff,1655)*$S1660)</f>
        <v/>
      </c>
    </row>
    <row r="1661" customFormat="false" ht="15" hidden="false" customHeight="false" outlineLevel="0" collapsed="false">
      <c r="A1661" s="0" t="str">
        <f aca="false">IF(INDEX(BookTitle,1656)="","",INDEX(BookKey,1656))</f>
        <v/>
      </c>
      <c r="B1661" s="0" t="str">
        <f aca="false">IF(INDEX(BookTitle,1656)="","",INDEX(BookGroup,1656))</f>
        <v/>
      </c>
      <c r="C1661" s="0" t="str">
        <f aca="false">IF(INDEX(BookTitle,1656)="","",INDEX(BookCategory,1656))</f>
        <v/>
      </c>
      <c r="D1661" s="56" t="str">
        <f aca="false">IF(INDEX(BookTitle,1656)="","",INDEX(BookTotal,1656)*'5. Scenarios'!$B$6/(1+ProductivityDefault*('5. Scenarios'!$B$11-1)))</f>
        <v/>
      </c>
      <c r="E1661" s="57" t="str">
        <f aca="false">IF($D1661="","",INDEX(BookRate,1656)*(1+'5. Scenarios'!$B$10)*$D1661)</f>
        <v/>
      </c>
      <c r="F1661" s="57" t="str">
        <f aca="false">IF($E1661="","",SUMIFS($E$6:$E$2405,$A$6:$A$2405,"&lt;="&amp;$A1661))</f>
        <v/>
      </c>
      <c r="G1661" s="57" t="str">
        <f aca="false">IF($E1661="","",IF($F1661&lt;=BankCostEnvelope*'5. Scenarios'!$B$7,1,0))</f>
        <v/>
      </c>
      <c r="H1661" s="57" t="str">
        <f aca="false">IF($D1661="","",INDEX(BookRate,1656)*(1+'5. Scenarios'!$B$10)*(INDEX(BookQ1,1656)*(5-MIN(4,1+'5. Scenarios'!$B$8))/4+INDEX(BookQ2,1656)*(5-MIN(4,2+'5. Scenarios'!$B$8))/4+INDEX(BookQ3,1656)*(5-MIN(4,3+'5. Scenarios'!$B$8))/4+INDEX(BookQ4,1656)*(5-MIN(4,4+'5. Scenarios'!$B$8))/4)*'5. Scenarios'!$B$6/(1+ProductivityDefault*('5. Scenarios'!$B$11-1))+INDEX(BookOneOff,1656)*$D1661)</f>
        <v/>
      </c>
      <c r="I1661" s="56" t="str">
        <f aca="false">IF(INDEX(BookTitle,1656)="","",INDEX(BookTotal,1656)*'5. Scenarios'!$C$6/(1+ProductivityDefault*('5. Scenarios'!$C$11-1)))</f>
        <v/>
      </c>
      <c r="J1661" s="57" t="str">
        <f aca="false">IF($I1661="","",INDEX(BookRate,1656)*(1+'5. Scenarios'!$C$10)*$I1661)</f>
        <v/>
      </c>
      <c r="K1661" s="57" t="str">
        <f aca="false">IF($J1661="","",SUMIFS($J$6:$J$2405,$A$6:$A$2405,"&lt;="&amp;$A1661))</f>
        <v/>
      </c>
      <c r="L1661" s="57" t="str">
        <f aca="false">IF($J1661="","",IF($K1661&lt;=BankCostEnvelope*'5. Scenarios'!$C$7,1,0))</f>
        <v/>
      </c>
      <c r="M1661" s="57" t="str">
        <f aca="false">IF($I1661="","",INDEX(BookRate,1656)*(1+'5. Scenarios'!$C$10)*(INDEX(BookQ1,1656)*(5-MIN(4,1+'5. Scenarios'!$C$8))/4+INDEX(BookQ2,1656)*(5-MIN(4,2+'5. Scenarios'!$C$8))/4+INDEX(BookQ3,1656)*(5-MIN(4,3+'5. Scenarios'!$C$8))/4+INDEX(BookQ4,1656)*(5-MIN(4,4+'5. Scenarios'!$C$8))/4)*'5. Scenarios'!$C$6/(1+ProductivityDefault*('5. Scenarios'!$C$11-1))+INDEX(BookOneOff,1656)*$I1661)</f>
        <v/>
      </c>
      <c r="N1661" s="56" t="str">
        <f aca="false">IF(INDEX(BookTitle,1656)="","",INDEX(BookTotal,1656)*'5. Scenarios'!$D$6/(1+ProductivityDefault*('5. Scenarios'!$D$11-1)))</f>
        <v/>
      </c>
      <c r="O1661" s="57" t="str">
        <f aca="false">IF($N1661="","",INDEX(BookRate,1656)*(1+'5. Scenarios'!$D$10)*$N1661)</f>
        <v/>
      </c>
      <c r="P1661" s="57" t="str">
        <f aca="false">IF($O1661="","",SUMIFS($O$6:$O$2405,$A$6:$A$2405,"&lt;="&amp;$A1661))</f>
        <v/>
      </c>
      <c r="Q1661" s="57" t="str">
        <f aca="false">IF($O1661="","",IF($P1661&lt;=BankCostEnvelope*'5. Scenarios'!$D$7,1,0))</f>
        <v/>
      </c>
      <c r="R1661" s="57" t="str">
        <f aca="false">IF($N1661="","",INDEX(BookRate,1656)*(1+'5. Scenarios'!$D$10)*(INDEX(BookQ1,1656)*(5-MIN(4,1+'5. Scenarios'!$D$8))/4+INDEX(BookQ2,1656)*(5-MIN(4,2+'5. Scenarios'!$D$8))/4+INDEX(BookQ3,1656)*(5-MIN(4,3+'5. Scenarios'!$D$8))/4+INDEX(BookQ4,1656)*(5-MIN(4,4+'5. Scenarios'!$D$8))/4)*'5. Scenarios'!$D$6/(1+ProductivityDefault*('5. Scenarios'!$D$11-1))+INDEX(BookOneOff,1656)*$N1661)</f>
        <v/>
      </c>
      <c r="S1661" s="56" t="str">
        <f aca="false">IF(INDEX(BookTitle,1656)="","",INDEX(BookTotal,1656)*'5. Scenarios'!$E$6/(1+ProductivityDefault*('5. Scenarios'!$E$11-1)))</f>
        <v/>
      </c>
      <c r="T1661" s="57" t="str">
        <f aca="false">IF($S1661="","",INDEX(BookRate,1656)*(1+'5. Scenarios'!$E$10)*$S1661)</f>
        <v/>
      </c>
      <c r="U1661" s="57" t="str">
        <f aca="false">IF($T1661="","",SUMIFS($T$6:$T$2405,$A$6:$A$2405,"&lt;="&amp;$A1661))</f>
        <v/>
      </c>
      <c r="V1661" s="57" t="str">
        <f aca="false">IF($T1661="","",IF($U1661&lt;=BankCostEnvelope*'5. Scenarios'!$E$7,1,0))</f>
        <v/>
      </c>
      <c r="W1661" s="57" t="str">
        <f aca="false">IF($S1661="","",INDEX(BookRate,1656)*(1+'5. Scenarios'!$E$10)*(INDEX(BookQ1,1656)*(5-MIN(4,1+'5. Scenarios'!$E$8))/4+INDEX(BookQ2,1656)*(5-MIN(4,2+'5. Scenarios'!$E$8))/4+INDEX(BookQ3,1656)*(5-MIN(4,3+'5. Scenarios'!$E$8))/4+INDEX(BookQ4,1656)*(5-MIN(4,4+'5. Scenarios'!$E$8))/4)*'5. Scenarios'!$E$6/(1+ProductivityDefault*('5. Scenarios'!$E$11-1))+INDEX(BookOneOff,1656)*$S1661)</f>
        <v/>
      </c>
    </row>
    <row r="1662" customFormat="false" ht="15" hidden="false" customHeight="false" outlineLevel="0" collapsed="false">
      <c r="A1662" s="0" t="str">
        <f aca="false">IF(INDEX(BookTitle,1657)="","",INDEX(BookKey,1657))</f>
        <v/>
      </c>
      <c r="B1662" s="0" t="str">
        <f aca="false">IF(INDEX(BookTitle,1657)="","",INDEX(BookGroup,1657))</f>
        <v/>
      </c>
      <c r="C1662" s="0" t="str">
        <f aca="false">IF(INDEX(BookTitle,1657)="","",INDEX(BookCategory,1657))</f>
        <v/>
      </c>
      <c r="D1662" s="56" t="str">
        <f aca="false">IF(INDEX(BookTitle,1657)="","",INDEX(BookTotal,1657)*'5. Scenarios'!$B$6/(1+ProductivityDefault*('5. Scenarios'!$B$11-1)))</f>
        <v/>
      </c>
      <c r="E1662" s="57" t="str">
        <f aca="false">IF($D1662="","",INDEX(BookRate,1657)*(1+'5. Scenarios'!$B$10)*$D1662)</f>
        <v/>
      </c>
      <c r="F1662" s="57" t="str">
        <f aca="false">IF($E1662="","",SUMIFS($E$6:$E$2405,$A$6:$A$2405,"&lt;="&amp;$A1662))</f>
        <v/>
      </c>
      <c r="G1662" s="57" t="str">
        <f aca="false">IF($E1662="","",IF($F1662&lt;=BankCostEnvelope*'5. Scenarios'!$B$7,1,0))</f>
        <v/>
      </c>
      <c r="H1662" s="57" t="str">
        <f aca="false">IF($D1662="","",INDEX(BookRate,1657)*(1+'5. Scenarios'!$B$10)*(INDEX(BookQ1,1657)*(5-MIN(4,1+'5. Scenarios'!$B$8))/4+INDEX(BookQ2,1657)*(5-MIN(4,2+'5. Scenarios'!$B$8))/4+INDEX(BookQ3,1657)*(5-MIN(4,3+'5. Scenarios'!$B$8))/4+INDEX(BookQ4,1657)*(5-MIN(4,4+'5. Scenarios'!$B$8))/4)*'5. Scenarios'!$B$6/(1+ProductivityDefault*('5. Scenarios'!$B$11-1))+INDEX(BookOneOff,1657)*$D1662)</f>
        <v/>
      </c>
      <c r="I1662" s="56" t="str">
        <f aca="false">IF(INDEX(BookTitle,1657)="","",INDEX(BookTotal,1657)*'5. Scenarios'!$C$6/(1+ProductivityDefault*('5. Scenarios'!$C$11-1)))</f>
        <v/>
      </c>
      <c r="J1662" s="57" t="str">
        <f aca="false">IF($I1662="","",INDEX(BookRate,1657)*(1+'5. Scenarios'!$C$10)*$I1662)</f>
        <v/>
      </c>
      <c r="K1662" s="57" t="str">
        <f aca="false">IF($J1662="","",SUMIFS($J$6:$J$2405,$A$6:$A$2405,"&lt;="&amp;$A1662))</f>
        <v/>
      </c>
      <c r="L1662" s="57" t="str">
        <f aca="false">IF($J1662="","",IF($K1662&lt;=BankCostEnvelope*'5. Scenarios'!$C$7,1,0))</f>
        <v/>
      </c>
      <c r="M1662" s="57" t="str">
        <f aca="false">IF($I1662="","",INDEX(BookRate,1657)*(1+'5. Scenarios'!$C$10)*(INDEX(BookQ1,1657)*(5-MIN(4,1+'5. Scenarios'!$C$8))/4+INDEX(BookQ2,1657)*(5-MIN(4,2+'5. Scenarios'!$C$8))/4+INDEX(BookQ3,1657)*(5-MIN(4,3+'5. Scenarios'!$C$8))/4+INDEX(BookQ4,1657)*(5-MIN(4,4+'5. Scenarios'!$C$8))/4)*'5. Scenarios'!$C$6/(1+ProductivityDefault*('5. Scenarios'!$C$11-1))+INDEX(BookOneOff,1657)*$I1662)</f>
        <v/>
      </c>
      <c r="N1662" s="56" t="str">
        <f aca="false">IF(INDEX(BookTitle,1657)="","",INDEX(BookTotal,1657)*'5. Scenarios'!$D$6/(1+ProductivityDefault*('5. Scenarios'!$D$11-1)))</f>
        <v/>
      </c>
      <c r="O1662" s="57" t="str">
        <f aca="false">IF($N1662="","",INDEX(BookRate,1657)*(1+'5. Scenarios'!$D$10)*$N1662)</f>
        <v/>
      </c>
      <c r="P1662" s="57" t="str">
        <f aca="false">IF($O1662="","",SUMIFS($O$6:$O$2405,$A$6:$A$2405,"&lt;="&amp;$A1662))</f>
        <v/>
      </c>
      <c r="Q1662" s="57" t="str">
        <f aca="false">IF($O1662="","",IF($P1662&lt;=BankCostEnvelope*'5. Scenarios'!$D$7,1,0))</f>
        <v/>
      </c>
      <c r="R1662" s="57" t="str">
        <f aca="false">IF($N1662="","",INDEX(BookRate,1657)*(1+'5. Scenarios'!$D$10)*(INDEX(BookQ1,1657)*(5-MIN(4,1+'5. Scenarios'!$D$8))/4+INDEX(BookQ2,1657)*(5-MIN(4,2+'5. Scenarios'!$D$8))/4+INDEX(BookQ3,1657)*(5-MIN(4,3+'5. Scenarios'!$D$8))/4+INDEX(BookQ4,1657)*(5-MIN(4,4+'5. Scenarios'!$D$8))/4)*'5. Scenarios'!$D$6/(1+ProductivityDefault*('5. Scenarios'!$D$11-1))+INDEX(BookOneOff,1657)*$N1662)</f>
        <v/>
      </c>
      <c r="S1662" s="56" t="str">
        <f aca="false">IF(INDEX(BookTitle,1657)="","",INDEX(BookTotal,1657)*'5. Scenarios'!$E$6/(1+ProductivityDefault*('5. Scenarios'!$E$11-1)))</f>
        <v/>
      </c>
      <c r="T1662" s="57" t="str">
        <f aca="false">IF($S1662="","",INDEX(BookRate,1657)*(1+'5. Scenarios'!$E$10)*$S1662)</f>
        <v/>
      </c>
      <c r="U1662" s="57" t="str">
        <f aca="false">IF($T1662="","",SUMIFS($T$6:$T$2405,$A$6:$A$2405,"&lt;="&amp;$A1662))</f>
        <v/>
      </c>
      <c r="V1662" s="57" t="str">
        <f aca="false">IF($T1662="","",IF($U1662&lt;=BankCostEnvelope*'5. Scenarios'!$E$7,1,0))</f>
        <v/>
      </c>
      <c r="W1662" s="57" t="str">
        <f aca="false">IF($S1662="","",INDEX(BookRate,1657)*(1+'5. Scenarios'!$E$10)*(INDEX(BookQ1,1657)*(5-MIN(4,1+'5. Scenarios'!$E$8))/4+INDEX(BookQ2,1657)*(5-MIN(4,2+'5. Scenarios'!$E$8))/4+INDEX(BookQ3,1657)*(5-MIN(4,3+'5. Scenarios'!$E$8))/4+INDEX(BookQ4,1657)*(5-MIN(4,4+'5. Scenarios'!$E$8))/4)*'5. Scenarios'!$E$6/(1+ProductivityDefault*('5. Scenarios'!$E$11-1))+INDEX(BookOneOff,1657)*$S1662)</f>
        <v/>
      </c>
    </row>
    <row r="1663" customFormat="false" ht="15" hidden="false" customHeight="false" outlineLevel="0" collapsed="false">
      <c r="A1663" s="0" t="str">
        <f aca="false">IF(INDEX(BookTitle,1658)="","",INDEX(BookKey,1658))</f>
        <v/>
      </c>
      <c r="B1663" s="0" t="str">
        <f aca="false">IF(INDEX(BookTitle,1658)="","",INDEX(BookGroup,1658))</f>
        <v/>
      </c>
      <c r="C1663" s="0" t="str">
        <f aca="false">IF(INDEX(BookTitle,1658)="","",INDEX(BookCategory,1658))</f>
        <v/>
      </c>
      <c r="D1663" s="56" t="str">
        <f aca="false">IF(INDEX(BookTitle,1658)="","",INDEX(BookTotal,1658)*'5. Scenarios'!$B$6/(1+ProductivityDefault*('5. Scenarios'!$B$11-1)))</f>
        <v/>
      </c>
      <c r="E1663" s="57" t="str">
        <f aca="false">IF($D1663="","",INDEX(BookRate,1658)*(1+'5. Scenarios'!$B$10)*$D1663)</f>
        <v/>
      </c>
      <c r="F1663" s="57" t="str">
        <f aca="false">IF($E1663="","",SUMIFS($E$6:$E$2405,$A$6:$A$2405,"&lt;="&amp;$A1663))</f>
        <v/>
      </c>
      <c r="G1663" s="57" t="str">
        <f aca="false">IF($E1663="","",IF($F1663&lt;=BankCostEnvelope*'5. Scenarios'!$B$7,1,0))</f>
        <v/>
      </c>
      <c r="H1663" s="57" t="str">
        <f aca="false">IF($D1663="","",INDEX(BookRate,1658)*(1+'5. Scenarios'!$B$10)*(INDEX(BookQ1,1658)*(5-MIN(4,1+'5. Scenarios'!$B$8))/4+INDEX(BookQ2,1658)*(5-MIN(4,2+'5. Scenarios'!$B$8))/4+INDEX(BookQ3,1658)*(5-MIN(4,3+'5. Scenarios'!$B$8))/4+INDEX(BookQ4,1658)*(5-MIN(4,4+'5. Scenarios'!$B$8))/4)*'5. Scenarios'!$B$6/(1+ProductivityDefault*('5. Scenarios'!$B$11-1))+INDEX(BookOneOff,1658)*$D1663)</f>
        <v/>
      </c>
      <c r="I1663" s="56" t="str">
        <f aca="false">IF(INDEX(BookTitle,1658)="","",INDEX(BookTotal,1658)*'5. Scenarios'!$C$6/(1+ProductivityDefault*('5. Scenarios'!$C$11-1)))</f>
        <v/>
      </c>
      <c r="J1663" s="57" t="str">
        <f aca="false">IF($I1663="","",INDEX(BookRate,1658)*(1+'5. Scenarios'!$C$10)*$I1663)</f>
        <v/>
      </c>
      <c r="K1663" s="57" t="str">
        <f aca="false">IF($J1663="","",SUMIFS($J$6:$J$2405,$A$6:$A$2405,"&lt;="&amp;$A1663))</f>
        <v/>
      </c>
      <c r="L1663" s="57" t="str">
        <f aca="false">IF($J1663="","",IF($K1663&lt;=BankCostEnvelope*'5. Scenarios'!$C$7,1,0))</f>
        <v/>
      </c>
      <c r="M1663" s="57" t="str">
        <f aca="false">IF($I1663="","",INDEX(BookRate,1658)*(1+'5. Scenarios'!$C$10)*(INDEX(BookQ1,1658)*(5-MIN(4,1+'5. Scenarios'!$C$8))/4+INDEX(BookQ2,1658)*(5-MIN(4,2+'5. Scenarios'!$C$8))/4+INDEX(BookQ3,1658)*(5-MIN(4,3+'5. Scenarios'!$C$8))/4+INDEX(BookQ4,1658)*(5-MIN(4,4+'5. Scenarios'!$C$8))/4)*'5. Scenarios'!$C$6/(1+ProductivityDefault*('5. Scenarios'!$C$11-1))+INDEX(BookOneOff,1658)*$I1663)</f>
        <v/>
      </c>
      <c r="N1663" s="56" t="str">
        <f aca="false">IF(INDEX(BookTitle,1658)="","",INDEX(BookTotal,1658)*'5. Scenarios'!$D$6/(1+ProductivityDefault*('5. Scenarios'!$D$11-1)))</f>
        <v/>
      </c>
      <c r="O1663" s="57" t="str">
        <f aca="false">IF($N1663="","",INDEX(BookRate,1658)*(1+'5. Scenarios'!$D$10)*$N1663)</f>
        <v/>
      </c>
      <c r="P1663" s="57" t="str">
        <f aca="false">IF($O1663="","",SUMIFS($O$6:$O$2405,$A$6:$A$2405,"&lt;="&amp;$A1663))</f>
        <v/>
      </c>
      <c r="Q1663" s="57" t="str">
        <f aca="false">IF($O1663="","",IF($P1663&lt;=BankCostEnvelope*'5. Scenarios'!$D$7,1,0))</f>
        <v/>
      </c>
      <c r="R1663" s="57" t="str">
        <f aca="false">IF($N1663="","",INDEX(BookRate,1658)*(1+'5. Scenarios'!$D$10)*(INDEX(BookQ1,1658)*(5-MIN(4,1+'5. Scenarios'!$D$8))/4+INDEX(BookQ2,1658)*(5-MIN(4,2+'5. Scenarios'!$D$8))/4+INDEX(BookQ3,1658)*(5-MIN(4,3+'5. Scenarios'!$D$8))/4+INDEX(BookQ4,1658)*(5-MIN(4,4+'5. Scenarios'!$D$8))/4)*'5. Scenarios'!$D$6/(1+ProductivityDefault*('5. Scenarios'!$D$11-1))+INDEX(BookOneOff,1658)*$N1663)</f>
        <v/>
      </c>
      <c r="S1663" s="56" t="str">
        <f aca="false">IF(INDEX(BookTitle,1658)="","",INDEX(BookTotal,1658)*'5. Scenarios'!$E$6/(1+ProductivityDefault*('5. Scenarios'!$E$11-1)))</f>
        <v/>
      </c>
      <c r="T1663" s="57" t="str">
        <f aca="false">IF($S1663="","",INDEX(BookRate,1658)*(1+'5. Scenarios'!$E$10)*$S1663)</f>
        <v/>
      </c>
      <c r="U1663" s="57" t="str">
        <f aca="false">IF($T1663="","",SUMIFS($T$6:$T$2405,$A$6:$A$2405,"&lt;="&amp;$A1663))</f>
        <v/>
      </c>
      <c r="V1663" s="57" t="str">
        <f aca="false">IF($T1663="","",IF($U1663&lt;=BankCostEnvelope*'5. Scenarios'!$E$7,1,0))</f>
        <v/>
      </c>
      <c r="W1663" s="57" t="str">
        <f aca="false">IF($S1663="","",INDEX(BookRate,1658)*(1+'5. Scenarios'!$E$10)*(INDEX(BookQ1,1658)*(5-MIN(4,1+'5. Scenarios'!$E$8))/4+INDEX(BookQ2,1658)*(5-MIN(4,2+'5. Scenarios'!$E$8))/4+INDEX(BookQ3,1658)*(5-MIN(4,3+'5. Scenarios'!$E$8))/4+INDEX(BookQ4,1658)*(5-MIN(4,4+'5. Scenarios'!$E$8))/4)*'5. Scenarios'!$E$6/(1+ProductivityDefault*('5. Scenarios'!$E$11-1))+INDEX(BookOneOff,1658)*$S1663)</f>
        <v/>
      </c>
    </row>
    <row r="1664" customFormat="false" ht="15" hidden="false" customHeight="false" outlineLevel="0" collapsed="false">
      <c r="A1664" s="0" t="str">
        <f aca="false">IF(INDEX(BookTitle,1659)="","",INDEX(BookKey,1659))</f>
        <v/>
      </c>
      <c r="B1664" s="0" t="str">
        <f aca="false">IF(INDEX(BookTitle,1659)="","",INDEX(BookGroup,1659))</f>
        <v/>
      </c>
      <c r="C1664" s="0" t="str">
        <f aca="false">IF(INDEX(BookTitle,1659)="","",INDEX(BookCategory,1659))</f>
        <v/>
      </c>
      <c r="D1664" s="56" t="str">
        <f aca="false">IF(INDEX(BookTitle,1659)="","",INDEX(BookTotal,1659)*'5. Scenarios'!$B$6/(1+ProductivityDefault*('5. Scenarios'!$B$11-1)))</f>
        <v/>
      </c>
      <c r="E1664" s="57" t="str">
        <f aca="false">IF($D1664="","",INDEX(BookRate,1659)*(1+'5. Scenarios'!$B$10)*$D1664)</f>
        <v/>
      </c>
      <c r="F1664" s="57" t="str">
        <f aca="false">IF($E1664="","",SUMIFS($E$6:$E$2405,$A$6:$A$2405,"&lt;="&amp;$A1664))</f>
        <v/>
      </c>
      <c r="G1664" s="57" t="str">
        <f aca="false">IF($E1664="","",IF($F1664&lt;=BankCostEnvelope*'5. Scenarios'!$B$7,1,0))</f>
        <v/>
      </c>
      <c r="H1664" s="57" t="str">
        <f aca="false">IF($D1664="","",INDEX(BookRate,1659)*(1+'5. Scenarios'!$B$10)*(INDEX(BookQ1,1659)*(5-MIN(4,1+'5. Scenarios'!$B$8))/4+INDEX(BookQ2,1659)*(5-MIN(4,2+'5. Scenarios'!$B$8))/4+INDEX(BookQ3,1659)*(5-MIN(4,3+'5. Scenarios'!$B$8))/4+INDEX(BookQ4,1659)*(5-MIN(4,4+'5. Scenarios'!$B$8))/4)*'5. Scenarios'!$B$6/(1+ProductivityDefault*('5. Scenarios'!$B$11-1))+INDEX(BookOneOff,1659)*$D1664)</f>
        <v/>
      </c>
      <c r="I1664" s="56" t="str">
        <f aca="false">IF(INDEX(BookTitle,1659)="","",INDEX(BookTotal,1659)*'5. Scenarios'!$C$6/(1+ProductivityDefault*('5. Scenarios'!$C$11-1)))</f>
        <v/>
      </c>
      <c r="J1664" s="57" t="str">
        <f aca="false">IF($I1664="","",INDEX(BookRate,1659)*(1+'5. Scenarios'!$C$10)*$I1664)</f>
        <v/>
      </c>
      <c r="K1664" s="57" t="str">
        <f aca="false">IF($J1664="","",SUMIFS($J$6:$J$2405,$A$6:$A$2405,"&lt;="&amp;$A1664))</f>
        <v/>
      </c>
      <c r="L1664" s="57" t="str">
        <f aca="false">IF($J1664="","",IF($K1664&lt;=BankCostEnvelope*'5. Scenarios'!$C$7,1,0))</f>
        <v/>
      </c>
      <c r="M1664" s="57" t="str">
        <f aca="false">IF($I1664="","",INDEX(BookRate,1659)*(1+'5. Scenarios'!$C$10)*(INDEX(BookQ1,1659)*(5-MIN(4,1+'5. Scenarios'!$C$8))/4+INDEX(BookQ2,1659)*(5-MIN(4,2+'5. Scenarios'!$C$8))/4+INDEX(BookQ3,1659)*(5-MIN(4,3+'5. Scenarios'!$C$8))/4+INDEX(BookQ4,1659)*(5-MIN(4,4+'5. Scenarios'!$C$8))/4)*'5. Scenarios'!$C$6/(1+ProductivityDefault*('5. Scenarios'!$C$11-1))+INDEX(BookOneOff,1659)*$I1664)</f>
        <v/>
      </c>
      <c r="N1664" s="56" t="str">
        <f aca="false">IF(INDEX(BookTitle,1659)="","",INDEX(BookTotal,1659)*'5. Scenarios'!$D$6/(1+ProductivityDefault*('5. Scenarios'!$D$11-1)))</f>
        <v/>
      </c>
      <c r="O1664" s="57" t="str">
        <f aca="false">IF($N1664="","",INDEX(BookRate,1659)*(1+'5. Scenarios'!$D$10)*$N1664)</f>
        <v/>
      </c>
      <c r="P1664" s="57" t="str">
        <f aca="false">IF($O1664="","",SUMIFS($O$6:$O$2405,$A$6:$A$2405,"&lt;="&amp;$A1664))</f>
        <v/>
      </c>
      <c r="Q1664" s="57" t="str">
        <f aca="false">IF($O1664="","",IF($P1664&lt;=BankCostEnvelope*'5. Scenarios'!$D$7,1,0))</f>
        <v/>
      </c>
      <c r="R1664" s="57" t="str">
        <f aca="false">IF($N1664="","",INDEX(BookRate,1659)*(1+'5. Scenarios'!$D$10)*(INDEX(BookQ1,1659)*(5-MIN(4,1+'5. Scenarios'!$D$8))/4+INDEX(BookQ2,1659)*(5-MIN(4,2+'5. Scenarios'!$D$8))/4+INDEX(BookQ3,1659)*(5-MIN(4,3+'5. Scenarios'!$D$8))/4+INDEX(BookQ4,1659)*(5-MIN(4,4+'5. Scenarios'!$D$8))/4)*'5. Scenarios'!$D$6/(1+ProductivityDefault*('5. Scenarios'!$D$11-1))+INDEX(BookOneOff,1659)*$N1664)</f>
        <v/>
      </c>
      <c r="S1664" s="56" t="str">
        <f aca="false">IF(INDEX(BookTitle,1659)="","",INDEX(BookTotal,1659)*'5. Scenarios'!$E$6/(1+ProductivityDefault*('5. Scenarios'!$E$11-1)))</f>
        <v/>
      </c>
      <c r="T1664" s="57" t="str">
        <f aca="false">IF($S1664="","",INDEX(BookRate,1659)*(1+'5. Scenarios'!$E$10)*$S1664)</f>
        <v/>
      </c>
      <c r="U1664" s="57" t="str">
        <f aca="false">IF($T1664="","",SUMIFS($T$6:$T$2405,$A$6:$A$2405,"&lt;="&amp;$A1664))</f>
        <v/>
      </c>
      <c r="V1664" s="57" t="str">
        <f aca="false">IF($T1664="","",IF($U1664&lt;=BankCostEnvelope*'5. Scenarios'!$E$7,1,0))</f>
        <v/>
      </c>
      <c r="W1664" s="57" t="str">
        <f aca="false">IF($S1664="","",INDEX(BookRate,1659)*(1+'5. Scenarios'!$E$10)*(INDEX(BookQ1,1659)*(5-MIN(4,1+'5. Scenarios'!$E$8))/4+INDEX(BookQ2,1659)*(5-MIN(4,2+'5. Scenarios'!$E$8))/4+INDEX(BookQ3,1659)*(5-MIN(4,3+'5. Scenarios'!$E$8))/4+INDEX(BookQ4,1659)*(5-MIN(4,4+'5. Scenarios'!$E$8))/4)*'5. Scenarios'!$E$6/(1+ProductivityDefault*('5. Scenarios'!$E$11-1))+INDEX(BookOneOff,1659)*$S1664)</f>
        <v/>
      </c>
    </row>
    <row r="1665" customFormat="false" ht="15" hidden="false" customHeight="false" outlineLevel="0" collapsed="false">
      <c r="A1665" s="0" t="str">
        <f aca="false">IF(INDEX(BookTitle,1660)="","",INDEX(BookKey,1660))</f>
        <v/>
      </c>
      <c r="B1665" s="0" t="str">
        <f aca="false">IF(INDEX(BookTitle,1660)="","",INDEX(BookGroup,1660))</f>
        <v/>
      </c>
      <c r="C1665" s="0" t="str">
        <f aca="false">IF(INDEX(BookTitle,1660)="","",INDEX(BookCategory,1660))</f>
        <v/>
      </c>
      <c r="D1665" s="56" t="str">
        <f aca="false">IF(INDEX(BookTitle,1660)="","",INDEX(BookTotal,1660)*'5. Scenarios'!$B$6/(1+ProductivityDefault*('5. Scenarios'!$B$11-1)))</f>
        <v/>
      </c>
      <c r="E1665" s="57" t="str">
        <f aca="false">IF($D1665="","",INDEX(BookRate,1660)*(1+'5. Scenarios'!$B$10)*$D1665)</f>
        <v/>
      </c>
      <c r="F1665" s="57" t="str">
        <f aca="false">IF($E1665="","",SUMIFS($E$6:$E$2405,$A$6:$A$2405,"&lt;="&amp;$A1665))</f>
        <v/>
      </c>
      <c r="G1665" s="57" t="str">
        <f aca="false">IF($E1665="","",IF($F1665&lt;=BankCostEnvelope*'5. Scenarios'!$B$7,1,0))</f>
        <v/>
      </c>
      <c r="H1665" s="57" t="str">
        <f aca="false">IF($D1665="","",INDEX(BookRate,1660)*(1+'5. Scenarios'!$B$10)*(INDEX(BookQ1,1660)*(5-MIN(4,1+'5. Scenarios'!$B$8))/4+INDEX(BookQ2,1660)*(5-MIN(4,2+'5. Scenarios'!$B$8))/4+INDEX(BookQ3,1660)*(5-MIN(4,3+'5. Scenarios'!$B$8))/4+INDEX(BookQ4,1660)*(5-MIN(4,4+'5. Scenarios'!$B$8))/4)*'5. Scenarios'!$B$6/(1+ProductivityDefault*('5. Scenarios'!$B$11-1))+INDEX(BookOneOff,1660)*$D1665)</f>
        <v/>
      </c>
      <c r="I1665" s="56" t="str">
        <f aca="false">IF(INDEX(BookTitle,1660)="","",INDEX(BookTotal,1660)*'5. Scenarios'!$C$6/(1+ProductivityDefault*('5. Scenarios'!$C$11-1)))</f>
        <v/>
      </c>
      <c r="J1665" s="57" t="str">
        <f aca="false">IF($I1665="","",INDEX(BookRate,1660)*(1+'5. Scenarios'!$C$10)*$I1665)</f>
        <v/>
      </c>
      <c r="K1665" s="57" t="str">
        <f aca="false">IF($J1665="","",SUMIFS($J$6:$J$2405,$A$6:$A$2405,"&lt;="&amp;$A1665))</f>
        <v/>
      </c>
      <c r="L1665" s="57" t="str">
        <f aca="false">IF($J1665="","",IF($K1665&lt;=BankCostEnvelope*'5. Scenarios'!$C$7,1,0))</f>
        <v/>
      </c>
      <c r="M1665" s="57" t="str">
        <f aca="false">IF($I1665="","",INDEX(BookRate,1660)*(1+'5. Scenarios'!$C$10)*(INDEX(BookQ1,1660)*(5-MIN(4,1+'5. Scenarios'!$C$8))/4+INDEX(BookQ2,1660)*(5-MIN(4,2+'5. Scenarios'!$C$8))/4+INDEX(BookQ3,1660)*(5-MIN(4,3+'5. Scenarios'!$C$8))/4+INDEX(BookQ4,1660)*(5-MIN(4,4+'5. Scenarios'!$C$8))/4)*'5. Scenarios'!$C$6/(1+ProductivityDefault*('5. Scenarios'!$C$11-1))+INDEX(BookOneOff,1660)*$I1665)</f>
        <v/>
      </c>
      <c r="N1665" s="56" t="str">
        <f aca="false">IF(INDEX(BookTitle,1660)="","",INDEX(BookTotal,1660)*'5. Scenarios'!$D$6/(1+ProductivityDefault*('5. Scenarios'!$D$11-1)))</f>
        <v/>
      </c>
      <c r="O1665" s="57" t="str">
        <f aca="false">IF($N1665="","",INDEX(BookRate,1660)*(1+'5. Scenarios'!$D$10)*$N1665)</f>
        <v/>
      </c>
      <c r="P1665" s="57" t="str">
        <f aca="false">IF($O1665="","",SUMIFS($O$6:$O$2405,$A$6:$A$2405,"&lt;="&amp;$A1665))</f>
        <v/>
      </c>
      <c r="Q1665" s="57" t="str">
        <f aca="false">IF($O1665="","",IF($P1665&lt;=BankCostEnvelope*'5. Scenarios'!$D$7,1,0))</f>
        <v/>
      </c>
      <c r="R1665" s="57" t="str">
        <f aca="false">IF($N1665="","",INDEX(BookRate,1660)*(1+'5. Scenarios'!$D$10)*(INDEX(BookQ1,1660)*(5-MIN(4,1+'5. Scenarios'!$D$8))/4+INDEX(BookQ2,1660)*(5-MIN(4,2+'5. Scenarios'!$D$8))/4+INDEX(BookQ3,1660)*(5-MIN(4,3+'5. Scenarios'!$D$8))/4+INDEX(BookQ4,1660)*(5-MIN(4,4+'5. Scenarios'!$D$8))/4)*'5. Scenarios'!$D$6/(1+ProductivityDefault*('5. Scenarios'!$D$11-1))+INDEX(BookOneOff,1660)*$N1665)</f>
        <v/>
      </c>
      <c r="S1665" s="56" t="str">
        <f aca="false">IF(INDEX(BookTitle,1660)="","",INDEX(BookTotal,1660)*'5. Scenarios'!$E$6/(1+ProductivityDefault*('5. Scenarios'!$E$11-1)))</f>
        <v/>
      </c>
      <c r="T1665" s="57" t="str">
        <f aca="false">IF($S1665="","",INDEX(BookRate,1660)*(1+'5. Scenarios'!$E$10)*$S1665)</f>
        <v/>
      </c>
      <c r="U1665" s="57" t="str">
        <f aca="false">IF($T1665="","",SUMIFS($T$6:$T$2405,$A$6:$A$2405,"&lt;="&amp;$A1665))</f>
        <v/>
      </c>
      <c r="V1665" s="57" t="str">
        <f aca="false">IF($T1665="","",IF($U1665&lt;=BankCostEnvelope*'5. Scenarios'!$E$7,1,0))</f>
        <v/>
      </c>
      <c r="W1665" s="57" t="str">
        <f aca="false">IF($S1665="","",INDEX(BookRate,1660)*(1+'5. Scenarios'!$E$10)*(INDEX(BookQ1,1660)*(5-MIN(4,1+'5. Scenarios'!$E$8))/4+INDEX(BookQ2,1660)*(5-MIN(4,2+'5. Scenarios'!$E$8))/4+INDEX(BookQ3,1660)*(5-MIN(4,3+'5. Scenarios'!$E$8))/4+INDEX(BookQ4,1660)*(5-MIN(4,4+'5. Scenarios'!$E$8))/4)*'5. Scenarios'!$E$6/(1+ProductivityDefault*('5. Scenarios'!$E$11-1))+INDEX(BookOneOff,1660)*$S1665)</f>
        <v/>
      </c>
    </row>
    <row r="1666" customFormat="false" ht="15" hidden="false" customHeight="false" outlineLevel="0" collapsed="false">
      <c r="A1666" s="0" t="str">
        <f aca="false">IF(INDEX(BookTitle,1661)="","",INDEX(BookKey,1661))</f>
        <v/>
      </c>
      <c r="B1666" s="0" t="str">
        <f aca="false">IF(INDEX(BookTitle,1661)="","",INDEX(BookGroup,1661))</f>
        <v/>
      </c>
      <c r="C1666" s="0" t="str">
        <f aca="false">IF(INDEX(BookTitle,1661)="","",INDEX(BookCategory,1661))</f>
        <v/>
      </c>
      <c r="D1666" s="56" t="str">
        <f aca="false">IF(INDEX(BookTitle,1661)="","",INDEX(BookTotal,1661)*'5. Scenarios'!$B$6/(1+ProductivityDefault*('5. Scenarios'!$B$11-1)))</f>
        <v/>
      </c>
      <c r="E1666" s="57" t="str">
        <f aca="false">IF($D1666="","",INDEX(BookRate,1661)*(1+'5. Scenarios'!$B$10)*$D1666)</f>
        <v/>
      </c>
      <c r="F1666" s="57" t="str">
        <f aca="false">IF($E1666="","",SUMIFS($E$6:$E$2405,$A$6:$A$2405,"&lt;="&amp;$A1666))</f>
        <v/>
      </c>
      <c r="G1666" s="57" t="str">
        <f aca="false">IF($E1666="","",IF($F1666&lt;=BankCostEnvelope*'5. Scenarios'!$B$7,1,0))</f>
        <v/>
      </c>
      <c r="H1666" s="57" t="str">
        <f aca="false">IF($D1666="","",INDEX(BookRate,1661)*(1+'5. Scenarios'!$B$10)*(INDEX(BookQ1,1661)*(5-MIN(4,1+'5. Scenarios'!$B$8))/4+INDEX(BookQ2,1661)*(5-MIN(4,2+'5. Scenarios'!$B$8))/4+INDEX(BookQ3,1661)*(5-MIN(4,3+'5. Scenarios'!$B$8))/4+INDEX(BookQ4,1661)*(5-MIN(4,4+'5. Scenarios'!$B$8))/4)*'5. Scenarios'!$B$6/(1+ProductivityDefault*('5. Scenarios'!$B$11-1))+INDEX(BookOneOff,1661)*$D1666)</f>
        <v/>
      </c>
      <c r="I1666" s="56" t="str">
        <f aca="false">IF(INDEX(BookTitle,1661)="","",INDEX(BookTotal,1661)*'5. Scenarios'!$C$6/(1+ProductivityDefault*('5. Scenarios'!$C$11-1)))</f>
        <v/>
      </c>
      <c r="J1666" s="57" t="str">
        <f aca="false">IF($I1666="","",INDEX(BookRate,1661)*(1+'5. Scenarios'!$C$10)*$I1666)</f>
        <v/>
      </c>
      <c r="K1666" s="57" t="str">
        <f aca="false">IF($J1666="","",SUMIFS($J$6:$J$2405,$A$6:$A$2405,"&lt;="&amp;$A1666))</f>
        <v/>
      </c>
      <c r="L1666" s="57" t="str">
        <f aca="false">IF($J1666="","",IF($K1666&lt;=BankCostEnvelope*'5. Scenarios'!$C$7,1,0))</f>
        <v/>
      </c>
      <c r="M1666" s="57" t="str">
        <f aca="false">IF($I1666="","",INDEX(BookRate,1661)*(1+'5. Scenarios'!$C$10)*(INDEX(BookQ1,1661)*(5-MIN(4,1+'5. Scenarios'!$C$8))/4+INDEX(BookQ2,1661)*(5-MIN(4,2+'5. Scenarios'!$C$8))/4+INDEX(BookQ3,1661)*(5-MIN(4,3+'5. Scenarios'!$C$8))/4+INDEX(BookQ4,1661)*(5-MIN(4,4+'5. Scenarios'!$C$8))/4)*'5. Scenarios'!$C$6/(1+ProductivityDefault*('5. Scenarios'!$C$11-1))+INDEX(BookOneOff,1661)*$I1666)</f>
        <v/>
      </c>
      <c r="N1666" s="56" t="str">
        <f aca="false">IF(INDEX(BookTitle,1661)="","",INDEX(BookTotal,1661)*'5. Scenarios'!$D$6/(1+ProductivityDefault*('5. Scenarios'!$D$11-1)))</f>
        <v/>
      </c>
      <c r="O1666" s="57" t="str">
        <f aca="false">IF($N1666="","",INDEX(BookRate,1661)*(1+'5. Scenarios'!$D$10)*$N1666)</f>
        <v/>
      </c>
      <c r="P1666" s="57" t="str">
        <f aca="false">IF($O1666="","",SUMIFS($O$6:$O$2405,$A$6:$A$2405,"&lt;="&amp;$A1666))</f>
        <v/>
      </c>
      <c r="Q1666" s="57" t="str">
        <f aca="false">IF($O1666="","",IF($P1666&lt;=BankCostEnvelope*'5. Scenarios'!$D$7,1,0))</f>
        <v/>
      </c>
      <c r="R1666" s="57" t="str">
        <f aca="false">IF($N1666="","",INDEX(BookRate,1661)*(1+'5. Scenarios'!$D$10)*(INDEX(BookQ1,1661)*(5-MIN(4,1+'5. Scenarios'!$D$8))/4+INDEX(BookQ2,1661)*(5-MIN(4,2+'5. Scenarios'!$D$8))/4+INDEX(BookQ3,1661)*(5-MIN(4,3+'5. Scenarios'!$D$8))/4+INDEX(BookQ4,1661)*(5-MIN(4,4+'5. Scenarios'!$D$8))/4)*'5. Scenarios'!$D$6/(1+ProductivityDefault*('5. Scenarios'!$D$11-1))+INDEX(BookOneOff,1661)*$N1666)</f>
        <v/>
      </c>
      <c r="S1666" s="56" t="str">
        <f aca="false">IF(INDEX(BookTitle,1661)="","",INDEX(BookTotal,1661)*'5. Scenarios'!$E$6/(1+ProductivityDefault*('5. Scenarios'!$E$11-1)))</f>
        <v/>
      </c>
      <c r="T1666" s="57" t="str">
        <f aca="false">IF($S1666="","",INDEX(BookRate,1661)*(1+'5. Scenarios'!$E$10)*$S1666)</f>
        <v/>
      </c>
      <c r="U1666" s="57" t="str">
        <f aca="false">IF($T1666="","",SUMIFS($T$6:$T$2405,$A$6:$A$2405,"&lt;="&amp;$A1666))</f>
        <v/>
      </c>
      <c r="V1666" s="57" t="str">
        <f aca="false">IF($T1666="","",IF($U1666&lt;=BankCostEnvelope*'5. Scenarios'!$E$7,1,0))</f>
        <v/>
      </c>
      <c r="W1666" s="57" t="str">
        <f aca="false">IF($S1666="","",INDEX(BookRate,1661)*(1+'5. Scenarios'!$E$10)*(INDEX(BookQ1,1661)*(5-MIN(4,1+'5. Scenarios'!$E$8))/4+INDEX(BookQ2,1661)*(5-MIN(4,2+'5. Scenarios'!$E$8))/4+INDEX(BookQ3,1661)*(5-MIN(4,3+'5. Scenarios'!$E$8))/4+INDEX(BookQ4,1661)*(5-MIN(4,4+'5. Scenarios'!$E$8))/4)*'5. Scenarios'!$E$6/(1+ProductivityDefault*('5. Scenarios'!$E$11-1))+INDEX(BookOneOff,1661)*$S1666)</f>
        <v/>
      </c>
    </row>
    <row r="1667" customFormat="false" ht="15" hidden="false" customHeight="false" outlineLevel="0" collapsed="false">
      <c r="A1667" s="0" t="str">
        <f aca="false">IF(INDEX(BookTitle,1662)="","",INDEX(BookKey,1662))</f>
        <v/>
      </c>
      <c r="B1667" s="0" t="str">
        <f aca="false">IF(INDEX(BookTitle,1662)="","",INDEX(BookGroup,1662))</f>
        <v/>
      </c>
      <c r="C1667" s="0" t="str">
        <f aca="false">IF(INDEX(BookTitle,1662)="","",INDEX(BookCategory,1662))</f>
        <v/>
      </c>
      <c r="D1667" s="56" t="str">
        <f aca="false">IF(INDEX(BookTitle,1662)="","",INDEX(BookTotal,1662)*'5. Scenarios'!$B$6/(1+ProductivityDefault*('5. Scenarios'!$B$11-1)))</f>
        <v/>
      </c>
      <c r="E1667" s="57" t="str">
        <f aca="false">IF($D1667="","",INDEX(BookRate,1662)*(1+'5. Scenarios'!$B$10)*$D1667)</f>
        <v/>
      </c>
      <c r="F1667" s="57" t="str">
        <f aca="false">IF($E1667="","",SUMIFS($E$6:$E$2405,$A$6:$A$2405,"&lt;="&amp;$A1667))</f>
        <v/>
      </c>
      <c r="G1667" s="57" t="str">
        <f aca="false">IF($E1667="","",IF($F1667&lt;=BankCostEnvelope*'5. Scenarios'!$B$7,1,0))</f>
        <v/>
      </c>
      <c r="H1667" s="57" t="str">
        <f aca="false">IF($D1667="","",INDEX(BookRate,1662)*(1+'5. Scenarios'!$B$10)*(INDEX(BookQ1,1662)*(5-MIN(4,1+'5. Scenarios'!$B$8))/4+INDEX(BookQ2,1662)*(5-MIN(4,2+'5. Scenarios'!$B$8))/4+INDEX(BookQ3,1662)*(5-MIN(4,3+'5. Scenarios'!$B$8))/4+INDEX(BookQ4,1662)*(5-MIN(4,4+'5. Scenarios'!$B$8))/4)*'5. Scenarios'!$B$6/(1+ProductivityDefault*('5. Scenarios'!$B$11-1))+INDEX(BookOneOff,1662)*$D1667)</f>
        <v/>
      </c>
      <c r="I1667" s="56" t="str">
        <f aca="false">IF(INDEX(BookTitle,1662)="","",INDEX(BookTotal,1662)*'5. Scenarios'!$C$6/(1+ProductivityDefault*('5. Scenarios'!$C$11-1)))</f>
        <v/>
      </c>
      <c r="J1667" s="57" t="str">
        <f aca="false">IF($I1667="","",INDEX(BookRate,1662)*(1+'5. Scenarios'!$C$10)*$I1667)</f>
        <v/>
      </c>
      <c r="K1667" s="57" t="str">
        <f aca="false">IF($J1667="","",SUMIFS($J$6:$J$2405,$A$6:$A$2405,"&lt;="&amp;$A1667))</f>
        <v/>
      </c>
      <c r="L1667" s="57" t="str">
        <f aca="false">IF($J1667="","",IF($K1667&lt;=BankCostEnvelope*'5. Scenarios'!$C$7,1,0))</f>
        <v/>
      </c>
      <c r="M1667" s="57" t="str">
        <f aca="false">IF($I1667="","",INDEX(BookRate,1662)*(1+'5. Scenarios'!$C$10)*(INDEX(BookQ1,1662)*(5-MIN(4,1+'5. Scenarios'!$C$8))/4+INDEX(BookQ2,1662)*(5-MIN(4,2+'5. Scenarios'!$C$8))/4+INDEX(BookQ3,1662)*(5-MIN(4,3+'5. Scenarios'!$C$8))/4+INDEX(BookQ4,1662)*(5-MIN(4,4+'5. Scenarios'!$C$8))/4)*'5. Scenarios'!$C$6/(1+ProductivityDefault*('5. Scenarios'!$C$11-1))+INDEX(BookOneOff,1662)*$I1667)</f>
        <v/>
      </c>
      <c r="N1667" s="56" t="str">
        <f aca="false">IF(INDEX(BookTitle,1662)="","",INDEX(BookTotal,1662)*'5. Scenarios'!$D$6/(1+ProductivityDefault*('5. Scenarios'!$D$11-1)))</f>
        <v/>
      </c>
      <c r="O1667" s="57" t="str">
        <f aca="false">IF($N1667="","",INDEX(BookRate,1662)*(1+'5. Scenarios'!$D$10)*$N1667)</f>
        <v/>
      </c>
      <c r="P1667" s="57" t="str">
        <f aca="false">IF($O1667="","",SUMIFS($O$6:$O$2405,$A$6:$A$2405,"&lt;="&amp;$A1667))</f>
        <v/>
      </c>
      <c r="Q1667" s="57" t="str">
        <f aca="false">IF($O1667="","",IF($P1667&lt;=BankCostEnvelope*'5. Scenarios'!$D$7,1,0))</f>
        <v/>
      </c>
      <c r="R1667" s="57" t="str">
        <f aca="false">IF($N1667="","",INDEX(BookRate,1662)*(1+'5. Scenarios'!$D$10)*(INDEX(BookQ1,1662)*(5-MIN(4,1+'5. Scenarios'!$D$8))/4+INDEX(BookQ2,1662)*(5-MIN(4,2+'5. Scenarios'!$D$8))/4+INDEX(BookQ3,1662)*(5-MIN(4,3+'5. Scenarios'!$D$8))/4+INDEX(BookQ4,1662)*(5-MIN(4,4+'5. Scenarios'!$D$8))/4)*'5. Scenarios'!$D$6/(1+ProductivityDefault*('5. Scenarios'!$D$11-1))+INDEX(BookOneOff,1662)*$N1667)</f>
        <v/>
      </c>
      <c r="S1667" s="56" t="str">
        <f aca="false">IF(INDEX(BookTitle,1662)="","",INDEX(BookTotal,1662)*'5. Scenarios'!$E$6/(1+ProductivityDefault*('5. Scenarios'!$E$11-1)))</f>
        <v/>
      </c>
      <c r="T1667" s="57" t="str">
        <f aca="false">IF($S1667="","",INDEX(BookRate,1662)*(1+'5. Scenarios'!$E$10)*$S1667)</f>
        <v/>
      </c>
      <c r="U1667" s="57" t="str">
        <f aca="false">IF($T1667="","",SUMIFS($T$6:$T$2405,$A$6:$A$2405,"&lt;="&amp;$A1667))</f>
        <v/>
      </c>
      <c r="V1667" s="57" t="str">
        <f aca="false">IF($T1667="","",IF($U1667&lt;=BankCostEnvelope*'5. Scenarios'!$E$7,1,0))</f>
        <v/>
      </c>
      <c r="W1667" s="57" t="str">
        <f aca="false">IF($S1667="","",INDEX(BookRate,1662)*(1+'5. Scenarios'!$E$10)*(INDEX(BookQ1,1662)*(5-MIN(4,1+'5. Scenarios'!$E$8))/4+INDEX(BookQ2,1662)*(5-MIN(4,2+'5. Scenarios'!$E$8))/4+INDEX(BookQ3,1662)*(5-MIN(4,3+'5. Scenarios'!$E$8))/4+INDEX(BookQ4,1662)*(5-MIN(4,4+'5. Scenarios'!$E$8))/4)*'5. Scenarios'!$E$6/(1+ProductivityDefault*('5. Scenarios'!$E$11-1))+INDEX(BookOneOff,1662)*$S1667)</f>
        <v/>
      </c>
    </row>
    <row r="1668" customFormat="false" ht="15" hidden="false" customHeight="false" outlineLevel="0" collapsed="false">
      <c r="A1668" s="0" t="str">
        <f aca="false">IF(INDEX(BookTitle,1663)="","",INDEX(BookKey,1663))</f>
        <v/>
      </c>
      <c r="B1668" s="0" t="str">
        <f aca="false">IF(INDEX(BookTitle,1663)="","",INDEX(BookGroup,1663))</f>
        <v/>
      </c>
      <c r="C1668" s="0" t="str">
        <f aca="false">IF(INDEX(BookTitle,1663)="","",INDEX(BookCategory,1663))</f>
        <v/>
      </c>
      <c r="D1668" s="56" t="str">
        <f aca="false">IF(INDEX(BookTitle,1663)="","",INDEX(BookTotal,1663)*'5. Scenarios'!$B$6/(1+ProductivityDefault*('5. Scenarios'!$B$11-1)))</f>
        <v/>
      </c>
      <c r="E1668" s="57" t="str">
        <f aca="false">IF($D1668="","",INDEX(BookRate,1663)*(1+'5. Scenarios'!$B$10)*$D1668)</f>
        <v/>
      </c>
      <c r="F1668" s="57" t="str">
        <f aca="false">IF($E1668="","",SUMIFS($E$6:$E$2405,$A$6:$A$2405,"&lt;="&amp;$A1668))</f>
        <v/>
      </c>
      <c r="G1668" s="57" t="str">
        <f aca="false">IF($E1668="","",IF($F1668&lt;=BankCostEnvelope*'5. Scenarios'!$B$7,1,0))</f>
        <v/>
      </c>
      <c r="H1668" s="57" t="str">
        <f aca="false">IF($D1668="","",INDEX(BookRate,1663)*(1+'5. Scenarios'!$B$10)*(INDEX(BookQ1,1663)*(5-MIN(4,1+'5. Scenarios'!$B$8))/4+INDEX(BookQ2,1663)*(5-MIN(4,2+'5. Scenarios'!$B$8))/4+INDEX(BookQ3,1663)*(5-MIN(4,3+'5. Scenarios'!$B$8))/4+INDEX(BookQ4,1663)*(5-MIN(4,4+'5. Scenarios'!$B$8))/4)*'5. Scenarios'!$B$6/(1+ProductivityDefault*('5. Scenarios'!$B$11-1))+INDEX(BookOneOff,1663)*$D1668)</f>
        <v/>
      </c>
      <c r="I1668" s="56" t="str">
        <f aca="false">IF(INDEX(BookTitle,1663)="","",INDEX(BookTotal,1663)*'5. Scenarios'!$C$6/(1+ProductivityDefault*('5. Scenarios'!$C$11-1)))</f>
        <v/>
      </c>
      <c r="J1668" s="57" t="str">
        <f aca="false">IF($I1668="","",INDEX(BookRate,1663)*(1+'5. Scenarios'!$C$10)*$I1668)</f>
        <v/>
      </c>
      <c r="K1668" s="57" t="str">
        <f aca="false">IF($J1668="","",SUMIFS($J$6:$J$2405,$A$6:$A$2405,"&lt;="&amp;$A1668))</f>
        <v/>
      </c>
      <c r="L1668" s="57" t="str">
        <f aca="false">IF($J1668="","",IF($K1668&lt;=BankCostEnvelope*'5. Scenarios'!$C$7,1,0))</f>
        <v/>
      </c>
      <c r="M1668" s="57" t="str">
        <f aca="false">IF($I1668="","",INDEX(BookRate,1663)*(1+'5. Scenarios'!$C$10)*(INDEX(BookQ1,1663)*(5-MIN(4,1+'5. Scenarios'!$C$8))/4+INDEX(BookQ2,1663)*(5-MIN(4,2+'5. Scenarios'!$C$8))/4+INDEX(BookQ3,1663)*(5-MIN(4,3+'5. Scenarios'!$C$8))/4+INDEX(BookQ4,1663)*(5-MIN(4,4+'5. Scenarios'!$C$8))/4)*'5. Scenarios'!$C$6/(1+ProductivityDefault*('5. Scenarios'!$C$11-1))+INDEX(BookOneOff,1663)*$I1668)</f>
        <v/>
      </c>
      <c r="N1668" s="56" t="str">
        <f aca="false">IF(INDEX(BookTitle,1663)="","",INDEX(BookTotal,1663)*'5. Scenarios'!$D$6/(1+ProductivityDefault*('5. Scenarios'!$D$11-1)))</f>
        <v/>
      </c>
      <c r="O1668" s="57" t="str">
        <f aca="false">IF($N1668="","",INDEX(BookRate,1663)*(1+'5. Scenarios'!$D$10)*$N1668)</f>
        <v/>
      </c>
      <c r="P1668" s="57" t="str">
        <f aca="false">IF($O1668="","",SUMIFS($O$6:$O$2405,$A$6:$A$2405,"&lt;="&amp;$A1668))</f>
        <v/>
      </c>
      <c r="Q1668" s="57" t="str">
        <f aca="false">IF($O1668="","",IF($P1668&lt;=BankCostEnvelope*'5. Scenarios'!$D$7,1,0))</f>
        <v/>
      </c>
      <c r="R1668" s="57" t="str">
        <f aca="false">IF($N1668="","",INDEX(BookRate,1663)*(1+'5. Scenarios'!$D$10)*(INDEX(BookQ1,1663)*(5-MIN(4,1+'5. Scenarios'!$D$8))/4+INDEX(BookQ2,1663)*(5-MIN(4,2+'5. Scenarios'!$D$8))/4+INDEX(BookQ3,1663)*(5-MIN(4,3+'5. Scenarios'!$D$8))/4+INDEX(BookQ4,1663)*(5-MIN(4,4+'5. Scenarios'!$D$8))/4)*'5. Scenarios'!$D$6/(1+ProductivityDefault*('5. Scenarios'!$D$11-1))+INDEX(BookOneOff,1663)*$N1668)</f>
        <v/>
      </c>
      <c r="S1668" s="56" t="str">
        <f aca="false">IF(INDEX(BookTitle,1663)="","",INDEX(BookTotal,1663)*'5. Scenarios'!$E$6/(1+ProductivityDefault*('5. Scenarios'!$E$11-1)))</f>
        <v/>
      </c>
      <c r="T1668" s="57" t="str">
        <f aca="false">IF($S1668="","",INDEX(BookRate,1663)*(1+'5. Scenarios'!$E$10)*$S1668)</f>
        <v/>
      </c>
      <c r="U1668" s="57" t="str">
        <f aca="false">IF($T1668="","",SUMIFS($T$6:$T$2405,$A$6:$A$2405,"&lt;="&amp;$A1668))</f>
        <v/>
      </c>
      <c r="V1668" s="57" t="str">
        <f aca="false">IF($T1668="","",IF($U1668&lt;=BankCostEnvelope*'5. Scenarios'!$E$7,1,0))</f>
        <v/>
      </c>
      <c r="W1668" s="57" t="str">
        <f aca="false">IF($S1668="","",INDEX(BookRate,1663)*(1+'5. Scenarios'!$E$10)*(INDEX(BookQ1,1663)*(5-MIN(4,1+'5. Scenarios'!$E$8))/4+INDEX(BookQ2,1663)*(5-MIN(4,2+'5. Scenarios'!$E$8))/4+INDEX(BookQ3,1663)*(5-MIN(4,3+'5. Scenarios'!$E$8))/4+INDEX(BookQ4,1663)*(5-MIN(4,4+'5. Scenarios'!$E$8))/4)*'5. Scenarios'!$E$6/(1+ProductivityDefault*('5. Scenarios'!$E$11-1))+INDEX(BookOneOff,1663)*$S1668)</f>
        <v/>
      </c>
    </row>
    <row r="1669" customFormat="false" ht="15" hidden="false" customHeight="false" outlineLevel="0" collapsed="false">
      <c r="A1669" s="0" t="str">
        <f aca="false">IF(INDEX(BookTitle,1664)="","",INDEX(BookKey,1664))</f>
        <v/>
      </c>
      <c r="B1669" s="0" t="str">
        <f aca="false">IF(INDEX(BookTitle,1664)="","",INDEX(BookGroup,1664))</f>
        <v/>
      </c>
      <c r="C1669" s="0" t="str">
        <f aca="false">IF(INDEX(BookTitle,1664)="","",INDEX(BookCategory,1664))</f>
        <v/>
      </c>
      <c r="D1669" s="56" t="str">
        <f aca="false">IF(INDEX(BookTitle,1664)="","",INDEX(BookTotal,1664)*'5. Scenarios'!$B$6/(1+ProductivityDefault*('5. Scenarios'!$B$11-1)))</f>
        <v/>
      </c>
      <c r="E1669" s="57" t="str">
        <f aca="false">IF($D1669="","",INDEX(BookRate,1664)*(1+'5. Scenarios'!$B$10)*$D1669)</f>
        <v/>
      </c>
      <c r="F1669" s="57" t="str">
        <f aca="false">IF($E1669="","",SUMIFS($E$6:$E$2405,$A$6:$A$2405,"&lt;="&amp;$A1669))</f>
        <v/>
      </c>
      <c r="G1669" s="57" t="str">
        <f aca="false">IF($E1669="","",IF($F1669&lt;=BankCostEnvelope*'5. Scenarios'!$B$7,1,0))</f>
        <v/>
      </c>
      <c r="H1669" s="57" t="str">
        <f aca="false">IF($D1669="","",INDEX(BookRate,1664)*(1+'5. Scenarios'!$B$10)*(INDEX(BookQ1,1664)*(5-MIN(4,1+'5. Scenarios'!$B$8))/4+INDEX(BookQ2,1664)*(5-MIN(4,2+'5. Scenarios'!$B$8))/4+INDEX(BookQ3,1664)*(5-MIN(4,3+'5. Scenarios'!$B$8))/4+INDEX(BookQ4,1664)*(5-MIN(4,4+'5. Scenarios'!$B$8))/4)*'5. Scenarios'!$B$6/(1+ProductivityDefault*('5. Scenarios'!$B$11-1))+INDEX(BookOneOff,1664)*$D1669)</f>
        <v/>
      </c>
      <c r="I1669" s="56" t="str">
        <f aca="false">IF(INDEX(BookTitle,1664)="","",INDEX(BookTotal,1664)*'5. Scenarios'!$C$6/(1+ProductivityDefault*('5. Scenarios'!$C$11-1)))</f>
        <v/>
      </c>
      <c r="J1669" s="57" t="str">
        <f aca="false">IF($I1669="","",INDEX(BookRate,1664)*(1+'5. Scenarios'!$C$10)*$I1669)</f>
        <v/>
      </c>
      <c r="K1669" s="57" t="str">
        <f aca="false">IF($J1669="","",SUMIFS($J$6:$J$2405,$A$6:$A$2405,"&lt;="&amp;$A1669))</f>
        <v/>
      </c>
      <c r="L1669" s="57" t="str">
        <f aca="false">IF($J1669="","",IF($K1669&lt;=BankCostEnvelope*'5. Scenarios'!$C$7,1,0))</f>
        <v/>
      </c>
      <c r="M1669" s="57" t="str">
        <f aca="false">IF($I1669="","",INDEX(BookRate,1664)*(1+'5. Scenarios'!$C$10)*(INDEX(BookQ1,1664)*(5-MIN(4,1+'5. Scenarios'!$C$8))/4+INDEX(BookQ2,1664)*(5-MIN(4,2+'5. Scenarios'!$C$8))/4+INDEX(BookQ3,1664)*(5-MIN(4,3+'5. Scenarios'!$C$8))/4+INDEX(BookQ4,1664)*(5-MIN(4,4+'5. Scenarios'!$C$8))/4)*'5. Scenarios'!$C$6/(1+ProductivityDefault*('5. Scenarios'!$C$11-1))+INDEX(BookOneOff,1664)*$I1669)</f>
        <v/>
      </c>
      <c r="N1669" s="56" t="str">
        <f aca="false">IF(INDEX(BookTitle,1664)="","",INDEX(BookTotal,1664)*'5. Scenarios'!$D$6/(1+ProductivityDefault*('5. Scenarios'!$D$11-1)))</f>
        <v/>
      </c>
      <c r="O1669" s="57" t="str">
        <f aca="false">IF($N1669="","",INDEX(BookRate,1664)*(1+'5. Scenarios'!$D$10)*$N1669)</f>
        <v/>
      </c>
      <c r="P1669" s="57" t="str">
        <f aca="false">IF($O1669="","",SUMIFS($O$6:$O$2405,$A$6:$A$2405,"&lt;="&amp;$A1669))</f>
        <v/>
      </c>
      <c r="Q1669" s="57" t="str">
        <f aca="false">IF($O1669="","",IF($P1669&lt;=BankCostEnvelope*'5. Scenarios'!$D$7,1,0))</f>
        <v/>
      </c>
      <c r="R1669" s="57" t="str">
        <f aca="false">IF($N1669="","",INDEX(BookRate,1664)*(1+'5. Scenarios'!$D$10)*(INDEX(BookQ1,1664)*(5-MIN(4,1+'5. Scenarios'!$D$8))/4+INDEX(BookQ2,1664)*(5-MIN(4,2+'5. Scenarios'!$D$8))/4+INDEX(BookQ3,1664)*(5-MIN(4,3+'5. Scenarios'!$D$8))/4+INDEX(BookQ4,1664)*(5-MIN(4,4+'5. Scenarios'!$D$8))/4)*'5. Scenarios'!$D$6/(1+ProductivityDefault*('5. Scenarios'!$D$11-1))+INDEX(BookOneOff,1664)*$N1669)</f>
        <v/>
      </c>
      <c r="S1669" s="56" t="str">
        <f aca="false">IF(INDEX(BookTitle,1664)="","",INDEX(BookTotal,1664)*'5. Scenarios'!$E$6/(1+ProductivityDefault*('5. Scenarios'!$E$11-1)))</f>
        <v/>
      </c>
      <c r="T1669" s="57" t="str">
        <f aca="false">IF($S1669="","",INDEX(BookRate,1664)*(1+'5. Scenarios'!$E$10)*$S1669)</f>
        <v/>
      </c>
      <c r="U1669" s="57" t="str">
        <f aca="false">IF($T1669="","",SUMIFS($T$6:$T$2405,$A$6:$A$2405,"&lt;="&amp;$A1669))</f>
        <v/>
      </c>
      <c r="V1669" s="57" t="str">
        <f aca="false">IF($T1669="","",IF($U1669&lt;=BankCostEnvelope*'5. Scenarios'!$E$7,1,0))</f>
        <v/>
      </c>
      <c r="W1669" s="57" t="str">
        <f aca="false">IF($S1669="","",INDEX(BookRate,1664)*(1+'5. Scenarios'!$E$10)*(INDEX(BookQ1,1664)*(5-MIN(4,1+'5. Scenarios'!$E$8))/4+INDEX(BookQ2,1664)*(5-MIN(4,2+'5. Scenarios'!$E$8))/4+INDEX(BookQ3,1664)*(5-MIN(4,3+'5. Scenarios'!$E$8))/4+INDEX(BookQ4,1664)*(5-MIN(4,4+'5. Scenarios'!$E$8))/4)*'5. Scenarios'!$E$6/(1+ProductivityDefault*('5. Scenarios'!$E$11-1))+INDEX(BookOneOff,1664)*$S1669)</f>
        <v/>
      </c>
    </row>
    <row r="1670" customFormat="false" ht="15" hidden="false" customHeight="false" outlineLevel="0" collapsed="false">
      <c r="A1670" s="0" t="str">
        <f aca="false">IF(INDEX(BookTitle,1665)="","",INDEX(BookKey,1665))</f>
        <v/>
      </c>
      <c r="B1670" s="0" t="str">
        <f aca="false">IF(INDEX(BookTitle,1665)="","",INDEX(BookGroup,1665))</f>
        <v/>
      </c>
      <c r="C1670" s="0" t="str">
        <f aca="false">IF(INDEX(BookTitle,1665)="","",INDEX(BookCategory,1665))</f>
        <v/>
      </c>
      <c r="D1670" s="56" t="str">
        <f aca="false">IF(INDEX(BookTitle,1665)="","",INDEX(BookTotal,1665)*'5. Scenarios'!$B$6/(1+ProductivityDefault*('5. Scenarios'!$B$11-1)))</f>
        <v/>
      </c>
      <c r="E1670" s="57" t="str">
        <f aca="false">IF($D1670="","",INDEX(BookRate,1665)*(1+'5. Scenarios'!$B$10)*$D1670)</f>
        <v/>
      </c>
      <c r="F1670" s="57" t="str">
        <f aca="false">IF($E1670="","",SUMIFS($E$6:$E$2405,$A$6:$A$2405,"&lt;="&amp;$A1670))</f>
        <v/>
      </c>
      <c r="G1670" s="57" t="str">
        <f aca="false">IF($E1670="","",IF($F1670&lt;=BankCostEnvelope*'5. Scenarios'!$B$7,1,0))</f>
        <v/>
      </c>
      <c r="H1670" s="57" t="str">
        <f aca="false">IF($D1670="","",INDEX(BookRate,1665)*(1+'5. Scenarios'!$B$10)*(INDEX(BookQ1,1665)*(5-MIN(4,1+'5. Scenarios'!$B$8))/4+INDEX(BookQ2,1665)*(5-MIN(4,2+'5. Scenarios'!$B$8))/4+INDEX(BookQ3,1665)*(5-MIN(4,3+'5. Scenarios'!$B$8))/4+INDEX(BookQ4,1665)*(5-MIN(4,4+'5. Scenarios'!$B$8))/4)*'5. Scenarios'!$B$6/(1+ProductivityDefault*('5. Scenarios'!$B$11-1))+INDEX(BookOneOff,1665)*$D1670)</f>
        <v/>
      </c>
      <c r="I1670" s="56" t="str">
        <f aca="false">IF(INDEX(BookTitle,1665)="","",INDEX(BookTotal,1665)*'5. Scenarios'!$C$6/(1+ProductivityDefault*('5. Scenarios'!$C$11-1)))</f>
        <v/>
      </c>
      <c r="J1670" s="57" t="str">
        <f aca="false">IF($I1670="","",INDEX(BookRate,1665)*(1+'5. Scenarios'!$C$10)*$I1670)</f>
        <v/>
      </c>
      <c r="K1670" s="57" t="str">
        <f aca="false">IF($J1670="","",SUMIFS($J$6:$J$2405,$A$6:$A$2405,"&lt;="&amp;$A1670))</f>
        <v/>
      </c>
      <c r="L1670" s="57" t="str">
        <f aca="false">IF($J1670="","",IF($K1670&lt;=BankCostEnvelope*'5. Scenarios'!$C$7,1,0))</f>
        <v/>
      </c>
      <c r="M1670" s="57" t="str">
        <f aca="false">IF($I1670="","",INDEX(BookRate,1665)*(1+'5. Scenarios'!$C$10)*(INDEX(BookQ1,1665)*(5-MIN(4,1+'5. Scenarios'!$C$8))/4+INDEX(BookQ2,1665)*(5-MIN(4,2+'5. Scenarios'!$C$8))/4+INDEX(BookQ3,1665)*(5-MIN(4,3+'5. Scenarios'!$C$8))/4+INDEX(BookQ4,1665)*(5-MIN(4,4+'5. Scenarios'!$C$8))/4)*'5. Scenarios'!$C$6/(1+ProductivityDefault*('5. Scenarios'!$C$11-1))+INDEX(BookOneOff,1665)*$I1670)</f>
        <v/>
      </c>
      <c r="N1670" s="56" t="str">
        <f aca="false">IF(INDEX(BookTitle,1665)="","",INDEX(BookTotal,1665)*'5. Scenarios'!$D$6/(1+ProductivityDefault*('5. Scenarios'!$D$11-1)))</f>
        <v/>
      </c>
      <c r="O1670" s="57" t="str">
        <f aca="false">IF($N1670="","",INDEX(BookRate,1665)*(1+'5. Scenarios'!$D$10)*$N1670)</f>
        <v/>
      </c>
      <c r="P1670" s="57" t="str">
        <f aca="false">IF($O1670="","",SUMIFS($O$6:$O$2405,$A$6:$A$2405,"&lt;="&amp;$A1670))</f>
        <v/>
      </c>
      <c r="Q1670" s="57" t="str">
        <f aca="false">IF($O1670="","",IF($P1670&lt;=BankCostEnvelope*'5. Scenarios'!$D$7,1,0))</f>
        <v/>
      </c>
      <c r="R1670" s="57" t="str">
        <f aca="false">IF($N1670="","",INDEX(BookRate,1665)*(1+'5. Scenarios'!$D$10)*(INDEX(BookQ1,1665)*(5-MIN(4,1+'5. Scenarios'!$D$8))/4+INDEX(BookQ2,1665)*(5-MIN(4,2+'5. Scenarios'!$D$8))/4+INDEX(BookQ3,1665)*(5-MIN(4,3+'5. Scenarios'!$D$8))/4+INDEX(BookQ4,1665)*(5-MIN(4,4+'5. Scenarios'!$D$8))/4)*'5. Scenarios'!$D$6/(1+ProductivityDefault*('5. Scenarios'!$D$11-1))+INDEX(BookOneOff,1665)*$N1670)</f>
        <v/>
      </c>
      <c r="S1670" s="56" t="str">
        <f aca="false">IF(INDEX(BookTitle,1665)="","",INDEX(BookTotal,1665)*'5. Scenarios'!$E$6/(1+ProductivityDefault*('5. Scenarios'!$E$11-1)))</f>
        <v/>
      </c>
      <c r="T1670" s="57" t="str">
        <f aca="false">IF($S1670="","",INDEX(BookRate,1665)*(1+'5. Scenarios'!$E$10)*$S1670)</f>
        <v/>
      </c>
      <c r="U1670" s="57" t="str">
        <f aca="false">IF($T1670="","",SUMIFS($T$6:$T$2405,$A$6:$A$2405,"&lt;="&amp;$A1670))</f>
        <v/>
      </c>
      <c r="V1670" s="57" t="str">
        <f aca="false">IF($T1670="","",IF($U1670&lt;=BankCostEnvelope*'5. Scenarios'!$E$7,1,0))</f>
        <v/>
      </c>
      <c r="W1670" s="57" t="str">
        <f aca="false">IF($S1670="","",INDEX(BookRate,1665)*(1+'5. Scenarios'!$E$10)*(INDEX(BookQ1,1665)*(5-MIN(4,1+'5. Scenarios'!$E$8))/4+INDEX(BookQ2,1665)*(5-MIN(4,2+'5. Scenarios'!$E$8))/4+INDEX(BookQ3,1665)*(5-MIN(4,3+'5. Scenarios'!$E$8))/4+INDEX(BookQ4,1665)*(5-MIN(4,4+'5. Scenarios'!$E$8))/4)*'5. Scenarios'!$E$6/(1+ProductivityDefault*('5. Scenarios'!$E$11-1))+INDEX(BookOneOff,1665)*$S1670)</f>
        <v/>
      </c>
    </row>
    <row r="1671" customFormat="false" ht="15" hidden="false" customHeight="false" outlineLevel="0" collapsed="false">
      <c r="A1671" s="0" t="str">
        <f aca="false">IF(INDEX(BookTitle,1666)="","",INDEX(BookKey,1666))</f>
        <v/>
      </c>
      <c r="B1671" s="0" t="str">
        <f aca="false">IF(INDEX(BookTitle,1666)="","",INDEX(BookGroup,1666))</f>
        <v/>
      </c>
      <c r="C1671" s="0" t="str">
        <f aca="false">IF(INDEX(BookTitle,1666)="","",INDEX(BookCategory,1666))</f>
        <v/>
      </c>
      <c r="D1671" s="56" t="str">
        <f aca="false">IF(INDEX(BookTitle,1666)="","",INDEX(BookTotal,1666)*'5. Scenarios'!$B$6/(1+ProductivityDefault*('5. Scenarios'!$B$11-1)))</f>
        <v/>
      </c>
      <c r="E1671" s="57" t="str">
        <f aca="false">IF($D1671="","",INDEX(BookRate,1666)*(1+'5. Scenarios'!$B$10)*$D1671)</f>
        <v/>
      </c>
      <c r="F1671" s="57" t="str">
        <f aca="false">IF($E1671="","",SUMIFS($E$6:$E$2405,$A$6:$A$2405,"&lt;="&amp;$A1671))</f>
        <v/>
      </c>
      <c r="G1671" s="57" t="str">
        <f aca="false">IF($E1671="","",IF($F1671&lt;=BankCostEnvelope*'5. Scenarios'!$B$7,1,0))</f>
        <v/>
      </c>
      <c r="H1671" s="57" t="str">
        <f aca="false">IF($D1671="","",INDEX(BookRate,1666)*(1+'5. Scenarios'!$B$10)*(INDEX(BookQ1,1666)*(5-MIN(4,1+'5. Scenarios'!$B$8))/4+INDEX(BookQ2,1666)*(5-MIN(4,2+'5. Scenarios'!$B$8))/4+INDEX(BookQ3,1666)*(5-MIN(4,3+'5. Scenarios'!$B$8))/4+INDEX(BookQ4,1666)*(5-MIN(4,4+'5. Scenarios'!$B$8))/4)*'5. Scenarios'!$B$6/(1+ProductivityDefault*('5. Scenarios'!$B$11-1))+INDEX(BookOneOff,1666)*$D1671)</f>
        <v/>
      </c>
      <c r="I1671" s="56" t="str">
        <f aca="false">IF(INDEX(BookTitle,1666)="","",INDEX(BookTotal,1666)*'5. Scenarios'!$C$6/(1+ProductivityDefault*('5. Scenarios'!$C$11-1)))</f>
        <v/>
      </c>
      <c r="J1671" s="57" t="str">
        <f aca="false">IF($I1671="","",INDEX(BookRate,1666)*(1+'5. Scenarios'!$C$10)*$I1671)</f>
        <v/>
      </c>
      <c r="K1671" s="57" t="str">
        <f aca="false">IF($J1671="","",SUMIFS($J$6:$J$2405,$A$6:$A$2405,"&lt;="&amp;$A1671))</f>
        <v/>
      </c>
      <c r="L1671" s="57" t="str">
        <f aca="false">IF($J1671="","",IF($K1671&lt;=BankCostEnvelope*'5. Scenarios'!$C$7,1,0))</f>
        <v/>
      </c>
      <c r="M1671" s="57" t="str">
        <f aca="false">IF($I1671="","",INDEX(BookRate,1666)*(1+'5. Scenarios'!$C$10)*(INDEX(BookQ1,1666)*(5-MIN(4,1+'5. Scenarios'!$C$8))/4+INDEX(BookQ2,1666)*(5-MIN(4,2+'5. Scenarios'!$C$8))/4+INDEX(BookQ3,1666)*(5-MIN(4,3+'5. Scenarios'!$C$8))/4+INDEX(BookQ4,1666)*(5-MIN(4,4+'5. Scenarios'!$C$8))/4)*'5. Scenarios'!$C$6/(1+ProductivityDefault*('5. Scenarios'!$C$11-1))+INDEX(BookOneOff,1666)*$I1671)</f>
        <v/>
      </c>
      <c r="N1671" s="56" t="str">
        <f aca="false">IF(INDEX(BookTitle,1666)="","",INDEX(BookTotal,1666)*'5. Scenarios'!$D$6/(1+ProductivityDefault*('5. Scenarios'!$D$11-1)))</f>
        <v/>
      </c>
      <c r="O1671" s="57" t="str">
        <f aca="false">IF($N1671="","",INDEX(BookRate,1666)*(1+'5. Scenarios'!$D$10)*$N1671)</f>
        <v/>
      </c>
      <c r="P1671" s="57" t="str">
        <f aca="false">IF($O1671="","",SUMIFS($O$6:$O$2405,$A$6:$A$2405,"&lt;="&amp;$A1671))</f>
        <v/>
      </c>
      <c r="Q1671" s="57" t="str">
        <f aca="false">IF($O1671="","",IF($P1671&lt;=BankCostEnvelope*'5. Scenarios'!$D$7,1,0))</f>
        <v/>
      </c>
      <c r="R1671" s="57" t="str">
        <f aca="false">IF($N1671="","",INDEX(BookRate,1666)*(1+'5. Scenarios'!$D$10)*(INDEX(BookQ1,1666)*(5-MIN(4,1+'5. Scenarios'!$D$8))/4+INDEX(BookQ2,1666)*(5-MIN(4,2+'5. Scenarios'!$D$8))/4+INDEX(BookQ3,1666)*(5-MIN(4,3+'5. Scenarios'!$D$8))/4+INDEX(BookQ4,1666)*(5-MIN(4,4+'5. Scenarios'!$D$8))/4)*'5. Scenarios'!$D$6/(1+ProductivityDefault*('5. Scenarios'!$D$11-1))+INDEX(BookOneOff,1666)*$N1671)</f>
        <v/>
      </c>
      <c r="S1671" s="56" t="str">
        <f aca="false">IF(INDEX(BookTitle,1666)="","",INDEX(BookTotal,1666)*'5. Scenarios'!$E$6/(1+ProductivityDefault*('5. Scenarios'!$E$11-1)))</f>
        <v/>
      </c>
      <c r="T1671" s="57" t="str">
        <f aca="false">IF($S1671="","",INDEX(BookRate,1666)*(1+'5. Scenarios'!$E$10)*$S1671)</f>
        <v/>
      </c>
      <c r="U1671" s="57" t="str">
        <f aca="false">IF($T1671="","",SUMIFS($T$6:$T$2405,$A$6:$A$2405,"&lt;="&amp;$A1671))</f>
        <v/>
      </c>
      <c r="V1671" s="57" t="str">
        <f aca="false">IF($T1671="","",IF($U1671&lt;=BankCostEnvelope*'5. Scenarios'!$E$7,1,0))</f>
        <v/>
      </c>
      <c r="W1671" s="57" t="str">
        <f aca="false">IF($S1671="","",INDEX(BookRate,1666)*(1+'5. Scenarios'!$E$10)*(INDEX(BookQ1,1666)*(5-MIN(4,1+'5. Scenarios'!$E$8))/4+INDEX(BookQ2,1666)*(5-MIN(4,2+'5. Scenarios'!$E$8))/4+INDEX(BookQ3,1666)*(5-MIN(4,3+'5. Scenarios'!$E$8))/4+INDEX(BookQ4,1666)*(5-MIN(4,4+'5. Scenarios'!$E$8))/4)*'5. Scenarios'!$E$6/(1+ProductivityDefault*('5. Scenarios'!$E$11-1))+INDEX(BookOneOff,1666)*$S1671)</f>
        <v/>
      </c>
    </row>
    <row r="1672" customFormat="false" ht="15" hidden="false" customHeight="false" outlineLevel="0" collapsed="false">
      <c r="A1672" s="0" t="str">
        <f aca="false">IF(INDEX(BookTitle,1667)="","",INDEX(BookKey,1667))</f>
        <v/>
      </c>
      <c r="B1672" s="0" t="str">
        <f aca="false">IF(INDEX(BookTitle,1667)="","",INDEX(BookGroup,1667))</f>
        <v/>
      </c>
      <c r="C1672" s="0" t="str">
        <f aca="false">IF(INDEX(BookTitle,1667)="","",INDEX(BookCategory,1667))</f>
        <v/>
      </c>
      <c r="D1672" s="56" t="str">
        <f aca="false">IF(INDEX(BookTitle,1667)="","",INDEX(BookTotal,1667)*'5. Scenarios'!$B$6/(1+ProductivityDefault*('5. Scenarios'!$B$11-1)))</f>
        <v/>
      </c>
      <c r="E1672" s="57" t="str">
        <f aca="false">IF($D1672="","",INDEX(BookRate,1667)*(1+'5. Scenarios'!$B$10)*$D1672)</f>
        <v/>
      </c>
      <c r="F1672" s="57" t="str">
        <f aca="false">IF($E1672="","",SUMIFS($E$6:$E$2405,$A$6:$A$2405,"&lt;="&amp;$A1672))</f>
        <v/>
      </c>
      <c r="G1672" s="57" t="str">
        <f aca="false">IF($E1672="","",IF($F1672&lt;=BankCostEnvelope*'5. Scenarios'!$B$7,1,0))</f>
        <v/>
      </c>
      <c r="H1672" s="57" t="str">
        <f aca="false">IF($D1672="","",INDEX(BookRate,1667)*(1+'5. Scenarios'!$B$10)*(INDEX(BookQ1,1667)*(5-MIN(4,1+'5. Scenarios'!$B$8))/4+INDEX(BookQ2,1667)*(5-MIN(4,2+'5. Scenarios'!$B$8))/4+INDEX(BookQ3,1667)*(5-MIN(4,3+'5. Scenarios'!$B$8))/4+INDEX(BookQ4,1667)*(5-MIN(4,4+'5. Scenarios'!$B$8))/4)*'5. Scenarios'!$B$6/(1+ProductivityDefault*('5. Scenarios'!$B$11-1))+INDEX(BookOneOff,1667)*$D1672)</f>
        <v/>
      </c>
      <c r="I1672" s="56" t="str">
        <f aca="false">IF(INDEX(BookTitle,1667)="","",INDEX(BookTotal,1667)*'5. Scenarios'!$C$6/(1+ProductivityDefault*('5. Scenarios'!$C$11-1)))</f>
        <v/>
      </c>
      <c r="J1672" s="57" t="str">
        <f aca="false">IF($I1672="","",INDEX(BookRate,1667)*(1+'5. Scenarios'!$C$10)*$I1672)</f>
        <v/>
      </c>
      <c r="K1672" s="57" t="str">
        <f aca="false">IF($J1672="","",SUMIFS($J$6:$J$2405,$A$6:$A$2405,"&lt;="&amp;$A1672))</f>
        <v/>
      </c>
      <c r="L1672" s="57" t="str">
        <f aca="false">IF($J1672="","",IF($K1672&lt;=BankCostEnvelope*'5. Scenarios'!$C$7,1,0))</f>
        <v/>
      </c>
      <c r="M1672" s="57" t="str">
        <f aca="false">IF($I1672="","",INDEX(BookRate,1667)*(1+'5. Scenarios'!$C$10)*(INDEX(BookQ1,1667)*(5-MIN(4,1+'5. Scenarios'!$C$8))/4+INDEX(BookQ2,1667)*(5-MIN(4,2+'5. Scenarios'!$C$8))/4+INDEX(BookQ3,1667)*(5-MIN(4,3+'5. Scenarios'!$C$8))/4+INDEX(BookQ4,1667)*(5-MIN(4,4+'5. Scenarios'!$C$8))/4)*'5. Scenarios'!$C$6/(1+ProductivityDefault*('5. Scenarios'!$C$11-1))+INDEX(BookOneOff,1667)*$I1672)</f>
        <v/>
      </c>
      <c r="N1672" s="56" t="str">
        <f aca="false">IF(INDEX(BookTitle,1667)="","",INDEX(BookTotal,1667)*'5. Scenarios'!$D$6/(1+ProductivityDefault*('5. Scenarios'!$D$11-1)))</f>
        <v/>
      </c>
      <c r="O1672" s="57" t="str">
        <f aca="false">IF($N1672="","",INDEX(BookRate,1667)*(1+'5. Scenarios'!$D$10)*$N1672)</f>
        <v/>
      </c>
      <c r="P1672" s="57" t="str">
        <f aca="false">IF($O1672="","",SUMIFS($O$6:$O$2405,$A$6:$A$2405,"&lt;="&amp;$A1672))</f>
        <v/>
      </c>
      <c r="Q1672" s="57" t="str">
        <f aca="false">IF($O1672="","",IF($P1672&lt;=BankCostEnvelope*'5. Scenarios'!$D$7,1,0))</f>
        <v/>
      </c>
      <c r="R1672" s="57" t="str">
        <f aca="false">IF($N1672="","",INDEX(BookRate,1667)*(1+'5. Scenarios'!$D$10)*(INDEX(BookQ1,1667)*(5-MIN(4,1+'5. Scenarios'!$D$8))/4+INDEX(BookQ2,1667)*(5-MIN(4,2+'5. Scenarios'!$D$8))/4+INDEX(BookQ3,1667)*(5-MIN(4,3+'5. Scenarios'!$D$8))/4+INDEX(BookQ4,1667)*(5-MIN(4,4+'5. Scenarios'!$D$8))/4)*'5. Scenarios'!$D$6/(1+ProductivityDefault*('5. Scenarios'!$D$11-1))+INDEX(BookOneOff,1667)*$N1672)</f>
        <v/>
      </c>
      <c r="S1672" s="56" t="str">
        <f aca="false">IF(INDEX(BookTitle,1667)="","",INDEX(BookTotal,1667)*'5. Scenarios'!$E$6/(1+ProductivityDefault*('5. Scenarios'!$E$11-1)))</f>
        <v/>
      </c>
      <c r="T1672" s="57" t="str">
        <f aca="false">IF($S1672="","",INDEX(BookRate,1667)*(1+'5. Scenarios'!$E$10)*$S1672)</f>
        <v/>
      </c>
      <c r="U1672" s="57" t="str">
        <f aca="false">IF($T1672="","",SUMIFS($T$6:$T$2405,$A$6:$A$2405,"&lt;="&amp;$A1672))</f>
        <v/>
      </c>
      <c r="V1672" s="57" t="str">
        <f aca="false">IF($T1672="","",IF($U1672&lt;=BankCostEnvelope*'5. Scenarios'!$E$7,1,0))</f>
        <v/>
      </c>
      <c r="W1672" s="57" t="str">
        <f aca="false">IF($S1672="","",INDEX(BookRate,1667)*(1+'5. Scenarios'!$E$10)*(INDEX(BookQ1,1667)*(5-MIN(4,1+'5. Scenarios'!$E$8))/4+INDEX(BookQ2,1667)*(5-MIN(4,2+'5. Scenarios'!$E$8))/4+INDEX(BookQ3,1667)*(5-MIN(4,3+'5. Scenarios'!$E$8))/4+INDEX(BookQ4,1667)*(5-MIN(4,4+'5. Scenarios'!$E$8))/4)*'5. Scenarios'!$E$6/(1+ProductivityDefault*('5. Scenarios'!$E$11-1))+INDEX(BookOneOff,1667)*$S1672)</f>
        <v/>
      </c>
    </row>
    <row r="1673" customFormat="false" ht="15" hidden="false" customHeight="false" outlineLevel="0" collapsed="false">
      <c r="A1673" s="0" t="str">
        <f aca="false">IF(INDEX(BookTitle,1668)="","",INDEX(BookKey,1668))</f>
        <v/>
      </c>
      <c r="B1673" s="0" t="str">
        <f aca="false">IF(INDEX(BookTitle,1668)="","",INDEX(BookGroup,1668))</f>
        <v/>
      </c>
      <c r="C1673" s="0" t="str">
        <f aca="false">IF(INDEX(BookTitle,1668)="","",INDEX(BookCategory,1668))</f>
        <v/>
      </c>
      <c r="D1673" s="56" t="str">
        <f aca="false">IF(INDEX(BookTitle,1668)="","",INDEX(BookTotal,1668)*'5. Scenarios'!$B$6/(1+ProductivityDefault*('5. Scenarios'!$B$11-1)))</f>
        <v/>
      </c>
      <c r="E1673" s="57" t="str">
        <f aca="false">IF($D1673="","",INDEX(BookRate,1668)*(1+'5. Scenarios'!$B$10)*$D1673)</f>
        <v/>
      </c>
      <c r="F1673" s="57" t="str">
        <f aca="false">IF($E1673="","",SUMIFS($E$6:$E$2405,$A$6:$A$2405,"&lt;="&amp;$A1673))</f>
        <v/>
      </c>
      <c r="G1673" s="57" t="str">
        <f aca="false">IF($E1673="","",IF($F1673&lt;=BankCostEnvelope*'5. Scenarios'!$B$7,1,0))</f>
        <v/>
      </c>
      <c r="H1673" s="57" t="str">
        <f aca="false">IF($D1673="","",INDEX(BookRate,1668)*(1+'5. Scenarios'!$B$10)*(INDEX(BookQ1,1668)*(5-MIN(4,1+'5. Scenarios'!$B$8))/4+INDEX(BookQ2,1668)*(5-MIN(4,2+'5. Scenarios'!$B$8))/4+INDEX(BookQ3,1668)*(5-MIN(4,3+'5. Scenarios'!$B$8))/4+INDEX(BookQ4,1668)*(5-MIN(4,4+'5. Scenarios'!$B$8))/4)*'5. Scenarios'!$B$6/(1+ProductivityDefault*('5. Scenarios'!$B$11-1))+INDEX(BookOneOff,1668)*$D1673)</f>
        <v/>
      </c>
      <c r="I1673" s="56" t="str">
        <f aca="false">IF(INDEX(BookTitle,1668)="","",INDEX(BookTotal,1668)*'5. Scenarios'!$C$6/(1+ProductivityDefault*('5. Scenarios'!$C$11-1)))</f>
        <v/>
      </c>
      <c r="J1673" s="57" t="str">
        <f aca="false">IF($I1673="","",INDEX(BookRate,1668)*(1+'5. Scenarios'!$C$10)*$I1673)</f>
        <v/>
      </c>
      <c r="K1673" s="57" t="str">
        <f aca="false">IF($J1673="","",SUMIFS($J$6:$J$2405,$A$6:$A$2405,"&lt;="&amp;$A1673))</f>
        <v/>
      </c>
      <c r="L1673" s="57" t="str">
        <f aca="false">IF($J1673="","",IF($K1673&lt;=BankCostEnvelope*'5. Scenarios'!$C$7,1,0))</f>
        <v/>
      </c>
      <c r="M1673" s="57" t="str">
        <f aca="false">IF($I1673="","",INDEX(BookRate,1668)*(1+'5. Scenarios'!$C$10)*(INDEX(BookQ1,1668)*(5-MIN(4,1+'5. Scenarios'!$C$8))/4+INDEX(BookQ2,1668)*(5-MIN(4,2+'5. Scenarios'!$C$8))/4+INDEX(BookQ3,1668)*(5-MIN(4,3+'5. Scenarios'!$C$8))/4+INDEX(BookQ4,1668)*(5-MIN(4,4+'5. Scenarios'!$C$8))/4)*'5. Scenarios'!$C$6/(1+ProductivityDefault*('5. Scenarios'!$C$11-1))+INDEX(BookOneOff,1668)*$I1673)</f>
        <v/>
      </c>
      <c r="N1673" s="56" t="str">
        <f aca="false">IF(INDEX(BookTitle,1668)="","",INDEX(BookTotal,1668)*'5. Scenarios'!$D$6/(1+ProductivityDefault*('5. Scenarios'!$D$11-1)))</f>
        <v/>
      </c>
      <c r="O1673" s="57" t="str">
        <f aca="false">IF($N1673="","",INDEX(BookRate,1668)*(1+'5. Scenarios'!$D$10)*$N1673)</f>
        <v/>
      </c>
      <c r="P1673" s="57" t="str">
        <f aca="false">IF($O1673="","",SUMIFS($O$6:$O$2405,$A$6:$A$2405,"&lt;="&amp;$A1673))</f>
        <v/>
      </c>
      <c r="Q1673" s="57" t="str">
        <f aca="false">IF($O1673="","",IF($P1673&lt;=BankCostEnvelope*'5. Scenarios'!$D$7,1,0))</f>
        <v/>
      </c>
      <c r="R1673" s="57" t="str">
        <f aca="false">IF($N1673="","",INDEX(BookRate,1668)*(1+'5. Scenarios'!$D$10)*(INDEX(BookQ1,1668)*(5-MIN(4,1+'5. Scenarios'!$D$8))/4+INDEX(BookQ2,1668)*(5-MIN(4,2+'5. Scenarios'!$D$8))/4+INDEX(BookQ3,1668)*(5-MIN(4,3+'5. Scenarios'!$D$8))/4+INDEX(BookQ4,1668)*(5-MIN(4,4+'5. Scenarios'!$D$8))/4)*'5. Scenarios'!$D$6/(1+ProductivityDefault*('5. Scenarios'!$D$11-1))+INDEX(BookOneOff,1668)*$N1673)</f>
        <v/>
      </c>
      <c r="S1673" s="56" t="str">
        <f aca="false">IF(INDEX(BookTitle,1668)="","",INDEX(BookTotal,1668)*'5. Scenarios'!$E$6/(1+ProductivityDefault*('5. Scenarios'!$E$11-1)))</f>
        <v/>
      </c>
      <c r="T1673" s="57" t="str">
        <f aca="false">IF($S1673="","",INDEX(BookRate,1668)*(1+'5. Scenarios'!$E$10)*$S1673)</f>
        <v/>
      </c>
      <c r="U1673" s="57" t="str">
        <f aca="false">IF($T1673="","",SUMIFS($T$6:$T$2405,$A$6:$A$2405,"&lt;="&amp;$A1673))</f>
        <v/>
      </c>
      <c r="V1673" s="57" t="str">
        <f aca="false">IF($T1673="","",IF($U1673&lt;=BankCostEnvelope*'5. Scenarios'!$E$7,1,0))</f>
        <v/>
      </c>
      <c r="W1673" s="57" t="str">
        <f aca="false">IF($S1673="","",INDEX(BookRate,1668)*(1+'5. Scenarios'!$E$10)*(INDEX(BookQ1,1668)*(5-MIN(4,1+'5. Scenarios'!$E$8))/4+INDEX(BookQ2,1668)*(5-MIN(4,2+'5. Scenarios'!$E$8))/4+INDEX(BookQ3,1668)*(5-MIN(4,3+'5. Scenarios'!$E$8))/4+INDEX(BookQ4,1668)*(5-MIN(4,4+'5. Scenarios'!$E$8))/4)*'5. Scenarios'!$E$6/(1+ProductivityDefault*('5. Scenarios'!$E$11-1))+INDEX(BookOneOff,1668)*$S1673)</f>
        <v/>
      </c>
    </row>
    <row r="1674" customFormat="false" ht="15" hidden="false" customHeight="false" outlineLevel="0" collapsed="false">
      <c r="A1674" s="0" t="str">
        <f aca="false">IF(INDEX(BookTitle,1669)="","",INDEX(BookKey,1669))</f>
        <v/>
      </c>
      <c r="B1674" s="0" t="str">
        <f aca="false">IF(INDEX(BookTitle,1669)="","",INDEX(BookGroup,1669))</f>
        <v/>
      </c>
      <c r="C1674" s="0" t="str">
        <f aca="false">IF(INDEX(BookTitle,1669)="","",INDEX(BookCategory,1669))</f>
        <v/>
      </c>
      <c r="D1674" s="56" t="str">
        <f aca="false">IF(INDEX(BookTitle,1669)="","",INDEX(BookTotal,1669)*'5. Scenarios'!$B$6/(1+ProductivityDefault*('5. Scenarios'!$B$11-1)))</f>
        <v/>
      </c>
      <c r="E1674" s="57" t="str">
        <f aca="false">IF($D1674="","",INDEX(BookRate,1669)*(1+'5. Scenarios'!$B$10)*$D1674)</f>
        <v/>
      </c>
      <c r="F1674" s="57" t="str">
        <f aca="false">IF($E1674="","",SUMIFS($E$6:$E$2405,$A$6:$A$2405,"&lt;="&amp;$A1674))</f>
        <v/>
      </c>
      <c r="G1674" s="57" t="str">
        <f aca="false">IF($E1674="","",IF($F1674&lt;=BankCostEnvelope*'5. Scenarios'!$B$7,1,0))</f>
        <v/>
      </c>
      <c r="H1674" s="57" t="str">
        <f aca="false">IF($D1674="","",INDEX(BookRate,1669)*(1+'5. Scenarios'!$B$10)*(INDEX(BookQ1,1669)*(5-MIN(4,1+'5. Scenarios'!$B$8))/4+INDEX(BookQ2,1669)*(5-MIN(4,2+'5. Scenarios'!$B$8))/4+INDEX(BookQ3,1669)*(5-MIN(4,3+'5. Scenarios'!$B$8))/4+INDEX(BookQ4,1669)*(5-MIN(4,4+'5. Scenarios'!$B$8))/4)*'5. Scenarios'!$B$6/(1+ProductivityDefault*('5. Scenarios'!$B$11-1))+INDEX(BookOneOff,1669)*$D1674)</f>
        <v/>
      </c>
      <c r="I1674" s="56" t="str">
        <f aca="false">IF(INDEX(BookTitle,1669)="","",INDEX(BookTotal,1669)*'5. Scenarios'!$C$6/(1+ProductivityDefault*('5. Scenarios'!$C$11-1)))</f>
        <v/>
      </c>
      <c r="J1674" s="57" t="str">
        <f aca="false">IF($I1674="","",INDEX(BookRate,1669)*(1+'5. Scenarios'!$C$10)*$I1674)</f>
        <v/>
      </c>
      <c r="K1674" s="57" t="str">
        <f aca="false">IF($J1674="","",SUMIFS($J$6:$J$2405,$A$6:$A$2405,"&lt;="&amp;$A1674))</f>
        <v/>
      </c>
      <c r="L1674" s="57" t="str">
        <f aca="false">IF($J1674="","",IF($K1674&lt;=BankCostEnvelope*'5. Scenarios'!$C$7,1,0))</f>
        <v/>
      </c>
      <c r="M1674" s="57" t="str">
        <f aca="false">IF($I1674="","",INDEX(BookRate,1669)*(1+'5. Scenarios'!$C$10)*(INDEX(BookQ1,1669)*(5-MIN(4,1+'5. Scenarios'!$C$8))/4+INDEX(BookQ2,1669)*(5-MIN(4,2+'5. Scenarios'!$C$8))/4+INDEX(BookQ3,1669)*(5-MIN(4,3+'5. Scenarios'!$C$8))/4+INDEX(BookQ4,1669)*(5-MIN(4,4+'5. Scenarios'!$C$8))/4)*'5. Scenarios'!$C$6/(1+ProductivityDefault*('5. Scenarios'!$C$11-1))+INDEX(BookOneOff,1669)*$I1674)</f>
        <v/>
      </c>
      <c r="N1674" s="56" t="str">
        <f aca="false">IF(INDEX(BookTitle,1669)="","",INDEX(BookTotal,1669)*'5. Scenarios'!$D$6/(1+ProductivityDefault*('5. Scenarios'!$D$11-1)))</f>
        <v/>
      </c>
      <c r="O1674" s="57" t="str">
        <f aca="false">IF($N1674="","",INDEX(BookRate,1669)*(1+'5. Scenarios'!$D$10)*$N1674)</f>
        <v/>
      </c>
      <c r="P1674" s="57" t="str">
        <f aca="false">IF($O1674="","",SUMIFS($O$6:$O$2405,$A$6:$A$2405,"&lt;="&amp;$A1674))</f>
        <v/>
      </c>
      <c r="Q1674" s="57" t="str">
        <f aca="false">IF($O1674="","",IF($P1674&lt;=BankCostEnvelope*'5. Scenarios'!$D$7,1,0))</f>
        <v/>
      </c>
      <c r="R1674" s="57" t="str">
        <f aca="false">IF($N1674="","",INDEX(BookRate,1669)*(1+'5. Scenarios'!$D$10)*(INDEX(BookQ1,1669)*(5-MIN(4,1+'5. Scenarios'!$D$8))/4+INDEX(BookQ2,1669)*(5-MIN(4,2+'5. Scenarios'!$D$8))/4+INDEX(BookQ3,1669)*(5-MIN(4,3+'5. Scenarios'!$D$8))/4+INDEX(BookQ4,1669)*(5-MIN(4,4+'5. Scenarios'!$D$8))/4)*'5. Scenarios'!$D$6/(1+ProductivityDefault*('5. Scenarios'!$D$11-1))+INDEX(BookOneOff,1669)*$N1674)</f>
        <v/>
      </c>
      <c r="S1674" s="56" t="str">
        <f aca="false">IF(INDEX(BookTitle,1669)="","",INDEX(BookTotal,1669)*'5. Scenarios'!$E$6/(1+ProductivityDefault*('5. Scenarios'!$E$11-1)))</f>
        <v/>
      </c>
      <c r="T1674" s="57" t="str">
        <f aca="false">IF($S1674="","",INDEX(BookRate,1669)*(1+'5. Scenarios'!$E$10)*$S1674)</f>
        <v/>
      </c>
      <c r="U1674" s="57" t="str">
        <f aca="false">IF($T1674="","",SUMIFS($T$6:$T$2405,$A$6:$A$2405,"&lt;="&amp;$A1674))</f>
        <v/>
      </c>
      <c r="V1674" s="57" t="str">
        <f aca="false">IF($T1674="","",IF($U1674&lt;=BankCostEnvelope*'5. Scenarios'!$E$7,1,0))</f>
        <v/>
      </c>
      <c r="W1674" s="57" t="str">
        <f aca="false">IF($S1674="","",INDEX(BookRate,1669)*(1+'5. Scenarios'!$E$10)*(INDEX(BookQ1,1669)*(5-MIN(4,1+'5. Scenarios'!$E$8))/4+INDEX(BookQ2,1669)*(5-MIN(4,2+'5. Scenarios'!$E$8))/4+INDEX(BookQ3,1669)*(5-MIN(4,3+'5. Scenarios'!$E$8))/4+INDEX(BookQ4,1669)*(5-MIN(4,4+'5. Scenarios'!$E$8))/4)*'5. Scenarios'!$E$6/(1+ProductivityDefault*('5. Scenarios'!$E$11-1))+INDEX(BookOneOff,1669)*$S1674)</f>
        <v/>
      </c>
    </row>
    <row r="1675" customFormat="false" ht="15" hidden="false" customHeight="false" outlineLevel="0" collapsed="false">
      <c r="A1675" s="0" t="str">
        <f aca="false">IF(INDEX(BookTitle,1670)="","",INDEX(BookKey,1670))</f>
        <v/>
      </c>
      <c r="B1675" s="0" t="str">
        <f aca="false">IF(INDEX(BookTitle,1670)="","",INDEX(BookGroup,1670))</f>
        <v/>
      </c>
      <c r="C1675" s="0" t="str">
        <f aca="false">IF(INDEX(BookTitle,1670)="","",INDEX(BookCategory,1670))</f>
        <v/>
      </c>
      <c r="D1675" s="56" t="str">
        <f aca="false">IF(INDEX(BookTitle,1670)="","",INDEX(BookTotal,1670)*'5. Scenarios'!$B$6/(1+ProductivityDefault*('5. Scenarios'!$B$11-1)))</f>
        <v/>
      </c>
      <c r="E1675" s="57" t="str">
        <f aca="false">IF($D1675="","",INDEX(BookRate,1670)*(1+'5. Scenarios'!$B$10)*$D1675)</f>
        <v/>
      </c>
      <c r="F1675" s="57" t="str">
        <f aca="false">IF($E1675="","",SUMIFS($E$6:$E$2405,$A$6:$A$2405,"&lt;="&amp;$A1675))</f>
        <v/>
      </c>
      <c r="G1675" s="57" t="str">
        <f aca="false">IF($E1675="","",IF($F1675&lt;=BankCostEnvelope*'5. Scenarios'!$B$7,1,0))</f>
        <v/>
      </c>
      <c r="H1675" s="57" t="str">
        <f aca="false">IF($D1675="","",INDEX(BookRate,1670)*(1+'5. Scenarios'!$B$10)*(INDEX(BookQ1,1670)*(5-MIN(4,1+'5. Scenarios'!$B$8))/4+INDEX(BookQ2,1670)*(5-MIN(4,2+'5. Scenarios'!$B$8))/4+INDEX(BookQ3,1670)*(5-MIN(4,3+'5. Scenarios'!$B$8))/4+INDEX(BookQ4,1670)*(5-MIN(4,4+'5. Scenarios'!$B$8))/4)*'5. Scenarios'!$B$6/(1+ProductivityDefault*('5. Scenarios'!$B$11-1))+INDEX(BookOneOff,1670)*$D1675)</f>
        <v/>
      </c>
      <c r="I1675" s="56" t="str">
        <f aca="false">IF(INDEX(BookTitle,1670)="","",INDEX(BookTotal,1670)*'5. Scenarios'!$C$6/(1+ProductivityDefault*('5. Scenarios'!$C$11-1)))</f>
        <v/>
      </c>
      <c r="J1675" s="57" t="str">
        <f aca="false">IF($I1675="","",INDEX(BookRate,1670)*(1+'5. Scenarios'!$C$10)*$I1675)</f>
        <v/>
      </c>
      <c r="K1675" s="57" t="str">
        <f aca="false">IF($J1675="","",SUMIFS($J$6:$J$2405,$A$6:$A$2405,"&lt;="&amp;$A1675))</f>
        <v/>
      </c>
      <c r="L1675" s="57" t="str">
        <f aca="false">IF($J1675="","",IF($K1675&lt;=BankCostEnvelope*'5. Scenarios'!$C$7,1,0))</f>
        <v/>
      </c>
      <c r="M1675" s="57" t="str">
        <f aca="false">IF($I1675="","",INDEX(BookRate,1670)*(1+'5. Scenarios'!$C$10)*(INDEX(BookQ1,1670)*(5-MIN(4,1+'5. Scenarios'!$C$8))/4+INDEX(BookQ2,1670)*(5-MIN(4,2+'5. Scenarios'!$C$8))/4+INDEX(BookQ3,1670)*(5-MIN(4,3+'5. Scenarios'!$C$8))/4+INDEX(BookQ4,1670)*(5-MIN(4,4+'5. Scenarios'!$C$8))/4)*'5. Scenarios'!$C$6/(1+ProductivityDefault*('5. Scenarios'!$C$11-1))+INDEX(BookOneOff,1670)*$I1675)</f>
        <v/>
      </c>
      <c r="N1675" s="56" t="str">
        <f aca="false">IF(INDEX(BookTitle,1670)="","",INDEX(BookTotal,1670)*'5. Scenarios'!$D$6/(1+ProductivityDefault*('5. Scenarios'!$D$11-1)))</f>
        <v/>
      </c>
      <c r="O1675" s="57" t="str">
        <f aca="false">IF($N1675="","",INDEX(BookRate,1670)*(1+'5. Scenarios'!$D$10)*$N1675)</f>
        <v/>
      </c>
      <c r="P1675" s="57" t="str">
        <f aca="false">IF($O1675="","",SUMIFS($O$6:$O$2405,$A$6:$A$2405,"&lt;="&amp;$A1675))</f>
        <v/>
      </c>
      <c r="Q1675" s="57" t="str">
        <f aca="false">IF($O1675="","",IF($P1675&lt;=BankCostEnvelope*'5. Scenarios'!$D$7,1,0))</f>
        <v/>
      </c>
      <c r="R1675" s="57" t="str">
        <f aca="false">IF($N1675="","",INDEX(BookRate,1670)*(1+'5. Scenarios'!$D$10)*(INDEX(BookQ1,1670)*(5-MIN(4,1+'5. Scenarios'!$D$8))/4+INDEX(BookQ2,1670)*(5-MIN(4,2+'5. Scenarios'!$D$8))/4+INDEX(BookQ3,1670)*(5-MIN(4,3+'5. Scenarios'!$D$8))/4+INDEX(BookQ4,1670)*(5-MIN(4,4+'5. Scenarios'!$D$8))/4)*'5. Scenarios'!$D$6/(1+ProductivityDefault*('5. Scenarios'!$D$11-1))+INDEX(BookOneOff,1670)*$N1675)</f>
        <v/>
      </c>
      <c r="S1675" s="56" t="str">
        <f aca="false">IF(INDEX(BookTitle,1670)="","",INDEX(BookTotal,1670)*'5. Scenarios'!$E$6/(1+ProductivityDefault*('5. Scenarios'!$E$11-1)))</f>
        <v/>
      </c>
      <c r="T1675" s="57" t="str">
        <f aca="false">IF($S1675="","",INDEX(BookRate,1670)*(1+'5. Scenarios'!$E$10)*$S1675)</f>
        <v/>
      </c>
      <c r="U1675" s="57" t="str">
        <f aca="false">IF($T1675="","",SUMIFS($T$6:$T$2405,$A$6:$A$2405,"&lt;="&amp;$A1675))</f>
        <v/>
      </c>
      <c r="V1675" s="57" t="str">
        <f aca="false">IF($T1675="","",IF($U1675&lt;=BankCostEnvelope*'5. Scenarios'!$E$7,1,0))</f>
        <v/>
      </c>
      <c r="W1675" s="57" t="str">
        <f aca="false">IF($S1675="","",INDEX(BookRate,1670)*(1+'5. Scenarios'!$E$10)*(INDEX(BookQ1,1670)*(5-MIN(4,1+'5. Scenarios'!$E$8))/4+INDEX(BookQ2,1670)*(5-MIN(4,2+'5. Scenarios'!$E$8))/4+INDEX(BookQ3,1670)*(5-MIN(4,3+'5. Scenarios'!$E$8))/4+INDEX(BookQ4,1670)*(5-MIN(4,4+'5. Scenarios'!$E$8))/4)*'5. Scenarios'!$E$6/(1+ProductivityDefault*('5. Scenarios'!$E$11-1))+INDEX(BookOneOff,1670)*$S1675)</f>
        <v/>
      </c>
    </row>
    <row r="1676" customFormat="false" ht="15" hidden="false" customHeight="false" outlineLevel="0" collapsed="false">
      <c r="A1676" s="0" t="str">
        <f aca="false">IF(INDEX(BookTitle,1671)="","",INDEX(BookKey,1671))</f>
        <v/>
      </c>
      <c r="B1676" s="0" t="str">
        <f aca="false">IF(INDEX(BookTitle,1671)="","",INDEX(BookGroup,1671))</f>
        <v/>
      </c>
      <c r="C1676" s="0" t="str">
        <f aca="false">IF(INDEX(BookTitle,1671)="","",INDEX(BookCategory,1671))</f>
        <v/>
      </c>
      <c r="D1676" s="56" t="str">
        <f aca="false">IF(INDEX(BookTitle,1671)="","",INDEX(BookTotal,1671)*'5. Scenarios'!$B$6/(1+ProductivityDefault*('5. Scenarios'!$B$11-1)))</f>
        <v/>
      </c>
      <c r="E1676" s="57" t="str">
        <f aca="false">IF($D1676="","",INDEX(BookRate,1671)*(1+'5. Scenarios'!$B$10)*$D1676)</f>
        <v/>
      </c>
      <c r="F1676" s="57" t="str">
        <f aca="false">IF($E1676="","",SUMIFS($E$6:$E$2405,$A$6:$A$2405,"&lt;="&amp;$A1676))</f>
        <v/>
      </c>
      <c r="G1676" s="57" t="str">
        <f aca="false">IF($E1676="","",IF($F1676&lt;=BankCostEnvelope*'5. Scenarios'!$B$7,1,0))</f>
        <v/>
      </c>
      <c r="H1676" s="57" t="str">
        <f aca="false">IF($D1676="","",INDEX(BookRate,1671)*(1+'5. Scenarios'!$B$10)*(INDEX(BookQ1,1671)*(5-MIN(4,1+'5. Scenarios'!$B$8))/4+INDEX(BookQ2,1671)*(5-MIN(4,2+'5. Scenarios'!$B$8))/4+INDEX(BookQ3,1671)*(5-MIN(4,3+'5. Scenarios'!$B$8))/4+INDEX(BookQ4,1671)*(5-MIN(4,4+'5. Scenarios'!$B$8))/4)*'5. Scenarios'!$B$6/(1+ProductivityDefault*('5. Scenarios'!$B$11-1))+INDEX(BookOneOff,1671)*$D1676)</f>
        <v/>
      </c>
      <c r="I1676" s="56" t="str">
        <f aca="false">IF(INDEX(BookTitle,1671)="","",INDEX(BookTotal,1671)*'5. Scenarios'!$C$6/(1+ProductivityDefault*('5. Scenarios'!$C$11-1)))</f>
        <v/>
      </c>
      <c r="J1676" s="57" t="str">
        <f aca="false">IF($I1676="","",INDEX(BookRate,1671)*(1+'5. Scenarios'!$C$10)*$I1676)</f>
        <v/>
      </c>
      <c r="K1676" s="57" t="str">
        <f aca="false">IF($J1676="","",SUMIFS($J$6:$J$2405,$A$6:$A$2405,"&lt;="&amp;$A1676))</f>
        <v/>
      </c>
      <c r="L1676" s="57" t="str">
        <f aca="false">IF($J1676="","",IF($K1676&lt;=BankCostEnvelope*'5. Scenarios'!$C$7,1,0))</f>
        <v/>
      </c>
      <c r="M1676" s="57" t="str">
        <f aca="false">IF($I1676="","",INDEX(BookRate,1671)*(1+'5. Scenarios'!$C$10)*(INDEX(BookQ1,1671)*(5-MIN(4,1+'5. Scenarios'!$C$8))/4+INDEX(BookQ2,1671)*(5-MIN(4,2+'5. Scenarios'!$C$8))/4+INDEX(BookQ3,1671)*(5-MIN(4,3+'5. Scenarios'!$C$8))/4+INDEX(BookQ4,1671)*(5-MIN(4,4+'5. Scenarios'!$C$8))/4)*'5. Scenarios'!$C$6/(1+ProductivityDefault*('5. Scenarios'!$C$11-1))+INDEX(BookOneOff,1671)*$I1676)</f>
        <v/>
      </c>
      <c r="N1676" s="56" t="str">
        <f aca="false">IF(INDEX(BookTitle,1671)="","",INDEX(BookTotal,1671)*'5. Scenarios'!$D$6/(1+ProductivityDefault*('5. Scenarios'!$D$11-1)))</f>
        <v/>
      </c>
      <c r="O1676" s="57" t="str">
        <f aca="false">IF($N1676="","",INDEX(BookRate,1671)*(1+'5. Scenarios'!$D$10)*$N1676)</f>
        <v/>
      </c>
      <c r="P1676" s="57" t="str">
        <f aca="false">IF($O1676="","",SUMIFS($O$6:$O$2405,$A$6:$A$2405,"&lt;="&amp;$A1676))</f>
        <v/>
      </c>
      <c r="Q1676" s="57" t="str">
        <f aca="false">IF($O1676="","",IF($P1676&lt;=BankCostEnvelope*'5. Scenarios'!$D$7,1,0))</f>
        <v/>
      </c>
      <c r="R1676" s="57" t="str">
        <f aca="false">IF($N1676="","",INDEX(BookRate,1671)*(1+'5. Scenarios'!$D$10)*(INDEX(BookQ1,1671)*(5-MIN(4,1+'5. Scenarios'!$D$8))/4+INDEX(BookQ2,1671)*(5-MIN(4,2+'5. Scenarios'!$D$8))/4+INDEX(BookQ3,1671)*(5-MIN(4,3+'5. Scenarios'!$D$8))/4+INDEX(BookQ4,1671)*(5-MIN(4,4+'5. Scenarios'!$D$8))/4)*'5. Scenarios'!$D$6/(1+ProductivityDefault*('5. Scenarios'!$D$11-1))+INDEX(BookOneOff,1671)*$N1676)</f>
        <v/>
      </c>
      <c r="S1676" s="56" t="str">
        <f aca="false">IF(INDEX(BookTitle,1671)="","",INDEX(BookTotal,1671)*'5. Scenarios'!$E$6/(1+ProductivityDefault*('5. Scenarios'!$E$11-1)))</f>
        <v/>
      </c>
      <c r="T1676" s="57" t="str">
        <f aca="false">IF($S1676="","",INDEX(BookRate,1671)*(1+'5. Scenarios'!$E$10)*$S1676)</f>
        <v/>
      </c>
      <c r="U1676" s="57" t="str">
        <f aca="false">IF($T1676="","",SUMIFS($T$6:$T$2405,$A$6:$A$2405,"&lt;="&amp;$A1676))</f>
        <v/>
      </c>
      <c r="V1676" s="57" t="str">
        <f aca="false">IF($T1676="","",IF($U1676&lt;=BankCostEnvelope*'5. Scenarios'!$E$7,1,0))</f>
        <v/>
      </c>
      <c r="W1676" s="57" t="str">
        <f aca="false">IF($S1676="","",INDEX(BookRate,1671)*(1+'5. Scenarios'!$E$10)*(INDEX(BookQ1,1671)*(5-MIN(4,1+'5. Scenarios'!$E$8))/4+INDEX(BookQ2,1671)*(5-MIN(4,2+'5. Scenarios'!$E$8))/4+INDEX(BookQ3,1671)*(5-MIN(4,3+'5. Scenarios'!$E$8))/4+INDEX(BookQ4,1671)*(5-MIN(4,4+'5. Scenarios'!$E$8))/4)*'5. Scenarios'!$E$6/(1+ProductivityDefault*('5. Scenarios'!$E$11-1))+INDEX(BookOneOff,1671)*$S1676)</f>
        <v/>
      </c>
    </row>
    <row r="1677" customFormat="false" ht="15" hidden="false" customHeight="false" outlineLevel="0" collapsed="false">
      <c r="A1677" s="0" t="str">
        <f aca="false">IF(INDEX(BookTitle,1672)="","",INDEX(BookKey,1672))</f>
        <v/>
      </c>
      <c r="B1677" s="0" t="str">
        <f aca="false">IF(INDEX(BookTitle,1672)="","",INDEX(BookGroup,1672))</f>
        <v/>
      </c>
      <c r="C1677" s="0" t="str">
        <f aca="false">IF(INDEX(BookTitle,1672)="","",INDEX(BookCategory,1672))</f>
        <v/>
      </c>
      <c r="D1677" s="56" t="str">
        <f aca="false">IF(INDEX(BookTitle,1672)="","",INDEX(BookTotal,1672)*'5. Scenarios'!$B$6/(1+ProductivityDefault*('5. Scenarios'!$B$11-1)))</f>
        <v/>
      </c>
      <c r="E1677" s="57" t="str">
        <f aca="false">IF($D1677="","",INDEX(BookRate,1672)*(1+'5. Scenarios'!$B$10)*$D1677)</f>
        <v/>
      </c>
      <c r="F1677" s="57" t="str">
        <f aca="false">IF($E1677="","",SUMIFS($E$6:$E$2405,$A$6:$A$2405,"&lt;="&amp;$A1677))</f>
        <v/>
      </c>
      <c r="G1677" s="57" t="str">
        <f aca="false">IF($E1677="","",IF($F1677&lt;=BankCostEnvelope*'5. Scenarios'!$B$7,1,0))</f>
        <v/>
      </c>
      <c r="H1677" s="57" t="str">
        <f aca="false">IF($D1677="","",INDEX(BookRate,1672)*(1+'5. Scenarios'!$B$10)*(INDEX(BookQ1,1672)*(5-MIN(4,1+'5. Scenarios'!$B$8))/4+INDEX(BookQ2,1672)*(5-MIN(4,2+'5. Scenarios'!$B$8))/4+INDEX(BookQ3,1672)*(5-MIN(4,3+'5. Scenarios'!$B$8))/4+INDEX(BookQ4,1672)*(5-MIN(4,4+'5. Scenarios'!$B$8))/4)*'5. Scenarios'!$B$6/(1+ProductivityDefault*('5. Scenarios'!$B$11-1))+INDEX(BookOneOff,1672)*$D1677)</f>
        <v/>
      </c>
      <c r="I1677" s="56" t="str">
        <f aca="false">IF(INDEX(BookTitle,1672)="","",INDEX(BookTotal,1672)*'5. Scenarios'!$C$6/(1+ProductivityDefault*('5. Scenarios'!$C$11-1)))</f>
        <v/>
      </c>
      <c r="J1677" s="57" t="str">
        <f aca="false">IF($I1677="","",INDEX(BookRate,1672)*(1+'5. Scenarios'!$C$10)*$I1677)</f>
        <v/>
      </c>
      <c r="K1677" s="57" t="str">
        <f aca="false">IF($J1677="","",SUMIFS($J$6:$J$2405,$A$6:$A$2405,"&lt;="&amp;$A1677))</f>
        <v/>
      </c>
      <c r="L1677" s="57" t="str">
        <f aca="false">IF($J1677="","",IF($K1677&lt;=BankCostEnvelope*'5. Scenarios'!$C$7,1,0))</f>
        <v/>
      </c>
      <c r="M1677" s="57" t="str">
        <f aca="false">IF($I1677="","",INDEX(BookRate,1672)*(1+'5. Scenarios'!$C$10)*(INDEX(BookQ1,1672)*(5-MIN(4,1+'5. Scenarios'!$C$8))/4+INDEX(BookQ2,1672)*(5-MIN(4,2+'5. Scenarios'!$C$8))/4+INDEX(BookQ3,1672)*(5-MIN(4,3+'5. Scenarios'!$C$8))/4+INDEX(BookQ4,1672)*(5-MIN(4,4+'5. Scenarios'!$C$8))/4)*'5. Scenarios'!$C$6/(1+ProductivityDefault*('5. Scenarios'!$C$11-1))+INDEX(BookOneOff,1672)*$I1677)</f>
        <v/>
      </c>
      <c r="N1677" s="56" t="str">
        <f aca="false">IF(INDEX(BookTitle,1672)="","",INDEX(BookTotal,1672)*'5. Scenarios'!$D$6/(1+ProductivityDefault*('5. Scenarios'!$D$11-1)))</f>
        <v/>
      </c>
      <c r="O1677" s="57" t="str">
        <f aca="false">IF($N1677="","",INDEX(BookRate,1672)*(1+'5. Scenarios'!$D$10)*$N1677)</f>
        <v/>
      </c>
      <c r="P1677" s="57" t="str">
        <f aca="false">IF($O1677="","",SUMIFS($O$6:$O$2405,$A$6:$A$2405,"&lt;="&amp;$A1677))</f>
        <v/>
      </c>
      <c r="Q1677" s="57" t="str">
        <f aca="false">IF($O1677="","",IF($P1677&lt;=BankCostEnvelope*'5. Scenarios'!$D$7,1,0))</f>
        <v/>
      </c>
      <c r="R1677" s="57" t="str">
        <f aca="false">IF($N1677="","",INDEX(BookRate,1672)*(1+'5. Scenarios'!$D$10)*(INDEX(BookQ1,1672)*(5-MIN(4,1+'5. Scenarios'!$D$8))/4+INDEX(BookQ2,1672)*(5-MIN(4,2+'5. Scenarios'!$D$8))/4+INDEX(BookQ3,1672)*(5-MIN(4,3+'5. Scenarios'!$D$8))/4+INDEX(BookQ4,1672)*(5-MIN(4,4+'5. Scenarios'!$D$8))/4)*'5. Scenarios'!$D$6/(1+ProductivityDefault*('5. Scenarios'!$D$11-1))+INDEX(BookOneOff,1672)*$N1677)</f>
        <v/>
      </c>
      <c r="S1677" s="56" t="str">
        <f aca="false">IF(INDEX(BookTitle,1672)="","",INDEX(BookTotal,1672)*'5. Scenarios'!$E$6/(1+ProductivityDefault*('5. Scenarios'!$E$11-1)))</f>
        <v/>
      </c>
      <c r="T1677" s="57" t="str">
        <f aca="false">IF($S1677="","",INDEX(BookRate,1672)*(1+'5. Scenarios'!$E$10)*$S1677)</f>
        <v/>
      </c>
      <c r="U1677" s="57" t="str">
        <f aca="false">IF($T1677="","",SUMIFS($T$6:$T$2405,$A$6:$A$2405,"&lt;="&amp;$A1677))</f>
        <v/>
      </c>
      <c r="V1677" s="57" t="str">
        <f aca="false">IF($T1677="","",IF($U1677&lt;=BankCostEnvelope*'5. Scenarios'!$E$7,1,0))</f>
        <v/>
      </c>
      <c r="W1677" s="57" t="str">
        <f aca="false">IF($S1677="","",INDEX(BookRate,1672)*(1+'5. Scenarios'!$E$10)*(INDEX(BookQ1,1672)*(5-MIN(4,1+'5. Scenarios'!$E$8))/4+INDEX(BookQ2,1672)*(5-MIN(4,2+'5. Scenarios'!$E$8))/4+INDEX(BookQ3,1672)*(5-MIN(4,3+'5. Scenarios'!$E$8))/4+INDEX(BookQ4,1672)*(5-MIN(4,4+'5. Scenarios'!$E$8))/4)*'5. Scenarios'!$E$6/(1+ProductivityDefault*('5. Scenarios'!$E$11-1))+INDEX(BookOneOff,1672)*$S1677)</f>
        <v/>
      </c>
    </row>
    <row r="1678" customFormat="false" ht="15" hidden="false" customHeight="false" outlineLevel="0" collapsed="false">
      <c r="A1678" s="0" t="str">
        <f aca="false">IF(INDEX(BookTitle,1673)="","",INDEX(BookKey,1673))</f>
        <v/>
      </c>
      <c r="B1678" s="0" t="str">
        <f aca="false">IF(INDEX(BookTitle,1673)="","",INDEX(BookGroup,1673))</f>
        <v/>
      </c>
      <c r="C1678" s="0" t="str">
        <f aca="false">IF(INDEX(BookTitle,1673)="","",INDEX(BookCategory,1673))</f>
        <v/>
      </c>
      <c r="D1678" s="56" t="str">
        <f aca="false">IF(INDEX(BookTitle,1673)="","",INDEX(BookTotal,1673)*'5. Scenarios'!$B$6/(1+ProductivityDefault*('5. Scenarios'!$B$11-1)))</f>
        <v/>
      </c>
      <c r="E1678" s="57" t="str">
        <f aca="false">IF($D1678="","",INDEX(BookRate,1673)*(1+'5. Scenarios'!$B$10)*$D1678)</f>
        <v/>
      </c>
      <c r="F1678" s="57" t="str">
        <f aca="false">IF($E1678="","",SUMIFS($E$6:$E$2405,$A$6:$A$2405,"&lt;="&amp;$A1678))</f>
        <v/>
      </c>
      <c r="G1678" s="57" t="str">
        <f aca="false">IF($E1678="","",IF($F1678&lt;=BankCostEnvelope*'5. Scenarios'!$B$7,1,0))</f>
        <v/>
      </c>
      <c r="H1678" s="57" t="str">
        <f aca="false">IF($D1678="","",INDEX(BookRate,1673)*(1+'5. Scenarios'!$B$10)*(INDEX(BookQ1,1673)*(5-MIN(4,1+'5. Scenarios'!$B$8))/4+INDEX(BookQ2,1673)*(5-MIN(4,2+'5. Scenarios'!$B$8))/4+INDEX(BookQ3,1673)*(5-MIN(4,3+'5. Scenarios'!$B$8))/4+INDEX(BookQ4,1673)*(5-MIN(4,4+'5. Scenarios'!$B$8))/4)*'5. Scenarios'!$B$6/(1+ProductivityDefault*('5. Scenarios'!$B$11-1))+INDEX(BookOneOff,1673)*$D1678)</f>
        <v/>
      </c>
      <c r="I1678" s="56" t="str">
        <f aca="false">IF(INDEX(BookTitle,1673)="","",INDEX(BookTotal,1673)*'5. Scenarios'!$C$6/(1+ProductivityDefault*('5. Scenarios'!$C$11-1)))</f>
        <v/>
      </c>
      <c r="J1678" s="57" t="str">
        <f aca="false">IF($I1678="","",INDEX(BookRate,1673)*(1+'5. Scenarios'!$C$10)*$I1678)</f>
        <v/>
      </c>
      <c r="K1678" s="57" t="str">
        <f aca="false">IF($J1678="","",SUMIFS($J$6:$J$2405,$A$6:$A$2405,"&lt;="&amp;$A1678))</f>
        <v/>
      </c>
      <c r="L1678" s="57" t="str">
        <f aca="false">IF($J1678="","",IF($K1678&lt;=BankCostEnvelope*'5. Scenarios'!$C$7,1,0))</f>
        <v/>
      </c>
      <c r="M1678" s="57" t="str">
        <f aca="false">IF($I1678="","",INDEX(BookRate,1673)*(1+'5. Scenarios'!$C$10)*(INDEX(BookQ1,1673)*(5-MIN(4,1+'5. Scenarios'!$C$8))/4+INDEX(BookQ2,1673)*(5-MIN(4,2+'5. Scenarios'!$C$8))/4+INDEX(BookQ3,1673)*(5-MIN(4,3+'5. Scenarios'!$C$8))/4+INDEX(BookQ4,1673)*(5-MIN(4,4+'5. Scenarios'!$C$8))/4)*'5. Scenarios'!$C$6/(1+ProductivityDefault*('5. Scenarios'!$C$11-1))+INDEX(BookOneOff,1673)*$I1678)</f>
        <v/>
      </c>
      <c r="N1678" s="56" t="str">
        <f aca="false">IF(INDEX(BookTitle,1673)="","",INDEX(BookTotal,1673)*'5. Scenarios'!$D$6/(1+ProductivityDefault*('5. Scenarios'!$D$11-1)))</f>
        <v/>
      </c>
      <c r="O1678" s="57" t="str">
        <f aca="false">IF($N1678="","",INDEX(BookRate,1673)*(1+'5. Scenarios'!$D$10)*$N1678)</f>
        <v/>
      </c>
      <c r="P1678" s="57" t="str">
        <f aca="false">IF($O1678="","",SUMIFS($O$6:$O$2405,$A$6:$A$2405,"&lt;="&amp;$A1678))</f>
        <v/>
      </c>
      <c r="Q1678" s="57" t="str">
        <f aca="false">IF($O1678="","",IF($P1678&lt;=BankCostEnvelope*'5. Scenarios'!$D$7,1,0))</f>
        <v/>
      </c>
      <c r="R1678" s="57" t="str">
        <f aca="false">IF($N1678="","",INDEX(BookRate,1673)*(1+'5. Scenarios'!$D$10)*(INDEX(BookQ1,1673)*(5-MIN(4,1+'5. Scenarios'!$D$8))/4+INDEX(BookQ2,1673)*(5-MIN(4,2+'5. Scenarios'!$D$8))/4+INDEX(BookQ3,1673)*(5-MIN(4,3+'5. Scenarios'!$D$8))/4+INDEX(BookQ4,1673)*(5-MIN(4,4+'5. Scenarios'!$D$8))/4)*'5. Scenarios'!$D$6/(1+ProductivityDefault*('5. Scenarios'!$D$11-1))+INDEX(BookOneOff,1673)*$N1678)</f>
        <v/>
      </c>
      <c r="S1678" s="56" t="str">
        <f aca="false">IF(INDEX(BookTitle,1673)="","",INDEX(BookTotal,1673)*'5. Scenarios'!$E$6/(1+ProductivityDefault*('5. Scenarios'!$E$11-1)))</f>
        <v/>
      </c>
      <c r="T1678" s="57" t="str">
        <f aca="false">IF($S1678="","",INDEX(BookRate,1673)*(1+'5. Scenarios'!$E$10)*$S1678)</f>
        <v/>
      </c>
      <c r="U1678" s="57" t="str">
        <f aca="false">IF($T1678="","",SUMIFS($T$6:$T$2405,$A$6:$A$2405,"&lt;="&amp;$A1678))</f>
        <v/>
      </c>
      <c r="V1678" s="57" t="str">
        <f aca="false">IF($T1678="","",IF($U1678&lt;=BankCostEnvelope*'5. Scenarios'!$E$7,1,0))</f>
        <v/>
      </c>
      <c r="W1678" s="57" t="str">
        <f aca="false">IF($S1678="","",INDEX(BookRate,1673)*(1+'5. Scenarios'!$E$10)*(INDEX(BookQ1,1673)*(5-MIN(4,1+'5. Scenarios'!$E$8))/4+INDEX(BookQ2,1673)*(5-MIN(4,2+'5. Scenarios'!$E$8))/4+INDEX(BookQ3,1673)*(5-MIN(4,3+'5. Scenarios'!$E$8))/4+INDEX(BookQ4,1673)*(5-MIN(4,4+'5. Scenarios'!$E$8))/4)*'5. Scenarios'!$E$6/(1+ProductivityDefault*('5. Scenarios'!$E$11-1))+INDEX(BookOneOff,1673)*$S1678)</f>
        <v/>
      </c>
    </row>
    <row r="1679" customFormat="false" ht="15" hidden="false" customHeight="false" outlineLevel="0" collapsed="false">
      <c r="A1679" s="0" t="str">
        <f aca="false">IF(INDEX(BookTitle,1674)="","",INDEX(BookKey,1674))</f>
        <v/>
      </c>
      <c r="B1679" s="0" t="str">
        <f aca="false">IF(INDEX(BookTitle,1674)="","",INDEX(BookGroup,1674))</f>
        <v/>
      </c>
      <c r="C1679" s="0" t="str">
        <f aca="false">IF(INDEX(BookTitle,1674)="","",INDEX(BookCategory,1674))</f>
        <v/>
      </c>
      <c r="D1679" s="56" t="str">
        <f aca="false">IF(INDEX(BookTitle,1674)="","",INDEX(BookTotal,1674)*'5. Scenarios'!$B$6/(1+ProductivityDefault*('5. Scenarios'!$B$11-1)))</f>
        <v/>
      </c>
      <c r="E1679" s="57" t="str">
        <f aca="false">IF($D1679="","",INDEX(BookRate,1674)*(1+'5. Scenarios'!$B$10)*$D1679)</f>
        <v/>
      </c>
      <c r="F1679" s="57" t="str">
        <f aca="false">IF($E1679="","",SUMIFS($E$6:$E$2405,$A$6:$A$2405,"&lt;="&amp;$A1679))</f>
        <v/>
      </c>
      <c r="G1679" s="57" t="str">
        <f aca="false">IF($E1679="","",IF($F1679&lt;=BankCostEnvelope*'5. Scenarios'!$B$7,1,0))</f>
        <v/>
      </c>
      <c r="H1679" s="57" t="str">
        <f aca="false">IF($D1679="","",INDEX(BookRate,1674)*(1+'5. Scenarios'!$B$10)*(INDEX(BookQ1,1674)*(5-MIN(4,1+'5. Scenarios'!$B$8))/4+INDEX(BookQ2,1674)*(5-MIN(4,2+'5. Scenarios'!$B$8))/4+INDEX(BookQ3,1674)*(5-MIN(4,3+'5. Scenarios'!$B$8))/4+INDEX(BookQ4,1674)*(5-MIN(4,4+'5. Scenarios'!$B$8))/4)*'5. Scenarios'!$B$6/(1+ProductivityDefault*('5. Scenarios'!$B$11-1))+INDEX(BookOneOff,1674)*$D1679)</f>
        <v/>
      </c>
      <c r="I1679" s="56" t="str">
        <f aca="false">IF(INDEX(BookTitle,1674)="","",INDEX(BookTotal,1674)*'5. Scenarios'!$C$6/(1+ProductivityDefault*('5. Scenarios'!$C$11-1)))</f>
        <v/>
      </c>
      <c r="J1679" s="57" t="str">
        <f aca="false">IF($I1679="","",INDEX(BookRate,1674)*(1+'5. Scenarios'!$C$10)*$I1679)</f>
        <v/>
      </c>
      <c r="K1679" s="57" t="str">
        <f aca="false">IF($J1679="","",SUMIFS($J$6:$J$2405,$A$6:$A$2405,"&lt;="&amp;$A1679))</f>
        <v/>
      </c>
      <c r="L1679" s="57" t="str">
        <f aca="false">IF($J1679="","",IF($K1679&lt;=BankCostEnvelope*'5. Scenarios'!$C$7,1,0))</f>
        <v/>
      </c>
      <c r="M1679" s="57" t="str">
        <f aca="false">IF($I1679="","",INDEX(BookRate,1674)*(1+'5. Scenarios'!$C$10)*(INDEX(BookQ1,1674)*(5-MIN(4,1+'5. Scenarios'!$C$8))/4+INDEX(BookQ2,1674)*(5-MIN(4,2+'5. Scenarios'!$C$8))/4+INDEX(BookQ3,1674)*(5-MIN(4,3+'5. Scenarios'!$C$8))/4+INDEX(BookQ4,1674)*(5-MIN(4,4+'5. Scenarios'!$C$8))/4)*'5. Scenarios'!$C$6/(1+ProductivityDefault*('5. Scenarios'!$C$11-1))+INDEX(BookOneOff,1674)*$I1679)</f>
        <v/>
      </c>
      <c r="N1679" s="56" t="str">
        <f aca="false">IF(INDEX(BookTitle,1674)="","",INDEX(BookTotal,1674)*'5. Scenarios'!$D$6/(1+ProductivityDefault*('5. Scenarios'!$D$11-1)))</f>
        <v/>
      </c>
      <c r="O1679" s="57" t="str">
        <f aca="false">IF($N1679="","",INDEX(BookRate,1674)*(1+'5. Scenarios'!$D$10)*$N1679)</f>
        <v/>
      </c>
      <c r="P1679" s="57" t="str">
        <f aca="false">IF($O1679="","",SUMIFS($O$6:$O$2405,$A$6:$A$2405,"&lt;="&amp;$A1679))</f>
        <v/>
      </c>
      <c r="Q1679" s="57" t="str">
        <f aca="false">IF($O1679="","",IF($P1679&lt;=BankCostEnvelope*'5. Scenarios'!$D$7,1,0))</f>
        <v/>
      </c>
      <c r="R1679" s="57" t="str">
        <f aca="false">IF($N1679="","",INDEX(BookRate,1674)*(1+'5. Scenarios'!$D$10)*(INDEX(BookQ1,1674)*(5-MIN(4,1+'5. Scenarios'!$D$8))/4+INDEX(BookQ2,1674)*(5-MIN(4,2+'5. Scenarios'!$D$8))/4+INDEX(BookQ3,1674)*(5-MIN(4,3+'5. Scenarios'!$D$8))/4+INDEX(BookQ4,1674)*(5-MIN(4,4+'5. Scenarios'!$D$8))/4)*'5. Scenarios'!$D$6/(1+ProductivityDefault*('5. Scenarios'!$D$11-1))+INDEX(BookOneOff,1674)*$N1679)</f>
        <v/>
      </c>
      <c r="S1679" s="56" t="str">
        <f aca="false">IF(INDEX(BookTitle,1674)="","",INDEX(BookTotal,1674)*'5. Scenarios'!$E$6/(1+ProductivityDefault*('5. Scenarios'!$E$11-1)))</f>
        <v/>
      </c>
      <c r="T1679" s="57" t="str">
        <f aca="false">IF($S1679="","",INDEX(BookRate,1674)*(1+'5. Scenarios'!$E$10)*$S1679)</f>
        <v/>
      </c>
      <c r="U1679" s="57" t="str">
        <f aca="false">IF($T1679="","",SUMIFS($T$6:$T$2405,$A$6:$A$2405,"&lt;="&amp;$A1679))</f>
        <v/>
      </c>
      <c r="V1679" s="57" t="str">
        <f aca="false">IF($T1679="","",IF($U1679&lt;=BankCostEnvelope*'5. Scenarios'!$E$7,1,0))</f>
        <v/>
      </c>
      <c r="W1679" s="57" t="str">
        <f aca="false">IF($S1679="","",INDEX(BookRate,1674)*(1+'5. Scenarios'!$E$10)*(INDEX(BookQ1,1674)*(5-MIN(4,1+'5. Scenarios'!$E$8))/4+INDEX(BookQ2,1674)*(5-MIN(4,2+'5. Scenarios'!$E$8))/4+INDEX(BookQ3,1674)*(5-MIN(4,3+'5. Scenarios'!$E$8))/4+INDEX(BookQ4,1674)*(5-MIN(4,4+'5. Scenarios'!$E$8))/4)*'5. Scenarios'!$E$6/(1+ProductivityDefault*('5. Scenarios'!$E$11-1))+INDEX(BookOneOff,1674)*$S1679)</f>
        <v/>
      </c>
    </row>
    <row r="1680" customFormat="false" ht="15" hidden="false" customHeight="false" outlineLevel="0" collapsed="false">
      <c r="A1680" s="0" t="str">
        <f aca="false">IF(INDEX(BookTitle,1675)="","",INDEX(BookKey,1675))</f>
        <v/>
      </c>
      <c r="B1680" s="0" t="str">
        <f aca="false">IF(INDEX(BookTitle,1675)="","",INDEX(BookGroup,1675))</f>
        <v/>
      </c>
      <c r="C1680" s="0" t="str">
        <f aca="false">IF(INDEX(BookTitle,1675)="","",INDEX(BookCategory,1675))</f>
        <v/>
      </c>
      <c r="D1680" s="56" t="str">
        <f aca="false">IF(INDEX(BookTitle,1675)="","",INDEX(BookTotal,1675)*'5. Scenarios'!$B$6/(1+ProductivityDefault*('5. Scenarios'!$B$11-1)))</f>
        <v/>
      </c>
      <c r="E1680" s="57" t="str">
        <f aca="false">IF($D1680="","",INDEX(BookRate,1675)*(1+'5. Scenarios'!$B$10)*$D1680)</f>
        <v/>
      </c>
      <c r="F1680" s="57" t="str">
        <f aca="false">IF($E1680="","",SUMIFS($E$6:$E$2405,$A$6:$A$2405,"&lt;="&amp;$A1680))</f>
        <v/>
      </c>
      <c r="G1680" s="57" t="str">
        <f aca="false">IF($E1680="","",IF($F1680&lt;=BankCostEnvelope*'5. Scenarios'!$B$7,1,0))</f>
        <v/>
      </c>
      <c r="H1680" s="57" t="str">
        <f aca="false">IF($D1680="","",INDEX(BookRate,1675)*(1+'5. Scenarios'!$B$10)*(INDEX(BookQ1,1675)*(5-MIN(4,1+'5. Scenarios'!$B$8))/4+INDEX(BookQ2,1675)*(5-MIN(4,2+'5. Scenarios'!$B$8))/4+INDEX(BookQ3,1675)*(5-MIN(4,3+'5. Scenarios'!$B$8))/4+INDEX(BookQ4,1675)*(5-MIN(4,4+'5. Scenarios'!$B$8))/4)*'5. Scenarios'!$B$6/(1+ProductivityDefault*('5. Scenarios'!$B$11-1))+INDEX(BookOneOff,1675)*$D1680)</f>
        <v/>
      </c>
      <c r="I1680" s="56" t="str">
        <f aca="false">IF(INDEX(BookTitle,1675)="","",INDEX(BookTotal,1675)*'5. Scenarios'!$C$6/(1+ProductivityDefault*('5. Scenarios'!$C$11-1)))</f>
        <v/>
      </c>
      <c r="J1680" s="57" t="str">
        <f aca="false">IF($I1680="","",INDEX(BookRate,1675)*(1+'5. Scenarios'!$C$10)*$I1680)</f>
        <v/>
      </c>
      <c r="K1680" s="57" t="str">
        <f aca="false">IF($J1680="","",SUMIFS($J$6:$J$2405,$A$6:$A$2405,"&lt;="&amp;$A1680))</f>
        <v/>
      </c>
      <c r="L1680" s="57" t="str">
        <f aca="false">IF($J1680="","",IF($K1680&lt;=BankCostEnvelope*'5. Scenarios'!$C$7,1,0))</f>
        <v/>
      </c>
      <c r="M1680" s="57" t="str">
        <f aca="false">IF($I1680="","",INDEX(BookRate,1675)*(1+'5. Scenarios'!$C$10)*(INDEX(BookQ1,1675)*(5-MIN(4,1+'5. Scenarios'!$C$8))/4+INDEX(BookQ2,1675)*(5-MIN(4,2+'5. Scenarios'!$C$8))/4+INDEX(BookQ3,1675)*(5-MIN(4,3+'5. Scenarios'!$C$8))/4+INDEX(BookQ4,1675)*(5-MIN(4,4+'5. Scenarios'!$C$8))/4)*'5. Scenarios'!$C$6/(1+ProductivityDefault*('5. Scenarios'!$C$11-1))+INDEX(BookOneOff,1675)*$I1680)</f>
        <v/>
      </c>
      <c r="N1680" s="56" t="str">
        <f aca="false">IF(INDEX(BookTitle,1675)="","",INDEX(BookTotal,1675)*'5. Scenarios'!$D$6/(1+ProductivityDefault*('5. Scenarios'!$D$11-1)))</f>
        <v/>
      </c>
      <c r="O1680" s="57" t="str">
        <f aca="false">IF($N1680="","",INDEX(BookRate,1675)*(1+'5. Scenarios'!$D$10)*$N1680)</f>
        <v/>
      </c>
      <c r="P1680" s="57" t="str">
        <f aca="false">IF($O1680="","",SUMIFS($O$6:$O$2405,$A$6:$A$2405,"&lt;="&amp;$A1680))</f>
        <v/>
      </c>
      <c r="Q1680" s="57" t="str">
        <f aca="false">IF($O1680="","",IF($P1680&lt;=BankCostEnvelope*'5. Scenarios'!$D$7,1,0))</f>
        <v/>
      </c>
      <c r="R1680" s="57" t="str">
        <f aca="false">IF($N1680="","",INDEX(BookRate,1675)*(1+'5. Scenarios'!$D$10)*(INDEX(BookQ1,1675)*(5-MIN(4,1+'5. Scenarios'!$D$8))/4+INDEX(BookQ2,1675)*(5-MIN(4,2+'5. Scenarios'!$D$8))/4+INDEX(BookQ3,1675)*(5-MIN(4,3+'5. Scenarios'!$D$8))/4+INDEX(BookQ4,1675)*(5-MIN(4,4+'5. Scenarios'!$D$8))/4)*'5. Scenarios'!$D$6/(1+ProductivityDefault*('5. Scenarios'!$D$11-1))+INDEX(BookOneOff,1675)*$N1680)</f>
        <v/>
      </c>
      <c r="S1680" s="56" t="str">
        <f aca="false">IF(INDEX(BookTitle,1675)="","",INDEX(BookTotal,1675)*'5. Scenarios'!$E$6/(1+ProductivityDefault*('5. Scenarios'!$E$11-1)))</f>
        <v/>
      </c>
      <c r="T1680" s="57" t="str">
        <f aca="false">IF($S1680="","",INDEX(BookRate,1675)*(1+'5. Scenarios'!$E$10)*$S1680)</f>
        <v/>
      </c>
      <c r="U1680" s="57" t="str">
        <f aca="false">IF($T1680="","",SUMIFS($T$6:$T$2405,$A$6:$A$2405,"&lt;="&amp;$A1680))</f>
        <v/>
      </c>
      <c r="V1680" s="57" t="str">
        <f aca="false">IF($T1680="","",IF($U1680&lt;=BankCostEnvelope*'5. Scenarios'!$E$7,1,0))</f>
        <v/>
      </c>
      <c r="W1680" s="57" t="str">
        <f aca="false">IF($S1680="","",INDEX(BookRate,1675)*(1+'5. Scenarios'!$E$10)*(INDEX(BookQ1,1675)*(5-MIN(4,1+'5. Scenarios'!$E$8))/4+INDEX(BookQ2,1675)*(5-MIN(4,2+'5. Scenarios'!$E$8))/4+INDEX(BookQ3,1675)*(5-MIN(4,3+'5. Scenarios'!$E$8))/4+INDEX(BookQ4,1675)*(5-MIN(4,4+'5. Scenarios'!$E$8))/4)*'5. Scenarios'!$E$6/(1+ProductivityDefault*('5. Scenarios'!$E$11-1))+INDEX(BookOneOff,1675)*$S1680)</f>
        <v/>
      </c>
    </row>
    <row r="1681" customFormat="false" ht="15" hidden="false" customHeight="false" outlineLevel="0" collapsed="false">
      <c r="A1681" s="0" t="str">
        <f aca="false">IF(INDEX(BookTitle,1676)="","",INDEX(BookKey,1676))</f>
        <v/>
      </c>
      <c r="B1681" s="0" t="str">
        <f aca="false">IF(INDEX(BookTitle,1676)="","",INDEX(BookGroup,1676))</f>
        <v/>
      </c>
      <c r="C1681" s="0" t="str">
        <f aca="false">IF(INDEX(BookTitle,1676)="","",INDEX(BookCategory,1676))</f>
        <v/>
      </c>
      <c r="D1681" s="56" t="str">
        <f aca="false">IF(INDEX(BookTitle,1676)="","",INDEX(BookTotal,1676)*'5. Scenarios'!$B$6/(1+ProductivityDefault*('5. Scenarios'!$B$11-1)))</f>
        <v/>
      </c>
      <c r="E1681" s="57" t="str">
        <f aca="false">IF($D1681="","",INDEX(BookRate,1676)*(1+'5. Scenarios'!$B$10)*$D1681)</f>
        <v/>
      </c>
      <c r="F1681" s="57" t="str">
        <f aca="false">IF($E1681="","",SUMIFS($E$6:$E$2405,$A$6:$A$2405,"&lt;="&amp;$A1681))</f>
        <v/>
      </c>
      <c r="G1681" s="57" t="str">
        <f aca="false">IF($E1681="","",IF($F1681&lt;=BankCostEnvelope*'5. Scenarios'!$B$7,1,0))</f>
        <v/>
      </c>
      <c r="H1681" s="57" t="str">
        <f aca="false">IF($D1681="","",INDEX(BookRate,1676)*(1+'5. Scenarios'!$B$10)*(INDEX(BookQ1,1676)*(5-MIN(4,1+'5. Scenarios'!$B$8))/4+INDEX(BookQ2,1676)*(5-MIN(4,2+'5. Scenarios'!$B$8))/4+INDEX(BookQ3,1676)*(5-MIN(4,3+'5. Scenarios'!$B$8))/4+INDEX(BookQ4,1676)*(5-MIN(4,4+'5. Scenarios'!$B$8))/4)*'5. Scenarios'!$B$6/(1+ProductivityDefault*('5. Scenarios'!$B$11-1))+INDEX(BookOneOff,1676)*$D1681)</f>
        <v/>
      </c>
      <c r="I1681" s="56" t="str">
        <f aca="false">IF(INDEX(BookTitle,1676)="","",INDEX(BookTotal,1676)*'5. Scenarios'!$C$6/(1+ProductivityDefault*('5. Scenarios'!$C$11-1)))</f>
        <v/>
      </c>
      <c r="J1681" s="57" t="str">
        <f aca="false">IF($I1681="","",INDEX(BookRate,1676)*(1+'5. Scenarios'!$C$10)*$I1681)</f>
        <v/>
      </c>
      <c r="K1681" s="57" t="str">
        <f aca="false">IF($J1681="","",SUMIFS($J$6:$J$2405,$A$6:$A$2405,"&lt;="&amp;$A1681))</f>
        <v/>
      </c>
      <c r="L1681" s="57" t="str">
        <f aca="false">IF($J1681="","",IF($K1681&lt;=BankCostEnvelope*'5. Scenarios'!$C$7,1,0))</f>
        <v/>
      </c>
      <c r="M1681" s="57" t="str">
        <f aca="false">IF($I1681="","",INDEX(BookRate,1676)*(1+'5. Scenarios'!$C$10)*(INDEX(BookQ1,1676)*(5-MIN(4,1+'5. Scenarios'!$C$8))/4+INDEX(BookQ2,1676)*(5-MIN(4,2+'5. Scenarios'!$C$8))/4+INDEX(BookQ3,1676)*(5-MIN(4,3+'5. Scenarios'!$C$8))/4+INDEX(BookQ4,1676)*(5-MIN(4,4+'5. Scenarios'!$C$8))/4)*'5. Scenarios'!$C$6/(1+ProductivityDefault*('5. Scenarios'!$C$11-1))+INDEX(BookOneOff,1676)*$I1681)</f>
        <v/>
      </c>
      <c r="N1681" s="56" t="str">
        <f aca="false">IF(INDEX(BookTitle,1676)="","",INDEX(BookTotal,1676)*'5. Scenarios'!$D$6/(1+ProductivityDefault*('5. Scenarios'!$D$11-1)))</f>
        <v/>
      </c>
      <c r="O1681" s="57" t="str">
        <f aca="false">IF($N1681="","",INDEX(BookRate,1676)*(1+'5. Scenarios'!$D$10)*$N1681)</f>
        <v/>
      </c>
      <c r="P1681" s="57" t="str">
        <f aca="false">IF($O1681="","",SUMIFS($O$6:$O$2405,$A$6:$A$2405,"&lt;="&amp;$A1681))</f>
        <v/>
      </c>
      <c r="Q1681" s="57" t="str">
        <f aca="false">IF($O1681="","",IF($P1681&lt;=BankCostEnvelope*'5. Scenarios'!$D$7,1,0))</f>
        <v/>
      </c>
      <c r="R1681" s="57" t="str">
        <f aca="false">IF($N1681="","",INDEX(BookRate,1676)*(1+'5. Scenarios'!$D$10)*(INDEX(BookQ1,1676)*(5-MIN(4,1+'5. Scenarios'!$D$8))/4+INDEX(BookQ2,1676)*(5-MIN(4,2+'5. Scenarios'!$D$8))/4+INDEX(BookQ3,1676)*(5-MIN(4,3+'5. Scenarios'!$D$8))/4+INDEX(BookQ4,1676)*(5-MIN(4,4+'5. Scenarios'!$D$8))/4)*'5. Scenarios'!$D$6/(1+ProductivityDefault*('5. Scenarios'!$D$11-1))+INDEX(BookOneOff,1676)*$N1681)</f>
        <v/>
      </c>
      <c r="S1681" s="56" t="str">
        <f aca="false">IF(INDEX(BookTitle,1676)="","",INDEX(BookTotal,1676)*'5. Scenarios'!$E$6/(1+ProductivityDefault*('5. Scenarios'!$E$11-1)))</f>
        <v/>
      </c>
      <c r="T1681" s="57" t="str">
        <f aca="false">IF($S1681="","",INDEX(BookRate,1676)*(1+'5. Scenarios'!$E$10)*$S1681)</f>
        <v/>
      </c>
      <c r="U1681" s="57" t="str">
        <f aca="false">IF($T1681="","",SUMIFS($T$6:$T$2405,$A$6:$A$2405,"&lt;="&amp;$A1681))</f>
        <v/>
      </c>
      <c r="V1681" s="57" t="str">
        <f aca="false">IF($T1681="","",IF($U1681&lt;=BankCostEnvelope*'5. Scenarios'!$E$7,1,0))</f>
        <v/>
      </c>
      <c r="W1681" s="57" t="str">
        <f aca="false">IF($S1681="","",INDEX(BookRate,1676)*(1+'5. Scenarios'!$E$10)*(INDEX(BookQ1,1676)*(5-MIN(4,1+'5. Scenarios'!$E$8))/4+INDEX(BookQ2,1676)*(5-MIN(4,2+'5. Scenarios'!$E$8))/4+INDEX(BookQ3,1676)*(5-MIN(4,3+'5. Scenarios'!$E$8))/4+INDEX(BookQ4,1676)*(5-MIN(4,4+'5. Scenarios'!$E$8))/4)*'5. Scenarios'!$E$6/(1+ProductivityDefault*('5. Scenarios'!$E$11-1))+INDEX(BookOneOff,1676)*$S1681)</f>
        <v/>
      </c>
    </row>
    <row r="1682" customFormat="false" ht="15" hidden="false" customHeight="false" outlineLevel="0" collapsed="false">
      <c r="A1682" s="0" t="str">
        <f aca="false">IF(INDEX(BookTitle,1677)="","",INDEX(BookKey,1677))</f>
        <v/>
      </c>
      <c r="B1682" s="0" t="str">
        <f aca="false">IF(INDEX(BookTitle,1677)="","",INDEX(BookGroup,1677))</f>
        <v/>
      </c>
      <c r="C1682" s="0" t="str">
        <f aca="false">IF(INDEX(BookTitle,1677)="","",INDEX(BookCategory,1677))</f>
        <v/>
      </c>
      <c r="D1682" s="56" t="str">
        <f aca="false">IF(INDEX(BookTitle,1677)="","",INDEX(BookTotal,1677)*'5. Scenarios'!$B$6/(1+ProductivityDefault*('5. Scenarios'!$B$11-1)))</f>
        <v/>
      </c>
      <c r="E1682" s="57" t="str">
        <f aca="false">IF($D1682="","",INDEX(BookRate,1677)*(1+'5. Scenarios'!$B$10)*$D1682)</f>
        <v/>
      </c>
      <c r="F1682" s="57" t="str">
        <f aca="false">IF($E1682="","",SUMIFS($E$6:$E$2405,$A$6:$A$2405,"&lt;="&amp;$A1682))</f>
        <v/>
      </c>
      <c r="G1682" s="57" t="str">
        <f aca="false">IF($E1682="","",IF($F1682&lt;=BankCostEnvelope*'5. Scenarios'!$B$7,1,0))</f>
        <v/>
      </c>
      <c r="H1682" s="57" t="str">
        <f aca="false">IF($D1682="","",INDEX(BookRate,1677)*(1+'5. Scenarios'!$B$10)*(INDEX(BookQ1,1677)*(5-MIN(4,1+'5. Scenarios'!$B$8))/4+INDEX(BookQ2,1677)*(5-MIN(4,2+'5. Scenarios'!$B$8))/4+INDEX(BookQ3,1677)*(5-MIN(4,3+'5. Scenarios'!$B$8))/4+INDEX(BookQ4,1677)*(5-MIN(4,4+'5. Scenarios'!$B$8))/4)*'5. Scenarios'!$B$6/(1+ProductivityDefault*('5. Scenarios'!$B$11-1))+INDEX(BookOneOff,1677)*$D1682)</f>
        <v/>
      </c>
      <c r="I1682" s="56" t="str">
        <f aca="false">IF(INDEX(BookTitle,1677)="","",INDEX(BookTotal,1677)*'5. Scenarios'!$C$6/(1+ProductivityDefault*('5. Scenarios'!$C$11-1)))</f>
        <v/>
      </c>
      <c r="J1682" s="57" t="str">
        <f aca="false">IF($I1682="","",INDEX(BookRate,1677)*(1+'5. Scenarios'!$C$10)*$I1682)</f>
        <v/>
      </c>
      <c r="K1682" s="57" t="str">
        <f aca="false">IF($J1682="","",SUMIFS($J$6:$J$2405,$A$6:$A$2405,"&lt;="&amp;$A1682))</f>
        <v/>
      </c>
      <c r="L1682" s="57" t="str">
        <f aca="false">IF($J1682="","",IF($K1682&lt;=BankCostEnvelope*'5. Scenarios'!$C$7,1,0))</f>
        <v/>
      </c>
      <c r="M1682" s="57" t="str">
        <f aca="false">IF($I1682="","",INDEX(BookRate,1677)*(1+'5. Scenarios'!$C$10)*(INDEX(BookQ1,1677)*(5-MIN(4,1+'5. Scenarios'!$C$8))/4+INDEX(BookQ2,1677)*(5-MIN(4,2+'5. Scenarios'!$C$8))/4+INDEX(BookQ3,1677)*(5-MIN(4,3+'5. Scenarios'!$C$8))/4+INDEX(BookQ4,1677)*(5-MIN(4,4+'5. Scenarios'!$C$8))/4)*'5. Scenarios'!$C$6/(1+ProductivityDefault*('5. Scenarios'!$C$11-1))+INDEX(BookOneOff,1677)*$I1682)</f>
        <v/>
      </c>
      <c r="N1682" s="56" t="str">
        <f aca="false">IF(INDEX(BookTitle,1677)="","",INDEX(BookTotal,1677)*'5. Scenarios'!$D$6/(1+ProductivityDefault*('5. Scenarios'!$D$11-1)))</f>
        <v/>
      </c>
      <c r="O1682" s="57" t="str">
        <f aca="false">IF($N1682="","",INDEX(BookRate,1677)*(1+'5. Scenarios'!$D$10)*$N1682)</f>
        <v/>
      </c>
      <c r="P1682" s="57" t="str">
        <f aca="false">IF($O1682="","",SUMIFS($O$6:$O$2405,$A$6:$A$2405,"&lt;="&amp;$A1682))</f>
        <v/>
      </c>
      <c r="Q1682" s="57" t="str">
        <f aca="false">IF($O1682="","",IF($P1682&lt;=BankCostEnvelope*'5. Scenarios'!$D$7,1,0))</f>
        <v/>
      </c>
      <c r="R1682" s="57" t="str">
        <f aca="false">IF($N1682="","",INDEX(BookRate,1677)*(1+'5. Scenarios'!$D$10)*(INDEX(BookQ1,1677)*(5-MIN(4,1+'5. Scenarios'!$D$8))/4+INDEX(BookQ2,1677)*(5-MIN(4,2+'5. Scenarios'!$D$8))/4+INDEX(BookQ3,1677)*(5-MIN(4,3+'5. Scenarios'!$D$8))/4+INDEX(BookQ4,1677)*(5-MIN(4,4+'5. Scenarios'!$D$8))/4)*'5. Scenarios'!$D$6/(1+ProductivityDefault*('5. Scenarios'!$D$11-1))+INDEX(BookOneOff,1677)*$N1682)</f>
        <v/>
      </c>
      <c r="S1682" s="56" t="str">
        <f aca="false">IF(INDEX(BookTitle,1677)="","",INDEX(BookTotal,1677)*'5. Scenarios'!$E$6/(1+ProductivityDefault*('5. Scenarios'!$E$11-1)))</f>
        <v/>
      </c>
      <c r="T1682" s="57" t="str">
        <f aca="false">IF($S1682="","",INDEX(BookRate,1677)*(1+'5. Scenarios'!$E$10)*$S1682)</f>
        <v/>
      </c>
      <c r="U1682" s="57" t="str">
        <f aca="false">IF($T1682="","",SUMIFS($T$6:$T$2405,$A$6:$A$2405,"&lt;="&amp;$A1682))</f>
        <v/>
      </c>
      <c r="V1682" s="57" t="str">
        <f aca="false">IF($T1682="","",IF($U1682&lt;=BankCostEnvelope*'5. Scenarios'!$E$7,1,0))</f>
        <v/>
      </c>
      <c r="W1682" s="57" t="str">
        <f aca="false">IF($S1682="","",INDEX(BookRate,1677)*(1+'5. Scenarios'!$E$10)*(INDEX(BookQ1,1677)*(5-MIN(4,1+'5. Scenarios'!$E$8))/4+INDEX(BookQ2,1677)*(5-MIN(4,2+'5. Scenarios'!$E$8))/4+INDEX(BookQ3,1677)*(5-MIN(4,3+'5. Scenarios'!$E$8))/4+INDEX(BookQ4,1677)*(5-MIN(4,4+'5. Scenarios'!$E$8))/4)*'5. Scenarios'!$E$6/(1+ProductivityDefault*('5. Scenarios'!$E$11-1))+INDEX(BookOneOff,1677)*$S1682)</f>
        <v/>
      </c>
    </row>
    <row r="1683" customFormat="false" ht="15" hidden="false" customHeight="false" outlineLevel="0" collapsed="false">
      <c r="A1683" s="0" t="str">
        <f aca="false">IF(INDEX(BookTitle,1678)="","",INDEX(BookKey,1678))</f>
        <v/>
      </c>
      <c r="B1683" s="0" t="str">
        <f aca="false">IF(INDEX(BookTitle,1678)="","",INDEX(BookGroup,1678))</f>
        <v/>
      </c>
      <c r="C1683" s="0" t="str">
        <f aca="false">IF(INDEX(BookTitle,1678)="","",INDEX(BookCategory,1678))</f>
        <v/>
      </c>
      <c r="D1683" s="56" t="str">
        <f aca="false">IF(INDEX(BookTitle,1678)="","",INDEX(BookTotal,1678)*'5. Scenarios'!$B$6/(1+ProductivityDefault*('5. Scenarios'!$B$11-1)))</f>
        <v/>
      </c>
      <c r="E1683" s="57" t="str">
        <f aca="false">IF($D1683="","",INDEX(BookRate,1678)*(1+'5. Scenarios'!$B$10)*$D1683)</f>
        <v/>
      </c>
      <c r="F1683" s="57" t="str">
        <f aca="false">IF($E1683="","",SUMIFS($E$6:$E$2405,$A$6:$A$2405,"&lt;="&amp;$A1683))</f>
        <v/>
      </c>
      <c r="G1683" s="57" t="str">
        <f aca="false">IF($E1683="","",IF($F1683&lt;=BankCostEnvelope*'5. Scenarios'!$B$7,1,0))</f>
        <v/>
      </c>
      <c r="H1683" s="57" t="str">
        <f aca="false">IF($D1683="","",INDEX(BookRate,1678)*(1+'5. Scenarios'!$B$10)*(INDEX(BookQ1,1678)*(5-MIN(4,1+'5. Scenarios'!$B$8))/4+INDEX(BookQ2,1678)*(5-MIN(4,2+'5. Scenarios'!$B$8))/4+INDEX(BookQ3,1678)*(5-MIN(4,3+'5. Scenarios'!$B$8))/4+INDEX(BookQ4,1678)*(5-MIN(4,4+'5. Scenarios'!$B$8))/4)*'5. Scenarios'!$B$6/(1+ProductivityDefault*('5. Scenarios'!$B$11-1))+INDEX(BookOneOff,1678)*$D1683)</f>
        <v/>
      </c>
      <c r="I1683" s="56" t="str">
        <f aca="false">IF(INDEX(BookTitle,1678)="","",INDEX(BookTotal,1678)*'5. Scenarios'!$C$6/(1+ProductivityDefault*('5. Scenarios'!$C$11-1)))</f>
        <v/>
      </c>
      <c r="J1683" s="57" t="str">
        <f aca="false">IF($I1683="","",INDEX(BookRate,1678)*(1+'5. Scenarios'!$C$10)*$I1683)</f>
        <v/>
      </c>
      <c r="K1683" s="57" t="str">
        <f aca="false">IF($J1683="","",SUMIFS($J$6:$J$2405,$A$6:$A$2405,"&lt;="&amp;$A1683))</f>
        <v/>
      </c>
      <c r="L1683" s="57" t="str">
        <f aca="false">IF($J1683="","",IF($K1683&lt;=BankCostEnvelope*'5. Scenarios'!$C$7,1,0))</f>
        <v/>
      </c>
      <c r="M1683" s="57" t="str">
        <f aca="false">IF($I1683="","",INDEX(BookRate,1678)*(1+'5. Scenarios'!$C$10)*(INDEX(BookQ1,1678)*(5-MIN(4,1+'5. Scenarios'!$C$8))/4+INDEX(BookQ2,1678)*(5-MIN(4,2+'5. Scenarios'!$C$8))/4+INDEX(BookQ3,1678)*(5-MIN(4,3+'5. Scenarios'!$C$8))/4+INDEX(BookQ4,1678)*(5-MIN(4,4+'5. Scenarios'!$C$8))/4)*'5. Scenarios'!$C$6/(1+ProductivityDefault*('5. Scenarios'!$C$11-1))+INDEX(BookOneOff,1678)*$I1683)</f>
        <v/>
      </c>
      <c r="N1683" s="56" t="str">
        <f aca="false">IF(INDEX(BookTitle,1678)="","",INDEX(BookTotal,1678)*'5. Scenarios'!$D$6/(1+ProductivityDefault*('5. Scenarios'!$D$11-1)))</f>
        <v/>
      </c>
      <c r="O1683" s="57" t="str">
        <f aca="false">IF($N1683="","",INDEX(BookRate,1678)*(1+'5. Scenarios'!$D$10)*$N1683)</f>
        <v/>
      </c>
      <c r="P1683" s="57" t="str">
        <f aca="false">IF($O1683="","",SUMIFS($O$6:$O$2405,$A$6:$A$2405,"&lt;="&amp;$A1683))</f>
        <v/>
      </c>
      <c r="Q1683" s="57" t="str">
        <f aca="false">IF($O1683="","",IF($P1683&lt;=BankCostEnvelope*'5. Scenarios'!$D$7,1,0))</f>
        <v/>
      </c>
      <c r="R1683" s="57" t="str">
        <f aca="false">IF($N1683="","",INDEX(BookRate,1678)*(1+'5. Scenarios'!$D$10)*(INDEX(BookQ1,1678)*(5-MIN(4,1+'5. Scenarios'!$D$8))/4+INDEX(BookQ2,1678)*(5-MIN(4,2+'5. Scenarios'!$D$8))/4+INDEX(BookQ3,1678)*(5-MIN(4,3+'5. Scenarios'!$D$8))/4+INDEX(BookQ4,1678)*(5-MIN(4,4+'5. Scenarios'!$D$8))/4)*'5. Scenarios'!$D$6/(1+ProductivityDefault*('5. Scenarios'!$D$11-1))+INDEX(BookOneOff,1678)*$N1683)</f>
        <v/>
      </c>
      <c r="S1683" s="56" t="str">
        <f aca="false">IF(INDEX(BookTitle,1678)="","",INDEX(BookTotal,1678)*'5. Scenarios'!$E$6/(1+ProductivityDefault*('5. Scenarios'!$E$11-1)))</f>
        <v/>
      </c>
      <c r="T1683" s="57" t="str">
        <f aca="false">IF($S1683="","",INDEX(BookRate,1678)*(1+'5. Scenarios'!$E$10)*$S1683)</f>
        <v/>
      </c>
      <c r="U1683" s="57" t="str">
        <f aca="false">IF($T1683="","",SUMIFS($T$6:$T$2405,$A$6:$A$2405,"&lt;="&amp;$A1683))</f>
        <v/>
      </c>
      <c r="V1683" s="57" t="str">
        <f aca="false">IF($T1683="","",IF($U1683&lt;=BankCostEnvelope*'5. Scenarios'!$E$7,1,0))</f>
        <v/>
      </c>
      <c r="W1683" s="57" t="str">
        <f aca="false">IF($S1683="","",INDEX(BookRate,1678)*(1+'5. Scenarios'!$E$10)*(INDEX(BookQ1,1678)*(5-MIN(4,1+'5. Scenarios'!$E$8))/4+INDEX(BookQ2,1678)*(5-MIN(4,2+'5. Scenarios'!$E$8))/4+INDEX(BookQ3,1678)*(5-MIN(4,3+'5. Scenarios'!$E$8))/4+INDEX(BookQ4,1678)*(5-MIN(4,4+'5. Scenarios'!$E$8))/4)*'5. Scenarios'!$E$6/(1+ProductivityDefault*('5. Scenarios'!$E$11-1))+INDEX(BookOneOff,1678)*$S1683)</f>
        <v/>
      </c>
    </row>
    <row r="1684" customFormat="false" ht="15" hidden="false" customHeight="false" outlineLevel="0" collapsed="false">
      <c r="A1684" s="0" t="str">
        <f aca="false">IF(INDEX(BookTitle,1679)="","",INDEX(BookKey,1679))</f>
        <v/>
      </c>
      <c r="B1684" s="0" t="str">
        <f aca="false">IF(INDEX(BookTitle,1679)="","",INDEX(BookGroup,1679))</f>
        <v/>
      </c>
      <c r="C1684" s="0" t="str">
        <f aca="false">IF(INDEX(BookTitle,1679)="","",INDEX(BookCategory,1679))</f>
        <v/>
      </c>
      <c r="D1684" s="56" t="str">
        <f aca="false">IF(INDEX(BookTitle,1679)="","",INDEX(BookTotal,1679)*'5. Scenarios'!$B$6/(1+ProductivityDefault*('5. Scenarios'!$B$11-1)))</f>
        <v/>
      </c>
      <c r="E1684" s="57" t="str">
        <f aca="false">IF($D1684="","",INDEX(BookRate,1679)*(1+'5. Scenarios'!$B$10)*$D1684)</f>
        <v/>
      </c>
      <c r="F1684" s="57" t="str">
        <f aca="false">IF($E1684="","",SUMIFS($E$6:$E$2405,$A$6:$A$2405,"&lt;="&amp;$A1684))</f>
        <v/>
      </c>
      <c r="G1684" s="57" t="str">
        <f aca="false">IF($E1684="","",IF($F1684&lt;=BankCostEnvelope*'5. Scenarios'!$B$7,1,0))</f>
        <v/>
      </c>
      <c r="H1684" s="57" t="str">
        <f aca="false">IF($D1684="","",INDEX(BookRate,1679)*(1+'5. Scenarios'!$B$10)*(INDEX(BookQ1,1679)*(5-MIN(4,1+'5. Scenarios'!$B$8))/4+INDEX(BookQ2,1679)*(5-MIN(4,2+'5. Scenarios'!$B$8))/4+INDEX(BookQ3,1679)*(5-MIN(4,3+'5. Scenarios'!$B$8))/4+INDEX(BookQ4,1679)*(5-MIN(4,4+'5. Scenarios'!$B$8))/4)*'5. Scenarios'!$B$6/(1+ProductivityDefault*('5. Scenarios'!$B$11-1))+INDEX(BookOneOff,1679)*$D1684)</f>
        <v/>
      </c>
      <c r="I1684" s="56" t="str">
        <f aca="false">IF(INDEX(BookTitle,1679)="","",INDEX(BookTotal,1679)*'5. Scenarios'!$C$6/(1+ProductivityDefault*('5. Scenarios'!$C$11-1)))</f>
        <v/>
      </c>
      <c r="J1684" s="57" t="str">
        <f aca="false">IF($I1684="","",INDEX(BookRate,1679)*(1+'5. Scenarios'!$C$10)*$I1684)</f>
        <v/>
      </c>
      <c r="K1684" s="57" t="str">
        <f aca="false">IF($J1684="","",SUMIFS($J$6:$J$2405,$A$6:$A$2405,"&lt;="&amp;$A1684))</f>
        <v/>
      </c>
      <c r="L1684" s="57" t="str">
        <f aca="false">IF($J1684="","",IF($K1684&lt;=BankCostEnvelope*'5. Scenarios'!$C$7,1,0))</f>
        <v/>
      </c>
      <c r="M1684" s="57" t="str">
        <f aca="false">IF($I1684="","",INDEX(BookRate,1679)*(1+'5. Scenarios'!$C$10)*(INDEX(BookQ1,1679)*(5-MIN(4,1+'5. Scenarios'!$C$8))/4+INDEX(BookQ2,1679)*(5-MIN(4,2+'5. Scenarios'!$C$8))/4+INDEX(BookQ3,1679)*(5-MIN(4,3+'5. Scenarios'!$C$8))/4+INDEX(BookQ4,1679)*(5-MIN(4,4+'5. Scenarios'!$C$8))/4)*'5. Scenarios'!$C$6/(1+ProductivityDefault*('5. Scenarios'!$C$11-1))+INDEX(BookOneOff,1679)*$I1684)</f>
        <v/>
      </c>
      <c r="N1684" s="56" t="str">
        <f aca="false">IF(INDEX(BookTitle,1679)="","",INDEX(BookTotal,1679)*'5. Scenarios'!$D$6/(1+ProductivityDefault*('5. Scenarios'!$D$11-1)))</f>
        <v/>
      </c>
      <c r="O1684" s="57" t="str">
        <f aca="false">IF($N1684="","",INDEX(BookRate,1679)*(1+'5. Scenarios'!$D$10)*$N1684)</f>
        <v/>
      </c>
      <c r="P1684" s="57" t="str">
        <f aca="false">IF($O1684="","",SUMIFS($O$6:$O$2405,$A$6:$A$2405,"&lt;="&amp;$A1684))</f>
        <v/>
      </c>
      <c r="Q1684" s="57" t="str">
        <f aca="false">IF($O1684="","",IF($P1684&lt;=BankCostEnvelope*'5. Scenarios'!$D$7,1,0))</f>
        <v/>
      </c>
      <c r="R1684" s="57" t="str">
        <f aca="false">IF($N1684="","",INDEX(BookRate,1679)*(1+'5. Scenarios'!$D$10)*(INDEX(BookQ1,1679)*(5-MIN(4,1+'5. Scenarios'!$D$8))/4+INDEX(BookQ2,1679)*(5-MIN(4,2+'5. Scenarios'!$D$8))/4+INDEX(BookQ3,1679)*(5-MIN(4,3+'5. Scenarios'!$D$8))/4+INDEX(BookQ4,1679)*(5-MIN(4,4+'5. Scenarios'!$D$8))/4)*'5. Scenarios'!$D$6/(1+ProductivityDefault*('5. Scenarios'!$D$11-1))+INDEX(BookOneOff,1679)*$N1684)</f>
        <v/>
      </c>
      <c r="S1684" s="56" t="str">
        <f aca="false">IF(INDEX(BookTitle,1679)="","",INDEX(BookTotal,1679)*'5. Scenarios'!$E$6/(1+ProductivityDefault*('5. Scenarios'!$E$11-1)))</f>
        <v/>
      </c>
      <c r="T1684" s="57" t="str">
        <f aca="false">IF($S1684="","",INDEX(BookRate,1679)*(1+'5. Scenarios'!$E$10)*$S1684)</f>
        <v/>
      </c>
      <c r="U1684" s="57" t="str">
        <f aca="false">IF($T1684="","",SUMIFS($T$6:$T$2405,$A$6:$A$2405,"&lt;="&amp;$A1684))</f>
        <v/>
      </c>
      <c r="V1684" s="57" t="str">
        <f aca="false">IF($T1684="","",IF($U1684&lt;=BankCostEnvelope*'5. Scenarios'!$E$7,1,0))</f>
        <v/>
      </c>
      <c r="W1684" s="57" t="str">
        <f aca="false">IF($S1684="","",INDEX(BookRate,1679)*(1+'5. Scenarios'!$E$10)*(INDEX(BookQ1,1679)*(5-MIN(4,1+'5. Scenarios'!$E$8))/4+INDEX(BookQ2,1679)*(5-MIN(4,2+'5. Scenarios'!$E$8))/4+INDEX(BookQ3,1679)*(5-MIN(4,3+'5. Scenarios'!$E$8))/4+INDEX(BookQ4,1679)*(5-MIN(4,4+'5. Scenarios'!$E$8))/4)*'5. Scenarios'!$E$6/(1+ProductivityDefault*('5. Scenarios'!$E$11-1))+INDEX(BookOneOff,1679)*$S1684)</f>
        <v/>
      </c>
    </row>
    <row r="1685" customFormat="false" ht="15" hidden="false" customHeight="false" outlineLevel="0" collapsed="false">
      <c r="A1685" s="0" t="str">
        <f aca="false">IF(INDEX(BookTitle,1680)="","",INDEX(BookKey,1680))</f>
        <v/>
      </c>
      <c r="B1685" s="0" t="str">
        <f aca="false">IF(INDEX(BookTitle,1680)="","",INDEX(BookGroup,1680))</f>
        <v/>
      </c>
      <c r="C1685" s="0" t="str">
        <f aca="false">IF(INDEX(BookTitle,1680)="","",INDEX(BookCategory,1680))</f>
        <v/>
      </c>
      <c r="D1685" s="56" t="str">
        <f aca="false">IF(INDEX(BookTitle,1680)="","",INDEX(BookTotal,1680)*'5. Scenarios'!$B$6/(1+ProductivityDefault*('5. Scenarios'!$B$11-1)))</f>
        <v/>
      </c>
      <c r="E1685" s="57" t="str">
        <f aca="false">IF($D1685="","",INDEX(BookRate,1680)*(1+'5. Scenarios'!$B$10)*$D1685)</f>
        <v/>
      </c>
      <c r="F1685" s="57" t="str">
        <f aca="false">IF($E1685="","",SUMIFS($E$6:$E$2405,$A$6:$A$2405,"&lt;="&amp;$A1685))</f>
        <v/>
      </c>
      <c r="G1685" s="57" t="str">
        <f aca="false">IF($E1685="","",IF($F1685&lt;=BankCostEnvelope*'5. Scenarios'!$B$7,1,0))</f>
        <v/>
      </c>
      <c r="H1685" s="57" t="str">
        <f aca="false">IF($D1685="","",INDEX(BookRate,1680)*(1+'5. Scenarios'!$B$10)*(INDEX(BookQ1,1680)*(5-MIN(4,1+'5. Scenarios'!$B$8))/4+INDEX(BookQ2,1680)*(5-MIN(4,2+'5. Scenarios'!$B$8))/4+INDEX(BookQ3,1680)*(5-MIN(4,3+'5. Scenarios'!$B$8))/4+INDEX(BookQ4,1680)*(5-MIN(4,4+'5. Scenarios'!$B$8))/4)*'5. Scenarios'!$B$6/(1+ProductivityDefault*('5. Scenarios'!$B$11-1))+INDEX(BookOneOff,1680)*$D1685)</f>
        <v/>
      </c>
      <c r="I1685" s="56" t="str">
        <f aca="false">IF(INDEX(BookTitle,1680)="","",INDEX(BookTotal,1680)*'5. Scenarios'!$C$6/(1+ProductivityDefault*('5. Scenarios'!$C$11-1)))</f>
        <v/>
      </c>
      <c r="J1685" s="57" t="str">
        <f aca="false">IF($I1685="","",INDEX(BookRate,1680)*(1+'5. Scenarios'!$C$10)*$I1685)</f>
        <v/>
      </c>
      <c r="K1685" s="57" t="str">
        <f aca="false">IF($J1685="","",SUMIFS($J$6:$J$2405,$A$6:$A$2405,"&lt;="&amp;$A1685))</f>
        <v/>
      </c>
      <c r="L1685" s="57" t="str">
        <f aca="false">IF($J1685="","",IF($K1685&lt;=BankCostEnvelope*'5. Scenarios'!$C$7,1,0))</f>
        <v/>
      </c>
      <c r="M1685" s="57" t="str">
        <f aca="false">IF($I1685="","",INDEX(BookRate,1680)*(1+'5. Scenarios'!$C$10)*(INDEX(BookQ1,1680)*(5-MIN(4,1+'5. Scenarios'!$C$8))/4+INDEX(BookQ2,1680)*(5-MIN(4,2+'5. Scenarios'!$C$8))/4+INDEX(BookQ3,1680)*(5-MIN(4,3+'5. Scenarios'!$C$8))/4+INDEX(BookQ4,1680)*(5-MIN(4,4+'5. Scenarios'!$C$8))/4)*'5. Scenarios'!$C$6/(1+ProductivityDefault*('5. Scenarios'!$C$11-1))+INDEX(BookOneOff,1680)*$I1685)</f>
        <v/>
      </c>
      <c r="N1685" s="56" t="str">
        <f aca="false">IF(INDEX(BookTitle,1680)="","",INDEX(BookTotal,1680)*'5. Scenarios'!$D$6/(1+ProductivityDefault*('5. Scenarios'!$D$11-1)))</f>
        <v/>
      </c>
      <c r="O1685" s="57" t="str">
        <f aca="false">IF($N1685="","",INDEX(BookRate,1680)*(1+'5. Scenarios'!$D$10)*$N1685)</f>
        <v/>
      </c>
      <c r="P1685" s="57" t="str">
        <f aca="false">IF($O1685="","",SUMIFS($O$6:$O$2405,$A$6:$A$2405,"&lt;="&amp;$A1685))</f>
        <v/>
      </c>
      <c r="Q1685" s="57" t="str">
        <f aca="false">IF($O1685="","",IF($P1685&lt;=BankCostEnvelope*'5. Scenarios'!$D$7,1,0))</f>
        <v/>
      </c>
      <c r="R1685" s="57" t="str">
        <f aca="false">IF($N1685="","",INDEX(BookRate,1680)*(1+'5. Scenarios'!$D$10)*(INDEX(BookQ1,1680)*(5-MIN(4,1+'5. Scenarios'!$D$8))/4+INDEX(BookQ2,1680)*(5-MIN(4,2+'5. Scenarios'!$D$8))/4+INDEX(BookQ3,1680)*(5-MIN(4,3+'5. Scenarios'!$D$8))/4+INDEX(BookQ4,1680)*(5-MIN(4,4+'5. Scenarios'!$D$8))/4)*'5. Scenarios'!$D$6/(1+ProductivityDefault*('5. Scenarios'!$D$11-1))+INDEX(BookOneOff,1680)*$N1685)</f>
        <v/>
      </c>
      <c r="S1685" s="56" t="str">
        <f aca="false">IF(INDEX(BookTitle,1680)="","",INDEX(BookTotal,1680)*'5. Scenarios'!$E$6/(1+ProductivityDefault*('5. Scenarios'!$E$11-1)))</f>
        <v/>
      </c>
      <c r="T1685" s="57" t="str">
        <f aca="false">IF($S1685="","",INDEX(BookRate,1680)*(1+'5. Scenarios'!$E$10)*$S1685)</f>
        <v/>
      </c>
      <c r="U1685" s="57" t="str">
        <f aca="false">IF($T1685="","",SUMIFS($T$6:$T$2405,$A$6:$A$2405,"&lt;="&amp;$A1685))</f>
        <v/>
      </c>
      <c r="V1685" s="57" t="str">
        <f aca="false">IF($T1685="","",IF($U1685&lt;=BankCostEnvelope*'5. Scenarios'!$E$7,1,0))</f>
        <v/>
      </c>
      <c r="W1685" s="57" t="str">
        <f aca="false">IF($S1685="","",INDEX(BookRate,1680)*(1+'5. Scenarios'!$E$10)*(INDEX(BookQ1,1680)*(5-MIN(4,1+'5. Scenarios'!$E$8))/4+INDEX(BookQ2,1680)*(5-MIN(4,2+'5. Scenarios'!$E$8))/4+INDEX(BookQ3,1680)*(5-MIN(4,3+'5. Scenarios'!$E$8))/4+INDEX(BookQ4,1680)*(5-MIN(4,4+'5. Scenarios'!$E$8))/4)*'5. Scenarios'!$E$6/(1+ProductivityDefault*('5. Scenarios'!$E$11-1))+INDEX(BookOneOff,1680)*$S1685)</f>
        <v/>
      </c>
    </row>
    <row r="1686" customFormat="false" ht="15" hidden="false" customHeight="false" outlineLevel="0" collapsed="false">
      <c r="A1686" s="0" t="str">
        <f aca="false">IF(INDEX(BookTitle,1681)="","",INDEX(BookKey,1681))</f>
        <v/>
      </c>
      <c r="B1686" s="0" t="str">
        <f aca="false">IF(INDEX(BookTitle,1681)="","",INDEX(BookGroup,1681))</f>
        <v/>
      </c>
      <c r="C1686" s="0" t="str">
        <f aca="false">IF(INDEX(BookTitle,1681)="","",INDEX(BookCategory,1681))</f>
        <v/>
      </c>
      <c r="D1686" s="56" t="str">
        <f aca="false">IF(INDEX(BookTitle,1681)="","",INDEX(BookTotal,1681)*'5. Scenarios'!$B$6/(1+ProductivityDefault*('5. Scenarios'!$B$11-1)))</f>
        <v/>
      </c>
      <c r="E1686" s="57" t="str">
        <f aca="false">IF($D1686="","",INDEX(BookRate,1681)*(1+'5. Scenarios'!$B$10)*$D1686)</f>
        <v/>
      </c>
      <c r="F1686" s="57" t="str">
        <f aca="false">IF($E1686="","",SUMIFS($E$6:$E$2405,$A$6:$A$2405,"&lt;="&amp;$A1686))</f>
        <v/>
      </c>
      <c r="G1686" s="57" t="str">
        <f aca="false">IF($E1686="","",IF($F1686&lt;=BankCostEnvelope*'5. Scenarios'!$B$7,1,0))</f>
        <v/>
      </c>
      <c r="H1686" s="57" t="str">
        <f aca="false">IF($D1686="","",INDEX(BookRate,1681)*(1+'5. Scenarios'!$B$10)*(INDEX(BookQ1,1681)*(5-MIN(4,1+'5. Scenarios'!$B$8))/4+INDEX(BookQ2,1681)*(5-MIN(4,2+'5. Scenarios'!$B$8))/4+INDEX(BookQ3,1681)*(5-MIN(4,3+'5. Scenarios'!$B$8))/4+INDEX(BookQ4,1681)*(5-MIN(4,4+'5. Scenarios'!$B$8))/4)*'5. Scenarios'!$B$6/(1+ProductivityDefault*('5. Scenarios'!$B$11-1))+INDEX(BookOneOff,1681)*$D1686)</f>
        <v/>
      </c>
      <c r="I1686" s="56" t="str">
        <f aca="false">IF(INDEX(BookTitle,1681)="","",INDEX(BookTotal,1681)*'5. Scenarios'!$C$6/(1+ProductivityDefault*('5. Scenarios'!$C$11-1)))</f>
        <v/>
      </c>
      <c r="J1686" s="57" t="str">
        <f aca="false">IF($I1686="","",INDEX(BookRate,1681)*(1+'5. Scenarios'!$C$10)*$I1686)</f>
        <v/>
      </c>
      <c r="K1686" s="57" t="str">
        <f aca="false">IF($J1686="","",SUMIFS($J$6:$J$2405,$A$6:$A$2405,"&lt;="&amp;$A1686))</f>
        <v/>
      </c>
      <c r="L1686" s="57" t="str">
        <f aca="false">IF($J1686="","",IF($K1686&lt;=BankCostEnvelope*'5. Scenarios'!$C$7,1,0))</f>
        <v/>
      </c>
      <c r="M1686" s="57" t="str">
        <f aca="false">IF($I1686="","",INDEX(BookRate,1681)*(1+'5. Scenarios'!$C$10)*(INDEX(BookQ1,1681)*(5-MIN(4,1+'5. Scenarios'!$C$8))/4+INDEX(BookQ2,1681)*(5-MIN(4,2+'5. Scenarios'!$C$8))/4+INDEX(BookQ3,1681)*(5-MIN(4,3+'5. Scenarios'!$C$8))/4+INDEX(BookQ4,1681)*(5-MIN(4,4+'5. Scenarios'!$C$8))/4)*'5. Scenarios'!$C$6/(1+ProductivityDefault*('5. Scenarios'!$C$11-1))+INDEX(BookOneOff,1681)*$I1686)</f>
        <v/>
      </c>
      <c r="N1686" s="56" t="str">
        <f aca="false">IF(INDEX(BookTitle,1681)="","",INDEX(BookTotal,1681)*'5. Scenarios'!$D$6/(1+ProductivityDefault*('5. Scenarios'!$D$11-1)))</f>
        <v/>
      </c>
      <c r="O1686" s="57" t="str">
        <f aca="false">IF($N1686="","",INDEX(BookRate,1681)*(1+'5. Scenarios'!$D$10)*$N1686)</f>
        <v/>
      </c>
      <c r="P1686" s="57" t="str">
        <f aca="false">IF($O1686="","",SUMIFS($O$6:$O$2405,$A$6:$A$2405,"&lt;="&amp;$A1686))</f>
        <v/>
      </c>
      <c r="Q1686" s="57" t="str">
        <f aca="false">IF($O1686="","",IF($P1686&lt;=BankCostEnvelope*'5. Scenarios'!$D$7,1,0))</f>
        <v/>
      </c>
      <c r="R1686" s="57" t="str">
        <f aca="false">IF($N1686="","",INDEX(BookRate,1681)*(1+'5. Scenarios'!$D$10)*(INDEX(BookQ1,1681)*(5-MIN(4,1+'5. Scenarios'!$D$8))/4+INDEX(BookQ2,1681)*(5-MIN(4,2+'5. Scenarios'!$D$8))/4+INDEX(BookQ3,1681)*(5-MIN(4,3+'5. Scenarios'!$D$8))/4+INDEX(BookQ4,1681)*(5-MIN(4,4+'5. Scenarios'!$D$8))/4)*'5. Scenarios'!$D$6/(1+ProductivityDefault*('5. Scenarios'!$D$11-1))+INDEX(BookOneOff,1681)*$N1686)</f>
        <v/>
      </c>
      <c r="S1686" s="56" t="str">
        <f aca="false">IF(INDEX(BookTitle,1681)="","",INDEX(BookTotal,1681)*'5. Scenarios'!$E$6/(1+ProductivityDefault*('5. Scenarios'!$E$11-1)))</f>
        <v/>
      </c>
      <c r="T1686" s="57" t="str">
        <f aca="false">IF($S1686="","",INDEX(BookRate,1681)*(1+'5. Scenarios'!$E$10)*$S1686)</f>
        <v/>
      </c>
      <c r="U1686" s="57" t="str">
        <f aca="false">IF($T1686="","",SUMIFS($T$6:$T$2405,$A$6:$A$2405,"&lt;="&amp;$A1686))</f>
        <v/>
      </c>
      <c r="V1686" s="57" t="str">
        <f aca="false">IF($T1686="","",IF($U1686&lt;=BankCostEnvelope*'5. Scenarios'!$E$7,1,0))</f>
        <v/>
      </c>
      <c r="W1686" s="57" t="str">
        <f aca="false">IF($S1686="","",INDEX(BookRate,1681)*(1+'5. Scenarios'!$E$10)*(INDEX(BookQ1,1681)*(5-MIN(4,1+'5. Scenarios'!$E$8))/4+INDEX(BookQ2,1681)*(5-MIN(4,2+'5. Scenarios'!$E$8))/4+INDEX(BookQ3,1681)*(5-MIN(4,3+'5. Scenarios'!$E$8))/4+INDEX(BookQ4,1681)*(5-MIN(4,4+'5. Scenarios'!$E$8))/4)*'5. Scenarios'!$E$6/(1+ProductivityDefault*('5. Scenarios'!$E$11-1))+INDEX(BookOneOff,1681)*$S1686)</f>
        <v/>
      </c>
    </row>
    <row r="1687" customFormat="false" ht="15" hidden="false" customHeight="false" outlineLevel="0" collapsed="false">
      <c r="A1687" s="0" t="str">
        <f aca="false">IF(INDEX(BookTitle,1682)="","",INDEX(BookKey,1682))</f>
        <v/>
      </c>
      <c r="B1687" s="0" t="str">
        <f aca="false">IF(INDEX(BookTitle,1682)="","",INDEX(BookGroup,1682))</f>
        <v/>
      </c>
      <c r="C1687" s="0" t="str">
        <f aca="false">IF(INDEX(BookTitle,1682)="","",INDEX(BookCategory,1682))</f>
        <v/>
      </c>
      <c r="D1687" s="56" t="str">
        <f aca="false">IF(INDEX(BookTitle,1682)="","",INDEX(BookTotal,1682)*'5. Scenarios'!$B$6/(1+ProductivityDefault*('5. Scenarios'!$B$11-1)))</f>
        <v/>
      </c>
      <c r="E1687" s="57" t="str">
        <f aca="false">IF($D1687="","",INDEX(BookRate,1682)*(1+'5. Scenarios'!$B$10)*$D1687)</f>
        <v/>
      </c>
      <c r="F1687" s="57" t="str">
        <f aca="false">IF($E1687="","",SUMIFS($E$6:$E$2405,$A$6:$A$2405,"&lt;="&amp;$A1687))</f>
        <v/>
      </c>
      <c r="G1687" s="57" t="str">
        <f aca="false">IF($E1687="","",IF($F1687&lt;=BankCostEnvelope*'5. Scenarios'!$B$7,1,0))</f>
        <v/>
      </c>
      <c r="H1687" s="57" t="str">
        <f aca="false">IF($D1687="","",INDEX(BookRate,1682)*(1+'5. Scenarios'!$B$10)*(INDEX(BookQ1,1682)*(5-MIN(4,1+'5. Scenarios'!$B$8))/4+INDEX(BookQ2,1682)*(5-MIN(4,2+'5. Scenarios'!$B$8))/4+INDEX(BookQ3,1682)*(5-MIN(4,3+'5. Scenarios'!$B$8))/4+INDEX(BookQ4,1682)*(5-MIN(4,4+'5. Scenarios'!$B$8))/4)*'5. Scenarios'!$B$6/(1+ProductivityDefault*('5. Scenarios'!$B$11-1))+INDEX(BookOneOff,1682)*$D1687)</f>
        <v/>
      </c>
      <c r="I1687" s="56" t="str">
        <f aca="false">IF(INDEX(BookTitle,1682)="","",INDEX(BookTotal,1682)*'5. Scenarios'!$C$6/(1+ProductivityDefault*('5. Scenarios'!$C$11-1)))</f>
        <v/>
      </c>
      <c r="J1687" s="57" t="str">
        <f aca="false">IF($I1687="","",INDEX(BookRate,1682)*(1+'5. Scenarios'!$C$10)*$I1687)</f>
        <v/>
      </c>
      <c r="K1687" s="57" t="str">
        <f aca="false">IF($J1687="","",SUMIFS($J$6:$J$2405,$A$6:$A$2405,"&lt;="&amp;$A1687))</f>
        <v/>
      </c>
      <c r="L1687" s="57" t="str">
        <f aca="false">IF($J1687="","",IF($K1687&lt;=BankCostEnvelope*'5. Scenarios'!$C$7,1,0))</f>
        <v/>
      </c>
      <c r="M1687" s="57" t="str">
        <f aca="false">IF($I1687="","",INDEX(BookRate,1682)*(1+'5. Scenarios'!$C$10)*(INDEX(BookQ1,1682)*(5-MIN(4,1+'5. Scenarios'!$C$8))/4+INDEX(BookQ2,1682)*(5-MIN(4,2+'5. Scenarios'!$C$8))/4+INDEX(BookQ3,1682)*(5-MIN(4,3+'5. Scenarios'!$C$8))/4+INDEX(BookQ4,1682)*(5-MIN(4,4+'5. Scenarios'!$C$8))/4)*'5. Scenarios'!$C$6/(1+ProductivityDefault*('5. Scenarios'!$C$11-1))+INDEX(BookOneOff,1682)*$I1687)</f>
        <v/>
      </c>
      <c r="N1687" s="56" t="str">
        <f aca="false">IF(INDEX(BookTitle,1682)="","",INDEX(BookTotal,1682)*'5. Scenarios'!$D$6/(1+ProductivityDefault*('5. Scenarios'!$D$11-1)))</f>
        <v/>
      </c>
      <c r="O1687" s="57" t="str">
        <f aca="false">IF($N1687="","",INDEX(BookRate,1682)*(1+'5. Scenarios'!$D$10)*$N1687)</f>
        <v/>
      </c>
      <c r="P1687" s="57" t="str">
        <f aca="false">IF($O1687="","",SUMIFS($O$6:$O$2405,$A$6:$A$2405,"&lt;="&amp;$A1687))</f>
        <v/>
      </c>
      <c r="Q1687" s="57" t="str">
        <f aca="false">IF($O1687="","",IF($P1687&lt;=BankCostEnvelope*'5. Scenarios'!$D$7,1,0))</f>
        <v/>
      </c>
      <c r="R1687" s="57" t="str">
        <f aca="false">IF($N1687="","",INDEX(BookRate,1682)*(1+'5. Scenarios'!$D$10)*(INDEX(BookQ1,1682)*(5-MIN(4,1+'5. Scenarios'!$D$8))/4+INDEX(BookQ2,1682)*(5-MIN(4,2+'5. Scenarios'!$D$8))/4+INDEX(BookQ3,1682)*(5-MIN(4,3+'5. Scenarios'!$D$8))/4+INDEX(BookQ4,1682)*(5-MIN(4,4+'5. Scenarios'!$D$8))/4)*'5. Scenarios'!$D$6/(1+ProductivityDefault*('5. Scenarios'!$D$11-1))+INDEX(BookOneOff,1682)*$N1687)</f>
        <v/>
      </c>
      <c r="S1687" s="56" t="str">
        <f aca="false">IF(INDEX(BookTitle,1682)="","",INDEX(BookTotal,1682)*'5. Scenarios'!$E$6/(1+ProductivityDefault*('5. Scenarios'!$E$11-1)))</f>
        <v/>
      </c>
      <c r="T1687" s="57" t="str">
        <f aca="false">IF($S1687="","",INDEX(BookRate,1682)*(1+'5. Scenarios'!$E$10)*$S1687)</f>
        <v/>
      </c>
      <c r="U1687" s="57" t="str">
        <f aca="false">IF($T1687="","",SUMIFS($T$6:$T$2405,$A$6:$A$2405,"&lt;="&amp;$A1687))</f>
        <v/>
      </c>
      <c r="V1687" s="57" t="str">
        <f aca="false">IF($T1687="","",IF($U1687&lt;=BankCostEnvelope*'5. Scenarios'!$E$7,1,0))</f>
        <v/>
      </c>
      <c r="W1687" s="57" t="str">
        <f aca="false">IF($S1687="","",INDEX(BookRate,1682)*(1+'5. Scenarios'!$E$10)*(INDEX(BookQ1,1682)*(5-MIN(4,1+'5. Scenarios'!$E$8))/4+INDEX(BookQ2,1682)*(5-MIN(4,2+'5. Scenarios'!$E$8))/4+INDEX(BookQ3,1682)*(5-MIN(4,3+'5. Scenarios'!$E$8))/4+INDEX(BookQ4,1682)*(5-MIN(4,4+'5. Scenarios'!$E$8))/4)*'5. Scenarios'!$E$6/(1+ProductivityDefault*('5. Scenarios'!$E$11-1))+INDEX(BookOneOff,1682)*$S1687)</f>
        <v/>
      </c>
    </row>
    <row r="1688" customFormat="false" ht="15" hidden="false" customHeight="false" outlineLevel="0" collapsed="false">
      <c r="A1688" s="0" t="str">
        <f aca="false">IF(INDEX(BookTitle,1683)="","",INDEX(BookKey,1683))</f>
        <v/>
      </c>
      <c r="B1688" s="0" t="str">
        <f aca="false">IF(INDEX(BookTitle,1683)="","",INDEX(BookGroup,1683))</f>
        <v/>
      </c>
      <c r="C1688" s="0" t="str">
        <f aca="false">IF(INDEX(BookTitle,1683)="","",INDEX(BookCategory,1683))</f>
        <v/>
      </c>
      <c r="D1688" s="56" t="str">
        <f aca="false">IF(INDEX(BookTitle,1683)="","",INDEX(BookTotal,1683)*'5. Scenarios'!$B$6/(1+ProductivityDefault*('5. Scenarios'!$B$11-1)))</f>
        <v/>
      </c>
      <c r="E1688" s="57" t="str">
        <f aca="false">IF($D1688="","",INDEX(BookRate,1683)*(1+'5. Scenarios'!$B$10)*$D1688)</f>
        <v/>
      </c>
      <c r="F1688" s="57" t="str">
        <f aca="false">IF($E1688="","",SUMIFS($E$6:$E$2405,$A$6:$A$2405,"&lt;="&amp;$A1688))</f>
        <v/>
      </c>
      <c r="G1688" s="57" t="str">
        <f aca="false">IF($E1688="","",IF($F1688&lt;=BankCostEnvelope*'5. Scenarios'!$B$7,1,0))</f>
        <v/>
      </c>
      <c r="H1688" s="57" t="str">
        <f aca="false">IF($D1688="","",INDEX(BookRate,1683)*(1+'5. Scenarios'!$B$10)*(INDEX(BookQ1,1683)*(5-MIN(4,1+'5. Scenarios'!$B$8))/4+INDEX(BookQ2,1683)*(5-MIN(4,2+'5. Scenarios'!$B$8))/4+INDEX(BookQ3,1683)*(5-MIN(4,3+'5. Scenarios'!$B$8))/4+INDEX(BookQ4,1683)*(5-MIN(4,4+'5. Scenarios'!$B$8))/4)*'5. Scenarios'!$B$6/(1+ProductivityDefault*('5. Scenarios'!$B$11-1))+INDEX(BookOneOff,1683)*$D1688)</f>
        <v/>
      </c>
      <c r="I1688" s="56" t="str">
        <f aca="false">IF(INDEX(BookTitle,1683)="","",INDEX(BookTotal,1683)*'5. Scenarios'!$C$6/(1+ProductivityDefault*('5. Scenarios'!$C$11-1)))</f>
        <v/>
      </c>
      <c r="J1688" s="57" t="str">
        <f aca="false">IF($I1688="","",INDEX(BookRate,1683)*(1+'5. Scenarios'!$C$10)*$I1688)</f>
        <v/>
      </c>
      <c r="K1688" s="57" t="str">
        <f aca="false">IF($J1688="","",SUMIFS($J$6:$J$2405,$A$6:$A$2405,"&lt;="&amp;$A1688))</f>
        <v/>
      </c>
      <c r="L1688" s="57" t="str">
        <f aca="false">IF($J1688="","",IF($K1688&lt;=BankCostEnvelope*'5. Scenarios'!$C$7,1,0))</f>
        <v/>
      </c>
      <c r="M1688" s="57" t="str">
        <f aca="false">IF($I1688="","",INDEX(BookRate,1683)*(1+'5. Scenarios'!$C$10)*(INDEX(BookQ1,1683)*(5-MIN(4,1+'5. Scenarios'!$C$8))/4+INDEX(BookQ2,1683)*(5-MIN(4,2+'5. Scenarios'!$C$8))/4+INDEX(BookQ3,1683)*(5-MIN(4,3+'5. Scenarios'!$C$8))/4+INDEX(BookQ4,1683)*(5-MIN(4,4+'5. Scenarios'!$C$8))/4)*'5. Scenarios'!$C$6/(1+ProductivityDefault*('5. Scenarios'!$C$11-1))+INDEX(BookOneOff,1683)*$I1688)</f>
        <v/>
      </c>
      <c r="N1688" s="56" t="str">
        <f aca="false">IF(INDEX(BookTitle,1683)="","",INDEX(BookTotal,1683)*'5. Scenarios'!$D$6/(1+ProductivityDefault*('5. Scenarios'!$D$11-1)))</f>
        <v/>
      </c>
      <c r="O1688" s="57" t="str">
        <f aca="false">IF($N1688="","",INDEX(BookRate,1683)*(1+'5. Scenarios'!$D$10)*$N1688)</f>
        <v/>
      </c>
      <c r="P1688" s="57" t="str">
        <f aca="false">IF($O1688="","",SUMIFS($O$6:$O$2405,$A$6:$A$2405,"&lt;="&amp;$A1688))</f>
        <v/>
      </c>
      <c r="Q1688" s="57" t="str">
        <f aca="false">IF($O1688="","",IF($P1688&lt;=BankCostEnvelope*'5. Scenarios'!$D$7,1,0))</f>
        <v/>
      </c>
      <c r="R1688" s="57" t="str">
        <f aca="false">IF($N1688="","",INDEX(BookRate,1683)*(1+'5. Scenarios'!$D$10)*(INDEX(BookQ1,1683)*(5-MIN(4,1+'5. Scenarios'!$D$8))/4+INDEX(BookQ2,1683)*(5-MIN(4,2+'5. Scenarios'!$D$8))/4+INDEX(BookQ3,1683)*(5-MIN(4,3+'5. Scenarios'!$D$8))/4+INDEX(BookQ4,1683)*(5-MIN(4,4+'5. Scenarios'!$D$8))/4)*'5. Scenarios'!$D$6/(1+ProductivityDefault*('5. Scenarios'!$D$11-1))+INDEX(BookOneOff,1683)*$N1688)</f>
        <v/>
      </c>
      <c r="S1688" s="56" t="str">
        <f aca="false">IF(INDEX(BookTitle,1683)="","",INDEX(BookTotal,1683)*'5. Scenarios'!$E$6/(1+ProductivityDefault*('5. Scenarios'!$E$11-1)))</f>
        <v/>
      </c>
      <c r="T1688" s="57" t="str">
        <f aca="false">IF($S1688="","",INDEX(BookRate,1683)*(1+'5. Scenarios'!$E$10)*$S1688)</f>
        <v/>
      </c>
      <c r="U1688" s="57" t="str">
        <f aca="false">IF($T1688="","",SUMIFS($T$6:$T$2405,$A$6:$A$2405,"&lt;="&amp;$A1688))</f>
        <v/>
      </c>
      <c r="V1688" s="57" t="str">
        <f aca="false">IF($T1688="","",IF($U1688&lt;=BankCostEnvelope*'5. Scenarios'!$E$7,1,0))</f>
        <v/>
      </c>
      <c r="W1688" s="57" t="str">
        <f aca="false">IF($S1688="","",INDEX(BookRate,1683)*(1+'5. Scenarios'!$E$10)*(INDEX(BookQ1,1683)*(5-MIN(4,1+'5. Scenarios'!$E$8))/4+INDEX(BookQ2,1683)*(5-MIN(4,2+'5. Scenarios'!$E$8))/4+INDEX(BookQ3,1683)*(5-MIN(4,3+'5. Scenarios'!$E$8))/4+INDEX(BookQ4,1683)*(5-MIN(4,4+'5. Scenarios'!$E$8))/4)*'5. Scenarios'!$E$6/(1+ProductivityDefault*('5. Scenarios'!$E$11-1))+INDEX(BookOneOff,1683)*$S1688)</f>
        <v/>
      </c>
    </row>
    <row r="1689" customFormat="false" ht="15" hidden="false" customHeight="false" outlineLevel="0" collapsed="false">
      <c r="A1689" s="0" t="str">
        <f aca="false">IF(INDEX(BookTitle,1684)="","",INDEX(BookKey,1684))</f>
        <v/>
      </c>
      <c r="B1689" s="0" t="str">
        <f aca="false">IF(INDEX(BookTitle,1684)="","",INDEX(BookGroup,1684))</f>
        <v/>
      </c>
      <c r="C1689" s="0" t="str">
        <f aca="false">IF(INDEX(BookTitle,1684)="","",INDEX(BookCategory,1684))</f>
        <v/>
      </c>
      <c r="D1689" s="56" t="str">
        <f aca="false">IF(INDEX(BookTitle,1684)="","",INDEX(BookTotal,1684)*'5. Scenarios'!$B$6/(1+ProductivityDefault*('5. Scenarios'!$B$11-1)))</f>
        <v/>
      </c>
      <c r="E1689" s="57" t="str">
        <f aca="false">IF($D1689="","",INDEX(BookRate,1684)*(1+'5. Scenarios'!$B$10)*$D1689)</f>
        <v/>
      </c>
      <c r="F1689" s="57" t="str">
        <f aca="false">IF($E1689="","",SUMIFS($E$6:$E$2405,$A$6:$A$2405,"&lt;="&amp;$A1689))</f>
        <v/>
      </c>
      <c r="G1689" s="57" t="str">
        <f aca="false">IF($E1689="","",IF($F1689&lt;=BankCostEnvelope*'5. Scenarios'!$B$7,1,0))</f>
        <v/>
      </c>
      <c r="H1689" s="57" t="str">
        <f aca="false">IF($D1689="","",INDEX(BookRate,1684)*(1+'5. Scenarios'!$B$10)*(INDEX(BookQ1,1684)*(5-MIN(4,1+'5. Scenarios'!$B$8))/4+INDEX(BookQ2,1684)*(5-MIN(4,2+'5. Scenarios'!$B$8))/4+INDEX(BookQ3,1684)*(5-MIN(4,3+'5. Scenarios'!$B$8))/4+INDEX(BookQ4,1684)*(5-MIN(4,4+'5. Scenarios'!$B$8))/4)*'5. Scenarios'!$B$6/(1+ProductivityDefault*('5. Scenarios'!$B$11-1))+INDEX(BookOneOff,1684)*$D1689)</f>
        <v/>
      </c>
      <c r="I1689" s="56" t="str">
        <f aca="false">IF(INDEX(BookTitle,1684)="","",INDEX(BookTotal,1684)*'5. Scenarios'!$C$6/(1+ProductivityDefault*('5. Scenarios'!$C$11-1)))</f>
        <v/>
      </c>
      <c r="J1689" s="57" t="str">
        <f aca="false">IF($I1689="","",INDEX(BookRate,1684)*(1+'5. Scenarios'!$C$10)*$I1689)</f>
        <v/>
      </c>
      <c r="K1689" s="57" t="str">
        <f aca="false">IF($J1689="","",SUMIFS($J$6:$J$2405,$A$6:$A$2405,"&lt;="&amp;$A1689))</f>
        <v/>
      </c>
      <c r="L1689" s="57" t="str">
        <f aca="false">IF($J1689="","",IF($K1689&lt;=BankCostEnvelope*'5. Scenarios'!$C$7,1,0))</f>
        <v/>
      </c>
      <c r="M1689" s="57" t="str">
        <f aca="false">IF($I1689="","",INDEX(BookRate,1684)*(1+'5. Scenarios'!$C$10)*(INDEX(BookQ1,1684)*(5-MIN(4,1+'5. Scenarios'!$C$8))/4+INDEX(BookQ2,1684)*(5-MIN(4,2+'5. Scenarios'!$C$8))/4+INDEX(BookQ3,1684)*(5-MIN(4,3+'5. Scenarios'!$C$8))/4+INDEX(BookQ4,1684)*(5-MIN(4,4+'5. Scenarios'!$C$8))/4)*'5. Scenarios'!$C$6/(1+ProductivityDefault*('5. Scenarios'!$C$11-1))+INDEX(BookOneOff,1684)*$I1689)</f>
        <v/>
      </c>
      <c r="N1689" s="56" t="str">
        <f aca="false">IF(INDEX(BookTitle,1684)="","",INDEX(BookTotal,1684)*'5. Scenarios'!$D$6/(1+ProductivityDefault*('5. Scenarios'!$D$11-1)))</f>
        <v/>
      </c>
      <c r="O1689" s="57" t="str">
        <f aca="false">IF($N1689="","",INDEX(BookRate,1684)*(1+'5. Scenarios'!$D$10)*$N1689)</f>
        <v/>
      </c>
      <c r="P1689" s="57" t="str">
        <f aca="false">IF($O1689="","",SUMIFS($O$6:$O$2405,$A$6:$A$2405,"&lt;="&amp;$A1689))</f>
        <v/>
      </c>
      <c r="Q1689" s="57" t="str">
        <f aca="false">IF($O1689="","",IF($P1689&lt;=BankCostEnvelope*'5. Scenarios'!$D$7,1,0))</f>
        <v/>
      </c>
      <c r="R1689" s="57" t="str">
        <f aca="false">IF($N1689="","",INDEX(BookRate,1684)*(1+'5. Scenarios'!$D$10)*(INDEX(BookQ1,1684)*(5-MIN(4,1+'5. Scenarios'!$D$8))/4+INDEX(BookQ2,1684)*(5-MIN(4,2+'5. Scenarios'!$D$8))/4+INDEX(BookQ3,1684)*(5-MIN(4,3+'5. Scenarios'!$D$8))/4+INDEX(BookQ4,1684)*(5-MIN(4,4+'5. Scenarios'!$D$8))/4)*'5. Scenarios'!$D$6/(1+ProductivityDefault*('5. Scenarios'!$D$11-1))+INDEX(BookOneOff,1684)*$N1689)</f>
        <v/>
      </c>
      <c r="S1689" s="56" t="str">
        <f aca="false">IF(INDEX(BookTitle,1684)="","",INDEX(BookTotal,1684)*'5. Scenarios'!$E$6/(1+ProductivityDefault*('5. Scenarios'!$E$11-1)))</f>
        <v/>
      </c>
      <c r="T1689" s="57" t="str">
        <f aca="false">IF($S1689="","",INDEX(BookRate,1684)*(1+'5. Scenarios'!$E$10)*$S1689)</f>
        <v/>
      </c>
      <c r="U1689" s="57" t="str">
        <f aca="false">IF($T1689="","",SUMIFS($T$6:$T$2405,$A$6:$A$2405,"&lt;="&amp;$A1689))</f>
        <v/>
      </c>
      <c r="V1689" s="57" t="str">
        <f aca="false">IF($T1689="","",IF($U1689&lt;=BankCostEnvelope*'5. Scenarios'!$E$7,1,0))</f>
        <v/>
      </c>
      <c r="W1689" s="57" t="str">
        <f aca="false">IF($S1689="","",INDEX(BookRate,1684)*(1+'5. Scenarios'!$E$10)*(INDEX(BookQ1,1684)*(5-MIN(4,1+'5. Scenarios'!$E$8))/4+INDEX(BookQ2,1684)*(5-MIN(4,2+'5. Scenarios'!$E$8))/4+INDEX(BookQ3,1684)*(5-MIN(4,3+'5. Scenarios'!$E$8))/4+INDEX(BookQ4,1684)*(5-MIN(4,4+'5. Scenarios'!$E$8))/4)*'5. Scenarios'!$E$6/(1+ProductivityDefault*('5. Scenarios'!$E$11-1))+INDEX(BookOneOff,1684)*$S1689)</f>
        <v/>
      </c>
    </row>
    <row r="1690" customFormat="false" ht="15" hidden="false" customHeight="false" outlineLevel="0" collapsed="false">
      <c r="A1690" s="0" t="str">
        <f aca="false">IF(INDEX(BookTitle,1685)="","",INDEX(BookKey,1685))</f>
        <v/>
      </c>
      <c r="B1690" s="0" t="str">
        <f aca="false">IF(INDEX(BookTitle,1685)="","",INDEX(BookGroup,1685))</f>
        <v/>
      </c>
      <c r="C1690" s="0" t="str">
        <f aca="false">IF(INDEX(BookTitle,1685)="","",INDEX(BookCategory,1685))</f>
        <v/>
      </c>
      <c r="D1690" s="56" t="str">
        <f aca="false">IF(INDEX(BookTitle,1685)="","",INDEX(BookTotal,1685)*'5. Scenarios'!$B$6/(1+ProductivityDefault*('5. Scenarios'!$B$11-1)))</f>
        <v/>
      </c>
      <c r="E1690" s="57" t="str">
        <f aca="false">IF($D1690="","",INDEX(BookRate,1685)*(1+'5. Scenarios'!$B$10)*$D1690)</f>
        <v/>
      </c>
      <c r="F1690" s="57" t="str">
        <f aca="false">IF($E1690="","",SUMIFS($E$6:$E$2405,$A$6:$A$2405,"&lt;="&amp;$A1690))</f>
        <v/>
      </c>
      <c r="G1690" s="57" t="str">
        <f aca="false">IF($E1690="","",IF($F1690&lt;=BankCostEnvelope*'5. Scenarios'!$B$7,1,0))</f>
        <v/>
      </c>
      <c r="H1690" s="57" t="str">
        <f aca="false">IF($D1690="","",INDEX(BookRate,1685)*(1+'5. Scenarios'!$B$10)*(INDEX(BookQ1,1685)*(5-MIN(4,1+'5. Scenarios'!$B$8))/4+INDEX(BookQ2,1685)*(5-MIN(4,2+'5. Scenarios'!$B$8))/4+INDEX(BookQ3,1685)*(5-MIN(4,3+'5. Scenarios'!$B$8))/4+INDEX(BookQ4,1685)*(5-MIN(4,4+'5. Scenarios'!$B$8))/4)*'5. Scenarios'!$B$6/(1+ProductivityDefault*('5. Scenarios'!$B$11-1))+INDEX(BookOneOff,1685)*$D1690)</f>
        <v/>
      </c>
      <c r="I1690" s="56" t="str">
        <f aca="false">IF(INDEX(BookTitle,1685)="","",INDEX(BookTotal,1685)*'5. Scenarios'!$C$6/(1+ProductivityDefault*('5. Scenarios'!$C$11-1)))</f>
        <v/>
      </c>
      <c r="J1690" s="57" t="str">
        <f aca="false">IF($I1690="","",INDEX(BookRate,1685)*(1+'5. Scenarios'!$C$10)*$I1690)</f>
        <v/>
      </c>
      <c r="K1690" s="57" t="str">
        <f aca="false">IF($J1690="","",SUMIFS($J$6:$J$2405,$A$6:$A$2405,"&lt;="&amp;$A1690))</f>
        <v/>
      </c>
      <c r="L1690" s="57" t="str">
        <f aca="false">IF($J1690="","",IF($K1690&lt;=BankCostEnvelope*'5. Scenarios'!$C$7,1,0))</f>
        <v/>
      </c>
      <c r="M1690" s="57" t="str">
        <f aca="false">IF($I1690="","",INDEX(BookRate,1685)*(1+'5. Scenarios'!$C$10)*(INDEX(BookQ1,1685)*(5-MIN(4,1+'5. Scenarios'!$C$8))/4+INDEX(BookQ2,1685)*(5-MIN(4,2+'5. Scenarios'!$C$8))/4+INDEX(BookQ3,1685)*(5-MIN(4,3+'5. Scenarios'!$C$8))/4+INDEX(BookQ4,1685)*(5-MIN(4,4+'5. Scenarios'!$C$8))/4)*'5. Scenarios'!$C$6/(1+ProductivityDefault*('5. Scenarios'!$C$11-1))+INDEX(BookOneOff,1685)*$I1690)</f>
        <v/>
      </c>
      <c r="N1690" s="56" t="str">
        <f aca="false">IF(INDEX(BookTitle,1685)="","",INDEX(BookTotal,1685)*'5. Scenarios'!$D$6/(1+ProductivityDefault*('5. Scenarios'!$D$11-1)))</f>
        <v/>
      </c>
      <c r="O1690" s="57" t="str">
        <f aca="false">IF($N1690="","",INDEX(BookRate,1685)*(1+'5. Scenarios'!$D$10)*$N1690)</f>
        <v/>
      </c>
      <c r="P1690" s="57" t="str">
        <f aca="false">IF($O1690="","",SUMIFS($O$6:$O$2405,$A$6:$A$2405,"&lt;="&amp;$A1690))</f>
        <v/>
      </c>
      <c r="Q1690" s="57" t="str">
        <f aca="false">IF($O1690="","",IF($P1690&lt;=BankCostEnvelope*'5. Scenarios'!$D$7,1,0))</f>
        <v/>
      </c>
      <c r="R1690" s="57" t="str">
        <f aca="false">IF($N1690="","",INDEX(BookRate,1685)*(1+'5. Scenarios'!$D$10)*(INDEX(BookQ1,1685)*(5-MIN(4,1+'5. Scenarios'!$D$8))/4+INDEX(BookQ2,1685)*(5-MIN(4,2+'5. Scenarios'!$D$8))/4+INDEX(BookQ3,1685)*(5-MIN(4,3+'5. Scenarios'!$D$8))/4+INDEX(BookQ4,1685)*(5-MIN(4,4+'5. Scenarios'!$D$8))/4)*'5. Scenarios'!$D$6/(1+ProductivityDefault*('5. Scenarios'!$D$11-1))+INDEX(BookOneOff,1685)*$N1690)</f>
        <v/>
      </c>
      <c r="S1690" s="56" t="str">
        <f aca="false">IF(INDEX(BookTitle,1685)="","",INDEX(BookTotal,1685)*'5. Scenarios'!$E$6/(1+ProductivityDefault*('5. Scenarios'!$E$11-1)))</f>
        <v/>
      </c>
      <c r="T1690" s="57" t="str">
        <f aca="false">IF($S1690="","",INDEX(BookRate,1685)*(1+'5. Scenarios'!$E$10)*$S1690)</f>
        <v/>
      </c>
      <c r="U1690" s="57" t="str">
        <f aca="false">IF($T1690="","",SUMIFS($T$6:$T$2405,$A$6:$A$2405,"&lt;="&amp;$A1690))</f>
        <v/>
      </c>
      <c r="V1690" s="57" t="str">
        <f aca="false">IF($T1690="","",IF($U1690&lt;=BankCostEnvelope*'5. Scenarios'!$E$7,1,0))</f>
        <v/>
      </c>
      <c r="W1690" s="57" t="str">
        <f aca="false">IF($S1690="","",INDEX(BookRate,1685)*(1+'5. Scenarios'!$E$10)*(INDEX(BookQ1,1685)*(5-MIN(4,1+'5. Scenarios'!$E$8))/4+INDEX(BookQ2,1685)*(5-MIN(4,2+'5. Scenarios'!$E$8))/4+INDEX(BookQ3,1685)*(5-MIN(4,3+'5. Scenarios'!$E$8))/4+INDEX(BookQ4,1685)*(5-MIN(4,4+'5. Scenarios'!$E$8))/4)*'5. Scenarios'!$E$6/(1+ProductivityDefault*('5. Scenarios'!$E$11-1))+INDEX(BookOneOff,1685)*$S1690)</f>
        <v/>
      </c>
    </row>
    <row r="1691" customFormat="false" ht="15" hidden="false" customHeight="false" outlineLevel="0" collapsed="false">
      <c r="A1691" s="0" t="str">
        <f aca="false">IF(INDEX(BookTitle,1686)="","",INDEX(BookKey,1686))</f>
        <v/>
      </c>
      <c r="B1691" s="0" t="str">
        <f aca="false">IF(INDEX(BookTitle,1686)="","",INDEX(BookGroup,1686))</f>
        <v/>
      </c>
      <c r="C1691" s="0" t="str">
        <f aca="false">IF(INDEX(BookTitle,1686)="","",INDEX(BookCategory,1686))</f>
        <v/>
      </c>
      <c r="D1691" s="56" t="str">
        <f aca="false">IF(INDEX(BookTitle,1686)="","",INDEX(BookTotal,1686)*'5. Scenarios'!$B$6/(1+ProductivityDefault*('5. Scenarios'!$B$11-1)))</f>
        <v/>
      </c>
      <c r="E1691" s="57" t="str">
        <f aca="false">IF($D1691="","",INDEX(BookRate,1686)*(1+'5. Scenarios'!$B$10)*$D1691)</f>
        <v/>
      </c>
      <c r="F1691" s="57" t="str">
        <f aca="false">IF($E1691="","",SUMIFS($E$6:$E$2405,$A$6:$A$2405,"&lt;="&amp;$A1691))</f>
        <v/>
      </c>
      <c r="G1691" s="57" t="str">
        <f aca="false">IF($E1691="","",IF($F1691&lt;=BankCostEnvelope*'5. Scenarios'!$B$7,1,0))</f>
        <v/>
      </c>
      <c r="H1691" s="57" t="str">
        <f aca="false">IF($D1691="","",INDEX(BookRate,1686)*(1+'5. Scenarios'!$B$10)*(INDEX(BookQ1,1686)*(5-MIN(4,1+'5. Scenarios'!$B$8))/4+INDEX(BookQ2,1686)*(5-MIN(4,2+'5. Scenarios'!$B$8))/4+INDEX(BookQ3,1686)*(5-MIN(4,3+'5. Scenarios'!$B$8))/4+INDEX(BookQ4,1686)*(5-MIN(4,4+'5. Scenarios'!$B$8))/4)*'5. Scenarios'!$B$6/(1+ProductivityDefault*('5. Scenarios'!$B$11-1))+INDEX(BookOneOff,1686)*$D1691)</f>
        <v/>
      </c>
      <c r="I1691" s="56" t="str">
        <f aca="false">IF(INDEX(BookTitle,1686)="","",INDEX(BookTotal,1686)*'5. Scenarios'!$C$6/(1+ProductivityDefault*('5. Scenarios'!$C$11-1)))</f>
        <v/>
      </c>
      <c r="J1691" s="57" t="str">
        <f aca="false">IF($I1691="","",INDEX(BookRate,1686)*(1+'5. Scenarios'!$C$10)*$I1691)</f>
        <v/>
      </c>
      <c r="K1691" s="57" t="str">
        <f aca="false">IF($J1691="","",SUMIFS($J$6:$J$2405,$A$6:$A$2405,"&lt;="&amp;$A1691))</f>
        <v/>
      </c>
      <c r="L1691" s="57" t="str">
        <f aca="false">IF($J1691="","",IF($K1691&lt;=BankCostEnvelope*'5. Scenarios'!$C$7,1,0))</f>
        <v/>
      </c>
      <c r="M1691" s="57" t="str">
        <f aca="false">IF($I1691="","",INDEX(BookRate,1686)*(1+'5. Scenarios'!$C$10)*(INDEX(BookQ1,1686)*(5-MIN(4,1+'5. Scenarios'!$C$8))/4+INDEX(BookQ2,1686)*(5-MIN(4,2+'5. Scenarios'!$C$8))/4+INDEX(BookQ3,1686)*(5-MIN(4,3+'5. Scenarios'!$C$8))/4+INDEX(BookQ4,1686)*(5-MIN(4,4+'5. Scenarios'!$C$8))/4)*'5. Scenarios'!$C$6/(1+ProductivityDefault*('5. Scenarios'!$C$11-1))+INDEX(BookOneOff,1686)*$I1691)</f>
        <v/>
      </c>
      <c r="N1691" s="56" t="str">
        <f aca="false">IF(INDEX(BookTitle,1686)="","",INDEX(BookTotal,1686)*'5. Scenarios'!$D$6/(1+ProductivityDefault*('5. Scenarios'!$D$11-1)))</f>
        <v/>
      </c>
      <c r="O1691" s="57" t="str">
        <f aca="false">IF($N1691="","",INDEX(BookRate,1686)*(1+'5. Scenarios'!$D$10)*$N1691)</f>
        <v/>
      </c>
      <c r="P1691" s="57" t="str">
        <f aca="false">IF($O1691="","",SUMIFS($O$6:$O$2405,$A$6:$A$2405,"&lt;="&amp;$A1691))</f>
        <v/>
      </c>
      <c r="Q1691" s="57" t="str">
        <f aca="false">IF($O1691="","",IF($P1691&lt;=BankCostEnvelope*'5. Scenarios'!$D$7,1,0))</f>
        <v/>
      </c>
      <c r="R1691" s="57" t="str">
        <f aca="false">IF($N1691="","",INDEX(BookRate,1686)*(1+'5. Scenarios'!$D$10)*(INDEX(BookQ1,1686)*(5-MIN(4,1+'5. Scenarios'!$D$8))/4+INDEX(BookQ2,1686)*(5-MIN(4,2+'5. Scenarios'!$D$8))/4+INDEX(BookQ3,1686)*(5-MIN(4,3+'5. Scenarios'!$D$8))/4+INDEX(BookQ4,1686)*(5-MIN(4,4+'5. Scenarios'!$D$8))/4)*'5. Scenarios'!$D$6/(1+ProductivityDefault*('5. Scenarios'!$D$11-1))+INDEX(BookOneOff,1686)*$N1691)</f>
        <v/>
      </c>
      <c r="S1691" s="56" t="str">
        <f aca="false">IF(INDEX(BookTitle,1686)="","",INDEX(BookTotal,1686)*'5. Scenarios'!$E$6/(1+ProductivityDefault*('5. Scenarios'!$E$11-1)))</f>
        <v/>
      </c>
      <c r="T1691" s="57" t="str">
        <f aca="false">IF($S1691="","",INDEX(BookRate,1686)*(1+'5. Scenarios'!$E$10)*$S1691)</f>
        <v/>
      </c>
      <c r="U1691" s="57" t="str">
        <f aca="false">IF($T1691="","",SUMIFS($T$6:$T$2405,$A$6:$A$2405,"&lt;="&amp;$A1691))</f>
        <v/>
      </c>
      <c r="V1691" s="57" t="str">
        <f aca="false">IF($T1691="","",IF($U1691&lt;=BankCostEnvelope*'5. Scenarios'!$E$7,1,0))</f>
        <v/>
      </c>
      <c r="W1691" s="57" t="str">
        <f aca="false">IF($S1691="","",INDEX(BookRate,1686)*(1+'5. Scenarios'!$E$10)*(INDEX(BookQ1,1686)*(5-MIN(4,1+'5. Scenarios'!$E$8))/4+INDEX(BookQ2,1686)*(5-MIN(4,2+'5. Scenarios'!$E$8))/4+INDEX(BookQ3,1686)*(5-MIN(4,3+'5. Scenarios'!$E$8))/4+INDEX(BookQ4,1686)*(5-MIN(4,4+'5. Scenarios'!$E$8))/4)*'5. Scenarios'!$E$6/(1+ProductivityDefault*('5. Scenarios'!$E$11-1))+INDEX(BookOneOff,1686)*$S1691)</f>
        <v/>
      </c>
    </row>
    <row r="1692" customFormat="false" ht="15" hidden="false" customHeight="false" outlineLevel="0" collapsed="false">
      <c r="A1692" s="0" t="str">
        <f aca="false">IF(INDEX(BookTitle,1687)="","",INDEX(BookKey,1687))</f>
        <v/>
      </c>
      <c r="B1692" s="0" t="str">
        <f aca="false">IF(INDEX(BookTitle,1687)="","",INDEX(BookGroup,1687))</f>
        <v/>
      </c>
      <c r="C1692" s="0" t="str">
        <f aca="false">IF(INDEX(BookTitle,1687)="","",INDEX(BookCategory,1687))</f>
        <v/>
      </c>
      <c r="D1692" s="56" t="str">
        <f aca="false">IF(INDEX(BookTitle,1687)="","",INDEX(BookTotal,1687)*'5. Scenarios'!$B$6/(1+ProductivityDefault*('5. Scenarios'!$B$11-1)))</f>
        <v/>
      </c>
      <c r="E1692" s="57" t="str">
        <f aca="false">IF($D1692="","",INDEX(BookRate,1687)*(1+'5. Scenarios'!$B$10)*$D1692)</f>
        <v/>
      </c>
      <c r="F1692" s="57" t="str">
        <f aca="false">IF($E1692="","",SUMIFS($E$6:$E$2405,$A$6:$A$2405,"&lt;="&amp;$A1692))</f>
        <v/>
      </c>
      <c r="G1692" s="57" t="str">
        <f aca="false">IF($E1692="","",IF($F1692&lt;=BankCostEnvelope*'5. Scenarios'!$B$7,1,0))</f>
        <v/>
      </c>
      <c r="H1692" s="57" t="str">
        <f aca="false">IF($D1692="","",INDEX(BookRate,1687)*(1+'5. Scenarios'!$B$10)*(INDEX(BookQ1,1687)*(5-MIN(4,1+'5. Scenarios'!$B$8))/4+INDEX(BookQ2,1687)*(5-MIN(4,2+'5. Scenarios'!$B$8))/4+INDEX(BookQ3,1687)*(5-MIN(4,3+'5. Scenarios'!$B$8))/4+INDEX(BookQ4,1687)*(5-MIN(4,4+'5. Scenarios'!$B$8))/4)*'5. Scenarios'!$B$6/(1+ProductivityDefault*('5. Scenarios'!$B$11-1))+INDEX(BookOneOff,1687)*$D1692)</f>
        <v/>
      </c>
      <c r="I1692" s="56" t="str">
        <f aca="false">IF(INDEX(BookTitle,1687)="","",INDEX(BookTotal,1687)*'5. Scenarios'!$C$6/(1+ProductivityDefault*('5. Scenarios'!$C$11-1)))</f>
        <v/>
      </c>
      <c r="J1692" s="57" t="str">
        <f aca="false">IF($I1692="","",INDEX(BookRate,1687)*(1+'5. Scenarios'!$C$10)*$I1692)</f>
        <v/>
      </c>
      <c r="K1692" s="57" t="str">
        <f aca="false">IF($J1692="","",SUMIFS($J$6:$J$2405,$A$6:$A$2405,"&lt;="&amp;$A1692))</f>
        <v/>
      </c>
      <c r="L1692" s="57" t="str">
        <f aca="false">IF($J1692="","",IF($K1692&lt;=BankCostEnvelope*'5. Scenarios'!$C$7,1,0))</f>
        <v/>
      </c>
      <c r="M1692" s="57" t="str">
        <f aca="false">IF($I1692="","",INDEX(BookRate,1687)*(1+'5. Scenarios'!$C$10)*(INDEX(BookQ1,1687)*(5-MIN(4,1+'5. Scenarios'!$C$8))/4+INDEX(BookQ2,1687)*(5-MIN(4,2+'5. Scenarios'!$C$8))/4+INDEX(BookQ3,1687)*(5-MIN(4,3+'5. Scenarios'!$C$8))/4+INDEX(BookQ4,1687)*(5-MIN(4,4+'5. Scenarios'!$C$8))/4)*'5. Scenarios'!$C$6/(1+ProductivityDefault*('5. Scenarios'!$C$11-1))+INDEX(BookOneOff,1687)*$I1692)</f>
        <v/>
      </c>
      <c r="N1692" s="56" t="str">
        <f aca="false">IF(INDEX(BookTitle,1687)="","",INDEX(BookTotal,1687)*'5. Scenarios'!$D$6/(1+ProductivityDefault*('5. Scenarios'!$D$11-1)))</f>
        <v/>
      </c>
      <c r="O1692" s="57" t="str">
        <f aca="false">IF($N1692="","",INDEX(BookRate,1687)*(1+'5. Scenarios'!$D$10)*$N1692)</f>
        <v/>
      </c>
      <c r="P1692" s="57" t="str">
        <f aca="false">IF($O1692="","",SUMIFS($O$6:$O$2405,$A$6:$A$2405,"&lt;="&amp;$A1692))</f>
        <v/>
      </c>
      <c r="Q1692" s="57" t="str">
        <f aca="false">IF($O1692="","",IF($P1692&lt;=BankCostEnvelope*'5. Scenarios'!$D$7,1,0))</f>
        <v/>
      </c>
      <c r="R1692" s="57" t="str">
        <f aca="false">IF($N1692="","",INDEX(BookRate,1687)*(1+'5. Scenarios'!$D$10)*(INDEX(BookQ1,1687)*(5-MIN(4,1+'5. Scenarios'!$D$8))/4+INDEX(BookQ2,1687)*(5-MIN(4,2+'5. Scenarios'!$D$8))/4+INDEX(BookQ3,1687)*(5-MIN(4,3+'5. Scenarios'!$D$8))/4+INDEX(BookQ4,1687)*(5-MIN(4,4+'5. Scenarios'!$D$8))/4)*'5. Scenarios'!$D$6/(1+ProductivityDefault*('5. Scenarios'!$D$11-1))+INDEX(BookOneOff,1687)*$N1692)</f>
        <v/>
      </c>
      <c r="S1692" s="56" t="str">
        <f aca="false">IF(INDEX(BookTitle,1687)="","",INDEX(BookTotal,1687)*'5. Scenarios'!$E$6/(1+ProductivityDefault*('5. Scenarios'!$E$11-1)))</f>
        <v/>
      </c>
      <c r="T1692" s="57" t="str">
        <f aca="false">IF($S1692="","",INDEX(BookRate,1687)*(1+'5. Scenarios'!$E$10)*$S1692)</f>
        <v/>
      </c>
      <c r="U1692" s="57" t="str">
        <f aca="false">IF($T1692="","",SUMIFS($T$6:$T$2405,$A$6:$A$2405,"&lt;="&amp;$A1692))</f>
        <v/>
      </c>
      <c r="V1692" s="57" t="str">
        <f aca="false">IF($T1692="","",IF($U1692&lt;=BankCostEnvelope*'5. Scenarios'!$E$7,1,0))</f>
        <v/>
      </c>
      <c r="W1692" s="57" t="str">
        <f aca="false">IF($S1692="","",INDEX(BookRate,1687)*(1+'5. Scenarios'!$E$10)*(INDEX(BookQ1,1687)*(5-MIN(4,1+'5. Scenarios'!$E$8))/4+INDEX(BookQ2,1687)*(5-MIN(4,2+'5. Scenarios'!$E$8))/4+INDEX(BookQ3,1687)*(5-MIN(4,3+'5. Scenarios'!$E$8))/4+INDEX(BookQ4,1687)*(5-MIN(4,4+'5. Scenarios'!$E$8))/4)*'5. Scenarios'!$E$6/(1+ProductivityDefault*('5. Scenarios'!$E$11-1))+INDEX(BookOneOff,1687)*$S1692)</f>
        <v/>
      </c>
    </row>
    <row r="1693" customFormat="false" ht="15" hidden="false" customHeight="false" outlineLevel="0" collapsed="false">
      <c r="A1693" s="0" t="str">
        <f aca="false">IF(INDEX(BookTitle,1688)="","",INDEX(BookKey,1688))</f>
        <v/>
      </c>
      <c r="B1693" s="0" t="str">
        <f aca="false">IF(INDEX(BookTitle,1688)="","",INDEX(BookGroup,1688))</f>
        <v/>
      </c>
      <c r="C1693" s="0" t="str">
        <f aca="false">IF(INDEX(BookTitle,1688)="","",INDEX(BookCategory,1688))</f>
        <v/>
      </c>
      <c r="D1693" s="56" t="str">
        <f aca="false">IF(INDEX(BookTitle,1688)="","",INDEX(BookTotal,1688)*'5. Scenarios'!$B$6/(1+ProductivityDefault*('5. Scenarios'!$B$11-1)))</f>
        <v/>
      </c>
      <c r="E1693" s="57" t="str">
        <f aca="false">IF($D1693="","",INDEX(BookRate,1688)*(1+'5. Scenarios'!$B$10)*$D1693)</f>
        <v/>
      </c>
      <c r="F1693" s="57" t="str">
        <f aca="false">IF($E1693="","",SUMIFS($E$6:$E$2405,$A$6:$A$2405,"&lt;="&amp;$A1693))</f>
        <v/>
      </c>
      <c r="G1693" s="57" t="str">
        <f aca="false">IF($E1693="","",IF($F1693&lt;=BankCostEnvelope*'5. Scenarios'!$B$7,1,0))</f>
        <v/>
      </c>
      <c r="H1693" s="57" t="str">
        <f aca="false">IF($D1693="","",INDEX(BookRate,1688)*(1+'5. Scenarios'!$B$10)*(INDEX(BookQ1,1688)*(5-MIN(4,1+'5. Scenarios'!$B$8))/4+INDEX(BookQ2,1688)*(5-MIN(4,2+'5. Scenarios'!$B$8))/4+INDEX(BookQ3,1688)*(5-MIN(4,3+'5. Scenarios'!$B$8))/4+INDEX(BookQ4,1688)*(5-MIN(4,4+'5. Scenarios'!$B$8))/4)*'5. Scenarios'!$B$6/(1+ProductivityDefault*('5. Scenarios'!$B$11-1))+INDEX(BookOneOff,1688)*$D1693)</f>
        <v/>
      </c>
      <c r="I1693" s="56" t="str">
        <f aca="false">IF(INDEX(BookTitle,1688)="","",INDEX(BookTotal,1688)*'5. Scenarios'!$C$6/(1+ProductivityDefault*('5. Scenarios'!$C$11-1)))</f>
        <v/>
      </c>
      <c r="J1693" s="57" t="str">
        <f aca="false">IF($I1693="","",INDEX(BookRate,1688)*(1+'5. Scenarios'!$C$10)*$I1693)</f>
        <v/>
      </c>
      <c r="K1693" s="57" t="str">
        <f aca="false">IF($J1693="","",SUMIFS($J$6:$J$2405,$A$6:$A$2405,"&lt;="&amp;$A1693))</f>
        <v/>
      </c>
      <c r="L1693" s="57" t="str">
        <f aca="false">IF($J1693="","",IF($K1693&lt;=BankCostEnvelope*'5. Scenarios'!$C$7,1,0))</f>
        <v/>
      </c>
      <c r="M1693" s="57" t="str">
        <f aca="false">IF($I1693="","",INDEX(BookRate,1688)*(1+'5. Scenarios'!$C$10)*(INDEX(BookQ1,1688)*(5-MIN(4,1+'5. Scenarios'!$C$8))/4+INDEX(BookQ2,1688)*(5-MIN(4,2+'5. Scenarios'!$C$8))/4+INDEX(BookQ3,1688)*(5-MIN(4,3+'5. Scenarios'!$C$8))/4+INDEX(BookQ4,1688)*(5-MIN(4,4+'5. Scenarios'!$C$8))/4)*'5. Scenarios'!$C$6/(1+ProductivityDefault*('5. Scenarios'!$C$11-1))+INDEX(BookOneOff,1688)*$I1693)</f>
        <v/>
      </c>
      <c r="N1693" s="56" t="str">
        <f aca="false">IF(INDEX(BookTitle,1688)="","",INDEX(BookTotal,1688)*'5. Scenarios'!$D$6/(1+ProductivityDefault*('5. Scenarios'!$D$11-1)))</f>
        <v/>
      </c>
      <c r="O1693" s="57" t="str">
        <f aca="false">IF($N1693="","",INDEX(BookRate,1688)*(1+'5. Scenarios'!$D$10)*$N1693)</f>
        <v/>
      </c>
      <c r="P1693" s="57" t="str">
        <f aca="false">IF($O1693="","",SUMIFS($O$6:$O$2405,$A$6:$A$2405,"&lt;="&amp;$A1693))</f>
        <v/>
      </c>
      <c r="Q1693" s="57" t="str">
        <f aca="false">IF($O1693="","",IF($P1693&lt;=BankCostEnvelope*'5. Scenarios'!$D$7,1,0))</f>
        <v/>
      </c>
      <c r="R1693" s="57" t="str">
        <f aca="false">IF($N1693="","",INDEX(BookRate,1688)*(1+'5. Scenarios'!$D$10)*(INDEX(BookQ1,1688)*(5-MIN(4,1+'5. Scenarios'!$D$8))/4+INDEX(BookQ2,1688)*(5-MIN(4,2+'5. Scenarios'!$D$8))/4+INDEX(BookQ3,1688)*(5-MIN(4,3+'5. Scenarios'!$D$8))/4+INDEX(BookQ4,1688)*(5-MIN(4,4+'5. Scenarios'!$D$8))/4)*'5. Scenarios'!$D$6/(1+ProductivityDefault*('5. Scenarios'!$D$11-1))+INDEX(BookOneOff,1688)*$N1693)</f>
        <v/>
      </c>
      <c r="S1693" s="56" t="str">
        <f aca="false">IF(INDEX(BookTitle,1688)="","",INDEX(BookTotal,1688)*'5. Scenarios'!$E$6/(1+ProductivityDefault*('5. Scenarios'!$E$11-1)))</f>
        <v/>
      </c>
      <c r="T1693" s="57" t="str">
        <f aca="false">IF($S1693="","",INDEX(BookRate,1688)*(1+'5. Scenarios'!$E$10)*$S1693)</f>
        <v/>
      </c>
      <c r="U1693" s="57" t="str">
        <f aca="false">IF($T1693="","",SUMIFS($T$6:$T$2405,$A$6:$A$2405,"&lt;="&amp;$A1693))</f>
        <v/>
      </c>
      <c r="V1693" s="57" t="str">
        <f aca="false">IF($T1693="","",IF($U1693&lt;=BankCostEnvelope*'5. Scenarios'!$E$7,1,0))</f>
        <v/>
      </c>
      <c r="W1693" s="57" t="str">
        <f aca="false">IF($S1693="","",INDEX(BookRate,1688)*(1+'5. Scenarios'!$E$10)*(INDEX(BookQ1,1688)*(5-MIN(4,1+'5. Scenarios'!$E$8))/4+INDEX(BookQ2,1688)*(5-MIN(4,2+'5. Scenarios'!$E$8))/4+INDEX(BookQ3,1688)*(5-MIN(4,3+'5. Scenarios'!$E$8))/4+INDEX(BookQ4,1688)*(5-MIN(4,4+'5. Scenarios'!$E$8))/4)*'5. Scenarios'!$E$6/(1+ProductivityDefault*('5. Scenarios'!$E$11-1))+INDEX(BookOneOff,1688)*$S1693)</f>
        <v/>
      </c>
    </row>
    <row r="1694" customFormat="false" ht="15" hidden="false" customHeight="false" outlineLevel="0" collapsed="false">
      <c r="A1694" s="0" t="str">
        <f aca="false">IF(INDEX(BookTitle,1689)="","",INDEX(BookKey,1689))</f>
        <v/>
      </c>
      <c r="B1694" s="0" t="str">
        <f aca="false">IF(INDEX(BookTitle,1689)="","",INDEX(BookGroup,1689))</f>
        <v/>
      </c>
      <c r="C1694" s="0" t="str">
        <f aca="false">IF(INDEX(BookTitle,1689)="","",INDEX(BookCategory,1689))</f>
        <v/>
      </c>
      <c r="D1694" s="56" t="str">
        <f aca="false">IF(INDEX(BookTitle,1689)="","",INDEX(BookTotal,1689)*'5. Scenarios'!$B$6/(1+ProductivityDefault*('5. Scenarios'!$B$11-1)))</f>
        <v/>
      </c>
      <c r="E1694" s="57" t="str">
        <f aca="false">IF($D1694="","",INDEX(BookRate,1689)*(1+'5. Scenarios'!$B$10)*$D1694)</f>
        <v/>
      </c>
      <c r="F1694" s="57" t="str">
        <f aca="false">IF($E1694="","",SUMIFS($E$6:$E$2405,$A$6:$A$2405,"&lt;="&amp;$A1694))</f>
        <v/>
      </c>
      <c r="G1694" s="57" t="str">
        <f aca="false">IF($E1694="","",IF($F1694&lt;=BankCostEnvelope*'5. Scenarios'!$B$7,1,0))</f>
        <v/>
      </c>
      <c r="H1694" s="57" t="str">
        <f aca="false">IF($D1694="","",INDEX(BookRate,1689)*(1+'5. Scenarios'!$B$10)*(INDEX(BookQ1,1689)*(5-MIN(4,1+'5. Scenarios'!$B$8))/4+INDEX(BookQ2,1689)*(5-MIN(4,2+'5. Scenarios'!$B$8))/4+INDEX(BookQ3,1689)*(5-MIN(4,3+'5. Scenarios'!$B$8))/4+INDEX(BookQ4,1689)*(5-MIN(4,4+'5. Scenarios'!$B$8))/4)*'5. Scenarios'!$B$6/(1+ProductivityDefault*('5. Scenarios'!$B$11-1))+INDEX(BookOneOff,1689)*$D1694)</f>
        <v/>
      </c>
      <c r="I1694" s="56" t="str">
        <f aca="false">IF(INDEX(BookTitle,1689)="","",INDEX(BookTotal,1689)*'5. Scenarios'!$C$6/(1+ProductivityDefault*('5. Scenarios'!$C$11-1)))</f>
        <v/>
      </c>
      <c r="J1694" s="57" t="str">
        <f aca="false">IF($I1694="","",INDEX(BookRate,1689)*(1+'5. Scenarios'!$C$10)*$I1694)</f>
        <v/>
      </c>
      <c r="K1694" s="57" t="str">
        <f aca="false">IF($J1694="","",SUMIFS($J$6:$J$2405,$A$6:$A$2405,"&lt;="&amp;$A1694))</f>
        <v/>
      </c>
      <c r="L1694" s="57" t="str">
        <f aca="false">IF($J1694="","",IF($K1694&lt;=BankCostEnvelope*'5. Scenarios'!$C$7,1,0))</f>
        <v/>
      </c>
      <c r="M1694" s="57" t="str">
        <f aca="false">IF($I1694="","",INDEX(BookRate,1689)*(1+'5. Scenarios'!$C$10)*(INDEX(BookQ1,1689)*(5-MIN(4,1+'5. Scenarios'!$C$8))/4+INDEX(BookQ2,1689)*(5-MIN(4,2+'5. Scenarios'!$C$8))/4+INDEX(BookQ3,1689)*(5-MIN(4,3+'5. Scenarios'!$C$8))/4+INDEX(BookQ4,1689)*(5-MIN(4,4+'5. Scenarios'!$C$8))/4)*'5. Scenarios'!$C$6/(1+ProductivityDefault*('5. Scenarios'!$C$11-1))+INDEX(BookOneOff,1689)*$I1694)</f>
        <v/>
      </c>
      <c r="N1694" s="56" t="str">
        <f aca="false">IF(INDEX(BookTitle,1689)="","",INDEX(BookTotal,1689)*'5. Scenarios'!$D$6/(1+ProductivityDefault*('5. Scenarios'!$D$11-1)))</f>
        <v/>
      </c>
      <c r="O1694" s="57" t="str">
        <f aca="false">IF($N1694="","",INDEX(BookRate,1689)*(1+'5. Scenarios'!$D$10)*$N1694)</f>
        <v/>
      </c>
      <c r="P1694" s="57" t="str">
        <f aca="false">IF($O1694="","",SUMIFS($O$6:$O$2405,$A$6:$A$2405,"&lt;="&amp;$A1694))</f>
        <v/>
      </c>
      <c r="Q1694" s="57" t="str">
        <f aca="false">IF($O1694="","",IF($P1694&lt;=BankCostEnvelope*'5. Scenarios'!$D$7,1,0))</f>
        <v/>
      </c>
      <c r="R1694" s="57" t="str">
        <f aca="false">IF($N1694="","",INDEX(BookRate,1689)*(1+'5. Scenarios'!$D$10)*(INDEX(BookQ1,1689)*(5-MIN(4,1+'5. Scenarios'!$D$8))/4+INDEX(BookQ2,1689)*(5-MIN(4,2+'5. Scenarios'!$D$8))/4+INDEX(BookQ3,1689)*(5-MIN(4,3+'5. Scenarios'!$D$8))/4+INDEX(BookQ4,1689)*(5-MIN(4,4+'5. Scenarios'!$D$8))/4)*'5. Scenarios'!$D$6/(1+ProductivityDefault*('5. Scenarios'!$D$11-1))+INDEX(BookOneOff,1689)*$N1694)</f>
        <v/>
      </c>
      <c r="S1694" s="56" t="str">
        <f aca="false">IF(INDEX(BookTitle,1689)="","",INDEX(BookTotal,1689)*'5. Scenarios'!$E$6/(1+ProductivityDefault*('5. Scenarios'!$E$11-1)))</f>
        <v/>
      </c>
      <c r="T1694" s="57" t="str">
        <f aca="false">IF($S1694="","",INDEX(BookRate,1689)*(1+'5. Scenarios'!$E$10)*$S1694)</f>
        <v/>
      </c>
      <c r="U1694" s="57" t="str">
        <f aca="false">IF($T1694="","",SUMIFS($T$6:$T$2405,$A$6:$A$2405,"&lt;="&amp;$A1694))</f>
        <v/>
      </c>
      <c r="V1694" s="57" t="str">
        <f aca="false">IF($T1694="","",IF($U1694&lt;=BankCostEnvelope*'5. Scenarios'!$E$7,1,0))</f>
        <v/>
      </c>
      <c r="W1694" s="57" t="str">
        <f aca="false">IF($S1694="","",INDEX(BookRate,1689)*(1+'5. Scenarios'!$E$10)*(INDEX(BookQ1,1689)*(5-MIN(4,1+'5. Scenarios'!$E$8))/4+INDEX(BookQ2,1689)*(5-MIN(4,2+'5. Scenarios'!$E$8))/4+INDEX(BookQ3,1689)*(5-MIN(4,3+'5. Scenarios'!$E$8))/4+INDEX(BookQ4,1689)*(5-MIN(4,4+'5. Scenarios'!$E$8))/4)*'5. Scenarios'!$E$6/(1+ProductivityDefault*('5. Scenarios'!$E$11-1))+INDEX(BookOneOff,1689)*$S1694)</f>
        <v/>
      </c>
    </row>
    <row r="1695" customFormat="false" ht="15" hidden="false" customHeight="false" outlineLevel="0" collapsed="false">
      <c r="A1695" s="0" t="str">
        <f aca="false">IF(INDEX(BookTitle,1690)="","",INDEX(BookKey,1690))</f>
        <v/>
      </c>
      <c r="B1695" s="0" t="str">
        <f aca="false">IF(INDEX(BookTitle,1690)="","",INDEX(BookGroup,1690))</f>
        <v/>
      </c>
      <c r="C1695" s="0" t="str">
        <f aca="false">IF(INDEX(BookTitle,1690)="","",INDEX(BookCategory,1690))</f>
        <v/>
      </c>
      <c r="D1695" s="56" t="str">
        <f aca="false">IF(INDEX(BookTitle,1690)="","",INDEX(BookTotal,1690)*'5. Scenarios'!$B$6/(1+ProductivityDefault*('5. Scenarios'!$B$11-1)))</f>
        <v/>
      </c>
      <c r="E1695" s="57" t="str">
        <f aca="false">IF($D1695="","",INDEX(BookRate,1690)*(1+'5. Scenarios'!$B$10)*$D1695)</f>
        <v/>
      </c>
      <c r="F1695" s="57" t="str">
        <f aca="false">IF($E1695="","",SUMIFS($E$6:$E$2405,$A$6:$A$2405,"&lt;="&amp;$A1695))</f>
        <v/>
      </c>
      <c r="G1695" s="57" t="str">
        <f aca="false">IF($E1695="","",IF($F1695&lt;=BankCostEnvelope*'5. Scenarios'!$B$7,1,0))</f>
        <v/>
      </c>
      <c r="H1695" s="57" t="str">
        <f aca="false">IF($D1695="","",INDEX(BookRate,1690)*(1+'5. Scenarios'!$B$10)*(INDEX(BookQ1,1690)*(5-MIN(4,1+'5. Scenarios'!$B$8))/4+INDEX(BookQ2,1690)*(5-MIN(4,2+'5. Scenarios'!$B$8))/4+INDEX(BookQ3,1690)*(5-MIN(4,3+'5. Scenarios'!$B$8))/4+INDEX(BookQ4,1690)*(5-MIN(4,4+'5. Scenarios'!$B$8))/4)*'5. Scenarios'!$B$6/(1+ProductivityDefault*('5. Scenarios'!$B$11-1))+INDEX(BookOneOff,1690)*$D1695)</f>
        <v/>
      </c>
      <c r="I1695" s="56" t="str">
        <f aca="false">IF(INDEX(BookTitle,1690)="","",INDEX(BookTotal,1690)*'5. Scenarios'!$C$6/(1+ProductivityDefault*('5. Scenarios'!$C$11-1)))</f>
        <v/>
      </c>
      <c r="J1695" s="57" t="str">
        <f aca="false">IF($I1695="","",INDEX(BookRate,1690)*(1+'5. Scenarios'!$C$10)*$I1695)</f>
        <v/>
      </c>
      <c r="K1695" s="57" t="str">
        <f aca="false">IF($J1695="","",SUMIFS($J$6:$J$2405,$A$6:$A$2405,"&lt;="&amp;$A1695))</f>
        <v/>
      </c>
      <c r="L1695" s="57" t="str">
        <f aca="false">IF($J1695="","",IF($K1695&lt;=BankCostEnvelope*'5. Scenarios'!$C$7,1,0))</f>
        <v/>
      </c>
      <c r="M1695" s="57" t="str">
        <f aca="false">IF($I1695="","",INDEX(BookRate,1690)*(1+'5. Scenarios'!$C$10)*(INDEX(BookQ1,1690)*(5-MIN(4,1+'5. Scenarios'!$C$8))/4+INDEX(BookQ2,1690)*(5-MIN(4,2+'5. Scenarios'!$C$8))/4+INDEX(BookQ3,1690)*(5-MIN(4,3+'5. Scenarios'!$C$8))/4+INDEX(BookQ4,1690)*(5-MIN(4,4+'5. Scenarios'!$C$8))/4)*'5. Scenarios'!$C$6/(1+ProductivityDefault*('5. Scenarios'!$C$11-1))+INDEX(BookOneOff,1690)*$I1695)</f>
        <v/>
      </c>
      <c r="N1695" s="56" t="str">
        <f aca="false">IF(INDEX(BookTitle,1690)="","",INDEX(BookTotal,1690)*'5. Scenarios'!$D$6/(1+ProductivityDefault*('5. Scenarios'!$D$11-1)))</f>
        <v/>
      </c>
      <c r="O1695" s="57" t="str">
        <f aca="false">IF($N1695="","",INDEX(BookRate,1690)*(1+'5. Scenarios'!$D$10)*$N1695)</f>
        <v/>
      </c>
      <c r="P1695" s="57" t="str">
        <f aca="false">IF($O1695="","",SUMIFS($O$6:$O$2405,$A$6:$A$2405,"&lt;="&amp;$A1695))</f>
        <v/>
      </c>
      <c r="Q1695" s="57" t="str">
        <f aca="false">IF($O1695="","",IF($P1695&lt;=BankCostEnvelope*'5. Scenarios'!$D$7,1,0))</f>
        <v/>
      </c>
      <c r="R1695" s="57" t="str">
        <f aca="false">IF($N1695="","",INDEX(BookRate,1690)*(1+'5. Scenarios'!$D$10)*(INDEX(BookQ1,1690)*(5-MIN(4,1+'5. Scenarios'!$D$8))/4+INDEX(BookQ2,1690)*(5-MIN(4,2+'5. Scenarios'!$D$8))/4+INDEX(BookQ3,1690)*(5-MIN(4,3+'5. Scenarios'!$D$8))/4+INDEX(BookQ4,1690)*(5-MIN(4,4+'5. Scenarios'!$D$8))/4)*'5. Scenarios'!$D$6/(1+ProductivityDefault*('5. Scenarios'!$D$11-1))+INDEX(BookOneOff,1690)*$N1695)</f>
        <v/>
      </c>
      <c r="S1695" s="56" t="str">
        <f aca="false">IF(INDEX(BookTitle,1690)="","",INDEX(BookTotal,1690)*'5. Scenarios'!$E$6/(1+ProductivityDefault*('5. Scenarios'!$E$11-1)))</f>
        <v/>
      </c>
      <c r="T1695" s="57" t="str">
        <f aca="false">IF($S1695="","",INDEX(BookRate,1690)*(1+'5. Scenarios'!$E$10)*$S1695)</f>
        <v/>
      </c>
      <c r="U1695" s="57" t="str">
        <f aca="false">IF($T1695="","",SUMIFS($T$6:$T$2405,$A$6:$A$2405,"&lt;="&amp;$A1695))</f>
        <v/>
      </c>
      <c r="V1695" s="57" t="str">
        <f aca="false">IF($T1695="","",IF($U1695&lt;=BankCostEnvelope*'5. Scenarios'!$E$7,1,0))</f>
        <v/>
      </c>
      <c r="W1695" s="57" t="str">
        <f aca="false">IF($S1695="","",INDEX(BookRate,1690)*(1+'5. Scenarios'!$E$10)*(INDEX(BookQ1,1690)*(5-MIN(4,1+'5. Scenarios'!$E$8))/4+INDEX(BookQ2,1690)*(5-MIN(4,2+'5. Scenarios'!$E$8))/4+INDEX(BookQ3,1690)*(5-MIN(4,3+'5. Scenarios'!$E$8))/4+INDEX(BookQ4,1690)*(5-MIN(4,4+'5. Scenarios'!$E$8))/4)*'5. Scenarios'!$E$6/(1+ProductivityDefault*('5. Scenarios'!$E$11-1))+INDEX(BookOneOff,1690)*$S1695)</f>
        <v/>
      </c>
    </row>
    <row r="1696" customFormat="false" ht="15" hidden="false" customHeight="false" outlineLevel="0" collapsed="false">
      <c r="A1696" s="0" t="str">
        <f aca="false">IF(INDEX(BookTitle,1691)="","",INDEX(BookKey,1691))</f>
        <v/>
      </c>
      <c r="B1696" s="0" t="str">
        <f aca="false">IF(INDEX(BookTitle,1691)="","",INDEX(BookGroup,1691))</f>
        <v/>
      </c>
      <c r="C1696" s="0" t="str">
        <f aca="false">IF(INDEX(BookTitle,1691)="","",INDEX(BookCategory,1691))</f>
        <v/>
      </c>
      <c r="D1696" s="56" t="str">
        <f aca="false">IF(INDEX(BookTitle,1691)="","",INDEX(BookTotal,1691)*'5. Scenarios'!$B$6/(1+ProductivityDefault*('5. Scenarios'!$B$11-1)))</f>
        <v/>
      </c>
      <c r="E1696" s="57" t="str">
        <f aca="false">IF($D1696="","",INDEX(BookRate,1691)*(1+'5. Scenarios'!$B$10)*$D1696)</f>
        <v/>
      </c>
      <c r="F1696" s="57" t="str">
        <f aca="false">IF($E1696="","",SUMIFS($E$6:$E$2405,$A$6:$A$2405,"&lt;="&amp;$A1696))</f>
        <v/>
      </c>
      <c r="G1696" s="57" t="str">
        <f aca="false">IF($E1696="","",IF($F1696&lt;=BankCostEnvelope*'5. Scenarios'!$B$7,1,0))</f>
        <v/>
      </c>
      <c r="H1696" s="57" t="str">
        <f aca="false">IF($D1696="","",INDEX(BookRate,1691)*(1+'5. Scenarios'!$B$10)*(INDEX(BookQ1,1691)*(5-MIN(4,1+'5. Scenarios'!$B$8))/4+INDEX(BookQ2,1691)*(5-MIN(4,2+'5. Scenarios'!$B$8))/4+INDEX(BookQ3,1691)*(5-MIN(4,3+'5. Scenarios'!$B$8))/4+INDEX(BookQ4,1691)*(5-MIN(4,4+'5. Scenarios'!$B$8))/4)*'5. Scenarios'!$B$6/(1+ProductivityDefault*('5. Scenarios'!$B$11-1))+INDEX(BookOneOff,1691)*$D1696)</f>
        <v/>
      </c>
      <c r="I1696" s="56" t="str">
        <f aca="false">IF(INDEX(BookTitle,1691)="","",INDEX(BookTotal,1691)*'5. Scenarios'!$C$6/(1+ProductivityDefault*('5. Scenarios'!$C$11-1)))</f>
        <v/>
      </c>
      <c r="J1696" s="57" t="str">
        <f aca="false">IF($I1696="","",INDEX(BookRate,1691)*(1+'5. Scenarios'!$C$10)*$I1696)</f>
        <v/>
      </c>
      <c r="K1696" s="57" t="str">
        <f aca="false">IF($J1696="","",SUMIFS($J$6:$J$2405,$A$6:$A$2405,"&lt;="&amp;$A1696))</f>
        <v/>
      </c>
      <c r="L1696" s="57" t="str">
        <f aca="false">IF($J1696="","",IF($K1696&lt;=BankCostEnvelope*'5. Scenarios'!$C$7,1,0))</f>
        <v/>
      </c>
      <c r="M1696" s="57" t="str">
        <f aca="false">IF($I1696="","",INDEX(BookRate,1691)*(1+'5. Scenarios'!$C$10)*(INDEX(BookQ1,1691)*(5-MIN(4,1+'5. Scenarios'!$C$8))/4+INDEX(BookQ2,1691)*(5-MIN(4,2+'5. Scenarios'!$C$8))/4+INDEX(BookQ3,1691)*(5-MIN(4,3+'5. Scenarios'!$C$8))/4+INDEX(BookQ4,1691)*(5-MIN(4,4+'5. Scenarios'!$C$8))/4)*'5. Scenarios'!$C$6/(1+ProductivityDefault*('5. Scenarios'!$C$11-1))+INDEX(BookOneOff,1691)*$I1696)</f>
        <v/>
      </c>
      <c r="N1696" s="56" t="str">
        <f aca="false">IF(INDEX(BookTitle,1691)="","",INDEX(BookTotal,1691)*'5. Scenarios'!$D$6/(1+ProductivityDefault*('5. Scenarios'!$D$11-1)))</f>
        <v/>
      </c>
      <c r="O1696" s="57" t="str">
        <f aca="false">IF($N1696="","",INDEX(BookRate,1691)*(1+'5. Scenarios'!$D$10)*$N1696)</f>
        <v/>
      </c>
      <c r="P1696" s="57" t="str">
        <f aca="false">IF($O1696="","",SUMIFS($O$6:$O$2405,$A$6:$A$2405,"&lt;="&amp;$A1696))</f>
        <v/>
      </c>
      <c r="Q1696" s="57" t="str">
        <f aca="false">IF($O1696="","",IF($P1696&lt;=BankCostEnvelope*'5. Scenarios'!$D$7,1,0))</f>
        <v/>
      </c>
      <c r="R1696" s="57" t="str">
        <f aca="false">IF($N1696="","",INDEX(BookRate,1691)*(1+'5. Scenarios'!$D$10)*(INDEX(BookQ1,1691)*(5-MIN(4,1+'5. Scenarios'!$D$8))/4+INDEX(BookQ2,1691)*(5-MIN(4,2+'5. Scenarios'!$D$8))/4+INDEX(BookQ3,1691)*(5-MIN(4,3+'5. Scenarios'!$D$8))/4+INDEX(BookQ4,1691)*(5-MIN(4,4+'5. Scenarios'!$D$8))/4)*'5. Scenarios'!$D$6/(1+ProductivityDefault*('5. Scenarios'!$D$11-1))+INDEX(BookOneOff,1691)*$N1696)</f>
        <v/>
      </c>
      <c r="S1696" s="56" t="str">
        <f aca="false">IF(INDEX(BookTitle,1691)="","",INDEX(BookTotal,1691)*'5. Scenarios'!$E$6/(1+ProductivityDefault*('5. Scenarios'!$E$11-1)))</f>
        <v/>
      </c>
      <c r="T1696" s="57" t="str">
        <f aca="false">IF($S1696="","",INDEX(BookRate,1691)*(1+'5. Scenarios'!$E$10)*$S1696)</f>
        <v/>
      </c>
      <c r="U1696" s="57" t="str">
        <f aca="false">IF($T1696="","",SUMIFS($T$6:$T$2405,$A$6:$A$2405,"&lt;="&amp;$A1696))</f>
        <v/>
      </c>
      <c r="V1696" s="57" t="str">
        <f aca="false">IF($T1696="","",IF($U1696&lt;=BankCostEnvelope*'5. Scenarios'!$E$7,1,0))</f>
        <v/>
      </c>
      <c r="W1696" s="57" t="str">
        <f aca="false">IF($S1696="","",INDEX(BookRate,1691)*(1+'5. Scenarios'!$E$10)*(INDEX(BookQ1,1691)*(5-MIN(4,1+'5. Scenarios'!$E$8))/4+INDEX(BookQ2,1691)*(5-MIN(4,2+'5. Scenarios'!$E$8))/4+INDEX(BookQ3,1691)*(5-MIN(4,3+'5. Scenarios'!$E$8))/4+INDEX(BookQ4,1691)*(5-MIN(4,4+'5. Scenarios'!$E$8))/4)*'5. Scenarios'!$E$6/(1+ProductivityDefault*('5. Scenarios'!$E$11-1))+INDEX(BookOneOff,1691)*$S1696)</f>
        <v/>
      </c>
    </row>
    <row r="1697" customFormat="false" ht="15" hidden="false" customHeight="false" outlineLevel="0" collapsed="false">
      <c r="A1697" s="0" t="str">
        <f aca="false">IF(INDEX(BookTitle,1692)="","",INDEX(BookKey,1692))</f>
        <v/>
      </c>
      <c r="B1697" s="0" t="str">
        <f aca="false">IF(INDEX(BookTitle,1692)="","",INDEX(BookGroup,1692))</f>
        <v/>
      </c>
      <c r="C1697" s="0" t="str">
        <f aca="false">IF(INDEX(BookTitle,1692)="","",INDEX(BookCategory,1692))</f>
        <v/>
      </c>
      <c r="D1697" s="56" t="str">
        <f aca="false">IF(INDEX(BookTitle,1692)="","",INDEX(BookTotal,1692)*'5. Scenarios'!$B$6/(1+ProductivityDefault*('5. Scenarios'!$B$11-1)))</f>
        <v/>
      </c>
      <c r="E1697" s="57" t="str">
        <f aca="false">IF($D1697="","",INDEX(BookRate,1692)*(1+'5. Scenarios'!$B$10)*$D1697)</f>
        <v/>
      </c>
      <c r="F1697" s="57" t="str">
        <f aca="false">IF($E1697="","",SUMIFS($E$6:$E$2405,$A$6:$A$2405,"&lt;="&amp;$A1697))</f>
        <v/>
      </c>
      <c r="G1697" s="57" t="str">
        <f aca="false">IF($E1697="","",IF($F1697&lt;=BankCostEnvelope*'5. Scenarios'!$B$7,1,0))</f>
        <v/>
      </c>
      <c r="H1697" s="57" t="str">
        <f aca="false">IF($D1697="","",INDEX(BookRate,1692)*(1+'5. Scenarios'!$B$10)*(INDEX(BookQ1,1692)*(5-MIN(4,1+'5. Scenarios'!$B$8))/4+INDEX(BookQ2,1692)*(5-MIN(4,2+'5. Scenarios'!$B$8))/4+INDEX(BookQ3,1692)*(5-MIN(4,3+'5. Scenarios'!$B$8))/4+INDEX(BookQ4,1692)*(5-MIN(4,4+'5. Scenarios'!$B$8))/4)*'5. Scenarios'!$B$6/(1+ProductivityDefault*('5. Scenarios'!$B$11-1))+INDEX(BookOneOff,1692)*$D1697)</f>
        <v/>
      </c>
      <c r="I1697" s="56" t="str">
        <f aca="false">IF(INDEX(BookTitle,1692)="","",INDEX(BookTotal,1692)*'5. Scenarios'!$C$6/(1+ProductivityDefault*('5. Scenarios'!$C$11-1)))</f>
        <v/>
      </c>
      <c r="J1697" s="57" t="str">
        <f aca="false">IF($I1697="","",INDEX(BookRate,1692)*(1+'5. Scenarios'!$C$10)*$I1697)</f>
        <v/>
      </c>
      <c r="K1697" s="57" t="str">
        <f aca="false">IF($J1697="","",SUMIFS($J$6:$J$2405,$A$6:$A$2405,"&lt;="&amp;$A1697))</f>
        <v/>
      </c>
      <c r="L1697" s="57" t="str">
        <f aca="false">IF($J1697="","",IF($K1697&lt;=BankCostEnvelope*'5. Scenarios'!$C$7,1,0))</f>
        <v/>
      </c>
      <c r="M1697" s="57" t="str">
        <f aca="false">IF($I1697="","",INDEX(BookRate,1692)*(1+'5. Scenarios'!$C$10)*(INDEX(BookQ1,1692)*(5-MIN(4,1+'5. Scenarios'!$C$8))/4+INDEX(BookQ2,1692)*(5-MIN(4,2+'5. Scenarios'!$C$8))/4+INDEX(BookQ3,1692)*(5-MIN(4,3+'5. Scenarios'!$C$8))/4+INDEX(BookQ4,1692)*(5-MIN(4,4+'5. Scenarios'!$C$8))/4)*'5. Scenarios'!$C$6/(1+ProductivityDefault*('5. Scenarios'!$C$11-1))+INDEX(BookOneOff,1692)*$I1697)</f>
        <v/>
      </c>
      <c r="N1697" s="56" t="str">
        <f aca="false">IF(INDEX(BookTitle,1692)="","",INDEX(BookTotal,1692)*'5. Scenarios'!$D$6/(1+ProductivityDefault*('5. Scenarios'!$D$11-1)))</f>
        <v/>
      </c>
      <c r="O1697" s="57" t="str">
        <f aca="false">IF($N1697="","",INDEX(BookRate,1692)*(1+'5. Scenarios'!$D$10)*$N1697)</f>
        <v/>
      </c>
      <c r="P1697" s="57" t="str">
        <f aca="false">IF($O1697="","",SUMIFS($O$6:$O$2405,$A$6:$A$2405,"&lt;="&amp;$A1697))</f>
        <v/>
      </c>
      <c r="Q1697" s="57" t="str">
        <f aca="false">IF($O1697="","",IF($P1697&lt;=BankCostEnvelope*'5. Scenarios'!$D$7,1,0))</f>
        <v/>
      </c>
      <c r="R1697" s="57" t="str">
        <f aca="false">IF($N1697="","",INDEX(BookRate,1692)*(1+'5. Scenarios'!$D$10)*(INDEX(BookQ1,1692)*(5-MIN(4,1+'5. Scenarios'!$D$8))/4+INDEX(BookQ2,1692)*(5-MIN(4,2+'5. Scenarios'!$D$8))/4+INDEX(BookQ3,1692)*(5-MIN(4,3+'5. Scenarios'!$D$8))/4+INDEX(BookQ4,1692)*(5-MIN(4,4+'5. Scenarios'!$D$8))/4)*'5. Scenarios'!$D$6/(1+ProductivityDefault*('5. Scenarios'!$D$11-1))+INDEX(BookOneOff,1692)*$N1697)</f>
        <v/>
      </c>
      <c r="S1697" s="56" t="str">
        <f aca="false">IF(INDEX(BookTitle,1692)="","",INDEX(BookTotal,1692)*'5. Scenarios'!$E$6/(1+ProductivityDefault*('5. Scenarios'!$E$11-1)))</f>
        <v/>
      </c>
      <c r="T1697" s="57" t="str">
        <f aca="false">IF($S1697="","",INDEX(BookRate,1692)*(1+'5. Scenarios'!$E$10)*$S1697)</f>
        <v/>
      </c>
      <c r="U1697" s="57" t="str">
        <f aca="false">IF($T1697="","",SUMIFS($T$6:$T$2405,$A$6:$A$2405,"&lt;="&amp;$A1697))</f>
        <v/>
      </c>
      <c r="V1697" s="57" t="str">
        <f aca="false">IF($T1697="","",IF($U1697&lt;=BankCostEnvelope*'5. Scenarios'!$E$7,1,0))</f>
        <v/>
      </c>
      <c r="W1697" s="57" t="str">
        <f aca="false">IF($S1697="","",INDEX(BookRate,1692)*(1+'5. Scenarios'!$E$10)*(INDEX(BookQ1,1692)*(5-MIN(4,1+'5. Scenarios'!$E$8))/4+INDEX(BookQ2,1692)*(5-MIN(4,2+'5. Scenarios'!$E$8))/4+INDEX(BookQ3,1692)*(5-MIN(4,3+'5. Scenarios'!$E$8))/4+INDEX(BookQ4,1692)*(5-MIN(4,4+'5. Scenarios'!$E$8))/4)*'5. Scenarios'!$E$6/(1+ProductivityDefault*('5. Scenarios'!$E$11-1))+INDEX(BookOneOff,1692)*$S1697)</f>
        <v/>
      </c>
    </row>
    <row r="1698" customFormat="false" ht="15" hidden="false" customHeight="false" outlineLevel="0" collapsed="false">
      <c r="A1698" s="0" t="str">
        <f aca="false">IF(INDEX(BookTitle,1693)="","",INDEX(BookKey,1693))</f>
        <v/>
      </c>
      <c r="B1698" s="0" t="str">
        <f aca="false">IF(INDEX(BookTitle,1693)="","",INDEX(BookGroup,1693))</f>
        <v/>
      </c>
      <c r="C1698" s="0" t="str">
        <f aca="false">IF(INDEX(BookTitle,1693)="","",INDEX(BookCategory,1693))</f>
        <v/>
      </c>
      <c r="D1698" s="56" t="str">
        <f aca="false">IF(INDEX(BookTitle,1693)="","",INDEX(BookTotal,1693)*'5. Scenarios'!$B$6/(1+ProductivityDefault*('5. Scenarios'!$B$11-1)))</f>
        <v/>
      </c>
      <c r="E1698" s="57" t="str">
        <f aca="false">IF($D1698="","",INDEX(BookRate,1693)*(1+'5. Scenarios'!$B$10)*$D1698)</f>
        <v/>
      </c>
      <c r="F1698" s="57" t="str">
        <f aca="false">IF($E1698="","",SUMIFS($E$6:$E$2405,$A$6:$A$2405,"&lt;="&amp;$A1698))</f>
        <v/>
      </c>
      <c r="G1698" s="57" t="str">
        <f aca="false">IF($E1698="","",IF($F1698&lt;=BankCostEnvelope*'5. Scenarios'!$B$7,1,0))</f>
        <v/>
      </c>
      <c r="H1698" s="57" t="str">
        <f aca="false">IF($D1698="","",INDEX(BookRate,1693)*(1+'5. Scenarios'!$B$10)*(INDEX(BookQ1,1693)*(5-MIN(4,1+'5. Scenarios'!$B$8))/4+INDEX(BookQ2,1693)*(5-MIN(4,2+'5. Scenarios'!$B$8))/4+INDEX(BookQ3,1693)*(5-MIN(4,3+'5. Scenarios'!$B$8))/4+INDEX(BookQ4,1693)*(5-MIN(4,4+'5. Scenarios'!$B$8))/4)*'5. Scenarios'!$B$6/(1+ProductivityDefault*('5. Scenarios'!$B$11-1))+INDEX(BookOneOff,1693)*$D1698)</f>
        <v/>
      </c>
      <c r="I1698" s="56" t="str">
        <f aca="false">IF(INDEX(BookTitle,1693)="","",INDEX(BookTotal,1693)*'5. Scenarios'!$C$6/(1+ProductivityDefault*('5. Scenarios'!$C$11-1)))</f>
        <v/>
      </c>
      <c r="J1698" s="57" t="str">
        <f aca="false">IF($I1698="","",INDEX(BookRate,1693)*(1+'5. Scenarios'!$C$10)*$I1698)</f>
        <v/>
      </c>
      <c r="K1698" s="57" t="str">
        <f aca="false">IF($J1698="","",SUMIFS($J$6:$J$2405,$A$6:$A$2405,"&lt;="&amp;$A1698))</f>
        <v/>
      </c>
      <c r="L1698" s="57" t="str">
        <f aca="false">IF($J1698="","",IF($K1698&lt;=BankCostEnvelope*'5. Scenarios'!$C$7,1,0))</f>
        <v/>
      </c>
      <c r="M1698" s="57" t="str">
        <f aca="false">IF($I1698="","",INDEX(BookRate,1693)*(1+'5. Scenarios'!$C$10)*(INDEX(BookQ1,1693)*(5-MIN(4,1+'5. Scenarios'!$C$8))/4+INDEX(BookQ2,1693)*(5-MIN(4,2+'5. Scenarios'!$C$8))/4+INDEX(BookQ3,1693)*(5-MIN(4,3+'5. Scenarios'!$C$8))/4+INDEX(BookQ4,1693)*(5-MIN(4,4+'5. Scenarios'!$C$8))/4)*'5. Scenarios'!$C$6/(1+ProductivityDefault*('5. Scenarios'!$C$11-1))+INDEX(BookOneOff,1693)*$I1698)</f>
        <v/>
      </c>
      <c r="N1698" s="56" t="str">
        <f aca="false">IF(INDEX(BookTitle,1693)="","",INDEX(BookTotal,1693)*'5. Scenarios'!$D$6/(1+ProductivityDefault*('5. Scenarios'!$D$11-1)))</f>
        <v/>
      </c>
      <c r="O1698" s="57" t="str">
        <f aca="false">IF($N1698="","",INDEX(BookRate,1693)*(1+'5. Scenarios'!$D$10)*$N1698)</f>
        <v/>
      </c>
      <c r="P1698" s="57" t="str">
        <f aca="false">IF($O1698="","",SUMIFS($O$6:$O$2405,$A$6:$A$2405,"&lt;="&amp;$A1698))</f>
        <v/>
      </c>
      <c r="Q1698" s="57" t="str">
        <f aca="false">IF($O1698="","",IF($P1698&lt;=BankCostEnvelope*'5. Scenarios'!$D$7,1,0))</f>
        <v/>
      </c>
      <c r="R1698" s="57" t="str">
        <f aca="false">IF($N1698="","",INDEX(BookRate,1693)*(1+'5. Scenarios'!$D$10)*(INDEX(BookQ1,1693)*(5-MIN(4,1+'5. Scenarios'!$D$8))/4+INDEX(BookQ2,1693)*(5-MIN(4,2+'5. Scenarios'!$D$8))/4+INDEX(BookQ3,1693)*(5-MIN(4,3+'5. Scenarios'!$D$8))/4+INDEX(BookQ4,1693)*(5-MIN(4,4+'5. Scenarios'!$D$8))/4)*'5. Scenarios'!$D$6/(1+ProductivityDefault*('5. Scenarios'!$D$11-1))+INDEX(BookOneOff,1693)*$N1698)</f>
        <v/>
      </c>
      <c r="S1698" s="56" t="str">
        <f aca="false">IF(INDEX(BookTitle,1693)="","",INDEX(BookTotal,1693)*'5. Scenarios'!$E$6/(1+ProductivityDefault*('5. Scenarios'!$E$11-1)))</f>
        <v/>
      </c>
      <c r="T1698" s="57" t="str">
        <f aca="false">IF($S1698="","",INDEX(BookRate,1693)*(1+'5. Scenarios'!$E$10)*$S1698)</f>
        <v/>
      </c>
      <c r="U1698" s="57" t="str">
        <f aca="false">IF($T1698="","",SUMIFS($T$6:$T$2405,$A$6:$A$2405,"&lt;="&amp;$A1698))</f>
        <v/>
      </c>
      <c r="V1698" s="57" t="str">
        <f aca="false">IF($T1698="","",IF($U1698&lt;=BankCostEnvelope*'5. Scenarios'!$E$7,1,0))</f>
        <v/>
      </c>
      <c r="W1698" s="57" t="str">
        <f aca="false">IF($S1698="","",INDEX(BookRate,1693)*(1+'5. Scenarios'!$E$10)*(INDEX(BookQ1,1693)*(5-MIN(4,1+'5. Scenarios'!$E$8))/4+INDEX(BookQ2,1693)*(5-MIN(4,2+'5. Scenarios'!$E$8))/4+INDEX(BookQ3,1693)*(5-MIN(4,3+'5. Scenarios'!$E$8))/4+INDEX(BookQ4,1693)*(5-MIN(4,4+'5. Scenarios'!$E$8))/4)*'5. Scenarios'!$E$6/(1+ProductivityDefault*('5. Scenarios'!$E$11-1))+INDEX(BookOneOff,1693)*$S1698)</f>
        <v/>
      </c>
    </row>
    <row r="1699" customFormat="false" ht="15" hidden="false" customHeight="false" outlineLevel="0" collapsed="false">
      <c r="A1699" s="0" t="str">
        <f aca="false">IF(INDEX(BookTitle,1694)="","",INDEX(BookKey,1694))</f>
        <v/>
      </c>
      <c r="B1699" s="0" t="str">
        <f aca="false">IF(INDEX(BookTitle,1694)="","",INDEX(BookGroup,1694))</f>
        <v/>
      </c>
      <c r="C1699" s="0" t="str">
        <f aca="false">IF(INDEX(BookTitle,1694)="","",INDEX(BookCategory,1694))</f>
        <v/>
      </c>
      <c r="D1699" s="56" t="str">
        <f aca="false">IF(INDEX(BookTitle,1694)="","",INDEX(BookTotal,1694)*'5. Scenarios'!$B$6/(1+ProductivityDefault*('5. Scenarios'!$B$11-1)))</f>
        <v/>
      </c>
      <c r="E1699" s="57" t="str">
        <f aca="false">IF($D1699="","",INDEX(BookRate,1694)*(1+'5. Scenarios'!$B$10)*$D1699)</f>
        <v/>
      </c>
      <c r="F1699" s="57" t="str">
        <f aca="false">IF($E1699="","",SUMIFS($E$6:$E$2405,$A$6:$A$2405,"&lt;="&amp;$A1699))</f>
        <v/>
      </c>
      <c r="G1699" s="57" t="str">
        <f aca="false">IF($E1699="","",IF($F1699&lt;=BankCostEnvelope*'5. Scenarios'!$B$7,1,0))</f>
        <v/>
      </c>
      <c r="H1699" s="57" t="str">
        <f aca="false">IF($D1699="","",INDEX(BookRate,1694)*(1+'5. Scenarios'!$B$10)*(INDEX(BookQ1,1694)*(5-MIN(4,1+'5. Scenarios'!$B$8))/4+INDEX(BookQ2,1694)*(5-MIN(4,2+'5. Scenarios'!$B$8))/4+INDEX(BookQ3,1694)*(5-MIN(4,3+'5. Scenarios'!$B$8))/4+INDEX(BookQ4,1694)*(5-MIN(4,4+'5. Scenarios'!$B$8))/4)*'5. Scenarios'!$B$6/(1+ProductivityDefault*('5. Scenarios'!$B$11-1))+INDEX(BookOneOff,1694)*$D1699)</f>
        <v/>
      </c>
      <c r="I1699" s="56" t="str">
        <f aca="false">IF(INDEX(BookTitle,1694)="","",INDEX(BookTotal,1694)*'5. Scenarios'!$C$6/(1+ProductivityDefault*('5. Scenarios'!$C$11-1)))</f>
        <v/>
      </c>
      <c r="J1699" s="57" t="str">
        <f aca="false">IF($I1699="","",INDEX(BookRate,1694)*(1+'5. Scenarios'!$C$10)*$I1699)</f>
        <v/>
      </c>
      <c r="K1699" s="57" t="str">
        <f aca="false">IF($J1699="","",SUMIFS($J$6:$J$2405,$A$6:$A$2405,"&lt;="&amp;$A1699))</f>
        <v/>
      </c>
      <c r="L1699" s="57" t="str">
        <f aca="false">IF($J1699="","",IF($K1699&lt;=BankCostEnvelope*'5. Scenarios'!$C$7,1,0))</f>
        <v/>
      </c>
      <c r="M1699" s="57" t="str">
        <f aca="false">IF($I1699="","",INDEX(BookRate,1694)*(1+'5. Scenarios'!$C$10)*(INDEX(BookQ1,1694)*(5-MIN(4,1+'5. Scenarios'!$C$8))/4+INDEX(BookQ2,1694)*(5-MIN(4,2+'5. Scenarios'!$C$8))/4+INDEX(BookQ3,1694)*(5-MIN(4,3+'5. Scenarios'!$C$8))/4+INDEX(BookQ4,1694)*(5-MIN(4,4+'5. Scenarios'!$C$8))/4)*'5. Scenarios'!$C$6/(1+ProductivityDefault*('5. Scenarios'!$C$11-1))+INDEX(BookOneOff,1694)*$I1699)</f>
        <v/>
      </c>
      <c r="N1699" s="56" t="str">
        <f aca="false">IF(INDEX(BookTitle,1694)="","",INDEX(BookTotal,1694)*'5. Scenarios'!$D$6/(1+ProductivityDefault*('5. Scenarios'!$D$11-1)))</f>
        <v/>
      </c>
      <c r="O1699" s="57" t="str">
        <f aca="false">IF($N1699="","",INDEX(BookRate,1694)*(1+'5. Scenarios'!$D$10)*$N1699)</f>
        <v/>
      </c>
      <c r="P1699" s="57" t="str">
        <f aca="false">IF($O1699="","",SUMIFS($O$6:$O$2405,$A$6:$A$2405,"&lt;="&amp;$A1699))</f>
        <v/>
      </c>
      <c r="Q1699" s="57" t="str">
        <f aca="false">IF($O1699="","",IF($P1699&lt;=BankCostEnvelope*'5. Scenarios'!$D$7,1,0))</f>
        <v/>
      </c>
      <c r="R1699" s="57" t="str">
        <f aca="false">IF($N1699="","",INDEX(BookRate,1694)*(1+'5. Scenarios'!$D$10)*(INDEX(BookQ1,1694)*(5-MIN(4,1+'5. Scenarios'!$D$8))/4+INDEX(BookQ2,1694)*(5-MIN(4,2+'5. Scenarios'!$D$8))/4+INDEX(BookQ3,1694)*(5-MIN(4,3+'5. Scenarios'!$D$8))/4+INDEX(BookQ4,1694)*(5-MIN(4,4+'5. Scenarios'!$D$8))/4)*'5. Scenarios'!$D$6/(1+ProductivityDefault*('5. Scenarios'!$D$11-1))+INDEX(BookOneOff,1694)*$N1699)</f>
        <v/>
      </c>
      <c r="S1699" s="56" t="str">
        <f aca="false">IF(INDEX(BookTitle,1694)="","",INDEX(BookTotal,1694)*'5. Scenarios'!$E$6/(1+ProductivityDefault*('5. Scenarios'!$E$11-1)))</f>
        <v/>
      </c>
      <c r="T1699" s="57" t="str">
        <f aca="false">IF($S1699="","",INDEX(BookRate,1694)*(1+'5. Scenarios'!$E$10)*$S1699)</f>
        <v/>
      </c>
      <c r="U1699" s="57" t="str">
        <f aca="false">IF($T1699="","",SUMIFS($T$6:$T$2405,$A$6:$A$2405,"&lt;="&amp;$A1699))</f>
        <v/>
      </c>
      <c r="V1699" s="57" t="str">
        <f aca="false">IF($T1699="","",IF($U1699&lt;=BankCostEnvelope*'5. Scenarios'!$E$7,1,0))</f>
        <v/>
      </c>
      <c r="W1699" s="57" t="str">
        <f aca="false">IF($S1699="","",INDEX(BookRate,1694)*(1+'5. Scenarios'!$E$10)*(INDEX(BookQ1,1694)*(5-MIN(4,1+'5. Scenarios'!$E$8))/4+INDEX(BookQ2,1694)*(5-MIN(4,2+'5. Scenarios'!$E$8))/4+INDEX(BookQ3,1694)*(5-MIN(4,3+'5. Scenarios'!$E$8))/4+INDEX(BookQ4,1694)*(5-MIN(4,4+'5. Scenarios'!$E$8))/4)*'5. Scenarios'!$E$6/(1+ProductivityDefault*('5. Scenarios'!$E$11-1))+INDEX(BookOneOff,1694)*$S1699)</f>
        <v/>
      </c>
    </row>
    <row r="1700" customFormat="false" ht="15" hidden="false" customHeight="false" outlineLevel="0" collapsed="false">
      <c r="A1700" s="0" t="str">
        <f aca="false">IF(INDEX(BookTitle,1695)="","",INDEX(BookKey,1695))</f>
        <v/>
      </c>
      <c r="B1700" s="0" t="str">
        <f aca="false">IF(INDEX(BookTitle,1695)="","",INDEX(BookGroup,1695))</f>
        <v/>
      </c>
      <c r="C1700" s="0" t="str">
        <f aca="false">IF(INDEX(BookTitle,1695)="","",INDEX(BookCategory,1695))</f>
        <v/>
      </c>
      <c r="D1700" s="56" t="str">
        <f aca="false">IF(INDEX(BookTitle,1695)="","",INDEX(BookTotal,1695)*'5. Scenarios'!$B$6/(1+ProductivityDefault*('5. Scenarios'!$B$11-1)))</f>
        <v/>
      </c>
      <c r="E1700" s="57" t="str">
        <f aca="false">IF($D1700="","",INDEX(BookRate,1695)*(1+'5. Scenarios'!$B$10)*$D1700)</f>
        <v/>
      </c>
      <c r="F1700" s="57" t="str">
        <f aca="false">IF($E1700="","",SUMIFS($E$6:$E$2405,$A$6:$A$2405,"&lt;="&amp;$A1700))</f>
        <v/>
      </c>
      <c r="G1700" s="57" t="str">
        <f aca="false">IF($E1700="","",IF($F1700&lt;=BankCostEnvelope*'5. Scenarios'!$B$7,1,0))</f>
        <v/>
      </c>
      <c r="H1700" s="57" t="str">
        <f aca="false">IF($D1700="","",INDEX(BookRate,1695)*(1+'5. Scenarios'!$B$10)*(INDEX(BookQ1,1695)*(5-MIN(4,1+'5. Scenarios'!$B$8))/4+INDEX(BookQ2,1695)*(5-MIN(4,2+'5. Scenarios'!$B$8))/4+INDEX(BookQ3,1695)*(5-MIN(4,3+'5. Scenarios'!$B$8))/4+INDEX(BookQ4,1695)*(5-MIN(4,4+'5. Scenarios'!$B$8))/4)*'5. Scenarios'!$B$6/(1+ProductivityDefault*('5. Scenarios'!$B$11-1))+INDEX(BookOneOff,1695)*$D1700)</f>
        <v/>
      </c>
      <c r="I1700" s="56" t="str">
        <f aca="false">IF(INDEX(BookTitle,1695)="","",INDEX(BookTotal,1695)*'5. Scenarios'!$C$6/(1+ProductivityDefault*('5. Scenarios'!$C$11-1)))</f>
        <v/>
      </c>
      <c r="J1700" s="57" t="str">
        <f aca="false">IF($I1700="","",INDEX(BookRate,1695)*(1+'5. Scenarios'!$C$10)*$I1700)</f>
        <v/>
      </c>
      <c r="K1700" s="57" t="str">
        <f aca="false">IF($J1700="","",SUMIFS($J$6:$J$2405,$A$6:$A$2405,"&lt;="&amp;$A1700))</f>
        <v/>
      </c>
      <c r="L1700" s="57" t="str">
        <f aca="false">IF($J1700="","",IF($K1700&lt;=BankCostEnvelope*'5. Scenarios'!$C$7,1,0))</f>
        <v/>
      </c>
      <c r="M1700" s="57" t="str">
        <f aca="false">IF($I1700="","",INDEX(BookRate,1695)*(1+'5. Scenarios'!$C$10)*(INDEX(BookQ1,1695)*(5-MIN(4,1+'5. Scenarios'!$C$8))/4+INDEX(BookQ2,1695)*(5-MIN(4,2+'5. Scenarios'!$C$8))/4+INDEX(BookQ3,1695)*(5-MIN(4,3+'5. Scenarios'!$C$8))/4+INDEX(BookQ4,1695)*(5-MIN(4,4+'5. Scenarios'!$C$8))/4)*'5. Scenarios'!$C$6/(1+ProductivityDefault*('5. Scenarios'!$C$11-1))+INDEX(BookOneOff,1695)*$I1700)</f>
        <v/>
      </c>
      <c r="N1700" s="56" t="str">
        <f aca="false">IF(INDEX(BookTitle,1695)="","",INDEX(BookTotal,1695)*'5. Scenarios'!$D$6/(1+ProductivityDefault*('5. Scenarios'!$D$11-1)))</f>
        <v/>
      </c>
      <c r="O1700" s="57" t="str">
        <f aca="false">IF($N1700="","",INDEX(BookRate,1695)*(1+'5. Scenarios'!$D$10)*$N1700)</f>
        <v/>
      </c>
      <c r="P1700" s="57" t="str">
        <f aca="false">IF($O1700="","",SUMIFS($O$6:$O$2405,$A$6:$A$2405,"&lt;="&amp;$A1700))</f>
        <v/>
      </c>
      <c r="Q1700" s="57" t="str">
        <f aca="false">IF($O1700="","",IF($P1700&lt;=BankCostEnvelope*'5. Scenarios'!$D$7,1,0))</f>
        <v/>
      </c>
      <c r="R1700" s="57" t="str">
        <f aca="false">IF($N1700="","",INDEX(BookRate,1695)*(1+'5. Scenarios'!$D$10)*(INDEX(BookQ1,1695)*(5-MIN(4,1+'5. Scenarios'!$D$8))/4+INDEX(BookQ2,1695)*(5-MIN(4,2+'5. Scenarios'!$D$8))/4+INDEX(BookQ3,1695)*(5-MIN(4,3+'5. Scenarios'!$D$8))/4+INDEX(BookQ4,1695)*(5-MIN(4,4+'5. Scenarios'!$D$8))/4)*'5. Scenarios'!$D$6/(1+ProductivityDefault*('5. Scenarios'!$D$11-1))+INDEX(BookOneOff,1695)*$N1700)</f>
        <v/>
      </c>
      <c r="S1700" s="56" t="str">
        <f aca="false">IF(INDEX(BookTitle,1695)="","",INDEX(BookTotal,1695)*'5. Scenarios'!$E$6/(1+ProductivityDefault*('5. Scenarios'!$E$11-1)))</f>
        <v/>
      </c>
      <c r="T1700" s="57" t="str">
        <f aca="false">IF($S1700="","",INDEX(BookRate,1695)*(1+'5. Scenarios'!$E$10)*$S1700)</f>
        <v/>
      </c>
      <c r="U1700" s="57" t="str">
        <f aca="false">IF($T1700="","",SUMIFS($T$6:$T$2405,$A$6:$A$2405,"&lt;="&amp;$A1700))</f>
        <v/>
      </c>
      <c r="V1700" s="57" t="str">
        <f aca="false">IF($T1700="","",IF($U1700&lt;=BankCostEnvelope*'5. Scenarios'!$E$7,1,0))</f>
        <v/>
      </c>
      <c r="W1700" s="57" t="str">
        <f aca="false">IF($S1700="","",INDEX(BookRate,1695)*(1+'5. Scenarios'!$E$10)*(INDEX(BookQ1,1695)*(5-MIN(4,1+'5. Scenarios'!$E$8))/4+INDEX(BookQ2,1695)*(5-MIN(4,2+'5. Scenarios'!$E$8))/4+INDEX(BookQ3,1695)*(5-MIN(4,3+'5. Scenarios'!$E$8))/4+INDEX(BookQ4,1695)*(5-MIN(4,4+'5. Scenarios'!$E$8))/4)*'5. Scenarios'!$E$6/(1+ProductivityDefault*('5. Scenarios'!$E$11-1))+INDEX(BookOneOff,1695)*$S1700)</f>
        <v/>
      </c>
    </row>
    <row r="1701" customFormat="false" ht="15" hidden="false" customHeight="false" outlineLevel="0" collapsed="false">
      <c r="A1701" s="0" t="str">
        <f aca="false">IF(INDEX(BookTitle,1696)="","",INDEX(BookKey,1696))</f>
        <v/>
      </c>
      <c r="B1701" s="0" t="str">
        <f aca="false">IF(INDEX(BookTitle,1696)="","",INDEX(BookGroup,1696))</f>
        <v/>
      </c>
      <c r="C1701" s="0" t="str">
        <f aca="false">IF(INDEX(BookTitle,1696)="","",INDEX(BookCategory,1696))</f>
        <v/>
      </c>
      <c r="D1701" s="56" t="str">
        <f aca="false">IF(INDEX(BookTitle,1696)="","",INDEX(BookTotal,1696)*'5. Scenarios'!$B$6/(1+ProductivityDefault*('5. Scenarios'!$B$11-1)))</f>
        <v/>
      </c>
      <c r="E1701" s="57" t="str">
        <f aca="false">IF($D1701="","",INDEX(BookRate,1696)*(1+'5. Scenarios'!$B$10)*$D1701)</f>
        <v/>
      </c>
      <c r="F1701" s="57" t="str">
        <f aca="false">IF($E1701="","",SUMIFS($E$6:$E$2405,$A$6:$A$2405,"&lt;="&amp;$A1701))</f>
        <v/>
      </c>
      <c r="G1701" s="57" t="str">
        <f aca="false">IF($E1701="","",IF($F1701&lt;=BankCostEnvelope*'5. Scenarios'!$B$7,1,0))</f>
        <v/>
      </c>
      <c r="H1701" s="57" t="str">
        <f aca="false">IF($D1701="","",INDEX(BookRate,1696)*(1+'5. Scenarios'!$B$10)*(INDEX(BookQ1,1696)*(5-MIN(4,1+'5. Scenarios'!$B$8))/4+INDEX(BookQ2,1696)*(5-MIN(4,2+'5. Scenarios'!$B$8))/4+INDEX(BookQ3,1696)*(5-MIN(4,3+'5. Scenarios'!$B$8))/4+INDEX(BookQ4,1696)*(5-MIN(4,4+'5. Scenarios'!$B$8))/4)*'5. Scenarios'!$B$6/(1+ProductivityDefault*('5. Scenarios'!$B$11-1))+INDEX(BookOneOff,1696)*$D1701)</f>
        <v/>
      </c>
      <c r="I1701" s="56" t="str">
        <f aca="false">IF(INDEX(BookTitle,1696)="","",INDEX(BookTotal,1696)*'5. Scenarios'!$C$6/(1+ProductivityDefault*('5. Scenarios'!$C$11-1)))</f>
        <v/>
      </c>
      <c r="J1701" s="57" t="str">
        <f aca="false">IF($I1701="","",INDEX(BookRate,1696)*(1+'5. Scenarios'!$C$10)*$I1701)</f>
        <v/>
      </c>
      <c r="K1701" s="57" t="str">
        <f aca="false">IF($J1701="","",SUMIFS($J$6:$J$2405,$A$6:$A$2405,"&lt;="&amp;$A1701))</f>
        <v/>
      </c>
      <c r="L1701" s="57" t="str">
        <f aca="false">IF($J1701="","",IF($K1701&lt;=BankCostEnvelope*'5. Scenarios'!$C$7,1,0))</f>
        <v/>
      </c>
      <c r="M1701" s="57" t="str">
        <f aca="false">IF($I1701="","",INDEX(BookRate,1696)*(1+'5. Scenarios'!$C$10)*(INDEX(BookQ1,1696)*(5-MIN(4,1+'5. Scenarios'!$C$8))/4+INDEX(BookQ2,1696)*(5-MIN(4,2+'5. Scenarios'!$C$8))/4+INDEX(BookQ3,1696)*(5-MIN(4,3+'5. Scenarios'!$C$8))/4+INDEX(BookQ4,1696)*(5-MIN(4,4+'5. Scenarios'!$C$8))/4)*'5. Scenarios'!$C$6/(1+ProductivityDefault*('5. Scenarios'!$C$11-1))+INDEX(BookOneOff,1696)*$I1701)</f>
        <v/>
      </c>
      <c r="N1701" s="56" t="str">
        <f aca="false">IF(INDEX(BookTitle,1696)="","",INDEX(BookTotal,1696)*'5. Scenarios'!$D$6/(1+ProductivityDefault*('5. Scenarios'!$D$11-1)))</f>
        <v/>
      </c>
      <c r="O1701" s="57" t="str">
        <f aca="false">IF($N1701="","",INDEX(BookRate,1696)*(1+'5. Scenarios'!$D$10)*$N1701)</f>
        <v/>
      </c>
      <c r="P1701" s="57" t="str">
        <f aca="false">IF($O1701="","",SUMIFS($O$6:$O$2405,$A$6:$A$2405,"&lt;="&amp;$A1701))</f>
        <v/>
      </c>
      <c r="Q1701" s="57" t="str">
        <f aca="false">IF($O1701="","",IF($P1701&lt;=BankCostEnvelope*'5. Scenarios'!$D$7,1,0))</f>
        <v/>
      </c>
      <c r="R1701" s="57" t="str">
        <f aca="false">IF($N1701="","",INDEX(BookRate,1696)*(1+'5. Scenarios'!$D$10)*(INDEX(BookQ1,1696)*(5-MIN(4,1+'5. Scenarios'!$D$8))/4+INDEX(BookQ2,1696)*(5-MIN(4,2+'5. Scenarios'!$D$8))/4+INDEX(BookQ3,1696)*(5-MIN(4,3+'5. Scenarios'!$D$8))/4+INDEX(BookQ4,1696)*(5-MIN(4,4+'5. Scenarios'!$D$8))/4)*'5. Scenarios'!$D$6/(1+ProductivityDefault*('5. Scenarios'!$D$11-1))+INDEX(BookOneOff,1696)*$N1701)</f>
        <v/>
      </c>
      <c r="S1701" s="56" t="str">
        <f aca="false">IF(INDEX(BookTitle,1696)="","",INDEX(BookTotal,1696)*'5. Scenarios'!$E$6/(1+ProductivityDefault*('5. Scenarios'!$E$11-1)))</f>
        <v/>
      </c>
      <c r="T1701" s="57" t="str">
        <f aca="false">IF($S1701="","",INDEX(BookRate,1696)*(1+'5. Scenarios'!$E$10)*$S1701)</f>
        <v/>
      </c>
      <c r="U1701" s="57" t="str">
        <f aca="false">IF($T1701="","",SUMIFS($T$6:$T$2405,$A$6:$A$2405,"&lt;="&amp;$A1701))</f>
        <v/>
      </c>
      <c r="V1701" s="57" t="str">
        <f aca="false">IF($T1701="","",IF($U1701&lt;=BankCostEnvelope*'5. Scenarios'!$E$7,1,0))</f>
        <v/>
      </c>
      <c r="W1701" s="57" t="str">
        <f aca="false">IF($S1701="","",INDEX(BookRate,1696)*(1+'5. Scenarios'!$E$10)*(INDEX(BookQ1,1696)*(5-MIN(4,1+'5. Scenarios'!$E$8))/4+INDEX(BookQ2,1696)*(5-MIN(4,2+'5. Scenarios'!$E$8))/4+INDEX(BookQ3,1696)*(5-MIN(4,3+'5. Scenarios'!$E$8))/4+INDEX(BookQ4,1696)*(5-MIN(4,4+'5. Scenarios'!$E$8))/4)*'5. Scenarios'!$E$6/(1+ProductivityDefault*('5. Scenarios'!$E$11-1))+INDEX(BookOneOff,1696)*$S1701)</f>
        <v/>
      </c>
    </row>
    <row r="1702" customFormat="false" ht="15" hidden="false" customHeight="false" outlineLevel="0" collapsed="false">
      <c r="A1702" s="0" t="str">
        <f aca="false">IF(INDEX(BookTitle,1697)="","",INDEX(BookKey,1697))</f>
        <v/>
      </c>
      <c r="B1702" s="0" t="str">
        <f aca="false">IF(INDEX(BookTitle,1697)="","",INDEX(BookGroup,1697))</f>
        <v/>
      </c>
      <c r="C1702" s="0" t="str">
        <f aca="false">IF(INDEX(BookTitle,1697)="","",INDEX(BookCategory,1697))</f>
        <v/>
      </c>
      <c r="D1702" s="56" t="str">
        <f aca="false">IF(INDEX(BookTitle,1697)="","",INDEX(BookTotal,1697)*'5. Scenarios'!$B$6/(1+ProductivityDefault*('5. Scenarios'!$B$11-1)))</f>
        <v/>
      </c>
      <c r="E1702" s="57" t="str">
        <f aca="false">IF($D1702="","",INDEX(BookRate,1697)*(1+'5. Scenarios'!$B$10)*$D1702)</f>
        <v/>
      </c>
      <c r="F1702" s="57" t="str">
        <f aca="false">IF($E1702="","",SUMIFS($E$6:$E$2405,$A$6:$A$2405,"&lt;="&amp;$A1702))</f>
        <v/>
      </c>
      <c r="G1702" s="57" t="str">
        <f aca="false">IF($E1702="","",IF($F1702&lt;=BankCostEnvelope*'5. Scenarios'!$B$7,1,0))</f>
        <v/>
      </c>
      <c r="H1702" s="57" t="str">
        <f aca="false">IF($D1702="","",INDEX(BookRate,1697)*(1+'5. Scenarios'!$B$10)*(INDEX(BookQ1,1697)*(5-MIN(4,1+'5. Scenarios'!$B$8))/4+INDEX(BookQ2,1697)*(5-MIN(4,2+'5. Scenarios'!$B$8))/4+INDEX(BookQ3,1697)*(5-MIN(4,3+'5. Scenarios'!$B$8))/4+INDEX(BookQ4,1697)*(5-MIN(4,4+'5. Scenarios'!$B$8))/4)*'5. Scenarios'!$B$6/(1+ProductivityDefault*('5. Scenarios'!$B$11-1))+INDEX(BookOneOff,1697)*$D1702)</f>
        <v/>
      </c>
      <c r="I1702" s="56" t="str">
        <f aca="false">IF(INDEX(BookTitle,1697)="","",INDEX(BookTotal,1697)*'5. Scenarios'!$C$6/(1+ProductivityDefault*('5. Scenarios'!$C$11-1)))</f>
        <v/>
      </c>
      <c r="J1702" s="57" t="str">
        <f aca="false">IF($I1702="","",INDEX(BookRate,1697)*(1+'5. Scenarios'!$C$10)*$I1702)</f>
        <v/>
      </c>
      <c r="K1702" s="57" t="str">
        <f aca="false">IF($J1702="","",SUMIFS($J$6:$J$2405,$A$6:$A$2405,"&lt;="&amp;$A1702))</f>
        <v/>
      </c>
      <c r="L1702" s="57" t="str">
        <f aca="false">IF($J1702="","",IF($K1702&lt;=BankCostEnvelope*'5. Scenarios'!$C$7,1,0))</f>
        <v/>
      </c>
      <c r="M1702" s="57" t="str">
        <f aca="false">IF($I1702="","",INDEX(BookRate,1697)*(1+'5. Scenarios'!$C$10)*(INDEX(BookQ1,1697)*(5-MIN(4,1+'5. Scenarios'!$C$8))/4+INDEX(BookQ2,1697)*(5-MIN(4,2+'5. Scenarios'!$C$8))/4+INDEX(BookQ3,1697)*(5-MIN(4,3+'5. Scenarios'!$C$8))/4+INDEX(BookQ4,1697)*(5-MIN(4,4+'5. Scenarios'!$C$8))/4)*'5. Scenarios'!$C$6/(1+ProductivityDefault*('5. Scenarios'!$C$11-1))+INDEX(BookOneOff,1697)*$I1702)</f>
        <v/>
      </c>
      <c r="N1702" s="56" t="str">
        <f aca="false">IF(INDEX(BookTitle,1697)="","",INDEX(BookTotal,1697)*'5. Scenarios'!$D$6/(1+ProductivityDefault*('5. Scenarios'!$D$11-1)))</f>
        <v/>
      </c>
      <c r="O1702" s="57" t="str">
        <f aca="false">IF($N1702="","",INDEX(BookRate,1697)*(1+'5. Scenarios'!$D$10)*$N1702)</f>
        <v/>
      </c>
      <c r="P1702" s="57" t="str">
        <f aca="false">IF($O1702="","",SUMIFS($O$6:$O$2405,$A$6:$A$2405,"&lt;="&amp;$A1702))</f>
        <v/>
      </c>
      <c r="Q1702" s="57" t="str">
        <f aca="false">IF($O1702="","",IF($P1702&lt;=BankCostEnvelope*'5. Scenarios'!$D$7,1,0))</f>
        <v/>
      </c>
      <c r="R1702" s="57" t="str">
        <f aca="false">IF($N1702="","",INDEX(BookRate,1697)*(1+'5. Scenarios'!$D$10)*(INDEX(BookQ1,1697)*(5-MIN(4,1+'5. Scenarios'!$D$8))/4+INDEX(BookQ2,1697)*(5-MIN(4,2+'5. Scenarios'!$D$8))/4+INDEX(BookQ3,1697)*(5-MIN(4,3+'5. Scenarios'!$D$8))/4+INDEX(BookQ4,1697)*(5-MIN(4,4+'5. Scenarios'!$D$8))/4)*'5. Scenarios'!$D$6/(1+ProductivityDefault*('5. Scenarios'!$D$11-1))+INDEX(BookOneOff,1697)*$N1702)</f>
        <v/>
      </c>
      <c r="S1702" s="56" t="str">
        <f aca="false">IF(INDEX(BookTitle,1697)="","",INDEX(BookTotal,1697)*'5. Scenarios'!$E$6/(1+ProductivityDefault*('5. Scenarios'!$E$11-1)))</f>
        <v/>
      </c>
      <c r="T1702" s="57" t="str">
        <f aca="false">IF($S1702="","",INDEX(BookRate,1697)*(1+'5. Scenarios'!$E$10)*$S1702)</f>
        <v/>
      </c>
      <c r="U1702" s="57" t="str">
        <f aca="false">IF($T1702="","",SUMIFS($T$6:$T$2405,$A$6:$A$2405,"&lt;="&amp;$A1702))</f>
        <v/>
      </c>
      <c r="V1702" s="57" t="str">
        <f aca="false">IF($T1702="","",IF($U1702&lt;=BankCostEnvelope*'5. Scenarios'!$E$7,1,0))</f>
        <v/>
      </c>
      <c r="W1702" s="57" t="str">
        <f aca="false">IF($S1702="","",INDEX(BookRate,1697)*(1+'5. Scenarios'!$E$10)*(INDEX(BookQ1,1697)*(5-MIN(4,1+'5. Scenarios'!$E$8))/4+INDEX(BookQ2,1697)*(5-MIN(4,2+'5. Scenarios'!$E$8))/4+INDEX(BookQ3,1697)*(5-MIN(4,3+'5. Scenarios'!$E$8))/4+INDEX(BookQ4,1697)*(5-MIN(4,4+'5. Scenarios'!$E$8))/4)*'5. Scenarios'!$E$6/(1+ProductivityDefault*('5. Scenarios'!$E$11-1))+INDEX(BookOneOff,1697)*$S1702)</f>
        <v/>
      </c>
    </row>
    <row r="1703" customFormat="false" ht="15" hidden="false" customHeight="false" outlineLevel="0" collapsed="false">
      <c r="A1703" s="0" t="str">
        <f aca="false">IF(INDEX(BookTitle,1698)="","",INDEX(BookKey,1698))</f>
        <v/>
      </c>
      <c r="B1703" s="0" t="str">
        <f aca="false">IF(INDEX(BookTitle,1698)="","",INDEX(BookGroup,1698))</f>
        <v/>
      </c>
      <c r="C1703" s="0" t="str">
        <f aca="false">IF(INDEX(BookTitle,1698)="","",INDEX(BookCategory,1698))</f>
        <v/>
      </c>
      <c r="D1703" s="56" t="str">
        <f aca="false">IF(INDEX(BookTitle,1698)="","",INDEX(BookTotal,1698)*'5. Scenarios'!$B$6/(1+ProductivityDefault*('5. Scenarios'!$B$11-1)))</f>
        <v/>
      </c>
      <c r="E1703" s="57" t="str">
        <f aca="false">IF($D1703="","",INDEX(BookRate,1698)*(1+'5. Scenarios'!$B$10)*$D1703)</f>
        <v/>
      </c>
      <c r="F1703" s="57" t="str">
        <f aca="false">IF($E1703="","",SUMIFS($E$6:$E$2405,$A$6:$A$2405,"&lt;="&amp;$A1703))</f>
        <v/>
      </c>
      <c r="G1703" s="57" t="str">
        <f aca="false">IF($E1703="","",IF($F1703&lt;=BankCostEnvelope*'5. Scenarios'!$B$7,1,0))</f>
        <v/>
      </c>
      <c r="H1703" s="57" t="str">
        <f aca="false">IF($D1703="","",INDEX(BookRate,1698)*(1+'5. Scenarios'!$B$10)*(INDEX(BookQ1,1698)*(5-MIN(4,1+'5. Scenarios'!$B$8))/4+INDEX(BookQ2,1698)*(5-MIN(4,2+'5. Scenarios'!$B$8))/4+INDEX(BookQ3,1698)*(5-MIN(4,3+'5. Scenarios'!$B$8))/4+INDEX(BookQ4,1698)*(5-MIN(4,4+'5. Scenarios'!$B$8))/4)*'5. Scenarios'!$B$6/(1+ProductivityDefault*('5. Scenarios'!$B$11-1))+INDEX(BookOneOff,1698)*$D1703)</f>
        <v/>
      </c>
      <c r="I1703" s="56" t="str">
        <f aca="false">IF(INDEX(BookTitle,1698)="","",INDEX(BookTotal,1698)*'5. Scenarios'!$C$6/(1+ProductivityDefault*('5. Scenarios'!$C$11-1)))</f>
        <v/>
      </c>
      <c r="J1703" s="57" t="str">
        <f aca="false">IF($I1703="","",INDEX(BookRate,1698)*(1+'5. Scenarios'!$C$10)*$I1703)</f>
        <v/>
      </c>
      <c r="K1703" s="57" t="str">
        <f aca="false">IF($J1703="","",SUMIFS($J$6:$J$2405,$A$6:$A$2405,"&lt;="&amp;$A1703))</f>
        <v/>
      </c>
      <c r="L1703" s="57" t="str">
        <f aca="false">IF($J1703="","",IF($K1703&lt;=BankCostEnvelope*'5. Scenarios'!$C$7,1,0))</f>
        <v/>
      </c>
      <c r="M1703" s="57" t="str">
        <f aca="false">IF($I1703="","",INDEX(BookRate,1698)*(1+'5. Scenarios'!$C$10)*(INDEX(BookQ1,1698)*(5-MIN(4,1+'5. Scenarios'!$C$8))/4+INDEX(BookQ2,1698)*(5-MIN(4,2+'5. Scenarios'!$C$8))/4+INDEX(BookQ3,1698)*(5-MIN(4,3+'5. Scenarios'!$C$8))/4+INDEX(BookQ4,1698)*(5-MIN(4,4+'5. Scenarios'!$C$8))/4)*'5. Scenarios'!$C$6/(1+ProductivityDefault*('5. Scenarios'!$C$11-1))+INDEX(BookOneOff,1698)*$I1703)</f>
        <v/>
      </c>
      <c r="N1703" s="56" t="str">
        <f aca="false">IF(INDEX(BookTitle,1698)="","",INDEX(BookTotal,1698)*'5. Scenarios'!$D$6/(1+ProductivityDefault*('5. Scenarios'!$D$11-1)))</f>
        <v/>
      </c>
      <c r="O1703" s="57" t="str">
        <f aca="false">IF($N1703="","",INDEX(BookRate,1698)*(1+'5. Scenarios'!$D$10)*$N1703)</f>
        <v/>
      </c>
      <c r="P1703" s="57" t="str">
        <f aca="false">IF($O1703="","",SUMIFS($O$6:$O$2405,$A$6:$A$2405,"&lt;="&amp;$A1703))</f>
        <v/>
      </c>
      <c r="Q1703" s="57" t="str">
        <f aca="false">IF($O1703="","",IF($P1703&lt;=BankCostEnvelope*'5. Scenarios'!$D$7,1,0))</f>
        <v/>
      </c>
      <c r="R1703" s="57" t="str">
        <f aca="false">IF($N1703="","",INDEX(BookRate,1698)*(1+'5. Scenarios'!$D$10)*(INDEX(BookQ1,1698)*(5-MIN(4,1+'5. Scenarios'!$D$8))/4+INDEX(BookQ2,1698)*(5-MIN(4,2+'5. Scenarios'!$D$8))/4+INDEX(BookQ3,1698)*(5-MIN(4,3+'5. Scenarios'!$D$8))/4+INDEX(BookQ4,1698)*(5-MIN(4,4+'5. Scenarios'!$D$8))/4)*'5. Scenarios'!$D$6/(1+ProductivityDefault*('5. Scenarios'!$D$11-1))+INDEX(BookOneOff,1698)*$N1703)</f>
        <v/>
      </c>
      <c r="S1703" s="56" t="str">
        <f aca="false">IF(INDEX(BookTitle,1698)="","",INDEX(BookTotal,1698)*'5. Scenarios'!$E$6/(1+ProductivityDefault*('5. Scenarios'!$E$11-1)))</f>
        <v/>
      </c>
      <c r="T1703" s="57" t="str">
        <f aca="false">IF($S1703="","",INDEX(BookRate,1698)*(1+'5. Scenarios'!$E$10)*$S1703)</f>
        <v/>
      </c>
      <c r="U1703" s="57" t="str">
        <f aca="false">IF($T1703="","",SUMIFS($T$6:$T$2405,$A$6:$A$2405,"&lt;="&amp;$A1703))</f>
        <v/>
      </c>
      <c r="V1703" s="57" t="str">
        <f aca="false">IF($T1703="","",IF($U1703&lt;=BankCostEnvelope*'5. Scenarios'!$E$7,1,0))</f>
        <v/>
      </c>
      <c r="W1703" s="57" t="str">
        <f aca="false">IF($S1703="","",INDEX(BookRate,1698)*(1+'5. Scenarios'!$E$10)*(INDEX(BookQ1,1698)*(5-MIN(4,1+'5. Scenarios'!$E$8))/4+INDEX(BookQ2,1698)*(5-MIN(4,2+'5. Scenarios'!$E$8))/4+INDEX(BookQ3,1698)*(5-MIN(4,3+'5. Scenarios'!$E$8))/4+INDEX(BookQ4,1698)*(5-MIN(4,4+'5. Scenarios'!$E$8))/4)*'5. Scenarios'!$E$6/(1+ProductivityDefault*('5. Scenarios'!$E$11-1))+INDEX(BookOneOff,1698)*$S1703)</f>
        <v/>
      </c>
    </row>
    <row r="1704" customFormat="false" ht="15" hidden="false" customHeight="false" outlineLevel="0" collapsed="false">
      <c r="A1704" s="0" t="str">
        <f aca="false">IF(INDEX(BookTitle,1699)="","",INDEX(BookKey,1699))</f>
        <v/>
      </c>
      <c r="B1704" s="0" t="str">
        <f aca="false">IF(INDEX(BookTitle,1699)="","",INDEX(BookGroup,1699))</f>
        <v/>
      </c>
      <c r="C1704" s="0" t="str">
        <f aca="false">IF(INDEX(BookTitle,1699)="","",INDEX(BookCategory,1699))</f>
        <v/>
      </c>
      <c r="D1704" s="56" t="str">
        <f aca="false">IF(INDEX(BookTitle,1699)="","",INDEX(BookTotal,1699)*'5. Scenarios'!$B$6/(1+ProductivityDefault*('5. Scenarios'!$B$11-1)))</f>
        <v/>
      </c>
      <c r="E1704" s="57" t="str">
        <f aca="false">IF($D1704="","",INDEX(BookRate,1699)*(1+'5. Scenarios'!$B$10)*$D1704)</f>
        <v/>
      </c>
      <c r="F1704" s="57" t="str">
        <f aca="false">IF($E1704="","",SUMIFS($E$6:$E$2405,$A$6:$A$2405,"&lt;="&amp;$A1704))</f>
        <v/>
      </c>
      <c r="G1704" s="57" t="str">
        <f aca="false">IF($E1704="","",IF($F1704&lt;=BankCostEnvelope*'5. Scenarios'!$B$7,1,0))</f>
        <v/>
      </c>
      <c r="H1704" s="57" t="str">
        <f aca="false">IF($D1704="","",INDEX(BookRate,1699)*(1+'5. Scenarios'!$B$10)*(INDEX(BookQ1,1699)*(5-MIN(4,1+'5. Scenarios'!$B$8))/4+INDEX(BookQ2,1699)*(5-MIN(4,2+'5. Scenarios'!$B$8))/4+INDEX(BookQ3,1699)*(5-MIN(4,3+'5. Scenarios'!$B$8))/4+INDEX(BookQ4,1699)*(5-MIN(4,4+'5. Scenarios'!$B$8))/4)*'5. Scenarios'!$B$6/(1+ProductivityDefault*('5. Scenarios'!$B$11-1))+INDEX(BookOneOff,1699)*$D1704)</f>
        <v/>
      </c>
      <c r="I1704" s="56" t="str">
        <f aca="false">IF(INDEX(BookTitle,1699)="","",INDEX(BookTotal,1699)*'5. Scenarios'!$C$6/(1+ProductivityDefault*('5. Scenarios'!$C$11-1)))</f>
        <v/>
      </c>
      <c r="J1704" s="57" t="str">
        <f aca="false">IF($I1704="","",INDEX(BookRate,1699)*(1+'5. Scenarios'!$C$10)*$I1704)</f>
        <v/>
      </c>
      <c r="K1704" s="57" t="str">
        <f aca="false">IF($J1704="","",SUMIFS($J$6:$J$2405,$A$6:$A$2405,"&lt;="&amp;$A1704))</f>
        <v/>
      </c>
      <c r="L1704" s="57" t="str">
        <f aca="false">IF($J1704="","",IF($K1704&lt;=BankCostEnvelope*'5. Scenarios'!$C$7,1,0))</f>
        <v/>
      </c>
      <c r="M1704" s="57" t="str">
        <f aca="false">IF($I1704="","",INDEX(BookRate,1699)*(1+'5. Scenarios'!$C$10)*(INDEX(BookQ1,1699)*(5-MIN(4,1+'5. Scenarios'!$C$8))/4+INDEX(BookQ2,1699)*(5-MIN(4,2+'5. Scenarios'!$C$8))/4+INDEX(BookQ3,1699)*(5-MIN(4,3+'5. Scenarios'!$C$8))/4+INDEX(BookQ4,1699)*(5-MIN(4,4+'5. Scenarios'!$C$8))/4)*'5. Scenarios'!$C$6/(1+ProductivityDefault*('5. Scenarios'!$C$11-1))+INDEX(BookOneOff,1699)*$I1704)</f>
        <v/>
      </c>
      <c r="N1704" s="56" t="str">
        <f aca="false">IF(INDEX(BookTitle,1699)="","",INDEX(BookTotal,1699)*'5. Scenarios'!$D$6/(1+ProductivityDefault*('5. Scenarios'!$D$11-1)))</f>
        <v/>
      </c>
      <c r="O1704" s="57" t="str">
        <f aca="false">IF($N1704="","",INDEX(BookRate,1699)*(1+'5. Scenarios'!$D$10)*$N1704)</f>
        <v/>
      </c>
      <c r="P1704" s="57" t="str">
        <f aca="false">IF($O1704="","",SUMIFS($O$6:$O$2405,$A$6:$A$2405,"&lt;="&amp;$A1704))</f>
        <v/>
      </c>
      <c r="Q1704" s="57" t="str">
        <f aca="false">IF($O1704="","",IF($P1704&lt;=BankCostEnvelope*'5. Scenarios'!$D$7,1,0))</f>
        <v/>
      </c>
      <c r="R1704" s="57" t="str">
        <f aca="false">IF($N1704="","",INDEX(BookRate,1699)*(1+'5. Scenarios'!$D$10)*(INDEX(BookQ1,1699)*(5-MIN(4,1+'5. Scenarios'!$D$8))/4+INDEX(BookQ2,1699)*(5-MIN(4,2+'5. Scenarios'!$D$8))/4+INDEX(BookQ3,1699)*(5-MIN(4,3+'5. Scenarios'!$D$8))/4+INDEX(BookQ4,1699)*(5-MIN(4,4+'5. Scenarios'!$D$8))/4)*'5. Scenarios'!$D$6/(1+ProductivityDefault*('5. Scenarios'!$D$11-1))+INDEX(BookOneOff,1699)*$N1704)</f>
        <v/>
      </c>
      <c r="S1704" s="56" t="str">
        <f aca="false">IF(INDEX(BookTitle,1699)="","",INDEX(BookTotal,1699)*'5. Scenarios'!$E$6/(1+ProductivityDefault*('5. Scenarios'!$E$11-1)))</f>
        <v/>
      </c>
      <c r="T1704" s="57" t="str">
        <f aca="false">IF($S1704="","",INDEX(BookRate,1699)*(1+'5. Scenarios'!$E$10)*$S1704)</f>
        <v/>
      </c>
      <c r="U1704" s="57" t="str">
        <f aca="false">IF($T1704="","",SUMIFS($T$6:$T$2405,$A$6:$A$2405,"&lt;="&amp;$A1704))</f>
        <v/>
      </c>
      <c r="V1704" s="57" t="str">
        <f aca="false">IF($T1704="","",IF($U1704&lt;=BankCostEnvelope*'5. Scenarios'!$E$7,1,0))</f>
        <v/>
      </c>
      <c r="W1704" s="57" t="str">
        <f aca="false">IF($S1704="","",INDEX(BookRate,1699)*(1+'5. Scenarios'!$E$10)*(INDEX(BookQ1,1699)*(5-MIN(4,1+'5. Scenarios'!$E$8))/4+INDEX(BookQ2,1699)*(5-MIN(4,2+'5. Scenarios'!$E$8))/4+INDEX(BookQ3,1699)*(5-MIN(4,3+'5. Scenarios'!$E$8))/4+INDEX(BookQ4,1699)*(5-MIN(4,4+'5. Scenarios'!$E$8))/4)*'5. Scenarios'!$E$6/(1+ProductivityDefault*('5. Scenarios'!$E$11-1))+INDEX(BookOneOff,1699)*$S1704)</f>
        <v/>
      </c>
    </row>
    <row r="1705" customFormat="false" ht="15" hidden="false" customHeight="false" outlineLevel="0" collapsed="false">
      <c r="A1705" s="0" t="str">
        <f aca="false">IF(INDEX(BookTitle,1700)="","",INDEX(BookKey,1700))</f>
        <v/>
      </c>
      <c r="B1705" s="0" t="str">
        <f aca="false">IF(INDEX(BookTitle,1700)="","",INDEX(BookGroup,1700))</f>
        <v/>
      </c>
      <c r="C1705" s="0" t="str">
        <f aca="false">IF(INDEX(BookTitle,1700)="","",INDEX(BookCategory,1700))</f>
        <v/>
      </c>
      <c r="D1705" s="56" t="str">
        <f aca="false">IF(INDEX(BookTitle,1700)="","",INDEX(BookTotal,1700)*'5. Scenarios'!$B$6/(1+ProductivityDefault*('5. Scenarios'!$B$11-1)))</f>
        <v/>
      </c>
      <c r="E1705" s="57" t="str">
        <f aca="false">IF($D1705="","",INDEX(BookRate,1700)*(1+'5. Scenarios'!$B$10)*$D1705)</f>
        <v/>
      </c>
      <c r="F1705" s="57" t="str">
        <f aca="false">IF($E1705="","",SUMIFS($E$6:$E$2405,$A$6:$A$2405,"&lt;="&amp;$A1705))</f>
        <v/>
      </c>
      <c r="G1705" s="57" t="str">
        <f aca="false">IF($E1705="","",IF($F1705&lt;=BankCostEnvelope*'5. Scenarios'!$B$7,1,0))</f>
        <v/>
      </c>
      <c r="H1705" s="57" t="str">
        <f aca="false">IF($D1705="","",INDEX(BookRate,1700)*(1+'5. Scenarios'!$B$10)*(INDEX(BookQ1,1700)*(5-MIN(4,1+'5. Scenarios'!$B$8))/4+INDEX(BookQ2,1700)*(5-MIN(4,2+'5. Scenarios'!$B$8))/4+INDEX(BookQ3,1700)*(5-MIN(4,3+'5. Scenarios'!$B$8))/4+INDEX(BookQ4,1700)*(5-MIN(4,4+'5. Scenarios'!$B$8))/4)*'5. Scenarios'!$B$6/(1+ProductivityDefault*('5. Scenarios'!$B$11-1))+INDEX(BookOneOff,1700)*$D1705)</f>
        <v/>
      </c>
      <c r="I1705" s="56" t="str">
        <f aca="false">IF(INDEX(BookTitle,1700)="","",INDEX(BookTotal,1700)*'5. Scenarios'!$C$6/(1+ProductivityDefault*('5. Scenarios'!$C$11-1)))</f>
        <v/>
      </c>
      <c r="J1705" s="57" t="str">
        <f aca="false">IF($I1705="","",INDEX(BookRate,1700)*(1+'5. Scenarios'!$C$10)*$I1705)</f>
        <v/>
      </c>
      <c r="K1705" s="57" t="str">
        <f aca="false">IF($J1705="","",SUMIFS($J$6:$J$2405,$A$6:$A$2405,"&lt;="&amp;$A1705))</f>
        <v/>
      </c>
      <c r="L1705" s="57" t="str">
        <f aca="false">IF($J1705="","",IF($K1705&lt;=BankCostEnvelope*'5. Scenarios'!$C$7,1,0))</f>
        <v/>
      </c>
      <c r="M1705" s="57" t="str">
        <f aca="false">IF($I1705="","",INDEX(BookRate,1700)*(1+'5. Scenarios'!$C$10)*(INDEX(BookQ1,1700)*(5-MIN(4,1+'5. Scenarios'!$C$8))/4+INDEX(BookQ2,1700)*(5-MIN(4,2+'5. Scenarios'!$C$8))/4+INDEX(BookQ3,1700)*(5-MIN(4,3+'5. Scenarios'!$C$8))/4+INDEX(BookQ4,1700)*(5-MIN(4,4+'5. Scenarios'!$C$8))/4)*'5. Scenarios'!$C$6/(1+ProductivityDefault*('5. Scenarios'!$C$11-1))+INDEX(BookOneOff,1700)*$I1705)</f>
        <v/>
      </c>
      <c r="N1705" s="56" t="str">
        <f aca="false">IF(INDEX(BookTitle,1700)="","",INDEX(BookTotal,1700)*'5. Scenarios'!$D$6/(1+ProductivityDefault*('5. Scenarios'!$D$11-1)))</f>
        <v/>
      </c>
      <c r="O1705" s="57" t="str">
        <f aca="false">IF($N1705="","",INDEX(BookRate,1700)*(1+'5. Scenarios'!$D$10)*$N1705)</f>
        <v/>
      </c>
      <c r="P1705" s="57" t="str">
        <f aca="false">IF($O1705="","",SUMIFS($O$6:$O$2405,$A$6:$A$2405,"&lt;="&amp;$A1705))</f>
        <v/>
      </c>
      <c r="Q1705" s="57" t="str">
        <f aca="false">IF($O1705="","",IF($P1705&lt;=BankCostEnvelope*'5. Scenarios'!$D$7,1,0))</f>
        <v/>
      </c>
      <c r="R1705" s="57" t="str">
        <f aca="false">IF($N1705="","",INDEX(BookRate,1700)*(1+'5. Scenarios'!$D$10)*(INDEX(BookQ1,1700)*(5-MIN(4,1+'5. Scenarios'!$D$8))/4+INDEX(BookQ2,1700)*(5-MIN(4,2+'5. Scenarios'!$D$8))/4+INDEX(BookQ3,1700)*(5-MIN(4,3+'5. Scenarios'!$D$8))/4+INDEX(BookQ4,1700)*(5-MIN(4,4+'5. Scenarios'!$D$8))/4)*'5. Scenarios'!$D$6/(1+ProductivityDefault*('5. Scenarios'!$D$11-1))+INDEX(BookOneOff,1700)*$N1705)</f>
        <v/>
      </c>
      <c r="S1705" s="56" t="str">
        <f aca="false">IF(INDEX(BookTitle,1700)="","",INDEX(BookTotal,1700)*'5. Scenarios'!$E$6/(1+ProductivityDefault*('5. Scenarios'!$E$11-1)))</f>
        <v/>
      </c>
      <c r="T1705" s="57" t="str">
        <f aca="false">IF($S1705="","",INDEX(BookRate,1700)*(1+'5. Scenarios'!$E$10)*$S1705)</f>
        <v/>
      </c>
      <c r="U1705" s="57" t="str">
        <f aca="false">IF($T1705="","",SUMIFS($T$6:$T$2405,$A$6:$A$2405,"&lt;="&amp;$A1705))</f>
        <v/>
      </c>
      <c r="V1705" s="57" t="str">
        <f aca="false">IF($T1705="","",IF($U1705&lt;=BankCostEnvelope*'5. Scenarios'!$E$7,1,0))</f>
        <v/>
      </c>
      <c r="W1705" s="57" t="str">
        <f aca="false">IF($S1705="","",INDEX(BookRate,1700)*(1+'5. Scenarios'!$E$10)*(INDEX(BookQ1,1700)*(5-MIN(4,1+'5. Scenarios'!$E$8))/4+INDEX(BookQ2,1700)*(5-MIN(4,2+'5. Scenarios'!$E$8))/4+INDEX(BookQ3,1700)*(5-MIN(4,3+'5. Scenarios'!$E$8))/4+INDEX(BookQ4,1700)*(5-MIN(4,4+'5. Scenarios'!$E$8))/4)*'5. Scenarios'!$E$6/(1+ProductivityDefault*('5. Scenarios'!$E$11-1))+INDEX(BookOneOff,1700)*$S1705)</f>
        <v/>
      </c>
    </row>
    <row r="1706" customFormat="false" ht="15" hidden="false" customHeight="false" outlineLevel="0" collapsed="false">
      <c r="A1706" s="0" t="str">
        <f aca="false">IF(INDEX(BookTitle,1701)="","",INDEX(BookKey,1701))</f>
        <v/>
      </c>
      <c r="B1706" s="0" t="str">
        <f aca="false">IF(INDEX(BookTitle,1701)="","",INDEX(BookGroup,1701))</f>
        <v/>
      </c>
      <c r="C1706" s="0" t="str">
        <f aca="false">IF(INDEX(BookTitle,1701)="","",INDEX(BookCategory,1701))</f>
        <v/>
      </c>
      <c r="D1706" s="56" t="str">
        <f aca="false">IF(INDEX(BookTitle,1701)="","",INDEX(BookTotal,1701)*'5. Scenarios'!$B$6/(1+ProductivityDefault*('5. Scenarios'!$B$11-1)))</f>
        <v/>
      </c>
      <c r="E1706" s="57" t="str">
        <f aca="false">IF($D1706="","",INDEX(BookRate,1701)*(1+'5. Scenarios'!$B$10)*$D1706)</f>
        <v/>
      </c>
      <c r="F1706" s="57" t="str">
        <f aca="false">IF($E1706="","",SUMIFS($E$6:$E$2405,$A$6:$A$2405,"&lt;="&amp;$A1706))</f>
        <v/>
      </c>
      <c r="G1706" s="57" t="str">
        <f aca="false">IF($E1706="","",IF($F1706&lt;=BankCostEnvelope*'5. Scenarios'!$B$7,1,0))</f>
        <v/>
      </c>
      <c r="H1706" s="57" t="str">
        <f aca="false">IF($D1706="","",INDEX(BookRate,1701)*(1+'5. Scenarios'!$B$10)*(INDEX(BookQ1,1701)*(5-MIN(4,1+'5. Scenarios'!$B$8))/4+INDEX(BookQ2,1701)*(5-MIN(4,2+'5. Scenarios'!$B$8))/4+INDEX(BookQ3,1701)*(5-MIN(4,3+'5. Scenarios'!$B$8))/4+INDEX(BookQ4,1701)*(5-MIN(4,4+'5. Scenarios'!$B$8))/4)*'5. Scenarios'!$B$6/(1+ProductivityDefault*('5. Scenarios'!$B$11-1))+INDEX(BookOneOff,1701)*$D1706)</f>
        <v/>
      </c>
      <c r="I1706" s="56" t="str">
        <f aca="false">IF(INDEX(BookTitle,1701)="","",INDEX(BookTotal,1701)*'5. Scenarios'!$C$6/(1+ProductivityDefault*('5. Scenarios'!$C$11-1)))</f>
        <v/>
      </c>
      <c r="J1706" s="57" t="str">
        <f aca="false">IF($I1706="","",INDEX(BookRate,1701)*(1+'5. Scenarios'!$C$10)*$I1706)</f>
        <v/>
      </c>
      <c r="K1706" s="57" t="str">
        <f aca="false">IF($J1706="","",SUMIFS($J$6:$J$2405,$A$6:$A$2405,"&lt;="&amp;$A1706))</f>
        <v/>
      </c>
      <c r="L1706" s="57" t="str">
        <f aca="false">IF($J1706="","",IF($K1706&lt;=BankCostEnvelope*'5. Scenarios'!$C$7,1,0))</f>
        <v/>
      </c>
      <c r="M1706" s="57" t="str">
        <f aca="false">IF($I1706="","",INDEX(BookRate,1701)*(1+'5. Scenarios'!$C$10)*(INDEX(BookQ1,1701)*(5-MIN(4,1+'5. Scenarios'!$C$8))/4+INDEX(BookQ2,1701)*(5-MIN(4,2+'5. Scenarios'!$C$8))/4+INDEX(BookQ3,1701)*(5-MIN(4,3+'5. Scenarios'!$C$8))/4+INDEX(BookQ4,1701)*(5-MIN(4,4+'5. Scenarios'!$C$8))/4)*'5. Scenarios'!$C$6/(1+ProductivityDefault*('5. Scenarios'!$C$11-1))+INDEX(BookOneOff,1701)*$I1706)</f>
        <v/>
      </c>
      <c r="N1706" s="56" t="str">
        <f aca="false">IF(INDEX(BookTitle,1701)="","",INDEX(BookTotal,1701)*'5. Scenarios'!$D$6/(1+ProductivityDefault*('5. Scenarios'!$D$11-1)))</f>
        <v/>
      </c>
      <c r="O1706" s="57" t="str">
        <f aca="false">IF($N1706="","",INDEX(BookRate,1701)*(1+'5. Scenarios'!$D$10)*$N1706)</f>
        <v/>
      </c>
      <c r="P1706" s="57" t="str">
        <f aca="false">IF($O1706="","",SUMIFS($O$6:$O$2405,$A$6:$A$2405,"&lt;="&amp;$A1706))</f>
        <v/>
      </c>
      <c r="Q1706" s="57" t="str">
        <f aca="false">IF($O1706="","",IF($P1706&lt;=BankCostEnvelope*'5. Scenarios'!$D$7,1,0))</f>
        <v/>
      </c>
      <c r="R1706" s="57" t="str">
        <f aca="false">IF($N1706="","",INDEX(BookRate,1701)*(1+'5. Scenarios'!$D$10)*(INDEX(BookQ1,1701)*(5-MIN(4,1+'5. Scenarios'!$D$8))/4+INDEX(BookQ2,1701)*(5-MIN(4,2+'5. Scenarios'!$D$8))/4+INDEX(BookQ3,1701)*(5-MIN(4,3+'5. Scenarios'!$D$8))/4+INDEX(BookQ4,1701)*(5-MIN(4,4+'5. Scenarios'!$D$8))/4)*'5. Scenarios'!$D$6/(1+ProductivityDefault*('5. Scenarios'!$D$11-1))+INDEX(BookOneOff,1701)*$N1706)</f>
        <v/>
      </c>
      <c r="S1706" s="56" t="str">
        <f aca="false">IF(INDEX(BookTitle,1701)="","",INDEX(BookTotal,1701)*'5. Scenarios'!$E$6/(1+ProductivityDefault*('5. Scenarios'!$E$11-1)))</f>
        <v/>
      </c>
      <c r="T1706" s="57" t="str">
        <f aca="false">IF($S1706="","",INDEX(BookRate,1701)*(1+'5. Scenarios'!$E$10)*$S1706)</f>
        <v/>
      </c>
      <c r="U1706" s="57" t="str">
        <f aca="false">IF($T1706="","",SUMIFS($T$6:$T$2405,$A$6:$A$2405,"&lt;="&amp;$A1706))</f>
        <v/>
      </c>
      <c r="V1706" s="57" t="str">
        <f aca="false">IF($T1706="","",IF($U1706&lt;=BankCostEnvelope*'5. Scenarios'!$E$7,1,0))</f>
        <v/>
      </c>
      <c r="W1706" s="57" t="str">
        <f aca="false">IF($S1706="","",INDEX(BookRate,1701)*(1+'5. Scenarios'!$E$10)*(INDEX(BookQ1,1701)*(5-MIN(4,1+'5. Scenarios'!$E$8))/4+INDEX(BookQ2,1701)*(5-MIN(4,2+'5. Scenarios'!$E$8))/4+INDEX(BookQ3,1701)*(5-MIN(4,3+'5. Scenarios'!$E$8))/4+INDEX(BookQ4,1701)*(5-MIN(4,4+'5. Scenarios'!$E$8))/4)*'5. Scenarios'!$E$6/(1+ProductivityDefault*('5. Scenarios'!$E$11-1))+INDEX(BookOneOff,1701)*$S1706)</f>
        <v/>
      </c>
    </row>
    <row r="1707" customFormat="false" ht="15" hidden="false" customHeight="false" outlineLevel="0" collapsed="false">
      <c r="A1707" s="0" t="str">
        <f aca="false">IF(INDEX(BookTitle,1702)="","",INDEX(BookKey,1702))</f>
        <v/>
      </c>
      <c r="B1707" s="0" t="str">
        <f aca="false">IF(INDEX(BookTitle,1702)="","",INDEX(BookGroup,1702))</f>
        <v/>
      </c>
      <c r="C1707" s="0" t="str">
        <f aca="false">IF(INDEX(BookTitle,1702)="","",INDEX(BookCategory,1702))</f>
        <v/>
      </c>
      <c r="D1707" s="56" t="str">
        <f aca="false">IF(INDEX(BookTitle,1702)="","",INDEX(BookTotal,1702)*'5. Scenarios'!$B$6/(1+ProductivityDefault*('5. Scenarios'!$B$11-1)))</f>
        <v/>
      </c>
      <c r="E1707" s="57" t="str">
        <f aca="false">IF($D1707="","",INDEX(BookRate,1702)*(1+'5. Scenarios'!$B$10)*$D1707)</f>
        <v/>
      </c>
      <c r="F1707" s="57" t="str">
        <f aca="false">IF($E1707="","",SUMIFS($E$6:$E$2405,$A$6:$A$2405,"&lt;="&amp;$A1707))</f>
        <v/>
      </c>
      <c r="G1707" s="57" t="str">
        <f aca="false">IF($E1707="","",IF($F1707&lt;=BankCostEnvelope*'5. Scenarios'!$B$7,1,0))</f>
        <v/>
      </c>
      <c r="H1707" s="57" t="str">
        <f aca="false">IF($D1707="","",INDEX(BookRate,1702)*(1+'5. Scenarios'!$B$10)*(INDEX(BookQ1,1702)*(5-MIN(4,1+'5. Scenarios'!$B$8))/4+INDEX(BookQ2,1702)*(5-MIN(4,2+'5. Scenarios'!$B$8))/4+INDEX(BookQ3,1702)*(5-MIN(4,3+'5. Scenarios'!$B$8))/4+INDEX(BookQ4,1702)*(5-MIN(4,4+'5. Scenarios'!$B$8))/4)*'5. Scenarios'!$B$6/(1+ProductivityDefault*('5. Scenarios'!$B$11-1))+INDEX(BookOneOff,1702)*$D1707)</f>
        <v/>
      </c>
      <c r="I1707" s="56" t="str">
        <f aca="false">IF(INDEX(BookTitle,1702)="","",INDEX(BookTotal,1702)*'5. Scenarios'!$C$6/(1+ProductivityDefault*('5. Scenarios'!$C$11-1)))</f>
        <v/>
      </c>
      <c r="J1707" s="57" t="str">
        <f aca="false">IF($I1707="","",INDEX(BookRate,1702)*(1+'5. Scenarios'!$C$10)*$I1707)</f>
        <v/>
      </c>
      <c r="K1707" s="57" t="str">
        <f aca="false">IF($J1707="","",SUMIFS($J$6:$J$2405,$A$6:$A$2405,"&lt;="&amp;$A1707))</f>
        <v/>
      </c>
      <c r="L1707" s="57" t="str">
        <f aca="false">IF($J1707="","",IF($K1707&lt;=BankCostEnvelope*'5. Scenarios'!$C$7,1,0))</f>
        <v/>
      </c>
      <c r="M1707" s="57" t="str">
        <f aca="false">IF($I1707="","",INDEX(BookRate,1702)*(1+'5. Scenarios'!$C$10)*(INDEX(BookQ1,1702)*(5-MIN(4,1+'5. Scenarios'!$C$8))/4+INDEX(BookQ2,1702)*(5-MIN(4,2+'5. Scenarios'!$C$8))/4+INDEX(BookQ3,1702)*(5-MIN(4,3+'5. Scenarios'!$C$8))/4+INDEX(BookQ4,1702)*(5-MIN(4,4+'5. Scenarios'!$C$8))/4)*'5. Scenarios'!$C$6/(1+ProductivityDefault*('5. Scenarios'!$C$11-1))+INDEX(BookOneOff,1702)*$I1707)</f>
        <v/>
      </c>
      <c r="N1707" s="56" t="str">
        <f aca="false">IF(INDEX(BookTitle,1702)="","",INDEX(BookTotal,1702)*'5. Scenarios'!$D$6/(1+ProductivityDefault*('5. Scenarios'!$D$11-1)))</f>
        <v/>
      </c>
      <c r="O1707" s="57" t="str">
        <f aca="false">IF($N1707="","",INDEX(BookRate,1702)*(1+'5. Scenarios'!$D$10)*$N1707)</f>
        <v/>
      </c>
      <c r="P1707" s="57" t="str">
        <f aca="false">IF($O1707="","",SUMIFS($O$6:$O$2405,$A$6:$A$2405,"&lt;="&amp;$A1707))</f>
        <v/>
      </c>
      <c r="Q1707" s="57" t="str">
        <f aca="false">IF($O1707="","",IF($P1707&lt;=BankCostEnvelope*'5. Scenarios'!$D$7,1,0))</f>
        <v/>
      </c>
      <c r="R1707" s="57" t="str">
        <f aca="false">IF($N1707="","",INDEX(BookRate,1702)*(1+'5. Scenarios'!$D$10)*(INDEX(BookQ1,1702)*(5-MIN(4,1+'5. Scenarios'!$D$8))/4+INDEX(BookQ2,1702)*(5-MIN(4,2+'5. Scenarios'!$D$8))/4+INDEX(BookQ3,1702)*(5-MIN(4,3+'5. Scenarios'!$D$8))/4+INDEX(BookQ4,1702)*(5-MIN(4,4+'5. Scenarios'!$D$8))/4)*'5. Scenarios'!$D$6/(1+ProductivityDefault*('5. Scenarios'!$D$11-1))+INDEX(BookOneOff,1702)*$N1707)</f>
        <v/>
      </c>
      <c r="S1707" s="56" t="str">
        <f aca="false">IF(INDEX(BookTitle,1702)="","",INDEX(BookTotal,1702)*'5. Scenarios'!$E$6/(1+ProductivityDefault*('5. Scenarios'!$E$11-1)))</f>
        <v/>
      </c>
      <c r="T1707" s="57" t="str">
        <f aca="false">IF($S1707="","",INDEX(BookRate,1702)*(1+'5. Scenarios'!$E$10)*$S1707)</f>
        <v/>
      </c>
      <c r="U1707" s="57" t="str">
        <f aca="false">IF($T1707="","",SUMIFS($T$6:$T$2405,$A$6:$A$2405,"&lt;="&amp;$A1707))</f>
        <v/>
      </c>
      <c r="V1707" s="57" t="str">
        <f aca="false">IF($T1707="","",IF($U1707&lt;=BankCostEnvelope*'5. Scenarios'!$E$7,1,0))</f>
        <v/>
      </c>
      <c r="W1707" s="57" t="str">
        <f aca="false">IF($S1707="","",INDEX(BookRate,1702)*(1+'5. Scenarios'!$E$10)*(INDEX(BookQ1,1702)*(5-MIN(4,1+'5. Scenarios'!$E$8))/4+INDEX(BookQ2,1702)*(5-MIN(4,2+'5. Scenarios'!$E$8))/4+INDEX(BookQ3,1702)*(5-MIN(4,3+'5. Scenarios'!$E$8))/4+INDEX(BookQ4,1702)*(5-MIN(4,4+'5. Scenarios'!$E$8))/4)*'5. Scenarios'!$E$6/(1+ProductivityDefault*('5. Scenarios'!$E$11-1))+INDEX(BookOneOff,1702)*$S1707)</f>
        <v/>
      </c>
    </row>
    <row r="1708" customFormat="false" ht="15" hidden="false" customHeight="false" outlineLevel="0" collapsed="false">
      <c r="A1708" s="0" t="str">
        <f aca="false">IF(INDEX(BookTitle,1703)="","",INDEX(BookKey,1703))</f>
        <v/>
      </c>
      <c r="B1708" s="0" t="str">
        <f aca="false">IF(INDEX(BookTitle,1703)="","",INDEX(BookGroup,1703))</f>
        <v/>
      </c>
      <c r="C1708" s="0" t="str">
        <f aca="false">IF(INDEX(BookTitle,1703)="","",INDEX(BookCategory,1703))</f>
        <v/>
      </c>
      <c r="D1708" s="56" t="str">
        <f aca="false">IF(INDEX(BookTitle,1703)="","",INDEX(BookTotal,1703)*'5. Scenarios'!$B$6/(1+ProductivityDefault*('5. Scenarios'!$B$11-1)))</f>
        <v/>
      </c>
      <c r="E1708" s="57" t="str">
        <f aca="false">IF($D1708="","",INDEX(BookRate,1703)*(1+'5. Scenarios'!$B$10)*$D1708)</f>
        <v/>
      </c>
      <c r="F1708" s="57" t="str">
        <f aca="false">IF($E1708="","",SUMIFS($E$6:$E$2405,$A$6:$A$2405,"&lt;="&amp;$A1708))</f>
        <v/>
      </c>
      <c r="G1708" s="57" t="str">
        <f aca="false">IF($E1708="","",IF($F1708&lt;=BankCostEnvelope*'5. Scenarios'!$B$7,1,0))</f>
        <v/>
      </c>
      <c r="H1708" s="57" t="str">
        <f aca="false">IF($D1708="","",INDEX(BookRate,1703)*(1+'5. Scenarios'!$B$10)*(INDEX(BookQ1,1703)*(5-MIN(4,1+'5. Scenarios'!$B$8))/4+INDEX(BookQ2,1703)*(5-MIN(4,2+'5. Scenarios'!$B$8))/4+INDEX(BookQ3,1703)*(5-MIN(4,3+'5. Scenarios'!$B$8))/4+INDEX(BookQ4,1703)*(5-MIN(4,4+'5. Scenarios'!$B$8))/4)*'5. Scenarios'!$B$6/(1+ProductivityDefault*('5. Scenarios'!$B$11-1))+INDEX(BookOneOff,1703)*$D1708)</f>
        <v/>
      </c>
      <c r="I1708" s="56" t="str">
        <f aca="false">IF(INDEX(BookTitle,1703)="","",INDEX(BookTotal,1703)*'5. Scenarios'!$C$6/(1+ProductivityDefault*('5. Scenarios'!$C$11-1)))</f>
        <v/>
      </c>
      <c r="J1708" s="57" t="str">
        <f aca="false">IF($I1708="","",INDEX(BookRate,1703)*(1+'5. Scenarios'!$C$10)*$I1708)</f>
        <v/>
      </c>
      <c r="K1708" s="57" t="str">
        <f aca="false">IF($J1708="","",SUMIFS($J$6:$J$2405,$A$6:$A$2405,"&lt;="&amp;$A1708))</f>
        <v/>
      </c>
      <c r="L1708" s="57" t="str">
        <f aca="false">IF($J1708="","",IF($K1708&lt;=BankCostEnvelope*'5. Scenarios'!$C$7,1,0))</f>
        <v/>
      </c>
      <c r="M1708" s="57" t="str">
        <f aca="false">IF($I1708="","",INDEX(BookRate,1703)*(1+'5. Scenarios'!$C$10)*(INDEX(BookQ1,1703)*(5-MIN(4,1+'5. Scenarios'!$C$8))/4+INDEX(BookQ2,1703)*(5-MIN(4,2+'5. Scenarios'!$C$8))/4+INDEX(BookQ3,1703)*(5-MIN(4,3+'5. Scenarios'!$C$8))/4+INDEX(BookQ4,1703)*(5-MIN(4,4+'5. Scenarios'!$C$8))/4)*'5. Scenarios'!$C$6/(1+ProductivityDefault*('5. Scenarios'!$C$11-1))+INDEX(BookOneOff,1703)*$I1708)</f>
        <v/>
      </c>
      <c r="N1708" s="56" t="str">
        <f aca="false">IF(INDEX(BookTitle,1703)="","",INDEX(BookTotal,1703)*'5. Scenarios'!$D$6/(1+ProductivityDefault*('5. Scenarios'!$D$11-1)))</f>
        <v/>
      </c>
      <c r="O1708" s="57" t="str">
        <f aca="false">IF($N1708="","",INDEX(BookRate,1703)*(1+'5. Scenarios'!$D$10)*$N1708)</f>
        <v/>
      </c>
      <c r="P1708" s="57" t="str">
        <f aca="false">IF($O1708="","",SUMIFS($O$6:$O$2405,$A$6:$A$2405,"&lt;="&amp;$A1708))</f>
        <v/>
      </c>
      <c r="Q1708" s="57" t="str">
        <f aca="false">IF($O1708="","",IF($P1708&lt;=BankCostEnvelope*'5. Scenarios'!$D$7,1,0))</f>
        <v/>
      </c>
      <c r="R1708" s="57" t="str">
        <f aca="false">IF($N1708="","",INDEX(BookRate,1703)*(1+'5. Scenarios'!$D$10)*(INDEX(BookQ1,1703)*(5-MIN(4,1+'5. Scenarios'!$D$8))/4+INDEX(BookQ2,1703)*(5-MIN(4,2+'5. Scenarios'!$D$8))/4+INDEX(BookQ3,1703)*(5-MIN(4,3+'5. Scenarios'!$D$8))/4+INDEX(BookQ4,1703)*(5-MIN(4,4+'5. Scenarios'!$D$8))/4)*'5. Scenarios'!$D$6/(1+ProductivityDefault*('5. Scenarios'!$D$11-1))+INDEX(BookOneOff,1703)*$N1708)</f>
        <v/>
      </c>
      <c r="S1708" s="56" t="str">
        <f aca="false">IF(INDEX(BookTitle,1703)="","",INDEX(BookTotal,1703)*'5. Scenarios'!$E$6/(1+ProductivityDefault*('5. Scenarios'!$E$11-1)))</f>
        <v/>
      </c>
      <c r="T1708" s="57" t="str">
        <f aca="false">IF($S1708="","",INDEX(BookRate,1703)*(1+'5. Scenarios'!$E$10)*$S1708)</f>
        <v/>
      </c>
      <c r="U1708" s="57" t="str">
        <f aca="false">IF($T1708="","",SUMIFS($T$6:$T$2405,$A$6:$A$2405,"&lt;="&amp;$A1708))</f>
        <v/>
      </c>
      <c r="V1708" s="57" t="str">
        <f aca="false">IF($T1708="","",IF($U1708&lt;=BankCostEnvelope*'5. Scenarios'!$E$7,1,0))</f>
        <v/>
      </c>
      <c r="W1708" s="57" t="str">
        <f aca="false">IF($S1708="","",INDEX(BookRate,1703)*(1+'5. Scenarios'!$E$10)*(INDEX(BookQ1,1703)*(5-MIN(4,1+'5. Scenarios'!$E$8))/4+INDEX(BookQ2,1703)*(5-MIN(4,2+'5. Scenarios'!$E$8))/4+INDEX(BookQ3,1703)*(5-MIN(4,3+'5. Scenarios'!$E$8))/4+INDEX(BookQ4,1703)*(5-MIN(4,4+'5. Scenarios'!$E$8))/4)*'5. Scenarios'!$E$6/(1+ProductivityDefault*('5. Scenarios'!$E$11-1))+INDEX(BookOneOff,1703)*$S1708)</f>
        <v/>
      </c>
    </row>
    <row r="1709" customFormat="false" ht="15" hidden="false" customHeight="false" outlineLevel="0" collapsed="false">
      <c r="A1709" s="0" t="str">
        <f aca="false">IF(INDEX(BookTitle,1704)="","",INDEX(BookKey,1704))</f>
        <v/>
      </c>
      <c r="B1709" s="0" t="str">
        <f aca="false">IF(INDEX(BookTitle,1704)="","",INDEX(BookGroup,1704))</f>
        <v/>
      </c>
      <c r="C1709" s="0" t="str">
        <f aca="false">IF(INDEX(BookTitle,1704)="","",INDEX(BookCategory,1704))</f>
        <v/>
      </c>
      <c r="D1709" s="56" t="str">
        <f aca="false">IF(INDEX(BookTitle,1704)="","",INDEX(BookTotal,1704)*'5. Scenarios'!$B$6/(1+ProductivityDefault*('5. Scenarios'!$B$11-1)))</f>
        <v/>
      </c>
      <c r="E1709" s="57" t="str">
        <f aca="false">IF($D1709="","",INDEX(BookRate,1704)*(1+'5. Scenarios'!$B$10)*$D1709)</f>
        <v/>
      </c>
      <c r="F1709" s="57" t="str">
        <f aca="false">IF($E1709="","",SUMIFS($E$6:$E$2405,$A$6:$A$2405,"&lt;="&amp;$A1709))</f>
        <v/>
      </c>
      <c r="G1709" s="57" t="str">
        <f aca="false">IF($E1709="","",IF($F1709&lt;=BankCostEnvelope*'5. Scenarios'!$B$7,1,0))</f>
        <v/>
      </c>
      <c r="H1709" s="57" t="str">
        <f aca="false">IF($D1709="","",INDEX(BookRate,1704)*(1+'5. Scenarios'!$B$10)*(INDEX(BookQ1,1704)*(5-MIN(4,1+'5. Scenarios'!$B$8))/4+INDEX(BookQ2,1704)*(5-MIN(4,2+'5. Scenarios'!$B$8))/4+INDEX(BookQ3,1704)*(5-MIN(4,3+'5. Scenarios'!$B$8))/4+INDEX(BookQ4,1704)*(5-MIN(4,4+'5. Scenarios'!$B$8))/4)*'5. Scenarios'!$B$6/(1+ProductivityDefault*('5. Scenarios'!$B$11-1))+INDEX(BookOneOff,1704)*$D1709)</f>
        <v/>
      </c>
      <c r="I1709" s="56" t="str">
        <f aca="false">IF(INDEX(BookTitle,1704)="","",INDEX(BookTotal,1704)*'5. Scenarios'!$C$6/(1+ProductivityDefault*('5. Scenarios'!$C$11-1)))</f>
        <v/>
      </c>
      <c r="J1709" s="57" t="str">
        <f aca="false">IF($I1709="","",INDEX(BookRate,1704)*(1+'5. Scenarios'!$C$10)*$I1709)</f>
        <v/>
      </c>
      <c r="K1709" s="57" t="str">
        <f aca="false">IF($J1709="","",SUMIFS($J$6:$J$2405,$A$6:$A$2405,"&lt;="&amp;$A1709))</f>
        <v/>
      </c>
      <c r="L1709" s="57" t="str">
        <f aca="false">IF($J1709="","",IF($K1709&lt;=BankCostEnvelope*'5. Scenarios'!$C$7,1,0))</f>
        <v/>
      </c>
      <c r="M1709" s="57" t="str">
        <f aca="false">IF($I1709="","",INDEX(BookRate,1704)*(1+'5. Scenarios'!$C$10)*(INDEX(BookQ1,1704)*(5-MIN(4,1+'5. Scenarios'!$C$8))/4+INDEX(BookQ2,1704)*(5-MIN(4,2+'5. Scenarios'!$C$8))/4+INDEX(BookQ3,1704)*(5-MIN(4,3+'5. Scenarios'!$C$8))/4+INDEX(BookQ4,1704)*(5-MIN(4,4+'5. Scenarios'!$C$8))/4)*'5. Scenarios'!$C$6/(1+ProductivityDefault*('5. Scenarios'!$C$11-1))+INDEX(BookOneOff,1704)*$I1709)</f>
        <v/>
      </c>
      <c r="N1709" s="56" t="str">
        <f aca="false">IF(INDEX(BookTitle,1704)="","",INDEX(BookTotal,1704)*'5. Scenarios'!$D$6/(1+ProductivityDefault*('5. Scenarios'!$D$11-1)))</f>
        <v/>
      </c>
      <c r="O1709" s="57" t="str">
        <f aca="false">IF($N1709="","",INDEX(BookRate,1704)*(1+'5. Scenarios'!$D$10)*$N1709)</f>
        <v/>
      </c>
      <c r="P1709" s="57" t="str">
        <f aca="false">IF($O1709="","",SUMIFS($O$6:$O$2405,$A$6:$A$2405,"&lt;="&amp;$A1709))</f>
        <v/>
      </c>
      <c r="Q1709" s="57" t="str">
        <f aca="false">IF($O1709="","",IF($P1709&lt;=BankCostEnvelope*'5. Scenarios'!$D$7,1,0))</f>
        <v/>
      </c>
      <c r="R1709" s="57" t="str">
        <f aca="false">IF($N1709="","",INDEX(BookRate,1704)*(1+'5. Scenarios'!$D$10)*(INDEX(BookQ1,1704)*(5-MIN(4,1+'5. Scenarios'!$D$8))/4+INDEX(BookQ2,1704)*(5-MIN(4,2+'5. Scenarios'!$D$8))/4+INDEX(BookQ3,1704)*(5-MIN(4,3+'5. Scenarios'!$D$8))/4+INDEX(BookQ4,1704)*(5-MIN(4,4+'5. Scenarios'!$D$8))/4)*'5. Scenarios'!$D$6/(1+ProductivityDefault*('5. Scenarios'!$D$11-1))+INDEX(BookOneOff,1704)*$N1709)</f>
        <v/>
      </c>
      <c r="S1709" s="56" t="str">
        <f aca="false">IF(INDEX(BookTitle,1704)="","",INDEX(BookTotal,1704)*'5. Scenarios'!$E$6/(1+ProductivityDefault*('5. Scenarios'!$E$11-1)))</f>
        <v/>
      </c>
      <c r="T1709" s="57" t="str">
        <f aca="false">IF($S1709="","",INDEX(BookRate,1704)*(1+'5. Scenarios'!$E$10)*$S1709)</f>
        <v/>
      </c>
      <c r="U1709" s="57" t="str">
        <f aca="false">IF($T1709="","",SUMIFS($T$6:$T$2405,$A$6:$A$2405,"&lt;="&amp;$A1709))</f>
        <v/>
      </c>
      <c r="V1709" s="57" t="str">
        <f aca="false">IF($T1709="","",IF($U1709&lt;=BankCostEnvelope*'5. Scenarios'!$E$7,1,0))</f>
        <v/>
      </c>
      <c r="W1709" s="57" t="str">
        <f aca="false">IF($S1709="","",INDEX(BookRate,1704)*(1+'5. Scenarios'!$E$10)*(INDEX(BookQ1,1704)*(5-MIN(4,1+'5. Scenarios'!$E$8))/4+INDEX(BookQ2,1704)*(5-MIN(4,2+'5. Scenarios'!$E$8))/4+INDEX(BookQ3,1704)*(5-MIN(4,3+'5. Scenarios'!$E$8))/4+INDEX(BookQ4,1704)*(5-MIN(4,4+'5. Scenarios'!$E$8))/4)*'5. Scenarios'!$E$6/(1+ProductivityDefault*('5. Scenarios'!$E$11-1))+INDEX(BookOneOff,1704)*$S1709)</f>
        <v/>
      </c>
    </row>
    <row r="1710" customFormat="false" ht="15" hidden="false" customHeight="false" outlineLevel="0" collapsed="false">
      <c r="A1710" s="0" t="str">
        <f aca="false">IF(INDEX(BookTitle,1705)="","",INDEX(BookKey,1705))</f>
        <v/>
      </c>
      <c r="B1710" s="0" t="str">
        <f aca="false">IF(INDEX(BookTitle,1705)="","",INDEX(BookGroup,1705))</f>
        <v/>
      </c>
      <c r="C1710" s="0" t="str">
        <f aca="false">IF(INDEX(BookTitle,1705)="","",INDEX(BookCategory,1705))</f>
        <v/>
      </c>
      <c r="D1710" s="56" t="str">
        <f aca="false">IF(INDEX(BookTitle,1705)="","",INDEX(BookTotal,1705)*'5. Scenarios'!$B$6/(1+ProductivityDefault*('5. Scenarios'!$B$11-1)))</f>
        <v/>
      </c>
      <c r="E1710" s="57" t="str">
        <f aca="false">IF($D1710="","",INDEX(BookRate,1705)*(1+'5. Scenarios'!$B$10)*$D1710)</f>
        <v/>
      </c>
      <c r="F1710" s="57" t="str">
        <f aca="false">IF($E1710="","",SUMIFS($E$6:$E$2405,$A$6:$A$2405,"&lt;="&amp;$A1710))</f>
        <v/>
      </c>
      <c r="G1710" s="57" t="str">
        <f aca="false">IF($E1710="","",IF($F1710&lt;=BankCostEnvelope*'5. Scenarios'!$B$7,1,0))</f>
        <v/>
      </c>
      <c r="H1710" s="57" t="str">
        <f aca="false">IF($D1710="","",INDEX(BookRate,1705)*(1+'5. Scenarios'!$B$10)*(INDEX(BookQ1,1705)*(5-MIN(4,1+'5. Scenarios'!$B$8))/4+INDEX(BookQ2,1705)*(5-MIN(4,2+'5. Scenarios'!$B$8))/4+INDEX(BookQ3,1705)*(5-MIN(4,3+'5. Scenarios'!$B$8))/4+INDEX(BookQ4,1705)*(5-MIN(4,4+'5. Scenarios'!$B$8))/4)*'5. Scenarios'!$B$6/(1+ProductivityDefault*('5. Scenarios'!$B$11-1))+INDEX(BookOneOff,1705)*$D1710)</f>
        <v/>
      </c>
      <c r="I1710" s="56" t="str">
        <f aca="false">IF(INDEX(BookTitle,1705)="","",INDEX(BookTotal,1705)*'5. Scenarios'!$C$6/(1+ProductivityDefault*('5. Scenarios'!$C$11-1)))</f>
        <v/>
      </c>
      <c r="J1710" s="57" t="str">
        <f aca="false">IF($I1710="","",INDEX(BookRate,1705)*(1+'5. Scenarios'!$C$10)*$I1710)</f>
        <v/>
      </c>
      <c r="K1710" s="57" t="str">
        <f aca="false">IF($J1710="","",SUMIFS($J$6:$J$2405,$A$6:$A$2405,"&lt;="&amp;$A1710))</f>
        <v/>
      </c>
      <c r="L1710" s="57" t="str">
        <f aca="false">IF($J1710="","",IF($K1710&lt;=BankCostEnvelope*'5. Scenarios'!$C$7,1,0))</f>
        <v/>
      </c>
      <c r="M1710" s="57" t="str">
        <f aca="false">IF($I1710="","",INDEX(BookRate,1705)*(1+'5. Scenarios'!$C$10)*(INDEX(BookQ1,1705)*(5-MIN(4,1+'5. Scenarios'!$C$8))/4+INDEX(BookQ2,1705)*(5-MIN(4,2+'5. Scenarios'!$C$8))/4+INDEX(BookQ3,1705)*(5-MIN(4,3+'5. Scenarios'!$C$8))/4+INDEX(BookQ4,1705)*(5-MIN(4,4+'5. Scenarios'!$C$8))/4)*'5. Scenarios'!$C$6/(1+ProductivityDefault*('5. Scenarios'!$C$11-1))+INDEX(BookOneOff,1705)*$I1710)</f>
        <v/>
      </c>
      <c r="N1710" s="56" t="str">
        <f aca="false">IF(INDEX(BookTitle,1705)="","",INDEX(BookTotal,1705)*'5. Scenarios'!$D$6/(1+ProductivityDefault*('5. Scenarios'!$D$11-1)))</f>
        <v/>
      </c>
      <c r="O1710" s="57" t="str">
        <f aca="false">IF($N1710="","",INDEX(BookRate,1705)*(1+'5. Scenarios'!$D$10)*$N1710)</f>
        <v/>
      </c>
      <c r="P1710" s="57" t="str">
        <f aca="false">IF($O1710="","",SUMIFS($O$6:$O$2405,$A$6:$A$2405,"&lt;="&amp;$A1710))</f>
        <v/>
      </c>
      <c r="Q1710" s="57" t="str">
        <f aca="false">IF($O1710="","",IF($P1710&lt;=BankCostEnvelope*'5. Scenarios'!$D$7,1,0))</f>
        <v/>
      </c>
      <c r="R1710" s="57" t="str">
        <f aca="false">IF($N1710="","",INDEX(BookRate,1705)*(1+'5. Scenarios'!$D$10)*(INDEX(BookQ1,1705)*(5-MIN(4,1+'5. Scenarios'!$D$8))/4+INDEX(BookQ2,1705)*(5-MIN(4,2+'5. Scenarios'!$D$8))/4+INDEX(BookQ3,1705)*(5-MIN(4,3+'5. Scenarios'!$D$8))/4+INDEX(BookQ4,1705)*(5-MIN(4,4+'5. Scenarios'!$D$8))/4)*'5. Scenarios'!$D$6/(1+ProductivityDefault*('5. Scenarios'!$D$11-1))+INDEX(BookOneOff,1705)*$N1710)</f>
        <v/>
      </c>
      <c r="S1710" s="56" t="str">
        <f aca="false">IF(INDEX(BookTitle,1705)="","",INDEX(BookTotal,1705)*'5. Scenarios'!$E$6/(1+ProductivityDefault*('5. Scenarios'!$E$11-1)))</f>
        <v/>
      </c>
      <c r="T1710" s="57" t="str">
        <f aca="false">IF($S1710="","",INDEX(BookRate,1705)*(1+'5. Scenarios'!$E$10)*$S1710)</f>
        <v/>
      </c>
      <c r="U1710" s="57" t="str">
        <f aca="false">IF($T1710="","",SUMIFS($T$6:$T$2405,$A$6:$A$2405,"&lt;="&amp;$A1710))</f>
        <v/>
      </c>
      <c r="V1710" s="57" t="str">
        <f aca="false">IF($T1710="","",IF($U1710&lt;=BankCostEnvelope*'5. Scenarios'!$E$7,1,0))</f>
        <v/>
      </c>
      <c r="W1710" s="57" t="str">
        <f aca="false">IF($S1710="","",INDEX(BookRate,1705)*(1+'5. Scenarios'!$E$10)*(INDEX(BookQ1,1705)*(5-MIN(4,1+'5. Scenarios'!$E$8))/4+INDEX(BookQ2,1705)*(5-MIN(4,2+'5. Scenarios'!$E$8))/4+INDEX(BookQ3,1705)*(5-MIN(4,3+'5. Scenarios'!$E$8))/4+INDEX(BookQ4,1705)*(5-MIN(4,4+'5. Scenarios'!$E$8))/4)*'5. Scenarios'!$E$6/(1+ProductivityDefault*('5. Scenarios'!$E$11-1))+INDEX(BookOneOff,1705)*$S1710)</f>
        <v/>
      </c>
    </row>
    <row r="1711" customFormat="false" ht="15" hidden="false" customHeight="false" outlineLevel="0" collapsed="false">
      <c r="A1711" s="0" t="str">
        <f aca="false">IF(INDEX(BookTitle,1706)="","",INDEX(BookKey,1706))</f>
        <v/>
      </c>
      <c r="B1711" s="0" t="str">
        <f aca="false">IF(INDEX(BookTitle,1706)="","",INDEX(BookGroup,1706))</f>
        <v/>
      </c>
      <c r="C1711" s="0" t="str">
        <f aca="false">IF(INDEX(BookTitle,1706)="","",INDEX(BookCategory,1706))</f>
        <v/>
      </c>
      <c r="D1711" s="56" t="str">
        <f aca="false">IF(INDEX(BookTitle,1706)="","",INDEX(BookTotal,1706)*'5. Scenarios'!$B$6/(1+ProductivityDefault*('5. Scenarios'!$B$11-1)))</f>
        <v/>
      </c>
      <c r="E1711" s="57" t="str">
        <f aca="false">IF($D1711="","",INDEX(BookRate,1706)*(1+'5. Scenarios'!$B$10)*$D1711)</f>
        <v/>
      </c>
      <c r="F1711" s="57" t="str">
        <f aca="false">IF($E1711="","",SUMIFS($E$6:$E$2405,$A$6:$A$2405,"&lt;="&amp;$A1711))</f>
        <v/>
      </c>
      <c r="G1711" s="57" t="str">
        <f aca="false">IF($E1711="","",IF($F1711&lt;=BankCostEnvelope*'5. Scenarios'!$B$7,1,0))</f>
        <v/>
      </c>
      <c r="H1711" s="57" t="str">
        <f aca="false">IF($D1711="","",INDEX(BookRate,1706)*(1+'5. Scenarios'!$B$10)*(INDEX(BookQ1,1706)*(5-MIN(4,1+'5. Scenarios'!$B$8))/4+INDEX(BookQ2,1706)*(5-MIN(4,2+'5. Scenarios'!$B$8))/4+INDEX(BookQ3,1706)*(5-MIN(4,3+'5. Scenarios'!$B$8))/4+INDEX(BookQ4,1706)*(5-MIN(4,4+'5. Scenarios'!$B$8))/4)*'5. Scenarios'!$B$6/(1+ProductivityDefault*('5. Scenarios'!$B$11-1))+INDEX(BookOneOff,1706)*$D1711)</f>
        <v/>
      </c>
      <c r="I1711" s="56" t="str">
        <f aca="false">IF(INDEX(BookTitle,1706)="","",INDEX(BookTotal,1706)*'5. Scenarios'!$C$6/(1+ProductivityDefault*('5. Scenarios'!$C$11-1)))</f>
        <v/>
      </c>
      <c r="J1711" s="57" t="str">
        <f aca="false">IF($I1711="","",INDEX(BookRate,1706)*(1+'5. Scenarios'!$C$10)*$I1711)</f>
        <v/>
      </c>
      <c r="K1711" s="57" t="str">
        <f aca="false">IF($J1711="","",SUMIFS($J$6:$J$2405,$A$6:$A$2405,"&lt;="&amp;$A1711))</f>
        <v/>
      </c>
      <c r="L1711" s="57" t="str">
        <f aca="false">IF($J1711="","",IF($K1711&lt;=BankCostEnvelope*'5. Scenarios'!$C$7,1,0))</f>
        <v/>
      </c>
      <c r="M1711" s="57" t="str">
        <f aca="false">IF($I1711="","",INDEX(BookRate,1706)*(1+'5. Scenarios'!$C$10)*(INDEX(BookQ1,1706)*(5-MIN(4,1+'5. Scenarios'!$C$8))/4+INDEX(BookQ2,1706)*(5-MIN(4,2+'5. Scenarios'!$C$8))/4+INDEX(BookQ3,1706)*(5-MIN(4,3+'5. Scenarios'!$C$8))/4+INDEX(BookQ4,1706)*(5-MIN(4,4+'5. Scenarios'!$C$8))/4)*'5. Scenarios'!$C$6/(1+ProductivityDefault*('5. Scenarios'!$C$11-1))+INDEX(BookOneOff,1706)*$I1711)</f>
        <v/>
      </c>
      <c r="N1711" s="56" t="str">
        <f aca="false">IF(INDEX(BookTitle,1706)="","",INDEX(BookTotal,1706)*'5. Scenarios'!$D$6/(1+ProductivityDefault*('5. Scenarios'!$D$11-1)))</f>
        <v/>
      </c>
      <c r="O1711" s="57" t="str">
        <f aca="false">IF($N1711="","",INDEX(BookRate,1706)*(1+'5. Scenarios'!$D$10)*$N1711)</f>
        <v/>
      </c>
      <c r="P1711" s="57" t="str">
        <f aca="false">IF($O1711="","",SUMIFS($O$6:$O$2405,$A$6:$A$2405,"&lt;="&amp;$A1711))</f>
        <v/>
      </c>
      <c r="Q1711" s="57" t="str">
        <f aca="false">IF($O1711="","",IF($P1711&lt;=BankCostEnvelope*'5. Scenarios'!$D$7,1,0))</f>
        <v/>
      </c>
      <c r="R1711" s="57" t="str">
        <f aca="false">IF($N1711="","",INDEX(BookRate,1706)*(1+'5. Scenarios'!$D$10)*(INDEX(BookQ1,1706)*(5-MIN(4,1+'5. Scenarios'!$D$8))/4+INDEX(BookQ2,1706)*(5-MIN(4,2+'5. Scenarios'!$D$8))/4+INDEX(BookQ3,1706)*(5-MIN(4,3+'5. Scenarios'!$D$8))/4+INDEX(BookQ4,1706)*(5-MIN(4,4+'5. Scenarios'!$D$8))/4)*'5. Scenarios'!$D$6/(1+ProductivityDefault*('5. Scenarios'!$D$11-1))+INDEX(BookOneOff,1706)*$N1711)</f>
        <v/>
      </c>
      <c r="S1711" s="56" t="str">
        <f aca="false">IF(INDEX(BookTitle,1706)="","",INDEX(BookTotal,1706)*'5. Scenarios'!$E$6/(1+ProductivityDefault*('5. Scenarios'!$E$11-1)))</f>
        <v/>
      </c>
      <c r="T1711" s="57" t="str">
        <f aca="false">IF($S1711="","",INDEX(BookRate,1706)*(1+'5. Scenarios'!$E$10)*$S1711)</f>
        <v/>
      </c>
      <c r="U1711" s="57" t="str">
        <f aca="false">IF($T1711="","",SUMIFS($T$6:$T$2405,$A$6:$A$2405,"&lt;="&amp;$A1711))</f>
        <v/>
      </c>
      <c r="V1711" s="57" t="str">
        <f aca="false">IF($T1711="","",IF($U1711&lt;=BankCostEnvelope*'5. Scenarios'!$E$7,1,0))</f>
        <v/>
      </c>
      <c r="W1711" s="57" t="str">
        <f aca="false">IF($S1711="","",INDEX(BookRate,1706)*(1+'5. Scenarios'!$E$10)*(INDEX(BookQ1,1706)*(5-MIN(4,1+'5. Scenarios'!$E$8))/4+INDEX(BookQ2,1706)*(5-MIN(4,2+'5. Scenarios'!$E$8))/4+INDEX(BookQ3,1706)*(5-MIN(4,3+'5. Scenarios'!$E$8))/4+INDEX(BookQ4,1706)*(5-MIN(4,4+'5. Scenarios'!$E$8))/4)*'5. Scenarios'!$E$6/(1+ProductivityDefault*('5. Scenarios'!$E$11-1))+INDEX(BookOneOff,1706)*$S1711)</f>
        <v/>
      </c>
    </row>
    <row r="1712" customFormat="false" ht="15" hidden="false" customHeight="false" outlineLevel="0" collapsed="false">
      <c r="A1712" s="0" t="str">
        <f aca="false">IF(INDEX(BookTitle,1707)="","",INDEX(BookKey,1707))</f>
        <v/>
      </c>
      <c r="B1712" s="0" t="str">
        <f aca="false">IF(INDEX(BookTitle,1707)="","",INDEX(BookGroup,1707))</f>
        <v/>
      </c>
      <c r="C1712" s="0" t="str">
        <f aca="false">IF(INDEX(BookTitle,1707)="","",INDEX(BookCategory,1707))</f>
        <v/>
      </c>
      <c r="D1712" s="56" t="str">
        <f aca="false">IF(INDEX(BookTitle,1707)="","",INDEX(BookTotal,1707)*'5. Scenarios'!$B$6/(1+ProductivityDefault*('5. Scenarios'!$B$11-1)))</f>
        <v/>
      </c>
      <c r="E1712" s="57" t="str">
        <f aca="false">IF($D1712="","",INDEX(BookRate,1707)*(1+'5. Scenarios'!$B$10)*$D1712)</f>
        <v/>
      </c>
      <c r="F1712" s="57" t="str">
        <f aca="false">IF($E1712="","",SUMIFS($E$6:$E$2405,$A$6:$A$2405,"&lt;="&amp;$A1712))</f>
        <v/>
      </c>
      <c r="G1712" s="57" t="str">
        <f aca="false">IF($E1712="","",IF($F1712&lt;=BankCostEnvelope*'5. Scenarios'!$B$7,1,0))</f>
        <v/>
      </c>
      <c r="H1712" s="57" t="str">
        <f aca="false">IF($D1712="","",INDEX(BookRate,1707)*(1+'5. Scenarios'!$B$10)*(INDEX(BookQ1,1707)*(5-MIN(4,1+'5. Scenarios'!$B$8))/4+INDEX(BookQ2,1707)*(5-MIN(4,2+'5. Scenarios'!$B$8))/4+INDEX(BookQ3,1707)*(5-MIN(4,3+'5. Scenarios'!$B$8))/4+INDEX(BookQ4,1707)*(5-MIN(4,4+'5. Scenarios'!$B$8))/4)*'5. Scenarios'!$B$6/(1+ProductivityDefault*('5. Scenarios'!$B$11-1))+INDEX(BookOneOff,1707)*$D1712)</f>
        <v/>
      </c>
      <c r="I1712" s="56" t="str">
        <f aca="false">IF(INDEX(BookTitle,1707)="","",INDEX(BookTotal,1707)*'5. Scenarios'!$C$6/(1+ProductivityDefault*('5. Scenarios'!$C$11-1)))</f>
        <v/>
      </c>
      <c r="J1712" s="57" t="str">
        <f aca="false">IF($I1712="","",INDEX(BookRate,1707)*(1+'5. Scenarios'!$C$10)*$I1712)</f>
        <v/>
      </c>
      <c r="K1712" s="57" t="str">
        <f aca="false">IF($J1712="","",SUMIFS($J$6:$J$2405,$A$6:$A$2405,"&lt;="&amp;$A1712))</f>
        <v/>
      </c>
      <c r="L1712" s="57" t="str">
        <f aca="false">IF($J1712="","",IF($K1712&lt;=BankCostEnvelope*'5. Scenarios'!$C$7,1,0))</f>
        <v/>
      </c>
      <c r="M1712" s="57" t="str">
        <f aca="false">IF($I1712="","",INDEX(BookRate,1707)*(1+'5. Scenarios'!$C$10)*(INDEX(BookQ1,1707)*(5-MIN(4,1+'5. Scenarios'!$C$8))/4+INDEX(BookQ2,1707)*(5-MIN(4,2+'5. Scenarios'!$C$8))/4+INDEX(BookQ3,1707)*(5-MIN(4,3+'5. Scenarios'!$C$8))/4+INDEX(BookQ4,1707)*(5-MIN(4,4+'5. Scenarios'!$C$8))/4)*'5. Scenarios'!$C$6/(1+ProductivityDefault*('5. Scenarios'!$C$11-1))+INDEX(BookOneOff,1707)*$I1712)</f>
        <v/>
      </c>
      <c r="N1712" s="56" t="str">
        <f aca="false">IF(INDEX(BookTitle,1707)="","",INDEX(BookTotal,1707)*'5. Scenarios'!$D$6/(1+ProductivityDefault*('5. Scenarios'!$D$11-1)))</f>
        <v/>
      </c>
      <c r="O1712" s="57" t="str">
        <f aca="false">IF($N1712="","",INDEX(BookRate,1707)*(1+'5. Scenarios'!$D$10)*$N1712)</f>
        <v/>
      </c>
      <c r="P1712" s="57" t="str">
        <f aca="false">IF($O1712="","",SUMIFS($O$6:$O$2405,$A$6:$A$2405,"&lt;="&amp;$A1712))</f>
        <v/>
      </c>
      <c r="Q1712" s="57" t="str">
        <f aca="false">IF($O1712="","",IF($P1712&lt;=BankCostEnvelope*'5. Scenarios'!$D$7,1,0))</f>
        <v/>
      </c>
      <c r="R1712" s="57" t="str">
        <f aca="false">IF($N1712="","",INDEX(BookRate,1707)*(1+'5. Scenarios'!$D$10)*(INDEX(BookQ1,1707)*(5-MIN(4,1+'5. Scenarios'!$D$8))/4+INDEX(BookQ2,1707)*(5-MIN(4,2+'5. Scenarios'!$D$8))/4+INDEX(BookQ3,1707)*(5-MIN(4,3+'5. Scenarios'!$D$8))/4+INDEX(BookQ4,1707)*(5-MIN(4,4+'5. Scenarios'!$D$8))/4)*'5. Scenarios'!$D$6/(1+ProductivityDefault*('5. Scenarios'!$D$11-1))+INDEX(BookOneOff,1707)*$N1712)</f>
        <v/>
      </c>
      <c r="S1712" s="56" t="str">
        <f aca="false">IF(INDEX(BookTitle,1707)="","",INDEX(BookTotal,1707)*'5. Scenarios'!$E$6/(1+ProductivityDefault*('5. Scenarios'!$E$11-1)))</f>
        <v/>
      </c>
      <c r="T1712" s="57" t="str">
        <f aca="false">IF($S1712="","",INDEX(BookRate,1707)*(1+'5. Scenarios'!$E$10)*$S1712)</f>
        <v/>
      </c>
      <c r="U1712" s="57" t="str">
        <f aca="false">IF($T1712="","",SUMIFS($T$6:$T$2405,$A$6:$A$2405,"&lt;="&amp;$A1712))</f>
        <v/>
      </c>
      <c r="V1712" s="57" t="str">
        <f aca="false">IF($T1712="","",IF($U1712&lt;=BankCostEnvelope*'5. Scenarios'!$E$7,1,0))</f>
        <v/>
      </c>
      <c r="W1712" s="57" t="str">
        <f aca="false">IF($S1712="","",INDEX(BookRate,1707)*(1+'5. Scenarios'!$E$10)*(INDEX(BookQ1,1707)*(5-MIN(4,1+'5. Scenarios'!$E$8))/4+INDEX(BookQ2,1707)*(5-MIN(4,2+'5. Scenarios'!$E$8))/4+INDEX(BookQ3,1707)*(5-MIN(4,3+'5. Scenarios'!$E$8))/4+INDEX(BookQ4,1707)*(5-MIN(4,4+'5. Scenarios'!$E$8))/4)*'5. Scenarios'!$E$6/(1+ProductivityDefault*('5. Scenarios'!$E$11-1))+INDEX(BookOneOff,1707)*$S1712)</f>
        <v/>
      </c>
    </row>
    <row r="1713" customFormat="false" ht="15" hidden="false" customHeight="false" outlineLevel="0" collapsed="false">
      <c r="A1713" s="0" t="str">
        <f aca="false">IF(INDEX(BookTitle,1708)="","",INDEX(BookKey,1708))</f>
        <v/>
      </c>
      <c r="B1713" s="0" t="str">
        <f aca="false">IF(INDEX(BookTitle,1708)="","",INDEX(BookGroup,1708))</f>
        <v/>
      </c>
      <c r="C1713" s="0" t="str">
        <f aca="false">IF(INDEX(BookTitle,1708)="","",INDEX(BookCategory,1708))</f>
        <v/>
      </c>
      <c r="D1713" s="56" t="str">
        <f aca="false">IF(INDEX(BookTitle,1708)="","",INDEX(BookTotal,1708)*'5. Scenarios'!$B$6/(1+ProductivityDefault*('5. Scenarios'!$B$11-1)))</f>
        <v/>
      </c>
      <c r="E1713" s="57" t="str">
        <f aca="false">IF($D1713="","",INDEX(BookRate,1708)*(1+'5. Scenarios'!$B$10)*$D1713)</f>
        <v/>
      </c>
      <c r="F1713" s="57" t="str">
        <f aca="false">IF($E1713="","",SUMIFS($E$6:$E$2405,$A$6:$A$2405,"&lt;="&amp;$A1713))</f>
        <v/>
      </c>
      <c r="G1713" s="57" t="str">
        <f aca="false">IF($E1713="","",IF($F1713&lt;=BankCostEnvelope*'5. Scenarios'!$B$7,1,0))</f>
        <v/>
      </c>
      <c r="H1713" s="57" t="str">
        <f aca="false">IF($D1713="","",INDEX(BookRate,1708)*(1+'5. Scenarios'!$B$10)*(INDEX(BookQ1,1708)*(5-MIN(4,1+'5. Scenarios'!$B$8))/4+INDEX(BookQ2,1708)*(5-MIN(4,2+'5. Scenarios'!$B$8))/4+INDEX(BookQ3,1708)*(5-MIN(4,3+'5. Scenarios'!$B$8))/4+INDEX(BookQ4,1708)*(5-MIN(4,4+'5. Scenarios'!$B$8))/4)*'5. Scenarios'!$B$6/(1+ProductivityDefault*('5. Scenarios'!$B$11-1))+INDEX(BookOneOff,1708)*$D1713)</f>
        <v/>
      </c>
      <c r="I1713" s="56" t="str">
        <f aca="false">IF(INDEX(BookTitle,1708)="","",INDEX(BookTotal,1708)*'5. Scenarios'!$C$6/(1+ProductivityDefault*('5. Scenarios'!$C$11-1)))</f>
        <v/>
      </c>
      <c r="J1713" s="57" t="str">
        <f aca="false">IF($I1713="","",INDEX(BookRate,1708)*(1+'5. Scenarios'!$C$10)*$I1713)</f>
        <v/>
      </c>
      <c r="K1713" s="57" t="str">
        <f aca="false">IF($J1713="","",SUMIFS($J$6:$J$2405,$A$6:$A$2405,"&lt;="&amp;$A1713))</f>
        <v/>
      </c>
      <c r="L1713" s="57" t="str">
        <f aca="false">IF($J1713="","",IF($K1713&lt;=BankCostEnvelope*'5. Scenarios'!$C$7,1,0))</f>
        <v/>
      </c>
      <c r="M1713" s="57" t="str">
        <f aca="false">IF($I1713="","",INDEX(BookRate,1708)*(1+'5. Scenarios'!$C$10)*(INDEX(BookQ1,1708)*(5-MIN(4,1+'5. Scenarios'!$C$8))/4+INDEX(BookQ2,1708)*(5-MIN(4,2+'5. Scenarios'!$C$8))/4+INDEX(BookQ3,1708)*(5-MIN(4,3+'5. Scenarios'!$C$8))/4+INDEX(BookQ4,1708)*(5-MIN(4,4+'5. Scenarios'!$C$8))/4)*'5. Scenarios'!$C$6/(1+ProductivityDefault*('5. Scenarios'!$C$11-1))+INDEX(BookOneOff,1708)*$I1713)</f>
        <v/>
      </c>
      <c r="N1713" s="56" t="str">
        <f aca="false">IF(INDEX(BookTitle,1708)="","",INDEX(BookTotal,1708)*'5. Scenarios'!$D$6/(1+ProductivityDefault*('5. Scenarios'!$D$11-1)))</f>
        <v/>
      </c>
      <c r="O1713" s="57" t="str">
        <f aca="false">IF($N1713="","",INDEX(BookRate,1708)*(1+'5. Scenarios'!$D$10)*$N1713)</f>
        <v/>
      </c>
      <c r="P1713" s="57" t="str">
        <f aca="false">IF($O1713="","",SUMIFS($O$6:$O$2405,$A$6:$A$2405,"&lt;="&amp;$A1713))</f>
        <v/>
      </c>
      <c r="Q1713" s="57" t="str">
        <f aca="false">IF($O1713="","",IF($P1713&lt;=BankCostEnvelope*'5. Scenarios'!$D$7,1,0))</f>
        <v/>
      </c>
      <c r="R1713" s="57" t="str">
        <f aca="false">IF($N1713="","",INDEX(BookRate,1708)*(1+'5. Scenarios'!$D$10)*(INDEX(BookQ1,1708)*(5-MIN(4,1+'5. Scenarios'!$D$8))/4+INDEX(BookQ2,1708)*(5-MIN(4,2+'5. Scenarios'!$D$8))/4+INDEX(BookQ3,1708)*(5-MIN(4,3+'5. Scenarios'!$D$8))/4+INDEX(BookQ4,1708)*(5-MIN(4,4+'5. Scenarios'!$D$8))/4)*'5. Scenarios'!$D$6/(1+ProductivityDefault*('5. Scenarios'!$D$11-1))+INDEX(BookOneOff,1708)*$N1713)</f>
        <v/>
      </c>
      <c r="S1713" s="56" t="str">
        <f aca="false">IF(INDEX(BookTitle,1708)="","",INDEX(BookTotal,1708)*'5. Scenarios'!$E$6/(1+ProductivityDefault*('5. Scenarios'!$E$11-1)))</f>
        <v/>
      </c>
      <c r="T1713" s="57" t="str">
        <f aca="false">IF($S1713="","",INDEX(BookRate,1708)*(1+'5. Scenarios'!$E$10)*$S1713)</f>
        <v/>
      </c>
      <c r="U1713" s="57" t="str">
        <f aca="false">IF($T1713="","",SUMIFS($T$6:$T$2405,$A$6:$A$2405,"&lt;="&amp;$A1713))</f>
        <v/>
      </c>
      <c r="V1713" s="57" t="str">
        <f aca="false">IF($T1713="","",IF($U1713&lt;=BankCostEnvelope*'5. Scenarios'!$E$7,1,0))</f>
        <v/>
      </c>
      <c r="W1713" s="57" t="str">
        <f aca="false">IF($S1713="","",INDEX(BookRate,1708)*(1+'5. Scenarios'!$E$10)*(INDEX(BookQ1,1708)*(5-MIN(4,1+'5. Scenarios'!$E$8))/4+INDEX(BookQ2,1708)*(5-MIN(4,2+'5. Scenarios'!$E$8))/4+INDEX(BookQ3,1708)*(5-MIN(4,3+'5. Scenarios'!$E$8))/4+INDEX(BookQ4,1708)*(5-MIN(4,4+'5. Scenarios'!$E$8))/4)*'5. Scenarios'!$E$6/(1+ProductivityDefault*('5. Scenarios'!$E$11-1))+INDEX(BookOneOff,1708)*$S1713)</f>
        <v/>
      </c>
    </row>
    <row r="1714" customFormat="false" ht="15" hidden="false" customHeight="false" outlineLevel="0" collapsed="false">
      <c r="A1714" s="0" t="str">
        <f aca="false">IF(INDEX(BookTitle,1709)="","",INDEX(BookKey,1709))</f>
        <v/>
      </c>
      <c r="B1714" s="0" t="str">
        <f aca="false">IF(INDEX(BookTitle,1709)="","",INDEX(BookGroup,1709))</f>
        <v/>
      </c>
      <c r="C1714" s="0" t="str">
        <f aca="false">IF(INDEX(BookTitle,1709)="","",INDEX(BookCategory,1709))</f>
        <v/>
      </c>
      <c r="D1714" s="56" t="str">
        <f aca="false">IF(INDEX(BookTitle,1709)="","",INDEX(BookTotal,1709)*'5. Scenarios'!$B$6/(1+ProductivityDefault*('5. Scenarios'!$B$11-1)))</f>
        <v/>
      </c>
      <c r="E1714" s="57" t="str">
        <f aca="false">IF($D1714="","",INDEX(BookRate,1709)*(1+'5. Scenarios'!$B$10)*$D1714)</f>
        <v/>
      </c>
      <c r="F1714" s="57" t="str">
        <f aca="false">IF($E1714="","",SUMIFS($E$6:$E$2405,$A$6:$A$2405,"&lt;="&amp;$A1714))</f>
        <v/>
      </c>
      <c r="G1714" s="57" t="str">
        <f aca="false">IF($E1714="","",IF($F1714&lt;=BankCostEnvelope*'5. Scenarios'!$B$7,1,0))</f>
        <v/>
      </c>
      <c r="H1714" s="57" t="str">
        <f aca="false">IF($D1714="","",INDEX(BookRate,1709)*(1+'5. Scenarios'!$B$10)*(INDEX(BookQ1,1709)*(5-MIN(4,1+'5. Scenarios'!$B$8))/4+INDEX(BookQ2,1709)*(5-MIN(4,2+'5. Scenarios'!$B$8))/4+INDEX(BookQ3,1709)*(5-MIN(4,3+'5. Scenarios'!$B$8))/4+INDEX(BookQ4,1709)*(5-MIN(4,4+'5. Scenarios'!$B$8))/4)*'5. Scenarios'!$B$6/(1+ProductivityDefault*('5. Scenarios'!$B$11-1))+INDEX(BookOneOff,1709)*$D1714)</f>
        <v/>
      </c>
      <c r="I1714" s="56" t="str">
        <f aca="false">IF(INDEX(BookTitle,1709)="","",INDEX(BookTotal,1709)*'5. Scenarios'!$C$6/(1+ProductivityDefault*('5. Scenarios'!$C$11-1)))</f>
        <v/>
      </c>
      <c r="J1714" s="57" t="str">
        <f aca="false">IF($I1714="","",INDEX(BookRate,1709)*(1+'5. Scenarios'!$C$10)*$I1714)</f>
        <v/>
      </c>
      <c r="K1714" s="57" t="str">
        <f aca="false">IF($J1714="","",SUMIFS($J$6:$J$2405,$A$6:$A$2405,"&lt;="&amp;$A1714))</f>
        <v/>
      </c>
      <c r="L1714" s="57" t="str">
        <f aca="false">IF($J1714="","",IF($K1714&lt;=BankCostEnvelope*'5. Scenarios'!$C$7,1,0))</f>
        <v/>
      </c>
      <c r="M1714" s="57" t="str">
        <f aca="false">IF($I1714="","",INDEX(BookRate,1709)*(1+'5. Scenarios'!$C$10)*(INDEX(BookQ1,1709)*(5-MIN(4,1+'5. Scenarios'!$C$8))/4+INDEX(BookQ2,1709)*(5-MIN(4,2+'5. Scenarios'!$C$8))/4+INDEX(BookQ3,1709)*(5-MIN(4,3+'5. Scenarios'!$C$8))/4+INDEX(BookQ4,1709)*(5-MIN(4,4+'5. Scenarios'!$C$8))/4)*'5. Scenarios'!$C$6/(1+ProductivityDefault*('5. Scenarios'!$C$11-1))+INDEX(BookOneOff,1709)*$I1714)</f>
        <v/>
      </c>
      <c r="N1714" s="56" t="str">
        <f aca="false">IF(INDEX(BookTitle,1709)="","",INDEX(BookTotal,1709)*'5. Scenarios'!$D$6/(1+ProductivityDefault*('5. Scenarios'!$D$11-1)))</f>
        <v/>
      </c>
      <c r="O1714" s="57" t="str">
        <f aca="false">IF($N1714="","",INDEX(BookRate,1709)*(1+'5. Scenarios'!$D$10)*$N1714)</f>
        <v/>
      </c>
      <c r="P1714" s="57" t="str">
        <f aca="false">IF($O1714="","",SUMIFS($O$6:$O$2405,$A$6:$A$2405,"&lt;="&amp;$A1714))</f>
        <v/>
      </c>
      <c r="Q1714" s="57" t="str">
        <f aca="false">IF($O1714="","",IF($P1714&lt;=BankCostEnvelope*'5. Scenarios'!$D$7,1,0))</f>
        <v/>
      </c>
      <c r="R1714" s="57" t="str">
        <f aca="false">IF($N1714="","",INDEX(BookRate,1709)*(1+'5. Scenarios'!$D$10)*(INDEX(BookQ1,1709)*(5-MIN(4,1+'5. Scenarios'!$D$8))/4+INDEX(BookQ2,1709)*(5-MIN(4,2+'5. Scenarios'!$D$8))/4+INDEX(BookQ3,1709)*(5-MIN(4,3+'5. Scenarios'!$D$8))/4+INDEX(BookQ4,1709)*(5-MIN(4,4+'5. Scenarios'!$D$8))/4)*'5. Scenarios'!$D$6/(1+ProductivityDefault*('5. Scenarios'!$D$11-1))+INDEX(BookOneOff,1709)*$N1714)</f>
        <v/>
      </c>
      <c r="S1714" s="56" t="str">
        <f aca="false">IF(INDEX(BookTitle,1709)="","",INDEX(BookTotal,1709)*'5. Scenarios'!$E$6/(1+ProductivityDefault*('5. Scenarios'!$E$11-1)))</f>
        <v/>
      </c>
      <c r="T1714" s="57" t="str">
        <f aca="false">IF($S1714="","",INDEX(BookRate,1709)*(1+'5. Scenarios'!$E$10)*$S1714)</f>
        <v/>
      </c>
      <c r="U1714" s="57" t="str">
        <f aca="false">IF($T1714="","",SUMIFS($T$6:$T$2405,$A$6:$A$2405,"&lt;="&amp;$A1714))</f>
        <v/>
      </c>
      <c r="V1714" s="57" t="str">
        <f aca="false">IF($T1714="","",IF($U1714&lt;=BankCostEnvelope*'5. Scenarios'!$E$7,1,0))</f>
        <v/>
      </c>
      <c r="W1714" s="57" t="str">
        <f aca="false">IF($S1714="","",INDEX(BookRate,1709)*(1+'5. Scenarios'!$E$10)*(INDEX(BookQ1,1709)*(5-MIN(4,1+'5. Scenarios'!$E$8))/4+INDEX(BookQ2,1709)*(5-MIN(4,2+'5. Scenarios'!$E$8))/4+INDEX(BookQ3,1709)*(5-MIN(4,3+'5. Scenarios'!$E$8))/4+INDEX(BookQ4,1709)*(5-MIN(4,4+'5. Scenarios'!$E$8))/4)*'5. Scenarios'!$E$6/(1+ProductivityDefault*('5. Scenarios'!$E$11-1))+INDEX(BookOneOff,1709)*$S1714)</f>
        <v/>
      </c>
    </row>
    <row r="1715" customFormat="false" ht="15" hidden="false" customHeight="false" outlineLevel="0" collapsed="false">
      <c r="A1715" s="0" t="str">
        <f aca="false">IF(INDEX(BookTitle,1710)="","",INDEX(BookKey,1710))</f>
        <v/>
      </c>
      <c r="B1715" s="0" t="str">
        <f aca="false">IF(INDEX(BookTitle,1710)="","",INDEX(BookGroup,1710))</f>
        <v/>
      </c>
      <c r="C1715" s="0" t="str">
        <f aca="false">IF(INDEX(BookTitle,1710)="","",INDEX(BookCategory,1710))</f>
        <v/>
      </c>
      <c r="D1715" s="56" t="str">
        <f aca="false">IF(INDEX(BookTitle,1710)="","",INDEX(BookTotal,1710)*'5. Scenarios'!$B$6/(1+ProductivityDefault*('5. Scenarios'!$B$11-1)))</f>
        <v/>
      </c>
      <c r="E1715" s="57" t="str">
        <f aca="false">IF($D1715="","",INDEX(BookRate,1710)*(1+'5. Scenarios'!$B$10)*$D1715)</f>
        <v/>
      </c>
      <c r="F1715" s="57" t="str">
        <f aca="false">IF($E1715="","",SUMIFS($E$6:$E$2405,$A$6:$A$2405,"&lt;="&amp;$A1715))</f>
        <v/>
      </c>
      <c r="G1715" s="57" t="str">
        <f aca="false">IF($E1715="","",IF($F1715&lt;=BankCostEnvelope*'5. Scenarios'!$B$7,1,0))</f>
        <v/>
      </c>
      <c r="H1715" s="57" t="str">
        <f aca="false">IF($D1715="","",INDEX(BookRate,1710)*(1+'5. Scenarios'!$B$10)*(INDEX(BookQ1,1710)*(5-MIN(4,1+'5. Scenarios'!$B$8))/4+INDEX(BookQ2,1710)*(5-MIN(4,2+'5. Scenarios'!$B$8))/4+INDEX(BookQ3,1710)*(5-MIN(4,3+'5. Scenarios'!$B$8))/4+INDEX(BookQ4,1710)*(5-MIN(4,4+'5. Scenarios'!$B$8))/4)*'5. Scenarios'!$B$6/(1+ProductivityDefault*('5. Scenarios'!$B$11-1))+INDEX(BookOneOff,1710)*$D1715)</f>
        <v/>
      </c>
      <c r="I1715" s="56" t="str">
        <f aca="false">IF(INDEX(BookTitle,1710)="","",INDEX(BookTotal,1710)*'5. Scenarios'!$C$6/(1+ProductivityDefault*('5. Scenarios'!$C$11-1)))</f>
        <v/>
      </c>
      <c r="J1715" s="57" t="str">
        <f aca="false">IF($I1715="","",INDEX(BookRate,1710)*(1+'5. Scenarios'!$C$10)*$I1715)</f>
        <v/>
      </c>
      <c r="K1715" s="57" t="str">
        <f aca="false">IF($J1715="","",SUMIFS($J$6:$J$2405,$A$6:$A$2405,"&lt;="&amp;$A1715))</f>
        <v/>
      </c>
      <c r="L1715" s="57" t="str">
        <f aca="false">IF($J1715="","",IF($K1715&lt;=BankCostEnvelope*'5. Scenarios'!$C$7,1,0))</f>
        <v/>
      </c>
      <c r="M1715" s="57" t="str">
        <f aca="false">IF($I1715="","",INDEX(BookRate,1710)*(1+'5. Scenarios'!$C$10)*(INDEX(BookQ1,1710)*(5-MIN(4,1+'5. Scenarios'!$C$8))/4+INDEX(BookQ2,1710)*(5-MIN(4,2+'5. Scenarios'!$C$8))/4+INDEX(BookQ3,1710)*(5-MIN(4,3+'5. Scenarios'!$C$8))/4+INDEX(BookQ4,1710)*(5-MIN(4,4+'5. Scenarios'!$C$8))/4)*'5. Scenarios'!$C$6/(1+ProductivityDefault*('5. Scenarios'!$C$11-1))+INDEX(BookOneOff,1710)*$I1715)</f>
        <v/>
      </c>
      <c r="N1715" s="56" t="str">
        <f aca="false">IF(INDEX(BookTitle,1710)="","",INDEX(BookTotal,1710)*'5. Scenarios'!$D$6/(1+ProductivityDefault*('5. Scenarios'!$D$11-1)))</f>
        <v/>
      </c>
      <c r="O1715" s="57" t="str">
        <f aca="false">IF($N1715="","",INDEX(BookRate,1710)*(1+'5. Scenarios'!$D$10)*$N1715)</f>
        <v/>
      </c>
      <c r="P1715" s="57" t="str">
        <f aca="false">IF($O1715="","",SUMIFS($O$6:$O$2405,$A$6:$A$2405,"&lt;="&amp;$A1715))</f>
        <v/>
      </c>
      <c r="Q1715" s="57" t="str">
        <f aca="false">IF($O1715="","",IF($P1715&lt;=BankCostEnvelope*'5. Scenarios'!$D$7,1,0))</f>
        <v/>
      </c>
      <c r="R1715" s="57" t="str">
        <f aca="false">IF($N1715="","",INDEX(BookRate,1710)*(1+'5. Scenarios'!$D$10)*(INDEX(BookQ1,1710)*(5-MIN(4,1+'5. Scenarios'!$D$8))/4+INDEX(BookQ2,1710)*(5-MIN(4,2+'5. Scenarios'!$D$8))/4+INDEX(BookQ3,1710)*(5-MIN(4,3+'5. Scenarios'!$D$8))/4+INDEX(BookQ4,1710)*(5-MIN(4,4+'5. Scenarios'!$D$8))/4)*'5. Scenarios'!$D$6/(1+ProductivityDefault*('5. Scenarios'!$D$11-1))+INDEX(BookOneOff,1710)*$N1715)</f>
        <v/>
      </c>
      <c r="S1715" s="56" t="str">
        <f aca="false">IF(INDEX(BookTitle,1710)="","",INDEX(BookTotal,1710)*'5. Scenarios'!$E$6/(1+ProductivityDefault*('5. Scenarios'!$E$11-1)))</f>
        <v/>
      </c>
      <c r="T1715" s="57" t="str">
        <f aca="false">IF($S1715="","",INDEX(BookRate,1710)*(1+'5. Scenarios'!$E$10)*$S1715)</f>
        <v/>
      </c>
      <c r="U1715" s="57" t="str">
        <f aca="false">IF($T1715="","",SUMIFS($T$6:$T$2405,$A$6:$A$2405,"&lt;="&amp;$A1715))</f>
        <v/>
      </c>
      <c r="V1715" s="57" t="str">
        <f aca="false">IF($T1715="","",IF($U1715&lt;=BankCostEnvelope*'5. Scenarios'!$E$7,1,0))</f>
        <v/>
      </c>
      <c r="W1715" s="57" t="str">
        <f aca="false">IF($S1715="","",INDEX(BookRate,1710)*(1+'5. Scenarios'!$E$10)*(INDEX(BookQ1,1710)*(5-MIN(4,1+'5. Scenarios'!$E$8))/4+INDEX(BookQ2,1710)*(5-MIN(4,2+'5. Scenarios'!$E$8))/4+INDEX(BookQ3,1710)*(5-MIN(4,3+'5. Scenarios'!$E$8))/4+INDEX(BookQ4,1710)*(5-MIN(4,4+'5. Scenarios'!$E$8))/4)*'5. Scenarios'!$E$6/(1+ProductivityDefault*('5. Scenarios'!$E$11-1))+INDEX(BookOneOff,1710)*$S1715)</f>
        <v/>
      </c>
    </row>
    <row r="1716" customFormat="false" ht="15" hidden="false" customHeight="false" outlineLevel="0" collapsed="false">
      <c r="A1716" s="0" t="str">
        <f aca="false">IF(INDEX(BookTitle,1711)="","",INDEX(BookKey,1711))</f>
        <v/>
      </c>
      <c r="B1716" s="0" t="str">
        <f aca="false">IF(INDEX(BookTitle,1711)="","",INDEX(BookGroup,1711))</f>
        <v/>
      </c>
      <c r="C1716" s="0" t="str">
        <f aca="false">IF(INDEX(BookTitle,1711)="","",INDEX(BookCategory,1711))</f>
        <v/>
      </c>
      <c r="D1716" s="56" t="str">
        <f aca="false">IF(INDEX(BookTitle,1711)="","",INDEX(BookTotal,1711)*'5. Scenarios'!$B$6/(1+ProductivityDefault*('5. Scenarios'!$B$11-1)))</f>
        <v/>
      </c>
      <c r="E1716" s="57" t="str">
        <f aca="false">IF($D1716="","",INDEX(BookRate,1711)*(1+'5. Scenarios'!$B$10)*$D1716)</f>
        <v/>
      </c>
      <c r="F1716" s="57" t="str">
        <f aca="false">IF($E1716="","",SUMIFS($E$6:$E$2405,$A$6:$A$2405,"&lt;="&amp;$A1716))</f>
        <v/>
      </c>
      <c r="G1716" s="57" t="str">
        <f aca="false">IF($E1716="","",IF($F1716&lt;=BankCostEnvelope*'5. Scenarios'!$B$7,1,0))</f>
        <v/>
      </c>
      <c r="H1716" s="57" t="str">
        <f aca="false">IF($D1716="","",INDEX(BookRate,1711)*(1+'5. Scenarios'!$B$10)*(INDEX(BookQ1,1711)*(5-MIN(4,1+'5. Scenarios'!$B$8))/4+INDEX(BookQ2,1711)*(5-MIN(4,2+'5. Scenarios'!$B$8))/4+INDEX(BookQ3,1711)*(5-MIN(4,3+'5. Scenarios'!$B$8))/4+INDEX(BookQ4,1711)*(5-MIN(4,4+'5. Scenarios'!$B$8))/4)*'5. Scenarios'!$B$6/(1+ProductivityDefault*('5. Scenarios'!$B$11-1))+INDEX(BookOneOff,1711)*$D1716)</f>
        <v/>
      </c>
      <c r="I1716" s="56" t="str">
        <f aca="false">IF(INDEX(BookTitle,1711)="","",INDEX(BookTotal,1711)*'5. Scenarios'!$C$6/(1+ProductivityDefault*('5. Scenarios'!$C$11-1)))</f>
        <v/>
      </c>
      <c r="J1716" s="57" t="str">
        <f aca="false">IF($I1716="","",INDEX(BookRate,1711)*(1+'5. Scenarios'!$C$10)*$I1716)</f>
        <v/>
      </c>
      <c r="K1716" s="57" t="str">
        <f aca="false">IF($J1716="","",SUMIFS($J$6:$J$2405,$A$6:$A$2405,"&lt;="&amp;$A1716))</f>
        <v/>
      </c>
      <c r="L1716" s="57" t="str">
        <f aca="false">IF($J1716="","",IF($K1716&lt;=BankCostEnvelope*'5. Scenarios'!$C$7,1,0))</f>
        <v/>
      </c>
      <c r="M1716" s="57" t="str">
        <f aca="false">IF($I1716="","",INDEX(BookRate,1711)*(1+'5. Scenarios'!$C$10)*(INDEX(BookQ1,1711)*(5-MIN(4,1+'5. Scenarios'!$C$8))/4+INDEX(BookQ2,1711)*(5-MIN(4,2+'5. Scenarios'!$C$8))/4+INDEX(BookQ3,1711)*(5-MIN(4,3+'5. Scenarios'!$C$8))/4+INDEX(BookQ4,1711)*(5-MIN(4,4+'5. Scenarios'!$C$8))/4)*'5. Scenarios'!$C$6/(1+ProductivityDefault*('5. Scenarios'!$C$11-1))+INDEX(BookOneOff,1711)*$I1716)</f>
        <v/>
      </c>
      <c r="N1716" s="56" t="str">
        <f aca="false">IF(INDEX(BookTitle,1711)="","",INDEX(BookTotal,1711)*'5. Scenarios'!$D$6/(1+ProductivityDefault*('5. Scenarios'!$D$11-1)))</f>
        <v/>
      </c>
      <c r="O1716" s="57" t="str">
        <f aca="false">IF($N1716="","",INDEX(BookRate,1711)*(1+'5. Scenarios'!$D$10)*$N1716)</f>
        <v/>
      </c>
      <c r="P1716" s="57" t="str">
        <f aca="false">IF($O1716="","",SUMIFS($O$6:$O$2405,$A$6:$A$2405,"&lt;="&amp;$A1716))</f>
        <v/>
      </c>
      <c r="Q1716" s="57" t="str">
        <f aca="false">IF($O1716="","",IF($P1716&lt;=BankCostEnvelope*'5. Scenarios'!$D$7,1,0))</f>
        <v/>
      </c>
      <c r="R1716" s="57" t="str">
        <f aca="false">IF($N1716="","",INDEX(BookRate,1711)*(1+'5. Scenarios'!$D$10)*(INDEX(BookQ1,1711)*(5-MIN(4,1+'5. Scenarios'!$D$8))/4+INDEX(BookQ2,1711)*(5-MIN(4,2+'5. Scenarios'!$D$8))/4+INDEX(BookQ3,1711)*(5-MIN(4,3+'5. Scenarios'!$D$8))/4+INDEX(BookQ4,1711)*(5-MIN(4,4+'5. Scenarios'!$D$8))/4)*'5. Scenarios'!$D$6/(1+ProductivityDefault*('5. Scenarios'!$D$11-1))+INDEX(BookOneOff,1711)*$N1716)</f>
        <v/>
      </c>
      <c r="S1716" s="56" t="str">
        <f aca="false">IF(INDEX(BookTitle,1711)="","",INDEX(BookTotal,1711)*'5. Scenarios'!$E$6/(1+ProductivityDefault*('5. Scenarios'!$E$11-1)))</f>
        <v/>
      </c>
      <c r="T1716" s="57" t="str">
        <f aca="false">IF($S1716="","",INDEX(BookRate,1711)*(1+'5. Scenarios'!$E$10)*$S1716)</f>
        <v/>
      </c>
      <c r="U1716" s="57" t="str">
        <f aca="false">IF($T1716="","",SUMIFS($T$6:$T$2405,$A$6:$A$2405,"&lt;="&amp;$A1716))</f>
        <v/>
      </c>
      <c r="V1716" s="57" t="str">
        <f aca="false">IF($T1716="","",IF($U1716&lt;=BankCostEnvelope*'5. Scenarios'!$E$7,1,0))</f>
        <v/>
      </c>
      <c r="W1716" s="57" t="str">
        <f aca="false">IF($S1716="","",INDEX(BookRate,1711)*(1+'5. Scenarios'!$E$10)*(INDEX(BookQ1,1711)*(5-MIN(4,1+'5. Scenarios'!$E$8))/4+INDEX(BookQ2,1711)*(5-MIN(4,2+'5. Scenarios'!$E$8))/4+INDEX(BookQ3,1711)*(5-MIN(4,3+'5. Scenarios'!$E$8))/4+INDEX(BookQ4,1711)*(5-MIN(4,4+'5. Scenarios'!$E$8))/4)*'5. Scenarios'!$E$6/(1+ProductivityDefault*('5. Scenarios'!$E$11-1))+INDEX(BookOneOff,1711)*$S1716)</f>
        <v/>
      </c>
    </row>
    <row r="1717" customFormat="false" ht="15" hidden="false" customHeight="false" outlineLevel="0" collapsed="false">
      <c r="A1717" s="0" t="str">
        <f aca="false">IF(INDEX(BookTitle,1712)="","",INDEX(BookKey,1712))</f>
        <v/>
      </c>
      <c r="B1717" s="0" t="str">
        <f aca="false">IF(INDEX(BookTitle,1712)="","",INDEX(BookGroup,1712))</f>
        <v/>
      </c>
      <c r="C1717" s="0" t="str">
        <f aca="false">IF(INDEX(BookTitle,1712)="","",INDEX(BookCategory,1712))</f>
        <v/>
      </c>
      <c r="D1717" s="56" t="str">
        <f aca="false">IF(INDEX(BookTitle,1712)="","",INDEX(BookTotal,1712)*'5. Scenarios'!$B$6/(1+ProductivityDefault*('5. Scenarios'!$B$11-1)))</f>
        <v/>
      </c>
      <c r="E1717" s="57" t="str">
        <f aca="false">IF($D1717="","",INDEX(BookRate,1712)*(1+'5. Scenarios'!$B$10)*$D1717)</f>
        <v/>
      </c>
      <c r="F1717" s="57" t="str">
        <f aca="false">IF($E1717="","",SUMIFS($E$6:$E$2405,$A$6:$A$2405,"&lt;="&amp;$A1717))</f>
        <v/>
      </c>
      <c r="G1717" s="57" t="str">
        <f aca="false">IF($E1717="","",IF($F1717&lt;=BankCostEnvelope*'5. Scenarios'!$B$7,1,0))</f>
        <v/>
      </c>
      <c r="H1717" s="57" t="str">
        <f aca="false">IF($D1717="","",INDEX(BookRate,1712)*(1+'5. Scenarios'!$B$10)*(INDEX(BookQ1,1712)*(5-MIN(4,1+'5. Scenarios'!$B$8))/4+INDEX(BookQ2,1712)*(5-MIN(4,2+'5. Scenarios'!$B$8))/4+INDEX(BookQ3,1712)*(5-MIN(4,3+'5. Scenarios'!$B$8))/4+INDEX(BookQ4,1712)*(5-MIN(4,4+'5. Scenarios'!$B$8))/4)*'5. Scenarios'!$B$6/(1+ProductivityDefault*('5. Scenarios'!$B$11-1))+INDEX(BookOneOff,1712)*$D1717)</f>
        <v/>
      </c>
      <c r="I1717" s="56" t="str">
        <f aca="false">IF(INDEX(BookTitle,1712)="","",INDEX(BookTotal,1712)*'5. Scenarios'!$C$6/(1+ProductivityDefault*('5. Scenarios'!$C$11-1)))</f>
        <v/>
      </c>
      <c r="J1717" s="57" t="str">
        <f aca="false">IF($I1717="","",INDEX(BookRate,1712)*(1+'5. Scenarios'!$C$10)*$I1717)</f>
        <v/>
      </c>
      <c r="K1717" s="57" t="str">
        <f aca="false">IF($J1717="","",SUMIFS($J$6:$J$2405,$A$6:$A$2405,"&lt;="&amp;$A1717))</f>
        <v/>
      </c>
      <c r="L1717" s="57" t="str">
        <f aca="false">IF($J1717="","",IF($K1717&lt;=BankCostEnvelope*'5. Scenarios'!$C$7,1,0))</f>
        <v/>
      </c>
      <c r="M1717" s="57" t="str">
        <f aca="false">IF($I1717="","",INDEX(BookRate,1712)*(1+'5. Scenarios'!$C$10)*(INDEX(BookQ1,1712)*(5-MIN(4,1+'5. Scenarios'!$C$8))/4+INDEX(BookQ2,1712)*(5-MIN(4,2+'5. Scenarios'!$C$8))/4+INDEX(BookQ3,1712)*(5-MIN(4,3+'5. Scenarios'!$C$8))/4+INDEX(BookQ4,1712)*(5-MIN(4,4+'5. Scenarios'!$C$8))/4)*'5. Scenarios'!$C$6/(1+ProductivityDefault*('5. Scenarios'!$C$11-1))+INDEX(BookOneOff,1712)*$I1717)</f>
        <v/>
      </c>
      <c r="N1717" s="56" t="str">
        <f aca="false">IF(INDEX(BookTitle,1712)="","",INDEX(BookTotal,1712)*'5. Scenarios'!$D$6/(1+ProductivityDefault*('5. Scenarios'!$D$11-1)))</f>
        <v/>
      </c>
      <c r="O1717" s="57" t="str">
        <f aca="false">IF($N1717="","",INDEX(BookRate,1712)*(1+'5. Scenarios'!$D$10)*$N1717)</f>
        <v/>
      </c>
      <c r="P1717" s="57" t="str">
        <f aca="false">IF($O1717="","",SUMIFS($O$6:$O$2405,$A$6:$A$2405,"&lt;="&amp;$A1717))</f>
        <v/>
      </c>
      <c r="Q1717" s="57" t="str">
        <f aca="false">IF($O1717="","",IF($P1717&lt;=BankCostEnvelope*'5. Scenarios'!$D$7,1,0))</f>
        <v/>
      </c>
      <c r="R1717" s="57" t="str">
        <f aca="false">IF($N1717="","",INDEX(BookRate,1712)*(1+'5. Scenarios'!$D$10)*(INDEX(BookQ1,1712)*(5-MIN(4,1+'5. Scenarios'!$D$8))/4+INDEX(BookQ2,1712)*(5-MIN(4,2+'5. Scenarios'!$D$8))/4+INDEX(BookQ3,1712)*(5-MIN(4,3+'5. Scenarios'!$D$8))/4+INDEX(BookQ4,1712)*(5-MIN(4,4+'5. Scenarios'!$D$8))/4)*'5. Scenarios'!$D$6/(1+ProductivityDefault*('5. Scenarios'!$D$11-1))+INDEX(BookOneOff,1712)*$N1717)</f>
        <v/>
      </c>
      <c r="S1717" s="56" t="str">
        <f aca="false">IF(INDEX(BookTitle,1712)="","",INDEX(BookTotal,1712)*'5. Scenarios'!$E$6/(1+ProductivityDefault*('5. Scenarios'!$E$11-1)))</f>
        <v/>
      </c>
      <c r="T1717" s="57" t="str">
        <f aca="false">IF($S1717="","",INDEX(BookRate,1712)*(1+'5. Scenarios'!$E$10)*$S1717)</f>
        <v/>
      </c>
      <c r="U1717" s="57" t="str">
        <f aca="false">IF($T1717="","",SUMIFS($T$6:$T$2405,$A$6:$A$2405,"&lt;="&amp;$A1717))</f>
        <v/>
      </c>
      <c r="V1717" s="57" t="str">
        <f aca="false">IF($T1717="","",IF($U1717&lt;=BankCostEnvelope*'5. Scenarios'!$E$7,1,0))</f>
        <v/>
      </c>
      <c r="W1717" s="57" t="str">
        <f aca="false">IF($S1717="","",INDEX(BookRate,1712)*(1+'5. Scenarios'!$E$10)*(INDEX(BookQ1,1712)*(5-MIN(4,1+'5. Scenarios'!$E$8))/4+INDEX(BookQ2,1712)*(5-MIN(4,2+'5. Scenarios'!$E$8))/4+INDEX(BookQ3,1712)*(5-MIN(4,3+'5. Scenarios'!$E$8))/4+INDEX(BookQ4,1712)*(5-MIN(4,4+'5. Scenarios'!$E$8))/4)*'5. Scenarios'!$E$6/(1+ProductivityDefault*('5. Scenarios'!$E$11-1))+INDEX(BookOneOff,1712)*$S1717)</f>
        <v/>
      </c>
    </row>
    <row r="1718" customFormat="false" ht="15" hidden="false" customHeight="false" outlineLevel="0" collapsed="false">
      <c r="A1718" s="0" t="str">
        <f aca="false">IF(INDEX(BookTitle,1713)="","",INDEX(BookKey,1713))</f>
        <v/>
      </c>
      <c r="B1718" s="0" t="str">
        <f aca="false">IF(INDEX(BookTitle,1713)="","",INDEX(BookGroup,1713))</f>
        <v/>
      </c>
      <c r="C1718" s="0" t="str">
        <f aca="false">IF(INDEX(BookTitle,1713)="","",INDEX(BookCategory,1713))</f>
        <v/>
      </c>
      <c r="D1718" s="56" t="str">
        <f aca="false">IF(INDEX(BookTitle,1713)="","",INDEX(BookTotal,1713)*'5. Scenarios'!$B$6/(1+ProductivityDefault*('5. Scenarios'!$B$11-1)))</f>
        <v/>
      </c>
      <c r="E1718" s="57" t="str">
        <f aca="false">IF($D1718="","",INDEX(BookRate,1713)*(1+'5. Scenarios'!$B$10)*$D1718)</f>
        <v/>
      </c>
      <c r="F1718" s="57" t="str">
        <f aca="false">IF($E1718="","",SUMIFS($E$6:$E$2405,$A$6:$A$2405,"&lt;="&amp;$A1718))</f>
        <v/>
      </c>
      <c r="G1718" s="57" t="str">
        <f aca="false">IF($E1718="","",IF($F1718&lt;=BankCostEnvelope*'5. Scenarios'!$B$7,1,0))</f>
        <v/>
      </c>
      <c r="H1718" s="57" t="str">
        <f aca="false">IF($D1718="","",INDEX(BookRate,1713)*(1+'5. Scenarios'!$B$10)*(INDEX(BookQ1,1713)*(5-MIN(4,1+'5. Scenarios'!$B$8))/4+INDEX(BookQ2,1713)*(5-MIN(4,2+'5. Scenarios'!$B$8))/4+INDEX(BookQ3,1713)*(5-MIN(4,3+'5. Scenarios'!$B$8))/4+INDEX(BookQ4,1713)*(5-MIN(4,4+'5. Scenarios'!$B$8))/4)*'5. Scenarios'!$B$6/(1+ProductivityDefault*('5. Scenarios'!$B$11-1))+INDEX(BookOneOff,1713)*$D1718)</f>
        <v/>
      </c>
      <c r="I1718" s="56" t="str">
        <f aca="false">IF(INDEX(BookTitle,1713)="","",INDEX(BookTotal,1713)*'5. Scenarios'!$C$6/(1+ProductivityDefault*('5. Scenarios'!$C$11-1)))</f>
        <v/>
      </c>
      <c r="J1718" s="57" t="str">
        <f aca="false">IF($I1718="","",INDEX(BookRate,1713)*(1+'5. Scenarios'!$C$10)*$I1718)</f>
        <v/>
      </c>
      <c r="K1718" s="57" t="str">
        <f aca="false">IF($J1718="","",SUMIFS($J$6:$J$2405,$A$6:$A$2405,"&lt;="&amp;$A1718))</f>
        <v/>
      </c>
      <c r="L1718" s="57" t="str">
        <f aca="false">IF($J1718="","",IF($K1718&lt;=BankCostEnvelope*'5. Scenarios'!$C$7,1,0))</f>
        <v/>
      </c>
      <c r="M1718" s="57" t="str">
        <f aca="false">IF($I1718="","",INDEX(BookRate,1713)*(1+'5. Scenarios'!$C$10)*(INDEX(BookQ1,1713)*(5-MIN(4,1+'5. Scenarios'!$C$8))/4+INDEX(BookQ2,1713)*(5-MIN(4,2+'5. Scenarios'!$C$8))/4+INDEX(BookQ3,1713)*(5-MIN(4,3+'5. Scenarios'!$C$8))/4+INDEX(BookQ4,1713)*(5-MIN(4,4+'5. Scenarios'!$C$8))/4)*'5. Scenarios'!$C$6/(1+ProductivityDefault*('5. Scenarios'!$C$11-1))+INDEX(BookOneOff,1713)*$I1718)</f>
        <v/>
      </c>
      <c r="N1718" s="56" t="str">
        <f aca="false">IF(INDEX(BookTitle,1713)="","",INDEX(BookTotal,1713)*'5. Scenarios'!$D$6/(1+ProductivityDefault*('5. Scenarios'!$D$11-1)))</f>
        <v/>
      </c>
      <c r="O1718" s="57" t="str">
        <f aca="false">IF($N1718="","",INDEX(BookRate,1713)*(1+'5. Scenarios'!$D$10)*$N1718)</f>
        <v/>
      </c>
      <c r="P1718" s="57" t="str">
        <f aca="false">IF($O1718="","",SUMIFS($O$6:$O$2405,$A$6:$A$2405,"&lt;="&amp;$A1718))</f>
        <v/>
      </c>
      <c r="Q1718" s="57" t="str">
        <f aca="false">IF($O1718="","",IF($P1718&lt;=BankCostEnvelope*'5. Scenarios'!$D$7,1,0))</f>
        <v/>
      </c>
      <c r="R1718" s="57" t="str">
        <f aca="false">IF($N1718="","",INDEX(BookRate,1713)*(1+'5. Scenarios'!$D$10)*(INDEX(BookQ1,1713)*(5-MIN(4,1+'5. Scenarios'!$D$8))/4+INDEX(BookQ2,1713)*(5-MIN(4,2+'5. Scenarios'!$D$8))/4+INDEX(BookQ3,1713)*(5-MIN(4,3+'5. Scenarios'!$D$8))/4+INDEX(BookQ4,1713)*(5-MIN(4,4+'5. Scenarios'!$D$8))/4)*'5. Scenarios'!$D$6/(1+ProductivityDefault*('5. Scenarios'!$D$11-1))+INDEX(BookOneOff,1713)*$N1718)</f>
        <v/>
      </c>
      <c r="S1718" s="56" t="str">
        <f aca="false">IF(INDEX(BookTitle,1713)="","",INDEX(BookTotal,1713)*'5. Scenarios'!$E$6/(1+ProductivityDefault*('5. Scenarios'!$E$11-1)))</f>
        <v/>
      </c>
      <c r="T1718" s="57" t="str">
        <f aca="false">IF($S1718="","",INDEX(BookRate,1713)*(1+'5. Scenarios'!$E$10)*$S1718)</f>
        <v/>
      </c>
      <c r="U1718" s="57" t="str">
        <f aca="false">IF($T1718="","",SUMIFS($T$6:$T$2405,$A$6:$A$2405,"&lt;="&amp;$A1718))</f>
        <v/>
      </c>
      <c r="V1718" s="57" t="str">
        <f aca="false">IF($T1718="","",IF($U1718&lt;=BankCostEnvelope*'5. Scenarios'!$E$7,1,0))</f>
        <v/>
      </c>
      <c r="W1718" s="57" t="str">
        <f aca="false">IF($S1718="","",INDEX(BookRate,1713)*(1+'5. Scenarios'!$E$10)*(INDEX(BookQ1,1713)*(5-MIN(4,1+'5. Scenarios'!$E$8))/4+INDEX(BookQ2,1713)*(5-MIN(4,2+'5. Scenarios'!$E$8))/4+INDEX(BookQ3,1713)*(5-MIN(4,3+'5. Scenarios'!$E$8))/4+INDEX(BookQ4,1713)*(5-MIN(4,4+'5. Scenarios'!$E$8))/4)*'5. Scenarios'!$E$6/(1+ProductivityDefault*('5. Scenarios'!$E$11-1))+INDEX(BookOneOff,1713)*$S1718)</f>
        <v/>
      </c>
    </row>
    <row r="1719" customFormat="false" ht="15" hidden="false" customHeight="false" outlineLevel="0" collapsed="false">
      <c r="A1719" s="0" t="str">
        <f aca="false">IF(INDEX(BookTitle,1714)="","",INDEX(BookKey,1714))</f>
        <v/>
      </c>
      <c r="B1719" s="0" t="str">
        <f aca="false">IF(INDEX(BookTitle,1714)="","",INDEX(BookGroup,1714))</f>
        <v/>
      </c>
      <c r="C1719" s="0" t="str">
        <f aca="false">IF(INDEX(BookTitle,1714)="","",INDEX(BookCategory,1714))</f>
        <v/>
      </c>
      <c r="D1719" s="56" t="str">
        <f aca="false">IF(INDEX(BookTitle,1714)="","",INDEX(BookTotal,1714)*'5. Scenarios'!$B$6/(1+ProductivityDefault*('5. Scenarios'!$B$11-1)))</f>
        <v/>
      </c>
      <c r="E1719" s="57" t="str">
        <f aca="false">IF($D1719="","",INDEX(BookRate,1714)*(1+'5. Scenarios'!$B$10)*$D1719)</f>
        <v/>
      </c>
      <c r="F1719" s="57" t="str">
        <f aca="false">IF($E1719="","",SUMIFS($E$6:$E$2405,$A$6:$A$2405,"&lt;="&amp;$A1719))</f>
        <v/>
      </c>
      <c r="G1719" s="57" t="str">
        <f aca="false">IF($E1719="","",IF($F1719&lt;=BankCostEnvelope*'5. Scenarios'!$B$7,1,0))</f>
        <v/>
      </c>
      <c r="H1719" s="57" t="str">
        <f aca="false">IF($D1719="","",INDEX(BookRate,1714)*(1+'5. Scenarios'!$B$10)*(INDEX(BookQ1,1714)*(5-MIN(4,1+'5. Scenarios'!$B$8))/4+INDEX(BookQ2,1714)*(5-MIN(4,2+'5. Scenarios'!$B$8))/4+INDEX(BookQ3,1714)*(5-MIN(4,3+'5. Scenarios'!$B$8))/4+INDEX(BookQ4,1714)*(5-MIN(4,4+'5. Scenarios'!$B$8))/4)*'5. Scenarios'!$B$6/(1+ProductivityDefault*('5. Scenarios'!$B$11-1))+INDEX(BookOneOff,1714)*$D1719)</f>
        <v/>
      </c>
      <c r="I1719" s="56" t="str">
        <f aca="false">IF(INDEX(BookTitle,1714)="","",INDEX(BookTotal,1714)*'5. Scenarios'!$C$6/(1+ProductivityDefault*('5. Scenarios'!$C$11-1)))</f>
        <v/>
      </c>
      <c r="J1719" s="57" t="str">
        <f aca="false">IF($I1719="","",INDEX(BookRate,1714)*(1+'5. Scenarios'!$C$10)*$I1719)</f>
        <v/>
      </c>
      <c r="K1719" s="57" t="str">
        <f aca="false">IF($J1719="","",SUMIFS($J$6:$J$2405,$A$6:$A$2405,"&lt;="&amp;$A1719))</f>
        <v/>
      </c>
      <c r="L1719" s="57" t="str">
        <f aca="false">IF($J1719="","",IF($K1719&lt;=BankCostEnvelope*'5. Scenarios'!$C$7,1,0))</f>
        <v/>
      </c>
      <c r="M1719" s="57" t="str">
        <f aca="false">IF($I1719="","",INDEX(BookRate,1714)*(1+'5. Scenarios'!$C$10)*(INDEX(BookQ1,1714)*(5-MIN(4,1+'5. Scenarios'!$C$8))/4+INDEX(BookQ2,1714)*(5-MIN(4,2+'5. Scenarios'!$C$8))/4+INDEX(BookQ3,1714)*(5-MIN(4,3+'5. Scenarios'!$C$8))/4+INDEX(BookQ4,1714)*(5-MIN(4,4+'5. Scenarios'!$C$8))/4)*'5. Scenarios'!$C$6/(1+ProductivityDefault*('5. Scenarios'!$C$11-1))+INDEX(BookOneOff,1714)*$I1719)</f>
        <v/>
      </c>
      <c r="N1719" s="56" t="str">
        <f aca="false">IF(INDEX(BookTitle,1714)="","",INDEX(BookTotal,1714)*'5. Scenarios'!$D$6/(1+ProductivityDefault*('5. Scenarios'!$D$11-1)))</f>
        <v/>
      </c>
      <c r="O1719" s="57" t="str">
        <f aca="false">IF($N1719="","",INDEX(BookRate,1714)*(1+'5. Scenarios'!$D$10)*$N1719)</f>
        <v/>
      </c>
      <c r="P1719" s="57" t="str">
        <f aca="false">IF($O1719="","",SUMIFS($O$6:$O$2405,$A$6:$A$2405,"&lt;="&amp;$A1719))</f>
        <v/>
      </c>
      <c r="Q1719" s="57" t="str">
        <f aca="false">IF($O1719="","",IF($P1719&lt;=BankCostEnvelope*'5. Scenarios'!$D$7,1,0))</f>
        <v/>
      </c>
      <c r="R1719" s="57" t="str">
        <f aca="false">IF($N1719="","",INDEX(BookRate,1714)*(1+'5. Scenarios'!$D$10)*(INDEX(BookQ1,1714)*(5-MIN(4,1+'5. Scenarios'!$D$8))/4+INDEX(BookQ2,1714)*(5-MIN(4,2+'5. Scenarios'!$D$8))/4+INDEX(BookQ3,1714)*(5-MIN(4,3+'5. Scenarios'!$D$8))/4+INDEX(BookQ4,1714)*(5-MIN(4,4+'5. Scenarios'!$D$8))/4)*'5. Scenarios'!$D$6/(1+ProductivityDefault*('5. Scenarios'!$D$11-1))+INDEX(BookOneOff,1714)*$N1719)</f>
        <v/>
      </c>
      <c r="S1719" s="56" t="str">
        <f aca="false">IF(INDEX(BookTitle,1714)="","",INDEX(BookTotal,1714)*'5. Scenarios'!$E$6/(1+ProductivityDefault*('5. Scenarios'!$E$11-1)))</f>
        <v/>
      </c>
      <c r="T1719" s="57" t="str">
        <f aca="false">IF($S1719="","",INDEX(BookRate,1714)*(1+'5. Scenarios'!$E$10)*$S1719)</f>
        <v/>
      </c>
      <c r="U1719" s="57" t="str">
        <f aca="false">IF($T1719="","",SUMIFS($T$6:$T$2405,$A$6:$A$2405,"&lt;="&amp;$A1719))</f>
        <v/>
      </c>
      <c r="V1719" s="57" t="str">
        <f aca="false">IF($T1719="","",IF($U1719&lt;=BankCostEnvelope*'5. Scenarios'!$E$7,1,0))</f>
        <v/>
      </c>
      <c r="W1719" s="57" t="str">
        <f aca="false">IF($S1719="","",INDEX(BookRate,1714)*(1+'5. Scenarios'!$E$10)*(INDEX(BookQ1,1714)*(5-MIN(4,1+'5. Scenarios'!$E$8))/4+INDEX(BookQ2,1714)*(5-MIN(4,2+'5. Scenarios'!$E$8))/4+INDEX(BookQ3,1714)*(5-MIN(4,3+'5. Scenarios'!$E$8))/4+INDEX(BookQ4,1714)*(5-MIN(4,4+'5. Scenarios'!$E$8))/4)*'5. Scenarios'!$E$6/(1+ProductivityDefault*('5. Scenarios'!$E$11-1))+INDEX(BookOneOff,1714)*$S1719)</f>
        <v/>
      </c>
    </row>
    <row r="1720" customFormat="false" ht="15" hidden="false" customHeight="false" outlineLevel="0" collapsed="false">
      <c r="A1720" s="0" t="str">
        <f aca="false">IF(INDEX(BookTitle,1715)="","",INDEX(BookKey,1715))</f>
        <v/>
      </c>
      <c r="B1720" s="0" t="str">
        <f aca="false">IF(INDEX(BookTitle,1715)="","",INDEX(BookGroup,1715))</f>
        <v/>
      </c>
      <c r="C1720" s="0" t="str">
        <f aca="false">IF(INDEX(BookTitle,1715)="","",INDEX(BookCategory,1715))</f>
        <v/>
      </c>
      <c r="D1720" s="56" t="str">
        <f aca="false">IF(INDEX(BookTitle,1715)="","",INDEX(BookTotal,1715)*'5. Scenarios'!$B$6/(1+ProductivityDefault*('5. Scenarios'!$B$11-1)))</f>
        <v/>
      </c>
      <c r="E1720" s="57" t="str">
        <f aca="false">IF($D1720="","",INDEX(BookRate,1715)*(1+'5. Scenarios'!$B$10)*$D1720)</f>
        <v/>
      </c>
      <c r="F1720" s="57" t="str">
        <f aca="false">IF($E1720="","",SUMIFS($E$6:$E$2405,$A$6:$A$2405,"&lt;="&amp;$A1720))</f>
        <v/>
      </c>
      <c r="G1720" s="57" t="str">
        <f aca="false">IF($E1720="","",IF($F1720&lt;=BankCostEnvelope*'5. Scenarios'!$B$7,1,0))</f>
        <v/>
      </c>
      <c r="H1720" s="57" t="str">
        <f aca="false">IF($D1720="","",INDEX(BookRate,1715)*(1+'5. Scenarios'!$B$10)*(INDEX(BookQ1,1715)*(5-MIN(4,1+'5. Scenarios'!$B$8))/4+INDEX(BookQ2,1715)*(5-MIN(4,2+'5. Scenarios'!$B$8))/4+INDEX(BookQ3,1715)*(5-MIN(4,3+'5. Scenarios'!$B$8))/4+INDEX(BookQ4,1715)*(5-MIN(4,4+'5. Scenarios'!$B$8))/4)*'5. Scenarios'!$B$6/(1+ProductivityDefault*('5. Scenarios'!$B$11-1))+INDEX(BookOneOff,1715)*$D1720)</f>
        <v/>
      </c>
      <c r="I1720" s="56" t="str">
        <f aca="false">IF(INDEX(BookTitle,1715)="","",INDEX(BookTotal,1715)*'5. Scenarios'!$C$6/(1+ProductivityDefault*('5. Scenarios'!$C$11-1)))</f>
        <v/>
      </c>
      <c r="J1720" s="57" t="str">
        <f aca="false">IF($I1720="","",INDEX(BookRate,1715)*(1+'5. Scenarios'!$C$10)*$I1720)</f>
        <v/>
      </c>
      <c r="K1720" s="57" t="str">
        <f aca="false">IF($J1720="","",SUMIFS($J$6:$J$2405,$A$6:$A$2405,"&lt;="&amp;$A1720))</f>
        <v/>
      </c>
      <c r="L1720" s="57" t="str">
        <f aca="false">IF($J1720="","",IF($K1720&lt;=BankCostEnvelope*'5. Scenarios'!$C$7,1,0))</f>
        <v/>
      </c>
      <c r="M1720" s="57" t="str">
        <f aca="false">IF($I1720="","",INDEX(BookRate,1715)*(1+'5. Scenarios'!$C$10)*(INDEX(BookQ1,1715)*(5-MIN(4,1+'5. Scenarios'!$C$8))/4+INDEX(BookQ2,1715)*(5-MIN(4,2+'5. Scenarios'!$C$8))/4+INDEX(BookQ3,1715)*(5-MIN(4,3+'5. Scenarios'!$C$8))/4+INDEX(BookQ4,1715)*(5-MIN(4,4+'5. Scenarios'!$C$8))/4)*'5. Scenarios'!$C$6/(1+ProductivityDefault*('5. Scenarios'!$C$11-1))+INDEX(BookOneOff,1715)*$I1720)</f>
        <v/>
      </c>
      <c r="N1720" s="56" t="str">
        <f aca="false">IF(INDEX(BookTitle,1715)="","",INDEX(BookTotal,1715)*'5. Scenarios'!$D$6/(1+ProductivityDefault*('5. Scenarios'!$D$11-1)))</f>
        <v/>
      </c>
      <c r="O1720" s="57" t="str">
        <f aca="false">IF($N1720="","",INDEX(BookRate,1715)*(1+'5. Scenarios'!$D$10)*$N1720)</f>
        <v/>
      </c>
      <c r="P1720" s="57" t="str">
        <f aca="false">IF($O1720="","",SUMIFS($O$6:$O$2405,$A$6:$A$2405,"&lt;="&amp;$A1720))</f>
        <v/>
      </c>
      <c r="Q1720" s="57" t="str">
        <f aca="false">IF($O1720="","",IF($P1720&lt;=BankCostEnvelope*'5. Scenarios'!$D$7,1,0))</f>
        <v/>
      </c>
      <c r="R1720" s="57" t="str">
        <f aca="false">IF($N1720="","",INDEX(BookRate,1715)*(1+'5. Scenarios'!$D$10)*(INDEX(BookQ1,1715)*(5-MIN(4,1+'5. Scenarios'!$D$8))/4+INDEX(BookQ2,1715)*(5-MIN(4,2+'5. Scenarios'!$D$8))/4+INDEX(BookQ3,1715)*(5-MIN(4,3+'5. Scenarios'!$D$8))/4+INDEX(BookQ4,1715)*(5-MIN(4,4+'5. Scenarios'!$D$8))/4)*'5. Scenarios'!$D$6/(1+ProductivityDefault*('5. Scenarios'!$D$11-1))+INDEX(BookOneOff,1715)*$N1720)</f>
        <v/>
      </c>
      <c r="S1720" s="56" t="str">
        <f aca="false">IF(INDEX(BookTitle,1715)="","",INDEX(BookTotal,1715)*'5. Scenarios'!$E$6/(1+ProductivityDefault*('5. Scenarios'!$E$11-1)))</f>
        <v/>
      </c>
      <c r="T1720" s="57" t="str">
        <f aca="false">IF($S1720="","",INDEX(BookRate,1715)*(1+'5. Scenarios'!$E$10)*$S1720)</f>
        <v/>
      </c>
      <c r="U1720" s="57" t="str">
        <f aca="false">IF($T1720="","",SUMIFS($T$6:$T$2405,$A$6:$A$2405,"&lt;="&amp;$A1720))</f>
        <v/>
      </c>
      <c r="V1720" s="57" t="str">
        <f aca="false">IF($T1720="","",IF($U1720&lt;=BankCostEnvelope*'5. Scenarios'!$E$7,1,0))</f>
        <v/>
      </c>
      <c r="W1720" s="57" t="str">
        <f aca="false">IF($S1720="","",INDEX(BookRate,1715)*(1+'5. Scenarios'!$E$10)*(INDEX(BookQ1,1715)*(5-MIN(4,1+'5. Scenarios'!$E$8))/4+INDEX(BookQ2,1715)*(5-MIN(4,2+'5. Scenarios'!$E$8))/4+INDEX(BookQ3,1715)*(5-MIN(4,3+'5. Scenarios'!$E$8))/4+INDEX(BookQ4,1715)*(5-MIN(4,4+'5. Scenarios'!$E$8))/4)*'5. Scenarios'!$E$6/(1+ProductivityDefault*('5. Scenarios'!$E$11-1))+INDEX(BookOneOff,1715)*$S1720)</f>
        <v/>
      </c>
    </row>
    <row r="1721" customFormat="false" ht="15" hidden="false" customHeight="false" outlineLevel="0" collapsed="false">
      <c r="A1721" s="0" t="str">
        <f aca="false">IF(INDEX(BookTitle,1716)="","",INDEX(BookKey,1716))</f>
        <v/>
      </c>
      <c r="B1721" s="0" t="str">
        <f aca="false">IF(INDEX(BookTitle,1716)="","",INDEX(BookGroup,1716))</f>
        <v/>
      </c>
      <c r="C1721" s="0" t="str">
        <f aca="false">IF(INDEX(BookTitle,1716)="","",INDEX(BookCategory,1716))</f>
        <v/>
      </c>
      <c r="D1721" s="56" t="str">
        <f aca="false">IF(INDEX(BookTitle,1716)="","",INDEX(BookTotal,1716)*'5. Scenarios'!$B$6/(1+ProductivityDefault*('5. Scenarios'!$B$11-1)))</f>
        <v/>
      </c>
      <c r="E1721" s="57" t="str">
        <f aca="false">IF($D1721="","",INDEX(BookRate,1716)*(1+'5. Scenarios'!$B$10)*$D1721)</f>
        <v/>
      </c>
      <c r="F1721" s="57" t="str">
        <f aca="false">IF($E1721="","",SUMIFS($E$6:$E$2405,$A$6:$A$2405,"&lt;="&amp;$A1721))</f>
        <v/>
      </c>
      <c r="G1721" s="57" t="str">
        <f aca="false">IF($E1721="","",IF($F1721&lt;=BankCostEnvelope*'5. Scenarios'!$B$7,1,0))</f>
        <v/>
      </c>
      <c r="H1721" s="57" t="str">
        <f aca="false">IF($D1721="","",INDEX(BookRate,1716)*(1+'5. Scenarios'!$B$10)*(INDEX(BookQ1,1716)*(5-MIN(4,1+'5. Scenarios'!$B$8))/4+INDEX(BookQ2,1716)*(5-MIN(4,2+'5. Scenarios'!$B$8))/4+INDEX(BookQ3,1716)*(5-MIN(4,3+'5. Scenarios'!$B$8))/4+INDEX(BookQ4,1716)*(5-MIN(4,4+'5. Scenarios'!$B$8))/4)*'5. Scenarios'!$B$6/(1+ProductivityDefault*('5. Scenarios'!$B$11-1))+INDEX(BookOneOff,1716)*$D1721)</f>
        <v/>
      </c>
      <c r="I1721" s="56" t="str">
        <f aca="false">IF(INDEX(BookTitle,1716)="","",INDEX(BookTotal,1716)*'5. Scenarios'!$C$6/(1+ProductivityDefault*('5. Scenarios'!$C$11-1)))</f>
        <v/>
      </c>
      <c r="J1721" s="57" t="str">
        <f aca="false">IF($I1721="","",INDEX(BookRate,1716)*(1+'5. Scenarios'!$C$10)*$I1721)</f>
        <v/>
      </c>
      <c r="K1721" s="57" t="str">
        <f aca="false">IF($J1721="","",SUMIFS($J$6:$J$2405,$A$6:$A$2405,"&lt;="&amp;$A1721))</f>
        <v/>
      </c>
      <c r="L1721" s="57" t="str">
        <f aca="false">IF($J1721="","",IF($K1721&lt;=BankCostEnvelope*'5. Scenarios'!$C$7,1,0))</f>
        <v/>
      </c>
      <c r="M1721" s="57" t="str">
        <f aca="false">IF($I1721="","",INDEX(BookRate,1716)*(1+'5. Scenarios'!$C$10)*(INDEX(BookQ1,1716)*(5-MIN(4,1+'5. Scenarios'!$C$8))/4+INDEX(BookQ2,1716)*(5-MIN(4,2+'5. Scenarios'!$C$8))/4+INDEX(BookQ3,1716)*(5-MIN(4,3+'5. Scenarios'!$C$8))/4+INDEX(BookQ4,1716)*(5-MIN(4,4+'5. Scenarios'!$C$8))/4)*'5. Scenarios'!$C$6/(1+ProductivityDefault*('5. Scenarios'!$C$11-1))+INDEX(BookOneOff,1716)*$I1721)</f>
        <v/>
      </c>
      <c r="N1721" s="56" t="str">
        <f aca="false">IF(INDEX(BookTitle,1716)="","",INDEX(BookTotal,1716)*'5. Scenarios'!$D$6/(1+ProductivityDefault*('5. Scenarios'!$D$11-1)))</f>
        <v/>
      </c>
      <c r="O1721" s="57" t="str">
        <f aca="false">IF($N1721="","",INDEX(BookRate,1716)*(1+'5. Scenarios'!$D$10)*$N1721)</f>
        <v/>
      </c>
      <c r="P1721" s="57" t="str">
        <f aca="false">IF($O1721="","",SUMIFS($O$6:$O$2405,$A$6:$A$2405,"&lt;="&amp;$A1721))</f>
        <v/>
      </c>
      <c r="Q1721" s="57" t="str">
        <f aca="false">IF($O1721="","",IF($P1721&lt;=BankCostEnvelope*'5. Scenarios'!$D$7,1,0))</f>
        <v/>
      </c>
      <c r="R1721" s="57" t="str">
        <f aca="false">IF($N1721="","",INDEX(BookRate,1716)*(1+'5. Scenarios'!$D$10)*(INDEX(BookQ1,1716)*(5-MIN(4,1+'5. Scenarios'!$D$8))/4+INDEX(BookQ2,1716)*(5-MIN(4,2+'5. Scenarios'!$D$8))/4+INDEX(BookQ3,1716)*(5-MIN(4,3+'5. Scenarios'!$D$8))/4+INDEX(BookQ4,1716)*(5-MIN(4,4+'5. Scenarios'!$D$8))/4)*'5. Scenarios'!$D$6/(1+ProductivityDefault*('5. Scenarios'!$D$11-1))+INDEX(BookOneOff,1716)*$N1721)</f>
        <v/>
      </c>
      <c r="S1721" s="56" t="str">
        <f aca="false">IF(INDEX(BookTitle,1716)="","",INDEX(BookTotal,1716)*'5. Scenarios'!$E$6/(1+ProductivityDefault*('5. Scenarios'!$E$11-1)))</f>
        <v/>
      </c>
      <c r="T1721" s="57" t="str">
        <f aca="false">IF($S1721="","",INDEX(BookRate,1716)*(1+'5. Scenarios'!$E$10)*$S1721)</f>
        <v/>
      </c>
      <c r="U1721" s="57" t="str">
        <f aca="false">IF($T1721="","",SUMIFS($T$6:$T$2405,$A$6:$A$2405,"&lt;="&amp;$A1721))</f>
        <v/>
      </c>
      <c r="V1721" s="57" t="str">
        <f aca="false">IF($T1721="","",IF($U1721&lt;=BankCostEnvelope*'5. Scenarios'!$E$7,1,0))</f>
        <v/>
      </c>
      <c r="W1721" s="57" t="str">
        <f aca="false">IF($S1721="","",INDEX(BookRate,1716)*(1+'5. Scenarios'!$E$10)*(INDEX(BookQ1,1716)*(5-MIN(4,1+'5. Scenarios'!$E$8))/4+INDEX(BookQ2,1716)*(5-MIN(4,2+'5. Scenarios'!$E$8))/4+INDEX(BookQ3,1716)*(5-MIN(4,3+'5. Scenarios'!$E$8))/4+INDEX(BookQ4,1716)*(5-MIN(4,4+'5. Scenarios'!$E$8))/4)*'5. Scenarios'!$E$6/(1+ProductivityDefault*('5. Scenarios'!$E$11-1))+INDEX(BookOneOff,1716)*$S1721)</f>
        <v/>
      </c>
    </row>
    <row r="1722" customFormat="false" ht="15" hidden="false" customHeight="false" outlineLevel="0" collapsed="false">
      <c r="A1722" s="0" t="str">
        <f aca="false">IF(INDEX(BookTitle,1717)="","",INDEX(BookKey,1717))</f>
        <v/>
      </c>
      <c r="B1722" s="0" t="str">
        <f aca="false">IF(INDEX(BookTitle,1717)="","",INDEX(BookGroup,1717))</f>
        <v/>
      </c>
      <c r="C1722" s="0" t="str">
        <f aca="false">IF(INDEX(BookTitle,1717)="","",INDEX(BookCategory,1717))</f>
        <v/>
      </c>
      <c r="D1722" s="56" t="str">
        <f aca="false">IF(INDEX(BookTitle,1717)="","",INDEX(BookTotal,1717)*'5. Scenarios'!$B$6/(1+ProductivityDefault*('5. Scenarios'!$B$11-1)))</f>
        <v/>
      </c>
      <c r="E1722" s="57" t="str">
        <f aca="false">IF($D1722="","",INDEX(BookRate,1717)*(1+'5. Scenarios'!$B$10)*$D1722)</f>
        <v/>
      </c>
      <c r="F1722" s="57" t="str">
        <f aca="false">IF($E1722="","",SUMIFS($E$6:$E$2405,$A$6:$A$2405,"&lt;="&amp;$A1722))</f>
        <v/>
      </c>
      <c r="G1722" s="57" t="str">
        <f aca="false">IF($E1722="","",IF($F1722&lt;=BankCostEnvelope*'5. Scenarios'!$B$7,1,0))</f>
        <v/>
      </c>
      <c r="H1722" s="57" t="str">
        <f aca="false">IF($D1722="","",INDEX(BookRate,1717)*(1+'5. Scenarios'!$B$10)*(INDEX(BookQ1,1717)*(5-MIN(4,1+'5. Scenarios'!$B$8))/4+INDEX(BookQ2,1717)*(5-MIN(4,2+'5. Scenarios'!$B$8))/4+INDEX(BookQ3,1717)*(5-MIN(4,3+'5. Scenarios'!$B$8))/4+INDEX(BookQ4,1717)*(5-MIN(4,4+'5. Scenarios'!$B$8))/4)*'5. Scenarios'!$B$6/(1+ProductivityDefault*('5. Scenarios'!$B$11-1))+INDEX(BookOneOff,1717)*$D1722)</f>
        <v/>
      </c>
      <c r="I1722" s="56" t="str">
        <f aca="false">IF(INDEX(BookTitle,1717)="","",INDEX(BookTotal,1717)*'5. Scenarios'!$C$6/(1+ProductivityDefault*('5. Scenarios'!$C$11-1)))</f>
        <v/>
      </c>
      <c r="J1722" s="57" t="str">
        <f aca="false">IF($I1722="","",INDEX(BookRate,1717)*(1+'5. Scenarios'!$C$10)*$I1722)</f>
        <v/>
      </c>
      <c r="K1722" s="57" t="str">
        <f aca="false">IF($J1722="","",SUMIFS($J$6:$J$2405,$A$6:$A$2405,"&lt;="&amp;$A1722))</f>
        <v/>
      </c>
      <c r="L1722" s="57" t="str">
        <f aca="false">IF($J1722="","",IF($K1722&lt;=BankCostEnvelope*'5. Scenarios'!$C$7,1,0))</f>
        <v/>
      </c>
      <c r="M1722" s="57" t="str">
        <f aca="false">IF($I1722="","",INDEX(BookRate,1717)*(1+'5. Scenarios'!$C$10)*(INDEX(BookQ1,1717)*(5-MIN(4,1+'5. Scenarios'!$C$8))/4+INDEX(BookQ2,1717)*(5-MIN(4,2+'5. Scenarios'!$C$8))/4+INDEX(BookQ3,1717)*(5-MIN(4,3+'5. Scenarios'!$C$8))/4+INDEX(BookQ4,1717)*(5-MIN(4,4+'5. Scenarios'!$C$8))/4)*'5. Scenarios'!$C$6/(1+ProductivityDefault*('5. Scenarios'!$C$11-1))+INDEX(BookOneOff,1717)*$I1722)</f>
        <v/>
      </c>
      <c r="N1722" s="56" t="str">
        <f aca="false">IF(INDEX(BookTitle,1717)="","",INDEX(BookTotal,1717)*'5. Scenarios'!$D$6/(1+ProductivityDefault*('5. Scenarios'!$D$11-1)))</f>
        <v/>
      </c>
      <c r="O1722" s="57" t="str">
        <f aca="false">IF($N1722="","",INDEX(BookRate,1717)*(1+'5. Scenarios'!$D$10)*$N1722)</f>
        <v/>
      </c>
      <c r="P1722" s="57" t="str">
        <f aca="false">IF($O1722="","",SUMIFS($O$6:$O$2405,$A$6:$A$2405,"&lt;="&amp;$A1722))</f>
        <v/>
      </c>
      <c r="Q1722" s="57" t="str">
        <f aca="false">IF($O1722="","",IF($P1722&lt;=BankCostEnvelope*'5. Scenarios'!$D$7,1,0))</f>
        <v/>
      </c>
      <c r="R1722" s="57" t="str">
        <f aca="false">IF($N1722="","",INDEX(BookRate,1717)*(1+'5. Scenarios'!$D$10)*(INDEX(BookQ1,1717)*(5-MIN(4,1+'5. Scenarios'!$D$8))/4+INDEX(BookQ2,1717)*(5-MIN(4,2+'5. Scenarios'!$D$8))/4+INDEX(BookQ3,1717)*(5-MIN(4,3+'5. Scenarios'!$D$8))/4+INDEX(BookQ4,1717)*(5-MIN(4,4+'5. Scenarios'!$D$8))/4)*'5. Scenarios'!$D$6/(1+ProductivityDefault*('5. Scenarios'!$D$11-1))+INDEX(BookOneOff,1717)*$N1722)</f>
        <v/>
      </c>
      <c r="S1722" s="56" t="str">
        <f aca="false">IF(INDEX(BookTitle,1717)="","",INDEX(BookTotal,1717)*'5. Scenarios'!$E$6/(1+ProductivityDefault*('5. Scenarios'!$E$11-1)))</f>
        <v/>
      </c>
      <c r="T1722" s="57" t="str">
        <f aca="false">IF($S1722="","",INDEX(BookRate,1717)*(1+'5. Scenarios'!$E$10)*$S1722)</f>
        <v/>
      </c>
      <c r="U1722" s="57" t="str">
        <f aca="false">IF($T1722="","",SUMIFS($T$6:$T$2405,$A$6:$A$2405,"&lt;="&amp;$A1722))</f>
        <v/>
      </c>
      <c r="V1722" s="57" t="str">
        <f aca="false">IF($T1722="","",IF($U1722&lt;=BankCostEnvelope*'5. Scenarios'!$E$7,1,0))</f>
        <v/>
      </c>
      <c r="W1722" s="57" t="str">
        <f aca="false">IF($S1722="","",INDEX(BookRate,1717)*(1+'5. Scenarios'!$E$10)*(INDEX(BookQ1,1717)*(5-MIN(4,1+'5. Scenarios'!$E$8))/4+INDEX(BookQ2,1717)*(5-MIN(4,2+'5. Scenarios'!$E$8))/4+INDEX(BookQ3,1717)*(5-MIN(4,3+'5. Scenarios'!$E$8))/4+INDEX(BookQ4,1717)*(5-MIN(4,4+'5. Scenarios'!$E$8))/4)*'5. Scenarios'!$E$6/(1+ProductivityDefault*('5. Scenarios'!$E$11-1))+INDEX(BookOneOff,1717)*$S1722)</f>
        <v/>
      </c>
    </row>
    <row r="1723" customFormat="false" ht="15" hidden="false" customHeight="false" outlineLevel="0" collapsed="false">
      <c r="A1723" s="0" t="str">
        <f aca="false">IF(INDEX(BookTitle,1718)="","",INDEX(BookKey,1718))</f>
        <v/>
      </c>
      <c r="B1723" s="0" t="str">
        <f aca="false">IF(INDEX(BookTitle,1718)="","",INDEX(BookGroup,1718))</f>
        <v/>
      </c>
      <c r="C1723" s="0" t="str">
        <f aca="false">IF(INDEX(BookTitle,1718)="","",INDEX(BookCategory,1718))</f>
        <v/>
      </c>
      <c r="D1723" s="56" t="str">
        <f aca="false">IF(INDEX(BookTitle,1718)="","",INDEX(BookTotal,1718)*'5. Scenarios'!$B$6/(1+ProductivityDefault*('5. Scenarios'!$B$11-1)))</f>
        <v/>
      </c>
      <c r="E1723" s="57" t="str">
        <f aca="false">IF($D1723="","",INDEX(BookRate,1718)*(1+'5. Scenarios'!$B$10)*$D1723)</f>
        <v/>
      </c>
      <c r="F1723" s="57" t="str">
        <f aca="false">IF($E1723="","",SUMIFS($E$6:$E$2405,$A$6:$A$2405,"&lt;="&amp;$A1723))</f>
        <v/>
      </c>
      <c r="G1723" s="57" t="str">
        <f aca="false">IF($E1723="","",IF($F1723&lt;=BankCostEnvelope*'5. Scenarios'!$B$7,1,0))</f>
        <v/>
      </c>
      <c r="H1723" s="57" t="str">
        <f aca="false">IF($D1723="","",INDEX(BookRate,1718)*(1+'5. Scenarios'!$B$10)*(INDEX(BookQ1,1718)*(5-MIN(4,1+'5. Scenarios'!$B$8))/4+INDEX(BookQ2,1718)*(5-MIN(4,2+'5. Scenarios'!$B$8))/4+INDEX(BookQ3,1718)*(5-MIN(4,3+'5. Scenarios'!$B$8))/4+INDEX(BookQ4,1718)*(5-MIN(4,4+'5. Scenarios'!$B$8))/4)*'5. Scenarios'!$B$6/(1+ProductivityDefault*('5. Scenarios'!$B$11-1))+INDEX(BookOneOff,1718)*$D1723)</f>
        <v/>
      </c>
      <c r="I1723" s="56" t="str">
        <f aca="false">IF(INDEX(BookTitle,1718)="","",INDEX(BookTotal,1718)*'5. Scenarios'!$C$6/(1+ProductivityDefault*('5. Scenarios'!$C$11-1)))</f>
        <v/>
      </c>
      <c r="J1723" s="57" t="str">
        <f aca="false">IF($I1723="","",INDEX(BookRate,1718)*(1+'5. Scenarios'!$C$10)*$I1723)</f>
        <v/>
      </c>
      <c r="K1723" s="57" t="str">
        <f aca="false">IF($J1723="","",SUMIFS($J$6:$J$2405,$A$6:$A$2405,"&lt;="&amp;$A1723))</f>
        <v/>
      </c>
      <c r="L1723" s="57" t="str">
        <f aca="false">IF($J1723="","",IF($K1723&lt;=BankCostEnvelope*'5. Scenarios'!$C$7,1,0))</f>
        <v/>
      </c>
      <c r="M1723" s="57" t="str">
        <f aca="false">IF($I1723="","",INDEX(BookRate,1718)*(1+'5. Scenarios'!$C$10)*(INDEX(BookQ1,1718)*(5-MIN(4,1+'5. Scenarios'!$C$8))/4+INDEX(BookQ2,1718)*(5-MIN(4,2+'5. Scenarios'!$C$8))/4+INDEX(BookQ3,1718)*(5-MIN(4,3+'5. Scenarios'!$C$8))/4+INDEX(BookQ4,1718)*(5-MIN(4,4+'5. Scenarios'!$C$8))/4)*'5. Scenarios'!$C$6/(1+ProductivityDefault*('5. Scenarios'!$C$11-1))+INDEX(BookOneOff,1718)*$I1723)</f>
        <v/>
      </c>
      <c r="N1723" s="56" t="str">
        <f aca="false">IF(INDEX(BookTitle,1718)="","",INDEX(BookTotal,1718)*'5. Scenarios'!$D$6/(1+ProductivityDefault*('5. Scenarios'!$D$11-1)))</f>
        <v/>
      </c>
      <c r="O1723" s="57" t="str">
        <f aca="false">IF($N1723="","",INDEX(BookRate,1718)*(1+'5. Scenarios'!$D$10)*$N1723)</f>
        <v/>
      </c>
      <c r="P1723" s="57" t="str">
        <f aca="false">IF($O1723="","",SUMIFS($O$6:$O$2405,$A$6:$A$2405,"&lt;="&amp;$A1723))</f>
        <v/>
      </c>
      <c r="Q1723" s="57" t="str">
        <f aca="false">IF($O1723="","",IF($P1723&lt;=BankCostEnvelope*'5. Scenarios'!$D$7,1,0))</f>
        <v/>
      </c>
      <c r="R1723" s="57" t="str">
        <f aca="false">IF($N1723="","",INDEX(BookRate,1718)*(1+'5. Scenarios'!$D$10)*(INDEX(BookQ1,1718)*(5-MIN(4,1+'5. Scenarios'!$D$8))/4+INDEX(BookQ2,1718)*(5-MIN(4,2+'5. Scenarios'!$D$8))/4+INDEX(BookQ3,1718)*(5-MIN(4,3+'5. Scenarios'!$D$8))/4+INDEX(BookQ4,1718)*(5-MIN(4,4+'5. Scenarios'!$D$8))/4)*'5. Scenarios'!$D$6/(1+ProductivityDefault*('5. Scenarios'!$D$11-1))+INDEX(BookOneOff,1718)*$N1723)</f>
        <v/>
      </c>
      <c r="S1723" s="56" t="str">
        <f aca="false">IF(INDEX(BookTitle,1718)="","",INDEX(BookTotal,1718)*'5. Scenarios'!$E$6/(1+ProductivityDefault*('5. Scenarios'!$E$11-1)))</f>
        <v/>
      </c>
      <c r="T1723" s="57" t="str">
        <f aca="false">IF($S1723="","",INDEX(BookRate,1718)*(1+'5. Scenarios'!$E$10)*$S1723)</f>
        <v/>
      </c>
      <c r="U1723" s="57" t="str">
        <f aca="false">IF($T1723="","",SUMIFS($T$6:$T$2405,$A$6:$A$2405,"&lt;="&amp;$A1723))</f>
        <v/>
      </c>
      <c r="V1723" s="57" t="str">
        <f aca="false">IF($T1723="","",IF($U1723&lt;=BankCostEnvelope*'5. Scenarios'!$E$7,1,0))</f>
        <v/>
      </c>
      <c r="W1723" s="57" t="str">
        <f aca="false">IF($S1723="","",INDEX(BookRate,1718)*(1+'5. Scenarios'!$E$10)*(INDEX(BookQ1,1718)*(5-MIN(4,1+'5. Scenarios'!$E$8))/4+INDEX(BookQ2,1718)*(5-MIN(4,2+'5. Scenarios'!$E$8))/4+INDEX(BookQ3,1718)*(5-MIN(4,3+'5. Scenarios'!$E$8))/4+INDEX(BookQ4,1718)*(5-MIN(4,4+'5. Scenarios'!$E$8))/4)*'5. Scenarios'!$E$6/(1+ProductivityDefault*('5. Scenarios'!$E$11-1))+INDEX(BookOneOff,1718)*$S1723)</f>
        <v/>
      </c>
    </row>
    <row r="1724" customFormat="false" ht="15" hidden="false" customHeight="false" outlineLevel="0" collapsed="false">
      <c r="A1724" s="0" t="str">
        <f aca="false">IF(INDEX(BookTitle,1719)="","",INDEX(BookKey,1719))</f>
        <v/>
      </c>
      <c r="B1724" s="0" t="str">
        <f aca="false">IF(INDEX(BookTitle,1719)="","",INDEX(BookGroup,1719))</f>
        <v/>
      </c>
      <c r="C1724" s="0" t="str">
        <f aca="false">IF(INDEX(BookTitle,1719)="","",INDEX(BookCategory,1719))</f>
        <v/>
      </c>
      <c r="D1724" s="56" t="str">
        <f aca="false">IF(INDEX(BookTitle,1719)="","",INDEX(BookTotal,1719)*'5. Scenarios'!$B$6/(1+ProductivityDefault*('5. Scenarios'!$B$11-1)))</f>
        <v/>
      </c>
      <c r="E1724" s="57" t="str">
        <f aca="false">IF($D1724="","",INDEX(BookRate,1719)*(1+'5. Scenarios'!$B$10)*$D1724)</f>
        <v/>
      </c>
      <c r="F1724" s="57" t="str">
        <f aca="false">IF($E1724="","",SUMIFS($E$6:$E$2405,$A$6:$A$2405,"&lt;="&amp;$A1724))</f>
        <v/>
      </c>
      <c r="G1724" s="57" t="str">
        <f aca="false">IF($E1724="","",IF($F1724&lt;=BankCostEnvelope*'5. Scenarios'!$B$7,1,0))</f>
        <v/>
      </c>
      <c r="H1724" s="57" t="str">
        <f aca="false">IF($D1724="","",INDEX(BookRate,1719)*(1+'5. Scenarios'!$B$10)*(INDEX(BookQ1,1719)*(5-MIN(4,1+'5. Scenarios'!$B$8))/4+INDEX(BookQ2,1719)*(5-MIN(4,2+'5. Scenarios'!$B$8))/4+INDEX(BookQ3,1719)*(5-MIN(4,3+'5. Scenarios'!$B$8))/4+INDEX(BookQ4,1719)*(5-MIN(4,4+'5. Scenarios'!$B$8))/4)*'5. Scenarios'!$B$6/(1+ProductivityDefault*('5. Scenarios'!$B$11-1))+INDEX(BookOneOff,1719)*$D1724)</f>
        <v/>
      </c>
      <c r="I1724" s="56" t="str">
        <f aca="false">IF(INDEX(BookTitle,1719)="","",INDEX(BookTotal,1719)*'5. Scenarios'!$C$6/(1+ProductivityDefault*('5. Scenarios'!$C$11-1)))</f>
        <v/>
      </c>
      <c r="J1724" s="57" t="str">
        <f aca="false">IF($I1724="","",INDEX(BookRate,1719)*(1+'5. Scenarios'!$C$10)*$I1724)</f>
        <v/>
      </c>
      <c r="K1724" s="57" t="str">
        <f aca="false">IF($J1724="","",SUMIFS($J$6:$J$2405,$A$6:$A$2405,"&lt;="&amp;$A1724))</f>
        <v/>
      </c>
      <c r="L1724" s="57" t="str">
        <f aca="false">IF($J1724="","",IF($K1724&lt;=BankCostEnvelope*'5. Scenarios'!$C$7,1,0))</f>
        <v/>
      </c>
      <c r="M1724" s="57" t="str">
        <f aca="false">IF($I1724="","",INDEX(BookRate,1719)*(1+'5. Scenarios'!$C$10)*(INDEX(BookQ1,1719)*(5-MIN(4,1+'5. Scenarios'!$C$8))/4+INDEX(BookQ2,1719)*(5-MIN(4,2+'5. Scenarios'!$C$8))/4+INDEX(BookQ3,1719)*(5-MIN(4,3+'5. Scenarios'!$C$8))/4+INDEX(BookQ4,1719)*(5-MIN(4,4+'5. Scenarios'!$C$8))/4)*'5. Scenarios'!$C$6/(1+ProductivityDefault*('5. Scenarios'!$C$11-1))+INDEX(BookOneOff,1719)*$I1724)</f>
        <v/>
      </c>
      <c r="N1724" s="56" t="str">
        <f aca="false">IF(INDEX(BookTitle,1719)="","",INDEX(BookTotal,1719)*'5. Scenarios'!$D$6/(1+ProductivityDefault*('5. Scenarios'!$D$11-1)))</f>
        <v/>
      </c>
      <c r="O1724" s="57" t="str">
        <f aca="false">IF($N1724="","",INDEX(BookRate,1719)*(1+'5. Scenarios'!$D$10)*$N1724)</f>
        <v/>
      </c>
      <c r="P1724" s="57" t="str">
        <f aca="false">IF($O1724="","",SUMIFS($O$6:$O$2405,$A$6:$A$2405,"&lt;="&amp;$A1724))</f>
        <v/>
      </c>
      <c r="Q1724" s="57" t="str">
        <f aca="false">IF($O1724="","",IF($P1724&lt;=BankCostEnvelope*'5. Scenarios'!$D$7,1,0))</f>
        <v/>
      </c>
      <c r="R1724" s="57" t="str">
        <f aca="false">IF($N1724="","",INDEX(BookRate,1719)*(1+'5. Scenarios'!$D$10)*(INDEX(BookQ1,1719)*(5-MIN(4,1+'5. Scenarios'!$D$8))/4+INDEX(BookQ2,1719)*(5-MIN(4,2+'5. Scenarios'!$D$8))/4+INDEX(BookQ3,1719)*(5-MIN(4,3+'5. Scenarios'!$D$8))/4+INDEX(BookQ4,1719)*(5-MIN(4,4+'5. Scenarios'!$D$8))/4)*'5. Scenarios'!$D$6/(1+ProductivityDefault*('5. Scenarios'!$D$11-1))+INDEX(BookOneOff,1719)*$N1724)</f>
        <v/>
      </c>
      <c r="S1724" s="56" t="str">
        <f aca="false">IF(INDEX(BookTitle,1719)="","",INDEX(BookTotal,1719)*'5. Scenarios'!$E$6/(1+ProductivityDefault*('5. Scenarios'!$E$11-1)))</f>
        <v/>
      </c>
      <c r="T1724" s="57" t="str">
        <f aca="false">IF($S1724="","",INDEX(BookRate,1719)*(1+'5. Scenarios'!$E$10)*$S1724)</f>
        <v/>
      </c>
      <c r="U1724" s="57" t="str">
        <f aca="false">IF($T1724="","",SUMIFS($T$6:$T$2405,$A$6:$A$2405,"&lt;="&amp;$A1724))</f>
        <v/>
      </c>
      <c r="V1724" s="57" t="str">
        <f aca="false">IF($T1724="","",IF($U1724&lt;=BankCostEnvelope*'5. Scenarios'!$E$7,1,0))</f>
        <v/>
      </c>
      <c r="W1724" s="57" t="str">
        <f aca="false">IF($S1724="","",INDEX(BookRate,1719)*(1+'5. Scenarios'!$E$10)*(INDEX(BookQ1,1719)*(5-MIN(4,1+'5. Scenarios'!$E$8))/4+INDEX(BookQ2,1719)*(5-MIN(4,2+'5. Scenarios'!$E$8))/4+INDEX(BookQ3,1719)*(5-MIN(4,3+'5. Scenarios'!$E$8))/4+INDEX(BookQ4,1719)*(5-MIN(4,4+'5. Scenarios'!$E$8))/4)*'5. Scenarios'!$E$6/(1+ProductivityDefault*('5. Scenarios'!$E$11-1))+INDEX(BookOneOff,1719)*$S1724)</f>
        <v/>
      </c>
    </row>
    <row r="1725" customFormat="false" ht="15" hidden="false" customHeight="false" outlineLevel="0" collapsed="false">
      <c r="A1725" s="0" t="str">
        <f aca="false">IF(INDEX(BookTitle,1720)="","",INDEX(BookKey,1720))</f>
        <v/>
      </c>
      <c r="B1725" s="0" t="str">
        <f aca="false">IF(INDEX(BookTitle,1720)="","",INDEX(BookGroup,1720))</f>
        <v/>
      </c>
      <c r="C1725" s="0" t="str">
        <f aca="false">IF(INDEX(BookTitle,1720)="","",INDEX(BookCategory,1720))</f>
        <v/>
      </c>
      <c r="D1725" s="56" t="str">
        <f aca="false">IF(INDEX(BookTitle,1720)="","",INDEX(BookTotal,1720)*'5. Scenarios'!$B$6/(1+ProductivityDefault*('5. Scenarios'!$B$11-1)))</f>
        <v/>
      </c>
      <c r="E1725" s="57" t="str">
        <f aca="false">IF($D1725="","",INDEX(BookRate,1720)*(1+'5. Scenarios'!$B$10)*$D1725)</f>
        <v/>
      </c>
      <c r="F1725" s="57" t="str">
        <f aca="false">IF($E1725="","",SUMIFS($E$6:$E$2405,$A$6:$A$2405,"&lt;="&amp;$A1725))</f>
        <v/>
      </c>
      <c r="G1725" s="57" t="str">
        <f aca="false">IF($E1725="","",IF($F1725&lt;=BankCostEnvelope*'5. Scenarios'!$B$7,1,0))</f>
        <v/>
      </c>
      <c r="H1725" s="57" t="str">
        <f aca="false">IF($D1725="","",INDEX(BookRate,1720)*(1+'5. Scenarios'!$B$10)*(INDEX(BookQ1,1720)*(5-MIN(4,1+'5. Scenarios'!$B$8))/4+INDEX(BookQ2,1720)*(5-MIN(4,2+'5. Scenarios'!$B$8))/4+INDEX(BookQ3,1720)*(5-MIN(4,3+'5. Scenarios'!$B$8))/4+INDEX(BookQ4,1720)*(5-MIN(4,4+'5. Scenarios'!$B$8))/4)*'5. Scenarios'!$B$6/(1+ProductivityDefault*('5. Scenarios'!$B$11-1))+INDEX(BookOneOff,1720)*$D1725)</f>
        <v/>
      </c>
      <c r="I1725" s="56" t="str">
        <f aca="false">IF(INDEX(BookTitle,1720)="","",INDEX(BookTotal,1720)*'5. Scenarios'!$C$6/(1+ProductivityDefault*('5. Scenarios'!$C$11-1)))</f>
        <v/>
      </c>
      <c r="J1725" s="57" t="str">
        <f aca="false">IF($I1725="","",INDEX(BookRate,1720)*(1+'5. Scenarios'!$C$10)*$I1725)</f>
        <v/>
      </c>
      <c r="K1725" s="57" t="str">
        <f aca="false">IF($J1725="","",SUMIFS($J$6:$J$2405,$A$6:$A$2405,"&lt;="&amp;$A1725))</f>
        <v/>
      </c>
      <c r="L1725" s="57" t="str">
        <f aca="false">IF($J1725="","",IF($K1725&lt;=BankCostEnvelope*'5. Scenarios'!$C$7,1,0))</f>
        <v/>
      </c>
      <c r="M1725" s="57" t="str">
        <f aca="false">IF($I1725="","",INDEX(BookRate,1720)*(1+'5. Scenarios'!$C$10)*(INDEX(BookQ1,1720)*(5-MIN(4,1+'5. Scenarios'!$C$8))/4+INDEX(BookQ2,1720)*(5-MIN(4,2+'5. Scenarios'!$C$8))/4+INDEX(BookQ3,1720)*(5-MIN(4,3+'5. Scenarios'!$C$8))/4+INDEX(BookQ4,1720)*(5-MIN(4,4+'5. Scenarios'!$C$8))/4)*'5. Scenarios'!$C$6/(1+ProductivityDefault*('5. Scenarios'!$C$11-1))+INDEX(BookOneOff,1720)*$I1725)</f>
        <v/>
      </c>
      <c r="N1725" s="56" t="str">
        <f aca="false">IF(INDEX(BookTitle,1720)="","",INDEX(BookTotal,1720)*'5. Scenarios'!$D$6/(1+ProductivityDefault*('5. Scenarios'!$D$11-1)))</f>
        <v/>
      </c>
      <c r="O1725" s="57" t="str">
        <f aca="false">IF($N1725="","",INDEX(BookRate,1720)*(1+'5. Scenarios'!$D$10)*$N1725)</f>
        <v/>
      </c>
      <c r="P1725" s="57" t="str">
        <f aca="false">IF($O1725="","",SUMIFS($O$6:$O$2405,$A$6:$A$2405,"&lt;="&amp;$A1725))</f>
        <v/>
      </c>
      <c r="Q1725" s="57" t="str">
        <f aca="false">IF($O1725="","",IF($P1725&lt;=BankCostEnvelope*'5. Scenarios'!$D$7,1,0))</f>
        <v/>
      </c>
      <c r="R1725" s="57" t="str">
        <f aca="false">IF($N1725="","",INDEX(BookRate,1720)*(1+'5. Scenarios'!$D$10)*(INDEX(BookQ1,1720)*(5-MIN(4,1+'5. Scenarios'!$D$8))/4+INDEX(BookQ2,1720)*(5-MIN(4,2+'5. Scenarios'!$D$8))/4+INDEX(BookQ3,1720)*(5-MIN(4,3+'5. Scenarios'!$D$8))/4+INDEX(BookQ4,1720)*(5-MIN(4,4+'5. Scenarios'!$D$8))/4)*'5. Scenarios'!$D$6/(1+ProductivityDefault*('5. Scenarios'!$D$11-1))+INDEX(BookOneOff,1720)*$N1725)</f>
        <v/>
      </c>
      <c r="S1725" s="56" t="str">
        <f aca="false">IF(INDEX(BookTitle,1720)="","",INDEX(BookTotal,1720)*'5. Scenarios'!$E$6/(1+ProductivityDefault*('5. Scenarios'!$E$11-1)))</f>
        <v/>
      </c>
      <c r="T1725" s="57" t="str">
        <f aca="false">IF($S1725="","",INDEX(BookRate,1720)*(1+'5. Scenarios'!$E$10)*$S1725)</f>
        <v/>
      </c>
      <c r="U1725" s="57" t="str">
        <f aca="false">IF($T1725="","",SUMIFS($T$6:$T$2405,$A$6:$A$2405,"&lt;="&amp;$A1725))</f>
        <v/>
      </c>
      <c r="V1725" s="57" t="str">
        <f aca="false">IF($T1725="","",IF($U1725&lt;=BankCostEnvelope*'5. Scenarios'!$E$7,1,0))</f>
        <v/>
      </c>
      <c r="W1725" s="57" t="str">
        <f aca="false">IF($S1725="","",INDEX(BookRate,1720)*(1+'5. Scenarios'!$E$10)*(INDEX(BookQ1,1720)*(5-MIN(4,1+'5. Scenarios'!$E$8))/4+INDEX(BookQ2,1720)*(5-MIN(4,2+'5. Scenarios'!$E$8))/4+INDEX(BookQ3,1720)*(5-MIN(4,3+'5. Scenarios'!$E$8))/4+INDEX(BookQ4,1720)*(5-MIN(4,4+'5. Scenarios'!$E$8))/4)*'5. Scenarios'!$E$6/(1+ProductivityDefault*('5. Scenarios'!$E$11-1))+INDEX(BookOneOff,1720)*$S1725)</f>
        <v/>
      </c>
    </row>
    <row r="1726" customFormat="false" ht="15" hidden="false" customHeight="false" outlineLevel="0" collapsed="false">
      <c r="A1726" s="0" t="str">
        <f aca="false">IF(INDEX(BookTitle,1721)="","",INDEX(BookKey,1721))</f>
        <v/>
      </c>
      <c r="B1726" s="0" t="str">
        <f aca="false">IF(INDEX(BookTitle,1721)="","",INDEX(BookGroup,1721))</f>
        <v/>
      </c>
      <c r="C1726" s="0" t="str">
        <f aca="false">IF(INDEX(BookTitle,1721)="","",INDEX(BookCategory,1721))</f>
        <v/>
      </c>
      <c r="D1726" s="56" t="str">
        <f aca="false">IF(INDEX(BookTitle,1721)="","",INDEX(BookTotal,1721)*'5. Scenarios'!$B$6/(1+ProductivityDefault*('5. Scenarios'!$B$11-1)))</f>
        <v/>
      </c>
      <c r="E1726" s="57" t="str">
        <f aca="false">IF($D1726="","",INDEX(BookRate,1721)*(1+'5. Scenarios'!$B$10)*$D1726)</f>
        <v/>
      </c>
      <c r="F1726" s="57" t="str">
        <f aca="false">IF($E1726="","",SUMIFS($E$6:$E$2405,$A$6:$A$2405,"&lt;="&amp;$A1726))</f>
        <v/>
      </c>
      <c r="G1726" s="57" t="str">
        <f aca="false">IF($E1726="","",IF($F1726&lt;=BankCostEnvelope*'5. Scenarios'!$B$7,1,0))</f>
        <v/>
      </c>
      <c r="H1726" s="57" t="str">
        <f aca="false">IF($D1726="","",INDEX(BookRate,1721)*(1+'5. Scenarios'!$B$10)*(INDEX(BookQ1,1721)*(5-MIN(4,1+'5. Scenarios'!$B$8))/4+INDEX(BookQ2,1721)*(5-MIN(4,2+'5. Scenarios'!$B$8))/4+INDEX(BookQ3,1721)*(5-MIN(4,3+'5. Scenarios'!$B$8))/4+INDEX(BookQ4,1721)*(5-MIN(4,4+'5. Scenarios'!$B$8))/4)*'5. Scenarios'!$B$6/(1+ProductivityDefault*('5. Scenarios'!$B$11-1))+INDEX(BookOneOff,1721)*$D1726)</f>
        <v/>
      </c>
      <c r="I1726" s="56" t="str">
        <f aca="false">IF(INDEX(BookTitle,1721)="","",INDEX(BookTotal,1721)*'5. Scenarios'!$C$6/(1+ProductivityDefault*('5. Scenarios'!$C$11-1)))</f>
        <v/>
      </c>
      <c r="J1726" s="57" t="str">
        <f aca="false">IF($I1726="","",INDEX(BookRate,1721)*(1+'5. Scenarios'!$C$10)*$I1726)</f>
        <v/>
      </c>
      <c r="K1726" s="57" t="str">
        <f aca="false">IF($J1726="","",SUMIFS($J$6:$J$2405,$A$6:$A$2405,"&lt;="&amp;$A1726))</f>
        <v/>
      </c>
      <c r="L1726" s="57" t="str">
        <f aca="false">IF($J1726="","",IF($K1726&lt;=BankCostEnvelope*'5. Scenarios'!$C$7,1,0))</f>
        <v/>
      </c>
      <c r="M1726" s="57" t="str">
        <f aca="false">IF($I1726="","",INDEX(BookRate,1721)*(1+'5. Scenarios'!$C$10)*(INDEX(BookQ1,1721)*(5-MIN(4,1+'5. Scenarios'!$C$8))/4+INDEX(BookQ2,1721)*(5-MIN(4,2+'5. Scenarios'!$C$8))/4+INDEX(BookQ3,1721)*(5-MIN(4,3+'5. Scenarios'!$C$8))/4+INDEX(BookQ4,1721)*(5-MIN(4,4+'5. Scenarios'!$C$8))/4)*'5. Scenarios'!$C$6/(1+ProductivityDefault*('5. Scenarios'!$C$11-1))+INDEX(BookOneOff,1721)*$I1726)</f>
        <v/>
      </c>
      <c r="N1726" s="56" t="str">
        <f aca="false">IF(INDEX(BookTitle,1721)="","",INDEX(BookTotal,1721)*'5. Scenarios'!$D$6/(1+ProductivityDefault*('5. Scenarios'!$D$11-1)))</f>
        <v/>
      </c>
      <c r="O1726" s="57" t="str">
        <f aca="false">IF($N1726="","",INDEX(BookRate,1721)*(1+'5. Scenarios'!$D$10)*$N1726)</f>
        <v/>
      </c>
      <c r="P1726" s="57" t="str">
        <f aca="false">IF($O1726="","",SUMIFS($O$6:$O$2405,$A$6:$A$2405,"&lt;="&amp;$A1726))</f>
        <v/>
      </c>
      <c r="Q1726" s="57" t="str">
        <f aca="false">IF($O1726="","",IF($P1726&lt;=BankCostEnvelope*'5. Scenarios'!$D$7,1,0))</f>
        <v/>
      </c>
      <c r="R1726" s="57" t="str">
        <f aca="false">IF($N1726="","",INDEX(BookRate,1721)*(1+'5. Scenarios'!$D$10)*(INDEX(BookQ1,1721)*(5-MIN(4,1+'5. Scenarios'!$D$8))/4+INDEX(BookQ2,1721)*(5-MIN(4,2+'5. Scenarios'!$D$8))/4+INDEX(BookQ3,1721)*(5-MIN(4,3+'5. Scenarios'!$D$8))/4+INDEX(BookQ4,1721)*(5-MIN(4,4+'5. Scenarios'!$D$8))/4)*'5. Scenarios'!$D$6/(1+ProductivityDefault*('5. Scenarios'!$D$11-1))+INDEX(BookOneOff,1721)*$N1726)</f>
        <v/>
      </c>
      <c r="S1726" s="56" t="str">
        <f aca="false">IF(INDEX(BookTitle,1721)="","",INDEX(BookTotal,1721)*'5. Scenarios'!$E$6/(1+ProductivityDefault*('5. Scenarios'!$E$11-1)))</f>
        <v/>
      </c>
      <c r="T1726" s="57" t="str">
        <f aca="false">IF($S1726="","",INDEX(BookRate,1721)*(1+'5. Scenarios'!$E$10)*$S1726)</f>
        <v/>
      </c>
      <c r="U1726" s="57" t="str">
        <f aca="false">IF($T1726="","",SUMIFS($T$6:$T$2405,$A$6:$A$2405,"&lt;="&amp;$A1726))</f>
        <v/>
      </c>
      <c r="V1726" s="57" t="str">
        <f aca="false">IF($T1726="","",IF($U1726&lt;=BankCostEnvelope*'5. Scenarios'!$E$7,1,0))</f>
        <v/>
      </c>
      <c r="W1726" s="57" t="str">
        <f aca="false">IF($S1726="","",INDEX(BookRate,1721)*(1+'5. Scenarios'!$E$10)*(INDEX(BookQ1,1721)*(5-MIN(4,1+'5. Scenarios'!$E$8))/4+INDEX(BookQ2,1721)*(5-MIN(4,2+'5. Scenarios'!$E$8))/4+INDEX(BookQ3,1721)*(5-MIN(4,3+'5. Scenarios'!$E$8))/4+INDEX(BookQ4,1721)*(5-MIN(4,4+'5. Scenarios'!$E$8))/4)*'5. Scenarios'!$E$6/(1+ProductivityDefault*('5. Scenarios'!$E$11-1))+INDEX(BookOneOff,1721)*$S1726)</f>
        <v/>
      </c>
    </row>
    <row r="1727" customFormat="false" ht="15" hidden="false" customHeight="false" outlineLevel="0" collapsed="false">
      <c r="A1727" s="0" t="str">
        <f aca="false">IF(INDEX(BookTitle,1722)="","",INDEX(BookKey,1722))</f>
        <v/>
      </c>
      <c r="B1727" s="0" t="str">
        <f aca="false">IF(INDEX(BookTitle,1722)="","",INDEX(BookGroup,1722))</f>
        <v/>
      </c>
      <c r="C1727" s="0" t="str">
        <f aca="false">IF(INDEX(BookTitle,1722)="","",INDEX(BookCategory,1722))</f>
        <v/>
      </c>
      <c r="D1727" s="56" t="str">
        <f aca="false">IF(INDEX(BookTitle,1722)="","",INDEX(BookTotal,1722)*'5. Scenarios'!$B$6/(1+ProductivityDefault*('5. Scenarios'!$B$11-1)))</f>
        <v/>
      </c>
      <c r="E1727" s="57" t="str">
        <f aca="false">IF($D1727="","",INDEX(BookRate,1722)*(1+'5. Scenarios'!$B$10)*$D1727)</f>
        <v/>
      </c>
      <c r="F1727" s="57" t="str">
        <f aca="false">IF($E1727="","",SUMIFS($E$6:$E$2405,$A$6:$A$2405,"&lt;="&amp;$A1727))</f>
        <v/>
      </c>
      <c r="G1727" s="57" t="str">
        <f aca="false">IF($E1727="","",IF($F1727&lt;=BankCostEnvelope*'5. Scenarios'!$B$7,1,0))</f>
        <v/>
      </c>
      <c r="H1727" s="57" t="str">
        <f aca="false">IF($D1727="","",INDEX(BookRate,1722)*(1+'5. Scenarios'!$B$10)*(INDEX(BookQ1,1722)*(5-MIN(4,1+'5. Scenarios'!$B$8))/4+INDEX(BookQ2,1722)*(5-MIN(4,2+'5. Scenarios'!$B$8))/4+INDEX(BookQ3,1722)*(5-MIN(4,3+'5. Scenarios'!$B$8))/4+INDEX(BookQ4,1722)*(5-MIN(4,4+'5. Scenarios'!$B$8))/4)*'5. Scenarios'!$B$6/(1+ProductivityDefault*('5. Scenarios'!$B$11-1))+INDEX(BookOneOff,1722)*$D1727)</f>
        <v/>
      </c>
      <c r="I1727" s="56" t="str">
        <f aca="false">IF(INDEX(BookTitle,1722)="","",INDEX(BookTotal,1722)*'5. Scenarios'!$C$6/(1+ProductivityDefault*('5. Scenarios'!$C$11-1)))</f>
        <v/>
      </c>
      <c r="J1727" s="57" t="str">
        <f aca="false">IF($I1727="","",INDEX(BookRate,1722)*(1+'5. Scenarios'!$C$10)*$I1727)</f>
        <v/>
      </c>
      <c r="K1727" s="57" t="str">
        <f aca="false">IF($J1727="","",SUMIFS($J$6:$J$2405,$A$6:$A$2405,"&lt;="&amp;$A1727))</f>
        <v/>
      </c>
      <c r="L1727" s="57" t="str">
        <f aca="false">IF($J1727="","",IF($K1727&lt;=BankCostEnvelope*'5. Scenarios'!$C$7,1,0))</f>
        <v/>
      </c>
      <c r="M1727" s="57" t="str">
        <f aca="false">IF($I1727="","",INDEX(BookRate,1722)*(1+'5. Scenarios'!$C$10)*(INDEX(BookQ1,1722)*(5-MIN(4,1+'5. Scenarios'!$C$8))/4+INDEX(BookQ2,1722)*(5-MIN(4,2+'5. Scenarios'!$C$8))/4+INDEX(BookQ3,1722)*(5-MIN(4,3+'5. Scenarios'!$C$8))/4+INDEX(BookQ4,1722)*(5-MIN(4,4+'5. Scenarios'!$C$8))/4)*'5. Scenarios'!$C$6/(1+ProductivityDefault*('5. Scenarios'!$C$11-1))+INDEX(BookOneOff,1722)*$I1727)</f>
        <v/>
      </c>
      <c r="N1727" s="56" t="str">
        <f aca="false">IF(INDEX(BookTitle,1722)="","",INDEX(BookTotal,1722)*'5. Scenarios'!$D$6/(1+ProductivityDefault*('5. Scenarios'!$D$11-1)))</f>
        <v/>
      </c>
      <c r="O1727" s="57" t="str">
        <f aca="false">IF($N1727="","",INDEX(BookRate,1722)*(1+'5. Scenarios'!$D$10)*$N1727)</f>
        <v/>
      </c>
      <c r="P1727" s="57" t="str">
        <f aca="false">IF($O1727="","",SUMIFS($O$6:$O$2405,$A$6:$A$2405,"&lt;="&amp;$A1727))</f>
        <v/>
      </c>
      <c r="Q1727" s="57" t="str">
        <f aca="false">IF($O1727="","",IF($P1727&lt;=BankCostEnvelope*'5. Scenarios'!$D$7,1,0))</f>
        <v/>
      </c>
      <c r="R1727" s="57" t="str">
        <f aca="false">IF($N1727="","",INDEX(BookRate,1722)*(1+'5. Scenarios'!$D$10)*(INDEX(BookQ1,1722)*(5-MIN(4,1+'5. Scenarios'!$D$8))/4+INDEX(BookQ2,1722)*(5-MIN(4,2+'5. Scenarios'!$D$8))/4+INDEX(BookQ3,1722)*(5-MIN(4,3+'5. Scenarios'!$D$8))/4+INDEX(BookQ4,1722)*(5-MIN(4,4+'5. Scenarios'!$D$8))/4)*'5. Scenarios'!$D$6/(1+ProductivityDefault*('5. Scenarios'!$D$11-1))+INDEX(BookOneOff,1722)*$N1727)</f>
        <v/>
      </c>
      <c r="S1727" s="56" t="str">
        <f aca="false">IF(INDEX(BookTitle,1722)="","",INDEX(BookTotal,1722)*'5. Scenarios'!$E$6/(1+ProductivityDefault*('5. Scenarios'!$E$11-1)))</f>
        <v/>
      </c>
      <c r="T1727" s="57" t="str">
        <f aca="false">IF($S1727="","",INDEX(BookRate,1722)*(1+'5. Scenarios'!$E$10)*$S1727)</f>
        <v/>
      </c>
      <c r="U1727" s="57" t="str">
        <f aca="false">IF($T1727="","",SUMIFS($T$6:$T$2405,$A$6:$A$2405,"&lt;="&amp;$A1727))</f>
        <v/>
      </c>
      <c r="V1727" s="57" t="str">
        <f aca="false">IF($T1727="","",IF($U1727&lt;=BankCostEnvelope*'5. Scenarios'!$E$7,1,0))</f>
        <v/>
      </c>
      <c r="W1727" s="57" t="str">
        <f aca="false">IF($S1727="","",INDEX(BookRate,1722)*(1+'5. Scenarios'!$E$10)*(INDEX(BookQ1,1722)*(5-MIN(4,1+'5. Scenarios'!$E$8))/4+INDEX(BookQ2,1722)*(5-MIN(4,2+'5. Scenarios'!$E$8))/4+INDEX(BookQ3,1722)*(5-MIN(4,3+'5. Scenarios'!$E$8))/4+INDEX(BookQ4,1722)*(5-MIN(4,4+'5. Scenarios'!$E$8))/4)*'5. Scenarios'!$E$6/(1+ProductivityDefault*('5. Scenarios'!$E$11-1))+INDEX(BookOneOff,1722)*$S1727)</f>
        <v/>
      </c>
    </row>
    <row r="1728" customFormat="false" ht="15" hidden="false" customHeight="false" outlineLevel="0" collapsed="false">
      <c r="A1728" s="0" t="str">
        <f aca="false">IF(INDEX(BookTitle,1723)="","",INDEX(BookKey,1723))</f>
        <v/>
      </c>
      <c r="B1728" s="0" t="str">
        <f aca="false">IF(INDEX(BookTitle,1723)="","",INDEX(BookGroup,1723))</f>
        <v/>
      </c>
      <c r="C1728" s="0" t="str">
        <f aca="false">IF(INDEX(BookTitle,1723)="","",INDEX(BookCategory,1723))</f>
        <v/>
      </c>
      <c r="D1728" s="56" t="str">
        <f aca="false">IF(INDEX(BookTitle,1723)="","",INDEX(BookTotal,1723)*'5. Scenarios'!$B$6/(1+ProductivityDefault*('5. Scenarios'!$B$11-1)))</f>
        <v/>
      </c>
      <c r="E1728" s="57" t="str">
        <f aca="false">IF($D1728="","",INDEX(BookRate,1723)*(1+'5. Scenarios'!$B$10)*$D1728)</f>
        <v/>
      </c>
      <c r="F1728" s="57" t="str">
        <f aca="false">IF($E1728="","",SUMIFS($E$6:$E$2405,$A$6:$A$2405,"&lt;="&amp;$A1728))</f>
        <v/>
      </c>
      <c r="G1728" s="57" t="str">
        <f aca="false">IF($E1728="","",IF($F1728&lt;=BankCostEnvelope*'5. Scenarios'!$B$7,1,0))</f>
        <v/>
      </c>
      <c r="H1728" s="57" t="str">
        <f aca="false">IF($D1728="","",INDEX(BookRate,1723)*(1+'5. Scenarios'!$B$10)*(INDEX(BookQ1,1723)*(5-MIN(4,1+'5. Scenarios'!$B$8))/4+INDEX(BookQ2,1723)*(5-MIN(4,2+'5. Scenarios'!$B$8))/4+INDEX(BookQ3,1723)*(5-MIN(4,3+'5. Scenarios'!$B$8))/4+INDEX(BookQ4,1723)*(5-MIN(4,4+'5. Scenarios'!$B$8))/4)*'5. Scenarios'!$B$6/(1+ProductivityDefault*('5. Scenarios'!$B$11-1))+INDEX(BookOneOff,1723)*$D1728)</f>
        <v/>
      </c>
      <c r="I1728" s="56" t="str">
        <f aca="false">IF(INDEX(BookTitle,1723)="","",INDEX(BookTotal,1723)*'5. Scenarios'!$C$6/(1+ProductivityDefault*('5. Scenarios'!$C$11-1)))</f>
        <v/>
      </c>
      <c r="J1728" s="57" t="str">
        <f aca="false">IF($I1728="","",INDEX(BookRate,1723)*(1+'5. Scenarios'!$C$10)*$I1728)</f>
        <v/>
      </c>
      <c r="K1728" s="57" t="str">
        <f aca="false">IF($J1728="","",SUMIFS($J$6:$J$2405,$A$6:$A$2405,"&lt;="&amp;$A1728))</f>
        <v/>
      </c>
      <c r="L1728" s="57" t="str">
        <f aca="false">IF($J1728="","",IF($K1728&lt;=BankCostEnvelope*'5. Scenarios'!$C$7,1,0))</f>
        <v/>
      </c>
      <c r="M1728" s="57" t="str">
        <f aca="false">IF($I1728="","",INDEX(BookRate,1723)*(1+'5. Scenarios'!$C$10)*(INDEX(BookQ1,1723)*(5-MIN(4,1+'5. Scenarios'!$C$8))/4+INDEX(BookQ2,1723)*(5-MIN(4,2+'5. Scenarios'!$C$8))/4+INDEX(BookQ3,1723)*(5-MIN(4,3+'5. Scenarios'!$C$8))/4+INDEX(BookQ4,1723)*(5-MIN(4,4+'5. Scenarios'!$C$8))/4)*'5. Scenarios'!$C$6/(1+ProductivityDefault*('5. Scenarios'!$C$11-1))+INDEX(BookOneOff,1723)*$I1728)</f>
        <v/>
      </c>
      <c r="N1728" s="56" t="str">
        <f aca="false">IF(INDEX(BookTitle,1723)="","",INDEX(BookTotal,1723)*'5. Scenarios'!$D$6/(1+ProductivityDefault*('5. Scenarios'!$D$11-1)))</f>
        <v/>
      </c>
      <c r="O1728" s="57" t="str">
        <f aca="false">IF($N1728="","",INDEX(BookRate,1723)*(1+'5. Scenarios'!$D$10)*$N1728)</f>
        <v/>
      </c>
      <c r="P1728" s="57" t="str">
        <f aca="false">IF($O1728="","",SUMIFS($O$6:$O$2405,$A$6:$A$2405,"&lt;="&amp;$A1728))</f>
        <v/>
      </c>
      <c r="Q1728" s="57" t="str">
        <f aca="false">IF($O1728="","",IF($P1728&lt;=BankCostEnvelope*'5. Scenarios'!$D$7,1,0))</f>
        <v/>
      </c>
      <c r="R1728" s="57" t="str">
        <f aca="false">IF($N1728="","",INDEX(BookRate,1723)*(1+'5. Scenarios'!$D$10)*(INDEX(BookQ1,1723)*(5-MIN(4,1+'5. Scenarios'!$D$8))/4+INDEX(BookQ2,1723)*(5-MIN(4,2+'5. Scenarios'!$D$8))/4+INDEX(BookQ3,1723)*(5-MIN(4,3+'5. Scenarios'!$D$8))/4+INDEX(BookQ4,1723)*(5-MIN(4,4+'5. Scenarios'!$D$8))/4)*'5. Scenarios'!$D$6/(1+ProductivityDefault*('5. Scenarios'!$D$11-1))+INDEX(BookOneOff,1723)*$N1728)</f>
        <v/>
      </c>
      <c r="S1728" s="56" t="str">
        <f aca="false">IF(INDEX(BookTitle,1723)="","",INDEX(BookTotal,1723)*'5. Scenarios'!$E$6/(1+ProductivityDefault*('5. Scenarios'!$E$11-1)))</f>
        <v/>
      </c>
      <c r="T1728" s="57" t="str">
        <f aca="false">IF($S1728="","",INDEX(BookRate,1723)*(1+'5. Scenarios'!$E$10)*$S1728)</f>
        <v/>
      </c>
      <c r="U1728" s="57" t="str">
        <f aca="false">IF($T1728="","",SUMIFS($T$6:$T$2405,$A$6:$A$2405,"&lt;="&amp;$A1728))</f>
        <v/>
      </c>
      <c r="V1728" s="57" t="str">
        <f aca="false">IF($T1728="","",IF($U1728&lt;=BankCostEnvelope*'5. Scenarios'!$E$7,1,0))</f>
        <v/>
      </c>
      <c r="W1728" s="57" t="str">
        <f aca="false">IF($S1728="","",INDEX(BookRate,1723)*(1+'5. Scenarios'!$E$10)*(INDEX(BookQ1,1723)*(5-MIN(4,1+'5. Scenarios'!$E$8))/4+INDEX(BookQ2,1723)*(5-MIN(4,2+'5. Scenarios'!$E$8))/4+INDEX(BookQ3,1723)*(5-MIN(4,3+'5. Scenarios'!$E$8))/4+INDEX(BookQ4,1723)*(5-MIN(4,4+'5. Scenarios'!$E$8))/4)*'5. Scenarios'!$E$6/(1+ProductivityDefault*('5. Scenarios'!$E$11-1))+INDEX(BookOneOff,1723)*$S1728)</f>
        <v/>
      </c>
    </row>
    <row r="1729" customFormat="false" ht="15" hidden="false" customHeight="false" outlineLevel="0" collapsed="false">
      <c r="A1729" s="0" t="str">
        <f aca="false">IF(INDEX(BookTitle,1724)="","",INDEX(BookKey,1724))</f>
        <v/>
      </c>
      <c r="B1729" s="0" t="str">
        <f aca="false">IF(INDEX(BookTitle,1724)="","",INDEX(BookGroup,1724))</f>
        <v/>
      </c>
      <c r="C1729" s="0" t="str">
        <f aca="false">IF(INDEX(BookTitle,1724)="","",INDEX(BookCategory,1724))</f>
        <v/>
      </c>
      <c r="D1729" s="56" t="str">
        <f aca="false">IF(INDEX(BookTitle,1724)="","",INDEX(BookTotal,1724)*'5. Scenarios'!$B$6/(1+ProductivityDefault*('5. Scenarios'!$B$11-1)))</f>
        <v/>
      </c>
      <c r="E1729" s="57" t="str">
        <f aca="false">IF($D1729="","",INDEX(BookRate,1724)*(1+'5. Scenarios'!$B$10)*$D1729)</f>
        <v/>
      </c>
      <c r="F1729" s="57" t="str">
        <f aca="false">IF($E1729="","",SUMIFS($E$6:$E$2405,$A$6:$A$2405,"&lt;="&amp;$A1729))</f>
        <v/>
      </c>
      <c r="G1729" s="57" t="str">
        <f aca="false">IF($E1729="","",IF($F1729&lt;=BankCostEnvelope*'5. Scenarios'!$B$7,1,0))</f>
        <v/>
      </c>
      <c r="H1729" s="57" t="str">
        <f aca="false">IF($D1729="","",INDEX(BookRate,1724)*(1+'5. Scenarios'!$B$10)*(INDEX(BookQ1,1724)*(5-MIN(4,1+'5. Scenarios'!$B$8))/4+INDEX(BookQ2,1724)*(5-MIN(4,2+'5. Scenarios'!$B$8))/4+INDEX(BookQ3,1724)*(5-MIN(4,3+'5. Scenarios'!$B$8))/4+INDEX(BookQ4,1724)*(5-MIN(4,4+'5. Scenarios'!$B$8))/4)*'5. Scenarios'!$B$6/(1+ProductivityDefault*('5. Scenarios'!$B$11-1))+INDEX(BookOneOff,1724)*$D1729)</f>
        <v/>
      </c>
      <c r="I1729" s="56" t="str">
        <f aca="false">IF(INDEX(BookTitle,1724)="","",INDEX(BookTotal,1724)*'5. Scenarios'!$C$6/(1+ProductivityDefault*('5. Scenarios'!$C$11-1)))</f>
        <v/>
      </c>
      <c r="J1729" s="57" t="str">
        <f aca="false">IF($I1729="","",INDEX(BookRate,1724)*(1+'5. Scenarios'!$C$10)*$I1729)</f>
        <v/>
      </c>
      <c r="K1729" s="57" t="str">
        <f aca="false">IF($J1729="","",SUMIFS($J$6:$J$2405,$A$6:$A$2405,"&lt;="&amp;$A1729))</f>
        <v/>
      </c>
      <c r="L1729" s="57" t="str">
        <f aca="false">IF($J1729="","",IF($K1729&lt;=BankCostEnvelope*'5. Scenarios'!$C$7,1,0))</f>
        <v/>
      </c>
      <c r="M1729" s="57" t="str">
        <f aca="false">IF($I1729="","",INDEX(BookRate,1724)*(1+'5. Scenarios'!$C$10)*(INDEX(BookQ1,1724)*(5-MIN(4,1+'5. Scenarios'!$C$8))/4+INDEX(BookQ2,1724)*(5-MIN(4,2+'5. Scenarios'!$C$8))/4+INDEX(BookQ3,1724)*(5-MIN(4,3+'5. Scenarios'!$C$8))/4+INDEX(BookQ4,1724)*(5-MIN(4,4+'5. Scenarios'!$C$8))/4)*'5. Scenarios'!$C$6/(1+ProductivityDefault*('5. Scenarios'!$C$11-1))+INDEX(BookOneOff,1724)*$I1729)</f>
        <v/>
      </c>
      <c r="N1729" s="56" t="str">
        <f aca="false">IF(INDEX(BookTitle,1724)="","",INDEX(BookTotal,1724)*'5. Scenarios'!$D$6/(1+ProductivityDefault*('5. Scenarios'!$D$11-1)))</f>
        <v/>
      </c>
      <c r="O1729" s="57" t="str">
        <f aca="false">IF($N1729="","",INDEX(BookRate,1724)*(1+'5. Scenarios'!$D$10)*$N1729)</f>
        <v/>
      </c>
      <c r="P1729" s="57" t="str">
        <f aca="false">IF($O1729="","",SUMIFS($O$6:$O$2405,$A$6:$A$2405,"&lt;="&amp;$A1729))</f>
        <v/>
      </c>
      <c r="Q1729" s="57" t="str">
        <f aca="false">IF($O1729="","",IF($P1729&lt;=BankCostEnvelope*'5. Scenarios'!$D$7,1,0))</f>
        <v/>
      </c>
      <c r="R1729" s="57" t="str">
        <f aca="false">IF($N1729="","",INDEX(BookRate,1724)*(1+'5. Scenarios'!$D$10)*(INDEX(BookQ1,1724)*(5-MIN(4,1+'5. Scenarios'!$D$8))/4+INDEX(BookQ2,1724)*(5-MIN(4,2+'5. Scenarios'!$D$8))/4+INDEX(BookQ3,1724)*(5-MIN(4,3+'5. Scenarios'!$D$8))/4+INDEX(BookQ4,1724)*(5-MIN(4,4+'5. Scenarios'!$D$8))/4)*'5. Scenarios'!$D$6/(1+ProductivityDefault*('5. Scenarios'!$D$11-1))+INDEX(BookOneOff,1724)*$N1729)</f>
        <v/>
      </c>
      <c r="S1729" s="56" t="str">
        <f aca="false">IF(INDEX(BookTitle,1724)="","",INDEX(BookTotal,1724)*'5. Scenarios'!$E$6/(1+ProductivityDefault*('5. Scenarios'!$E$11-1)))</f>
        <v/>
      </c>
      <c r="T1729" s="57" t="str">
        <f aca="false">IF($S1729="","",INDEX(BookRate,1724)*(1+'5. Scenarios'!$E$10)*$S1729)</f>
        <v/>
      </c>
      <c r="U1729" s="57" t="str">
        <f aca="false">IF($T1729="","",SUMIFS($T$6:$T$2405,$A$6:$A$2405,"&lt;="&amp;$A1729))</f>
        <v/>
      </c>
      <c r="V1729" s="57" t="str">
        <f aca="false">IF($T1729="","",IF($U1729&lt;=BankCostEnvelope*'5. Scenarios'!$E$7,1,0))</f>
        <v/>
      </c>
      <c r="W1729" s="57" t="str">
        <f aca="false">IF($S1729="","",INDEX(BookRate,1724)*(1+'5. Scenarios'!$E$10)*(INDEX(BookQ1,1724)*(5-MIN(4,1+'5. Scenarios'!$E$8))/4+INDEX(BookQ2,1724)*(5-MIN(4,2+'5. Scenarios'!$E$8))/4+INDEX(BookQ3,1724)*(5-MIN(4,3+'5. Scenarios'!$E$8))/4+INDEX(BookQ4,1724)*(5-MIN(4,4+'5. Scenarios'!$E$8))/4)*'5. Scenarios'!$E$6/(1+ProductivityDefault*('5. Scenarios'!$E$11-1))+INDEX(BookOneOff,1724)*$S1729)</f>
        <v/>
      </c>
    </row>
    <row r="1730" customFormat="false" ht="15" hidden="false" customHeight="false" outlineLevel="0" collapsed="false">
      <c r="A1730" s="0" t="str">
        <f aca="false">IF(INDEX(BookTitle,1725)="","",INDEX(BookKey,1725))</f>
        <v/>
      </c>
      <c r="B1730" s="0" t="str">
        <f aca="false">IF(INDEX(BookTitle,1725)="","",INDEX(BookGroup,1725))</f>
        <v/>
      </c>
      <c r="C1730" s="0" t="str">
        <f aca="false">IF(INDEX(BookTitle,1725)="","",INDEX(BookCategory,1725))</f>
        <v/>
      </c>
      <c r="D1730" s="56" t="str">
        <f aca="false">IF(INDEX(BookTitle,1725)="","",INDEX(BookTotal,1725)*'5. Scenarios'!$B$6/(1+ProductivityDefault*('5. Scenarios'!$B$11-1)))</f>
        <v/>
      </c>
      <c r="E1730" s="57" t="str">
        <f aca="false">IF($D1730="","",INDEX(BookRate,1725)*(1+'5. Scenarios'!$B$10)*$D1730)</f>
        <v/>
      </c>
      <c r="F1730" s="57" t="str">
        <f aca="false">IF($E1730="","",SUMIFS($E$6:$E$2405,$A$6:$A$2405,"&lt;="&amp;$A1730))</f>
        <v/>
      </c>
      <c r="G1730" s="57" t="str">
        <f aca="false">IF($E1730="","",IF($F1730&lt;=BankCostEnvelope*'5. Scenarios'!$B$7,1,0))</f>
        <v/>
      </c>
      <c r="H1730" s="57" t="str">
        <f aca="false">IF($D1730="","",INDEX(BookRate,1725)*(1+'5. Scenarios'!$B$10)*(INDEX(BookQ1,1725)*(5-MIN(4,1+'5. Scenarios'!$B$8))/4+INDEX(BookQ2,1725)*(5-MIN(4,2+'5. Scenarios'!$B$8))/4+INDEX(BookQ3,1725)*(5-MIN(4,3+'5. Scenarios'!$B$8))/4+INDEX(BookQ4,1725)*(5-MIN(4,4+'5. Scenarios'!$B$8))/4)*'5. Scenarios'!$B$6/(1+ProductivityDefault*('5. Scenarios'!$B$11-1))+INDEX(BookOneOff,1725)*$D1730)</f>
        <v/>
      </c>
      <c r="I1730" s="56" t="str">
        <f aca="false">IF(INDEX(BookTitle,1725)="","",INDEX(BookTotal,1725)*'5. Scenarios'!$C$6/(1+ProductivityDefault*('5. Scenarios'!$C$11-1)))</f>
        <v/>
      </c>
      <c r="J1730" s="57" t="str">
        <f aca="false">IF($I1730="","",INDEX(BookRate,1725)*(1+'5. Scenarios'!$C$10)*$I1730)</f>
        <v/>
      </c>
      <c r="K1730" s="57" t="str">
        <f aca="false">IF($J1730="","",SUMIFS($J$6:$J$2405,$A$6:$A$2405,"&lt;="&amp;$A1730))</f>
        <v/>
      </c>
      <c r="L1730" s="57" t="str">
        <f aca="false">IF($J1730="","",IF($K1730&lt;=BankCostEnvelope*'5. Scenarios'!$C$7,1,0))</f>
        <v/>
      </c>
      <c r="M1730" s="57" t="str">
        <f aca="false">IF($I1730="","",INDEX(BookRate,1725)*(1+'5. Scenarios'!$C$10)*(INDEX(BookQ1,1725)*(5-MIN(4,1+'5. Scenarios'!$C$8))/4+INDEX(BookQ2,1725)*(5-MIN(4,2+'5. Scenarios'!$C$8))/4+INDEX(BookQ3,1725)*(5-MIN(4,3+'5. Scenarios'!$C$8))/4+INDEX(BookQ4,1725)*(5-MIN(4,4+'5. Scenarios'!$C$8))/4)*'5. Scenarios'!$C$6/(1+ProductivityDefault*('5. Scenarios'!$C$11-1))+INDEX(BookOneOff,1725)*$I1730)</f>
        <v/>
      </c>
      <c r="N1730" s="56" t="str">
        <f aca="false">IF(INDEX(BookTitle,1725)="","",INDEX(BookTotal,1725)*'5. Scenarios'!$D$6/(1+ProductivityDefault*('5. Scenarios'!$D$11-1)))</f>
        <v/>
      </c>
      <c r="O1730" s="57" t="str">
        <f aca="false">IF($N1730="","",INDEX(BookRate,1725)*(1+'5. Scenarios'!$D$10)*$N1730)</f>
        <v/>
      </c>
      <c r="P1730" s="57" t="str">
        <f aca="false">IF($O1730="","",SUMIFS($O$6:$O$2405,$A$6:$A$2405,"&lt;="&amp;$A1730))</f>
        <v/>
      </c>
      <c r="Q1730" s="57" t="str">
        <f aca="false">IF($O1730="","",IF($P1730&lt;=BankCostEnvelope*'5. Scenarios'!$D$7,1,0))</f>
        <v/>
      </c>
      <c r="R1730" s="57" t="str">
        <f aca="false">IF($N1730="","",INDEX(BookRate,1725)*(1+'5. Scenarios'!$D$10)*(INDEX(BookQ1,1725)*(5-MIN(4,1+'5. Scenarios'!$D$8))/4+INDEX(BookQ2,1725)*(5-MIN(4,2+'5. Scenarios'!$D$8))/4+INDEX(BookQ3,1725)*(5-MIN(4,3+'5. Scenarios'!$D$8))/4+INDEX(BookQ4,1725)*(5-MIN(4,4+'5. Scenarios'!$D$8))/4)*'5. Scenarios'!$D$6/(1+ProductivityDefault*('5. Scenarios'!$D$11-1))+INDEX(BookOneOff,1725)*$N1730)</f>
        <v/>
      </c>
      <c r="S1730" s="56" t="str">
        <f aca="false">IF(INDEX(BookTitle,1725)="","",INDEX(BookTotal,1725)*'5. Scenarios'!$E$6/(1+ProductivityDefault*('5. Scenarios'!$E$11-1)))</f>
        <v/>
      </c>
      <c r="T1730" s="57" t="str">
        <f aca="false">IF($S1730="","",INDEX(BookRate,1725)*(1+'5. Scenarios'!$E$10)*$S1730)</f>
        <v/>
      </c>
      <c r="U1730" s="57" t="str">
        <f aca="false">IF($T1730="","",SUMIFS($T$6:$T$2405,$A$6:$A$2405,"&lt;="&amp;$A1730))</f>
        <v/>
      </c>
      <c r="V1730" s="57" t="str">
        <f aca="false">IF($T1730="","",IF($U1730&lt;=BankCostEnvelope*'5. Scenarios'!$E$7,1,0))</f>
        <v/>
      </c>
      <c r="W1730" s="57" t="str">
        <f aca="false">IF($S1730="","",INDEX(BookRate,1725)*(1+'5. Scenarios'!$E$10)*(INDEX(BookQ1,1725)*(5-MIN(4,1+'5. Scenarios'!$E$8))/4+INDEX(BookQ2,1725)*(5-MIN(4,2+'5. Scenarios'!$E$8))/4+INDEX(BookQ3,1725)*(5-MIN(4,3+'5. Scenarios'!$E$8))/4+INDEX(BookQ4,1725)*(5-MIN(4,4+'5. Scenarios'!$E$8))/4)*'5. Scenarios'!$E$6/(1+ProductivityDefault*('5. Scenarios'!$E$11-1))+INDEX(BookOneOff,1725)*$S1730)</f>
        <v/>
      </c>
    </row>
    <row r="1731" customFormat="false" ht="15" hidden="false" customHeight="false" outlineLevel="0" collapsed="false">
      <c r="A1731" s="0" t="str">
        <f aca="false">IF(INDEX(BookTitle,1726)="","",INDEX(BookKey,1726))</f>
        <v/>
      </c>
      <c r="B1731" s="0" t="str">
        <f aca="false">IF(INDEX(BookTitle,1726)="","",INDEX(BookGroup,1726))</f>
        <v/>
      </c>
      <c r="C1731" s="0" t="str">
        <f aca="false">IF(INDEX(BookTitle,1726)="","",INDEX(BookCategory,1726))</f>
        <v/>
      </c>
      <c r="D1731" s="56" t="str">
        <f aca="false">IF(INDEX(BookTitle,1726)="","",INDEX(BookTotal,1726)*'5. Scenarios'!$B$6/(1+ProductivityDefault*('5. Scenarios'!$B$11-1)))</f>
        <v/>
      </c>
      <c r="E1731" s="57" t="str">
        <f aca="false">IF($D1731="","",INDEX(BookRate,1726)*(1+'5. Scenarios'!$B$10)*$D1731)</f>
        <v/>
      </c>
      <c r="F1731" s="57" t="str">
        <f aca="false">IF($E1731="","",SUMIFS($E$6:$E$2405,$A$6:$A$2405,"&lt;="&amp;$A1731))</f>
        <v/>
      </c>
      <c r="G1731" s="57" t="str">
        <f aca="false">IF($E1731="","",IF($F1731&lt;=BankCostEnvelope*'5. Scenarios'!$B$7,1,0))</f>
        <v/>
      </c>
      <c r="H1731" s="57" t="str">
        <f aca="false">IF($D1731="","",INDEX(BookRate,1726)*(1+'5. Scenarios'!$B$10)*(INDEX(BookQ1,1726)*(5-MIN(4,1+'5. Scenarios'!$B$8))/4+INDEX(BookQ2,1726)*(5-MIN(4,2+'5. Scenarios'!$B$8))/4+INDEX(BookQ3,1726)*(5-MIN(4,3+'5. Scenarios'!$B$8))/4+INDEX(BookQ4,1726)*(5-MIN(4,4+'5. Scenarios'!$B$8))/4)*'5. Scenarios'!$B$6/(1+ProductivityDefault*('5. Scenarios'!$B$11-1))+INDEX(BookOneOff,1726)*$D1731)</f>
        <v/>
      </c>
      <c r="I1731" s="56" t="str">
        <f aca="false">IF(INDEX(BookTitle,1726)="","",INDEX(BookTotal,1726)*'5. Scenarios'!$C$6/(1+ProductivityDefault*('5. Scenarios'!$C$11-1)))</f>
        <v/>
      </c>
      <c r="J1731" s="57" t="str">
        <f aca="false">IF($I1731="","",INDEX(BookRate,1726)*(1+'5. Scenarios'!$C$10)*$I1731)</f>
        <v/>
      </c>
      <c r="K1731" s="57" t="str">
        <f aca="false">IF($J1731="","",SUMIFS($J$6:$J$2405,$A$6:$A$2405,"&lt;="&amp;$A1731))</f>
        <v/>
      </c>
      <c r="L1731" s="57" t="str">
        <f aca="false">IF($J1731="","",IF($K1731&lt;=BankCostEnvelope*'5. Scenarios'!$C$7,1,0))</f>
        <v/>
      </c>
      <c r="M1731" s="57" t="str">
        <f aca="false">IF($I1731="","",INDEX(BookRate,1726)*(1+'5. Scenarios'!$C$10)*(INDEX(BookQ1,1726)*(5-MIN(4,1+'5. Scenarios'!$C$8))/4+INDEX(BookQ2,1726)*(5-MIN(4,2+'5. Scenarios'!$C$8))/4+INDEX(BookQ3,1726)*(5-MIN(4,3+'5. Scenarios'!$C$8))/4+INDEX(BookQ4,1726)*(5-MIN(4,4+'5. Scenarios'!$C$8))/4)*'5. Scenarios'!$C$6/(1+ProductivityDefault*('5. Scenarios'!$C$11-1))+INDEX(BookOneOff,1726)*$I1731)</f>
        <v/>
      </c>
      <c r="N1731" s="56" t="str">
        <f aca="false">IF(INDEX(BookTitle,1726)="","",INDEX(BookTotal,1726)*'5. Scenarios'!$D$6/(1+ProductivityDefault*('5. Scenarios'!$D$11-1)))</f>
        <v/>
      </c>
      <c r="O1731" s="57" t="str">
        <f aca="false">IF($N1731="","",INDEX(BookRate,1726)*(1+'5. Scenarios'!$D$10)*$N1731)</f>
        <v/>
      </c>
      <c r="P1731" s="57" t="str">
        <f aca="false">IF($O1731="","",SUMIFS($O$6:$O$2405,$A$6:$A$2405,"&lt;="&amp;$A1731))</f>
        <v/>
      </c>
      <c r="Q1731" s="57" t="str">
        <f aca="false">IF($O1731="","",IF($P1731&lt;=BankCostEnvelope*'5. Scenarios'!$D$7,1,0))</f>
        <v/>
      </c>
      <c r="R1731" s="57" t="str">
        <f aca="false">IF($N1731="","",INDEX(BookRate,1726)*(1+'5. Scenarios'!$D$10)*(INDEX(BookQ1,1726)*(5-MIN(4,1+'5. Scenarios'!$D$8))/4+INDEX(BookQ2,1726)*(5-MIN(4,2+'5. Scenarios'!$D$8))/4+INDEX(BookQ3,1726)*(5-MIN(4,3+'5. Scenarios'!$D$8))/4+INDEX(BookQ4,1726)*(5-MIN(4,4+'5. Scenarios'!$D$8))/4)*'5. Scenarios'!$D$6/(1+ProductivityDefault*('5. Scenarios'!$D$11-1))+INDEX(BookOneOff,1726)*$N1731)</f>
        <v/>
      </c>
      <c r="S1731" s="56" t="str">
        <f aca="false">IF(INDEX(BookTitle,1726)="","",INDEX(BookTotal,1726)*'5. Scenarios'!$E$6/(1+ProductivityDefault*('5. Scenarios'!$E$11-1)))</f>
        <v/>
      </c>
      <c r="T1731" s="57" t="str">
        <f aca="false">IF($S1731="","",INDEX(BookRate,1726)*(1+'5. Scenarios'!$E$10)*$S1731)</f>
        <v/>
      </c>
      <c r="U1731" s="57" t="str">
        <f aca="false">IF($T1731="","",SUMIFS($T$6:$T$2405,$A$6:$A$2405,"&lt;="&amp;$A1731))</f>
        <v/>
      </c>
      <c r="V1731" s="57" t="str">
        <f aca="false">IF($T1731="","",IF($U1731&lt;=BankCostEnvelope*'5. Scenarios'!$E$7,1,0))</f>
        <v/>
      </c>
      <c r="W1731" s="57" t="str">
        <f aca="false">IF($S1731="","",INDEX(BookRate,1726)*(1+'5. Scenarios'!$E$10)*(INDEX(BookQ1,1726)*(5-MIN(4,1+'5. Scenarios'!$E$8))/4+INDEX(BookQ2,1726)*(5-MIN(4,2+'5. Scenarios'!$E$8))/4+INDEX(BookQ3,1726)*(5-MIN(4,3+'5. Scenarios'!$E$8))/4+INDEX(BookQ4,1726)*(5-MIN(4,4+'5. Scenarios'!$E$8))/4)*'5. Scenarios'!$E$6/(1+ProductivityDefault*('5. Scenarios'!$E$11-1))+INDEX(BookOneOff,1726)*$S1731)</f>
        <v/>
      </c>
    </row>
    <row r="1732" customFormat="false" ht="15" hidden="false" customHeight="false" outlineLevel="0" collapsed="false">
      <c r="A1732" s="0" t="str">
        <f aca="false">IF(INDEX(BookTitle,1727)="","",INDEX(BookKey,1727))</f>
        <v/>
      </c>
      <c r="B1732" s="0" t="str">
        <f aca="false">IF(INDEX(BookTitle,1727)="","",INDEX(BookGroup,1727))</f>
        <v/>
      </c>
      <c r="C1732" s="0" t="str">
        <f aca="false">IF(INDEX(BookTitle,1727)="","",INDEX(BookCategory,1727))</f>
        <v/>
      </c>
      <c r="D1732" s="56" t="str">
        <f aca="false">IF(INDEX(BookTitle,1727)="","",INDEX(BookTotal,1727)*'5. Scenarios'!$B$6/(1+ProductivityDefault*('5. Scenarios'!$B$11-1)))</f>
        <v/>
      </c>
      <c r="E1732" s="57" t="str">
        <f aca="false">IF($D1732="","",INDEX(BookRate,1727)*(1+'5. Scenarios'!$B$10)*$D1732)</f>
        <v/>
      </c>
      <c r="F1732" s="57" t="str">
        <f aca="false">IF($E1732="","",SUMIFS($E$6:$E$2405,$A$6:$A$2405,"&lt;="&amp;$A1732))</f>
        <v/>
      </c>
      <c r="G1732" s="57" t="str">
        <f aca="false">IF($E1732="","",IF($F1732&lt;=BankCostEnvelope*'5. Scenarios'!$B$7,1,0))</f>
        <v/>
      </c>
      <c r="H1732" s="57" t="str">
        <f aca="false">IF($D1732="","",INDEX(BookRate,1727)*(1+'5. Scenarios'!$B$10)*(INDEX(BookQ1,1727)*(5-MIN(4,1+'5. Scenarios'!$B$8))/4+INDEX(BookQ2,1727)*(5-MIN(4,2+'5. Scenarios'!$B$8))/4+INDEX(BookQ3,1727)*(5-MIN(4,3+'5. Scenarios'!$B$8))/4+INDEX(BookQ4,1727)*(5-MIN(4,4+'5. Scenarios'!$B$8))/4)*'5. Scenarios'!$B$6/(1+ProductivityDefault*('5. Scenarios'!$B$11-1))+INDEX(BookOneOff,1727)*$D1732)</f>
        <v/>
      </c>
      <c r="I1732" s="56" t="str">
        <f aca="false">IF(INDEX(BookTitle,1727)="","",INDEX(BookTotal,1727)*'5. Scenarios'!$C$6/(1+ProductivityDefault*('5. Scenarios'!$C$11-1)))</f>
        <v/>
      </c>
      <c r="J1732" s="57" t="str">
        <f aca="false">IF($I1732="","",INDEX(BookRate,1727)*(1+'5. Scenarios'!$C$10)*$I1732)</f>
        <v/>
      </c>
      <c r="K1732" s="57" t="str">
        <f aca="false">IF($J1732="","",SUMIFS($J$6:$J$2405,$A$6:$A$2405,"&lt;="&amp;$A1732))</f>
        <v/>
      </c>
      <c r="L1732" s="57" t="str">
        <f aca="false">IF($J1732="","",IF($K1732&lt;=BankCostEnvelope*'5. Scenarios'!$C$7,1,0))</f>
        <v/>
      </c>
      <c r="M1732" s="57" t="str">
        <f aca="false">IF($I1732="","",INDEX(BookRate,1727)*(1+'5. Scenarios'!$C$10)*(INDEX(BookQ1,1727)*(5-MIN(4,1+'5. Scenarios'!$C$8))/4+INDEX(BookQ2,1727)*(5-MIN(4,2+'5. Scenarios'!$C$8))/4+INDEX(BookQ3,1727)*(5-MIN(4,3+'5. Scenarios'!$C$8))/4+INDEX(BookQ4,1727)*(5-MIN(4,4+'5. Scenarios'!$C$8))/4)*'5. Scenarios'!$C$6/(1+ProductivityDefault*('5. Scenarios'!$C$11-1))+INDEX(BookOneOff,1727)*$I1732)</f>
        <v/>
      </c>
      <c r="N1732" s="56" t="str">
        <f aca="false">IF(INDEX(BookTitle,1727)="","",INDEX(BookTotal,1727)*'5. Scenarios'!$D$6/(1+ProductivityDefault*('5. Scenarios'!$D$11-1)))</f>
        <v/>
      </c>
      <c r="O1732" s="57" t="str">
        <f aca="false">IF($N1732="","",INDEX(BookRate,1727)*(1+'5. Scenarios'!$D$10)*$N1732)</f>
        <v/>
      </c>
      <c r="P1732" s="57" t="str">
        <f aca="false">IF($O1732="","",SUMIFS($O$6:$O$2405,$A$6:$A$2405,"&lt;="&amp;$A1732))</f>
        <v/>
      </c>
      <c r="Q1732" s="57" t="str">
        <f aca="false">IF($O1732="","",IF($P1732&lt;=BankCostEnvelope*'5. Scenarios'!$D$7,1,0))</f>
        <v/>
      </c>
      <c r="R1732" s="57" t="str">
        <f aca="false">IF($N1732="","",INDEX(BookRate,1727)*(1+'5. Scenarios'!$D$10)*(INDEX(BookQ1,1727)*(5-MIN(4,1+'5. Scenarios'!$D$8))/4+INDEX(BookQ2,1727)*(5-MIN(4,2+'5. Scenarios'!$D$8))/4+INDEX(BookQ3,1727)*(5-MIN(4,3+'5. Scenarios'!$D$8))/4+INDEX(BookQ4,1727)*(5-MIN(4,4+'5. Scenarios'!$D$8))/4)*'5. Scenarios'!$D$6/(1+ProductivityDefault*('5. Scenarios'!$D$11-1))+INDEX(BookOneOff,1727)*$N1732)</f>
        <v/>
      </c>
      <c r="S1732" s="56" t="str">
        <f aca="false">IF(INDEX(BookTitle,1727)="","",INDEX(BookTotal,1727)*'5. Scenarios'!$E$6/(1+ProductivityDefault*('5. Scenarios'!$E$11-1)))</f>
        <v/>
      </c>
      <c r="T1732" s="57" t="str">
        <f aca="false">IF($S1732="","",INDEX(BookRate,1727)*(1+'5. Scenarios'!$E$10)*$S1732)</f>
        <v/>
      </c>
      <c r="U1732" s="57" t="str">
        <f aca="false">IF($T1732="","",SUMIFS($T$6:$T$2405,$A$6:$A$2405,"&lt;="&amp;$A1732))</f>
        <v/>
      </c>
      <c r="V1732" s="57" t="str">
        <f aca="false">IF($T1732="","",IF($U1732&lt;=BankCostEnvelope*'5. Scenarios'!$E$7,1,0))</f>
        <v/>
      </c>
      <c r="W1732" s="57" t="str">
        <f aca="false">IF($S1732="","",INDEX(BookRate,1727)*(1+'5. Scenarios'!$E$10)*(INDEX(BookQ1,1727)*(5-MIN(4,1+'5. Scenarios'!$E$8))/4+INDEX(BookQ2,1727)*(5-MIN(4,2+'5. Scenarios'!$E$8))/4+INDEX(BookQ3,1727)*(5-MIN(4,3+'5. Scenarios'!$E$8))/4+INDEX(BookQ4,1727)*(5-MIN(4,4+'5. Scenarios'!$E$8))/4)*'5. Scenarios'!$E$6/(1+ProductivityDefault*('5. Scenarios'!$E$11-1))+INDEX(BookOneOff,1727)*$S1732)</f>
        <v/>
      </c>
    </row>
    <row r="1733" customFormat="false" ht="15" hidden="false" customHeight="false" outlineLevel="0" collapsed="false">
      <c r="A1733" s="0" t="str">
        <f aca="false">IF(INDEX(BookTitle,1728)="","",INDEX(BookKey,1728))</f>
        <v/>
      </c>
      <c r="B1733" s="0" t="str">
        <f aca="false">IF(INDEX(BookTitle,1728)="","",INDEX(BookGroup,1728))</f>
        <v/>
      </c>
      <c r="C1733" s="0" t="str">
        <f aca="false">IF(INDEX(BookTitle,1728)="","",INDEX(BookCategory,1728))</f>
        <v/>
      </c>
      <c r="D1733" s="56" t="str">
        <f aca="false">IF(INDEX(BookTitle,1728)="","",INDEX(BookTotal,1728)*'5. Scenarios'!$B$6/(1+ProductivityDefault*('5. Scenarios'!$B$11-1)))</f>
        <v/>
      </c>
      <c r="E1733" s="57" t="str">
        <f aca="false">IF($D1733="","",INDEX(BookRate,1728)*(1+'5. Scenarios'!$B$10)*$D1733)</f>
        <v/>
      </c>
      <c r="F1733" s="57" t="str">
        <f aca="false">IF($E1733="","",SUMIFS($E$6:$E$2405,$A$6:$A$2405,"&lt;="&amp;$A1733))</f>
        <v/>
      </c>
      <c r="G1733" s="57" t="str">
        <f aca="false">IF($E1733="","",IF($F1733&lt;=BankCostEnvelope*'5. Scenarios'!$B$7,1,0))</f>
        <v/>
      </c>
      <c r="H1733" s="57" t="str">
        <f aca="false">IF($D1733="","",INDEX(BookRate,1728)*(1+'5. Scenarios'!$B$10)*(INDEX(BookQ1,1728)*(5-MIN(4,1+'5. Scenarios'!$B$8))/4+INDEX(BookQ2,1728)*(5-MIN(4,2+'5. Scenarios'!$B$8))/4+INDEX(BookQ3,1728)*(5-MIN(4,3+'5. Scenarios'!$B$8))/4+INDEX(BookQ4,1728)*(5-MIN(4,4+'5. Scenarios'!$B$8))/4)*'5. Scenarios'!$B$6/(1+ProductivityDefault*('5. Scenarios'!$B$11-1))+INDEX(BookOneOff,1728)*$D1733)</f>
        <v/>
      </c>
      <c r="I1733" s="56" t="str">
        <f aca="false">IF(INDEX(BookTitle,1728)="","",INDEX(BookTotal,1728)*'5. Scenarios'!$C$6/(1+ProductivityDefault*('5. Scenarios'!$C$11-1)))</f>
        <v/>
      </c>
      <c r="J1733" s="57" t="str">
        <f aca="false">IF($I1733="","",INDEX(BookRate,1728)*(1+'5. Scenarios'!$C$10)*$I1733)</f>
        <v/>
      </c>
      <c r="K1733" s="57" t="str">
        <f aca="false">IF($J1733="","",SUMIFS($J$6:$J$2405,$A$6:$A$2405,"&lt;="&amp;$A1733))</f>
        <v/>
      </c>
      <c r="L1733" s="57" t="str">
        <f aca="false">IF($J1733="","",IF($K1733&lt;=BankCostEnvelope*'5. Scenarios'!$C$7,1,0))</f>
        <v/>
      </c>
      <c r="M1733" s="57" t="str">
        <f aca="false">IF($I1733="","",INDEX(BookRate,1728)*(1+'5. Scenarios'!$C$10)*(INDEX(BookQ1,1728)*(5-MIN(4,1+'5. Scenarios'!$C$8))/4+INDEX(BookQ2,1728)*(5-MIN(4,2+'5. Scenarios'!$C$8))/4+INDEX(BookQ3,1728)*(5-MIN(4,3+'5. Scenarios'!$C$8))/4+INDEX(BookQ4,1728)*(5-MIN(4,4+'5. Scenarios'!$C$8))/4)*'5. Scenarios'!$C$6/(1+ProductivityDefault*('5. Scenarios'!$C$11-1))+INDEX(BookOneOff,1728)*$I1733)</f>
        <v/>
      </c>
      <c r="N1733" s="56" t="str">
        <f aca="false">IF(INDEX(BookTitle,1728)="","",INDEX(BookTotal,1728)*'5. Scenarios'!$D$6/(1+ProductivityDefault*('5. Scenarios'!$D$11-1)))</f>
        <v/>
      </c>
      <c r="O1733" s="57" t="str">
        <f aca="false">IF($N1733="","",INDEX(BookRate,1728)*(1+'5. Scenarios'!$D$10)*$N1733)</f>
        <v/>
      </c>
      <c r="P1733" s="57" t="str">
        <f aca="false">IF($O1733="","",SUMIFS($O$6:$O$2405,$A$6:$A$2405,"&lt;="&amp;$A1733))</f>
        <v/>
      </c>
      <c r="Q1733" s="57" t="str">
        <f aca="false">IF($O1733="","",IF($P1733&lt;=BankCostEnvelope*'5. Scenarios'!$D$7,1,0))</f>
        <v/>
      </c>
      <c r="R1733" s="57" t="str">
        <f aca="false">IF($N1733="","",INDEX(BookRate,1728)*(1+'5. Scenarios'!$D$10)*(INDEX(BookQ1,1728)*(5-MIN(4,1+'5. Scenarios'!$D$8))/4+INDEX(BookQ2,1728)*(5-MIN(4,2+'5. Scenarios'!$D$8))/4+INDEX(BookQ3,1728)*(5-MIN(4,3+'5. Scenarios'!$D$8))/4+INDEX(BookQ4,1728)*(5-MIN(4,4+'5. Scenarios'!$D$8))/4)*'5. Scenarios'!$D$6/(1+ProductivityDefault*('5. Scenarios'!$D$11-1))+INDEX(BookOneOff,1728)*$N1733)</f>
        <v/>
      </c>
      <c r="S1733" s="56" t="str">
        <f aca="false">IF(INDEX(BookTitle,1728)="","",INDEX(BookTotal,1728)*'5. Scenarios'!$E$6/(1+ProductivityDefault*('5. Scenarios'!$E$11-1)))</f>
        <v/>
      </c>
      <c r="T1733" s="57" t="str">
        <f aca="false">IF($S1733="","",INDEX(BookRate,1728)*(1+'5. Scenarios'!$E$10)*$S1733)</f>
        <v/>
      </c>
      <c r="U1733" s="57" t="str">
        <f aca="false">IF($T1733="","",SUMIFS($T$6:$T$2405,$A$6:$A$2405,"&lt;="&amp;$A1733))</f>
        <v/>
      </c>
      <c r="V1733" s="57" t="str">
        <f aca="false">IF($T1733="","",IF($U1733&lt;=BankCostEnvelope*'5. Scenarios'!$E$7,1,0))</f>
        <v/>
      </c>
      <c r="W1733" s="57" t="str">
        <f aca="false">IF($S1733="","",INDEX(BookRate,1728)*(1+'5. Scenarios'!$E$10)*(INDEX(BookQ1,1728)*(5-MIN(4,1+'5. Scenarios'!$E$8))/4+INDEX(BookQ2,1728)*(5-MIN(4,2+'5. Scenarios'!$E$8))/4+INDEX(BookQ3,1728)*(5-MIN(4,3+'5. Scenarios'!$E$8))/4+INDEX(BookQ4,1728)*(5-MIN(4,4+'5. Scenarios'!$E$8))/4)*'5. Scenarios'!$E$6/(1+ProductivityDefault*('5. Scenarios'!$E$11-1))+INDEX(BookOneOff,1728)*$S1733)</f>
        <v/>
      </c>
    </row>
    <row r="1734" customFormat="false" ht="15" hidden="false" customHeight="false" outlineLevel="0" collapsed="false">
      <c r="A1734" s="0" t="str">
        <f aca="false">IF(INDEX(BookTitle,1729)="","",INDEX(BookKey,1729))</f>
        <v/>
      </c>
      <c r="B1734" s="0" t="str">
        <f aca="false">IF(INDEX(BookTitle,1729)="","",INDEX(BookGroup,1729))</f>
        <v/>
      </c>
      <c r="C1734" s="0" t="str">
        <f aca="false">IF(INDEX(BookTitle,1729)="","",INDEX(BookCategory,1729))</f>
        <v/>
      </c>
      <c r="D1734" s="56" t="str">
        <f aca="false">IF(INDEX(BookTitle,1729)="","",INDEX(BookTotal,1729)*'5. Scenarios'!$B$6/(1+ProductivityDefault*('5. Scenarios'!$B$11-1)))</f>
        <v/>
      </c>
      <c r="E1734" s="57" t="str">
        <f aca="false">IF($D1734="","",INDEX(BookRate,1729)*(1+'5. Scenarios'!$B$10)*$D1734)</f>
        <v/>
      </c>
      <c r="F1734" s="57" t="str">
        <f aca="false">IF($E1734="","",SUMIFS($E$6:$E$2405,$A$6:$A$2405,"&lt;="&amp;$A1734))</f>
        <v/>
      </c>
      <c r="G1734" s="57" t="str">
        <f aca="false">IF($E1734="","",IF($F1734&lt;=BankCostEnvelope*'5. Scenarios'!$B$7,1,0))</f>
        <v/>
      </c>
      <c r="H1734" s="57" t="str">
        <f aca="false">IF($D1734="","",INDEX(BookRate,1729)*(1+'5. Scenarios'!$B$10)*(INDEX(BookQ1,1729)*(5-MIN(4,1+'5. Scenarios'!$B$8))/4+INDEX(BookQ2,1729)*(5-MIN(4,2+'5. Scenarios'!$B$8))/4+INDEX(BookQ3,1729)*(5-MIN(4,3+'5. Scenarios'!$B$8))/4+INDEX(BookQ4,1729)*(5-MIN(4,4+'5. Scenarios'!$B$8))/4)*'5. Scenarios'!$B$6/(1+ProductivityDefault*('5. Scenarios'!$B$11-1))+INDEX(BookOneOff,1729)*$D1734)</f>
        <v/>
      </c>
      <c r="I1734" s="56" t="str">
        <f aca="false">IF(INDEX(BookTitle,1729)="","",INDEX(BookTotal,1729)*'5. Scenarios'!$C$6/(1+ProductivityDefault*('5. Scenarios'!$C$11-1)))</f>
        <v/>
      </c>
      <c r="J1734" s="57" t="str">
        <f aca="false">IF($I1734="","",INDEX(BookRate,1729)*(1+'5. Scenarios'!$C$10)*$I1734)</f>
        <v/>
      </c>
      <c r="K1734" s="57" t="str">
        <f aca="false">IF($J1734="","",SUMIFS($J$6:$J$2405,$A$6:$A$2405,"&lt;="&amp;$A1734))</f>
        <v/>
      </c>
      <c r="L1734" s="57" t="str">
        <f aca="false">IF($J1734="","",IF($K1734&lt;=BankCostEnvelope*'5. Scenarios'!$C$7,1,0))</f>
        <v/>
      </c>
      <c r="M1734" s="57" t="str">
        <f aca="false">IF($I1734="","",INDEX(BookRate,1729)*(1+'5. Scenarios'!$C$10)*(INDEX(BookQ1,1729)*(5-MIN(4,1+'5. Scenarios'!$C$8))/4+INDEX(BookQ2,1729)*(5-MIN(4,2+'5. Scenarios'!$C$8))/4+INDEX(BookQ3,1729)*(5-MIN(4,3+'5. Scenarios'!$C$8))/4+INDEX(BookQ4,1729)*(5-MIN(4,4+'5. Scenarios'!$C$8))/4)*'5. Scenarios'!$C$6/(1+ProductivityDefault*('5. Scenarios'!$C$11-1))+INDEX(BookOneOff,1729)*$I1734)</f>
        <v/>
      </c>
      <c r="N1734" s="56" t="str">
        <f aca="false">IF(INDEX(BookTitle,1729)="","",INDEX(BookTotal,1729)*'5. Scenarios'!$D$6/(1+ProductivityDefault*('5. Scenarios'!$D$11-1)))</f>
        <v/>
      </c>
      <c r="O1734" s="57" t="str">
        <f aca="false">IF($N1734="","",INDEX(BookRate,1729)*(1+'5. Scenarios'!$D$10)*$N1734)</f>
        <v/>
      </c>
      <c r="P1734" s="57" t="str">
        <f aca="false">IF($O1734="","",SUMIFS($O$6:$O$2405,$A$6:$A$2405,"&lt;="&amp;$A1734))</f>
        <v/>
      </c>
      <c r="Q1734" s="57" t="str">
        <f aca="false">IF($O1734="","",IF($P1734&lt;=BankCostEnvelope*'5. Scenarios'!$D$7,1,0))</f>
        <v/>
      </c>
      <c r="R1734" s="57" t="str">
        <f aca="false">IF($N1734="","",INDEX(BookRate,1729)*(1+'5. Scenarios'!$D$10)*(INDEX(BookQ1,1729)*(5-MIN(4,1+'5. Scenarios'!$D$8))/4+INDEX(BookQ2,1729)*(5-MIN(4,2+'5. Scenarios'!$D$8))/4+INDEX(BookQ3,1729)*(5-MIN(4,3+'5. Scenarios'!$D$8))/4+INDEX(BookQ4,1729)*(5-MIN(4,4+'5. Scenarios'!$D$8))/4)*'5. Scenarios'!$D$6/(1+ProductivityDefault*('5. Scenarios'!$D$11-1))+INDEX(BookOneOff,1729)*$N1734)</f>
        <v/>
      </c>
      <c r="S1734" s="56" t="str">
        <f aca="false">IF(INDEX(BookTitle,1729)="","",INDEX(BookTotal,1729)*'5. Scenarios'!$E$6/(1+ProductivityDefault*('5. Scenarios'!$E$11-1)))</f>
        <v/>
      </c>
      <c r="T1734" s="57" t="str">
        <f aca="false">IF($S1734="","",INDEX(BookRate,1729)*(1+'5. Scenarios'!$E$10)*$S1734)</f>
        <v/>
      </c>
      <c r="U1734" s="57" t="str">
        <f aca="false">IF($T1734="","",SUMIFS($T$6:$T$2405,$A$6:$A$2405,"&lt;="&amp;$A1734))</f>
        <v/>
      </c>
      <c r="V1734" s="57" t="str">
        <f aca="false">IF($T1734="","",IF($U1734&lt;=BankCostEnvelope*'5. Scenarios'!$E$7,1,0))</f>
        <v/>
      </c>
      <c r="W1734" s="57" t="str">
        <f aca="false">IF($S1734="","",INDEX(BookRate,1729)*(1+'5. Scenarios'!$E$10)*(INDEX(BookQ1,1729)*(5-MIN(4,1+'5. Scenarios'!$E$8))/4+INDEX(BookQ2,1729)*(5-MIN(4,2+'5. Scenarios'!$E$8))/4+INDEX(BookQ3,1729)*(5-MIN(4,3+'5. Scenarios'!$E$8))/4+INDEX(BookQ4,1729)*(5-MIN(4,4+'5. Scenarios'!$E$8))/4)*'5. Scenarios'!$E$6/(1+ProductivityDefault*('5. Scenarios'!$E$11-1))+INDEX(BookOneOff,1729)*$S1734)</f>
        <v/>
      </c>
    </row>
    <row r="1735" customFormat="false" ht="15" hidden="false" customHeight="false" outlineLevel="0" collapsed="false">
      <c r="A1735" s="0" t="str">
        <f aca="false">IF(INDEX(BookTitle,1730)="","",INDEX(BookKey,1730))</f>
        <v/>
      </c>
      <c r="B1735" s="0" t="str">
        <f aca="false">IF(INDEX(BookTitle,1730)="","",INDEX(BookGroup,1730))</f>
        <v/>
      </c>
      <c r="C1735" s="0" t="str">
        <f aca="false">IF(INDEX(BookTitle,1730)="","",INDEX(BookCategory,1730))</f>
        <v/>
      </c>
      <c r="D1735" s="56" t="str">
        <f aca="false">IF(INDEX(BookTitle,1730)="","",INDEX(BookTotal,1730)*'5. Scenarios'!$B$6/(1+ProductivityDefault*('5. Scenarios'!$B$11-1)))</f>
        <v/>
      </c>
      <c r="E1735" s="57" t="str">
        <f aca="false">IF($D1735="","",INDEX(BookRate,1730)*(1+'5. Scenarios'!$B$10)*$D1735)</f>
        <v/>
      </c>
      <c r="F1735" s="57" t="str">
        <f aca="false">IF($E1735="","",SUMIFS($E$6:$E$2405,$A$6:$A$2405,"&lt;="&amp;$A1735))</f>
        <v/>
      </c>
      <c r="G1735" s="57" t="str">
        <f aca="false">IF($E1735="","",IF($F1735&lt;=BankCostEnvelope*'5. Scenarios'!$B$7,1,0))</f>
        <v/>
      </c>
      <c r="H1735" s="57" t="str">
        <f aca="false">IF($D1735="","",INDEX(BookRate,1730)*(1+'5. Scenarios'!$B$10)*(INDEX(BookQ1,1730)*(5-MIN(4,1+'5. Scenarios'!$B$8))/4+INDEX(BookQ2,1730)*(5-MIN(4,2+'5. Scenarios'!$B$8))/4+INDEX(BookQ3,1730)*(5-MIN(4,3+'5. Scenarios'!$B$8))/4+INDEX(BookQ4,1730)*(5-MIN(4,4+'5. Scenarios'!$B$8))/4)*'5. Scenarios'!$B$6/(1+ProductivityDefault*('5. Scenarios'!$B$11-1))+INDEX(BookOneOff,1730)*$D1735)</f>
        <v/>
      </c>
      <c r="I1735" s="56" t="str">
        <f aca="false">IF(INDEX(BookTitle,1730)="","",INDEX(BookTotal,1730)*'5. Scenarios'!$C$6/(1+ProductivityDefault*('5. Scenarios'!$C$11-1)))</f>
        <v/>
      </c>
      <c r="J1735" s="57" t="str">
        <f aca="false">IF($I1735="","",INDEX(BookRate,1730)*(1+'5. Scenarios'!$C$10)*$I1735)</f>
        <v/>
      </c>
      <c r="K1735" s="57" t="str">
        <f aca="false">IF($J1735="","",SUMIFS($J$6:$J$2405,$A$6:$A$2405,"&lt;="&amp;$A1735))</f>
        <v/>
      </c>
      <c r="L1735" s="57" t="str">
        <f aca="false">IF($J1735="","",IF($K1735&lt;=BankCostEnvelope*'5. Scenarios'!$C$7,1,0))</f>
        <v/>
      </c>
      <c r="M1735" s="57" t="str">
        <f aca="false">IF($I1735="","",INDEX(BookRate,1730)*(1+'5. Scenarios'!$C$10)*(INDEX(BookQ1,1730)*(5-MIN(4,1+'5. Scenarios'!$C$8))/4+INDEX(BookQ2,1730)*(5-MIN(4,2+'5. Scenarios'!$C$8))/4+INDEX(BookQ3,1730)*(5-MIN(4,3+'5. Scenarios'!$C$8))/4+INDEX(BookQ4,1730)*(5-MIN(4,4+'5. Scenarios'!$C$8))/4)*'5. Scenarios'!$C$6/(1+ProductivityDefault*('5. Scenarios'!$C$11-1))+INDEX(BookOneOff,1730)*$I1735)</f>
        <v/>
      </c>
      <c r="N1735" s="56" t="str">
        <f aca="false">IF(INDEX(BookTitle,1730)="","",INDEX(BookTotal,1730)*'5. Scenarios'!$D$6/(1+ProductivityDefault*('5. Scenarios'!$D$11-1)))</f>
        <v/>
      </c>
      <c r="O1735" s="57" t="str">
        <f aca="false">IF($N1735="","",INDEX(BookRate,1730)*(1+'5. Scenarios'!$D$10)*$N1735)</f>
        <v/>
      </c>
      <c r="P1735" s="57" t="str">
        <f aca="false">IF($O1735="","",SUMIFS($O$6:$O$2405,$A$6:$A$2405,"&lt;="&amp;$A1735))</f>
        <v/>
      </c>
      <c r="Q1735" s="57" t="str">
        <f aca="false">IF($O1735="","",IF($P1735&lt;=BankCostEnvelope*'5. Scenarios'!$D$7,1,0))</f>
        <v/>
      </c>
      <c r="R1735" s="57" t="str">
        <f aca="false">IF($N1735="","",INDEX(BookRate,1730)*(1+'5. Scenarios'!$D$10)*(INDEX(BookQ1,1730)*(5-MIN(4,1+'5. Scenarios'!$D$8))/4+INDEX(BookQ2,1730)*(5-MIN(4,2+'5. Scenarios'!$D$8))/4+INDEX(BookQ3,1730)*(5-MIN(4,3+'5. Scenarios'!$D$8))/4+INDEX(BookQ4,1730)*(5-MIN(4,4+'5. Scenarios'!$D$8))/4)*'5. Scenarios'!$D$6/(1+ProductivityDefault*('5. Scenarios'!$D$11-1))+INDEX(BookOneOff,1730)*$N1735)</f>
        <v/>
      </c>
      <c r="S1735" s="56" t="str">
        <f aca="false">IF(INDEX(BookTitle,1730)="","",INDEX(BookTotal,1730)*'5. Scenarios'!$E$6/(1+ProductivityDefault*('5. Scenarios'!$E$11-1)))</f>
        <v/>
      </c>
      <c r="T1735" s="57" t="str">
        <f aca="false">IF($S1735="","",INDEX(BookRate,1730)*(1+'5. Scenarios'!$E$10)*$S1735)</f>
        <v/>
      </c>
      <c r="U1735" s="57" t="str">
        <f aca="false">IF($T1735="","",SUMIFS($T$6:$T$2405,$A$6:$A$2405,"&lt;="&amp;$A1735))</f>
        <v/>
      </c>
      <c r="V1735" s="57" t="str">
        <f aca="false">IF($T1735="","",IF($U1735&lt;=BankCostEnvelope*'5. Scenarios'!$E$7,1,0))</f>
        <v/>
      </c>
      <c r="W1735" s="57" t="str">
        <f aca="false">IF($S1735="","",INDEX(BookRate,1730)*(1+'5. Scenarios'!$E$10)*(INDEX(BookQ1,1730)*(5-MIN(4,1+'5. Scenarios'!$E$8))/4+INDEX(BookQ2,1730)*(5-MIN(4,2+'5. Scenarios'!$E$8))/4+INDEX(BookQ3,1730)*(5-MIN(4,3+'5. Scenarios'!$E$8))/4+INDEX(BookQ4,1730)*(5-MIN(4,4+'5. Scenarios'!$E$8))/4)*'5. Scenarios'!$E$6/(1+ProductivityDefault*('5. Scenarios'!$E$11-1))+INDEX(BookOneOff,1730)*$S1735)</f>
        <v/>
      </c>
    </row>
    <row r="1736" customFormat="false" ht="15" hidden="false" customHeight="false" outlineLevel="0" collapsed="false">
      <c r="A1736" s="0" t="str">
        <f aca="false">IF(INDEX(BookTitle,1731)="","",INDEX(BookKey,1731))</f>
        <v/>
      </c>
      <c r="B1736" s="0" t="str">
        <f aca="false">IF(INDEX(BookTitle,1731)="","",INDEX(BookGroup,1731))</f>
        <v/>
      </c>
      <c r="C1736" s="0" t="str">
        <f aca="false">IF(INDEX(BookTitle,1731)="","",INDEX(BookCategory,1731))</f>
        <v/>
      </c>
      <c r="D1736" s="56" t="str">
        <f aca="false">IF(INDEX(BookTitle,1731)="","",INDEX(BookTotal,1731)*'5. Scenarios'!$B$6/(1+ProductivityDefault*('5. Scenarios'!$B$11-1)))</f>
        <v/>
      </c>
      <c r="E1736" s="57" t="str">
        <f aca="false">IF($D1736="","",INDEX(BookRate,1731)*(1+'5. Scenarios'!$B$10)*$D1736)</f>
        <v/>
      </c>
      <c r="F1736" s="57" t="str">
        <f aca="false">IF($E1736="","",SUMIFS($E$6:$E$2405,$A$6:$A$2405,"&lt;="&amp;$A1736))</f>
        <v/>
      </c>
      <c r="G1736" s="57" t="str">
        <f aca="false">IF($E1736="","",IF($F1736&lt;=BankCostEnvelope*'5. Scenarios'!$B$7,1,0))</f>
        <v/>
      </c>
      <c r="H1736" s="57" t="str">
        <f aca="false">IF($D1736="","",INDEX(BookRate,1731)*(1+'5. Scenarios'!$B$10)*(INDEX(BookQ1,1731)*(5-MIN(4,1+'5. Scenarios'!$B$8))/4+INDEX(BookQ2,1731)*(5-MIN(4,2+'5. Scenarios'!$B$8))/4+INDEX(BookQ3,1731)*(5-MIN(4,3+'5. Scenarios'!$B$8))/4+INDEX(BookQ4,1731)*(5-MIN(4,4+'5. Scenarios'!$B$8))/4)*'5. Scenarios'!$B$6/(1+ProductivityDefault*('5. Scenarios'!$B$11-1))+INDEX(BookOneOff,1731)*$D1736)</f>
        <v/>
      </c>
      <c r="I1736" s="56" t="str">
        <f aca="false">IF(INDEX(BookTitle,1731)="","",INDEX(BookTotal,1731)*'5. Scenarios'!$C$6/(1+ProductivityDefault*('5. Scenarios'!$C$11-1)))</f>
        <v/>
      </c>
      <c r="J1736" s="57" t="str">
        <f aca="false">IF($I1736="","",INDEX(BookRate,1731)*(1+'5. Scenarios'!$C$10)*$I1736)</f>
        <v/>
      </c>
      <c r="K1736" s="57" t="str">
        <f aca="false">IF($J1736="","",SUMIFS($J$6:$J$2405,$A$6:$A$2405,"&lt;="&amp;$A1736))</f>
        <v/>
      </c>
      <c r="L1736" s="57" t="str">
        <f aca="false">IF($J1736="","",IF($K1736&lt;=BankCostEnvelope*'5. Scenarios'!$C$7,1,0))</f>
        <v/>
      </c>
      <c r="M1736" s="57" t="str">
        <f aca="false">IF($I1736="","",INDEX(BookRate,1731)*(1+'5. Scenarios'!$C$10)*(INDEX(BookQ1,1731)*(5-MIN(4,1+'5. Scenarios'!$C$8))/4+INDEX(BookQ2,1731)*(5-MIN(4,2+'5. Scenarios'!$C$8))/4+INDEX(BookQ3,1731)*(5-MIN(4,3+'5. Scenarios'!$C$8))/4+INDEX(BookQ4,1731)*(5-MIN(4,4+'5. Scenarios'!$C$8))/4)*'5. Scenarios'!$C$6/(1+ProductivityDefault*('5. Scenarios'!$C$11-1))+INDEX(BookOneOff,1731)*$I1736)</f>
        <v/>
      </c>
      <c r="N1736" s="56" t="str">
        <f aca="false">IF(INDEX(BookTitle,1731)="","",INDEX(BookTotal,1731)*'5. Scenarios'!$D$6/(1+ProductivityDefault*('5. Scenarios'!$D$11-1)))</f>
        <v/>
      </c>
      <c r="O1736" s="57" t="str">
        <f aca="false">IF($N1736="","",INDEX(BookRate,1731)*(1+'5. Scenarios'!$D$10)*$N1736)</f>
        <v/>
      </c>
      <c r="P1736" s="57" t="str">
        <f aca="false">IF($O1736="","",SUMIFS($O$6:$O$2405,$A$6:$A$2405,"&lt;="&amp;$A1736))</f>
        <v/>
      </c>
      <c r="Q1736" s="57" t="str">
        <f aca="false">IF($O1736="","",IF($P1736&lt;=BankCostEnvelope*'5. Scenarios'!$D$7,1,0))</f>
        <v/>
      </c>
      <c r="R1736" s="57" t="str">
        <f aca="false">IF($N1736="","",INDEX(BookRate,1731)*(1+'5. Scenarios'!$D$10)*(INDEX(BookQ1,1731)*(5-MIN(4,1+'5. Scenarios'!$D$8))/4+INDEX(BookQ2,1731)*(5-MIN(4,2+'5. Scenarios'!$D$8))/4+INDEX(BookQ3,1731)*(5-MIN(4,3+'5. Scenarios'!$D$8))/4+INDEX(BookQ4,1731)*(5-MIN(4,4+'5. Scenarios'!$D$8))/4)*'5. Scenarios'!$D$6/(1+ProductivityDefault*('5. Scenarios'!$D$11-1))+INDEX(BookOneOff,1731)*$N1736)</f>
        <v/>
      </c>
      <c r="S1736" s="56" t="str">
        <f aca="false">IF(INDEX(BookTitle,1731)="","",INDEX(BookTotal,1731)*'5. Scenarios'!$E$6/(1+ProductivityDefault*('5. Scenarios'!$E$11-1)))</f>
        <v/>
      </c>
      <c r="T1736" s="57" t="str">
        <f aca="false">IF($S1736="","",INDEX(BookRate,1731)*(1+'5. Scenarios'!$E$10)*$S1736)</f>
        <v/>
      </c>
      <c r="U1736" s="57" t="str">
        <f aca="false">IF($T1736="","",SUMIFS($T$6:$T$2405,$A$6:$A$2405,"&lt;="&amp;$A1736))</f>
        <v/>
      </c>
      <c r="V1736" s="57" t="str">
        <f aca="false">IF($T1736="","",IF($U1736&lt;=BankCostEnvelope*'5. Scenarios'!$E$7,1,0))</f>
        <v/>
      </c>
      <c r="W1736" s="57" t="str">
        <f aca="false">IF($S1736="","",INDEX(BookRate,1731)*(1+'5. Scenarios'!$E$10)*(INDEX(BookQ1,1731)*(5-MIN(4,1+'5. Scenarios'!$E$8))/4+INDEX(BookQ2,1731)*(5-MIN(4,2+'5. Scenarios'!$E$8))/4+INDEX(BookQ3,1731)*(5-MIN(4,3+'5. Scenarios'!$E$8))/4+INDEX(BookQ4,1731)*(5-MIN(4,4+'5. Scenarios'!$E$8))/4)*'5. Scenarios'!$E$6/(1+ProductivityDefault*('5. Scenarios'!$E$11-1))+INDEX(BookOneOff,1731)*$S1736)</f>
        <v/>
      </c>
    </row>
    <row r="1737" customFormat="false" ht="15" hidden="false" customHeight="false" outlineLevel="0" collapsed="false">
      <c r="A1737" s="0" t="str">
        <f aca="false">IF(INDEX(BookTitle,1732)="","",INDEX(BookKey,1732))</f>
        <v/>
      </c>
      <c r="B1737" s="0" t="str">
        <f aca="false">IF(INDEX(BookTitle,1732)="","",INDEX(BookGroup,1732))</f>
        <v/>
      </c>
      <c r="C1737" s="0" t="str">
        <f aca="false">IF(INDEX(BookTitle,1732)="","",INDEX(BookCategory,1732))</f>
        <v/>
      </c>
      <c r="D1737" s="56" t="str">
        <f aca="false">IF(INDEX(BookTitle,1732)="","",INDEX(BookTotal,1732)*'5. Scenarios'!$B$6/(1+ProductivityDefault*('5. Scenarios'!$B$11-1)))</f>
        <v/>
      </c>
      <c r="E1737" s="57" t="str">
        <f aca="false">IF($D1737="","",INDEX(BookRate,1732)*(1+'5. Scenarios'!$B$10)*$D1737)</f>
        <v/>
      </c>
      <c r="F1737" s="57" t="str">
        <f aca="false">IF($E1737="","",SUMIFS($E$6:$E$2405,$A$6:$A$2405,"&lt;="&amp;$A1737))</f>
        <v/>
      </c>
      <c r="G1737" s="57" t="str">
        <f aca="false">IF($E1737="","",IF($F1737&lt;=BankCostEnvelope*'5. Scenarios'!$B$7,1,0))</f>
        <v/>
      </c>
      <c r="H1737" s="57" t="str">
        <f aca="false">IF($D1737="","",INDEX(BookRate,1732)*(1+'5. Scenarios'!$B$10)*(INDEX(BookQ1,1732)*(5-MIN(4,1+'5. Scenarios'!$B$8))/4+INDEX(BookQ2,1732)*(5-MIN(4,2+'5. Scenarios'!$B$8))/4+INDEX(BookQ3,1732)*(5-MIN(4,3+'5. Scenarios'!$B$8))/4+INDEX(BookQ4,1732)*(5-MIN(4,4+'5. Scenarios'!$B$8))/4)*'5. Scenarios'!$B$6/(1+ProductivityDefault*('5. Scenarios'!$B$11-1))+INDEX(BookOneOff,1732)*$D1737)</f>
        <v/>
      </c>
      <c r="I1737" s="56" t="str">
        <f aca="false">IF(INDEX(BookTitle,1732)="","",INDEX(BookTotal,1732)*'5. Scenarios'!$C$6/(1+ProductivityDefault*('5. Scenarios'!$C$11-1)))</f>
        <v/>
      </c>
      <c r="J1737" s="57" t="str">
        <f aca="false">IF($I1737="","",INDEX(BookRate,1732)*(1+'5. Scenarios'!$C$10)*$I1737)</f>
        <v/>
      </c>
      <c r="K1737" s="57" t="str">
        <f aca="false">IF($J1737="","",SUMIFS($J$6:$J$2405,$A$6:$A$2405,"&lt;="&amp;$A1737))</f>
        <v/>
      </c>
      <c r="L1737" s="57" t="str">
        <f aca="false">IF($J1737="","",IF($K1737&lt;=BankCostEnvelope*'5. Scenarios'!$C$7,1,0))</f>
        <v/>
      </c>
      <c r="M1737" s="57" t="str">
        <f aca="false">IF($I1737="","",INDEX(BookRate,1732)*(1+'5. Scenarios'!$C$10)*(INDEX(BookQ1,1732)*(5-MIN(4,1+'5. Scenarios'!$C$8))/4+INDEX(BookQ2,1732)*(5-MIN(4,2+'5. Scenarios'!$C$8))/4+INDEX(BookQ3,1732)*(5-MIN(4,3+'5. Scenarios'!$C$8))/4+INDEX(BookQ4,1732)*(5-MIN(4,4+'5. Scenarios'!$C$8))/4)*'5. Scenarios'!$C$6/(1+ProductivityDefault*('5. Scenarios'!$C$11-1))+INDEX(BookOneOff,1732)*$I1737)</f>
        <v/>
      </c>
      <c r="N1737" s="56" t="str">
        <f aca="false">IF(INDEX(BookTitle,1732)="","",INDEX(BookTotal,1732)*'5. Scenarios'!$D$6/(1+ProductivityDefault*('5. Scenarios'!$D$11-1)))</f>
        <v/>
      </c>
      <c r="O1737" s="57" t="str">
        <f aca="false">IF($N1737="","",INDEX(BookRate,1732)*(1+'5. Scenarios'!$D$10)*$N1737)</f>
        <v/>
      </c>
      <c r="P1737" s="57" t="str">
        <f aca="false">IF($O1737="","",SUMIFS($O$6:$O$2405,$A$6:$A$2405,"&lt;="&amp;$A1737))</f>
        <v/>
      </c>
      <c r="Q1737" s="57" t="str">
        <f aca="false">IF($O1737="","",IF($P1737&lt;=BankCostEnvelope*'5. Scenarios'!$D$7,1,0))</f>
        <v/>
      </c>
      <c r="R1737" s="57" t="str">
        <f aca="false">IF($N1737="","",INDEX(BookRate,1732)*(1+'5. Scenarios'!$D$10)*(INDEX(BookQ1,1732)*(5-MIN(4,1+'5. Scenarios'!$D$8))/4+INDEX(BookQ2,1732)*(5-MIN(4,2+'5. Scenarios'!$D$8))/4+INDEX(BookQ3,1732)*(5-MIN(4,3+'5. Scenarios'!$D$8))/4+INDEX(BookQ4,1732)*(5-MIN(4,4+'5. Scenarios'!$D$8))/4)*'5. Scenarios'!$D$6/(1+ProductivityDefault*('5. Scenarios'!$D$11-1))+INDEX(BookOneOff,1732)*$N1737)</f>
        <v/>
      </c>
      <c r="S1737" s="56" t="str">
        <f aca="false">IF(INDEX(BookTitle,1732)="","",INDEX(BookTotal,1732)*'5. Scenarios'!$E$6/(1+ProductivityDefault*('5. Scenarios'!$E$11-1)))</f>
        <v/>
      </c>
      <c r="T1737" s="57" t="str">
        <f aca="false">IF($S1737="","",INDEX(BookRate,1732)*(1+'5. Scenarios'!$E$10)*$S1737)</f>
        <v/>
      </c>
      <c r="U1737" s="57" t="str">
        <f aca="false">IF($T1737="","",SUMIFS($T$6:$T$2405,$A$6:$A$2405,"&lt;="&amp;$A1737))</f>
        <v/>
      </c>
      <c r="V1737" s="57" t="str">
        <f aca="false">IF($T1737="","",IF($U1737&lt;=BankCostEnvelope*'5. Scenarios'!$E$7,1,0))</f>
        <v/>
      </c>
      <c r="W1737" s="57" t="str">
        <f aca="false">IF($S1737="","",INDEX(BookRate,1732)*(1+'5. Scenarios'!$E$10)*(INDEX(BookQ1,1732)*(5-MIN(4,1+'5. Scenarios'!$E$8))/4+INDEX(BookQ2,1732)*(5-MIN(4,2+'5. Scenarios'!$E$8))/4+INDEX(BookQ3,1732)*(5-MIN(4,3+'5. Scenarios'!$E$8))/4+INDEX(BookQ4,1732)*(5-MIN(4,4+'5. Scenarios'!$E$8))/4)*'5. Scenarios'!$E$6/(1+ProductivityDefault*('5. Scenarios'!$E$11-1))+INDEX(BookOneOff,1732)*$S1737)</f>
        <v/>
      </c>
    </row>
    <row r="1738" customFormat="false" ht="15" hidden="false" customHeight="false" outlineLevel="0" collapsed="false">
      <c r="A1738" s="0" t="str">
        <f aca="false">IF(INDEX(BookTitle,1733)="","",INDEX(BookKey,1733))</f>
        <v/>
      </c>
      <c r="B1738" s="0" t="str">
        <f aca="false">IF(INDEX(BookTitle,1733)="","",INDEX(BookGroup,1733))</f>
        <v/>
      </c>
      <c r="C1738" s="0" t="str">
        <f aca="false">IF(INDEX(BookTitle,1733)="","",INDEX(BookCategory,1733))</f>
        <v/>
      </c>
      <c r="D1738" s="56" t="str">
        <f aca="false">IF(INDEX(BookTitle,1733)="","",INDEX(BookTotal,1733)*'5. Scenarios'!$B$6/(1+ProductivityDefault*('5. Scenarios'!$B$11-1)))</f>
        <v/>
      </c>
      <c r="E1738" s="57" t="str">
        <f aca="false">IF($D1738="","",INDEX(BookRate,1733)*(1+'5. Scenarios'!$B$10)*$D1738)</f>
        <v/>
      </c>
      <c r="F1738" s="57" t="str">
        <f aca="false">IF($E1738="","",SUMIFS($E$6:$E$2405,$A$6:$A$2405,"&lt;="&amp;$A1738))</f>
        <v/>
      </c>
      <c r="G1738" s="57" t="str">
        <f aca="false">IF($E1738="","",IF($F1738&lt;=BankCostEnvelope*'5. Scenarios'!$B$7,1,0))</f>
        <v/>
      </c>
      <c r="H1738" s="57" t="str">
        <f aca="false">IF($D1738="","",INDEX(BookRate,1733)*(1+'5. Scenarios'!$B$10)*(INDEX(BookQ1,1733)*(5-MIN(4,1+'5. Scenarios'!$B$8))/4+INDEX(BookQ2,1733)*(5-MIN(4,2+'5. Scenarios'!$B$8))/4+INDEX(BookQ3,1733)*(5-MIN(4,3+'5. Scenarios'!$B$8))/4+INDEX(BookQ4,1733)*(5-MIN(4,4+'5. Scenarios'!$B$8))/4)*'5. Scenarios'!$B$6/(1+ProductivityDefault*('5. Scenarios'!$B$11-1))+INDEX(BookOneOff,1733)*$D1738)</f>
        <v/>
      </c>
      <c r="I1738" s="56" t="str">
        <f aca="false">IF(INDEX(BookTitle,1733)="","",INDEX(BookTotal,1733)*'5. Scenarios'!$C$6/(1+ProductivityDefault*('5. Scenarios'!$C$11-1)))</f>
        <v/>
      </c>
      <c r="J1738" s="57" t="str">
        <f aca="false">IF($I1738="","",INDEX(BookRate,1733)*(1+'5. Scenarios'!$C$10)*$I1738)</f>
        <v/>
      </c>
      <c r="K1738" s="57" t="str">
        <f aca="false">IF($J1738="","",SUMIFS($J$6:$J$2405,$A$6:$A$2405,"&lt;="&amp;$A1738))</f>
        <v/>
      </c>
      <c r="L1738" s="57" t="str">
        <f aca="false">IF($J1738="","",IF($K1738&lt;=BankCostEnvelope*'5. Scenarios'!$C$7,1,0))</f>
        <v/>
      </c>
      <c r="M1738" s="57" t="str">
        <f aca="false">IF($I1738="","",INDEX(BookRate,1733)*(1+'5. Scenarios'!$C$10)*(INDEX(BookQ1,1733)*(5-MIN(4,1+'5. Scenarios'!$C$8))/4+INDEX(BookQ2,1733)*(5-MIN(4,2+'5. Scenarios'!$C$8))/4+INDEX(BookQ3,1733)*(5-MIN(4,3+'5. Scenarios'!$C$8))/4+INDEX(BookQ4,1733)*(5-MIN(4,4+'5. Scenarios'!$C$8))/4)*'5. Scenarios'!$C$6/(1+ProductivityDefault*('5. Scenarios'!$C$11-1))+INDEX(BookOneOff,1733)*$I1738)</f>
        <v/>
      </c>
      <c r="N1738" s="56" t="str">
        <f aca="false">IF(INDEX(BookTitle,1733)="","",INDEX(BookTotal,1733)*'5. Scenarios'!$D$6/(1+ProductivityDefault*('5. Scenarios'!$D$11-1)))</f>
        <v/>
      </c>
      <c r="O1738" s="57" t="str">
        <f aca="false">IF($N1738="","",INDEX(BookRate,1733)*(1+'5. Scenarios'!$D$10)*$N1738)</f>
        <v/>
      </c>
      <c r="P1738" s="57" t="str">
        <f aca="false">IF($O1738="","",SUMIFS($O$6:$O$2405,$A$6:$A$2405,"&lt;="&amp;$A1738))</f>
        <v/>
      </c>
      <c r="Q1738" s="57" t="str">
        <f aca="false">IF($O1738="","",IF($P1738&lt;=BankCostEnvelope*'5. Scenarios'!$D$7,1,0))</f>
        <v/>
      </c>
      <c r="R1738" s="57" t="str">
        <f aca="false">IF($N1738="","",INDEX(BookRate,1733)*(1+'5. Scenarios'!$D$10)*(INDEX(BookQ1,1733)*(5-MIN(4,1+'5. Scenarios'!$D$8))/4+INDEX(BookQ2,1733)*(5-MIN(4,2+'5. Scenarios'!$D$8))/4+INDEX(BookQ3,1733)*(5-MIN(4,3+'5. Scenarios'!$D$8))/4+INDEX(BookQ4,1733)*(5-MIN(4,4+'5. Scenarios'!$D$8))/4)*'5. Scenarios'!$D$6/(1+ProductivityDefault*('5. Scenarios'!$D$11-1))+INDEX(BookOneOff,1733)*$N1738)</f>
        <v/>
      </c>
      <c r="S1738" s="56" t="str">
        <f aca="false">IF(INDEX(BookTitle,1733)="","",INDEX(BookTotal,1733)*'5. Scenarios'!$E$6/(1+ProductivityDefault*('5. Scenarios'!$E$11-1)))</f>
        <v/>
      </c>
      <c r="T1738" s="57" t="str">
        <f aca="false">IF($S1738="","",INDEX(BookRate,1733)*(1+'5. Scenarios'!$E$10)*$S1738)</f>
        <v/>
      </c>
      <c r="U1738" s="57" t="str">
        <f aca="false">IF($T1738="","",SUMIFS($T$6:$T$2405,$A$6:$A$2405,"&lt;="&amp;$A1738))</f>
        <v/>
      </c>
      <c r="V1738" s="57" t="str">
        <f aca="false">IF($T1738="","",IF($U1738&lt;=BankCostEnvelope*'5. Scenarios'!$E$7,1,0))</f>
        <v/>
      </c>
      <c r="W1738" s="57" t="str">
        <f aca="false">IF($S1738="","",INDEX(BookRate,1733)*(1+'5. Scenarios'!$E$10)*(INDEX(BookQ1,1733)*(5-MIN(4,1+'5. Scenarios'!$E$8))/4+INDEX(BookQ2,1733)*(5-MIN(4,2+'5. Scenarios'!$E$8))/4+INDEX(BookQ3,1733)*(5-MIN(4,3+'5. Scenarios'!$E$8))/4+INDEX(BookQ4,1733)*(5-MIN(4,4+'5. Scenarios'!$E$8))/4)*'5. Scenarios'!$E$6/(1+ProductivityDefault*('5. Scenarios'!$E$11-1))+INDEX(BookOneOff,1733)*$S1738)</f>
        <v/>
      </c>
    </row>
    <row r="1739" customFormat="false" ht="15" hidden="false" customHeight="false" outlineLevel="0" collapsed="false">
      <c r="A1739" s="0" t="str">
        <f aca="false">IF(INDEX(BookTitle,1734)="","",INDEX(BookKey,1734))</f>
        <v/>
      </c>
      <c r="B1739" s="0" t="str">
        <f aca="false">IF(INDEX(BookTitle,1734)="","",INDEX(BookGroup,1734))</f>
        <v/>
      </c>
      <c r="C1739" s="0" t="str">
        <f aca="false">IF(INDEX(BookTitle,1734)="","",INDEX(BookCategory,1734))</f>
        <v/>
      </c>
      <c r="D1739" s="56" t="str">
        <f aca="false">IF(INDEX(BookTitle,1734)="","",INDEX(BookTotal,1734)*'5. Scenarios'!$B$6/(1+ProductivityDefault*('5. Scenarios'!$B$11-1)))</f>
        <v/>
      </c>
      <c r="E1739" s="57" t="str">
        <f aca="false">IF($D1739="","",INDEX(BookRate,1734)*(1+'5. Scenarios'!$B$10)*$D1739)</f>
        <v/>
      </c>
      <c r="F1739" s="57" t="str">
        <f aca="false">IF($E1739="","",SUMIFS($E$6:$E$2405,$A$6:$A$2405,"&lt;="&amp;$A1739))</f>
        <v/>
      </c>
      <c r="G1739" s="57" t="str">
        <f aca="false">IF($E1739="","",IF($F1739&lt;=BankCostEnvelope*'5. Scenarios'!$B$7,1,0))</f>
        <v/>
      </c>
      <c r="H1739" s="57" t="str">
        <f aca="false">IF($D1739="","",INDEX(BookRate,1734)*(1+'5. Scenarios'!$B$10)*(INDEX(BookQ1,1734)*(5-MIN(4,1+'5. Scenarios'!$B$8))/4+INDEX(BookQ2,1734)*(5-MIN(4,2+'5. Scenarios'!$B$8))/4+INDEX(BookQ3,1734)*(5-MIN(4,3+'5. Scenarios'!$B$8))/4+INDEX(BookQ4,1734)*(5-MIN(4,4+'5. Scenarios'!$B$8))/4)*'5. Scenarios'!$B$6/(1+ProductivityDefault*('5. Scenarios'!$B$11-1))+INDEX(BookOneOff,1734)*$D1739)</f>
        <v/>
      </c>
      <c r="I1739" s="56" t="str">
        <f aca="false">IF(INDEX(BookTitle,1734)="","",INDEX(BookTotal,1734)*'5. Scenarios'!$C$6/(1+ProductivityDefault*('5. Scenarios'!$C$11-1)))</f>
        <v/>
      </c>
      <c r="J1739" s="57" t="str">
        <f aca="false">IF($I1739="","",INDEX(BookRate,1734)*(1+'5. Scenarios'!$C$10)*$I1739)</f>
        <v/>
      </c>
      <c r="K1739" s="57" t="str">
        <f aca="false">IF($J1739="","",SUMIFS($J$6:$J$2405,$A$6:$A$2405,"&lt;="&amp;$A1739))</f>
        <v/>
      </c>
      <c r="L1739" s="57" t="str">
        <f aca="false">IF($J1739="","",IF($K1739&lt;=BankCostEnvelope*'5. Scenarios'!$C$7,1,0))</f>
        <v/>
      </c>
      <c r="M1739" s="57" t="str">
        <f aca="false">IF($I1739="","",INDEX(BookRate,1734)*(1+'5. Scenarios'!$C$10)*(INDEX(BookQ1,1734)*(5-MIN(4,1+'5. Scenarios'!$C$8))/4+INDEX(BookQ2,1734)*(5-MIN(4,2+'5. Scenarios'!$C$8))/4+INDEX(BookQ3,1734)*(5-MIN(4,3+'5. Scenarios'!$C$8))/4+INDEX(BookQ4,1734)*(5-MIN(4,4+'5. Scenarios'!$C$8))/4)*'5. Scenarios'!$C$6/(1+ProductivityDefault*('5. Scenarios'!$C$11-1))+INDEX(BookOneOff,1734)*$I1739)</f>
        <v/>
      </c>
      <c r="N1739" s="56" t="str">
        <f aca="false">IF(INDEX(BookTitle,1734)="","",INDEX(BookTotal,1734)*'5. Scenarios'!$D$6/(1+ProductivityDefault*('5. Scenarios'!$D$11-1)))</f>
        <v/>
      </c>
      <c r="O1739" s="57" t="str">
        <f aca="false">IF($N1739="","",INDEX(BookRate,1734)*(1+'5. Scenarios'!$D$10)*$N1739)</f>
        <v/>
      </c>
      <c r="P1739" s="57" t="str">
        <f aca="false">IF($O1739="","",SUMIFS($O$6:$O$2405,$A$6:$A$2405,"&lt;="&amp;$A1739))</f>
        <v/>
      </c>
      <c r="Q1739" s="57" t="str">
        <f aca="false">IF($O1739="","",IF($P1739&lt;=BankCostEnvelope*'5. Scenarios'!$D$7,1,0))</f>
        <v/>
      </c>
      <c r="R1739" s="57" t="str">
        <f aca="false">IF($N1739="","",INDEX(BookRate,1734)*(1+'5. Scenarios'!$D$10)*(INDEX(BookQ1,1734)*(5-MIN(4,1+'5. Scenarios'!$D$8))/4+INDEX(BookQ2,1734)*(5-MIN(4,2+'5. Scenarios'!$D$8))/4+INDEX(BookQ3,1734)*(5-MIN(4,3+'5. Scenarios'!$D$8))/4+INDEX(BookQ4,1734)*(5-MIN(4,4+'5. Scenarios'!$D$8))/4)*'5. Scenarios'!$D$6/(1+ProductivityDefault*('5. Scenarios'!$D$11-1))+INDEX(BookOneOff,1734)*$N1739)</f>
        <v/>
      </c>
      <c r="S1739" s="56" t="str">
        <f aca="false">IF(INDEX(BookTitle,1734)="","",INDEX(BookTotal,1734)*'5. Scenarios'!$E$6/(1+ProductivityDefault*('5. Scenarios'!$E$11-1)))</f>
        <v/>
      </c>
      <c r="T1739" s="57" t="str">
        <f aca="false">IF($S1739="","",INDEX(BookRate,1734)*(1+'5. Scenarios'!$E$10)*$S1739)</f>
        <v/>
      </c>
      <c r="U1739" s="57" t="str">
        <f aca="false">IF($T1739="","",SUMIFS($T$6:$T$2405,$A$6:$A$2405,"&lt;="&amp;$A1739))</f>
        <v/>
      </c>
      <c r="V1739" s="57" t="str">
        <f aca="false">IF($T1739="","",IF($U1739&lt;=BankCostEnvelope*'5. Scenarios'!$E$7,1,0))</f>
        <v/>
      </c>
      <c r="W1739" s="57" t="str">
        <f aca="false">IF($S1739="","",INDEX(BookRate,1734)*(1+'5. Scenarios'!$E$10)*(INDEX(BookQ1,1734)*(5-MIN(4,1+'5. Scenarios'!$E$8))/4+INDEX(BookQ2,1734)*(5-MIN(4,2+'5. Scenarios'!$E$8))/4+INDEX(BookQ3,1734)*(5-MIN(4,3+'5. Scenarios'!$E$8))/4+INDEX(BookQ4,1734)*(5-MIN(4,4+'5. Scenarios'!$E$8))/4)*'5. Scenarios'!$E$6/(1+ProductivityDefault*('5. Scenarios'!$E$11-1))+INDEX(BookOneOff,1734)*$S1739)</f>
        <v/>
      </c>
    </row>
    <row r="1740" customFormat="false" ht="15" hidden="false" customHeight="false" outlineLevel="0" collapsed="false">
      <c r="A1740" s="0" t="str">
        <f aca="false">IF(INDEX(BookTitle,1735)="","",INDEX(BookKey,1735))</f>
        <v/>
      </c>
      <c r="B1740" s="0" t="str">
        <f aca="false">IF(INDEX(BookTitle,1735)="","",INDEX(BookGroup,1735))</f>
        <v/>
      </c>
      <c r="C1740" s="0" t="str">
        <f aca="false">IF(INDEX(BookTitle,1735)="","",INDEX(BookCategory,1735))</f>
        <v/>
      </c>
      <c r="D1740" s="56" t="str">
        <f aca="false">IF(INDEX(BookTitle,1735)="","",INDEX(BookTotal,1735)*'5. Scenarios'!$B$6/(1+ProductivityDefault*('5. Scenarios'!$B$11-1)))</f>
        <v/>
      </c>
      <c r="E1740" s="57" t="str">
        <f aca="false">IF($D1740="","",INDEX(BookRate,1735)*(1+'5. Scenarios'!$B$10)*$D1740)</f>
        <v/>
      </c>
      <c r="F1740" s="57" t="str">
        <f aca="false">IF($E1740="","",SUMIFS($E$6:$E$2405,$A$6:$A$2405,"&lt;="&amp;$A1740))</f>
        <v/>
      </c>
      <c r="G1740" s="57" t="str">
        <f aca="false">IF($E1740="","",IF($F1740&lt;=BankCostEnvelope*'5. Scenarios'!$B$7,1,0))</f>
        <v/>
      </c>
      <c r="H1740" s="57" t="str">
        <f aca="false">IF($D1740="","",INDEX(BookRate,1735)*(1+'5. Scenarios'!$B$10)*(INDEX(BookQ1,1735)*(5-MIN(4,1+'5. Scenarios'!$B$8))/4+INDEX(BookQ2,1735)*(5-MIN(4,2+'5. Scenarios'!$B$8))/4+INDEX(BookQ3,1735)*(5-MIN(4,3+'5. Scenarios'!$B$8))/4+INDEX(BookQ4,1735)*(5-MIN(4,4+'5. Scenarios'!$B$8))/4)*'5. Scenarios'!$B$6/(1+ProductivityDefault*('5. Scenarios'!$B$11-1))+INDEX(BookOneOff,1735)*$D1740)</f>
        <v/>
      </c>
      <c r="I1740" s="56" t="str">
        <f aca="false">IF(INDEX(BookTitle,1735)="","",INDEX(BookTotal,1735)*'5. Scenarios'!$C$6/(1+ProductivityDefault*('5. Scenarios'!$C$11-1)))</f>
        <v/>
      </c>
      <c r="J1740" s="57" t="str">
        <f aca="false">IF($I1740="","",INDEX(BookRate,1735)*(1+'5. Scenarios'!$C$10)*$I1740)</f>
        <v/>
      </c>
      <c r="K1740" s="57" t="str">
        <f aca="false">IF($J1740="","",SUMIFS($J$6:$J$2405,$A$6:$A$2405,"&lt;="&amp;$A1740))</f>
        <v/>
      </c>
      <c r="L1740" s="57" t="str">
        <f aca="false">IF($J1740="","",IF($K1740&lt;=BankCostEnvelope*'5. Scenarios'!$C$7,1,0))</f>
        <v/>
      </c>
      <c r="M1740" s="57" t="str">
        <f aca="false">IF($I1740="","",INDEX(BookRate,1735)*(1+'5. Scenarios'!$C$10)*(INDEX(BookQ1,1735)*(5-MIN(4,1+'5. Scenarios'!$C$8))/4+INDEX(BookQ2,1735)*(5-MIN(4,2+'5. Scenarios'!$C$8))/4+INDEX(BookQ3,1735)*(5-MIN(4,3+'5. Scenarios'!$C$8))/4+INDEX(BookQ4,1735)*(5-MIN(4,4+'5. Scenarios'!$C$8))/4)*'5. Scenarios'!$C$6/(1+ProductivityDefault*('5. Scenarios'!$C$11-1))+INDEX(BookOneOff,1735)*$I1740)</f>
        <v/>
      </c>
      <c r="N1740" s="56" t="str">
        <f aca="false">IF(INDEX(BookTitle,1735)="","",INDEX(BookTotal,1735)*'5. Scenarios'!$D$6/(1+ProductivityDefault*('5. Scenarios'!$D$11-1)))</f>
        <v/>
      </c>
      <c r="O1740" s="57" t="str">
        <f aca="false">IF($N1740="","",INDEX(BookRate,1735)*(1+'5. Scenarios'!$D$10)*$N1740)</f>
        <v/>
      </c>
      <c r="P1740" s="57" t="str">
        <f aca="false">IF($O1740="","",SUMIFS($O$6:$O$2405,$A$6:$A$2405,"&lt;="&amp;$A1740))</f>
        <v/>
      </c>
      <c r="Q1740" s="57" t="str">
        <f aca="false">IF($O1740="","",IF($P1740&lt;=BankCostEnvelope*'5. Scenarios'!$D$7,1,0))</f>
        <v/>
      </c>
      <c r="R1740" s="57" t="str">
        <f aca="false">IF($N1740="","",INDEX(BookRate,1735)*(1+'5. Scenarios'!$D$10)*(INDEX(BookQ1,1735)*(5-MIN(4,1+'5. Scenarios'!$D$8))/4+INDEX(BookQ2,1735)*(5-MIN(4,2+'5. Scenarios'!$D$8))/4+INDEX(BookQ3,1735)*(5-MIN(4,3+'5. Scenarios'!$D$8))/4+INDEX(BookQ4,1735)*(5-MIN(4,4+'5. Scenarios'!$D$8))/4)*'5. Scenarios'!$D$6/(1+ProductivityDefault*('5. Scenarios'!$D$11-1))+INDEX(BookOneOff,1735)*$N1740)</f>
        <v/>
      </c>
      <c r="S1740" s="56" t="str">
        <f aca="false">IF(INDEX(BookTitle,1735)="","",INDEX(BookTotal,1735)*'5. Scenarios'!$E$6/(1+ProductivityDefault*('5. Scenarios'!$E$11-1)))</f>
        <v/>
      </c>
      <c r="T1740" s="57" t="str">
        <f aca="false">IF($S1740="","",INDEX(BookRate,1735)*(1+'5. Scenarios'!$E$10)*$S1740)</f>
        <v/>
      </c>
      <c r="U1740" s="57" t="str">
        <f aca="false">IF($T1740="","",SUMIFS($T$6:$T$2405,$A$6:$A$2405,"&lt;="&amp;$A1740))</f>
        <v/>
      </c>
      <c r="V1740" s="57" t="str">
        <f aca="false">IF($T1740="","",IF($U1740&lt;=BankCostEnvelope*'5. Scenarios'!$E$7,1,0))</f>
        <v/>
      </c>
      <c r="W1740" s="57" t="str">
        <f aca="false">IF($S1740="","",INDEX(BookRate,1735)*(1+'5. Scenarios'!$E$10)*(INDEX(BookQ1,1735)*(5-MIN(4,1+'5. Scenarios'!$E$8))/4+INDEX(BookQ2,1735)*(5-MIN(4,2+'5. Scenarios'!$E$8))/4+INDEX(BookQ3,1735)*(5-MIN(4,3+'5. Scenarios'!$E$8))/4+INDEX(BookQ4,1735)*(5-MIN(4,4+'5. Scenarios'!$E$8))/4)*'5. Scenarios'!$E$6/(1+ProductivityDefault*('5. Scenarios'!$E$11-1))+INDEX(BookOneOff,1735)*$S1740)</f>
        <v/>
      </c>
    </row>
    <row r="1741" customFormat="false" ht="15" hidden="false" customHeight="false" outlineLevel="0" collapsed="false">
      <c r="A1741" s="0" t="str">
        <f aca="false">IF(INDEX(BookTitle,1736)="","",INDEX(BookKey,1736))</f>
        <v/>
      </c>
      <c r="B1741" s="0" t="str">
        <f aca="false">IF(INDEX(BookTitle,1736)="","",INDEX(BookGroup,1736))</f>
        <v/>
      </c>
      <c r="C1741" s="0" t="str">
        <f aca="false">IF(INDEX(BookTitle,1736)="","",INDEX(BookCategory,1736))</f>
        <v/>
      </c>
      <c r="D1741" s="56" t="str">
        <f aca="false">IF(INDEX(BookTitle,1736)="","",INDEX(BookTotal,1736)*'5. Scenarios'!$B$6/(1+ProductivityDefault*('5. Scenarios'!$B$11-1)))</f>
        <v/>
      </c>
      <c r="E1741" s="57" t="str">
        <f aca="false">IF($D1741="","",INDEX(BookRate,1736)*(1+'5. Scenarios'!$B$10)*$D1741)</f>
        <v/>
      </c>
      <c r="F1741" s="57" t="str">
        <f aca="false">IF($E1741="","",SUMIFS($E$6:$E$2405,$A$6:$A$2405,"&lt;="&amp;$A1741))</f>
        <v/>
      </c>
      <c r="G1741" s="57" t="str">
        <f aca="false">IF($E1741="","",IF($F1741&lt;=BankCostEnvelope*'5. Scenarios'!$B$7,1,0))</f>
        <v/>
      </c>
      <c r="H1741" s="57" t="str">
        <f aca="false">IF($D1741="","",INDEX(BookRate,1736)*(1+'5. Scenarios'!$B$10)*(INDEX(BookQ1,1736)*(5-MIN(4,1+'5. Scenarios'!$B$8))/4+INDEX(BookQ2,1736)*(5-MIN(4,2+'5. Scenarios'!$B$8))/4+INDEX(BookQ3,1736)*(5-MIN(4,3+'5. Scenarios'!$B$8))/4+INDEX(BookQ4,1736)*(5-MIN(4,4+'5. Scenarios'!$B$8))/4)*'5. Scenarios'!$B$6/(1+ProductivityDefault*('5. Scenarios'!$B$11-1))+INDEX(BookOneOff,1736)*$D1741)</f>
        <v/>
      </c>
      <c r="I1741" s="56" t="str">
        <f aca="false">IF(INDEX(BookTitle,1736)="","",INDEX(BookTotal,1736)*'5. Scenarios'!$C$6/(1+ProductivityDefault*('5. Scenarios'!$C$11-1)))</f>
        <v/>
      </c>
      <c r="J1741" s="57" t="str">
        <f aca="false">IF($I1741="","",INDEX(BookRate,1736)*(1+'5. Scenarios'!$C$10)*$I1741)</f>
        <v/>
      </c>
      <c r="K1741" s="57" t="str">
        <f aca="false">IF($J1741="","",SUMIFS($J$6:$J$2405,$A$6:$A$2405,"&lt;="&amp;$A1741))</f>
        <v/>
      </c>
      <c r="L1741" s="57" t="str">
        <f aca="false">IF($J1741="","",IF($K1741&lt;=BankCostEnvelope*'5. Scenarios'!$C$7,1,0))</f>
        <v/>
      </c>
      <c r="M1741" s="57" t="str">
        <f aca="false">IF($I1741="","",INDEX(BookRate,1736)*(1+'5. Scenarios'!$C$10)*(INDEX(BookQ1,1736)*(5-MIN(4,1+'5. Scenarios'!$C$8))/4+INDEX(BookQ2,1736)*(5-MIN(4,2+'5. Scenarios'!$C$8))/4+INDEX(BookQ3,1736)*(5-MIN(4,3+'5. Scenarios'!$C$8))/4+INDEX(BookQ4,1736)*(5-MIN(4,4+'5. Scenarios'!$C$8))/4)*'5. Scenarios'!$C$6/(1+ProductivityDefault*('5. Scenarios'!$C$11-1))+INDEX(BookOneOff,1736)*$I1741)</f>
        <v/>
      </c>
      <c r="N1741" s="56" t="str">
        <f aca="false">IF(INDEX(BookTitle,1736)="","",INDEX(BookTotal,1736)*'5. Scenarios'!$D$6/(1+ProductivityDefault*('5. Scenarios'!$D$11-1)))</f>
        <v/>
      </c>
      <c r="O1741" s="57" t="str">
        <f aca="false">IF($N1741="","",INDEX(BookRate,1736)*(1+'5. Scenarios'!$D$10)*$N1741)</f>
        <v/>
      </c>
      <c r="P1741" s="57" t="str">
        <f aca="false">IF($O1741="","",SUMIFS($O$6:$O$2405,$A$6:$A$2405,"&lt;="&amp;$A1741))</f>
        <v/>
      </c>
      <c r="Q1741" s="57" t="str">
        <f aca="false">IF($O1741="","",IF($P1741&lt;=BankCostEnvelope*'5. Scenarios'!$D$7,1,0))</f>
        <v/>
      </c>
      <c r="R1741" s="57" t="str">
        <f aca="false">IF($N1741="","",INDEX(BookRate,1736)*(1+'5. Scenarios'!$D$10)*(INDEX(BookQ1,1736)*(5-MIN(4,1+'5. Scenarios'!$D$8))/4+INDEX(BookQ2,1736)*(5-MIN(4,2+'5. Scenarios'!$D$8))/4+INDEX(BookQ3,1736)*(5-MIN(4,3+'5. Scenarios'!$D$8))/4+INDEX(BookQ4,1736)*(5-MIN(4,4+'5. Scenarios'!$D$8))/4)*'5. Scenarios'!$D$6/(1+ProductivityDefault*('5. Scenarios'!$D$11-1))+INDEX(BookOneOff,1736)*$N1741)</f>
        <v/>
      </c>
      <c r="S1741" s="56" t="str">
        <f aca="false">IF(INDEX(BookTitle,1736)="","",INDEX(BookTotal,1736)*'5. Scenarios'!$E$6/(1+ProductivityDefault*('5. Scenarios'!$E$11-1)))</f>
        <v/>
      </c>
      <c r="T1741" s="57" t="str">
        <f aca="false">IF($S1741="","",INDEX(BookRate,1736)*(1+'5. Scenarios'!$E$10)*$S1741)</f>
        <v/>
      </c>
      <c r="U1741" s="57" t="str">
        <f aca="false">IF($T1741="","",SUMIFS($T$6:$T$2405,$A$6:$A$2405,"&lt;="&amp;$A1741))</f>
        <v/>
      </c>
      <c r="V1741" s="57" t="str">
        <f aca="false">IF($T1741="","",IF($U1741&lt;=BankCostEnvelope*'5. Scenarios'!$E$7,1,0))</f>
        <v/>
      </c>
      <c r="W1741" s="57" t="str">
        <f aca="false">IF($S1741="","",INDEX(BookRate,1736)*(1+'5. Scenarios'!$E$10)*(INDEX(BookQ1,1736)*(5-MIN(4,1+'5. Scenarios'!$E$8))/4+INDEX(BookQ2,1736)*(5-MIN(4,2+'5. Scenarios'!$E$8))/4+INDEX(BookQ3,1736)*(5-MIN(4,3+'5. Scenarios'!$E$8))/4+INDEX(BookQ4,1736)*(5-MIN(4,4+'5. Scenarios'!$E$8))/4)*'5. Scenarios'!$E$6/(1+ProductivityDefault*('5. Scenarios'!$E$11-1))+INDEX(BookOneOff,1736)*$S1741)</f>
        <v/>
      </c>
    </row>
    <row r="1742" customFormat="false" ht="15" hidden="false" customHeight="false" outlineLevel="0" collapsed="false">
      <c r="A1742" s="0" t="str">
        <f aca="false">IF(INDEX(BookTitle,1737)="","",INDEX(BookKey,1737))</f>
        <v/>
      </c>
      <c r="B1742" s="0" t="str">
        <f aca="false">IF(INDEX(BookTitle,1737)="","",INDEX(BookGroup,1737))</f>
        <v/>
      </c>
      <c r="C1742" s="0" t="str">
        <f aca="false">IF(INDEX(BookTitle,1737)="","",INDEX(BookCategory,1737))</f>
        <v/>
      </c>
      <c r="D1742" s="56" t="str">
        <f aca="false">IF(INDEX(BookTitle,1737)="","",INDEX(BookTotal,1737)*'5. Scenarios'!$B$6/(1+ProductivityDefault*('5. Scenarios'!$B$11-1)))</f>
        <v/>
      </c>
      <c r="E1742" s="57" t="str">
        <f aca="false">IF($D1742="","",INDEX(BookRate,1737)*(1+'5. Scenarios'!$B$10)*$D1742)</f>
        <v/>
      </c>
      <c r="F1742" s="57" t="str">
        <f aca="false">IF($E1742="","",SUMIFS($E$6:$E$2405,$A$6:$A$2405,"&lt;="&amp;$A1742))</f>
        <v/>
      </c>
      <c r="G1742" s="57" t="str">
        <f aca="false">IF($E1742="","",IF($F1742&lt;=BankCostEnvelope*'5. Scenarios'!$B$7,1,0))</f>
        <v/>
      </c>
      <c r="H1742" s="57" t="str">
        <f aca="false">IF($D1742="","",INDEX(BookRate,1737)*(1+'5. Scenarios'!$B$10)*(INDEX(BookQ1,1737)*(5-MIN(4,1+'5. Scenarios'!$B$8))/4+INDEX(BookQ2,1737)*(5-MIN(4,2+'5. Scenarios'!$B$8))/4+INDEX(BookQ3,1737)*(5-MIN(4,3+'5. Scenarios'!$B$8))/4+INDEX(BookQ4,1737)*(5-MIN(4,4+'5. Scenarios'!$B$8))/4)*'5. Scenarios'!$B$6/(1+ProductivityDefault*('5. Scenarios'!$B$11-1))+INDEX(BookOneOff,1737)*$D1742)</f>
        <v/>
      </c>
      <c r="I1742" s="56" t="str">
        <f aca="false">IF(INDEX(BookTitle,1737)="","",INDEX(BookTotal,1737)*'5. Scenarios'!$C$6/(1+ProductivityDefault*('5. Scenarios'!$C$11-1)))</f>
        <v/>
      </c>
      <c r="J1742" s="57" t="str">
        <f aca="false">IF($I1742="","",INDEX(BookRate,1737)*(1+'5. Scenarios'!$C$10)*$I1742)</f>
        <v/>
      </c>
      <c r="K1742" s="57" t="str">
        <f aca="false">IF($J1742="","",SUMIFS($J$6:$J$2405,$A$6:$A$2405,"&lt;="&amp;$A1742))</f>
        <v/>
      </c>
      <c r="L1742" s="57" t="str">
        <f aca="false">IF($J1742="","",IF($K1742&lt;=BankCostEnvelope*'5. Scenarios'!$C$7,1,0))</f>
        <v/>
      </c>
      <c r="M1742" s="57" t="str">
        <f aca="false">IF($I1742="","",INDEX(BookRate,1737)*(1+'5. Scenarios'!$C$10)*(INDEX(BookQ1,1737)*(5-MIN(4,1+'5. Scenarios'!$C$8))/4+INDEX(BookQ2,1737)*(5-MIN(4,2+'5. Scenarios'!$C$8))/4+INDEX(BookQ3,1737)*(5-MIN(4,3+'5. Scenarios'!$C$8))/4+INDEX(BookQ4,1737)*(5-MIN(4,4+'5. Scenarios'!$C$8))/4)*'5. Scenarios'!$C$6/(1+ProductivityDefault*('5. Scenarios'!$C$11-1))+INDEX(BookOneOff,1737)*$I1742)</f>
        <v/>
      </c>
      <c r="N1742" s="56" t="str">
        <f aca="false">IF(INDEX(BookTitle,1737)="","",INDEX(BookTotal,1737)*'5. Scenarios'!$D$6/(1+ProductivityDefault*('5. Scenarios'!$D$11-1)))</f>
        <v/>
      </c>
      <c r="O1742" s="57" t="str">
        <f aca="false">IF($N1742="","",INDEX(BookRate,1737)*(1+'5. Scenarios'!$D$10)*$N1742)</f>
        <v/>
      </c>
      <c r="P1742" s="57" t="str">
        <f aca="false">IF($O1742="","",SUMIFS($O$6:$O$2405,$A$6:$A$2405,"&lt;="&amp;$A1742))</f>
        <v/>
      </c>
      <c r="Q1742" s="57" t="str">
        <f aca="false">IF($O1742="","",IF($P1742&lt;=BankCostEnvelope*'5. Scenarios'!$D$7,1,0))</f>
        <v/>
      </c>
      <c r="R1742" s="57" t="str">
        <f aca="false">IF($N1742="","",INDEX(BookRate,1737)*(1+'5. Scenarios'!$D$10)*(INDEX(BookQ1,1737)*(5-MIN(4,1+'5. Scenarios'!$D$8))/4+INDEX(BookQ2,1737)*(5-MIN(4,2+'5. Scenarios'!$D$8))/4+INDEX(BookQ3,1737)*(5-MIN(4,3+'5. Scenarios'!$D$8))/4+INDEX(BookQ4,1737)*(5-MIN(4,4+'5. Scenarios'!$D$8))/4)*'5. Scenarios'!$D$6/(1+ProductivityDefault*('5. Scenarios'!$D$11-1))+INDEX(BookOneOff,1737)*$N1742)</f>
        <v/>
      </c>
      <c r="S1742" s="56" t="str">
        <f aca="false">IF(INDEX(BookTitle,1737)="","",INDEX(BookTotal,1737)*'5. Scenarios'!$E$6/(1+ProductivityDefault*('5. Scenarios'!$E$11-1)))</f>
        <v/>
      </c>
      <c r="T1742" s="57" t="str">
        <f aca="false">IF($S1742="","",INDEX(BookRate,1737)*(1+'5. Scenarios'!$E$10)*$S1742)</f>
        <v/>
      </c>
      <c r="U1742" s="57" t="str">
        <f aca="false">IF($T1742="","",SUMIFS($T$6:$T$2405,$A$6:$A$2405,"&lt;="&amp;$A1742))</f>
        <v/>
      </c>
      <c r="V1742" s="57" t="str">
        <f aca="false">IF($T1742="","",IF($U1742&lt;=BankCostEnvelope*'5. Scenarios'!$E$7,1,0))</f>
        <v/>
      </c>
      <c r="W1742" s="57" t="str">
        <f aca="false">IF($S1742="","",INDEX(BookRate,1737)*(1+'5. Scenarios'!$E$10)*(INDEX(BookQ1,1737)*(5-MIN(4,1+'5. Scenarios'!$E$8))/4+INDEX(BookQ2,1737)*(5-MIN(4,2+'5. Scenarios'!$E$8))/4+INDEX(BookQ3,1737)*(5-MIN(4,3+'5. Scenarios'!$E$8))/4+INDEX(BookQ4,1737)*(5-MIN(4,4+'5. Scenarios'!$E$8))/4)*'5. Scenarios'!$E$6/(1+ProductivityDefault*('5. Scenarios'!$E$11-1))+INDEX(BookOneOff,1737)*$S1742)</f>
        <v/>
      </c>
    </row>
    <row r="1743" customFormat="false" ht="15" hidden="false" customHeight="false" outlineLevel="0" collapsed="false">
      <c r="A1743" s="0" t="str">
        <f aca="false">IF(INDEX(BookTitle,1738)="","",INDEX(BookKey,1738))</f>
        <v/>
      </c>
      <c r="B1743" s="0" t="str">
        <f aca="false">IF(INDEX(BookTitle,1738)="","",INDEX(BookGroup,1738))</f>
        <v/>
      </c>
      <c r="C1743" s="0" t="str">
        <f aca="false">IF(INDEX(BookTitle,1738)="","",INDEX(BookCategory,1738))</f>
        <v/>
      </c>
      <c r="D1743" s="56" t="str">
        <f aca="false">IF(INDEX(BookTitle,1738)="","",INDEX(BookTotal,1738)*'5. Scenarios'!$B$6/(1+ProductivityDefault*('5. Scenarios'!$B$11-1)))</f>
        <v/>
      </c>
      <c r="E1743" s="57" t="str">
        <f aca="false">IF($D1743="","",INDEX(BookRate,1738)*(1+'5. Scenarios'!$B$10)*$D1743)</f>
        <v/>
      </c>
      <c r="F1743" s="57" t="str">
        <f aca="false">IF($E1743="","",SUMIFS($E$6:$E$2405,$A$6:$A$2405,"&lt;="&amp;$A1743))</f>
        <v/>
      </c>
      <c r="G1743" s="57" t="str">
        <f aca="false">IF($E1743="","",IF($F1743&lt;=BankCostEnvelope*'5. Scenarios'!$B$7,1,0))</f>
        <v/>
      </c>
      <c r="H1743" s="57" t="str">
        <f aca="false">IF($D1743="","",INDEX(BookRate,1738)*(1+'5. Scenarios'!$B$10)*(INDEX(BookQ1,1738)*(5-MIN(4,1+'5. Scenarios'!$B$8))/4+INDEX(BookQ2,1738)*(5-MIN(4,2+'5. Scenarios'!$B$8))/4+INDEX(BookQ3,1738)*(5-MIN(4,3+'5. Scenarios'!$B$8))/4+INDEX(BookQ4,1738)*(5-MIN(4,4+'5. Scenarios'!$B$8))/4)*'5. Scenarios'!$B$6/(1+ProductivityDefault*('5. Scenarios'!$B$11-1))+INDEX(BookOneOff,1738)*$D1743)</f>
        <v/>
      </c>
      <c r="I1743" s="56" t="str">
        <f aca="false">IF(INDEX(BookTitle,1738)="","",INDEX(BookTotal,1738)*'5. Scenarios'!$C$6/(1+ProductivityDefault*('5. Scenarios'!$C$11-1)))</f>
        <v/>
      </c>
      <c r="J1743" s="57" t="str">
        <f aca="false">IF($I1743="","",INDEX(BookRate,1738)*(1+'5. Scenarios'!$C$10)*$I1743)</f>
        <v/>
      </c>
      <c r="K1743" s="57" t="str">
        <f aca="false">IF($J1743="","",SUMIFS($J$6:$J$2405,$A$6:$A$2405,"&lt;="&amp;$A1743))</f>
        <v/>
      </c>
      <c r="L1743" s="57" t="str">
        <f aca="false">IF($J1743="","",IF($K1743&lt;=BankCostEnvelope*'5. Scenarios'!$C$7,1,0))</f>
        <v/>
      </c>
      <c r="M1743" s="57" t="str">
        <f aca="false">IF($I1743="","",INDEX(BookRate,1738)*(1+'5. Scenarios'!$C$10)*(INDEX(BookQ1,1738)*(5-MIN(4,1+'5. Scenarios'!$C$8))/4+INDEX(BookQ2,1738)*(5-MIN(4,2+'5. Scenarios'!$C$8))/4+INDEX(BookQ3,1738)*(5-MIN(4,3+'5. Scenarios'!$C$8))/4+INDEX(BookQ4,1738)*(5-MIN(4,4+'5. Scenarios'!$C$8))/4)*'5. Scenarios'!$C$6/(1+ProductivityDefault*('5. Scenarios'!$C$11-1))+INDEX(BookOneOff,1738)*$I1743)</f>
        <v/>
      </c>
      <c r="N1743" s="56" t="str">
        <f aca="false">IF(INDEX(BookTitle,1738)="","",INDEX(BookTotal,1738)*'5. Scenarios'!$D$6/(1+ProductivityDefault*('5. Scenarios'!$D$11-1)))</f>
        <v/>
      </c>
      <c r="O1743" s="57" t="str">
        <f aca="false">IF($N1743="","",INDEX(BookRate,1738)*(1+'5. Scenarios'!$D$10)*$N1743)</f>
        <v/>
      </c>
      <c r="P1743" s="57" t="str">
        <f aca="false">IF($O1743="","",SUMIFS($O$6:$O$2405,$A$6:$A$2405,"&lt;="&amp;$A1743))</f>
        <v/>
      </c>
      <c r="Q1743" s="57" t="str">
        <f aca="false">IF($O1743="","",IF($P1743&lt;=BankCostEnvelope*'5. Scenarios'!$D$7,1,0))</f>
        <v/>
      </c>
      <c r="R1743" s="57" t="str">
        <f aca="false">IF($N1743="","",INDEX(BookRate,1738)*(1+'5. Scenarios'!$D$10)*(INDEX(BookQ1,1738)*(5-MIN(4,1+'5. Scenarios'!$D$8))/4+INDEX(BookQ2,1738)*(5-MIN(4,2+'5. Scenarios'!$D$8))/4+INDEX(BookQ3,1738)*(5-MIN(4,3+'5. Scenarios'!$D$8))/4+INDEX(BookQ4,1738)*(5-MIN(4,4+'5. Scenarios'!$D$8))/4)*'5. Scenarios'!$D$6/(1+ProductivityDefault*('5. Scenarios'!$D$11-1))+INDEX(BookOneOff,1738)*$N1743)</f>
        <v/>
      </c>
      <c r="S1743" s="56" t="str">
        <f aca="false">IF(INDEX(BookTitle,1738)="","",INDEX(BookTotal,1738)*'5. Scenarios'!$E$6/(1+ProductivityDefault*('5. Scenarios'!$E$11-1)))</f>
        <v/>
      </c>
      <c r="T1743" s="57" t="str">
        <f aca="false">IF($S1743="","",INDEX(BookRate,1738)*(1+'5. Scenarios'!$E$10)*$S1743)</f>
        <v/>
      </c>
      <c r="U1743" s="57" t="str">
        <f aca="false">IF($T1743="","",SUMIFS($T$6:$T$2405,$A$6:$A$2405,"&lt;="&amp;$A1743))</f>
        <v/>
      </c>
      <c r="V1743" s="57" t="str">
        <f aca="false">IF($T1743="","",IF($U1743&lt;=BankCostEnvelope*'5. Scenarios'!$E$7,1,0))</f>
        <v/>
      </c>
      <c r="W1743" s="57" t="str">
        <f aca="false">IF($S1743="","",INDEX(BookRate,1738)*(1+'5. Scenarios'!$E$10)*(INDEX(BookQ1,1738)*(5-MIN(4,1+'5. Scenarios'!$E$8))/4+INDEX(BookQ2,1738)*(5-MIN(4,2+'5. Scenarios'!$E$8))/4+INDEX(BookQ3,1738)*(5-MIN(4,3+'5. Scenarios'!$E$8))/4+INDEX(BookQ4,1738)*(5-MIN(4,4+'5. Scenarios'!$E$8))/4)*'5. Scenarios'!$E$6/(1+ProductivityDefault*('5. Scenarios'!$E$11-1))+INDEX(BookOneOff,1738)*$S1743)</f>
        <v/>
      </c>
    </row>
    <row r="1744" customFormat="false" ht="15" hidden="false" customHeight="false" outlineLevel="0" collapsed="false">
      <c r="A1744" s="0" t="str">
        <f aca="false">IF(INDEX(BookTitle,1739)="","",INDEX(BookKey,1739))</f>
        <v/>
      </c>
      <c r="B1744" s="0" t="str">
        <f aca="false">IF(INDEX(BookTitle,1739)="","",INDEX(BookGroup,1739))</f>
        <v/>
      </c>
      <c r="C1744" s="0" t="str">
        <f aca="false">IF(INDEX(BookTitle,1739)="","",INDEX(BookCategory,1739))</f>
        <v/>
      </c>
      <c r="D1744" s="56" t="str">
        <f aca="false">IF(INDEX(BookTitle,1739)="","",INDEX(BookTotal,1739)*'5. Scenarios'!$B$6/(1+ProductivityDefault*('5. Scenarios'!$B$11-1)))</f>
        <v/>
      </c>
      <c r="E1744" s="57" t="str">
        <f aca="false">IF($D1744="","",INDEX(BookRate,1739)*(1+'5. Scenarios'!$B$10)*$D1744)</f>
        <v/>
      </c>
      <c r="F1744" s="57" t="str">
        <f aca="false">IF($E1744="","",SUMIFS($E$6:$E$2405,$A$6:$A$2405,"&lt;="&amp;$A1744))</f>
        <v/>
      </c>
      <c r="G1744" s="57" t="str">
        <f aca="false">IF($E1744="","",IF($F1744&lt;=BankCostEnvelope*'5. Scenarios'!$B$7,1,0))</f>
        <v/>
      </c>
      <c r="H1744" s="57" t="str">
        <f aca="false">IF($D1744="","",INDEX(BookRate,1739)*(1+'5. Scenarios'!$B$10)*(INDEX(BookQ1,1739)*(5-MIN(4,1+'5. Scenarios'!$B$8))/4+INDEX(BookQ2,1739)*(5-MIN(4,2+'5. Scenarios'!$B$8))/4+INDEX(BookQ3,1739)*(5-MIN(4,3+'5. Scenarios'!$B$8))/4+INDEX(BookQ4,1739)*(5-MIN(4,4+'5. Scenarios'!$B$8))/4)*'5. Scenarios'!$B$6/(1+ProductivityDefault*('5. Scenarios'!$B$11-1))+INDEX(BookOneOff,1739)*$D1744)</f>
        <v/>
      </c>
      <c r="I1744" s="56" t="str">
        <f aca="false">IF(INDEX(BookTitle,1739)="","",INDEX(BookTotal,1739)*'5. Scenarios'!$C$6/(1+ProductivityDefault*('5. Scenarios'!$C$11-1)))</f>
        <v/>
      </c>
      <c r="J1744" s="57" t="str">
        <f aca="false">IF($I1744="","",INDEX(BookRate,1739)*(1+'5. Scenarios'!$C$10)*$I1744)</f>
        <v/>
      </c>
      <c r="K1744" s="57" t="str">
        <f aca="false">IF($J1744="","",SUMIFS($J$6:$J$2405,$A$6:$A$2405,"&lt;="&amp;$A1744))</f>
        <v/>
      </c>
      <c r="L1744" s="57" t="str">
        <f aca="false">IF($J1744="","",IF($K1744&lt;=BankCostEnvelope*'5. Scenarios'!$C$7,1,0))</f>
        <v/>
      </c>
      <c r="M1744" s="57" t="str">
        <f aca="false">IF($I1744="","",INDEX(BookRate,1739)*(1+'5. Scenarios'!$C$10)*(INDEX(BookQ1,1739)*(5-MIN(4,1+'5. Scenarios'!$C$8))/4+INDEX(BookQ2,1739)*(5-MIN(4,2+'5. Scenarios'!$C$8))/4+INDEX(BookQ3,1739)*(5-MIN(4,3+'5. Scenarios'!$C$8))/4+INDEX(BookQ4,1739)*(5-MIN(4,4+'5. Scenarios'!$C$8))/4)*'5. Scenarios'!$C$6/(1+ProductivityDefault*('5. Scenarios'!$C$11-1))+INDEX(BookOneOff,1739)*$I1744)</f>
        <v/>
      </c>
      <c r="N1744" s="56" t="str">
        <f aca="false">IF(INDEX(BookTitle,1739)="","",INDEX(BookTotal,1739)*'5. Scenarios'!$D$6/(1+ProductivityDefault*('5. Scenarios'!$D$11-1)))</f>
        <v/>
      </c>
      <c r="O1744" s="57" t="str">
        <f aca="false">IF($N1744="","",INDEX(BookRate,1739)*(1+'5. Scenarios'!$D$10)*$N1744)</f>
        <v/>
      </c>
      <c r="P1744" s="57" t="str">
        <f aca="false">IF($O1744="","",SUMIFS($O$6:$O$2405,$A$6:$A$2405,"&lt;="&amp;$A1744))</f>
        <v/>
      </c>
      <c r="Q1744" s="57" t="str">
        <f aca="false">IF($O1744="","",IF($P1744&lt;=BankCostEnvelope*'5. Scenarios'!$D$7,1,0))</f>
        <v/>
      </c>
      <c r="R1744" s="57" t="str">
        <f aca="false">IF($N1744="","",INDEX(BookRate,1739)*(1+'5. Scenarios'!$D$10)*(INDEX(BookQ1,1739)*(5-MIN(4,1+'5. Scenarios'!$D$8))/4+INDEX(BookQ2,1739)*(5-MIN(4,2+'5. Scenarios'!$D$8))/4+INDEX(BookQ3,1739)*(5-MIN(4,3+'5. Scenarios'!$D$8))/4+INDEX(BookQ4,1739)*(5-MIN(4,4+'5. Scenarios'!$D$8))/4)*'5. Scenarios'!$D$6/(1+ProductivityDefault*('5. Scenarios'!$D$11-1))+INDEX(BookOneOff,1739)*$N1744)</f>
        <v/>
      </c>
      <c r="S1744" s="56" t="str">
        <f aca="false">IF(INDEX(BookTitle,1739)="","",INDEX(BookTotal,1739)*'5. Scenarios'!$E$6/(1+ProductivityDefault*('5. Scenarios'!$E$11-1)))</f>
        <v/>
      </c>
      <c r="T1744" s="57" t="str">
        <f aca="false">IF($S1744="","",INDEX(BookRate,1739)*(1+'5. Scenarios'!$E$10)*$S1744)</f>
        <v/>
      </c>
      <c r="U1744" s="57" t="str">
        <f aca="false">IF($T1744="","",SUMIFS($T$6:$T$2405,$A$6:$A$2405,"&lt;="&amp;$A1744))</f>
        <v/>
      </c>
      <c r="V1744" s="57" t="str">
        <f aca="false">IF($T1744="","",IF($U1744&lt;=BankCostEnvelope*'5. Scenarios'!$E$7,1,0))</f>
        <v/>
      </c>
      <c r="W1744" s="57" t="str">
        <f aca="false">IF($S1744="","",INDEX(BookRate,1739)*(1+'5. Scenarios'!$E$10)*(INDEX(BookQ1,1739)*(5-MIN(4,1+'5. Scenarios'!$E$8))/4+INDEX(BookQ2,1739)*(5-MIN(4,2+'5. Scenarios'!$E$8))/4+INDEX(BookQ3,1739)*(5-MIN(4,3+'5. Scenarios'!$E$8))/4+INDEX(BookQ4,1739)*(5-MIN(4,4+'5. Scenarios'!$E$8))/4)*'5. Scenarios'!$E$6/(1+ProductivityDefault*('5. Scenarios'!$E$11-1))+INDEX(BookOneOff,1739)*$S1744)</f>
        <v/>
      </c>
    </row>
    <row r="1745" customFormat="false" ht="15" hidden="false" customHeight="false" outlineLevel="0" collapsed="false">
      <c r="A1745" s="0" t="str">
        <f aca="false">IF(INDEX(BookTitle,1740)="","",INDEX(BookKey,1740))</f>
        <v/>
      </c>
      <c r="B1745" s="0" t="str">
        <f aca="false">IF(INDEX(BookTitle,1740)="","",INDEX(BookGroup,1740))</f>
        <v/>
      </c>
      <c r="C1745" s="0" t="str">
        <f aca="false">IF(INDEX(BookTitle,1740)="","",INDEX(BookCategory,1740))</f>
        <v/>
      </c>
      <c r="D1745" s="56" t="str">
        <f aca="false">IF(INDEX(BookTitle,1740)="","",INDEX(BookTotal,1740)*'5. Scenarios'!$B$6/(1+ProductivityDefault*('5. Scenarios'!$B$11-1)))</f>
        <v/>
      </c>
      <c r="E1745" s="57" t="str">
        <f aca="false">IF($D1745="","",INDEX(BookRate,1740)*(1+'5. Scenarios'!$B$10)*$D1745)</f>
        <v/>
      </c>
      <c r="F1745" s="57" t="str">
        <f aca="false">IF($E1745="","",SUMIFS($E$6:$E$2405,$A$6:$A$2405,"&lt;="&amp;$A1745))</f>
        <v/>
      </c>
      <c r="G1745" s="57" t="str">
        <f aca="false">IF($E1745="","",IF($F1745&lt;=BankCostEnvelope*'5. Scenarios'!$B$7,1,0))</f>
        <v/>
      </c>
      <c r="H1745" s="57" t="str">
        <f aca="false">IF($D1745="","",INDEX(BookRate,1740)*(1+'5. Scenarios'!$B$10)*(INDEX(BookQ1,1740)*(5-MIN(4,1+'5. Scenarios'!$B$8))/4+INDEX(BookQ2,1740)*(5-MIN(4,2+'5. Scenarios'!$B$8))/4+INDEX(BookQ3,1740)*(5-MIN(4,3+'5. Scenarios'!$B$8))/4+INDEX(BookQ4,1740)*(5-MIN(4,4+'5. Scenarios'!$B$8))/4)*'5. Scenarios'!$B$6/(1+ProductivityDefault*('5. Scenarios'!$B$11-1))+INDEX(BookOneOff,1740)*$D1745)</f>
        <v/>
      </c>
      <c r="I1745" s="56" t="str">
        <f aca="false">IF(INDEX(BookTitle,1740)="","",INDEX(BookTotal,1740)*'5. Scenarios'!$C$6/(1+ProductivityDefault*('5. Scenarios'!$C$11-1)))</f>
        <v/>
      </c>
      <c r="J1745" s="57" t="str">
        <f aca="false">IF($I1745="","",INDEX(BookRate,1740)*(1+'5. Scenarios'!$C$10)*$I1745)</f>
        <v/>
      </c>
      <c r="K1745" s="57" t="str">
        <f aca="false">IF($J1745="","",SUMIFS($J$6:$J$2405,$A$6:$A$2405,"&lt;="&amp;$A1745))</f>
        <v/>
      </c>
      <c r="L1745" s="57" t="str">
        <f aca="false">IF($J1745="","",IF($K1745&lt;=BankCostEnvelope*'5. Scenarios'!$C$7,1,0))</f>
        <v/>
      </c>
      <c r="M1745" s="57" t="str">
        <f aca="false">IF($I1745="","",INDEX(BookRate,1740)*(1+'5. Scenarios'!$C$10)*(INDEX(BookQ1,1740)*(5-MIN(4,1+'5. Scenarios'!$C$8))/4+INDEX(BookQ2,1740)*(5-MIN(4,2+'5. Scenarios'!$C$8))/4+INDEX(BookQ3,1740)*(5-MIN(4,3+'5. Scenarios'!$C$8))/4+INDEX(BookQ4,1740)*(5-MIN(4,4+'5. Scenarios'!$C$8))/4)*'5. Scenarios'!$C$6/(1+ProductivityDefault*('5. Scenarios'!$C$11-1))+INDEX(BookOneOff,1740)*$I1745)</f>
        <v/>
      </c>
      <c r="N1745" s="56" t="str">
        <f aca="false">IF(INDEX(BookTitle,1740)="","",INDEX(BookTotal,1740)*'5. Scenarios'!$D$6/(1+ProductivityDefault*('5. Scenarios'!$D$11-1)))</f>
        <v/>
      </c>
      <c r="O1745" s="57" t="str">
        <f aca="false">IF($N1745="","",INDEX(BookRate,1740)*(1+'5. Scenarios'!$D$10)*$N1745)</f>
        <v/>
      </c>
      <c r="P1745" s="57" t="str">
        <f aca="false">IF($O1745="","",SUMIFS($O$6:$O$2405,$A$6:$A$2405,"&lt;="&amp;$A1745))</f>
        <v/>
      </c>
      <c r="Q1745" s="57" t="str">
        <f aca="false">IF($O1745="","",IF($P1745&lt;=BankCostEnvelope*'5. Scenarios'!$D$7,1,0))</f>
        <v/>
      </c>
      <c r="R1745" s="57" t="str">
        <f aca="false">IF($N1745="","",INDEX(BookRate,1740)*(1+'5. Scenarios'!$D$10)*(INDEX(BookQ1,1740)*(5-MIN(4,1+'5. Scenarios'!$D$8))/4+INDEX(BookQ2,1740)*(5-MIN(4,2+'5. Scenarios'!$D$8))/4+INDEX(BookQ3,1740)*(5-MIN(4,3+'5. Scenarios'!$D$8))/4+INDEX(BookQ4,1740)*(5-MIN(4,4+'5. Scenarios'!$D$8))/4)*'5. Scenarios'!$D$6/(1+ProductivityDefault*('5. Scenarios'!$D$11-1))+INDEX(BookOneOff,1740)*$N1745)</f>
        <v/>
      </c>
      <c r="S1745" s="56" t="str">
        <f aca="false">IF(INDEX(BookTitle,1740)="","",INDEX(BookTotal,1740)*'5. Scenarios'!$E$6/(1+ProductivityDefault*('5. Scenarios'!$E$11-1)))</f>
        <v/>
      </c>
      <c r="T1745" s="57" t="str">
        <f aca="false">IF($S1745="","",INDEX(BookRate,1740)*(1+'5. Scenarios'!$E$10)*$S1745)</f>
        <v/>
      </c>
      <c r="U1745" s="57" t="str">
        <f aca="false">IF($T1745="","",SUMIFS($T$6:$T$2405,$A$6:$A$2405,"&lt;="&amp;$A1745))</f>
        <v/>
      </c>
      <c r="V1745" s="57" t="str">
        <f aca="false">IF($T1745="","",IF($U1745&lt;=BankCostEnvelope*'5. Scenarios'!$E$7,1,0))</f>
        <v/>
      </c>
      <c r="W1745" s="57" t="str">
        <f aca="false">IF($S1745="","",INDEX(BookRate,1740)*(1+'5. Scenarios'!$E$10)*(INDEX(BookQ1,1740)*(5-MIN(4,1+'5. Scenarios'!$E$8))/4+INDEX(BookQ2,1740)*(5-MIN(4,2+'5. Scenarios'!$E$8))/4+INDEX(BookQ3,1740)*(5-MIN(4,3+'5. Scenarios'!$E$8))/4+INDEX(BookQ4,1740)*(5-MIN(4,4+'5. Scenarios'!$E$8))/4)*'5. Scenarios'!$E$6/(1+ProductivityDefault*('5. Scenarios'!$E$11-1))+INDEX(BookOneOff,1740)*$S1745)</f>
        <v/>
      </c>
    </row>
    <row r="1746" customFormat="false" ht="15" hidden="false" customHeight="false" outlineLevel="0" collapsed="false">
      <c r="A1746" s="0" t="str">
        <f aca="false">IF(INDEX(BookTitle,1741)="","",INDEX(BookKey,1741))</f>
        <v/>
      </c>
      <c r="B1746" s="0" t="str">
        <f aca="false">IF(INDEX(BookTitle,1741)="","",INDEX(BookGroup,1741))</f>
        <v/>
      </c>
      <c r="C1746" s="0" t="str">
        <f aca="false">IF(INDEX(BookTitle,1741)="","",INDEX(BookCategory,1741))</f>
        <v/>
      </c>
      <c r="D1746" s="56" t="str">
        <f aca="false">IF(INDEX(BookTitle,1741)="","",INDEX(BookTotal,1741)*'5. Scenarios'!$B$6/(1+ProductivityDefault*('5. Scenarios'!$B$11-1)))</f>
        <v/>
      </c>
      <c r="E1746" s="57" t="str">
        <f aca="false">IF($D1746="","",INDEX(BookRate,1741)*(1+'5. Scenarios'!$B$10)*$D1746)</f>
        <v/>
      </c>
      <c r="F1746" s="57" t="str">
        <f aca="false">IF($E1746="","",SUMIFS($E$6:$E$2405,$A$6:$A$2405,"&lt;="&amp;$A1746))</f>
        <v/>
      </c>
      <c r="G1746" s="57" t="str">
        <f aca="false">IF($E1746="","",IF($F1746&lt;=BankCostEnvelope*'5. Scenarios'!$B$7,1,0))</f>
        <v/>
      </c>
      <c r="H1746" s="57" t="str">
        <f aca="false">IF($D1746="","",INDEX(BookRate,1741)*(1+'5. Scenarios'!$B$10)*(INDEX(BookQ1,1741)*(5-MIN(4,1+'5. Scenarios'!$B$8))/4+INDEX(BookQ2,1741)*(5-MIN(4,2+'5. Scenarios'!$B$8))/4+INDEX(BookQ3,1741)*(5-MIN(4,3+'5. Scenarios'!$B$8))/4+INDEX(BookQ4,1741)*(5-MIN(4,4+'5. Scenarios'!$B$8))/4)*'5. Scenarios'!$B$6/(1+ProductivityDefault*('5. Scenarios'!$B$11-1))+INDEX(BookOneOff,1741)*$D1746)</f>
        <v/>
      </c>
      <c r="I1746" s="56" t="str">
        <f aca="false">IF(INDEX(BookTitle,1741)="","",INDEX(BookTotal,1741)*'5. Scenarios'!$C$6/(1+ProductivityDefault*('5. Scenarios'!$C$11-1)))</f>
        <v/>
      </c>
      <c r="J1746" s="57" t="str">
        <f aca="false">IF($I1746="","",INDEX(BookRate,1741)*(1+'5. Scenarios'!$C$10)*$I1746)</f>
        <v/>
      </c>
      <c r="K1746" s="57" t="str">
        <f aca="false">IF($J1746="","",SUMIFS($J$6:$J$2405,$A$6:$A$2405,"&lt;="&amp;$A1746))</f>
        <v/>
      </c>
      <c r="L1746" s="57" t="str">
        <f aca="false">IF($J1746="","",IF($K1746&lt;=BankCostEnvelope*'5. Scenarios'!$C$7,1,0))</f>
        <v/>
      </c>
      <c r="M1746" s="57" t="str">
        <f aca="false">IF($I1746="","",INDEX(BookRate,1741)*(1+'5. Scenarios'!$C$10)*(INDEX(BookQ1,1741)*(5-MIN(4,1+'5. Scenarios'!$C$8))/4+INDEX(BookQ2,1741)*(5-MIN(4,2+'5. Scenarios'!$C$8))/4+INDEX(BookQ3,1741)*(5-MIN(4,3+'5. Scenarios'!$C$8))/4+INDEX(BookQ4,1741)*(5-MIN(4,4+'5. Scenarios'!$C$8))/4)*'5. Scenarios'!$C$6/(1+ProductivityDefault*('5. Scenarios'!$C$11-1))+INDEX(BookOneOff,1741)*$I1746)</f>
        <v/>
      </c>
      <c r="N1746" s="56" t="str">
        <f aca="false">IF(INDEX(BookTitle,1741)="","",INDEX(BookTotal,1741)*'5. Scenarios'!$D$6/(1+ProductivityDefault*('5. Scenarios'!$D$11-1)))</f>
        <v/>
      </c>
      <c r="O1746" s="57" t="str">
        <f aca="false">IF($N1746="","",INDEX(BookRate,1741)*(1+'5. Scenarios'!$D$10)*$N1746)</f>
        <v/>
      </c>
      <c r="P1746" s="57" t="str">
        <f aca="false">IF($O1746="","",SUMIFS($O$6:$O$2405,$A$6:$A$2405,"&lt;="&amp;$A1746))</f>
        <v/>
      </c>
      <c r="Q1746" s="57" t="str">
        <f aca="false">IF($O1746="","",IF($P1746&lt;=BankCostEnvelope*'5. Scenarios'!$D$7,1,0))</f>
        <v/>
      </c>
      <c r="R1746" s="57" t="str">
        <f aca="false">IF($N1746="","",INDEX(BookRate,1741)*(1+'5. Scenarios'!$D$10)*(INDEX(BookQ1,1741)*(5-MIN(4,1+'5. Scenarios'!$D$8))/4+INDEX(BookQ2,1741)*(5-MIN(4,2+'5. Scenarios'!$D$8))/4+INDEX(BookQ3,1741)*(5-MIN(4,3+'5. Scenarios'!$D$8))/4+INDEX(BookQ4,1741)*(5-MIN(4,4+'5. Scenarios'!$D$8))/4)*'5. Scenarios'!$D$6/(1+ProductivityDefault*('5. Scenarios'!$D$11-1))+INDEX(BookOneOff,1741)*$N1746)</f>
        <v/>
      </c>
      <c r="S1746" s="56" t="str">
        <f aca="false">IF(INDEX(BookTitle,1741)="","",INDEX(BookTotal,1741)*'5. Scenarios'!$E$6/(1+ProductivityDefault*('5. Scenarios'!$E$11-1)))</f>
        <v/>
      </c>
      <c r="T1746" s="57" t="str">
        <f aca="false">IF($S1746="","",INDEX(BookRate,1741)*(1+'5. Scenarios'!$E$10)*$S1746)</f>
        <v/>
      </c>
      <c r="U1746" s="57" t="str">
        <f aca="false">IF($T1746="","",SUMIFS($T$6:$T$2405,$A$6:$A$2405,"&lt;="&amp;$A1746))</f>
        <v/>
      </c>
      <c r="V1746" s="57" t="str">
        <f aca="false">IF($T1746="","",IF($U1746&lt;=BankCostEnvelope*'5. Scenarios'!$E$7,1,0))</f>
        <v/>
      </c>
      <c r="W1746" s="57" t="str">
        <f aca="false">IF($S1746="","",INDEX(BookRate,1741)*(1+'5. Scenarios'!$E$10)*(INDEX(BookQ1,1741)*(5-MIN(4,1+'5. Scenarios'!$E$8))/4+INDEX(BookQ2,1741)*(5-MIN(4,2+'5. Scenarios'!$E$8))/4+INDEX(BookQ3,1741)*(5-MIN(4,3+'5. Scenarios'!$E$8))/4+INDEX(BookQ4,1741)*(5-MIN(4,4+'5. Scenarios'!$E$8))/4)*'5. Scenarios'!$E$6/(1+ProductivityDefault*('5. Scenarios'!$E$11-1))+INDEX(BookOneOff,1741)*$S1746)</f>
        <v/>
      </c>
    </row>
    <row r="1747" customFormat="false" ht="15" hidden="false" customHeight="false" outlineLevel="0" collapsed="false">
      <c r="A1747" s="0" t="str">
        <f aca="false">IF(INDEX(BookTitle,1742)="","",INDEX(BookKey,1742))</f>
        <v/>
      </c>
      <c r="B1747" s="0" t="str">
        <f aca="false">IF(INDEX(BookTitle,1742)="","",INDEX(BookGroup,1742))</f>
        <v/>
      </c>
      <c r="C1747" s="0" t="str">
        <f aca="false">IF(INDEX(BookTitle,1742)="","",INDEX(BookCategory,1742))</f>
        <v/>
      </c>
      <c r="D1747" s="56" t="str">
        <f aca="false">IF(INDEX(BookTitle,1742)="","",INDEX(BookTotal,1742)*'5. Scenarios'!$B$6/(1+ProductivityDefault*('5. Scenarios'!$B$11-1)))</f>
        <v/>
      </c>
      <c r="E1747" s="57" t="str">
        <f aca="false">IF($D1747="","",INDEX(BookRate,1742)*(1+'5. Scenarios'!$B$10)*$D1747)</f>
        <v/>
      </c>
      <c r="F1747" s="57" t="str">
        <f aca="false">IF($E1747="","",SUMIFS($E$6:$E$2405,$A$6:$A$2405,"&lt;="&amp;$A1747))</f>
        <v/>
      </c>
      <c r="G1747" s="57" t="str">
        <f aca="false">IF($E1747="","",IF($F1747&lt;=BankCostEnvelope*'5. Scenarios'!$B$7,1,0))</f>
        <v/>
      </c>
      <c r="H1747" s="57" t="str">
        <f aca="false">IF($D1747="","",INDEX(BookRate,1742)*(1+'5. Scenarios'!$B$10)*(INDEX(BookQ1,1742)*(5-MIN(4,1+'5. Scenarios'!$B$8))/4+INDEX(BookQ2,1742)*(5-MIN(4,2+'5. Scenarios'!$B$8))/4+INDEX(BookQ3,1742)*(5-MIN(4,3+'5. Scenarios'!$B$8))/4+INDEX(BookQ4,1742)*(5-MIN(4,4+'5. Scenarios'!$B$8))/4)*'5. Scenarios'!$B$6/(1+ProductivityDefault*('5. Scenarios'!$B$11-1))+INDEX(BookOneOff,1742)*$D1747)</f>
        <v/>
      </c>
      <c r="I1747" s="56" t="str">
        <f aca="false">IF(INDEX(BookTitle,1742)="","",INDEX(BookTotal,1742)*'5. Scenarios'!$C$6/(1+ProductivityDefault*('5. Scenarios'!$C$11-1)))</f>
        <v/>
      </c>
      <c r="J1747" s="57" t="str">
        <f aca="false">IF($I1747="","",INDEX(BookRate,1742)*(1+'5. Scenarios'!$C$10)*$I1747)</f>
        <v/>
      </c>
      <c r="K1747" s="57" t="str">
        <f aca="false">IF($J1747="","",SUMIFS($J$6:$J$2405,$A$6:$A$2405,"&lt;="&amp;$A1747))</f>
        <v/>
      </c>
      <c r="L1747" s="57" t="str">
        <f aca="false">IF($J1747="","",IF($K1747&lt;=BankCostEnvelope*'5. Scenarios'!$C$7,1,0))</f>
        <v/>
      </c>
      <c r="M1747" s="57" t="str">
        <f aca="false">IF($I1747="","",INDEX(BookRate,1742)*(1+'5. Scenarios'!$C$10)*(INDEX(BookQ1,1742)*(5-MIN(4,1+'5. Scenarios'!$C$8))/4+INDEX(BookQ2,1742)*(5-MIN(4,2+'5. Scenarios'!$C$8))/4+INDEX(BookQ3,1742)*(5-MIN(4,3+'5. Scenarios'!$C$8))/4+INDEX(BookQ4,1742)*(5-MIN(4,4+'5. Scenarios'!$C$8))/4)*'5. Scenarios'!$C$6/(1+ProductivityDefault*('5. Scenarios'!$C$11-1))+INDEX(BookOneOff,1742)*$I1747)</f>
        <v/>
      </c>
      <c r="N1747" s="56" t="str">
        <f aca="false">IF(INDEX(BookTitle,1742)="","",INDEX(BookTotal,1742)*'5. Scenarios'!$D$6/(1+ProductivityDefault*('5. Scenarios'!$D$11-1)))</f>
        <v/>
      </c>
      <c r="O1747" s="57" t="str">
        <f aca="false">IF($N1747="","",INDEX(BookRate,1742)*(1+'5. Scenarios'!$D$10)*$N1747)</f>
        <v/>
      </c>
      <c r="P1747" s="57" t="str">
        <f aca="false">IF($O1747="","",SUMIFS($O$6:$O$2405,$A$6:$A$2405,"&lt;="&amp;$A1747))</f>
        <v/>
      </c>
      <c r="Q1747" s="57" t="str">
        <f aca="false">IF($O1747="","",IF($P1747&lt;=BankCostEnvelope*'5. Scenarios'!$D$7,1,0))</f>
        <v/>
      </c>
      <c r="R1747" s="57" t="str">
        <f aca="false">IF($N1747="","",INDEX(BookRate,1742)*(1+'5. Scenarios'!$D$10)*(INDEX(BookQ1,1742)*(5-MIN(4,1+'5. Scenarios'!$D$8))/4+INDEX(BookQ2,1742)*(5-MIN(4,2+'5. Scenarios'!$D$8))/4+INDEX(BookQ3,1742)*(5-MIN(4,3+'5. Scenarios'!$D$8))/4+INDEX(BookQ4,1742)*(5-MIN(4,4+'5. Scenarios'!$D$8))/4)*'5. Scenarios'!$D$6/(1+ProductivityDefault*('5. Scenarios'!$D$11-1))+INDEX(BookOneOff,1742)*$N1747)</f>
        <v/>
      </c>
      <c r="S1747" s="56" t="str">
        <f aca="false">IF(INDEX(BookTitle,1742)="","",INDEX(BookTotal,1742)*'5. Scenarios'!$E$6/(1+ProductivityDefault*('5. Scenarios'!$E$11-1)))</f>
        <v/>
      </c>
      <c r="T1747" s="57" t="str">
        <f aca="false">IF($S1747="","",INDEX(BookRate,1742)*(1+'5. Scenarios'!$E$10)*$S1747)</f>
        <v/>
      </c>
      <c r="U1747" s="57" t="str">
        <f aca="false">IF($T1747="","",SUMIFS($T$6:$T$2405,$A$6:$A$2405,"&lt;="&amp;$A1747))</f>
        <v/>
      </c>
      <c r="V1747" s="57" t="str">
        <f aca="false">IF($T1747="","",IF($U1747&lt;=BankCostEnvelope*'5. Scenarios'!$E$7,1,0))</f>
        <v/>
      </c>
      <c r="W1747" s="57" t="str">
        <f aca="false">IF($S1747="","",INDEX(BookRate,1742)*(1+'5. Scenarios'!$E$10)*(INDEX(BookQ1,1742)*(5-MIN(4,1+'5. Scenarios'!$E$8))/4+INDEX(BookQ2,1742)*(5-MIN(4,2+'5. Scenarios'!$E$8))/4+INDEX(BookQ3,1742)*(5-MIN(4,3+'5. Scenarios'!$E$8))/4+INDEX(BookQ4,1742)*(5-MIN(4,4+'5. Scenarios'!$E$8))/4)*'5. Scenarios'!$E$6/(1+ProductivityDefault*('5. Scenarios'!$E$11-1))+INDEX(BookOneOff,1742)*$S1747)</f>
        <v/>
      </c>
    </row>
    <row r="1748" customFormat="false" ht="15" hidden="false" customHeight="false" outlineLevel="0" collapsed="false">
      <c r="A1748" s="0" t="str">
        <f aca="false">IF(INDEX(BookTitle,1743)="","",INDEX(BookKey,1743))</f>
        <v/>
      </c>
      <c r="B1748" s="0" t="str">
        <f aca="false">IF(INDEX(BookTitle,1743)="","",INDEX(BookGroup,1743))</f>
        <v/>
      </c>
      <c r="C1748" s="0" t="str">
        <f aca="false">IF(INDEX(BookTitle,1743)="","",INDEX(BookCategory,1743))</f>
        <v/>
      </c>
      <c r="D1748" s="56" t="str">
        <f aca="false">IF(INDEX(BookTitle,1743)="","",INDEX(BookTotal,1743)*'5. Scenarios'!$B$6/(1+ProductivityDefault*('5. Scenarios'!$B$11-1)))</f>
        <v/>
      </c>
      <c r="E1748" s="57" t="str">
        <f aca="false">IF($D1748="","",INDEX(BookRate,1743)*(1+'5. Scenarios'!$B$10)*$D1748)</f>
        <v/>
      </c>
      <c r="F1748" s="57" t="str">
        <f aca="false">IF($E1748="","",SUMIFS($E$6:$E$2405,$A$6:$A$2405,"&lt;="&amp;$A1748))</f>
        <v/>
      </c>
      <c r="G1748" s="57" t="str">
        <f aca="false">IF($E1748="","",IF($F1748&lt;=BankCostEnvelope*'5. Scenarios'!$B$7,1,0))</f>
        <v/>
      </c>
      <c r="H1748" s="57" t="str">
        <f aca="false">IF($D1748="","",INDEX(BookRate,1743)*(1+'5. Scenarios'!$B$10)*(INDEX(BookQ1,1743)*(5-MIN(4,1+'5. Scenarios'!$B$8))/4+INDEX(BookQ2,1743)*(5-MIN(4,2+'5. Scenarios'!$B$8))/4+INDEX(BookQ3,1743)*(5-MIN(4,3+'5. Scenarios'!$B$8))/4+INDEX(BookQ4,1743)*(5-MIN(4,4+'5. Scenarios'!$B$8))/4)*'5. Scenarios'!$B$6/(1+ProductivityDefault*('5. Scenarios'!$B$11-1))+INDEX(BookOneOff,1743)*$D1748)</f>
        <v/>
      </c>
      <c r="I1748" s="56" t="str">
        <f aca="false">IF(INDEX(BookTitle,1743)="","",INDEX(BookTotal,1743)*'5. Scenarios'!$C$6/(1+ProductivityDefault*('5. Scenarios'!$C$11-1)))</f>
        <v/>
      </c>
      <c r="J1748" s="57" t="str">
        <f aca="false">IF($I1748="","",INDEX(BookRate,1743)*(1+'5. Scenarios'!$C$10)*$I1748)</f>
        <v/>
      </c>
      <c r="K1748" s="57" t="str">
        <f aca="false">IF($J1748="","",SUMIFS($J$6:$J$2405,$A$6:$A$2405,"&lt;="&amp;$A1748))</f>
        <v/>
      </c>
      <c r="L1748" s="57" t="str">
        <f aca="false">IF($J1748="","",IF($K1748&lt;=BankCostEnvelope*'5. Scenarios'!$C$7,1,0))</f>
        <v/>
      </c>
      <c r="M1748" s="57" t="str">
        <f aca="false">IF($I1748="","",INDEX(BookRate,1743)*(1+'5. Scenarios'!$C$10)*(INDEX(BookQ1,1743)*(5-MIN(4,1+'5. Scenarios'!$C$8))/4+INDEX(BookQ2,1743)*(5-MIN(4,2+'5. Scenarios'!$C$8))/4+INDEX(BookQ3,1743)*(5-MIN(4,3+'5. Scenarios'!$C$8))/4+INDEX(BookQ4,1743)*(5-MIN(4,4+'5. Scenarios'!$C$8))/4)*'5. Scenarios'!$C$6/(1+ProductivityDefault*('5. Scenarios'!$C$11-1))+INDEX(BookOneOff,1743)*$I1748)</f>
        <v/>
      </c>
      <c r="N1748" s="56" t="str">
        <f aca="false">IF(INDEX(BookTitle,1743)="","",INDEX(BookTotal,1743)*'5. Scenarios'!$D$6/(1+ProductivityDefault*('5. Scenarios'!$D$11-1)))</f>
        <v/>
      </c>
      <c r="O1748" s="57" t="str">
        <f aca="false">IF($N1748="","",INDEX(BookRate,1743)*(1+'5. Scenarios'!$D$10)*$N1748)</f>
        <v/>
      </c>
      <c r="P1748" s="57" t="str">
        <f aca="false">IF($O1748="","",SUMIFS($O$6:$O$2405,$A$6:$A$2405,"&lt;="&amp;$A1748))</f>
        <v/>
      </c>
      <c r="Q1748" s="57" t="str">
        <f aca="false">IF($O1748="","",IF($P1748&lt;=BankCostEnvelope*'5. Scenarios'!$D$7,1,0))</f>
        <v/>
      </c>
      <c r="R1748" s="57" t="str">
        <f aca="false">IF($N1748="","",INDEX(BookRate,1743)*(1+'5. Scenarios'!$D$10)*(INDEX(BookQ1,1743)*(5-MIN(4,1+'5. Scenarios'!$D$8))/4+INDEX(BookQ2,1743)*(5-MIN(4,2+'5. Scenarios'!$D$8))/4+INDEX(BookQ3,1743)*(5-MIN(4,3+'5. Scenarios'!$D$8))/4+INDEX(BookQ4,1743)*(5-MIN(4,4+'5. Scenarios'!$D$8))/4)*'5. Scenarios'!$D$6/(1+ProductivityDefault*('5. Scenarios'!$D$11-1))+INDEX(BookOneOff,1743)*$N1748)</f>
        <v/>
      </c>
      <c r="S1748" s="56" t="str">
        <f aca="false">IF(INDEX(BookTitle,1743)="","",INDEX(BookTotal,1743)*'5. Scenarios'!$E$6/(1+ProductivityDefault*('5. Scenarios'!$E$11-1)))</f>
        <v/>
      </c>
      <c r="T1748" s="57" t="str">
        <f aca="false">IF($S1748="","",INDEX(BookRate,1743)*(1+'5. Scenarios'!$E$10)*$S1748)</f>
        <v/>
      </c>
      <c r="U1748" s="57" t="str">
        <f aca="false">IF($T1748="","",SUMIFS($T$6:$T$2405,$A$6:$A$2405,"&lt;="&amp;$A1748))</f>
        <v/>
      </c>
      <c r="V1748" s="57" t="str">
        <f aca="false">IF($T1748="","",IF($U1748&lt;=BankCostEnvelope*'5. Scenarios'!$E$7,1,0))</f>
        <v/>
      </c>
      <c r="W1748" s="57" t="str">
        <f aca="false">IF($S1748="","",INDEX(BookRate,1743)*(1+'5. Scenarios'!$E$10)*(INDEX(BookQ1,1743)*(5-MIN(4,1+'5. Scenarios'!$E$8))/4+INDEX(BookQ2,1743)*(5-MIN(4,2+'5. Scenarios'!$E$8))/4+INDEX(BookQ3,1743)*(5-MIN(4,3+'5. Scenarios'!$E$8))/4+INDEX(BookQ4,1743)*(5-MIN(4,4+'5. Scenarios'!$E$8))/4)*'5. Scenarios'!$E$6/(1+ProductivityDefault*('5. Scenarios'!$E$11-1))+INDEX(BookOneOff,1743)*$S1748)</f>
        <v/>
      </c>
    </row>
    <row r="1749" customFormat="false" ht="15" hidden="false" customHeight="false" outlineLevel="0" collapsed="false">
      <c r="A1749" s="0" t="str">
        <f aca="false">IF(INDEX(BookTitle,1744)="","",INDEX(BookKey,1744))</f>
        <v/>
      </c>
      <c r="B1749" s="0" t="str">
        <f aca="false">IF(INDEX(BookTitle,1744)="","",INDEX(BookGroup,1744))</f>
        <v/>
      </c>
      <c r="C1749" s="0" t="str">
        <f aca="false">IF(INDEX(BookTitle,1744)="","",INDEX(BookCategory,1744))</f>
        <v/>
      </c>
      <c r="D1749" s="56" t="str">
        <f aca="false">IF(INDEX(BookTitle,1744)="","",INDEX(BookTotal,1744)*'5. Scenarios'!$B$6/(1+ProductivityDefault*('5. Scenarios'!$B$11-1)))</f>
        <v/>
      </c>
      <c r="E1749" s="57" t="str">
        <f aca="false">IF($D1749="","",INDEX(BookRate,1744)*(1+'5. Scenarios'!$B$10)*$D1749)</f>
        <v/>
      </c>
      <c r="F1749" s="57" t="str">
        <f aca="false">IF($E1749="","",SUMIFS($E$6:$E$2405,$A$6:$A$2405,"&lt;="&amp;$A1749))</f>
        <v/>
      </c>
      <c r="G1749" s="57" t="str">
        <f aca="false">IF($E1749="","",IF($F1749&lt;=BankCostEnvelope*'5. Scenarios'!$B$7,1,0))</f>
        <v/>
      </c>
      <c r="H1749" s="57" t="str">
        <f aca="false">IF($D1749="","",INDEX(BookRate,1744)*(1+'5. Scenarios'!$B$10)*(INDEX(BookQ1,1744)*(5-MIN(4,1+'5. Scenarios'!$B$8))/4+INDEX(BookQ2,1744)*(5-MIN(4,2+'5. Scenarios'!$B$8))/4+INDEX(BookQ3,1744)*(5-MIN(4,3+'5. Scenarios'!$B$8))/4+INDEX(BookQ4,1744)*(5-MIN(4,4+'5. Scenarios'!$B$8))/4)*'5. Scenarios'!$B$6/(1+ProductivityDefault*('5. Scenarios'!$B$11-1))+INDEX(BookOneOff,1744)*$D1749)</f>
        <v/>
      </c>
      <c r="I1749" s="56" t="str">
        <f aca="false">IF(INDEX(BookTitle,1744)="","",INDEX(BookTotal,1744)*'5. Scenarios'!$C$6/(1+ProductivityDefault*('5. Scenarios'!$C$11-1)))</f>
        <v/>
      </c>
      <c r="J1749" s="57" t="str">
        <f aca="false">IF($I1749="","",INDEX(BookRate,1744)*(1+'5. Scenarios'!$C$10)*$I1749)</f>
        <v/>
      </c>
      <c r="K1749" s="57" t="str">
        <f aca="false">IF($J1749="","",SUMIFS($J$6:$J$2405,$A$6:$A$2405,"&lt;="&amp;$A1749))</f>
        <v/>
      </c>
      <c r="L1749" s="57" t="str">
        <f aca="false">IF($J1749="","",IF($K1749&lt;=BankCostEnvelope*'5. Scenarios'!$C$7,1,0))</f>
        <v/>
      </c>
      <c r="M1749" s="57" t="str">
        <f aca="false">IF($I1749="","",INDEX(BookRate,1744)*(1+'5. Scenarios'!$C$10)*(INDEX(BookQ1,1744)*(5-MIN(4,1+'5. Scenarios'!$C$8))/4+INDEX(BookQ2,1744)*(5-MIN(4,2+'5. Scenarios'!$C$8))/4+INDEX(BookQ3,1744)*(5-MIN(4,3+'5. Scenarios'!$C$8))/4+INDEX(BookQ4,1744)*(5-MIN(4,4+'5. Scenarios'!$C$8))/4)*'5. Scenarios'!$C$6/(1+ProductivityDefault*('5. Scenarios'!$C$11-1))+INDEX(BookOneOff,1744)*$I1749)</f>
        <v/>
      </c>
      <c r="N1749" s="56" t="str">
        <f aca="false">IF(INDEX(BookTitle,1744)="","",INDEX(BookTotal,1744)*'5. Scenarios'!$D$6/(1+ProductivityDefault*('5. Scenarios'!$D$11-1)))</f>
        <v/>
      </c>
      <c r="O1749" s="57" t="str">
        <f aca="false">IF($N1749="","",INDEX(BookRate,1744)*(1+'5. Scenarios'!$D$10)*$N1749)</f>
        <v/>
      </c>
      <c r="P1749" s="57" t="str">
        <f aca="false">IF($O1749="","",SUMIFS($O$6:$O$2405,$A$6:$A$2405,"&lt;="&amp;$A1749))</f>
        <v/>
      </c>
      <c r="Q1749" s="57" t="str">
        <f aca="false">IF($O1749="","",IF($P1749&lt;=BankCostEnvelope*'5. Scenarios'!$D$7,1,0))</f>
        <v/>
      </c>
      <c r="R1749" s="57" t="str">
        <f aca="false">IF($N1749="","",INDEX(BookRate,1744)*(1+'5. Scenarios'!$D$10)*(INDEX(BookQ1,1744)*(5-MIN(4,1+'5. Scenarios'!$D$8))/4+INDEX(BookQ2,1744)*(5-MIN(4,2+'5. Scenarios'!$D$8))/4+INDEX(BookQ3,1744)*(5-MIN(4,3+'5. Scenarios'!$D$8))/4+INDEX(BookQ4,1744)*(5-MIN(4,4+'5. Scenarios'!$D$8))/4)*'5. Scenarios'!$D$6/(1+ProductivityDefault*('5. Scenarios'!$D$11-1))+INDEX(BookOneOff,1744)*$N1749)</f>
        <v/>
      </c>
      <c r="S1749" s="56" t="str">
        <f aca="false">IF(INDEX(BookTitle,1744)="","",INDEX(BookTotal,1744)*'5. Scenarios'!$E$6/(1+ProductivityDefault*('5. Scenarios'!$E$11-1)))</f>
        <v/>
      </c>
      <c r="T1749" s="57" t="str">
        <f aca="false">IF($S1749="","",INDEX(BookRate,1744)*(1+'5. Scenarios'!$E$10)*$S1749)</f>
        <v/>
      </c>
      <c r="U1749" s="57" t="str">
        <f aca="false">IF($T1749="","",SUMIFS($T$6:$T$2405,$A$6:$A$2405,"&lt;="&amp;$A1749))</f>
        <v/>
      </c>
      <c r="V1749" s="57" t="str">
        <f aca="false">IF($T1749="","",IF($U1749&lt;=BankCostEnvelope*'5. Scenarios'!$E$7,1,0))</f>
        <v/>
      </c>
      <c r="W1749" s="57" t="str">
        <f aca="false">IF($S1749="","",INDEX(BookRate,1744)*(1+'5. Scenarios'!$E$10)*(INDEX(BookQ1,1744)*(5-MIN(4,1+'5. Scenarios'!$E$8))/4+INDEX(BookQ2,1744)*(5-MIN(4,2+'5. Scenarios'!$E$8))/4+INDEX(BookQ3,1744)*(5-MIN(4,3+'5. Scenarios'!$E$8))/4+INDEX(BookQ4,1744)*(5-MIN(4,4+'5. Scenarios'!$E$8))/4)*'5. Scenarios'!$E$6/(1+ProductivityDefault*('5. Scenarios'!$E$11-1))+INDEX(BookOneOff,1744)*$S1749)</f>
        <v/>
      </c>
    </row>
    <row r="1750" customFormat="false" ht="15" hidden="false" customHeight="false" outlineLevel="0" collapsed="false">
      <c r="A1750" s="0" t="str">
        <f aca="false">IF(INDEX(BookTitle,1745)="","",INDEX(BookKey,1745))</f>
        <v/>
      </c>
      <c r="B1750" s="0" t="str">
        <f aca="false">IF(INDEX(BookTitle,1745)="","",INDEX(BookGroup,1745))</f>
        <v/>
      </c>
      <c r="C1750" s="0" t="str">
        <f aca="false">IF(INDEX(BookTitle,1745)="","",INDEX(BookCategory,1745))</f>
        <v/>
      </c>
      <c r="D1750" s="56" t="str">
        <f aca="false">IF(INDEX(BookTitle,1745)="","",INDEX(BookTotal,1745)*'5. Scenarios'!$B$6/(1+ProductivityDefault*('5. Scenarios'!$B$11-1)))</f>
        <v/>
      </c>
      <c r="E1750" s="57" t="str">
        <f aca="false">IF($D1750="","",INDEX(BookRate,1745)*(1+'5. Scenarios'!$B$10)*$D1750)</f>
        <v/>
      </c>
      <c r="F1750" s="57" t="str">
        <f aca="false">IF($E1750="","",SUMIFS($E$6:$E$2405,$A$6:$A$2405,"&lt;="&amp;$A1750))</f>
        <v/>
      </c>
      <c r="G1750" s="57" t="str">
        <f aca="false">IF($E1750="","",IF($F1750&lt;=BankCostEnvelope*'5. Scenarios'!$B$7,1,0))</f>
        <v/>
      </c>
      <c r="H1750" s="57" t="str">
        <f aca="false">IF($D1750="","",INDEX(BookRate,1745)*(1+'5. Scenarios'!$B$10)*(INDEX(BookQ1,1745)*(5-MIN(4,1+'5. Scenarios'!$B$8))/4+INDEX(BookQ2,1745)*(5-MIN(4,2+'5. Scenarios'!$B$8))/4+INDEX(BookQ3,1745)*(5-MIN(4,3+'5. Scenarios'!$B$8))/4+INDEX(BookQ4,1745)*(5-MIN(4,4+'5. Scenarios'!$B$8))/4)*'5. Scenarios'!$B$6/(1+ProductivityDefault*('5. Scenarios'!$B$11-1))+INDEX(BookOneOff,1745)*$D1750)</f>
        <v/>
      </c>
      <c r="I1750" s="56" t="str">
        <f aca="false">IF(INDEX(BookTitle,1745)="","",INDEX(BookTotal,1745)*'5. Scenarios'!$C$6/(1+ProductivityDefault*('5. Scenarios'!$C$11-1)))</f>
        <v/>
      </c>
      <c r="J1750" s="57" t="str">
        <f aca="false">IF($I1750="","",INDEX(BookRate,1745)*(1+'5. Scenarios'!$C$10)*$I1750)</f>
        <v/>
      </c>
      <c r="K1750" s="57" t="str">
        <f aca="false">IF($J1750="","",SUMIFS($J$6:$J$2405,$A$6:$A$2405,"&lt;="&amp;$A1750))</f>
        <v/>
      </c>
      <c r="L1750" s="57" t="str">
        <f aca="false">IF($J1750="","",IF($K1750&lt;=BankCostEnvelope*'5. Scenarios'!$C$7,1,0))</f>
        <v/>
      </c>
      <c r="M1750" s="57" t="str">
        <f aca="false">IF($I1750="","",INDEX(BookRate,1745)*(1+'5. Scenarios'!$C$10)*(INDEX(BookQ1,1745)*(5-MIN(4,1+'5. Scenarios'!$C$8))/4+INDEX(BookQ2,1745)*(5-MIN(4,2+'5. Scenarios'!$C$8))/4+INDEX(BookQ3,1745)*(5-MIN(4,3+'5. Scenarios'!$C$8))/4+INDEX(BookQ4,1745)*(5-MIN(4,4+'5. Scenarios'!$C$8))/4)*'5. Scenarios'!$C$6/(1+ProductivityDefault*('5. Scenarios'!$C$11-1))+INDEX(BookOneOff,1745)*$I1750)</f>
        <v/>
      </c>
      <c r="N1750" s="56" t="str">
        <f aca="false">IF(INDEX(BookTitle,1745)="","",INDEX(BookTotal,1745)*'5. Scenarios'!$D$6/(1+ProductivityDefault*('5. Scenarios'!$D$11-1)))</f>
        <v/>
      </c>
      <c r="O1750" s="57" t="str">
        <f aca="false">IF($N1750="","",INDEX(BookRate,1745)*(1+'5. Scenarios'!$D$10)*$N1750)</f>
        <v/>
      </c>
      <c r="P1750" s="57" t="str">
        <f aca="false">IF($O1750="","",SUMIFS($O$6:$O$2405,$A$6:$A$2405,"&lt;="&amp;$A1750))</f>
        <v/>
      </c>
      <c r="Q1750" s="57" t="str">
        <f aca="false">IF($O1750="","",IF($P1750&lt;=BankCostEnvelope*'5. Scenarios'!$D$7,1,0))</f>
        <v/>
      </c>
      <c r="R1750" s="57" t="str">
        <f aca="false">IF($N1750="","",INDEX(BookRate,1745)*(1+'5. Scenarios'!$D$10)*(INDEX(BookQ1,1745)*(5-MIN(4,1+'5. Scenarios'!$D$8))/4+INDEX(BookQ2,1745)*(5-MIN(4,2+'5. Scenarios'!$D$8))/4+INDEX(BookQ3,1745)*(5-MIN(4,3+'5. Scenarios'!$D$8))/4+INDEX(BookQ4,1745)*(5-MIN(4,4+'5. Scenarios'!$D$8))/4)*'5. Scenarios'!$D$6/(1+ProductivityDefault*('5. Scenarios'!$D$11-1))+INDEX(BookOneOff,1745)*$N1750)</f>
        <v/>
      </c>
      <c r="S1750" s="56" t="str">
        <f aca="false">IF(INDEX(BookTitle,1745)="","",INDEX(BookTotal,1745)*'5. Scenarios'!$E$6/(1+ProductivityDefault*('5. Scenarios'!$E$11-1)))</f>
        <v/>
      </c>
      <c r="T1750" s="57" t="str">
        <f aca="false">IF($S1750="","",INDEX(BookRate,1745)*(1+'5. Scenarios'!$E$10)*$S1750)</f>
        <v/>
      </c>
      <c r="U1750" s="57" t="str">
        <f aca="false">IF($T1750="","",SUMIFS($T$6:$T$2405,$A$6:$A$2405,"&lt;="&amp;$A1750))</f>
        <v/>
      </c>
      <c r="V1750" s="57" t="str">
        <f aca="false">IF($T1750="","",IF($U1750&lt;=BankCostEnvelope*'5. Scenarios'!$E$7,1,0))</f>
        <v/>
      </c>
      <c r="W1750" s="57" t="str">
        <f aca="false">IF($S1750="","",INDEX(BookRate,1745)*(1+'5. Scenarios'!$E$10)*(INDEX(BookQ1,1745)*(5-MIN(4,1+'5. Scenarios'!$E$8))/4+INDEX(BookQ2,1745)*(5-MIN(4,2+'5. Scenarios'!$E$8))/4+INDEX(BookQ3,1745)*(5-MIN(4,3+'5. Scenarios'!$E$8))/4+INDEX(BookQ4,1745)*(5-MIN(4,4+'5. Scenarios'!$E$8))/4)*'5. Scenarios'!$E$6/(1+ProductivityDefault*('5. Scenarios'!$E$11-1))+INDEX(BookOneOff,1745)*$S1750)</f>
        <v/>
      </c>
    </row>
    <row r="1751" customFormat="false" ht="15" hidden="false" customHeight="false" outlineLevel="0" collapsed="false">
      <c r="A1751" s="0" t="str">
        <f aca="false">IF(INDEX(BookTitle,1746)="","",INDEX(BookKey,1746))</f>
        <v/>
      </c>
      <c r="B1751" s="0" t="str">
        <f aca="false">IF(INDEX(BookTitle,1746)="","",INDEX(BookGroup,1746))</f>
        <v/>
      </c>
      <c r="C1751" s="0" t="str">
        <f aca="false">IF(INDEX(BookTitle,1746)="","",INDEX(BookCategory,1746))</f>
        <v/>
      </c>
      <c r="D1751" s="56" t="str">
        <f aca="false">IF(INDEX(BookTitle,1746)="","",INDEX(BookTotal,1746)*'5. Scenarios'!$B$6/(1+ProductivityDefault*('5. Scenarios'!$B$11-1)))</f>
        <v/>
      </c>
      <c r="E1751" s="57" t="str">
        <f aca="false">IF($D1751="","",INDEX(BookRate,1746)*(1+'5. Scenarios'!$B$10)*$D1751)</f>
        <v/>
      </c>
      <c r="F1751" s="57" t="str">
        <f aca="false">IF($E1751="","",SUMIFS($E$6:$E$2405,$A$6:$A$2405,"&lt;="&amp;$A1751))</f>
        <v/>
      </c>
      <c r="G1751" s="57" t="str">
        <f aca="false">IF($E1751="","",IF($F1751&lt;=BankCostEnvelope*'5. Scenarios'!$B$7,1,0))</f>
        <v/>
      </c>
      <c r="H1751" s="57" t="str">
        <f aca="false">IF($D1751="","",INDEX(BookRate,1746)*(1+'5. Scenarios'!$B$10)*(INDEX(BookQ1,1746)*(5-MIN(4,1+'5. Scenarios'!$B$8))/4+INDEX(BookQ2,1746)*(5-MIN(4,2+'5. Scenarios'!$B$8))/4+INDEX(BookQ3,1746)*(5-MIN(4,3+'5. Scenarios'!$B$8))/4+INDEX(BookQ4,1746)*(5-MIN(4,4+'5. Scenarios'!$B$8))/4)*'5. Scenarios'!$B$6/(1+ProductivityDefault*('5. Scenarios'!$B$11-1))+INDEX(BookOneOff,1746)*$D1751)</f>
        <v/>
      </c>
      <c r="I1751" s="56" t="str">
        <f aca="false">IF(INDEX(BookTitle,1746)="","",INDEX(BookTotal,1746)*'5. Scenarios'!$C$6/(1+ProductivityDefault*('5. Scenarios'!$C$11-1)))</f>
        <v/>
      </c>
      <c r="J1751" s="57" t="str">
        <f aca="false">IF($I1751="","",INDEX(BookRate,1746)*(1+'5. Scenarios'!$C$10)*$I1751)</f>
        <v/>
      </c>
      <c r="K1751" s="57" t="str">
        <f aca="false">IF($J1751="","",SUMIFS($J$6:$J$2405,$A$6:$A$2405,"&lt;="&amp;$A1751))</f>
        <v/>
      </c>
      <c r="L1751" s="57" t="str">
        <f aca="false">IF($J1751="","",IF($K1751&lt;=BankCostEnvelope*'5. Scenarios'!$C$7,1,0))</f>
        <v/>
      </c>
      <c r="M1751" s="57" t="str">
        <f aca="false">IF($I1751="","",INDEX(BookRate,1746)*(1+'5. Scenarios'!$C$10)*(INDEX(BookQ1,1746)*(5-MIN(4,1+'5. Scenarios'!$C$8))/4+INDEX(BookQ2,1746)*(5-MIN(4,2+'5. Scenarios'!$C$8))/4+INDEX(BookQ3,1746)*(5-MIN(4,3+'5. Scenarios'!$C$8))/4+INDEX(BookQ4,1746)*(5-MIN(4,4+'5. Scenarios'!$C$8))/4)*'5. Scenarios'!$C$6/(1+ProductivityDefault*('5. Scenarios'!$C$11-1))+INDEX(BookOneOff,1746)*$I1751)</f>
        <v/>
      </c>
      <c r="N1751" s="56" t="str">
        <f aca="false">IF(INDEX(BookTitle,1746)="","",INDEX(BookTotal,1746)*'5. Scenarios'!$D$6/(1+ProductivityDefault*('5. Scenarios'!$D$11-1)))</f>
        <v/>
      </c>
      <c r="O1751" s="57" t="str">
        <f aca="false">IF($N1751="","",INDEX(BookRate,1746)*(1+'5. Scenarios'!$D$10)*$N1751)</f>
        <v/>
      </c>
      <c r="P1751" s="57" t="str">
        <f aca="false">IF($O1751="","",SUMIFS($O$6:$O$2405,$A$6:$A$2405,"&lt;="&amp;$A1751))</f>
        <v/>
      </c>
      <c r="Q1751" s="57" t="str">
        <f aca="false">IF($O1751="","",IF($P1751&lt;=BankCostEnvelope*'5. Scenarios'!$D$7,1,0))</f>
        <v/>
      </c>
      <c r="R1751" s="57" t="str">
        <f aca="false">IF($N1751="","",INDEX(BookRate,1746)*(1+'5. Scenarios'!$D$10)*(INDEX(BookQ1,1746)*(5-MIN(4,1+'5. Scenarios'!$D$8))/4+INDEX(BookQ2,1746)*(5-MIN(4,2+'5. Scenarios'!$D$8))/4+INDEX(BookQ3,1746)*(5-MIN(4,3+'5. Scenarios'!$D$8))/4+INDEX(BookQ4,1746)*(5-MIN(4,4+'5. Scenarios'!$D$8))/4)*'5. Scenarios'!$D$6/(1+ProductivityDefault*('5. Scenarios'!$D$11-1))+INDEX(BookOneOff,1746)*$N1751)</f>
        <v/>
      </c>
      <c r="S1751" s="56" t="str">
        <f aca="false">IF(INDEX(BookTitle,1746)="","",INDEX(BookTotal,1746)*'5. Scenarios'!$E$6/(1+ProductivityDefault*('5. Scenarios'!$E$11-1)))</f>
        <v/>
      </c>
      <c r="T1751" s="57" t="str">
        <f aca="false">IF($S1751="","",INDEX(BookRate,1746)*(1+'5. Scenarios'!$E$10)*$S1751)</f>
        <v/>
      </c>
      <c r="U1751" s="57" t="str">
        <f aca="false">IF($T1751="","",SUMIFS($T$6:$T$2405,$A$6:$A$2405,"&lt;="&amp;$A1751))</f>
        <v/>
      </c>
      <c r="V1751" s="57" t="str">
        <f aca="false">IF($T1751="","",IF($U1751&lt;=BankCostEnvelope*'5. Scenarios'!$E$7,1,0))</f>
        <v/>
      </c>
      <c r="W1751" s="57" t="str">
        <f aca="false">IF($S1751="","",INDEX(BookRate,1746)*(1+'5. Scenarios'!$E$10)*(INDEX(BookQ1,1746)*(5-MIN(4,1+'5. Scenarios'!$E$8))/4+INDEX(BookQ2,1746)*(5-MIN(4,2+'5. Scenarios'!$E$8))/4+INDEX(BookQ3,1746)*(5-MIN(4,3+'5. Scenarios'!$E$8))/4+INDEX(BookQ4,1746)*(5-MIN(4,4+'5. Scenarios'!$E$8))/4)*'5. Scenarios'!$E$6/(1+ProductivityDefault*('5. Scenarios'!$E$11-1))+INDEX(BookOneOff,1746)*$S1751)</f>
        <v/>
      </c>
    </row>
    <row r="1752" customFormat="false" ht="15" hidden="false" customHeight="false" outlineLevel="0" collapsed="false">
      <c r="A1752" s="0" t="str">
        <f aca="false">IF(INDEX(BookTitle,1747)="","",INDEX(BookKey,1747))</f>
        <v/>
      </c>
      <c r="B1752" s="0" t="str">
        <f aca="false">IF(INDEX(BookTitle,1747)="","",INDEX(BookGroup,1747))</f>
        <v/>
      </c>
      <c r="C1752" s="0" t="str">
        <f aca="false">IF(INDEX(BookTitle,1747)="","",INDEX(BookCategory,1747))</f>
        <v/>
      </c>
      <c r="D1752" s="56" t="str">
        <f aca="false">IF(INDEX(BookTitle,1747)="","",INDEX(BookTotal,1747)*'5. Scenarios'!$B$6/(1+ProductivityDefault*('5. Scenarios'!$B$11-1)))</f>
        <v/>
      </c>
      <c r="E1752" s="57" t="str">
        <f aca="false">IF($D1752="","",INDEX(BookRate,1747)*(1+'5. Scenarios'!$B$10)*$D1752)</f>
        <v/>
      </c>
      <c r="F1752" s="57" t="str">
        <f aca="false">IF($E1752="","",SUMIFS($E$6:$E$2405,$A$6:$A$2405,"&lt;="&amp;$A1752))</f>
        <v/>
      </c>
      <c r="G1752" s="57" t="str">
        <f aca="false">IF($E1752="","",IF($F1752&lt;=BankCostEnvelope*'5. Scenarios'!$B$7,1,0))</f>
        <v/>
      </c>
      <c r="H1752" s="57" t="str">
        <f aca="false">IF($D1752="","",INDEX(BookRate,1747)*(1+'5. Scenarios'!$B$10)*(INDEX(BookQ1,1747)*(5-MIN(4,1+'5. Scenarios'!$B$8))/4+INDEX(BookQ2,1747)*(5-MIN(4,2+'5. Scenarios'!$B$8))/4+INDEX(BookQ3,1747)*(5-MIN(4,3+'5. Scenarios'!$B$8))/4+INDEX(BookQ4,1747)*(5-MIN(4,4+'5. Scenarios'!$B$8))/4)*'5. Scenarios'!$B$6/(1+ProductivityDefault*('5. Scenarios'!$B$11-1))+INDEX(BookOneOff,1747)*$D1752)</f>
        <v/>
      </c>
      <c r="I1752" s="56" t="str">
        <f aca="false">IF(INDEX(BookTitle,1747)="","",INDEX(BookTotal,1747)*'5. Scenarios'!$C$6/(1+ProductivityDefault*('5. Scenarios'!$C$11-1)))</f>
        <v/>
      </c>
      <c r="J1752" s="57" t="str">
        <f aca="false">IF($I1752="","",INDEX(BookRate,1747)*(1+'5. Scenarios'!$C$10)*$I1752)</f>
        <v/>
      </c>
      <c r="K1752" s="57" t="str">
        <f aca="false">IF($J1752="","",SUMIFS($J$6:$J$2405,$A$6:$A$2405,"&lt;="&amp;$A1752))</f>
        <v/>
      </c>
      <c r="L1752" s="57" t="str">
        <f aca="false">IF($J1752="","",IF($K1752&lt;=BankCostEnvelope*'5. Scenarios'!$C$7,1,0))</f>
        <v/>
      </c>
      <c r="M1752" s="57" t="str">
        <f aca="false">IF($I1752="","",INDEX(BookRate,1747)*(1+'5. Scenarios'!$C$10)*(INDEX(BookQ1,1747)*(5-MIN(4,1+'5. Scenarios'!$C$8))/4+INDEX(BookQ2,1747)*(5-MIN(4,2+'5. Scenarios'!$C$8))/4+INDEX(BookQ3,1747)*(5-MIN(4,3+'5. Scenarios'!$C$8))/4+INDEX(BookQ4,1747)*(5-MIN(4,4+'5. Scenarios'!$C$8))/4)*'5. Scenarios'!$C$6/(1+ProductivityDefault*('5. Scenarios'!$C$11-1))+INDEX(BookOneOff,1747)*$I1752)</f>
        <v/>
      </c>
      <c r="N1752" s="56" t="str">
        <f aca="false">IF(INDEX(BookTitle,1747)="","",INDEX(BookTotal,1747)*'5. Scenarios'!$D$6/(1+ProductivityDefault*('5. Scenarios'!$D$11-1)))</f>
        <v/>
      </c>
      <c r="O1752" s="57" t="str">
        <f aca="false">IF($N1752="","",INDEX(BookRate,1747)*(1+'5. Scenarios'!$D$10)*$N1752)</f>
        <v/>
      </c>
      <c r="P1752" s="57" t="str">
        <f aca="false">IF($O1752="","",SUMIFS($O$6:$O$2405,$A$6:$A$2405,"&lt;="&amp;$A1752))</f>
        <v/>
      </c>
      <c r="Q1752" s="57" t="str">
        <f aca="false">IF($O1752="","",IF($P1752&lt;=BankCostEnvelope*'5. Scenarios'!$D$7,1,0))</f>
        <v/>
      </c>
      <c r="R1752" s="57" t="str">
        <f aca="false">IF($N1752="","",INDEX(BookRate,1747)*(1+'5. Scenarios'!$D$10)*(INDEX(BookQ1,1747)*(5-MIN(4,1+'5. Scenarios'!$D$8))/4+INDEX(BookQ2,1747)*(5-MIN(4,2+'5. Scenarios'!$D$8))/4+INDEX(BookQ3,1747)*(5-MIN(4,3+'5. Scenarios'!$D$8))/4+INDEX(BookQ4,1747)*(5-MIN(4,4+'5. Scenarios'!$D$8))/4)*'5. Scenarios'!$D$6/(1+ProductivityDefault*('5. Scenarios'!$D$11-1))+INDEX(BookOneOff,1747)*$N1752)</f>
        <v/>
      </c>
      <c r="S1752" s="56" t="str">
        <f aca="false">IF(INDEX(BookTitle,1747)="","",INDEX(BookTotal,1747)*'5. Scenarios'!$E$6/(1+ProductivityDefault*('5. Scenarios'!$E$11-1)))</f>
        <v/>
      </c>
      <c r="T1752" s="57" t="str">
        <f aca="false">IF($S1752="","",INDEX(BookRate,1747)*(1+'5. Scenarios'!$E$10)*$S1752)</f>
        <v/>
      </c>
      <c r="U1752" s="57" t="str">
        <f aca="false">IF($T1752="","",SUMIFS($T$6:$T$2405,$A$6:$A$2405,"&lt;="&amp;$A1752))</f>
        <v/>
      </c>
      <c r="V1752" s="57" t="str">
        <f aca="false">IF($T1752="","",IF($U1752&lt;=BankCostEnvelope*'5. Scenarios'!$E$7,1,0))</f>
        <v/>
      </c>
      <c r="W1752" s="57" t="str">
        <f aca="false">IF($S1752="","",INDEX(BookRate,1747)*(1+'5. Scenarios'!$E$10)*(INDEX(BookQ1,1747)*(5-MIN(4,1+'5. Scenarios'!$E$8))/4+INDEX(BookQ2,1747)*(5-MIN(4,2+'5. Scenarios'!$E$8))/4+INDEX(BookQ3,1747)*(5-MIN(4,3+'5. Scenarios'!$E$8))/4+INDEX(BookQ4,1747)*(5-MIN(4,4+'5. Scenarios'!$E$8))/4)*'5. Scenarios'!$E$6/(1+ProductivityDefault*('5. Scenarios'!$E$11-1))+INDEX(BookOneOff,1747)*$S1752)</f>
        <v/>
      </c>
    </row>
    <row r="1753" customFormat="false" ht="15" hidden="false" customHeight="false" outlineLevel="0" collapsed="false">
      <c r="A1753" s="0" t="str">
        <f aca="false">IF(INDEX(BookTitle,1748)="","",INDEX(BookKey,1748))</f>
        <v/>
      </c>
      <c r="B1753" s="0" t="str">
        <f aca="false">IF(INDEX(BookTitle,1748)="","",INDEX(BookGroup,1748))</f>
        <v/>
      </c>
      <c r="C1753" s="0" t="str">
        <f aca="false">IF(INDEX(BookTitle,1748)="","",INDEX(BookCategory,1748))</f>
        <v/>
      </c>
      <c r="D1753" s="56" t="str">
        <f aca="false">IF(INDEX(BookTitle,1748)="","",INDEX(BookTotal,1748)*'5. Scenarios'!$B$6/(1+ProductivityDefault*('5. Scenarios'!$B$11-1)))</f>
        <v/>
      </c>
      <c r="E1753" s="57" t="str">
        <f aca="false">IF($D1753="","",INDEX(BookRate,1748)*(1+'5. Scenarios'!$B$10)*$D1753)</f>
        <v/>
      </c>
      <c r="F1753" s="57" t="str">
        <f aca="false">IF($E1753="","",SUMIFS($E$6:$E$2405,$A$6:$A$2405,"&lt;="&amp;$A1753))</f>
        <v/>
      </c>
      <c r="G1753" s="57" t="str">
        <f aca="false">IF($E1753="","",IF($F1753&lt;=BankCostEnvelope*'5. Scenarios'!$B$7,1,0))</f>
        <v/>
      </c>
      <c r="H1753" s="57" t="str">
        <f aca="false">IF($D1753="","",INDEX(BookRate,1748)*(1+'5. Scenarios'!$B$10)*(INDEX(BookQ1,1748)*(5-MIN(4,1+'5. Scenarios'!$B$8))/4+INDEX(BookQ2,1748)*(5-MIN(4,2+'5. Scenarios'!$B$8))/4+INDEX(BookQ3,1748)*(5-MIN(4,3+'5. Scenarios'!$B$8))/4+INDEX(BookQ4,1748)*(5-MIN(4,4+'5. Scenarios'!$B$8))/4)*'5. Scenarios'!$B$6/(1+ProductivityDefault*('5. Scenarios'!$B$11-1))+INDEX(BookOneOff,1748)*$D1753)</f>
        <v/>
      </c>
      <c r="I1753" s="56" t="str">
        <f aca="false">IF(INDEX(BookTitle,1748)="","",INDEX(BookTotal,1748)*'5. Scenarios'!$C$6/(1+ProductivityDefault*('5. Scenarios'!$C$11-1)))</f>
        <v/>
      </c>
      <c r="J1753" s="57" t="str">
        <f aca="false">IF($I1753="","",INDEX(BookRate,1748)*(1+'5. Scenarios'!$C$10)*$I1753)</f>
        <v/>
      </c>
      <c r="K1753" s="57" t="str">
        <f aca="false">IF($J1753="","",SUMIFS($J$6:$J$2405,$A$6:$A$2405,"&lt;="&amp;$A1753))</f>
        <v/>
      </c>
      <c r="L1753" s="57" t="str">
        <f aca="false">IF($J1753="","",IF($K1753&lt;=BankCostEnvelope*'5. Scenarios'!$C$7,1,0))</f>
        <v/>
      </c>
      <c r="M1753" s="57" t="str">
        <f aca="false">IF($I1753="","",INDEX(BookRate,1748)*(1+'5. Scenarios'!$C$10)*(INDEX(BookQ1,1748)*(5-MIN(4,1+'5. Scenarios'!$C$8))/4+INDEX(BookQ2,1748)*(5-MIN(4,2+'5. Scenarios'!$C$8))/4+INDEX(BookQ3,1748)*(5-MIN(4,3+'5. Scenarios'!$C$8))/4+INDEX(BookQ4,1748)*(5-MIN(4,4+'5. Scenarios'!$C$8))/4)*'5. Scenarios'!$C$6/(1+ProductivityDefault*('5. Scenarios'!$C$11-1))+INDEX(BookOneOff,1748)*$I1753)</f>
        <v/>
      </c>
      <c r="N1753" s="56" t="str">
        <f aca="false">IF(INDEX(BookTitle,1748)="","",INDEX(BookTotal,1748)*'5. Scenarios'!$D$6/(1+ProductivityDefault*('5. Scenarios'!$D$11-1)))</f>
        <v/>
      </c>
      <c r="O1753" s="57" t="str">
        <f aca="false">IF($N1753="","",INDEX(BookRate,1748)*(1+'5. Scenarios'!$D$10)*$N1753)</f>
        <v/>
      </c>
      <c r="P1753" s="57" t="str">
        <f aca="false">IF($O1753="","",SUMIFS($O$6:$O$2405,$A$6:$A$2405,"&lt;="&amp;$A1753))</f>
        <v/>
      </c>
      <c r="Q1753" s="57" t="str">
        <f aca="false">IF($O1753="","",IF($P1753&lt;=BankCostEnvelope*'5. Scenarios'!$D$7,1,0))</f>
        <v/>
      </c>
      <c r="R1753" s="57" t="str">
        <f aca="false">IF($N1753="","",INDEX(BookRate,1748)*(1+'5. Scenarios'!$D$10)*(INDEX(BookQ1,1748)*(5-MIN(4,1+'5. Scenarios'!$D$8))/4+INDEX(BookQ2,1748)*(5-MIN(4,2+'5. Scenarios'!$D$8))/4+INDEX(BookQ3,1748)*(5-MIN(4,3+'5. Scenarios'!$D$8))/4+INDEX(BookQ4,1748)*(5-MIN(4,4+'5. Scenarios'!$D$8))/4)*'5. Scenarios'!$D$6/(1+ProductivityDefault*('5. Scenarios'!$D$11-1))+INDEX(BookOneOff,1748)*$N1753)</f>
        <v/>
      </c>
      <c r="S1753" s="56" t="str">
        <f aca="false">IF(INDEX(BookTitle,1748)="","",INDEX(BookTotal,1748)*'5. Scenarios'!$E$6/(1+ProductivityDefault*('5. Scenarios'!$E$11-1)))</f>
        <v/>
      </c>
      <c r="T1753" s="57" t="str">
        <f aca="false">IF($S1753="","",INDEX(BookRate,1748)*(1+'5. Scenarios'!$E$10)*$S1753)</f>
        <v/>
      </c>
      <c r="U1753" s="57" t="str">
        <f aca="false">IF($T1753="","",SUMIFS($T$6:$T$2405,$A$6:$A$2405,"&lt;="&amp;$A1753))</f>
        <v/>
      </c>
      <c r="V1753" s="57" t="str">
        <f aca="false">IF($T1753="","",IF($U1753&lt;=BankCostEnvelope*'5. Scenarios'!$E$7,1,0))</f>
        <v/>
      </c>
      <c r="W1753" s="57" t="str">
        <f aca="false">IF($S1753="","",INDEX(BookRate,1748)*(1+'5. Scenarios'!$E$10)*(INDEX(BookQ1,1748)*(5-MIN(4,1+'5. Scenarios'!$E$8))/4+INDEX(BookQ2,1748)*(5-MIN(4,2+'5. Scenarios'!$E$8))/4+INDEX(BookQ3,1748)*(5-MIN(4,3+'5. Scenarios'!$E$8))/4+INDEX(BookQ4,1748)*(5-MIN(4,4+'5. Scenarios'!$E$8))/4)*'5. Scenarios'!$E$6/(1+ProductivityDefault*('5. Scenarios'!$E$11-1))+INDEX(BookOneOff,1748)*$S1753)</f>
        <v/>
      </c>
    </row>
    <row r="1754" customFormat="false" ht="15" hidden="false" customHeight="false" outlineLevel="0" collapsed="false">
      <c r="A1754" s="0" t="str">
        <f aca="false">IF(INDEX(BookTitle,1749)="","",INDEX(BookKey,1749))</f>
        <v/>
      </c>
      <c r="B1754" s="0" t="str">
        <f aca="false">IF(INDEX(BookTitle,1749)="","",INDEX(BookGroup,1749))</f>
        <v/>
      </c>
      <c r="C1754" s="0" t="str">
        <f aca="false">IF(INDEX(BookTitle,1749)="","",INDEX(BookCategory,1749))</f>
        <v/>
      </c>
      <c r="D1754" s="56" t="str">
        <f aca="false">IF(INDEX(BookTitle,1749)="","",INDEX(BookTotal,1749)*'5. Scenarios'!$B$6/(1+ProductivityDefault*('5. Scenarios'!$B$11-1)))</f>
        <v/>
      </c>
      <c r="E1754" s="57" t="str">
        <f aca="false">IF($D1754="","",INDEX(BookRate,1749)*(1+'5. Scenarios'!$B$10)*$D1754)</f>
        <v/>
      </c>
      <c r="F1754" s="57" t="str">
        <f aca="false">IF($E1754="","",SUMIFS($E$6:$E$2405,$A$6:$A$2405,"&lt;="&amp;$A1754))</f>
        <v/>
      </c>
      <c r="G1754" s="57" t="str">
        <f aca="false">IF($E1754="","",IF($F1754&lt;=BankCostEnvelope*'5. Scenarios'!$B$7,1,0))</f>
        <v/>
      </c>
      <c r="H1754" s="57" t="str">
        <f aca="false">IF($D1754="","",INDEX(BookRate,1749)*(1+'5. Scenarios'!$B$10)*(INDEX(BookQ1,1749)*(5-MIN(4,1+'5. Scenarios'!$B$8))/4+INDEX(BookQ2,1749)*(5-MIN(4,2+'5. Scenarios'!$B$8))/4+INDEX(BookQ3,1749)*(5-MIN(4,3+'5. Scenarios'!$B$8))/4+INDEX(BookQ4,1749)*(5-MIN(4,4+'5. Scenarios'!$B$8))/4)*'5. Scenarios'!$B$6/(1+ProductivityDefault*('5. Scenarios'!$B$11-1))+INDEX(BookOneOff,1749)*$D1754)</f>
        <v/>
      </c>
      <c r="I1754" s="56" t="str">
        <f aca="false">IF(INDEX(BookTitle,1749)="","",INDEX(BookTotal,1749)*'5. Scenarios'!$C$6/(1+ProductivityDefault*('5. Scenarios'!$C$11-1)))</f>
        <v/>
      </c>
      <c r="J1754" s="57" t="str">
        <f aca="false">IF($I1754="","",INDEX(BookRate,1749)*(1+'5. Scenarios'!$C$10)*$I1754)</f>
        <v/>
      </c>
      <c r="K1754" s="57" t="str">
        <f aca="false">IF($J1754="","",SUMIFS($J$6:$J$2405,$A$6:$A$2405,"&lt;="&amp;$A1754))</f>
        <v/>
      </c>
      <c r="L1754" s="57" t="str">
        <f aca="false">IF($J1754="","",IF($K1754&lt;=BankCostEnvelope*'5. Scenarios'!$C$7,1,0))</f>
        <v/>
      </c>
      <c r="M1754" s="57" t="str">
        <f aca="false">IF($I1754="","",INDEX(BookRate,1749)*(1+'5. Scenarios'!$C$10)*(INDEX(BookQ1,1749)*(5-MIN(4,1+'5. Scenarios'!$C$8))/4+INDEX(BookQ2,1749)*(5-MIN(4,2+'5. Scenarios'!$C$8))/4+INDEX(BookQ3,1749)*(5-MIN(4,3+'5. Scenarios'!$C$8))/4+INDEX(BookQ4,1749)*(5-MIN(4,4+'5. Scenarios'!$C$8))/4)*'5. Scenarios'!$C$6/(1+ProductivityDefault*('5. Scenarios'!$C$11-1))+INDEX(BookOneOff,1749)*$I1754)</f>
        <v/>
      </c>
      <c r="N1754" s="56" t="str">
        <f aca="false">IF(INDEX(BookTitle,1749)="","",INDEX(BookTotal,1749)*'5. Scenarios'!$D$6/(1+ProductivityDefault*('5. Scenarios'!$D$11-1)))</f>
        <v/>
      </c>
      <c r="O1754" s="57" t="str">
        <f aca="false">IF($N1754="","",INDEX(BookRate,1749)*(1+'5. Scenarios'!$D$10)*$N1754)</f>
        <v/>
      </c>
      <c r="P1754" s="57" t="str">
        <f aca="false">IF($O1754="","",SUMIFS($O$6:$O$2405,$A$6:$A$2405,"&lt;="&amp;$A1754))</f>
        <v/>
      </c>
      <c r="Q1754" s="57" t="str">
        <f aca="false">IF($O1754="","",IF($P1754&lt;=BankCostEnvelope*'5. Scenarios'!$D$7,1,0))</f>
        <v/>
      </c>
      <c r="R1754" s="57" t="str">
        <f aca="false">IF($N1754="","",INDEX(BookRate,1749)*(1+'5. Scenarios'!$D$10)*(INDEX(BookQ1,1749)*(5-MIN(4,1+'5. Scenarios'!$D$8))/4+INDEX(BookQ2,1749)*(5-MIN(4,2+'5. Scenarios'!$D$8))/4+INDEX(BookQ3,1749)*(5-MIN(4,3+'5. Scenarios'!$D$8))/4+INDEX(BookQ4,1749)*(5-MIN(4,4+'5. Scenarios'!$D$8))/4)*'5. Scenarios'!$D$6/(1+ProductivityDefault*('5. Scenarios'!$D$11-1))+INDEX(BookOneOff,1749)*$N1754)</f>
        <v/>
      </c>
      <c r="S1754" s="56" t="str">
        <f aca="false">IF(INDEX(BookTitle,1749)="","",INDEX(BookTotal,1749)*'5. Scenarios'!$E$6/(1+ProductivityDefault*('5. Scenarios'!$E$11-1)))</f>
        <v/>
      </c>
      <c r="T1754" s="57" t="str">
        <f aca="false">IF($S1754="","",INDEX(BookRate,1749)*(1+'5. Scenarios'!$E$10)*$S1754)</f>
        <v/>
      </c>
      <c r="U1754" s="57" t="str">
        <f aca="false">IF($T1754="","",SUMIFS($T$6:$T$2405,$A$6:$A$2405,"&lt;="&amp;$A1754))</f>
        <v/>
      </c>
      <c r="V1754" s="57" t="str">
        <f aca="false">IF($T1754="","",IF($U1754&lt;=BankCostEnvelope*'5. Scenarios'!$E$7,1,0))</f>
        <v/>
      </c>
      <c r="W1754" s="57" t="str">
        <f aca="false">IF($S1754="","",INDEX(BookRate,1749)*(1+'5. Scenarios'!$E$10)*(INDEX(BookQ1,1749)*(5-MIN(4,1+'5. Scenarios'!$E$8))/4+INDEX(BookQ2,1749)*(5-MIN(4,2+'5. Scenarios'!$E$8))/4+INDEX(BookQ3,1749)*(5-MIN(4,3+'5. Scenarios'!$E$8))/4+INDEX(BookQ4,1749)*(5-MIN(4,4+'5. Scenarios'!$E$8))/4)*'5. Scenarios'!$E$6/(1+ProductivityDefault*('5. Scenarios'!$E$11-1))+INDEX(BookOneOff,1749)*$S1754)</f>
        <v/>
      </c>
    </row>
    <row r="1755" customFormat="false" ht="15" hidden="false" customHeight="false" outlineLevel="0" collapsed="false">
      <c r="A1755" s="0" t="str">
        <f aca="false">IF(INDEX(BookTitle,1750)="","",INDEX(BookKey,1750))</f>
        <v/>
      </c>
      <c r="B1755" s="0" t="str">
        <f aca="false">IF(INDEX(BookTitle,1750)="","",INDEX(BookGroup,1750))</f>
        <v/>
      </c>
      <c r="C1755" s="0" t="str">
        <f aca="false">IF(INDEX(BookTitle,1750)="","",INDEX(BookCategory,1750))</f>
        <v/>
      </c>
      <c r="D1755" s="56" t="str">
        <f aca="false">IF(INDEX(BookTitle,1750)="","",INDEX(BookTotal,1750)*'5. Scenarios'!$B$6/(1+ProductivityDefault*('5. Scenarios'!$B$11-1)))</f>
        <v/>
      </c>
      <c r="E1755" s="57" t="str">
        <f aca="false">IF($D1755="","",INDEX(BookRate,1750)*(1+'5. Scenarios'!$B$10)*$D1755)</f>
        <v/>
      </c>
      <c r="F1755" s="57" t="str">
        <f aca="false">IF($E1755="","",SUMIFS($E$6:$E$2405,$A$6:$A$2405,"&lt;="&amp;$A1755))</f>
        <v/>
      </c>
      <c r="G1755" s="57" t="str">
        <f aca="false">IF($E1755="","",IF($F1755&lt;=BankCostEnvelope*'5. Scenarios'!$B$7,1,0))</f>
        <v/>
      </c>
      <c r="H1755" s="57" t="str">
        <f aca="false">IF($D1755="","",INDEX(BookRate,1750)*(1+'5. Scenarios'!$B$10)*(INDEX(BookQ1,1750)*(5-MIN(4,1+'5. Scenarios'!$B$8))/4+INDEX(BookQ2,1750)*(5-MIN(4,2+'5. Scenarios'!$B$8))/4+INDEX(BookQ3,1750)*(5-MIN(4,3+'5. Scenarios'!$B$8))/4+INDEX(BookQ4,1750)*(5-MIN(4,4+'5. Scenarios'!$B$8))/4)*'5. Scenarios'!$B$6/(1+ProductivityDefault*('5. Scenarios'!$B$11-1))+INDEX(BookOneOff,1750)*$D1755)</f>
        <v/>
      </c>
      <c r="I1755" s="56" t="str">
        <f aca="false">IF(INDEX(BookTitle,1750)="","",INDEX(BookTotal,1750)*'5. Scenarios'!$C$6/(1+ProductivityDefault*('5. Scenarios'!$C$11-1)))</f>
        <v/>
      </c>
      <c r="J1755" s="57" t="str">
        <f aca="false">IF($I1755="","",INDEX(BookRate,1750)*(1+'5. Scenarios'!$C$10)*$I1755)</f>
        <v/>
      </c>
      <c r="K1755" s="57" t="str">
        <f aca="false">IF($J1755="","",SUMIFS($J$6:$J$2405,$A$6:$A$2405,"&lt;="&amp;$A1755))</f>
        <v/>
      </c>
      <c r="L1755" s="57" t="str">
        <f aca="false">IF($J1755="","",IF($K1755&lt;=BankCostEnvelope*'5. Scenarios'!$C$7,1,0))</f>
        <v/>
      </c>
      <c r="M1755" s="57" t="str">
        <f aca="false">IF($I1755="","",INDEX(BookRate,1750)*(1+'5. Scenarios'!$C$10)*(INDEX(BookQ1,1750)*(5-MIN(4,1+'5. Scenarios'!$C$8))/4+INDEX(BookQ2,1750)*(5-MIN(4,2+'5. Scenarios'!$C$8))/4+INDEX(BookQ3,1750)*(5-MIN(4,3+'5. Scenarios'!$C$8))/4+INDEX(BookQ4,1750)*(5-MIN(4,4+'5. Scenarios'!$C$8))/4)*'5. Scenarios'!$C$6/(1+ProductivityDefault*('5. Scenarios'!$C$11-1))+INDEX(BookOneOff,1750)*$I1755)</f>
        <v/>
      </c>
      <c r="N1755" s="56" t="str">
        <f aca="false">IF(INDEX(BookTitle,1750)="","",INDEX(BookTotal,1750)*'5. Scenarios'!$D$6/(1+ProductivityDefault*('5. Scenarios'!$D$11-1)))</f>
        <v/>
      </c>
      <c r="O1755" s="57" t="str">
        <f aca="false">IF($N1755="","",INDEX(BookRate,1750)*(1+'5. Scenarios'!$D$10)*$N1755)</f>
        <v/>
      </c>
      <c r="P1755" s="57" t="str">
        <f aca="false">IF($O1755="","",SUMIFS($O$6:$O$2405,$A$6:$A$2405,"&lt;="&amp;$A1755))</f>
        <v/>
      </c>
      <c r="Q1755" s="57" t="str">
        <f aca="false">IF($O1755="","",IF($P1755&lt;=BankCostEnvelope*'5. Scenarios'!$D$7,1,0))</f>
        <v/>
      </c>
      <c r="R1755" s="57" t="str">
        <f aca="false">IF($N1755="","",INDEX(BookRate,1750)*(1+'5. Scenarios'!$D$10)*(INDEX(BookQ1,1750)*(5-MIN(4,1+'5. Scenarios'!$D$8))/4+INDEX(BookQ2,1750)*(5-MIN(4,2+'5. Scenarios'!$D$8))/4+INDEX(BookQ3,1750)*(5-MIN(4,3+'5. Scenarios'!$D$8))/4+INDEX(BookQ4,1750)*(5-MIN(4,4+'5. Scenarios'!$D$8))/4)*'5. Scenarios'!$D$6/(1+ProductivityDefault*('5. Scenarios'!$D$11-1))+INDEX(BookOneOff,1750)*$N1755)</f>
        <v/>
      </c>
      <c r="S1755" s="56" t="str">
        <f aca="false">IF(INDEX(BookTitle,1750)="","",INDEX(BookTotal,1750)*'5. Scenarios'!$E$6/(1+ProductivityDefault*('5. Scenarios'!$E$11-1)))</f>
        <v/>
      </c>
      <c r="T1755" s="57" t="str">
        <f aca="false">IF($S1755="","",INDEX(BookRate,1750)*(1+'5. Scenarios'!$E$10)*$S1755)</f>
        <v/>
      </c>
      <c r="U1755" s="57" t="str">
        <f aca="false">IF($T1755="","",SUMIFS($T$6:$T$2405,$A$6:$A$2405,"&lt;="&amp;$A1755))</f>
        <v/>
      </c>
      <c r="V1755" s="57" t="str">
        <f aca="false">IF($T1755="","",IF($U1755&lt;=BankCostEnvelope*'5. Scenarios'!$E$7,1,0))</f>
        <v/>
      </c>
      <c r="W1755" s="57" t="str">
        <f aca="false">IF($S1755="","",INDEX(BookRate,1750)*(1+'5. Scenarios'!$E$10)*(INDEX(BookQ1,1750)*(5-MIN(4,1+'5. Scenarios'!$E$8))/4+INDEX(BookQ2,1750)*(5-MIN(4,2+'5. Scenarios'!$E$8))/4+INDEX(BookQ3,1750)*(5-MIN(4,3+'5. Scenarios'!$E$8))/4+INDEX(BookQ4,1750)*(5-MIN(4,4+'5. Scenarios'!$E$8))/4)*'5. Scenarios'!$E$6/(1+ProductivityDefault*('5. Scenarios'!$E$11-1))+INDEX(BookOneOff,1750)*$S1755)</f>
        <v/>
      </c>
    </row>
    <row r="1756" customFormat="false" ht="15" hidden="false" customHeight="false" outlineLevel="0" collapsed="false">
      <c r="A1756" s="0" t="str">
        <f aca="false">IF(INDEX(BookTitle,1751)="","",INDEX(BookKey,1751))</f>
        <v/>
      </c>
      <c r="B1756" s="0" t="str">
        <f aca="false">IF(INDEX(BookTitle,1751)="","",INDEX(BookGroup,1751))</f>
        <v/>
      </c>
      <c r="C1756" s="0" t="str">
        <f aca="false">IF(INDEX(BookTitle,1751)="","",INDEX(BookCategory,1751))</f>
        <v/>
      </c>
      <c r="D1756" s="56" t="str">
        <f aca="false">IF(INDEX(BookTitle,1751)="","",INDEX(BookTotal,1751)*'5. Scenarios'!$B$6/(1+ProductivityDefault*('5. Scenarios'!$B$11-1)))</f>
        <v/>
      </c>
      <c r="E1756" s="57" t="str">
        <f aca="false">IF($D1756="","",INDEX(BookRate,1751)*(1+'5. Scenarios'!$B$10)*$D1756)</f>
        <v/>
      </c>
      <c r="F1756" s="57" t="str">
        <f aca="false">IF($E1756="","",SUMIFS($E$6:$E$2405,$A$6:$A$2405,"&lt;="&amp;$A1756))</f>
        <v/>
      </c>
      <c r="G1756" s="57" t="str">
        <f aca="false">IF($E1756="","",IF($F1756&lt;=BankCostEnvelope*'5. Scenarios'!$B$7,1,0))</f>
        <v/>
      </c>
      <c r="H1756" s="57" t="str">
        <f aca="false">IF($D1756="","",INDEX(BookRate,1751)*(1+'5. Scenarios'!$B$10)*(INDEX(BookQ1,1751)*(5-MIN(4,1+'5. Scenarios'!$B$8))/4+INDEX(BookQ2,1751)*(5-MIN(4,2+'5. Scenarios'!$B$8))/4+INDEX(BookQ3,1751)*(5-MIN(4,3+'5. Scenarios'!$B$8))/4+INDEX(BookQ4,1751)*(5-MIN(4,4+'5. Scenarios'!$B$8))/4)*'5. Scenarios'!$B$6/(1+ProductivityDefault*('5. Scenarios'!$B$11-1))+INDEX(BookOneOff,1751)*$D1756)</f>
        <v/>
      </c>
      <c r="I1756" s="56" t="str">
        <f aca="false">IF(INDEX(BookTitle,1751)="","",INDEX(BookTotal,1751)*'5. Scenarios'!$C$6/(1+ProductivityDefault*('5. Scenarios'!$C$11-1)))</f>
        <v/>
      </c>
      <c r="J1756" s="57" t="str">
        <f aca="false">IF($I1756="","",INDEX(BookRate,1751)*(1+'5. Scenarios'!$C$10)*$I1756)</f>
        <v/>
      </c>
      <c r="K1756" s="57" t="str">
        <f aca="false">IF($J1756="","",SUMIFS($J$6:$J$2405,$A$6:$A$2405,"&lt;="&amp;$A1756))</f>
        <v/>
      </c>
      <c r="L1756" s="57" t="str">
        <f aca="false">IF($J1756="","",IF($K1756&lt;=BankCostEnvelope*'5. Scenarios'!$C$7,1,0))</f>
        <v/>
      </c>
      <c r="M1756" s="57" t="str">
        <f aca="false">IF($I1756="","",INDEX(BookRate,1751)*(1+'5. Scenarios'!$C$10)*(INDEX(BookQ1,1751)*(5-MIN(4,1+'5. Scenarios'!$C$8))/4+INDEX(BookQ2,1751)*(5-MIN(4,2+'5. Scenarios'!$C$8))/4+INDEX(BookQ3,1751)*(5-MIN(4,3+'5. Scenarios'!$C$8))/4+INDEX(BookQ4,1751)*(5-MIN(4,4+'5. Scenarios'!$C$8))/4)*'5. Scenarios'!$C$6/(1+ProductivityDefault*('5. Scenarios'!$C$11-1))+INDEX(BookOneOff,1751)*$I1756)</f>
        <v/>
      </c>
      <c r="N1756" s="56" t="str">
        <f aca="false">IF(INDEX(BookTitle,1751)="","",INDEX(BookTotal,1751)*'5. Scenarios'!$D$6/(1+ProductivityDefault*('5. Scenarios'!$D$11-1)))</f>
        <v/>
      </c>
      <c r="O1756" s="57" t="str">
        <f aca="false">IF($N1756="","",INDEX(BookRate,1751)*(1+'5. Scenarios'!$D$10)*$N1756)</f>
        <v/>
      </c>
      <c r="P1756" s="57" t="str">
        <f aca="false">IF($O1756="","",SUMIFS($O$6:$O$2405,$A$6:$A$2405,"&lt;="&amp;$A1756))</f>
        <v/>
      </c>
      <c r="Q1756" s="57" t="str">
        <f aca="false">IF($O1756="","",IF($P1756&lt;=BankCostEnvelope*'5. Scenarios'!$D$7,1,0))</f>
        <v/>
      </c>
      <c r="R1756" s="57" t="str">
        <f aca="false">IF($N1756="","",INDEX(BookRate,1751)*(1+'5. Scenarios'!$D$10)*(INDEX(BookQ1,1751)*(5-MIN(4,1+'5. Scenarios'!$D$8))/4+INDEX(BookQ2,1751)*(5-MIN(4,2+'5. Scenarios'!$D$8))/4+INDEX(BookQ3,1751)*(5-MIN(4,3+'5. Scenarios'!$D$8))/4+INDEX(BookQ4,1751)*(5-MIN(4,4+'5. Scenarios'!$D$8))/4)*'5. Scenarios'!$D$6/(1+ProductivityDefault*('5. Scenarios'!$D$11-1))+INDEX(BookOneOff,1751)*$N1756)</f>
        <v/>
      </c>
      <c r="S1756" s="56" t="str">
        <f aca="false">IF(INDEX(BookTitle,1751)="","",INDEX(BookTotal,1751)*'5. Scenarios'!$E$6/(1+ProductivityDefault*('5. Scenarios'!$E$11-1)))</f>
        <v/>
      </c>
      <c r="T1756" s="57" t="str">
        <f aca="false">IF($S1756="","",INDEX(BookRate,1751)*(1+'5. Scenarios'!$E$10)*$S1756)</f>
        <v/>
      </c>
      <c r="U1756" s="57" t="str">
        <f aca="false">IF($T1756="","",SUMIFS($T$6:$T$2405,$A$6:$A$2405,"&lt;="&amp;$A1756))</f>
        <v/>
      </c>
      <c r="V1756" s="57" t="str">
        <f aca="false">IF($T1756="","",IF($U1756&lt;=BankCostEnvelope*'5. Scenarios'!$E$7,1,0))</f>
        <v/>
      </c>
      <c r="W1756" s="57" t="str">
        <f aca="false">IF($S1756="","",INDEX(BookRate,1751)*(1+'5. Scenarios'!$E$10)*(INDEX(BookQ1,1751)*(5-MIN(4,1+'5. Scenarios'!$E$8))/4+INDEX(BookQ2,1751)*(5-MIN(4,2+'5. Scenarios'!$E$8))/4+INDEX(BookQ3,1751)*(5-MIN(4,3+'5. Scenarios'!$E$8))/4+INDEX(BookQ4,1751)*(5-MIN(4,4+'5. Scenarios'!$E$8))/4)*'5. Scenarios'!$E$6/(1+ProductivityDefault*('5. Scenarios'!$E$11-1))+INDEX(BookOneOff,1751)*$S1756)</f>
        <v/>
      </c>
    </row>
    <row r="1757" customFormat="false" ht="15" hidden="false" customHeight="false" outlineLevel="0" collapsed="false">
      <c r="A1757" s="0" t="str">
        <f aca="false">IF(INDEX(BookTitle,1752)="","",INDEX(BookKey,1752))</f>
        <v/>
      </c>
      <c r="B1757" s="0" t="str">
        <f aca="false">IF(INDEX(BookTitle,1752)="","",INDEX(BookGroup,1752))</f>
        <v/>
      </c>
      <c r="C1757" s="0" t="str">
        <f aca="false">IF(INDEX(BookTitle,1752)="","",INDEX(BookCategory,1752))</f>
        <v/>
      </c>
      <c r="D1757" s="56" t="str">
        <f aca="false">IF(INDEX(BookTitle,1752)="","",INDEX(BookTotal,1752)*'5. Scenarios'!$B$6/(1+ProductivityDefault*('5. Scenarios'!$B$11-1)))</f>
        <v/>
      </c>
      <c r="E1757" s="57" t="str">
        <f aca="false">IF($D1757="","",INDEX(BookRate,1752)*(1+'5. Scenarios'!$B$10)*$D1757)</f>
        <v/>
      </c>
      <c r="F1757" s="57" t="str">
        <f aca="false">IF($E1757="","",SUMIFS($E$6:$E$2405,$A$6:$A$2405,"&lt;="&amp;$A1757))</f>
        <v/>
      </c>
      <c r="G1757" s="57" t="str">
        <f aca="false">IF($E1757="","",IF($F1757&lt;=BankCostEnvelope*'5. Scenarios'!$B$7,1,0))</f>
        <v/>
      </c>
      <c r="H1757" s="57" t="str">
        <f aca="false">IF($D1757="","",INDEX(BookRate,1752)*(1+'5. Scenarios'!$B$10)*(INDEX(BookQ1,1752)*(5-MIN(4,1+'5. Scenarios'!$B$8))/4+INDEX(BookQ2,1752)*(5-MIN(4,2+'5. Scenarios'!$B$8))/4+INDEX(BookQ3,1752)*(5-MIN(4,3+'5. Scenarios'!$B$8))/4+INDEX(BookQ4,1752)*(5-MIN(4,4+'5. Scenarios'!$B$8))/4)*'5. Scenarios'!$B$6/(1+ProductivityDefault*('5. Scenarios'!$B$11-1))+INDEX(BookOneOff,1752)*$D1757)</f>
        <v/>
      </c>
      <c r="I1757" s="56" t="str">
        <f aca="false">IF(INDEX(BookTitle,1752)="","",INDEX(BookTotal,1752)*'5. Scenarios'!$C$6/(1+ProductivityDefault*('5. Scenarios'!$C$11-1)))</f>
        <v/>
      </c>
      <c r="J1757" s="57" t="str">
        <f aca="false">IF($I1757="","",INDEX(BookRate,1752)*(1+'5. Scenarios'!$C$10)*$I1757)</f>
        <v/>
      </c>
      <c r="K1757" s="57" t="str">
        <f aca="false">IF($J1757="","",SUMIFS($J$6:$J$2405,$A$6:$A$2405,"&lt;="&amp;$A1757))</f>
        <v/>
      </c>
      <c r="L1757" s="57" t="str">
        <f aca="false">IF($J1757="","",IF($K1757&lt;=BankCostEnvelope*'5. Scenarios'!$C$7,1,0))</f>
        <v/>
      </c>
      <c r="M1757" s="57" t="str">
        <f aca="false">IF($I1757="","",INDEX(BookRate,1752)*(1+'5. Scenarios'!$C$10)*(INDEX(BookQ1,1752)*(5-MIN(4,1+'5. Scenarios'!$C$8))/4+INDEX(BookQ2,1752)*(5-MIN(4,2+'5. Scenarios'!$C$8))/4+INDEX(BookQ3,1752)*(5-MIN(4,3+'5. Scenarios'!$C$8))/4+INDEX(BookQ4,1752)*(5-MIN(4,4+'5. Scenarios'!$C$8))/4)*'5. Scenarios'!$C$6/(1+ProductivityDefault*('5. Scenarios'!$C$11-1))+INDEX(BookOneOff,1752)*$I1757)</f>
        <v/>
      </c>
      <c r="N1757" s="56" t="str">
        <f aca="false">IF(INDEX(BookTitle,1752)="","",INDEX(BookTotal,1752)*'5. Scenarios'!$D$6/(1+ProductivityDefault*('5. Scenarios'!$D$11-1)))</f>
        <v/>
      </c>
      <c r="O1757" s="57" t="str">
        <f aca="false">IF($N1757="","",INDEX(BookRate,1752)*(1+'5. Scenarios'!$D$10)*$N1757)</f>
        <v/>
      </c>
      <c r="P1757" s="57" t="str">
        <f aca="false">IF($O1757="","",SUMIFS($O$6:$O$2405,$A$6:$A$2405,"&lt;="&amp;$A1757))</f>
        <v/>
      </c>
      <c r="Q1757" s="57" t="str">
        <f aca="false">IF($O1757="","",IF($P1757&lt;=BankCostEnvelope*'5. Scenarios'!$D$7,1,0))</f>
        <v/>
      </c>
      <c r="R1757" s="57" t="str">
        <f aca="false">IF($N1757="","",INDEX(BookRate,1752)*(1+'5. Scenarios'!$D$10)*(INDEX(BookQ1,1752)*(5-MIN(4,1+'5. Scenarios'!$D$8))/4+INDEX(BookQ2,1752)*(5-MIN(4,2+'5. Scenarios'!$D$8))/4+INDEX(BookQ3,1752)*(5-MIN(4,3+'5. Scenarios'!$D$8))/4+INDEX(BookQ4,1752)*(5-MIN(4,4+'5. Scenarios'!$D$8))/4)*'5. Scenarios'!$D$6/(1+ProductivityDefault*('5. Scenarios'!$D$11-1))+INDEX(BookOneOff,1752)*$N1757)</f>
        <v/>
      </c>
      <c r="S1757" s="56" t="str">
        <f aca="false">IF(INDEX(BookTitle,1752)="","",INDEX(BookTotal,1752)*'5. Scenarios'!$E$6/(1+ProductivityDefault*('5. Scenarios'!$E$11-1)))</f>
        <v/>
      </c>
      <c r="T1757" s="57" t="str">
        <f aca="false">IF($S1757="","",INDEX(BookRate,1752)*(1+'5. Scenarios'!$E$10)*$S1757)</f>
        <v/>
      </c>
      <c r="U1757" s="57" t="str">
        <f aca="false">IF($T1757="","",SUMIFS($T$6:$T$2405,$A$6:$A$2405,"&lt;="&amp;$A1757))</f>
        <v/>
      </c>
      <c r="V1757" s="57" t="str">
        <f aca="false">IF($T1757="","",IF($U1757&lt;=BankCostEnvelope*'5. Scenarios'!$E$7,1,0))</f>
        <v/>
      </c>
      <c r="W1757" s="57" t="str">
        <f aca="false">IF($S1757="","",INDEX(BookRate,1752)*(1+'5. Scenarios'!$E$10)*(INDEX(BookQ1,1752)*(5-MIN(4,1+'5. Scenarios'!$E$8))/4+INDEX(BookQ2,1752)*(5-MIN(4,2+'5. Scenarios'!$E$8))/4+INDEX(BookQ3,1752)*(5-MIN(4,3+'5. Scenarios'!$E$8))/4+INDEX(BookQ4,1752)*(5-MIN(4,4+'5. Scenarios'!$E$8))/4)*'5. Scenarios'!$E$6/(1+ProductivityDefault*('5. Scenarios'!$E$11-1))+INDEX(BookOneOff,1752)*$S1757)</f>
        <v/>
      </c>
    </row>
    <row r="1758" customFormat="false" ht="15" hidden="false" customHeight="false" outlineLevel="0" collapsed="false">
      <c r="A1758" s="0" t="str">
        <f aca="false">IF(INDEX(BookTitle,1753)="","",INDEX(BookKey,1753))</f>
        <v/>
      </c>
      <c r="B1758" s="0" t="str">
        <f aca="false">IF(INDEX(BookTitle,1753)="","",INDEX(BookGroup,1753))</f>
        <v/>
      </c>
      <c r="C1758" s="0" t="str">
        <f aca="false">IF(INDEX(BookTitle,1753)="","",INDEX(BookCategory,1753))</f>
        <v/>
      </c>
      <c r="D1758" s="56" t="str">
        <f aca="false">IF(INDEX(BookTitle,1753)="","",INDEX(BookTotal,1753)*'5. Scenarios'!$B$6/(1+ProductivityDefault*('5. Scenarios'!$B$11-1)))</f>
        <v/>
      </c>
      <c r="E1758" s="57" t="str">
        <f aca="false">IF($D1758="","",INDEX(BookRate,1753)*(1+'5. Scenarios'!$B$10)*$D1758)</f>
        <v/>
      </c>
      <c r="F1758" s="57" t="str">
        <f aca="false">IF($E1758="","",SUMIFS($E$6:$E$2405,$A$6:$A$2405,"&lt;="&amp;$A1758))</f>
        <v/>
      </c>
      <c r="G1758" s="57" t="str">
        <f aca="false">IF($E1758="","",IF($F1758&lt;=BankCostEnvelope*'5. Scenarios'!$B$7,1,0))</f>
        <v/>
      </c>
      <c r="H1758" s="57" t="str">
        <f aca="false">IF($D1758="","",INDEX(BookRate,1753)*(1+'5. Scenarios'!$B$10)*(INDEX(BookQ1,1753)*(5-MIN(4,1+'5. Scenarios'!$B$8))/4+INDEX(BookQ2,1753)*(5-MIN(4,2+'5. Scenarios'!$B$8))/4+INDEX(BookQ3,1753)*(5-MIN(4,3+'5. Scenarios'!$B$8))/4+INDEX(BookQ4,1753)*(5-MIN(4,4+'5. Scenarios'!$B$8))/4)*'5. Scenarios'!$B$6/(1+ProductivityDefault*('5. Scenarios'!$B$11-1))+INDEX(BookOneOff,1753)*$D1758)</f>
        <v/>
      </c>
      <c r="I1758" s="56" t="str">
        <f aca="false">IF(INDEX(BookTitle,1753)="","",INDEX(BookTotal,1753)*'5. Scenarios'!$C$6/(1+ProductivityDefault*('5. Scenarios'!$C$11-1)))</f>
        <v/>
      </c>
      <c r="J1758" s="57" t="str">
        <f aca="false">IF($I1758="","",INDEX(BookRate,1753)*(1+'5. Scenarios'!$C$10)*$I1758)</f>
        <v/>
      </c>
      <c r="K1758" s="57" t="str">
        <f aca="false">IF($J1758="","",SUMIFS($J$6:$J$2405,$A$6:$A$2405,"&lt;="&amp;$A1758))</f>
        <v/>
      </c>
      <c r="L1758" s="57" t="str">
        <f aca="false">IF($J1758="","",IF($K1758&lt;=BankCostEnvelope*'5. Scenarios'!$C$7,1,0))</f>
        <v/>
      </c>
      <c r="M1758" s="57" t="str">
        <f aca="false">IF($I1758="","",INDEX(BookRate,1753)*(1+'5. Scenarios'!$C$10)*(INDEX(BookQ1,1753)*(5-MIN(4,1+'5. Scenarios'!$C$8))/4+INDEX(BookQ2,1753)*(5-MIN(4,2+'5. Scenarios'!$C$8))/4+INDEX(BookQ3,1753)*(5-MIN(4,3+'5. Scenarios'!$C$8))/4+INDEX(BookQ4,1753)*(5-MIN(4,4+'5. Scenarios'!$C$8))/4)*'5. Scenarios'!$C$6/(1+ProductivityDefault*('5. Scenarios'!$C$11-1))+INDEX(BookOneOff,1753)*$I1758)</f>
        <v/>
      </c>
      <c r="N1758" s="56" t="str">
        <f aca="false">IF(INDEX(BookTitle,1753)="","",INDEX(BookTotal,1753)*'5. Scenarios'!$D$6/(1+ProductivityDefault*('5. Scenarios'!$D$11-1)))</f>
        <v/>
      </c>
      <c r="O1758" s="57" t="str">
        <f aca="false">IF($N1758="","",INDEX(BookRate,1753)*(1+'5. Scenarios'!$D$10)*$N1758)</f>
        <v/>
      </c>
      <c r="P1758" s="57" t="str">
        <f aca="false">IF($O1758="","",SUMIFS($O$6:$O$2405,$A$6:$A$2405,"&lt;="&amp;$A1758))</f>
        <v/>
      </c>
      <c r="Q1758" s="57" t="str">
        <f aca="false">IF($O1758="","",IF($P1758&lt;=BankCostEnvelope*'5. Scenarios'!$D$7,1,0))</f>
        <v/>
      </c>
      <c r="R1758" s="57" t="str">
        <f aca="false">IF($N1758="","",INDEX(BookRate,1753)*(1+'5. Scenarios'!$D$10)*(INDEX(BookQ1,1753)*(5-MIN(4,1+'5. Scenarios'!$D$8))/4+INDEX(BookQ2,1753)*(5-MIN(4,2+'5. Scenarios'!$D$8))/4+INDEX(BookQ3,1753)*(5-MIN(4,3+'5. Scenarios'!$D$8))/4+INDEX(BookQ4,1753)*(5-MIN(4,4+'5. Scenarios'!$D$8))/4)*'5. Scenarios'!$D$6/(1+ProductivityDefault*('5. Scenarios'!$D$11-1))+INDEX(BookOneOff,1753)*$N1758)</f>
        <v/>
      </c>
      <c r="S1758" s="56" t="str">
        <f aca="false">IF(INDEX(BookTitle,1753)="","",INDEX(BookTotal,1753)*'5. Scenarios'!$E$6/(1+ProductivityDefault*('5. Scenarios'!$E$11-1)))</f>
        <v/>
      </c>
      <c r="T1758" s="57" t="str">
        <f aca="false">IF($S1758="","",INDEX(BookRate,1753)*(1+'5. Scenarios'!$E$10)*$S1758)</f>
        <v/>
      </c>
      <c r="U1758" s="57" t="str">
        <f aca="false">IF($T1758="","",SUMIFS($T$6:$T$2405,$A$6:$A$2405,"&lt;="&amp;$A1758))</f>
        <v/>
      </c>
      <c r="V1758" s="57" t="str">
        <f aca="false">IF($T1758="","",IF($U1758&lt;=BankCostEnvelope*'5. Scenarios'!$E$7,1,0))</f>
        <v/>
      </c>
      <c r="W1758" s="57" t="str">
        <f aca="false">IF($S1758="","",INDEX(BookRate,1753)*(1+'5. Scenarios'!$E$10)*(INDEX(BookQ1,1753)*(5-MIN(4,1+'5. Scenarios'!$E$8))/4+INDEX(BookQ2,1753)*(5-MIN(4,2+'5. Scenarios'!$E$8))/4+INDEX(BookQ3,1753)*(5-MIN(4,3+'5. Scenarios'!$E$8))/4+INDEX(BookQ4,1753)*(5-MIN(4,4+'5. Scenarios'!$E$8))/4)*'5. Scenarios'!$E$6/(1+ProductivityDefault*('5. Scenarios'!$E$11-1))+INDEX(BookOneOff,1753)*$S1758)</f>
        <v/>
      </c>
    </row>
    <row r="1759" customFormat="false" ht="15" hidden="false" customHeight="false" outlineLevel="0" collapsed="false">
      <c r="A1759" s="0" t="str">
        <f aca="false">IF(INDEX(BookTitle,1754)="","",INDEX(BookKey,1754))</f>
        <v/>
      </c>
      <c r="B1759" s="0" t="str">
        <f aca="false">IF(INDEX(BookTitle,1754)="","",INDEX(BookGroup,1754))</f>
        <v/>
      </c>
      <c r="C1759" s="0" t="str">
        <f aca="false">IF(INDEX(BookTitle,1754)="","",INDEX(BookCategory,1754))</f>
        <v/>
      </c>
      <c r="D1759" s="56" t="str">
        <f aca="false">IF(INDEX(BookTitle,1754)="","",INDEX(BookTotal,1754)*'5. Scenarios'!$B$6/(1+ProductivityDefault*('5. Scenarios'!$B$11-1)))</f>
        <v/>
      </c>
      <c r="E1759" s="57" t="str">
        <f aca="false">IF($D1759="","",INDEX(BookRate,1754)*(1+'5. Scenarios'!$B$10)*$D1759)</f>
        <v/>
      </c>
      <c r="F1759" s="57" t="str">
        <f aca="false">IF($E1759="","",SUMIFS($E$6:$E$2405,$A$6:$A$2405,"&lt;="&amp;$A1759))</f>
        <v/>
      </c>
      <c r="G1759" s="57" t="str">
        <f aca="false">IF($E1759="","",IF($F1759&lt;=BankCostEnvelope*'5. Scenarios'!$B$7,1,0))</f>
        <v/>
      </c>
      <c r="H1759" s="57" t="str">
        <f aca="false">IF($D1759="","",INDEX(BookRate,1754)*(1+'5. Scenarios'!$B$10)*(INDEX(BookQ1,1754)*(5-MIN(4,1+'5. Scenarios'!$B$8))/4+INDEX(BookQ2,1754)*(5-MIN(4,2+'5. Scenarios'!$B$8))/4+INDEX(BookQ3,1754)*(5-MIN(4,3+'5. Scenarios'!$B$8))/4+INDEX(BookQ4,1754)*(5-MIN(4,4+'5. Scenarios'!$B$8))/4)*'5. Scenarios'!$B$6/(1+ProductivityDefault*('5. Scenarios'!$B$11-1))+INDEX(BookOneOff,1754)*$D1759)</f>
        <v/>
      </c>
      <c r="I1759" s="56" t="str">
        <f aca="false">IF(INDEX(BookTitle,1754)="","",INDEX(BookTotal,1754)*'5. Scenarios'!$C$6/(1+ProductivityDefault*('5. Scenarios'!$C$11-1)))</f>
        <v/>
      </c>
      <c r="J1759" s="57" t="str">
        <f aca="false">IF($I1759="","",INDEX(BookRate,1754)*(1+'5. Scenarios'!$C$10)*$I1759)</f>
        <v/>
      </c>
      <c r="K1759" s="57" t="str">
        <f aca="false">IF($J1759="","",SUMIFS($J$6:$J$2405,$A$6:$A$2405,"&lt;="&amp;$A1759))</f>
        <v/>
      </c>
      <c r="L1759" s="57" t="str">
        <f aca="false">IF($J1759="","",IF($K1759&lt;=BankCostEnvelope*'5. Scenarios'!$C$7,1,0))</f>
        <v/>
      </c>
      <c r="M1759" s="57" t="str">
        <f aca="false">IF($I1759="","",INDEX(BookRate,1754)*(1+'5. Scenarios'!$C$10)*(INDEX(BookQ1,1754)*(5-MIN(4,1+'5. Scenarios'!$C$8))/4+INDEX(BookQ2,1754)*(5-MIN(4,2+'5. Scenarios'!$C$8))/4+INDEX(BookQ3,1754)*(5-MIN(4,3+'5. Scenarios'!$C$8))/4+INDEX(BookQ4,1754)*(5-MIN(4,4+'5. Scenarios'!$C$8))/4)*'5. Scenarios'!$C$6/(1+ProductivityDefault*('5. Scenarios'!$C$11-1))+INDEX(BookOneOff,1754)*$I1759)</f>
        <v/>
      </c>
      <c r="N1759" s="56" t="str">
        <f aca="false">IF(INDEX(BookTitle,1754)="","",INDEX(BookTotal,1754)*'5. Scenarios'!$D$6/(1+ProductivityDefault*('5. Scenarios'!$D$11-1)))</f>
        <v/>
      </c>
      <c r="O1759" s="57" t="str">
        <f aca="false">IF($N1759="","",INDEX(BookRate,1754)*(1+'5. Scenarios'!$D$10)*$N1759)</f>
        <v/>
      </c>
      <c r="P1759" s="57" t="str">
        <f aca="false">IF($O1759="","",SUMIFS($O$6:$O$2405,$A$6:$A$2405,"&lt;="&amp;$A1759))</f>
        <v/>
      </c>
      <c r="Q1759" s="57" t="str">
        <f aca="false">IF($O1759="","",IF($P1759&lt;=BankCostEnvelope*'5. Scenarios'!$D$7,1,0))</f>
        <v/>
      </c>
      <c r="R1759" s="57" t="str">
        <f aca="false">IF($N1759="","",INDEX(BookRate,1754)*(1+'5. Scenarios'!$D$10)*(INDEX(BookQ1,1754)*(5-MIN(4,1+'5. Scenarios'!$D$8))/4+INDEX(BookQ2,1754)*(5-MIN(4,2+'5. Scenarios'!$D$8))/4+INDEX(BookQ3,1754)*(5-MIN(4,3+'5. Scenarios'!$D$8))/4+INDEX(BookQ4,1754)*(5-MIN(4,4+'5. Scenarios'!$D$8))/4)*'5. Scenarios'!$D$6/(1+ProductivityDefault*('5. Scenarios'!$D$11-1))+INDEX(BookOneOff,1754)*$N1759)</f>
        <v/>
      </c>
      <c r="S1759" s="56" t="str">
        <f aca="false">IF(INDEX(BookTitle,1754)="","",INDEX(BookTotal,1754)*'5. Scenarios'!$E$6/(1+ProductivityDefault*('5. Scenarios'!$E$11-1)))</f>
        <v/>
      </c>
      <c r="T1759" s="57" t="str">
        <f aca="false">IF($S1759="","",INDEX(BookRate,1754)*(1+'5. Scenarios'!$E$10)*$S1759)</f>
        <v/>
      </c>
      <c r="U1759" s="57" t="str">
        <f aca="false">IF($T1759="","",SUMIFS($T$6:$T$2405,$A$6:$A$2405,"&lt;="&amp;$A1759))</f>
        <v/>
      </c>
      <c r="V1759" s="57" t="str">
        <f aca="false">IF($T1759="","",IF($U1759&lt;=BankCostEnvelope*'5. Scenarios'!$E$7,1,0))</f>
        <v/>
      </c>
      <c r="W1759" s="57" t="str">
        <f aca="false">IF($S1759="","",INDEX(BookRate,1754)*(1+'5. Scenarios'!$E$10)*(INDEX(BookQ1,1754)*(5-MIN(4,1+'5. Scenarios'!$E$8))/4+INDEX(BookQ2,1754)*(5-MIN(4,2+'5. Scenarios'!$E$8))/4+INDEX(BookQ3,1754)*(5-MIN(4,3+'5. Scenarios'!$E$8))/4+INDEX(BookQ4,1754)*(5-MIN(4,4+'5. Scenarios'!$E$8))/4)*'5. Scenarios'!$E$6/(1+ProductivityDefault*('5. Scenarios'!$E$11-1))+INDEX(BookOneOff,1754)*$S1759)</f>
        <v/>
      </c>
    </row>
    <row r="1760" customFormat="false" ht="15" hidden="false" customHeight="false" outlineLevel="0" collapsed="false">
      <c r="A1760" s="0" t="str">
        <f aca="false">IF(INDEX(BookTitle,1755)="","",INDEX(BookKey,1755))</f>
        <v/>
      </c>
      <c r="B1760" s="0" t="str">
        <f aca="false">IF(INDEX(BookTitle,1755)="","",INDEX(BookGroup,1755))</f>
        <v/>
      </c>
      <c r="C1760" s="0" t="str">
        <f aca="false">IF(INDEX(BookTitle,1755)="","",INDEX(BookCategory,1755))</f>
        <v/>
      </c>
      <c r="D1760" s="56" t="str">
        <f aca="false">IF(INDEX(BookTitle,1755)="","",INDEX(BookTotal,1755)*'5. Scenarios'!$B$6/(1+ProductivityDefault*('5. Scenarios'!$B$11-1)))</f>
        <v/>
      </c>
      <c r="E1760" s="57" t="str">
        <f aca="false">IF($D1760="","",INDEX(BookRate,1755)*(1+'5. Scenarios'!$B$10)*$D1760)</f>
        <v/>
      </c>
      <c r="F1760" s="57" t="str">
        <f aca="false">IF($E1760="","",SUMIFS($E$6:$E$2405,$A$6:$A$2405,"&lt;="&amp;$A1760))</f>
        <v/>
      </c>
      <c r="G1760" s="57" t="str">
        <f aca="false">IF($E1760="","",IF($F1760&lt;=BankCostEnvelope*'5. Scenarios'!$B$7,1,0))</f>
        <v/>
      </c>
      <c r="H1760" s="57" t="str">
        <f aca="false">IF($D1760="","",INDEX(BookRate,1755)*(1+'5. Scenarios'!$B$10)*(INDEX(BookQ1,1755)*(5-MIN(4,1+'5. Scenarios'!$B$8))/4+INDEX(BookQ2,1755)*(5-MIN(4,2+'5. Scenarios'!$B$8))/4+INDEX(BookQ3,1755)*(5-MIN(4,3+'5. Scenarios'!$B$8))/4+INDEX(BookQ4,1755)*(5-MIN(4,4+'5. Scenarios'!$B$8))/4)*'5. Scenarios'!$B$6/(1+ProductivityDefault*('5. Scenarios'!$B$11-1))+INDEX(BookOneOff,1755)*$D1760)</f>
        <v/>
      </c>
      <c r="I1760" s="56" t="str">
        <f aca="false">IF(INDEX(BookTitle,1755)="","",INDEX(BookTotal,1755)*'5. Scenarios'!$C$6/(1+ProductivityDefault*('5. Scenarios'!$C$11-1)))</f>
        <v/>
      </c>
      <c r="J1760" s="57" t="str">
        <f aca="false">IF($I1760="","",INDEX(BookRate,1755)*(1+'5. Scenarios'!$C$10)*$I1760)</f>
        <v/>
      </c>
      <c r="K1760" s="57" t="str">
        <f aca="false">IF($J1760="","",SUMIFS($J$6:$J$2405,$A$6:$A$2405,"&lt;="&amp;$A1760))</f>
        <v/>
      </c>
      <c r="L1760" s="57" t="str">
        <f aca="false">IF($J1760="","",IF($K1760&lt;=BankCostEnvelope*'5. Scenarios'!$C$7,1,0))</f>
        <v/>
      </c>
      <c r="M1760" s="57" t="str">
        <f aca="false">IF($I1760="","",INDEX(BookRate,1755)*(1+'5. Scenarios'!$C$10)*(INDEX(BookQ1,1755)*(5-MIN(4,1+'5. Scenarios'!$C$8))/4+INDEX(BookQ2,1755)*(5-MIN(4,2+'5. Scenarios'!$C$8))/4+INDEX(BookQ3,1755)*(5-MIN(4,3+'5. Scenarios'!$C$8))/4+INDEX(BookQ4,1755)*(5-MIN(4,4+'5. Scenarios'!$C$8))/4)*'5. Scenarios'!$C$6/(1+ProductivityDefault*('5. Scenarios'!$C$11-1))+INDEX(BookOneOff,1755)*$I1760)</f>
        <v/>
      </c>
      <c r="N1760" s="56" t="str">
        <f aca="false">IF(INDEX(BookTitle,1755)="","",INDEX(BookTotal,1755)*'5. Scenarios'!$D$6/(1+ProductivityDefault*('5. Scenarios'!$D$11-1)))</f>
        <v/>
      </c>
      <c r="O1760" s="57" t="str">
        <f aca="false">IF($N1760="","",INDEX(BookRate,1755)*(1+'5. Scenarios'!$D$10)*$N1760)</f>
        <v/>
      </c>
      <c r="P1760" s="57" t="str">
        <f aca="false">IF($O1760="","",SUMIFS($O$6:$O$2405,$A$6:$A$2405,"&lt;="&amp;$A1760))</f>
        <v/>
      </c>
      <c r="Q1760" s="57" t="str">
        <f aca="false">IF($O1760="","",IF($P1760&lt;=BankCostEnvelope*'5. Scenarios'!$D$7,1,0))</f>
        <v/>
      </c>
      <c r="R1760" s="57" t="str">
        <f aca="false">IF($N1760="","",INDEX(BookRate,1755)*(1+'5. Scenarios'!$D$10)*(INDEX(BookQ1,1755)*(5-MIN(4,1+'5. Scenarios'!$D$8))/4+INDEX(BookQ2,1755)*(5-MIN(4,2+'5. Scenarios'!$D$8))/4+INDEX(BookQ3,1755)*(5-MIN(4,3+'5. Scenarios'!$D$8))/4+INDEX(BookQ4,1755)*(5-MIN(4,4+'5. Scenarios'!$D$8))/4)*'5. Scenarios'!$D$6/(1+ProductivityDefault*('5. Scenarios'!$D$11-1))+INDEX(BookOneOff,1755)*$N1760)</f>
        <v/>
      </c>
      <c r="S1760" s="56" t="str">
        <f aca="false">IF(INDEX(BookTitle,1755)="","",INDEX(BookTotal,1755)*'5. Scenarios'!$E$6/(1+ProductivityDefault*('5. Scenarios'!$E$11-1)))</f>
        <v/>
      </c>
      <c r="T1760" s="57" t="str">
        <f aca="false">IF($S1760="","",INDEX(BookRate,1755)*(1+'5. Scenarios'!$E$10)*$S1760)</f>
        <v/>
      </c>
      <c r="U1760" s="57" t="str">
        <f aca="false">IF($T1760="","",SUMIFS($T$6:$T$2405,$A$6:$A$2405,"&lt;="&amp;$A1760))</f>
        <v/>
      </c>
      <c r="V1760" s="57" t="str">
        <f aca="false">IF($T1760="","",IF($U1760&lt;=BankCostEnvelope*'5. Scenarios'!$E$7,1,0))</f>
        <v/>
      </c>
      <c r="W1760" s="57" t="str">
        <f aca="false">IF($S1760="","",INDEX(BookRate,1755)*(1+'5. Scenarios'!$E$10)*(INDEX(BookQ1,1755)*(5-MIN(4,1+'5. Scenarios'!$E$8))/4+INDEX(BookQ2,1755)*(5-MIN(4,2+'5. Scenarios'!$E$8))/4+INDEX(BookQ3,1755)*(5-MIN(4,3+'5. Scenarios'!$E$8))/4+INDEX(BookQ4,1755)*(5-MIN(4,4+'5. Scenarios'!$E$8))/4)*'5. Scenarios'!$E$6/(1+ProductivityDefault*('5. Scenarios'!$E$11-1))+INDEX(BookOneOff,1755)*$S1760)</f>
        <v/>
      </c>
    </row>
    <row r="1761" customFormat="false" ht="15" hidden="false" customHeight="false" outlineLevel="0" collapsed="false">
      <c r="A1761" s="0" t="str">
        <f aca="false">IF(INDEX(BookTitle,1756)="","",INDEX(BookKey,1756))</f>
        <v/>
      </c>
      <c r="B1761" s="0" t="str">
        <f aca="false">IF(INDEX(BookTitle,1756)="","",INDEX(BookGroup,1756))</f>
        <v/>
      </c>
      <c r="C1761" s="0" t="str">
        <f aca="false">IF(INDEX(BookTitle,1756)="","",INDEX(BookCategory,1756))</f>
        <v/>
      </c>
      <c r="D1761" s="56" t="str">
        <f aca="false">IF(INDEX(BookTitle,1756)="","",INDEX(BookTotal,1756)*'5. Scenarios'!$B$6/(1+ProductivityDefault*('5. Scenarios'!$B$11-1)))</f>
        <v/>
      </c>
      <c r="E1761" s="57" t="str">
        <f aca="false">IF($D1761="","",INDEX(BookRate,1756)*(1+'5. Scenarios'!$B$10)*$D1761)</f>
        <v/>
      </c>
      <c r="F1761" s="57" t="str">
        <f aca="false">IF($E1761="","",SUMIFS($E$6:$E$2405,$A$6:$A$2405,"&lt;="&amp;$A1761))</f>
        <v/>
      </c>
      <c r="G1761" s="57" t="str">
        <f aca="false">IF($E1761="","",IF($F1761&lt;=BankCostEnvelope*'5. Scenarios'!$B$7,1,0))</f>
        <v/>
      </c>
      <c r="H1761" s="57" t="str">
        <f aca="false">IF($D1761="","",INDEX(BookRate,1756)*(1+'5. Scenarios'!$B$10)*(INDEX(BookQ1,1756)*(5-MIN(4,1+'5. Scenarios'!$B$8))/4+INDEX(BookQ2,1756)*(5-MIN(4,2+'5. Scenarios'!$B$8))/4+INDEX(BookQ3,1756)*(5-MIN(4,3+'5. Scenarios'!$B$8))/4+INDEX(BookQ4,1756)*(5-MIN(4,4+'5. Scenarios'!$B$8))/4)*'5. Scenarios'!$B$6/(1+ProductivityDefault*('5. Scenarios'!$B$11-1))+INDEX(BookOneOff,1756)*$D1761)</f>
        <v/>
      </c>
      <c r="I1761" s="56" t="str">
        <f aca="false">IF(INDEX(BookTitle,1756)="","",INDEX(BookTotal,1756)*'5. Scenarios'!$C$6/(1+ProductivityDefault*('5. Scenarios'!$C$11-1)))</f>
        <v/>
      </c>
      <c r="J1761" s="57" t="str">
        <f aca="false">IF($I1761="","",INDEX(BookRate,1756)*(1+'5. Scenarios'!$C$10)*$I1761)</f>
        <v/>
      </c>
      <c r="K1761" s="57" t="str">
        <f aca="false">IF($J1761="","",SUMIFS($J$6:$J$2405,$A$6:$A$2405,"&lt;="&amp;$A1761))</f>
        <v/>
      </c>
      <c r="L1761" s="57" t="str">
        <f aca="false">IF($J1761="","",IF($K1761&lt;=BankCostEnvelope*'5. Scenarios'!$C$7,1,0))</f>
        <v/>
      </c>
      <c r="M1761" s="57" t="str">
        <f aca="false">IF($I1761="","",INDEX(BookRate,1756)*(1+'5. Scenarios'!$C$10)*(INDEX(BookQ1,1756)*(5-MIN(4,1+'5. Scenarios'!$C$8))/4+INDEX(BookQ2,1756)*(5-MIN(4,2+'5. Scenarios'!$C$8))/4+INDEX(BookQ3,1756)*(5-MIN(4,3+'5. Scenarios'!$C$8))/4+INDEX(BookQ4,1756)*(5-MIN(4,4+'5. Scenarios'!$C$8))/4)*'5. Scenarios'!$C$6/(1+ProductivityDefault*('5. Scenarios'!$C$11-1))+INDEX(BookOneOff,1756)*$I1761)</f>
        <v/>
      </c>
      <c r="N1761" s="56" t="str">
        <f aca="false">IF(INDEX(BookTitle,1756)="","",INDEX(BookTotal,1756)*'5. Scenarios'!$D$6/(1+ProductivityDefault*('5. Scenarios'!$D$11-1)))</f>
        <v/>
      </c>
      <c r="O1761" s="57" t="str">
        <f aca="false">IF($N1761="","",INDEX(BookRate,1756)*(1+'5. Scenarios'!$D$10)*$N1761)</f>
        <v/>
      </c>
      <c r="P1761" s="57" t="str">
        <f aca="false">IF($O1761="","",SUMIFS($O$6:$O$2405,$A$6:$A$2405,"&lt;="&amp;$A1761))</f>
        <v/>
      </c>
      <c r="Q1761" s="57" t="str">
        <f aca="false">IF($O1761="","",IF($P1761&lt;=BankCostEnvelope*'5. Scenarios'!$D$7,1,0))</f>
        <v/>
      </c>
      <c r="R1761" s="57" t="str">
        <f aca="false">IF($N1761="","",INDEX(BookRate,1756)*(1+'5. Scenarios'!$D$10)*(INDEX(BookQ1,1756)*(5-MIN(4,1+'5. Scenarios'!$D$8))/4+INDEX(BookQ2,1756)*(5-MIN(4,2+'5. Scenarios'!$D$8))/4+INDEX(BookQ3,1756)*(5-MIN(4,3+'5. Scenarios'!$D$8))/4+INDEX(BookQ4,1756)*(5-MIN(4,4+'5. Scenarios'!$D$8))/4)*'5. Scenarios'!$D$6/(1+ProductivityDefault*('5. Scenarios'!$D$11-1))+INDEX(BookOneOff,1756)*$N1761)</f>
        <v/>
      </c>
      <c r="S1761" s="56" t="str">
        <f aca="false">IF(INDEX(BookTitle,1756)="","",INDEX(BookTotal,1756)*'5. Scenarios'!$E$6/(1+ProductivityDefault*('5. Scenarios'!$E$11-1)))</f>
        <v/>
      </c>
      <c r="T1761" s="57" t="str">
        <f aca="false">IF($S1761="","",INDEX(BookRate,1756)*(1+'5. Scenarios'!$E$10)*$S1761)</f>
        <v/>
      </c>
      <c r="U1761" s="57" t="str">
        <f aca="false">IF($T1761="","",SUMIFS($T$6:$T$2405,$A$6:$A$2405,"&lt;="&amp;$A1761))</f>
        <v/>
      </c>
      <c r="V1761" s="57" t="str">
        <f aca="false">IF($T1761="","",IF($U1761&lt;=BankCostEnvelope*'5. Scenarios'!$E$7,1,0))</f>
        <v/>
      </c>
      <c r="W1761" s="57" t="str">
        <f aca="false">IF($S1761="","",INDEX(BookRate,1756)*(1+'5. Scenarios'!$E$10)*(INDEX(BookQ1,1756)*(5-MIN(4,1+'5. Scenarios'!$E$8))/4+INDEX(BookQ2,1756)*(5-MIN(4,2+'5. Scenarios'!$E$8))/4+INDEX(BookQ3,1756)*(5-MIN(4,3+'5. Scenarios'!$E$8))/4+INDEX(BookQ4,1756)*(5-MIN(4,4+'5. Scenarios'!$E$8))/4)*'5. Scenarios'!$E$6/(1+ProductivityDefault*('5. Scenarios'!$E$11-1))+INDEX(BookOneOff,1756)*$S1761)</f>
        <v/>
      </c>
    </row>
    <row r="1762" customFormat="false" ht="15" hidden="false" customHeight="false" outlineLevel="0" collapsed="false">
      <c r="A1762" s="0" t="str">
        <f aca="false">IF(INDEX(BookTitle,1757)="","",INDEX(BookKey,1757))</f>
        <v/>
      </c>
      <c r="B1762" s="0" t="str">
        <f aca="false">IF(INDEX(BookTitle,1757)="","",INDEX(BookGroup,1757))</f>
        <v/>
      </c>
      <c r="C1762" s="0" t="str">
        <f aca="false">IF(INDEX(BookTitle,1757)="","",INDEX(BookCategory,1757))</f>
        <v/>
      </c>
      <c r="D1762" s="56" t="str">
        <f aca="false">IF(INDEX(BookTitle,1757)="","",INDEX(BookTotal,1757)*'5. Scenarios'!$B$6/(1+ProductivityDefault*('5. Scenarios'!$B$11-1)))</f>
        <v/>
      </c>
      <c r="E1762" s="57" t="str">
        <f aca="false">IF($D1762="","",INDEX(BookRate,1757)*(1+'5. Scenarios'!$B$10)*$D1762)</f>
        <v/>
      </c>
      <c r="F1762" s="57" t="str">
        <f aca="false">IF($E1762="","",SUMIFS($E$6:$E$2405,$A$6:$A$2405,"&lt;="&amp;$A1762))</f>
        <v/>
      </c>
      <c r="G1762" s="57" t="str">
        <f aca="false">IF($E1762="","",IF($F1762&lt;=BankCostEnvelope*'5. Scenarios'!$B$7,1,0))</f>
        <v/>
      </c>
      <c r="H1762" s="57" t="str">
        <f aca="false">IF($D1762="","",INDEX(BookRate,1757)*(1+'5. Scenarios'!$B$10)*(INDEX(BookQ1,1757)*(5-MIN(4,1+'5. Scenarios'!$B$8))/4+INDEX(BookQ2,1757)*(5-MIN(4,2+'5. Scenarios'!$B$8))/4+INDEX(BookQ3,1757)*(5-MIN(4,3+'5. Scenarios'!$B$8))/4+INDEX(BookQ4,1757)*(5-MIN(4,4+'5. Scenarios'!$B$8))/4)*'5. Scenarios'!$B$6/(1+ProductivityDefault*('5. Scenarios'!$B$11-1))+INDEX(BookOneOff,1757)*$D1762)</f>
        <v/>
      </c>
      <c r="I1762" s="56" t="str">
        <f aca="false">IF(INDEX(BookTitle,1757)="","",INDEX(BookTotal,1757)*'5. Scenarios'!$C$6/(1+ProductivityDefault*('5. Scenarios'!$C$11-1)))</f>
        <v/>
      </c>
      <c r="J1762" s="57" t="str">
        <f aca="false">IF($I1762="","",INDEX(BookRate,1757)*(1+'5. Scenarios'!$C$10)*$I1762)</f>
        <v/>
      </c>
      <c r="K1762" s="57" t="str">
        <f aca="false">IF($J1762="","",SUMIFS($J$6:$J$2405,$A$6:$A$2405,"&lt;="&amp;$A1762))</f>
        <v/>
      </c>
      <c r="L1762" s="57" t="str">
        <f aca="false">IF($J1762="","",IF($K1762&lt;=BankCostEnvelope*'5. Scenarios'!$C$7,1,0))</f>
        <v/>
      </c>
      <c r="M1762" s="57" t="str">
        <f aca="false">IF($I1762="","",INDEX(BookRate,1757)*(1+'5. Scenarios'!$C$10)*(INDEX(BookQ1,1757)*(5-MIN(4,1+'5. Scenarios'!$C$8))/4+INDEX(BookQ2,1757)*(5-MIN(4,2+'5. Scenarios'!$C$8))/4+INDEX(BookQ3,1757)*(5-MIN(4,3+'5. Scenarios'!$C$8))/4+INDEX(BookQ4,1757)*(5-MIN(4,4+'5. Scenarios'!$C$8))/4)*'5. Scenarios'!$C$6/(1+ProductivityDefault*('5. Scenarios'!$C$11-1))+INDEX(BookOneOff,1757)*$I1762)</f>
        <v/>
      </c>
      <c r="N1762" s="56" t="str">
        <f aca="false">IF(INDEX(BookTitle,1757)="","",INDEX(BookTotal,1757)*'5. Scenarios'!$D$6/(1+ProductivityDefault*('5. Scenarios'!$D$11-1)))</f>
        <v/>
      </c>
      <c r="O1762" s="57" t="str">
        <f aca="false">IF($N1762="","",INDEX(BookRate,1757)*(1+'5. Scenarios'!$D$10)*$N1762)</f>
        <v/>
      </c>
      <c r="P1762" s="57" t="str">
        <f aca="false">IF($O1762="","",SUMIFS($O$6:$O$2405,$A$6:$A$2405,"&lt;="&amp;$A1762))</f>
        <v/>
      </c>
      <c r="Q1762" s="57" t="str">
        <f aca="false">IF($O1762="","",IF($P1762&lt;=BankCostEnvelope*'5. Scenarios'!$D$7,1,0))</f>
        <v/>
      </c>
      <c r="R1762" s="57" t="str">
        <f aca="false">IF($N1762="","",INDEX(BookRate,1757)*(1+'5. Scenarios'!$D$10)*(INDEX(BookQ1,1757)*(5-MIN(4,1+'5. Scenarios'!$D$8))/4+INDEX(BookQ2,1757)*(5-MIN(4,2+'5. Scenarios'!$D$8))/4+INDEX(BookQ3,1757)*(5-MIN(4,3+'5. Scenarios'!$D$8))/4+INDEX(BookQ4,1757)*(5-MIN(4,4+'5. Scenarios'!$D$8))/4)*'5. Scenarios'!$D$6/(1+ProductivityDefault*('5. Scenarios'!$D$11-1))+INDEX(BookOneOff,1757)*$N1762)</f>
        <v/>
      </c>
      <c r="S1762" s="56" t="str">
        <f aca="false">IF(INDEX(BookTitle,1757)="","",INDEX(BookTotal,1757)*'5. Scenarios'!$E$6/(1+ProductivityDefault*('5. Scenarios'!$E$11-1)))</f>
        <v/>
      </c>
      <c r="T1762" s="57" t="str">
        <f aca="false">IF($S1762="","",INDEX(BookRate,1757)*(1+'5. Scenarios'!$E$10)*$S1762)</f>
        <v/>
      </c>
      <c r="U1762" s="57" t="str">
        <f aca="false">IF($T1762="","",SUMIFS($T$6:$T$2405,$A$6:$A$2405,"&lt;="&amp;$A1762))</f>
        <v/>
      </c>
      <c r="V1762" s="57" t="str">
        <f aca="false">IF($T1762="","",IF($U1762&lt;=BankCostEnvelope*'5. Scenarios'!$E$7,1,0))</f>
        <v/>
      </c>
      <c r="W1762" s="57" t="str">
        <f aca="false">IF($S1762="","",INDEX(BookRate,1757)*(1+'5. Scenarios'!$E$10)*(INDEX(BookQ1,1757)*(5-MIN(4,1+'5. Scenarios'!$E$8))/4+INDEX(BookQ2,1757)*(5-MIN(4,2+'5. Scenarios'!$E$8))/4+INDEX(BookQ3,1757)*(5-MIN(4,3+'5. Scenarios'!$E$8))/4+INDEX(BookQ4,1757)*(5-MIN(4,4+'5. Scenarios'!$E$8))/4)*'5. Scenarios'!$E$6/(1+ProductivityDefault*('5. Scenarios'!$E$11-1))+INDEX(BookOneOff,1757)*$S1762)</f>
        <v/>
      </c>
    </row>
    <row r="1763" customFormat="false" ht="15" hidden="false" customHeight="false" outlineLevel="0" collapsed="false">
      <c r="A1763" s="0" t="str">
        <f aca="false">IF(INDEX(BookTitle,1758)="","",INDEX(BookKey,1758))</f>
        <v/>
      </c>
      <c r="B1763" s="0" t="str">
        <f aca="false">IF(INDEX(BookTitle,1758)="","",INDEX(BookGroup,1758))</f>
        <v/>
      </c>
      <c r="C1763" s="0" t="str">
        <f aca="false">IF(INDEX(BookTitle,1758)="","",INDEX(BookCategory,1758))</f>
        <v/>
      </c>
      <c r="D1763" s="56" t="str">
        <f aca="false">IF(INDEX(BookTitle,1758)="","",INDEX(BookTotal,1758)*'5. Scenarios'!$B$6/(1+ProductivityDefault*('5. Scenarios'!$B$11-1)))</f>
        <v/>
      </c>
      <c r="E1763" s="57" t="str">
        <f aca="false">IF($D1763="","",INDEX(BookRate,1758)*(1+'5. Scenarios'!$B$10)*$D1763)</f>
        <v/>
      </c>
      <c r="F1763" s="57" t="str">
        <f aca="false">IF($E1763="","",SUMIFS($E$6:$E$2405,$A$6:$A$2405,"&lt;="&amp;$A1763))</f>
        <v/>
      </c>
      <c r="G1763" s="57" t="str">
        <f aca="false">IF($E1763="","",IF($F1763&lt;=BankCostEnvelope*'5. Scenarios'!$B$7,1,0))</f>
        <v/>
      </c>
      <c r="H1763" s="57" t="str">
        <f aca="false">IF($D1763="","",INDEX(BookRate,1758)*(1+'5. Scenarios'!$B$10)*(INDEX(BookQ1,1758)*(5-MIN(4,1+'5. Scenarios'!$B$8))/4+INDEX(BookQ2,1758)*(5-MIN(4,2+'5. Scenarios'!$B$8))/4+INDEX(BookQ3,1758)*(5-MIN(4,3+'5. Scenarios'!$B$8))/4+INDEX(BookQ4,1758)*(5-MIN(4,4+'5. Scenarios'!$B$8))/4)*'5. Scenarios'!$B$6/(1+ProductivityDefault*('5. Scenarios'!$B$11-1))+INDEX(BookOneOff,1758)*$D1763)</f>
        <v/>
      </c>
      <c r="I1763" s="56" t="str">
        <f aca="false">IF(INDEX(BookTitle,1758)="","",INDEX(BookTotal,1758)*'5. Scenarios'!$C$6/(1+ProductivityDefault*('5. Scenarios'!$C$11-1)))</f>
        <v/>
      </c>
      <c r="J1763" s="57" t="str">
        <f aca="false">IF($I1763="","",INDEX(BookRate,1758)*(1+'5. Scenarios'!$C$10)*$I1763)</f>
        <v/>
      </c>
      <c r="K1763" s="57" t="str">
        <f aca="false">IF($J1763="","",SUMIFS($J$6:$J$2405,$A$6:$A$2405,"&lt;="&amp;$A1763))</f>
        <v/>
      </c>
      <c r="L1763" s="57" t="str">
        <f aca="false">IF($J1763="","",IF($K1763&lt;=BankCostEnvelope*'5. Scenarios'!$C$7,1,0))</f>
        <v/>
      </c>
      <c r="M1763" s="57" t="str">
        <f aca="false">IF($I1763="","",INDEX(BookRate,1758)*(1+'5. Scenarios'!$C$10)*(INDEX(BookQ1,1758)*(5-MIN(4,1+'5. Scenarios'!$C$8))/4+INDEX(BookQ2,1758)*(5-MIN(4,2+'5. Scenarios'!$C$8))/4+INDEX(BookQ3,1758)*(5-MIN(4,3+'5. Scenarios'!$C$8))/4+INDEX(BookQ4,1758)*(5-MIN(4,4+'5. Scenarios'!$C$8))/4)*'5. Scenarios'!$C$6/(1+ProductivityDefault*('5. Scenarios'!$C$11-1))+INDEX(BookOneOff,1758)*$I1763)</f>
        <v/>
      </c>
      <c r="N1763" s="56" t="str">
        <f aca="false">IF(INDEX(BookTitle,1758)="","",INDEX(BookTotal,1758)*'5. Scenarios'!$D$6/(1+ProductivityDefault*('5. Scenarios'!$D$11-1)))</f>
        <v/>
      </c>
      <c r="O1763" s="57" t="str">
        <f aca="false">IF($N1763="","",INDEX(BookRate,1758)*(1+'5. Scenarios'!$D$10)*$N1763)</f>
        <v/>
      </c>
      <c r="P1763" s="57" t="str">
        <f aca="false">IF($O1763="","",SUMIFS($O$6:$O$2405,$A$6:$A$2405,"&lt;="&amp;$A1763))</f>
        <v/>
      </c>
      <c r="Q1763" s="57" t="str">
        <f aca="false">IF($O1763="","",IF($P1763&lt;=BankCostEnvelope*'5. Scenarios'!$D$7,1,0))</f>
        <v/>
      </c>
      <c r="R1763" s="57" t="str">
        <f aca="false">IF($N1763="","",INDEX(BookRate,1758)*(1+'5. Scenarios'!$D$10)*(INDEX(BookQ1,1758)*(5-MIN(4,1+'5. Scenarios'!$D$8))/4+INDEX(BookQ2,1758)*(5-MIN(4,2+'5. Scenarios'!$D$8))/4+INDEX(BookQ3,1758)*(5-MIN(4,3+'5. Scenarios'!$D$8))/4+INDEX(BookQ4,1758)*(5-MIN(4,4+'5. Scenarios'!$D$8))/4)*'5. Scenarios'!$D$6/(1+ProductivityDefault*('5. Scenarios'!$D$11-1))+INDEX(BookOneOff,1758)*$N1763)</f>
        <v/>
      </c>
      <c r="S1763" s="56" t="str">
        <f aca="false">IF(INDEX(BookTitle,1758)="","",INDEX(BookTotal,1758)*'5. Scenarios'!$E$6/(1+ProductivityDefault*('5. Scenarios'!$E$11-1)))</f>
        <v/>
      </c>
      <c r="T1763" s="57" t="str">
        <f aca="false">IF($S1763="","",INDEX(BookRate,1758)*(1+'5. Scenarios'!$E$10)*$S1763)</f>
        <v/>
      </c>
      <c r="U1763" s="57" t="str">
        <f aca="false">IF($T1763="","",SUMIFS($T$6:$T$2405,$A$6:$A$2405,"&lt;="&amp;$A1763))</f>
        <v/>
      </c>
      <c r="V1763" s="57" t="str">
        <f aca="false">IF($T1763="","",IF($U1763&lt;=BankCostEnvelope*'5. Scenarios'!$E$7,1,0))</f>
        <v/>
      </c>
      <c r="W1763" s="57" t="str">
        <f aca="false">IF($S1763="","",INDEX(BookRate,1758)*(1+'5. Scenarios'!$E$10)*(INDEX(BookQ1,1758)*(5-MIN(4,1+'5. Scenarios'!$E$8))/4+INDEX(BookQ2,1758)*(5-MIN(4,2+'5. Scenarios'!$E$8))/4+INDEX(BookQ3,1758)*(5-MIN(4,3+'5. Scenarios'!$E$8))/4+INDEX(BookQ4,1758)*(5-MIN(4,4+'5. Scenarios'!$E$8))/4)*'5. Scenarios'!$E$6/(1+ProductivityDefault*('5. Scenarios'!$E$11-1))+INDEX(BookOneOff,1758)*$S1763)</f>
        <v/>
      </c>
    </row>
    <row r="1764" customFormat="false" ht="15" hidden="false" customHeight="false" outlineLevel="0" collapsed="false">
      <c r="A1764" s="0" t="str">
        <f aca="false">IF(INDEX(BookTitle,1759)="","",INDEX(BookKey,1759))</f>
        <v/>
      </c>
      <c r="B1764" s="0" t="str">
        <f aca="false">IF(INDEX(BookTitle,1759)="","",INDEX(BookGroup,1759))</f>
        <v/>
      </c>
      <c r="C1764" s="0" t="str">
        <f aca="false">IF(INDEX(BookTitle,1759)="","",INDEX(BookCategory,1759))</f>
        <v/>
      </c>
      <c r="D1764" s="56" t="str">
        <f aca="false">IF(INDEX(BookTitle,1759)="","",INDEX(BookTotal,1759)*'5. Scenarios'!$B$6/(1+ProductivityDefault*('5. Scenarios'!$B$11-1)))</f>
        <v/>
      </c>
      <c r="E1764" s="57" t="str">
        <f aca="false">IF($D1764="","",INDEX(BookRate,1759)*(1+'5. Scenarios'!$B$10)*$D1764)</f>
        <v/>
      </c>
      <c r="F1764" s="57" t="str">
        <f aca="false">IF($E1764="","",SUMIFS($E$6:$E$2405,$A$6:$A$2405,"&lt;="&amp;$A1764))</f>
        <v/>
      </c>
      <c r="G1764" s="57" t="str">
        <f aca="false">IF($E1764="","",IF($F1764&lt;=BankCostEnvelope*'5. Scenarios'!$B$7,1,0))</f>
        <v/>
      </c>
      <c r="H1764" s="57" t="str">
        <f aca="false">IF($D1764="","",INDEX(BookRate,1759)*(1+'5. Scenarios'!$B$10)*(INDEX(BookQ1,1759)*(5-MIN(4,1+'5. Scenarios'!$B$8))/4+INDEX(BookQ2,1759)*(5-MIN(4,2+'5. Scenarios'!$B$8))/4+INDEX(BookQ3,1759)*(5-MIN(4,3+'5. Scenarios'!$B$8))/4+INDEX(BookQ4,1759)*(5-MIN(4,4+'5. Scenarios'!$B$8))/4)*'5. Scenarios'!$B$6/(1+ProductivityDefault*('5. Scenarios'!$B$11-1))+INDEX(BookOneOff,1759)*$D1764)</f>
        <v/>
      </c>
      <c r="I1764" s="56" t="str">
        <f aca="false">IF(INDEX(BookTitle,1759)="","",INDEX(BookTotal,1759)*'5. Scenarios'!$C$6/(1+ProductivityDefault*('5. Scenarios'!$C$11-1)))</f>
        <v/>
      </c>
      <c r="J1764" s="57" t="str">
        <f aca="false">IF($I1764="","",INDEX(BookRate,1759)*(1+'5. Scenarios'!$C$10)*$I1764)</f>
        <v/>
      </c>
      <c r="K1764" s="57" t="str">
        <f aca="false">IF($J1764="","",SUMIFS($J$6:$J$2405,$A$6:$A$2405,"&lt;="&amp;$A1764))</f>
        <v/>
      </c>
      <c r="L1764" s="57" t="str">
        <f aca="false">IF($J1764="","",IF($K1764&lt;=BankCostEnvelope*'5. Scenarios'!$C$7,1,0))</f>
        <v/>
      </c>
      <c r="M1764" s="57" t="str">
        <f aca="false">IF($I1764="","",INDEX(BookRate,1759)*(1+'5. Scenarios'!$C$10)*(INDEX(BookQ1,1759)*(5-MIN(4,1+'5. Scenarios'!$C$8))/4+INDEX(BookQ2,1759)*(5-MIN(4,2+'5. Scenarios'!$C$8))/4+INDEX(BookQ3,1759)*(5-MIN(4,3+'5. Scenarios'!$C$8))/4+INDEX(BookQ4,1759)*(5-MIN(4,4+'5. Scenarios'!$C$8))/4)*'5. Scenarios'!$C$6/(1+ProductivityDefault*('5. Scenarios'!$C$11-1))+INDEX(BookOneOff,1759)*$I1764)</f>
        <v/>
      </c>
      <c r="N1764" s="56" t="str">
        <f aca="false">IF(INDEX(BookTitle,1759)="","",INDEX(BookTotal,1759)*'5. Scenarios'!$D$6/(1+ProductivityDefault*('5. Scenarios'!$D$11-1)))</f>
        <v/>
      </c>
      <c r="O1764" s="57" t="str">
        <f aca="false">IF($N1764="","",INDEX(BookRate,1759)*(1+'5. Scenarios'!$D$10)*$N1764)</f>
        <v/>
      </c>
      <c r="P1764" s="57" t="str">
        <f aca="false">IF($O1764="","",SUMIFS($O$6:$O$2405,$A$6:$A$2405,"&lt;="&amp;$A1764))</f>
        <v/>
      </c>
      <c r="Q1764" s="57" t="str">
        <f aca="false">IF($O1764="","",IF($P1764&lt;=BankCostEnvelope*'5. Scenarios'!$D$7,1,0))</f>
        <v/>
      </c>
      <c r="R1764" s="57" t="str">
        <f aca="false">IF($N1764="","",INDEX(BookRate,1759)*(1+'5. Scenarios'!$D$10)*(INDEX(BookQ1,1759)*(5-MIN(4,1+'5. Scenarios'!$D$8))/4+INDEX(BookQ2,1759)*(5-MIN(4,2+'5. Scenarios'!$D$8))/4+INDEX(BookQ3,1759)*(5-MIN(4,3+'5. Scenarios'!$D$8))/4+INDEX(BookQ4,1759)*(5-MIN(4,4+'5. Scenarios'!$D$8))/4)*'5. Scenarios'!$D$6/(1+ProductivityDefault*('5. Scenarios'!$D$11-1))+INDEX(BookOneOff,1759)*$N1764)</f>
        <v/>
      </c>
      <c r="S1764" s="56" t="str">
        <f aca="false">IF(INDEX(BookTitle,1759)="","",INDEX(BookTotal,1759)*'5. Scenarios'!$E$6/(1+ProductivityDefault*('5. Scenarios'!$E$11-1)))</f>
        <v/>
      </c>
      <c r="T1764" s="57" t="str">
        <f aca="false">IF($S1764="","",INDEX(BookRate,1759)*(1+'5. Scenarios'!$E$10)*$S1764)</f>
        <v/>
      </c>
      <c r="U1764" s="57" t="str">
        <f aca="false">IF($T1764="","",SUMIFS($T$6:$T$2405,$A$6:$A$2405,"&lt;="&amp;$A1764))</f>
        <v/>
      </c>
      <c r="V1764" s="57" t="str">
        <f aca="false">IF($T1764="","",IF($U1764&lt;=BankCostEnvelope*'5. Scenarios'!$E$7,1,0))</f>
        <v/>
      </c>
      <c r="W1764" s="57" t="str">
        <f aca="false">IF($S1764="","",INDEX(BookRate,1759)*(1+'5. Scenarios'!$E$10)*(INDEX(BookQ1,1759)*(5-MIN(4,1+'5. Scenarios'!$E$8))/4+INDEX(BookQ2,1759)*(5-MIN(4,2+'5. Scenarios'!$E$8))/4+INDEX(BookQ3,1759)*(5-MIN(4,3+'5. Scenarios'!$E$8))/4+INDEX(BookQ4,1759)*(5-MIN(4,4+'5. Scenarios'!$E$8))/4)*'5. Scenarios'!$E$6/(1+ProductivityDefault*('5. Scenarios'!$E$11-1))+INDEX(BookOneOff,1759)*$S1764)</f>
        <v/>
      </c>
    </row>
    <row r="1765" customFormat="false" ht="15" hidden="false" customHeight="false" outlineLevel="0" collapsed="false">
      <c r="A1765" s="0" t="str">
        <f aca="false">IF(INDEX(BookTitle,1760)="","",INDEX(BookKey,1760))</f>
        <v/>
      </c>
      <c r="B1765" s="0" t="str">
        <f aca="false">IF(INDEX(BookTitle,1760)="","",INDEX(BookGroup,1760))</f>
        <v/>
      </c>
      <c r="C1765" s="0" t="str">
        <f aca="false">IF(INDEX(BookTitle,1760)="","",INDEX(BookCategory,1760))</f>
        <v/>
      </c>
      <c r="D1765" s="56" t="str">
        <f aca="false">IF(INDEX(BookTitle,1760)="","",INDEX(BookTotal,1760)*'5. Scenarios'!$B$6/(1+ProductivityDefault*('5. Scenarios'!$B$11-1)))</f>
        <v/>
      </c>
      <c r="E1765" s="57" t="str">
        <f aca="false">IF($D1765="","",INDEX(BookRate,1760)*(1+'5. Scenarios'!$B$10)*$D1765)</f>
        <v/>
      </c>
      <c r="F1765" s="57" t="str">
        <f aca="false">IF($E1765="","",SUMIFS($E$6:$E$2405,$A$6:$A$2405,"&lt;="&amp;$A1765))</f>
        <v/>
      </c>
      <c r="G1765" s="57" t="str">
        <f aca="false">IF($E1765="","",IF($F1765&lt;=BankCostEnvelope*'5. Scenarios'!$B$7,1,0))</f>
        <v/>
      </c>
      <c r="H1765" s="57" t="str">
        <f aca="false">IF($D1765="","",INDEX(BookRate,1760)*(1+'5. Scenarios'!$B$10)*(INDEX(BookQ1,1760)*(5-MIN(4,1+'5. Scenarios'!$B$8))/4+INDEX(BookQ2,1760)*(5-MIN(4,2+'5. Scenarios'!$B$8))/4+INDEX(BookQ3,1760)*(5-MIN(4,3+'5. Scenarios'!$B$8))/4+INDEX(BookQ4,1760)*(5-MIN(4,4+'5. Scenarios'!$B$8))/4)*'5. Scenarios'!$B$6/(1+ProductivityDefault*('5. Scenarios'!$B$11-1))+INDEX(BookOneOff,1760)*$D1765)</f>
        <v/>
      </c>
      <c r="I1765" s="56" t="str">
        <f aca="false">IF(INDEX(BookTitle,1760)="","",INDEX(BookTotal,1760)*'5. Scenarios'!$C$6/(1+ProductivityDefault*('5. Scenarios'!$C$11-1)))</f>
        <v/>
      </c>
      <c r="J1765" s="57" t="str">
        <f aca="false">IF($I1765="","",INDEX(BookRate,1760)*(1+'5. Scenarios'!$C$10)*$I1765)</f>
        <v/>
      </c>
      <c r="K1765" s="57" t="str">
        <f aca="false">IF($J1765="","",SUMIFS($J$6:$J$2405,$A$6:$A$2405,"&lt;="&amp;$A1765))</f>
        <v/>
      </c>
      <c r="L1765" s="57" t="str">
        <f aca="false">IF($J1765="","",IF($K1765&lt;=BankCostEnvelope*'5. Scenarios'!$C$7,1,0))</f>
        <v/>
      </c>
      <c r="M1765" s="57" t="str">
        <f aca="false">IF($I1765="","",INDEX(BookRate,1760)*(1+'5. Scenarios'!$C$10)*(INDEX(BookQ1,1760)*(5-MIN(4,1+'5. Scenarios'!$C$8))/4+INDEX(BookQ2,1760)*(5-MIN(4,2+'5. Scenarios'!$C$8))/4+INDEX(BookQ3,1760)*(5-MIN(4,3+'5. Scenarios'!$C$8))/4+INDEX(BookQ4,1760)*(5-MIN(4,4+'5. Scenarios'!$C$8))/4)*'5. Scenarios'!$C$6/(1+ProductivityDefault*('5. Scenarios'!$C$11-1))+INDEX(BookOneOff,1760)*$I1765)</f>
        <v/>
      </c>
      <c r="N1765" s="56" t="str">
        <f aca="false">IF(INDEX(BookTitle,1760)="","",INDEX(BookTotal,1760)*'5. Scenarios'!$D$6/(1+ProductivityDefault*('5. Scenarios'!$D$11-1)))</f>
        <v/>
      </c>
      <c r="O1765" s="57" t="str">
        <f aca="false">IF($N1765="","",INDEX(BookRate,1760)*(1+'5. Scenarios'!$D$10)*$N1765)</f>
        <v/>
      </c>
      <c r="P1765" s="57" t="str">
        <f aca="false">IF($O1765="","",SUMIFS($O$6:$O$2405,$A$6:$A$2405,"&lt;="&amp;$A1765))</f>
        <v/>
      </c>
      <c r="Q1765" s="57" t="str">
        <f aca="false">IF($O1765="","",IF($P1765&lt;=BankCostEnvelope*'5. Scenarios'!$D$7,1,0))</f>
        <v/>
      </c>
      <c r="R1765" s="57" t="str">
        <f aca="false">IF($N1765="","",INDEX(BookRate,1760)*(1+'5. Scenarios'!$D$10)*(INDEX(BookQ1,1760)*(5-MIN(4,1+'5. Scenarios'!$D$8))/4+INDEX(BookQ2,1760)*(5-MIN(4,2+'5. Scenarios'!$D$8))/4+INDEX(BookQ3,1760)*(5-MIN(4,3+'5. Scenarios'!$D$8))/4+INDEX(BookQ4,1760)*(5-MIN(4,4+'5. Scenarios'!$D$8))/4)*'5. Scenarios'!$D$6/(1+ProductivityDefault*('5. Scenarios'!$D$11-1))+INDEX(BookOneOff,1760)*$N1765)</f>
        <v/>
      </c>
      <c r="S1765" s="56" t="str">
        <f aca="false">IF(INDEX(BookTitle,1760)="","",INDEX(BookTotal,1760)*'5. Scenarios'!$E$6/(1+ProductivityDefault*('5. Scenarios'!$E$11-1)))</f>
        <v/>
      </c>
      <c r="T1765" s="57" t="str">
        <f aca="false">IF($S1765="","",INDEX(BookRate,1760)*(1+'5. Scenarios'!$E$10)*$S1765)</f>
        <v/>
      </c>
      <c r="U1765" s="57" t="str">
        <f aca="false">IF($T1765="","",SUMIFS($T$6:$T$2405,$A$6:$A$2405,"&lt;="&amp;$A1765))</f>
        <v/>
      </c>
      <c r="V1765" s="57" t="str">
        <f aca="false">IF($T1765="","",IF($U1765&lt;=BankCostEnvelope*'5. Scenarios'!$E$7,1,0))</f>
        <v/>
      </c>
      <c r="W1765" s="57" t="str">
        <f aca="false">IF($S1765="","",INDEX(BookRate,1760)*(1+'5. Scenarios'!$E$10)*(INDEX(BookQ1,1760)*(5-MIN(4,1+'5. Scenarios'!$E$8))/4+INDEX(BookQ2,1760)*(5-MIN(4,2+'5. Scenarios'!$E$8))/4+INDEX(BookQ3,1760)*(5-MIN(4,3+'5. Scenarios'!$E$8))/4+INDEX(BookQ4,1760)*(5-MIN(4,4+'5. Scenarios'!$E$8))/4)*'5. Scenarios'!$E$6/(1+ProductivityDefault*('5. Scenarios'!$E$11-1))+INDEX(BookOneOff,1760)*$S1765)</f>
        <v/>
      </c>
    </row>
    <row r="1766" customFormat="false" ht="15" hidden="false" customHeight="false" outlineLevel="0" collapsed="false">
      <c r="A1766" s="0" t="str">
        <f aca="false">IF(INDEX(BookTitle,1761)="","",INDEX(BookKey,1761))</f>
        <v/>
      </c>
      <c r="B1766" s="0" t="str">
        <f aca="false">IF(INDEX(BookTitle,1761)="","",INDEX(BookGroup,1761))</f>
        <v/>
      </c>
      <c r="C1766" s="0" t="str">
        <f aca="false">IF(INDEX(BookTitle,1761)="","",INDEX(BookCategory,1761))</f>
        <v/>
      </c>
      <c r="D1766" s="56" t="str">
        <f aca="false">IF(INDEX(BookTitle,1761)="","",INDEX(BookTotal,1761)*'5. Scenarios'!$B$6/(1+ProductivityDefault*('5. Scenarios'!$B$11-1)))</f>
        <v/>
      </c>
      <c r="E1766" s="57" t="str">
        <f aca="false">IF($D1766="","",INDEX(BookRate,1761)*(1+'5. Scenarios'!$B$10)*$D1766)</f>
        <v/>
      </c>
      <c r="F1766" s="57" t="str">
        <f aca="false">IF($E1766="","",SUMIFS($E$6:$E$2405,$A$6:$A$2405,"&lt;="&amp;$A1766))</f>
        <v/>
      </c>
      <c r="G1766" s="57" t="str">
        <f aca="false">IF($E1766="","",IF($F1766&lt;=BankCostEnvelope*'5. Scenarios'!$B$7,1,0))</f>
        <v/>
      </c>
      <c r="H1766" s="57" t="str">
        <f aca="false">IF($D1766="","",INDEX(BookRate,1761)*(1+'5. Scenarios'!$B$10)*(INDEX(BookQ1,1761)*(5-MIN(4,1+'5. Scenarios'!$B$8))/4+INDEX(BookQ2,1761)*(5-MIN(4,2+'5. Scenarios'!$B$8))/4+INDEX(BookQ3,1761)*(5-MIN(4,3+'5. Scenarios'!$B$8))/4+INDEX(BookQ4,1761)*(5-MIN(4,4+'5. Scenarios'!$B$8))/4)*'5. Scenarios'!$B$6/(1+ProductivityDefault*('5. Scenarios'!$B$11-1))+INDEX(BookOneOff,1761)*$D1766)</f>
        <v/>
      </c>
      <c r="I1766" s="56" t="str">
        <f aca="false">IF(INDEX(BookTitle,1761)="","",INDEX(BookTotal,1761)*'5. Scenarios'!$C$6/(1+ProductivityDefault*('5. Scenarios'!$C$11-1)))</f>
        <v/>
      </c>
      <c r="J1766" s="57" t="str">
        <f aca="false">IF($I1766="","",INDEX(BookRate,1761)*(1+'5. Scenarios'!$C$10)*$I1766)</f>
        <v/>
      </c>
      <c r="K1766" s="57" t="str">
        <f aca="false">IF($J1766="","",SUMIFS($J$6:$J$2405,$A$6:$A$2405,"&lt;="&amp;$A1766))</f>
        <v/>
      </c>
      <c r="L1766" s="57" t="str">
        <f aca="false">IF($J1766="","",IF($K1766&lt;=BankCostEnvelope*'5. Scenarios'!$C$7,1,0))</f>
        <v/>
      </c>
      <c r="M1766" s="57" t="str">
        <f aca="false">IF($I1766="","",INDEX(BookRate,1761)*(1+'5. Scenarios'!$C$10)*(INDEX(BookQ1,1761)*(5-MIN(4,1+'5. Scenarios'!$C$8))/4+INDEX(BookQ2,1761)*(5-MIN(4,2+'5. Scenarios'!$C$8))/4+INDEX(BookQ3,1761)*(5-MIN(4,3+'5. Scenarios'!$C$8))/4+INDEX(BookQ4,1761)*(5-MIN(4,4+'5. Scenarios'!$C$8))/4)*'5. Scenarios'!$C$6/(1+ProductivityDefault*('5. Scenarios'!$C$11-1))+INDEX(BookOneOff,1761)*$I1766)</f>
        <v/>
      </c>
      <c r="N1766" s="56" t="str">
        <f aca="false">IF(INDEX(BookTitle,1761)="","",INDEX(BookTotal,1761)*'5. Scenarios'!$D$6/(1+ProductivityDefault*('5. Scenarios'!$D$11-1)))</f>
        <v/>
      </c>
      <c r="O1766" s="57" t="str">
        <f aca="false">IF($N1766="","",INDEX(BookRate,1761)*(1+'5. Scenarios'!$D$10)*$N1766)</f>
        <v/>
      </c>
      <c r="P1766" s="57" t="str">
        <f aca="false">IF($O1766="","",SUMIFS($O$6:$O$2405,$A$6:$A$2405,"&lt;="&amp;$A1766))</f>
        <v/>
      </c>
      <c r="Q1766" s="57" t="str">
        <f aca="false">IF($O1766="","",IF($P1766&lt;=BankCostEnvelope*'5. Scenarios'!$D$7,1,0))</f>
        <v/>
      </c>
      <c r="R1766" s="57" t="str">
        <f aca="false">IF($N1766="","",INDEX(BookRate,1761)*(1+'5. Scenarios'!$D$10)*(INDEX(BookQ1,1761)*(5-MIN(4,1+'5. Scenarios'!$D$8))/4+INDEX(BookQ2,1761)*(5-MIN(4,2+'5. Scenarios'!$D$8))/4+INDEX(BookQ3,1761)*(5-MIN(4,3+'5. Scenarios'!$D$8))/4+INDEX(BookQ4,1761)*(5-MIN(4,4+'5. Scenarios'!$D$8))/4)*'5. Scenarios'!$D$6/(1+ProductivityDefault*('5. Scenarios'!$D$11-1))+INDEX(BookOneOff,1761)*$N1766)</f>
        <v/>
      </c>
      <c r="S1766" s="56" t="str">
        <f aca="false">IF(INDEX(BookTitle,1761)="","",INDEX(BookTotal,1761)*'5. Scenarios'!$E$6/(1+ProductivityDefault*('5. Scenarios'!$E$11-1)))</f>
        <v/>
      </c>
      <c r="T1766" s="57" t="str">
        <f aca="false">IF($S1766="","",INDEX(BookRate,1761)*(1+'5. Scenarios'!$E$10)*$S1766)</f>
        <v/>
      </c>
      <c r="U1766" s="57" t="str">
        <f aca="false">IF($T1766="","",SUMIFS($T$6:$T$2405,$A$6:$A$2405,"&lt;="&amp;$A1766))</f>
        <v/>
      </c>
      <c r="V1766" s="57" t="str">
        <f aca="false">IF($T1766="","",IF($U1766&lt;=BankCostEnvelope*'5. Scenarios'!$E$7,1,0))</f>
        <v/>
      </c>
      <c r="W1766" s="57" t="str">
        <f aca="false">IF($S1766="","",INDEX(BookRate,1761)*(1+'5. Scenarios'!$E$10)*(INDEX(BookQ1,1761)*(5-MIN(4,1+'5. Scenarios'!$E$8))/4+INDEX(BookQ2,1761)*(5-MIN(4,2+'5. Scenarios'!$E$8))/4+INDEX(BookQ3,1761)*(5-MIN(4,3+'5. Scenarios'!$E$8))/4+INDEX(BookQ4,1761)*(5-MIN(4,4+'5. Scenarios'!$E$8))/4)*'5. Scenarios'!$E$6/(1+ProductivityDefault*('5. Scenarios'!$E$11-1))+INDEX(BookOneOff,1761)*$S1766)</f>
        <v/>
      </c>
    </row>
    <row r="1767" customFormat="false" ht="15" hidden="false" customHeight="false" outlineLevel="0" collapsed="false">
      <c r="A1767" s="0" t="str">
        <f aca="false">IF(INDEX(BookTitle,1762)="","",INDEX(BookKey,1762))</f>
        <v/>
      </c>
      <c r="B1767" s="0" t="str">
        <f aca="false">IF(INDEX(BookTitle,1762)="","",INDEX(BookGroup,1762))</f>
        <v/>
      </c>
      <c r="C1767" s="0" t="str">
        <f aca="false">IF(INDEX(BookTitle,1762)="","",INDEX(BookCategory,1762))</f>
        <v/>
      </c>
      <c r="D1767" s="56" t="str">
        <f aca="false">IF(INDEX(BookTitle,1762)="","",INDEX(BookTotal,1762)*'5. Scenarios'!$B$6/(1+ProductivityDefault*('5. Scenarios'!$B$11-1)))</f>
        <v/>
      </c>
      <c r="E1767" s="57" t="str">
        <f aca="false">IF($D1767="","",INDEX(BookRate,1762)*(1+'5. Scenarios'!$B$10)*$D1767)</f>
        <v/>
      </c>
      <c r="F1767" s="57" t="str">
        <f aca="false">IF($E1767="","",SUMIFS($E$6:$E$2405,$A$6:$A$2405,"&lt;="&amp;$A1767))</f>
        <v/>
      </c>
      <c r="G1767" s="57" t="str">
        <f aca="false">IF($E1767="","",IF($F1767&lt;=BankCostEnvelope*'5. Scenarios'!$B$7,1,0))</f>
        <v/>
      </c>
      <c r="H1767" s="57" t="str">
        <f aca="false">IF($D1767="","",INDEX(BookRate,1762)*(1+'5. Scenarios'!$B$10)*(INDEX(BookQ1,1762)*(5-MIN(4,1+'5. Scenarios'!$B$8))/4+INDEX(BookQ2,1762)*(5-MIN(4,2+'5. Scenarios'!$B$8))/4+INDEX(BookQ3,1762)*(5-MIN(4,3+'5. Scenarios'!$B$8))/4+INDEX(BookQ4,1762)*(5-MIN(4,4+'5. Scenarios'!$B$8))/4)*'5. Scenarios'!$B$6/(1+ProductivityDefault*('5. Scenarios'!$B$11-1))+INDEX(BookOneOff,1762)*$D1767)</f>
        <v/>
      </c>
      <c r="I1767" s="56" t="str">
        <f aca="false">IF(INDEX(BookTitle,1762)="","",INDEX(BookTotal,1762)*'5. Scenarios'!$C$6/(1+ProductivityDefault*('5. Scenarios'!$C$11-1)))</f>
        <v/>
      </c>
      <c r="J1767" s="57" t="str">
        <f aca="false">IF($I1767="","",INDEX(BookRate,1762)*(1+'5. Scenarios'!$C$10)*$I1767)</f>
        <v/>
      </c>
      <c r="K1767" s="57" t="str">
        <f aca="false">IF($J1767="","",SUMIFS($J$6:$J$2405,$A$6:$A$2405,"&lt;="&amp;$A1767))</f>
        <v/>
      </c>
      <c r="L1767" s="57" t="str">
        <f aca="false">IF($J1767="","",IF($K1767&lt;=BankCostEnvelope*'5. Scenarios'!$C$7,1,0))</f>
        <v/>
      </c>
      <c r="M1767" s="57" t="str">
        <f aca="false">IF($I1767="","",INDEX(BookRate,1762)*(1+'5. Scenarios'!$C$10)*(INDEX(BookQ1,1762)*(5-MIN(4,1+'5. Scenarios'!$C$8))/4+INDEX(BookQ2,1762)*(5-MIN(4,2+'5. Scenarios'!$C$8))/4+INDEX(BookQ3,1762)*(5-MIN(4,3+'5. Scenarios'!$C$8))/4+INDEX(BookQ4,1762)*(5-MIN(4,4+'5. Scenarios'!$C$8))/4)*'5. Scenarios'!$C$6/(1+ProductivityDefault*('5. Scenarios'!$C$11-1))+INDEX(BookOneOff,1762)*$I1767)</f>
        <v/>
      </c>
      <c r="N1767" s="56" t="str">
        <f aca="false">IF(INDEX(BookTitle,1762)="","",INDEX(BookTotal,1762)*'5. Scenarios'!$D$6/(1+ProductivityDefault*('5. Scenarios'!$D$11-1)))</f>
        <v/>
      </c>
      <c r="O1767" s="57" t="str">
        <f aca="false">IF($N1767="","",INDEX(BookRate,1762)*(1+'5. Scenarios'!$D$10)*$N1767)</f>
        <v/>
      </c>
      <c r="P1767" s="57" t="str">
        <f aca="false">IF($O1767="","",SUMIFS($O$6:$O$2405,$A$6:$A$2405,"&lt;="&amp;$A1767))</f>
        <v/>
      </c>
      <c r="Q1767" s="57" t="str">
        <f aca="false">IF($O1767="","",IF($P1767&lt;=BankCostEnvelope*'5. Scenarios'!$D$7,1,0))</f>
        <v/>
      </c>
      <c r="R1767" s="57" t="str">
        <f aca="false">IF($N1767="","",INDEX(BookRate,1762)*(1+'5. Scenarios'!$D$10)*(INDEX(BookQ1,1762)*(5-MIN(4,1+'5. Scenarios'!$D$8))/4+INDEX(BookQ2,1762)*(5-MIN(4,2+'5. Scenarios'!$D$8))/4+INDEX(BookQ3,1762)*(5-MIN(4,3+'5. Scenarios'!$D$8))/4+INDEX(BookQ4,1762)*(5-MIN(4,4+'5. Scenarios'!$D$8))/4)*'5. Scenarios'!$D$6/(1+ProductivityDefault*('5. Scenarios'!$D$11-1))+INDEX(BookOneOff,1762)*$N1767)</f>
        <v/>
      </c>
      <c r="S1767" s="56" t="str">
        <f aca="false">IF(INDEX(BookTitle,1762)="","",INDEX(BookTotal,1762)*'5. Scenarios'!$E$6/(1+ProductivityDefault*('5. Scenarios'!$E$11-1)))</f>
        <v/>
      </c>
      <c r="T1767" s="57" t="str">
        <f aca="false">IF($S1767="","",INDEX(BookRate,1762)*(1+'5. Scenarios'!$E$10)*$S1767)</f>
        <v/>
      </c>
      <c r="U1767" s="57" t="str">
        <f aca="false">IF($T1767="","",SUMIFS($T$6:$T$2405,$A$6:$A$2405,"&lt;="&amp;$A1767))</f>
        <v/>
      </c>
      <c r="V1767" s="57" t="str">
        <f aca="false">IF($T1767="","",IF($U1767&lt;=BankCostEnvelope*'5. Scenarios'!$E$7,1,0))</f>
        <v/>
      </c>
      <c r="W1767" s="57" t="str">
        <f aca="false">IF($S1767="","",INDEX(BookRate,1762)*(1+'5. Scenarios'!$E$10)*(INDEX(BookQ1,1762)*(5-MIN(4,1+'5. Scenarios'!$E$8))/4+INDEX(BookQ2,1762)*(5-MIN(4,2+'5. Scenarios'!$E$8))/4+INDEX(BookQ3,1762)*(5-MIN(4,3+'5. Scenarios'!$E$8))/4+INDEX(BookQ4,1762)*(5-MIN(4,4+'5. Scenarios'!$E$8))/4)*'5. Scenarios'!$E$6/(1+ProductivityDefault*('5. Scenarios'!$E$11-1))+INDEX(BookOneOff,1762)*$S1767)</f>
        <v/>
      </c>
    </row>
    <row r="1768" customFormat="false" ht="15" hidden="false" customHeight="false" outlineLevel="0" collapsed="false">
      <c r="A1768" s="0" t="str">
        <f aca="false">IF(INDEX(BookTitle,1763)="","",INDEX(BookKey,1763))</f>
        <v/>
      </c>
      <c r="B1768" s="0" t="str">
        <f aca="false">IF(INDEX(BookTitle,1763)="","",INDEX(BookGroup,1763))</f>
        <v/>
      </c>
      <c r="C1768" s="0" t="str">
        <f aca="false">IF(INDEX(BookTitle,1763)="","",INDEX(BookCategory,1763))</f>
        <v/>
      </c>
      <c r="D1768" s="56" t="str">
        <f aca="false">IF(INDEX(BookTitle,1763)="","",INDEX(BookTotal,1763)*'5. Scenarios'!$B$6/(1+ProductivityDefault*('5. Scenarios'!$B$11-1)))</f>
        <v/>
      </c>
      <c r="E1768" s="57" t="str">
        <f aca="false">IF($D1768="","",INDEX(BookRate,1763)*(1+'5. Scenarios'!$B$10)*$D1768)</f>
        <v/>
      </c>
      <c r="F1768" s="57" t="str">
        <f aca="false">IF($E1768="","",SUMIFS($E$6:$E$2405,$A$6:$A$2405,"&lt;="&amp;$A1768))</f>
        <v/>
      </c>
      <c r="G1768" s="57" t="str">
        <f aca="false">IF($E1768="","",IF($F1768&lt;=BankCostEnvelope*'5. Scenarios'!$B$7,1,0))</f>
        <v/>
      </c>
      <c r="H1768" s="57" t="str">
        <f aca="false">IF($D1768="","",INDEX(BookRate,1763)*(1+'5. Scenarios'!$B$10)*(INDEX(BookQ1,1763)*(5-MIN(4,1+'5. Scenarios'!$B$8))/4+INDEX(BookQ2,1763)*(5-MIN(4,2+'5. Scenarios'!$B$8))/4+INDEX(BookQ3,1763)*(5-MIN(4,3+'5. Scenarios'!$B$8))/4+INDEX(BookQ4,1763)*(5-MIN(4,4+'5. Scenarios'!$B$8))/4)*'5. Scenarios'!$B$6/(1+ProductivityDefault*('5. Scenarios'!$B$11-1))+INDEX(BookOneOff,1763)*$D1768)</f>
        <v/>
      </c>
      <c r="I1768" s="56" t="str">
        <f aca="false">IF(INDEX(BookTitle,1763)="","",INDEX(BookTotal,1763)*'5. Scenarios'!$C$6/(1+ProductivityDefault*('5. Scenarios'!$C$11-1)))</f>
        <v/>
      </c>
      <c r="J1768" s="57" t="str">
        <f aca="false">IF($I1768="","",INDEX(BookRate,1763)*(1+'5. Scenarios'!$C$10)*$I1768)</f>
        <v/>
      </c>
      <c r="K1768" s="57" t="str">
        <f aca="false">IF($J1768="","",SUMIFS($J$6:$J$2405,$A$6:$A$2405,"&lt;="&amp;$A1768))</f>
        <v/>
      </c>
      <c r="L1768" s="57" t="str">
        <f aca="false">IF($J1768="","",IF($K1768&lt;=BankCostEnvelope*'5. Scenarios'!$C$7,1,0))</f>
        <v/>
      </c>
      <c r="M1768" s="57" t="str">
        <f aca="false">IF($I1768="","",INDEX(BookRate,1763)*(1+'5. Scenarios'!$C$10)*(INDEX(BookQ1,1763)*(5-MIN(4,1+'5. Scenarios'!$C$8))/4+INDEX(BookQ2,1763)*(5-MIN(4,2+'5. Scenarios'!$C$8))/4+INDEX(BookQ3,1763)*(5-MIN(4,3+'5. Scenarios'!$C$8))/4+INDEX(BookQ4,1763)*(5-MIN(4,4+'5. Scenarios'!$C$8))/4)*'5. Scenarios'!$C$6/(1+ProductivityDefault*('5. Scenarios'!$C$11-1))+INDEX(BookOneOff,1763)*$I1768)</f>
        <v/>
      </c>
      <c r="N1768" s="56" t="str">
        <f aca="false">IF(INDEX(BookTitle,1763)="","",INDEX(BookTotal,1763)*'5. Scenarios'!$D$6/(1+ProductivityDefault*('5. Scenarios'!$D$11-1)))</f>
        <v/>
      </c>
      <c r="O1768" s="57" t="str">
        <f aca="false">IF($N1768="","",INDEX(BookRate,1763)*(1+'5. Scenarios'!$D$10)*$N1768)</f>
        <v/>
      </c>
      <c r="P1768" s="57" t="str">
        <f aca="false">IF($O1768="","",SUMIFS($O$6:$O$2405,$A$6:$A$2405,"&lt;="&amp;$A1768))</f>
        <v/>
      </c>
      <c r="Q1768" s="57" t="str">
        <f aca="false">IF($O1768="","",IF($P1768&lt;=BankCostEnvelope*'5. Scenarios'!$D$7,1,0))</f>
        <v/>
      </c>
      <c r="R1768" s="57" t="str">
        <f aca="false">IF($N1768="","",INDEX(BookRate,1763)*(1+'5. Scenarios'!$D$10)*(INDEX(BookQ1,1763)*(5-MIN(4,1+'5. Scenarios'!$D$8))/4+INDEX(BookQ2,1763)*(5-MIN(4,2+'5. Scenarios'!$D$8))/4+INDEX(BookQ3,1763)*(5-MIN(4,3+'5. Scenarios'!$D$8))/4+INDEX(BookQ4,1763)*(5-MIN(4,4+'5. Scenarios'!$D$8))/4)*'5. Scenarios'!$D$6/(1+ProductivityDefault*('5. Scenarios'!$D$11-1))+INDEX(BookOneOff,1763)*$N1768)</f>
        <v/>
      </c>
      <c r="S1768" s="56" t="str">
        <f aca="false">IF(INDEX(BookTitle,1763)="","",INDEX(BookTotal,1763)*'5. Scenarios'!$E$6/(1+ProductivityDefault*('5. Scenarios'!$E$11-1)))</f>
        <v/>
      </c>
      <c r="T1768" s="57" t="str">
        <f aca="false">IF($S1768="","",INDEX(BookRate,1763)*(1+'5. Scenarios'!$E$10)*$S1768)</f>
        <v/>
      </c>
      <c r="U1768" s="57" t="str">
        <f aca="false">IF($T1768="","",SUMIFS($T$6:$T$2405,$A$6:$A$2405,"&lt;="&amp;$A1768))</f>
        <v/>
      </c>
      <c r="V1768" s="57" t="str">
        <f aca="false">IF($T1768="","",IF($U1768&lt;=BankCostEnvelope*'5. Scenarios'!$E$7,1,0))</f>
        <v/>
      </c>
      <c r="W1768" s="57" t="str">
        <f aca="false">IF($S1768="","",INDEX(BookRate,1763)*(1+'5. Scenarios'!$E$10)*(INDEX(BookQ1,1763)*(5-MIN(4,1+'5. Scenarios'!$E$8))/4+INDEX(BookQ2,1763)*(5-MIN(4,2+'5. Scenarios'!$E$8))/4+INDEX(BookQ3,1763)*(5-MIN(4,3+'5. Scenarios'!$E$8))/4+INDEX(BookQ4,1763)*(5-MIN(4,4+'5. Scenarios'!$E$8))/4)*'5. Scenarios'!$E$6/(1+ProductivityDefault*('5. Scenarios'!$E$11-1))+INDEX(BookOneOff,1763)*$S1768)</f>
        <v/>
      </c>
    </row>
    <row r="1769" customFormat="false" ht="15" hidden="false" customHeight="false" outlineLevel="0" collapsed="false">
      <c r="A1769" s="0" t="str">
        <f aca="false">IF(INDEX(BookTitle,1764)="","",INDEX(BookKey,1764))</f>
        <v/>
      </c>
      <c r="B1769" s="0" t="str">
        <f aca="false">IF(INDEX(BookTitle,1764)="","",INDEX(BookGroup,1764))</f>
        <v/>
      </c>
      <c r="C1769" s="0" t="str">
        <f aca="false">IF(INDEX(BookTitle,1764)="","",INDEX(BookCategory,1764))</f>
        <v/>
      </c>
      <c r="D1769" s="56" t="str">
        <f aca="false">IF(INDEX(BookTitle,1764)="","",INDEX(BookTotal,1764)*'5. Scenarios'!$B$6/(1+ProductivityDefault*('5. Scenarios'!$B$11-1)))</f>
        <v/>
      </c>
      <c r="E1769" s="57" t="str">
        <f aca="false">IF($D1769="","",INDEX(BookRate,1764)*(1+'5. Scenarios'!$B$10)*$D1769)</f>
        <v/>
      </c>
      <c r="F1769" s="57" t="str">
        <f aca="false">IF($E1769="","",SUMIFS($E$6:$E$2405,$A$6:$A$2405,"&lt;="&amp;$A1769))</f>
        <v/>
      </c>
      <c r="G1769" s="57" t="str">
        <f aca="false">IF($E1769="","",IF($F1769&lt;=BankCostEnvelope*'5. Scenarios'!$B$7,1,0))</f>
        <v/>
      </c>
      <c r="H1769" s="57" t="str">
        <f aca="false">IF($D1769="","",INDEX(BookRate,1764)*(1+'5. Scenarios'!$B$10)*(INDEX(BookQ1,1764)*(5-MIN(4,1+'5. Scenarios'!$B$8))/4+INDEX(BookQ2,1764)*(5-MIN(4,2+'5. Scenarios'!$B$8))/4+INDEX(BookQ3,1764)*(5-MIN(4,3+'5. Scenarios'!$B$8))/4+INDEX(BookQ4,1764)*(5-MIN(4,4+'5. Scenarios'!$B$8))/4)*'5. Scenarios'!$B$6/(1+ProductivityDefault*('5. Scenarios'!$B$11-1))+INDEX(BookOneOff,1764)*$D1769)</f>
        <v/>
      </c>
      <c r="I1769" s="56" t="str">
        <f aca="false">IF(INDEX(BookTitle,1764)="","",INDEX(BookTotal,1764)*'5. Scenarios'!$C$6/(1+ProductivityDefault*('5. Scenarios'!$C$11-1)))</f>
        <v/>
      </c>
      <c r="J1769" s="57" t="str">
        <f aca="false">IF($I1769="","",INDEX(BookRate,1764)*(1+'5. Scenarios'!$C$10)*$I1769)</f>
        <v/>
      </c>
      <c r="K1769" s="57" t="str">
        <f aca="false">IF($J1769="","",SUMIFS($J$6:$J$2405,$A$6:$A$2405,"&lt;="&amp;$A1769))</f>
        <v/>
      </c>
      <c r="L1769" s="57" t="str">
        <f aca="false">IF($J1769="","",IF($K1769&lt;=BankCostEnvelope*'5. Scenarios'!$C$7,1,0))</f>
        <v/>
      </c>
      <c r="M1769" s="57" t="str">
        <f aca="false">IF($I1769="","",INDEX(BookRate,1764)*(1+'5. Scenarios'!$C$10)*(INDEX(BookQ1,1764)*(5-MIN(4,1+'5. Scenarios'!$C$8))/4+INDEX(BookQ2,1764)*(5-MIN(4,2+'5. Scenarios'!$C$8))/4+INDEX(BookQ3,1764)*(5-MIN(4,3+'5. Scenarios'!$C$8))/4+INDEX(BookQ4,1764)*(5-MIN(4,4+'5. Scenarios'!$C$8))/4)*'5. Scenarios'!$C$6/(1+ProductivityDefault*('5. Scenarios'!$C$11-1))+INDEX(BookOneOff,1764)*$I1769)</f>
        <v/>
      </c>
      <c r="N1769" s="56" t="str">
        <f aca="false">IF(INDEX(BookTitle,1764)="","",INDEX(BookTotal,1764)*'5. Scenarios'!$D$6/(1+ProductivityDefault*('5. Scenarios'!$D$11-1)))</f>
        <v/>
      </c>
      <c r="O1769" s="57" t="str">
        <f aca="false">IF($N1769="","",INDEX(BookRate,1764)*(1+'5. Scenarios'!$D$10)*$N1769)</f>
        <v/>
      </c>
      <c r="P1769" s="57" t="str">
        <f aca="false">IF($O1769="","",SUMIFS($O$6:$O$2405,$A$6:$A$2405,"&lt;="&amp;$A1769))</f>
        <v/>
      </c>
      <c r="Q1769" s="57" t="str">
        <f aca="false">IF($O1769="","",IF($P1769&lt;=BankCostEnvelope*'5. Scenarios'!$D$7,1,0))</f>
        <v/>
      </c>
      <c r="R1769" s="57" t="str">
        <f aca="false">IF($N1769="","",INDEX(BookRate,1764)*(1+'5. Scenarios'!$D$10)*(INDEX(BookQ1,1764)*(5-MIN(4,1+'5. Scenarios'!$D$8))/4+INDEX(BookQ2,1764)*(5-MIN(4,2+'5. Scenarios'!$D$8))/4+INDEX(BookQ3,1764)*(5-MIN(4,3+'5. Scenarios'!$D$8))/4+INDEX(BookQ4,1764)*(5-MIN(4,4+'5. Scenarios'!$D$8))/4)*'5. Scenarios'!$D$6/(1+ProductivityDefault*('5. Scenarios'!$D$11-1))+INDEX(BookOneOff,1764)*$N1769)</f>
        <v/>
      </c>
      <c r="S1769" s="56" t="str">
        <f aca="false">IF(INDEX(BookTitle,1764)="","",INDEX(BookTotal,1764)*'5. Scenarios'!$E$6/(1+ProductivityDefault*('5. Scenarios'!$E$11-1)))</f>
        <v/>
      </c>
      <c r="T1769" s="57" t="str">
        <f aca="false">IF($S1769="","",INDEX(BookRate,1764)*(1+'5. Scenarios'!$E$10)*$S1769)</f>
        <v/>
      </c>
      <c r="U1769" s="57" t="str">
        <f aca="false">IF($T1769="","",SUMIFS($T$6:$T$2405,$A$6:$A$2405,"&lt;="&amp;$A1769))</f>
        <v/>
      </c>
      <c r="V1769" s="57" t="str">
        <f aca="false">IF($T1769="","",IF($U1769&lt;=BankCostEnvelope*'5. Scenarios'!$E$7,1,0))</f>
        <v/>
      </c>
      <c r="W1769" s="57" t="str">
        <f aca="false">IF($S1769="","",INDEX(BookRate,1764)*(1+'5. Scenarios'!$E$10)*(INDEX(BookQ1,1764)*(5-MIN(4,1+'5. Scenarios'!$E$8))/4+INDEX(BookQ2,1764)*(5-MIN(4,2+'5. Scenarios'!$E$8))/4+INDEX(BookQ3,1764)*(5-MIN(4,3+'5. Scenarios'!$E$8))/4+INDEX(BookQ4,1764)*(5-MIN(4,4+'5. Scenarios'!$E$8))/4)*'5. Scenarios'!$E$6/(1+ProductivityDefault*('5. Scenarios'!$E$11-1))+INDEX(BookOneOff,1764)*$S1769)</f>
        <v/>
      </c>
    </row>
    <row r="1770" customFormat="false" ht="15" hidden="false" customHeight="false" outlineLevel="0" collapsed="false">
      <c r="A1770" s="0" t="str">
        <f aca="false">IF(INDEX(BookTitle,1765)="","",INDEX(BookKey,1765))</f>
        <v/>
      </c>
      <c r="B1770" s="0" t="str">
        <f aca="false">IF(INDEX(BookTitle,1765)="","",INDEX(BookGroup,1765))</f>
        <v/>
      </c>
      <c r="C1770" s="0" t="str">
        <f aca="false">IF(INDEX(BookTitle,1765)="","",INDEX(BookCategory,1765))</f>
        <v/>
      </c>
      <c r="D1770" s="56" t="str">
        <f aca="false">IF(INDEX(BookTitle,1765)="","",INDEX(BookTotal,1765)*'5. Scenarios'!$B$6/(1+ProductivityDefault*('5. Scenarios'!$B$11-1)))</f>
        <v/>
      </c>
      <c r="E1770" s="57" t="str">
        <f aca="false">IF($D1770="","",INDEX(BookRate,1765)*(1+'5. Scenarios'!$B$10)*$D1770)</f>
        <v/>
      </c>
      <c r="F1770" s="57" t="str">
        <f aca="false">IF($E1770="","",SUMIFS($E$6:$E$2405,$A$6:$A$2405,"&lt;="&amp;$A1770))</f>
        <v/>
      </c>
      <c r="G1770" s="57" t="str">
        <f aca="false">IF($E1770="","",IF($F1770&lt;=BankCostEnvelope*'5. Scenarios'!$B$7,1,0))</f>
        <v/>
      </c>
      <c r="H1770" s="57" t="str">
        <f aca="false">IF($D1770="","",INDEX(BookRate,1765)*(1+'5. Scenarios'!$B$10)*(INDEX(BookQ1,1765)*(5-MIN(4,1+'5. Scenarios'!$B$8))/4+INDEX(BookQ2,1765)*(5-MIN(4,2+'5. Scenarios'!$B$8))/4+INDEX(BookQ3,1765)*(5-MIN(4,3+'5. Scenarios'!$B$8))/4+INDEX(BookQ4,1765)*(5-MIN(4,4+'5. Scenarios'!$B$8))/4)*'5. Scenarios'!$B$6/(1+ProductivityDefault*('5. Scenarios'!$B$11-1))+INDEX(BookOneOff,1765)*$D1770)</f>
        <v/>
      </c>
      <c r="I1770" s="56" t="str">
        <f aca="false">IF(INDEX(BookTitle,1765)="","",INDEX(BookTotal,1765)*'5. Scenarios'!$C$6/(1+ProductivityDefault*('5. Scenarios'!$C$11-1)))</f>
        <v/>
      </c>
      <c r="J1770" s="57" t="str">
        <f aca="false">IF($I1770="","",INDEX(BookRate,1765)*(1+'5. Scenarios'!$C$10)*$I1770)</f>
        <v/>
      </c>
      <c r="K1770" s="57" t="str">
        <f aca="false">IF($J1770="","",SUMIFS($J$6:$J$2405,$A$6:$A$2405,"&lt;="&amp;$A1770))</f>
        <v/>
      </c>
      <c r="L1770" s="57" t="str">
        <f aca="false">IF($J1770="","",IF($K1770&lt;=BankCostEnvelope*'5. Scenarios'!$C$7,1,0))</f>
        <v/>
      </c>
      <c r="M1770" s="57" t="str">
        <f aca="false">IF($I1770="","",INDEX(BookRate,1765)*(1+'5. Scenarios'!$C$10)*(INDEX(BookQ1,1765)*(5-MIN(4,1+'5. Scenarios'!$C$8))/4+INDEX(BookQ2,1765)*(5-MIN(4,2+'5. Scenarios'!$C$8))/4+INDEX(BookQ3,1765)*(5-MIN(4,3+'5. Scenarios'!$C$8))/4+INDEX(BookQ4,1765)*(5-MIN(4,4+'5. Scenarios'!$C$8))/4)*'5. Scenarios'!$C$6/(1+ProductivityDefault*('5. Scenarios'!$C$11-1))+INDEX(BookOneOff,1765)*$I1770)</f>
        <v/>
      </c>
      <c r="N1770" s="56" t="str">
        <f aca="false">IF(INDEX(BookTitle,1765)="","",INDEX(BookTotal,1765)*'5. Scenarios'!$D$6/(1+ProductivityDefault*('5. Scenarios'!$D$11-1)))</f>
        <v/>
      </c>
      <c r="O1770" s="57" t="str">
        <f aca="false">IF($N1770="","",INDEX(BookRate,1765)*(1+'5. Scenarios'!$D$10)*$N1770)</f>
        <v/>
      </c>
      <c r="P1770" s="57" t="str">
        <f aca="false">IF($O1770="","",SUMIFS($O$6:$O$2405,$A$6:$A$2405,"&lt;="&amp;$A1770))</f>
        <v/>
      </c>
      <c r="Q1770" s="57" t="str">
        <f aca="false">IF($O1770="","",IF($P1770&lt;=BankCostEnvelope*'5. Scenarios'!$D$7,1,0))</f>
        <v/>
      </c>
      <c r="R1770" s="57" t="str">
        <f aca="false">IF($N1770="","",INDEX(BookRate,1765)*(1+'5. Scenarios'!$D$10)*(INDEX(BookQ1,1765)*(5-MIN(4,1+'5. Scenarios'!$D$8))/4+INDEX(BookQ2,1765)*(5-MIN(4,2+'5. Scenarios'!$D$8))/4+INDEX(BookQ3,1765)*(5-MIN(4,3+'5. Scenarios'!$D$8))/4+INDEX(BookQ4,1765)*(5-MIN(4,4+'5. Scenarios'!$D$8))/4)*'5. Scenarios'!$D$6/(1+ProductivityDefault*('5. Scenarios'!$D$11-1))+INDEX(BookOneOff,1765)*$N1770)</f>
        <v/>
      </c>
      <c r="S1770" s="56" t="str">
        <f aca="false">IF(INDEX(BookTitle,1765)="","",INDEX(BookTotal,1765)*'5. Scenarios'!$E$6/(1+ProductivityDefault*('5. Scenarios'!$E$11-1)))</f>
        <v/>
      </c>
      <c r="T1770" s="57" t="str">
        <f aca="false">IF($S1770="","",INDEX(BookRate,1765)*(1+'5. Scenarios'!$E$10)*$S1770)</f>
        <v/>
      </c>
      <c r="U1770" s="57" t="str">
        <f aca="false">IF($T1770="","",SUMIFS($T$6:$T$2405,$A$6:$A$2405,"&lt;="&amp;$A1770))</f>
        <v/>
      </c>
      <c r="V1770" s="57" t="str">
        <f aca="false">IF($T1770="","",IF($U1770&lt;=BankCostEnvelope*'5. Scenarios'!$E$7,1,0))</f>
        <v/>
      </c>
      <c r="W1770" s="57" t="str">
        <f aca="false">IF($S1770="","",INDEX(BookRate,1765)*(1+'5. Scenarios'!$E$10)*(INDEX(BookQ1,1765)*(5-MIN(4,1+'5. Scenarios'!$E$8))/4+INDEX(BookQ2,1765)*(5-MIN(4,2+'5. Scenarios'!$E$8))/4+INDEX(BookQ3,1765)*(5-MIN(4,3+'5. Scenarios'!$E$8))/4+INDEX(BookQ4,1765)*(5-MIN(4,4+'5. Scenarios'!$E$8))/4)*'5. Scenarios'!$E$6/(1+ProductivityDefault*('5. Scenarios'!$E$11-1))+INDEX(BookOneOff,1765)*$S1770)</f>
        <v/>
      </c>
    </row>
    <row r="1771" customFormat="false" ht="15" hidden="false" customHeight="false" outlineLevel="0" collapsed="false">
      <c r="A1771" s="0" t="str">
        <f aca="false">IF(INDEX(BookTitle,1766)="","",INDEX(BookKey,1766))</f>
        <v/>
      </c>
      <c r="B1771" s="0" t="str">
        <f aca="false">IF(INDEX(BookTitle,1766)="","",INDEX(BookGroup,1766))</f>
        <v/>
      </c>
      <c r="C1771" s="0" t="str">
        <f aca="false">IF(INDEX(BookTitle,1766)="","",INDEX(BookCategory,1766))</f>
        <v/>
      </c>
      <c r="D1771" s="56" t="str">
        <f aca="false">IF(INDEX(BookTitle,1766)="","",INDEX(BookTotal,1766)*'5. Scenarios'!$B$6/(1+ProductivityDefault*('5. Scenarios'!$B$11-1)))</f>
        <v/>
      </c>
      <c r="E1771" s="57" t="str">
        <f aca="false">IF($D1771="","",INDEX(BookRate,1766)*(1+'5. Scenarios'!$B$10)*$D1771)</f>
        <v/>
      </c>
      <c r="F1771" s="57" t="str">
        <f aca="false">IF($E1771="","",SUMIFS($E$6:$E$2405,$A$6:$A$2405,"&lt;="&amp;$A1771))</f>
        <v/>
      </c>
      <c r="G1771" s="57" t="str">
        <f aca="false">IF($E1771="","",IF($F1771&lt;=BankCostEnvelope*'5. Scenarios'!$B$7,1,0))</f>
        <v/>
      </c>
      <c r="H1771" s="57" t="str">
        <f aca="false">IF($D1771="","",INDEX(BookRate,1766)*(1+'5. Scenarios'!$B$10)*(INDEX(BookQ1,1766)*(5-MIN(4,1+'5. Scenarios'!$B$8))/4+INDEX(BookQ2,1766)*(5-MIN(4,2+'5. Scenarios'!$B$8))/4+INDEX(BookQ3,1766)*(5-MIN(4,3+'5. Scenarios'!$B$8))/4+INDEX(BookQ4,1766)*(5-MIN(4,4+'5. Scenarios'!$B$8))/4)*'5. Scenarios'!$B$6/(1+ProductivityDefault*('5. Scenarios'!$B$11-1))+INDEX(BookOneOff,1766)*$D1771)</f>
        <v/>
      </c>
      <c r="I1771" s="56" t="str">
        <f aca="false">IF(INDEX(BookTitle,1766)="","",INDEX(BookTotal,1766)*'5. Scenarios'!$C$6/(1+ProductivityDefault*('5. Scenarios'!$C$11-1)))</f>
        <v/>
      </c>
      <c r="J1771" s="57" t="str">
        <f aca="false">IF($I1771="","",INDEX(BookRate,1766)*(1+'5. Scenarios'!$C$10)*$I1771)</f>
        <v/>
      </c>
      <c r="K1771" s="57" t="str">
        <f aca="false">IF($J1771="","",SUMIFS($J$6:$J$2405,$A$6:$A$2405,"&lt;="&amp;$A1771))</f>
        <v/>
      </c>
      <c r="L1771" s="57" t="str">
        <f aca="false">IF($J1771="","",IF($K1771&lt;=BankCostEnvelope*'5. Scenarios'!$C$7,1,0))</f>
        <v/>
      </c>
      <c r="M1771" s="57" t="str">
        <f aca="false">IF($I1771="","",INDEX(BookRate,1766)*(1+'5. Scenarios'!$C$10)*(INDEX(BookQ1,1766)*(5-MIN(4,1+'5. Scenarios'!$C$8))/4+INDEX(BookQ2,1766)*(5-MIN(4,2+'5. Scenarios'!$C$8))/4+INDEX(BookQ3,1766)*(5-MIN(4,3+'5. Scenarios'!$C$8))/4+INDEX(BookQ4,1766)*(5-MIN(4,4+'5. Scenarios'!$C$8))/4)*'5. Scenarios'!$C$6/(1+ProductivityDefault*('5. Scenarios'!$C$11-1))+INDEX(BookOneOff,1766)*$I1771)</f>
        <v/>
      </c>
      <c r="N1771" s="56" t="str">
        <f aca="false">IF(INDEX(BookTitle,1766)="","",INDEX(BookTotal,1766)*'5. Scenarios'!$D$6/(1+ProductivityDefault*('5. Scenarios'!$D$11-1)))</f>
        <v/>
      </c>
      <c r="O1771" s="57" t="str">
        <f aca="false">IF($N1771="","",INDEX(BookRate,1766)*(1+'5. Scenarios'!$D$10)*$N1771)</f>
        <v/>
      </c>
      <c r="P1771" s="57" t="str">
        <f aca="false">IF($O1771="","",SUMIFS($O$6:$O$2405,$A$6:$A$2405,"&lt;="&amp;$A1771))</f>
        <v/>
      </c>
      <c r="Q1771" s="57" t="str">
        <f aca="false">IF($O1771="","",IF($P1771&lt;=BankCostEnvelope*'5. Scenarios'!$D$7,1,0))</f>
        <v/>
      </c>
      <c r="R1771" s="57" t="str">
        <f aca="false">IF($N1771="","",INDEX(BookRate,1766)*(1+'5. Scenarios'!$D$10)*(INDEX(BookQ1,1766)*(5-MIN(4,1+'5. Scenarios'!$D$8))/4+INDEX(BookQ2,1766)*(5-MIN(4,2+'5. Scenarios'!$D$8))/4+INDEX(BookQ3,1766)*(5-MIN(4,3+'5. Scenarios'!$D$8))/4+INDEX(BookQ4,1766)*(5-MIN(4,4+'5. Scenarios'!$D$8))/4)*'5. Scenarios'!$D$6/(1+ProductivityDefault*('5. Scenarios'!$D$11-1))+INDEX(BookOneOff,1766)*$N1771)</f>
        <v/>
      </c>
      <c r="S1771" s="56" t="str">
        <f aca="false">IF(INDEX(BookTitle,1766)="","",INDEX(BookTotal,1766)*'5. Scenarios'!$E$6/(1+ProductivityDefault*('5. Scenarios'!$E$11-1)))</f>
        <v/>
      </c>
      <c r="T1771" s="57" t="str">
        <f aca="false">IF($S1771="","",INDEX(BookRate,1766)*(1+'5. Scenarios'!$E$10)*$S1771)</f>
        <v/>
      </c>
      <c r="U1771" s="57" t="str">
        <f aca="false">IF($T1771="","",SUMIFS($T$6:$T$2405,$A$6:$A$2405,"&lt;="&amp;$A1771))</f>
        <v/>
      </c>
      <c r="V1771" s="57" t="str">
        <f aca="false">IF($T1771="","",IF($U1771&lt;=BankCostEnvelope*'5. Scenarios'!$E$7,1,0))</f>
        <v/>
      </c>
      <c r="W1771" s="57" t="str">
        <f aca="false">IF($S1771="","",INDEX(BookRate,1766)*(1+'5. Scenarios'!$E$10)*(INDEX(BookQ1,1766)*(5-MIN(4,1+'5. Scenarios'!$E$8))/4+INDEX(BookQ2,1766)*(5-MIN(4,2+'5. Scenarios'!$E$8))/4+INDEX(BookQ3,1766)*(5-MIN(4,3+'5. Scenarios'!$E$8))/4+INDEX(BookQ4,1766)*(5-MIN(4,4+'5. Scenarios'!$E$8))/4)*'5. Scenarios'!$E$6/(1+ProductivityDefault*('5. Scenarios'!$E$11-1))+INDEX(BookOneOff,1766)*$S1771)</f>
        <v/>
      </c>
    </row>
    <row r="1772" customFormat="false" ht="15" hidden="false" customHeight="false" outlineLevel="0" collapsed="false">
      <c r="A1772" s="0" t="str">
        <f aca="false">IF(INDEX(BookTitle,1767)="","",INDEX(BookKey,1767))</f>
        <v/>
      </c>
      <c r="B1772" s="0" t="str">
        <f aca="false">IF(INDEX(BookTitle,1767)="","",INDEX(BookGroup,1767))</f>
        <v/>
      </c>
      <c r="C1772" s="0" t="str">
        <f aca="false">IF(INDEX(BookTitle,1767)="","",INDEX(BookCategory,1767))</f>
        <v/>
      </c>
      <c r="D1772" s="56" t="str">
        <f aca="false">IF(INDEX(BookTitle,1767)="","",INDEX(BookTotal,1767)*'5. Scenarios'!$B$6/(1+ProductivityDefault*('5. Scenarios'!$B$11-1)))</f>
        <v/>
      </c>
      <c r="E1772" s="57" t="str">
        <f aca="false">IF($D1772="","",INDEX(BookRate,1767)*(1+'5. Scenarios'!$B$10)*$D1772)</f>
        <v/>
      </c>
      <c r="F1772" s="57" t="str">
        <f aca="false">IF($E1772="","",SUMIFS($E$6:$E$2405,$A$6:$A$2405,"&lt;="&amp;$A1772))</f>
        <v/>
      </c>
      <c r="G1772" s="57" t="str">
        <f aca="false">IF($E1772="","",IF($F1772&lt;=BankCostEnvelope*'5. Scenarios'!$B$7,1,0))</f>
        <v/>
      </c>
      <c r="H1772" s="57" t="str">
        <f aca="false">IF($D1772="","",INDEX(BookRate,1767)*(1+'5. Scenarios'!$B$10)*(INDEX(BookQ1,1767)*(5-MIN(4,1+'5. Scenarios'!$B$8))/4+INDEX(BookQ2,1767)*(5-MIN(4,2+'5. Scenarios'!$B$8))/4+INDEX(BookQ3,1767)*(5-MIN(4,3+'5. Scenarios'!$B$8))/4+INDEX(BookQ4,1767)*(5-MIN(4,4+'5. Scenarios'!$B$8))/4)*'5. Scenarios'!$B$6/(1+ProductivityDefault*('5. Scenarios'!$B$11-1))+INDEX(BookOneOff,1767)*$D1772)</f>
        <v/>
      </c>
      <c r="I1772" s="56" t="str">
        <f aca="false">IF(INDEX(BookTitle,1767)="","",INDEX(BookTotal,1767)*'5. Scenarios'!$C$6/(1+ProductivityDefault*('5. Scenarios'!$C$11-1)))</f>
        <v/>
      </c>
      <c r="J1772" s="57" t="str">
        <f aca="false">IF($I1772="","",INDEX(BookRate,1767)*(1+'5. Scenarios'!$C$10)*$I1772)</f>
        <v/>
      </c>
      <c r="K1772" s="57" t="str">
        <f aca="false">IF($J1772="","",SUMIFS($J$6:$J$2405,$A$6:$A$2405,"&lt;="&amp;$A1772))</f>
        <v/>
      </c>
      <c r="L1772" s="57" t="str">
        <f aca="false">IF($J1772="","",IF($K1772&lt;=BankCostEnvelope*'5. Scenarios'!$C$7,1,0))</f>
        <v/>
      </c>
      <c r="M1772" s="57" t="str">
        <f aca="false">IF($I1772="","",INDEX(BookRate,1767)*(1+'5. Scenarios'!$C$10)*(INDEX(BookQ1,1767)*(5-MIN(4,1+'5. Scenarios'!$C$8))/4+INDEX(BookQ2,1767)*(5-MIN(4,2+'5. Scenarios'!$C$8))/4+INDEX(BookQ3,1767)*(5-MIN(4,3+'5. Scenarios'!$C$8))/4+INDEX(BookQ4,1767)*(5-MIN(4,4+'5. Scenarios'!$C$8))/4)*'5. Scenarios'!$C$6/(1+ProductivityDefault*('5. Scenarios'!$C$11-1))+INDEX(BookOneOff,1767)*$I1772)</f>
        <v/>
      </c>
      <c r="N1772" s="56" t="str">
        <f aca="false">IF(INDEX(BookTitle,1767)="","",INDEX(BookTotal,1767)*'5. Scenarios'!$D$6/(1+ProductivityDefault*('5. Scenarios'!$D$11-1)))</f>
        <v/>
      </c>
      <c r="O1772" s="57" t="str">
        <f aca="false">IF($N1772="","",INDEX(BookRate,1767)*(1+'5. Scenarios'!$D$10)*$N1772)</f>
        <v/>
      </c>
      <c r="P1772" s="57" t="str">
        <f aca="false">IF($O1772="","",SUMIFS($O$6:$O$2405,$A$6:$A$2405,"&lt;="&amp;$A1772))</f>
        <v/>
      </c>
      <c r="Q1772" s="57" t="str">
        <f aca="false">IF($O1772="","",IF($P1772&lt;=BankCostEnvelope*'5. Scenarios'!$D$7,1,0))</f>
        <v/>
      </c>
      <c r="R1772" s="57" t="str">
        <f aca="false">IF($N1772="","",INDEX(BookRate,1767)*(1+'5. Scenarios'!$D$10)*(INDEX(BookQ1,1767)*(5-MIN(4,1+'5. Scenarios'!$D$8))/4+INDEX(BookQ2,1767)*(5-MIN(4,2+'5. Scenarios'!$D$8))/4+INDEX(BookQ3,1767)*(5-MIN(4,3+'5. Scenarios'!$D$8))/4+INDEX(BookQ4,1767)*(5-MIN(4,4+'5. Scenarios'!$D$8))/4)*'5. Scenarios'!$D$6/(1+ProductivityDefault*('5. Scenarios'!$D$11-1))+INDEX(BookOneOff,1767)*$N1772)</f>
        <v/>
      </c>
      <c r="S1772" s="56" t="str">
        <f aca="false">IF(INDEX(BookTitle,1767)="","",INDEX(BookTotal,1767)*'5. Scenarios'!$E$6/(1+ProductivityDefault*('5. Scenarios'!$E$11-1)))</f>
        <v/>
      </c>
      <c r="T1772" s="57" t="str">
        <f aca="false">IF($S1772="","",INDEX(BookRate,1767)*(1+'5. Scenarios'!$E$10)*$S1772)</f>
        <v/>
      </c>
      <c r="U1772" s="57" t="str">
        <f aca="false">IF($T1772="","",SUMIFS($T$6:$T$2405,$A$6:$A$2405,"&lt;="&amp;$A1772))</f>
        <v/>
      </c>
      <c r="V1772" s="57" t="str">
        <f aca="false">IF($T1772="","",IF($U1772&lt;=BankCostEnvelope*'5. Scenarios'!$E$7,1,0))</f>
        <v/>
      </c>
      <c r="W1772" s="57" t="str">
        <f aca="false">IF($S1772="","",INDEX(BookRate,1767)*(1+'5. Scenarios'!$E$10)*(INDEX(BookQ1,1767)*(5-MIN(4,1+'5. Scenarios'!$E$8))/4+INDEX(BookQ2,1767)*(5-MIN(4,2+'5. Scenarios'!$E$8))/4+INDEX(BookQ3,1767)*(5-MIN(4,3+'5. Scenarios'!$E$8))/4+INDEX(BookQ4,1767)*(5-MIN(4,4+'5. Scenarios'!$E$8))/4)*'5. Scenarios'!$E$6/(1+ProductivityDefault*('5. Scenarios'!$E$11-1))+INDEX(BookOneOff,1767)*$S1772)</f>
        <v/>
      </c>
    </row>
    <row r="1773" customFormat="false" ht="15" hidden="false" customHeight="false" outlineLevel="0" collapsed="false">
      <c r="A1773" s="0" t="str">
        <f aca="false">IF(INDEX(BookTitle,1768)="","",INDEX(BookKey,1768))</f>
        <v/>
      </c>
      <c r="B1773" s="0" t="str">
        <f aca="false">IF(INDEX(BookTitle,1768)="","",INDEX(BookGroup,1768))</f>
        <v/>
      </c>
      <c r="C1773" s="0" t="str">
        <f aca="false">IF(INDEX(BookTitle,1768)="","",INDEX(BookCategory,1768))</f>
        <v/>
      </c>
      <c r="D1773" s="56" t="str">
        <f aca="false">IF(INDEX(BookTitle,1768)="","",INDEX(BookTotal,1768)*'5. Scenarios'!$B$6/(1+ProductivityDefault*('5. Scenarios'!$B$11-1)))</f>
        <v/>
      </c>
      <c r="E1773" s="57" t="str">
        <f aca="false">IF($D1773="","",INDEX(BookRate,1768)*(1+'5. Scenarios'!$B$10)*$D1773)</f>
        <v/>
      </c>
      <c r="F1773" s="57" t="str">
        <f aca="false">IF($E1773="","",SUMIFS($E$6:$E$2405,$A$6:$A$2405,"&lt;="&amp;$A1773))</f>
        <v/>
      </c>
      <c r="G1773" s="57" t="str">
        <f aca="false">IF($E1773="","",IF($F1773&lt;=BankCostEnvelope*'5. Scenarios'!$B$7,1,0))</f>
        <v/>
      </c>
      <c r="H1773" s="57" t="str">
        <f aca="false">IF($D1773="","",INDEX(BookRate,1768)*(1+'5. Scenarios'!$B$10)*(INDEX(BookQ1,1768)*(5-MIN(4,1+'5. Scenarios'!$B$8))/4+INDEX(BookQ2,1768)*(5-MIN(4,2+'5. Scenarios'!$B$8))/4+INDEX(BookQ3,1768)*(5-MIN(4,3+'5. Scenarios'!$B$8))/4+INDEX(BookQ4,1768)*(5-MIN(4,4+'5. Scenarios'!$B$8))/4)*'5. Scenarios'!$B$6/(1+ProductivityDefault*('5. Scenarios'!$B$11-1))+INDEX(BookOneOff,1768)*$D1773)</f>
        <v/>
      </c>
      <c r="I1773" s="56" t="str">
        <f aca="false">IF(INDEX(BookTitle,1768)="","",INDEX(BookTotal,1768)*'5. Scenarios'!$C$6/(1+ProductivityDefault*('5. Scenarios'!$C$11-1)))</f>
        <v/>
      </c>
      <c r="J1773" s="57" t="str">
        <f aca="false">IF($I1773="","",INDEX(BookRate,1768)*(1+'5. Scenarios'!$C$10)*$I1773)</f>
        <v/>
      </c>
      <c r="K1773" s="57" t="str">
        <f aca="false">IF($J1773="","",SUMIFS($J$6:$J$2405,$A$6:$A$2405,"&lt;="&amp;$A1773))</f>
        <v/>
      </c>
      <c r="L1773" s="57" t="str">
        <f aca="false">IF($J1773="","",IF($K1773&lt;=BankCostEnvelope*'5. Scenarios'!$C$7,1,0))</f>
        <v/>
      </c>
      <c r="M1773" s="57" t="str">
        <f aca="false">IF($I1773="","",INDEX(BookRate,1768)*(1+'5. Scenarios'!$C$10)*(INDEX(BookQ1,1768)*(5-MIN(4,1+'5. Scenarios'!$C$8))/4+INDEX(BookQ2,1768)*(5-MIN(4,2+'5. Scenarios'!$C$8))/4+INDEX(BookQ3,1768)*(5-MIN(4,3+'5. Scenarios'!$C$8))/4+INDEX(BookQ4,1768)*(5-MIN(4,4+'5. Scenarios'!$C$8))/4)*'5. Scenarios'!$C$6/(1+ProductivityDefault*('5. Scenarios'!$C$11-1))+INDEX(BookOneOff,1768)*$I1773)</f>
        <v/>
      </c>
      <c r="N1773" s="56" t="str">
        <f aca="false">IF(INDEX(BookTitle,1768)="","",INDEX(BookTotal,1768)*'5. Scenarios'!$D$6/(1+ProductivityDefault*('5. Scenarios'!$D$11-1)))</f>
        <v/>
      </c>
      <c r="O1773" s="57" t="str">
        <f aca="false">IF($N1773="","",INDEX(BookRate,1768)*(1+'5. Scenarios'!$D$10)*$N1773)</f>
        <v/>
      </c>
      <c r="P1773" s="57" t="str">
        <f aca="false">IF($O1773="","",SUMIFS($O$6:$O$2405,$A$6:$A$2405,"&lt;="&amp;$A1773))</f>
        <v/>
      </c>
      <c r="Q1773" s="57" t="str">
        <f aca="false">IF($O1773="","",IF($P1773&lt;=BankCostEnvelope*'5. Scenarios'!$D$7,1,0))</f>
        <v/>
      </c>
      <c r="R1773" s="57" t="str">
        <f aca="false">IF($N1773="","",INDEX(BookRate,1768)*(1+'5. Scenarios'!$D$10)*(INDEX(BookQ1,1768)*(5-MIN(4,1+'5. Scenarios'!$D$8))/4+INDEX(BookQ2,1768)*(5-MIN(4,2+'5. Scenarios'!$D$8))/4+INDEX(BookQ3,1768)*(5-MIN(4,3+'5. Scenarios'!$D$8))/4+INDEX(BookQ4,1768)*(5-MIN(4,4+'5. Scenarios'!$D$8))/4)*'5. Scenarios'!$D$6/(1+ProductivityDefault*('5. Scenarios'!$D$11-1))+INDEX(BookOneOff,1768)*$N1773)</f>
        <v/>
      </c>
      <c r="S1773" s="56" t="str">
        <f aca="false">IF(INDEX(BookTitle,1768)="","",INDEX(BookTotal,1768)*'5. Scenarios'!$E$6/(1+ProductivityDefault*('5. Scenarios'!$E$11-1)))</f>
        <v/>
      </c>
      <c r="T1773" s="57" t="str">
        <f aca="false">IF($S1773="","",INDEX(BookRate,1768)*(1+'5. Scenarios'!$E$10)*$S1773)</f>
        <v/>
      </c>
      <c r="U1773" s="57" t="str">
        <f aca="false">IF($T1773="","",SUMIFS($T$6:$T$2405,$A$6:$A$2405,"&lt;="&amp;$A1773))</f>
        <v/>
      </c>
      <c r="V1773" s="57" t="str">
        <f aca="false">IF($T1773="","",IF($U1773&lt;=BankCostEnvelope*'5. Scenarios'!$E$7,1,0))</f>
        <v/>
      </c>
      <c r="W1773" s="57" t="str">
        <f aca="false">IF($S1773="","",INDEX(BookRate,1768)*(1+'5. Scenarios'!$E$10)*(INDEX(BookQ1,1768)*(5-MIN(4,1+'5. Scenarios'!$E$8))/4+INDEX(BookQ2,1768)*(5-MIN(4,2+'5. Scenarios'!$E$8))/4+INDEX(BookQ3,1768)*(5-MIN(4,3+'5. Scenarios'!$E$8))/4+INDEX(BookQ4,1768)*(5-MIN(4,4+'5. Scenarios'!$E$8))/4)*'5. Scenarios'!$E$6/(1+ProductivityDefault*('5. Scenarios'!$E$11-1))+INDEX(BookOneOff,1768)*$S1773)</f>
        <v/>
      </c>
    </row>
    <row r="1774" customFormat="false" ht="15" hidden="false" customHeight="false" outlineLevel="0" collapsed="false">
      <c r="A1774" s="0" t="str">
        <f aca="false">IF(INDEX(BookTitle,1769)="","",INDEX(BookKey,1769))</f>
        <v/>
      </c>
      <c r="B1774" s="0" t="str">
        <f aca="false">IF(INDEX(BookTitle,1769)="","",INDEX(BookGroup,1769))</f>
        <v/>
      </c>
      <c r="C1774" s="0" t="str">
        <f aca="false">IF(INDEX(BookTitle,1769)="","",INDEX(BookCategory,1769))</f>
        <v/>
      </c>
      <c r="D1774" s="56" t="str">
        <f aca="false">IF(INDEX(BookTitle,1769)="","",INDEX(BookTotal,1769)*'5. Scenarios'!$B$6/(1+ProductivityDefault*('5. Scenarios'!$B$11-1)))</f>
        <v/>
      </c>
      <c r="E1774" s="57" t="str">
        <f aca="false">IF($D1774="","",INDEX(BookRate,1769)*(1+'5. Scenarios'!$B$10)*$D1774)</f>
        <v/>
      </c>
      <c r="F1774" s="57" t="str">
        <f aca="false">IF($E1774="","",SUMIFS($E$6:$E$2405,$A$6:$A$2405,"&lt;="&amp;$A1774))</f>
        <v/>
      </c>
      <c r="G1774" s="57" t="str">
        <f aca="false">IF($E1774="","",IF($F1774&lt;=BankCostEnvelope*'5. Scenarios'!$B$7,1,0))</f>
        <v/>
      </c>
      <c r="H1774" s="57" t="str">
        <f aca="false">IF($D1774="","",INDEX(BookRate,1769)*(1+'5. Scenarios'!$B$10)*(INDEX(BookQ1,1769)*(5-MIN(4,1+'5. Scenarios'!$B$8))/4+INDEX(BookQ2,1769)*(5-MIN(4,2+'5. Scenarios'!$B$8))/4+INDEX(BookQ3,1769)*(5-MIN(4,3+'5. Scenarios'!$B$8))/4+INDEX(BookQ4,1769)*(5-MIN(4,4+'5. Scenarios'!$B$8))/4)*'5. Scenarios'!$B$6/(1+ProductivityDefault*('5. Scenarios'!$B$11-1))+INDEX(BookOneOff,1769)*$D1774)</f>
        <v/>
      </c>
      <c r="I1774" s="56" t="str">
        <f aca="false">IF(INDEX(BookTitle,1769)="","",INDEX(BookTotal,1769)*'5. Scenarios'!$C$6/(1+ProductivityDefault*('5. Scenarios'!$C$11-1)))</f>
        <v/>
      </c>
      <c r="J1774" s="57" t="str">
        <f aca="false">IF($I1774="","",INDEX(BookRate,1769)*(1+'5. Scenarios'!$C$10)*$I1774)</f>
        <v/>
      </c>
      <c r="K1774" s="57" t="str">
        <f aca="false">IF($J1774="","",SUMIFS($J$6:$J$2405,$A$6:$A$2405,"&lt;="&amp;$A1774))</f>
        <v/>
      </c>
      <c r="L1774" s="57" t="str">
        <f aca="false">IF($J1774="","",IF($K1774&lt;=BankCostEnvelope*'5. Scenarios'!$C$7,1,0))</f>
        <v/>
      </c>
      <c r="M1774" s="57" t="str">
        <f aca="false">IF($I1774="","",INDEX(BookRate,1769)*(1+'5. Scenarios'!$C$10)*(INDEX(BookQ1,1769)*(5-MIN(4,1+'5. Scenarios'!$C$8))/4+INDEX(BookQ2,1769)*(5-MIN(4,2+'5. Scenarios'!$C$8))/4+INDEX(BookQ3,1769)*(5-MIN(4,3+'5. Scenarios'!$C$8))/4+INDEX(BookQ4,1769)*(5-MIN(4,4+'5. Scenarios'!$C$8))/4)*'5. Scenarios'!$C$6/(1+ProductivityDefault*('5. Scenarios'!$C$11-1))+INDEX(BookOneOff,1769)*$I1774)</f>
        <v/>
      </c>
      <c r="N1774" s="56" t="str">
        <f aca="false">IF(INDEX(BookTitle,1769)="","",INDEX(BookTotal,1769)*'5. Scenarios'!$D$6/(1+ProductivityDefault*('5. Scenarios'!$D$11-1)))</f>
        <v/>
      </c>
      <c r="O1774" s="57" t="str">
        <f aca="false">IF($N1774="","",INDEX(BookRate,1769)*(1+'5. Scenarios'!$D$10)*$N1774)</f>
        <v/>
      </c>
      <c r="P1774" s="57" t="str">
        <f aca="false">IF($O1774="","",SUMIFS($O$6:$O$2405,$A$6:$A$2405,"&lt;="&amp;$A1774))</f>
        <v/>
      </c>
      <c r="Q1774" s="57" t="str">
        <f aca="false">IF($O1774="","",IF($P1774&lt;=BankCostEnvelope*'5. Scenarios'!$D$7,1,0))</f>
        <v/>
      </c>
      <c r="R1774" s="57" t="str">
        <f aca="false">IF($N1774="","",INDEX(BookRate,1769)*(1+'5. Scenarios'!$D$10)*(INDEX(BookQ1,1769)*(5-MIN(4,1+'5. Scenarios'!$D$8))/4+INDEX(BookQ2,1769)*(5-MIN(4,2+'5. Scenarios'!$D$8))/4+INDEX(BookQ3,1769)*(5-MIN(4,3+'5. Scenarios'!$D$8))/4+INDEX(BookQ4,1769)*(5-MIN(4,4+'5. Scenarios'!$D$8))/4)*'5. Scenarios'!$D$6/(1+ProductivityDefault*('5. Scenarios'!$D$11-1))+INDEX(BookOneOff,1769)*$N1774)</f>
        <v/>
      </c>
      <c r="S1774" s="56" t="str">
        <f aca="false">IF(INDEX(BookTitle,1769)="","",INDEX(BookTotal,1769)*'5. Scenarios'!$E$6/(1+ProductivityDefault*('5. Scenarios'!$E$11-1)))</f>
        <v/>
      </c>
      <c r="T1774" s="57" t="str">
        <f aca="false">IF($S1774="","",INDEX(BookRate,1769)*(1+'5. Scenarios'!$E$10)*$S1774)</f>
        <v/>
      </c>
      <c r="U1774" s="57" t="str">
        <f aca="false">IF($T1774="","",SUMIFS($T$6:$T$2405,$A$6:$A$2405,"&lt;="&amp;$A1774))</f>
        <v/>
      </c>
      <c r="V1774" s="57" t="str">
        <f aca="false">IF($T1774="","",IF($U1774&lt;=BankCostEnvelope*'5. Scenarios'!$E$7,1,0))</f>
        <v/>
      </c>
      <c r="W1774" s="57" t="str">
        <f aca="false">IF($S1774="","",INDEX(BookRate,1769)*(1+'5. Scenarios'!$E$10)*(INDEX(BookQ1,1769)*(5-MIN(4,1+'5. Scenarios'!$E$8))/4+INDEX(BookQ2,1769)*(5-MIN(4,2+'5. Scenarios'!$E$8))/4+INDEX(BookQ3,1769)*(5-MIN(4,3+'5. Scenarios'!$E$8))/4+INDEX(BookQ4,1769)*(5-MIN(4,4+'5. Scenarios'!$E$8))/4)*'5. Scenarios'!$E$6/(1+ProductivityDefault*('5. Scenarios'!$E$11-1))+INDEX(BookOneOff,1769)*$S1774)</f>
        <v/>
      </c>
    </row>
    <row r="1775" customFormat="false" ht="15" hidden="false" customHeight="false" outlineLevel="0" collapsed="false">
      <c r="A1775" s="0" t="str">
        <f aca="false">IF(INDEX(BookTitle,1770)="","",INDEX(BookKey,1770))</f>
        <v/>
      </c>
      <c r="B1775" s="0" t="str">
        <f aca="false">IF(INDEX(BookTitle,1770)="","",INDEX(BookGroup,1770))</f>
        <v/>
      </c>
      <c r="C1775" s="0" t="str">
        <f aca="false">IF(INDEX(BookTitle,1770)="","",INDEX(BookCategory,1770))</f>
        <v/>
      </c>
      <c r="D1775" s="56" t="str">
        <f aca="false">IF(INDEX(BookTitle,1770)="","",INDEX(BookTotal,1770)*'5. Scenarios'!$B$6/(1+ProductivityDefault*('5. Scenarios'!$B$11-1)))</f>
        <v/>
      </c>
      <c r="E1775" s="57" t="str">
        <f aca="false">IF($D1775="","",INDEX(BookRate,1770)*(1+'5. Scenarios'!$B$10)*$D1775)</f>
        <v/>
      </c>
      <c r="F1775" s="57" t="str">
        <f aca="false">IF($E1775="","",SUMIFS($E$6:$E$2405,$A$6:$A$2405,"&lt;="&amp;$A1775))</f>
        <v/>
      </c>
      <c r="G1775" s="57" t="str">
        <f aca="false">IF($E1775="","",IF($F1775&lt;=BankCostEnvelope*'5. Scenarios'!$B$7,1,0))</f>
        <v/>
      </c>
      <c r="H1775" s="57" t="str">
        <f aca="false">IF($D1775="","",INDEX(BookRate,1770)*(1+'5. Scenarios'!$B$10)*(INDEX(BookQ1,1770)*(5-MIN(4,1+'5. Scenarios'!$B$8))/4+INDEX(BookQ2,1770)*(5-MIN(4,2+'5. Scenarios'!$B$8))/4+INDEX(BookQ3,1770)*(5-MIN(4,3+'5. Scenarios'!$B$8))/4+INDEX(BookQ4,1770)*(5-MIN(4,4+'5. Scenarios'!$B$8))/4)*'5. Scenarios'!$B$6/(1+ProductivityDefault*('5. Scenarios'!$B$11-1))+INDEX(BookOneOff,1770)*$D1775)</f>
        <v/>
      </c>
      <c r="I1775" s="56" t="str">
        <f aca="false">IF(INDEX(BookTitle,1770)="","",INDEX(BookTotal,1770)*'5. Scenarios'!$C$6/(1+ProductivityDefault*('5. Scenarios'!$C$11-1)))</f>
        <v/>
      </c>
      <c r="J1775" s="57" t="str">
        <f aca="false">IF($I1775="","",INDEX(BookRate,1770)*(1+'5. Scenarios'!$C$10)*$I1775)</f>
        <v/>
      </c>
      <c r="K1775" s="57" t="str">
        <f aca="false">IF($J1775="","",SUMIFS($J$6:$J$2405,$A$6:$A$2405,"&lt;="&amp;$A1775))</f>
        <v/>
      </c>
      <c r="L1775" s="57" t="str">
        <f aca="false">IF($J1775="","",IF($K1775&lt;=BankCostEnvelope*'5. Scenarios'!$C$7,1,0))</f>
        <v/>
      </c>
      <c r="M1775" s="57" t="str">
        <f aca="false">IF($I1775="","",INDEX(BookRate,1770)*(1+'5. Scenarios'!$C$10)*(INDEX(BookQ1,1770)*(5-MIN(4,1+'5. Scenarios'!$C$8))/4+INDEX(BookQ2,1770)*(5-MIN(4,2+'5. Scenarios'!$C$8))/4+INDEX(BookQ3,1770)*(5-MIN(4,3+'5. Scenarios'!$C$8))/4+INDEX(BookQ4,1770)*(5-MIN(4,4+'5. Scenarios'!$C$8))/4)*'5. Scenarios'!$C$6/(1+ProductivityDefault*('5. Scenarios'!$C$11-1))+INDEX(BookOneOff,1770)*$I1775)</f>
        <v/>
      </c>
      <c r="N1775" s="56" t="str">
        <f aca="false">IF(INDEX(BookTitle,1770)="","",INDEX(BookTotal,1770)*'5. Scenarios'!$D$6/(1+ProductivityDefault*('5. Scenarios'!$D$11-1)))</f>
        <v/>
      </c>
      <c r="O1775" s="57" t="str">
        <f aca="false">IF($N1775="","",INDEX(BookRate,1770)*(1+'5. Scenarios'!$D$10)*$N1775)</f>
        <v/>
      </c>
      <c r="P1775" s="57" t="str">
        <f aca="false">IF($O1775="","",SUMIFS($O$6:$O$2405,$A$6:$A$2405,"&lt;="&amp;$A1775))</f>
        <v/>
      </c>
      <c r="Q1775" s="57" t="str">
        <f aca="false">IF($O1775="","",IF($P1775&lt;=BankCostEnvelope*'5. Scenarios'!$D$7,1,0))</f>
        <v/>
      </c>
      <c r="R1775" s="57" t="str">
        <f aca="false">IF($N1775="","",INDEX(BookRate,1770)*(1+'5. Scenarios'!$D$10)*(INDEX(BookQ1,1770)*(5-MIN(4,1+'5. Scenarios'!$D$8))/4+INDEX(BookQ2,1770)*(5-MIN(4,2+'5. Scenarios'!$D$8))/4+INDEX(BookQ3,1770)*(5-MIN(4,3+'5. Scenarios'!$D$8))/4+INDEX(BookQ4,1770)*(5-MIN(4,4+'5. Scenarios'!$D$8))/4)*'5. Scenarios'!$D$6/(1+ProductivityDefault*('5. Scenarios'!$D$11-1))+INDEX(BookOneOff,1770)*$N1775)</f>
        <v/>
      </c>
      <c r="S1775" s="56" t="str">
        <f aca="false">IF(INDEX(BookTitle,1770)="","",INDEX(BookTotal,1770)*'5. Scenarios'!$E$6/(1+ProductivityDefault*('5. Scenarios'!$E$11-1)))</f>
        <v/>
      </c>
      <c r="T1775" s="57" t="str">
        <f aca="false">IF($S1775="","",INDEX(BookRate,1770)*(1+'5. Scenarios'!$E$10)*$S1775)</f>
        <v/>
      </c>
      <c r="U1775" s="57" t="str">
        <f aca="false">IF($T1775="","",SUMIFS($T$6:$T$2405,$A$6:$A$2405,"&lt;="&amp;$A1775))</f>
        <v/>
      </c>
      <c r="V1775" s="57" t="str">
        <f aca="false">IF($T1775="","",IF($U1775&lt;=BankCostEnvelope*'5. Scenarios'!$E$7,1,0))</f>
        <v/>
      </c>
      <c r="W1775" s="57" t="str">
        <f aca="false">IF($S1775="","",INDEX(BookRate,1770)*(1+'5. Scenarios'!$E$10)*(INDEX(BookQ1,1770)*(5-MIN(4,1+'5. Scenarios'!$E$8))/4+INDEX(BookQ2,1770)*(5-MIN(4,2+'5. Scenarios'!$E$8))/4+INDEX(BookQ3,1770)*(5-MIN(4,3+'5. Scenarios'!$E$8))/4+INDEX(BookQ4,1770)*(5-MIN(4,4+'5. Scenarios'!$E$8))/4)*'5. Scenarios'!$E$6/(1+ProductivityDefault*('5. Scenarios'!$E$11-1))+INDEX(BookOneOff,1770)*$S1775)</f>
        <v/>
      </c>
    </row>
    <row r="1776" customFormat="false" ht="15" hidden="false" customHeight="false" outlineLevel="0" collapsed="false">
      <c r="A1776" s="0" t="str">
        <f aca="false">IF(INDEX(BookTitle,1771)="","",INDEX(BookKey,1771))</f>
        <v/>
      </c>
      <c r="B1776" s="0" t="str">
        <f aca="false">IF(INDEX(BookTitle,1771)="","",INDEX(BookGroup,1771))</f>
        <v/>
      </c>
      <c r="C1776" s="0" t="str">
        <f aca="false">IF(INDEX(BookTitle,1771)="","",INDEX(BookCategory,1771))</f>
        <v/>
      </c>
      <c r="D1776" s="56" t="str">
        <f aca="false">IF(INDEX(BookTitle,1771)="","",INDEX(BookTotal,1771)*'5. Scenarios'!$B$6/(1+ProductivityDefault*('5. Scenarios'!$B$11-1)))</f>
        <v/>
      </c>
      <c r="E1776" s="57" t="str">
        <f aca="false">IF($D1776="","",INDEX(BookRate,1771)*(1+'5. Scenarios'!$B$10)*$D1776)</f>
        <v/>
      </c>
      <c r="F1776" s="57" t="str">
        <f aca="false">IF($E1776="","",SUMIFS($E$6:$E$2405,$A$6:$A$2405,"&lt;="&amp;$A1776))</f>
        <v/>
      </c>
      <c r="G1776" s="57" t="str">
        <f aca="false">IF($E1776="","",IF($F1776&lt;=BankCostEnvelope*'5. Scenarios'!$B$7,1,0))</f>
        <v/>
      </c>
      <c r="H1776" s="57" t="str">
        <f aca="false">IF($D1776="","",INDEX(BookRate,1771)*(1+'5. Scenarios'!$B$10)*(INDEX(BookQ1,1771)*(5-MIN(4,1+'5. Scenarios'!$B$8))/4+INDEX(BookQ2,1771)*(5-MIN(4,2+'5. Scenarios'!$B$8))/4+INDEX(BookQ3,1771)*(5-MIN(4,3+'5. Scenarios'!$B$8))/4+INDEX(BookQ4,1771)*(5-MIN(4,4+'5. Scenarios'!$B$8))/4)*'5. Scenarios'!$B$6/(1+ProductivityDefault*('5. Scenarios'!$B$11-1))+INDEX(BookOneOff,1771)*$D1776)</f>
        <v/>
      </c>
      <c r="I1776" s="56" t="str">
        <f aca="false">IF(INDEX(BookTitle,1771)="","",INDEX(BookTotal,1771)*'5. Scenarios'!$C$6/(1+ProductivityDefault*('5. Scenarios'!$C$11-1)))</f>
        <v/>
      </c>
      <c r="J1776" s="57" t="str">
        <f aca="false">IF($I1776="","",INDEX(BookRate,1771)*(1+'5. Scenarios'!$C$10)*$I1776)</f>
        <v/>
      </c>
      <c r="K1776" s="57" t="str">
        <f aca="false">IF($J1776="","",SUMIFS($J$6:$J$2405,$A$6:$A$2405,"&lt;="&amp;$A1776))</f>
        <v/>
      </c>
      <c r="L1776" s="57" t="str">
        <f aca="false">IF($J1776="","",IF($K1776&lt;=BankCostEnvelope*'5. Scenarios'!$C$7,1,0))</f>
        <v/>
      </c>
      <c r="M1776" s="57" t="str">
        <f aca="false">IF($I1776="","",INDEX(BookRate,1771)*(1+'5. Scenarios'!$C$10)*(INDEX(BookQ1,1771)*(5-MIN(4,1+'5. Scenarios'!$C$8))/4+INDEX(BookQ2,1771)*(5-MIN(4,2+'5. Scenarios'!$C$8))/4+INDEX(BookQ3,1771)*(5-MIN(4,3+'5. Scenarios'!$C$8))/4+INDEX(BookQ4,1771)*(5-MIN(4,4+'5. Scenarios'!$C$8))/4)*'5. Scenarios'!$C$6/(1+ProductivityDefault*('5. Scenarios'!$C$11-1))+INDEX(BookOneOff,1771)*$I1776)</f>
        <v/>
      </c>
      <c r="N1776" s="56" t="str">
        <f aca="false">IF(INDEX(BookTitle,1771)="","",INDEX(BookTotal,1771)*'5. Scenarios'!$D$6/(1+ProductivityDefault*('5. Scenarios'!$D$11-1)))</f>
        <v/>
      </c>
      <c r="O1776" s="57" t="str">
        <f aca="false">IF($N1776="","",INDEX(BookRate,1771)*(1+'5. Scenarios'!$D$10)*$N1776)</f>
        <v/>
      </c>
      <c r="P1776" s="57" t="str">
        <f aca="false">IF($O1776="","",SUMIFS($O$6:$O$2405,$A$6:$A$2405,"&lt;="&amp;$A1776))</f>
        <v/>
      </c>
      <c r="Q1776" s="57" t="str">
        <f aca="false">IF($O1776="","",IF($P1776&lt;=BankCostEnvelope*'5. Scenarios'!$D$7,1,0))</f>
        <v/>
      </c>
      <c r="R1776" s="57" t="str">
        <f aca="false">IF($N1776="","",INDEX(BookRate,1771)*(1+'5. Scenarios'!$D$10)*(INDEX(BookQ1,1771)*(5-MIN(4,1+'5. Scenarios'!$D$8))/4+INDEX(BookQ2,1771)*(5-MIN(4,2+'5. Scenarios'!$D$8))/4+INDEX(BookQ3,1771)*(5-MIN(4,3+'5. Scenarios'!$D$8))/4+INDEX(BookQ4,1771)*(5-MIN(4,4+'5. Scenarios'!$D$8))/4)*'5. Scenarios'!$D$6/(1+ProductivityDefault*('5. Scenarios'!$D$11-1))+INDEX(BookOneOff,1771)*$N1776)</f>
        <v/>
      </c>
      <c r="S1776" s="56" t="str">
        <f aca="false">IF(INDEX(BookTitle,1771)="","",INDEX(BookTotal,1771)*'5. Scenarios'!$E$6/(1+ProductivityDefault*('5. Scenarios'!$E$11-1)))</f>
        <v/>
      </c>
      <c r="T1776" s="57" t="str">
        <f aca="false">IF($S1776="","",INDEX(BookRate,1771)*(1+'5. Scenarios'!$E$10)*$S1776)</f>
        <v/>
      </c>
      <c r="U1776" s="57" t="str">
        <f aca="false">IF($T1776="","",SUMIFS($T$6:$T$2405,$A$6:$A$2405,"&lt;="&amp;$A1776))</f>
        <v/>
      </c>
      <c r="V1776" s="57" t="str">
        <f aca="false">IF($T1776="","",IF($U1776&lt;=BankCostEnvelope*'5. Scenarios'!$E$7,1,0))</f>
        <v/>
      </c>
      <c r="W1776" s="57" t="str">
        <f aca="false">IF($S1776="","",INDEX(BookRate,1771)*(1+'5. Scenarios'!$E$10)*(INDEX(BookQ1,1771)*(5-MIN(4,1+'5. Scenarios'!$E$8))/4+INDEX(BookQ2,1771)*(5-MIN(4,2+'5. Scenarios'!$E$8))/4+INDEX(BookQ3,1771)*(5-MIN(4,3+'5. Scenarios'!$E$8))/4+INDEX(BookQ4,1771)*(5-MIN(4,4+'5. Scenarios'!$E$8))/4)*'5. Scenarios'!$E$6/(1+ProductivityDefault*('5. Scenarios'!$E$11-1))+INDEX(BookOneOff,1771)*$S1776)</f>
        <v/>
      </c>
    </row>
    <row r="1777" customFormat="false" ht="15" hidden="false" customHeight="false" outlineLevel="0" collapsed="false">
      <c r="A1777" s="0" t="str">
        <f aca="false">IF(INDEX(BookTitle,1772)="","",INDEX(BookKey,1772))</f>
        <v/>
      </c>
      <c r="B1777" s="0" t="str">
        <f aca="false">IF(INDEX(BookTitle,1772)="","",INDEX(BookGroup,1772))</f>
        <v/>
      </c>
      <c r="C1777" s="0" t="str">
        <f aca="false">IF(INDEX(BookTitle,1772)="","",INDEX(BookCategory,1772))</f>
        <v/>
      </c>
      <c r="D1777" s="56" t="str">
        <f aca="false">IF(INDEX(BookTitle,1772)="","",INDEX(BookTotal,1772)*'5. Scenarios'!$B$6/(1+ProductivityDefault*('5. Scenarios'!$B$11-1)))</f>
        <v/>
      </c>
      <c r="E1777" s="57" t="str">
        <f aca="false">IF($D1777="","",INDEX(BookRate,1772)*(1+'5. Scenarios'!$B$10)*$D1777)</f>
        <v/>
      </c>
      <c r="F1777" s="57" t="str">
        <f aca="false">IF($E1777="","",SUMIFS($E$6:$E$2405,$A$6:$A$2405,"&lt;="&amp;$A1777))</f>
        <v/>
      </c>
      <c r="G1777" s="57" t="str">
        <f aca="false">IF($E1777="","",IF($F1777&lt;=BankCostEnvelope*'5. Scenarios'!$B$7,1,0))</f>
        <v/>
      </c>
      <c r="H1777" s="57" t="str">
        <f aca="false">IF($D1777="","",INDEX(BookRate,1772)*(1+'5. Scenarios'!$B$10)*(INDEX(BookQ1,1772)*(5-MIN(4,1+'5. Scenarios'!$B$8))/4+INDEX(BookQ2,1772)*(5-MIN(4,2+'5. Scenarios'!$B$8))/4+INDEX(BookQ3,1772)*(5-MIN(4,3+'5. Scenarios'!$B$8))/4+INDEX(BookQ4,1772)*(5-MIN(4,4+'5. Scenarios'!$B$8))/4)*'5. Scenarios'!$B$6/(1+ProductivityDefault*('5. Scenarios'!$B$11-1))+INDEX(BookOneOff,1772)*$D1777)</f>
        <v/>
      </c>
      <c r="I1777" s="56" t="str">
        <f aca="false">IF(INDEX(BookTitle,1772)="","",INDEX(BookTotal,1772)*'5. Scenarios'!$C$6/(1+ProductivityDefault*('5. Scenarios'!$C$11-1)))</f>
        <v/>
      </c>
      <c r="J1777" s="57" t="str">
        <f aca="false">IF($I1777="","",INDEX(BookRate,1772)*(1+'5. Scenarios'!$C$10)*$I1777)</f>
        <v/>
      </c>
      <c r="K1777" s="57" t="str">
        <f aca="false">IF($J1777="","",SUMIFS($J$6:$J$2405,$A$6:$A$2405,"&lt;="&amp;$A1777))</f>
        <v/>
      </c>
      <c r="L1777" s="57" t="str">
        <f aca="false">IF($J1777="","",IF($K1777&lt;=BankCostEnvelope*'5. Scenarios'!$C$7,1,0))</f>
        <v/>
      </c>
      <c r="M1777" s="57" t="str">
        <f aca="false">IF($I1777="","",INDEX(BookRate,1772)*(1+'5. Scenarios'!$C$10)*(INDEX(BookQ1,1772)*(5-MIN(4,1+'5. Scenarios'!$C$8))/4+INDEX(BookQ2,1772)*(5-MIN(4,2+'5. Scenarios'!$C$8))/4+INDEX(BookQ3,1772)*(5-MIN(4,3+'5. Scenarios'!$C$8))/4+INDEX(BookQ4,1772)*(5-MIN(4,4+'5. Scenarios'!$C$8))/4)*'5. Scenarios'!$C$6/(1+ProductivityDefault*('5. Scenarios'!$C$11-1))+INDEX(BookOneOff,1772)*$I1777)</f>
        <v/>
      </c>
      <c r="N1777" s="56" t="str">
        <f aca="false">IF(INDEX(BookTitle,1772)="","",INDEX(BookTotal,1772)*'5. Scenarios'!$D$6/(1+ProductivityDefault*('5. Scenarios'!$D$11-1)))</f>
        <v/>
      </c>
      <c r="O1777" s="57" t="str">
        <f aca="false">IF($N1777="","",INDEX(BookRate,1772)*(1+'5. Scenarios'!$D$10)*$N1777)</f>
        <v/>
      </c>
      <c r="P1777" s="57" t="str">
        <f aca="false">IF($O1777="","",SUMIFS($O$6:$O$2405,$A$6:$A$2405,"&lt;="&amp;$A1777))</f>
        <v/>
      </c>
      <c r="Q1777" s="57" t="str">
        <f aca="false">IF($O1777="","",IF($P1777&lt;=BankCostEnvelope*'5. Scenarios'!$D$7,1,0))</f>
        <v/>
      </c>
      <c r="R1777" s="57" t="str">
        <f aca="false">IF($N1777="","",INDEX(BookRate,1772)*(1+'5. Scenarios'!$D$10)*(INDEX(BookQ1,1772)*(5-MIN(4,1+'5. Scenarios'!$D$8))/4+INDEX(BookQ2,1772)*(5-MIN(4,2+'5. Scenarios'!$D$8))/4+INDEX(BookQ3,1772)*(5-MIN(4,3+'5. Scenarios'!$D$8))/4+INDEX(BookQ4,1772)*(5-MIN(4,4+'5. Scenarios'!$D$8))/4)*'5. Scenarios'!$D$6/(1+ProductivityDefault*('5. Scenarios'!$D$11-1))+INDEX(BookOneOff,1772)*$N1777)</f>
        <v/>
      </c>
      <c r="S1777" s="56" t="str">
        <f aca="false">IF(INDEX(BookTitle,1772)="","",INDEX(BookTotal,1772)*'5. Scenarios'!$E$6/(1+ProductivityDefault*('5. Scenarios'!$E$11-1)))</f>
        <v/>
      </c>
      <c r="T1777" s="57" t="str">
        <f aca="false">IF($S1777="","",INDEX(BookRate,1772)*(1+'5. Scenarios'!$E$10)*$S1777)</f>
        <v/>
      </c>
      <c r="U1777" s="57" t="str">
        <f aca="false">IF($T1777="","",SUMIFS($T$6:$T$2405,$A$6:$A$2405,"&lt;="&amp;$A1777))</f>
        <v/>
      </c>
      <c r="V1777" s="57" t="str">
        <f aca="false">IF($T1777="","",IF($U1777&lt;=BankCostEnvelope*'5. Scenarios'!$E$7,1,0))</f>
        <v/>
      </c>
      <c r="W1777" s="57" t="str">
        <f aca="false">IF($S1777="","",INDEX(BookRate,1772)*(1+'5. Scenarios'!$E$10)*(INDEX(BookQ1,1772)*(5-MIN(4,1+'5. Scenarios'!$E$8))/4+INDEX(BookQ2,1772)*(5-MIN(4,2+'5. Scenarios'!$E$8))/4+INDEX(BookQ3,1772)*(5-MIN(4,3+'5. Scenarios'!$E$8))/4+INDEX(BookQ4,1772)*(5-MIN(4,4+'5. Scenarios'!$E$8))/4)*'5. Scenarios'!$E$6/(1+ProductivityDefault*('5. Scenarios'!$E$11-1))+INDEX(BookOneOff,1772)*$S1777)</f>
        <v/>
      </c>
    </row>
    <row r="1778" customFormat="false" ht="15" hidden="false" customHeight="false" outlineLevel="0" collapsed="false">
      <c r="A1778" s="0" t="str">
        <f aca="false">IF(INDEX(BookTitle,1773)="","",INDEX(BookKey,1773))</f>
        <v/>
      </c>
      <c r="B1778" s="0" t="str">
        <f aca="false">IF(INDEX(BookTitle,1773)="","",INDEX(BookGroup,1773))</f>
        <v/>
      </c>
      <c r="C1778" s="0" t="str">
        <f aca="false">IF(INDEX(BookTitle,1773)="","",INDEX(BookCategory,1773))</f>
        <v/>
      </c>
      <c r="D1778" s="56" t="str">
        <f aca="false">IF(INDEX(BookTitle,1773)="","",INDEX(BookTotal,1773)*'5. Scenarios'!$B$6/(1+ProductivityDefault*('5. Scenarios'!$B$11-1)))</f>
        <v/>
      </c>
      <c r="E1778" s="57" t="str">
        <f aca="false">IF($D1778="","",INDEX(BookRate,1773)*(1+'5. Scenarios'!$B$10)*$D1778)</f>
        <v/>
      </c>
      <c r="F1778" s="57" t="str">
        <f aca="false">IF($E1778="","",SUMIFS($E$6:$E$2405,$A$6:$A$2405,"&lt;="&amp;$A1778))</f>
        <v/>
      </c>
      <c r="G1778" s="57" t="str">
        <f aca="false">IF($E1778="","",IF($F1778&lt;=BankCostEnvelope*'5. Scenarios'!$B$7,1,0))</f>
        <v/>
      </c>
      <c r="H1778" s="57" t="str">
        <f aca="false">IF($D1778="","",INDEX(BookRate,1773)*(1+'5. Scenarios'!$B$10)*(INDEX(BookQ1,1773)*(5-MIN(4,1+'5. Scenarios'!$B$8))/4+INDEX(BookQ2,1773)*(5-MIN(4,2+'5. Scenarios'!$B$8))/4+INDEX(BookQ3,1773)*(5-MIN(4,3+'5. Scenarios'!$B$8))/4+INDEX(BookQ4,1773)*(5-MIN(4,4+'5. Scenarios'!$B$8))/4)*'5. Scenarios'!$B$6/(1+ProductivityDefault*('5. Scenarios'!$B$11-1))+INDEX(BookOneOff,1773)*$D1778)</f>
        <v/>
      </c>
      <c r="I1778" s="56" t="str">
        <f aca="false">IF(INDEX(BookTitle,1773)="","",INDEX(BookTotal,1773)*'5. Scenarios'!$C$6/(1+ProductivityDefault*('5. Scenarios'!$C$11-1)))</f>
        <v/>
      </c>
      <c r="J1778" s="57" t="str">
        <f aca="false">IF($I1778="","",INDEX(BookRate,1773)*(1+'5. Scenarios'!$C$10)*$I1778)</f>
        <v/>
      </c>
      <c r="K1778" s="57" t="str">
        <f aca="false">IF($J1778="","",SUMIFS($J$6:$J$2405,$A$6:$A$2405,"&lt;="&amp;$A1778))</f>
        <v/>
      </c>
      <c r="L1778" s="57" t="str">
        <f aca="false">IF($J1778="","",IF($K1778&lt;=BankCostEnvelope*'5. Scenarios'!$C$7,1,0))</f>
        <v/>
      </c>
      <c r="M1778" s="57" t="str">
        <f aca="false">IF($I1778="","",INDEX(BookRate,1773)*(1+'5. Scenarios'!$C$10)*(INDEX(BookQ1,1773)*(5-MIN(4,1+'5. Scenarios'!$C$8))/4+INDEX(BookQ2,1773)*(5-MIN(4,2+'5. Scenarios'!$C$8))/4+INDEX(BookQ3,1773)*(5-MIN(4,3+'5. Scenarios'!$C$8))/4+INDEX(BookQ4,1773)*(5-MIN(4,4+'5. Scenarios'!$C$8))/4)*'5. Scenarios'!$C$6/(1+ProductivityDefault*('5. Scenarios'!$C$11-1))+INDEX(BookOneOff,1773)*$I1778)</f>
        <v/>
      </c>
      <c r="N1778" s="56" t="str">
        <f aca="false">IF(INDEX(BookTitle,1773)="","",INDEX(BookTotal,1773)*'5. Scenarios'!$D$6/(1+ProductivityDefault*('5. Scenarios'!$D$11-1)))</f>
        <v/>
      </c>
      <c r="O1778" s="57" t="str">
        <f aca="false">IF($N1778="","",INDEX(BookRate,1773)*(1+'5. Scenarios'!$D$10)*$N1778)</f>
        <v/>
      </c>
      <c r="P1778" s="57" t="str">
        <f aca="false">IF($O1778="","",SUMIFS($O$6:$O$2405,$A$6:$A$2405,"&lt;="&amp;$A1778))</f>
        <v/>
      </c>
      <c r="Q1778" s="57" t="str">
        <f aca="false">IF($O1778="","",IF($P1778&lt;=BankCostEnvelope*'5. Scenarios'!$D$7,1,0))</f>
        <v/>
      </c>
      <c r="R1778" s="57" t="str">
        <f aca="false">IF($N1778="","",INDEX(BookRate,1773)*(1+'5. Scenarios'!$D$10)*(INDEX(BookQ1,1773)*(5-MIN(4,1+'5. Scenarios'!$D$8))/4+INDEX(BookQ2,1773)*(5-MIN(4,2+'5. Scenarios'!$D$8))/4+INDEX(BookQ3,1773)*(5-MIN(4,3+'5. Scenarios'!$D$8))/4+INDEX(BookQ4,1773)*(5-MIN(4,4+'5. Scenarios'!$D$8))/4)*'5. Scenarios'!$D$6/(1+ProductivityDefault*('5. Scenarios'!$D$11-1))+INDEX(BookOneOff,1773)*$N1778)</f>
        <v/>
      </c>
      <c r="S1778" s="56" t="str">
        <f aca="false">IF(INDEX(BookTitle,1773)="","",INDEX(BookTotal,1773)*'5. Scenarios'!$E$6/(1+ProductivityDefault*('5. Scenarios'!$E$11-1)))</f>
        <v/>
      </c>
      <c r="T1778" s="57" t="str">
        <f aca="false">IF($S1778="","",INDEX(BookRate,1773)*(1+'5. Scenarios'!$E$10)*$S1778)</f>
        <v/>
      </c>
      <c r="U1778" s="57" t="str">
        <f aca="false">IF($T1778="","",SUMIFS($T$6:$T$2405,$A$6:$A$2405,"&lt;="&amp;$A1778))</f>
        <v/>
      </c>
      <c r="V1778" s="57" t="str">
        <f aca="false">IF($T1778="","",IF($U1778&lt;=BankCostEnvelope*'5. Scenarios'!$E$7,1,0))</f>
        <v/>
      </c>
      <c r="W1778" s="57" t="str">
        <f aca="false">IF($S1778="","",INDEX(BookRate,1773)*(1+'5. Scenarios'!$E$10)*(INDEX(BookQ1,1773)*(5-MIN(4,1+'5. Scenarios'!$E$8))/4+INDEX(BookQ2,1773)*(5-MIN(4,2+'5. Scenarios'!$E$8))/4+INDEX(BookQ3,1773)*(5-MIN(4,3+'5. Scenarios'!$E$8))/4+INDEX(BookQ4,1773)*(5-MIN(4,4+'5. Scenarios'!$E$8))/4)*'5. Scenarios'!$E$6/(1+ProductivityDefault*('5. Scenarios'!$E$11-1))+INDEX(BookOneOff,1773)*$S1778)</f>
        <v/>
      </c>
    </row>
    <row r="1779" customFormat="false" ht="15" hidden="false" customHeight="false" outlineLevel="0" collapsed="false">
      <c r="A1779" s="0" t="str">
        <f aca="false">IF(INDEX(BookTitle,1774)="","",INDEX(BookKey,1774))</f>
        <v/>
      </c>
      <c r="B1779" s="0" t="str">
        <f aca="false">IF(INDEX(BookTitle,1774)="","",INDEX(BookGroup,1774))</f>
        <v/>
      </c>
      <c r="C1779" s="0" t="str">
        <f aca="false">IF(INDEX(BookTitle,1774)="","",INDEX(BookCategory,1774))</f>
        <v/>
      </c>
      <c r="D1779" s="56" t="str">
        <f aca="false">IF(INDEX(BookTitle,1774)="","",INDEX(BookTotal,1774)*'5. Scenarios'!$B$6/(1+ProductivityDefault*('5. Scenarios'!$B$11-1)))</f>
        <v/>
      </c>
      <c r="E1779" s="57" t="str">
        <f aca="false">IF($D1779="","",INDEX(BookRate,1774)*(1+'5. Scenarios'!$B$10)*$D1779)</f>
        <v/>
      </c>
      <c r="F1779" s="57" t="str">
        <f aca="false">IF($E1779="","",SUMIFS($E$6:$E$2405,$A$6:$A$2405,"&lt;="&amp;$A1779))</f>
        <v/>
      </c>
      <c r="G1779" s="57" t="str">
        <f aca="false">IF($E1779="","",IF($F1779&lt;=BankCostEnvelope*'5. Scenarios'!$B$7,1,0))</f>
        <v/>
      </c>
      <c r="H1779" s="57" t="str">
        <f aca="false">IF($D1779="","",INDEX(BookRate,1774)*(1+'5. Scenarios'!$B$10)*(INDEX(BookQ1,1774)*(5-MIN(4,1+'5. Scenarios'!$B$8))/4+INDEX(BookQ2,1774)*(5-MIN(4,2+'5. Scenarios'!$B$8))/4+INDEX(BookQ3,1774)*(5-MIN(4,3+'5. Scenarios'!$B$8))/4+INDEX(BookQ4,1774)*(5-MIN(4,4+'5. Scenarios'!$B$8))/4)*'5. Scenarios'!$B$6/(1+ProductivityDefault*('5. Scenarios'!$B$11-1))+INDEX(BookOneOff,1774)*$D1779)</f>
        <v/>
      </c>
      <c r="I1779" s="56" t="str">
        <f aca="false">IF(INDEX(BookTitle,1774)="","",INDEX(BookTotal,1774)*'5. Scenarios'!$C$6/(1+ProductivityDefault*('5. Scenarios'!$C$11-1)))</f>
        <v/>
      </c>
      <c r="J1779" s="57" t="str">
        <f aca="false">IF($I1779="","",INDEX(BookRate,1774)*(1+'5. Scenarios'!$C$10)*$I1779)</f>
        <v/>
      </c>
      <c r="K1779" s="57" t="str">
        <f aca="false">IF($J1779="","",SUMIFS($J$6:$J$2405,$A$6:$A$2405,"&lt;="&amp;$A1779))</f>
        <v/>
      </c>
      <c r="L1779" s="57" t="str">
        <f aca="false">IF($J1779="","",IF($K1779&lt;=BankCostEnvelope*'5. Scenarios'!$C$7,1,0))</f>
        <v/>
      </c>
      <c r="M1779" s="57" t="str">
        <f aca="false">IF($I1779="","",INDEX(BookRate,1774)*(1+'5. Scenarios'!$C$10)*(INDEX(BookQ1,1774)*(5-MIN(4,1+'5. Scenarios'!$C$8))/4+INDEX(BookQ2,1774)*(5-MIN(4,2+'5. Scenarios'!$C$8))/4+INDEX(BookQ3,1774)*(5-MIN(4,3+'5. Scenarios'!$C$8))/4+INDEX(BookQ4,1774)*(5-MIN(4,4+'5. Scenarios'!$C$8))/4)*'5. Scenarios'!$C$6/(1+ProductivityDefault*('5. Scenarios'!$C$11-1))+INDEX(BookOneOff,1774)*$I1779)</f>
        <v/>
      </c>
      <c r="N1779" s="56" t="str">
        <f aca="false">IF(INDEX(BookTitle,1774)="","",INDEX(BookTotal,1774)*'5. Scenarios'!$D$6/(1+ProductivityDefault*('5. Scenarios'!$D$11-1)))</f>
        <v/>
      </c>
      <c r="O1779" s="57" t="str">
        <f aca="false">IF($N1779="","",INDEX(BookRate,1774)*(1+'5. Scenarios'!$D$10)*$N1779)</f>
        <v/>
      </c>
      <c r="P1779" s="57" t="str">
        <f aca="false">IF($O1779="","",SUMIFS($O$6:$O$2405,$A$6:$A$2405,"&lt;="&amp;$A1779))</f>
        <v/>
      </c>
      <c r="Q1779" s="57" t="str">
        <f aca="false">IF($O1779="","",IF($P1779&lt;=BankCostEnvelope*'5. Scenarios'!$D$7,1,0))</f>
        <v/>
      </c>
      <c r="R1779" s="57" t="str">
        <f aca="false">IF($N1779="","",INDEX(BookRate,1774)*(1+'5. Scenarios'!$D$10)*(INDEX(BookQ1,1774)*(5-MIN(4,1+'5. Scenarios'!$D$8))/4+INDEX(BookQ2,1774)*(5-MIN(4,2+'5. Scenarios'!$D$8))/4+INDEX(BookQ3,1774)*(5-MIN(4,3+'5. Scenarios'!$D$8))/4+INDEX(BookQ4,1774)*(5-MIN(4,4+'5. Scenarios'!$D$8))/4)*'5. Scenarios'!$D$6/(1+ProductivityDefault*('5. Scenarios'!$D$11-1))+INDEX(BookOneOff,1774)*$N1779)</f>
        <v/>
      </c>
      <c r="S1779" s="56" t="str">
        <f aca="false">IF(INDEX(BookTitle,1774)="","",INDEX(BookTotal,1774)*'5. Scenarios'!$E$6/(1+ProductivityDefault*('5. Scenarios'!$E$11-1)))</f>
        <v/>
      </c>
      <c r="T1779" s="57" t="str">
        <f aca="false">IF($S1779="","",INDEX(BookRate,1774)*(1+'5. Scenarios'!$E$10)*$S1779)</f>
        <v/>
      </c>
      <c r="U1779" s="57" t="str">
        <f aca="false">IF($T1779="","",SUMIFS($T$6:$T$2405,$A$6:$A$2405,"&lt;="&amp;$A1779))</f>
        <v/>
      </c>
      <c r="V1779" s="57" t="str">
        <f aca="false">IF($T1779="","",IF($U1779&lt;=BankCostEnvelope*'5. Scenarios'!$E$7,1,0))</f>
        <v/>
      </c>
      <c r="W1779" s="57" t="str">
        <f aca="false">IF($S1779="","",INDEX(BookRate,1774)*(1+'5. Scenarios'!$E$10)*(INDEX(BookQ1,1774)*(5-MIN(4,1+'5. Scenarios'!$E$8))/4+INDEX(BookQ2,1774)*(5-MIN(4,2+'5. Scenarios'!$E$8))/4+INDEX(BookQ3,1774)*(5-MIN(4,3+'5. Scenarios'!$E$8))/4+INDEX(BookQ4,1774)*(5-MIN(4,4+'5. Scenarios'!$E$8))/4)*'5. Scenarios'!$E$6/(1+ProductivityDefault*('5. Scenarios'!$E$11-1))+INDEX(BookOneOff,1774)*$S1779)</f>
        <v/>
      </c>
    </row>
    <row r="1780" customFormat="false" ht="15" hidden="false" customHeight="false" outlineLevel="0" collapsed="false">
      <c r="A1780" s="0" t="str">
        <f aca="false">IF(INDEX(BookTitle,1775)="","",INDEX(BookKey,1775))</f>
        <v/>
      </c>
      <c r="B1780" s="0" t="str">
        <f aca="false">IF(INDEX(BookTitle,1775)="","",INDEX(BookGroup,1775))</f>
        <v/>
      </c>
      <c r="C1780" s="0" t="str">
        <f aca="false">IF(INDEX(BookTitle,1775)="","",INDEX(BookCategory,1775))</f>
        <v/>
      </c>
      <c r="D1780" s="56" t="str">
        <f aca="false">IF(INDEX(BookTitle,1775)="","",INDEX(BookTotal,1775)*'5. Scenarios'!$B$6/(1+ProductivityDefault*('5. Scenarios'!$B$11-1)))</f>
        <v/>
      </c>
      <c r="E1780" s="57" t="str">
        <f aca="false">IF($D1780="","",INDEX(BookRate,1775)*(1+'5. Scenarios'!$B$10)*$D1780)</f>
        <v/>
      </c>
      <c r="F1780" s="57" t="str">
        <f aca="false">IF($E1780="","",SUMIFS($E$6:$E$2405,$A$6:$A$2405,"&lt;="&amp;$A1780))</f>
        <v/>
      </c>
      <c r="G1780" s="57" t="str">
        <f aca="false">IF($E1780="","",IF($F1780&lt;=BankCostEnvelope*'5. Scenarios'!$B$7,1,0))</f>
        <v/>
      </c>
      <c r="H1780" s="57" t="str">
        <f aca="false">IF($D1780="","",INDEX(BookRate,1775)*(1+'5. Scenarios'!$B$10)*(INDEX(BookQ1,1775)*(5-MIN(4,1+'5. Scenarios'!$B$8))/4+INDEX(BookQ2,1775)*(5-MIN(4,2+'5. Scenarios'!$B$8))/4+INDEX(BookQ3,1775)*(5-MIN(4,3+'5. Scenarios'!$B$8))/4+INDEX(BookQ4,1775)*(5-MIN(4,4+'5. Scenarios'!$B$8))/4)*'5. Scenarios'!$B$6/(1+ProductivityDefault*('5. Scenarios'!$B$11-1))+INDEX(BookOneOff,1775)*$D1780)</f>
        <v/>
      </c>
      <c r="I1780" s="56" t="str">
        <f aca="false">IF(INDEX(BookTitle,1775)="","",INDEX(BookTotal,1775)*'5. Scenarios'!$C$6/(1+ProductivityDefault*('5. Scenarios'!$C$11-1)))</f>
        <v/>
      </c>
      <c r="J1780" s="57" t="str">
        <f aca="false">IF($I1780="","",INDEX(BookRate,1775)*(1+'5. Scenarios'!$C$10)*$I1780)</f>
        <v/>
      </c>
      <c r="K1780" s="57" t="str">
        <f aca="false">IF($J1780="","",SUMIFS($J$6:$J$2405,$A$6:$A$2405,"&lt;="&amp;$A1780))</f>
        <v/>
      </c>
      <c r="L1780" s="57" t="str">
        <f aca="false">IF($J1780="","",IF($K1780&lt;=BankCostEnvelope*'5. Scenarios'!$C$7,1,0))</f>
        <v/>
      </c>
      <c r="M1780" s="57" t="str">
        <f aca="false">IF($I1780="","",INDEX(BookRate,1775)*(1+'5. Scenarios'!$C$10)*(INDEX(BookQ1,1775)*(5-MIN(4,1+'5. Scenarios'!$C$8))/4+INDEX(BookQ2,1775)*(5-MIN(4,2+'5. Scenarios'!$C$8))/4+INDEX(BookQ3,1775)*(5-MIN(4,3+'5. Scenarios'!$C$8))/4+INDEX(BookQ4,1775)*(5-MIN(4,4+'5. Scenarios'!$C$8))/4)*'5. Scenarios'!$C$6/(1+ProductivityDefault*('5. Scenarios'!$C$11-1))+INDEX(BookOneOff,1775)*$I1780)</f>
        <v/>
      </c>
      <c r="N1780" s="56" t="str">
        <f aca="false">IF(INDEX(BookTitle,1775)="","",INDEX(BookTotal,1775)*'5. Scenarios'!$D$6/(1+ProductivityDefault*('5. Scenarios'!$D$11-1)))</f>
        <v/>
      </c>
      <c r="O1780" s="57" t="str">
        <f aca="false">IF($N1780="","",INDEX(BookRate,1775)*(1+'5. Scenarios'!$D$10)*$N1780)</f>
        <v/>
      </c>
      <c r="P1780" s="57" t="str">
        <f aca="false">IF($O1780="","",SUMIFS($O$6:$O$2405,$A$6:$A$2405,"&lt;="&amp;$A1780))</f>
        <v/>
      </c>
      <c r="Q1780" s="57" t="str">
        <f aca="false">IF($O1780="","",IF($P1780&lt;=BankCostEnvelope*'5. Scenarios'!$D$7,1,0))</f>
        <v/>
      </c>
      <c r="R1780" s="57" t="str">
        <f aca="false">IF($N1780="","",INDEX(BookRate,1775)*(1+'5. Scenarios'!$D$10)*(INDEX(BookQ1,1775)*(5-MIN(4,1+'5. Scenarios'!$D$8))/4+INDEX(BookQ2,1775)*(5-MIN(4,2+'5. Scenarios'!$D$8))/4+INDEX(BookQ3,1775)*(5-MIN(4,3+'5. Scenarios'!$D$8))/4+INDEX(BookQ4,1775)*(5-MIN(4,4+'5. Scenarios'!$D$8))/4)*'5. Scenarios'!$D$6/(1+ProductivityDefault*('5. Scenarios'!$D$11-1))+INDEX(BookOneOff,1775)*$N1780)</f>
        <v/>
      </c>
      <c r="S1780" s="56" t="str">
        <f aca="false">IF(INDEX(BookTitle,1775)="","",INDEX(BookTotal,1775)*'5. Scenarios'!$E$6/(1+ProductivityDefault*('5. Scenarios'!$E$11-1)))</f>
        <v/>
      </c>
      <c r="T1780" s="57" t="str">
        <f aca="false">IF($S1780="","",INDEX(BookRate,1775)*(1+'5. Scenarios'!$E$10)*$S1780)</f>
        <v/>
      </c>
      <c r="U1780" s="57" t="str">
        <f aca="false">IF($T1780="","",SUMIFS($T$6:$T$2405,$A$6:$A$2405,"&lt;="&amp;$A1780))</f>
        <v/>
      </c>
      <c r="V1780" s="57" t="str">
        <f aca="false">IF($T1780="","",IF($U1780&lt;=BankCostEnvelope*'5. Scenarios'!$E$7,1,0))</f>
        <v/>
      </c>
      <c r="W1780" s="57" t="str">
        <f aca="false">IF($S1780="","",INDEX(BookRate,1775)*(1+'5. Scenarios'!$E$10)*(INDEX(BookQ1,1775)*(5-MIN(4,1+'5. Scenarios'!$E$8))/4+INDEX(BookQ2,1775)*(5-MIN(4,2+'5. Scenarios'!$E$8))/4+INDEX(BookQ3,1775)*(5-MIN(4,3+'5. Scenarios'!$E$8))/4+INDEX(BookQ4,1775)*(5-MIN(4,4+'5. Scenarios'!$E$8))/4)*'5. Scenarios'!$E$6/(1+ProductivityDefault*('5. Scenarios'!$E$11-1))+INDEX(BookOneOff,1775)*$S1780)</f>
        <v/>
      </c>
    </row>
    <row r="1781" customFormat="false" ht="15" hidden="false" customHeight="false" outlineLevel="0" collapsed="false">
      <c r="A1781" s="0" t="str">
        <f aca="false">IF(INDEX(BookTitle,1776)="","",INDEX(BookKey,1776))</f>
        <v/>
      </c>
      <c r="B1781" s="0" t="str">
        <f aca="false">IF(INDEX(BookTitle,1776)="","",INDEX(BookGroup,1776))</f>
        <v/>
      </c>
      <c r="C1781" s="0" t="str">
        <f aca="false">IF(INDEX(BookTitle,1776)="","",INDEX(BookCategory,1776))</f>
        <v/>
      </c>
      <c r="D1781" s="56" t="str">
        <f aca="false">IF(INDEX(BookTitle,1776)="","",INDEX(BookTotal,1776)*'5. Scenarios'!$B$6/(1+ProductivityDefault*('5. Scenarios'!$B$11-1)))</f>
        <v/>
      </c>
      <c r="E1781" s="57" t="str">
        <f aca="false">IF($D1781="","",INDEX(BookRate,1776)*(1+'5. Scenarios'!$B$10)*$D1781)</f>
        <v/>
      </c>
      <c r="F1781" s="57" t="str">
        <f aca="false">IF($E1781="","",SUMIFS($E$6:$E$2405,$A$6:$A$2405,"&lt;="&amp;$A1781))</f>
        <v/>
      </c>
      <c r="G1781" s="57" t="str">
        <f aca="false">IF($E1781="","",IF($F1781&lt;=BankCostEnvelope*'5. Scenarios'!$B$7,1,0))</f>
        <v/>
      </c>
      <c r="H1781" s="57" t="str">
        <f aca="false">IF($D1781="","",INDEX(BookRate,1776)*(1+'5. Scenarios'!$B$10)*(INDEX(BookQ1,1776)*(5-MIN(4,1+'5. Scenarios'!$B$8))/4+INDEX(BookQ2,1776)*(5-MIN(4,2+'5. Scenarios'!$B$8))/4+INDEX(BookQ3,1776)*(5-MIN(4,3+'5. Scenarios'!$B$8))/4+INDEX(BookQ4,1776)*(5-MIN(4,4+'5. Scenarios'!$B$8))/4)*'5. Scenarios'!$B$6/(1+ProductivityDefault*('5. Scenarios'!$B$11-1))+INDEX(BookOneOff,1776)*$D1781)</f>
        <v/>
      </c>
      <c r="I1781" s="56" t="str">
        <f aca="false">IF(INDEX(BookTitle,1776)="","",INDEX(BookTotal,1776)*'5. Scenarios'!$C$6/(1+ProductivityDefault*('5. Scenarios'!$C$11-1)))</f>
        <v/>
      </c>
      <c r="J1781" s="57" t="str">
        <f aca="false">IF($I1781="","",INDEX(BookRate,1776)*(1+'5. Scenarios'!$C$10)*$I1781)</f>
        <v/>
      </c>
      <c r="K1781" s="57" t="str">
        <f aca="false">IF($J1781="","",SUMIFS($J$6:$J$2405,$A$6:$A$2405,"&lt;="&amp;$A1781))</f>
        <v/>
      </c>
      <c r="L1781" s="57" t="str">
        <f aca="false">IF($J1781="","",IF($K1781&lt;=BankCostEnvelope*'5. Scenarios'!$C$7,1,0))</f>
        <v/>
      </c>
      <c r="M1781" s="57" t="str">
        <f aca="false">IF($I1781="","",INDEX(BookRate,1776)*(1+'5. Scenarios'!$C$10)*(INDEX(BookQ1,1776)*(5-MIN(4,1+'5. Scenarios'!$C$8))/4+INDEX(BookQ2,1776)*(5-MIN(4,2+'5. Scenarios'!$C$8))/4+INDEX(BookQ3,1776)*(5-MIN(4,3+'5. Scenarios'!$C$8))/4+INDEX(BookQ4,1776)*(5-MIN(4,4+'5. Scenarios'!$C$8))/4)*'5. Scenarios'!$C$6/(1+ProductivityDefault*('5. Scenarios'!$C$11-1))+INDEX(BookOneOff,1776)*$I1781)</f>
        <v/>
      </c>
      <c r="N1781" s="56" t="str">
        <f aca="false">IF(INDEX(BookTitle,1776)="","",INDEX(BookTotal,1776)*'5. Scenarios'!$D$6/(1+ProductivityDefault*('5. Scenarios'!$D$11-1)))</f>
        <v/>
      </c>
      <c r="O1781" s="57" t="str">
        <f aca="false">IF($N1781="","",INDEX(BookRate,1776)*(1+'5. Scenarios'!$D$10)*$N1781)</f>
        <v/>
      </c>
      <c r="P1781" s="57" t="str">
        <f aca="false">IF($O1781="","",SUMIFS($O$6:$O$2405,$A$6:$A$2405,"&lt;="&amp;$A1781))</f>
        <v/>
      </c>
      <c r="Q1781" s="57" t="str">
        <f aca="false">IF($O1781="","",IF($P1781&lt;=BankCostEnvelope*'5. Scenarios'!$D$7,1,0))</f>
        <v/>
      </c>
      <c r="R1781" s="57" t="str">
        <f aca="false">IF($N1781="","",INDEX(BookRate,1776)*(1+'5. Scenarios'!$D$10)*(INDEX(BookQ1,1776)*(5-MIN(4,1+'5. Scenarios'!$D$8))/4+INDEX(BookQ2,1776)*(5-MIN(4,2+'5. Scenarios'!$D$8))/4+INDEX(BookQ3,1776)*(5-MIN(4,3+'5. Scenarios'!$D$8))/4+INDEX(BookQ4,1776)*(5-MIN(4,4+'5. Scenarios'!$D$8))/4)*'5. Scenarios'!$D$6/(1+ProductivityDefault*('5. Scenarios'!$D$11-1))+INDEX(BookOneOff,1776)*$N1781)</f>
        <v/>
      </c>
      <c r="S1781" s="56" t="str">
        <f aca="false">IF(INDEX(BookTitle,1776)="","",INDEX(BookTotal,1776)*'5. Scenarios'!$E$6/(1+ProductivityDefault*('5. Scenarios'!$E$11-1)))</f>
        <v/>
      </c>
      <c r="T1781" s="57" t="str">
        <f aca="false">IF($S1781="","",INDEX(BookRate,1776)*(1+'5. Scenarios'!$E$10)*$S1781)</f>
        <v/>
      </c>
      <c r="U1781" s="57" t="str">
        <f aca="false">IF($T1781="","",SUMIFS($T$6:$T$2405,$A$6:$A$2405,"&lt;="&amp;$A1781))</f>
        <v/>
      </c>
      <c r="V1781" s="57" t="str">
        <f aca="false">IF($T1781="","",IF($U1781&lt;=BankCostEnvelope*'5. Scenarios'!$E$7,1,0))</f>
        <v/>
      </c>
      <c r="W1781" s="57" t="str">
        <f aca="false">IF($S1781="","",INDEX(BookRate,1776)*(1+'5. Scenarios'!$E$10)*(INDEX(BookQ1,1776)*(5-MIN(4,1+'5. Scenarios'!$E$8))/4+INDEX(BookQ2,1776)*(5-MIN(4,2+'5. Scenarios'!$E$8))/4+INDEX(BookQ3,1776)*(5-MIN(4,3+'5. Scenarios'!$E$8))/4+INDEX(BookQ4,1776)*(5-MIN(4,4+'5. Scenarios'!$E$8))/4)*'5. Scenarios'!$E$6/(1+ProductivityDefault*('5. Scenarios'!$E$11-1))+INDEX(BookOneOff,1776)*$S1781)</f>
        <v/>
      </c>
    </row>
    <row r="1782" customFormat="false" ht="15" hidden="false" customHeight="false" outlineLevel="0" collapsed="false">
      <c r="A1782" s="0" t="str">
        <f aca="false">IF(INDEX(BookTitle,1777)="","",INDEX(BookKey,1777))</f>
        <v/>
      </c>
      <c r="B1782" s="0" t="str">
        <f aca="false">IF(INDEX(BookTitle,1777)="","",INDEX(BookGroup,1777))</f>
        <v/>
      </c>
      <c r="C1782" s="0" t="str">
        <f aca="false">IF(INDEX(BookTitle,1777)="","",INDEX(BookCategory,1777))</f>
        <v/>
      </c>
      <c r="D1782" s="56" t="str">
        <f aca="false">IF(INDEX(BookTitle,1777)="","",INDEX(BookTotal,1777)*'5. Scenarios'!$B$6/(1+ProductivityDefault*('5. Scenarios'!$B$11-1)))</f>
        <v/>
      </c>
      <c r="E1782" s="57" t="str">
        <f aca="false">IF($D1782="","",INDEX(BookRate,1777)*(1+'5. Scenarios'!$B$10)*$D1782)</f>
        <v/>
      </c>
      <c r="F1782" s="57" t="str">
        <f aca="false">IF($E1782="","",SUMIFS($E$6:$E$2405,$A$6:$A$2405,"&lt;="&amp;$A1782))</f>
        <v/>
      </c>
      <c r="G1782" s="57" t="str">
        <f aca="false">IF($E1782="","",IF($F1782&lt;=BankCostEnvelope*'5. Scenarios'!$B$7,1,0))</f>
        <v/>
      </c>
      <c r="H1782" s="57" t="str">
        <f aca="false">IF($D1782="","",INDEX(BookRate,1777)*(1+'5. Scenarios'!$B$10)*(INDEX(BookQ1,1777)*(5-MIN(4,1+'5. Scenarios'!$B$8))/4+INDEX(BookQ2,1777)*(5-MIN(4,2+'5. Scenarios'!$B$8))/4+INDEX(BookQ3,1777)*(5-MIN(4,3+'5. Scenarios'!$B$8))/4+INDEX(BookQ4,1777)*(5-MIN(4,4+'5. Scenarios'!$B$8))/4)*'5. Scenarios'!$B$6/(1+ProductivityDefault*('5. Scenarios'!$B$11-1))+INDEX(BookOneOff,1777)*$D1782)</f>
        <v/>
      </c>
      <c r="I1782" s="56" t="str">
        <f aca="false">IF(INDEX(BookTitle,1777)="","",INDEX(BookTotal,1777)*'5. Scenarios'!$C$6/(1+ProductivityDefault*('5. Scenarios'!$C$11-1)))</f>
        <v/>
      </c>
      <c r="J1782" s="57" t="str">
        <f aca="false">IF($I1782="","",INDEX(BookRate,1777)*(1+'5. Scenarios'!$C$10)*$I1782)</f>
        <v/>
      </c>
      <c r="K1782" s="57" t="str">
        <f aca="false">IF($J1782="","",SUMIFS($J$6:$J$2405,$A$6:$A$2405,"&lt;="&amp;$A1782))</f>
        <v/>
      </c>
      <c r="L1782" s="57" t="str">
        <f aca="false">IF($J1782="","",IF($K1782&lt;=BankCostEnvelope*'5. Scenarios'!$C$7,1,0))</f>
        <v/>
      </c>
      <c r="M1782" s="57" t="str">
        <f aca="false">IF($I1782="","",INDEX(BookRate,1777)*(1+'5. Scenarios'!$C$10)*(INDEX(BookQ1,1777)*(5-MIN(4,1+'5. Scenarios'!$C$8))/4+INDEX(BookQ2,1777)*(5-MIN(4,2+'5. Scenarios'!$C$8))/4+INDEX(BookQ3,1777)*(5-MIN(4,3+'5. Scenarios'!$C$8))/4+INDEX(BookQ4,1777)*(5-MIN(4,4+'5. Scenarios'!$C$8))/4)*'5. Scenarios'!$C$6/(1+ProductivityDefault*('5. Scenarios'!$C$11-1))+INDEX(BookOneOff,1777)*$I1782)</f>
        <v/>
      </c>
      <c r="N1782" s="56" t="str">
        <f aca="false">IF(INDEX(BookTitle,1777)="","",INDEX(BookTotal,1777)*'5. Scenarios'!$D$6/(1+ProductivityDefault*('5. Scenarios'!$D$11-1)))</f>
        <v/>
      </c>
      <c r="O1782" s="57" t="str">
        <f aca="false">IF($N1782="","",INDEX(BookRate,1777)*(1+'5. Scenarios'!$D$10)*$N1782)</f>
        <v/>
      </c>
      <c r="P1782" s="57" t="str">
        <f aca="false">IF($O1782="","",SUMIFS($O$6:$O$2405,$A$6:$A$2405,"&lt;="&amp;$A1782))</f>
        <v/>
      </c>
      <c r="Q1782" s="57" t="str">
        <f aca="false">IF($O1782="","",IF($P1782&lt;=BankCostEnvelope*'5. Scenarios'!$D$7,1,0))</f>
        <v/>
      </c>
      <c r="R1782" s="57" t="str">
        <f aca="false">IF($N1782="","",INDEX(BookRate,1777)*(1+'5. Scenarios'!$D$10)*(INDEX(BookQ1,1777)*(5-MIN(4,1+'5. Scenarios'!$D$8))/4+INDEX(BookQ2,1777)*(5-MIN(4,2+'5. Scenarios'!$D$8))/4+INDEX(BookQ3,1777)*(5-MIN(4,3+'5. Scenarios'!$D$8))/4+INDEX(BookQ4,1777)*(5-MIN(4,4+'5. Scenarios'!$D$8))/4)*'5. Scenarios'!$D$6/(1+ProductivityDefault*('5. Scenarios'!$D$11-1))+INDEX(BookOneOff,1777)*$N1782)</f>
        <v/>
      </c>
      <c r="S1782" s="56" t="str">
        <f aca="false">IF(INDEX(BookTitle,1777)="","",INDEX(BookTotal,1777)*'5. Scenarios'!$E$6/(1+ProductivityDefault*('5. Scenarios'!$E$11-1)))</f>
        <v/>
      </c>
      <c r="T1782" s="57" t="str">
        <f aca="false">IF($S1782="","",INDEX(BookRate,1777)*(1+'5. Scenarios'!$E$10)*$S1782)</f>
        <v/>
      </c>
      <c r="U1782" s="57" t="str">
        <f aca="false">IF($T1782="","",SUMIFS($T$6:$T$2405,$A$6:$A$2405,"&lt;="&amp;$A1782))</f>
        <v/>
      </c>
      <c r="V1782" s="57" t="str">
        <f aca="false">IF($T1782="","",IF($U1782&lt;=BankCostEnvelope*'5. Scenarios'!$E$7,1,0))</f>
        <v/>
      </c>
      <c r="W1782" s="57" t="str">
        <f aca="false">IF($S1782="","",INDEX(BookRate,1777)*(1+'5. Scenarios'!$E$10)*(INDEX(BookQ1,1777)*(5-MIN(4,1+'5. Scenarios'!$E$8))/4+INDEX(BookQ2,1777)*(5-MIN(4,2+'5. Scenarios'!$E$8))/4+INDEX(BookQ3,1777)*(5-MIN(4,3+'5. Scenarios'!$E$8))/4+INDEX(BookQ4,1777)*(5-MIN(4,4+'5. Scenarios'!$E$8))/4)*'5. Scenarios'!$E$6/(1+ProductivityDefault*('5. Scenarios'!$E$11-1))+INDEX(BookOneOff,1777)*$S1782)</f>
        <v/>
      </c>
    </row>
    <row r="1783" customFormat="false" ht="15" hidden="false" customHeight="false" outlineLevel="0" collapsed="false">
      <c r="A1783" s="0" t="str">
        <f aca="false">IF(INDEX(BookTitle,1778)="","",INDEX(BookKey,1778))</f>
        <v/>
      </c>
      <c r="B1783" s="0" t="str">
        <f aca="false">IF(INDEX(BookTitle,1778)="","",INDEX(BookGroup,1778))</f>
        <v/>
      </c>
      <c r="C1783" s="0" t="str">
        <f aca="false">IF(INDEX(BookTitle,1778)="","",INDEX(BookCategory,1778))</f>
        <v/>
      </c>
      <c r="D1783" s="56" t="str">
        <f aca="false">IF(INDEX(BookTitle,1778)="","",INDEX(BookTotal,1778)*'5. Scenarios'!$B$6/(1+ProductivityDefault*('5. Scenarios'!$B$11-1)))</f>
        <v/>
      </c>
      <c r="E1783" s="57" t="str">
        <f aca="false">IF($D1783="","",INDEX(BookRate,1778)*(1+'5. Scenarios'!$B$10)*$D1783)</f>
        <v/>
      </c>
      <c r="F1783" s="57" t="str">
        <f aca="false">IF($E1783="","",SUMIFS($E$6:$E$2405,$A$6:$A$2405,"&lt;="&amp;$A1783))</f>
        <v/>
      </c>
      <c r="G1783" s="57" t="str">
        <f aca="false">IF($E1783="","",IF($F1783&lt;=BankCostEnvelope*'5. Scenarios'!$B$7,1,0))</f>
        <v/>
      </c>
      <c r="H1783" s="57" t="str">
        <f aca="false">IF($D1783="","",INDEX(BookRate,1778)*(1+'5. Scenarios'!$B$10)*(INDEX(BookQ1,1778)*(5-MIN(4,1+'5. Scenarios'!$B$8))/4+INDEX(BookQ2,1778)*(5-MIN(4,2+'5. Scenarios'!$B$8))/4+INDEX(BookQ3,1778)*(5-MIN(4,3+'5. Scenarios'!$B$8))/4+INDEX(BookQ4,1778)*(5-MIN(4,4+'5. Scenarios'!$B$8))/4)*'5. Scenarios'!$B$6/(1+ProductivityDefault*('5. Scenarios'!$B$11-1))+INDEX(BookOneOff,1778)*$D1783)</f>
        <v/>
      </c>
      <c r="I1783" s="56" t="str">
        <f aca="false">IF(INDEX(BookTitle,1778)="","",INDEX(BookTotal,1778)*'5. Scenarios'!$C$6/(1+ProductivityDefault*('5. Scenarios'!$C$11-1)))</f>
        <v/>
      </c>
      <c r="J1783" s="57" t="str">
        <f aca="false">IF($I1783="","",INDEX(BookRate,1778)*(1+'5. Scenarios'!$C$10)*$I1783)</f>
        <v/>
      </c>
      <c r="K1783" s="57" t="str">
        <f aca="false">IF($J1783="","",SUMIFS($J$6:$J$2405,$A$6:$A$2405,"&lt;="&amp;$A1783))</f>
        <v/>
      </c>
      <c r="L1783" s="57" t="str">
        <f aca="false">IF($J1783="","",IF($K1783&lt;=BankCostEnvelope*'5. Scenarios'!$C$7,1,0))</f>
        <v/>
      </c>
      <c r="M1783" s="57" t="str">
        <f aca="false">IF($I1783="","",INDEX(BookRate,1778)*(1+'5. Scenarios'!$C$10)*(INDEX(BookQ1,1778)*(5-MIN(4,1+'5. Scenarios'!$C$8))/4+INDEX(BookQ2,1778)*(5-MIN(4,2+'5. Scenarios'!$C$8))/4+INDEX(BookQ3,1778)*(5-MIN(4,3+'5. Scenarios'!$C$8))/4+INDEX(BookQ4,1778)*(5-MIN(4,4+'5. Scenarios'!$C$8))/4)*'5. Scenarios'!$C$6/(1+ProductivityDefault*('5. Scenarios'!$C$11-1))+INDEX(BookOneOff,1778)*$I1783)</f>
        <v/>
      </c>
      <c r="N1783" s="56" t="str">
        <f aca="false">IF(INDEX(BookTitle,1778)="","",INDEX(BookTotal,1778)*'5. Scenarios'!$D$6/(1+ProductivityDefault*('5. Scenarios'!$D$11-1)))</f>
        <v/>
      </c>
      <c r="O1783" s="57" t="str">
        <f aca="false">IF($N1783="","",INDEX(BookRate,1778)*(1+'5. Scenarios'!$D$10)*$N1783)</f>
        <v/>
      </c>
      <c r="P1783" s="57" t="str">
        <f aca="false">IF($O1783="","",SUMIFS($O$6:$O$2405,$A$6:$A$2405,"&lt;="&amp;$A1783))</f>
        <v/>
      </c>
      <c r="Q1783" s="57" t="str">
        <f aca="false">IF($O1783="","",IF($P1783&lt;=BankCostEnvelope*'5. Scenarios'!$D$7,1,0))</f>
        <v/>
      </c>
      <c r="R1783" s="57" t="str">
        <f aca="false">IF($N1783="","",INDEX(BookRate,1778)*(1+'5. Scenarios'!$D$10)*(INDEX(BookQ1,1778)*(5-MIN(4,1+'5. Scenarios'!$D$8))/4+INDEX(BookQ2,1778)*(5-MIN(4,2+'5. Scenarios'!$D$8))/4+INDEX(BookQ3,1778)*(5-MIN(4,3+'5. Scenarios'!$D$8))/4+INDEX(BookQ4,1778)*(5-MIN(4,4+'5. Scenarios'!$D$8))/4)*'5. Scenarios'!$D$6/(1+ProductivityDefault*('5. Scenarios'!$D$11-1))+INDEX(BookOneOff,1778)*$N1783)</f>
        <v/>
      </c>
      <c r="S1783" s="56" t="str">
        <f aca="false">IF(INDEX(BookTitle,1778)="","",INDEX(BookTotal,1778)*'5. Scenarios'!$E$6/(1+ProductivityDefault*('5. Scenarios'!$E$11-1)))</f>
        <v/>
      </c>
      <c r="T1783" s="57" t="str">
        <f aca="false">IF($S1783="","",INDEX(BookRate,1778)*(1+'5. Scenarios'!$E$10)*$S1783)</f>
        <v/>
      </c>
      <c r="U1783" s="57" t="str">
        <f aca="false">IF($T1783="","",SUMIFS($T$6:$T$2405,$A$6:$A$2405,"&lt;="&amp;$A1783))</f>
        <v/>
      </c>
      <c r="V1783" s="57" t="str">
        <f aca="false">IF($T1783="","",IF($U1783&lt;=BankCostEnvelope*'5. Scenarios'!$E$7,1,0))</f>
        <v/>
      </c>
      <c r="W1783" s="57" t="str">
        <f aca="false">IF($S1783="","",INDEX(BookRate,1778)*(1+'5. Scenarios'!$E$10)*(INDEX(BookQ1,1778)*(5-MIN(4,1+'5. Scenarios'!$E$8))/4+INDEX(BookQ2,1778)*(5-MIN(4,2+'5. Scenarios'!$E$8))/4+INDEX(BookQ3,1778)*(5-MIN(4,3+'5. Scenarios'!$E$8))/4+INDEX(BookQ4,1778)*(5-MIN(4,4+'5. Scenarios'!$E$8))/4)*'5. Scenarios'!$E$6/(1+ProductivityDefault*('5. Scenarios'!$E$11-1))+INDEX(BookOneOff,1778)*$S1783)</f>
        <v/>
      </c>
    </row>
    <row r="1784" customFormat="false" ht="15" hidden="false" customHeight="false" outlineLevel="0" collapsed="false">
      <c r="A1784" s="0" t="str">
        <f aca="false">IF(INDEX(BookTitle,1779)="","",INDEX(BookKey,1779))</f>
        <v/>
      </c>
      <c r="B1784" s="0" t="str">
        <f aca="false">IF(INDEX(BookTitle,1779)="","",INDEX(BookGroup,1779))</f>
        <v/>
      </c>
      <c r="C1784" s="0" t="str">
        <f aca="false">IF(INDEX(BookTitle,1779)="","",INDEX(BookCategory,1779))</f>
        <v/>
      </c>
      <c r="D1784" s="56" t="str">
        <f aca="false">IF(INDEX(BookTitle,1779)="","",INDEX(BookTotal,1779)*'5. Scenarios'!$B$6/(1+ProductivityDefault*('5. Scenarios'!$B$11-1)))</f>
        <v/>
      </c>
      <c r="E1784" s="57" t="str">
        <f aca="false">IF($D1784="","",INDEX(BookRate,1779)*(1+'5. Scenarios'!$B$10)*$D1784)</f>
        <v/>
      </c>
      <c r="F1784" s="57" t="str">
        <f aca="false">IF($E1784="","",SUMIFS($E$6:$E$2405,$A$6:$A$2405,"&lt;="&amp;$A1784))</f>
        <v/>
      </c>
      <c r="G1784" s="57" t="str">
        <f aca="false">IF($E1784="","",IF($F1784&lt;=BankCostEnvelope*'5. Scenarios'!$B$7,1,0))</f>
        <v/>
      </c>
      <c r="H1784" s="57" t="str">
        <f aca="false">IF($D1784="","",INDEX(BookRate,1779)*(1+'5. Scenarios'!$B$10)*(INDEX(BookQ1,1779)*(5-MIN(4,1+'5. Scenarios'!$B$8))/4+INDEX(BookQ2,1779)*(5-MIN(4,2+'5. Scenarios'!$B$8))/4+INDEX(BookQ3,1779)*(5-MIN(4,3+'5. Scenarios'!$B$8))/4+INDEX(BookQ4,1779)*(5-MIN(4,4+'5. Scenarios'!$B$8))/4)*'5. Scenarios'!$B$6/(1+ProductivityDefault*('5. Scenarios'!$B$11-1))+INDEX(BookOneOff,1779)*$D1784)</f>
        <v/>
      </c>
      <c r="I1784" s="56" t="str">
        <f aca="false">IF(INDEX(BookTitle,1779)="","",INDEX(BookTotal,1779)*'5. Scenarios'!$C$6/(1+ProductivityDefault*('5. Scenarios'!$C$11-1)))</f>
        <v/>
      </c>
      <c r="J1784" s="57" t="str">
        <f aca="false">IF($I1784="","",INDEX(BookRate,1779)*(1+'5. Scenarios'!$C$10)*$I1784)</f>
        <v/>
      </c>
      <c r="K1784" s="57" t="str">
        <f aca="false">IF($J1784="","",SUMIFS($J$6:$J$2405,$A$6:$A$2405,"&lt;="&amp;$A1784))</f>
        <v/>
      </c>
      <c r="L1784" s="57" t="str">
        <f aca="false">IF($J1784="","",IF($K1784&lt;=BankCostEnvelope*'5. Scenarios'!$C$7,1,0))</f>
        <v/>
      </c>
      <c r="M1784" s="57" t="str">
        <f aca="false">IF($I1784="","",INDEX(BookRate,1779)*(1+'5. Scenarios'!$C$10)*(INDEX(BookQ1,1779)*(5-MIN(4,1+'5. Scenarios'!$C$8))/4+INDEX(BookQ2,1779)*(5-MIN(4,2+'5. Scenarios'!$C$8))/4+INDEX(BookQ3,1779)*(5-MIN(4,3+'5. Scenarios'!$C$8))/4+INDEX(BookQ4,1779)*(5-MIN(4,4+'5. Scenarios'!$C$8))/4)*'5. Scenarios'!$C$6/(1+ProductivityDefault*('5. Scenarios'!$C$11-1))+INDEX(BookOneOff,1779)*$I1784)</f>
        <v/>
      </c>
      <c r="N1784" s="56" t="str">
        <f aca="false">IF(INDEX(BookTitle,1779)="","",INDEX(BookTotal,1779)*'5. Scenarios'!$D$6/(1+ProductivityDefault*('5. Scenarios'!$D$11-1)))</f>
        <v/>
      </c>
      <c r="O1784" s="57" t="str">
        <f aca="false">IF($N1784="","",INDEX(BookRate,1779)*(1+'5. Scenarios'!$D$10)*$N1784)</f>
        <v/>
      </c>
      <c r="P1784" s="57" t="str">
        <f aca="false">IF($O1784="","",SUMIFS($O$6:$O$2405,$A$6:$A$2405,"&lt;="&amp;$A1784))</f>
        <v/>
      </c>
      <c r="Q1784" s="57" t="str">
        <f aca="false">IF($O1784="","",IF($P1784&lt;=BankCostEnvelope*'5. Scenarios'!$D$7,1,0))</f>
        <v/>
      </c>
      <c r="R1784" s="57" t="str">
        <f aca="false">IF($N1784="","",INDEX(BookRate,1779)*(1+'5. Scenarios'!$D$10)*(INDEX(BookQ1,1779)*(5-MIN(4,1+'5. Scenarios'!$D$8))/4+INDEX(BookQ2,1779)*(5-MIN(4,2+'5. Scenarios'!$D$8))/4+INDEX(BookQ3,1779)*(5-MIN(4,3+'5. Scenarios'!$D$8))/4+INDEX(BookQ4,1779)*(5-MIN(4,4+'5. Scenarios'!$D$8))/4)*'5. Scenarios'!$D$6/(1+ProductivityDefault*('5. Scenarios'!$D$11-1))+INDEX(BookOneOff,1779)*$N1784)</f>
        <v/>
      </c>
      <c r="S1784" s="56" t="str">
        <f aca="false">IF(INDEX(BookTitle,1779)="","",INDEX(BookTotal,1779)*'5. Scenarios'!$E$6/(1+ProductivityDefault*('5. Scenarios'!$E$11-1)))</f>
        <v/>
      </c>
      <c r="T1784" s="57" t="str">
        <f aca="false">IF($S1784="","",INDEX(BookRate,1779)*(1+'5. Scenarios'!$E$10)*$S1784)</f>
        <v/>
      </c>
      <c r="U1784" s="57" t="str">
        <f aca="false">IF($T1784="","",SUMIFS($T$6:$T$2405,$A$6:$A$2405,"&lt;="&amp;$A1784))</f>
        <v/>
      </c>
      <c r="V1784" s="57" t="str">
        <f aca="false">IF($T1784="","",IF($U1784&lt;=BankCostEnvelope*'5. Scenarios'!$E$7,1,0))</f>
        <v/>
      </c>
      <c r="W1784" s="57" t="str">
        <f aca="false">IF($S1784="","",INDEX(BookRate,1779)*(1+'5. Scenarios'!$E$10)*(INDEX(BookQ1,1779)*(5-MIN(4,1+'5. Scenarios'!$E$8))/4+INDEX(BookQ2,1779)*(5-MIN(4,2+'5. Scenarios'!$E$8))/4+INDEX(BookQ3,1779)*(5-MIN(4,3+'5. Scenarios'!$E$8))/4+INDEX(BookQ4,1779)*(5-MIN(4,4+'5. Scenarios'!$E$8))/4)*'5. Scenarios'!$E$6/(1+ProductivityDefault*('5. Scenarios'!$E$11-1))+INDEX(BookOneOff,1779)*$S1784)</f>
        <v/>
      </c>
    </row>
    <row r="1785" customFormat="false" ht="15" hidden="false" customHeight="false" outlineLevel="0" collapsed="false">
      <c r="A1785" s="0" t="str">
        <f aca="false">IF(INDEX(BookTitle,1780)="","",INDEX(BookKey,1780))</f>
        <v/>
      </c>
      <c r="B1785" s="0" t="str">
        <f aca="false">IF(INDEX(BookTitle,1780)="","",INDEX(BookGroup,1780))</f>
        <v/>
      </c>
      <c r="C1785" s="0" t="str">
        <f aca="false">IF(INDEX(BookTitle,1780)="","",INDEX(BookCategory,1780))</f>
        <v/>
      </c>
      <c r="D1785" s="56" t="str">
        <f aca="false">IF(INDEX(BookTitle,1780)="","",INDEX(BookTotal,1780)*'5. Scenarios'!$B$6/(1+ProductivityDefault*('5. Scenarios'!$B$11-1)))</f>
        <v/>
      </c>
      <c r="E1785" s="57" t="str">
        <f aca="false">IF($D1785="","",INDEX(BookRate,1780)*(1+'5. Scenarios'!$B$10)*$D1785)</f>
        <v/>
      </c>
      <c r="F1785" s="57" t="str">
        <f aca="false">IF($E1785="","",SUMIFS($E$6:$E$2405,$A$6:$A$2405,"&lt;="&amp;$A1785))</f>
        <v/>
      </c>
      <c r="G1785" s="57" t="str">
        <f aca="false">IF($E1785="","",IF($F1785&lt;=BankCostEnvelope*'5. Scenarios'!$B$7,1,0))</f>
        <v/>
      </c>
      <c r="H1785" s="57" t="str">
        <f aca="false">IF($D1785="","",INDEX(BookRate,1780)*(1+'5. Scenarios'!$B$10)*(INDEX(BookQ1,1780)*(5-MIN(4,1+'5. Scenarios'!$B$8))/4+INDEX(BookQ2,1780)*(5-MIN(4,2+'5. Scenarios'!$B$8))/4+INDEX(BookQ3,1780)*(5-MIN(4,3+'5. Scenarios'!$B$8))/4+INDEX(BookQ4,1780)*(5-MIN(4,4+'5. Scenarios'!$B$8))/4)*'5. Scenarios'!$B$6/(1+ProductivityDefault*('5. Scenarios'!$B$11-1))+INDEX(BookOneOff,1780)*$D1785)</f>
        <v/>
      </c>
      <c r="I1785" s="56" t="str">
        <f aca="false">IF(INDEX(BookTitle,1780)="","",INDEX(BookTotal,1780)*'5. Scenarios'!$C$6/(1+ProductivityDefault*('5. Scenarios'!$C$11-1)))</f>
        <v/>
      </c>
      <c r="J1785" s="57" t="str">
        <f aca="false">IF($I1785="","",INDEX(BookRate,1780)*(1+'5. Scenarios'!$C$10)*$I1785)</f>
        <v/>
      </c>
      <c r="K1785" s="57" t="str">
        <f aca="false">IF($J1785="","",SUMIFS($J$6:$J$2405,$A$6:$A$2405,"&lt;="&amp;$A1785))</f>
        <v/>
      </c>
      <c r="L1785" s="57" t="str">
        <f aca="false">IF($J1785="","",IF($K1785&lt;=BankCostEnvelope*'5. Scenarios'!$C$7,1,0))</f>
        <v/>
      </c>
      <c r="M1785" s="57" t="str">
        <f aca="false">IF($I1785="","",INDEX(BookRate,1780)*(1+'5. Scenarios'!$C$10)*(INDEX(BookQ1,1780)*(5-MIN(4,1+'5. Scenarios'!$C$8))/4+INDEX(BookQ2,1780)*(5-MIN(4,2+'5. Scenarios'!$C$8))/4+INDEX(BookQ3,1780)*(5-MIN(4,3+'5. Scenarios'!$C$8))/4+INDEX(BookQ4,1780)*(5-MIN(4,4+'5. Scenarios'!$C$8))/4)*'5. Scenarios'!$C$6/(1+ProductivityDefault*('5. Scenarios'!$C$11-1))+INDEX(BookOneOff,1780)*$I1785)</f>
        <v/>
      </c>
      <c r="N1785" s="56" t="str">
        <f aca="false">IF(INDEX(BookTitle,1780)="","",INDEX(BookTotal,1780)*'5. Scenarios'!$D$6/(1+ProductivityDefault*('5. Scenarios'!$D$11-1)))</f>
        <v/>
      </c>
      <c r="O1785" s="57" t="str">
        <f aca="false">IF($N1785="","",INDEX(BookRate,1780)*(1+'5. Scenarios'!$D$10)*$N1785)</f>
        <v/>
      </c>
      <c r="P1785" s="57" t="str">
        <f aca="false">IF($O1785="","",SUMIFS($O$6:$O$2405,$A$6:$A$2405,"&lt;="&amp;$A1785))</f>
        <v/>
      </c>
      <c r="Q1785" s="57" t="str">
        <f aca="false">IF($O1785="","",IF($P1785&lt;=BankCostEnvelope*'5. Scenarios'!$D$7,1,0))</f>
        <v/>
      </c>
      <c r="R1785" s="57" t="str">
        <f aca="false">IF($N1785="","",INDEX(BookRate,1780)*(1+'5. Scenarios'!$D$10)*(INDEX(BookQ1,1780)*(5-MIN(4,1+'5. Scenarios'!$D$8))/4+INDEX(BookQ2,1780)*(5-MIN(4,2+'5. Scenarios'!$D$8))/4+INDEX(BookQ3,1780)*(5-MIN(4,3+'5. Scenarios'!$D$8))/4+INDEX(BookQ4,1780)*(5-MIN(4,4+'5. Scenarios'!$D$8))/4)*'5. Scenarios'!$D$6/(1+ProductivityDefault*('5. Scenarios'!$D$11-1))+INDEX(BookOneOff,1780)*$N1785)</f>
        <v/>
      </c>
      <c r="S1785" s="56" t="str">
        <f aca="false">IF(INDEX(BookTitle,1780)="","",INDEX(BookTotal,1780)*'5. Scenarios'!$E$6/(1+ProductivityDefault*('5. Scenarios'!$E$11-1)))</f>
        <v/>
      </c>
      <c r="T1785" s="57" t="str">
        <f aca="false">IF($S1785="","",INDEX(BookRate,1780)*(1+'5. Scenarios'!$E$10)*$S1785)</f>
        <v/>
      </c>
      <c r="U1785" s="57" t="str">
        <f aca="false">IF($T1785="","",SUMIFS($T$6:$T$2405,$A$6:$A$2405,"&lt;="&amp;$A1785))</f>
        <v/>
      </c>
      <c r="V1785" s="57" t="str">
        <f aca="false">IF($T1785="","",IF($U1785&lt;=BankCostEnvelope*'5. Scenarios'!$E$7,1,0))</f>
        <v/>
      </c>
      <c r="W1785" s="57" t="str">
        <f aca="false">IF($S1785="","",INDEX(BookRate,1780)*(1+'5. Scenarios'!$E$10)*(INDEX(BookQ1,1780)*(5-MIN(4,1+'5. Scenarios'!$E$8))/4+INDEX(BookQ2,1780)*(5-MIN(4,2+'5. Scenarios'!$E$8))/4+INDEX(BookQ3,1780)*(5-MIN(4,3+'5. Scenarios'!$E$8))/4+INDEX(BookQ4,1780)*(5-MIN(4,4+'5. Scenarios'!$E$8))/4)*'5. Scenarios'!$E$6/(1+ProductivityDefault*('5. Scenarios'!$E$11-1))+INDEX(BookOneOff,1780)*$S1785)</f>
        <v/>
      </c>
    </row>
    <row r="1786" customFormat="false" ht="15" hidden="false" customHeight="false" outlineLevel="0" collapsed="false">
      <c r="A1786" s="0" t="str">
        <f aca="false">IF(INDEX(BookTitle,1781)="","",INDEX(BookKey,1781))</f>
        <v/>
      </c>
      <c r="B1786" s="0" t="str">
        <f aca="false">IF(INDEX(BookTitle,1781)="","",INDEX(BookGroup,1781))</f>
        <v/>
      </c>
      <c r="C1786" s="0" t="str">
        <f aca="false">IF(INDEX(BookTitle,1781)="","",INDEX(BookCategory,1781))</f>
        <v/>
      </c>
      <c r="D1786" s="56" t="str">
        <f aca="false">IF(INDEX(BookTitle,1781)="","",INDEX(BookTotal,1781)*'5. Scenarios'!$B$6/(1+ProductivityDefault*('5. Scenarios'!$B$11-1)))</f>
        <v/>
      </c>
      <c r="E1786" s="57" t="str">
        <f aca="false">IF($D1786="","",INDEX(BookRate,1781)*(1+'5. Scenarios'!$B$10)*$D1786)</f>
        <v/>
      </c>
      <c r="F1786" s="57" t="str">
        <f aca="false">IF($E1786="","",SUMIFS($E$6:$E$2405,$A$6:$A$2405,"&lt;="&amp;$A1786))</f>
        <v/>
      </c>
      <c r="G1786" s="57" t="str">
        <f aca="false">IF($E1786="","",IF($F1786&lt;=BankCostEnvelope*'5. Scenarios'!$B$7,1,0))</f>
        <v/>
      </c>
      <c r="H1786" s="57" t="str">
        <f aca="false">IF($D1786="","",INDEX(BookRate,1781)*(1+'5. Scenarios'!$B$10)*(INDEX(BookQ1,1781)*(5-MIN(4,1+'5. Scenarios'!$B$8))/4+INDEX(BookQ2,1781)*(5-MIN(4,2+'5. Scenarios'!$B$8))/4+INDEX(BookQ3,1781)*(5-MIN(4,3+'5. Scenarios'!$B$8))/4+INDEX(BookQ4,1781)*(5-MIN(4,4+'5. Scenarios'!$B$8))/4)*'5. Scenarios'!$B$6/(1+ProductivityDefault*('5. Scenarios'!$B$11-1))+INDEX(BookOneOff,1781)*$D1786)</f>
        <v/>
      </c>
      <c r="I1786" s="56" t="str">
        <f aca="false">IF(INDEX(BookTitle,1781)="","",INDEX(BookTotal,1781)*'5. Scenarios'!$C$6/(1+ProductivityDefault*('5. Scenarios'!$C$11-1)))</f>
        <v/>
      </c>
      <c r="J1786" s="57" t="str">
        <f aca="false">IF($I1786="","",INDEX(BookRate,1781)*(1+'5. Scenarios'!$C$10)*$I1786)</f>
        <v/>
      </c>
      <c r="K1786" s="57" t="str">
        <f aca="false">IF($J1786="","",SUMIFS($J$6:$J$2405,$A$6:$A$2405,"&lt;="&amp;$A1786))</f>
        <v/>
      </c>
      <c r="L1786" s="57" t="str">
        <f aca="false">IF($J1786="","",IF($K1786&lt;=BankCostEnvelope*'5. Scenarios'!$C$7,1,0))</f>
        <v/>
      </c>
      <c r="M1786" s="57" t="str">
        <f aca="false">IF($I1786="","",INDEX(BookRate,1781)*(1+'5. Scenarios'!$C$10)*(INDEX(BookQ1,1781)*(5-MIN(4,1+'5. Scenarios'!$C$8))/4+INDEX(BookQ2,1781)*(5-MIN(4,2+'5. Scenarios'!$C$8))/4+INDEX(BookQ3,1781)*(5-MIN(4,3+'5. Scenarios'!$C$8))/4+INDEX(BookQ4,1781)*(5-MIN(4,4+'5. Scenarios'!$C$8))/4)*'5. Scenarios'!$C$6/(1+ProductivityDefault*('5. Scenarios'!$C$11-1))+INDEX(BookOneOff,1781)*$I1786)</f>
        <v/>
      </c>
      <c r="N1786" s="56" t="str">
        <f aca="false">IF(INDEX(BookTitle,1781)="","",INDEX(BookTotal,1781)*'5. Scenarios'!$D$6/(1+ProductivityDefault*('5. Scenarios'!$D$11-1)))</f>
        <v/>
      </c>
      <c r="O1786" s="57" t="str">
        <f aca="false">IF($N1786="","",INDEX(BookRate,1781)*(1+'5. Scenarios'!$D$10)*$N1786)</f>
        <v/>
      </c>
      <c r="P1786" s="57" t="str">
        <f aca="false">IF($O1786="","",SUMIFS($O$6:$O$2405,$A$6:$A$2405,"&lt;="&amp;$A1786))</f>
        <v/>
      </c>
      <c r="Q1786" s="57" t="str">
        <f aca="false">IF($O1786="","",IF($P1786&lt;=BankCostEnvelope*'5. Scenarios'!$D$7,1,0))</f>
        <v/>
      </c>
      <c r="R1786" s="57" t="str">
        <f aca="false">IF($N1786="","",INDEX(BookRate,1781)*(1+'5. Scenarios'!$D$10)*(INDEX(BookQ1,1781)*(5-MIN(4,1+'5. Scenarios'!$D$8))/4+INDEX(BookQ2,1781)*(5-MIN(4,2+'5. Scenarios'!$D$8))/4+INDEX(BookQ3,1781)*(5-MIN(4,3+'5. Scenarios'!$D$8))/4+INDEX(BookQ4,1781)*(5-MIN(4,4+'5. Scenarios'!$D$8))/4)*'5. Scenarios'!$D$6/(1+ProductivityDefault*('5. Scenarios'!$D$11-1))+INDEX(BookOneOff,1781)*$N1786)</f>
        <v/>
      </c>
      <c r="S1786" s="56" t="str">
        <f aca="false">IF(INDEX(BookTitle,1781)="","",INDEX(BookTotal,1781)*'5. Scenarios'!$E$6/(1+ProductivityDefault*('5. Scenarios'!$E$11-1)))</f>
        <v/>
      </c>
      <c r="T1786" s="57" t="str">
        <f aca="false">IF($S1786="","",INDEX(BookRate,1781)*(1+'5. Scenarios'!$E$10)*$S1786)</f>
        <v/>
      </c>
      <c r="U1786" s="57" t="str">
        <f aca="false">IF($T1786="","",SUMIFS($T$6:$T$2405,$A$6:$A$2405,"&lt;="&amp;$A1786))</f>
        <v/>
      </c>
      <c r="V1786" s="57" t="str">
        <f aca="false">IF($T1786="","",IF($U1786&lt;=BankCostEnvelope*'5. Scenarios'!$E$7,1,0))</f>
        <v/>
      </c>
      <c r="W1786" s="57" t="str">
        <f aca="false">IF($S1786="","",INDEX(BookRate,1781)*(1+'5. Scenarios'!$E$10)*(INDEX(BookQ1,1781)*(5-MIN(4,1+'5. Scenarios'!$E$8))/4+INDEX(BookQ2,1781)*(5-MIN(4,2+'5. Scenarios'!$E$8))/4+INDEX(BookQ3,1781)*(5-MIN(4,3+'5. Scenarios'!$E$8))/4+INDEX(BookQ4,1781)*(5-MIN(4,4+'5. Scenarios'!$E$8))/4)*'5. Scenarios'!$E$6/(1+ProductivityDefault*('5. Scenarios'!$E$11-1))+INDEX(BookOneOff,1781)*$S1786)</f>
        <v/>
      </c>
    </row>
    <row r="1787" customFormat="false" ht="15" hidden="false" customHeight="false" outlineLevel="0" collapsed="false">
      <c r="A1787" s="0" t="str">
        <f aca="false">IF(INDEX(BookTitle,1782)="","",INDEX(BookKey,1782))</f>
        <v/>
      </c>
      <c r="B1787" s="0" t="str">
        <f aca="false">IF(INDEX(BookTitle,1782)="","",INDEX(BookGroup,1782))</f>
        <v/>
      </c>
      <c r="C1787" s="0" t="str">
        <f aca="false">IF(INDEX(BookTitle,1782)="","",INDEX(BookCategory,1782))</f>
        <v/>
      </c>
      <c r="D1787" s="56" t="str">
        <f aca="false">IF(INDEX(BookTitle,1782)="","",INDEX(BookTotal,1782)*'5. Scenarios'!$B$6/(1+ProductivityDefault*('5. Scenarios'!$B$11-1)))</f>
        <v/>
      </c>
      <c r="E1787" s="57" t="str">
        <f aca="false">IF($D1787="","",INDEX(BookRate,1782)*(1+'5. Scenarios'!$B$10)*$D1787)</f>
        <v/>
      </c>
      <c r="F1787" s="57" t="str">
        <f aca="false">IF($E1787="","",SUMIFS($E$6:$E$2405,$A$6:$A$2405,"&lt;="&amp;$A1787))</f>
        <v/>
      </c>
      <c r="G1787" s="57" t="str">
        <f aca="false">IF($E1787="","",IF($F1787&lt;=BankCostEnvelope*'5. Scenarios'!$B$7,1,0))</f>
        <v/>
      </c>
      <c r="H1787" s="57" t="str">
        <f aca="false">IF($D1787="","",INDEX(BookRate,1782)*(1+'5. Scenarios'!$B$10)*(INDEX(BookQ1,1782)*(5-MIN(4,1+'5. Scenarios'!$B$8))/4+INDEX(BookQ2,1782)*(5-MIN(4,2+'5. Scenarios'!$B$8))/4+INDEX(BookQ3,1782)*(5-MIN(4,3+'5. Scenarios'!$B$8))/4+INDEX(BookQ4,1782)*(5-MIN(4,4+'5. Scenarios'!$B$8))/4)*'5. Scenarios'!$B$6/(1+ProductivityDefault*('5. Scenarios'!$B$11-1))+INDEX(BookOneOff,1782)*$D1787)</f>
        <v/>
      </c>
      <c r="I1787" s="56" t="str">
        <f aca="false">IF(INDEX(BookTitle,1782)="","",INDEX(BookTotal,1782)*'5. Scenarios'!$C$6/(1+ProductivityDefault*('5. Scenarios'!$C$11-1)))</f>
        <v/>
      </c>
      <c r="J1787" s="57" t="str">
        <f aca="false">IF($I1787="","",INDEX(BookRate,1782)*(1+'5. Scenarios'!$C$10)*$I1787)</f>
        <v/>
      </c>
      <c r="K1787" s="57" t="str">
        <f aca="false">IF($J1787="","",SUMIFS($J$6:$J$2405,$A$6:$A$2405,"&lt;="&amp;$A1787))</f>
        <v/>
      </c>
      <c r="L1787" s="57" t="str">
        <f aca="false">IF($J1787="","",IF($K1787&lt;=BankCostEnvelope*'5. Scenarios'!$C$7,1,0))</f>
        <v/>
      </c>
      <c r="M1787" s="57" t="str">
        <f aca="false">IF($I1787="","",INDEX(BookRate,1782)*(1+'5. Scenarios'!$C$10)*(INDEX(BookQ1,1782)*(5-MIN(4,1+'5. Scenarios'!$C$8))/4+INDEX(BookQ2,1782)*(5-MIN(4,2+'5. Scenarios'!$C$8))/4+INDEX(BookQ3,1782)*(5-MIN(4,3+'5. Scenarios'!$C$8))/4+INDEX(BookQ4,1782)*(5-MIN(4,4+'5. Scenarios'!$C$8))/4)*'5. Scenarios'!$C$6/(1+ProductivityDefault*('5. Scenarios'!$C$11-1))+INDEX(BookOneOff,1782)*$I1787)</f>
        <v/>
      </c>
      <c r="N1787" s="56" t="str">
        <f aca="false">IF(INDEX(BookTitle,1782)="","",INDEX(BookTotal,1782)*'5. Scenarios'!$D$6/(1+ProductivityDefault*('5. Scenarios'!$D$11-1)))</f>
        <v/>
      </c>
      <c r="O1787" s="57" t="str">
        <f aca="false">IF($N1787="","",INDEX(BookRate,1782)*(1+'5. Scenarios'!$D$10)*$N1787)</f>
        <v/>
      </c>
      <c r="P1787" s="57" t="str">
        <f aca="false">IF($O1787="","",SUMIFS($O$6:$O$2405,$A$6:$A$2405,"&lt;="&amp;$A1787))</f>
        <v/>
      </c>
      <c r="Q1787" s="57" t="str">
        <f aca="false">IF($O1787="","",IF($P1787&lt;=BankCostEnvelope*'5. Scenarios'!$D$7,1,0))</f>
        <v/>
      </c>
      <c r="R1787" s="57" t="str">
        <f aca="false">IF($N1787="","",INDEX(BookRate,1782)*(1+'5. Scenarios'!$D$10)*(INDEX(BookQ1,1782)*(5-MIN(4,1+'5. Scenarios'!$D$8))/4+INDEX(BookQ2,1782)*(5-MIN(4,2+'5. Scenarios'!$D$8))/4+INDEX(BookQ3,1782)*(5-MIN(4,3+'5. Scenarios'!$D$8))/4+INDEX(BookQ4,1782)*(5-MIN(4,4+'5. Scenarios'!$D$8))/4)*'5. Scenarios'!$D$6/(1+ProductivityDefault*('5. Scenarios'!$D$11-1))+INDEX(BookOneOff,1782)*$N1787)</f>
        <v/>
      </c>
      <c r="S1787" s="56" t="str">
        <f aca="false">IF(INDEX(BookTitle,1782)="","",INDEX(BookTotal,1782)*'5. Scenarios'!$E$6/(1+ProductivityDefault*('5. Scenarios'!$E$11-1)))</f>
        <v/>
      </c>
      <c r="T1787" s="57" t="str">
        <f aca="false">IF($S1787="","",INDEX(BookRate,1782)*(1+'5. Scenarios'!$E$10)*$S1787)</f>
        <v/>
      </c>
      <c r="U1787" s="57" t="str">
        <f aca="false">IF($T1787="","",SUMIFS($T$6:$T$2405,$A$6:$A$2405,"&lt;="&amp;$A1787))</f>
        <v/>
      </c>
      <c r="V1787" s="57" t="str">
        <f aca="false">IF($T1787="","",IF($U1787&lt;=BankCostEnvelope*'5. Scenarios'!$E$7,1,0))</f>
        <v/>
      </c>
      <c r="W1787" s="57" t="str">
        <f aca="false">IF($S1787="","",INDEX(BookRate,1782)*(1+'5. Scenarios'!$E$10)*(INDEX(BookQ1,1782)*(5-MIN(4,1+'5. Scenarios'!$E$8))/4+INDEX(BookQ2,1782)*(5-MIN(4,2+'5. Scenarios'!$E$8))/4+INDEX(BookQ3,1782)*(5-MIN(4,3+'5. Scenarios'!$E$8))/4+INDEX(BookQ4,1782)*(5-MIN(4,4+'5. Scenarios'!$E$8))/4)*'5. Scenarios'!$E$6/(1+ProductivityDefault*('5. Scenarios'!$E$11-1))+INDEX(BookOneOff,1782)*$S1787)</f>
        <v/>
      </c>
    </row>
    <row r="1788" customFormat="false" ht="15" hidden="false" customHeight="false" outlineLevel="0" collapsed="false">
      <c r="A1788" s="0" t="str">
        <f aca="false">IF(INDEX(BookTitle,1783)="","",INDEX(BookKey,1783))</f>
        <v/>
      </c>
      <c r="B1788" s="0" t="str">
        <f aca="false">IF(INDEX(BookTitle,1783)="","",INDEX(BookGroup,1783))</f>
        <v/>
      </c>
      <c r="C1788" s="0" t="str">
        <f aca="false">IF(INDEX(BookTitle,1783)="","",INDEX(BookCategory,1783))</f>
        <v/>
      </c>
      <c r="D1788" s="56" t="str">
        <f aca="false">IF(INDEX(BookTitle,1783)="","",INDEX(BookTotal,1783)*'5. Scenarios'!$B$6/(1+ProductivityDefault*('5. Scenarios'!$B$11-1)))</f>
        <v/>
      </c>
      <c r="E1788" s="57" t="str">
        <f aca="false">IF($D1788="","",INDEX(BookRate,1783)*(1+'5. Scenarios'!$B$10)*$D1788)</f>
        <v/>
      </c>
      <c r="F1788" s="57" t="str">
        <f aca="false">IF($E1788="","",SUMIFS($E$6:$E$2405,$A$6:$A$2405,"&lt;="&amp;$A1788))</f>
        <v/>
      </c>
      <c r="G1788" s="57" t="str">
        <f aca="false">IF($E1788="","",IF($F1788&lt;=BankCostEnvelope*'5. Scenarios'!$B$7,1,0))</f>
        <v/>
      </c>
      <c r="H1788" s="57" t="str">
        <f aca="false">IF($D1788="","",INDEX(BookRate,1783)*(1+'5. Scenarios'!$B$10)*(INDEX(BookQ1,1783)*(5-MIN(4,1+'5. Scenarios'!$B$8))/4+INDEX(BookQ2,1783)*(5-MIN(4,2+'5. Scenarios'!$B$8))/4+INDEX(BookQ3,1783)*(5-MIN(4,3+'5. Scenarios'!$B$8))/4+INDEX(BookQ4,1783)*(5-MIN(4,4+'5. Scenarios'!$B$8))/4)*'5. Scenarios'!$B$6/(1+ProductivityDefault*('5. Scenarios'!$B$11-1))+INDEX(BookOneOff,1783)*$D1788)</f>
        <v/>
      </c>
      <c r="I1788" s="56" t="str">
        <f aca="false">IF(INDEX(BookTitle,1783)="","",INDEX(BookTotal,1783)*'5. Scenarios'!$C$6/(1+ProductivityDefault*('5. Scenarios'!$C$11-1)))</f>
        <v/>
      </c>
      <c r="J1788" s="57" t="str">
        <f aca="false">IF($I1788="","",INDEX(BookRate,1783)*(1+'5. Scenarios'!$C$10)*$I1788)</f>
        <v/>
      </c>
      <c r="K1788" s="57" t="str">
        <f aca="false">IF($J1788="","",SUMIFS($J$6:$J$2405,$A$6:$A$2405,"&lt;="&amp;$A1788))</f>
        <v/>
      </c>
      <c r="L1788" s="57" t="str">
        <f aca="false">IF($J1788="","",IF($K1788&lt;=BankCostEnvelope*'5. Scenarios'!$C$7,1,0))</f>
        <v/>
      </c>
      <c r="M1788" s="57" t="str">
        <f aca="false">IF($I1788="","",INDEX(BookRate,1783)*(1+'5. Scenarios'!$C$10)*(INDEX(BookQ1,1783)*(5-MIN(4,1+'5. Scenarios'!$C$8))/4+INDEX(BookQ2,1783)*(5-MIN(4,2+'5. Scenarios'!$C$8))/4+INDEX(BookQ3,1783)*(5-MIN(4,3+'5. Scenarios'!$C$8))/4+INDEX(BookQ4,1783)*(5-MIN(4,4+'5. Scenarios'!$C$8))/4)*'5. Scenarios'!$C$6/(1+ProductivityDefault*('5. Scenarios'!$C$11-1))+INDEX(BookOneOff,1783)*$I1788)</f>
        <v/>
      </c>
      <c r="N1788" s="56" t="str">
        <f aca="false">IF(INDEX(BookTitle,1783)="","",INDEX(BookTotal,1783)*'5. Scenarios'!$D$6/(1+ProductivityDefault*('5. Scenarios'!$D$11-1)))</f>
        <v/>
      </c>
      <c r="O1788" s="57" t="str">
        <f aca="false">IF($N1788="","",INDEX(BookRate,1783)*(1+'5. Scenarios'!$D$10)*$N1788)</f>
        <v/>
      </c>
      <c r="P1788" s="57" t="str">
        <f aca="false">IF($O1788="","",SUMIFS($O$6:$O$2405,$A$6:$A$2405,"&lt;="&amp;$A1788))</f>
        <v/>
      </c>
      <c r="Q1788" s="57" t="str">
        <f aca="false">IF($O1788="","",IF($P1788&lt;=BankCostEnvelope*'5. Scenarios'!$D$7,1,0))</f>
        <v/>
      </c>
      <c r="R1788" s="57" t="str">
        <f aca="false">IF($N1788="","",INDEX(BookRate,1783)*(1+'5. Scenarios'!$D$10)*(INDEX(BookQ1,1783)*(5-MIN(4,1+'5. Scenarios'!$D$8))/4+INDEX(BookQ2,1783)*(5-MIN(4,2+'5. Scenarios'!$D$8))/4+INDEX(BookQ3,1783)*(5-MIN(4,3+'5. Scenarios'!$D$8))/4+INDEX(BookQ4,1783)*(5-MIN(4,4+'5. Scenarios'!$D$8))/4)*'5. Scenarios'!$D$6/(1+ProductivityDefault*('5. Scenarios'!$D$11-1))+INDEX(BookOneOff,1783)*$N1788)</f>
        <v/>
      </c>
      <c r="S1788" s="56" t="str">
        <f aca="false">IF(INDEX(BookTitle,1783)="","",INDEX(BookTotal,1783)*'5. Scenarios'!$E$6/(1+ProductivityDefault*('5. Scenarios'!$E$11-1)))</f>
        <v/>
      </c>
      <c r="T1788" s="57" t="str">
        <f aca="false">IF($S1788="","",INDEX(BookRate,1783)*(1+'5. Scenarios'!$E$10)*$S1788)</f>
        <v/>
      </c>
      <c r="U1788" s="57" t="str">
        <f aca="false">IF($T1788="","",SUMIFS($T$6:$T$2405,$A$6:$A$2405,"&lt;="&amp;$A1788))</f>
        <v/>
      </c>
      <c r="V1788" s="57" t="str">
        <f aca="false">IF($T1788="","",IF($U1788&lt;=BankCostEnvelope*'5. Scenarios'!$E$7,1,0))</f>
        <v/>
      </c>
      <c r="W1788" s="57" t="str">
        <f aca="false">IF($S1788="","",INDEX(BookRate,1783)*(1+'5. Scenarios'!$E$10)*(INDEX(BookQ1,1783)*(5-MIN(4,1+'5. Scenarios'!$E$8))/4+INDEX(BookQ2,1783)*(5-MIN(4,2+'5. Scenarios'!$E$8))/4+INDEX(BookQ3,1783)*(5-MIN(4,3+'5. Scenarios'!$E$8))/4+INDEX(BookQ4,1783)*(5-MIN(4,4+'5. Scenarios'!$E$8))/4)*'5. Scenarios'!$E$6/(1+ProductivityDefault*('5. Scenarios'!$E$11-1))+INDEX(BookOneOff,1783)*$S1788)</f>
        <v/>
      </c>
    </row>
    <row r="1789" customFormat="false" ht="15" hidden="false" customHeight="false" outlineLevel="0" collapsed="false">
      <c r="A1789" s="0" t="str">
        <f aca="false">IF(INDEX(BookTitle,1784)="","",INDEX(BookKey,1784))</f>
        <v/>
      </c>
      <c r="B1789" s="0" t="str">
        <f aca="false">IF(INDEX(BookTitle,1784)="","",INDEX(BookGroup,1784))</f>
        <v/>
      </c>
      <c r="C1789" s="0" t="str">
        <f aca="false">IF(INDEX(BookTitle,1784)="","",INDEX(BookCategory,1784))</f>
        <v/>
      </c>
      <c r="D1789" s="56" t="str">
        <f aca="false">IF(INDEX(BookTitle,1784)="","",INDEX(BookTotal,1784)*'5. Scenarios'!$B$6/(1+ProductivityDefault*('5. Scenarios'!$B$11-1)))</f>
        <v/>
      </c>
      <c r="E1789" s="57" t="str">
        <f aca="false">IF($D1789="","",INDEX(BookRate,1784)*(1+'5. Scenarios'!$B$10)*$D1789)</f>
        <v/>
      </c>
      <c r="F1789" s="57" t="str">
        <f aca="false">IF($E1789="","",SUMIFS($E$6:$E$2405,$A$6:$A$2405,"&lt;="&amp;$A1789))</f>
        <v/>
      </c>
      <c r="G1789" s="57" t="str">
        <f aca="false">IF($E1789="","",IF($F1789&lt;=BankCostEnvelope*'5. Scenarios'!$B$7,1,0))</f>
        <v/>
      </c>
      <c r="H1789" s="57" t="str">
        <f aca="false">IF($D1789="","",INDEX(BookRate,1784)*(1+'5. Scenarios'!$B$10)*(INDEX(BookQ1,1784)*(5-MIN(4,1+'5. Scenarios'!$B$8))/4+INDEX(BookQ2,1784)*(5-MIN(4,2+'5. Scenarios'!$B$8))/4+INDEX(BookQ3,1784)*(5-MIN(4,3+'5. Scenarios'!$B$8))/4+INDEX(BookQ4,1784)*(5-MIN(4,4+'5. Scenarios'!$B$8))/4)*'5. Scenarios'!$B$6/(1+ProductivityDefault*('5. Scenarios'!$B$11-1))+INDEX(BookOneOff,1784)*$D1789)</f>
        <v/>
      </c>
      <c r="I1789" s="56" t="str">
        <f aca="false">IF(INDEX(BookTitle,1784)="","",INDEX(BookTotal,1784)*'5. Scenarios'!$C$6/(1+ProductivityDefault*('5. Scenarios'!$C$11-1)))</f>
        <v/>
      </c>
      <c r="J1789" s="57" t="str">
        <f aca="false">IF($I1789="","",INDEX(BookRate,1784)*(1+'5. Scenarios'!$C$10)*$I1789)</f>
        <v/>
      </c>
      <c r="K1789" s="57" t="str">
        <f aca="false">IF($J1789="","",SUMIFS($J$6:$J$2405,$A$6:$A$2405,"&lt;="&amp;$A1789))</f>
        <v/>
      </c>
      <c r="L1789" s="57" t="str">
        <f aca="false">IF($J1789="","",IF($K1789&lt;=BankCostEnvelope*'5. Scenarios'!$C$7,1,0))</f>
        <v/>
      </c>
      <c r="M1789" s="57" t="str">
        <f aca="false">IF($I1789="","",INDEX(BookRate,1784)*(1+'5. Scenarios'!$C$10)*(INDEX(BookQ1,1784)*(5-MIN(4,1+'5. Scenarios'!$C$8))/4+INDEX(BookQ2,1784)*(5-MIN(4,2+'5. Scenarios'!$C$8))/4+INDEX(BookQ3,1784)*(5-MIN(4,3+'5. Scenarios'!$C$8))/4+INDEX(BookQ4,1784)*(5-MIN(4,4+'5. Scenarios'!$C$8))/4)*'5. Scenarios'!$C$6/(1+ProductivityDefault*('5. Scenarios'!$C$11-1))+INDEX(BookOneOff,1784)*$I1789)</f>
        <v/>
      </c>
      <c r="N1789" s="56" t="str">
        <f aca="false">IF(INDEX(BookTitle,1784)="","",INDEX(BookTotal,1784)*'5. Scenarios'!$D$6/(1+ProductivityDefault*('5. Scenarios'!$D$11-1)))</f>
        <v/>
      </c>
      <c r="O1789" s="57" t="str">
        <f aca="false">IF($N1789="","",INDEX(BookRate,1784)*(1+'5. Scenarios'!$D$10)*$N1789)</f>
        <v/>
      </c>
      <c r="P1789" s="57" t="str">
        <f aca="false">IF($O1789="","",SUMIFS($O$6:$O$2405,$A$6:$A$2405,"&lt;="&amp;$A1789))</f>
        <v/>
      </c>
      <c r="Q1789" s="57" t="str">
        <f aca="false">IF($O1789="","",IF($P1789&lt;=BankCostEnvelope*'5. Scenarios'!$D$7,1,0))</f>
        <v/>
      </c>
      <c r="R1789" s="57" t="str">
        <f aca="false">IF($N1789="","",INDEX(BookRate,1784)*(1+'5. Scenarios'!$D$10)*(INDEX(BookQ1,1784)*(5-MIN(4,1+'5. Scenarios'!$D$8))/4+INDEX(BookQ2,1784)*(5-MIN(4,2+'5. Scenarios'!$D$8))/4+INDEX(BookQ3,1784)*(5-MIN(4,3+'5. Scenarios'!$D$8))/4+INDEX(BookQ4,1784)*(5-MIN(4,4+'5. Scenarios'!$D$8))/4)*'5. Scenarios'!$D$6/(1+ProductivityDefault*('5. Scenarios'!$D$11-1))+INDEX(BookOneOff,1784)*$N1789)</f>
        <v/>
      </c>
      <c r="S1789" s="56" t="str">
        <f aca="false">IF(INDEX(BookTitle,1784)="","",INDEX(BookTotal,1784)*'5. Scenarios'!$E$6/(1+ProductivityDefault*('5. Scenarios'!$E$11-1)))</f>
        <v/>
      </c>
      <c r="T1789" s="57" t="str">
        <f aca="false">IF($S1789="","",INDEX(BookRate,1784)*(1+'5. Scenarios'!$E$10)*$S1789)</f>
        <v/>
      </c>
      <c r="U1789" s="57" t="str">
        <f aca="false">IF($T1789="","",SUMIFS($T$6:$T$2405,$A$6:$A$2405,"&lt;="&amp;$A1789))</f>
        <v/>
      </c>
      <c r="V1789" s="57" t="str">
        <f aca="false">IF($T1789="","",IF($U1789&lt;=BankCostEnvelope*'5. Scenarios'!$E$7,1,0))</f>
        <v/>
      </c>
      <c r="W1789" s="57" t="str">
        <f aca="false">IF($S1789="","",INDEX(BookRate,1784)*(1+'5. Scenarios'!$E$10)*(INDEX(BookQ1,1784)*(5-MIN(4,1+'5. Scenarios'!$E$8))/4+INDEX(BookQ2,1784)*(5-MIN(4,2+'5. Scenarios'!$E$8))/4+INDEX(BookQ3,1784)*(5-MIN(4,3+'5. Scenarios'!$E$8))/4+INDEX(BookQ4,1784)*(5-MIN(4,4+'5. Scenarios'!$E$8))/4)*'5. Scenarios'!$E$6/(1+ProductivityDefault*('5. Scenarios'!$E$11-1))+INDEX(BookOneOff,1784)*$S1789)</f>
        <v/>
      </c>
    </row>
    <row r="1790" customFormat="false" ht="15" hidden="false" customHeight="false" outlineLevel="0" collapsed="false">
      <c r="A1790" s="0" t="str">
        <f aca="false">IF(INDEX(BookTitle,1785)="","",INDEX(BookKey,1785))</f>
        <v/>
      </c>
      <c r="B1790" s="0" t="str">
        <f aca="false">IF(INDEX(BookTitle,1785)="","",INDEX(BookGroup,1785))</f>
        <v/>
      </c>
      <c r="C1790" s="0" t="str">
        <f aca="false">IF(INDEX(BookTitle,1785)="","",INDEX(BookCategory,1785))</f>
        <v/>
      </c>
      <c r="D1790" s="56" t="str">
        <f aca="false">IF(INDEX(BookTitle,1785)="","",INDEX(BookTotal,1785)*'5. Scenarios'!$B$6/(1+ProductivityDefault*('5. Scenarios'!$B$11-1)))</f>
        <v/>
      </c>
      <c r="E1790" s="57" t="str">
        <f aca="false">IF($D1790="","",INDEX(BookRate,1785)*(1+'5. Scenarios'!$B$10)*$D1790)</f>
        <v/>
      </c>
      <c r="F1790" s="57" t="str">
        <f aca="false">IF($E1790="","",SUMIFS($E$6:$E$2405,$A$6:$A$2405,"&lt;="&amp;$A1790))</f>
        <v/>
      </c>
      <c r="G1790" s="57" t="str">
        <f aca="false">IF($E1790="","",IF($F1790&lt;=BankCostEnvelope*'5. Scenarios'!$B$7,1,0))</f>
        <v/>
      </c>
      <c r="H1790" s="57" t="str">
        <f aca="false">IF($D1790="","",INDEX(BookRate,1785)*(1+'5. Scenarios'!$B$10)*(INDEX(BookQ1,1785)*(5-MIN(4,1+'5. Scenarios'!$B$8))/4+INDEX(BookQ2,1785)*(5-MIN(4,2+'5. Scenarios'!$B$8))/4+INDEX(BookQ3,1785)*(5-MIN(4,3+'5. Scenarios'!$B$8))/4+INDEX(BookQ4,1785)*(5-MIN(4,4+'5. Scenarios'!$B$8))/4)*'5. Scenarios'!$B$6/(1+ProductivityDefault*('5. Scenarios'!$B$11-1))+INDEX(BookOneOff,1785)*$D1790)</f>
        <v/>
      </c>
      <c r="I1790" s="56" t="str">
        <f aca="false">IF(INDEX(BookTitle,1785)="","",INDEX(BookTotal,1785)*'5. Scenarios'!$C$6/(1+ProductivityDefault*('5. Scenarios'!$C$11-1)))</f>
        <v/>
      </c>
      <c r="J1790" s="57" t="str">
        <f aca="false">IF($I1790="","",INDEX(BookRate,1785)*(1+'5. Scenarios'!$C$10)*$I1790)</f>
        <v/>
      </c>
      <c r="K1790" s="57" t="str">
        <f aca="false">IF($J1790="","",SUMIFS($J$6:$J$2405,$A$6:$A$2405,"&lt;="&amp;$A1790))</f>
        <v/>
      </c>
      <c r="L1790" s="57" t="str">
        <f aca="false">IF($J1790="","",IF($K1790&lt;=BankCostEnvelope*'5. Scenarios'!$C$7,1,0))</f>
        <v/>
      </c>
      <c r="M1790" s="57" t="str">
        <f aca="false">IF($I1790="","",INDEX(BookRate,1785)*(1+'5. Scenarios'!$C$10)*(INDEX(BookQ1,1785)*(5-MIN(4,1+'5. Scenarios'!$C$8))/4+INDEX(BookQ2,1785)*(5-MIN(4,2+'5. Scenarios'!$C$8))/4+INDEX(BookQ3,1785)*(5-MIN(4,3+'5. Scenarios'!$C$8))/4+INDEX(BookQ4,1785)*(5-MIN(4,4+'5. Scenarios'!$C$8))/4)*'5. Scenarios'!$C$6/(1+ProductivityDefault*('5. Scenarios'!$C$11-1))+INDEX(BookOneOff,1785)*$I1790)</f>
        <v/>
      </c>
      <c r="N1790" s="56" t="str">
        <f aca="false">IF(INDEX(BookTitle,1785)="","",INDEX(BookTotal,1785)*'5. Scenarios'!$D$6/(1+ProductivityDefault*('5. Scenarios'!$D$11-1)))</f>
        <v/>
      </c>
      <c r="O1790" s="57" t="str">
        <f aca="false">IF($N1790="","",INDEX(BookRate,1785)*(1+'5. Scenarios'!$D$10)*$N1790)</f>
        <v/>
      </c>
      <c r="P1790" s="57" t="str">
        <f aca="false">IF($O1790="","",SUMIFS($O$6:$O$2405,$A$6:$A$2405,"&lt;="&amp;$A1790))</f>
        <v/>
      </c>
      <c r="Q1790" s="57" t="str">
        <f aca="false">IF($O1790="","",IF($P1790&lt;=BankCostEnvelope*'5. Scenarios'!$D$7,1,0))</f>
        <v/>
      </c>
      <c r="R1790" s="57" t="str">
        <f aca="false">IF($N1790="","",INDEX(BookRate,1785)*(1+'5. Scenarios'!$D$10)*(INDEX(BookQ1,1785)*(5-MIN(4,1+'5. Scenarios'!$D$8))/4+INDEX(BookQ2,1785)*(5-MIN(4,2+'5. Scenarios'!$D$8))/4+INDEX(BookQ3,1785)*(5-MIN(4,3+'5. Scenarios'!$D$8))/4+INDEX(BookQ4,1785)*(5-MIN(4,4+'5. Scenarios'!$D$8))/4)*'5. Scenarios'!$D$6/(1+ProductivityDefault*('5. Scenarios'!$D$11-1))+INDEX(BookOneOff,1785)*$N1790)</f>
        <v/>
      </c>
      <c r="S1790" s="56" t="str">
        <f aca="false">IF(INDEX(BookTitle,1785)="","",INDEX(BookTotal,1785)*'5. Scenarios'!$E$6/(1+ProductivityDefault*('5. Scenarios'!$E$11-1)))</f>
        <v/>
      </c>
      <c r="T1790" s="57" t="str">
        <f aca="false">IF($S1790="","",INDEX(BookRate,1785)*(1+'5. Scenarios'!$E$10)*$S1790)</f>
        <v/>
      </c>
      <c r="U1790" s="57" t="str">
        <f aca="false">IF($T1790="","",SUMIFS($T$6:$T$2405,$A$6:$A$2405,"&lt;="&amp;$A1790))</f>
        <v/>
      </c>
      <c r="V1790" s="57" t="str">
        <f aca="false">IF($T1790="","",IF($U1790&lt;=BankCostEnvelope*'5. Scenarios'!$E$7,1,0))</f>
        <v/>
      </c>
      <c r="W1790" s="57" t="str">
        <f aca="false">IF($S1790="","",INDEX(BookRate,1785)*(1+'5. Scenarios'!$E$10)*(INDEX(BookQ1,1785)*(5-MIN(4,1+'5. Scenarios'!$E$8))/4+INDEX(BookQ2,1785)*(5-MIN(4,2+'5. Scenarios'!$E$8))/4+INDEX(BookQ3,1785)*(5-MIN(4,3+'5. Scenarios'!$E$8))/4+INDEX(BookQ4,1785)*(5-MIN(4,4+'5. Scenarios'!$E$8))/4)*'5. Scenarios'!$E$6/(1+ProductivityDefault*('5. Scenarios'!$E$11-1))+INDEX(BookOneOff,1785)*$S1790)</f>
        <v/>
      </c>
    </row>
    <row r="1791" customFormat="false" ht="15" hidden="false" customHeight="false" outlineLevel="0" collapsed="false">
      <c r="A1791" s="0" t="str">
        <f aca="false">IF(INDEX(BookTitle,1786)="","",INDEX(BookKey,1786))</f>
        <v/>
      </c>
      <c r="B1791" s="0" t="str">
        <f aca="false">IF(INDEX(BookTitle,1786)="","",INDEX(BookGroup,1786))</f>
        <v/>
      </c>
      <c r="C1791" s="0" t="str">
        <f aca="false">IF(INDEX(BookTitle,1786)="","",INDEX(BookCategory,1786))</f>
        <v/>
      </c>
      <c r="D1791" s="56" t="str">
        <f aca="false">IF(INDEX(BookTitle,1786)="","",INDEX(BookTotal,1786)*'5. Scenarios'!$B$6/(1+ProductivityDefault*('5. Scenarios'!$B$11-1)))</f>
        <v/>
      </c>
      <c r="E1791" s="57" t="str">
        <f aca="false">IF($D1791="","",INDEX(BookRate,1786)*(1+'5. Scenarios'!$B$10)*$D1791)</f>
        <v/>
      </c>
      <c r="F1791" s="57" t="str">
        <f aca="false">IF($E1791="","",SUMIFS($E$6:$E$2405,$A$6:$A$2405,"&lt;="&amp;$A1791))</f>
        <v/>
      </c>
      <c r="G1791" s="57" t="str">
        <f aca="false">IF($E1791="","",IF($F1791&lt;=BankCostEnvelope*'5. Scenarios'!$B$7,1,0))</f>
        <v/>
      </c>
      <c r="H1791" s="57" t="str">
        <f aca="false">IF($D1791="","",INDEX(BookRate,1786)*(1+'5. Scenarios'!$B$10)*(INDEX(BookQ1,1786)*(5-MIN(4,1+'5. Scenarios'!$B$8))/4+INDEX(BookQ2,1786)*(5-MIN(4,2+'5. Scenarios'!$B$8))/4+INDEX(BookQ3,1786)*(5-MIN(4,3+'5. Scenarios'!$B$8))/4+INDEX(BookQ4,1786)*(5-MIN(4,4+'5. Scenarios'!$B$8))/4)*'5. Scenarios'!$B$6/(1+ProductivityDefault*('5. Scenarios'!$B$11-1))+INDEX(BookOneOff,1786)*$D1791)</f>
        <v/>
      </c>
      <c r="I1791" s="56" t="str">
        <f aca="false">IF(INDEX(BookTitle,1786)="","",INDEX(BookTotal,1786)*'5. Scenarios'!$C$6/(1+ProductivityDefault*('5. Scenarios'!$C$11-1)))</f>
        <v/>
      </c>
      <c r="J1791" s="57" t="str">
        <f aca="false">IF($I1791="","",INDEX(BookRate,1786)*(1+'5. Scenarios'!$C$10)*$I1791)</f>
        <v/>
      </c>
      <c r="K1791" s="57" t="str">
        <f aca="false">IF($J1791="","",SUMIFS($J$6:$J$2405,$A$6:$A$2405,"&lt;="&amp;$A1791))</f>
        <v/>
      </c>
      <c r="L1791" s="57" t="str">
        <f aca="false">IF($J1791="","",IF($K1791&lt;=BankCostEnvelope*'5. Scenarios'!$C$7,1,0))</f>
        <v/>
      </c>
      <c r="M1791" s="57" t="str">
        <f aca="false">IF($I1791="","",INDEX(BookRate,1786)*(1+'5. Scenarios'!$C$10)*(INDEX(BookQ1,1786)*(5-MIN(4,1+'5. Scenarios'!$C$8))/4+INDEX(BookQ2,1786)*(5-MIN(4,2+'5. Scenarios'!$C$8))/4+INDEX(BookQ3,1786)*(5-MIN(4,3+'5. Scenarios'!$C$8))/4+INDEX(BookQ4,1786)*(5-MIN(4,4+'5. Scenarios'!$C$8))/4)*'5. Scenarios'!$C$6/(1+ProductivityDefault*('5. Scenarios'!$C$11-1))+INDEX(BookOneOff,1786)*$I1791)</f>
        <v/>
      </c>
      <c r="N1791" s="56" t="str">
        <f aca="false">IF(INDEX(BookTitle,1786)="","",INDEX(BookTotal,1786)*'5. Scenarios'!$D$6/(1+ProductivityDefault*('5. Scenarios'!$D$11-1)))</f>
        <v/>
      </c>
      <c r="O1791" s="57" t="str">
        <f aca="false">IF($N1791="","",INDEX(BookRate,1786)*(1+'5. Scenarios'!$D$10)*$N1791)</f>
        <v/>
      </c>
      <c r="P1791" s="57" t="str">
        <f aca="false">IF($O1791="","",SUMIFS($O$6:$O$2405,$A$6:$A$2405,"&lt;="&amp;$A1791))</f>
        <v/>
      </c>
      <c r="Q1791" s="57" t="str">
        <f aca="false">IF($O1791="","",IF($P1791&lt;=BankCostEnvelope*'5. Scenarios'!$D$7,1,0))</f>
        <v/>
      </c>
      <c r="R1791" s="57" t="str">
        <f aca="false">IF($N1791="","",INDEX(BookRate,1786)*(1+'5. Scenarios'!$D$10)*(INDEX(BookQ1,1786)*(5-MIN(4,1+'5. Scenarios'!$D$8))/4+INDEX(BookQ2,1786)*(5-MIN(4,2+'5. Scenarios'!$D$8))/4+INDEX(BookQ3,1786)*(5-MIN(4,3+'5. Scenarios'!$D$8))/4+INDEX(BookQ4,1786)*(5-MIN(4,4+'5. Scenarios'!$D$8))/4)*'5. Scenarios'!$D$6/(1+ProductivityDefault*('5. Scenarios'!$D$11-1))+INDEX(BookOneOff,1786)*$N1791)</f>
        <v/>
      </c>
      <c r="S1791" s="56" t="str">
        <f aca="false">IF(INDEX(BookTitle,1786)="","",INDEX(BookTotal,1786)*'5. Scenarios'!$E$6/(1+ProductivityDefault*('5. Scenarios'!$E$11-1)))</f>
        <v/>
      </c>
      <c r="T1791" s="57" t="str">
        <f aca="false">IF($S1791="","",INDEX(BookRate,1786)*(1+'5. Scenarios'!$E$10)*$S1791)</f>
        <v/>
      </c>
      <c r="U1791" s="57" t="str">
        <f aca="false">IF($T1791="","",SUMIFS($T$6:$T$2405,$A$6:$A$2405,"&lt;="&amp;$A1791))</f>
        <v/>
      </c>
      <c r="V1791" s="57" t="str">
        <f aca="false">IF($T1791="","",IF($U1791&lt;=BankCostEnvelope*'5. Scenarios'!$E$7,1,0))</f>
        <v/>
      </c>
      <c r="W1791" s="57" t="str">
        <f aca="false">IF($S1791="","",INDEX(BookRate,1786)*(1+'5. Scenarios'!$E$10)*(INDEX(BookQ1,1786)*(5-MIN(4,1+'5. Scenarios'!$E$8))/4+INDEX(BookQ2,1786)*(5-MIN(4,2+'5. Scenarios'!$E$8))/4+INDEX(BookQ3,1786)*(5-MIN(4,3+'5. Scenarios'!$E$8))/4+INDEX(BookQ4,1786)*(5-MIN(4,4+'5. Scenarios'!$E$8))/4)*'5. Scenarios'!$E$6/(1+ProductivityDefault*('5. Scenarios'!$E$11-1))+INDEX(BookOneOff,1786)*$S1791)</f>
        <v/>
      </c>
    </row>
    <row r="1792" customFormat="false" ht="15" hidden="false" customHeight="false" outlineLevel="0" collapsed="false">
      <c r="A1792" s="0" t="str">
        <f aca="false">IF(INDEX(BookTitle,1787)="","",INDEX(BookKey,1787))</f>
        <v/>
      </c>
      <c r="B1792" s="0" t="str">
        <f aca="false">IF(INDEX(BookTitle,1787)="","",INDEX(BookGroup,1787))</f>
        <v/>
      </c>
      <c r="C1792" s="0" t="str">
        <f aca="false">IF(INDEX(BookTitle,1787)="","",INDEX(BookCategory,1787))</f>
        <v/>
      </c>
      <c r="D1792" s="56" t="str">
        <f aca="false">IF(INDEX(BookTitle,1787)="","",INDEX(BookTotal,1787)*'5. Scenarios'!$B$6/(1+ProductivityDefault*('5. Scenarios'!$B$11-1)))</f>
        <v/>
      </c>
      <c r="E1792" s="57" t="str">
        <f aca="false">IF($D1792="","",INDEX(BookRate,1787)*(1+'5. Scenarios'!$B$10)*$D1792)</f>
        <v/>
      </c>
      <c r="F1792" s="57" t="str">
        <f aca="false">IF($E1792="","",SUMIFS($E$6:$E$2405,$A$6:$A$2405,"&lt;="&amp;$A1792))</f>
        <v/>
      </c>
      <c r="G1792" s="57" t="str">
        <f aca="false">IF($E1792="","",IF($F1792&lt;=BankCostEnvelope*'5. Scenarios'!$B$7,1,0))</f>
        <v/>
      </c>
      <c r="H1792" s="57" t="str">
        <f aca="false">IF($D1792="","",INDEX(BookRate,1787)*(1+'5. Scenarios'!$B$10)*(INDEX(BookQ1,1787)*(5-MIN(4,1+'5. Scenarios'!$B$8))/4+INDEX(BookQ2,1787)*(5-MIN(4,2+'5. Scenarios'!$B$8))/4+INDEX(BookQ3,1787)*(5-MIN(4,3+'5. Scenarios'!$B$8))/4+INDEX(BookQ4,1787)*(5-MIN(4,4+'5. Scenarios'!$B$8))/4)*'5. Scenarios'!$B$6/(1+ProductivityDefault*('5. Scenarios'!$B$11-1))+INDEX(BookOneOff,1787)*$D1792)</f>
        <v/>
      </c>
      <c r="I1792" s="56" t="str">
        <f aca="false">IF(INDEX(BookTitle,1787)="","",INDEX(BookTotal,1787)*'5. Scenarios'!$C$6/(1+ProductivityDefault*('5. Scenarios'!$C$11-1)))</f>
        <v/>
      </c>
      <c r="J1792" s="57" t="str">
        <f aca="false">IF($I1792="","",INDEX(BookRate,1787)*(1+'5. Scenarios'!$C$10)*$I1792)</f>
        <v/>
      </c>
      <c r="K1792" s="57" t="str">
        <f aca="false">IF($J1792="","",SUMIFS($J$6:$J$2405,$A$6:$A$2405,"&lt;="&amp;$A1792))</f>
        <v/>
      </c>
      <c r="L1792" s="57" t="str">
        <f aca="false">IF($J1792="","",IF($K1792&lt;=BankCostEnvelope*'5. Scenarios'!$C$7,1,0))</f>
        <v/>
      </c>
      <c r="M1792" s="57" t="str">
        <f aca="false">IF($I1792="","",INDEX(BookRate,1787)*(1+'5. Scenarios'!$C$10)*(INDEX(BookQ1,1787)*(5-MIN(4,1+'5. Scenarios'!$C$8))/4+INDEX(BookQ2,1787)*(5-MIN(4,2+'5. Scenarios'!$C$8))/4+INDEX(BookQ3,1787)*(5-MIN(4,3+'5. Scenarios'!$C$8))/4+INDEX(BookQ4,1787)*(5-MIN(4,4+'5. Scenarios'!$C$8))/4)*'5. Scenarios'!$C$6/(1+ProductivityDefault*('5. Scenarios'!$C$11-1))+INDEX(BookOneOff,1787)*$I1792)</f>
        <v/>
      </c>
      <c r="N1792" s="56" t="str">
        <f aca="false">IF(INDEX(BookTitle,1787)="","",INDEX(BookTotal,1787)*'5. Scenarios'!$D$6/(1+ProductivityDefault*('5. Scenarios'!$D$11-1)))</f>
        <v/>
      </c>
      <c r="O1792" s="57" t="str">
        <f aca="false">IF($N1792="","",INDEX(BookRate,1787)*(1+'5. Scenarios'!$D$10)*$N1792)</f>
        <v/>
      </c>
      <c r="P1792" s="57" t="str">
        <f aca="false">IF($O1792="","",SUMIFS($O$6:$O$2405,$A$6:$A$2405,"&lt;="&amp;$A1792))</f>
        <v/>
      </c>
      <c r="Q1792" s="57" t="str">
        <f aca="false">IF($O1792="","",IF($P1792&lt;=BankCostEnvelope*'5. Scenarios'!$D$7,1,0))</f>
        <v/>
      </c>
      <c r="R1792" s="57" t="str">
        <f aca="false">IF($N1792="","",INDEX(BookRate,1787)*(1+'5. Scenarios'!$D$10)*(INDEX(BookQ1,1787)*(5-MIN(4,1+'5. Scenarios'!$D$8))/4+INDEX(BookQ2,1787)*(5-MIN(4,2+'5. Scenarios'!$D$8))/4+INDEX(BookQ3,1787)*(5-MIN(4,3+'5. Scenarios'!$D$8))/4+INDEX(BookQ4,1787)*(5-MIN(4,4+'5. Scenarios'!$D$8))/4)*'5. Scenarios'!$D$6/(1+ProductivityDefault*('5. Scenarios'!$D$11-1))+INDEX(BookOneOff,1787)*$N1792)</f>
        <v/>
      </c>
      <c r="S1792" s="56" t="str">
        <f aca="false">IF(INDEX(BookTitle,1787)="","",INDEX(BookTotal,1787)*'5. Scenarios'!$E$6/(1+ProductivityDefault*('5. Scenarios'!$E$11-1)))</f>
        <v/>
      </c>
      <c r="T1792" s="57" t="str">
        <f aca="false">IF($S1792="","",INDEX(BookRate,1787)*(1+'5. Scenarios'!$E$10)*$S1792)</f>
        <v/>
      </c>
      <c r="U1792" s="57" t="str">
        <f aca="false">IF($T1792="","",SUMIFS($T$6:$T$2405,$A$6:$A$2405,"&lt;="&amp;$A1792))</f>
        <v/>
      </c>
      <c r="V1792" s="57" t="str">
        <f aca="false">IF($T1792="","",IF($U1792&lt;=BankCostEnvelope*'5. Scenarios'!$E$7,1,0))</f>
        <v/>
      </c>
      <c r="W1792" s="57" t="str">
        <f aca="false">IF($S1792="","",INDEX(BookRate,1787)*(1+'5. Scenarios'!$E$10)*(INDEX(BookQ1,1787)*(5-MIN(4,1+'5. Scenarios'!$E$8))/4+INDEX(BookQ2,1787)*(5-MIN(4,2+'5. Scenarios'!$E$8))/4+INDEX(BookQ3,1787)*(5-MIN(4,3+'5. Scenarios'!$E$8))/4+INDEX(BookQ4,1787)*(5-MIN(4,4+'5. Scenarios'!$E$8))/4)*'5. Scenarios'!$E$6/(1+ProductivityDefault*('5. Scenarios'!$E$11-1))+INDEX(BookOneOff,1787)*$S1792)</f>
        <v/>
      </c>
    </row>
    <row r="1793" customFormat="false" ht="15" hidden="false" customHeight="false" outlineLevel="0" collapsed="false">
      <c r="A1793" s="0" t="str">
        <f aca="false">IF(INDEX(BookTitle,1788)="","",INDEX(BookKey,1788))</f>
        <v/>
      </c>
      <c r="B1793" s="0" t="str">
        <f aca="false">IF(INDEX(BookTitle,1788)="","",INDEX(BookGroup,1788))</f>
        <v/>
      </c>
      <c r="C1793" s="0" t="str">
        <f aca="false">IF(INDEX(BookTitle,1788)="","",INDEX(BookCategory,1788))</f>
        <v/>
      </c>
      <c r="D1793" s="56" t="str">
        <f aca="false">IF(INDEX(BookTitle,1788)="","",INDEX(BookTotal,1788)*'5. Scenarios'!$B$6/(1+ProductivityDefault*('5. Scenarios'!$B$11-1)))</f>
        <v/>
      </c>
      <c r="E1793" s="57" t="str">
        <f aca="false">IF($D1793="","",INDEX(BookRate,1788)*(1+'5. Scenarios'!$B$10)*$D1793)</f>
        <v/>
      </c>
      <c r="F1793" s="57" t="str">
        <f aca="false">IF($E1793="","",SUMIFS($E$6:$E$2405,$A$6:$A$2405,"&lt;="&amp;$A1793))</f>
        <v/>
      </c>
      <c r="G1793" s="57" t="str">
        <f aca="false">IF($E1793="","",IF($F1793&lt;=BankCostEnvelope*'5. Scenarios'!$B$7,1,0))</f>
        <v/>
      </c>
      <c r="H1793" s="57" t="str">
        <f aca="false">IF($D1793="","",INDEX(BookRate,1788)*(1+'5. Scenarios'!$B$10)*(INDEX(BookQ1,1788)*(5-MIN(4,1+'5. Scenarios'!$B$8))/4+INDEX(BookQ2,1788)*(5-MIN(4,2+'5. Scenarios'!$B$8))/4+INDEX(BookQ3,1788)*(5-MIN(4,3+'5. Scenarios'!$B$8))/4+INDEX(BookQ4,1788)*(5-MIN(4,4+'5. Scenarios'!$B$8))/4)*'5. Scenarios'!$B$6/(1+ProductivityDefault*('5. Scenarios'!$B$11-1))+INDEX(BookOneOff,1788)*$D1793)</f>
        <v/>
      </c>
      <c r="I1793" s="56" t="str">
        <f aca="false">IF(INDEX(BookTitle,1788)="","",INDEX(BookTotal,1788)*'5. Scenarios'!$C$6/(1+ProductivityDefault*('5. Scenarios'!$C$11-1)))</f>
        <v/>
      </c>
      <c r="J1793" s="57" t="str">
        <f aca="false">IF($I1793="","",INDEX(BookRate,1788)*(1+'5. Scenarios'!$C$10)*$I1793)</f>
        <v/>
      </c>
      <c r="K1793" s="57" t="str">
        <f aca="false">IF($J1793="","",SUMIFS($J$6:$J$2405,$A$6:$A$2405,"&lt;="&amp;$A1793))</f>
        <v/>
      </c>
      <c r="L1793" s="57" t="str">
        <f aca="false">IF($J1793="","",IF($K1793&lt;=BankCostEnvelope*'5. Scenarios'!$C$7,1,0))</f>
        <v/>
      </c>
      <c r="M1793" s="57" t="str">
        <f aca="false">IF($I1793="","",INDEX(BookRate,1788)*(1+'5. Scenarios'!$C$10)*(INDEX(BookQ1,1788)*(5-MIN(4,1+'5. Scenarios'!$C$8))/4+INDEX(BookQ2,1788)*(5-MIN(4,2+'5. Scenarios'!$C$8))/4+INDEX(BookQ3,1788)*(5-MIN(4,3+'5. Scenarios'!$C$8))/4+INDEX(BookQ4,1788)*(5-MIN(4,4+'5. Scenarios'!$C$8))/4)*'5. Scenarios'!$C$6/(1+ProductivityDefault*('5. Scenarios'!$C$11-1))+INDEX(BookOneOff,1788)*$I1793)</f>
        <v/>
      </c>
      <c r="N1793" s="56" t="str">
        <f aca="false">IF(INDEX(BookTitle,1788)="","",INDEX(BookTotal,1788)*'5. Scenarios'!$D$6/(1+ProductivityDefault*('5. Scenarios'!$D$11-1)))</f>
        <v/>
      </c>
      <c r="O1793" s="57" t="str">
        <f aca="false">IF($N1793="","",INDEX(BookRate,1788)*(1+'5. Scenarios'!$D$10)*$N1793)</f>
        <v/>
      </c>
      <c r="P1793" s="57" t="str">
        <f aca="false">IF($O1793="","",SUMIFS($O$6:$O$2405,$A$6:$A$2405,"&lt;="&amp;$A1793))</f>
        <v/>
      </c>
      <c r="Q1793" s="57" t="str">
        <f aca="false">IF($O1793="","",IF($P1793&lt;=BankCostEnvelope*'5. Scenarios'!$D$7,1,0))</f>
        <v/>
      </c>
      <c r="R1793" s="57" t="str">
        <f aca="false">IF($N1793="","",INDEX(BookRate,1788)*(1+'5. Scenarios'!$D$10)*(INDEX(BookQ1,1788)*(5-MIN(4,1+'5. Scenarios'!$D$8))/4+INDEX(BookQ2,1788)*(5-MIN(4,2+'5. Scenarios'!$D$8))/4+INDEX(BookQ3,1788)*(5-MIN(4,3+'5. Scenarios'!$D$8))/4+INDEX(BookQ4,1788)*(5-MIN(4,4+'5. Scenarios'!$D$8))/4)*'5. Scenarios'!$D$6/(1+ProductivityDefault*('5. Scenarios'!$D$11-1))+INDEX(BookOneOff,1788)*$N1793)</f>
        <v/>
      </c>
      <c r="S1793" s="56" t="str">
        <f aca="false">IF(INDEX(BookTitle,1788)="","",INDEX(BookTotal,1788)*'5. Scenarios'!$E$6/(1+ProductivityDefault*('5. Scenarios'!$E$11-1)))</f>
        <v/>
      </c>
      <c r="T1793" s="57" t="str">
        <f aca="false">IF($S1793="","",INDEX(BookRate,1788)*(1+'5. Scenarios'!$E$10)*$S1793)</f>
        <v/>
      </c>
      <c r="U1793" s="57" t="str">
        <f aca="false">IF($T1793="","",SUMIFS($T$6:$T$2405,$A$6:$A$2405,"&lt;="&amp;$A1793))</f>
        <v/>
      </c>
      <c r="V1793" s="57" t="str">
        <f aca="false">IF($T1793="","",IF($U1793&lt;=BankCostEnvelope*'5. Scenarios'!$E$7,1,0))</f>
        <v/>
      </c>
      <c r="W1793" s="57" t="str">
        <f aca="false">IF($S1793="","",INDEX(BookRate,1788)*(1+'5. Scenarios'!$E$10)*(INDEX(BookQ1,1788)*(5-MIN(4,1+'5. Scenarios'!$E$8))/4+INDEX(BookQ2,1788)*(5-MIN(4,2+'5. Scenarios'!$E$8))/4+INDEX(BookQ3,1788)*(5-MIN(4,3+'5. Scenarios'!$E$8))/4+INDEX(BookQ4,1788)*(5-MIN(4,4+'5. Scenarios'!$E$8))/4)*'5. Scenarios'!$E$6/(1+ProductivityDefault*('5. Scenarios'!$E$11-1))+INDEX(BookOneOff,1788)*$S1793)</f>
        <v/>
      </c>
    </row>
    <row r="1794" customFormat="false" ht="15" hidden="false" customHeight="false" outlineLevel="0" collapsed="false">
      <c r="A1794" s="0" t="str">
        <f aca="false">IF(INDEX(BookTitle,1789)="","",INDEX(BookKey,1789))</f>
        <v/>
      </c>
      <c r="B1794" s="0" t="str">
        <f aca="false">IF(INDEX(BookTitle,1789)="","",INDEX(BookGroup,1789))</f>
        <v/>
      </c>
      <c r="C1794" s="0" t="str">
        <f aca="false">IF(INDEX(BookTitle,1789)="","",INDEX(BookCategory,1789))</f>
        <v/>
      </c>
      <c r="D1794" s="56" t="str">
        <f aca="false">IF(INDEX(BookTitle,1789)="","",INDEX(BookTotal,1789)*'5. Scenarios'!$B$6/(1+ProductivityDefault*('5. Scenarios'!$B$11-1)))</f>
        <v/>
      </c>
      <c r="E1794" s="57" t="str">
        <f aca="false">IF($D1794="","",INDEX(BookRate,1789)*(1+'5. Scenarios'!$B$10)*$D1794)</f>
        <v/>
      </c>
      <c r="F1794" s="57" t="str">
        <f aca="false">IF($E1794="","",SUMIFS($E$6:$E$2405,$A$6:$A$2405,"&lt;="&amp;$A1794))</f>
        <v/>
      </c>
      <c r="G1794" s="57" t="str">
        <f aca="false">IF($E1794="","",IF($F1794&lt;=BankCostEnvelope*'5. Scenarios'!$B$7,1,0))</f>
        <v/>
      </c>
      <c r="H1794" s="57" t="str">
        <f aca="false">IF($D1794="","",INDEX(BookRate,1789)*(1+'5. Scenarios'!$B$10)*(INDEX(BookQ1,1789)*(5-MIN(4,1+'5. Scenarios'!$B$8))/4+INDEX(BookQ2,1789)*(5-MIN(4,2+'5. Scenarios'!$B$8))/4+INDEX(BookQ3,1789)*(5-MIN(4,3+'5. Scenarios'!$B$8))/4+INDEX(BookQ4,1789)*(5-MIN(4,4+'5. Scenarios'!$B$8))/4)*'5. Scenarios'!$B$6/(1+ProductivityDefault*('5. Scenarios'!$B$11-1))+INDEX(BookOneOff,1789)*$D1794)</f>
        <v/>
      </c>
      <c r="I1794" s="56" t="str">
        <f aca="false">IF(INDEX(BookTitle,1789)="","",INDEX(BookTotal,1789)*'5. Scenarios'!$C$6/(1+ProductivityDefault*('5. Scenarios'!$C$11-1)))</f>
        <v/>
      </c>
      <c r="J1794" s="57" t="str">
        <f aca="false">IF($I1794="","",INDEX(BookRate,1789)*(1+'5. Scenarios'!$C$10)*$I1794)</f>
        <v/>
      </c>
      <c r="K1794" s="57" t="str">
        <f aca="false">IF($J1794="","",SUMIFS($J$6:$J$2405,$A$6:$A$2405,"&lt;="&amp;$A1794))</f>
        <v/>
      </c>
      <c r="L1794" s="57" t="str">
        <f aca="false">IF($J1794="","",IF($K1794&lt;=BankCostEnvelope*'5. Scenarios'!$C$7,1,0))</f>
        <v/>
      </c>
      <c r="M1794" s="57" t="str">
        <f aca="false">IF($I1794="","",INDEX(BookRate,1789)*(1+'5. Scenarios'!$C$10)*(INDEX(BookQ1,1789)*(5-MIN(4,1+'5. Scenarios'!$C$8))/4+INDEX(BookQ2,1789)*(5-MIN(4,2+'5. Scenarios'!$C$8))/4+INDEX(BookQ3,1789)*(5-MIN(4,3+'5. Scenarios'!$C$8))/4+INDEX(BookQ4,1789)*(5-MIN(4,4+'5. Scenarios'!$C$8))/4)*'5. Scenarios'!$C$6/(1+ProductivityDefault*('5. Scenarios'!$C$11-1))+INDEX(BookOneOff,1789)*$I1794)</f>
        <v/>
      </c>
      <c r="N1794" s="56" t="str">
        <f aca="false">IF(INDEX(BookTitle,1789)="","",INDEX(BookTotal,1789)*'5. Scenarios'!$D$6/(1+ProductivityDefault*('5. Scenarios'!$D$11-1)))</f>
        <v/>
      </c>
      <c r="O1794" s="57" t="str">
        <f aca="false">IF($N1794="","",INDEX(BookRate,1789)*(1+'5. Scenarios'!$D$10)*$N1794)</f>
        <v/>
      </c>
      <c r="P1794" s="57" t="str">
        <f aca="false">IF($O1794="","",SUMIFS($O$6:$O$2405,$A$6:$A$2405,"&lt;="&amp;$A1794))</f>
        <v/>
      </c>
      <c r="Q1794" s="57" t="str">
        <f aca="false">IF($O1794="","",IF($P1794&lt;=BankCostEnvelope*'5. Scenarios'!$D$7,1,0))</f>
        <v/>
      </c>
      <c r="R1794" s="57" t="str">
        <f aca="false">IF($N1794="","",INDEX(BookRate,1789)*(1+'5. Scenarios'!$D$10)*(INDEX(BookQ1,1789)*(5-MIN(4,1+'5. Scenarios'!$D$8))/4+INDEX(BookQ2,1789)*(5-MIN(4,2+'5. Scenarios'!$D$8))/4+INDEX(BookQ3,1789)*(5-MIN(4,3+'5. Scenarios'!$D$8))/4+INDEX(BookQ4,1789)*(5-MIN(4,4+'5. Scenarios'!$D$8))/4)*'5. Scenarios'!$D$6/(1+ProductivityDefault*('5. Scenarios'!$D$11-1))+INDEX(BookOneOff,1789)*$N1794)</f>
        <v/>
      </c>
      <c r="S1794" s="56" t="str">
        <f aca="false">IF(INDEX(BookTitle,1789)="","",INDEX(BookTotal,1789)*'5. Scenarios'!$E$6/(1+ProductivityDefault*('5. Scenarios'!$E$11-1)))</f>
        <v/>
      </c>
      <c r="T1794" s="57" t="str">
        <f aca="false">IF($S1794="","",INDEX(BookRate,1789)*(1+'5. Scenarios'!$E$10)*$S1794)</f>
        <v/>
      </c>
      <c r="U1794" s="57" t="str">
        <f aca="false">IF($T1794="","",SUMIFS($T$6:$T$2405,$A$6:$A$2405,"&lt;="&amp;$A1794))</f>
        <v/>
      </c>
      <c r="V1794" s="57" t="str">
        <f aca="false">IF($T1794="","",IF($U1794&lt;=BankCostEnvelope*'5. Scenarios'!$E$7,1,0))</f>
        <v/>
      </c>
      <c r="W1794" s="57" t="str">
        <f aca="false">IF($S1794="","",INDEX(BookRate,1789)*(1+'5. Scenarios'!$E$10)*(INDEX(BookQ1,1789)*(5-MIN(4,1+'5. Scenarios'!$E$8))/4+INDEX(BookQ2,1789)*(5-MIN(4,2+'5. Scenarios'!$E$8))/4+INDEX(BookQ3,1789)*(5-MIN(4,3+'5. Scenarios'!$E$8))/4+INDEX(BookQ4,1789)*(5-MIN(4,4+'5. Scenarios'!$E$8))/4)*'5. Scenarios'!$E$6/(1+ProductivityDefault*('5. Scenarios'!$E$11-1))+INDEX(BookOneOff,1789)*$S1794)</f>
        <v/>
      </c>
    </row>
    <row r="1795" customFormat="false" ht="15" hidden="false" customHeight="false" outlineLevel="0" collapsed="false">
      <c r="A1795" s="0" t="str">
        <f aca="false">IF(INDEX(BookTitle,1790)="","",INDEX(BookKey,1790))</f>
        <v/>
      </c>
      <c r="B1795" s="0" t="str">
        <f aca="false">IF(INDEX(BookTitle,1790)="","",INDEX(BookGroup,1790))</f>
        <v/>
      </c>
      <c r="C1795" s="0" t="str">
        <f aca="false">IF(INDEX(BookTitle,1790)="","",INDEX(BookCategory,1790))</f>
        <v/>
      </c>
      <c r="D1795" s="56" t="str">
        <f aca="false">IF(INDEX(BookTitle,1790)="","",INDEX(BookTotal,1790)*'5. Scenarios'!$B$6/(1+ProductivityDefault*('5. Scenarios'!$B$11-1)))</f>
        <v/>
      </c>
      <c r="E1795" s="57" t="str">
        <f aca="false">IF($D1795="","",INDEX(BookRate,1790)*(1+'5. Scenarios'!$B$10)*$D1795)</f>
        <v/>
      </c>
      <c r="F1795" s="57" t="str">
        <f aca="false">IF($E1795="","",SUMIFS($E$6:$E$2405,$A$6:$A$2405,"&lt;="&amp;$A1795))</f>
        <v/>
      </c>
      <c r="G1795" s="57" t="str">
        <f aca="false">IF($E1795="","",IF($F1795&lt;=BankCostEnvelope*'5. Scenarios'!$B$7,1,0))</f>
        <v/>
      </c>
      <c r="H1795" s="57" t="str">
        <f aca="false">IF($D1795="","",INDEX(BookRate,1790)*(1+'5. Scenarios'!$B$10)*(INDEX(BookQ1,1790)*(5-MIN(4,1+'5. Scenarios'!$B$8))/4+INDEX(BookQ2,1790)*(5-MIN(4,2+'5. Scenarios'!$B$8))/4+INDEX(BookQ3,1790)*(5-MIN(4,3+'5. Scenarios'!$B$8))/4+INDEX(BookQ4,1790)*(5-MIN(4,4+'5. Scenarios'!$B$8))/4)*'5. Scenarios'!$B$6/(1+ProductivityDefault*('5. Scenarios'!$B$11-1))+INDEX(BookOneOff,1790)*$D1795)</f>
        <v/>
      </c>
      <c r="I1795" s="56" t="str">
        <f aca="false">IF(INDEX(BookTitle,1790)="","",INDEX(BookTotal,1790)*'5. Scenarios'!$C$6/(1+ProductivityDefault*('5. Scenarios'!$C$11-1)))</f>
        <v/>
      </c>
      <c r="J1795" s="57" t="str">
        <f aca="false">IF($I1795="","",INDEX(BookRate,1790)*(1+'5. Scenarios'!$C$10)*$I1795)</f>
        <v/>
      </c>
      <c r="K1795" s="57" t="str">
        <f aca="false">IF($J1795="","",SUMIFS($J$6:$J$2405,$A$6:$A$2405,"&lt;="&amp;$A1795))</f>
        <v/>
      </c>
      <c r="L1795" s="57" t="str">
        <f aca="false">IF($J1795="","",IF($K1795&lt;=BankCostEnvelope*'5. Scenarios'!$C$7,1,0))</f>
        <v/>
      </c>
      <c r="M1795" s="57" t="str">
        <f aca="false">IF($I1795="","",INDEX(BookRate,1790)*(1+'5. Scenarios'!$C$10)*(INDEX(BookQ1,1790)*(5-MIN(4,1+'5. Scenarios'!$C$8))/4+INDEX(BookQ2,1790)*(5-MIN(4,2+'5. Scenarios'!$C$8))/4+INDEX(BookQ3,1790)*(5-MIN(4,3+'5. Scenarios'!$C$8))/4+INDEX(BookQ4,1790)*(5-MIN(4,4+'5. Scenarios'!$C$8))/4)*'5. Scenarios'!$C$6/(1+ProductivityDefault*('5. Scenarios'!$C$11-1))+INDEX(BookOneOff,1790)*$I1795)</f>
        <v/>
      </c>
      <c r="N1795" s="56" t="str">
        <f aca="false">IF(INDEX(BookTitle,1790)="","",INDEX(BookTotal,1790)*'5. Scenarios'!$D$6/(1+ProductivityDefault*('5. Scenarios'!$D$11-1)))</f>
        <v/>
      </c>
      <c r="O1795" s="57" t="str">
        <f aca="false">IF($N1795="","",INDEX(BookRate,1790)*(1+'5. Scenarios'!$D$10)*$N1795)</f>
        <v/>
      </c>
      <c r="P1795" s="57" t="str">
        <f aca="false">IF($O1795="","",SUMIFS($O$6:$O$2405,$A$6:$A$2405,"&lt;="&amp;$A1795))</f>
        <v/>
      </c>
      <c r="Q1795" s="57" t="str">
        <f aca="false">IF($O1795="","",IF($P1795&lt;=BankCostEnvelope*'5. Scenarios'!$D$7,1,0))</f>
        <v/>
      </c>
      <c r="R1795" s="57" t="str">
        <f aca="false">IF($N1795="","",INDEX(BookRate,1790)*(1+'5. Scenarios'!$D$10)*(INDEX(BookQ1,1790)*(5-MIN(4,1+'5. Scenarios'!$D$8))/4+INDEX(BookQ2,1790)*(5-MIN(4,2+'5. Scenarios'!$D$8))/4+INDEX(BookQ3,1790)*(5-MIN(4,3+'5. Scenarios'!$D$8))/4+INDEX(BookQ4,1790)*(5-MIN(4,4+'5. Scenarios'!$D$8))/4)*'5. Scenarios'!$D$6/(1+ProductivityDefault*('5. Scenarios'!$D$11-1))+INDEX(BookOneOff,1790)*$N1795)</f>
        <v/>
      </c>
      <c r="S1795" s="56" t="str">
        <f aca="false">IF(INDEX(BookTitle,1790)="","",INDEX(BookTotal,1790)*'5. Scenarios'!$E$6/(1+ProductivityDefault*('5. Scenarios'!$E$11-1)))</f>
        <v/>
      </c>
      <c r="T1795" s="57" t="str">
        <f aca="false">IF($S1795="","",INDEX(BookRate,1790)*(1+'5. Scenarios'!$E$10)*$S1795)</f>
        <v/>
      </c>
      <c r="U1795" s="57" t="str">
        <f aca="false">IF($T1795="","",SUMIFS($T$6:$T$2405,$A$6:$A$2405,"&lt;="&amp;$A1795))</f>
        <v/>
      </c>
      <c r="V1795" s="57" t="str">
        <f aca="false">IF($T1795="","",IF($U1795&lt;=BankCostEnvelope*'5. Scenarios'!$E$7,1,0))</f>
        <v/>
      </c>
      <c r="W1795" s="57" t="str">
        <f aca="false">IF($S1795="","",INDEX(BookRate,1790)*(1+'5. Scenarios'!$E$10)*(INDEX(BookQ1,1790)*(5-MIN(4,1+'5. Scenarios'!$E$8))/4+INDEX(BookQ2,1790)*(5-MIN(4,2+'5. Scenarios'!$E$8))/4+INDEX(BookQ3,1790)*(5-MIN(4,3+'5. Scenarios'!$E$8))/4+INDEX(BookQ4,1790)*(5-MIN(4,4+'5. Scenarios'!$E$8))/4)*'5. Scenarios'!$E$6/(1+ProductivityDefault*('5. Scenarios'!$E$11-1))+INDEX(BookOneOff,1790)*$S1795)</f>
        <v/>
      </c>
    </row>
    <row r="1796" customFormat="false" ht="15" hidden="false" customHeight="false" outlineLevel="0" collapsed="false">
      <c r="A1796" s="0" t="str">
        <f aca="false">IF(INDEX(BookTitle,1791)="","",INDEX(BookKey,1791))</f>
        <v/>
      </c>
      <c r="B1796" s="0" t="str">
        <f aca="false">IF(INDEX(BookTitle,1791)="","",INDEX(BookGroup,1791))</f>
        <v/>
      </c>
      <c r="C1796" s="0" t="str">
        <f aca="false">IF(INDEX(BookTitle,1791)="","",INDEX(BookCategory,1791))</f>
        <v/>
      </c>
      <c r="D1796" s="56" t="str">
        <f aca="false">IF(INDEX(BookTitle,1791)="","",INDEX(BookTotal,1791)*'5. Scenarios'!$B$6/(1+ProductivityDefault*('5. Scenarios'!$B$11-1)))</f>
        <v/>
      </c>
      <c r="E1796" s="57" t="str">
        <f aca="false">IF($D1796="","",INDEX(BookRate,1791)*(1+'5. Scenarios'!$B$10)*$D1796)</f>
        <v/>
      </c>
      <c r="F1796" s="57" t="str">
        <f aca="false">IF($E1796="","",SUMIFS($E$6:$E$2405,$A$6:$A$2405,"&lt;="&amp;$A1796))</f>
        <v/>
      </c>
      <c r="G1796" s="57" t="str">
        <f aca="false">IF($E1796="","",IF($F1796&lt;=BankCostEnvelope*'5. Scenarios'!$B$7,1,0))</f>
        <v/>
      </c>
      <c r="H1796" s="57" t="str">
        <f aca="false">IF($D1796="","",INDEX(BookRate,1791)*(1+'5. Scenarios'!$B$10)*(INDEX(BookQ1,1791)*(5-MIN(4,1+'5. Scenarios'!$B$8))/4+INDEX(BookQ2,1791)*(5-MIN(4,2+'5. Scenarios'!$B$8))/4+INDEX(BookQ3,1791)*(5-MIN(4,3+'5. Scenarios'!$B$8))/4+INDEX(BookQ4,1791)*(5-MIN(4,4+'5. Scenarios'!$B$8))/4)*'5. Scenarios'!$B$6/(1+ProductivityDefault*('5. Scenarios'!$B$11-1))+INDEX(BookOneOff,1791)*$D1796)</f>
        <v/>
      </c>
      <c r="I1796" s="56" t="str">
        <f aca="false">IF(INDEX(BookTitle,1791)="","",INDEX(BookTotal,1791)*'5. Scenarios'!$C$6/(1+ProductivityDefault*('5. Scenarios'!$C$11-1)))</f>
        <v/>
      </c>
      <c r="J1796" s="57" t="str">
        <f aca="false">IF($I1796="","",INDEX(BookRate,1791)*(1+'5. Scenarios'!$C$10)*$I1796)</f>
        <v/>
      </c>
      <c r="K1796" s="57" t="str">
        <f aca="false">IF($J1796="","",SUMIFS($J$6:$J$2405,$A$6:$A$2405,"&lt;="&amp;$A1796))</f>
        <v/>
      </c>
      <c r="L1796" s="57" t="str">
        <f aca="false">IF($J1796="","",IF($K1796&lt;=BankCostEnvelope*'5. Scenarios'!$C$7,1,0))</f>
        <v/>
      </c>
      <c r="M1796" s="57" t="str">
        <f aca="false">IF($I1796="","",INDEX(BookRate,1791)*(1+'5. Scenarios'!$C$10)*(INDEX(BookQ1,1791)*(5-MIN(4,1+'5. Scenarios'!$C$8))/4+INDEX(BookQ2,1791)*(5-MIN(4,2+'5. Scenarios'!$C$8))/4+INDEX(BookQ3,1791)*(5-MIN(4,3+'5. Scenarios'!$C$8))/4+INDEX(BookQ4,1791)*(5-MIN(4,4+'5. Scenarios'!$C$8))/4)*'5. Scenarios'!$C$6/(1+ProductivityDefault*('5. Scenarios'!$C$11-1))+INDEX(BookOneOff,1791)*$I1796)</f>
        <v/>
      </c>
      <c r="N1796" s="56" t="str">
        <f aca="false">IF(INDEX(BookTitle,1791)="","",INDEX(BookTotal,1791)*'5. Scenarios'!$D$6/(1+ProductivityDefault*('5. Scenarios'!$D$11-1)))</f>
        <v/>
      </c>
      <c r="O1796" s="57" t="str">
        <f aca="false">IF($N1796="","",INDEX(BookRate,1791)*(1+'5. Scenarios'!$D$10)*$N1796)</f>
        <v/>
      </c>
      <c r="P1796" s="57" t="str">
        <f aca="false">IF($O1796="","",SUMIFS($O$6:$O$2405,$A$6:$A$2405,"&lt;="&amp;$A1796))</f>
        <v/>
      </c>
      <c r="Q1796" s="57" t="str">
        <f aca="false">IF($O1796="","",IF($P1796&lt;=BankCostEnvelope*'5. Scenarios'!$D$7,1,0))</f>
        <v/>
      </c>
      <c r="R1796" s="57" t="str">
        <f aca="false">IF($N1796="","",INDEX(BookRate,1791)*(1+'5. Scenarios'!$D$10)*(INDEX(BookQ1,1791)*(5-MIN(4,1+'5. Scenarios'!$D$8))/4+INDEX(BookQ2,1791)*(5-MIN(4,2+'5. Scenarios'!$D$8))/4+INDEX(BookQ3,1791)*(5-MIN(4,3+'5. Scenarios'!$D$8))/4+INDEX(BookQ4,1791)*(5-MIN(4,4+'5. Scenarios'!$D$8))/4)*'5. Scenarios'!$D$6/(1+ProductivityDefault*('5. Scenarios'!$D$11-1))+INDEX(BookOneOff,1791)*$N1796)</f>
        <v/>
      </c>
      <c r="S1796" s="56" t="str">
        <f aca="false">IF(INDEX(BookTitle,1791)="","",INDEX(BookTotal,1791)*'5. Scenarios'!$E$6/(1+ProductivityDefault*('5. Scenarios'!$E$11-1)))</f>
        <v/>
      </c>
      <c r="T1796" s="57" t="str">
        <f aca="false">IF($S1796="","",INDEX(BookRate,1791)*(1+'5. Scenarios'!$E$10)*$S1796)</f>
        <v/>
      </c>
      <c r="U1796" s="57" t="str">
        <f aca="false">IF($T1796="","",SUMIFS($T$6:$T$2405,$A$6:$A$2405,"&lt;="&amp;$A1796))</f>
        <v/>
      </c>
      <c r="V1796" s="57" t="str">
        <f aca="false">IF($T1796="","",IF($U1796&lt;=BankCostEnvelope*'5. Scenarios'!$E$7,1,0))</f>
        <v/>
      </c>
      <c r="W1796" s="57" t="str">
        <f aca="false">IF($S1796="","",INDEX(BookRate,1791)*(1+'5. Scenarios'!$E$10)*(INDEX(BookQ1,1791)*(5-MIN(4,1+'5. Scenarios'!$E$8))/4+INDEX(BookQ2,1791)*(5-MIN(4,2+'5. Scenarios'!$E$8))/4+INDEX(BookQ3,1791)*(5-MIN(4,3+'5. Scenarios'!$E$8))/4+INDEX(BookQ4,1791)*(5-MIN(4,4+'5. Scenarios'!$E$8))/4)*'5. Scenarios'!$E$6/(1+ProductivityDefault*('5. Scenarios'!$E$11-1))+INDEX(BookOneOff,1791)*$S1796)</f>
        <v/>
      </c>
    </row>
    <row r="1797" customFormat="false" ht="15" hidden="false" customHeight="false" outlineLevel="0" collapsed="false">
      <c r="A1797" s="0" t="str">
        <f aca="false">IF(INDEX(BookTitle,1792)="","",INDEX(BookKey,1792))</f>
        <v/>
      </c>
      <c r="B1797" s="0" t="str">
        <f aca="false">IF(INDEX(BookTitle,1792)="","",INDEX(BookGroup,1792))</f>
        <v/>
      </c>
      <c r="C1797" s="0" t="str">
        <f aca="false">IF(INDEX(BookTitle,1792)="","",INDEX(BookCategory,1792))</f>
        <v/>
      </c>
      <c r="D1797" s="56" t="str">
        <f aca="false">IF(INDEX(BookTitle,1792)="","",INDEX(BookTotal,1792)*'5. Scenarios'!$B$6/(1+ProductivityDefault*('5. Scenarios'!$B$11-1)))</f>
        <v/>
      </c>
      <c r="E1797" s="57" t="str">
        <f aca="false">IF($D1797="","",INDEX(BookRate,1792)*(1+'5. Scenarios'!$B$10)*$D1797)</f>
        <v/>
      </c>
      <c r="F1797" s="57" t="str">
        <f aca="false">IF($E1797="","",SUMIFS($E$6:$E$2405,$A$6:$A$2405,"&lt;="&amp;$A1797))</f>
        <v/>
      </c>
      <c r="G1797" s="57" t="str">
        <f aca="false">IF($E1797="","",IF($F1797&lt;=BankCostEnvelope*'5. Scenarios'!$B$7,1,0))</f>
        <v/>
      </c>
      <c r="H1797" s="57" t="str">
        <f aca="false">IF($D1797="","",INDEX(BookRate,1792)*(1+'5. Scenarios'!$B$10)*(INDEX(BookQ1,1792)*(5-MIN(4,1+'5. Scenarios'!$B$8))/4+INDEX(BookQ2,1792)*(5-MIN(4,2+'5. Scenarios'!$B$8))/4+INDEX(BookQ3,1792)*(5-MIN(4,3+'5. Scenarios'!$B$8))/4+INDEX(BookQ4,1792)*(5-MIN(4,4+'5. Scenarios'!$B$8))/4)*'5. Scenarios'!$B$6/(1+ProductivityDefault*('5. Scenarios'!$B$11-1))+INDEX(BookOneOff,1792)*$D1797)</f>
        <v/>
      </c>
      <c r="I1797" s="56" t="str">
        <f aca="false">IF(INDEX(BookTitle,1792)="","",INDEX(BookTotal,1792)*'5. Scenarios'!$C$6/(1+ProductivityDefault*('5. Scenarios'!$C$11-1)))</f>
        <v/>
      </c>
      <c r="J1797" s="57" t="str">
        <f aca="false">IF($I1797="","",INDEX(BookRate,1792)*(1+'5. Scenarios'!$C$10)*$I1797)</f>
        <v/>
      </c>
      <c r="K1797" s="57" t="str">
        <f aca="false">IF($J1797="","",SUMIFS($J$6:$J$2405,$A$6:$A$2405,"&lt;="&amp;$A1797))</f>
        <v/>
      </c>
      <c r="L1797" s="57" t="str">
        <f aca="false">IF($J1797="","",IF($K1797&lt;=BankCostEnvelope*'5. Scenarios'!$C$7,1,0))</f>
        <v/>
      </c>
      <c r="M1797" s="57" t="str">
        <f aca="false">IF($I1797="","",INDEX(BookRate,1792)*(1+'5. Scenarios'!$C$10)*(INDEX(BookQ1,1792)*(5-MIN(4,1+'5. Scenarios'!$C$8))/4+INDEX(BookQ2,1792)*(5-MIN(4,2+'5. Scenarios'!$C$8))/4+INDEX(BookQ3,1792)*(5-MIN(4,3+'5. Scenarios'!$C$8))/4+INDEX(BookQ4,1792)*(5-MIN(4,4+'5. Scenarios'!$C$8))/4)*'5. Scenarios'!$C$6/(1+ProductivityDefault*('5. Scenarios'!$C$11-1))+INDEX(BookOneOff,1792)*$I1797)</f>
        <v/>
      </c>
      <c r="N1797" s="56" t="str">
        <f aca="false">IF(INDEX(BookTitle,1792)="","",INDEX(BookTotal,1792)*'5. Scenarios'!$D$6/(1+ProductivityDefault*('5. Scenarios'!$D$11-1)))</f>
        <v/>
      </c>
      <c r="O1797" s="57" t="str">
        <f aca="false">IF($N1797="","",INDEX(BookRate,1792)*(1+'5. Scenarios'!$D$10)*$N1797)</f>
        <v/>
      </c>
      <c r="P1797" s="57" t="str">
        <f aca="false">IF($O1797="","",SUMIFS($O$6:$O$2405,$A$6:$A$2405,"&lt;="&amp;$A1797))</f>
        <v/>
      </c>
      <c r="Q1797" s="57" t="str">
        <f aca="false">IF($O1797="","",IF($P1797&lt;=BankCostEnvelope*'5. Scenarios'!$D$7,1,0))</f>
        <v/>
      </c>
      <c r="R1797" s="57" t="str">
        <f aca="false">IF($N1797="","",INDEX(BookRate,1792)*(1+'5. Scenarios'!$D$10)*(INDEX(BookQ1,1792)*(5-MIN(4,1+'5. Scenarios'!$D$8))/4+INDEX(BookQ2,1792)*(5-MIN(4,2+'5. Scenarios'!$D$8))/4+INDEX(BookQ3,1792)*(5-MIN(4,3+'5. Scenarios'!$D$8))/4+INDEX(BookQ4,1792)*(5-MIN(4,4+'5. Scenarios'!$D$8))/4)*'5. Scenarios'!$D$6/(1+ProductivityDefault*('5. Scenarios'!$D$11-1))+INDEX(BookOneOff,1792)*$N1797)</f>
        <v/>
      </c>
      <c r="S1797" s="56" t="str">
        <f aca="false">IF(INDEX(BookTitle,1792)="","",INDEX(BookTotal,1792)*'5. Scenarios'!$E$6/(1+ProductivityDefault*('5. Scenarios'!$E$11-1)))</f>
        <v/>
      </c>
      <c r="T1797" s="57" t="str">
        <f aca="false">IF($S1797="","",INDEX(BookRate,1792)*(1+'5. Scenarios'!$E$10)*$S1797)</f>
        <v/>
      </c>
      <c r="U1797" s="57" t="str">
        <f aca="false">IF($T1797="","",SUMIFS($T$6:$T$2405,$A$6:$A$2405,"&lt;="&amp;$A1797))</f>
        <v/>
      </c>
      <c r="V1797" s="57" t="str">
        <f aca="false">IF($T1797="","",IF($U1797&lt;=BankCostEnvelope*'5. Scenarios'!$E$7,1,0))</f>
        <v/>
      </c>
      <c r="W1797" s="57" t="str">
        <f aca="false">IF($S1797="","",INDEX(BookRate,1792)*(1+'5. Scenarios'!$E$10)*(INDEX(BookQ1,1792)*(5-MIN(4,1+'5. Scenarios'!$E$8))/4+INDEX(BookQ2,1792)*(5-MIN(4,2+'5. Scenarios'!$E$8))/4+INDEX(BookQ3,1792)*(5-MIN(4,3+'5. Scenarios'!$E$8))/4+INDEX(BookQ4,1792)*(5-MIN(4,4+'5. Scenarios'!$E$8))/4)*'5. Scenarios'!$E$6/(1+ProductivityDefault*('5. Scenarios'!$E$11-1))+INDEX(BookOneOff,1792)*$S1797)</f>
        <v/>
      </c>
    </row>
    <row r="1798" customFormat="false" ht="15" hidden="false" customHeight="false" outlineLevel="0" collapsed="false">
      <c r="A1798" s="0" t="str">
        <f aca="false">IF(INDEX(BookTitle,1793)="","",INDEX(BookKey,1793))</f>
        <v/>
      </c>
      <c r="B1798" s="0" t="str">
        <f aca="false">IF(INDEX(BookTitle,1793)="","",INDEX(BookGroup,1793))</f>
        <v/>
      </c>
      <c r="C1798" s="0" t="str">
        <f aca="false">IF(INDEX(BookTitle,1793)="","",INDEX(BookCategory,1793))</f>
        <v/>
      </c>
      <c r="D1798" s="56" t="str">
        <f aca="false">IF(INDEX(BookTitle,1793)="","",INDEX(BookTotal,1793)*'5. Scenarios'!$B$6/(1+ProductivityDefault*('5. Scenarios'!$B$11-1)))</f>
        <v/>
      </c>
      <c r="E1798" s="57" t="str">
        <f aca="false">IF($D1798="","",INDEX(BookRate,1793)*(1+'5. Scenarios'!$B$10)*$D1798)</f>
        <v/>
      </c>
      <c r="F1798" s="57" t="str">
        <f aca="false">IF($E1798="","",SUMIFS($E$6:$E$2405,$A$6:$A$2405,"&lt;="&amp;$A1798))</f>
        <v/>
      </c>
      <c r="G1798" s="57" t="str">
        <f aca="false">IF($E1798="","",IF($F1798&lt;=BankCostEnvelope*'5. Scenarios'!$B$7,1,0))</f>
        <v/>
      </c>
      <c r="H1798" s="57" t="str">
        <f aca="false">IF($D1798="","",INDEX(BookRate,1793)*(1+'5. Scenarios'!$B$10)*(INDEX(BookQ1,1793)*(5-MIN(4,1+'5. Scenarios'!$B$8))/4+INDEX(BookQ2,1793)*(5-MIN(4,2+'5. Scenarios'!$B$8))/4+INDEX(BookQ3,1793)*(5-MIN(4,3+'5. Scenarios'!$B$8))/4+INDEX(BookQ4,1793)*(5-MIN(4,4+'5. Scenarios'!$B$8))/4)*'5. Scenarios'!$B$6/(1+ProductivityDefault*('5. Scenarios'!$B$11-1))+INDEX(BookOneOff,1793)*$D1798)</f>
        <v/>
      </c>
      <c r="I1798" s="56" t="str">
        <f aca="false">IF(INDEX(BookTitle,1793)="","",INDEX(BookTotal,1793)*'5. Scenarios'!$C$6/(1+ProductivityDefault*('5. Scenarios'!$C$11-1)))</f>
        <v/>
      </c>
      <c r="J1798" s="57" t="str">
        <f aca="false">IF($I1798="","",INDEX(BookRate,1793)*(1+'5. Scenarios'!$C$10)*$I1798)</f>
        <v/>
      </c>
      <c r="K1798" s="57" t="str">
        <f aca="false">IF($J1798="","",SUMIFS($J$6:$J$2405,$A$6:$A$2405,"&lt;="&amp;$A1798))</f>
        <v/>
      </c>
      <c r="L1798" s="57" t="str">
        <f aca="false">IF($J1798="","",IF($K1798&lt;=BankCostEnvelope*'5. Scenarios'!$C$7,1,0))</f>
        <v/>
      </c>
      <c r="M1798" s="57" t="str">
        <f aca="false">IF($I1798="","",INDEX(BookRate,1793)*(1+'5. Scenarios'!$C$10)*(INDEX(BookQ1,1793)*(5-MIN(4,1+'5. Scenarios'!$C$8))/4+INDEX(BookQ2,1793)*(5-MIN(4,2+'5. Scenarios'!$C$8))/4+INDEX(BookQ3,1793)*(5-MIN(4,3+'5. Scenarios'!$C$8))/4+INDEX(BookQ4,1793)*(5-MIN(4,4+'5. Scenarios'!$C$8))/4)*'5. Scenarios'!$C$6/(1+ProductivityDefault*('5. Scenarios'!$C$11-1))+INDEX(BookOneOff,1793)*$I1798)</f>
        <v/>
      </c>
      <c r="N1798" s="56" t="str">
        <f aca="false">IF(INDEX(BookTitle,1793)="","",INDEX(BookTotal,1793)*'5. Scenarios'!$D$6/(1+ProductivityDefault*('5. Scenarios'!$D$11-1)))</f>
        <v/>
      </c>
      <c r="O1798" s="57" t="str">
        <f aca="false">IF($N1798="","",INDEX(BookRate,1793)*(1+'5. Scenarios'!$D$10)*$N1798)</f>
        <v/>
      </c>
      <c r="P1798" s="57" t="str">
        <f aca="false">IF($O1798="","",SUMIFS($O$6:$O$2405,$A$6:$A$2405,"&lt;="&amp;$A1798))</f>
        <v/>
      </c>
      <c r="Q1798" s="57" t="str">
        <f aca="false">IF($O1798="","",IF($P1798&lt;=BankCostEnvelope*'5. Scenarios'!$D$7,1,0))</f>
        <v/>
      </c>
      <c r="R1798" s="57" t="str">
        <f aca="false">IF($N1798="","",INDEX(BookRate,1793)*(1+'5. Scenarios'!$D$10)*(INDEX(BookQ1,1793)*(5-MIN(4,1+'5. Scenarios'!$D$8))/4+INDEX(BookQ2,1793)*(5-MIN(4,2+'5. Scenarios'!$D$8))/4+INDEX(BookQ3,1793)*(5-MIN(4,3+'5. Scenarios'!$D$8))/4+INDEX(BookQ4,1793)*(5-MIN(4,4+'5. Scenarios'!$D$8))/4)*'5. Scenarios'!$D$6/(1+ProductivityDefault*('5. Scenarios'!$D$11-1))+INDEX(BookOneOff,1793)*$N1798)</f>
        <v/>
      </c>
      <c r="S1798" s="56" t="str">
        <f aca="false">IF(INDEX(BookTitle,1793)="","",INDEX(BookTotal,1793)*'5. Scenarios'!$E$6/(1+ProductivityDefault*('5. Scenarios'!$E$11-1)))</f>
        <v/>
      </c>
      <c r="T1798" s="57" t="str">
        <f aca="false">IF($S1798="","",INDEX(BookRate,1793)*(1+'5. Scenarios'!$E$10)*$S1798)</f>
        <v/>
      </c>
      <c r="U1798" s="57" t="str">
        <f aca="false">IF($T1798="","",SUMIFS($T$6:$T$2405,$A$6:$A$2405,"&lt;="&amp;$A1798))</f>
        <v/>
      </c>
      <c r="V1798" s="57" t="str">
        <f aca="false">IF($T1798="","",IF($U1798&lt;=BankCostEnvelope*'5. Scenarios'!$E$7,1,0))</f>
        <v/>
      </c>
      <c r="W1798" s="57" t="str">
        <f aca="false">IF($S1798="","",INDEX(BookRate,1793)*(1+'5. Scenarios'!$E$10)*(INDEX(BookQ1,1793)*(5-MIN(4,1+'5. Scenarios'!$E$8))/4+INDEX(BookQ2,1793)*(5-MIN(4,2+'5. Scenarios'!$E$8))/4+INDEX(BookQ3,1793)*(5-MIN(4,3+'5. Scenarios'!$E$8))/4+INDEX(BookQ4,1793)*(5-MIN(4,4+'5. Scenarios'!$E$8))/4)*'5. Scenarios'!$E$6/(1+ProductivityDefault*('5. Scenarios'!$E$11-1))+INDEX(BookOneOff,1793)*$S1798)</f>
        <v/>
      </c>
    </row>
    <row r="1799" customFormat="false" ht="15" hidden="false" customHeight="false" outlineLevel="0" collapsed="false">
      <c r="A1799" s="0" t="str">
        <f aca="false">IF(INDEX(BookTitle,1794)="","",INDEX(BookKey,1794))</f>
        <v/>
      </c>
      <c r="B1799" s="0" t="str">
        <f aca="false">IF(INDEX(BookTitle,1794)="","",INDEX(BookGroup,1794))</f>
        <v/>
      </c>
      <c r="C1799" s="0" t="str">
        <f aca="false">IF(INDEX(BookTitle,1794)="","",INDEX(BookCategory,1794))</f>
        <v/>
      </c>
      <c r="D1799" s="56" t="str">
        <f aca="false">IF(INDEX(BookTitle,1794)="","",INDEX(BookTotal,1794)*'5. Scenarios'!$B$6/(1+ProductivityDefault*('5. Scenarios'!$B$11-1)))</f>
        <v/>
      </c>
      <c r="E1799" s="57" t="str">
        <f aca="false">IF($D1799="","",INDEX(BookRate,1794)*(1+'5. Scenarios'!$B$10)*$D1799)</f>
        <v/>
      </c>
      <c r="F1799" s="57" t="str">
        <f aca="false">IF($E1799="","",SUMIFS($E$6:$E$2405,$A$6:$A$2405,"&lt;="&amp;$A1799))</f>
        <v/>
      </c>
      <c r="G1799" s="57" t="str">
        <f aca="false">IF($E1799="","",IF($F1799&lt;=BankCostEnvelope*'5. Scenarios'!$B$7,1,0))</f>
        <v/>
      </c>
      <c r="H1799" s="57" t="str">
        <f aca="false">IF($D1799="","",INDEX(BookRate,1794)*(1+'5. Scenarios'!$B$10)*(INDEX(BookQ1,1794)*(5-MIN(4,1+'5. Scenarios'!$B$8))/4+INDEX(BookQ2,1794)*(5-MIN(4,2+'5. Scenarios'!$B$8))/4+INDEX(BookQ3,1794)*(5-MIN(4,3+'5. Scenarios'!$B$8))/4+INDEX(BookQ4,1794)*(5-MIN(4,4+'5. Scenarios'!$B$8))/4)*'5. Scenarios'!$B$6/(1+ProductivityDefault*('5. Scenarios'!$B$11-1))+INDEX(BookOneOff,1794)*$D1799)</f>
        <v/>
      </c>
      <c r="I1799" s="56" t="str">
        <f aca="false">IF(INDEX(BookTitle,1794)="","",INDEX(BookTotal,1794)*'5. Scenarios'!$C$6/(1+ProductivityDefault*('5. Scenarios'!$C$11-1)))</f>
        <v/>
      </c>
      <c r="J1799" s="57" t="str">
        <f aca="false">IF($I1799="","",INDEX(BookRate,1794)*(1+'5. Scenarios'!$C$10)*$I1799)</f>
        <v/>
      </c>
      <c r="K1799" s="57" t="str">
        <f aca="false">IF($J1799="","",SUMIFS($J$6:$J$2405,$A$6:$A$2405,"&lt;="&amp;$A1799))</f>
        <v/>
      </c>
      <c r="L1799" s="57" t="str">
        <f aca="false">IF($J1799="","",IF($K1799&lt;=BankCostEnvelope*'5. Scenarios'!$C$7,1,0))</f>
        <v/>
      </c>
      <c r="M1799" s="57" t="str">
        <f aca="false">IF($I1799="","",INDEX(BookRate,1794)*(1+'5. Scenarios'!$C$10)*(INDEX(BookQ1,1794)*(5-MIN(4,1+'5. Scenarios'!$C$8))/4+INDEX(BookQ2,1794)*(5-MIN(4,2+'5. Scenarios'!$C$8))/4+INDEX(BookQ3,1794)*(5-MIN(4,3+'5. Scenarios'!$C$8))/4+INDEX(BookQ4,1794)*(5-MIN(4,4+'5. Scenarios'!$C$8))/4)*'5. Scenarios'!$C$6/(1+ProductivityDefault*('5. Scenarios'!$C$11-1))+INDEX(BookOneOff,1794)*$I1799)</f>
        <v/>
      </c>
      <c r="N1799" s="56" t="str">
        <f aca="false">IF(INDEX(BookTitle,1794)="","",INDEX(BookTotal,1794)*'5. Scenarios'!$D$6/(1+ProductivityDefault*('5. Scenarios'!$D$11-1)))</f>
        <v/>
      </c>
      <c r="O1799" s="57" t="str">
        <f aca="false">IF($N1799="","",INDEX(BookRate,1794)*(1+'5. Scenarios'!$D$10)*$N1799)</f>
        <v/>
      </c>
      <c r="P1799" s="57" t="str">
        <f aca="false">IF($O1799="","",SUMIFS($O$6:$O$2405,$A$6:$A$2405,"&lt;="&amp;$A1799))</f>
        <v/>
      </c>
      <c r="Q1799" s="57" t="str">
        <f aca="false">IF($O1799="","",IF($P1799&lt;=BankCostEnvelope*'5. Scenarios'!$D$7,1,0))</f>
        <v/>
      </c>
      <c r="R1799" s="57" t="str">
        <f aca="false">IF($N1799="","",INDEX(BookRate,1794)*(1+'5. Scenarios'!$D$10)*(INDEX(BookQ1,1794)*(5-MIN(4,1+'5. Scenarios'!$D$8))/4+INDEX(BookQ2,1794)*(5-MIN(4,2+'5. Scenarios'!$D$8))/4+INDEX(BookQ3,1794)*(5-MIN(4,3+'5. Scenarios'!$D$8))/4+INDEX(BookQ4,1794)*(5-MIN(4,4+'5. Scenarios'!$D$8))/4)*'5. Scenarios'!$D$6/(1+ProductivityDefault*('5. Scenarios'!$D$11-1))+INDEX(BookOneOff,1794)*$N1799)</f>
        <v/>
      </c>
      <c r="S1799" s="56" t="str">
        <f aca="false">IF(INDEX(BookTitle,1794)="","",INDEX(BookTotal,1794)*'5. Scenarios'!$E$6/(1+ProductivityDefault*('5. Scenarios'!$E$11-1)))</f>
        <v/>
      </c>
      <c r="T1799" s="57" t="str">
        <f aca="false">IF($S1799="","",INDEX(BookRate,1794)*(1+'5. Scenarios'!$E$10)*$S1799)</f>
        <v/>
      </c>
      <c r="U1799" s="57" t="str">
        <f aca="false">IF($T1799="","",SUMIFS($T$6:$T$2405,$A$6:$A$2405,"&lt;="&amp;$A1799))</f>
        <v/>
      </c>
      <c r="V1799" s="57" t="str">
        <f aca="false">IF($T1799="","",IF($U1799&lt;=BankCostEnvelope*'5. Scenarios'!$E$7,1,0))</f>
        <v/>
      </c>
      <c r="W1799" s="57" t="str">
        <f aca="false">IF($S1799="","",INDEX(BookRate,1794)*(1+'5. Scenarios'!$E$10)*(INDEX(BookQ1,1794)*(5-MIN(4,1+'5. Scenarios'!$E$8))/4+INDEX(BookQ2,1794)*(5-MIN(4,2+'5. Scenarios'!$E$8))/4+INDEX(BookQ3,1794)*(5-MIN(4,3+'5. Scenarios'!$E$8))/4+INDEX(BookQ4,1794)*(5-MIN(4,4+'5. Scenarios'!$E$8))/4)*'5. Scenarios'!$E$6/(1+ProductivityDefault*('5. Scenarios'!$E$11-1))+INDEX(BookOneOff,1794)*$S1799)</f>
        <v/>
      </c>
    </row>
    <row r="1800" customFormat="false" ht="15" hidden="false" customHeight="false" outlineLevel="0" collapsed="false">
      <c r="A1800" s="0" t="str">
        <f aca="false">IF(INDEX(BookTitle,1795)="","",INDEX(BookKey,1795))</f>
        <v/>
      </c>
      <c r="B1800" s="0" t="str">
        <f aca="false">IF(INDEX(BookTitle,1795)="","",INDEX(BookGroup,1795))</f>
        <v/>
      </c>
      <c r="C1800" s="0" t="str">
        <f aca="false">IF(INDEX(BookTitle,1795)="","",INDEX(BookCategory,1795))</f>
        <v/>
      </c>
      <c r="D1800" s="56" t="str">
        <f aca="false">IF(INDEX(BookTitle,1795)="","",INDEX(BookTotal,1795)*'5. Scenarios'!$B$6/(1+ProductivityDefault*('5. Scenarios'!$B$11-1)))</f>
        <v/>
      </c>
      <c r="E1800" s="57" t="str">
        <f aca="false">IF($D1800="","",INDEX(BookRate,1795)*(1+'5. Scenarios'!$B$10)*$D1800)</f>
        <v/>
      </c>
      <c r="F1800" s="57" t="str">
        <f aca="false">IF($E1800="","",SUMIFS($E$6:$E$2405,$A$6:$A$2405,"&lt;="&amp;$A1800))</f>
        <v/>
      </c>
      <c r="G1800" s="57" t="str">
        <f aca="false">IF($E1800="","",IF($F1800&lt;=BankCostEnvelope*'5. Scenarios'!$B$7,1,0))</f>
        <v/>
      </c>
      <c r="H1800" s="57" t="str">
        <f aca="false">IF($D1800="","",INDEX(BookRate,1795)*(1+'5. Scenarios'!$B$10)*(INDEX(BookQ1,1795)*(5-MIN(4,1+'5. Scenarios'!$B$8))/4+INDEX(BookQ2,1795)*(5-MIN(4,2+'5. Scenarios'!$B$8))/4+INDEX(BookQ3,1795)*(5-MIN(4,3+'5. Scenarios'!$B$8))/4+INDEX(BookQ4,1795)*(5-MIN(4,4+'5. Scenarios'!$B$8))/4)*'5. Scenarios'!$B$6/(1+ProductivityDefault*('5. Scenarios'!$B$11-1))+INDEX(BookOneOff,1795)*$D1800)</f>
        <v/>
      </c>
      <c r="I1800" s="56" t="str">
        <f aca="false">IF(INDEX(BookTitle,1795)="","",INDEX(BookTotal,1795)*'5. Scenarios'!$C$6/(1+ProductivityDefault*('5. Scenarios'!$C$11-1)))</f>
        <v/>
      </c>
      <c r="J1800" s="57" t="str">
        <f aca="false">IF($I1800="","",INDEX(BookRate,1795)*(1+'5. Scenarios'!$C$10)*$I1800)</f>
        <v/>
      </c>
      <c r="K1800" s="57" t="str">
        <f aca="false">IF($J1800="","",SUMIFS($J$6:$J$2405,$A$6:$A$2405,"&lt;="&amp;$A1800))</f>
        <v/>
      </c>
      <c r="L1800" s="57" t="str">
        <f aca="false">IF($J1800="","",IF($K1800&lt;=BankCostEnvelope*'5. Scenarios'!$C$7,1,0))</f>
        <v/>
      </c>
      <c r="M1800" s="57" t="str">
        <f aca="false">IF($I1800="","",INDEX(BookRate,1795)*(1+'5. Scenarios'!$C$10)*(INDEX(BookQ1,1795)*(5-MIN(4,1+'5. Scenarios'!$C$8))/4+INDEX(BookQ2,1795)*(5-MIN(4,2+'5. Scenarios'!$C$8))/4+INDEX(BookQ3,1795)*(5-MIN(4,3+'5. Scenarios'!$C$8))/4+INDEX(BookQ4,1795)*(5-MIN(4,4+'5. Scenarios'!$C$8))/4)*'5. Scenarios'!$C$6/(1+ProductivityDefault*('5. Scenarios'!$C$11-1))+INDEX(BookOneOff,1795)*$I1800)</f>
        <v/>
      </c>
      <c r="N1800" s="56" t="str">
        <f aca="false">IF(INDEX(BookTitle,1795)="","",INDEX(BookTotal,1795)*'5. Scenarios'!$D$6/(1+ProductivityDefault*('5. Scenarios'!$D$11-1)))</f>
        <v/>
      </c>
      <c r="O1800" s="57" t="str">
        <f aca="false">IF($N1800="","",INDEX(BookRate,1795)*(1+'5. Scenarios'!$D$10)*$N1800)</f>
        <v/>
      </c>
      <c r="P1800" s="57" t="str">
        <f aca="false">IF($O1800="","",SUMIFS($O$6:$O$2405,$A$6:$A$2405,"&lt;="&amp;$A1800))</f>
        <v/>
      </c>
      <c r="Q1800" s="57" t="str">
        <f aca="false">IF($O1800="","",IF($P1800&lt;=BankCostEnvelope*'5. Scenarios'!$D$7,1,0))</f>
        <v/>
      </c>
      <c r="R1800" s="57" t="str">
        <f aca="false">IF($N1800="","",INDEX(BookRate,1795)*(1+'5. Scenarios'!$D$10)*(INDEX(BookQ1,1795)*(5-MIN(4,1+'5. Scenarios'!$D$8))/4+INDEX(BookQ2,1795)*(5-MIN(4,2+'5. Scenarios'!$D$8))/4+INDEX(BookQ3,1795)*(5-MIN(4,3+'5. Scenarios'!$D$8))/4+INDEX(BookQ4,1795)*(5-MIN(4,4+'5. Scenarios'!$D$8))/4)*'5. Scenarios'!$D$6/(1+ProductivityDefault*('5. Scenarios'!$D$11-1))+INDEX(BookOneOff,1795)*$N1800)</f>
        <v/>
      </c>
      <c r="S1800" s="56" t="str">
        <f aca="false">IF(INDEX(BookTitle,1795)="","",INDEX(BookTotal,1795)*'5. Scenarios'!$E$6/(1+ProductivityDefault*('5. Scenarios'!$E$11-1)))</f>
        <v/>
      </c>
      <c r="T1800" s="57" t="str">
        <f aca="false">IF($S1800="","",INDEX(BookRate,1795)*(1+'5. Scenarios'!$E$10)*$S1800)</f>
        <v/>
      </c>
      <c r="U1800" s="57" t="str">
        <f aca="false">IF($T1800="","",SUMIFS($T$6:$T$2405,$A$6:$A$2405,"&lt;="&amp;$A1800))</f>
        <v/>
      </c>
      <c r="V1800" s="57" t="str">
        <f aca="false">IF($T1800="","",IF($U1800&lt;=BankCostEnvelope*'5. Scenarios'!$E$7,1,0))</f>
        <v/>
      </c>
      <c r="W1800" s="57" t="str">
        <f aca="false">IF($S1800="","",INDEX(BookRate,1795)*(1+'5. Scenarios'!$E$10)*(INDEX(BookQ1,1795)*(5-MIN(4,1+'5. Scenarios'!$E$8))/4+INDEX(BookQ2,1795)*(5-MIN(4,2+'5. Scenarios'!$E$8))/4+INDEX(BookQ3,1795)*(5-MIN(4,3+'5. Scenarios'!$E$8))/4+INDEX(BookQ4,1795)*(5-MIN(4,4+'5. Scenarios'!$E$8))/4)*'5. Scenarios'!$E$6/(1+ProductivityDefault*('5. Scenarios'!$E$11-1))+INDEX(BookOneOff,1795)*$S1800)</f>
        <v/>
      </c>
    </row>
    <row r="1801" customFormat="false" ht="15" hidden="false" customHeight="false" outlineLevel="0" collapsed="false">
      <c r="A1801" s="0" t="str">
        <f aca="false">IF(INDEX(BookTitle,1796)="","",INDEX(BookKey,1796))</f>
        <v/>
      </c>
      <c r="B1801" s="0" t="str">
        <f aca="false">IF(INDEX(BookTitle,1796)="","",INDEX(BookGroup,1796))</f>
        <v/>
      </c>
      <c r="C1801" s="0" t="str">
        <f aca="false">IF(INDEX(BookTitle,1796)="","",INDEX(BookCategory,1796))</f>
        <v/>
      </c>
      <c r="D1801" s="56" t="str">
        <f aca="false">IF(INDEX(BookTitle,1796)="","",INDEX(BookTotal,1796)*'5. Scenarios'!$B$6/(1+ProductivityDefault*('5. Scenarios'!$B$11-1)))</f>
        <v/>
      </c>
      <c r="E1801" s="57" t="str">
        <f aca="false">IF($D1801="","",INDEX(BookRate,1796)*(1+'5. Scenarios'!$B$10)*$D1801)</f>
        <v/>
      </c>
      <c r="F1801" s="57" t="str">
        <f aca="false">IF($E1801="","",SUMIFS($E$6:$E$2405,$A$6:$A$2405,"&lt;="&amp;$A1801))</f>
        <v/>
      </c>
      <c r="G1801" s="57" t="str">
        <f aca="false">IF($E1801="","",IF($F1801&lt;=BankCostEnvelope*'5. Scenarios'!$B$7,1,0))</f>
        <v/>
      </c>
      <c r="H1801" s="57" t="str">
        <f aca="false">IF($D1801="","",INDEX(BookRate,1796)*(1+'5. Scenarios'!$B$10)*(INDEX(BookQ1,1796)*(5-MIN(4,1+'5. Scenarios'!$B$8))/4+INDEX(BookQ2,1796)*(5-MIN(4,2+'5. Scenarios'!$B$8))/4+INDEX(BookQ3,1796)*(5-MIN(4,3+'5. Scenarios'!$B$8))/4+INDEX(BookQ4,1796)*(5-MIN(4,4+'5. Scenarios'!$B$8))/4)*'5. Scenarios'!$B$6/(1+ProductivityDefault*('5. Scenarios'!$B$11-1))+INDEX(BookOneOff,1796)*$D1801)</f>
        <v/>
      </c>
      <c r="I1801" s="56" t="str">
        <f aca="false">IF(INDEX(BookTitle,1796)="","",INDEX(BookTotal,1796)*'5. Scenarios'!$C$6/(1+ProductivityDefault*('5. Scenarios'!$C$11-1)))</f>
        <v/>
      </c>
      <c r="J1801" s="57" t="str">
        <f aca="false">IF($I1801="","",INDEX(BookRate,1796)*(1+'5. Scenarios'!$C$10)*$I1801)</f>
        <v/>
      </c>
      <c r="K1801" s="57" t="str">
        <f aca="false">IF($J1801="","",SUMIFS($J$6:$J$2405,$A$6:$A$2405,"&lt;="&amp;$A1801))</f>
        <v/>
      </c>
      <c r="L1801" s="57" t="str">
        <f aca="false">IF($J1801="","",IF($K1801&lt;=BankCostEnvelope*'5. Scenarios'!$C$7,1,0))</f>
        <v/>
      </c>
      <c r="M1801" s="57" t="str">
        <f aca="false">IF($I1801="","",INDEX(BookRate,1796)*(1+'5. Scenarios'!$C$10)*(INDEX(BookQ1,1796)*(5-MIN(4,1+'5. Scenarios'!$C$8))/4+INDEX(BookQ2,1796)*(5-MIN(4,2+'5. Scenarios'!$C$8))/4+INDEX(BookQ3,1796)*(5-MIN(4,3+'5. Scenarios'!$C$8))/4+INDEX(BookQ4,1796)*(5-MIN(4,4+'5. Scenarios'!$C$8))/4)*'5. Scenarios'!$C$6/(1+ProductivityDefault*('5. Scenarios'!$C$11-1))+INDEX(BookOneOff,1796)*$I1801)</f>
        <v/>
      </c>
      <c r="N1801" s="56" t="str">
        <f aca="false">IF(INDEX(BookTitle,1796)="","",INDEX(BookTotal,1796)*'5. Scenarios'!$D$6/(1+ProductivityDefault*('5. Scenarios'!$D$11-1)))</f>
        <v/>
      </c>
      <c r="O1801" s="57" t="str">
        <f aca="false">IF($N1801="","",INDEX(BookRate,1796)*(1+'5. Scenarios'!$D$10)*$N1801)</f>
        <v/>
      </c>
      <c r="P1801" s="57" t="str">
        <f aca="false">IF($O1801="","",SUMIFS($O$6:$O$2405,$A$6:$A$2405,"&lt;="&amp;$A1801))</f>
        <v/>
      </c>
      <c r="Q1801" s="57" t="str">
        <f aca="false">IF($O1801="","",IF($P1801&lt;=BankCostEnvelope*'5. Scenarios'!$D$7,1,0))</f>
        <v/>
      </c>
      <c r="R1801" s="57" t="str">
        <f aca="false">IF($N1801="","",INDEX(BookRate,1796)*(1+'5. Scenarios'!$D$10)*(INDEX(BookQ1,1796)*(5-MIN(4,1+'5. Scenarios'!$D$8))/4+INDEX(BookQ2,1796)*(5-MIN(4,2+'5. Scenarios'!$D$8))/4+INDEX(BookQ3,1796)*(5-MIN(4,3+'5. Scenarios'!$D$8))/4+INDEX(BookQ4,1796)*(5-MIN(4,4+'5. Scenarios'!$D$8))/4)*'5. Scenarios'!$D$6/(1+ProductivityDefault*('5. Scenarios'!$D$11-1))+INDEX(BookOneOff,1796)*$N1801)</f>
        <v/>
      </c>
      <c r="S1801" s="56" t="str">
        <f aca="false">IF(INDEX(BookTitle,1796)="","",INDEX(BookTotal,1796)*'5. Scenarios'!$E$6/(1+ProductivityDefault*('5. Scenarios'!$E$11-1)))</f>
        <v/>
      </c>
      <c r="T1801" s="57" t="str">
        <f aca="false">IF($S1801="","",INDEX(BookRate,1796)*(1+'5. Scenarios'!$E$10)*$S1801)</f>
        <v/>
      </c>
      <c r="U1801" s="57" t="str">
        <f aca="false">IF($T1801="","",SUMIFS($T$6:$T$2405,$A$6:$A$2405,"&lt;="&amp;$A1801))</f>
        <v/>
      </c>
      <c r="V1801" s="57" t="str">
        <f aca="false">IF($T1801="","",IF($U1801&lt;=BankCostEnvelope*'5. Scenarios'!$E$7,1,0))</f>
        <v/>
      </c>
      <c r="W1801" s="57" t="str">
        <f aca="false">IF($S1801="","",INDEX(BookRate,1796)*(1+'5. Scenarios'!$E$10)*(INDEX(BookQ1,1796)*(5-MIN(4,1+'5. Scenarios'!$E$8))/4+INDEX(BookQ2,1796)*(5-MIN(4,2+'5. Scenarios'!$E$8))/4+INDEX(BookQ3,1796)*(5-MIN(4,3+'5. Scenarios'!$E$8))/4+INDEX(BookQ4,1796)*(5-MIN(4,4+'5. Scenarios'!$E$8))/4)*'5. Scenarios'!$E$6/(1+ProductivityDefault*('5. Scenarios'!$E$11-1))+INDEX(BookOneOff,1796)*$S1801)</f>
        <v/>
      </c>
    </row>
    <row r="1802" customFormat="false" ht="15" hidden="false" customHeight="false" outlineLevel="0" collapsed="false">
      <c r="A1802" s="0" t="str">
        <f aca="false">IF(INDEX(BookTitle,1797)="","",INDEX(BookKey,1797))</f>
        <v/>
      </c>
      <c r="B1802" s="0" t="str">
        <f aca="false">IF(INDEX(BookTitle,1797)="","",INDEX(BookGroup,1797))</f>
        <v/>
      </c>
      <c r="C1802" s="0" t="str">
        <f aca="false">IF(INDEX(BookTitle,1797)="","",INDEX(BookCategory,1797))</f>
        <v/>
      </c>
      <c r="D1802" s="56" t="str">
        <f aca="false">IF(INDEX(BookTitle,1797)="","",INDEX(BookTotal,1797)*'5. Scenarios'!$B$6/(1+ProductivityDefault*('5. Scenarios'!$B$11-1)))</f>
        <v/>
      </c>
      <c r="E1802" s="57" t="str">
        <f aca="false">IF($D1802="","",INDEX(BookRate,1797)*(1+'5. Scenarios'!$B$10)*$D1802)</f>
        <v/>
      </c>
      <c r="F1802" s="57" t="str">
        <f aca="false">IF($E1802="","",SUMIFS($E$6:$E$2405,$A$6:$A$2405,"&lt;="&amp;$A1802))</f>
        <v/>
      </c>
      <c r="G1802" s="57" t="str">
        <f aca="false">IF($E1802="","",IF($F1802&lt;=BankCostEnvelope*'5. Scenarios'!$B$7,1,0))</f>
        <v/>
      </c>
      <c r="H1802" s="57" t="str">
        <f aca="false">IF($D1802="","",INDEX(BookRate,1797)*(1+'5. Scenarios'!$B$10)*(INDEX(BookQ1,1797)*(5-MIN(4,1+'5. Scenarios'!$B$8))/4+INDEX(BookQ2,1797)*(5-MIN(4,2+'5. Scenarios'!$B$8))/4+INDEX(BookQ3,1797)*(5-MIN(4,3+'5. Scenarios'!$B$8))/4+INDEX(BookQ4,1797)*(5-MIN(4,4+'5. Scenarios'!$B$8))/4)*'5. Scenarios'!$B$6/(1+ProductivityDefault*('5. Scenarios'!$B$11-1))+INDEX(BookOneOff,1797)*$D1802)</f>
        <v/>
      </c>
      <c r="I1802" s="56" t="str">
        <f aca="false">IF(INDEX(BookTitle,1797)="","",INDEX(BookTotal,1797)*'5. Scenarios'!$C$6/(1+ProductivityDefault*('5. Scenarios'!$C$11-1)))</f>
        <v/>
      </c>
      <c r="J1802" s="57" t="str">
        <f aca="false">IF($I1802="","",INDEX(BookRate,1797)*(1+'5. Scenarios'!$C$10)*$I1802)</f>
        <v/>
      </c>
      <c r="K1802" s="57" t="str">
        <f aca="false">IF($J1802="","",SUMIFS($J$6:$J$2405,$A$6:$A$2405,"&lt;="&amp;$A1802))</f>
        <v/>
      </c>
      <c r="L1802" s="57" t="str">
        <f aca="false">IF($J1802="","",IF($K1802&lt;=BankCostEnvelope*'5. Scenarios'!$C$7,1,0))</f>
        <v/>
      </c>
      <c r="M1802" s="57" t="str">
        <f aca="false">IF($I1802="","",INDEX(BookRate,1797)*(1+'5. Scenarios'!$C$10)*(INDEX(BookQ1,1797)*(5-MIN(4,1+'5. Scenarios'!$C$8))/4+INDEX(BookQ2,1797)*(5-MIN(4,2+'5. Scenarios'!$C$8))/4+INDEX(BookQ3,1797)*(5-MIN(4,3+'5. Scenarios'!$C$8))/4+INDEX(BookQ4,1797)*(5-MIN(4,4+'5. Scenarios'!$C$8))/4)*'5. Scenarios'!$C$6/(1+ProductivityDefault*('5. Scenarios'!$C$11-1))+INDEX(BookOneOff,1797)*$I1802)</f>
        <v/>
      </c>
      <c r="N1802" s="56" t="str">
        <f aca="false">IF(INDEX(BookTitle,1797)="","",INDEX(BookTotal,1797)*'5. Scenarios'!$D$6/(1+ProductivityDefault*('5. Scenarios'!$D$11-1)))</f>
        <v/>
      </c>
      <c r="O1802" s="57" t="str">
        <f aca="false">IF($N1802="","",INDEX(BookRate,1797)*(1+'5. Scenarios'!$D$10)*$N1802)</f>
        <v/>
      </c>
      <c r="P1802" s="57" t="str">
        <f aca="false">IF($O1802="","",SUMIFS($O$6:$O$2405,$A$6:$A$2405,"&lt;="&amp;$A1802))</f>
        <v/>
      </c>
      <c r="Q1802" s="57" t="str">
        <f aca="false">IF($O1802="","",IF($P1802&lt;=BankCostEnvelope*'5. Scenarios'!$D$7,1,0))</f>
        <v/>
      </c>
      <c r="R1802" s="57" t="str">
        <f aca="false">IF($N1802="","",INDEX(BookRate,1797)*(1+'5. Scenarios'!$D$10)*(INDEX(BookQ1,1797)*(5-MIN(4,1+'5. Scenarios'!$D$8))/4+INDEX(BookQ2,1797)*(5-MIN(4,2+'5. Scenarios'!$D$8))/4+INDEX(BookQ3,1797)*(5-MIN(4,3+'5. Scenarios'!$D$8))/4+INDEX(BookQ4,1797)*(5-MIN(4,4+'5. Scenarios'!$D$8))/4)*'5. Scenarios'!$D$6/(1+ProductivityDefault*('5. Scenarios'!$D$11-1))+INDEX(BookOneOff,1797)*$N1802)</f>
        <v/>
      </c>
      <c r="S1802" s="56" t="str">
        <f aca="false">IF(INDEX(BookTitle,1797)="","",INDEX(BookTotal,1797)*'5. Scenarios'!$E$6/(1+ProductivityDefault*('5. Scenarios'!$E$11-1)))</f>
        <v/>
      </c>
      <c r="T1802" s="57" t="str">
        <f aca="false">IF($S1802="","",INDEX(BookRate,1797)*(1+'5. Scenarios'!$E$10)*$S1802)</f>
        <v/>
      </c>
      <c r="U1802" s="57" t="str">
        <f aca="false">IF($T1802="","",SUMIFS($T$6:$T$2405,$A$6:$A$2405,"&lt;="&amp;$A1802))</f>
        <v/>
      </c>
      <c r="V1802" s="57" t="str">
        <f aca="false">IF($T1802="","",IF($U1802&lt;=BankCostEnvelope*'5. Scenarios'!$E$7,1,0))</f>
        <v/>
      </c>
      <c r="W1802" s="57" t="str">
        <f aca="false">IF($S1802="","",INDEX(BookRate,1797)*(1+'5. Scenarios'!$E$10)*(INDEX(BookQ1,1797)*(5-MIN(4,1+'5. Scenarios'!$E$8))/4+INDEX(BookQ2,1797)*(5-MIN(4,2+'5. Scenarios'!$E$8))/4+INDEX(BookQ3,1797)*(5-MIN(4,3+'5. Scenarios'!$E$8))/4+INDEX(BookQ4,1797)*(5-MIN(4,4+'5. Scenarios'!$E$8))/4)*'5. Scenarios'!$E$6/(1+ProductivityDefault*('5. Scenarios'!$E$11-1))+INDEX(BookOneOff,1797)*$S1802)</f>
        <v/>
      </c>
    </row>
    <row r="1803" customFormat="false" ht="15" hidden="false" customHeight="false" outlineLevel="0" collapsed="false">
      <c r="A1803" s="0" t="str">
        <f aca="false">IF(INDEX(BookTitle,1798)="","",INDEX(BookKey,1798))</f>
        <v/>
      </c>
      <c r="B1803" s="0" t="str">
        <f aca="false">IF(INDEX(BookTitle,1798)="","",INDEX(BookGroup,1798))</f>
        <v/>
      </c>
      <c r="C1803" s="0" t="str">
        <f aca="false">IF(INDEX(BookTitle,1798)="","",INDEX(BookCategory,1798))</f>
        <v/>
      </c>
      <c r="D1803" s="56" t="str">
        <f aca="false">IF(INDEX(BookTitle,1798)="","",INDEX(BookTotal,1798)*'5. Scenarios'!$B$6/(1+ProductivityDefault*('5. Scenarios'!$B$11-1)))</f>
        <v/>
      </c>
      <c r="E1803" s="57" t="str">
        <f aca="false">IF($D1803="","",INDEX(BookRate,1798)*(1+'5. Scenarios'!$B$10)*$D1803)</f>
        <v/>
      </c>
      <c r="F1803" s="57" t="str">
        <f aca="false">IF($E1803="","",SUMIFS($E$6:$E$2405,$A$6:$A$2405,"&lt;="&amp;$A1803))</f>
        <v/>
      </c>
      <c r="G1803" s="57" t="str">
        <f aca="false">IF($E1803="","",IF($F1803&lt;=BankCostEnvelope*'5. Scenarios'!$B$7,1,0))</f>
        <v/>
      </c>
      <c r="H1803" s="57" t="str">
        <f aca="false">IF($D1803="","",INDEX(BookRate,1798)*(1+'5. Scenarios'!$B$10)*(INDEX(BookQ1,1798)*(5-MIN(4,1+'5. Scenarios'!$B$8))/4+INDEX(BookQ2,1798)*(5-MIN(4,2+'5. Scenarios'!$B$8))/4+INDEX(BookQ3,1798)*(5-MIN(4,3+'5. Scenarios'!$B$8))/4+INDEX(BookQ4,1798)*(5-MIN(4,4+'5. Scenarios'!$B$8))/4)*'5. Scenarios'!$B$6/(1+ProductivityDefault*('5. Scenarios'!$B$11-1))+INDEX(BookOneOff,1798)*$D1803)</f>
        <v/>
      </c>
      <c r="I1803" s="56" t="str">
        <f aca="false">IF(INDEX(BookTitle,1798)="","",INDEX(BookTotal,1798)*'5. Scenarios'!$C$6/(1+ProductivityDefault*('5. Scenarios'!$C$11-1)))</f>
        <v/>
      </c>
      <c r="J1803" s="57" t="str">
        <f aca="false">IF($I1803="","",INDEX(BookRate,1798)*(1+'5. Scenarios'!$C$10)*$I1803)</f>
        <v/>
      </c>
      <c r="K1803" s="57" t="str">
        <f aca="false">IF($J1803="","",SUMIFS($J$6:$J$2405,$A$6:$A$2405,"&lt;="&amp;$A1803))</f>
        <v/>
      </c>
      <c r="L1803" s="57" t="str">
        <f aca="false">IF($J1803="","",IF($K1803&lt;=BankCostEnvelope*'5. Scenarios'!$C$7,1,0))</f>
        <v/>
      </c>
      <c r="M1803" s="57" t="str">
        <f aca="false">IF($I1803="","",INDEX(BookRate,1798)*(1+'5. Scenarios'!$C$10)*(INDEX(BookQ1,1798)*(5-MIN(4,1+'5. Scenarios'!$C$8))/4+INDEX(BookQ2,1798)*(5-MIN(4,2+'5. Scenarios'!$C$8))/4+INDEX(BookQ3,1798)*(5-MIN(4,3+'5. Scenarios'!$C$8))/4+INDEX(BookQ4,1798)*(5-MIN(4,4+'5. Scenarios'!$C$8))/4)*'5. Scenarios'!$C$6/(1+ProductivityDefault*('5. Scenarios'!$C$11-1))+INDEX(BookOneOff,1798)*$I1803)</f>
        <v/>
      </c>
      <c r="N1803" s="56" t="str">
        <f aca="false">IF(INDEX(BookTitle,1798)="","",INDEX(BookTotal,1798)*'5. Scenarios'!$D$6/(1+ProductivityDefault*('5. Scenarios'!$D$11-1)))</f>
        <v/>
      </c>
      <c r="O1803" s="57" t="str">
        <f aca="false">IF($N1803="","",INDEX(BookRate,1798)*(1+'5. Scenarios'!$D$10)*$N1803)</f>
        <v/>
      </c>
      <c r="P1803" s="57" t="str">
        <f aca="false">IF($O1803="","",SUMIFS($O$6:$O$2405,$A$6:$A$2405,"&lt;="&amp;$A1803))</f>
        <v/>
      </c>
      <c r="Q1803" s="57" t="str">
        <f aca="false">IF($O1803="","",IF($P1803&lt;=BankCostEnvelope*'5. Scenarios'!$D$7,1,0))</f>
        <v/>
      </c>
      <c r="R1803" s="57" t="str">
        <f aca="false">IF($N1803="","",INDEX(BookRate,1798)*(1+'5. Scenarios'!$D$10)*(INDEX(BookQ1,1798)*(5-MIN(4,1+'5. Scenarios'!$D$8))/4+INDEX(BookQ2,1798)*(5-MIN(4,2+'5. Scenarios'!$D$8))/4+INDEX(BookQ3,1798)*(5-MIN(4,3+'5. Scenarios'!$D$8))/4+INDEX(BookQ4,1798)*(5-MIN(4,4+'5. Scenarios'!$D$8))/4)*'5. Scenarios'!$D$6/(1+ProductivityDefault*('5. Scenarios'!$D$11-1))+INDEX(BookOneOff,1798)*$N1803)</f>
        <v/>
      </c>
      <c r="S1803" s="56" t="str">
        <f aca="false">IF(INDEX(BookTitle,1798)="","",INDEX(BookTotal,1798)*'5. Scenarios'!$E$6/(1+ProductivityDefault*('5. Scenarios'!$E$11-1)))</f>
        <v/>
      </c>
      <c r="T1803" s="57" t="str">
        <f aca="false">IF($S1803="","",INDEX(BookRate,1798)*(1+'5. Scenarios'!$E$10)*$S1803)</f>
        <v/>
      </c>
      <c r="U1803" s="57" t="str">
        <f aca="false">IF($T1803="","",SUMIFS($T$6:$T$2405,$A$6:$A$2405,"&lt;="&amp;$A1803))</f>
        <v/>
      </c>
      <c r="V1803" s="57" t="str">
        <f aca="false">IF($T1803="","",IF($U1803&lt;=BankCostEnvelope*'5. Scenarios'!$E$7,1,0))</f>
        <v/>
      </c>
      <c r="W1803" s="57" t="str">
        <f aca="false">IF($S1803="","",INDEX(BookRate,1798)*(1+'5. Scenarios'!$E$10)*(INDEX(BookQ1,1798)*(5-MIN(4,1+'5. Scenarios'!$E$8))/4+INDEX(BookQ2,1798)*(5-MIN(4,2+'5. Scenarios'!$E$8))/4+INDEX(BookQ3,1798)*(5-MIN(4,3+'5. Scenarios'!$E$8))/4+INDEX(BookQ4,1798)*(5-MIN(4,4+'5. Scenarios'!$E$8))/4)*'5. Scenarios'!$E$6/(1+ProductivityDefault*('5. Scenarios'!$E$11-1))+INDEX(BookOneOff,1798)*$S1803)</f>
        <v/>
      </c>
    </row>
    <row r="1804" customFormat="false" ht="15" hidden="false" customHeight="false" outlineLevel="0" collapsed="false">
      <c r="A1804" s="0" t="str">
        <f aca="false">IF(INDEX(BookTitle,1799)="","",INDEX(BookKey,1799))</f>
        <v/>
      </c>
      <c r="B1804" s="0" t="str">
        <f aca="false">IF(INDEX(BookTitle,1799)="","",INDEX(BookGroup,1799))</f>
        <v/>
      </c>
      <c r="C1804" s="0" t="str">
        <f aca="false">IF(INDEX(BookTitle,1799)="","",INDEX(BookCategory,1799))</f>
        <v/>
      </c>
      <c r="D1804" s="56" t="str">
        <f aca="false">IF(INDEX(BookTitle,1799)="","",INDEX(BookTotal,1799)*'5. Scenarios'!$B$6/(1+ProductivityDefault*('5. Scenarios'!$B$11-1)))</f>
        <v/>
      </c>
      <c r="E1804" s="57" t="str">
        <f aca="false">IF($D1804="","",INDEX(BookRate,1799)*(1+'5. Scenarios'!$B$10)*$D1804)</f>
        <v/>
      </c>
      <c r="F1804" s="57" t="str">
        <f aca="false">IF($E1804="","",SUMIFS($E$6:$E$2405,$A$6:$A$2405,"&lt;="&amp;$A1804))</f>
        <v/>
      </c>
      <c r="G1804" s="57" t="str">
        <f aca="false">IF($E1804="","",IF($F1804&lt;=BankCostEnvelope*'5. Scenarios'!$B$7,1,0))</f>
        <v/>
      </c>
      <c r="H1804" s="57" t="str">
        <f aca="false">IF($D1804="","",INDEX(BookRate,1799)*(1+'5. Scenarios'!$B$10)*(INDEX(BookQ1,1799)*(5-MIN(4,1+'5. Scenarios'!$B$8))/4+INDEX(BookQ2,1799)*(5-MIN(4,2+'5. Scenarios'!$B$8))/4+INDEX(BookQ3,1799)*(5-MIN(4,3+'5. Scenarios'!$B$8))/4+INDEX(BookQ4,1799)*(5-MIN(4,4+'5. Scenarios'!$B$8))/4)*'5. Scenarios'!$B$6/(1+ProductivityDefault*('5. Scenarios'!$B$11-1))+INDEX(BookOneOff,1799)*$D1804)</f>
        <v/>
      </c>
      <c r="I1804" s="56" t="str">
        <f aca="false">IF(INDEX(BookTitle,1799)="","",INDEX(BookTotal,1799)*'5. Scenarios'!$C$6/(1+ProductivityDefault*('5. Scenarios'!$C$11-1)))</f>
        <v/>
      </c>
      <c r="J1804" s="57" t="str">
        <f aca="false">IF($I1804="","",INDEX(BookRate,1799)*(1+'5. Scenarios'!$C$10)*$I1804)</f>
        <v/>
      </c>
      <c r="K1804" s="57" t="str">
        <f aca="false">IF($J1804="","",SUMIFS($J$6:$J$2405,$A$6:$A$2405,"&lt;="&amp;$A1804))</f>
        <v/>
      </c>
      <c r="L1804" s="57" t="str">
        <f aca="false">IF($J1804="","",IF($K1804&lt;=BankCostEnvelope*'5. Scenarios'!$C$7,1,0))</f>
        <v/>
      </c>
      <c r="M1804" s="57" t="str">
        <f aca="false">IF($I1804="","",INDEX(BookRate,1799)*(1+'5. Scenarios'!$C$10)*(INDEX(BookQ1,1799)*(5-MIN(4,1+'5. Scenarios'!$C$8))/4+INDEX(BookQ2,1799)*(5-MIN(4,2+'5. Scenarios'!$C$8))/4+INDEX(BookQ3,1799)*(5-MIN(4,3+'5. Scenarios'!$C$8))/4+INDEX(BookQ4,1799)*(5-MIN(4,4+'5. Scenarios'!$C$8))/4)*'5. Scenarios'!$C$6/(1+ProductivityDefault*('5. Scenarios'!$C$11-1))+INDEX(BookOneOff,1799)*$I1804)</f>
        <v/>
      </c>
      <c r="N1804" s="56" t="str">
        <f aca="false">IF(INDEX(BookTitle,1799)="","",INDEX(BookTotal,1799)*'5. Scenarios'!$D$6/(1+ProductivityDefault*('5. Scenarios'!$D$11-1)))</f>
        <v/>
      </c>
      <c r="O1804" s="57" t="str">
        <f aca="false">IF($N1804="","",INDEX(BookRate,1799)*(1+'5. Scenarios'!$D$10)*$N1804)</f>
        <v/>
      </c>
      <c r="P1804" s="57" t="str">
        <f aca="false">IF($O1804="","",SUMIFS($O$6:$O$2405,$A$6:$A$2405,"&lt;="&amp;$A1804))</f>
        <v/>
      </c>
      <c r="Q1804" s="57" t="str">
        <f aca="false">IF($O1804="","",IF($P1804&lt;=BankCostEnvelope*'5. Scenarios'!$D$7,1,0))</f>
        <v/>
      </c>
      <c r="R1804" s="57" t="str">
        <f aca="false">IF($N1804="","",INDEX(BookRate,1799)*(1+'5. Scenarios'!$D$10)*(INDEX(BookQ1,1799)*(5-MIN(4,1+'5. Scenarios'!$D$8))/4+INDEX(BookQ2,1799)*(5-MIN(4,2+'5. Scenarios'!$D$8))/4+INDEX(BookQ3,1799)*(5-MIN(4,3+'5. Scenarios'!$D$8))/4+INDEX(BookQ4,1799)*(5-MIN(4,4+'5. Scenarios'!$D$8))/4)*'5. Scenarios'!$D$6/(1+ProductivityDefault*('5. Scenarios'!$D$11-1))+INDEX(BookOneOff,1799)*$N1804)</f>
        <v/>
      </c>
      <c r="S1804" s="56" t="str">
        <f aca="false">IF(INDEX(BookTitle,1799)="","",INDEX(BookTotal,1799)*'5. Scenarios'!$E$6/(1+ProductivityDefault*('5. Scenarios'!$E$11-1)))</f>
        <v/>
      </c>
      <c r="T1804" s="57" t="str">
        <f aca="false">IF($S1804="","",INDEX(BookRate,1799)*(1+'5. Scenarios'!$E$10)*$S1804)</f>
        <v/>
      </c>
      <c r="U1804" s="57" t="str">
        <f aca="false">IF($T1804="","",SUMIFS($T$6:$T$2405,$A$6:$A$2405,"&lt;="&amp;$A1804))</f>
        <v/>
      </c>
      <c r="V1804" s="57" t="str">
        <f aca="false">IF($T1804="","",IF($U1804&lt;=BankCostEnvelope*'5. Scenarios'!$E$7,1,0))</f>
        <v/>
      </c>
      <c r="W1804" s="57" t="str">
        <f aca="false">IF($S1804="","",INDEX(BookRate,1799)*(1+'5. Scenarios'!$E$10)*(INDEX(BookQ1,1799)*(5-MIN(4,1+'5. Scenarios'!$E$8))/4+INDEX(BookQ2,1799)*(5-MIN(4,2+'5. Scenarios'!$E$8))/4+INDEX(BookQ3,1799)*(5-MIN(4,3+'5. Scenarios'!$E$8))/4+INDEX(BookQ4,1799)*(5-MIN(4,4+'5. Scenarios'!$E$8))/4)*'5. Scenarios'!$E$6/(1+ProductivityDefault*('5. Scenarios'!$E$11-1))+INDEX(BookOneOff,1799)*$S1804)</f>
        <v/>
      </c>
    </row>
    <row r="1805" customFormat="false" ht="15" hidden="false" customHeight="false" outlineLevel="0" collapsed="false">
      <c r="A1805" s="0" t="str">
        <f aca="false">IF(INDEX(BookTitle,1800)="","",INDEX(BookKey,1800))</f>
        <v/>
      </c>
      <c r="B1805" s="0" t="str">
        <f aca="false">IF(INDEX(BookTitle,1800)="","",INDEX(BookGroup,1800))</f>
        <v/>
      </c>
      <c r="C1805" s="0" t="str">
        <f aca="false">IF(INDEX(BookTitle,1800)="","",INDEX(BookCategory,1800))</f>
        <v/>
      </c>
      <c r="D1805" s="56" t="str">
        <f aca="false">IF(INDEX(BookTitle,1800)="","",INDEX(BookTotal,1800)*'5. Scenarios'!$B$6/(1+ProductivityDefault*('5. Scenarios'!$B$11-1)))</f>
        <v/>
      </c>
      <c r="E1805" s="57" t="str">
        <f aca="false">IF($D1805="","",INDEX(BookRate,1800)*(1+'5. Scenarios'!$B$10)*$D1805)</f>
        <v/>
      </c>
      <c r="F1805" s="57" t="str">
        <f aca="false">IF($E1805="","",SUMIFS($E$6:$E$2405,$A$6:$A$2405,"&lt;="&amp;$A1805))</f>
        <v/>
      </c>
      <c r="G1805" s="57" t="str">
        <f aca="false">IF($E1805="","",IF($F1805&lt;=BankCostEnvelope*'5. Scenarios'!$B$7,1,0))</f>
        <v/>
      </c>
      <c r="H1805" s="57" t="str">
        <f aca="false">IF($D1805="","",INDEX(BookRate,1800)*(1+'5. Scenarios'!$B$10)*(INDEX(BookQ1,1800)*(5-MIN(4,1+'5. Scenarios'!$B$8))/4+INDEX(BookQ2,1800)*(5-MIN(4,2+'5. Scenarios'!$B$8))/4+INDEX(BookQ3,1800)*(5-MIN(4,3+'5. Scenarios'!$B$8))/4+INDEX(BookQ4,1800)*(5-MIN(4,4+'5. Scenarios'!$B$8))/4)*'5. Scenarios'!$B$6/(1+ProductivityDefault*('5. Scenarios'!$B$11-1))+INDEX(BookOneOff,1800)*$D1805)</f>
        <v/>
      </c>
      <c r="I1805" s="56" t="str">
        <f aca="false">IF(INDEX(BookTitle,1800)="","",INDEX(BookTotal,1800)*'5. Scenarios'!$C$6/(1+ProductivityDefault*('5. Scenarios'!$C$11-1)))</f>
        <v/>
      </c>
      <c r="J1805" s="57" t="str">
        <f aca="false">IF($I1805="","",INDEX(BookRate,1800)*(1+'5. Scenarios'!$C$10)*$I1805)</f>
        <v/>
      </c>
      <c r="K1805" s="57" t="str">
        <f aca="false">IF($J1805="","",SUMIFS($J$6:$J$2405,$A$6:$A$2405,"&lt;="&amp;$A1805))</f>
        <v/>
      </c>
      <c r="L1805" s="57" t="str">
        <f aca="false">IF($J1805="","",IF($K1805&lt;=BankCostEnvelope*'5. Scenarios'!$C$7,1,0))</f>
        <v/>
      </c>
      <c r="M1805" s="57" t="str">
        <f aca="false">IF($I1805="","",INDEX(BookRate,1800)*(1+'5. Scenarios'!$C$10)*(INDEX(BookQ1,1800)*(5-MIN(4,1+'5. Scenarios'!$C$8))/4+INDEX(BookQ2,1800)*(5-MIN(4,2+'5. Scenarios'!$C$8))/4+INDEX(BookQ3,1800)*(5-MIN(4,3+'5. Scenarios'!$C$8))/4+INDEX(BookQ4,1800)*(5-MIN(4,4+'5. Scenarios'!$C$8))/4)*'5. Scenarios'!$C$6/(1+ProductivityDefault*('5. Scenarios'!$C$11-1))+INDEX(BookOneOff,1800)*$I1805)</f>
        <v/>
      </c>
      <c r="N1805" s="56" t="str">
        <f aca="false">IF(INDEX(BookTitle,1800)="","",INDEX(BookTotal,1800)*'5. Scenarios'!$D$6/(1+ProductivityDefault*('5. Scenarios'!$D$11-1)))</f>
        <v/>
      </c>
      <c r="O1805" s="57" t="str">
        <f aca="false">IF($N1805="","",INDEX(BookRate,1800)*(1+'5. Scenarios'!$D$10)*$N1805)</f>
        <v/>
      </c>
      <c r="P1805" s="57" t="str">
        <f aca="false">IF($O1805="","",SUMIFS($O$6:$O$2405,$A$6:$A$2405,"&lt;="&amp;$A1805))</f>
        <v/>
      </c>
      <c r="Q1805" s="57" t="str">
        <f aca="false">IF($O1805="","",IF($P1805&lt;=BankCostEnvelope*'5. Scenarios'!$D$7,1,0))</f>
        <v/>
      </c>
      <c r="R1805" s="57" t="str">
        <f aca="false">IF($N1805="","",INDEX(BookRate,1800)*(1+'5. Scenarios'!$D$10)*(INDEX(BookQ1,1800)*(5-MIN(4,1+'5. Scenarios'!$D$8))/4+INDEX(BookQ2,1800)*(5-MIN(4,2+'5. Scenarios'!$D$8))/4+INDEX(BookQ3,1800)*(5-MIN(4,3+'5. Scenarios'!$D$8))/4+INDEX(BookQ4,1800)*(5-MIN(4,4+'5. Scenarios'!$D$8))/4)*'5. Scenarios'!$D$6/(1+ProductivityDefault*('5. Scenarios'!$D$11-1))+INDEX(BookOneOff,1800)*$N1805)</f>
        <v/>
      </c>
      <c r="S1805" s="56" t="str">
        <f aca="false">IF(INDEX(BookTitle,1800)="","",INDEX(BookTotal,1800)*'5. Scenarios'!$E$6/(1+ProductivityDefault*('5. Scenarios'!$E$11-1)))</f>
        <v/>
      </c>
      <c r="T1805" s="57" t="str">
        <f aca="false">IF($S1805="","",INDEX(BookRate,1800)*(1+'5. Scenarios'!$E$10)*$S1805)</f>
        <v/>
      </c>
      <c r="U1805" s="57" t="str">
        <f aca="false">IF($T1805="","",SUMIFS($T$6:$T$2405,$A$6:$A$2405,"&lt;="&amp;$A1805))</f>
        <v/>
      </c>
      <c r="V1805" s="57" t="str">
        <f aca="false">IF($T1805="","",IF($U1805&lt;=BankCostEnvelope*'5. Scenarios'!$E$7,1,0))</f>
        <v/>
      </c>
      <c r="W1805" s="57" t="str">
        <f aca="false">IF($S1805="","",INDEX(BookRate,1800)*(1+'5. Scenarios'!$E$10)*(INDEX(BookQ1,1800)*(5-MIN(4,1+'5. Scenarios'!$E$8))/4+INDEX(BookQ2,1800)*(5-MIN(4,2+'5. Scenarios'!$E$8))/4+INDEX(BookQ3,1800)*(5-MIN(4,3+'5. Scenarios'!$E$8))/4+INDEX(BookQ4,1800)*(5-MIN(4,4+'5. Scenarios'!$E$8))/4)*'5. Scenarios'!$E$6/(1+ProductivityDefault*('5. Scenarios'!$E$11-1))+INDEX(BookOneOff,1800)*$S1805)</f>
        <v/>
      </c>
    </row>
    <row r="1806" customFormat="false" ht="15" hidden="false" customHeight="false" outlineLevel="0" collapsed="false">
      <c r="A1806" s="0" t="str">
        <f aca="false">IF(INDEX(BookTitle,1801)="","",INDEX(BookKey,1801))</f>
        <v/>
      </c>
      <c r="B1806" s="0" t="str">
        <f aca="false">IF(INDEX(BookTitle,1801)="","",INDEX(BookGroup,1801))</f>
        <v/>
      </c>
      <c r="C1806" s="0" t="str">
        <f aca="false">IF(INDEX(BookTitle,1801)="","",INDEX(BookCategory,1801))</f>
        <v/>
      </c>
      <c r="D1806" s="56" t="str">
        <f aca="false">IF(INDEX(BookTitle,1801)="","",INDEX(BookTotal,1801)*'5. Scenarios'!$B$6/(1+ProductivityDefault*('5. Scenarios'!$B$11-1)))</f>
        <v/>
      </c>
      <c r="E1806" s="57" t="str">
        <f aca="false">IF($D1806="","",INDEX(BookRate,1801)*(1+'5. Scenarios'!$B$10)*$D1806)</f>
        <v/>
      </c>
      <c r="F1806" s="57" t="str">
        <f aca="false">IF($E1806="","",SUMIFS($E$6:$E$2405,$A$6:$A$2405,"&lt;="&amp;$A1806))</f>
        <v/>
      </c>
      <c r="G1806" s="57" t="str">
        <f aca="false">IF($E1806="","",IF($F1806&lt;=BankCostEnvelope*'5. Scenarios'!$B$7,1,0))</f>
        <v/>
      </c>
      <c r="H1806" s="57" t="str">
        <f aca="false">IF($D1806="","",INDEX(BookRate,1801)*(1+'5. Scenarios'!$B$10)*(INDEX(BookQ1,1801)*(5-MIN(4,1+'5. Scenarios'!$B$8))/4+INDEX(BookQ2,1801)*(5-MIN(4,2+'5. Scenarios'!$B$8))/4+INDEX(BookQ3,1801)*(5-MIN(4,3+'5. Scenarios'!$B$8))/4+INDEX(BookQ4,1801)*(5-MIN(4,4+'5. Scenarios'!$B$8))/4)*'5. Scenarios'!$B$6/(1+ProductivityDefault*('5. Scenarios'!$B$11-1))+INDEX(BookOneOff,1801)*$D1806)</f>
        <v/>
      </c>
      <c r="I1806" s="56" t="str">
        <f aca="false">IF(INDEX(BookTitle,1801)="","",INDEX(BookTotal,1801)*'5. Scenarios'!$C$6/(1+ProductivityDefault*('5. Scenarios'!$C$11-1)))</f>
        <v/>
      </c>
      <c r="J1806" s="57" t="str">
        <f aca="false">IF($I1806="","",INDEX(BookRate,1801)*(1+'5. Scenarios'!$C$10)*$I1806)</f>
        <v/>
      </c>
      <c r="K1806" s="57" t="str">
        <f aca="false">IF($J1806="","",SUMIFS($J$6:$J$2405,$A$6:$A$2405,"&lt;="&amp;$A1806))</f>
        <v/>
      </c>
      <c r="L1806" s="57" t="str">
        <f aca="false">IF($J1806="","",IF($K1806&lt;=BankCostEnvelope*'5. Scenarios'!$C$7,1,0))</f>
        <v/>
      </c>
      <c r="M1806" s="57" t="str">
        <f aca="false">IF($I1806="","",INDEX(BookRate,1801)*(1+'5. Scenarios'!$C$10)*(INDEX(BookQ1,1801)*(5-MIN(4,1+'5. Scenarios'!$C$8))/4+INDEX(BookQ2,1801)*(5-MIN(4,2+'5. Scenarios'!$C$8))/4+INDEX(BookQ3,1801)*(5-MIN(4,3+'5. Scenarios'!$C$8))/4+INDEX(BookQ4,1801)*(5-MIN(4,4+'5. Scenarios'!$C$8))/4)*'5. Scenarios'!$C$6/(1+ProductivityDefault*('5. Scenarios'!$C$11-1))+INDEX(BookOneOff,1801)*$I1806)</f>
        <v/>
      </c>
      <c r="N1806" s="56" t="str">
        <f aca="false">IF(INDEX(BookTitle,1801)="","",INDEX(BookTotal,1801)*'5. Scenarios'!$D$6/(1+ProductivityDefault*('5. Scenarios'!$D$11-1)))</f>
        <v/>
      </c>
      <c r="O1806" s="57" t="str">
        <f aca="false">IF($N1806="","",INDEX(BookRate,1801)*(1+'5. Scenarios'!$D$10)*$N1806)</f>
        <v/>
      </c>
      <c r="P1806" s="57" t="str">
        <f aca="false">IF($O1806="","",SUMIFS($O$6:$O$2405,$A$6:$A$2405,"&lt;="&amp;$A1806))</f>
        <v/>
      </c>
      <c r="Q1806" s="57" t="str">
        <f aca="false">IF($O1806="","",IF($P1806&lt;=BankCostEnvelope*'5. Scenarios'!$D$7,1,0))</f>
        <v/>
      </c>
      <c r="R1806" s="57" t="str">
        <f aca="false">IF($N1806="","",INDEX(BookRate,1801)*(1+'5. Scenarios'!$D$10)*(INDEX(BookQ1,1801)*(5-MIN(4,1+'5. Scenarios'!$D$8))/4+INDEX(BookQ2,1801)*(5-MIN(4,2+'5. Scenarios'!$D$8))/4+INDEX(BookQ3,1801)*(5-MIN(4,3+'5. Scenarios'!$D$8))/4+INDEX(BookQ4,1801)*(5-MIN(4,4+'5. Scenarios'!$D$8))/4)*'5. Scenarios'!$D$6/(1+ProductivityDefault*('5. Scenarios'!$D$11-1))+INDEX(BookOneOff,1801)*$N1806)</f>
        <v/>
      </c>
      <c r="S1806" s="56" t="str">
        <f aca="false">IF(INDEX(BookTitle,1801)="","",INDEX(BookTotal,1801)*'5. Scenarios'!$E$6/(1+ProductivityDefault*('5. Scenarios'!$E$11-1)))</f>
        <v/>
      </c>
      <c r="T1806" s="57" t="str">
        <f aca="false">IF($S1806="","",INDEX(BookRate,1801)*(1+'5. Scenarios'!$E$10)*$S1806)</f>
        <v/>
      </c>
      <c r="U1806" s="57" t="str">
        <f aca="false">IF($T1806="","",SUMIFS($T$6:$T$2405,$A$6:$A$2405,"&lt;="&amp;$A1806))</f>
        <v/>
      </c>
      <c r="V1806" s="57" t="str">
        <f aca="false">IF($T1806="","",IF($U1806&lt;=BankCostEnvelope*'5. Scenarios'!$E$7,1,0))</f>
        <v/>
      </c>
      <c r="W1806" s="57" t="str">
        <f aca="false">IF($S1806="","",INDEX(BookRate,1801)*(1+'5. Scenarios'!$E$10)*(INDEX(BookQ1,1801)*(5-MIN(4,1+'5. Scenarios'!$E$8))/4+INDEX(BookQ2,1801)*(5-MIN(4,2+'5. Scenarios'!$E$8))/4+INDEX(BookQ3,1801)*(5-MIN(4,3+'5. Scenarios'!$E$8))/4+INDEX(BookQ4,1801)*(5-MIN(4,4+'5. Scenarios'!$E$8))/4)*'5. Scenarios'!$E$6/(1+ProductivityDefault*('5. Scenarios'!$E$11-1))+INDEX(BookOneOff,1801)*$S1806)</f>
        <v/>
      </c>
    </row>
    <row r="1807" customFormat="false" ht="15" hidden="false" customHeight="false" outlineLevel="0" collapsed="false">
      <c r="A1807" s="0" t="str">
        <f aca="false">IF(INDEX(BookTitle,1802)="","",INDEX(BookKey,1802))</f>
        <v/>
      </c>
      <c r="B1807" s="0" t="str">
        <f aca="false">IF(INDEX(BookTitle,1802)="","",INDEX(BookGroup,1802))</f>
        <v/>
      </c>
      <c r="C1807" s="0" t="str">
        <f aca="false">IF(INDEX(BookTitle,1802)="","",INDEX(BookCategory,1802))</f>
        <v/>
      </c>
      <c r="D1807" s="56" t="str">
        <f aca="false">IF(INDEX(BookTitle,1802)="","",INDEX(BookTotal,1802)*'5. Scenarios'!$B$6/(1+ProductivityDefault*('5. Scenarios'!$B$11-1)))</f>
        <v/>
      </c>
      <c r="E1807" s="57" t="str">
        <f aca="false">IF($D1807="","",INDEX(BookRate,1802)*(1+'5. Scenarios'!$B$10)*$D1807)</f>
        <v/>
      </c>
      <c r="F1807" s="57" t="str">
        <f aca="false">IF($E1807="","",SUMIFS($E$6:$E$2405,$A$6:$A$2405,"&lt;="&amp;$A1807))</f>
        <v/>
      </c>
      <c r="G1807" s="57" t="str">
        <f aca="false">IF($E1807="","",IF($F1807&lt;=BankCostEnvelope*'5. Scenarios'!$B$7,1,0))</f>
        <v/>
      </c>
      <c r="H1807" s="57" t="str">
        <f aca="false">IF($D1807="","",INDEX(BookRate,1802)*(1+'5. Scenarios'!$B$10)*(INDEX(BookQ1,1802)*(5-MIN(4,1+'5. Scenarios'!$B$8))/4+INDEX(BookQ2,1802)*(5-MIN(4,2+'5. Scenarios'!$B$8))/4+INDEX(BookQ3,1802)*(5-MIN(4,3+'5. Scenarios'!$B$8))/4+INDEX(BookQ4,1802)*(5-MIN(4,4+'5. Scenarios'!$B$8))/4)*'5. Scenarios'!$B$6/(1+ProductivityDefault*('5. Scenarios'!$B$11-1))+INDEX(BookOneOff,1802)*$D1807)</f>
        <v/>
      </c>
      <c r="I1807" s="56" t="str">
        <f aca="false">IF(INDEX(BookTitle,1802)="","",INDEX(BookTotal,1802)*'5. Scenarios'!$C$6/(1+ProductivityDefault*('5. Scenarios'!$C$11-1)))</f>
        <v/>
      </c>
      <c r="J1807" s="57" t="str">
        <f aca="false">IF($I1807="","",INDEX(BookRate,1802)*(1+'5. Scenarios'!$C$10)*$I1807)</f>
        <v/>
      </c>
      <c r="K1807" s="57" t="str">
        <f aca="false">IF($J1807="","",SUMIFS($J$6:$J$2405,$A$6:$A$2405,"&lt;="&amp;$A1807))</f>
        <v/>
      </c>
      <c r="L1807" s="57" t="str">
        <f aca="false">IF($J1807="","",IF($K1807&lt;=BankCostEnvelope*'5. Scenarios'!$C$7,1,0))</f>
        <v/>
      </c>
      <c r="M1807" s="57" t="str">
        <f aca="false">IF($I1807="","",INDEX(BookRate,1802)*(1+'5. Scenarios'!$C$10)*(INDEX(BookQ1,1802)*(5-MIN(4,1+'5. Scenarios'!$C$8))/4+INDEX(BookQ2,1802)*(5-MIN(4,2+'5. Scenarios'!$C$8))/4+INDEX(BookQ3,1802)*(5-MIN(4,3+'5. Scenarios'!$C$8))/4+INDEX(BookQ4,1802)*(5-MIN(4,4+'5. Scenarios'!$C$8))/4)*'5. Scenarios'!$C$6/(1+ProductivityDefault*('5. Scenarios'!$C$11-1))+INDEX(BookOneOff,1802)*$I1807)</f>
        <v/>
      </c>
      <c r="N1807" s="56" t="str">
        <f aca="false">IF(INDEX(BookTitle,1802)="","",INDEX(BookTotal,1802)*'5. Scenarios'!$D$6/(1+ProductivityDefault*('5. Scenarios'!$D$11-1)))</f>
        <v/>
      </c>
      <c r="O1807" s="57" t="str">
        <f aca="false">IF($N1807="","",INDEX(BookRate,1802)*(1+'5. Scenarios'!$D$10)*$N1807)</f>
        <v/>
      </c>
      <c r="P1807" s="57" t="str">
        <f aca="false">IF($O1807="","",SUMIFS($O$6:$O$2405,$A$6:$A$2405,"&lt;="&amp;$A1807))</f>
        <v/>
      </c>
      <c r="Q1807" s="57" t="str">
        <f aca="false">IF($O1807="","",IF($P1807&lt;=BankCostEnvelope*'5. Scenarios'!$D$7,1,0))</f>
        <v/>
      </c>
      <c r="R1807" s="57" t="str">
        <f aca="false">IF($N1807="","",INDEX(BookRate,1802)*(1+'5. Scenarios'!$D$10)*(INDEX(BookQ1,1802)*(5-MIN(4,1+'5. Scenarios'!$D$8))/4+INDEX(BookQ2,1802)*(5-MIN(4,2+'5. Scenarios'!$D$8))/4+INDEX(BookQ3,1802)*(5-MIN(4,3+'5. Scenarios'!$D$8))/4+INDEX(BookQ4,1802)*(5-MIN(4,4+'5. Scenarios'!$D$8))/4)*'5. Scenarios'!$D$6/(1+ProductivityDefault*('5. Scenarios'!$D$11-1))+INDEX(BookOneOff,1802)*$N1807)</f>
        <v/>
      </c>
      <c r="S1807" s="56" t="str">
        <f aca="false">IF(INDEX(BookTitle,1802)="","",INDEX(BookTotal,1802)*'5. Scenarios'!$E$6/(1+ProductivityDefault*('5. Scenarios'!$E$11-1)))</f>
        <v/>
      </c>
      <c r="T1807" s="57" t="str">
        <f aca="false">IF($S1807="","",INDEX(BookRate,1802)*(1+'5. Scenarios'!$E$10)*$S1807)</f>
        <v/>
      </c>
      <c r="U1807" s="57" t="str">
        <f aca="false">IF($T1807="","",SUMIFS($T$6:$T$2405,$A$6:$A$2405,"&lt;="&amp;$A1807))</f>
        <v/>
      </c>
      <c r="V1807" s="57" t="str">
        <f aca="false">IF($T1807="","",IF($U1807&lt;=BankCostEnvelope*'5. Scenarios'!$E$7,1,0))</f>
        <v/>
      </c>
      <c r="W1807" s="57" t="str">
        <f aca="false">IF($S1807="","",INDEX(BookRate,1802)*(1+'5. Scenarios'!$E$10)*(INDEX(BookQ1,1802)*(5-MIN(4,1+'5. Scenarios'!$E$8))/4+INDEX(BookQ2,1802)*(5-MIN(4,2+'5. Scenarios'!$E$8))/4+INDEX(BookQ3,1802)*(5-MIN(4,3+'5. Scenarios'!$E$8))/4+INDEX(BookQ4,1802)*(5-MIN(4,4+'5. Scenarios'!$E$8))/4)*'5. Scenarios'!$E$6/(1+ProductivityDefault*('5. Scenarios'!$E$11-1))+INDEX(BookOneOff,1802)*$S1807)</f>
        <v/>
      </c>
    </row>
    <row r="1808" customFormat="false" ht="15" hidden="false" customHeight="false" outlineLevel="0" collapsed="false">
      <c r="A1808" s="0" t="str">
        <f aca="false">IF(INDEX(BookTitle,1803)="","",INDEX(BookKey,1803))</f>
        <v/>
      </c>
      <c r="B1808" s="0" t="str">
        <f aca="false">IF(INDEX(BookTitle,1803)="","",INDEX(BookGroup,1803))</f>
        <v/>
      </c>
      <c r="C1808" s="0" t="str">
        <f aca="false">IF(INDEX(BookTitle,1803)="","",INDEX(BookCategory,1803))</f>
        <v/>
      </c>
      <c r="D1808" s="56" t="str">
        <f aca="false">IF(INDEX(BookTitle,1803)="","",INDEX(BookTotal,1803)*'5. Scenarios'!$B$6/(1+ProductivityDefault*('5. Scenarios'!$B$11-1)))</f>
        <v/>
      </c>
      <c r="E1808" s="57" t="str">
        <f aca="false">IF($D1808="","",INDEX(BookRate,1803)*(1+'5. Scenarios'!$B$10)*$D1808)</f>
        <v/>
      </c>
      <c r="F1808" s="57" t="str">
        <f aca="false">IF($E1808="","",SUMIFS($E$6:$E$2405,$A$6:$A$2405,"&lt;="&amp;$A1808))</f>
        <v/>
      </c>
      <c r="G1808" s="57" t="str">
        <f aca="false">IF($E1808="","",IF($F1808&lt;=BankCostEnvelope*'5. Scenarios'!$B$7,1,0))</f>
        <v/>
      </c>
      <c r="H1808" s="57" t="str">
        <f aca="false">IF($D1808="","",INDEX(BookRate,1803)*(1+'5. Scenarios'!$B$10)*(INDEX(BookQ1,1803)*(5-MIN(4,1+'5. Scenarios'!$B$8))/4+INDEX(BookQ2,1803)*(5-MIN(4,2+'5. Scenarios'!$B$8))/4+INDEX(BookQ3,1803)*(5-MIN(4,3+'5. Scenarios'!$B$8))/4+INDEX(BookQ4,1803)*(5-MIN(4,4+'5. Scenarios'!$B$8))/4)*'5. Scenarios'!$B$6/(1+ProductivityDefault*('5. Scenarios'!$B$11-1))+INDEX(BookOneOff,1803)*$D1808)</f>
        <v/>
      </c>
      <c r="I1808" s="56" t="str">
        <f aca="false">IF(INDEX(BookTitle,1803)="","",INDEX(BookTotal,1803)*'5. Scenarios'!$C$6/(1+ProductivityDefault*('5. Scenarios'!$C$11-1)))</f>
        <v/>
      </c>
      <c r="J1808" s="57" t="str">
        <f aca="false">IF($I1808="","",INDEX(BookRate,1803)*(1+'5. Scenarios'!$C$10)*$I1808)</f>
        <v/>
      </c>
      <c r="K1808" s="57" t="str">
        <f aca="false">IF($J1808="","",SUMIFS($J$6:$J$2405,$A$6:$A$2405,"&lt;="&amp;$A1808))</f>
        <v/>
      </c>
      <c r="L1808" s="57" t="str">
        <f aca="false">IF($J1808="","",IF($K1808&lt;=BankCostEnvelope*'5. Scenarios'!$C$7,1,0))</f>
        <v/>
      </c>
      <c r="M1808" s="57" t="str">
        <f aca="false">IF($I1808="","",INDEX(BookRate,1803)*(1+'5. Scenarios'!$C$10)*(INDEX(BookQ1,1803)*(5-MIN(4,1+'5. Scenarios'!$C$8))/4+INDEX(BookQ2,1803)*(5-MIN(4,2+'5. Scenarios'!$C$8))/4+INDEX(BookQ3,1803)*(5-MIN(4,3+'5. Scenarios'!$C$8))/4+INDEX(BookQ4,1803)*(5-MIN(4,4+'5. Scenarios'!$C$8))/4)*'5. Scenarios'!$C$6/(1+ProductivityDefault*('5. Scenarios'!$C$11-1))+INDEX(BookOneOff,1803)*$I1808)</f>
        <v/>
      </c>
      <c r="N1808" s="56" t="str">
        <f aca="false">IF(INDEX(BookTitle,1803)="","",INDEX(BookTotal,1803)*'5. Scenarios'!$D$6/(1+ProductivityDefault*('5. Scenarios'!$D$11-1)))</f>
        <v/>
      </c>
      <c r="O1808" s="57" t="str">
        <f aca="false">IF($N1808="","",INDEX(BookRate,1803)*(1+'5. Scenarios'!$D$10)*$N1808)</f>
        <v/>
      </c>
      <c r="P1808" s="57" t="str">
        <f aca="false">IF($O1808="","",SUMIFS($O$6:$O$2405,$A$6:$A$2405,"&lt;="&amp;$A1808))</f>
        <v/>
      </c>
      <c r="Q1808" s="57" t="str">
        <f aca="false">IF($O1808="","",IF($P1808&lt;=BankCostEnvelope*'5. Scenarios'!$D$7,1,0))</f>
        <v/>
      </c>
      <c r="R1808" s="57" t="str">
        <f aca="false">IF($N1808="","",INDEX(BookRate,1803)*(1+'5. Scenarios'!$D$10)*(INDEX(BookQ1,1803)*(5-MIN(4,1+'5. Scenarios'!$D$8))/4+INDEX(BookQ2,1803)*(5-MIN(4,2+'5. Scenarios'!$D$8))/4+INDEX(BookQ3,1803)*(5-MIN(4,3+'5. Scenarios'!$D$8))/4+INDEX(BookQ4,1803)*(5-MIN(4,4+'5. Scenarios'!$D$8))/4)*'5. Scenarios'!$D$6/(1+ProductivityDefault*('5. Scenarios'!$D$11-1))+INDEX(BookOneOff,1803)*$N1808)</f>
        <v/>
      </c>
      <c r="S1808" s="56" t="str">
        <f aca="false">IF(INDEX(BookTitle,1803)="","",INDEX(BookTotal,1803)*'5. Scenarios'!$E$6/(1+ProductivityDefault*('5. Scenarios'!$E$11-1)))</f>
        <v/>
      </c>
      <c r="T1808" s="57" t="str">
        <f aca="false">IF($S1808="","",INDEX(BookRate,1803)*(1+'5. Scenarios'!$E$10)*$S1808)</f>
        <v/>
      </c>
      <c r="U1808" s="57" t="str">
        <f aca="false">IF($T1808="","",SUMIFS($T$6:$T$2405,$A$6:$A$2405,"&lt;="&amp;$A1808))</f>
        <v/>
      </c>
      <c r="V1808" s="57" t="str">
        <f aca="false">IF($T1808="","",IF($U1808&lt;=BankCostEnvelope*'5. Scenarios'!$E$7,1,0))</f>
        <v/>
      </c>
      <c r="W1808" s="57" t="str">
        <f aca="false">IF($S1808="","",INDEX(BookRate,1803)*(1+'5. Scenarios'!$E$10)*(INDEX(BookQ1,1803)*(5-MIN(4,1+'5. Scenarios'!$E$8))/4+INDEX(BookQ2,1803)*(5-MIN(4,2+'5. Scenarios'!$E$8))/4+INDEX(BookQ3,1803)*(5-MIN(4,3+'5. Scenarios'!$E$8))/4+INDEX(BookQ4,1803)*(5-MIN(4,4+'5. Scenarios'!$E$8))/4)*'5. Scenarios'!$E$6/(1+ProductivityDefault*('5. Scenarios'!$E$11-1))+INDEX(BookOneOff,1803)*$S1808)</f>
        <v/>
      </c>
    </row>
    <row r="1809" customFormat="false" ht="15" hidden="false" customHeight="false" outlineLevel="0" collapsed="false">
      <c r="A1809" s="0" t="str">
        <f aca="false">IF(INDEX(BookTitle,1804)="","",INDEX(BookKey,1804))</f>
        <v/>
      </c>
      <c r="B1809" s="0" t="str">
        <f aca="false">IF(INDEX(BookTitle,1804)="","",INDEX(BookGroup,1804))</f>
        <v/>
      </c>
      <c r="C1809" s="0" t="str">
        <f aca="false">IF(INDEX(BookTitle,1804)="","",INDEX(BookCategory,1804))</f>
        <v/>
      </c>
      <c r="D1809" s="56" t="str">
        <f aca="false">IF(INDEX(BookTitle,1804)="","",INDEX(BookTotal,1804)*'5. Scenarios'!$B$6/(1+ProductivityDefault*('5. Scenarios'!$B$11-1)))</f>
        <v/>
      </c>
      <c r="E1809" s="57" t="str">
        <f aca="false">IF($D1809="","",INDEX(BookRate,1804)*(1+'5. Scenarios'!$B$10)*$D1809)</f>
        <v/>
      </c>
      <c r="F1809" s="57" t="str">
        <f aca="false">IF($E1809="","",SUMIFS($E$6:$E$2405,$A$6:$A$2405,"&lt;="&amp;$A1809))</f>
        <v/>
      </c>
      <c r="G1809" s="57" t="str">
        <f aca="false">IF($E1809="","",IF($F1809&lt;=BankCostEnvelope*'5. Scenarios'!$B$7,1,0))</f>
        <v/>
      </c>
      <c r="H1809" s="57" t="str">
        <f aca="false">IF($D1809="","",INDEX(BookRate,1804)*(1+'5. Scenarios'!$B$10)*(INDEX(BookQ1,1804)*(5-MIN(4,1+'5. Scenarios'!$B$8))/4+INDEX(BookQ2,1804)*(5-MIN(4,2+'5. Scenarios'!$B$8))/4+INDEX(BookQ3,1804)*(5-MIN(4,3+'5. Scenarios'!$B$8))/4+INDEX(BookQ4,1804)*(5-MIN(4,4+'5. Scenarios'!$B$8))/4)*'5. Scenarios'!$B$6/(1+ProductivityDefault*('5. Scenarios'!$B$11-1))+INDEX(BookOneOff,1804)*$D1809)</f>
        <v/>
      </c>
      <c r="I1809" s="56" t="str">
        <f aca="false">IF(INDEX(BookTitle,1804)="","",INDEX(BookTotal,1804)*'5. Scenarios'!$C$6/(1+ProductivityDefault*('5. Scenarios'!$C$11-1)))</f>
        <v/>
      </c>
      <c r="J1809" s="57" t="str">
        <f aca="false">IF($I1809="","",INDEX(BookRate,1804)*(1+'5. Scenarios'!$C$10)*$I1809)</f>
        <v/>
      </c>
      <c r="K1809" s="57" t="str">
        <f aca="false">IF($J1809="","",SUMIFS($J$6:$J$2405,$A$6:$A$2405,"&lt;="&amp;$A1809))</f>
        <v/>
      </c>
      <c r="L1809" s="57" t="str">
        <f aca="false">IF($J1809="","",IF($K1809&lt;=BankCostEnvelope*'5. Scenarios'!$C$7,1,0))</f>
        <v/>
      </c>
      <c r="M1809" s="57" t="str">
        <f aca="false">IF($I1809="","",INDEX(BookRate,1804)*(1+'5. Scenarios'!$C$10)*(INDEX(BookQ1,1804)*(5-MIN(4,1+'5. Scenarios'!$C$8))/4+INDEX(BookQ2,1804)*(5-MIN(4,2+'5. Scenarios'!$C$8))/4+INDEX(BookQ3,1804)*(5-MIN(4,3+'5. Scenarios'!$C$8))/4+INDEX(BookQ4,1804)*(5-MIN(4,4+'5. Scenarios'!$C$8))/4)*'5. Scenarios'!$C$6/(1+ProductivityDefault*('5. Scenarios'!$C$11-1))+INDEX(BookOneOff,1804)*$I1809)</f>
        <v/>
      </c>
      <c r="N1809" s="56" t="str">
        <f aca="false">IF(INDEX(BookTitle,1804)="","",INDEX(BookTotal,1804)*'5. Scenarios'!$D$6/(1+ProductivityDefault*('5. Scenarios'!$D$11-1)))</f>
        <v/>
      </c>
      <c r="O1809" s="57" t="str">
        <f aca="false">IF($N1809="","",INDEX(BookRate,1804)*(1+'5. Scenarios'!$D$10)*$N1809)</f>
        <v/>
      </c>
      <c r="P1809" s="57" t="str">
        <f aca="false">IF($O1809="","",SUMIFS($O$6:$O$2405,$A$6:$A$2405,"&lt;="&amp;$A1809))</f>
        <v/>
      </c>
      <c r="Q1809" s="57" t="str">
        <f aca="false">IF($O1809="","",IF($P1809&lt;=BankCostEnvelope*'5. Scenarios'!$D$7,1,0))</f>
        <v/>
      </c>
      <c r="R1809" s="57" t="str">
        <f aca="false">IF($N1809="","",INDEX(BookRate,1804)*(1+'5. Scenarios'!$D$10)*(INDEX(BookQ1,1804)*(5-MIN(4,1+'5. Scenarios'!$D$8))/4+INDEX(BookQ2,1804)*(5-MIN(4,2+'5. Scenarios'!$D$8))/4+INDEX(BookQ3,1804)*(5-MIN(4,3+'5. Scenarios'!$D$8))/4+INDEX(BookQ4,1804)*(5-MIN(4,4+'5. Scenarios'!$D$8))/4)*'5. Scenarios'!$D$6/(1+ProductivityDefault*('5. Scenarios'!$D$11-1))+INDEX(BookOneOff,1804)*$N1809)</f>
        <v/>
      </c>
      <c r="S1809" s="56" t="str">
        <f aca="false">IF(INDEX(BookTitle,1804)="","",INDEX(BookTotal,1804)*'5. Scenarios'!$E$6/(1+ProductivityDefault*('5. Scenarios'!$E$11-1)))</f>
        <v/>
      </c>
      <c r="T1809" s="57" t="str">
        <f aca="false">IF($S1809="","",INDEX(BookRate,1804)*(1+'5. Scenarios'!$E$10)*$S1809)</f>
        <v/>
      </c>
      <c r="U1809" s="57" t="str">
        <f aca="false">IF($T1809="","",SUMIFS($T$6:$T$2405,$A$6:$A$2405,"&lt;="&amp;$A1809))</f>
        <v/>
      </c>
      <c r="V1809" s="57" t="str">
        <f aca="false">IF($T1809="","",IF($U1809&lt;=BankCostEnvelope*'5. Scenarios'!$E$7,1,0))</f>
        <v/>
      </c>
      <c r="W1809" s="57" t="str">
        <f aca="false">IF($S1809="","",INDEX(BookRate,1804)*(1+'5. Scenarios'!$E$10)*(INDEX(BookQ1,1804)*(5-MIN(4,1+'5. Scenarios'!$E$8))/4+INDEX(BookQ2,1804)*(5-MIN(4,2+'5. Scenarios'!$E$8))/4+INDEX(BookQ3,1804)*(5-MIN(4,3+'5. Scenarios'!$E$8))/4+INDEX(BookQ4,1804)*(5-MIN(4,4+'5. Scenarios'!$E$8))/4)*'5. Scenarios'!$E$6/(1+ProductivityDefault*('5. Scenarios'!$E$11-1))+INDEX(BookOneOff,1804)*$S1809)</f>
        <v/>
      </c>
    </row>
    <row r="1810" customFormat="false" ht="15" hidden="false" customHeight="false" outlineLevel="0" collapsed="false">
      <c r="A1810" s="0" t="str">
        <f aca="false">IF(INDEX(BookTitle,1805)="","",INDEX(BookKey,1805))</f>
        <v/>
      </c>
      <c r="B1810" s="0" t="str">
        <f aca="false">IF(INDEX(BookTitle,1805)="","",INDEX(BookGroup,1805))</f>
        <v/>
      </c>
      <c r="C1810" s="0" t="str">
        <f aca="false">IF(INDEX(BookTitle,1805)="","",INDEX(BookCategory,1805))</f>
        <v/>
      </c>
      <c r="D1810" s="56" t="str">
        <f aca="false">IF(INDEX(BookTitle,1805)="","",INDEX(BookTotal,1805)*'5. Scenarios'!$B$6/(1+ProductivityDefault*('5. Scenarios'!$B$11-1)))</f>
        <v/>
      </c>
      <c r="E1810" s="57" t="str">
        <f aca="false">IF($D1810="","",INDEX(BookRate,1805)*(1+'5. Scenarios'!$B$10)*$D1810)</f>
        <v/>
      </c>
      <c r="F1810" s="57" t="str">
        <f aca="false">IF($E1810="","",SUMIFS($E$6:$E$2405,$A$6:$A$2405,"&lt;="&amp;$A1810))</f>
        <v/>
      </c>
      <c r="G1810" s="57" t="str">
        <f aca="false">IF($E1810="","",IF($F1810&lt;=BankCostEnvelope*'5. Scenarios'!$B$7,1,0))</f>
        <v/>
      </c>
      <c r="H1810" s="57" t="str">
        <f aca="false">IF($D1810="","",INDEX(BookRate,1805)*(1+'5. Scenarios'!$B$10)*(INDEX(BookQ1,1805)*(5-MIN(4,1+'5. Scenarios'!$B$8))/4+INDEX(BookQ2,1805)*(5-MIN(4,2+'5. Scenarios'!$B$8))/4+INDEX(BookQ3,1805)*(5-MIN(4,3+'5. Scenarios'!$B$8))/4+INDEX(BookQ4,1805)*(5-MIN(4,4+'5. Scenarios'!$B$8))/4)*'5. Scenarios'!$B$6/(1+ProductivityDefault*('5. Scenarios'!$B$11-1))+INDEX(BookOneOff,1805)*$D1810)</f>
        <v/>
      </c>
      <c r="I1810" s="56" t="str">
        <f aca="false">IF(INDEX(BookTitle,1805)="","",INDEX(BookTotal,1805)*'5. Scenarios'!$C$6/(1+ProductivityDefault*('5. Scenarios'!$C$11-1)))</f>
        <v/>
      </c>
      <c r="J1810" s="57" t="str">
        <f aca="false">IF($I1810="","",INDEX(BookRate,1805)*(1+'5. Scenarios'!$C$10)*$I1810)</f>
        <v/>
      </c>
      <c r="K1810" s="57" t="str">
        <f aca="false">IF($J1810="","",SUMIFS($J$6:$J$2405,$A$6:$A$2405,"&lt;="&amp;$A1810))</f>
        <v/>
      </c>
      <c r="L1810" s="57" t="str">
        <f aca="false">IF($J1810="","",IF($K1810&lt;=BankCostEnvelope*'5. Scenarios'!$C$7,1,0))</f>
        <v/>
      </c>
      <c r="M1810" s="57" t="str">
        <f aca="false">IF($I1810="","",INDEX(BookRate,1805)*(1+'5. Scenarios'!$C$10)*(INDEX(BookQ1,1805)*(5-MIN(4,1+'5. Scenarios'!$C$8))/4+INDEX(BookQ2,1805)*(5-MIN(4,2+'5. Scenarios'!$C$8))/4+INDEX(BookQ3,1805)*(5-MIN(4,3+'5. Scenarios'!$C$8))/4+INDEX(BookQ4,1805)*(5-MIN(4,4+'5. Scenarios'!$C$8))/4)*'5. Scenarios'!$C$6/(1+ProductivityDefault*('5. Scenarios'!$C$11-1))+INDEX(BookOneOff,1805)*$I1810)</f>
        <v/>
      </c>
      <c r="N1810" s="56" t="str">
        <f aca="false">IF(INDEX(BookTitle,1805)="","",INDEX(BookTotal,1805)*'5. Scenarios'!$D$6/(1+ProductivityDefault*('5. Scenarios'!$D$11-1)))</f>
        <v/>
      </c>
      <c r="O1810" s="57" t="str">
        <f aca="false">IF($N1810="","",INDEX(BookRate,1805)*(1+'5. Scenarios'!$D$10)*$N1810)</f>
        <v/>
      </c>
      <c r="P1810" s="57" t="str">
        <f aca="false">IF($O1810="","",SUMIFS($O$6:$O$2405,$A$6:$A$2405,"&lt;="&amp;$A1810))</f>
        <v/>
      </c>
      <c r="Q1810" s="57" t="str">
        <f aca="false">IF($O1810="","",IF($P1810&lt;=BankCostEnvelope*'5. Scenarios'!$D$7,1,0))</f>
        <v/>
      </c>
      <c r="R1810" s="57" t="str">
        <f aca="false">IF($N1810="","",INDEX(BookRate,1805)*(1+'5. Scenarios'!$D$10)*(INDEX(BookQ1,1805)*(5-MIN(4,1+'5. Scenarios'!$D$8))/4+INDEX(BookQ2,1805)*(5-MIN(4,2+'5. Scenarios'!$D$8))/4+INDEX(BookQ3,1805)*(5-MIN(4,3+'5. Scenarios'!$D$8))/4+INDEX(BookQ4,1805)*(5-MIN(4,4+'5. Scenarios'!$D$8))/4)*'5. Scenarios'!$D$6/(1+ProductivityDefault*('5. Scenarios'!$D$11-1))+INDEX(BookOneOff,1805)*$N1810)</f>
        <v/>
      </c>
      <c r="S1810" s="56" t="str">
        <f aca="false">IF(INDEX(BookTitle,1805)="","",INDEX(BookTotal,1805)*'5. Scenarios'!$E$6/(1+ProductivityDefault*('5. Scenarios'!$E$11-1)))</f>
        <v/>
      </c>
      <c r="T1810" s="57" t="str">
        <f aca="false">IF($S1810="","",INDEX(BookRate,1805)*(1+'5. Scenarios'!$E$10)*$S1810)</f>
        <v/>
      </c>
      <c r="U1810" s="57" t="str">
        <f aca="false">IF($T1810="","",SUMIFS($T$6:$T$2405,$A$6:$A$2405,"&lt;="&amp;$A1810))</f>
        <v/>
      </c>
      <c r="V1810" s="57" t="str">
        <f aca="false">IF($T1810="","",IF($U1810&lt;=BankCostEnvelope*'5. Scenarios'!$E$7,1,0))</f>
        <v/>
      </c>
      <c r="W1810" s="57" t="str">
        <f aca="false">IF($S1810="","",INDEX(BookRate,1805)*(1+'5. Scenarios'!$E$10)*(INDEX(BookQ1,1805)*(5-MIN(4,1+'5. Scenarios'!$E$8))/4+INDEX(BookQ2,1805)*(5-MIN(4,2+'5. Scenarios'!$E$8))/4+INDEX(BookQ3,1805)*(5-MIN(4,3+'5. Scenarios'!$E$8))/4+INDEX(BookQ4,1805)*(5-MIN(4,4+'5. Scenarios'!$E$8))/4)*'5. Scenarios'!$E$6/(1+ProductivityDefault*('5. Scenarios'!$E$11-1))+INDEX(BookOneOff,1805)*$S1810)</f>
        <v/>
      </c>
    </row>
    <row r="1811" customFormat="false" ht="15" hidden="false" customHeight="false" outlineLevel="0" collapsed="false">
      <c r="A1811" s="0" t="str">
        <f aca="false">IF(INDEX(BookTitle,1806)="","",INDEX(BookKey,1806))</f>
        <v/>
      </c>
      <c r="B1811" s="0" t="str">
        <f aca="false">IF(INDEX(BookTitle,1806)="","",INDEX(BookGroup,1806))</f>
        <v/>
      </c>
      <c r="C1811" s="0" t="str">
        <f aca="false">IF(INDEX(BookTitle,1806)="","",INDEX(BookCategory,1806))</f>
        <v/>
      </c>
      <c r="D1811" s="56" t="str">
        <f aca="false">IF(INDEX(BookTitle,1806)="","",INDEX(BookTotal,1806)*'5. Scenarios'!$B$6/(1+ProductivityDefault*('5. Scenarios'!$B$11-1)))</f>
        <v/>
      </c>
      <c r="E1811" s="57" t="str">
        <f aca="false">IF($D1811="","",INDEX(BookRate,1806)*(1+'5. Scenarios'!$B$10)*$D1811)</f>
        <v/>
      </c>
      <c r="F1811" s="57" t="str">
        <f aca="false">IF($E1811="","",SUMIFS($E$6:$E$2405,$A$6:$A$2405,"&lt;="&amp;$A1811))</f>
        <v/>
      </c>
      <c r="G1811" s="57" t="str">
        <f aca="false">IF($E1811="","",IF($F1811&lt;=BankCostEnvelope*'5. Scenarios'!$B$7,1,0))</f>
        <v/>
      </c>
      <c r="H1811" s="57" t="str">
        <f aca="false">IF($D1811="","",INDEX(BookRate,1806)*(1+'5. Scenarios'!$B$10)*(INDEX(BookQ1,1806)*(5-MIN(4,1+'5. Scenarios'!$B$8))/4+INDEX(BookQ2,1806)*(5-MIN(4,2+'5. Scenarios'!$B$8))/4+INDEX(BookQ3,1806)*(5-MIN(4,3+'5. Scenarios'!$B$8))/4+INDEX(BookQ4,1806)*(5-MIN(4,4+'5. Scenarios'!$B$8))/4)*'5. Scenarios'!$B$6/(1+ProductivityDefault*('5. Scenarios'!$B$11-1))+INDEX(BookOneOff,1806)*$D1811)</f>
        <v/>
      </c>
      <c r="I1811" s="56" t="str">
        <f aca="false">IF(INDEX(BookTitle,1806)="","",INDEX(BookTotal,1806)*'5. Scenarios'!$C$6/(1+ProductivityDefault*('5. Scenarios'!$C$11-1)))</f>
        <v/>
      </c>
      <c r="J1811" s="57" t="str">
        <f aca="false">IF($I1811="","",INDEX(BookRate,1806)*(1+'5. Scenarios'!$C$10)*$I1811)</f>
        <v/>
      </c>
      <c r="K1811" s="57" t="str">
        <f aca="false">IF($J1811="","",SUMIFS($J$6:$J$2405,$A$6:$A$2405,"&lt;="&amp;$A1811))</f>
        <v/>
      </c>
      <c r="L1811" s="57" t="str">
        <f aca="false">IF($J1811="","",IF($K1811&lt;=BankCostEnvelope*'5. Scenarios'!$C$7,1,0))</f>
        <v/>
      </c>
      <c r="M1811" s="57" t="str">
        <f aca="false">IF($I1811="","",INDEX(BookRate,1806)*(1+'5. Scenarios'!$C$10)*(INDEX(BookQ1,1806)*(5-MIN(4,1+'5. Scenarios'!$C$8))/4+INDEX(BookQ2,1806)*(5-MIN(4,2+'5. Scenarios'!$C$8))/4+INDEX(BookQ3,1806)*(5-MIN(4,3+'5. Scenarios'!$C$8))/4+INDEX(BookQ4,1806)*(5-MIN(4,4+'5. Scenarios'!$C$8))/4)*'5. Scenarios'!$C$6/(1+ProductivityDefault*('5. Scenarios'!$C$11-1))+INDEX(BookOneOff,1806)*$I1811)</f>
        <v/>
      </c>
      <c r="N1811" s="56" t="str">
        <f aca="false">IF(INDEX(BookTitle,1806)="","",INDEX(BookTotal,1806)*'5. Scenarios'!$D$6/(1+ProductivityDefault*('5. Scenarios'!$D$11-1)))</f>
        <v/>
      </c>
      <c r="O1811" s="57" t="str">
        <f aca="false">IF($N1811="","",INDEX(BookRate,1806)*(1+'5. Scenarios'!$D$10)*$N1811)</f>
        <v/>
      </c>
      <c r="P1811" s="57" t="str">
        <f aca="false">IF($O1811="","",SUMIFS($O$6:$O$2405,$A$6:$A$2405,"&lt;="&amp;$A1811))</f>
        <v/>
      </c>
      <c r="Q1811" s="57" t="str">
        <f aca="false">IF($O1811="","",IF($P1811&lt;=BankCostEnvelope*'5. Scenarios'!$D$7,1,0))</f>
        <v/>
      </c>
      <c r="R1811" s="57" t="str">
        <f aca="false">IF($N1811="","",INDEX(BookRate,1806)*(1+'5. Scenarios'!$D$10)*(INDEX(BookQ1,1806)*(5-MIN(4,1+'5. Scenarios'!$D$8))/4+INDEX(BookQ2,1806)*(5-MIN(4,2+'5. Scenarios'!$D$8))/4+INDEX(BookQ3,1806)*(5-MIN(4,3+'5. Scenarios'!$D$8))/4+INDEX(BookQ4,1806)*(5-MIN(4,4+'5. Scenarios'!$D$8))/4)*'5. Scenarios'!$D$6/(1+ProductivityDefault*('5. Scenarios'!$D$11-1))+INDEX(BookOneOff,1806)*$N1811)</f>
        <v/>
      </c>
      <c r="S1811" s="56" t="str">
        <f aca="false">IF(INDEX(BookTitle,1806)="","",INDEX(BookTotal,1806)*'5. Scenarios'!$E$6/(1+ProductivityDefault*('5. Scenarios'!$E$11-1)))</f>
        <v/>
      </c>
      <c r="T1811" s="57" t="str">
        <f aca="false">IF($S1811="","",INDEX(BookRate,1806)*(1+'5. Scenarios'!$E$10)*$S1811)</f>
        <v/>
      </c>
      <c r="U1811" s="57" t="str">
        <f aca="false">IF($T1811="","",SUMIFS($T$6:$T$2405,$A$6:$A$2405,"&lt;="&amp;$A1811))</f>
        <v/>
      </c>
      <c r="V1811" s="57" t="str">
        <f aca="false">IF($T1811="","",IF($U1811&lt;=BankCostEnvelope*'5. Scenarios'!$E$7,1,0))</f>
        <v/>
      </c>
      <c r="W1811" s="57" t="str">
        <f aca="false">IF($S1811="","",INDEX(BookRate,1806)*(1+'5. Scenarios'!$E$10)*(INDEX(BookQ1,1806)*(5-MIN(4,1+'5. Scenarios'!$E$8))/4+INDEX(BookQ2,1806)*(5-MIN(4,2+'5. Scenarios'!$E$8))/4+INDEX(BookQ3,1806)*(5-MIN(4,3+'5. Scenarios'!$E$8))/4+INDEX(BookQ4,1806)*(5-MIN(4,4+'5. Scenarios'!$E$8))/4)*'5. Scenarios'!$E$6/(1+ProductivityDefault*('5. Scenarios'!$E$11-1))+INDEX(BookOneOff,1806)*$S1811)</f>
        <v/>
      </c>
    </row>
    <row r="1812" customFormat="false" ht="15" hidden="false" customHeight="false" outlineLevel="0" collapsed="false">
      <c r="A1812" s="0" t="str">
        <f aca="false">IF(INDEX(BookTitle,1807)="","",INDEX(BookKey,1807))</f>
        <v/>
      </c>
      <c r="B1812" s="0" t="str">
        <f aca="false">IF(INDEX(BookTitle,1807)="","",INDEX(BookGroup,1807))</f>
        <v/>
      </c>
      <c r="C1812" s="0" t="str">
        <f aca="false">IF(INDEX(BookTitle,1807)="","",INDEX(BookCategory,1807))</f>
        <v/>
      </c>
      <c r="D1812" s="56" t="str">
        <f aca="false">IF(INDEX(BookTitle,1807)="","",INDEX(BookTotal,1807)*'5. Scenarios'!$B$6/(1+ProductivityDefault*('5. Scenarios'!$B$11-1)))</f>
        <v/>
      </c>
      <c r="E1812" s="57" t="str">
        <f aca="false">IF($D1812="","",INDEX(BookRate,1807)*(1+'5. Scenarios'!$B$10)*$D1812)</f>
        <v/>
      </c>
      <c r="F1812" s="57" t="str">
        <f aca="false">IF($E1812="","",SUMIFS($E$6:$E$2405,$A$6:$A$2405,"&lt;="&amp;$A1812))</f>
        <v/>
      </c>
      <c r="G1812" s="57" t="str">
        <f aca="false">IF($E1812="","",IF($F1812&lt;=BankCostEnvelope*'5. Scenarios'!$B$7,1,0))</f>
        <v/>
      </c>
      <c r="H1812" s="57" t="str">
        <f aca="false">IF($D1812="","",INDEX(BookRate,1807)*(1+'5. Scenarios'!$B$10)*(INDEX(BookQ1,1807)*(5-MIN(4,1+'5. Scenarios'!$B$8))/4+INDEX(BookQ2,1807)*(5-MIN(4,2+'5. Scenarios'!$B$8))/4+INDEX(BookQ3,1807)*(5-MIN(4,3+'5. Scenarios'!$B$8))/4+INDEX(BookQ4,1807)*(5-MIN(4,4+'5. Scenarios'!$B$8))/4)*'5. Scenarios'!$B$6/(1+ProductivityDefault*('5. Scenarios'!$B$11-1))+INDEX(BookOneOff,1807)*$D1812)</f>
        <v/>
      </c>
      <c r="I1812" s="56" t="str">
        <f aca="false">IF(INDEX(BookTitle,1807)="","",INDEX(BookTotal,1807)*'5. Scenarios'!$C$6/(1+ProductivityDefault*('5. Scenarios'!$C$11-1)))</f>
        <v/>
      </c>
      <c r="J1812" s="57" t="str">
        <f aca="false">IF($I1812="","",INDEX(BookRate,1807)*(1+'5. Scenarios'!$C$10)*$I1812)</f>
        <v/>
      </c>
      <c r="K1812" s="57" t="str">
        <f aca="false">IF($J1812="","",SUMIFS($J$6:$J$2405,$A$6:$A$2405,"&lt;="&amp;$A1812))</f>
        <v/>
      </c>
      <c r="L1812" s="57" t="str">
        <f aca="false">IF($J1812="","",IF($K1812&lt;=BankCostEnvelope*'5. Scenarios'!$C$7,1,0))</f>
        <v/>
      </c>
      <c r="M1812" s="57" t="str">
        <f aca="false">IF($I1812="","",INDEX(BookRate,1807)*(1+'5. Scenarios'!$C$10)*(INDEX(BookQ1,1807)*(5-MIN(4,1+'5. Scenarios'!$C$8))/4+INDEX(BookQ2,1807)*(5-MIN(4,2+'5. Scenarios'!$C$8))/4+INDEX(BookQ3,1807)*(5-MIN(4,3+'5. Scenarios'!$C$8))/4+INDEX(BookQ4,1807)*(5-MIN(4,4+'5. Scenarios'!$C$8))/4)*'5. Scenarios'!$C$6/(1+ProductivityDefault*('5. Scenarios'!$C$11-1))+INDEX(BookOneOff,1807)*$I1812)</f>
        <v/>
      </c>
      <c r="N1812" s="56" t="str">
        <f aca="false">IF(INDEX(BookTitle,1807)="","",INDEX(BookTotal,1807)*'5. Scenarios'!$D$6/(1+ProductivityDefault*('5. Scenarios'!$D$11-1)))</f>
        <v/>
      </c>
      <c r="O1812" s="57" t="str">
        <f aca="false">IF($N1812="","",INDEX(BookRate,1807)*(1+'5. Scenarios'!$D$10)*$N1812)</f>
        <v/>
      </c>
      <c r="P1812" s="57" t="str">
        <f aca="false">IF($O1812="","",SUMIFS($O$6:$O$2405,$A$6:$A$2405,"&lt;="&amp;$A1812))</f>
        <v/>
      </c>
      <c r="Q1812" s="57" t="str">
        <f aca="false">IF($O1812="","",IF($P1812&lt;=BankCostEnvelope*'5. Scenarios'!$D$7,1,0))</f>
        <v/>
      </c>
      <c r="R1812" s="57" t="str">
        <f aca="false">IF($N1812="","",INDEX(BookRate,1807)*(1+'5. Scenarios'!$D$10)*(INDEX(BookQ1,1807)*(5-MIN(4,1+'5. Scenarios'!$D$8))/4+INDEX(BookQ2,1807)*(5-MIN(4,2+'5. Scenarios'!$D$8))/4+INDEX(BookQ3,1807)*(5-MIN(4,3+'5. Scenarios'!$D$8))/4+INDEX(BookQ4,1807)*(5-MIN(4,4+'5. Scenarios'!$D$8))/4)*'5. Scenarios'!$D$6/(1+ProductivityDefault*('5. Scenarios'!$D$11-1))+INDEX(BookOneOff,1807)*$N1812)</f>
        <v/>
      </c>
      <c r="S1812" s="56" t="str">
        <f aca="false">IF(INDEX(BookTitle,1807)="","",INDEX(BookTotal,1807)*'5. Scenarios'!$E$6/(1+ProductivityDefault*('5. Scenarios'!$E$11-1)))</f>
        <v/>
      </c>
      <c r="T1812" s="57" t="str">
        <f aca="false">IF($S1812="","",INDEX(BookRate,1807)*(1+'5. Scenarios'!$E$10)*$S1812)</f>
        <v/>
      </c>
      <c r="U1812" s="57" t="str">
        <f aca="false">IF($T1812="","",SUMIFS($T$6:$T$2405,$A$6:$A$2405,"&lt;="&amp;$A1812))</f>
        <v/>
      </c>
      <c r="V1812" s="57" t="str">
        <f aca="false">IF($T1812="","",IF($U1812&lt;=BankCostEnvelope*'5. Scenarios'!$E$7,1,0))</f>
        <v/>
      </c>
      <c r="W1812" s="57" t="str">
        <f aca="false">IF($S1812="","",INDEX(BookRate,1807)*(1+'5. Scenarios'!$E$10)*(INDEX(BookQ1,1807)*(5-MIN(4,1+'5. Scenarios'!$E$8))/4+INDEX(BookQ2,1807)*(5-MIN(4,2+'5. Scenarios'!$E$8))/4+INDEX(BookQ3,1807)*(5-MIN(4,3+'5. Scenarios'!$E$8))/4+INDEX(BookQ4,1807)*(5-MIN(4,4+'5. Scenarios'!$E$8))/4)*'5. Scenarios'!$E$6/(1+ProductivityDefault*('5. Scenarios'!$E$11-1))+INDEX(BookOneOff,1807)*$S1812)</f>
        <v/>
      </c>
    </row>
    <row r="1813" customFormat="false" ht="15" hidden="false" customHeight="false" outlineLevel="0" collapsed="false">
      <c r="A1813" s="0" t="str">
        <f aca="false">IF(INDEX(BookTitle,1808)="","",INDEX(BookKey,1808))</f>
        <v/>
      </c>
      <c r="B1813" s="0" t="str">
        <f aca="false">IF(INDEX(BookTitle,1808)="","",INDEX(BookGroup,1808))</f>
        <v/>
      </c>
      <c r="C1813" s="0" t="str">
        <f aca="false">IF(INDEX(BookTitle,1808)="","",INDEX(BookCategory,1808))</f>
        <v/>
      </c>
      <c r="D1813" s="56" t="str">
        <f aca="false">IF(INDEX(BookTitle,1808)="","",INDEX(BookTotal,1808)*'5. Scenarios'!$B$6/(1+ProductivityDefault*('5. Scenarios'!$B$11-1)))</f>
        <v/>
      </c>
      <c r="E1813" s="57" t="str">
        <f aca="false">IF($D1813="","",INDEX(BookRate,1808)*(1+'5. Scenarios'!$B$10)*$D1813)</f>
        <v/>
      </c>
      <c r="F1813" s="57" t="str">
        <f aca="false">IF($E1813="","",SUMIFS($E$6:$E$2405,$A$6:$A$2405,"&lt;="&amp;$A1813))</f>
        <v/>
      </c>
      <c r="G1813" s="57" t="str">
        <f aca="false">IF($E1813="","",IF($F1813&lt;=BankCostEnvelope*'5. Scenarios'!$B$7,1,0))</f>
        <v/>
      </c>
      <c r="H1813" s="57" t="str">
        <f aca="false">IF($D1813="","",INDEX(BookRate,1808)*(1+'5. Scenarios'!$B$10)*(INDEX(BookQ1,1808)*(5-MIN(4,1+'5. Scenarios'!$B$8))/4+INDEX(BookQ2,1808)*(5-MIN(4,2+'5. Scenarios'!$B$8))/4+INDEX(BookQ3,1808)*(5-MIN(4,3+'5. Scenarios'!$B$8))/4+INDEX(BookQ4,1808)*(5-MIN(4,4+'5. Scenarios'!$B$8))/4)*'5. Scenarios'!$B$6/(1+ProductivityDefault*('5. Scenarios'!$B$11-1))+INDEX(BookOneOff,1808)*$D1813)</f>
        <v/>
      </c>
      <c r="I1813" s="56" t="str">
        <f aca="false">IF(INDEX(BookTitle,1808)="","",INDEX(BookTotal,1808)*'5. Scenarios'!$C$6/(1+ProductivityDefault*('5. Scenarios'!$C$11-1)))</f>
        <v/>
      </c>
      <c r="J1813" s="57" t="str">
        <f aca="false">IF($I1813="","",INDEX(BookRate,1808)*(1+'5. Scenarios'!$C$10)*$I1813)</f>
        <v/>
      </c>
      <c r="K1813" s="57" t="str">
        <f aca="false">IF($J1813="","",SUMIFS($J$6:$J$2405,$A$6:$A$2405,"&lt;="&amp;$A1813))</f>
        <v/>
      </c>
      <c r="L1813" s="57" t="str">
        <f aca="false">IF($J1813="","",IF($K1813&lt;=BankCostEnvelope*'5. Scenarios'!$C$7,1,0))</f>
        <v/>
      </c>
      <c r="M1813" s="57" t="str">
        <f aca="false">IF($I1813="","",INDEX(BookRate,1808)*(1+'5. Scenarios'!$C$10)*(INDEX(BookQ1,1808)*(5-MIN(4,1+'5. Scenarios'!$C$8))/4+INDEX(BookQ2,1808)*(5-MIN(4,2+'5. Scenarios'!$C$8))/4+INDEX(BookQ3,1808)*(5-MIN(4,3+'5. Scenarios'!$C$8))/4+INDEX(BookQ4,1808)*(5-MIN(4,4+'5. Scenarios'!$C$8))/4)*'5. Scenarios'!$C$6/(1+ProductivityDefault*('5. Scenarios'!$C$11-1))+INDEX(BookOneOff,1808)*$I1813)</f>
        <v/>
      </c>
      <c r="N1813" s="56" t="str">
        <f aca="false">IF(INDEX(BookTitle,1808)="","",INDEX(BookTotal,1808)*'5. Scenarios'!$D$6/(1+ProductivityDefault*('5. Scenarios'!$D$11-1)))</f>
        <v/>
      </c>
      <c r="O1813" s="57" t="str">
        <f aca="false">IF($N1813="","",INDEX(BookRate,1808)*(1+'5. Scenarios'!$D$10)*$N1813)</f>
        <v/>
      </c>
      <c r="P1813" s="57" t="str">
        <f aca="false">IF($O1813="","",SUMIFS($O$6:$O$2405,$A$6:$A$2405,"&lt;="&amp;$A1813))</f>
        <v/>
      </c>
      <c r="Q1813" s="57" t="str">
        <f aca="false">IF($O1813="","",IF($P1813&lt;=BankCostEnvelope*'5. Scenarios'!$D$7,1,0))</f>
        <v/>
      </c>
      <c r="R1813" s="57" t="str">
        <f aca="false">IF($N1813="","",INDEX(BookRate,1808)*(1+'5. Scenarios'!$D$10)*(INDEX(BookQ1,1808)*(5-MIN(4,1+'5. Scenarios'!$D$8))/4+INDEX(BookQ2,1808)*(5-MIN(4,2+'5. Scenarios'!$D$8))/4+INDEX(BookQ3,1808)*(5-MIN(4,3+'5. Scenarios'!$D$8))/4+INDEX(BookQ4,1808)*(5-MIN(4,4+'5. Scenarios'!$D$8))/4)*'5. Scenarios'!$D$6/(1+ProductivityDefault*('5. Scenarios'!$D$11-1))+INDEX(BookOneOff,1808)*$N1813)</f>
        <v/>
      </c>
      <c r="S1813" s="56" t="str">
        <f aca="false">IF(INDEX(BookTitle,1808)="","",INDEX(BookTotal,1808)*'5. Scenarios'!$E$6/(1+ProductivityDefault*('5. Scenarios'!$E$11-1)))</f>
        <v/>
      </c>
      <c r="T1813" s="57" t="str">
        <f aca="false">IF($S1813="","",INDEX(BookRate,1808)*(1+'5. Scenarios'!$E$10)*$S1813)</f>
        <v/>
      </c>
      <c r="U1813" s="57" t="str">
        <f aca="false">IF($T1813="","",SUMIFS($T$6:$T$2405,$A$6:$A$2405,"&lt;="&amp;$A1813))</f>
        <v/>
      </c>
      <c r="V1813" s="57" t="str">
        <f aca="false">IF($T1813="","",IF($U1813&lt;=BankCostEnvelope*'5. Scenarios'!$E$7,1,0))</f>
        <v/>
      </c>
      <c r="W1813" s="57" t="str">
        <f aca="false">IF($S1813="","",INDEX(BookRate,1808)*(1+'5. Scenarios'!$E$10)*(INDEX(BookQ1,1808)*(5-MIN(4,1+'5. Scenarios'!$E$8))/4+INDEX(BookQ2,1808)*(5-MIN(4,2+'5. Scenarios'!$E$8))/4+INDEX(BookQ3,1808)*(5-MIN(4,3+'5. Scenarios'!$E$8))/4+INDEX(BookQ4,1808)*(5-MIN(4,4+'5. Scenarios'!$E$8))/4)*'5. Scenarios'!$E$6/(1+ProductivityDefault*('5. Scenarios'!$E$11-1))+INDEX(BookOneOff,1808)*$S1813)</f>
        <v/>
      </c>
    </row>
    <row r="1814" customFormat="false" ht="15" hidden="false" customHeight="false" outlineLevel="0" collapsed="false">
      <c r="A1814" s="0" t="str">
        <f aca="false">IF(INDEX(BookTitle,1809)="","",INDEX(BookKey,1809))</f>
        <v/>
      </c>
      <c r="B1814" s="0" t="str">
        <f aca="false">IF(INDEX(BookTitle,1809)="","",INDEX(BookGroup,1809))</f>
        <v/>
      </c>
      <c r="C1814" s="0" t="str">
        <f aca="false">IF(INDEX(BookTitle,1809)="","",INDEX(BookCategory,1809))</f>
        <v/>
      </c>
      <c r="D1814" s="56" t="str">
        <f aca="false">IF(INDEX(BookTitle,1809)="","",INDEX(BookTotal,1809)*'5. Scenarios'!$B$6/(1+ProductivityDefault*('5. Scenarios'!$B$11-1)))</f>
        <v/>
      </c>
      <c r="E1814" s="57" t="str">
        <f aca="false">IF($D1814="","",INDEX(BookRate,1809)*(1+'5. Scenarios'!$B$10)*$D1814)</f>
        <v/>
      </c>
      <c r="F1814" s="57" t="str">
        <f aca="false">IF($E1814="","",SUMIFS($E$6:$E$2405,$A$6:$A$2405,"&lt;="&amp;$A1814))</f>
        <v/>
      </c>
      <c r="G1814" s="57" t="str">
        <f aca="false">IF($E1814="","",IF($F1814&lt;=BankCostEnvelope*'5. Scenarios'!$B$7,1,0))</f>
        <v/>
      </c>
      <c r="H1814" s="57" t="str">
        <f aca="false">IF($D1814="","",INDEX(BookRate,1809)*(1+'5. Scenarios'!$B$10)*(INDEX(BookQ1,1809)*(5-MIN(4,1+'5. Scenarios'!$B$8))/4+INDEX(BookQ2,1809)*(5-MIN(4,2+'5. Scenarios'!$B$8))/4+INDEX(BookQ3,1809)*(5-MIN(4,3+'5. Scenarios'!$B$8))/4+INDEX(BookQ4,1809)*(5-MIN(4,4+'5. Scenarios'!$B$8))/4)*'5. Scenarios'!$B$6/(1+ProductivityDefault*('5. Scenarios'!$B$11-1))+INDEX(BookOneOff,1809)*$D1814)</f>
        <v/>
      </c>
      <c r="I1814" s="56" t="str">
        <f aca="false">IF(INDEX(BookTitle,1809)="","",INDEX(BookTotal,1809)*'5. Scenarios'!$C$6/(1+ProductivityDefault*('5. Scenarios'!$C$11-1)))</f>
        <v/>
      </c>
      <c r="J1814" s="57" t="str">
        <f aca="false">IF($I1814="","",INDEX(BookRate,1809)*(1+'5. Scenarios'!$C$10)*$I1814)</f>
        <v/>
      </c>
      <c r="K1814" s="57" t="str">
        <f aca="false">IF($J1814="","",SUMIFS($J$6:$J$2405,$A$6:$A$2405,"&lt;="&amp;$A1814))</f>
        <v/>
      </c>
      <c r="L1814" s="57" t="str">
        <f aca="false">IF($J1814="","",IF($K1814&lt;=BankCostEnvelope*'5. Scenarios'!$C$7,1,0))</f>
        <v/>
      </c>
      <c r="M1814" s="57" t="str">
        <f aca="false">IF($I1814="","",INDEX(BookRate,1809)*(1+'5. Scenarios'!$C$10)*(INDEX(BookQ1,1809)*(5-MIN(4,1+'5. Scenarios'!$C$8))/4+INDEX(BookQ2,1809)*(5-MIN(4,2+'5. Scenarios'!$C$8))/4+INDEX(BookQ3,1809)*(5-MIN(4,3+'5. Scenarios'!$C$8))/4+INDEX(BookQ4,1809)*(5-MIN(4,4+'5. Scenarios'!$C$8))/4)*'5. Scenarios'!$C$6/(1+ProductivityDefault*('5. Scenarios'!$C$11-1))+INDEX(BookOneOff,1809)*$I1814)</f>
        <v/>
      </c>
      <c r="N1814" s="56" t="str">
        <f aca="false">IF(INDEX(BookTitle,1809)="","",INDEX(BookTotal,1809)*'5. Scenarios'!$D$6/(1+ProductivityDefault*('5. Scenarios'!$D$11-1)))</f>
        <v/>
      </c>
      <c r="O1814" s="57" t="str">
        <f aca="false">IF($N1814="","",INDEX(BookRate,1809)*(1+'5. Scenarios'!$D$10)*$N1814)</f>
        <v/>
      </c>
      <c r="P1814" s="57" t="str">
        <f aca="false">IF($O1814="","",SUMIFS($O$6:$O$2405,$A$6:$A$2405,"&lt;="&amp;$A1814))</f>
        <v/>
      </c>
      <c r="Q1814" s="57" t="str">
        <f aca="false">IF($O1814="","",IF($P1814&lt;=BankCostEnvelope*'5. Scenarios'!$D$7,1,0))</f>
        <v/>
      </c>
      <c r="R1814" s="57" t="str">
        <f aca="false">IF($N1814="","",INDEX(BookRate,1809)*(1+'5. Scenarios'!$D$10)*(INDEX(BookQ1,1809)*(5-MIN(4,1+'5. Scenarios'!$D$8))/4+INDEX(BookQ2,1809)*(5-MIN(4,2+'5. Scenarios'!$D$8))/4+INDEX(BookQ3,1809)*(5-MIN(4,3+'5. Scenarios'!$D$8))/4+INDEX(BookQ4,1809)*(5-MIN(4,4+'5. Scenarios'!$D$8))/4)*'5. Scenarios'!$D$6/(1+ProductivityDefault*('5. Scenarios'!$D$11-1))+INDEX(BookOneOff,1809)*$N1814)</f>
        <v/>
      </c>
      <c r="S1814" s="56" t="str">
        <f aca="false">IF(INDEX(BookTitle,1809)="","",INDEX(BookTotal,1809)*'5. Scenarios'!$E$6/(1+ProductivityDefault*('5. Scenarios'!$E$11-1)))</f>
        <v/>
      </c>
      <c r="T1814" s="57" t="str">
        <f aca="false">IF($S1814="","",INDEX(BookRate,1809)*(1+'5. Scenarios'!$E$10)*$S1814)</f>
        <v/>
      </c>
      <c r="U1814" s="57" t="str">
        <f aca="false">IF($T1814="","",SUMIFS($T$6:$T$2405,$A$6:$A$2405,"&lt;="&amp;$A1814))</f>
        <v/>
      </c>
      <c r="V1814" s="57" t="str">
        <f aca="false">IF($T1814="","",IF($U1814&lt;=BankCostEnvelope*'5. Scenarios'!$E$7,1,0))</f>
        <v/>
      </c>
      <c r="W1814" s="57" t="str">
        <f aca="false">IF($S1814="","",INDEX(BookRate,1809)*(1+'5. Scenarios'!$E$10)*(INDEX(BookQ1,1809)*(5-MIN(4,1+'5. Scenarios'!$E$8))/4+INDEX(BookQ2,1809)*(5-MIN(4,2+'5. Scenarios'!$E$8))/4+INDEX(BookQ3,1809)*(5-MIN(4,3+'5. Scenarios'!$E$8))/4+INDEX(BookQ4,1809)*(5-MIN(4,4+'5. Scenarios'!$E$8))/4)*'5. Scenarios'!$E$6/(1+ProductivityDefault*('5. Scenarios'!$E$11-1))+INDEX(BookOneOff,1809)*$S1814)</f>
        <v/>
      </c>
    </row>
    <row r="1815" customFormat="false" ht="15" hidden="false" customHeight="false" outlineLevel="0" collapsed="false">
      <c r="A1815" s="0" t="str">
        <f aca="false">IF(INDEX(BookTitle,1810)="","",INDEX(BookKey,1810))</f>
        <v/>
      </c>
      <c r="B1815" s="0" t="str">
        <f aca="false">IF(INDEX(BookTitle,1810)="","",INDEX(BookGroup,1810))</f>
        <v/>
      </c>
      <c r="C1815" s="0" t="str">
        <f aca="false">IF(INDEX(BookTitle,1810)="","",INDEX(BookCategory,1810))</f>
        <v/>
      </c>
      <c r="D1815" s="56" t="str">
        <f aca="false">IF(INDEX(BookTitle,1810)="","",INDEX(BookTotal,1810)*'5. Scenarios'!$B$6/(1+ProductivityDefault*('5. Scenarios'!$B$11-1)))</f>
        <v/>
      </c>
      <c r="E1815" s="57" t="str">
        <f aca="false">IF($D1815="","",INDEX(BookRate,1810)*(1+'5. Scenarios'!$B$10)*$D1815)</f>
        <v/>
      </c>
      <c r="F1815" s="57" t="str">
        <f aca="false">IF($E1815="","",SUMIFS($E$6:$E$2405,$A$6:$A$2405,"&lt;="&amp;$A1815))</f>
        <v/>
      </c>
      <c r="G1815" s="57" t="str">
        <f aca="false">IF($E1815="","",IF($F1815&lt;=BankCostEnvelope*'5. Scenarios'!$B$7,1,0))</f>
        <v/>
      </c>
      <c r="H1815" s="57" t="str">
        <f aca="false">IF($D1815="","",INDEX(BookRate,1810)*(1+'5. Scenarios'!$B$10)*(INDEX(BookQ1,1810)*(5-MIN(4,1+'5. Scenarios'!$B$8))/4+INDEX(BookQ2,1810)*(5-MIN(4,2+'5. Scenarios'!$B$8))/4+INDEX(BookQ3,1810)*(5-MIN(4,3+'5. Scenarios'!$B$8))/4+INDEX(BookQ4,1810)*(5-MIN(4,4+'5. Scenarios'!$B$8))/4)*'5. Scenarios'!$B$6/(1+ProductivityDefault*('5. Scenarios'!$B$11-1))+INDEX(BookOneOff,1810)*$D1815)</f>
        <v/>
      </c>
      <c r="I1815" s="56" t="str">
        <f aca="false">IF(INDEX(BookTitle,1810)="","",INDEX(BookTotal,1810)*'5. Scenarios'!$C$6/(1+ProductivityDefault*('5. Scenarios'!$C$11-1)))</f>
        <v/>
      </c>
      <c r="J1815" s="57" t="str">
        <f aca="false">IF($I1815="","",INDEX(BookRate,1810)*(1+'5. Scenarios'!$C$10)*$I1815)</f>
        <v/>
      </c>
      <c r="K1815" s="57" t="str">
        <f aca="false">IF($J1815="","",SUMIFS($J$6:$J$2405,$A$6:$A$2405,"&lt;="&amp;$A1815))</f>
        <v/>
      </c>
      <c r="L1815" s="57" t="str">
        <f aca="false">IF($J1815="","",IF($K1815&lt;=BankCostEnvelope*'5. Scenarios'!$C$7,1,0))</f>
        <v/>
      </c>
      <c r="M1815" s="57" t="str">
        <f aca="false">IF($I1815="","",INDEX(BookRate,1810)*(1+'5. Scenarios'!$C$10)*(INDEX(BookQ1,1810)*(5-MIN(4,1+'5. Scenarios'!$C$8))/4+INDEX(BookQ2,1810)*(5-MIN(4,2+'5. Scenarios'!$C$8))/4+INDEX(BookQ3,1810)*(5-MIN(4,3+'5. Scenarios'!$C$8))/4+INDEX(BookQ4,1810)*(5-MIN(4,4+'5. Scenarios'!$C$8))/4)*'5. Scenarios'!$C$6/(1+ProductivityDefault*('5. Scenarios'!$C$11-1))+INDEX(BookOneOff,1810)*$I1815)</f>
        <v/>
      </c>
      <c r="N1815" s="56" t="str">
        <f aca="false">IF(INDEX(BookTitle,1810)="","",INDEX(BookTotal,1810)*'5. Scenarios'!$D$6/(1+ProductivityDefault*('5. Scenarios'!$D$11-1)))</f>
        <v/>
      </c>
      <c r="O1815" s="57" t="str">
        <f aca="false">IF($N1815="","",INDEX(BookRate,1810)*(1+'5. Scenarios'!$D$10)*$N1815)</f>
        <v/>
      </c>
      <c r="P1815" s="57" t="str">
        <f aca="false">IF($O1815="","",SUMIFS($O$6:$O$2405,$A$6:$A$2405,"&lt;="&amp;$A1815))</f>
        <v/>
      </c>
      <c r="Q1815" s="57" t="str">
        <f aca="false">IF($O1815="","",IF($P1815&lt;=BankCostEnvelope*'5. Scenarios'!$D$7,1,0))</f>
        <v/>
      </c>
      <c r="R1815" s="57" t="str">
        <f aca="false">IF($N1815="","",INDEX(BookRate,1810)*(1+'5. Scenarios'!$D$10)*(INDEX(BookQ1,1810)*(5-MIN(4,1+'5. Scenarios'!$D$8))/4+INDEX(BookQ2,1810)*(5-MIN(4,2+'5. Scenarios'!$D$8))/4+INDEX(BookQ3,1810)*(5-MIN(4,3+'5. Scenarios'!$D$8))/4+INDEX(BookQ4,1810)*(5-MIN(4,4+'5. Scenarios'!$D$8))/4)*'5. Scenarios'!$D$6/(1+ProductivityDefault*('5. Scenarios'!$D$11-1))+INDEX(BookOneOff,1810)*$N1815)</f>
        <v/>
      </c>
      <c r="S1815" s="56" t="str">
        <f aca="false">IF(INDEX(BookTitle,1810)="","",INDEX(BookTotal,1810)*'5. Scenarios'!$E$6/(1+ProductivityDefault*('5. Scenarios'!$E$11-1)))</f>
        <v/>
      </c>
      <c r="T1815" s="57" t="str">
        <f aca="false">IF($S1815="","",INDEX(BookRate,1810)*(1+'5. Scenarios'!$E$10)*$S1815)</f>
        <v/>
      </c>
      <c r="U1815" s="57" t="str">
        <f aca="false">IF($T1815="","",SUMIFS($T$6:$T$2405,$A$6:$A$2405,"&lt;="&amp;$A1815))</f>
        <v/>
      </c>
      <c r="V1815" s="57" t="str">
        <f aca="false">IF($T1815="","",IF($U1815&lt;=BankCostEnvelope*'5. Scenarios'!$E$7,1,0))</f>
        <v/>
      </c>
      <c r="W1815" s="57" t="str">
        <f aca="false">IF($S1815="","",INDEX(BookRate,1810)*(1+'5. Scenarios'!$E$10)*(INDEX(BookQ1,1810)*(5-MIN(4,1+'5. Scenarios'!$E$8))/4+INDEX(BookQ2,1810)*(5-MIN(4,2+'5. Scenarios'!$E$8))/4+INDEX(BookQ3,1810)*(5-MIN(4,3+'5. Scenarios'!$E$8))/4+INDEX(BookQ4,1810)*(5-MIN(4,4+'5. Scenarios'!$E$8))/4)*'5. Scenarios'!$E$6/(1+ProductivityDefault*('5. Scenarios'!$E$11-1))+INDEX(BookOneOff,1810)*$S1815)</f>
        <v/>
      </c>
    </row>
    <row r="1816" customFormat="false" ht="15" hidden="false" customHeight="false" outlineLevel="0" collapsed="false">
      <c r="A1816" s="0" t="str">
        <f aca="false">IF(INDEX(BookTitle,1811)="","",INDEX(BookKey,1811))</f>
        <v/>
      </c>
      <c r="B1816" s="0" t="str">
        <f aca="false">IF(INDEX(BookTitle,1811)="","",INDEX(BookGroup,1811))</f>
        <v/>
      </c>
      <c r="C1816" s="0" t="str">
        <f aca="false">IF(INDEX(BookTitle,1811)="","",INDEX(BookCategory,1811))</f>
        <v/>
      </c>
      <c r="D1816" s="56" t="str">
        <f aca="false">IF(INDEX(BookTitle,1811)="","",INDEX(BookTotal,1811)*'5. Scenarios'!$B$6/(1+ProductivityDefault*('5. Scenarios'!$B$11-1)))</f>
        <v/>
      </c>
      <c r="E1816" s="57" t="str">
        <f aca="false">IF($D1816="","",INDEX(BookRate,1811)*(1+'5. Scenarios'!$B$10)*$D1816)</f>
        <v/>
      </c>
      <c r="F1816" s="57" t="str">
        <f aca="false">IF($E1816="","",SUMIFS($E$6:$E$2405,$A$6:$A$2405,"&lt;="&amp;$A1816))</f>
        <v/>
      </c>
      <c r="G1816" s="57" t="str">
        <f aca="false">IF($E1816="","",IF($F1816&lt;=BankCostEnvelope*'5. Scenarios'!$B$7,1,0))</f>
        <v/>
      </c>
      <c r="H1816" s="57" t="str">
        <f aca="false">IF($D1816="","",INDEX(BookRate,1811)*(1+'5. Scenarios'!$B$10)*(INDEX(BookQ1,1811)*(5-MIN(4,1+'5. Scenarios'!$B$8))/4+INDEX(BookQ2,1811)*(5-MIN(4,2+'5. Scenarios'!$B$8))/4+INDEX(BookQ3,1811)*(5-MIN(4,3+'5. Scenarios'!$B$8))/4+INDEX(BookQ4,1811)*(5-MIN(4,4+'5. Scenarios'!$B$8))/4)*'5. Scenarios'!$B$6/(1+ProductivityDefault*('5. Scenarios'!$B$11-1))+INDEX(BookOneOff,1811)*$D1816)</f>
        <v/>
      </c>
      <c r="I1816" s="56" t="str">
        <f aca="false">IF(INDEX(BookTitle,1811)="","",INDEX(BookTotal,1811)*'5. Scenarios'!$C$6/(1+ProductivityDefault*('5. Scenarios'!$C$11-1)))</f>
        <v/>
      </c>
      <c r="J1816" s="57" t="str">
        <f aca="false">IF($I1816="","",INDEX(BookRate,1811)*(1+'5. Scenarios'!$C$10)*$I1816)</f>
        <v/>
      </c>
      <c r="K1816" s="57" t="str">
        <f aca="false">IF($J1816="","",SUMIFS($J$6:$J$2405,$A$6:$A$2405,"&lt;="&amp;$A1816))</f>
        <v/>
      </c>
      <c r="L1816" s="57" t="str">
        <f aca="false">IF($J1816="","",IF($K1816&lt;=BankCostEnvelope*'5. Scenarios'!$C$7,1,0))</f>
        <v/>
      </c>
      <c r="M1816" s="57" t="str">
        <f aca="false">IF($I1816="","",INDEX(BookRate,1811)*(1+'5. Scenarios'!$C$10)*(INDEX(BookQ1,1811)*(5-MIN(4,1+'5. Scenarios'!$C$8))/4+INDEX(BookQ2,1811)*(5-MIN(4,2+'5. Scenarios'!$C$8))/4+INDEX(BookQ3,1811)*(5-MIN(4,3+'5. Scenarios'!$C$8))/4+INDEX(BookQ4,1811)*(5-MIN(4,4+'5. Scenarios'!$C$8))/4)*'5. Scenarios'!$C$6/(1+ProductivityDefault*('5. Scenarios'!$C$11-1))+INDEX(BookOneOff,1811)*$I1816)</f>
        <v/>
      </c>
      <c r="N1816" s="56" t="str">
        <f aca="false">IF(INDEX(BookTitle,1811)="","",INDEX(BookTotal,1811)*'5. Scenarios'!$D$6/(1+ProductivityDefault*('5. Scenarios'!$D$11-1)))</f>
        <v/>
      </c>
      <c r="O1816" s="57" t="str">
        <f aca="false">IF($N1816="","",INDEX(BookRate,1811)*(1+'5. Scenarios'!$D$10)*$N1816)</f>
        <v/>
      </c>
      <c r="P1816" s="57" t="str">
        <f aca="false">IF($O1816="","",SUMIFS($O$6:$O$2405,$A$6:$A$2405,"&lt;="&amp;$A1816))</f>
        <v/>
      </c>
      <c r="Q1816" s="57" t="str">
        <f aca="false">IF($O1816="","",IF($P1816&lt;=BankCostEnvelope*'5. Scenarios'!$D$7,1,0))</f>
        <v/>
      </c>
      <c r="R1816" s="57" t="str">
        <f aca="false">IF($N1816="","",INDEX(BookRate,1811)*(1+'5. Scenarios'!$D$10)*(INDEX(BookQ1,1811)*(5-MIN(4,1+'5. Scenarios'!$D$8))/4+INDEX(BookQ2,1811)*(5-MIN(4,2+'5. Scenarios'!$D$8))/4+INDEX(BookQ3,1811)*(5-MIN(4,3+'5. Scenarios'!$D$8))/4+INDEX(BookQ4,1811)*(5-MIN(4,4+'5. Scenarios'!$D$8))/4)*'5. Scenarios'!$D$6/(1+ProductivityDefault*('5. Scenarios'!$D$11-1))+INDEX(BookOneOff,1811)*$N1816)</f>
        <v/>
      </c>
      <c r="S1816" s="56" t="str">
        <f aca="false">IF(INDEX(BookTitle,1811)="","",INDEX(BookTotal,1811)*'5. Scenarios'!$E$6/(1+ProductivityDefault*('5. Scenarios'!$E$11-1)))</f>
        <v/>
      </c>
      <c r="T1816" s="57" t="str">
        <f aca="false">IF($S1816="","",INDEX(BookRate,1811)*(1+'5. Scenarios'!$E$10)*$S1816)</f>
        <v/>
      </c>
      <c r="U1816" s="57" t="str">
        <f aca="false">IF($T1816="","",SUMIFS($T$6:$T$2405,$A$6:$A$2405,"&lt;="&amp;$A1816))</f>
        <v/>
      </c>
      <c r="V1816" s="57" t="str">
        <f aca="false">IF($T1816="","",IF($U1816&lt;=BankCostEnvelope*'5. Scenarios'!$E$7,1,0))</f>
        <v/>
      </c>
      <c r="W1816" s="57" t="str">
        <f aca="false">IF($S1816="","",INDEX(BookRate,1811)*(1+'5. Scenarios'!$E$10)*(INDEX(BookQ1,1811)*(5-MIN(4,1+'5. Scenarios'!$E$8))/4+INDEX(BookQ2,1811)*(5-MIN(4,2+'5. Scenarios'!$E$8))/4+INDEX(BookQ3,1811)*(5-MIN(4,3+'5. Scenarios'!$E$8))/4+INDEX(BookQ4,1811)*(5-MIN(4,4+'5. Scenarios'!$E$8))/4)*'5. Scenarios'!$E$6/(1+ProductivityDefault*('5. Scenarios'!$E$11-1))+INDEX(BookOneOff,1811)*$S1816)</f>
        <v/>
      </c>
    </row>
    <row r="1817" customFormat="false" ht="15" hidden="false" customHeight="false" outlineLevel="0" collapsed="false">
      <c r="A1817" s="0" t="str">
        <f aca="false">IF(INDEX(BookTitle,1812)="","",INDEX(BookKey,1812))</f>
        <v/>
      </c>
      <c r="B1817" s="0" t="str">
        <f aca="false">IF(INDEX(BookTitle,1812)="","",INDEX(BookGroup,1812))</f>
        <v/>
      </c>
      <c r="C1817" s="0" t="str">
        <f aca="false">IF(INDEX(BookTitle,1812)="","",INDEX(BookCategory,1812))</f>
        <v/>
      </c>
      <c r="D1817" s="56" t="str">
        <f aca="false">IF(INDEX(BookTitle,1812)="","",INDEX(BookTotal,1812)*'5. Scenarios'!$B$6/(1+ProductivityDefault*('5. Scenarios'!$B$11-1)))</f>
        <v/>
      </c>
      <c r="E1817" s="57" t="str">
        <f aca="false">IF($D1817="","",INDEX(BookRate,1812)*(1+'5. Scenarios'!$B$10)*$D1817)</f>
        <v/>
      </c>
      <c r="F1817" s="57" t="str">
        <f aca="false">IF($E1817="","",SUMIFS($E$6:$E$2405,$A$6:$A$2405,"&lt;="&amp;$A1817))</f>
        <v/>
      </c>
      <c r="G1817" s="57" t="str">
        <f aca="false">IF($E1817="","",IF($F1817&lt;=BankCostEnvelope*'5. Scenarios'!$B$7,1,0))</f>
        <v/>
      </c>
      <c r="H1817" s="57" t="str">
        <f aca="false">IF($D1817="","",INDEX(BookRate,1812)*(1+'5. Scenarios'!$B$10)*(INDEX(BookQ1,1812)*(5-MIN(4,1+'5. Scenarios'!$B$8))/4+INDEX(BookQ2,1812)*(5-MIN(4,2+'5. Scenarios'!$B$8))/4+INDEX(BookQ3,1812)*(5-MIN(4,3+'5. Scenarios'!$B$8))/4+INDEX(BookQ4,1812)*(5-MIN(4,4+'5. Scenarios'!$B$8))/4)*'5. Scenarios'!$B$6/(1+ProductivityDefault*('5. Scenarios'!$B$11-1))+INDEX(BookOneOff,1812)*$D1817)</f>
        <v/>
      </c>
      <c r="I1817" s="56" t="str">
        <f aca="false">IF(INDEX(BookTitle,1812)="","",INDEX(BookTotal,1812)*'5. Scenarios'!$C$6/(1+ProductivityDefault*('5. Scenarios'!$C$11-1)))</f>
        <v/>
      </c>
      <c r="J1817" s="57" t="str">
        <f aca="false">IF($I1817="","",INDEX(BookRate,1812)*(1+'5. Scenarios'!$C$10)*$I1817)</f>
        <v/>
      </c>
      <c r="K1817" s="57" t="str">
        <f aca="false">IF($J1817="","",SUMIFS($J$6:$J$2405,$A$6:$A$2405,"&lt;="&amp;$A1817))</f>
        <v/>
      </c>
      <c r="L1817" s="57" t="str">
        <f aca="false">IF($J1817="","",IF($K1817&lt;=BankCostEnvelope*'5. Scenarios'!$C$7,1,0))</f>
        <v/>
      </c>
      <c r="M1817" s="57" t="str">
        <f aca="false">IF($I1817="","",INDEX(BookRate,1812)*(1+'5. Scenarios'!$C$10)*(INDEX(BookQ1,1812)*(5-MIN(4,1+'5. Scenarios'!$C$8))/4+INDEX(BookQ2,1812)*(5-MIN(4,2+'5. Scenarios'!$C$8))/4+INDEX(BookQ3,1812)*(5-MIN(4,3+'5. Scenarios'!$C$8))/4+INDEX(BookQ4,1812)*(5-MIN(4,4+'5. Scenarios'!$C$8))/4)*'5. Scenarios'!$C$6/(1+ProductivityDefault*('5. Scenarios'!$C$11-1))+INDEX(BookOneOff,1812)*$I1817)</f>
        <v/>
      </c>
      <c r="N1817" s="56" t="str">
        <f aca="false">IF(INDEX(BookTitle,1812)="","",INDEX(BookTotal,1812)*'5. Scenarios'!$D$6/(1+ProductivityDefault*('5. Scenarios'!$D$11-1)))</f>
        <v/>
      </c>
      <c r="O1817" s="57" t="str">
        <f aca="false">IF($N1817="","",INDEX(BookRate,1812)*(1+'5. Scenarios'!$D$10)*$N1817)</f>
        <v/>
      </c>
      <c r="P1817" s="57" t="str">
        <f aca="false">IF($O1817="","",SUMIFS($O$6:$O$2405,$A$6:$A$2405,"&lt;="&amp;$A1817))</f>
        <v/>
      </c>
      <c r="Q1817" s="57" t="str">
        <f aca="false">IF($O1817="","",IF($P1817&lt;=BankCostEnvelope*'5. Scenarios'!$D$7,1,0))</f>
        <v/>
      </c>
      <c r="R1817" s="57" t="str">
        <f aca="false">IF($N1817="","",INDEX(BookRate,1812)*(1+'5. Scenarios'!$D$10)*(INDEX(BookQ1,1812)*(5-MIN(4,1+'5. Scenarios'!$D$8))/4+INDEX(BookQ2,1812)*(5-MIN(4,2+'5. Scenarios'!$D$8))/4+INDEX(BookQ3,1812)*(5-MIN(4,3+'5. Scenarios'!$D$8))/4+INDEX(BookQ4,1812)*(5-MIN(4,4+'5. Scenarios'!$D$8))/4)*'5. Scenarios'!$D$6/(1+ProductivityDefault*('5. Scenarios'!$D$11-1))+INDEX(BookOneOff,1812)*$N1817)</f>
        <v/>
      </c>
      <c r="S1817" s="56" t="str">
        <f aca="false">IF(INDEX(BookTitle,1812)="","",INDEX(BookTotal,1812)*'5. Scenarios'!$E$6/(1+ProductivityDefault*('5. Scenarios'!$E$11-1)))</f>
        <v/>
      </c>
      <c r="T1817" s="57" t="str">
        <f aca="false">IF($S1817="","",INDEX(BookRate,1812)*(1+'5. Scenarios'!$E$10)*$S1817)</f>
        <v/>
      </c>
      <c r="U1817" s="57" t="str">
        <f aca="false">IF($T1817="","",SUMIFS($T$6:$T$2405,$A$6:$A$2405,"&lt;="&amp;$A1817))</f>
        <v/>
      </c>
      <c r="V1817" s="57" t="str">
        <f aca="false">IF($T1817="","",IF($U1817&lt;=BankCostEnvelope*'5. Scenarios'!$E$7,1,0))</f>
        <v/>
      </c>
      <c r="W1817" s="57" t="str">
        <f aca="false">IF($S1817="","",INDEX(BookRate,1812)*(1+'5. Scenarios'!$E$10)*(INDEX(BookQ1,1812)*(5-MIN(4,1+'5. Scenarios'!$E$8))/4+INDEX(BookQ2,1812)*(5-MIN(4,2+'5. Scenarios'!$E$8))/4+INDEX(BookQ3,1812)*(5-MIN(4,3+'5. Scenarios'!$E$8))/4+INDEX(BookQ4,1812)*(5-MIN(4,4+'5. Scenarios'!$E$8))/4)*'5. Scenarios'!$E$6/(1+ProductivityDefault*('5. Scenarios'!$E$11-1))+INDEX(BookOneOff,1812)*$S1817)</f>
        <v/>
      </c>
    </row>
    <row r="1818" customFormat="false" ht="15" hidden="false" customHeight="false" outlineLevel="0" collapsed="false">
      <c r="A1818" s="0" t="str">
        <f aca="false">IF(INDEX(BookTitle,1813)="","",INDEX(BookKey,1813))</f>
        <v/>
      </c>
      <c r="B1818" s="0" t="str">
        <f aca="false">IF(INDEX(BookTitle,1813)="","",INDEX(BookGroup,1813))</f>
        <v/>
      </c>
      <c r="C1818" s="0" t="str">
        <f aca="false">IF(INDEX(BookTitle,1813)="","",INDEX(BookCategory,1813))</f>
        <v/>
      </c>
      <c r="D1818" s="56" t="str">
        <f aca="false">IF(INDEX(BookTitle,1813)="","",INDEX(BookTotal,1813)*'5. Scenarios'!$B$6/(1+ProductivityDefault*('5. Scenarios'!$B$11-1)))</f>
        <v/>
      </c>
      <c r="E1818" s="57" t="str">
        <f aca="false">IF($D1818="","",INDEX(BookRate,1813)*(1+'5. Scenarios'!$B$10)*$D1818)</f>
        <v/>
      </c>
      <c r="F1818" s="57" t="str">
        <f aca="false">IF($E1818="","",SUMIFS($E$6:$E$2405,$A$6:$A$2405,"&lt;="&amp;$A1818))</f>
        <v/>
      </c>
      <c r="G1818" s="57" t="str">
        <f aca="false">IF($E1818="","",IF($F1818&lt;=BankCostEnvelope*'5. Scenarios'!$B$7,1,0))</f>
        <v/>
      </c>
      <c r="H1818" s="57" t="str">
        <f aca="false">IF($D1818="","",INDEX(BookRate,1813)*(1+'5. Scenarios'!$B$10)*(INDEX(BookQ1,1813)*(5-MIN(4,1+'5. Scenarios'!$B$8))/4+INDEX(BookQ2,1813)*(5-MIN(4,2+'5. Scenarios'!$B$8))/4+INDEX(BookQ3,1813)*(5-MIN(4,3+'5. Scenarios'!$B$8))/4+INDEX(BookQ4,1813)*(5-MIN(4,4+'5. Scenarios'!$B$8))/4)*'5. Scenarios'!$B$6/(1+ProductivityDefault*('5. Scenarios'!$B$11-1))+INDEX(BookOneOff,1813)*$D1818)</f>
        <v/>
      </c>
      <c r="I1818" s="56" t="str">
        <f aca="false">IF(INDEX(BookTitle,1813)="","",INDEX(BookTotal,1813)*'5. Scenarios'!$C$6/(1+ProductivityDefault*('5. Scenarios'!$C$11-1)))</f>
        <v/>
      </c>
      <c r="J1818" s="57" t="str">
        <f aca="false">IF($I1818="","",INDEX(BookRate,1813)*(1+'5. Scenarios'!$C$10)*$I1818)</f>
        <v/>
      </c>
      <c r="K1818" s="57" t="str">
        <f aca="false">IF($J1818="","",SUMIFS($J$6:$J$2405,$A$6:$A$2405,"&lt;="&amp;$A1818))</f>
        <v/>
      </c>
      <c r="L1818" s="57" t="str">
        <f aca="false">IF($J1818="","",IF($K1818&lt;=BankCostEnvelope*'5. Scenarios'!$C$7,1,0))</f>
        <v/>
      </c>
      <c r="M1818" s="57" t="str">
        <f aca="false">IF($I1818="","",INDEX(BookRate,1813)*(1+'5. Scenarios'!$C$10)*(INDEX(BookQ1,1813)*(5-MIN(4,1+'5. Scenarios'!$C$8))/4+INDEX(BookQ2,1813)*(5-MIN(4,2+'5. Scenarios'!$C$8))/4+INDEX(BookQ3,1813)*(5-MIN(4,3+'5. Scenarios'!$C$8))/4+INDEX(BookQ4,1813)*(5-MIN(4,4+'5. Scenarios'!$C$8))/4)*'5. Scenarios'!$C$6/(1+ProductivityDefault*('5. Scenarios'!$C$11-1))+INDEX(BookOneOff,1813)*$I1818)</f>
        <v/>
      </c>
      <c r="N1818" s="56" t="str">
        <f aca="false">IF(INDEX(BookTitle,1813)="","",INDEX(BookTotal,1813)*'5. Scenarios'!$D$6/(1+ProductivityDefault*('5. Scenarios'!$D$11-1)))</f>
        <v/>
      </c>
      <c r="O1818" s="57" t="str">
        <f aca="false">IF($N1818="","",INDEX(BookRate,1813)*(1+'5. Scenarios'!$D$10)*$N1818)</f>
        <v/>
      </c>
      <c r="P1818" s="57" t="str">
        <f aca="false">IF($O1818="","",SUMIFS($O$6:$O$2405,$A$6:$A$2405,"&lt;="&amp;$A1818))</f>
        <v/>
      </c>
      <c r="Q1818" s="57" t="str">
        <f aca="false">IF($O1818="","",IF($P1818&lt;=BankCostEnvelope*'5. Scenarios'!$D$7,1,0))</f>
        <v/>
      </c>
      <c r="R1818" s="57" t="str">
        <f aca="false">IF($N1818="","",INDEX(BookRate,1813)*(1+'5. Scenarios'!$D$10)*(INDEX(BookQ1,1813)*(5-MIN(4,1+'5. Scenarios'!$D$8))/4+INDEX(BookQ2,1813)*(5-MIN(4,2+'5. Scenarios'!$D$8))/4+INDEX(BookQ3,1813)*(5-MIN(4,3+'5. Scenarios'!$D$8))/4+INDEX(BookQ4,1813)*(5-MIN(4,4+'5. Scenarios'!$D$8))/4)*'5. Scenarios'!$D$6/(1+ProductivityDefault*('5. Scenarios'!$D$11-1))+INDEX(BookOneOff,1813)*$N1818)</f>
        <v/>
      </c>
      <c r="S1818" s="56" t="str">
        <f aca="false">IF(INDEX(BookTitle,1813)="","",INDEX(BookTotal,1813)*'5. Scenarios'!$E$6/(1+ProductivityDefault*('5. Scenarios'!$E$11-1)))</f>
        <v/>
      </c>
      <c r="T1818" s="57" t="str">
        <f aca="false">IF($S1818="","",INDEX(BookRate,1813)*(1+'5. Scenarios'!$E$10)*$S1818)</f>
        <v/>
      </c>
      <c r="U1818" s="57" t="str">
        <f aca="false">IF($T1818="","",SUMIFS($T$6:$T$2405,$A$6:$A$2405,"&lt;="&amp;$A1818))</f>
        <v/>
      </c>
      <c r="V1818" s="57" t="str">
        <f aca="false">IF($T1818="","",IF($U1818&lt;=BankCostEnvelope*'5. Scenarios'!$E$7,1,0))</f>
        <v/>
      </c>
      <c r="W1818" s="57" t="str">
        <f aca="false">IF($S1818="","",INDEX(BookRate,1813)*(1+'5. Scenarios'!$E$10)*(INDEX(BookQ1,1813)*(5-MIN(4,1+'5. Scenarios'!$E$8))/4+INDEX(BookQ2,1813)*(5-MIN(4,2+'5. Scenarios'!$E$8))/4+INDEX(BookQ3,1813)*(5-MIN(4,3+'5. Scenarios'!$E$8))/4+INDEX(BookQ4,1813)*(5-MIN(4,4+'5. Scenarios'!$E$8))/4)*'5. Scenarios'!$E$6/(1+ProductivityDefault*('5. Scenarios'!$E$11-1))+INDEX(BookOneOff,1813)*$S1818)</f>
        <v/>
      </c>
    </row>
    <row r="1819" customFormat="false" ht="15" hidden="false" customHeight="false" outlineLevel="0" collapsed="false">
      <c r="A1819" s="0" t="str">
        <f aca="false">IF(INDEX(BookTitle,1814)="","",INDEX(BookKey,1814))</f>
        <v/>
      </c>
      <c r="B1819" s="0" t="str">
        <f aca="false">IF(INDEX(BookTitle,1814)="","",INDEX(BookGroup,1814))</f>
        <v/>
      </c>
      <c r="C1819" s="0" t="str">
        <f aca="false">IF(INDEX(BookTitle,1814)="","",INDEX(BookCategory,1814))</f>
        <v/>
      </c>
      <c r="D1819" s="56" t="str">
        <f aca="false">IF(INDEX(BookTitle,1814)="","",INDEX(BookTotal,1814)*'5. Scenarios'!$B$6/(1+ProductivityDefault*('5. Scenarios'!$B$11-1)))</f>
        <v/>
      </c>
      <c r="E1819" s="57" t="str">
        <f aca="false">IF($D1819="","",INDEX(BookRate,1814)*(1+'5. Scenarios'!$B$10)*$D1819)</f>
        <v/>
      </c>
      <c r="F1819" s="57" t="str">
        <f aca="false">IF($E1819="","",SUMIFS($E$6:$E$2405,$A$6:$A$2405,"&lt;="&amp;$A1819))</f>
        <v/>
      </c>
      <c r="G1819" s="57" t="str">
        <f aca="false">IF($E1819="","",IF($F1819&lt;=BankCostEnvelope*'5. Scenarios'!$B$7,1,0))</f>
        <v/>
      </c>
      <c r="H1819" s="57" t="str">
        <f aca="false">IF($D1819="","",INDEX(BookRate,1814)*(1+'5. Scenarios'!$B$10)*(INDEX(BookQ1,1814)*(5-MIN(4,1+'5. Scenarios'!$B$8))/4+INDEX(BookQ2,1814)*(5-MIN(4,2+'5. Scenarios'!$B$8))/4+INDEX(BookQ3,1814)*(5-MIN(4,3+'5. Scenarios'!$B$8))/4+INDEX(BookQ4,1814)*(5-MIN(4,4+'5. Scenarios'!$B$8))/4)*'5. Scenarios'!$B$6/(1+ProductivityDefault*('5. Scenarios'!$B$11-1))+INDEX(BookOneOff,1814)*$D1819)</f>
        <v/>
      </c>
      <c r="I1819" s="56" t="str">
        <f aca="false">IF(INDEX(BookTitle,1814)="","",INDEX(BookTotal,1814)*'5. Scenarios'!$C$6/(1+ProductivityDefault*('5. Scenarios'!$C$11-1)))</f>
        <v/>
      </c>
      <c r="J1819" s="57" t="str">
        <f aca="false">IF($I1819="","",INDEX(BookRate,1814)*(1+'5. Scenarios'!$C$10)*$I1819)</f>
        <v/>
      </c>
      <c r="K1819" s="57" t="str">
        <f aca="false">IF($J1819="","",SUMIFS($J$6:$J$2405,$A$6:$A$2405,"&lt;="&amp;$A1819))</f>
        <v/>
      </c>
      <c r="L1819" s="57" t="str">
        <f aca="false">IF($J1819="","",IF($K1819&lt;=BankCostEnvelope*'5. Scenarios'!$C$7,1,0))</f>
        <v/>
      </c>
      <c r="M1819" s="57" t="str">
        <f aca="false">IF($I1819="","",INDEX(BookRate,1814)*(1+'5. Scenarios'!$C$10)*(INDEX(BookQ1,1814)*(5-MIN(4,1+'5. Scenarios'!$C$8))/4+INDEX(BookQ2,1814)*(5-MIN(4,2+'5. Scenarios'!$C$8))/4+INDEX(BookQ3,1814)*(5-MIN(4,3+'5. Scenarios'!$C$8))/4+INDEX(BookQ4,1814)*(5-MIN(4,4+'5. Scenarios'!$C$8))/4)*'5. Scenarios'!$C$6/(1+ProductivityDefault*('5. Scenarios'!$C$11-1))+INDEX(BookOneOff,1814)*$I1819)</f>
        <v/>
      </c>
      <c r="N1819" s="56" t="str">
        <f aca="false">IF(INDEX(BookTitle,1814)="","",INDEX(BookTotal,1814)*'5. Scenarios'!$D$6/(1+ProductivityDefault*('5. Scenarios'!$D$11-1)))</f>
        <v/>
      </c>
      <c r="O1819" s="57" t="str">
        <f aca="false">IF($N1819="","",INDEX(BookRate,1814)*(1+'5. Scenarios'!$D$10)*$N1819)</f>
        <v/>
      </c>
      <c r="P1819" s="57" t="str">
        <f aca="false">IF($O1819="","",SUMIFS($O$6:$O$2405,$A$6:$A$2405,"&lt;="&amp;$A1819))</f>
        <v/>
      </c>
      <c r="Q1819" s="57" t="str">
        <f aca="false">IF($O1819="","",IF($P1819&lt;=BankCostEnvelope*'5. Scenarios'!$D$7,1,0))</f>
        <v/>
      </c>
      <c r="R1819" s="57" t="str">
        <f aca="false">IF($N1819="","",INDEX(BookRate,1814)*(1+'5. Scenarios'!$D$10)*(INDEX(BookQ1,1814)*(5-MIN(4,1+'5. Scenarios'!$D$8))/4+INDEX(BookQ2,1814)*(5-MIN(4,2+'5. Scenarios'!$D$8))/4+INDEX(BookQ3,1814)*(5-MIN(4,3+'5. Scenarios'!$D$8))/4+INDEX(BookQ4,1814)*(5-MIN(4,4+'5. Scenarios'!$D$8))/4)*'5. Scenarios'!$D$6/(1+ProductivityDefault*('5. Scenarios'!$D$11-1))+INDEX(BookOneOff,1814)*$N1819)</f>
        <v/>
      </c>
      <c r="S1819" s="56" t="str">
        <f aca="false">IF(INDEX(BookTitle,1814)="","",INDEX(BookTotal,1814)*'5. Scenarios'!$E$6/(1+ProductivityDefault*('5. Scenarios'!$E$11-1)))</f>
        <v/>
      </c>
      <c r="T1819" s="57" t="str">
        <f aca="false">IF($S1819="","",INDEX(BookRate,1814)*(1+'5. Scenarios'!$E$10)*$S1819)</f>
        <v/>
      </c>
      <c r="U1819" s="57" t="str">
        <f aca="false">IF($T1819="","",SUMIFS($T$6:$T$2405,$A$6:$A$2405,"&lt;="&amp;$A1819))</f>
        <v/>
      </c>
      <c r="V1819" s="57" t="str">
        <f aca="false">IF($T1819="","",IF($U1819&lt;=BankCostEnvelope*'5. Scenarios'!$E$7,1,0))</f>
        <v/>
      </c>
      <c r="W1819" s="57" t="str">
        <f aca="false">IF($S1819="","",INDEX(BookRate,1814)*(1+'5. Scenarios'!$E$10)*(INDEX(BookQ1,1814)*(5-MIN(4,1+'5. Scenarios'!$E$8))/4+INDEX(BookQ2,1814)*(5-MIN(4,2+'5. Scenarios'!$E$8))/4+INDEX(BookQ3,1814)*(5-MIN(4,3+'5. Scenarios'!$E$8))/4+INDEX(BookQ4,1814)*(5-MIN(4,4+'5. Scenarios'!$E$8))/4)*'5. Scenarios'!$E$6/(1+ProductivityDefault*('5. Scenarios'!$E$11-1))+INDEX(BookOneOff,1814)*$S1819)</f>
        <v/>
      </c>
    </row>
    <row r="1820" customFormat="false" ht="15" hidden="false" customHeight="false" outlineLevel="0" collapsed="false">
      <c r="A1820" s="0" t="str">
        <f aca="false">IF(INDEX(BookTitle,1815)="","",INDEX(BookKey,1815))</f>
        <v/>
      </c>
      <c r="B1820" s="0" t="str">
        <f aca="false">IF(INDEX(BookTitle,1815)="","",INDEX(BookGroup,1815))</f>
        <v/>
      </c>
      <c r="C1820" s="0" t="str">
        <f aca="false">IF(INDEX(BookTitle,1815)="","",INDEX(BookCategory,1815))</f>
        <v/>
      </c>
      <c r="D1820" s="56" t="str">
        <f aca="false">IF(INDEX(BookTitle,1815)="","",INDEX(BookTotal,1815)*'5. Scenarios'!$B$6/(1+ProductivityDefault*('5. Scenarios'!$B$11-1)))</f>
        <v/>
      </c>
      <c r="E1820" s="57" t="str">
        <f aca="false">IF($D1820="","",INDEX(BookRate,1815)*(1+'5. Scenarios'!$B$10)*$D1820)</f>
        <v/>
      </c>
      <c r="F1820" s="57" t="str">
        <f aca="false">IF($E1820="","",SUMIFS($E$6:$E$2405,$A$6:$A$2405,"&lt;="&amp;$A1820))</f>
        <v/>
      </c>
      <c r="G1820" s="57" t="str">
        <f aca="false">IF($E1820="","",IF($F1820&lt;=BankCostEnvelope*'5. Scenarios'!$B$7,1,0))</f>
        <v/>
      </c>
      <c r="H1820" s="57" t="str">
        <f aca="false">IF($D1820="","",INDEX(BookRate,1815)*(1+'5. Scenarios'!$B$10)*(INDEX(BookQ1,1815)*(5-MIN(4,1+'5. Scenarios'!$B$8))/4+INDEX(BookQ2,1815)*(5-MIN(4,2+'5. Scenarios'!$B$8))/4+INDEX(BookQ3,1815)*(5-MIN(4,3+'5. Scenarios'!$B$8))/4+INDEX(BookQ4,1815)*(5-MIN(4,4+'5. Scenarios'!$B$8))/4)*'5. Scenarios'!$B$6/(1+ProductivityDefault*('5. Scenarios'!$B$11-1))+INDEX(BookOneOff,1815)*$D1820)</f>
        <v/>
      </c>
      <c r="I1820" s="56" t="str">
        <f aca="false">IF(INDEX(BookTitle,1815)="","",INDEX(BookTotal,1815)*'5. Scenarios'!$C$6/(1+ProductivityDefault*('5. Scenarios'!$C$11-1)))</f>
        <v/>
      </c>
      <c r="J1820" s="57" t="str">
        <f aca="false">IF($I1820="","",INDEX(BookRate,1815)*(1+'5. Scenarios'!$C$10)*$I1820)</f>
        <v/>
      </c>
      <c r="K1820" s="57" t="str">
        <f aca="false">IF($J1820="","",SUMIFS($J$6:$J$2405,$A$6:$A$2405,"&lt;="&amp;$A1820))</f>
        <v/>
      </c>
      <c r="L1820" s="57" t="str">
        <f aca="false">IF($J1820="","",IF($K1820&lt;=BankCostEnvelope*'5. Scenarios'!$C$7,1,0))</f>
        <v/>
      </c>
      <c r="M1820" s="57" t="str">
        <f aca="false">IF($I1820="","",INDEX(BookRate,1815)*(1+'5. Scenarios'!$C$10)*(INDEX(BookQ1,1815)*(5-MIN(4,1+'5. Scenarios'!$C$8))/4+INDEX(BookQ2,1815)*(5-MIN(4,2+'5. Scenarios'!$C$8))/4+INDEX(BookQ3,1815)*(5-MIN(4,3+'5. Scenarios'!$C$8))/4+INDEX(BookQ4,1815)*(5-MIN(4,4+'5. Scenarios'!$C$8))/4)*'5. Scenarios'!$C$6/(1+ProductivityDefault*('5. Scenarios'!$C$11-1))+INDEX(BookOneOff,1815)*$I1820)</f>
        <v/>
      </c>
      <c r="N1820" s="56" t="str">
        <f aca="false">IF(INDEX(BookTitle,1815)="","",INDEX(BookTotal,1815)*'5. Scenarios'!$D$6/(1+ProductivityDefault*('5. Scenarios'!$D$11-1)))</f>
        <v/>
      </c>
      <c r="O1820" s="57" t="str">
        <f aca="false">IF($N1820="","",INDEX(BookRate,1815)*(1+'5. Scenarios'!$D$10)*$N1820)</f>
        <v/>
      </c>
      <c r="P1820" s="57" t="str">
        <f aca="false">IF($O1820="","",SUMIFS($O$6:$O$2405,$A$6:$A$2405,"&lt;="&amp;$A1820))</f>
        <v/>
      </c>
      <c r="Q1820" s="57" t="str">
        <f aca="false">IF($O1820="","",IF($P1820&lt;=BankCostEnvelope*'5. Scenarios'!$D$7,1,0))</f>
        <v/>
      </c>
      <c r="R1820" s="57" t="str">
        <f aca="false">IF($N1820="","",INDEX(BookRate,1815)*(1+'5. Scenarios'!$D$10)*(INDEX(BookQ1,1815)*(5-MIN(4,1+'5. Scenarios'!$D$8))/4+INDEX(BookQ2,1815)*(5-MIN(4,2+'5. Scenarios'!$D$8))/4+INDEX(BookQ3,1815)*(5-MIN(4,3+'5. Scenarios'!$D$8))/4+INDEX(BookQ4,1815)*(5-MIN(4,4+'5. Scenarios'!$D$8))/4)*'5. Scenarios'!$D$6/(1+ProductivityDefault*('5. Scenarios'!$D$11-1))+INDEX(BookOneOff,1815)*$N1820)</f>
        <v/>
      </c>
      <c r="S1820" s="56" t="str">
        <f aca="false">IF(INDEX(BookTitle,1815)="","",INDEX(BookTotal,1815)*'5. Scenarios'!$E$6/(1+ProductivityDefault*('5. Scenarios'!$E$11-1)))</f>
        <v/>
      </c>
      <c r="T1820" s="57" t="str">
        <f aca="false">IF($S1820="","",INDEX(BookRate,1815)*(1+'5. Scenarios'!$E$10)*$S1820)</f>
        <v/>
      </c>
      <c r="U1820" s="57" t="str">
        <f aca="false">IF($T1820="","",SUMIFS($T$6:$T$2405,$A$6:$A$2405,"&lt;="&amp;$A1820))</f>
        <v/>
      </c>
      <c r="V1820" s="57" t="str">
        <f aca="false">IF($T1820="","",IF($U1820&lt;=BankCostEnvelope*'5. Scenarios'!$E$7,1,0))</f>
        <v/>
      </c>
      <c r="W1820" s="57" t="str">
        <f aca="false">IF($S1820="","",INDEX(BookRate,1815)*(1+'5. Scenarios'!$E$10)*(INDEX(BookQ1,1815)*(5-MIN(4,1+'5. Scenarios'!$E$8))/4+INDEX(BookQ2,1815)*(5-MIN(4,2+'5. Scenarios'!$E$8))/4+INDEX(BookQ3,1815)*(5-MIN(4,3+'5. Scenarios'!$E$8))/4+INDEX(BookQ4,1815)*(5-MIN(4,4+'5. Scenarios'!$E$8))/4)*'5. Scenarios'!$E$6/(1+ProductivityDefault*('5. Scenarios'!$E$11-1))+INDEX(BookOneOff,1815)*$S1820)</f>
        <v/>
      </c>
    </row>
    <row r="1821" customFormat="false" ht="15" hidden="false" customHeight="false" outlineLevel="0" collapsed="false">
      <c r="A1821" s="0" t="str">
        <f aca="false">IF(INDEX(BookTitle,1816)="","",INDEX(BookKey,1816))</f>
        <v/>
      </c>
      <c r="B1821" s="0" t="str">
        <f aca="false">IF(INDEX(BookTitle,1816)="","",INDEX(BookGroup,1816))</f>
        <v/>
      </c>
      <c r="C1821" s="0" t="str">
        <f aca="false">IF(INDEX(BookTitle,1816)="","",INDEX(BookCategory,1816))</f>
        <v/>
      </c>
      <c r="D1821" s="56" t="str">
        <f aca="false">IF(INDEX(BookTitle,1816)="","",INDEX(BookTotal,1816)*'5. Scenarios'!$B$6/(1+ProductivityDefault*('5. Scenarios'!$B$11-1)))</f>
        <v/>
      </c>
      <c r="E1821" s="57" t="str">
        <f aca="false">IF($D1821="","",INDEX(BookRate,1816)*(1+'5. Scenarios'!$B$10)*$D1821)</f>
        <v/>
      </c>
      <c r="F1821" s="57" t="str">
        <f aca="false">IF($E1821="","",SUMIFS($E$6:$E$2405,$A$6:$A$2405,"&lt;="&amp;$A1821))</f>
        <v/>
      </c>
      <c r="G1821" s="57" t="str">
        <f aca="false">IF($E1821="","",IF($F1821&lt;=BankCostEnvelope*'5. Scenarios'!$B$7,1,0))</f>
        <v/>
      </c>
      <c r="H1821" s="57" t="str">
        <f aca="false">IF($D1821="","",INDEX(BookRate,1816)*(1+'5. Scenarios'!$B$10)*(INDEX(BookQ1,1816)*(5-MIN(4,1+'5. Scenarios'!$B$8))/4+INDEX(BookQ2,1816)*(5-MIN(4,2+'5. Scenarios'!$B$8))/4+INDEX(BookQ3,1816)*(5-MIN(4,3+'5. Scenarios'!$B$8))/4+INDEX(BookQ4,1816)*(5-MIN(4,4+'5. Scenarios'!$B$8))/4)*'5. Scenarios'!$B$6/(1+ProductivityDefault*('5. Scenarios'!$B$11-1))+INDEX(BookOneOff,1816)*$D1821)</f>
        <v/>
      </c>
      <c r="I1821" s="56" t="str">
        <f aca="false">IF(INDEX(BookTitle,1816)="","",INDEX(BookTotal,1816)*'5. Scenarios'!$C$6/(1+ProductivityDefault*('5. Scenarios'!$C$11-1)))</f>
        <v/>
      </c>
      <c r="J1821" s="57" t="str">
        <f aca="false">IF($I1821="","",INDEX(BookRate,1816)*(1+'5. Scenarios'!$C$10)*$I1821)</f>
        <v/>
      </c>
      <c r="K1821" s="57" t="str">
        <f aca="false">IF($J1821="","",SUMIFS($J$6:$J$2405,$A$6:$A$2405,"&lt;="&amp;$A1821))</f>
        <v/>
      </c>
      <c r="L1821" s="57" t="str">
        <f aca="false">IF($J1821="","",IF($K1821&lt;=BankCostEnvelope*'5. Scenarios'!$C$7,1,0))</f>
        <v/>
      </c>
      <c r="M1821" s="57" t="str">
        <f aca="false">IF($I1821="","",INDEX(BookRate,1816)*(1+'5. Scenarios'!$C$10)*(INDEX(BookQ1,1816)*(5-MIN(4,1+'5. Scenarios'!$C$8))/4+INDEX(BookQ2,1816)*(5-MIN(4,2+'5. Scenarios'!$C$8))/4+INDEX(BookQ3,1816)*(5-MIN(4,3+'5. Scenarios'!$C$8))/4+INDEX(BookQ4,1816)*(5-MIN(4,4+'5. Scenarios'!$C$8))/4)*'5. Scenarios'!$C$6/(1+ProductivityDefault*('5. Scenarios'!$C$11-1))+INDEX(BookOneOff,1816)*$I1821)</f>
        <v/>
      </c>
      <c r="N1821" s="56" t="str">
        <f aca="false">IF(INDEX(BookTitle,1816)="","",INDEX(BookTotal,1816)*'5. Scenarios'!$D$6/(1+ProductivityDefault*('5. Scenarios'!$D$11-1)))</f>
        <v/>
      </c>
      <c r="O1821" s="57" t="str">
        <f aca="false">IF($N1821="","",INDEX(BookRate,1816)*(1+'5. Scenarios'!$D$10)*$N1821)</f>
        <v/>
      </c>
      <c r="P1821" s="57" t="str">
        <f aca="false">IF($O1821="","",SUMIFS($O$6:$O$2405,$A$6:$A$2405,"&lt;="&amp;$A1821))</f>
        <v/>
      </c>
      <c r="Q1821" s="57" t="str">
        <f aca="false">IF($O1821="","",IF($P1821&lt;=BankCostEnvelope*'5. Scenarios'!$D$7,1,0))</f>
        <v/>
      </c>
      <c r="R1821" s="57" t="str">
        <f aca="false">IF($N1821="","",INDEX(BookRate,1816)*(1+'5. Scenarios'!$D$10)*(INDEX(BookQ1,1816)*(5-MIN(4,1+'5. Scenarios'!$D$8))/4+INDEX(BookQ2,1816)*(5-MIN(4,2+'5. Scenarios'!$D$8))/4+INDEX(BookQ3,1816)*(5-MIN(4,3+'5. Scenarios'!$D$8))/4+INDEX(BookQ4,1816)*(5-MIN(4,4+'5. Scenarios'!$D$8))/4)*'5. Scenarios'!$D$6/(1+ProductivityDefault*('5. Scenarios'!$D$11-1))+INDEX(BookOneOff,1816)*$N1821)</f>
        <v/>
      </c>
      <c r="S1821" s="56" t="str">
        <f aca="false">IF(INDEX(BookTitle,1816)="","",INDEX(BookTotal,1816)*'5. Scenarios'!$E$6/(1+ProductivityDefault*('5. Scenarios'!$E$11-1)))</f>
        <v/>
      </c>
      <c r="T1821" s="57" t="str">
        <f aca="false">IF($S1821="","",INDEX(BookRate,1816)*(1+'5. Scenarios'!$E$10)*$S1821)</f>
        <v/>
      </c>
      <c r="U1821" s="57" t="str">
        <f aca="false">IF($T1821="","",SUMIFS($T$6:$T$2405,$A$6:$A$2405,"&lt;="&amp;$A1821))</f>
        <v/>
      </c>
      <c r="V1821" s="57" t="str">
        <f aca="false">IF($T1821="","",IF($U1821&lt;=BankCostEnvelope*'5. Scenarios'!$E$7,1,0))</f>
        <v/>
      </c>
      <c r="W1821" s="57" t="str">
        <f aca="false">IF($S1821="","",INDEX(BookRate,1816)*(1+'5. Scenarios'!$E$10)*(INDEX(BookQ1,1816)*(5-MIN(4,1+'5. Scenarios'!$E$8))/4+INDEX(BookQ2,1816)*(5-MIN(4,2+'5. Scenarios'!$E$8))/4+INDEX(BookQ3,1816)*(5-MIN(4,3+'5. Scenarios'!$E$8))/4+INDEX(BookQ4,1816)*(5-MIN(4,4+'5. Scenarios'!$E$8))/4)*'5. Scenarios'!$E$6/(1+ProductivityDefault*('5. Scenarios'!$E$11-1))+INDEX(BookOneOff,1816)*$S1821)</f>
        <v/>
      </c>
    </row>
    <row r="1822" customFormat="false" ht="15" hidden="false" customHeight="false" outlineLevel="0" collapsed="false">
      <c r="A1822" s="0" t="str">
        <f aca="false">IF(INDEX(BookTitle,1817)="","",INDEX(BookKey,1817))</f>
        <v/>
      </c>
      <c r="B1822" s="0" t="str">
        <f aca="false">IF(INDEX(BookTitle,1817)="","",INDEX(BookGroup,1817))</f>
        <v/>
      </c>
      <c r="C1822" s="0" t="str">
        <f aca="false">IF(INDEX(BookTitle,1817)="","",INDEX(BookCategory,1817))</f>
        <v/>
      </c>
      <c r="D1822" s="56" t="str">
        <f aca="false">IF(INDEX(BookTitle,1817)="","",INDEX(BookTotal,1817)*'5. Scenarios'!$B$6/(1+ProductivityDefault*('5. Scenarios'!$B$11-1)))</f>
        <v/>
      </c>
      <c r="E1822" s="57" t="str">
        <f aca="false">IF($D1822="","",INDEX(BookRate,1817)*(1+'5. Scenarios'!$B$10)*$D1822)</f>
        <v/>
      </c>
      <c r="F1822" s="57" t="str">
        <f aca="false">IF($E1822="","",SUMIFS($E$6:$E$2405,$A$6:$A$2405,"&lt;="&amp;$A1822))</f>
        <v/>
      </c>
      <c r="G1822" s="57" t="str">
        <f aca="false">IF($E1822="","",IF($F1822&lt;=BankCostEnvelope*'5. Scenarios'!$B$7,1,0))</f>
        <v/>
      </c>
      <c r="H1822" s="57" t="str">
        <f aca="false">IF($D1822="","",INDEX(BookRate,1817)*(1+'5. Scenarios'!$B$10)*(INDEX(BookQ1,1817)*(5-MIN(4,1+'5. Scenarios'!$B$8))/4+INDEX(BookQ2,1817)*(5-MIN(4,2+'5. Scenarios'!$B$8))/4+INDEX(BookQ3,1817)*(5-MIN(4,3+'5. Scenarios'!$B$8))/4+INDEX(BookQ4,1817)*(5-MIN(4,4+'5. Scenarios'!$B$8))/4)*'5. Scenarios'!$B$6/(1+ProductivityDefault*('5. Scenarios'!$B$11-1))+INDEX(BookOneOff,1817)*$D1822)</f>
        <v/>
      </c>
      <c r="I1822" s="56" t="str">
        <f aca="false">IF(INDEX(BookTitle,1817)="","",INDEX(BookTotal,1817)*'5. Scenarios'!$C$6/(1+ProductivityDefault*('5. Scenarios'!$C$11-1)))</f>
        <v/>
      </c>
      <c r="J1822" s="57" t="str">
        <f aca="false">IF($I1822="","",INDEX(BookRate,1817)*(1+'5. Scenarios'!$C$10)*$I1822)</f>
        <v/>
      </c>
      <c r="K1822" s="57" t="str">
        <f aca="false">IF($J1822="","",SUMIFS($J$6:$J$2405,$A$6:$A$2405,"&lt;="&amp;$A1822))</f>
        <v/>
      </c>
      <c r="L1822" s="57" t="str">
        <f aca="false">IF($J1822="","",IF($K1822&lt;=BankCostEnvelope*'5. Scenarios'!$C$7,1,0))</f>
        <v/>
      </c>
      <c r="M1822" s="57" t="str">
        <f aca="false">IF($I1822="","",INDEX(BookRate,1817)*(1+'5. Scenarios'!$C$10)*(INDEX(BookQ1,1817)*(5-MIN(4,1+'5. Scenarios'!$C$8))/4+INDEX(BookQ2,1817)*(5-MIN(4,2+'5. Scenarios'!$C$8))/4+INDEX(BookQ3,1817)*(5-MIN(4,3+'5. Scenarios'!$C$8))/4+INDEX(BookQ4,1817)*(5-MIN(4,4+'5. Scenarios'!$C$8))/4)*'5. Scenarios'!$C$6/(1+ProductivityDefault*('5. Scenarios'!$C$11-1))+INDEX(BookOneOff,1817)*$I1822)</f>
        <v/>
      </c>
      <c r="N1822" s="56" t="str">
        <f aca="false">IF(INDEX(BookTitle,1817)="","",INDEX(BookTotal,1817)*'5. Scenarios'!$D$6/(1+ProductivityDefault*('5. Scenarios'!$D$11-1)))</f>
        <v/>
      </c>
      <c r="O1822" s="57" t="str">
        <f aca="false">IF($N1822="","",INDEX(BookRate,1817)*(1+'5. Scenarios'!$D$10)*$N1822)</f>
        <v/>
      </c>
      <c r="P1822" s="57" t="str">
        <f aca="false">IF($O1822="","",SUMIFS($O$6:$O$2405,$A$6:$A$2405,"&lt;="&amp;$A1822))</f>
        <v/>
      </c>
      <c r="Q1822" s="57" t="str">
        <f aca="false">IF($O1822="","",IF($P1822&lt;=BankCostEnvelope*'5. Scenarios'!$D$7,1,0))</f>
        <v/>
      </c>
      <c r="R1822" s="57" t="str">
        <f aca="false">IF($N1822="","",INDEX(BookRate,1817)*(1+'5. Scenarios'!$D$10)*(INDEX(BookQ1,1817)*(5-MIN(4,1+'5. Scenarios'!$D$8))/4+INDEX(BookQ2,1817)*(5-MIN(4,2+'5. Scenarios'!$D$8))/4+INDEX(BookQ3,1817)*(5-MIN(4,3+'5. Scenarios'!$D$8))/4+INDEX(BookQ4,1817)*(5-MIN(4,4+'5. Scenarios'!$D$8))/4)*'5. Scenarios'!$D$6/(1+ProductivityDefault*('5. Scenarios'!$D$11-1))+INDEX(BookOneOff,1817)*$N1822)</f>
        <v/>
      </c>
      <c r="S1822" s="56" t="str">
        <f aca="false">IF(INDEX(BookTitle,1817)="","",INDEX(BookTotal,1817)*'5. Scenarios'!$E$6/(1+ProductivityDefault*('5. Scenarios'!$E$11-1)))</f>
        <v/>
      </c>
      <c r="T1822" s="57" t="str">
        <f aca="false">IF($S1822="","",INDEX(BookRate,1817)*(1+'5. Scenarios'!$E$10)*$S1822)</f>
        <v/>
      </c>
      <c r="U1822" s="57" t="str">
        <f aca="false">IF($T1822="","",SUMIFS($T$6:$T$2405,$A$6:$A$2405,"&lt;="&amp;$A1822))</f>
        <v/>
      </c>
      <c r="V1822" s="57" t="str">
        <f aca="false">IF($T1822="","",IF($U1822&lt;=BankCostEnvelope*'5. Scenarios'!$E$7,1,0))</f>
        <v/>
      </c>
      <c r="W1822" s="57" t="str">
        <f aca="false">IF($S1822="","",INDEX(BookRate,1817)*(1+'5. Scenarios'!$E$10)*(INDEX(BookQ1,1817)*(5-MIN(4,1+'5. Scenarios'!$E$8))/4+INDEX(BookQ2,1817)*(5-MIN(4,2+'5. Scenarios'!$E$8))/4+INDEX(BookQ3,1817)*(5-MIN(4,3+'5. Scenarios'!$E$8))/4+INDEX(BookQ4,1817)*(5-MIN(4,4+'5. Scenarios'!$E$8))/4)*'5. Scenarios'!$E$6/(1+ProductivityDefault*('5. Scenarios'!$E$11-1))+INDEX(BookOneOff,1817)*$S1822)</f>
        <v/>
      </c>
    </row>
    <row r="1823" customFormat="false" ht="15" hidden="false" customHeight="false" outlineLevel="0" collapsed="false">
      <c r="A1823" s="0" t="str">
        <f aca="false">IF(INDEX(BookTitle,1818)="","",INDEX(BookKey,1818))</f>
        <v/>
      </c>
      <c r="B1823" s="0" t="str">
        <f aca="false">IF(INDEX(BookTitle,1818)="","",INDEX(BookGroup,1818))</f>
        <v/>
      </c>
      <c r="C1823" s="0" t="str">
        <f aca="false">IF(INDEX(BookTitle,1818)="","",INDEX(BookCategory,1818))</f>
        <v/>
      </c>
      <c r="D1823" s="56" t="str">
        <f aca="false">IF(INDEX(BookTitle,1818)="","",INDEX(BookTotal,1818)*'5. Scenarios'!$B$6/(1+ProductivityDefault*('5. Scenarios'!$B$11-1)))</f>
        <v/>
      </c>
      <c r="E1823" s="57" t="str">
        <f aca="false">IF($D1823="","",INDEX(BookRate,1818)*(1+'5. Scenarios'!$B$10)*$D1823)</f>
        <v/>
      </c>
      <c r="F1823" s="57" t="str">
        <f aca="false">IF($E1823="","",SUMIFS($E$6:$E$2405,$A$6:$A$2405,"&lt;="&amp;$A1823))</f>
        <v/>
      </c>
      <c r="G1823" s="57" t="str">
        <f aca="false">IF($E1823="","",IF($F1823&lt;=BankCostEnvelope*'5. Scenarios'!$B$7,1,0))</f>
        <v/>
      </c>
      <c r="H1823" s="57" t="str">
        <f aca="false">IF($D1823="","",INDEX(BookRate,1818)*(1+'5. Scenarios'!$B$10)*(INDEX(BookQ1,1818)*(5-MIN(4,1+'5. Scenarios'!$B$8))/4+INDEX(BookQ2,1818)*(5-MIN(4,2+'5. Scenarios'!$B$8))/4+INDEX(BookQ3,1818)*(5-MIN(4,3+'5. Scenarios'!$B$8))/4+INDEX(BookQ4,1818)*(5-MIN(4,4+'5. Scenarios'!$B$8))/4)*'5. Scenarios'!$B$6/(1+ProductivityDefault*('5. Scenarios'!$B$11-1))+INDEX(BookOneOff,1818)*$D1823)</f>
        <v/>
      </c>
      <c r="I1823" s="56" t="str">
        <f aca="false">IF(INDEX(BookTitle,1818)="","",INDEX(BookTotal,1818)*'5. Scenarios'!$C$6/(1+ProductivityDefault*('5. Scenarios'!$C$11-1)))</f>
        <v/>
      </c>
      <c r="J1823" s="57" t="str">
        <f aca="false">IF($I1823="","",INDEX(BookRate,1818)*(1+'5. Scenarios'!$C$10)*$I1823)</f>
        <v/>
      </c>
      <c r="K1823" s="57" t="str">
        <f aca="false">IF($J1823="","",SUMIFS($J$6:$J$2405,$A$6:$A$2405,"&lt;="&amp;$A1823))</f>
        <v/>
      </c>
      <c r="L1823" s="57" t="str">
        <f aca="false">IF($J1823="","",IF($K1823&lt;=BankCostEnvelope*'5. Scenarios'!$C$7,1,0))</f>
        <v/>
      </c>
      <c r="M1823" s="57" t="str">
        <f aca="false">IF($I1823="","",INDEX(BookRate,1818)*(1+'5. Scenarios'!$C$10)*(INDEX(BookQ1,1818)*(5-MIN(4,1+'5. Scenarios'!$C$8))/4+INDEX(BookQ2,1818)*(5-MIN(4,2+'5. Scenarios'!$C$8))/4+INDEX(BookQ3,1818)*(5-MIN(4,3+'5. Scenarios'!$C$8))/4+INDEX(BookQ4,1818)*(5-MIN(4,4+'5. Scenarios'!$C$8))/4)*'5. Scenarios'!$C$6/(1+ProductivityDefault*('5. Scenarios'!$C$11-1))+INDEX(BookOneOff,1818)*$I1823)</f>
        <v/>
      </c>
      <c r="N1823" s="56" t="str">
        <f aca="false">IF(INDEX(BookTitle,1818)="","",INDEX(BookTotal,1818)*'5. Scenarios'!$D$6/(1+ProductivityDefault*('5. Scenarios'!$D$11-1)))</f>
        <v/>
      </c>
      <c r="O1823" s="57" t="str">
        <f aca="false">IF($N1823="","",INDEX(BookRate,1818)*(1+'5. Scenarios'!$D$10)*$N1823)</f>
        <v/>
      </c>
      <c r="P1823" s="57" t="str">
        <f aca="false">IF($O1823="","",SUMIFS($O$6:$O$2405,$A$6:$A$2405,"&lt;="&amp;$A1823))</f>
        <v/>
      </c>
      <c r="Q1823" s="57" t="str">
        <f aca="false">IF($O1823="","",IF($P1823&lt;=BankCostEnvelope*'5. Scenarios'!$D$7,1,0))</f>
        <v/>
      </c>
      <c r="R1823" s="57" t="str">
        <f aca="false">IF($N1823="","",INDEX(BookRate,1818)*(1+'5. Scenarios'!$D$10)*(INDEX(BookQ1,1818)*(5-MIN(4,1+'5. Scenarios'!$D$8))/4+INDEX(BookQ2,1818)*(5-MIN(4,2+'5. Scenarios'!$D$8))/4+INDEX(BookQ3,1818)*(5-MIN(4,3+'5. Scenarios'!$D$8))/4+INDEX(BookQ4,1818)*(5-MIN(4,4+'5. Scenarios'!$D$8))/4)*'5. Scenarios'!$D$6/(1+ProductivityDefault*('5. Scenarios'!$D$11-1))+INDEX(BookOneOff,1818)*$N1823)</f>
        <v/>
      </c>
      <c r="S1823" s="56" t="str">
        <f aca="false">IF(INDEX(BookTitle,1818)="","",INDEX(BookTotal,1818)*'5. Scenarios'!$E$6/(1+ProductivityDefault*('5. Scenarios'!$E$11-1)))</f>
        <v/>
      </c>
      <c r="T1823" s="57" t="str">
        <f aca="false">IF($S1823="","",INDEX(BookRate,1818)*(1+'5. Scenarios'!$E$10)*$S1823)</f>
        <v/>
      </c>
      <c r="U1823" s="57" t="str">
        <f aca="false">IF($T1823="","",SUMIFS($T$6:$T$2405,$A$6:$A$2405,"&lt;="&amp;$A1823))</f>
        <v/>
      </c>
      <c r="V1823" s="57" t="str">
        <f aca="false">IF($T1823="","",IF($U1823&lt;=BankCostEnvelope*'5. Scenarios'!$E$7,1,0))</f>
        <v/>
      </c>
      <c r="W1823" s="57" t="str">
        <f aca="false">IF($S1823="","",INDEX(BookRate,1818)*(1+'5. Scenarios'!$E$10)*(INDEX(BookQ1,1818)*(5-MIN(4,1+'5. Scenarios'!$E$8))/4+INDEX(BookQ2,1818)*(5-MIN(4,2+'5. Scenarios'!$E$8))/4+INDEX(BookQ3,1818)*(5-MIN(4,3+'5. Scenarios'!$E$8))/4+INDEX(BookQ4,1818)*(5-MIN(4,4+'5. Scenarios'!$E$8))/4)*'5. Scenarios'!$E$6/(1+ProductivityDefault*('5. Scenarios'!$E$11-1))+INDEX(BookOneOff,1818)*$S1823)</f>
        <v/>
      </c>
    </row>
    <row r="1824" customFormat="false" ht="15" hidden="false" customHeight="false" outlineLevel="0" collapsed="false">
      <c r="A1824" s="0" t="str">
        <f aca="false">IF(INDEX(BookTitle,1819)="","",INDEX(BookKey,1819))</f>
        <v/>
      </c>
      <c r="B1824" s="0" t="str">
        <f aca="false">IF(INDEX(BookTitle,1819)="","",INDEX(BookGroup,1819))</f>
        <v/>
      </c>
      <c r="C1824" s="0" t="str">
        <f aca="false">IF(INDEX(BookTitle,1819)="","",INDEX(BookCategory,1819))</f>
        <v/>
      </c>
      <c r="D1824" s="56" t="str">
        <f aca="false">IF(INDEX(BookTitle,1819)="","",INDEX(BookTotal,1819)*'5. Scenarios'!$B$6/(1+ProductivityDefault*('5. Scenarios'!$B$11-1)))</f>
        <v/>
      </c>
      <c r="E1824" s="57" t="str">
        <f aca="false">IF($D1824="","",INDEX(BookRate,1819)*(1+'5. Scenarios'!$B$10)*$D1824)</f>
        <v/>
      </c>
      <c r="F1824" s="57" t="str">
        <f aca="false">IF($E1824="","",SUMIFS($E$6:$E$2405,$A$6:$A$2405,"&lt;="&amp;$A1824))</f>
        <v/>
      </c>
      <c r="G1824" s="57" t="str">
        <f aca="false">IF($E1824="","",IF($F1824&lt;=BankCostEnvelope*'5. Scenarios'!$B$7,1,0))</f>
        <v/>
      </c>
      <c r="H1824" s="57" t="str">
        <f aca="false">IF($D1824="","",INDEX(BookRate,1819)*(1+'5. Scenarios'!$B$10)*(INDEX(BookQ1,1819)*(5-MIN(4,1+'5. Scenarios'!$B$8))/4+INDEX(BookQ2,1819)*(5-MIN(4,2+'5. Scenarios'!$B$8))/4+INDEX(BookQ3,1819)*(5-MIN(4,3+'5. Scenarios'!$B$8))/4+INDEX(BookQ4,1819)*(5-MIN(4,4+'5. Scenarios'!$B$8))/4)*'5. Scenarios'!$B$6/(1+ProductivityDefault*('5. Scenarios'!$B$11-1))+INDEX(BookOneOff,1819)*$D1824)</f>
        <v/>
      </c>
      <c r="I1824" s="56" t="str">
        <f aca="false">IF(INDEX(BookTitle,1819)="","",INDEX(BookTotal,1819)*'5. Scenarios'!$C$6/(1+ProductivityDefault*('5. Scenarios'!$C$11-1)))</f>
        <v/>
      </c>
      <c r="J1824" s="57" t="str">
        <f aca="false">IF($I1824="","",INDEX(BookRate,1819)*(1+'5. Scenarios'!$C$10)*$I1824)</f>
        <v/>
      </c>
      <c r="K1824" s="57" t="str">
        <f aca="false">IF($J1824="","",SUMIFS($J$6:$J$2405,$A$6:$A$2405,"&lt;="&amp;$A1824))</f>
        <v/>
      </c>
      <c r="L1824" s="57" t="str">
        <f aca="false">IF($J1824="","",IF($K1824&lt;=BankCostEnvelope*'5. Scenarios'!$C$7,1,0))</f>
        <v/>
      </c>
      <c r="M1824" s="57" t="str">
        <f aca="false">IF($I1824="","",INDEX(BookRate,1819)*(1+'5. Scenarios'!$C$10)*(INDEX(BookQ1,1819)*(5-MIN(4,1+'5. Scenarios'!$C$8))/4+INDEX(BookQ2,1819)*(5-MIN(4,2+'5. Scenarios'!$C$8))/4+INDEX(BookQ3,1819)*(5-MIN(4,3+'5. Scenarios'!$C$8))/4+INDEX(BookQ4,1819)*(5-MIN(4,4+'5. Scenarios'!$C$8))/4)*'5. Scenarios'!$C$6/(1+ProductivityDefault*('5. Scenarios'!$C$11-1))+INDEX(BookOneOff,1819)*$I1824)</f>
        <v/>
      </c>
      <c r="N1824" s="56" t="str">
        <f aca="false">IF(INDEX(BookTitle,1819)="","",INDEX(BookTotal,1819)*'5. Scenarios'!$D$6/(1+ProductivityDefault*('5. Scenarios'!$D$11-1)))</f>
        <v/>
      </c>
      <c r="O1824" s="57" t="str">
        <f aca="false">IF($N1824="","",INDEX(BookRate,1819)*(1+'5. Scenarios'!$D$10)*$N1824)</f>
        <v/>
      </c>
      <c r="P1824" s="57" t="str">
        <f aca="false">IF($O1824="","",SUMIFS($O$6:$O$2405,$A$6:$A$2405,"&lt;="&amp;$A1824))</f>
        <v/>
      </c>
      <c r="Q1824" s="57" t="str">
        <f aca="false">IF($O1824="","",IF($P1824&lt;=BankCostEnvelope*'5. Scenarios'!$D$7,1,0))</f>
        <v/>
      </c>
      <c r="R1824" s="57" t="str">
        <f aca="false">IF($N1824="","",INDEX(BookRate,1819)*(1+'5. Scenarios'!$D$10)*(INDEX(BookQ1,1819)*(5-MIN(4,1+'5. Scenarios'!$D$8))/4+INDEX(BookQ2,1819)*(5-MIN(4,2+'5. Scenarios'!$D$8))/4+INDEX(BookQ3,1819)*(5-MIN(4,3+'5. Scenarios'!$D$8))/4+INDEX(BookQ4,1819)*(5-MIN(4,4+'5. Scenarios'!$D$8))/4)*'5. Scenarios'!$D$6/(1+ProductivityDefault*('5. Scenarios'!$D$11-1))+INDEX(BookOneOff,1819)*$N1824)</f>
        <v/>
      </c>
      <c r="S1824" s="56" t="str">
        <f aca="false">IF(INDEX(BookTitle,1819)="","",INDEX(BookTotal,1819)*'5. Scenarios'!$E$6/(1+ProductivityDefault*('5. Scenarios'!$E$11-1)))</f>
        <v/>
      </c>
      <c r="T1824" s="57" t="str">
        <f aca="false">IF($S1824="","",INDEX(BookRate,1819)*(1+'5. Scenarios'!$E$10)*$S1824)</f>
        <v/>
      </c>
      <c r="U1824" s="57" t="str">
        <f aca="false">IF($T1824="","",SUMIFS($T$6:$T$2405,$A$6:$A$2405,"&lt;="&amp;$A1824))</f>
        <v/>
      </c>
      <c r="V1824" s="57" t="str">
        <f aca="false">IF($T1824="","",IF($U1824&lt;=BankCostEnvelope*'5. Scenarios'!$E$7,1,0))</f>
        <v/>
      </c>
      <c r="W1824" s="57" t="str">
        <f aca="false">IF($S1824="","",INDEX(BookRate,1819)*(1+'5. Scenarios'!$E$10)*(INDEX(BookQ1,1819)*(5-MIN(4,1+'5. Scenarios'!$E$8))/4+INDEX(BookQ2,1819)*(5-MIN(4,2+'5. Scenarios'!$E$8))/4+INDEX(BookQ3,1819)*(5-MIN(4,3+'5. Scenarios'!$E$8))/4+INDEX(BookQ4,1819)*(5-MIN(4,4+'5. Scenarios'!$E$8))/4)*'5. Scenarios'!$E$6/(1+ProductivityDefault*('5. Scenarios'!$E$11-1))+INDEX(BookOneOff,1819)*$S1824)</f>
        <v/>
      </c>
    </row>
    <row r="1825" customFormat="false" ht="15" hidden="false" customHeight="false" outlineLevel="0" collapsed="false">
      <c r="A1825" s="0" t="str">
        <f aca="false">IF(INDEX(BookTitle,1820)="","",INDEX(BookKey,1820))</f>
        <v/>
      </c>
      <c r="B1825" s="0" t="str">
        <f aca="false">IF(INDEX(BookTitle,1820)="","",INDEX(BookGroup,1820))</f>
        <v/>
      </c>
      <c r="C1825" s="0" t="str">
        <f aca="false">IF(INDEX(BookTitle,1820)="","",INDEX(BookCategory,1820))</f>
        <v/>
      </c>
      <c r="D1825" s="56" t="str">
        <f aca="false">IF(INDEX(BookTitle,1820)="","",INDEX(BookTotal,1820)*'5. Scenarios'!$B$6/(1+ProductivityDefault*('5. Scenarios'!$B$11-1)))</f>
        <v/>
      </c>
      <c r="E1825" s="57" t="str">
        <f aca="false">IF($D1825="","",INDEX(BookRate,1820)*(1+'5. Scenarios'!$B$10)*$D1825)</f>
        <v/>
      </c>
      <c r="F1825" s="57" t="str">
        <f aca="false">IF($E1825="","",SUMIFS($E$6:$E$2405,$A$6:$A$2405,"&lt;="&amp;$A1825))</f>
        <v/>
      </c>
      <c r="G1825" s="57" t="str">
        <f aca="false">IF($E1825="","",IF($F1825&lt;=BankCostEnvelope*'5. Scenarios'!$B$7,1,0))</f>
        <v/>
      </c>
      <c r="H1825" s="57" t="str">
        <f aca="false">IF($D1825="","",INDEX(BookRate,1820)*(1+'5. Scenarios'!$B$10)*(INDEX(BookQ1,1820)*(5-MIN(4,1+'5. Scenarios'!$B$8))/4+INDEX(BookQ2,1820)*(5-MIN(4,2+'5. Scenarios'!$B$8))/4+INDEX(BookQ3,1820)*(5-MIN(4,3+'5. Scenarios'!$B$8))/4+INDEX(BookQ4,1820)*(5-MIN(4,4+'5. Scenarios'!$B$8))/4)*'5. Scenarios'!$B$6/(1+ProductivityDefault*('5. Scenarios'!$B$11-1))+INDEX(BookOneOff,1820)*$D1825)</f>
        <v/>
      </c>
      <c r="I1825" s="56" t="str">
        <f aca="false">IF(INDEX(BookTitle,1820)="","",INDEX(BookTotal,1820)*'5. Scenarios'!$C$6/(1+ProductivityDefault*('5. Scenarios'!$C$11-1)))</f>
        <v/>
      </c>
      <c r="J1825" s="57" t="str">
        <f aca="false">IF($I1825="","",INDEX(BookRate,1820)*(1+'5. Scenarios'!$C$10)*$I1825)</f>
        <v/>
      </c>
      <c r="K1825" s="57" t="str">
        <f aca="false">IF($J1825="","",SUMIFS($J$6:$J$2405,$A$6:$A$2405,"&lt;="&amp;$A1825))</f>
        <v/>
      </c>
      <c r="L1825" s="57" t="str">
        <f aca="false">IF($J1825="","",IF($K1825&lt;=BankCostEnvelope*'5. Scenarios'!$C$7,1,0))</f>
        <v/>
      </c>
      <c r="M1825" s="57" t="str">
        <f aca="false">IF($I1825="","",INDEX(BookRate,1820)*(1+'5. Scenarios'!$C$10)*(INDEX(BookQ1,1820)*(5-MIN(4,1+'5. Scenarios'!$C$8))/4+INDEX(BookQ2,1820)*(5-MIN(4,2+'5. Scenarios'!$C$8))/4+INDEX(BookQ3,1820)*(5-MIN(4,3+'5. Scenarios'!$C$8))/4+INDEX(BookQ4,1820)*(5-MIN(4,4+'5. Scenarios'!$C$8))/4)*'5. Scenarios'!$C$6/(1+ProductivityDefault*('5. Scenarios'!$C$11-1))+INDEX(BookOneOff,1820)*$I1825)</f>
        <v/>
      </c>
      <c r="N1825" s="56" t="str">
        <f aca="false">IF(INDEX(BookTitle,1820)="","",INDEX(BookTotal,1820)*'5. Scenarios'!$D$6/(1+ProductivityDefault*('5. Scenarios'!$D$11-1)))</f>
        <v/>
      </c>
      <c r="O1825" s="57" t="str">
        <f aca="false">IF($N1825="","",INDEX(BookRate,1820)*(1+'5. Scenarios'!$D$10)*$N1825)</f>
        <v/>
      </c>
      <c r="P1825" s="57" t="str">
        <f aca="false">IF($O1825="","",SUMIFS($O$6:$O$2405,$A$6:$A$2405,"&lt;="&amp;$A1825))</f>
        <v/>
      </c>
      <c r="Q1825" s="57" t="str">
        <f aca="false">IF($O1825="","",IF($P1825&lt;=BankCostEnvelope*'5. Scenarios'!$D$7,1,0))</f>
        <v/>
      </c>
      <c r="R1825" s="57" t="str">
        <f aca="false">IF($N1825="","",INDEX(BookRate,1820)*(1+'5. Scenarios'!$D$10)*(INDEX(BookQ1,1820)*(5-MIN(4,1+'5. Scenarios'!$D$8))/4+INDEX(BookQ2,1820)*(5-MIN(4,2+'5. Scenarios'!$D$8))/4+INDEX(BookQ3,1820)*(5-MIN(4,3+'5. Scenarios'!$D$8))/4+INDEX(BookQ4,1820)*(5-MIN(4,4+'5. Scenarios'!$D$8))/4)*'5. Scenarios'!$D$6/(1+ProductivityDefault*('5. Scenarios'!$D$11-1))+INDEX(BookOneOff,1820)*$N1825)</f>
        <v/>
      </c>
      <c r="S1825" s="56" t="str">
        <f aca="false">IF(INDEX(BookTitle,1820)="","",INDEX(BookTotal,1820)*'5. Scenarios'!$E$6/(1+ProductivityDefault*('5. Scenarios'!$E$11-1)))</f>
        <v/>
      </c>
      <c r="T1825" s="57" t="str">
        <f aca="false">IF($S1825="","",INDEX(BookRate,1820)*(1+'5. Scenarios'!$E$10)*$S1825)</f>
        <v/>
      </c>
      <c r="U1825" s="57" t="str">
        <f aca="false">IF($T1825="","",SUMIFS($T$6:$T$2405,$A$6:$A$2405,"&lt;="&amp;$A1825))</f>
        <v/>
      </c>
      <c r="V1825" s="57" t="str">
        <f aca="false">IF($T1825="","",IF($U1825&lt;=BankCostEnvelope*'5. Scenarios'!$E$7,1,0))</f>
        <v/>
      </c>
      <c r="W1825" s="57" t="str">
        <f aca="false">IF($S1825="","",INDEX(BookRate,1820)*(1+'5. Scenarios'!$E$10)*(INDEX(BookQ1,1820)*(5-MIN(4,1+'5. Scenarios'!$E$8))/4+INDEX(BookQ2,1820)*(5-MIN(4,2+'5. Scenarios'!$E$8))/4+INDEX(BookQ3,1820)*(5-MIN(4,3+'5. Scenarios'!$E$8))/4+INDEX(BookQ4,1820)*(5-MIN(4,4+'5. Scenarios'!$E$8))/4)*'5. Scenarios'!$E$6/(1+ProductivityDefault*('5. Scenarios'!$E$11-1))+INDEX(BookOneOff,1820)*$S1825)</f>
        <v/>
      </c>
    </row>
    <row r="1826" customFormat="false" ht="15" hidden="false" customHeight="false" outlineLevel="0" collapsed="false">
      <c r="A1826" s="0" t="str">
        <f aca="false">IF(INDEX(BookTitle,1821)="","",INDEX(BookKey,1821))</f>
        <v/>
      </c>
      <c r="B1826" s="0" t="str">
        <f aca="false">IF(INDEX(BookTitle,1821)="","",INDEX(BookGroup,1821))</f>
        <v/>
      </c>
      <c r="C1826" s="0" t="str">
        <f aca="false">IF(INDEX(BookTitle,1821)="","",INDEX(BookCategory,1821))</f>
        <v/>
      </c>
      <c r="D1826" s="56" t="str">
        <f aca="false">IF(INDEX(BookTitle,1821)="","",INDEX(BookTotal,1821)*'5. Scenarios'!$B$6/(1+ProductivityDefault*('5. Scenarios'!$B$11-1)))</f>
        <v/>
      </c>
      <c r="E1826" s="57" t="str">
        <f aca="false">IF($D1826="","",INDEX(BookRate,1821)*(1+'5. Scenarios'!$B$10)*$D1826)</f>
        <v/>
      </c>
      <c r="F1826" s="57" t="str">
        <f aca="false">IF($E1826="","",SUMIFS($E$6:$E$2405,$A$6:$A$2405,"&lt;="&amp;$A1826))</f>
        <v/>
      </c>
      <c r="G1826" s="57" t="str">
        <f aca="false">IF($E1826="","",IF($F1826&lt;=BankCostEnvelope*'5. Scenarios'!$B$7,1,0))</f>
        <v/>
      </c>
      <c r="H1826" s="57" t="str">
        <f aca="false">IF($D1826="","",INDEX(BookRate,1821)*(1+'5. Scenarios'!$B$10)*(INDEX(BookQ1,1821)*(5-MIN(4,1+'5. Scenarios'!$B$8))/4+INDEX(BookQ2,1821)*(5-MIN(4,2+'5. Scenarios'!$B$8))/4+INDEX(BookQ3,1821)*(5-MIN(4,3+'5. Scenarios'!$B$8))/4+INDEX(BookQ4,1821)*(5-MIN(4,4+'5. Scenarios'!$B$8))/4)*'5. Scenarios'!$B$6/(1+ProductivityDefault*('5. Scenarios'!$B$11-1))+INDEX(BookOneOff,1821)*$D1826)</f>
        <v/>
      </c>
      <c r="I1826" s="56" t="str">
        <f aca="false">IF(INDEX(BookTitle,1821)="","",INDEX(BookTotal,1821)*'5. Scenarios'!$C$6/(1+ProductivityDefault*('5. Scenarios'!$C$11-1)))</f>
        <v/>
      </c>
      <c r="J1826" s="57" t="str">
        <f aca="false">IF($I1826="","",INDEX(BookRate,1821)*(1+'5. Scenarios'!$C$10)*$I1826)</f>
        <v/>
      </c>
      <c r="K1826" s="57" t="str">
        <f aca="false">IF($J1826="","",SUMIFS($J$6:$J$2405,$A$6:$A$2405,"&lt;="&amp;$A1826))</f>
        <v/>
      </c>
      <c r="L1826" s="57" t="str">
        <f aca="false">IF($J1826="","",IF($K1826&lt;=BankCostEnvelope*'5. Scenarios'!$C$7,1,0))</f>
        <v/>
      </c>
      <c r="M1826" s="57" t="str">
        <f aca="false">IF($I1826="","",INDEX(BookRate,1821)*(1+'5. Scenarios'!$C$10)*(INDEX(BookQ1,1821)*(5-MIN(4,1+'5. Scenarios'!$C$8))/4+INDEX(BookQ2,1821)*(5-MIN(4,2+'5. Scenarios'!$C$8))/4+INDEX(BookQ3,1821)*(5-MIN(4,3+'5. Scenarios'!$C$8))/4+INDEX(BookQ4,1821)*(5-MIN(4,4+'5. Scenarios'!$C$8))/4)*'5. Scenarios'!$C$6/(1+ProductivityDefault*('5. Scenarios'!$C$11-1))+INDEX(BookOneOff,1821)*$I1826)</f>
        <v/>
      </c>
      <c r="N1826" s="56" t="str">
        <f aca="false">IF(INDEX(BookTitle,1821)="","",INDEX(BookTotal,1821)*'5. Scenarios'!$D$6/(1+ProductivityDefault*('5. Scenarios'!$D$11-1)))</f>
        <v/>
      </c>
      <c r="O1826" s="57" t="str">
        <f aca="false">IF($N1826="","",INDEX(BookRate,1821)*(1+'5. Scenarios'!$D$10)*$N1826)</f>
        <v/>
      </c>
      <c r="P1826" s="57" t="str">
        <f aca="false">IF($O1826="","",SUMIFS($O$6:$O$2405,$A$6:$A$2405,"&lt;="&amp;$A1826))</f>
        <v/>
      </c>
      <c r="Q1826" s="57" t="str">
        <f aca="false">IF($O1826="","",IF($P1826&lt;=BankCostEnvelope*'5. Scenarios'!$D$7,1,0))</f>
        <v/>
      </c>
      <c r="R1826" s="57" t="str">
        <f aca="false">IF($N1826="","",INDEX(BookRate,1821)*(1+'5. Scenarios'!$D$10)*(INDEX(BookQ1,1821)*(5-MIN(4,1+'5. Scenarios'!$D$8))/4+INDEX(BookQ2,1821)*(5-MIN(4,2+'5. Scenarios'!$D$8))/4+INDEX(BookQ3,1821)*(5-MIN(4,3+'5. Scenarios'!$D$8))/4+INDEX(BookQ4,1821)*(5-MIN(4,4+'5. Scenarios'!$D$8))/4)*'5. Scenarios'!$D$6/(1+ProductivityDefault*('5. Scenarios'!$D$11-1))+INDEX(BookOneOff,1821)*$N1826)</f>
        <v/>
      </c>
      <c r="S1826" s="56" t="str">
        <f aca="false">IF(INDEX(BookTitle,1821)="","",INDEX(BookTotal,1821)*'5. Scenarios'!$E$6/(1+ProductivityDefault*('5. Scenarios'!$E$11-1)))</f>
        <v/>
      </c>
      <c r="T1826" s="57" t="str">
        <f aca="false">IF($S1826="","",INDEX(BookRate,1821)*(1+'5. Scenarios'!$E$10)*$S1826)</f>
        <v/>
      </c>
      <c r="U1826" s="57" t="str">
        <f aca="false">IF($T1826="","",SUMIFS($T$6:$T$2405,$A$6:$A$2405,"&lt;="&amp;$A1826))</f>
        <v/>
      </c>
      <c r="V1826" s="57" t="str">
        <f aca="false">IF($T1826="","",IF($U1826&lt;=BankCostEnvelope*'5. Scenarios'!$E$7,1,0))</f>
        <v/>
      </c>
      <c r="W1826" s="57" t="str">
        <f aca="false">IF($S1826="","",INDEX(BookRate,1821)*(1+'5. Scenarios'!$E$10)*(INDEX(BookQ1,1821)*(5-MIN(4,1+'5. Scenarios'!$E$8))/4+INDEX(BookQ2,1821)*(5-MIN(4,2+'5. Scenarios'!$E$8))/4+INDEX(BookQ3,1821)*(5-MIN(4,3+'5. Scenarios'!$E$8))/4+INDEX(BookQ4,1821)*(5-MIN(4,4+'5. Scenarios'!$E$8))/4)*'5. Scenarios'!$E$6/(1+ProductivityDefault*('5. Scenarios'!$E$11-1))+INDEX(BookOneOff,1821)*$S1826)</f>
        <v/>
      </c>
    </row>
    <row r="1827" customFormat="false" ht="15" hidden="false" customHeight="false" outlineLevel="0" collapsed="false">
      <c r="A1827" s="0" t="str">
        <f aca="false">IF(INDEX(BookTitle,1822)="","",INDEX(BookKey,1822))</f>
        <v/>
      </c>
      <c r="B1827" s="0" t="str">
        <f aca="false">IF(INDEX(BookTitle,1822)="","",INDEX(BookGroup,1822))</f>
        <v/>
      </c>
      <c r="C1827" s="0" t="str">
        <f aca="false">IF(INDEX(BookTitle,1822)="","",INDEX(BookCategory,1822))</f>
        <v/>
      </c>
      <c r="D1827" s="56" t="str">
        <f aca="false">IF(INDEX(BookTitle,1822)="","",INDEX(BookTotal,1822)*'5. Scenarios'!$B$6/(1+ProductivityDefault*('5. Scenarios'!$B$11-1)))</f>
        <v/>
      </c>
      <c r="E1827" s="57" t="str">
        <f aca="false">IF($D1827="","",INDEX(BookRate,1822)*(1+'5. Scenarios'!$B$10)*$D1827)</f>
        <v/>
      </c>
      <c r="F1827" s="57" t="str">
        <f aca="false">IF($E1827="","",SUMIFS($E$6:$E$2405,$A$6:$A$2405,"&lt;="&amp;$A1827))</f>
        <v/>
      </c>
      <c r="G1827" s="57" t="str">
        <f aca="false">IF($E1827="","",IF($F1827&lt;=BankCostEnvelope*'5. Scenarios'!$B$7,1,0))</f>
        <v/>
      </c>
      <c r="H1827" s="57" t="str">
        <f aca="false">IF($D1827="","",INDEX(BookRate,1822)*(1+'5. Scenarios'!$B$10)*(INDEX(BookQ1,1822)*(5-MIN(4,1+'5. Scenarios'!$B$8))/4+INDEX(BookQ2,1822)*(5-MIN(4,2+'5. Scenarios'!$B$8))/4+INDEX(BookQ3,1822)*(5-MIN(4,3+'5. Scenarios'!$B$8))/4+INDEX(BookQ4,1822)*(5-MIN(4,4+'5. Scenarios'!$B$8))/4)*'5. Scenarios'!$B$6/(1+ProductivityDefault*('5. Scenarios'!$B$11-1))+INDEX(BookOneOff,1822)*$D1827)</f>
        <v/>
      </c>
      <c r="I1827" s="56" t="str">
        <f aca="false">IF(INDEX(BookTitle,1822)="","",INDEX(BookTotal,1822)*'5. Scenarios'!$C$6/(1+ProductivityDefault*('5. Scenarios'!$C$11-1)))</f>
        <v/>
      </c>
      <c r="J1827" s="57" t="str">
        <f aca="false">IF($I1827="","",INDEX(BookRate,1822)*(1+'5. Scenarios'!$C$10)*$I1827)</f>
        <v/>
      </c>
      <c r="K1827" s="57" t="str">
        <f aca="false">IF($J1827="","",SUMIFS($J$6:$J$2405,$A$6:$A$2405,"&lt;="&amp;$A1827))</f>
        <v/>
      </c>
      <c r="L1827" s="57" t="str">
        <f aca="false">IF($J1827="","",IF($K1827&lt;=BankCostEnvelope*'5. Scenarios'!$C$7,1,0))</f>
        <v/>
      </c>
      <c r="M1827" s="57" t="str">
        <f aca="false">IF($I1827="","",INDEX(BookRate,1822)*(1+'5. Scenarios'!$C$10)*(INDEX(BookQ1,1822)*(5-MIN(4,1+'5. Scenarios'!$C$8))/4+INDEX(BookQ2,1822)*(5-MIN(4,2+'5. Scenarios'!$C$8))/4+INDEX(BookQ3,1822)*(5-MIN(4,3+'5. Scenarios'!$C$8))/4+INDEX(BookQ4,1822)*(5-MIN(4,4+'5. Scenarios'!$C$8))/4)*'5. Scenarios'!$C$6/(1+ProductivityDefault*('5. Scenarios'!$C$11-1))+INDEX(BookOneOff,1822)*$I1827)</f>
        <v/>
      </c>
      <c r="N1827" s="56" t="str">
        <f aca="false">IF(INDEX(BookTitle,1822)="","",INDEX(BookTotal,1822)*'5. Scenarios'!$D$6/(1+ProductivityDefault*('5. Scenarios'!$D$11-1)))</f>
        <v/>
      </c>
      <c r="O1827" s="57" t="str">
        <f aca="false">IF($N1827="","",INDEX(BookRate,1822)*(1+'5. Scenarios'!$D$10)*$N1827)</f>
        <v/>
      </c>
      <c r="P1827" s="57" t="str">
        <f aca="false">IF($O1827="","",SUMIFS($O$6:$O$2405,$A$6:$A$2405,"&lt;="&amp;$A1827))</f>
        <v/>
      </c>
      <c r="Q1827" s="57" t="str">
        <f aca="false">IF($O1827="","",IF($P1827&lt;=BankCostEnvelope*'5. Scenarios'!$D$7,1,0))</f>
        <v/>
      </c>
      <c r="R1827" s="57" t="str">
        <f aca="false">IF($N1827="","",INDEX(BookRate,1822)*(1+'5. Scenarios'!$D$10)*(INDEX(BookQ1,1822)*(5-MIN(4,1+'5. Scenarios'!$D$8))/4+INDEX(BookQ2,1822)*(5-MIN(4,2+'5. Scenarios'!$D$8))/4+INDEX(BookQ3,1822)*(5-MIN(4,3+'5. Scenarios'!$D$8))/4+INDEX(BookQ4,1822)*(5-MIN(4,4+'5. Scenarios'!$D$8))/4)*'5. Scenarios'!$D$6/(1+ProductivityDefault*('5. Scenarios'!$D$11-1))+INDEX(BookOneOff,1822)*$N1827)</f>
        <v/>
      </c>
      <c r="S1827" s="56" t="str">
        <f aca="false">IF(INDEX(BookTitle,1822)="","",INDEX(BookTotal,1822)*'5. Scenarios'!$E$6/(1+ProductivityDefault*('5. Scenarios'!$E$11-1)))</f>
        <v/>
      </c>
      <c r="T1827" s="57" t="str">
        <f aca="false">IF($S1827="","",INDEX(BookRate,1822)*(1+'5. Scenarios'!$E$10)*$S1827)</f>
        <v/>
      </c>
      <c r="U1827" s="57" t="str">
        <f aca="false">IF($T1827="","",SUMIFS($T$6:$T$2405,$A$6:$A$2405,"&lt;="&amp;$A1827))</f>
        <v/>
      </c>
      <c r="V1827" s="57" t="str">
        <f aca="false">IF($T1827="","",IF($U1827&lt;=BankCostEnvelope*'5. Scenarios'!$E$7,1,0))</f>
        <v/>
      </c>
      <c r="W1827" s="57" t="str">
        <f aca="false">IF($S1827="","",INDEX(BookRate,1822)*(1+'5. Scenarios'!$E$10)*(INDEX(BookQ1,1822)*(5-MIN(4,1+'5. Scenarios'!$E$8))/4+INDEX(BookQ2,1822)*(5-MIN(4,2+'5. Scenarios'!$E$8))/4+INDEX(BookQ3,1822)*(5-MIN(4,3+'5. Scenarios'!$E$8))/4+INDEX(BookQ4,1822)*(5-MIN(4,4+'5. Scenarios'!$E$8))/4)*'5. Scenarios'!$E$6/(1+ProductivityDefault*('5. Scenarios'!$E$11-1))+INDEX(BookOneOff,1822)*$S1827)</f>
        <v/>
      </c>
    </row>
    <row r="1828" customFormat="false" ht="15" hidden="false" customHeight="false" outlineLevel="0" collapsed="false">
      <c r="A1828" s="0" t="str">
        <f aca="false">IF(INDEX(BookTitle,1823)="","",INDEX(BookKey,1823))</f>
        <v/>
      </c>
      <c r="B1828" s="0" t="str">
        <f aca="false">IF(INDEX(BookTitle,1823)="","",INDEX(BookGroup,1823))</f>
        <v/>
      </c>
      <c r="C1828" s="0" t="str">
        <f aca="false">IF(INDEX(BookTitle,1823)="","",INDEX(BookCategory,1823))</f>
        <v/>
      </c>
      <c r="D1828" s="56" t="str">
        <f aca="false">IF(INDEX(BookTitle,1823)="","",INDEX(BookTotal,1823)*'5. Scenarios'!$B$6/(1+ProductivityDefault*('5. Scenarios'!$B$11-1)))</f>
        <v/>
      </c>
      <c r="E1828" s="57" t="str">
        <f aca="false">IF($D1828="","",INDEX(BookRate,1823)*(1+'5. Scenarios'!$B$10)*$D1828)</f>
        <v/>
      </c>
      <c r="F1828" s="57" t="str">
        <f aca="false">IF($E1828="","",SUMIFS($E$6:$E$2405,$A$6:$A$2405,"&lt;="&amp;$A1828))</f>
        <v/>
      </c>
      <c r="G1828" s="57" t="str">
        <f aca="false">IF($E1828="","",IF($F1828&lt;=BankCostEnvelope*'5. Scenarios'!$B$7,1,0))</f>
        <v/>
      </c>
      <c r="H1828" s="57" t="str">
        <f aca="false">IF($D1828="","",INDEX(BookRate,1823)*(1+'5. Scenarios'!$B$10)*(INDEX(BookQ1,1823)*(5-MIN(4,1+'5. Scenarios'!$B$8))/4+INDEX(BookQ2,1823)*(5-MIN(4,2+'5. Scenarios'!$B$8))/4+INDEX(BookQ3,1823)*(5-MIN(4,3+'5. Scenarios'!$B$8))/4+INDEX(BookQ4,1823)*(5-MIN(4,4+'5. Scenarios'!$B$8))/4)*'5. Scenarios'!$B$6/(1+ProductivityDefault*('5. Scenarios'!$B$11-1))+INDEX(BookOneOff,1823)*$D1828)</f>
        <v/>
      </c>
      <c r="I1828" s="56" t="str">
        <f aca="false">IF(INDEX(BookTitle,1823)="","",INDEX(BookTotal,1823)*'5. Scenarios'!$C$6/(1+ProductivityDefault*('5. Scenarios'!$C$11-1)))</f>
        <v/>
      </c>
      <c r="J1828" s="57" t="str">
        <f aca="false">IF($I1828="","",INDEX(BookRate,1823)*(1+'5. Scenarios'!$C$10)*$I1828)</f>
        <v/>
      </c>
      <c r="K1828" s="57" t="str">
        <f aca="false">IF($J1828="","",SUMIFS($J$6:$J$2405,$A$6:$A$2405,"&lt;="&amp;$A1828))</f>
        <v/>
      </c>
      <c r="L1828" s="57" t="str">
        <f aca="false">IF($J1828="","",IF($K1828&lt;=BankCostEnvelope*'5. Scenarios'!$C$7,1,0))</f>
        <v/>
      </c>
      <c r="M1828" s="57" t="str">
        <f aca="false">IF($I1828="","",INDEX(BookRate,1823)*(1+'5. Scenarios'!$C$10)*(INDEX(BookQ1,1823)*(5-MIN(4,1+'5. Scenarios'!$C$8))/4+INDEX(BookQ2,1823)*(5-MIN(4,2+'5. Scenarios'!$C$8))/4+INDEX(BookQ3,1823)*(5-MIN(4,3+'5. Scenarios'!$C$8))/4+INDEX(BookQ4,1823)*(5-MIN(4,4+'5. Scenarios'!$C$8))/4)*'5. Scenarios'!$C$6/(1+ProductivityDefault*('5. Scenarios'!$C$11-1))+INDEX(BookOneOff,1823)*$I1828)</f>
        <v/>
      </c>
      <c r="N1828" s="56" t="str">
        <f aca="false">IF(INDEX(BookTitle,1823)="","",INDEX(BookTotal,1823)*'5. Scenarios'!$D$6/(1+ProductivityDefault*('5. Scenarios'!$D$11-1)))</f>
        <v/>
      </c>
      <c r="O1828" s="57" t="str">
        <f aca="false">IF($N1828="","",INDEX(BookRate,1823)*(1+'5. Scenarios'!$D$10)*$N1828)</f>
        <v/>
      </c>
      <c r="P1828" s="57" t="str">
        <f aca="false">IF($O1828="","",SUMIFS($O$6:$O$2405,$A$6:$A$2405,"&lt;="&amp;$A1828))</f>
        <v/>
      </c>
      <c r="Q1828" s="57" t="str">
        <f aca="false">IF($O1828="","",IF($P1828&lt;=BankCostEnvelope*'5. Scenarios'!$D$7,1,0))</f>
        <v/>
      </c>
      <c r="R1828" s="57" t="str">
        <f aca="false">IF($N1828="","",INDEX(BookRate,1823)*(1+'5. Scenarios'!$D$10)*(INDEX(BookQ1,1823)*(5-MIN(4,1+'5. Scenarios'!$D$8))/4+INDEX(BookQ2,1823)*(5-MIN(4,2+'5. Scenarios'!$D$8))/4+INDEX(BookQ3,1823)*(5-MIN(4,3+'5. Scenarios'!$D$8))/4+INDEX(BookQ4,1823)*(5-MIN(4,4+'5. Scenarios'!$D$8))/4)*'5. Scenarios'!$D$6/(1+ProductivityDefault*('5. Scenarios'!$D$11-1))+INDEX(BookOneOff,1823)*$N1828)</f>
        <v/>
      </c>
      <c r="S1828" s="56" t="str">
        <f aca="false">IF(INDEX(BookTitle,1823)="","",INDEX(BookTotal,1823)*'5. Scenarios'!$E$6/(1+ProductivityDefault*('5. Scenarios'!$E$11-1)))</f>
        <v/>
      </c>
      <c r="T1828" s="57" t="str">
        <f aca="false">IF($S1828="","",INDEX(BookRate,1823)*(1+'5. Scenarios'!$E$10)*$S1828)</f>
        <v/>
      </c>
      <c r="U1828" s="57" t="str">
        <f aca="false">IF($T1828="","",SUMIFS($T$6:$T$2405,$A$6:$A$2405,"&lt;="&amp;$A1828))</f>
        <v/>
      </c>
      <c r="V1828" s="57" t="str">
        <f aca="false">IF($T1828="","",IF($U1828&lt;=BankCostEnvelope*'5. Scenarios'!$E$7,1,0))</f>
        <v/>
      </c>
      <c r="W1828" s="57" t="str">
        <f aca="false">IF($S1828="","",INDEX(BookRate,1823)*(1+'5. Scenarios'!$E$10)*(INDEX(BookQ1,1823)*(5-MIN(4,1+'5. Scenarios'!$E$8))/4+INDEX(BookQ2,1823)*(5-MIN(4,2+'5. Scenarios'!$E$8))/4+INDEX(BookQ3,1823)*(5-MIN(4,3+'5. Scenarios'!$E$8))/4+INDEX(BookQ4,1823)*(5-MIN(4,4+'5. Scenarios'!$E$8))/4)*'5. Scenarios'!$E$6/(1+ProductivityDefault*('5. Scenarios'!$E$11-1))+INDEX(BookOneOff,1823)*$S1828)</f>
        <v/>
      </c>
    </row>
    <row r="1829" customFormat="false" ht="15" hidden="false" customHeight="false" outlineLevel="0" collapsed="false">
      <c r="A1829" s="0" t="str">
        <f aca="false">IF(INDEX(BookTitle,1824)="","",INDEX(BookKey,1824))</f>
        <v/>
      </c>
      <c r="B1829" s="0" t="str">
        <f aca="false">IF(INDEX(BookTitle,1824)="","",INDEX(BookGroup,1824))</f>
        <v/>
      </c>
      <c r="C1829" s="0" t="str">
        <f aca="false">IF(INDEX(BookTitle,1824)="","",INDEX(BookCategory,1824))</f>
        <v/>
      </c>
      <c r="D1829" s="56" t="str">
        <f aca="false">IF(INDEX(BookTitle,1824)="","",INDEX(BookTotal,1824)*'5. Scenarios'!$B$6/(1+ProductivityDefault*('5. Scenarios'!$B$11-1)))</f>
        <v/>
      </c>
      <c r="E1829" s="57" t="str">
        <f aca="false">IF($D1829="","",INDEX(BookRate,1824)*(1+'5. Scenarios'!$B$10)*$D1829)</f>
        <v/>
      </c>
      <c r="F1829" s="57" t="str">
        <f aca="false">IF($E1829="","",SUMIFS($E$6:$E$2405,$A$6:$A$2405,"&lt;="&amp;$A1829))</f>
        <v/>
      </c>
      <c r="G1829" s="57" t="str">
        <f aca="false">IF($E1829="","",IF($F1829&lt;=BankCostEnvelope*'5. Scenarios'!$B$7,1,0))</f>
        <v/>
      </c>
      <c r="H1829" s="57" t="str">
        <f aca="false">IF($D1829="","",INDEX(BookRate,1824)*(1+'5. Scenarios'!$B$10)*(INDEX(BookQ1,1824)*(5-MIN(4,1+'5. Scenarios'!$B$8))/4+INDEX(BookQ2,1824)*(5-MIN(4,2+'5. Scenarios'!$B$8))/4+INDEX(BookQ3,1824)*(5-MIN(4,3+'5. Scenarios'!$B$8))/4+INDEX(BookQ4,1824)*(5-MIN(4,4+'5. Scenarios'!$B$8))/4)*'5. Scenarios'!$B$6/(1+ProductivityDefault*('5. Scenarios'!$B$11-1))+INDEX(BookOneOff,1824)*$D1829)</f>
        <v/>
      </c>
      <c r="I1829" s="56" t="str">
        <f aca="false">IF(INDEX(BookTitle,1824)="","",INDEX(BookTotal,1824)*'5. Scenarios'!$C$6/(1+ProductivityDefault*('5. Scenarios'!$C$11-1)))</f>
        <v/>
      </c>
      <c r="J1829" s="57" t="str">
        <f aca="false">IF($I1829="","",INDEX(BookRate,1824)*(1+'5. Scenarios'!$C$10)*$I1829)</f>
        <v/>
      </c>
      <c r="K1829" s="57" t="str">
        <f aca="false">IF($J1829="","",SUMIFS($J$6:$J$2405,$A$6:$A$2405,"&lt;="&amp;$A1829))</f>
        <v/>
      </c>
      <c r="L1829" s="57" t="str">
        <f aca="false">IF($J1829="","",IF($K1829&lt;=BankCostEnvelope*'5. Scenarios'!$C$7,1,0))</f>
        <v/>
      </c>
      <c r="M1829" s="57" t="str">
        <f aca="false">IF($I1829="","",INDEX(BookRate,1824)*(1+'5. Scenarios'!$C$10)*(INDEX(BookQ1,1824)*(5-MIN(4,1+'5. Scenarios'!$C$8))/4+INDEX(BookQ2,1824)*(5-MIN(4,2+'5. Scenarios'!$C$8))/4+INDEX(BookQ3,1824)*(5-MIN(4,3+'5. Scenarios'!$C$8))/4+INDEX(BookQ4,1824)*(5-MIN(4,4+'5. Scenarios'!$C$8))/4)*'5. Scenarios'!$C$6/(1+ProductivityDefault*('5. Scenarios'!$C$11-1))+INDEX(BookOneOff,1824)*$I1829)</f>
        <v/>
      </c>
      <c r="N1829" s="56" t="str">
        <f aca="false">IF(INDEX(BookTitle,1824)="","",INDEX(BookTotal,1824)*'5. Scenarios'!$D$6/(1+ProductivityDefault*('5. Scenarios'!$D$11-1)))</f>
        <v/>
      </c>
      <c r="O1829" s="57" t="str">
        <f aca="false">IF($N1829="","",INDEX(BookRate,1824)*(1+'5. Scenarios'!$D$10)*$N1829)</f>
        <v/>
      </c>
      <c r="P1829" s="57" t="str">
        <f aca="false">IF($O1829="","",SUMIFS($O$6:$O$2405,$A$6:$A$2405,"&lt;="&amp;$A1829))</f>
        <v/>
      </c>
      <c r="Q1829" s="57" t="str">
        <f aca="false">IF($O1829="","",IF($P1829&lt;=BankCostEnvelope*'5. Scenarios'!$D$7,1,0))</f>
        <v/>
      </c>
      <c r="R1829" s="57" t="str">
        <f aca="false">IF($N1829="","",INDEX(BookRate,1824)*(1+'5. Scenarios'!$D$10)*(INDEX(BookQ1,1824)*(5-MIN(4,1+'5. Scenarios'!$D$8))/4+INDEX(BookQ2,1824)*(5-MIN(4,2+'5. Scenarios'!$D$8))/4+INDEX(BookQ3,1824)*(5-MIN(4,3+'5. Scenarios'!$D$8))/4+INDEX(BookQ4,1824)*(5-MIN(4,4+'5. Scenarios'!$D$8))/4)*'5. Scenarios'!$D$6/(1+ProductivityDefault*('5. Scenarios'!$D$11-1))+INDEX(BookOneOff,1824)*$N1829)</f>
        <v/>
      </c>
      <c r="S1829" s="56" t="str">
        <f aca="false">IF(INDEX(BookTitle,1824)="","",INDEX(BookTotal,1824)*'5. Scenarios'!$E$6/(1+ProductivityDefault*('5. Scenarios'!$E$11-1)))</f>
        <v/>
      </c>
      <c r="T1829" s="57" t="str">
        <f aca="false">IF($S1829="","",INDEX(BookRate,1824)*(1+'5. Scenarios'!$E$10)*$S1829)</f>
        <v/>
      </c>
      <c r="U1829" s="57" t="str">
        <f aca="false">IF($T1829="","",SUMIFS($T$6:$T$2405,$A$6:$A$2405,"&lt;="&amp;$A1829))</f>
        <v/>
      </c>
      <c r="V1829" s="57" t="str">
        <f aca="false">IF($T1829="","",IF($U1829&lt;=BankCostEnvelope*'5. Scenarios'!$E$7,1,0))</f>
        <v/>
      </c>
      <c r="W1829" s="57" t="str">
        <f aca="false">IF($S1829="","",INDEX(BookRate,1824)*(1+'5. Scenarios'!$E$10)*(INDEX(BookQ1,1824)*(5-MIN(4,1+'5. Scenarios'!$E$8))/4+INDEX(BookQ2,1824)*(5-MIN(4,2+'5. Scenarios'!$E$8))/4+INDEX(BookQ3,1824)*(5-MIN(4,3+'5. Scenarios'!$E$8))/4+INDEX(BookQ4,1824)*(5-MIN(4,4+'5. Scenarios'!$E$8))/4)*'5. Scenarios'!$E$6/(1+ProductivityDefault*('5. Scenarios'!$E$11-1))+INDEX(BookOneOff,1824)*$S1829)</f>
        <v/>
      </c>
    </row>
    <row r="1830" customFormat="false" ht="15" hidden="false" customHeight="false" outlineLevel="0" collapsed="false">
      <c r="A1830" s="0" t="str">
        <f aca="false">IF(INDEX(BookTitle,1825)="","",INDEX(BookKey,1825))</f>
        <v/>
      </c>
      <c r="B1830" s="0" t="str">
        <f aca="false">IF(INDEX(BookTitle,1825)="","",INDEX(BookGroup,1825))</f>
        <v/>
      </c>
      <c r="C1830" s="0" t="str">
        <f aca="false">IF(INDEX(BookTitle,1825)="","",INDEX(BookCategory,1825))</f>
        <v/>
      </c>
      <c r="D1830" s="56" t="str">
        <f aca="false">IF(INDEX(BookTitle,1825)="","",INDEX(BookTotal,1825)*'5. Scenarios'!$B$6/(1+ProductivityDefault*('5. Scenarios'!$B$11-1)))</f>
        <v/>
      </c>
      <c r="E1830" s="57" t="str">
        <f aca="false">IF($D1830="","",INDEX(BookRate,1825)*(1+'5. Scenarios'!$B$10)*$D1830)</f>
        <v/>
      </c>
      <c r="F1830" s="57" t="str">
        <f aca="false">IF($E1830="","",SUMIFS($E$6:$E$2405,$A$6:$A$2405,"&lt;="&amp;$A1830))</f>
        <v/>
      </c>
      <c r="G1830" s="57" t="str">
        <f aca="false">IF($E1830="","",IF($F1830&lt;=BankCostEnvelope*'5. Scenarios'!$B$7,1,0))</f>
        <v/>
      </c>
      <c r="H1830" s="57" t="str">
        <f aca="false">IF($D1830="","",INDEX(BookRate,1825)*(1+'5. Scenarios'!$B$10)*(INDEX(BookQ1,1825)*(5-MIN(4,1+'5. Scenarios'!$B$8))/4+INDEX(BookQ2,1825)*(5-MIN(4,2+'5. Scenarios'!$B$8))/4+INDEX(BookQ3,1825)*(5-MIN(4,3+'5. Scenarios'!$B$8))/4+INDEX(BookQ4,1825)*(5-MIN(4,4+'5. Scenarios'!$B$8))/4)*'5. Scenarios'!$B$6/(1+ProductivityDefault*('5. Scenarios'!$B$11-1))+INDEX(BookOneOff,1825)*$D1830)</f>
        <v/>
      </c>
      <c r="I1830" s="56" t="str">
        <f aca="false">IF(INDEX(BookTitle,1825)="","",INDEX(BookTotal,1825)*'5. Scenarios'!$C$6/(1+ProductivityDefault*('5. Scenarios'!$C$11-1)))</f>
        <v/>
      </c>
      <c r="J1830" s="57" t="str">
        <f aca="false">IF($I1830="","",INDEX(BookRate,1825)*(1+'5. Scenarios'!$C$10)*$I1830)</f>
        <v/>
      </c>
      <c r="K1830" s="57" t="str">
        <f aca="false">IF($J1830="","",SUMIFS($J$6:$J$2405,$A$6:$A$2405,"&lt;="&amp;$A1830))</f>
        <v/>
      </c>
      <c r="L1830" s="57" t="str">
        <f aca="false">IF($J1830="","",IF($K1830&lt;=BankCostEnvelope*'5. Scenarios'!$C$7,1,0))</f>
        <v/>
      </c>
      <c r="M1830" s="57" t="str">
        <f aca="false">IF($I1830="","",INDEX(BookRate,1825)*(1+'5. Scenarios'!$C$10)*(INDEX(BookQ1,1825)*(5-MIN(4,1+'5. Scenarios'!$C$8))/4+INDEX(BookQ2,1825)*(5-MIN(4,2+'5. Scenarios'!$C$8))/4+INDEX(BookQ3,1825)*(5-MIN(4,3+'5. Scenarios'!$C$8))/4+INDEX(BookQ4,1825)*(5-MIN(4,4+'5. Scenarios'!$C$8))/4)*'5. Scenarios'!$C$6/(1+ProductivityDefault*('5. Scenarios'!$C$11-1))+INDEX(BookOneOff,1825)*$I1830)</f>
        <v/>
      </c>
      <c r="N1830" s="56" t="str">
        <f aca="false">IF(INDEX(BookTitle,1825)="","",INDEX(BookTotal,1825)*'5. Scenarios'!$D$6/(1+ProductivityDefault*('5. Scenarios'!$D$11-1)))</f>
        <v/>
      </c>
      <c r="O1830" s="57" t="str">
        <f aca="false">IF($N1830="","",INDEX(BookRate,1825)*(1+'5. Scenarios'!$D$10)*$N1830)</f>
        <v/>
      </c>
      <c r="P1830" s="57" t="str">
        <f aca="false">IF($O1830="","",SUMIFS($O$6:$O$2405,$A$6:$A$2405,"&lt;="&amp;$A1830))</f>
        <v/>
      </c>
      <c r="Q1830" s="57" t="str">
        <f aca="false">IF($O1830="","",IF($P1830&lt;=BankCostEnvelope*'5. Scenarios'!$D$7,1,0))</f>
        <v/>
      </c>
      <c r="R1830" s="57" t="str">
        <f aca="false">IF($N1830="","",INDEX(BookRate,1825)*(1+'5. Scenarios'!$D$10)*(INDEX(BookQ1,1825)*(5-MIN(4,1+'5. Scenarios'!$D$8))/4+INDEX(BookQ2,1825)*(5-MIN(4,2+'5. Scenarios'!$D$8))/4+INDEX(BookQ3,1825)*(5-MIN(4,3+'5. Scenarios'!$D$8))/4+INDEX(BookQ4,1825)*(5-MIN(4,4+'5. Scenarios'!$D$8))/4)*'5. Scenarios'!$D$6/(1+ProductivityDefault*('5. Scenarios'!$D$11-1))+INDEX(BookOneOff,1825)*$N1830)</f>
        <v/>
      </c>
      <c r="S1830" s="56" t="str">
        <f aca="false">IF(INDEX(BookTitle,1825)="","",INDEX(BookTotal,1825)*'5. Scenarios'!$E$6/(1+ProductivityDefault*('5. Scenarios'!$E$11-1)))</f>
        <v/>
      </c>
      <c r="T1830" s="57" t="str">
        <f aca="false">IF($S1830="","",INDEX(BookRate,1825)*(1+'5. Scenarios'!$E$10)*$S1830)</f>
        <v/>
      </c>
      <c r="U1830" s="57" t="str">
        <f aca="false">IF($T1830="","",SUMIFS($T$6:$T$2405,$A$6:$A$2405,"&lt;="&amp;$A1830))</f>
        <v/>
      </c>
      <c r="V1830" s="57" t="str">
        <f aca="false">IF($T1830="","",IF($U1830&lt;=BankCostEnvelope*'5. Scenarios'!$E$7,1,0))</f>
        <v/>
      </c>
      <c r="W1830" s="57" t="str">
        <f aca="false">IF($S1830="","",INDEX(BookRate,1825)*(1+'5. Scenarios'!$E$10)*(INDEX(BookQ1,1825)*(5-MIN(4,1+'5. Scenarios'!$E$8))/4+INDEX(BookQ2,1825)*(5-MIN(4,2+'5. Scenarios'!$E$8))/4+INDEX(BookQ3,1825)*(5-MIN(4,3+'5. Scenarios'!$E$8))/4+INDEX(BookQ4,1825)*(5-MIN(4,4+'5. Scenarios'!$E$8))/4)*'5. Scenarios'!$E$6/(1+ProductivityDefault*('5. Scenarios'!$E$11-1))+INDEX(BookOneOff,1825)*$S1830)</f>
        <v/>
      </c>
    </row>
    <row r="1831" customFormat="false" ht="15" hidden="false" customHeight="false" outlineLevel="0" collapsed="false">
      <c r="A1831" s="0" t="str">
        <f aca="false">IF(INDEX(BookTitle,1826)="","",INDEX(BookKey,1826))</f>
        <v/>
      </c>
      <c r="B1831" s="0" t="str">
        <f aca="false">IF(INDEX(BookTitle,1826)="","",INDEX(BookGroup,1826))</f>
        <v/>
      </c>
      <c r="C1831" s="0" t="str">
        <f aca="false">IF(INDEX(BookTitle,1826)="","",INDEX(BookCategory,1826))</f>
        <v/>
      </c>
      <c r="D1831" s="56" t="str">
        <f aca="false">IF(INDEX(BookTitle,1826)="","",INDEX(BookTotal,1826)*'5. Scenarios'!$B$6/(1+ProductivityDefault*('5. Scenarios'!$B$11-1)))</f>
        <v/>
      </c>
      <c r="E1831" s="57" t="str">
        <f aca="false">IF($D1831="","",INDEX(BookRate,1826)*(1+'5. Scenarios'!$B$10)*$D1831)</f>
        <v/>
      </c>
      <c r="F1831" s="57" t="str">
        <f aca="false">IF($E1831="","",SUMIFS($E$6:$E$2405,$A$6:$A$2405,"&lt;="&amp;$A1831))</f>
        <v/>
      </c>
      <c r="G1831" s="57" t="str">
        <f aca="false">IF($E1831="","",IF($F1831&lt;=BankCostEnvelope*'5. Scenarios'!$B$7,1,0))</f>
        <v/>
      </c>
      <c r="H1831" s="57" t="str">
        <f aca="false">IF($D1831="","",INDEX(BookRate,1826)*(1+'5. Scenarios'!$B$10)*(INDEX(BookQ1,1826)*(5-MIN(4,1+'5. Scenarios'!$B$8))/4+INDEX(BookQ2,1826)*(5-MIN(4,2+'5. Scenarios'!$B$8))/4+INDEX(BookQ3,1826)*(5-MIN(4,3+'5. Scenarios'!$B$8))/4+INDEX(BookQ4,1826)*(5-MIN(4,4+'5. Scenarios'!$B$8))/4)*'5. Scenarios'!$B$6/(1+ProductivityDefault*('5. Scenarios'!$B$11-1))+INDEX(BookOneOff,1826)*$D1831)</f>
        <v/>
      </c>
      <c r="I1831" s="56" t="str">
        <f aca="false">IF(INDEX(BookTitle,1826)="","",INDEX(BookTotal,1826)*'5. Scenarios'!$C$6/(1+ProductivityDefault*('5. Scenarios'!$C$11-1)))</f>
        <v/>
      </c>
      <c r="J1831" s="57" t="str">
        <f aca="false">IF($I1831="","",INDEX(BookRate,1826)*(1+'5. Scenarios'!$C$10)*$I1831)</f>
        <v/>
      </c>
      <c r="K1831" s="57" t="str">
        <f aca="false">IF($J1831="","",SUMIFS($J$6:$J$2405,$A$6:$A$2405,"&lt;="&amp;$A1831))</f>
        <v/>
      </c>
      <c r="L1831" s="57" t="str">
        <f aca="false">IF($J1831="","",IF($K1831&lt;=BankCostEnvelope*'5. Scenarios'!$C$7,1,0))</f>
        <v/>
      </c>
      <c r="M1831" s="57" t="str">
        <f aca="false">IF($I1831="","",INDEX(BookRate,1826)*(1+'5. Scenarios'!$C$10)*(INDEX(BookQ1,1826)*(5-MIN(4,1+'5. Scenarios'!$C$8))/4+INDEX(BookQ2,1826)*(5-MIN(4,2+'5. Scenarios'!$C$8))/4+INDEX(BookQ3,1826)*(5-MIN(4,3+'5. Scenarios'!$C$8))/4+INDEX(BookQ4,1826)*(5-MIN(4,4+'5. Scenarios'!$C$8))/4)*'5. Scenarios'!$C$6/(1+ProductivityDefault*('5. Scenarios'!$C$11-1))+INDEX(BookOneOff,1826)*$I1831)</f>
        <v/>
      </c>
      <c r="N1831" s="56" t="str">
        <f aca="false">IF(INDEX(BookTitle,1826)="","",INDEX(BookTotal,1826)*'5. Scenarios'!$D$6/(1+ProductivityDefault*('5. Scenarios'!$D$11-1)))</f>
        <v/>
      </c>
      <c r="O1831" s="57" t="str">
        <f aca="false">IF($N1831="","",INDEX(BookRate,1826)*(1+'5. Scenarios'!$D$10)*$N1831)</f>
        <v/>
      </c>
      <c r="P1831" s="57" t="str">
        <f aca="false">IF($O1831="","",SUMIFS($O$6:$O$2405,$A$6:$A$2405,"&lt;="&amp;$A1831))</f>
        <v/>
      </c>
      <c r="Q1831" s="57" t="str">
        <f aca="false">IF($O1831="","",IF($P1831&lt;=BankCostEnvelope*'5. Scenarios'!$D$7,1,0))</f>
        <v/>
      </c>
      <c r="R1831" s="57" t="str">
        <f aca="false">IF($N1831="","",INDEX(BookRate,1826)*(1+'5. Scenarios'!$D$10)*(INDEX(BookQ1,1826)*(5-MIN(4,1+'5. Scenarios'!$D$8))/4+INDEX(BookQ2,1826)*(5-MIN(4,2+'5. Scenarios'!$D$8))/4+INDEX(BookQ3,1826)*(5-MIN(4,3+'5. Scenarios'!$D$8))/4+INDEX(BookQ4,1826)*(5-MIN(4,4+'5. Scenarios'!$D$8))/4)*'5. Scenarios'!$D$6/(1+ProductivityDefault*('5. Scenarios'!$D$11-1))+INDEX(BookOneOff,1826)*$N1831)</f>
        <v/>
      </c>
      <c r="S1831" s="56" t="str">
        <f aca="false">IF(INDEX(BookTitle,1826)="","",INDEX(BookTotal,1826)*'5. Scenarios'!$E$6/(1+ProductivityDefault*('5. Scenarios'!$E$11-1)))</f>
        <v/>
      </c>
      <c r="T1831" s="57" t="str">
        <f aca="false">IF($S1831="","",INDEX(BookRate,1826)*(1+'5. Scenarios'!$E$10)*$S1831)</f>
        <v/>
      </c>
      <c r="U1831" s="57" t="str">
        <f aca="false">IF($T1831="","",SUMIFS($T$6:$T$2405,$A$6:$A$2405,"&lt;="&amp;$A1831))</f>
        <v/>
      </c>
      <c r="V1831" s="57" t="str">
        <f aca="false">IF($T1831="","",IF($U1831&lt;=BankCostEnvelope*'5. Scenarios'!$E$7,1,0))</f>
        <v/>
      </c>
      <c r="W1831" s="57" t="str">
        <f aca="false">IF($S1831="","",INDEX(BookRate,1826)*(1+'5. Scenarios'!$E$10)*(INDEX(BookQ1,1826)*(5-MIN(4,1+'5. Scenarios'!$E$8))/4+INDEX(BookQ2,1826)*(5-MIN(4,2+'5. Scenarios'!$E$8))/4+INDEX(BookQ3,1826)*(5-MIN(4,3+'5. Scenarios'!$E$8))/4+INDEX(BookQ4,1826)*(5-MIN(4,4+'5. Scenarios'!$E$8))/4)*'5. Scenarios'!$E$6/(1+ProductivityDefault*('5. Scenarios'!$E$11-1))+INDEX(BookOneOff,1826)*$S1831)</f>
        <v/>
      </c>
    </row>
    <row r="1832" customFormat="false" ht="15" hidden="false" customHeight="false" outlineLevel="0" collapsed="false">
      <c r="A1832" s="0" t="str">
        <f aca="false">IF(INDEX(BookTitle,1827)="","",INDEX(BookKey,1827))</f>
        <v/>
      </c>
      <c r="B1832" s="0" t="str">
        <f aca="false">IF(INDEX(BookTitle,1827)="","",INDEX(BookGroup,1827))</f>
        <v/>
      </c>
      <c r="C1832" s="0" t="str">
        <f aca="false">IF(INDEX(BookTitle,1827)="","",INDEX(BookCategory,1827))</f>
        <v/>
      </c>
      <c r="D1832" s="56" t="str">
        <f aca="false">IF(INDEX(BookTitle,1827)="","",INDEX(BookTotal,1827)*'5. Scenarios'!$B$6/(1+ProductivityDefault*('5. Scenarios'!$B$11-1)))</f>
        <v/>
      </c>
      <c r="E1832" s="57" t="str">
        <f aca="false">IF($D1832="","",INDEX(BookRate,1827)*(1+'5. Scenarios'!$B$10)*$D1832)</f>
        <v/>
      </c>
      <c r="F1832" s="57" t="str">
        <f aca="false">IF($E1832="","",SUMIFS($E$6:$E$2405,$A$6:$A$2405,"&lt;="&amp;$A1832))</f>
        <v/>
      </c>
      <c r="G1832" s="57" t="str">
        <f aca="false">IF($E1832="","",IF($F1832&lt;=BankCostEnvelope*'5. Scenarios'!$B$7,1,0))</f>
        <v/>
      </c>
      <c r="H1832" s="57" t="str">
        <f aca="false">IF($D1832="","",INDEX(BookRate,1827)*(1+'5. Scenarios'!$B$10)*(INDEX(BookQ1,1827)*(5-MIN(4,1+'5. Scenarios'!$B$8))/4+INDEX(BookQ2,1827)*(5-MIN(4,2+'5. Scenarios'!$B$8))/4+INDEX(BookQ3,1827)*(5-MIN(4,3+'5. Scenarios'!$B$8))/4+INDEX(BookQ4,1827)*(5-MIN(4,4+'5. Scenarios'!$B$8))/4)*'5. Scenarios'!$B$6/(1+ProductivityDefault*('5. Scenarios'!$B$11-1))+INDEX(BookOneOff,1827)*$D1832)</f>
        <v/>
      </c>
      <c r="I1832" s="56" t="str">
        <f aca="false">IF(INDEX(BookTitle,1827)="","",INDEX(BookTotal,1827)*'5. Scenarios'!$C$6/(1+ProductivityDefault*('5. Scenarios'!$C$11-1)))</f>
        <v/>
      </c>
      <c r="J1832" s="57" t="str">
        <f aca="false">IF($I1832="","",INDEX(BookRate,1827)*(1+'5. Scenarios'!$C$10)*$I1832)</f>
        <v/>
      </c>
      <c r="K1832" s="57" t="str">
        <f aca="false">IF($J1832="","",SUMIFS($J$6:$J$2405,$A$6:$A$2405,"&lt;="&amp;$A1832))</f>
        <v/>
      </c>
      <c r="L1832" s="57" t="str">
        <f aca="false">IF($J1832="","",IF($K1832&lt;=BankCostEnvelope*'5. Scenarios'!$C$7,1,0))</f>
        <v/>
      </c>
      <c r="M1832" s="57" t="str">
        <f aca="false">IF($I1832="","",INDEX(BookRate,1827)*(1+'5. Scenarios'!$C$10)*(INDEX(BookQ1,1827)*(5-MIN(4,1+'5. Scenarios'!$C$8))/4+INDEX(BookQ2,1827)*(5-MIN(4,2+'5. Scenarios'!$C$8))/4+INDEX(BookQ3,1827)*(5-MIN(4,3+'5. Scenarios'!$C$8))/4+INDEX(BookQ4,1827)*(5-MIN(4,4+'5. Scenarios'!$C$8))/4)*'5. Scenarios'!$C$6/(1+ProductivityDefault*('5. Scenarios'!$C$11-1))+INDEX(BookOneOff,1827)*$I1832)</f>
        <v/>
      </c>
      <c r="N1832" s="56" t="str">
        <f aca="false">IF(INDEX(BookTitle,1827)="","",INDEX(BookTotal,1827)*'5. Scenarios'!$D$6/(1+ProductivityDefault*('5. Scenarios'!$D$11-1)))</f>
        <v/>
      </c>
      <c r="O1832" s="57" t="str">
        <f aca="false">IF($N1832="","",INDEX(BookRate,1827)*(1+'5. Scenarios'!$D$10)*$N1832)</f>
        <v/>
      </c>
      <c r="P1832" s="57" t="str">
        <f aca="false">IF($O1832="","",SUMIFS($O$6:$O$2405,$A$6:$A$2405,"&lt;="&amp;$A1832))</f>
        <v/>
      </c>
      <c r="Q1832" s="57" t="str">
        <f aca="false">IF($O1832="","",IF($P1832&lt;=BankCostEnvelope*'5. Scenarios'!$D$7,1,0))</f>
        <v/>
      </c>
      <c r="R1832" s="57" t="str">
        <f aca="false">IF($N1832="","",INDEX(BookRate,1827)*(1+'5. Scenarios'!$D$10)*(INDEX(BookQ1,1827)*(5-MIN(4,1+'5. Scenarios'!$D$8))/4+INDEX(BookQ2,1827)*(5-MIN(4,2+'5. Scenarios'!$D$8))/4+INDEX(BookQ3,1827)*(5-MIN(4,3+'5. Scenarios'!$D$8))/4+INDEX(BookQ4,1827)*(5-MIN(4,4+'5. Scenarios'!$D$8))/4)*'5. Scenarios'!$D$6/(1+ProductivityDefault*('5. Scenarios'!$D$11-1))+INDEX(BookOneOff,1827)*$N1832)</f>
        <v/>
      </c>
      <c r="S1832" s="56" t="str">
        <f aca="false">IF(INDEX(BookTitle,1827)="","",INDEX(BookTotal,1827)*'5. Scenarios'!$E$6/(1+ProductivityDefault*('5. Scenarios'!$E$11-1)))</f>
        <v/>
      </c>
      <c r="T1832" s="57" t="str">
        <f aca="false">IF($S1832="","",INDEX(BookRate,1827)*(1+'5. Scenarios'!$E$10)*$S1832)</f>
        <v/>
      </c>
      <c r="U1832" s="57" t="str">
        <f aca="false">IF($T1832="","",SUMIFS($T$6:$T$2405,$A$6:$A$2405,"&lt;="&amp;$A1832))</f>
        <v/>
      </c>
      <c r="V1832" s="57" t="str">
        <f aca="false">IF($T1832="","",IF($U1832&lt;=BankCostEnvelope*'5. Scenarios'!$E$7,1,0))</f>
        <v/>
      </c>
      <c r="W1832" s="57" t="str">
        <f aca="false">IF($S1832="","",INDEX(BookRate,1827)*(1+'5. Scenarios'!$E$10)*(INDEX(BookQ1,1827)*(5-MIN(4,1+'5. Scenarios'!$E$8))/4+INDEX(BookQ2,1827)*(5-MIN(4,2+'5. Scenarios'!$E$8))/4+INDEX(BookQ3,1827)*(5-MIN(4,3+'5. Scenarios'!$E$8))/4+INDEX(BookQ4,1827)*(5-MIN(4,4+'5. Scenarios'!$E$8))/4)*'5. Scenarios'!$E$6/(1+ProductivityDefault*('5. Scenarios'!$E$11-1))+INDEX(BookOneOff,1827)*$S1832)</f>
        <v/>
      </c>
    </row>
    <row r="1833" customFormat="false" ht="15" hidden="false" customHeight="false" outlineLevel="0" collapsed="false">
      <c r="A1833" s="0" t="str">
        <f aca="false">IF(INDEX(BookTitle,1828)="","",INDEX(BookKey,1828))</f>
        <v/>
      </c>
      <c r="B1833" s="0" t="str">
        <f aca="false">IF(INDEX(BookTitle,1828)="","",INDEX(BookGroup,1828))</f>
        <v/>
      </c>
      <c r="C1833" s="0" t="str">
        <f aca="false">IF(INDEX(BookTitle,1828)="","",INDEX(BookCategory,1828))</f>
        <v/>
      </c>
      <c r="D1833" s="56" t="str">
        <f aca="false">IF(INDEX(BookTitle,1828)="","",INDEX(BookTotal,1828)*'5. Scenarios'!$B$6/(1+ProductivityDefault*('5. Scenarios'!$B$11-1)))</f>
        <v/>
      </c>
      <c r="E1833" s="57" t="str">
        <f aca="false">IF($D1833="","",INDEX(BookRate,1828)*(1+'5. Scenarios'!$B$10)*$D1833)</f>
        <v/>
      </c>
      <c r="F1833" s="57" t="str">
        <f aca="false">IF($E1833="","",SUMIFS($E$6:$E$2405,$A$6:$A$2405,"&lt;="&amp;$A1833))</f>
        <v/>
      </c>
      <c r="G1833" s="57" t="str">
        <f aca="false">IF($E1833="","",IF($F1833&lt;=BankCostEnvelope*'5. Scenarios'!$B$7,1,0))</f>
        <v/>
      </c>
      <c r="H1833" s="57" t="str">
        <f aca="false">IF($D1833="","",INDEX(BookRate,1828)*(1+'5. Scenarios'!$B$10)*(INDEX(BookQ1,1828)*(5-MIN(4,1+'5. Scenarios'!$B$8))/4+INDEX(BookQ2,1828)*(5-MIN(4,2+'5. Scenarios'!$B$8))/4+INDEX(BookQ3,1828)*(5-MIN(4,3+'5. Scenarios'!$B$8))/4+INDEX(BookQ4,1828)*(5-MIN(4,4+'5. Scenarios'!$B$8))/4)*'5. Scenarios'!$B$6/(1+ProductivityDefault*('5. Scenarios'!$B$11-1))+INDEX(BookOneOff,1828)*$D1833)</f>
        <v/>
      </c>
      <c r="I1833" s="56" t="str">
        <f aca="false">IF(INDEX(BookTitle,1828)="","",INDEX(BookTotal,1828)*'5. Scenarios'!$C$6/(1+ProductivityDefault*('5. Scenarios'!$C$11-1)))</f>
        <v/>
      </c>
      <c r="J1833" s="57" t="str">
        <f aca="false">IF($I1833="","",INDEX(BookRate,1828)*(1+'5. Scenarios'!$C$10)*$I1833)</f>
        <v/>
      </c>
      <c r="K1833" s="57" t="str">
        <f aca="false">IF($J1833="","",SUMIFS($J$6:$J$2405,$A$6:$A$2405,"&lt;="&amp;$A1833))</f>
        <v/>
      </c>
      <c r="L1833" s="57" t="str">
        <f aca="false">IF($J1833="","",IF($K1833&lt;=BankCostEnvelope*'5. Scenarios'!$C$7,1,0))</f>
        <v/>
      </c>
      <c r="M1833" s="57" t="str">
        <f aca="false">IF($I1833="","",INDEX(BookRate,1828)*(1+'5. Scenarios'!$C$10)*(INDEX(BookQ1,1828)*(5-MIN(4,1+'5. Scenarios'!$C$8))/4+INDEX(BookQ2,1828)*(5-MIN(4,2+'5. Scenarios'!$C$8))/4+INDEX(BookQ3,1828)*(5-MIN(4,3+'5. Scenarios'!$C$8))/4+INDEX(BookQ4,1828)*(5-MIN(4,4+'5. Scenarios'!$C$8))/4)*'5. Scenarios'!$C$6/(1+ProductivityDefault*('5. Scenarios'!$C$11-1))+INDEX(BookOneOff,1828)*$I1833)</f>
        <v/>
      </c>
      <c r="N1833" s="56" t="str">
        <f aca="false">IF(INDEX(BookTitle,1828)="","",INDEX(BookTotal,1828)*'5. Scenarios'!$D$6/(1+ProductivityDefault*('5. Scenarios'!$D$11-1)))</f>
        <v/>
      </c>
      <c r="O1833" s="57" t="str">
        <f aca="false">IF($N1833="","",INDEX(BookRate,1828)*(1+'5. Scenarios'!$D$10)*$N1833)</f>
        <v/>
      </c>
      <c r="P1833" s="57" t="str">
        <f aca="false">IF($O1833="","",SUMIFS($O$6:$O$2405,$A$6:$A$2405,"&lt;="&amp;$A1833))</f>
        <v/>
      </c>
      <c r="Q1833" s="57" t="str">
        <f aca="false">IF($O1833="","",IF($P1833&lt;=BankCostEnvelope*'5. Scenarios'!$D$7,1,0))</f>
        <v/>
      </c>
      <c r="R1833" s="57" t="str">
        <f aca="false">IF($N1833="","",INDEX(BookRate,1828)*(1+'5. Scenarios'!$D$10)*(INDEX(BookQ1,1828)*(5-MIN(4,1+'5. Scenarios'!$D$8))/4+INDEX(BookQ2,1828)*(5-MIN(4,2+'5. Scenarios'!$D$8))/4+INDEX(BookQ3,1828)*(5-MIN(4,3+'5. Scenarios'!$D$8))/4+INDEX(BookQ4,1828)*(5-MIN(4,4+'5. Scenarios'!$D$8))/4)*'5. Scenarios'!$D$6/(1+ProductivityDefault*('5. Scenarios'!$D$11-1))+INDEX(BookOneOff,1828)*$N1833)</f>
        <v/>
      </c>
      <c r="S1833" s="56" t="str">
        <f aca="false">IF(INDEX(BookTitle,1828)="","",INDEX(BookTotal,1828)*'5. Scenarios'!$E$6/(1+ProductivityDefault*('5. Scenarios'!$E$11-1)))</f>
        <v/>
      </c>
      <c r="T1833" s="57" t="str">
        <f aca="false">IF($S1833="","",INDEX(BookRate,1828)*(1+'5. Scenarios'!$E$10)*$S1833)</f>
        <v/>
      </c>
      <c r="U1833" s="57" t="str">
        <f aca="false">IF($T1833="","",SUMIFS($T$6:$T$2405,$A$6:$A$2405,"&lt;="&amp;$A1833))</f>
        <v/>
      </c>
      <c r="V1833" s="57" t="str">
        <f aca="false">IF($T1833="","",IF($U1833&lt;=BankCostEnvelope*'5. Scenarios'!$E$7,1,0))</f>
        <v/>
      </c>
      <c r="W1833" s="57" t="str">
        <f aca="false">IF($S1833="","",INDEX(BookRate,1828)*(1+'5. Scenarios'!$E$10)*(INDEX(BookQ1,1828)*(5-MIN(4,1+'5. Scenarios'!$E$8))/4+INDEX(BookQ2,1828)*(5-MIN(4,2+'5. Scenarios'!$E$8))/4+INDEX(BookQ3,1828)*(5-MIN(4,3+'5. Scenarios'!$E$8))/4+INDEX(BookQ4,1828)*(5-MIN(4,4+'5. Scenarios'!$E$8))/4)*'5. Scenarios'!$E$6/(1+ProductivityDefault*('5. Scenarios'!$E$11-1))+INDEX(BookOneOff,1828)*$S1833)</f>
        <v/>
      </c>
    </row>
    <row r="1834" customFormat="false" ht="15" hidden="false" customHeight="false" outlineLevel="0" collapsed="false">
      <c r="A1834" s="0" t="str">
        <f aca="false">IF(INDEX(BookTitle,1829)="","",INDEX(BookKey,1829))</f>
        <v/>
      </c>
      <c r="B1834" s="0" t="str">
        <f aca="false">IF(INDEX(BookTitle,1829)="","",INDEX(BookGroup,1829))</f>
        <v/>
      </c>
      <c r="C1834" s="0" t="str">
        <f aca="false">IF(INDEX(BookTitle,1829)="","",INDEX(BookCategory,1829))</f>
        <v/>
      </c>
      <c r="D1834" s="56" t="str">
        <f aca="false">IF(INDEX(BookTitle,1829)="","",INDEX(BookTotal,1829)*'5. Scenarios'!$B$6/(1+ProductivityDefault*('5. Scenarios'!$B$11-1)))</f>
        <v/>
      </c>
      <c r="E1834" s="57" t="str">
        <f aca="false">IF($D1834="","",INDEX(BookRate,1829)*(1+'5. Scenarios'!$B$10)*$D1834)</f>
        <v/>
      </c>
      <c r="F1834" s="57" t="str">
        <f aca="false">IF($E1834="","",SUMIFS($E$6:$E$2405,$A$6:$A$2405,"&lt;="&amp;$A1834))</f>
        <v/>
      </c>
      <c r="G1834" s="57" t="str">
        <f aca="false">IF($E1834="","",IF($F1834&lt;=BankCostEnvelope*'5. Scenarios'!$B$7,1,0))</f>
        <v/>
      </c>
      <c r="H1834" s="57" t="str">
        <f aca="false">IF($D1834="","",INDEX(BookRate,1829)*(1+'5. Scenarios'!$B$10)*(INDEX(BookQ1,1829)*(5-MIN(4,1+'5. Scenarios'!$B$8))/4+INDEX(BookQ2,1829)*(5-MIN(4,2+'5. Scenarios'!$B$8))/4+INDEX(BookQ3,1829)*(5-MIN(4,3+'5. Scenarios'!$B$8))/4+INDEX(BookQ4,1829)*(5-MIN(4,4+'5. Scenarios'!$B$8))/4)*'5. Scenarios'!$B$6/(1+ProductivityDefault*('5. Scenarios'!$B$11-1))+INDEX(BookOneOff,1829)*$D1834)</f>
        <v/>
      </c>
      <c r="I1834" s="56" t="str">
        <f aca="false">IF(INDEX(BookTitle,1829)="","",INDEX(BookTotal,1829)*'5. Scenarios'!$C$6/(1+ProductivityDefault*('5. Scenarios'!$C$11-1)))</f>
        <v/>
      </c>
      <c r="J1834" s="57" t="str">
        <f aca="false">IF($I1834="","",INDEX(BookRate,1829)*(1+'5. Scenarios'!$C$10)*$I1834)</f>
        <v/>
      </c>
      <c r="K1834" s="57" t="str">
        <f aca="false">IF($J1834="","",SUMIFS($J$6:$J$2405,$A$6:$A$2405,"&lt;="&amp;$A1834))</f>
        <v/>
      </c>
      <c r="L1834" s="57" t="str">
        <f aca="false">IF($J1834="","",IF($K1834&lt;=BankCostEnvelope*'5. Scenarios'!$C$7,1,0))</f>
        <v/>
      </c>
      <c r="M1834" s="57" t="str">
        <f aca="false">IF($I1834="","",INDEX(BookRate,1829)*(1+'5. Scenarios'!$C$10)*(INDEX(BookQ1,1829)*(5-MIN(4,1+'5. Scenarios'!$C$8))/4+INDEX(BookQ2,1829)*(5-MIN(4,2+'5. Scenarios'!$C$8))/4+INDEX(BookQ3,1829)*(5-MIN(4,3+'5. Scenarios'!$C$8))/4+INDEX(BookQ4,1829)*(5-MIN(4,4+'5. Scenarios'!$C$8))/4)*'5. Scenarios'!$C$6/(1+ProductivityDefault*('5. Scenarios'!$C$11-1))+INDEX(BookOneOff,1829)*$I1834)</f>
        <v/>
      </c>
      <c r="N1834" s="56" t="str">
        <f aca="false">IF(INDEX(BookTitle,1829)="","",INDEX(BookTotal,1829)*'5. Scenarios'!$D$6/(1+ProductivityDefault*('5. Scenarios'!$D$11-1)))</f>
        <v/>
      </c>
      <c r="O1834" s="57" t="str">
        <f aca="false">IF($N1834="","",INDEX(BookRate,1829)*(1+'5. Scenarios'!$D$10)*$N1834)</f>
        <v/>
      </c>
      <c r="P1834" s="57" t="str">
        <f aca="false">IF($O1834="","",SUMIFS($O$6:$O$2405,$A$6:$A$2405,"&lt;="&amp;$A1834))</f>
        <v/>
      </c>
      <c r="Q1834" s="57" t="str">
        <f aca="false">IF($O1834="","",IF($P1834&lt;=BankCostEnvelope*'5. Scenarios'!$D$7,1,0))</f>
        <v/>
      </c>
      <c r="R1834" s="57" t="str">
        <f aca="false">IF($N1834="","",INDEX(BookRate,1829)*(1+'5. Scenarios'!$D$10)*(INDEX(BookQ1,1829)*(5-MIN(4,1+'5. Scenarios'!$D$8))/4+INDEX(BookQ2,1829)*(5-MIN(4,2+'5. Scenarios'!$D$8))/4+INDEX(BookQ3,1829)*(5-MIN(4,3+'5. Scenarios'!$D$8))/4+INDEX(BookQ4,1829)*(5-MIN(4,4+'5. Scenarios'!$D$8))/4)*'5. Scenarios'!$D$6/(1+ProductivityDefault*('5. Scenarios'!$D$11-1))+INDEX(BookOneOff,1829)*$N1834)</f>
        <v/>
      </c>
      <c r="S1834" s="56" t="str">
        <f aca="false">IF(INDEX(BookTitle,1829)="","",INDEX(BookTotal,1829)*'5. Scenarios'!$E$6/(1+ProductivityDefault*('5. Scenarios'!$E$11-1)))</f>
        <v/>
      </c>
      <c r="T1834" s="57" t="str">
        <f aca="false">IF($S1834="","",INDEX(BookRate,1829)*(1+'5. Scenarios'!$E$10)*$S1834)</f>
        <v/>
      </c>
      <c r="U1834" s="57" t="str">
        <f aca="false">IF($T1834="","",SUMIFS($T$6:$T$2405,$A$6:$A$2405,"&lt;="&amp;$A1834))</f>
        <v/>
      </c>
      <c r="V1834" s="57" t="str">
        <f aca="false">IF($T1834="","",IF($U1834&lt;=BankCostEnvelope*'5. Scenarios'!$E$7,1,0))</f>
        <v/>
      </c>
      <c r="W1834" s="57" t="str">
        <f aca="false">IF($S1834="","",INDEX(BookRate,1829)*(1+'5. Scenarios'!$E$10)*(INDEX(BookQ1,1829)*(5-MIN(4,1+'5. Scenarios'!$E$8))/4+INDEX(BookQ2,1829)*(5-MIN(4,2+'5. Scenarios'!$E$8))/4+INDEX(BookQ3,1829)*(5-MIN(4,3+'5. Scenarios'!$E$8))/4+INDEX(BookQ4,1829)*(5-MIN(4,4+'5. Scenarios'!$E$8))/4)*'5. Scenarios'!$E$6/(1+ProductivityDefault*('5. Scenarios'!$E$11-1))+INDEX(BookOneOff,1829)*$S1834)</f>
        <v/>
      </c>
    </row>
    <row r="1835" customFormat="false" ht="15" hidden="false" customHeight="false" outlineLevel="0" collapsed="false">
      <c r="A1835" s="0" t="str">
        <f aca="false">IF(INDEX(BookTitle,1830)="","",INDEX(BookKey,1830))</f>
        <v/>
      </c>
      <c r="B1835" s="0" t="str">
        <f aca="false">IF(INDEX(BookTitle,1830)="","",INDEX(BookGroup,1830))</f>
        <v/>
      </c>
      <c r="C1835" s="0" t="str">
        <f aca="false">IF(INDEX(BookTitle,1830)="","",INDEX(BookCategory,1830))</f>
        <v/>
      </c>
      <c r="D1835" s="56" t="str">
        <f aca="false">IF(INDEX(BookTitle,1830)="","",INDEX(BookTotal,1830)*'5. Scenarios'!$B$6/(1+ProductivityDefault*('5. Scenarios'!$B$11-1)))</f>
        <v/>
      </c>
      <c r="E1835" s="57" t="str">
        <f aca="false">IF($D1835="","",INDEX(BookRate,1830)*(1+'5. Scenarios'!$B$10)*$D1835)</f>
        <v/>
      </c>
      <c r="F1835" s="57" t="str">
        <f aca="false">IF($E1835="","",SUMIFS($E$6:$E$2405,$A$6:$A$2405,"&lt;="&amp;$A1835))</f>
        <v/>
      </c>
      <c r="G1835" s="57" t="str">
        <f aca="false">IF($E1835="","",IF($F1835&lt;=BankCostEnvelope*'5. Scenarios'!$B$7,1,0))</f>
        <v/>
      </c>
      <c r="H1835" s="57" t="str">
        <f aca="false">IF($D1835="","",INDEX(BookRate,1830)*(1+'5. Scenarios'!$B$10)*(INDEX(BookQ1,1830)*(5-MIN(4,1+'5. Scenarios'!$B$8))/4+INDEX(BookQ2,1830)*(5-MIN(4,2+'5. Scenarios'!$B$8))/4+INDEX(BookQ3,1830)*(5-MIN(4,3+'5. Scenarios'!$B$8))/4+INDEX(BookQ4,1830)*(5-MIN(4,4+'5. Scenarios'!$B$8))/4)*'5. Scenarios'!$B$6/(1+ProductivityDefault*('5. Scenarios'!$B$11-1))+INDEX(BookOneOff,1830)*$D1835)</f>
        <v/>
      </c>
      <c r="I1835" s="56" t="str">
        <f aca="false">IF(INDEX(BookTitle,1830)="","",INDEX(BookTotal,1830)*'5. Scenarios'!$C$6/(1+ProductivityDefault*('5. Scenarios'!$C$11-1)))</f>
        <v/>
      </c>
      <c r="J1835" s="57" t="str">
        <f aca="false">IF($I1835="","",INDEX(BookRate,1830)*(1+'5. Scenarios'!$C$10)*$I1835)</f>
        <v/>
      </c>
      <c r="K1835" s="57" t="str">
        <f aca="false">IF($J1835="","",SUMIFS($J$6:$J$2405,$A$6:$A$2405,"&lt;="&amp;$A1835))</f>
        <v/>
      </c>
      <c r="L1835" s="57" t="str">
        <f aca="false">IF($J1835="","",IF($K1835&lt;=BankCostEnvelope*'5. Scenarios'!$C$7,1,0))</f>
        <v/>
      </c>
      <c r="M1835" s="57" t="str">
        <f aca="false">IF($I1835="","",INDEX(BookRate,1830)*(1+'5. Scenarios'!$C$10)*(INDEX(BookQ1,1830)*(5-MIN(4,1+'5. Scenarios'!$C$8))/4+INDEX(BookQ2,1830)*(5-MIN(4,2+'5. Scenarios'!$C$8))/4+INDEX(BookQ3,1830)*(5-MIN(4,3+'5. Scenarios'!$C$8))/4+INDEX(BookQ4,1830)*(5-MIN(4,4+'5. Scenarios'!$C$8))/4)*'5. Scenarios'!$C$6/(1+ProductivityDefault*('5. Scenarios'!$C$11-1))+INDEX(BookOneOff,1830)*$I1835)</f>
        <v/>
      </c>
      <c r="N1835" s="56" t="str">
        <f aca="false">IF(INDEX(BookTitle,1830)="","",INDEX(BookTotal,1830)*'5. Scenarios'!$D$6/(1+ProductivityDefault*('5. Scenarios'!$D$11-1)))</f>
        <v/>
      </c>
      <c r="O1835" s="57" t="str">
        <f aca="false">IF($N1835="","",INDEX(BookRate,1830)*(1+'5. Scenarios'!$D$10)*$N1835)</f>
        <v/>
      </c>
      <c r="P1835" s="57" t="str">
        <f aca="false">IF($O1835="","",SUMIFS($O$6:$O$2405,$A$6:$A$2405,"&lt;="&amp;$A1835))</f>
        <v/>
      </c>
      <c r="Q1835" s="57" t="str">
        <f aca="false">IF($O1835="","",IF($P1835&lt;=BankCostEnvelope*'5. Scenarios'!$D$7,1,0))</f>
        <v/>
      </c>
      <c r="R1835" s="57" t="str">
        <f aca="false">IF($N1835="","",INDEX(BookRate,1830)*(1+'5. Scenarios'!$D$10)*(INDEX(BookQ1,1830)*(5-MIN(4,1+'5. Scenarios'!$D$8))/4+INDEX(BookQ2,1830)*(5-MIN(4,2+'5. Scenarios'!$D$8))/4+INDEX(BookQ3,1830)*(5-MIN(4,3+'5. Scenarios'!$D$8))/4+INDEX(BookQ4,1830)*(5-MIN(4,4+'5. Scenarios'!$D$8))/4)*'5. Scenarios'!$D$6/(1+ProductivityDefault*('5. Scenarios'!$D$11-1))+INDEX(BookOneOff,1830)*$N1835)</f>
        <v/>
      </c>
      <c r="S1835" s="56" t="str">
        <f aca="false">IF(INDEX(BookTitle,1830)="","",INDEX(BookTotal,1830)*'5. Scenarios'!$E$6/(1+ProductivityDefault*('5. Scenarios'!$E$11-1)))</f>
        <v/>
      </c>
      <c r="T1835" s="57" t="str">
        <f aca="false">IF($S1835="","",INDEX(BookRate,1830)*(1+'5. Scenarios'!$E$10)*$S1835)</f>
        <v/>
      </c>
      <c r="U1835" s="57" t="str">
        <f aca="false">IF($T1835="","",SUMIFS($T$6:$T$2405,$A$6:$A$2405,"&lt;="&amp;$A1835))</f>
        <v/>
      </c>
      <c r="V1835" s="57" t="str">
        <f aca="false">IF($T1835="","",IF($U1835&lt;=BankCostEnvelope*'5. Scenarios'!$E$7,1,0))</f>
        <v/>
      </c>
      <c r="W1835" s="57" t="str">
        <f aca="false">IF($S1835="","",INDEX(BookRate,1830)*(1+'5. Scenarios'!$E$10)*(INDEX(BookQ1,1830)*(5-MIN(4,1+'5. Scenarios'!$E$8))/4+INDEX(BookQ2,1830)*(5-MIN(4,2+'5. Scenarios'!$E$8))/4+INDEX(BookQ3,1830)*(5-MIN(4,3+'5. Scenarios'!$E$8))/4+INDEX(BookQ4,1830)*(5-MIN(4,4+'5. Scenarios'!$E$8))/4)*'5. Scenarios'!$E$6/(1+ProductivityDefault*('5. Scenarios'!$E$11-1))+INDEX(BookOneOff,1830)*$S1835)</f>
        <v/>
      </c>
    </row>
    <row r="1836" customFormat="false" ht="15" hidden="false" customHeight="false" outlineLevel="0" collapsed="false">
      <c r="A1836" s="0" t="str">
        <f aca="false">IF(INDEX(BookTitle,1831)="","",INDEX(BookKey,1831))</f>
        <v/>
      </c>
      <c r="B1836" s="0" t="str">
        <f aca="false">IF(INDEX(BookTitle,1831)="","",INDEX(BookGroup,1831))</f>
        <v/>
      </c>
      <c r="C1836" s="0" t="str">
        <f aca="false">IF(INDEX(BookTitle,1831)="","",INDEX(BookCategory,1831))</f>
        <v/>
      </c>
      <c r="D1836" s="56" t="str">
        <f aca="false">IF(INDEX(BookTitle,1831)="","",INDEX(BookTotal,1831)*'5. Scenarios'!$B$6/(1+ProductivityDefault*('5. Scenarios'!$B$11-1)))</f>
        <v/>
      </c>
      <c r="E1836" s="57" t="str">
        <f aca="false">IF($D1836="","",INDEX(BookRate,1831)*(1+'5. Scenarios'!$B$10)*$D1836)</f>
        <v/>
      </c>
      <c r="F1836" s="57" t="str">
        <f aca="false">IF($E1836="","",SUMIFS($E$6:$E$2405,$A$6:$A$2405,"&lt;="&amp;$A1836))</f>
        <v/>
      </c>
      <c r="G1836" s="57" t="str">
        <f aca="false">IF($E1836="","",IF($F1836&lt;=BankCostEnvelope*'5. Scenarios'!$B$7,1,0))</f>
        <v/>
      </c>
      <c r="H1836" s="57" t="str">
        <f aca="false">IF($D1836="","",INDEX(BookRate,1831)*(1+'5. Scenarios'!$B$10)*(INDEX(BookQ1,1831)*(5-MIN(4,1+'5. Scenarios'!$B$8))/4+INDEX(BookQ2,1831)*(5-MIN(4,2+'5. Scenarios'!$B$8))/4+INDEX(BookQ3,1831)*(5-MIN(4,3+'5. Scenarios'!$B$8))/4+INDEX(BookQ4,1831)*(5-MIN(4,4+'5. Scenarios'!$B$8))/4)*'5. Scenarios'!$B$6/(1+ProductivityDefault*('5. Scenarios'!$B$11-1))+INDEX(BookOneOff,1831)*$D1836)</f>
        <v/>
      </c>
      <c r="I1836" s="56" t="str">
        <f aca="false">IF(INDEX(BookTitle,1831)="","",INDEX(BookTotal,1831)*'5. Scenarios'!$C$6/(1+ProductivityDefault*('5. Scenarios'!$C$11-1)))</f>
        <v/>
      </c>
      <c r="J1836" s="57" t="str">
        <f aca="false">IF($I1836="","",INDEX(BookRate,1831)*(1+'5. Scenarios'!$C$10)*$I1836)</f>
        <v/>
      </c>
      <c r="K1836" s="57" t="str">
        <f aca="false">IF($J1836="","",SUMIFS($J$6:$J$2405,$A$6:$A$2405,"&lt;="&amp;$A1836))</f>
        <v/>
      </c>
      <c r="L1836" s="57" t="str">
        <f aca="false">IF($J1836="","",IF($K1836&lt;=BankCostEnvelope*'5. Scenarios'!$C$7,1,0))</f>
        <v/>
      </c>
      <c r="M1836" s="57" t="str">
        <f aca="false">IF($I1836="","",INDEX(BookRate,1831)*(1+'5. Scenarios'!$C$10)*(INDEX(BookQ1,1831)*(5-MIN(4,1+'5. Scenarios'!$C$8))/4+INDEX(BookQ2,1831)*(5-MIN(4,2+'5. Scenarios'!$C$8))/4+INDEX(BookQ3,1831)*(5-MIN(4,3+'5. Scenarios'!$C$8))/4+INDEX(BookQ4,1831)*(5-MIN(4,4+'5. Scenarios'!$C$8))/4)*'5. Scenarios'!$C$6/(1+ProductivityDefault*('5. Scenarios'!$C$11-1))+INDEX(BookOneOff,1831)*$I1836)</f>
        <v/>
      </c>
      <c r="N1836" s="56" t="str">
        <f aca="false">IF(INDEX(BookTitle,1831)="","",INDEX(BookTotal,1831)*'5. Scenarios'!$D$6/(1+ProductivityDefault*('5. Scenarios'!$D$11-1)))</f>
        <v/>
      </c>
      <c r="O1836" s="57" t="str">
        <f aca="false">IF($N1836="","",INDEX(BookRate,1831)*(1+'5. Scenarios'!$D$10)*$N1836)</f>
        <v/>
      </c>
      <c r="P1836" s="57" t="str">
        <f aca="false">IF($O1836="","",SUMIFS($O$6:$O$2405,$A$6:$A$2405,"&lt;="&amp;$A1836))</f>
        <v/>
      </c>
      <c r="Q1836" s="57" t="str">
        <f aca="false">IF($O1836="","",IF($P1836&lt;=BankCostEnvelope*'5. Scenarios'!$D$7,1,0))</f>
        <v/>
      </c>
      <c r="R1836" s="57" t="str">
        <f aca="false">IF($N1836="","",INDEX(BookRate,1831)*(1+'5. Scenarios'!$D$10)*(INDEX(BookQ1,1831)*(5-MIN(4,1+'5. Scenarios'!$D$8))/4+INDEX(BookQ2,1831)*(5-MIN(4,2+'5. Scenarios'!$D$8))/4+INDEX(BookQ3,1831)*(5-MIN(4,3+'5. Scenarios'!$D$8))/4+INDEX(BookQ4,1831)*(5-MIN(4,4+'5. Scenarios'!$D$8))/4)*'5. Scenarios'!$D$6/(1+ProductivityDefault*('5. Scenarios'!$D$11-1))+INDEX(BookOneOff,1831)*$N1836)</f>
        <v/>
      </c>
      <c r="S1836" s="56" t="str">
        <f aca="false">IF(INDEX(BookTitle,1831)="","",INDEX(BookTotal,1831)*'5. Scenarios'!$E$6/(1+ProductivityDefault*('5. Scenarios'!$E$11-1)))</f>
        <v/>
      </c>
      <c r="T1836" s="57" t="str">
        <f aca="false">IF($S1836="","",INDEX(BookRate,1831)*(1+'5. Scenarios'!$E$10)*$S1836)</f>
        <v/>
      </c>
      <c r="U1836" s="57" t="str">
        <f aca="false">IF($T1836="","",SUMIFS($T$6:$T$2405,$A$6:$A$2405,"&lt;="&amp;$A1836))</f>
        <v/>
      </c>
      <c r="V1836" s="57" t="str">
        <f aca="false">IF($T1836="","",IF($U1836&lt;=BankCostEnvelope*'5. Scenarios'!$E$7,1,0))</f>
        <v/>
      </c>
      <c r="W1836" s="57" t="str">
        <f aca="false">IF($S1836="","",INDEX(BookRate,1831)*(1+'5. Scenarios'!$E$10)*(INDEX(BookQ1,1831)*(5-MIN(4,1+'5. Scenarios'!$E$8))/4+INDEX(BookQ2,1831)*(5-MIN(4,2+'5. Scenarios'!$E$8))/4+INDEX(BookQ3,1831)*(5-MIN(4,3+'5. Scenarios'!$E$8))/4+INDEX(BookQ4,1831)*(5-MIN(4,4+'5. Scenarios'!$E$8))/4)*'5. Scenarios'!$E$6/(1+ProductivityDefault*('5. Scenarios'!$E$11-1))+INDEX(BookOneOff,1831)*$S1836)</f>
        <v/>
      </c>
    </row>
    <row r="1837" customFormat="false" ht="15" hidden="false" customHeight="false" outlineLevel="0" collapsed="false">
      <c r="A1837" s="0" t="str">
        <f aca="false">IF(INDEX(BookTitle,1832)="","",INDEX(BookKey,1832))</f>
        <v/>
      </c>
      <c r="B1837" s="0" t="str">
        <f aca="false">IF(INDEX(BookTitle,1832)="","",INDEX(BookGroup,1832))</f>
        <v/>
      </c>
      <c r="C1837" s="0" t="str">
        <f aca="false">IF(INDEX(BookTitle,1832)="","",INDEX(BookCategory,1832))</f>
        <v/>
      </c>
      <c r="D1837" s="56" t="str">
        <f aca="false">IF(INDEX(BookTitle,1832)="","",INDEX(BookTotal,1832)*'5. Scenarios'!$B$6/(1+ProductivityDefault*('5. Scenarios'!$B$11-1)))</f>
        <v/>
      </c>
      <c r="E1837" s="57" t="str">
        <f aca="false">IF($D1837="","",INDEX(BookRate,1832)*(1+'5. Scenarios'!$B$10)*$D1837)</f>
        <v/>
      </c>
      <c r="F1837" s="57" t="str">
        <f aca="false">IF($E1837="","",SUMIFS($E$6:$E$2405,$A$6:$A$2405,"&lt;="&amp;$A1837))</f>
        <v/>
      </c>
      <c r="G1837" s="57" t="str">
        <f aca="false">IF($E1837="","",IF($F1837&lt;=BankCostEnvelope*'5. Scenarios'!$B$7,1,0))</f>
        <v/>
      </c>
      <c r="H1837" s="57" t="str">
        <f aca="false">IF($D1837="","",INDEX(BookRate,1832)*(1+'5. Scenarios'!$B$10)*(INDEX(BookQ1,1832)*(5-MIN(4,1+'5. Scenarios'!$B$8))/4+INDEX(BookQ2,1832)*(5-MIN(4,2+'5. Scenarios'!$B$8))/4+INDEX(BookQ3,1832)*(5-MIN(4,3+'5. Scenarios'!$B$8))/4+INDEX(BookQ4,1832)*(5-MIN(4,4+'5. Scenarios'!$B$8))/4)*'5. Scenarios'!$B$6/(1+ProductivityDefault*('5. Scenarios'!$B$11-1))+INDEX(BookOneOff,1832)*$D1837)</f>
        <v/>
      </c>
      <c r="I1837" s="56" t="str">
        <f aca="false">IF(INDEX(BookTitle,1832)="","",INDEX(BookTotal,1832)*'5. Scenarios'!$C$6/(1+ProductivityDefault*('5. Scenarios'!$C$11-1)))</f>
        <v/>
      </c>
      <c r="J1837" s="57" t="str">
        <f aca="false">IF($I1837="","",INDEX(BookRate,1832)*(1+'5. Scenarios'!$C$10)*$I1837)</f>
        <v/>
      </c>
      <c r="K1837" s="57" t="str">
        <f aca="false">IF($J1837="","",SUMIFS($J$6:$J$2405,$A$6:$A$2405,"&lt;="&amp;$A1837))</f>
        <v/>
      </c>
      <c r="L1837" s="57" t="str">
        <f aca="false">IF($J1837="","",IF($K1837&lt;=BankCostEnvelope*'5. Scenarios'!$C$7,1,0))</f>
        <v/>
      </c>
      <c r="M1837" s="57" t="str">
        <f aca="false">IF($I1837="","",INDEX(BookRate,1832)*(1+'5. Scenarios'!$C$10)*(INDEX(BookQ1,1832)*(5-MIN(4,1+'5. Scenarios'!$C$8))/4+INDEX(BookQ2,1832)*(5-MIN(4,2+'5. Scenarios'!$C$8))/4+INDEX(BookQ3,1832)*(5-MIN(4,3+'5. Scenarios'!$C$8))/4+INDEX(BookQ4,1832)*(5-MIN(4,4+'5. Scenarios'!$C$8))/4)*'5. Scenarios'!$C$6/(1+ProductivityDefault*('5. Scenarios'!$C$11-1))+INDEX(BookOneOff,1832)*$I1837)</f>
        <v/>
      </c>
      <c r="N1837" s="56" t="str">
        <f aca="false">IF(INDEX(BookTitle,1832)="","",INDEX(BookTotal,1832)*'5. Scenarios'!$D$6/(1+ProductivityDefault*('5. Scenarios'!$D$11-1)))</f>
        <v/>
      </c>
      <c r="O1837" s="57" t="str">
        <f aca="false">IF($N1837="","",INDEX(BookRate,1832)*(1+'5. Scenarios'!$D$10)*$N1837)</f>
        <v/>
      </c>
      <c r="P1837" s="57" t="str">
        <f aca="false">IF($O1837="","",SUMIFS($O$6:$O$2405,$A$6:$A$2405,"&lt;="&amp;$A1837))</f>
        <v/>
      </c>
      <c r="Q1837" s="57" t="str">
        <f aca="false">IF($O1837="","",IF($P1837&lt;=BankCostEnvelope*'5. Scenarios'!$D$7,1,0))</f>
        <v/>
      </c>
      <c r="R1837" s="57" t="str">
        <f aca="false">IF($N1837="","",INDEX(BookRate,1832)*(1+'5. Scenarios'!$D$10)*(INDEX(BookQ1,1832)*(5-MIN(4,1+'5. Scenarios'!$D$8))/4+INDEX(BookQ2,1832)*(5-MIN(4,2+'5. Scenarios'!$D$8))/4+INDEX(BookQ3,1832)*(5-MIN(4,3+'5. Scenarios'!$D$8))/4+INDEX(BookQ4,1832)*(5-MIN(4,4+'5. Scenarios'!$D$8))/4)*'5. Scenarios'!$D$6/(1+ProductivityDefault*('5. Scenarios'!$D$11-1))+INDEX(BookOneOff,1832)*$N1837)</f>
        <v/>
      </c>
      <c r="S1837" s="56" t="str">
        <f aca="false">IF(INDEX(BookTitle,1832)="","",INDEX(BookTotal,1832)*'5. Scenarios'!$E$6/(1+ProductivityDefault*('5. Scenarios'!$E$11-1)))</f>
        <v/>
      </c>
      <c r="T1837" s="57" t="str">
        <f aca="false">IF($S1837="","",INDEX(BookRate,1832)*(1+'5. Scenarios'!$E$10)*$S1837)</f>
        <v/>
      </c>
      <c r="U1837" s="57" t="str">
        <f aca="false">IF($T1837="","",SUMIFS($T$6:$T$2405,$A$6:$A$2405,"&lt;="&amp;$A1837))</f>
        <v/>
      </c>
      <c r="V1837" s="57" t="str">
        <f aca="false">IF($T1837="","",IF($U1837&lt;=BankCostEnvelope*'5. Scenarios'!$E$7,1,0))</f>
        <v/>
      </c>
      <c r="W1837" s="57" t="str">
        <f aca="false">IF($S1837="","",INDEX(BookRate,1832)*(1+'5. Scenarios'!$E$10)*(INDEX(BookQ1,1832)*(5-MIN(4,1+'5. Scenarios'!$E$8))/4+INDEX(BookQ2,1832)*(5-MIN(4,2+'5. Scenarios'!$E$8))/4+INDEX(BookQ3,1832)*(5-MIN(4,3+'5. Scenarios'!$E$8))/4+INDEX(BookQ4,1832)*(5-MIN(4,4+'5. Scenarios'!$E$8))/4)*'5. Scenarios'!$E$6/(1+ProductivityDefault*('5. Scenarios'!$E$11-1))+INDEX(BookOneOff,1832)*$S1837)</f>
        <v/>
      </c>
    </row>
    <row r="1838" customFormat="false" ht="15" hidden="false" customHeight="false" outlineLevel="0" collapsed="false">
      <c r="A1838" s="0" t="str">
        <f aca="false">IF(INDEX(BookTitle,1833)="","",INDEX(BookKey,1833))</f>
        <v/>
      </c>
      <c r="B1838" s="0" t="str">
        <f aca="false">IF(INDEX(BookTitle,1833)="","",INDEX(BookGroup,1833))</f>
        <v/>
      </c>
      <c r="C1838" s="0" t="str">
        <f aca="false">IF(INDEX(BookTitle,1833)="","",INDEX(BookCategory,1833))</f>
        <v/>
      </c>
      <c r="D1838" s="56" t="str">
        <f aca="false">IF(INDEX(BookTitle,1833)="","",INDEX(BookTotal,1833)*'5. Scenarios'!$B$6/(1+ProductivityDefault*('5. Scenarios'!$B$11-1)))</f>
        <v/>
      </c>
      <c r="E1838" s="57" t="str">
        <f aca="false">IF($D1838="","",INDEX(BookRate,1833)*(1+'5. Scenarios'!$B$10)*$D1838)</f>
        <v/>
      </c>
      <c r="F1838" s="57" t="str">
        <f aca="false">IF($E1838="","",SUMIFS($E$6:$E$2405,$A$6:$A$2405,"&lt;="&amp;$A1838))</f>
        <v/>
      </c>
      <c r="G1838" s="57" t="str">
        <f aca="false">IF($E1838="","",IF($F1838&lt;=BankCostEnvelope*'5. Scenarios'!$B$7,1,0))</f>
        <v/>
      </c>
      <c r="H1838" s="57" t="str">
        <f aca="false">IF($D1838="","",INDEX(BookRate,1833)*(1+'5. Scenarios'!$B$10)*(INDEX(BookQ1,1833)*(5-MIN(4,1+'5. Scenarios'!$B$8))/4+INDEX(BookQ2,1833)*(5-MIN(4,2+'5. Scenarios'!$B$8))/4+INDEX(BookQ3,1833)*(5-MIN(4,3+'5. Scenarios'!$B$8))/4+INDEX(BookQ4,1833)*(5-MIN(4,4+'5. Scenarios'!$B$8))/4)*'5. Scenarios'!$B$6/(1+ProductivityDefault*('5. Scenarios'!$B$11-1))+INDEX(BookOneOff,1833)*$D1838)</f>
        <v/>
      </c>
      <c r="I1838" s="56" t="str">
        <f aca="false">IF(INDEX(BookTitle,1833)="","",INDEX(BookTotal,1833)*'5. Scenarios'!$C$6/(1+ProductivityDefault*('5. Scenarios'!$C$11-1)))</f>
        <v/>
      </c>
      <c r="J1838" s="57" t="str">
        <f aca="false">IF($I1838="","",INDEX(BookRate,1833)*(1+'5. Scenarios'!$C$10)*$I1838)</f>
        <v/>
      </c>
      <c r="K1838" s="57" t="str">
        <f aca="false">IF($J1838="","",SUMIFS($J$6:$J$2405,$A$6:$A$2405,"&lt;="&amp;$A1838))</f>
        <v/>
      </c>
      <c r="L1838" s="57" t="str">
        <f aca="false">IF($J1838="","",IF($K1838&lt;=BankCostEnvelope*'5. Scenarios'!$C$7,1,0))</f>
        <v/>
      </c>
      <c r="M1838" s="57" t="str">
        <f aca="false">IF($I1838="","",INDEX(BookRate,1833)*(1+'5. Scenarios'!$C$10)*(INDEX(BookQ1,1833)*(5-MIN(4,1+'5. Scenarios'!$C$8))/4+INDEX(BookQ2,1833)*(5-MIN(4,2+'5. Scenarios'!$C$8))/4+INDEX(BookQ3,1833)*(5-MIN(4,3+'5. Scenarios'!$C$8))/4+INDEX(BookQ4,1833)*(5-MIN(4,4+'5. Scenarios'!$C$8))/4)*'5. Scenarios'!$C$6/(1+ProductivityDefault*('5. Scenarios'!$C$11-1))+INDEX(BookOneOff,1833)*$I1838)</f>
        <v/>
      </c>
      <c r="N1838" s="56" t="str">
        <f aca="false">IF(INDEX(BookTitle,1833)="","",INDEX(BookTotal,1833)*'5. Scenarios'!$D$6/(1+ProductivityDefault*('5. Scenarios'!$D$11-1)))</f>
        <v/>
      </c>
      <c r="O1838" s="57" t="str">
        <f aca="false">IF($N1838="","",INDEX(BookRate,1833)*(1+'5. Scenarios'!$D$10)*$N1838)</f>
        <v/>
      </c>
      <c r="P1838" s="57" t="str">
        <f aca="false">IF($O1838="","",SUMIFS($O$6:$O$2405,$A$6:$A$2405,"&lt;="&amp;$A1838))</f>
        <v/>
      </c>
      <c r="Q1838" s="57" t="str">
        <f aca="false">IF($O1838="","",IF($P1838&lt;=BankCostEnvelope*'5. Scenarios'!$D$7,1,0))</f>
        <v/>
      </c>
      <c r="R1838" s="57" t="str">
        <f aca="false">IF($N1838="","",INDEX(BookRate,1833)*(1+'5. Scenarios'!$D$10)*(INDEX(BookQ1,1833)*(5-MIN(4,1+'5. Scenarios'!$D$8))/4+INDEX(BookQ2,1833)*(5-MIN(4,2+'5. Scenarios'!$D$8))/4+INDEX(BookQ3,1833)*(5-MIN(4,3+'5. Scenarios'!$D$8))/4+INDEX(BookQ4,1833)*(5-MIN(4,4+'5. Scenarios'!$D$8))/4)*'5. Scenarios'!$D$6/(1+ProductivityDefault*('5. Scenarios'!$D$11-1))+INDEX(BookOneOff,1833)*$N1838)</f>
        <v/>
      </c>
      <c r="S1838" s="56" t="str">
        <f aca="false">IF(INDEX(BookTitle,1833)="","",INDEX(BookTotal,1833)*'5. Scenarios'!$E$6/(1+ProductivityDefault*('5. Scenarios'!$E$11-1)))</f>
        <v/>
      </c>
      <c r="T1838" s="57" t="str">
        <f aca="false">IF($S1838="","",INDEX(BookRate,1833)*(1+'5. Scenarios'!$E$10)*$S1838)</f>
        <v/>
      </c>
      <c r="U1838" s="57" t="str">
        <f aca="false">IF($T1838="","",SUMIFS($T$6:$T$2405,$A$6:$A$2405,"&lt;="&amp;$A1838))</f>
        <v/>
      </c>
      <c r="V1838" s="57" t="str">
        <f aca="false">IF($T1838="","",IF($U1838&lt;=BankCostEnvelope*'5. Scenarios'!$E$7,1,0))</f>
        <v/>
      </c>
      <c r="W1838" s="57" t="str">
        <f aca="false">IF($S1838="","",INDEX(BookRate,1833)*(1+'5. Scenarios'!$E$10)*(INDEX(BookQ1,1833)*(5-MIN(4,1+'5. Scenarios'!$E$8))/4+INDEX(BookQ2,1833)*(5-MIN(4,2+'5. Scenarios'!$E$8))/4+INDEX(BookQ3,1833)*(5-MIN(4,3+'5. Scenarios'!$E$8))/4+INDEX(BookQ4,1833)*(5-MIN(4,4+'5. Scenarios'!$E$8))/4)*'5. Scenarios'!$E$6/(1+ProductivityDefault*('5. Scenarios'!$E$11-1))+INDEX(BookOneOff,1833)*$S1838)</f>
        <v/>
      </c>
    </row>
    <row r="1839" customFormat="false" ht="15" hidden="false" customHeight="false" outlineLevel="0" collapsed="false">
      <c r="A1839" s="0" t="str">
        <f aca="false">IF(INDEX(BookTitle,1834)="","",INDEX(BookKey,1834))</f>
        <v/>
      </c>
      <c r="B1839" s="0" t="str">
        <f aca="false">IF(INDEX(BookTitle,1834)="","",INDEX(BookGroup,1834))</f>
        <v/>
      </c>
      <c r="C1839" s="0" t="str">
        <f aca="false">IF(INDEX(BookTitle,1834)="","",INDEX(BookCategory,1834))</f>
        <v/>
      </c>
      <c r="D1839" s="56" t="str">
        <f aca="false">IF(INDEX(BookTitle,1834)="","",INDEX(BookTotal,1834)*'5. Scenarios'!$B$6/(1+ProductivityDefault*('5. Scenarios'!$B$11-1)))</f>
        <v/>
      </c>
      <c r="E1839" s="57" t="str">
        <f aca="false">IF($D1839="","",INDEX(BookRate,1834)*(1+'5. Scenarios'!$B$10)*$D1839)</f>
        <v/>
      </c>
      <c r="F1839" s="57" t="str">
        <f aca="false">IF($E1839="","",SUMIFS($E$6:$E$2405,$A$6:$A$2405,"&lt;="&amp;$A1839))</f>
        <v/>
      </c>
      <c r="G1839" s="57" t="str">
        <f aca="false">IF($E1839="","",IF($F1839&lt;=BankCostEnvelope*'5. Scenarios'!$B$7,1,0))</f>
        <v/>
      </c>
      <c r="H1839" s="57" t="str">
        <f aca="false">IF($D1839="","",INDEX(BookRate,1834)*(1+'5. Scenarios'!$B$10)*(INDEX(BookQ1,1834)*(5-MIN(4,1+'5. Scenarios'!$B$8))/4+INDEX(BookQ2,1834)*(5-MIN(4,2+'5. Scenarios'!$B$8))/4+INDEX(BookQ3,1834)*(5-MIN(4,3+'5. Scenarios'!$B$8))/4+INDEX(BookQ4,1834)*(5-MIN(4,4+'5. Scenarios'!$B$8))/4)*'5. Scenarios'!$B$6/(1+ProductivityDefault*('5. Scenarios'!$B$11-1))+INDEX(BookOneOff,1834)*$D1839)</f>
        <v/>
      </c>
      <c r="I1839" s="56" t="str">
        <f aca="false">IF(INDEX(BookTitle,1834)="","",INDEX(BookTotal,1834)*'5. Scenarios'!$C$6/(1+ProductivityDefault*('5. Scenarios'!$C$11-1)))</f>
        <v/>
      </c>
      <c r="J1839" s="57" t="str">
        <f aca="false">IF($I1839="","",INDEX(BookRate,1834)*(1+'5. Scenarios'!$C$10)*$I1839)</f>
        <v/>
      </c>
      <c r="K1839" s="57" t="str">
        <f aca="false">IF($J1839="","",SUMIFS($J$6:$J$2405,$A$6:$A$2405,"&lt;="&amp;$A1839))</f>
        <v/>
      </c>
      <c r="L1839" s="57" t="str">
        <f aca="false">IF($J1839="","",IF($K1839&lt;=BankCostEnvelope*'5. Scenarios'!$C$7,1,0))</f>
        <v/>
      </c>
      <c r="M1839" s="57" t="str">
        <f aca="false">IF($I1839="","",INDEX(BookRate,1834)*(1+'5. Scenarios'!$C$10)*(INDEX(BookQ1,1834)*(5-MIN(4,1+'5. Scenarios'!$C$8))/4+INDEX(BookQ2,1834)*(5-MIN(4,2+'5. Scenarios'!$C$8))/4+INDEX(BookQ3,1834)*(5-MIN(4,3+'5. Scenarios'!$C$8))/4+INDEX(BookQ4,1834)*(5-MIN(4,4+'5. Scenarios'!$C$8))/4)*'5. Scenarios'!$C$6/(1+ProductivityDefault*('5. Scenarios'!$C$11-1))+INDEX(BookOneOff,1834)*$I1839)</f>
        <v/>
      </c>
      <c r="N1839" s="56" t="str">
        <f aca="false">IF(INDEX(BookTitle,1834)="","",INDEX(BookTotal,1834)*'5. Scenarios'!$D$6/(1+ProductivityDefault*('5. Scenarios'!$D$11-1)))</f>
        <v/>
      </c>
      <c r="O1839" s="57" t="str">
        <f aca="false">IF($N1839="","",INDEX(BookRate,1834)*(1+'5. Scenarios'!$D$10)*$N1839)</f>
        <v/>
      </c>
      <c r="P1839" s="57" t="str">
        <f aca="false">IF($O1839="","",SUMIFS($O$6:$O$2405,$A$6:$A$2405,"&lt;="&amp;$A1839))</f>
        <v/>
      </c>
      <c r="Q1839" s="57" t="str">
        <f aca="false">IF($O1839="","",IF($P1839&lt;=BankCostEnvelope*'5. Scenarios'!$D$7,1,0))</f>
        <v/>
      </c>
      <c r="R1839" s="57" t="str">
        <f aca="false">IF($N1839="","",INDEX(BookRate,1834)*(1+'5. Scenarios'!$D$10)*(INDEX(BookQ1,1834)*(5-MIN(4,1+'5. Scenarios'!$D$8))/4+INDEX(BookQ2,1834)*(5-MIN(4,2+'5. Scenarios'!$D$8))/4+INDEX(BookQ3,1834)*(5-MIN(4,3+'5. Scenarios'!$D$8))/4+INDEX(BookQ4,1834)*(5-MIN(4,4+'5. Scenarios'!$D$8))/4)*'5. Scenarios'!$D$6/(1+ProductivityDefault*('5. Scenarios'!$D$11-1))+INDEX(BookOneOff,1834)*$N1839)</f>
        <v/>
      </c>
      <c r="S1839" s="56" t="str">
        <f aca="false">IF(INDEX(BookTitle,1834)="","",INDEX(BookTotal,1834)*'5. Scenarios'!$E$6/(1+ProductivityDefault*('5. Scenarios'!$E$11-1)))</f>
        <v/>
      </c>
      <c r="T1839" s="57" t="str">
        <f aca="false">IF($S1839="","",INDEX(BookRate,1834)*(1+'5. Scenarios'!$E$10)*$S1839)</f>
        <v/>
      </c>
      <c r="U1839" s="57" t="str">
        <f aca="false">IF($T1839="","",SUMIFS($T$6:$T$2405,$A$6:$A$2405,"&lt;="&amp;$A1839))</f>
        <v/>
      </c>
      <c r="V1839" s="57" t="str">
        <f aca="false">IF($T1839="","",IF($U1839&lt;=BankCostEnvelope*'5. Scenarios'!$E$7,1,0))</f>
        <v/>
      </c>
      <c r="W1839" s="57" t="str">
        <f aca="false">IF($S1839="","",INDEX(BookRate,1834)*(1+'5. Scenarios'!$E$10)*(INDEX(BookQ1,1834)*(5-MIN(4,1+'5. Scenarios'!$E$8))/4+INDEX(BookQ2,1834)*(5-MIN(4,2+'5. Scenarios'!$E$8))/4+INDEX(BookQ3,1834)*(5-MIN(4,3+'5. Scenarios'!$E$8))/4+INDEX(BookQ4,1834)*(5-MIN(4,4+'5. Scenarios'!$E$8))/4)*'5. Scenarios'!$E$6/(1+ProductivityDefault*('5. Scenarios'!$E$11-1))+INDEX(BookOneOff,1834)*$S1839)</f>
        <v/>
      </c>
    </row>
    <row r="1840" customFormat="false" ht="15" hidden="false" customHeight="false" outlineLevel="0" collapsed="false">
      <c r="A1840" s="0" t="str">
        <f aca="false">IF(INDEX(BookTitle,1835)="","",INDEX(BookKey,1835))</f>
        <v/>
      </c>
      <c r="B1840" s="0" t="str">
        <f aca="false">IF(INDEX(BookTitle,1835)="","",INDEX(BookGroup,1835))</f>
        <v/>
      </c>
      <c r="C1840" s="0" t="str">
        <f aca="false">IF(INDEX(BookTitle,1835)="","",INDEX(BookCategory,1835))</f>
        <v/>
      </c>
      <c r="D1840" s="56" t="str">
        <f aca="false">IF(INDEX(BookTitle,1835)="","",INDEX(BookTotal,1835)*'5. Scenarios'!$B$6/(1+ProductivityDefault*('5. Scenarios'!$B$11-1)))</f>
        <v/>
      </c>
      <c r="E1840" s="57" t="str">
        <f aca="false">IF($D1840="","",INDEX(BookRate,1835)*(1+'5. Scenarios'!$B$10)*$D1840)</f>
        <v/>
      </c>
      <c r="F1840" s="57" t="str">
        <f aca="false">IF($E1840="","",SUMIFS($E$6:$E$2405,$A$6:$A$2405,"&lt;="&amp;$A1840))</f>
        <v/>
      </c>
      <c r="G1840" s="57" t="str">
        <f aca="false">IF($E1840="","",IF($F1840&lt;=BankCostEnvelope*'5. Scenarios'!$B$7,1,0))</f>
        <v/>
      </c>
      <c r="H1840" s="57" t="str">
        <f aca="false">IF($D1840="","",INDEX(BookRate,1835)*(1+'5. Scenarios'!$B$10)*(INDEX(BookQ1,1835)*(5-MIN(4,1+'5. Scenarios'!$B$8))/4+INDEX(BookQ2,1835)*(5-MIN(4,2+'5. Scenarios'!$B$8))/4+INDEX(BookQ3,1835)*(5-MIN(4,3+'5. Scenarios'!$B$8))/4+INDEX(BookQ4,1835)*(5-MIN(4,4+'5. Scenarios'!$B$8))/4)*'5. Scenarios'!$B$6/(1+ProductivityDefault*('5. Scenarios'!$B$11-1))+INDEX(BookOneOff,1835)*$D1840)</f>
        <v/>
      </c>
      <c r="I1840" s="56" t="str">
        <f aca="false">IF(INDEX(BookTitle,1835)="","",INDEX(BookTotal,1835)*'5. Scenarios'!$C$6/(1+ProductivityDefault*('5. Scenarios'!$C$11-1)))</f>
        <v/>
      </c>
      <c r="J1840" s="57" t="str">
        <f aca="false">IF($I1840="","",INDEX(BookRate,1835)*(1+'5. Scenarios'!$C$10)*$I1840)</f>
        <v/>
      </c>
      <c r="K1840" s="57" t="str">
        <f aca="false">IF($J1840="","",SUMIFS($J$6:$J$2405,$A$6:$A$2405,"&lt;="&amp;$A1840))</f>
        <v/>
      </c>
      <c r="L1840" s="57" t="str">
        <f aca="false">IF($J1840="","",IF($K1840&lt;=BankCostEnvelope*'5. Scenarios'!$C$7,1,0))</f>
        <v/>
      </c>
      <c r="M1840" s="57" t="str">
        <f aca="false">IF($I1840="","",INDEX(BookRate,1835)*(1+'5. Scenarios'!$C$10)*(INDEX(BookQ1,1835)*(5-MIN(4,1+'5. Scenarios'!$C$8))/4+INDEX(BookQ2,1835)*(5-MIN(4,2+'5. Scenarios'!$C$8))/4+INDEX(BookQ3,1835)*(5-MIN(4,3+'5. Scenarios'!$C$8))/4+INDEX(BookQ4,1835)*(5-MIN(4,4+'5. Scenarios'!$C$8))/4)*'5. Scenarios'!$C$6/(1+ProductivityDefault*('5. Scenarios'!$C$11-1))+INDEX(BookOneOff,1835)*$I1840)</f>
        <v/>
      </c>
      <c r="N1840" s="56" t="str">
        <f aca="false">IF(INDEX(BookTitle,1835)="","",INDEX(BookTotal,1835)*'5. Scenarios'!$D$6/(1+ProductivityDefault*('5. Scenarios'!$D$11-1)))</f>
        <v/>
      </c>
      <c r="O1840" s="57" t="str">
        <f aca="false">IF($N1840="","",INDEX(BookRate,1835)*(1+'5. Scenarios'!$D$10)*$N1840)</f>
        <v/>
      </c>
      <c r="P1840" s="57" t="str">
        <f aca="false">IF($O1840="","",SUMIFS($O$6:$O$2405,$A$6:$A$2405,"&lt;="&amp;$A1840))</f>
        <v/>
      </c>
      <c r="Q1840" s="57" t="str">
        <f aca="false">IF($O1840="","",IF($P1840&lt;=BankCostEnvelope*'5. Scenarios'!$D$7,1,0))</f>
        <v/>
      </c>
      <c r="R1840" s="57" t="str">
        <f aca="false">IF($N1840="","",INDEX(BookRate,1835)*(1+'5. Scenarios'!$D$10)*(INDEX(BookQ1,1835)*(5-MIN(4,1+'5. Scenarios'!$D$8))/4+INDEX(BookQ2,1835)*(5-MIN(4,2+'5. Scenarios'!$D$8))/4+INDEX(BookQ3,1835)*(5-MIN(4,3+'5. Scenarios'!$D$8))/4+INDEX(BookQ4,1835)*(5-MIN(4,4+'5. Scenarios'!$D$8))/4)*'5. Scenarios'!$D$6/(1+ProductivityDefault*('5. Scenarios'!$D$11-1))+INDEX(BookOneOff,1835)*$N1840)</f>
        <v/>
      </c>
      <c r="S1840" s="56" t="str">
        <f aca="false">IF(INDEX(BookTitle,1835)="","",INDEX(BookTotal,1835)*'5. Scenarios'!$E$6/(1+ProductivityDefault*('5. Scenarios'!$E$11-1)))</f>
        <v/>
      </c>
      <c r="T1840" s="57" t="str">
        <f aca="false">IF($S1840="","",INDEX(BookRate,1835)*(1+'5. Scenarios'!$E$10)*$S1840)</f>
        <v/>
      </c>
      <c r="U1840" s="57" t="str">
        <f aca="false">IF($T1840="","",SUMIFS($T$6:$T$2405,$A$6:$A$2405,"&lt;="&amp;$A1840))</f>
        <v/>
      </c>
      <c r="V1840" s="57" t="str">
        <f aca="false">IF($T1840="","",IF($U1840&lt;=BankCostEnvelope*'5. Scenarios'!$E$7,1,0))</f>
        <v/>
      </c>
      <c r="W1840" s="57" t="str">
        <f aca="false">IF($S1840="","",INDEX(BookRate,1835)*(1+'5. Scenarios'!$E$10)*(INDEX(BookQ1,1835)*(5-MIN(4,1+'5. Scenarios'!$E$8))/4+INDEX(BookQ2,1835)*(5-MIN(4,2+'5. Scenarios'!$E$8))/4+INDEX(BookQ3,1835)*(5-MIN(4,3+'5. Scenarios'!$E$8))/4+INDEX(BookQ4,1835)*(5-MIN(4,4+'5. Scenarios'!$E$8))/4)*'5. Scenarios'!$E$6/(1+ProductivityDefault*('5. Scenarios'!$E$11-1))+INDEX(BookOneOff,1835)*$S1840)</f>
        <v/>
      </c>
    </row>
    <row r="1841" customFormat="false" ht="15" hidden="false" customHeight="false" outlineLevel="0" collapsed="false">
      <c r="A1841" s="0" t="str">
        <f aca="false">IF(INDEX(BookTitle,1836)="","",INDEX(BookKey,1836))</f>
        <v/>
      </c>
      <c r="B1841" s="0" t="str">
        <f aca="false">IF(INDEX(BookTitle,1836)="","",INDEX(BookGroup,1836))</f>
        <v/>
      </c>
      <c r="C1841" s="0" t="str">
        <f aca="false">IF(INDEX(BookTitle,1836)="","",INDEX(BookCategory,1836))</f>
        <v/>
      </c>
      <c r="D1841" s="56" t="str">
        <f aca="false">IF(INDEX(BookTitle,1836)="","",INDEX(BookTotal,1836)*'5. Scenarios'!$B$6/(1+ProductivityDefault*('5. Scenarios'!$B$11-1)))</f>
        <v/>
      </c>
      <c r="E1841" s="57" t="str">
        <f aca="false">IF($D1841="","",INDEX(BookRate,1836)*(1+'5. Scenarios'!$B$10)*$D1841)</f>
        <v/>
      </c>
      <c r="F1841" s="57" t="str">
        <f aca="false">IF($E1841="","",SUMIFS($E$6:$E$2405,$A$6:$A$2405,"&lt;="&amp;$A1841))</f>
        <v/>
      </c>
      <c r="G1841" s="57" t="str">
        <f aca="false">IF($E1841="","",IF($F1841&lt;=BankCostEnvelope*'5. Scenarios'!$B$7,1,0))</f>
        <v/>
      </c>
      <c r="H1841" s="57" t="str">
        <f aca="false">IF($D1841="","",INDEX(BookRate,1836)*(1+'5. Scenarios'!$B$10)*(INDEX(BookQ1,1836)*(5-MIN(4,1+'5. Scenarios'!$B$8))/4+INDEX(BookQ2,1836)*(5-MIN(4,2+'5. Scenarios'!$B$8))/4+INDEX(BookQ3,1836)*(5-MIN(4,3+'5. Scenarios'!$B$8))/4+INDEX(BookQ4,1836)*(5-MIN(4,4+'5. Scenarios'!$B$8))/4)*'5. Scenarios'!$B$6/(1+ProductivityDefault*('5. Scenarios'!$B$11-1))+INDEX(BookOneOff,1836)*$D1841)</f>
        <v/>
      </c>
      <c r="I1841" s="56" t="str">
        <f aca="false">IF(INDEX(BookTitle,1836)="","",INDEX(BookTotal,1836)*'5. Scenarios'!$C$6/(1+ProductivityDefault*('5. Scenarios'!$C$11-1)))</f>
        <v/>
      </c>
      <c r="J1841" s="57" t="str">
        <f aca="false">IF($I1841="","",INDEX(BookRate,1836)*(1+'5. Scenarios'!$C$10)*$I1841)</f>
        <v/>
      </c>
      <c r="K1841" s="57" t="str">
        <f aca="false">IF($J1841="","",SUMIFS($J$6:$J$2405,$A$6:$A$2405,"&lt;="&amp;$A1841))</f>
        <v/>
      </c>
      <c r="L1841" s="57" t="str">
        <f aca="false">IF($J1841="","",IF($K1841&lt;=BankCostEnvelope*'5. Scenarios'!$C$7,1,0))</f>
        <v/>
      </c>
      <c r="M1841" s="57" t="str">
        <f aca="false">IF($I1841="","",INDEX(BookRate,1836)*(1+'5. Scenarios'!$C$10)*(INDEX(BookQ1,1836)*(5-MIN(4,1+'5. Scenarios'!$C$8))/4+INDEX(BookQ2,1836)*(5-MIN(4,2+'5. Scenarios'!$C$8))/4+INDEX(BookQ3,1836)*(5-MIN(4,3+'5. Scenarios'!$C$8))/4+INDEX(BookQ4,1836)*(5-MIN(4,4+'5. Scenarios'!$C$8))/4)*'5. Scenarios'!$C$6/(1+ProductivityDefault*('5. Scenarios'!$C$11-1))+INDEX(BookOneOff,1836)*$I1841)</f>
        <v/>
      </c>
      <c r="N1841" s="56" t="str">
        <f aca="false">IF(INDEX(BookTitle,1836)="","",INDEX(BookTotal,1836)*'5. Scenarios'!$D$6/(1+ProductivityDefault*('5. Scenarios'!$D$11-1)))</f>
        <v/>
      </c>
      <c r="O1841" s="57" t="str">
        <f aca="false">IF($N1841="","",INDEX(BookRate,1836)*(1+'5. Scenarios'!$D$10)*$N1841)</f>
        <v/>
      </c>
      <c r="P1841" s="57" t="str">
        <f aca="false">IF($O1841="","",SUMIFS($O$6:$O$2405,$A$6:$A$2405,"&lt;="&amp;$A1841))</f>
        <v/>
      </c>
      <c r="Q1841" s="57" t="str">
        <f aca="false">IF($O1841="","",IF($P1841&lt;=BankCostEnvelope*'5. Scenarios'!$D$7,1,0))</f>
        <v/>
      </c>
      <c r="R1841" s="57" t="str">
        <f aca="false">IF($N1841="","",INDEX(BookRate,1836)*(1+'5. Scenarios'!$D$10)*(INDEX(BookQ1,1836)*(5-MIN(4,1+'5. Scenarios'!$D$8))/4+INDEX(BookQ2,1836)*(5-MIN(4,2+'5. Scenarios'!$D$8))/4+INDEX(BookQ3,1836)*(5-MIN(4,3+'5. Scenarios'!$D$8))/4+INDEX(BookQ4,1836)*(5-MIN(4,4+'5. Scenarios'!$D$8))/4)*'5. Scenarios'!$D$6/(1+ProductivityDefault*('5. Scenarios'!$D$11-1))+INDEX(BookOneOff,1836)*$N1841)</f>
        <v/>
      </c>
      <c r="S1841" s="56" t="str">
        <f aca="false">IF(INDEX(BookTitle,1836)="","",INDEX(BookTotal,1836)*'5. Scenarios'!$E$6/(1+ProductivityDefault*('5. Scenarios'!$E$11-1)))</f>
        <v/>
      </c>
      <c r="T1841" s="57" t="str">
        <f aca="false">IF($S1841="","",INDEX(BookRate,1836)*(1+'5. Scenarios'!$E$10)*$S1841)</f>
        <v/>
      </c>
      <c r="U1841" s="57" t="str">
        <f aca="false">IF($T1841="","",SUMIFS($T$6:$T$2405,$A$6:$A$2405,"&lt;="&amp;$A1841))</f>
        <v/>
      </c>
      <c r="V1841" s="57" t="str">
        <f aca="false">IF($T1841="","",IF($U1841&lt;=BankCostEnvelope*'5. Scenarios'!$E$7,1,0))</f>
        <v/>
      </c>
      <c r="W1841" s="57" t="str">
        <f aca="false">IF($S1841="","",INDEX(BookRate,1836)*(1+'5. Scenarios'!$E$10)*(INDEX(BookQ1,1836)*(5-MIN(4,1+'5. Scenarios'!$E$8))/4+INDEX(BookQ2,1836)*(5-MIN(4,2+'5. Scenarios'!$E$8))/4+INDEX(BookQ3,1836)*(5-MIN(4,3+'5. Scenarios'!$E$8))/4+INDEX(BookQ4,1836)*(5-MIN(4,4+'5. Scenarios'!$E$8))/4)*'5. Scenarios'!$E$6/(1+ProductivityDefault*('5. Scenarios'!$E$11-1))+INDEX(BookOneOff,1836)*$S1841)</f>
        <v/>
      </c>
    </row>
    <row r="1842" customFormat="false" ht="15" hidden="false" customHeight="false" outlineLevel="0" collapsed="false">
      <c r="A1842" s="0" t="str">
        <f aca="false">IF(INDEX(BookTitle,1837)="","",INDEX(BookKey,1837))</f>
        <v/>
      </c>
      <c r="B1842" s="0" t="str">
        <f aca="false">IF(INDEX(BookTitle,1837)="","",INDEX(BookGroup,1837))</f>
        <v/>
      </c>
      <c r="C1842" s="0" t="str">
        <f aca="false">IF(INDEX(BookTitle,1837)="","",INDEX(BookCategory,1837))</f>
        <v/>
      </c>
      <c r="D1842" s="56" t="str">
        <f aca="false">IF(INDEX(BookTitle,1837)="","",INDEX(BookTotal,1837)*'5. Scenarios'!$B$6/(1+ProductivityDefault*('5. Scenarios'!$B$11-1)))</f>
        <v/>
      </c>
      <c r="E1842" s="57" t="str">
        <f aca="false">IF($D1842="","",INDEX(BookRate,1837)*(1+'5. Scenarios'!$B$10)*$D1842)</f>
        <v/>
      </c>
      <c r="F1842" s="57" t="str">
        <f aca="false">IF($E1842="","",SUMIFS($E$6:$E$2405,$A$6:$A$2405,"&lt;="&amp;$A1842))</f>
        <v/>
      </c>
      <c r="G1842" s="57" t="str">
        <f aca="false">IF($E1842="","",IF($F1842&lt;=BankCostEnvelope*'5. Scenarios'!$B$7,1,0))</f>
        <v/>
      </c>
      <c r="H1842" s="57" t="str">
        <f aca="false">IF($D1842="","",INDEX(BookRate,1837)*(1+'5. Scenarios'!$B$10)*(INDEX(BookQ1,1837)*(5-MIN(4,1+'5. Scenarios'!$B$8))/4+INDEX(BookQ2,1837)*(5-MIN(4,2+'5. Scenarios'!$B$8))/4+INDEX(BookQ3,1837)*(5-MIN(4,3+'5. Scenarios'!$B$8))/4+INDEX(BookQ4,1837)*(5-MIN(4,4+'5. Scenarios'!$B$8))/4)*'5. Scenarios'!$B$6/(1+ProductivityDefault*('5. Scenarios'!$B$11-1))+INDEX(BookOneOff,1837)*$D1842)</f>
        <v/>
      </c>
      <c r="I1842" s="56" t="str">
        <f aca="false">IF(INDEX(BookTitle,1837)="","",INDEX(BookTotal,1837)*'5. Scenarios'!$C$6/(1+ProductivityDefault*('5. Scenarios'!$C$11-1)))</f>
        <v/>
      </c>
      <c r="J1842" s="57" t="str">
        <f aca="false">IF($I1842="","",INDEX(BookRate,1837)*(1+'5. Scenarios'!$C$10)*$I1842)</f>
        <v/>
      </c>
      <c r="K1842" s="57" t="str">
        <f aca="false">IF($J1842="","",SUMIFS($J$6:$J$2405,$A$6:$A$2405,"&lt;="&amp;$A1842))</f>
        <v/>
      </c>
      <c r="L1842" s="57" t="str">
        <f aca="false">IF($J1842="","",IF($K1842&lt;=BankCostEnvelope*'5. Scenarios'!$C$7,1,0))</f>
        <v/>
      </c>
      <c r="M1842" s="57" t="str">
        <f aca="false">IF($I1842="","",INDEX(BookRate,1837)*(1+'5. Scenarios'!$C$10)*(INDEX(BookQ1,1837)*(5-MIN(4,1+'5. Scenarios'!$C$8))/4+INDEX(BookQ2,1837)*(5-MIN(4,2+'5. Scenarios'!$C$8))/4+INDEX(BookQ3,1837)*(5-MIN(4,3+'5. Scenarios'!$C$8))/4+INDEX(BookQ4,1837)*(5-MIN(4,4+'5. Scenarios'!$C$8))/4)*'5. Scenarios'!$C$6/(1+ProductivityDefault*('5. Scenarios'!$C$11-1))+INDEX(BookOneOff,1837)*$I1842)</f>
        <v/>
      </c>
      <c r="N1842" s="56" t="str">
        <f aca="false">IF(INDEX(BookTitle,1837)="","",INDEX(BookTotal,1837)*'5. Scenarios'!$D$6/(1+ProductivityDefault*('5. Scenarios'!$D$11-1)))</f>
        <v/>
      </c>
      <c r="O1842" s="57" t="str">
        <f aca="false">IF($N1842="","",INDEX(BookRate,1837)*(1+'5. Scenarios'!$D$10)*$N1842)</f>
        <v/>
      </c>
      <c r="P1842" s="57" t="str">
        <f aca="false">IF($O1842="","",SUMIFS($O$6:$O$2405,$A$6:$A$2405,"&lt;="&amp;$A1842))</f>
        <v/>
      </c>
      <c r="Q1842" s="57" t="str">
        <f aca="false">IF($O1842="","",IF($P1842&lt;=BankCostEnvelope*'5. Scenarios'!$D$7,1,0))</f>
        <v/>
      </c>
      <c r="R1842" s="57" t="str">
        <f aca="false">IF($N1842="","",INDEX(BookRate,1837)*(1+'5. Scenarios'!$D$10)*(INDEX(BookQ1,1837)*(5-MIN(4,1+'5. Scenarios'!$D$8))/4+INDEX(BookQ2,1837)*(5-MIN(4,2+'5. Scenarios'!$D$8))/4+INDEX(BookQ3,1837)*(5-MIN(4,3+'5. Scenarios'!$D$8))/4+INDEX(BookQ4,1837)*(5-MIN(4,4+'5. Scenarios'!$D$8))/4)*'5. Scenarios'!$D$6/(1+ProductivityDefault*('5. Scenarios'!$D$11-1))+INDEX(BookOneOff,1837)*$N1842)</f>
        <v/>
      </c>
      <c r="S1842" s="56" t="str">
        <f aca="false">IF(INDEX(BookTitle,1837)="","",INDEX(BookTotal,1837)*'5. Scenarios'!$E$6/(1+ProductivityDefault*('5. Scenarios'!$E$11-1)))</f>
        <v/>
      </c>
      <c r="T1842" s="57" t="str">
        <f aca="false">IF($S1842="","",INDEX(BookRate,1837)*(1+'5. Scenarios'!$E$10)*$S1842)</f>
        <v/>
      </c>
      <c r="U1842" s="57" t="str">
        <f aca="false">IF($T1842="","",SUMIFS($T$6:$T$2405,$A$6:$A$2405,"&lt;="&amp;$A1842))</f>
        <v/>
      </c>
      <c r="V1842" s="57" t="str">
        <f aca="false">IF($T1842="","",IF($U1842&lt;=BankCostEnvelope*'5. Scenarios'!$E$7,1,0))</f>
        <v/>
      </c>
      <c r="W1842" s="57" t="str">
        <f aca="false">IF($S1842="","",INDEX(BookRate,1837)*(1+'5. Scenarios'!$E$10)*(INDEX(BookQ1,1837)*(5-MIN(4,1+'5. Scenarios'!$E$8))/4+INDEX(BookQ2,1837)*(5-MIN(4,2+'5. Scenarios'!$E$8))/4+INDEX(BookQ3,1837)*(5-MIN(4,3+'5. Scenarios'!$E$8))/4+INDEX(BookQ4,1837)*(5-MIN(4,4+'5. Scenarios'!$E$8))/4)*'5. Scenarios'!$E$6/(1+ProductivityDefault*('5. Scenarios'!$E$11-1))+INDEX(BookOneOff,1837)*$S1842)</f>
        <v/>
      </c>
    </row>
    <row r="1843" customFormat="false" ht="15" hidden="false" customHeight="false" outlineLevel="0" collapsed="false">
      <c r="A1843" s="0" t="str">
        <f aca="false">IF(INDEX(BookTitle,1838)="","",INDEX(BookKey,1838))</f>
        <v/>
      </c>
      <c r="B1843" s="0" t="str">
        <f aca="false">IF(INDEX(BookTitle,1838)="","",INDEX(BookGroup,1838))</f>
        <v/>
      </c>
      <c r="C1843" s="0" t="str">
        <f aca="false">IF(INDEX(BookTitle,1838)="","",INDEX(BookCategory,1838))</f>
        <v/>
      </c>
      <c r="D1843" s="56" t="str">
        <f aca="false">IF(INDEX(BookTitle,1838)="","",INDEX(BookTotal,1838)*'5. Scenarios'!$B$6/(1+ProductivityDefault*('5. Scenarios'!$B$11-1)))</f>
        <v/>
      </c>
      <c r="E1843" s="57" t="str">
        <f aca="false">IF($D1843="","",INDEX(BookRate,1838)*(1+'5. Scenarios'!$B$10)*$D1843)</f>
        <v/>
      </c>
      <c r="F1843" s="57" t="str">
        <f aca="false">IF($E1843="","",SUMIFS($E$6:$E$2405,$A$6:$A$2405,"&lt;="&amp;$A1843))</f>
        <v/>
      </c>
      <c r="G1843" s="57" t="str">
        <f aca="false">IF($E1843="","",IF($F1843&lt;=BankCostEnvelope*'5. Scenarios'!$B$7,1,0))</f>
        <v/>
      </c>
      <c r="H1843" s="57" t="str">
        <f aca="false">IF($D1843="","",INDEX(BookRate,1838)*(1+'5. Scenarios'!$B$10)*(INDEX(BookQ1,1838)*(5-MIN(4,1+'5. Scenarios'!$B$8))/4+INDEX(BookQ2,1838)*(5-MIN(4,2+'5. Scenarios'!$B$8))/4+INDEX(BookQ3,1838)*(5-MIN(4,3+'5. Scenarios'!$B$8))/4+INDEX(BookQ4,1838)*(5-MIN(4,4+'5. Scenarios'!$B$8))/4)*'5. Scenarios'!$B$6/(1+ProductivityDefault*('5. Scenarios'!$B$11-1))+INDEX(BookOneOff,1838)*$D1843)</f>
        <v/>
      </c>
      <c r="I1843" s="56" t="str">
        <f aca="false">IF(INDEX(BookTitle,1838)="","",INDEX(BookTotal,1838)*'5. Scenarios'!$C$6/(1+ProductivityDefault*('5. Scenarios'!$C$11-1)))</f>
        <v/>
      </c>
      <c r="J1843" s="57" t="str">
        <f aca="false">IF($I1843="","",INDEX(BookRate,1838)*(1+'5. Scenarios'!$C$10)*$I1843)</f>
        <v/>
      </c>
      <c r="K1843" s="57" t="str">
        <f aca="false">IF($J1843="","",SUMIFS($J$6:$J$2405,$A$6:$A$2405,"&lt;="&amp;$A1843))</f>
        <v/>
      </c>
      <c r="L1843" s="57" t="str">
        <f aca="false">IF($J1843="","",IF($K1843&lt;=BankCostEnvelope*'5. Scenarios'!$C$7,1,0))</f>
        <v/>
      </c>
      <c r="M1843" s="57" t="str">
        <f aca="false">IF($I1843="","",INDEX(BookRate,1838)*(1+'5. Scenarios'!$C$10)*(INDEX(BookQ1,1838)*(5-MIN(4,1+'5. Scenarios'!$C$8))/4+INDEX(BookQ2,1838)*(5-MIN(4,2+'5. Scenarios'!$C$8))/4+INDEX(BookQ3,1838)*(5-MIN(4,3+'5. Scenarios'!$C$8))/4+INDEX(BookQ4,1838)*(5-MIN(4,4+'5. Scenarios'!$C$8))/4)*'5. Scenarios'!$C$6/(1+ProductivityDefault*('5. Scenarios'!$C$11-1))+INDEX(BookOneOff,1838)*$I1843)</f>
        <v/>
      </c>
      <c r="N1843" s="56" t="str">
        <f aca="false">IF(INDEX(BookTitle,1838)="","",INDEX(BookTotal,1838)*'5. Scenarios'!$D$6/(1+ProductivityDefault*('5. Scenarios'!$D$11-1)))</f>
        <v/>
      </c>
      <c r="O1843" s="57" t="str">
        <f aca="false">IF($N1843="","",INDEX(BookRate,1838)*(1+'5. Scenarios'!$D$10)*$N1843)</f>
        <v/>
      </c>
      <c r="P1843" s="57" t="str">
        <f aca="false">IF($O1843="","",SUMIFS($O$6:$O$2405,$A$6:$A$2405,"&lt;="&amp;$A1843))</f>
        <v/>
      </c>
      <c r="Q1843" s="57" t="str">
        <f aca="false">IF($O1843="","",IF($P1843&lt;=BankCostEnvelope*'5. Scenarios'!$D$7,1,0))</f>
        <v/>
      </c>
      <c r="R1843" s="57" t="str">
        <f aca="false">IF($N1843="","",INDEX(BookRate,1838)*(1+'5. Scenarios'!$D$10)*(INDEX(BookQ1,1838)*(5-MIN(4,1+'5. Scenarios'!$D$8))/4+INDEX(BookQ2,1838)*(5-MIN(4,2+'5. Scenarios'!$D$8))/4+INDEX(BookQ3,1838)*(5-MIN(4,3+'5. Scenarios'!$D$8))/4+INDEX(BookQ4,1838)*(5-MIN(4,4+'5. Scenarios'!$D$8))/4)*'5. Scenarios'!$D$6/(1+ProductivityDefault*('5. Scenarios'!$D$11-1))+INDEX(BookOneOff,1838)*$N1843)</f>
        <v/>
      </c>
      <c r="S1843" s="56" t="str">
        <f aca="false">IF(INDEX(BookTitle,1838)="","",INDEX(BookTotal,1838)*'5. Scenarios'!$E$6/(1+ProductivityDefault*('5. Scenarios'!$E$11-1)))</f>
        <v/>
      </c>
      <c r="T1843" s="57" t="str">
        <f aca="false">IF($S1843="","",INDEX(BookRate,1838)*(1+'5. Scenarios'!$E$10)*$S1843)</f>
        <v/>
      </c>
      <c r="U1843" s="57" t="str">
        <f aca="false">IF($T1843="","",SUMIFS($T$6:$T$2405,$A$6:$A$2405,"&lt;="&amp;$A1843))</f>
        <v/>
      </c>
      <c r="V1843" s="57" t="str">
        <f aca="false">IF($T1843="","",IF($U1843&lt;=BankCostEnvelope*'5. Scenarios'!$E$7,1,0))</f>
        <v/>
      </c>
      <c r="W1843" s="57" t="str">
        <f aca="false">IF($S1843="","",INDEX(BookRate,1838)*(1+'5. Scenarios'!$E$10)*(INDEX(BookQ1,1838)*(5-MIN(4,1+'5. Scenarios'!$E$8))/4+INDEX(BookQ2,1838)*(5-MIN(4,2+'5. Scenarios'!$E$8))/4+INDEX(BookQ3,1838)*(5-MIN(4,3+'5. Scenarios'!$E$8))/4+INDEX(BookQ4,1838)*(5-MIN(4,4+'5. Scenarios'!$E$8))/4)*'5. Scenarios'!$E$6/(1+ProductivityDefault*('5. Scenarios'!$E$11-1))+INDEX(BookOneOff,1838)*$S1843)</f>
        <v/>
      </c>
    </row>
    <row r="1844" customFormat="false" ht="15" hidden="false" customHeight="false" outlineLevel="0" collapsed="false">
      <c r="A1844" s="0" t="str">
        <f aca="false">IF(INDEX(BookTitle,1839)="","",INDEX(BookKey,1839))</f>
        <v/>
      </c>
      <c r="B1844" s="0" t="str">
        <f aca="false">IF(INDEX(BookTitle,1839)="","",INDEX(BookGroup,1839))</f>
        <v/>
      </c>
      <c r="C1844" s="0" t="str">
        <f aca="false">IF(INDEX(BookTitle,1839)="","",INDEX(BookCategory,1839))</f>
        <v/>
      </c>
      <c r="D1844" s="56" t="str">
        <f aca="false">IF(INDEX(BookTitle,1839)="","",INDEX(BookTotal,1839)*'5. Scenarios'!$B$6/(1+ProductivityDefault*('5. Scenarios'!$B$11-1)))</f>
        <v/>
      </c>
      <c r="E1844" s="57" t="str">
        <f aca="false">IF($D1844="","",INDEX(BookRate,1839)*(1+'5. Scenarios'!$B$10)*$D1844)</f>
        <v/>
      </c>
      <c r="F1844" s="57" t="str">
        <f aca="false">IF($E1844="","",SUMIFS($E$6:$E$2405,$A$6:$A$2405,"&lt;="&amp;$A1844))</f>
        <v/>
      </c>
      <c r="G1844" s="57" t="str">
        <f aca="false">IF($E1844="","",IF($F1844&lt;=BankCostEnvelope*'5. Scenarios'!$B$7,1,0))</f>
        <v/>
      </c>
      <c r="H1844" s="57" t="str">
        <f aca="false">IF($D1844="","",INDEX(BookRate,1839)*(1+'5. Scenarios'!$B$10)*(INDEX(BookQ1,1839)*(5-MIN(4,1+'5. Scenarios'!$B$8))/4+INDEX(BookQ2,1839)*(5-MIN(4,2+'5. Scenarios'!$B$8))/4+INDEX(BookQ3,1839)*(5-MIN(4,3+'5. Scenarios'!$B$8))/4+INDEX(BookQ4,1839)*(5-MIN(4,4+'5. Scenarios'!$B$8))/4)*'5. Scenarios'!$B$6/(1+ProductivityDefault*('5. Scenarios'!$B$11-1))+INDEX(BookOneOff,1839)*$D1844)</f>
        <v/>
      </c>
      <c r="I1844" s="56" t="str">
        <f aca="false">IF(INDEX(BookTitle,1839)="","",INDEX(BookTotal,1839)*'5. Scenarios'!$C$6/(1+ProductivityDefault*('5. Scenarios'!$C$11-1)))</f>
        <v/>
      </c>
      <c r="J1844" s="57" t="str">
        <f aca="false">IF($I1844="","",INDEX(BookRate,1839)*(1+'5. Scenarios'!$C$10)*$I1844)</f>
        <v/>
      </c>
      <c r="K1844" s="57" t="str">
        <f aca="false">IF($J1844="","",SUMIFS($J$6:$J$2405,$A$6:$A$2405,"&lt;="&amp;$A1844))</f>
        <v/>
      </c>
      <c r="L1844" s="57" t="str">
        <f aca="false">IF($J1844="","",IF($K1844&lt;=BankCostEnvelope*'5. Scenarios'!$C$7,1,0))</f>
        <v/>
      </c>
      <c r="M1844" s="57" t="str">
        <f aca="false">IF($I1844="","",INDEX(BookRate,1839)*(1+'5. Scenarios'!$C$10)*(INDEX(BookQ1,1839)*(5-MIN(4,1+'5. Scenarios'!$C$8))/4+INDEX(BookQ2,1839)*(5-MIN(4,2+'5. Scenarios'!$C$8))/4+INDEX(BookQ3,1839)*(5-MIN(4,3+'5. Scenarios'!$C$8))/4+INDEX(BookQ4,1839)*(5-MIN(4,4+'5. Scenarios'!$C$8))/4)*'5. Scenarios'!$C$6/(1+ProductivityDefault*('5. Scenarios'!$C$11-1))+INDEX(BookOneOff,1839)*$I1844)</f>
        <v/>
      </c>
      <c r="N1844" s="56" t="str">
        <f aca="false">IF(INDEX(BookTitle,1839)="","",INDEX(BookTotal,1839)*'5. Scenarios'!$D$6/(1+ProductivityDefault*('5. Scenarios'!$D$11-1)))</f>
        <v/>
      </c>
      <c r="O1844" s="57" t="str">
        <f aca="false">IF($N1844="","",INDEX(BookRate,1839)*(1+'5. Scenarios'!$D$10)*$N1844)</f>
        <v/>
      </c>
      <c r="P1844" s="57" t="str">
        <f aca="false">IF($O1844="","",SUMIFS($O$6:$O$2405,$A$6:$A$2405,"&lt;="&amp;$A1844))</f>
        <v/>
      </c>
      <c r="Q1844" s="57" t="str">
        <f aca="false">IF($O1844="","",IF($P1844&lt;=BankCostEnvelope*'5. Scenarios'!$D$7,1,0))</f>
        <v/>
      </c>
      <c r="R1844" s="57" t="str">
        <f aca="false">IF($N1844="","",INDEX(BookRate,1839)*(1+'5. Scenarios'!$D$10)*(INDEX(BookQ1,1839)*(5-MIN(4,1+'5. Scenarios'!$D$8))/4+INDEX(BookQ2,1839)*(5-MIN(4,2+'5. Scenarios'!$D$8))/4+INDEX(BookQ3,1839)*(5-MIN(4,3+'5. Scenarios'!$D$8))/4+INDEX(BookQ4,1839)*(5-MIN(4,4+'5. Scenarios'!$D$8))/4)*'5. Scenarios'!$D$6/(1+ProductivityDefault*('5. Scenarios'!$D$11-1))+INDEX(BookOneOff,1839)*$N1844)</f>
        <v/>
      </c>
      <c r="S1844" s="56" t="str">
        <f aca="false">IF(INDEX(BookTitle,1839)="","",INDEX(BookTotal,1839)*'5. Scenarios'!$E$6/(1+ProductivityDefault*('5. Scenarios'!$E$11-1)))</f>
        <v/>
      </c>
      <c r="T1844" s="57" t="str">
        <f aca="false">IF($S1844="","",INDEX(BookRate,1839)*(1+'5. Scenarios'!$E$10)*$S1844)</f>
        <v/>
      </c>
      <c r="U1844" s="57" t="str">
        <f aca="false">IF($T1844="","",SUMIFS($T$6:$T$2405,$A$6:$A$2405,"&lt;="&amp;$A1844))</f>
        <v/>
      </c>
      <c r="V1844" s="57" t="str">
        <f aca="false">IF($T1844="","",IF($U1844&lt;=BankCostEnvelope*'5. Scenarios'!$E$7,1,0))</f>
        <v/>
      </c>
      <c r="W1844" s="57" t="str">
        <f aca="false">IF($S1844="","",INDEX(BookRate,1839)*(1+'5. Scenarios'!$E$10)*(INDEX(BookQ1,1839)*(5-MIN(4,1+'5. Scenarios'!$E$8))/4+INDEX(BookQ2,1839)*(5-MIN(4,2+'5. Scenarios'!$E$8))/4+INDEX(BookQ3,1839)*(5-MIN(4,3+'5. Scenarios'!$E$8))/4+INDEX(BookQ4,1839)*(5-MIN(4,4+'5. Scenarios'!$E$8))/4)*'5. Scenarios'!$E$6/(1+ProductivityDefault*('5. Scenarios'!$E$11-1))+INDEX(BookOneOff,1839)*$S1844)</f>
        <v/>
      </c>
    </row>
    <row r="1845" customFormat="false" ht="15" hidden="false" customHeight="false" outlineLevel="0" collapsed="false">
      <c r="A1845" s="0" t="str">
        <f aca="false">IF(INDEX(BookTitle,1840)="","",INDEX(BookKey,1840))</f>
        <v/>
      </c>
      <c r="B1845" s="0" t="str">
        <f aca="false">IF(INDEX(BookTitle,1840)="","",INDEX(BookGroup,1840))</f>
        <v/>
      </c>
      <c r="C1845" s="0" t="str">
        <f aca="false">IF(INDEX(BookTitle,1840)="","",INDEX(BookCategory,1840))</f>
        <v/>
      </c>
      <c r="D1845" s="56" t="str">
        <f aca="false">IF(INDEX(BookTitle,1840)="","",INDEX(BookTotal,1840)*'5. Scenarios'!$B$6/(1+ProductivityDefault*('5. Scenarios'!$B$11-1)))</f>
        <v/>
      </c>
      <c r="E1845" s="57" t="str">
        <f aca="false">IF($D1845="","",INDEX(BookRate,1840)*(1+'5. Scenarios'!$B$10)*$D1845)</f>
        <v/>
      </c>
      <c r="F1845" s="57" t="str">
        <f aca="false">IF($E1845="","",SUMIFS($E$6:$E$2405,$A$6:$A$2405,"&lt;="&amp;$A1845))</f>
        <v/>
      </c>
      <c r="G1845" s="57" t="str">
        <f aca="false">IF($E1845="","",IF($F1845&lt;=BankCostEnvelope*'5. Scenarios'!$B$7,1,0))</f>
        <v/>
      </c>
      <c r="H1845" s="57" t="str">
        <f aca="false">IF($D1845="","",INDEX(BookRate,1840)*(1+'5. Scenarios'!$B$10)*(INDEX(BookQ1,1840)*(5-MIN(4,1+'5. Scenarios'!$B$8))/4+INDEX(BookQ2,1840)*(5-MIN(4,2+'5. Scenarios'!$B$8))/4+INDEX(BookQ3,1840)*(5-MIN(4,3+'5. Scenarios'!$B$8))/4+INDEX(BookQ4,1840)*(5-MIN(4,4+'5. Scenarios'!$B$8))/4)*'5. Scenarios'!$B$6/(1+ProductivityDefault*('5. Scenarios'!$B$11-1))+INDEX(BookOneOff,1840)*$D1845)</f>
        <v/>
      </c>
      <c r="I1845" s="56" t="str">
        <f aca="false">IF(INDEX(BookTitle,1840)="","",INDEX(BookTotal,1840)*'5. Scenarios'!$C$6/(1+ProductivityDefault*('5. Scenarios'!$C$11-1)))</f>
        <v/>
      </c>
      <c r="J1845" s="57" t="str">
        <f aca="false">IF($I1845="","",INDEX(BookRate,1840)*(1+'5. Scenarios'!$C$10)*$I1845)</f>
        <v/>
      </c>
      <c r="K1845" s="57" t="str">
        <f aca="false">IF($J1845="","",SUMIFS($J$6:$J$2405,$A$6:$A$2405,"&lt;="&amp;$A1845))</f>
        <v/>
      </c>
      <c r="L1845" s="57" t="str">
        <f aca="false">IF($J1845="","",IF($K1845&lt;=BankCostEnvelope*'5. Scenarios'!$C$7,1,0))</f>
        <v/>
      </c>
      <c r="M1845" s="57" t="str">
        <f aca="false">IF($I1845="","",INDEX(BookRate,1840)*(1+'5. Scenarios'!$C$10)*(INDEX(BookQ1,1840)*(5-MIN(4,1+'5. Scenarios'!$C$8))/4+INDEX(BookQ2,1840)*(5-MIN(4,2+'5. Scenarios'!$C$8))/4+INDEX(BookQ3,1840)*(5-MIN(4,3+'5. Scenarios'!$C$8))/4+INDEX(BookQ4,1840)*(5-MIN(4,4+'5. Scenarios'!$C$8))/4)*'5. Scenarios'!$C$6/(1+ProductivityDefault*('5. Scenarios'!$C$11-1))+INDEX(BookOneOff,1840)*$I1845)</f>
        <v/>
      </c>
      <c r="N1845" s="56" t="str">
        <f aca="false">IF(INDEX(BookTitle,1840)="","",INDEX(BookTotal,1840)*'5. Scenarios'!$D$6/(1+ProductivityDefault*('5. Scenarios'!$D$11-1)))</f>
        <v/>
      </c>
      <c r="O1845" s="57" t="str">
        <f aca="false">IF($N1845="","",INDEX(BookRate,1840)*(1+'5. Scenarios'!$D$10)*$N1845)</f>
        <v/>
      </c>
      <c r="P1845" s="57" t="str">
        <f aca="false">IF($O1845="","",SUMIFS($O$6:$O$2405,$A$6:$A$2405,"&lt;="&amp;$A1845))</f>
        <v/>
      </c>
      <c r="Q1845" s="57" t="str">
        <f aca="false">IF($O1845="","",IF($P1845&lt;=BankCostEnvelope*'5. Scenarios'!$D$7,1,0))</f>
        <v/>
      </c>
      <c r="R1845" s="57" t="str">
        <f aca="false">IF($N1845="","",INDEX(BookRate,1840)*(1+'5. Scenarios'!$D$10)*(INDEX(BookQ1,1840)*(5-MIN(4,1+'5. Scenarios'!$D$8))/4+INDEX(BookQ2,1840)*(5-MIN(4,2+'5. Scenarios'!$D$8))/4+INDEX(BookQ3,1840)*(5-MIN(4,3+'5. Scenarios'!$D$8))/4+INDEX(BookQ4,1840)*(5-MIN(4,4+'5. Scenarios'!$D$8))/4)*'5. Scenarios'!$D$6/(1+ProductivityDefault*('5. Scenarios'!$D$11-1))+INDEX(BookOneOff,1840)*$N1845)</f>
        <v/>
      </c>
      <c r="S1845" s="56" t="str">
        <f aca="false">IF(INDEX(BookTitle,1840)="","",INDEX(BookTotal,1840)*'5. Scenarios'!$E$6/(1+ProductivityDefault*('5. Scenarios'!$E$11-1)))</f>
        <v/>
      </c>
      <c r="T1845" s="57" t="str">
        <f aca="false">IF($S1845="","",INDEX(BookRate,1840)*(1+'5. Scenarios'!$E$10)*$S1845)</f>
        <v/>
      </c>
      <c r="U1845" s="57" t="str">
        <f aca="false">IF($T1845="","",SUMIFS($T$6:$T$2405,$A$6:$A$2405,"&lt;="&amp;$A1845))</f>
        <v/>
      </c>
      <c r="V1845" s="57" t="str">
        <f aca="false">IF($T1845="","",IF($U1845&lt;=BankCostEnvelope*'5. Scenarios'!$E$7,1,0))</f>
        <v/>
      </c>
      <c r="W1845" s="57" t="str">
        <f aca="false">IF($S1845="","",INDEX(BookRate,1840)*(1+'5. Scenarios'!$E$10)*(INDEX(BookQ1,1840)*(5-MIN(4,1+'5. Scenarios'!$E$8))/4+INDEX(BookQ2,1840)*(5-MIN(4,2+'5. Scenarios'!$E$8))/4+INDEX(BookQ3,1840)*(5-MIN(4,3+'5. Scenarios'!$E$8))/4+INDEX(BookQ4,1840)*(5-MIN(4,4+'5. Scenarios'!$E$8))/4)*'5. Scenarios'!$E$6/(1+ProductivityDefault*('5. Scenarios'!$E$11-1))+INDEX(BookOneOff,1840)*$S1845)</f>
        <v/>
      </c>
    </row>
    <row r="1846" customFormat="false" ht="15" hidden="false" customHeight="false" outlineLevel="0" collapsed="false">
      <c r="A1846" s="0" t="str">
        <f aca="false">IF(INDEX(BookTitle,1841)="","",INDEX(BookKey,1841))</f>
        <v/>
      </c>
      <c r="B1846" s="0" t="str">
        <f aca="false">IF(INDEX(BookTitle,1841)="","",INDEX(BookGroup,1841))</f>
        <v/>
      </c>
      <c r="C1846" s="0" t="str">
        <f aca="false">IF(INDEX(BookTitle,1841)="","",INDEX(BookCategory,1841))</f>
        <v/>
      </c>
      <c r="D1846" s="56" t="str">
        <f aca="false">IF(INDEX(BookTitle,1841)="","",INDEX(BookTotal,1841)*'5. Scenarios'!$B$6/(1+ProductivityDefault*('5. Scenarios'!$B$11-1)))</f>
        <v/>
      </c>
      <c r="E1846" s="57" t="str">
        <f aca="false">IF($D1846="","",INDEX(BookRate,1841)*(1+'5. Scenarios'!$B$10)*$D1846)</f>
        <v/>
      </c>
      <c r="F1846" s="57" t="str">
        <f aca="false">IF($E1846="","",SUMIFS($E$6:$E$2405,$A$6:$A$2405,"&lt;="&amp;$A1846))</f>
        <v/>
      </c>
      <c r="G1846" s="57" t="str">
        <f aca="false">IF($E1846="","",IF($F1846&lt;=BankCostEnvelope*'5. Scenarios'!$B$7,1,0))</f>
        <v/>
      </c>
      <c r="H1846" s="57" t="str">
        <f aca="false">IF($D1846="","",INDEX(BookRate,1841)*(1+'5. Scenarios'!$B$10)*(INDEX(BookQ1,1841)*(5-MIN(4,1+'5. Scenarios'!$B$8))/4+INDEX(BookQ2,1841)*(5-MIN(4,2+'5. Scenarios'!$B$8))/4+INDEX(BookQ3,1841)*(5-MIN(4,3+'5. Scenarios'!$B$8))/4+INDEX(BookQ4,1841)*(5-MIN(4,4+'5. Scenarios'!$B$8))/4)*'5. Scenarios'!$B$6/(1+ProductivityDefault*('5. Scenarios'!$B$11-1))+INDEX(BookOneOff,1841)*$D1846)</f>
        <v/>
      </c>
      <c r="I1846" s="56" t="str">
        <f aca="false">IF(INDEX(BookTitle,1841)="","",INDEX(BookTotal,1841)*'5. Scenarios'!$C$6/(1+ProductivityDefault*('5. Scenarios'!$C$11-1)))</f>
        <v/>
      </c>
      <c r="J1846" s="57" t="str">
        <f aca="false">IF($I1846="","",INDEX(BookRate,1841)*(1+'5. Scenarios'!$C$10)*$I1846)</f>
        <v/>
      </c>
      <c r="K1846" s="57" t="str">
        <f aca="false">IF($J1846="","",SUMIFS($J$6:$J$2405,$A$6:$A$2405,"&lt;="&amp;$A1846))</f>
        <v/>
      </c>
      <c r="L1846" s="57" t="str">
        <f aca="false">IF($J1846="","",IF($K1846&lt;=BankCostEnvelope*'5. Scenarios'!$C$7,1,0))</f>
        <v/>
      </c>
      <c r="M1846" s="57" t="str">
        <f aca="false">IF($I1846="","",INDEX(BookRate,1841)*(1+'5. Scenarios'!$C$10)*(INDEX(BookQ1,1841)*(5-MIN(4,1+'5. Scenarios'!$C$8))/4+INDEX(BookQ2,1841)*(5-MIN(4,2+'5. Scenarios'!$C$8))/4+INDEX(BookQ3,1841)*(5-MIN(4,3+'5. Scenarios'!$C$8))/4+INDEX(BookQ4,1841)*(5-MIN(4,4+'5. Scenarios'!$C$8))/4)*'5. Scenarios'!$C$6/(1+ProductivityDefault*('5. Scenarios'!$C$11-1))+INDEX(BookOneOff,1841)*$I1846)</f>
        <v/>
      </c>
      <c r="N1846" s="56" t="str">
        <f aca="false">IF(INDEX(BookTitle,1841)="","",INDEX(BookTotal,1841)*'5. Scenarios'!$D$6/(1+ProductivityDefault*('5. Scenarios'!$D$11-1)))</f>
        <v/>
      </c>
      <c r="O1846" s="57" t="str">
        <f aca="false">IF($N1846="","",INDEX(BookRate,1841)*(1+'5. Scenarios'!$D$10)*$N1846)</f>
        <v/>
      </c>
      <c r="P1846" s="57" t="str">
        <f aca="false">IF($O1846="","",SUMIFS($O$6:$O$2405,$A$6:$A$2405,"&lt;="&amp;$A1846))</f>
        <v/>
      </c>
      <c r="Q1846" s="57" t="str">
        <f aca="false">IF($O1846="","",IF($P1846&lt;=BankCostEnvelope*'5. Scenarios'!$D$7,1,0))</f>
        <v/>
      </c>
      <c r="R1846" s="57" t="str">
        <f aca="false">IF($N1846="","",INDEX(BookRate,1841)*(1+'5. Scenarios'!$D$10)*(INDEX(BookQ1,1841)*(5-MIN(4,1+'5. Scenarios'!$D$8))/4+INDEX(BookQ2,1841)*(5-MIN(4,2+'5. Scenarios'!$D$8))/4+INDEX(BookQ3,1841)*(5-MIN(4,3+'5. Scenarios'!$D$8))/4+INDEX(BookQ4,1841)*(5-MIN(4,4+'5. Scenarios'!$D$8))/4)*'5. Scenarios'!$D$6/(1+ProductivityDefault*('5. Scenarios'!$D$11-1))+INDEX(BookOneOff,1841)*$N1846)</f>
        <v/>
      </c>
      <c r="S1846" s="56" t="str">
        <f aca="false">IF(INDEX(BookTitle,1841)="","",INDEX(BookTotal,1841)*'5. Scenarios'!$E$6/(1+ProductivityDefault*('5. Scenarios'!$E$11-1)))</f>
        <v/>
      </c>
      <c r="T1846" s="57" t="str">
        <f aca="false">IF($S1846="","",INDEX(BookRate,1841)*(1+'5. Scenarios'!$E$10)*$S1846)</f>
        <v/>
      </c>
      <c r="U1846" s="57" t="str">
        <f aca="false">IF($T1846="","",SUMIFS($T$6:$T$2405,$A$6:$A$2405,"&lt;="&amp;$A1846))</f>
        <v/>
      </c>
      <c r="V1846" s="57" t="str">
        <f aca="false">IF($T1846="","",IF($U1846&lt;=BankCostEnvelope*'5. Scenarios'!$E$7,1,0))</f>
        <v/>
      </c>
      <c r="W1846" s="57" t="str">
        <f aca="false">IF($S1846="","",INDEX(BookRate,1841)*(1+'5. Scenarios'!$E$10)*(INDEX(BookQ1,1841)*(5-MIN(4,1+'5. Scenarios'!$E$8))/4+INDEX(BookQ2,1841)*(5-MIN(4,2+'5. Scenarios'!$E$8))/4+INDEX(BookQ3,1841)*(5-MIN(4,3+'5. Scenarios'!$E$8))/4+INDEX(BookQ4,1841)*(5-MIN(4,4+'5. Scenarios'!$E$8))/4)*'5. Scenarios'!$E$6/(1+ProductivityDefault*('5. Scenarios'!$E$11-1))+INDEX(BookOneOff,1841)*$S1846)</f>
        <v/>
      </c>
    </row>
    <row r="1847" customFormat="false" ht="15" hidden="false" customHeight="false" outlineLevel="0" collapsed="false">
      <c r="A1847" s="0" t="str">
        <f aca="false">IF(INDEX(BookTitle,1842)="","",INDEX(BookKey,1842))</f>
        <v/>
      </c>
      <c r="B1847" s="0" t="str">
        <f aca="false">IF(INDEX(BookTitle,1842)="","",INDEX(BookGroup,1842))</f>
        <v/>
      </c>
      <c r="C1847" s="0" t="str">
        <f aca="false">IF(INDEX(BookTitle,1842)="","",INDEX(BookCategory,1842))</f>
        <v/>
      </c>
      <c r="D1847" s="56" t="str">
        <f aca="false">IF(INDEX(BookTitle,1842)="","",INDEX(BookTotal,1842)*'5. Scenarios'!$B$6/(1+ProductivityDefault*('5. Scenarios'!$B$11-1)))</f>
        <v/>
      </c>
      <c r="E1847" s="57" t="str">
        <f aca="false">IF($D1847="","",INDEX(BookRate,1842)*(1+'5. Scenarios'!$B$10)*$D1847)</f>
        <v/>
      </c>
      <c r="F1847" s="57" t="str">
        <f aca="false">IF($E1847="","",SUMIFS($E$6:$E$2405,$A$6:$A$2405,"&lt;="&amp;$A1847))</f>
        <v/>
      </c>
      <c r="G1847" s="57" t="str">
        <f aca="false">IF($E1847="","",IF($F1847&lt;=BankCostEnvelope*'5. Scenarios'!$B$7,1,0))</f>
        <v/>
      </c>
      <c r="H1847" s="57" t="str">
        <f aca="false">IF($D1847="","",INDEX(BookRate,1842)*(1+'5. Scenarios'!$B$10)*(INDEX(BookQ1,1842)*(5-MIN(4,1+'5. Scenarios'!$B$8))/4+INDEX(BookQ2,1842)*(5-MIN(4,2+'5. Scenarios'!$B$8))/4+INDEX(BookQ3,1842)*(5-MIN(4,3+'5. Scenarios'!$B$8))/4+INDEX(BookQ4,1842)*(5-MIN(4,4+'5. Scenarios'!$B$8))/4)*'5. Scenarios'!$B$6/(1+ProductivityDefault*('5. Scenarios'!$B$11-1))+INDEX(BookOneOff,1842)*$D1847)</f>
        <v/>
      </c>
      <c r="I1847" s="56" t="str">
        <f aca="false">IF(INDEX(BookTitle,1842)="","",INDEX(BookTotal,1842)*'5. Scenarios'!$C$6/(1+ProductivityDefault*('5. Scenarios'!$C$11-1)))</f>
        <v/>
      </c>
      <c r="J1847" s="57" t="str">
        <f aca="false">IF($I1847="","",INDEX(BookRate,1842)*(1+'5. Scenarios'!$C$10)*$I1847)</f>
        <v/>
      </c>
      <c r="K1847" s="57" t="str">
        <f aca="false">IF($J1847="","",SUMIFS($J$6:$J$2405,$A$6:$A$2405,"&lt;="&amp;$A1847))</f>
        <v/>
      </c>
      <c r="L1847" s="57" t="str">
        <f aca="false">IF($J1847="","",IF($K1847&lt;=BankCostEnvelope*'5. Scenarios'!$C$7,1,0))</f>
        <v/>
      </c>
      <c r="M1847" s="57" t="str">
        <f aca="false">IF($I1847="","",INDEX(BookRate,1842)*(1+'5. Scenarios'!$C$10)*(INDEX(BookQ1,1842)*(5-MIN(4,1+'5. Scenarios'!$C$8))/4+INDEX(BookQ2,1842)*(5-MIN(4,2+'5. Scenarios'!$C$8))/4+INDEX(BookQ3,1842)*(5-MIN(4,3+'5. Scenarios'!$C$8))/4+INDEX(BookQ4,1842)*(5-MIN(4,4+'5. Scenarios'!$C$8))/4)*'5. Scenarios'!$C$6/(1+ProductivityDefault*('5. Scenarios'!$C$11-1))+INDEX(BookOneOff,1842)*$I1847)</f>
        <v/>
      </c>
      <c r="N1847" s="56" t="str">
        <f aca="false">IF(INDEX(BookTitle,1842)="","",INDEX(BookTotal,1842)*'5. Scenarios'!$D$6/(1+ProductivityDefault*('5. Scenarios'!$D$11-1)))</f>
        <v/>
      </c>
      <c r="O1847" s="57" t="str">
        <f aca="false">IF($N1847="","",INDEX(BookRate,1842)*(1+'5. Scenarios'!$D$10)*$N1847)</f>
        <v/>
      </c>
      <c r="P1847" s="57" t="str">
        <f aca="false">IF($O1847="","",SUMIFS($O$6:$O$2405,$A$6:$A$2405,"&lt;="&amp;$A1847))</f>
        <v/>
      </c>
      <c r="Q1847" s="57" t="str">
        <f aca="false">IF($O1847="","",IF($P1847&lt;=BankCostEnvelope*'5. Scenarios'!$D$7,1,0))</f>
        <v/>
      </c>
      <c r="R1847" s="57" t="str">
        <f aca="false">IF($N1847="","",INDEX(BookRate,1842)*(1+'5. Scenarios'!$D$10)*(INDEX(BookQ1,1842)*(5-MIN(4,1+'5. Scenarios'!$D$8))/4+INDEX(BookQ2,1842)*(5-MIN(4,2+'5. Scenarios'!$D$8))/4+INDEX(BookQ3,1842)*(5-MIN(4,3+'5. Scenarios'!$D$8))/4+INDEX(BookQ4,1842)*(5-MIN(4,4+'5. Scenarios'!$D$8))/4)*'5. Scenarios'!$D$6/(1+ProductivityDefault*('5. Scenarios'!$D$11-1))+INDEX(BookOneOff,1842)*$N1847)</f>
        <v/>
      </c>
      <c r="S1847" s="56" t="str">
        <f aca="false">IF(INDEX(BookTitle,1842)="","",INDEX(BookTotal,1842)*'5. Scenarios'!$E$6/(1+ProductivityDefault*('5. Scenarios'!$E$11-1)))</f>
        <v/>
      </c>
      <c r="T1847" s="57" t="str">
        <f aca="false">IF($S1847="","",INDEX(BookRate,1842)*(1+'5. Scenarios'!$E$10)*$S1847)</f>
        <v/>
      </c>
      <c r="U1847" s="57" t="str">
        <f aca="false">IF($T1847="","",SUMIFS($T$6:$T$2405,$A$6:$A$2405,"&lt;="&amp;$A1847))</f>
        <v/>
      </c>
      <c r="V1847" s="57" t="str">
        <f aca="false">IF($T1847="","",IF($U1847&lt;=BankCostEnvelope*'5. Scenarios'!$E$7,1,0))</f>
        <v/>
      </c>
      <c r="W1847" s="57" t="str">
        <f aca="false">IF($S1847="","",INDEX(BookRate,1842)*(1+'5. Scenarios'!$E$10)*(INDEX(BookQ1,1842)*(5-MIN(4,1+'5. Scenarios'!$E$8))/4+INDEX(BookQ2,1842)*(5-MIN(4,2+'5. Scenarios'!$E$8))/4+INDEX(BookQ3,1842)*(5-MIN(4,3+'5. Scenarios'!$E$8))/4+INDEX(BookQ4,1842)*(5-MIN(4,4+'5. Scenarios'!$E$8))/4)*'5. Scenarios'!$E$6/(1+ProductivityDefault*('5. Scenarios'!$E$11-1))+INDEX(BookOneOff,1842)*$S1847)</f>
        <v/>
      </c>
    </row>
    <row r="1848" customFormat="false" ht="15" hidden="false" customHeight="false" outlineLevel="0" collapsed="false">
      <c r="A1848" s="0" t="str">
        <f aca="false">IF(INDEX(BookTitle,1843)="","",INDEX(BookKey,1843))</f>
        <v/>
      </c>
      <c r="B1848" s="0" t="str">
        <f aca="false">IF(INDEX(BookTitle,1843)="","",INDEX(BookGroup,1843))</f>
        <v/>
      </c>
      <c r="C1848" s="0" t="str">
        <f aca="false">IF(INDEX(BookTitle,1843)="","",INDEX(BookCategory,1843))</f>
        <v/>
      </c>
      <c r="D1848" s="56" t="str">
        <f aca="false">IF(INDEX(BookTitle,1843)="","",INDEX(BookTotal,1843)*'5. Scenarios'!$B$6/(1+ProductivityDefault*('5. Scenarios'!$B$11-1)))</f>
        <v/>
      </c>
      <c r="E1848" s="57" t="str">
        <f aca="false">IF($D1848="","",INDEX(BookRate,1843)*(1+'5. Scenarios'!$B$10)*$D1848)</f>
        <v/>
      </c>
      <c r="F1848" s="57" t="str">
        <f aca="false">IF($E1848="","",SUMIFS($E$6:$E$2405,$A$6:$A$2405,"&lt;="&amp;$A1848))</f>
        <v/>
      </c>
      <c r="G1848" s="57" t="str">
        <f aca="false">IF($E1848="","",IF($F1848&lt;=BankCostEnvelope*'5. Scenarios'!$B$7,1,0))</f>
        <v/>
      </c>
      <c r="H1848" s="57" t="str">
        <f aca="false">IF($D1848="","",INDEX(BookRate,1843)*(1+'5. Scenarios'!$B$10)*(INDEX(BookQ1,1843)*(5-MIN(4,1+'5. Scenarios'!$B$8))/4+INDEX(BookQ2,1843)*(5-MIN(4,2+'5. Scenarios'!$B$8))/4+INDEX(BookQ3,1843)*(5-MIN(4,3+'5. Scenarios'!$B$8))/4+INDEX(BookQ4,1843)*(5-MIN(4,4+'5. Scenarios'!$B$8))/4)*'5. Scenarios'!$B$6/(1+ProductivityDefault*('5. Scenarios'!$B$11-1))+INDEX(BookOneOff,1843)*$D1848)</f>
        <v/>
      </c>
      <c r="I1848" s="56" t="str">
        <f aca="false">IF(INDEX(BookTitle,1843)="","",INDEX(BookTotal,1843)*'5. Scenarios'!$C$6/(1+ProductivityDefault*('5. Scenarios'!$C$11-1)))</f>
        <v/>
      </c>
      <c r="J1848" s="57" t="str">
        <f aca="false">IF($I1848="","",INDEX(BookRate,1843)*(1+'5. Scenarios'!$C$10)*$I1848)</f>
        <v/>
      </c>
      <c r="K1848" s="57" t="str">
        <f aca="false">IF($J1848="","",SUMIFS($J$6:$J$2405,$A$6:$A$2405,"&lt;="&amp;$A1848))</f>
        <v/>
      </c>
      <c r="L1848" s="57" t="str">
        <f aca="false">IF($J1848="","",IF($K1848&lt;=BankCostEnvelope*'5. Scenarios'!$C$7,1,0))</f>
        <v/>
      </c>
      <c r="M1848" s="57" t="str">
        <f aca="false">IF($I1848="","",INDEX(BookRate,1843)*(1+'5. Scenarios'!$C$10)*(INDEX(BookQ1,1843)*(5-MIN(4,1+'5. Scenarios'!$C$8))/4+INDEX(BookQ2,1843)*(5-MIN(4,2+'5. Scenarios'!$C$8))/4+INDEX(BookQ3,1843)*(5-MIN(4,3+'5. Scenarios'!$C$8))/4+INDEX(BookQ4,1843)*(5-MIN(4,4+'5. Scenarios'!$C$8))/4)*'5. Scenarios'!$C$6/(1+ProductivityDefault*('5. Scenarios'!$C$11-1))+INDEX(BookOneOff,1843)*$I1848)</f>
        <v/>
      </c>
      <c r="N1848" s="56" t="str">
        <f aca="false">IF(INDEX(BookTitle,1843)="","",INDEX(BookTotal,1843)*'5. Scenarios'!$D$6/(1+ProductivityDefault*('5. Scenarios'!$D$11-1)))</f>
        <v/>
      </c>
      <c r="O1848" s="57" t="str">
        <f aca="false">IF($N1848="","",INDEX(BookRate,1843)*(1+'5. Scenarios'!$D$10)*$N1848)</f>
        <v/>
      </c>
      <c r="P1848" s="57" t="str">
        <f aca="false">IF($O1848="","",SUMIFS($O$6:$O$2405,$A$6:$A$2405,"&lt;="&amp;$A1848))</f>
        <v/>
      </c>
      <c r="Q1848" s="57" t="str">
        <f aca="false">IF($O1848="","",IF($P1848&lt;=BankCostEnvelope*'5. Scenarios'!$D$7,1,0))</f>
        <v/>
      </c>
      <c r="R1848" s="57" t="str">
        <f aca="false">IF($N1848="","",INDEX(BookRate,1843)*(1+'5. Scenarios'!$D$10)*(INDEX(BookQ1,1843)*(5-MIN(4,1+'5. Scenarios'!$D$8))/4+INDEX(BookQ2,1843)*(5-MIN(4,2+'5. Scenarios'!$D$8))/4+INDEX(BookQ3,1843)*(5-MIN(4,3+'5. Scenarios'!$D$8))/4+INDEX(BookQ4,1843)*(5-MIN(4,4+'5. Scenarios'!$D$8))/4)*'5. Scenarios'!$D$6/(1+ProductivityDefault*('5. Scenarios'!$D$11-1))+INDEX(BookOneOff,1843)*$N1848)</f>
        <v/>
      </c>
      <c r="S1848" s="56" t="str">
        <f aca="false">IF(INDEX(BookTitle,1843)="","",INDEX(BookTotal,1843)*'5. Scenarios'!$E$6/(1+ProductivityDefault*('5. Scenarios'!$E$11-1)))</f>
        <v/>
      </c>
      <c r="T1848" s="57" t="str">
        <f aca="false">IF($S1848="","",INDEX(BookRate,1843)*(1+'5. Scenarios'!$E$10)*$S1848)</f>
        <v/>
      </c>
      <c r="U1848" s="57" t="str">
        <f aca="false">IF($T1848="","",SUMIFS($T$6:$T$2405,$A$6:$A$2405,"&lt;="&amp;$A1848))</f>
        <v/>
      </c>
      <c r="V1848" s="57" t="str">
        <f aca="false">IF($T1848="","",IF($U1848&lt;=BankCostEnvelope*'5. Scenarios'!$E$7,1,0))</f>
        <v/>
      </c>
      <c r="W1848" s="57" t="str">
        <f aca="false">IF($S1848="","",INDEX(BookRate,1843)*(1+'5. Scenarios'!$E$10)*(INDEX(BookQ1,1843)*(5-MIN(4,1+'5. Scenarios'!$E$8))/4+INDEX(BookQ2,1843)*(5-MIN(4,2+'5. Scenarios'!$E$8))/4+INDEX(BookQ3,1843)*(5-MIN(4,3+'5. Scenarios'!$E$8))/4+INDEX(BookQ4,1843)*(5-MIN(4,4+'5. Scenarios'!$E$8))/4)*'5. Scenarios'!$E$6/(1+ProductivityDefault*('5. Scenarios'!$E$11-1))+INDEX(BookOneOff,1843)*$S1848)</f>
        <v/>
      </c>
    </row>
    <row r="1849" customFormat="false" ht="15" hidden="false" customHeight="false" outlineLevel="0" collapsed="false">
      <c r="A1849" s="0" t="str">
        <f aca="false">IF(INDEX(BookTitle,1844)="","",INDEX(BookKey,1844))</f>
        <v/>
      </c>
      <c r="B1849" s="0" t="str">
        <f aca="false">IF(INDEX(BookTitle,1844)="","",INDEX(BookGroup,1844))</f>
        <v/>
      </c>
      <c r="C1849" s="0" t="str">
        <f aca="false">IF(INDEX(BookTitle,1844)="","",INDEX(BookCategory,1844))</f>
        <v/>
      </c>
      <c r="D1849" s="56" t="str">
        <f aca="false">IF(INDEX(BookTitle,1844)="","",INDEX(BookTotal,1844)*'5. Scenarios'!$B$6/(1+ProductivityDefault*('5. Scenarios'!$B$11-1)))</f>
        <v/>
      </c>
      <c r="E1849" s="57" t="str">
        <f aca="false">IF($D1849="","",INDEX(BookRate,1844)*(1+'5. Scenarios'!$B$10)*$D1849)</f>
        <v/>
      </c>
      <c r="F1849" s="57" t="str">
        <f aca="false">IF($E1849="","",SUMIFS($E$6:$E$2405,$A$6:$A$2405,"&lt;="&amp;$A1849))</f>
        <v/>
      </c>
      <c r="G1849" s="57" t="str">
        <f aca="false">IF($E1849="","",IF($F1849&lt;=BankCostEnvelope*'5. Scenarios'!$B$7,1,0))</f>
        <v/>
      </c>
      <c r="H1849" s="57" t="str">
        <f aca="false">IF($D1849="","",INDEX(BookRate,1844)*(1+'5. Scenarios'!$B$10)*(INDEX(BookQ1,1844)*(5-MIN(4,1+'5. Scenarios'!$B$8))/4+INDEX(BookQ2,1844)*(5-MIN(4,2+'5. Scenarios'!$B$8))/4+INDEX(BookQ3,1844)*(5-MIN(4,3+'5. Scenarios'!$B$8))/4+INDEX(BookQ4,1844)*(5-MIN(4,4+'5. Scenarios'!$B$8))/4)*'5. Scenarios'!$B$6/(1+ProductivityDefault*('5. Scenarios'!$B$11-1))+INDEX(BookOneOff,1844)*$D1849)</f>
        <v/>
      </c>
      <c r="I1849" s="56" t="str">
        <f aca="false">IF(INDEX(BookTitle,1844)="","",INDEX(BookTotal,1844)*'5. Scenarios'!$C$6/(1+ProductivityDefault*('5. Scenarios'!$C$11-1)))</f>
        <v/>
      </c>
      <c r="J1849" s="57" t="str">
        <f aca="false">IF($I1849="","",INDEX(BookRate,1844)*(1+'5. Scenarios'!$C$10)*$I1849)</f>
        <v/>
      </c>
      <c r="K1849" s="57" t="str">
        <f aca="false">IF($J1849="","",SUMIFS($J$6:$J$2405,$A$6:$A$2405,"&lt;="&amp;$A1849))</f>
        <v/>
      </c>
      <c r="L1849" s="57" t="str">
        <f aca="false">IF($J1849="","",IF($K1849&lt;=BankCostEnvelope*'5. Scenarios'!$C$7,1,0))</f>
        <v/>
      </c>
      <c r="M1849" s="57" t="str">
        <f aca="false">IF($I1849="","",INDEX(BookRate,1844)*(1+'5. Scenarios'!$C$10)*(INDEX(BookQ1,1844)*(5-MIN(4,1+'5. Scenarios'!$C$8))/4+INDEX(BookQ2,1844)*(5-MIN(4,2+'5. Scenarios'!$C$8))/4+INDEX(BookQ3,1844)*(5-MIN(4,3+'5. Scenarios'!$C$8))/4+INDEX(BookQ4,1844)*(5-MIN(4,4+'5. Scenarios'!$C$8))/4)*'5. Scenarios'!$C$6/(1+ProductivityDefault*('5. Scenarios'!$C$11-1))+INDEX(BookOneOff,1844)*$I1849)</f>
        <v/>
      </c>
      <c r="N1849" s="56" t="str">
        <f aca="false">IF(INDEX(BookTitle,1844)="","",INDEX(BookTotal,1844)*'5. Scenarios'!$D$6/(1+ProductivityDefault*('5. Scenarios'!$D$11-1)))</f>
        <v/>
      </c>
      <c r="O1849" s="57" t="str">
        <f aca="false">IF($N1849="","",INDEX(BookRate,1844)*(1+'5. Scenarios'!$D$10)*$N1849)</f>
        <v/>
      </c>
      <c r="P1849" s="57" t="str">
        <f aca="false">IF($O1849="","",SUMIFS($O$6:$O$2405,$A$6:$A$2405,"&lt;="&amp;$A1849))</f>
        <v/>
      </c>
      <c r="Q1849" s="57" t="str">
        <f aca="false">IF($O1849="","",IF($P1849&lt;=BankCostEnvelope*'5. Scenarios'!$D$7,1,0))</f>
        <v/>
      </c>
      <c r="R1849" s="57" t="str">
        <f aca="false">IF($N1849="","",INDEX(BookRate,1844)*(1+'5. Scenarios'!$D$10)*(INDEX(BookQ1,1844)*(5-MIN(4,1+'5. Scenarios'!$D$8))/4+INDEX(BookQ2,1844)*(5-MIN(4,2+'5. Scenarios'!$D$8))/4+INDEX(BookQ3,1844)*(5-MIN(4,3+'5. Scenarios'!$D$8))/4+INDEX(BookQ4,1844)*(5-MIN(4,4+'5. Scenarios'!$D$8))/4)*'5. Scenarios'!$D$6/(1+ProductivityDefault*('5. Scenarios'!$D$11-1))+INDEX(BookOneOff,1844)*$N1849)</f>
        <v/>
      </c>
      <c r="S1849" s="56" t="str">
        <f aca="false">IF(INDEX(BookTitle,1844)="","",INDEX(BookTotal,1844)*'5. Scenarios'!$E$6/(1+ProductivityDefault*('5. Scenarios'!$E$11-1)))</f>
        <v/>
      </c>
      <c r="T1849" s="57" t="str">
        <f aca="false">IF($S1849="","",INDEX(BookRate,1844)*(1+'5. Scenarios'!$E$10)*$S1849)</f>
        <v/>
      </c>
      <c r="U1849" s="57" t="str">
        <f aca="false">IF($T1849="","",SUMIFS($T$6:$T$2405,$A$6:$A$2405,"&lt;="&amp;$A1849))</f>
        <v/>
      </c>
      <c r="V1849" s="57" t="str">
        <f aca="false">IF($T1849="","",IF($U1849&lt;=BankCostEnvelope*'5. Scenarios'!$E$7,1,0))</f>
        <v/>
      </c>
      <c r="W1849" s="57" t="str">
        <f aca="false">IF($S1849="","",INDEX(BookRate,1844)*(1+'5. Scenarios'!$E$10)*(INDEX(BookQ1,1844)*(5-MIN(4,1+'5. Scenarios'!$E$8))/4+INDEX(BookQ2,1844)*(5-MIN(4,2+'5. Scenarios'!$E$8))/4+INDEX(BookQ3,1844)*(5-MIN(4,3+'5. Scenarios'!$E$8))/4+INDEX(BookQ4,1844)*(5-MIN(4,4+'5. Scenarios'!$E$8))/4)*'5. Scenarios'!$E$6/(1+ProductivityDefault*('5. Scenarios'!$E$11-1))+INDEX(BookOneOff,1844)*$S1849)</f>
        <v/>
      </c>
    </row>
    <row r="1850" customFormat="false" ht="15" hidden="false" customHeight="false" outlineLevel="0" collapsed="false">
      <c r="A1850" s="0" t="str">
        <f aca="false">IF(INDEX(BookTitle,1845)="","",INDEX(BookKey,1845))</f>
        <v/>
      </c>
      <c r="B1850" s="0" t="str">
        <f aca="false">IF(INDEX(BookTitle,1845)="","",INDEX(BookGroup,1845))</f>
        <v/>
      </c>
      <c r="C1850" s="0" t="str">
        <f aca="false">IF(INDEX(BookTitle,1845)="","",INDEX(BookCategory,1845))</f>
        <v/>
      </c>
      <c r="D1850" s="56" t="str">
        <f aca="false">IF(INDEX(BookTitle,1845)="","",INDEX(BookTotal,1845)*'5. Scenarios'!$B$6/(1+ProductivityDefault*('5. Scenarios'!$B$11-1)))</f>
        <v/>
      </c>
      <c r="E1850" s="57" t="str">
        <f aca="false">IF($D1850="","",INDEX(BookRate,1845)*(1+'5. Scenarios'!$B$10)*$D1850)</f>
        <v/>
      </c>
      <c r="F1850" s="57" t="str">
        <f aca="false">IF($E1850="","",SUMIFS($E$6:$E$2405,$A$6:$A$2405,"&lt;="&amp;$A1850))</f>
        <v/>
      </c>
      <c r="G1850" s="57" t="str">
        <f aca="false">IF($E1850="","",IF($F1850&lt;=BankCostEnvelope*'5. Scenarios'!$B$7,1,0))</f>
        <v/>
      </c>
      <c r="H1850" s="57" t="str">
        <f aca="false">IF($D1850="","",INDEX(BookRate,1845)*(1+'5. Scenarios'!$B$10)*(INDEX(BookQ1,1845)*(5-MIN(4,1+'5. Scenarios'!$B$8))/4+INDEX(BookQ2,1845)*(5-MIN(4,2+'5. Scenarios'!$B$8))/4+INDEX(BookQ3,1845)*(5-MIN(4,3+'5. Scenarios'!$B$8))/4+INDEX(BookQ4,1845)*(5-MIN(4,4+'5. Scenarios'!$B$8))/4)*'5. Scenarios'!$B$6/(1+ProductivityDefault*('5. Scenarios'!$B$11-1))+INDEX(BookOneOff,1845)*$D1850)</f>
        <v/>
      </c>
      <c r="I1850" s="56" t="str">
        <f aca="false">IF(INDEX(BookTitle,1845)="","",INDEX(BookTotal,1845)*'5. Scenarios'!$C$6/(1+ProductivityDefault*('5. Scenarios'!$C$11-1)))</f>
        <v/>
      </c>
      <c r="J1850" s="57" t="str">
        <f aca="false">IF($I1850="","",INDEX(BookRate,1845)*(1+'5. Scenarios'!$C$10)*$I1850)</f>
        <v/>
      </c>
      <c r="K1850" s="57" t="str">
        <f aca="false">IF($J1850="","",SUMIFS($J$6:$J$2405,$A$6:$A$2405,"&lt;="&amp;$A1850))</f>
        <v/>
      </c>
      <c r="L1850" s="57" t="str">
        <f aca="false">IF($J1850="","",IF($K1850&lt;=BankCostEnvelope*'5. Scenarios'!$C$7,1,0))</f>
        <v/>
      </c>
      <c r="M1850" s="57" t="str">
        <f aca="false">IF($I1850="","",INDEX(BookRate,1845)*(1+'5. Scenarios'!$C$10)*(INDEX(BookQ1,1845)*(5-MIN(4,1+'5. Scenarios'!$C$8))/4+INDEX(BookQ2,1845)*(5-MIN(4,2+'5. Scenarios'!$C$8))/4+INDEX(BookQ3,1845)*(5-MIN(4,3+'5. Scenarios'!$C$8))/4+INDEX(BookQ4,1845)*(5-MIN(4,4+'5. Scenarios'!$C$8))/4)*'5. Scenarios'!$C$6/(1+ProductivityDefault*('5. Scenarios'!$C$11-1))+INDEX(BookOneOff,1845)*$I1850)</f>
        <v/>
      </c>
      <c r="N1850" s="56" t="str">
        <f aca="false">IF(INDEX(BookTitle,1845)="","",INDEX(BookTotal,1845)*'5. Scenarios'!$D$6/(1+ProductivityDefault*('5. Scenarios'!$D$11-1)))</f>
        <v/>
      </c>
      <c r="O1850" s="57" t="str">
        <f aca="false">IF($N1850="","",INDEX(BookRate,1845)*(1+'5. Scenarios'!$D$10)*$N1850)</f>
        <v/>
      </c>
      <c r="P1850" s="57" t="str">
        <f aca="false">IF($O1850="","",SUMIFS($O$6:$O$2405,$A$6:$A$2405,"&lt;="&amp;$A1850))</f>
        <v/>
      </c>
      <c r="Q1850" s="57" t="str">
        <f aca="false">IF($O1850="","",IF($P1850&lt;=BankCostEnvelope*'5. Scenarios'!$D$7,1,0))</f>
        <v/>
      </c>
      <c r="R1850" s="57" t="str">
        <f aca="false">IF($N1850="","",INDEX(BookRate,1845)*(1+'5. Scenarios'!$D$10)*(INDEX(BookQ1,1845)*(5-MIN(4,1+'5. Scenarios'!$D$8))/4+INDEX(BookQ2,1845)*(5-MIN(4,2+'5. Scenarios'!$D$8))/4+INDEX(BookQ3,1845)*(5-MIN(4,3+'5. Scenarios'!$D$8))/4+INDEX(BookQ4,1845)*(5-MIN(4,4+'5. Scenarios'!$D$8))/4)*'5. Scenarios'!$D$6/(1+ProductivityDefault*('5. Scenarios'!$D$11-1))+INDEX(BookOneOff,1845)*$N1850)</f>
        <v/>
      </c>
      <c r="S1850" s="56" t="str">
        <f aca="false">IF(INDEX(BookTitle,1845)="","",INDEX(BookTotal,1845)*'5. Scenarios'!$E$6/(1+ProductivityDefault*('5. Scenarios'!$E$11-1)))</f>
        <v/>
      </c>
      <c r="T1850" s="57" t="str">
        <f aca="false">IF($S1850="","",INDEX(BookRate,1845)*(1+'5. Scenarios'!$E$10)*$S1850)</f>
        <v/>
      </c>
      <c r="U1850" s="57" t="str">
        <f aca="false">IF($T1850="","",SUMIFS($T$6:$T$2405,$A$6:$A$2405,"&lt;="&amp;$A1850))</f>
        <v/>
      </c>
      <c r="V1850" s="57" t="str">
        <f aca="false">IF($T1850="","",IF($U1850&lt;=BankCostEnvelope*'5. Scenarios'!$E$7,1,0))</f>
        <v/>
      </c>
      <c r="W1850" s="57" t="str">
        <f aca="false">IF($S1850="","",INDEX(BookRate,1845)*(1+'5. Scenarios'!$E$10)*(INDEX(BookQ1,1845)*(5-MIN(4,1+'5. Scenarios'!$E$8))/4+INDEX(BookQ2,1845)*(5-MIN(4,2+'5. Scenarios'!$E$8))/4+INDEX(BookQ3,1845)*(5-MIN(4,3+'5. Scenarios'!$E$8))/4+INDEX(BookQ4,1845)*(5-MIN(4,4+'5. Scenarios'!$E$8))/4)*'5. Scenarios'!$E$6/(1+ProductivityDefault*('5. Scenarios'!$E$11-1))+INDEX(BookOneOff,1845)*$S1850)</f>
        <v/>
      </c>
    </row>
    <row r="1851" customFormat="false" ht="15" hidden="false" customHeight="false" outlineLevel="0" collapsed="false">
      <c r="A1851" s="0" t="str">
        <f aca="false">IF(INDEX(BookTitle,1846)="","",INDEX(BookKey,1846))</f>
        <v/>
      </c>
      <c r="B1851" s="0" t="str">
        <f aca="false">IF(INDEX(BookTitle,1846)="","",INDEX(BookGroup,1846))</f>
        <v/>
      </c>
      <c r="C1851" s="0" t="str">
        <f aca="false">IF(INDEX(BookTitle,1846)="","",INDEX(BookCategory,1846))</f>
        <v/>
      </c>
      <c r="D1851" s="56" t="str">
        <f aca="false">IF(INDEX(BookTitle,1846)="","",INDEX(BookTotal,1846)*'5. Scenarios'!$B$6/(1+ProductivityDefault*('5. Scenarios'!$B$11-1)))</f>
        <v/>
      </c>
      <c r="E1851" s="57" t="str">
        <f aca="false">IF($D1851="","",INDEX(BookRate,1846)*(1+'5. Scenarios'!$B$10)*$D1851)</f>
        <v/>
      </c>
      <c r="F1851" s="57" t="str">
        <f aca="false">IF($E1851="","",SUMIFS($E$6:$E$2405,$A$6:$A$2405,"&lt;="&amp;$A1851))</f>
        <v/>
      </c>
      <c r="G1851" s="57" t="str">
        <f aca="false">IF($E1851="","",IF($F1851&lt;=BankCostEnvelope*'5. Scenarios'!$B$7,1,0))</f>
        <v/>
      </c>
      <c r="H1851" s="57" t="str">
        <f aca="false">IF($D1851="","",INDEX(BookRate,1846)*(1+'5. Scenarios'!$B$10)*(INDEX(BookQ1,1846)*(5-MIN(4,1+'5. Scenarios'!$B$8))/4+INDEX(BookQ2,1846)*(5-MIN(4,2+'5. Scenarios'!$B$8))/4+INDEX(BookQ3,1846)*(5-MIN(4,3+'5. Scenarios'!$B$8))/4+INDEX(BookQ4,1846)*(5-MIN(4,4+'5. Scenarios'!$B$8))/4)*'5. Scenarios'!$B$6/(1+ProductivityDefault*('5. Scenarios'!$B$11-1))+INDEX(BookOneOff,1846)*$D1851)</f>
        <v/>
      </c>
      <c r="I1851" s="56" t="str">
        <f aca="false">IF(INDEX(BookTitle,1846)="","",INDEX(BookTotal,1846)*'5. Scenarios'!$C$6/(1+ProductivityDefault*('5. Scenarios'!$C$11-1)))</f>
        <v/>
      </c>
      <c r="J1851" s="57" t="str">
        <f aca="false">IF($I1851="","",INDEX(BookRate,1846)*(1+'5. Scenarios'!$C$10)*$I1851)</f>
        <v/>
      </c>
      <c r="K1851" s="57" t="str">
        <f aca="false">IF($J1851="","",SUMIFS($J$6:$J$2405,$A$6:$A$2405,"&lt;="&amp;$A1851))</f>
        <v/>
      </c>
      <c r="L1851" s="57" t="str">
        <f aca="false">IF($J1851="","",IF($K1851&lt;=BankCostEnvelope*'5. Scenarios'!$C$7,1,0))</f>
        <v/>
      </c>
      <c r="M1851" s="57" t="str">
        <f aca="false">IF($I1851="","",INDEX(BookRate,1846)*(1+'5. Scenarios'!$C$10)*(INDEX(BookQ1,1846)*(5-MIN(4,1+'5. Scenarios'!$C$8))/4+INDEX(BookQ2,1846)*(5-MIN(4,2+'5. Scenarios'!$C$8))/4+INDEX(BookQ3,1846)*(5-MIN(4,3+'5. Scenarios'!$C$8))/4+INDEX(BookQ4,1846)*(5-MIN(4,4+'5. Scenarios'!$C$8))/4)*'5. Scenarios'!$C$6/(1+ProductivityDefault*('5. Scenarios'!$C$11-1))+INDEX(BookOneOff,1846)*$I1851)</f>
        <v/>
      </c>
      <c r="N1851" s="56" t="str">
        <f aca="false">IF(INDEX(BookTitle,1846)="","",INDEX(BookTotal,1846)*'5. Scenarios'!$D$6/(1+ProductivityDefault*('5. Scenarios'!$D$11-1)))</f>
        <v/>
      </c>
      <c r="O1851" s="57" t="str">
        <f aca="false">IF($N1851="","",INDEX(BookRate,1846)*(1+'5. Scenarios'!$D$10)*$N1851)</f>
        <v/>
      </c>
      <c r="P1851" s="57" t="str">
        <f aca="false">IF($O1851="","",SUMIFS($O$6:$O$2405,$A$6:$A$2405,"&lt;="&amp;$A1851))</f>
        <v/>
      </c>
      <c r="Q1851" s="57" t="str">
        <f aca="false">IF($O1851="","",IF($P1851&lt;=BankCostEnvelope*'5. Scenarios'!$D$7,1,0))</f>
        <v/>
      </c>
      <c r="R1851" s="57" t="str">
        <f aca="false">IF($N1851="","",INDEX(BookRate,1846)*(1+'5. Scenarios'!$D$10)*(INDEX(BookQ1,1846)*(5-MIN(4,1+'5. Scenarios'!$D$8))/4+INDEX(BookQ2,1846)*(5-MIN(4,2+'5. Scenarios'!$D$8))/4+INDEX(BookQ3,1846)*(5-MIN(4,3+'5. Scenarios'!$D$8))/4+INDEX(BookQ4,1846)*(5-MIN(4,4+'5. Scenarios'!$D$8))/4)*'5. Scenarios'!$D$6/(1+ProductivityDefault*('5. Scenarios'!$D$11-1))+INDEX(BookOneOff,1846)*$N1851)</f>
        <v/>
      </c>
      <c r="S1851" s="56" t="str">
        <f aca="false">IF(INDEX(BookTitle,1846)="","",INDEX(BookTotal,1846)*'5. Scenarios'!$E$6/(1+ProductivityDefault*('5. Scenarios'!$E$11-1)))</f>
        <v/>
      </c>
      <c r="T1851" s="57" t="str">
        <f aca="false">IF($S1851="","",INDEX(BookRate,1846)*(1+'5. Scenarios'!$E$10)*$S1851)</f>
        <v/>
      </c>
      <c r="U1851" s="57" t="str">
        <f aca="false">IF($T1851="","",SUMIFS($T$6:$T$2405,$A$6:$A$2405,"&lt;="&amp;$A1851))</f>
        <v/>
      </c>
      <c r="V1851" s="57" t="str">
        <f aca="false">IF($T1851="","",IF($U1851&lt;=BankCostEnvelope*'5. Scenarios'!$E$7,1,0))</f>
        <v/>
      </c>
      <c r="W1851" s="57" t="str">
        <f aca="false">IF($S1851="","",INDEX(BookRate,1846)*(1+'5. Scenarios'!$E$10)*(INDEX(BookQ1,1846)*(5-MIN(4,1+'5. Scenarios'!$E$8))/4+INDEX(BookQ2,1846)*(5-MIN(4,2+'5. Scenarios'!$E$8))/4+INDEX(BookQ3,1846)*(5-MIN(4,3+'5. Scenarios'!$E$8))/4+INDEX(BookQ4,1846)*(5-MIN(4,4+'5. Scenarios'!$E$8))/4)*'5. Scenarios'!$E$6/(1+ProductivityDefault*('5. Scenarios'!$E$11-1))+INDEX(BookOneOff,1846)*$S1851)</f>
        <v/>
      </c>
    </row>
    <row r="1852" customFormat="false" ht="15" hidden="false" customHeight="false" outlineLevel="0" collapsed="false">
      <c r="A1852" s="0" t="str">
        <f aca="false">IF(INDEX(BookTitle,1847)="","",INDEX(BookKey,1847))</f>
        <v/>
      </c>
      <c r="B1852" s="0" t="str">
        <f aca="false">IF(INDEX(BookTitle,1847)="","",INDEX(BookGroup,1847))</f>
        <v/>
      </c>
      <c r="C1852" s="0" t="str">
        <f aca="false">IF(INDEX(BookTitle,1847)="","",INDEX(BookCategory,1847))</f>
        <v/>
      </c>
      <c r="D1852" s="56" t="str">
        <f aca="false">IF(INDEX(BookTitle,1847)="","",INDEX(BookTotal,1847)*'5. Scenarios'!$B$6/(1+ProductivityDefault*('5. Scenarios'!$B$11-1)))</f>
        <v/>
      </c>
      <c r="E1852" s="57" t="str">
        <f aca="false">IF($D1852="","",INDEX(BookRate,1847)*(1+'5. Scenarios'!$B$10)*$D1852)</f>
        <v/>
      </c>
      <c r="F1852" s="57" t="str">
        <f aca="false">IF($E1852="","",SUMIFS($E$6:$E$2405,$A$6:$A$2405,"&lt;="&amp;$A1852))</f>
        <v/>
      </c>
      <c r="G1852" s="57" t="str">
        <f aca="false">IF($E1852="","",IF($F1852&lt;=BankCostEnvelope*'5. Scenarios'!$B$7,1,0))</f>
        <v/>
      </c>
      <c r="H1852" s="57" t="str">
        <f aca="false">IF($D1852="","",INDEX(BookRate,1847)*(1+'5. Scenarios'!$B$10)*(INDEX(BookQ1,1847)*(5-MIN(4,1+'5. Scenarios'!$B$8))/4+INDEX(BookQ2,1847)*(5-MIN(4,2+'5. Scenarios'!$B$8))/4+INDEX(BookQ3,1847)*(5-MIN(4,3+'5. Scenarios'!$B$8))/4+INDEX(BookQ4,1847)*(5-MIN(4,4+'5. Scenarios'!$B$8))/4)*'5. Scenarios'!$B$6/(1+ProductivityDefault*('5. Scenarios'!$B$11-1))+INDEX(BookOneOff,1847)*$D1852)</f>
        <v/>
      </c>
      <c r="I1852" s="56" t="str">
        <f aca="false">IF(INDEX(BookTitle,1847)="","",INDEX(BookTotal,1847)*'5. Scenarios'!$C$6/(1+ProductivityDefault*('5. Scenarios'!$C$11-1)))</f>
        <v/>
      </c>
      <c r="J1852" s="57" t="str">
        <f aca="false">IF($I1852="","",INDEX(BookRate,1847)*(1+'5. Scenarios'!$C$10)*$I1852)</f>
        <v/>
      </c>
      <c r="K1852" s="57" t="str">
        <f aca="false">IF($J1852="","",SUMIFS($J$6:$J$2405,$A$6:$A$2405,"&lt;="&amp;$A1852))</f>
        <v/>
      </c>
      <c r="L1852" s="57" t="str">
        <f aca="false">IF($J1852="","",IF($K1852&lt;=BankCostEnvelope*'5. Scenarios'!$C$7,1,0))</f>
        <v/>
      </c>
      <c r="M1852" s="57" t="str">
        <f aca="false">IF($I1852="","",INDEX(BookRate,1847)*(1+'5. Scenarios'!$C$10)*(INDEX(BookQ1,1847)*(5-MIN(4,1+'5. Scenarios'!$C$8))/4+INDEX(BookQ2,1847)*(5-MIN(4,2+'5. Scenarios'!$C$8))/4+INDEX(BookQ3,1847)*(5-MIN(4,3+'5. Scenarios'!$C$8))/4+INDEX(BookQ4,1847)*(5-MIN(4,4+'5. Scenarios'!$C$8))/4)*'5. Scenarios'!$C$6/(1+ProductivityDefault*('5. Scenarios'!$C$11-1))+INDEX(BookOneOff,1847)*$I1852)</f>
        <v/>
      </c>
      <c r="N1852" s="56" t="str">
        <f aca="false">IF(INDEX(BookTitle,1847)="","",INDEX(BookTotal,1847)*'5. Scenarios'!$D$6/(1+ProductivityDefault*('5. Scenarios'!$D$11-1)))</f>
        <v/>
      </c>
      <c r="O1852" s="57" t="str">
        <f aca="false">IF($N1852="","",INDEX(BookRate,1847)*(1+'5. Scenarios'!$D$10)*$N1852)</f>
        <v/>
      </c>
      <c r="P1852" s="57" t="str">
        <f aca="false">IF($O1852="","",SUMIFS($O$6:$O$2405,$A$6:$A$2405,"&lt;="&amp;$A1852))</f>
        <v/>
      </c>
      <c r="Q1852" s="57" t="str">
        <f aca="false">IF($O1852="","",IF($P1852&lt;=BankCostEnvelope*'5. Scenarios'!$D$7,1,0))</f>
        <v/>
      </c>
      <c r="R1852" s="57" t="str">
        <f aca="false">IF($N1852="","",INDEX(BookRate,1847)*(1+'5. Scenarios'!$D$10)*(INDEX(BookQ1,1847)*(5-MIN(4,1+'5. Scenarios'!$D$8))/4+INDEX(BookQ2,1847)*(5-MIN(4,2+'5. Scenarios'!$D$8))/4+INDEX(BookQ3,1847)*(5-MIN(4,3+'5. Scenarios'!$D$8))/4+INDEX(BookQ4,1847)*(5-MIN(4,4+'5. Scenarios'!$D$8))/4)*'5. Scenarios'!$D$6/(1+ProductivityDefault*('5. Scenarios'!$D$11-1))+INDEX(BookOneOff,1847)*$N1852)</f>
        <v/>
      </c>
      <c r="S1852" s="56" t="str">
        <f aca="false">IF(INDEX(BookTitle,1847)="","",INDEX(BookTotal,1847)*'5. Scenarios'!$E$6/(1+ProductivityDefault*('5. Scenarios'!$E$11-1)))</f>
        <v/>
      </c>
      <c r="T1852" s="57" t="str">
        <f aca="false">IF($S1852="","",INDEX(BookRate,1847)*(1+'5. Scenarios'!$E$10)*$S1852)</f>
        <v/>
      </c>
      <c r="U1852" s="57" t="str">
        <f aca="false">IF($T1852="","",SUMIFS($T$6:$T$2405,$A$6:$A$2405,"&lt;="&amp;$A1852))</f>
        <v/>
      </c>
      <c r="V1852" s="57" t="str">
        <f aca="false">IF($T1852="","",IF($U1852&lt;=BankCostEnvelope*'5. Scenarios'!$E$7,1,0))</f>
        <v/>
      </c>
      <c r="W1852" s="57" t="str">
        <f aca="false">IF($S1852="","",INDEX(BookRate,1847)*(1+'5. Scenarios'!$E$10)*(INDEX(BookQ1,1847)*(5-MIN(4,1+'5. Scenarios'!$E$8))/4+INDEX(BookQ2,1847)*(5-MIN(4,2+'5. Scenarios'!$E$8))/4+INDEX(BookQ3,1847)*(5-MIN(4,3+'5. Scenarios'!$E$8))/4+INDEX(BookQ4,1847)*(5-MIN(4,4+'5. Scenarios'!$E$8))/4)*'5. Scenarios'!$E$6/(1+ProductivityDefault*('5. Scenarios'!$E$11-1))+INDEX(BookOneOff,1847)*$S1852)</f>
        <v/>
      </c>
    </row>
    <row r="1853" customFormat="false" ht="15" hidden="false" customHeight="false" outlineLevel="0" collapsed="false">
      <c r="A1853" s="0" t="str">
        <f aca="false">IF(INDEX(BookTitle,1848)="","",INDEX(BookKey,1848))</f>
        <v/>
      </c>
      <c r="B1853" s="0" t="str">
        <f aca="false">IF(INDEX(BookTitle,1848)="","",INDEX(BookGroup,1848))</f>
        <v/>
      </c>
      <c r="C1853" s="0" t="str">
        <f aca="false">IF(INDEX(BookTitle,1848)="","",INDEX(BookCategory,1848))</f>
        <v/>
      </c>
      <c r="D1853" s="56" t="str">
        <f aca="false">IF(INDEX(BookTitle,1848)="","",INDEX(BookTotal,1848)*'5. Scenarios'!$B$6/(1+ProductivityDefault*('5. Scenarios'!$B$11-1)))</f>
        <v/>
      </c>
      <c r="E1853" s="57" t="str">
        <f aca="false">IF($D1853="","",INDEX(BookRate,1848)*(1+'5. Scenarios'!$B$10)*$D1853)</f>
        <v/>
      </c>
      <c r="F1853" s="57" t="str">
        <f aca="false">IF($E1853="","",SUMIFS($E$6:$E$2405,$A$6:$A$2405,"&lt;="&amp;$A1853))</f>
        <v/>
      </c>
      <c r="G1853" s="57" t="str">
        <f aca="false">IF($E1853="","",IF($F1853&lt;=BankCostEnvelope*'5. Scenarios'!$B$7,1,0))</f>
        <v/>
      </c>
      <c r="H1853" s="57" t="str">
        <f aca="false">IF($D1853="","",INDEX(BookRate,1848)*(1+'5. Scenarios'!$B$10)*(INDEX(BookQ1,1848)*(5-MIN(4,1+'5. Scenarios'!$B$8))/4+INDEX(BookQ2,1848)*(5-MIN(4,2+'5. Scenarios'!$B$8))/4+INDEX(BookQ3,1848)*(5-MIN(4,3+'5. Scenarios'!$B$8))/4+INDEX(BookQ4,1848)*(5-MIN(4,4+'5. Scenarios'!$B$8))/4)*'5. Scenarios'!$B$6/(1+ProductivityDefault*('5. Scenarios'!$B$11-1))+INDEX(BookOneOff,1848)*$D1853)</f>
        <v/>
      </c>
      <c r="I1853" s="56" t="str">
        <f aca="false">IF(INDEX(BookTitle,1848)="","",INDEX(BookTotal,1848)*'5. Scenarios'!$C$6/(1+ProductivityDefault*('5. Scenarios'!$C$11-1)))</f>
        <v/>
      </c>
      <c r="J1853" s="57" t="str">
        <f aca="false">IF($I1853="","",INDEX(BookRate,1848)*(1+'5. Scenarios'!$C$10)*$I1853)</f>
        <v/>
      </c>
      <c r="K1853" s="57" t="str">
        <f aca="false">IF($J1853="","",SUMIFS($J$6:$J$2405,$A$6:$A$2405,"&lt;="&amp;$A1853))</f>
        <v/>
      </c>
      <c r="L1853" s="57" t="str">
        <f aca="false">IF($J1853="","",IF($K1853&lt;=BankCostEnvelope*'5. Scenarios'!$C$7,1,0))</f>
        <v/>
      </c>
      <c r="M1853" s="57" t="str">
        <f aca="false">IF($I1853="","",INDEX(BookRate,1848)*(1+'5. Scenarios'!$C$10)*(INDEX(BookQ1,1848)*(5-MIN(4,1+'5. Scenarios'!$C$8))/4+INDEX(BookQ2,1848)*(5-MIN(4,2+'5. Scenarios'!$C$8))/4+INDEX(BookQ3,1848)*(5-MIN(4,3+'5. Scenarios'!$C$8))/4+INDEX(BookQ4,1848)*(5-MIN(4,4+'5. Scenarios'!$C$8))/4)*'5. Scenarios'!$C$6/(1+ProductivityDefault*('5. Scenarios'!$C$11-1))+INDEX(BookOneOff,1848)*$I1853)</f>
        <v/>
      </c>
      <c r="N1853" s="56" t="str">
        <f aca="false">IF(INDEX(BookTitle,1848)="","",INDEX(BookTotal,1848)*'5. Scenarios'!$D$6/(1+ProductivityDefault*('5. Scenarios'!$D$11-1)))</f>
        <v/>
      </c>
      <c r="O1853" s="57" t="str">
        <f aca="false">IF($N1853="","",INDEX(BookRate,1848)*(1+'5. Scenarios'!$D$10)*$N1853)</f>
        <v/>
      </c>
      <c r="P1853" s="57" t="str">
        <f aca="false">IF($O1853="","",SUMIFS($O$6:$O$2405,$A$6:$A$2405,"&lt;="&amp;$A1853))</f>
        <v/>
      </c>
      <c r="Q1853" s="57" t="str">
        <f aca="false">IF($O1853="","",IF($P1853&lt;=BankCostEnvelope*'5. Scenarios'!$D$7,1,0))</f>
        <v/>
      </c>
      <c r="R1853" s="57" t="str">
        <f aca="false">IF($N1853="","",INDEX(BookRate,1848)*(1+'5. Scenarios'!$D$10)*(INDEX(BookQ1,1848)*(5-MIN(4,1+'5. Scenarios'!$D$8))/4+INDEX(BookQ2,1848)*(5-MIN(4,2+'5. Scenarios'!$D$8))/4+INDEX(BookQ3,1848)*(5-MIN(4,3+'5. Scenarios'!$D$8))/4+INDEX(BookQ4,1848)*(5-MIN(4,4+'5. Scenarios'!$D$8))/4)*'5. Scenarios'!$D$6/(1+ProductivityDefault*('5. Scenarios'!$D$11-1))+INDEX(BookOneOff,1848)*$N1853)</f>
        <v/>
      </c>
      <c r="S1853" s="56" t="str">
        <f aca="false">IF(INDEX(BookTitle,1848)="","",INDEX(BookTotal,1848)*'5. Scenarios'!$E$6/(1+ProductivityDefault*('5. Scenarios'!$E$11-1)))</f>
        <v/>
      </c>
      <c r="T1853" s="57" t="str">
        <f aca="false">IF($S1853="","",INDEX(BookRate,1848)*(1+'5. Scenarios'!$E$10)*$S1853)</f>
        <v/>
      </c>
      <c r="U1853" s="57" t="str">
        <f aca="false">IF($T1853="","",SUMIFS($T$6:$T$2405,$A$6:$A$2405,"&lt;="&amp;$A1853))</f>
        <v/>
      </c>
      <c r="V1853" s="57" t="str">
        <f aca="false">IF($T1853="","",IF($U1853&lt;=BankCostEnvelope*'5. Scenarios'!$E$7,1,0))</f>
        <v/>
      </c>
      <c r="W1853" s="57" t="str">
        <f aca="false">IF($S1853="","",INDEX(BookRate,1848)*(1+'5. Scenarios'!$E$10)*(INDEX(BookQ1,1848)*(5-MIN(4,1+'5. Scenarios'!$E$8))/4+INDEX(BookQ2,1848)*(5-MIN(4,2+'5. Scenarios'!$E$8))/4+INDEX(BookQ3,1848)*(5-MIN(4,3+'5. Scenarios'!$E$8))/4+INDEX(BookQ4,1848)*(5-MIN(4,4+'5. Scenarios'!$E$8))/4)*'5. Scenarios'!$E$6/(1+ProductivityDefault*('5. Scenarios'!$E$11-1))+INDEX(BookOneOff,1848)*$S1853)</f>
        <v/>
      </c>
    </row>
    <row r="1854" customFormat="false" ht="15" hidden="false" customHeight="false" outlineLevel="0" collapsed="false">
      <c r="A1854" s="0" t="str">
        <f aca="false">IF(INDEX(BookTitle,1849)="","",INDEX(BookKey,1849))</f>
        <v/>
      </c>
      <c r="B1854" s="0" t="str">
        <f aca="false">IF(INDEX(BookTitle,1849)="","",INDEX(BookGroup,1849))</f>
        <v/>
      </c>
      <c r="C1854" s="0" t="str">
        <f aca="false">IF(INDEX(BookTitle,1849)="","",INDEX(BookCategory,1849))</f>
        <v/>
      </c>
      <c r="D1854" s="56" t="str">
        <f aca="false">IF(INDEX(BookTitle,1849)="","",INDEX(BookTotal,1849)*'5. Scenarios'!$B$6/(1+ProductivityDefault*('5. Scenarios'!$B$11-1)))</f>
        <v/>
      </c>
      <c r="E1854" s="57" t="str">
        <f aca="false">IF($D1854="","",INDEX(BookRate,1849)*(1+'5. Scenarios'!$B$10)*$D1854)</f>
        <v/>
      </c>
      <c r="F1854" s="57" t="str">
        <f aca="false">IF($E1854="","",SUMIFS($E$6:$E$2405,$A$6:$A$2405,"&lt;="&amp;$A1854))</f>
        <v/>
      </c>
      <c r="G1854" s="57" t="str">
        <f aca="false">IF($E1854="","",IF($F1854&lt;=BankCostEnvelope*'5. Scenarios'!$B$7,1,0))</f>
        <v/>
      </c>
      <c r="H1854" s="57" t="str">
        <f aca="false">IF($D1854="","",INDEX(BookRate,1849)*(1+'5. Scenarios'!$B$10)*(INDEX(BookQ1,1849)*(5-MIN(4,1+'5. Scenarios'!$B$8))/4+INDEX(BookQ2,1849)*(5-MIN(4,2+'5. Scenarios'!$B$8))/4+INDEX(BookQ3,1849)*(5-MIN(4,3+'5. Scenarios'!$B$8))/4+INDEX(BookQ4,1849)*(5-MIN(4,4+'5. Scenarios'!$B$8))/4)*'5. Scenarios'!$B$6/(1+ProductivityDefault*('5. Scenarios'!$B$11-1))+INDEX(BookOneOff,1849)*$D1854)</f>
        <v/>
      </c>
      <c r="I1854" s="56" t="str">
        <f aca="false">IF(INDEX(BookTitle,1849)="","",INDEX(BookTotal,1849)*'5. Scenarios'!$C$6/(1+ProductivityDefault*('5. Scenarios'!$C$11-1)))</f>
        <v/>
      </c>
      <c r="J1854" s="57" t="str">
        <f aca="false">IF($I1854="","",INDEX(BookRate,1849)*(1+'5. Scenarios'!$C$10)*$I1854)</f>
        <v/>
      </c>
      <c r="K1854" s="57" t="str">
        <f aca="false">IF($J1854="","",SUMIFS($J$6:$J$2405,$A$6:$A$2405,"&lt;="&amp;$A1854))</f>
        <v/>
      </c>
      <c r="L1854" s="57" t="str">
        <f aca="false">IF($J1854="","",IF($K1854&lt;=BankCostEnvelope*'5. Scenarios'!$C$7,1,0))</f>
        <v/>
      </c>
      <c r="M1854" s="57" t="str">
        <f aca="false">IF($I1854="","",INDEX(BookRate,1849)*(1+'5. Scenarios'!$C$10)*(INDEX(BookQ1,1849)*(5-MIN(4,1+'5. Scenarios'!$C$8))/4+INDEX(BookQ2,1849)*(5-MIN(4,2+'5. Scenarios'!$C$8))/4+INDEX(BookQ3,1849)*(5-MIN(4,3+'5. Scenarios'!$C$8))/4+INDEX(BookQ4,1849)*(5-MIN(4,4+'5. Scenarios'!$C$8))/4)*'5. Scenarios'!$C$6/(1+ProductivityDefault*('5. Scenarios'!$C$11-1))+INDEX(BookOneOff,1849)*$I1854)</f>
        <v/>
      </c>
      <c r="N1854" s="56" t="str">
        <f aca="false">IF(INDEX(BookTitle,1849)="","",INDEX(BookTotal,1849)*'5. Scenarios'!$D$6/(1+ProductivityDefault*('5. Scenarios'!$D$11-1)))</f>
        <v/>
      </c>
      <c r="O1854" s="57" t="str">
        <f aca="false">IF($N1854="","",INDEX(BookRate,1849)*(1+'5. Scenarios'!$D$10)*$N1854)</f>
        <v/>
      </c>
      <c r="P1854" s="57" t="str">
        <f aca="false">IF($O1854="","",SUMIFS($O$6:$O$2405,$A$6:$A$2405,"&lt;="&amp;$A1854))</f>
        <v/>
      </c>
      <c r="Q1854" s="57" t="str">
        <f aca="false">IF($O1854="","",IF($P1854&lt;=BankCostEnvelope*'5. Scenarios'!$D$7,1,0))</f>
        <v/>
      </c>
      <c r="R1854" s="57" t="str">
        <f aca="false">IF($N1854="","",INDEX(BookRate,1849)*(1+'5. Scenarios'!$D$10)*(INDEX(BookQ1,1849)*(5-MIN(4,1+'5. Scenarios'!$D$8))/4+INDEX(BookQ2,1849)*(5-MIN(4,2+'5. Scenarios'!$D$8))/4+INDEX(BookQ3,1849)*(5-MIN(4,3+'5. Scenarios'!$D$8))/4+INDEX(BookQ4,1849)*(5-MIN(4,4+'5. Scenarios'!$D$8))/4)*'5. Scenarios'!$D$6/(1+ProductivityDefault*('5. Scenarios'!$D$11-1))+INDEX(BookOneOff,1849)*$N1854)</f>
        <v/>
      </c>
      <c r="S1854" s="56" t="str">
        <f aca="false">IF(INDEX(BookTitle,1849)="","",INDEX(BookTotal,1849)*'5. Scenarios'!$E$6/(1+ProductivityDefault*('5. Scenarios'!$E$11-1)))</f>
        <v/>
      </c>
      <c r="T1854" s="57" t="str">
        <f aca="false">IF($S1854="","",INDEX(BookRate,1849)*(1+'5. Scenarios'!$E$10)*$S1854)</f>
        <v/>
      </c>
      <c r="U1854" s="57" t="str">
        <f aca="false">IF($T1854="","",SUMIFS($T$6:$T$2405,$A$6:$A$2405,"&lt;="&amp;$A1854))</f>
        <v/>
      </c>
      <c r="V1854" s="57" t="str">
        <f aca="false">IF($T1854="","",IF($U1854&lt;=BankCostEnvelope*'5. Scenarios'!$E$7,1,0))</f>
        <v/>
      </c>
      <c r="W1854" s="57" t="str">
        <f aca="false">IF($S1854="","",INDEX(BookRate,1849)*(1+'5. Scenarios'!$E$10)*(INDEX(BookQ1,1849)*(5-MIN(4,1+'5. Scenarios'!$E$8))/4+INDEX(BookQ2,1849)*(5-MIN(4,2+'5. Scenarios'!$E$8))/4+INDEX(BookQ3,1849)*(5-MIN(4,3+'5. Scenarios'!$E$8))/4+INDEX(BookQ4,1849)*(5-MIN(4,4+'5. Scenarios'!$E$8))/4)*'5. Scenarios'!$E$6/(1+ProductivityDefault*('5. Scenarios'!$E$11-1))+INDEX(BookOneOff,1849)*$S1854)</f>
        <v/>
      </c>
    </row>
    <row r="1855" customFormat="false" ht="15" hidden="false" customHeight="false" outlineLevel="0" collapsed="false">
      <c r="A1855" s="0" t="str">
        <f aca="false">IF(INDEX(BookTitle,1850)="","",INDEX(BookKey,1850))</f>
        <v/>
      </c>
      <c r="B1855" s="0" t="str">
        <f aca="false">IF(INDEX(BookTitle,1850)="","",INDEX(BookGroup,1850))</f>
        <v/>
      </c>
      <c r="C1855" s="0" t="str">
        <f aca="false">IF(INDEX(BookTitle,1850)="","",INDEX(BookCategory,1850))</f>
        <v/>
      </c>
      <c r="D1855" s="56" t="str">
        <f aca="false">IF(INDEX(BookTitle,1850)="","",INDEX(BookTotal,1850)*'5. Scenarios'!$B$6/(1+ProductivityDefault*('5. Scenarios'!$B$11-1)))</f>
        <v/>
      </c>
      <c r="E1855" s="57" t="str">
        <f aca="false">IF($D1855="","",INDEX(BookRate,1850)*(1+'5. Scenarios'!$B$10)*$D1855)</f>
        <v/>
      </c>
      <c r="F1855" s="57" t="str">
        <f aca="false">IF($E1855="","",SUMIFS($E$6:$E$2405,$A$6:$A$2405,"&lt;="&amp;$A1855))</f>
        <v/>
      </c>
      <c r="G1855" s="57" t="str">
        <f aca="false">IF($E1855="","",IF($F1855&lt;=BankCostEnvelope*'5. Scenarios'!$B$7,1,0))</f>
        <v/>
      </c>
      <c r="H1855" s="57" t="str">
        <f aca="false">IF($D1855="","",INDEX(BookRate,1850)*(1+'5. Scenarios'!$B$10)*(INDEX(BookQ1,1850)*(5-MIN(4,1+'5. Scenarios'!$B$8))/4+INDEX(BookQ2,1850)*(5-MIN(4,2+'5. Scenarios'!$B$8))/4+INDEX(BookQ3,1850)*(5-MIN(4,3+'5. Scenarios'!$B$8))/4+INDEX(BookQ4,1850)*(5-MIN(4,4+'5. Scenarios'!$B$8))/4)*'5. Scenarios'!$B$6/(1+ProductivityDefault*('5. Scenarios'!$B$11-1))+INDEX(BookOneOff,1850)*$D1855)</f>
        <v/>
      </c>
      <c r="I1855" s="56" t="str">
        <f aca="false">IF(INDEX(BookTitle,1850)="","",INDEX(BookTotal,1850)*'5. Scenarios'!$C$6/(1+ProductivityDefault*('5. Scenarios'!$C$11-1)))</f>
        <v/>
      </c>
      <c r="J1855" s="57" t="str">
        <f aca="false">IF($I1855="","",INDEX(BookRate,1850)*(1+'5. Scenarios'!$C$10)*$I1855)</f>
        <v/>
      </c>
      <c r="K1855" s="57" t="str">
        <f aca="false">IF($J1855="","",SUMIFS($J$6:$J$2405,$A$6:$A$2405,"&lt;="&amp;$A1855))</f>
        <v/>
      </c>
      <c r="L1855" s="57" t="str">
        <f aca="false">IF($J1855="","",IF($K1855&lt;=BankCostEnvelope*'5. Scenarios'!$C$7,1,0))</f>
        <v/>
      </c>
      <c r="M1855" s="57" t="str">
        <f aca="false">IF($I1855="","",INDEX(BookRate,1850)*(1+'5. Scenarios'!$C$10)*(INDEX(BookQ1,1850)*(5-MIN(4,1+'5. Scenarios'!$C$8))/4+INDEX(BookQ2,1850)*(5-MIN(4,2+'5. Scenarios'!$C$8))/4+INDEX(BookQ3,1850)*(5-MIN(4,3+'5. Scenarios'!$C$8))/4+INDEX(BookQ4,1850)*(5-MIN(4,4+'5. Scenarios'!$C$8))/4)*'5. Scenarios'!$C$6/(1+ProductivityDefault*('5. Scenarios'!$C$11-1))+INDEX(BookOneOff,1850)*$I1855)</f>
        <v/>
      </c>
      <c r="N1855" s="56" t="str">
        <f aca="false">IF(INDEX(BookTitle,1850)="","",INDEX(BookTotal,1850)*'5. Scenarios'!$D$6/(1+ProductivityDefault*('5. Scenarios'!$D$11-1)))</f>
        <v/>
      </c>
      <c r="O1855" s="57" t="str">
        <f aca="false">IF($N1855="","",INDEX(BookRate,1850)*(1+'5. Scenarios'!$D$10)*$N1855)</f>
        <v/>
      </c>
      <c r="P1855" s="57" t="str">
        <f aca="false">IF($O1855="","",SUMIFS($O$6:$O$2405,$A$6:$A$2405,"&lt;="&amp;$A1855))</f>
        <v/>
      </c>
      <c r="Q1855" s="57" t="str">
        <f aca="false">IF($O1855="","",IF($P1855&lt;=BankCostEnvelope*'5. Scenarios'!$D$7,1,0))</f>
        <v/>
      </c>
      <c r="R1855" s="57" t="str">
        <f aca="false">IF($N1855="","",INDEX(BookRate,1850)*(1+'5. Scenarios'!$D$10)*(INDEX(BookQ1,1850)*(5-MIN(4,1+'5. Scenarios'!$D$8))/4+INDEX(BookQ2,1850)*(5-MIN(4,2+'5. Scenarios'!$D$8))/4+INDEX(BookQ3,1850)*(5-MIN(4,3+'5. Scenarios'!$D$8))/4+INDEX(BookQ4,1850)*(5-MIN(4,4+'5. Scenarios'!$D$8))/4)*'5. Scenarios'!$D$6/(1+ProductivityDefault*('5. Scenarios'!$D$11-1))+INDEX(BookOneOff,1850)*$N1855)</f>
        <v/>
      </c>
      <c r="S1855" s="56" t="str">
        <f aca="false">IF(INDEX(BookTitle,1850)="","",INDEX(BookTotal,1850)*'5. Scenarios'!$E$6/(1+ProductivityDefault*('5. Scenarios'!$E$11-1)))</f>
        <v/>
      </c>
      <c r="T1855" s="57" t="str">
        <f aca="false">IF($S1855="","",INDEX(BookRate,1850)*(1+'5. Scenarios'!$E$10)*$S1855)</f>
        <v/>
      </c>
      <c r="U1855" s="57" t="str">
        <f aca="false">IF($T1855="","",SUMIFS($T$6:$T$2405,$A$6:$A$2405,"&lt;="&amp;$A1855))</f>
        <v/>
      </c>
      <c r="V1855" s="57" t="str">
        <f aca="false">IF($T1855="","",IF($U1855&lt;=BankCostEnvelope*'5. Scenarios'!$E$7,1,0))</f>
        <v/>
      </c>
      <c r="W1855" s="57" t="str">
        <f aca="false">IF($S1855="","",INDEX(BookRate,1850)*(1+'5. Scenarios'!$E$10)*(INDEX(BookQ1,1850)*(5-MIN(4,1+'5. Scenarios'!$E$8))/4+INDEX(BookQ2,1850)*(5-MIN(4,2+'5. Scenarios'!$E$8))/4+INDEX(BookQ3,1850)*(5-MIN(4,3+'5. Scenarios'!$E$8))/4+INDEX(BookQ4,1850)*(5-MIN(4,4+'5. Scenarios'!$E$8))/4)*'5. Scenarios'!$E$6/(1+ProductivityDefault*('5. Scenarios'!$E$11-1))+INDEX(BookOneOff,1850)*$S1855)</f>
        <v/>
      </c>
    </row>
    <row r="1856" customFormat="false" ht="15" hidden="false" customHeight="false" outlineLevel="0" collapsed="false">
      <c r="A1856" s="0" t="str">
        <f aca="false">IF(INDEX(BookTitle,1851)="","",INDEX(BookKey,1851))</f>
        <v/>
      </c>
      <c r="B1856" s="0" t="str">
        <f aca="false">IF(INDEX(BookTitle,1851)="","",INDEX(BookGroup,1851))</f>
        <v/>
      </c>
      <c r="C1856" s="0" t="str">
        <f aca="false">IF(INDEX(BookTitle,1851)="","",INDEX(BookCategory,1851))</f>
        <v/>
      </c>
      <c r="D1856" s="56" t="str">
        <f aca="false">IF(INDEX(BookTitle,1851)="","",INDEX(BookTotal,1851)*'5. Scenarios'!$B$6/(1+ProductivityDefault*('5. Scenarios'!$B$11-1)))</f>
        <v/>
      </c>
      <c r="E1856" s="57" t="str">
        <f aca="false">IF($D1856="","",INDEX(BookRate,1851)*(1+'5. Scenarios'!$B$10)*$D1856)</f>
        <v/>
      </c>
      <c r="F1856" s="57" t="str">
        <f aca="false">IF($E1856="","",SUMIFS($E$6:$E$2405,$A$6:$A$2405,"&lt;="&amp;$A1856))</f>
        <v/>
      </c>
      <c r="G1856" s="57" t="str">
        <f aca="false">IF($E1856="","",IF($F1856&lt;=BankCostEnvelope*'5. Scenarios'!$B$7,1,0))</f>
        <v/>
      </c>
      <c r="H1856" s="57" t="str">
        <f aca="false">IF($D1856="","",INDEX(BookRate,1851)*(1+'5. Scenarios'!$B$10)*(INDEX(BookQ1,1851)*(5-MIN(4,1+'5. Scenarios'!$B$8))/4+INDEX(BookQ2,1851)*(5-MIN(4,2+'5. Scenarios'!$B$8))/4+INDEX(BookQ3,1851)*(5-MIN(4,3+'5. Scenarios'!$B$8))/4+INDEX(BookQ4,1851)*(5-MIN(4,4+'5. Scenarios'!$B$8))/4)*'5. Scenarios'!$B$6/(1+ProductivityDefault*('5. Scenarios'!$B$11-1))+INDEX(BookOneOff,1851)*$D1856)</f>
        <v/>
      </c>
      <c r="I1856" s="56" t="str">
        <f aca="false">IF(INDEX(BookTitle,1851)="","",INDEX(BookTotal,1851)*'5. Scenarios'!$C$6/(1+ProductivityDefault*('5. Scenarios'!$C$11-1)))</f>
        <v/>
      </c>
      <c r="J1856" s="57" t="str">
        <f aca="false">IF($I1856="","",INDEX(BookRate,1851)*(1+'5. Scenarios'!$C$10)*$I1856)</f>
        <v/>
      </c>
      <c r="K1856" s="57" t="str">
        <f aca="false">IF($J1856="","",SUMIFS($J$6:$J$2405,$A$6:$A$2405,"&lt;="&amp;$A1856))</f>
        <v/>
      </c>
      <c r="L1856" s="57" t="str">
        <f aca="false">IF($J1856="","",IF($K1856&lt;=BankCostEnvelope*'5. Scenarios'!$C$7,1,0))</f>
        <v/>
      </c>
      <c r="M1856" s="57" t="str">
        <f aca="false">IF($I1856="","",INDEX(BookRate,1851)*(1+'5. Scenarios'!$C$10)*(INDEX(BookQ1,1851)*(5-MIN(4,1+'5. Scenarios'!$C$8))/4+INDEX(BookQ2,1851)*(5-MIN(4,2+'5. Scenarios'!$C$8))/4+INDEX(BookQ3,1851)*(5-MIN(4,3+'5. Scenarios'!$C$8))/4+INDEX(BookQ4,1851)*(5-MIN(4,4+'5. Scenarios'!$C$8))/4)*'5. Scenarios'!$C$6/(1+ProductivityDefault*('5. Scenarios'!$C$11-1))+INDEX(BookOneOff,1851)*$I1856)</f>
        <v/>
      </c>
      <c r="N1856" s="56" t="str">
        <f aca="false">IF(INDEX(BookTitle,1851)="","",INDEX(BookTotal,1851)*'5. Scenarios'!$D$6/(1+ProductivityDefault*('5. Scenarios'!$D$11-1)))</f>
        <v/>
      </c>
      <c r="O1856" s="57" t="str">
        <f aca="false">IF($N1856="","",INDEX(BookRate,1851)*(1+'5. Scenarios'!$D$10)*$N1856)</f>
        <v/>
      </c>
      <c r="P1856" s="57" t="str">
        <f aca="false">IF($O1856="","",SUMIFS($O$6:$O$2405,$A$6:$A$2405,"&lt;="&amp;$A1856))</f>
        <v/>
      </c>
      <c r="Q1856" s="57" t="str">
        <f aca="false">IF($O1856="","",IF($P1856&lt;=BankCostEnvelope*'5. Scenarios'!$D$7,1,0))</f>
        <v/>
      </c>
      <c r="R1856" s="57" t="str">
        <f aca="false">IF($N1856="","",INDEX(BookRate,1851)*(1+'5. Scenarios'!$D$10)*(INDEX(BookQ1,1851)*(5-MIN(4,1+'5. Scenarios'!$D$8))/4+INDEX(BookQ2,1851)*(5-MIN(4,2+'5. Scenarios'!$D$8))/4+INDEX(BookQ3,1851)*(5-MIN(4,3+'5. Scenarios'!$D$8))/4+INDEX(BookQ4,1851)*(5-MIN(4,4+'5. Scenarios'!$D$8))/4)*'5. Scenarios'!$D$6/(1+ProductivityDefault*('5. Scenarios'!$D$11-1))+INDEX(BookOneOff,1851)*$N1856)</f>
        <v/>
      </c>
      <c r="S1856" s="56" t="str">
        <f aca="false">IF(INDEX(BookTitle,1851)="","",INDEX(BookTotal,1851)*'5. Scenarios'!$E$6/(1+ProductivityDefault*('5. Scenarios'!$E$11-1)))</f>
        <v/>
      </c>
      <c r="T1856" s="57" t="str">
        <f aca="false">IF($S1856="","",INDEX(BookRate,1851)*(1+'5. Scenarios'!$E$10)*$S1856)</f>
        <v/>
      </c>
      <c r="U1856" s="57" t="str">
        <f aca="false">IF($T1856="","",SUMIFS($T$6:$T$2405,$A$6:$A$2405,"&lt;="&amp;$A1856))</f>
        <v/>
      </c>
      <c r="V1856" s="57" t="str">
        <f aca="false">IF($T1856="","",IF($U1856&lt;=BankCostEnvelope*'5. Scenarios'!$E$7,1,0))</f>
        <v/>
      </c>
      <c r="W1856" s="57" t="str">
        <f aca="false">IF($S1856="","",INDEX(BookRate,1851)*(1+'5. Scenarios'!$E$10)*(INDEX(BookQ1,1851)*(5-MIN(4,1+'5. Scenarios'!$E$8))/4+INDEX(BookQ2,1851)*(5-MIN(4,2+'5. Scenarios'!$E$8))/4+INDEX(BookQ3,1851)*(5-MIN(4,3+'5. Scenarios'!$E$8))/4+INDEX(BookQ4,1851)*(5-MIN(4,4+'5. Scenarios'!$E$8))/4)*'5. Scenarios'!$E$6/(1+ProductivityDefault*('5. Scenarios'!$E$11-1))+INDEX(BookOneOff,1851)*$S1856)</f>
        <v/>
      </c>
    </row>
    <row r="1857" customFormat="false" ht="15" hidden="false" customHeight="false" outlineLevel="0" collapsed="false">
      <c r="A1857" s="0" t="str">
        <f aca="false">IF(INDEX(BookTitle,1852)="","",INDEX(BookKey,1852))</f>
        <v/>
      </c>
      <c r="B1857" s="0" t="str">
        <f aca="false">IF(INDEX(BookTitle,1852)="","",INDEX(BookGroup,1852))</f>
        <v/>
      </c>
      <c r="C1857" s="0" t="str">
        <f aca="false">IF(INDEX(BookTitle,1852)="","",INDEX(BookCategory,1852))</f>
        <v/>
      </c>
      <c r="D1857" s="56" t="str">
        <f aca="false">IF(INDEX(BookTitle,1852)="","",INDEX(BookTotal,1852)*'5. Scenarios'!$B$6/(1+ProductivityDefault*('5. Scenarios'!$B$11-1)))</f>
        <v/>
      </c>
      <c r="E1857" s="57" t="str">
        <f aca="false">IF($D1857="","",INDEX(BookRate,1852)*(1+'5. Scenarios'!$B$10)*$D1857)</f>
        <v/>
      </c>
      <c r="F1857" s="57" t="str">
        <f aca="false">IF($E1857="","",SUMIFS($E$6:$E$2405,$A$6:$A$2405,"&lt;="&amp;$A1857))</f>
        <v/>
      </c>
      <c r="G1857" s="57" t="str">
        <f aca="false">IF($E1857="","",IF($F1857&lt;=BankCostEnvelope*'5. Scenarios'!$B$7,1,0))</f>
        <v/>
      </c>
      <c r="H1857" s="57" t="str">
        <f aca="false">IF($D1857="","",INDEX(BookRate,1852)*(1+'5. Scenarios'!$B$10)*(INDEX(BookQ1,1852)*(5-MIN(4,1+'5. Scenarios'!$B$8))/4+INDEX(BookQ2,1852)*(5-MIN(4,2+'5. Scenarios'!$B$8))/4+INDEX(BookQ3,1852)*(5-MIN(4,3+'5. Scenarios'!$B$8))/4+INDEX(BookQ4,1852)*(5-MIN(4,4+'5. Scenarios'!$B$8))/4)*'5. Scenarios'!$B$6/(1+ProductivityDefault*('5. Scenarios'!$B$11-1))+INDEX(BookOneOff,1852)*$D1857)</f>
        <v/>
      </c>
      <c r="I1857" s="56" t="str">
        <f aca="false">IF(INDEX(BookTitle,1852)="","",INDEX(BookTotal,1852)*'5. Scenarios'!$C$6/(1+ProductivityDefault*('5. Scenarios'!$C$11-1)))</f>
        <v/>
      </c>
      <c r="J1857" s="57" t="str">
        <f aca="false">IF($I1857="","",INDEX(BookRate,1852)*(1+'5. Scenarios'!$C$10)*$I1857)</f>
        <v/>
      </c>
      <c r="K1857" s="57" t="str">
        <f aca="false">IF($J1857="","",SUMIFS($J$6:$J$2405,$A$6:$A$2405,"&lt;="&amp;$A1857))</f>
        <v/>
      </c>
      <c r="L1857" s="57" t="str">
        <f aca="false">IF($J1857="","",IF($K1857&lt;=BankCostEnvelope*'5. Scenarios'!$C$7,1,0))</f>
        <v/>
      </c>
      <c r="M1857" s="57" t="str">
        <f aca="false">IF($I1857="","",INDEX(BookRate,1852)*(1+'5. Scenarios'!$C$10)*(INDEX(BookQ1,1852)*(5-MIN(4,1+'5. Scenarios'!$C$8))/4+INDEX(BookQ2,1852)*(5-MIN(4,2+'5. Scenarios'!$C$8))/4+INDEX(BookQ3,1852)*(5-MIN(4,3+'5. Scenarios'!$C$8))/4+INDEX(BookQ4,1852)*(5-MIN(4,4+'5. Scenarios'!$C$8))/4)*'5. Scenarios'!$C$6/(1+ProductivityDefault*('5. Scenarios'!$C$11-1))+INDEX(BookOneOff,1852)*$I1857)</f>
        <v/>
      </c>
      <c r="N1857" s="56" t="str">
        <f aca="false">IF(INDEX(BookTitle,1852)="","",INDEX(BookTotal,1852)*'5. Scenarios'!$D$6/(1+ProductivityDefault*('5. Scenarios'!$D$11-1)))</f>
        <v/>
      </c>
      <c r="O1857" s="57" t="str">
        <f aca="false">IF($N1857="","",INDEX(BookRate,1852)*(1+'5. Scenarios'!$D$10)*$N1857)</f>
        <v/>
      </c>
      <c r="P1857" s="57" t="str">
        <f aca="false">IF($O1857="","",SUMIFS($O$6:$O$2405,$A$6:$A$2405,"&lt;="&amp;$A1857))</f>
        <v/>
      </c>
      <c r="Q1857" s="57" t="str">
        <f aca="false">IF($O1857="","",IF($P1857&lt;=BankCostEnvelope*'5. Scenarios'!$D$7,1,0))</f>
        <v/>
      </c>
      <c r="R1857" s="57" t="str">
        <f aca="false">IF($N1857="","",INDEX(BookRate,1852)*(1+'5. Scenarios'!$D$10)*(INDEX(BookQ1,1852)*(5-MIN(4,1+'5. Scenarios'!$D$8))/4+INDEX(BookQ2,1852)*(5-MIN(4,2+'5. Scenarios'!$D$8))/4+INDEX(BookQ3,1852)*(5-MIN(4,3+'5. Scenarios'!$D$8))/4+INDEX(BookQ4,1852)*(5-MIN(4,4+'5. Scenarios'!$D$8))/4)*'5. Scenarios'!$D$6/(1+ProductivityDefault*('5. Scenarios'!$D$11-1))+INDEX(BookOneOff,1852)*$N1857)</f>
        <v/>
      </c>
      <c r="S1857" s="56" t="str">
        <f aca="false">IF(INDEX(BookTitle,1852)="","",INDEX(BookTotal,1852)*'5. Scenarios'!$E$6/(1+ProductivityDefault*('5. Scenarios'!$E$11-1)))</f>
        <v/>
      </c>
      <c r="T1857" s="57" t="str">
        <f aca="false">IF($S1857="","",INDEX(BookRate,1852)*(1+'5. Scenarios'!$E$10)*$S1857)</f>
        <v/>
      </c>
      <c r="U1857" s="57" t="str">
        <f aca="false">IF($T1857="","",SUMIFS($T$6:$T$2405,$A$6:$A$2405,"&lt;="&amp;$A1857))</f>
        <v/>
      </c>
      <c r="V1857" s="57" t="str">
        <f aca="false">IF($T1857="","",IF($U1857&lt;=BankCostEnvelope*'5. Scenarios'!$E$7,1,0))</f>
        <v/>
      </c>
      <c r="W1857" s="57" t="str">
        <f aca="false">IF($S1857="","",INDEX(BookRate,1852)*(1+'5. Scenarios'!$E$10)*(INDEX(BookQ1,1852)*(5-MIN(4,1+'5. Scenarios'!$E$8))/4+INDEX(BookQ2,1852)*(5-MIN(4,2+'5. Scenarios'!$E$8))/4+INDEX(BookQ3,1852)*(5-MIN(4,3+'5. Scenarios'!$E$8))/4+INDEX(BookQ4,1852)*(5-MIN(4,4+'5. Scenarios'!$E$8))/4)*'5. Scenarios'!$E$6/(1+ProductivityDefault*('5. Scenarios'!$E$11-1))+INDEX(BookOneOff,1852)*$S1857)</f>
        <v/>
      </c>
    </row>
    <row r="1858" customFormat="false" ht="15" hidden="false" customHeight="false" outlineLevel="0" collapsed="false">
      <c r="A1858" s="0" t="str">
        <f aca="false">IF(INDEX(BookTitle,1853)="","",INDEX(BookKey,1853))</f>
        <v/>
      </c>
      <c r="B1858" s="0" t="str">
        <f aca="false">IF(INDEX(BookTitle,1853)="","",INDEX(BookGroup,1853))</f>
        <v/>
      </c>
      <c r="C1858" s="0" t="str">
        <f aca="false">IF(INDEX(BookTitle,1853)="","",INDEX(BookCategory,1853))</f>
        <v/>
      </c>
      <c r="D1858" s="56" t="str">
        <f aca="false">IF(INDEX(BookTitle,1853)="","",INDEX(BookTotal,1853)*'5. Scenarios'!$B$6/(1+ProductivityDefault*('5. Scenarios'!$B$11-1)))</f>
        <v/>
      </c>
      <c r="E1858" s="57" t="str">
        <f aca="false">IF($D1858="","",INDEX(BookRate,1853)*(1+'5. Scenarios'!$B$10)*$D1858)</f>
        <v/>
      </c>
      <c r="F1858" s="57" t="str">
        <f aca="false">IF($E1858="","",SUMIFS($E$6:$E$2405,$A$6:$A$2405,"&lt;="&amp;$A1858))</f>
        <v/>
      </c>
      <c r="G1858" s="57" t="str">
        <f aca="false">IF($E1858="","",IF($F1858&lt;=BankCostEnvelope*'5. Scenarios'!$B$7,1,0))</f>
        <v/>
      </c>
      <c r="H1858" s="57" t="str">
        <f aca="false">IF($D1858="","",INDEX(BookRate,1853)*(1+'5. Scenarios'!$B$10)*(INDEX(BookQ1,1853)*(5-MIN(4,1+'5. Scenarios'!$B$8))/4+INDEX(BookQ2,1853)*(5-MIN(4,2+'5. Scenarios'!$B$8))/4+INDEX(BookQ3,1853)*(5-MIN(4,3+'5. Scenarios'!$B$8))/4+INDEX(BookQ4,1853)*(5-MIN(4,4+'5. Scenarios'!$B$8))/4)*'5. Scenarios'!$B$6/(1+ProductivityDefault*('5. Scenarios'!$B$11-1))+INDEX(BookOneOff,1853)*$D1858)</f>
        <v/>
      </c>
      <c r="I1858" s="56" t="str">
        <f aca="false">IF(INDEX(BookTitle,1853)="","",INDEX(BookTotal,1853)*'5. Scenarios'!$C$6/(1+ProductivityDefault*('5. Scenarios'!$C$11-1)))</f>
        <v/>
      </c>
      <c r="J1858" s="57" t="str">
        <f aca="false">IF($I1858="","",INDEX(BookRate,1853)*(1+'5. Scenarios'!$C$10)*$I1858)</f>
        <v/>
      </c>
      <c r="K1858" s="57" t="str">
        <f aca="false">IF($J1858="","",SUMIFS($J$6:$J$2405,$A$6:$A$2405,"&lt;="&amp;$A1858))</f>
        <v/>
      </c>
      <c r="L1858" s="57" t="str">
        <f aca="false">IF($J1858="","",IF($K1858&lt;=BankCostEnvelope*'5. Scenarios'!$C$7,1,0))</f>
        <v/>
      </c>
      <c r="M1858" s="57" t="str">
        <f aca="false">IF($I1858="","",INDEX(BookRate,1853)*(1+'5. Scenarios'!$C$10)*(INDEX(BookQ1,1853)*(5-MIN(4,1+'5. Scenarios'!$C$8))/4+INDEX(BookQ2,1853)*(5-MIN(4,2+'5. Scenarios'!$C$8))/4+INDEX(BookQ3,1853)*(5-MIN(4,3+'5. Scenarios'!$C$8))/4+INDEX(BookQ4,1853)*(5-MIN(4,4+'5. Scenarios'!$C$8))/4)*'5. Scenarios'!$C$6/(1+ProductivityDefault*('5. Scenarios'!$C$11-1))+INDEX(BookOneOff,1853)*$I1858)</f>
        <v/>
      </c>
      <c r="N1858" s="56" t="str">
        <f aca="false">IF(INDEX(BookTitle,1853)="","",INDEX(BookTotal,1853)*'5. Scenarios'!$D$6/(1+ProductivityDefault*('5. Scenarios'!$D$11-1)))</f>
        <v/>
      </c>
      <c r="O1858" s="57" t="str">
        <f aca="false">IF($N1858="","",INDEX(BookRate,1853)*(1+'5. Scenarios'!$D$10)*$N1858)</f>
        <v/>
      </c>
      <c r="P1858" s="57" t="str">
        <f aca="false">IF($O1858="","",SUMIFS($O$6:$O$2405,$A$6:$A$2405,"&lt;="&amp;$A1858))</f>
        <v/>
      </c>
      <c r="Q1858" s="57" t="str">
        <f aca="false">IF($O1858="","",IF($P1858&lt;=BankCostEnvelope*'5. Scenarios'!$D$7,1,0))</f>
        <v/>
      </c>
      <c r="R1858" s="57" t="str">
        <f aca="false">IF($N1858="","",INDEX(BookRate,1853)*(1+'5. Scenarios'!$D$10)*(INDEX(BookQ1,1853)*(5-MIN(4,1+'5. Scenarios'!$D$8))/4+INDEX(BookQ2,1853)*(5-MIN(4,2+'5. Scenarios'!$D$8))/4+INDEX(BookQ3,1853)*(5-MIN(4,3+'5. Scenarios'!$D$8))/4+INDEX(BookQ4,1853)*(5-MIN(4,4+'5. Scenarios'!$D$8))/4)*'5. Scenarios'!$D$6/(1+ProductivityDefault*('5. Scenarios'!$D$11-1))+INDEX(BookOneOff,1853)*$N1858)</f>
        <v/>
      </c>
      <c r="S1858" s="56" t="str">
        <f aca="false">IF(INDEX(BookTitle,1853)="","",INDEX(BookTotal,1853)*'5. Scenarios'!$E$6/(1+ProductivityDefault*('5. Scenarios'!$E$11-1)))</f>
        <v/>
      </c>
      <c r="T1858" s="57" t="str">
        <f aca="false">IF($S1858="","",INDEX(BookRate,1853)*(1+'5. Scenarios'!$E$10)*$S1858)</f>
        <v/>
      </c>
      <c r="U1858" s="57" t="str">
        <f aca="false">IF($T1858="","",SUMIFS($T$6:$T$2405,$A$6:$A$2405,"&lt;="&amp;$A1858))</f>
        <v/>
      </c>
      <c r="V1858" s="57" t="str">
        <f aca="false">IF($T1858="","",IF($U1858&lt;=BankCostEnvelope*'5. Scenarios'!$E$7,1,0))</f>
        <v/>
      </c>
      <c r="W1858" s="57" t="str">
        <f aca="false">IF($S1858="","",INDEX(BookRate,1853)*(1+'5. Scenarios'!$E$10)*(INDEX(BookQ1,1853)*(5-MIN(4,1+'5. Scenarios'!$E$8))/4+INDEX(BookQ2,1853)*(5-MIN(4,2+'5. Scenarios'!$E$8))/4+INDEX(BookQ3,1853)*(5-MIN(4,3+'5. Scenarios'!$E$8))/4+INDEX(BookQ4,1853)*(5-MIN(4,4+'5. Scenarios'!$E$8))/4)*'5. Scenarios'!$E$6/(1+ProductivityDefault*('5. Scenarios'!$E$11-1))+INDEX(BookOneOff,1853)*$S1858)</f>
        <v/>
      </c>
    </row>
    <row r="1859" customFormat="false" ht="15" hidden="false" customHeight="false" outlineLevel="0" collapsed="false">
      <c r="A1859" s="0" t="str">
        <f aca="false">IF(INDEX(BookTitle,1854)="","",INDEX(BookKey,1854))</f>
        <v/>
      </c>
      <c r="B1859" s="0" t="str">
        <f aca="false">IF(INDEX(BookTitle,1854)="","",INDEX(BookGroup,1854))</f>
        <v/>
      </c>
      <c r="C1859" s="0" t="str">
        <f aca="false">IF(INDEX(BookTitle,1854)="","",INDEX(BookCategory,1854))</f>
        <v/>
      </c>
      <c r="D1859" s="56" t="str">
        <f aca="false">IF(INDEX(BookTitle,1854)="","",INDEX(BookTotal,1854)*'5. Scenarios'!$B$6/(1+ProductivityDefault*('5. Scenarios'!$B$11-1)))</f>
        <v/>
      </c>
      <c r="E1859" s="57" t="str">
        <f aca="false">IF($D1859="","",INDEX(BookRate,1854)*(1+'5. Scenarios'!$B$10)*$D1859)</f>
        <v/>
      </c>
      <c r="F1859" s="57" t="str">
        <f aca="false">IF($E1859="","",SUMIFS($E$6:$E$2405,$A$6:$A$2405,"&lt;="&amp;$A1859))</f>
        <v/>
      </c>
      <c r="G1859" s="57" t="str">
        <f aca="false">IF($E1859="","",IF($F1859&lt;=BankCostEnvelope*'5. Scenarios'!$B$7,1,0))</f>
        <v/>
      </c>
      <c r="H1859" s="57" t="str">
        <f aca="false">IF($D1859="","",INDEX(BookRate,1854)*(1+'5. Scenarios'!$B$10)*(INDEX(BookQ1,1854)*(5-MIN(4,1+'5. Scenarios'!$B$8))/4+INDEX(BookQ2,1854)*(5-MIN(4,2+'5. Scenarios'!$B$8))/4+INDEX(BookQ3,1854)*(5-MIN(4,3+'5. Scenarios'!$B$8))/4+INDEX(BookQ4,1854)*(5-MIN(4,4+'5. Scenarios'!$B$8))/4)*'5. Scenarios'!$B$6/(1+ProductivityDefault*('5. Scenarios'!$B$11-1))+INDEX(BookOneOff,1854)*$D1859)</f>
        <v/>
      </c>
      <c r="I1859" s="56" t="str">
        <f aca="false">IF(INDEX(BookTitle,1854)="","",INDEX(BookTotal,1854)*'5. Scenarios'!$C$6/(1+ProductivityDefault*('5. Scenarios'!$C$11-1)))</f>
        <v/>
      </c>
      <c r="J1859" s="57" t="str">
        <f aca="false">IF($I1859="","",INDEX(BookRate,1854)*(1+'5. Scenarios'!$C$10)*$I1859)</f>
        <v/>
      </c>
      <c r="K1859" s="57" t="str">
        <f aca="false">IF($J1859="","",SUMIFS($J$6:$J$2405,$A$6:$A$2405,"&lt;="&amp;$A1859))</f>
        <v/>
      </c>
      <c r="L1859" s="57" t="str">
        <f aca="false">IF($J1859="","",IF($K1859&lt;=BankCostEnvelope*'5. Scenarios'!$C$7,1,0))</f>
        <v/>
      </c>
      <c r="M1859" s="57" t="str">
        <f aca="false">IF($I1859="","",INDEX(BookRate,1854)*(1+'5. Scenarios'!$C$10)*(INDEX(BookQ1,1854)*(5-MIN(4,1+'5. Scenarios'!$C$8))/4+INDEX(BookQ2,1854)*(5-MIN(4,2+'5. Scenarios'!$C$8))/4+INDEX(BookQ3,1854)*(5-MIN(4,3+'5. Scenarios'!$C$8))/4+INDEX(BookQ4,1854)*(5-MIN(4,4+'5. Scenarios'!$C$8))/4)*'5. Scenarios'!$C$6/(1+ProductivityDefault*('5. Scenarios'!$C$11-1))+INDEX(BookOneOff,1854)*$I1859)</f>
        <v/>
      </c>
      <c r="N1859" s="56" t="str">
        <f aca="false">IF(INDEX(BookTitle,1854)="","",INDEX(BookTotal,1854)*'5. Scenarios'!$D$6/(1+ProductivityDefault*('5. Scenarios'!$D$11-1)))</f>
        <v/>
      </c>
      <c r="O1859" s="57" t="str">
        <f aca="false">IF($N1859="","",INDEX(BookRate,1854)*(1+'5. Scenarios'!$D$10)*$N1859)</f>
        <v/>
      </c>
      <c r="P1859" s="57" t="str">
        <f aca="false">IF($O1859="","",SUMIFS($O$6:$O$2405,$A$6:$A$2405,"&lt;="&amp;$A1859))</f>
        <v/>
      </c>
      <c r="Q1859" s="57" t="str">
        <f aca="false">IF($O1859="","",IF($P1859&lt;=BankCostEnvelope*'5. Scenarios'!$D$7,1,0))</f>
        <v/>
      </c>
      <c r="R1859" s="57" t="str">
        <f aca="false">IF($N1859="","",INDEX(BookRate,1854)*(1+'5. Scenarios'!$D$10)*(INDEX(BookQ1,1854)*(5-MIN(4,1+'5. Scenarios'!$D$8))/4+INDEX(BookQ2,1854)*(5-MIN(4,2+'5. Scenarios'!$D$8))/4+INDEX(BookQ3,1854)*(5-MIN(4,3+'5. Scenarios'!$D$8))/4+INDEX(BookQ4,1854)*(5-MIN(4,4+'5. Scenarios'!$D$8))/4)*'5. Scenarios'!$D$6/(1+ProductivityDefault*('5. Scenarios'!$D$11-1))+INDEX(BookOneOff,1854)*$N1859)</f>
        <v/>
      </c>
      <c r="S1859" s="56" t="str">
        <f aca="false">IF(INDEX(BookTitle,1854)="","",INDEX(BookTotal,1854)*'5. Scenarios'!$E$6/(1+ProductivityDefault*('5. Scenarios'!$E$11-1)))</f>
        <v/>
      </c>
      <c r="T1859" s="57" t="str">
        <f aca="false">IF($S1859="","",INDEX(BookRate,1854)*(1+'5. Scenarios'!$E$10)*$S1859)</f>
        <v/>
      </c>
      <c r="U1859" s="57" t="str">
        <f aca="false">IF($T1859="","",SUMIFS($T$6:$T$2405,$A$6:$A$2405,"&lt;="&amp;$A1859))</f>
        <v/>
      </c>
      <c r="V1859" s="57" t="str">
        <f aca="false">IF($T1859="","",IF($U1859&lt;=BankCostEnvelope*'5. Scenarios'!$E$7,1,0))</f>
        <v/>
      </c>
      <c r="W1859" s="57" t="str">
        <f aca="false">IF($S1859="","",INDEX(BookRate,1854)*(1+'5. Scenarios'!$E$10)*(INDEX(BookQ1,1854)*(5-MIN(4,1+'5. Scenarios'!$E$8))/4+INDEX(BookQ2,1854)*(5-MIN(4,2+'5. Scenarios'!$E$8))/4+INDEX(BookQ3,1854)*(5-MIN(4,3+'5. Scenarios'!$E$8))/4+INDEX(BookQ4,1854)*(5-MIN(4,4+'5. Scenarios'!$E$8))/4)*'5. Scenarios'!$E$6/(1+ProductivityDefault*('5. Scenarios'!$E$11-1))+INDEX(BookOneOff,1854)*$S1859)</f>
        <v/>
      </c>
    </row>
    <row r="1860" customFormat="false" ht="15" hidden="false" customHeight="false" outlineLevel="0" collapsed="false">
      <c r="A1860" s="0" t="str">
        <f aca="false">IF(INDEX(BookTitle,1855)="","",INDEX(BookKey,1855))</f>
        <v/>
      </c>
      <c r="B1860" s="0" t="str">
        <f aca="false">IF(INDEX(BookTitle,1855)="","",INDEX(BookGroup,1855))</f>
        <v/>
      </c>
      <c r="C1860" s="0" t="str">
        <f aca="false">IF(INDEX(BookTitle,1855)="","",INDEX(BookCategory,1855))</f>
        <v/>
      </c>
      <c r="D1860" s="56" t="str">
        <f aca="false">IF(INDEX(BookTitle,1855)="","",INDEX(BookTotal,1855)*'5. Scenarios'!$B$6/(1+ProductivityDefault*('5. Scenarios'!$B$11-1)))</f>
        <v/>
      </c>
      <c r="E1860" s="57" t="str">
        <f aca="false">IF($D1860="","",INDEX(BookRate,1855)*(1+'5. Scenarios'!$B$10)*$D1860)</f>
        <v/>
      </c>
      <c r="F1860" s="57" t="str">
        <f aca="false">IF($E1860="","",SUMIFS($E$6:$E$2405,$A$6:$A$2405,"&lt;="&amp;$A1860))</f>
        <v/>
      </c>
      <c r="G1860" s="57" t="str">
        <f aca="false">IF($E1860="","",IF($F1860&lt;=BankCostEnvelope*'5. Scenarios'!$B$7,1,0))</f>
        <v/>
      </c>
      <c r="H1860" s="57" t="str">
        <f aca="false">IF($D1860="","",INDEX(BookRate,1855)*(1+'5. Scenarios'!$B$10)*(INDEX(BookQ1,1855)*(5-MIN(4,1+'5. Scenarios'!$B$8))/4+INDEX(BookQ2,1855)*(5-MIN(4,2+'5. Scenarios'!$B$8))/4+INDEX(BookQ3,1855)*(5-MIN(4,3+'5. Scenarios'!$B$8))/4+INDEX(BookQ4,1855)*(5-MIN(4,4+'5. Scenarios'!$B$8))/4)*'5. Scenarios'!$B$6/(1+ProductivityDefault*('5. Scenarios'!$B$11-1))+INDEX(BookOneOff,1855)*$D1860)</f>
        <v/>
      </c>
      <c r="I1860" s="56" t="str">
        <f aca="false">IF(INDEX(BookTitle,1855)="","",INDEX(BookTotal,1855)*'5. Scenarios'!$C$6/(1+ProductivityDefault*('5. Scenarios'!$C$11-1)))</f>
        <v/>
      </c>
      <c r="J1860" s="57" t="str">
        <f aca="false">IF($I1860="","",INDEX(BookRate,1855)*(1+'5. Scenarios'!$C$10)*$I1860)</f>
        <v/>
      </c>
      <c r="K1860" s="57" t="str">
        <f aca="false">IF($J1860="","",SUMIFS($J$6:$J$2405,$A$6:$A$2405,"&lt;="&amp;$A1860))</f>
        <v/>
      </c>
      <c r="L1860" s="57" t="str">
        <f aca="false">IF($J1860="","",IF($K1860&lt;=BankCostEnvelope*'5. Scenarios'!$C$7,1,0))</f>
        <v/>
      </c>
      <c r="M1860" s="57" t="str">
        <f aca="false">IF($I1860="","",INDEX(BookRate,1855)*(1+'5. Scenarios'!$C$10)*(INDEX(BookQ1,1855)*(5-MIN(4,1+'5. Scenarios'!$C$8))/4+INDEX(BookQ2,1855)*(5-MIN(4,2+'5. Scenarios'!$C$8))/4+INDEX(BookQ3,1855)*(5-MIN(4,3+'5. Scenarios'!$C$8))/4+INDEX(BookQ4,1855)*(5-MIN(4,4+'5. Scenarios'!$C$8))/4)*'5. Scenarios'!$C$6/(1+ProductivityDefault*('5. Scenarios'!$C$11-1))+INDEX(BookOneOff,1855)*$I1860)</f>
        <v/>
      </c>
      <c r="N1860" s="56" t="str">
        <f aca="false">IF(INDEX(BookTitle,1855)="","",INDEX(BookTotal,1855)*'5. Scenarios'!$D$6/(1+ProductivityDefault*('5. Scenarios'!$D$11-1)))</f>
        <v/>
      </c>
      <c r="O1860" s="57" t="str">
        <f aca="false">IF($N1860="","",INDEX(BookRate,1855)*(1+'5. Scenarios'!$D$10)*$N1860)</f>
        <v/>
      </c>
      <c r="P1860" s="57" t="str">
        <f aca="false">IF($O1860="","",SUMIFS($O$6:$O$2405,$A$6:$A$2405,"&lt;="&amp;$A1860))</f>
        <v/>
      </c>
      <c r="Q1860" s="57" t="str">
        <f aca="false">IF($O1860="","",IF($P1860&lt;=BankCostEnvelope*'5. Scenarios'!$D$7,1,0))</f>
        <v/>
      </c>
      <c r="R1860" s="57" t="str">
        <f aca="false">IF($N1860="","",INDEX(BookRate,1855)*(1+'5. Scenarios'!$D$10)*(INDEX(BookQ1,1855)*(5-MIN(4,1+'5. Scenarios'!$D$8))/4+INDEX(BookQ2,1855)*(5-MIN(4,2+'5. Scenarios'!$D$8))/4+INDEX(BookQ3,1855)*(5-MIN(4,3+'5. Scenarios'!$D$8))/4+INDEX(BookQ4,1855)*(5-MIN(4,4+'5. Scenarios'!$D$8))/4)*'5. Scenarios'!$D$6/(1+ProductivityDefault*('5. Scenarios'!$D$11-1))+INDEX(BookOneOff,1855)*$N1860)</f>
        <v/>
      </c>
      <c r="S1860" s="56" t="str">
        <f aca="false">IF(INDEX(BookTitle,1855)="","",INDEX(BookTotal,1855)*'5. Scenarios'!$E$6/(1+ProductivityDefault*('5. Scenarios'!$E$11-1)))</f>
        <v/>
      </c>
      <c r="T1860" s="57" t="str">
        <f aca="false">IF($S1860="","",INDEX(BookRate,1855)*(1+'5. Scenarios'!$E$10)*$S1860)</f>
        <v/>
      </c>
      <c r="U1860" s="57" t="str">
        <f aca="false">IF($T1860="","",SUMIFS($T$6:$T$2405,$A$6:$A$2405,"&lt;="&amp;$A1860))</f>
        <v/>
      </c>
      <c r="V1860" s="57" t="str">
        <f aca="false">IF($T1860="","",IF($U1860&lt;=BankCostEnvelope*'5. Scenarios'!$E$7,1,0))</f>
        <v/>
      </c>
      <c r="W1860" s="57" t="str">
        <f aca="false">IF($S1860="","",INDEX(BookRate,1855)*(1+'5. Scenarios'!$E$10)*(INDEX(BookQ1,1855)*(5-MIN(4,1+'5. Scenarios'!$E$8))/4+INDEX(BookQ2,1855)*(5-MIN(4,2+'5. Scenarios'!$E$8))/4+INDEX(BookQ3,1855)*(5-MIN(4,3+'5. Scenarios'!$E$8))/4+INDEX(BookQ4,1855)*(5-MIN(4,4+'5. Scenarios'!$E$8))/4)*'5. Scenarios'!$E$6/(1+ProductivityDefault*('5. Scenarios'!$E$11-1))+INDEX(BookOneOff,1855)*$S1860)</f>
        <v/>
      </c>
    </row>
    <row r="1861" customFormat="false" ht="15" hidden="false" customHeight="false" outlineLevel="0" collapsed="false">
      <c r="A1861" s="0" t="str">
        <f aca="false">IF(INDEX(BookTitle,1856)="","",INDEX(BookKey,1856))</f>
        <v/>
      </c>
      <c r="B1861" s="0" t="str">
        <f aca="false">IF(INDEX(BookTitle,1856)="","",INDEX(BookGroup,1856))</f>
        <v/>
      </c>
      <c r="C1861" s="0" t="str">
        <f aca="false">IF(INDEX(BookTitle,1856)="","",INDEX(BookCategory,1856))</f>
        <v/>
      </c>
      <c r="D1861" s="56" t="str">
        <f aca="false">IF(INDEX(BookTitle,1856)="","",INDEX(BookTotal,1856)*'5. Scenarios'!$B$6/(1+ProductivityDefault*('5. Scenarios'!$B$11-1)))</f>
        <v/>
      </c>
      <c r="E1861" s="57" t="str">
        <f aca="false">IF($D1861="","",INDEX(BookRate,1856)*(1+'5. Scenarios'!$B$10)*$D1861)</f>
        <v/>
      </c>
      <c r="F1861" s="57" t="str">
        <f aca="false">IF($E1861="","",SUMIFS($E$6:$E$2405,$A$6:$A$2405,"&lt;="&amp;$A1861))</f>
        <v/>
      </c>
      <c r="G1861" s="57" t="str">
        <f aca="false">IF($E1861="","",IF($F1861&lt;=BankCostEnvelope*'5. Scenarios'!$B$7,1,0))</f>
        <v/>
      </c>
      <c r="H1861" s="57" t="str">
        <f aca="false">IF($D1861="","",INDEX(BookRate,1856)*(1+'5. Scenarios'!$B$10)*(INDEX(BookQ1,1856)*(5-MIN(4,1+'5. Scenarios'!$B$8))/4+INDEX(BookQ2,1856)*(5-MIN(4,2+'5. Scenarios'!$B$8))/4+INDEX(BookQ3,1856)*(5-MIN(4,3+'5. Scenarios'!$B$8))/4+INDEX(BookQ4,1856)*(5-MIN(4,4+'5. Scenarios'!$B$8))/4)*'5. Scenarios'!$B$6/(1+ProductivityDefault*('5. Scenarios'!$B$11-1))+INDEX(BookOneOff,1856)*$D1861)</f>
        <v/>
      </c>
      <c r="I1861" s="56" t="str">
        <f aca="false">IF(INDEX(BookTitle,1856)="","",INDEX(BookTotal,1856)*'5. Scenarios'!$C$6/(1+ProductivityDefault*('5. Scenarios'!$C$11-1)))</f>
        <v/>
      </c>
      <c r="J1861" s="57" t="str">
        <f aca="false">IF($I1861="","",INDEX(BookRate,1856)*(1+'5. Scenarios'!$C$10)*$I1861)</f>
        <v/>
      </c>
      <c r="K1861" s="57" t="str">
        <f aca="false">IF($J1861="","",SUMIFS($J$6:$J$2405,$A$6:$A$2405,"&lt;="&amp;$A1861))</f>
        <v/>
      </c>
      <c r="L1861" s="57" t="str">
        <f aca="false">IF($J1861="","",IF($K1861&lt;=BankCostEnvelope*'5. Scenarios'!$C$7,1,0))</f>
        <v/>
      </c>
      <c r="M1861" s="57" t="str">
        <f aca="false">IF($I1861="","",INDEX(BookRate,1856)*(1+'5. Scenarios'!$C$10)*(INDEX(BookQ1,1856)*(5-MIN(4,1+'5. Scenarios'!$C$8))/4+INDEX(BookQ2,1856)*(5-MIN(4,2+'5. Scenarios'!$C$8))/4+INDEX(BookQ3,1856)*(5-MIN(4,3+'5. Scenarios'!$C$8))/4+INDEX(BookQ4,1856)*(5-MIN(4,4+'5. Scenarios'!$C$8))/4)*'5. Scenarios'!$C$6/(1+ProductivityDefault*('5. Scenarios'!$C$11-1))+INDEX(BookOneOff,1856)*$I1861)</f>
        <v/>
      </c>
      <c r="N1861" s="56" t="str">
        <f aca="false">IF(INDEX(BookTitle,1856)="","",INDEX(BookTotal,1856)*'5. Scenarios'!$D$6/(1+ProductivityDefault*('5. Scenarios'!$D$11-1)))</f>
        <v/>
      </c>
      <c r="O1861" s="57" t="str">
        <f aca="false">IF($N1861="","",INDEX(BookRate,1856)*(1+'5. Scenarios'!$D$10)*$N1861)</f>
        <v/>
      </c>
      <c r="P1861" s="57" t="str">
        <f aca="false">IF($O1861="","",SUMIFS($O$6:$O$2405,$A$6:$A$2405,"&lt;="&amp;$A1861))</f>
        <v/>
      </c>
      <c r="Q1861" s="57" t="str">
        <f aca="false">IF($O1861="","",IF($P1861&lt;=BankCostEnvelope*'5. Scenarios'!$D$7,1,0))</f>
        <v/>
      </c>
      <c r="R1861" s="57" t="str">
        <f aca="false">IF($N1861="","",INDEX(BookRate,1856)*(1+'5. Scenarios'!$D$10)*(INDEX(BookQ1,1856)*(5-MIN(4,1+'5. Scenarios'!$D$8))/4+INDEX(BookQ2,1856)*(5-MIN(4,2+'5. Scenarios'!$D$8))/4+INDEX(BookQ3,1856)*(5-MIN(4,3+'5. Scenarios'!$D$8))/4+INDEX(BookQ4,1856)*(5-MIN(4,4+'5. Scenarios'!$D$8))/4)*'5. Scenarios'!$D$6/(1+ProductivityDefault*('5. Scenarios'!$D$11-1))+INDEX(BookOneOff,1856)*$N1861)</f>
        <v/>
      </c>
      <c r="S1861" s="56" t="str">
        <f aca="false">IF(INDEX(BookTitle,1856)="","",INDEX(BookTotal,1856)*'5. Scenarios'!$E$6/(1+ProductivityDefault*('5. Scenarios'!$E$11-1)))</f>
        <v/>
      </c>
      <c r="T1861" s="57" t="str">
        <f aca="false">IF($S1861="","",INDEX(BookRate,1856)*(1+'5. Scenarios'!$E$10)*$S1861)</f>
        <v/>
      </c>
      <c r="U1861" s="57" t="str">
        <f aca="false">IF($T1861="","",SUMIFS($T$6:$T$2405,$A$6:$A$2405,"&lt;="&amp;$A1861))</f>
        <v/>
      </c>
      <c r="V1861" s="57" t="str">
        <f aca="false">IF($T1861="","",IF($U1861&lt;=BankCostEnvelope*'5. Scenarios'!$E$7,1,0))</f>
        <v/>
      </c>
      <c r="W1861" s="57" t="str">
        <f aca="false">IF($S1861="","",INDEX(BookRate,1856)*(1+'5. Scenarios'!$E$10)*(INDEX(BookQ1,1856)*(5-MIN(4,1+'5. Scenarios'!$E$8))/4+INDEX(BookQ2,1856)*(5-MIN(4,2+'5. Scenarios'!$E$8))/4+INDEX(BookQ3,1856)*(5-MIN(4,3+'5. Scenarios'!$E$8))/4+INDEX(BookQ4,1856)*(5-MIN(4,4+'5. Scenarios'!$E$8))/4)*'5. Scenarios'!$E$6/(1+ProductivityDefault*('5. Scenarios'!$E$11-1))+INDEX(BookOneOff,1856)*$S1861)</f>
        <v/>
      </c>
    </row>
    <row r="1862" customFormat="false" ht="15" hidden="false" customHeight="false" outlineLevel="0" collapsed="false">
      <c r="A1862" s="0" t="str">
        <f aca="false">IF(INDEX(BookTitle,1857)="","",INDEX(BookKey,1857))</f>
        <v/>
      </c>
      <c r="B1862" s="0" t="str">
        <f aca="false">IF(INDEX(BookTitle,1857)="","",INDEX(BookGroup,1857))</f>
        <v/>
      </c>
      <c r="C1862" s="0" t="str">
        <f aca="false">IF(INDEX(BookTitle,1857)="","",INDEX(BookCategory,1857))</f>
        <v/>
      </c>
      <c r="D1862" s="56" t="str">
        <f aca="false">IF(INDEX(BookTitle,1857)="","",INDEX(BookTotal,1857)*'5. Scenarios'!$B$6/(1+ProductivityDefault*('5. Scenarios'!$B$11-1)))</f>
        <v/>
      </c>
      <c r="E1862" s="57" t="str">
        <f aca="false">IF($D1862="","",INDEX(BookRate,1857)*(1+'5. Scenarios'!$B$10)*$D1862)</f>
        <v/>
      </c>
      <c r="F1862" s="57" t="str">
        <f aca="false">IF($E1862="","",SUMIFS($E$6:$E$2405,$A$6:$A$2405,"&lt;="&amp;$A1862))</f>
        <v/>
      </c>
      <c r="G1862" s="57" t="str">
        <f aca="false">IF($E1862="","",IF($F1862&lt;=BankCostEnvelope*'5. Scenarios'!$B$7,1,0))</f>
        <v/>
      </c>
      <c r="H1862" s="57" t="str">
        <f aca="false">IF($D1862="","",INDEX(BookRate,1857)*(1+'5. Scenarios'!$B$10)*(INDEX(BookQ1,1857)*(5-MIN(4,1+'5. Scenarios'!$B$8))/4+INDEX(BookQ2,1857)*(5-MIN(4,2+'5. Scenarios'!$B$8))/4+INDEX(BookQ3,1857)*(5-MIN(4,3+'5. Scenarios'!$B$8))/4+INDEX(BookQ4,1857)*(5-MIN(4,4+'5. Scenarios'!$B$8))/4)*'5. Scenarios'!$B$6/(1+ProductivityDefault*('5. Scenarios'!$B$11-1))+INDEX(BookOneOff,1857)*$D1862)</f>
        <v/>
      </c>
      <c r="I1862" s="56" t="str">
        <f aca="false">IF(INDEX(BookTitle,1857)="","",INDEX(BookTotal,1857)*'5. Scenarios'!$C$6/(1+ProductivityDefault*('5. Scenarios'!$C$11-1)))</f>
        <v/>
      </c>
      <c r="J1862" s="57" t="str">
        <f aca="false">IF($I1862="","",INDEX(BookRate,1857)*(1+'5. Scenarios'!$C$10)*$I1862)</f>
        <v/>
      </c>
      <c r="K1862" s="57" t="str">
        <f aca="false">IF($J1862="","",SUMIFS($J$6:$J$2405,$A$6:$A$2405,"&lt;="&amp;$A1862))</f>
        <v/>
      </c>
      <c r="L1862" s="57" t="str">
        <f aca="false">IF($J1862="","",IF($K1862&lt;=BankCostEnvelope*'5. Scenarios'!$C$7,1,0))</f>
        <v/>
      </c>
      <c r="M1862" s="57" t="str">
        <f aca="false">IF($I1862="","",INDEX(BookRate,1857)*(1+'5. Scenarios'!$C$10)*(INDEX(BookQ1,1857)*(5-MIN(4,1+'5. Scenarios'!$C$8))/4+INDEX(BookQ2,1857)*(5-MIN(4,2+'5. Scenarios'!$C$8))/4+INDEX(BookQ3,1857)*(5-MIN(4,3+'5. Scenarios'!$C$8))/4+INDEX(BookQ4,1857)*(5-MIN(4,4+'5. Scenarios'!$C$8))/4)*'5. Scenarios'!$C$6/(1+ProductivityDefault*('5. Scenarios'!$C$11-1))+INDEX(BookOneOff,1857)*$I1862)</f>
        <v/>
      </c>
      <c r="N1862" s="56" t="str">
        <f aca="false">IF(INDEX(BookTitle,1857)="","",INDEX(BookTotal,1857)*'5. Scenarios'!$D$6/(1+ProductivityDefault*('5. Scenarios'!$D$11-1)))</f>
        <v/>
      </c>
      <c r="O1862" s="57" t="str">
        <f aca="false">IF($N1862="","",INDEX(BookRate,1857)*(1+'5. Scenarios'!$D$10)*$N1862)</f>
        <v/>
      </c>
      <c r="P1862" s="57" t="str">
        <f aca="false">IF($O1862="","",SUMIFS($O$6:$O$2405,$A$6:$A$2405,"&lt;="&amp;$A1862))</f>
        <v/>
      </c>
      <c r="Q1862" s="57" t="str">
        <f aca="false">IF($O1862="","",IF($P1862&lt;=BankCostEnvelope*'5. Scenarios'!$D$7,1,0))</f>
        <v/>
      </c>
      <c r="R1862" s="57" t="str">
        <f aca="false">IF($N1862="","",INDEX(BookRate,1857)*(1+'5. Scenarios'!$D$10)*(INDEX(BookQ1,1857)*(5-MIN(4,1+'5. Scenarios'!$D$8))/4+INDEX(BookQ2,1857)*(5-MIN(4,2+'5. Scenarios'!$D$8))/4+INDEX(BookQ3,1857)*(5-MIN(4,3+'5. Scenarios'!$D$8))/4+INDEX(BookQ4,1857)*(5-MIN(4,4+'5. Scenarios'!$D$8))/4)*'5. Scenarios'!$D$6/(1+ProductivityDefault*('5. Scenarios'!$D$11-1))+INDEX(BookOneOff,1857)*$N1862)</f>
        <v/>
      </c>
      <c r="S1862" s="56" t="str">
        <f aca="false">IF(INDEX(BookTitle,1857)="","",INDEX(BookTotal,1857)*'5. Scenarios'!$E$6/(1+ProductivityDefault*('5. Scenarios'!$E$11-1)))</f>
        <v/>
      </c>
      <c r="T1862" s="57" t="str">
        <f aca="false">IF($S1862="","",INDEX(BookRate,1857)*(1+'5. Scenarios'!$E$10)*$S1862)</f>
        <v/>
      </c>
      <c r="U1862" s="57" t="str">
        <f aca="false">IF($T1862="","",SUMIFS($T$6:$T$2405,$A$6:$A$2405,"&lt;="&amp;$A1862))</f>
        <v/>
      </c>
      <c r="V1862" s="57" t="str">
        <f aca="false">IF($T1862="","",IF($U1862&lt;=BankCostEnvelope*'5. Scenarios'!$E$7,1,0))</f>
        <v/>
      </c>
      <c r="W1862" s="57" t="str">
        <f aca="false">IF($S1862="","",INDEX(BookRate,1857)*(1+'5. Scenarios'!$E$10)*(INDEX(BookQ1,1857)*(5-MIN(4,1+'5. Scenarios'!$E$8))/4+INDEX(BookQ2,1857)*(5-MIN(4,2+'5. Scenarios'!$E$8))/4+INDEX(BookQ3,1857)*(5-MIN(4,3+'5. Scenarios'!$E$8))/4+INDEX(BookQ4,1857)*(5-MIN(4,4+'5. Scenarios'!$E$8))/4)*'5. Scenarios'!$E$6/(1+ProductivityDefault*('5. Scenarios'!$E$11-1))+INDEX(BookOneOff,1857)*$S1862)</f>
        <v/>
      </c>
    </row>
    <row r="1863" customFormat="false" ht="15" hidden="false" customHeight="false" outlineLevel="0" collapsed="false">
      <c r="A1863" s="0" t="str">
        <f aca="false">IF(INDEX(BookTitle,1858)="","",INDEX(BookKey,1858))</f>
        <v/>
      </c>
      <c r="B1863" s="0" t="str">
        <f aca="false">IF(INDEX(BookTitle,1858)="","",INDEX(BookGroup,1858))</f>
        <v/>
      </c>
      <c r="C1863" s="0" t="str">
        <f aca="false">IF(INDEX(BookTitle,1858)="","",INDEX(BookCategory,1858))</f>
        <v/>
      </c>
      <c r="D1863" s="56" t="str">
        <f aca="false">IF(INDEX(BookTitle,1858)="","",INDEX(BookTotal,1858)*'5. Scenarios'!$B$6/(1+ProductivityDefault*('5. Scenarios'!$B$11-1)))</f>
        <v/>
      </c>
      <c r="E1863" s="57" t="str">
        <f aca="false">IF($D1863="","",INDEX(BookRate,1858)*(1+'5. Scenarios'!$B$10)*$D1863)</f>
        <v/>
      </c>
      <c r="F1863" s="57" t="str">
        <f aca="false">IF($E1863="","",SUMIFS($E$6:$E$2405,$A$6:$A$2405,"&lt;="&amp;$A1863))</f>
        <v/>
      </c>
      <c r="G1863" s="57" t="str">
        <f aca="false">IF($E1863="","",IF($F1863&lt;=BankCostEnvelope*'5. Scenarios'!$B$7,1,0))</f>
        <v/>
      </c>
      <c r="H1863" s="57" t="str">
        <f aca="false">IF($D1863="","",INDEX(BookRate,1858)*(1+'5. Scenarios'!$B$10)*(INDEX(BookQ1,1858)*(5-MIN(4,1+'5. Scenarios'!$B$8))/4+INDEX(BookQ2,1858)*(5-MIN(4,2+'5. Scenarios'!$B$8))/4+INDEX(BookQ3,1858)*(5-MIN(4,3+'5. Scenarios'!$B$8))/4+INDEX(BookQ4,1858)*(5-MIN(4,4+'5. Scenarios'!$B$8))/4)*'5. Scenarios'!$B$6/(1+ProductivityDefault*('5. Scenarios'!$B$11-1))+INDEX(BookOneOff,1858)*$D1863)</f>
        <v/>
      </c>
      <c r="I1863" s="56" t="str">
        <f aca="false">IF(INDEX(BookTitle,1858)="","",INDEX(BookTotal,1858)*'5. Scenarios'!$C$6/(1+ProductivityDefault*('5. Scenarios'!$C$11-1)))</f>
        <v/>
      </c>
      <c r="J1863" s="57" t="str">
        <f aca="false">IF($I1863="","",INDEX(BookRate,1858)*(1+'5. Scenarios'!$C$10)*$I1863)</f>
        <v/>
      </c>
      <c r="K1863" s="57" t="str">
        <f aca="false">IF($J1863="","",SUMIFS($J$6:$J$2405,$A$6:$A$2405,"&lt;="&amp;$A1863))</f>
        <v/>
      </c>
      <c r="L1863" s="57" t="str">
        <f aca="false">IF($J1863="","",IF($K1863&lt;=BankCostEnvelope*'5. Scenarios'!$C$7,1,0))</f>
        <v/>
      </c>
      <c r="M1863" s="57" t="str">
        <f aca="false">IF($I1863="","",INDEX(BookRate,1858)*(1+'5. Scenarios'!$C$10)*(INDEX(BookQ1,1858)*(5-MIN(4,1+'5. Scenarios'!$C$8))/4+INDEX(BookQ2,1858)*(5-MIN(4,2+'5. Scenarios'!$C$8))/4+INDEX(BookQ3,1858)*(5-MIN(4,3+'5. Scenarios'!$C$8))/4+INDEX(BookQ4,1858)*(5-MIN(4,4+'5. Scenarios'!$C$8))/4)*'5. Scenarios'!$C$6/(1+ProductivityDefault*('5. Scenarios'!$C$11-1))+INDEX(BookOneOff,1858)*$I1863)</f>
        <v/>
      </c>
      <c r="N1863" s="56" t="str">
        <f aca="false">IF(INDEX(BookTitle,1858)="","",INDEX(BookTotal,1858)*'5. Scenarios'!$D$6/(1+ProductivityDefault*('5. Scenarios'!$D$11-1)))</f>
        <v/>
      </c>
      <c r="O1863" s="57" t="str">
        <f aca="false">IF($N1863="","",INDEX(BookRate,1858)*(1+'5. Scenarios'!$D$10)*$N1863)</f>
        <v/>
      </c>
      <c r="P1863" s="57" t="str">
        <f aca="false">IF($O1863="","",SUMIFS($O$6:$O$2405,$A$6:$A$2405,"&lt;="&amp;$A1863))</f>
        <v/>
      </c>
      <c r="Q1863" s="57" t="str">
        <f aca="false">IF($O1863="","",IF($P1863&lt;=BankCostEnvelope*'5. Scenarios'!$D$7,1,0))</f>
        <v/>
      </c>
      <c r="R1863" s="57" t="str">
        <f aca="false">IF($N1863="","",INDEX(BookRate,1858)*(1+'5. Scenarios'!$D$10)*(INDEX(BookQ1,1858)*(5-MIN(4,1+'5. Scenarios'!$D$8))/4+INDEX(BookQ2,1858)*(5-MIN(4,2+'5. Scenarios'!$D$8))/4+INDEX(BookQ3,1858)*(5-MIN(4,3+'5. Scenarios'!$D$8))/4+INDEX(BookQ4,1858)*(5-MIN(4,4+'5. Scenarios'!$D$8))/4)*'5. Scenarios'!$D$6/(1+ProductivityDefault*('5. Scenarios'!$D$11-1))+INDEX(BookOneOff,1858)*$N1863)</f>
        <v/>
      </c>
      <c r="S1863" s="56" t="str">
        <f aca="false">IF(INDEX(BookTitle,1858)="","",INDEX(BookTotal,1858)*'5. Scenarios'!$E$6/(1+ProductivityDefault*('5. Scenarios'!$E$11-1)))</f>
        <v/>
      </c>
      <c r="T1863" s="57" t="str">
        <f aca="false">IF($S1863="","",INDEX(BookRate,1858)*(1+'5. Scenarios'!$E$10)*$S1863)</f>
        <v/>
      </c>
      <c r="U1863" s="57" t="str">
        <f aca="false">IF($T1863="","",SUMIFS($T$6:$T$2405,$A$6:$A$2405,"&lt;="&amp;$A1863))</f>
        <v/>
      </c>
      <c r="V1863" s="57" t="str">
        <f aca="false">IF($T1863="","",IF($U1863&lt;=BankCostEnvelope*'5. Scenarios'!$E$7,1,0))</f>
        <v/>
      </c>
      <c r="W1863" s="57" t="str">
        <f aca="false">IF($S1863="","",INDEX(BookRate,1858)*(1+'5. Scenarios'!$E$10)*(INDEX(BookQ1,1858)*(5-MIN(4,1+'5. Scenarios'!$E$8))/4+INDEX(BookQ2,1858)*(5-MIN(4,2+'5. Scenarios'!$E$8))/4+INDEX(BookQ3,1858)*(5-MIN(4,3+'5. Scenarios'!$E$8))/4+INDEX(BookQ4,1858)*(5-MIN(4,4+'5. Scenarios'!$E$8))/4)*'5. Scenarios'!$E$6/(1+ProductivityDefault*('5. Scenarios'!$E$11-1))+INDEX(BookOneOff,1858)*$S1863)</f>
        <v/>
      </c>
    </row>
    <row r="1864" customFormat="false" ht="15" hidden="false" customHeight="false" outlineLevel="0" collapsed="false">
      <c r="A1864" s="0" t="str">
        <f aca="false">IF(INDEX(BookTitle,1859)="","",INDEX(BookKey,1859))</f>
        <v/>
      </c>
      <c r="B1864" s="0" t="str">
        <f aca="false">IF(INDEX(BookTitle,1859)="","",INDEX(BookGroup,1859))</f>
        <v/>
      </c>
      <c r="C1864" s="0" t="str">
        <f aca="false">IF(INDEX(BookTitle,1859)="","",INDEX(BookCategory,1859))</f>
        <v/>
      </c>
      <c r="D1864" s="56" t="str">
        <f aca="false">IF(INDEX(BookTitle,1859)="","",INDEX(BookTotal,1859)*'5. Scenarios'!$B$6/(1+ProductivityDefault*('5. Scenarios'!$B$11-1)))</f>
        <v/>
      </c>
      <c r="E1864" s="57" t="str">
        <f aca="false">IF($D1864="","",INDEX(BookRate,1859)*(1+'5. Scenarios'!$B$10)*$D1864)</f>
        <v/>
      </c>
      <c r="F1864" s="57" t="str">
        <f aca="false">IF($E1864="","",SUMIFS($E$6:$E$2405,$A$6:$A$2405,"&lt;="&amp;$A1864))</f>
        <v/>
      </c>
      <c r="G1864" s="57" t="str">
        <f aca="false">IF($E1864="","",IF($F1864&lt;=BankCostEnvelope*'5. Scenarios'!$B$7,1,0))</f>
        <v/>
      </c>
      <c r="H1864" s="57" t="str">
        <f aca="false">IF($D1864="","",INDEX(BookRate,1859)*(1+'5. Scenarios'!$B$10)*(INDEX(BookQ1,1859)*(5-MIN(4,1+'5. Scenarios'!$B$8))/4+INDEX(BookQ2,1859)*(5-MIN(4,2+'5. Scenarios'!$B$8))/4+INDEX(BookQ3,1859)*(5-MIN(4,3+'5. Scenarios'!$B$8))/4+INDEX(BookQ4,1859)*(5-MIN(4,4+'5. Scenarios'!$B$8))/4)*'5. Scenarios'!$B$6/(1+ProductivityDefault*('5. Scenarios'!$B$11-1))+INDEX(BookOneOff,1859)*$D1864)</f>
        <v/>
      </c>
      <c r="I1864" s="56" t="str">
        <f aca="false">IF(INDEX(BookTitle,1859)="","",INDEX(BookTotal,1859)*'5. Scenarios'!$C$6/(1+ProductivityDefault*('5. Scenarios'!$C$11-1)))</f>
        <v/>
      </c>
      <c r="J1864" s="57" t="str">
        <f aca="false">IF($I1864="","",INDEX(BookRate,1859)*(1+'5. Scenarios'!$C$10)*$I1864)</f>
        <v/>
      </c>
      <c r="K1864" s="57" t="str">
        <f aca="false">IF($J1864="","",SUMIFS($J$6:$J$2405,$A$6:$A$2405,"&lt;="&amp;$A1864))</f>
        <v/>
      </c>
      <c r="L1864" s="57" t="str">
        <f aca="false">IF($J1864="","",IF($K1864&lt;=BankCostEnvelope*'5. Scenarios'!$C$7,1,0))</f>
        <v/>
      </c>
      <c r="M1864" s="57" t="str">
        <f aca="false">IF($I1864="","",INDEX(BookRate,1859)*(1+'5. Scenarios'!$C$10)*(INDEX(BookQ1,1859)*(5-MIN(4,1+'5. Scenarios'!$C$8))/4+INDEX(BookQ2,1859)*(5-MIN(4,2+'5. Scenarios'!$C$8))/4+INDEX(BookQ3,1859)*(5-MIN(4,3+'5. Scenarios'!$C$8))/4+INDEX(BookQ4,1859)*(5-MIN(4,4+'5. Scenarios'!$C$8))/4)*'5. Scenarios'!$C$6/(1+ProductivityDefault*('5. Scenarios'!$C$11-1))+INDEX(BookOneOff,1859)*$I1864)</f>
        <v/>
      </c>
      <c r="N1864" s="56" t="str">
        <f aca="false">IF(INDEX(BookTitle,1859)="","",INDEX(BookTotal,1859)*'5. Scenarios'!$D$6/(1+ProductivityDefault*('5. Scenarios'!$D$11-1)))</f>
        <v/>
      </c>
      <c r="O1864" s="57" t="str">
        <f aca="false">IF($N1864="","",INDEX(BookRate,1859)*(1+'5. Scenarios'!$D$10)*$N1864)</f>
        <v/>
      </c>
      <c r="P1864" s="57" t="str">
        <f aca="false">IF($O1864="","",SUMIFS($O$6:$O$2405,$A$6:$A$2405,"&lt;="&amp;$A1864))</f>
        <v/>
      </c>
      <c r="Q1864" s="57" t="str">
        <f aca="false">IF($O1864="","",IF($P1864&lt;=BankCostEnvelope*'5. Scenarios'!$D$7,1,0))</f>
        <v/>
      </c>
      <c r="R1864" s="57" t="str">
        <f aca="false">IF($N1864="","",INDEX(BookRate,1859)*(1+'5. Scenarios'!$D$10)*(INDEX(BookQ1,1859)*(5-MIN(4,1+'5. Scenarios'!$D$8))/4+INDEX(BookQ2,1859)*(5-MIN(4,2+'5. Scenarios'!$D$8))/4+INDEX(BookQ3,1859)*(5-MIN(4,3+'5. Scenarios'!$D$8))/4+INDEX(BookQ4,1859)*(5-MIN(4,4+'5. Scenarios'!$D$8))/4)*'5. Scenarios'!$D$6/(1+ProductivityDefault*('5. Scenarios'!$D$11-1))+INDEX(BookOneOff,1859)*$N1864)</f>
        <v/>
      </c>
      <c r="S1864" s="56" t="str">
        <f aca="false">IF(INDEX(BookTitle,1859)="","",INDEX(BookTotal,1859)*'5. Scenarios'!$E$6/(1+ProductivityDefault*('5. Scenarios'!$E$11-1)))</f>
        <v/>
      </c>
      <c r="T1864" s="57" t="str">
        <f aca="false">IF($S1864="","",INDEX(BookRate,1859)*(1+'5. Scenarios'!$E$10)*$S1864)</f>
        <v/>
      </c>
      <c r="U1864" s="57" t="str">
        <f aca="false">IF($T1864="","",SUMIFS($T$6:$T$2405,$A$6:$A$2405,"&lt;="&amp;$A1864))</f>
        <v/>
      </c>
      <c r="V1864" s="57" t="str">
        <f aca="false">IF($T1864="","",IF($U1864&lt;=BankCostEnvelope*'5. Scenarios'!$E$7,1,0))</f>
        <v/>
      </c>
      <c r="W1864" s="57" t="str">
        <f aca="false">IF($S1864="","",INDEX(BookRate,1859)*(1+'5. Scenarios'!$E$10)*(INDEX(BookQ1,1859)*(5-MIN(4,1+'5. Scenarios'!$E$8))/4+INDEX(BookQ2,1859)*(5-MIN(4,2+'5. Scenarios'!$E$8))/4+INDEX(BookQ3,1859)*(5-MIN(4,3+'5. Scenarios'!$E$8))/4+INDEX(BookQ4,1859)*(5-MIN(4,4+'5. Scenarios'!$E$8))/4)*'5. Scenarios'!$E$6/(1+ProductivityDefault*('5. Scenarios'!$E$11-1))+INDEX(BookOneOff,1859)*$S1864)</f>
        <v/>
      </c>
    </row>
    <row r="1865" customFormat="false" ht="15" hidden="false" customHeight="false" outlineLevel="0" collapsed="false">
      <c r="A1865" s="0" t="str">
        <f aca="false">IF(INDEX(BookTitle,1860)="","",INDEX(BookKey,1860))</f>
        <v/>
      </c>
      <c r="B1865" s="0" t="str">
        <f aca="false">IF(INDEX(BookTitle,1860)="","",INDEX(BookGroup,1860))</f>
        <v/>
      </c>
      <c r="C1865" s="0" t="str">
        <f aca="false">IF(INDEX(BookTitle,1860)="","",INDEX(BookCategory,1860))</f>
        <v/>
      </c>
      <c r="D1865" s="56" t="str">
        <f aca="false">IF(INDEX(BookTitle,1860)="","",INDEX(BookTotal,1860)*'5. Scenarios'!$B$6/(1+ProductivityDefault*('5. Scenarios'!$B$11-1)))</f>
        <v/>
      </c>
      <c r="E1865" s="57" t="str">
        <f aca="false">IF($D1865="","",INDEX(BookRate,1860)*(1+'5. Scenarios'!$B$10)*$D1865)</f>
        <v/>
      </c>
      <c r="F1865" s="57" t="str">
        <f aca="false">IF($E1865="","",SUMIFS($E$6:$E$2405,$A$6:$A$2405,"&lt;="&amp;$A1865))</f>
        <v/>
      </c>
      <c r="G1865" s="57" t="str">
        <f aca="false">IF($E1865="","",IF($F1865&lt;=BankCostEnvelope*'5. Scenarios'!$B$7,1,0))</f>
        <v/>
      </c>
      <c r="H1865" s="57" t="str">
        <f aca="false">IF($D1865="","",INDEX(BookRate,1860)*(1+'5. Scenarios'!$B$10)*(INDEX(BookQ1,1860)*(5-MIN(4,1+'5. Scenarios'!$B$8))/4+INDEX(BookQ2,1860)*(5-MIN(4,2+'5. Scenarios'!$B$8))/4+INDEX(BookQ3,1860)*(5-MIN(4,3+'5. Scenarios'!$B$8))/4+INDEX(BookQ4,1860)*(5-MIN(4,4+'5. Scenarios'!$B$8))/4)*'5. Scenarios'!$B$6/(1+ProductivityDefault*('5. Scenarios'!$B$11-1))+INDEX(BookOneOff,1860)*$D1865)</f>
        <v/>
      </c>
      <c r="I1865" s="56" t="str">
        <f aca="false">IF(INDEX(BookTitle,1860)="","",INDEX(BookTotal,1860)*'5. Scenarios'!$C$6/(1+ProductivityDefault*('5. Scenarios'!$C$11-1)))</f>
        <v/>
      </c>
      <c r="J1865" s="57" t="str">
        <f aca="false">IF($I1865="","",INDEX(BookRate,1860)*(1+'5. Scenarios'!$C$10)*$I1865)</f>
        <v/>
      </c>
      <c r="K1865" s="57" t="str">
        <f aca="false">IF($J1865="","",SUMIFS($J$6:$J$2405,$A$6:$A$2405,"&lt;="&amp;$A1865))</f>
        <v/>
      </c>
      <c r="L1865" s="57" t="str">
        <f aca="false">IF($J1865="","",IF($K1865&lt;=BankCostEnvelope*'5. Scenarios'!$C$7,1,0))</f>
        <v/>
      </c>
      <c r="M1865" s="57" t="str">
        <f aca="false">IF($I1865="","",INDEX(BookRate,1860)*(1+'5. Scenarios'!$C$10)*(INDEX(BookQ1,1860)*(5-MIN(4,1+'5. Scenarios'!$C$8))/4+INDEX(BookQ2,1860)*(5-MIN(4,2+'5. Scenarios'!$C$8))/4+INDEX(BookQ3,1860)*(5-MIN(4,3+'5. Scenarios'!$C$8))/4+INDEX(BookQ4,1860)*(5-MIN(4,4+'5. Scenarios'!$C$8))/4)*'5. Scenarios'!$C$6/(1+ProductivityDefault*('5. Scenarios'!$C$11-1))+INDEX(BookOneOff,1860)*$I1865)</f>
        <v/>
      </c>
      <c r="N1865" s="56" t="str">
        <f aca="false">IF(INDEX(BookTitle,1860)="","",INDEX(BookTotal,1860)*'5. Scenarios'!$D$6/(1+ProductivityDefault*('5. Scenarios'!$D$11-1)))</f>
        <v/>
      </c>
      <c r="O1865" s="57" t="str">
        <f aca="false">IF($N1865="","",INDEX(BookRate,1860)*(1+'5. Scenarios'!$D$10)*$N1865)</f>
        <v/>
      </c>
      <c r="P1865" s="57" t="str">
        <f aca="false">IF($O1865="","",SUMIFS($O$6:$O$2405,$A$6:$A$2405,"&lt;="&amp;$A1865))</f>
        <v/>
      </c>
      <c r="Q1865" s="57" t="str">
        <f aca="false">IF($O1865="","",IF($P1865&lt;=BankCostEnvelope*'5. Scenarios'!$D$7,1,0))</f>
        <v/>
      </c>
      <c r="R1865" s="57" t="str">
        <f aca="false">IF($N1865="","",INDEX(BookRate,1860)*(1+'5. Scenarios'!$D$10)*(INDEX(BookQ1,1860)*(5-MIN(4,1+'5. Scenarios'!$D$8))/4+INDEX(BookQ2,1860)*(5-MIN(4,2+'5. Scenarios'!$D$8))/4+INDEX(BookQ3,1860)*(5-MIN(4,3+'5. Scenarios'!$D$8))/4+INDEX(BookQ4,1860)*(5-MIN(4,4+'5. Scenarios'!$D$8))/4)*'5. Scenarios'!$D$6/(1+ProductivityDefault*('5. Scenarios'!$D$11-1))+INDEX(BookOneOff,1860)*$N1865)</f>
        <v/>
      </c>
      <c r="S1865" s="56" t="str">
        <f aca="false">IF(INDEX(BookTitle,1860)="","",INDEX(BookTotal,1860)*'5. Scenarios'!$E$6/(1+ProductivityDefault*('5. Scenarios'!$E$11-1)))</f>
        <v/>
      </c>
      <c r="T1865" s="57" t="str">
        <f aca="false">IF($S1865="","",INDEX(BookRate,1860)*(1+'5. Scenarios'!$E$10)*$S1865)</f>
        <v/>
      </c>
      <c r="U1865" s="57" t="str">
        <f aca="false">IF($T1865="","",SUMIFS($T$6:$T$2405,$A$6:$A$2405,"&lt;="&amp;$A1865))</f>
        <v/>
      </c>
      <c r="V1865" s="57" t="str">
        <f aca="false">IF($T1865="","",IF($U1865&lt;=BankCostEnvelope*'5. Scenarios'!$E$7,1,0))</f>
        <v/>
      </c>
      <c r="W1865" s="57" t="str">
        <f aca="false">IF($S1865="","",INDEX(BookRate,1860)*(1+'5. Scenarios'!$E$10)*(INDEX(BookQ1,1860)*(5-MIN(4,1+'5. Scenarios'!$E$8))/4+INDEX(BookQ2,1860)*(5-MIN(4,2+'5. Scenarios'!$E$8))/4+INDEX(BookQ3,1860)*(5-MIN(4,3+'5. Scenarios'!$E$8))/4+INDEX(BookQ4,1860)*(5-MIN(4,4+'5. Scenarios'!$E$8))/4)*'5. Scenarios'!$E$6/(1+ProductivityDefault*('5. Scenarios'!$E$11-1))+INDEX(BookOneOff,1860)*$S1865)</f>
        <v/>
      </c>
    </row>
    <row r="1866" customFormat="false" ht="15" hidden="false" customHeight="false" outlineLevel="0" collapsed="false">
      <c r="A1866" s="0" t="str">
        <f aca="false">IF(INDEX(BookTitle,1861)="","",INDEX(BookKey,1861))</f>
        <v/>
      </c>
      <c r="B1866" s="0" t="str">
        <f aca="false">IF(INDEX(BookTitle,1861)="","",INDEX(BookGroup,1861))</f>
        <v/>
      </c>
      <c r="C1866" s="0" t="str">
        <f aca="false">IF(INDEX(BookTitle,1861)="","",INDEX(BookCategory,1861))</f>
        <v/>
      </c>
      <c r="D1866" s="56" t="str">
        <f aca="false">IF(INDEX(BookTitle,1861)="","",INDEX(BookTotal,1861)*'5. Scenarios'!$B$6/(1+ProductivityDefault*('5. Scenarios'!$B$11-1)))</f>
        <v/>
      </c>
      <c r="E1866" s="57" t="str">
        <f aca="false">IF($D1866="","",INDEX(BookRate,1861)*(1+'5. Scenarios'!$B$10)*$D1866)</f>
        <v/>
      </c>
      <c r="F1866" s="57" t="str">
        <f aca="false">IF($E1866="","",SUMIFS($E$6:$E$2405,$A$6:$A$2405,"&lt;="&amp;$A1866))</f>
        <v/>
      </c>
      <c r="G1866" s="57" t="str">
        <f aca="false">IF($E1866="","",IF($F1866&lt;=BankCostEnvelope*'5. Scenarios'!$B$7,1,0))</f>
        <v/>
      </c>
      <c r="H1866" s="57" t="str">
        <f aca="false">IF($D1866="","",INDEX(BookRate,1861)*(1+'5. Scenarios'!$B$10)*(INDEX(BookQ1,1861)*(5-MIN(4,1+'5. Scenarios'!$B$8))/4+INDEX(BookQ2,1861)*(5-MIN(4,2+'5. Scenarios'!$B$8))/4+INDEX(BookQ3,1861)*(5-MIN(4,3+'5. Scenarios'!$B$8))/4+INDEX(BookQ4,1861)*(5-MIN(4,4+'5. Scenarios'!$B$8))/4)*'5. Scenarios'!$B$6/(1+ProductivityDefault*('5. Scenarios'!$B$11-1))+INDEX(BookOneOff,1861)*$D1866)</f>
        <v/>
      </c>
      <c r="I1866" s="56" t="str">
        <f aca="false">IF(INDEX(BookTitle,1861)="","",INDEX(BookTotal,1861)*'5. Scenarios'!$C$6/(1+ProductivityDefault*('5. Scenarios'!$C$11-1)))</f>
        <v/>
      </c>
      <c r="J1866" s="57" t="str">
        <f aca="false">IF($I1866="","",INDEX(BookRate,1861)*(1+'5. Scenarios'!$C$10)*$I1866)</f>
        <v/>
      </c>
      <c r="K1866" s="57" t="str">
        <f aca="false">IF($J1866="","",SUMIFS($J$6:$J$2405,$A$6:$A$2405,"&lt;="&amp;$A1866))</f>
        <v/>
      </c>
      <c r="L1866" s="57" t="str">
        <f aca="false">IF($J1866="","",IF($K1866&lt;=BankCostEnvelope*'5. Scenarios'!$C$7,1,0))</f>
        <v/>
      </c>
      <c r="M1866" s="57" t="str">
        <f aca="false">IF($I1866="","",INDEX(BookRate,1861)*(1+'5. Scenarios'!$C$10)*(INDEX(BookQ1,1861)*(5-MIN(4,1+'5. Scenarios'!$C$8))/4+INDEX(BookQ2,1861)*(5-MIN(4,2+'5. Scenarios'!$C$8))/4+INDEX(BookQ3,1861)*(5-MIN(4,3+'5. Scenarios'!$C$8))/4+INDEX(BookQ4,1861)*(5-MIN(4,4+'5. Scenarios'!$C$8))/4)*'5. Scenarios'!$C$6/(1+ProductivityDefault*('5. Scenarios'!$C$11-1))+INDEX(BookOneOff,1861)*$I1866)</f>
        <v/>
      </c>
      <c r="N1866" s="56" t="str">
        <f aca="false">IF(INDEX(BookTitle,1861)="","",INDEX(BookTotal,1861)*'5. Scenarios'!$D$6/(1+ProductivityDefault*('5. Scenarios'!$D$11-1)))</f>
        <v/>
      </c>
      <c r="O1866" s="57" t="str">
        <f aca="false">IF($N1866="","",INDEX(BookRate,1861)*(1+'5. Scenarios'!$D$10)*$N1866)</f>
        <v/>
      </c>
      <c r="P1866" s="57" t="str">
        <f aca="false">IF($O1866="","",SUMIFS($O$6:$O$2405,$A$6:$A$2405,"&lt;="&amp;$A1866))</f>
        <v/>
      </c>
      <c r="Q1866" s="57" t="str">
        <f aca="false">IF($O1866="","",IF($P1866&lt;=BankCostEnvelope*'5. Scenarios'!$D$7,1,0))</f>
        <v/>
      </c>
      <c r="R1866" s="57" t="str">
        <f aca="false">IF($N1866="","",INDEX(BookRate,1861)*(1+'5. Scenarios'!$D$10)*(INDEX(BookQ1,1861)*(5-MIN(4,1+'5. Scenarios'!$D$8))/4+INDEX(BookQ2,1861)*(5-MIN(4,2+'5. Scenarios'!$D$8))/4+INDEX(BookQ3,1861)*(5-MIN(4,3+'5. Scenarios'!$D$8))/4+INDEX(BookQ4,1861)*(5-MIN(4,4+'5. Scenarios'!$D$8))/4)*'5. Scenarios'!$D$6/(1+ProductivityDefault*('5. Scenarios'!$D$11-1))+INDEX(BookOneOff,1861)*$N1866)</f>
        <v/>
      </c>
      <c r="S1866" s="56" t="str">
        <f aca="false">IF(INDEX(BookTitle,1861)="","",INDEX(BookTotal,1861)*'5. Scenarios'!$E$6/(1+ProductivityDefault*('5. Scenarios'!$E$11-1)))</f>
        <v/>
      </c>
      <c r="T1866" s="57" t="str">
        <f aca="false">IF($S1866="","",INDEX(BookRate,1861)*(1+'5. Scenarios'!$E$10)*$S1866)</f>
        <v/>
      </c>
      <c r="U1866" s="57" t="str">
        <f aca="false">IF($T1866="","",SUMIFS($T$6:$T$2405,$A$6:$A$2405,"&lt;="&amp;$A1866))</f>
        <v/>
      </c>
      <c r="V1866" s="57" t="str">
        <f aca="false">IF($T1866="","",IF($U1866&lt;=BankCostEnvelope*'5. Scenarios'!$E$7,1,0))</f>
        <v/>
      </c>
      <c r="W1866" s="57" t="str">
        <f aca="false">IF($S1866="","",INDEX(BookRate,1861)*(1+'5. Scenarios'!$E$10)*(INDEX(BookQ1,1861)*(5-MIN(4,1+'5. Scenarios'!$E$8))/4+INDEX(BookQ2,1861)*(5-MIN(4,2+'5. Scenarios'!$E$8))/4+INDEX(BookQ3,1861)*(5-MIN(4,3+'5. Scenarios'!$E$8))/4+INDEX(BookQ4,1861)*(5-MIN(4,4+'5. Scenarios'!$E$8))/4)*'5. Scenarios'!$E$6/(1+ProductivityDefault*('5. Scenarios'!$E$11-1))+INDEX(BookOneOff,1861)*$S1866)</f>
        <v/>
      </c>
    </row>
    <row r="1867" customFormat="false" ht="15" hidden="false" customHeight="false" outlineLevel="0" collapsed="false">
      <c r="A1867" s="0" t="str">
        <f aca="false">IF(INDEX(BookTitle,1862)="","",INDEX(BookKey,1862))</f>
        <v/>
      </c>
      <c r="B1867" s="0" t="str">
        <f aca="false">IF(INDEX(BookTitle,1862)="","",INDEX(BookGroup,1862))</f>
        <v/>
      </c>
      <c r="C1867" s="0" t="str">
        <f aca="false">IF(INDEX(BookTitle,1862)="","",INDEX(BookCategory,1862))</f>
        <v/>
      </c>
      <c r="D1867" s="56" t="str">
        <f aca="false">IF(INDEX(BookTitle,1862)="","",INDEX(BookTotal,1862)*'5. Scenarios'!$B$6/(1+ProductivityDefault*('5. Scenarios'!$B$11-1)))</f>
        <v/>
      </c>
      <c r="E1867" s="57" t="str">
        <f aca="false">IF($D1867="","",INDEX(BookRate,1862)*(1+'5. Scenarios'!$B$10)*$D1867)</f>
        <v/>
      </c>
      <c r="F1867" s="57" t="str">
        <f aca="false">IF($E1867="","",SUMIFS($E$6:$E$2405,$A$6:$A$2405,"&lt;="&amp;$A1867))</f>
        <v/>
      </c>
      <c r="G1867" s="57" t="str">
        <f aca="false">IF($E1867="","",IF($F1867&lt;=BankCostEnvelope*'5. Scenarios'!$B$7,1,0))</f>
        <v/>
      </c>
      <c r="H1867" s="57" t="str">
        <f aca="false">IF($D1867="","",INDEX(BookRate,1862)*(1+'5. Scenarios'!$B$10)*(INDEX(BookQ1,1862)*(5-MIN(4,1+'5. Scenarios'!$B$8))/4+INDEX(BookQ2,1862)*(5-MIN(4,2+'5. Scenarios'!$B$8))/4+INDEX(BookQ3,1862)*(5-MIN(4,3+'5. Scenarios'!$B$8))/4+INDEX(BookQ4,1862)*(5-MIN(4,4+'5. Scenarios'!$B$8))/4)*'5. Scenarios'!$B$6/(1+ProductivityDefault*('5. Scenarios'!$B$11-1))+INDEX(BookOneOff,1862)*$D1867)</f>
        <v/>
      </c>
      <c r="I1867" s="56" t="str">
        <f aca="false">IF(INDEX(BookTitle,1862)="","",INDEX(BookTotal,1862)*'5. Scenarios'!$C$6/(1+ProductivityDefault*('5. Scenarios'!$C$11-1)))</f>
        <v/>
      </c>
      <c r="J1867" s="57" t="str">
        <f aca="false">IF($I1867="","",INDEX(BookRate,1862)*(1+'5. Scenarios'!$C$10)*$I1867)</f>
        <v/>
      </c>
      <c r="K1867" s="57" t="str">
        <f aca="false">IF($J1867="","",SUMIFS($J$6:$J$2405,$A$6:$A$2405,"&lt;="&amp;$A1867))</f>
        <v/>
      </c>
      <c r="L1867" s="57" t="str">
        <f aca="false">IF($J1867="","",IF($K1867&lt;=BankCostEnvelope*'5. Scenarios'!$C$7,1,0))</f>
        <v/>
      </c>
      <c r="M1867" s="57" t="str">
        <f aca="false">IF($I1867="","",INDEX(BookRate,1862)*(1+'5. Scenarios'!$C$10)*(INDEX(BookQ1,1862)*(5-MIN(4,1+'5. Scenarios'!$C$8))/4+INDEX(BookQ2,1862)*(5-MIN(4,2+'5. Scenarios'!$C$8))/4+INDEX(BookQ3,1862)*(5-MIN(4,3+'5. Scenarios'!$C$8))/4+INDEX(BookQ4,1862)*(5-MIN(4,4+'5. Scenarios'!$C$8))/4)*'5. Scenarios'!$C$6/(1+ProductivityDefault*('5. Scenarios'!$C$11-1))+INDEX(BookOneOff,1862)*$I1867)</f>
        <v/>
      </c>
      <c r="N1867" s="56" t="str">
        <f aca="false">IF(INDEX(BookTitle,1862)="","",INDEX(BookTotal,1862)*'5. Scenarios'!$D$6/(1+ProductivityDefault*('5. Scenarios'!$D$11-1)))</f>
        <v/>
      </c>
      <c r="O1867" s="57" t="str">
        <f aca="false">IF($N1867="","",INDEX(BookRate,1862)*(1+'5. Scenarios'!$D$10)*$N1867)</f>
        <v/>
      </c>
      <c r="P1867" s="57" t="str">
        <f aca="false">IF($O1867="","",SUMIFS($O$6:$O$2405,$A$6:$A$2405,"&lt;="&amp;$A1867))</f>
        <v/>
      </c>
      <c r="Q1867" s="57" t="str">
        <f aca="false">IF($O1867="","",IF($P1867&lt;=BankCostEnvelope*'5. Scenarios'!$D$7,1,0))</f>
        <v/>
      </c>
      <c r="R1867" s="57" t="str">
        <f aca="false">IF($N1867="","",INDEX(BookRate,1862)*(1+'5. Scenarios'!$D$10)*(INDEX(BookQ1,1862)*(5-MIN(4,1+'5. Scenarios'!$D$8))/4+INDEX(BookQ2,1862)*(5-MIN(4,2+'5. Scenarios'!$D$8))/4+INDEX(BookQ3,1862)*(5-MIN(4,3+'5. Scenarios'!$D$8))/4+INDEX(BookQ4,1862)*(5-MIN(4,4+'5. Scenarios'!$D$8))/4)*'5. Scenarios'!$D$6/(1+ProductivityDefault*('5. Scenarios'!$D$11-1))+INDEX(BookOneOff,1862)*$N1867)</f>
        <v/>
      </c>
      <c r="S1867" s="56" t="str">
        <f aca="false">IF(INDEX(BookTitle,1862)="","",INDEX(BookTotal,1862)*'5. Scenarios'!$E$6/(1+ProductivityDefault*('5. Scenarios'!$E$11-1)))</f>
        <v/>
      </c>
      <c r="T1867" s="57" t="str">
        <f aca="false">IF($S1867="","",INDEX(BookRate,1862)*(1+'5. Scenarios'!$E$10)*$S1867)</f>
        <v/>
      </c>
      <c r="U1867" s="57" t="str">
        <f aca="false">IF($T1867="","",SUMIFS($T$6:$T$2405,$A$6:$A$2405,"&lt;="&amp;$A1867))</f>
        <v/>
      </c>
      <c r="V1867" s="57" t="str">
        <f aca="false">IF($T1867="","",IF($U1867&lt;=BankCostEnvelope*'5. Scenarios'!$E$7,1,0))</f>
        <v/>
      </c>
      <c r="W1867" s="57" t="str">
        <f aca="false">IF($S1867="","",INDEX(BookRate,1862)*(1+'5. Scenarios'!$E$10)*(INDEX(BookQ1,1862)*(5-MIN(4,1+'5. Scenarios'!$E$8))/4+INDEX(BookQ2,1862)*(5-MIN(4,2+'5. Scenarios'!$E$8))/4+INDEX(BookQ3,1862)*(5-MIN(4,3+'5. Scenarios'!$E$8))/4+INDEX(BookQ4,1862)*(5-MIN(4,4+'5. Scenarios'!$E$8))/4)*'5. Scenarios'!$E$6/(1+ProductivityDefault*('5. Scenarios'!$E$11-1))+INDEX(BookOneOff,1862)*$S1867)</f>
        <v/>
      </c>
    </row>
    <row r="1868" customFormat="false" ht="15" hidden="false" customHeight="false" outlineLevel="0" collapsed="false">
      <c r="A1868" s="0" t="str">
        <f aca="false">IF(INDEX(BookTitle,1863)="","",INDEX(BookKey,1863))</f>
        <v/>
      </c>
      <c r="B1868" s="0" t="str">
        <f aca="false">IF(INDEX(BookTitle,1863)="","",INDEX(BookGroup,1863))</f>
        <v/>
      </c>
      <c r="C1868" s="0" t="str">
        <f aca="false">IF(INDEX(BookTitle,1863)="","",INDEX(BookCategory,1863))</f>
        <v/>
      </c>
      <c r="D1868" s="56" t="str">
        <f aca="false">IF(INDEX(BookTitle,1863)="","",INDEX(BookTotal,1863)*'5. Scenarios'!$B$6/(1+ProductivityDefault*('5. Scenarios'!$B$11-1)))</f>
        <v/>
      </c>
      <c r="E1868" s="57" t="str">
        <f aca="false">IF($D1868="","",INDEX(BookRate,1863)*(1+'5. Scenarios'!$B$10)*$D1868)</f>
        <v/>
      </c>
      <c r="F1868" s="57" t="str">
        <f aca="false">IF($E1868="","",SUMIFS($E$6:$E$2405,$A$6:$A$2405,"&lt;="&amp;$A1868))</f>
        <v/>
      </c>
      <c r="G1868" s="57" t="str">
        <f aca="false">IF($E1868="","",IF($F1868&lt;=BankCostEnvelope*'5. Scenarios'!$B$7,1,0))</f>
        <v/>
      </c>
      <c r="H1868" s="57" t="str">
        <f aca="false">IF($D1868="","",INDEX(BookRate,1863)*(1+'5. Scenarios'!$B$10)*(INDEX(BookQ1,1863)*(5-MIN(4,1+'5. Scenarios'!$B$8))/4+INDEX(BookQ2,1863)*(5-MIN(4,2+'5. Scenarios'!$B$8))/4+INDEX(BookQ3,1863)*(5-MIN(4,3+'5. Scenarios'!$B$8))/4+INDEX(BookQ4,1863)*(5-MIN(4,4+'5. Scenarios'!$B$8))/4)*'5. Scenarios'!$B$6/(1+ProductivityDefault*('5. Scenarios'!$B$11-1))+INDEX(BookOneOff,1863)*$D1868)</f>
        <v/>
      </c>
      <c r="I1868" s="56" t="str">
        <f aca="false">IF(INDEX(BookTitle,1863)="","",INDEX(BookTotal,1863)*'5. Scenarios'!$C$6/(1+ProductivityDefault*('5. Scenarios'!$C$11-1)))</f>
        <v/>
      </c>
      <c r="J1868" s="57" t="str">
        <f aca="false">IF($I1868="","",INDEX(BookRate,1863)*(1+'5. Scenarios'!$C$10)*$I1868)</f>
        <v/>
      </c>
      <c r="K1868" s="57" t="str">
        <f aca="false">IF($J1868="","",SUMIFS($J$6:$J$2405,$A$6:$A$2405,"&lt;="&amp;$A1868))</f>
        <v/>
      </c>
      <c r="L1868" s="57" t="str">
        <f aca="false">IF($J1868="","",IF($K1868&lt;=BankCostEnvelope*'5. Scenarios'!$C$7,1,0))</f>
        <v/>
      </c>
      <c r="M1868" s="57" t="str">
        <f aca="false">IF($I1868="","",INDEX(BookRate,1863)*(1+'5. Scenarios'!$C$10)*(INDEX(BookQ1,1863)*(5-MIN(4,1+'5. Scenarios'!$C$8))/4+INDEX(BookQ2,1863)*(5-MIN(4,2+'5. Scenarios'!$C$8))/4+INDEX(BookQ3,1863)*(5-MIN(4,3+'5. Scenarios'!$C$8))/4+INDEX(BookQ4,1863)*(5-MIN(4,4+'5. Scenarios'!$C$8))/4)*'5. Scenarios'!$C$6/(1+ProductivityDefault*('5. Scenarios'!$C$11-1))+INDEX(BookOneOff,1863)*$I1868)</f>
        <v/>
      </c>
      <c r="N1868" s="56" t="str">
        <f aca="false">IF(INDEX(BookTitle,1863)="","",INDEX(BookTotal,1863)*'5. Scenarios'!$D$6/(1+ProductivityDefault*('5. Scenarios'!$D$11-1)))</f>
        <v/>
      </c>
      <c r="O1868" s="57" t="str">
        <f aca="false">IF($N1868="","",INDEX(BookRate,1863)*(1+'5. Scenarios'!$D$10)*$N1868)</f>
        <v/>
      </c>
      <c r="P1868" s="57" t="str">
        <f aca="false">IF($O1868="","",SUMIFS($O$6:$O$2405,$A$6:$A$2405,"&lt;="&amp;$A1868))</f>
        <v/>
      </c>
      <c r="Q1868" s="57" t="str">
        <f aca="false">IF($O1868="","",IF($P1868&lt;=BankCostEnvelope*'5. Scenarios'!$D$7,1,0))</f>
        <v/>
      </c>
      <c r="R1868" s="57" t="str">
        <f aca="false">IF($N1868="","",INDEX(BookRate,1863)*(1+'5. Scenarios'!$D$10)*(INDEX(BookQ1,1863)*(5-MIN(4,1+'5. Scenarios'!$D$8))/4+INDEX(BookQ2,1863)*(5-MIN(4,2+'5. Scenarios'!$D$8))/4+INDEX(BookQ3,1863)*(5-MIN(4,3+'5. Scenarios'!$D$8))/4+INDEX(BookQ4,1863)*(5-MIN(4,4+'5. Scenarios'!$D$8))/4)*'5. Scenarios'!$D$6/(1+ProductivityDefault*('5. Scenarios'!$D$11-1))+INDEX(BookOneOff,1863)*$N1868)</f>
        <v/>
      </c>
      <c r="S1868" s="56" t="str">
        <f aca="false">IF(INDEX(BookTitle,1863)="","",INDEX(BookTotal,1863)*'5. Scenarios'!$E$6/(1+ProductivityDefault*('5. Scenarios'!$E$11-1)))</f>
        <v/>
      </c>
      <c r="T1868" s="57" t="str">
        <f aca="false">IF($S1868="","",INDEX(BookRate,1863)*(1+'5. Scenarios'!$E$10)*$S1868)</f>
        <v/>
      </c>
      <c r="U1868" s="57" t="str">
        <f aca="false">IF($T1868="","",SUMIFS($T$6:$T$2405,$A$6:$A$2405,"&lt;="&amp;$A1868))</f>
        <v/>
      </c>
      <c r="V1868" s="57" t="str">
        <f aca="false">IF($T1868="","",IF($U1868&lt;=BankCostEnvelope*'5. Scenarios'!$E$7,1,0))</f>
        <v/>
      </c>
      <c r="W1868" s="57" t="str">
        <f aca="false">IF($S1868="","",INDEX(BookRate,1863)*(1+'5. Scenarios'!$E$10)*(INDEX(BookQ1,1863)*(5-MIN(4,1+'5. Scenarios'!$E$8))/4+INDEX(BookQ2,1863)*(5-MIN(4,2+'5. Scenarios'!$E$8))/4+INDEX(BookQ3,1863)*(5-MIN(4,3+'5. Scenarios'!$E$8))/4+INDEX(BookQ4,1863)*(5-MIN(4,4+'5. Scenarios'!$E$8))/4)*'5. Scenarios'!$E$6/(1+ProductivityDefault*('5. Scenarios'!$E$11-1))+INDEX(BookOneOff,1863)*$S1868)</f>
        <v/>
      </c>
    </row>
    <row r="1869" customFormat="false" ht="15" hidden="false" customHeight="false" outlineLevel="0" collapsed="false">
      <c r="A1869" s="0" t="str">
        <f aca="false">IF(INDEX(BookTitle,1864)="","",INDEX(BookKey,1864))</f>
        <v/>
      </c>
      <c r="B1869" s="0" t="str">
        <f aca="false">IF(INDEX(BookTitle,1864)="","",INDEX(BookGroup,1864))</f>
        <v/>
      </c>
      <c r="C1869" s="0" t="str">
        <f aca="false">IF(INDEX(BookTitle,1864)="","",INDEX(BookCategory,1864))</f>
        <v/>
      </c>
      <c r="D1869" s="56" t="str">
        <f aca="false">IF(INDEX(BookTitle,1864)="","",INDEX(BookTotal,1864)*'5. Scenarios'!$B$6/(1+ProductivityDefault*('5. Scenarios'!$B$11-1)))</f>
        <v/>
      </c>
      <c r="E1869" s="57" t="str">
        <f aca="false">IF($D1869="","",INDEX(BookRate,1864)*(1+'5. Scenarios'!$B$10)*$D1869)</f>
        <v/>
      </c>
      <c r="F1869" s="57" t="str">
        <f aca="false">IF($E1869="","",SUMIFS($E$6:$E$2405,$A$6:$A$2405,"&lt;="&amp;$A1869))</f>
        <v/>
      </c>
      <c r="G1869" s="57" t="str">
        <f aca="false">IF($E1869="","",IF($F1869&lt;=BankCostEnvelope*'5. Scenarios'!$B$7,1,0))</f>
        <v/>
      </c>
      <c r="H1869" s="57" t="str">
        <f aca="false">IF($D1869="","",INDEX(BookRate,1864)*(1+'5. Scenarios'!$B$10)*(INDEX(BookQ1,1864)*(5-MIN(4,1+'5. Scenarios'!$B$8))/4+INDEX(BookQ2,1864)*(5-MIN(4,2+'5. Scenarios'!$B$8))/4+INDEX(BookQ3,1864)*(5-MIN(4,3+'5. Scenarios'!$B$8))/4+INDEX(BookQ4,1864)*(5-MIN(4,4+'5. Scenarios'!$B$8))/4)*'5. Scenarios'!$B$6/(1+ProductivityDefault*('5. Scenarios'!$B$11-1))+INDEX(BookOneOff,1864)*$D1869)</f>
        <v/>
      </c>
      <c r="I1869" s="56" t="str">
        <f aca="false">IF(INDEX(BookTitle,1864)="","",INDEX(BookTotal,1864)*'5. Scenarios'!$C$6/(1+ProductivityDefault*('5. Scenarios'!$C$11-1)))</f>
        <v/>
      </c>
      <c r="J1869" s="57" t="str">
        <f aca="false">IF($I1869="","",INDEX(BookRate,1864)*(1+'5. Scenarios'!$C$10)*$I1869)</f>
        <v/>
      </c>
      <c r="K1869" s="57" t="str">
        <f aca="false">IF($J1869="","",SUMIFS($J$6:$J$2405,$A$6:$A$2405,"&lt;="&amp;$A1869))</f>
        <v/>
      </c>
      <c r="L1869" s="57" t="str">
        <f aca="false">IF($J1869="","",IF($K1869&lt;=BankCostEnvelope*'5. Scenarios'!$C$7,1,0))</f>
        <v/>
      </c>
      <c r="M1869" s="57" t="str">
        <f aca="false">IF($I1869="","",INDEX(BookRate,1864)*(1+'5. Scenarios'!$C$10)*(INDEX(BookQ1,1864)*(5-MIN(4,1+'5. Scenarios'!$C$8))/4+INDEX(BookQ2,1864)*(5-MIN(4,2+'5. Scenarios'!$C$8))/4+INDEX(BookQ3,1864)*(5-MIN(4,3+'5. Scenarios'!$C$8))/4+INDEX(BookQ4,1864)*(5-MIN(4,4+'5. Scenarios'!$C$8))/4)*'5. Scenarios'!$C$6/(1+ProductivityDefault*('5. Scenarios'!$C$11-1))+INDEX(BookOneOff,1864)*$I1869)</f>
        <v/>
      </c>
      <c r="N1869" s="56" t="str">
        <f aca="false">IF(INDEX(BookTitle,1864)="","",INDEX(BookTotal,1864)*'5. Scenarios'!$D$6/(1+ProductivityDefault*('5. Scenarios'!$D$11-1)))</f>
        <v/>
      </c>
      <c r="O1869" s="57" t="str">
        <f aca="false">IF($N1869="","",INDEX(BookRate,1864)*(1+'5. Scenarios'!$D$10)*$N1869)</f>
        <v/>
      </c>
      <c r="P1869" s="57" t="str">
        <f aca="false">IF($O1869="","",SUMIFS($O$6:$O$2405,$A$6:$A$2405,"&lt;="&amp;$A1869))</f>
        <v/>
      </c>
      <c r="Q1869" s="57" t="str">
        <f aca="false">IF($O1869="","",IF($P1869&lt;=BankCostEnvelope*'5. Scenarios'!$D$7,1,0))</f>
        <v/>
      </c>
      <c r="R1869" s="57" t="str">
        <f aca="false">IF($N1869="","",INDEX(BookRate,1864)*(1+'5. Scenarios'!$D$10)*(INDEX(BookQ1,1864)*(5-MIN(4,1+'5. Scenarios'!$D$8))/4+INDEX(BookQ2,1864)*(5-MIN(4,2+'5. Scenarios'!$D$8))/4+INDEX(BookQ3,1864)*(5-MIN(4,3+'5. Scenarios'!$D$8))/4+INDEX(BookQ4,1864)*(5-MIN(4,4+'5. Scenarios'!$D$8))/4)*'5. Scenarios'!$D$6/(1+ProductivityDefault*('5. Scenarios'!$D$11-1))+INDEX(BookOneOff,1864)*$N1869)</f>
        <v/>
      </c>
      <c r="S1869" s="56" t="str">
        <f aca="false">IF(INDEX(BookTitle,1864)="","",INDEX(BookTotal,1864)*'5. Scenarios'!$E$6/(1+ProductivityDefault*('5. Scenarios'!$E$11-1)))</f>
        <v/>
      </c>
      <c r="T1869" s="57" t="str">
        <f aca="false">IF($S1869="","",INDEX(BookRate,1864)*(1+'5. Scenarios'!$E$10)*$S1869)</f>
        <v/>
      </c>
      <c r="U1869" s="57" t="str">
        <f aca="false">IF($T1869="","",SUMIFS($T$6:$T$2405,$A$6:$A$2405,"&lt;="&amp;$A1869))</f>
        <v/>
      </c>
      <c r="V1869" s="57" t="str">
        <f aca="false">IF($T1869="","",IF($U1869&lt;=BankCostEnvelope*'5. Scenarios'!$E$7,1,0))</f>
        <v/>
      </c>
      <c r="W1869" s="57" t="str">
        <f aca="false">IF($S1869="","",INDEX(BookRate,1864)*(1+'5. Scenarios'!$E$10)*(INDEX(BookQ1,1864)*(5-MIN(4,1+'5. Scenarios'!$E$8))/4+INDEX(BookQ2,1864)*(5-MIN(4,2+'5. Scenarios'!$E$8))/4+INDEX(BookQ3,1864)*(5-MIN(4,3+'5. Scenarios'!$E$8))/4+INDEX(BookQ4,1864)*(5-MIN(4,4+'5. Scenarios'!$E$8))/4)*'5. Scenarios'!$E$6/(1+ProductivityDefault*('5. Scenarios'!$E$11-1))+INDEX(BookOneOff,1864)*$S1869)</f>
        <v/>
      </c>
    </row>
    <row r="1870" customFormat="false" ht="15" hidden="false" customHeight="false" outlineLevel="0" collapsed="false">
      <c r="A1870" s="0" t="str">
        <f aca="false">IF(INDEX(BookTitle,1865)="","",INDEX(BookKey,1865))</f>
        <v/>
      </c>
      <c r="B1870" s="0" t="str">
        <f aca="false">IF(INDEX(BookTitle,1865)="","",INDEX(BookGroup,1865))</f>
        <v/>
      </c>
      <c r="C1870" s="0" t="str">
        <f aca="false">IF(INDEX(BookTitle,1865)="","",INDEX(BookCategory,1865))</f>
        <v/>
      </c>
      <c r="D1870" s="56" t="str">
        <f aca="false">IF(INDEX(BookTitle,1865)="","",INDEX(BookTotal,1865)*'5. Scenarios'!$B$6/(1+ProductivityDefault*('5. Scenarios'!$B$11-1)))</f>
        <v/>
      </c>
      <c r="E1870" s="57" t="str">
        <f aca="false">IF($D1870="","",INDEX(BookRate,1865)*(1+'5. Scenarios'!$B$10)*$D1870)</f>
        <v/>
      </c>
      <c r="F1870" s="57" t="str">
        <f aca="false">IF($E1870="","",SUMIFS($E$6:$E$2405,$A$6:$A$2405,"&lt;="&amp;$A1870))</f>
        <v/>
      </c>
      <c r="G1870" s="57" t="str">
        <f aca="false">IF($E1870="","",IF($F1870&lt;=BankCostEnvelope*'5. Scenarios'!$B$7,1,0))</f>
        <v/>
      </c>
      <c r="H1870" s="57" t="str">
        <f aca="false">IF($D1870="","",INDEX(BookRate,1865)*(1+'5. Scenarios'!$B$10)*(INDEX(BookQ1,1865)*(5-MIN(4,1+'5. Scenarios'!$B$8))/4+INDEX(BookQ2,1865)*(5-MIN(4,2+'5. Scenarios'!$B$8))/4+INDEX(BookQ3,1865)*(5-MIN(4,3+'5. Scenarios'!$B$8))/4+INDEX(BookQ4,1865)*(5-MIN(4,4+'5. Scenarios'!$B$8))/4)*'5. Scenarios'!$B$6/(1+ProductivityDefault*('5. Scenarios'!$B$11-1))+INDEX(BookOneOff,1865)*$D1870)</f>
        <v/>
      </c>
      <c r="I1870" s="56" t="str">
        <f aca="false">IF(INDEX(BookTitle,1865)="","",INDEX(BookTotal,1865)*'5. Scenarios'!$C$6/(1+ProductivityDefault*('5. Scenarios'!$C$11-1)))</f>
        <v/>
      </c>
      <c r="J1870" s="57" t="str">
        <f aca="false">IF($I1870="","",INDEX(BookRate,1865)*(1+'5. Scenarios'!$C$10)*$I1870)</f>
        <v/>
      </c>
      <c r="K1870" s="57" t="str">
        <f aca="false">IF($J1870="","",SUMIFS($J$6:$J$2405,$A$6:$A$2405,"&lt;="&amp;$A1870))</f>
        <v/>
      </c>
      <c r="L1870" s="57" t="str">
        <f aca="false">IF($J1870="","",IF($K1870&lt;=BankCostEnvelope*'5. Scenarios'!$C$7,1,0))</f>
        <v/>
      </c>
      <c r="M1870" s="57" t="str">
        <f aca="false">IF($I1870="","",INDEX(BookRate,1865)*(1+'5. Scenarios'!$C$10)*(INDEX(BookQ1,1865)*(5-MIN(4,1+'5. Scenarios'!$C$8))/4+INDEX(BookQ2,1865)*(5-MIN(4,2+'5. Scenarios'!$C$8))/4+INDEX(BookQ3,1865)*(5-MIN(4,3+'5. Scenarios'!$C$8))/4+INDEX(BookQ4,1865)*(5-MIN(4,4+'5. Scenarios'!$C$8))/4)*'5. Scenarios'!$C$6/(1+ProductivityDefault*('5. Scenarios'!$C$11-1))+INDEX(BookOneOff,1865)*$I1870)</f>
        <v/>
      </c>
      <c r="N1870" s="56" t="str">
        <f aca="false">IF(INDEX(BookTitle,1865)="","",INDEX(BookTotal,1865)*'5. Scenarios'!$D$6/(1+ProductivityDefault*('5. Scenarios'!$D$11-1)))</f>
        <v/>
      </c>
      <c r="O1870" s="57" t="str">
        <f aca="false">IF($N1870="","",INDEX(BookRate,1865)*(1+'5. Scenarios'!$D$10)*$N1870)</f>
        <v/>
      </c>
      <c r="P1870" s="57" t="str">
        <f aca="false">IF($O1870="","",SUMIFS($O$6:$O$2405,$A$6:$A$2405,"&lt;="&amp;$A1870))</f>
        <v/>
      </c>
      <c r="Q1870" s="57" t="str">
        <f aca="false">IF($O1870="","",IF($P1870&lt;=BankCostEnvelope*'5. Scenarios'!$D$7,1,0))</f>
        <v/>
      </c>
      <c r="R1870" s="57" t="str">
        <f aca="false">IF($N1870="","",INDEX(BookRate,1865)*(1+'5. Scenarios'!$D$10)*(INDEX(BookQ1,1865)*(5-MIN(4,1+'5. Scenarios'!$D$8))/4+INDEX(BookQ2,1865)*(5-MIN(4,2+'5. Scenarios'!$D$8))/4+INDEX(BookQ3,1865)*(5-MIN(4,3+'5. Scenarios'!$D$8))/4+INDEX(BookQ4,1865)*(5-MIN(4,4+'5. Scenarios'!$D$8))/4)*'5. Scenarios'!$D$6/(1+ProductivityDefault*('5. Scenarios'!$D$11-1))+INDEX(BookOneOff,1865)*$N1870)</f>
        <v/>
      </c>
      <c r="S1870" s="56" t="str">
        <f aca="false">IF(INDEX(BookTitle,1865)="","",INDEX(BookTotal,1865)*'5. Scenarios'!$E$6/(1+ProductivityDefault*('5. Scenarios'!$E$11-1)))</f>
        <v/>
      </c>
      <c r="T1870" s="57" t="str">
        <f aca="false">IF($S1870="","",INDEX(BookRate,1865)*(1+'5. Scenarios'!$E$10)*$S1870)</f>
        <v/>
      </c>
      <c r="U1870" s="57" t="str">
        <f aca="false">IF($T1870="","",SUMIFS($T$6:$T$2405,$A$6:$A$2405,"&lt;="&amp;$A1870))</f>
        <v/>
      </c>
      <c r="V1870" s="57" t="str">
        <f aca="false">IF($T1870="","",IF($U1870&lt;=BankCostEnvelope*'5. Scenarios'!$E$7,1,0))</f>
        <v/>
      </c>
      <c r="W1870" s="57" t="str">
        <f aca="false">IF($S1870="","",INDEX(BookRate,1865)*(1+'5. Scenarios'!$E$10)*(INDEX(BookQ1,1865)*(5-MIN(4,1+'5. Scenarios'!$E$8))/4+INDEX(BookQ2,1865)*(5-MIN(4,2+'5. Scenarios'!$E$8))/4+INDEX(BookQ3,1865)*(5-MIN(4,3+'5. Scenarios'!$E$8))/4+INDEX(BookQ4,1865)*(5-MIN(4,4+'5. Scenarios'!$E$8))/4)*'5. Scenarios'!$E$6/(1+ProductivityDefault*('5. Scenarios'!$E$11-1))+INDEX(BookOneOff,1865)*$S1870)</f>
        <v/>
      </c>
    </row>
    <row r="1871" customFormat="false" ht="15" hidden="false" customHeight="false" outlineLevel="0" collapsed="false">
      <c r="A1871" s="0" t="str">
        <f aca="false">IF(INDEX(BookTitle,1866)="","",INDEX(BookKey,1866))</f>
        <v/>
      </c>
      <c r="B1871" s="0" t="str">
        <f aca="false">IF(INDEX(BookTitle,1866)="","",INDEX(BookGroup,1866))</f>
        <v/>
      </c>
      <c r="C1871" s="0" t="str">
        <f aca="false">IF(INDEX(BookTitle,1866)="","",INDEX(BookCategory,1866))</f>
        <v/>
      </c>
      <c r="D1871" s="56" t="str">
        <f aca="false">IF(INDEX(BookTitle,1866)="","",INDEX(BookTotal,1866)*'5. Scenarios'!$B$6/(1+ProductivityDefault*('5. Scenarios'!$B$11-1)))</f>
        <v/>
      </c>
      <c r="E1871" s="57" t="str">
        <f aca="false">IF($D1871="","",INDEX(BookRate,1866)*(1+'5. Scenarios'!$B$10)*$D1871)</f>
        <v/>
      </c>
      <c r="F1871" s="57" t="str">
        <f aca="false">IF($E1871="","",SUMIFS($E$6:$E$2405,$A$6:$A$2405,"&lt;="&amp;$A1871))</f>
        <v/>
      </c>
      <c r="G1871" s="57" t="str">
        <f aca="false">IF($E1871="","",IF($F1871&lt;=BankCostEnvelope*'5. Scenarios'!$B$7,1,0))</f>
        <v/>
      </c>
      <c r="H1871" s="57" t="str">
        <f aca="false">IF($D1871="","",INDEX(BookRate,1866)*(1+'5. Scenarios'!$B$10)*(INDEX(BookQ1,1866)*(5-MIN(4,1+'5. Scenarios'!$B$8))/4+INDEX(BookQ2,1866)*(5-MIN(4,2+'5. Scenarios'!$B$8))/4+INDEX(BookQ3,1866)*(5-MIN(4,3+'5. Scenarios'!$B$8))/4+INDEX(BookQ4,1866)*(5-MIN(4,4+'5. Scenarios'!$B$8))/4)*'5. Scenarios'!$B$6/(1+ProductivityDefault*('5. Scenarios'!$B$11-1))+INDEX(BookOneOff,1866)*$D1871)</f>
        <v/>
      </c>
      <c r="I1871" s="56" t="str">
        <f aca="false">IF(INDEX(BookTitle,1866)="","",INDEX(BookTotal,1866)*'5. Scenarios'!$C$6/(1+ProductivityDefault*('5. Scenarios'!$C$11-1)))</f>
        <v/>
      </c>
      <c r="J1871" s="57" t="str">
        <f aca="false">IF($I1871="","",INDEX(BookRate,1866)*(1+'5. Scenarios'!$C$10)*$I1871)</f>
        <v/>
      </c>
      <c r="K1871" s="57" t="str">
        <f aca="false">IF($J1871="","",SUMIFS($J$6:$J$2405,$A$6:$A$2405,"&lt;="&amp;$A1871))</f>
        <v/>
      </c>
      <c r="L1871" s="57" t="str">
        <f aca="false">IF($J1871="","",IF($K1871&lt;=BankCostEnvelope*'5. Scenarios'!$C$7,1,0))</f>
        <v/>
      </c>
      <c r="M1871" s="57" t="str">
        <f aca="false">IF($I1871="","",INDEX(BookRate,1866)*(1+'5. Scenarios'!$C$10)*(INDEX(BookQ1,1866)*(5-MIN(4,1+'5. Scenarios'!$C$8))/4+INDEX(BookQ2,1866)*(5-MIN(4,2+'5. Scenarios'!$C$8))/4+INDEX(BookQ3,1866)*(5-MIN(4,3+'5. Scenarios'!$C$8))/4+INDEX(BookQ4,1866)*(5-MIN(4,4+'5. Scenarios'!$C$8))/4)*'5. Scenarios'!$C$6/(1+ProductivityDefault*('5. Scenarios'!$C$11-1))+INDEX(BookOneOff,1866)*$I1871)</f>
        <v/>
      </c>
      <c r="N1871" s="56" t="str">
        <f aca="false">IF(INDEX(BookTitle,1866)="","",INDEX(BookTotal,1866)*'5. Scenarios'!$D$6/(1+ProductivityDefault*('5. Scenarios'!$D$11-1)))</f>
        <v/>
      </c>
      <c r="O1871" s="57" t="str">
        <f aca="false">IF($N1871="","",INDEX(BookRate,1866)*(1+'5. Scenarios'!$D$10)*$N1871)</f>
        <v/>
      </c>
      <c r="P1871" s="57" t="str">
        <f aca="false">IF($O1871="","",SUMIFS($O$6:$O$2405,$A$6:$A$2405,"&lt;="&amp;$A1871))</f>
        <v/>
      </c>
      <c r="Q1871" s="57" t="str">
        <f aca="false">IF($O1871="","",IF($P1871&lt;=BankCostEnvelope*'5. Scenarios'!$D$7,1,0))</f>
        <v/>
      </c>
      <c r="R1871" s="57" t="str">
        <f aca="false">IF($N1871="","",INDEX(BookRate,1866)*(1+'5. Scenarios'!$D$10)*(INDEX(BookQ1,1866)*(5-MIN(4,1+'5. Scenarios'!$D$8))/4+INDEX(BookQ2,1866)*(5-MIN(4,2+'5. Scenarios'!$D$8))/4+INDEX(BookQ3,1866)*(5-MIN(4,3+'5. Scenarios'!$D$8))/4+INDEX(BookQ4,1866)*(5-MIN(4,4+'5. Scenarios'!$D$8))/4)*'5. Scenarios'!$D$6/(1+ProductivityDefault*('5. Scenarios'!$D$11-1))+INDEX(BookOneOff,1866)*$N1871)</f>
        <v/>
      </c>
      <c r="S1871" s="56" t="str">
        <f aca="false">IF(INDEX(BookTitle,1866)="","",INDEX(BookTotal,1866)*'5. Scenarios'!$E$6/(1+ProductivityDefault*('5. Scenarios'!$E$11-1)))</f>
        <v/>
      </c>
      <c r="T1871" s="57" t="str">
        <f aca="false">IF($S1871="","",INDEX(BookRate,1866)*(1+'5. Scenarios'!$E$10)*$S1871)</f>
        <v/>
      </c>
      <c r="U1871" s="57" t="str">
        <f aca="false">IF($T1871="","",SUMIFS($T$6:$T$2405,$A$6:$A$2405,"&lt;="&amp;$A1871))</f>
        <v/>
      </c>
      <c r="V1871" s="57" t="str">
        <f aca="false">IF($T1871="","",IF($U1871&lt;=BankCostEnvelope*'5. Scenarios'!$E$7,1,0))</f>
        <v/>
      </c>
      <c r="W1871" s="57" t="str">
        <f aca="false">IF($S1871="","",INDEX(BookRate,1866)*(1+'5. Scenarios'!$E$10)*(INDEX(BookQ1,1866)*(5-MIN(4,1+'5. Scenarios'!$E$8))/4+INDEX(BookQ2,1866)*(5-MIN(4,2+'5. Scenarios'!$E$8))/4+INDEX(BookQ3,1866)*(5-MIN(4,3+'5. Scenarios'!$E$8))/4+INDEX(BookQ4,1866)*(5-MIN(4,4+'5. Scenarios'!$E$8))/4)*'5. Scenarios'!$E$6/(1+ProductivityDefault*('5. Scenarios'!$E$11-1))+INDEX(BookOneOff,1866)*$S1871)</f>
        <v/>
      </c>
    </row>
    <row r="1872" customFormat="false" ht="15" hidden="false" customHeight="false" outlineLevel="0" collapsed="false">
      <c r="A1872" s="0" t="str">
        <f aca="false">IF(INDEX(BookTitle,1867)="","",INDEX(BookKey,1867))</f>
        <v/>
      </c>
      <c r="B1872" s="0" t="str">
        <f aca="false">IF(INDEX(BookTitle,1867)="","",INDEX(BookGroup,1867))</f>
        <v/>
      </c>
      <c r="C1872" s="0" t="str">
        <f aca="false">IF(INDEX(BookTitle,1867)="","",INDEX(BookCategory,1867))</f>
        <v/>
      </c>
      <c r="D1872" s="56" t="str">
        <f aca="false">IF(INDEX(BookTitle,1867)="","",INDEX(BookTotal,1867)*'5. Scenarios'!$B$6/(1+ProductivityDefault*('5. Scenarios'!$B$11-1)))</f>
        <v/>
      </c>
      <c r="E1872" s="57" t="str">
        <f aca="false">IF($D1872="","",INDEX(BookRate,1867)*(1+'5. Scenarios'!$B$10)*$D1872)</f>
        <v/>
      </c>
      <c r="F1872" s="57" t="str">
        <f aca="false">IF($E1872="","",SUMIFS($E$6:$E$2405,$A$6:$A$2405,"&lt;="&amp;$A1872))</f>
        <v/>
      </c>
      <c r="G1872" s="57" t="str">
        <f aca="false">IF($E1872="","",IF($F1872&lt;=BankCostEnvelope*'5. Scenarios'!$B$7,1,0))</f>
        <v/>
      </c>
      <c r="H1872" s="57" t="str">
        <f aca="false">IF($D1872="","",INDEX(BookRate,1867)*(1+'5. Scenarios'!$B$10)*(INDEX(BookQ1,1867)*(5-MIN(4,1+'5. Scenarios'!$B$8))/4+INDEX(BookQ2,1867)*(5-MIN(4,2+'5. Scenarios'!$B$8))/4+INDEX(BookQ3,1867)*(5-MIN(4,3+'5. Scenarios'!$B$8))/4+INDEX(BookQ4,1867)*(5-MIN(4,4+'5. Scenarios'!$B$8))/4)*'5. Scenarios'!$B$6/(1+ProductivityDefault*('5. Scenarios'!$B$11-1))+INDEX(BookOneOff,1867)*$D1872)</f>
        <v/>
      </c>
      <c r="I1872" s="56" t="str">
        <f aca="false">IF(INDEX(BookTitle,1867)="","",INDEX(BookTotal,1867)*'5. Scenarios'!$C$6/(1+ProductivityDefault*('5. Scenarios'!$C$11-1)))</f>
        <v/>
      </c>
      <c r="J1872" s="57" t="str">
        <f aca="false">IF($I1872="","",INDEX(BookRate,1867)*(1+'5. Scenarios'!$C$10)*$I1872)</f>
        <v/>
      </c>
      <c r="K1872" s="57" t="str">
        <f aca="false">IF($J1872="","",SUMIFS($J$6:$J$2405,$A$6:$A$2405,"&lt;="&amp;$A1872))</f>
        <v/>
      </c>
      <c r="L1872" s="57" t="str">
        <f aca="false">IF($J1872="","",IF($K1872&lt;=BankCostEnvelope*'5. Scenarios'!$C$7,1,0))</f>
        <v/>
      </c>
      <c r="M1872" s="57" t="str">
        <f aca="false">IF($I1872="","",INDEX(BookRate,1867)*(1+'5. Scenarios'!$C$10)*(INDEX(BookQ1,1867)*(5-MIN(4,1+'5. Scenarios'!$C$8))/4+INDEX(BookQ2,1867)*(5-MIN(4,2+'5. Scenarios'!$C$8))/4+INDEX(BookQ3,1867)*(5-MIN(4,3+'5. Scenarios'!$C$8))/4+INDEX(BookQ4,1867)*(5-MIN(4,4+'5. Scenarios'!$C$8))/4)*'5. Scenarios'!$C$6/(1+ProductivityDefault*('5. Scenarios'!$C$11-1))+INDEX(BookOneOff,1867)*$I1872)</f>
        <v/>
      </c>
      <c r="N1872" s="56" t="str">
        <f aca="false">IF(INDEX(BookTitle,1867)="","",INDEX(BookTotal,1867)*'5. Scenarios'!$D$6/(1+ProductivityDefault*('5. Scenarios'!$D$11-1)))</f>
        <v/>
      </c>
      <c r="O1872" s="57" t="str">
        <f aca="false">IF($N1872="","",INDEX(BookRate,1867)*(1+'5. Scenarios'!$D$10)*$N1872)</f>
        <v/>
      </c>
      <c r="P1872" s="57" t="str">
        <f aca="false">IF($O1872="","",SUMIFS($O$6:$O$2405,$A$6:$A$2405,"&lt;="&amp;$A1872))</f>
        <v/>
      </c>
      <c r="Q1872" s="57" t="str">
        <f aca="false">IF($O1872="","",IF($P1872&lt;=BankCostEnvelope*'5. Scenarios'!$D$7,1,0))</f>
        <v/>
      </c>
      <c r="R1872" s="57" t="str">
        <f aca="false">IF($N1872="","",INDEX(BookRate,1867)*(1+'5. Scenarios'!$D$10)*(INDEX(BookQ1,1867)*(5-MIN(4,1+'5. Scenarios'!$D$8))/4+INDEX(BookQ2,1867)*(5-MIN(4,2+'5. Scenarios'!$D$8))/4+INDEX(BookQ3,1867)*(5-MIN(4,3+'5. Scenarios'!$D$8))/4+INDEX(BookQ4,1867)*(5-MIN(4,4+'5. Scenarios'!$D$8))/4)*'5. Scenarios'!$D$6/(1+ProductivityDefault*('5. Scenarios'!$D$11-1))+INDEX(BookOneOff,1867)*$N1872)</f>
        <v/>
      </c>
      <c r="S1872" s="56" t="str">
        <f aca="false">IF(INDEX(BookTitle,1867)="","",INDEX(BookTotal,1867)*'5. Scenarios'!$E$6/(1+ProductivityDefault*('5. Scenarios'!$E$11-1)))</f>
        <v/>
      </c>
      <c r="T1872" s="57" t="str">
        <f aca="false">IF($S1872="","",INDEX(BookRate,1867)*(1+'5. Scenarios'!$E$10)*$S1872)</f>
        <v/>
      </c>
      <c r="U1872" s="57" t="str">
        <f aca="false">IF($T1872="","",SUMIFS($T$6:$T$2405,$A$6:$A$2405,"&lt;="&amp;$A1872))</f>
        <v/>
      </c>
      <c r="V1872" s="57" t="str">
        <f aca="false">IF($T1872="","",IF($U1872&lt;=BankCostEnvelope*'5. Scenarios'!$E$7,1,0))</f>
        <v/>
      </c>
      <c r="W1872" s="57" t="str">
        <f aca="false">IF($S1872="","",INDEX(BookRate,1867)*(1+'5. Scenarios'!$E$10)*(INDEX(BookQ1,1867)*(5-MIN(4,1+'5. Scenarios'!$E$8))/4+INDEX(BookQ2,1867)*(5-MIN(4,2+'5. Scenarios'!$E$8))/4+INDEX(BookQ3,1867)*(5-MIN(4,3+'5. Scenarios'!$E$8))/4+INDEX(BookQ4,1867)*(5-MIN(4,4+'5. Scenarios'!$E$8))/4)*'5. Scenarios'!$E$6/(1+ProductivityDefault*('5. Scenarios'!$E$11-1))+INDEX(BookOneOff,1867)*$S1872)</f>
        <v/>
      </c>
    </row>
    <row r="1873" customFormat="false" ht="15" hidden="false" customHeight="false" outlineLevel="0" collapsed="false">
      <c r="A1873" s="0" t="str">
        <f aca="false">IF(INDEX(BookTitle,1868)="","",INDEX(BookKey,1868))</f>
        <v/>
      </c>
      <c r="B1873" s="0" t="str">
        <f aca="false">IF(INDEX(BookTitle,1868)="","",INDEX(BookGroup,1868))</f>
        <v/>
      </c>
      <c r="C1873" s="0" t="str">
        <f aca="false">IF(INDEX(BookTitle,1868)="","",INDEX(BookCategory,1868))</f>
        <v/>
      </c>
      <c r="D1873" s="56" t="str">
        <f aca="false">IF(INDEX(BookTitle,1868)="","",INDEX(BookTotal,1868)*'5. Scenarios'!$B$6/(1+ProductivityDefault*('5. Scenarios'!$B$11-1)))</f>
        <v/>
      </c>
      <c r="E1873" s="57" t="str">
        <f aca="false">IF($D1873="","",INDEX(BookRate,1868)*(1+'5. Scenarios'!$B$10)*$D1873)</f>
        <v/>
      </c>
      <c r="F1873" s="57" t="str">
        <f aca="false">IF($E1873="","",SUMIFS($E$6:$E$2405,$A$6:$A$2405,"&lt;="&amp;$A1873))</f>
        <v/>
      </c>
      <c r="G1873" s="57" t="str">
        <f aca="false">IF($E1873="","",IF($F1873&lt;=BankCostEnvelope*'5. Scenarios'!$B$7,1,0))</f>
        <v/>
      </c>
      <c r="H1873" s="57" t="str">
        <f aca="false">IF($D1873="","",INDEX(BookRate,1868)*(1+'5. Scenarios'!$B$10)*(INDEX(BookQ1,1868)*(5-MIN(4,1+'5. Scenarios'!$B$8))/4+INDEX(BookQ2,1868)*(5-MIN(4,2+'5. Scenarios'!$B$8))/4+INDEX(BookQ3,1868)*(5-MIN(4,3+'5. Scenarios'!$B$8))/4+INDEX(BookQ4,1868)*(5-MIN(4,4+'5. Scenarios'!$B$8))/4)*'5. Scenarios'!$B$6/(1+ProductivityDefault*('5. Scenarios'!$B$11-1))+INDEX(BookOneOff,1868)*$D1873)</f>
        <v/>
      </c>
      <c r="I1873" s="56" t="str">
        <f aca="false">IF(INDEX(BookTitle,1868)="","",INDEX(BookTotal,1868)*'5. Scenarios'!$C$6/(1+ProductivityDefault*('5. Scenarios'!$C$11-1)))</f>
        <v/>
      </c>
      <c r="J1873" s="57" t="str">
        <f aca="false">IF($I1873="","",INDEX(BookRate,1868)*(1+'5. Scenarios'!$C$10)*$I1873)</f>
        <v/>
      </c>
      <c r="K1873" s="57" t="str">
        <f aca="false">IF($J1873="","",SUMIFS($J$6:$J$2405,$A$6:$A$2405,"&lt;="&amp;$A1873))</f>
        <v/>
      </c>
      <c r="L1873" s="57" t="str">
        <f aca="false">IF($J1873="","",IF($K1873&lt;=BankCostEnvelope*'5. Scenarios'!$C$7,1,0))</f>
        <v/>
      </c>
      <c r="M1873" s="57" t="str">
        <f aca="false">IF($I1873="","",INDEX(BookRate,1868)*(1+'5. Scenarios'!$C$10)*(INDEX(BookQ1,1868)*(5-MIN(4,1+'5. Scenarios'!$C$8))/4+INDEX(BookQ2,1868)*(5-MIN(4,2+'5. Scenarios'!$C$8))/4+INDEX(BookQ3,1868)*(5-MIN(4,3+'5. Scenarios'!$C$8))/4+INDEX(BookQ4,1868)*(5-MIN(4,4+'5. Scenarios'!$C$8))/4)*'5. Scenarios'!$C$6/(1+ProductivityDefault*('5. Scenarios'!$C$11-1))+INDEX(BookOneOff,1868)*$I1873)</f>
        <v/>
      </c>
      <c r="N1873" s="56" t="str">
        <f aca="false">IF(INDEX(BookTitle,1868)="","",INDEX(BookTotal,1868)*'5. Scenarios'!$D$6/(1+ProductivityDefault*('5. Scenarios'!$D$11-1)))</f>
        <v/>
      </c>
      <c r="O1873" s="57" t="str">
        <f aca="false">IF($N1873="","",INDEX(BookRate,1868)*(1+'5. Scenarios'!$D$10)*$N1873)</f>
        <v/>
      </c>
      <c r="P1873" s="57" t="str">
        <f aca="false">IF($O1873="","",SUMIFS($O$6:$O$2405,$A$6:$A$2405,"&lt;="&amp;$A1873))</f>
        <v/>
      </c>
      <c r="Q1873" s="57" t="str">
        <f aca="false">IF($O1873="","",IF($P1873&lt;=BankCostEnvelope*'5. Scenarios'!$D$7,1,0))</f>
        <v/>
      </c>
      <c r="R1873" s="57" t="str">
        <f aca="false">IF($N1873="","",INDEX(BookRate,1868)*(1+'5. Scenarios'!$D$10)*(INDEX(BookQ1,1868)*(5-MIN(4,1+'5. Scenarios'!$D$8))/4+INDEX(BookQ2,1868)*(5-MIN(4,2+'5. Scenarios'!$D$8))/4+INDEX(BookQ3,1868)*(5-MIN(4,3+'5. Scenarios'!$D$8))/4+INDEX(BookQ4,1868)*(5-MIN(4,4+'5. Scenarios'!$D$8))/4)*'5. Scenarios'!$D$6/(1+ProductivityDefault*('5. Scenarios'!$D$11-1))+INDEX(BookOneOff,1868)*$N1873)</f>
        <v/>
      </c>
      <c r="S1873" s="56" t="str">
        <f aca="false">IF(INDEX(BookTitle,1868)="","",INDEX(BookTotal,1868)*'5. Scenarios'!$E$6/(1+ProductivityDefault*('5. Scenarios'!$E$11-1)))</f>
        <v/>
      </c>
      <c r="T1873" s="57" t="str">
        <f aca="false">IF($S1873="","",INDEX(BookRate,1868)*(1+'5. Scenarios'!$E$10)*$S1873)</f>
        <v/>
      </c>
      <c r="U1873" s="57" t="str">
        <f aca="false">IF($T1873="","",SUMIFS($T$6:$T$2405,$A$6:$A$2405,"&lt;="&amp;$A1873))</f>
        <v/>
      </c>
      <c r="V1873" s="57" t="str">
        <f aca="false">IF($T1873="","",IF($U1873&lt;=BankCostEnvelope*'5. Scenarios'!$E$7,1,0))</f>
        <v/>
      </c>
      <c r="W1873" s="57" t="str">
        <f aca="false">IF($S1873="","",INDEX(BookRate,1868)*(1+'5. Scenarios'!$E$10)*(INDEX(BookQ1,1868)*(5-MIN(4,1+'5. Scenarios'!$E$8))/4+INDEX(BookQ2,1868)*(5-MIN(4,2+'5. Scenarios'!$E$8))/4+INDEX(BookQ3,1868)*(5-MIN(4,3+'5. Scenarios'!$E$8))/4+INDEX(BookQ4,1868)*(5-MIN(4,4+'5. Scenarios'!$E$8))/4)*'5. Scenarios'!$E$6/(1+ProductivityDefault*('5. Scenarios'!$E$11-1))+INDEX(BookOneOff,1868)*$S1873)</f>
        <v/>
      </c>
    </row>
    <row r="1874" customFormat="false" ht="15" hidden="false" customHeight="false" outlineLevel="0" collapsed="false">
      <c r="A1874" s="0" t="str">
        <f aca="false">IF(INDEX(BookTitle,1869)="","",INDEX(BookKey,1869))</f>
        <v/>
      </c>
      <c r="B1874" s="0" t="str">
        <f aca="false">IF(INDEX(BookTitle,1869)="","",INDEX(BookGroup,1869))</f>
        <v/>
      </c>
      <c r="C1874" s="0" t="str">
        <f aca="false">IF(INDEX(BookTitle,1869)="","",INDEX(BookCategory,1869))</f>
        <v/>
      </c>
      <c r="D1874" s="56" t="str">
        <f aca="false">IF(INDEX(BookTitle,1869)="","",INDEX(BookTotal,1869)*'5. Scenarios'!$B$6/(1+ProductivityDefault*('5. Scenarios'!$B$11-1)))</f>
        <v/>
      </c>
      <c r="E1874" s="57" t="str">
        <f aca="false">IF($D1874="","",INDEX(BookRate,1869)*(1+'5. Scenarios'!$B$10)*$D1874)</f>
        <v/>
      </c>
      <c r="F1874" s="57" t="str">
        <f aca="false">IF($E1874="","",SUMIFS($E$6:$E$2405,$A$6:$A$2405,"&lt;="&amp;$A1874))</f>
        <v/>
      </c>
      <c r="G1874" s="57" t="str">
        <f aca="false">IF($E1874="","",IF($F1874&lt;=BankCostEnvelope*'5. Scenarios'!$B$7,1,0))</f>
        <v/>
      </c>
      <c r="H1874" s="57" t="str">
        <f aca="false">IF($D1874="","",INDEX(BookRate,1869)*(1+'5. Scenarios'!$B$10)*(INDEX(BookQ1,1869)*(5-MIN(4,1+'5. Scenarios'!$B$8))/4+INDEX(BookQ2,1869)*(5-MIN(4,2+'5. Scenarios'!$B$8))/4+INDEX(BookQ3,1869)*(5-MIN(4,3+'5. Scenarios'!$B$8))/4+INDEX(BookQ4,1869)*(5-MIN(4,4+'5. Scenarios'!$B$8))/4)*'5. Scenarios'!$B$6/(1+ProductivityDefault*('5. Scenarios'!$B$11-1))+INDEX(BookOneOff,1869)*$D1874)</f>
        <v/>
      </c>
      <c r="I1874" s="56" t="str">
        <f aca="false">IF(INDEX(BookTitle,1869)="","",INDEX(BookTotal,1869)*'5. Scenarios'!$C$6/(1+ProductivityDefault*('5. Scenarios'!$C$11-1)))</f>
        <v/>
      </c>
      <c r="J1874" s="57" t="str">
        <f aca="false">IF($I1874="","",INDEX(BookRate,1869)*(1+'5. Scenarios'!$C$10)*$I1874)</f>
        <v/>
      </c>
      <c r="K1874" s="57" t="str">
        <f aca="false">IF($J1874="","",SUMIFS($J$6:$J$2405,$A$6:$A$2405,"&lt;="&amp;$A1874))</f>
        <v/>
      </c>
      <c r="L1874" s="57" t="str">
        <f aca="false">IF($J1874="","",IF($K1874&lt;=BankCostEnvelope*'5. Scenarios'!$C$7,1,0))</f>
        <v/>
      </c>
      <c r="M1874" s="57" t="str">
        <f aca="false">IF($I1874="","",INDEX(BookRate,1869)*(1+'5. Scenarios'!$C$10)*(INDEX(BookQ1,1869)*(5-MIN(4,1+'5. Scenarios'!$C$8))/4+INDEX(BookQ2,1869)*(5-MIN(4,2+'5. Scenarios'!$C$8))/4+INDEX(BookQ3,1869)*(5-MIN(4,3+'5. Scenarios'!$C$8))/4+INDEX(BookQ4,1869)*(5-MIN(4,4+'5. Scenarios'!$C$8))/4)*'5. Scenarios'!$C$6/(1+ProductivityDefault*('5. Scenarios'!$C$11-1))+INDEX(BookOneOff,1869)*$I1874)</f>
        <v/>
      </c>
      <c r="N1874" s="56" t="str">
        <f aca="false">IF(INDEX(BookTitle,1869)="","",INDEX(BookTotal,1869)*'5. Scenarios'!$D$6/(1+ProductivityDefault*('5. Scenarios'!$D$11-1)))</f>
        <v/>
      </c>
      <c r="O1874" s="57" t="str">
        <f aca="false">IF($N1874="","",INDEX(BookRate,1869)*(1+'5. Scenarios'!$D$10)*$N1874)</f>
        <v/>
      </c>
      <c r="P1874" s="57" t="str">
        <f aca="false">IF($O1874="","",SUMIFS($O$6:$O$2405,$A$6:$A$2405,"&lt;="&amp;$A1874))</f>
        <v/>
      </c>
      <c r="Q1874" s="57" t="str">
        <f aca="false">IF($O1874="","",IF($P1874&lt;=BankCostEnvelope*'5. Scenarios'!$D$7,1,0))</f>
        <v/>
      </c>
      <c r="R1874" s="57" t="str">
        <f aca="false">IF($N1874="","",INDEX(BookRate,1869)*(1+'5. Scenarios'!$D$10)*(INDEX(BookQ1,1869)*(5-MIN(4,1+'5. Scenarios'!$D$8))/4+INDEX(BookQ2,1869)*(5-MIN(4,2+'5. Scenarios'!$D$8))/4+INDEX(BookQ3,1869)*(5-MIN(4,3+'5. Scenarios'!$D$8))/4+INDEX(BookQ4,1869)*(5-MIN(4,4+'5. Scenarios'!$D$8))/4)*'5. Scenarios'!$D$6/(1+ProductivityDefault*('5. Scenarios'!$D$11-1))+INDEX(BookOneOff,1869)*$N1874)</f>
        <v/>
      </c>
      <c r="S1874" s="56" t="str">
        <f aca="false">IF(INDEX(BookTitle,1869)="","",INDEX(BookTotal,1869)*'5. Scenarios'!$E$6/(1+ProductivityDefault*('5. Scenarios'!$E$11-1)))</f>
        <v/>
      </c>
      <c r="T1874" s="57" t="str">
        <f aca="false">IF($S1874="","",INDEX(BookRate,1869)*(1+'5. Scenarios'!$E$10)*$S1874)</f>
        <v/>
      </c>
      <c r="U1874" s="57" t="str">
        <f aca="false">IF($T1874="","",SUMIFS($T$6:$T$2405,$A$6:$A$2405,"&lt;="&amp;$A1874))</f>
        <v/>
      </c>
      <c r="V1874" s="57" t="str">
        <f aca="false">IF($T1874="","",IF($U1874&lt;=BankCostEnvelope*'5. Scenarios'!$E$7,1,0))</f>
        <v/>
      </c>
      <c r="W1874" s="57" t="str">
        <f aca="false">IF($S1874="","",INDEX(BookRate,1869)*(1+'5. Scenarios'!$E$10)*(INDEX(BookQ1,1869)*(5-MIN(4,1+'5. Scenarios'!$E$8))/4+INDEX(BookQ2,1869)*(5-MIN(4,2+'5. Scenarios'!$E$8))/4+INDEX(BookQ3,1869)*(5-MIN(4,3+'5. Scenarios'!$E$8))/4+INDEX(BookQ4,1869)*(5-MIN(4,4+'5. Scenarios'!$E$8))/4)*'5. Scenarios'!$E$6/(1+ProductivityDefault*('5. Scenarios'!$E$11-1))+INDEX(BookOneOff,1869)*$S1874)</f>
        <v/>
      </c>
    </row>
    <row r="1875" customFormat="false" ht="15" hidden="false" customHeight="false" outlineLevel="0" collapsed="false">
      <c r="A1875" s="0" t="str">
        <f aca="false">IF(INDEX(BookTitle,1870)="","",INDEX(BookKey,1870))</f>
        <v/>
      </c>
      <c r="B1875" s="0" t="str">
        <f aca="false">IF(INDEX(BookTitle,1870)="","",INDEX(BookGroup,1870))</f>
        <v/>
      </c>
      <c r="C1875" s="0" t="str">
        <f aca="false">IF(INDEX(BookTitle,1870)="","",INDEX(BookCategory,1870))</f>
        <v/>
      </c>
      <c r="D1875" s="56" t="str">
        <f aca="false">IF(INDEX(BookTitle,1870)="","",INDEX(BookTotal,1870)*'5. Scenarios'!$B$6/(1+ProductivityDefault*('5. Scenarios'!$B$11-1)))</f>
        <v/>
      </c>
      <c r="E1875" s="57" t="str">
        <f aca="false">IF($D1875="","",INDEX(BookRate,1870)*(1+'5. Scenarios'!$B$10)*$D1875)</f>
        <v/>
      </c>
      <c r="F1875" s="57" t="str">
        <f aca="false">IF($E1875="","",SUMIFS($E$6:$E$2405,$A$6:$A$2405,"&lt;="&amp;$A1875))</f>
        <v/>
      </c>
      <c r="G1875" s="57" t="str">
        <f aca="false">IF($E1875="","",IF($F1875&lt;=BankCostEnvelope*'5. Scenarios'!$B$7,1,0))</f>
        <v/>
      </c>
      <c r="H1875" s="57" t="str">
        <f aca="false">IF($D1875="","",INDEX(BookRate,1870)*(1+'5. Scenarios'!$B$10)*(INDEX(BookQ1,1870)*(5-MIN(4,1+'5. Scenarios'!$B$8))/4+INDEX(BookQ2,1870)*(5-MIN(4,2+'5. Scenarios'!$B$8))/4+INDEX(BookQ3,1870)*(5-MIN(4,3+'5. Scenarios'!$B$8))/4+INDEX(BookQ4,1870)*(5-MIN(4,4+'5. Scenarios'!$B$8))/4)*'5. Scenarios'!$B$6/(1+ProductivityDefault*('5. Scenarios'!$B$11-1))+INDEX(BookOneOff,1870)*$D1875)</f>
        <v/>
      </c>
      <c r="I1875" s="56" t="str">
        <f aca="false">IF(INDEX(BookTitle,1870)="","",INDEX(BookTotal,1870)*'5. Scenarios'!$C$6/(1+ProductivityDefault*('5. Scenarios'!$C$11-1)))</f>
        <v/>
      </c>
      <c r="J1875" s="57" t="str">
        <f aca="false">IF($I1875="","",INDEX(BookRate,1870)*(1+'5. Scenarios'!$C$10)*$I1875)</f>
        <v/>
      </c>
      <c r="K1875" s="57" t="str">
        <f aca="false">IF($J1875="","",SUMIFS($J$6:$J$2405,$A$6:$A$2405,"&lt;="&amp;$A1875))</f>
        <v/>
      </c>
      <c r="L1875" s="57" t="str">
        <f aca="false">IF($J1875="","",IF($K1875&lt;=BankCostEnvelope*'5. Scenarios'!$C$7,1,0))</f>
        <v/>
      </c>
      <c r="M1875" s="57" t="str">
        <f aca="false">IF($I1875="","",INDEX(BookRate,1870)*(1+'5. Scenarios'!$C$10)*(INDEX(BookQ1,1870)*(5-MIN(4,1+'5. Scenarios'!$C$8))/4+INDEX(BookQ2,1870)*(5-MIN(4,2+'5. Scenarios'!$C$8))/4+INDEX(BookQ3,1870)*(5-MIN(4,3+'5. Scenarios'!$C$8))/4+INDEX(BookQ4,1870)*(5-MIN(4,4+'5. Scenarios'!$C$8))/4)*'5. Scenarios'!$C$6/(1+ProductivityDefault*('5. Scenarios'!$C$11-1))+INDEX(BookOneOff,1870)*$I1875)</f>
        <v/>
      </c>
      <c r="N1875" s="56" t="str">
        <f aca="false">IF(INDEX(BookTitle,1870)="","",INDEX(BookTotal,1870)*'5. Scenarios'!$D$6/(1+ProductivityDefault*('5. Scenarios'!$D$11-1)))</f>
        <v/>
      </c>
      <c r="O1875" s="57" t="str">
        <f aca="false">IF($N1875="","",INDEX(BookRate,1870)*(1+'5. Scenarios'!$D$10)*$N1875)</f>
        <v/>
      </c>
      <c r="P1875" s="57" t="str">
        <f aca="false">IF($O1875="","",SUMIFS($O$6:$O$2405,$A$6:$A$2405,"&lt;="&amp;$A1875))</f>
        <v/>
      </c>
      <c r="Q1875" s="57" t="str">
        <f aca="false">IF($O1875="","",IF($P1875&lt;=BankCostEnvelope*'5. Scenarios'!$D$7,1,0))</f>
        <v/>
      </c>
      <c r="R1875" s="57" t="str">
        <f aca="false">IF($N1875="","",INDEX(BookRate,1870)*(1+'5. Scenarios'!$D$10)*(INDEX(BookQ1,1870)*(5-MIN(4,1+'5. Scenarios'!$D$8))/4+INDEX(BookQ2,1870)*(5-MIN(4,2+'5. Scenarios'!$D$8))/4+INDEX(BookQ3,1870)*(5-MIN(4,3+'5. Scenarios'!$D$8))/4+INDEX(BookQ4,1870)*(5-MIN(4,4+'5. Scenarios'!$D$8))/4)*'5. Scenarios'!$D$6/(1+ProductivityDefault*('5. Scenarios'!$D$11-1))+INDEX(BookOneOff,1870)*$N1875)</f>
        <v/>
      </c>
      <c r="S1875" s="56" t="str">
        <f aca="false">IF(INDEX(BookTitle,1870)="","",INDEX(BookTotal,1870)*'5. Scenarios'!$E$6/(1+ProductivityDefault*('5. Scenarios'!$E$11-1)))</f>
        <v/>
      </c>
      <c r="T1875" s="57" t="str">
        <f aca="false">IF($S1875="","",INDEX(BookRate,1870)*(1+'5. Scenarios'!$E$10)*$S1875)</f>
        <v/>
      </c>
      <c r="U1875" s="57" t="str">
        <f aca="false">IF($T1875="","",SUMIFS($T$6:$T$2405,$A$6:$A$2405,"&lt;="&amp;$A1875))</f>
        <v/>
      </c>
      <c r="V1875" s="57" t="str">
        <f aca="false">IF($T1875="","",IF($U1875&lt;=BankCostEnvelope*'5. Scenarios'!$E$7,1,0))</f>
        <v/>
      </c>
      <c r="W1875" s="57" t="str">
        <f aca="false">IF($S1875="","",INDEX(BookRate,1870)*(1+'5. Scenarios'!$E$10)*(INDEX(BookQ1,1870)*(5-MIN(4,1+'5. Scenarios'!$E$8))/4+INDEX(BookQ2,1870)*(5-MIN(4,2+'5. Scenarios'!$E$8))/4+INDEX(BookQ3,1870)*(5-MIN(4,3+'5. Scenarios'!$E$8))/4+INDEX(BookQ4,1870)*(5-MIN(4,4+'5. Scenarios'!$E$8))/4)*'5. Scenarios'!$E$6/(1+ProductivityDefault*('5. Scenarios'!$E$11-1))+INDEX(BookOneOff,1870)*$S1875)</f>
        <v/>
      </c>
    </row>
    <row r="1876" customFormat="false" ht="15" hidden="false" customHeight="false" outlineLevel="0" collapsed="false">
      <c r="A1876" s="0" t="str">
        <f aca="false">IF(INDEX(BookTitle,1871)="","",INDEX(BookKey,1871))</f>
        <v/>
      </c>
      <c r="B1876" s="0" t="str">
        <f aca="false">IF(INDEX(BookTitle,1871)="","",INDEX(BookGroup,1871))</f>
        <v/>
      </c>
      <c r="C1876" s="0" t="str">
        <f aca="false">IF(INDEX(BookTitle,1871)="","",INDEX(BookCategory,1871))</f>
        <v/>
      </c>
      <c r="D1876" s="56" t="str">
        <f aca="false">IF(INDEX(BookTitle,1871)="","",INDEX(BookTotal,1871)*'5. Scenarios'!$B$6/(1+ProductivityDefault*('5. Scenarios'!$B$11-1)))</f>
        <v/>
      </c>
      <c r="E1876" s="57" t="str">
        <f aca="false">IF($D1876="","",INDEX(BookRate,1871)*(1+'5. Scenarios'!$B$10)*$D1876)</f>
        <v/>
      </c>
      <c r="F1876" s="57" t="str">
        <f aca="false">IF($E1876="","",SUMIFS($E$6:$E$2405,$A$6:$A$2405,"&lt;="&amp;$A1876))</f>
        <v/>
      </c>
      <c r="G1876" s="57" t="str">
        <f aca="false">IF($E1876="","",IF($F1876&lt;=BankCostEnvelope*'5. Scenarios'!$B$7,1,0))</f>
        <v/>
      </c>
      <c r="H1876" s="57" t="str">
        <f aca="false">IF($D1876="","",INDEX(BookRate,1871)*(1+'5. Scenarios'!$B$10)*(INDEX(BookQ1,1871)*(5-MIN(4,1+'5. Scenarios'!$B$8))/4+INDEX(BookQ2,1871)*(5-MIN(4,2+'5. Scenarios'!$B$8))/4+INDEX(BookQ3,1871)*(5-MIN(4,3+'5. Scenarios'!$B$8))/4+INDEX(BookQ4,1871)*(5-MIN(4,4+'5. Scenarios'!$B$8))/4)*'5. Scenarios'!$B$6/(1+ProductivityDefault*('5. Scenarios'!$B$11-1))+INDEX(BookOneOff,1871)*$D1876)</f>
        <v/>
      </c>
      <c r="I1876" s="56" t="str">
        <f aca="false">IF(INDEX(BookTitle,1871)="","",INDEX(BookTotal,1871)*'5. Scenarios'!$C$6/(1+ProductivityDefault*('5. Scenarios'!$C$11-1)))</f>
        <v/>
      </c>
      <c r="J1876" s="57" t="str">
        <f aca="false">IF($I1876="","",INDEX(BookRate,1871)*(1+'5. Scenarios'!$C$10)*$I1876)</f>
        <v/>
      </c>
      <c r="K1876" s="57" t="str">
        <f aca="false">IF($J1876="","",SUMIFS($J$6:$J$2405,$A$6:$A$2405,"&lt;="&amp;$A1876))</f>
        <v/>
      </c>
      <c r="L1876" s="57" t="str">
        <f aca="false">IF($J1876="","",IF($K1876&lt;=BankCostEnvelope*'5. Scenarios'!$C$7,1,0))</f>
        <v/>
      </c>
      <c r="M1876" s="57" t="str">
        <f aca="false">IF($I1876="","",INDEX(BookRate,1871)*(1+'5. Scenarios'!$C$10)*(INDEX(BookQ1,1871)*(5-MIN(4,1+'5. Scenarios'!$C$8))/4+INDEX(BookQ2,1871)*(5-MIN(4,2+'5. Scenarios'!$C$8))/4+INDEX(BookQ3,1871)*(5-MIN(4,3+'5. Scenarios'!$C$8))/4+INDEX(BookQ4,1871)*(5-MIN(4,4+'5. Scenarios'!$C$8))/4)*'5. Scenarios'!$C$6/(1+ProductivityDefault*('5. Scenarios'!$C$11-1))+INDEX(BookOneOff,1871)*$I1876)</f>
        <v/>
      </c>
      <c r="N1876" s="56" t="str">
        <f aca="false">IF(INDEX(BookTitle,1871)="","",INDEX(BookTotal,1871)*'5. Scenarios'!$D$6/(1+ProductivityDefault*('5. Scenarios'!$D$11-1)))</f>
        <v/>
      </c>
      <c r="O1876" s="57" t="str">
        <f aca="false">IF($N1876="","",INDEX(BookRate,1871)*(1+'5. Scenarios'!$D$10)*$N1876)</f>
        <v/>
      </c>
      <c r="P1876" s="57" t="str">
        <f aca="false">IF($O1876="","",SUMIFS($O$6:$O$2405,$A$6:$A$2405,"&lt;="&amp;$A1876))</f>
        <v/>
      </c>
      <c r="Q1876" s="57" t="str">
        <f aca="false">IF($O1876="","",IF($P1876&lt;=BankCostEnvelope*'5. Scenarios'!$D$7,1,0))</f>
        <v/>
      </c>
      <c r="R1876" s="57" t="str">
        <f aca="false">IF($N1876="","",INDEX(BookRate,1871)*(1+'5. Scenarios'!$D$10)*(INDEX(BookQ1,1871)*(5-MIN(4,1+'5. Scenarios'!$D$8))/4+INDEX(BookQ2,1871)*(5-MIN(4,2+'5. Scenarios'!$D$8))/4+INDEX(BookQ3,1871)*(5-MIN(4,3+'5. Scenarios'!$D$8))/4+INDEX(BookQ4,1871)*(5-MIN(4,4+'5. Scenarios'!$D$8))/4)*'5. Scenarios'!$D$6/(1+ProductivityDefault*('5. Scenarios'!$D$11-1))+INDEX(BookOneOff,1871)*$N1876)</f>
        <v/>
      </c>
      <c r="S1876" s="56" t="str">
        <f aca="false">IF(INDEX(BookTitle,1871)="","",INDEX(BookTotal,1871)*'5. Scenarios'!$E$6/(1+ProductivityDefault*('5. Scenarios'!$E$11-1)))</f>
        <v/>
      </c>
      <c r="T1876" s="57" t="str">
        <f aca="false">IF($S1876="","",INDEX(BookRate,1871)*(1+'5. Scenarios'!$E$10)*$S1876)</f>
        <v/>
      </c>
      <c r="U1876" s="57" t="str">
        <f aca="false">IF($T1876="","",SUMIFS($T$6:$T$2405,$A$6:$A$2405,"&lt;="&amp;$A1876))</f>
        <v/>
      </c>
      <c r="V1876" s="57" t="str">
        <f aca="false">IF($T1876="","",IF($U1876&lt;=BankCostEnvelope*'5. Scenarios'!$E$7,1,0))</f>
        <v/>
      </c>
      <c r="W1876" s="57" t="str">
        <f aca="false">IF($S1876="","",INDEX(BookRate,1871)*(1+'5. Scenarios'!$E$10)*(INDEX(BookQ1,1871)*(5-MIN(4,1+'5. Scenarios'!$E$8))/4+INDEX(BookQ2,1871)*(5-MIN(4,2+'5. Scenarios'!$E$8))/4+INDEX(BookQ3,1871)*(5-MIN(4,3+'5. Scenarios'!$E$8))/4+INDEX(BookQ4,1871)*(5-MIN(4,4+'5. Scenarios'!$E$8))/4)*'5. Scenarios'!$E$6/(1+ProductivityDefault*('5. Scenarios'!$E$11-1))+INDEX(BookOneOff,1871)*$S1876)</f>
        <v/>
      </c>
    </row>
    <row r="1877" customFormat="false" ht="15" hidden="false" customHeight="false" outlineLevel="0" collapsed="false">
      <c r="A1877" s="0" t="str">
        <f aca="false">IF(INDEX(BookTitle,1872)="","",INDEX(BookKey,1872))</f>
        <v/>
      </c>
      <c r="B1877" s="0" t="str">
        <f aca="false">IF(INDEX(BookTitle,1872)="","",INDEX(BookGroup,1872))</f>
        <v/>
      </c>
      <c r="C1877" s="0" t="str">
        <f aca="false">IF(INDEX(BookTitle,1872)="","",INDEX(BookCategory,1872))</f>
        <v/>
      </c>
      <c r="D1877" s="56" t="str">
        <f aca="false">IF(INDEX(BookTitle,1872)="","",INDEX(BookTotal,1872)*'5. Scenarios'!$B$6/(1+ProductivityDefault*('5. Scenarios'!$B$11-1)))</f>
        <v/>
      </c>
      <c r="E1877" s="57" t="str">
        <f aca="false">IF($D1877="","",INDEX(BookRate,1872)*(1+'5. Scenarios'!$B$10)*$D1877)</f>
        <v/>
      </c>
      <c r="F1877" s="57" t="str">
        <f aca="false">IF($E1877="","",SUMIFS($E$6:$E$2405,$A$6:$A$2405,"&lt;="&amp;$A1877))</f>
        <v/>
      </c>
      <c r="G1877" s="57" t="str">
        <f aca="false">IF($E1877="","",IF($F1877&lt;=BankCostEnvelope*'5. Scenarios'!$B$7,1,0))</f>
        <v/>
      </c>
      <c r="H1877" s="57" t="str">
        <f aca="false">IF($D1877="","",INDEX(BookRate,1872)*(1+'5. Scenarios'!$B$10)*(INDEX(BookQ1,1872)*(5-MIN(4,1+'5. Scenarios'!$B$8))/4+INDEX(BookQ2,1872)*(5-MIN(4,2+'5. Scenarios'!$B$8))/4+INDEX(BookQ3,1872)*(5-MIN(4,3+'5. Scenarios'!$B$8))/4+INDEX(BookQ4,1872)*(5-MIN(4,4+'5. Scenarios'!$B$8))/4)*'5. Scenarios'!$B$6/(1+ProductivityDefault*('5. Scenarios'!$B$11-1))+INDEX(BookOneOff,1872)*$D1877)</f>
        <v/>
      </c>
      <c r="I1877" s="56" t="str">
        <f aca="false">IF(INDEX(BookTitle,1872)="","",INDEX(BookTotal,1872)*'5. Scenarios'!$C$6/(1+ProductivityDefault*('5. Scenarios'!$C$11-1)))</f>
        <v/>
      </c>
      <c r="J1877" s="57" t="str">
        <f aca="false">IF($I1877="","",INDEX(BookRate,1872)*(1+'5. Scenarios'!$C$10)*$I1877)</f>
        <v/>
      </c>
      <c r="K1877" s="57" t="str">
        <f aca="false">IF($J1877="","",SUMIFS($J$6:$J$2405,$A$6:$A$2405,"&lt;="&amp;$A1877))</f>
        <v/>
      </c>
      <c r="L1877" s="57" t="str">
        <f aca="false">IF($J1877="","",IF($K1877&lt;=BankCostEnvelope*'5. Scenarios'!$C$7,1,0))</f>
        <v/>
      </c>
      <c r="M1877" s="57" t="str">
        <f aca="false">IF($I1877="","",INDEX(BookRate,1872)*(1+'5. Scenarios'!$C$10)*(INDEX(BookQ1,1872)*(5-MIN(4,1+'5. Scenarios'!$C$8))/4+INDEX(BookQ2,1872)*(5-MIN(4,2+'5. Scenarios'!$C$8))/4+INDEX(BookQ3,1872)*(5-MIN(4,3+'5. Scenarios'!$C$8))/4+INDEX(BookQ4,1872)*(5-MIN(4,4+'5. Scenarios'!$C$8))/4)*'5. Scenarios'!$C$6/(1+ProductivityDefault*('5. Scenarios'!$C$11-1))+INDEX(BookOneOff,1872)*$I1877)</f>
        <v/>
      </c>
      <c r="N1877" s="56" t="str">
        <f aca="false">IF(INDEX(BookTitle,1872)="","",INDEX(BookTotal,1872)*'5. Scenarios'!$D$6/(1+ProductivityDefault*('5. Scenarios'!$D$11-1)))</f>
        <v/>
      </c>
      <c r="O1877" s="57" t="str">
        <f aca="false">IF($N1877="","",INDEX(BookRate,1872)*(1+'5. Scenarios'!$D$10)*$N1877)</f>
        <v/>
      </c>
      <c r="P1877" s="57" t="str">
        <f aca="false">IF($O1877="","",SUMIFS($O$6:$O$2405,$A$6:$A$2405,"&lt;="&amp;$A1877))</f>
        <v/>
      </c>
      <c r="Q1877" s="57" t="str">
        <f aca="false">IF($O1877="","",IF($P1877&lt;=BankCostEnvelope*'5. Scenarios'!$D$7,1,0))</f>
        <v/>
      </c>
      <c r="R1877" s="57" t="str">
        <f aca="false">IF($N1877="","",INDEX(BookRate,1872)*(1+'5. Scenarios'!$D$10)*(INDEX(BookQ1,1872)*(5-MIN(4,1+'5. Scenarios'!$D$8))/4+INDEX(BookQ2,1872)*(5-MIN(4,2+'5. Scenarios'!$D$8))/4+INDEX(BookQ3,1872)*(5-MIN(4,3+'5. Scenarios'!$D$8))/4+INDEX(BookQ4,1872)*(5-MIN(4,4+'5. Scenarios'!$D$8))/4)*'5. Scenarios'!$D$6/(1+ProductivityDefault*('5. Scenarios'!$D$11-1))+INDEX(BookOneOff,1872)*$N1877)</f>
        <v/>
      </c>
      <c r="S1877" s="56" t="str">
        <f aca="false">IF(INDEX(BookTitle,1872)="","",INDEX(BookTotal,1872)*'5. Scenarios'!$E$6/(1+ProductivityDefault*('5. Scenarios'!$E$11-1)))</f>
        <v/>
      </c>
      <c r="T1877" s="57" t="str">
        <f aca="false">IF($S1877="","",INDEX(BookRate,1872)*(1+'5. Scenarios'!$E$10)*$S1877)</f>
        <v/>
      </c>
      <c r="U1877" s="57" t="str">
        <f aca="false">IF($T1877="","",SUMIFS($T$6:$T$2405,$A$6:$A$2405,"&lt;="&amp;$A1877))</f>
        <v/>
      </c>
      <c r="V1877" s="57" t="str">
        <f aca="false">IF($T1877="","",IF($U1877&lt;=BankCostEnvelope*'5. Scenarios'!$E$7,1,0))</f>
        <v/>
      </c>
      <c r="W1877" s="57" t="str">
        <f aca="false">IF($S1877="","",INDEX(BookRate,1872)*(1+'5. Scenarios'!$E$10)*(INDEX(BookQ1,1872)*(5-MIN(4,1+'5. Scenarios'!$E$8))/4+INDEX(BookQ2,1872)*(5-MIN(4,2+'5. Scenarios'!$E$8))/4+INDEX(BookQ3,1872)*(5-MIN(4,3+'5. Scenarios'!$E$8))/4+INDEX(BookQ4,1872)*(5-MIN(4,4+'5. Scenarios'!$E$8))/4)*'5. Scenarios'!$E$6/(1+ProductivityDefault*('5. Scenarios'!$E$11-1))+INDEX(BookOneOff,1872)*$S1877)</f>
        <v/>
      </c>
    </row>
    <row r="1878" customFormat="false" ht="15" hidden="false" customHeight="false" outlineLevel="0" collapsed="false">
      <c r="A1878" s="0" t="str">
        <f aca="false">IF(INDEX(BookTitle,1873)="","",INDEX(BookKey,1873))</f>
        <v/>
      </c>
      <c r="B1878" s="0" t="str">
        <f aca="false">IF(INDEX(BookTitle,1873)="","",INDEX(BookGroup,1873))</f>
        <v/>
      </c>
      <c r="C1878" s="0" t="str">
        <f aca="false">IF(INDEX(BookTitle,1873)="","",INDEX(BookCategory,1873))</f>
        <v/>
      </c>
      <c r="D1878" s="56" t="str">
        <f aca="false">IF(INDEX(BookTitle,1873)="","",INDEX(BookTotal,1873)*'5. Scenarios'!$B$6/(1+ProductivityDefault*('5. Scenarios'!$B$11-1)))</f>
        <v/>
      </c>
      <c r="E1878" s="57" t="str">
        <f aca="false">IF($D1878="","",INDEX(BookRate,1873)*(1+'5. Scenarios'!$B$10)*$D1878)</f>
        <v/>
      </c>
      <c r="F1878" s="57" t="str">
        <f aca="false">IF($E1878="","",SUMIFS($E$6:$E$2405,$A$6:$A$2405,"&lt;="&amp;$A1878))</f>
        <v/>
      </c>
      <c r="G1878" s="57" t="str">
        <f aca="false">IF($E1878="","",IF($F1878&lt;=BankCostEnvelope*'5. Scenarios'!$B$7,1,0))</f>
        <v/>
      </c>
      <c r="H1878" s="57" t="str">
        <f aca="false">IF($D1878="","",INDEX(BookRate,1873)*(1+'5. Scenarios'!$B$10)*(INDEX(BookQ1,1873)*(5-MIN(4,1+'5. Scenarios'!$B$8))/4+INDEX(BookQ2,1873)*(5-MIN(4,2+'5. Scenarios'!$B$8))/4+INDEX(BookQ3,1873)*(5-MIN(4,3+'5. Scenarios'!$B$8))/4+INDEX(BookQ4,1873)*(5-MIN(4,4+'5. Scenarios'!$B$8))/4)*'5. Scenarios'!$B$6/(1+ProductivityDefault*('5. Scenarios'!$B$11-1))+INDEX(BookOneOff,1873)*$D1878)</f>
        <v/>
      </c>
      <c r="I1878" s="56" t="str">
        <f aca="false">IF(INDEX(BookTitle,1873)="","",INDEX(BookTotal,1873)*'5. Scenarios'!$C$6/(1+ProductivityDefault*('5. Scenarios'!$C$11-1)))</f>
        <v/>
      </c>
      <c r="J1878" s="57" t="str">
        <f aca="false">IF($I1878="","",INDEX(BookRate,1873)*(1+'5. Scenarios'!$C$10)*$I1878)</f>
        <v/>
      </c>
      <c r="K1878" s="57" t="str">
        <f aca="false">IF($J1878="","",SUMIFS($J$6:$J$2405,$A$6:$A$2405,"&lt;="&amp;$A1878))</f>
        <v/>
      </c>
      <c r="L1878" s="57" t="str">
        <f aca="false">IF($J1878="","",IF($K1878&lt;=BankCostEnvelope*'5. Scenarios'!$C$7,1,0))</f>
        <v/>
      </c>
      <c r="M1878" s="57" t="str">
        <f aca="false">IF($I1878="","",INDEX(BookRate,1873)*(1+'5. Scenarios'!$C$10)*(INDEX(BookQ1,1873)*(5-MIN(4,1+'5. Scenarios'!$C$8))/4+INDEX(BookQ2,1873)*(5-MIN(4,2+'5. Scenarios'!$C$8))/4+INDEX(BookQ3,1873)*(5-MIN(4,3+'5. Scenarios'!$C$8))/4+INDEX(BookQ4,1873)*(5-MIN(4,4+'5. Scenarios'!$C$8))/4)*'5. Scenarios'!$C$6/(1+ProductivityDefault*('5. Scenarios'!$C$11-1))+INDEX(BookOneOff,1873)*$I1878)</f>
        <v/>
      </c>
      <c r="N1878" s="56" t="str">
        <f aca="false">IF(INDEX(BookTitle,1873)="","",INDEX(BookTotal,1873)*'5. Scenarios'!$D$6/(1+ProductivityDefault*('5. Scenarios'!$D$11-1)))</f>
        <v/>
      </c>
      <c r="O1878" s="57" t="str">
        <f aca="false">IF($N1878="","",INDEX(BookRate,1873)*(1+'5. Scenarios'!$D$10)*$N1878)</f>
        <v/>
      </c>
      <c r="P1878" s="57" t="str">
        <f aca="false">IF($O1878="","",SUMIFS($O$6:$O$2405,$A$6:$A$2405,"&lt;="&amp;$A1878))</f>
        <v/>
      </c>
      <c r="Q1878" s="57" t="str">
        <f aca="false">IF($O1878="","",IF($P1878&lt;=BankCostEnvelope*'5. Scenarios'!$D$7,1,0))</f>
        <v/>
      </c>
      <c r="R1878" s="57" t="str">
        <f aca="false">IF($N1878="","",INDEX(BookRate,1873)*(1+'5. Scenarios'!$D$10)*(INDEX(BookQ1,1873)*(5-MIN(4,1+'5. Scenarios'!$D$8))/4+INDEX(BookQ2,1873)*(5-MIN(4,2+'5. Scenarios'!$D$8))/4+INDEX(BookQ3,1873)*(5-MIN(4,3+'5. Scenarios'!$D$8))/4+INDEX(BookQ4,1873)*(5-MIN(4,4+'5. Scenarios'!$D$8))/4)*'5. Scenarios'!$D$6/(1+ProductivityDefault*('5. Scenarios'!$D$11-1))+INDEX(BookOneOff,1873)*$N1878)</f>
        <v/>
      </c>
      <c r="S1878" s="56" t="str">
        <f aca="false">IF(INDEX(BookTitle,1873)="","",INDEX(BookTotal,1873)*'5. Scenarios'!$E$6/(1+ProductivityDefault*('5. Scenarios'!$E$11-1)))</f>
        <v/>
      </c>
      <c r="T1878" s="57" t="str">
        <f aca="false">IF($S1878="","",INDEX(BookRate,1873)*(1+'5. Scenarios'!$E$10)*$S1878)</f>
        <v/>
      </c>
      <c r="U1878" s="57" t="str">
        <f aca="false">IF($T1878="","",SUMIFS($T$6:$T$2405,$A$6:$A$2405,"&lt;="&amp;$A1878))</f>
        <v/>
      </c>
      <c r="V1878" s="57" t="str">
        <f aca="false">IF($T1878="","",IF($U1878&lt;=BankCostEnvelope*'5. Scenarios'!$E$7,1,0))</f>
        <v/>
      </c>
      <c r="W1878" s="57" t="str">
        <f aca="false">IF($S1878="","",INDEX(BookRate,1873)*(1+'5. Scenarios'!$E$10)*(INDEX(BookQ1,1873)*(5-MIN(4,1+'5. Scenarios'!$E$8))/4+INDEX(BookQ2,1873)*(5-MIN(4,2+'5. Scenarios'!$E$8))/4+INDEX(BookQ3,1873)*(5-MIN(4,3+'5. Scenarios'!$E$8))/4+INDEX(BookQ4,1873)*(5-MIN(4,4+'5. Scenarios'!$E$8))/4)*'5. Scenarios'!$E$6/(1+ProductivityDefault*('5. Scenarios'!$E$11-1))+INDEX(BookOneOff,1873)*$S1878)</f>
        <v/>
      </c>
    </row>
    <row r="1879" customFormat="false" ht="15" hidden="false" customHeight="false" outlineLevel="0" collapsed="false">
      <c r="A1879" s="0" t="str">
        <f aca="false">IF(INDEX(BookTitle,1874)="","",INDEX(BookKey,1874))</f>
        <v/>
      </c>
      <c r="B1879" s="0" t="str">
        <f aca="false">IF(INDEX(BookTitle,1874)="","",INDEX(BookGroup,1874))</f>
        <v/>
      </c>
      <c r="C1879" s="0" t="str">
        <f aca="false">IF(INDEX(BookTitle,1874)="","",INDEX(BookCategory,1874))</f>
        <v/>
      </c>
      <c r="D1879" s="56" t="str">
        <f aca="false">IF(INDEX(BookTitle,1874)="","",INDEX(BookTotal,1874)*'5. Scenarios'!$B$6/(1+ProductivityDefault*('5. Scenarios'!$B$11-1)))</f>
        <v/>
      </c>
      <c r="E1879" s="57" t="str">
        <f aca="false">IF($D1879="","",INDEX(BookRate,1874)*(1+'5. Scenarios'!$B$10)*$D1879)</f>
        <v/>
      </c>
      <c r="F1879" s="57" t="str">
        <f aca="false">IF($E1879="","",SUMIFS($E$6:$E$2405,$A$6:$A$2405,"&lt;="&amp;$A1879))</f>
        <v/>
      </c>
      <c r="G1879" s="57" t="str">
        <f aca="false">IF($E1879="","",IF($F1879&lt;=BankCostEnvelope*'5. Scenarios'!$B$7,1,0))</f>
        <v/>
      </c>
      <c r="H1879" s="57" t="str">
        <f aca="false">IF($D1879="","",INDEX(BookRate,1874)*(1+'5. Scenarios'!$B$10)*(INDEX(BookQ1,1874)*(5-MIN(4,1+'5. Scenarios'!$B$8))/4+INDEX(BookQ2,1874)*(5-MIN(4,2+'5. Scenarios'!$B$8))/4+INDEX(BookQ3,1874)*(5-MIN(4,3+'5. Scenarios'!$B$8))/4+INDEX(BookQ4,1874)*(5-MIN(4,4+'5. Scenarios'!$B$8))/4)*'5. Scenarios'!$B$6/(1+ProductivityDefault*('5. Scenarios'!$B$11-1))+INDEX(BookOneOff,1874)*$D1879)</f>
        <v/>
      </c>
      <c r="I1879" s="56" t="str">
        <f aca="false">IF(INDEX(BookTitle,1874)="","",INDEX(BookTotal,1874)*'5. Scenarios'!$C$6/(1+ProductivityDefault*('5. Scenarios'!$C$11-1)))</f>
        <v/>
      </c>
      <c r="J1879" s="57" t="str">
        <f aca="false">IF($I1879="","",INDEX(BookRate,1874)*(1+'5. Scenarios'!$C$10)*$I1879)</f>
        <v/>
      </c>
      <c r="K1879" s="57" t="str">
        <f aca="false">IF($J1879="","",SUMIFS($J$6:$J$2405,$A$6:$A$2405,"&lt;="&amp;$A1879))</f>
        <v/>
      </c>
      <c r="L1879" s="57" t="str">
        <f aca="false">IF($J1879="","",IF($K1879&lt;=BankCostEnvelope*'5. Scenarios'!$C$7,1,0))</f>
        <v/>
      </c>
      <c r="M1879" s="57" t="str">
        <f aca="false">IF($I1879="","",INDEX(BookRate,1874)*(1+'5. Scenarios'!$C$10)*(INDEX(BookQ1,1874)*(5-MIN(4,1+'5. Scenarios'!$C$8))/4+INDEX(BookQ2,1874)*(5-MIN(4,2+'5. Scenarios'!$C$8))/4+INDEX(BookQ3,1874)*(5-MIN(4,3+'5. Scenarios'!$C$8))/4+INDEX(BookQ4,1874)*(5-MIN(4,4+'5. Scenarios'!$C$8))/4)*'5. Scenarios'!$C$6/(1+ProductivityDefault*('5. Scenarios'!$C$11-1))+INDEX(BookOneOff,1874)*$I1879)</f>
        <v/>
      </c>
      <c r="N1879" s="56" t="str">
        <f aca="false">IF(INDEX(BookTitle,1874)="","",INDEX(BookTotal,1874)*'5. Scenarios'!$D$6/(1+ProductivityDefault*('5. Scenarios'!$D$11-1)))</f>
        <v/>
      </c>
      <c r="O1879" s="57" t="str">
        <f aca="false">IF($N1879="","",INDEX(BookRate,1874)*(1+'5. Scenarios'!$D$10)*$N1879)</f>
        <v/>
      </c>
      <c r="P1879" s="57" t="str">
        <f aca="false">IF($O1879="","",SUMIFS($O$6:$O$2405,$A$6:$A$2405,"&lt;="&amp;$A1879))</f>
        <v/>
      </c>
      <c r="Q1879" s="57" t="str">
        <f aca="false">IF($O1879="","",IF($P1879&lt;=BankCostEnvelope*'5. Scenarios'!$D$7,1,0))</f>
        <v/>
      </c>
      <c r="R1879" s="57" t="str">
        <f aca="false">IF($N1879="","",INDEX(BookRate,1874)*(1+'5. Scenarios'!$D$10)*(INDEX(BookQ1,1874)*(5-MIN(4,1+'5. Scenarios'!$D$8))/4+INDEX(BookQ2,1874)*(5-MIN(4,2+'5. Scenarios'!$D$8))/4+INDEX(BookQ3,1874)*(5-MIN(4,3+'5. Scenarios'!$D$8))/4+INDEX(BookQ4,1874)*(5-MIN(4,4+'5. Scenarios'!$D$8))/4)*'5. Scenarios'!$D$6/(1+ProductivityDefault*('5. Scenarios'!$D$11-1))+INDEX(BookOneOff,1874)*$N1879)</f>
        <v/>
      </c>
      <c r="S1879" s="56" t="str">
        <f aca="false">IF(INDEX(BookTitle,1874)="","",INDEX(BookTotal,1874)*'5. Scenarios'!$E$6/(1+ProductivityDefault*('5. Scenarios'!$E$11-1)))</f>
        <v/>
      </c>
      <c r="T1879" s="57" t="str">
        <f aca="false">IF($S1879="","",INDEX(BookRate,1874)*(1+'5. Scenarios'!$E$10)*$S1879)</f>
        <v/>
      </c>
      <c r="U1879" s="57" t="str">
        <f aca="false">IF($T1879="","",SUMIFS($T$6:$T$2405,$A$6:$A$2405,"&lt;="&amp;$A1879))</f>
        <v/>
      </c>
      <c r="V1879" s="57" t="str">
        <f aca="false">IF($T1879="","",IF($U1879&lt;=BankCostEnvelope*'5. Scenarios'!$E$7,1,0))</f>
        <v/>
      </c>
      <c r="W1879" s="57" t="str">
        <f aca="false">IF($S1879="","",INDEX(BookRate,1874)*(1+'5. Scenarios'!$E$10)*(INDEX(BookQ1,1874)*(5-MIN(4,1+'5. Scenarios'!$E$8))/4+INDEX(BookQ2,1874)*(5-MIN(4,2+'5. Scenarios'!$E$8))/4+INDEX(BookQ3,1874)*(5-MIN(4,3+'5. Scenarios'!$E$8))/4+INDEX(BookQ4,1874)*(5-MIN(4,4+'5. Scenarios'!$E$8))/4)*'5. Scenarios'!$E$6/(1+ProductivityDefault*('5. Scenarios'!$E$11-1))+INDEX(BookOneOff,1874)*$S1879)</f>
        <v/>
      </c>
    </row>
    <row r="1880" customFormat="false" ht="15" hidden="false" customHeight="false" outlineLevel="0" collapsed="false">
      <c r="A1880" s="0" t="str">
        <f aca="false">IF(INDEX(BookTitle,1875)="","",INDEX(BookKey,1875))</f>
        <v/>
      </c>
      <c r="B1880" s="0" t="str">
        <f aca="false">IF(INDEX(BookTitle,1875)="","",INDEX(BookGroup,1875))</f>
        <v/>
      </c>
      <c r="C1880" s="0" t="str">
        <f aca="false">IF(INDEX(BookTitle,1875)="","",INDEX(BookCategory,1875))</f>
        <v/>
      </c>
      <c r="D1880" s="56" t="str">
        <f aca="false">IF(INDEX(BookTitle,1875)="","",INDEX(BookTotal,1875)*'5. Scenarios'!$B$6/(1+ProductivityDefault*('5. Scenarios'!$B$11-1)))</f>
        <v/>
      </c>
      <c r="E1880" s="57" t="str">
        <f aca="false">IF($D1880="","",INDEX(BookRate,1875)*(1+'5. Scenarios'!$B$10)*$D1880)</f>
        <v/>
      </c>
      <c r="F1880" s="57" t="str">
        <f aca="false">IF($E1880="","",SUMIFS($E$6:$E$2405,$A$6:$A$2405,"&lt;="&amp;$A1880))</f>
        <v/>
      </c>
      <c r="G1880" s="57" t="str">
        <f aca="false">IF($E1880="","",IF($F1880&lt;=BankCostEnvelope*'5. Scenarios'!$B$7,1,0))</f>
        <v/>
      </c>
      <c r="H1880" s="57" t="str">
        <f aca="false">IF($D1880="","",INDEX(BookRate,1875)*(1+'5. Scenarios'!$B$10)*(INDEX(BookQ1,1875)*(5-MIN(4,1+'5. Scenarios'!$B$8))/4+INDEX(BookQ2,1875)*(5-MIN(4,2+'5. Scenarios'!$B$8))/4+INDEX(BookQ3,1875)*(5-MIN(4,3+'5. Scenarios'!$B$8))/4+INDEX(BookQ4,1875)*(5-MIN(4,4+'5. Scenarios'!$B$8))/4)*'5. Scenarios'!$B$6/(1+ProductivityDefault*('5. Scenarios'!$B$11-1))+INDEX(BookOneOff,1875)*$D1880)</f>
        <v/>
      </c>
      <c r="I1880" s="56" t="str">
        <f aca="false">IF(INDEX(BookTitle,1875)="","",INDEX(BookTotal,1875)*'5. Scenarios'!$C$6/(1+ProductivityDefault*('5. Scenarios'!$C$11-1)))</f>
        <v/>
      </c>
      <c r="J1880" s="57" t="str">
        <f aca="false">IF($I1880="","",INDEX(BookRate,1875)*(1+'5. Scenarios'!$C$10)*$I1880)</f>
        <v/>
      </c>
      <c r="K1880" s="57" t="str">
        <f aca="false">IF($J1880="","",SUMIFS($J$6:$J$2405,$A$6:$A$2405,"&lt;="&amp;$A1880))</f>
        <v/>
      </c>
      <c r="L1880" s="57" t="str">
        <f aca="false">IF($J1880="","",IF($K1880&lt;=BankCostEnvelope*'5. Scenarios'!$C$7,1,0))</f>
        <v/>
      </c>
      <c r="M1880" s="57" t="str">
        <f aca="false">IF($I1880="","",INDEX(BookRate,1875)*(1+'5. Scenarios'!$C$10)*(INDEX(BookQ1,1875)*(5-MIN(4,1+'5. Scenarios'!$C$8))/4+INDEX(BookQ2,1875)*(5-MIN(4,2+'5. Scenarios'!$C$8))/4+INDEX(BookQ3,1875)*(5-MIN(4,3+'5. Scenarios'!$C$8))/4+INDEX(BookQ4,1875)*(5-MIN(4,4+'5. Scenarios'!$C$8))/4)*'5. Scenarios'!$C$6/(1+ProductivityDefault*('5. Scenarios'!$C$11-1))+INDEX(BookOneOff,1875)*$I1880)</f>
        <v/>
      </c>
      <c r="N1880" s="56" t="str">
        <f aca="false">IF(INDEX(BookTitle,1875)="","",INDEX(BookTotal,1875)*'5. Scenarios'!$D$6/(1+ProductivityDefault*('5. Scenarios'!$D$11-1)))</f>
        <v/>
      </c>
      <c r="O1880" s="57" t="str">
        <f aca="false">IF($N1880="","",INDEX(BookRate,1875)*(1+'5. Scenarios'!$D$10)*$N1880)</f>
        <v/>
      </c>
      <c r="P1880" s="57" t="str">
        <f aca="false">IF($O1880="","",SUMIFS($O$6:$O$2405,$A$6:$A$2405,"&lt;="&amp;$A1880))</f>
        <v/>
      </c>
      <c r="Q1880" s="57" t="str">
        <f aca="false">IF($O1880="","",IF($P1880&lt;=BankCostEnvelope*'5. Scenarios'!$D$7,1,0))</f>
        <v/>
      </c>
      <c r="R1880" s="57" t="str">
        <f aca="false">IF($N1880="","",INDEX(BookRate,1875)*(1+'5. Scenarios'!$D$10)*(INDEX(BookQ1,1875)*(5-MIN(4,1+'5. Scenarios'!$D$8))/4+INDEX(BookQ2,1875)*(5-MIN(4,2+'5. Scenarios'!$D$8))/4+INDEX(BookQ3,1875)*(5-MIN(4,3+'5. Scenarios'!$D$8))/4+INDEX(BookQ4,1875)*(5-MIN(4,4+'5. Scenarios'!$D$8))/4)*'5. Scenarios'!$D$6/(1+ProductivityDefault*('5. Scenarios'!$D$11-1))+INDEX(BookOneOff,1875)*$N1880)</f>
        <v/>
      </c>
      <c r="S1880" s="56" t="str">
        <f aca="false">IF(INDEX(BookTitle,1875)="","",INDEX(BookTotal,1875)*'5. Scenarios'!$E$6/(1+ProductivityDefault*('5. Scenarios'!$E$11-1)))</f>
        <v/>
      </c>
      <c r="T1880" s="57" t="str">
        <f aca="false">IF($S1880="","",INDEX(BookRate,1875)*(1+'5. Scenarios'!$E$10)*$S1880)</f>
        <v/>
      </c>
      <c r="U1880" s="57" t="str">
        <f aca="false">IF($T1880="","",SUMIFS($T$6:$T$2405,$A$6:$A$2405,"&lt;="&amp;$A1880))</f>
        <v/>
      </c>
      <c r="V1880" s="57" t="str">
        <f aca="false">IF($T1880="","",IF($U1880&lt;=BankCostEnvelope*'5. Scenarios'!$E$7,1,0))</f>
        <v/>
      </c>
      <c r="W1880" s="57" t="str">
        <f aca="false">IF($S1880="","",INDEX(BookRate,1875)*(1+'5. Scenarios'!$E$10)*(INDEX(BookQ1,1875)*(5-MIN(4,1+'5. Scenarios'!$E$8))/4+INDEX(BookQ2,1875)*(5-MIN(4,2+'5. Scenarios'!$E$8))/4+INDEX(BookQ3,1875)*(5-MIN(4,3+'5. Scenarios'!$E$8))/4+INDEX(BookQ4,1875)*(5-MIN(4,4+'5. Scenarios'!$E$8))/4)*'5. Scenarios'!$E$6/(1+ProductivityDefault*('5. Scenarios'!$E$11-1))+INDEX(BookOneOff,1875)*$S1880)</f>
        <v/>
      </c>
    </row>
    <row r="1881" customFormat="false" ht="15" hidden="false" customHeight="false" outlineLevel="0" collapsed="false">
      <c r="A1881" s="0" t="str">
        <f aca="false">IF(INDEX(BookTitle,1876)="","",INDEX(BookKey,1876))</f>
        <v/>
      </c>
      <c r="B1881" s="0" t="str">
        <f aca="false">IF(INDEX(BookTitle,1876)="","",INDEX(BookGroup,1876))</f>
        <v/>
      </c>
      <c r="C1881" s="0" t="str">
        <f aca="false">IF(INDEX(BookTitle,1876)="","",INDEX(BookCategory,1876))</f>
        <v/>
      </c>
      <c r="D1881" s="56" t="str">
        <f aca="false">IF(INDEX(BookTitle,1876)="","",INDEX(BookTotal,1876)*'5. Scenarios'!$B$6/(1+ProductivityDefault*('5. Scenarios'!$B$11-1)))</f>
        <v/>
      </c>
      <c r="E1881" s="57" t="str">
        <f aca="false">IF($D1881="","",INDEX(BookRate,1876)*(1+'5. Scenarios'!$B$10)*$D1881)</f>
        <v/>
      </c>
      <c r="F1881" s="57" t="str">
        <f aca="false">IF($E1881="","",SUMIFS($E$6:$E$2405,$A$6:$A$2405,"&lt;="&amp;$A1881))</f>
        <v/>
      </c>
      <c r="G1881" s="57" t="str">
        <f aca="false">IF($E1881="","",IF($F1881&lt;=BankCostEnvelope*'5. Scenarios'!$B$7,1,0))</f>
        <v/>
      </c>
      <c r="H1881" s="57" t="str">
        <f aca="false">IF($D1881="","",INDEX(BookRate,1876)*(1+'5. Scenarios'!$B$10)*(INDEX(BookQ1,1876)*(5-MIN(4,1+'5. Scenarios'!$B$8))/4+INDEX(BookQ2,1876)*(5-MIN(4,2+'5. Scenarios'!$B$8))/4+INDEX(BookQ3,1876)*(5-MIN(4,3+'5. Scenarios'!$B$8))/4+INDEX(BookQ4,1876)*(5-MIN(4,4+'5. Scenarios'!$B$8))/4)*'5. Scenarios'!$B$6/(1+ProductivityDefault*('5. Scenarios'!$B$11-1))+INDEX(BookOneOff,1876)*$D1881)</f>
        <v/>
      </c>
      <c r="I1881" s="56" t="str">
        <f aca="false">IF(INDEX(BookTitle,1876)="","",INDEX(BookTotal,1876)*'5. Scenarios'!$C$6/(1+ProductivityDefault*('5. Scenarios'!$C$11-1)))</f>
        <v/>
      </c>
      <c r="J1881" s="57" t="str">
        <f aca="false">IF($I1881="","",INDEX(BookRate,1876)*(1+'5. Scenarios'!$C$10)*$I1881)</f>
        <v/>
      </c>
      <c r="K1881" s="57" t="str">
        <f aca="false">IF($J1881="","",SUMIFS($J$6:$J$2405,$A$6:$A$2405,"&lt;="&amp;$A1881))</f>
        <v/>
      </c>
      <c r="L1881" s="57" t="str">
        <f aca="false">IF($J1881="","",IF($K1881&lt;=BankCostEnvelope*'5. Scenarios'!$C$7,1,0))</f>
        <v/>
      </c>
      <c r="M1881" s="57" t="str">
        <f aca="false">IF($I1881="","",INDEX(BookRate,1876)*(1+'5. Scenarios'!$C$10)*(INDEX(BookQ1,1876)*(5-MIN(4,1+'5. Scenarios'!$C$8))/4+INDEX(BookQ2,1876)*(5-MIN(4,2+'5. Scenarios'!$C$8))/4+INDEX(BookQ3,1876)*(5-MIN(4,3+'5. Scenarios'!$C$8))/4+INDEX(BookQ4,1876)*(5-MIN(4,4+'5. Scenarios'!$C$8))/4)*'5. Scenarios'!$C$6/(1+ProductivityDefault*('5. Scenarios'!$C$11-1))+INDEX(BookOneOff,1876)*$I1881)</f>
        <v/>
      </c>
      <c r="N1881" s="56" t="str">
        <f aca="false">IF(INDEX(BookTitle,1876)="","",INDEX(BookTotal,1876)*'5. Scenarios'!$D$6/(1+ProductivityDefault*('5. Scenarios'!$D$11-1)))</f>
        <v/>
      </c>
      <c r="O1881" s="57" t="str">
        <f aca="false">IF($N1881="","",INDEX(BookRate,1876)*(1+'5. Scenarios'!$D$10)*$N1881)</f>
        <v/>
      </c>
      <c r="P1881" s="57" t="str">
        <f aca="false">IF($O1881="","",SUMIFS($O$6:$O$2405,$A$6:$A$2405,"&lt;="&amp;$A1881))</f>
        <v/>
      </c>
      <c r="Q1881" s="57" t="str">
        <f aca="false">IF($O1881="","",IF($P1881&lt;=BankCostEnvelope*'5. Scenarios'!$D$7,1,0))</f>
        <v/>
      </c>
      <c r="R1881" s="57" t="str">
        <f aca="false">IF($N1881="","",INDEX(BookRate,1876)*(1+'5. Scenarios'!$D$10)*(INDEX(BookQ1,1876)*(5-MIN(4,1+'5. Scenarios'!$D$8))/4+INDEX(BookQ2,1876)*(5-MIN(4,2+'5. Scenarios'!$D$8))/4+INDEX(BookQ3,1876)*(5-MIN(4,3+'5. Scenarios'!$D$8))/4+INDEX(BookQ4,1876)*(5-MIN(4,4+'5. Scenarios'!$D$8))/4)*'5. Scenarios'!$D$6/(1+ProductivityDefault*('5. Scenarios'!$D$11-1))+INDEX(BookOneOff,1876)*$N1881)</f>
        <v/>
      </c>
      <c r="S1881" s="56" t="str">
        <f aca="false">IF(INDEX(BookTitle,1876)="","",INDEX(BookTotal,1876)*'5. Scenarios'!$E$6/(1+ProductivityDefault*('5. Scenarios'!$E$11-1)))</f>
        <v/>
      </c>
      <c r="T1881" s="57" t="str">
        <f aca="false">IF($S1881="","",INDEX(BookRate,1876)*(1+'5. Scenarios'!$E$10)*$S1881)</f>
        <v/>
      </c>
      <c r="U1881" s="57" t="str">
        <f aca="false">IF($T1881="","",SUMIFS($T$6:$T$2405,$A$6:$A$2405,"&lt;="&amp;$A1881))</f>
        <v/>
      </c>
      <c r="V1881" s="57" t="str">
        <f aca="false">IF($T1881="","",IF($U1881&lt;=BankCostEnvelope*'5. Scenarios'!$E$7,1,0))</f>
        <v/>
      </c>
      <c r="W1881" s="57" t="str">
        <f aca="false">IF($S1881="","",INDEX(BookRate,1876)*(1+'5. Scenarios'!$E$10)*(INDEX(BookQ1,1876)*(5-MIN(4,1+'5. Scenarios'!$E$8))/4+INDEX(BookQ2,1876)*(5-MIN(4,2+'5. Scenarios'!$E$8))/4+INDEX(BookQ3,1876)*(5-MIN(4,3+'5. Scenarios'!$E$8))/4+INDEX(BookQ4,1876)*(5-MIN(4,4+'5. Scenarios'!$E$8))/4)*'5. Scenarios'!$E$6/(1+ProductivityDefault*('5. Scenarios'!$E$11-1))+INDEX(BookOneOff,1876)*$S1881)</f>
        <v/>
      </c>
    </row>
    <row r="1882" customFormat="false" ht="15" hidden="false" customHeight="false" outlineLevel="0" collapsed="false">
      <c r="A1882" s="0" t="str">
        <f aca="false">IF(INDEX(BookTitle,1877)="","",INDEX(BookKey,1877))</f>
        <v/>
      </c>
      <c r="B1882" s="0" t="str">
        <f aca="false">IF(INDEX(BookTitle,1877)="","",INDEX(BookGroup,1877))</f>
        <v/>
      </c>
      <c r="C1882" s="0" t="str">
        <f aca="false">IF(INDEX(BookTitle,1877)="","",INDEX(BookCategory,1877))</f>
        <v/>
      </c>
      <c r="D1882" s="56" t="str">
        <f aca="false">IF(INDEX(BookTitle,1877)="","",INDEX(BookTotal,1877)*'5. Scenarios'!$B$6/(1+ProductivityDefault*('5. Scenarios'!$B$11-1)))</f>
        <v/>
      </c>
      <c r="E1882" s="57" t="str">
        <f aca="false">IF($D1882="","",INDEX(BookRate,1877)*(1+'5. Scenarios'!$B$10)*$D1882)</f>
        <v/>
      </c>
      <c r="F1882" s="57" t="str">
        <f aca="false">IF($E1882="","",SUMIFS($E$6:$E$2405,$A$6:$A$2405,"&lt;="&amp;$A1882))</f>
        <v/>
      </c>
      <c r="G1882" s="57" t="str">
        <f aca="false">IF($E1882="","",IF($F1882&lt;=BankCostEnvelope*'5. Scenarios'!$B$7,1,0))</f>
        <v/>
      </c>
      <c r="H1882" s="57" t="str">
        <f aca="false">IF($D1882="","",INDEX(BookRate,1877)*(1+'5. Scenarios'!$B$10)*(INDEX(BookQ1,1877)*(5-MIN(4,1+'5. Scenarios'!$B$8))/4+INDEX(BookQ2,1877)*(5-MIN(4,2+'5. Scenarios'!$B$8))/4+INDEX(BookQ3,1877)*(5-MIN(4,3+'5. Scenarios'!$B$8))/4+INDEX(BookQ4,1877)*(5-MIN(4,4+'5. Scenarios'!$B$8))/4)*'5. Scenarios'!$B$6/(1+ProductivityDefault*('5. Scenarios'!$B$11-1))+INDEX(BookOneOff,1877)*$D1882)</f>
        <v/>
      </c>
      <c r="I1882" s="56" t="str">
        <f aca="false">IF(INDEX(BookTitle,1877)="","",INDEX(BookTotal,1877)*'5. Scenarios'!$C$6/(1+ProductivityDefault*('5. Scenarios'!$C$11-1)))</f>
        <v/>
      </c>
      <c r="J1882" s="57" t="str">
        <f aca="false">IF($I1882="","",INDEX(BookRate,1877)*(1+'5. Scenarios'!$C$10)*$I1882)</f>
        <v/>
      </c>
      <c r="K1882" s="57" t="str">
        <f aca="false">IF($J1882="","",SUMIFS($J$6:$J$2405,$A$6:$A$2405,"&lt;="&amp;$A1882))</f>
        <v/>
      </c>
      <c r="L1882" s="57" t="str">
        <f aca="false">IF($J1882="","",IF($K1882&lt;=BankCostEnvelope*'5. Scenarios'!$C$7,1,0))</f>
        <v/>
      </c>
      <c r="M1882" s="57" t="str">
        <f aca="false">IF($I1882="","",INDEX(BookRate,1877)*(1+'5. Scenarios'!$C$10)*(INDEX(BookQ1,1877)*(5-MIN(4,1+'5. Scenarios'!$C$8))/4+INDEX(BookQ2,1877)*(5-MIN(4,2+'5. Scenarios'!$C$8))/4+INDEX(BookQ3,1877)*(5-MIN(4,3+'5. Scenarios'!$C$8))/4+INDEX(BookQ4,1877)*(5-MIN(4,4+'5. Scenarios'!$C$8))/4)*'5. Scenarios'!$C$6/(1+ProductivityDefault*('5. Scenarios'!$C$11-1))+INDEX(BookOneOff,1877)*$I1882)</f>
        <v/>
      </c>
      <c r="N1882" s="56" t="str">
        <f aca="false">IF(INDEX(BookTitle,1877)="","",INDEX(BookTotal,1877)*'5. Scenarios'!$D$6/(1+ProductivityDefault*('5. Scenarios'!$D$11-1)))</f>
        <v/>
      </c>
      <c r="O1882" s="57" t="str">
        <f aca="false">IF($N1882="","",INDEX(BookRate,1877)*(1+'5. Scenarios'!$D$10)*$N1882)</f>
        <v/>
      </c>
      <c r="P1882" s="57" t="str">
        <f aca="false">IF($O1882="","",SUMIFS($O$6:$O$2405,$A$6:$A$2405,"&lt;="&amp;$A1882))</f>
        <v/>
      </c>
      <c r="Q1882" s="57" t="str">
        <f aca="false">IF($O1882="","",IF($P1882&lt;=BankCostEnvelope*'5. Scenarios'!$D$7,1,0))</f>
        <v/>
      </c>
      <c r="R1882" s="57" t="str">
        <f aca="false">IF($N1882="","",INDEX(BookRate,1877)*(1+'5. Scenarios'!$D$10)*(INDEX(BookQ1,1877)*(5-MIN(4,1+'5. Scenarios'!$D$8))/4+INDEX(BookQ2,1877)*(5-MIN(4,2+'5. Scenarios'!$D$8))/4+INDEX(BookQ3,1877)*(5-MIN(4,3+'5. Scenarios'!$D$8))/4+INDEX(BookQ4,1877)*(5-MIN(4,4+'5. Scenarios'!$D$8))/4)*'5. Scenarios'!$D$6/(1+ProductivityDefault*('5. Scenarios'!$D$11-1))+INDEX(BookOneOff,1877)*$N1882)</f>
        <v/>
      </c>
      <c r="S1882" s="56" t="str">
        <f aca="false">IF(INDEX(BookTitle,1877)="","",INDEX(BookTotal,1877)*'5. Scenarios'!$E$6/(1+ProductivityDefault*('5. Scenarios'!$E$11-1)))</f>
        <v/>
      </c>
      <c r="T1882" s="57" t="str">
        <f aca="false">IF($S1882="","",INDEX(BookRate,1877)*(1+'5. Scenarios'!$E$10)*$S1882)</f>
        <v/>
      </c>
      <c r="U1882" s="57" t="str">
        <f aca="false">IF($T1882="","",SUMIFS($T$6:$T$2405,$A$6:$A$2405,"&lt;="&amp;$A1882))</f>
        <v/>
      </c>
      <c r="V1882" s="57" t="str">
        <f aca="false">IF($T1882="","",IF($U1882&lt;=BankCostEnvelope*'5. Scenarios'!$E$7,1,0))</f>
        <v/>
      </c>
      <c r="W1882" s="57" t="str">
        <f aca="false">IF($S1882="","",INDEX(BookRate,1877)*(1+'5. Scenarios'!$E$10)*(INDEX(BookQ1,1877)*(5-MIN(4,1+'5. Scenarios'!$E$8))/4+INDEX(BookQ2,1877)*(5-MIN(4,2+'5. Scenarios'!$E$8))/4+INDEX(BookQ3,1877)*(5-MIN(4,3+'5. Scenarios'!$E$8))/4+INDEX(BookQ4,1877)*(5-MIN(4,4+'5. Scenarios'!$E$8))/4)*'5. Scenarios'!$E$6/(1+ProductivityDefault*('5. Scenarios'!$E$11-1))+INDEX(BookOneOff,1877)*$S1882)</f>
        <v/>
      </c>
    </row>
    <row r="1883" customFormat="false" ht="15" hidden="false" customHeight="false" outlineLevel="0" collapsed="false">
      <c r="A1883" s="0" t="str">
        <f aca="false">IF(INDEX(BookTitle,1878)="","",INDEX(BookKey,1878))</f>
        <v/>
      </c>
      <c r="B1883" s="0" t="str">
        <f aca="false">IF(INDEX(BookTitle,1878)="","",INDEX(BookGroup,1878))</f>
        <v/>
      </c>
      <c r="C1883" s="0" t="str">
        <f aca="false">IF(INDEX(BookTitle,1878)="","",INDEX(BookCategory,1878))</f>
        <v/>
      </c>
      <c r="D1883" s="56" t="str">
        <f aca="false">IF(INDEX(BookTitle,1878)="","",INDEX(BookTotal,1878)*'5. Scenarios'!$B$6/(1+ProductivityDefault*('5. Scenarios'!$B$11-1)))</f>
        <v/>
      </c>
      <c r="E1883" s="57" t="str">
        <f aca="false">IF($D1883="","",INDEX(BookRate,1878)*(1+'5. Scenarios'!$B$10)*$D1883)</f>
        <v/>
      </c>
      <c r="F1883" s="57" t="str">
        <f aca="false">IF($E1883="","",SUMIFS($E$6:$E$2405,$A$6:$A$2405,"&lt;="&amp;$A1883))</f>
        <v/>
      </c>
      <c r="G1883" s="57" t="str">
        <f aca="false">IF($E1883="","",IF($F1883&lt;=BankCostEnvelope*'5. Scenarios'!$B$7,1,0))</f>
        <v/>
      </c>
      <c r="H1883" s="57" t="str">
        <f aca="false">IF($D1883="","",INDEX(BookRate,1878)*(1+'5. Scenarios'!$B$10)*(INDEX(BookQ1,1878)*(5-MIN(4,1+'5. Scenarios'!$B$8))/4+INDEX(BookQ2,1878)*(5-MIN(4,2+'5. Scenarios'!$B$8))/4+INDEX(BookQ3,1878)*(5-MIN(4,3+'5. Scenarios'!$B$8))/4+INDEX(BookQ4,1878)*(5-MIN(4,4+'5. Scenarios'!$B$8))/4)*'5. Scenarios'!$B$6/(1+ProductivityDefault*('5. Scenarios'!$B$11-1))+INDEX(BookOneOff,1878)*$D1883)</f>
        <v/>
      </c>
      <c r="I1883" s="56" t="str">
        <f aca="false">IF(INDEX(BookTitle,1878)="","",INDEX(BookTotal,1878)*'5. Scenarios'!$C$6/(1+ProductivityDefault*('5. Scenarios'!$C$11-1)))</f>
        <v/>
      </c>
      <c r="J1883" s="57" t="str">
        <f aca="false">IF($I1883="","",INDEX(BookRate,1878)*(1+'5. Scenarios'!$C$10)*$I1883)</f>
        <v/>
      </c>
      <c r="K1883" s="57" t="str">
        <f aca="false">IF($J1883="","",SUMIFS($J$6:$J$2405,$A$6:$A$2405,"&lt;="&amp;$A1883))</f>
        <v/>
      </c>
      <c r="L1883" s="57" t="str">
        <f aca="false">IF($J1883="","",IF($K1883&lt;=BankCostEnvelope*'5. Scenarios'!$C$7,1,0))</f>
        <v/>
      </c>
      <c r="M1883" s="57" t="str">
        <f aca="false">IF($I1883="","",INDEX(BookRate,1878)*(1+'5. Scenarios'!$C$10)*(INDEX(BookQ1,1878)*(5-MIN(4,1+'5. Scenarios'!$C$8))/4+INDEX(BookQ2,1878)*(5-MIN(4,2+'5. Scenarios'!$C$8))/4+INDEX(BookQ3,1878)*(5-MIN(4,3+'5. Scenarios'!$C$8))/4+INDEX(BookQ4,1878)*(5-MIN(4,4+'5. Scenarios'!$C$8))/4)*'5. Scenarios'!$C$6/(1+ProductivityDefault*('5. Scenarios'!$C$11-1))+INDEX(BookOneOff,1878)*$I1883)</f>
        <v/>
      </c>
      <c r="N1883" s="56" t="str">
        <f aca="false">IF(INDEX(BookTitle,1878)="","",INDEX(BookTotal,1878)*'5. Scenarios'!$D$6/(1+ProductivityDefault*('5. Scenarios'!$D$11-1)))</f>
        <v/>
      </c>
      <c r="O1883" s="57" t="str">
        <f aca="false">IF($N1883="","",INDEX(BookRate,1878)*(1+'5. Scenarios'!$D$10)*$N1883)</f>
        <v/>
      </c>
      <c r="P1883" s="57" t="str">
        <f aca="false">IF($O1883="","",SUMIFS($O$6:$O$2405,$A$6:$A$2405,"&lt;="&amp;$A1883))</f>
        <v/>
      </c>
      <c r="Q1883" s="57" t="str">
        <f aca="false">IF($O1883="","",IF($P1883&lt;=BankCostEnvelope*'5. Scenarios'!$D$7,1,0))</f>
        <v/>
      </c>
      <c r="R1883" s="57" t="str">
        <f aca="false">IF($N1883="","",INDEX(BookRate,1878)*(1+'5. Scenarios'!$D$10)*(INDEX(BookQ1,1878)*(5-MIN(4,1+'5. Scenarios'!$D$8))/4+INDEX(BookQ2,1878)*(5-MIN(4,2+'5. Scenarios'!$D$8))/4+INDEX(BookQ3,1878)*(5-MIN(4,3+'5. Scenarios'!$D$8))/4+INDEX(BookQ4,1878)*(5-MIN(4,4+'5. Scenarios'!$D$8))/4)*'5. Scenarios'!$D$6/(1+ProductivityDefault*('5. Scenarios'!$D$11-1))+INDEX(BookOneOff,1878)*$N1883)</f>
        <v/>
      </c>
      <c r="S1883" s="56" t="str">
        <f aca="false">IF(INDEX(BookTitle,1878)="","",INDEX(BookTotal,1878)*'5. Scenarios'!$E$6/(1+ProductivityDefault*('5. Scenarios'!$E$11-1)))</f>
        <v/>
      </c>
      <c r="T1883" s="57" t="str">
        <f aca="false">IF($S1883="","",INDEX(BookRate,1878)*(1+'5. Scenarios'!$E$10)*$S1883)</f>
        <v/>
      </c>
      <c r="U1883" s="57" t="str">
        <f aca="false">IF($T1883="","",SUMIFS($T$6:$T$2405,$A$6:$A$2405,"&lt;="&amp;$A1883))</f>
        <v/>
      </c>
      <c r="V1883" s="57" t="str">
        <f aca="false">IF($T1883="","",IF($U1883&lt;=BankCostEnvelope*'5. Scenarios'!$E$7,1,0))</f>
        <v/>
      </c>
      <c r="W1883" s="57" t="str">
        <f aca="false">IF($S1883="","",INDEX(BookRate,1878)*(1+'5. Scenarios'!$E$10)*(INDEX(BookQ1,1878)*(5-MIN(4,1+'5. Scenarios'!$E$8))/4+INDEX(BookQ2,1878)*(5-MIN(4,2+'5. Scenarios'!$E$8))/4+INDEX(BookQ3,1878)*(5-MIN(4,3+'5. Scenarios'!$E$8))/4+INDEX(BookQ4,1878)*(5-MIN(4,4+'5. Scenarios'!$E$8))/4)*'5. Scenarios'!$E$6/(1+ProductivityDefault*('5. Scenarios'!$E$11-1))+INDEX(BookOneOff,1878)*$S1883)</f>
        <v/>
      </c>
    </row>
    <row r="1884" customFormat="false" ht="15" hidden="false" customHeight="false" outlineLevel="0" collapsed="false">
      <c r="A1884" s="0" t="str">
        <f aca="false">IF(INDEX(BookTitle,1879)="","",INDEX(BookKey,1879))</f>
        <v/>
      </c>
      <c r="B1884" s="0" t="str">
        <f aca="false">IF(INDEX(BookTitle,1879)="","",INDEX(BookGroup,1879))</f>
        <v/>
      </c>
      <c r="C1884" s="0" t="str">
        <f aca="false">IF(INDEX(BookTitle,1879)="","",INDEX(BookCategory,1879))</f>
        <v/>
      </c>
      <c r="D1884" s="56" t="str">
        <f aca="false">IF(INDEX(BookTitle,1879)="","",INDEX(BookTotal,1879)*'5. Scenarios'!$B$6/(1+ProductivityDefault*('5. Scenarios'!$B$11-1)))</f>
        <v/>
      </c>
      <c r="E1884" s="57" t="str">
        <f aca="false">IF($D1884="","",INDEX(BookRate,1879)*(1+'5. Scenarios'!$B$10)*$D1884)</f>
        <v/>
      </c>
      <c r="F1884" s="57" t="str">
        <f aca="false">IF($E1884="","",SUMIFS($E$6:$E$2405,$A$6:$A$2405,"&lt;="&amp;$A1884))</f>
        <v/>
      </c>
      <c r="G1884" s="57" t="str">
        <f aca="false">IF($E1884="","",IF($F1884&lt;=BankCostEnvelope*'5. Scenarios'!$B$7,1,0))</f>
        <v/>
      </c>
      <c r="H1884" s="57" t="str">
        <f aca="false">IF($D1884="","",INDEX(BookRate,1879)*(1+'5. Scenarios'!$B$10)*(INDEX(BookQ1,1879)*(5-MIN(4,1+'5. Scenarios'!$B$8))/4+INDEX(BookQ2,1879)*(5-MIN(4,2+'5. Scenarios'!$B$8))/4+INDEX(BookQ3,1879)*(5-MIN(4,3+'5. Scenarios'!$B$8))/4+INDEX(BookQ4,1879)*(5-MIN(4,4+'5. Scenarios'!$B$8))/4)*'5. Scenarios'!$B$6/(1+ProductivityDefault*('5. Scenarios'!$B$11-1))+INDEX(BookOneOff,1879)*$D1884)</f>
        <v/>
      </c>
      <c r="I1884" s="56" t="str">
        <f aca="false">IF(INDEX(BookTitle,1879)="","",INDEX(BookTotal,1879)*'5. Scenarios'!$C$6/(1+ProductivityDefault*('5. Scenarios'!$C$11-1)))</f>
        <v/>
      </c>
      <c r="J1884" s="57" t="str">
        <f aca="false">IF($I1884="","",INDEX(BookRate,1879)*(1+'5. Scenarios'!$C$10)*$I1884)</f>
        <v/>
      </c>
      <c r="K1884" s="57" t="str">
        <f aca="false">IF($J1884="","",SUMIFS($J$6:$J$2405,$A$6:$A$2405,"&lt;="&amp;$A1884))</f>
        <v/>
      </c>
      <c r="L1884" s="57" t="str">
        <f aca="false">IF($J1884="","",IF($K1884&lt;=BankCostEnvelope*'5. Scenarios'!$C$7,1,0))</f>
        <v/>
      </c>
      <c r="M1884" s="57" t="str">
        <f aca="false">IF($I1884="","",INDEX(BookRate,1879)*(1+'5. Scenarios'!$C$10)*(INDEX(BookQ1,1879)*(5-MIN(4,1+'5. Scenarios'!$C$8))/4+INDEX(BookQ2,1879)*(5-MIN(4,2+'5. Scenarios'!$C$8))/4+INDEX(BookQ3,1879)*(5-MIN(4,3+'5. Scenarios'!$C$8))/4+INDEX(BookQ4,1879)*(5-MIN(4,4+'5. Scenarios'!$C$8))/4)*'5. Scenarios'!$C$6/(1+ProductivityDefault*('5. Scenarios'!$C$11-1))+INDEX(BookOneOff,1879)*$I1884)</f>
        <v/>
      </c>
      <c r="N1884" s="56" t="str">
        <f aca="false">IF(INDEX(BookTitle,1879)="","",INDEX(BookTotal,1879)*'5. Scenarios'!$D$6/(1+ProductivityDefault*('5. Scenarios'!$D$11-1)))</f>
        <v/>
      </c>
      <c r="O1884" s="57" t="str">
        <f aca="false">IF($N1884="","",INDEX(BookRate,1879)*(1+'5. Scenarios'!$D$10)*$N1884)</f>
        <v/>
      </c>
      <c r="P1884" s="57" t="str">
        <f aca="false">IF($O1884="","",SUMIFS($O$6:$O$2405,$A$6:$A$2405,"&lt;="&amp;$A1884))</f>
        <v/>
      </c>
      <c r="Q1884" s="57" t="str">
        <f aca="false">IF($O1884="","",IF($P1884&lt;=BankCostEnvelope*'5. Scenarios'!$D$7,1,0))</f>
        <v/>
      </c>
      <c r="R1884" s="57" t="str">
        <f aca="false">IF($N1884="","",INDEX(BookRate,1879)*(1+'5. Scenarios'!$D$10)*(INDEX(BookQ1,1879)*(5-MIN(4,1+'5. Scenarios'!$D$8))/4+INDEX(BookQ2,1879)*(5-MIN(4,2+'5. Scenarios'!$D$8))/4+INDEX(BookQ3,1879)*(5-MIN(4,3+'5. Scenarios'!$D$8))/4+INDEX(BookQ4,1879)*(5-MIN(4,4+'5. Scenarios'!$D$8))/4)*'5. Scenarios'!$D$6/(1+ProductivityDefault*('5. Scenarios'!$D$11-1))+INDEX(BookOneOff,1879)*$N1884)</f>
        <v/>
      </c>
      <c r="S1884" s="56" t="str">
        <f aca="false">IF(INDEX(BookTitle,1879)="","",INDEX(BookTotal,1879)*'5. Scenarios'!$E$6/(1+ProductivityDefault*('5. Scenarios'!$E$11-1)))</f>
        <v/>
      </c>
      <c r="T1884" s="57" t="str">
        <f aca="false">IF($S1884="","",INDEX(BookRate,1879)*(1+'5. Scenarios'!$E$10)*$S1884)</f>
        <v/>
      </c>
      <c r="U1884" s="57" t="str">
        <f aca="false">IF($T1884="","",SUMIFS($T$6:$T$2405,$A$6:$A$2405,"&lt;="&amp;$A1884))</f>
        <v/>
      </c>
      <c r="V1884" s="57" t="str">
        <f aca="false">IF($T1884="","",IF($U1884&lt;=BankCostEnvelope*'5. Scenarios'!$E$7,1,0))</f>
        <v/>
      </c>
      <c r="W1884" s="57" t="str">
        <f aca="false">IF($S1884="","",INDEX(BookRate,1879)*(1+'5. Scenarios'!$E$10)*(INDEX(BookQ1,1879)*(5-MIN(4,1+'5. Scenarios'!$E$8))/4+INDEX(BookQ2,1879)*(5-MIN(4,2+'5. Scenarios'!$E$8))/4+INDEX(BookQ3,1879)*(5-MIN(4,3+'5. Scenarios'!$E$8))/4+INDEX(BookQ4,1879)*(5-MIN(4,4+'5. Scenarios'!$E$8))/4)*'5. Scenarios'!$E$6/(1+ProductivityDefault*('5. Scenarios'!$E$11-1))+INDEX(BookOneOff,1879)*$S1884)</f>
        <v/>
      </c>
    </row>
    <row r="1885" customFormat="false" ht="15" hidden="false" customHeight="false" outlineLevel="0" collapsed="false">
      <c r="A1885" s="0" t="str">
        <f aca="false">IF(INDEX(BookTitle,1880)="","",INDEX(BookKey,1880))</f>
        <v/>
      </c>
      <c r="B1885" s="0" t="str">
        <f aca="false">IF(INDEX(BookTitle,1880)="","",INDEX(BookGroup,1880))</f>
        <v/>
      </c>
      <c r="C1885" s="0" t="str">
        <f aca="false">IF(INDEX(BookTitle,1880)="","",INDEX(BookCategory,1880))</f>
        <v/>
      </c>
      <c r="D1885" s="56" t="str">
        <f aca="false">IF(INDEX(BookTitle,1880)="","",INDEX(BookTotal,1880)*'5. Scenarios'!$B$6/(1+ProductivityDefault*('5. Scenarios'!$B$11-1)))</f>
        <v/>
      </c>
      <c r="E1885" s="57" t="str">
        <f aca="false">IF($D1885="","",INDEX(BookRate,1880)*(1+'5. Scenarios'!$B$10)*$D1885)</f>
        <v/>
      </c>
      <c r="F1885" s="57" t="str">
        <f aca="false">IF($E1885="","",SUMIFS($E$6:$E$2405,$A$6:$A$2405,"&lt;="&amp;$A1885))</f>
        <v/>
      </c>
      <c r="G1885" s="57" t="str">
        <f aca="false">IF($E1885="","",IF($F1885&lt;=BankCostEnvelope*'5. Scenarios'!$B$7,1,0))</f>
        <v/>
      </c>
      <c r="H1885" s="57" t="str">
        <f aca="false">IF($D1885="","",INDEX(BookRate,1880)*(1+'5. Scenarios'!$B$10)*(INDEX(BookQ1,1880)*(5-MIN(4,1+'5. Scenarios'!$B$8))/4+INDEX(BookQ2,1880)*(5-MIN(4,2+'5. Scenarios'!$B$8))/4+INDEX(BookQ3,1880)*(5-MIN(4,3+'5. Scenarios'!$B$8))/4+INDEX(BookQ4,1880)*(5-MIN(4,4+'5. Scenarios'!$B$8))/4)*'5. Scenarios'!$B$6/(1+ProductivityDefault*('5. Scenarios'!$B$11-1))+INDEX(BookOneOff,1880)*$D1885)</f>
        <v/>
      </c>
      <c r="I1885" s="56" t="str">
        <f aca="false">IF(INDEX(BookTitle,1880)="","",INDEX(BookTotal,1880)*'5. Scenarios'!$C$6/(1+ProductivityDefault*('5. Scenarios'!$C$11-1)))</f>
        <v/>
      </c>
      <c r="J1885" s="57" t="str">
        <f aca="false">IF($I1885="","",INDEX(BookRate,1880)*(1+'5. Scenarios'!$C$10)*$I1885)</f>
        <v/>
      </c>
      <c r="K1885" s="57" t="str">
        <f aca="false">IF($J1885="","",SUMIFS($J$6:$J$2405,$A$6:$A$2405,"&lt;="&amp;$A1885))</f>
        <v/>
      </c>
      <c r="L1885" s="57" t="str">
        <f aca="false">IF($J1885="","",IF($K1885&lt;=BankCostEnvelope*'5. Scenarios'!$C$7,1,0))</f>
        <v/>
      </c>
      <c r="M1885" s="57" t="str">
        <f aca="false">IF($I1885="","",INDEX(BookRate,1880)*(1+'5. Scenarios'!$C$10)*(INDEX(BookQ1,1880)*(5-MIN(4,1+'5. Scenarios'!$C$8))/4+INDEX(BookQ2,1880)*(5-MIN(4,2+'5. Scenarios'!$C$8))/4+INDEX(BookQ3,1880)*(5-MIN(4,3+'5. Scenarios'!$C$8))/4+INDEX(BookQ4,1880)*(5-MIN(4,4+'5. Scenarios'!$C$8))/4)*'5. Scenarios'!$C$6/(1+ProductivityDefault*('5. Scenarios'!$C$11-1))+INDEX(BookOneOff,1880)*$I1885)</f>
        <v/>
      </c>
      <c r="N1885" s="56" t="str">
        <f aca="false">IF(INDEX(BookTitle,1880)="","",INDEX(BookTotal,1880)*'5. Scenarios'!$D$6/(1+ProductivityDefault*('5. Scenarios'!$D$11-1)))</f>
        <v/>
      </c>
      <c r="O1885" s="57" t="str">
        <f aca="false">IF($N1885="","",INDEX(BookRate,1880)*(1+'5. Scenarios'!$D$10)*$N1885)</f>
        <v/>
      </c>
      <c r="P1885" s="57" t="str">
        <f aca="false">IF($O1885="","",SUMIFS($O$6:$O$2405,$A$6:$A$2405,"&lt;="&amp;$A1885))</f>
        <v/>
      </c>
      <c r="Q1885" s="57" t="str">
        <f aca="false">IF($O1885="","",IF($P1885&lt;=BankCostEnvelope*'5. Scenarios'!$D$7,1,0))</f>
        <v/>
      </c>
      <c r="R1885" s="57" t="str">
        <f aca="false">IF($N1885="","",INDEX(BookRate,1880)*(1+'5. Scenarios'!$D$10)*(INDEX(BookQ1,1880)*(5-MIN(4,1+'5. Scenarios'!$D$8))/4+INDEX(BookQ2,1880)*(5-MIN(4,2+'5. Scenarios'!$D$8))/4+INDEX(BookQ3,1880)*(5-MIN(4,3+'5. Scenarios'!$D$8))/4+INDEX(BookQ4,1880)*(5-MIN(4,4+'5. Scenarios'!$D$8))/4)*'5. Scenarios'!$D$6/(1+ProductivityDefault*('5. Scenarios'!$D$11-1))+INDEX(BookOneOff,1880)*$N1885)</f>
        <v/>
      </c>
      <c r="S1885" s="56" t="str">
        <f aca="false">IF(INDEX(BookTitle,1880)="","",INDEX(BookTotal,1880)*'5. Scenarios'!$E$6/(1+ProductivityDefault*('5. Scenarios'!$E$11-1)))</f>
        <v/>
      </c>
      <c r="T1885" s="57" t="str">
        <f aca="false">IF($S1885="","",INDEX(BookRate,1880)*(1+'5. Scenarios'!$E$10)*$S1885)</f>
        <v/>
      </c>
      <c r="U1885" s="57" t="str">
        <f aca="false">IF($T1885="","",SUMIFS($T$6:$T$2405,$A$6:$A$2405,"&lt;="&amp;$A1885))</f>
        <v/>
      </c>
      <c r="V1885" s="57" t="str">
        <f aca="false">IF($T1885="","",IF($U1885&lt;=BankCostEnvelope*'5. Scenarios'!$E$7,1,0))</f>
        <v/>
      </c>
      <c r="W1885" s="57" t="str">
        <f aca="false">IF($S1885="","",INDEX(BookRate,1880)*(1+'5. Scenarios'!$E$10)*(INDEX(BookQ1,1880)*(5-MIN(4,1+'5. Scenarios'!$E$8))/4+INDEX(BookQ2,1880)*(5-MIN(4,2+'5. Scenarios'!$E$8))/4+INDEX(BookQ3,1880)*(5-MIN(4,3+'5. Scenarios'!$E$8))/4+INDEX(BookQ4,1880)*(5-MIN(4,4+'5. Scenarios'!$E$8))/4)*'5. Scenarios'!$E$6/(1+ProductivityDefault*('5. Scenarios'!$E$11-1))+INDEX(BookOneOff,1880)*$S1885)</f>
        <v/>
      </c>
    </row>
    <row r="1886" customFormat="false" ht="15" hidden="false" customHeight="false" outlineLevel="0" collapsed="false">
      <c r="A1886" s="0" t="str">
        <f aca="false">IF(INDEX(BookTitle,1881)="","",INDEX(BookKey,1881))</f>
        <v/>
      </c>
      <c r="B1886" s="0" t="str">
        <f aca="false">IF(INDEX(BookTitle,1881)="","",INDEX(BookGroup,1881))</f>
        <v/>
      </c>
      <c r="C1886" s="0" t="str">
        <f aca="false">IF(INDEX(BookTitle,1881)="","",INDEX(BookCategory,1881))</f>
        <v/>
      </c>
      <c r="D1886" s="56" t="str">
        <f aca="false">IF(INDEX(BookTitle,1881)="","",INDEX(BookTotal,1881)*'5. Scenarios'!$B$6/(1+ProductivityDefault*('5. Scenarios'!$B$11-1)))</f>
        <v/>
      </c>
      <c r="E1886" s="57" t="str">
        <f aca="false">IF($D1886="","",INDEX(BookRate,1881)*(1+'5. Scenarios'!$B$10)*$D1886)</f>
        <v/>
      </c>
      <c r="F1886" s="57" t="str">
        <f aca="false">IF($E1886="","",SUMIFS($E$6:$E$2405,$A$6:$A$2405,"&lt;="&amp;$A1886))</f>
        <v/>
      </c>
      <c r="G1886" s="57" t="str">
        <f aca="false">IF($E1886="","",IF($F1886&lt;=BankCostEnvelope*'5. Scenarios'!$B$7,1,0))</f>
        <v/>
      </c>
      <c r="H1886" s="57" t="str">
        <f aca="false">IF($D1886="","",INDEX(BookRate,1881)*(1+'5. Scenarios'!$B$10)*(INDEX(BookQ1,1881)*(5-MIN(4,1+'5. Scenarios'!$B$8))/4+INDEX(BookQ2,1881)*(5-MIN(4,2+'5. Scenarios'!$B$8))/4+INDEX(BookQ3,1881)*(5-MIN(4,3+'5. Scenarios'!$B$8))/4+INDEX(BookQ4,1881)*(5-MIN(4,4+'5. Scenarios'!$B$8))/4)*'5. Scenarios'!$B$6/(1+ProductivityDefault*('5. Scenarios'!$B$11-1))+INDEX(BookOneOff,1881)*$D1886)</f>
        <v/>
      </c>
      <c r="I1886" s="56" t="str">
        <f aca="false">IF(INDEX(BookTitle,1881)="","",INDEX(BookTotal,1881)*'5. Scenarios'!$C$6/(1+ProductivityDefault*('5. Scenarios'!$C$11-1)))</f>
        <v/>
      </c>
      <c r="J1886" s="57" t="str">
        <f aca="false">IF($I1886="","",INDEX(BookRate,1881)*(1+'5. Scenarios'!$C$10)*$I1886)</f>
        <v/>
      </c>
      <c r="K1886" s="57" t="str">
        <f aca="false">IF($J1886="","",SUMIFS($J$6:$J$2405,$A$6:$A$2405,"&lt;="&amp;$A1886))</f>
        <v/>
      </c>
      <c r="L1886" s="57" t="str">
        <f aca="false">IF($J1886="","",IF($K1886&lt;=BankCostEnvelope*'5. Scenarios'!$C$7,1,0))</f>
        <v/>
      </c>
      <c r="M1886" s="57" t="str">
        <f aca="false">IF($I1886="","",INDEX(BookRate,1881)*(1+'5. Scenarios'!$C$10)*(INDEX(BookQ1,1881)*(5-MIN(4,1+'5. Scenarios'!$C$8))/4+INDEX(BookQ2,1881)*(5-MIN(4,2+'5. Scenarios'!$C$8))/4+INDEX(BookQ3,1881)*(5-MIN(4,3+'5. Scenarios'!$C$8))/4+INDEX(BookQ4,1881)*(5-MIN(4,4+'5. Scenarios'!$C$8))/4)*'5. Scenarios'!$C$6/(1+ProductivityDefault*('5. Scenarios'!$C$11-1))+INDEX(BookOneOff,1881)*$I1886)</f>
        <v/>
      </c>
      <c r="N1886" s="56" t="str">
        <f aca="false">IF(INDEX(BookTitle,1881)="","",INDEX(BookTotal,1881)*'5. Scenarios'!$D$6/(1+ProductivityDefault*('5. Scenarios'!$D$11-1)))</f>
        <v/>
      </c>
      <c r="O1886" s="57" t="str">
        <f aca="false">IF($N1886="","",INDEX(BookRate,1881)*(1+'5. Scenarios'!$D$10)*$N1886)</f>
        <v/>
      </c>
      <c r="P1886" s="57" t="str">
        <f aca="false">IF($O1886="","",SUMIFS($O$6:$O$2405,$A$6:$A$2405,"&lt;="&amp;$A1886))</f>
        <v/>
      </c>
      <c r="Q1886" s="57" t="str">
        <f aca="false">IF($O1886="","",IF($P1886&lt;=BankCostEnvelope*'5. Scenarios'!$D$7,1,0))</f>
        <v/>
      </c>
      <c r="R1886" s="57" t="str">
        <f aca="false">IF($N1886="","",INDEX(BookRate,1881)*(1+'5. Scenarios'!$D$10)*(INDEX(BookQ1,1881)*(5-MIN(4,1+'5. Scenarios'!$D$8))/4+INDEX(BookQ2,1881)*(5-MIN(4,2+'5. Scenarios'!$D$8))/4+INDEX(BookQ3,1881)*(5-MIN(4,3+'5. Scenarios'!$D$8))/4+INDEX(BookQ4,1881)*(5-MIN(4,4+'5. Scenarios'!$D$8))/4)*'5. Scenarios'!$D$6/(1+ProductivityDefault*('5. Scenarios'!$D$11-1))+INDEX(BookOneOff,1881)*$N1886)</f>
        <v/>
      </c>
      <c r="S1886" s="56" t="str">
        <f aca="false">IF(INDEX(BookTitle,1881)="","",INDEX(BookTotal,1881)*'5. Scenarios'!$E$6/(1+ProductivityDefault*('5. Scenarios'!$E$11-1)))</f>
        <v/>
      </c>
      <c r="T1886" s="57" t="str">
        <f aca="false">IF($S1886="","",INDEX(BookRate,1881)*(1+'5. Scenarios'!$E$10)*$S1886)</f>
        <v/>
      </c>
      <c r="U1886" s="57" t="str">
        <f aca="false">IF($T1886="","",SUMIFS($T$6:$T$2405,$A$6:$A$2405,"&lt;="&amp;$A1886))</f>
        <v/>
      </c>
      <c r="V1886" s="57" t="str">
        <f aca="false">IF($T1886="","",IF($U1886&lt;=BankCostEnvelope*'5. Scenarios'!$E$7,1,0))</f>
        <v/>
      </c>
      <c r="W1886" s="57" t="str">
        <f aca="false">IF($S1886="","",INDEX(BookRate,1881)*(1+'5. Scenarios'!$E$10)*(INDEX(BookQ1,1881)*(5-MIN(4,1+'5. Scenarios'!$E$8))/4+INDEX(BookQ2,1881)*(5-MIN(4,2+'5. Scenarios'!$E$8))/4+INDEX(BookQ3,1881)*(5-MIN(4,3+'5. Scenarios'!$E$8))/4+INDEX(BookQ4,1881)*(5-MIN(4,4+'5. Scenarios'!$E$8))/4)*'5. Scenarios'!$E$6/(1+ProductivityDefault*('5. Scenarios'!$E$11-1))+INDEX(BookOneOff,1881)*$S1886)</f>
        <v/>
      </c>
    </row>
    <row r="1887" customFormat="false" ht="15" hidden="false" customHeight="false" outlineLevel="0" collapsed="false">
      <c r="A1887" s="0" t="str">
        <f aca="false">IF(INDEX(BookTitle,1882)="","",INDEX(BookKey,1882))</f>
        <v/>
      </c>
      <c r="B1887" s="0" t="str">
        <f aca="false">IF(INDEX(BookTitle,1882)="","",INDEX(BookGroup,1882))</f>
        <v/>
      </c>
      <c r="C1887" s="0" t="str">
        <f aca="false">IF(INDEX(BookTitle,1882)="","",INDEX(BookCategory,1882))</f>
        <v/>
      </c>
      <c r="D1887" s="56" t="str">
        <f aca="false">IF(INDEX(BookTitle,1882)="","",INDEX(BookTotal,1882)*'5. Scenarios'!$B$6/(1+ProductivityDefault*('5. Scenarios'!$B$11-1)))</f>
        <v/>
      </c>
      <c r="E1887" s="57" t="str">
        <f aca="false">IF($D1887="","",INDEX(BookRate,1882)*(1+'5. Scenarios'!$B$10)*$D1887)</f>
        <v/>
      </c>
      <c r="F1887" s="57" t="str">
        <f aca="false">IF($E1887="","",SUMIFS($E$6:$E$2405,$A$6:$A$2405,"&lt;="&amp;$A1887))</f>
        <v/>
      </c>
      <c r="G1887" s="57" t="str">
        <f aca="false">IF($E1887="","",IF($F1887&lt;=BankCostEnvelope*'5. Scenarios'!$B$7,1,0))</f>
        <v/>
      </c>
      <c r="H1887" s="57" t="str">
        <f aca="false">IF($D1887="","",INDEX(BookRate,1882)*(1+'5. Scenarios'!$B$10)*(INDEX(BookQ1,1882)*(5-MIN(4,1+'5. Scenarios'!$B$8))/4+INDEX(BookQ2,1882)*(5-MIN(4,2+'5. Scenarios'!$B$8))/4+INDEX(BookQ3,1882)*(5-MIN(4,3+'5. Scenarios'!$B$8))/4+INDEX(BookQ4,1882)*(5-MIN(4,4+'5. Scenarios'!$B$8))/4)*'5. Scenarios'!$B$6/(1+ProductivityDefault*('5. Scenarios'!$B$11-1))+INDEX(BookOneOff,1882)*$D1887)</f>
        <v/>
      </c>
      <c r="I1887" s="56" t="str">
        <f aca="false">IF(INDEX(BookTitle,1882)="","",INDEX(BookTotal,1882)*'5. Scenarios'!$C$6/(1+ProductivityDefault*('5. Scenarios'!$C$11-1)))</f>
        <v/>
      </c>
      <c r="J1887" s="57" t="str">
        <f aca="false">IF($I1887="","",INDEX(BookRate,1882)*(1+'5. Scenarios'!$C$10)*$I1887)</f>
        <v/>
      </c>
      <c r="K1887" s="57" t="str">
        <f aca="false">IF($J1887="","",SUMIFS($J$6:$J$2405,$A$6:$A$2405,"&lt;="&amp;$A1887))</f>
        <v/>
      </c>
      <c r="L1887" s="57" t="str">
        <f aca="false">IF($J1887="","",IF($K1887&lt;=BankCostEnvelope*'5. Scenarios'!$C$7,1,0))</f>
        <v/>
      </c>
      <c r="M1887" s="57" t="str">
        <f aca="false">IF($I1887="","",INDEX(BookRate,1882)*(1+'5. Scenarios'!$C$10)*(INDEX(BookQ1,1882)*(5-MIN(4,1+'5. Scenarios'!$C$8))/4+INDEX(BookQ2,1882)*(5-MIN(4,2+'5. Scenarios'!$C$8))/4+INDEX(BookQ3,1882)*(5-MIN(4,3+'5. Scenarios'!$C$8))/4+INDEX(BookQ4,1882)*(5-MIN(4,4+'5. Scenarios'!$C$8))/4)*'5. Scenarios'!$C$6/(1+ProductivityDefault*('5. Scenarios'!$C$11-1))+INDEX(BookOneOff,1882)*$I1887)</f>
        <v/>
      </c>
      <c r="N1887" s="56" t="str">
        <f aca="false">IF(INDEX(BookTitle,1882)="","",INDEX(BookTotal,1882)*'5. Scenarios'!$D$6/(1+ProductivityDefault*('5. Scenarios'!$D$11-1)))</f>
        <v/>
      </c>
      <c r="O1887" s="57" t="str">
        <f aca="false">IF($N1887="","",INDEX(BookRate,1882)*(1+'5. Scenarios'!$D$10)*$N1887)</f>
        <v/>
      </c>
      <c r="P1887" s="57" t="str">
        <f aca="false">IF($O1887="","",SUMIFS($O$6:$O$2405,$A$6:$A$2405,"&lt;="&amp;$A1887))</f>
        <v/>
      </c>
      <c r="Q1887" s="57" t="str">
        <f aca="false">IF($O1887="","",IF($P1887&lt;=BankCostEnvelope*'5. Scenarios'!$D$7,1,0))</f>
        <v/>
      </c>
      <c r="R1887" s="57" t="str">
        <f aca="false">IF($N1887="","",INDEX(BookRate,1882)*(1+'5. Scenarios'!$D$10)*(INDEX(BookQ1,1882)*(5-MIN(4,1+'5. Scenarios'!$D$8))/4+INDEX(BookQ2,1882)*(5-MIN(4,2+'5. Scenarios'!$D$8))/4+INDEX(BookQ3,1882)*(5-MIN(4,3+'5. Scenarios'!$D$8))/4+INDEX(BookQ4,1882)*(5-MIN(4,4+'5. Scenarios'!$D$8))/4)*'5. Scenarios'!$D$6/(1+ProductivityDefault*('5. Scenarios'!$D$11-1))+INDEX(BookOneOff,1882)*$N1887)</f>
        <v/>
      </c>
      <c r="S1887" s="56" t="str">
        <f aca="false">IF(INDEX(BookTitle,1882)="","",INDEX(BookTotal,1882)*'5. Scenarios'!$E$6/(1+ProductivityDefault*('5. Scenarios'!$E$11-1)))</f>
        <v/>
      </c>
      <c r="T1887" s="57" t="str">
        <f aca="false">IF($S1887="","",INDEX(BookRate,1882)*(1+'5. Scenarios'!$E$10)*$S1887)</f>
        <v/>
      </c>
      <c r="U1887" s="57" t="str">
        <f aca="false">IF($T1887="","",SUMIFS($T$6:$T$2405,$A$6:$A$2405,"&lt;="&amp;$A1887))</f>
        <v/>
      </c>
      <c r="V1887" s="57" t="str">
        <f aca="false">IF($T1887="","",IF($U1887&lt;=BankCostEnvelope*'5. Scenarios'!$E$7,1,0))</f>
        <v/>
      </c>
      <c r="W1887" s="57" t="str">
        <f aca="false">IF($S1887="","",INDEX(BookRate,1882)*(1+'5. Scenarios'!$E$10)*(INDEX(BookQ1,1882)*(5-MIN(4,1+'5. Scenarios'!$E$8))/4+INDEX(BookQ2,1882)*(5-MIN(4,2+'5. Scenarios'!$E$8))/4+INDEX(BookQ3,1882)*(5-MIN(4,3+'5. Scenarios'!$E$8))/4+INDEX(BookQ4,1882)*(5-MIN(4,4+'5. Scenarios'!$E$8))/4)*'5. Scenarios'!$E$6/(1+ProductivityDefault*('5. Scenarios'!$E$11-1))+INDEX(BookOneOff,1882)*$S1887)</f>
        <v/>
      </c>
    </row>
    <row r="1888" customFormat="false" ht="15" hidden="false" customHeight="false" outlineLevel="0" collapsed="false">
      <c r="A1888" s="0" t="str">
        <f aca="false">IF(INDEX(BookTitle,1883)="","",INDEX(BookKey,1883))</f>
        <v/>
      </c>
      <c r="B1888" s="0" t="str">
        <f aca="false">IF(INDEX(BookTitle,1883)="","",INDEX(BookGroup,1883))</f>
        <v/>
      </c>
      <c r="C1888" s="0" t="str">
        <f aca="false">IF(INDEX(BookTitle,1883)="","",INDEX(BookCategory,1883))</f>
        <v/>
      </c>
      <c r="D1888" s="56" t="str">
        <f aca="false">IF(INDEX(BookTitle,1883)="","",INDEX(BookTotal,1883)*'5. Scenarios'!$B$6/(1+ProductivityDefault*('5. Scenarios'!$B$11-1)))</f>
        <v/>
      </c>
      <c r="E1888" s="57" t="str">
        <f aca="false">IF($D1888="","",INDEX(BookRate,1883)*(1+'5. Scenarios'!$B$10)*$D1888)</f>
        <v/>
      </c>
      <c r="F1888" s="57" t="str">
        <f aca="false">IF($E1888="","",SUMIFS($E$6:$E$2405,$A$6:$A$2405,"&lt;="&amp;$A1888))</f>
        <v/>
      </c>
      <c r="G1888" s="57" t="str">
        <f aca="false">IF($E1888="","",IF($F1888&lt;=BankCostEnvelope*'5. Scenarios'!$B$7,1,0))</f>
        <v/>
      </c>
      <c r="H1888" s="57" t="str">
        <f aca="false">IF($D1888="","",INDEX(BookRate,1883)*(1+'5. Scenarios'!$B$10)*(INDEX(BookQ1,1883)*(5-MIN(4,1+'5. Scenarios'!$B$8))/4+INDEX(BookQ2,1883)*(5-MIN(4,2+'5. Scenarios'!$B$8))/4+INDEX(BookQ3,1883)*(5-MIN(4,3+'5. Scenarios'!$B$8))/4+INDEX(BookQ4,1883)*(5-MIN(4,4+'5. Scenarios'!$B$8))/4)*'5. Scenarios'!$B$6/(1+ProductivityDefault*('5. Scenarios'!$B$11-1))+INDEX(BookOneOff,1883)*$D1888)</f>
        <v/>
      </c>
      <c r="I1888" s="56" t="str">
        <f aca="false">IF(INDEX(BookTitle,1883)="","",INDEX(BookTotal,1883)*'5. Scenarios'!$C$6/(1+ProductivityDefault*('5. Scenarios'!$C$11-1)))</f>
        <v/>
      </c>
      <c r="J1888" s="57" t="str">
        <f aca="false">IF($I1888="","",INDEX(BookRate,1883)*(1+'5. Scenarios'!$C$10)*$I1888)</f>
        <v/>
      </c>
      <c r="K1888" s="57" t="str">
        <f aca="false">IF($J1888="","",SUMIFS($J$6:$J$2405,$A$6:$A$2405,"&lt;="&amp;$A1888))</f>
        <v/>
      </c>
      <c r="L1888" s="57" t="str">
        <f aca="false">IF($J1888="","",IF($K1888&lt;=BankCostEnvelope*'5. Scenarios'!$C$7,1,0))</f>
        <v/>
      </c>
      <c r="M1888" s="57" t="str">
        <f aca="false">IF($I1888="","",INDEX(BookRate,1883)*(1+'5. Scenarios'!$C$10)*(INDEX(BookQ1,1883)*(5-MIN(4,1+'5. Scenarios'!$C$8))/4+INDEX(BookQ2,1883)*(5-MIN(4,2+'5. Scenarios'!$C$8))/4+INDEX(BookQ3,1883)*(5-MIN(4,3+'5. Scenarios'!$C$8))/4+INDEX(BookQ4,1883)*(5-MIN(4,4+'5. Scenarios'!$C$8))/4)*'5. Scenarios'!$C$6/(1+ProductivityDefault*('5. Scenarios'!$C$11-1))+INDEX(BookOneOff,1883)*$I1888)</f>
        <v/>
      </c>
      <c r="N1888" s="56" t="str">
        <f aca="false">IF(INDEX(BookTitle,1883)="","",INDEX(BookTotal,1883)*'5. Scenarios'!$D$6/(1+ProductivityDefault*('5. Scenarios'!$D$11-1)))</f>
        <v/>
      </c>
      <c r="O1888" s="57" t="str">
        <f aca="false">IF($N1888="","",INDEX(BookRate,1883)*(1+'5. Scenarios'!$D$10)*$N1888)</f>
        <v/>
      </c>
      <c r="P1888" s="57" t="str">
        <f aca="false">IF($O1888="","",SUMIFS($O$6:$O$2405,$A$6:$A$2405,"&lt;="&amp;$A1888))</f>
        <v/>
      </c>
      <c r="Q1888" s="57" t="str">
        <f aca="false">IF($O1888="","",IF($P1888&lt;=BankCostEnvelope*'5. Scenarios'!$D$7,1,0))</f>
        <v/>
      </c>
      <c r="R1888" s="57" t="str">
        <f aca="false">IF($N1888="","",INDEX(BookRate,1883)*(1+'5. Scenarios'!$D$10)*(INDEX(BookQ1,1883)*(5-MIN(4,1+'5. Scenarios'!$D$8))/4+INDEX(BookQ2,1883)*(5-MIN(4,2+'5. Scenarios'!$D$8))/4+INDEX(BookQ3,1883)*(5-MIN(4,3+'5. Scenarios'!$D$8))/4+INDEX(BookQ4,1883)*(5-MIN(4,4+'5. Scenarios'!$D$8))/4)*'5. Scenarios'!$D$6/(1+ProductivityDefault*('5. Scenarios'!$D$11-1))+INDEX(BookOneOff,1883)*$N1888)</f>
        <v/>
      </c>
      <c r="S1888" s="56" t="str">
        <f aca="false">IF(INDEX(BookTitle,1883)="","",INDEX(BookTotal,1883)*'5. Scenarios'!$E$6/(1+ProductivityDefault*('5. Scenarios'!$E$11-1)))</f>
        <v/>
      </c>
      <c r="T1888" s="57" t="str">
        <f aca="false">IF($S1888="","",INDEX(BookRate,1883)*(1+'5. Scenarios'!$E$10)*$S1888)</f>
        <v/>
      </c>
      <c r="U1888" s="57" t="str">
        <f aca="false">IF($T1888="","",SUMIFS($T$6:$T$2405,$A$6:$A$2405,"&lt;="&amp;$A1888))</f>
        <v/>
      </c>
      <c r="V1888" s="57" t="str">
        <f aca="false">IF($T1888="","",IF($U1888&lt;=BankCostEnvelope*'5. Scenarios'!$E$7,1,0))</f>
        <v/>
      </c>
      <c r="W1888" s="57" t="str">
        <f aca="false">IF($S1888="","",INDEX(BookRate,1883)*(1+'5. Scenarios'!$E$10)*(INDEX(BookQ1,1883)*(5-MIN(4,1+'5. Scenarios'!$E$8))/4+INDEX(BookQ2,1883)*(5-MIN(4,2+'5. Scenarios'!$E$8))/4+INDEX(BookQ3,1883)*(5-MIN(4,3+'5. Scenarios'!$E$8))/4+INDEX(BookQ4,1883)*(5-MIN(4,4+'5. Scenarios'!$E$8))/4)*'5. Scenarios'!$E$6/(1+ProductivityDefault*('5. Scenarios'!$E$11-1))+INDEX(BookOneOff,1883)*$S1888)</f>
        <v/>
      </c>
    </row>
    <row r="1889" customFormat="false" ht="15" hidden="false" customHeight="false" outlineLevel="0" collapsed="false">
      <c r="A1889" s="0" t="str">
        <f aca="false">IF(INDEX(BookTitle,1884)="","",INDEX(BookKey,1884))</f>
        <v/>
      </c>
      <c r="B1889" s="0" t="str">
        <f aca="false">IF(INDEX(BookTitle,1884)="","",INDEX(BookGroup,1884))</f>
        <v/>
      </c>
      <c r="C1889" s="0" t="str">
        <f aca="false">IF(INDEX(BookTitle,1884)="","",INDEX(BookCategory,1884))</f>
        <v/>
      </c>
      <c r="D1889" s="56" t="str">
        <f aca="false">IF(INDEX(BookTitle,1884)="","",INDEX(BookTotal,1884)*'5. Scenarios'!$B$6/(1+ProductivityDefault*('5. Scenarios'!$B$11-1)))</f>
        <v/>
      </c>
      <c r="E1889" s="57" t="str">
        <f aca="false">IF($D1889="","",INDEX(BookRate,1884)*(1+'5. Scenarios'!$B$10)*$D1889)</f>
        <v/>
      </c>
      <c r="F1889" s="57" t="str">
        <f aca="false">IF($E1889="","",SUMIFS($E$6:$E$2405,$A$6:$A$2405,"&lt;="&amp;$A1889))</f>
        <v/>
      </c>
      <c r="G1889" s="57" t="str">
        <f aca="false">IF($E1889="","",IF($F1889&lt;=BankCostEnvelope*'5. Scenarios'!$B$7,1,0))</f>
        <v/>
      </c>
      <c r="H1889" s="57" t="str">
        <f aca="false">IF($D1889="","",INDEX(BookRate,1884)*(1+'5. Scenarios'!$B$10)*(INDEX(BookQ1,1884)*(5-MIN(4,1+'5. Scenarios'!$B$8))/4+INDEX(BookQ2,1884)*(5-MIN(4,2+'5. Scenarios'!$B$8))/4+INDEX(BookQ3,1884)*(5-MIN(4,3+'5. Scenarios'!$B$8))/4+INDEX(BookQ4,1884)*(5-MIN(4,4+'5. Scenarios'!$B$8))/4)*'5. Scenarios'!$B$6/(1+ProductivityDefault*('5. Scenarios'!$B$11-1))+INDEX(BookOneOff,1884)*$D1889)</f>
        <v/>
      </c>
      <c r="I1889" s="56" t="str">
        <f aca="false">IF(INDEX(BookTitle,1884)="","",INDEX(BookTotal,1884)*'5. Scenarios'!$C$6/(1+ProductivityDefault*('5. Scenarios'!$C$11-1)))</f>
        <v/>
      </c>
      <c r="J1889" s="57" t="str">
        <f aca="false">IF($I1889="","",INDEX(BookRate,1884)*(1+'5. Scenarios'!$C$10)*$I1889)</f>
        <v/>
      </c>
      <c r="K1889" s="57" t="str">
        <f aca="false">IF($J1889="","",SUMIFS($J$6:$J$2405,$A$6:$A$2405,"&lt;="&amp;$A1889))</f>
        <v/>
      </c>
      <c r="L1889" s="57" t="str">
        <f aca="false">IF($J1889="","",IF($K1889&lt;=BankCostEnvelope*'5. Scenarios'!$C$7,1,0))</f>
        <v/>
      </c>
      <c r="M1889" s="57" t="str">
        <f aca="false">IF($I1889="","",INDEX(BookRate,1884)*(1+'5. Scenarios'!$C$10)*(INDEX(BookQ1,1884)*(5-MIN(4,1+'5. Scenarios'!$C$8))/4+INDEX(BookQ2,1884)*(5-MIN(4,2+'5. Scenarios'!$C$8))/4+INDEX(BookQ3,1884)*(5-MIN(4,3+'5. Scenarios'!$C$8))/4+INDEX(BookQ4,1884)*(5-MIN(4,4+'5. Scenarios'!$C$8))/4)*'5. Scenarios'!$C$6/(1+ProductivityDefault*('5. Scenarios'!$C$11-1))+INDEX(BookOneOff,1884)*$I1889)</f>
        <v/>
      </c>
      <c r="N1889" s="56" t="str">
        <f aca="false">IF(INDEX(BookTitle,1884)="","",INDEX(BookTotal,1884)*'5. Scenarios'!$D$6/(1+ProductivityDefault*('5. Scenarios'!$D$11-1)))</f>
        <v/>
      </c>
      <c r="O1889" s="57" t="str">
        <f aca="false">IF($N1889="","",INDEX(BookRate,1884)*(1+'5. Scenarios'!$D$10)*$N1889)</f>
        <v/>
      </c>
      <c r="P1889" s="57" t="str">
        <f aca="false">IF($O1889="","",SUMIFS($O$6:$O$2405,$A$6:$A$2405,"&lt;="&amp;$A1889))</f>
        <v/>
      </c>
      <c r="Q1889" s="57" t="str">
        <f aca="false">IF($O1889="","",IF($P1889&lt;=BankCostEnvelope*'5. Scenarios'!$D$7,1,0))</f>
        <v/>
      </c>
      <c r="R1889" s="57" t="str">
        <f aca="false">IF($N1889="","",INDEX(BookRate,1884)*(1+'5. Scenarios'!$D$10)*(INDEX(BookQ1,1884)*(5-MIN(4,1+'5. Scenarios'!$D$8))/4+INDEX(BookQ2,1884)*(5-MIN(4,2+'5. Scenarios'!$D$8))/4+INDEX(BookQ3,1884)*(5-MIN(4,3+'5. Scenarios'!$D$8))/4+INDEX(BookQ4,1884)*(5-MIN(4,4+'5. Scenarios'!$D$8))/4)*'5. Scenarios'!$D$6/(1+ProductivityDefault*('5. Scenarios'!$D$11-1))+INDEX(BookOneOff,1884)*$N1889)</f>
        <v/>
      </c>
      <c r="S1889" s="56" t="str">
        <f aca="false">IF(INDEX(BookTitle,1884)="","",INDEX(BookTotal,1884)*'5. Scenarios'!$E$6/(1+ProductivityDefault*('5. Scenarios'!$E$11-1)))</f>
        <v/>
      </c>
      <c r="T1889" s="57" t="str">
        <f aca="false">IF($S1889="","",INDEX(BookRate,1884)*(1+'5. Scenarios'!$E$10)*$S1889)</f>
        <v/>
      </c>
      <c r="U1889" s="57" t="str">
        <f aca="false">IF($T1889="","",SUMIFS($T$6:$T$2405,$A$6:$A$2405,"&lt;="&amp;$A1889))</f>
        <v/>
      </c>
      <c r="V1889" s="57" t="str">
        <f aca="false">IF($T1889="","",IF($U1889&lt;=BankCostEnvelope*'5. Scenarios'!$E$7,1,0))</f>
        <v/>
      </c>
      <c r="W1889" s="57" t="str">
        <f aca="false">IF($S1889="","",INDEX(BookRate,1884)*(1+'5. Scenarios'!$E$10)*(INDEX(BookQ1,1884)*(5-MIN(4,1+'5. Scenarios'!$E$8))/4+INDEX(BookQ2,1884)*(5-MIN(4,2+'5. Scenarios'!$E$8))/4+INDEX(BookQ3,1884)*(5-MIN(4,3+'5. Scenarios'!$E$8))/4+INDEX(BookQ4,1884)*(5-MIN(4,4+'5. Scenarios'!$E$8))/4)*'5. Scenarios'!$E$6/(1+ProductivityDefault*('5. Scenarios'!$E$11-1))+INDEX(BookOneOff,1884)*$S1889)</f>
        <v/>
      </c>
    </row>
    <row r="1890" customFormat="false" ht="15" hidden="false" customHeight="false" outlineLevel="0" collapsed="false">
      <c r="A1890" s="0" t="str">
        <f aca="false">IF(INDEX(BookTitle,1885)="","",INDEX(BookKey,1885))</f>
        <v/>
      </c>
      <c r="B1890" s="0" t="str">
        <f aca="false">IF(INDEX(BookTitle,1885)="","",INDEX(BookGroup,1885))</f>
        <v/>
      </c>
      <c r="C1890" s="0" t="str">
        <f aca="false">IF(INDEX(BookTitle,1885)="","",INDEX(BookCategory,1885))</f>
        <v/>
      </c>
      <c r="D1890" s="56" t="str">
        <f aca="false">IF(INDEX(BookTitle,1885)="","",INDEX(BookTotal,1885)*'5. Scenarios'!$B$6/(1+ProductivityDefault*('5. Scenarios'!$B$11-1)))</f>
        <v/>
      </c>
      <c r="E1890" s="57" t="str">
        <f aca="false">IF($D1890="","",INDEX(BookRate,1885)*(1+'5. Scenarios'!$B$10)*$D1890)</f>
        <v/>
      </c>
      <c r="F1890" s="57" t="str">
        <f aca="false">IF($E1890="","",SUMIFS($E$6:$E$2405,$A$6:$A$2405,"&lt;="&amp;$A1890))</f>
        <v/>
      </c>
      <c r="G1890" s="57" t="str">
        <f aca="false">IF($E1890="","",IF($F1890&lt;=BankCostEnvelope*'5. Scenarios'!$B$7,1,0))</f>
        <v/>
      </c>
      <c r="H1890" s="57" t="str">
        <f aca="false">IF($D1890="","",INDEX(BookRate,1885)*(1+'5. Scenarios'!$B$10)*(INDEX(BookQ1,1885)*(5-MIN(4,1+'5. Scenarios'!$B$8))/4+INDEX(BookQ2,1885)*(5-MIN(4,2+'5. Scenarios'!$B$8))/4+INDEX(BookQ3,1885)*(5-MIN(4,3+'5. Scenarios'!$B$8))/4+INDEX(BookQ4,1885)*(5-MIN(4,4+'5. Scenarios'!$B$8))/4)*'5. Scenarios'!$B$6/(1+ProductivityDefault*('5. Scenarios'!$B$11-1))+INDEX(BookOneOff,1885)*$D1890)</f>
        <v/>
      </c>
      <c r="I1890" s="56" t="str">
        <f aca="false">IF(INDEX(BookTitle,1885)="","",INDEX(BookTotal,1885)*'5. Scenarios'!$C$6/(1+ProductivityDefault*('5. Scenarios'!$C$11-1)))</f>
        <v/>
      </c>
      <c r="J1890" s="57" t="str">
        <f aca="false">IF($I1890="","",INDEX(BookRate,1885)*(1+'5. Scenarios'!$C$10)*$I1890)</f>
        <v/>
      </c>
      <c r="K1890" s="57" t="str">
        <f aca="false">IF($J1890="","",SUMIFS($J$6:$J$2405,$A$6:$A$2405,"&lt;="&amp;$A1890))</f>
        <v/>
      </c>
      <c r="L1890" s="57" t="str">
        <f aca="false">IF($J1890="","",IF($K1890&lt;=BankCostEnvelope*'5. Scenarios'!$C$7,1,0))</f>
        <v/>
      </c>
      <c r="M1890" s="57" t="str">
        <f aca="false">IF($I1890="","",INDEX(BookRate,1885)*(1+'5. Scenarios'!$C$10)*(INDEX(BookQ1,1885)*(5-MIN(4,1+'5. Scenarios'!$C$8))/4+INDEX(BookQ2,1885)*(5-MIN(4,2+'5. Scenarios'!$C$8))/4+INDEX(BookQ3,1885)*(5-MIN(4,3+'5. Scenarios'!$C$8))/4+INDEX(BookQ4,1885)*(5-MIN(4,4+'5. Scenarios'!$C$8))/4)*'5. Scenarios'!$C$6/(1+ProductivityDefault*('5. Scenarios'!$C$11-1))+INDEX(BookOneOff,1885)*$I1890)</f>
        <v/>
      </c>
      <c r="N1890" s="56" t="str">
        <f aca="false">IF(INDEX(BookTitle,1885)="","",INDEX(BookTotal,1885)*'5. Scenarios'!$D$6/(1+ProductivityDefault*('5. Scenarios'!$D$11-1)))</f>
        <v/>
      </c>
      <c r="O1890" s="57" t="str">
        <f aca="false">IF($N1890="","",INDEX(BookRate,1885)*(1+'5. Scenarios'!$D$10)*$N1890)</f>
        <v/>
      </c>
      <c r="P1890" s="57" t="str">
        <f aca="false">IF($O1890="","",SUMIFS($O$6:$O$2405,$A$6:$A$2405,"&lt;="&amp;$A1890))</f>
        <v/>
      </c>
      <c r="Q1890" s="57" t="str">
        <f aca="false">IF($O1890="","",IF($P1890&lt;=BankCostEnvelope*'5. Scenarios'!$D$7,1,0))</f>
        <v/>
      </c>
      <c r="R1890" s="57" t="str">
        <f aca="false">IF($N1890="","",INDEX(BookRate,1885)*(1+'5. Scenarios'!$D$10)*(INDEX(BookQ1,1885)*(5-MIN(4,1+'5. Scenarios'!$D$8))/4+INDEX(BookQ2,1885)*(5-MIN(4,2+'5. Scenarios'!$D$8))/4+INDEX(BookQ3,1885)*(5-MIN(4,3+'5. Scenarios'!$D$8))/4+INDEX(BookQ4,1885)*(5-MIN(4,4+'5. Scenarios'!$D$8))/4)*'5. Scenarios'!$D$6/(1+ProductivityDefault*('5. Scenarios'!$D$11-1))+INDEX(BookOneOff,1885)*$N1890)</f>
        <v/>
      </c>
      <c r="S1890" s="56" t="str">
        <f aca="false">IF(INDEX(BookTitle,1885)="","",INDEX(BookTotal,1885)*'5. Scenarios'!$E$6/(1+ProductivityDefault*('5. Scenarios'!$E$11-1)))</f>
        <v/>
      </c>
      <c r="T1890" s="57" t="str">
        <f aca="false">IF($S1890="","",INDEX(BookRate,1885)*(1+'5. Scenarios'!$E$10)*$S1890)</f>
        <v/>
      </c>
      <c r="U1890" s="57" t="str">
        <f aca="false">IF($T1890="","",SUMIFS($T$6:$T$2405,$A$6:$A$2405,"&lt;="&amp;$A1890))</f>
        <v/>
      </c>
      <c r="V1890" s="57" t="str">
        <f aca="false">IF($T1890="","",IF($U1890&lt;=BankCostEnvelope*'5. Scenarios'!$E$7,1,0))</f>
        <v/>
      </c>
      <c r="W1890" s="57" t="str">
        <f aca="false">IF($S1890="","",INDEX(BookRate,1885)*(1+'5. Scenarios'!$E$10)*(INDEX(BookQ1,1885)*(5-MIN(4,1+'5. Scenarios'!$E$8))/4+INDEX(BookQ2,1885)*(5-MIN(4,2+'5. Scenarios'!$E$8))/4+INDEX(BookQ3,1885)*(5-MIN(4,3+'5. Scenarios'!$E$8))/4+INDEX(BookQ4,1885)*(5-MIN(4,4+'5. Scenarios'!$E$8))/4)*'5. Scenarios'!$E$6/(1+ProductivityDefault*('5. Scenarios'!$E$11-1))+INDEX(BookOneOff,1885)*$S1890)</f>
        <v/>
      </c>
    </row>
    <row r="1891" customFormat="false" ht="15" hidden="false" customHeight="false" outlineLevel="0" collapsed="false">
      <c r="A1891" s="0" t="str">
        <f aca="false">IF(INDEX(BookTitle,1886)="","",INDEX(BookKey,1886))</f>
        <v/>
      </c>
      <c r="B1891" s="0" t="str">
        <f aca="false">IF(INDEX(BookTitle,1886)="","",INDEX(BookGroup,1886))</f>
        <v/>
      </c>
      <c r="C1891" s="0" t="str">
        <f aca="false">IF(INDEX(BookTitle,1886)="","",INDEX(BookCategory,1886))</f>
        <v/>
      </c>
      <c r="D1891" s="56" t="str">
        <f aca="false">IF(INDEX(BookTitle,1886)="","",INDEX(BookTotal,1886)*'5. Scenarios'!$B$6/(1+ProductivityDefault*('5. Scenarios'!$B$11-1)))</f>
        <v/>
      </c>
      <c r="E1891" s="57" t="str">
        <f aca="false">IF($D1891="","",INDEX(BookRate,1886)*(1+'5. Scenarios'!$B$10)*$D1891)</f>
        <v/>
      </c>
      <c r="F1891" s="57" t="str">
        <f aca="false">IF($E1891="","",SUMIFS($E$6:$E$2405,$A$6:$A$2405,"&lt;="&amp;$A1891))</f>
        <v/>
      </c>
      <c r="G1891" s="57" t="str">
        <f aca="false">IF($E1891="","",IF($F1891&lt;=BankCostEnvelope*'5. Scenarios'!$B$7,1,0))</f>
        <v/>
      </c>
      <c r="H1891" s="57" t="str">
        <f aca="false">IF($D1891="","",INDEX(BookRate,1886)*(1+'5. Scenarios'!$B$10)*(INDEX(BookQ1,1886)*(5-MIN(4,1+'5. Scenarios'!$B$8))/4+INDEX(BookQ2,1886)*(5-MIN(4,2+'5. Scenarios'!$B$8))/4+INDEX(BookQ3,1886)*(5-MIN(4,3+'5. Scenarios'!$B$8))/4+INDEX(BookQ4,1886)*(5-MIN(4,4+'5. Scenarios'!$B$8))/4)*'5. Scenarios'!$B$6/(1+ProductivityDefault*('5. Scenarios'!$B$11-1))+INDEX(BookOneOff,1886)*$D1891)</f>
        <v/>
      </c>
      <c r="I1891" s="56" t="str">
        <f aca="false">IF(INDEX(BookTitle,1886)="","",INDEX(BookTotal,1886)*'5. Scenarios'!$C$6/(1+ProductivityDefault*('5. Scenarios'!$C$11-1)))</f>
        <v/>
      </c>
      <c r="J1891" s="57" t="str">
        <f aca="false">IF($I1891="","",INDEX(BookRate,1886)*(1+'5. Scenarios'!$C$10)*$I1891)</f>
        <v/>
      </c>
      <c r="K1891" s="57" t="str">
        <f aca="false">IF($J1891="","",SUMIFS($J$6:$J$2405,$A$6:$A$2405,"&lt;="&amp;$A1891))</f>
        <v/>
      </c>
      <c r="L1891" s="57" t="str">
        <f aca="false">IF($J1891="","",IF($K1891&lt;=BankCostEnvelope*'5. Scenarios'!$C$7,1,0))</f>
        <v/>
      </c>
      <c r="M1891" s="57" t="str">
        <f aca="false">IF($I1891="","",INDEX(BookRate,1886)*(1+'5. Scenarios'!$C$10)*(INDEX(BookQ1,1886)*(5-MIN(4,1+'5. Scenarios'!$C$8))/4+INDEX(BookQ2,1886)*(5-MIN(4,2+'5. Scenarios'!$C$8))/4+INDEX(BookQ3,1886)*(5-MIN(4,3+'5. Scenarios'!$C$8))/4+INDEX(BookQ4,1886)*(5-MIN(4,4+'5. Scenarios'!$C$8))/4)*'5. Scenarios'!$C$6/(1+ProductivityDefault*('5. Scenarios'!$C$11-1))+INDEX(BookOneOff,1886)*$I1891)</f>
        <v/>
      </c>
      <c r="N1891" s="56" t="str">
        <f aca="false">IF(INDEX(BookTitle,1886)="","",INDEX(BookTotal,1886)*'5. Scenarios'!$D$6/(1+ProductivityDefault*('5. Scenarios'!$D$11-1)))</f>
        <v/>
      </c>
      <c r="O1891" s="57" t="str">
        <f aca="false">IF($N1891="","",INDEX(BookRate,1886)*(1+'5. Scenarios'!$D$10)*$N1891)</f>
        <v/>
      </c>
      <c r="P1891" s="57" t="str">
        <f aca="false">IF($O1891="","",SUMIFS($O$6:$O$2405,$A$6:$A$2405,"&lt;="&amp;$A1891))</f>
        <v/>
      </c>
      <c r="Q1891" s="57" t="str">
        <f aca="false">IF($O1891="","",IF($P1891&lt;=BankCostEnvelope*'5. Scenarios'!$D$7,1,0))</f>
        <v/>
      </c>
      <c r="R1891" s="57" t="str">
        <f aca="false">IF($N1891="","",INDEX(BookRate,1886)*(1+'5. Scenarios'!$D$10)*(INDEX(BookQ1,1886)*(5-MIN(4,1+'5. Scenarios'!$D$8))/4+INDEX(BookQ2,1886)*(5-MIN(4,2+'5. Scenarios'!$D$8))/4+INDEX(BookQ3,1886)*(5-MIN(4,3+'5. Scenarios'!$D$8))/4+INDEX(BookQ4,1886)*(5-MIN(4,4+'5. Scenarios'!$D$8))/4)*'5. Scenarios'!$D$6/(1+ProductivityDefault*('5. Scenarios'!$D$11-1))+INDEX(BookOneOff,1886)*$N1891)</f>
        <v/>
      </c>
      <c r="S1891" s="56" t="str">
        <f aca="false">IF(INDEX(BookTitle,1886)="","",INDEX(BookTotal,1886)*'5. Scenarios'!$E$6/(1+ProductivityDefault*('5. Scenarios'!$E$11-1)))</f>
        <v/>
      </c>
      <c r="T1891" s="57" t="str">
        <f aca="false">IF($S1891="","",INDEX(BookRate,1886)*(1+'5. Scenarios'!$E$10)*$S1891)</f>
        <v/>
      </c>
      <c r="U1891" s="57" t="str">
        <f aca="false">IF($T1891="","",SUMIFS($T$6:$T$2405,$A$6:$A$2405,"&lt;="&amp;$A1891))</f>
        <v/>
      </c>
      <c r="V1891" s="57" t="str">
        <f aca="false">IF($T1891="","",IF($U1891&lt;=BankCostEnvelope*'5. Scenarios'!$E$7,1,0))</f>
        <v/>
      </c>
      <c r="W1891" s="57" t="str">
        <f aca="false">IF($S1891="","",INDEX(BookRate,1886)*(1+'5. Scenarios'!$E$10)*(INDEX(BookQ1,1886)*(5-MIN(4,1+'5. Scenarios'!$E$8))/4+INDEX(BookQ2,1886)*(5-MIN(4,2+'5. Scenarios'!$E$8))/4+INDEX(BookQ3,1886)*(5-MIN(4,3+'5. Scenarios'!$E$8))/4+INDEX(BookQ4,1886)*(5-MIN(4,4+'5. Scenarios'!$E$8))/4)*'5. Scenarios'!$E$6/(1+ProductivityDefault*('5. Scenarios'!$E$11-1))+INDEX(BookOneOff,1886)*$S1891)</f>
        <v/>
      </c>
    </row>
    <row r="1892" customFormat="false" ht="15" hidden="false" customHeight="false" outlineLevel="0" collapsed="false">
      <c r="A1892" s="0" t="str">
        <f aca="false">IF(INDEX(BookTitle,1887)="","",INDEX(BookKey,1887))</f>
        <v/>
      </c>
      <c r="B1892" s="0" t="str">
        <f aca="false">IF(INDEX(BookTitle,1887)="","",INDEX(BookGroup,1887))</f>
        <v/>
      </c>
      <c r="C1892" s="0" t="str">
        <f aca="false">IF(INDEX(BookTitle,1887)="","",INDEX(BookCategory,1887))</f>
        <v/>
      </c>
      <c r="D1892" s="56" t="str">
        <f aca="false">IF(INDEX(BookTitle,1887)="","",INDEX(BookTotal,1887)*'5. Scenarios'!$B$6/(1+ProductivityDefault*('5. Scenarios'!$B$11-1)))</f>
        <v/>
      </c>
      <c r="E1892" s="57" t="str">
        <f aca="false">IF($D1892="","",INDEX(BookRate,1887)*(1+'5. Scenarios'!$B$10)*$D1892)</f>
        <v/>
      </c>
      <c r="F1892" s="57" t="str">
        <f aca="false">IF($E1892="","",SUMIFS($E$6:$E$2405,$A$6:$A$2405,"&lt;="&amp;$A1892))</f>
        <v/>
      </c>
      <c r="G1892" s="57" t="str">
        <f aca="false">IF($E1892="","",IF($F1892&lt;=BankCostEnvelope*'5. Scenarios'!$B$7,1,0))</f>
        <v/>
      </c>
      <c r="H1892" s="57" t="str">
        <f aca="false">IF($D1892="","",INDEX(BookRate,1887)*(1+'5. Scenarios'!$B$10)*(INDEX(BookQ1,1887)*(5-MIN(4,1+'5. Scenarios'!$B$8))/4+INDEX(BookQ2,1887)*(5-MIN(4,2+'5. Scenarios'!$B$8))/4+INDEX(BookQ3,1887)*(5-MIN(4,3+'5. Scenarios'!$B$8))/4+INDEX(BookQ4,1887)*(5-MIN(4,4+'5. Scenarios'!$B$8))/4)*'5. Scenarios'!$B$6/(1+ProductivityDefault*('5. Scenarios'!$B$11-1))+INDEX(BookOneOff,1887)*$D1892)</f>
        <v/>
      </c>
      <c r="I1892" s="56" t="str">
        <f aca="false">IF(INDEX(BookTitle,1887)="","",INDEX(BookTotal,1887)*'5. Scenarios'!$C$6/(1+ProductivityDefault*('5. Scenarios'!$C$11-1)))</f>
        <v/>
      </c>
      <c r="J1892" s="57" t="str">
        <f aca="false">IF($I1892="","",INDEX(BookRate,1887)*(1+'5. Scenarios'!$C$10)*$I1892)</f>
        <v/>
      </c>
      <c r="K1892" s="57" t="str">
        <f aca="false">IF($J1892="","",SUMIFS($J$6:$J$2405,$A$6:$A$2405,"&lt;="&amp;$A1892))</f>
        <v/>
      </c>
      <c r="L1892" s="57" t="str">
        <f aca="false">IF($J1892="","",IF($K1892&lt;=BankCostEnvelope*'5. Scenarios'!$C$7,1,0))</f>
        <v/>
      </c>
      <c r="M1892" s="57" t="str">
        <f aca="false">IF($I1892="","",INDEX(BookRate,1887)*(1+'5. Scenarios'!$C$10)*(INDEX(BookQ1,1887)*(5-MIN(4,1+'5. Scenarios'!$C$8))/4+INDEX(BookQ2,1887)*(5-MIN(4,2+'5. Scenarios'!$C$8))/4+INDEX(BookQ3,1887)*(5-MIN(4,3+'5. Scenarios'!$C$8))/4+INDEX(BookQ4,1887)*(5-MIN(4,4+'5. Scenarios'!$C$8))/4)*'5. Scenarios'!$C$6/(1+ProductivityDefault*('5. Scenarios'!$C$11-1))+INDEX(BookOneOff,1887)*$I1892)</f>
        <v/>
      </c>
      <c r="N1892" s="56" t="str">
        <f aca="false">IF(INDEX(BookTitle,1887)="","",INDEX(BookTotal,1887)*'5. Scenarios'!$D$6/(1+ProductivityDefault*('5. Scenarios'!$D$11-1)))</f>
        <v/>
      </c>
      <c r="O1892" s="57" t="str">
        <f aca="false">IF($N1892="","",INDEX(BookRate,1887)*(1+'5. Scenarios'!$D$10)*$N1892)</f>
        <v/>
      </c>
      <c r="P1892" s="57" t="str">
        <f aca="false">IF($O1892="","",SUMIFS($O$6:$O$2405,$A$6:$A$2405,"&lt;="&amp;$A1892))</f>
        <v/>
      </c>
      <c r="Q1892" s="57" t="str">
        <f aca="false">IF($O1892="","",IF($P1892&lt;=BankCostEnvelope*'5. Scenarios'!$D$7,1,0))</f>
        <v/>
      </c>
      <c r="R1892" s="57" t="str">
        <f aca="false">IF($N1892="","",INDEX(BookRate,1887)*(1+'5. Scenarios'!$D$10)*(INDEX(BookQ1,1887)*(5-MIN(4,1+'5. Scenarios'!$D$8))/4+INDEX(BookQ2,1887)*(5-MIN(4,2+'5. Scenarios'!$D$8))/4+INDEX(BookQ3,1887)*(5-MIN(4,3+'5. Scenarios'!$D$8))/4+INDEX(BookQ4,1887)*(5-MIN(4,4+'5. Scenarios'!$D$8))/4)*'5. Scenarios'!$D$6/(1+ProductivityDefault*('5. Scenarios'!$D$11-1))+INDEX(BookOneOff,1887)*$N1892)</f>
        <v/>
      </c>
      <c r="S1892" s="56" t="str">
        <f aca="false">IF(INDEX(BookTitle,1887)="","",INDEX(BookTotal,1887)*'5. Scenarios'!$E$6/(1+ProductivityDefault*('5. Scenarios'!$E$11-1)))</f>
        <v/>
      </c>
      <c r="T1892" s="57" t="str">
        <f aca="false">IF($S1892="","",INDEX(BookRate,1887)*(1+'5. Scenarios'!$E$10)*$S1892)</f>
        <v/>
      </c>
      <c r="U1892" s="57" t="str">
        <f aca="false">IF($T1892="","",SUMIFS($T$6:$T$2405,$A$6:$A$2405,"&lt;="&amp;$A1892))</f>
        <v/>
      </c>
      <c r="V1892" s="57" t="str">
        <f aca="false">IF($T1892="","",IF($U1892&lt;=BankCostEnvelope*'5. Scenarios'!$E$7,1,0))</f>
        <v/>
      </c>
      <c r="W1892" s="57" t="str">
        <f aca="false">IF($S1892="","",INDEX(BookRate,1887)*(1+'5. Scenarios'!$E$10)*(INDEX(BookQ1,1887)*(5-MIN(4,1+'5. Scenarios'!$E$8))/4+INDEX(BookQ2,1887)*(5-MIN(4,2+'5. Scenarios'!$E$8))/4+INDEX(BookQ3,1887)*(5-MIN(4,3+'5. Scenarios'!$E$8))/4+INDEX(BookQ4,1887)*(5-MIN(4,4+'5. Scenarios'!$E$8))/4)*'5. Scenarios'!$E$6/(1+ProductivityDefault*('5. Scenarios'!$E$11-1))+INDEX(BookOneOff,1887)*$S1892)</f>
        <v/>
      </c>
    </row>
    <row r="1893" customFormat="false" ht="15" hidden="false" customHeight="false" outlineLevel="0" collapsed="false">
      <c r="A1893" s="0" t="str">
        <f aca="false">IF(INDEX(BookTitle,1888)="","",INDEX(BookKey,1888))</f>
        <v/>
      </c>
      <c r="B1893" s="0" t="str">
        <f aca="false">IF(INDEX(BookTitle,1888)="","",INDEX(BookGroup,1888))</f>
        <v/>
      </c>
      <c r="C1893" s="0" t="str">
        <f aca="false">IF(INDEX(BookTitle,1888)="","",INDEX(BookCategory,1888))</f>
        <v/>
      </c>
      <c r="D1893" s="56" t="str">
        <f aca="false">IF(INDEX(BookTitle,1888)="","",INDEX(BookTotal,1888)*'5. Scenarios'!$B$6/(1+ProductivityDefault*('5. Scenarios'!$B$11-1)))</f>
        <v/>
      </c>
      <c r="E1893" s="57" t="str">
        <f aca="false">IF($D1893="","",INDEX(BookRate,1888)*(1+'5. Scenarios'!$B$10)*$D1893)</f>
        <v/>
      </c>
      <c r="F1893" s="57" t="str">
        <f aca="false">IF($E1893="","",SUMIFS($E$6:$E$2405,$A$6:$A$2405,"&lt;="&amp;$A1893))</f>
        <v/>
      </c>
      <c r="G1893" s="57" t="str">
        <f aca="false">IF($E1893="","",IF($F1893&lt;=BankCostEnvelope*'5. Scenarios'!$B$7,1,0))</f>
        <v/>
      </c>
      <c r="H1893" s="57" t="str">
        <f aca="false">IF($D1893="","",INDEX(BookRate,1888)*(1+'5. Scenarios'!$B$10)*(INDEX(BookQ1,1888)*(5-MIN(4,1+'5. Scenarios'!$B$8))/4+INDEX(BookQ2,1888)*(5-MIN(4,2+'5. Scenarios'!$B$8))/4+INDEX(BookQ3,1888)*(5-MIN(4,3+'5. Scenarios'!$B$8))/4+INDEX(BookQ4,1888)*(5-MIN(4,4+'5. Scenarios'!$B$8))/4)*'5. Scenarios'!$B$6/(1+ProductivityDefault*('5. Scenarios'!$B$11-1))+INDEX(BookOneOff,1888)*$D1893)</f>
        <v/>
      </c>
      <c r="I1893" s="56" t="str">
        <f aca="false">IF(INDEX(BookTitle,1888)="","",INDEX(BookTotal,1888)*'5. Scenarios'!$C$6/(1+ProductivityDefault*('5. Scenarios'!$C$11-1)))</f>
        <v/>
      </c>
      <c r="J1893" s="57" t="str">
        <f aca="false">IF($I1893="","",INDEX(BookRate,1888)*(1+'5. Scenarios'!$C$10)*$I1893)</f>
        <v/>
      </c>
      <c r="K1893" s="57" t="str">
        <f aca="false">IF($J1893="","",SUMIFS($J$6:$J$2405,$A$6:$A$2405,"&lt;="&amp;$A1893))</f>
        <v/>
      </c>
      <c r="L1893" s="57" t="str">
        <f aca="false">IF($J1893="","",IF($K1893&lt;=BankCostEnvelope*'5. Scenarios'!$C$7,1,0))</f>
        <v/>
      </c>
      <c r="M1893" s="57" t="str">
        <f aca="false">IF($I1893="","",INDEX(BookRate,1888)*(1+'5. Scenarios'!$C$10)*(INDEX(BookQ1,1888)*(5-MIN(4,1+'5. Scenarios'!$C$8))/4+INDEX(BookQ2,1888)*(5-MIN(4,2+'5. Scenarios'!$C$8))/4+INDEX(BookQ3,1888)*(5-MIN(4,3+'5. Scenarios'!$C$8))/4+INDEX(BookQ4,1888)*(5-MIN(4,4+'5. Scenarios'!$C$8))/4)*'5. Scenarios'!$C$6/(1+ProductivityDefault*('5. Scenarios'!$C$11-1))+INDEX(BookOneOff,1888)*$I1893)</f>
        <v/>
      </c>
      <c r="N1893" s="56" t="str">
        <f aca="false">IF(INDEX(BookTitle,1888)="","",INDEX(BookTotal,1888)*'5. Scenarios'!$D$6/(1+ProductivityDefault*('5. Scenarios'!$D$11-1)))</f>
        <v/>
      </c>
      <c r="O1893" s="57" t="str">
        <f aca="false">IF($N1893="","",INDEX(BookRate,1888)*(1+'5. Scenarios'!$D$10)*$N1893)</f>
        <v/>
      </c>
      <c r="P1893" s="57" t="str">
        <f aca="false">IF($O1893="","",SUMIFS($O$6:$O$2405,$A$6:$A$2405,"&lt;="&amp;$A1893))</f>
        <v/>
      </c>
      <c r="Q1893" s="57" t="str">
        <f aca="false">IF($O1893="","",IF($P1893&lt;=BankCostEnvelope*'5. Scenarios'!$D$7,1,0))</f>
        <v/>
      </c>
      <c r="R1893" s="57" t="str">
        <f aca="false">IF($N1893="","",INDEX(BookRate,1888)*(1+'5. Scenarios'!$D$10)*(INDEX(BookQ1,1888)*(5-MIN(4,1+'5. Scenarios'!$D$8))/4+INDEX(BookQ2,1888)*(5-MIN(4,2+'5. Scenarios'!$D$8))/4+INDEX(BookQ3,1888)*(5-MIN(4,3+'5. Scenarios'!$D$8))/4+INDEX(BookQ4,1888)*(5-MIN(4,4+'5. Scenarios'!$D$8))/4)*'5. Scenarios'!$D$6/(1+ProductivityDefault*('5. Scenarios'!$D$11-1))+INDEX(BookOneOff,1888)*$N1893)</f>
        <v/>
      </c>
      <c r="S1893" s="56" t="str">
        <f aca="false">IF(INDEX(BookTitle,1888)="","",INDEX(BookTotal,1888)*'5. Scenarios'!$E$6/(1+ProductivityDefault*('5. Scenarios'!$E$11-1)))</f>
        <v/>
      </c>
      <c r="T1893" s="57" t="str">
        <f aca="false">IF($S1893="","",INDEX(BookRate,1888)*(1+'5. Scenarios'!$E$10)*$S1893)</f>
        <v/>
      </c>
      <c r="U1893" s="57" t="str">
        <f aca="false">IF($T1893="","",SUMIFS($T$6:$T$2405,$A$6:$A$2405,"&lt;="&amp;$A1893))</f>
        <v/>
      </c>
      <c r="V1893" s="57" t="str">
        <f aca="false">IF($T1893="","",IF($U1893&lt;=BankCostEnvelope*'5. Scenarios'!$E$7,1,0))</f>
        <v/>
      </c>
      <c r="W1893" s="57" t="str">
        <f aca="false">IF($S1893="","",INDEX(BookRate,1888)*(1+'5. Scenarios'!$E$10)*(INDEX(BookQ1,1888)*(5-MIN(4,1+'5. Scenarios'!$E$8))/4+INDEX(BookQ2,1888)*(5-MIN(4,2+'5. Scenarios'!$E$8))/4+INDEX(BookQ3,1888)*(5-MIN(4,3+'5. Scenarios'!$E$8))/4+INDEX(BookQ4,1888)*(5-MIN(4,4+'5. Scenarios'!$E$8))/4)*'5. Scenarios'!$E$6/(1+ProductivityDefault*('5. Scenarios'!$E$11-1))+INDEX(BookOneOff,1888)*$S1893)</f>
        <v/>
      </c>
    </row>
    <row r="1894" customFormat="false" ht="15" hidden="false" customHeight="false" outlineLevel="0" collapsed="false">
      <c r="A1894" s="0" t="str">
        <f aca="false">IF(INDEX(BookTitle,1889)="","",INDEX(BookKey,1889))</f>
        <v/>
      </c>
      <c r="B1894" s="0" t="str">
        <f aca="false">IF(INDEX(BookTitle,1889)="","",INDEX(BookGroup,1889))</f>
        <v/>
      </c>
      <c r="C1894" s="0" t="str">
        <f aca="false">IF(INDEX(BookTitle,1889)="","",INDEX(BookCategory,1889))</f>
        <v/>
      </c>
      <c r="D1894" s="56" t="str">
        <f aca="false">IF(INDEX(BookTitle,1889)="","",INDEX(BookTotal,1889)*'5. Scenarios'!$B$6/(1+ProductivityDefault*('5. Scenarios'!$B$11-1)))</f>
        <v/>
      </c>
      <c r="E1894" s="57" t="str">
        <f aca="false">IF($D1894="","",INDEX(BookRate,1889)*(1+'5. Scenarios'!$B$10)*$D1894)</f>
        <v/>
      </c>
      <c r="F1894" s="57" t="str">
        <f aca="false">IF($E1894="","",SUMIFS($E$6:$E$2405,$A$6:$A$2405,"&lt;="&amp;$A1894))</f>
        <v/>
      </c>
      <c r="G1894" s="57" t="str">
        <f aca="false">IF($E1894="","",IF($F1894&lt;=BankCostEnvelope*'5. Scenarios'!$B$7,1,0))</f>
        <v/>
      </c>
      <c r="H1894" s="57" t="str">
        <f aca="false">IF($D1894="","",INDEX(BookRate,1889)*(1+'5. Scenarios'!$B$10)*(INDEX(BookQ1,1889)*(5-MIN(4,1+'5. Scenarios'!$B$8))/4+INDEX(BookQ2,1889)*(5-MIN(4,2+'5. Scenarios'!$B$8))/4+INDEX(BookQ3,1889)*(5-MIN(4,3+'5. Scenarios'!$B$8))/4+INDEX(BookQ4,1889)*(5-MIN(4,4+'5. Scenarios'!$B$8))/4)*'5. Scenarios'!$B$6/(1+ProductivityDefault*('5. Scenarios'!$B$11-1))+INDEX(BookOneOff,1889)*$D1894)</f>
        <v/>
      </c>
      <c r="I1894" s="56" t="str">
        <f aca="false">IF(INDEX(BookTitle,1889)="","",INDEX(BookTotal,1889)*'5. Scenarios'!$C$6/(1+ProductivityDefault*('5. Scenarios'!$C$11-1)))</f>
        <v/>
      </c>
      <c r="J1894" s="57" t="str">
        <f aca="false">IF($I1894="","",INDEX(BookRate,1889)*(1+'5. Scenarios'!$C$10)*$I1894)</f>
        <v/>
      </c>
      <c r="K1894" s="57" t="str">
        <f aca="false">IF($J1894="","",SUMIFS($J$6:$J$2405,$A$6:$A$2405,"&lt;="&amp;$A1894))</f>
        <v/>
      </c>
      <c r="L1894" s="57" t="str">
        <f aca="false">IF($J1894="","",IF($K1894&lt;=BankCostEnvelope*'5. Scenarios'!$C$7,1,0))</f>
        <v/>
      </c>
      <c r="M1894" s="57" t="str">
        <f aca="false">IF($I1894="","",INDEX(BookRate,1889)*(1+'5. Scenarios'!$C$10)*(INDEX(BookQ1,1889)*(5-MIN(4,1+'5. Scenarios'!$C$8))/4+INDEX(BookQ2,1889)*(5-MIN(4,2+'5. Scenarios'!$C$8))/4+INDEX(BookQ3,1889)*(5-MIN(4,3+'5. Scenarios'!$C$8))/4+INDEX(BookQ4,1889)*(5-MIN(4,4+'5. Scenarios'!$C$8))/4)*'5. Scenarios'!$C$6/(1+ProductivityDefault*('5. Scenarios'!$C$11-1))+INDEX(BookOneOff,1889)*$I1894)</f>
        <v/>
      </c>
      <c r="N1894" s="56" t="str">
        <f aca="false">IF(INDEX(BookTitle,1889)="","",INDEX(BookTotal,1889)*'5. Scenarios'!$D$6/(1+ProductivityDefault*('5. Scenarios'!$D$11-1)))</f>
        <v/>
      </c>
      <c r="O1894" s="57" t="str">
        <f aca="false">IF($N1894="","",INDEX(BookRate,1889)*(1+'5. Scenarios'!$D$10)*$N1894)</f>
        <v/>
      </c>
      <c r="P1894" s="57" t="str">
        <f aca="false">IF($O1894="","",SUMIFS($O$6:$O$2405,$A$6:$A$2405,"&lt;="&amp;$A1894))</f>
        <v/>
      </c>
      <c r="Q1894" s="57" t="str">
        <f aca="false">IF($O1894="","",IF($P1894&lt;=BankCostEnvelope*'5. Scenarios'!$D$7,1,0))</f>
        <v/>
      </c>
      <c r="R1894" s="57" t="str">
        <f aca="false">IF($N1894="","",INDEX(BookRate,1889)*(1+'5. Scenarios'!$D$10)*(INDEX(BookQ1,1889)*(5-MIN(4,1+'5. Scenarios'!$D$8))/4+INDEX(BookQ2,1889)*(5-MIN(4,2+'5. Scenarios'!$D$8))/4+INDEX(BookQ3,1889)*(5-MIN(4,3+'5. Scenarios'!$D$8))/4+INDEX(BookQ4,1889)*(5-MIN(4,4+'5. Scenarios'!$D$8))/4)*'5. Scenarios'!$D$6/(1+ProductivityDefault*('5. Scenarios'!$D$11-1))+INDEX(BookOneOff,1889)*$N1894)</f>
        <v/>
      </c>
      <c r="S1894" s="56" t="str">
        <f aca="false">IF(INDEX(BookTitle,1889)="","",INDEX(BookTotal,1889)*'5. Scenarios'!$E$6/(1+ProductivityDefault*('5. Scenarios'!$E$11-1)))</f>
        <v/>
      </c>
      <c r="T1894" s="57" t="str">
        <f aca="false">IF($S1894="","",INDEX(BookRate,1889)*(1+'5. Scenarios'!$E$10)*$S1894)</f>
        <v/>
      </c>
      <c r="U1894" s="57" t="str">
        <f aca="false">IF($T1894="","",SUMIFS($T$6:$T$2405,$A$6:$A$2405,"&lt;="&amp;$A1894))</f>
        <v/>
      </c>
      <c r="V1894" s="57" t="str">
        <f aca="false">IF($T1894="","",IF($U1894&lt;=BankCostEnvelope*'5. Scenarios'!$E$7,1,0))</f>
        <v/>
      </c>
      <c r="W1894" s="57" t="str">
        <f aca="false">IF($S1894="","",INDEX(BookRate,1889)*(1+'5. Scenarios'!$E$10)*(INDEX(BookQ1,1889)*(5-MIN(4,1+'5. Scenarios'!$E$8))/4+INDEX(BookQ2,1889)*(5-MIN(4,2+'5. Scenarios'!$E$8))/4+INDEX(BookQ3,1889)*(5-MIN(4,3+'5. Scenarios'!$E$8))/4+INDEX(BookQ4,1889)*(5-MIN(4,4+'5. Scenarios'!$E$8))/4)*'5. Scenarios'!$E$6/(1+ProductivityDefault*('5. Scenarios'!$E$11-1))+INDEX(BookOneOff,1889)*$S1894)</f>
        <v/>
      </c>
    </row>
    <row r="1895" customFormat="false" ht="15" hidden="false" customHeight="false" outlineLevel="0" collapsed="false">
      <c r="A1895" s="0" t="str">
        <f aca="false">IF(INDEX(BookTitle,1890)="","",INDEX(BookKey,1890))</f>
        <v/>
      </c>
      <c r="B1895" s="0" t="str">
        <f aca="false">IF(INDEX(BookTitle,1890)="","",INDEX(BookGroup,1890))</f>
        <v/>
      </c>
      <c r="C1895" s="0" t="str">
        <f aca="false">IF(INDEX(BookTitle,1890)="","",INDEX(BookCategory,1890))</f>
        <v/>
      </c>
      <c r="D1895" s="56" t="str">
        <f aca="false">IF(INDEX(BookTitle,1890)="","",INDEX(BookTotal,1890)*'5. Scenarios'!$B$6/(1+ProductivityDefault*('5. Scenarios'!$B$11-1)))</f>
        <v/>
      </c>
      <c r="E1895" s="57" t="str">
        <f aca="false">IF($D1895="","",INDEX(BookRate,1890)*(1+'5. Scenarios'!$B$10)*$D1895)</f>
        <v/>
      </c>
      <c r="F1895" s="57" t="str">
        <f aca="false">IF($E1895="","",SUMIFS($E$6:$E$2405,$A$6:$A$2405,"&lt;="&amp;$A1895))</f>
        <v/>
      </c>
      <c r="G1895" s="57" t="str">
        <f aca="false">IF($E1895="","",IF($F1895&lt;=BankCostEnvelope*'5. Scenarios'!$B$7,1,0))</f>
        <v/>
      </c>
      <c r="H1895" s="57" t="str">
        <f aca="false">IF($D1895="","",INDEX(BookRate,1890)*(1+'5. Scenarios'!$B$10)*(INDEX(BookQ1,1890)*(5-MIN(4,1+'5. Scenarios'!$B$8))/4+INDEX(BookQ2,1890)*(5-MIN(4,2+'5. Scenarios'!$B$8))/4+INDEX(BookQ3,1890)*(5-MIN(4,3+'5. Scenarios'!$B$8))/4+INDEX(BookQ4,1890)*(5-MIN(4,4+'5. Scenarios'!$B$8))/4)*'5. Scenarios'!$B$6/(1+ProductivityDefault*('5. Scenarios'!$B$11-1))+INDEX(BookOneOff,1890)*$D1895)</f>
        <v/>
      </c>
      <c r="I1895" s="56" t="str">
        <f aca="false">IF(INDEX(BookTitle,1890)="","",INDEX(BookTotal,1890)*'5. Scenarios'!$C$6/(1+ProductivityDefault*('5. Scenarios'!$C$11-1)))</f>
        <v/>
      </c>
      <c r="J1895" s="57" t="str">
        <f aca="false">IF($I1895="","",INDEX(BookRate,1890)*(1+'5. Scenarios'!$C$10)*$I1895)</f>
        <v/>
      </c>
      <c r="K1895" s="57" t="str">
        <f aca="false">IF($J1895="","",SUMIFS($J$6:$J$2405,$A$6:$A$2405,"&lt;="&amp;$A1895))</f>
        <v/>
      </c>
      <c r="L1895" s="57" t="str">
        <f aca="false">IF($J1895="","",IF($K1895&lt;=BankCostEnvelope*'5. Scenarios'!$C$7,1,0))</f>
        <v/>
      </c>
      <c r="M1895" s="57" t="str">
        <f aca="false">IF($I1895="","",INDEX(BookRate,1890)*(1+'5. Scenarios'!$C$10)*(INDEX(BookQ1,1890)*(5-MIN(4,1+'5. Scenarios'!$C$8))/4+INDEX(BookQ2,1890)*(5-MIN(4,2+'5. Scenarios'!$C$8))/4+INDEX(BookQ3,1890)*(5-MIN(4,3+'5. Scenarios'!$C$8))/4+INDEX(BookQ4,1890)*(5-MIN(4,4+'5. Scenarios'!$C$8))/4)*'5. Scenarios'!$C$6/(1+ProductivityDefault*('5. Scenarios'!$C$11-1))+INDEX(BookOneOff,1890)*$I1895)</f>
        <v/>
      </c>
      <c r="N1895" s="56" t="str">
        <f aca="false">IF(INDEX(BookTitle,1890)="","",INDEX(BookTotal,1890)*'5. Scenarios'!$D$6/(1+ProductivityDefault*('5. Scenarios'!$D$11-1)))</f>
        <v/>
      </c>
      <c r="O1895" s="57" t="str">
        <f aca="false">IF($N1895="","",INDEX(BookRate,1890)*(1+'5. Scenarios'!$D$10)*$N1895)</f>
        <v/>
      </c>
      <c r="P1895" s="57" t="str">
        <f aca="false">IF($O1895="","",SUMIFS($O$6:$O$2405,$A$6:$A$2405,"&lt;="&amp;$A1895))</f>
        <v/>
      </c>
      <c r="Q1895" s="57" t="str">
        <f aca="false">IF($O1895="","",IF($P1895&lt;=BankCostEnvelope*'5. Scenarios'!$D$7,1,0))</f>
        <v/>
      </c>
      <c r="R1895" s="57" t="str">
        <f aca="false">IF($N1895="","",INDEX(BookRate,1890)*(1+'5. Scenarios'!$D$10)*(INDEX(BookQ1,1890)*(5-MIN(4,1+'5. Scenarios'!$D$8))/4+INDEX(BookQ2,1890)*(5-MIN(4,2+'5. Scenarios'!$D$8))/4+INDEX(BookQ3,1890)*(5-MIN(4,3+'5. Scenarios'!$D$8))/4+INDEX(BookQ4,1890)*(5-MIN(4,4+'5. Scenarios'!$D$8))/4)*'5. Scenarios'!$D$6/(1+ProductivityDefault*('5. Scenarios'!$D$11-1))+INDEX(BookOneOff,1890)*$N1895)</f>
        <v/>
      </c>
      <c r="S1895" s="56" t="str">
        <f aca="false">IF(INDEX(BookTitle,1890)="","",INDEX(BookTotal,1890)*'5. Scenarios'!$E$6/(1+ProductivityDefault*('5. Scenarios'!$E$11-1)))</f>
        <v/>
      </c>
      <c r="T1895" s="57" t="str">
        <f aca="false">IF($S1895="","",INDEX(BookRate,1890)*(1+'5. Scenarios'!$E$10)*$S1895)</f>
        <v/>
      </c>
      <c r="U1895" s="57" t="str">
        <f aca="false">IF($T1895="","",SUMIFS($T$6:$T$2405,$A$6:$A$2405,"&lt;="&amp;$A1895))</f>
        <v/>
      </c>
      <c r="V1895" s="57" t="str">
        <f aca="false">IF($T1895="","",IF($U1895&lt;=BankCostEnvelope*'5. Scenarios'!$E$7,1,0))</f>
        <v/>
      </c>
      <c r="W1895" s="57" t="str">
        <f aca="false">IF($S1895="","",INDEX(BookRate,1890)*(1+'5. Scenarios'!$E$10)*(INDEX(BookQ1,1890)*(5-MIN(4,1+'5. Scenarios'!$E$8))/4+INDEX(BookQ2,1890)*(5-MIN(4,2+'5. Scenarios'!$E$8))/4+INDEX(BookQ3,1890)*(5-MIN(4,3+'5. Scenarios'!$E$8))/4+INDEX(BookQ4,1890)*(5-MIN(4,4+'5. Scenarios'!$E$8))/4)*'5. Scenarios'!$E$6/(1+ProductivityDefault*('5. Scenarios'!$E$11-1))+INDEX(BookOneOff,1890)*$S1895)</f>
        <v/>
      </c>
    </row>
    <row r="1896" customFormat="false" ht="15" hidden="false" customHeight="false" outlineLevel="0" collapsed="false">
      <c r="A1896" s="0" t="str">
        <f aca="false">IF(INDEX(BookTitle,1891)="","",INDEX(BookKey,1891))</f>
        <v/>
      </c>
      <c r="B1896" s="0" t="str">
        <f aca="false">IF(INDEX(BookTitle,1891)="","",INDEX(BookGroup,1891))</f>
        <v/>
      </c>
      <c r="C1896" s="0" t="str">
        <f aca="false">IF(INDEX(BookTitle,1891)="","",INDEX(BookCategory,1891))</f>
        <v/>
      </c>
      <c r="D1896" s="56" t="str">
        <f aca="false">IF(INDEX(BookTitle,1891)="","",INDEX(BookTotal,1891)*'5. Scenarios'!$B$6/(1+ProductivityDefault*('5. Scenarios'!$B$11-1)))</f>
        <v/>
      </c>
      <c r="E1896" s="57" t="str">
        <f aca="false">IF($D1896="","",INDEX(BookRate,1891)*(1+'5. Scenarios'!$B$10)*$D1896)</f>
        <v/>
      </c>
      <c r="F1896" s="57" t="str">
        <f aca="false">IF($E1896="","",SUMIFS($E$6:$E$2405,$A$6:$A$2405,"&lt;="&amp;$A1896))</f>
        <v/>
      </c>
      <c r="G1896" s="57" t="str">
        <f aca="false">IF($E1896="","",IF($F1896&lt;=BankCostEnvelope*'5. Scenarios'!$B$7,1,0))</f>
        <v/>
      </c>
      <c r="H1896" s="57" t="str">
        <f aca="false">IF($D1896="","",INDEX(BookRate,1891)*(1+'5. Scenarios'!$B$10)*(INDEX(BookQ1,1891)*(5-MIN(4,1+'5. Scenarios'!$B$8))/4+INDEX(BookQ2,1891)*(5-MIN(4,2+'5. Scenarios'!$B$8))/4+INDEX(BookQ3,1891)*(5-MIN(4,3+'5. Scenarios'!$B$8))/4+INDEX(BookQ4,1891)*(5-MIN(4,4+'5. Scenarios'!$B$8))/4)*'5. Scenarios'!$B$6/(1+ProductivityDefault*('5. Scenarios'!$B$11-1))+INDEX(BookOneOff,1891)*$D1896)</f>
        <v/>
      </c>
      <c r="I1896" s="56" t="str">
        <f aca="false">IF(INDEX(BookTitle,1891)="","",INDEX(BookTotal,1891)*'5. Scenarios'!$C$6/(1+ProductivityDefault*('5. Scenarios'!$C$11-1)))</f>
        <v/>
      </c>
      <c r="J1896" s="57" t="str">
        <f aca="false">IF($I1896="","",INDEX(BookRate,1891)*(1+'5. Scenarios'!$C$10)*$I1896)</f>
        <v/>
      </c>
      <c r="K1896" s="57" t="str">
        <f aca="false">IF($J1896="","",SUMIFS($J$6:$J$2405,$A$6:$A$2405,"&lt;="&amp;$A1896))</f>
        <v/>
      </c>
      <c r="L1896" s="57" t="str">
        <f aca="false">IF($J1896="","",IF($K1896&lt;=BankCostEnvelope*'5. Scenarios'!$C$7,1,0))</f>
        <v/>
      </c>
      <c r="M1896" s="57" t="str">
        <f aca="false">IF($I1896="","",INDEX(BookRate,1891)*(1+'5. Scenarios'!$C$10)*(INDEX(BookQ1,1891)*(5-MIN(4,1+'5. Scenarios'!$C$8))/4+INDEX(BookQ2,1891)*(5-MIN(4,2+'5. Scenarios'!$C$8))/4+INDEX(BookQ3,1891)*(5-MIN(4,3+'5. Scenarios'!$C$8))/4+INDEX(BookQ4,1891)*(5-MIN(4,4+'5. Scenarios'!$C$8))/4)*'5. Scenarios'!$C$6/(1+ProductivityDefault*('5. Scenarios'!$C$11-1))+INDEX(BookOneOff,1891)*$I1896)</f>
        <v/>
      </c>
      <c r="N1896" s="56" t="str">
        <f aca="false">IF(INDEX(BookTitle,1891)="","",INDEX(BookTotal,1891)*'5. Scenarios'!$D$6/(1+ProductivityDefault*('5. Scenarios'!$D$11-1)))</f>
        <v/>
      </c>
      <c r="O1896" s="57" t="str">
        <f aca="false">IF($N1896="","",INDEX(BookRate,1891)*(1+'5. Scenarios'!$D$10)*$N1896)</f>
        <v/>
      </c>
      <c r="P1896" s="57" t="str">
        <f aca="false">IF($O1896="","",SUMIFS($O$6:$O$2405,$A$6:$A$2405,"&lt;="&amp;$A1896))</f>
        <v/>
      </c>
      <c r="Q1896" s="57" t="str">
        <f aca="false">IF($O1896="","",IF($P1896&lt;=BankCostEnvelope*'5. Scenarios'!$D$7,1,0))</f>
        <v/>
      </c>
      <c r="R1896" s="57" t="str">
        <f aca="false">IF($N1896="","",INDEX(BookRate,1891)*(1+'5. Scenarios'!$D$10)*(INDEX(BookQ1,1891)*(5-MIN(4,1+'5. Scenarios'!$D$8))/4+INDEX(BookQ2,1891)*(5-MIN(4,2+'5. Scenarios'!$D$8))/4+INDEX(BookQ3,1891)*(5-MIN(4,3+'5. Scenarios'!$D$8))/4+INDEX(BookQ4,1891)*(5-MIN(4,4+'5. Scenarios'!$D$8))/4)*'5. Scenarios'!$D$6/(1+ProductivityDefault*('5. Scenarios'!$D$11-1))+INDEX(BookOneOff,1891)*$N1896)</f>
        <v/>
      </c>
      <c r="S1896" s="56" t="str">
        <f aca="false">IF(INDEX(BookTitle,1891)="","",INDEX(BookTotal,1891)*'5. Scenarios'!$E$6/(1+ProductivityDefault*('5. Scenarios'!$E$11-1)))</f>
        <v/>
      </c>
      <c r="T1896" s="57" t="str">
        <f aca="false">IF($S1896="","",INDEX(BookRate,1891)*(1+'5. Scenarios'!$E$10)*$S1896)</f>
        <v/>
      </c>
      <c r="U1896" s="57" t="str">
        <f aca="false">IF($T1896="","",SUMIFS($T$6:$T$2405,$A$6:$A$2405,"&lt;="&amp;$A1896))</f>
        <v/>
      </c>
      <c r="V1896" s="57" t="str">
        <f aca="false">IF($T1896="","",IF($U1896&lt;=BankCostEnvelope*'5. Scenarios'!$E$7,1,0))</f>
        <v/>
      </c>
      <c r="W1896" s="57" t="str">
        <f aca="false">IF($S1896="","",INDEX(BookRate,1891)*(1+'5. Scenarios'!$E$10)*(INDEX(BookQ1,1891)*(5-MIN(4,1+'5. Scenarios'!$E$8))/4+INDEX(BookQ2,1891)*(5-MIN(4,2+'5. Scenarios'!$E$8))/4+INDEX(BookQ3,1891)*(5-MIN(4,3+'5. Scenarios'!$E$8))/4+INDEX(BookQ4,1891)*(5-MIN(4,4+'5. Scenarios'!$E$8))/4)*'5. Scenarios'!$E$6/(1+ProductivityDefault*('5. Scenarios'!$E$11-1))+INDEX(BookOneOff,1891)*$S1896)</f>
        <v/>
      </c>
    </row>
    <row r="1897" customFormat="false" ht="15" hidden="false" customHeight="false" outlineLevel="0" collapsed="false">
      <c r="A1897" s="0" t="str">
        <f aca="false">IF(INDEX(BookTitle,1892)="","",INDEX(BookKey,1892))</f>
        <v/>
      </c>
      <c r="B1897" s="0" t="str">
        <f aca="false">IF(INDEX(BookTitle,1892)="","",INDEX(BookGroup,1892))</f>
        <v/>
      </c>
      <c r="C1897" s="0" t="str">
        <f aca="false">IF(INDEX(BookTitle,1892)="","",INDEX(BookCategory,1892))</f>
        <v/>
      </c>
      <c r="D1897" s="56" t="str">
        <f aca="false">IF(INDEX(BookTitle,1892)="","",INDEX(BookTotal,1892)*'5. Scenarios'!$B$6/(1+ProductivityDefault*('5. Scenarios'!$B$11-1)))</f>
        <v/>
      </c>
      <c r="E1897" s="57" t="str">
        <f aca="false">IF($D1897="","",INDEX(BookRate,1892)*(1+'5. Scenarios'!$B$10)*$D1897)</f>
        <v/>
      </c>
      <c r="F1897" s="57" t="str">
        <f aca="false">IF($E1897="","",SUMIFS($E$6:$E$2405,$A$6:$A$2405,"&lt;="&amp;$A1897))</f>
        <v/>
      </c>
      <c r="G1897" s="57" t="str">
        <f aca="false">IF($E1897="","",IF($F1897&lt;=BankCostEnvelope*'5. Scenarios'!$B$7,1,0))</f>
        <v/>
      </c>
      <c r="H1897" s="57" t="str">
        <f aca="false">IF($D1897="","",INDEX(BookRate,1892)*(1+'5. Scenarios'!$B$10)*(INDEX(BookQ1,1892)*(5-MIN(4,1+'5. Scenarios'!$B$8))/4+INDEX(BookQ2,1892)*(5-MIN(4,2+'5. Scenarios'!$B$8))/4+INDEX(BookQ3,1892)*(5-MIN(4,3+'5. Scenarios'!$B$8))/4+INDEX(BookQ4,1892)*(5-MIN(4,4+'5. Scenarios'!$B$8))/4)*'5. Scenarios'!$B$6/(1+ProductivityDefault*('5. Scenarios'!$B$11-1))+INDEX(BookOneOff,1892)*$D1897)</f>
        <v/>
      </c>
      <c r="I1897" s="56" t="str">
        <f aca="false">IF(INDEX(BookTitle,1892)="","",INDEX(BookTotal,1892)*'5. Scenarios'!$C$6/(1+ProductivityDefault*('5. Scenarios'!$C$11-1)))</f>
        <v/>
      </c>
      <c r="J1897" s="57" t="str">
        <f aca="false">IF($I1897="","",INDEX(BookRate,1892)*(1+'5. Scenarios'!$C$10)*$I1897)</f>
        <v/>
      </c>
      <c r="K1897" s="57" t="str">
        <f aca="false">IF($J1897="","",SUMIFS($J$6:$J$2405,$A$6:$A$2405,"&lt;="&amp;$A1897))</f>
        <v/>
      </c>
      <c r="L1897" s="57" t="str">
        <f aca="false">IF($J1897="","",IF($K1897&lt;=BankCostEnvelope*'5. Scenarios'!$C$7,1,0))</f>
        <v/>
      </c>
      <c r="M1897" s="57" t="str">
        <f aca="false">IF($I1897="","",INDEX(BookRate,1892)*(1+'5. Scenarios'!$C$10)*(INDEX(BookQ1,1892)*(5-MIN(4,1+'5. Scenarios'!$C$8))/4+INDEX(BookQ2,1892)*(5-MIN(4,2+'5. Scenarios'!$C$8))/4+INDEX(BookQ3,1892)*(5-MIN(4,3+'5. Scenarios'!$C$8))/4+INDEX(BookQ4,1892)*(5-MIN(4,4+'5. Scenarios'!$C$8))/4)*'5. Scenarios'!$C$6/(1+ProductivityDefault*('5. Scenarios'!$C$11-1))+INDEX(BookOneOff,1892)*$I1897)</f>
        <v/>
      </c>
      <c r="N1897" s="56" t="str">
        <f aca="false">IF(INDEX(BookTitle,1892)="","",INDEX(BookTotal,1892)*'5. Scenarios'!$D$6/(1+ProductivityDefault*('5. Scenarios'!$D$11-1)))</f>
        <v/>
      </c>
      <c r="O1897" s="57" t="str">
        <f aca="false">IF($N1897="","",INDEX(BookRate,1892)*(1+'5. Scenarios'!$D$10)*$N1897)</f>
        <v/>
      </c>
      <c r="P1897" s="57" t="str">
        <f aca="false">IF($O1897="","",SUMIFS($O$6:$O$2405,$A$6:$A$2405,"&lt;="&amp;$A1897))</f>
        <v/>
      </c>
      <c r="Q1897" s="57" t="str">
        <f aca="false">IF($O1897="","",IF($P1897&lt;=BankCostEnvelope*'5. Scenarios'!$D$7,1,0))</f>
        <v/>
      </c>
      <c r="R1897" s="57" t="str">
        <f aca="false">IF($N1897="","",INDEX(BookRate,1892)*(1+'5. Scenarios'!$D$10)*(INDEX(BookQ1,1892)*(5-MIN(4,1+'5. Scenarios'!$D$8))/4+INDEX(BookQ2,1892)*(5-MIN(4,2+'5. Scenarios'!$D$8))/4+INDEX(BookQ3,1892)*(5-MIN(4,3+'5. Scenarios'!$D$8))/4+INDEX(BookQ4,1892)*(5-MIN(4,4+'5. Scenarios'!$D$8))/4)*'5. Scenarios'!$D$6/(1+ProductivityDefault*('5. Scenarios'!$D$11-1))+INDEX(BookOneOff,1892)*$N1897)</f>
        <v/>
      </c>
      <c r="S1897" s="56" t="str">
        <f aca="false">IF(INDEX(BookTitle,1892)="","",INDEX(BookTotal,1892)*'5. Scenarios'!$E$6/(1+ProductivityDefault*('5. Scenarios'!$E$11-1)))</f>
        <v/>
      </c>
      <c r="T1897" s="57" t="str">
        <f aca="false">IF($S1897="","",INDEX(BookRate,1892)*(1+'5. Scenarios'!$E$10)*$S1897)</f>
        <v/>
      </c>
      <c r="U1897" s="57" t="str">
        <f aca="false">IF($T1897="","",SUMIFS($T$6:$T$2405,$A$6:$A$2405,"&lt;="&amp;$A1897))</f>
        <v/>
      </c>
      <c r="V1897" s="57" t="str">
        <f aca="false">IF($T1897="","",IF($U1897&lt;=BankCostEnvelope*'5. Scenarios'!$E$7,1,0))</f>
        <v/>
      </c>
      <c r="W1897" s="57" t="str">
        <f aca="false">IF($S1897="","",INDEX(BookRate,1892)*(1+'5. Scenarios'!$E$10)*(INDEX(BookQ1,1892)*(5-MIN(4,1+'5. Scenarios'!$E$8))/4+INDEX(BookQ2,1892)*(5-MIN(4,2+'5. Scenarios'!$E$8))/4+INDEX(BookQ3,1892)*(5-MIN(4,3+'5. Scenarios'!$E$8))/4+INDEX(BookQ4,1892)*(5-MIN(4,4+'5. Scenarios'!$E$8))/4)*'5. Scenarios'!$E$6/(1+ProductivityDefault*('5. Scenarios'!$E$11-1))+INDEX(BookOneOff,1892)*$S1897)</f>
        <v/>
      </c>
    </row>
    <row r="1898" customFormat="false" ht="15" hidden="false" customHeight="false" outlineLevel="0" collapsed="false">
      <c r="A1898" s="0" t="str">
        <f aca="false">IF(INDEX(BookTitle,1893)="","",INDEX(BookKey,1893))</f>
        <v/>
      </c>
      <c r="B1898" s="0" t="str">
        <f aca="false">IF(INDEX(BookTitle,1893)="","",INDEX(BookGroup,1893))</f>
        <v/>
      </c>
      <c r="C1898" s="0" t="str">
        <f aca="false">IF(INDEX(BookTitle,1893)="","",INDEX(BookCategory,1893))</f>
        <v/>
      </c>
      <c r="D1898" s="56" t="str">
        <f aca="false">IF(INDEX(BookTitle,1893)="","",INDEX(BookTotal,1893)*'5. Scenarios'!$B$6/(1+ProductivityDefault*('5. Scenarios'!$B$11-1)))</f>
        <v/>
      </c>
      <c r="E1898" s="57" t="str">
        <f aca="false">IF($D1898="","",INDEX(BookRate,1893)*(1+'5. Scenarios'!$B$10)*$D1898)</f>
        <v/>
      </c>
      <c r="F1898" s="57" t="str">
        <f aca="false">IF($E1898="","",SUMIFS($E$6:$E$2405,$A$6:$A$2405,"&lt;="&amp;$A1898))</f>
        <v/>
      </c>
      <c r="G1898" s="57" t="str">
        <f aca="false">IF($E1898="","",IF($F1898&lt;=BankCostEnvelope*'5. Scenarios'!$B$7,1,0))</f>
        <v/>
      </c>
      <c r="H1898" s="57" t="str">
        <f aca="false">IF($D1898="","",INDEX(BookRate,1893)*(1+'5. Scenarios'!$B$10)*(INDEX(BookQ1,1893)*(5-MIN(4,1+'5. Scenarios'!$B$8))/4+INDEX(BookQ2,1893)*(5-MIN(4,2+'5. Scenarios'!$B$8))/4+INDEX(BookQ3,1893)*(5-MIN(4,3+'5. Scenarios'!$B$8))/4+INDEX(BookQ4,1893)*(5-MIN(4,4+'5. Scenarios'!$B$8))/4)*'5. Scenarios'!$B$6/(1+ProductivityDefault*('5. Scenarios'!$B$11-1))+INDEX(BookOneOff,1893)*$D1898)</f>
        <v/>
      </c>
      <c r="I1898" s="56" t="str">
        <f aca="false">IF(INDEX(BookTitle,1893)="","",INDEX(BookTotal,1893)*'5. Scenarios'!$C$6/(1+ProductivityDefault*('5. Scenarios'!$C$11-1)))</f>
        <v/>
      </c>
      <c r="J1898" s="57" t="str">
        <f aca="false">IF($I1898="","",INDEX(BookRate,1893)*(1+'5. Scenarios'!$C$10)*$I1898)</f>
        <v/>
      </c>
      <c r="K1898" s="57" t="str">
        <f aca="false">IF($J1898="","",SUMIFS($J$6:$J$2405,$A$6:$A$2405,"&lt;="&amp;$A1898))</f>
        <v/>
      </c>
      <c r="L1898" s="57" t="str">
        <f aca="false">IF($J1898="","",IF($K1898&lt;=BankCostEnvelope*'5. Scenarios'!$C$7,1,0))</f>
        <v/>
      </c>
      <c r="M1898" s="57" t="str">
        <f aca="false">IF($I1898="","",INDEX(BookRate,1893)*(1+'5. Scenarios'!$C$10)*(INDEX(BookQ1,1893)*(5-MIN(4,1+'5. Scenarios'!$C$8))/4+INDEX(BookQ2,1893)*(5-MIN(4,2+'5. Scenarios'!$C$8))/4+INDEX(BookQ3,1893)*(5-MIN(4,3+'5. Scenarios'!$C$8))/4+INDEX(BookQ4,1893)*(5-MIN(4,4+'5. Scenarios'!$C$8))/4)*'5. Scenarios'!$C$6/(1+ProductivityDefault*('5. Scenarios'!$C$11-1))+INDEX(BookOneOff,1893)*$I1898)</f>
        <v/>
      </c>
      <c r="N1898" s="56" t="str">
        <f aca="false">IF(INDEX(BookTitle,1893)="","",INDEX(BookTotal,1893)*'5. Scenarios'!$D$6/(1+ProductivityDefault*('5. Scenarios'!$D$11-1)))</f>
        <v/>
      </c>
      <c r="O1898" s="57" t="str">
        <f aca="false">IF($N1898="","",INDEX(BookRate,1893)*(1+'5. Scenarios'!$D$10)*$N1898)</f>
        <v/>
      </c>
      <c r="P1898" s="57" t="str">
        <f aca="false">IF($O1898="","",SUMIFS($O$6:$O$2405,$A$6:$A$2405,"&lt;="&amp;$A1898))</f>
        <v/>
      </c>
      <c r="Q1898" s="57" t="str">
        <f aca="false">IF($O1898="","",IF($P1898&lt;=BankCostEnvelope*'5. Scenarios'!$D$7,1,0))</f>
        <v/>
      </c>
      <c r="R1898" s="57" t="str">
        <f aca="false">IF($N1898="","",INDEX(BookRate,1893)*(1+'5. Scenarios'!$D$10)*(INDEX(BookQ1,1893)*(5-MIN(4,1+'5. Scenarios'!$D$8))/4+INDEX(BookQ2,1893)*(5-MIN(4,2+'5. Scenarios'!$D$8))/4+INDEX(BookQ3,1893)*(5-MIN(4,3+'5. Scenarios'!$D$8))/4+INDEX(BookQ4,1893)*(5-MIN(4,4+'5. Scenarios'!$D$8))/4)*'5. Scenarios'!$D$6/(1+ProductivityDefault*('5. Scenarios'!$D$11-1))+INDEX(BookOneOff,1893)*$N1898)</f>
        <v/>
      </c>
      <c r="S1898" s="56" t="str">
        <f aca="false">IF(INDEX(BookTitle,1893)="","",INDEX(BookTotal,1893)*'5. Scenarios'!$E$6/(1+ProductivityDefault*('5. Scenarios'!$E$11-1)))</f>
        <v/>
      </c>
      <c r="T1898" s="57" t="str">
        <f aca="false">IF($S1898="","",INDEX(BookRate,1893)*(1+'5. Scenarios'!$E$10)*$S1898)</f>
        <v/>
      </c>
      <c r="U1898" s="57" t="str">
        <f aca="false">IF($T1898="","",SUMIFS($T$6:$T$2405,$A$6:$A$2405,"&lt;="&amp;$A1898))</f>
        <v/>
      </c>
      <c r="V1898" s="57" t="str">
        <f aca="false">IF($T1898="","",IF($U1898&lt;=BankCostEnvelope*'5. Scenarios'!$E$7,1,0))</f>
        <v/>
      </c>
      <c r="W1898" s="57" t="str">
        <f aca="false">IF($S1898="","",INDEX(BookRate,1893)*(1+'5. Scenarios'!$E$10)*(INDEX(BookQ1,1893)*(5-MIN(4,1+'5. Scenarios'!$E$8))/4+INDEX(BookQ2,1893)*(5-MIN(4,2+'5. Scenarios'!$E$8))/4+INDEX(BookQ3,1893)*(5-MIN(4,3+'5. Scenarios'!$E$8))/4+INDEX(BookQ4,1893)*(5-MIN(4,4+'5. Scenarios'!$E$8))/4)*'5. Scenarios'!$E$6/(1+ProductivityDefault*('5. Scenarios'!$E$11-1))+INDEX(BookOneOff,1893)*$S1898)</f>
        <v/>
      </c>
    </row>
    <row r="1899" customFormat="false" ht="15" hidden="false" customHeight="false" outlineLevel="0" collapsed="false">
      <c r="A1899" s="0" t="str">
        <f aca="false">IF(INDEX(BookTitle,1894)="","",INDEX(BookKey,1894))</f>
        <v/>
      </c>
      <c r="B1899" s="0" t="str">
        <f aca="false">IF(INDEX(BookTitle,1894)="","",INDEX(BookGroup,1894))</f>
        <v/>
      </c>
      <c r="C1899" s="0" t="str">
        <f aca="false">IF(INDEX(BookTitle,1894)="","",INDEX(BookCategory,1894))</f>
        <v/>
      </c>
      <c r="D1899" s="56" t="str">
        <f aca="false">IF(INDEX(BookTitle,1894)="","",INDEX(BookTotal,1894)*'5. Scenarios'!$B$6/(1+ProductivityDefault*('5. Scenarios'!$B$11-1)))</f>
        <v/>
      </c>
      <c r="E1899" s="57" t="str">
        <f aca="false">IF($D1899="","",INDEX(BookRate,1894)*(1+'5. Scenarios'!$B$10)*$D1899)</f>
        <v/>
      </c>
      <c r="F1899" s="57" t="str">
        <f aca="false">IF($E1899="","",SUMIFS($E$6:$E$2405,$A$6:$A$2405,"&lt;="&amp;$A1899))</f>
        <v/>
      </c>
      <c r="G1899" s="57" t="str">
        <f aca="false">IF($E1899="","",IF($F1899&lt;=BankCostEnvelope*'5. Scenarios'!$B$7,1,0))</f>
        <v/>
      </c>
      <c r="H1899" s="57" t="str">
        <f aca="false">IF($D1899="","",INDEX(BookRate,1894)*(1+'5. Scenarios'!$B$10)*(INDEX(BookQ1,1894)*(5-MIN(4,1+'5. Scenarios'!$B$8))/4+INDEX(BookQ2,1894)*(5-MIN(4,2+'5. Scenarios'!$B$8))/4+INDEX(BookQ3,1894)*(5-MIN(4,3+'5. Scenarios'!$B$8))/4+INDEX(BookQ4,1894)*(5-MIN(4,4+'5. Scenarios'!$B$8))/4)*'5. Scenarios'!$B$6/(1+ProductivityDefault*('5. Scenarios'!$B$11-1))+INDEX(BookOneOff,1894)*$D1899)</f>
        <v/>
      </c>
      <c r="I1899" s="56" t="str">
        <f aca="false">IF(INDEX(BookTitle,1894)="","",INDEX(BookTotal,1894)*'5. Scenarios'!$C$6/(1+ProductivityDefault*('5. Scenarios'!$C$11-1)))</f>
        <v/>
      </c>
      <c r="J1899" s="57" t="str">
        <f aca="false">IF($I1899="","",INDEX(BookRate,1894)*(1+'5. Scenarios'!$C$10)*$I1899)</f>
        <v/>
      </c>
      <c r="K1899" s="57" t="str">
        <f aca="false">IF($J1899="","",SUMIFS($J$6:$J$2405,$A$6:$A$2405,"&lt;="&amp;$A1899))</f>
        <v/>
      </c>
      <c r="L1899" s="57" t="str">
        <f aca="false">IF($J1899="","",IF($K1899&lt;=BankCostEnvelope*'5. Scenarios'!$C$7,1,0))</f>
        <v/>
      </c>
      <c r="M1899" s="57" t="str">
        <f aca="false">IF($I1899="","",INDEX(BookRate,1894)*(1+'5. Scenarios'!$C$10)*(INDEX(BookQ1,1894)*(5-MIN(4,1+'5. Scenarios'!$C$8))/4+INDEX(BookQ2,1894)*(5-MIN(4,2+'5. Scenarios'!$C$8))/4+INDEX(BookQ3,1894)*(5-MIN(4,3+'5. Scenarios'!$C$8))/4+INDEX(BookQ4,1894)*(5-MIN(4,4+'5. Scenarios'!$C$8))/4)*'5. Scenarios'!$C$6/(1+ProductivityDefault*('5. Scenarios'!$C$11-1))+INDEX(BookOneOff,1894)*$I1899)</f>
        <v/>
      </c>
      <c r="N1899" s="56" t="str">
        <f aca="false">IF(INDEX(BookTitle,1894)="","",INDEX(BookTotal,1894)*'5. Scenarios'!$D$6/(1+ProductivityDefault*('5. Scenarios'!$D$11-1)))</f>
        <v/>
      </c>
      <c r="O1899" s="57" t="str">
        <f aca="false">IF($N1899="","",INDEX(BookRate,1894)*(1+'5. Scenarios'!$D$10)*$N1899)</f>
        <v/>
      </c>
      <c r="P1899" s="57" t="str">
        <f aca="false">IF($O1899="","",SUMIFS($O$6:$O$2405,$A$6:$A$2405,"&lt;="&amp;$A1899))</f>
        <v/>
      </c>
      <c r="Q1899" s="57" t="str">
        <f aca="false">IF($O1899="","",IF($P1899&lt;=BankCostEnvelope*'5. Scenarios'!$D$7,1,0))</f>
        <v/>
      </c>
      <c r="R1899" s="57" t="str">
        <f aca="false">IF($N1899="","",INDEX(BookRate,1894)*(1+'5. Scenarios'!$D$10)*(INDEX(BookQ1,1894)*(5-MIN(4,1+'5. Scenarios'!$D$8))/4+INDEX(BookQ2,1894)*(5-MIN(4,2+'5. Scenarios'!$D$8))/4+INDEX(BookQ3,1894)*(5-MIN(4,3+'5. Scenarios'!$D$8))/4+INDEX(BookQ4,1894)*(5-MIN(4,4+'5. Scenarios'!$D$8))/4)*'5. Scenarios'!$D$6/(1+ProductivityDefault*('5. Scenarios'!$D$11-1))+INDEX(BookOneOff,1894)*$N1899)</f>
        <v/>
      </c>
      <c r="S1899" s="56" t="str">
        <f aca="false">IF(INDEX(BookTitle,1894)="","",INDEX(BookTotal,1894)*'5. Scenarios'!$E$6/(1+ProductivityDefault*('5. Scenarios'!$E$11-1)))</f>
        <v/>
      </c>
      <c r="T1899" s="57" t="str">
        <f aca="false">IF($S1899="","",INDEX(BookRate,1894)*(1+'5. Scenarios'!$E$10)*$S1899)</f>
        <v/>
      </c>
      <c r="U1899" s="57" t="str">
        <f aca="false">IF($T1899="","",SUMIFS($T$6:$T$2405,$A$6:$A$2405,"&lt;="&amp;$A1899))</f>
        <v/>
      </c>
      <c r="V1899" s="57" t="str">
        <f aca="false">IF($T1899="","",IF($U1899&lt;=BankCostEnvelope*'5. Scenarios'!$E$7,1,0))</f>
        <v/>
      </c>
      <c r="W1899" s="57" t="str">
        <f aca="false">IF($S1899="","",INDEX(BookRate,1894)*(1+'5. Scenarios'!$E$10)*(INDEX(BookQ1,1894)*(5-MIN(4,1+'5. Scenarios'!$E$8))/4+INDEX(BookQ2,1894)*(5-MIN(4,2+'5. Scenarios'!$E$8))/4+INDEX(BookQ3,1894)*(5-MIN(4,3+'5. Scenarios'!$E$8))/4+INDEX(BookQ4,1894)*(5-MIN(4,4+'5. Scenarios'!$E$8))/4)*'5. Scenarios'!$E$6/(1+ProductivityDefault*('5. Scenarios'!$E$11-1))+INDEX(BookOneOff,1894)*$S1899)</f>
        <v/>
      </c>
    </row>
    <row r="1900" customFormat="false" ht="15" hidden="false" customHeight="false" outlineLevel="0" collapsed="false">
      <c r="A1900" s="0" t="str">
        <f aca="false">IF(INDEX(BookTitle,1895)="","",INDEX(BookKey,1895))</f>
        <v/>
      </c>
      <c r="B1900" s="0" t="str">
        <f aca="false">IF(INDEX(BookTitle,1895)="","",INDEX(BookGroup,1895))</f>
        <v/>
      </c>
      <c r="C1900" s="0" t="str">
        <f aca="false">IF(INDEX(BookTitle,1895)="","",INDEX(BookCategory,1895))</f>
        <v/>
      </c>
      <c r="D1900" s="56" t="str">
        <f aca="false">IF(INDEX(BookTitle,1895)="","",INDEX(BookTotal,1895)*'5. Scenarios'!$B$6/(1+ProductivityDefault*('5. Scenarios'!$B$11-1)))</f>
        <v/>
      </c>
      <c r="E1900" s="57" t="str">
        <f aca="false">IF($D1900="","",INDEX(BookRate,1895)*(1+'5. Scenarios'!$B$10)*$D1900)</f>
        <v/>
      </c>
      <c r="F1900" s="57" t="str">
        <f aca="false">IF($E1900="","",SUMIFS($E$6:$E$2405,$A$6:$A$2405,"&lt;="&amp;$A1900))</f>
        <v/>
      </c>
      <c r="G1900" s="57" t="str">
        <f aca="false">IF($E1900="","",IF($F1900&lt;=BankCostEnvelope*'5. Scenarios'!$B$7,1,0))</f>
        <v/>
      </c>
      <c r="H1900" s="57" t="str">
        <f aca="false">IF($D1900="","",INDEX(BookRate,1895)*(1+'5. Scenarios'!$B$10)*(INDEX(BookQ1,1895)*(5-MIN(4,1+'5. Scenarios'!$B$8))/4+INDEX(BookQ2,1895)*(5-MIN(4,2+'5. Scenarios'!$B$8))/4+INDEX(BookQ3,1895)*(5-MIN(4,3+'5. Scenarios'!$B$8))/4+INDEX(BookQ4,1895)*(5-MIN(4,4+'5. Scenarios'!$B$8))/4)*'5. Scenarios'!$B$6/(1+ProductivityDefault*('5. Scenarios'!$B$11-1))+INDEX(BookOneOff,1895)*$D1900)</f>
        <v/>
      </c>
      <c r="I1900" s="56" t="str">
        <f aca="false">IF(INDEX(BookTitle,1895)="","",INDEX(BookTotal,1895)*'5. Scenarios'!$C$6/(1+ProductivityDefault*('5. Scenarios'!$C$11-1)))</f>
        <v/>
      </c>
      <c r="J1900" s="57" t="str">
        <f aca="false">IF($I1900="","",INDEX(BookRate,1895)*(1+'5. Scenarios'!$C$10)*$I1900)</f>
        <v/>
      </c>
      <c r="K1900" s="57" t="str">
        <f aca="false">IF($J1900="","",SUMIFS($J$6:$J$2405,$A$6:$A$2405,"&lt;="&amp;$A1900))</f>
        <v/>
      </c>
      <c r="L1900" s="57" t="str">
        <f aca="false">IF($J1900="","",IF($K1900&lt;=BankCostEnvelope*'5. Scenarios'!$C$7,1,0))</f>
        <v/>
      </c>
      <c r="M1900" s="57" t="str">
        <f aca="false">IF($I1900="","",INDEX(BookRate,1895)*(1+'5. Scenarios'!$C$10)*(INDEX(BookQ1,1895)*(5-MIN(4,1+'5. Scenarios'!$C$8))/4+INDEX(BookQ2,1895)*(5-MIN(4,2+'5. Scenarios'!$C$8))/4+INDEX(BookQ3,1895)*(5-MIN(4,3+'5. Scenarios'!$C$8))/4+INDEX(BookQ4,1895)*(5-MIN(4,4+'5. Scenarios'!$C$8))/4)*'5. Scenarios'!$C$6/(1+ProductivityDefault*('5. Scenarios'!$C$11-1))+INDEX(BookOneOff,1895)*$I1900)</f>
        <v/>
      </c>
      <c r="N1900" s="56" t="str">
        <f aca="false">IF(INDEX(BookTitle,1895)="","",INDEX(BookTotal,1895)*'5. Scenarios'!$D$6/(1+ProductivityDefault*('5. Scenarios'!$D$11-1)))</f>
        <v/>
      </c>
      <c r="O1900" s="57" t="str">
        <f aca="false">IF($N1900="","",INDEX(BookRate,1895)*(1+'5. Scenarios'!$D$10)*$N1900)</f>
        <v/>
      </c>
      <c r="P1900" s="57" t="str">
        <f aca="false">IF($O1900="","",SUMIFS($O$6:$O$2405,$A$6:$A$2405,"&lt;="&amp;$A1900))</f>
        <v/>
      </c>
      <c r="Q1900" s="57" t="str">
        <f aca="false">IF($O1900="","",IF($P1900&lt;=BankCostEnvelope*'5. Scenarios'!$D$7,1,0))</f>
        <v/>
      </c>
      <c r="R1900" s="57" t="str">
        <f aca="false">IF($N1900="","",INDEX(BookRate,1895)*(1+'5. Scenarios'!$D$10)*(INDEX(BookQ1,1895)*(5-MIN(4,1+'5. Scenarios'!$D$8))/4+INDEX(BookQ2,1895)*(5-MIN(4,2+'5. Scenarios'!$D$8))/4+INDEX(BookQ3,1895)*(5-MIN(4,3+'5. Scenarios'!$D$8))/4+INDEX(BookQ4,1895)*(5-MIN(4,4+'5. Scenarios'!$D$8))/4)*'5. Scenarios'!$D$6/(1+ProductivityDefault*('5. Scenarios'!$D$11-1))+INDEX(BookOneOff,1895)*$N1900)</f>
        <v/>
      </c>
      <c r="S1900" s="56" t="str">
        <f aca="false">IF(INDEX(BookTitle,1895)="","",INDEX(BookTotal,1895)*'5. Scenarios'!$E$6/(1+ProductivityDefault*('5. Scenarios'!$E$11-1)))</f>
        <v/>
      </c>
      <c r="T1900" s="57" t="str">
        <f aca="false">IF($S1900="","",INDEX(BookRate,1895)*(1+'5. Scenarios'!$E$10)*$S1900)</f>
        <v/>
      </c>
      <c r="U1900" s="57" t="str">
        <f aca="false">IF($T1900="","",SUMIFS($T$6:$T$2405,$A$6:$A$2405,"&lt;="&amp;$A1900))</f>
        <v/>
      </c>
      <c r="V1900" s="57" t="str">
        <f aca="false">IF($T1900="","",IF($U1900&lt;=BankCostEnvelope*'5. Scenarios'!$E$7,1,0))</f>
        <v/>
      </c>
      <c r="W1900" s="57" t="str">
        <f aca="false">IF($S1900="","",INDEX(BookRate,1895)*(1+'5. Scenarios'!$E$10)*(INDEX(BookQ1,1895)*(5-MIN(4,1+'5. Scenarios'!$E$8))/4+INDEX(BookQ2,1895)*(5-MIN(4,2+'5. Scenarios'!$E$8))/4+INDEX(BookQ3,1895)*(5-MIN(4,3+'5. Scenarios'!$E$8))/4+INDEX(BookQ4,1895)*(5-MIN(4,4+'5. Scenarios'!$E$8))/4)*'5. Scenarios'!$E$6/(1+ProductivityDefault*('5. Scenarios'!$E$11-1))+INDEX(BookOneOff,1895)*$S1900)</f>
        <v/>
      </c>
    </row>
    <row r="1901" customFormat="false" ht="15" hidden="false" customHeight="false" outlineLevel="0" collapsed="false">
      <c r="A1901" s="0" t="str">
        <f aca="false">IF(INDEX(BookTitle,1896)="","",INDEX(BookKey,1896))</f>
        <v/>
      </c>
      <c r="B1901" s="0" t="str">
        <f aca="false">IF(INDEX(BookTitle,1896)="","",INDEX(BookGroup,1896))</f>
        <v/>
      </c>
      <c r="C1901" s="0" t="str">
        <f aca="false">IF(INDEX(BookTitle,1896)="","",INDEX(BookCategory,1896))</f>
        <v/>
      </c>
      <c r="D1901" s="56" t="str">
        <f aca="false">IF(INDEX(BookTitle,1896)="","",INDEX(BookTotal,1896)*'5. Scenarios'!$B$6/(1+ProductivityDefault*('5. Scenarios'!$B$11-1)))</f>
        <v/>
      </c>
      <c r="E1901" s="57" t="str">
        <f aca="false">IF($D1901="","",INDEX(BookRate,1896)*(1+'5. Scenarios'!$B$10)*$D1901)</f>
        <v/>
      </c>
      <c r="F1901" s="57" t="str">
        <f aca="false">IF($E1901="","",SUMIFS($E$6:$E$2405,$A$6:$A$2405,"&lt;="&amp;$A1901))</f>
        <v/>
      </c>
      <c r="G1901" s="57" t="str">
        <f aca="false">IF($E1901="","",IF($F1901&lt;=BankCostEnvelope*'5. Scenarios'!$B$7,1,0))</f>
        <v/>
      </c>
      <c r="H1901" s="57" t="str">
        <f aca="false">IF($D1901="","",INDEX(BookRate,1896)*(1+'5. Scenarios'!$B$10)*(INDEX(BookQ1,1896)*(5-MIN(4,1+'5. Scenarios'!$B$8))/4+INDEX(BookQ2,1896)*(5-MIN(4,2+'5. Scenarios'!$B$8))/4+INDEX(BookQ3,1896)*(5-MIN(4,3+'5. Scenarios'!$B$8))/4+INDEX(BookQ4,1896)*(5-MIN(4,4+'5. Scenarios'!$B$8))/4)*'5. Scenarios'!$B$6/(1+ProductivityDefault*('5. Scenarios'!$B$11-1))+INDEX(BookOneOff,1896)*$D1901)</f>
        <v/>
      </c>
      <c r="I1901" s="56" t="str">
        <f aca="false">IF(INDEX(BookTitle,1896)="","",INDEX(BookTotal,1896)*'5. Scenarios'!$C$6/(1+ProductivityDefault*('5. Scenarios'!$C$11-1)))</f>
        <v/>
      </c>
      <c r="J1901" s="57" t="str">
        <f aca="false">IF($I1901="","",INDEX(BookRate,1896)*(1+'5. Scenarios'!$C$10)*$I1901)</f>
        <v/>
      </c>
      <c r="K1901" s="57" t="str">
        <f aca="false">IF($J1901="","",SUMIFS($J$6:$J$2405,$A$6:$A$2405,"&lt;="&amp;$A1901))</f>
        <v/>
      </c>
      <c r="L1901" s="57" t="str">
        <f aca="false">IF($J1901="","",IF($K1901&lt;=BankCostEnvelope*'5. Scenarios'!$C$7,1,0))</f>
        <v/>
      </c>
      <c r="M1901" s="57" t="str">
        <f aca="false">IF($I1901="","",INDEX(BookRate,1896)*(1+'5. Scenarios'!$C$10)*(INDEX(BookQ1,1896)*(5-MIN(4,1+'5. Scenarios'!$C$8))/4+INDEX(BookQ2,1896)*(5-MIN(4,2+'5. Scenarios'!$C$8))/4+INDEX(BookQ3,1896)*(5-MIN(4,3+'5. Scenarios'!$C$8))/4+INDEX(BookQ4,1896)*(5-MIN(4,4+'5. Scenarios'!$C$8))/4)*'5. Scenarios'!$C$6/(1+ProductivityDefault*('5. Scenarios'!$C$11-1))+INDEX(BookOneOff,1896)*$I1901)</f>
        <v/>
      </c>
      <c r="N1901" s="56" t="str">
        <f aca="false">IF(INDEX(BookTitle,1896)="","",INDEX(BookTotal,1896)*'5. Scenarios'!$D$6/(1+ProductivityDefault*('5. Scenarios'!$D$11-1)))</f>
        <v/>
      </c>
      <c r="O1901" s="57" t="str">
        <f aca="false">IF($N1901="","",INDEX(BookRate,1896)*(1+'5. Scenarios'!$D$10)*$N1901)</f>
        <v/>
      </c>
      <c r="P1901" s="57" t="str">
        <f aca="false">IF($O1901="","",SUMIFS($O$6:$O$2405,$A$6:$A$2405,"&lt;="&amp;$A1901))</f>
        <v/>
      </c>
      <c r="Q1901" s="57" t="str">
        <f aca="false">IF($O1901="","",IF($P1901&lt;=BankCostEnvelope*'5. Scenarios'!$D$7,1,0))</f>
        <v/>
      </c>
      <c r="R1901" s="57" t="str">
        <f aca="false">IF($N1901="","",INDEX(BookRate,1896)*(1+'5. Scenarios'!$D$10)*(INDEX(BookQ1,1896)*(5-MIN(4,1+'5. Scenarios'!$D$8))/4+INDEX(BookQ2,1896)*(5-MIN(4,2+'5. Scenarios'!$D$8))/4+INDEX(BookQ3,1896)*(5-MIN(4,3+'5. Scenarios'!$D$8))/4+INDEX(BookQ4,1896)*(5-MIN(4,4+'5. Scenarios'!$D$8))/4)*'5. Scenarios'!$D$6/(1+ProductivityDefault*('5. Scenarios'!$D$11-1))+INDEX(BookOneOff,1896)*$N1901)</f>
        <v/>
      </c>
      <c r="S1901" s="56" t="str">
        <f aca="false">IF(INDEX(BookTitle,1896)="","",INDEX(BookTotal,1896)*'5. Scenarios'!$E$6/(1+ProductivityDefault*('5. Scenarios'!$E$11-1)))</f>
        <v/>
      </c>
      <c r="T1901" s="57" t="str">
        <f aca="false">IF($S1901="","",INDEX(BookRate,1896)*(1+'5. Scenarios'!$E$10)*$S1901)</f>
        <v/>
      </c>
      <c r="U1901" s="57" t="str">
        <f aca="false">IF($T1901="","",SUMIFS($T$6:$T$2405,$A$6:$A$2405,"&lt;="&amp;$A1901))</f>
        <v/>
      </c>
      <c r="V1901" s="57" t="str">
        <f aca="false">IF($T1901="","",IF($U1901&lt;=BankCostEnvelope*'5. Scenarios'!$E$7,1,0))</f>
        <v/>
      </c>
      <c r="W1901" s="57" t="str">
        <f aca="false">IF($S1901="","",INDEX(BookRate,1896)*(1+'5. Scenarios'!$E$10)*(INDEX(BookQ1,1896)*(5-MIN(4,1+'5. Scenarios'!$E$8))/4+INDEX(BookQ2,1896)*(5-MIN(4,2+'5. Scenarios'!$E$8))/4+INDEX(BookQ3,1896)*(5-MIN(4,3+'5. Scenarios'!$E$8))/4+INDEX(BookQ4,1896)*(5-MIN(4,4+'5. Scenarios'!$E$8))/4)*'5. Scenarios'!$E$6/(1+ProductivityDefault*('5. Scenarios'!$E$11-1))+INDEX(BookOneOff,1896)*$S1901)</f>
        <v/>
      </c>
    </row>
    <row r="1902" customFormat="false" ht="15" hidden="false" customHeight="false" outlineLevel="0" collapsed="false">
      <c r="A1902" s="0" t="str">
        <f aca="false">IF(INDEX(BookTitle,1897)="","",INDEX(BookKey,1897))</f>
        <v/>
      </c>
      <c r="B1902" s="0" t="str">
        <f aca="false">IF(INDEX(BookTitle,1897)="","",INDEX(BookGroup,1897))</f>
        <v/>
      </c>
      <c r="C1902" s="0" t="str">
        <f aca="false">IF(INDEX(BookTitle,1897)="","",INDEX(BookCategory,1897))</f>
        <v/>
      </c>
      <c r="D1902" s="56" t="str">
        <f aca="false">IF(INDEX(BookTitle,1897)="","",INDEX(BookTotal,1897)*'5. Scenarios'!$B$6/(1+ProductivityDefault*('5. Scenarios'!$B$11-1)))</f>
        <v/>
      </c>
      <c r="E1902" s="57" t="str">
        <f aca="false">IF($D1902="","",INDEX(BookRate,1897)*(1+'5. Scenarios'!$B$10)*$D1902)</f>
        <v/>
      </c>
      <c r="F1902" s="57" t="str">
        <f aca="false">IF($E1902="","",SUMIFS($E$6:$E$2405,$A$6:$A$2405,"&lt;="&amp;$A1902))</f>
        <v/>
      </c>
      <c r="G1902" s="57" t="str">
        <f aca="false">IF($E1902="","",IF($F1902&lt;=BankCostEnvelope*'5. Scenarios'!$B$7,1,0))</f>
        <v/>
      </c>
      <c r="H1902" s="57" t="str">
        <f aca="false">IF($D1902="","",INDEX(BookRate,1897)*(1+'5. Scenarios'!$B$10)*(INDEX(BookQ1,1897)*(5-MIN(4,1+'5. Scenarios'!$B$8))/4+INDEX(BookQ2,1897)*(5-MIN(4,2+'5. Scenarios'!$B$8))/4+INDEX(BookQ3,1897)*(5-MIN(4,3+'5. Scenarios'!$B$8))/4+INDEX(BookQ4,1897)*(5-MIN(4,4+'5. Scenarios'!$B$8))/4)*'5. Scenarios'!$B$6/(1+ProductivityDefault*('5. Scenarios'!$B$11-1))+INDEX(BookOneOff,1897)*$D1902)</f>
        <v/>
      </c>
      <c r="I1902" s="56" t="str">
        <f aca="false">IF(INDEX(BookTitle,1897)="","",INDEX(BookTotal,1897)*'5. Scenarios'!$C$6/(1+ProductivityDefault*('5. Scenarios'!$C$11-1)))</f>
        <v/>
      </c>
      <c r="J1902" s="57" t="str">
        <f aca="false">IF($I1902="","",INDEX(BookRate,1897)*(1+'5. Scenarios'!$C$10)*$I1902)</f>
        <v/>
      </c>
      <c r="K1902" s="57" t="str">
        <f aca="false">IF($J1902="","",SUMIFS($J$6:$J$2405,$A$6:$A$2405,"&lt;="&amp;$A1902))</f>
        <v/>
      </c>
      <c r="L1902" s="57" t="str">
        <f aca="false">IF($J1902="","",IF($K1902&lt;=BankCostEnvelope*'5. Scenarios'!$C$7,1,0))</f>
        <v/>
      </c>
      <c r="M1902" s="57" t="str">
        <f aca="false">IF($I1902="","",INDEX(BookRate,1897)*(1+'5. Scenarios'!$C$10)*(INDEX(BookQ1,1897)*(5-MIN(4,1+'5. Scenarios'!$C$8))/4+INDEX(BookQ2,1897)*(5-MIN(4,2+'5. Scenarios'!$C$8))/4+INDEX(BookQ3,1897)*(5-MIN(4,3+'5. Scenarios'!$C$8))/4+INDEX(BookQ4,1897)*(5-MIN(4,4+'5. Scenarios'!$C$8))/4)*'5. Scenarios'!$C$6/(1+ProductivityDefault*('5. Scenarios'!$C$11-1))+INDEX(BookOneOff,1897)*$I1902)</f>
        <v/>
      </c>
      <c r="N1902" s="56" t="str">
        <f aca="false">IF(INDEX(BookTitle,1897)="","",INDEX(BookTotal,1897)*'5. Scenarios'!$D$6/(1+ProductivityDefault*('5. Scenarios'!$D$11-1)))</f>
        <v/>
      </c>
      <c r="O1902" s="57" t="str">
        <f aca="false">IF($N1902="","",INDEX(BookRate,1897)*(1+'5. Scenarios'!$D$10)*$N1902)</f>
        <v/>
      </c>
      <c r="P1902" s="57" t="str">
        <f aca="false">IF($O1902="","",SUMIFS($O$6:$O$2405,$A$6:$A$2405,"&lt;="&amp;$A1902))</f>
        <v/>
      </c>
      <c r="Q1902" s="57" t="str">
        <f aca="false">IF($O1902="","",IF($P1902&lt;=BankCostEnvelope*'5. Scenarios'!$D$7,1,0))</f>
        <v/>
      </c>
      <c r="R1902" s="57" t="str">
        <f aca="false">IF($N1902="","",INDEX(BookRate,1897)*(1+'5. Scenarios'!$D$10)*(INDEX(BookQ1,1897)*(5-MIN(4,1+'5. Scenarios'!$D$8))/4+INDEX(BookQ2,1897)*(5-MIN(4,2+'5. Scenarios'!$D$8))/4+INDEX(BookQ3,1897)*(5-MIN(4,3+'5. Scenarios'!$D$8))/4+INDEX(BookQ4,1897)*(5-MIN(4,4+'5. Scenarios'!$D$8))/4)*'5. Scenarios'!$D$6/(1+ProductivityDefault*('5. Scenarios'!$D$11-1))+INDEX(BookOneOff,1897)*$N1902)</f>
        <v/>
      </c>
      <c r="S1902" s="56" t="str">
        <f aca="false">IF(INDEX(BookTitle,1897)="","",INDEX(BookTotal,1897)*'5. Scenarios'!$E$6/(1+ProductivityDefault*('5. Scenarios'!$E$11-1)))</f>
        <v/>
      </c>
      <c r="T1902" s="57" t="str">
        <f aca="false">IF($S1902="","",INDEX(BookRate,1897)*(1+'5. Scenarios'!$E$10)*$S1902)</f>
        <v/>
      </c>
      <c r="U1902" s="57" t="str">
        <f aca="false">IF($T1902="","",SUMIFS($T$6:$T$2405,$A$6:$A$2405,"&lt;="&amp;$A1902))</f>
        <v/>
      </c>
      <c r="V1902" s="57" t="str">
        <f aca="false">IF($T1902="","",IF($U1902&lt;=BankCostEnvelope*'5. Scenarios'!$E$7,1,0))</f>
        <v/>
      </c>
      <c r="W1902" s="57" t="str">
        <f aca="false">IF($S1902="","",INDEX(BookRate,1897)*(1+'5. Scenarios'!$E$10)*(INDEX(BookQ1,1897)*(5-MIN(4,1+'5. Scenarios'!$E$8))/4+INDEX(BookQ2,1897)*(5-MIN(4,2+'5. Scenarios'!$E$8))/4+INDEX(BookQ3,1897)*(5-MIN(4,3+'5. Scenarios'!$E$8))/4+INDEX(BookQ4,1897)*(5-MIN(4,4+'5. Scenarios'!$E$8))/4)*'5. Scenarios'!$E$6/(1+ProductivityDefault*('5. Scenarios'!$E$11-1))+INDEX(BookOneOff,1897)*$S1902)</f>
        <v/>
      </c>
    </row>
    <row r="1903" customFormat="false" ht="15" hidden="false" customHeight="false" outlineLevel="0" collapsed="false">
      <c r="A1903" s="0" t="str">
        <f aca="false">IF(INDEX(BookTitle,1898)="","",INDEX(BookKey,1898))</f>
        <v/>
      </c>
      <c r="B1903" s="0" t="str">
        <f aca="false">IF(INDEX(BookTitle,1898)="","",INDEX(BookGroup,1898))</f>
        <v/>
      </c>
      <c r="C1903" s="0" t="str">
        <f aca="false">IF(INDEX(BookTitle,1898)="","",INDEX(BookCategory,1898))</f>
        <v/>
      </c>
      <c r="D1903" s="56" t="str">
        <f aca="false">IF(INDEX(BookTitle,1898)="","",INDEX(BookTotal,1898)*'5. Scenarios'!$B$6/(1+ProductivityDefault*('5. Scenarios'!$B$11-1)))</f>
        <v/>
      </c>
      <c r="E1903" s="57" t="str">
        <f aca="false">IF($D1903="","",INDEX(BookRate,1898)*(1+'5. Scenarios'!$B$10)*$D1903)</f>
        <v/>
      </c>
      <c r="F1903" s="57" t="str">
        <f aca="false">IF($E1903="","",SUMIFS($E$6:$E$2405,$A$6:$A$2405,"&lt;="&amp;$A1903))</f>
        <v/>
      </c>
      <c r="G1903" s="57" t="str">
        <f aca="false">IF($E1903="","",IF($F1903&lt;=BankCostEnvelope*'5. Scenarios'!$B$7,1,0))</f>
        <v/>
      </c>
      <c r="H1903" s="57" t="str">
        <f aca="false">IF($D1903="","",INDEX(BookRate,1898)*(1+'5. Scenarios'!$B$10)*(INDEX(BookQ1,1898)*(5-MIN(4,1+'5. Scenarios'!$B$8))/4+INDEX(BookQ2,1898)*(5-MIN(4,2+'5. Scenarios'!$B$8))/4+INDEX(BookQ3,1898)*(5-MIN(4,3+'5. Scenarios'!$B$8))/4+INDEX(BookQ4,1898)*(5-MIN(4,4+'5. Scenarios'!$B$8))/4)*'5. Scenarios'!$B$6/(1+ProductivityDefault*('5. Scenarios'!$B$11-1))+INDEX(BookOneOff,1898)*$D1903)</f>
        <v/>
      </c>
      <c r="I1903" s="56" t="str">
        <f aca="false">IF(INDEX(BookTitle,1898)="","",INDEX(BookTotal,1898)*'5. Scenarios'!$C$6/(1+ProductivityDefault*('5. Scenarios'!$C$11-1)))</f>
        <v/>
      </c>
      <c r="J1903" s="57" t="str">
        <f aca="false">IF($I1903="","",INDEX(BookRate,1898)*(1+'5. Scenarios'!$C$10)*$I1903)</f>
        <v/>
      </c>
      <c r="K1903" s="57" t="str">
        <f aca="false">IF($J1903="","",SUMIFS($J$6:$J$2405,$A$6:$A$2405,"&lt;="&amp;$A1903))</f>
        <v/>
      </c>
      <c r="L1903" s="57" t="str">
        <f aca="false">IF($J1903="","",IF($K1903&lt;=BankCostEnvelope*'5. Scenarios'!$C$7,1,0))</f>
        <v/>
      </c>
      <c r="M1903" s="57" t="str">
        <f aca="false">IF($I1903="","",INDEX(BookRate,1898)*(1+'5. Scenarios'!$C$10)*(INDEX(BookQ1,1898)*(5-MIN(4,1+'5. Scenarios'!$C$8))/4+INDEX(BookQ2,1898)*(5-MIN(4,2+'5. Scenarios'!$C$8))/4+INDEX(BookQ3,1898)*(5-MIN(4,3+'5. Scenarios'!$C$8))/4+INDEX(BookQ4,1898)*(5-MIN(4,4+'5. Scenarios'!$C$8))/4)*'5. Scenarios'!$C$6/(1+ProductivityDefault*('5. Scenarios'!$C$11-1))+INDEX(BookOneOff,1898)*$I1903)</f>
        <v/>
      </c>
      <c r="N1903" s="56" t="str">
        <f aca="false">IF(INDEX(BookTitle,1898)="","",INDEX(BookTotal,1898)*'5. Scenarios'!$D$6/(1+ProductivityDefault*('5. Scenarios'!$D$11-1)))</f>
        <v/>
      </c>
      <c r="O1903" s="57" t="str">
        <f aca="false">IF($N1903="","",INDEX(BookRate,1898)*(1+'5. Scenarios'!$D$10)*$N1903)</f>
        <v/>
      </c>
      <c r="P1903" s="57" t="str">
        <f aca="false">IF($O1903="","",SUMIFS($O$6:$O$2405,$A$6:$A$2405,"&lt;="&amp;$A1903))</f>
        <v/>
      </c>
      <c r="Q1903" s="57" t="str">
        <f aca="false">IF($O1903="","",IF($P1903&lt;=BankCostEnvelope*'5. Scenarios'!$D$7,1,0))</f>
        <v/>
      </c>
      <c r="R1903" s="57" t="str">
        <f aca="false">IF($N1903="","",INDEX(BookRate,1898)*(1+'5. Scenarios'!$D$10)*(INDEX(BookQ1,1898)*(5-MIN(4,1+'5. Scenarios'!$D$8))/4+INDEX(BookQ2,1898)*(5-MIN(4,2+'5. Scenarios'!$D$8))/4+INDEX(BookQ3,1898)*(5-MIN(4,3+'5. Scenarios'!$D$8))/4+INDEX(BookQ4,1898)*(5-MIN(4,4+'5. Scenarios'!$D$8))/4)*'5. Scenarios'!$D$6/(1+ProductivityDefault*('5. Scenarios'!$D$11-1))+INDEX(BookOneOff,1898)*$N1903)</f>
        <v/>
      </c>
      <c r="S1903" s="56" t="str">
        <f aca="false">IF(INDEX(BookTitle,1898)="","",INDEX(BookTotal,1898)*'5. Scenarios'!$E$6/(1+ProductivityDefault*('5. Scenarios'!$E$11-1)))</f>
        <v/>
      </c>
      <c r="T1903" s="57" t="str">
        <f aca="false">IF($S1903="","",INDEX(BookRate,1898)*(1+'5. Scenarios'!$E$10)*$S1903)</f>
        <v/>
      </c>
      <c r="U1903" s="57" t="str">
        <f aca="false">IF($T1903="","",SUMIFS($T$6:$T$2405,$A$6:$A$2405,"&lt;="&amp;$A1903))</f>
        <v/>
      </c>
      <c r="V1903" s="57" t="str">
        <f aca="false">IF($T1903="","",IF($U1903&lt;=BankCostEnvelope*'5. Scenarios'!$E$7,1,0))</f>
        <v/>
      </c>
      <c r="W1903" s="57" t="str">
        <f aca="false">IF($S1903="","",INDEX(BookRate,1898)*(1+'5. Scenarios'!$E$10)*(INDEX(BookQ1,1898)*(5-MIN(4,1+'5. Scenarios'!$E$8))/4+INDEX(BookQ2,1898)*(5-MIN(4,2+'5. Scenarios'!$E$8))/4+INDEX(BookQ3,1898)*(5-MIN(4,3+'5. Scenarios'!$E$8))/4+INDEX(BookQ4,1898)*(5-MIN(4,4+'5. Scenarios'!$E$8))/4)*'5. Scenarios'!$E$6/(1+ProductivityDefault*('5. Scenarios'!$E$11-1))+INDEX(BookOneOff,1898)*$S1903)</f>
        <v/>
      </c>
    </row>
    <row r="1904" customFormat="false" ht="15" hidden="false" customHeight="false" outlineLevel="0" collapsed="false">
      <c r="A1904" s="0" t="str">
        <f aca="false">IF(INDEX(BookTitle,1899)="","",INDEX(BookKey,1899))</f>
        <v/>
      </c>
      <c r="B1904" s="0" t="str">
        <f aca="false">IF(INDEX(BookTitle,1899)="","",INDEX(BookGroup,1899))</f>
        <v/>
      </c>
      <c r="C1904" s="0" t="str">
        <f aca="false">IF(INDEX(BookTitle,1899)="","",INDEX(BookCategory,1899))</f>
        <v/>
      </c>
      <c r="D1904" s="56" t="str">
        <f aca="false">IF(INDEX(BookTitle,1899)="","",INDEX(BookTotal,1899)*'5. Scenarios'!$B$6/(1+ProductivityDefault*('5. Scenarios'!$B$11-1)))</f>
        <v/>
      </c>
      <c r="E1904" s="57" t="str">
        <f aca="false">IF($D1904="","",INDEX(BookRate,1899)*(1+'5. Scenarios'!$B$10)*$D1904)</f>
        <v/>
      </c>
      <c r="F1904" s="57" t="str">
        <f aca="false">IF($E1904="","",SUMIFS($E$6:$E$2405,$A$6:$A$2405,"&lt;="&amp;$A1904))</f>
        <v/>
      </c>
      <c r="G1904" s="57" t="str">
        <f aca="false">IF($E1904="","",IF($F1904&lt;=BankCostEnvelope*'5. Scenarios'!$B$7,1,0))</f>
        <v/>
      </c>
      <c r="H1904" s="57" t="str">
        <f aca="false">IF($D1904="","",INDEX(BookRate,1899)*(1+'5. Scenarios'!$B$10)*(INDEX(BookQ1,1899)*(5-MIN(4,1+'5. Scenarios'!$B$8))/4+INDEX(BookQ2,1899)*(5-MIN(4,2+'5. Scenarios'!$B$8))/4+INDEX(BookQ3,1899)*(5-MIN(4,3+'5. Scenarios'!$B$8))/4+INDEX(BookQ4,1899)*(5-MIN(4,4+'5. Scenarios'!$B$8))/4)*'5. Scenarios'!$B$6/(1+ProductivityDefault*('5. Scenarios'!$B$11-1))+INDEX(BookOneOff,1899)*$D1904)</f>
        <v/>
      </c>
      <c r="I1904" s="56" t="str">
        <f aca="false">IF(INDEX(BookTitle,1899)="","",INDEX(BookTotal,1899)*'5. Scenarios'!$C$6/(1+ProductivityDefault*('5. Scenarios'!$C$11-1)))</f>
        <v/>
      </c>
      <c r="J1904" s="57" t="str">
        <f aca="false">IF($I1904="","",INDEX(BookRate,1899)*(1+'5. Scenarios'!$C$10)*$I1904)</f>
        <v/>
      </c>
      <c r="K1904" s="57" t="str">
        <f aca="false">IF($J1904="","",SUMIFS($J$6:$J$2405,$A$6:$A$2405,"&lt;="&amp;$A1904))</f>
        <v/>
      </c>
      <c r="L1904" s="57" t="str">
        <f aca="false">IF($J1904="","",IF($K1904&lt;=BankCostEnvelope*'5. Scenarios'!$C$7,1,0))</f>
        <v/>
      </c>
      <c r="M1904" s="57" t="str">
        <f aca="false">IF($I1904="","",INDEX(BookRate,1899)*(1+'5. Scenarios'!$C$10)*(INDEX(BookQ1,1899)*(5-MIN(4,1+'5. Scenarios'!$C$8))/4+INDEX(BookQ2,1899)*(5-MIN(4,2+'5. Scenarios'!$C$8))/4+INDEX(BookQ3,1899)*(5-MIN(4,3+'5. Scenarios'!$C$8))/4+INDEX(BookQ4,1899)*(5-MIN(4,4+'5. Scenarios'!$C$8))/4)*'5. Scenarios'!$C$6/(1+ProductivityDefault*('5. Scenarios'!$C$11-1))+INDEX(BookOneOff,1899)*$I1904)</f>
        <v/>
      </c>
      <c r="N1904" s="56" t="str">
        <f aca="false">IF(INDEX(BookTitle,1899)="","",INDEX(BookTotal,1899)*'5. Scenarios'!$D$6/(1+ProductivityDefault*('5. Scenarios'!$D$11-1)))</f>
        <v/>
      </c>
      <c r="O1904" s="57" t="str">
        <f aca="false">IF($N1904="","",INDEX(BookRate,1899)*(1+'5. Scenarios'!$D$10)*$N1904)</f>
        <v/>
      </c>
      <c r="P1904" s="57" t="str">
        <f aca="false">IF($O1904="","",SUMIFS($O$6:$O$2405,$A$6:$A$2405,"&lt;="&amp;$A1904))</f>
        <v/>
      </c>
      <c r="Q1904" s="57" t="str">
        <f aca="false">IF($O1904="","",IF($P1904&lt;=BankCostEnvelope*'5. Scenarios'!$D$7,1,0))</f>
        <v/>
      </c>
      <c r="R1904" s="57" t="str">
        <f aca="false">IF($N1904="","",INDEX(BookRate,1899)*(1+'5. Scenarios'!$D$10)*(INDEX(BookQ1,1899)*(5-MIN(4,1+'5. Scenarios'!$D$8))/4+INDEX(BookQ2,1899)*(5-MIN(4,2+'5. Scenarios'!$D$8))/4+INDEX(BookQ3,1899)*(5-MIN(4,3+'5. Scenarios'!$D$8))/4+INDEX(BookQ4,1899)*(5-MIN(4,4+'5. Scenarios'!$D$8))/4)*'5. Scenarios'!$D$6/(1+ProductivityDefault*('5. Scenarios'!$D$11-1))+INDEX(BookOneOff,1899)*$N1904)</f>
        <v/>
      </c>
      <c r="S1904" s="56" t="str">
        <f aca="false">IF(INDEX(BookTitle,1899)="","",INDEX(BookTotal,1899)*'5. Scenarios'!$E$6/(1+ProductivityDefault*('5. Scenarios'!$E$11-1)))</f>
        <v/>
      </c>
      <c r="T1904" s="57" t="str">
        <f aca="false">IF($S1904="","",INDEX(BookRate,1899)*(1+'5. Scenarios'!$E$10)*$S1904)</f>
        <v/>
      </c>
      <c r="U1904" s="57" t="str">
        <f aca="false">IF($T1904="","",SUMIFS($T$6:$T$2405,$A$6:$A$2405,"&lt;="&amp;$A1904))</f>
        <v/>
      </c>
      <c r="V1904" s="57" t="str">
        <f aca="false">IF($T1904="","",IF($U1904&lt;=BankCostEnvelope*'5. Scenarios'!$E$7,1,0))</f>
        <v/>
      </c>
      <c r="W1904" s="57" t="str">
        <f aca="false">IF($S1904="","",INDEX(BookRate,1899)*(1+'5. Scenarios'!$E$10)*(INDEX(BookQ1,1899)*(5-MIN(4,1+'5. Scenarios'!$E$8))/4+INDEX(BookQ2,1899)*(5-MIN(4,2+'5. Scenarios'!$E$8))/4+INDEX(BookQ3,1899)*(5-MIN(4,3+'5. Scenarios'!$E$8))/4+INDEX(BookQ4,1899)*(5-MIN(4,4+'5. Scenarios'!$E$8))/4)*'5. Scenarios'!$E$6/(1+ProductivityDefault*('5. Scenarios'!$E$11-1))+INDEX(BookOneOff,1899)*$S1904)</f>
        <v/>
      </c>
    </row>
    <row r="1905" customFormat="false" ht="15" hidden="false" customHeight="false" outlineLevel="0" collapsed="false">
      <c r="A1905" s="0" t="str">
        <f aca="false">IF(INDEX(BookTitle,1900)="","",INDEX(BookKey,1900))</f>
        <v/>
      </c>
      <c r="B1905" s="0" t="str">
        <f aca="false">IF(INDEX(BookTitle,1900)="","",INDEX(BookGroup,1900))</f>
        <v/>
      </c>
      <c r="C1905" s="0" t="str">
        <f aca="false">IF(INDEX(BookTitle,1900)="","",INDEX(BookCategory,1900))</f>
        <v/>
      </c>
      <c r="D1905" s="56" t="str">
        <f aca="false">IF(INDEX(BookTitle,1900)="","",INDEX(BookTotal,1900)*'5. Scenarios'!$B$6/(1+ProductivityDefault*('5. Scenarios'!$B$11-1)))</f>
        <v/>
      </c>
      <c r="E1905" s="57" t="str">
        <f aca="false">IF($D1905="","",INDEX(BookRate,1900)*(1+'5. Scenarios'!$B$10)*$D1905)</f>
        <v/>
      </c>
      <c r="F1905" s="57" t="str">
        <f aca="false">IF($E1905="","",SUMIFS($E$6:$E$2405,$A$6:$A$2405,"&lt;="&amp;$A1905))</f>
        <v/>
      </c>
      <c r="G1905" s="57" t="str">
        <f aca="false">IF($E1905="","",IF($F1905&lt;=BankCostEnvelope*'5. Scenarios'!$B$7,1,0))</f>
        <v/>
      </c>
      <c r="H1905" s="57" t="str">
        <f aca="false">IF($D1905="","",INDEX(BookRate,1900)*(1+'5. Scenarios'!$B$10)*(INDEX(BookQ1,1900)*(5-MIN(4,1+'5. Scenarios'!$B$8))/4+INDEX(BookQ2,1900)*(5-MIN(4,2+'5. Scenarios'!$B$8))/4+INDEX(BookQ3,1900)*(5-MIN(4,3+'5. Scenarios'!$B$8))/4+INDEX(BookQ4,1900)*(5-MIN(4,4+'5. Scenarios'!$B$8))/4)*'5. Scenarios'!$B$6/(1+ProductivityDefault*('5. Scenarios'!$B$11-1))+INDEX(BookOneOff,1900)*$D1905)</f>
        <v/>
      </c>
      <c r="I1905" s="56" t="str">
        <f aca="false">IF(INDEX(BookTitle,1900)="","",INDEX(BookTotal,1900)*'5. Scenarios'!$C$6/(1+ProductivityDefault*('5. Scenarios'!$C$11-1)))</f>
        <v/>
      </c>
      <c r="J1905" s="57" t="str">
        <f aca="false">IF($I1905="","",INDEX(BookRate,1900)*(1+'5. Scenarios'!$C$10)*$I1905)</f>
        <v/>
      </c>
      <c r="K1905" s="57" t="str">
        <f aca="false">IF($J1905="","",SUMIFS($J$6:$J$2405,$A$6:$A$2405,"&lt;="&amp;$A1905))</f>
        <v/>
      </c>
      <c r="L1905" s="57" t="str">
        <f aca="false">IF($J1905="","",IF($K1905&lt;=BankCostEnvelope*'5. Scenarios'!$C$7,1,0))</f>
        <v/>
      </c>
      <c r="M1905" s="57" t="str">
        <f aca="false">IF($I1905="","",INDEX(BookRate,1900)*(1+'5. Scenarios'!$C$10)*(INDEX(BookQ1,1900)*(5-MIN(4,1+'5. Scenarios'!$C$8))/4+INDEX(BookQ2,1900)*(5-MIN(4,2+'5. Scenarios'!$C$8))/4+INDEX(BookQ3,1900)*(5-MIN(4,3+'5. Scenarios'!$C$8))/4+INDEX(BookQ4,1900)*(5-MIN(4,4+'5. Scenarios'!$C$8))/4)*'5. Scenarios'!$C$6/(1+ProductivityDefault*('5. Scenarios'!$C$11-1))+INDEX(BookOneOff,1900)*$I1905)</f>
        <v/>
      </c>
      <c r="N1905" s="56" t="str">
        <f aca="false">IF(INDEX(BookTitle,1900)="","",INDEX(BookTotal,1900)*'5. Scenarios'!$D$6/(1+ProductivityDefault*('5. Scenarios'!$D$11-1)))</f>
        <v/>
      </c>
      <c r="O1905" s="57" t="str">
        <f aca="false">IF($N1905="","",INDEX(BookRate,1900)*(1+'5. Scenarios'!$D$10)*$N1905)</f>
        <v/>
      </c>
      <c r="P1905" s="57" t="str">
        <f aca="false">IF($O1905="","",SUMIFS($O$6:$O$2405,$A$6:$A$2405,"&lt;="&amp;$A1905))</f>
        <v/>
      </c>
      <c r="Q1905" s="57" t="str">
        <f aca="false">IF($O1905="","",IF($P1905&lt;=BankCostEnvelope*'5. Scenarios'!$D$7,1,0))</f>
        <v/>
      </c>
      <c r="R1905" s="57" t="str">
        <f aca="false">IF($N1905="","",INDEX(BookRate,1900)*(1+'5. Scenarios'!$D$10)*(INDEX(BookQ1,1900)*(5-MIN(4,1+'5. Scenarios'!$D$8))/4+INDEX(BookQ2,1900)*(5-MIN(4,2+'5. Scenarios'!$D$8))/4+INDEX(BookQ3,1900)*(5-MIN(4,3+'5. Scenarios'!$D$8))/4+INDEX(BookQ4,1900)*(5-MIN(4,4+'5. Scenarios'!$D$8))/4)*'5. Scenarios'!$D$6/(1+ProductivityDefault*('5. Scenarios'!$D$11-1))+INDEX(BookOneOff,1900)*$N1905)</f>
        <v/>
      </c>
      <c r="S1905" s="56" t="str">
        <f aca="false">IF(INDEX(BookTitle,1900)="","",INDEX(BookTotal,1900)*'5. Scenarios'!$E$6/(1+ProductivityDefault*('5. Scenarios'!$E$11-1)))</f>
        <v/>
      </c>
      <c r="T1905" s="57" t="str">
        <f aca="false">IF($S1905="","",INDEX(BookRate,1900)*(1+'5. Scenarios'!$E$10)*$S1905)</f>
        <v/>
      </c>
      <c r="U1905" s="57" t="str">
        <f aca="false">IF($T1905="","",SUMIFS($T$6:$T$2405,$A$6:$A$2405,"&lt;="&amp;$A1905))</f>
        <v/>
      </c>
      <c r="V1905" s="57" t="str">
        <f aca="false">IF($T1905="","",IF($U1905&lt;=BankCostEnvelope*'5. Scenarios'!$E$7,1,0))</f>
        <v/>
      </c>
      <c r="W1905" s="57" t="str">
        <f aca="false">IF($S1905="","",INDEX(BookRate,1900)*(1+'5. Scenarios'!$E$10)*(INDEX(BookQ1,1900)*(5-MIN(4,1+'5. Scenarios'!$E$8))/4+INDEX(BookQ2,1900)*(5-MIN(4,2+'5. Scenarios'!$E$8))/4+INDEX(BookQ3,1900)*(5-MIN(4,3+'5. Scenarios'!$E$8))/4+INDEX(BookQ4,1900)*(5-MIN(4,4+'5. Scenarios'!$E$8))/4)*'5. Scenarios'!$E$6/(1+ProductivityDefault*('5. Scenarios'!$E$11-1))+INDEX(BookOneOff,1900)*$S1905)</f>
        <v/>
      </c>
    </row>
    <row r="1906" customFormat="false" ht="15" hidden="false" customHeight="false" outlineLevel="0" collapsed="false">
      <c r="A1906" s="0" t="str">
        <f aca="false">IF(INDEX(BookTitle,1901)="","",INDEX(BookKey,1901))</f>
        <v/>
      </c>
      <c r="B1906" s="0" t="str">
        <f aca="false">IF(INDEX(BookTitle,1901)="","",INDEX(BookGroup,1901))</f>
        <v/>
      </c>
      <c r="C1906" s="0" t="str">
        <f aca="false">IF(INDEX(BookTitle,1901)="","",INDEX(BookCategory,1901))</f>
        <v/>
      </c>
      <c r="D1906" s="56" t="str">
        <f aca="false">IF(INDEX(BookTitle,1901)="","",INDEX(BookTotal,1901)*'5. Scenarios'!$B$6/(1+ProductivityDefault*('5. Scenarios'!$B$11-1)))</f>
        <v/>
      </c>
      <c r="E1906" s="57" t="str">
        <f aca="false">IF($D1906="","",INDEX(BookRate,1901)*(1+'5. Scenarios'!$B$10)*$D1906)</f>
        <v/>
      </c>
      <c r="F1906" s="57" t="str">
        <f aca="false">IF($E1906="","",SUMIFS($E$6:$E$2405,$A$6:$A$2405,"&lt;="&amp;$A1906))</f>
        <v/>
      </c>
      <c r="G1906" s="57" t="str">
        <f aca="false">IF($E1906="","",IF($F1906&lt;=BankCostEnvelope*'5. Scenarios'!$B$7,1,0))</f>
        <v/>
      </c>
      <c r="H1906" s="57" t="str">
        <f aca="false">IF($D1906="","",INDEX(BookRate,1901)*(1+'5. Scenarios'!$B$10)*(INDEX(BookQ1,1901)*(5-MIN(4,1+'5. Scenarios'!$B$8))/4+INDEX(BookQ2,1901)*(5-MIN(4,2+'5. Scenarios'!$B$8))/4+INDEX(BookQ3,1901)*(5-MIN(4,3+'5. Scenarios'!$B$8))/4+INDEX(BookQ4,1901)*(5-MIN(4,4+'5. Scenarios'!$B$8))/4)*'5. Scenarios'!$B$6/(1+ProductivityDefault*('5. Scenarios'!$B$11-1))+INDEX(BookOneOff,1901)*$D1906)</f>
        <v/>
      </c>
      <c r="I1906" s="56" t="str">
        <f aca="false">IF(INDEX(BookTitle,1901)="","",INDEX(BookTotal,1901)*'5. Scenarios'!$C$6/(1+ProductivityDefault*('5. Scenarios'!$C$11-1)))</f>
        <v/>
      </c>
      <c r="J1906" s="57" t="str">
        <f aca="false">IF($I1906="","",INDEX(BookRate,1901)*(1+'5. Scenarios'!$C$10)*$I1906)</f>
        <v/>
      </c>
      <c r="K1906" s="57" t="str">
        <f aca="false">IF($J1906="","",SUMIFS($J$6:$J$2405,$A$6:$A$2405,"&lt;="&amp;$A1906))</f>
        <v/>
      </c>
      <c r="L1906" s="57" t="str">
        <f aca="false">IF($J1906="","",IF($K1906&lt;=BankCostEnvelope*'5. Scenarios'!$C$7,1,0))</f>
        <v/>
      </c>
      <c r="M1906" s="57" t="str">
        <f aca="false">IF($I1906="","",INDEX(BookRate,1901)*(1+'5. Scenarios'!$C$10)*(INDEX(BookQ1,1901)*(5-MIN(4,1+'5. Scenarios'!$C$8))/4+INDEX(BookQ2,1901)*(5-MIN(4,2+'5. Scenarios'!$C$8))/4+INDEX(BookQ3,1901)*(5-MIN(4,3+'5. Scenarios'!$C$8))/4+INDEX(BookQ4,1901)*(5-MIN(4,4+'5. Scenarios'!$C$8))/4)*'5. Scenarios'!$C$6/(1+ProductivityDefault*('5. Scenarios'!$C$11-1))+INDEX(BookOneOff,1901)*$I1906)</f>
        <v/>
      </c>
      <c r="N1906" s="56" t="str">
        <f aca="false">IF(INDEX(BookTitle,1901)="","",INDEX(BookTotal,1901)*'5. Scenarios'!$D$6/(1+ProductivityDefault*('5. Scenarios'!$D$11-1)))</f>
        <v/>
      </c>
      <c r="O1906" s="57" t="str">
        <f aca="false">IF($N1906="","",INDEX(BookRate,1901)*(1+'5. Scenarios'!$D$10)*$N1906)</f>
        <v/>
      </c>
      <c r="P1906" s="57" t="str">
        <f aca="false">IF($O1906="","",SUMIFS($O$6:$O$2405,$A$6:$A$2405,"&lt;="&amp;$A1906))</f>
        <v/>
      </c>
      <c r="Q1906" s="57" t="str">
        <f aca="false">IF($O1906="","",IF($P1906&lt;=BankCostEnvelope*'5. Scenarios'!$D$7,1,0))</f>
        <v/>
      </c>
      <c r="R1906" s="57" t="str">
        <f aca="false">IF($N1906="","",INDEX(BookRate,1901)*(1+'5. Scenarios'!$D$10)*(INDEX(BookQ1,1901)*(5-MIN(4,1+'5. Scenarios'!$D$8))/4+INDEX(BookQ2,1901)*(5-MIN(4,2+'5. Scenarios'!$D$8))/4+INDEX(BookQ3,1901)*(5-MIN(4,3+'5. Scenarios'!$D$8))/4+INDEX(BookQ4,1901)*(5-MIN(4,4+'5. Scenarios'!$D$8))/4)*'5. Scenarios'!$D$6/(1+ProductivityDefault*('5. Scenarios'!$D$11-1))+INDEX(BookOneOff,1901)*$N1906)</f>
        <v/>
      </c>
      <c r="S1906" s="56" t="str">
        <f aca="false">IF(INDEX(BookTitle,1901)="","",INDEX(BookTotal,1901)*'5. Scenarios'!$E$6/(1+ProductivityDefault*('5. Scenarios'!$E$11-1)))</f>
        <v/>
      </c>
      <c r="T1906" s="57" t="str">
        <f aca="false">IF($S1906="","",INDEX(BookRate,1901)*(1+'5. Scenarios'!$E$10)*$S1906)</f>
        <v/>
      </c>
      <c r="U1906" s="57" t="str">
        <f aca="false">IF($T1906="","",SUMIFS($T$6:$T$2405,$A$6:$A$2405,"&lt;="&amp;$A1906))</f>
        <v/>
      </c>
      <c r="V1906" s="57" t="str">
        <f aca="false">IF($T1906="","",IF($U1906&lt;=BankCostEnvelope*'5. Scenarios'!$E$7,1,0))</f>
        <v/>
      </c>
      <c r="W1906" s="57" t="str">
        <f aca="false">IF($S1906="","",INDEX(BookRate,1901)*(1+'5. Scenarios'!$E$10)*(INDEX(BookQ1,1901)*(5-MIN(4,1+'5. Scenarios'!$E$8))/4+INDEX(BookQ2,1901)*(5-MIN(4,2+'5. Scenarios'!$E$8))/4+INDEX(BookQ3,1901)*(5-MIN(4,3+'5. Scenarios'!$E$8))/4+INDEX(BookQ4,1901)*(5-MIN(4,4+'5. Scenarios'!$E$8))/4)*'5. Scenarios'!$E$6/(1+ProductivityDefault*('5. Scenarios'!$E$11-1))+INDEX(BookOneOff,1901)*$S1906)</f>
        <v/>
      </c>
    </row>
    <row r="1907" customFormat="false" ht="15" hidden="false" customHeight="false" outlineLevel="0" collapsed="false">
      <c r="A1907" s="0" t="str">
        <f aca="false">IF(INDEX(BookTitle,1902)="","",INDEX(BookKey,1902))</f>
        <v/>
      </c>
      <c r="B1907" s="0" t="str">
        <f aca="false">IF(INDEX(BookTitle,1902)="","",INDEX(BookGroup,1902))</f>
        <v/>
      </c>
      <c r="C1907" s="0" t="str">
        <f aca="false">IF(INDEX(BookTitle,1902)="","",INDEX(BookCategory,1902))</f>
        <v/>
      </c>
      <c r="D1907" s="56" t="str">
        <f aca="false">IF(INDEX(BookTitle,1902)="","",INDEX(BookTotal,1902)*'5. Scenarios'!$B$6/(1+ProductivityDefault*('5. Scenarios'!$B$11-1)))</f>
        <v/>
      </c>
      <c r="E1907" s="57" t="str">
        <f aca="false">IF($D1907="","",INDEX(BookRate,1902)*(1+'5. Scenarios'!$B$10)*$D1907)</f>
        <v/>
      </c>
      <c r="F1907" s="57" t="str">
        <f aca="false">IF($E1907="","",SUMIFS($E$6:$E$2405,$A$6:$A$2405,"&lt;="&amp;$A1907))</f>
        <v/>
      </c>
      <c r="G1907" s="57" t="str">
        <f aca="false">IF($E1907="","",IF($F1907&lt;=BankCostEnvelope*'5. Scenarios'!$B$7,1,0))</f>
        <v/>
      </c>
      <c r="H1907" s="57" t="str">
        <f aca="false">IF($D1907="","",INDEX(BookRate,1902)*(1+'5. Scenarios'!$B$10)*(INDEX(BookQ1,1902)*(5-MIN(4,1+'5. Scenarios'!$B$8))/4+INDEX(BookQ2,1902)*(5-MIN(4,2+'5. Scenarios'!$B$8))/4+INDEX(BookQ3,1902)*(5-MIN(4,3+'5. Scenarios'!$B$8))/4+INDEX(BookQ4,1902)*(5-MIN(4,4+'5. Scenarios'!$B$8))/4)*'5. Scenarios'!$B$6/(1+ProductivityDefault*('5. Scenarios'!$B$11-1))+INDEX(BookOneOff,1902)*$D1907)</f>
        <v/>
      </c>
      <c r="I1907" s="56" t="str">
        <f aca="false">IF(INDEX(BookTitle,1902)="","",INDEX(BookTotal,1902)*'5. Scenarios'!$C$6/(1+ProductivityDefault*('5. Scenarios'!$C$11-1)))</f>
        <v/>
      </c>
      <c r="J1907" s="57" t="str">
        <f aca="false">IF($I1907="","",INDEX(BookRate,1902)*(1+'5. Scenarios'!$C$10)*$I1907)</f>
        <v/>
      </c>
      <c r="K1907" s="57" t="str">
        <f aca="false">IF($J1907="","",SUMIFS($J$6:$J$2405,$A$6:$A$2405,"&lt;="&amp;$A1907))</f>
        <v/>
      </c>
      <c r="L1907" s="57" t="str">
        <f aca="false">IF($J1907="","",IF($K1907&lt;=BankCostEnvelope*'5. Scenarios'!$C$7,1,0))</f>
        <v/>
      </c>
      <c r="M1907" s="57" t="str">
        <f aca="false">IF($I1907="","",INDEX(BookRate,1902)*(1+'5. Scenarios'!$C$10)*(INDEX(BookQ1,1902)*(5-MIN(4,1+'5. Scenarios'!$C$8))/4+INDEX(BookQ2,1902)*(5-MIN(4,2+'5. Scenarios'!$C$8))/4+INDEX(BookQ3,1902)*(5-MIN(4,3+'5. Scenarios'!$C$8))/4+INDEX(BookQ4,1902)*(5-MIN(4,4+'5. Scenarios'!$C$8))/4)*'5. Scenarios'!$C$6/(1+ProductivityDefault*('5. Scenarios'!$C$11-1))+INDEX(BookOneOff,1902)*$I1907)</f>
        <v/>
      </c>
      <c r="N1907" s="56" t="str">
        <f aca="false">IF(INDEX(BookTitle,1902)="","",INDEX(BookTotal,1902)*'5. Scenarios'!$D$6/(1+ProductivityDefault*('5. Scenarios'!$D$11-1)))</f>
        <v/>
      </c>
      <c r="O1907" s="57" t="str">
        <f aca="false">IF($N1907="","",INDEX(BookRate,1902)*(1+'5. Scenarios'!$D$10)*$N1907)</f>
        <v/>
      </c>
      <c r="P1907" s="57" t="str">
        <f aca="false">IF($O1907="","",SUMIFS($O$6:$O$2405,$A$6:$A$2405,"&lt;="&amp;$A1907))</f>
        <v/>
      </c>
      <c r="Q1907" s="57" t="str">
        <f aca="false">IF($O1907="","",IF($P1907&lt;=BankCostEnvelope*'5. Scenarios'!$D$7,1,0))</f>
        <v/>
      </c>
      <c r="R1907" s="57" t="str">
        <f aca="false">IF($N1907="","",INDEX(BookRate,1902)*(1+'5. Scenarios'!$D$10)*(INDEX(BookQ1,1902)*(5-MIN(4,1+'5. Scenarios'!$D$8))/4+INDEX(BookQ2,1902)*(5-MIN(4,2+'5. Scenarios'!$D$8))/4+INDEX(BookQ3,1902)*(5-MIN(4,3+'5. Scenarios'!$D$8))/4+INDEX(BookQ4,1902)*(5-MIN(4,4+'5. Scenarios'!$D$8))/4)*'5. Scenarios'!$D$6/(1+ProductivityDefault*('5. Scenarios'!$D$11-1))+INDEX(BookOneOff,1902)*$N1907)</f>
        <v/>
      </c>
      <c r="S1907" s="56" t="str">
        <f aca="false">IF(INDEX(BookTitle,1902)="","",INDEX(BookTotal,1902)*'5. Scenarios'!$E$6/(1+ProductivityDefault*('5. Scenarios'!$E$11-1)))</f>
        <v/>
      </c>
      <c r="T1907" s="57" t="str">
        <f aca="false">IF($S1907="","",INDEX(BookRate,1902)*(1+'5. Scenarios'!$E$10)*$S1907)</f>
        <v/>
      </c>
      <c r="U1907" s="57" t="str">
        <f aca="false">IF($T1907="","",SUMIFS($T$6:$T$2405,$A$6:$A$2405,"&lt;="&amp;$A1907))</f>
        <v/>
      </c>
      <c r="V1907" s="57" t="str">
        <f aca="false">IF($T1907="","",IF($U1907&lt;=BankCostEnvelope*'5. Scenarios'!$E$7,1,0))</f>
        <v/>
      </c>
      <c r="W1907" s="57" t="str">
        <f aca="false">IF($S1907="","",INDEX(BookRate,1902)*(1+'5. Scenarios'!$E$10)*(INDEX(BookQ1,1902)*(5-MIN(4,1+'5. Scenarios'!$E$8))/4+INDEX(BookQ2,1902)*(5-MIN(4,2+'5. Scenarios'!$E$8))/4+INDEX(BookQ3,1902)*(5-MIN(4,3+'5. Scenarios'!$E$8))/4+INDEX(BookQ4,1902)*(5-MIN(4,4+'5. Scenarios'!$E$8))/4)*'5. Scenarios'!$E$6/(1+ProductivityDefault*('5. Scenarios'!$E$11-1))+INDEX(BookOneOff,1902)*$S1907)</f>
        <v/>
      </c>
    </row>
    <row r="1908" customFormat="false" ht="15" hidden="false" customHeight="false" outlineLevel="0" collapsed="false">
      <c r="A1908" s="0" t="str">
        <f aca="false">IF(INDEX(BookTitle,1903)="","",INDEX(BookKey,1903))</f>
        <v/>
      </c>
      <c r="B1908" s="0" t="str">
        <f aca="false">IF(INDEX(BookTitle,1903)="","",INDEX(BookGroup,1903))</f>
        <v/>
      </c>
      <c r="C1908" s="0" t="str">
        <f aca="false">IF(INDEX(BookTitle,1903)="","",INDEX(BookCategory,1903))</f>
        <v/>
      </c>
      <c r="D1908" s="56" t="str">
        <f aca="false">IF(INDEX(BookTitle,1903)="","",INDEX(BookTotal,1903)*'5. Scenarios'!$B$6/(1+ProductivityDefault*('5. Scenarios'!$B$11-1)))</f>
        <v/>
      </c>
      <c r="E1908" s="57" t="str">
        <f aca="false">IF($D1908="","",INDEX(BookRate,1903)*(1+'5. Scenarios'!$B$10)*$D1908)</f>
        <v/>
      </c>
      <c r="F1908" s="57" t="str">
        <f aca="false">IF($E1908="","",SUMIFS($E$6:$E$2405,$A$6:$A$2405,"&lt;="&amp;$A1908))</f>
        <v/>
      </c>
      <c r="G1908" s="57" t="str">
        <f aca="false">IF($E1908="","",IF($F1908&lt;=BankCostEnvelope*'5. Scenarios'!$B$7,1,0))</f>
        <v/>
      </c>
      <c r="H1908" s="57" t="str">
        <f aca="false">IF($D1908="","",INDEX(BookRate,1903)*(1+'5. Scenarios'!$B$10)*(INDEX(BookQ1,1903)*(5-MIN(4,1+'5. Scenarios'!$B$8))/4+INDEX(BookQ2,1903)*(5-MIN(4,2+'5. Scenarios'!$B$8))/4+INDEX(BookQ3,1903)*(5-MIN(4,3+'5. Scenarios'!$B$8))/4+INDEX(BookQ4,1903)*(5-MIN(4,4+'5. Scenarios'!$B$8))/4)*'5. Scenarios'!$B$6/(1+ProductivityDefault*('5. Scenarios'!$B$11-1))+INDEX(BookOneOff,1903)*$D1908)</f>
        <v/>
      </c>
      <c r="I1908" s="56" t="str">
        <f aca="false">IF(INDEX(BookTitle,1903)="","",INDEX(BookTotal,1903)*'5. Scenarios'!$C$6/(1+ProductivityDefault*('5. Scenarios'!$C$11-1)))</f>
        <v/>
      </c>
      <c r="J1908" s="57" t="str">
        <f aca="false">IF($I1908="","",INDEX(BookRate,1903)*(1+'5. Scenarios'!$C$10)*$I1908)</f>
        <v/>
      </c>
      <c r="K1908" s="57" t="str">
        <f aca="false">IF($J1908="","",SUMIFS($J$6:$J$2405,$A$6:$A$2405,"&lt;="&amp;$A1908))</f>
        <v/>
      </c>
      <c r="L1908" s="57" t="str">
        <f aca="false">IF($J1908="","",IF($K1908&lt;=BankCostEnvelope*'5. Scenarios'!$C$7,1,0))</f>
        <v/>
      </c>
      <c r="M1908" s="57" t="str">
        <f aca="false">IF($I1908="","",INDEX(BookRate,1903)*(1+'5. Scenarios'!$C$10)*(INDEX(BookQ1,1903)*(5-MIN(4,1+'5. Scenarios'!$C$8))/4+INDEX(BookQ2,1903)*(5-MIN(4,2+'5. Scenarios'!$C$8))/4+INDEX(BookQ3,1903)*(5-MIN(4,3+'5. Scenarios'!$C$8))/4+INDEX(BookQ4,1903)*(5-MIN(4,4+'5. Scenarios'!$C$8))/4)*'5. Scenarios'!$C$6/(1+ProductivityDefault*('5. Scenarios'!$C$11-1))+INDEX(BookOneOff,1903)*$I1908)</f>
        <v/>
      </c>
      <c r="N1908" s="56" t="str">
        <f aca="false">IF(INDEX(BookTitle,1903)="","",INDEX(BookTotal,1903)*'5. Scenarios'!$D$6/(1+ProductivityDefault*('5. Scenarios'!$D$11-1)))</f>
        <v/>
      </c>
      <c r="O1908" s="57" t="str">
        <f aca="false">IF($N1908="","",INDEX(BookRate,1903)*(1+'5. Scenarios'!$D$10)*$N1908)</f>
        <v/>
      </c>
      <c r="P1908" s="57" t="str">
        <f aca="false">IF($O1908="","",SUMIFS($O$6:$O$2405,$A$6:$A$2405,"&lt;="&amp;$A1908))</f>
        <v/>
      </c>
      <c r="Q1908" s="57" t="str">
        <f aca="false">IF($O1908="","",IF($P1908&lt;=BankCostEnvelope*'5. Scenarios'!$D$7,1,0))</f>
        <v/>
      </c>
      <c r="R1908" s="57" t="str">
        <f aca="false">IF($N1908="","",INDEX(BookRate,1903)*(1+'5. Scenarios'!$D$10)*(INDEX(BookQ1,1903)*(5-MIN(4,1+'5. Scenarios'!$D$8))/4+INDEX(BookQ2,1903)*(5-MIN(4,2+'5. Scenarios'!$D$8))/4+INDEX(BookQ3,1903)*(5-MIN(4,3+'5. Scenarios'!$D$8))/4+INDEX(BookQ4,1903)*(5-MIN(4,4+'5. Scenarios'!$D$8))/4)*'5. Scenarios'!$D$6/(1+ProductivityDefault*('5. Scenarios'!$D$11-1))+INDEX(BookOneOff,1903)*$N1908)</f>
        <v/>
      </c>
      <c r="S1908" s="56" t="str">
        <f aca="false">IF(INDEX(BookTitle,1903)="","",INDEX(BookTotal,1903)*'5. Scenarios'!$E$6/(1+ProductivityDefault*('5. Scenarios'!$E$11-1)))</f>
        <v/>
      </c>
      <c r="T1908" s="57" t="str">
        <f aca="false">IF($S1908="","",INDEX(BookRate,1903)*(1+'5. Scenarios'!$E$10)*$S1908)</f>
        <v/>
      </c>
      <c r="U1908" s="57" t="str">
        <f aca="false">IF($T1908="","",SUMIFS($T$6:$T$2405,$A$6:$A$2405,"&lt;="&amp;$A1908))</f>
        <v/>
      </c>
      <c r="V1908" s="57" t="str">
        <f aca="false">IF($T1908="","",IF($U1908&lt;=BankCostEnvelope*'5. Scenarios'!$E$7,1,0))</f>
        <v/>
      </c>
      <c r="W1908" s="57" t="str">
        <f aca="false">IF($S1908="","",INDEX(BookRate,1903)*(1+'5. Scenarios'!$E$10)*(INDEX(BookQ1,1903)*(5-MIN(4,1+'5. Scenarios'!$E$8))/4+INDEX(BookQ2,1903)*(5-MIN(4,2+'5. Scenarios'!$E$8))/4+INDEX(BookQ3,1903)*(5-MIN(4,3+'5. Scenarios'!$E$8))/4+INDEX(BookQ4,1903)*(5-MIN(4,4+'5. Scenarios'!$E$8))/4)*'5. Scenarios'!$E$6/(1+ProductivityDefault*('5. Scenarios'!$E$11-1))+INDEX(BookOneOff,1903)*$S1908)</f>
        <v/>
      </c>
    </row>
    <row r="1909" customFormat="false" ht="15" hidden="false" customHeight="false" outlineLevel="0" collapsed="false">
      <c r="A1909" s="0" t="str">
        <f aca="false">IF(INDEX(BookTitle,1904)="","",INDEX(BookKey,1904))</f>
        <v/>
      </c>
      <c r="B1909" s="0" t="str">
        <f aca="false">IF(INDEX(BookTitle,1904)="","",INDEX(BookGroup,1904))</f>
        <v/>
      </c>
      <c r="C1909" s="0" t="str">
        <f aca="false">IF(INDEX(BookTitle,1904)="","",INDEX(BookCategory,1904))</f>
        <v/>
      </c>
      <c r="D1909" s="56" t="str">
        <f aca="false">IF(INDEX(BookTitle,1904)="","",INDEX(BookTotal,1904)*'5. Scenarios'!$B$6/(1+ProductivityDefault*('5. Scenarios'!$B$11-1)))</f>
        <v/>
      </c>
      <c r="E1909" s="57" t="str">
        <f aca="false">IF($D1909="","",INDEX(BookRate,1904)*(1+'5. Scenarios'!$B$10)*$D1909)</f>
        <v/>
      </c>
      <c r="F1909" s="57" t="str">
        <f aca="false">IF($E1909="","",SUMIFS($E$6:$E$2405,$A$6:$A$2405,"&lt;="&amp;$A1909))</f>
        <v/>
      </c>
      <c r="G1909" s="57" t="str">
        <f aca="false">IF($E1909="","",IF($F1909&lt;=BankCostEnvelope*'5. Scenarios'!$B$7,1,0))</f>
        <v/>
      </c>
      <c r="H1909" s="57" t="str">
        <f aca="false">IF($D1909="","",INDEX(BookRate,1904)*(1+'5. Scenarios'!$B$10)*(INDEX(BookQ1,1904)*(5-MIN(4,1+'5. Scenarios'!$B$8))/4+INDEX(BookQ2,1904)*(5-MIN(4,2+'5. Scenarios'!$B$8))/4+INDEX(BookQ3,1904)*(5-MIN(4,3+'5. Scenarios'!$B$8))/4+INDEX(BookQ4,1904)*(5-MIN(4,4+'5. Scenarios'!$B$8))/4)*'5. Scenarios'!$B$6/(1+ProductivityDefault*('5. Scenarios'!$B$11-1))+INDEX(BookOneOff,1904)*$D1909)</f>
        <v/>
      </c>
      <c r="I1909" s="56" t="str">
        <f aca="false">IF(INDEX(BookTitle,1904)="","",INDEX(BookTotal,1904)*'5. Scenarios'!$C$6/(1+ProductivityDefault*('5. Scenarios'!$C$11-1)))</f>
        <v/>
      </c>
      <c r="J1909" s="57" t="str">
        <f aca="false">IF($I1909="","",INDEX(BookRate,1904)*(1+'5. Scenarios'!$C$10)*$I1909)</f>
        <v/>
      </c>
      <c r="K1909" s="57" t="str">
        <f aca="false">IF($J1909="","",SUMIFS($J$6:$J$2405,$A$6:$A$2405,"&lt;="&amp;$A1909))</f>
        <v/>
      </c>
      <c r="L1909" s="57" t="str">
        <f aca="false">IF($J1909="","",IF($K1909&lt;=BankCostEnvelope*'5. Scenarios'!$C$7,1,0))</f>
        <v/>
      </c>
      <c r="M1909" s="57" t="str">
        <f aca="false">IF($I1909="","",INDEX(BookRate,1904)*(1+'5. Scenarios'!$C$10)*(INDEX(BookQ1,1904)*(5-MIN(4,1+'5. Scenarios'!$C$8))/4+INDEX(BookQ2,1904)*(5-MIN(4,2+'5. Scenarios'!$C$8))/4+INDEX(BookQ3,1904)*(5-MIN(4,3+'5. Scenarios'!$C$8))/4+INDEX(BookQ4,1904)*(5-MIN(4,4+'5. Scenarios'!$C$8))/4)*'5. Scenarios'!$C$6/(1+ProductivityDefault*('5. Scenarios'!$C$11-1))+INDEX(BookOneOff,1904)*$I1909)</f>
        <v/>
      </c>
      <c r="N1909" s="56" t="str">
        <f aca="false">IF(INDEX(BookTitle,1904)="","",INDEX(BookTotal,1904)*'5. Scenarios'!$D$6/(1+ProductivityDefault*('5. Scenarios'!$D$11-1)))</f>
        <v/>
      </c>
      <c r="O1909" s="57" t="str">
        <f aca="false">IF($N1909="","",INDEX(BookRate,1904)*(1+'5. Scenarios'!$D$10)*$N1909)</f>
        <v/>
      </c>
      <c r="P1909" s="57" t="str">
        <f aca="false">IF($O1909="","",SUMIFS($O$6:$O$2405,$A$6:$A$2405,"&lt;="&amp;$A1909))</f>
        <v/>
      </c>
      <c r="Q1909" s="57" t="str">
        <f aca="false">IF($O1909="","",IF($P1909&lt;=BankCostEnvelope*'5. Scenarios'!$D$7,1,0))</f>
        <v/>
      </c>
      <c r="R1909" s="57" t="str">
        <f aca="false">IF($N1909="","",INDEX(BookRate,1904)*(1+'5. Scenarios'!$D$10)*(INDEX(BookQ1,1904)*(5-MIN(4,1+'5. Scenarios'!$D$8))/4+INDEX(BookQ2,1904)*(5-MIN(4,2+'5. Scenarios'!$D$8))/4+INDEX(BookQ3,1904)*(5-MIN(4,3+'5. Scenarios'!$D$8))/4+INDEX(BookQ4,1904)*(5-MIN(4,4+'5. Scenarios'!$D$8))/4)*'5. Scenarios'!$D$6/(1+ProductivityDefault*('5. Scenarios'!$D$11-1))+INDEX(BookOneOff,1904)*$N1909)</f>
        <v/>
      </c>
      <c r="S1909" s="56" t="str">
        <f aca="false">IF(INDEX(BookTitle,1904)="","",INDEX(BookTotal,1904)*'5. Scenarios'!$E$6/(1+ProductivityDefault*('5. Scenarios'!$E$11-1)))</f>
        <v/>
      </c>
      <c r="T1909" s="57" t="str">
        <f aca="false">IF($S1909="","",INDEX(BookRate,1904)*(1+'5. Scenarios'!$E$10)*$S1909)</f>
        <v/>
      </c>
      <c r="U1909" s="57" t="str">
        <f aca="false">IF($T1909="","",SUMIFS($T$6:$T$2405,$A$6:$A$2405,"&lt;="&amp;$A1909))</f>
        <v/>
      </c>
      <c r="V1909" s="57" t="str">
        <f aca="false">IF($T1909="","",IF($U1909&lt;=BankCostEnvelope*'5. Scenarios'!$E$7,1,0))</f>
        <v/>
      </c>
      <c r="W1909" s="57" t="str">
        <f aca="false">IF($S1909="","",INDEX(BookRate,1904)*(1+'5. Scenarios'!$E$10)*(INDEX(BookQ1,1904)*(5-MIN(4,1+'5. Scenarios'!$E$8))/4+INDEX(BookQ2,1904)*(5-MIN(4,2+'5. Scenarios'!$E$8))/4+INDEX(BookQ3,1904)*(5-MIN(4,3+'5. Scenarios'!$E$8))/4+INDEX(BookQ4,1904)*(5-MIN(4,4+'5. Scenarios'!$E$8))/4)*'5. Scenarios'!$E$6/(1+ProductivityDefault*('5. Scenarios'!$E$11-1))+INDEX(BookOneOff,1904)*$S1909)</f>
        <v/>
      </c>
    </row>
    <row r="1910" customFormat="false" ht="15" hidden="false" customHeight="false" outlineLevel="0" collapsed="false">
      <c r="A1910" s="0" t="str">
        <f aca="false">IF(INDEX(BookTitle,1905)="","",INDEX(BookKey,1905))</f>
        <v/>
      </c>
      <c r="B1910" s="0" t="str">
        <f aca="false">IF(INDEX(BookTitle,1905)="","",INDEX(BookGroup,1905))</f>
        <v/>
      </c>
      <c r="C1910" s="0" t="str">
        <f aca="false">IF(INDEX(BookTitle,1905)="","",INDEX(BookCategory,1905))</f>
        <v/>
      </c>
      <c r="D1910" s="56" t="str">
        <f aca="false">IF(INDEX(BookTitle,1905)="","",INDEX(BookTotal,1905)*'5. Scenarios'!$B$6/(1+ProductivityDefault*('5. Scenarios'!$B$11-1)))</f>
        <v/>
      </c>
      <c r="E1910" s="57" t="str">
        <f aca="false">IF($D1910="","",INDEX(BookRate,1905)*(1+'5. Scenarios'!$B$10)*$D1910)</f>
        <v/>
      </c>
      <c r="F1910" s="57" t="str">
        <f aca="false">IF($E1910="","",SUMIFS($E$6:$E$2405,$A$6:$A$2405,"&lt;="&amp;$A1910))</f>
        <v/>
      </c>
      <c r="G1910" s="57" t="str">
        <f aca="false">IF($E1910="","",IF($F1910&lt;=BankCostEnvelope*'5. Scenarios'!$B$7,1,0))</f>
        <v/>
      </c>
      <c r="H1910" s="57" t="str">
        <f aca="false">IF($D1910="","",INDEX(BookRate,1905)*(1+'5. Scenarios'!$B$10)*(INDEX(BookQ1,1905)*(5-MIN(4,1+'5. Scenarios'!$B$8))/4+INDEX(BookQ2,1905)*(5-MIN(4,2+'5. Scenarios'!$B$8))/4+INDEX(BookQ3,1905)*(5-MIN(4,3+'5. Scenarios'!$B$8))/4+INDEX(BookQ4,1905)*(5-MIN(4,4+'5. Scenarios'!$B$8))/4)*'5. Scenarios'!$B$6/(1+ProductivityDefault*('5. Scenarios'!$B$11-1))+INDEX(BookOneOff,1905)*$D1910)</f>
        <v/>
      </c>
      <c r="I1910" s="56" t="str">
        <f aca="false">IF(INDEX(BookTitle,1905)="","",INDEX(BookTotal,1905)*'5. Scenarios'!$C$6/(1+ProductivityDefault*('5. Scenarios'!$C$11-1)))</f>
        <v/>
      </c>
      <c r="J1910" s="57" t="str">
        <f aca="false">IF($I1910="","",INDEX(BookRate,1905)*(1+'5. Scenarios'!$C$10)*$I1910)</f>
        <v/>
      </c>
      <c r="K1910" s="57" t="str">
        <f aca="false">IF($J1910="","",SUMIFS($J$6:$J$2405,$A$6:$A$2405,"&lt;="&amp;$A1910))</f>
        <v/>
      </c>
      <c r="L1910" s="57" t="str">
        <f aca="false">IF($J1910="","",IF($K1910&lt;=BankCostEnvelope*'5. Scenarios'!$C$7,1,0))</f>
        <v/>
      </c>
      <c r="M1910" s="57" t="str">
        <f aca="false">IF($I1910="","",INDEX(BookRate,1905)*(1+'5. Scenarios'!$C$10)*(INDEX(BookQ1,1905)*(5-MIN(4,1+'5. Scenarios'!$C$8))/4+INDEX(BookQ2,1905)*(5-MIN(4,2+'5. Scenarios'!$C$8))/4+INDEX(BookQ3,1905)*(5-MIN(4,3+'5. Scenarios'!$C$8))/4+INDEX(BookQ4,1905)*(5-MIN(4,4+'5. Scenarios'!$C$8))/4)*'5. Scenarios'!$C$6/(1+ProductivityDefault*('5. Scenarios'!$C$11-1))+INDEX(BookOneOff,1905)*$I1910)</f>
        <v/>
      </c>
      <c r="N1910" s="56" t="str">
        <f aca="false">IF(INDEX(BookTitle,1905)="","",INDEX(BookTotal,1905)*'5. Scenarios'!$D$6/(1+ProductivityDefault*('5. Scenarios'!$D$11-1)))</f>
        <v/>
      </c>
      <c r="O1910" s="57" t="str">
        <f aca="false">IF($N1910="","",INDEX(BookRate,1905)*(1+'5. Scenarios'!$D$10)*$N1910)</f>
        <v/>
      </c>
      <c r="P1910" s="57" t="str">
        <f aca="false">IF($O1910="","",SUMIFS($O$6:$O$2405,$A$6:$A$2405,"&lt;="&amp;$A1910))</f>
        <v/>
      </c>
      <c r="Q1910" s="57" t="str">
        <f aca="false">IF($O1910="","",IF($P1910&lt;=BankCostEnvelope*'5. Scenarios'!$D$7,1,0))</f>
        <v/>
      </c>
      <c r="R1910" s="57" t="str">
        <f aca="false">IF($N1910="","",INDEX(BookRate,1905)*(1+'5. Scenarios'!$D$10)*(INDEX(BookQ1,1905)*(5-MIN(4,1+'5. Scenarios'!$D$8))/4+INDEX(BookQ2,1905)*(5-MIN(4,2+'5. Scenarios'!$D$8))/4+INDEX(BookQ3,1905)*(5-MIN(4,3+'5. Scenarios'!$D$8))/4+INDEX(BookQ4,1905)*(5-MIN(4,4+'5. Scenarios'!$D$8))/4)*'5. Scenarios'!$D$6/(1+ProductivityDefault*('5. Scenarios'!$D$11-1))+INDEX(BookOneOff,1905)*$N1910)</f>
        <v/>
      </c>
      <c r="S1910" s="56" t="str">
        <f aca="false">IF(INDEX(BookTitle,1905)="","",INDEX(BookTotal,1905)*'5. Scenarios'!$E$6/(1+ProductivityDefault*('5. Scenarios'!$E$11-1)))</f>
        <v/>
      </c>
      <c r="T1910" s="57" t="str">
        <f aca="false">IF($S1910="","",INDEX(BookRate,1905)*(1+'5. Scenarios'!$E$10)*$S1910)</f>
        <v/>
      </c>
      <c r="U1910" s="57" t="str">
        <f aca="false">IF($T1910="","",SUMIFS($T$6:$T$2405,$A$6:$A$2405,"&lt;="&amp;$A1910))</f>
        <v/>
      </c>
      <c r="V1910" s="57" t="str">
        <f aca="false">IF($T1910="","",IF($U1910&lt;=BankCostEnvelope*'5. Scenarios'!$E$7,1,0))</f>
        <v/>
      </c>
      <c r="W1910" s="57" t="str">
        <f aca="false">IF($S1910="","",INDEX(BookRate,1905)*(1+'5. Scenarios'!$E$10)*(INDEX(BookQ1,1905)*(5-MIN(4,1+'5. Scenarios'!$E$8))/4+INDEX(BookQ2,1905)*(5-MIN(4,2+'5. Scenarios'!$E$8))/4+INDEX(BookQ3,1905)*(5-MIN(4,3+'5. Scenarios'!$E$8))/4+INDEX(BookQ4,1905)*(5-MIN(4,4+'5. Scenarios'!$E$8))/4)*'5. Scenarios'!$E$6/(1+ProductivityDefault*('5. Scenarios'!$E$11-1))+INDEX(BookOneOff,1905)*$S1910)</f>
        <v/>
      </c>
    </row>
    <row r="1911" customFormat="false" ht="15" hidden="false" customHeight="false" outlineLevel="0" collapsed="false">
      <c r="A1911" s="0" t="str">
        <f aca="false">IF(INDEX(BookTitle,1906)="","",INDEX(BookKey,1906))</f>
        <v/>
      </c>
      <c r="B1911" s="0" t="str">
        <f aca="false">IF(INDEX(BookTitle,1906)="","",INDEX(BookGroup,1906))</f>
        <v/>
      </c>
      <c r="C1911" s="0" t="str">
        <f aca="false">IF(INDEX(BookTitle,1906)="","",INDEX(BookCategory,1906))</f>
        <v/>
      </c>
      <c r="D1911" s="56" t="str">
        <f aca="false">IF(INDEX(BookTitle,1906)="","",INDEX(BookTotal,1906)*'5. Scenarios'!$B$6/(1+ProductivityDefault*('5. Scenarios'!$B$11-1)))</f>
        <v/>
      </c>
      <c r="E1911" s="57" t="str">
        <f aca="false">IF($D1911="","",INDEX(BookRate,1906)*(1+'5. Scenarios'!$B$10)*$D1911)</f>
        <v/>
      </c>
      <c r="F1911" s="57" t="str">
        <f aca="false">IF($E1911="","",SUMIFS($E$6:$E$2405,$A$6:$A$2405,"&lt;="&amp;$A1911))</f>
        <v/>
      </c>
      <c r="G1911" s="57" t="str">
        <f aca="false">IF($E1911="","",IF($F1911&lt;=BankCostEnvelope*'5. Scenarios'!$B$7,1,0))</f>
        <v/>
      </c>
      <c r="H1911" s="57" t="str">
        <f aca="false">IF($D1911="","",INDEX(BookRate,1906)*(1+'5. Scenarios'!$B$10)*(INDEX(BookQ1,1906)*(5-MIN(4,1+'5. Scenarios'!$B$8))/4+INDEX(BookQ2,1906)*(5-MIN(4,2+'5. Scenarios'!$B$8))/4+INDEX(BookQ3,1906)*(5-MIN(4,3+'5. Scenarios'!$B$8))/4+INDEX(BookQ4,1906)*(5-MIN(4,4+'5. Scenarios'!$B$8))/4)*'5. Scenarios'!$B$6/(1+ProductivityDefault*('5. Scenarios'!$B$11-1))+INDEX(BookOneOff,1906)*$D1911)</f>
        <v/>
      </c>
      <c r="I1911" s="56" t="str">
        <f aca="false">IF(INDEX(BookTitle,1906)="","",INDEX(BookTotal,1906)*'5. Scenarios'!$C$6/(1+ProductivityDefault*('5. Scenarios'!$C$11-1)))</f>
        <v/>
      </c>
      <c r="J1911" s="57" t="str">
        <f aca="false">IF($I1911="","",INDEX(BookRate,1906)*(1+'5. Scenarios'!$C$10)*$I1911)</f>
        <v/>
      </c>
      <c r="K1911" s="57" t="str">
        <f aca="false">IF($J1911="","",SUMIFS($J$6:$J$2405,$A$6:$A$2405,"&lt;="&amp;$A1911))</f>
        <v/>
      </c>
      <c r="L1911" s="57" t="str">
        <f aca="false">IF($J1911="","",IF($K1911&lt;=BankCostEnvelope*'5. Scenarios'!$C$7,1,0))</f>
        <v/>
      </c>
      <c r="M1911" s="57" t="str">
        <f aca="false">IF($I1911="","",INDEX(BookRate,1906)*(1+'5. Scenarios'!$C$10)*(INDEX(BookQ1,1906)*(5-MIN(4,1+'5. Scenarios'!$C$8))/4+INDEX(BookQ2,1906)*(5-MIN(4,2+'5. Scenarios'!$C$8))/4+INDEX(BookQ3,1906)*(5-MIN(4,3+'5. Scenarios'!$C$8))/4+INDEX(BookQ4,1906)*(5-MIN(4,4+'5. Scenarios'!$C$8))/4)*'5. Scenarios'!$C$6/(1+ProductivityDefault*('5. Scenarios'!$C$11-1))+INDEX(BookOneOff,1906)*$I1911)</f>
        <v/>
      </c>
      <c r="N1911" s="56" t="str">
        <f aca="false">IF(INDEX(BookTitle,1906)="","",INDEX(BookTotal,1906)*'5. Scenarios'!$D$6/(1+ProductivityDefault*('5. Scenarios'!$D$11-1)))</f>
        <v/>
      </c>
      <c r="O1911" s="57" t="str">
        <f aca="false">IF($N1911="","",INDEX(BookRate,1906)*(1+'5. Scenarios'!$D$10)*$N1911)</f>
        <v/>
      </c>
      <c r="P1911" s="57" t="str">
        <f aca="false">IF($O1911="","",SUMIFS($O$6:$O$2405,$A$6:$A$2405,"&lt;="&amp;$A1911))</f>
        <v/>
      </c>
      <c r="Q1911" s="57" t="str">
        <f aca="false">IF($O1911="","",IF($P1911&lt;=BankCostEnvelope*'5. Scenarios'!$D$7,1,0))</f>
        <v/>
      </c>
      <c r="R1911" s="57" t="str">
        <f aca="false">IF($N1911="","",INDEX(BookRate,1906)*(1+'5. Scenarios'!$D$10)*(INDEX(BookQ1,1906)*(5-MIN(4,1+'5. Scenarios'!$D$8))/4+INDEX(BookQ2,1906)*(5-MIN(4,2+'5. Scenarios'!$D$8))/4+INDEX(BookQ3,1906)*(5-MIN(4,3+'5. Scenarios'!$D$8))/4+INDEX(BookQ4,1906)*(5-MIN(4,4+'5. Scenarios'!$D$8))/4)*'5. Scenarios'!$D$6/(1+ProductivityDefault*('5. Scenarios'!$D$11-1))+INDEX(BookOneOff,1906)*$N1911)</f>
        <v/>
      </c>
      <c r="S1911" s="56" t="str">
        <f aca="false">IF(INDEX(BookTitle,1906)="","",INDEX(BookTotal,1906)*'5. Scenarios'!$E$6/(1+ProductivityDefault*('5. Scenarios'!$E$11-1)))</f>
        <v/>
      </c>
      <c r="T1911" s="57" t="str">
        <f aca="false">IF($S1911="","",INDEX(BookRate,1906)*(1+'5. Scenarios'!$E$10)*$S1911)</f>
        <v/>
      </c>
      <c r="U1911" s="57" t="str">
        <f aca="false">IF($T1911="","",SUMIFS($T$6:$T$2405,$A$6:$A$2405,"&lt;="&amp;$A1911))</f>
        <v/>
      </c>
      <c r="V1911" s="57" t="str">
        <f aca="false">IF($T1911="","",IF($U1911&lt;=BankCostEnvelope*'5. Scenarios'!$E$7,1,0))</f>
        <v/>
      </c>
      <c r="W1911" s="57" t="str">
        <f aca="false">IF($S1911="","",INDEX(BookRate,1906)*(1+'5. Scenarios'!$E$10)*(INDEX(BookQ1,1906)*(5-MIN(4,1+'5. Scenarios'!$E$8))/4+INDEX(BookQ2,1906)*(5-MIN(4,2+'5. Scenarios'!$E$8))/4+INDEX(BookQ3,1906)*(5-MIN(4,3+'5. Scenarios'!$E$8))/4+INDEX(BookQ4,1906)*(5-MIN(4,4+'5. Scenarios'!$E$8))/4)*'5. Scenarios'!$E$6/(1+ProductivityDefault*('5. Scenarios'!$E$11-1))+INDEX(BookOneOff,1906)*$S1911)</f>
        <v/>
      </c>
    </row>
    <row r="1912" customFormat="false" ht="15" hidden="false" customHeight="false" outlineLevel="0" collapsed="false">
      <c r="A1912" s="0" t="str">
        <f aca="false">IF(INDEX(BookTitle,1907)="","",INDEX(BookKey,1907))</f>
        <v/>
      </c>
      <c r="B1912" s="0" t="str">
        <f aca="false">IF(INDEX(BookTitle,1907)="","",INDEX(BookGroup,1907))</f>
        <v/>
      </c>
      <c r="C1912" s="0" t="str">
        <f aca="false">IF(INDEX(BookTitle,1907)="","",INDEX(BookCategory,1907))</f>
        <v/>
      </c>
      <c r="D1912" s="56" t="str">
        <f aca="false">IF(INDEX(BookTitle,1907)="","",INDEX(BookTotal,1907)*'5. Scenarios'!$B$6/(1+ProductivityDefault*('5. Scenarios'!$B$11-1)))</f>
        <v/>
      </c>
      <c r="E1912" s="57" t="str">
        <f aca="false">IF($D1912="","",INDEX(BookRate,1907)*(1+'5. Scenarios'!$B$10)*$D1912)</f>
        <v/>
      </c>
      <c r="F1912" s="57" t="str">
        <f aca="false">IF($E1912="","",SUMIFS($E$6:$E$2405,$A$6:$A$2405,"&lt;="&amp;$A1912))</f>
        <v/>
      </c>
      <c r="G1912" s="57" t="str">
        <f aca="false">IF($E1912="","",IF($F1912&lt;=BankCostEnvelope*'5. Scenarios'!$B$7,1,0))</f>
        <v/>
      </c>
      <c r="H1912" s="57" t="str">
        <f aca="false">IF($D1912="","",INDEX(BookRate,1907)*(1+'5. Scenarios'!$B$10)*(INDEX(BookQ1,1907)*(5-MIN(4,1+'5. Scenarios'!$B$8))/4+INDEX(BookQ2,1907)*(5-MIN(4,2+'5. Scenarios'!$B$8))/4+INDEX(BookQ3,1907)*(5-MIN(4,3+'5. Scenarios'!$B$8))/4+INDEX(BookQ4,1907)*(5-MIN(4,4+'5. Scenarios'!$B$8))/4)*'5. Scenarios'!$B$6/(1+ProductivityDefault*('5. Scenarios'!$B$11-1))+INDEX(BookOneOff,1907)*$D1912)</f>
        <v/>
      </c>
      <c r="I1912" s="56" t="str">
        <f aca="false">IF(INDEX(BookTitle,1907)="","",INDEX(BookTotal,1907)*'5. Scenarios'!$C$6/(1+ProductivityDefault*('5. Scenarios'!$C$11-1)))</f>
        <v/>
      </c>
      <c r="J1912" s="57" t="str">
        <f aca="false">IF($I1912="","",INDEX(BookRate,1907)*(1+'5. Scenarios'!$C$10)*$I1912)</f>
        <v/>
      </c>
      <c r="K1912" s="57" t="str">
        <f aca="false">IF($J1912="","",SUMIFS($J$6:$J$2405,$A$6:$A$2405,"&lt;="&amp;$A1912))</f>
        <v/>
      </c>
      <c r="L1912" s="57" t="str">
        <f aca="false">IF($J1912="","",IF($K1912&lt;=BankCostEnvelope*'5. Scenarios'!$C$7,1,0))</f>
        <v/>
      </c>
      <c r="M1912" s="57" t="str">
        <f aca="false">IF($I1912="","",INDEX(BookRate,1907)*(1+'5. Scenarios'!$C$10)*(INDEX(BookQ1,1907)*(5-MIN(4,1+'5. Scenarios'!$C$8))/4+INDEX(BookQ2,1907)*(5-MIN(4,2+'5. Scenarios'!$C$8))/4+INDEX(BookQ3,1907)*(5-MIN(4,3+'5. Scenarios'!$C$8))/4+INDEX(BookQ4,1907)*(5-MIN(4,4+'5. Scenarios'!$C$8))/4)*'5. Scenarios'!$C$6/(1+ProductivityDefault*('5. Scenarios'!$C$11-1))+INDEX(BookOneOff,1907)*$I1912)</f>
        <v/>
      </c>
      <c r="N1912" s="56" t="str">
        <f aca="false">IF(INDEX(BookTitle,1907)="","",INDEX(BookTotal,1907)*'5. Scenarios'!$D$6/(1+ProductivityDefault*('5. Scenarios'!$D$11-1)))</f>
        <v/>
      </c>
      <c r="O1912" s="57" t="str">
        <f aca="false">IF($N1912="","",INDEX(BookRate,1907)*(1+'5. Scenarios'!$D$10)*$N1912)</f>
        <v/>
      </c>
      <c r="P1912" s="57" t="str">
        <f aca="false">IF($O1912="","",SUMIFS($O$6:$O$2405,$A$6:$A$2405,"&lt;="&amp;$A1912))</f>
        <v/>
      </c>
      <c r="Q1912" s="57" t="str">
        <f aca="false">IF($O1912="","",IF($P1912&lt;=BankCostEnvelope*'5. Scenarios'!$D$7,1,0))</f>
        <v/>
      </c>
      <c r="R1912" s="57" t="str">
        <f aca="false">IF($N1912="","",INDEX(BookRate,1907)*(1+'5. Scenarios'!$D$10)*(INDEX(BookQ1,1907)*(5-MIN(4,1+'5. Scenarios'!$D$8))/4+INDEX(BookQ2,1907)*(5-MIN(4,2+'5. Scenarios'!$D$8))/4+INDEX(BookQ3,1907)*(5-MIN(4,3+'5. Scenarios'!$D$8))/4+INDEX(BookQ4,1907)*(5-MIN(4,4+'5. Scenarios'!$D$8))/4)*'5. Scenarios'!$D$6/(1+ProductivityDefault*('5. Scenarios'!$D$11-1))+INDEX(BookOneOff,1907)*$N1912)</f>
        <v/>
      </c>
      <c r="S1912" s="56" t="str">
        <f aca="false">IF(INDEX(BookTitle,1907)="","",INDEX(BookTotal,1907)*'5. Scenarios'!$E$6/(1+ProductivityDefault*('5. Scenarios'!$E$11-1)))</f>
        <v/>
      </c>
      <c r="T1912" s="57" t="str">
        <f aca="false">IF($S1912="","",INDEX(BookRate,1907)*(1+'5. Scenarios'!$E$10)*$S1912)</f>
        <v/>
      </c>
      <c r="U1912" s="57" t="str">
        <f aca="false">IF($T1912="","",SUMIFS($T$6:$T$2405,$A$6:$A$2405,"&lt;="&amp;$A1912))</f>
        <v/>
      </c>
      <c r="V1912" s="57" t="str">
        <f aca="false">IF($T1912="","",IF($U1912&lt;=BankCostEnvelope*'5. Scenarios'!$E$7,1,0))</f>
        <v/>
      </c>
      <c r="W1912" s="57" t="str">
        <f aca="false">IF($S1912="","",INDEX(BookRate,1907)*(1+'5. Scenarios'!$E$10)*(INDEX(BookQ1,1907)*(5-MIN(4,1+'5. Scenarios'!$E$8))/4+INDEX(BookQ2,1907)*(5-MIN(4,2+'5. Scenarios'!$E$8))/4+INDEX(BookQ3,1907)*(5-MIN(4,3+'5. Scenarios'!$E$8))/4+INDEX(BookQ4,1907)*(5-MIN(4,4+'5. Scenarios'!$E$8))/4)*'5. Scenarios'!$E$6/(1+ProductivityDefault*('5. Scenarios'!$E$11-1))+INDEX(BookOneOff,1907)*$S1912)</f>
        <v/>
      </c>
    </row>
    <row r="1913" customFormat="false" ht="15" hidden="false" customHeight="false" outlineLevel="0" collapsed="false">
      <c r="A1913" s="0" t="str">
        <f aca="false">IF(INDEX(BookTitle,1908)="","",INDEX(BookKey,1908))</f>
        <v/>
      </c>
      <c r="B1913" s="0" t="str">
        <f aca="false">IF(INDEX(BookTitle,1908)="","",INDEX(BookGroup,1908))</f>
        <v/>
      </c>
      <c r="C1913" s="0" t="str">
        <f aca="false">IF(INDEX(BookTitle,1908)="","",INDEX(BookCategory,1908))</f>
        <v/>
      </c>
      <c r="D1913" s="56" t="str">
        <f aca="false">IF(INDEX(BookTitle,1908)="","",INDEX(BookTotal,1908)*'5. Scenarios'!$B$6/(1+ProductivityDefault*('5. Scenarios'!$B$11-1)))</f>
        <v/>
      </c>
      <c r="E1913" s="57" t="str">
        <f aca="false">IF($D1913="","",INDEX(BookRate,1908)*(1+'5. Scenarios'!$B$10)*$D1913)</f>
        <v/>
      </c>
      <c r="F1913" s="57" t="str">
        <f aca="false">IF($E1913="","",SUMIFS($E$6:$E$2405,$A$6:$A$2405,"&lt;="&amp;$A1913))</f>
        <v/>
      </c>
      <c r="G1913" s="57" t="str">
        <f aca="false">IF($E1913="","",IF($F1913&lt;=BankCostEnvelope*'5. Scenarios'!$B$7,1,0))</f>
        <v/>
      </c>
      <c r="H1913" s="57" t="str">
        <f aca="false">IF($D1913="","",INDEX(BookRate,1908)*(1+'5. Scenarios'!$B$10)*(INDEX(BookQ1,1908)*(5-MIN(4,1+'5. Scenarios'!$B$8))/4+INDEX(BookQ2,1908)*(5-MIN(4,2+'5. Scenarios'!$B$8))/4+INDEX(BookQ3,1908)*(5-MIN(4,3+'5. Scenarios'!$B$8))/4+INDEX(BookQ4,1908)*(5-MIN(4,4+'5. Scenarios'!$B$8))/4)*'5. Scenarios'!$B$6/(1+ProductivityDefault*('5. Scenarios'!$B$11-1))+INDEX(BookOneOff,1908)*$D1913)</f>
        <v/>
      </c>
      <c r="I1913" s="56" t="str">
        <f aca="false">IF(INDEX(BookTitle,1908)="","",INDEX(BookTotal,1908)*'5. Scenarios'!$C$6/(1+ProductivityDefault*('5. Scenarios'!$C$11-1)))</f>
        <v/>
      </c>
      <c r="J1913" s="57" t="str">
        <f aca="false">IF($I1913="","",INDEX(BookRate,1908)*(1+'5. Scenarios'!$C$10)*$I1913)</f>
        <v/>
      </c>
      <c r="K1913" s="57" t="str">
        <f aca="false">IF($J1913="","",SUMIFS($J$6:$J$2405,$A$6:$A$2405,"&lt;="&amp;$A1913))</f>
        <v/>
      </c>
      <c r="L1913" s="57" t="str">
        <f aca="false">IF($J1913="","",IF($K1913&lt;=BankCostEnvelope*'5. Scenarios'!$C$7,1,0))</f>
        <v/>
      </c>
      <c r="M1913" s="57" t="str">
        <f aca="false">IF($I1913="","",INDEX(BookRate,1908)*(1+'5. Scenarios'!$C$10)*(INDEX(BookQ1,1908)*(5-MIN(4,1+'5. Scenarios'!$C$8))/4+INDEX(BookQ2,1908)*(5-MIN(4,2+'5. Scenarios'!$C$8))/4+INDEX(BookQ3,1908)*(5-MIN(4,3+'5. Scenarios'!$C$8))/4+INDEX(BookQ4,1908)*(5-MIN(4,4+'5. Scenarios'!$C$8))/4)*'5. Scenarios'!$C$6/(1+ProductivityDefault*('5. Scenarios'!$C$11-1))+INDEX(BookOneOff,1908)*$I1913)</f>
        <v/>
      </c>
      <c r="N1913" s="56" t="str">
        <f aca="false">IF(INDEX(BookTitle,1908)="","",INDEX(BookTotal,1908)*'5. Scenarios'!$D$6/(1+ProductivityDefault*('5. Scenarios'!$D$11-1)))</f>
        <v/>
      </c>
      <c r="O1913" s="57" t="str">
        <f aca="false">IF($N1913="","",INDEX(BookRate,1908)*(1+'5. Scenarios'!$D$10)*$N1913)</f>
        <v/>
      </c>
      <c r="P1913" s="57" t="str">
        <f aca="false">IF($O1913="","",SUMIFS($O$6:$O$2405,$A$6:$A$2405,"&lt;="&amp;$A1913))</f>
        <v/>
      </c>
      <c r="Q1913" s="57" t="str">
        <f aca="false">IF($O1913="","",IF($P1913&lt;=BankCostEnvelope*'5. Scenarios'!$D$7,1,0))</f>
        <v/>
      </c>
      <c r="R1913" s="57" t="str">
        <f aca="false">IF($N1913="","",INDEX(BookRate,1908)*(1+'5. Scenarios'!$D$10)*(INDEX(BookQ1,1908)*(5-MIN(4,1+'5. Scenarios'!$D$8))/4+INDEX(BookQ2,1908)*(5-MIN(4,2+'5. Scenarios'!$D$8))/4+INDEX(BookQ3,1908)*(5-MIN(4,3+'5. Scenarios'!$D$8))/4+INDEX(BookQ4,1908)*(5-MIN(4,4+'5. Scenarios'!$D$8))/4)*'5. Scenarios'!$D$6/(1+ProductivityDefault*('5. Scenarios'!$D$11-1))+INDEX(BookOneOff,1908)*$N1913)</f>
        <v/>
      </c>
      <c r="S1913" s="56" t="str">
        <f aca="false">IF(INDEX(BookTitle,1908)="","",INDEX(BookTotal,1908)*'5. Scenarios'!$E$6/(1+ProductivityDefault*('5. Scenarios'!$E$11-1)))</f>
        <v/>
      </c>
      <c r="T1913" s="57" t="str">
        <f aca="false">IF($S1913="","",INDEX(BookRate,1908)*(1+'5. Scenarios'!$E$10)*$S1913)</f>
        <v/>
      </c>
      <c r="U1913" s="57" t="str">
        <f aca="false">IF($T1913="","",SUMIFS($T$6:$T$2405,$A$6:$A$2405,"&lt;="&amp;$A1913))</f>
        <v/>
      </c>
      <c r="V1913" s="57" t="str">
        <f aca="false">IF($T1913="","",IF($U1913&lt;=BankCostEnvelope*'5. Scenarios'!$E$7,1,0))</f>
        <v/>
      </c>
      <c r="W1913" s="57" t="str">
        <f aca="false">IF($S1913="","",INDEX(BookRate,1908)*(1+'5. Scenarios'!$E$10)*(INDEX(BookQ1,1908)*(5-MIN(4,1+'5. Scenarios'!$E$8))/4+INDEX(BookQ2,1908)*(5-MIN(4,2+'5. Scenarios'!$E$8))/4+INDEX(BookQ3,1908)*(5-MIN(4,3+'5. Scenarios'!$E$8))/4+INDEX(BookQ4,1908)*(5-MIN(4,4+'5. Scenarios'!$E$8))/4)*'5. Scenarios'!$E$6/(1+ProductivityDefault*('5. Scenarios'!$E$11-1))+INDEX(BookOneOff,1908)*$S1913)</f>
        <v/>
      </c>
    </row>
    <row r="1914" customFormat="false" ht="15" hidden="false" customHeight="false" outlineLevel="0" collapsed="false">
      <c r="A1914" s="0" t="str">
        <f aca="false">IF(INDEX(BookTitle,1909)="","",INDEX(BookKey,1909))</f>
        <v/>
      </c>
      <c r="B1914" s="0" t="str">
        <f aca="false">IF(INDEX(BookTitle,1909)="","",INDEX(BookGroup,1909))</f>
        <v/>
      </c>
      <c r="C1914" s="0" t="str">
        <f aca="false">IF(INDEX(BookTitle,1909)="","",INDEX(BookCategory,1909))</f>
        <v/>
      </c>
      <c r="D1914" s="56" t="str">
        <f aca="false">IF(INDEX(BookTitle,1909)="","",INDEX(BookTotal,1909)*'5. Scenarios'!$B$6/(1+ProductivityDefault*('5. Scenarios'!$B$11-1)))</f>
        <v/>
      </c>
      <c r="E1914" s="57" t="str">
        <f aca="false">IF($D1914="","",INDEX(BookRate,1909)*(1+'5. Scenarios'!$B$10)*$D1914)</f>
        <v/>
      </c>
      <c r="F1914" s="57" t="str">
        <f aca="false">IF($E1914="","",SUMIFS($E$6:$E$2405,$A$6:$A$2405,"&lt;="&amp;$A1914))</f>
        <v/>
      </c>
      <c r="G1914" s="57" t="str">
        <f aca="false">IF($E1914="","",IF($F1914&lt;=BankCostEnvelope*'5. Scenarios'!$B$7,1,0))</f>
        <v/>
      </c>
      <c r="H1914" s="57" t="str">
        <f aca="false">IF($D1914="","",INDEX(BookRate,1909)*(1+'5. Scenarios'!$B$10)*(INDEX(BookQ1,1909)*(5-MIN(4,1+'5. Scenarios'!$B$8))/4+INDEX(BookQ2,1909)*(5-MIN(4,2+'5. Scenarios'!$B$8))/4+INDEX(BookQ3,1909)*(5-MIN(4,3+'5. Scenarios'!$B$8))/4+INDEX(BookQ4,1909)*(5-MIN(4,4+'5. Scenarios'!$B$8))/4)*'5. Scenarios'!$B$6/(1+ProductivityDefault*('5. Scenarios'!$B$11-1))+INDEX(BookOneOff,1909)*$D1914)</f>
        <v/>
      </c>
      <c r="I1914" s="56" t="str">
        <f aca="false">IF(INDEX(BookTitle,1909)="","",INDEX(BookTotal,1909)*'5. Scenarios'!$C$6/(1+ProductivityDefault*('5. Scenarios'!$C$11-1)))</f>
        <v/>
      </c>
      <c r="J1914" s="57" t="str">
        <f aca="false">IF($I1914="","",INDEX(BookRate,1909)*(1+'5. Scenarios'!$C$10)*$I1914)</f>
        <v/>
      </c>
      <c r="K1914" s="57" t="str">
        <f aca="false">IF($J1914="","",SUMIFS($J$6:$J$2405,$A$6:$A$2405,"&lt;="&amp;$A1914))</f>
        <v/>
      </c>
      <c r="L1914" s="57" t="str">
        <f aca="false">IF($J1914="","",IF($K1914&lt;=BankCostEnvelope*'5. Scenarios'!$C$7,1,0))</f>
        <v/>
      </c>
      <c r="M1914" s="57" t="str">
        <f aca="false">IF($I1914="","",INDEX(BookRate,1909)*(1+'5. Scenarios'!$C$10)*(INDEX(BookQ1,1909)*(5-MIN(4,1+'5. Scenarios'!$C$8))/4+INDEX(BookQ2,1909)*(5-MIN(4,2+'5. Scenarios'!$C$8))/4+INDEX(BookQ3,1909)*(5-MIN(4,3+'5. Scenarios'!$C$8))/4+INDEX(BookQ4,1909)*(5-MIN(4,4+'5. Scenarios'!$C$8))/4)*'5. Scenarios'!$C$6/(1+ProductivityDefault*('5. Scenarios'!$C$11-1))+INDEX(BookOneOff,1909)*$I1914)</f>
        <v/>
      </c>
      <c r="N1914" s="56" t="str">
        <f aca="false">IF(INDEX(BookTitle,1909)="","",INDEX(BookTotal,1909)*'5. Scenarios'!$D$6/(1+ProductivityDefault*('5. Scenarios'!$D$11-1)))</f>
        <v/>
      </c>
      <c r="O1914" s="57" t="str">
        <f aca="false">IF($N1914="","",INDEX(BookRate,1909)*(1+'5. Scenarios'!$D$10)*$N1914)</f>
        <v/>
      </c>
      <c r="P1914" s="57" t="str">
        <f aca="false">IF($O1914="","",SUMIFS($O$6:$O$2405,$A$6:$A$2405,"&lt;="&amp;$A1914))</f>
        <v/>
      </c>
      <c r="Q1914" s="57" t="str">
        <f aca="false">IF($O1914="","",IF($P1914&lt;=BankCostEnvelope*'5. Scenarios'!$D$7,1,0))</f>
        <v/>
      </c>
      <c r="R1914" s="57" t="str">
        <f aca="false">IF($N1914="","",INDEX(BookRate,1909)*(1+'5. Scenarios'!$D$10)*(INDEX(BookQ1,1909)*(5-MIN(4,1+'5. Scenarios'!$D$8))/4+INDEX(BookQ2,1909)*(5-MIN(4,2+'5. Scenarios'!$D$8))/4+INDEX(BookQ3,1909)*(5-MIN(4,3+'5. Scenarios'!$D$8))/4+INDEX(BookQ4,1909)*(5-MIN(4,4+'5. Scenarios'!$D$8))/4)*'5. Scenarios'!$D$6/(1+ProductivityDefault*('5. Scenarios'!$D$11-1))+INDEX(BookOneOff,1909)*$N1914)</f>
        <v/>
      </c>
      <c r="S1914" s="56" t="str">
        <f aca="false">IF(INDEX(BookTitle,1909)="","",INDEX(BookTotal,1909)*'5. Scenarios'!$E$6/(1+ProductivityDefault*('5. Scenarios'!$E$11-1)))</f>
        <v/>
      </c>
      <c r="T1914" s="57" t="str">
        <f aca="false">IF($S1914="","",INDEX(BookRate,1909)*(1+'5. Scenarios'!$E$10)*$S1914)</f>
        <v/>
      </c>
      <c r="U1914" s="57" t="str">
        <f aca="false">IF($T1914="","",SUMIFS($T$6:$T$2405,$A$6:$A$2405,"&lt;="&amp;$A1914))</f>
        <v/>
      </c>
      <c r="V1914" s="57" t="str">
        <f aca="false">IF($T1914="","",IF($U1914&lt;=BankCostEnvelope*'5. Scenarios'!$E$7,1,0))</f>
        <v/>
      </c>
      <c r="W1914" s="57" t="str">
        <f aca="false">IF($S1914="","",INDEX(BookRate,1909)*(1+'5. Scenarios'!$E$10)*(INDEX(BookQ1,1909)*(5-MIN(4,1+'5. Scenarios'!$E$8))/4+INDEX(BookQ2,1909)*(5-MIN(4,2+'5. Scenarios'!$E$8))/4+INDEX(BookQ3,1909)*(5-MIN(4,3+'5. Scenarios'!$E$8))/4+INDEX(BookQ4,1909)*(5-MIN(4,4+'5. Scenarios'!$E$8))/4)*'5. Scenarios'!$E$6/(1+ProductivityDefault*('5. Scenarios'!$E$11-1))+INDEX(BookOneOff,1909)*$S1914)</f>
        <v/>
      </c>
    </row>
    <row r="1915" customFormat="false" ht="15" hidden="false" customHeight="false" outlineLevel="0" collapsed="false">
      <c r="A1915" s="0" t="str">
        <f aca="false">IF(INDEX(BookTitle,1910)="","",INDEX(BookKey,1910))</f>
        <v/>
      </c>
      <c r="B1915" s="0" t="str">
        <f aca="false">IF(INDEX(BookTitle,1910)="","",INDEX(BookGroup,1910))</f>
        <v/>
      </c>
      <c r="C1915" s="0" t="str">
        <f aca="false">IF(INDEX(BookTitle,1910)="","",INDEX(BookCategory,1910))</f>
        <v/>
      </c>
      <c r="D1915" s="56" t="str">
        <f aca="false">IF(INDEX(BookTitle,1910)="","",INDEX(BookTotal,1910)*'5. Scenarios'!$B$6/(1+ProductivityDefault*('5. Scenarios'!$B$11-1)))</f>
        <v/>
      </c>
      <c r="E1915" s="57" t="str">
        <f aca="false">IF($D1915="","",INDEX(BookRate,1910)*(1+'5. Scenarios'!$B$10)*$D1915)</f>
        <v/>
      </c>
      <c r="F1915" s="57" t="str">
        <f aca="false">IF($E1915="","",SUMIFS($E$6:$E$2405,$A$6:$A$2405,"&lt;="&amp;$A1915))</f>
        <v/>
      </c>
      <c r="G1915" s="57" t="str">
        <f aca="false">IF($E1915="","",IF($F1915&lt;=BankCostEnvelope*'5. Scenarios'!$B$7,1,0))</f>
        <v/>
      </c>
      <c r="H1915" s="57" t="str">
        <f aca="false">IF($D1915="","",INDEX(BookRate,1910)*(1+'5. Scenarios'!$B$10)*(INDEX(BookQ1,1910)*(5-MIN(4,1+'5. Scenarios'!$B$8))/4+INDEX(BookQ2,1910)*(5-MIN(4,2+'5. Scenarios'!$B$8))/4+INDEX(BookQ3,1910)*(5-MIN(4,3+'5. Scenarios'!$B$8))/4+INDEX(BookQ4,1910)*(5-MIN(4,4+'5. Scenarios'!$B$8))/4)*'5. Scenarios'!$B$6/(1+ProductivityDefault*('5. Scenarios'!$B$11-1))+INDEX(BookOneOff,1910)*$D1915)</f>
        <v/>
      </c>
      <c r="I1915" s="56" t="str">
        <f aca="false">IF(INDEX(BookTitle,1910)="","",INDEX(BookTotal,1910)*'5. Scenarios'!$C$6/(1+ProductivityDefault*('5. Scenarios'!$C$11-1)))</f>
        <v/>
      </c>
      <c r="J1915" s="57" t="str">
        <f aca="false">IF($I1915="","",INDEX(BookRate,1910)*(1+'5. Scenarios'!$C$10)*$I1915)</f>
        <v/>
      </c>
      <c r="K1915" s="57" t="str">
        <f aca="false">IF($J1915="","",SUMIFS($J$6:$J$2405,$A$6:$A$2405,"&lt;="&amp;$A1915))</f>
        <v/>
      </c>
      <c r="L1915" s="57" t="str">
        <f aca="false">IF($J1915="","",IF($K1915&lt;=BankCostEnvelope*'5. Scenarios'!$C$7,1,0))</f>
        <v/>
      </c>
      <c r="M1915" s="57" t="str">
        <f aca="false">IF($I1915="","",INDEX(BookRate,1910)*(1+'5. Scenarios'!$C$10)*(INDEX(BookQ1,1910)*(5-MIN(4,1+'5. Scenarios'!$C$8))/4+INDEX(BookQ2,1910)*(5-MIN(4,2+'5. Scenarios'!$C$8))/4+INDEX(BookQ3,1910)*(5-MIN(4,3+'5. Scenarios'!$C$8))/4+INDEX(BookQ4,1910)*(5-MIN(4,4+'5. Scenarios'!$C$8))/4)*'5. Scenarios'!$C$6/(1+ProductivityDefault*('5. Scenarios'!$C$11-1))+INDEX(BookOneOff,1910)*$I1915)</f>
        <v/>
      </c>
      <c r="N1915" s="56" t="str">
        <f aca="false">IF(INDEX(BookTitle,1910)="","",INDEX(BookTotal,1910)*'5. Scenarios'!$D$6/(1+ProductivityDefault*('5. Scenarios'!$D$11-1)))</f>
        <v/>
      </c>
      <c r="O1915" s="57" t="str">
        <f aca="false">IF($N1915="","",INDEX(BookRate,1910)*(1+'5. Scenarios'!$D$10)*$N1915)</f>
        <v/>
      </c>
      <c r="P1915" s="57" t="str">
        <f aca="false">IF($O1915="","",SUMIFS($O$6:$O$2405,$A$6:$A$2405,"&lt;="&amp;$A1915))</f>
        <v/>
      </c>
      <c r="Q1915" s="57" t="str">
        <f aca="false">IF($O1915="","",IF($P1915&lt;=BankCostEnvelope*'5. Scenarios'!$D$7,1,0))</f>
        <v/>
      </c>
      <c r="R1915" s="57" t="str">
        <f aca="false">IF($N1915="","",INDEX(BookRate,1910)*(1+'5. Scenarios'!$D$10)*(INDEX(BookQ1,1910)*(5-MIN(4,1+'5. Scenarios'!$D$8))/4+INDEX(BookQ2,1910)*(5-MIN(4,2+'5. Scenarios'!$D$8))/4+INDEX(BookQ3,1910)*(5-MIN(4,3+'5. Scenarios'!$D$8))/4+INDEX(BookQ4,1910)*(5-MIN(4,4+'5. Scenarios'!$D$8))/4)*'5. Scenarios'!$D$6/(1+ProductivityDefault*('5. Scenarios'!$D$11-1))+INDEX(BookOneOff,1910)*$N1915)</f>
        <v/>
      </c>
      <c r="S1915" s="56" t="str">
        <f aca="false">IF(INDEX(BookTitle,1910)="","",INDEX(BookTotal,1910)*'5. Scenarios'!$E$6/(1+ProductivityDefault*('5. Scenarios'!$E$11-1)))</f>
        <v/>
      </c>
      <c r="T1915" s="57" t="str">
        <f aca="false">IF($S1915="","",INDEX(BookRate,1910)*(1+'5. Scenarios'!$E$10)*$S1915)</f>
        <v/>
      </c>
      <c r="U1915" s="57" t="str">
        <f aca="false">IF($T1915="","",SUMIFS($T$6:$T$2405,$A$6:$A$2405,"&lt;="&amp;$A1915))</f>
        <v/>
      </c>
      <c r="V1915" s="57" t="str">
        <f aca="false">IF($T1915="","",IF($U1915&lt;=BankCostEnvelope*'5. Scenarios'!$E$7,1,0))</f>
        <v/>
      </c>
      <c r="W1915" s="57" t="str">
        <f aca="false">IF($S1915="","",INDEX(BookRate,1910)*(1+'5. Scenarios'!$E$10)*(INDEX(BookQ1,1910)*(5-MIN(4,1+'5. Scenarios'!$E$8))/4+INDEX(BookQ2,1910)*(5-MIN(4,2+'5. Scenarios'!$E$8))/4+INDEX(BookQ3,1910)*(5-MIN(4,3+'5. Scenarios'!$E$8))/4+INDEX(BookQ4,1910)*(5-MIN(4,4+'5. Scenarios'!$E$8))/4)*'5. Scenarios'!$E$6/(1+ProductivityDefault*('5. Scenarios'!$E$11-1))+INDEX(BookOneOff,1910)*$S1915)</f>
        <v/>
      </c>
    </row>
    <row r="1916" customFormat="false" ht="15" hidden="false" customHeight="false" outlineLevel="0" collapsed="false">
      <c r="A1916" s="0" t="str">
        <f aca="false">IF(INDEX(BookTitle,1911)="","",INDEX(BookKey,1911))</f>
        <v/>
      </c>
      <c r="B1916" s="0" t="str">
        <f aca="false">IF(INDEX(BookTitle,1911)="","",INDEX(BookGroup,1911))</f>
        <v/>
      </c>
      <c r="C1916" s="0" t="str">
        <f aca="false">IF(INDEX(BookTitle,1911)="","",INDEX(BookCategory,1911))</f>
        <v/>
      </c>
      <c r="D1916" s="56" t="str">
        <f aca="false">IF(INDEX(BookTitle,1911)="","",INDEX(BookTotal,1911)*'5. Scenarios'!$B$6/(1+ProductivityDefault*('5. Scenarios'!$B$11-1)))</f>
        <v/>
      </c>
      <c r="E1916" s="57" t="str">
        <f aca="false">IF($D1916="","",INDEX(BookRate,1911)*(1+'5. Scenarios'!$B$10)*$D1916)</f>
        <v/>
      </c>
      <c r="F1916" s="57" t="str">
        <f aca="false">IF($E1916="","",SUMIFS($E$6:$E$2405,$A$6:$A$2405,"&lt;="&amp;$A1916))</f>
        <v/>
      </c>
      <c r="G1916" s="57" t="str">
        <f aca="false">IF($E1916="","",IF($F1916&lt;=BankCostEnvelope*'5. Scenarios'!$B$7,1,0))</f>
        <v/>
      </c>
      <c r="H1916" s="57" t="str">
        <f aca="false">IF($D1916="","",INDEX(BookRate,1911)*(1+'5. Scenarios'!$B$10)*(INDEX(BookQ1,1911)*(5-MIN(4,1+'5. Scenarios'!$B$8))/4+INDEX(BookQ2,1911)*(5-MIN(4,2+'5. Scenarios'!$B$8))/4+INDEX(BookQ3,1911)*(5-MIN(4,3+'5. Scenarios'!$B$8))/4+INDEX(BookQ4,1911)*(5-MIN(4,4+'5. Scenarios'!$B$8))/4)*'5. Scenarios'!$B$6/(1+ProductivityDefault*('5. Scenarios'!$B$11-1))+INDEX(BookOneOff,1911)*$D1916)</f>
        <v/>
      </c>
      <c r="I1916" s="56" t="str">
        <f aca="false">IF(INDEX(BookTitle,1911)="","",INDEX(BookTotal,1911)*'5. Scenarios'!$C$6/(1+ProductivityDefault*('5. Scenarios'!$C$11-1)))</f>
        <v/>
      </c>
      <c r="J1916" s="57" t="str">
        <f aca="false">IF($I1916="","",INDEX(BookRate,1911)*(1+'5. Scenarios'!$C$10)*$I1916)</f>
        <v/>
      </c>
      <c r="K1916" s="57" t="str">
        <f aca="false">IF($J1916="","",SUMIFS($J$6:$J$2405,$A$6:$A$2405,"&lt;="&amp;$A1916))</f>
        <v/>
      </c>
      <c r="L1916" s="57" t="str">
        <f aca="false">IF($J1916="","",IF($K1916&lt;=BankCostEnvelope*'5. Scenarios'!$C$7,1,0))</f>
        <v/>
      </c>
      <c r="M1916" s="57" t="str">
        <f aca="false">IF($I1916="","",INDEX(BookRate,1911)*(1+'5. Scenarios'!$C$10)*(INDEX(BookQ1,1911)*(5-MIN(4,1+'5. Scenarios'!$C$8))/4+INDEX(BookQ2,1911)*(5-MIN(4,2+'5. Scenarios'!$C$8))/4+INDEX(BookQ3,1911)*(5-MIN(4,3+'5. Scenarios'!$C$8))/4+INDEX(BookQ4,1911)*(5-MIN(4,4+'5. Scenarios'!$C$8))/4)*'5. Scenarios'!$C$6/(1+ProductivityDefault*('5. Scenarios'!$C$11-1))+INDEX(BookOneOff,1911)*$I1916)</f>
        <v/>
      </c>
      <c r="N1916" s="56" t="str">
        <f aca="false">IF(INDEX(BookTitle,1911)="","",INDEX(BookTotal,1911)*'5. Scenarios'!$D$6/(1+ProductivityDefault*('5. Scenarios'!$D$11-1)))</f>
        <v/>
      </c>
      <c r="O1916" s="57" t="str">
        <f aca="false">IF($N1916="","",INDEX(BookRate,1911)*(1+'5. Scenarios'!$D$10)*$N1916)</f>
        <v/>
      </c>
      <c r="P1916" s="57" t="str">
        <f aca="false">IF($O1916="","",SUMIFS($O$6:$O$2405,$A$6:$A$2405,"&lt;="&amp;$A1916))</f>
        <v/>
      </c>
      <c r="Q1916" s="57" t="str">
        <f aca="false">IF($O1916="","",IF($P1916&lt;=BankCostEnvelope*'5. Scenarios'!$D$7,1,0))</f>
        <v/>
      </c>
      <c r="R1916" s="57" t="str">
        <f aca="false">IF($N1916="","",INDEX(BookRate,1911)*(1+'5. Scenarios'!$D$10)*(INDEX(BookQ1,1911)*(5-MIN(4,1+'5. Scenarios'!$D$8))/4+INDEX(BookQ2,1911)*(5-MIN(4,2+'5. Scenarios'!$D$8))/4+INDEX(BookQ3,1911)*(5-MIN(4,3+'5. Scenarios'!$D$8))/4+INDEX(BookQ4,1911)*(5-MIN(4,4+'5. Scenarios'!$D$8))/4)*'5. Scenarios'!$D$6/(1+ProductivityDefault*('5. Scenarios'!$D$11-1))+INDEX(BookOneOff,1911)*$N1916)</f>
        <v/>
      </c>
      <c r="S1916" s="56" t="str">
        <f aca="false">IF(INDEX(BookTitle,1911)="","",INDEX(BookTotal,1911)*'5. Scenarios'!$E$6/(1+ProductivityDefault*('5. Scenarios'!$E$11-1)))</f>
        <v/>
      </c>
      <c r="T1916" s="57" t="str">
        <f aca="false">IF($S1916="","",INDEX(BookRate,1911)*(1+'5. Scenarios'!$E$10)*$S1916)</f>
        <v/>
      </c>
      <c r="U1916" s="57" t="str">
        <f aca="false">IF($T1916="","",SUMIFS($T$6:$T$2405,$A$6:$A$2405,"&lt;="&amp;$A1916))</f>
        <v/>
      </c>
      <c r="V1916" s="57" t="str">
        <f aca="false">IF($T1916="","",IF($U1916&lt;=BankCostEnvelope*'5. Scenarios'!$E$7,1,0))</f>
        <v/>
      </c>
      <c r="W1916" s="57" t="str">
        <f aca="false">IF($S1916="","",INDEX(BookRate,1911)*(1+'5. Scenarios'!$E$10)*(INDEX(BookQ1,1911)*(5-MIN(4,1+'5. Scenarios'!$E$8))/4+INDEX(BookQ2,1911)*(5-MIN(4,2+'5. Scenarios'!$E$8))/4+INDEX(BookQ3,1911)*(5-MIN(4,3+'5. Scenarios'!$E$8))/4+INDEX(BookQ4,1911)*(5-MIN(4,4+'5. Scenarios'!$E$8))/4)*'5. Scenarios'!$E$6/(1+ProductivityDefault*('5. Scenarios'!$E$11-1))+INDEX(BookOneOff,1911)*$S1916)</f>
        <v/>
      </c>
    </row>
    <row r="1917" customFormat="false" ht="15" hidden="false" customHeight="false" outlineLevel="0" collapsed="false">
      <c r="A1917" s="0" t="str">
        <f aca="false">IF(INDEX(BookTitle,1912)="","",INDEX(BookKey,1912))</f>
        <v/>
      </c>
      <c r="B1917" s="0" t="str">
        <f aca="false">IF(INDEX(BookTitle,1912)="","",INDEX(BookGroup,1912))</f>
        <v/>
      </c>
      <c r="C1917" s="0" t="str">
        <f aca="false">IF(INDEX(BookTitle,1912)="","",INDEX(BookCategory,1912))</f>
        <v/>
      </c>
      <c r="D1917" s="56" t="str">
        <f aca="false">IF(INDEX(BookTitle,1912)="","",INDEX(BookTotal,1912)*'5. Scenarios'!$B$6/(1+ProductivityDefault*('5. Scenarios'!$B$11-1)))</f>
        <v/>
      </c>
      <c r="E1917" s="57" t="str">
        <f aca="false">IF($D1917="","",INDEX(BookRate,1912)*(1+'5. Scenarios'!$B$10)*$D1917)</f>
        <v/>
      </c>
      <c r="F1917" s="57" t="str">
        <f aca="false">IF($E1917="","",SUMIFS($E$6:$E$2405,$A$6:$A$2405,"&lt;="&amp;$A1917))</f>
        <v/>
      </c>
      <c r="G1917" s="57" t="str">
        <f aca="false">IF($E1917="","",IF($F1917&lt;=BankCostEnvelope*'5. Scenarios'!$B$7,1,0))</f>
        <v/>
      </c>
      <c r="H1917" s="57" t="str">
        <f aca="false">IF($D1917="","",INDEX(BookRate,1912)*(1+'5. Scenarios'!$B$10)*(INDEX(BookQ1,1912)*(5-MIN(4,1+'5. Scenarios'!$B$8))/4+INDEX(BookQ2,1912)*(5-MIN(4,2+'5. Scenarios'!$B$8))/4+INDEX(BookQ3,1912)*(5-MIN(4,3+'5. Scenarios'!$B$8))/4+INDEX(BookQ4,1912)*(5-MIN(4,4+'5. Scenarios'!$B$8))/4)*'5. Scenarios'!$B$6/(1+ProductivityDefault*('5. Scenarios'!$B$11-1))+INDEX(BookOneOff,1912)*$D1917)</f>
        <v/>
      </c>
      <c r="I1917" s="56" t="str">
        <f aca="false">IF(INDEX(BookTitle,1912)="","",INDEX(BookTotal,1912)*'5. Scenarios'!$C$6/(1+ProductivityDefault*('5. Scenarios'!$C$11-1)))</f>
        <v/>
      </c>
      <c r="J1917" s="57" t="str">
        <f aca="false">IF($I1917="","",INDEX(BookRate,1912)*(1+'5. Scenarios'!$C$10)*$I1917)</f>
        <v/>
      </c>
      <c r="K1917" s="57" t="str">
        <f aca="false">IF($J1917="","",SUMIFS($J$6:$J$2405,$A$6:$A$2405,"&lt;="&amp;$A1917))</f>
        <v/>
      </c>
      <c r="L1917" s="57" t="str">
        <f aca="false">IF($J1917="","",IF($K1917&lt;=BankCostEnvelope*'5. Scenarios'!$C$7,1,0))</f>
        <v/>
      </c>
      <c r="M1917" s="57" t="str">
        <f aca="false">IF($I1917="","",INDEX(BookRate,1912)*(1+'5. Scenarios'!$C$10)*(INDEX(BookQ1,1912)*(5-MIN(4,1+'5. Scenarios'!$C$8))/4+INDEX(BookQ2,1912)*(5-MIN(4,2+'5. Scenarios'!$C$8))/4+INDEX(BookQ3,1912)*(5-MIN(4,3+'5. Scenarios'!$C$8))/4+INDEX(BookQ4,1912)*(5-MIN(4,4+'5. Scenarios'!$C$8))/4)*'5. Scenarios'!$C$6/(1+ProductivityDefault*('5. Scenarios'!$C$11-1))+INDEX(BookOneOff,1912)*$I1917)</f>
        <v/>
      </c>
      <c r="N1917" s="56" t="str">
        <f aca="false">IF(INDEX(BookTitle,1912)="","",INDEX(BookTotal,1912)*'5. Scenarios'!$D$6/(1+ProductivityDefault*('5. Scenarios'!$D$11-1)))</f>
        <v/>
      </c>
      <c r="O1917" s="57" t="str">
        <f aca="false">IF($N1917="","",INDEX(BookRate,1912)*(1+'5. Scenarios'!$D$10)*$N1917)</f>
        <v/>
      </c>
      <c r="P1917" s="57" t="str">
        <f aca="false">IF($O1917="","",SUMIFS($O$6:$O$2405,$A$6:$A$2405,"&lt;="&amp;$A1917))</f>
        <v/>
      </c>
      <c r="Q1917" s="57" t="str">
        <f aca="false">IF($O1917="","",IF($P1917&lt;=BankCostEnvelope*'5. Scenarios'!$D$7,1,0))</f>
        <v/>
      </c>
      <c r="R1917" s="57" t="str">
        <f aca="false">IF($N1917="","",INDEX(BookRate,1912)*(1+'5. Scenarios'!$D$10)*(INDEX(BookQ1,1912)*(5-MIN(4,1+'5. Scenarios'!$D$8))/4+INDEX(BookQ2,1912)*(5-MIN(4,2+'5. Scenarios'!$D$8))/4+INDEX(BookQ3,1912)*(5-MIN(4,3+'5. Scenarios'!$D$8))/4+INDEX(BookQ4,1912)*(5-MIN(4,4+'5. Scenarios'!$D$8))/4)*'5. Scenarios'!$D$6/(1+ProductivityDefault*('5. Scenarios'!$D$11-1))+INDEX(BookOneOff,1912)*$N1917)</f>
        <v/>
      </c>
      <c r="S1917" s="56" t="str">
        <f aca="false">IF(INDEX(BookTitle,1912)="","",INDEX(BookTotal,1912)*'5. Scenarios'!$E$6/(1+ProductivityDefault*('5. Scenarios'!$E$11-1)))</f>
        <v/>
      </c>
      <c r="T1917" s="57" t="str">
        <f aca="false">IF($S1917="","",INDEX(BookRate,1912)*(1+'5. Scenarios'!$E$10)*$S1917)</f>
        <v/>
      </c>
      <c r="U1917" s="57" t="str">
        <f aca="false">IF($T1917="","",SUMIFS($T$6:$T$2405,$A$6:$A$2405,"&lt;="&amp;$A1917))</f>
        <v/>
      </c>
      <c r="V1917" s="57" t="str">
        <f aca="false">IF($T1917="","",IF($U1917&lt;=BankCostEnvelope*'5. Scenarios'!$E$7,1,0))</f>
        <v/>
      </c>
      <c r="W1917" s="57" t="str">
        <f aca="false">IF($S1917="","",INDEX(BookRate,1912)*(1+'5. Scenarios'!$E$10)*(INDEX(BookQ1,1912)*(5-MIN(4,1+'5. Scenarios'!$E$8))/4+INDEX(BookQ2,1912)*(5-MIN(4,2+'5. Scenarios'!$E$8))/4+INDEX(BookQ3,1912)*(5-MIN(4,3+'5. Scenarios'!$E$8))/4+INDEX(BookQ4,1912)*(5-MIN(4,4+'5. Scenarios'!$E$8))/4)*'5. Scenarios'!$E$6/(1+ProductivityDefault*('5. Scenarios'!$E$11-1))+INDEX(BookOneOff,1912)*$S1917)</f>
        <v/>
      </c>
    </row>
    <row r="1918" customFormat="false" ht="15" hidden="false" customHeight="false" outlineLevel="0" collapsed="false">
      <c r="A1918" s="0" t="str">
        <f aca="false">IF(INDEX(BookTitle,1913)="","",INDEX(BookKey,1913))</f>
        <v/>
      </c>
      <c r="B1918" s="0" t="str">
        <f aca="false">IF(INDEX(BookTitle,1913)="","",INDEX(BookGroup,1913))</f>
        <v/>
      </c>
      <c r="C1918" s="0" t="str">
        <f aca="false">IF(INDEX(BookTitle,1913)="","",INDEX(BookCategory,1913))</f>
        <v/>
      </c>
      <c r="D1918" s="56" t="str">
        <f aca="false">IF(INDEX(BookTitle,1913)="","",INDEX(BookTotal,1913)*'5. Scenarios'!$B$6/(1+ProductivityDefault*('5. Scenarios'!$B$11-1)))</f>
        <v/>
      </c>
      <c r="E1918" s="57" t="str">
        <f aca="false">IF($D1918="","",INDEX(BookRate,1913)*(1+'5. Scenarios'!$B$10)*$D1918)</f>
        <v/>
      </c>
      <c r="F1918" s="57" t="str">
        <f aca="false">IF($E1918="","",SUMIFS($E$6:$E$2405,$A$6:$A$2405,"&lt;="&amp;$A1918))</f>
        <v/>
      </c>
      <c r="G1918" s="57" t="str">
        <f aca="false">IF($E1918="","",IF($F1918&lt;=BankCostEnvelope*'5. Scenarios'!$B$7,1,0))</f>
        <v/>
      </c>
      <c r="H1918" s="57" t="str">
        <f aca="false">IF($D1918="","",INDEX(BookRate,1913)*(1+'5. Scenarios'!$B$10)*(INDEX(BookQ1,1913)*(5-MIN(4,1+'5. Scenarios'!$B$8))/4+INDEX(BookQ2,1913)*(5-MIN(4,2+'5. Scenarios'!$B$8))/4+INDEX(BookQ3,1913)*(5-MIN(4,3+'5. Scenarios'!$B$8))/4+INDEX(BookQ4,1913)*(5-MIN(4,4+'5. Scenarios'!$B$8))/4)*'5. Scenarios'!$B$6/(1+ProductivityDefault*('5. Scenarios'!$B$11-1))+INDEX(BookOneOff,1913)*$D1918)</f>
        <v/>
      </c>
      <c r="I1918" s="56" t="str">
        <f aca="false">IF(INDEX(BookTitle,1913)="","",INDEX(BookTotal,1913)*'5. Scenarios'!$C$6/(1+ProductivityDefault*('5. Scenarios'!$C$11-1)))</f>
        <v/>
      </c>
      <c r="J1918" s="57" t="str">
        <f aca="false">IF($I1918="","",INDEX(BookRate,1913)*(1+'5. Scenarios'!$C$10)*$I1918)</f>
        <v/>
      </c>
      <c r="K1918" s="57" t="str">
        <f aca="false">IF($J1918="","",SUMIFS($J$6:$J$2405,$A$6:$A$2405,"&lt;="&amp;$A1918))</f>
        <v/>
      </c>
      <c r="L1918" s="57" t="str">
        <f aca="false">IF($J1918="","",IF($K1918&lt;=BankCostEnvelope*'5. Scenarios'!$C$7,1,0))</f>
        <v/>
      </c>
      <c r="M1918" s="57" t="str">
        <f aca="false">IF($I1918="","",INDEX(BookRate,1913)*(1+'5. Scenarios'!$C$10)*(INDEX(BookQ1,1913)*(5-MIN(4,1+'5. Scenarios'!$C$8))/4+INDEX(BookQ2,1913)*(5-MIN(4,2+'5. Scenarios'!$C$8))/4+INDEX(BookQ3,1913)*(5-MIN(4,3+'5. Scenarios'!$C$8))/4+INDEX(BookQ4,1913)*(5-MIN(4,4+'5. Scenarios'!$C$8))/4)*'5. Scenarios'!$C$6/(1+ProductivityDefault*('5. Scenarios'!$C$11-1))+INDEX(BookOneOff,1913)*$I1918)</f>
        <v/>
      </c>
      <c r="N1918" s="56" t="str">
        <f aca="false">IF(INDEX(BookTitle,1913)="","",INDEX(BookTotal,1913)*'5. Scenarios'!$D$6/(1+ProductivityDefault*('5. Scenarios'!$D$11-1)))</f>
        <v/>
      </c>
      <c r="O1918" s="57" t="str">
        <f aca="false">IF($N1918="","",INDEX(BookRate,1913)*(1+'5. Scenarios'!$D$10)*$N1918)</f>
        <v/>
      </c>
      <c r="P1918" s="57" t="str">
        <f aca="false">IF($O1918="","",SUMIFS($O$6:$O$2405,$A$6:$A$2405,"&lt;="&amp;$A1918))</f>
        <v/>
      </c>
      <c r="Q1918" s="57" t="str">
        <f aca="false">IF($O1918="","",IF($P1918&lt;=BankCostEnvelope*'5. Scenarios'!$D$7,1,0))</f>
        <v/>
      </c>
      <c r="R1918" s="57" t="str">
        <f aca="false">IF($N1918="","",INDEX(BookRate,1913)*(1+'5. Scenarios'!$D$10)*(INDEX(BookQ1,1913)*(5-MIN(4,1+'5. Scenarios'!$D$8))/4+INDEX(BookQ2,1913)*(5-MIN(4,2+'5. Scenarios'!$D$8))/4+INDEX(BookQ3,1913)*(5-MIN(4,3+'5. Scenarios'!$D$8))/4+INDEX(BookQ4,1913)*(5-MIN(4,4+'5. Scenarios'!$D$8))/4)*'5. Scenarios'!$D$6/(1+ProductivityDefault*('5. Scenarios'!$D$11-1))+INDEX(BookOneOff,1913)*$N1918)</f>
        <v/>
      </c>
      <c r="S1918" s="56" t="str">
        <f aca="false">IF(INDEX(BookTitle,1913)="","",INDEX(BookTotal,1913)*'5. Scenarios'!$E$6/(1+ProductivityDefault*('5. Scenarios'!$E$11-1)))</f>
        <v/>
      </c>
      <c r="T1918" s="57" t="str">
        <f aca="false">IF($S1918="","",INDEX(BookRate,1913)*(1+'5. Scenarios'!$E$10)*$S1918)</f>
        <v/>
      </c>
      <c r="U1918" s="57" t="str">
        <f aca="false">IF($T1918="","",SUMIFS($T$6:$T$2405,$A$6:$A$2405,"&lt;="&amp;$A1918))</f>
        <v/>
      </c>
      <c r="V1918" s="57" t="str">
        <f aca="false">IF($T1918="","",IF($U1918&lt;=BankCostEnvelope*'5. Scenarios'!$E$7,1,0))</f>
        <v/>
      </c>
      <c r="W1918" s="57" t="str">
        <f aca="false">IF($S1918="","",INDEX(BookRate,1913)*(1+'5. Scenarios'!$E$10)*(INDEX(BookQ1,1913)*(5-MIN(4,1+'5. Scenarios'!$E$8))/4+INDEX(BookQ2,1913)*(5-MIN(4,2+'5. Scenarios'!$E$8))/4+INDEX(BookQ3,1913)*(5-MIN(4,3+'5. Scenarios'!$E$8))/4+INDEX(BookQ4,1913)*(5-MIN(4,4+'5. Scenarios'!$E$8))/4)*'5. Scenarios'!$E$6/(1+ProductivityDefault*('5. Scenarios'!$E$11-1))+INDEX(BookOneOff,1913)*$S1918)</f>
        <v/>
      </c>
    </row>
    <row r="1919" customFormat="false" ht="15" hidden="false" customHeight="false" outlineLevel="0" collapsed="false">
      <c r="A1919" s="0" t="str">
        <f aca="false">IF(INDEX(BookTitle,1914)="","",INDEX(BookKey,1914))</f>
        <v/>
      </c>
      <c r="B1919" s="0" t="str">
        <f aca="false">IF(INDEX(BookTitle,1914)="","",INDEX(BookGroup,1914))</f>
        <v/>
      </c>
      <c r="C1919" s="0" t="str">
        <f aca="false">IF(INDEX(BookTitle,1914)="","",INDEX(BookCategory,1914))</f>
        <v/>
      </c>
      <c r="D1919" s="56" t="str">
        <f aca="false">IF(INDEX(BookTitle,1914)="","",INDEX(BookTotal,1914)*'5. Scenarios'!$B$6/(1+ProductivityDefault*('5. Scenarios'!$B$11-1)))</f>
        <v/>
      </c>
      <c r="E1919" s="57" t="str">
        <f aca="false">IF($D1919="","",INDEX(BookRate,1914)*(1+'5. Scenarios'!$B$10)*$D1919)</f>
        <v/>
      </c>
      <c r="F1919" s="57" t="str">
        <f aca="false">IF($E1919="","",SUMIFS($E$6:$E$2405,$A$6:$A$2405,"&lt;="&amp;$A1919))</f>
        <v/>
      </c>
      <c r="G1919" s="57" t="str">
        <f aca="false">IF($E1919="","",IF($F1919&lt;=BankCostEnvelope*'5. Scenarios'!$B$7,1,0))</f>
        <v/>
      </c>
      <c r="H1919" s="57" t="str">
        <f aca="false">IF($D1919="","",INDEX(BookRate,1914)*(1+'5. Scenarios'!$B$10)*(INDEX(BookQ1,1914)*(5-MIN(4,1+'5. Scenarios'!$B$8))/4+INDEX(BookQ2,1914)*(5-MIN(4,2+'5. Scenarios'!$B$8))/4+INDEX(BookQ3,1914)*(5-MIN(4,3+'5. Scenarios'!$B$8))/4+INDEX(BookQ4,1914)*(5-MIN(4,4+'5. Scenarios'!$B$8))/4)*'5. Scenarios'!$B$6/(1+ProductivityDefault*('5. Scenarios'!$B$11-1))+INDEX(BookOneOff,1914)*$D1919)</f>
        <v/>
      </c>
      <c r="I1919" s="56" t="str">
        <f aca="false">IF(INDEX(BookTitle,1914)="","",INDEX(BookTotal,1914)*'5. Scenarios'!$C$6/(1+ProductivityDefault*('5. Scenarios'!$C$11-1)))</f>
        <v/>
      </c>
      <c r="J1919" s="57" t="str">
        <f aca="false">IF($I1919="","",INDEX(BookRate,1914)*(1+'5. Scenarios'!$C$10)*$I1919)</f>
        <v/>
      </c>
      <c r="K1919" s="57" t="str">
        <f aca="false">IF($J1919="","",SUMIFS($J$6:$J$2405,$A$6:$A$2405,"&lt;="&amp;$A1919))</f>
        <v/>
      </c>
      <c r="L1919" s="57" t="str">
        <f aca="false">IF($J1919="","",IF($K1919&lt;=BankCostEnvelope*'5. Scenarios'!$C$7,1,0))</f>
        <v/>
      </c>
      <c r="M1919" s="57" t="str">
        <f aca="false">IF($I1919="","",INDEX(BookRate,1914)*(1+'5. Scenarios'!$C$10)*(INDEX(BookQ1,1914)*(5-MIN(4,1+'5. Scenarios'!$C$8))/4+INDEX(BookQ2,1914)*(5-MIN(4,2+'5. Scenarios'!$C$8))/4+INDEX(BookQ3,1914)*(5-MIN(4,3+'5. Scenarios'!$C$8))/4+INDEX(BookQ4,1914)*(5-MIN(4,4+'5. Scenarios'!$C$8))/4)*'5. Scenarios'!$C$6/(1+ProductivityDefault*('5. Scenarios'!$C$11-1))+INDEX(BookOneOff,1914)*$I1919)</f>
        <v/>
      </c>
      <c r="N1919" s="56" t="str">
        <f aca="false">IF(INDEX(BookTitle,1914)="","",INDEX(BookTotal,1914)*'5. Scenarios'!$D$6/(1+ProductivityDefault*('5. Scenarios'!$D$11-1)))</f>
        <v/>
      </c>
      <c r="O1919" s="57" t="str">
        <f aca="false">IF($N1919="","",INDEX(BookRate,1914)*(1+'5. Scenarios'!$D$10)*$N1919)</f>
        <v/>
      </c>
      <c r="P1919" s="57" t="str">
        <f aca="false">IF($O1919="","",SUMIFS($O$6:$O$2405,$A$6:$A$2405,"&lt;="&amp;$A1919))</f>
        <v/>
      </c>
      <c r="Q1919" s="57" t="str">
        <f aca="false">IF($O1919="","",IF($P1919&lt;=BankCostEnvelope*'5. Scenarios'!$D$7,1,0))</f>
        <v/>
      </c>
      <c r="R1919" s="57" t="str">
        <f aca="false">IF($N1919="","",INDEX(BookRate,1914)*(1+'5. Scenarios'!$D$10)*(INDEX(BookQ1,1914)*(5-MIN(4,1+'5. Scenarios'!$D$8))/4+INDEX(BookQ2,1914)*(5-MIN(4,2+'5. Scenarios'!$D$8))/4+INDEX(BookQ3,1914)*(5-MIN(4,3+'5. Scenarios'!$D$8))/4+INDEX(BookQ4,1914)*(5-MIN(4,4+'5. Scenarios'!$D$8))/4)*'5. Scenarios'!$D$6/(1+ProductivityDefault*('5. Scenarios'!$D$11-1))+INDEX(BookOneOff,1914)*$N1919)</f>
        <v/>
      </c>
      <c r="S1919" s="56" t="str">
        <f aca="false">IF(INDEX(BookTitle,1914)="","",INDEX(BookTotal,1914)*'5. Scenarios'!$E$6/(1+ProductivityDefault*('5. Scenarios'!$E$11-1)))</f>
        <v/>
      </c>
      <c r="T1919" s="57" t="str">
        <f aca="false">IF($S1919="","",INDEX(BookRate,1914)*(1+'5. Scenarios'!$E$10)*$S1919)</f>
        <v/>
      </c>
      <c r="U1919" s="57" t="str">
        <f aca="false">IF($T1919="","",SUMIFS($T$6:$T$2405,$A$6:$A$2405,"&lt;="&amp;$A1919))</f>
        <v/>
      </c>
      <c r="V1919" s="57" t="str">
        <f aca="false">IF($T1919="","",IF($U1919&lt;=BankCostEnvelope*'5. Scenarios'!$E$7,1,0))</f>
        <v/>
      </c>
      <c r="W1919" s="57" t="str">
        <f aca="false">IF($S1919="","",INDEX(BookRate,1914)*(1+'5. Scenarios'!$E$10)*(INDEX(BookQ1,1914)*(5-MIN(4,1+'5. Scenarios'!$E$8))/4+INDEX(BookQ2,1914)*(5-MIN(4,2+'5. Scenarios'!$E$8))/4+INDEX(BookQ3,1914)*(5-MIN(4,3+'5. Scenarios'!$E$8))/4+INDEX(BookQ4,1914)*(5-MIN(4,4+'5. Scenarios'!$E$8))/4)*'5. Scenarios'!$E$6/(1+ProductivityDefault*('5. Scenarios'!$E$11-1))+INDEX(BookOneOff,1914)*$S1919)</f>
        <v/>
      </c>
    </row>
    <row r="1920" customFormat="false" ht="15" hidden="false" customHeight="false" outlineLevel="0" collapsed="false">
      <c r="A1920" s="0" t="str">
        <f aca="false">IF(INDEX(BookTitle,1915)="","",INDEX(BookKey,1915))</f>
        <v/>
      </c>
      <c r="B1920" s="0" t="str">
        <f aca="false">IF(INDEX(BookTitle,1915)="","",INDEX(BookGroup,1915))</f>
        <v/>
      </c>
      <c r="C1920" s="0" t="str">
        <f aca="false">IF(INDEX(BookTitle,1915)="","",INDEX(BookCategory,1915))</f>
        <v/>
      </c>
      <c r="D1920" s="56" t="str">
        <f aca="false">IF(INDEX(BookTitle,1915)="","",INDEX(BookTotal,1915)*'5. Scenarios'!$B$6/(1+ProductivityDefault*('5. Scenarios'!$B$11-1)))</f>
        <v/>
      </c>
      <c r="E1920" s="57" t="str">
        <f aca="false">IF($D1920="","",INDEX(BookRate,1915)*(1+'5. Scenarios'!$B$10)*$D1920)</f>
        <v/>
      </c>
      <c r="F1920" s="57" t="str">
        <f aca="false">IF($E1920="","",SUMIFS($E$6:$E$2405,$A$6:$A$2405,"&lt;="&amp;$A1920))</f>
        <v/>
      </c>
      <c r="G1920" s="57" t="str">
        <f aca="false">IF($E1920="","",IF($F1920&lt;=BankCostEnvelope*'5. Scenarios'!$B$7,1,0))</f>
        <v/>
      </c>
      <c r="H1920" s="57" t="str">
        <f aca="false">IF($D1920="","",INDEX(BookRate,1915)*(1+'5. Scenarios'!$B$10)*(INDEX(BookQ1,1915)*(5-MIN(4,1+'5. Scenarios'!$B$8))/4+INDEX(BookQ2,1915)*(5-MIN(4,2+'5. Scenarios'!$B$8))/4+INDEX(BookQ3,1915)*(5-MIN(4,3+'5. Scenarios'!$B$8))/4+INDEX(BookQ4,1915)*(5-MIN(4,4+'5. Scenarios'!$B$8))/4)*'5. Scenarios'!$B$6/(1+ProductivityDefault*('5. Scenarios'!$B$11-1))+INDEX(BookOneOff,1915)*$D1920)</f>
        <v/>
      </c>
      <c r="I1920" s="56" t="str">
        <f aca="false">IF(INDEX(BookTitle,1915)="","",INDEX(BookTotal,1915)*'5. Scenarios'!$C$6/(1+ProductivityDefault*('5. Scenarios'!$C$11-1)))</f>
        <v/>
      </c>
      <c r="J1920" s="57" t="str">
        <f aca="false">IF($I1920="","",INDEX(BookRate,1915)*(1+'5. Scenarios'!$C$10)*$I1920)</f>
        <v/>
      </c>
      <c r="K1920" s="57" t="str">
        <f aca="false">IF($J1920="","",SUMIFS($J$6:$J$2405,$A$6:$A$2405,"&lt;="&amp;$A1920))</f>
        <v/>
      </c>
      <c r="L1920" s="57" t="str">
        <f aca="false">IF($J1920="","",IF($K1920&lt;=BankCostEnvelope*'5. Scenarios'!$C$7,1,0))</f>
        <v/>
      </c>
      <c r="M1920" s="57" t="str">
        <f aca="false">IF($I1920="","",INDEX(BookRate,1915)*(1+'5. Scenarios'!$C$10)*(INDEX(BookQ1,1915)*(5-MIN(4,1+'5. Scenarios'!$C$8))/4+INDEX(BookQ2,1915)*(5-MIN(4,2+'5. Scenarios'!$C$8))/4+INDEX(BookQ3,1915)*(5-MIN(4,3+'5. Scenarios'!$C$8))/4+INDEX(BookQ4,1915)*(5-MIN(4,4+'5. Scenarios'!$C$8))/4)*'5. Scenarios'!$C$6/(1+ProductivityDefault*('5. Scenarios'!$C$11-1))+INDEX(BookOneOff,1915)*$I1920)</f>
        <v/>
      </c>
      <c r="N1920" s="56" t="str">
        <f aca="false">IF(INDEX(BookTitle,1915)="","",INDEX(BookTotal,1915)*'5. Scenarios'!$D$6/(1+ProductivityDefault*('5. Scenarios'!$D$11-1)))</f>
        <v/>
      </c>
      <c r="O1920" s="57" t="str">
        <f aca="false">IF($N1920="","",INDEX(BookRate,1915)*(1+'5. Scenarios'!$D$10)*$N1920)</f>
        <v/>
      </c>
      <c r="P1920" s="57" t="str">
        <f aca="false">IF($O1920="","",SUMIFS($O$6:$O$2405,$A$6:$A$2405,"&lt;="&amp;$A1920))</f>
        <v/>
      </c>
      <c r="Q1920" s="57" t="str">
        <f aca="false">IF($O1920="","",IF($P1920&lt;=BankCostEnvelope*'5. Scenarios'!$D$7,1,0))</f>
        <v/>
      </c>
      <c r="R1920" s="57" t="str">
        <f aca="false">IF($N1920="","",INDEX(BookRate,1915)*(1+'5. Scenarios'!$D$10)*(INDEX(BookQ1,1915)*(5-MIN(4,1+'5. Scenarios'!$D$8))/4+INDEX(BookQ2,1915)*(5-MIN(4,2+'5. Scenarios'!$D$8))/4+INDEX(BookQ3,1915)*(5-MIN(4,3+'5. Scenarios'!$D$8))/4+INDEX(BookQ4,1915)*(5-MIN(4,4+'5. Scenarios'!$D$8))/4)*'5. Scenarios'!$D$6/(1+ProductivityDefault*('5. Scenarios'!$D$11-1))+INDEX(BookOneOff,1915)*$N1920)</f>
        <v/>
      </c>
      <c r="S1920" s="56" t="str">
        <f aca="false">IF(INDEX(BookTitle,1915)="","",INDEX(BookTotal,1915)*'5. Scenarios'!$E$6/(1+ProductivityDefault*('5. Scenarios'!$E$11-1)))</f>
        <v/>
      </c>
      <c r="T1920" s="57" t="str">
        <f aca="false">IF($S1920="","",INDEX(BookRate,1915)*(1+'5. Scenarios'!$E$10)*$S1920)</f>
        <v/>
      </c>
      <c r="U1920" s="57" t="str">
        <f aca="false">IF($T1920="","",SUMIFS($T$6:$T$2405,$A$6:$A$2405,"&lt;="&amp;$A1920))</f>
        <v/>
      </c>
      <c r="V1920" s="57" t="str">
        <f aca="false">IF($T1920="","",IF($U1920&lt;=BankCostEnvelope*'5. Scenarios'!$E$7,1,0))</f>
        <v/>
      </c>
      <c r="W1920" s="57" t="str">
        <f aca="false">IF($S1920="","",INDEX(BookRate,1915)*(1+'5. Scenarios'!$E$10)*(INDEX(BookQ1,1915)*(5-MIN(4,1+'5. Scenarios'!$E$8))/4+INDEX(BookQ2,1915)*(5-MIN(4,2+'5. Scenarios'!$E$8))/4+INDEX(BookQ3,1915)*(5-MIN(4,3+'5. Scenarios'!$E$8))/4+INDEX(BookQ4,1915)*(5-MIN(4,4+'5. Scenarios'!$E$8))/4)*'5. Scenarios'!$E$6/(1+ProductivityDefault*('5. Scenarios'!$E$11-1))+INDEX(BookOneOff,1915)*$S1920)</f>
        <v/>
      </c>
    </row>
    <row r="1921" customFormat="false" ht="15" hidden="false" customHeight="false" outlineLevel="0" collapsed="false">
      <c r="A1921" s="0" t="str">
        <f aca="false">IF(INDEX(BookTitle,1916)="","",INDEX(BookKey,1916))</f>
        <v/>
      </c>
      <c r="B1921" s="0" t="str">
        <f aca="false">IF(INDEX(BookTitle,1916)="","",INDEX(BookGroup,1916))</f>
        <v/>
      </c>
      <c r="C1921" s="0" t="str">
        <f aca="false">IF(INDEX(BookTitle,1916)="","",INDEX(BookCategory,1916))</f>
        <v/>
      </c>
      <c r="D1921" s="56" t="str">
        <f aca="false">IF(INDEX(BookTitle,1916)="","",INDEX(BookTotal,1916)*'5. Scenarios'!$B$6/(1+ProductivityDefault*('5. Scenarios'!$B$11-1)))</f>
        <v/>
      </c>
      <c r="E1921" s="57" t="str">
        <f aca="false">IF($D1921="","",INDEX(BookRate,1916)*(1+'5. Scenarios'!$B$10)*$D1921)</f>
        <v/>
      </c>
      <c r="F1921" s="57" t="str">
        <f aca="false">IF($E1921="","",SUMIFS($E$6:$E$2405,$A$6:$A$2405,"&lt;="&amp;$A1921))</f>
        <v/>
      </c>
      <c r="G1921" s="57" t="str">
        <f aca="false">IF($E1921="","",IF($F1921&lt;=BankCostEnvelope*'5. Scenarios'!$B$7,1,0))</f>
        <v/>
      </c>
      <c r="H1921" s="57" t="str">
        <f aca="false">IF($D1921="","",INDEX(BookRate,1916)*(1+'5. Scenarios'!$B$10)*(INDEX(BookQ1,1916)*(5-MIN(4,1+'5. Scenarios'!$B$8))/4+INDEX(BookQ2,1916)*(5-MIN(4,2+'5. Scenarios'!$B$8))/4+INDEX(BookQ3,1916)*(5-MIN(4,3+'5. Scenarios'!$B$8))/4+INDEX(BookQ4,1916)*(5-MIN(4,4+'5. Scenarios'!$B$8))/4)*'5. Scenarios'!$B$6/(1+ProductivityDefault*('5. Scenarios'!$B$11-1))+INDEX(BookOneOff,1916)*$D1921)</f>
        <v/>
      </c>
      <c r="I1921" s="56" t="str">
        <f aca="false">IF(INDEX(BookTitle,1916)="","",INDEX(BookTotal,1916)*'5. Scenarios'!$C$6/(1+ProductivityDefault*('5. Scenarios'!$C$11-1)))</f>
        <v/>
      </c>
      <c r="J1921" s="57" t="str">
        <f aca="false">IF($I1921="","",INDEX(BookRate,1916)*(1+'5. Scenarios'!$C$10)*$I1921)</f>
        <v/>
      </c>
      <c r="K1921" s="57" t="str">
        <f aca="false">IF($J1921="","",SUMIFS($J$6:$J$2405,$A$6:$A$2405,"&lt;="&amp;$A1921))</f>
        <v/>
      </c>
      <c r="L1921" s="57" t="str">
        <f aca="false">IF($J1921="","",IF($K1921&lt;=BankCostEnvelope*'5. Scenarios'!$C$7,1,0))</f>
        <v/>
      </c>
      <c r="M1921" s="57" t="str">
        <f aca="false">IF($I1921="","",INDEX(BookRate,1916)*(1+'5. Scenarios'!$C$10)*(INDEX(BookQ1,1916)*(5-MIN(4,1+'5. Scenarios'!$C$8))/4+INDEX(BookQ2,1916)*(5-MIN(4,2+'5. Scenarios'!$C$8))/4+INDEX(BookQ3,1916)*(5-MIN(4,3+'5. Scenarios'!$C$8))/4+INDEX(BookQ4,1916)*(5-MIN(4,4+'5. Scenarios'!$C$8))/4)*'5. Scenarios'!$C$6/(1+ProductivityDefault*('5. Scenarios'!$C$11-1))+INDEX(BookOneOff,1916)*$I1921)</f>
        <v/>
      </c>
      <c r="N1921" s="56" t="str">
        <f aca="false">IF(INDEX(BookTitle,1916)="","",INDEX(BookTotal,1916)*'5. Scenarios'!$D$6/(1+ProductivityDefault*('5. Scenarios'!$D$11-1)))</f>
        <v/>
      </c>
      <c r="O1921" s="57" t="str">
        <f aca="false">IF($N1921="","",INDEX(BookRate,1916)*(1+'5. Scenarios'!$D$10)*$N1921)</f>
        <v/>
      </c>
      <c r="P1921" s="57" t="str">
        <f aca="false">IF($O1921="","",SUMIFS($O$6:$O$2405,$A$6:$A$2405,"&lt;="&amp;$A1921))</f>
        <v/>
      </c>
      <c r="Q1921" s="57" t="str">
        <f aca="false">IF($O1921="","",IF($P1921&lt;=BankCostEnvelope*'5. Scenarios'!$D$7,1,0))</f>
        <v/>
      </c>
      <c r="R1921" s="57" t="str">
        <f aca="false">IF($N1921="","",INDEX(BookRate,1916)*(1+'5. Scenarios'!$D$10)*(INDEX(BookQ1,1916)*(5-MIN(4,1+'5. Scenarios'!$D$8))/4+INDEX(BookQ2,1916)*(5-MIN(4,2+'5. Scenarios'!$D$8))/4+INDEX(BookQ3,1916)*(5-MIN(4,3+'5. Scenarios'!$D$8))/4+INDEX(BookQ4,1916)*(5-MIN(4,4+'5. Scenarios'!$D$8))/4)*'5. Scenarios'!$D$6/(1+ProductivityDefault*('5. Scenarios'!$D$11-1))+INDEX(BookOneOff,1916)*$N1921)</f>
        <v/>
      </c>
      <c r="S1921" s="56" t="str">
        <f aca="false">IF(INDEX(BookTitle,1916)="","",INDEX(BookTotal,1916)*'5. Scenarios'!$E$6/(1+ProductivityDefault*('5. Scenarios'!$E$11-1)))</f>
        <v/>
      </c>
      <c r="T1921" s="57" t="str">
        <f aca="false">IF($S1921="","",INDEX(BookRate,1916)*(1+'5. Scenarios'!$E$10)*$S1921)</f>
        <v/>
      </c>
      <c r="U1921" s="57" t="str">
        <f aca="false">IF($T1921="","",SUMIFS($T$6:$T$2405,$A$6:$A$2405,"&lt;="&amp;$A1921))</f>
        <v/>
      </c>
      <c r="V1921" s="57" t="str">
        <f aca="false">IF($T1921="","",IF($U1921&lt;=BankCostEnvelope*'5. Scenarios'!$E$7,1,0))</f>
        <v/>
      </c>
      <c r="W1921" s="57" t="str">
        <f aca="false">IF($S1921="","",INDEX(BookRate,1916)*(1+'5. Scenarios'!$E$10)*(INDEX(BookQ1,1916)*(5-MIN(4,1+'5. Scenarios'!$E$8))/4+INDEX(BookQ2,1916)*(5-MIN(4,2+'5. Scenarios'!$E$8))/4+INDEX(BookQ3,1916)*(5-MIN(4,3+'5. Scenarios'!$E$8))/4+INDEX(BookQ4,1916)*(5-MIN(4,4+'5. Scenarios'!$E$8))/4)*'5. Scenarios'!$E$6/(1+ProductivityDefault*('5. Scenarios'!$E$11-1))+INDEX(BookOneOff,1916)*$S1921)</f>
        <v/>
      </c>
    </row>
    <row r="1922" customFormat="false" ht="15" hidden="false" customHeight="false" outlineLevel="0" collapsed="false">
      <c r="A1922" s="0" t="str">
        <f aca="false">IF(INDEX(BookTitle,1917)="","",INDEX(BookKey,1917))</f>
        <v/>
      </c>
      <c r="B1922" s="0" t="str">
        <f aca="false">IF(INDEX(BookTitle,1917)="","",INDEX(BookGroup,1917))</f>
        <v/>
      </c>
      <c r="C1922" s="0" t="str">
        <f aca="false">IF(INDEX(BookTitle,1917)="","",INDEX(BookCategory,1917))</f>
        <v/>
      </c>
      <c r="D1922" s="56" t="str">
        <f aca="false">IF(INDEX(BookTitle,1917)="","",INDEX(BookTotal,1917)*'5. Scenarios'!$B$6/(1+ProductivityDefault*('5. Scenarios'!$B$11-1)))</f>
        <v/>
      </c>
      <c r="E1922" s="57" t="str">
        <f aca="false">IF($D1922="","",INDEX(BookRate,1917)*(1+'5. Scenarios'!$B$10)*$D1922)</f>
        <v/>
      </c>
      <c r="F1922" s="57" t="str">
        <f aca="false">IF($E1922="","",SUMIFS($E$6:$E$2405,$A$6:$A$2405,"&lt;="&amp;$A1922))</f>
        <v/>
      </c>
      <c r="G1922" s="57" t="str">
        <f aca="false">IF($E1922="","",IF($F1922&lt;=BankCostEnvelope*'5. Scenarios'!$B$7,1,0))</f>
        <v/>
      </c>
      <c r="H1922" s="57" t="str">
        <f aca="false">IF($D1922="","",INDEX(BookRate,1917)*(1+'5. Scenarios'!$B$10)*(INDEX(BookQ1,1917)*(5-MIN(4,1+'5. Scenarios'!$B$8))/4+INDEX(BookQ2,1917)*(5-MIN(4,2+'5. Scenarios'!$B$8))/4+INDEX(BookQ3,1917)*(5-MIN(4,3+'5. Scenarios'!$B$8))/4+INDEX(BookQ4,1917)*(5-MIN(4,4+'5. Scenarios'!$B$8))/4)*'5. Scenarios'!$B$6/(1+ProductivityDefault*('5. Scenarios'!$B$11-1))+INDEX(BookOneOff,1917)*$D1922)</f>
        <v/>
      </c>
      <c r="I1922" s="56" t="str">
        <f aca="false">IF(INDEX(BookTitle,1917)="","",INDEX(BookTotal,1917)*'5. Scenarios'!$C$6/(1+ProductivityDefault*('5. Scenarios'!$C$11-1)))</f>
        <v/>
      </c>
      <c r="J1922" s="57" t="str">
        <f aca="false">IF($I1922="","",INDEX(BookRate,1917)*(1+'5. Scenarios'!$C$10)*$I1922)</f>
        <v/>
      </c>
      <c r="K1922" s="57" t="str">
        <f aca="false">IF($J1922="","",SUMIFS($J$6:$J$2405,$A$6:$A$2405,"&lt;="&amp;$A1922))</f>
        <v/>
      </c>
      <c r="L1922" s="57" t="str">
        <f aca="false">IF($J1922="","",IF($K1922&lt;=BankCostEnvelope*'5. Scenarios'!$C$7,1,0))</f>
        <v/>
      </c>
      <c r="M1922" s="57" t="str">
        <f aca="false">IF($I1922="","",INDEX(BookRate,1917)*(1+'5. Scenarios'!$C$10)*(INDEX(BookQ1,1917)*(5-MIN(4,1+'5. Scenarios'!$C$8))/4+INDEX(BookQ2,1917)*(5-MIN(4,2+'5. Scenarios'!$C$8))/4+INDEX(BookQ3,1917)*(5-MIN(4,3+'5. Scenarios'!$C$8))/4+INDEX(BookQ4,1917)*(5-MIN(4,4+'5. Scenarios'!$C$8))/4)*'5. Scenarios'!$C$6/(1+ProductivityDefault*('5. Scenarios'!$C$11-1))+INDEX(BookOneOff,1917)*$I1922)</f>
        <v/>
      </c>
      <c r="N1922" s="56" t="str">
        <f aca="false">IF(INDEX(BookTitle,1917)="","",INDEX(BookTotal,1917)*'5. Scenarios'!$D$6/(1+ProductivityDefault*('5. Scenarios'!$D$11-1)))</f>
        <v/>
      </c>
      <c r="O1922" s="57" t="str">
        <f aca="false">IF($N1922="","",INDEX(BookRate,1917)*(1+'5. Scenarios'!$D$10)*$N1922)</f>
        <v/>
      </c>
      <c r="P1922" s="57" t="str">
        <f aca="false">IF($O1922="","",SUMIFS($O$6:$O$2405,$A$6:$A$2405,"&lt;="&amp;$A1922))</f>
        <v/>
      </c>
      <c r="Q1922" s="57" t="str">
        <f aca="false">IF($O1922="","",IF($P1922&lt;=BankCostEnvelope*'5. Scenarios'!$D$7,1,0))</f>
        <v/>
      </c>
      <c r="R1922" s="57" t="str">
        <f aca="false">IF($N1922="","",INDEX(BookRate,1917)*(1+'5. Scenarios'!$D$10)*(INDEX(BookQ1,1917)*(5-MIN(4,1+'5. Scenarios'!$D$8))/4+INDEX(BookQ2,1917)*(5-MIN(4,2+'5. Scenarios'!$D$8))/4+INDEX(BookQ3,1917)*(5-MIN(4,3+'5. Scenarios'!$D$8))/4+INDEX(BookQ4,1917)*(5-MIN(4,4+'5. Scenarios'!$D$8))/4)*'5. Scenarios'!$D$6/(1+ProductivityDefault*('5. Scenarios'!$D$11-1))+INDEX(BookOneOff,1917)*$N1922)</f>
        <v/>
      </c>
      <c r="S1922" s="56" t="str">
        <f aca="false">IF(INDEX(BookTitle,1917)="","",INDEX(BookTotal,1917)*'5. Scenarios'!$E$6/(1+ProductivityDefault*('5. Scenarios'!$E$11-1)))</f>
        <v/>
      </c>
      <c r="T1922" s="57" t="str">
        <f aca="false">IF($S1922="","",INDEX(BookRate,1917)*(1+'5. Scenarios'!$E$10)*$S1922)</f>
        <v/>
      </c>
      <c r="U1922" s="57" t="str">
        <f aca="false">IF($T1922="","",SUMIFS($T$6:$T$2405,$A$6:$A$2405,"&lt;="&amp;$A1922))</f>
        <v/>
      </c>
      <c r="V1922" s="57" t="str">
        <f aca="false">IF($T1922="","",IF($U1922&lt;=BankCostEnvelope*'5. Scenarios'!$E$7,1,0))</f>
        <v/>
      </c>
      <c r="W1922" s="57" t="str">
        <f aca="false">IF($S1922="","",INDEX(BookRate,1917)*(1+'5. Scenarios'!$E$10)*(INDEX(BookQ1,1917)*(5-MIN(4,1+'5. Scenarios'!$E$8))/4+INDEX(BookQ2,1917)*(5-MIN(4,2+'5. Scenarios'!$E$8))/4+INDEX(BookQ3,1917)*(5-MIN(4,3+'5. Scenarios'!$E$8))/4+INDEX(BookQ4,1917)*(5-MIN(4,4+'5. Scenarios'!$E$8))/4)*'5. Scenarios'!$E$6/(1+ProductivityDefault*('5. Scenarios'!$E$11-1))+INDEX(BookOneOff,1917)*$S1922)</f>
        <v/>
      </c>
    </row>
    <row r="1923" customFormat="false" ht="15" hidden="false" customHeight="false" outlineLevel="0" collapsed="false">
      <c r="A1923" s="0" t="str">
        <f aca="false">IF(INDEX(BookTitle,1918)="","",INDEX(BookKey,1918))</f>
        <v/>
      </c>
      <c r="B1923" s="0" t="str">
        <f aca="false">IF(INDEX(BookTitle,1918)="","",INDEX(BookGroup,1918))</f>
        <v/>
      </c>
      <c r="C1923" s="0" t="str">
        <f aca="false">IF(INDEX(BookTitle,1918)="","",INDEX(BookCategory,1918))</f>
        <v/>
      </c>
      <c r="D1923" s="56" t="str">
        <f aca="false">IF(INDEX(BookTitle,1918)="","",INDEX(BookTotal,1918)*'5. Scenarios'!$B$6/(1+ProductivityDefault*('5. Scenarios'!$B$11-1)))</f>
        <v/>
      </c>
      <c r="E1923" s="57" t="str">
        <f aca="false">IF($D1923="","",INDEX(BookRate,1918)*(1+'5. Scenarios'!$B$10)*$D1923)</f>
        <v/>
      </c>
      <c r="F1923" s="57" t="str">
        <f aca="false">IF($E1923="","",SUMIFS($E$6:$E$2405,$A$6:$A$2405,"&lt;="&amp;$A1923))</f>
        <v/>
      </c>
      <c r="G1923" s="57" t="str">
        <f aca="false">IF($E1923="","",IF($F1923&lt;=BankCostEnvelope*'5. Scenarios'!$B$7,1,0))</f>
        <v/>
      </c>
      <c r="H1923" s="57" t="str">
        <f aca="false">IF($D1923="","",INDEX(BookRate,1918)*(1+'5. Scenarios'!$B$10)*(INDEX(BookQ1,1918)*(5-MIN(4,1+'5. Scenarios'!$B$8))/4+INDEX(BookQ2,1918)*(5-MIN(4,2+'5. Scenarios'!$B$8))/4+INDEX(BookQ3,1918)*(5-MIN(4,3+'5. Scenarios'!$B$8))/4+INDEX(BookQ4,1918)*(5-MIN(4,4+'5. Scenarios'!$B$8))/4)*'5. Scenarios'!$B$6/(1+ProductivityDefault*('5. Scenarios'!$B$11-1))+INDEX(BookOneOff,1918)*$D1923)</f>
        <v/>
      </c>
      <c r="I1923" s="56" t="str">
        <f aca="false">IF(INDEX(BookTitle,1918)="","",INDEX(BookTotal,1918)*'5. Scenarios'!$C$6/(1+ProductivityDefault*('5. Scenarios'!$C$11-1)))</f>
        <v/>
      </c>
      <c r="J1923" s="57" t="str">
        <f aca="false">IF($I1923="","",INDEX(BookRate,1918)*(1+'5. Scenarios'!$C$10)*$I1923)</f>
        <v/>
      </c>
      <c r="K1923" s="57" t="str">
        <f aca="false">IF($J1923="","",SUMIFS($J$6:$J$2405,$A$6:$A$2405,"&lt;="&amp;$A1923))</f>
        <v/>
      </c>
      <c r="L1923" s="57" t="str">
        <f aca="false">IF($J1923="","",IF($K1923&lt;=BankCostEnvelope*'5. Scenarios'!$C$7,1,0))</f>
        <v/>
      </c>
      <c r="M1923" s="57" t="str">
        <f aca="false">IF($I1923="","",INDEX(BookRate,1918)*(1+'5. Scenarios'!$C$10)*(INDEX(BookQ1,1918)*(5-MIN(4,1+'5. Scenarios'!$C$8))/4+INDEX(BookQ2,1918)*(5-MIN(4,2+'5. Scenarios'!$C$8))/4+INDEX(BookQ3,1918)*(5-MIN(4,3+'5. Scenarios'!$C$8))/4+INDEX(BookQ4,1918)*(5-MIN(4,4+'5. Scenarios'!$C$8))/4)*'5. Scenarios'!$C$6/(1+ProductivityDefault*('5. Scenarios'!$C$11-1))+INDEX(BookOneOff,1918)*$I1923)</f>
        <v/>
      </c>
      <c r="N1923" s="56" t="str">
        <f aca="false">IF(INDEX(BookTitle,1918)="","",INDEX(BookTotal,1918)*'5. Scenarios'!$D$6/(1+ProductivityDefault*('5. Scenarios'!$D$11-1)))</f>
        <v/>
      </c>
      <c r="O1923" s="57" t="str">
        <f aca="false">IF($N1923="","",INDEX(BookRate,1918)*(1+'5. Scenarios'!$D$10)*$N1923)</f>
        <v/>
      </c>
      <c r="P1923" s="57" t="str">
        <f aca="false">IF($O1923="","",SUMIFS($O$6:$O$2405,$A$6:$A$2405,"&lt;="&amp;$A1923))</f>
        <v/>
      </c>
      <c r="Q1923" s="57" t="str">
        <f aca="false">IF($O1923="","",IF($P1923&lt;=BankCostEnvelope*'5. Scenarios'!$D$7,1,0))</f>
        <v/>
      </c>
      <c r="R1923" s="57" t="str">
        <f aca="false">IF($N1923="","",INDEX(BookRate,1918)*(1+'5. Scenarios'!$D$10)*(INDEX(BookQ1,1918)*(5-MIN(4,1+'5. Scenarios'!$D$8))/4+INDEX(BookQ2,1918)*(5-MIN(4,2+'5. Scenarios'!$D$8))/4+INDEX(BookQ3,1918)*(5-MIN(4,3+'5. Scenarios'!$D$8))/4+INDEX(BookQ4,1918)*(5-MIN(4,4+'5. Scenarios'!$D$8))/4)*'5. Scenarios'!$D$6/(1+ProductivityDefault*('5. Scenarios'!$D$11-1))+INDEX(BookOneOff,1918)*$N1923)</f>
        <v/>
      </c>
      <c r="S1923" s="56" t="str">
        <f aca="false">IF(INDEX(BookTitle,1918)="","",INDEX(BookTotal,1918)*'5. Scenarios'!$E$6/(1+ProductivityDefault*('5. Scenarios'!$E$11-1)))</f>
        <v/>
      </c>
      <c r="T1923" s="57" t="str">
        <f aca="false">IF($S1923="","",INDEX(BookRate,1918)*(1+'5. Scenarios'!$E$10)*$S1923)</f>
        <v/>
      </c>
      <c r="U1923" s="57" t="str">
        <f aca="false">IF($T1923="","",SUMIFS($T$6:$T$2405,$A$6:$A$2405,"&lt;="&amp;$A1923))</f>
        <v/>
      </c>
      <c r="V1923" s="57" t="str">
        <f aca="false">IF($T1923="","",IF($U1923&lt;=BankCostEnvelope*'5. Scenarios'!$E$7,1,0))</f>
        <v/>
      </c>
      <c r="W1923" s="57" t="str">
        <f aca="false">IF($S1923="","",INDEX(BookRate,1918)*(1+'5. Scenarios'!$E$10)*(INDEX(BookQ1,1918)*(5-MIN(4,1+'5. Scenarios'!$E$8))/4+INDEX(BookQ2,1918)*(5-MIN(4,2+'5. Scenarios'!$E$8))/4+INDEX(BookQ3,1918)*(5-MIN(4,3+'5. Scenarios'!$E$8))/4+INDEX(BookQ4,1918)*(5-MIN(4,4+'5. Scenarios'!$E$8))/4)*'5. Scenarios'!$E$6/(1+ProductivityDefault*('5. Scenarios'!$E$11-1))+INDEX(BookOneOff,1918)*$S1923)</f>
        <v/>
      </c>
    </row>
    <row r="1924" customFormat="false" ht="15" hidden="false" customHeight="false" outlineLevel="0" collapsed="false">
      <c r="A1924" s="0" t="str">
        <f aca="false">IF(INDEX(BookTitle,1919)="","",INDEX(BookKey,1919))</f>
        <v/>
      </c>
      <c r="B1924" s="0" t="str">
        <f aca="false">IF(INDEX(BookTitle,1919)="","",INDEX(BookGroup,1919))</f>
        <v/>
      </c>
      <c r="C1924" s="0" t="str">
        <f aca="false">IF(INDEX(BookTitle,1919)="","",INDEX(BookCategory,1919))</f>
        <v/>
      </c>
      <c r="D1924" s="56" t="str">
        <f aca="false">IF(INDEX(BookTitle,1919)="","",INDEX(BookTotal,1919)*'5. Scenarios'!$B$6/(1+ProductivityDefault*('5. Scenarios'!$B$11-1)))</f>
        <v/>
      </c>
      <c r="E1924" s="57" t="str">
        <f aca="false">IF($D1924="","",INDEX(BookRate,1919)*(1+'5. Scenarios'!$B$10)*$D1924)</f>
        <v/>
      </c>
      <c r="F1924" s="57" t="str">
        <f aca="false">IF($E1924="","",SUMIFS($E$6:$E$2405,$A$6:$A$2405,"&lt;="&amp;$A1924))</f>
        <v/>
      </c>
      <c r="G1924" s="57" t="str">
        <f aca="false">IF($E1924="","",IF($F1924&lt;=BankCostEnvelope*'5. Scenarios'!$B$7,1,0))</f>
        <v/>
      </c>
      <c r="H1924" s="57" t="str">
        <f aca="false">IF($D1924="","",INDEX(BookRate,1919)*(1+'5. Scenarios'!$B$10)*(INDEX(BookQ1,1919)*(5-MIN(4,1+'5. Scenarios'!$B$8))/4+INDEX(BookQ2,1919)*(5-MIN(4,2+'5. Scenarios'!$B$8))/4+INDEX(BookQ3,1919)*(5-MIN(4,3+'5. Scenarios'!$B$8))/4+INDEX(BookQ4,1919)*(5-MIN(4,4+'5. Scenarios'!$B$8))/4)*'5. Scenarios'!$B$6/(1+ProductivityDefault*('5. Scenarios'!$B$11-1))+INDEX(BookOneOff,1919)*$D1924)</f>
        <v/>
      </c>
      <c r="I1924" s="56" t="str">
        <f aca="false">IF(INDEX(BookTitle,1919)="","",INDEX(BookTotal,1919)*'5. Scenarios'!$C$6/(1+ProductivityDefault*('5. Scenarios'!$C$11-1)))</f>
        <v/>
      </c>
      <c r="J1924" s="57" t="str">
        <f aca="false">IF($I1924="","",INDEX(BookRate,1919)*(1+'5. Scenarios'!$C$10)*$I1924)</f>
        <v/>
      </c>
      <c r="K1924" s="57" t="str">
        <f aca="false">IF($J1924="","",SUMIFS($J$6:$J$2405,$A$6:$A$2405,"&lt;="&amp;$A1924))</f>
        <v/>
      </c>
      <c r="L1924" s="57" t="str">
        <f aca="false">IF($J1924="","",IF($K1924&lt;=BankCostEnvelope*'5. Scenarios'!$C$7,1,0))</f>
        <v/>
      </c>
      <c r="M1924" s="57" t="str">
        <f aca="false">IF($I1924="","",INDEX(BookRate,1919)*(1+'5. Scenarios'!$C$10)*(INDEX(BookQ1,1919)*(5-MIN(4,1+'5. Scenarios'!$C$8))/4+INDEX(BookQ2,1919)*(5-MIN(4,2+'5. Scenarios'!$C$8))/4+INDEX(BookQ3,1919)*(5-MIN(4,3+'5. Scenarios'!$C$8))/4+INDEX(BookQ4,1919)*(5-MIN(4,4+'5. Scenarios'!$C$8))/4)*'5. Scenarios'!$C$6/(1+ProductivityDefault*('5. Scenarios'!$C$11-1))+INDEX(BookOneOff,1919)*$I1924)</f>
        <v/>
      </c>
      <c r="N1924" s="56" t="str">
        <f aca="false">IF(INDEX(BookTitle,1919)="","",INDEX(BookTotal,1919)*'5. Scenarios'!$D$6/(1+ProductivityDefault*('5. Scenarios'!$D$11-1)))</f>
        <v/>
      </c>
      <c r="O1924" s="57" t="str">
        <f aca="false">IF($N1924="","",INDEX(BookRate,1919)*(1+'5. Scenarios'!$D$10)*$N1924)</f>
        <v/>
      </c>
      <c r="P1924" s="57" t="str">
        <f aca="false">IF($O1924="","",SUMIFS($O$6:$O$2405,$A$6:$A$2405,"&lt;="&amp;$A1924))</f>
        <v/>
      </c>
      <c r="Q1924" s="57" t="str">
        <f aca="false">IF($O1924="","",IF($P1924&lt;=BankCostEnvelope*'5. Scenarios'!$D$7,1,0))</f>
        <v/>
      </c>
      <c r="R1924" s="57" t="str">
        <f aca="false">IF($N1924="","",INDEX(BookRate,1919)*(1+'5. Scenarios'!$D$10)*(INDEX(BookQ1,1919)*(5-MIN(4,1+'5. Scenarios'!$D$8))/4+INDEX(BookQ2,1919)*(5-MIN(4,2+'5. Scenarios'!$D$8))/4+INDEX(BookQ3,1919)*(5-MIN(4,3+'5. Scenarios'!$D$8))/4+INDEX(BookQ4,1919)*(5-MIN(4,4+'5. Scenarios'!$D$8))/4)*'5. Scenarios'!$D$6/(1+ProductivityDefault*('5. Scenarios'!$D$11-1))+INDEX(BookOneOff,1919)*$N1924)</f>
        <v/>
      </c>
      <c r="S1924" s="56" t="str">
        <f aca="false">IF(INDEX(BookTitle,1919)="","",INDEX(BookTotal,1919)*'5. Scenarios'!$E$6/(1+ProductivityDefault*('5. Scenarios'!$E$11-1)))</f>
        <v/>
      </c>
      <c r="T1924" s="57" t="str">
        <f aca="false">IF($S1924="","",INDEX(BookRate,1919)*(1+'5. Scenarios'!$E$10)*$S1924)</f>
        <v/>
      </c>
      <c r="U1924" s="57" t="str">
        <f aca="false">IF($T1924="","",SUMIFS($T$6:$T$2405,$A$6:$A$2405,"&lt;="&amp;$A1924))</f>
        <v/>
      </c>
      <c r="V1924" s="57" t="str">
        <f aca="false">IF($T1924="","",IF($U1924&lt;=BankCostEnvelope*'5. Scenarios'!$E$7,1,0))</f>
        <v/>
      </c>
      <c r="W1924" s="57" t="str">
        <f aca="false">IF($S1924="","",INDEX(BookRate,1919)*(1+'5. Scenarios'!$E$10)*(INDEX(BookQ1,1919)*(5-MIN(4,1+'5. Scenarios'!$E$8))/4+INDEX(BookQ2,1919)*(5-MIN(4,2+'5. Scenarios'!$E$8))/4+INDEX(BookQ3,1919)*(5-MIN(4,3+'5. Scenarios'!$E$8))/4+INDEX(BookQ4,1919)*(5-MIN(4,4+'5. Scenarios'!$E$8))/4)*'5. Scenarios'!$E$6/(1+ProductivityDefault*('5. Scenarios'!$E$11-1))+INDEX(BookOneOff,1919)*$S1924)</f>
        <v/>
      </c>
    </row>
    <row r="1925" customFormat="false" ht="15" hidden="false" customHeight="false" outlineLevel="0" collapsed="false">
      <c r="A1925" s="0" t="str">
        <f aca="false">IF(INDEX(BookTitle,1920)="","",INDEX(BookKey,1920))</f>
        <v/>
      </c>
      <c r="B1925" s="0" t="str">
        <f aca="false">IF(INDEX(BookTitle,1920)="","",INDEX(BookGroup,1920))</f>
        <v/>
      </c>
      <c r="C1925" s="0" t="str">
        <f aca="false">IF(INDEX(BookTitle,1920)="","",INDEX(BookCategory,1920))</f>
        <v/>
      </c>
      <c r="D1925" s="56" t="str">
        <f aca="false">IF(INDEX(BookTitle,1920)="","",INDEX(BookTotal,1920)*'5. Scenarios'!$B$6/(1+ProductivityDefault*('5. Scenarios'!$B$11-1)))</f>
        <v/>
      </c>
      <c r="E1925" s="57" t="str">
        <f aca="false">IF($D1925="","",INDEX(BookRate,1920)*(1+'5. Scenarios'!$B$10)*$D1925)</f>
        <v/>
      </c>
      <c r="F1925" s="57" t="str">
        <f aca="false">IF($E1925="","",SUMIFS($E$6:$E$2405,$A$6:$A$2405,"&lt;="&amp;$A1925))</f>
        <v/>
      </c>
      <c r="G1925" s="57" t="str">
        <f aca="false">IF($E1925="","",IF($F1925&lt;=BankCostEnvelope*'5. Scenarios'!$B$7,1,0))</f>
        <v/>
      </c>
      <c r="H1925" s="57" t="str">
        <f aca="false">IF($D1925="","",INDEX(BookRate,1920)*(1+'5. Scenarios'!$B$10)*(INDEX(BookQ1,1920)*(5-MIN(4,1+'5. Scenarios'!$B$8))/4+INDEX(BookQ2,1920)*(5-MIN(4,2+'5. Scenarios'!$B$8))/4+INDEX(BookQ3,1920)*(5-MIN(4,3+'5. Scenarios'!$B$8))/4+INDEX(BookQ4,1920)*(5-MIN(4,4+'5. Scenarios'!$B$8))/4)*'5. Scenarios'!$B$6/(1+ProductivityDefault*('5. Scenarios'!$B$11-1))+INDEX(BookOneOff,1920)*$D1925)</f>
        <v/>
      </c>
      <c r="I1925" s="56" t="str">
        <f aca="false">IF(INDEX(BookTitle,1920)="","",INDEX(BookTotal,1920)*'5. Scenarios'!$C$6/(1+ProductivityDefault*('5. Scenarios'!$C$11-1)))</f>
        <v/>
      </c>
      <c r="J1925" s="57" t="str">
        <f aca="false">IF($I1925="","",INDEX(BookRate,1920)*(1+'5. Scenarios'!$C$10)*$I1925)</f>
        <v/>
      </c>
      <c r="K1925" s="57" t="str">
        <f aca="false">IF($J1925="","",SUMIFS($J$6:$J$2405,$A$6:$A$2405,"&lt;="&amp;$A1925))</f>
        <v/>
      </c>
      <c r="L1925" s="57" t="str">
        <f aca="false">IF($J1925="","",IF($K1925&lt;=BankCostEnvelope*'5. Scenarios'!$C$7,1,0))</f>
        <v/>
      </c>
      <c r="M1925" s="57" t="str">
        <f aca="false">IF($I1925="","",INDEX(BookRate,1920)*(1+'5. Scenarios'!$C$10)*(INDEX(BookQ1,1920)*(5-MIN(4,1+'5. Scenarios'!$C$8))/4+INDEX(BookQ2,1920)*(5-MIN(4,2+'5. Scenarios'!$C$8))/4+INDEX(BookQ3,1920)*(5-MIN(4,3+'5. Scenarios'!$C$8))/4+INDEX(BookQ4,1920)*(5-MIN(4,4+'5. Scenarios'!$C$8))/4)*'5. Scenarios'!$C$6/(1+ProductivityDefault*('5. Scenarios'!$C$11-1))+INDEX(BookOneOff,1920)*$I1925)</f>
        <v/>
      </c>
      <c r="N1925" s="56" t="str">
        <f aca="false">IF(INDEX(BookTitle,1920)="","",INDEX(BookTotal,1920)*'5. Scenarios'!$D$6/(1+ProductivityDefault*('5. Scenarios'!$D$11-1)))</f>
        <v/>
      </c>
      <c r="O1925" s="57" t="str">
        <f aca="false">IF($N1925="","",INDEX(BookRate,1920)*(1+'5. Scenarios'!$D$10)*$N1925)</f>
        <v/>
      </c>
      <c r="P1925" s="57" t="str">
        <f aca="false">IF($O1925="","",SUMIFS($O$6:$O$2405,$A$6:$A$2405,"&lt;="&amp;$A1925))</f>
        <v/>
      </c>
      <c r="Q1925" s="57" t="str">
        <f aca="false">IF($O1925="","",IF($P1925&lt;=BankCostEnvelope*'5. Scenarios'!$D$7,1,0))</f>
        <v/>
      </c>
      <c r="R1925" s="57" t="str">
        <f aca="false">IF($N1925="","",INDEX(BookRate,1920)*(1+'5. Scenarios'!$D$10)*(INDEX(BookQ1,1920)*(5-MIN(4,1+'5. Scenarios'!$D$8))/4+INDEX(BookQ2,1920)*(5-MIN(4,2+'5. Scenarios'!$D$8))/4+INDEX(BookQ3,1920)*(5-MIN(4,3+'5. Scenarios'!$D$8))/4+INDEX(BookQ4,1920)*(5-MIN(4,4+'5. Scenarios'!$D$8))/4)*'5. Scenarios'!$D$6/(1+ProductivityDefault*('5. Scenarios'!$D$11-1))+INDEX(BookOneOff,1920)*$N1925)</f>
        <v/>
      </c>
      <c r="S1925" s="56" t="str">
        <f aca="false">IF(INDEX(BookTitle,1920)="","",INDEX(BookTotal,1920)*'5. Scenarios'!$E$6/(1+ProductivityDefault*('5. Scenarios'!$E$11-1)))</f>
        <v/>
      </c>
      <c r="T1925" s="57" t="str">
        <f aca="false">IF($S1925="","",INDEX(BookRate,1920)*(1+'5. Scenarios'!$E$10)*$S1925)</f>
        <v/>
      </c>
      <c r="U1925" s="57" t="str">
        <f aca="false">IF($T1925="","",SUMIFS($T$6:$T$2405,$A$6:$A$2405,"&lt;="&amp;$A1925))</f>
        <v/>
      </c>
      <c r="V1925" s="57" t="str">
        <f aca="false">IF($T1925="","",IF($U1925&lt;=BankCostEnvelope*'5. Scenarios'!$E$7,1,0))</f>
        <v/>
      </c>
      <c r="W1925" s="57" t="str">
        <f aca="false">IF($S1925="","",INDEX(BookRate,1920)*(1+'5. Scenarios'!$E$10)*(INDEX(BookQ1,1920)*(5-MIN(4,1+'5. Scenarios'!$E$8))/4+INDEX(BookQ2,1920)*(5-MIN(4,2+'5. Scenarios'!$E$8))/4+INDEX(BookQ3,1920)*(5-MIN(4,3+'5. Scenarios'!$E$8))/4+INDEX(BookQ4,1920)*(5-MIN(4,4+'5. Scenarios'!$E$8))/4)*'5. Scenarios'!$E$6/(1+ProductivityDefault*('5. Scenarios'!$E$11-1))+INDEX(BookOneOff,1920)*$S1925)</f>
        <v/>
      </c>
    </row>
    <row r="1926" customFormat="false" ht="15" hidden="false" customHeight="false" outlineLevel="0" collapsed="false">
      <c r="A1926" s="0" t="str">
        <f aca="false">IF(INDEX(BookTitle,1921)="","",INDEX(BookKey,1921))</f>
        <v/>
      </c>
      <c r="B1926" s="0" t="str">
        <f aca="false">IF(INDEX(BookTitle,1921)="","",INDEX(BookGroup,1921))</f>
        <v/>
      </c>
      <c r="C1926" s="0" t="str">
        <f aca="false">IF(INDEX(BookTitle,1921)="","",INDEX(BookCategory,1921))</f>
        <v/>
      </c>
      <c r="D1926" s="56" t="str">
        <f aca="false">IF(INDEX(BookTitle,1921)="","",INDEX(BookTotal,1921)*'5. Scenarios'!$B$6/(1+ProductivityDefault*('5. Scenarios'!$B$11-1)))</f>
        <v/>
      </c>
      <c r="E1926" s="57" t="str">
        <f aca="false">IF($D1926="","",INDEX(BookRate,1921)*(1+'5. Scenarios'!$B$10)*$D1926)</f>
        <v/>
      </c>
      <c r="F1926" s="57" t="str">
        <f aca="false">IF($E1926="","",SUMIFS($E$6:$E$2405,$A$6:$A$2405,"&lt;="&amp;$A1926))</f>
        <v/>
      </c>
      <c r="G1926" s="57" t="str">
        <f aca="false">IF($E1926="","",IF($F1926&lt;=BankCostEnvelope*'5. Scenarios'!$B$7,1,0))</f>
        <v/>
      </c>
      <c r="H1926" s="57" t="str">
        <f aca="false">IF($D1926="","",INDEX(BookRate,1921)*(1+'5. Scenarios'!$B$10)*(INDEX(BookQ1,1921)*(5-MIN(4,1+'5. Scenarios'!$B$8))/4+INDEX(BookQ2,1921)*(5-MIN(4,2+'5. Scenarios'!$B$8))/4+INDEX(BookQ3,1921)*(5-MIN(4,3+'5. Scenarios'!$B$8))/4+INDEX(BookQ4,1921)*(5-MIN(4,4+'5. Scenarios'!$B$8))/4)*'5. Scenarios'!$B$6/(1+ProductivityDefault*('5. Scenarios'!$B$11-1))+INDEX(BookOneOff,1921)*$D1926)</f>
        <v/>
      </c>
      <c r="I1926" s="56" t="str">
        <f aca="false">IF(INDEX(BookTitle,1921)="","",INDEX(BookTotal,1921)*'5. Scenarios'!$C$6/(1+ProductivityDefault*('5. Scenarios'!$C$11-1)))</f>
        <v/>
      </c>
      <c r="J1926" s="57" t="str">
        <f aca="false">IF($I1926="","",INDEX(BookRate,1921)*(1+'5. Scenarios'!$C$10)*$I1926)</f>
        <v/>
      </c>
      <c r="K1926" s="57" t="str">
        <f aca="false">IF($J1926="","",SUMIFS($J$6:$J$2405,$A$6:$A$2405,"&lt;="&amp;$A1926))</f>
        <v/>
      </c>
      <c r="L1926" s="57" t="str">
        <f aca="false">IF($J1926="","",IF($K1926&lt;=BankCostEnvelope*'5. Scenarios'!$C$7,1,0))</f>
        <v/>
      </c>
      <c r="M1926" s="57" t="str">
        <f aca="false">IF($I1926="","",INDEX(BookRate,1921)*(1+'5. Scenarios'!$C$10)*(INDEX(BookQ1,1921)*(5-MIN(4,1+'5. Scenarios'!$C$8))/4+INDEX(BookQ2,1921)*(5-MIN(4,2+'5. Scenarios'!$C$8))/4+INDEX(BookQ3,1921)*(5-MIN(4,3+'5. Scenarios'!$C$8))/4+INDEX(BookQ4,1921)*(5-MIN(4,4+'5. Scenarios'!$C$8))/4)*'5. Scenarios'!$C$6/(1+ProductivityDefault*('5. Scenarios'!$C$11-1))+INDEX(BookOneOff,1921)*$I1926)</f>
        <v/>
      </c>
      <c r="N1926" s="56" t="str">
        <f aca="false">IF(INDEX(BookTitle,1921)="","",INDEX(BookTotal,1921)*'5. Scenarios'!$D$6/(1+ProductivityDefault*('5. Scenarios'!$D$11-1)))</f>
        <v/>
      </c>
      <c r="O1926" s="57" t="str">
        <f aca="false">IF($N1926="","",INDEX(BookRate,1921)*(1+'5. Scenarios'!$D$10)*$N1926)</f>
        <v/>
      </c>
      <c r="P1926" s="57" t="str">
        <f aca="false">IF($O1926="","",SUMIFS($O$6:$O$2405,$A$6:$A$2405,"&lt;="&amp;$A1926))</f>
        <v/>
      </c>
      <c r="Q1926" s="57" t="str">
        <f aca="false">IF($O1926="","",IF($P1926&lt;=BankCostEnvelope*'5. Scenarios'!$D$7,1,0))</f>
        <v/>
      </c>
      <c r="R1926" s="57" t="str">
        <f aca="false">IF($N1926="","",INDEX(BookRate,1921)*(1+'5. Scenarios'!$D$10)*(INDEX(BookQ1,1921)*(5-MIN(4,1+'5. Scenarios'!$D$8))/4+INDEX(BookQ2,1921)*(5-MIN(4,2+'5. Scenarios'!$D$8))/4+INDEX(BookQ3,1921)*(5-MIN(4,3+'5. Scenarios'!$D$8))/4+INDEX(BookQ4,1921)*(5-MIN(4,4+'5. Scenarios'!$D$8))/4)*'5. Scenarios'!$D$6/(1+ProductivityDefault*('5. Scenarios'!$D$11-1))+INDEX(BookOneOff,1921)*$N1926)</f>
        <v/>
      </c>
      <c r="S1926" s="56" t="str">
        <f aca="false">IF(INDEX(BookTitle,1921)="","",INDEX(BookTotal,1921)*'5. Scenarios'!$E$6/(1+ProductivityDefault*('5. Scenarios'!$E$11-1)))</f>
        <v/>
      </c>
      <c r="T1926" s="57" t="str">
        <f aca="false">IF($S1926="","",INDEX(BookRate,1921)*(1+'5. Scenarios'!$E$10)*$S1926)</f>
        <v/>
      </c>
      <c r="U1926" s="57" t="str">
        <f aca="false">IF($T1926="","",SUMIFS($T$6:$T$2405,$A$6:$A$2405,"&lt;="&amp;$A1926))</f>
        <v/>
      </c>
      <c r="V1926" s="57" t="str">
        <f aca="false">IF($T1926="","",IF($U1926&lt;=BankCostEnvelope*'5. Scenarios'!$E$7,1,0))</f>
        <v/>
      </c>
      <c r="W1926" s="57" t="str">
        <f aca="false">IF($S1926="","",INDEX(BookRate,1921)*(1+'5. Scenarios'!$E$10)*(INDEX(BookQ1,1921)*(5-MIN(4,1+'5. Scenarios'!$E$8))/4+INDEX(BookQ2,1921)*(5-MIN(4,2+'5. Scenarios'!$E$8))/4+INDEX(BookQ3,1921)*(5-MIN(4,3+'5. Scenarios'!$E$8))/4+INDEX(BookQ4,1921)*(5-MIN(4,4+'5. Scenarios'!$E$8))/4)*'5. Scenarios'!$E$6/(1+ProductivityDefault*('5. Scenarios'!$E$11-1))+INDEX(BookOneOff,1921)*$S1926)</f>
        <v/>
      </c>
    </row>
    <row r="1927" customFormat="false" ht="15" hidden="false" customHeight="false" outlineLevel="0" collapsed="false">
      <c r="A1927" s="0" t="str">
        <f aca="false">IF(INDEX(BookTitle,1922)="","",INDEX(BookKey,1922))</f>
        <v/>
      </c>
      <c r="B1927" s="0" t="str">
        <f aca="false">IF(INDEX(BookTitle,1922)="","",INDEX(BookGroup,1922))</f>
        <v/>
      </c>
      <c r="C1927" s="0" t="str">
        <f aca="false">IF(INDEX(BookTitle,1922)="","",INDEX(BookCategory,1922))</f>
        <v/>
      </c>
      <c r="D1927" s="56" t="str">
        <f aca="false">IF(INDEX(BookTitle,1922)="","",INDEX(BookTotal,1922)*'5. Scenarios'!$B$6/(1+ProductivityDefault*('5. Scenarios'!$B$11-1)))</f>
        <v/>
      </c>
      <c r="E1927" s="57" t="str">
        <f aca="false">IF($D1927="","",INDEX(BookRate,1922)*(1+'5. Scenarios'!$B$10)*$D1927)</f>
        <v/>
      </c>
      <c r="F1927" s="57" t="str">
        <f aca="false">IF($E1927="","",SUMIFS($E$6:$E$2405,$A$6:$A$2405,"&lt;="&amp;$A1927))</f>
        <v/>
      </c>
      <c r="G1927" s="57" t="str">
        <f aca="false">IF($E1927="","",IF($F1927&lt;=BankCostEnvelope*'5. Scenarios'!$B$7,1,0))</f>
        <v/>
      </c>
      <c r="H1927" s="57" t="str">
        <f aca="false">IF($D1927="","",INDEX(BookRate,1922)*(1+'5. Scenarios'!$B$10)*(INDEX(BookQ1,1922)*(5-MIN(4,1+'5. Scenarios'!$B$8))/4+INDEX(BookQ2,1922)*(5-MIN(4,2+'5. Scenarios'!$B$8))/4+INDEX(BookQ3,1922)*(5-MIN(4,3+'5. Scenarios'!$B$8))/4+INDEX(BookQ4,1922)*(5-MIN(4,4+'5. Scenarios'!$B$8))/4)*'5. Scenarios'!$B$6/(1+ProductivityDefault*('5. Scenarios'!$B$11-1))+INDEX(BookOneOff,1922)*$D1927)</f>
        <v/>
      </c>
      <c r="I1927" s="56" t="str">
        <f aca="false">IF(INDEX(BookTitle,1922)="","",INDEX(BookTotal,1922)*'5. Scenarios'!$C$6/(1+ProductivityDefault*('5. Scenarios'!$C$11-1)))</f>
        <v/>
      </c>
      <c r="J1927" s="57" t="str">
        <f aca="false">IF($I1927="","",INDEX(BookRate,1922)*(1+'5. Scenarios'!$C$10)*$I1927)</f>
        <v/>
      </c>
      <c r="K1927" s="57" t="str">
        <f aca="false">IF($J1927="","",SUMIFS($J$6:$J$2405,$A$6:$A$2405,"&lt;="&amp;$A1927))</f>
        <v/>
      </c>
      <c r="L1927" s="57" t="str">
        <f aca="false">IF($J1927="","",IF($K1927&lt;=BankCostEnvelope*'5. Scenarios'!$C$7,1,0))</f>
        <v/>
      </c>
      <c r="M1927" s="57" t="str">
        <f aca="false">IF($I1927="","",INDEX(BookRate,1922)*(1+'5. Scenarios'!$C$10)*(INDEX(BookQ1,1922)*(5-MIN(4,1+'5. Scenarios'!$C$8))/4+INDEX(BookQ2,1922)*(5-MIN(4,2+'5. Scenarios'!$C$8))/4+INDEX(BookQ3,1922)*(5-MIN(4,3+'5. Scenarios'!$C$8))/4+INDEX(BookQ4,1922)*(5-MIN(4,4+'5. Scenarios'!$C$8))/4)*'5. Scenarios'!$C$6/(1+ProductivityDefault*('5. Scenarios'!$C$11-1))+INDEX(BookOneOff,1922)*$I1927)</f>
        <v/>
      </c>
      <c r="N1927" s="56" t="str">
        <f aca="false">IF(INDEX(BookTitle,1922)="","",INDEX(BookTotal,1922)*'5. Scenarios'!$D$6/(1+ProductivityDefault*('5. Scenarios'!$D$11-1)))</f>
        <v/>
      </c>
      <c r="O1927" s="57" t="str">
        <f aca="false">IF($N1927="","",INDEX(BookRate,1922)*(1+'5. Scenarios'!$D$10)*$N1927)</f>
        <v/>
      </c>
      <c r="P1927" s="57" t="str">
        <f aca="false">IF($O1927="","",SUMIFS($O$6:$O$2405,$A$6:$A$2405,"&lt;="&amp;$A1927))</f>
        <v/>
      </c>
      <c r="Q1927" s="57" t="str">
        <f aca="false">IF($O1927="","",IF($P1927&lt;=BankCostEnvelope*'5. Scenarios'!$D$7,1,0))</f>
        <v/>
      </c>
      <c r="R1927" s="57" t="str">
        <f aca="false">IF($N1927="","",INDEX(BookRate,1922)*(1+'5. Scenarios'!$D$10)*(INDEX(BookQ1,1922)*(5-MIN(4,1+'5. Scenarios'!$D$8))/4+INDEX(BookQ2,1922)*(5-MIN(4,2+'5. Scenarios'!$D$8))/4+INDEX(BookQ3,1922)*(5-MIN(4,3+'5. Scenarios'!$D$8))/4+INDEX(BookQ4,1922)*(5-MIN(4,4+'5. Scenarios'!$D$8))/4)*'5. Scenarios'!$D$6/(1+ProductivityDefault*('5. Scenarios'!$D$11-1))+INDEX(BookOneOff,1922)*$N1927)</f>
        <v/>
      </c>
      <c r="S1927" s="56" t="str">
        <f aca="false">IF(INDEX(BookTitle,1922)="","",INDEX(BookTotal,1922)*'5. Scenarios'!$E$6/(1+ProductivityDefault*('5. Scenarios'!$E$11-1)))</f>
        <v/>
      </c>
      <c r="T1927" s="57" t="str">
        <f aca="false">IF($S1927="","",INDEX(BookRate,1922)*(1+'5. Scenarios'!$E$10)*$S1927)</f>
        <v/>
      </c>
      <c r="U1927" s="57" t="str">
        <f aca="false">IF($T1927="","",SUMIFS($T$6:$T$2405,$A$6:$A$2405,"&lt;="&amp;$A1927))</f>
        <v/>
      </c>
      <c r="V1927" s="57" t="str">
        <f aca="false">IF($T1927="","",IF($U1927&lt;=BankCostEnvelope*'5. Scenarios'!$E$7,1,0))</f>
        <v/>
      </c>
      <c r="W1927" s="57" t="str">
        <f aca="false">IF($S1927="","",INDEX(BookRate,1922)*(1+'5. Scenarios'!$E$10)*(INDEX(BookQ1,1922)*(5-MIN(4,1+'5. Scenarios'!$E$8))/4+INDEX(BookQ2,1922)*(5-MIN(4,2+'5. Scenarios'!$E$8))/4+INDEX(BookQ3,1922)*(5-MIN(4,3+'5. Scenarios'!$E$8))/4+INDEX(BookQ4,1922)*(5-MIN(4,4+'5. Scenarios'!$E$8))/4)*'5. Scenarios'!$E$6/(1+ProductivityDefault*('5. Scenarios'!$E$11-1))+INDEX(BookOneOff,1922)*$S1927)</f>
        <v/>
      </c>
    </row>
    <row r="1928" customFormat="false" ht="15" hidden="false" customHeight="false" outlineLevel="0" collapsed="false">
      <c r="A1928" s="0" t="str">
        <f aca="false">IF(INDEX(BookTitle,1923)="","",INDEX(BookKey,1923))</f>
        <v/>
      </c>
      <c r="B1928" s="0" t="str">
        <f aca="false">IF(INDEX(BookTitle,1923)="","",INDEX(BookGroup,1923))</f>
        <v/>
      </c>
      <c r="C1928" s="0" t="str">
        <f aca="false">IF(INDEX(BookTitle,1923)="","",INDEX(BookCategory,1923))</f>
        <v/>
      </c>
      <c r="D1928" s="56" t="str">
        <f aca="false">IF(INDEX(BookTitle,1923)="","",INDEX(BookTotal,1923)*'5. Scenarios'!$B$6/(1+ProductivityDefault*('5. Scenarios'!$B$11-1)))</f>
        <v/>
      </c>
      <c r="E1928" s="57" t="str">
        <f aca="false">IF($D1928="","",INDEX(BookRate,1923)*(1+'5. Scenarios'!$B$10)*$D1928)</f>
        <v/>
      </c>
      <c r="F1928" s="57" t="str">
        <f aca="false">IF($E1928="","",SUMIFS($E$6:$E$2405,$A$6:$A$2405,"&lt;="&amp;$A1928))</f>
        <v/>
      </c>
      <c r="G1928" s="57" t="str">
        <f aca="false">IF($E1928="","",IF($F1928&lt;=BankCostEnvelope*'5. Scenarios'!$B$7,1,0))</f>
        <v/>
      </c>
      <c r="H1928" s="57" t="str">
        <f aca="false">IF($D1928="","",INDEX(BookRate,1923)*(1+'5. Scenarios'!$B$10)*(INDEX(BookQ1,1923)*(5-MIN(4,1+'5. Scenarios'!$B$8))/4+INDEX(BookQ2,1923)*(5-MIN(4,2+'5. Scenarios'!$B$8))/4+INDEX(BookQ3,1923)*(5-MIN(4,3+'5. Scenarios'!$B$8))/4+INDEX(BookQ4,1923)*(5-MIN(4,4+'5. Scenarios'!$B$8))/4)*'5. Scenarios'!$B$6/(1+ProductivityDefault*('5. Scenarios'!$B$11-1))+INDEX(BookOneOff,1923)*$D1928)</f>
        <v/>
      </c>
      <c r="I1928" s="56" t="str">
        <f aca="false">IF(INDEX(BookTitle,1923)="","",INDEX(BookTotal,1923)*'5. Scenarios'!$C$6/(1+ProductivityDefault*('5. Scenarios'!$C$11-1)))</f>
        <v/>
      </c>
      <c r="J1928" s="57" t="str">
        <f aca="false">IF($I1928="","",INDEX(BookRate,1923)*(1+'5. Scenarios'!$C$10)*$I1928)</f>
        <v/>
      </c>
      <c r="K1928" s="57" t="str">
        <f aca="false">IF($J1928="","",SUMIFS($J$6:$J$2405,$A$6:$A$2405,"&lt;="&amp;$A1928))</f>
        <v/>
      </c>
      <c r="L1928" s="57" t="str">
        <f aca="false">IF($J1928="","",IF($K1928&lt;=BankCostEnvelope*'5. Scenarios'!$C$7,1,0))</f>
        <v/>
      </c>
      <c r="M1928" s="57" t="str">
        <f aca="false">IF($I1928="","",INDEX(BookRate,1923)*(1+'5. Scenarios'!$C$10)*(INDEX(BookQ1,1923)*(5-MIN(4,1+'5. Scenarios'!$C$8))/4+INDEX(BookQ2,1923)*(5-MIN(4,2+'5. Scenarios'!$C$8))/4+INDEX(BookQ3,1923)*(5-MIN(4,3+'5. Scenarios'!$C$8))/4+INDEX(BookQ4,1923)*(5-MIN(4,4+'5. Scenarios'!$C$8))/4)*'5. Scenarios'!$C$6/(1+ProductivityDefault*('5. Scenarios'!$C$11-1))+INDEX(BookOneOff,1923)*$I1928)</f>
        <v/>
      </c>
      <c r="N1928" s="56" t="str">
        <f aca="false">IF(INDEX(BookTitle,1923)="","",INDEX(BookTotal,1923)*'5. Scenarios'!$D$6/(1+ProductivityDefault*('5. Scenarios'!$D$11-1)))</f>
        <v/>
      </c>
      <c r="O1928" s="57" t="str">
        <f aca="false">IF($N1928="","",INDEX(BookRate,1923)*(1+'5. Scenarios'!$D$10)*$N1928)</f>
        <v/>
      </c>
      <c r="P1928" s="57" t="str">
        <f aca="false">IF($O1928="","",SUMIFS($O$6:$O$2405,$A$6:$A$2405,"&lt;="&amp;$A1928))</f>
        <v/>
      </c>
      <c r="Q1928" s="57" t="str">
        <f aca="false">IF($O1928="","",IF($P1928&lt;=BankCostEnvelope*'5. Scenarios'!$D$7,1,0))</f>
        <v/>
      </c>
      <c r="R1928" s="57" t="str">
        <f aca="false">IF($N1928="","",INDEX(BookRate,1923)*(1+'5. Scenarios'!$D$10)*(INDEX(BookQ1,1923)*(5-MIN(4,1+'5. Scenarios'!$D$8))/4+INDEX(BookQ2,1923)*(5-MIN(4,2+'5. Scenarios'!$D$8))/4+INDEX(BookQ3,1923)*(5-MIN(4,3+'5. Scenarios'!$D$8))/4+INDEX(BookQ4,1923)*(5-MIN(4,4+'5. Scenarios'!$D$8))/4)*'5. Scenarios'!$D$6/(1+ProductivityDefault*('5. Scenarios'!$D$11-1))+INDEX(BookOneOff,1923)*$N1928)</f>
        <v/>
      </c>
      <c r="S1928" s="56" t="str">
        <f aca="false">IF(INDEX(BookTitle,1923)="","",INDEX(BookTotal,1923)*'5. Scenarios'!$E$6/(1+ProductivityDefault*('5. Scenarios'!$E$11-1)))</f>
        <v/>
      </c>
      <c r="T1928" s="57" t="str">
        <f aca="false">IF($S1928="","",INDEX(BookRate,1923)*(1+'5. Scenarios'!$E$10)*$S1928)</f>
        <v/>
      </c>
      <c r="U1928" s="57" t="str">
        <f aca="false">IF($T1928="","",SUMIFS($T$6:$T$2405,$A$6:$A$2405,"&lt;="&amp;$A1928))</f>
        <v/>
      </c>
      <c r="V1928" s="57" t="str">
        <f aca="false">IF($T1928="","",IF($U1928&lt;=BankCostEnvelope*'5. Scenarios'!$E$7,1,0))</f>
        <v/>
      </c>
      <c r="W1928" s="57" t="str">
        <f aca="false">IF($S1928="","",INDEX(BookRate,1923)*(1+'5. Scenarios'!$E$10)*(INDEX(BookQ1,1923)*(5-MIN(4,1+'5. Scenarios'!$E$8))/4+INDEX(BookQ2,1923)*(5-MIN(4,2+'5. Scenarios'!$E$8))/4+INDEX(BookQ3,1923)*(5-MIN(4,3+'5. Scenarios'!$E$8))/4+INDEX(BookQ4,1923)*(5-MIN(4,4+'5. Scenarios'!$E$8))/4)*'5. Scenarios'!$E$6/(1+ProductivityDefault*('5. Scenarios'!$E$11-1))+INDEX(BookOneOff,1923)*$S1928)</f>
        <v/>
      </c>
    </row>
    <row r="1929" customFormat="false" ht="15" hidden="false" customHeight="false" outlineLevel="0" collapsed="false">
      <c r="A1929" s="0" t="str">
        <f aca="false">IF(INDEX(BookTitle,1924)="","",INDEX(BookKey,1924))</f>
        <v/>
      </c>
      <c r="B1929" s="0" t="str">
        <f aca="false">IF(INDEX(BookTitle,1924)="","",INDEX(BookGroup,1924))</f>
        <v/>
      </c>
      <c r="C1929" s="0" t="str">
        <f aca="false">IF(INDEX(BookTitle,1924)="","",INDEX(BookCategory,1924))</f>
        <v/>
      </c>
      <c r="D1929" s="56" t="str">
        <f aca="false">IF(INDEX(BookTitle,1924)="","",INDEX(BookTotal,1924)*'5. Scenarios'!$B$6/(1+ProductivityDefault*('5. Scenarios'!$B$11-1)))</f>
        <v/>
      </c>
      <c r="E1929" s="57" t="str">
        <f aca="false">IF($D1929="","",INDEX(BookRate,1924)*(1+'5. Scenarios'!$B$10)*$D1929)</f>
        <v/>
      </c>
      <c r="F1929" s="57" t="str">
        <f aca="false">IF($E1929="","",SUMIFS($E$6:$E$2405,$A$6:$A$2405,"&lt;="&amp;$A1929))</f>
        <v/>
      </c>
      <c r="G1929" s="57" t="str">
        <f aca="false">IF($E1929="","",IF($F1929&lt;=BankCostEnvelope*'5. Scenarios'!$B$7,1,0))</f>
        <v/>
      </c>
      <c r="H1929" s="57" t="str">
        <f aca="false">IF($D1929="","",INDEX(BookRate,1924)*(1+'5. Scenarios'!$B$10)*(INDEX(BookQ1,1924)*(5-MIN(4,1+'5. Scenarios'!$B$8))/4+INDEX(BookQ2,1924)*(5-MIN(4,2+'5. Scenarios'!$B$8))/4+INDEX(BookQ3,1924)*(5-MIN(4,3+'5. Scenarios'!$B$8))/4+INDEX(BookQ4,1924)*(5-MIN(4,4+'5. Scenarios'!$B$8))/4)*'5. Scenarios'!$B$6/(1+ProductivityDefault*('5. Scenarios'!$B$11-1))+INDEX(BookOneOff,1924)*$D1929)</f>
        <v/>
      </c>
      <c r="I1929" s="56" t="str">
        <f aca="false">IF(INDEX(BookTitle,1924)="","",INDEX(BookTotal,1924)*'5. Scenarios'!$C$6/(1+ProductivityDefault*('5. Scenarios'!$C$11-1)))</f>
        <v/>
      </c>
      <c r="J1929" s="57" t="str">
        <f aca="false">IF($I1929="","",INDEX(BookRate,1924)*(1+'5. Scenarios'!$C$10)*$I1929)</f>
        <v/>
      </c>
      <c r="K1929" s="57" t="str">
        <f aca="false">IF($J1929="","",SUMIFS($J$6:$J$2405,$A$6:$A$2405,"&lt;="&amp;$A1929))</f>
        <v/>
      </c>
      <c r="L1929" s="57" t="str">
        <f aca="false">IF($J1929="","",IF($K1929&lt;=BankCostEnvelope*'5. Scenarios'!$C$7,1,0))</f>
        <v/>
      </c>
      <c r="M1929" s="57" t="str">
        <f aca="false">IF($I1929="","",INDEX(BookRate,1924)*(1+'5. Scenarios'!$C$10)*(INDEX(BookQ1,1924)*(5-MIN(4,1+'5. Scenarios'!$C$8))/4+INDEX(BookQ2,1924)*(5-MIN(4,2+'5. Scenarios'!$C$8))/4+INDEX(BookQ3,1924)*(5-MIN(4,3+'5. Scenarios'!$C$8))/4+INDEX(BookQ4,1924)*(5-MIN(4,4+'5. Scenarios'!$C$8))/4)*'5. Scenarios'!$C$6/(1+ProductivityDefault*('5. Scenarios'!$C$11-1))+INDEX(BookOneOff,1924)*$I1929)</f>
        <v/>
      </c>
      <c r="N1929" s="56" t="str">
        <f aca="false">IF(INDEX(BookTitle,1924)="","",INDEX(BookTotal,1924)*'5. Scenarios'!$D$6/(1+ProductivityDefault*('5. Scenarios'!$D$11-1)))</f>
        <v/>
      </c>
      <c r="O1929" s="57" t="str">
        <f aca="false">IF($N1929="","",INDEX(BookRate,1924)*(1+'5. Scenarios'!$D$10)*$N1929)</f>
        <v/>
      </c>
      <c r="P1929" s="57" t="str">
        <f aca="false">IF($O1929="","",SUMIFS($O$6:$O$2405,$A$6:$A$2405,"&lt;="&amp;$A1929))</f>
        <v/>
      </c>
      <c r="Q1929" s="57" t="str">
        <f aca="false">IF($O1929="","",IF($P1929&lt;=BankCostEnvelope*'5. Scenarios'!$D$7,1,0))</f>
        <v/>
      </c>
      <c r="R1929" s="57" t="str">
        <f aca="false">IF($N1929="","",INDEX(BookRate,1924)*(1+'5. Scenarios'!$D$10)*(INDEX(BookQ1,1924)*(5-MIN(4,1+'5. Scenarios'!$D$8))/4+INDEX(BookQ2,1924)*(5-MIN(4,2+'5. Scenarios'!$D$8))/4+INDEX(BookQ3,1924)*(5-MIN(4,3+'5. Scenarios'!$D$8))/4+INDEX(BookQ4,1924)*(5-MIN(4,4+'5. Scenarios'!$D$8))/4)*'5. Scenarios'!$D$6/(1+ProductivityDefault*('5. Scenarios'!$D$11-1))+INDEX(BookOneOff,1924)*$N1929)</f>
        <v/>
      </c>
      <c r="S1929" s="56" t="str">
        <f aca="false">IF(INDEX(BookTitle,1924)="","",INDEX(BookTotal,1924)*'5. Scenarios'!$E$6/(1+ProductivityDefault*('5. Scenarios'!$E$11-1)))</f>
        <v/>
      </c>
      <c r="T1929" s="57" t="str">
        <f aca="false">IF($S1929="","",INDEX(BookRate,1924)*(1+'5. Scenarios'!$E$10)*$S1929)</f>
        <v/>
      </c>
      <c r="U1929" s="57" t="str">
        <f aca="false">IF($T1929="","",SUMIFS($T$6:$T$2405,$A$6:$A$2405,"&lt;="&amp;$A1929))</f>
        <v/>
      </c>
      <c r="V1929" s="57" t="str">
        <f aca="false">IF($T1929="","",IF($U1929&lt;=BankCostEnvelope*'5. Scenarios'!$E$7,1,0))</f>
        <v/>
      </c>
      <c r="W1929" s="57" t="str">
        <f aca="false">IF($S1929="","",INDEX(BookRate,1924)*(1+'5. Scenarios'!$E$10)*(INDEX(BookQ1,1924)*(5-MIN(4,1+'5. Scenarios'!$E$8))/4+INDEX(BookQ2,1924)*(5-MIN(4,2+'5. Scenarios'!$E$8))/4+INDEX(BookQ3,1924)*(5-MIN(4,3+'5. Scenarios'!$E$8))/4+INDEX(BookQ4,1924)*(5-MIN(4,4+'5. Scenarios'!$E$8))/4)*'5. Scenarios'!$E$6/(1+ProductivityDefault*('5. Scenarios'!$E$11-1))+INDEX(BookOneOff,1924)*$S1929)</f>
        <v/>
      </c>
    </row>
    <row r="1930" customFormat="false" ht="15" hidden="false" customHeight="false" outlineLevel="0" collapsed="false">
      <c r="A1930" s="0" t="str">
        <f aca="false">IF(INDEX(BookTitle,1925)="","",INDEX(BookKey,1925))</f>
        <v/>
      </c>
      <c r="B1930" s="0" t="str">
        <f aca="false">IF(INDEX(BookTitle,1925)="","",INDEX(BookGroup,1925))</f>
        <v/>
      </c>
      <c r="C1930" s="0" t="str">
        <f aca="false">IF(INDEX(BookTitle,1925)="","",INDEX(BookCategory,1925))</f>
        <v/>
      </c>
      <c r="D1930" s="56" t="str">
        <f aca="false">IF(INDEX(BookTitle,1925)="","",INDEX(BookTotal,1925)*'5. Scenarios'!$B$6/(1+ProductivityDefault*('5. Scenarios'!$B$11-1)))</f>
        <v/>
      </c>
      <c r="E1930" s="57" t="str">
        <f aca="false">IF($D1930="","",INDEX(BookRate,1925)*(1+'5. Scenarios'!$B$10)*$D1930)</f>
        <v/>
      </c>
      <c r="F1930" s="57" t="str">
        <f aca="false">IF($E1930="","",SUMIFS($E$6:$E$2405,$A$6:$A$2405,"&lt;="&amp;$A1930))</f>
        <v/>
      </c>
      <c r="G1930" s="57" t="str">
        <f aca="false">IF($E1930="","",IF($F1930&lt;=BankCostEnvelope*'5. Scenarios'!$B$7,1,0))</f>
        <v/>
      </c>
      <c r="H1930" s="57" t="str">
        <f aca="false">IF($D1930="","",INDEX(BookRate,1925)*(1+'5. Scenarios'!$B$10)*(INDEX(BookQ1,1925)*(5-MIN(4,1+'5. Scenarios'!$B$8))/4+INDEX(BookQ2,1925)*(5-MIN(4,2+'5. Scenarios'!$B$8))/4+INDEX(BookQ3,1925)*(5-MIN(4,3+'5. Scenarios'!$B$8))/4+INDEX(BookQ4,1925)*(5-MIN(4,4+'5. Scenarios'!$B$8))/4)*'5. Scenarios'!$B$6/(1+ProductivityDefault*('5. Scenarios'!$B$11-1))+INDEX(BookOneOff,1925)*$D1930)</f>
        <v/>
      </c>
      <c r="I1930" s="56" t="str">
        <f aca="false">IF(INDEX(BookTitle,1925)="","",INDEX(BookTotal,1925)*'5. Scenarios'!$C$6/(1+ProductivityDefault*('5. Scenarios'!$C$11-1)))</f>
        <v/>
      </c>
      <c r="J1930" s="57" t="str">
        <f aca="false">IF($I1930="","",INDEX(BookRate,1925)*(1+'5. Scenarios'!$C$10)*$I1930)</f>
        <v/>
      </c>
      <c r="K1930" s="57" t="str">
        <f aca="false">IF($J1930="","",SUMIFS($J$6:$J$2405,$A$6:$A$2405,"&lt;="&amp;$A1930))</f>
        <v/>
      </c>
      <c r="L1930" s="57" t="str">
        <f aca="false">IF($J1930="","",IF($K1930&lt;=BankCostEnvelope*'5. Scenarios'!$C$7,1,0))</f>
        <v/>
      </c>
      <c r="M1930" s="57" t="str">
        <f aca="false">IF($I1930="","",INDEX(BookRate,1925)*(1+'5. Scenarios'!$C$10)*(INDEX(BookQ1,1925)*(5-MIN(4,1+'5. Scenarios'!$C$8))/4+INDEX(BookQ2,1925)*(5-MIN(4,2+'5. Scenarios'!$C$8))/4+INDEX(BookQ3,1925)*(5-MIN(4,3+'5. Scenarios'!$C$8))/4+INDEX(BookQ4,1925)*(5-MIN(4,4+'5. Scenarios'!$C$8))/4)*'5. Scenarios'!$C$6/(1+ProductivityDefault*('5. Scenarios'!$C$11-1))+INDEX(BookOneOff,1925)*$I1930)</f>
        <v/>
      </c>
      <c r="N1930" s="56" t="str">
        <f aca="false">IF(INDEX(BookTitle,1925)="","",INDEX(BookTotal,1925)*'5. Scenarios'!$D$6/(1+ProductivityDefault*('5. Scenarios'!$D$11-1)))</f>
        <v/>
      </c>
      <c r="O1930" s="57" t="str">
        <f aca="false">IF($N1930="","",INDEX(BookRate,1925)*(1+'5. Scenarios'!$D$10)*$N1930)</f>
        <v/>
      </c>
      <c r="P1930" s="57" t="str">
        <f aca="false">IF($O1930="","",SUMIFS($O$6:$O$2405,$A$6:$A$2405,"&lt;="&amp;$A1930))</f>
        <v/>
      </c>
      <c r="Q1930" s="57" t="str">
        <f aca="false">IF($O1930="","",IF($P1930&lt;=BankCostEnvelope*'5. Scenarios'!$D$7,1,0))</f>
        <v/>
      </c>
      <c r="R1930" s="57" t="str">
        <f aca="false">IF($N1930="","",INDEX(BookRate,1925)*(1+'5. Scenarios'!$D$10)*(INDEX(BookQ1,1925)*(5-MIN(4,1+'5. Scenarios'!$D$8))/4+INDEX(BookQ2,1925)*(5-MIN(4,2+'5. Scenarios'!$D$8))/4+INDEX(BookQ3,1925)*(5-MIN(4,3+'5. Scenarios'!$D$8))/4+INDEX(BookQ4,1925)*(5-MIN(4,4+'5. Scenarios'!$D$8))/4)*'5. Scenarios'!$D$6/(1+ProductivityDefault*('5. Scenarios'!$D$11-1))+INDEX(BookOneOff,1925)*$N1930)</f>
        <v/>
      </c>
      <c r="S1930" s="56" t="str">
        <f aca="false">IF(INDEX(BookTitle,1925)="","",INDEX(BookTotal,1925)*'5. Scenarios'!$E$6/(1+ProductivityDefault*('5. Scenarios'!$E$11-1)))</f>
        <v/>
      </c>
      <c r="T1930" s="57" t="str">
        <f aca="false">IF($S1930="","",INDEX(BookRate,1925)*(1+'5. Scenarios'!$E$10)*$S1930)</f>
        <v/>
      </c>
      <c r="U1930" s="57" t="str">
        <f aca="false">IF($T1930="","",SUMIFS($T$6:$T$2405,$A$6:$A$2405,"&lt;="&amp;$A1930))</f>
        <v/>
      </c>
      <c r="V1930" s="57" t="str">
        <f aca="false">IF($T1930="","",IF($U1930&lt;=BankCostEnvelope*'5. Scenarios'!$E$7,1,0))</f>
        <v/>
      </c>
      <c r="W1930" s="57" t="str">
        <f aca="false">IF($S1930="","",INDEX(BookRate,1925)*(1+'5. Scenarios'!$E$10)*(INDEX(BookQ1,1925)*(5-MIN(4,1+'5. Scenarios'!$E$8))/4+INDEX(BookQ2,1925)*(5-MIN(4,2+'5. Scenarios'!$E$8))/4+INDEX(BookQ3,1925)*(5-MIN(4,3+'5. Scenarios'!$E$8))/4+INDEX(BookQ4,1925)*(5-MIN(4,4+'5. Scenarios'!$E$8))/4)*'5. Scenarios'!$E$6/(1+ProductivityDefault*('5. Scenarios'!$E$11-1))+INDEX(BookOneOff,1925)*$S1930)</f>
        <v/>
      </c>
    </row>
    <row r="1931" customFormat="false" ht="15" hidden="false" customHeight="false" outlineLevel="0" collapsed="false">
      <c r="A1931" s="0" t="str">
        <f aca="false">IF(INDEX(BookTitle,1926)="","",INDEX(BookKey,1926))</f>
        <v/>
      </c>
      <c r="B1931" s="0" t="str">
        <f aca="false">IF(INDEX(BookTitle,1926)="","",INDEX(BookGroup,1926))</f>
        <v/>
      </c>
      <c r="C1931" s="0" t="str">
        <f aca="false">IF(INDEX(BookTitle,1926)="","",INDEX(BookCategory,1926))</f>
        <v/>
      </c>
      <c r="D1931" s="56" t="str">
        <f aca="false">IF(INDEX(BookTitle,1926)="","",INDEX(BookTotal,1926)*'5. Scenarios'!$B$6/(1+ProductivityDefault*('5. Scenarios'!$B$11-1)))</f>
        <v/>
      </c>
      <c r="E1931" s="57" t="str">
        <f aca="false">IF($D1931="","",INDEX(BookRate,1926)*(1+'5. Scenarios'!$B$10)*$D1931)</f>
        <v/>
      </c>
      <c r="F1931" s="57" t="str">
        <f aca="false">IF($E1931="","",SUMIFS($E$6:$E$2405,$A$6:$A$2405,"&lt;="&amp;$A1931))</f>
        <v/>
      </c>
      <c r="G1931" s="57" t="str">
        <f aca="false">IF($E1931="","",IF($F1931&lt;=BankCostEnvelope*'5. Scenarios'!$B$7,1,0))</f>
        <v/>
      </c>
      <c r="H1931" s="57" t="str">
        <f aca="false">IF($D1931="","",INDEX(BookRate,1926)*(1+'5. Scenarios'!$B$10)*(INDEX(BookQ1,1926)*(5-MIN(4,1+'5. Scenarios'!$B$8))/4+INDEX(BookQ2,1926)*(5-MIN(4,2+'5. Scenarios'!$B$8))/4+INDEX(BookQ3,1926)*(5-MIN(4,3+'5. Scenarios'!$B$8))/4+INDEX(BookQ4,1926)*(5-MIN(4,4+'5. Scenarios'!$B$8))/4)*'5. Scenarios'!$B$6/(1+ProductivityDefault*('5. Scenarios'!$B$11-1))+INDEX(BookOneOff,1926)*$D1931)</f>
        <v/>
      </c>
      <c r="I1931" s="56" t="str">
        <f aca="false">IF(INDEX(BookTitle,1926)="","",INDEX(BookTotal,1926)*'5. Scenarios'!$C$6/(1+ProductivityDefault*('5. Scenarios'!$C$11-1)))</f>
        <v/>
      </c>
      <c r="J1931" s="57" t="str">
        <f aca="false">IF($I1931="","",INDEX(BookRate,1926)*(1+'5. Scenarios'!$C$10)*$I1931)</f>
        <v/>
      </c>
      <c r="K1931" s="57" t="str">
        <f aca="false">IF($J1931="","",SUMIFS($J$6:$J$2405,$A$6:$A$2405,"&lt;="&amp;$A1931))</f>
        <v/>
      </c>
      <c r="L1931" s="57" t="str">
        <f aca="false">IF($J1931="","",IF($K1931&lt;=BankCostEnvelope*'5. Scenarios'!$C$7,1,0))</f>
        <v/>
      </c>
      <c r="M1931" s="57" t="str">
        <f aca="false">IF($I1931="","",INDEX(BookRate,1926)*(1+'5. Scenarios'!$C$10)*(INDEX(BookQ1,1926)*(5-MIN(4,1+'5. Scenarios'!$C$8))/4+INDEX(BookQ2,1926)*(5-MIN(4,2+'5. Scenarios'!$C$8))/4+INDEX(BookQ3,1926)*(5-MIN(4,3+'5. Scenarios'!$C$8))/4+INDEX(BookQ4,1926)*(5-MIN(4,4+'5. Scenarios'!$C$8))/4)*'5. Scenarios'!$C$6/(1+ProductivityDefault*('5. Scenarios'!$C$11-1))+INDEX(BookOneOff,1926)*$I1931)</f>
        <v/>
      </c>
      <c r="N1931" s="56" t="str">
        <f aca="false">IF(INDEX(BookTitle,1926)="","",INDEX(BookTotal,1926)*'5. Scenarios'!$D$6/(1+ProductivityDefault*('5. Scenarios'!$D$11-1)))</f>
        <v/>
      </c>
      <c r="O1931" s="57" t="str">
        <f aca="false">IF($N1931="","",INDEX(BookRate,1926)*(1+'5. Scenarios'!$D$10)*$N1931)</f>
        <v/>
      </c>
      <c r="P1931" s="57" t="str">
        <f aca="false">IF($O1931="","",SUMIFS($O$6:$O$2405,$A$6:$A$2405,"&lt;="&amp;$A1931))</f>
        <v/>
      </c>
      <c r="Q1931" s="57" t="str">
        <f aca="false">IF($O1931="","",IF($P1931&lt;=BankCostEnvelope*'5. Scenarios'!$D$7,1,0))</f>
        <v/>
      </c>
      <c r="R1931" s="57" t="str">
        <f aca="false">IF($N1931="","",INDEX(BookRate,1926)*(1+'5. Scenarios'!$D$10)*(INDEX(BookQ1,1926)*(5-MIN(4,1+'5. Scenarios'!$D$8))/4+INDEX(BookQ2,1926)*(5-MIN(4,2+'5. Scenarios'!$D$8))/4+INDEX(BookQ3,1926)*(5-MIN(4,3+'5. Scenarios'!$D$8))/4+INDEX(BookQ4,1926)*(5-MIN(4,4+'5. Scenarios'!$D$8))/4)*'5. Scenarios'!$D$6/(1+ProductivityDefault*('5. Scenarios'!$D$11-1))+INDEX(BookOneOff,1926)*$N1931)</f>
        <v/>
      </c>
      <c r="S1931" s="56" t="str">
        <f aca="false">IF(INDEX(BookTitle,1926)="","",INDEX(BookTotal,1926)*'5. Scenarios'!$E$6/(1+ProductivityDefault*('5. Scenarios'!$E$11-1)))</f>
        <v/>
      </c>
      <c r="T1931" s="57" t="str">
        <f aca="false">IF($S1931="","",INDEX(BookRate,1926)*(1+'5. Scenarios'!$E$10)*$S1931)</f>
        <v/>
      </c>
      <c r="U1931" s="57" t="str">
        <f aca="false">IF($T1931="","",SUMIFS($T$6:$T$2405,$A$6:$A$2405,"&lt;="&amp;$A1931))</f>
        <v/>
      </c>
      <c r="V1931" s="57" t="str">
        <f aca="false">IF($T1931="","",IF($U1931&lt;=BankCostEnvelope*'5. Scenarios'!$E$7,1,0))</f>
        <v/>
      </c>
      <c r="W1931" s="57" t="str">
        <f aca="false">IF($S1931="","",INDEX(BookRate,1926)*(1+'5. Scenarios'!$E$10)*(INDEX(BookQ1,1926)*(5-MIN(4,1+'5. Scenarios'!$E$8))/4+INDEX(BookQ2,1926)*(5-MIN(4,2+'5. Scenarios'!$E$8))/4+INDEX(BookQ3,1926)*(5-MIN(4,3+'5. Scenarios'!$E$8))/4+INDEX(BookQ4,1926)*(5-MIN(4,4+'5. Scenarios'!$E$8))/4)*'5. Scenarios'!$E$6/(1+ProductivityDefault*('5. Scenarios'!$E$11-1))+INDEX(BookOneOff,1926)*$S1931)</f>
        <v/>
      </c>
    </row>
    <row r="1932" customFormat="false" ht="15" hidden="false" customHeight="false" outlineLevel="0" collapsed="false">
      <c r="A1932" s="0" t="str">
        <f aca="false">IF(INDEX(BookTitle,1927)="","",INDEX(BookKey,1927))</f>
        <v/>
      </c>
      <c r="B1932" s="0" t="str">
        <f aca="false">IF(INDEX(BookTitle,1927)="","",INDEX(BookGroup,1927))</f>
        <v/>
      </c>
      <c r="C1932" s="0" t="str">
        <f aca="false">IF(INDEX(BookTitle,1927)="","",INDEX(BookCategory,1927))</f>
        <v/>
      </c>
      <c r="D1932" s="56" t="str">
        <f aca="false">IF(INDEX(BookTitle,1927)="","",INDEX(BookTotal,1927)*'5. Scenarios'!$B$6/(1+ProductivityDefault*('5. Scenarios'!$B$11-1)))</f>
        <v/>
      </c>
      <c r="E1932" s="57" t="str">
        <f aca="false">IF($D1932="","",INDEX(BookRate,1927)*(1+'5. Scenarios'!$B$10)*$D1932)</f>
        <v/>
      </c>
      <c r="F1932" s="57" t="str">
        <f aca="false">IF($E1932="","",SUMIFS($E$6:$E$2405,$A$6:$A$2405,"&lt;="&amp;$A1932))</f>
        <v/>
      </c>
      <c r="G1932" s="57" t="str">
        <f aca="false">IF($E1932="","",IF($F1932&lt;=BankCostEnvelope*'5. Scenarios'!$B$7,1,0))</f>
        <v/>
      </c>
      <c r="H1932" s="57" t="str">
        <f aca="false">IF($D1932="","",INDEX(BookRate,1927)*(1+'5. Scenarios'!$B$10)*(INDEX(BookQ1,1927)*(5-MIN(4,1+'5. Scenarios'!$B$8))/4+INDEX(BookQ2,1927)*(5-MIN(4,2+'5. Scenarios'!$B$8))/4+INDEX(BookQ3,1927)*(5-MIN(4,3+'5. Scenarios'!$B$8))/4+INDEX(BookQ4,1927)*(5-MIN(4,4+'5. Scenarios'!$B$8))/4)*'5. Scenarios'!$B$6/(1+ProductivityDefault*('5. Scenarios'!$B$11-1))+INDEX(BookOneOff,1927)*$D1932)</f>
        <v/>
      </c>
      <c r="I1932" s="56" t="str">
        <f aca="false">IF(INDEX(BookTitle,1927)="","",INDEX(BookTotal,1927)*'5. Scenarios'!$C$6/(1+ProductivityDefault*('5. Scenarios'!$C$11-1)))</f>
        <v/>
      </c>
      <c r="J1932" s="57" t="str">
        <f aca="false">IF($I1932="","",INDEX(BookRate,1927)*(1+'5. Scenarios'!$C$10)*$I1932)</f>
        <v/>
      </c>
      <c r="K1932" s="57" t="str">
        <f aca="false">IF($J1932="","",SUMIFS($J$6:$J$2405,$A$6:$A$2405,"&lt;="&amp;$A1932))</f>
        <v/>
      </c>
      <c r="L1932" s="57" t="str">
        <f aca="false">IF($J1932="","",IF($K1932&lt;=BankCostEnvelope*'5. Scenarios'!$C$7,1,0))</f>
        <v/>
      </c>
      <c r="M1932" s="57" t="str">
        <f aca="false">IF($I1932="","",INDEX(BookRate,1927)*(1+'5. Scenarios'!$C$10)*(INDEX(BookQ1,1927)*(5-MIN(4,1+'5. Scenarios'!$C$8))/4+INDEX(BookQ2,1927)*(5-MIN(4,2+'5. Scenarios'!$C$8))/4+INDEX(BookQ3,1927)*(5-MIN(4,3+'5. Scenarios'!$C$8))/4+INDEX(BookQ4,1927)*(5-MIN(4,4+'5. Scenarios'!$C$8))/4)*'5. Scenarios'!$C$6/(1+ProductivityDefault*('5. Scenarios'!$C$11-1))+INDEX(BookOneOff,1927)*$I1932)</f>
        <v/>
      </c>
      <c r="N1932" s="56" t="str">
        <f aca="false">IF(INDEX(BookTitle,1927)="","",INDEX(BookTotal,1927)*'5. Scenarios'!$D$6/(1+ProductivityDefault*('5. Scenarios'!$D$11-1)))</f>
        <v/>
      </c>
      <c r="O1932" s="57" t="str">
        <f aca="false">IF($N1932="","",INDEX(BookRate,1927)*(1+'5. Scenarios'!$D$10)*$N1932)</f>
        <v/>
      </c>
      <c r="P1932" s="57" t="str">
        <f aca="false">IF($O1932="","",SUMIFS($O$6:$O$2405,$A$6:$A$2405,"&lt;="&amp;$A1932))</f>
        <v/>
      </c>
      <c r="Q1932" s="57" t="str">
        <f aca="false">IF($O1932="","",IF($P1932&lt;=BankCostEnvelope*'5. Scenarios'!$D$7,1,0))</f>
        <v/>
      </c>
      <c r="R1932" s="57" t="str">
        <f aca="false">IF($N1932="","",INDEX(BookRate,1927)*(1+'5. Scenarios'!$D$10)*(INDEX(BookQ1,1927)*(5-MIN(4,1+'5. Scenarios'!$D$8))/4+INDEX(BookQ2,1927)*(5-MIN(4,2+'5. Scenarios'!$D$8))/4+INDEX(BookQ3,1927)*(5-MIN(4,3+'5. Scenarios'!$D$8))/4+INDEX(BookQ4,1927)*(5-MIN(4,4+'5. Scenarios'!$D$8))/4)*'5. Scenarios'!$D$6/(1+ProductivityDefault*('5. Scenarios'!$D$11-1))+INDEX(BookOneOff,1927)*$N1932)</f>
        <v/>
      </c>
      <c r="S1932" s="56" t="str">
        <f aca="false">IF(INDEX(BookTitle,1927)="","",INDEX(BookTotal,1927)*'5. Scenarios'!$E$6/(1+ProductivityDefault*('5. Scenarios'!$E$11-1)))</f>
        <v/>
      </c>
      <c r="T1932" s="57" t="str">
        <f aca="false">IF($S1932="","",INDEX(BookRate,1927)*(1+'5. Scenarios'!$E$10)*$S1932)</f>
        <v/>
      </c>
      <c r="U1932" s="57" t="str">
        <f aca="false">IF($T1932="","",SUMIFS($T$6:$T$2405,$A$6:$A$2405,"&lt;="&amp;$A1932))</f>
        <v/>
      </c>
      <c r="V1932" s="57" t="str">
        <f aca="false">IF($T1932="","",IF($U1932&lt;=BankCostEnvelope*'5. Scenarios'!$E$7,1,0))</f>
        <v/>
      </c>
      <c r="W1932" s="57" t="str">
        <f aca="false">IF($S1932="","",INDEX(BookRate,1927)*(1+'5. Scenarios'!$E$10)*(INDEX(BookQ1,1927)*(5-MIN(4,1+'5. Scenarios'!$E$8))/4+INDEX(BookQ2,1927)*(5-MIN(4,2+'5. Scenarios'!$E$8))/4+INDEX(BookQ3,1927)*(5-MIN(4,3+'5. Scenarios'!$E$8))/4+INDEX(BookQ4,1927)*(5-MIN(4,4+'5. Scenarios'!$E$8))/4)*'5. Scenarios'!$E$6/(1+ProductivityDefault*('5. Scenarios'!$E$11-1))+INDEX(BookOneOff,1927)*$S1932)</f>
        <v/>
      </c>
    </row>
    <row r="1933" customFormat="false" ht="15" hidden="false" customHeight="false" outlineLevel="0" collapsed="false">
      <c r="A1933" s="0" t="str">
        <f aca="false">IF(INDEX(BookTitle,1928)="","",INDEX(BookKey,1928))</f>
        <v/>
      </c>
      <c r="B1933" s="0" t="str">
        <f aca="false">IF(INDEX(BookTitle,1928)="","",INDEX(BookGroup,1928))</f>
        <v/>
      </c>
      <c r="C1933" s="0" t="str">
        <f aca="false">IF(INDEX(BookTitle,1928)="","",INDEX(BookCategory,1928))</f>
        <v/>
      </c>
      <c r="D1933" s="56" t="str">
        <f aca="false">IF(INDEX(BookTitle,1928)="","",INDEX(BookTotal,1928)*'5. Scenarios'!$B$6/(1+ProductivityDefault*('5. Scenarios'!$B$11-1)))</f>
        <v/>
      </c>
      <c r="E1933" s="57" t="str">
        <f aca="false">IF($D1933="","",INDEX(BookRate,1928)*(1+'5. Scenarios'!$B$10)*$D1933)</f>
        <v/>
      </c>
      <c r="F1933" s="57" t="str">
        <f aca="false">IF($E1933="","",SUMIFS($E$6:$E$2405,$A$6:$A$2405,"&lt;="&amp;$A1933))</f>
        <v/>
      </c>
      <c r="G1933" s="57" t="str">
        <f aca="false">IF($E1933="","",IF($F1933&lt;=BankCostEnvelope*'5. Scenarios'!$B$7,1,0))</f>
        <v/>
      </c>
      <c r="H1933" s="57" t="str">
        <f aca="false">IF($D1933="","",INDEX(BookRate,1928)*(1+'5. Scenarios'!$B$10)*(INDEX(BookQ1,1928)*(5-MIN(4,1+'5. Scenarios'!$B$8))/4+INDEX(BookQ2,1928)*(5-MIN(4,2+'5. Scenarios'!$B$8))/4+INDEX(BookQ3,1928)*(5-MIN(4,3+'5. Scenarios'!$B$8))/4+INDEX(BookQ4,1928)*(5-MIN(4,4+'5. Scenarios'!$B$8))/4)*'5. Scenarios'!$B$6/(1+ProductivityDefault*('5. Scenarios'!$B$11-1))+INDEX(BookOneOff,1928)*$D1933)</f>
        <v/>
      </c>
      <c r="I1933" s="56" t="str">
        <f aca="false">IF(INDEX(BookTitle,1928)="","",INDEX(BookTotal,1928)*'5. Scenarios'!$C$6/(1+ProductivityDefault*('5. Scenarios'!$C$11-1)))</f>
        <v/>
      </c>
      <c r="J1933" s="57" t="str">
        <f aca="false">IF($I1933="","",INDEX(BookRate,1928)*(1+'5. Scenarios'!$C$10)*$I1933)</f>
        <v/>
      </c>
      <c r="K1933" s="57" t="str">
        <f aca="false">IF($J1933="","",SUMIFS($J$6:$J$2405,$A$6:$A$2405,"&lt;="&amp;$A1933))</f>
        <v/>
      </c>
      <c r="L1933" s="57" t="str">
        <f aca="false">IF($J1933="","",IF($K1933&lt;=BankCostEnvelope*'5. Scenarios'!$C$7,1,0))</f>
        <v/>
      </c>
      <c r="M1933" s="57" t="str">
        <f aca="false">IF($I1933="","",INDEX(BookRate,1928)*(1+'5. Scenarios'!$C$10)*(INDEX(BookQ1,1928)*(5-MIN(4,1+'5. Scenarios'!$C$8))/4+INDEX(BookQ2,1928)*(5-MIN(4,2+'5. Scenarios'!$C$8))/4+INDEX(BookQ3,1928)*(5-MIN(4,3+'5. Scenarios'!$C$8))/4+INDEX(BookQ4,1928)*(5-MIN(4,4+'5. Scenarios'!$C$8))/4)*'5. Scenarios'!$C$6/(1+ProductivityDefault*('5. Scenarios'!$C$11-1))+INDEX(BookOneOff,1928)*$I1933)</f>
        <v/>
      </c>
      <c r="N1933" s="56" t="str">
        <f aca="false">IF(INDEX(BookTitle,1928)="","",INDEX(BookTotal,1928)*'5. Scenarios'!$D$6/(1+ProductivityDefault*('5. Scenarios'!$D$11-1)))</f>
        <v/>
      </c>
      <c r="O1933" s="57" t="str">
        <f aca="false">IF($N1933="","",INDEX(BookRate,1928)*(1+'5. Scenarios'!$D$10)*$N1933)</f>
        <v/>
      </c>
      <c r="P1933" s="57" t="str">
        <f aca="false">IF($O1933="","",SUMIFS($O$6:$O$2405,$A$6:$A$2405,"&lt;="&amp;$A1933))</f>
        <v/>
      </c>
      <c r="Q1933" s="57" t="str">
        <f aca="false">IF($O1933="","",IF($P1933&lt;=BankCostEnvelope*'5. Scenarios'!$D$7,1,0))</f>
        <v/>
      </c>
      <c r="R1933" s="57" t="str">
        <f aca="false">IF($N1933="","",INDEX(BookRate,1928)*(1+'5. Scenarios'!$D$10)*(INDEX(BookQ1,1928)*(5-MIN(4,1+'5. Scenarios'!$D$8))/4+INDEX(BookQ2,1928)*(5-MIN(4,2+'5. Scenarios'!$D$8))/4+INDEX(BookQ3,1928)*(5-MIN(4,3+'5. Scenarios'!$D$8))/4+INDEX(BookQ4,1928)*(5-MIN(4,4+'5. Scenarios'!$D$8))/4)*'5. Scenarios'!$D$6/(1+ProductivityDefault*('5. Scenarios'!$D$11-1))+INDEX(BookOneOff,1928)*$N1933)</f>
        <v/>
      </c>
      <c r="S1933" s="56" t="str">
        <f aca="false">IF(INDEX(BookTitle,1928)="","",INDEX(BookTotal,1928)*'5. Scenarios'!$E$6/(1+ProductivityDefault*('5. Scenarios'!$E$11-1)))</f>
        <v/>
      </c>
      <c r="T1933" s="57" t="str">
        <f aca="false">IF($S1933="","",INDEX(BookRate,1928)*(1+'5. Scenarios'!$E$10)*$S1933)</f>
        <v/>
      </c>
      <c r="U1933" s="57" t="str">
        <f aca="false">IF($T1933="","",SUMIFS($T$6:$T$2405,$A$6:$A$2405,"&lt;="&amp;$A1933))</f>
        <v/>
      </c>
      <c r="V1933" s="57" t="str">
        <f aca="false">IF($T1933="","",IF($U1933&lt;=BankCostEnvelope*'5. Scenarios'!$E$7,1,0))</f>
        <v/>
      </c>
      <c r="W1933" s="57" t="str">
        <f aca="false">IF($S1933="","",INDEX(BookRate,1928)*(1+'5. Scenarios'!$E$10)*(INDEX(BookQ1,1928)*(5-MIN(4,1+'5. Scenarios'!$E$8))/4+INDEX(BookQ2,1928)*(5-MIN(4,2+'5. Scenarios'!$E$8))/4+INDEX(BookQ3,1928)*(5-MIN(4,3+'5. Scenarios'!$E$8))/4+INDEX(BookQ4,1928)*(5-MIN(4,4+'5. Scenarios'!$E$8))/4)*'5. Scenarios'!$E$6/(1+ProductivityDefault*('5. Scenarios'!$E$11-1))+INDEX(BookOneOff,1928)*$S1933)</f>
        <v/>
      </c>
    </row>
    <row r="1934" customFormat="false" ht="15" hidden="false" customHeight="false" outlineLevel="0" collapsed="false">
      <c r="A1934" s="0" t="str">
        <f aca="false">IF(INDEX(BookTitle,1929)="","",INDEX(BookKey,1929))</f>
        <v/>
      </c>
      <c r="B1934" s="0" t="str">
        <f aca="false">IF(INDEX(BookTitle,1929)="","",INDEX(BookGroup,1929))</f>
        <v/>
      </c>
      <c r="C1934" s="0" t="str">
        <f aca="false">IF(INDEX(BookTitle,1929)="","",INDEX(BookCategory,1929))</f>
        <v/>
      </c>
      <c r="D1934" s="56" t="str">
        <f aca="false">IF(INDEX(BookTitle,1929)="","",INDEX(BookTotal,1929)*'5. Scenarios'!$B$6/(1+ProductivityDefault*('5. Scenarios'!$B$11-1)))</f>
        <v/>
      </c>
      <c r="E1934" s="57" t="str">
        <f aca="false">IF($D1934="","",INDEX(BookRate,1929)*(1+'5. Scenarios'!$B$10)*$D1934)</f>
        <v/>
      </c>
      <c r="F1934" s="57" t="str">
        <f aca="false">IF($E1934="","",SUMIFS($E$6:$E$2405,$A$6:$A$2405,"&lt;="&amp;$A1934))</f>
        <v/>
      </c>
      <c r="G1934" s="57" t="str">
        <f aca="false">IF($E1934="","",IF($F1934&lt;=BankCostEnvelope*'5. Scenarios'!$B$7,1,0))</f>
        <v/>
      </c>
      <c r="H1934" s="57" t="str">
        <f aca="false">IF($D1934="","",INDEX(BookRate,1929)*(1+'5. Scenarios'!$B$10)*(INDEX(BookQ1,1929)*(5-MIN(4,1+'5. Scenarios'!$B$8))/4+INDEX(BookQ2,1929)*(5-MIN(4,2+'5. Scenarios'!$B$8))/4+INDEX(BookQ3,1929)*(5-MIN(4,3+'5. Scenarios'!$B$8))/4+INDEX(BookQ4,1929)*(5-MIN(4,4+'5. Scenarios'!$B$8))/4)*'5. Scenarios'!$B$6/(1+ProductivityDefault*('5. Scenarios'!$B$11-1))+INDEX(BookOneOff,1929)*$D1934)</f>
        <v/>
      </c>
      <c r="I1934" s="56" t="str">
        <f aca="false">IF(INDEX(BookTitle,1929)="","",INDEX(BookTotal,1929)*'5. Scenarios'!$C$6/(1+ProductivityDefault*('5. Scenarios'!$C$11-1)))</f>
        <v/>
      </c>
      <c r="J1934" s="57" t="str">
        <f aca="false">IF($I1934="","",INDEX(BookRate,1929)*(1+'5. Scenarios'!$C$10)*$I1934)</f>
        <v/>
      </c>
      <c r="K1934" s="57" t="str">
        <f aca="false">IF($J1934="","",SUMIFS($J$6:$J$2405,$A$6:$A$2405,"&lt;="&amp;$A1934))</f>
        <v/>
      </c>
      <c r="L1934" s="57" t="str">
        <f aca="false">IF($J1934="","",IF($K1934&lt;=BankCostEnvelope*'5. Scenarios'!$C$7,1,0))</f>
        <v/>
      </c>
      <c r="M1934" s="57" t="str">
        <f aca="false">IF($I1934="","",INDEX(BookRate,1929)*(1+'5. Scenarios'!$C$10)*(INDEX(BookQ1,1929)*(5-MIN(4,1+'5. Scenarios'!$C$8))/4+INDEX(BookQ2,1929)*(5-MIN(4,2+'5. Scenarios'!$C$8))/4+INDEX(BookQ3,1929)*(5-MIN(4,3+'5. Scenarios'!$C$8))/4+INDEX(BookQ4,1929)*(5-MIN(4,4+'5. Scenarios'!$C$8))/4)*'5. Scenarios'!$C$6/(1+ProductivityDefault*('5. Scenarios'!$C$11-1))+INDEX(BookOneOff,1929)*$I1934)</f>
        <v/>
      </c>
      <c r="N1934" s="56" t="str">
        <f aca="false">IF(INDEX(BookTitle,1929)="","",INDEX(BookTotal,1929)*'5. Scenarios'!$D$6/(1+ProductivityDefault*('5. Scenarios'!$D$11-1)))</f>
        <v/>
      </c>
      <c r="O1934" s="57" t="str">
        <f aca="false">IF($N1934="","",INDEX(BookRate,1929)*(1+'5. Scenarios'!$D$10)*$N1934)</f>
        <v/>
      </c>
      <c r="P1934" s="57" t="str">
        <f aca="false">IF($O1934="","",SUMIFS($O$6:$O$2405,$A$6:$A$2405,"&lt;="&amp;$A1934))</f>
        <v/>
      </c>
      <c r="Q1934" s="57" t="str">
        <f aca="false">IF($O1934="","",IF($P1934&lt;=BankCostEnvelope*'5. Scenarios'!$D$7,1,0))</f>
        <v/>
      </c>
      <c r="R1934" s="57" t="str">
        <f aca="false">IF($N1934="","",INDEX(BookRate,1929)*(1+'5. Scenarios'!$D$10)*(INDEX(BookQ1,1929)*(5-MIN(4,1+'5. Scenarios'!$D$8))/4+INDEX(BookQ2,1929)*(5-MIN(4,2+'5. Scenarios'!$D$8))/4+INDEX(BookQ3,1929)*(5-MIN(4,3+'5. Scenarios'!$D$8))/4+INDEX(BookQ4,1929)*(5-MIN(4,4+'5. Scenarios'!$D$8))/4)*'5. Scenarios'!$D$6/(1+ProductivityDefault*('5. Scenarios'!$D$11-1))+INDEX(BookOneOff,1929)*$N1934)</f>
        <v/>
      </c>
      <c r="S1934" s="56" t="str">
        <f aca="false">IF(INDEX(BookTitle,1929)="","",INDEX(BookTotal,1929)*'5. Scenarios'!$E$6/(1+ProductivityDefault*('5. Scenarios'!$E$11-1)))</f>
        <v/>
      </c>
      <c r="T1934" s="57" t="str">
        <f aca="false">IF($S1934="","",INDEX(BookRate,1929)*(1+'5. Scenarios'!$E$10)*$S1934)</f>
        <v/>
      </c>
      <c r="U1934" s="57" t="str">
        <f aca="false">IF($T1934="","",SUMIFS($T$6:$T$2405,$A$6:$A$2405,"&lt;="&amp;$A1934))</f>
        <v/>
      </c>
      <c r="V1934" s="57" t="str">
        <f aca="false">IF($T1934="","",IF($U1934&lt;=BankCostEnvelope*'5. Scenarios'!$E$7,1,0))</f>
        <v/>
      </c>
      <c r="W1934" s="57" t="str">
        <f aca="false">IF($S1934="","",INDEX(BookRate,1929)*(1+'5. Scenarios'!$E$10)*(INDEX(BookQ1,1929)*(5-MIN(4,1+'5. Scenarios'!$E$8))/4+INDEX(BookQ2,1929)*(5-MIN(4,2+'5. Scenarios'!$E$8))/4+INDEX(BookQ3,1929)*(5-MIN(4,3+'5. Scenarios'!$E$8))/4+INDEX(BookQ4,1929)*(5-MIN(4,4+'5. Scenarios'!$E$8))/4)*'5. Scenarios'!$E$6/(1+ProductivityDefault*('5. Scenarios'!$E$11-1))+INDEX(BookOneOff,1929)*$S1934)</f>
        <v/>
      </c>
    </row>
    <row r="1935" customFormat="false" ht="15" hidden="false" customHeight="false" outlineLevel="0" collapsed="false">
      <c r="A1935" s="0" t="str">
        <f aca="false">IF(INDEX(BookTitle,1930)="","",INDEX(BookKey,1930))</f>
        <v/>
      </c>
      <c r="B1935" s="0" t="str">
        <f aca="false">IF(INDEX(BookTitle,1930)="","",INDEX(BookGroup,1930))</f>
        <v/>
      </c>
      <c r="C1935" s="0" t="str">
        <f aca="false">IF(INDEX(BookTitle,1930)="","",INDEX(BookCategory,1930))</f>
        <v/>
      </c>
      <c r="D1935" s="56" t="str">
        <f aca="false">IF(INDEX(BookTitle,1930)="","",INDEX(BookTotal,1930)*'5. Scenarios'!$B$6/(1+ProductivityDefault*('5. Scenarios'!$B$11-1)))</f>
        <v/>
      </c>
      <c r="E1935" s="57" t="str">
        <f aca="false">IF($D1935="","",INDEX(BookRate,1930)*(1+'5. Scenarios'!$B$10)*$D1935)</f>
        <v/>
      </c>
      <c r="F1935" s="57" t="str">
        <f aca="false">IF($E1935="","",SUMIFS($E$6:$E$2405,$A$6:$A$2405,"&lt;="&amp;$A1935))</f>
        <v/>
      </c>
      <c r="G1935" s="57" t="str">
        <f aca="false">IF($E1935="","",IF($F1935&lt;=BankCostEnvelope*'5. Scenarios'!$B$7,1,0))</f>
        <v/>
      </c>
      <c r="H1935" s="57" t="str">
        <f aca="false">IF($D1935="","",INDEX(BookRate,1930)*(1+'5. Scenarios'!$B$10)*(INDEX(BookQ1,1930)*(5-MIN(4,1+'5. Scenarios'!$B$8))/4+INDEX(BookQ2,1930)*(5-MIN(4,2+'5. Scenarios'!$B$8))/4+INDEX(BookQ3,1930)*(5-MIN(4,3+'5. Scenarios'!$B$8))/4+INDEX(BookQ4,1930)*(5-MIN(4,4+'5. Scenarios'!$B$8))/4)*'5. Scenarios'!$B$6/(1+ProductivityDefault*('5. Scenarios'!$B$11-1))+INDEX(BookOneOff,1930)*$D1935)</f>
        <v/>
      </c>
      <c r="I1935" s="56" t="str">
        <f aca="false">IF(INDEX(BookTitle,1930)="","",INDEX(BookTotal,1930)*'5. Scenarios'!$C$6/(1+ProductivityDefault*('5. Scenarios'!$C$11-1)))</f>
        <v/>
      </c>
      <c r="J1935" s="57" t="str">
        <f aca="false">IF($I1935="","",INDEX(BookRate,1930)*(1+'5. Scenarios'!$C$10)*$I1935)</f>
        <v/>
      </c>
      <c r="K1935" s="57" t="str">
        <f aca="false">IF($J1935="","",SUMIFS($J$6:$J$2405,$A$6:$A$2405,"&lt;="&amp;$A1935))</f>
        <v/>
      </c>
      <c r="L1935" s="57" t="str">
        <f aca="false">IF($J1935="","",IF($K1935&lt;=BankCostEnvelope*'5. Scenarios'!$C$7,1,0))</f>
        <v/>
      </c>
      <c r="M1935" s="57" t="str">
        <f aca="false">IF($I1935="","",INDEX(BookRate,1930)*(1+'5. Scenarios'!$C$10)*(INDEX(BookQ1,1930)*(5-MIN(4,1+'5. Scenarios'!$C$8))/4+INDEX(BookQ2,1930)*(5-MIN(4,2+'5. Scenarios'!$C$8))/4+INDEX(BookQ3,1930)*(5-MIN(4,3+'5. Scenarios'!$C$8))/4+INDEX(BookQ4,1930)*(5-MIN(4,4+'5. Scenarios'!$C$8))/4)*'5. Scenarios'!$C$6/(1+ProductivityDefault*('5. Scenarios'!$C$11-1))+INDEX(BookOneOff,1930)*$I1935)</f>
        <v/>
      </c>
      <c r="N1935" s="56" t="str">
        <f aca="false">IF(INDEX(BookTitle,1930)="","",INDEX(BookTotal,1930)*'5. Scenarios'!$D$6/(1+ProductivityDefault*('5. Scenarios'!$D$11-1)))</f>
        <v/>
      </c>
      <c r="O1935" s="57" t="str">
        <f aca="false">IF($N1935="","",INDEX(BookRate,1930)*(1+'5. Scenarios'!$D$10)*$N1935)</f>
        <v/>
      </c>
      <c r="P1935" s="57" t="str">
        <f aca="false">IF($O1935="","",SUMIFS($O$6:$O$2405,$A$6:$A$2405,"&lt;="&amp;$A1935))</f>
        <v/>
      </c>
      <c r="Q1935" s="57" t="str">
        <f aca="false">IF($O1935="","",IF($P1935&lt;=BankCostEnvelope*'5. Scenarios'!$D$7,1,0))</f>
        <v/>
      </c>
      <c r="R1935" s="57" t="str">
        <f aca="false">IF($N1935="","",INDEX(BookRate,1930)*(1+'5. Scenarios'!$D$10)*(INDEX(BookQ1,1930)*(5-MIN(4,1+'5. Scenarios'!$D$8))/4+INDEX(BookQ2,1930)*(5-MIN(4,2+'5. Scenarios'!$D$8))/4+INDEX(BookQ3,1930)*(5-MIN(4,3+'5. Scenarios'!$D$8))/4+INDEX(BookQ4,1930)*(5-MIN(4,4+'5. Scenarios'!$D$8))/4)*'5. Scenarios'!$D$6/(1+ProductivityDefault*('5. Scenarios'!$D$11-1))+INDEX(BookOneOff,1930)*$N1935)</f>
        <v/>
      </c>
      <c r="S1935" s="56" t="str">
        <f aca="false">IF(INDEX(BookTitle,1930)="","",INDEX(BookTotal,1930)*'5. Scenarios'!$E$6/(1+ProductivityDefault*('5. Scenarios'!$E$11-1)))</f>
        <v/>
      </c>
      <c r="T1935" s="57" t="str">
        <f aca="false">IF($S1935="","",INDEX(BookRate,1930)*(1+'5. Scenarios'!$E$10)*$S1935)</f>
        <v/>
      </c>
      <c r="U1935" s="57" t="str">
        <f aca="false">IF($T1935="","",SUMIFS($T$6:$T$2405,$A$6:$A$2405,"&lt;="&amp;$A1935))</f>
        <v/>
      </c>
      <c r="V1935" s="57" t="str">
        <f aca="false">IF($T1935="","",IF($U1935&lt;=BankCostEnvelope*'5. Scenarios'!$E$7,1,0))</f>
        <v/>
      </c>
      <c r="W1935" s="57" t="str">
        <f aca="false">IF($S1935="","",INDEX(BookRate,1930)*(1+'5. Scenarios'!$E$10)*(INDEX(BookQ1,1930)*(5-MIN(4,1+'5. Scenarios'!$E$8))/4+INDEX(BookQ2,1930)*(5-MIN(4,2+'5. Scenarios'!$E$8))/4+INDEX(BookQ3,1930)*(5-MIN(4,3+'5. Scenarios'!$E$8))/4+INDEX(BookQ4,1930)*(5-MIN(4,4+'5. Scenarios'!$E$8))/4)*'5. Scenarios'!$E$6/(1+ProductivityDefault*('5. Scenarios'!$E$11-1))+INDEX(BookOneOff,1930)*$S1935)</f>
        <v/>
      </c>
    </row>
    <row r="1936" customFormat="false" ht="15" hidden="false" customHeight="false" outlineLevel="0" collapsed="false">
      <c r="A1936" s="0" t="str">
        <f aca="false">IF(INDEX(BookTitle,1931)="","",INDEX(BookKey,1931))</f>
        <v/>
      </c>
      <c r="B1936" s="0" t="str">
        <f aca="false">IF(INDEX(BookTitle,1931)="","",INDEX(BookGroup,1931))</f>
        <v/>
      </c>
      <c r="C1936" s="0" t="str">
        <f aca="false">IF(INDEX(BookTitle,1931)="","",INDEX(BookCategory,1931))</f>
        <v/>
      </c>
      <c r="D1936" s="56" t="str">
        <f aca="false">IF(INDEX(BookTitle,1931)="","",INDEX(BookTotal,1931)*'5. Scenarios'!$B$6/(1+ProductivityDefault*('5. Scenarios'!$B$11-1)))</f>
        <v/>
      </c>
      <c r="E1936" s="57" t="str">
        <f aca="false">IF($D1936="","",INDEX(BookRate,1931)*(1+'5. Scenarios'!$B$10)*$D1936)</f>
        <v/>
      </c>
      <c r="F1936" s="57" t="str">
        <f aca="false">IF($E1936="","",SUMIFS($E$6:$E$2405,$A$6:$A$2405,"&lt;="&amp;$A1936))</f>
        <v/>
      </c>
      <c r="G1936" s="57" t="str">
        <f aca="false">IF($E1936="","",IF($F1936&lt;=BankCostEnvelope*'5. Scenarios'!$B$7,1,0))</f>
        <v/>
      </c>
      <c r="H1936" s="57" t="str">
        <f aca="false">IF($D1936="","",INDEX(BookRate,1931)*(1+'5. Scenarios'!$B$10)*(INDEX(BookQ1,1931)*(5-MIN(4,1+'5. Scenarios'!$B$8))/4+INDEX(BookQ2,1931)*(5-MIN(4,2+'5. Scenarios'!$B$8))/4+INDEX(BookQ3,1931)*(5-MIN(4,3+'5. Scenarios'!$B$8))/4+INDEX(BookQ4,1931)*(5-MIN(4,4+'5. Scenarios'!$B$8))/4)*'5. Scenarios'!$B$6/(1+ProductivityDefault*('5. Scenarios'!$B$11-1))+INDEX(BookOneOff,1931)*$D1936)</f>
        <v/>
      </c>
      <c r="I1936" s="56" t="str">
        <f aca="false">IF(INDEX(BookTitle,1931)="","",INDEX(BookTotal,1931)*'5. Scenarios'!$C$6/(1+ProductivityDefault*('5. Scenarios'!$C$11-1)))</f>
        <v/>
      </c>
      <c r="J1936" s="57" t="str">
        <f aca="false">IF($I1936="","",INDEX(BookRate,1931)*(1+'5. Scenarios'!$C$10)*$I1936)</f>
        <v/>
      </c>
      <c r="K1936" s="57" t="str">
        <f aca="false">IF($J1936="","",SUMIFS($J$6:$J$2405,$A$6:$A$2405,"&lt;="&amp;$A1936))</f>
        <v/>
      </c>
      <c r="L1936" s="57" t="str">
        <f aca="false">IF($J1936="","",IF($K1936&lt;=BankCostEnvelope*'5. Scenarios'!$C$7,1,0))</f>
        <v/>
      </c>
      <c r="M1936" s="57" t="str">
        <f aca="false">IF($I1936="","",INDEX(BookRate,1931)*(1+'5. Scenarios'!$C$10)*(INDEX(BookQ1,1931)*(5-MIN(4,1+'5. Scenarios'!$C$8))/4+INDEX(BookQ2,1931)*(5-MIN(4,2+'5. Scenarios'!$C$8))/4+INDEX(BookQ3,1931)*(5-MIN(4,3+'5. Scenarios'!$C$8))/4+INDEX(BookQ4,1931)*(5-MIN(4,4+'5. Scenarios'!$C$8))/4)*'5. Scenarios'!$C$6/(1+ProductivityDefault*('5. Scenarios'!$C$11-1))+INDEX(BookOneOff,1931)*$I1936)</f>
        <v/>
      </c>
      <c r="N1936" s="56" t="str">
        <f aca="false">IF(INDEX(BookTitle,1931)="","",INDEX(BookTotal,1931)*'5. Scenarios'!$D$6/(1+ProductivityDefault*('5. Scenarios'!$D$11-1)))</f>
        <v/>
      </c>
      <c r="O1936" s="57" t="str">
        <f aca="false">IF($N1936="","",INDEX(BookRate,1931)*(1+'5. Scenarios'!$D$10)*$N1936)</f>
        <v/>
      </c>
      <c r="P1936" s="57" t="str">
        <f aca="false">IF($O1936="","",SUMIFS($O$6:$O$2405,$A$6:$A$2405,"&lt;="&amp;$A1936))</f>
        <v/>
      </c>
      <c r="Q1936" s="57" t="str">
        <f aca="false">IF($O1936="","",IF($P1936&lt;=BankCostEnvelope*'5. Scenarios'!$D$7,1,0))</f>
        <v/>
      </c>
      <c r="R1936" s="57" t="str">
        <f aca="false">IF($N1936="","",INDEX(BookRate,1931)*(1+'5. Scenarios'!$D$10)*(INDEX(BookQ1,1931)*(5-MIN(4,1+'5. Scenarios'!$D$8))/4+INDEX(BookQ2,1931)*(5-MIN(4,2+'5. Scenarios'!$D$8))/4+INDEX(BookQ3,1931)*(5-MIN(4,3+'5. Scenarios'!$D$8))/4+INDEX(BookQ4,1931)*(5-MIN(4,4+'5. Scenarios'!$D$8))/4)*'5. Scenarios'!$D$6/(1+ProductivityDefault*('5. Scenarios'!$D$11-1))+INDEX(BookOneOff,1931)*$N1936)</f>
        <v/>
      </c>
      <c r="S1936" s="56" t="str">
        <f aca="false">IF(INDEX(BookTitle,1931)="","",INDEX(BookTotal,1931)*'5. Scenarios'!$E$6/(1+ProductivityDefault*('5. Scenarios'!$E$11-1)))</f>
        <v/>
      </c>
      <c r="T1936" s="57" t="str">
        <f aca="false">IF($S1936="","",INDEX(BookRate,1931)*(1+'5. Scenarios'!$E$10)*$S1936)</f>
        <v/>
      </c>
      <c r="U1936" s="57" t="str">
        <f aca="false">IF($T1936="","",SUMIFS($T$6:$T$2405,$A$6:$A$2405,"&lt;="&amp;$A1936))</f>
        <v/>
      </c>
      <c r="V1936" s="57" t="str">
        <f aca="false">IF($T1936="","",IF($U1936&lt;=BankCostEnvelope*'5. Scenarios'!$E$7,1,0))</f>
        <v/>
      </c>
      <c r="W1936" s="57" t="str">
        <f aca="false">IF($S1936="","",INDEX(BookRate,1931)*(1+'5. Scenarios'!$E$10)*(INDEX(BookQ1,1931)*(5-MIN(4,1+'5. Scenarios'!$E$8))/4+INDEX(BookQ2,1931)*(5-MIN(4,2+'5. Scenarios'!$E$8))/4+INDEX(BookQ3,1931)*(5-MIN(4,3+'5. Scenarios'!$E$8))/4+INDEX(BookQ4,1931)*(5-MIN(4,4+'5. Scenarios'!$E$8))/4)*'5. Scenarios'!$E$6/(1+ProductivityDefault*('5. Scenarios'!$E$11-1))+INDEX(BookOneOff,1931)*$S1936)</f>
        <v/>
      </c>
    </row>
    <row r="1937" customFormat="false" ht="15" hidden="false" customHeight="false" outlineLevel="0" collapsed="false">
      <c r="A1937" s="0" t="str">
        <f aca="false">IF(INDEX(BookTitle,1932)="","",INDEX(BookKey,1932))</f>
        <v/>
      </c>
      <c r="B1937" s="0" t="str">
        <f aca="false">IF(INDEX(BookTitle,1932)="","",INDEX(BookGroup,1932))</f>
        <v/>
      </c>
      <c r="C1937" s="0" t="str">
        <f aca="false">IF(INDEX(BookTitle,1932)="","",INDEX(BookCategory,1932))</f>
        <v/>
      </c>
      <c r="D1937" s="56" t="str">
        <f aca="false">IF(INDEX(BookTitle,1932)="","",INDEX(BookTotal,1932)*'5. Scenarios'!$B$6/(1+ProductivityDefault*('5. Scenarios'!$B$11-1)))</f>
        <v/>
      </c>
      <c r="E1937" s="57" t="str">
        <f aca="false">IF($D1937="","",INDEX(BookRate,1932)*(1+'5. Scenarios'!$B$10)*$D1937)</f>
        <v/>
      </c>
      <c r="F1937" s="57" t="str">
        <f aca="false">IF($E1937="","",SUMIFS($E$6:$E$2405,$A$6:$A$2405,"&lt;="&amp;$A1937))</f>
        <v/>
      </c>
      <c r="G1937" s="57" t="str">
        <f aca="false">IF($E1937="","",IF($F1937&lt;=BankCostEnvelope*'5. Scenarios'!$B$7,1,0))</f>
        <v/>
      </c>
      <c r="H1937" s="57" t="str">
        <f aca="false">IF($D1937="","",INDEX(BookRate,1932)*(1+'5. Scenarios'!$B$10)*(INDEX(BookQ1,1932)*(5-MIN(4,1+'5. Scenarios'!$B$8))/4+INDEX(BookQ2,1932)*(5-MIN(4,2+'5. Scenarios'!$B$8))/4+INDEX(BookQ3,1932)*(5-MIN(4,3+'5. Scenarios'!$B$8))/4+INDEX(BookQ4,1932)*(5-MIN(4,4+'5. Scenarios'!$B$8))/4)*'5. Scenarios'!$B$6/(1+ProductivityDefault*('5. Scenarios'!$B$11-1))+INDEX(BookOneOff,1932)*$D1937)</f>
        <v/>
      </c>
      <c r="I1937" s="56" t="str">
        <f aca="false">IF(INDEX(BookTitle,1932)="","",INDEX(BookTotal,1932)*'5. Scenarios'!$C$6/(1+ProductivityDefault*('5. Scenarios'!$C$11-1)))</f>
        <v/>
      </c>
      <c r="J1937" s="57" t="str">
        <f aca="false">IF($I1937="","",INDEX(BookRate,1932)*(1+'5. Scenarios'!$C$10)*$I1937)</f>
        <v/>
      </c>
      <c r="K1937" s="57" t="str">
        <f aca="false">IF($J1937="","",SUMIFS($J$6:$J$2405,$A$6:$A$2405,"&lt;="&amp;$A1937))</f>
        <v/>
      </c>
      <c r="L1937" s="57" t="str">
        <f aca="false">IF($J1937="","",IF($K1937&lt;=BankCostEnvelope*'5. Scenarios'!$C$7,1,0))</f>
        <v/>
      </c>
      <c r="M1937" s="57" t="str">
        <f aca="false">IF($I1937="","",INDEX(BookRate,1932)*(1+'5. Scenarios'!$C$10)*(INDEX(BookQ1,1932)*(5-MIN(4,1+'5. Scenarios'!$C$8))/4+INDEX(BookQ2,1932)*(5-MIN(4,2+'5. Scenarios'!$C$8))/4+INDEX(BookQ3,1932)*(5-MIN(4,3+'5. Scenarios'!$C$8))/4+INDEX(BookQ4,1932)*(5-MIN(4,4+'5. Scenarios'!$C$8))/4)*'5. Scenarios'!$C$6/(1+ProductivityDefault*('5. Scenarios'!$C$11-1))+INDEX(BookOneOff,1932)*$I1937)</f>
        <v/>
      </c>
      <c r="N1937" s="56" t="str">
        <f aca="false">IF(INDEX(BookTitle,1932)="","",INDEX(BookTotal,1932)*'5. Scenarios'!$D$6/(1+ProductivityDefault*('5. Scenarios'!$D$11-1)))</f>
        <v/>
      </c>
      <c r="O1937" s="57" t="str">
        <f aca="false">IF($N1937="","",INDEX(BookRate,1932)*(1+'5. Scenarios'!$D$10)*$N1937)</f>
        <v/>
      </c>
      <c r="P1937" s="57" t="str">
        <f aca="false">IF($O1937="","",SUMIFS($O$6:$O$2405,$A$6:$A$2405,"&lt;="&amp;$A1937))</f>
        <v/>
      </c>
      <c r="Q1937" s="57" t="str">
        <f aca="false">IF($O1937="","",IF($P1937&lt;=BankCostEnvelope*'5. Scenarios'!$D$7,1,0))</f>
        <v/>
      </c>
      <c r="R1937" s="57" t="str">
        <f aca="false">IF($N1937="","",INDEX(BookRate,1932)*(1+'5. Scenarios'!$D$10)*(INDEX(BookQ1,1932)*(5-MIN(4,1+'5. Scenarios'!$D$8))/4+INDEX(BookQ2,1932)*(5-MIN(4,2+'5. Scenarios'!$D$8))/4+INDEX(BookQ3,1932)*(5-MIN(4,3+'5. Scenarios'!$D$8))/4+INDEX(BookQ4,1932)*(5-MIN(4,4+'5. Scenarios'!$D$8))/4)*'5. Scenarios'!$D$6/(1+ProductivityDefault*('5. Scenarios'!$D$11-1))+INDEX(BookOneOff,1932)*$N1937)</f>
        <v/>
      </c>
      <c r="S1937" s="56" t="str">
        <f aca="false">IF(INDEX(BookTitle,1932)="","",INDEX(BookTotal,1932)*'5. Scenarios'!$E$6/(1+ProductivityDefault*('5. Scenarios'!$E$11-1)))</f>
        <v/>
      </c>
      <c r="T1937" s="57" t="str">
        <f aca="false">IF($S1937="","",INDEX(BookRate,1932)*(1+'5. Scenarios'!$E$10)*$S1937)</f>
        <v/>
      </c>
      <c r="U1937" s="57" t="str">
        <f aca="false">IF($T1937="","",SUMIFS($T$6:$T$2405,$A$6:$A$2405,"&lt;="&amp;$A1937))</f>
        <v/>
      </c>
      <c r="V1937" s="57" t="str">
        <f aca="false">IF($T1937="","",IF($U1937&lt;=BankCostEnvelope*'5. Scenarios'!$E$7,1,0))</f>
        <v/>
      </c>
      <c r="W1937" s="57" t="str">
        <f aca="false">IF($S1937="","",INDEX(BookRate,1932)*(1+'5. Scenarios'!$E$10)*(INDEX(BookQ1,1932)*(5-MIN(4,1+'5. Scenarios'!$E$8))/4+INDEX(BookQ2,1932)*(5-MIN(4,2+'5. Scenarios'!$E$8))/4+INDEX(BookQ3,1932)*(5-MIN(4,3+'5. Scenarios'!$E$8))/4+INDEX(BookQ4,1932)*(5-MIN(4,4+'5. Scenarios'!$E$8))/4)*'5. Scenarios'!$E$6/(1+ProductivityDefault*('5. Scenarios'!$E$11-1))+INDEX(BookOneOff,1932)*$S1937)</f>
        <v/>
      </c>
    </row>
    <row r="1938" customFormat="false" ht="15" hidden="false" customHeight="false" outlineLevel="0" collapsed="false">
      <c r="A1938" s="0" t="str">
        <f aca="false">IF(INDEX(BookTitle,1933)="","",INDEX(BookKey,1933))</f>
        <v/>
      </c>
      <c r="B1938" s="0" t="str">
        <f aca="false">IF(INDEX(BookTitle,1933)="","",INDEX(BookGroup,1933))</f>
        <v/>
      </c>
      <c r="C1938" s="0" t="str">
        <f aca="false">IF(INDEX(BookTitle,1933)="","",INDEX(BookCategory,1933))</f>
        <v/>
      </c>
      <c r="D1938" s="56" t="str">
        <f aca="false">IF(INDEX(BookTitle,1933)="","",INDEX(BookTotal,1933)*'5. Scenarios'!$B$6/(1+ProductivityDefault*('5. Scenarios'!$B$11-1)))</f>
        <v/>
      </c>
      <c r="E1938" s="57" t="str">
        <f aca="false">IF($D1938="","",INDEX(BookRate,1933)*(1+'5. Scenarios'!$B$10)*$D1938)</f>
        <v/>
      </c>
      <c r="F1938" s="57" t="str">
        <f aca="false">IF($E1938="","",SUMIFS($E$6:$E$2405,$A$6:$A$2405,"&lt;="&amp;$A1938))</f>
        <v/>
      </c>
      <c r="G1938" s="57" t="str">
        <f aca="false">IF($E1938="","",IF($F1938&lt;=BankCostEnvelope*'5. Scenarios'!$B$7,1,0))</f>
        <v/>
      </c>
      <c r="H1938" s="57" t="str">
        <f aca="false">IF($D1938="","",INDEX(BookRate,1933)*(1+'5. Scenarios'!$B$10)*(INDEX(BookQ1,1933)*(5-MIN(4,1+'5. Scenarios'!$B$8))/4+INDEX(BookQ2,1933)*(5-MIN(4,2+'5. Scenarios'!$B$8))/4+INDEX(BookQ3,1933)*(5-MIN(4,3+'5. Scenarios'!$B$8))/4+INDEX(BookQ4,1933)*(5-MIN(4,4+'5. Scenarios'!$B$8))/4)*'5. Scenarios'!$B$6/(1+ProductivityDefault*('5. Scenarios'!$B$11-1))+INDEX(BookOneOff,1933)*$D1938)</f>
        <v/>
      </c>
      <c r="I1938" s="56" t="str">
        <f aca="false">IF(INDEX(BookTitle,1933)="","",INDEX(BookTotal,1933)*'5. Scenarios'!$C$6/(1+ProductivityDefault*('5. Scenarios'!$C$11-1)))</f>
        <v/>
      </c>
      <c r="J1938" s="57" t="str">
        <f aca="false">IF($I1938="","",INDEX(BookRate,1933)*(1+'5. Scenarios'!$C$10)*$I1938)</f>
        <v/>
      </c>
      <c r="K1938" s="57" t="str">
        <f aca="false">IF($J1938="","",SUMIFS($J$6:$J$2405,$A$6:$A$2405,"&lt;="&amp;$A1938))</f>
        <v/>
      </c>
      <c r="L1938" s="57" t="str">
        <f aca="false">IF($J1938="","",IF($K1938&lt;=BankCostEnvelope*'5. Scenarios'!$C$7,1,0))</f>
        <v/>
      </c>
      <c r="M1938" s="57" t="str">
        <f aca="false">IF($I1938="","",INDEX(BookRate,1933)*(1+'5. Scenarios'!$C$10)*(INDEX(BookQ1,1933)*(5-MIN(4,1+'5. Scenarios'!$C$8))/4+INDEX(BookQ2,1933)*(5-MIN(4,2+'5. Scenarios'!$C$8))/4+INDEX(BookQ3,1933)*(5-MIN(4,3+'5. Scenarios'!$C$8))/4+INDEX(BookQ4,1933)*(5-MIN(4,4+'5. Scenarios'!$C$8))/4)*'5. Scenarios'!$C$6/(1+ProductivityDefault*('5. Scenarios'!$C$11-1))+INDEX(BookOneOff,1933)*$I1938)</f>
        <v/>
      </c>
      <c r="N1938" s="56" t="str">
        <f aca="false">IF(INDEX(BookTitle,1933)="","",INDEX(BookTotal,1933)*'5. Scenarios'!$D$6/(1+ProductivityDefault*('5. Scenarios'!$D$11-1)))</f>
        <v/>
      </c>
      <c r="O1938" s="57" t="str">
        <f aca="false">IF($N1938="","",INDEX(BookRate,1933)*(1+'5. Scenarios'!$D$10)*$N1938)</f>
        <v/>
      </c>
      <c r="P1938" s="57" t="str">
        <f aca="false">IF($O1938="","",SUMIFS($O$6:$O$2405,$A$6:$A$2405,"&lt;="&amp;$A1938))</f>
        <v/>
      </c>
      <c r="Q1938" s="57" t="str">
        <f aca="false">IF($O1938="","",IF($P1938&lt;=BankCostEnvelope*'5. Scenarios'!$D$7,1,0))</f>
        <v/>
      </c>
      <c r="R1938" s="57" t="str">
        <f aca="false">IF($N1938="","",INDEX(BookRate,1933)*(1+'5. Scenarios'!$D$10)*(INDEX(BookQ1,1933)*(5-MIN(4,1+'5. Scenarios'!$D$8))/4+INDEX(BookQ2,1933)*(5-MIN(4,2+'5. Scenarios'!$D$8))/4+INDEX(BookQ3,1933)*(5-MIN(4,3+'5. Scenarios'!$D$8))/4+INDEX(BookQ4,1933)*(5-MIN(4,4+'5. Scenarios'!$D$8))/4)*'5. Scenarios'!$D$6/(1+ProductivityDefault*('5. Scenarios'!$D$11-1))+INDEX(BookOneOff,1933)*$N1938)</f>
        <v/>
      </c>
      <c r="S1938" s="56" t="str">
        <f aca="false">IF(INDEX(BookTitle,1933)="","",INDEX(BookTotal,1933)*'5. Scenarios'!$E$6/(1+ProductivityDefault*('5. Scenarios'!$E$11-1)))</f>
        <v/>
      </c>
      <c r="T1938" s="57" t="str">
        <f aca="false">IF($S1938="","",INDEX(BookRate,1933)*(1+'5. Scenarios'!$E$10)*$S1938)</f>
        <v/>
      </c>
      <c r="U1938" s="57" t="str">
        <f aca="false">IF($T1938="","",SUMIFS($T$6:$T$2405,$A$6:$A$2405,"&lt;="&amp;$A1938))</f>
        <v/>
      </c>
      <c r="V1938" s="57" t="str">
        <f aca="false">IF($T1938="","",IF($U1938&lt;=BankCostEnvelope*'5. Scenarios'!$E$7,1,0))</f>
        <v/>
      </c>
      <c r="W1938" s="57" t="str">
        <f aca="false">IF($S1938="","",INDEX(BookRate,1933)*(1+'5. Scenarios'!$E$10)*(INDEX(BookQ1,1933)*(5-MIN(4,1+'5. Scenarios'!$E$8))/4+INDEX(BookQ2,1933)*(5-MIN(4,2+'5. Scenarios'!$E$8))/4+INDEX(BookQ3,1933)*(5-MIN(4,3+'5. Scenarios'!$E$8))/4+INDEX(BookQ4,1933)*(5-MIN(4,4+'5. Scenarios'!$E$8))/4)*'5. Scenarios'!$E$6/(1+ProductivityDefault*('5. Scenarios'!$E$11-1))+INDEX(BookOneOff,1933)*$S1938)</f>
        <v/>
      </c>
    </row>
    <row r="1939" customFormat="false" ht="15" hidden="false" customHeight="false" outlineLevel="0" collapsed="false">
      <c r="A1939" s="0" t="str">
        <f aca="false">IF(INDEX(BookTitle,1934)="","",INDEX(BookKey,1934))</f>
        <v/>
      </c>
      <c r="B1939" s="0" t="str">
        <f aca="false">IF(INDEX(BookTitle,1934)="","",INDEX(BookGroup,1934))</f>
        <v/>
      </c>
      <c r="C1939" s="0" t="str">
        <f aca="false">IF(INDEX(BookTitle,1934)="","",INDEX(BookCategory,1934))</f>
        <v/>
      </c>
      <c r="D1939" s="56" t="str">
        <f aca="false">IF(INDEX(BookTitle,1934)="","",INDEX(BookTotal,1934)*'5. Scenarios'!$B$6/(1+ProductivityDefault*('5. Scenarios'!$B$11-1)))</f>
        <v/>
      </c>
      <c r="E1939" s="57" t="str">
        <f aca="false">IF($D1939="","",INDEX(BookRate,1934)*(1+'5. Scenarios'!$B$10)*$D1939)</f>
        <v/>
      </c>
      <c r="F1939" s="57" t="str">
        <f aca="false">IF($E1939="","",SUMIFS($E$6:$E$2405,$A$6:$A$2405,"&lt;="&amp;$A1939))</f>
        <v/>
      </c>
      <c r="G1939" s="57" t="str">
        <f aca="false">IF($E1939="","",IF($F1939&lt;=BankCostEnvelope*'5. Scenarios'!$B$7,1,0))</f>
        <v/>
      </c>
      <c r="H1939" s="57" t="str">
        <f aca="false">IF($D1939="","",INDEX(BookRate,1934)*(1+'5. Scenarios'!$B$10)*(INDEX(BookQ1,1934)*(5-MIN(4,1+'5. Scenarios'!$B$8))/4+INDEX(BookQ2,1934)*(5-MIN(4,2+'5. Scenarios'!$B$8))/4+INDEX(BookQ3,1934)*(5-MIN(4,3+'5. Scenarios'!$B$8))/4+INDEX(BookQ4,1934)*(5-MIN(4,4+'5. Scenarios'!$B$8))/4)*'5. Scenarios'!$B$6/(1+ProductivityDefault*('5. Scenarios'!$B$11-1))+INDEX(BookOneOff,1934)*$D1939)</f>
        <v/>
      </c>
      <c r="I1939" s="56" t="str">
        <f aca="false">IF(INDEX(BookTitle,1934)="","",INDEX(BookTotal,1934)*'5. Scenarios'!$C$6/(1+ProductivityDefault*('5. Scenarios'!$C$11-1)))</f>
        <v/>
      </c>
      <c r="J1939" s="57" t="str">
        <f aca="false">IF($I1939="","",INDEX(BookRate,1934)*(1+'5. Scenarios'!$C$10)*$I1939)</f>
        <v/>
      </c>
      <c r="K1939" s="57" t="str">
        <f aca="false">IF($J1939="","",SUMIFS($J$6:$J$2405,$A$6:$A$2405,"&lt;="&amp;$A1939))</f>
        <v/>
      </c>
      <c r="L1939" s="57" t="str">
        <f aca="false">IF($J1939="","",IF($K1939&lt;=BankCostEnvelope*'5. Scenarios'!$C$7,1,0))</f>
        <v/>
      </c>
      <c r="M1939" s="57" t="str">
        <f aca="false">IF($I1939="","",INDEX(BookRate,1934)*(1+'5. Scenarios'!$C$10)*(INDEX(BookQ1,1934)*(5-MIN(4,1+'5. Scenarios'!$C$8))/4+INDEX(BookQ2,1934)*(5-MIN(4,2+'5. Scenarios'!$C$8))/4+INDEX(BookQ3,1934)*(5-MIN(4,3+'5. Scenarios'!$C$8))/4+INDEX(BookQ4,1934)*(5-MIN(4,4+'5. Scenarios'!$C$8))/4)*'5. Scenarios'!$C$6/(1+ProductivityDefault*('5. Scenarios'!$C$11-1))+INDEX(BookOneOff,1934)*$I1939)</f>
        <v/>
      </c>
      <c r="N1939" s="56" t="str">
        <f aca="false">IF(INDEX(BookTitle,1934)="","",INDEX(BookTotal,1934)*'5. Scenarios'!$D$6/(1+ProductivityDefault*('5. Scenarios'!$D$11-1)))</f>
        <v/>
      </c>
      <c r="O1939" s="57" t="str">
        <f aca="false">IF($N1939="","",INDEX(BookRate,1934)*(1+'5. Scenarios'!$D$10)*$N1939)</f>
        <v/>
      </c>
      <c r="P1939" s="57" t="str">
        <f aca="false">IF($O1939="","",SUMIFS($O$6:$O$2405,$A$6:$A$2405,"&lt;="&amp;$A1939))</f>
        <v/>
      </c>
      <c r="Q1939" s="57" t="str">
        <f aca="false">IF($O1939="","",IF($P1939&lt;=BankCostEnvelope*'5. Scenarios'!$D$7,1,0))</f>
        <v/>
      </c>
      <c r="R1939" s="57" t="str">
        <f aca="false">IF($N1939="","",INDEX(BookRate,1934)*(1+'5. Scenarios'!$D$10)*(INDEX(BookQ1,1934)*(5-MIN(4,1+'5. Scenarios'!$D$8))/4+INDEX(BookQ2,1934)*(5-MIN(4,2+'5. Scenarios'!$D$8))/4+INDEX(BookQ3,1934)*(5-MIN(4,3+'5. Scenarios'!$D$8))/4+INDEX(BookQ4,1934)*(5-MIN(4,4+'5. Scenarios'!$D$8))/4)*'5. Scenarios'!$D$6/(1+ProductivityDefault*('5. Scenarios'!$D$11-1))+INDEX(BookOneOff,1934)*$N1939)</f>
        <v/>
      </c>
      <c r="S1939" s="56" t="str">
        <f aca="false">IF(INDEX(BookTitle,1934)="","",INDEX(BookTotal,1934)*'5. Scenarios'!$E$6/(1+ProductivityDefault*('5. Scenarios'!$E$11-1)))</f>
        <v/>
      </c>
      <c r="T1939" s="57" t="str">
        <f aca="false">IF($S1939="","",INDEX(BookRate,1934)*(1+'5. Scenarios'!$E$10)*$S1939)</f>
        <v/>
      </c>
      <c r="U1939" s="57" t="str">
        <f aca="false">IF($T1939="","",SUMIFS($T$6:$T$2405,$A$6:$A$2405,"&lt;="&amp;$A1939))</f>
        <v/>
      </c>
      <c r="V1939" s="57" t="str">
        <f aca="false">IF($T1939="","",IF($U1939&lt;=BankCostEnvelope*'5. Scenarios'!$E$7,1,0))</f>
        <v/>
      </c>
      <c r="W1939" s="57" t="str">
        <f aca="false">IF($S1939="","",INDEX(BookRate,1934)*(1+'5. Scenarios'!$E$10)*(INDEX(BookQ1,1934)*(5-MIN(4,1+'5. Scenarios'!$E$8))/4+INDEX(BookQ2,1934)*(5-MIN(4,2+'5. Scenarios'!$E$8))/4+INDEX(BookQ3,1934)*(5-MIN(4,3+'5. Scenarios'!$E$8))/4+INDEX(BookQ4,1934)*(5-MIN(4,4+'5. Scenarios'!$E$8))/4)*'5. Scenarios'!$E$6/(1+ProductivityDefault*('5. Scenarios'!$E$11-1))+INDEX(BookOneOff,1934)*$S1939)</f>
        <v/>
      </c>
    </row>
    <row r="1940" customFormat="false" ht="15" hidden="false" customHeight="false" outlineLevel="0" collapsed="false">
      <c r="A1940" s="0" t="str">
        <f aca="false">IF(INDEX(BookTitle,1935)="","",INDEX(BookKey,1935))</f>
        <v/>
      </c>
      <c r="B1940" s="0" t="str">
        <f aca="false">IF(INDEX(BookTitle,1935)="","",INDEX(BookGroup,1935))</f>
        <v/>
      </c>
      <c r="C1940" s="0" t="str">
        <f aca="false">IF(INDEX(BookTitle,1935)="","",INDEX(BookCategory,1935))</f>
        <v/>
      </c>
      <c r="D1940" s="56" t="str">
        <f aca="false">IF(INDEX(BookTitle,1935)="","",INDEX(BookTotal,1935)*'5. Scenarios'!$B$6/(1+ProductivityDefault*('5. Scenarios'!$B$11-1)))</f>
        <v/>
      </c>
      <c r="E1940" s="57" t="str">
        <f aca="false">IF($D1940="","",INDEX(BookRate,1935)*(1+'5. Scenarios'!$B$10)*$D1940)</f>
        <v/>
      </c>
      <c r="F1940" s="57" t="str">
        <f aca="false">IF($E1940="","",SUMIFS($E$6:$E$2405,$A$6:$A$2405,"&lt;="&amp;$A1940))</f>
        <v/>
      </c>
      <c r="G1940" s="57" t="str">
        <f aca="false">IF($E1940="","",IF($F1940&lt;=BankCostEnvelope*'5. Scenarios'!$B$7,1,0))</f>
        <v/>
      </c>
      <c r="H1940" s="57" t="str">
        <f aca="false">IF($D1940="","",INDEX(BookRate,1935)*(1+'5. Scenarios'!$B$10)*(INDEX(BookQ1,1935)*(5-MIN(4,1+'5. Scenarios'!$B$8))/4+INDEX(BookQ2,1935)*(5-MIN(4,2+'5. Scenarios'!$B$8))/4+INDEX(BookQ3,1935)*(5-MIN(4,3+'5. Scenarios'!$B$8))/4+INDEX(BookQ4,1935)*(5-MIN(4,4+'5. Scenarios'!$B$8))/4)*'5. Scenarios'!$B$6/(1+ProductivityDefault*('5. Scenarios'!$B$11-1))+INDEX(BookOneOff,1935)*$D1940)</f>
        <v/>
      </c>
      <c r="I1940" s="56" t="str">
        <f aca="false">IF(INDEX(BookTitle,1935)="","",INDEX(BookTotal,1935)*'5. Scenarios'!$C$6/(1+ProductivityDefault*('5. Scenarios'!$C$11-1)))</f>
        <v/>
      </c>
      <c r="J1940" s="57" t="str">
        <f aca="false">IF($I1940="","",INDEX(BookRate,1935)*(1+'5. Scenarios'!$C$10)*$I1940)</f>
        <v/>
      </c>
      <c r="K1940" s="57" t="str">
        <f aca="false">IF($J1940="","",SUMIFS($J$6:$J$2405,$A$6:$A$2405,"&lt;="&amp;$A1940))</f>
        <v/>
      </c>
      <c r="L1940" s="57" t="str">
        <f aca="false">IF($J1940="","",IF($K1940&lt;=BankCostEnvelope*'5. Scenarios'!$C$7,1,0))</f>
        <v/>
      </c>
      <c r="M1940" s="57" t="str">
        <f aca="false">IF($I1940="","",INDEX(BookRate,1935)*(1+'5. Scenarios'!$C$10)*(INDEX(BookQ1,1935)*(5-MIN(4,1+'5. Scenarios'!$C$8))/4+INDEX(BookQ2,1935)*(5-MIN(4,2+'5. Scenarios'!$C$8))/4+INDEX(BookQ3,1935)*(5-MIN(4,3+'5. Scenarios'!$C$8))/4+INDEX(BookQ4,1935)*(5-MIN(4,4+'5. Scenarios'!$C$8))/4)*'5. Scenarios'!$C$6/(1+ProductivityDefault*('5. Scenarios'!$C$11-1))+INDEX(BookOneOff,1935)*$I1940)</f>
        <v/>
      </c>
      <c r="N1940" s="56" t="str">
        <f aca="false">IF(INDEX(BookTitle,1935)="","",INDEX(BookTotal,1935)*'5. Scenarios'!$D$6/(1+ProductivityDefault*('5. Scenarios'!$D$11-1)))</f>
        <v/>
      </c>
      <c r="O1940" s="57" t="str">
        <f aca="false">IF($N1940="","",INDEX(BookRate,1935)*(1+'5. Scenarios'!$D$10)*$N1940)</f>
        <v/>
      </c>
      <c r="P1940" s="57" t="str">
        <f aca="false">IF($O1940="","",SUMIFS($O$6:$O$2405,$A$6:$A$2405,"&lt;="&amp;$A1940))</f>
        <v/>
      </c>
      <c r="Q1940" s="57" t="str">
        <f aca="false">IF($O1940="","",IF($P1940&lt;=BankCostEnvelope*'5. Scenarios'!$D$7,1,0))</f>
        <v/>
      </c>
      <c r="R1940" s="57" t="str">
        <f aca="false">IF($N1940="","",INDEX(BookRate,1935)*(1+'5. Scenarios'!$D$10)*(INDEX(BookQ1,1935)*(5-MIN(4,1+'5. Scenarios'!$D$8))/4+INDEX(BookQ2,1935)*(5-MIN(4,2+'5. Scenarios'!$D$8))/4+INDEX(BookQ3,1935)*(5-MIN(4,3+'5. Scenarios'!$D$8))/4+INDEX(BookQ4,1935)*(5-MIN(4,4+'5. Scenarios'!$D$8))/4)*'5. Scenarios'!$D$6/(1+ProductivityDefault*('5. Scenarios'!$D$11-1))+INDEX(BookOneOff,1935)*$N1940)</f>
        <v/>
      </c>
      <c r="S1940" s="56" t="str">
        <f aca="false">IF(INDEX(BookTitle,1935)="","",INDEX(BookTotal,1935)*'5. Scenarios'!$E$6/(1+ProductivityDefault*('5. Scenarios'!$E$11-1)))</f>
        <v/>
      </c>
      <c r="T1940" s="57" t="str">
        <f aca="false">IF($S1940="","",INDEX(BookRate,1935)*(1+'5. Scenarios'!$E$10)*$S1940)</f>
        <v/>
      </c>
      <c r="U1940" s="57" t="str">
        <f aca="false">IF($T1940="","",SUMIFS($T$6:$T$2405,$A$6:$A$2405,"&lt;="&amp;$A1940))</f>
        <v/>
      </c>
      <c r="V1940" s="57" t="str">
        <f aca="false">IF($T1940="","",IF($U1940&lt;=BankCostEnvelope*'5. Scenarios'!$E$7,1,0))</f>
        <v/>
      </c>
      <c r="W1940" s="57" t="str">
        <f aca="false">IF($S1940="","",INDEX(BookRate,1935)*(1+'5. Scenarios'!$E$10)*(INDEX(BookQ1,1935)*(5-MIN(4,1+'5. Scenarios'!$E$8))/4+INDEX(BookQ2,1935)*(5-MIN(4,2+'5. Scenarios'!$E$8))/4+INDEX(BookQ3,1935)*(5-MIN(4,3+'5. Scenarios'!$E$8))/4+INDEX(BookQ4,1935)*(5-MIN(4,4+'5. Scenarios'!$E$8))/4)*'5. Scenarios'!$E$6/(1+ProductivityDefault*('5. Scenarios'!$E$11-1))+INDEX(BookOneOff,1935)*$S1940)</f>
        <v/>
      </c>
    </row>
    <row r="1941" customFormat="false" ht="15" hidden="false" customHeight="false" outlineLevel="0" collapsed="false">
      <c r="A1941" s="0" t="str">
        <f aca="false">IF(INDEX(BookTitle,1936)="","",INDEX(BookKey,1936))</f>
        <v/>
      </c>
      <c r="B1941" s="0" t="str">
        <f aca="false">IF(INDEX(BookTitle,1936)="","",INDEX(BookGroup,1936))</f>
        <v/>
      </c>
      <c r="C1941" s="0" t="str">
        <f aca="false">IF(INDEX(BookTitle,1936)="","",INDEX(BookCategory,1936))</f>
        <v/>
      </c>
      <c r="D1941" s="56" t="str">
        <f aca="false">IF(INDEX(BookTitle,1936)="","",INDEX(BookTotal,1936)*'5. Scenarios'!$B$6/(1+ProductivityDefault*('5. Scenarios'!$B$11-1)))</f>
        <v/>
      </c>
      <c r="E1941" s="57" t="str">
        <f aca="false">IF($D1941="","",INDEX(BookRate,1936)*(1+'5. Scenarios'!$B$10)*$D1941)</f>
        <v/>
      </c>
      <c r="F1941" s="57" t="str">
        <f aca="false">IF($E1941="","",SUMIFS($E$6:$E$2405,$A$6:$A$2405,"&lt;="&amp;$A1941))</f>
        <v/>
      </c>
      <c r="G1941" s="57" t="str">
        <f aca="false">IF($E1941="","",IF($F1941&lt;=BankCostEnvelope*'5. Scenarios'!$B$7,1,0))</f>
        <v/>
      </c>
      <c r="H1941" s="57" t="str">
        <f aca="false">IF($D1941="","",INDEX(BookRate,1936)*(1+'5. Scenarios'!$B$10)*(INDEX(BookQ1,1936)*(5-MIN(4,1+'5. Scenarios'!$B$8))/4+INDEX(BookQ2,1936)*(5-MIN(4,2+'5. Scenarios'!$B$8))/4+INDEX(BookQ3,1936)*(5-MIN(4,3+'5. Scenarios'!$B$8))/4+INDEX(BookQ4,1936)*(5-MIN(4,4+'5. Scenarios'!$B$8))/4)*'5. Scenarios'!$B$6/(1+ProductivityDefault*('5. Scenarios'!$B$11-1))+INDEX(BookOneOff,1936)*$D1941)</f>
        <v/>
      </c>
      <c r="I1941" s="56" t="str">
        <f aca="false">IF(INDEX(BookTitle,1936)="","",INDEX(BookTotal,1936)*'5. Scenarios'!$C$6/(1+ProductivityDefault*('5. Scenarios'!$C$11-1)))</f>
        <v/>
      </c>
      <c r="J1941" s="57" t="str">
        <f aca="false">IF($I1941="","",INDEX(BookRate,1936)*(1+'5. Scenarios'!$C$10)*$I1941)</f>
        <v/>
      </c>
      <c r="K1941" s="57" t="str">
        <f aca="false">IF($J1941="","",SUMIFS($J$6:$J$2405,$A$6:$A$2405,"&lt;="&amp;$A1941))</f>
        <v/>
      </c>
      <c r="L1941" s="57" t="str">
        <f aca="false">IF($J1941="","",IF($K1941&lt;=BankCostEnvelope*'5. Scenarios'!$C$7,1,0))</f>
        <v/>
      </c>
      <c r="M1941" s="57" t="str">
        <f aca="false">IF($I1941="","",INDEX(BookRate,1936)*(1+'5. Scenarios'!$C$10)*(INDEX(BookQ1,1936)*(5-MIN(4,1+'5. Scenarios'!$C$8))/4+INDEX(BookQ2,1936)*(5-MIN(4,2+'5. Scenarios'!$C$8))/4+INDEX(BookQ3,1936)*(5-MIN(4,3+'5. Scenarios'!$C$8))/4+INDEX(BookQ4,1936)*(5-MIN(4,4+'5. Scenarios'!$C$8))/4)*'5. Scenarios'!$C$6/(1+ProductivityDefault*('5. Scenarios'!$C$11-1))+INDEX(BookOneOff,1936)*$I1941)</f>
        <v/>
      </c>
      <c r="N1941" s="56" t="str">
        <f aca="false">IF(INDEX(BookTitle,1936)="","",INDEX(BookTotal,1936)*'5. Scenarios'!$D$6/(1+ProductivityDefault*('5. Scenarios'!$D$11-1)))</f>
        <v/>
      </c>
      <c r="O1941" s="57" t="str">
        <f aca="false">IF($N1941="","",INDEX(BookRate,1936)*(1+'5. Scenarios'!$D$10)*$N1941)</f>
        <v/>
      </c>
      <c r="P1941" s="57" t="str">
        <f aca="false">IF($O1941="","",SUMIFS($O$6:$O$2405,$A$6:$A$2405,"&lt;="&amp;$A1941))</f>
        <v/>
      </c>
      <c r="Q1941" s="57" t="str">
        <f aca="false">IF($O1941="","",IF($P1941&lt;=BankCostEnvelope*'5. Scenarios'!$D$7,1,0))</f>
        <v/>
      </c>
      <c r="R1941" s="57" t="str">
        <f aca="false">IF($N1941="","",INDEX(BookRate,1936)*(1+'5. Scenarios'!$D$10)*(INDEX(BookQ1,1936)*(5-MIN(4,1+'5. Scenarios'!$D$8))/4+INDEX(BookQ2,1936)*(5-MIN(4,2+'5. Scenarios'!$D$8))/4+INDEX(BookQ3,1936)*(5-MIN(4,3+'5. Scenarios'!$D$8))/4+INDEX(BookQ4,1936)*(5-MIN(4,4+'5. Scenarios'!$D$8))/4)*'5. Scenarios'!$D$6/(1+ProductivityDefault*('5. Scenarios'!$D$11-1))+INDEX(BookOneOff,1936)*$N1941)</f>
        <v/>
      </c>
      <c r="S1941" s="56" t="str">
        <f aca="false">IF(INDEX(BookTitle,1936)="","",INDEX(BookTotal,1936)*'5. Scenarios'!$E$6/(1+ProductivityDefault*('5. Scenarios'!$E$11-1)))</f>
        <v/>
      </c>
      <c r="T1941" s="57" t="str">
        <f aca="false">IF($S1941="","",INDEX(BookRate,1936)*(1+'5. Scenarios'!$E$10)*$S1941)</f>
        <v/>
      </c>
      <c r="U1941" s="57" t="str">
        <f aca="false">IF($T1941="","",SUMIFS($T$6:$T$2405,$A$6:$A$2405,"&lt;="&amp;$A1941))</f>
        <v/>
      </c>
      <c r="V1941" s="57" t="str">
        <f aca="false">IF($T1941="","",IF($U1941&lt;=BankCostEnvelope*'5. Scenarios'!$E$7,1,0))</f>
        <v/>
      </c>
      <c r="W1941" s="57" t="str">
        <f aca="false">IF($S1941="","",INDEX(BookRate,1936)*(1+'5. Scenarios'!$E$10)*(INDEX(BookQ1,1936)*(5-MIN(4,1+'5. Scenarios'!$E$8))/4+INDEX(BookQ2,1936)*(5-MIN(4,2+'5. Scenarios'!$E$8))/4+INDEX(BookQ3,1936)*(5-MIN(4,3+'5. Scenarios'!$E$8))/4+INDEX(BookQ4,1936)*(5-MIN(4,4+'5. Scenarios'!$E$8))/4)*'5. Scenarios'!$E$6/(1+ProductivityDefault*('5. Scenarios'!$E$11-1))+INDEX(BookOneOff,1936)*$S1941)</f>
        <v/>
      </c>
    </row>
    <row r="1942" customFormat="false" ht="15" hidden="false" customHeight="false" outlineLevel="0" collapsed="false">
      <c r="A1942" s="0" t="str">
        <f aca="false">IF(INDEX(BookTitle,1937)="","",INDEX(BookKey,1937))</f>
        <v/>
      </c>
      <c r="B1942" s="0" t="str">
        <f aca="false">IF(INDEX(BookTitle,1937)="","",INDEX(BookGroup,1937))</f>
        <v/>
      </c>
      <c r="C1942" s="0" t="str">
        <f aca="false">IF(INDEX(BookTitle,1937)="","",INDEX(BookCategory,1937))</f>
        <v/>
      </c>
      <c r="D1942" s="56" t="str">
        <f aca="false">IF(INDEX(BookTitle,1937)="","",INDEX(BookTotal,1937)*'5. Scenarios'!$B$6/(1+ProductivityDefault*('5. Scenarios'!$B$11-1)))</f>
        <v/>
      </c>
      <c r="E1942" s="57" t="str">
        <f aca="false">IF($D1942="","",INDEX(BookRate,1937)*(1+'5. Scenarios'!$B$10)*$D1942)</f>
        <v/>
      </c>
      <c r="F1942" s="57" t="str">
        <f aca="false">IF($E1942="","",SUMIFS($E$6:$E$2405,$A$6:$A$2405,"&lt;="&amp;$A1942))</f>
        <v/>
      </c>
      <c r="G1942" s="57" t="str">
        <f aca="false">IF($E1942="","",IF($F1942&lt;=BankCostEnvelope*'5. Scenarios'!$B$7,1,0))</f>
        <v/>
      </c>
      <c r="H1942" s="57" t="str">
        <f aca="false">IF($D1942="","",INDEX(BookRate,1937)*(1+'5. Scenarios'!$B$10)*(INDEX(BookQ1,1937)*(5-MIN(4,1+'5. Scenarios'!$B$8))/4+INDEX(BookQ2,1937)*(5-MIN(4,2+'5. Scenarios'!$B$8))/4+INDEX(BookQ3,1937)*(5-MIN(4,3+'5. Scenarios'!$B$8))/4+INDEX(BookQ4,1937)*(5-MIN(4,4+'5. Scenarios'!$B$8))/4)*'5. Scenarios'!$B$6/(1+ProductivityDefault*('5. Scenarios'!$B$11-1))+INDEX(BookOneOff,1937)*$D1942)</f>
        <v/>
      </c>
      <c r="I1942" s="56" t="str">
        <f aca="false">IF(INDEX(BookTitle,1937)="","",INDEX(BookTotal,1937)*'5. Scenarios'!$C$6/(1+ProductivityDefault*('5. Scenarios'!$C$11-1)))</f>
        <v/>
      </c>
      <c r="J1942" s="57" t="str">
        <f aca="false">IF($I1942="","",INDEX(BookRate,1937)*(1+'5. Scenarios'!$C$10)*$I1942)</f>
        <v/>
      </c>
      <c r="K1942" s="57" t="str">
        <f aca="false">IF($J1942="","",SUMIFS($J$6:$J$2405,$A$6:$A$2405,"&lt;="&amp;$A1942))</f>
        <v/>
      </c>
      <c r="L1942" s="57" t="str">
        <f aca="false">IF($J1942="","",IF($K1942&lt;=BankCostEnvelope*'5. Scenarios'!$C$7,1,0))</f>
        <v/>
      </c>
      <c r="M1942" s="57" t="str">
        <f aca="false">IF($I1942="","",INDEX(BookRate,1937)*(1+'5. Scenarios'!$C$10)*(INDEX(BookQ1,1937)*(5-MIN(4,1+'5. Scenarios'!$C$8))/4+INDEX(BookQ2,1937)*(5-MIN(4,2+'5. Scenarios'!$C$8))/4+INDEX(BookQ3,1937)*(5-MIN(4,3+'5. Scenarios'!$C$8))/4+INDEX(BookQ4,1937)*(5-MIN(4,4+'5. Scenarios'!$C$8))/4)*'5. Scenarios'!$C$6/(1+ProductivityDefault*('5. Scenarios'!$C$11-1))+INDEX(BookOneOff,1937)*$I1942)</f>
        <v/>
      </c>
      <c r="N1942" s="56" t="str">
        <f aca="false">IF(INDEX(BookTitle,1937)="","",INDEX(BookTotal,1937)*'5. Scenarios'!$D$6/(1+ProductivityDefault*('5. Scenarios'!$D$11-1)))</f>
        <v/>
      </c>
      <c r="O1942" s="57" t="str">
        <f aca="false">IF($N1942="","",INDEX(BookRate,1937)*(1+'5. Scenarios'!$D$10)*$N1942)</f>
        <v/>
      </c>
      <c r="P1942" s="57" t="str">
        <f aca="false">IF($O1942="","",SUMIFS($O$6:$O$2405,$A$6:$A$2405,"&lt;="&amp;$A1942))</f>
        <v/>
      </c>
      <c r="Q1942" s="57" t="str">
        <f aca="false">IF($O1942="","",IF($P1942&lt;=BankCostEnvelope*'5. Scenarios'!$D$7,1,0))</f>
        <v/>
      </c>
      <c r="R1942" s="57" t="str">
        <f aca="false">IF($N1942="","",INDEX(BookRate,1937)*(1+'5. Scenarios'!$D$10)*(INDEX(BookQ1,1937)*(5-MIN(4,1+'5. Scenarios'!$D$8))/4+INDEX(BookQ2,1937)*(5-MIN(4,2+'5. Scenarios'!$D$8))/4+INDEX(BookQ3,1937)*(5-MIN(4,3+'5. Scenarios'!$D$8))/4+INDEX(BookQ4,1937)*(5-MIN(4,4+'5. Scenarios'!$D$8))/4)*'5. Scenarios'!$D$6/(1+ProductivityDefault*('5. Scenarios'!$D$11-1))+INDEX(BookOneOff,1937)*$N1942)</f>
        <v/>
      </c>
      <c r="S1942" s="56" t="str">
        <f aca="false">IF(INDEX(BookTitle,1937)="","",INDEX(BookTotal,1937)*'5. Scenarios'!$E$6/(1+ProductivityDefault*('5. Scenarios'!$E$11-1)))</f>
        <v/>
      </c>
      <c r="T1942" s="57" t="str">
        <f aca="false">IF($S1942="","",INDEX(BookRate,1937)*(1+'5. Scenarios'!$E$10)*$S1942)</f>
        <v/>
      </c>
      <c r="U1942" s="57" t="str">
        <f aca="false">IF($T1942="","",SUMIFS($T$6:$T$2405,$A$6:$A$2405,"&lt;="&amp;$A1942))</f>
        <v/>
      </c>
      <c r="V1942" s="57" t="str">
        <f aca="false">IF($T1942="","",IF($U1942&lt;=BankCostEnvelope*'5. Scenarios'!$E$7,1,0))</f>
        <v/>
      </c>
      <c r="W1942" s="57" t="str">
        <f aca="false">IF($S1942="","",INDEX(BookRate,1937)*(1+'5. Scenarios'!$E$10)*(INDEX(BookQ1,1937)*(5-MIN(4,1+'5. Scenarios'!$E$8))/4+INDEX(BookQ2,1937)*(5-MIN(4,2+'5. Scenarios'!$E$8))/4+INDEX(BookQ3,1937)*(5-MIN(4,3+'5. Scenarios'!$E$8))/4+INDEX(BookQ4,1937)*(5-MIN(4,4+'5. Scenarios'!$E$8))/4)*'5. Scenarios'!$E$6/(1+ProductivityDefault*('5. Scenarios'!$E$11-1))+INDEX(BookOneOff,1937)*$S1942)</f>
        <v/>
      </c>
    </row>
    <row r="1943" customFormat="false" ht="15" hidden="false" customHeight="false" outlineLevel="0" collapsed="false">
      <c r="A1943" s="0" t="str">
        <f aca="false">IF(INDEX(BookTitle,1938)="","",INDEX(BookKey,1938))</f>
        <v/>
      </c>
      <c r="B1943" s="0" t="str">
        <f aca="false">IF(INDEX(BookTitle,1938)="","",INDEX(BookGroup,1938))</f>
        <v/>
      </c>
      <c r="C1943" s="0" t="str">
        <f aca="false">IF(INDEX(BookTitle,1938)="","",INDEX(BookCategory,1938))</f>
        <v/>
      </c>
      <c r="D1943" s="56" t="str">
        <f aca="false">IF(INDEX(BookTitle,1938)="","",INDEX(BookTotal,1938)*'5. Scenarios'!$B$6/(1+ProductivityDefault*('5. Scenarios'!$B$11-1)))</f>
        <v/>
      </c>
      <c r="E1943" s="57" t="str">
        <f aca="false">IF($D1943="","",INDEX(BookRate,1938)*(1+'5. Scenarios'!$B$10)*$D1943)</f>
        <v/>
      </c>
      <c r="F1943" s="57" t="str">
        <f aca="false">IF($E1943="","",SUMIFS($E$6:$E$2405,$A$6:$A$2405,"&lt;="&amp;$A1943))</f>
        <v/>
      </c>
      <c r="G1943" s="57" t="str">
        <f aca="false">IF($E1943="","",IF($F1943&lt;=BankCostEnvelope*'5. Scenarios'!$B$7,1,0))</f>
        <v/>
      </c>
      <c r="H1943" s="57" t="str">
        <f aca="false">IF($D1943="","",INDEX(BookRate,1938)*(1+'5. Scenarios'!$B$10)*(INDEX(BookQ1,1938)*(5-MIN(4,1+'5. Scenarios'!$B$8))/4+INDEX(BookQ2,1938)*(5-MIN(4,2+'5. Scenarios'!$B$8))/4+INDEX(BookQ3,1938)*(5-MIN(4,3+'5. Scenarios'!$B$8))/4+INDEX(BookQ4,1938)*(5-MIN(4,4+'5. Scenarios'!$B$8))/4)*'5. Scenarios'!$B$6/(1+ProductivityDefault*('5. Scenarios'!$B$11-1))+INDEX(BookOneOff,1938)*$D1943)</f>
        <v/>
      </c>
      <c r="I1943" s="56" t="str">
        <f aca="false">IF(INDEX(BookTitle,1938)="","",INDEX(BookTotal,1938)*'5. Scenarios'!$C$6/(1+ProductivityDefault*('5. Scenarios'!$C$11-1)))</f>
        <v/>
      </c>
      <c r="J1943" s="57" t="str">
        <f aca="false">IF($I1943="","",INDEX(BookRate,1938)*(1+'5. Scenarios'!$C$10)*$I1943)</f>
        <v/>
      </c>
      <c r="K1943" s="57" t="str">
        <f aca="false">IF($J1943="","",SUMIFS($J$6:$J$2405,$A$6:$A$2405,"&lt;="&amp;$A1943))</f>
        <v/>
      </c>
      <c r="L1943" s="57" t="str">
        <f aca="false">IF($J1943="","",IF($K1943&lt;=BankCostEnvelope*'5. Scenarios'!$C$7,1,0))</f>
        <v/>
      </c>
      <c r="M1943" s="57" t="str">
        <f aca="false">IF($I1943="","",INDEX(BookRate,1938)*(1+'5. Scenarios'!$C$10)*(INDEX(BookQ1,1938)*(5-MIN(4,1+'5. Scenarios'!$C$8))/4+INDEX(BookQ2,1938)*(5-MIN(4,2+'5. Scenarios'!$C$8))/4+INDEX(BookQ3,1938)*(5-MIN(4,3+'5. Scenarios'!$C$8))/4+INDEX(BookQ4,1938)*(5-MIN(4,4+'5. Scenarios'!$C$8))/4)*'5. Scenarios'!$C$6/(1+ProductivityDefault*('5. Scenarios'!$C$11-1))+INDEX(BookOneOff,1938)*$I1943)</f>
        <v/>
      </c>
      <c r="N1943" s="56" t="str">
        <f aca="false">IF(INDEX(BookTitle,1938)="","",INDEX(BookTotal,1938)*'5. Scenarios'!$D$6/(1+ProductivityDefault*('5. Scenarios'!$D$11-1)))</f>
        <v/>
      </c>
      <c r="O1943" s="57" t="str">
        <f aca="false">IF($N1943="","",INDEX(BookRate,1938)*(1+'5. Scenarios'!$D$10)*$N1943)</f>
        <v/>
      </c>
      <c r="P1943" s="57" t="str">
        <f aca="false">IF($O1943="","",SUMIFS($O$6:$O$2405,$A$6:$A$2405,"&lt;="&amp;$A1943))</f>
        <v/>
      </c>
      <c r="Q1943" s="57" t="str">
        <f aca="false">IF($O1943="","",IF($P1943&lt;=BankCostEnvelope*'5. Scenarios'!$D$7,1,0))</f>
        <v/>
      </c>
      <c r="R1943" s="57" t="str">
        <f aca="false">IF($N1943="","",INDEX(BookRate,1938)*(1+'5. Scenarios'!$D$10)*(INDEX(BookQ1,1938)*(5-MIN(4,1+'5. Scenarios'!$D$8))/4+INDEX(BookQ2,1938)*(5-MIN(4,2+'5. Scenarios'!$D$8))/4+INDEX(BookQ3,1938)*(5-MIN(4,3+'5. Scenarios'!$D$8))/4+INDEX(BookQ4,1938)*(5-MIN(4,4+'5. Scenarios'!$D$8))/4)*'5. Scenarios'!$D$6/(1+ProductivityDefault*('5. Scenarios'!$D$11-1))+INDEX(BookOneOff,1938)*$N1943)</f>
        <v/>
      </c>
      <c r="S1943" s="56" t="str">
        <f aca="false">IF(INDEX(BookTitle,1938)="","",INDEX(BookTotal,1938)*'5. Scenarios'!$E$6/(1+ProductivityDefault*('5. Scenarios'!$E$11-1)))</f>
        <v/>
      </c>
      <c r="T1943" s="57" t="str">
        <f aca="false">IF($S1943="","",INDEX(BookRate,1938)*(1+'5. Scenarios'!$E$10)*$S1943)</f>
        <v/>
      </c>
      <c r="U1943" s="57" t="str">
        <f aca="false">IF($T1943="","",SUMIFS($T$6:$T$2405,$A$6:$A$2405,"&lt;="&amp;$A1943))</f>
        <v/>
      </c>
      <c r="V1943" s="57" t="str">
        <f aca="false">IF($T1943="","",IF($U1943&lt;=BankCostEnvelope*'5. Scenarios'!$E$7,1,0))</f>
        <v/>
      </c>
      <c r="W1943" s="57" t="str">
        <f aca="false">IF($S1943="","",INDEX(BookRate,1938)*(1+'5. Scenarios'!$E$10)*(INDEX(BookQ1,1938)*(5-MIN(4,1+'5. Scenarios'!$E$8))/4+INDEX(BookQ2,1938)*(5-MIN(4,2+'5. Scenarios'!$E$8))/4+INDEX(BookQ3,1938)*(5-MIN(4,3+'5. Scenarios'!$E$8))/4+INDEX(BookQ4,1938)*(5-MIN(4,4+'5. Scenarios'!$E$8))/4)*'5. Scenarios'!$E$6/(1+ProductivityDefault*('5. Scenarios'!$E$11-1))+INDEX(BookOneOff,1938)*$S1943)</f>
        <v/>
      </c>
    </row>
    <row r="1944" customFormat="false" ht="15" hidden="false" customHeight="false" outlineLevel="0" collapsed="false">
      <c r="A1944" s="0" t="str">
        <f aca="false">IF(INDEX(BookTitle,1939)="","",INDEX(BookKey,1939))</f>
        <v/>
      </c>
      <c r="B1944" s="0" t="str">
        <f aca="false">IF(INDEX(BookTitle,1939)="","",INDEX(BookGroup,1939))</f>
        <v/>
      </c>
      <c r="C1944" s="0" t="str">
        <f aca="false">IF(INDEX(BookTitle,1939)="","",INDEX(BookCategory,1939))</f>
        <v/>
      </c>
      <c r="D1944" s="56" t="str">
        <f aca="false">IF(INDEX(BookTitle,1939)="","",INDEX(BookTotal,1939)*'5. Scenarios'!$B$6/(1+ProductivityDefault*('5. Scenarios'!$B$11-1)))</f>
        <v/>
      </c>
      <c r="E1944" s="57" t="str">
        <f aca="false">IF($D1944="","",INDEX(BookRate,1939)*(1+'5. Scenarios'!$B$10)*$D1944)</f>
        <v/>
      </c>
      <c r="F1944" s="57" t="str">
        <f aca="false">IF($E1944="","",SUMIFS($E$6:$E$2405,$A$6:$A$2405,"&lt;="&amp;$A1944))</f>
        <v/>
      </c>
      <c r="G1944" s="57" t="str">
        <f aca="false">IF($E1944="","",IF($F1944&lt;=BankCostEnvelope*'5. Scenarios'!$B$7,1,0))</f>
        <v/>
      </c>
      <c r="H1944" s="57" t="str">
        <f aca="false">IF($D1944="","",INDEX(BookRate,1939)*(1+'5. Scenarios'!$B$10)*(INDEX(BookQ1,1939)*(5-MIN(4,1+'5. Scenarios'!$B$8))/4+INDEX(BookQ2,1939)*(5-MIN(4,2+'5. Scenarios'!$B$8))/4+INDEX(BookQ3,1939)*(5-MIN(4,3+'5. Scenarios'!$B$8))/4+INDEX(BookQ4,1939)*(5-MIN(4,4+'5. Scenarios'!$B$8))/4)*'5. Scenarios'!$B$6/(1+ProductivityDefault*('5. Scenarios'!$B$11-1))+INDEX(BookOneOff,1939)*$D1944)</f>
        <v/>
      </c>
      <c r="I1944" s="56" t="str">
        <f aca="false">IF(INDEX(BookTitle,1939)="","",INDEX(BookTotal,1939)*'5. Scenarios'!$C$6/(1+ProductivityDefault*('5. Scenarios'!$C$11-1)))</f>
        <v/>
      </c>
      <c r="J1944" s="57" t="str">
        <f aca="false">IF($I1944="","",INDEX(BookRate,1939)*(1+'5. Scenarios'!$C$10)*$I1944)</f>
        <v/>
      </c>
      <c r="K1944" s="57" t="str">
        <f aca="false">IF($J1944="","",SUMIFS($J$6:$J$2405,$A$6:$A$2405,"&lt;="&amp;$A1944))</f>
        <v/>
      </c>
      <c r="L1944" s="57" t="str">
        <f aca="false">IF($J1944="","",IF($K1944&lt;=BankCostEnvelope*'5. Scenarios'!$C$7,1,0))</f>
        <v/>
      </c>
      <c r="M1944" s="57" t="str">
        <f aca="false">IF($I1944="","",INDEX(BookRate,1939)*(1+'5. Scenarios'!$C$10)*(INDEX(BookQ1,1939)*(5-MIN(4,1+'5. Scenarios'!$C$8))/4+INDEX(BookQ2,1939)*(5-MIN(4,2+'5. Scenarios'!$C$8))/4+INDEX(BookQ3,1939)*(5-MIN(4,3+'5. Scenarios'!$C$8))/4+INDEX(BookQ4,1939)*(5-MIN(4,4+'5. Scenarios'!$C$8))/4)*'5. Scenarios'!$C$6/(1+ProductivityDefault*('5. Scenarios'!$C$11-1))+INDEX(BookOneOff,1939)*$I1944)</f>
        <v/>
      </c>
      <c r="N1944" s="56" t="str">
        <f aca="false">IF(INDEX(BookTitle,1939)="","",INDEX(BookTotal,1939)*'5. Scenarios'!$D$6/(1+ProductivityDefault*('5. Scenarios'!$D$11-1)))</f>
        <v/>
      </c>
      <c r="O1944" s="57" t="str">
        <f aca="false">IF($N1944="","",INDEX(BookRate,1939)*(1+'5. Scenarios'!$D$10)*$N1944)</f>
        <v/>
      </c>
      <c r="P1944" s="57" t="str">
        <f aca="false">IF($O1944="","",SUMIFS($O$6:$O$2405,$A$6:$A$2405,"&lt;="&amp;$A1944))</f>
        <v/>
      </c>
      <c r="Q1944" s="57" t="str">
        <f aca="false">IF($O1944="","",IF($P1944&lt;=BankCostEnvelope*'5. Scenarios'!$D$7,1,0))</f>
        <v/>
      </c>
      <c r="R1944" s="57" t="str">
        <f aca="false">IF($N1944="","",INDEX(BookRate,1939)*(1+'5. Scenarios'!$D$10)*(INDEX(BookQ1,1939)*(5-MIN(4,1+'5. Scenarios'!$D$8))/4+INDEX(BookQ2,1939)*(5-MIN(4,2+'5. Scenarios'!$D$8))/4+INDEX(BookQ3,1939)*(5-MIN(4,3+'5. Scenarios'!$D$8))/4+INDEX(BookQ4,1939)*(5-MIN(4,4+'5. Scenarios'!$D$8))/4)*'5. Scenarios'!$D$6/(1+ProductivityDefault*('5. Scenarios'!$D$11-1))+INDEX(BookOneOff,1939)*$N1944)</f>
        <v/>
      </c>
      <c r="S1944" s="56" t="str">
        <f aca="false">IF(INDEX(BookTitle,1939)="","",INDEX(BookTotal,1939)*'5. Scenarios'!$E$6/(1+ProductivityDefault*('5. Scenarios'!$E$11-1)))</f>
        <v/>
      </c>
      <c r="T1944" s="57" t="str">
        <f aca="false">IF($S1944="","",INDEX(BookRate,1939)*(1+'5. Scenarios'!$E$10)*$S1944)</f>
        <v/>
      </c>
      <c r="U1944" s="57" t="str">
        <f aca="false">IF($T1944="","",SUMIFS($T$6:$T$2405,$A$6:$A$2405,"&lt;="&amp;$A1944))</f>
        <v/>
      </c>
      <c r="V1944" s="57" t="str">
        <f aca="false">IF($T1944="","",IF($U1944&lt;=BankCostEnvelope*'5. Scenarios'!$E$7,1,0))</f>
        <v/>
      </c>
      <c r="W1944" s="57" t="str">
        <f aca="false">IF($S1944="","",INDEX(BookRate,1939)*(1+'5. Scenarios'!$E$10)*(INDEX(BookQ1,1939)*(5-MIN(4,1+'5. Scenarios'!$E$8))/4+INDEX(BookQ2,1939)*(5-MIN(4,2+'5. Scenarios'!$E$8))/4+INDEX(BookQ3,1939)*(5-MIN(4,3+'5. Scenarios'!$E$8))/4+INDEX(BookQ4,1939)*(5-MIN(4,4+'5. Scenarios'!$E$8))/4)*'5. Scenarios'!$E$6/(1+ProductivityDefault*('5. Scenarios'!$E$11-1))+INDEX(BookOneOff,1939)*$S1944)</f>
        <v/>
      </c>
    </row>
    <row r="1945" customFormat="false" ht="15" hidden="false" customHeight="false" outlineLevel="0" collapsed="false">
      <c r="A1945" s="0" t="str">
        <f aca="false">IF(INDEX(BookTitle,1940)="","",INDEX(BookKey,1940))</f>
        <v/>
      </c>
      <c r="B1945" s="0" t="str">
        <f aca="false">IF(INDEX(BookTitle,1940)="","",INDEX(BookGroup,1940))</f>
        <v/>
      </c>
      <c r="C1945" s="0" t="str">
        <f aca="false">IF(INDEX(BookTitle,1940)="","",INDEX(BookCategory,1940))</f>
        <v/>
      </c>
      <c r="D1945" s="56" t="str">
        <f aca="false">IF(INDEX(BookTitle,1940)="","",INDEX(BookTotal,1940)*'5. Scenarios'!$B$6/(1+ProductivityDefault*('5. Scenarios'!$B$11-1)))</f>
        <v/>
      </c>
      <c r="E1945" s="57" t="str">
        <f aca="false">IF($D1945="","",INDEX(BookRate,1940)*(1+'5. Scenarios'!$B$10)*$D1945)</f>
        <v/>
      </c>
      <c r="F1945" s="57" t="str">
        <f aca="false">IF($E1945="","",SUMIFS($E$6:$E$2405,$A$6:$A$2405,"&lt;="&amp;$A1945))</f>
        <v/>
      </c>
      <c r="G1945" s="57" t="str">
        <f aca="false">IF($E1945="","",IF($F1945&lt;=BankCostEnvelope*'5. Scenarios'!$B$7,1,0))</f>
        <v/>
      </c>
      <c r="H1945" s="57" t="str">
        <f aca="false">IF($D1945="","",INDEX(BookRate,1940)*(1+'5. Scenarios'!$B$10)*(INDEX(BookQ1,1940)*(5-MIN(4,1+'5. Scenarios'!$B$8))/4+INDEX(BookQ2,1940)*(5-MIN(4,2+'5. Scenarios'!$B$8))/4+INDEX(BookQ3,1940)*(5-MIN(4,3+'5. Scenarios'!$B$8))/4+INDEX(BookQ4,1940)*(5-MIN(4,4+'5. Scenarios'!$B$8))/4)*'5. Scenarios'!$B$6/(1+ProductivityDefault*('5. Scenarios'!$B$11-1))+INDEX(BookOneOff,1940)*$D1945)</f>
        <v/>
      </c>
      <c r="I1945" s="56" t="str">
        <f aca="false">IF(INDEX(BookTitle,1940)="","",INDEX(BookTotal,1940)*'5. Scenarios'!$C$6/(1+ProductivityDefault*('5. Scenarios'!$C$11-1)))</f>
        <v/>
      </c>
      <c r="J1945" s="57" t="str">
        <f aca="false">IF($I1945="","",INDEX(BookRate,1940)*(1+'5. Scenarios'!$C$10)*$I1945)</f>
        <v/>
      </c>
      <c r="K1945" s="57" t="str">
        <f aca="false">IF($J1945="","",SUMIFS($J$6:$J$2405,$A$6:$A$2405,"&lt;="&amp;$A1945))</f>
        <v/>
      </c>
      <c r="L1945" s="57" t="str">
        <f aca="false">IF($J1945="","",IF($K1945&lt;=BankCostEnvelope*'5. Scenarios'!$C$7,1,0))</f>
        <v/>
      </c>
      <c r="M1945" s="57" t="str">
        <f aca="false">IF($I1945="","",INDEX(BookRate,1940)*(1+'5. Scenarios'!$C$10)*(INDEX(BookQ1,1940)*(5-MIN(4,1+'5. Scenarios'!$C$8))/4+INDEX(BookQ2,1940)*(5-MIN(4,2+'5. Scenarios'!$C$8))/4+INDEX(BookQ3,1940)*(5-MIN(4,3+'5. Scenarios'!$C$8))/4+INDEX(BookQ4,1940)*(5-MIN(4,4+'5. Scenarios'!$C$8))/4)*'5. Scenarios'!$C$6/(1+ProductivityDefault*('5. Scenarios'!$C$11-1))+INDEX(BookOneOff,1940)*$I1945)</f>
        <v/>
      </c>
      <c r="N1945" s="56" t="str">
        <f aca="false">IF(INDEX(BookTitle,1940)="","",INDEX(BookTotal,1940)*'5. Scenarios'!$D$6/(1+ProductivityDefault*('5. Scenarios'!$D$11-1)))</f>
        <v/>
      </c>
      <c r="O1945" s="57" t="str">
        <f aca="false">IF($N1945="","",INDEX(BookRate,1940)*(1+'5. Scenarios'!$D$10)*$N1945)</f>
        <v/>
      </c>
      <c r="P1945" s="57" t="str">
        <f aca="false">IF($O1945="","",SUMIFS($O$6:$O$2405,$A$6:$A$2405,"&lt;="&amp;$A1945))</f>
        <v/>
      </c>
      <c r="Q1945" s="57" t="str">
        <f aca="false">IF($O1945="","",IF($P1945&lt;=BankCostEnvelope*'5. Scenarios'!$D$7,1,0))</f>
        <v/>
      </c>
      <c r="R1945" s="57" t="str">
        <f aca="false">IF($N1945="","",INDEX(BookRate,1940)*(1+'5. Scenarios'!$D$10)*(INDEX(BookQ1,1940)*(5-MIN(4,1+'5. Scenarios'!$D$8))/4+INDEX(BookQ2,1940)*(5-MIN(4,2+'5. Scenarios'!$D$8))/4+INDEX(BookQ3,1940)*(5-MIN(4,3+'5. Scenarios'!$D$8))/4+INDEX(BookQ4,1940)*(5-MIN(4,4+'5. Scenarios'!$D$8))/4)*'5. Scenarios'!$D$6/(1+ProductivityDefault*('5. Scenarios'!$D$11-1))+INDEX(BookOneOff,1940)*$N1945)</f>
        <v/>
      </c>
      <c r="S1945" s="56" t="str">
        <f aca="false">IF(INDEX(BookTitle,1940)="","",INDEX(BookTotal,1940)*'5. Scenarios'!$E$6/(1+ProductivityDefault*('5. Scenarios'!$E$11-1)))</f>
        <v/>
      </c>
      <c r="T1945" s="57" t="str">
        <f aca="false">IF($S1945="","",INDEX(BookRate,1940)*(1+'5. Scenarios'!$E$10)*$S1945)</f>
        <v/>
      </c>
      <c r="U1945" s="57" t="str">
        <f aca="false">IF($T1945="","",SUMIFS($T$6:$T$2405,$A$6:$A$2405,"&lt;="&amp;$A1945))</f>
        <v/>
      </c>
      <c r="V1945" s="57" t="str">
        <f aca="false">IF($T1945="","",IF($U1945&lt;=BankCostEnvelope*'5. Scenarios'!$E$7,1,0))</f>
        <v/>
      </c>
      <c r="W1945" s="57" t="str">
        <f aca="false">IF($S1945="","",INDEX(BookRate,1940)*(1+'5. Scenarios'!$E$10)*(INDEX(BookQ1,1940)*(5-MIN(4,1+'5. Scenarios'!$E$8))/4+INDEX(BookQ2,1940)*(5-MIN(4,2+'5. Scenarios'!$E$8))/4+INDEX(BookQ3,1940)*(5-MIN(4,3+'5. Scenarios'!$E$8))/4+INDEX(BookQ4,1940)*(5-MIN(4,4+'5. Scenarios'!$E$8))/4)*'5. Scenarios'!$E$6/(1+ProductivityDefault*('5. Scenarios'!$E$11-1))+INDEX(BookOneOff,1940)*$S1945)</f>
        <v/>
      </c>
    </row>
    <row r="1946" customFormat="false" ht="15" hidden="false" customHeight="false" outlineLevel="0" collapsed="false">
      <c r="A1946" s="0" t="str">
        <f aca="false">IF(INDEX(BookTitle,1941)="","",INDEX(BookKey,1941))</f>
        <v/>
      </c>
      <c r="B1946" s="0" t="str">
        <f aca="false">IF(INDEX(BookTitle,1941)="","",INDEX(BookGroup,1941))</f>
        <v/>
      </c>
      <c r="C1946" s="0" t="str">
        <f aca="false">IF(INDEX(BookTitle,1941)="","",INDEX(BookCategory,1941))</f>
        <v/>
      </c>
      <c r="D1946" s="56" t="str">
        <f aca="false">IF(INDEX(BookTitle,1941)="","",INDEX(BookTotal,1941)*'5. Scenarios'!$B$6/(1+ProductivityDefault*('5. Scenarios'!$B$11-1)))</f>
        <v/>
      </c>
      <c r="E1946" s="57" t="str">
        <f aca="false">IF($D1946="","",INDEX(BookRate,1941)*(1+'5. Scenarios'!$B$10)*$D1946)</f>
        <v/>
      </c>
      <c r="F1946" s="57" t="str">
        <f aca="false">IF($E1946="","",SUMIFS($E$6:$E$2405,$A$6:$A$2405,"&lt;="&amp;$A1946))</f>
        <v/>
      </c>
      <c r="G1946" s="57" t="str">
        <f aca="false">IF($E1946="","",IF($F1946&lt;=BankCostEnvelope*'5. Scenarios'!$B$7,1,0))</f>
        <v/>
      </c>
      <c r="H1946" s="57" t="str">
        <f aca="false">IF($D1946="","",INDEX(BookRate,1941)*(1+'5. Scenarios'!$B$10)*(INDEX(BookQ1,1941)*(5-MIN(4,1+'5. Scenarios'!$B$8))/4+INDEX(BookQ2,1941)*(5-MIN(4,2+'5. Scenarios'!$B$8))/4+INDEX(BookQ3,1941)*(5-MIN(4,3+'5. Scenarios'!$B$8))/4+INDEX(BookQ4,1941)*(5-MIN(4,4+'5. Scenarios'!$B$8))/4)*'5. Scenarios'!$B$6/(1+ProductivityDefault*('5. Scenarios'!$B$11-1))+INDEX(BookOneOff,1941)*$D1946)</f>
        <v/>
      </c>
      <c r="I1946" s="56" t="str">
        <f aca="false">IF(INDEX(BookTitle,1941)="","",INDEX(BookTotal,1941)*'5. Scenarios'!$C$6/(1+ProductivityDefault*('5. Scenarios'!$C$11-1)))</f>
        <v/>
      </c>
      <c r="J1946" s="57" t="str">
        <f aca="false">IF($I1946="","",INDEX(BookRate,1941)*(1+'5. Scenarios'!$C$10)*$I1946)</f>
        <v/>
      </c>
      <c r="K1946" s="57" t="str">
        <f aca="false">IF($J1946="","",SUMIFS($J$6:$J$2405,$A$6:$A$2405,"&lt;="&amp;$A1946))</f>
        <v/>
      </c>
      <c r="L1946" s="57" t="str">
        <f aca="false">IF($J1946="","",IF($K1946&lt;=BankCostEnvelope*'5. Scenarios'!$C$7,1,0))</f>
        <v/>
      </c>
      <c r="M1946" s="57" t="str">
        <f aca="false">IF($I1946="","",INDEX(BookRate,1941)*(1+'5. Scenarios'!$C$10)*(INDEX(BookQ1,1941)*(5-MIN(4,1+'5. Scenarios'!$C$8))/4+INDEX(BookQ2,1941)*(5-MIN(4,2+'5. Scenarios'!$C$8))/4+INDEX(BookQ3,1941)*(5-MIN(4,3+'5. Scenarios'!$C$8))/4+INDEX(BookQ4,1941)*(5-MIN(4,4+'5. Scenarios'!$C$8))/4)*'5. Scenarios'!$C$6/(1+ProductivityDefault*('5. Scenarios'!$C$11-1))+INDEX(BookOneOff,1941)*$I1946)</f>
        <v/>
      </c>
      <c r="N1946" s="56" t="str">
        <f aca="false">IF(INDEX(BookTitle,1941)="","",INDEX(BookTotal,1941)*'5. Scenarios'!$D$6/(1+ProductivityDefault*('5. Scenarios'!$D$11-1)))</f>
        <v/>
      </c>
      <c r="O1946" s="57" t="str">
        <f aca="false">IF($N1946="","",INDEX(BookRate,1941)*(1+'5. Scenarios'!$D$10)*$N1946)</f>
        <v/>
      </c>
      <c r="P1946" s="57" t="str">
        <f aca="false">IF($O1946="","",SUMIFS($O$6:$O$2405,$A$6:$A$2405,"&lt;="&amp;$A1946))</f>
        <v/>
      </c>
      <c r="Q1946" s="57" t="str">
        <f aca="false">IF($O1946="","",IF($P1946&lt;=BankCostEnvelope*'5. Scenarios'!$D$7,1,0))</f>
        <v/>
      </c>
      <c r="R1946" s="57" t="str">
        <f aca="false">IF($N1946="","",INDEX(BookRate,1941)*(1+'5. Scenarios'!$D$10)*(INDEX(BookQ1,1941)*(5-MIN(4,1+'5. Scenarios'!$D$8))/4+INDEX(BookQ2,1941)*(5-MIN(4,2+'5. Scenarios'!$D$8))/4+INDEX(BookQ3,1941)*(5-MIN(4,3+'5. Scenarios'!$D$8))/4+INDEX(BookQ4,1941)*(5-MIN(4,4+'5. Scenarios'!$D$8))/4)*'5. Scenarios'!$D$6/(1+ProductivityDefault*('5. Scenarios'!$D$11-1))+INDEX(BookOneOff,1941)*$N1946)</f>
        <v/>
      </c>
      <c r="S1946" s="56" t="str">
        <f aca="false">IF(INDEX(BookTitle,1941)="","",INDEX(BookTotal,1941)*'5. Scenarios'!$E$6/(1+ProductivityDefault*('5. Scenarios'!$E$11-1)))</f>
        <v/>
      </c>
      <c r="T1946" s="57" t="str">
        <f aca="false">IF($S1946="","",INDEX(BookRate,1941)*(1+'5. Scenarios'!$E$10)*$S1946)</f>
        <v/>
      </c>
      <c r="U1946" s="57" t="str">
        <f aca="false">IF($T1946="","",SUMIFS($T$6:$T$2405,$A$6:$A$2405,"&lt;="&amp;$A1946))</f>
        <v/>
      </c>
      <c r="V1946" s="57" t="str">
        <f aca="false">IF($T1946="","",IF($U1946&lt;=BankCostEnvelope*'5. Scenarios'!$E$7,1,0))</f>
        <v/>
      </c>
      <c r="W1946" s="57" t="str">
        <f aca="false">IF($S1946="","",INDEX(BookRate,1941)*(1+'5. Scenarios'!$E$10)*(INDEX(BookQ1,1941)*(5-MIN(4,1+'5. Scenarios'!$E$8))/4+INDEX(BookQ2,1941)*(5-MIN(4,2+'5. Scenarios'!$E$8))/4+INDEX(BookQ3,1941)*(5-MIN(4,3+'5. Scenarios'!$E$8))/4+INDEX(BookQ4,1941)*(5-MIN(4,4+'5. Scenarios'!$E$8))/4)*'5. Scenarios'!$E$6/(1+ProductivityDefault*('5. Scenarios'!$E$11-1))+INDEX(BookOneOff,1941)*$S1946)</f>
        <v/>
      </c>
    </row>
    <row r="1947" customFormat="false" ht="15" hidden="false" customHeight="false" outlineLevel="0" collapsed="false">
      <c r="A1947" s="0" t="str">
        <f aca="false">IF(INDEX(BookTitle,1942)="","",INDEX(BookKey,1942))</f>
        <v/>
      </c>
      <c r="B1947" s="0" t="str">
        <f aca="false">IF(INDEX(BookTitle,1942)="","",INDEX(BookGroup,1942))</f>
        <v/>
      </c>
      <c r="C1947" s="0" t="str">
        <f aca="false">IF(INDEX(BookTitle,1942)="","",INDEX(BookCategory,1942))</f>
        <v/>
      </c>
      <c r="D1947" s="56" t="str">
        <f aca="false">IF(INDEX(BookTitle,1942)="","",INDEX(BookTotal,1942)*'5. Scenarios'!$B$6/(1+ProductivityDefault*('5. Scenarios'!$B$11-1)))</f>
        <v/>
      </c>
      <c r="E1947" s="57" t="str">
        <f aca="false">IF($D1947="","",INDEX(BookRate,1942)*(1+'5. Scenarios'!$B$10)*$D1947)</f>
        <v/>
      </c>
      <c r="F1947" s="57" t="str">
        <f aca="false">IF($E1947="","",SUMIFS($E$6:$E$2405,$A$6:$A$2405,"&lt;="&amp;$A1947))</f>
        <v/>
      </c>
      <c r="G1947" s="57" t="str">
        <f aca="false">IF($E1947="","",IF($F1947&lt;=BankCostEnvelope*'5. Scenarios'!$B$7,1,0))</f>
        <v/>
      </c>
      <c r="H1947" s="57" t="str">
        <f aca="false">IF($D1947="","",INDEX(BookRate,1942)*(1+'5. Scenarios'!$B$10)*(INDEX(BookQ1,1942)*(5-MIN(4,1+'5. Scenarios'!$B$8))/4+INDEX(BookQ2,1942)*(5-MIN(4,2+'5. Scenarios'!$B$8))/4+INDEX(BookQ3,1942)*(5-MIN(4,3+'5. Scenarios'!$B$8))/4+INDEX(BookQ4,1942)*(5-MIN(4,4+'5. Scenarios'!$B$8))/4)*'5. Scenarios'!$B$6/(1+ProductivityDefault*('5. Scenarios'!$B$11-1))+INDEX(BookOneOff,1942)*$D1947)</f>
        <v/>
      </c>
      <c r="I1947" s="56" t="str">
        <f aca="false">IF(INDEX(BookTitle,1942)="","",INDEX(BookTotal,1942)*'5. Scenarios'!$C$6/(1+ProductivityDefault*('5. Scenarios'!$C$11-1)))</f>
        <v/>
      </c>
      <c r="J1947" s="57" t="str">
        <f aca="false">IF($I1947="","",INDEX(BookRate,1942)*(1+'5. Scenarios'!$C$10)*$I1947)</f>
        <v/>
      </c>
      <c r="K1947" s="57" t="str">
        <f aca="false">IF($J1947="","",SUMIFS($J$6:$J$2405,$A$6:$A$2405,"&lt;="&amp;$A1947))</f>
        <v/>
      </c>
      <c r="L1947" s="57" t="str">
        <f aca="false">IF($J1947="","",IF($K1947&lt;=BankCostEnvelope*'5. Scenarios'!$C$7,1,0))</f>
        <v/>
      </c>
      <c r="M1947" s="57" t="str">
        <f aca="false">IF($I1947="","",INDEX(BookRate,1942)*(1+'5. Scenarios'!$C$10)*(INDEX(BookQ1,1942)*(5-MIN(4,1+'5. Scenarios'!$C$8))/4+INDEX(BookQ2,1942)*(5-MIN(4,2+'5. Scenarios'!$C$8))/4+INDEX(BookQ3,1942)*(5-MIN(4,3+'5. Scenarios'!$C$8))/4+INDEX(BookQ4,1942)*(5-MIN(4,4+'5. Scenarios'!$C$8))/4)*'5. Scenarios'!$C$6/(1+ProductivityDefault*('5. Scenarios'!$C$11-1))+INDEX(BookOneOff,1942)*$I1947)</f>
        <v/>
      </c>
      <c r="N1947" s="56" t="str">
        <f aca="false">IF(INDEX(BookTitle,1942)="","",INDEX(BookTotal,1942)*'5. Scenarios'!$D$6/(1+ProductivityDefault*('5. Scenarios'!$D$11-1)))</f>
        <v/>
      </c>
      <c r="O1947" s="57" t="str">
        <f aca="false">IF($N1947="","",INDEX(BookRate,1942)*(1+'5. Scenarios'!$D$10)*$N1947)</f>
        <v/>
      </c>
      <c r="P1947" s="57" t="str">
        <f aca="false">IF($O1947="","",SUMIFS($O$6:$O$2405,$A$6:$A$2405,"&lt;="&amp;$A1947))</f>
        <v/>
      </c>
      <c r="Q1947" s="57" t="str">
        <f aca="false">IF($O1947="","",IF($P1947&lt;=BankCostEnvelope*'5. Scenarios'!$D$7,1,0))</f>
        <v/>
      </c>
      <c r="R1947" s="57" t="str">
        <f aca="false">IF($N1947="","",INDEX(BookRate,1942)*(1+'5. Scenarios'!$D$10)*(INDEX(BookQ1,1942)*(5-MIN(4,1+'5. Scenarios'!$D$8))/4+INDEX(BookQ2,1942)*(5-MIN(4,2+'5. Scenarios'!$D$8))/4+INDEX(BookQ3,1942)*(5-MIN(4,3+'5. Scenarios'!$D$8))/4+INDEX(BookQ4,1942)*(5-MIN(4,4+'5. Scenarios'!$D$8))/4)*'5. Scenarios'!$D$6/(1+ProductivityDefault*('5. Scenarios'!$D$11-1))+INDEX(BookOneOff,1942)*$N1947)</f>
        <v/>
      </c>
      <c r="S1947" s="56" t="str">
        <f aca="false">IF(INDEX(BookTitle,1942)="","",INDEX(BookTotal,1942)*'5. Scenarios'!$E$6/(1+ProductivityDefault*('5. Scenarios'!$E$11-1)))</f>
        <v/>
      </c>
      <c r="T1947" s="57" t="str">
        <f aca="false">IF($S1947="","",INDEX(BookRate,1942)*(1+'5. Scenarios'!$E$10)*$S1947)</f>
        <v/>
      </c>
      <c r="U1947" s="57" t="str">
        <f aca="false">IF($T1947="","",SUMIFS($T$6:$T$2405,$A$6:$A$2405,"&lt;="&amp;$A1947))</f>
        <v/>
      </c>
      <c r="V1947" s="57" t="str">
        <f aca="false">IF($T1947="","",IF($U1947&lt;=BankCostEnvelope*'5. Scenarios'!$E$7,1,0))</f>
        <v/>
      </c>
      <c r="W1947" s="57" t="str">
        <f aca="false">IF($S1947="","",INDEX(BookRate,1942)*(1+'5. Scenarios'!$E$10)*(INDEX(BookQ1,1942)*(5-MIN(4,1+'5. Scenarios'!$E$8))/4+INDEX(BookQ2,1942)*(5-MIN(4,2+'5. Scenarios'!$E$8))/4+INDEX(BookQ3,1942)*(5-MIN(4,3+'5. Scenarios'!$E$8))/4+INDEX(BookQ4,1942)*(5-MIN(4,4+'5. Scenarios'!$E$8))/4)*'5. Scenarios'!$E$6/(1+ProductivityDefault*('5. Scenarios'!$E$11-1))+INDEX(BookOneOff,1942)*$S1947)</f>
        <v/>
      </c>
    </row>
    <row r="1948" customFormat="false" ht="15" hidden="false" customHeight="false" outlineLevel="0" collapsed="false">
      <c r="A1948" s="0" t="str">
        <f aca="false">IF(INDEX(BookTitle,1943)="","",INDEX(BookKey,1943))</f>
        <v/>
      </c>
      <c r="B1948" s="0" t="str">
        <f aca="false">IF(INDEX(BookTitle,1943)="","",INDEX(BookGroup,1943))</f>
        <v/>
      </c>
      <c r="C1948" s="0" t="str">
        <f aca="false">IF(INDEX(BookTitle,1943)="","",INDEX(BookCategory,1943))</f>
        <v/>
      </c>
      <c r="D1948" s="56" t="str">
        <f aca="false">IF(INDEX(BookTitle,1943)="","",INDEX(BookTotal,1943)*'5. Scenarios'!$B$6/(1+ProductivityDefault*('5. Scenarios'!$B$11-1)))</f>
        <v/>
      </c>
      <c r="E1948" s="57" t="str">
        <f aca="false">IF($D1948="","",INDEX(BookRate,1943)*(1+'5. Scenarios'!$B$10)*$D1948)</f>
        <v/>
      </c>
      <c r="F1948" s="57" t="str">
        <f aca="false">IF($E1948="","",SUMIFS($E$6:$E$2405,$A$6:$A$2405,"&lt;="&amp;$A1948))</f>
        <v/>
      </c>
      <c r="G1948" s="57" t="str">
        <f aca="false">IF($E1948="","",IF($F1948&lt;=BankCostEnvelope*'5. Scenarios'!$B$7,1,0))</f>
        <v/>
      </c>
      <c r="H1948" s="57" t="str">
        <f aca="false">IF($D1948="","",INDEX(BookRate,1943)*(1+'5. Scenarios'!$B$10)*(INDEX(BookQ1,1943)*(5-MIN(4,1+'5. Scenarios'!$B$8))/4+INDEX(BookQ2,1943)*(5-MIN(4,2+'5. Scenarios'!$B$8))/4+INDEX(BookQ3,1943)*(5-MIN(4,3+'5. Scenarios'!$B$8))/4+INDEX(BookQ4,1943)*(5-MIN(4,4+'5. Scenarios'!$B$8))/4)*'5. Scenarios'!$B$6/(1+ProductivityDefault*('5. Scenarios'!$B$11-1))+INDEX(BookOneOff,1943)*$D1948)</f>
        <v/>
      </c>
      <c r="I1948" s="56" t="str">
        <f aca="false">IF(INDEX(BookTitle,1943)="","",INDEX(BookTotal,1943)*'5. Scenarios'!$C$6/(1+ProductivityDefault*('5. Scenarios'!$C$11-1)))</f>
        <v/>
      </c>
      <c r="J1948" s="57" t="str">
        <f aca="false">IF($I1948="","",INDEX(BookRate,1943)*(1+'5. Scenarios'!$C$10)*$I1948)</f>
        <v/>
      </c>
      <c r="K1948" s="57" t="str">
        <f aca="false">IF($J1948="","",SUMIFS($J$6:$J$2405,$A$6:$A$2405,"&lt;="&amp;$A1948))</f>
        <v/>
      </c>
      <c r="L1948" s="57" t="str">
        <f aca="false">IF($J1948="","",IF($K1948&lt;=BankCostEnvelope*'5. Scenarios'!$C$7,1,0))</f>
        <v/>
      </c>
      <c r="M1948" s="57" t="str">
        <f aca="false">IF($I1948="","",INDEX(BookRate,1943)*(1+'5. Scenarios'!$C$10)*(INDEX(BookQ1,1943)*(5-MIN(4,1+'5. Scenarios'!$C$8))/4+INDEX(BookQ2,1943)*(5-MIN(4,2+'5. Scenarios'!$C$8))/4+INDEX(BookQ3,1943)*(5-MIN(4,3+'5. Scenarios'!$C$8))/4+INDEX(BookQ4,1943)*(5-MIN(4,4+'5. Scenarios'!$C$8))/4)*'5. Scenarios'!$C$6/(1+ProductivityDefault*('5. Scenarios'!$C$11-1))+INDEX(BookOneOff,1943)*$I1948)</f>
        <v/>
      </c>
      <c r="N1948" s="56" t="str">
        <f aca="false">IF(INDEX(BookTitle,1943)="","",INDEX(BookTotal,1943)*'5. Scenarios'!$D$6/(1+ProductivityDefault*('5. Scenarios'!$D$11-1)))</f>
        <v/>
      </c>
      <c r="O1948" s="57" t="str">
        <f aca="false">IF($N1948="","",INDEX(BookRate,1943)*(1+'5. Scenarios'!$D$10)*$N1948)</f>
        <v/>
      </c>
      <c r="P1948" s="57" t="str">
        <f aca="false">IF($O1948="","",SUMIFS($O$6:$O$2405,$A$6:$A$2405,"&lt;="&amp;$A1948))</f>
        <v/>
      </c>
      <c r="Q1948" s="57" t="str">
        <f aca="false">IF($O1948="","",IF($P1948&lt;=BankCostEnvelope*'5. Scenarios'!$D$7,1,0))</f>
        <v/>
      </c>
      <c r="R1948" s="57" t="str">
        <f aca="false">IF($N1948="","",INDEX(BookRate,1943)*(1+'5. Scenarios'!$D$10)*(INDEX(BookQ1,1943)*(5-MIN(4,1+'5. Scenarios'!$D$8))/4+INDEX(BookQ2,1943)*(5-MIN(4,2+'5. Scenarios'!$D$8))/4+INDEX(BookQ3,1943)*(5-MIN(4,3+'5. Scenarios'!$D$8))/4+INDEX(BookQ4,1943)*(5-MIN(4,4+'5. Scenarios'!$D$8))/4)*'5. Scenarios'!$D$6/(1+ProductivityDefault*('5. Scenarios'!$D$11-1))+INDEX(BookOneOff,1943)*$N1948)</f>
        <v/>
      </c>
      <c r="S1948" s="56" t="str">
        <f aca="false">IF(INDEX(BookTitle,1943)="","",INDEX(BookTotal,1943)*'5. Scenarios'!$E$6/(1+ProductivityDefault*('5. Scenarios'!$E$11-1)))</f>
        <v/>
      </c>
      <c r="T1948" s="57" t="str">
        <f aca="false">IF($S1948="","",INDEX(BookRate,1943)*(1+'5. Scenarios'!$E$10)*$S1948)</f>
        <v/>
      </c>
      <c r="U1948" s="57" t="str">
        <f aca="false">IF($T1948="","",SUMIFS($T$6:$T$2405,$A$6:$A$2405,"&lt;="&amp;$A1948))</f>
        <v/>
      </c>
      <c r="V1948" s="57" t="str">
        <f aca="false">IF($T1948="","",IF($U1948&lt;=BankCostEnvelope*'5. Scenarios'!$E$7,1,0))</f>
        <v/>
      </c>
      <c r="W1948" s="57" t="str">
        <f aca="false">IF($S1948="","",INDEX(BookRate,1943)*(1+'5. Scenarios'!$E$10)*(INDEX(BookQ1,1943)*(5-MIN(4,1+'5. Scenarios'!$E$8))/4+INDEX(BookQ2,1943)*(5-MIN(4,2+'5. Scenarios'!$E$8))/4+INDEX(BookQ3,1943)*(5-MIN(4,3+'5. Scenarios'!$E$8))/4+INDEX(BookQ4,1943)*(5-MIN(4,4+'5. Scenarios'!$E$8))/4)*'5. Scenarios'!$E$6/(1+ProductivityDefault*('5. Scenarios'!$E$11-1))+INDEX(BookOneOff,1943)*$S1948)</f>
        <v/>
      </c>
    </row>
    <row r="1949" customFormat="false" ht="15" hidden="false" customHeight="false" outlineLevel="0" collapsed="false">
      <c r="A1949" s="0" t="str">
        <f aca="false">IF(INDEX(BookTitle,1944)="","",INDEX(BookKey,1944))</f>
        <v/>
      </c>
      <c r="B1949" s="0" t="str">
        <f aca="false">IF(INDEX(BookTitle,1944)="","",INDEX(BookGroup,1944))</f>
        <v/>
      </c>
      <c r="C1949" s="0" t="str">
        <f aca="false">IF(INDEX(BookTitle,1944)="","",INDEX(BookCategory,1944))</f>
        <v/>
      </c>
      <c r="D1949" s="56" t="str">
        <f aca="false">IF(INDEX(BookTitle,1944)="","",INDEX(BookTotal,1944)*'5. Scenarios'!$B$6/(1+ProductivityDefault*('5. Scenarios'!$B$11-1)))</f>
        <v/>
      </c>
      <c r="E1949" s="57" t="str">
        <f aca="false">IF($D1949="","",INDEX(BookRate,1944)*(1+'5. Scenarios'!$B$10)*$D1949)</f>
        <v/>
      </c>
      <c r="F1949" s="57" t="str">
        <f aca="false">IF($E1949="","",SUMIFS($E$6:$E$2405,$A$6:$A$2405,"&lt;="&amp;$A1949))</f>
        <v/>
      </c>
      <c r="G1949" s="57" t="str">
        <f aca="false">IF($E1949="","",IF($F1949&lt;=BankCostEnvelope*'5. Scenarios'!$B$7,1,0))</f>
        <v/>
      </c>
      <c r="H1949" s="57" t="str">
        <f aca="false">IF($D1949="","",INDEX(BookRate,1944)*(1+'5. Scenarios'!$B$10)*(INDEX(BookQ1,1944)*(5-MIN(4,1+'5. Scenarios'!$B$8))/4+INDEX(BookQ2,1944)*(5-MIN(4,2+'5. Scenarios'!$B$8))/4+INDEX(BookQ3,1944)*(5-MIN(4,3+'5. Scenarios'!$B$8))/4+INDEX(BookQ4,1944)*(5-MIN(4,4+'5. Scenarios'!$B$8))/4)*'5. Scenarios'!$B$6/(1+ProductivityDefault*('5. Scenarios'!$B$11-1))+INDEX(BookOneOff,1944)*$D1949)</f>
        <v/>
      </c>
      <c r="I1949" s="56" t="str">
        <f aca="false">IF(INDEX(BookTitle,1944)="","",INDEX(BookTotal,1944)*'5. Scenarios'!$C$6/(1+ProductivityDefault*('5. Scenarios'!$C$11-1)))</f>
        <v/>
      </c>
      <c r="J1949" s="57" t="str">
        <f aca="false">IF($I1949="","",INDEX(BookRate,1944)*(1+'5. Scenarios'!$C$10)*$I1949)</f>
        <v/>
      </c>
      <c r="K1949" s="57" t="str">
        <f aca="false">IF($J1949="","",SUMIFS($J$6:$J$2405,$A$6:$A$2405,"&lt;="&amp;$A1949))</f>
        <v/>
      </c>
      <c r="L1949" s="57" t="str">
        <f aca="false">IF($J1949="","",IF($K1949&lt;=BankCostEnvelope*'5. Scenarios'!$C$7,1,0))</f>
        <v/>
      </c>
      <c r="M1949" s="57" t="str">
        <f aca="false">IF($I1949="","",INDEX(BookRate,1944)*(1+'5. Scenarios'!$C$10)*(INDEX(BookQ1,1944)*(5-MIN(4,1+'5. Scenarios'!$C$8))/4+INDEX(BookQ2,1944)*(5-MIN(4,2+'5. Scenarios'!$C$8))/4+INDEX(BookQ3,1944)*(5-MIN(4,3+'5. Scenarios'!$C$8))/4+INDEX(BookQ4,1944)*(5-MIN(4,4+'5. Scenarios'!$C$8))/4)*'5. Scenarios'!$C$6/(1+ProductivityDefault*('5. Scenarios'!$C$11-1))+INDEX(BookOneOff,1944)*$I1949)</f>
        <v/>
      </c>
      <c r="N1949" s="56" t="str">
        <f aca="false">IF(INDEX(BookTitle,1944)="","",INDEX(BookTotal,1944)*'5. Scenarios'!$D$6/(1+ProductivityDefault*('5. Scenarios'!$D$11-1)))</f>
        <v/>
      </c>
      <c r="O1949" s="57" t="str">
        <f aca="false">IF($N1949="","",INDEX(BookRate,1944)*(1+'5. Scenarios'!$D$10)*$N1949)</f>
        <v/>
      </c>
      <c r="P1949" s="57" t="str">
        <f aca="false">IF($O1949="","",SUMIFS($O$6:$O$2405,$A$6:$A$2405,"&lt;="&amp;$A1949))</f>
        <v/>
      </c>
      <c r="Q1949" s="57" t="str">
        <f aca="false">IF($O1949="","",IF($P1949&lt;=BankCostEnvelope*'5. Scenarios'!$D$7,1,0))</f>
        <v/>
      </c>
      <c r="R1949" s="57" t="str">
        <f aca="false">IF($N1949="","",INDEX(BookRate,1944)*(1+'5. Scenarios'!$D$10)*(INDEX(BookQ1,1944)*(5-MIN(4,1+'5. Scenarios'!$D$8))/4+INDEX(BookQ2,1944)*(5-MIN(4,2+'5. Scenarios'!$D$8))/4+INDEX(BookQ3,1944)*(5-MIN(4,3+'5. Scenarios'!$D$8))/4+INDEX(BookQ4,1944)*(5-MIN(4,4+'5. Scenarios'!$D$8))/4)*'5. Scenarios'!$D$6/(1+ProductivityDefault*('5. Scenarios'!$D$11-1))+INDEX(BookOneOff,1944)*$N1949)</f>
        <v/>
      </c>
      <c r="S1949" s="56" t="str">
        <f aca="false">IF(INDEX(BookTitle,1944)="","",INDEX(BookTotal,1944)*'5. Scenarios'!$E$6/(1+ProductivityDefault*('5. Scenarios'!$E$11-1)))</f>
        <v/>
      </c>
      <c r="T1949" s="57" t="str">
        <f aca="false">IF($S1949="","",INDEX(BookRate,1944)*(1+'5. Scenarios'!$E$10)*$S1949)</f>
        <v/>
      </c>
      <c r="U1949" s="57" t="str">
        <f aca="false">IF($T1949="","",SUMIFS($T$6:$T$2405,$A$6:$A$2405,"&lt;="&amp;$A1949))</f>
        <v/>
      </c>
      <c r="V1949" s="57" t="str">
        <f aca="false">IF($T1949="","",IF($U1949&lt;=BankCostEnvelope*'5. Scenarios'!$E$7,1,0))</f>
        <v/>
      </c>
      <c r="W1949" s="57" t="str">
        <f aca="false">IF($S1949="","",INDEX(BookRate,1944)*(1+'5. Scenarios'!$E$10)*(INDEX(BookQ1,1944)*(5-MIN(4,1+'5. Scenarios'!$E$8))/4+INDEX(BookQ2,1944)*(5-MIN(4,2+'5. Scenarios'!$E$8))/4+INDEX(BookQ3,1944)*(5-MIN(4,3+'5. Scenarios'!$E$8))/4+INDEX(BookQ4,1944)*(5-MIN(4,4+'5. Scenarios'!$E$8))/4)*'5. Scenarios'!$E$6/(1+ProductivityDefault*('5. Scenarios'!$E$11-1))+INDEX(BookOneOff,1944)*$S1949)</f>
        <v/>
      </c>
    </row>
    <row r="1950" customFormat="false" ht="15" hidden="false" customHeight="false" outlineLevel="0" collapsed="false">
      <c r="A1950" s="0" t="str">
        <f aca="false">IF(INDEX(BookTitle,1945)="","",INDEX(BookKey,1945))</f>
        <v/>
      </c>
      <c r="B1950" s="0" t="str">
        <f aca="false">IF(INDEX(BookTitle,1945)="","",INDEX(BookGroup,1945))</f>
        <v/>
      </c>
      <c r="C1950" s="0" t="str">
        <f aca="false">IF(INDEX(BookTitle,1945)="","",INDEX(BookCategory,1945))</f>
        <v/>
      </c>
      <c r="D1950" s="56" t="str">
        <f aca="false">IF(INDEX(BookTitle,1945)="","",INDEX(BookTotal,1945)*'5. Scenarios'!$B$6/(1+ProductivityDefault*('5. Scenarios'!$B$11-1)))</f>
        <v/>
      </c>
      <c r="E1950" s="57" t="str">
        <f aca="false">IF($D1950="","",INDEX(BookRate,1945)*(1+'5. Scenarios'!$B$10)*$D1950)</f>
        <v/>
      </c>
      <c r="F1950" s="57" t="str">
        <f aca="false">IF($E1950="","",SUMIFS($E$6:$E$2405,$A$6:$A$2405,"&lt;="&amp;$A1950))</f>
        <v/>
      </c>
      <c r="G1950" s="57" t="str">
        <f aca="false">IF($E1950="","",IF($F1950&lt;=BankCostEnvelope*'5. Scenarios'!$B$7,1,0))</f>
        <v/>
      </c>
      <c r="H1950" s="57" t="str">
        <f aca="false">IF($D1950="","",INDEX(BookRate,1945)*(1+'5. Scenarios'!$B$10)*(INDEX(BookQ1,1945)*(5-MIN(4,1+'5. Scenarios'!$B$8))/4+INDEX(BookQ2,1945)*(5-MIN(4,2+'5. Scenarios'!$B$8))/4+INDEX(BookQ3,1945)*(5-MIN(4,3+'5. Scenarios'!$B$8))/4+INDEX(BookQ4,1945)*(5-MIN(4,4+'5. Scenarios'!$B$8))/4)*'5. Scenarios'!$B$6/(1+ProductivityDefault*('5. Scenarios'!$B$11-1))+INDEX(BookOneOff,1945)*$D1950)</f>
        <v/>
      </c>
      <c r="I1950" s="56" t="str">
        <f aca="false">IF(INDEX(BookTitle,1945)="","",INDEX(BookTotal,1945)*'5. Scenarios'!$C$6/(1+ProductivityDefault*('5. Scenarios'!$C$11-1)))</f>
        <v/>
      </c>
      <c r="J1950" s="57" t="str">
        <f aca="false">IF($I1950="","",INDEX(BookRate,1945)*(1+'5. Scenarios'!$C$10)*$I1950)</f>
        <v/>
      </c>
      <c r="K1950" s="57" t="str">
        <f aca="false">IF($J1950="","",SUMIFS($J$6:$J$2405,$A$6:$A$2405,"&lt;="&amp;$A1950))</f>
        <v/>
      </c>
      <c r="L1950" s="57" t="str">
        <f aca="false">IF($J1950="","",IF($K1950&lt;=BankCostEnvelope*'5. Scenarios'!$C$7,1,0))</f>
        <v/>
      </c>
      <c r="M1950" s="57" t="str">
        <f aca="false">IF($I1950="","",INDEX(BookRate,1945)*(1+'5. Scenarios'!$C$10)*(INDEX(BookQ1,1945)*(5-MIN(4,1+'5. Scenarios'!$C$8))/4+INDEX(BookQ2,1945)*(5-MIN(4,2+'5. Scenarios'!$C$8))/4+INDEX(BookQ3,1945)*(5-MIN(4,3+'5. Scenarios'!$C$8))/4+INDEX(BookQ4,1945)*(5-MIN(4,4+'5. Scenarios'!$C$8))/4)*'5. Scenarios'!$C$6/(1+ProductivityDefault*('5. Scenarios'!$C$11-1))+INDEX(BookOneOff,1945)*$I1950)</f>
        <v/>
      </c>
      <c r="N1950" s="56" t="str">
        <f aca="false">IF(INDEX(BookTitle,1945)="","",INDEX(BookTotal,1945)*'5. Scenarios'!$D$6/(1+ProductivityDefault*('5. Scenarios'!$D$11-1)))</f>
        <v/>
      </c>
      <c r="O1950" s="57" t="str">
        <f aca="false">IF($N1950="","",INDEX(BookRate,1945)*(1+'5. Scenarios'!$D$10)*$N1950)</f>
        <v/>
      </c>
      <c r="P1950" s="57" t="str">
        <f aca="false">IF($O1950="","",SUMIFS($O$6:$O$2405,$A$6:$A$2405,"&lt;="&amp;$A1950))</f>
        <v/>
      </c>
      <c r="Q1950" s="57" t="str">
        <f aca="false">IF($O1950="","",IF($P1950&lt;=BankCostEnvelope*'5. Scenarios'!$D$7,1,0))</f>
        <v/>
      </c>
      <c r="R1950" s="57" t="str">
        <f aca="false">IF($N1950="","",INDEX(BookRate,1945)*(1+'5. Scenarios'!$D$10)*(INDEX(BookQ1,1945)*(5-MIN(4,1+'5. Scenarios'!$D$8))/4+INDEX(BookQ2,1945)*(5-MIN(4,2+'5. Scenarios'!$D$8))/4+INDEX(BookQ3,1945)*(5-MIN(4,3+'5. Scenarios'!$D$8))/4+INDEX(BookQ4,1945)*(5-MIN(4,4+'5. Scenarios'!$D$8))/4)*'5. Scenarios'!$D$6/(1+ProductivityDefault*('5. Scenarios'!$D$11-1))+INDEX(BookOneOff,1945)*$N1950)</f>
        <v/>
      </c>
      <c r="S1950" s="56" t="str">
        <f aca="false">IF(INDEX(BookTitle,1945)="","",INDEX(BookTotal,1945)*'5. Scenarios'!$E$6/(1+ProductivityDefault*('5. Scenarios'!$E$11-1)))</f>
        <v/>
      </c>
      <c r="T1950" s="57" t="str">
        <f aca="false">IF($S1950="","",INDEX(BookRate,1945)*(1+'5. Scenarios'!$E$10)*$S1950)</f>
        <v/>
      </c>
      <c r="U1950" s="57" t="str">
        <f aca="false">IF($T1950="","",SUMIFS($T$6:$T$2405,$A$6:$A$2405,"&lt;="&amp;$A1950))</f>
        <v/>
      </c>
      <c r="V1950" s="57" t="str">
        <f aca="false">IF($T1950="","",IF($U1950&lt;=BankCostEnvelope*'5. Scenarios'!$E$7,1,0))</f>
        <v/>
      </c>
      <c r="W1950" s="57" t="str">
        <f aca="false">IF($S1950="","",INDEX(BookRate,1945)*(1+'5. Scenarios'!$E$10)*(INDEX(BookQ1,1945)*(5-MIN(4,1+'5. Scenarios'!$E$8))/4+INDEX(BookQ2,1945)*(5-MIN(4,2+'5. Scenarios'!$E$8))/4+INDEX(BookQ3,1945)*(5-MIN(4,3+'5. Scenarios'!$E$8))/4+INDEX(BookQ4,1945)*(5-MIN(4,4+'5. Scenarios'!$E$8))/4)*'5. Scenarios'!$E$6/(1+ProductivityDefault*('5. Scenarios'!$E$11-1))+INDEX(BookOneOff,1945)*$S1950)</f>
        <v/>
      </c>
    </row>
    <row r="1951" customFormat="false" ht="15" hidden="false" customHeight="false" outlineLevel="0" collapsed="false">
      <c r="A1951" s="0" t="str">
        <f aca="false">IF(INDEX(BookTitle,1946)="","",INDEX(BookKey,1946))</f>
        <v/>
      </c>
      <c r="B1951" s="0" t="str">
        <f aca="false">IF(INDEX(BookTitle,1946)="","",INDEX(BookGroup,1946))</f>
        <v/>
      </c>
      <c r="C1951" s="0" t="str">
        <f aca="false">IF(INDEX(BookTitle,1946)="","",INDEX(BookCategory,1946))</f>
        <v/>
      </c>
      <c r="D1951" s="56" t="str">
        <f aca="false">IF(INDEX(BookTitle,1946)="","",INDEX(BookTotal,1946)*'5. Scenarios'!$B$6/(1+ProductivityDefault*('5. Scenarios'!$B$11-1)))</f>
        <v/>
      </c>
      <c r="E1951" s="57" t="str">
        <f aca="false">IF($D1951="","",INDEX(BookRate,1946)*(1+'5. Scenarios'!$B$10)*$D1951)</f>
        <v/>
      </c>
      <c r="F1951" s="57" t="str">
        <f aca="false">IF($E1951="","",SUMIFS($E$6:$E$2405,$A$6:$A$2405,"&lt;="&amp;$A1951))</f>
        <v/>
      </c>
      <c r="G1951" s="57" t="str">
        <f aca="false">IF($E1951="","",IF($F1951&lt;=BankCostEnvelope*'5. Scenarios'!$B$7,1,0))</f>
        <v/>
      </c>
      <c r="H1951" s="57" t="str">
        <f aca="false">IF($D1951="","",INDEX(BookRate,1946)*(1+'5. Scenarios'!$B$10)*(INDEX(BookQ1,1946)*(5-MIN(4,1+'5. Scenarios'!$B$8))/4+INDEX(BookQ2,1946)*(5-MIN(4,2+'5. Scenarios'!$B$8))/4+INDEX(BookQ3,1946)*(5-MIN(4,3+'5. Scenarios'!$B$8))/4+INDEX(BookQ4,1946)*(5-MIN(4,4+'5. Scenarios'!$B$8))/4)*'5. Scenarios'!$B$6/(1+ProductivityDefault*('5. Scenarios'!$B$11-1))+INDEX(BookOneOff,1946)*$D1951)</f>
        <v/>
      </c>
      <c r="I1951" s="56" t="str">
        <f aca="false">IF(INDEX(BookTitle,1946)="","",INDEX(BookTotal,1946)*'5. Scenarios'!$C$6/(1+ProductivityDefault*('5. Scenarios'!$C$11-1)))</f>
        <v/>
      </c>
      <c r="J1951" s="57" t="str">
        <f aca="false">IF($I1951="","",INDEX(BookRate,1946)*(1+'5. Scenarios'!$C$10)*$I1951)</f>
        <v/>
      </c>
      <c r="K1951" s="57" t="str">
        <f aca="false">IF($J1951="","",SUMIFS($J$6:$J$2405,$A$6:$A$2405,"&lt;="&amp;$A1951))</f>
        <v/>
      </c>
      <c r="L1951" s="57" t="str">
        <f aca="false">IF($J1951="","",IF($K1951&lt;=BankCostEnvelope*'5. Scenarios'!$C$7,1,0))</f>
        <v/>
      </c>
      <c r="M1951" s="57" t="str">
        <f aca="false">IF($I1951="","",INDEX(BookRate,1946)*(1+'5. Scenarios'!$C$10)*(INDEX(BookQ1,1946)*(5-MIN(4,1+'5. Scenarios'!$C$8))/4+INDEX(BookQ2,1946)*(5-MIN(4,2+'5. Scenarios'!$C$8))/4+INDEX(BookQ3,1946)*(5-MIN(4,3+'5. Scenarios'!$C$8))/4+INDEX(BookQ4,1946)*(5-MIN(4,4+'5. Scenarios'!$C$8))/4)*'5. Scenarios'!$C$6/(1+ProductivityDefault*('5. Scenarios'!$C$11-1))+INDEX(BookOneOff,1946)*$I1951)</f>
        <v/>
      </c>
      <c r="N1951" s="56" t="str">
        <f aca="false">IF(INDEX(BookTitle,1946)="","",INDEX(BookTotal,1946)*'5. Scenarios'!$D$6/(1+ProductivityDefault*('5. Scenarios'!$D$11-1)))</f>
        <v/>
      </c>
      <c r="O1951" s="57" t="str">
        <f aca="false">IF($N1951="","",INDEX(BookRate,1946)*(1+'5. Scenarios'!$D$10)*$N1951)</f>
        <v/>
      </c>
      <c r="P1951" s="57" t="str">
        <f aca="false">IF($O1951="","",SUMIFS($O$6:$O$2405,$A$6:$A$2405,"&lt;="&amp;$A1951))</f>
        <v/>
      </c>
      <c r="Q1951" s="57" t="str">
        <f aca="false">IF($O1951="","",IF($P1951&lt;=BankCostEnvelope*'5. Scenarios'!$D$7,1,0))</f>
        <v/>
      </c>
      <c r="R1951" s="57" t="str">
        <f aca="false">IF($N1951="","",INDEX(BookRate,1946)*(1+'5. Scenarios'!$D$10)*(INDEX(BookQ1,1946)*(5-MIN(4,1+'5. Scenarios'!$D$8))/4+INDEX(BookQ2,1946)*(5-MIN(4,2+'5. Scenarios'!$D$8))/4+INDEX(BookQ3,1946)*(5-MIN(4,3+'5. Scenarios'!$D$8))/4+INDEX(BookQ4,1946)*(5-MIN(4,4+'5. Scenarios'!$D$8))/4)*'5. Scenarios'!$D$6/(1+ProductivityDefault*('5. Scenarios'!$D$11-1))+INDEX(BookOneOff,1946)*$N1951)</f>
        <v/>
      </c>
      <c r="S1951" s="56" t="str">
        <f aca="false">IF(INDEX(BookTitle,1946)="","",INDEX(BookTotal,1946)*'5. Scenarios'!$E$6/(1+ProductivityDefault*('5. Scenarios'!$E$11-1)))</f>
        <v/>
      </c>
      <c r="T1951" s="57" t="str">
        <f aca="false">IF($S1951="","",INDEX(BookRate,1946)*(1+'5. Scenarios'!$E$10)*$S1951)</f>
        <v/>
      </c>
      <c r="U1951" s="57" t="str">
        <f aca="false">IF($T1951="","",SUMIFS($T$6:$T$2405,$A$6:$A$2405,"&lt;="&amp;$A1951))</f>
        <v/>
      </c>
      <c r="V1951" s="57" t="str">
        <f aca="false">IF($T1951="","",IF($U1951&lt;=BankCostEnvelope*'5. Scenarios'!$E$7,1,0))</f>
        <v/>
      </c>
      <c r="W1951" s="57" t="str">
        <f aca="false">IF($S1951="","",INDEX(BookRate,1946)*(1+'5. Scenarios'!$E$10)*(INDEX(BookQ1,1946)*(5-MIN(4,1+'5. Scenarios'!$E$8))/4+INDEX(BookQ2,1946)*(5-MIN(4,2+'5. Scenarios'!$E$8))/4+INDEX(BookQ3,1946)*(5-MIN(4,3+'5. Scenarios'!$E$8))/4+INDEX(BookQ4,1946)*(5-MIN(4,4+'5. Scenarios'!$E$8))/4)*'5. Scenarios'!$E$6/(1+ProductivityDefault*('5. Scenarios'!$E$11-1))+INDEX(BookOneOff,1946)*$S1951)</f>
        <v/>
      </c>
    </row>
    <row r="1952" customFormat="false" ht="15" hidden="false" customHeight="false" outlineLevel="0" collapsed="false">
      <c r="A1952" s="0" t="str">
        <f aca="false">IF(INDEX(BookTitle,1947)="","",INDEX(BookKey,1947))</f>
        <v/>
      </c>
      <c r="B1952" s="0" t="str">
        <f aca="false">IF(INDEX(BookTitle,1947)="","",INDEX(BookGroup,1947))</f>
        <v/>
      </c>
      <c r="C1952" s="0" t="str">
        <f aca="false">IF(INDEX(BookTitle,1947)="","",INDEX(BookCategory,1947))</f>
        <v/>
      </c>
      <c r="D1952" s="56" t="str">
        <f aca="false">IF(INDEX(BookTitle,1947)="","",INDEX(BookTotal,1947)*'5. Scenarios'!$B$6/(1+ProductivityDefault*('5. Scenarios'!$B$11-1)))</f>
        <v/>
      </c>
      <c r="E1952" s="57" t="str">
        <f aca="false">IF($D1952="","",INDEX(BookRate,1947)*(1+'5. Scenarios'!$B$10)*$D1952)</f>
        <v/>
      </c>
      <c r="F1952" s="57" t="str">
        <f aca="false">IF($E1952="","",SUMIFS($E$6:$E$2405,$A$6:$A$2405,"&lt;="&amp;$A1952))</f>
        <v/>
      </c>
      <c r="G1952" s="57" t="str">
        <f aca="false">IF($E1952="","",IF($F1952&lt;=BankCostEnvelope*'5. Scenarios'!$B$7,1,0))</f>
        <v/>
      </c>
      <c r="H1952" s="57" t="str">
        <f aca="false">IF($D1952="","",INDEX(BookRate,1947)*(1+'5. Scenarios'!$B$10)*(INDEX(BookQ1,1947)*(5-MIN(4,1+'5. Scenarios'!$B$8))/4+INDEX(BookQ2,1947)*(5-MIN(4,2+'5. Scenarios'!$B$8))/4+INDEX(BookQ3,1947)*(5-MIN(4,3+'5. Scenarios'!$B$8))/4+INDEX(BookQ4,1947)*(5-MIN(4,4+'5. Scenarios'!$B$8))/4)*'5. Scenarios'!$B$6/(1+ProductivityDefault*('5. Scenarios'!$B$11-1))+INDEX(BookOneOff,1947)*$D1952)</f>
        <v/>
      </c>
      <c r="I1952" s="56" t="str">
        <f aca="false">IF(INDEX(BookTitle,1947)="","",INDEX(BookTotal,1947)*'5. Scenarios'!$C$6/(1+ProductivityDefault*('5. Scenarios'!$C$11-1)))</f>
        <v/>
      </c>
      <c r="J1952" s="57" t="str">
        <f aca="false">IF($I1952="","",INDEX(BookRate,1947)*(1+'5. Scenarios'!$C$10)*$I1952)</f>
        <v/>
      </c>
      <c r="K1952" s="57" t="str">
        <f aca="false">IF($J1952="","",SUMIFS($J$6:$J$2405,$A$6:$A$2405,"&lt;="&amp;$A1952))</f>
        <v/>
      </c>
      <c r="L1952" s="57" t="str">
        <f aca="false">IF($J1952="","",IF($K1952&lt;=BankCostEnvelope*'5. Scenarios'!$C$7,1,0))</f>
        <v/>
      </c>
      <c r="M1952" s="57" t="str">
        <f aca="false">IF($I1952="","",INDEX(BookRate,1947)*(1+'5. Scenarios'!$C$10)*(INDEX(BookQ1,1947)*(5-MIN(4,1+'5. Scenarios'!$C$8))/4+INDEX(BookQ2,1947)*(5-MIN(4,2+'5. Scenarios'!$C$8))/4+INDEX(BookQ3,1947)*(5-MIN(4,3+'5. Scenarios'!$C$8))/4+INDEX(BookQ4,1947)*(5-MIN(4,4+'5. Scenarios'!$C$8))/4)*'5. Scenarios'!$C$6/(1+ProductivityDefault*('5. Scenarios'!$C$11-1))+INDEX(BookOneOff,1947)*$I1952)</f>
        <v/>
      </c>
      <c r="N1952" s="56" t="str">
        <f aca="false">IF(INDEX(BookTitle,1947)="","",INDEX(BookTotal,1947)*'5. Scenarios'!$D$6/(1+ProductivityDefault*('5. Scenarios'!$D$11-1)))</f>
        <v/>
      </c>
      <c r="O1952" s="57" t="str">
        <f aca="false">IF($N1952="","",INDEX(BookRate,1947)*(1+'5. Scenarios'!$D$10)*$N1952)</f>
        <v/>
      </c>
      <c r="P1952" s="57" t="str">
        <f aca="false">IF($O1952="","",SUMIFS($O$6:$O$2405,$A$6:$A$2405,"&lt;="&amp;$A1952))</f>
        <v/>
      </c>
      <c r="Q1952" s="57" t="str">
        <f aca="false">IF($O1952="","",IF($P1952&lt;=BankCostEnvelope*'5. Scenarios'!$D$7,1,0))</f>
        <v/>
      </c>
      <c r="R1952" s="57" t="str">
        <f aca="false">IF($N1952="","",INDEX(BookRate,1947)*(1+'5. Scenarios'!$D$10)*(INDEX(BookQ1,1947)*(5-MIN(4,1+'5. Scenarios'!$D$8))/4+INDEX(BookQ2,1947)*(5-MIN(4,2+'5. Scenarios'!$D$8))/4+INDEX(BookQ3,1947)*(5-MIN(4,3+'5. Scenarios'!$D$8))/4+INDEX(BookQ4,1947)*(5-MIN(4,4+'5. Scenarios'!$D$8))/4)*'5. Scenarios'!$D$6/(1+ProductivityDefault*('5. Scenarios'!$D$11-1))+INDEX(BookOneOff,1947)*$N1952)</f>
        <v/>
      </c>
      <c r="S1952" s="56" t="str">
        <f aca="false">IF(INDEX(BookTitle,1947)="","",INDEX(BookTotal,1947)*'5. Scenarios'!$E$6/(1+ProductivityDefault*('5. Scenarios'!$E$11-1)))</f>
        <v/>
      </c>
      <c r="T1952" s="57" t="str">
        <f aca="false">IF($S1952="","",INDEX(BookRate,1947)*(1+'5. Scenarios'!$E$10)*$S1952)</f>
        <v/>
      </c>
      <c r="U1952" s="57" t="str">
        <f aca="false">IF($T1952="","",SUMIFS($T$6:$T$2405,$A$6:$A$2405,"&lt;="&amp;$A1952))</f>
        <v/>
      </c>
      <c r="V1952" s="57" t="str">
        <f aca="false">IF($T1952="","",IF($U1952&lt;=BankCostEnvelope*'5. Scenarios'!$E$7,1,0))</f>
        <v/>
      </c>
      <c r="W1952" s="57" t="str">
        <f aca="false">IF($S1952="","",INDEX(BookRate,1947)*(1+'5. Scenarios'!$E$10)*(INDEX(BookQ1,1947)*(5-MIN(4,1+'5. Scenarios'!$E$8))/4+INDEX(BookQ2,1947)*(5-MIN(4,2+'5. Scenarios'!$E$8))/4+INDEX(BookQ3,1947)*(5-MIN(4,3+'5. Scenarios'!$E$8))/4+INDEX(BookQ4,1947)*(5-MIN(4,4+'5. Scenarios'!$E$8))/4)*'5. Scenarios'!$E$6/(1+ProductivityDefault*('5. Scenarios'!$E$11-1))+INDEX(BookOneOff,1947)*$S1952)</f>
        <v/>
      </c>
    </row>
    <row r="1953" customFormat="false" ht="15" hidden="false" customHeight="false" outlineLevel="0" collapsed="false">
      <c r="A1953" s="0" t="str">
        <f aca="false">IF(INDEX(BookTitle,1948)="","",INDEX(BookKey,1948))</f>
        <v/>
      </c>
      <c r="B1953" s="0" t="str">
        <f aca="false">IF(INDEX(BookTitle,1948)="","",INDEX(BookGroup,1948))</f>
        <v/>
      </c>
      <c r="C1953" s="0" t="str">
        <f aca="false">IF(INDEX(BookTitle,1948)="","",INDEX(BookCategory,1948))</f>
        <v/>
      </c>
      <c r="D1953" s="56" t="str">
        <f aca="false">IF(INDEX(BookTitle,1948)="","",INDEX(BookTotal,1948)*'5. Scenarios'!$B$6/(1+ProductivityDefault*('5. Scenarios'!$B$11-1)))</f>
        <v/>
      </c>
      <c r="E1953" s="57" t="str">
        <f aca="false">IF($D1953="","",INDEX(BookRate,1948)*(1+'5. Scenarios'!$B$10)*$D1953)</f>
        <v/>
      </c>
      <c r="F1953" s="57" t="str">
        <f aca="false">IF($E1953="","",SUMIFS($E$6:$E$2405,$A$6:$A$2405,"&lt;="&amp;$A1953))</f>
        <v/>
      </c>
      <c r="G1953" s="57" t="str">
        <f aca="false">IF($E1953="","",IF($F1953&lt;=BankCostEnvelope*'5. Scenarios'!$B$7,1,0))</f>
        <v/>
      </c>
      <c r="H1953" s="57" t="str">
        <f aca="false">IF($D1953="","",INDEX(BookRate,1948)*(1+'5. Scenarios'!$B$10)*(INDEX(BookQ1,1948)*(5-MIN(4,1+'5. Scenarios'!$B$8))/4+INDEX(BookQ2,1948)*(5-MIN(4,2+'5. Scenarios'!$B$8))/4+INDEX(BookQ3,1948)*(5-MIN(4,3+'5. Scenarios'!$B$8))/4+INDEX(BookQ4,1948)*(5-MIN(4,4+'5. Scenarios'!$B$8))/4)*'5. Scenarios'!$B$6/(1+ProductivityDefault*('5. Scenarios'!$B$11-1))+INDEX(BookOneOff,1948)*$D1953)</f>
        <v/>
      </c>
      <c r="I1953" s="56" t="str">
        <f aca="false">IF(INDEX(BookTitle,1948)="","",INDEX(BookTotal,1948)*'5. Scenarios'!$C$6/(1+ProductivityDefault*('5. Scenarios'!$C$11-1)))</f>
        <v/>
      </c>
      <c r="J1953" s="57" t="str">
        <f aca="false">IF($I1953="","",INDEX(BookRate,1948)*(1+'5. Scenarios'!$C$10)*$I1953)</f>
        <v/>
      </c>
      <c r="K1953" s="57" t="str">
        <f aca="false">IF($J1953="","",SUMIFS($J$6:$J$2405,$A$6:$A$2405,"&lt;="&amp;$A1953))</f>
        <v/>
      </c>
      <c r="L1953" s="57" t="str">
        <f aca="false">IF($J1953="","",IF($K1953&lt;=BankCostEnvelope*'5. Scenarios'!$C$7,1,0))</f>
        <v/>
      </c>
      <c r="M1953" s="57" t="str">
        <f aca="false">IF($I1953="","",INDEX(BookRate,1948)*(1+'5. Scenarios'!$C$10)*(INDEX(BookQ1,1948)*(5-MIN(4,1+'5. Scenarios'!$C$8))/4+INDEX(BookQ2,1948)*(5-MIN(4,2+'5. Scenarios'!$C$8))/4+INDEX(BookQ3,1948)*(5-MIN(4,3+'5. Scenarios'!$C$8))/4+INDEX(BookQ4,1948)*(5-MIN(4,4+'5. Scenarios'!$C$8))/4)*'5. Scenarios'!$C$6/(1+ProductivityDefault*('5. Scenarios'!$C$11-1))+INDEX(BookOneOff,1948)*$I1953)</f>
        <v/>
      </c>
      <c r="N1953" s="56" t="str">
        <f aca="false">IF(INDEX(BookTitle,1948)="","",INDEX(BookTotal,1948)*'5. Scenarios'!$D$6/(1+ProductivityDefault*('5. Scenarios'!$D$11-1)))</f>
        <v/>
      </c>
      <c r="O1953" s="57" t="str">
        <f aca="false">IF($N1953="","",INDEX(BookRate,1948)*(1+'5. Scenarios'!$D$10)*$N1953)</f>
        <v/>
      </c>
      <c r="P1953" s="57" t="str">
        <f aca="false">IF($O1953="","",SUMIFS($O$6:$O$2405,$A$6:$A$2405,"&lt;="&amp;$A1953))</f>
        <v/>
      </c>
      <c r="Q1953" s="57" t="str">
        <f aca="false">IF($O1953="","",IF($P1953&lt;=BankCostEnvelope*'5. Scenarios'!$D$7,1,0))</f>
        <v/>
      </c>
      <c r="R1953" s="57" t="str">
        <f aca="false">IF($N1953="","",INDEX(BookRate,1948)*(1+'5. Scenarios'!$D$10)*(INDEX(BookQ1,1948)*(5-MIN(4,1+'5. Scenarios'!$D$8))/4+INDEX(BookQ2,1948)*(5-MIN(4,2+'5. Scenarios'!$D$8))/4+INDEX(BookQ3,1948)*(5-MIN(4,3+'5. Scenarios'!$D$8))/4+INDEX(BookQ4,1948)*(5-MIN(4,4+'5. Scenarios'!$D$8))/4)*'5. Scenarios'!$D$6/(1+ProductivityDefault*('5. Scenarios'!$D$11-1))+INDEX(BookOneOff,1948)*$N1953)</f>
        <v/>
      </c>
      <c r="S1953" s="56" t="str">
        <f aca="false">IF(INDEX(BookTitle,1948)="","",INDEX(BookTotal,1948)*'5. Scenarios'!$E$6/(1+ProductivityDefault*('5. Scenarios'!$E$11-1)))</f>
        <v/>
      </c>
      <c r="T1953" s="57" t="str">
        <f aca="false">IF($S1953="","",INDEX(BookRate,1948)*(1+'5. Scenarios'!$E$10)*$S1953)</f>
        <v/>
      </c>
      <c r="U1953" s="57" t="str">
        <f aca="false">IF($T1953="","",SUMIFS($T$6:$T$2405,$A$6:$A$2405,"&lt;="&amp;$A1953))</f>
        <v/>
      </c>
      <c r="V1953" s="57" t="str">
        <f aca="false">IF($T1953="","",IF($U1953&lt;=BankCostEnvelope*'5. Scenarios'!$E$7,1,0))</f>
        <v/>
      </c>
      <c r="W1953" s="57" t="str">
        <f aca="false">IF($S1953="","",INDEX(BookRate,1948)*(1+'5. Scenarios'!$E$10)*(INDEX(BookQ1,1948)*(5-MIN(4,1+'5. Scenarios'!$E$8))/4+INDEX(BookQ2,1948)*(5-MIN(4,2+'5. Scenarios'!$E$8))/4+INDEX(BookQ3,1948)*(5-MIN(4,3+'5. Scenarios'!$E$8))/4+INDEX(BookQ4,1948)*(5-MIN(4,4+'5. Scenarios'!$E$8))/4)*'5. Scenarios'!$E$6/(1+ProductivityDefault*('5. Scenarios'!$E$11-1))+INDEX(BookOneOff,1948)*$S1953)</f>
        <v/>
      </c>
    </row>
    <row r="1954" customFormat="false" ht="15" hidden="false" customHeight="false" outlineLevel="0" collapsed="false">
      <c r="A1954" s="0" t="str">
        <f aca="false">IF(INDEX(BookTitle,1949)="","",INDEX(BookKey,1949))</f>
        <v/>
      </c>
      <c r="B1954" s="0" t="str">
        <f aca="false">IF(INDEX(BookTitle,1949)="","",INDEX(BookGroup,1949))</f>
        <v/>
      </c>
      <c r="C1954" s="0" t="str">
        <f aca="false">IF(INDEX(BookTitle,1949)="","",INDEX(BookCategory,1949))</f>
        <v/>
      </c>
      <c r="D1954" s="56" t="str">
        <f aca="false">IF(INDEX(BookTitle,1949)="","",INDEX(BookTotal,1949)*'5. Scenarios'!$B$6/(1+ProductivityDefault*('5. Scenarios'!$B$11-1)))</f>
        <v/>
      </c>
      <c r="E1954" s="57" t="str">
        <f aca="false">IF($D1954="","",INDEX(BookRate,1949)*(1+'5. Scenarios'!$B$10)*$D1954)</f>
        <v/>
      </c>
      <c r="F1954" s="57" t="str">
        <f aca="false">IF($E1954="","",SUMIFS($E$6:$E$2405,$A$6:$A$2405,"&lt;="&amp;$A1954))</f>
        <v/>
      </c>
      <c r="G1954" s="57" t="str">
        <f aca="false">IF($E1954="","",IF($F1954&lt;=BankCostEnvelope*'5. Scenarios'!$B$7,1,0))</f>
        <v/>
      </c>
      <c r="H1954" s="57" t="str">
        <f aca="false">IF($D1954="","",INDEX(BookRate,1949)*(1+'5. Scenarios'!$B$10)*(INDEX(BookQ1,1949)*(5-MIN(4,1+'5. Scenarios'!$B$8))/4+INDEX(BookQ2,1949)*(5-MIN(4,2+'5. Scenarios'!$B$8))/4+INDEX(BookQ3,1949)*(5-MIN(4,3+'5. Scenarios'!$B$8))/4+INDEX(BookQ4,1949)*(5-MIN(4,4+'5. Scenarios'!$B$8))/4)*'5. Scenarios'!$B$6/(1+ProductivityDefault*('5. Scenarios'!$B$11-1))+INDEX(BookOneOff,1949)*$D1954)</f>
        <v/>
      </c>
      <c r="I1954" s="56" t="str">
        <f aca="false">IF(INDEX(BookTitle,1949)="","",INDEX(BookTotal,1949)*'5. Scenarios'!$C$6/(1+ProductivityDefault*('5. Scenarios'!$C$11-1)))</f>
        <v/>
      </c>
      <c r="J1954" s="57" t="str">
        <f aca="false">IF($I1954="","",INDEX(BookRate,1949)*(1+'5. Scenarios'!$C$10)*$I1954)</f>
        <v/>
      </c>
      <c r="K1954" s="57" t="str">
        <f aca="false">IF($J1954="","",SUMIFS($J$6:$J$2405,$A$6:$A$2405,"&lt;="&amp;$A1954))</f>
        <v/>
      </c>
      <c r="L1954" s="57" t="str">
        <f aca="false">IF($J1954="","",IF($K1954&lt;=BankCostEnvelope*'5. Scenarios'!$C$7,1,0))</f>
        <v/>
      </c>
      <c r="M1954" s="57" t="str">
        <f aca="false">IF($I1954="","",INDEX(BookRate,1949)*(1+'5. Scenarios'!$C$10)*(INDEX(BookQ1,1949)*(5-MIN(4,1+'5. Scenarios'!$C$8))/4+INDEX(BookQ2,1949)*(5-MIN(4,2+'5. Scenarios'!$C$8))/4+INDEX(BookQ3,1949)*(5-MIN(4,3+'5. Scenarios'!$C$8))/4+INDEX(BookQ4,1949)*(5-MIN(4,4+'5. Scenarios'!$C$8))/4)*'5. Scenarios'!$C$6/(1+ProductivityDefault*('5. Scenarios'!$C$11-1))+INDEX(BookOneOff,1949)*$I1954)</f>
        <v/>
      </c>
      <c r="N1954" s="56" t="str">
        <f aca="false">IF(INDEX(BookTitle,1949)="","",INDEX(BookTotal,1949)*'5. Scenarios'!$D$6/(1+ProductivityDefault*('5. Scenarios'!$D$11-1)))</f>
        <v/>
      </c>
      <c r="O1954" s="57" t="str">
        <f aca="false">IF($N1954="","",INDEX(BookRate,1949)*(1+'5. Scenarios'!$D$10)*$N1954)</f>
        <v/>
      </c>
      <c r="P1954" s="57" t="str">
        <f aca="false">IF($O1954="","",SUMIFS($O$6:$O$2405,$A$6:$A$2405,"&lt;="&amp;$A1954))</f>
        <v/>
      </c>
      <c r="Q1954" s="57" t="str">
        <f aca="false">IF($O1954="","",IF($P1954&lt;=BankCostEnvelope*'5. Scenarios'!$D$7,1,0))</f>
        <v/>
      </c>
      <c r="R1954" s="57" t="str">
        <f aca="false">IF($N1954="","",INDEX(BookRate,1949)*(1+'5. Scenarios'!$D$10)*(INDEX(BookQ1,1949)*(5-MIN(4,1+'5. Scenarios'!$D$8))/4+INDEX(BookQ2,1949)*(5-MIN(4,2+'5. Scenarios'!$D$8))/4+INDEX(BookQ3,1949)*(5-MIN(4,3+'5. Scenarios'!$D$8))/4+INDEX(BookQ4,1949)*(5-MIN(4,4+'5. Scenarios'!$D$8))/4)*'5. Scenarios'!$D$6/(1+ProductivityDefault*('5. Scenarios'!$D$11-1))+INDEX(BookOneOff,1949)*$N1954)</f>
        <v/>
      </c>
      <c r="S1954" s="56" t="str">
        <f aca="false">IF(INDEX(BookTitle,1949)="","",INDEX(BookTotal,1949)*'5. Scenarios'!$E$6/(1+ProductivityDefault*('5. Scenarios'!$E$11-1)))</f>
        <v/>
      </c>
      <c r="T1954" s="57" t="str">
        <f aca="false">IF($S1954="","",INDEX(BookRate,1949)*(1+'5. Scenarios'!$E$10)*$S1954)</f>
        <v/>
      </c>
      <c r="U1954" s="57" t="str">
        <f aca="false">IF($T1954="","",SUMIFS($T$6:$T$2405,$A$6:$A$2405,"&lt;="&amp;$A1954))</f>
        <v/>
      </c>
      <c r="V1954" s="57" t="str">
        <f aca="false">IF($T1954="","",IF($U1954&lt;=BankCostEnvelope*'5. Scenarios'!$E$7,1,0))</f>
        <v/>
      </c>
      <c r="W1954" s="57" t="str">
        <f aca="false">IF($S1954="","",INDEX(BookRate,1949)*(1+'5. Scenarios'!$E$10)*(INDEX(BookQ1,1949)*(5-MIN(4,1+'5. Scenarios'!$E$8))/4+INDEX(BookQ2,1949)*(5-MIN(4,2+'5. Scenarios'!$E$8))/4+INDEX(BookQ3,1949)*(5-MIN(4,3+'5. Scenarios'!$E$8))/4+INDEX(BookQ4,1949)*(5-MIN(4,4+'5. Scenarios'!$E$8))/4)*'5. Scenarios'!$E$6/(1+ProductivityDefault*('5. Scenarios'!$E$11-1))+INDEX(BookOneOff,1949)*$S1954)</f>
        <v/>
      </c>
    </row>
    <row r="1955" customFormat="false" ht="15" hidden="false" customHeight="false" outlineLevel="0" collapsed="false">
      <c r="A1955" s="0" t="str">
        <f aca="false">IF(INDEX(BookTitle,1950)="","",INDEX(BookKey,1950))</f>
        <v/>
      </c>
      <c r="B1955" s="0" t="str">
        <f aca="false">IF(INDEX(BookTitle,1950)="","",INDEX(BookGroup,1950))</f>
        <v/>
      </c>
      <c r="C1955" s="0" t="str">
        <f aca="false">IF(INDEX(BookTitle,1950)="","",INDEX(BookCategory,1950))</f>
        <v/>
      </c>
      <c r="D1955" s="56" t="str">
        <f aca="false">IF(INDEX(BookTitle,1950)="","",INDEX(BookTotal,1950)*'5. Scenarios'!$B$6/(1+ProductivityDefault*('5. Scenarios'!$B$11-1)))</f>
        <v/>
      </c>
      <c r="E1955" s="57" t="str">
        <f aca="false">IF($D1955="","",INDEX(BookRate,1950)*(1+'5. Scenarios'!$B$10)*$D1955)</f>
        <v/>
      </c>
      <c r="F1955" s="57" t="str">
        <f aca="false">IF($E1955="","",SUMIFS($E$6:$E$2405,$A$6:$A$2405,"&lt;="&amp;$A1955))</f>
        <v/>
      </c>
      <c r="G1955" s="57" t="str">
        <f aca="false">IF($E1955="","",IF($F1955&lt;=BankCostEnvelope*'5. Scenarios'!$B$7,1,0))</f>
        <v/>
      </c>
      <c r="H1955" s="57" t="str">
        <f aca="false">IF($D1955="","",INDEX(BookRate,1950)*(1+'5. Scenarios'!$B$10)*(INDEX(BookQ1,1950)*(5-MIN(4,1+'5. Scenarios'!$B$8))/4+INDEX(BookQ2,1950)*(5-MIN(4,2+'5. Scenarios'!$B$8))/4+INDEX(BookQ3,1950)*(5-MIN(4,3+'5. Scenarios'!$B$8))/4+INDEX(BookQ4,1950)*(5-MIN(4,4+'5. Scenarios'!$B$8))/4)*'5. Scenarios'!$B$6/(1+ProductivityDefault*('5. Scenarios'!$B$11-1))+INDEX(BookOneOff,1950)*$D1955)</f>
        <v/>
      </c>
      <c r="I1955" s="56" t="str">
        <f aca="false">IF(INDEX(BookTitle,1950)="","",INDEX(BookTotal,1950)*'5. Scenarios'!$C$6/(1+ProductivityDefault*('5. Scenarios'!$C$11-1)))</f>
        <v/>
      </c>
      <c r="J1955" s="57" t="str">
        <f aca="false">IF($I1955="","",INDEX(BookRate,1950)*(1+'5. Scenarios'!$C$10)*$I1955)</f>
        <v/>
      </c>
      <c r="K1955" s="57" t="str">
        <f aca="false">IF($J1955="","",SUMIFS($J$6:$J$2405,$A$6:$A$2405,"&lt;="&amp;$A1955))</f>
        <v/>
      </c>
      <c r="L1955" s="57" t="str">
        <f aca="false">IF($J1955="","",IF($K1955&lt;=BankCostEnvelope*'5. Scenarios'!$C$7,1,0))</f>
        <v/>
      </c>
      <c r="M1955" s="57" t="str">
        <f aca="false">IF($I1955="","",INDEX(BookRate,1950)*(1+'5. Scenarios'!$C$10)*(INDEX(BookQ1,1950)*(5-MIN(4,1+'5. Scenarios'!$C$8))/4+INDEX(BookQ2,1950)*(5-MIN(4,2+'5. Scenarios'!$C$8))/4+INDEX(BookQ3,1950)*(5-MIN(4,3+'5. Scenarios'!$C$8))/4+INDEX(BookQ4,1950)*(5-MIN(4,4+'5. Scenarios'!$C$8))/4)*'5. Scenarios'!$C$6/(1+ProductivityDefault*('5. Scenarios'!$C$11-1))+INDEX(BookOneOff,1950)*$I1955)</f>
        <v/>
      </c>
      <c r="N1955" s="56" t="str">
        <f aca="false">IF(INDEX(BookTitle,1950)="","",INDEX(BookTotal,1950)*'5. Scenarios'!$D$6/(1+ProductivityDefault*('5. Scenarios'!$D$11-1)))</f>
        <v/>
      </c>
      <c r="O1955" s="57" t="str">
        <f aca="false">IF($N1955="","",INDEX(BookRate,1950)*(1+'5. Scenarios'!$D$10)*$N1955)</f>
        <v/>
      </c>
      <c r="P1955" s="57" t="str">
        <f aca="false">IF($O1955="","",SUMIFS($O$6:$O$2405,$A$6:$A$2405,"&lt;="&amp;$A1955))</f>
        <v/>
      </c>
      <c r="Q1955" s="57" t="str">
        <f aca="false">IF($O1955="","",IF($P1955&lt;=BankCostEnvelope*'5. Scenarios'!$D$7,1,0))</f>
        <v/>
      </c>
      <c r="R1955" s="57" t="str">
        <f aca="false">IF($N1955="","",INDEX(BookRate,1950)*(1+'5. Scenarios'!$D$10)*(INDEX(BookQ1,1950)*(5-MIN(4,1+'5. Scenarios'!$D$8))/4+INDEX(BookQ2,1950)*(5-MIN(4,2+'5. Scenarios'!$D$8))/4+INDEX(BookQ3,1950)*(5-MIN(4,3+'5. Scenarios'!$D$8))/4+INDEX(BookQ4,1950)*(5-MIN(4,4+'5. Scenarios'!$D$8))/4)*'5. Scenarios'!$D$6/(1+ProductivityDefault*('5. Scenarios'!$D$11-1))+INDEX(BookOneOff,1950)*$N1955)</f>
        <v/>
      </c>
      <c r="S1955" s="56" t="str">
        <f aca="false">IF(INDEX(BookTitle,1950)="","",INDEX(BookTotal,1950)*'5. Scenarios'!$E$6/(1+ProductivityDefault*('5. Scenarios'!$E$11-1)))</f>
        <v/>
      </c>
      <c r="T1955" s="57" t="str">
        <f aca="false">IF($S1955="","",INDEX(BookRate,1950)*(1+'5. Scenarios'!$E$10)*$S1955)</f>
        <v/>
      </c>
      <c r="U1955" s="57" t="str">
        <f aca="false">IF($T1955="","",SUMIFS($T$6:$T$2405,$A$6:$A$2405,"&lt;="&amp;$A1955))</f>
        <v/>
      </c>
      <c r="V1955" s="57" t="str">
        <f aca="false">IF($T1955="","",IF($U1955&lt;=BankCostEnvelope*'5. Scenarios'!$E$7,1,0))</f>
        <v/>
      </c>
      <c r="W1955" s="57" t="str">
        <f aca="false">IF($S1955="","",INDEX(BookRate,1950)*(1+'5. Scenarios'!$E$10)*(INDEX(BookQ1,1950)*(5-MIN(4,1+'5. Scenarios'!$E$8))/4+INDEX(BookQ2,1950)*(5-MIN(4,2+'5. Scenarios'!$E$8))/4+INDEX(BookQ3,1950)*(5-MIN(4,3+'5. Scenarios'!$E$8))/4+INDEX(BookQ4,1950)*(5-MIN(4,4+'5. Scenarios'!$E$8))/4)*'5. Scenarios'!$E$6/(1+ProductivityDefault*('5. Scenarios'!$E$11-1))+INDEX(BookOneOff,1950)*$S1955)</f>
        <v/>
      </c>
    </row>
    <row r="1956" customFormat="false" ht="15" hidden="false" customHeight="false" outlineLevel="0" collapsed="false">
      <c r="A1956" s="0" t="str">
        <f aca="false">IF(INDEX(BookTitle,1951)="","",INDEX(BookKey,1951))</f>
        <v/>
      </c>
      <c r="B1956" s="0" t="str">
        <f aca="false">IF(INDEX(BookTitle,1951)="","",INDEX(BookGroup,1951))</f>
        <v/>
      </c>
      <c r="C1956" s="0" t="str">
        <f aca="false">IF(INDEX(BookTitle,1951)="","",INDEX(BookCategory,1951))</f>
        <v/>
      </c>
      <c r="D1956" s="56" t="str">
        <f aca="false">IF(INDEX(BookTitle,1951)="","",INDEX(BookTotal,1951)*'5. Scenarios'!$B$6/(1+ProductivityDefault*('5. Scenarios'!$B$11-1)))</f>
        <v/>
      </c>
      <c r="E1956" s="57" t="str">
        <f aca="false">IF($D1956="","",INDEX(BookRate,1951)*(1+'5. Scenarios'!$B$10)*$D1956)</f>
        <v/>
      </c>
      <c r="F1956" s="57" t="str">
        <f aca="false">IF($E1956="","",SUMIFS($E$6:$E$2405,$A$6:$A$2405,"&lt;="&amp;$A1956))</f>
        <v/>
      </c>
      <c r="G1956" s="57" t="str">
        <f aca="false">IF($E1956="","",IF($F1956&lt;=BankCostEnvelope*'5. Scenarios'!$B$7,1,0))</f>
        <v/>
      </c>
      <c r="H1956" s="57" t="str">
        <f aca="false">IF($D1956="","",INDEX(BookRate,1951)*(1+'5. Scenarios'!$B$10)*(INDEX(BookQ1,1951)*(5-MIN(4,1+'5. Scenarios'!$B$8))/4+INDEX(BookQ2,1951)*(5-MIN(4,2+'5. Scenarios'!$B$8))/4+INDEX(BookQ3,1951)*(5-MIN(4,3+'5. Scenarios'!$B$8))/4+INDEX(BookQ4,1951)*(5-MIN(4,4+'5. Scenarios'!$B$8))/4)*'5. Scenarios'!$B$6/(1+ProductivityDefault*('5. Scenarios'!$B$11-1))+INDEX(BookOneOff,1951)*$D1956)</f>
        <v/>
      </c>
      <c r="I1956" s="56" t="str">
        <f aca="false">IF(INDEX(BookTitle,1951)="","",INDEX(BookTotal,1951)*'5. Scenarios'!$C$6/(1+ProductivityDefault*('5. Scenarios'!$C$11-1)))</f>
        <v/>
      </c>
      <c r="J1956" s="57" t="str">
        <f aca="false">IF($I1956="","",INDEX(BookRate,1951)*(1+'5. Scenarios'!$C$10)*$I1956)</f>
        <v/>
      </c>
      <c r="K1956" s="57" t="str">
        <f aca="false">IF($J1956="","",SUMIFS($J$6:$J$2405,$A$6:$A$2405,"&lt;="&amp;$A1956))</f>
        <v/>
      </c>
      <c r="L1956" s="57" t="str">
        <f aca="false">IF($J1956="","",IF($K1956&lt;=BankCostEnvelope*'5. Scenarios'!$C$7,1,0))</f>
        <v/>
      </c>
      <c r="M1956" s="57" t="str">
        <f aca="false">IF($I1956="","",INDEX(BookRate,1951)*(1+'5. Scenarios'!$C$10)*(INDEX(BookQ1,1951)*(5-MIN(4,1+'5. Scenarios'!$C$8))/4+INDEX(BookQ2,1951)*(5-MIN(4,2+'5. Scenarios'!$C$8))/4+INDEX(BookQ3,1951)*(5-MIN(4,3+'5. Scenarios'!$C$8))/4+INDEX(BookQ4,1951)*(5-MIN(4,4+'5. Scenarios'!$C$8))/4)*'5. Scenarios'!$C$6/(1+ProductivityDefault*('5. Scenarios'!$C$11-1))+INDEX(BookOneOff,1951)*$I1956)</f>
        <v/>
      </c>
      <c r="N1956" s="56" t="str">
        <f aca="false">IF(INDEX(BookTitle,1951)="","",INDEX(BookTotal,1951)*'5. Scenarios'!$D$6/(1+ProductivityDefault*('5. Scenarios'!$D$11-1)))</f>
        <v/>
      </c>
      <c r="O1956" s="57" t="str">
        <f aca="false">IF($N1956="","",INDEX(BookRate,1951)*(1+'5. Scenarios'!$D$10)*$N1956)</f>
        <v/>
      </c>
      <c r="P1956" s="57" t="str">
        <f aca="false">IF($O1956="","",SUMIFS($O$6:$O$2405,$A$6:$A$2405,"&lt;="&amp;$A1956))</f>
        <v/>
      </c>
      <c r="Q1956" s="57" t="str">
        <f aca="false">IF($O1956="","",IF($P1956&lt;=BankCostEnvelope*'5. Scenarios'!$D$7,1,0))</f>
        <v/>
      </c>
      <c r="R1956" s="57" t="str">
        <f aca="false">IF($N1956="","",INDEX(BookRate,1951)*(1+'5. Scenarios'!$D$10)*(INDEX(BookQ1,1951)*(5-MIN(4,1+'5. Scenarios'!$D$8))/4+INDEX(BookQ2,1951)*(5-MIN(4,2+'5. Scenarios'!$D$8))/4+INDEX(BookQ3,1951)*(5-MIN(4,3+'5. Scenarios'!$D$8))/4+INDEX(BookQ4,1951)*(5-MIN(4,4+'5. Scenarios'!$D$8))/4)*'5. Scenarios'!$D$6/(1+ProductivityDefault*('5. Scenarios'!$D$11-1))+INDEX(BookOneOff,1951)*$N1956)</f>
        <v/>
      </c>
      <c r="S1956" s="56" t="str">
        <f aca="false">IF(INDEX(BookTitle,1951)="","",INDEX(BookTotal,1951)*'5. Scenarios'!$E$6/(1+ProductivityDefault*('5. Scenarios'!$E$11-1)))</f>
        <v/>
      </c>
      <c r="T1956" s="57" t="str">
        <f aca="false">IF($S1956="","",INDEX(BookRate,1951)*(1+'5. Scenarios'!$E$10)*$S1956)</f>
        <v/>
      </c>
      <c r="U1956" s="57" t="str">
        <f aca="false">IF($T1956="","",SUMIFS($T$6:$T$2405,$A$6:$A$2405,"&lt;="&amp;$A1956))</f>
        <v/>
      </c>
      <c r="V1956" s="57" t="str">
        <f aca="false">IF($T1956="","",IF($U1956&lt;=BankCostEnvelope*'5. Scenarios'!$E$7,1,0))</f>
        <v/>
      </c>
      <c r="W1956" s="57" t="str">
        <f aca="false">IF($S1956="","",INDEX(BookRate,1951)*(1+'5. Scenarios'!$E$10)*(INDEX(BookQ1,1951)*(5-MIN(4,1+'5. Scenarios'!$E$8))/4+INDEX(BookQ2,1951)*(5-MIN(4,2+'5. Scenarios'!$E$8))/4+INDEX(BookQ3,1951)*(5-MIN(4,3+'5. Scenarios'!$E$8))/4+INDEX(BookQ4,1951)*(5-MIN(4,4+'5. Scenarios'!$E$8))/4)*'5. Scenarios'!$E$6/(1+ProductivityDefault*('5. Scenarios'!$E$11-1))+INDEX(BookOneOff,1951)*$S1956)</f>
        <v/>
      </c>
    </row>
    <row r="1957" customFormat="false" ht="15" hidden="false" customHeight="false" outlineLevel="0" collapsed="false">
      <c r="A1957" s="0" t="str">
        <f aca="false">IF(INDEX(BookTitle,1952)="","",INDEX(BookKey,1952))</f>
        <v/>
      </c>
      <c r="B1957" s="0" t="str">
        <f aca="false">IF(INDEX(BookTitle,1952)="","",INDEX(BookGroup,1952))</f>
        <v/>
      </c>
      <c r="C1957" s="0" t="str">
        <f aca="false">IF(INDEX(BookTitle,1952)="","",INDEX(BookCategory,1952))</f>
        <v/>
      </c>
      <c r="D1957" s="56" t="str">
        <f aca="false">IF(INDEX(BookTitle,1952)="","",INDEX(BookTotal,1952)*'5. Scenarios'!$B$6/(1+ProductivityDefault*('5. Scenarios'!$B$11-1)))</f>
        <v/>
      </c>
      <c r="E1957" s="57" t="str">
        <f aca="false">IF($D1957="","",INDEX(BookRate,1952)*(1+'5. Scenarios'!$B$10)*$D1957)</f>
        <v/>
      </c>
      <c r="F1957" s="57" t="str">
        <f aca="false">IF($E1957="","",SUMIFS($E$6:$E$2405,$A$6:$A$2405,"&lt;="&amp;$A1957))</f>
        <v/>
      </c>
      <c r="G1957" s="57" t="str">
        <f aca="false">IF($E1957="","",IF($F1957&lt;=BankCostEnvelope*'5. Scenarios'!$B$7,1,0))</f>
        <v/>
      </c>
      <c r="H1957" s="57" t="str">
        <f aca="false">IF($D1957="","",INDEX(BookRate,1952)*(1+'5. Scenarios'!$B$10)*(INDEX(BookQ1,1952)*(5-MIN(4,1+'5. Scenarios'!$B$8))/4+INDEX(BookQ2,1952)*(5-MIN(4,2+'5. Scenarios'!$B$8))/4+INDEX(BookQ3,1952)*(5-MIN(4,3+'5. Scenarios'!$B$8))/4+INDEX(BookQ4,1952)*(5-MIN(4,4+'5. Scenarios'!$B$8))/4)*'5. Scenarios'!$B$6/(1+ProductivityDefault*('5. Scenarios'!$B$11-1))+INDEX(BookOneOff,1952)*$D1957)</f>
        <v/>
      </c>
      <c r="I1957" s="56" t="str">
        <f aca="false">IF(INDEX(BookTitle,1952)="","",INDEX(BookTotal,1952)*'5. Scenarios'!$C$6/(1+ProductivityDefault*('5. Scenarios'!$C$11-1)))</f>
        <v/>
      </c>
      <c r="J1957" s="57" t="str">
        <f aca="false">IF($I1957="","",INDEX(BookRate,1952)*(1+'5. Scenarios'!$C$10)*$I1957)</f>
        <v/>
      </c>
      <c r="K1957" s="57" t="str">
        <f aca="false">IF($J1957="","",SUMIFS($J$6:$J$2405,$A$6:$A$2405,"&lt;="&amp;$A1957))</f>
        <v/>
      </c>
      <c r="L1957" s="57" t="str">
        <f aca="false">IF($J1957="","",IF($K1957&lt;=BankCostEnvelope*'5. Scenarios'!$C$7,1,0))</f>
        <v/>
      </c>
      <c r="M1957" s="57" t="str">
        <f aca="false">IF($I1957="","",INDEX(BookRate,1952)*(1+'5. Scenarios'!$C$10)*(INDEX(BookQ1,1952)*(5-MIN(4,1+'5. Scenarios'!$C$8))/4+INDEX(BookQ2,1952)*(5-MIN(4,2+'5. Scenarios'!$C$8))/4+INDEX(BookQ3,1952)*(5-MIN(4,3+'5. Scenarios'!$C$8))/4+INDEX(BookQ4,1952)*(5-MIN(4,4+'5. Scenarios'!$C$8))/4)*'5. Scenarios'!$C$6/(1+ProductivityDefault*('5. Scenarios'!$C$11-1))+INDEX(BookOneOff,1952)*$I1957)</f>
        <v/>
      </c>
      <c r="N1957" s="56" t="str">
        <f aca="false">IF(INDEX(BookTitle,1952)="","",INDEX(BookTotal,1952)*'5. Scenarios'!$D$6/(1+ProductivityDefault*('5. Scenarios'!$D$11-1)))</f>
        <v/>
      </c>
      <c r="O1957" s="57" t="str">
        <f aca="false">IF($N1957="","",INDEX(BookRate,1952)*(1+'5. Scenarios'!$D$10)*$N1957)</f>
        <v/>
      </c>
      <c r="P1957" s="57" t="str">
        <f aca="false">IF($O1957="","",SUMIFS($O$6:$O$2405,$A$6:$A$2405,"&lt;="&amp;$A1957))</f>
        <v/>
      </c>
      <c r="Q1957" s="57" t="str">
        <f aca="false">IF($O1957="","",IF($P1957&lt;=BankCostEnvelope*'5. Scenarios'!$D$7,1,0))</f>
        <v/>
      </c>
      <c r="R1957" s="57" t="str">
        <f aca="false">IF($N1957="","",INDEX(BookRate,1952)*(1+'5. Scenarios'!$D$10)*(INDEX(BookQ1,1952)*(5-MIN(4,1+'5. Scenarios'!$D$8))/4+INDEX(BookQ2,1952)*(5-MIN(4,2+'5. Scenarios'!$D$8))/4+INDEX(BookQ3,1952)*(5-MIN(4,3+'5. Scenarios'!$D$8))/4+INDEX(BookQ4,1952)*(5-MIN(4,4+'5. Scenarios'!$D$8))/4)*'5. Scenarios'!$D$6/(1+ProductivityDefault*('5. Scenarios'!$D$11-1))+INDEX(BookOneOff,1952)*$N1957)</f>
        <v/>
      </c>
      <c r="S1957" s="56" t="str">
        <f aca="false">IF(INDEX(BookTitle,1952)="","",INDEX(BookTotal,1952)*'5. Scenarios'!$E$6/(1+ProductivityDefault*('5. Scenarios'!$E$11-1)))</f>
        <v/>
      </c>
      <c r="T1957" s="57" t="str">
        <f aca="false">IF($S1957="","",INDEX(BookRate,1952)*(1+'5. Scenarios'!$E$10)*$S1957)</f>
        <v/>
      </c>
      <c r="U1957" s="57" t="str">
        <f aca="false">IF($T1957="","",SUMIFS($T$6:$T$2405,$A$6:$A$2405,"&lt;="&amp;$A1957))</f>
        <v/>
      </c>
      <c r="V1957" s="57" t="str">
        <f aca="false">IF($T1957="","",IF($U1957&lt;=BankCostEnvelope*'5. Scenarios'!$E$7,1,0))</f>
        <v/>
      </c>
      <c r="W1957" s="57" t="str">
        <f aca="false">IF($S1957="","",INDEX(BookRate,1952)*(1+'5. Scenarios'!$E$10)*(INDEX(BookQ1,1952)*(5-MIN(4,1+'5. Scenarios'!$E$8))/4+INDEX(BookQ2,1952)*(5-MIN(4,2+'5. Scenarios'!$E$8))/4+INDEX(BookQ3,1952)*(5-MIN(4,3+'5. Scenarios'!$E$8))/4+INDEX(BookQ4,1952)*(5-MIN(4,4+'5. Scenarios'!$E$8))/4)*'5. Scenarios'!$E$6/(1+ProductivityDefault*('5. Scenarios'!$E$11-1))+INDEX(BookOneOff,1952)*$S1957)</f>
        <v/>
      </c>
    </row>
    <row r="1958" customFormat="false" ht="15" hidden="false" customHeight="false" outlineLevel="0" collapsed="false">
      <c r="A1958" s="0" t="str">
        <f aca="false">IF(INDEX(BookTitle,1953)="","",INDEX(BookKey,1953))</f>
        <v/>
      </c>
      <c r="B1958" s="0" t="str">
        <f aca="false">IF(INDEX(BookTitle,1953)="","",INDEX(BookGroup,1953))</f>
        <v/>
      </c>
      <c r="C1958" s="0" t="str">
        <f aca="false">IF(INDEX(BookTitle,1953)="","",INDEX(BookCategory,1953))</f>
        <v/>
      </c>
      <c r="D1958" s="56" t="str">
        <f aca="false">IF(INDEX(BookTitle,1953)="","",INDEX(BookTotal,1953)*'5. Scenarios'!$B$6/(1+ProductivityDefault*('5. Scenarios'!$B$11-1)))</f>
        <v/>
      </c>
      <c r="E1958" s="57" t="str">
        <f aca="false">IF($D1958="","",INDEX(BookRate,1953)*(1+'5. Scenarios'!$B$10)*$D1958)</f>
        <v/>
      </c>
      <c r="F1958" s="57" t="str">
        <f aca="false">IF($E1958="","",SUMIFS($E$6:$E$2405,$A$6:$A$2405,"&lt;="&amp;$A1958))</f>
        <v/>
      </c>
      <c r="G1958" s="57" t="str">
        <f aca="false">IF($E1958="","",IF($F1958&lt;=BankCostEnvelope*'5. Scenarios'!$B$7,1,0))</f>
        <v/>
      </c>
      <c r="H1958" s="57" t="str">
        <f aca="false">IF($D1958="","",INDEX(BookRate,1953)*(1+'5. Scenarios'!$B$10)*(INDEX(BookQ1,1953)*(5-MIN(4,1+'5. Scenarios'!$B$8))/4+INDEX(BookQ2,1953)*(5-MIN(4,2+'5. Scenarios'!$B$8))/4+INDEX(BookQ3,1953)*(5-MIN(4,3+'5. Scenarios'!$B$8))/4+INDEX(BookQ4,1953)*(5-MIN(4,4+'5. Scenarios'!$B$8))/4)*'5. Scenarios'!$B$6/(1+ProductivityDefault*('5. Scenarios'!$B$11-1))+INDEX(BookOneOff,1953)*$D1958)</f>
        <v/>
      </c>
      <c r="I1958" s="56" t="str">
        <f aca="false">IF(INDEX(BookTitle,1953)="","",INDEX(BookTotal,1953)*'5. Scenarios'!$C$6/(1+ProductivityDefault*('5. Scenarios'!$C$11-1)))</f>
        <v/>
      </c>
      <c r="J1958" s="57" t="str">
        <f aca="false">IF($I1958="","",INDEX(BookRate,1953)*(1+'5. Scenarios'!$C$10)*$I1958)</f>
        <v/>
      </c>
      <c r="K1958" s="57" t="str">
        <f aca="false">IF($J1958="","",SUMIFS($J$6:$J$2405,$A$6:$A$2405,"&lt;="&amp;$A1958))</f>
        <v/>
      </c>
      <c r="L1958" s="57" t="str">
        <f aca="false">IF($J1958="","",IF($K1958&lt;=BankCostEnvelope*'5. Scenarios'!$C$7,1,0))</f>
        <v/>
      </c>
      <c r="M1958" s="57" t="str">
        <f aca="false">IF($I1958="","",INDEX(BookRate,1953)*(1+'5. Scenarios'!$C$10)*(INDEX(BookQ1,1953)*(5-MIN(4,1+'5. Scenarios'!$C$8))/4+INDEX(BookQ2,1953)*(5-MIN(4,2+'5. Scenarios'!$C$8))/4+INDEX(BookQ3,1953)*(5-MIN(4,3+'5. Scenarios'!$C$8))/4+INDEX(BookQ4,1953)*(5-MIN(4,4+'5. Scenarios'!$C$8))/4)*'5. Scenarios'!$C$6/(1+ProductivityDefault*('5. Scenarios'!$C$11-1))+INDEX(BookOneOff,1953)*$I1958)</f>
        <v/>
      </c>
      <c r="N1958" s="56" t="str">
        <f aca="false">IF(INDEX(BookTitle,1953)="","",INDEX(BookTotal,1953)*'5. Scenarios'!$D$6/(1+ProductivityDefault*('5. Scenarios'!$D$11-1)))</f>
        <v/>
      </c>
      <c r="O1958" s="57" t="str">
        <f aca="false">IF($N1958="","",INDEX(BookRate,1953)*(1+'5. Scenarios'!$D$10)*$N1958)</f>
        <v/>
      </c>
      <c r="P1958" s="57" t="str">
        <f aca="false">IF($O1958="","",SUMIFS($O$6:$O$2405,$A$6:$A$2405,"&lt;="&amp;$A1958))</f>
        <v/>
      </c>
      <c r="Q1958" s="57" t="str">
        <f aca="false">IF($O1958="","",IF($P1958&lt;=BankCostEnvelope*'5. Scenarios'!$D$7,1,0))</f>
        <v/>
      </c>
      <c r="R1958" s="57" t="str">
        <f aca="false">IF($N1958="","",INDEX(BookRate,1953)*(1+'5. Scenarios'!$D$10)*(INDEX(BookQ1,1953)*(5-MIN(4,1+'5. Scenarios'!$D$8))/4+INDEX(BookQ2,1953)*(5-MIN(4,2+'5. Scenarios'!$D$8))/4+INDEX(BookQ3,1953)*(5-MIN(4,3+'5. Scenarios'!$D$8))/4+INDEX(BookQ4,1953)*(5-MIN(4,4+'5. Scenarios'!$D$8))/4)*'5. Scenarios'!$D$6/(1+ProductivityDefault*('5. Scenarios'!$D$11-1))+INDEX(BookOneOff,1953)*$N1958)</f>
        <v/>
      </c>
      <c r="S1958" s="56" t="str">
        <f aca="false">IF(INDEX(BookTitle,1953)="","",INDEX(BookTotal,1953)*'5. Scenarios'!$E$6/(1+ProductivityDefault*('5. Scenarios'!$E$11-1)))</f>
        <v/>
      </c>
      <c r="T1958" s="57" t="str">
        <f aca="false">IF($S1958="","",INDEX(BookRate,1953)*(1+'5. Scenarios'!$E$10)*$S1958)</f>
        <v/>
      </c>
      <c r="U1958" s="57" t="str">
        <f aca="false">IF($T1958="","",SUMIFS($T$6:$T$2405,$A$6:$A$2405,"&lt;="&amp;$A1958))</f>
        <v/>
      </c>
      <c r="V1958" s="57" t="str">
        <f aca="false">IF($T1958="","",IF($U1958&lt;=BankCostEnvelope*'5. Scenarios'!$E$7,1,0))</f>
        <v/>
      </c>
      <c r="W1958" s="57" t="str">
        <f aca="false">IF($S1958="","",INDEX(BookRate,1953)*(1+'5. Scenarios'!$E$10)*(INDEX(BookQ1,1953)*(5-MIN(4,1+'5. Scenarios'!$E$8))/4+INDEX(BookQ2,1953)*(5-MIN(4,2+'5. Scenarios'!$E$8))/4+INDEX(BookQ3,1953)*(5-MIN(4,3+'5. Scenarios'!$E$8))/4+INDEX(BookQ4,1953)*(5-MIN(4,4+'5. Scenarios'!$E$8))/4)*'5. Scenarios'!$E$6/(1+ProductivityDefault*('5. Scenarios'!$E$11-1))+INDEX(BookOneOff,1953)*$S1958)</f>
        <v/>
      </c>
    </row>
    <row r="1959" customFormat="false" ht="15" hidden="false" customHeight="false" outlineLevel="0" collapsed="false">
      <c r="A1959" s="0" t="str">
        <f aca="false">IF(INDEX(BookTitle,1954)="","",INDEX(BookKey,1954))</f>
        <v/>
      </c>
      <c r="B1959" s="0" t="str">
        <f aca="false">IF(INDEX(BookTitle,1954)="","",INDEX(BookGroup,1954))</f>
        <v/>
      </c>
      <c r="C1959" s="0" t="str">
        <f aca="false">IF(INDEX(BookTitle,1954)="","",INDEX(BookCategory,1954))</f>
        <v/>
      </c>
      <c r="D1959" s="56" t="str">
        <f aca="false">IF(INDEX(BookTitle,1954)="","",INDEX(BookTotal,1954)*'5. Scenarios'!$B$6/(1+ProductivityDefault*('5. Scenarios'!$B$11-1)))</f>
        <v/>
      </c>
      <c r="E1959" s="57" t="str">
        <f aca="false">IF($D1959="","",INDEX(BookRate,1954)*(1+'5. Scenarios'!$B$10)*$D1959)</f>
        <v/>
      </c>
      <c r="F1959" s="57" t="str">
        <f aca="false">IF($E1959="","",SUMIFS($E$6:$E$2405,$A$6:$A$2405,"&lt;="&amp;$A1959))</f>
        <v/>
      </c>
      <c r="G1959" s="57" t="str">
        <f aca="false">IF($E1959="","",IF($F1959&lt;=BankCostEnvelope*'5. Scenarios'!$B$7,1,0))</f>
        <v/>
      </c>
      <c r="H1959" s="57" t="str">
        <f aca="false">IF($D1959="","",INDEX(BookRate,1954)*(1+'5. Scenarios'!$B$10)*(INDEX(BookQ1,1954)*(5-MIN(4,1+'5. Scenarios'!$B$8))/4+INDEX(BookQ2,1954)*(5-MIN(4,2+'5. Scenarios'!$B$8))/4+INDEX(BookQ3,1954)*(5-MIN(4,3+'5. Scenarios'!$B$8))/4+INDEX(BookQ4,1954)*(5-MIN(4,4+'5. Scenarios'!$B$8))/4)*'5. Scenarios'!$B$6/(1+ProductivityDefault*('5. Scenarios'!$B$11-1))+INDEX(BookOneOff,1954)*$D1959)</f>
        <v/>
      </c>
      <c r="I1959" s="56" t="str">
        <f aca="false">IF(INDEX(BookTitle,1954)="","",INDEX(BookTotal,1954)*'5. Scenarios'!$C$6/(1+ProductivityDefault*('5. Scenarios'!$C$11-1)))</f>
        <v/>
      </c>
      <c r="J1959" s="57" t="str">
        <f aca="false">IF($I1959="","",INDEX(BookRate,1954)*(1+'5. Scenarios'!$C$10)*$I1959)</f>
        <v/>
      </c>
      <c r="K1959" s="57" t="str">
        <f aca="false">IF($J1959="","",SUMIFS($J$6:$J$2405,$A$6:$A$2405,"&lt;="&amp;$A1959))</f>
        <v/>
      </c>
      <c r="L1959" s="57" t="str">
        <f aca="false">IF($J1959="","",IF($K1959&lt;=BankCostEnvelope*'5. Scenarios'!$C$7,1,0))</f>
        <v/>
      </c>
      <c r="M1959" s="57" t="str">
        <f aca="false">IF($I1959="","",INDEX(BookRate,1954)*(1+'5. Scenarios'!$C$10)*(INDEX(BookQ1,1954)*(5-MIN(4,1+'5. Scenarios'!$C$8))/4+INDEX(BookQ2,1954)*(5-MIN(4,2+'5. Scenarios'!$C$8))/4+INDEX(BookQ3,1954)*(5-MIN(4,3+'5. Scenarios'!$C$8))/4+INDEX(BookQ4,1954)*(5-MIN(4,4+'5. Scenarios'!$C$8))/4)*'5. Scenarios'!$C$6/(1+ProductivityDefault*('5. Scenarios'!$C$11-1))+INDEX(BookOneOff,1954)*$I1959)</f>
        <v/>
      </c>
      <c r="N1959" s="56" t="str">
        <f aca="false">IF(INDEX(BookTitle,1954)="","",INDEX(BookTotal,1954)*'5. Scenarios'!$D$6/(1+ProductivityDefault*('5. Scenarios'!$D$11-1)))</f>
        <v/>
      </c>
      <c r="O1959" s="57" t="str">
        <f aca="false">IF($N1959="","",INDEX(BookRate,1954)*(1+'5. Scenarios'!$D$10)*$N1959)</f>
        <v/>
      </c>
      <c r="P1959" s="57" t="str">
        <f aca="false">IF($O1959="","",SUMIFS($O$6:$O$2405,$A$6:$A$2405,"&lt;="&amp;$A1959))</f>
        <v/>
      </c>
      <c r="Q1959" s="57" t="str">
        <f aca="false">IF($O1959="","",IF($P1959&lt;=BankCostEnvelope*'5. Scenarios'!$D$7,1,0))</f>
        <v/>
      </c>
      <c r="R1959" s="57" t="str">
        <f aca="false">IF($N1959="","",INDEX(BookRate,1954)*(1+'5. Scenarios'!$D$10)*(INDEX(BookQ1,1954)*(5-MIN(4,1+'5. Scenarios'!$D$8))/4+INDEX(BookQ2,1954)*(5-MIN(4,2+'5. Scenarios'!$D$8))/4+INDEX(BookQ3,1954)*(5-MIN(4,3+'5. Scenarios'!$D$8))/4+INDEX(BookQ4,1954)*(5-MIN(4,4+'5. Scenarios'!$D$8))/4)*'5. Scenarios'!$D$6/(1+ProductivityDefault*('5. Scenarios'!$D$11-1))+INDEX(BookOneOff,1954)*$N1959)</f>
        <v/>
      </c>
      <c r="S1959" s="56" t="str">
        <f aca="false">IF(INDEX(BookTitle,1954)="","",INDEX(BookTotal,1954)*'5. Scenarios'!$E$6/(1+ProductivityDefault*('5. Scenarios'!$E$11-1)))</f>
        <v/>
      </c>
      <c r="T1959" s="57" t="str">
        <f aca="false">IF($S1959="","",INDEX(BookRate,1954)*(1+'5. Scenarios'!$E$10)*$S1959)</f>
        <v/>
      </c>
      <c r="U1959" s="57" t="str">
        <f aca="false">IF($T1959="","",SUMIFS($T$6:$T$2405,$A$6:$A$2405,"&lt;="&amp;$A1959))</f>
        <v/>
      </c>
      <c r="V1959" s="57" t="str">
        <f aca="false">IF($T1959="","",IF($U1959&lt;=BankCostEnvelope*'5. Scenarios'!$E$7,1,0))</f>
        <v/>
      </c>
      <c r="W1959" s="57" t="str">
        <f aca="false">IF($S1959="","",INDEX(BookRate,1954)*(1+'5. Scenarios'!$E$10)*(INDEX(BookQ1,1954)*(5-MIN(4,1+'5. Scenarios'!$E$8))/4+INDEX(BookQ2,1954)*(5-MIN(4,2+'5. Scenarios'!$E$8))/4+INDEX(BookQ3,1954)*(5-MIN(4,3+'5. Scenarios'!$E$8))/4+INDEX(BookQ4,1954)*(5-MIN(4,4+'5. Scenarios'!$E$8))/4)*'5. Scenarios'!$E$6/(1+ProductivityDefault*('5. Scenarios'!$E$11-1))+INDEX(BookOneOff,1954)*$S1959)</f>
        <v/>
      </c>
    </row>
    <row r="1960" customFormat="false" ht="15" hidden="false" customHeight="false" outlineLevel="0" collapsed="false">
      <c r="A1960" s="0" t="str">
        <f aca="false">IF(INDEX(BookTitle,1955)="","",INDEX(BookKey,1955))</f>
        <v/>
      </c>
      <c r="B1960" s="0" t="str">
        <f aca="false">IF(INDEX(BookTitle,1955)="","",INDEX(BookGroup,1955))</f>
        <v/>
      </c>
      <c r="C1960" s="0" t="str">
        <f aca="false">IF(INDEX(BookTitle,1955)="","",INDEX(BookCategory,1955))</f>
        <v/>
      </c>
      <c r="D1960" s="56" t="str">
        <f aca="false">IF(INDEX(BookTitle,1955)="","",INDEX(BookTotal,1955)*'5. Scenarios'!$B$6/(1+ProductivityDefault*('5. Scenarios'!$B$11-1)))</f>
        <v/>
      </c>
      <c r="E1960" s="57" t="str">
        <f aca="false">IF($D1960="","",INDEX(BookRate,1955)*(1+'5. Scenarios'!$B$10)*$D1960)</f>
        <v/>
      </c>
      <c r="F1960" s="57" t="str">
        <f aca="false">IF($E1960="","",SUMIFS($E$6:$E$2405,$A$6:$A$2405,"&lt;="&amp;$A1960))</f>
        <v/>
      </c>
      <c r="G1960" s="57" t="str">
        <f aca="false">IF($E1960="","",IF($F1960&lt;=BankCostEnvelope*'5. Scenarios'!$B$7,1,0))</f>
        <v/>
      </c>
      <c r="H1960" s="57" t="str">
        <f aca="false">IF($D1960="","",INDEX(BookRate,1955)*(1+'5. Scenarios'!$B$10)*(INDEX(BookQ1,1955)*(5-MIN(4,1+'5. Scenarios'!$B$8))/4+INDEX(BookQ2,1955)*(5-MIN(4,2+'5. Scenarios'!$B$8))/4+INDEX(BookQ3,1955)*(5-MIN(4,3+'5. Scenarios'!$B$8))/4+INDEX(BookQ4,1955)*(5-MIN(4,4+'5. Scenarios'!$B$8))/4)*'5. Scenarios'!$B$6/(1+ProductivityDefault*('5. Scenarios'!$B$11-1))+INDEX(BookOneOff,1955)*$D1960)</f>
        <v/>
      </c>
      <c r="I1960" s="56" t="str">
        <f aca="false">IF(INDEX(BookTitle,1955)="","",INDEX(BookTotal,1955)*'5. Scenarios'!$C$6/(1+ProductivityDefault*('5. Scenarios'!$C$11-1)))</f>
        <v/>
      </c>
      <c r="J1960" s="57" t="str">
        <f aca="false">IF($I1960="","",INDEX(BookRate,1955)*(1+'5. Scenarios'!$C$10)*$I1960)</f>
        <v/>
      </c>
      <c r="K1960" s="57" t="str">
        <f aca="false">IF($J1960="","",SUMIFS($J$6:$J$2405,$A$6:$A$2405,"&lt;="&amp;$A1960))</f>
        <v/>
      </c>
      <c r="L1960" s="57" t="str">
        <f aca="false">IF($J1960="","",IF($K1960&lt;=BankCostEnvelope*'5. Scenarios'!$C$7,1,0))</f>
        <v/>
      </c>
      <c r="M1960" s="57" t="str">
        <f aca="false">IF($I1960="","",INDEX(BookRate,1955)*(1+'5. Scenarios'!$C$10)*(INDEX(BookQ1,1955)*(5-MIN(4,1+'5. Scenarios'!$C$8))/4+INDEX(BookQ2,1955)*(5-MIN(4,2+'5. Scenarios'!$C$8))/4+INDEX(BookQ3,1955)*(5-MIN(4,3+'5. Scenarios'!$C$8))/4+INDEX(BookQ4,1955)*(5-MIN(4,4+'5. Scenarios'!$C$8))/4)*'5. Scenarios'!$C$6/(1+ProductivityDefault*('5. Scenarios'!$C$11-1))+INDEX(BookOneOff,1955)*$I1960)</f>
        <v/>
      </c>
      <c r="N1960" s="56" t="str">
        <f aca="false">IF(INDEX(BookTitle,1955)="","",INDEX(BookTotal,1955)*'5. Scenarios'!$D$6/(1+ProductivityDefault*('5. Scenarios'!$D$11-1)))</f>
        <v/>
      </c>
      <c r="O1960" s="57" t="str">
        <f aca="false">IF($N1960="","",INDEX(BookRate,1955)*(1+'5. Scenarios'!$D$10)*$N1960)</f>
        <v/>
      </c>
      <c r="P1960" s="57" t="str">
        <f aca="false">IF($O1960="","",SUMIFS($O$6:$O$2405,$A$6:$A$2405,"&lt;="&amp;$A1960))</f>
        <v/>
      </c>
      <c r="Q1960" s="57" t="str">
        <f aca="false">IF($O1960="","",IF($P1960&lt;=BankCostEnvelope*'5. Scenarios'!$D$7,1,0))</f>
        <v/>
      </c>
      <c r="R1960" s="57" t="str">
        <f aca="false">IF($N1960="","",INDEX(BookRate,1955)*(1+'5. Scenarios'!$D$10)*(INDEX(BookQ1,1955)*(5-MIN(4,1+'5. Scenarios'!$D$8))/4+INDEX(BookQ2,1955)*(5-MIN(4,2+'5. Scenarios'!$D$8))/4+INDEX(BookQ3,1955)*(5-MIN(4,3+'5. Scenarios'!$D$8))/4+INDEX(BookQ4,1955)*(5-MIN(4,4+'5. Scenarios'!$D$8))/4)*'5. Scenarios'!$D$6/(1+ProductivityDefault*('5. Scenarios'!$D$11-1))+INDEX(BookOneOff,1955)*$N1960)</f>
        <v/>
      </c>
      <c r="S1960" s="56" t="str">
        <f aca="false">IF(INDEX(BookTitle,1955)="","",INDEX(BookTotal,1955)*'5. Scenarios'!$E$6/(1+ProductivityDefault*('5. Scenarios'!$E$11-1)))</f>
        <v/>
      </c>
      <c r="T1960" s="57" t="str">
        <f aca="false">IF($S1960="","",INDEX(BookRate,1955)*(1+'5. Scenarios'!$E$10)*$S1960)</f>
        <v/>
      </c>
      <c r="U1960" s="57" t="str">
        <f aca="false">IF($T1960="","",SUMIFS($T$6:$T$2405,$A$6:$A$2405,"&lt;="&amp;$A1960))</f>
        <v/>
      </c>
      <c r="V1960" s="57" t="str">
        <f aca="false">IF($T1960="","",IF($U1960&lt;=BankCostEnvelope*'5. Scenarios'!$E$7,1,0))</f>
        <v/>
      </c>
      <c r="W1960" s="57" t="str">
        <f aca="false">IF($S1960="","",INDEX(BookRate,1955)*(1+'5. Scenarios'!$E$10)*(INDEX(BookQ1,1955)*(5-MIN(4,1+'5. Scenarios'!$E$8))/4+INDEX(BookQ2,1955)*(5-MIN(4,2+'5. Scenarios'!$E$8))/4+INDEX(BookQ3,1955)*(5-MIN(4,3+'5. Scenarios'!$E$8))/4+INDEX(BookQ4,1955)*(5-MIN(4,4+'5. Scenarios'!$E$8))/4)*'5. Scenarios'!$E$6/(1+ProductivityDefault*('5. Scenarios'!$E$11-1))+INDEX(BookOneOff,1955)*$S1960)</f>
        <v/>
      </c>
    </row>
    <row r="1961" customFormat="false" ht="15" hidden="false" customHeight="false" outlineLevel="0" collapsed="false">
      <c r="A1961" s="0" t="str">
        <f aca="false">IF(INDEX(BookTitle,1956)="","",INDEX(BookKey,1956))</f>
        <v/>
      </c>
      <c r="B1961" s="0" t="str">
        <f aca="false">IF(INDEX(BookTitle,1956)="","",INDEX(BookGroup,1956))</f>
        <v/>
      </c>
      <c r="C1961" s="0" t="str">
        <f aca="false">IF(INDEX(BookTitle,1956)="","",INDEX(BookCategory,1956))</f>
        <v/>
      </c>
      <c r="D1961" s="56" t="str">
        <f aca="false">IF(INDEX(BookTitle,1956)="","",INDEX(BookTotal,1956)*'5. Scenarios'!$B$6/(1+ProductivityDefault*('5. Scenarios'!$B$11-1)))</f>
        <v/>
      </c>
      <c r="E1961" s="57" t="str">
        <f aca="false">IF($D1961="","",INDEX(BookRate,1956)*(1+'5. Scenarios'!$B$10)*$D1961)</f>
        <v/>
      </c>
      <c r="F1961" s="57" t="str">
        <f aca="false">IF($E1961="","",SUMIFS($E$6:$E$2405,$A$6:$A$2405,"&lt;="&amp;$A1961))</f>
        <v/>
      </c>
      <c r="G1961" s="57" t="str">
        <f aca="false">IF($E1961="","",IF($F1961&lt;=BankCostEnvelope*'5. Scenarios'!$B$7,1,0))</f>
        <v/>
      </c>
      <c r="H1961" s="57" t="str">
        <f aca="false">IF($D1961="","",INDEX(BookRate,1956)*(1+'5. Scenarios'!$B$10)*(INDEX(BookQ1,1956)*(5-MIN(4,1+'5. Scenarios'!$B$8))/4+INDEX(BookQ2,1956)*(5-MIN(4,2+'5. Scenarios'!$B$8))/4+INDEX(BookQ3,1956)*(5-MIN(4,3+'5. Scenarios'!$B$8))/4+INDEX(BookQ4,1956)*(5-MIN(4,4+'5. Scenarios'!$B$8))/4)*'5. Scenarios'!$B$6/(1+ProductivityDefault*('5. Scenarios'!$B$11-1))+INDEX(BookOneOff,1956)*$D1961)</f>
        <v/>
      </c>
      <c r="I1961" s="56" t="str">
        <f aca="false">IF(INDEX(BookTitle,1956)="","",INDEX(BookTotal,1956)*'5. Scenarios'!$C$6/(1+ProductivityDefault*('5. Scenarios'!$C$11-1)))</f>
        <v/>
      </c>
      <c r="J1961" s="57" t="str">
        <f aca="false">IF($I1961="","",INDEX(BookRate,1956)*(1+'5. Scenarios'!$C$10)*$I1961)</f>
        <v/>
      </c>
      <c r="K1961" s="57" t="str">
        <f aca="false">IF($J1961="","",SUMIFS($J$6:$J$2405,$A$6:$A$2405,"&lt;="&amp;$A1961))</f>
        <v/>
      </c>
      <c r="L1961" s="57" t="str">
        <f aca="false">IF($J1961="","",IF($K1961&lt;=BankCostEnvelope*'5. Scenarios'!$C$7,1,0))</f>
        <v/>
      </c>
      <c r="M1961" s="57" t="str">
        <f aca="false">IF($I1961="","",INDEX(BookRate,1956)*(1+'5. Scenarios'!$C$10)*(INDEX(BookQ1,1956)*(5-MIN(4,1+'5. Scenarios'!$C$8))/4+INDEX(BookQ2,1956)*(5-MIN(4,2+'5. Scenarios'!$C$8))/4+INDEX(BookQ3,1956)*(5-MIN(4,3+'5. Scenarios'!$C$8))/4+INDEX(BookQ4,1956)*(5-MIN(4,4+'5. Scenarios'!$C$8))/4)*'5. Scenarios'!$C$6/(1+ProductivityDefault*('5. Scenarios'!$C$11-1))+INDEX(BookOneOff,1956)*$I1961)</f>
        <v/>
      </c>
      <c r="N1961" s="56" t="str">
        <f aca="false">IF(INDEX(BookTitle,1956)="","",INDEX(BookTotal,1956)*'5. Scenarios'!$D$6/(1+ProductivityDefault*('5. Scenarios'!$D$11-1)))</f>
        <v/>
      </c>
      <c r="O1961" s="57" t="str">
        <f aca="false">IF($N1961="","",INDEX(BookRate,1956)*(1+'5. Scenarios'!$D$10)*$N1961)</f>
        <v/>
      </c>
      <c r="P1961" s="57" t="str">
        <f aca="false">IF($O1961="","",SUMIFS($O$6:$O$2405,$A$6:$A$2405,"&lt;="&amp;$A1961))</f>
        <v/>
      </c>
      <c r="Q1961" s="57" t="str">
        <f aca="false">IF($O1961="","",IF($P1961&lt;=BankCostEnvelope*'5. Scenarios'!$D$7,1,0))</f>
        <v/>
      </c>
      <c r="R1961" s="57" t="str">
        <f aca="false">IF($N1961="","",INDEX(BookRate,1956)*(1+'5. Scenarios'!$D$10)*(INDEX(BookQ1,1956)*(5-MIN(4,1+'5. Scenarios'!$D$8))/4+INDEX(BookQ2,1956)*(5-MIN(4,2+'5. Scenarios'!$D$8))/4+INDEX(BookQ3,1956)*(5-MIN(4,3+'5. Scenarios'!$D$8))/4+INDEX(BookQ4,1956)*(5-MIN(4,4+'5. Scenarios'!$D$8))/4)*'5. Scenarios'!$D$6/(1+ProductivityDefault*('5. Scenarios'!$D$11-1))+INDEX(BookOneOff,1956)*$N1961)</f>
        <v/>
      </c>
      <c r="S1961" s="56" t="str">
        <f aca="false">IF(INDEX(BookTitle,1956)="","",INDEX(BookTotal,1956)*'5. Scenarios'!$E$6/(1+ProductivityDefault*('5. Scenarios'!$E$11-1)))</f>
        <v/>
      </c>
      <c r="T1961" s="57" t="str">
        <f aca="false">IF($S1961="","",INDEX(BookRate,1956)*(1+'5. Scenarios'!$E$10)*$S1961)</f>
        <v/>
      </c>
      <c r="U1961" s="57" t="str">
        <f aca="false">IF($T1961="","",SUMIFS($T$6:$T$2405,$A$6:$A$2405,"&lt;="&amp;$A1961))</f>
        <v/>
      </c>
      <c r="V1961" s="57" t="str">
        <f aca="false">IF($T1961="","",IF($U1961&lt;=BankCostEnvelope*'5. Scenarios'!$E$7,1,0))</f>
        <v/>
      </c>
      <c r="W1961" s="57" t="str">
        <f aca="false">IF($S1961="","",INDEX(BookRate,1956)*(1+'5. Scenarios'!$E$10)*(INDEX(BookQ1,1956)*(5-MIN(4,1+'5. Scenarios'!$E$8))/4+INDEX(BookQ2,1956)*(5-MIN(4,2+'5. Scenarios'!$E$8))/4+INDEX(BookQ3,1956)*(5-MIN(4,3+'5. Scenarios'!$E$8))/4+INDEX(BookQ4,1956)*(5-MIN(4,4+'5. Scenarios'!$E$8))/4)*'5. Scenarios'!$E$6/(1+ProductivityDefault*('5. Scenarios'!$E$11-1))+INDEX(BookOneOff,1956)*$S1961)</f>
        <v/>
      </c>
    </row>
    <row r="1962" customFormat="false" ht="15" hidden="false" customHeight="false" outlineLevel="0" collapsed="false">
      <c r="A1962" s="0" t="str">
        <f aca="false">IF(INDEX(BookTitle,1957)="","",INDEX(BookKey,1957))</f>
        <v/>
      </c>
      <c r="B1962" s="0" t="str">
        <f aca="false">IF(INDEX(BookTitle,1957)="","",INDEX(BookGroup,1957))</f>
        <v/>
      </c>
      <c r="C1962" s="0" t="str">
        <f aca="false">IF(INDEX(BookTitle,1957)="","",INDEX(BookCategory,1957))</f>
        <v/>
      </c>
      <c r="D1962" s="56" t="str">
        <f aca="false">IF(INDEX(BookTitle,1957)="","",INDEX(BookTotal,1957)*'5. Scenarios'!$B$6/(1+ProductivityDefault*('5. Scenarios'!$B$11-1)))</f>
        <v/>
      </c>
      <c r="E1962" s="57" t="str">
        <f aca="false">IF($D1962="","",INDEX(BookRate,1957)*(1+'5. Scenarios'!$B$10)*$D1962)</f>
        <v/>
      </c>
      <c r="F1962" s="57" t="str">
        <f aca="false">IF($E1962="","",SUMIFS($E$6:$E$2405,$A$6:$A$2405,"&lt;="&amp;$A1962))</f>
        <v/>
      </c>
      <c r="G1962" s="57" t="str">
        <f aca="false">IF($E1962="","",IF($F1962&lt;=BankCostEnvelope*'5. Scenarios'!$B$7,1,0))</f>
        <v/>
      </c>
      <c r="H1962" s="57" t="str">
        <f aca="false">IF($D1962="","",INDEX(BookRate,1957)*(1+'5. Scenarios'!$B$10)*(INDEX(BookQ1,1957)*(5-MIN(4,1+'5. Scenarios'!$B$8))/4+INDEX(BookQ2,1957)*(5-MIN(4,2+'5. Scenarios'!$B$8))/4+INDEX(BookQ3,1957)*(5-MIN(4,3+'5. Scenarios'!$B$8))/4+INDEX(BookQ4,1957)*(5-MIN(4,4+'5. Scenarios'!$B$8))/4)*'5. Scenarios'!$B$6/(1+ProductivityDefault*('5. Scenarios'!$B$11-1))+INDEX(BookOneOff,1957)*$D1962)</f>
        <v/>
      </c>
      <c r="I1962" s="56" t="str">
        <f aca="false">IF(INDEX(BookTitle,1957)="","",INDEX(BookTotal,1957)*'5. Scenarios'!$C$6/(1+ProductivityDefault*('5. Scenarios'!$C$11-1)))</f>
        <v/>
      </c>
      <c r="J1962" s="57" t="str">
        <f aca="false">IF($I1962="","",INDEX(BookRate,1957)*(1+'5. Scenarios'!$C$10)*$I1962)</f>
        <v/>
      </c>
      <c r="K1962" s="57" t="str">
        <f aca="false">IF($J1962="","",SUMIFS($J$6:$J$2405,$A$6:$A$2405,"&lt;="&amp;$A1962))</f>
        <v/>
      </c>
      <c r="L1962" s="57" t="str">
        <f aca="false">IF($J1962="","",IF($K1962&lt;=BankCostEnvelope*'5. Scenarios'!$C$7,1,0))</f>
        <v/>
      </c>
      <c r="M1962" s="57" t="str">
        <f aca="false">IF($I1962="","",INDEX(BookRate,1957)*(1+'5. Scenarios'!$C$10)*(INDEX(BookQ1,1957)*(5-MIN(4,1+'5. Scenarios'!$C$8))/4+INDEX(BookQ2,1957)*(5-MIN(4,2+'5. Scenarios'!$C$8))/4+INDEX(BookQ3,1957)*(5-MIN(4,3+'5. Scenarios'!$C$8))/4+INDEX(BookQ4,1957)*(5-MIN(4,4+'5. Scenarios'!$C$8))/4)*'5. Scenarios'!$C$6/(1+ProductivityDefault*('5. Scenarios'!$C$11-1))+INDEX(BookOneOff,1957)*$I1962)</f>
        <v/>
      </c>
      <c r="N1962" s="56" t="str">
        <f aca="false">IF(INDEX(BookTitle,1957)="","",INDEX(BookTotal,1957)*'5. Scenarios'!$D$6/(1+ProductivityDefault*('5. Scenarios'!$D$11-1)))</f>
        <v/>
      </c>
      <c r="O1962" s="57" t="str">
        <f aca="false">IF($N1962="","",INDEX(BookRate,1957)*(1+'5. Scenarios'!$D$10)*$N1962)</f>
        <v/>
      </c>
      <c r="P1962" s="57" t="str">
        <f aca="false">IF($O1962="","",SUMIFS($O$6:$O$2405,$A$6:$A$2405,"&lt;="&amp;$A1962))</f>
        <v/>
      </c>
      <c r="Q1962" s="57" t="str">
        <f aca="false">IF($O1962="","",IF($P1962&lt;=BankCostEnvelope*'5. Scenarios'!$D$7,1,0))</f>
        <v/>
      </c>
      <c r="R1962" s="57" t="str">
        <f aca="false">IF($N1962="","",INDEX(BookRate,1957)*(1+'5. Scenarios'!$D$10)*(INDEX(BookQ1,1957)*(5-MIN(4,1+'5. Scenarios'!$D$8))/4+INDEX(BookQ2,1957)*(5-MIN(4,2+'5. Scenarios'!$D$8))/4+INDEX(BookQ3,1957)*(5-MIN(4,3+'5. Scenarios'!$D$8))/4+INDEX(BookQ4,1957)*(5-MIN(4,4+'5. Scenarios'!$D$8))/4)*'5. Scenarios'!$D$6/(1+ProductivityDefault*('5. Scenarios'!$D$11-1))+INDEX(BookOneOff,1957)*$N1962)</f>
        <v/>
      </c>
      <c r="S1962" s="56" t="str">
        <f aca="false">IF(INDEX(BookTitle,1957)="","",INDEX(BookTotal,1957)*'5. Scenarios'!$E$6/(1+ProductivityDefault*('5. Scenarios'!$E$11-1)))</f>
        <v/>
      </c>
      <c r="T1962" s="57" t="str">
        <f aca="false">IF($S1962="","",INDEX(BookRate,1957)*(1+'5. Scenarios'!$E$10)*$S1962)</f>
        <v/>
      </c>
      <c r="U1962" s="57" t="str">
        <f aca="false">IF($T1962="","",SUMIFS($T$6:$T$2405,$A$6:$A$2405,"&lt;="&amp;$A1962))</f>
        <v/>
      </c>
      <c r="V1962" s="57" t="str">
        <f aca="false">IF($T1962="","",IF($U1962&lt;=BankCostEnvelope*'5. Scenarios'!$E$7,1,0))</f>
        <v/>
      </c>
      <c r="W1962" s="57" t="str">
        <f aca="false">IF($S1962="","",INDEX(BookRate,1957)*(1+'5. Scenarios'!$E$10)*(INDEX(BookQ1,1957)*(5-MIN(4,1+'5. Scenarios'!$E$8))/4+INDEX(BookQ2,1957)*(5-MIN(4,2+'5. Scenarios'!$E$8))/4+INDEX(BookQ3,1957)*(5-MIN(4,3+'5. Scenarios'!$E$8))/4+INDEX(BookQ4,1957)*(5-MIN(4,4+'5. Scenarios'!$E$8))/4)*'5. Scenarios'!$E$6/(1+ProductivityDefault*('5. Scenarios'!$E$11-1))+INDEX(BookOneOff,1957)*$S1962)</f>
        <v/>
      </c>
    </row>
    <row r="1963" customFormat="false" ht="15" hidden="false" customHeight="false" outlineLevel="0" collapsed="false">
      <c r="A1963" s="0" t="str">
        <f aca="false">IF(INDEX(BookTitle,1958)="","",INDEX(BookKey,1958))</f>
        <v/>
      </c>
      <c r="B1963" s="0" t="str">
        <f aca="false">IF(INDEX(BookTitle,1958)="","",INDEX(BookGroup,1958))</f>
        <v/>
      </c>
      <c r="C1963" s="0" t="str">
        <f aca="false">IF(INDEX(BookTitle,1958)="","",INDEX(BookCategory,1958))</f>
        <v/>
      </c>
      <c r="D1963" s="56" t="str">
        <f aca="false">IF(INDEX(BookTitle,1958)="","",INDEX(BookTotal,1958)*'5. Scenarios'!$B$6/(1+ProductivityDefault*('5. Scenarios'!$B$11-1)))</f>
        <v/>
      </c>
      <c r="E1963" s="57" t="str">
        <f aca="false">IF($D1963="","",INDEX(BookRate,1958)*(1+'5. Scenarios'!$B$10)*$D1963)</f>
        <v/>
      </c>
      <c r="F1963" s="57" t="str">
        <f aca="false">IF($E1963="","",SUMIFS($E$6:$E$2405,$A$6:$A$2405,"&lt;="&amp;$A1963))</f>
        <v/>
      </c>
      <c r="G1963" s="57" t="str">
        <f aca="false">IF($E1963="","",IF($F1963&lt;=BankCostEnvelope*'5. Scenarios'!$B$7,1,0))</f>
        <v/>
      </c>
      <c r="H1963" s="57" t="str">
        <f aca="false">IF($D1963="","",INDEX(BookRate,1958)*(1+'5. Scenarios'!$B$10)*(INDEX(BookQ1,1958)*(5-MIN(4,1+'5. Scenarios'!$B$8))/4+INDEX(BookQ2,1958)*(5-MIN(4,2+'5. Scenarios'!$B$8))/4+INDEX(BookQ3,1958)*(5-MIN(4,3+'5. Scenarios'!$B$8))/4+INDEX(BookQ4,1958)*(5-MIN(4,4+'5. Scenarios'!$B$8))/4)*'5. Scenarios'!$B$6/(1+ProductivityDefault*('5. Scenarios'!$B$11-1))+INDEX(BookOneOff,1958)*$D1963)</f>
        <v/>
      </c>
      <c r="I1963" s="56" t="str">
        <f aca="false">IF(INDEX(BookTitle,1958)="","",INDEX(BookTotal,1958)*'5. Scenarios'!$C$6/(1+ProductivityDefault*('5. Scenarios'!$C$11-1)))</f>
        <v/>
      </c>
      <c r="J1963" s="57" t="str">
        <f aca="false">IF($I1963="","",INDEX(BookRate,1958)*(1+'5. Scenarios'!$C$10)*$I1963)</f>
        <v/>
      </c>
      <c r="K1963" s="57" t="str">
        <f aca="false">IF($J1963="","",SUMIFS($J$6:$J$2405,$A$6:$A$2405,"&lt;="&amp;$A1963))</f>
        <v/>
      </c>
      <c r="L1963" s="57" t="str">
        <f aca="false">IF($J1963="","",IF($K1963&lt;=BankCostEnvelope*'5. Scenarios'!$C$7,1,0))</f>
        <v/>
      </c>
      <c r="M1963" s="57" t="str">
        <f aca="false">IF($I1963="","",INDEX(BookRate,1958)*(1+'5. Scenarios'!$C$10)*(INDEX(BookQ1,1958)*(5-MIN(4,1+'5. Scenarios'!$C$8))/4+INDEX(BookQ2,1958)*(5-MIN(4,2+'5. Scenarios'!$C$8))/4+INDEX(BookQ3,1958)*(5-MIN(4,3+'5. Scenarios'!$C$8))/4+INDEX(BookQ4,1958)*(5-MIN(4,4+'5. Scenarios'!$C$8))/4)*'5. Scenarios'!$C$6/(1+ProductivityDefault*('5. Scenarios'!$C$11-1))+INDEX(BookOneOff,1958)*$I1963)</f>
        <v/>
      </c>
      <c r="N1963" s="56" t="str">
        <f aca="false">IF(INDEX(BookTitle,1958)="","",INDEX(BookTotal,1958)*'5. Scenarios'!$D$6/(1+ProductivityDefault*('5. Scenarios'!$D$11-1)))</f>
        <v/>
      </c>
      <c r="O1963" s="57" t="str">
        <f aca="false">IF($N1963="","",INDEX(BookRate,1958)*(1+'5. Scenarios'!$D$10)*$N1963)</f>
        <v/>
      </c>
      <c r="P1963" s="57" t="str">
        <f aca="false">IF($O1963="","",SUMIFS($O$6:$O$2405,$A$6:$A$2405,"&lt;="&amp;$A1963))</f>
        <v/>
      </c>
      <c r="Q1963" s="57" t="str">
        <f aca="false">IF($O1963="","",IF($P1963&lt;=BankCostEnvelope*'5. Scenarios'!$D$7,1,0))</f>
        <v/>
      </c>
      <c r="R1963" s="57" t="str">
        <f aca="false">IF($N1963="","",INDEX(BookRate,1958)*(1+'5. Scenarios'!$D$10)*(INDEX(BookQ1,1958)*(5-MIN(4,1+'5. Scenarios'!$D$8))/4+INDEX(BookQ2,1958)*(5-MIN(4,2+'5. Scenarios'!$D$8))/4+INDEX(BookQ3,1958)*(5-MIN(4,3+'5. Scenarios'!$D$8))/4+INDEX(BookQ4,1958)*(5-MIN(4,4+'5. Scenarios'!$D$8))/4)*'5. Scenarios'!$D$6/(1+ProductivityDefault*('5. Scenarios'!$D$11-1))+INDEX(BookOneOff,1958)*$N1963)</f>
        <v/>
      </c>
      <c r="S1963" s="56" t="str">
        <f aca="false">IF(INDEX(BookTitle,1958)="","",INDEX(BookTotal,1958)*'5. Scenarios'!$E$6/(1+ProductivityDefault*('5. Scenarios'!$E$11-1)))</f>
        <v/>
      </c>
      <c r="T1963" s="57" t="str">
        <f aca="false">IF($S1963="","",INDEX(BookRate,1958)*(1+'5. Scenarios'!$E$10)*$S1963)</f>
        <v/>
      </c>
      <c r="U1963" s="57" t="str">
        <f aca="false">IF($T1963="","",SUMIFS($T$6:$T$2405,$A$6:$A$2405,"&lt;="&amp;$A1963))</f>
        <v/>
      </c>
      <c r="V1963" s="57" t="str">
        <f aca="false">IF($T1963="","",IF($U1963&lt;=BankCostEnvelope*'5. Scenarios'!$E$7,1,0))</f>
        <v/>
      </c>
      <c r="W1963" s="57" t="str">
        <f aca="false">IF($S1963="","",INDEX(BookRate,1958)*(1+'5. Scenarios'!$E$10)*(INDEX(BookQ1,1958)*(5-MIN(4,1+'5. Scenarios'!$E$8))/4+INDEX(BookQ2,1958)*(5-MIN(4,2+'5. Scenarios'!$E$8))/4+INDEX(BookQ3,1958)*(5-MIN(4,3+'5. Scenarios'!$E$8))/4+INDEX(BookQ4,1958)*(5-MIN(4,4+'5. Scenarios'!$E$8))/4)*'5. Scenarios'!$E$6/(1+ProductivityDefault*('5. Scenarios'!$E$11-1))+INDEX(BookOneOff,1958)*$S1963)</f>
        <v/>
      </c>
    </row>
    <row r="1964" customFormat="false" ht="15" hidden="false" customHeight="false" outlineLevel="0" collapsed="false">
      <c r="A1964" s="0" t="str">
        <f aca="false">IF(INDEX(BookTitle,1959)="","",INDEX(BookKey,1959))</f>
        <v/>
      </c>
      <c r="B1964" s="0" t="str">
        <f aca="false">IF(INDEX(BookTitle,1959)="","",INDEX(BookGroup,1959))</f>
        <v/>
      </c>
      <c r="C1964" s="0" t="str">
        <f aca="false">IF(INDEX(BookTitle,1959)="","",INDEX(BookCategory,1959))</f>
        <v/>
      </c>
      <c r="D1964" s="56" t="str">
        <f aca="false">IF(INDEX(BookTitle,1959)="","",INDEX(BookTotal,1959)*'5. Scenarios'!$B$6/(1+ProductivityDefault*('5. Scenarios'!$B$11-1)))</f>
        <v/>
      </c>
      <c r="E1964" s="57" t="str">
        <f aca="false">IF($D1964="","",INDEX(BookRate,1959)*(1+'5. Scenarios'!$B$10)*$D1964)</f>
        <v/>
      </c>
      <c r="F1964" s="57" t="str">
        <f aca="false">IF($E1964="","",SUMIFS($E$6:$E$2405,$A$6:$A$2405,"&lt;="&amp;$A1964))</f>
        <v/>
      </c>
      <c r="G1964" s="57" t="str">
        <f aca="false">IF($E1964="","",IF($F1964&lt;=BankCostEnvelope*'5. Scenarios'!$B$7,1,0))</f>
        <v/>
      </c>
      <c r="H1964" s="57" t="str">
        <f aca="false">IF($D1964="","",INDEX(BookRate,1959)*(1+'5. Scenarios'!$B$10)*(INDEX(BookQ1,1959)*(5-MIN(4,1+'5. Scenarios'!$B$8))/4+INDEX(BookQ2,1959)*(5-MIN(4,2+'5. Scenarios'!$B$8))/4+INDEX(BookQ3,1959)*(5-MIN(4,3+'5. Scenarios'!$B$8))/4+INDEX(BookQ4,1959)*(5-MIN(4,4+'5. Scenarios'!$B$8))/4)*'5. Scenarios'!$B$6/(1+ProductivityDefault*('5. Scenarios'!$B$11-1))+INDEX(BookOneOff,1959)*$D1964)</f>
        <v/>
      </c>
      <c r="I1964" s="56" t="str">
        <f aca="false">IF(INDEX(BookTitle,1959)="","",INDEX(BookTotal,1959)*'5. Scenarios'!$C$6/(1+ProductivityDefault*('5. Scenarios'!$C$11-1)))</f>
        <v/>
      </c>
      <c r="J1964" s="57" t="str">
        <f aca="false">IF($I1964="","",INDEX(BookRate,1959)*(1+'5. Scenarios'!$C$10)*$I1964)</f>
        <v/>
      </c>
      <c r="K1964" s="57" t="str">
        <f aca="false">IF($J1964="","",SUMIFS($J$6:$J$2405,$A$6:$A$2405,"&lt;="&amp;$A1964))</f>
        <v/>
      </c>
      <c r="L1964" s="57" t="str">
        <f aca="false">IF($J1964="","",IF($K1964&lt;=BankCostEnvelope*'5. Scenarios'!$C$7,1,0))</f>
        <v/>
      </c>
      <c r="M1964" s="57" t="str">
        <f aca="false">IF($I1964="","",INDEX(BookRate,1959)*(1+'5. Scenarios'!$C$10)*(INDEX(BookQ1,1959)*(5-MIN(4,1+'5. Scenarios'!$C$8))/4+INDEX(BookQ2,1959)*(5-MIN(4,2+'5. Scenarios'!$C$8))/4+INDEX(BookQ3,1959)*(5-MIN(4,3+'5. Scenarios'!$C$8))/4+INDEX(BookQ4,1959)*(5-MIN(4,4+'5. Scenarios'!$C$8))/4)*'5. Scenarios'!$C$6/(1+ProductivityDefault*('5. Scenarios'!$C$11-1))+INDEX(BookOneOff,1959)*$I1964)</f>
        <v/>
      </c>
      <c r="N1964" s="56" t="str">
        <f aca="false">IF(INDEX(BookTitle,1959)="","",INDEX(BookTotal,1959)*'5. Scenarios'!$D$6/(1+ProductivityDefault*('5. Scenarios'!$D$11-1)))</f>
        <v/>
      </c>
      <c r="O1964" s="57" t="str">
        <f aca="false">IF($N1964="","",INDEX(BookRate,1959)*(1+'5. Scenarios'!$D$10)*$N1964)</f>
        <v/>
      </c>
      <c r="P1964" s="57" t="str">
        <f aca="false">IF($O1964="","",SUMIFS($O$6:$O$2405,$A$6:$A$2405,"&lt;="&amp;$A1964))</f>
        <v/>
      </c>
      <c r="Q1964" s="57" t="str">
        <f aca="false">IF($O1964="","",IF($P1964&lt;=BankCostEnvelope*'5. Scenarios'!$D$7,1,0))</f>
        <v/>
      </c>
      <c r="R1964" s="57" t="str">
        <f aca="false">IF($N1964="","",INDEX(BookRate,1959)*(1+'5. Scenarios'!$D$10)*(INDEX(BookQ1,1959)*(5-MIN(4,1+'5. Scenarios'!$D$8))/4+INDEX(BookQ2,1959)*(5-MIN(4,2+'5. Scenarios'!$D$8))/4+INDEX(BookQ3,1959)*(5-MIN(4,3+'5. Scenarios'!$D$8))/4+INDEX(BookQ4,1959)*(5-MIN(4,4+'5. Scenarios'!$D$8))/4)*'5. Scenarios'!$D$6/(1+ProductivityDefault*('5. Scenarios'!$D$11-1))+INDEX(BookOneOff,1959)*$N1964)</f>
        <v/>
      </c>
      <c r="S1964" s="56" t="str">
        <f aca="false">IF(INDEX(BookTitle,1959)="","",INDEX(BookTotal,1959)*'5. Scenarios'!$E$6/(1+ProductivityDefault*('5. Scenarios'!$E$11-1)))</f>
        <v/>
      </c>
      <c r="T1964" s="57" t="str">
        <f aca="false">IF($S1964="","",INDEX(BookRate,1959)*(1+'5. Scenarios'!$E$10)*$S1964)</f>
        <v/>
      </c>
      <c r="U1964" s="57" t="str">
        <f aca="false">IF($T1964="","",SUMIFS($T$6:$T$2405,$A$6:$A$2405,"&lt;="&amp;$A1964))</f>
        <v/>
      </c>
      <c r="V1964" s="57" t="str">
        <f aca="false">IF($T1964="","",IF($U1964&lt;=BankCostEnvelope*'5. Scenarios'!$E$7,1,0))</f>
        <v/>
      </c>
      <c r="W1964" s="57" t="str">
        <f aca="false">IF($S1964="","",INDEX(BookRate,1959)*(1+'5. Scenarios'!$E$10)*(INDEX(BookQ1,1959)*(5-MIN(4,1+'5. Scenarios'!$E$8))/4+INDEX(BookQ2,1959)*(5-MIN(4,2+'5. Scenarios'!$E$8))/4+INDEX(BookQ3,1959)*(5-MIN(4,3+'5. Scenarios'!$E$8))/4+INDEX(BookQ4,1959)*(5-MIN(4,4+'5. Scenarios'!$E$8))/4)*'5. Scenarios'!$E$6/(1+ProductivityDefault*('5. Scenarios'!$E$11-1))+INDEX(BookOneOff,1959)*$S1964)</f>
        <v/>
      </c>
    </row>
    <row r="1965" customFormat="false" ht="15" hidden="false" customHeight="false" outlineLevel="0" collapsed="false">
      <c r="A1965" s="0" t="str">
        <f aca="false">IF(INDEX(BookTitle,1960)="","",INDEX(BookKey,1960))</f>
        <v/>
      </c>
      <c r="B1965" s="0" t="str">
        <f aca="false">IF(INDEX(BookTitle,1960)="","",INDEX(BookGroup,1960))</f>
        <v/>
      </c>
      <c r="C1965" s="0" t="str">
        <f aca="false">IF(INDEX(BookTitle,1960)="","",INDEX(BookCategory,1960))</f>
        <v/>
      </c>
      <c r="D1965" s="56" t="str">
        <f aca="false">IF(INDEX(BookTitle,1960)="","",INDEX(BookTotal,1960)*'5. Scenarios'!$B$6/(1+ProductivityDefault*('5. Scenarios'!$B$11-1)))</f>
        <v/>
      </c>
      <c r="E1965" s="57" t="str">
        <f aca="false">IF($D1965="","",INDEX(BookRate,1960)*(1+'5. Scenarios'!$B$10)*$D1965)</f>
        <v/>
      </c>
      <c r="F1965" s="57" t="str">
        <f aca="false">IF($E1965="","",SUMIFS($E$6:$E$2405,$A$6:$A$2405,"&lt;="&amp;$A1965))</f>
        <v/>
      </c>
      <c r="G1965" s="57" t="str">
        <f aca="false">IF($E1965="","",IF($F1965&lt;=BankCostEnvelope*'5. Scenarios'!$B$7,1,0))</f>
        <v/>
      </c>
      <c r="H1965" s="57" t="str">
        <f aca="false">IF($D1965="","",INDEX(BookRate,1960)*(1+'5. Scenarios'!$B$10)*(INDEX(BookQ1,1960)*(5-MIN(4,1+'5. Scenarios'!$B$8))/4+INDEX(BookQ2,1960)*(5-MIN(4,2+'5. Scenarios'!$B$8))/4+INDEX(BookQ3,1960)*(5-MIN(4,3+'5. Scenarios'!$B$8))/4+INDEX(BookQ4,1960)*(5-MIN(4,4+'5. Scenarios'!$B$8))/4)*'5. Scenarios'!$B$6/(1+ProductivityDefault*('5. Scenarios'!$B$11-1))+INDEX(BookOneOff,1960)*$D1965)</f>
        <v/>
      </c>
      <c r="I1965" s="56" t="str">
        <f aca="false">IF(INDEX(BookTitle,1960)="","",INDEX(BookTotal,1960)*'5. Scenarios'!$C$6/(1+ProductivityDefault*('5. Scenarios'!$C$11-1)))</f>
        <v/>
      </c>
      <c r="J1965" s="57" t="str">
        <f aca="false">IF($I1965="","",INDEX(BookRate,1960)*(1+'5. Scenarios'!$C$10)*$I1965)</f>
        <v/>
      </c>
      <c r="K1965" s="57" t="str">
        <f aca="false">IF($J1965="","",SUMIFS($J$6:$J$2405,$A$6:$A$2405,"&lt;="&amp;$A1965))</f>
        <v/>
      </c>
      <c r="L1965" s="57" t="str">
        <f aca="false">IF($J1965="","",IF($K1965&lt;=BankCostEnvelope*'5. Scenarios'!$C$7,1,0))</f>
        <v/>
      </c>
      <c r="M1965" s="57" t="str">
        <f aca="false">IF($I1965="","",INDEX(BookRate,1960)*(1+'5. Scenarios'!$C$10)*(INDEX(BookQ1,1960)*(5-MIN(4,1+'5. Scenarios'!$C$8))/4+INDEX(BookQ2,1960)*(5-MIN(4,2+'5. Scenarios'!$C$8))/4+INDEX(BookQ3,1960)*(5-MIN(4,3+'5. Scenarios'!$C$8))/4+INDEX(BookQ4,1960)*(5-MIN(4,4+'5. Scenarios'!$C$8))/4)*'5. Scenarios'!$C$6/(1+ProductivityDefault*('5. Scenarios'!$C$11-1))+INDEX(BookOneOff,1960)*$I1965)</f>
        <v/>
      </c>
      <c r="N1965" s="56" t="str">
        <f aca="false">IF(INDEX(BookTitle,1960)="","",INDEX(BookTotal,1960)*'5. Scenarios'!$D$6/(1+ProductivityDefault*('5. Scenarios'!$D$11-1)))</f>
        <v/>
      </c>
      <c r="O1965" s="57" t="str">
        <f aca="false">IF($N1965="","",INDEX(BookRate,1960)*(1+'5. Scenarios'!$D$10)*$N1965)</f>
        <v/>
      </c>
      <c r="P1965" s="57" t="str">
        <f aca="false">IF($O1965="","",SUMIFS($O$6:$O$2405,$A$6:$A$2405,"&lt;="&amp;$A1965))</f>
        <v/>
      </c>
      <c r="Q1965" s="57" t="str">
        <f aca="false">IF($O1965="","",IF($P1965&lt;=BankCostEnvelope*'5. Scenarios'!$D$7,1,0))</f>
        <v/>
      </c>
      <c r="R1965" s="57" t="str">
        <f aca="false">IF($N1965="","",INDEX(BookRate,1960)*(1+'5. Scenarios'!$D$10)*(INDEX(BookQ1,1960)*(5-MIN(4,1+'5. Scenarios'!$D$8))/4+INDEX(BookQ2,1960)*(5-MIN(4,2+'5. Scenarios'!$D$8))/4+INDEX(BookQ3,1960)*(5-MIN(4,3+'5. Scenarios'!$D$8))/4+INDEX(BookQ4,1960)*(5-MIN(4,4+'5. Scenarios'!$D$8))/4)*'5. Scenarios'!$D$6/(1+ProductivityDefault*('5. Scenarios'!$D$11-1))+INDEX(BookOneOff,1960)*$N1965)</f>
        <v/>
      </c>
      <c r="S1965" s="56" t="str">
        <f aca="false">IF(INDEX(BookTitle,1960)="","",INDEX(BookTotal,1960)*'5. Scenarios'!$E$6/(1+ProductivityDefault*('5. Scenarios'!$E$11-1)))</f>
        <v/>
      </c>
      <c r="T1965" s="57" t="str">
        <f aca="false">IF($S1965="","",INDEX(BookRate,1960)*(1+'5. Scenarios'!$E$10)*$S1965)</f>
        <v/>
      </c>
      <c r="U1965" s="57" t="str">
        <f aca="false">IF($T1965="","",SUMIFS($T$6:$T$2405,$A$6:$A$2405,"&lt;="&amp;$A1965))</f>
        <v/>
      </c>
      <c r="V1965" s="57" t="str">
        <f aca="false">IF($T1965="","",IF($U1965&lt;=BankCostEnvelope*'5. Scenarios'!$E$7,1,0))</f>
        <v/>
      </c>
      <c r="W1965" s="57" t="str">
        <f aca="false">IF($S1965="","",INDEX(BookRate,1960)*(1+'5. Scenarios'!$E$10)*(INDEX(BookQ1,1960)*(5-MIN(4,1+'5. Scenarios'!$E$8))/4+INDEX(BookQ2,1960)*(5-MIN(4,2+'5. Scenarios'!$E$8))/4+INDEX(BookQ3,1960)*(5-MIN(4,3+'5. Scenarios'!$E$8))/4+INDEX(BookQ4,1960)*(5-MIN(4,4+'5. Scenarios'!$E$8))/4)*'5. Scenarios'!$E$6/(1+ProductivityDefault*('5. Scenarios'!$E$11-1))+INDEX(BookOneOff,1960)*$S1965)</f>
        <v/>
      </c>
    </row>
    <row r="1966" customFormat="false" ht="15" hidden="false" customHeight="false" outlineLevel="0" collapsed="false">
      <c r="A1966" s="0" t="str">
        <f aca="false">IF(INDEX(BookTitle,1961)="","",INDEX(BookKey,1961))</f>
        <v/>
      </c>
      <c r="B1966" s="0" t="str">
        <f aca="false">IF(INDEX(BookTitle,1961)="","",INDEX(BookGroup,1961))</f>
        <v/>
      </c>
      <c r="C1966" s="0" t="str">
        <f aca="false">IF(INDEX(BookTitle,1961)="","",INDEX(BookCategory,1961))</f>
        <v/>
      </c>
      <c r="D1966" s="56" t="str">
        <f aca="false">IF(INDEX(BookTitle,1961)="","",INDEX(BookTotal,1961)*'5. Scenarios'!$B$6/(1+ProductivityDefault*('5. Scenarios'!$B$11-1)))</f>
        <v/>
      </c>
      <c r="E1966" s="57" t="str">
        <f aca="false">IF($D1966="","",INDEX(BookRate,1961)*(1+'5. Scenarios'!$B$10)*$D1966)</f>
        <v/>
      </c>
      <c r="F1966" s="57" t="str">
        <f aca="false">IF($E1966="","",SUMIFS($E$6:$E$2405,$A$6:$A$2405,"&lt;="&amp;$A1966))</f>
        <v/>
      </c>
      <c r="G1966" s="57" t="str">
        <f aca="false">IF($E1966="","",IF($F1966&lt;=BankCostEnvelope*'5. Scenarios'!$B$7,1,0))</f>
        <v/>
      </c>
      <c r="H1966" s="57" t="str">
        <f aca="false">IF($D1966="","",INDEX(BookRate,1961)*(1+'5. Scenarios'!$B$10)*(INDEX(BookQ1,1961)*(5-MIN(4,1+'5. Scenarios'!$B$8))/4+INDEX(BookQ2,1961)*(5-MIN(4,2+'5. Scenarios'!$B$8))/4+INDEX(BookQ3,1961)*(5-MIN(4,3+'5. Scenarios'!$B$8))/4+INDEX(BookQ4,1961)*(5-MIN(4,4+'5. Scenarios'!$B$8))/4)*'5. Scenarios'!$B$6/(1+ProductivityDefault*('5. Scenarios'!$B$11-1))+INDEX(BookOneOff,1961)*$D1966)</f>
        <v/>
      </c>
      <c r="I1966" s="56" t="str">
        <f aca="false">IF(INDEX(BookTitle,1961)="","",INDEX(BookTotal,1961)*'5. Scenarios'!$C$6/(1+ProductivityDefault*('5. Scenarios'!$C$11-1)))</f>
        <v/>
      </c>
      <c r="J1966" s="57" t="str">
        <f aca="false">IF($I1966="","",INDEX(BookRate,1961)*(1+'5. Scenarios'!$C$10)*$I1966)</f>
        <v/>
      </c>
      <c r="K1966" s="57" t="str">
        <f aca="false">IF($J1966="","",SUMIFS($J$6:$J$2405,$A$6:$A$2405,"&lt;="&amp;$A1966))</f>
        <v/>
      </c>
      <c r="L1966" s="57" t="str">
        <f aca="false">IF($J1966="","",IF($K1966&lt;=BankCostEnvelope*'5. Scenarios'!$C$7,1,0))</f>
        <v/>
      </c>
      <c r="M1966" s="57" t="str">
        <f aca="false">IF($I1966="","",INDEX(BookRate,1961)*(1+'5. Scenarios'!$C$10)*(INDEX(BookQ1,1961)*(5-MIN(4,1+'5. Scenarios'!$C$8))/4+INDEX(BookQ2,1961)*(5-MIN(4,2+'5. Scenarios'!$C$8))/4+INDEX(BookQ3,1961)*(5-MIN(4,3+'5. Scenarios'!$C$8))/4+INDEX(BookQ4,1961)*(5-MIN(4,4+'5. Scenarios'!$C$8))/4)*'5. Scenarios'!$C$6/(1+ProductivityDefault*('5. Scenarios'!$C$11-1))+INDEX(BookOneOff,1961)*$I1966)</f>
        <v/>
      </c>
      <c r="N1966" s="56" t="str">
        <f aca="false">IF(INDEX(BookTitle,1961)="","",INDEX(BookTotal,1961)*'5. Scenarios'!$D$6/(1+ProductivityDefault*('5. Scenarios'!$D$11-1)))</f>
        <v/>
      </c>
      <c r="O1966" s="57" t="str">
        <f aca="false">IF($N1966="","",INDEX(BookRate,1961)*(1+'5. Scenarios'!$D$10)*$N1966)</f>
        <v/>
      </c>
      <c r="P1966" s="57" t="str">
        <f aca="false">IF($O1966="","",SUMIFS($O$6:$O$2405,$A$6:$A$2405,"&lt;="&amp;$A1966))</f>
        <v/>
      </c>
      <c r="Q1966" s="57" t="str">
        <f aca="false">IF($O1966="","",IF($P1966&lt;=BankCostEnvelope*'5. Scenarios'!$D$7,1,0))</f>
        <v/>
      </c>
      <c r="R1966" s="57" t="str">
        <f aca="false">IF($N1966="","",INDEX(BookRate,1961)*(1+'5. Scenarios'!$D$10)*(INDEX(BookQ1,1961)*(5-MIN(4,1+'5. Scenarios'!$D$8))/4+INDEX(BookQ2,1961)*(5-MIN(4,2+'5. Scenarios'!$D$8))/4+INDEX(BookQ3,1961)*(5-MIN(4,3+'5. Scenarios'!$D$8))/4+INDEX(BookQ4,1961)*(5-MIN(4,4+'5. Scenarios'!$D$8))/4)*'5. Scenarios'!$D$6/(1+ProductivityDefault*('5. Scenarios'!$D$11-1))+INDEX(BookOneOff,1961)*$N1966)</f>
        <v/>
      </c>
      <c r="S1966" s="56" t="str">
        <f aca="false">IF(INDEX(BookTitle,1961)="","",INDEX(BookTotal,1961)*'5. Scenarios'!$E$6/(1+ProductivityDefault*('5. Scenarios'!$E$11-1)))</f>
        <v/>
      </c>
      <c r="T1966" s="57" t="str">
        <f aca="false">IF($S1966="","",INDEX(BookRate,1961)*(1+'5. Scenarios'!$E$10)*$S1966)</f>
        <v/>
      </c>
      <c r="U1966" s="57" t="str">
        <f aca="false">IF($T1966="","",SUMIFS($T$6:$T$2405,$A$6:$A$2405,"&lt;="&amp;$A1966))</f>
        <v/>
      </c>
      <c r="V1966" s="57" t="str">
        <f aca="false">IF($T1966="","",IF($U1966&lt;=BankCostEnvelope*'5. Scenarios'!$E$7,1,0))</f>
        <v/>
      </c>
      <c r="W1966" s="57" t="str">
        <f aca="false">IF($S1966="","",INDEX(BookRate,1961)*(1+'5. Scenarios'!$E$10)*(INDEX(BookQ1,1961)*(5-MIN(4,1+'5. Scenarios'!$E$8))/4+INDEX(BookQ2,1961)*(5-MIN(4,2+'5. Scenarios'!$E$8))/4+INDEX(BookQ3,1961)*(5-MIN(4,3+'5. Scenarios'!$E$8))/4+INDEX(BookQ4,1961)*(5-MIN(4,4+'5. Scenarios'!$E$8))/4)*'5. Scenarios'!$E$6/(1+ProductivityDefault*('5. Scenarios'!$E$11-1))+INDEX(BookOneOff,1961)*$S1966)</f>
        <v/>
      </c>
    </row>
    <row r="1967" customFormat="false" ht="15" hidden="false" customHeight="false" outlineLevel="0" collapsed="false">
      <c r="A1967" s="0" t="str">
        <f aca="false">IF(INDEX(BookTitle,1962)="","",INDEX(BookKey,1962))</f>
        <v/>
      </c>
      <c r="B1967" s="0" t="str">
        <f aca="false">IF(INDEX(BookTitle,1962)="","",INDEX(BookGroup,1962))</f>
        <v/>
      </c>
      <c r="C1967" s="0" t="str">
        <f aca="false">IF(INDEX(BookTitle,1962)="","",INDEX(BookCategory,1962))</f>
        <v/>
      </c>
      <c r="D1967" s="56" t="str">
        <f aca="false">IF(INDEX(BookTitle,1962)="","",INDEX(BookTotal,1962)*'5. Scenarios'!$B$6/(1+ProductivityDefault*('5. Scenarios'!$B$11-1)))</f>
        <v/>
      </c>
      <c r="E1967" s="57" t="str">
        <f aca="false">IF($D1967="","",INDEX(BookRate,1962)*(1+'5. Scenarios'!$B$10)*$D1967)</f>
        <v/>
      </c>
      <c r="F1967" s="57" t="str">
        <f aca="false">IF($E1967="","",SUMIFS($E$6:$E$2405,$A$6:$A$2405,"&lt;="&amp;$A1967))</f>
        <v/>
      </c>
      <c r="G1967" s="57" t="str">
        <f aca="false">IF($E1967="","",IF($F1967&lt;=BankCostEnvelope*'5. Scenarios'!$B$7,1,0))</f>
        <v/>
      </c>
      <c r="H1967" s="57" t="str">
        <f aca="false">IF($D1967="","",INDEX(BookRate,1962)*(1+'5. Scenarios'!$B$10)*(INDEX(BookQ1,1962)*(5-MIN(4,1+'5. Scenarios'!$B$8))/4+INDEX(BookQ2,1962)*(5-MIN(4,2+'5. Scenarios'!$B$8))/4+INDEX(BookQ3,1962)*(5-MIN(4,3+'5. Scenarios'!$B$8))/4+INDEX(BookQ4,1962)*(5-MIN(4,4+'5. Scenarios'!$B$8))/4)*'5. Scenarios'!$B$6/(1+ProductivityDefault*('5. Scenarios'!$B$11-1))+INDEX(BookOneOff,1962)*$D1967)</f>
        <v/>
      </c>
      <c r="I1967" s="56" t="str">
        <f aca="false">IF(INDEX(BookTitle,1962)="","",INDEX(BookTotal,1962)*'5. Scenarios'!$C$6/(1+ProductivityDefault*('5. Scenarios'!$C$11-1)))</f>
        <v/>
      </c>
      <c r="J1967" s="57" t="str">
        <f aca="false">IF($I1967="","",INDEX(BookRate,1962)*(1+'5. Scenarios'!$C$10)*$I1967)</f>
        <v/>
      </c>
      <c r="K1967" s="57" t="str">
        <f aca="false">IF($J1967="","",SUMIFS($J$6:$J$2405,$A$6:$A$2405,"&lt;="&amp;$A1967))</f>
        <v/>
      </c>
      <c r="L1967" s="57" t="str">
        <f aca="false">IF($J1967="","",IF($K1967&lt;=BankCostEnvelope*'5. Scenarios'!$C$7,1,0))</f>
        <v/>
      </c>
      <c r="M1967" s="57" t="str">
        <f aca="false">IF($I1967="","",INDEX(BookRate,1962)*(1+'5. Scenarios'!$C$10)*(INDEX(BookQ1,1962)*(5-MIN(4,1+'5. Scenarios'!$C$8))/4+INDEX(BookQ2,1962)*(5-MIN(4,2+'5. Scenarios'!$C$8))/4+INDEX(BookQ3,1962)*(5-MIN(4,3+'5. Scenarios'!$C$8))/4+INDEX(BookQ4,1962)*(5-MIN(4,4+'5. Scenarios'!$C$8))/4)*'5. Scenarios'!$C$6/(1+ProductivityDefault*('5. Scenarios'!$C$11-1))+INDEX(BookOneOff,1962)*$I1967)</f>
        <v/>
      </c>
      <c r="N1967" s="56" t="str">
        <f aca="false">IF(INDEX(BookTitle,1962)="","",INDEX(BookTotal,1962)*'5. Scenarios'!$D$6/(1+ProductivityDefault*('5. Scenarios'!$D$11-1)))</f>
        <v/>
      </c>
      <c r="O1967" s="57" t="str">
        <f aca="false">IF($N1967="","",INDEX(BookRate,1962)*(1+'5. Scenarios'!$D$10)*$N1967)</f>
        <v/>
      </c>
      <c r="P1967" s="57" t="str">
        <f aca="false">IF($O1967="","",SUMIFS($O$6:$O$2405,$A$6:$A$2405,"&lt;="&amp;$A1967))</f>
        <v/>
      </c>
      <c r="Q1967" s="57" t="str">
        <f aca="false">IF($O1967="","",IF($P1967&lt;=BankCostEnvelope*'5. Scenarios'!$D$7,1,0))</f>
        <v/>
      </c>
      <c r="R1967" s="57" t="str">
        <f aca="false">IF($N1967="","",INDEX(BookRate,1962)*(1+'5. Scenarios'!$D$10)*(INDEX(BookQ1,1962)*(5-MIN(4,1+'5. Scenarios'!$D$8))/4+INDEX(BookQ2,1962)*(5-MIN(4,2+'5. Scenarios'!$D$8))/4+INDEX(BookQ3,1962)*(5-MIN(4,3+'5. Scenarios'!$D$8))/4+INDEX(BookQ4,1962)*(5-MIN(4,4+'5. Scenarios'!$D$8))/4)*'5. Scenarios'!$D$6/(1+ProductivityDefault*('5. Scenarios'!$D$11-1))+INDEX(BookOneOff,1962)*$N1967)</f>
        <v/>
      </c>
      <c r="S1967" s="56" t="str">
        <f aca="false">IF(INDEX(BookTitle,1962)="","",INDEX(BookTotal,1962)*'5. Scenarios'!$E$6/(1+ProductivityDefault*('5. Scenarios'!$E$11-1)))</f>
        <v/>
      </c>
      <c r="T1967" s="57" t="str">
        <f aca="false">IF($S1967="","",INDEX(BookRate,1962)*(1+'5. Scenarios'!$E$10)*$S1967)</f>
        <v/>
      </c>
      <c r="U1967" s="57" t="str">
        <f aca="false">IF($T1967="","",SUMIFS($T$6:$T$2405,$A$6:$A$2405,"&lt;="&amp;$A1967))</f>
        <v/>
      </c>
      <c r="V1967" s="57" t="str">
        <f aca="false">IF($T1967="","",IF($U1967&lt;=BankCostEnvelope*'5. Scenarios'!$E$7,1,0))</f>
        <v/>
      </c>
      <c r="W1967" s="57" t="str">
        <f aca="false">IF($S1967="","",INDEX(BookRate,1962)*(1+'5. Scenarios'!$E$10)*(INDEX(BookQ1,1962)*(5-MIN(4,1+'5. Scenarios'!$E$8))/4+INDEX(BookQ2,1962)*(5-MIN(4,2+'5. Scenarios'!$E$8))/4+INDEX(BookQ3,1962)*(5-MIN(4,3+'5. Scenarios'!$E$8))/4+INDEX(BookQ4,1962)*(5-MIN(4,4+'5. Scenarios'!$E$8))/4)*'5. Scenarios'!$E$6/(1+ProductivityDefault*('5. Scenarios'!$E$11-1))+INDEX(BookOneOff,1962)*$S1967)</f>
        <v/>
      </c>
    </row>
    <row r="1968" customFormat="false" ht="15" hidden="false" customHeight="false" outlineLevel="0" collapsed="false">
      <c r="A1968" s="0" t="str">
        <f aca="false">IF(INDEX(BookTitle,1963)="","",INDEX(BookKey,1963))</f>
        <v/>
      </c>
      <c r="B1968" s="0" t="str">
        <f aca="false">IF(INDEX(BookTitle,1963)="","",INDEX(BookGroup,1963))</f>
        <v/>
      </c>
      <c r="C1968" s="0" t="str">
        <f aca="false">IF(INDEX(BookTitle,1963)="","",INDEX(BookCategory,1963))</f>
        <v/>
      </c>
      <c r="D1968" s="56" t="str">
        <f aca="false">IF(INDEX(BookTitle,1963)="","",INDEX(BookTotal,1963)*'5. Scenarios'!$B$6/(1+ProductivityDefault*('5. Scenarios'!$B$11-1)))</f>
        <v/>
      </c>
      <c r="E1968" s="57" t="str">
        <f aca="false">IF($D1968="","",INDEX(BookRate,1963)*(1+'5. Scenarios'!$B$10)*$D1968)</f>
        <v/>
      </c>
      <c r="F1968" s="57" t="str">
        <f aca="false">IF($E1968="","",SUMIFS($E$6:$E$2405,$A$6:$A$2405,"&lt;="&amp;$A1968))</f>
        <v/>
      </c>
      <c r="G1968" s="57" t="str">
        <f aca="false">IF($E1968="","",IF($F1968&lt;=BankCostEnvelope*'5. Scenarios'!$B$7,1,0))</f>
        <v/>
      </c>
      <c r="H1968" s="57" t="str">
        <f aca="false">IF($D1968="","",INDEX(BookRate,1963)*(1+'5. Scenarios'!$B$10)*(INDEX(BookQ1,1963)*(5-MIN(4,1+'5. Scenarios'!$B$8))/4+INDEX(BookQ2,1963)*(5-MIN(4,2+'5. Scenarios'!$B$8))/4+INDEX(BookQ3,1963)*(5-MIN(4,3+'5. Scenarios'!$B$8))/4+INDEX(BookQ4,1963)*(5-MIN(4,4+'5. Scenarios'!$B$8))/4)*'5. Scenarios'!$B$6/(1+ProductivityDefault*('5. Scenarios'!$B$11-1))+INDEX(BookOneOff,1963)*$D1968)</f>
        <v/>
      </c>
      <c r="I1968" s="56" t="str">
        <f aca="false">IF(INDEX(BookTitle,1963)="","",INDEX(BookTotal,1963)*'5. Scenarios'!$C$6/(1+ProductivityDefault*('5. Scenarios'!$C$11-1)))</f>
        <v/>
      </c>
      <c r="J1968" s="57" t="str">
        <f aca="false">IF($I1968="","",INDEX(BookRate,1963)*(1+'5. Scenarios'!$C$10)*$I1968)</f>
        <v/>
      </c>
      <c r="K1968" s="57" t="str">
        <f aca="false">IF($J1968="","",SUMIFS($J$6:$J$2405,$A$6:$A$2405,"&lt;="&amp;$A1968))</f>
        <v/>
      </c>
      <c r="L1968" s="57" t="str">
        <f aca="false">IF($J1968="","",IF($K1968&lt;=BankCostEnvelope*'5. Scenarios'!$C$7,1,0))</f>
        <v/>
      </c>
      <c r="M1968" s="57" t="str">
        <f aca="false">IF($I1968="","",INDEX(BookRate,1963)*(1+'5. Scenarios'!$C$10)*(INDEX(BookQ1,1963)*(5-MIN(4,1+'5. Scenarios'!$C$8))/4+INDEX(BookQ2,1963)*(5-MIN(4,2+'5. Scenarios'!$C$8))/4+INDEX(BookQ3,1963)*(5-MIN(4,3+'5. Scenarios'!$C$8))/4+INDEX(BookQ4,1963)*(5-MIN(4,4+'5. Scenarios'!$C$8))/4)*'5. Scenarios'!$C$6/(1+ProductivityDefault*('5. Scenarios'!$C$11-1))+INDEX(BookOneOff,1963)*$I1968)</f>
        <v/>
      </c>
      <c r="N1968" s="56" t="str">
        <f aca="false">IF(INDEX(BookTitle,1963)="","",INDEX(BookTotal,1963)*'5. Scenarios'!$D$6/(1+ProductivityDefault*('5. Scenarios'!$D$11-1)))</f>
        <v/>
      </c>
      <c r="O1968" s="57" t="str">
        <f aca="false">IF($N1968="","",INDEX(BookRate,1963)*(1+'5. Scenarios'!$D$10)*$N1968)</f>
        <v/>
      </c>
      <c r="P1968" s="57" t="str">
        <f aca="false">IF($O1968="","",SUMIFS($O$6:$O$2405,$A$6:$A$2405,"&lt;="&amp;$A1968))</f>
        <v/>
      </c>
      <c r="Q1968" s="57" t="str">
        <f aca="false">IF($O1968="","",IF($P1968&lt;=BankCostEnvelope*'5. Scenarios'!$D$7,1,0))</f>
        <v/>
      </c>
      <c r="R1968" s="57" t="str">
        <f aca="false">IF($N1968="","",INDEX(BookRate,1963)*(1+'5. Scenarios'!$D$10)*(INDEX(BookQ1,1963)*(5-MIN(4,1+'5. Scenarios'!$D$8))/4+INDEX(BookQ2,1963)*(5-MIN(4,2+'5. Scenarios'!$D$8))/4+INDEX(BookQ3,1963)*(5-MIN(4,3+'5. Scenarios'!$D$8))/4+INDEX(BookQ4,1963)*(5-MIN(4,4+'5. Scenarios'!$D$8))/4)*'5. Scenarios'!$D$6/(1+ProductivityDefault*('5. Scenarios'!$D$11-1))+INDEX(BookOneOff,1963)*$N1968)</f>
        <v/>
      </c>
      <c r="S1968" s="56" t="str">
        <f aca="false">IF(INDEX(BookTitle,1963)="","",INDEX(BookTotal,1963)*'5. Scenarios'!$E$6/(1+ProductivityDefault*('5. Scenarios'!$E$11-1)))</f>
        <v/>
      </c>
      <c r="T1968" s="57" t="str">
        <f aca="false">IF($S1968="","",INDEX(BookRate,1963)*(1+'5. Scenarios'!$E$10)*$S1968)</f>
        <v/>
      </c>
      <c r="U1968" s="57" t="str">
        <f aca="false">IF($T1968="","",SUMIFS($T$6:$T$2405,$A$6:$A$2405,"&lt;="&amp;$A1968))</f>
        <v/>
      </c>
      <c r="V1968" s="57" t="str">
        <f aca="false">IF($T1968="","",IF($U1968&lt;=BankCostEnvelope*'5. Scenarios'!$E$7,1,0))</f>
        <v/>
      </c>
      <c r="W1968" s="57" t="str">
        <f aca="false">IF($S1968="","",INDEX(BookRate,1963)*(1+'5. Scenarios'!$E$10)*(INDEX(BookQ1,1963)*(5-MIN(4,1+'5. Scenarios'!$E$8))/4+INDEX(BookQ2,1963)*(5-MIN(4,2+'5. Scenarios'!$E$8))/4+INDEX(BookQ3,1963)*(5-MIN(4,3+'5. Scenarios'!$E$8))/4+INDEX(BookQ4,1963)*(5-MIN(4,4+'5. Scenarios'!$E$8))/4)*'5. Scenarios'!$E$6/(1+ProductivityDefault*('5. Scenarios'!$E$11-1))+INDEX(BookOneOff,1963)*$S1968)</f>
        <v/>
      </c>
    </row>
    <row r="1969" customFormat="false" ht="15" hidden="false" customHeight="false" outlineLevel="0" collapsed="false">
      <c r="A1969" s="0" t="str">
        <f aca="false">IF(INDEX(BookTitle,1964)="","",INDEX(BookKey,1964))</f>
        <v/>
      </c>
      <c r="B1969" s="0" t="str">
        <f aca="false">IF(INDEX(BookTitle,1964)="","",INDEX(BookGroup,1964))</f>
        <v/>
      </c>
      <c r="C1969" s="0" t="str">
        <f aca="false">IF(INDEX(BookTitle,1964)="","",INDEX(BookCategory,1964))</f>
        <v/>
      </c>
      <c r="D1969" s="56" t="str">
        <f aca="false">IF(INDEX(BookTitle,1964)="","",INDEX(BookTotal,1964)*'5. Scenarios'!$B$6/(1+ProductivityDefault*('5. Scenarios'!$B$11-1)))</f>
        <v/>
      </c>
      <c r="E1969" s="57" t="str">
        <f aca="false">IF($D1969="","",INDEX(BookRate,1964)*(1+'5. Scenarios'!$B$10)*$D1969)</f>
        <v/>
      </c>
      <c r="F1969" s="57" t="str">
        <f aca="false">IF($E1969="","",SUMIFS($E$6:$E$2405,$A$6:$A$2405,"&lt;="&amp;$A1969))</f>
        <v/>
      </c>
      <c r="G1969" s="57" t="str">
        <f aca="false">IF($E1969="","",IF($F1969&lt;=BankCostEnvelope*'5. Scenarios'!$B$7,1,0))</f>
        <v/>
      </c>
      <c r="H1969" s="57" t="str">
        <f aca="false">IF($D1969="","",INDEX(BookRate,1964)*(1+'5. Scenarios'!$B$10)*(INDEX(BookQ1,1964)*(5-MIN(4,1+'5. Scenarios'!$B$8))/4+INDEX(BookQ2,1964)*(5-MIN(4,2+'5. Scenarios'!$B$8))/4+INDEX(BookQ3,1964)*(5-MIN(4,3+'5. Scenarios'!$B$8))/4+INDEX(BookQ4,1964)*(5-MIN(4,4+'5. Scenarios'!$B$8))/4)*'5. Scenarios'!$B$6/(1+ProductivityDefault*('5. Scenarios'!$B$11-1))+INDEX(BookOneOff,1964)*$D1969)</f>
        <v/>
      </c>
      <c r="I1969" s="56" t="str">
        <f aca="false">IF(INDEX(BookTitle,1964)="","",INDEX(BookTotal,1964)*'5. Scenarios'!$C$6/(1+ProductivityDefault*('5. Scenarios'!$C$11-1)))</f>
        <v/>
      </c>
      <c r="J1969" s="57" t="str">
        <f aca="false">IF($I1969="","",INDEX(BookRate,1964)*(1+'5. Scenarios'!$C$10)*$I1969)</f>
        <v/>
      </c>
      <c r="K1969" s="57" t="str">
        <f aca="false">IF($J1969="","",SUMIFS($J$6:$J$2405,$A$6:$A$2405,"&lt;="&amp;$A1969))</f>
        <v/>
      </c>
      <c r="L1969" s="57" t="str">
        <f aca="false">IF($J1969="","",IF($K1969&lt;=BankCostEnvelope*'5. Scenarios'!$C$7,1,0))</f>
        <v/>
      </c>
      <c r="M1969" s="57" t="str">
        <f aca="false">IF($I1969="","",INDEX(BookRate,1964)*(1+'5. Scenarios'!$C$10)*(INDEX(BookQ1,1964)*(5-MIN(4,1+'5. Scenarios'!$C$8))/4+INDEX(BookQ2,1964)*(5-MIN(4,2+'5. Scenarios'!$C$8))/4+INDEX(BookQ3,1964)*(5-MIN(4,3+'5. Scenarios'!$C$8))/4+INDEX(BookQ4,1964)*(5-MIN(4,4+'5. Scenarios'!$C$8))/4)*'5. Scenarios'!$C$6/(1+ProductivityDefault*('5. Scenarios'!$C$11-1))+INDEX(BookOneOff,1964)*$I1969)</f>
        <v/>
      </c>
      <c r="N1969" s="56" t="str">
        <f aca="false">IF(INDEX(BookTitle,1964)="","",INDEX(BookTotal,1964)*'5. Scenarios'!$D$6/(1+ProductivityDefault*('5. Scenarios'!$D$11-1)))</f>
        <v/>
      </c>
      <c r="O1969" s="57" t="str">
        <f aca="false">IF($N1969="","",INDEX(BookRate,1964)*(1+'5. Scenarios'!$D$10)*$N1969)</f>
        <v/>
      </c>
      <c r="P1969" s="57" t="str">
        <f aca="false">IF($O1969="","",SUMIFS($O$6:$O$2405,$A$6:$A$2405,"&lt;="&amp;$A1969))</f>
        <v/>
      </c>
      <c r="Q1969" s="57" t="str">
        <f aca="false">IF($O1969="","",IF($P1969&lt;=BankCostEnvelope*'5. Scenarios'!$D$7,1,0))</f>
        <v/>
      </c>
      <c r="R1969" s="57" t="str">
        <f aca="false">IF($N1969="","",INDEX(BookRate,1964)*(1+'5. Scenarios'!$D$10)*(INDEX(BookQ1,1964)*(5-MIN(4,1+'5. Scenarios'!$D$8))/4+INDEX(BookQ2,1964)*(5-MIN(4,2+'5. Scenarios'!$D$8))/4+INDEX(BookQ3,1964)*(5-MIN(4,3+'5. Scenarios'!$D$8))/4+INDEX(BookQ4,1964)*(5-MIN(4,4+'5. Scenarios'!$D$8))/4)*'5. Scenarios'!$D$6/(1+ProductivityDefault*('5. Scenarios'!$D$11-1))+INDEX(BookOneOff,1964)*$N1969)</f>
        <v/>
      </c>
      <c r="S1969" s="56" t="str">
        <f aca="false">IF(INDEX(BookTitle,1964)="","",INDEX(BookTotal,1964)*'5. Scenarios'!$E$6/(1+ProductivityDefault*('5. Scenarios'!$E$11-1)))</f>
        <v/>
      </c>
      <c r="T1969" s="57" t="str">
        <f aca="false">IF($S1969="","",INDEX(BookRate,1964)*(1+'5. Scenarios'!$E$10)*$S1969)</f>
        <v/>
      </c>
      <c r="U1969" s="57" t="str">
        <f aca="false">IF($T1969="","",SUMIFS($T$6:$T$2405,$A$6:$A$2405,"&lt;="&amp;$A1969))</f>
        <v/>
      </c>
      <c r="V1969" s="57" t="str">
        <f aca="false">IF($T1969="","",IF($U1969&lt;=BankCostEnvelope*'5. Scenarios'!$E$7,1,0))</f>
        <v/>
      </c>
      <c r="W1969" s="57" t="str">
        <f aca="false">IF($S1969="","",INDEX(BookRate,1964)*(1+'5. Scenarios'!$E$10)*(INDEX(BookQ1,1964)*(5-MIN(4,1+'5. Scenarios'!$E$8))/4+INDEX(BookQ2,1964)*(5-MIN(4,2+'5. Scenarios'!$E$8))/4+INDEX(BookQ3,1964)*(5-MIN(4,3+'5. Scenarios'!$E$8))/4+INDEX(BookQ4,1964)*(5-MIN(4,4+'5. Scenarios'!$E$8))/4)*'5. Scenarios'!$E$6/(1+ProductivityDefault*('5. Scenarios'!$E$11-1))+INDEX(BookOneOff,1964)*$S1969)</f>
        <v/>
      </c>
    </row>
    <row r="1970" customFormat="false" ht="15" hidden="false" customHeight="false" outlineLevel="0" collapsed="false">
      <c r="A1970" s="0" t="str">
        <f aca="false">IF(INDEX(BookTitle,1965)="","",INDEX(BookKey,1965))</f>
        <v/>
      </c>
      <c r="B1970" s="0" t="str">
        <f aca="false">IF(INDEX(BookTitle,1965)="","",INDEX(BookGroup,1965))</f>
        <v/>
      </c>
      <c r="C1970" s="0" t="str">
        <f aca="false">IF(INDEX(BookTitle,1965)="","",INDEX(BookCategory,1965))</f>
        <v/>
      </c>
      <c r="D1970" s="56" t="str">
        <f aca="false">IF(INDEX(BookTitle,1965)="","",INDEX(BookTotal,1965)*'5. Scenarios'!$B$6/(1+ProductivityDefault*('5. Scenarios'!$B$11-1)))</f>
        <v/>
      </c>
      <c r="E1970" s="57" t="str">
        <f aca="false">IF($D1970="","",INDEX(BookRate,1965)*(1+'5. Scenarios'!$B$10)*$D1970)</f>
        <v/>
      </c>
      <c r="F1970" s="57" t="str">
        <f aca="false">IF($E1970="","",SUMIFS($E$6:$E$2405,$A$6:$A$2405,"&lt;="&amp;$A1970))</f>
        <v/>
      </c>
      <c r="G1970" s="57" t="str">
        <f aca="false">IF($E1970="","",IF($F1970&lt;=BankCostEnvelope*'5. Scenarios'!$B$7,1,0))</f>
        <v/>
      </c>
      <c r="H1970" s="57" t="str">
        <f aca="false">IF($D1970="","",INDEX(BookRate,1965)*(1+'5. Scenarios'!$B$10)*(INDEX(BookQ1,1965)*(5-MIN(4,1+'5. Scenarios'!$B$8))/4+INDEX(BookQ2,1965)*(5-MIN(4,2+'5. Scenarios'!$B$8))/4+INDEX(BookQ3,1965)*(5-MIN(4,3+'5. Scenarios'!$B$8))/4+INDEX(BookQ4,1965)*(5-MIN(4,4+'5. Scenarios'!$B$8))/4)*'5. Scenarios'!$B$6/(1+ProductivityDefault*('5. Scenarios'!$B$11-1))+INDEX(BookOneOff,1965)*$D1970)</f>
        <v/>
      </c>
      <c r="I1970" s="56" t="str">
        <f aca="false">IF(INDEX(BookTitle,1965)="","",INDEX(BookTotal,1965)*'5. Scenarios'!$C$6/(1+ProductivityDefault*('5. Scenarios'!$C$11-1)))</f>
        <v/>
      </c>
      <c r="J1970" s="57" t="str">
        <f aca="false">IF($I1970="","",INDEX(BookRate,1965)*(1+'5. Scenarios'!$C$10)*$I1970)</f>
        <v/>
      </c>
      <c r="K1970" s="57" t="str">
        <f aca="false">IF($J1970="","",SUMIFS($J$6:$J$2405,$A$6:$A$2405,"&lt;="&amp;$A1970))</f>
        <v/>
      </c>
      <c r="L1970" s="57" t="str">
        <f aca="false">IF($J1970="","",IF($K1970&lt;=BankCostEnvelope*'5. Scenarios'!$C$7,1,0))</f>
        <v/>
      </c>
      <c r="M1970" s="57" t="str">
        <f aca="false">IF($I1970="","",INDEX(BookRate,1965)*(1+'5. Scenarios'!$C$10)*(INDEX(BookQ1,1965)*(5-MIN(4,1+'5. Scenarios'!$C$8))/4+INDEX(BookQ2,1965)*(5-MIN(4,2+'5. Scenarios'!$C$8))/4+INDEX(BookQ3,1965)*(5-MIN(4,3+'5. Scenarios'!$C$8))/4+INDEX(BookQ4,1965)*(5-MIN(4,4+'5. Scenarios'!$C$8))/4)*'5. Scenarios'!$C$6/(1+ProductivityDefault*('5. Scenarios'!$C$11-1))+INDEX(BookOneOff,1965)*$I1970)</f>
        <v/>
      </c>
      <c r="N1970" s="56" t="str">
        <f aca="false">IF(INDEX(BookTitle,1965)="","",INDEX(BookTotal,1965)*'5. Scenarios'!$D$6/(1+ProductivityDefault*('5. Scenarios'!$D$11-1)))</f>
        <v/>
      </c>
      <c r="O1970" s="57" t="str">
        <f aca="false">IF($N1970="","",INDEX(BookRate,1965)*(1+'5. Scenarios'!$D$10)*$N1970)</f>
        <v/>
      </c>
      <c r="P1970" s="57" t="str">
        <f aca="false">IF($O1970="","",SUMIFS($O$6:$O$2405,$A$6:$A$2405,"&lt;="&amp;$A1970))</f>
        <v/>
      </c>
      <c r="Q1970" s="57" t="str">
        <f aca="false">IF($O1970="","",IF($P1970&lt;=BankCostEnvelope*'5. Scenarios'!$D$7,1,0))</f>
        <v/>
      </c>
      <c r="R1970" s="57" t="str">
        <f aca="false">IF($N1970="","",INDEX(BookRate,1965)*(1+'5. Scenarios'!$D$10)*(INDEX(BookQ1,1965)*(5-MIN(4,1+'5. Scenarios'!$D$8))/4+INDEX(BookQ2,1965)*(5-MIN(4,2+'5. Scenarios'!$D$8))/4+INDEX(BookQ3,1965)*(5-MIN(4,3+'5. Scenarios'!$D$8))/4+INDEX(BookQ4,1965)*(5-MIN(4,4+'5. Scenarios'!$D$8))/4)*'5. Scenarios'!$D$6/(1+ProductivityDefault*('5. Scenarios'!$D$11-1))+INDEX(BookOneOff,1965)*$N1970)</f>
        <v/>
      </c>
      <c r="S1970" s="56" t="str">
        <f aca="false">IF(INDEX(BookTitle,1965)="","",INDEX(BookTotal,1965)*'5. Scenarios'!$E$6/(1+ProductivityDefault*('5. Scenarios'!$E$11-1)))</f>
        <v/>
      </c>
      <c r="T1970" s="57" t="str">
        <f aca="false">IF($S1970="","",INDEX(BookRate,1965)*(1+'5. Scenarios'!$E$10)*$S1970)</f>
        <v/>
      </c>
      <c r="U1970" s="57" t="str">
        <f aca="false">IF($T1970="","",SUMIFS($T$6:$T$2405,$A$6:$A$2405,"&lt;="&amp;$A1970))</f>
        <v/>
      </c>
      <c r="V1970" s="57" t="str">
        <f aca="false">IF($T1970="","",IF($U1970&lt;=BankCostEnvelope*'5. Scenarios'!$E$7,1,0))</f>
        <v/>
      </c>
      <c r="W1970" s="57" t="str">
        <f aca="false">IF($S1970="","",INDEX(BookRate,1965)*(1+'5. Scenarios'!$E$10)*(INDEX(BookQ1,1965)*(5-MIN(4,1+'5. Scenarios'!$E$8))/4+INDEX(BookQ2,1965)*(5-MIN(4,2+'5. Scenarios'!$E$8))/4+INDEX(BookQ3,1965)*(5-MIN(4,3+'5. Scenarios'!$E$8))/4+INDEX(BookQ4,1965)*(5-MIN(4,4+'5. Scenarios'!$E$8))/4)*'5. Scenarios'!$E$6/(1+ProductivityDefault*('5. Scenarios'!$E$11-1))+INDEX(BookOneOff,1965)*$S1970)</f>
        <v/>
      </c>
    </row>
    <row r="1971" customFormat="false" ht="15" hidden="false" customHeight="false" outlineLevel="0" collapsed="false">
      <c r="A1971" s="0" t="str">
        <f aca="false">IF(INDEX(BookTitle,1966)="","",INDEX(BookKey,1966))</f>
        <v/>
      </c>
      <c r="B1971" s="0" t="str">
        <f aca="false">IF(INDEX(BookTitle,1966)="","",INDEX(BookGroup,1966))</f>
        <v/>
      </c>
      <c r="C1971" s="0" t="str">
        <f aca="false">IF(INDEX(BookTitle,1966)="","",INDEX(BookCategory,1966))</f>
        <v/>
      </c>
      <c r="D1971" s="56" t="str">
        <f aca="false">IF(INDEX(BookTitle,1966)="","",INDEX(BookTotal,1966)*'5. Scenarios'!$B$6/(1+ProductivityDefault*('5. Scenarios'!$B$11-1)))</f>
        <v/>
      </c>
      <c r="E1971" s="57" t="str">
        <f aca="false">IF($D1971="","",INDEX(BookRate,1966)*(1+'5. Scenarios'!$B$10)*$D1971)</f>
        <v/>
      </c>
      <c r="F1971" s="57" t="str">
        <f aca="false">IF($E1971="","",SUMIFS($E$6:$E$2405,$A$6:$A$2405,"&lt;="&amp;$A1971))</f>
        <v/>
      </c>
      <c r="G1971" s="57" t="str">
        <f aca="false">IF($E1971="","",IF($F1971&lt;=BankCostEnvelope*'5. Scenarios'!$B$7,1,0))</f>
        <v/>
      </c>
      <c r="H1971" s="57" t="str">
        <f aca="false">IF($D1971="","",INDEX(BookRate,1966)*(1+'5. Scenarios'!$B$10)*(INDEX(BookQ1,1966)*(5-MIN(4,1+'5. Scenarios'!$B$8))/4+INDEX(BookQ2,1966)*(5-MIN(4,2+'5. Scenarios'!$B$8))/4+INDEX(BookQ3,1966)*(5-MIN(4,3+'5. Scenarios'!$B$8))/4+INDEX(BookQ4,1966)*(5-MIN(4,4+'5. Scenarios'!$B$8))/4)*'5. Scenarios'!$B$6/(1+ProductivityDefault*('5. Scenarios'!$B$11-1))+INDEX(BookOneOff,1966)*$D1971)</f>
        <v/>
      </c>
      <c r="I1971" s="56" t="str">
        <f aca="false">IF(INDEX(BookTitle,1966)="","",INDEX(BookTotal,1966)*'5. Scenarios'!$C$6/(1+ProductivityDefault*('5. Scenarios'!$C$11-1)))</f>
        <v/>
      </c>
      <c r="J1971" s="57" t="str">
        <f aca="false">IF($I1971="","",INDEX(BookRate,1966)*(1+'5. Scenarios'!$C$10)*$I1971)</f>
        <v/>
      </c>
      <c r="K1971" s="57" t="str">
        <f aca="false">IF($J1971="","",SUMIFS($J$6:$J$2405,$A$6:$A$2405,"&lt;="&amp;$A1971))</f>
        <v/>
      </c>
      <c r="L1971" s="57" t="str">
        <f aca="false">IF($J1971="","",IF($K1971&lt;=BankCostEnvelope*'5. Scenarios'!$C$7,1,0))</f>
        <v/>
      </c>
      <c r="M1971" s="57" t="str">
        <f aca="false">IF($I1971="","",INDEX(BookRate,1966)*(1+'5. Scenarios'!$C$10)*(INDEX(BookQ1,1966)*(5-MIN(4,1+'5. Scenarios'!$C$8))/4+INDEX(BookQ2,1966)*(5-MIN(4,2+'5. Scenarios'!$C$8))/4+INDEX(BookQ3,1966)*(5-MIN(4,3+'5. Scenarios'!$C$8))/4+INDEX(BookQ4,1966)*(5-MIN(4,4+'5. Scenarios'!$C$8))/4)*'5. Scenarios'!$C$6/(1+ProductivityDefault*('5. Scenarios'!$C$11-1))+INDEX(BookOneOff,1966)*$I1971)</f>
        <v/>
      </c>
      <c r="N1971" s="56" t="str">
        <f aca="false">IF(INDEX(BookTitle,1966)="","",INDEX(BookTotal,1966)*'5. Scenarios'!$D$6/(1+ProductivityDefault*('5. Scenarios'!$D$11-1)))</f>
        <v/>
      </c>
      <c r="O1971" s="57" t="str">
        <f aca="false">IF($N1971="","",INDEX(BookRate,1966)*(1+'5. Scenarios'!$D$10)*$N1971)</f>
        <v/>
      </c>
      <c r="P1971" s="57" t="str">
        <f aca="false">IF($O1971="","",SUMIFS($O$6:$O$2405,$A$6:$A$2405,"&lt;="&amp;$A1971))</f>
        <v/>
      </c>
      <c r="Q1971" s="57" t="str">
        <f aca="false">IF($O1971="","",IF($P1971&lt;=BankCostEnvelope*'5. Scenarios'!$D$7,1,0))</f>
        <v/>
      </c>
      <c r="R1971" s="57" t="str">
        <f aca="false">IF($N1971="","",INDEX(BookRate,1966)*(1+'5. Scenarios'!$D$10)*(INDEX(BookQ1,1966)*(5-MIN(4,1+'5. Scenarios'!$D$8))/4+INDEX(BookQ2,1966)*(5-MIN(4,2+'5. Scenarios'!$D$8))/4+INDEX(BookQ3,1966)*(5-MIN(4,3+'5. Scenarios'!$D$8))/4+INDEX(BookQ4,1966)*(5-MIN(4,4+'5. Scenarios'!$D$8))/4)*'5. Scenarios'!$D$6/(1+ProductivityDefault*('5. Scenarios'!$D$11-1))+INDEX(BookOneOff,1966)*$N1971)</f>
        <v/>
      </c>
      <c r="S1971" s="56" t="str">
        <f aca="false">IF(INDEX(BookTitle,1966)="","",INDEX(BookTotal,1966)*'5. Scenarios'!$E$6/(1+ProductivityDefault*('5. Scenarios'!$E$11-1)))</f>
        <v/>
      </c>
      <c r="T1971" s="57" t="str">
        <f aca="false">IF($S1971="","",INDEX(BookRate,1966)*(1+'5. Scenarios'!$E$10)*$S1971)</f>
        <v/>
      </c>
      <c r="U1971" s="57" t="str">
        <f aca="false">IF($T1971="","",SUMIFS($T$6:$T$2405,$A$6:$A$2405,"&lt;="&amp;$A1971))</f>
        <v/>
      </c>
      <c r="V1971" s="57" t="str">
        <f aca="false">IF($T1971="","",IF($U1971&lt;=BankCostEnvelope*'5. Scenarios'!$E$7,1,0))</f>
        <v/>
      </c>
      <c r="W1971" s="57" t="str">
        <f aca="false">IF($S1971="","",INDEX(BookRate,1966)*(1+'5. Scenarios'!$E$10)*(INDEX(BookQ1,1966)*(5-MIN(4,1+'5. Scenarios'!$E$8))/4+INDEX(BookQ2,1966)*(5-MIN(4,2+'5. Scenarios'!$E$8))/4+INDEX(BookQ3,1966)*(5-MIN(4,3+'5. Scenarios'!$E$8))/4+INDEX(BookQ4,1966)*(5-MIN(4,4+'5. Scenarios'!$E$8))/4)*'5. Scenarios'!$E$6/(1+ProductivityDefault*('5. Scenarios'!$E$11-1))+INDEX(BookOneOff,1966)*$S1971)</f>
        <v/>
      </c>
    </row>
    <row r="1972" customFormat="false" ht="15" hidden="false" customHeight="false" outlineLevel="0" collapsed="false">
      <c r="A1972" s="0" t="str">
        <f aca="false">IF(INDEX(BookTitle,1967)="","",INDEX(BookKey,1967))</f>
        <v/>
      </c>
      <c r="B1972" s="0" t="str">
        <f aca="false">IF(INDEX(BookTitle,1967)="","",INDEX(BookGroup,1967))</f>
        <v/>
      </c>
      <c r="C1972" s="0" t="str">
        <f aca="false">IF(INDEX(BookTitle,1967)="","",INDEX(BookCategory,1967))</f>
        <v/>
      </c>
      <c r="D1972" s="56" t="str">
        <f aca="false">IF(INDEX(BookTitle,1967)="","",INDEX(BookTotal,1967)*'5. Scenarios'!$B$6/(1+ProductivityDefault*('5. Scenarios'!$B$11-1)))</f>
        <v/>
      </c>
      <c r="E1972" s="57" t="str">
        <f aca="false">IF($D1972="","",INDEX(BookRate,1967)*(1+'5. Scenarios'!$B$10)*$D1972)</f>
        <v/>
      </c>
      <c r="F1972" s="57" t="str">
        <f aca="false">IF($E1972="","",SUMIFS($E$6:$E$2405,$A$6:$A$2405,"&lt;="&amp;$A1972))</f>
        <v/>
      </c>
      <c r="G1972" s="57" t="str">
        <f aca="false">IF($E1972="","",IF($F1972&lt;=BankCostEnvelope*'5. Scenarios'!$B$7,1,0))</f>
        <v/>
      </c>
      <c r="H1972" s="57" t="str">
        <f aca="false">IF($D1972="","",INDEX(BookRate,1967)*(1+'5. Scenarios'!$B$10)*(INDEX(BookQ1,1967)*(5-MIN(4,1+'5. Scenarios'!$B$8))/4+INDEX(BookQ2,1967)*(5-MIN(4,2+'5. Scenarios'!$B$8))/4+INDEX(BookQ3,1967)*(5-MIN(4,3+'5. Scenarios'!$B$8))/4+INDEX(BookQ4,1967)*(5-MIN(4,4+'5. Scenarios'!$B$8))/4)*'5. Scenarios'!$B$6/(1+ProductivityDefault*('5. Scenarios'!$B$11-1))+INDEX(BookOneOff,1967)*$D1972)</f>
        <v/>
      </c>
      <c r="I1972" s="56" t="str">
        <f aca="false">IF(INDEX(BookTitle,1967)="","",INDEX(BookTotal,1967)*'5. Scenarios'!$C$6/(1+ProductivityDefault*('5. Scenarios'!$C$11-1)))</f>
        <v/>
      </c>
      <c r="J1972" s="57" t="str">
        <f aca="false">IF($I1972="","",INDEX(BookRate,1967)*(1+'5. Scenarios'!$C$10)*$I1972)</f>
        <v/>
      </c>
      <c r="K1972" s="57" t="str">
        <f aca="false">IF($J1972="","",SUMIFS($J$6:$J$2405,$A$6:$A$2405,"&lt;="&amp;$A1972))</f>
        <v/>
      </c>
      <c r="L1972" s="57" t="str">
        <f aca="false">IF($J1972="","",IF($K1972&lt;=BankCostEnvelope*'5. Scenarios'!$C$7,1,0))</f>
        <v/>
      </c>
      <c r="M1972" s="57" t="str">
        <f aca="false">IF($I1972="","",INDEX(BookRate,1967)*(1+'5. Scenarios'!$C$10)*(INDEX(BookQ1,1967)*(5-MIN(4,1+'5. Scenarios'!$C$8))/4+INDEX(BookQ2,1967)*(5-MIN(4,2+'5. Scenarios'!$C$8))/4+INDEX(BookQ3,1967)*(5-MIN(4,3+'5. Scenarios'!$C$8))/4+INDEX(BookQ4,1967)*(5-MIN(4,4+'5. Scenarios'!$C$8))/4)*'5. Scenarios'!$C$6/(1+ProductivityDefault*('5. Scenarios'!$C$11-1))+INDEX(BookOneOff,1967)*$I1972)</f>
        <v/>
      </c>
      <c r="N1972" s="56" t="str">
        <f aca="false">IF(INDEX(BookTitle,1967)="","",INDEX(BookTotal,1967)*'5. Scenarios'!$D$6/(1+ProductivityDefault*('5. Scenarios'!$D$11-1)))</f>
        <v/>
      </c>
      <c r="O1972" s="57" t="str">
        <f aca="false">IF($N1972="","",INDEX(BookRate,1967)*(1+'5. Scenarios'!$D$10)*$N1972)</f>
        <v/>
      </c>
      <c r="P1972" s="57" t="str">
        <f aca="false">IF($O1972="","",SUMIFS($O$6:$O$2405,$A$6:$A$2405,"&lt;="&amp;$A1972))</f>
        <v/>
      </c>
      <c r="Q1972" s="57" t="str">
        <f aca="false">IF($O1972="","",IF($P1972&lt;=BankCostEnvelope*'5. Scenarios'!$D$7,1,0))</f>
        <v/>
      </c>
      <c r="R1972" s="57" t="str">
        <f aca="false">IF($N1972="","",INDEX(BookRate,1967)*(1+'5. Scenarios'!$D$10)*(INDEX(BookQ1,1967)*(5-MIN(4,1+'5. Scenarios'!$D$8))/4+INDEX(BookQ2,1967)*(5-MIN(4,2+'5. Scenarios'!$D$8))/4+INDEX(BookQ3,1967)*(5-MIN(4,3+'5. Scenarios'!$D$8))/4+INDEX(BookQ4,1967)*(5-MIN(4,4+'5. Scenarios'!$D$8))/4)*'5. Scenarios'!$D$6/(1+ProductivityDefault*('5. Scenarios'!$D$11-1))+INDEX(BookOneOff,1967)*$N1972)</f>
        <v/>
      </c>
      <c r="S1972" s="56" t="str">
        <f aca="false">IF(INDEX(BookTitle,1967)="","",INDEX(BookTotal,1967)*'5. Scenarios'!$E$6/(1+ProductivityDefault*('5. Scenarios'!$E$11-1)))</f>
        <v/>
      </c>
      <c r="T1972" s="57" t="str">
        <f aca="false">IF($S1972="","",INDEX(BookRate,1967)*(1+'5. Scenarios'!$E$10)*$S1972)</f>
        <v/>
      </c>
      <c r="U1972" s="57" t="str">
        <f aca="false">IF($T1972="","",SUMIFS($T$6:$T$2405,$A$6:$A$2405,"&lt;="&amp;$A1972))</f>
        <v/>
      </c>
      <c r="V1972" s="57" t="str">
        <f aca="false">IF($T1972="","",IF($U1972&lt;=BankCostEnvelope*'5. Scenarios'!$E$7,1,0))</f>
        <v/>
      </c>
      <c r="W1972" s="57" t="str">
        <f aca="false">IF($S1972="","",INDEX(BookRate,1967)*(1+'5. Scenarios'!$E$10)*(INDEX(BookQ1,1967)*(5-MIN(4,1+'5. Scenarios'!$E$8))/4+INDEX(BookQ2,1967)*(5-MIN(4,2+'5. Scenarios'!$E$8))/4+INDEX(BookQ3,1967)*(5-MIN(4,3+'5. Scenarios'!$E$8))/4+INDEX(BookQ4,1967)*(5-MIN(4,4+'5. Scenarios'!$E$8))/4)*'5. Scenarios'!$E$6/(1+ProductivityDefault*('5. Scenarios'!$E$11-1))+INDEX(BookOneOff,1967)*$S1972)</f>
        <v/>
      </c>
    </row>
    <row r="1973" customFormat="false" ht="15" hidden="false" customHeight="false" outlineLevel="0" collapsed="false">
      <c r="A1973" s="0" t="str">
        <f aca="false">IF(INDEX(BookTitle,1968)="","",INDEX(BookKey,1968))</f>
        <v/>
      </c>
      <c r="B1973" s="0" t="str">
        <f aca="false">IF(INDEX(BookTitle,1968)="","",INDEX(BookGroup,1968))</f>
        <v/>
      </c>
      <c r="C1973" s="0" t="str">
        <f aca="false">IF(INDEX(BookTitle,1968)="","",INDEX(BookCategory,1968))</f>
        <v/>
      </c>
      <c r="D1973" s="56" t="str">
        <f aca="false">IF(INDEX(BookTitle,1968)="","",INDEX(BookTotal,1968)*'5. Scenarios'!$B$6/(1+ProductivityDefault*('5. Scenarios'!$B$11-1)))</f>
        <v/>
      </c>
      <c r="E1973" s="57" t="str">
        <f aca="false">IF($D1973="","",INDEX(BookRate,1968)*(1+'5. Scenarios'!$B$10)*$D1973)</f>
        <v/>
      </c>
      <c r="F1973" s="57" t="str">
        <f aca="false">IF($E1973="","",SUMIFS($E$6:$E$2405,$A$6:$A$2405,"&lt;="&amp;$A1973))</f>
        <v/>
      </c>
      <c r="G1973" s="57" t="str">
        <f aca="false">IF($E1973="","",IF($F1973&lt;=BankCostEnvelope*'5. Scenarios'!$B$7,1,0))</f>
        <v/>
      </c>
      <c r="H1973" s="57" t="str">
        <f aca="false">IF($D1973="","",INDEX(BookRate,1968)*(1+'5. Scenarios'!$B$10)*(INDEX(BookQ1,1968)*(5-MIN(4,1+'5. Scenarios'!$B$8))/4+INDEX(BookQ2,1968)*(5-MIN(4,2+'5. Scenarios'!$B$8))/4+INDEX(BookQ3,1968)*(5-MIN(4,3+'5. Scenarios'!$B$8))/4+INDEX(BookQ4,1968)*(5-MIN(4,4+'5. Scenarios'!$B$8))/4)*'5. Scenarios'!$B$6/(1+ProductivityDefault*('5. Scenarios'!$B$11-1))+INDEX(BookOneOff,1968)*$D1973)</f>
        <v/>
      </c>
      <c r="I1973" s="56" t="str">
        <f aca="false">IF(INDEX(BookTitle,1968)="","",INDEX(BookTotal,1968)*'5. Scenarios'!$C$6/(1+ProductivityDefault*('5. Scenarios'!$C$11-1)))</f>
        <v/>
      </c>
      <c r="J1973" s="57" t="str">
        <f aca="false">IF($I1973="","",INDEX(BookRate,1968)*(1+'5. Scenarios'!$C$10)*$I1973)</f>
        <v/>
      </c>
      <c r="K1973" s="57" t="str">
        <f aca="false">IF($J1973="","",SUMIFS($J$6:$J$2405,$A$6:$A$2405,"&lt;="&amp;$A1973))</f>
        <v/>
      </c>
      <c r="L1973" s="57" t="str">
        <f aca="false">IF($J1973="","",IF($K1973&lt;=BankCostEnvelope*'5. Scenarios'!$C$7,1,0))</f>
        <v/>
      </c>
      <c r="M1973" s="57" t="str">
        <f aca="false">IF($I1973="","",INDEX(BookRate,1968)*(1+'5. Scenarios'!$C$10)*(INDEX(BookQ1,1968)*(5-MIN(4,1+'5. Scenarios'!$C$8))/4+INDEX(BookQ2,1968)*(5-MIN(4,2+'5. Scenarios'!$C$8))/4+INDEX(BookQ3,1968)*(5-MIN(4,3+'5. Scenarios'!$C$8))/4+INDEX(BookQ4,1968)*(5-MIN(4,4+'5. Scenarios'!$C$8))/4)*'5. Scenarios'!$C$6/(1+ProductivityDefault*('5. Scenarios'!$C$11-1))+INDEX(BookOneOff,1968)*$I1973)</f>
        <v/>
      </c>
      <c r="N1973" s="56" t="str">
        <f aca="false">IF(INDEX(BookTitle,1968)="","",INDEX(BookTotal,1968)*'5. Scenarios'!$D$6/(1+ProductivityDefault*('5. Scenarios'!$D$11-1)))</f>
        <v/>
      </c>
      <c r="O1973" s="57" t="str">
        <f aca="false">IF($N1973="","",INDEX(BookRate,1968)*(1+'5. Scenarios'!$D$10)*$N1973)</f>
        <v/>
      </c>
      <c r="P1973" s="57" t="str">
        <f aca="false">IF($O1973="","",SUMIFS($O$6:$O$2405,$A$6:$A$2405,"&lt;="&amp;$A1973))</f>
        <v/>
      </c>
      <c r="Q1973" s="57" t="str">
        <f aca="false">IF($O1973="","",IF($P1973&lt;=BankCostEnvelope*'5. Scenarios'!$D$7,1,0))</f>
        <v/>
      </c>
      <c r="R1973" s="57" t="str">
        <f aca="false">IF($N1973="","",INDEX(BookRate,1968)*(1+'5. Scenarios'!$D$10)*(INDEX(BookQ1,1968)*(5-MIN(4,1+'5. Scenarios'!$D$8))/4+INDEX(BookQ2,1968)*(5-MIN(4,2+'5. Scenarios'!$D$8))/4+INDEX(BookQ3,1968)*(5-MIN(4,3+'5. Scenarios'!$D$8))/4+INDEX(BookQ4,1968)*(5-MIN(4,4+'5. Scenarios'!$D$8))/4)*'5. Scenarios'!$D$6/(1+ProductivityDefault*('5. Scenarios'!$D$11-1))+INDEX(BookOneOff,1968)*$N1973)</f>
        <v/>
      </c>
      <c r="S1973" s="56" t="str">
        <f aca="false">IF(INDEX(BookTitle,1968)="","",INDEX(BookTotal,1968)*'5. Scenarios'!$E$6/(1+ProductivityDefault*('5. Scenarios'!$E$11-1)))</f>
        <v/>
      </c>
      <c r="T1973" s="57" t="str">
        <f aca="false">IF($S1973="","",INDEX(BookRate,1968)*(1+'5. Scenarios'!$E$10)*$S1973)</f>
        <v/>
      </c>
      <c r="U1973" s="57" t="str">
        <f aca="false">IF($T1973="","",SUMIFS($T$6:$T$2405,$A$6:$A$2405,"&lt;="&amp;$A1973))</f>
        <v/>
      </c>
      <c r="V1973" s="57" t="str">
        <f aca="false">IF($T1973="","",IF($U1973&lt;=BankCostEnvelope*'5. Scenarios'!$E$7,1,0))</f>
        <v/>
      </c>
      <c r="W1973" s="57" t="str">
        <f aca="false">IF($S1973="","",INDEX(BookRate,1968)*(1+'5. Scenarios'!$E$10)*(INDEX(BookQ1,1968)*(5-MIN(4,1+'5. Scenarios'!$E$8))/4+INDEX(BookQ2,1968)*(5-MIN(4,2+'5. Scenarios'!$E$8))/4+INDEX(BookQ3,1968)*(5-MIN(4,3+'5. Scenarios'!$E$8))/4+INDEX(BookQ4,1968)*(5-MIN(4,4+'5. Scenarios'!$E$8))/4)*'5. Scenarios'!$E$6/(1+ProductivityDefault*('5. Scenarios'!$E$11-1))+INDEX(BookOneOff,1968)*$S1973)</f>
        <v/>
      </c>
    </row>
    <row r="1974" customFormat="false" ht="15" hidden="false" customHeight="false" outlineLevel="0" collapsed="false">
      <c r="A1974" s="0" t="str">
        <f aca="false">IF(INDEX(BookTitle,1969)="","",INDEX(BookKey,1969))</f>
        <v/>
      </c>
      <c r="B1974" s="0" t="str">
        <f aca="false">IF(INDEX(BookTitle,1969)="","",INDEX(BookGroup,1969))</f>
        <v/>
      </c>
      <c r="C1974" s="0" t="str">
        <f aca="false">IF(INDEX(BookTitle,1969)="","",INDEX(BookCategory,1969))</f>
        <v/>
      </c>
      <c r="D1974" s="56" t="str">
        <f aca="false">IF(INDEX(BookTitle,1969)="","",INDEX(BookTotal,1969)*'5. Scenarios'!$B$6/(1+ProductivityDefault*('5. Scenarios'!$B$11-1)))</f>
        <v/>
      </c>
      <c r="E1974" s="57" t="str">
        <f aca="false">IF($D1974="","",INDEX(BookRate,1969)*(1+'5. Scenarios'!$B$10)*$D1974)</f>
        <v/>
      </c>
      <c r="F1974" s="57" t="str">
        <f aca="false">IF($E1974="","",SUMIFS($E$6:$E$2405,$A$6:$A$2405,"&lt;="&amp;$A1974))</f>
        <v/>
      </c>
      <c r="G1974" s="57" t="str">
        <f aca="false">IF($E1974="","",IF($F1974&lt;=BankCostEnvelope*'5. Scenarios'!$B$7,1,0))</f>
        <v/>
      </c>
      <c r="H1974" s="57" t="str">
        <f aca="false">IF($D1974="","",INDEX(BookRate,1969)*(1+'5. Scenarios'!$B$10)*(INDEX(BookQ1,1969)*(5-MIN(4,1+'5. Scenarios'!$B$8))/4+INDEX(BookQ2,1969)*(5-MIN(4,2+'5. Scenarios'!$B$8))/4+INDEX(BookQ3,1969)*(5-MIN(4,3+'5. Scenarios'!$B$8))/4+INDEX(BookQ4,1969)*(5-MIN(4,4+'5. Scenarios'!$B$8))/4)*'5. Scenarios'!$B$6/(1+ProductivityDefault*('5. Scenarios'!$B$11-1))+INDEX(BookOneOff,1969)*$D1974)</f>
        <v/>
      </c>
      <c r="I1974" s="56" t="str">
        <f aca="false">IF(INDEX(BookTitle,1969)="","",INDEX(BookTotal,1969)*'5. Scenarios'!$C$6/(1+ProductivityDefault*('5. Scenarios'!$C$11-1)))</f>
        <v/>
      </c>
      <c r="J1974" s="57" t="str">
        <f aca="false">IF($I1974="","",INDEX(BookRate,1969)*(1+'5. Scenarios'!$C$10)*$I1974)</f>
        <v/>
      </c>
      <c r="K1974" s="57" t="str">
        <f aca="false">IF($J1974="","",SUMIFS($J$6:$J$2405,$A$6:$A$2405,"&lt;="&amp;$A1974))</f>
        <v/>
      </c>
      <c r="L1974" s="57" t="str">
        <f aca="false">IF($J1974="","",IF($K1974&lt;=BankCostEnvelope*'5. Scenarios'!$C$7,1,0))</f>
        <v/>
      </c>
      <c r="M1974" s="57" t="str">
        <f aca="false">IF($I1974="","",INDEX(BookRate,1969)*(1+'5. Scenarios'!$C$10)*(INDEX(BookQ1,1969)*(5-MIN(4,1+'5. Scenarios'!$C$8))/4+INDEX(BookQ2,1969)*(5-MIN(4,2+'5. Scenarios'!$C$8))/4+INDEX(BookQ3,1969)*(5-MIN(4,3+'5. Scenarios'!$C$8))/4+INDEX(BookQ4,1969)*(5-MIN(4,4+'5. Scenarios'!$C$8))/4)*'5. Scenarios'!$C$6/(1+ProductivityDefault*('5. Scenarios'!$C$11-1))+INDEX(BookOneOff,1969)*$I1974)</f>
        <v/>
      </c>
      <c r="N1974" s="56" t="str">
        <f aca="false">IF(INDEX(BookTitle,1969)="","",INDEX(BookTotal,1969)*'5. Scenarios'!$D$6/(1+ProductivityDefault*('5. Scenarios'!$D$11-1)))</f>
        <v/>
      </c>
      <c r="O1974" s="57" t="str">
        <f aca="false">IF($N1974="","",INDEX(BookRate,1969)*(1+'5. Scenarios'!$D$10)*$N1974)</f>
        <v/>
      </c>
      <c r="P1974" s="57" t="str">
        <f aca="false">IF($O1974="","",SUMIFS($O$6:$O$2405,$A$6:$A$2405,"&lt;="&amp;$A1974))</f>
        <v/>
      </c>
      <c r="Q1974" s="57" t="str">
        <f aca="false">IF($O1974="","",IF($P1974&lt;=BankCostEnvelope*'5. Scenarios'!$D$7,1,0))</f>
        <v/>
      </c>
      <c r="R1974" s="57" t="str">
        <f aca="false">IF($N1974="","",INDEX(BookRate,1969)*(1+'5. Scenarios'!$D$10)*(INDEX(BookQ1,1969)*(5-MIN(4,1+'5. Scenarios'!$D$8))/4+INDEX(BookQ2,1969)*(5-MIN(4,2+'5. Scenarios'!$D$8))/4+INDEX(BookQ3,1969)*(5-MIN(4,3+'5. Scenarios'!$D$8))/4+INDEX(BookQ4,1969)*(5-MIN(4,4+'5. Scenarios'!$D$8))/4)*'5. Scenarios'!$D$6/(1+ProductivityDefault*('5. Scenarios'!$D$11-1))+INDEX(BookOneOff,1969)*$N1974)</f>
        <v/>
      </c>
      <c r="S1974" s="56" t="str">
        <f aca="false">IF(INDEX(BookTitle,1969)="","",INDEX(BookTotal,1969)*'5. Scenarios'!$E$6/(1+ProductivityDefault*('5. Scenarios'!$E$11-1)))</f>
        <v/>
      </c>
      <c r="T1974" s="57" t="str">
        <f aca="false">IF($S1974="","",INDEX(BookRate,1969)*(1+'5. Scenarios'!$E$10)*$S1974)</f>
        <v/>
      </c>
      <c r="U1974" s="57" t="str">
        <f aca="false">IF($T1974="","",SUMIFS($T$6:$T$2405,$A$6:$A$2405,"&lt;="&amp;$A1974))</f>
        <v/>
      </c>
      <c r="V1974" s="57" t="str">
        <f aca="false">IF($T1974="","",IF($U1974&lt;=BankCostEnvelope*'5. Scenarios'!$E$7,1,0))</f>
        <v/>
      </c>
      <c r="W1974" s="57" t="str">
        <f aca="false">IF($S1974="","",INDEX(BookRate,1969)*(1+'5. Scenarios'!$E$10)*(INDEX(BookQ1,1969)*(5-MIN(4,1+'5. Scenarios'!$E$8))/4+INDEX(BookQ2,1969)*(5-MIN(4,2+'5. Scenarios'!$E$8))/4+INDEX(BookQ3,1969)*(5-MIN(4,3+'5. Scenarios'!$E$8))/4+INDEX(BookQ4,1969)*(5-MIN(4,4+'5. Scenarios'!$E$8))/4)*'5. Scenarios'!$E$6/(1+ProductivityDefault*('5. Scenarios'!$E$11-1))+INDEX(BookOneOff,1969)*$S1974)</f>
        <v/>
      </c>
    </row>
    <row r="1975" customFormat="false" ht="15" hidden="false" customHeight="false" outlineLevel="0" collapsed="false">
      <c r="A1975" s="0" t="str">
        <f aca="false">IF(INDEX(BookTitle,1970)="","",INDEX(BookKey,1970))</f>
        <v/>
      </c>
      <c r="B1975" s="0" t="str">
        <f aca="false">IF(INDEX(BookTitle,1970)="","",INDEX(BookGroup,1970))</f>
        <v/>
      </c>
      <c r="C1975" s="0" t="str">
        <f aca="false">IF(INDEX(BookTitle,1970)="","",INDEX(BookCategory,1970))</f>
        <v/>
      </c>
      <c r="D1975" s="56" t="str">
        <f aca="false">IF(INDEX(BookTitle,1970)="","",INDEX(BookTotal,1970)*'5. Scenarios'!$B$6/(1+ProductivityDefault*('5. Scenarios'!$B$11-1)))</f>
        <v/>
      </c>
      <c r="E1975" s="57" t="str">
        <f aca="false">IF($D1975="","",INDEX(BookRate,1970)*(1+'5. Scenarios'!$B$10)*$D1975)</f>
        <v/>
      </c>
      <c r="F1975" s="57" t="str">
        <f aca="false">IF($E1975="","",SUMIFS($E$6:$E$2405,$A$6:$A$2405,"&lt;="&amp;$A1975))</f>
        <v/>
      </c>
      <c r="G1975" s="57" t="str">
        <f aca="false">IF($E1975="","",IF($F1975&lt;=BankCostEnvelope*'5. Scenarios'!$B$7,1,0))</f>
        <v/>
      </c>
      <c r="H1975" s="57" t="str">
        <f aca="false">IF($D1975="","",INDEX(BookRate,1970)*(1+'5. Scenarios'!$B$10)*(INDEX(BookQ1,1970)*(5-MIN(4,1+'5. Scenarios'!$B$8))/4+INDEX(BookQ2,1970)*(5-MIN(4,2+'5. Scenarios'!$B$8))/4+INDEX(BookQ3,1970)*(5-MIN(4,3+'5. Scenarios'!$B$8))/4+INDEX(BookQ4,1970)*(5-MIN(4,4+'5. Scenarios'!$B$8))/4)*'5. Scenarios'!$B$6/(1+ProductivityDefault*('5. Scenarios'!$B$11-1))+INDEX(BookOneOff,1970)*$D1975)</f>
        <v/>
      </c>
      <c r="I1975" s="56" t="str">
        <f aca="false">IF(INDEX(BookTitle,1970)="","",INDEX(BookTotal,1970)*'5. Scenarios'!$C$6/(1+ProductivityDefault*('5. Scenarios'!$C$11-1)))</f>
        <v/>
      </c>
      <c r="J1975" s="57" t="str">
        <f aca="false">IF($I1975="","",INDEX(BookRate,1970)*(1+'5. Scenarios'!$C$10)*$I1975)</f>
        <v/>
      </c>
      <c r="K1975" s="57" t="str">
        <f aca="false">IF($J1975="","",SUMIFS($J$6:$J$2405,$A$6:$A$2405,"&lt;="&amp;$A1975))</f>
        <v/>
      </c>
      <c r="L1975" s="57" t="str">
        <f aca="false">IF($J1975="","",IF($K1975&lt;=BankCostEnvelope*'5. Scenarios'!$C$7,1,0))</f>
        <v/>
      </c>
      <c r="M1975" s="57" t="str">
        <f aca="false">IF($I1975="","",INDEX(BookRate,1970)*(1+'5. Scenarios'!$C$10)*(INDEX(BookQ1,1970)*(5-MIN(4,1+'5. Scenarios'!$C$8))/4+INDEX(BookQ2,1970)*(5-MIN(4,2+'5. Scenarios'!$C$8))/4+INDEX(BookQ3,1970)*(5-MIN(4,3+'5. Scenarios'!$C$8))/4+INDEX(BookQ4,1970)*(5-MIN(4,4+'5. Scenarios'!$C$8))/4)*'5. Scenarios'!$C$6/(1+ProductivityDefault*('5. Scenarios'!$C$11-1))+INDEX(BookOneOff,1970)*$I1975)</f>
        <v/>
      </c>
      <c r="N1975" s="56" t="str">
        <f aca="false">IF(INDEX(BookTitle,1970)="","",INDEX(BookTotal,1970)*'5. Scenarios'!$D$6/(1+ProductivityDefault*('5. Scenarios'!$D$11-1)))</f>
        <v/>
      </c>
      <c r="O1975" s="57" t="str">
        <f aca="false">IF($N1975="","",INDEX(BookRate,1970)*(1+'5. Scenarios'!$D$10)*$N1975)</f>
        <v/>
      </c>
      <c r="P1975" s="57" t="str">
        <f aca="false">IF($O1975="","",SUMIFS($O$6:$O$2405,$A$6:$A$2405,"&lt;="&amp;$A1975))</f>
        <v/>
      </c>
      <c r="Q1975" s="57" t="str">
        <f aca="false">IF($O1975="","",IF($P1975&lt;=BankCostEnvelope*'5. Scenarios'!$D$7,1,0))</f>
        <v/>
      </c>
      <c r="R1975" s="57" t="str">
        <f aca="false">IF($N1975="","",INDEX(BookRate,1970)*(1+'5. Scenarios'!$D$10)*(INDEX(BookQ1,1970)*(5-MIN(4,1+'5. Scenarios'!$D$8))/4+INDEX(BookQ2,1970)*(5-MIN(4,2+'5. Scenarios'!$D$8))/4+INDEX(BookQ3,1970)*(5-MIN(4,3+'5. Scenarios'!$D$8))/4+INDEX(BookQ4,1970)*(5-MIN(4,4+'5. Scenarios'!$D$8))/4)*'5. Scenarios'!$D$6/(1+ProductivityDefault*('5. Scenarios'!$D$11-1))+INDEX(BookOneOff,1970)*$N1975)</f>
        <v/>
      </c>
      <c r="S1975" s="56" t="str">
        <f aca="false">IF(INDEX(BookTitle,1970)="","",INDEX(BookTotal,1970)*'5. Scenarios'!$E$6/(1+ProductivityDefault*('5. Scenarios'!$E$11-1)))</f>
        <v/>
      </c>
      <c r="T1975" s="57" t="str">
        <f aca="false">IF($S1975="","",INDEX(BookRate,1970)*(1+'5. Scenarios'!$E$10)*$S1975)</f>
        <v/>
      </c>
      <c r="U1975" s="57" t="str">
        <f aca="false">IF($T1975="","",SUMIFS($T$6:$T$2405,$A$6:$A$2405,"&lt;="&amp;$A1975))</f>
        <v/>
      </c>
      <c r="V1975" s="57" t="str">
        <f aca="false">IF($T1975="","",IF($U1975&lt;=BankCostEnvelope*'5. Scenarios'!$E$7,1,0))</f>
        <v/>
      </c>
      <c r="W1975" s="57" t="str">
        <f aca="false">IF($S1975="","",INDEX(BookRate,1970)*(1+'5. Scenarios'!$E$10)*(INDEX(BookQ1,1970)*(5-MIN(4,1+'5. Scenarios'!$E$8))/4+INDEX(BookQ2,1970)*(5-MIN(4,2+'5. Scenarios'!$E$8))/4+INDEX(BookQ3,1970)*(5-MIN(4,3+'5. Scenarios'!$E$8))/4+INDEX(BookQ4,1970)*(5-MIN(4,4+'5. Scenarios'!$E$8))/4)*'5. Scenarios'!$E$6/(1+ProductivityDefault*('5. Scenarios'!$E$11-1))+INDEX(BookOneOff,1970)*$S1975)</f>
        <v/>
      </c>
    </row>
    <row r="1976" customFormat="false" ht="15" hidden="false" customHeight="false" outlineLevel="0" collapsed="false">
      <c r="A1976" s="0" t="str">
        <f aca="false">IF(INDEX(BookTitle,1971)="","",INDEX(BookKey,1971))</f>
        <v/>
      </c>
      <c r="B1976" s="0" t="str">
        <f aca="false">IF(INDEX(BookTitle,1971)="","",INDEX(BookGroup,1971))</f>
        <v/>
      </c>
      <c r="C1976" s="0" t="str">
        <f aca="false">IF(INDEX(BookTitle,1971)="","",INDEX(BookCategory,1971))</f>
        <v/>
      </c>
      <c r="D1976" s="56" t="str">
        <f aca="false">IF(INDEX(BookTitle,1971)="","",INDEX(BookTotal,1971)*'5. Scenarios'!$B$6/(1+ProductivityDefault*('5. Scenarios'!$B$11-1)))</f>
        <v/>
      </c>
      <c r="E1976" s="57" t="str">
        <f aca="false">IF($D1976="","",INDEX(BookRate,1971)*(1+'5. Scenarios'!$B$10)*$D1976)</f>
        <v/>
      </c>
      <c r="F1976" s="57" t="str">
        <f aca="false">IF($E1976="","",SUMIFS($E$6:$E$2405,$A$6:$A$2405,"&lt;="&amp;$A1976))</f>
        <v/>
      </c>
      <c r="G1976" s="57" t="str">
        <f aca="false">IF($E1976="","",IF($F1976&lt;=BankCostEnvelope*'5. Scenarios'!$B$7,1,0))</f>
        <v/>
      </c>
      <c r="H1976" s="57" t="str">
        <f aca="false">IF($D1976="","",INDEX(BookRate,1971)*(1+'5. Scenarios'!$B$10)*(INDEX(BookQ1,1971)*(5-MIN(4,1+'5. Scenarios'!$B$8))/4+INDEX(BookQ2,1971)*(5-MIN(4,2+'5. Scenarios'!$B$8))/4+INDEX(BookQ3,1971)*(5-MIN(4,3+'5. Scenarios'!$B$8))/4+INDEX(BookQ4,1971)*(5-MIN(4,4+'5. Scenarios'!$B$8))/4)*'5. Scenarios'!$B$6/(1+ProductivityDefault*('5. Scenarios'!$B$11-1))+INDEX(BookOneOff,1971)*$D1976)</f>
        <v/>
      </c>
      <c r="I1976" s="56" t="str">
        <f aca="false">IF(INDEX(BookTitle,1971)="","",INDEX(BookTotal,1971)*'5. Scenarios'!$C$6/(1+ProductivityDefault*('5. Scenarios'!$C$11-1)))</f>
        <v/>
      </c>
      <c r="J1976" s="57" t="str">
        <f aca="false">IF($I1976="","",INDEX(BookRate,1971)*(1+'5. Scenarios'!$C$10)*$I1976)</f>
        <v/>
      </c>
      <c r="K1976" s="57" t="str">
        <f aca="false">IF($J1976="","",SUMIFS($J$6:$J$2405,$A$6:$A$2405,"&lt;="&amp;$A1976))</f>
        <v/>
      </c>
      <c r="L1976" s="57" t="str">
        <f aca="false">IF($J1976="","",IF($K1976&lt;=BankCostEnvelope*'5. Scenarios'!$C$7,1,0))</f>
        <v/>
      </c>
      <c r="M1976" s="57" t="str">
        <f aca="false">IF($I1976="","",INDEX(BookRate,1971)*(1+'5. Scenarios'!$C$10)*(INDEX(BookQ1,1971)*(5-MIN(4,1+'5. Scenarios'!$C$8))/4+INDEX(BookQ2,1971)*(5-MIN(4,2+'5. Scenarios'!$C$8))/4+INDEX(BookQ3,1971)*(5-MIN(4,3+'5. Scenarios'!$C$8))/4+INDEX(BookQ4,1971)*(5-MIN(4,4+'5. Scenarios'!$C$8))/4)*'5. Scenarios'!$C$6/(1+ProductivityDefault*('5. Scenarios'!$C$11-1))+INDEX(BookOneOff,1971)*$I1976)</f>
        <v/>
      </c>
      <c r="N1976" s="56" t="str">
        <f aca="false">IF(INDEX(BookTitle,1971)="","",INDEX(BookTotal,1971)*'5. Scenarios'!$D$6/(1+ProductivityDefault*('5. Scenarios'!$D$11-1)))</f>
        <v/>
      </c>
      <c r="O1976" s="57" t="str">
        <f aca="false">IF($N1976="","",INDEX(BookRate,1971)*(1+'5. Scenarios'!$D$10)*$N1976)</f>
        <v/>
      </c>
      <c r="P1976" s="57" t="str">
        <f aca="false">IF($O1976="","",SUMIFS($O$6:$O$2405,$A$6:$A$2405,"&lt;="&amp;$A1976))</f>
        <v/>
      </c>
      <c r="Q1976" s="57" t="str">
        <f aca="false">IF($O1976="","",IF($P1976&lt;=BankCostEnvelope*'5. Scenarios'!$D$7,1,0))</f>
        <v/>
      </c>
      <c r="R1976" s="57" t="str">
        <f aca="false">IF($N1976="","",INDEX(BookRate,1971)*(1+'5. Scenarios'!$D$10)*(INDEX(BookQ1,1971)*(5-MIN(4,1+'5. Scenarios'!$D$8))/4+INDEX(BookQ2,1971)*(5-MIN(4,2+'5. Scenarios'!$D$8))/4+INDEX(BookQ3,1971)*(5-MIN(4,3+'5. Scenarios'!$D$8))/4+INDEX(BookQ4,1971)*(5-MIN(4,4+'5. Scenarios'!$D$8))/4)*'5. Scenarios'!$D$6/(1+ProductivityDefault*('5. Scenarios'!$D$11-1))+INDEX(BookOneOff,1971)*$N1976)</f>
        <v/>
      </c>
      <c r="S1976" s="56" t="str">
        <f aca="false">IF(INDEX(BookTitle,1971)="","",INDEX(BookTotal,1971)*'5. Scenarios'!$E$6/(1+ProductivityDefault*('5. Scenarios'!$E$11-1)))</f>
        <v/>
      </c>
      <c r="T1976" s="57" t="str">
        <f aca="false">IF($S1976="","",INDEX(BookRate,1971)*(1+'5. Scenarios'!$E$10)*$S1976)</f>
        <v/>
      </c>
      <c r="U1976" s="57" t="str">
        <f aca="false">IF($T1976="","",SUMIFS($T$6:$T$2405,$A$6:$A$2405,"&lt;="&amp;$A1976))</f>
        <v/>
      </c>
      <c r="V1976" s="57" t="str">
        <f aca="false">IF($T1976="","",IF($U1976&lt;=BankCostEnvelope*'5. Scenarios'!$E$7,1,0))</f>
        <v/>
      </c>
      <c r="W1976" s="57" t="str">
        <f aca="false">IF($S1976="","",INDEX(BookRate,1971)*(1+'5. Scenarios'!$E$10)*(INDEX(BookQ1,1971)*(5-MIN(4,1+'5. Scenarios'!$E$8))/4+INDEX(BookQ2,1971)*(5-MIN(4,2+'5. Scenarios'!$E$8))/4+INDEX(BookQ3,1971)*(5-MIN(4,3+'5. Scenarios'!$E$8))/4+INDEX(BookQ4,1971)*(5-MIN(4,4+'5. Scenarios'!$E$8))/4)*'5. Scenarios'!$E$6/(1+ProductivityDefault*('5. Scenarios'!$E$11-1))+INDEX(BookOneOff,1971)*$S1976)</f>
        <v/>
      </c>
    </row>
    <row r="1977" customFormat="false" ht="15" hidden="false" customHeight="false" outlineLevel="0" collapsed="false">
      <c r="A1977" s="0" t="str">
        <f aca="false">IF(INDEX(BookTitle,1972)="","",INDEX(BookKey,1972))</f>
        <v/>
      </c>
      <c r="B1977" s="0" t="str">
        <f aca="false">IF(INDEX(BookTitle,1972)="","",INDEX(BookGroup,1972))</f>
        <v/>
      </c>
      <c r="C1977" s="0" t="str">
        <f aca="false">IF(INDEX(BookTitle,1972)="","",INDEX(BookCategory,1972))</f>
        <v/>
      </c>
      <c r="D1977" s="56" t="str">
        <f aca="false">IF(INDEX(BookTitle,1972)="","",INDEX(BookTotal,1972)*'5. Scenarios'!$B$6/(1+ProductivityDefault*('5. Scenarios'!$B$11-1)))</f>
        <v/>
      </c>
      <c r="E1977" s="57" t="str">
        <f aca="false">IF($D1977="","",INDEX(BookRate,1972)*(1+'5. Scenarios'!$B$10)*$D1977)</f>
        <v/>
      </c>
      <c r="F1977" s="57" t="str">
        <f aca="false">IF($E1977="","",SUMIFS($E$6:$E$2405,$A$6:$A$2405,"&lt;="&amp;$A1977))</f>
        <v/>
      </c>
      <c r="G1977" s="57" t="str">
        <f aca="false">IF($E1977="","",IF($F1977&lt;=BankCostEnvelope*'5. Scenarios'!$B$7,1,0))</f>
        <v/>
      </c>
      <c r="H1977" s="57" t="str">
        <f aca="false">IF($D1977="","",INDEX(BookRate,1972)*(1+'5. Scenarios'!$B$10)*(INDEX(BookQ1,1972)*(5-MIN(4,1+'5. Scenarios'!$B$8))/4+INDEX(BookQ2,1972)*(5-MIN(4,2+'5. Scenarios'!$B$8))/4+INDEX(BookQ3,1972)*(5-MIN(4,3+'5. Scenarios'!$B$8))/4+INDEX(BookQ4,1972)*(5-MIN(4,4+'5. Scenarios'!$B$8))/4)*'5. Scenarios'!$B$6/(1+ProductivityDefault*('5. Scenarios'!$B$11-1))+INDEX(BookOneOff,1972)*$D1977)</f>
        <v/>
      </c>
      <c r="I1977" s="56" t="str">
        <f aca="false">IF(INDEX(BookTitle,1972)="","",INDEX(BookTotal,1972)*'5. Scenarios'!$C$6/(1+ProductivityDefault*('5. Scenarios'!$C$11-1)))</f>
        <v/>
      </c>
      <c r="J1977" s="57" t="str">
        <f aca="false">IF($I1977="","",INDEX(BookRate,1972)*(1+'5. Scenarios'!$C$10)*$I1977)</f>
        <v/>
      </c>
      <c r="K1977" s="57" t="str">
        <f aca="false">IF($J1977="","",SUMIFS($J$6:$J$2405,$A$6:$A$2405,"&lt;="&amp;$A1977))</f>
        <v/>
      </c>
      <c r="L1977" s="57" t="str">
        <f aca="false">IF($J1977="","",IF($K1977&lt;=BankCostEnvelope*'5. Scenarios'!$C$7,1,0))</f>
        <v/>
      </c>
      <c r="M1977" s="57" t="str">
        <f aca="false">IF($I1977="","",INDEX(BookRate,1972)*(1+'5. Scenarios'!$C$10)*(INDEX(BookQ1,1972)*(5-MIN(4,1+'5. Scenarios'!$C$8))/4+INDEX(BookQ2,1972)*(5-MIN(4,2+'5. Scenarios'!$C$8))/4+INDEX(BookQ3,1972)*(5-MIN(4,3+'5. Scenarios'!$C$8))/4+INDEX(BookQ4,1972)*(5-MIN(4,4+'5. Scenarios'!$C$8))/4)*'5. Scenarios'!$C$6/(1+ProductivityDefault*('5. Scenarios'!$C$11-1))+INDEX(BookOneOff,1972)*$I1977)</f>
        <v/>
      </c>
      <c r="N1977" s="56" t="str">
        <f aca="false">IF(INDEX(BookTitle,1972)="","",INDEX(BookTotal,1972)*'5. Scenarios'!$D$6/(1+ProductivityDefault*('5. Scenarios'!$D$11-1)))</f>
        <v/>
      </c>
      <c r="O1977" s="57" t="str">
        <f aca="false">IF($N1977="","",INDEX(BookRate,1972)*(1+'5. Scenarios'!$D$10)*$N1977)</f>
        <v/>
      </c>
      <c r="P1977" s="57" t="str">
        <f aca="false">IF($O1977="","",SUMIFS($O$6:$O$2405,$A$6:$A$2405,"&lt;="&amp;$A1977))</f>
        <v/>
      </c>
      <c r="Q1977" s="57" t="str">
        <f aca="false">IF($O1977="","",IF($P1977&lt;=BankCostEnvelope*'5. Scenarios'!$D$7,1,0))</f>
        <v/>
      </c>
      <c r="R1977" s="57" t="str">
        <f aca="false">IF($N1977="","",INDEX(BookRate,1972)*(1+'5. Scenarios'!$D$10)*(INDEX(BookQ1,1972)*(5-MIN(4,1+'5. Scenarios'!$D$8))/4+INDEX(BookQ2,1972)*(5-MIN(4,2+'5. Scenarios'!$D$8))/4+INDEX(BookQ3,1972)*(5-MIN(4,3+'5. Scenarios'!$D$8))/4+INDEX(BookQ4,1972)*(5-MIN(4,4+'5. Scenarios'!$D$8))/4)*'5. Scenarios'!$D$6/(1+ProductivityDefault*('5. Scenarios'!$D$11-1))+INDEX(BookOneOff,1972)*$N1977)</f>
        <v/>
      </c>
      <c r="S1977" s="56" t="str">
        <f aca="false">IF(INDEX(BookTitle,1972)="","",INDEX(BookTotal,1972)*'5. Scenarios'!$E$6/(1+ProductivityDefault*('5. Scenarios'!$E$11-1)))</f>
        <v/>
      </c>
      <c r="T1977" s="57" t="str">
        <f aca="false">IF($S1977="","",INDEX(BookRate,1972)*(1+'5. Scenarios'!$E$10)*$S1977)</f>
        <v/>
      </c>
      <c r="U1977" s="57" t="str">
        <f aca="false">IF($T1977="","",SUMIFS($T$6:$T$2405,$A$6:$A$2405,"&lt;="&amp;$A1977))</f>
        <v/>
      </c>
      <c r="V1977" s="57" t="str">
        <f aca="false">IF($T1977="","",IF($U1977&lt;=BankCostEnvelope*'5. Scenarios'!$E$7,1,0))</f>
        <v/>
      </c>
      <c r="W1977" s="57" t="str">
        <f aca="false">IF($S1977="","",INDEX(BookRate,1972)*(1+'5. Scenarios'!$E$10)*(INDEX(BookQ1,1972)*(5-MIN(4,1+'5. Scenarios'!$E$8))/4+INDEX(BookQ2,1972)*(5-MIN(4,2+'5. Scenarios'!$E$8))/4+INDEX(BookQ3,1972)*(5-MIN(4,3+'5. Scenarios'!$E$8))/4+INDEX(BookQ4,1972)*(5-MIN(4,4+'5. Scenarios'!$E$8))/4)*'5. Scenarios'!$E$6/(1+ProductivityDefault*('5. Scenarios'!$E$11-1))+INDEX(BookOneOff,1972)*$S1977)</f>
        <v/>
      </c>
    </row>
    <row r="1978" customFormat="false" ht="15" hidden="false" customHeight="false" outlineLevel="0" collapsed="false">
      <c r="A1978" s="0" t="str">
        <f aca="false">IF(INDEX(BookTitle,1973)="","",INDEX(BookKey,1973))</f>
        <v/>
      </c>
      <c r="B1978" s="0" t="str">
        <f aca="false">IF(INDEX(BookTitle,1973)="","",INDEX(BookGroup,1973))</f>
        <v/>
      </c>
      <c r="C1978" s="0" t="str">
        <f aca="false">IF(INDEX(BookTitle,1973)="","",INDEX(BookCategory,1973))</f>
        <v/>
      </c>
      <c r="D1978" s="56" t="str">
        <f aca="false">IF(INDEX(BookTitle,1973)="","",INDEX(BookTotal,1973)*'5. Scenarios'!$B$6/(1+ProductivityDefault*('5. Scenarios'!$B$11-1)))</f>
        <v/>
      </c>
      <c r="E1978" s="57" t="str">
        <f aca="false">IF($D1978="","",INDEX(BookRate,1973)*(1+'5. Scenarios'!$B$10)*$D1978)</f>
        <v/>
      </c>
      <c r="F1978" s="57" t="str">
        <f aca="false">IF($E1978="","",SUMIFS($E$6:$E$2405,$A$6:$A$2405,"&lt;="&amp;$A1978))</f>
        <v/>
      </c>
      <c r="G1978" s="57" t="str">
        <f aca="false">IF($E1978="","",IF($F1978&lt;=BankCostEnvelope*'5. Scenarios'!$B$7,1,0))</f>
        <v/>
      </c>
      <c r="H1978" s="57" t="str">
        <f aca="false">IF($D1978="","",INDEX(BookRate,1973)*(1+'5. Scenarios'!$B$10)*(INDEX(BookQ1,1973)*(5-MIN(4,1+'5. Scenarios'!$B$8))/4+INDEX(BookQ2,1973)*(5-MIN(4,2+'5. Scenarios'!$B$8))/4+INDEX(BookQ3,1973)*(5-MIN(4,3+'5. Scenarios'!$B$8))/4+INDEX(BookQ4,1973)*(5-MIN(4,4+'5. Scenarios'!$B$8))/4)*'5. Scenarios'!$B$6/(1+ProductivityDefault*('5. Scenarios'!$B$11-1))+INDEX(BookOneOff,1973)*$D1978)</f>
        <v/>
      </c>
      <c r="I1978" s="56" t="str">
        <f aca="false">IF(INDEX(BookTitle,1973)="","",INDEX(BookTotal,1973)*'5. Scenarios'!$C$6/(1+ProductivityDefault*('5. Scenarios'!$C$11-1)))</f>
        <v/>
      </c>
      <c r="J1978" s="57" t="str">
        <f aca="false">IF($I1978="","",INDEX(BookRate,1973)*(1+'5. Scenarios'!$C$10)*$I1978)</f>
        <v/>
      </c>
      <c r="K1978" s="57" t="str">
        <f aca="false">IF($J1978="","",SUMIFS($J$6:$J$2405,$A$6:$A$2405,"&lt;="&amp;$A1978))</f>
        <v/>
      </c>
      <c r="L1978" s="57" t="str">
        <f aca="false">IF($J1978="","",IF($K1978&lt;=BankCostEnvelope*'5. Scenarios'!$C$7,1,0))</f>
        <v/>
      </c>
      <c r="M1978" s="57" t="str">
        <f aca="false">IF($I1978="","",INDEX(BookRate,1973)*(1+'5. Scenarios'!$C$10)*(INDEX(BookQ1,1973)*(5-MIN(4,1+'5. Scenarios'!$C$8))/4+INDEX(BookQ2,1973)*(5-MIN(4,2+'5. Scenarios'!$C$8))/4+INDEX(BookQ3,1973)*(5-MIN(4,3+'5. Scenarios'!$C$8))/4+INDEX(BookQ4,1973)*(5-MIN(4,4+'5. Scenarios'!$C$8))/4)*'5. Scenarios'!$C$6/(1+ProductivityDefault*('5. Scenarios'!$C$11-1))+INDEX(BookOneOff,1973)*$I1978)</f>
        <v/>
      </c>
      <c r="N1978" s="56" t="str">
        <f aca="false">IF(INDEX(BookTitle,1973)="","",INDEX(BookTotal,1973)*'5. Scenarios'!$D$6/(1+ProductivityDefault*('5. Scenarios'!$D$11-1)))</f>
        <v/>
      </c>
      <c r="O1978" s="57" t="str">
        <f aca="false">IF($N1978="","",INDEX(BookRate,1973)*(1+'5. Scenarios'!$D$10)*$N1978)</f>
        <v/>
      </c>
      <c r="P1978" s="57" t="str">
        <f aca="false">IF($O1978="","",SUMIFS($O$6:$O$2405,$A$6:$A$2405,"&lt;="&amp;$A1978))</f>
        <v/>
      </c>
      <c r="Q1978" s="57" t="str">
        <f aca="false">IF($O1978="","",IF($P1978&lt;=BankCostEnvelope*'5. Scenarios'!$D$7,1,0))</f>
        <v/>
      </c>
      <c r="R1978" s="57" t="str">
        <f aca="false">IF($N1978="","",INDEX(BookRate,1973)*(1+'5. Scenarios'!$D$10)*(INDEX(BookQ1,1973)*(5-MIN(4,1+'5. Scenarios'!$D$8))/4+INDEX(BookQ2,1973)*(5-MIN(4,2+'5. Scenarios'!$D$8))/4+INDEX(BookQ3,1973)*(5-MIN(4,3+'5. Scenarios'!$D$8))/4+INDEX(BookQ4,1973)*(5-MIN(4,4+'5. Scenarios'!$D$8))/4)*'5. Scenarios'!$D$6/(1+ProductivityDefault*('5. Scenarios'!$D$11-1))+INDEX(BookOneOff,1973)*$N1978)</f>
        <v/>
      </c>
      <c r="S1978" s="56" t="str">
        <f aca="false">IF(INDEX(BookTitle,1973)="","",INDEX(BookTotal,1973)*'5. Scenarios'!$E$6/(1+ProductivityDefault*('5. Scenarios'!$E$11-1)))</f>
        <v/>
      </c>
      <c r="T1978" s="57" t="str">
        <f aca="false">IF($S1978="","",INDEX(BookRate,1973)*(1+'5. Scenarios'!$E$10)*$S1978)</f>
        <v/>
      </c>
      <c r="U1978" s="57" t="str">
        <f aca="false">IF($T1978="","",SUMIFS($T$6:$T$2405,$A$6:$A$2405,"&lt;="&amp;$A1978))</f>
        <v/>
      </c>
      <c r="V1978" s="57" t="str">
        <f aca="false">IF($T1978="","",IF($U1978&lt;=BankCostEnvelope*'5. Scenarios'!$E$7,1,0))</f>
        <v/>
      </c>
      <c r="W1978" s="57" t="str">
        <f aca="false">IF($S1978="","",INDEX(BookRate,1973)*(1+'5. Scenarios'!$E$10)*(INDEX(BookQ1,1973)*(5-MIN(4,1+'5. Scenarios'!$E$8))/4+INDEX(BookQ2,1973)*(5-MIN(4,2+'5. Scenarios'!$E$8))/4+INDEX(BookQ3,1973)*(5-MIN(4,3+'5. Scenarios'!$E$8))/4+INDEX(BookQ4,1973)*(5-MIN(4,4+'5. Scenarios'!$E$8))/4)*'5. Scenarios'!$E$6/(1+ProductivityDefault*('5. Scenarios'!$E$11-1))+INDEX(BookOneOff,1973)*$S1978)</f>
        <v/>
      </c>
    </row>
    <row r="1979" customFormat="false" ht="15" hidden="false" customHeight="false" outlineLevel="0" collapsed="false">
      <c r="A1979" s="0" t="str">
        <f aca="false">IF(INDEX(BookTitle,1974)="","",INDEX(BookKey,1974))</f>
        <v/>
      </c>
      <c r="B1979" s="0" t="str">
        <f aca="false">IF(INDEX(BookTitle,1974)="","",INDEX(BookGroup,1974))</f>
        <v/>
      </c>
      <c r="C1979" s="0" t="str">
        <f aca="false">IF(INDEX(BookTitle,1974)="","",INDEX(BookCategory,1974))</f>
        <v/>
      </c>
      <c r="D1979" s="56" t="str">
        <f aca="false">IF(INDEX(BookTitle,1974)="","",INDEX(BookTotal,1974)*'5. Scenarios'!$B$6/(1+ProductivityDefault*('5. Scenarios'!$B$11-1)))</f>
        <v/>
      </c>
      <c r="E1979" s="57" t="str">
        <f aca="false">IF($D1979="","",INDEX(BookRate,1974)*(1+'5. Scenarios'!$B$10)*$D1979)</f>
        <v/>
      </c>
      <c r="F1979" s="57" t="str">
        <f aca="false">IF($E1979="","",SUMIFS($E$6:$E$2405,$A$6:$A$2405,"&lt;="&amp;$A1979))</f>
        <v/>
      </c>
      <c r="G1979" s="57" t="str">
        <f aca="false">IF($E1979="","",IF($F1979&lt;=BankCostEnvelope*'5. Scenarios'!$B$7,1,0))</f>
        <v/>
      </c>
      <c r="H1979" s="57" t="str">
        <f aca="false">IF($D1979="","",INDEX(BookRate,1974)*(1+'5. Scenarios'!$B$10)*(INDEX(BookQ1,1974)*(5-MIN(4,1+'5. Scenarios'!$B$8))/4+INDEX(BookQ2,1974)*(5-MIN(4,2+'5. Scenarios'!$B$8))/4+INDEX(BookQ3,1974)*(5-MIN(4,3+'5. Scenarios'!$B$8))/4+INDEX(BookQ4,1974)*(5-MIN(4,4+'5. Scenarios'!$B$8))/4)*'5. Scenarios'!$B$6/(1+ProductivityDefault*('5. Scenarios'!$B$11-1))+INDEX(BookOneOff,1974)*$D1979)</f>
        <v/>
      </c>
      <c r="I1979" s="56" t="str">
        <f aca="false">IF(INDEX(BookTitle,1974)="","",INDEX(BookTotal,1974)*'5. Scenarios'!$C$6/(1+ProductivityDefault*('5. Scenarios'!$C$11-1)))</f>
        <v/>
      </c>
      <c r="J1979" s="57" t="str">
        <f aca="false">IF($I1979="","",INDEX(BookRate,1974)*(1+'5. Scenarios'!$C$10)*$I1979)</f>
        <v/>
      </c>
      <c r="K1979" s="57" t="str">
        <f aca="false">IF($J1979="","",SUMIFS($J$6:$J$2405,$A$6:$A$2405,"&lt;="&amp;$A1979))</f>
        <v/>
      </c>
      <c r="L1979" s="57" t="str">
        <f aca="false">IF($J1979="","",IF($K1979&lt;=BankCostEnvelope*'5. Scenarios'!$C$7,1,0))</f>
        <v/>
      </c>
      <c r="M1979" s="57" t="str">
        <f aca="false">IF($I1979="","",INDEX(BookRate,1974)*(1+'5. Scenarios'!$C$10)*(INDEX(BookQ1,1974)*(5-MIN(4,1+'5. Scenarios'!$C$8))/4+INDEX(BookQ2,1974)*(5-MIN(4,2+'5. Scenarios'!$C$8))/4+INDEX(BookQ3,1974)*(5-MIN(4,3+'5. Scenarios'!$C$8))/4+INDEX(BookQ4,1974)*(5-MIN(4,4+'5. Scenarios'!$C$8))/4)*'5. Scenarios'!$C$6/(1+ProductivityDefault*('5. Scenarios'!$C$11-1))+INDEX(BookOneOff,1974)*$I1979)</f>
        <v/>
      </c>
      <c r="N1979" s="56" t="str">
        <f aca="false">IF(INDEX(BookTitle,1974)="","",INDEX(BookTotal,1974)*'5. Scenarios'!$D$6/(1+ProductivityDefault*('5. Scenarios'!$D$11-1)))</f>
        <v/>
      </c>
      <c r="O1979" s="57" t="str">
        <f aca="false">IF($N1979="","",INDEX(BookRate,1974)*(1+'5. Scenarios'!$D$10)*$N1979)</f>
        <v/>
      </c>
      <c r="P1979" s="57" t="str">
        <f aca="false">IF($O1979="","",SUMIFS($O$6:$O$2405,$A$6:$A$2405,"&lt;="&amp;$A1979))</f>
        <v/>
      </c>
      <c r="Q1979" s="57" t="str">
        <f aca="false">IF($O1979="","",IF($P1979&lt;=BankCostEnvelope*'5. Scenarios'!$D$7,1,0))</f>
        <v/>
      </c>
      <c r="R1979" s="57" t="str">
        <f aca="false">IF($N1979="","",INDEX(BookRate,1974)*(1+'5. Scenarios'!$D$10)*(INDEX(BookQ1,1974)*(5-MIN(4,1+'5. Scenarios'!$D$8))/4+INDEX(BookQ2,1974)*(5-MIN(4,2+'5. Scenarios'!$D$8))/4+INDEX(BookQ3,1974)*(5-MIN(4,3+'5. Scenarios'!$D$8))/4+INDEX(BookQ4,1974)*(5-MIN(4,4+'5. Scenarios'!$D$8))/4)*'5. Scenarios'!$D$6/(1+ProductivityDefault*('5. Scenarios'!$D$11-1))+INDEX(BookOneOff,1974)*$N1979)</f>
        <v/>
      </c>
      <c r="S1979" s="56" t="str">
        <f aca="false">IF(INDEX(BookTitle,1974)="","",INDEX(BookTotal,1974)*'5. Scenarios'!$E$6/(1+ProductivityDefault*('5. Scenarios'!$E$11-1)))</f>
        <v/>
      </c>
      <c r="T1979" s="57" t="str">
        <f aca="false">IF($S1979="","",INDEX(BookRate,1974)*(1+'5. Scenarios'!$E$10)*$S1979)</f>
        <v/>
      </c>
      <c r="U1979" s="57" t="str">
        <f aca="false">IF($T1979="","",SUMIFS($T$6:$T$2405,$A$6:$A$2405,"&lt;="&amp;$A1979))</f>
        <v/>
      </c>
      <c r="V1979" s="57" t="str">
        <f aca="false">IF($T1979="","",IF($U1979&lt;=BankCostEnvelope*'5. Scenarios'!$E$7,1,0))</f>
        <v/>
      </c>
      <c r="W1979" s="57" t="str">
        <f aca="false">IF($S1979="","",INDEX(BookRate,1974)*(1+'5. Scenarios'!$E$10)*(INDEX(BookQ1,1974)*(5-MIN(4,1+'5. Scenarios'!$E$8))/4+INDEX(BookQ2,1974)*(5-MIN(4,2+'5. Scenarios'!$E$8))/4+INDEX(BookQ3,1974)*(5-MIN(4,3+'5. Scenarios'!$E$8))/4+INDEX(BookQ4,1974)*(5-MIN(4,4+'5. Scenarios'!$E$8))/4)*'5. Scenarios'!$E$6/(1+ProductivityDefault*('5. Scenarios'!$E$11-1))+INDEX(BookOneOff,1974)*$S1979)</f>
        <v/>
      </c>
    </row>
    <row r="1980" customFormat="false" ht="15" hidden="false" customHeight="false" outlineLevel="0" collapsed="false">
      <c r="A1980" s="0" t="str">
        <f aca="false">IF(INDEX(BookTitle,1975)="","",INDEX(BookKey,1975))</f>
        <v/>
      </c>
      <c r="B1980" s="0" t="str">
        <f aca="false">IF(INDEX(BookTitle,1975)="","",INDEX(BookGroup,1975))</f>
        <v/>
      </c>
      <c r="C1980" s="0" t="str">
        <f aca="false">IF(INDEX(BookTitle,1975)="","",INDEX(BookCategory,1975))</f>
        <v/>
      </c>
      <c r="D1980" s="56" t="str">
        <f aca="false">IF(INDEX(BookTitle,1975)="","",INDEX(BookTotal,1975)*'5. Scenarios'!$B$6/(1+ProductivityDefault*('5. Scenarios'!$B$11-1)))</f>
        <v/>
      </c>
      <c r="E1980" s="57" t="str">
        <f aca="false">IF($D1980="","",INDEX(BookRate,1975)*(1+'5. Scenarios'!$B$10)*$D1980)</f>
        <v/>
      </c>
      <c r="F1980" s="57" t="str">
        <f aca="false">IF($E1980="","",SUMIFS($E$6:$E$2405,$A$6:$A$2405,"&lt;="&amp;$A1980))</f>
        <v/>
      </c>
      <c r="G1980" s="57" t="str">
        <f aca="false">IF($E1980="","",IF($F1980&lt;=BankCostEnvelope*'5. Scenarios'!$B$7,1,0))</f>
        <v/>
      </c>
      <c r="H1980" s="57" t="str">
        <f aca="false">IF($D1980="","",INDEX(BookRate,1975)*(1+'5. Scenarios'!$B$10)*(INDEX(BookQ1,1975)*(5-MIN(4,1+'5. Scenarios'!$B$8))/4+INDEX(BookQ2,1975)*(5-MIN(4,2+'5. Scenarios'!$B$8))/4+INDEX(BookQ3,1975)*(5-MIN(4,3+'5. Scenarios'!$B$8))/4+INDEX(BookQ4,1975)*(5-MIN(4,4+'5. Scenarios'!$B$8))/4)*'5. Scenarios'!$B$6/(1+ProductivityDefault*('5. Scenarios'!$B$11-1))+INDEX(BookOneOff,1975)*$D1980)</f>
        <v/>
      </c>
      <c r="I1980" s="56" t="str">
        <f aca="false">IF(INDEX(BookTitle,1975)="","",INDEX(BookTotal,1975)*'5. Scenarios'!$C$6/(1+ProductivityDefault*('5. Scenarios'!$C$11-1)))</f>
        <v/>
      </c>
      <c r="J1980" s="57" t="str">
        <f aca="false">IF($I1980="","",INDEX(BookRate,1975)*(1+'5. Scenarios'!$C$10)*$I1980)</f>
        <v/>
      </c>
      <c r="K1980" s="57" t="str">
        <f aca="false">IF($J1980="","",SUMIFS($J$6:$J$2405,$A$6:$A$2405,"&lt;="&amp;$A1980))</f>
        <v/>
      </c>
      <c r="L1980" s="57" t="str">
        <f aca="false">IF($J1980="","",IF($K1980&lt;=BankCostEnvelope*'5. Scenarios'!$C$7,1,0))</f>
        <v/>
      </c>
      <c r="M1980" s="57" t="str">
        <f aca="false">IF($I1980="","",INDEX(BookRate,1975)*(1+'5. Scenarios'!$C$10)*(INDEX(BookQ1,1975)*(5-MIN(4,1+'5. Scenarios'!$C$8))/4+INDEX(BookQ2,1975)*(5-MIN(4,2+'5. Scenarios'!$C$8))/4+INDEX(BookQ3,1975)*(5-MIN(4,3+'5. Scenarios'!$C$8))/4+INDEX(BookQ4,1975)*(5-MIN(4,4+'5. Scenarios'!$C$8))/4)*'5. Scenarios'!$C$6/(1+ProductivityDefault*('5. Scenarios'!$C$11-1))+INDEX(BookOneOff,1975)*$I1980)</f>
        <v/>
      </c>
      <c r="N1980" s="56" t="str">
        <f aca="false">IF(INDEX(BookTitle,1975)="","",INDEX(BookTotal,1975)*'5. Scenarios'!$D$6/(1+ProductivityDefault*('5. Scenarios'!$D$11-1)))</f>
        <v/>
      </c>
      <c r="O1980" s="57" t="str">
        <f aca="false">IF($N1980="","",INDEX(BookRate,1975)*(1+'5. Scenarios'!$D$10)*$N1980)</f>
        <v/>
      </c>
      <c r="P1980" s="57" t="str">
        <f aca="false">IF($O1980="","",SUMIFS($O$6:$O$2405,$A$6:$A$2405,"&lt;="&amp;$A1980))</f>
        <v/>
      </c>
      <c r="Q1980" s="57" t="str">
        <f aca="false">IF($O1980="","",IF($P1980&lt;=BankCostEnvelope*'5. Scenarios'!$D$7,1,0))</f>
        <v/>
      </c>
      <c r="R1980" s="57" t="str">
        <f aca="false">IF($N1980="","",INDEX(BookRate,1975)*(1+'5. Scenarios'!$D$10)*(INDEX(BookQ1,1975)*(5-MIN(4,1+'5. Scenarios'!$D$8))/4+INDEX(BookQ2,1975)*(5-MIN(4,2+'5. Scenarios'!$D$8))/4+INDEX(BookQ3,1975)*(5-MIN(4,3+'5. Scenarios'!$D$8))/4+INDEX(BookQ4,1975)*(5-MIN(4,4+'5. Scenarios'!$D$8))/4)*'5. Scenarios'!$D$6/(1+ProductivityDefault*('5. Scenarios'!$D$11-1))+INDEX(BookOneOff,1975)*$N1980)</f>
        <v/>
      </c>
      <c r="S1980" s="56" t="str">
        <f aca="false">IF(INDEX(BookTitle,1975)="","",INDEX(BookTotal,1975)*'5. Scenarios'!$E$6/(1+ProductivityDefault*('5. Scenarios'!$E$11-1)))</f>
        <v/>
      </c>
      <c r="T1980" s="57" t="str">
        <f aca="false">IF($S1980="","",INDEX(BookRate,1975)*(1+'5. Scenarios'!$E$10)*$S1980)</f>
        <v/>
      </c>
      <c r="U1980" s="57" t="str">
        <f aca="false">IF($T1980="","",SUMIFS($T$6:$T$2405,$A$6:$A$2405,"&lt;="&amp;$A1980))</f>
        <v/>
      </c>
      <c r="V1980" s="57" t="str">
        <f aca="false">IF($T1980="","",IF($U1980&lt;=BankCostEnvelope*'5. Scenarios'!$E$7,1,0))</f>
        <v/>
      </c>
      <c r="W1980" s="57" t="str">
        <f aca="false">IF($S1980="","",INDEX(BookRate,1975)*(1+'5. Scenarios'!$E$10)*(INDEX(BookQ1,1975)*(5-MIN(4,1+'5. Scenarios'!$E$8))/4+INDEX(BookQ2,1975)*(5-MIN(4,2+'5. Scenarios'!$E$8))/4+INDEX(BookQ3,1975)*(5-MIN(4,3+'5. Scenarios'!$E$8))/4+INDEX(BookQ4,1975)*(5-MIN(4,4+'5. Scenarios'!$E$8))/4)*'5. Scenarios'!$E$6/(1+ProductivityDefault*('5. Scenarios'!$E$11-1))+INDEX(BookOneOff,1975)*$S1980)</f>
        <v/>
      </c>
    </row>
    <row r="1981" customFormat="false" ht="15" hidden="false" customHeight="false" outlineLevel="0" collapsed="false">
      <c r="A1981" s="0" t="str">
        <f aca="false">IF(INDEX(BookTitle,1976)="","",INDEX(BookKey,1976))</f>
        <v/>
      </c>
      <c r="B1981" s="0" t="str">
        <f aca="false">IF(INDEX(BookTitle,1976)="","",INDEX(BookGroup,1976))</f>
        <v/>
      </c>
      <c r="C1981" s="0" t="str">
        <f aca="false">IF(INDEX(BookTitle,1976)="","",INDEX(BookCategory,1976))</f>
        <v/>
      </c>
      <c r="D1981" s="56" t="str">
        <f aca="false">IF(INDEX(BookTitle,1976)="","",INDEX(BookTotal,1976)*'5. Scenarios'!$B$6/(1+ProductivityDefault*('5. Scenarios'!$B$11-1)))</f>
        <v/>
      </c>
      <c r="E1981" s="57" t="str">
        <f aca="false">IF($D1981="","",INDEX(BookRate,1976)*(1+'5. Scenarios'!$B$10)*$D1981)</f>
        <v/>
      </c>
      <c r="F1981" s="57" t="str">
        <f aca="false">IF($E1981="","",SUMIFS($E$6:$E$2405,$A$6:$A$2405,"&lt;="&amp;$A1981))</f>
        <v/>
      </c>
      <c r="G1981" s="57" t="str">
        <f aca="false">IF($E1981="","",IF($F1981&lt;=BankCostEnvelope*'5. Scenarios'!$B$7,1,0))</f>
        <v/>
      </c>
      <c r="H1981" s="57" t="str">
        <f aca="false">IF($D1981="","",INDEX(BookRate,1976)*(1+'5. Scenarios'!$B$10)*(INDEX(BookQ1,1976)*(5-MIN(4,1+'5. Scenarios'!$B$8))/4+INDEX(BookQ2,1976)*(5-MIN(4,2+'5. Scenarios'!$B$8))/4+INDEX(BookQ3,1976)*(5-MIN(4,3+'5. Scenarios'!$B$8))/4+INDEX(BookQ4,1976)*(5-MIN(4,4+'5. Scenarios'!$B$8))/4)*'5. Scenarios'!$B$6/(1+ProductivityDefault*('5. Scenarios'!$B$11-1))+INDEX(BookOneOff,1976)*$D1981)</f>
        <v/>
      </c>
      <c r="I1981" s="56" t="str">
        <f aca="false">IF(INDEX(BookTitle,1976)="","",INDEX(BookTotal,1976)*'5. Scenarios'!$C$6/(1+ProductivityDefault*('5. Scenarios'!$C$11-1)))</f>
        <v/>
      </c>
      <c r="J1981" s="57" t="str">
        <f aca="false">IF($I1981="","",INDEX(BookRate,1976)*(1+'5. Scenarios'!$C$10)*$I1981)</f>
        <v/>
      </c>
      <c r="K1981" s="57" t="str">
        <f aca="false">IF($J1981="","",SUMIFS($J$6:$J$2405,$A$6:$A$2405,"&lt;="&amp;$A1981))</f>
        <v/>
      </c>
      <c r="L1981" s="57" t="str">
        <f aca="false">IF($J1981="","",IF($K1981&lt;=BankCostEnvelope*'5. Scenarios'!$C$7,1,0))</f>
        <v/>
      </c>
      <c r="M1981" s="57" t="str">
        <f aca="false">IF($I1981="","",INDEX(BookRate,1976)*(1+'5. Scenarios'!$C$10)*(INDEX(BookQ1,1976)*(5-MIN(4,1+'5. Scenarios'!$C$8))/4+INDEX(BookQ2,1976)*(5-MIN(4,2+'5. Scenarios'!$C$8))/4+INDEX(BookQ3,1976)*(5-MIN(4,3+'5. Scenarios'!$C$8))/4+INDEX(BookQ4,1976)*(5-MIN(4,4+'5. Scenarios'!$C$8))/4)*'5. Scenarios'!$C$6/(1+ProductivityDefault*('5. Scenarios'!$C$11-1))+INDEX(BookOneOff,1976)*$I1981)</f>
        <v/>
      </c>
      <c r="N1981" s="56" t="str">
        <f aca="false">IF(INDEX(BookTitle,1976)="","",INDEX(BookTotal,1976)*'5. Scenarios'!$D$6/(1+ProductivityDefault*('5. Scenarios'!$D$11-1)))</f>
        <v/>
      </c>
      <c r="O1981" s="57" t="str">
        <f aca="false">IF($N1981="","",INDEX(BookRate,1976)*(1+'5. Scenarios'!$D$10)*$N1981)</f>
        <v/>
      </c>
      <c r="P1981" s="57" t="str">
        <f aca="false">IF($O1981="","",SUMIFS($O$6:$O$2405,$A$6:$A$2405,"&lt;="&amp;$A1981))</f>
        <v/>
      </c>
      <c r="Q1981" s="57" t="str">
        <f aca="false">IF($O1981="","",IF($P1981&lt;=BankCostEnvelope*'5. Scenarios'!$D$7,1,0))</f>
        <v/>
      </c>
      <c r="R1981" s="57" t="str">
        <f aca="false">IF($N1981="","",INDEX(BookRate,1976)*(1+'5. Scenarios'!$D$10)*(INDEX(BookQ1,1976)*(5-MIN(4,1+'5. Scenarios'!$D$8))/4+INDEX(BookQ2,1976)*(5-MIN(4,2+'5. Scenarios'!$D$8))/4+INDEX(BookQ3,1976)*(5-MIN(4,3+'5. Scenarios'!$D$8))/4+INDEX(BookQ4,1976)*(5-MIN(4,4+'5. Scenarios'!$D$8))/4)*'5. Scenarios'!$D$6/(1+ProductivityDefault*('5. Scenarios'!$D$11-1))+INDEX(BookOneOff,1976)*$N1981)</f>
        <v/>
      </c>
      <c r="S1981" s="56" t="str">
        <f aca="false">IF(INDEX(BookTitle,1976)="","",INDEX(BookTotal,1976)*'5. Scenarios'!$E$6/(1+ProductivityDefault*('5. Scenarios'!$E$11-1)))</f>
        <v/>
      </c>
      <c r="T1981" s="57" t="str">
        <f aca="false">IF($S1981="","",INDEX(BookRate,1976)*(1+'5. Scenarios'!$E$10)*$S1981)</f>
        <v/>
      </c>
      <c r="U1981" s="57" t="str">
        <f aca="false">IF($T1981="","",SUMIFS($T$6:$T$2405,$A$6:$A$2405,"&lt;="&amp;$A1981))</f>
        <v/>
      </c>
      <c r="V1981" s="57" t="str">
        <f aca="false">IF($T1981="","",IF($U1981&lt;=BankCostEnvelope*'5. Scenarios'!$E$7,1,0))</f>
        <v/>
      </c>
      <c r="W1981" s="57" t="str">
        <f aca="false">IF($S1981="","",INDEX(BookRate,1976)*(1+'5. Scenarios'!$E$10)*(INDEX(BookQ1,1976)*(5-MIN(4,1+'5. Scenarios'!$E$8))/4+INDEX(BookQ2,1976)*(5-MIN(4,2+'5. Scenarios'!$E$8))/4+INDEX(BookQ3,1976)*(5-MIN(4,3+'5. Scenarios'!$E$8))/4+INDEX(BookQ4,1976)*(5-MIN(4,4+'5. Scenarios'!$E$8))/4)*'5. Scenarios'!$E$6/(1+ProductivityDefault*('5. Scenarios'!$E$11-1))+INDEX(BookOneOff,1976)*$S1981)</f>
        <v/>
      </c>
    </row>
    <row r="1982" customFormat="false" ht="15" hidden="false" customHeight="false" outlineLevel="0" collapsed="false">
      <c r="A1982" s="0" t="str">
        <f aca="false">IF(INDEX(BookTitle,1977)="","",INDEX(BookKey,1977))</f>
        <v/>
      </c>
      <c r="B1982" s="0" t="str">
        <f aca="false">IF(INDEX(BookTitle,1977)="","",INDEX(BookGroup,1977))</f>
        <v/>
      </c>
      <c r="C1982" s="0" t="str">
        <f aca="false">IF(INDEX(BookTitle,1977)="","",INDEX(BookCategory,1977))</f>
        <v/>
      </c>
      <c r="D1982" s="56" t="str">
        <f aca="false">IF(INDEX(BookTitle,1977)="","",INDEX(BookTotal,1977)*'5. Scenarios'!$B$6/(1+ProductivityDefault*('5. Scenarios'!$B$11-1)))</f>
        <v/>
      </c>
      <c r="E1982" s="57" t="str">
        <f aca="false">IF($D1982="","",INDEX(BookRate,1977)*(1+'5. Scenarios'!$B$10)*$D1982)</f>
        <v/>
      </c>
      <c r="F1982" s="57" t="str">
        <f aca="false">IF($E1982="","",SUMIFS($E$6:$E$2405,$A$6:$A$2405,"&lt;="&amp;$A1982))</f>
        <v/>
      </c>
      <c r="G1982" s="57" t="str">
        <f aca="false">IF($E1982="","",IF($F1982&lt;=BankCostEnvelope*'5. Scenarios'!$B$7,1,0))</f>
        <v/>
      </c>
      <c r="H1982" s="57" t="str">
        <f aca="false">IF($D1982="","",INDEX(BookRate,1977)*(1+'5. Scenarios'!$B$10)*(INDEX(BookQ1,1977)*(5-MIN(4,1+'5. Scenarios'!$B$8))/4+INDEX(BookQ2,1977)*(5-MIN(4,2+'5. Scenarios'!$B$8))/4+INDEX(BookQ3,1977)*(5-MIN(4,3+'5. Scenarios'!$B$8))/4+INDEX(BookQ4,1977)*(5-MIN(4,4+'5. Scenarios'!$B$8))/4)*'5. Scenarios'!$B$6/(1+ProductivityDefault*('5. Scenarios'!$B$11-1))+INDEX(BookOneOff,1977)*$D1982)</f>
        <v/>
      </c>
      <c r="I1982" s="56" t="str">
        <f aca="false">IF(INDEX(BookTitle,1977)="","",INDEX(BookTotal,1977)*'5. Scenarios'!$C$6/(1+ProductivityDefault*('5. Scenarios'!$C$11-1)))</f>
        <v/>
      </c>
      <c r="J1982" s="57" t="str">
        <f aca="false">IF($I1982="","",INDEX(BookRate,1977)*(1+'5. Scenarios'!$C$10)*$I1982)</f>
        <v/>
      </c>
      <c r="K1982" s="57" t="str">
        <f aca="false">IF($J1982="","",SUMIFS($J$6:$J$2405,$A$6:$A$2405,"&lt;="&amp;$A1982))</f>
        <v/>
      </c>
      <c r="L1982" s="57" t="str">
        <f aca="false">IF($J1982="","",IF($K1982&lt;=BankCostEnvelope*'5. Scenarios'!$C$7,1,0))</f>
        <v/>
      </c>
      <c r="M1982" s="57" t="str">
        <f aca="false">IF($I1982="","",INDEX(BookRate,1977)*(1+'5. Scenarios'!$C$10)*(INDEX(BookQ1,1977)*(5-MIN(4,1+'5. Scenarios'!$C$8))/4+INDEX(BookQ2,1977)*(5-MIN(4,2+'5. Scenarios'!$C$8))/4+INDEX(BookQ3,1977)*(5-MIN(4,3+'5. Scenarios'!$C$8))/4+INDEX(BookQ4,1977)*(5-MIN(4,4+'5. Scenarios'!$C$8))/4)*'5. Scenarios'!$C$6/(1+ProductivityDefault*('5. Scenarios'!$C$11-1))+INDEX(BookOneOff,1977)*$I1982)</f>
        <v/>
      </c>
      <c r="N1982" s="56" t="str">
        <f aca="false">IF(INDEX(BookTitle,1977)="","",INDEX(BookTotal,1977)*'5. Scenarios'!$D$6/(1+ProductivityDefault*('5. Scenarios'!$D$11-1)))</f>
        <v/>
      </c>
      <c r="O1982" s="57" t="str">
        <f aca="false">IF($N1982="","",INDEX(BookRate,1977)*(1+'5. Scenarios'!$D$10)*$N1982)</f>
        <v/>
      </c>
      <c r="P1982" s="57" t="str">
        <f aca="false">IF($O1982="","",SUMIFS($O$6:$O$2405,$A$6:$A$2405,"&lt;="&amp;$A1982))</f>
        <v/>
      </c>
      <c r="Q1982" s="57" t="str">
        <f aca="false">IF($O1982="","",IF($P1982&lt;=BankCostEnvelope*'5. Scenarios'!$D$7,1,0))</f>
        <v/>
      </c>
      <c r="R1982" s="57" t="str">
        <f aca="false">IF($N1982="","",INDEX(BookRate,1977)*(1+'5. Scenarios'!$D$10)*(INDEX(BookQ1,1977)*(5-MIN(4,1+'5. Scenarios'!$D$8))/4+INDEX(BookQ2,1977)*(5-MIN(4,2+'5. Scenarios'!$D$8))/4+INDEX(BookQ3,1977)*(5-MIN(4,3+'5. Scenarios'!$D$8))/4+INDEX(BookQ4,1977)*(5-MIN(4,4+'5. Scenarios'!$D$8))/4)*'5. Scenarios'!$D$6/(1+ProductivityDefault*('5. Scenarios'!$D$11-1))+INDEX(BookOneOff,1977)*$N1982)</f>
        <v/>
      </c>
      <c r="S1982" s="56" t="str">
        <f aca="false">IF(INDEX(BookTitle,1977)="","",INDEX(BookTotal,1977)*'5. Scenarios'!$E$6/(1+ProductivityDefault*('5. Scenarios'!$E$11-1)))</f>
        <v/>
      </c>
      <c r="T1982" s="57" t="str">
        <f aca="false">IF($S1982="","",INDEX(BookRate,1977)*(1+'5. Scenarios'!$E$10)*$S1982)</f>
        <v/>
      </c>
      <c r="U1982" s="57" t="str">
        <f aca="false">IF($T1982="","",SUMIFS($T$6:$T$2405,$A$6:$A$2405,"&lt;="&amp;$A1982))</f>
        <v/>
      </c>
      <c r="V1982" s="57" t="str">
        <f aca="false">IF($T1982="","",IF($U1982&lt;=BankCostEnvelope*'5. Scenarios'!$E$7,1,0))</f>
        <v/>
      </c>
      <c r="W1982" s="57" t="str">
        <f aca="false">IF($S1982="","",INDEX(BookRate,1977)*(1+'5. Scenarios'!$E$10)*(INDEX(BookQ1,1977)*(5-MIN(4,1+'5. Scenarios'!$E$8))/4+INDEX(BookQ2,1977)*(5-MIN(4,2+'5. Scenarios'!$E$8))/4+INDEX(BookQ3,1977)*(5-MIN(4,3+'5. Scenarios'!$E$8))/4+INDEX(BookQ4,1977)*(5-MIN(4,4+'5. Scenarios'!$E$8))/4)*'5. Scenarios'!$E$6/(1+ProductivityDefault*('5. Scenarios'!$E$11-1))+INDEX(BookOneOff,1977)*$S1982)</f>
        <v/>
      </c>
    </row>
    <row r="1983" customFormat="false" ht="15" hidden="false" customHeight="false" outlineLevel="0" collapsed="false">
      <c r="A1983" s="0" t="str">
        <f aca="false">IF(INDEX(BookTitle,1978)="","",INDEX(BookKey,1978))</f>
        <v/>
      </c>
      <c r="B1983" s="0" t="str">
        <f aca="false">IF(INDEX(BookTitle,1978)="","",INDEX(BookGroup,1978))</f>
        <v/>
      </c>
      <c r="C1983" s="0" t="str">
        <f aca="false">IF(INDEX(BookTitle,1978)="","",INDEX(BookCategory,1978))</f>
        <v/>
      </c>
      <c r="D1983" s="56" t="str">
        <f aca="false">IF(INDEX(BookTitle,1978)="","",INDEX(BookTotal,1978)*'5. Scenarios'!$B$6/(1+ProductivityDefault*('5. Scenarios'!$B$11-1)))</f>
        <v/>
      </c>
      <c r="E1983" s="57" t="str">
        <f aca="false">IF($D1983="","",INDEX(BookRate,1978)*(1+'5. Scenarios'!$B$10)*$D1983)</f>
        <v/>
      </c>
      <c r="F1983" s="57" t="str">
        <f aca="false">IF($E1983="","",SUMIFS($E$6:$E$2405,$A$6:$A$2405,"&lt;="&amp;$A1983))</f>
        <v/>
      </c>
      <c r="G1983" s="57" t="str">
        <f aca="false">IF($E1983="","",IF($F1983&lt;=BankCostEnvelope*'5. Scenarios'!$B$7,1,0))</f>
        <v/>
      </c>
      <c r="H1983" s="57" t="str">
        <f aca="false">IF($D1983="","",INDEX(BookRate,1978)*(1+'5. Scenarios'!$B$10)*(INDEX(BookQ1,1978)*(5-MIN(4,1+'5. Scenarios'!$B$8))/4+INDEX(BookQ2,1978)*(5-MIN(4,2+'5. Scenarios'!$B$8))/4+INDEX(BookQ3,1978)*(5-MIN(4,3+'5. Scenarios'!$B$8))/4+INDEX(BookQ4,1978)*(5-MIN(4,4+'5. Scenarios'!$B$8))/4)*'5. Scenarios'!$B$6/(1+ProductivityDefault*('5. Scenarios'!$B$11-1))+INDEX(BookOneOff,1978)*$D1983)</f>
        <v/>
      </c>
      <c r="I1983" s="56" t="str">
        <f aca="false">IF(INDEX(BookTitle,1978)="","",INDEX(BookTotal,1978)*'5. Scenarios'!$C$6/(1+ProductivityDefault*('5. Scenarios'!$C$11-1)))</f>
        <v/>
      </c>
      <c r="J1983" s="57" t="str">
        <f aca="false">IF($I1983="","",INDEX(BookRate,1978)*(1+'5. Scenarios'!$C$10)*$I1983)</f>
        <v/>
      </c>
      <c r="K1983" s="57" t="str">
        <f aca="false">IF($J1983="","",SUMIFS($J$6:$J$2405,$A$6:$A$2405,"&lt;="&amp;$A1983))</f>
        <v/>
      </c>
      <c r="L1983" s="57" t="str">
        <f aca="false">IF($J1983="","",IF($K1983&lt;=BankCostEnvelope*'5. Scenarios'!$C$7,1,0))</f>
        <v/>
      </c>
      <c r="M1983" s="57" t="str">
        <f aca="false">IF($I1983="","",INDEX(BookRate,1978)*(1+'5. Scenarios'!$C$10)*(INDEX(BookQ1,1978)*(5-MIN(4,1+'5. Scenarios'!$C$8))/4+INDEX(BookQ2,1978)*(5-MIN(4,2+'5. Scenarios'!$C$8))/4+INDEX(BookQ3,1978)*(5-MIN(4,3+'5. Scenarios'!$C$8))/4+INDEX(BookQ4,1978)*(5-MIN(4,4+'5. Scenarios'!$C$8))/4)*'5. Scenarios'!$C$6/(1+ProductivityDefault*('5. Scenarios'!$C$11-1))+INDEX(BookOneOff,1978)*$I1983)</f>
        <v/>
      </c>
      <c r="N1983" s="56" t="str">
        <f aca="false">IF(INDEX(BookTitle,1978)="","",INDEX(BookTotal,1978)*'5. Scenarios'!$D$6/(1+ProductivityDefault*('5. Scenarios'!$D$11-1)))</f>
        <v/>
      </c>
      <c r="O1983" s="57" t="str">
        <f aca="false">IF($N1983="","",INDEX(BookRate,1978)*(1+'5. Scenarios'!$D$10)*$N1983)</f>
        <v/>
      </c>
      <c r="P1983" s="57" t="str">
        <f aca="false">IF($O1983="","",SUMIFS($O$6:$O$2405,$A$6:$A$2405,"&lt;="&amp;$A1983))</f>
        <v/>
      </c>
      <c r="Q1983" s="57" t="str">
        <f aca="false">IF($O1983="","",IF($P1983&lt;=BankCostEnvelope*'5. Scenarios'!$D$7,1,0))</f>
        <v/>
      </c>
      <c r="R1983" s="57" t="str">
        <f aca="false">IF($N1983="","",INDEX(BookRate,1978)*(1+'5. Scenarios'!$D$10)*(INDEX(BookQ1,1978)*(5-MIN(4,1+'5. Scenarios'!$D$8))/4+INDEX(BookQ2,1978)*(5-MIN(4,2+'5. Scenarios'!$D$8))/4+INDEX(BookQ3,1978)*(5-MIN(4,3+'5. Scenarios'!$D$8))/4+INDEX(BookQ4,1978)*(5-MIN(4,4+'5. Scenarios'!$D$8))/4)*'5. Scenarios'!$D$6/(1+ProductivityDefault*('5. Scenarios'!$D$11-1))+INDEX(BookOneOff,1978)*$N1983)</f>
        <v/>
      </c>
      <c r="S1983" s="56" t="str">
        <f aca="false">IF(INDEX(BookTitle,1978)="","",INDEX(BookTotal,1978)*'5. Scenarios'!$E$6/(1+ProductivityDefault*('5. Scenarios'!$E$11-1)))</f>
        <v/>
      </c>
      <c r="T1983" s="57" t="str">
        <f aca="false">IF($S1983="","",INDEX(BookRate,1978)*(1+'5. Scenarios'!$E$10)*$S1983)</f>
        <v/>
      </c>
      <c r="U1983" s="57" t="str">
        <f aca="false">IF($T1983="","",SUMIFS($T$6:$T$2405,$A$6:$A$2405,"&lt;="&amp;$A1983))</f>
        <v/>
      </c>
      <c r="V1983" s="57" t="str">
        <f aca="false">IF($T1983="","",IF($U1983&lt;=BankCostEnvelope*'5. Scenarios'!$E$7,1,0))</f>
        <v/>
      </c>
      <c r="W1983" s="57" t="str">
        <f aca="false">IF($S1983="","",INDEX(BookRate,1978)*(1+'5. Scenarios'!$E$10)*(INDEX(BookQ1,1978)*(5-MIN(4,1+'5. Scenarios'!$E$8))/4+INDEX(BookQ2,1978)*(5-MIN(4,2+'5. Scenarios'!$E$8))/4+INDEX(BookQ3,1978)*(5-MIN(4,3+'5. Scenarios'!$E$8))/4+INDEX(BookQ4,1978)*(5-MIN(4,4+'5. Scenarios'!$E$8))/4)*'5. Scenarios'!$E$6/(1+ProductivityDefault*('5. Scenarios'!$E$11-1))+INDEX(BookOneOff,1978)*$S1983)</f>
        <v/>
      </c>
    </row>
    <row r="1984" customFormat="false" ht="15" hidden="false" customHeight="false" outlineLevel="0" collapsed="false">
      <c r="A1984" s="0" t="str">
        <f aca="false">IF(INDEX(BookTitle,1979)="","",INDEX(BookKey,1979))</f>
        <v/>
      </c>
      <c r="B1984" s="0" t="str">
        <f aca="false">IF(INDEX(BookTitle,1979)="","",INDEX(BookGroup,1979))</f>
        <v/>
      </c>
      <c r="C1984" s="0" t="str">
        <f aca="false">IF(INDEX(BookTitle,1979)="","",INDEX(BookCategory,1979))</f>
        <v/>
      </c>
      <c r="D1984" s="56" t="str">
        <f aca="false">IF(INDEX(BookTitle,1979)="","",INDEX(BookTotal,1979)*'5. Scenarios'!$B$6/(1+ProductivityDefault*('5. Scenarios'!$B$11-1)))</f>
        <v/>
      </c>
      <c r="E1984" s="57" t="str">
        <f aca="false">IF($D1984="","",INDEX(BookRate,1979)*(1+'5. Scenarios'!$B$10)*$D1984)</f>
        <v/>
      </c>
      <c r="F1984" s="57" t="str">
        <f aca="false">IF($E1984="","",SUMIFS($E$6:$E$2405,$A$6:$A$2405,"&lt;="&amp;$A1984))</f>
        <v/>
      </c>
      <c r="G1984" s="57" t="str">
        <f aca="false">IF($E1984="","",IF($F1984&lt;=BankCostEnvelope*'5. Scenarios'!$B$7,1,0))</f>
        <v/>
      </c>
      <c r="H1984" s="57" t="str">
        <f aca="false">IF($D1984="","",INDEX(BookRate,1979)*(1+'5. Scenarios'!$B$10)*(INDEX(BookQ1,1979)*(5-MIN(4,1+'5. Scenarios'!$B$8))/4+INDEX(BookQ2,1979)*(5-MIN(4,2+'5. Scenarios'!$B$8))/4+INDEX(BookQ3,1979)*(5-MIN(4,3+'5. Scenarios'!$B$8))/4+INDEX(BookQ4,1979)*(5-MIN(4,4+'5. Scenarios'!$B$8))/4)*'5. Scenarios'!$B$6/(1+ProductivityDefault*('5. Scenarios'!$B$11-1))+INDEX(BookOneOff,1979)*$D1984)</f>
        <v/>
      </c>
      <c r="I1984" s="56" t="str">
        <f aca="false">IF(INDEX(BookTitle,1979)="","",INDEX(BookTotal,1979)*'5. Scenarios'!$C$6/(1+ProductivityDefault*('5. Scenarios'!$C$11-1)))</f>
        <v/>
      </c>
      <c r="J1984" s="57" t="str">
        <f aca="false">IF($I1984="","",INDEX(BookRate,1979)*(1+'5. Scenarios'!$C$10)*$I1984)</f>
        <v/>
      </c>
      <c r="K1984" s="57" t="str">
        <f aca="false">IF($J1984="","",SUMIFS($J$6:$J$2405,$A$6:$A$2405,"&lt;="&amp;$A1984))</f>
        <v/>
      </c>
      <c r="L1984" s="57" t="str">
        <f aca="false">IF($J1984="","",IF($K1984&lt;=BankCostEnvelope*'5. Scenarios'!$C$7,1,0))</f>
        <v/>
      </c>
      <c r="M1984" s="57" t="str">
        <f aca="false">IF($I1984="","",INDEX(BookRate,1979)*(1+'5. Scenarios'!$C$10)*(INDEX(BookQ1,1979)*(5-MIN(4,1+'5. Scenarios'!$C$8))/4+INDEX(BookQ2,1979)*(5-MIN(4,2+'5. Scenarios'!$C$8))/4+INDEX(BookQ3,1979)*(5-MIN(4,3+'5. Scenarios'!$C$8))/4+INDEX(BookQ4,1979)*(5-MIN(4,4+'5. Scenarios'!$C$8))/4)*'5. Scenarios'!$C$6/(1+ProductivityDefault*('5. Scenarios'!$C$11-1))+INDEX(BookOneOff,1979)*$I1984)</f>
        <v/>
      </c>
      <c r="N1984" s="56" t="str">
        <f aca="false">IF(INDEX(BookTitle,1979)="","",INDEX(BookTotal,1979)*'5. Scenarios'!$D$6/(1+ProductivityDefault*('5. Scenarios'!$D$11-1)))</f>
        <v/>
      </c>
      <c r="O1984" s="57" t="str">
        <f aca="false">IF($N1984="","",INDEX(BookRate,1979)*(1+'5. Scenarios'!$D$10)*$N1984)</f>
        <v/>
      </c>
      <c r="P1984" s="57" t="str">
        <f aca="false">IF($O1984="","",SUMIFS($O$6:$O$2405,$A$6:$A$2405,"&lt;="&amp;$A1984))</f>
        <v/>
      </c>
      <c r="Q1984" s="57" t="str">
        <f aca="false">IF($O1984="","",IF($P1984&lt;=BankCostEnvelope*'5. Scenarios'!$D$7,1,0))</f>
        <v/>
      </c>
      <c r="R1984" s="57" t="str">
        <f aca="false">IF($N1984="","",INDEX(BookRate,1979)*(1+'5. Scenarios'!$D$10)*(INDEX(BookQ1,1979)*(5-MIN(4,1+'5. Scenarios'!$D$8))/4+INDEX(BookQ2,1979)*(5-MIN(4,2+'5. Scenarios'!$D$8))/4+INDEX(BookQ3,1979)*(5-MIN(4,3+'5. Scenarios'!$D$8))/4+INDEX(BookQ4,1979)*(5-MIN(4,4+'5. Scenarios'!$D$8))/4)*'5. Scenarios'!$D$6/(1+ProductivityDefault*('5. Scenarios'!$D$11-1))+INDEX(BookOneOff,1979)*$N1984)</f>
        <v/>
      </c>
      <c r="S1984" s="56" t="str">
        <f aca="false">IF(INDEX(BookTitle,1979)="","",INDEX(BookTotal,1979)*'5. Scenarios'!$E$6/(1+ProductivityDefault*('5. Scenarios'!$E$11-1)))</f>
        <v/>
      </c>
      <c r="T1984" s="57" t="str">
        <f aca="false">IF($S1984="","",INDEX(BookRate,1979)*(1+'5. Scenarios'!$E$10)*$S1984)</f>
        <v/>
      </c>
      <c r="U1984" s="57" t="str">
        <f aca="false">IF($T1984="","",SUMIFS($T$6:$T$2405,$A$6:$A$2405,"&lt;="&amp;$A1984))</f>
        <v/>
      </c>
      <c r="V1984" s="57" t="str">
        <f aca="false">IF($T1984="","",IF($U1984&lt;=BankCostEnvelope*'5. Scenarios'!$E$7,1,0))</f>
        <v/>
      </c>
      <c r="W1984" s="57" t="str">
        <f aca="false">IF($S1984="","",INDEX(BookRate,1979)*(1+'5. Scenarios'!$E$10)*(INDEX(BookQ1,1979)*(5-MIN(4,1+'5. Scenarios'!$E$8))/4+INDEX(BookQ2,1979)*(5-MIN(4,2+'5. Scenarios'!$E$8))/4+INDEX(BookQ3,1979)*(5-MIN(4,3+'5. Scenarios'!$E$8))/4+INDEX(BookQ4,1979)*(5-MIN(4,4+'5. Scenarios'!$E$8))/4)*'5. Scenarios'!$E$6/(1+ProductivityDefault*('5. Scenarios'!$E$11-1))+INDEX(BookOneOff,1979)*$S1984)</f>
        <v/>
      </c>
    </row>
    <row r="1985" customFormat="false" ht="15" hidden="false" customHeight="false" outlineLevel="0" collapsed="false">
      <c r="A1985" s="0" t="str">
        <f aca="false">IF(INDEX(BookTitle,1980)="","",INDEX(BookKey,1980))</f>
        <v/>
      </c>
      <c r="B1985" s="0" t="str">
        <f aca="false">IF(INDEX(BookTitle,1980)="","",INDEX(BookGroup,1980))</f>
        <v/>
      </c>
      <c r="C1985" s="0" t="str">
        <f aca="false">IF(INDEX(BookTitle,1980)="","",INDEX(BookCategory,1980))</f>
        <v/>
      </c>
      <c r="D1985" s="56" t="str">
        <f aca="false">IF(INDEX(BookTitle,1980)="","",INDEX(BookTotal,1980)*'5. Scenarios'!$B$6/(1+ProductivityDefault*('5. Scenarios'!$B$11-1)))</f>
        <v/>
      </c>
      <c r="E1985" s="57" t="str">
        <f aca="false">IF($D1985="","",INDEX(BookRate,1980)*(1+'5. Scenarios'!$B$10)*$D1985)</f>
        <v/>
      </c>
      <c r="F1985" s="57" t="str">
        <f aca="false">IF($E1985="","",SUMIFS($E$6:$E$2405,$A$6:$A$2405,"&lt;="&amp;$A1985))</f>
        <v/>
      </c>
      <c r="G1985" s="57" t="str">
        <f aca="false">IF($E1985="","",IF($F1985&lt;=BankCostEnvelope*'5. Scenarios'!$B$7,1,0))</f>
        <v/>
      </c>
      <c r="H1985" s="57" t="str">
        <f aca="false">IF($D1985="","",INDEX(BookRate,1980)*(1+'5. Scenarios'!$B$10)*(INDEX(BookQ1,1980)*(5-MIN(4,1+'5. Scenarios'!$B$8))/4+INDEX(BookQ2,1980)*(5-MIN(4,2+'5. Scenarios'!$B$8))/4+INDEX(BookQ3,1980)*(5-MIN(4,3+'5. Scenarios'!$B$8))/4+INDEX(BookQ4,1980)*(5-MIN(4,4+'5. Scenarios'!$B$8))/4)*'5. Scenarios'!$B$6/(1+ProductivityDefault*('5. Scenarios'!$B$11-1))+INDEX(BookOneOff,1980)*$D1985)</f>
        <v/>
      </c>
      <c r="I1985" s="56" t="str">
        <f aca="false">IF(INDEX(BookTitle,1980)="","",INDEX(BookTotal,1980)*'5. Scenarios'!$C$6/(1+ProductivityDefault*('5. Scenarios'!$C$11-1)))</f>
        <v/>
      </c>
      <c r="J1985" s="57" t="str">
        <f aca="false">IF($I1985="","",INDEX(BookRate,1980)*(1+'5. Scenarios'!$C$10)*$I1985)</f>
        <v/>
      </c>
      <c r="K1985" s="57" t="str">
        <f aca="false">IF($J1985="","",SUMIFS($J$6:$J$2405,$A$6:$A$2405,"&lt;="&amp;$A1985))</f>
        <v/>
      </c>
      <c r="L1985" s="57" t="str">
        <f aca="false">IF($J1985="","",IF($K1985&lt;=BankCostEnvelope*'5. Scenarios'!$C$7,1,0))</f>
        <v/>
      </c>
      <c r="M1985" s="57" t="str">
        <f aca="false">IF($I1985="","",INDEX(BookRate,1980)*(1+'5. Scenarios'!$C$10)*(INDEX(BookQ1,1980)*(5-MIN(4,1+'5. Scenarios'!$C$8))/4+INDEX(BookQ2,1980)*(5-MIN(4,2+'5. Scenarios'!$C$8))/4+INDEX(BookQ3,1980)*(5-MIN(4,3+'5. Scenarios'!$C$8))/4+INDEX(BookQ4,1980)*(5-MIN(4,4+'5. Scenarios'!$C$8))/4)*'5. Scenarios'!$C$6/(1+ProductivityDefault*('5. Scenarios'!$C$11-1))+INDEX(BookOneOff,1980)*$I1985)</f>
        <v/>
      </c>
      <c r="N1985" s="56" t="str">
        <f aca="false">IF(INDEX(BookTitle,1980)="","",INDEX(BookTotal,1980)*'5. Scenarios'!$D$6/(1+ProductivityDefault*('5. Scenarios'!$D$11-1)))</f>
        <v/>
      </c>
      <c r="O1985" s="57" t="str">
        <f aca="false">IF($N1985="","",INDEX(BookRate,1980)*(1+'5. Scenarios'!$D$10)*$N1985)</f>
        <v/>
      </c>
      <c r="P1985" s="57" t="str">
        <f aca="false">IF($O1985="","",SUMIFS($O$6:$O$2405,$A$6:$A$2405,"&lt;="&amp;$A1985))</f>
        <v/>
      </c>
      <c r="Q1985" s="57" t="str">
        <f aca="false">IF($O1985="","",IF($P1985&lt;=BankCostEnvelope*'5. Scenarios'!$D$7,1,0))</f>
        <v/>
      </c>
      <c r="R1985" s="57" t="str">
        <f aca="false">IF($N1985="","",INDEX(BookRate,1980)*(1+'5. Scenarios'!$D$10)*(INDEX(BookQ1,1980)*(5-MIN(4,1+'5. Scenarios'!$D$8))/4+INDEX(BookQ2,1980)*(5-MIN(4,2+'5. Scenarios'!$D$8))/4+INDEX(BookQ3,1980)*(5-MIN(4,3+'5. Scenarios'!$D$8))/4+INDEX(BookQ4,1980)*(5-MIN(4,4+'5. Scenarios'!$D$8))/4)*'5. Scenarios'!$D$6/(1+ProductivityDefault*('5. Scenarios'!$D$11-1))+INDEX(BookOneOff,1980)*$N1985)</f>
        <v/>
      </c>
      <c r="S1985" s="56" t="str">
        <f aca="false">IF(INDEX(BookTitle,1980)="","",INDEX(BookTotal,1980)*'5. Scenarios'!$E$6/(1+ProductivityDefault*('5. Scenarios'!$E$11-1)))</f>
        <v/>
      </c>
      <c r="T1985" s="57" t="str">
        <f aca="false">IF($S1985="","",INDEX(BookRate,1980)*(1+'5. Scenarios'!$E$10)*$S1985)</f>
        <v/>
      </c>
      <c r="U1985" s="57" t="str">
        <f aca="false">IF($T1985="","",SUMIFS($T$6:$T$2405,$A$6:$A$2405,"&lt;="&amp;$A1985))</f>
        <v/>
      </c>
      <c r="V1985" s="57" t="str">
        <f aca="false">IF($T1985="","",IF($U1985&lt;=BankCostEnvelope*'5. Scenarios'!$E$7,1,0))</f>
        <v/>
      </c>
      <c r="W1985" s="57" t="str">
        <f aca="false">IF($S1985="","",INDEX(BookRate,1980)*(1+'5. Scenarios'!$E$10)*(INDEX(BookQ1,1980)*(5-MIN(4,1+'5. Scenarios'!$E$8))/4+INDEX(BookQ2,1980)*(5-MIN(4,2+'5. Scenarios'!$E$8))/4+INDEX(BookQ3,1980)*(5-MIN(4,3+'5. Scenarios'!$E$8))/4+INDEX(BookQ4,1980)*(5-MIN(4,4+'5. Scenarios'!$E$8))/4)*'5. Scenarios'!$E$6/(1+ProductivityDefault*('5. Scenarios'!$E$11-1))+INDEX(BookOneOff,1980)*$S1985)</f>
        <v/>
      </c>
    </row>
    <row r="1986" customFormat="false" ht="15" hidden="false" customHeight="false" outlineLevel="0" collapsed="false">
      <c r="A1986" s="0" t="str">
        <f aca="false">IF(INDEX(BookTitle,1981)="","",INDEX(BookKey,1981))</f>
        <v/>
      </c>
      <c r="B1986" s="0" t="str">
        <f aca="false">IF(INDEX(BookTitle,1981)="","",INDEX(BookGroup,1981))</f>
        <v/>
      </c>
      <c r="C1986" s="0" t="str">
        <f aca="false">IF(INDEX(BookTitle,1981)="","",INDEX(BookCategory,1981))</f>
        <v/>
      </c>
      <c r="D1986" s="56" t="str">
        <f aca="false">IF(INDEX(BookTitle,1981)="","",INDEX(BookTotal,1981)*'5. Scenarios'!$B$6/(1+ProductivityDefault*('5. Scenarios'!$B$11-1)))</f>
        <v/>
      </c>
      <c r="E1986" s="57" t="str">
        <f aca="false">IF($D1986="","",INDEX(BookRate,1981)*(1+'5. Scenarios'!$B$10)*$D1986)</f>
        <v/>
      </c>
      <c r="F1986" s="57" t="str">
        <f aca="false">IF($E1986="","",SUMIFS($E$6:$E$2405,$A$6:$A$2405,"&lt;="&amp;$A1986))</f>
        <v/>
      </c>
      <c r="G1986" s="57" t="str">
        <f aca="false">IF($E1986="","",IF($F1986&lt;=BankCostEnvelope*'5. Scenarios'!$B$7,1,0))</f>
        <v/>
      </c>
      <c r="H1986" s="57" t="str">
        <f aca="false">IF($D1986="","",INDEX(BookRate,1981)*(1+'5. Scenarios'!$B$10)*(INDEX(BookQ1,1981)*(5-MIN(4,1+'5. Scenarios'!$B$8))/4+INDEX(BookQ2,1981)*(5-MIN(4,2+'5. Scenarios'!$B$8))/4+INDEX(BookQ3,1981)*(5-MIN(4,3+'5. Scenarios'!$B$8))/4+INDEX(BookQ4,1981)*(5-MIN(4,4+'5. Scenarios'!$B$8))/4)*'5. Scenarios'!$B$6/(1+ProductivityDefault*('5. Scenarios'!$B$11-1))+INDEX(BookOneOff,1981)*$D1986)</f>
        <v/>
      </c>
      <c r="I1986" s="56" t="str">
        <f aca="false">IF(INDEX(BookTitle,1981)="","",INDEX(BookTotal,1981)*'5. Scenarios'!$C$6/(1+ProductivityDefault*('5. Scenarios'!$C$11-1)))</f>
        <v/>
      </c>
      <c r="J1986" s="57" t="str">
        <f aca="false">IF($I1986="","",INDEX(BookRate,1981)*(1+'5. Scenarios'!$C$10)*$I1986)</f>
        <v/>
      </c>
      <c r="K1986" s="57" t="str">
        <f aca="false">IF($J1986="","",SUMIFS($J$6:$J$2405,$A$6:$A$2405,"&lt;="&amp;$A1986))</f>
        <v/>
      </c>
      <c r="L1986" s="57" t="str">
        <f aca="false">IF($J1986="","",IF($K1986&lt;=BankCostEnvelope*'5. Scenarios'!$C$7,1,0))</f>
        <v/>
      </c>
      <c r="M1986" s="57" t="str">
        <f aca="false">IF($I1986="","",INDEX(BookRate,1981)*(1+'5. Scenarios'!$C$10)*(INDEX(BookQ1,1981)*(5-MIN(4,1+'5. Scenarios'!$C$8))/4+INDEX(BookQ2,1981)*(5-MIN(4,2+'5. Scenarios'!$C$8))/4+INDEX(BookQ3,1981)*(5-MIN(4,3+'5. Scenarios'!$C$8))/4+INDEX(BookQ4,1981)*(5-MIN(4,4+'5. Scenarios'!$C$8))/4)*'5. Scenarios'!$C$6/(1+ProductivityDefault*('5. Scenarios'!$C$11-1))+INDEX(BookOneOff,1981)*$I1986)</f>
        <v/>
      </c>
      <c r="N1986" s="56" t="str">
        <f aca="false">IF(INDEX(BookTitle,1981)="","",INDEX(BookTotal,1981)*'5. Scenarios'!$D$6/(1+ProductivityDefault*('5. Scenarios'!$D$11-1)))</f>
        <v/>
      </c>
      <c r="O1986" s="57" t="str">
        <f aca="false">IF($N1986="","",INDEX(BookRate,1981)*(1+'5. Scenarios'!$D$10)*$N1986)</f>
        <v/>
      </c>
      <c r="P1986" s="57" t="str">
        <f aca="false">IF($O1986="","",SUMIFS($O$6:$O$2405,$A$6:$A$2405,"&lt;="&amp;$A1986))</f>
        <v/>
      </c>
      <c r="Q1986" s="57" t="str">
        <f aca="false">IF($O1986="","",IF($P1986&lt;=BankCostEnvelope*'5. Scenarios'!$D$7,1,0))</f>
        <v/>
      </c>
      <c r="R1986" s="57" t="str">
        <f aca="false">IF($N1986="","",INDEX(BookRate,1981)*(1+'5. Scenarios'!$D$10)*(INDEX(BookQ1,1981)*(5-MIN(4,1+'5. Scenarios'!$D$8))/4+INDEX(BookQ2,1981)*(5-MIN(4,2+'5. Scenarios'!$D$8))/4+INDEX(BookQ3,1981)*(5-MIN(4,3+'5. Scenarios'!$D$8))/4+INDEX(BookQ4,1981)*(5-MIN(4,4+'5. Scenarios'!$D$8))/4)*'5. Scenarios'!$D$6/(1+ProductivityDefault*('5. Scenarios'!$D$11-1))+INDEX(BookOneOff,1981)*$N1986)</f>
        <v/>
      </c>
      <c r="S1986" s="56" t="str">
        <f aca="false">IF(INDEX(BookTitle,1981)="","",INDEX(BookTotal,1981)*'5. Scenarios'!$E$6/(1+ProductivityDefault*('5. Scenarios'!$E$11-1)))</f>
        <v/>
      </c>
      <c r="T1986" s="57" t="str">
        <f aca="false">IF($S1986="","",INDEX(BookRate,1981)*(1+'5. Scenarios'!$E$10)*$S1986)</f>
        <v/>
      </c>
      <c r="U1986" s="57" t="str">
        <f aca="false">IF($T1986="","",SUMIFS($T$6:$T$2405,$A$6:$A$2405,"&lt;="&amp;$A1986))</f>
        <v/>
      </c>
      <c r="V1986" s="57" t="str">
        <f aca="false">IF($T1986="","",IF($U1986&lt;=BankCostEnvelope*'5. Scenarios'!$E$7,1,0))</f>
        <v/>
      </c>
      <c r="W1986" s="57" t="str">
        <f aca="false">IF($S1986="","",INDEX(BookRate,1981)*(1+'5. Scenarios'!$E$10)*(INDEX(BookQ1,1981)*(5-MIN(4,1+'5. Scenarios'!$E$8))/4+INDEX(BookQ2,1981)*(5-MIN(4,2+'5. Scenarios'!$E$8))/4+INDEX(BookQ3,1981)*(5-MIN(4,3+'5. Scenarios'!$E$8))/4+INDEX(BookQ4,1981)*(5-MIN(4,4+'5. Scenarios'!$E$8))/4)*'5. Scenarios'!$E$6/(1+ProductivityDefault*('5. Scenarios'!$E$11-1))+INDEX(BookOneOff,1981)*$S1986)</f>
        <v/>
      </c>
    </row>
    <row r="1987" customFormat="false" ht="15" hidden="false" customHeight="false" outlineLevel="0" collapsed="false">
      <c r="A1987" s="0" t="str">
        <f aca="false">IF(INDEX(BookTitle,1982)="","",INDEX(BookKey,1982))</f>
        <v/>
      </c>
      <c r="B1987" s="0" t="str">
        <f aca="false">IF(INDEX(BookTitle,1982)="","",INDEX(BookGroup,1982))</f>
        <v/>
      </c>
      <c r="C1987" s="0" t="str">
        <f aca="false">IF(INDEX(BookTitle,1982)="","",INDEX(BookCategory,1982))</f>
        <v/>
      </c>
      <c r="D1987" s="56" t="str">
        <f aca="false">IF(INDEX(BookTitle,1982)="","",INDEX(BookTotal,1982)*'5. Scenarios'!$B$6/(1+ProductivityDefault*('5. Scenarios'!$B$11-1)))</f>
        <v/>
      </c>
      <c r="E1987" s="57" t="str">
        <f aca="false">IF($D1987="","",INDEX(BookRate,1982)*(1+'5. Scenarios'!$B$10)*$D1987)</f>
        <v/>
      </c>
      <c r="F1987" s="57" t="str">
        <f aca="false">IF($E1987="","",SUMIFS($E$6:$E$2405,$A$6:$A$2405,"&lt;="&amp;$A1987))</f>
        <v/>
      </c>
      <c r="G1987" s="57" t="str">
        <f aca="false">IF($E1987="","",IF($F1987&lt;=BankCostEnvelope*'5. Scenarios'!$B$7,1,0))</f>
        <v/>
      </c>
      <c r="H1987" s="57" t="str">
        <f aca="false">IF($D1987="","",INDEX(BookRate,1982)*(1+'5. Scenarios'!$B$10)*(INDEX(BookQ1,1982)*(5-MIN(4,1+'5. Scenarios'!$B$8))/4+INDEX(BookQ2,1982)*(5-MIN(4,2+'5. Scenarios'!$B$8))/4+INDEX(BookQ3,1982)*(5-MIN(4,3+'5. Scenarios'!$B$8))/4+INDEX(BookQ4,1982)*(5-MIN(4,4+'5. Scenarios'!$B$8))/4)*'5. Scenarios'!$B$6/(1+ProductivityDefault*('5. Scenarios'!$B$11-1))+INDEX(BookOneOff,1982)*$D1987)</f>
        <v/>
      </c>
      <c r="I1987" s="56" t="str">
        <f aca="false">IF(INDEX(BookTitle,1982)="","",INDEX(BookTotal,1982)*'5. Scenarios'!$C$6/(1+ProductivityDefault*('5. Scenarios'!$C$11-1)))</f>
        <v/>
      </c>
      <c r="J1987" s="57" t="str">
        <f aca="false">IF($I1987="","",INDEX(BookRate,1982)*(1+'5. Scenarios'!$C$10)*$I1987)</f>
        <v/>
      </c>
      <c r="K1987" s="57" t="str">
        <f aca="false">IF($J1987="","",SUMIFS($J$6:$J$2405,$A$6:$A$2405,"&lt;="&amp;$A1987))</f>
        <v/>
      </c>
      <c r="L1987" s="57" t="str">
        <f aca="false">IF($J1987="","",IF($K1987&lt;=BankCostEnvelope*'5. Scenarios'!$C$7,1,0))</f>
        <v/>
      </c>
      <c r="M1987" s="57" t="str">
        <f aca="false">IF($I1987="","",INDEX(BookRate,1982)*(1+'5. Scenarios'!$C$10)*(INDEX(BookQ1,1982)*(5-MIN(4,1+'5. Scenarios'!$C$8))/4+INDEX(BookQ2,1982)*(5-MIN(4,2+'5. Scenarios'!$C$8))/4+INDEX(BookQ3,1982)*(5-MIN(4,3+'5. Scenarios'!$C$8))/4+INDEX(BookQ4,1982)*(5-MIN(4,4+'5. Scenarios'!$C$8))/4)*'5. Scenarios'!$C$6/(1+ProductivityDefault*('5. Scenarios'!$C$11-1))+INDEX(BookOneOff,1982)*$I1987)</f>
        <v/>
      </c>
      <c r="N1987" s="56" t="str">
        <f aca="false">IF(INDEX(BookTitle,1982)="","",INDEX(BookTotal,1982)*'5. Scenarios'!$D$6/(1+ProductivityDefault*('5. Scenarios'!$D$11-1)))</f>
        <v/>
      </c>
      <c r="O1987" s="57" t="str">
        <f aca="false">IF($N1987="","",INDEX(BookRate,1982)*(1+'5. Scenarios'!$D$10)*$N1987)</f>
        <v/>
      </c>
      <c r="P1987" s="57" t="str">
        <f aca="false">IF($O1987="","",SUMIFS($O$6:$O$2405,$A$6:$A$2405,"&lt;="&amp;$A1987))</f>
        <v/>
      </c>
      <c r="Q1987" s="57" t="str">
        <f aca="false">IF($O1987="","",IF($P1987&lt;=BankCostEnvelope*'5. Scenarios'!$D$7,1,0))</f>
        <v/>
      </c>
      <c r="R1987" s="57" t="str">
        <f aca="false">IF($N1987="","",INDEX(BookRate,1982)*(1+'5. Scenarios'!$D$10)*(INDEX(BookQ1,1982)*(5-MIN(4,1+'5. Scenarios'!$D$8))/4+INDEX(BookQ2,1982)*(5-MIN(4,2+'5. Scenarios'!$D$8))/4+INDEX(BookQ3,1982)*(5-MIN(4,3+'5. Scenarios'!$D$8))/4+INDEX(BookQ4,1982)*(5-MIN(4,4+'5. Scenarios'!$D$8))/4)*'5. Scenarios'!$D$6/(1+ProductivityDefault*('5. Scenarios'!$D$11-1))+INDEX(BookOneOff,1982)*$N1987)</f>
        <v/>
      </c>
      <c r="S1987" s="56" t="str">
        <f aca="false">IF(INDEX(BookTitle,1982)="","",INDEX(BookTotal,1982)*'5. Scenarios'!$E$6/(1+ProductivityDefault*('5. Scenarios'!$E$11-1)))</f>
        <v/>
      </c>
      <c r="T1987" s="57" t="str">
        <f aca="false">IF($S1987="","",INDEX(BookRate,1982)*(1+'5. Scenarios'!$E$10)*$S1987)</f>
        <v/>
      </c>
      <c r="U1987" s="57" t="str">
        <f aca="false">IF($T1987="","",SUMIFS($T$6:$T$2405,$A$6:$A$2405,"&lt;="&amp;$A1987))</f>
        <v/>
      </c>
      <c r="V1987" s="57" t="str">
        <f aca="false">IF($T1987="","",IF($U1987&lt;=BankCostEnvelope*'5. Scenarios'!$E$7,1,0))</f>
        <v/>
      </c>
      <c r="W1987" s="57" t="str">
        <f aca="false">IF($S1987="","",INDEX(BookRate,1982)*(1+'5. Scenarios'!$E$10)*(INDEX(BookQ1,1982)*(5-MIN(4,1+'5. Scenarios'!$E$8))/4+INDEX(BookQ2,1982)*(5-MIN(4,2+'5. Scenarios'!$E$8))/4+INDEX(BookQ3,1982)*(5-MIN(4,3+'5. Scenarios'!$E$8))/4+INDEX(BookQ4,1982)*(5-MIN(4,4+'5. Scenarios'!$E$8))/4)*'5. Scenarios'!$E$6/(1+ProductivityDefault*('5. Scenarios'!$E$11-1))+INDEX(BookOneOff,1982)*$S1987)</f>
        <v/>
      </c>
    </row>
    <row r="1988" customFormat="false" ht="15" hidden="false" customHeight="false" outlineLevel="0" collapsed="false">
      <c r="A1988" s="0" t="str">
        <f aca="false">IF(INDEX(BookTitle,1983)="","",INDEX(BookKey,1983))</f>
        <v/>
      </c>
      <c r="B1988" s="0" t="str">
        <f aca="false">IF(INDEX(BookTitle,1983)="","",INDEX(BookGroup,1983))</f>
        <v/>
      </c>
      <c r="C1988" s="0" t="str">
        <f aca="false">IF(INDEX(BookTitle,1983)="","",INDEX(BookCategory,1983))</f>
        <v/>
      </c>
      <c r="D1988" s="56" t="str">
        <f aca="false">IF(INDEX(BookTitle,1983)="","",INDEX(BookTotal,1983)*'5. Scenarios'!$B$6/(1+ProductivityDefault*('5. Scenarios'!$B$11-1)))</f>
        <v/>
      </c>
      <c r="E1988" s="57" t="str">
        <f aca="false">IF($D1988="","",INDEX(BookRate,1983)*(1+'5. Scenarios'!$B$10)*$D1988)</f>
        <v/>
      </c>
      <c r="F1988" s="57" t="str">
        <f aca="false">IF($E1988="","",SUMIFS($E$6:$E$2405,$A$6:$A$2405,"&lt;="&amp;$A1988))</f>
        <v/>
      </c>
      <c r="G1988" s="57" t="str">
        <f aca="false">IF($E1988="","",IF($F1988&lt;=BankCostEnvelope*'5. Scenarios'!$B$7,1,0))</f>
        <v/>
      </c>
      <c r="H1988" s="57" t="str">
        <f aca="false">IF($D1988="","",INDEX(BookRate,1983)*(1+'5. Scenarios'!$B$10)*(INDEX(BookQ1,1983)*(5-MIN(4,1+'5. Scenarios'!$B$8))/4+INDEX(BookQ2,1983)*(5-MIN(4,2+'5. Scenarios'!$B$8))/4+INDEX(BookQ3,1983)*(5-MIN(4,3+'5. Scenarios'!$B$8))/4+INDEX(BookQ4,1983)*(5-MIN(4,4+'5. Scenarios'!$B$8))/4)*'5. Scenarios'!$B$6/(1+ProductivityDefault*('5. Scenarios'!$B$11-1))+INDEX(BookOneOff,1983)*$D1988)</f>
        <v/>
      </c>
      <c r="I1988" s="56" t="str">
        <f aca="false">IF(INDEX(BookTitle,1983)="","",INDEX(BookTotal,1983)*'5. Scenarios'!$C$6/(1+ProductivityDefault*('5. Scenarios'!$C$11-1)))</f>
        <v/>
      </c>
      <c r="J1988" s="57" t="str">
        <f aca="false">IF($I1988="","",INDEX(BookRate,1983)*(1+'5. Scenarios'!$C$10)*$I1988)</f>
        <v/>
      </c>
      <c r="K1988" s="57" t="str">
        <f aca="false">IF($J1988="","",SUMIFS($J$6:$J$2405,$A$6:$A$2405,"&lt;="&amp;$A1988))</f>
        <v/>
      </c>
      <c r="L1988" s="57" t="str">
        <f aca="false">IF($J1988="","",IF($K1988&lt;=BankCostEnvelope*'5. Scenarios'!$C$7,1,0))</f>
        <v/>
      </c>
      <c r="M1988" s="57" t="str">
        <f aca="false">IF($I1988="","",INDEX(BookRate,1983)*(1+'5. Scenarios'!$C$10)*(INDEX(BookQ1,1983)*(5-MIN(4,1+'5. Scenarios'!$C$8))/4+INDEX(BookQ2,1983)*(5-MIN(4,2+'5. Scenarios'!$C$8))/4+INDEX(BookQ3,1983)*(5-MIN(4,3+'5. Scenarios'!$C$8))/4+INDEX(BookQ4,1983)*(5-MIN(4,4+'5. Scenarios'!$C$8))/4)*'5. Scenarios'!$C$6/(1+ProductivityDefault*('5. Scenarios'!$C$11-1))+INDEX(BookOneOff,1983)*$I1988)</f>
        <v/>
      </c>
      <c r="N1988" s="56" t="str">
        <f aca="false">IF(INDEX(BookTitle,1983)="","",INDEX(BookTotal,1983)*'5. Scenarios'!$D$6/(1+ProductivityDefault*('5. Scenarios'!$D$11-1)))</f>
        <v/>
      </c>
      <c r="O1988" s="57" t="str">
        <f aca="false">IF($N1988="","",INDEX(BookRate,1983)*(1+'5. Scenarios'!$D$10)*$N1988)</f>
        <v/>
      </c>
      <c r="P1988" s="57" t="str">
        <f aca="false">IF($O1988="","",SUMIFS($O$6:$O$2405,$A$6:$A$2405,"&lt;="&amp;$A1988))</f>
        <v/>
      </c>
      <c r="Q1988" s="57" t="str">
        <f aca="false">IF($O1988="","",IF($P1988&lt;=BankCostEnvelope*'5. Scenarios'!$D$7,1,0))</f>
        <v/>
      </c>
      <c r="R1988" s="57" t="str">
        <f aca="false">IF($N1988="","",INDEX(BookRate,1983)*(1+'5. Scenarios'!$D$10)*(INDEX(BookQ1,1983)*(5-MIN(4,1+'5. Scenarios'!$D$8))/4+INDEX(BookQ2,1983)*(5-MIN(4,2+'5. Scenarios'!$D$8))/4+INDEX(BookQ3,1983)*(5-MIN(4,3+'5. Scenarios'!$D$8))/4+INDEX(BookQ4,1983)*(5-MIN(4,4+'5. Scenarios'!$D$8))/4)*'5. Scenarios'!$D$6/(1+ProductivityDefault*('5. Scenarios'!$D$11-1))+INDEX(BookOneOff,1983)*$N1988)</f>
        <v/>
      </c>
      <c r="S1988" s="56" t="str">
        <f aca="false">IF(INDEX(BookTitle,1983)="","",INDEX(BookTotal,1983)*'5. Scenarios'!$E$6/(1+ProductivityDefault*('5. Scenarios'!$E$11-1)))</f>
        <v/>
      </c>
      <c r="T1988" s="57" t="str">
        <f aca="false">IF($S1988="","",INDEX(BookRate,1983)*(1+'5. Scenarios'!$E$10)*$S1988)</f>
        <v/>
      </c>
      <c r="U1988" s="57" t="str">
        <f aca="false">IF($T1988="","",SUMIFS($T$6:$T$2405,$A$6:$A$2405,"&lt;="&amp;$A1988))</f>
        <v/>
      </c>
      <c r="V1988" s="57" t="str">
        <f aca="false">IF($T1988="","",IF($U1988&lt;=BankCostEnvelope*'5. Scenarios'!$E$7,1,0))</f>
        <v/>
      </c>
      <c r="W1988" s="57" t="str">
        <f aca="false">IF($S1988="","",INDEX(BookRate,1983)*(1+'5. Scenarios'!$E$10)*(INDEX(BookQ1,1983)*(5-MIN(4,1+'5. Scenarios'!$E$8))/4+INDEX(BookQ2,1983)*(5-MIN(4,2+'5. Scenarios'!$E$8))/4+INDEX(BookQ3,1983)*(5-MIN(4,3+'5. Scenarios'!$E$8))/4+INDEX(BookQ4,1983)*(5-MIN(4,4+'5. Scenarios'!$E$8))/4)*'5. Scenarios'!$E$6/(1+ProductivityDefault*('5. Scenarios'!$E$11-1))+INDEX(BookOneOff,1983)*$S1988)</f>
        <v/>
      </c>
    </row>
    <row r="1989" customFormat="false" ht="15" hidden="false" customHeight="false" outlineLevel="0" collapsed="false">
      <c r="A1989" s="0" t="str">
        <f aca="false">IF(INDEX(BookTitle,1984)="","",INDEX(BookKey,1984))</f>
        <v/>
      </c>
      <c r="B1989" s="0" t="str">
        <f aca="false">IF(INDEX(BookTitle,1984)="","",INDEX(BookGroup,1984))</f>
        <v/>
      </c>
      <c r="C1989" s="0" t="str">
        <f aca="false">IF(INDEX(BookTitle,1984)="","",INDEX(BookCategory,1984))</f>
        <v/>
      </c>
      <c r="D1989" s="56" t="str">
        <f aca="false">IF(INDEX(BookTitle,1984)="","",INDEX(BookTotal,1984)*'5. Scenarios'!$B$6/(1+ProductivityDefault*('5. Scenarios'!$B$11-1)))</f>
        <v/>
      </c>
      <c r="E1989" s="57" t="str">
        <f aca="false">IF($D1989="","",INDEX(BookRate,1984)*(1+'5. Scenarios'!$B$10)*$D1989)</f>
        <v/>
      </c>
      <c r="F1989" s="57" t="str">
        <f aca="false">IF($E1989="","",SUMIFS($E$6:$E$2405,$A$6:$A$2405,"&lt;="&amp;$A1989))</f>
        <v/>
      </c>
      <c r="G1989" s="57" t="str">
        <f aca="false">IF($E1989="","",IF($F1989&lt;=BankCostEnvelope*'5. Scenarios'!$B$7,1,0))</f>
        <v/>
      </c>
      <c r="H1989" s="57" t="str">
        <f aca="false">IF($D1989="","",INDEX(BookRate,1984)*(1+'5. Scenarios'!$B$10)*(INDEX(BookQ1,1984)*(5-MIN(4,1+'5. Scenarios'!$B$8))/4+INDEX(BookQ2,1984)*(5-MIN(4,2+'5. Scenarios'!$B$8))/4+INDEX(BookQ3,1984)*(5-MIN(4,3+'5. Scenarios'!$B$8))/4+INDEX(BookQ4,1984)*(5-MIN(4,4+'5. Scenarios'!$B$8))/4)*'5. Scenarios'!$B$6/(1+ProductivityDefault*('5. Scenarios'!$B$11-1))+INDEX(BookOneOff,1984)*$D1989)</f>
        <v/>
      </c>
      <c r="I1989" s="56" t="str">
        <f aca="false">IF(INDEX(BookTitle,1984)="","",INDEX(BookTotal,1984)*'5. Scenarios'!$C$6/(1+ProductivityDefault*('5. Scenarios'!$C$11-1)))</f>
        <v/>
      </c>
      <c r="J1989" s="57" t="str">
        <f aca="false">IF($I1989="","",INDEX(BookRate,1984)*(1+'5. Scenarios'!$C$10)*$I1989)</f>
        <v/>
      </c>
      <c r="K1989" s="57" t="str">
        <f aca="false">IF($J1989="","",SUMIFS($J$6:$J$2405,$A$6:$A$2405,"&lt;="&amp;$A1989))</f>
        <v/>
      </c>
      <c r="L1989" s="57" t="str">
        <f aca="false">IF($J1989="","",IF($K1989&lt;=BankCostEnvelope*'5. Scenarios'!$C$7,1,0))</f>
        <v/>
      </c>
      <c r="M1989" s="57" t="str">
        <f aca="false">IF($I1989="","",INDEX(BookRate,1984)*(1+'5. Scenarios'!$C$10)*(INDEX(BookQ1,1984)*(5-MIN(4,1+'5. Scenarios'!$C$8))/4+INDEX(BookQ2,1984)*(5-MIN(4,2+'5. Scenarios'!$C$8))/4+INDEX(BookQ3,1984)*(5-MIN(4,3+'5. Scenarios'!$C$8))/4+INDEX(BookQ4,1984)*(5-MIN(4,4+'5. Scenarios'!$C$8))/4)*'5. Scenarios'!$C$6/(1+ProductivityDefault*('5. Scenarios'!$C$11-1))+INDEX(BookOneOff,1984)*$I1989)</f>
        <v/>
      </c>
      <c r="N1989" s="56" t="str">
        <f aca="false">IF(INDEX(BookTitle,1984)="","",INDEX(BookTotal,1984)*'5. Scenarios'!$D$6/(1+ProductivityDefault*('5. Scenarios'!$D$11-1)))</f>
        <v/>
      </c>
      <c r="O1989" s="57" t="str">
        <f aca="false">IF($N1989="","",INDEX(BookRate,1984)*(1+'5. Scenarios'!$D$10)*$N1989)</f>
        <v/>
      </c>
      <c r="P1989" s="57" t="str">
        <f aca="false">IF($O1989="","",SUMIFS($O$6:$O$2405,$A$6:$A$2405,"&lt;="&amp;$A1989))</f>
        <v/>
      </c>
      <c r="Q1989" s="57" t="str">
        <f aca="false">IF($O1989="","",IF($P1989&lt;=BankCostEnvelope*'5. Scenarios'!$D$7,1,0))</f>
        <v/>
      </c>
      <c r="R1989" s="57" t="str">
        <f aca="false">IF($N1989="","",INDEX(BookRate,1984)*(1+'5. Scenarios'!$D$10)*(INDEX(BookQ1,1984)*(5-MIN(4,1+'5. Scenarios'!$D$8))/4+INDEX(BookQ2,1984)*(5-MIN(4,2+'5. Scenarios'!$D$8))/4+INDEX(BookQ3,1984)*(5-MIN(4,3+'5. Scenarios'!$D$8))/4+INDEX(BookQ4,1984)*(5-MIN(4,4+'5. Scenarios'!$D$8))/4)*'5. Scenarios'!$D$6/(1+ProductivityDefault*('5. Scenarios'!$D$11-1))+INDEX(BookOneOff,1984)*$N1989)</f>
        <v/>
      </c>
      <c r="S1989" s="56" t="str">
        <f aca="false">IF(INDEX(BookTitle,1984)="","",INDEX(BookTotal,1984)*'5. Scenarios'!$E$6/(1+ProductivityDefault*('5. Scenarios'!$E$11-1)))</f>
        <v/>
      </c>
      <c r="T1989" s="57" t="str">
        <f aca="false">IF($S1989="","",INDEX(BookRate,1984)*(1+'5. Scenarios'!$E$10)*$S1989)</f>
        <v/>
      </c>
      <c r="U1989" s="57" t="str">
        <f aca="false">IF($T1989="","",SUMIFS($T$6:$T$2405,$A$6:$A$2405,"&lt;="&amp;$A1989))</f>
        <v/>
      </c>
      <c r="V1989" s="57" t="str">
        <f aca="false">IF($T1989="","",IF($U1989&lt;=BankCostEnvelope*'5. Scenarios'!$E$7,1,0))</f>
        <v/>
      </c>
      <c r="W1989" s="57" t="str">
        <f aca="false">IF($S1989="","",INDEX(BookRate,1984)*(1+'5. Scenarios'!$E$10)*(INDEX(BookQ1,1984)*(5-MIN(4,1+'5. Scenarios'!$E$8))/4+INDEX(BookQ2,1984)*(5-MIN(4,2+'5. Scenarios'!$E$8))/4+INDEX(BookQ3,1984)*(5-MIN(4,3+'5. Scenarios'!$E$8))/4+INDEX(BookQ4,1984)*(5-MIN(4,4+'5. Scenarios'!$E$8))/4)*'5. Scenarios'!$E$6/(1+ProductivityDefault*('5. Scenarios'!$E$11-1))+INDEX(BookOneOff,1984)*$S1989)</f>
        <v/>
      </c>
    </row>
    <row r="1990" customFormat="false" ht="15" hidden="false" customHeight="false" outlineLevel="0" collapsed="false">
      <c r="A1990" s="0" t="str">
        <f aca="false">IF(INDEX(BookTitle,1985)="","",INDEX(BookKey,1985))</f>
        <v/>
      </c>
      <c r="B1990" s="0" t="str">
        <f aca="false">IF(INDEX(BookTitle,1985)="","",INDEX(BookGroup,1985))</f>
        <v/>
      </c>
      <c r="C1990" s="0" t="str">
        <f aca="false">IF(INDEX(BookTitle,1985)="","",INDEX(BookCategory,1985))</f>
        <v/>
      </c>
      <c r="D1990" s="56" t="str">
        <f aca="false">IF(INDEX(BookTitle,1985)="","",INDEX(BookTotal,1985)*'5. Scenarios'!$B$6/(1+ProductivityDefault*('5. Scenarios'!$B$11-1)))</f>
        <v/>
      </c>
      <c r="E1990" s="57" t="str">
        <f aca="false">IF($D1990="","",INDEX(BookRate,1985)*(1+'5. Scenarios'!$B$10)*$D1990)</f>
        <v/>
      </c>
      <c r="F1990" s="57" t="str">
        <f aca="false">IF($E1990="","",SUMIFS($E$6:$E$2405,$A$6:$A$2405,"&lt;="&amp;$A1990))</f>
        <v/>
      </c>
      <c r="G1990" s="57" t="str">
        <f aca="false">IF($E1990="","",IF($F1990&lt;=BankCostEnvelope*'5. Scenarios'!$B$7,1,0))</f>
        <v/>
      </c>
      <c r="H1990" s="57" t="str">
        <f aca="false">IF($D1990="","",INDEX(BookRate,1985)*(1+'5. Scenarios'!$B$10)*(INDEX(BookQ1,1985)*(5-MIN(4,1+'5. Scenarios'!$B$8))/4+INDEX(BookQ2,1985)*(5-MIN(4,2+'5. Scenarios'!$B$8))/4+INDEX(BookQ3,1985)*(5-MIN(4,3+'5. Scenarios'!$B$8))/4+INDEX(BookQ4,1985)*(5-MIN(4,4+'5. Scenarios'!$B$8))/4)*'5. Scenarios'!$B$6/(1+ProductivityDefault*('5. Scenarios'!$B$11-1))+INDEX(BookOneOff,1985)*$D1990)</f>
        <v/>
      </c>
      <c r="I1990" s="56" t="str">
        <f aca="false">IF(INDEX(BookTitle,1985)="","",INDEX(BookTotal,1985)*'5. Scenarios'!$C$6/(1+ProductivityDefault*('5. Scenarios'!$C$11-1)))</f>
        <v/>
      </c>
      <c r="J1990" s="57" t="str">
        <f aca="false">IF($I1990="","",INDEX(BookRate,1985)*(1+'5. Scenarios'!$C$10)*$I1990)</f>
        <v/>
      </c>
      <c r="K1990" s="57" t="str">
        <f aca="false">IF($J1990="","",SUMIFS($J$6:$J$2405,$A$6:$A$2405,"&lt;="&amp;$A1990))</f>
        <v/>
      </c>
      <c r="L1990" s="57" t="str">
        <f aca="false">IF($J1990="","",IF($K1990&lt;=BankCostEnvelope*'5. Scenarios'!$C$7,1,0))</f>
        <v/>
      </c>
      <c r="M1990" s="57" t="str">
        <f aca="false">IF($I1990="","",INDEX(BookRate,1985)*(1+'5. Scenarios'!$C$10)*(INDEX(BookQ1,1985)*(5-MIN(4,1+'5. Scenarios'!$C$8))/4+INDEX(BookQ2,1985)*(5-MIN(4,2+'5. Scenarios'!$C$8))/4+INDEX(BookQ3,1985)*(5-MIN(4,3+'5. Scenarios'!$C$8))/4+INDEX(BookQ4,1985)*(5-MIN(4,4+'5. Scenarios'!$C$8))/4)*'5. Scenarios'!$C$6/(1+ProductivityDefault*('5. Scenarios'!$C$11-1))+INDEX(BookOneOff,1985)*$I1990)</f>
        <v/>
      </c>
      <c r="N1990" s="56" t="str">
        <f aca="false">IF(INDEX(BookTitle,1985)="","",INDEX(BookTotal,1985)*'5. Scenarios'!$D$6/(1+ProductivityDefault*('5. Scenarios'!$D$11-1)))</f>
        <v/>
      </c>
      <c r="O1990" s="57" t="str">
        <f aca="false">IF($N1990="","",INDEX(BookRate,1985)*(1+'5. Scenarios'!$D$10)*$N1990)</f>
        <v/>
      </c>
      <c r="P1990" s="57" t="str">
        <f aca="false">IF($O1990="","",SUMIFS($O$6:$O$2405,$A$6:$A$2405,"&lt;="&amp;$A1990))</f>
        <v/>
      </c>
      <c r="Q1990" s="57" t="str">
        <f aca="false">IF($O1990="","",IF($P1990&lt;=BankCostEnvelope*'5. Scenarios'!$D$7,1,0))</f>
        <v/>
      </c>
      <c r="R1990" s="57" t="str">
        <f aca="false">IF($N1990="","",INDEX(BookRate,1985)*(1+'5. Scenarios'!$D$10)*(INDEX(BookQ1,1985)*(5-MIN(4,1+'5. Scenarios'!$D$8))/4+INDEX(BookQ2,1985)*(5-MIN(4,2+'5. Scenarios'!$D$8))/4+INDEX(BookQ3,1985)*(5-MIN(4,3+'5. Scenarios'!$D$8))/4+INDEX(BookQ4,1985)*(5-MIN(4,4+'5. Scenarios'!$D$8))/4)*'5. Scenarios'!$D$6/(1+ProductivityDefault*('5. Scenarios'!$D$11-1))+INDEX(BookOneOff,1985)*$N1990)</f>
        <v/>
      </c>
      <c r="S1990" s="56" t="str">
        <f aca="false">IF(INDEX(BookTitle,1985)="","",INDEX(BookTotal,1985)*'5. Scenarios'!$E$6/(1+ProductivityDefault*('5. Scenarios'!$E$11-1)))</f>
        <v/>
      </c>
      <c r="T1990" s="57" t="str">
        <f aca="false">IF($S1990="","",INDEX(BookRate,1985)*(1+'5. Scenarios'!$E$10)*$S1990)</f>
        <v/>
      </c>
      <c r="U1990" s="57" t="str">
        <f aca="false">IF($T1990="","",SUMIFS($T$6:$T$2405,$A$6:$A$2405,"&lt;="&amp;$A1990))</f>
        <v/>
      </c>
      <c r="V1990" s="57" t="str">
        <f aca="false">IF($T1990="","",IF($U1990&lt;=BankCostEnvelope*'5. Scenarios'!$E$7,1,0))</f>
        <v/>
      </c>
      <c r="W1990" s="57" t="str">
        <f aca="false">IF($S1990="","",INDEX(BookRate,1985)*(1+'5. Scenarios'!$E$10)*(INDEX(BookQ1,1985)*(5-MIN(4,1+'5. Scenarios'!$E$8))/4+INDEX(BookQ2,1985)*(5-MIN(4,2+'5. Scenarios'!$E$8))/4+INDEX(BookQ3,1985)*(5-MIN(4,3+'5. Scenarios'!$E$8))/4+INDEX(BookQ4,1985)*(5-MIN(4,4+'5. Scenarios'!$E$8))/4)*'5. Scenarios'!$E$6/(1+ProductivityDefault*('5. Scenarios'!$E$11-1))+INDEX(BookOneOff,1985)*$S1990)</f>
        <v/>
      </c>
    </row>
    <row r="1991" customFormat="false" ht="15" hidden="false" customHeight="false" outlineLevel="0" collapsed="false">
      <c r="A1991" s="0" t="str">
        <f aca="false">IF(INDEX(BookTitle,1986)="","",INDEX(BookKey,1986))</f>
        <v/>
      </c>
      <c r="B1991" s="0" t="str">
        <f aca="false">IF(INDEX(BookTitle,1986)="","",INDEX(BookGroup,1986))</f>
        <v/>
      </c>
      <c r="C1991" s="0" t="str">
        <f aca="false">IF(INDEX(BookTitle,1986)="","",INDEX(BookCategory,1986))</f>
        <v/>
      </c>
      <c r="D1991" s="56" t="str">
        <f aca="false">IF(INDEX(BookTitle,1986)="","",INDEX(BookTotal,1986)*'5. Scenarios'!$B$6/(1+ProductivityDefault*('5. Scenarios'!$B$11-1)))</f>
        <v/>
      </c>
      <c r="E1991" s="57" t="str">
        <f aca="false">IF($D1991="","",INDEX(BookRate,1986)*(1+'5. Scenarios'!$B$10)*$D1991)</f>
        <v/>
      </c>
      <c r="F1991" s="57" t="str">
        <f aca="false">IF($E1991="","",SUMIFS($E$6:$E$2405,$A$6:$A$2405,"&lt;="&amp;$A1991))</f>
        <v/>
      </c>
      <c r="G1991" s="57" t="str">
        <f aca="false">IF($E1991="","",IF($F1991&lt;=BankCostEnvelope*'5. Scenarios'!$B$7,1,0))</f>
        <v/>
      </c>
      <c r="H1991" s="57" t="str">
        <f aca="false">IF($D1991="","",INDEX(BookRate,1986)*(1+'5. Scenarios'!$B$10)*(INDEX(BookQ1,1986)*(5-MIN(4,1+'5. Scenarios'!$B$8))/4+INDEX(BookQ2,1986)*(5-MIN(4,2+'5. Scenarios'!$B$8))/4+INDEX(BookQ3,1986)*(5-MIN(4,3+'5. Scenarios'!$B$8))/4+INDEX(BookQ4,1986)*(5-MIN(4,4+'5. Scenarios'!$B$8))/4)*'5. Scenarios'!$B$6/(1+ProductivityDefault*('5. Scenarios'!$B$11-1))+INDEX(BookOneOff,1986)*$D1991)</f>
        <v/>
      </c>
      <c r="I1991" s="56" t="str">
        <f aca="false">IF(INDEX(BookTitle,1986)="","",INDEX(BookTotal,1986)*'5. Scenarios'!$C$6/(1+ProductivityDefault*('5. Scenarios'!$C$11-1)))</f>
        <v/>
      </c>
      <c r="J1991" s="57" t="str">
        <f aca="false">IF($I1991="","",INDEX(BookRate,1986)*(1+'5. Scenarios'!$C$10)*$I1991)</f>
        <v/>
      </c>
      <c r="K1991" s="57" t="str">
        <f aca="false">IF($J1991="","",SUMIFS($J$6:$J$2405,$A$6:$A$2405,"&lt;="&amp;$A1991))</f>
        <v/>
      </c>
      <c r="L1991" s="57" t="str">
        <f aca="false">IF($J1991="","",IF($K1991&lt;=BankCostEnvelope*'5. Scenarios'!$C$7,1,0))</f>
        <v/>
      </c>
      <c r="M1991" s="57" t="str">
        <f aca="false">IF($I1991="","",INDEX(BookRate,1986)*(1+'5. Scenarios'!$C$10)*(INDEX(BookQ1,1986)*(5-MIN(4,1+'5. Scenarios'!$C$8))/4+INDEX(BookQ2,1986)*(5-MIN(4,2+'5. Scenarios'!$C$8))/4+INDEX(BookQ3,1986)*(5-MIN(4,3+'5. Scenarios'!$C$8))/4+INDEX(BookQ4,1986)*(5-MIN(4,4+'5. Scenarios'!$C$8))/4)*'5. Scenarios'!$C$6/(1+ProductivityDefault*('5. Scenarios'!$C$11-1))+INDEX(BookOneOff,1986)*$I1991)</f>
        <v/>
      </c>
      <c r="N1991" s="56" t="str">
        <f aca="false">IF(INDEX(BookTitle,1986)="","",INDEX(BookTotal,1986)*'5. Scenarios'!$D$6/(1+ProductivityDefault*('5. Scenarios'!$D$11-1)))</f>
        <v/>
      </c>
      <c r="O1991" s="57" t="str">
        <f aca="false">IF($N1991="","",INDEX(BookRate,1986)*(1+'5. Scenarios'!$D$10)*$N1991)</f>
        <v/>
      </c>
      <c r="P1991" s="57" t="str">
        <f aca="false">IF($O1991="","",SUMIFS($O$6:$O$2405,$A$6:$A$2405,"&lt;="&amp;$A1991))</f>
        <v/>
      </c>
      <c r="Q1991" s="57" t="str">
        <f aca="false">IF($O1991="","",IF($P1991&lt;=BankCostEnvelope*'5. Scenarios'!$D$7,1,0))</f>
        <v/>
      </c>
      <c r="R1991" s="57" t="str">
        <f aca="false">IF($N1991="","",INDEX(BookRate,1986)*(1+'5. Scenarios'!$D$10)*(INDEX(BookQ1,1986)*(5-MIN(4,1+'5. Scenarios'!$D$8))/4+INDEX(BookQ2,1986)*(5-MIN(4,2+'5. Scenarios'!$D$8))/4+INDEX(BookQ3,1986)*(5-MIN(4,3+'5. Scenarios'!$D$8))/4+INDEX(BookQ4,1986)*(5-MIN(4,4+'5. Scenarios'!$D$8))/4)*'5. Scenarios'!$D$6/(1+ProductivityDefault*('5. Scenarios'!$D$11-1))+INDEX(BookOneOff,1986)*$N1991)</f>
        <v/>
      </c>
      <c r="S1991" s="56" t="str">
        <f aca="false">IF(INDEX(BookTitle,1986)="","",INDEX(BookTotal,1986)*'5. Scenarios'!$E$6/(1+ProductivityDefault*('5. Scenarios'!$E$11-1)))</f>
        <v/>
      </c>
      <c r="T1991" s="57" t="str">
        <f aca="false">IF($S1991="","",INDEX(BookRate,1986)*(1+'5. Scenarios'!$E$10)*$S1991)</f>
        <v/>
      </c>
      <c r="U1991" s="57" t="str">
        <f aca="false">IF($T1991="","",SUMIFS($T$6:$T$2405,$A$6:$A$2405,"&lt;="&amp;$A1991))</f>
        <v/>
      </c>
      <c r="V1991" s="57" t="str">
        <f aca="false">IF($T1991="","",IF($U1991&lt;=BankCostEnvelope*'5. Scenarios'!$E$7,1,0))</f>
        <v/>
      </c>
      <c r="W1991" s="57" t="str">
        <f aca="false">IF($S1991="","",INDEX(BookRate,1986)*(1+'5. Scenarios'!$E$10)*(INDEX(BookQ1,1986)*(5-MIN(4,1+'5. Scenarios'!$E$8))/4+INDEX(BookQ2,1986)*(5-MIN(4,2+'5. Scenarios'!$E$8))/4+INDEX(BookQ3,1986)*(5-MIN(4,3+'5. Scenarios'!$E$8))/4+INDEX(BookQ4,1986)*(5-MIN(4,4+'5. Scenarios'!$E$8))/4)*'5. Scenarios'!$E$6/(1+ProductivityDefault*('5. Scenarios'!$E$11-1))+INDEX(BookOneOff,1986)*$S1991)</f>
        <v/>
      </c>
    </row>
    <row r="1992" customFormat="false" ht="15" hidden="false" customHeight="false" outlineLevel="0" collapsed="false">
      <c r="A1992" s="0" t="str">
        <f aca="false">IF(INDEX(BookTitle,1987)="","",INDEX(BookKey,1987))</f>
        <v/>
      </c>
      <c r="B1992" s="0" t="str">
        <f aca="false">IF(INDEX(BookTitle,1987)="","",INDEX(BookGroup,1987))</f>
        <v/>
      </c>
      <c r="C1992" s="0" t="str">
        <f aca="false">IF(INDEX(BookTitle,1987)="","",INDEX(BookCategory,1987))</f>
        <v/>
      </c>
      <c r="D1992" s="56" t="str">
        <f aca="false">IF(INDEX(BookTitle,1987)="","",INDEX(BookTotal,1987)*'5. Scenarios'!$B$6/(1+ProductivityDefault*('5. Scenarios'!$B$11-1)))</f>
        <v/>
      </c>
      <c r="E1992" s="57" t="str">
        <f aca="false">IF($D1992="","",INDEX(BookRate,1987)*(1+'5. Scenarios'!$B$10)*$D1992)</f>
        <v/>
      </c>
      <c r="F1992" s="57" t="str">
        <f aca="false">IF($E1992="","",SUMIFS($E$6:$E$2405,$A$6:$A$2405,"&lt;="&amp;$A1992))</f>
        <v/>
      </c>
      <c r="G1992" s="57" t="str">
        <f aca="false">IF($E1992="","",IF($F1992&lt;=BankCostEnvelope*'5. Scenarios'!$B$7,1,0))</f>
        <v/>
      </c>
      <c r="H1992" s="57" t="str">
        <f aca="false">IF($D1992="","",INDEX(BookRate,1987)*(1+'5. Scenarios'!$B$10)*(INDEX(BookQ1,1987)*(5-MIN(4,1+'5. Scenarios'!$B$8))/4+INDEX(BookQ2,1987)*(5-MIN(4,2+'5. Scenarios'!$B$8))/4+INDEX(BookQ3,1987)*(5-MIN(4,3+'5. Scenarios'!$B$8))/4+INDEX(BookQ4,1987)*(5-MIN(4,4+'5. Scenarios'!$B$8))/4)*'5. Scenarios'!$B$6/(1+ProductivityDefault*('5. Scenarios'!$B$11-1))+INDEX(BookOneOff,1987)*$D1992)</f>
        <v/>
      </c>
      <c r="I1992" s="56" t="str">
        <f aca="false">IF(INDEX(BookTitle,1987)="","",INDEX(BookTotal,1987)*'5. Scenarios'!$C$6/(1+ProductivityDefault*('5. Scenarios'!$C$11-1)))</f>
        <v/>
      </c>
      <c r="J1992" s="57" t="str">
        <f aca="false">IF($I1992="","",INDEX(BookRate,1987)*(1+'5. Scenarios'!$C$10)*$I1992)</f>
        <v/>
      </c>
      <c r="K1992" s="57" t="str">
        <f aca="false">IF($J1992="","",SUMIFS($J$6:$J$2405,$A$6:$A$2405,"&lt;="&amp;$A1992))</f>
        <v/>
      </c>
      <c r="L1992" s="57" t="str">
        <f aca="false">IF($J1992="","",IF($K1992&lt;=BankCostEnvelope*'5. Scenarios'!$C$7,1,0))</f>
        <v/>
      </c>
      <c r="M1992" s="57" t="str">
        <f aca="false">IF($I1992="","",INDEX(BookRate,1987)*(1+'5. Scenarios'!$C$10)*(INDEX(BookQ1,1987)*(5-MIN(4,1+'5. Scenarios'!$C$8))/4+INDEX(BookQ2,1987)*(5-MIN(4,2+'5. Scenarios'!$C$8))/4+INDEX(BookQ3,1987)*(5-MIN(4,3+'5. Scenarios'!$C$8))/4+INDEX(BookQ4,1987)*(5-MIN(4,4+'5. Scenarios'!$C$8))/4)*'5. Scenarios'!$C$6/(1+ProductivityDefault*('5. Scenarios'!$C$11-1))+INDEX(BookOneOff,1987)*$I1992)</f>
        <v/>
      </c>
      <c r="N1992" s="56" t="str">
        <f aca="false">IF(INDEX(BookTitle,1987)="","",INDEX(BookTotal,1987)*'5. Scenarios'!$D$6/(1+ProductivityDefault*('5. Scenarios'!$D$11-1)))</f>
        <v/>
      </c>
      <c r="O1992" s="57" t="str">
        <f aca="false">IF($N1992="","",INDEX(BookRate,1987)*(1+'5. Scenarios'!$D$10)*$N1992)</f>
        <v/>
      </c>
      <c r="P1992" s="57" t="str">
        <f aca="false">IF($O1992="","",SUMIFS($O$6:$O$2405,$A$6:$A$2405,"&lt;="&amp;$A1992))</f>
        <v/>
      </c>
      <c r="Q1992" s="57" t="str">
        <f aca="false">IF($O1992="","",IF($P1992&lt;=BankCostEnvelope*'5. Scenarios'!$D$7,1,0))</f>
        <v/>
      </c>
      <c r="R1992" s="57" t="str">
        <f aca="false">IF($N1992="","",INDEX(BookRate,1987)*(1+'5. Scenarios'!$D$10)*(INDEX(BookQ1,1987)*(5-MIN(4,1+'5. Scenarios'!$D$8))/4+INDEX(BookQ2,1987)*(5-MIN(4,2+'5. Scenarios'!$D$8))/4+INDEX(BookQ3,1987)*(5-MIN(4,3+'5. Scenarios'!$D$8))/4+INDEX(BookQ4,1987)*(5-MIN(4,4+'5. Scenarios'!$D$8))/4)*'5. Scenarios'!$D$6/(1+ProductivityDefault*('5. Scenarios'!$D$11-1))+INDEX(BookOneOff,1987)*$N1992)</f>
        <v/>
      </c>
      <c r="S1992" s="56" t="str">
        <f aca="false">IF(INDEX(BookTitle,1987)="","",INDEX(BookTotal,1987)*'5. Scenarios'!$E$6/(1+ProductivityDefault*('5. Scenarios'!$E$11-1)))</f>
        <v/>
      </c>
      <c r="T1992" s="57" t="str">
        <f aca="false">IF($S1992="","",INDEX(BookRate,1987)*(1+'5. Scenarios'!$E$10)*$S1992)</f>
        <v/>
      </c>
      <c r="U1992" s="57" t="str">
        <f aca="false">IF($T1992="","",SUMIFS($T$6:$T$2405,$A$6:$A$2405,"&lt;="&amp;$A1992))</f>
        <v/>
      </c>
      <c r="V1992" s="57" t="str">
        <f aca="false">IF($T1992="","",IF($U1992&lt;=BankCostEnvelope*'5. Scenarios'!$E$7,1,0))</f>
        <v/>
      </c>
      <c r="W1992" s="57" t="str">
        <f aca="false">IF($S1992="","",INDEX(BookRate,1987)*(1+'5. Scenarios'!$E$10)*(INDEX(BookQ1,1987)*(5-MIN(4,1+'5. Scenarios'!$E$8))/4+INDEX(BookQ2,1987)*(5-MIN(4,2+'5. Scenarios'!$E$8))/4+INDEX(BookQ3,1987)*(5-MIN(4,3+'5. Scenarios'!$E$8))/4+INDEX(BookQ4,1987)*(5-MIN(4,4+'5. Scenarios'!$E$8))/4)*'5. Scenarios'!$E$6/(1+ProductivityDefault*('5. Scenarios'!$E$11-1))+INDEX(BookOneOff,1987)*$S1992)</f>
        <v/>
      </c>
    </row>
    <row r="1993" customFormat="false" ht="15" hidden="false" customHeight="false" outlineLevel="0" collapsed="false">
      <c r="A1993" s="0" t="str">
        <f aca="false">IF(INDEX(BookTitle,1988)="","",INDEX(BookKey,1988))</f>
        <v/>
      </c>
      <c r="B1993" s="0" t="str">
        <f aca="false">IF(INDEX(BookTitle,1988)="","",INDEX(BookGroup,1988))</f>
        <v/>
      </c>
      <c r="C1993" s="0" t="str">
        <f aca="false">IF(INDEX(BookTitle,1988)="","",INDEX(BookCategory,1988))</f>
        <v/>
      </c>
      <c r="D1993" s="56" t="str">
        <f aca="false">IF(INDEX(BookTitle,1988)="","",INDEX(BookTotal,1988)*'5. Scenarios'!$B$6/(1+ProductivityDefault*('5. Scenarios'!$B$11-1)))</f>
        <v/>
      </c>
      <c r="E1993" s="57" t="str">
        <f aca="false">IF($D1993="","",INDEX(BookRate,1988)*(1+'5. Scenarios'!$B$10)*$D1993)</f>
        <v/>
      </c>
      <c r="F1993" s="57" t="str">
        <f aca="false">IF($E1993="","",SUMIFS($E$6:$E$2405,$A$6:$A$2405,"&lt;="&amp;$A1993))</f>
        <v/>
      </c>
      <c r="G1993" s="57" t="str">
        <f aca="false">IF($E1993="","",IF($F1993&lt;=BankCostEnvelope*'5. Scenarios'!$B$7,1,0))</f>
        <v/>
      </c>
      <c r="H1993" s="57" t="str">
        <f aca="false">IF($D1993="","",INDEX(BookRate,1988)*(1+'5. Scenarios'!$B$10)*(INDEX(BookQ1,1988)*(5-MIN(4,1+'5. Scenarios'!$B$8))/4+INDEX(BookQ2,1988)*(5-MIN(4,2+'5. Scenarios'!$B$8))/4+INDEX(BookQ3,1988)*(5-MIN(4,3+'5. Scenarios'!$B$8))/4+INDEX(BookQ4,1988)*(5-MIN(4,4+'5. Scenarios'!$B$8))/4)*'5. Scenarios'!$B$6/(1+ProductivityDefault*('5. Scenarios'!$B$11-1))+INDEX(BookOneOff,1988)*$D1993)</f>
        <v/>
      </c>
      <c r="I1993" s="56" t="str">
        <f aca="false">IF(INDEX(BookTitle,1988)="","",INDEX(BookTotal,1988)*'5. Scenarios'!$C$6/(1+ProductivityDefault*('5. Scenarios'!$C$11-1)))</f>
        <v/>
      </c>
      <c r="J1993" s="57" t="str">
        <f aca="false">IF($I1993="","",INDEX(BookRate,1988)*(1+'5. Scenarios'!$C$10)*$I1993)</f>
        <v/>
      </c>
      <c r="K1993" s="57" t="str">
        <f aca="false">IF($J1993="","",SUMIFS($J$6:$J$2405,$A$6:$A$2405,"&lt;="&amp;$A1993))</f>
        <v/>
      </c>
      <c r="L1993" s="57" t="str">
        <f aca="false">IF($J1993="","",IF($K1993&lt;=BankCostEnvelope*'5. Scenarios'!$C$7,1,0))</f>
        <v/>
      </c>
      <c r="M1993" s="57" t="str">
        <f aca="false">IF($I1993="","",INDEX(BookRate,1988)*(1+'5. Scenarios'!$C$10)*(INDEX(BookQ1,1988)*(5-MIN(4,1+'5. Scenarios'!$C$8))/4+INDEX(BookQ2,1988)*(5-MIN(4,2+'5. Scenarios'!$C$8))/4+INDEX(BookQ3,1988)*(5-MIN(4,3+'5. Scenarios'!$C$8))/4+INDEX(BookQ4,1988)*(5-MIN(4,4+'5. Scenarios'!$C$8))/4)*'5. Scenarios'!$C$6/(1+ProductivityDefault*('5. Scenarios'!$C$11-1))+INDEX(BookOneOff,1988)*$I1993)</f>
        <v/>
      </c>
      <c r="N1993" s="56" t="str">
        <f aca="false">IF(INDEX(BookTitle,1988)="","",INDEX(BookTotal,1988)*'5. Scenarios'!$D$6/(1+ProductivityDefault*('5. Scenarios'!$D$11-1)))</f>
        <v/>
      </c>
      <c r="O1993" s="57" t="str">
        <f aca="false">IF($N1993="","",INDEX(BookRate,1988)*(1+'5. Scenarios'!$D$10)*$N1993)</f>
        <v/>
      </c>
      <c r="P1993" s="57" t="str">
        <f aca="false">IF($O1993="","",SUMIFS($O$6:$O$2405,$A$6:$A$2405,"&lt;="&amp;$A1993))</f>
        <v/>
      </c>
      <c r="Q1993" s="57" t="str">
        <f aca="false">IF($O1993="","",IF($P1993&lt;=BankCostEnvelope*'5. Scenarios'!$D$7,1,0))</f>
        <v/>
      </c>
      <c r="R1993" s="57" t="str">
        <f aca="false">IF($N1993="","",INDEX(BookRate,1988)*(1+'5. Scenarios'!$D$10)*(INDEX(BookQ1,1988)*(5-MIN(4,1+'5. Scenarios'!$D$8))/4+INDEX(BookQ2,1988)*(5-MIN(4,2+'5. Scenarios'!$D$8))/4+INDEX(BookQ3,1988)*(5-MIN(4,3+'5. Scenarios'!$D$8))/4+INDEX(BookQ4,1988)*(5-MIN(4,4+'5. Scenarios'!$D$8))/4)*'5. Scenarios'!$D$6/(1+ProductivityDefault*('5. Scenarios'!$D$11-1))+INDEX(BookOneOff,1988)*$N1993)</f>
        <v/>
      </c>
      <c r="S1993" s="56" t="str">
        <f aca="false">IF(INDEX(BookTitle,1988)="","",INDEX(BookTotal,1988)*'5. Scenarios'!$E$6/(1+ProductivityDefault*('5. Scenarios'!$E$11-1)))</f>
        <v/>
      </c>
      <c r="T1993" s="57" t="str">
        <f aca="false">IF($S1993="","",INDEX(BookRate,1988)*(1+'5. Scenarios'!$E$10)*$S1993)</f>
        <v/>
      </c>
      <c r="U1993" s="57" t="str">
        <f aca="false">IF($T1993="","",SUMIFS($T$6:$T$2405,$A$6:$A$2405,"&lt;="&amp;$A1993))</f>
        <v/>
      </c>
      <c r="V1993" s="57" t="str">
        <f aca="false">IF($T1993="","",IF($U1993&lt;=BankCostEnvelope*'5. Scenarios'!$E$7,1,0))</f>
        <v/>
      </c>
      <c r="W1993" s="57" t="str">
        <f aca="false">IF($S1993="","",INDEX(BookRate,1988)*(1+'5. Scenarios'!$E$10)*(INDEX(BookQ1,1988)*(5-MIN(4,1+'5. Scenarios'!$E$8))/4+INDEX(BookQ2,1988)*(5-MIN(4,2+'5. Scenarios'!$E$8))/4+INDEX(BookQ3,1988)*(5-MIN(4,3+'5. Scenarios'!$E$8))/4+INDEX(BookQ4,1988)*(5-MIN(4,4+'5. Scenarios'!$E$8))/4)*'5. Scenarios'!$E$6/(1+ProductivityDefault*('5. Scenarios'!$E$11-1))+INDEX(BookOneOff,1988)*$S1993)</f>
        <v/>
      </c>
    </row>
    <row r="1994" customFormat="false" ht="15" hidden="false" customHeight="false" outlineLevel="0" collapsed="false">
      <c r="A1994" s="0" t="str">
        <f aca="false">IF(INDEX(BookTitle,1989)="","",INDEX(BookKey,1989))</f>
        <v/>
      </c>
      <c r="B1994" s="0" t="str">
        <f aca="false">IF(INDEX(BookTitle,1989)="","",INDEX(BookGroup,1989))</f>
        <v/>
      </c>
      <c r="C1994" s="0" t="str">
        <f aca="false">IF(INDEX(BookTitle,1989)="","",INDEX(BookCategory,1989))</f>
        <v/>
      </c>
      <c r="D1994" s="56" t="str">
        <f aca="false">IF(INDEX(BookTitle,1989)="","",INDEX(BookTotal,1989)*'5. Scenarios'!$B$6/(1+ProductivityDefault*('5. Scenarios'!$B$11-1)))</f>
        <v/>
      </c>
      <c r="E1994" s="57" t="str">
        <f aca="false">IF($D1994="","",INDEX(BookRate,1989)*(1+'5. Scenarios'!$B$10)*$D1994)</f>
        <v/>
      </c>
      <c r="F1994" s="57" t="str">
        <f aca="false">IF($E1994="","",SUMIFS($E$6:$E$2405,$A$6:$A$2405,"&lt;="&amp;$A1994))</f>
        <v/>
      </c>
      <c r="G1994" s="57" t="str">
        <f aca="false">IF($E1994="","",IF($F1994&lt;=BankCostEnvelope*'5. Scenarios'!$B$7,1,0))</f>
        <v/>
      </c>
      <c r="H1994" s="57" t="str">
        <f aca="false">IF($D1994="","",INDEX(BookRate,1989)*(1+'5. Scenarios'!$B$10)*(INDEX(BookQ1,1989)*(5-MIN(4,1+'5. Scenarios'!$B$8))/4+INDEX(BookQ2,1989)*(5-MIN(4,2+'5. Scenarios'!$B$8))/4+INDEX(BookQ3,1989)*(5-MIN(4,3+'5. Scenarios'!$B$8))/4+INDEX(BookQ4,1989)*(5-MIN(4,4+'5. Scenarios'!$B$8))/4)*'5. Scenarios'!$B$6/(1+ProductivityDefault*('5. Scenarios'!$B$11-1))+INDEX(BookOneOff,1989)*$D1994)</f>
        <v/>
      </c>
      <c r="I1994" s="56" t="str">
        <f aca="false">IF(INDEX(BookTitle,1989)="","",INDEX(BookTotal,1989)*'5. Scenarios'!$C$6/(1+ProductivityDefault*('5. Scenarios'!$C$11-1)))</f>
        <v/>
      </c>
      <c r="J1994" s="57" t="str">
        <f aca="false">IF($I1994="","",INDEX(BookRate,1989)*(1+'5. Scenarios'!$C$10)*$I1994)</f>
        <v/>
      </c>
      <c r="K1994" s="57" t="str">
        <f aca="false">IF($J1994="","",SUMIFS($J$6:$J$2405,$A$6:$A$2405,"&lt;="&amp;$A1994))</f>
        <v/>
      </c>
      <c r="L1994" s="57" t="str">
        <f aca="false">IF($J1994="","",IF($K1994&lt;=BankCostEnvelope*'5. Scenarios'!$C$7,1,0))</f>
        <v/>
      </c>
      <c r="M1994" s="57" t="str">
        <f aca="false">IF($I1994="","",INDEX(BookRate,1989)*(1+'5. Scenarios'!$C$10)*(INDEX(BookQ1,1989)*(5-MIN(4,1+'5. Scenarios'!$C$8))/4+INDEX(BookQ2,1989)*(5-MIN(4,2+'5. Scenarios'!$C$8))/4+INDEX(BookQ3,1989)*(5-MIN(4,3+'5. Scenarios'!$C$8))/4+INDEX(BookQ4,1989)*(5-MIN(4,4+'5. Scenarios'!$C$8))/4)*'5. Scenarios'!$C$6/(1+ProductivityDefault*('5. Scenarios'!$C$11-1))+INDEX(BookOneOff,1989)*$I1994)</f>
        <v/>
      </c>
      <c r="N1994" s="56" t="str">
        <f aca="false">IF(INDEX(BookTitle,1989)="","",INDEX(BookTotal,1989)*'5. Scenarios'!$D$6/(1+ProductivityDefault*('5. Scenarios'!$D$11-1)))</f>
        <v/>
      </c>
      <c r="O1994" s="57" t="str">
        <f aca="false">IF($N1994="","",INDEX(BookRate,1989)*(1+'5. Scenarios'!$D$10)*$N1994)</f>
        <v/>
      </c>
      <c r="P1994" s="57" t="str">
        <f aca="false">IF($O1994="","",SUMIFS($O$6:$O$2405,$A$6:$A$2405,"&lt;="&amp;$A1994))</f>
        <v/>
      </c>
      <c r="Q1994" s="57" t="str">
        <f aca="false">IF($O1994="","",IF($P1994&lt;=BankCostEnvelope*'5. Scenarios'!$D$7,1,0))</f>
        <v/>
      </c>
      <c r="R1994" s="57" t="str">
        <f aca="false">IF($N1994="","",INDEX(BookRate,1989)*(1+'5. Scenarios'!$D$10)*(INDEX(BookQ1,1989)*(5-MIN(4,1+'5. Scenarios'!$D$8))/4+INDEX(BookQ2,1989)*(5-MIN(4,2+'5. Scenarios'!$D$8))/4+INDEX(BookQ3,1989)*(5-MIN(4,3+'5. Scenarios'!$D$8))/4+INDEX(BookQ4,1989)*(5-MIN(4,4+'5. Scenarios'!$D$8))/4)*'5. Scenarios'!$D$6/(1+ProductivityDefault*('5. Scenarios'!$D$11-1))+INDEX(BookOneOff,1989)*$N1994)</f>
        <v/>
      </c>
      <c r="S1994" s="56" t="str">
        <f aca="false">IF(INDEX(BookTitle,1989)="","",INDEX(BookTotal,1989)*'5. Scenarios'!$E$6/(1+ProductivityDefault*('5. Scenarios'!$E$11-1)))</f>
        <v/>
      </c>
      <c r="T1994" s="57" t="str">
        <f aca="false">IF($S1994="","",INDEX(BookRate,1989)*(1+'5. Scenarios'!$E$10)*$S1994)</f>
        <v/>
      </c>
      <c r="U1994" s="57" t="str">
        <f aca="false">IF($T1994="","",SUMIFS($T$6:$T$2405,$A$6:$A$2405,"&lt;="&amp;$A1994))</f>
        <v/>
      </c>
      <c r="V1994" s="57" t="str">
        <f aca="false">IF($T1994="","",IF($U1994&lt;=BankCostEnvelope*'5. Scenarios'!$E$7,1,0))</f>
        <v/>
      </c>
      <c r="W1994" s="57" t="str">
        <f aca="false">IF($S1994="","",INDEX(BookRate,1989)*(1+'5. Scenarios'!$E$10)*(INDEX(BookQ1,1989)*(5-MIN(4,1+'5. Scenarios'!$E$8))/4+INDEX(BookQ2,1989)*(5-MIN(4,2+'5. Scenarios'!$E$8))/4+INDEX(BookQ3,1989)*(5-MIN(4,3+'5. Scenarios'!$E$8))/4+INDEX(BookQ4,1989)*(5-MIN(4,4+'5. Scenarios'!$E$8))/4)*'5. Scenarios'!$E$6/(1+ProductivityDefault*('5. Scenarios'!$E$11-1))+INDEX(BookOneOff,1989)*$S1994)</f>
        <v/>
      </c>
    </row>
    <row r="1995" customFormat="false" ht="15" hidden="false" customHeight="false" outlineLevel="0" collapsed="false">
      <c r="A1995" s="0" t="str">
        <f aca="false">IF(INDEX(BookTitle,1990)="","",INDEX(BookKey,1990))</f>
        <v/>
      </c>
      <c r="B1995" s="0" t="str">
        <f aca="false">IF(INDEX(BookTitle,1990)="","",INDEX(BookGroup,1990))</f>
        <v/>
      </c>
      <c r="C1995" s="0" t="str">
        <f aca="false">IF(INDEX(BookTitle,1990)="","",INDEX(BookCategory,1990))</f>
        <v/>
      </c>
      <c r="D1995" s="56" t="str">
        <f aca="false">IF(INDEX(BookTitle,1990)="","",INDEX(BookTotal,1990)*'5. Scenarios'!$B$6/(1+ProductivityDefault*('5. Scenarios'!$B$11-1)))</f>
        <v/>
      </c>
      <c r="E1995" s="57" t="str">
        <f aca="false">IF($D1995="","",INDEX(BookRate,1990)*(1+'5. Scenarios'!$B$10)*$D1995)</f>
        <v/>
      </c>
      <c r="F1995" s="57" t="str">
        <f aca="false">IF($E1995="","",SUMIFS($E$6:$E$2405,$A$6:$A$2405,"&lt;="&amp;$A1995))</f>
        <v/>
      </c>
      <c r="G1995" s="57" t="str">
        <f aca="false">IF($E1995="","",IF($F1995&lt;=BankCostEnvelope*'5. Scenarios'!$B$7,1,0))</f>
        <v/>
      </c>
      <c r="H1995" s="57" t="str">
        <f aca="false">IF($D1995="","",INDEX(BookRate,1990)*(1+'5. Scenarios'!$B$10)*(INDEX(BookQ1,1990)*(5-MIN(4,1+'5. Scenarios'!$B$8))/4+INDEX(BookQ2,1990)*(5-MIN(4,2+'5. Scenarios'!$B$8))/4+INDEX(BookQ3,1990)*(5-MIN(4,3+'5. Scenarios'!$B$8))/4+INDEX(BookQ4,1990)*(5-MIN(4,4+'5. Scenarios'!$B$8))/4)*'5. Scenarios'!$B$6/(1+ProductivityDefault*('5. Scenarios'!$B$11-1))+INDEX(BookOneOff,1990)*$D1995)</f>
        <v/>
      </c>
      <c r="I1995" s="56" t="str">
        <f aca="false">IF(INDEX(BookTitle,1990)="","",INDEX(BookTotal,1990)*'5. Scenarios'!$C$6/(1+ProductivityDefault*('5. Scenarios'!$C$11-1)))</f>
        <v/>
      </c>
      <c r="J1995" s="57" t="str">
        <f aca="false">IF($I1995="","",INDEX(BookRate,1990)*(1+'5. Scenarios'!$C$10)*$I1995)</f>
        <v/>
      </c>
      <c r="K1995" s="57" t="str">
        <f aca="false">IF($J1995="","",SUMIFS($J$6:$J$2405,$A$6:$A$2405,"&lt;="&amp;$A1995))</f>
        <v/>
      </c>
      <c r="L1995" s="57" t="str">
        <f aca="false">IF($J1995="","",IF($K1995&lt;=BankCostEnvelope*'5. Scenarios'!$C$7,1,0))</f>
        <v/>
      </c>
      <c r="M1995" s="57" t="str">
        <f aca="false">IF($I1995="","",INDEX(BookRate,1990)*(1+'5. Scenarios'!$C$10)*(INDEX(BookQ1,1990)*(5-MIN(4,1+'5. Scenarios'!$C$8))/4+INDEX(BookQ2,1990)*(5-MIN(4,2+'5. Scenarios'!$C$8))/4+INDEX(BookQ3,1990)*(5-MIN(4,3+'5. Scenarios'!$C$8))/4+INDEX(BookQ4,1990)*(5-MIN(4,4+'5. Scenarios'!$C$8))/4)*'5. Scenarios'!$C$6/(1+ProductivityDefault*('5. Scenarios'!$C$11-1))+INDEX(BookOneOff,1990)*$I1995)</f>
        <v/>
      </c>
      <c r="N1995" s="56" t="str">
        <f aca="false">IF(INDEX(BookTitle,1990)="","",INDEX(BookTotal,1990)*'5. Scenarios'!$D$6/(1+ProductivityDefault*('5. Scenarios'!$D$11-1)))</f>
        <v/>
      </c>
      <c r="O1995" s="57" t="str">
        <f aca="false">IF($N1995="","",INDEX(BookRate,1990)*(1+'5. Scenarios'!$D$10)*$N1995)</f>
        <v/>
      </c>
      <c r="P1995" s="57" t="str">
        <f aca="false">IF($O1995="","",SUMIFS($O$6:$O$2405,$A$6:$A$2405,"&lt;="&amp;$A1995))</f>
        <v/>
      </c>
      <c r="Q1995" s="57" t="str">
        <f aca="false">IF($O1995="","",IF($P1995&lt;=BankCostEnvelope*'5. Scenarios'!$D$7,1,0))</f>
        <v/>
      </c>
      <c r="R1995" s="57" t="str">
        <f aca="false">IF($N1995="","",INDEX(BookRate,1990)*(1+'5. Scenarios'!$D$10)*(INDEX(BookQ1,1990)*(5-MIN(4,1+'5. Scenarios'!$D$8))/4+INDEX(BookQ2,1990)*(5-MIN(4,2+'5. Scenarios'!$D$8))/4+INDEX(BookQ3,1990)*(5-MIN(4,3+'5. Scenarios'!$D$8))/4+INDEX(BookQ4,1990)*(5-MIN(4,4+'5. Scenarios'!$D$8))/4)*'5. Scenarios'!$D$6/(1+ProductivityDefault*('5. Scenarios'!$D$11-1))+INDEX(BookOneOff,1990)*$N1995)</f>
        <v/>
      </c>
      <c r="S1995" s="56" t="str">
        <f aca="false">IF(INDEX(BookTitle,1990)="","",INDEX(BookTotal,1990)*'5. Scenarios'!$E$6/(1+ProductivityDefault*('5. Scenarios'!$E$11-1)))</f>
        <v/>
      </c>
      <c r="T1995" s="57" t="str">
        <f aca="false">IF($S1995="","",INDEX(BookRate,1990)*(1+'5. Scenarios'!$E$10)*$S1995)</f>
        <v/>
      </c>
      <c r="U1995" s="57" t="str">
        <f aca="false">IF($T1995="","",SUMIFS($T$6:$T$2405,$A$6:$A$2405,"&lt;="&amp;$A1995))</f>
        <v/>
      </c>
      <c r="V1995" s="57" t="str">
        <f aca="false">IF($T1995="","",IF($U1995&lt;=BankCostEnvelope*'5. Scenarios'!$E$7,1,0))</f>
        <v/>
      </c>
      <c r="W1995" s="57" t="str">
        <f aca="false">IF($S1995="","",INDEX(BookRate,1990)*(1+'5. Scenarios'!$E$10)*(INDEX(BookQ1,1990)*(5-MIN(4,1+'5. Scenarios'!$E$8))/4+INDEX(BookQ2,1990)*(5-MIN(4,2+'5. Scenarios'!$E$8))/4+INDEX(BookQ3,1990)*(5-MIN(4,3+'5. Scenarios'!$E$8))/4+INDEX(BookQ4,1990)*(5-MIN(4,4+'5. Scenarios'!$E$8))/4)*'5. Scenarios'!$E$6/(1+ProductivityDefault*('5. Scenarios'!$E$11-1))+INDEX(BookOneOff,1990)*$S1995)</f>
        <v/>
      </c>
    </row>
    <row r="1996" customFormat="false" ht="15" hidden="false" customHeight="false" outlineLevel="0" collapsed="false">
      <c r="A1996" s="0" t="str">
        <f aca="false">IF(INDEX(BookTitle,1991)="","",INDEX(BookKey,1991))</f>
        <v/>
      </c>
      <c r="B1996" s="0" t="str">
        <f aca="false">IF(INDEX(BookTitle,1991)="","",INDEX(BookGroup,1991))</f>
        <v/>
      </c>
      <c r="C1996" s="0" t="str">
        <f aca="false">IF(INDEX(BookTitle,1991)="","",INDEX(BookCategory,1991))</f>
        <v/>
      </c>
      <c r="D1996" s="56" t="str">
        <f aca="false">IF(INDEX(BookTitle,1991)="","",INDEX(BookTotal,1991)*'5. Scenarios'!$B$6/(1+ProductivityDefault*('5. Scenarios'!$B$11-1)))</f>
        <v/>
      </c>
      <c r="E1996" s="57" t="str">
        <f aca="false">IF($D1996="","",INDEX(BookRate,1991)*(1+'5. Scenarios'!$B$10)*$D1996)</f>
        <v/>
      </c>
      <c r="F1996" s="57" t="str">
        <f aca="false">IF($E1996="","",SUMIFS($E$6:$E$2405,$A$6:$A$2405,"&lt;="&amp;$A1996))</f>
        <v/>
      </c>
      <c r="G1996" s="57" t="str">
        <f aca="false">IF($E1996="","",IF($F1996&lt;=BankCostEnvelope*'5. Scenarios'!$B$7,1,0))</f>
        <v/>
      </c>
      <c r="H1996" s="57" t="str">
        <f aca="false">IF($D1996="","",INDEX(BookRate,1991)*(1+'5. Scenarios'!$B$10)*(INDEX(BookQ1,1991)*(5-MIN(4,1+'5. Scenarios'!$B$8))/4+INDEX(BookQ2,1991)*(5-MIN(4,2+'5. Scenarios'!$B$8))/4+INDEX(BookQ3,1991)*(5-MIN(4,3+'5. Scenarios'!$B$8))/4+INDEX(BookQ4,1991)*(5-MIN(4,4+'5. Scenarios'!$B$8))/4)*'5. Scenarios'!$B$6/(1+ProductivityDefault*('5. Scenarios'!$B$11-1))+INDEX(BookOneOff,1991)*$D1996)</f>
        <v/>
      </c>
      <c r="I1996" s="56" t="str">
        <f aca="false">IF(INDEX(BookTitle,1991)="","",INDEX(BookTotal,1991)*'5. Scenarios'!$C$6/(1+ProductivityDefault*('5. Scenarios'!$C$11-1)))</f>
        <v/>
      </c>
      <c r="J1996" s="57" t="str">
        <f aca="false">IF($I1996="","",INDEX(BookRate,1991)*(1+'5. Scenarios'!$C$10)*$I1996)</f>
        <v/>
      </c>
      <c r="K1996" s="57" t="str">
        <f aca="false">IF($J1996="","",SUMIFS($J$6:$J$2405,$A$6:$A$2405,"&lt;="&amp;$A1996))</f>
        <v/>
      </c>
      <c r="L1996" s="57" t="str">
        <f aca="false">IF($J1996="","",IF($K1996&lt;=BankCostEnvelope*'5. Scenarios'!$C$7,1,0))</f>
        <v/>
      </c>
      <c r="M1996" s="57" t="str">
        <f aca="false">IF($I1996="","",INDEX(BookRate,1991)*(1+'5. Scenarios'!$C$10)*(INDEX(BookQ1,1991)*(5-MIN(4,1+'5. Scenarios'!$C$8))/4+INDEX(BookQ2,1991)*(5-MIN(4,2+'5. Scenarios'!$C$8))/4+INDEX(BookQ3,1991)*(5-MIN(4,3+'5. Scenarios'!$C$8))/4+INDEX(BookQ4,1991)*(5-MIN(4,4+'5. Scenarios'!$C$8))/4)*'5. Scenarios'!$C$6/(1+ProductivityDefault*('5. Scenarios'!$C$11-1))+INDEX(BookOneOff,1991)*$I1996)</f>
        <v/>
      </c>
      <c r="N1996" s="56" t="str">
        <f aca="false">IF(INDEX(BookTitle,1991)="","",INDEX(BookTotal,1991)*'5. Scenarios'!$D$6/(1+ProductivityDefault*('5. Scenarios'!$D$11-1)))</f>
        <v/>
      </c>
      <c r="O1996" s="57" t="str">
        <f aca="false">IF($N1996="","",INDEX(BookRate,1991)*(1+'5. Scenarios'!$D$10)*$N1996)</f>
        <v/>
      </c>
      <c r="P1996" s="57" t="str">
        <f aca="false">IF($O1996="","",SUMIFS($O$6:$O$2405,$A$6:$A$2405,"&lt;="&amp;$A1996))</f>
        <v/>
      </c>
      <c r="Q1996" s="57" t="str">
        <f aca="false">IF($O1996="","",IF($P1996&lt;=BankCostEnvelope*'5. Scenarios'!$D$7,1,0))</f>
        <v/>
      </c>
      <c r="R1996" s="57" t="str">
        <f aca="false">IF($N1996="","",INDEX(BookRate,1991)*(1+'5. Scenarios'!$D$10)*(INDEX(BookQ1,1991)*(5-MIN(4,1+'5. Scenarios'!$D$8))/4+INDEX(BookQ2,1991)*(5-MIN(4,2+'5. Scenarios'!$D$8))/4+INDEX(BookQ3,1991)*(5-MIN(4,3+'5. Scenarios'!$D$8))/4+INDEX(BookQ4,1991)*(5-MIN(4,4+'5. Scenarios'!$D$8))/4)*'5. Scenarios'!$D$6/(1+ProductivityDefault*('5. Scenarios'!$D$11-1))+INDEX(BookOneOff,1991)*$N1996)</f>
        <v/>
      </c>
      <c r="S1996" s="56" t="str">
        <f aca="false">IF(INDEX(BookTitle,1991)="","",INDEX(BookTotal,1991)*'5. Scenarios'!$E$6/(1+ProductivityDefault*('5. Scenarios'!$E$11-1)))</f>
        <v/>
      </c>
      <c r="T1996" s="57" t="str">
        <f aca="false">IF($S1996="","",INDEX(BookRate,1991)*(1+'5. Scenarios'!$E$10)*$S1996)</f>
        <v/>
      </c>
      <c r="U1996" s="57" t="str">
        <f aca="false">IF($T1996="","",SUMIFS($T$6:$T$2405,$A$6:$A$2405,"&lt;="&amp;$A1996))</f>
        <v/>
      </c>
      <c r="V1996" s="57" t="str">
        <f aca="false">IF($T1996="","",IF($U1996&lt;=BankCostEnvelope*'5. Scenarios'!$E$7,1,0))</f>
        <v/>
      </c>
      <c r="W1996" s="57" t="str">
        <f aca="false">IF($S1996="","",INDEX(BookRate,1991)*(1+'5. Scenarios'!$E$10)*(INDEX(BookQ1,1991)*(5-MIN(4,1+'5. Scenarios'!$E$8))/4+INDEX(BookQ2,1991)*(5-MIN(4,2+'5. Scenarios'!$E$8))/4+INDEX(BookQ3,1991)*(5-MIN(4,3+'5. Scenarios'!$E$8))/4+INDEX(BookQ4,1991)*(5-MIN(4,4+'5. Scenarios'!$E$8))/4)*'5. Scenarios'!$E$6/(1+ProductivityDefault*('5. Scenarios'!$E$11-1))+INDEX(BookOneOff,1991)*$S1996)</f>
        <v/>
      </c>
    </row>
    <row r="1997" customFormat="false" ht="15" hidden="false" customHeight="false" outlineLevel="0" collapsed="false">
      <c r="A1997" s="0" t="str">
        <f aca="false">IF(INDEX(BookTitle,1992)="","",INDEX(BookKey,1992))</f>
        <v/>
      </c>
      <c r="B1997" s="0" t="str">
        <f aca="false">IF(INDEX(BookTitle,1992)="","",INDEX(BookGroup,1992))</f>
        <v/>
      </c>
      <c r="C1997" s="0" t="str">
        <f aca="false">IF(INDEX(BookTitle,1992)="","",INDEX(BookCategory,1992))</f>
        <v/>
      </c>
      <c r="D1997" s="56" t="str">
        <f aca="false">IF(INDEX(BookTitle,1992)="","",INDEX(BookTotal,1992)*'5. Scenarios'!$B$6/(1+ProductivityDefault*('5. Scenarios'!$B$11-1)))</f>
        <v/>
      </c>
      <c r="E1997" s="57" t="str">
        <f aca="false">IF($D1997="","",INDEX(BookRate,1992)*(1+'5. Scenarios'!$B$10)*$D1997)</f>
        <v/>
      </c>
      <c r="F1997" s="57" t="str">
        <f aca="false">IF($E1997="","",SUMIFS($E$6:$E$2405,$A$6:$A$2405,"&lt;="&amp;$A1997))</f>
        <v/>
      </c>
      <c r="G1997" s="57" t="str">
        <f aca="false">IF($E1997="","",IF($F1997&lt;=BankCostEnvelope*'5. Scenarios'!$B$7,1,0))</f>
        <v/>
      </c>
      <c r="H1997" s="57" t="str">
        <f aca="false">IF($D1997="","",INDEX(BookRate,1992)*(1+'5. Scenarios'!$B$10)*(INDEX(BookQ1,1992)*(5-MIN(4,1+'5. Scenarios'!$B$8))/4+INDEX(BookQ2,1992)*(5-MIN(4,2+'5. Scenarios'!$B$8))/4+INDEX(BookQ3,1992)*(5-MIN(4,3+'5. Scenarios'!$B$8))/4+INDEX(BookQ4,1992)*(5-MIN(4,4+'5. Scenarios'!$B$8))/4)*'5. Scenarios'!$B$6/(1+ProductivityDefault*('5. Scenarios'!$B$11-1))+INDEX(BookOneOff,1992)*$D1997)</f>
        <v/>
      </c>
      <c r="I1997" s="56" t="str">
        <f aca="false">IF(INDEX(BookTitle,1992)="","",INDEX(BookTotal,1992)*'5. Scenarios'!$C$6/(1+ProductivityDefault*('5. Scenarios'!$C$11-1)))</f>
        <v/>
      </c>
      <c r="J1997" s="57" t="str">
        <f aca="false">IF($I1997="","",INDEX(BookRate,1992)*(1+'5. Scenarios'!$C$10)*$I1997)</f>
        <v/>
      </c>
      <c r="K1997" s="57" t="str">
        <f aca="false">IF($J1997="","",SUMIFS($J$6:$J$2405,$A$6:$A$2405,"&lt;="&amp;$A1997))</f>
        <v/>
      </c>
      <c r="L1997" s="57" t="str">
        <f aca="false">IF($J1997="","",IF($K1997&lt;=BankCostEnvelope*'5. Scenarios'!$C$7,1,0))</f>
        <v/>
      </c>
      <c r="M1997" s="57" t="str">
        <f aca="false">IF($I1997="","",INDEX(BookRate,1992)*(1+'5. Scenarios'!$C$10)*(INDEX(BookQ1,1992)*(5-MIN(4,1+'5. Scenarios'!$C$8))/4+INDEX(BookQ2,1992)*(5-MIN(4,2+'5. Scenarios'!$C$8))/4+INDEX(BookQ3,1992)*(5-MIN(4,3+'5. Scenarios'!$C$8))/4+INDEX(BookQ4,1992)*(5-MIN(4,4+'5. Scenarios'!$C$8))/4)*'5. Scenarios'!$C$6/(1+ProductivityDefault*('5. Scenarios'!$C$11-1))+INDEX(BookOneOff,1992)*$I1997)</f>
        <v/>
      </c>
      <c r="N1997" s="56" t="str">
        <f aca="false">IF(INDEX(BookTitle,1992)="","",INDEX(BookTotal,1992)*'5. Scenarios'!$D$6/(1+ProductivityDefault*('5. Scenarios'!$D$11-1)))</f>
        <v/>
      </c>
      <c r="O1997" s="57" t="str">
        <f aca="false">IF($N1997="","",INDEX(BookRate,1992)*(1+'5. Scenarios'!$D$10)*$N1997)</f>
        <v/>
      </c>
      <c r="P1997" s="57" t="str">
        <f aca="false">IF($O1997="","",SUMIFS($O$6:$O$2405,$A$6:$A$2405,"&lt;="&amp;$A1997))</f>
        <v/>
      </c>
      <c r="Q1997" s="57" t="str">
        <f aca="false">IF($O1997="","",IF($P1997&lt;=BankCostEnvelope*'5. Scenarios'!$D$7,1,0))</f>
        <v/>
      </c>
      <c r="R1997" s="57" t="str">
        <f aca="false">IF($N1997="","",INDEX(BookRate,1992)*(1+'5. Scenarios'!$D$10)*(INDEX(BookQ1,1992)*(5-MIN(4,1+'5. Scenarios'!$D$8))/4+INDEX(BookQ2,1992)*(5-MIN(4,2+'5. Scenarios'!$D$8))/4+INDEX(BookQ3,1992)*(5-MIN(4,3+'5. Scenarios'!$D$8))/4+INDEX(BookQ4,1992)*(5-MIN(4,4+'5. Scenarios'!$D$8))/4)*'5. Scenarios'!$D$6/(1+ProductivityDefault*('5. Scenarios'!$D$11-1))+INDEX(BookOneOff,1992)*$N1997)</f>
        <v/>
      </c>
      <c r="S1997" s="56" t="str">
        <f aca="false">IF(INDEX(BookTitle,1992)="","",INDEX(BookTotal,1992)*'5. Scenarios'!$E$6/(1+ProductivityDefault*('5. Scenarios'!$E$11-1)))</f>
        <v/>
      </c>
      <c r="T1997" s="57" t="str">
        <f aca="false">IF($S1997="","",INDEX(BookRate,1992)*(1+'5. Scenarios'!$E$10)*$S1997)</f>
        <v/>
      </c>
      <c r="U1997" s="57" t="str">
        <f aca="false">IF($T1997="","",SUMIFS($T$6:$T$2405,$A$6:$A$2405,"&lt;="&amp;$A1997))</f>
        <v/>
      </c>
      <c r="V1997" s="57" t="str">
        <f aca="false">IF($T1997="","",IF($U1997&lt;=BankCostEnvelope*'5. Scenarios'!$E$7,1,0))</f>
        <v/>
      </c>
      <c r="W1997" s="57" t="str">
        <f aca="false">IF($S1997="","",INDEX(BookRate,1992)*(1+'5. Scenarios'!$E$10)*(INDEX(BookQ1,1992)*(5-MIN(4,1+'5. Scenarios'!$E$8))/4+INDEX(BookQ2,1992)*(5-MIN(4,2+'5. Scenarios'!$E$8))/4+INDEX(BookQ3,1992)*(5-MIN(4,3+'5. Scenarios'!$E$8))/4+INDEX(BookQ4,1992)*(5-MIN(4,4+'5. Scenarios'!$E$8))/4)*'5. Scenarios'!$E$6/(1+ProductivityDefault*('5. Scenarios'!$E$11-1))+INDEX(BookOneOff,1992)*$S1997)</f>
        <v/>
      </c>
    </row>
    <row r="1998" customFormat="false" ht="15" hidden="false" customHeight="false" outlineLevel="0" collapsed="false">
      <c r="A1998" s="0" t="str">
        <f aca="false">IF(INDEX(BookTitle,1993)="","",INDEX(BookKey,1993))</f>
        <v/>
      </c>
      <c r="B1998" s="0" t="str">
        <f aca="false">IF(INDEX(BookTitle,1993)="","",INDEX(BookGroup,1993))</f>
        <v/>
      </c>
      <c r="C1998" s="0" t="str">
        <f aca="false">IF(INDEX(BookTitle,1993)="","",INDEX(BookCategory,1993))</f>
        <v/>
      </c>
      <c r="D1998" s="56" t="str">
        <f aca="false">IF(INDEX(BookTitle,1993)="","",INDEX(BookTotal,1993)*'5. Scenarios'!$B$6/(1+ProductivityDefault*('5. Scenarios'!$B$11-1)))</f>
        <v/>
      </c>
      <c r="E1998" s="57" t="str">
        <f aca="false">IF($D1998="","",INDEX(BookRate,1993)*(1+'5. Scenarios'!$B$10)*$D1998)</f>
        <v/>
      </c>
      <c r="F1998" s="57" t="str">
        <f aca="false">IF($E1998="","",SUMIFS($E$6:$E$2405,$A$6:$A$2405,"&lt;="&amp;$A1998))</f>
        <v/>
      </c>
      <c r="G1998" s="57" t="str">
        <f aca="false">IF($E1998="","",IF($F1998&lt;=BankCostEnvelope*'5. Scenarios'!$B$7,1,0))</f>
        <v/>
      </c>
      <c r="H1998" s="57" t="str">
        <f aca="false">IF($D1998="","",INDEX(BookRate,1993)*(1+'5. Scenarios'!$B$10)*(INDEX(BookQ1,1993)*(5-MIN(4,1+'5. Scenarios'!$B$8))/4+INDEX(BookQ2,1993)*(5-MIN(4,2+'5. Scenarios'!$B$8))/4+INDEX(BookQ3,1993)*(5-MIN(4,3+'5. Scenarios'!$B$8))/4+INDEX(BookQ4,1993)*(5-MIN(4,4+'5. Scenarios'!$B$8))/4)*'5. Scenarios'!$B$6/(1+ProductivityDefault*('5. Scenarios'!$B$11-1))+INDEX(BookOneOff,1993)*$D1998)</f>
        <v/>
      </c>
      <c r="I1998" s="56" t="str">
        <f aca="false">IF(INDEX(BookTitle,1993)="","",INDEX(BookTotal,1993)*'5. Scenarios'!$C$6/(1+ProductivityDefault*('5. Scenarios'!$C$11-1)))</f>
        <v/>
      </c>
      <c r="J1998" s="57" t="str">
        <f aca="false">IF($I1998="","",INDEX(BookRate,1993)*(1+'5. Scenarios'!$C$10)*$I1998)</f>
        <v/>
      </c>
      <c r="K1998" s="57" t="str">
        <f aca="false">IF($J1998="","",SUMIFS($J$6:$J$2405,$A$6:$A$2405,"&lt;="&amp;$A1998))</f>
        <v/>
      </c>
      <c r="L1998" s="57" t="str">
        <f aca="false">IF($J1998="","",IF($K1998&lt;=BankCostEnvelope*'5. Scenarios'!$C$7,1,0))</f>
        <v/>
      </c>
      <c r="M1998" s="57" t="str">
        <f aca="false">IF($I1998="","",INDEX(BookRate,1993)*(1+'5. Scenarios'!$C$10)*(INDEX(BookQ1,1993)*(5-MIN(4,1+'5. Scenarios'!$C$8))/4+INDEX(BookQ2,1993)*(5-MIN(4,2+'5. Scenarios'!$C$8))/4+INDEX(BookQ3,1993)*(5-MIN(4,3+'5. Scenarios'!$C$8))/4+INDEX(BookQ4,1993)*(5-MIN(4,4+'5. Scenarios'!$C$8))/4)*'5. Scenarios'!$C$6/(1+ProductivityDefault*('5. Scenarios'!$C$11-1))+INDEX(BookOneOff,1993)*$I1998)</f>
        <v/>
      </c>
      <c r="N1998" s="56" t="str">
        <f aca="false">IF(INDEX(BookTitle,1993)="","",INDEX(BookTotal,1993)*'5. Scenarios'!$D$6/(1+ProductivityDefault*('5. Scenarios'!$D$11-1)))</f>
        <v/>
      </c>
      <c r="O1998" s="57" t="str">
        <f aca="false">IF($N1998="","",INDEX(BookRate,1993)*(1+'5. Scenarios'!$D$10)*$N1998)</f>
        <v/>
      </c>
      <c r="P1998" s="57" t="str">
        <f aca="false">IF($O1998="","",SUMIFS($O$6:$O$2405,$A$6:$A$2405,"&lt;="&amp;$A1998))</f>
        <v/>
      </c>
      <c r="Q1998" s="57" t="str">
        <f aca="false">IF($O1998="","",IF($P1998&lt;=BankCostEnvelope*'5. Scenarios'!$D$7,1,0))</f>
        <v/>
      </c>
      <c r="R1998" s="57" t="str">
        <f aca="false">IF($N1998="","",INDEX(BookRate,1993)*(1+'5. Scenarios'!$D$10)*(INDEX(BookQ1,1993)*(5-MIN(4,1+'5. Scenarios'!$D$8))/4+INDEX(BookQ2,1993)*(5-MIN(4,2+'5. Scenarios'!$D$8))/4+INDEX(BookQ3,1993)*(5-MIN(4,3+'5. Scenarios'!$D$8))/4+INDEX(BookQ4,1993)*(5-MIN(4,4+'5. Scenarios'!$D$8))/4)*'5. Scenarios'!$D$6/(1+ProductivityDefault*('5. Scenarios'!$D$11-1))+INDEX(BookOneOff,1993)*$N1998)</f>
        <v/>
      </c>
      <c r="S1998" s="56" t="str">
        <f aca="false">IF(INDEX(BookTitle,1993)="","",INDEX(BookTotal,1993)*'5. Scenarios'!$E$6/(1+ProductivityDefault*('5. Scenarios'!$E$11-1)))</f>
        <v/>
      </c>
      <c r="T1998" s="57" t="str">
        <f aca="false">IF($S1998="","",INDEX(BookRate,1993)*(1+'5. Scenarios'!$E$10)*$S1998)</f>
        <v/>
      </c>
      <c r="U1998" s="57" t="str">
        <f aca="false">IF($T1998="","",SUMIFS($T$6:$T$2405,$A$6:$A$2405,"&lt;="&amp;$A1998))</f>
        <v/>
      </c>
      <c r="V1998" s="57" t="str">
        <f aca="false">IF($T1998="","",IF($U1998&lt;=BankCostEnvelope*'5. Scenarios'!$E$7,1,0))</f>
        <v/>
      </c>
      <c r="W1998" s="57" t="str">
        <f aca="false">IF($S1998="","",INDEX(BookRate,1993)*(1+'5. Scenarios'!$E$10)*(INDEX(BookQ1,1993)*(5-MIN(4,1+'5. Scenarios'!$E$8))/4+INDEX(BookQ2,1993)*(5-MIN(4,2+'5. Scenarios'!$E$8))/4+INDEX(BookQ3,1993)*(5-MIN(4,3+'5. Scenarios'!$E$8))/4+INDEX(BookQ4,1993)*(5-MIN(4,4+'5. Scenarios'!$E$8))/4)*'5. Scenarios'!$E$6/(1+ProductivityDefault*('5. Scenarios'!$E$11-1))+INDEX(BookOneOff,1993)*$S1998)</f>
        <v/>
      </c>
    </row>
    <row r="1999" customFormat="false" ht="15" hidden="false" customHeight="false" outlineLevel="0" collapsed="false">
      <c r="A1999" s="0" t="str">
        <f aca="false">IF(INDEX(BookTitle,1994)="","",INDEX(BookKey,1994))</f>
        <v/>
      </c>
      <c r="B1999" s="0" t="str">
        <f aca="false">IF(INDEX(BookTitle,1994)="","",INDEX(BookGroup,1994))</f>
        <v/>
      </c>
      <c r="C1999" s="0" t="str">
        <f aca="false">IF(INDEX(BookTitle,1994)="","",INDEX(BookCategory,1994))</f>
        <v/>
      </c>
      <c r="D1999" s="56" t="str">
        <f aca="false">IF(INDEX(BookTitle,1994)="","",INDEX(BookTotal,1994)*'5. Scenarios'!$B$6/(1+ProductivityDefault*('5. Scenarios'!$B$11-1)))</f>
        <v/>
      </c>
      <c r="E1999" s="57" t="str">
        <f aca="false">IF($D1999="","",INDEX(BookRate,1994)*(1+'5. Scenarios'!$B$10)*$D1999)</f>
        <v/>
      </c>
      <c r="F1999" s="57" t="str">
        <f aca="false">IF($E1999="","",SUMIFS($E$6:$E$2405,$A$6:$A$2405,"&lt;="&amp;$A1999))</f>
        <v/>
      </c>
      <c r="G1999" s="57" t="str">
        <f aca="false">IF($E1999="","",IF($F1999&lt;=BankCostEnvelope*'5. Scenarios'!$B$7,1,0))</f>
        <v/>
      </c>
      <c r="H1999" s="57" t="str">
        <f aca="false">IF($D1999="","",INDEX(BookRate,1994)*(1+'5. Scenarios'!$B$10)*(INDEX(BookQ1,1994)*(5-MIN(4,1+'5. Scenarios'!$B$8))/4+INDEX(BookQ2,1994)*(5-MIN(4,2+'5. Scenarios'!$B$8))/4+INDEX(BookQ3,1994)*(5-MIN(4,3+'5. Scenarios'!$B$8))/4+INDEX(BookQ4,1994)*(5-MIN(4,4+'5. Scenarios'!$B$8))/4)*'5. Scenarios'!$B$6/(1+ProductivityDefault*('5. Scenarios'!$B$11-1))+INDEX(BookOneOff,1994)*$D1999)</f>
        <v/>
      </c>
      <c r="I1999" s="56" t="str">
        <f aca="false">IF(INDEX(BookTitle,1994)="","",INDEX(BookTotal,1994)*'5. Scenarios'!$C$6/(1+ProductivityDefault*('5. Scenarios'!$C$11-1)))</f>
        <v/>
      </c>
      <c r="J1999" s="57" t="str">
        <f aca="false">IF($I1999="","",INDEX(BookRate,1994)*(1+'5. Scenarios'!$C$10)*$I1999)</f>
        <v/>
      </c>
      <c r="K1999" s="57" t="str">
        <f aca="false">IF($J1999="","",SUMIFS($J$6:$J$2405,$A$6:$A$2405,"&lt;="&amp;$A1999))</f>
        <v/>
      </c>
      <c r="L1999" s="57" t="str">
        <f aca="false">IF($J1999="","",IF($K1999&lt;=BankCostEnvelope*'5. Scenarios'!$C$7,1,0))</f>
        <v/>
      </c>
      <c r="M1999" s="57" t="str">
        <f aca="false">IF($I1999="","",INDEX(BookRate,1994)*(1+'5. Scenarios'!$C$10)*(INDEX(BookQ1,1994)*(5-MIN(4,1+'5. Scenarios'!$C$8))/4+INDEX(BookQ2,1994)*(5-MIN(4,2+'5. Scenarios'!$C$8))/4+INDEX(BookQ3,1994)*(5-MIN(4,3+'5. Scenarios'!$C$8))/4+INDEX(BookQ4,1994)*(5-MIN(4,4+'5. Scenarios'!$C$8))/4)*'5. Scenarios'!$C$6/(1+ProductivityDefault*('5. Scenarios'!$C$11-1))+INDEX(BookOneOff,1994)*$I1999)</f>
        <v/>
      </c>
      <c r="N1999" s="56" t="str">
        <f aca="false">IF(INDEX(BookTitle,1994)="","",INDEX(BookTotal,1994)*'5. Scenarios'!$D$6/(1+ProductivityDefault*('5. Scenarios'!$D$11-1)))</f>
        <v/>
      </c>
      <c r="O1999" s="57" t="str">
        <f aca="false">IF($N1999="","",INDEX(BookRate,1994)*(1+'5. Scenarios'!$D$10)*$N1999)</f>
        <v/>
      </c>
      <c r="P1999" s="57" t="str">
        <f aca="false">IF($O1999="","",SUMIFS($O$6:$O$2405,$A$6:$A$2405,"&lt;="&amp;$A1999))</f>
        <v/>
      </c>
      <c r="Q1999" s="57" t="str">
        <f aca="false">IF($O1999="","",IF($P1999&lt;=BankCostEnvelope*'5. Scenarios'!$D$7,1,0))</f>
        <v/>
      </c>
      <c r="R1999" s="57" t="str">
        <f aca="false">IF($N1999="","",INDEX(BookRate,1994)*(1+'5. Scenarios'!$D$10)*(INDEX(BookQ1,1994)*(5-MIN(4,1+'5. Scenarios'!$D$8))/4+INDEX(BookQ2,1994)*(5-MIN(4,2+'5. Scenarios'!$D$8))/4+INDEX(BookQ3,1994)*(5-MIN(4,3+'5. Scenarios'!$D$8))/4+INDEX(BookQ4,1994)*(5-MIN(4,4+'5. Scenarios'!$D$8))/4)*'5. Scenarios'!$D$6/(1+ProductivityDefault*('5. Scenarios'!$D$11-1))+INDEX(BookOneOff,1994)*$N1999)</f>
        <v/>
      </c>
      <c r="S1999" s="56" t="str">
        <f aca="false">IF(INDEX(BookTitle,1994)="","",INDEX(BookTotal,1994)*'5. Scenarios'!$E$6/(1+ProductivityDefault*('5. Scenarios'!$E$11-1)))</f>
        <v/>
      </c>
      <c r="T1999" s="57" t="str">
        <f aca="false">IF($S1999="","",INDEX(BookRate,1994)*(1+'5. Scenarios'!$E$10)*$S1999)</f>
        <v/>
      </c>
      <c r="U1999" s="57" t="str">
        <f aca="false">IF($T1999="","",SUMIFS($T$6:$T$2405,$A$6:$A$2405,"&lt;="&amp;$A1999))</f>
        <v/>
      </c>
      <c r="V1999" s="57" t="str">
        <f aca="false">IF($T1999="","",IF($U1999&lt;=BankCostEnvelope*'5. Scenarios'!$E$7,1,0))</f>
        <v/>
      </c>
      <c r="W1999" s="57" t="str">
        <f aca="false">IF($S1999="","",INDEX(BookRate,1994)*(1+'5. Scenarios'!$E$10)*(INDEX(BookQ1,1994)*(5-MIN(4,1+'5. Scenarios'!$E$8))/4+INDEX(BookQ2,1994)*(5-MIN(4,2+'5. Scenarios'!$E$8))/4+INDEX(BookQ3,1994)*(5-MIN(4,3+'5. Scenarios'!$E$8))/4+INDEX(BookQ4,1994)*(5-MIN(4,4+'5. Scenarios'!$E$8))/4)*'5. Scenarios'!$E$6/(1+ProductivityDefault*('5. Scenarios'!$E$11-1))+INDEX(BookOneOff,1994)*$S1999)</f>
        <v/>
      </c>
    </row>
    <row r="2000" customFormat="false" ht="15" hidden="false" customHeight="false" outlineLevel="0" collapsed="false">
      <c r="A2000" s="0" t="str">
        <f aca="false">IF(INDEX(BookTitle,1995)="","",INDEX(BookKey,1995))</f>
        <v/>
      </c>
      <c r="B2000" s="0" t="str">
        <f aca="false">IF(INDEX(BookTitle,1995)="","",INDEX(BookGroup,1995))</f>
        <v/>
      </c>
      <c r="C2000" s="0" t="str">
        <f aca="false">IF(INDEX(BookTitle,1995)="","",INDEX(BookCategory,1995))</f>
        <v/>
      </c>
      <c r="D2000" s="56" t="str">
        <f aca="false">IF(INDEX(BookTitle,1995)="","",INDEX(BookTotal,1995)*'5. Scenarios'!$B$6/(1+ProductivityDefault*('5. Scenarios'!$B$11-1)))</f>
        <v/>
      </c>
      <c r="E2000" s="57" t="str">
        <f aca="false">IF($D2000="","",INDEX(BookRate,1995)*(1+'5. Scenarios'!$B$10)*$D2000)</f>
        <v/>
      </c>
      <c r="F2000" s="57" t="str">
        <f aca="false">IF($E2000="","",SUMIFS($E$6:$E$2405,$A$6:$A$2405,"&lt;="&amp;$A2000))</f>
        <v/>
      </c>
      <c r="G2000" s="57" t="str">
        <f aca="false">IF($E2000="","",IF($F2000&lt;=BankCostEnvelope*'5. Scenarios'!$B$7,1,0))</f>
        <v/>
      </c>
      <c r="H2000" s="57" t="str">
        <f aca="false">IF($D2000="","",INDEX(BookRate,1995)*(1+'5. Scenarios'!$B$10)*(INDEX(BookQ1,1995)*(5-MIN(4,1+'5. Scenarios'!$B$8))/4+INDEX(BookQ2,1995)*(5-MIN(4,2+'5. Scenarios'!$B$8))/4+INDEX(BookQ3,1995)*(5-MIN(4,3+'5. Scenarios'!$B$8))/4+INDEX(BookQ4,1995)*(5-MIN(4,4+'5. Scenarios'!$B$8))/4)*'5. Scenarios'!$B$6/(1+ProductivityDefault*('5. Scenarios'!$B$11-1))+INDEX(BookOneOff,1995)*$D2000)</f>
        <v/>
      </c>
      <c r="I2000" s="56" t="str">
        <f aca="false">IF(INDEX(BookTitle,1995)="","",INDEX(BookTotal,1995)*'5. Scenarios'!$C$6/(1+ProductivityDefault*('5. Scenarios'!$C$11-1)))</f>
        <v/>
      </c>
      <c r="J2000" s="57" t="str">
        <f aca="false">IF($I2000="","",INDEX(BookRate,1995)*(1+'5. Scenarios'!$C$10)*$I2000)</f>
        <v/>
      </c>
      <c r="K2000" s="57" t="str">
        <f aca="false">IF($J2000="","",SUMIFS($J$6:$J$2405,$A$6:$A$2405,"&lt;="&amp;$A2000))</f>
        <v/>
      </c>
      <c r="L2000" s="57" t="str">
        <f aca="false">IF($J2000="","",IF($K2000&lt;=BankCostEnvelope*'5. Scenarios'!$C$7,1,0))</f>
        <v/>
      </c>
      <c r="M2000" s="57" t="str">
        <f aca="false">IF($I2000="","",INDEX(BookRate,1995)*(1+'5. Scenarios'!$C$10)*(INDEX(BookQ1,1995)*(5-MIN(4,1+'5. Scenarios'!$C$8))/4+INDEX(BookQ2,1995)*(5-MIN(4,2+'5. Scenarios'!$C$8))/4+INDEX(BookQ3,1995)*(5-MIN(4,3+'5. Scenarios'!$C$8))/4+INDEX(BookQ4,1995)*(5-MIN(4,4+'5. Scenarios'!$C$8))/4)*'5. Scenarios'!$C$6/(1+ProductivityDefault*('5. Scenarios'!$C$11-1))+INDEX(BookOneOff,1995)*$I2000)</f>
        <v/>
      </c>
      <c r="N2000" s="56" t="str">
        <f aca="false">IF(INDEX(BookTitle,1995)="","",INDEX(BookTotal,1995)*'5. Scenarios'!$D$6/(1+ProductivityDefault*('5. Scenarios'!$D$11-1)))</f>
        <v/>
      </c>
      <c r="O2000" s="57" t="str">
        <f aca="false">IF($N2000="","",INDEX(BookRate,1995)*(1+'5. Scenarios'!$D$10)*$N2000)</f>
        <v/>
      </c>
      <c r="P2000" s="57" t="str">
        <f aca="false">IF($O2000="","",SUMIFS($O$6:$O$2405,$A$6:$A$2405,"&lt;="&amp;$A2000))</f>
        <v/>
      </c>
      <c r="Q2000" s="57" t="str">
        <f aca="false">IF($O2000="","",IF($P2000&lt;=BankCostEnvelope*'5. Scenarios'!$D$7,1,0))</f>
        <v/>
      </c>
      <c r="R2000" s="57" t="str">
        <f aca="false">IF($N2000="","",INDEX(BookRate,1995)*(1+'5. Scenarios'!$D$10)*(INDEX(BookQ1,1995)*(5-MIN(4,1+'5. Scenarios'!$D$8))/4+INDEX(BookQ2,1995)*(5-MIN(4,2+'5. Scenarios'!$D$8))/4+INDEX(BookQ3,1995)*(5-MIN(4,3+'5. Scenarios'!$D$8))/4+INDEX(BookQ4,1995)*(5-MIN(4,4+'5. Scenarios'!$D$8))/4)*'5. Scenarios'!$D$6/(1+ProductivityDefault*('5. Scenarios'!$D$11-1))+INDEX(BookOneOff,1995)*$N2000)</f>
        <v/>
      </c>
      <c r="S2000" s="56" t="str">
        <f aca="false">IF(INDEX(BookTitle,1995)="","",INDEX(BookTotal,1995)*'5. Scenarios'!$E$6/(1+ProductivityDefault*('5. Scenarios'!$E$11-1)))</f>
        <v/>
      </c>
      <c r="T2000" s="57" t="str">
        <f aca="false">IF($S2000="","",INDEX(BookRate,1995)*(1+'5. Scenarios'!$E$10)*$S2000)</f>
        <v/>
      </c>
      <c r="U2000" s="57" t="str">
        <f aca="false">IF($T2000="","",SUMIFS($T$6:$T$2405,$A$6:$A$2405,"&lt;="&amp;$A2000))</f>
        <v/>
      </c>
      <c r="V2000" s="57" t="str">
        <f aca="false">IF($T2000="","",IF($U2000&lt;=BankCostEnvelope*'5. Scenarios'!$E$7,1,0))</f>
        <v/>
      </c>
      <c r="W2000" s="57" t="str">
        <f aca="false">IF($S2000="","",INDEX(BookRate,1995)*(1+'5. Scenarios'!$E$10)*(INDEX(BookQ1,1995)*(5-MIN(4,1+'5. Scenarios'!$E$8))/4+INDEX(BookQ2,1995)*(5-MIN(4,2+'5. Scenarios'!$E$8))/4+INDEX(BookQ3,1995)*(5-MIN(4,3+'5. Scenarios'!$E$8))/4+INDEX(BookQ4,1995)*(5-MIN(4,4+'5. Scenarios'!$E$8))/4)*'5. Scenarios'!$E$6/(1+ProductivityDefault*('5. Scenarios'!$E$11-1))+INDEX(BookOneOff,1995)*$S2000)</f>
        <v/>
      </c>
    </row>
    <row r="2001" customFormat="false" ht="15" hidden="false" customHeight="false" outlineLevel="0" collapsed="false">
      <c r="A2001" s="0" t="str">
        <f aca="false">IF(INDEX(BookTitle,1996)="","",INDEX(BookKey,1996))</f>
        <v/>
      </c>
      <c r="B2001" s="0" t="str">
        <f aca="false">IF(INDEX(BookTitle,1996)="","",INDEX(BookGroup,1996))</f>
        <v/>
      </c>
      <c r="C2001" s="0" t="str">
        <f aca="false">IF(INDEX(BookTitle,1996)="","",INDEX(BookCategory,1996))</f>
        <v/>
      </c>
      <c r="D2001" s="56" t="str">
        <f aca="false">IF(INDEX(BookTitle,1996)="","",INDEX(BookTotal,1996)*'5. Scenarios'!$B$6/(1+ProductivityDefault*('5. Scenarios'!$B$11-1)))</f>
        <v/>
      </c>
      <c r="E2001" s="57" t="str">
        <f aca="false">IF($D2001="","",INDEX(BookRate,1996)*(1+'5. Scenarios'!$B$10)*$D2001)</f>
        <v/>
      </c>
      <c r="F2001" s="57" t="str">
        <f aca="false">IF($E2001="","",SUMIFS($E$6:$E$2405,$A$6:$A$2405,"&lt;="&amp;$A2001))</f>
        <v/>
      </c>
      <c r="G2001" s="57" t="str">
        <f aca="false">IF($E2001="","",IF($F2001&lt;=BankCostEnvelope*'5. Scenarios'!$B$7,1,0))</f>
        <v/>
      </c>
      <c r="H2001" s="57" t="str">
        <f aca="false">IF($D2001="","",INDEX(BookRate,1996)*(1+'5. Scenarios'!$B$10)*(INDEX(BookQ1,1996)*(5-MIN(4,1+'5. Scenarios'!$B$8))/4+INDEX(BookQ2,1996)*(5-MIN(4,2+'5. Scenarios'!$B$8))/4+INDEX(BookQ3,1996)*(5-MIN(4,3+'5. Scenarios'!$B$8))/4+INDEX(BookQ4,1996)*(5-MIN(4,4+'5. Scenarios'!$B$8))/4)*'5. Scenarios'!$B$6/(1+ProductivityDefault*('5. Scenarios'!$B$11-1))+INDEX(BookOneOff,1996)*$D2001)</f>
        <v/>
      </c>
      <c r="I2001" s="56" t="str">
        <f aca="false">IF(INDEX(BookTitle,1996)="","",INDEX(BookTotal,1996)*'5. Scenarios'!$C$6/(1+ProductivityDefault*('5. Scenarios'!$C$11-1)))</f>
        <v/>
      </c>
      <c r="J2001" s="57" t="str">
        <f aca="false">IF($I2001="","",INDEX(BookRate,1996)*(1+'5. Scenarios'!$C$10)*$I2001)</f>
        <v/>
      </c>
      <c r="K2001" s="57" t="str">
        <f aca="false">IF($J2001="","",SUMIFS($J$6:$J$2405,$A$6:$A$2405,"&lt;="&amp;$A2001))</f>
        <v/>
      </c>
      <c r="L2001" s="57" t="str">
        <f aca="false">IF($J2001="","",IF($K2001&lt;=BankCostEnvelope*'5. Scenarios'!$C$7,1,0))</f>
        <v/>
      </c>
      <c r="M2001" s="57" t="str">
        <f aca="false">IF($I2001="","",INDEX(BookRate,1996)*(1+'5. Scenarios'!$C$10)*(INDEX(BookQ1,1996)*(5-MIN(4,1+'5. Scenarios'!$C$8))/4+INDEX(BookQ2,1996)*(5-MIN(4,2+'5. Scenarios'!$C$8))/4+INDEX(BookQ3,1996)*(5-MIN(4,3+'5. Scenarios'!$C$8))/4+INDEX(BookQ4,1996)*(5-MIN(4,4+'5. Scenarios'!$C$8))/4)*'5. Scenarios'!$C$6/(1+ProductivityDefault*('5. Scenarios'!$C$11-1))+INDEX(BookOneOff,1996)*$I2001)</f>
        <v/>
      </c>
      <c r="N2001" s="56" t="str">
        <f aca="false">IF(INDEX(BookTitle,1996)="","",INDEX(BookTotal,1996)*'5. Scenarios'!$D$6/(1+ProductivityDefault*('5. Scenarios'!$D$11-1)))</f>
        <v/>
      </c>
      <c r="O2001" s="57" t="str">
        <f aca="false">IF($N2001="","",INDEX(BookRate,1996)*(1+'5. Scenarios'!$D$10)*$N2001)</f>
        <v/>
      </c>
      <c r="P2001" s="57" t="str">
        <f aca="false">IF($O2001="","",SUMIFS($O$6:$O$2405,$A$6:$A$2405,"&lt;="&amp;$A2001))</f>
        <v/>
      </c>
      <c r="Q2001" s="57" t="str">
        <f aca="false">IF($O2001="","",IF($P2001&lt;=BankCostEnvelope*'5. Scenarios'!$D$7,1,0))</f>
        <v/>
      </c>
      <c r="R2001" s="57" t="str">
        <f aca="false">IF($N2001="","",INDEX(BookRate,1996)*(1+'5. Scenarios'!$D$10)*(INDEX(BookQ1,1996)*(5-MIN(4,1+'5. Scenarios'!$D$8))/4+INDEX(BookQ2,1996)*(5-MIN(4,2+'5. Scenarios'!$D$8))/4+INDEX(BookQ3,1996)*(5-MIN(4,3+'5. Scenarios'!$D$8))/4+INDEX(BookQ4,1996)*(5-MIN(4,4+'5. Scenarios'!$D$8))/4)*'5. Scenarios'!$D$6/(1+ProductivityDefault*('5. Scenarios'!$D$11-1))+INDEX(BookOneOff,1996)*$N2001)</f>
        <v/>
      </c>
      <c r="S2001" s="56" t="str">
        <f aca="false">IF(INDEX(BookTitle,1996)="","",INDEX(BookTotal,1996)*'5. Scenarios'!$E$6/(1+ProductivityDefault*('5. Scenarios'!$E$11-1)))</f>
        <v/>
      </c>
      <c r="T2001" s="57" t="str">
        <f aca="false">IF($S2001="","",INDEX(BookRate,1996)*(1+'5. Scenarios'!$E$10)*$S2001)</f>
        <v/>
      </c>
      <c r="U2001" s="57" t="str">
        <f aca="false">IF($T2001="","",SUMIFS($T$6:$T$2405,$A$6:$A$2405,"&lt;="&amp;$A2001))</f>
        <v/>
      </c>
      <c r="V2001" s="57" t="str">
        <f aca="false">IF($T2001="","",IF($U2001&lt;=BankCostEnvelope*'5. Scenarios'!$E$7,1,0))</f>
        <v/>
      </c>
      <c r="W2001" s="57" t="str">
        <f aca="false">IF($S2001="","",INDEX(BookRate,1996)*(1+'5. Scenarios'!$E$10)*(INDEX(BookQ1,1996)*(5-MIN(4,1+'5. Scenarios'!$E$8))/4+INDEX(BookQ2,1996)*(5-MIN(4,2+'5. Scenarios'!$E$8))/4+INDEX(BookQ3,1996)*(5-MIN(4,3+'5. Scenarios'!$E$8))/4+INDEX(BookQ4,1996)*(5-MIN(4,4+'5. Scenarios'!$E$8))/4)*'5. Scenarios'!$E$6/(1+ProductivityDefault*('5. Scenarios'!$E$11-1))+INDEX(BookOneOff,1996)*$S2001)</f>
        <v/>
      </c>
    </row>
    <row r="2002" customFormat="false" ht="15" hidden="false" customHeight="false" outlineLevel="0" collapsed="false">
      <c r="A2002" s="0" t="str">
        <f aca="false">IF(INDEX(BookTitle,1997)="","",INDEX(BookKey,1997))</f>
        <v/>
      </c>
      <c r="B2002" s="0" t="str">
        <f aca="false">IF(INDEX(BookTitle,1997)="","",INDEX(BookGroup,1997))</f>
        <v/>
      </c>
      <c r="C2002" s="0" t="str">
        <f aca="false">IF(INDEX(BookTitle,1997)="","",INDEX(BookCategory,1997))</f>
        <v/>
      </c>
      <c r="D2002" s="56" t="str">
        <f aca="false">IF(INDEX(BookTitle,1997)="","",INDEX(BookTotal,1997)*'5. Scenarios'!$B$6/(1+ProductivityDefault*('5. Scenarios'!$B$11-1)))</f>
        <v/>
      </c>
      <c r="E2002" s="57" t="str">
        <f aca="false">IF($D2002="","",INDEX(BookRate,1997)*(1+'5. Scenarios'!$B$10)*$D2002)</f>
        <v/>
      </c>
      <c r="F2002" s="57" t="str">
        <f aca="false">IF($E2002="","",SUMIFS($E$6:$E$2405,$A$6:$A$2405,"&lt;="&amp;$A2002))</f>
        <v/>
      </c>
      <c r="G2002" s="57" t="str">
        <f aca="false">IF($E2002="","",IF($F2002&lt;=BankCostEnvelope*'5. Scenarios'!$B$7,1,0))</f>
        <v/>
      </c>
      <c r="H2002" s="57" t="str">
        <f aca="false">IF($D2002="","",INDEX(BookRate,1997)*(1+'5. Scenarios'!$B$10)*(INDEX(BookQ1,1997)*(5-MIN(4,1+'5. Scenarios'!$B$8))/4+INDEX(BookQ2,1997)*(5-MIN(4,2+'5. Scenarios'!$B$8))/4+INDEX(BookQ3,1997)*(5-MIN(4,3+'5. Scenarios'!$B$8))/4+INDEX(BookQ4,1997)*(5-MIN(4,4+'5. Scenarios'!$B$8))/4)*'5. Scenarios'!$B$6/(1+ProductivityDefault*('5. Scenarios'!$B$11-1))+INDEX(BookOneOff,1997)*$D2002)</f>
        <v/>
      </c>
      <c r="I2002" s="56" t="str">
        <f aca="false">IF(INDEX(BookTitle,1997)="","",INDEX(BookTotal,1997)*'5. Scenarios'!$C$6/(1+ProductivityDefault*('5. Scenarios'!$C$11-1)))</f>
        <v/>
      </c>
      <c r="J2002" s="57" t="str">
        <f aca="false">IF($I2002="","",INDEX(BookRate,1997)*(1+'5. Scenarios'!$C$10)*$I2002)</f>
        <v/>
      </c>
      <c r="K2002" s="57" t="str">
        <f aca="false">IF($J2002="","",SUMIFS($J$6:$J$2405,$A$6:$A$2405,"&lt;="&amp;$A2002))</f>
        <v/>
      </c>
      <c r="L2002" s="57" t="str">
        <f aca="false">IF($J2002="","",IF($K2002&lt;=BankCostEnvelope*'5. Scenarios'!$C$7,1,0))</f>
        <v/>
      </c>
      <c r="M2002" s="57" t="str">
        <f aca="false">IF($I2002="","",INDEX(BookRate,1997)*(1+'5. Scenarios'!$C$10)*(INDEX(BookQ1,1997)*(5-MIN(4,1+'5. Scenarios'!$C$8))/4+INDEX(BookQ2,1997)*(5-MIN(4,2+'5. Scenarios'!$C$8))/4+INDEX(BookQ3,1997)*(5-MIN(4,3+'5. Scenarios'!$C$8))/4+INDEX(BookQ4,1997)*(5-MIN(4,4+'5. Scenarios'!$C$8))/4)*'5. Scenarios'!$C$6/(1+ProductivityDefault*('5. Scenarios'!$C$11-1))+INDEX(BookOneOff,1997)*$I2002)</f>
        <v/>
      </c>
      <c r="N2002" s="56" t="str">
        <f aca="false">IF(INDEX(BookTitle,1997)="","",INDEX(BookTotal,1997)*'5. Scenarios'!$D$6/(1+ProductivityDefault*('5. Scenarios'!$D$11-1)))</f>
        <v/>
      </c>
      <c r="O2002" s="57" t="str">
        <f aca="false">IF($N2002="","",INDEX(BookRate,1997)*(1+'5. Scenarios'!$D$10)*$N2002)</f>
        <v/>
      </c>
      <c r="P2002" s="57" t="str">
        <f aca="false">IF($O2002="","",SUMIFS($O$6:$O$2405,$A$6:$A$2405,"&lt;="&amp;$A2002))</f>
        <v/>
      </c>
      <c r="Q2002" s="57" t="str">
        <f aca="false">IF($O2002="","",IF($P2002&lt;=BankCostEnvelope*'5. Scenarios'!$D$7,1,0))</f>
        <v/>
      </c>
      <c r="R2002" s="57" t="str">
        <f aca="false">IF($N2002="","",INDEX(BookRate,1997)*(1+'5. Scenarios'!$D$10)*(INDEX(BookQ1,1997)*(5-MIN(4,1+'5. Scenarios'!$D$8))/4+INDEX(BookQ2,1997)*(5-MIN(4,2+'5. Scenarios'!$D$8))/4+INDEX(BookQ3,1997)*(5-MIN(4,3+'5. Scenarios'!$D$8))/4+INDEX(BookQ4,1997)*(5-MIN(4,4+'5. Scenarios'!$D$8))/4)*'5. Scenarios'!$D$6/(1+ProductivityDefault*('5. Scenarios'!$D$11-1))+INDEX(BookOneOff,1997)*$N2002)</f>
        <v/>
      </c>
      <c r="S2002" s="56" t="str">
        <f aca="false">IF(INDEX(BookTitle,1997)="","",INDEX(BookTotal,1997)*'5. Scenarios'!$E$6/(1+ProductivityDefault*('5. Scenarios'!$E$11-1)))</f>
        <v/>
      </c>
      <c r="T2002" s="57" t="str">
        <f aca="false">IF($S2002="","",INDEX(BookRate,1997)*(1+'5. Scenarios'!$E$10)*$S2002)</f>
        <v/>
      </c>
      <c r="U2002" s="57" t="str">
        <f aca="false">IF($T2002="","",SUMIFS($T$6:$T$2405,$A$6:$A$2405,"&lt;="&amp;$A2002))</f>
        <v/>
      </c>
      <c r="V2002" s="57" t="str">
        <f aca="false">IF($T2002="","",IF($U2002&lt;=BankCostEnvelope*'5. Scenarios'!$E$7,1,0))</f>
        <v/>
      </c>
      <c r="W2002" s="57" t="str">
        <f aca="false">IF($S2002="","",INDEX(BookRate,1997)*(1+'5. Scenarios'!$E$10)*(INDEX(BookQ1,1997)*(5-MIN(4,1+'5. Scenarios'!$E$8))/4+INDEX(BookQ2,1997)*(5-MIN(4,2+'5. Scenarios'!$E$8))/4+INDEX(BookQ3,1997)*(5-MIN(4,3+'5. Scenarios'!$E$8))/4+INDEX(BookQ4,1997)*(5-MIN(4,4+'5. Scenarios'!$E$8))/4)*'5. Scenarios'!$E$6/(1+ProductivityDefault*('5. Scenarios'!$E$11-1))+INDEX(BookOneOff,1997)*$S2002)</f>
        <v/>
      </c>
    </row>
    <row r="2003" customFormat="false" ht="15" hidden="false" customHeight="false" outlineLevel="0" collapsed="false">
      <c r="A2003" s="0" t="str">
        <f aca="false">IF(INDEX(BookTitle,1998)="","",INDEX(BookKey,1998))</f>
        <v/>
      </c>
      <c r="B2003" s="0" t="str">
        <f aca="false">IF(INDEX(BookTitle,1998)="","",INDEX(BookGroup,1998))</f>
        <v/>
      </c>
      <c r="C2003" s="0" t="str">
        <f aca="false">IF(INDEX(BookTitle,1998)="","",INDEX(BookCategory,1998))</f>
        <v/>
      </c>
      <c r="D2003" s="56" t="str">
        <f aca="false">IF(INDEX(BookTitle,1998)="","",INDEX(BookTotal,1998)*'5. Scenarios'!$B$6/(1+ProductivityDefault*('5. Scenarios'!$B$11-1)))</f>
        <v/>
      </c>
      <c r="E2003" s="57" t="str">
        <f aca="false">IF($D2003="","",INDEX(BookRate,1998)*(1+'5. Scenarios'!$B$10)*$D2003)</f>
        <v/>
      </c>
      <c r="F2003" s="57" t="str">
        <f aca="false">IF($E2003="","",SUMIFS($E$6:$E$2405,$A$6:$A$2405,"&lt;="&amp;$A2003))</f>
        <v/>
      </c>
      <c r="G2003" s="57" t="str">
        <f aca="false">IF($E2003="","",IF($F2003&lt;=BankCostEnvelope*'5. Scenarios'!$B$7,1,0))</f>
        <v/>
      </c>
      <c r="H2003" s="57" t="str">
        <f aca="false">IF($D2003="","",INDEX(BookRate,1998)*(1+'5. Scenarios'!$B$10)*(INDEX(BookQ1,1998)*(5-MIN(4,1+'5. Scenarios'!$B$8))/4+INDEX(BookQ2,1998)*(5-MIN(4,2+'5. Scenarios'!$B$8))/4+INDEX(BookQ3,1998)*(5-MIN(4,3+'5. Scenarios'!$B$8))/4+INDEX(BookQ4,1998)*(5-MIN(4,4+'5. Scenarios'!$B$8))/4)*'5. Scenarios'!$B$6/(1+ProductivityDefault*('5. Scenarios'!$B$11-1))+INDEX(BookOneOff,1998)*$D2003)</f>
        <v/>
      </c>
      <c r="I2003" s="56" t="str">
        <f aca="false">IF(INDEX(BookTitle,1998)="","",INDEX(BookTotal,1998)*'5. Scenarios'!$C$6/(1+ProductivityDefault*('5. Scenarios'!$C$11-1)))</f>
        <v/>
      </c>
      <c r="J2003" s="57" t="str">
        <f aca="false">IF($I2003="","",INDEX(BookRate,1998)*(1+'5. Scenarios'!$C$10)*$I2003)</f>
        <v/>
      </c>
      <c r="K2003" s="57" t="str">
        <f aca="false">IF($J2003="","",SUMIFS($J$6:$J$2405,$A$6:$A$2405,"&lt;="&amp;$A2003))</f>
        <v/>
      </c>
      <c r="L2003" s="57" t="str">
        <f aca="false">IF($J2003="","",IF($K2003&lt;=BankCostEnvelope*'5. Scenarios'!$C$7,1,0))</f>
        <v/>
      </c>
      <c r="M2003" s="57" t="str">
        <f aca="false">IF($I2003="","",INDEX(BookRate,1998)*(1+'5. Scenarios'!$C$10)*(INDEX(BookQ1,1998)*(5-MIN(4,1+'5. Scenarios'!$C$8))/4+INDEX(BookQ2,1998)*(5-MIN(4,2+'5. Scenarios'!$C$8))/4+INDEX(BookQ3,1998)*(5-MIN(4,3+'5. Scenarios'!$C$8))/4+INDEX(BookQ4,1998)*(5-MIN(4,4+'5. Scenarios'!$C$8))/4)*'5. Scenarios'!$C$6/(1+ProductivityDefault*('5. Scenarios'!$C$11-1))+INDEX(BookOneOff,1998)*$I2003)</f>
        <v/>
      </c>
      <c r="N2003" s="56" t="str">
        <f aca="false">IF(INDEX(BookTitle,1998)="","",INDEX(BookTotal,1998)*'5. Scenarios'!$D$6/(1+ProductivityDefault*('5. Scenarios'!$D$11-1)))</f>
        <v/>
      </c>
      <c r="O2003" s="57" t="str">
        <f aca="false">IF($N2003="","",INDEX(BookRate,1998)*(1+'5. Scenarios'!$D$10)*$N2003)</f>
        <v/>
      </c>
      <c r="P2003" s="57" t="str">
        <f aca="false">IF($O2003="","",SUMIFS($O$6:$O$2405,$A$6:$A$2405,"&lt;="&amp;$A2003))</f>
        <v/>
      </c>
      <c r="Q2003" s="57" t="str">
        <f aca="false">IF($O2003="","",IF($P2003&lt;=BankCostEnvelope*'5. Scenarios'!$D$7,1,0))</f>
        <v/>
      </c>
      <c r="R2003" s="57" t="str">
        <f aca="false">IF($N2003="","",INDEX(BookRate,1998)*(1+'5. Scenarios'!$D$10)*(INDEX(BookQ1,1998)*(5-MIN(4,1+'5. Scenarios'!$D$8))/4+INDEX(BookQ2,1998)*(5-MIN(4,2+'5. Scenarios'!$D$8))/4+INDEX(BookQ3,1998)*(5-MIN(4,3+'5. Scenarios'!$D$8))/4+INDEX(BookQ4,1998)*(5-MIN(4,4+'5. Scenarios'!$D$8))/4)*'5. Scenarios'!$D$6/(1+ProductivityDefault*('5. Scenarios'!$D$11-1))+INDEX(BookOneOff,1998)*$N2003)</f>
        <v/>
      </c>
      <c r="S2003" s="56" t="str">
        <f aca="false">IF(INDEX(BookTitle,1998)="","",INDEX(BookTotal,1998)*'5. Scenarios'!$E$6/(1+ProductivityDefault*('5. Scenarios'!$E$11-1)))</f>
        <v/>
      </c>
      <c r="T2003" s="57" t="str">
        <f aca="false">IF($S2003="","",INDEX(BookRate,1998)*(1+'5. Scenarios'!$E$10)*$S2003)</f>
        <v/>
      </c>
      <c r="U2003" s="57" t="str">
        <f aca="false">IF($T2003="","",SUMIFS($T$6:$T$2405,$A$6:$A$2405,"&lt;="&amp;$A2003))</f>
        <v/>
      </c>
      <c r="V2003" s="57" t="str">
        <f aca="false">IF($T2003="","",IF($U2003&lt;=BankCostEnvelope*'5. Scenarios'!$E$7,1,0))</f>
        <v/>
      </c>
      <c r="W2003" s="57" t="str">
        <f aca="false">IF($S2003="","",INDEX(BookRate,1998)*(1+'5. Scenarios'!$E$10)*(INDEX(BookQ1,1998)*(5-MIN(4,1+'5. Scenarios'!$E$8))/4+INDEX(BookQ2,1998)*(5-MIN(4,2+'5. Scenarios'!$E$8))/4+INDEX(BookQ3,1998)*(5-MIN(4,3+'5. Scenarios'!$E$8))/4+INDEX(BookQ4,1998)*(5-MIN(4,4+'5. Scenarios'!$E$8))/4)*'5. Scenarios'!$E$6/(1+ProductivityDefault*('5. Scenarios'!$E$11-1))+INDEX(BookOneOff,1998)*$S2003)</f>
        <v/>
      </c>
    </row>
    <row r="2004" customFormat="false" ht="15" hidden="false" customHeight="false" outlineLevel="0" collapsed="false">
      <c r="A2004" s="0" t="str">
        <f aca="false">IF(INDEX(BookTitle,1999)="","",INDEX(BookKey,1999))</f>
        <v/>
      </c>
      <c r="B2004" s="0" t="str">
        <f aca="false">IF(INDEX(BookTitle,1999)="","",INDEX(BookGroup,1999))</f>
        <v/>
      </c>
      <c r="C2004" s="0" t="str">
        <f aca="false">IF(INDEX(BookTitle,1999)="","",INDEX(BookCategory,1999))</f>
        <v/>
      </c>
      <c r="D2004" s="56" t="str">
        <f aca="false">IF(INDEX(BookTitle,1999)="","",INDEX(BookTotal,1999)*'5. Scenarios'!$B$6/(1+ProductivityDefault*('5. Scenarios'!$B$11-1)))</f>
        <v/>
      </c>
      <c r="E2004" s="57" t="str">
        <f aca="false">IF($D2004="","",INDEX(BookRate,1999)*(1+'5. Scenarios'!$B$10)*$D2004)</f>
        <v/>
      </c>
      <c r="F2004" s="57" t="str">
        <f aca="false">IF($E2004="","",SUMIFS($E$6:$E$2405,$A$6:$A$2405,"&lt;="&amp;$A2004))</f>
        <v/>
      </c>
      <c r="G2004" s="57" t="str">
        <f aca="false">IF($E2004="","",IF($F2004&lt;=BankCostEnvelope*'5. Scenarios'!$B$7,1,0))</f>
        <v/>
      </c>
      <c r="H2004" s="57" t="str">
        <f aca="false">IF($D2004="","",INDEX(BookRate,1999)*(1+'5. Scenarios'!$B$10)*(INDEX(BookQ1,1999)*(5-MIN(4,1+'5. Scenarios'!$B$8))/4+INDEX(BookQ2,1999)*(5-MIN(4,2+'5. Scenarios'!$B$8))/4+INDEX(BookQ3,1999)*(5-MIN(4,3+'5. Scenarios'!$B$8))/4+INDEX(BookQ4,1999)*(5-MIN(4,4+'5. Scenarios'!$B$8))/4)*'5. Scenarios'!$B$6/(1+ProductivityDefault*('5. Scenarios'!$B$11-1))+INDEX(BookOneOff,1999)*$D2004)</f>
        <v/>
      </c>
      <c r="I2004" s="56" t="str">
        <f aca="false">IF(INDEX(BookTitle,1999)="","",INDEX(BookTotal,1999)*'5. Scenarios'!$C$6/(1+ProductivityDefault*('5. Scenarios'!$C$11-1)))</f>
        <v/>
      </c>
      <c r="J2004" s="57" t="str">
        <f aca="false">IF($I2004="","",INDEX(BookRate,1999)*(1+'5. Scenarios'!$C$10)*$I2004)</f>
        <v/>
      </c>
      <c r="K2004" s="57" t="str">
        <f aca="false">IF($J2004="","",SUMIFS($J$6:$J$2405,$A$6:$A$2405,"&lt;="&amp;$A2004))</f>
        <v/>
      </c>
      <c r="L2004" s="57" t="str">
        <f aca="false">IF($J2004="","",IF($K2004&lt;=BankCostEnvelope*'5. Scenarios'!$C$7,1,0))</f>
        <v/>
      </c>
      <c r="M2004" s="57" t="str">
        <f aca="false">IF($I2004="","",INDEX(BookRate,1999)*(1+'5. Scenarios'!$C$10)*(INDEX(BookQ1,1999)*(5-MIN(4,1+'5. Scenarios'!$C$8))/4+INDEX(BookQ2,1999)*(5-MIN(4,2+'5. Scenarios'!$C$8))/4+INDEX(BookQ3,1999)*(5-MIN(4,3+'5. Scenarios'!$C$8))/4+INDEX(BookQ4,1999)*(5-MIN(4,4+'5. Scenarios'!$C$8))/4)*'5. Scenarios'!$C$6/(1+ProductivityDefault*('5. Scenarios'!$C$11-1))+INDEX(BookOneOff,1999)*$I2004)</f>
        <v/>
      </c>
      <c r="N2004" s="56" t="str">
        <f aca="false">IF(INDEX(BookTitle,1999)="","",INDEX(BookTotal,1999)*'5. Scenarios'!$D$6/(1+ProductivityDefault*('5. Scenarios'!$D$11-1)))</f>
        <v/>
      </c>
      <c r="O2004" s="57" t="str">
        <f aca="false">IF($N2004="","",INDEX(BookRate,1999)*(1+'5. Scenarios'!$D$10)*$N2004)</f>
        <v/>
      </c>
      <c r="P2004" s="57" t="str">
        <f aca="false">IF($O2004="","",SUMIFS($O$6:$O$2405,$A$6:$A$2405,"&lt;="&amp;$A2004))</f>
        <v/>
      </c>
      <c r="Q2004" s="57" t="str">
        <f aca="false">IF($O2004="","",IF($P2004&lt;=BankCostEnvelope*'5. Scenarios'!$D$7,1,0))</f>
        <v/>
      </c>
      <c r="R2004" s="57" t="str">
        <f aca="false">IF($N2004="","",INDEX(BookRate,1999)*(1+'5. Scenarios'!$D$10)*(INDEX(BookQ1,1999)*(5-MIN(4,1+'5. Scenarios'!$D$8))/4+INDEX(BookQ2,1999)*(5-MIN(4,2+'5. Scenarios'!$D$8))/4+INDEX(BookQ3,1999)*(5-MIN(4,3+'5. Scenarios'!$D$8))/4+INDEX(BookQ4,1999)*(5-MIN(4,4+'5. Scenarios'!$D$8))/4)*'5. Scenarios'!$D$6/(1+ProductivityDefault*('5. Scenarios'!$D$11-1))+INDEX(BookOneOff,1999)*$N2004)</f>
        <v/>
      </c>
      <c r="S2004" s="56" t="str">
        <f aca="false">IF(INDEX(BookTitle,1999)="","",INDEX(BookTotal,1999)*'5. Scenarios'!$E$6/(1+ProductivityDefault*('5. Scenarios'!$E$11-1)))</f>
        <v/>
      </c>
      <c r="T2004" s="57" t="str">
        <f aca="false">IF($S2004="","",INDEX(BookRate,1999)*(1+'5. Scenarios'!$E$10)*$S2004)</f>
        <v/>
      </c>
      <c r="U2004" s="57" t="str">
        <f aca="false">IF($T2004="","",SUMIFS($T$6:$T$2405,$A$6:$A$2405,"&lt;="&amp;$A2004))</f>
        <v/>
      </c>
      <c r="V2004" s="57" t="str">
        <f aca="false">IF($T2004="","",IF($U2004&lt;=BankCostEnvelope*'5. Scenarios'!$E$7,1,0))</f>
        <v/>
      </c>
      <c r="W2004" s="57" t="str">
        <f aca="false">IF($S2004="","",INDEX(BookRate,1999)*(1+'5. Scenarios'!$E$10)*(INDEX(BookQ1,1999)*(5-MIN(4,1+'5. Scenarios'!$E$8))/4+INDEX(BookQ2,1999)*(5-MIN(4,2+'5. Scenarios'!$E$8))/4+INDEX(BookQ3,1999)*(5-MIN(4,3+'5. Scenarios'!$E$8))/4+INDEX(BookQ4,1999)*(5-MIN(4,4+'5. Scenarios'!$E$8))/4)*'5. Scenarios'!$E$6/(1+ProductivityDefault*('5. Scenarios'!$E$11-1))+INDEX(BookOneOff,1999)*$S2004)</f>
        <v/>
      </c>
    </row>
    <row r="2005" customFormat="false" ht="15" hidden="false" customHeight="false" outlineLevel="0" collapsed="false">
      <c r="A2005" s="0" t="str">
        <f aca="false">IF(INDEX(BookTitle,2000)="","",INDEX(BookKey,2000))</f>
        <v/>
      </c>
      <c r="B2005" s="0" t="str">
        <f aca="false">IF(INDEX(BookTitle,2000)="","",INDEX(BookGroup,2000))</f>
        <v/>
      </c>
      <c r="C2005" s="0" t="str">
        <f aca="false">IF(INDEX(BookTitle,2000)="","",INDEX(BookCategory,2000))</f>
        <v/>
      </c>
      <c r="D2005" s="56" t="str">
        <f aca="false">IF(INDEX(BookTitle,2000)="","",INDEX(BookTotal,2000)*'5. Scenarios'!$B$6/(1+ProductivityDefault*('5. Scenarios'!$B$11-1)))</f>
        <v/>
      </c>
      <c r="E2005" s="57" t="str">
        <f aca="false">IF($D2005="","",INDEX(BookRate,2000)*(1+'5. Scenarios'!$B$10)*$D2005)</f>
        <v/>
      </c>
      <c r="F2005" s="57" t="str">
        <f aca="false">IF($E2005="","",SUMIFS($E$6:$E$2405,$A$6:$A$2405,"&lt;="&amp;$A2005))</f>
        <v/>
      </c>
      <c r="G2005" s="57" t="str">
        <f aca="false">IF($E2005="","",IF($F2005&lt;=BankCostEnvelope*'5. Scenarios'!$B$7,1,0))</f>
        <v/>
      </c>
      <c r="H2005" s="57" t="str">
        <f aca="false">IF($D2005="","",INDEX(BookRate,2000)*(1+'5. Scenarios'!$B$10)*(INDEX(BookQ1,2000)*(5-MIN(4,1+'5. Scenarios'!$B$8))/4+INDEX(BookQ2,2000)*(5-MIN(4,2+'5. Scenarios'!$B$8))/4+INDEX(BookQ3,2000)*(5-MIN(4,3+'5. Scenarios'!$B$8))/4+INDEX(BookQ4,2000)*(5-MIN(4,4+'5. Scenarios'!$B$8))/4)*'5. Scenarios'!$B$6/(1+ProductivityDefault*('5. Scenarios'!$B$11-1))+INDEX(BookOneOff,2000)*$D2005)</f>
        <v/>
      </c>
      <c r="I2005" s="56" t="str">
        <f aca="false">IF(INDEX(BookTitle,2000)="","",INDEX(BookTotal,2000)*'5. Scenarios'!$C$6/(1+ProductivityDefault*('5. Scenarios'!$C$11-1)))</f>
        <v/>
      </c>
      <c r="J2005" s="57" t="str">
        <f aca="false">IF($I2005="","",INDEX(BookRate,2000)*(1+'5. Scenarios'!$C$10)*$I2005)</f>
        <v/>
      </c>
      <c r="K2005" s="57" t="str">
        <f aca="false">IF($J2005="","",SUMIFS($J$6:$J$2405,$A$6:$A$2405,"&lt;="&amp;$A2005))</f>
        <v/>
      </c>
      <c r="L2005" s="57" t="str">
        <f aca="false">IF($J2005="","",IF($K2005&lt;=BankCostEnvelope*'5. Scenarios'!$C$7,1,0))</f>
        <v/>
      </c>
      <c r="M2005" s="57" t="str">
        <f aca="false">IF($I2005="","",INDEX(BookRate,2000)*(1+'5. Scenarios'!$C$10)*(INDEX(BookQ1,2000)*(5-MIN(4,1+'5. Scenarios'!$C$8))/4+INDEX(BookQ2,2000)*(5-MIN(4,2+'5. Scenarios'!$C$8))/4+INDEX(BookQ3,2000)*(5-MIN(4,3+'5. Scenarios'!$C$8))/4+INDEX(BookQ4,2000)*(5-MIN(4,4+'5. Scenarios'!$C$8))/4)*'5. Scenarios'!$C$6/(1+ProductivityDefault*('5. Scenarios'!$C$11-1))+INDEX(BookOneOff,2000)*$I2005)</f>
        <v/>
      </c>
      <c r="N2005" s="56" t="str">
        <f aca="false">IF(INDEX(BookTitle,2000)="","",INDEX(BookTotal,2000)*'5. Scenarios'!$D$6/(1+ProductivityDefault*('5. Scenarios'!$D$11-1)))</f>
        <v/>
      </c>
      <c r="O2005" s="57" t="str">
        <f aca="false">IF($N2005="","",INDEX(BookRate,2000)*(1+'5. Scenarios'!$D$10)*$N2005)</f>
        <v/>
      </c>
      <c r="P2005" s="57" t="str">
        <f aca="false">IF($O2005="","",SUMIFS($O$6:$O$2405,$A$6:$A$2405,"&lt;="&amp;$A2005))</f>
        <v/>
      </c>
      <c r="Q2005" s="57" t="str">
        <f aca="false">IF($O2005="","",IF($P2005&lt;=BankCostEnvelope*'5. Scenarios'!$D$7,1,0))</f>
        <v/>
      </c>
      <c r="R2005" s="57" t="str">
        <f aca="false">IF($N2005="","",INDEX(BookRate,2000)*(1+'5. Scenarios'!$D$10)*(INDEX(BookQ1,2000)*(5-MIN(4,1+'5. Scenarios'!$D$8))/4+INDEX(BookQ2,2000)*(5-MIN(4,2+'5. Scenarios'!$D$8))/4+INDEX(BookQ3,2000)*(5-MIN(4,3+'5. Scenarios'!$D$8))/4+INDEX(BookQ4,2000)*(5-MIN(4,4+'5. Scenarios'!$D$8))/4)*'5. Scenarios'!$D$6/(1+ProductivityDefault*('5. Scenarios'!$D$11-1))+INDEX(BookOneOff,2000)*$N2005)</f>
        <v/>
      </c>
      <c r="S2005" s="56" t="str">
        <f aca="false">IF(INDEX(BookTitle,2000)="","",INDEX(BookTotal,2000)*'5. Scenarios'!$E$6/(1+ProductivityDefault*('5. Scenarios'!$E$11-1)))</f>
        <v/>
      </c>
      <c r="T2005" s="57" t="str">
        <f aca="false">IF($S2005="","",INDEX(BookRate,2000)*(1+'5. Scenarios'!$E$10)*$S2005)</f>
        <v/>
      </c>
      <c r="U2005" s="57" t="str">
        <f aca="false">IF($T2005="","",SUMIFS($T$6:$T$2405,$A$6:$A$2405,"&lt;="&amp;$A2005))</f>
        <v/>
      </c>
      <c r="V2005" s="57" t="str">
        <f aca="false">IF($T2005="","",IF($U2005&lt;=BankCostEnvelope*'5. Scenarios'!$E$7,1,0))</f>
        <v/>
      </c>
      <c r="W2005" s="57" t="str">
        <f aca="false">IF($S2005="","",INDEX(BookRate,2000)*(1+'5. Scenarios'!$E$10)*(INDEX(BookQ1,2000)*(5-MIN(4,1+'5. Scenarios'!$E$8))/4+INDEX(BookQ2,2000)*(5-MIN(4,2+'5. Scenarios'!$E$8))/4+INDEX(BookQ3,2000)*(5-MIN(4,3+'5. Scenarios'!$E$8))/4+INDEX(BookQ4,2000)*(5-MIN(4,4+'5. Scenarios'!$E$8))/4)*'5. Scenarios'!$E$6/(1+ProductivityDefault*('5. Scenarios'!$E$11-1))+INDEX(BookOneOff,2000)*$S2005)</f>
        <v/>
      </c>
    </row>
    <row r="2006" customFormat="false" ht="15" hidden="false" customHeight="false" outlineLevel="0" collapsed="false">
      <c r="A2006" s="0" t="str">
        <f aca="false">IF(INDEX(BookTitle,2001)="","",INDEX(BookKey,2001))</f>
        <v/>
      </c>
      <c r="B2006" s="0" t="str">
        <f aca="false">IF(INDEX(BookTitle,2001)="","",INDEX(BookGroup,2001))</f>
        <v/>
      </c>
      <c r="C2006" s="0" t="str">
        <f aca="false">IF(INDEX(BookTitle,2001)="","",INDEX(BookCategory,2001))</f>
        <v/>
      </c>
      <c r="D2006" s="56" t="str">
        <f aca="false">IF(INDEX(BookTitle,2001)="","",INDEX(BookTotal,2001)*'5. Scenarios'!$B$6/(1+ProductivityDefault*('5. Scenarios'!$B$11-1)))</f>
        <v/>
      </c>
      <c r="E2006" s="57" t="str">
        <f aca="false">IF($D2006="","",INDEX(BookRate,2001)*(1+'5. Scenarios'!$B$10)*$D2006)</f>
        <v/>
      </c>
      <c r="F2006" s="57" t="str">
        <f aca="false">IF($E2006="","",SUMIFS($E$6:$E$2405,$A$6:$A$2405,"&lt;="&amp;$A2006))</f>
        <v/>
      </c>
      <c r="G2006" s="57" t="str">
        <f aca="false">IF($E2006="","",IF($F2006&lt;=BankCostEnvelope*'5. Scenarios'!$B$7,1,0))</f>
        <v/>
      </c>
      <c r="H2006" s="57" t="str">
        <f aca="false">IF($D2006="","",INDEX(BookRate,2001)*(1+'5. Scenarios'!$B$10)*(INDEX(BookQ1,2001)*(5-MIN(4,1+'5. Scenarios'!$B$8))/4+INDEX(BookQ2,2001)*(5-MIN(4,2+'5. Scenarios'!$B$8))/4+INDEX(BookQ3,2001)*(5-MIN(4,3+'5. Scenarios'!$B$8))/4+INDEX(BookQ4,2001)*(5-MIN(4,4+'5. Scenarios'!$B$8))/4)*'5. Scenarios'!$B$6/(1+ProductivityDefault*('5. Scenarios'!$B$11-1))+INDEX(BookOneOff,2001)*$D2006)</f>
        <v/>
      </c>
      <c r="I2006" s="56" t="str">
        <f aca="false">IF(INDEX(BookTitle,2001)="","",INDEX(BookTotal,2001)*'5. Scenarios'!$C$6/(1+ProductivityDefault*('5. Scenarios'!$C$11-1)))</f>
        <v/>
      </c>
      <c r="J2006" s="57" t="str">
        <f aca="false">IF($I2006="","",INDEX(BookRate,2001)*(1+'5. Scenarios'!$C$10)*$I2006)</f>
        <v/>
      </c>
      <c r="K2006" s="57" t="str">
        <f aca="false">IF($J2006="","",SUMIFS($J$6:$J$2405,$A$6:$A$2405,"&lt;="&amp;$A2006))</f>
        <v/>
      </c>
      <c r="L2006" s="57" t="str">
        <f aca="false">IF($J2006="","",IF($K2006&lt;=BankCostEnvelope*'5. Scenarios'!$C$7,1,0))</f>
        <v/>
      </c>
      <c r="M2006" s="57" t="str">
        <f aca="false">IF($I2006="","",INDEX(BookRate,2001)*(1+'5. Scenarios'!$C$10)*(INDEX(BookQ1,2001)*(5-MIN(4,1+'5. Scenarios'!$C$8))/4+INDEX(BookQ2,2001)*(5-MIN(4,2+'5. Scenarios'!$C$8))/4+INDEX(BookQ3,2001)*(5-MIN(4,3+'5. Scenarios'!$C$8))/4+INDEX(BookQ4,2001)*(5-MIN(4,4+'5. Scenarios'!$C$8))/4)*'5. Scenarios'!$C$6/(1+ProductivityDefault*('5. Scenarios'!$C$11-1))+INDEX(BookOneOff,2001)*$I2006)</f>
        <v/>
      </c>
      <c r="N2006" s="56" t="str">
        <f aca="false">IF(INDEX(BookTitle,2001)="","",INDEX(BookTotal,2001)*'5. Scenarios'!$D$6/(1+ProductivityDefault*('5. Scenarios'!$D$11-1)))</f>
        <v/>
      </c>
      <c r="O2006" s="57" t="str">
        <f aca="false">IF($N2006="","",INDEX(BookRate,2001)*(1+'5. Scenarios'!$D$10)*$N2006)</f>
        <v/>
      </c>
      <c r="P2006" s="57" t="str">
        <f aca="false">IF($O2006="","",SUMIFS($O$6:$O$2405,$A$6:$A$2405,"&lt;="&amp;$A2006))</f>
        <v/>
      </c>
      <c r="Q2006" s="57" t="str">
        <f aca="false">IF($O2006="","",IF($P2006&lt;=BankCostEnvelope*'5. Scenarios'!$D$7,1,0))</f>
        <v/>
      </c>
      <c r="R2006" s="57" t="str">
        <f aca="false">IF($N2006="","",INDEX(BookRate,2001)*(1+'5. Scenarios'!$D$10)*(INDEX(BookQ1,2001)*(5-MIN(4,1+'5. Scenarios'!$D$8))/4+INDEX(BookQ2,2001)*(5-MIN(4,2+'5. Scenarios'!$D$8))/4+INDEX(BookQ3,2001)*(5-MIN(4,3+'5. Scenarios'!$D$8))/4+INDEX(BookQ4,2001)*(5-MIN(4,4+'5. Scenarios'!$D$8))/4)*'5. Scenarios'!$D$6/(1+ProductivityDefault*('5. Scenarios'!$D$11-1))+INDEX(BookOneOff,2001)*$N2006)</f>
        <v/>
      </c>
      <c r="S2006" s="56" t="str">
        <f aca="false">IF(INDEX(BookTitle,2001)="","",INDEX(BookTotal,2001)*'5. Scenarios'!$E$6/(1+ProductivityDefault*('5. Scenarios'!$E$11-1)))</f>
        <v/>
      </c>
      <c r="T2006" s="57" t="str">
        <f aca="false">IF($S2006="","",INDEX(BookRate,2001)*(1+'5. Scenarios'!$E$10)*$S2006)</f>
        <v/>
      </c>
      <c r="U2006" s="57" t="str">
        <f aca="false">IF($T2006="","",SUMIFS($T$6:$T$2405,$A$6:$A$2405,"&lt;="&amp;$A2006))</f>
        <v/>
      </c>
      <c r="V2006" s="57" t="str">
        <f aca="false">IF($T2006="","",IF($U2006&lt;=BankCostEnvelope*'5. Scenarios'!$E$7,1,0))</f>
        <v/>
      </c>
      <c r="W2006" s="57" t="str">
        <f aca="false">IF($S2006="","",INDEX(BookRate,2001)*(1+'5. Scenarios'!$E$10)*(INDEX(BookQ1,2001)*(5-MIN(4,1+'5. Scenarios'!$E$8))/4+INDEX(BookQ2,2001)*(5-MIN(4,2+'5. Scenarios'!$E$8))/4+INDEX(BookQ3,2001)*(5-MIN(4,3+'5. Scenarios'!$E$8))/4+INDEX(BookQ4,2001)*(5-MIN(4,4+'5. Scenarios'!$E$8))/4)*'5. Scenarios'!$E$6/(1+ProductivityDefault*('5. Scenarios'!$E$11-1))+INDEX(BookOneOff,2001)*$S2006)</f>
        <v/>
      </c>
    </row>
    <row r="2007" customFormat="false" ht="15" hidden="false" customHeight="false" outlineLevel="0" collapsed="false">
      <c r="A2007" s="0" t="str">
        <f aca="false">IF(INDEX(BookTitle,2002)="","",INDEX(BookKey,2002))</f>
        <v/>
      </c>
      <c r="B2007" s="0" t="str">
        <f aca="false">IF(INDEX(BookTitle,2002)="","",INDEX(BookGroup,2002))</f>
        <v/>
      </c>
      <c r="C2007" s="0" t="str">
        <f aca="false">IF(INDEX(BookTitle,2002)="","",INDEX(BookCategory,2002))</f>
        <v/>
      </c>
      <c r="D2007" s="56" t="str">
        <f aca="false">IF(INDEX(BookTitle,2002)="","",INDEX(BookTotal,2002)*'5. Scenarios'!$B$6/(1+ProductivityDefault*('5. Scenarios'!$B$11-1)))</f>
        <v/>
      </c>
      <c r="E2007" s="57" t="str">
        <f aca="false">IF($D2007="","",INDEX(BookRate,2002)*(1+'5. Scenarios'!$B$10)*$D2007)</f>
        <v/>
      </c>
      <c r="F2007" s="57" t="str">
        <f aca="false">IF($E2007="","",SUMIFS($E$6:$E$2405,$A$6:$A$2405,"&lt;="&amp;$A2007))</f>
        <v/>
      </c>
      <c r="G2007" s="57" t="str">
        <f aca="false">IF($E2007="","",IF($F2007&lt;=BankCostEnvelope*'5. Scenarios'!$B$7,1,0))</f>
        <v/>
      </c>
      <c r="H2007" s="57" t="str">
        <f aca="false">IF($D2007="","",INDEX(BookRate,2002)*(1+'5. Scenarios'!$B$10)*(INDEX(BookQ1,2002)*(5-MIN(4,1+'5. Scenarios'!$B$8))/4+INDEX(BookQ2,2002)*(5-MIN(4,2+'5. Scenarios'!$B$8))/4+INDEX(BookQ3,2002)*(5-MIN(4,3+'5. Scenarios'!$B$8))/4+INDEX(BookQ4,2002)*(5-MIN(4,4+'5. Scenarios'!$B$8))/4)*'5. Scenarios'!$B$6/(1+ProductivityDefault*('5. Scenarios'!$B$11-1))+INDEX(BookOneOff,2002)*$D2007)</f>
        <v/>
      </c>
      <c r="I2007" s="56" t="str">
        <f aca="false">IF(INDEX(BookTitle,2002)="","",INDEX(BookTotal,2002)*'5. Scenarios'!$C$6/(1+ProductivityDefault*('5. Scenarios'!$C$11-1)))</f>
        <v/>
      </c>
      <c r="J2007" s="57" t="str">
        <f aca="false">IF($I2007="","",INDEX(BookRate,2002)*(1+'5. Scenarios'!$C$10)*$I2007)</f>
        <v/>
      </c>
      <c r="K2007" s="57" t="str">
        <f aca="false">IF($J2007="","",SUMIFS($J$6:$J$2405,$A$6:$A$2405,"&lt;="&amp;$A2007))</f>
        <v/>
      </c>
      <c r="L2007" s="57" t="str">
        <f aca="false">IF($J2007="","",IF($K2007&lt;=BankCostEnvelope*'5. Scenarios'!$C$7,1,0))</f>
        <v/>
      </c>
      <c r="M2007" s="57" t="str">
        <f aca="false">IF($I2007="","",INDEX(BookRate,2002)*(1+'5. Scenarios'!$C$10)*(INDEX(BookQ1,2002)*(5-MIN(4,1+'5. Scenarios'!$C$8))/4+INDEX(BookQ2,2002)*(5-MIN(4,2+'5. Scenarios'!$C$8))/4+INDEX(BookQ3,2002)*(5-MIN(4,3+'5. Scenarios'!$C$8))/4+INDEX(BookQ4,2002)*(5-MIN(4,4+'5. Scenarios'!$C$8))/4)*'5. Scenarios'!$C$6/(1+ProductivityDefault*('5. Scenarios'!$C$11-1))+INDEX(BookOneOff,2002)*$I2007)</f>
        <v/>
      </c>
      <c r="N2007" s="56" t="str">
        <f aca="false">IF(INDEX(BookTitle,2002)="","",INDEX(BookTotal,2002)*'5. Scenarios'!$D$6/(1+ProductivityDefault*('5. Scenarios'!$D$11-1)))</f>
        <v/>
      </c>
      <c r="O2007" s="57" t="str">
        <f aca="false">IF($N2007="","",INDEX(BookRate,2002)*(1+'5. Scenarios'!$D$10)*$N2007)</f>
        <v/>
      </c>
      <c r="P2007" s="57" t="str">
        <f aca="false">IF($O2007="","",SUMIFS($O$6:$O$2405,$A$6:$A$2405,"&lt;="&amp;$A2007))</f>
        <v/>
      </c>
      <c r="Q2007" s="57" t="str">
        <f aca="false">IF($O2007="","",IF($P2007&lt;=BankCostEnvelope*'5. Scenarios'!$D$7,1,0))</f>
        <v/>
      </c>
      <c r="R2007" s="57" t="str">
        <f aca="false">IF($N2007="","",INDEX(BookRate,2002)*(1+'5. Scenarios'!$D$10)*(INDEX(BookQ1,2002)*(5-MIN(4,1+'5. Scenarios'!$D$8))/4+INDEX(BookQ2,2002)*(5-MIN(4,2+'5. Scenarios'!$D$8))/4+INDEX(BookQ3,2002)*(5-MIN(4,3+'5. Scenarios'!$D$8))/4+INDEX(BookQ4,2002)*(5-MIN(4,4+'5. Scenarios'!$D$8))/4)*'5. Scenarios'!$D$6/(1+ProductivityDefault*('5. Scenarios'!$D$11-1))+INDEX(BookOneOff,2002)*$N2007)</f>
        <v/>
      </c>
      <c r="S2007" s="56" t="str">
        <f aca="false">IF(INDEX(BookTitle,2002)="","",INDEX(BookTotal,2002)*'5. Scenarios'!$E$6/(1+ProductivityDefault*('5. Scenarios'!$E$11-1)))</f>
        <v/>
      </c>
      <c r="T2007" s="57" t="str">
        <f aca="false">IF($S2007="","",INDEX(BookRate,2002)*(1+'5. Scenarios'!$E$10)*$S2007)</f>
        <v/>
      </c>
      <c r="U2007" s="57" t="str">
        <f aca="false">IF($T2007="","",SUMIFS($T$6:$T$2405,$A$6:$A$2405,"&lt;="&amp;$A2007))</f>
        <v/>
      </c>
      <c r="V2007" s="57" t="str">
        <f aca="false">IF($T2007="","",IF($U2007&lt;=BankCostEnvelope*'5. Scenarios'!$E$7,1,0))</f>
        <v/>
      </c>
      <c r="W2007" s="57" t="str">
        <f aca="false">IF($S2007="","",INDEX(BookRate,2002)*(1+'5. Scenarios'!$E$10)*(INDEX(BookQ1,2002)*(5-MIN(4,1+'5. Scenarios'!$E$8))/4+INDEX(BookQ2,2002)*(5-MIN(4,2+'5. Scenarios'!$E$8))/4+INDEX(BookQ3,2002)*(5-MIN(4,3+'5. Scenarios'!$E$8))/4+INDEX(BookQ4,2002)*(5-MIN(4,4+'5. Scenarios'!$E$8))/4)*'5. Scenarios'!$E$6/(1+ProductivityDefault*('5. Scenarios'!$E$11-1))+INDEX(BookOneOff,2002)*$S2007)</f>
        <v/>
      </c>
    </row>
    <row r="2008" customFormat="false" ht="15" hidden="false" customHeight="false" outlineLevel="0" collapsed="false">
      <c r="A2008" s="0" t="str">
        <f aca="false">IF(INDEX(BookTitle,2003)="","",INDEX(BookKey,2003))</f>
        <v/>
      </c>
      <c r="B2008" s="0" t="str">
        <f aca="false">IF(INDEX(BookTitle,2003)="","",INDEX(BookGroup,2003))</f>
        <v/>
      </c>
      <c r="C2008" s="0" t="str">
        <f aca="false">IF(INDEX(BookTitle,2003)="","",INDEX(BookCategory,2003))</f>
        <v/>
      </c>
      <c r="D2008" s="56" t="str">
        <f aca="false">IF(INDEX(BookTitle,2003)="","",INDEX(BookTotal,2003)*'5. Scenarios'!$B$6/(1+ProductivityDefault*('5. Scenarios'!$B$11-1)))</f>
        <v/>
      </c>
      <c r="E2008" s="57" t="str">
        <f aca="false">IF($D2008="","",INDEX(BookRate,2003)*(1+'5. Scenarios'!$B$10)*$D2008)</f>
        <v/>
      </c>
      <c r="F2008" s="57" t="str">
        <f aca="false">IF($E2008="","",SUMIFS($E$6:$E$2405,$A$6:$A$2405,"&lt;="&amp;$A2008))</f>
        <v/>
      </c>
      <c r="G2008" s="57" t="str">
        <f aca="false">IF($E2008="","",IF($F2008&lt;=BankCostEnvelope*'5. Scenarios'!$B$7,1,0))</f>
        <v/>
      </c>
      <c r="H2008" s="57" t="str">
        <f aca="false">IF($D2008="","",INDEX(BookRate,2003)*(1+'5. Scenarios'!$B$10)*(INDEX(BookQ1,2003)*(5-MIN(4,1+'5. Scenarios'!$B$8))/4+INDEX(BookQ2,2003)*(5-MIN(4,2+'5. Scenarios'!$B$8))/4+INDEX(BookQ3,2003)*(5-MIN(4,3+'5. Scenarios'!$B$8))/4+INDEX(BookQ4,2003)*(5-MIN(4,4+'5. Scenarios'!$B$8))/4)*'5. Scenarios'!$B$6/(1+ProductivityDefault*('5. Scenarios'!$B$11-1))+INDEX(BookOneOff,2003)*$D2008)</f>
        <v/>
      </c>
      <c r="I2008" s="56" t="str">
        <f aca="false">IF(INDEX(BookTitle,2003)="","",INDEX(BookTotal,2003)*'5. Scenarios'!$C$6/(1+ProductivityDefault*('5. Scenarios'!$C$11-1)))</f>
        <v/>
      </c>
      <c r="J2008" s="57" t="str">
        <f aca="false">IF($I2008="","",INDEX(BookRate,2003)*(1+'5. Scenarios'!$C$10)*$I2008)</f>
        <v/>
      </c>
      <c r="K2008" s="57" t="str">
        <f aca="false">IF($J2008="","",SUMIFS($J$6:$J$2405,$A$6:$A$2405,"&lt;="&amp;$A2008))</f>
        <v/>
      </c>
      <c r="L2008" s="57" t="str">
        <f aca="false">IF($J2008="","",IF($K2008&lt;=BankCostEnvelope*'5. Scenarios'!$C$7,1,0))</f>
        <v/>
      </c>
      <c r="M2008" s="57" t="str">
        <f aca="false">IF($I2008="","",INDEX(BookRate,2003)*(1+'5. Scenarios'!$C$10)*(INDEX(BookQ1,2003)*(5-MIN(4,1+'5. Scenarios'!$C$8))/4+INDEX(BookQ2,2003)*(5-MIN(4,2+'5. Scenarios'!$C$8))/4+INDEX(BookQ3,2003)*(5-MIN(4,3+'5. Scenarios'!$C$8))/4+INDEX(BookQ4,2003)*(5-MIN(4,4+'5. Scenarios'!$C$8))/4)*'5. Scenarios'!$C$6/(1+ProductivityDefault*('5. Scenarios'!$C$11-1))+INDEX(BookOneOff,2003)*$I2008)</f>
        <v/>
      </c>
      <c r="N2008" s="56" t="str">
        <f aca="false">IF(INDEX(BookTitle,2003)="","",INDEX(BookTotal,2003)*'5. Scenarios'!$D$6/(1+ProductivityDefault*('5. Scenarios'!$D$11-1)))</f>
        <v/>
      </c>
      <c r="O2008" s="57" t="str">
        <f aca="false">IF($N2008="","",INDEX(BookRate,2003)*(1+'5. Scenarios'!$D$10)*$N2008)</f>
        <v/>
      </c>
      <c r="P2008" s="57" t="str">
        <f aca="false">IF($O2008="","",SUMIFS($O$6:$O$2405,$A$6:$A$2405,"&lt;="&amp;$A2008))</f>
        <v/>
      </c>
      <c r="Q2008" s="57" t="str">
        <f aca="false">IF($O2008="","",IF($P2008&lt;=BankCostEnvelope*'5. Scenarios'!$D$7,1,0))</f>
        <v/>
      </c>
      <c r="R2008" s="57" t="str">
        <f aca="false">IF($N2008="","",INDEX(BookRate,2003)*(1+'5. Scenarios'!$D$10)*(INDEX(BookQ1,2003)*(5-MIN(4,1+'5. Scenarios'!$D$8))/4+INDEX(BookQ2,2003)*(5-MIN(4,2+'5. Scenarios'!$D$8))/4+INDEX(BookQ3,2003)*(5-MIN(4,3+'5. Scenarios'!$D$8))/4+INDEX(BookQ4,2003)*(5-MIN(4,4+'5. Scenarios'!$D$8))/4)*'5. Scenarios'!$D$6/(1+ProductivityDefault*('5. Scenarios'!$D$11-1))+INDEX(BookOneOff,2003)*$N2008)</f>
        <v/>
      </c>
      <c r="S2008" s="56" t="str">
        <f aca="false">IF(INDEX(BookTitle,2003)="","",INDEX(BookTotal,2003)*'5. Scenarios'!$E$6/(1+ProductivityDefault*('5. Scenarios'!$E$11-1)))</f>
        <v/>
      </c>
      <c r="T2008" s="57" t="str">
        <f aca="false">IF($S2008="","",INDEX(BookRate,2003)*(1+'5. Scenarios'!$E$10)*$S2008)</f>
        <v/>
      </c>
      <c r="U2008" s="57" t="str">
        <f aca="false">IF($T2008="","",SUMIFS($T$6:$T$2405,$A$6:$A$2405,"&lt;="&amp;$A2008))</f>
        <v/>
      </c>
      <c r="V2008" s="57" t="str">
        <f aca="false">IF($T2008="","",IF($U2008&lt;=BankCostEnvelope*'5. Scenarios'!$E$7,1,0))</f>
        <v/>
      </c>
      <c r="W2008" s="57" t="str">
        <f aca="false">IF($S2008="","",INDEX(BookRate,2003)*(1+'5. Scenarios'!$E$10)*(INDEX(BookQ1,2003)*(5-MIN(4,1+'5. Scenarios'!$E$8))/4+INDEX(BookQ2,2003)*(5-MIN(4,2+'5. Scenarios'!$E$8))/4+INDEX(BookQ3,2003)*(5-MIN(4,3+'5. Scenarios'!$E$8))/4+INDEX(BookQ4,2003)*(5-MIN(4,4+'5. Scenarios'!$E$8))/4)*'5. Scenarios'!$E$6/(1+ProductivityDefault*('5. Scenarios'!$E$11-1))+INDEX(BookOneOff,2003)*$S2008)</f>
        <v/>
      </c>
    </row>
    <row r="2009" customFormat="false" ht="15" hidden="false" customHeight="false" outlineLevel="0" collapsed="false">
      <c r="A2009" s="0" t="str">
        <f aca="false">IF(INDEX(BookTitle,2004)="","",INDEX(BookKey,2004))</f>
        <v/>
      </c>
      <c r="B2009" s="0" t="str">
        <f aca="false">IF(INDEX(BookTitle,2004)="","",INDEX(BookGroup,2004))</f>
        <v/>
      </c>
      <c r="C2009" s="0" t="str">
        <f aca="false">IF(INDEX(BookTitle,2004)="","",INDEX(BookCategory,2004))</f>
        <v/>
      </c>
      <c r="D2009" s="56" t="str">
        <f aca="false">IF(INDEX(BookTitle,2004)="","",INDEX(BookTotal,2004)*'5. Scenarios'!$B$6/(1+ProductivityDefault*('5. Scenarios'!$B$11-1)))</f>
        <v/>
      </c>
      <c r="E2009" s="57" t="str">
        <f aca="false">IF($D2009="","",INDEX(BookRate,2004)*(1+'5. Scenarios'!$B$10)*$D2009)</f>
        <v/>
      </c>
      <c r="F2009" s="57" t="str">
        <f aca="false">IF($E2009="","",SUMIFS($E$6:$E$2405,$A$6:$A$2405,"&lt;="&amp;$A2009))</f>
        <v/>
      </c>
      <c r="G2009" s="57" t="str">
        <f aca="false">IF($E2009="","",IF($F2009&lt;=BankCostEnvelope*'5. Scenarios'!$B$7,1,0))</f>
        <v/>
      </c>
      <c r="H2009" s="57" t="str">
        <f aca="false">IF($D2009="","",INDEX(BookRate,2004)*(1+'5. Scenarios'!$B$10)*(INDEX(BookQ1,2004)*(5-MIN(4,1+'5. Scenarios'!$B$8))/4+INDEX(BookQ2,2004)*(5-MIN(4,2+'5. Scenarios'!$B$8))/4+INDEX(BookQ3,2004)*(5-MIN(4,3+'5. Scenarios'!$B$8))/4+INDEX(BookQ4,2004)*(5-MIN(4,4+'5. Scenarios'!$B$8))/4)*'5. Scenarios'!$B$6/(1+ProductivityDefault*('5. Scenarios'!$B$11-1))+INDEX(BookOneOff,2004)*$D2009)</f>
        <v/>
      </c>
      <c r="I2009" s="56" t="str">
        <f aca="false">IF(INDEX(BookTitle,2004)="","",INDEX(BookTotal,2004)*'5. Scenarios'!$C$6/(1+ProductivityDefault*('5. Scenarios'!$C$11-1)))</f>
        <v/>
      </c>
      <c r="J2009" s="57" t="str">
        <f aca="false">IF($I2009="","",INDEX(BookRate,2004)*(1+'5. Scenarios'!$C$10)*$I2009)</f>
        <v/>
      </c>
      <c r="K2009" s="57" t="str">
        <f aca="false">IF($J2009="","",SUMIFS($J$6:$J$2405,$A$6:$A$2405,"&lt;="&amp;$A2009))</f>
        <v/>
      </c>
      <c r="L2009" s="57" t="str">
        <f aca="false">IF($J2009="","",IF($K2009&lt;=BankCostEnvelope*'5. Scenarios'!$C$7,1,0))</f>
        <v/>
      </c>
      <c r="M2009" s="57" t="str">
        <f aca="false">IF($I2009="","",INDEX(BookRate,2004)*(1+'5. Scenarios'!$C$10)*(INDEX(BookQ1,2004)*(5-MIN(4,1+'5. Scenarios'!$C$8))/4+INDEX(BookQ2,2004)*(5-MIN(4,2+'5. Scenarios'!$C$8))/4+INDEX(BookQ3,2004)*(5-MIN(4,3+'5. Scenarios'!$C$8))/4+INDEX(BookQ4,2004)*(5-MIN(4,4+'5. Scenarios'!$C$8))/4)*'5. Scenarios'!$C$6/(1+ProductivityDefault*('5. Scenarios'!$C$11-1))+INDEX(BookOneOff,2004)*$I2009)</f>
        <v/>
      </c>
      <c r="N2009" s="56" t="str">
        <f aca="false">IF(INDEX(BookTitle,2004)="","",INDEX(BookTotal,2004)*'5. Scenarios'!$D$6/(1+ProductivityDefault*('5. Scenarios'!$D$11-1)))</f>
        <v/>
      </c>
      <c r="O2009" s="57" t="str">
        <f aca="false">IF($N2009="","",INDEX(BookRate,2004)*(1+'5. Scenarios'!$D$10)*$N2009)</f>
        <v/>
      </c>
      <c r="P2009" s="57" t="str">
        <f aca="false">IF($O2009="","",SUMIFS($O$6:$O$2405,$A$6:$A$2405,"&lt;="&amp;$A2009))</f>
        <v/>
      </c>
      <c r="Q2009" s="57" t="str">
        <f aca="false">IF($O2009="","",IF($P2009&lt;=BankCostEnvelope*'5. Scenarios'!$D$7,1,0))</f>
        <v/>
      </c>
      <c r="R2009" s="57" t="str">
        <f aca="false">IF($N2009="","",INDEX(BookRate,2004)*(1+'5. Scenarios'!$D$10)*(INDEX(BookQ1,2004)*(5-MIN(4,1+'5. Scenarios'!$D$8))/4+INDEX(BookQ2,2004)*(5-MIN(4,2+'5. Scenarios'!$D$8))/4+INDEX(BookQ3,2004)*(5-MIN(4,3+'5. Scenarios'!$D$8))/4+INDEX(BookQ4,2004)*(5-MIN(4,4+'5. Scenarios'!$D$8))/4)*'5. Scenarios'!$D$6/(1+ProductivityDefault*('5. Scenarios'!$D$11-1))+INDEX(BookOneOff,2004)*$N2009)</f>
        <v/>
      </c>
      <c r="S2009" s="56" t="str">
        <f aca="false">IF(INDEX(BookTitle,2004)="","",INDEX(BookTotal,2004)*'5. Scenarios'!$E$6/(1+ProductivityDefault*('5. Scenarios'!$E$11-1)))</f>
        <v/>
      </c>
      <c r="T2009" s="57" t="str">
        <f aca="false">IF($S2009="","",INDEX(BookRate,2004)*(1+'5. Scenarios'!$E$10)*$S2009)</f>
        <v/>
      </c>
      <c r="U2009" s="57" t="str">
        <f aca="false">IF($T2009="","",SUMIFS($T$6:$T$2405,$A$6:$A$2405,"&lt;="&amp;$A2009))</f>
        <v/>
      </c>
      <c r="V2009" s="57" t="str">
        <f aca="false">IF($T2009="","",IF($U2009&lt;=BankCostEnvelope*'5. Scenarios'!$E$7,1,0))</f>
        <v/>
      </c>
      <c r="W2009" s="57" t="str">
        <f aca="false">IF($S2009="","",INDEX(BookRate,2004)*(1+'5. Scenarios'!$E$10)*(INDEX(BookQ1,2004)*(5-MIN(4,1+'5. Scenarios'!$E$8))/4+INDEX(BookQ2,2004)*(5-MIN(4,2+'5. Scenarios'!$E$8))/4+INDEX(BookQ3,2004)*(5-MIN(4,3+'5. Scenarios'!$E$8))/4+INDEX(BookQ4,2004)*(5-MIN(4,4+'5. Scenarios'!$E$8))/4)*'5. Scenarios'!$E$6/(1+ProductivityDefault*('5. Scenarios'!$E$11-1))+INDEX(BookOneOff,2004)*$S2009)</f>
        <v/>
      </c>
    </row>
    <row r="2010" customFormat="false" ht="15" hidden="false" customHeight="false" outlineLevel="0" collapsed="false">
      <c r="A2010" s="0" t="str">
        <f aca="false">IF(INDEX(BookTitle,2005)="","",INDEX(BookKey,2005))</f>
        <v/>
      </c>
      <c r="B2010" s="0" t="str">
        <f aca="false">IF(INDEX(BookTitle,2005)="","",INDEX(BookGroup,2005))</f>
        <v/>
      </c>
      <c r="C2010" s="0" t="str">
        <f aca="false">IF(INDEX(BookTitle,2005)="","",INDEX(BookCategory,2005))</f>
        <v/>
      </c>
      <c r="D2010" s="56" t="str">
        <f aca="false">IF(INDEX(BookTitle,2005)="","",INDEX(BookTotal,2005)*'5. Scenarios'!$B$6/(1+ProductivityDefault*('5. Scenarios'!$B$11-1)))</f>
        <v/>
      </c>
      <c r="E2010" s="57" t="str">
        <f aca="false">IF($D2010="","",INDEX(BookRate,2005)*(1+'5. Scenarios'!$B$10)*$D2010)</f>
        <v/>
      </c>
      <c r="F2010" s="57" t="str">
        <f aca="false">IF($E2010="","",SUMIFS($E$6:$E$2405,$A$6:$A$2405,"&lt;="&amp;$A2010))</f>
        <v/>
      </c>
      <c r="G2010" s="57" t="str">
        <f aca="false">IF($E2010="","",IF($F2010&lt;=BankCostEnvelope*'5. Scenarios'!$B$7,1,0))</f>
        <v/>
      </c>
      <c r="H2010" s="57" t="str">
        <f aca="false">IF($D2010="","",INDEX(BookRate,2005)*(1+'5. Scenarios'!$B$10)*(INDEX(BookQ1,2005)*(5-MIN(4,1+'5. Scenarios'!$B$8))/4+INDEX(BookQ2,2005)*(5-MIN(4,2+'5. Scenarios'!$B$8))/4+INDEX(BookQ3,2005)*(5-MIN(4,3+'5. Scenarios'!$B$8))/4+INDEX(BookQ4,2005)*(5-MIN(4,4+'5. Scenarios'!$B$8))/4)*'5. Scenarios'!$B$6/(1+ProductivityDefault*('5. Scenarios'!$B$11-1))+INDEX(BookOneOff,2005)*$D2010)</f>
        <v/>
      </c>
      <c r="I2010" s="56" t="str">
        <f aca="false">IF(INDEX(BookTitle,2005)="","",INDEX(BookTotal,2005)*'5. Scenarios'!$C$6/(1+ProductivityDefault*('5. Scenarios'!$C$11-1)))</f>
        <v/>
      </c>
      <c r="J2010" s="57" t="str">
        <f aca="false">IF($I2010="","",INDEX(BookRate,2005)*(1+'5. Scenarios'!$C$10)*$I2010)</f>
        <v/>
      </c>
      <c r="K2010" s="57" t="str">
        <f aca="false">IF($J2010="","",SUMIFS($J$6:$J$2405,$A$6:$A$2405,"&lt;="&amp;$A2010))</f>
        <v/>
      </c>
      <c r="L2010" s="57" t="str">
        <f aca="false">IF($J2010="","",IF($K2010&lt;=BankCostEnvelope*'5. Scenarios'!$C$7,1,0))</f>
        <v/>
      </c>
      <c r="M2010" s="57" t="str">
        <f aca="false">IF($I2010="","",INDEX(BookRate,2005)*(1+'5. Scenarios'!$C$10)*(INDEX(BookQ1,2005)*(5-MIN(4,1+'5. Scenarios'!$C$8))/4+INDEX(BookQ2,2005)*(5-MIN(4,2+'5. Scenarios'!$C$8))/4+INDEX(BookQ3,2005)*(5-MIN(4,3+'5. Scenarios'!$C$8))/4+INDEX(BookQ4,2005)*(5-MIN(4,4+'5. Scenarios'!$C$8))/4)*'5. Scenarios'!$C$6/(1+ProductivityDefault*('5. Scenarios'!$C$11-1))+INDEX(BookOneOff,2005)*$I2010)</f>
        <v/>
      </c>
      <c r="N2010" s="56" t="str">
        <f aca="false">IF(INDEX(BookTitle,2005)="","",INDEX(BookTotal,2005)*'5. Scenarios'!$D$6/(1+ProductivityDefault*('5. Scenarios'!$D$11-1)))</f>
        <v/>
      </c>
      <c r="O2010" s="57" t="str">
        <f aca="false">IF($N2010="","",INDEX(BookRate,2005)*(1+'5. Scenarios'!$D$10)*$N2010)</f>
        <v/>
      </c>
      <c r="P2010" s="57" t="str">
        <f aca="false">IF($O2010="","",SUMIFS($O$6:$O$2405,$A$6:$A$2405,"&lt;="&amp;$A2010))</f>
        <v/>
      </c>
      <c r="Q2010" s="57" t="str">
        <f aca="false">IF($O2010="","",IF($P2010&lt;=BankCostEnvelope*'5. Scenarios'!$D$7,1,0))</f>
        <v/>
      </c>
      <c r="R2010" s="57" t="str">
        <f aca="false">IF($N2010="","",INDEX(BookRate,2005)*(1+'5. Scenarios'!$D$10)*(INDEX(BookQ1,2005)*(5-MIN(4,1+'5. Scenarios'!$D$8))/4+INDEX(BookQ2,2005)*(5-MIN(4,2+'5. Scenarios'!$D$8))/4+INDEX(BookQ3,2005)*(5-MIN(4,3+'5. Scenarios'!$D$8))/4+INDEX(BookQ4,2005)*(5-MIN(4,4+'5. Scenarios'!$D$8))/4)*'5. Scenarios'!$D$6/(1+ProductivityDefault*('5. Scenarios'!$D$11-1))+INDEX(BookOneOff,2005)*$N2010)</f>
        <v/>
      </c>
      <c r="S2010" s="56" t="str">
        <f aca="false">IF(INDEX(BookTitle,2005)="","",INDEX(BookTotal,2005)*'5. Scenarios'!$E$6/(1+ProductivityDefault*('5. Scenarios'!$E$11-1)))</f>
        <v/>
      </c>
      <c r="T2010" s="57" t="str">
        <f aca="false">IF($S2010="","",INDEX(BookRate,2005)*(1+'5. Scenarios'!$E$10)*$S2010)</f>
        <v/>
      </c>
      <c r="U2010" s="57" t="str">
        <f aca="false">IF($T2010="","",SUMIFS($T$6:$T$2405,$A$6:$A$2405,"&lt;="&amp;$A2010))</f>
        <v/>
      </c>
      <c r="V2010" s="57" t="str">
        <f aca="false">IF($T2010="","",IF($U2010&lt;=BankCostEnvelope*'5. Scenarios'!$E$7,1,0))</f>
        <v/>
      </c>
      <c r="W2010" s="57" t="str">
        <f aca="false">IF($S2010="","",INDEX(BookRate,2005)*(1+'5. Scenarios'!$E$10)*(INDEX(BookQ1,2005)*(5-MIN(4,1+'5. Scenarios'!$E$8))/4+INDEX(BookQ2,2005)*(5-MIN(4,2+'5. Scenarios'!$E$8))/4+INDEX(BookQ3,2005)*(5-MIN(4,3+'5. Scenarios'!$E$8))/4+INDEX(BookQ4,2005)*(5-MIN(4,4+'5. Scenarios'!$E$8))/4)*'5. Scenarios'!$E$6/(1+ProductivityDefault*('5. Scenarios'!$E$11-1))+INDEX(BookOneOff,2005)*$S2010)</f>
        <v/>
      </c>
    </row>
    <row r="2011" customFormat="false" ht="15" hidden="false" customHeight="false" outlineLevel="0" collapsed="false">
      <c r="A2011" s="0" t="str">
        <f aca="false">IF(INDEX(BookTitle,2006)="","",INDEX(BookKey,2006))</f>
        <v/>
      </c>
      <c r="B2011" s="0" t="str">
        <f aca="false">IF(INDEX(BookTitle,2006)="","",INDEX(BookGroup,2006))</f>
        <v/>
      </c>
      <c r="C2011" s="0" t="str">
        <f aca="false">IF(INDEX(BookTitle,2006)="","",INDEX(BookCategory,2006))</f>
        <v/>
      </c>
      <c r="D2011" s="56" t="str">
        <f aca="false">IF(INDEX(BookTitle,2006)="","",INDEX(BookTotal,2006)*'5. Scenarios'!$B$6/(1+ProductivityDefault*('5. Scenarios'!$B$11-1)))</f>
        <v/>
      </c>
      <c r="E2011" s="57" t="str">
        <f aca="false">IF($D2011="","",INDEX(BookRate,2006)*(1+'5. Scenarios'!$B$10)*$D2011)</f>
        <v/>
      </c>
      <c r="F2011" s="57" t="str">
        <f aca="false">IF($E2011="","",SUMIFS($E$6:$E$2405,$A$6:$A$2405,"&lt;="&amp;$A2011))</f>
        <v/>
      </c>
      <c r="G2011" s="57" t="str">
        <f aca="false">IF($E2011="","",IF($F2011&lt;=BankCostEnvelope*'5. Scenarios'!$B$7,1,0))</f>
        <v/>
      </c>
      <c r="H2011" s="57" t="str">
        <f aca="false">IF($D2011="","",INDEX(BookRate,2006)*(1+'5. Scenarios'!$B$10)*(INDEX(BookQ1,2006)*(5-MIN(4,1+'5. Scenarios'!$B$8))/4+INDEX(BookQ2,2006)*(5-MIN(4,2+'5. Scenarios'!$B$8))/4+INDEX(BookQ3,2006)*(5-MIN(4,3+'5. Scenarios'!$B$8))/4+INDEX(BookQ4,2006)*(5-MIN(4,4+'5. Scenarios'!$B$8))/4)*'5. Scenarios'!$B$6/(1+ProductivityDefault*('5. Scenarios'!$B$11-1))+INDEX(BookOneOff,2006)*$D2011)</f>
        <v/>
      </c>
      <c r="I2011" s="56" t="str">
        <f aca="false">IF(INDEX(BookTitle,2006)="","",INDEX(BookTotal,2006)*'5. Scenarios'!$C$6/(1+ProductivityDefault*('5. Scenarios'!$C$11-1)))</f>
        <v/>
      </c>
      <c r="J2011" s="57" t="str">
        <f aca="false">IF($I2011="","",INDEX(BookRate,2006)*(1+'5. Scenarios'!$C$10)*$I2011)</f>
        <v/>
      </c>
      <c r="K2011" s="57" t="str">
        <f aca="false">IF($J2011="","",SUMIFS($J$6:$J$2405,$A$6:$A$2405,"&lt;="&amp;$A2011))</f>
        <v/>
      </c>
      <c r="L2011" s="57" t="str">
        <f aca="false">IF($J2011="","",IF($K2011&lt;=BankCostEnvelope*'5. Scenarios'!$C$7,1,0))</f>
        <v/>
      </c>
      <c r="M2011" s="57" t="str">
        <f aca="false">IF($I2011="","",INDEX(BookRate,2006)*(1+'5. Scenarios'!$C$10)*(INDEX(BookQ1,2006)*(5-MIN(4,1+'5. Scenarios'!$C$8))/4+INDEX(BookQ2,2006)*(5-MIN(4,2+'5. Scenarios'!$C$8))/4+INDEX(BookQ3,2006)*(5-MIN(4,3+'5. Scenarios'!$C$8))/4+INDEX(BookQ4,2006)*(5-MIN(4,4+'5. Scenarios'!$C$8))/4)*'5. Scenarios'!$C$6/(1+ProductivityDefault*('5. Scenarios'!$C$11-1))+INDEX(BookOneOff,2006)*$I2011)</f>
        <v/>
      </c>
      <c r="N2011" s="56" t="str">
        <f aca="false">IF(INDEX(BookTitle,2006)="","",INDEX(BookTotal,2006)*'5. Scenarios'!$D$6/(1+ProductivityDefault*('5. Scenarios'!$D$11-1)))</f>
        <v/>
      </c>
      <c r="O2011" s="57" t="str">
        <f aca="false">IF($N2011="","",INDEX(BookRate,2006)*(1+'5. Scenarios'!$D$10)*$N2011)</f>
        <v/>
      </c>
      <c r="P2011" s="57" t="str">
        <f aca="false">IF($O2011="","",SUMIFS($O$6:$O$2405,$A$6:$A$2405,"&lt;="&amp;$A2011))</f>
        <v/>
      </c>
      <c r="Q2011" s="57" t="str">
        <f aca="false">IF($O2011="","",IF($P2011&lt;=BankCostEnvelope*'5. Scenarios'!$D$7,1,0))</f>
        <v/>
      </c>
      <c r="R2011" s="57" t="str">
        <f aca="false">IF($N2011="","",INDEX(BookRate,2006)*(1+'5. Scenarios'!$D$10)*(INDEX(BookQ1,2006)*(5-MIN(4,1+'5. Scenarios'!$D$8))/4+INDEX(BookQ2,2006)*(5-MIN(4,2+'5. Scenarios'!$D$8))/4+INDEX(BookQ3,2006)*(5-MIN(4,3+'5. Scenarios'!$D$8))/4+INDEX(BookQ4,2006)*(5-MIN(4,4+'5. Scenarios'!$D$8))/4)*'5. Scenarios'!$D$6/(1+ProductivityDefault*('5. Scenarios'!$D$11-1))+INDEX(BookOneOff,2006)*$N2011)</f>
        <v/>
      </c>
      <c r="S2011" s="56" t="str">
        <f aca="false">IF(INDEX(BookTitle,2006)="","",INDEX(BookTotal,2006)*'5. Scenarios'!$E$6/(1+ProductivityDefault*('5. Scenarios'!$E$11-1)))</f>
        <v/>
      </c>
      <c r="T2011" s="57" t="str">
        <f aca="false">IF($S2011="","",INDEX(BookRate,2006)*(1+'5. Scenarios'!$E$10)*$S2011)</f>
        <v/>
      </c>
      <c r="U2011" s="57" t="str">
        <f aca="false">IF($T2011="","",SUMIFS($T$6:$T$2405,$A$6:$A$2405,"&lt;="&amp;$A2011))</f>
        <v/>
      </c>
      <c r="V2011" s="57" t="str">
        <f aca="false">IF($T2011="","",IF($U2011&lt;=BankCostEnvelope*'5. Scenarios'!$E$7,1,0))</f>
        <v/>
      </c>
      <c r="W2011" s="57" t="str">
        <f aca="false">IF($S2011="","",INDEX(BookRate,2006)*(1+'5. Scenarios'!$E$10)*(INDEX(BookQ1,2006)*(5-MIN(4,1+'5. Scenarios'!$E$8))/4+INDEX(BookQ2,2006)*(5-MIN(4,2+'5. Scenarios'!$E$8))/4+INDEX(BookQ3,2006)*(5-MIN(4,3+'5. Scenarios'!$E$8))/4+INDEX(BookQ4,2006)*(5-MIN(4,4+'5. Scenarios'!$E$8))/4)*'5. Scenarios'!$E$6/(1+ProductivityDefault*('5. Scenarios'!$E$11-1))+INDEX(BookOneOff,2006)*$S2011)</f>
        <v/>
      </c>
    </row>
    <row r="2012" customFormat="false" ht="15" hidden="false" customHeight="false" outlineLevel="0" collapsed="false">
      <c r="A2012" s="0" t="str">
        <f aca="false">IF(INDEX(BookTitle,2007)="","",INDEX(BookKey,2007))</f>
        <v/>
      </c>
      <c r="B2012" s="0" t="str">
        <f aca="false">IF(INDEX(BookTitle,2007)="","",INDEX(BookGroup,2007))</f>
        <v/>
      </c>
      <c r="C2012" s="0" t="str">
        <f aca="false">IF(INDEX(BookTitle,2007)="","",INDEX(BookCategory,2007))</f>
        <v/>
      </c>
      <c r="D2012" s="56" t="str">
        <f aca="false">IF(INDEX(BookTitle,2007)="","",INDEX(BookTotal,2007)*'5. Scenarios'!$B$6/(1+ProductivityDefault*('5. Scenarios'!$B$11-1)))</f>
        <v/>
      </c>
      <c r="E2012" s="57" t="str">
        <f aca="false">IF($D2012="","",INDEX(BookRate,2007)*(1+'5. Scenarios'!$B$10)*$D2012)</f>
        <v/>
      </c>
      <c r="F2012" s="57" t="str">
        <f aca="false">IF($E2012="","",SUMIFS($E$6:$E$2405,$A$6:$A$2405,"&lt;="&amp;$A2012))</f>
        <v/>
      </c>
      <c r="G2012" s="57" t="str">
        <f aca="false">IF($E2012="","",IF($F2012&lt;=BankCostEnvelope*'5. Scenarios'!$B$7,1,0))</f>
        <v/>
      </c>
      <c r="H2012" s="57" t="str">
        <f aca="false">IF($D2012="","",INDEX(BookRate,2007)*(1+'5. Scenarios'!$B$10)*(INDEX(BookQ1,2007)*(5-MIN(4,1+'5. Scenarios'!$B$8))/4+INDEX(BookQ2,2007)*(5-MIN(4,2+'5. Scenarios'!$B$8))/4+INDEX(BookQ3,2007)*(5-MIN(4,3+'5. Scenarios'!$B$8))/4+INDEX(BookQ4,2007)*(5-MIN(4,4+'5. Scenarios'!$B$8))/4)*'5. Scenarios'!$B$6/(1+ProductivityDefault*('5. Scenarios'!$B$11-1))+INDEX(BookOneOff,2007)*$D2012)</f>
        <v/>
      </c>
      <c r="I2012" s="56" t="str">
        <f aca="false">IF(INDEX(BookTitle,2007)="","",INDEX(BookTotal,2007)*'5. Scenarios'!$C$6/(1+ProductivityDefault*('5. Scenarios'!$C$11-1)))</f>
        <v/>
      </c>
      <c r="J2012" s="57" t="str">
        <f aca="false">IF($I2012="","",INDEX(BookRate,2007)*(1+'5. Scenarios'!$C$10)*$I2012)</f>
        <v/>
      </c>
      <c r="K2012" s="57" t="str">
        <f aca="false">IF($J2012="","",SUMIFS($J$6:$J$2405,$A$6:$A$2405,"&lt;="&amp;$A2012))</f>
        <v/>
      </c>
      <c r="L2012" s="57" t="str">
        <f aca="false">IF($J2012="","",IF($K2012&lt;=BankCostEnvelope*'5. Scenarios'!$C$7,1,0))</f>
        <v/>
      </c>
      <c r="M2012" s="57" t="str">
        <f aca="false">IF($I2012="","",INDEX(BookRate,2007)*(1+'5. Scenarios'!$C$10)*(INDEX(BookQ1,2007)*(5-MIN(4,1+'5. Scenarios'!$C$8))/4+INDEX(BookQ2,2007)*(5-MIN(4,2+'5. Scenarios'!$C$8))/4+INDEX(BookQ3,2007)*(5-MIN(4,3+'5. Scenarios'!$C$8))/4+INDEX(BookQ4,2007)*(5-MIN(4,4+'5. Scenarios'!$C$8))/4)*'5. Scenarios'!$C$6/(1+ProductivityDefault*('5. Scenarios'!$C$11-1))+INDEX(BookOneOff,2007)*$I2012)</f>
        <v/>
      </c>
      <c r="N2012" s="56" t="str">
        <f aca="false">IF(INDEX(BookTitle,2007)="","",INDEX(BookTotal,2007)*'5. Scenarios'!$D$6/(1+ProductivityDefault*('5. Scenarios'!$D$11-1)))</f>
        <v/>
      </c>
      <c r="O2012" s="57" t="str">
        <f aca="false">IF($N2012="","",INDEX(BookRate,2007)*(1+'5. Scenarios'!$D$10)*$N2012)</f>
        <v/>
      </c>
      <c r="P2012" s="57" t="str">
        <f aca="false">IF($O2012="","",SUMIFS($O$6:$O$2405,$A$6:$A$2405,"&lt;="&amp;$A2012))</f>
        <v/>
      </c>
      <c r="Q2012" s="57" t="str">
        <f aca="false">IF($O2012="","",IF($P2012&lt;=BankCostEnvelope*'5. Scenarios'!$D$7,1,0))</f>
        <v/>
      </c>
      <c r="R2012" s="57" t="str">
        <f aca="false">IF($N2012="","",INDEX(BookRate,2007)*(1+'5. Scenarios'!$D$10)*(INDEX(BookQ1,2007)*(5-MIN(4,1+'5. Scenarios'!$D$8))/4+INDEX(BookQ2,2007)*(5-MIN(4,2+'5. Scenarios'!$D$8))/4+INDEX(BookQ3,2007)*(5-MIN(4,3+'5. Scenarios'!$D$8))/4+INDEX(BookQ4,2007)*(5-MIN(4,4+'5. Scenarios'!$D$8))/4)*'5. Scenarios'!$D$6/(1+ProductivityDefault*('5. Scenarios'!$D$11-1))+INDEX(BookOneOff,2007)*$N2012)</f>
        <v/>
      </c>
      <c r="S2012" s="56" t="str">
        <f aca="false">IF(INDEX(BookTitle,2007)="","",INDEX(BookTotal,2007)*'5. Scenarios'!$E$6/(1+ProductivityDefault*('5. Scenarios'!$E$11-1)))</f>
        <v/>
      </c>
      <c r="T2012" s="57" t="str">
        <f aca="false">IF($S2012="","",INDEX(BookRate,2007)*(1+'5. Scenarios'!$E$10)*$S2012)</f>
        <v/>
      </c>
      <c r="U2012" s="57" t="str">
        <f aca="false">IF($T2012="","",SUMIFS($T$6:$T$2405,$A$6:$A$2405,"&lt;="&amp;$A2012))</f>
        <v/>
      </c>
      <c r="V2012" s="57" t="str">
        <f aca="false">IF($T2012="","",IF($U2012&lt;=BankCostEnvelope*'5. Scenarios'!$E$7,1,0))</f>
        <v/>
      </c>
      <c r="W2012" s="57" t="str">
        <f aca="false">IF($S2012="","",INDEX(BookRate,2007)*(1+'5. Scenarios'!$E$10)*(INDEX(BookQ1,2007)*(5-MIN(4,1+'5. Scenarios'!$E$8))/4+INDEX(BookQ2,2007)*(5-MIN(4,2+'5. Scenarios'!$E$8))/4+INDEX(BookQ3,2007)*(5-MIN(4,3+'5. Scenarios'!$E$8))/4+INDEX(BookQ4,2007)*(5-MIN(4,4+'5. Scenarios'!$E$8))/4)*'5. Scenarios'!$E$6/(1+ProductivityDefault*('5. Scenarios'!$E$11-1))+INDEX(BookOneOff,2007)*$S2012)</f>
        <v/>
      </c>
    </row>
    <row r="2013" customFormat="false" ht="15" hidden="false" customHeight="false" outlineLevel="0" collapsed="false">
      <c r="A2013" s="0" t="str">
        <f aca="false">IF(INDEX(BookTitle,2008)="","",INDEX(BookKey,2008))</f>
        <v/>
      </c>
      <c r="B2013" s="0" t="str">
        <f aca="false">IF(INDEX(BookTitle,2008)="","",INDEX(BookGroup,2008))</f>
        <v/>
      </c>
      <c r="C2013" s="0" t="str">
        <f aca="false">IF(INDEX(BookTitle,2008)="","",INDEX(BookCategory,2008))</f>
        <v/>
      </c>
      <c r="D2013" s="56" t="str">
        <f aca="false">IF(INDEX(BookTitle,2008)="","",INDEX(BookTotal,2008)*'5. Scenarios'!$B$6/(1+ProductivityDefault*('5. Scenarios'!$B$11-1)))</f>
        <v/>
      </c>
      <c r="E2013" s="57" t="str">
        <f aca="false">IF($D2013="","",INDEX(BookRate,2008)*(1+'5. Scenarios'!$B$10)*$D2013)</f>
        <v/>
      </c>
      <c r="F2013" s="57" t="str">
        <f aca="false">IF($E2013="","",SUMIFS($E$6:$E$2405,$A$6:$A$2405,"&lt;="&amp;$A2013))</f>
        <v/>
      </c>
      <c r="G2013" s="57" t="str">
        <f aca="false">IF($E2013="","",IF($F2013&lt;=BankCostEnvelope*'5. Scenarios'!$B$7,1,0))</f>
        <v/>
      </c>
      <c r="H2013" s="57" t="str">
        <f aca="false">IF($D2013="","",INDEX(BookRate,2008)*(1+'5. Scenarios'!$B$10)*(INDEX(BookQ1,2008)*(5-MIN(4,1+'5. Scenarios'!$B$8))/4+INDEX(BookQ2,2008)*(5-MIN(4,2+'5. Scenarios'!$B$8))/4+INDEX(BookQ3,2008)*(5-MIN(4,3+'5. Scenarios'!$B$8))/4+INDEX(BookQ4,2008)*(5-MIN(4,4+'5. Scenarios'!$B$8))/4)*'5. Scenarios'!$B$6/(1+ProductivityDefault*('5. Scenarios'!$B$11-1))+INDEX(BookOneOff,2008)*$D2013)</f>
        <v/>
      </c>
      <c r="I2013" s="56" t="str">
        <f aca="false">IF(INDEX(BookTitle,2008)="","",INDEX(BookTotal,2008)*'5. Scenarios'!$C$6/(1+ProductivityDefault*('5. Scenarios'!$C$11-1)))</f>
        <v/>
      </c>
      <c r="J2013" s="57" t="str">
        <f aca="false">IF($I2013="","",INDEX(BookRate,2008)*(1+'5. Scenarios'!$C$10)*$I2013)</f>
        <v/>
      </c>
      <c r="K2013" s="57" t="str">
        <f aca="false">IF($J2013="","",SUMIFS($J$6:$J$2405,$A$6:$A$2405,"&lt;="&amp;$A2013))</f>
        <v/>
      </c>
      <c r="L2013" s="57" t="str">
        <f aca="false">IF($J2013="","",IF($K2013&lt;=BankCostEnvelope*'5. Scenarios'!$C$7,1,0))</f>
        <v/>
      </c>
      <c r="M2013" s="57" t="str">
        <f aca="false">IF($I2013="","",INDEX(BookRate,2008)*(1+'5. Scenarios'!$C$10)*(INDEX(BookQ1,2008)*(5-MIN(4,1+'5. Scenarios'!$C$8))/4+INDEX(BookQ2,2008)*(5-MIN(4,2+'5. Scenarios'!$C$8))/4+INDEX(BookQ3,2008)*(5-MIN(4,3+'5. Scenarios'!$C$8))/4+INDEX(BookQ4,2008)*(5-MIN(4,4+'5. Scenarios'!$C$8))/4)*'5. Scenarios'!$C$6/(1+ProductivityDefault*('5. Scenarios'!$C$11-1))+INDEX(BookOneOff,2008)*$I2013)</f>
        <v/>
      </c>
      <c r="N2013" s="56" t="str">
        <f aca="false">IF(INDEX(BookTitle,2008)="","",INDEX(BookTotal,2008)*'5. Scenarios'!$D$6/(1+ProductivityDefault*('5. Scenarios'!$D$11-1)))</f>
        <v/>
      </c>
      <c r="O2013" s="57" t="str">
        <f aca="false">IF($N2013="","",INDEX(BookRate,2008)*(1+'5. Scenarios'!$D$10)*$N2013)</f>
        <v/>
      </c>
      <c r="P2013" s="57" t="str">
        <f aca="false">IF($O2013="","",SUMIFS($O$6:$O$2405,$A$6:$A$2405,"&lt;="&amp;$A2013))</f>
        <v/>
      </c>
      <c r="Q2013" s="57" t="str">
        <f aca="false">IF($O2013="","",IF($P2013&lt;=BankCostEnvelope*'5. Scenarios'!$D$7,1,0))</f>
        <v/>
      </c>
      <c r="R2013" s="57" t="str">
        <f aca="false">IF($N2013="","",INDEX(BookRate,2008)*(1+'5. Scenarios'!$D$10)*(INDEX(BookQ1,2008)*(5-MIN(4,1+'5. Scenarios'!$D$8))/4+INDEX(BookQ2,2008)*(5-MIN(4,2+'5. Scenarios'!$D$8))/4+INDEX(BookQ3,2008)*(5-MIN(4,3+'5. Scenarios'!$D$8))/4+INDEX(BookQ4,2008)*(5-MIN(4,4+'5. Scenarios'!$D$8))/4)*'5. Scenarios'!$D$6/(1+ProductivityDefault*('5. Scenarios'!$D$11-1))+INDEX(BookOneOff,2008)*$N2013)</f>
        <v/>
      </c>
      <c r="S2013" s="56" t="str">
        <f aca="false">IF(INDEX(BookTitle,2008)="","",INDEX(BookTotal,2008)*'5. Scenarios'!$E$6/(1+ProductivityDefault*('5. Scenarios'!$E$11-1)))</f>
        <v/>
      </c>
      <c r="T2013" s="57" t="str">
        <f aca="false">IF($S2013="","",INDEX(BookRate,2008)*(1+'5. Scenarios'!$E$10)*$S2013)</f>
        <v/>
      </c>
      <c r="U2013" s="57" t="str">
        <f aca="false">IF($T2013="","",SUMIFS($T$6:$T$2405,$A$6:$A$2405,"&lt;="&amp;$A2013))</f>
        <v/>
      </c>
      <c r="V2013" s="57" t="str">
        <f aca="false">IF($T2013="","",IF($U2013&lt;=BankCostEnvelope*'5. Scenarios'!$E$7,1,0))</f>
        <v/>
      </c>
      <c r="W2013" s="57" t="str">
        <f aca="false">IF($S2013="","",INDEX(BookRate,2008)*(1+'5. Scenarios'!$E$10)*(INDEX(BookQ1,2008)*(5-MIN(4,1+'5. Scenarios'!$E$8))/4+INDEX(BookQ2,2008)*(5-MIN(4,2+'5. Scenarios'!$E$8))/4+INDEX(BookQ3,2008)*(5-MIN(4,3+'5. Scenarios'!$E$8))/4+INDEX(BookQ4,2008)*(5-MIN(4,4+'5. Scenarios'!$E$8))/4)*'5. Scenarios'!$E$6/(1+ProductivityDefault*('5. Scenarios'!$E$11-1))+INDEX(BookOneOff,2008)*$S2013)</f>
        <v/>
      </c>
    </row>
    <row r="2014" customFormat="false" ht="15" hidden="false" customHeight="false" outlineLevel="0" collapsed="false">
      <c r="A2014" s="0" t="str">
        <f aca="false">IF(INDEX(BookTitle,2009)="","",INDEX(BookKey,2009))</f>
        <v/>
      </c>
      <c r="B2014" s="0" t="str">
        <f aca="false">IF(INDEX(BookTitle,2009)="","",INDEX(BookGroup,2009))</f>
        <v/>
      </c>
      <c r="C2014" s="0" t="str">
        <f aca="false">IF(INDEX(BookTitle,2009)="","",INDEX(BookCategory,2009))</f>
        <v/>
      </c>
      <c r="D2014" s="56" t="str">
        <f aca="false">IF(INDEX(BookTitle,2009)="","",INDEX(BookTotal,2009)*'5. Scenarios'!$B$6/(1+ProductivityDefault*('5. Scenarios'!$B$11-1)))</f>
        <v/>
      </c>
      <c r="E2014" s="57" t="str">
        <f aca="false">IF($D2014="","",INDEX(BookRate,2009)*(1+'5. Scenarios'!$B$10)*$D2014)</f>
        <v/>
      </c>
      <c r="F2014" s="57" t="str">
        <f aca="false">IF($E2014="","",SUMIFS($E$6:$E$2405,$A$6:$A$2405,"&lt;="&amp;$A2014))</f>
        <v/>
      </c>
      <c r="G2014" s="57" t="str">
        <f aca="false">IF($E2014="","",IF($F2014&lt;=BankCostEnvelope*'5. Scenarios'!$B$7,1,0))</f>
        <v/>
      </c>
      <c r="H2014" s="57" t="str">
        <f aca="false">IF($D2014="","",INDEX(BookRate,2009)*(1+'5. Scenarios'!$B$10)*(INDEX(BookQ1,2009)*(5-MIN(4,1+'5. Scenarios'!$B$8))/4+INDEX(BookQ2,2009)*(5-MIN(4,2+'5. Scenarios'!$B$8))/4+INDEX(BookQ3,2009)*(5-MIN(4,3+'5. Scenarios'!$B$8))/4+INDEX(BookQ4,2009)*(5-MIN(4,4+'5. Scenarios'!$B$8))/4)*'5. Scenarios'!$B$6/(1+ProductivityDefault*('5. Scenarios'!$B$11-1))+INDEX(BookOneOff,2009)*$D2014)</f>
        <v/>
      </c>
      <c r="I2014" s="56" t="str">
        <f aca="false">IF(INDEX(BookTitle,2009)="","",INDEX(BookTotal,2009)*'5. Scenarios'!$C$6/(1+ProductivityDefault*('5. Scenarios'!$C$11-1)))</f>
        <v/>
      </c>
      <c r="J2014" s="57" t="str">
        <f aca="false">IF($I2014="","",INDEX(BookRate,2009)*(1+'5. Scenarios'!$C$10)*$I2014)</f>
        <v/>
      </c>
      <c r="K2014" s="57" t="str">
        <f aca="false">IF($J2014="","",SUMIFS($J$6:$J$2405,$A$6:$A$2405,"&lt;="&amp;$A2014))</f>
        <v/>
      </c>
      <c r="L2014" s="57" t="str">
        <f aca="false">IF($J2014="","",IF($K2014&lt;=BankCostEnvelope*'5. Scenarios'!$C$7,1,0))</f>
        <v/>
      </c>
      <c r="M2014" s="57" t="str">
        <f aca="false">IF($I2014="","",INDEX(BookRate,2009)*(1+'5. Scenarios'!$C$10)*(INDEX(BookQ1,2009)*(5-MIN(4,1+'5. Scenarios'!$C$8))/4+INDEX(BookQ2,2009)*(5-MIN(4,2+'5. Scenarios'!$C$8))/4+INDEX(BookQ3,2009)*(5-MIN(4,3+'5. Scenarios'!$C$8))/4+INDEX(BookQ4,2009)*(5-MIN(4,4+'5. Scenarios'!$C$8))/4)*'5. Scenarios'!$C$6/(1+ProductivityDefault*('5. Scenarios'!$C$11-1))+INDEX(BookOneOff,2009)*$I2014)</f>
        <v/>
      </c>
      <c r="N2014" s="56" t="str">
        <f aca="false">IF(INDEX(BookTitle,2009)="","",INDEX(BookTotal,2009)*'5. Scenarios'!$D$6/(1+ProductivityDefault*('5. Scenarios'!$D$11-1)))</f>
        <v/>
      </c>
      <c r="O2014" s="57" t="str">
        <f aca="false">IF($N2014="","",INDEX(BookRate,2009)*(1+'5. Scenarios'!$D$10)*$N2014)</f>
        <v/>
      </c>
      <c r="P2014" s="57" t="str">
        <f aca="false">IF($O2014="","",SUMIFS($O$6:$O$2405,$A$6:$A$2405,"&lt;="&amp;$A2014))</f>
        <v/>
      </c>
      <c r="Q2014" s="57" t="str">
        <f aca="false">IF($O2014="","",IF($P2014&lt;=BankCostEnvelope*'5. Scenarios'!$D$7,1,0))</f>
        <v/>
      </c>
      <c r="R2014" s="57" t="str">
        <f aca="false">IF($N2014="","",INDEX(BookRate,2009)*(1+'5. Scenarios'!$D$10)*(INDEX(BookQ1,2009)*(5-MIN(4,1+'5. Scenarios'!$D$8))/4+INDEX(BookQ2,2009)*(5-MIN(4,2+'5. Scenarios'!$D$8))/4+INDEX(BookQ3,2009)*(5-MIN(4,3+'5. Scenarios'!$D$8))/4+INDEX(BookQ4,2009)*(5-MIN(4,4+'5. Scenarios'!$D$8))/4)*'5. Scenarios'!$D$6/(1+ProductivityDefault*('5. Scenarios'!$D$11-1))+INDEX(BookOneOff,2009)*$N2014)</f>
        <v/>
      </c>
      <c r="S2014" s="56" t="str">
        <f aca="false">IF(INDEX(BookTitle,2009)="","",INDEX(BookTotal,2009)*'5. Scenarios'!$E$6/(1+ProductivityDefault*('5. Scenarios'!$E$11-1)))</f>
        <v/>
      </c>
      <c r="T2014" s="57" t="str">
        <f aca="false">IF($S2014="","",INDEX(BookRate,2009)*(1+'5. Scenarios'!$E$10)*$S2014)</f>
        <v/>
      </c>
      <c r="U2014" s="57" t="str">
        <f aca="false">IF($T2014="","",SUMIFS($T$6:$T$2405,$A$6:$A$2405,"&lt;="&amp;$A2014))</f>
        <v/>
      </c>
      <c r="V2014" s="57" t="str">
        <f aca="false">IF($T2014="","",IF($U2014&lt;=BankCostEnvelope*'5. Scenarios'!$E$7,1,0))</f>
        <v/>
      </c>
      <c r="W2014" s="57" t="str">
        <f aca="false">IF($S2014="","",INDEX(BookRate,2009)*(1+'5. Scenarios'!$E$10)*(INDEX(BookQ1,2009)*(5-MIN(4,1+'5. Scenarios'!$E$8))/4+INDEX(BookQ2,2009)*(5-MIN(4,2+'5. Scenarios'!$E$8))/4+INDEX(BookQ3,2009)*(5-MIN(4,3+'5. Scenarios'!$E$8))/4+INDEX(BookQ4,2009)*(5-MIN(4,4+'5. Scenarios'!$E$8))/4)*'5. Scenarios'!$E$6/(1+ProductivityDefault*('5. Scenarios'!$E$11-1))+INDEX(BookOneOff,2009)*$S2014)</f>
        <v/>
      </c>
    </row>
    <row r="2015" customFormat="false" ht="15" hidden="false" customHeight="false" outlineLevel="0" collapsed="false">
      <c r="A2015" s="0" t="str">
        <f aca="false">IF(INDEX(BookTitle,2010)="","",INDEX(BookKey,2010))</f>
        <v/>
      </c>
      <c r="B2015" s="0" t="str">
        <f aca="false">IF(INDEX(BookTitle,2010)="","",INDEX(BookGroup,2010))</f>
        <v/>
      </c>
      <c r="C2015" s="0" t="str">
        <f aca="false">IF(INDEX(BookTitle,2010)="","",INDEX(BookCategory,2010))</f>
        <v/>
      </c>
      <c r="D2015" s="56" t="str">
        <f aca="false">IF(INDEX(BookTitle,2010)="","",INDEX(BookTotal,2010)*'5. Scenarios'!$B$6/(1+ProductivityDefault*('5. Scenarios'!$B$11-1)))</f>
        <v/>
      </c>
      <c r="E2015" s="57" t="str">
        <f aca="false">IF($D2015="","",INDEX(BookRate,2010)*(1+'5. Scenarios'!$B$10)*$D2015)</f>
        <v/>
      </c>
      <c r="F2015" s="57" t="str">
        <f aca="false">IF($E2015="","",SUMIFS($E$6:$E$2405,$A$6:$A$2405,"&lt;="&amp;$A2015))</f>
        <v/>
      </c>
      <c r="G2015" s="57" t="str">
        <f aca="false">IF($E2015="","",IF($F2015&lt;=BankCostEnvelope*'5. Scenarios'!$B$7,1,0))</f>
        <v/>
      </c>
      <c r="H2015" s="57" t="str">
        <f aca="false">IF($D2015="","",INDEX(BookRate,2010)*(1+'5. Scenarios'!$B$10)*(INDEX(BookQ1,2010)*(5-MIN(4,1+'5. Scenarios'!$B$8))/4+INDEX(BookQ2,2010)*(5-MIN(4,2+'5. Scenarios'!$B$8))/4+INDEX(BookQ3,2010)*(5-MIN(4,3+'5. Scenarios'!$B$8))/4+INDEX(BookQ4,2010)*(5-MIN(4,4+'5. Scenarios'!$B$8))/4)*'5. Scenarios'!$B$6/(1+ProductivityDefault*('5. Scenarios'!$B$11-1))+INDEX(BookOneOff,2010)*$D2015)</f>
        <v/>
      </c>
      <c r="I2015" s="56" t="str">
        <f aca="false">IF(INDEX(BookTitle,2010)="","",INDEX(BookTotal,2010)*'5. Scenarios'!$C$6/(1+ProductivityDefault*('5. Scenarios'!$C$11-1)))</f>
        <v/>
      </c>
      <c r="J2015" s="57" t="str">
        <f aca="false">IF($I2015="","",INDEX(BookRate,2010)*(1+'5. Scenarios'!$C$10)*$I2015)</f>
        <v/>
      </c>
      <c r="K2015" s="57" t="str">
        <f aca="false">IF($J2015="","",SUMIFS($J$6:$J$2405,$A$6:$A$2405,"&lt;="&amp;$A2015))</f>
        <v/>
      </c>
      <c r="L2015" s="57" t="str">
        <f aca="false">IF($J2015="","",IF($K2015&lt;=BankCostEnvelope*'5. Scenarios'!$C$7,1,0))</f>
        <v/>
      </c>
      <c r="M2015" s="57" t="str">
        <f aca="false">IF($I2015="","",INDEX(BookRate,2010)*(1+'5. Scenarios'!$C$10)*(INDEX(BookQ1,2010)*(5-MIN(4,1+'5. Scenarios'!$C$8))/4+INDEX(BookQ2,2010)*(5-MIN(4,2+'5. Scenarios'!$C$8))/4+INDEX(BookQ3,2010)*(5-MIN(4,3+'5. Scenarios'!$C$8))/4+INDEX(BookQ4,2010)*(5-MIN(4,4+'5. Scenarios'!$C$8))/4)*'5. Scenarios'!$C$6/(1+ProductivityDefault*('5. Scenarios'!$C$11-1))+INDEX(BookOneOff,2010)*$I2015)</f>
        <v/>
      </c>
      <c r="N2015" s="56" t="str">
        <f aca="false">IF(INDEX(BookTitle,2010)="","",INDEX(BookTotal,2010)*'5. Scenarios'!$D$6/(1+ProductivityDefault*('5. Scenarios'!$D$11-1)))</f>
        <v/>
      </c>
      <c r="O2015" s="57" t="str">
        <f aca="false">IF($N2015="","",INDEX(BookRate,2010)*(1+'5. Scenarios'!$D$10)*$N2015)</f>
        <v/>
      </c>
      <c r="P2015" s="57" t="str">
        <f aca="false">IF($O2015="","",SUMIFS($O$6:$O$2405,$A$6:$A$2405,"&lt;="&amp;$A2015))</f>
        <v/>
      </c>
      <c r="Q2015" s="57" t="str">
        <f aca="false">IF($O2015="","",IF($P2015&lt;=BankCostEnvelope*'5. Scenarios'!$D$7,1,0))</f>
        <v/>
      </c>
      <c r="R2015" s="57" t="str">
        <f aca="false">IF($N2015="","",INDEX(BookRate,2010)*(1+'5. Scenarios'!$D$10)*(INDEX(BookQ1,2010)*(5-MIN(4,1+'5. Scenarios'!$D$8))/4+INDEX(BookQ2,2010)*(5-MIN(4,2+'5. Scenarios'!$D$8))/4+INDEX(BookQ3,2010)*(5-MIN(4,3+'5. Scenarios'!$D$8))/4+INDEX(BookQ4,2010)*(5-MIN(4,4+'5. Scenarios'!$D$8))/4)*'5. Scenarios'!$D$6/(1+ProductivityDefault*('5. Scenarios'!$D$11-1))+INDEX(BookOneOff,2010)*$N2015)</f>
        <v/>
      </c>
      <c r="S2015" s="56" t="str">
        <f aca="false">IF(INDEX(BookTitle,2010)="","",INDEX(BookTotal,2010)*'5. Scenarios'!$E$6/(1+ProductivityDefault*('5. Scenarios'!$E$11-1)))</f>
        <v/>
      </c>
      <c r="T2015" s="57" t="str">
        <f aca="false">IF($S2015="","",INDEX(BookRate,2010)*(1+'5. Scenarios'!$E$10)*$S2015)</f>
        <v/>
      </c>
      <c r="U2015" s="57" t="str">
        <f aca="false">IF($T2015="","",SUMIFS($T$6:$T$2405,$A$6:$A$2405,"&lt;="&amp;$A2015))</f>
        <v/>
      </c>
      <c r="V2015" s="57" t="str">
        <f aca="false">IF($T2015="","",IF($U2015&lt;=BankCostEnvelope*'5. Scenarios'!$E$7,1,0))</f>
        <v/>
      </c>
      <c r="W2015" s="57" t="str">
        <f aca="false">IF($S2015="","",INDEX(BookRate,2010)*(1+'5. Scenarios'!$E$10)*(INDEX(BookQ1,2010)*(5-MIN(4,1+'5. Scenarios'!$E$8))/4+INDEX(BookQ2,2010)*(5-MIN(4,2+'5. Scenarios'!$E$8))/4+INDEX(BookQ3,2010)*(5-MIN(4,3+'5. Scenarios'!$E$8))/4+INDEX(BookQ4,2010)*(5-MIN(4,4+'5. Scenarios'!$E$8))/4)*'5. Scenarios'!$E$6/(1+ProductivityDefault*('5. Scenarios'!$E$11-1))+INDEX(BookOneOff,2010)*$S2015)</f>
        <v/>
      </c>
    </row>
    <row r="2016" customFormat="false" ht="15" hidden="false" customHeight="false" outlineLevel="0" collapsed="false">
      <c r="A2016" s="0" t="str">
        <f aca="false">IF(INDEX(BookTitle,2011)="","",INDEX(BookKey,2011))</f>
        <v/>
      </c>
      <c r="B2016" s="0" t="str">
        <f aca="false">IF(INDEX(BookTitle,2011)="","",INDEX(BookGroup,2011))</f>
        <v/>
      </c>
      <c r="C2016" s="0" t="str">
        <f aca="false">IF(INDEX(BookTitle,2011)="","",INDEX(BookCategory,2011))</f>
        <v/>
      </c>
      <c r="D2016" s="56" t="str">
        <f aca="false">IF(INDEX(BookTitle,2011)="","",INDEX(BookTotal,2011)*'5. Scenarios'!$B$6/(1+ProductivityDefault*('5. Scenarios'!$B$11-1)))</f>
        <v/>
      </c>
      <c r="E2016" s="57" t="str">
        <f aca="false">IF($D2016="","",INDEX(BookRate,2011)*(1+'5. Scenarios'!$B$10)*$D2016)</f>
        <v/>
      </c>
      <c r="F2016" s="57" t="str">
        <f aca="false">IF($E2016="","",SUMIFS($E$6:$E$2405,$A$6:$A$2405,"&lt;="&amp;$A2016))</f>
        <v/>
      </c>
      <c r="G2016" s="57" t="str">
        <f aca="false">IF($E2016="","",IF($F2016&lt;=BankCostEnvelope*'5. Scenarios'!$B$7,1,0))</f>
        <v/>
      </c>
      <c r="H2016" s="57" t="str">
        <f aca="false">IF($D2016="","",INDEX(BookRate,2011)*(1+'5. Scenarios'!$B$10)*(INDEX(BookQ1,2011)*(5-MIN(4,1+'5. Scenarios'!$B$8))/4+INDEX(BookQ2,2011)*(5-MIN(4,2+'5. Scenarios'!$B$8))/4+INDEX(BookQ3,2011)*(5-MIN(4,3+'5. Scenarios'!$B$8))/4+INDEX(BookQ4,2011)*(5-MIN(4,4+'5. Scenarios'!$B$8))/4)*'5. Scenarios'!$B$6/(1+ProductivityDefault*('5. Scenarios'!$B$11-1))+INDEX(BookOneOff,2011)*$D2016)</f>
        <v/>
      </c>
      <c r="I2016" s="56" t="str">
        <f aca="false">IF(INDEX(BookTitle,2011)="","",INDEX(BookTotal,2011)*'5. Scenarios'!$C$6/(1+ProductivityDefault*('5. Scenarios'!$C$11-1)))</f>
        <v/>
      </c>
      <c r="J2016" s="57" t="str">
        <f aca="false">IF($I2016="","",INDEX(BookRate,2011)*(1+'5. Scenarios'!$C$10)*$I2016)</f>
        <v/>
      </c>
      <c r="K2016" s="57" t="str">
        <f aca="false">IF($J2016="","",SUMIFS($J$6:$J$2405,$A$6:$A$2405,"&lt;="&amp;$A2016))</f>
        <v/>
      </c>
      <c r="L2016" s="57" t="str">
        <f aca="false">IF($J2016="","",IF($K2016&lt;=BankCostEnvelope*'5. Scenarios'!$C$7,1,0))</f>
        <v/>
      </c>
      <c r="M2016" s="57" t="str">
        <f aca="false">IF($I2016="","",INDEX(BookRate,2011)*(1+'5. Scenarios'!$C$10)*(INDEX(BookQ1,2011)*(5-MIN(4,1+'5. Scenarios'!$C$8))/4+INDEX(BookQ2,2011)*(5-MIN(4,2+'5. Scenarios'!$C$8))/4+INDEX(BookQ3,2011)*(5-MIN(4,3+'5. Scenarios'!$C$8))/4+INDEX(BookQ4,2011)*(5-MIN(4,4+'5. Scenarios'!$C$8))/4)*'5. Scenarios'!$C$6/(1+ProductivityDefault*('5. Scenarios'!$C$11-1))+INDEX(BookOneOff,2011)*$I2016)</f>
        <v/>
      </c>
      <c r="N2016" s="56" t="str">
        <f aca="false">IF(INDEX(BookTitle,2011)="","",INDEX(BookTotal,2011)*'5. Scenarios'!$D$6/(1+ProductivityDefault*('5. Scenarios'!$D$11-1)))</f>
        <v/>
      </c>
      <c r="O2016" s="57" t="str">
        <f aca="false">IF($N2016="","",INDEX(BookRate,2011)*(1+'5. Scenarios'!$D$10)*$N2016)</f>
        <v/>
      </c>
      <c r="P2016" s="57" t="str">
        <f aca="false">IF($O2016="","",SUMIFS($O$6:$O$2405,$A$6:$A$2405,"&lt;="&amp;$A2016))</f>
        <v/>
      </c>
      <c r="Q2016" s="57" t="str">
        <f aca="false">IF($O2016="","",IF($P2016&lt;=BankCostEnvelope*'5. Scenarios'!$D$7,1,0))</f>
        <v/>
      </c>
      <c r="R2016" s="57" t="str">
        <f aca="false">IF($N2016="","",INDEX(BookRate,2011)*(1+'5. Scenarios'!$D$10)*(INDEX(BookQ1,2011)*(5-MIN(4,1+'5. Scenarios'!$D$8))/4+INDEX(BookQ2,2011)*(5-MIN(4,2+'5. Scenarios'!$D$8))/4+INDEX(BookQ3,2011)*(5-MIN(4,3+'5. Scenarios'!$D$8))/4+INDEX(BookQ4,2011)*(5-MIN(4,4+'5. Scenarios'!$D$8))/4)*'5. Scenarios'!$D$6/(1+ProductivityDefault*('5. Scenarios'!$D$11-1))+INDEX(BookOneOff,2011)*$N2016)</f>
        <v/>
      </c>
      <c r="S2016" s="56" t="str">
        <f aca="false">IF(INDEX(BookTitle,2011)="","",INDEX(BookTotal,2011)*'5. Scenarios'!$E$6/(1+ProductivityDefault*('5. Scenarios'!$E$11-1)))</f>
        <v/>
      </c>
      <c r="T2016" s="57" t="str">
        <f aca="false">IF($S2016="","",INDEX(BookRate,2011)*(1+'5. Scenarios'!$E$10)*$S2016)</f>
        <v/>
      </c>
      <c r="U2016" s="57" t="str">
        <f aca="false">IF($T2016="","",SUMIFS($T$6:$T$2405,$A$6:$A$2405,"&lt;="&amp;$A2016))</f>
        <v/>
      </c>
      <c r="V2016" s="57" t="str">
        <f aca="false">IF($T2016="","",IF($U2016&lt;=BankCostEnvelope*'5. Scenarios'!$E$7,1,0))</f>
        <v/>
      </c>
      <c r="W2016" s="57" t="str">
        <f aca="false">IF($S2016="","",INDEX(BookRate,2011)*(1+'5. Scenarios'!$E$10)*(INDEX(BookQ1,2011)*(5-MIN(4,1+'5. Scenarios'!$E$8))/4+INDEX(BookQ2,2011)*(5-MIN(4,2+'5. Scenarios'!$E$8))/4+INDEX(BookQ3,2011)*(5-MIN(4,3+'5. Scenarios'!$E$8))/4+INDEX(BookQ4,2011)*(5-MIN(4,4+'5. Scenarios'!$E$8))/4)*'5. Scenarios'!$E$6/(1+ProductivityDefault*('5. Scenarios'!$E$11-1))+INDEX(BookOneOff,2011)*$S2016)</f>
        <v/>
      </c>
    </row>
    <row r="2017" customFormat="false" ht="15" hidden="false" customHeight="false" outlineLevel="0" collapsed="false">
      <c r="A2017" s="0" t="str">
        <f aca="false">IF(INDEX(BookTitle,2012)="","",INDEX(BookKey,2012))</f>
        <v/>
      </c>
      <c r="B2017" s="0" t="str">
        <f aca="false">IF(INDEX(BookTitle,2012)="","",INDEX(BookGroup,2012))</f>
        <v/>
      </c>
      <c r="C2017" s="0" t="str">
        <f aca="false">IF(INDEX(BookTitle,2012)="","",INDEX(BookCategory,2012))</f>
        <v/>
      </c>
      <c r="D2017" s="56" t="str">
        <f aca="false">IF(INDEX(BookTitle,2012)="","",INDEX(BookTotal,2012)*'5. Scenarios'!$B$6/(1+ProductivityDefault*('5. Scenarios'!$B$11-1)))</f>
        <v/>
      </c>
      <c r="E2017" s="57" t="str">
        <f aca="false">IF($D2017="","",INDEX(BookRate,2012)*(1+'5. Scenarios'!$B$10)*$D2017)</f>
        <v/>
      </c>
      <c r="F2017" s="57" t="str">
        <f aca="false">IF($E2017="","",SUMIFS($E$6:$E$2405,$A$6:$A$2405,"&lt;="&amp;$A2017))</f>
        <v/>
      </c>
      <c r="G2017" s="57" t="str">
        <f aca="false">IF($E2017="","",IF($F2017&lt;=BankCostEnvelope*'5. Scenarios'!$B$7,1,0))</f>
        <v/>
      </c>
      <c r="H2017" s="57" t="str">
        <f aca="false">IF($D2017="","",INDEX(BookRate,2012)*(1+'5. Scenarios'!$B$10)*(INDEX(BookQ1,2012)*(5-MIN(4,1+'5. Scenarios'!$B$8))/4+INDEX(BookQ2,2012)*(5-MIN(4,2+'5. Scenarios'!$B$8))/4+INDEX(BookQ3,2012)*(5-MIN(4,3+'5. Scenarios'!$B$8))/4+INDEX(BookQ4,2012)*(5-MIN(4,4+'5. Scenarios'!$B$8))/4)*'5. Scenarios'!$B$6/(1+ProductivityDefault*('5. Scenarios'!$B$11-1))+INDEX(BookOneOff,2012)*$D2017)</f>
        <v/>
      </c>
      <c r="I2017" s="56" t="str">
        <f aca="false">IF(INDEX(BookTitle,2012)="","",INDEX(BookTotal,2012)*'5. Scenarios'!$C$6/(1+ProductivityDefault*('5. Scenarios'!$C$11-1)))</f>
        <v/>
      </c>
      <c r="J2017" s="57" t="str">
        <f aca="false">IF($I2017="","",INDEX(BookRate,2012)*(1+'5. Scenarios'!$C$10)*$I2017)</f>
        <v/>
      </c>
      <c r="K2017" s="57" t="str">
        <f aca="false">IF($J2017="","",SUMIFS($J$6:$J$2405,$A$6:$A$2405,"&lt;="&amp;$A2017))</f>
        <v/>
      </c>
      <c r="L2017" s="57" t="str">
        <f aca="false">IF($J2017="","",IF($K2017&lt;=BankCostEnvelope*'5. Scenarios'!$C$7,1,0))</f>
        <v/>
      </c>
      <c r="M2017" s="57" t="str">
        <f aca="false">IF($I2017="","",INDEX(BookRate,2012)*(1+'5. Scenarios'!$C$10)*(INDEX(BookQ1,2012)*(5-MIN(4,1+'5. Scenarios'!$C$8))/4+INDEX(BookQ2,2012)*(5-MIN(4,2+'5. Scenarios'!$C$8))/4+INDEX(BookQ3,2012)*(5-MIN(4,3+'5. Scenarios'!$C$8))/4+INDEX(BookQ4,2012)*(5-MIN(4,4+'5. Scenarios'!$C$8))/4)*'5. Scenarios'!$C$6/(1+ProductivityDefault*('5. Scenarios'!$C$11-1))+INDEX(BookOneOff,2012)*$I2017)</f>
        <v/>
      </c>
      <c r="N2017" s="56" t="str">
        <f aca="false">IF(INDEX(BookTitle,2012)="","",INDEX(BookTotal,2012)*'5. Scenarios'!$D$6/(1+ProductivityDefault*('5. Scenarios'!$D$11-1)))</f>
        <v/>
      </c>
      <c r="O2017" s="57" t="str">
        <f aca="false">IF($N2017="","",INDEX(BookRate,2012)*(1+'5. Scenarios'!$D$10)*$N2017)</f>
        <v/>
      </c>
      <c r="P2017" s="57" t="str">
        <f aca="false">IF($O2017="","",SUMIFS($O$6:$O$2405,$A$6:$A$2405,"&lt;="&amp;$A2017))</f>
        <v/>
      </c>
      <c r="Q2017" s="57" t="str">
        <f aca="false">IF($O2017="","",IF($P2017&lt;=BankCostEnvelope*'5. Scenarios'!$D$7,1,0))</f>
        <v/>
      </c>
      <c r="R2017" s="57" t="str">
        <f aca="false">IF($N2017="","",INDEX(BookRate,2012)*(1+'5. Scenarios'!$D$10)*(INDEX(BookQ1,2012)*(5-MIN(4,1+'5. Scenarios'!$D$8))/4+INDEX(BookQ2,2012)*(5-MIN(4,2+'5. Scenarios'!$D$8))/4+INDEX(BookQ3,2012)*(5-MIN(4,3+'5. Scenarios'!$D$8))/4+INDEX(BookQ4,2012)*(5-MIN(4,4+'5. Scenarios'!$D$8))/4)*'5. Scenarios'!$D$6/(1+ProductivityDefault*('5. Scenarios'!$D$11-1))+INDEX(BookOneOff,2012)*$N2017)</f>
        <v/>
      </c>
      <c r="S2017" s="56" t="str">
        <f aca="false">IF(INDEX(BookTitle,2012)="","",INDEX(BookTotal,2012)*'5. Scenarios'!$E$6/(1+ProductivityDefault*('5. Scenarios'!$E$11-1)))</f>
        <v/>
      </c>
      <c r="T2017" s="57" t="str">
        <f aca="false">IF($S2017="","",INDEX(BookRate,2012)*(1+'5. Scenarios'!$E$10)*$S2017)</f>
        <v/>
      </c>
      <c r="U2017" s="57" t="str">
        <f aca="false">IF($T2017="","",SUMIFS($T$6:$T$2405,$A$6:$A$2405,"&lt;="&amp;$A2017))</f>
        <v/>
      </c>
      <c r="V2017" s="57" t="str">
        <f aca="false">IF($T2017="","",IF($U2017&lt;=BankCostEnvelope*'5. Scenarios'!$E$7,1,0))</f>
        <v/>
      </c>
      <c r="W2017" s="57" t="str">
        <f aca="false">IF($S2017="","",INDEX(BookRate,2012)*(1+'5. Scenarios'!$E$10)*(INDEX(BookQ1,2012)*(5-MIN(4,1+'5. Scenarios'!$E$8))/4+INDEX(BookQ2,2012)*(5-MIN(4,2+'5. Scenarios'!$E$8))/4+INDEX(BookQ3,2012)*(5-MIN(4,3+'5. Scenarios'!$E$8))/4+INDEX(BookQ4,2012)*(5-MIN(4,4+'5. Scenarios'!$E$8))/4)*'5. Scenarios'!$E$6/(1+ProductivityDefault*('5. Scenarios'!$E$11-1))+INDEX(BookOneOff,2012)*$S2017)</f>
        <v/>
      </c>
    </row>
    <row r="2018" customFormat="false" ht="15" hidden="false" customHeight="false" outlineLevel="0" collapsed="false">
      <c r="A2018" s="0" t="str">
        <f aca="false">IF(INDEX(BookTitle,2013)="","",INDEX(BookKey,2013))</f>
        <v/>
      </c>
      <c r="B2018" s="0" t="str">
        <f aca="false">IF(INDEX(BookTitle,2013)="","",INDEX(BookGroup,2013))</f>
        <v/>
      </c>
      <c r="C2018" s="0" t="str">
        <f aca="false">IF(INDEX(BookTitle,2013)="","",INDEX(BookCategory,2013))</f>
        <v/>
      </c>
      <c r="D2018" s="56" t="str">
        <f aca="false">IF(INDEX(BookTitle,2013)="","",INDEX(BookTotal,2013)*'5. Scenarios'!$B$6/(1+ProductivityDefault*('5. Scenarios'!$B$11-1)))</f>
        <v/>
      </c>
      <c r="E2018" s="57" t="str">
        <f aca="false">IF($D2018="","",INDEX(BookRate,2013)*(1+'5. Scenarios'!$B$10)*$D2018)</f>
        <v/>
      </c>
      <c r="F2018" s="57" t="str">
        <f aca="false">IF($E2018="","",SUMIFS($E$6:$E$2405,$A$6:$A$2405,"&lt;="&amp;$A2018))</f>
        <v/>
      </c>
      <c r="G2018" s="57" t="str">
        <f aca="false">IF($E2018="","",IF($F2018&lt;=BankCostEnvelope*'5. Scenarios'!$B$7,1,0))</f>
        <v/>
      </c>
      <c r="H2018" s="57" t="str">
        <f aca="false">IF($D2018="","",INDEX(BookRate,2013)*(1+'5. Scenarios'!$B$10)*(INDEX(BookQ1,2013)*(5-MIN(4,1+'5. Scenarios'!$B$8))/4+INDEX(BookQ2,2013)*(5-MIN(4,2+'5. Scenarios'!$B$8))/4+INDEX(BookQ3,2013)*(5-MIN(4,3+'5. Scenarios'!$B$8))/4+INDEX(BookQ4,2013)*(5-MIN(4,4+'5. Scenarios'!$B$8))/4)*'5. Scenarios'!$B$6/(1+ProductivityDefault*('5. Scenarios'!$B$11-1))+INDEX(BookOneOff,2013)*$D2018)</f>
        <v/>
      </c>
      <c r="I2018" s="56" t="str">
        <f aca="false">IF(INDEX(BookTitle,2013)="","",INDEX(BookTotal,2013)*'5. Scenarios'!$C$6/(1+ProductivityDefault*('5. Scenarios'!$C$11-1)))</f>
        <v/>
      </c>
      <c r="J2018" s="57" t="str">
        <f aca="false">IF($I2018="","",INDEX(BookRate,2013)*(1+'5. Scenarios'!$C$10)*$I2018)</f>
        <v/>
      </c>
      <c r="K2018" s="57" t="str">
        <f aca="false">IF($J2018="","",SUMIFS($J$6:$J$2405,$A$6:$A$2405,"&lt;="&amp;$A2018))</f>
        <v/>
      </c>
      <c r="L2018" s="57" t="str">
        <f aca="false">IF($J2018="","",IF($K2018&lt;=BankCostEnvelope*'5. Scenarios'!$C$7,1,0))</f>
        <v/>
      </c>
      <c r="M2018" s="57" t="str">
        <f aca="false">IF($I2018="","",INDEX(BookRate,2013)*(1+'5. Scenarios'!$C$10)*(INDEX(BookQ1,2013)*(5-MIN(4,1+'5. Scenarios'!$C$8))/4+INDEX(BookQ2,2013)*(5-MIN(4,2+'5. Scenarios'!$C$8))/4+INDEX(BookQ3,2013)*(5-MIN(4,3+'5. Scenarios'!$C$8))/4+INDEX(BookQ4,2013)*(5-MIN(4,4+'5. Scenarios'!$C$8))/4)*'5. Scenarios'!$C$6/(1+ProductivityDefault*('5. Scenarios'!$C$11-1))+INDEX(BookOneOff,2013)*$I2018)</f>
        <v/>
      </c>
      <c r="N2018" s="56" t="str">
        <f aca="false">IF(INDEX(BookTitle,2013)="","",INDEX(BookTotal,2013)*'5. Scenarios'!$D$6/(1+ProductivityDefault*('5. Scenarios'!$D$11-1)))</f>
        <v/>
      </c>
      <c r="O2018" s="57" t="str">
        <f aca="false">IF($N2018="","",INDEX(BookRate,2013)*(1+'5. Scenarios'!$D$10)*$N2018)</f>
        <v/>
      </c>
      <c r="P2018" s="57" t="str">
        <f aca="false">IF($O2018="","",SUMIFS($O$6:$O$2405,$A$6:$A$2405,"&lt;="&amp;$A2018))</f>
        <v/>
      </c>
      <c r="Q2018" s="57" t="str">
        <f aca="false">IF($O2018="","",IF($P2018&lt;=BankCostEnvelope*'5. Scenarios'!$D$7,1,0))</f>
        <v/>
      </c>
      <c r="R2018" s="57" t="str">
        <f aca="false">IF($N2018="","",INDEX(BookRate,2013)*(1+'5. Scenarios'!$D$10)*(INDEX(BookQ1,2013)*(5-MIN(4,1+'5. Scenarios'!$D$8))/4+INDEX(BookQ2,2013)*(5-MIN(4,2+'5. Scenarios'!$D$8))/4+INDEX(BookQ3,2013)*(5-MIN(4,3+'5. Scenarios'!$D$8))/4+INDEX(BookQ4,2013)*(5-MIN(4,4+'5. Scenarios'!$D$8))/4)*'5. Scenarios'!$D$6/(1+ProductivityDefault*('5. Scenarios'!$D$11-1))+INDEX(BookOneOff,2013)*$N2018)</f>
        <v/>
      </c>
      <c r="S2018" s="56" t="str">
        <f aca="false">IF(INDEX(BookTitle,2013)="","",INDEX(BookTotal,2013)*'5. Scenarios'!$E$6/(1+ProductivityDefault*('5. Scenarios'!$E$11-1)))</f>
        <v/>
      </c>
      <c r="T2018" s="57" t="str">
        <f aca="false">IF($S2018="","",INDEX(BookRate,2013)*(1+'5. Scenarios'!$E$10)*$S2018)</f>
        <v/>
      </c>
      <c r="U2018" s="57" t="str">
        <f aca="false">IF($T2018="","",SUMIFS($T$6:$T$2405,$A$6:$A$2405,"&lt;="&amp;$A2018))</f>
        <v/>
      </c>
      <c r="V2018" s="57" t="str">
        <f aca="false">IF($T2018="","",IF($U2018&lt;=BankCostEnvelope*'5. Scenarios'!$E$7,1,0))</f>
        <v/>
      </c>
      <c r="W2018" s="57" t="str">
        <f aca="false">IF($S2018="","",INDEX(BookRate,2013)*(1+'5. Scenarios'!$E$10)*(INDEX(BookQ1,2013)*(5-MIN(4,1+'5. Scenarios'!$E$8))/4+INDEX(BookQ2,2013)*(5-MIN(4,2+'5. Scenarios'!$E$8))/4+INDEX(BookQ3,2013)*(5-MIN(4,3+'5. Scenarios'!$E$8))/4+INDEX(BookQ4,2013)*(5-MIN(4,4+'5. Scenarios'!$E$8))/4)*'5. Scenarios'!$E$6/(1+ProductivityDefault*('5. Scenarios'!$E$11-1))+INDEX(BookOneOff,2013)*$S2018)</f>
        <v/>
      </c>
    </row>
    <row r="2019" customFormat="false" ht="15" hidden="false" customHeight="false" outlineLevel="0" collapsed="false">
      <c r="A2019" s="0" t="str">
        <f aca="false">IF(INDEX(BookTitle,2014)="","",INDEX(BookKey,2014))</f>
        <v/>
      </c>
      <c r="B2019" s="0" t="str">
        <f aca="false">IF(INDEX(BookTitle,2014)="","",INDEX(BookGroup,2014))</f>
        <v/>
      </c>
      <c r="C2019" s="0" t="str">
        <f aca="false">IF(INDEX(BookTitle,2014)="","",INDEX(BookCategory,2014))</f>
        <v/>
      </c>
      <c r="D2019" s="56" t="str">
        <f aca="false">IF(INDEX(BookTitle,2014)="","",INDEX(BookTotal,2014)*'5. Scenarios'!$B$6/(1+ProductivityDefault*('5. Scenarios'!$B$11-1)))</f>
        <v/>
      </c>
      <c r="E2019" s="57" t="str">
        <f aca="false">IF($D2019="","",INDEX(BookRate,2014)*(1+'5. Scenarios'!$B$10)*$D2019)</f>
        <v/>
      </c>
      <c r="F2019" s="57" t="str">
        <f aca="false">IF($E2019="","",SUMIFS($E$6:$E$2405,$A$6:$A$2405,"&lt;="&amp;$A2019))</f>
        <v/>
      </c>
      <c r="G2019" s="57" t="str">
        <f aca="false">IF($E2019="","",IF($F2019&lt;=BankCostEnvelope*'5. Scenarios'!$B$7,1,0))</f>
        <v/>
      </c>
      <c r="H2019" s="57" t="str">
        <f aca="false">IF($D2019="","",INDEX(BookRate,2014)*(1+'5. Scenarios'!$B$10)*(INDEX(BookQ1,2014)*(5-MIN(4,1+'5. Scenarios'!$B$8))/4+INDEX(BookQ2,2014)*(5-MIN(4,2+'5. Scenarios'!$B$8))/4+INDEX(BookQ3,2014)*(5-MIN(4,3+'5. Scenarios'!$B$8))/4+INDEX(BookQ4,2014)*(5-MIN(4,4+'5. Scenarios'!$B$8))/4)*'5. Scenarios'!$B$6/(1+ProductivityDefault*('5. Scenarios'!$B$11-1))+INDEX(BookOneOff,2014)*$D2019)</f>
        <v/>
      </c>
      <c r="I2019" s="56" t="str">
        <f aca="false">IF(INDEX(BookTitle,2014)="","",INDEX(BookTotal,2014)*'5. Scenarios'!$C$6/(1+ProductivityDefault*('5. Scenarios'!$C$11-1)))</f>
        <v/>
      </c>
      <c r="J2019" s="57" t="str">
        <f aca="false">IF($I2019="","",INDEX(BookRate,2014)*(1+'5. Scenarios'!$C$10)*$I2019)</f>
        <v/>
      </c>
      <c r="K2019" s="57" t="str">
        <f aca="false">IF($J2019="","",SUMIFS($J$6:$J$2405,$A$6:$A$2405,"&lt;="&amp;$A2019))</f>
        <v/>
      </c>
      <c r="L2019" s="57" t="str">
        <f aca="false">IF($J2019="","",IF($K2019&lt;=BankCostEnvelope*'5. Scenarios'!$C$7,1,0))</f>
        <v/>
      </c>
      <c r="M2019" s="57" t="str">
        <f aca="false">IF($I2019="","",INDEX(BookRate,2014)*(1+'5. Scenarios'!$C$10)*(INDEX(BookQ1,2014)*(5-MIN(4,1+'5. Scenarios'!$C$8))/4+INDEX(BookQ2,2014)*(5-MIN(4,2+'5. Scenarios'!$C$8))/4+INDEX(BookQ3,2014)*(5-MIN(4,3+'5. Scenarios'!$C$8))/4+INDEX(BookQ4,2014)*(5-MIN(4,4+'5. Scenarios'!$C$8))/4)*'5. Scenarios'!$C$6/(1+ProductivityDefault*('5. Scenarios'!$C$11-1))+INDEX(BookOneOff,2014)*$I2019)</f>
        <v/>
      </c>
      <c r="N2019" s="56" t="str">
        <f aca="false">IF(INDEX(BookTitle,2014)="","",INDEX(BookTotal,2014)*'5. Scenarios'!$D$6/(1+ProductivityDefault*('5. Scenarios'!$D$11-1)))</f>
        <v/>
      </c>
      <c r="O2019" s="57" t="str">
        <f aca="false">IF($N2019="","",INDEX(BookRate,2014)*(1+'5. Scenarios'!$D$10)*$N2019)</f>
        <v/>
      </c>
      <c r="P2019" s="57" t="str">
        <f aca="false">IF($O2019="","",SUMIFS($O$6:$O$2405,$A$6:$A$2405,"&lt;="&amp;$A2019))</f>
        <v/>
      </c>
      <c r="Q2019" s="57" t="str">
        <f aca="false">IF($O2019="","",IF($P2019&lt;=BankCostEnvelope*'5. Scenarios'!$D$7,1,0))</f>
        <v/>
      </c>
      <c r="R2019" s="57" t="str">
        <f aca="false">IF($N2019="","",INDEX(BookRate,2014)*(1+'5. Scenarios'!$D$10)*(INDEX(BookQ1,2014)*(5-MIN(4,1+'5. Scenarios'!$D$8))/4+INDEX(BookQ2,2014)*(5-MIN(4,2+'5. Scenarios'!$D$8))/4+INDEX(BookQ3,2014)*(5-MIN(4,3+'5. Scenarios'!$D$8))/4+INDEX(BookQ4,2014)*(5-MIN(4,4+'5. Scenarios'!$D$8))/4)*'5. Scenarios'!$D$6/(1+ProductivityDefault*('5. Scenarios'!$D$11-1))+INDEX(BookOneOff,2014)*$N2019)</f>
        <v/>
      </c>
      <c r="S2019" s="56" t="str">
        <f aca="false">IF(INDEX(BookTitle,2014)="","",INDEX(BookTotal,2014)*'5. Scenarios'!$E$6/(1+ProductivityDefault*('5. Scenarios'!$E$11-1)))</f>
        <v/>
      </c>
      <c r="T2019" s="57" t="str">
        <f aca="false">IF($S2019="","",INDEX(BookRate,2014)*(1+'5. Scenarios'!$E$10)*$S2019)</f>
        <v/>
      </c>
      <c r="U2019" s="57" t="str">
        <f aca="false">IF($T2019="","",SUMIFS($T$6:$T$2405,$A$6:$A$2405,"&lt;="&amp;$A2019))</f>
        <v/>
      </c>
      <c r="V2019" s="57" t="str">
        <f aca="false">IF($T2019="","",IF($U2019&lt;=BankCostEnvelope*'5. Scenarios'!$E$7,1,0))</f>
        <v/>
      </c>
      <c r="W2019" s="57" t="str">
        <f aca="false">IF($S2019="","",INDEX(BookRate,2014)*(1+'5. Scenarios'!$E$10)*(INDEX(BookQ1,2014)*(5-MIN(4,1+'5. Scenarios'!$E$8))/4+INDEX(BookQ2,2014)*(5-MIN(4,2+'5. Scenarios'!$E$8))/4+INDEX(BookQ3,2014)*(5-MIN(4,3+'5. Scenarios'!$E$8))/4+INDEX(BookQ4,2014)*(5-MIN(4,4+'5. Scenarios'!$E$8))/4)*'5. Scenarios'!$E$6/(1+ProductivityDefault*('5. Scenarios'!$E$11-1))+INDEX(BookOneOff,2014)*$S2019)</f>
        <v/>
      </c>
    </row>
    <row r="2020" customFormat="false" ht="15" hidden="false" customHeight="false" outlineLevel="0" collapsed="false">
      <c r="A2020" s="0" t="str">
        <f aca="false">IF(INDEX(BookTitle,2015)="","",INDEX(BookKey,2015))</f>
        <v/>
      </c>
      <c r="B2020" s="0" t="str">
        <f aca="false">IF(INDEX(BookTitle,2015)="","",INDEX(BookGroup,2015))</f>
        <v/>
      </c>
      <c r="C2020" s="0" t="str">
        <f aca="false">IF(INDEX(BookTitle,2015)="","",INDEX(BookCategory,2015))</f>
        <v/>
      </c>
      <c r="D2020" s="56" t="str">
        <f aca="false">IF(INDEX(BookTitle,2015)="","",INDEX(BookTotal,2015)*'5. Scenarios'!$B$6/(1+ProductivityDefault*('5. Scenarios'!$B$11-1)))</f>
        <v/>
      </c>
      <c r="E2020" s="57" t="str">
        <f aca="false">IF($D2020="","",INDEX(BookRate,2015)*(1+'5. Scenarios'!$B$10)*$D2020)</f>
        <v/>
      </c>
      <c r="F2020" s="57" t="str">
        <f aca="false">IF($E2020="","",SUMIFS($E$6:$E$2405,$A$6:$A$2405,"&lt;="&amp;$A2020))</f>
        <v/>
      </c>
      <c r="G2020" s="57" t="str">
        <f aca="false">IF($E2020="","",IF($F2020&lt;=BankCostEnvelope*'5. Scenarios'!$B$7,1,0))</f>
        <v/>
      </c>
      <c r="H2020" s="57" t="str">
        <f aca="false">IF($D2020="","",INDEX(BookRate,2015)*(1+'5. Scenarios'!$B$10)*(INDEX(BookQ1,2015)*(5-MIN(4,1+'5. Scenarios'!$B$8))/4+INDEX(BookQ2,2015)*(5-MIN(4,2+'5. Scenarios'!$B$8))/4+INDEX(BookQ3,2015)*(5-MIN(4,3+'5. Scenarios'!$B$8))/4+INDEX(BookQ4,2015)*(5-MIN(4,4+'5. Scenarios'!$B$8))/4)*'5. Scenarios'!$B$6/(1+ProductivityDefault*('5. Scenarios'!$B$11-1))+INDEX(BookOneOff,2015)*$D2020)</f>
        <v/>
      </c>
      <c r="I2020" s="56" t="str">
        <f aca="false">IF(INDEX(BookTitle,2015)="","",INDEX(BookTotal,2015)*'5. Scenarios'!$C$6/(1+ProductivityDefault*('5. Scenarios'!$C$11-1)))</f>
        <v/>
      </c>
      <c r="J2020" s="57" t="str">
        <f aca="false">IF($I2020="","",INDEX(BookRate,2015)*(1+'5. Scenarios'!$C$10)*$I2020)</f>
        <v/>
      </c>
      <c r="K2020" s="57" t="str">
        <f aca="false">IF($J2020="","",SUMIFS($J$6:$J$2405,$A$6:$A$2405,"&lt;="&amp;$A2020))</f>
        <v/>
      </c>
      <c r="L2020" s="57" t="str">
        <f aca="false">IF($J2020="","",IF($K2020&lt;=BankCostEnvelope*'5. Scenarios'!$C$7,1,0))</f>
        <v/>
      </c>
      <c r="M2020" s="57" t="str">
        <f aca="false">IF($I2020="","",INDEX(BookRate,2015)*(1+'5. Scenarios'!$C$10)*(INDEX(BookQ1,2015)*(5-MIN(4,1+'5. Scenarios'!$C$8))/4+INDEX(BookQ2,2015)*(5-MIN(4,2+'5. Scenarios'!$C$8))/4+INDEX(BookQ3,2015)*(5-MIN(4,3+'5. Scenarios'!$C$8))/4+INDEX(BookQ4,2015)*(5-MIN(4,4+'5. Scenarios'!$C$8))/4)*'5. Scenarios'!$C$6/(1+ProductivityDefault*('5. Scenarios'!$C$11-1))+INDEX(BookOneOff,2015)*$I2020)</f>
        <v/>
      </c>
      <c r="N2020" s="56" t="str">
        <f aca="false">IF(INDEX(BookTitle,2015)="","",INDEX(BookTotal,2015)*'5. Scenarios'!$D$6/(1+ProductivityDefault*('5. Scenarios'!$D$11-1)))</f>
        <v/>
      </c>
      <c r="O2020" s="57" t="str">
        <f aca="false">IF($N2020="","",INDEX(BookRate,2015)*(1+'5. Scenarios'!$D$10)*$N2020)</f>
        <v/>
      </c>
      <c r="P2020" s="57" t="str">
        <f aca="false">IF($O2020="","",SUMIFS($O$6:$O$2405,$A$6:$A$2405,"&lt;="&amp;$A2020))</f>
        <v/>
      </c>
      <c r="Q2020" s="57" t="str">
        <f aca="false">IF($O2020="","",IF($P2020&lt;=BankCostEnvelope*'5. Scenarios'!$D$7,1,0))</f>
        <v/>
      </c>
      <c r="R2020" s="57" t="str">
        <f aca="false">IF($N2020="","",INDEX(BookRate,2015)*(1+'5. Scenarios'!$D$10)*(INDEX(BookQ1,2015)*(5-MIN(4,1+'5. Scenarios'!$D$8))/4+INDEX(BookQ2,2015)*(5-MIN(4,2+'5. Scenarios'!$D$8))/4+INDEX(BookQ3,2015)*(5-MIN(4,3+'5. Scenarios'!$D$8))/4+INDEX(BookQ4,2015)*(5-MIN(4,4+'5. Scenarios'!$D$8))/4)*'5. Scenarios'!$D$6/(1+ProductivityDefault*('5. Scenarios'!$D$11-1))+INDEX(BookOneOff,2015)*$N2020)</f>
        <v/>
      </c>
      <c r="S2020" s="56" t="str">
        <f aca="false">IF(INDEX(BookTitle,2015)="","",INDEX(BookTotal,2015)*'5. Scenarios'!$E$6/(1+ProductivityDefault*('5. Scenarios'!$E$11-1)))</f>
        <v/>
      </c>
      <c r="T2020" s="57" t="str">
        <f aca="false">IF($S2020="","",INDEX(BookRate,2015)*(1+'5. Scenarios'!$E$10)*$S2020)</f>
        <v/>
      </c>
      <c r="U2020" s="57" t="str">
        <f aca="false">IF($T2020="","",SUMIFS($T$6:$T$2405,$A$6:$A$2405,"&lt;="&amp;$A2020))</f>
        <v/>
      </c>
      <c r="V2020" s="57" t="str">
        <f aca="false">IF($T2020="","",IF($U2020&lt;=BankCostEnvelope*'5. Scenarios'!$E$7,1,0))</f>
        <v/>
      </c>
      <c r="W2020" s="57" t="str">
        <f aca="false">IF($S2020="","",INDEX(BookRate,2015)*(1+'5. Scenarios'!$E$10)*(INDEX(BookQ1,2015)*(5-MIN(4,1+'5. Scenarios'!$E$8))/4+INDEX(BookQ2,2015)*(5-MIN(4,2+'5. Scenarios'!$E$8))/4+INDEX(BookQ3,2015)*(5-MIN(4,3+'5. Scenarios'!$E$8))/4+INDEX(BookQ4,2015)*(5-MIN(4,4+'5. Scenarios'!$E$8))/4)*'5. Scenarios'!$E$6/(1+ProductivityDefault*('5. Scenarios'!$E$11-1))+INDEX(BookOneOff,2015)*$S2020)</f>
        <v/>
      </c>
    </row>
    <row r="2021" customFormat="false" ht="15" hidden="false" customHeight="false" outlineLevel="0" collapsed="false">
      <c r="A2021" s="0" t="str">
        <f aca="false">IF(INDEX(BookTitle,2016)="","",INDEX(BookKey,2016))</f>
        <v/>
      </c>
      <c r="B2021" s="0" t="str">
        <f aca="false">IF(INDEX(BookTitle,2016)="","",INDEX(BookGroup,2016))</f>
        <v/>
      </c>
      <c r="C2021" s="0" t="str">
        <f aca="false">IF(INDEX(BookTitle,2016)="","",INDEX(BookCategory,2016))</f>
        <v/>
      </c>
      <c r="D2021" s="56" t="str">
        <f aca="false">IF(INDEX(BookTitle,2016)="","",INDEX(BookTotal,2016)*'5. Scenarios'!$B$6/(1+ProductivityDefault*('5. Scenarios'!$B$11-1)))</f>
        <v/>
      </c>
      <c r="E2021" s="57" t="str">
        <f aca="false">IF($D2021="","",INDEX(BookRate,2016)*(1+'5. Scenarios'!$B$10)*$D2021)</f>
        <v/>
      </c>
      <c r="F2021" s="57" t="str">
        <f aca="false">IF($E2021="","",SUMIFS($E$6:$E$2405,$A$6:$A$2405,"&lt;="&amp;$A2021))</f>
        <v/>
      </c>
      <c r="G2021" s="57" t="str">
        <f aca="false">IF($E2021="","",IF($F2021&lt;=BankCostEnvelope*'5. Scenarios'!$B$7,1,0))</f>
        <v/>
      </c>
      <c r="H2021" s="57" t="str">
        <f aca="false">IF($D2021="","",INDEX(BookRate,2016)*(1+'5. Scenarios'!$B$10)*(INDEX(BookQ1,2016)*(5-MIN(4,1+'5. Scenarios'!$B$8))/4+INDEX(BookQ2,2016)*(5-MIN(4,2+'5. Scenarios'!$B$8))/4+INDEX(BookQ3,2016)*(5-MIN(4,3+'5. Scenarios'!$B$8))/4+INDEX(BookQ4,2016)*(5-MIN(4,4+'5. Scenarios'!$B$8))/4)*'5. Scenarios'!$B$6/(1+ProductivityDefault*('5. Scenarios'!$B$11-1))+INDEX(BookOneOff,2016)*$D2021)</f>
        <v/>
      </c>
      <c r="I2021" s="56" t="str">
        <f aca="false">IF(INDEX(BookTitle,2016)="","",INDEX(BookTotal,2016)*'5. Scenarios'!$C$6/(1+ProductivityDefault*('5. Scenarios'!$C$11-1)))</f>
        <v/>
      </c>
      <c r="J2021" s="57" t="str">
        <f aca="false">IF($I2021="","",INDEX(BookRate,2016)*(1+'5. Scenarios'!$C$10)*$I2021)</f>
        <v/>
      </c>
      <c r="K2021" s="57" t="str">
        <f aca="false">IF($J2021="","",SUMIFS($J$6:$J$2405,$A$6:$A$2405,"&lt;="&amp;$A2021))</f>
        <v/>
      </c>
      <c r="L2021" s="57" t="str">
        <f aca="false">IF($J2021="","",IF($K2021&lt;=BankCostEnvelope*'5. Scenarios'!$C$7,1,0))</f>
        <v/>
      </c>
      <c r="M2021" s="57" t="str">
        <f aca="false">IF($I2021="","",INDEX(BookRate,2016)*(1+'5. Scenarios'!$C$10)*(INDEX(BookQ1,2016)*(5-MIN(4,1+'5. Scenarios'!$C$8))/4+INDEX(BookQ2,2016)*(5-MIN(4,2+'5. Scenarios'!$C$8))/4+INDEX(BookQ3,2016)*(5-MIN(4,3+'5. Scenarios'!$C$8))/4+INDEX(BookQ4,2016)*(5-MIN(4,4+'5. Scenarios'!$C$8))/4)*'5. Scenarios'!$C$6/(1+ProductivityDefault*('5. Scenarios'!$C$11-1))+INDEX(BookOneOff,2016)*$I2021)</f>
        <v/>
      </c>
      <c r="N2021" s="56" t="str">
        <f aca="false">IF(INDEX(BookTitle,2016)="","",INDEX(BookTotal,2016)*'5. Scenarios'!$D$6/(1+ProductivityDefault*('5. Scenarios'!$D$11-1)))</f>
        <v/>
      </c>
      <c r="O2021" s="57" t="str">
        <f aca="false">IF($N2021="","",INDEX(BookRate,2016)*(1+'5. Scenarios'!$D$10)*$N2021)</f>
        <v/>
      </c>
      <c r="P2021" s="57" t="str">
        <f aca="false">IF($O2021="","",SUMIFS($O$6:$O$2405,$A$6:$A$2405,"&lt;="&amp;$A2021))</f>
        <v/>
      </c>
      <c r="Q2021" s="57" t="str">
        <f aca="false">IF($O2021="","",IF($P2021&lt;=BankCostEnvelope*'5. Scenarios'!$D$7,1,0))</f>
        <v/>
      </c>
      <c r="R2021" s="57" t="str">
        <f aca="false">IF($N2021="","",INDEX(BookRate,2016)*(1+'5. Scenarios'!$D$10)*(INDEX(BookQ1,2016)*(5-MIN(4,1+'5. Scenarios'!$D$8))/4+INDEX(BookQ2,2016)*(5-MIN(4,2+'5. Scenarios'!$D$8))/4+INDEX(BookQ3,2016)*(5-MIN(4,3+'5. Scenarios'!$D$8))/4+INDEX(BookQ4,2016)*(5-MIN(4,4+'5. Scenarios'!$D$8))/4)*'5. Scenarios'!$D$6/(1+ProductivityDefault*('5. Scenarios'!$D$11-1))+INDEX(BookOneOff,2016)*$N2021)</f>
        <v/>
      </c>
      <c r="S2021" s="56" t="str">
        <f aca="false">IF(INDEX(BookTitle,2016)="","",INDEX(BookTotal,2016)*'5. Scenarios'!$E$6/(1+ProductivityDefault*('5. Scenarios'!$E$11-1)))</f>
        <v/>
      </c>
      <c r="T2021" s="57" t="str">
        <f aca="false">IF($S2021="","",INDEX(BookRate,2016)*(1+'5. Scenarios'!$E$10)*$S2021)</f>
        <v/>
      </c>
      <c r="U2021" s="57" t="str">
        <f aca="false">IF($T2021="","",SUMIFS($T$6:$T$2405,$A$6:$A$2405,"&lt;="&amp;$A2021))</f>
        <v/>
      </c>
      <c r="V2021" s="57" t="str">
        <f aca="false">IF($T2021="","",IF($U2021&lt;=BankCostEnvelope*'5. Scenarios'!$E$7,1,0))</f>
        <v/>
      </c>
      <c r="W2021" s="57" t="str">
        <f aca="false">IF($S2021="","",INDEX(BookRate,2016)*(1+'5. Scenarios'!$E$10)*(INDEX(BookQ1,2016)*(5-MIN(4,1+'5. Scenarios'!$E$8))/4+INDEX(BookQ2,2016)*(5-MIN(4,2+'5. Scenarios'!$E$8))/4+INDEX(BookQ3,2016)*(5-MIN(4,3+'5. Scenarios'!$E$8))/4+INDEX(BookQ4,2016)*(5-MIN(4,4+'5. Scenarios'!$E$8))/4)*'5. Scenarios'!$E$6/(1+ProductivityDefault*('5. Scenarios'!$E$11-1))+INDEX(BookOneOff,2016)*$S2021)</f>
        <v/>
      </c>
    </row>
    <row r="2022" customFormat="false" ht="15" hidden="false" customHeight="false" outlineLevel="0" collapsed="false">
      <c r="A2022" s="0" t="str">
        <f aca="false">IF(INDEX(BookTitle,2017)="","",INDEX(BookKey,2017))</f>
        <v/>
      </c>
      <c r="B2022" s="0" t="str">
        <f aca="false">IF(INDEX(BookTitle,2017)="","",INDEX(BookGroup,2017))</f>
        <v/>
      </c>
      <c r="C2022" s="0" t="str">
        <f aca="false">IF(INDEX(BookTitle,2017)="","",INDEX(BookCategory,2017))</f>
        <v/>
      </c>
      <c r="D2022" s="56" t="str">
        <f aca="false">IF(INDEX(BookTitle,2017)="","",INDEX(BookTotal,2017)*'5. Scenarios'!$B$6/(1+ProductivityDefault*('5. Scenarios'!$B$11-1)))</f>
        <v/>
      </c>
      <c r="E2022" s="57" t="str">
        <f aca="false">IF($D2022="","",INDEX(BookRate,2017)*(1+'5. Scenarios'!$B$10)*$D2022)</f>
        <v/>
      </c>
      <c r="F2022" s="57" t="str">
        <f aca="false">IF($E2022="","",SUMIFS($E$6:$E$2405,$A$6:$A$2405,"&lt;="&amp;$A2022))</f>
        <v/>
      </c>
      <c r="G2022" s="57" t="str">
        <f aca="false">IF($E2022="","",IF($F2022&lt;=BankCostEnvelope*'5. Scenarios'!$B$7,1,0))</f>
        <v/>
      </c>
      <c r="H2022" s="57" t="str">
        <f aca="false">IF($D2022="","",INDEX(BookRate,2017)*(1+'5. Scenarios'!$B$10)*(INDEX(BookQ1,2017)*(5-MIN(4,1+'5. Scenarios'!$B$8))/4+INDEX(BookQ2,2017)*(5-MIN(4,2+'5. Scenarios'!$B$8))/4+INDEX(BookQ3,2017)*(5-MIN(4,3+'5. Scenarios'!$B$8))/4+INDEX(BookQ4,2017)*(5-MIN(4,4+'5. Scenarios'!$B$8))/4)*'5. Scenarios'!$B$6/(1+ProductivityDefault*('5. Scenarios'!$B$11-1))+INDEX(BookOneOff,2017)*$D2022)</f>
        <v/>
      </c>
      <c r="I2022" s="56" t="str">
        <f aca="false">IF(INDEX(BookTitle,2017)="","",INDEX(BookTotal,2017)*'5. Scenarios'!$C$6/(1+ProductivityDefault*('5. Scenarios'!$C$11-1)))</f>
        <v/>
      </c>
      <c r="J2022" s="57" t="str">
        <f aca="false">IF($I2022="","",INDEX(BookRate,2017)*(1+'5. Scenarios'!$C$10)*$I2022)</f>
        <v/>
      </c>
      <c r="K2022" s="57" t="str">
        <f aca="false">IF($J2022="","",SUMIFS($J$6:$J$2405,$A$6:$A$2405,"&lt;="&amp;$A2022))</f>
        <v/>
      </c>
      <c r="L2022" s="57" t="str">
        <f aca="false">IF($J2022="","",IF($K2022&lt;=BankCostEnvelope*'5. Scenarios'!$C$7,1,0))</f>
        <v/>
      </c>
      <c r="M2022" s="57" t="str">
        <f aca="false">IF($I2022="","",INDEX(BookRate,2017)*(1+'5. Scenarios'!$C$10)*(INDEX(BookQ1,2017)*(5-MIN(4,1+'5. Scenarios'!$C$8))/4+INDEX(BookQ2,2017)*(5-MIN(4,2+'5. Scenarios'!$C$8))/4+INDEX(BookQ3,2017)*(5-MIN(4,3+'5. Scenarios'!$C$8))/4+INDEX(BookQ4,2017)*(5-MIN(4,4+'5. Scenarios'!$C$8))/4)*'5. Scenarios'!$C$6/(1+ProductivityDefault*('5. Scenarios'!$C$11-1))+INDEX(BookOneOff,2017)*$I2022)</f>
        <v/>
      </c>
      <c r="N2022" s="56" t="str">
        <f aca="false">IF(INDEX(BookTitle,2017)="","",INDEX(BookTotal,2017)*'5. Scenarios'!$D$6/(1+ProductivityDefault*('5. Scenarios'!$D$11-1)))</f>
        <v/>
      </c>
      <c r="O2022" s="57" t="str">
        <f aca="false">IF($N2022="","",INDEX(BookRate,2017)*(1+'5. Scenarios'!$D$10)*$N2022)</f>
        <v/>
      </c>
      <c r="P2022" s="57" t="str">
        <f aca="false">IF($O2022="","",SUMIFS($O$6:$O$2405,$A$6:$A$2405,"&lt;="&amp;$A2022))</f>
        <v/>
      </c>
      <c r="Q2022" s="57" t="str">
        <f aca="false">IF($O2022="","",IF($P2022&lt;=BankCostEnvelope*'5. Scenarios'!$D$7,1,0))</f>
        <v/>
      </c>
      <c r="R2022" s="57" t="str">
        <f aca="false">IF($N2022="","",INDEX(BookRate,2017)*(1+'5. Scenarios'!$D$10)*(INDEX(BookQ1,2017)*(5-MIN(4,1+'5. Scenarios'!$D$8))/4+INDEX(BookQ2,2017)*(5-MIN(4,2+'5. Scenarios'!$D$8))/4+INDEX(BookQ3,2017)*(5-MIN(4,3+'5. Scenarios'!$D$8))/4+INDEX(BookQ4,2017)*(5-MIN(4,4+'5. Scenarios'!$D$8))/4)*'5. Scenarios'!$D$6/(1+ProductivityDefault*('5. Scenarios'!$D$11-1))+INDEX(BookOneOff,2017)*$N2022)</f>
        <v/>
      </c>
      <c r="S2022" s="56" t="str">
        <f aca="false">IF(INDEX(BookTitle,2017)="","",INDEX(BookTotal,2017)*'5. Scenarios'!$E$6/(1+ProductivityDefault*('5. Scenarios'!$E$11-1)))</f>
        <v/>
      </c>
      <c r="T2022" s="57" t="str">
        <f aca="false">IF($S2022="","",INDEX(BookRate,2017)*(1+'5. Scenarios'!$E$10)*$S2022)</f>
        <v/>
      </c>
      <c r="U2022" s="57" t="str">
        <f aca="false">IF($T2022="","",SUMIFS($T$6:$T$2405,$A$6:$A$2405,"&lt;="&amp;$A2022))</f>
        <v/>
      </c>
      <c r="V2022" s="57" t="str">
        <f aca="false">IF($T2022="","",IF($U2022&lt;=BankCostEnvelope*'5. Scenarios'!$E$7,1,0))</f>
        <v/>
      </c>
      <c r="W2022" s="57" t="str">
        <f aca="false">IF($S2022="","",INDEX(BookRate,2017)*(1+'5. Scenarios'!$E$10)*(INDEX(BookQ1,2017)*(5-MIN(4,1+'5. Scenarios'!$E$8))/4+INDEX(BookQ2,2017)*(5-MIN(4,2+'5. Scenarios'!$E$8))/4+INDEX(BookQ3,2017)*(5-MIN(4,3+'5. Scenarios'!$E$8))/4+INDEX(BookQ4,2017)*(5-MIN(4,4+'5. Scenarios'!$E$8))/4)*'5. Scenarios'!$E$6/(1+ProductivityDefault*('5. Scenarios'!$E$11-1))+INDEX(BookOneOff,2017)*$S2022)</f>
        <v/>
      </c>
    </row>
    <row r="2023" customFormat="false" ht="15" hidden="false" customHeight="false" outlineLevel="0" collapsed="false">
      <c r="A2023" s="0" t="str">
        <f aca="false">IF(INDEX(BookTitle,2018)="","",INDEX(BookKey,2018))</f>
        <v/>
      </c>
      <c r="B2023" s="0" t="str">
        <f aca="false">IF(INDEX(BookTitle,2018)="","",INDEX(BookGroup,2018))</f>
        <v/>
      </c>
      <c r="C2023" s="0" t="str">
        <f aca="false">IF(INDEX(BookTitle,2018)="","",INDEX(BookCategory,2018))</f>
        <v/>
      </c>
      <c r="D2023" s="56" t="str">
        <f aca="false">IF(INDEX(BookTitle,2018)="","",INDEX(BookTotal,2018)*'5. Scenarios'!$B$6/(1+ProductivityDefault*('5. Scenarios'!$B$11-1)))</f>
        <v/>
      </c>
      <c r="E2023" s="57" t="str">
        <f aca="false">IF($D2023="","",INDEX(BookRate,2018)*(1+'5. Scenarios'!$B$10)*$D2023)</f>
        <v/>
      </c>
      <c r="F2023" s="57" t="str">
        <f aca="false">IF($E2023="","",SUMIFS($E$6:$E$2405,$A$6:$A$2405,"&lt;="&amp;$A2023))</f>
        <v/>
      </c>
      <c r="G2023" s="57" t="str">
        <f aca="false">IF($E2023="","",IF($F2023&lt;=BankCostEnvelope*'5. Scenarios'!$B$7,1,0))</f>
        <v/>
      </c>
      <c r="H2023" s="57" t="str">
        <f aca="false">IF($D2023="","",INDEX(BookRate,2018)*(1+'5. Scenarios'!$B$10)*(INDEX(BookQ1,2018)*(5-MIN(4,1+'5. Scenarios'!$B$8))/4+INDEX(BookQ2,2018)*(5-MIN(4,2+'5. Scenarios'!$B$8))/4+INDEX(BookQ3,2018)*(5-MIN(4,3+'5. Scenarios'!$B$8))/4+INDEX(BookQ4,2018)*(5-MIN(4,4+'5. Scenarios'!$B$8))/4)*'5. Scenarios'!$B$6/(1+ProductivityDefault*('5. Scenarios'!$B$11-1))+INDEX(BookOneOff,2018)*$D2023)</f>
        <v/>
      </c>
      <c r="I2023" s="56" t="str">
        <f aca="false">IF(INDEX(BookTitle,2018)="","",INDEX(BookTotal,2018)*'5. Scenarios'!$C$6/(1+ProductivityDefault*('5. Scenarios'!$C$11-1)))</f>
        <v/>
      </c>
      <c r="J2023" s="57" t="str">
        <f aca="false">IF($I2023="","",INDEX(BookRate,2018)*(1+'5. Scenarios'!$C$10)*$I2023)</f>
        <v/>
      </c>
      <c r="K2023" s="57" t="str">
        <f aca="false">IF($J2023="","",SUMIFS($J$6:$J$2405,$A$6:$A$2405,"&lt;="&amp;$A2023))</f>
        <v/>
      </c>
      <c r="L2023" s="57" t="str">
        <f aca="false">IF($J2023="","",IF($K2023&lt;=BankCostEnvelope*'5. Scenarios'!$C$7,1,0))</f>
        <v/>
      </c>
      <c r="M2023" s="57" t="str">
        <f aca="false">IF($I2023="","",INDEX(BookRate,2018)*(1+'5. Scenarios'!$C$10)*(INDEX(BookQ1,2018)*(5-MIN(4,1+'5. Scenarios'!$C$8))/4+INDEX(BookQ2,2018)*(5-MIN(4,2+'5. Scenarios'!$C$8))/4+INDEX(BookQ3,2018)*(5-MIN(4,3+'5. Scenarios'!$C$8))/4+INDEX(BookQ4,2018)*(5-MIN(4,4+'5. Scenarios'!$C$8))/4)*'5. Scenarios'!$C$6/(1+ProductivityDefault*('5. Scenarios'!$C$11-1))+INDEX(BookOneOff,2018)*$I2023)</f>
        <v/>
      </c>
      <c r="N2023" s="56" t="str">
        <f aca="false">IF(INDEX(BookTitle,2018)="","",INDEX(BookTotal,2018)*'5. Scenarios'!$D$6/(1+ProductivityDefault*('5. Scenarios'!$D$11-1)))</f>
        <v/>
      </c>
      <c r="O2023" s="57" t="str">
        <f aca="false">IF($N2023="","",INDEX(BookRate,2018)*(1+'5. Scenarios'!$D$10)*$N2023)</f>
        <v/>
      </c>
      <c r="P2023" s="57" t="str">
        <f aca="false">IF($O2023="","",SUMIFS($O$6:$O$2405,$A$6:$A$2405,"&lt;="&amp;$A2023))</f>
        <v/>
      </c>
      <c r="Q2023" s="57" t="str">
        <f aca="false">IF($O2023="","",IF($P2023&lt;=BankCostEnvelope*'5. Scenarios'!$D$7,1,0))</f>
        <v/>
      </c>
      <c r="R2023" s="57" t="str">
        <f aca="false">IF($N2023="","",INDEX(BookRate,2018)*(1+'5. Scenarios'!$D$10)*(INDEX(BookQ1,2018)*(5-MIN(4,1+'5. Scenarios'!$D$8))/4+INDEX(BookQ2,2018)*(5-MIN(4,2+'5. Scenarios'!$D$8))/4+INDEX(BookQ3,2018)*(5-MIN(4,3+'5. Scenarios'!$D$8))/4+INDEX(BookQ4,2018)*(5-MIN(4,4+'5. Scenarios'!$D$8))/4)*'5. Scenarios'!$D$6/(1+ProductivityDefault*('5. Scenarios'!$D$11-1))+INDEX(BookOneOff,2018)*$N2023)</f>
        <v/>
      </c>
      <c r="S2023" s="56" t="str">
        <f aca="false">IF(INDEX(BookTitle,2018)="","",INDEX(BookTotal,2018)*'5. Scenarios'!$E$6/(1+ProductivityDefault*('5. Scenarios'!$E$11-1)))</f>
        <v/>
      </c>
      <c r="T2023" s="57" t="str">
        <f aca="false">IF($S2023="","",INDEX(BookRate,2018)*(1+'5. Scenarios'!$E$10)*$S2023)</f>
        <v/>
      </c>
      <c r="U2023" s="57" t="str">
        <f aca="false">IF($T2023="","",SUMIFS($T$6:$T$2405,$A$6:$A$2405,"&lt;="&amp;$A2023))</f>
        <v/>
      </c>
      <c r="V2023" s="57" t="str">
        <f aca="false">IF($T2023="","",IF($U2023&lt;=BankCostEnvelope*'5. Scenarios'!$E$7,1,0))</f>
        <v/>
      </c>
      <c r="W2023" s="57" t="str">
        <f aca="false">IF($S2023="","",INDEX(BookRate,2018)*(1+'5. Scenarios'!$E$10)*(INDEX(BookQ1,2018)*(5-MIN(4,1+'5. Scenarios'!$E$8))/4+INDEX(BookQ2,2018)*(5-MIN(4,2+'5. Scenarios'!$E$8))/4+INDEX(BookQ3,2018)*(5-MIN(4,3+'5. Scenarios'!$E$8))/4+INDEX(BookQ4,2018)*(5-MIN(4,4+'5. Scenarios'!$E$8))/4)*'5. Scenarios'!$E$6/(1+ProductivityDefault*('5. Scenarios'!$E$11-1))+INDEX(BookOneOff,2018)*$S2023)</f>
        <v/>
      </c>
    </row>
    <row r="2024" customFormat="false" ht="15" hidden="false" customHeight="false" outlineLevel="0" collapsed="false">
      <c r="A2024" s="0" t="str">
        <f aca="false">IF(INDEX(BookTitle,2019)="","",INDEX(BookKey,2019))</f>
        <v/>
      </c>
      <c r="B2024" s="0" t="str">
        <f aca="false">IF(INDEX(BookTitle,2019)="","",INDEX(BookGroup,2019))</f>
        <v/>
      </c>
      <c r="C2024" s="0" t="str">
        <f aca="false">IF(INDEX(BookTitle,2019)="","",INDEX(BookCategory,2019))</f>
        <v/>
      </c>
      <c r="D2024" s="56" t="str">
        <f aca="false">IF(INDEX(BookTitle,2019)="","",INDEX(BookTotal,2019)*'5. Scenarios'!$B$6/(1+ProductivityDefault*('5. Scenarios'!$B$11-1)))</f>
        <v/>
      </c>
      <c r="E2024" s="57" t="str">
        <f aca="false">IF($D2024="","",INDEX(BookRate,2019)*(1+'5. Scenarios'!$B$10)*$D2024)</f>
        <v/>
      </c>
      <c r="F2024" s="57" t="str">
        <f aca="false">IF($E2024="","",SUMIFS($E$6:$E$2405,$A$6:$A$2405,"&lt;="&amp;$A2024))</f>
        <v/>
      </c>
      <c r="G2024" s="57" t="str">
        <f aca="false">IF($E2024="","",IF($F2024&lt;=BankCostEnvelope*'5. Scenarios'!$B$7,1,0))</f>
        <v/>
      </c>
      <c r="H2024" s="57" t="str">
        <f aca="false">IF($D2024="","",INDEX(BookRate,2019)*(1+'5. Scenarios'!$B$10)*(INDEX(BookQ1,2019)*(5-MIN(4,1+'5. Scenarios'!$B$8))/4+INDEX(BookQ2,2019)*(5-MIN(4,2+'5. Scenarios'!$B$8))/4+INDEX(BookQ3,2019)*(5-MIN(4,3+'5. Scenarios'!$B$8))/4+INDEX(BookQ4,2019)*(5-MIN(4,4+'5. Scenarios'!$B$8))/4)*'5. Scenarios'!$B$6/(1+ProductivityDefault*('5. Scenarios'!$B$11-1))+INDEX(BookOneOff,2019)*$D2024)</f>
        <v/>
      </c>
      <c r="I2024" s="56" t="str">
        <f aca="false">IF(INDEX(BookTitle,2019)="","",INDEX(BookTotal,2019)*'5. Scenarios'!$C$6/(1+ProductivityDefault*('5. Scenarios'!$C$11-1)))</f>
        <v/>
      </c>
      <c r="J2024" s="57" t="str">
        <f aca="false">IF($I2024="","",INDEX(BookRate,2019)*(1+'5. Scenarios'!$C$10)*$I2024)</f>
        <v/>
      </c>
      <c r="K2024" s="57" t="str">
        <f aca="false">IF($J2024="","",SUMIFS($J$6:$J$2405,$A$6:$A$2405,"&lt;="&amp;$A2024))</f>
        <v/>
      </c>
      <c r="L2024" s="57" t="str">
        <f aca="false">IF($J2024="","",IF($K2024&lt;=BankCostEnvelope*'5. Scenarios'!$C$7,1,0))</f>
        <v/>
      </c>
      <c r="M2024" s="57" t="str">
        <f aca="false">IF($I2024="","",INDEX(BookRate,2019)*(1+'5. Scenarios'!$C$10)*(INDEX(BookQ1,2019)*(5-MIN(4,1+'5. Scenarios'!$C$8))/4+INDEX(BookQ2,2019)*(5-MIN(4,2+'5. Scenarios'!$C$8))/4+INDEX(BookQ3,2019)*(5-MIN(4,3+'5. Scenarios'!$C$8))/4+INDEX(BookQ4,2019)*(5-MIN(4,4+'5. Scenarios'!$C$8))/4)*'5. Scenarios'!$C$6/(1+ProductivityDefault*('5. Scenarios'!$C$11-1))+INDEX(BookOneOff,2019)*$I2024)</f>
        <v/>
      </c>
      <c r="N2024" s="56" t="str">
        <f aca="false">IF(INDEX(BookTitle,2019)="","",INDEX(BookTotal,2019)*'5. Scenarios'!$D$6/(1+ProductivityDefault*('5. Scenarios'!$D$11-1)))</f>
        <v/>
      </c>
      <c r="O2024" s="57" t="str">
        <f aca="false">IF($N2024="","",INDEX(BookRate,2019)*(1+'5. Scenarios'!$D$10)*$N2024)</f>
        <v/>
      </c>
      <c r="P2024" s="57" t="str">
        <f aca="false">IF($O2024="","",SUMIFS($O$6:$O$2405,$A$6:$A$2405,"&lt;="&amp;$A2024))</f>
        <v/>
      </c>
      <c r="Q2024" s="57" t="str">
        <f aca="false">IF($O2024="","",IF($P2024&lt;=BankCostEnvelope*'5. Scenarios'!$D$7,1,0))</f>
        <v/>
      </c>
      <c r="R2024" s="57" t="str">
        <f aca="false">IF($N2024="","",INDEX(BookRate,2019)*(1+'5. Scenarios'!$D$10)*(INDEX(BookQ1,2019)*(5-MIN(4,1+'5. Scenarios'!$D$8))/4+INDEX(BookQ2,2019)*(5-MIN(4,2+'5. Scenarios'!$D$8))/4+INDEX(BookQ3,2019)*(5-MIN(4,3+'5. Scenarios'!$D$8))/4+INDEX(BookQ4,2019)*(5-MIN(4,4+'5. Scenarios'!$D$8))/4)*'5. Scenarios'!$D$6/(1+ProductivityDefault*('5. Scenarios'!$D$11-1))+INDEX(BookOneOff,2019)*$N2024)</f>
        <v/>
      </c>
      <c r="S2024" s="56" t="str">
        <f aca="false">IF(INDEX(BookTitle,2019)="","",INDEX(BookTotal,2019)*'5. Scenarios'!$E$6/(1+ProductivityDefault*('5. Scenarios'!$E$11-1)))</f>
        <v/>
      </c>
      <c r="T2024" s="57" t="str">
        <f aca="false">IF($S2024="","",INDEX(BookRate,2019)*(1+'5. Scenarios'!$E$10)*$S2024)</f>
        <v/>
      </c>
      <c r="U2024" s="57" t="str">
        <f aca="false">IF($T2024="","",SUMIFS($T$6:$T$2405,$A$6:$A$2405,"&lt;="&amp;$A2024))</f>
        <v/>
      </c>
      <c r="V2024" s="57" t="str">
        <f aca="false">IF($T2024="","",IF($U2024&lt;=BankCostEnvelope*'5. Scenarios'!$E$7,1,0))</f>
        <v/>
      </c>
      <c r="W2024" s="57" t="str">
        <f aca="false">IF($S2024="","",INDEX(BookRate,2019)*(1+'5. Scenarios'!$E$10)*(INDEX(BookQ1,2019)*(5-MIN(4,1+'5. Scenarios'!$E$8))/4+INDEX(BookQ2,2019)*(5-MIN(4,2+'5. Scenarios'!$E$8))/4+INDEX(BookQ3,2019)*(5-MIN(4,3+'5. Scenarios'!$E$8))/4+INDEX(BookQ4,2019)*(5-MIN(4,4+'5. Scenarios'!$E$8))/4)*'5. Scenarios'!$E$6/(1+ProductivityDefault*('5. Scenarios'!$E$11-1))+INDEX(BookOneOff,2019)*$S2024)</f>
        <v/>
      </c>
    </row>
    <row r="2025" customFormat="false" ht="15" hidden="false" customHeight="false" outlineLevel="0" collapsed="false">
      <c r="A2025" s="0" t="str">
        <f aca="false">IF(INDEX(BookTitle,2020)="","",INDEX(BookKey,2020))</f>
        <v/>
      </c>
      <c r="B2025" s="0" t="str">
        <f aca="false">IF(INDEX(BookTitle,2020)="","",INDEX(BookGroup,2020))</f>
        <v/>
      </c>
      <c r="C2025" s="0" t="str">
        <f aca="false">IF(INDEX(BookTitle,2020)="","",INDEX(BookCategory,2020))</f>
        <v/>
      </c>
      <c r="D2025" s="56" t="str">
        <f aca="false">IF(INDEX(BookTitle,2020)="","",INDEX(BookTotal,2020)*'5. Scenarios'!$B$6/(1+ProductivityDefault*('5. Scenarios'!$B$11-1)))</f>
        <v/>
      </c>
      <c r="E2025" s="57" t="str">
        <f aca="false">IF($D2025="","",INDEX(BookRate,2020)*(1+'5. Scenarios'!$B$10)*$D2025)</f>
        <v/>
      </c>
      <c r="F2025" s="57" t="str">
        <f aca="false">IF($E2025="","",SUMIFS($E$6:$E$2405,$A$6:$A$2405,"&lt;="&amp;$A2025))</f>
        <v/>
      </c>
      <c r="G2025" s="57" t="str">
        <f aca="false">IF($E2025="","",IF($F2025&lt;=BankCostEnvelope*'5. Scenarios'!$B$7,1,0))</f>
        <v/>
      </c>
      <c r="H2025" s="57" t="str">
        <f aca="false">IF($D2025="","",INDEX(BookRate,2020)*(1+'5. Scenarios'!$B$10)*(INDEX(BookQ1,2020)*(5-MIN(4,1+'5. Scenarios'!$B$8))/4+INDEX(BookQ2,2020)*(5-MIN(4,2+'5. Scenarios'!$B$8))/4+INDEX(BookQ3,2020)*(5-MIN(4,3+'5. Scenarios'!$B$8))/4+INDEX(BookQ4,2020)*(5-MIN(4,4+'5. Scenarios'!$B$8))/4)*'5. Scenarios'!$B$6/(1+ProductivityDefault*('5. Scenarios'!$B$11-1))+INDEX(BookOneOff,2020)*$D2025)</f>
        <v/>
      </c>
      <c r="I2025" s="56" t="str">
        <f aca="false">IF(INDEX(BookTitle,2020)="","",INDEX(BookTotal,2020)*'5. Scenarios'!$C$6/(1+ProductivityDefault*('5. Scenarios'!$C$11-1)))</f>
        <v/>
      </c>
      <c r="J2025" s="57" t="str">
        <f aca="false">IF($I2025="","",INDEX(BookRate,2020)*(1+'5. Scenarios'!$C$10)*$I2025)</f>
        <v/>
      </c>
      <c r="K2025" s="57" t="str">
        <f aca="false">IF($J2025="","",SUMIFS($J$6:$J$2405,$A$6:$A$2405,"&lt;="&amp;$A2025))</f>
        <v/>
      </c>
      <c r="L2025" s="57" t="str">
        <f aca="false">IF($J2025="","",IF($K2025&lt;=BankCostEnvelope*'5. Scenarios'!$C$7,1,0))</f>
        <v/>
      </c>
      <c r="M2025" s="57" t="str">
        <f aca="false">IF($I2025="","",INDEX(BookRate,2020)*(1+'5. Scenarios'!$C$10)*(INDEX(BookQ1,2020)*(5-MIN(4,1+'5. Scenarios'!$C$8))/4+INDEX(BookQ2,2020)*(5-MIN(4,2+'5. Scenarios'!$C$8))/4+INDEX(BookQ3,2020)*(5-MIN(4,3+'5. Scenarios'!$C$8))/4+INDEX(BookQ4,2020)*(5-MIN(4,4+'5. Scenarios'!$C$8))/4)*'5. Scenarios'!$C$6/(1+ProductivityDefault*('5. Scenarios'!$C$11-1))+INDEX(BookOneOff,2020)*$I2025)</f>
        <v/>
      </c>
      <c r="N2025" s="56" t="str">
        <f aca="false">IF(INDEX(BookTitle,2020)="","",INDEX(BookTotal,2020)*'5. Scenarios'!$D$6/(1+ProductivityDefault*('5. Scenarios'!$D$11-1)))</f>
        <v/>
      </c>
      <c r="O2025" s="57" t="str">
        <f aca="false">IF($N2025="","",INDEX(BookRate,2020)*(1+'5. Scenarios'!$D$10)*$N2025)</f>
        <v/>
      </c>
      <c r="P2025" s="57" t="str">
        <f aca="false">IF($O2025="","",SUMIFS($O$6:$O$2405,$A$6:$A$2405,"&lt;="&amp;$A2025))</f>
        <v/>
      </c>
      <c r="Q2025" s="57" t="str">
        <f aca="false">IF($O2025="","",IF($P2025&lt;=BankCostEnvelope*'5. Scenarios'!$D$7,1,0))</f>
        <v/>
      </c>
      <c r="R2025" s="57" t="str">
        <f aca="false">IF($N2025="","",INDEX(BookRate,2020)*(1+'5. Scenarios'!$D$10)*(INDEX(BookQ1,2020)*(5-MIN(4,1+'5. Scenarios'!$D$8))/4+INDEX(BookQ2,2020)*(5-MIN(4,2+'5. Scenarios'!$D$8))/4+INDEX(BookQ3,2020)*(5-MIN(4,3+'5. Scenarios'!$D$8))/4+INDEX(BookQ4,2020)*(5-MIN(4,4+'5. Scenarios'!$D$8))/4)*'5. Scenarios'!$D$6/(1+ProductivityDefault*('5. Scenarios'!$D$11-1))+INDEX(BookOneOff,2020)*$N2025)</f>
        <v/>
      </c>
      <c r="S2025" s="56" t="str">
        <f aca="false">IF(INDEX(BookTitle,2020)="","",INDEX(BookTotal,2020)*'5. Scenarios'!$E$6/(1+ProductivityDefault*('5. Scenarios'!$E$11-1)))</f>
        <v/>
      </c>
      <c r="T2025" s="57" t="str">
        <f aca="false">IF($S2025="","",INDEX(BookRate,2020)*(1+'5. Scenarios'!$E$10)*$S2025)</f>
        <v/>
      </c>
      <c r="U2025" s="57" t="str">
        <f aca="false">IF($T2025="","",SUMIFS($T$6:$T$2405,$A$6:$A$2405,"&lt;="&amp;$A2025))</f>
        <v/>
      </c>
      <c r="V2025" s="57" t="str">
        <f aca="false">IF($T2025="","",IF($U2025&lt;=BankCostEnvelope*'5. Scenarios'!$E$7,1,0))</f>
        <v/>
      </c>
      <c r="W2025" s="57" t="str">
        <f aca="false">IF($S2025="","",INDEX(BookRate,2020)*(1+'5. Scenarios'!$E$10)*(INDEX(BookQ1,2020)*(5-MIN(4,1+'5. Scenarios'!$E$8))/4+INDEX(BookQ2,2020)*(5-MIN(4,2+'5. Scenarios'!$E$8))/4+INDEX(BookQ3,2020)*(5-MIN(4,3+'5. Scenarios'!$E$8))/4+INDEX(BookQ4,2020)*(5-MIN(4,4+'5. Scenarios'!$E$8))/4)*'5. Scenarios'!$E$6/(1+ProductivityDefault*('5. Scenarios'!$E$11-1))+INDEX(BookOneOff,2020)*$S2025)</f>
        <v/>
      </c>
    </row>
    <row r="2026" customFormat="false" ht="15" hidden="false" customHeight="false" outlineLevel="0" collapsed="false">
      <c r="A2026" s="0" t="str">
        <f aca="false">IF(INDEX(BookTitle,2021)="","",INDEX(BookKey,2021))</f>
        <v/>
      </c>
      <c r="B2026" s="0" t="str">
        <f aca="false">IF(INDEX(BookTitle,2021)="","",INDEX(BookGroup,2021))</f>
        <v/>
      </c>
      <c r="C2026" s="0" t="str">
        <f aca="false">IF(INDEX(BookTitle,2021)="","",INDEX(BookCategory,2021))</f>
        <v/>
      </c>
      <c r="D2026" s="56" t="str">
        <f aca="false">IF(INDEX(BookTitle,2021)="","",INDEX(BookTotal,2021)*'5. Scenarios'!$B$6/(1+ProductivityDefault*('5. Scenarios'!$B$11-1)))</f>
        <v/>
      </c>
      <c r="E2026" s="57" t="str">
        <f aca="false">IF($D2026="","",INDEX(BookRate,2021)*(1+'5. Scenarios'!$B$10)*$D2026)</f>
        <v/>
      </c>
      <c r="F2026" s="57" t="str">
        <f aca="false">IF($E2026="","",SUMIFS($E$6:$E$2405,$A$6:$A$2405,"&lt;="&amp;$A2026))</f>
        <v/>
      </c>
      <c r="G2026" s="57" t="str">
        <f aca="false">IF($E2026="","",IF($F2026&lt;=BankCostEnvelope*'5. Scenarios'!$B$7,1,0))</f>
        <v/>
      </c>
      <c r="H2026" s="57" t="str">
        <f aca="false">IF($D2026="","",INDEX(BookRate,2021)*(1+'5. Scenarios'!$B$10)*(INDEX(BookQ1,2021)*(5-MIN(4,1+'5. Scenarios'!$B$8))/4+INDEX(BookQ2,2021)*(5-MIN(4,2+'5. Scenarios'!$B$8))/4+INDEX(BookQ3,2021)*(5-MIN(4,3+'5. Scenarios'!$B$8))/4+INDEX(BookQ4,2021)*(5-MIN(4,4+'5. Scenarios'!$B$8))/4)*'5. Scenarios'!$B$6/(1+ProductivityDefault*('5. Scenarios'!$B$11-1))+INDEX(BookOneOff,2021)*$D2026)</f>
        <v/>
      </c>
      <c r="I2026" s="56" t="str">
        <f aca="false">IF(INDEX(BookTitle,2021)="","",INDEX(BookTotal,2021)*'5. Scenarios'!$C$6/(1+ProductivityDefault*('5. Scenarios'!$C$11-1)))</f>
        <v/>
      </c>
      <c r="J2026" s="57" t="str">
        <f aca="false">IF($I2026="","",INDEX(BookRate,2021)*(1+'5. Scenarios'!$C$10)*$I2026)</f>
        <v/>
      </c>
      <c r="K2026" s="57" t="str">
        <f aca="false">IF($J2026="","",SUMIFS($J$6:$J$2405,$A$6:$A$2405,"&lt;="&amp;$A2026))</f>
        <v/>
      </c>
      <c r="L2026" s="57" t="str">
        <f aca="false">IF($J2026="","",IF($K2026&lt;=BankCostEnvelope*'5. Scenarios'!$C$7,1,0))</f>
        <v/>
      </c>
      <c r="M2026" s="57" t="str">
        <f aca="false">IF($I2026="","",INDEX(BookRate,2021)*(1+'5. Scenarios'!$C$10)*(INDEX(BookQ1,2021)*(5-MIN(4,1+'5. Scenarios'!$C$8))/4+INDEX(BookQ2,2021)*(5-MIN(4,2+'5. Scenarios'!$C$8))/4+INDEX(BookQ3,2021)*(5-MIN(4,3+'5. Scenarios'!$C$8))/4+INDEX(BookQ4,2021)*(5-MIN(4,4+'5. Scenarios'!$C$8))/4)*'5. Scenarios'!$C$6/(1+ProductivityDefault*('5. Scenarios'!$C$11-1))+INDEX(BookOneOff,2021)*$I2026)</f>
        <v/>
      </c>
      <c r="N2026" s="56" t="str">
        <f aca="false">IF(INDEX(BookTitle,2021)="","",INDEX(BookTotal,2021)*'5. Scenarios'!$D$6/(1+ProductivityDefault*('5. Scenarios'!$D$11-1)))</f>
        <v/>
      </c>
      <c r="O2026" s="57" t="str">
        <f aca="false">IF($N2026="","",INDEX(BookRate,2021)*(1+'5. Scenarios'!$D$10)*$N2026)</f>
        <v/>
      </c>
      <c r="P2026" s="57" t="str">
        <f aca="false">IF($O2026="","",SUMIFS($O$6:$O$2405,$A$6:$A$2405,"&lt;="&amp;$A2026))</f>
        <v/>
      </c>
      <c r="Q2026" s="57" t="str">
        <f aca="false">IF($O2026="","",IF($P2026&lt;=BankCostEnvelope*'5. Scenarios'!$D$7,1,0))</f>
        <v/>
      </c>
      <c r="R2026" s="57" t="str">
        <f aca="false">IF($N2026="","",INDEX(BookRate,2021)*(1+'5. Scenarios'!$D$10)*(INDEX(BookQ1,2021)*(5-MIN(4,1+'5. Scenarios'!$D$8))/4+INDEX(BookQ2,2021)*(5-MIN(4,2+'5. Scenarios'!$D$8))/4+INDEX(BookQ3,2021)*(5-MIN(4,3+'5. Scenarios'!$D$8))/4+INDEX(BookQ4,2021)*(5-MIN(4,4+'5. Scenarios'!$D$8))/4)*'5. Scenarios'!$D$6/(1+ProductivityDefault*('5. Scenarios'!$D$11-1))+INDEX(BookOneOff,2021)*$N2026)</f>
        <v/>
      </c>
      <c r="S2026" s="56" t="str">
        <f aca="false">IF(INDEX(BookTitle,2021)="","",INDEX(BookTotal,2021)*'5. Scenarios'!$E$6/(1+ProductivityDefault*('5. Scenarios'!$E$11-1)))</f>
        <v/>
      </c>
      <c r="T2026" s="57" t="str">
        <f aca="false">IF($S2026="","",INDEX(BookRate,2021)*(1+'5. Scenarios'!$E$10)*$S2026)</f>
        <v/>
      </c>
      <c r="U2026" s="57" t="str">
        <f aca="false">IF($T2026="","",SUMIFS($T$6:$T$2405,$A$6:$A$2405,"&lt;="&amp;$A2026))</f>
        <v/>
      </c>
      <c r="V2026" s="57" t="str">
        <f aca="false">IF($T2026="","",IF($U2026&lt;=BankCostEnvelope*'5. Scenarios'!$E$7,1,0))</f>
        <v/>
      </c>
      <c r="W2026" s="57" t="str">
        <f aca="false">IF($S2026="","",INDEX(BookRate,2021)*(1+'5. Scenarios'!$E$10)*(INDEX(BookQ1,2021)*(5-MIN(4,1+'5. Scenarios'!$E$8))/4+INDEX(BookQ2,2021)*(5-MIN(4,2+'5. Scenarios'!$E$8))/4+INDEX(BookQ3,2021)*(5-MIN(4,3+'5. Scenarios'!$E$8))/4+INDEX(BookQ4,2021)*(5-MIN(4,4+'5. Scenarios'!$E$8))/4)*'5. Scenarios'!$E$6/(1+ProductivityDefault*('5. Scenarios'!$E$11-1))+INDEX(BookOneOff,2021)*$S2026)</f>
        <v/>
      </c>
    </row>
    <row r="2027" customFormat="false" ht="15" hidden="false" customHeight="false" outlineLevel="0" collapsed="false">
      <c r="A2027" s="0" t="str">
        <f aca="false">IF(INDEX(BookTitle,2022)="","",INDEX(BookKey,2022))</f>
        <v/>
      </c>
      <c r="B2027" s="0" t="str">
        <f aca="false">IF(INDEX(BookTitle,2022)="","",INDEX(BookGroup,2022))</f>
        <v/>
      </c>
      <c r="C2027" s="0" t="str">
        <f aca="false">IF(INDEX(BookTitle,2022)="","",INDEX(BookCategory,2022))</f>
        <v/>
      </c>
      <c r="D2027" s="56" t="str">
        <f aca="false">IF(INDEX(BookTitle,2022)="","",INDEX(BookTotal,2022)*'5. Scenarios'!$B$6/(1+ProductivityDefault*('5. Scenarios'!$B$11-1)))</f>
        <v/>
      </c>
      <c r="E2027" s="57" t="str">
        <f aca="false">IF($D2027="","",INDEX(BookRate,2022)*(1+'5. Scenarios'!$B$10)*$D2027)</f>
        <v/>
      </c>
      <c r="F2027" s="57" t="str">
        <f aca="false">IF($E2027="","",SUMIFS($E$6:$E$2405,$A$6:$A$2405,"&lt;="&amp;$A2027))</f>
        <v/>
      </c>
      <c r="G2027" s="57" t="str">
        <f aca="false">IF($E2027="","",IF($F2027&lt;=BankCostEnvelope*'5. Scenarios'!$B$7,1,0))</f>
        <v/>
      </c>
      <c r="H2027" s="57" t="str">
        <f aca="false">IF($D2027="","",INDEX(BookRate,2022)*(1+'5. Scenarios'!$B$10)*(INDEX(BookQ1,2022)*(5-MIN(4,1+'5. Scenarios'!$B$8))/4+INDEX(BookQ2,2022)*(5-MIN(4,2+'5. Scenarios'!$B$8))/4+INDEX(BookQ3,2022)*(5-MIN(4,3+'5. Scenarios'!$B$8))/4+INDEX(BookQ4,2022)*(5-MIN(4,4+'5. Scenarios'!$B$8))/4)*'5. Scenarios'!$B$6/(1+ProductivityDefault*('5. Scenarios'!$B$11-1))+INDEX(BookOneOff,2022)*$D2027)</f>
        <v/>
      </c>
      <c r="I2027" s="56" t="str">
        <f aca="false">IF(INDEX(BookTitle,2022)="","",INDEX(BookTotal,2022)*'5. Scenarios'!$C$6/(1+ProductivityDefault*('5. Scenarios'!$C$11-1)))</f>
        <v/>
      </c>
      <c r="J2027" s="57" t="str">
        <f aca="false">IF($I2027="","",INDEX(BookRate,2022)*(1+'5. Scenarios'!$C$10)*$I2027)</f>
        <v/>
      </c>
      <c r="K2027" s="57" t="str">
        <f aca="false">IF($J2027="","",SUMIFS($J$6:$J$2405,$A$6:$A$2405,"&lt;="&amp;$A2027))</f>
        <v/>
      </c>
      <c r="L2027" s="57" t="str">
        <f aca="false">IF($J2027="","",IF($K2027&lt;=BankCostEnvelope*'5. Scenarios'!$C$7,1,0))</f>
        <v/>
      </c>
      <c r="M2027" s="57" t="str">
        <f aca="false">IF($I2027="","",INDEX(BookRate,2022)*(1+'5. Scenarios'!$C$10)*(INDEX(BookQ1,2022)*(5-MIN(4,1+'5. Scenarios'!$C$8))/4+INDEX(BookQ2,2022)*(5-MIN(4,2+'5. Scenarios'!$C$8))/4+INDEX(BookQ3,2022)*(5-MIN(4,3+'5. Scenarios'!$C$8))/4+INDEX(BookQ4,2022)*(5-MIN(4,4+'5. Scenarios'!$C$8))/4)*'5. Scenarios'!$C$6/(1+ProductivityDefault*('5. Scenarios'!$C$11-1))+INDEX(BookOneOff,2022)*$I2027)</f>
        <v/>
      </c>
      <c r="N2027" s="56" t="str">
        <f aca="false">IF(INDEX(BookTitle,2022)="","",INDEX(BookTotal,2022)*'5. Scenarios'!$D$6/(1+ProductivityDefault*('5. Scenarios'!$D$11-1)))</f>
        <v/>
      </c>
      <c r="O2027" s="57" t="str">
        <f aca="false">IF($N2027="","",INDEX(BookRate,2022)*(1+'5. Scenarios'!$D$10)*$N2027)</f>
        <v/>
      </c>
      <c r="P2027" s="57" t="str">
        <f aca="false">IF($O2027="","",SUMIFS($O$6:$O$2405,$A$6:$A$2405,"&lt;="&amp;$A2027))</f>
        <v/>
      </c>
      <c r="Q2027" s="57" t="str">
        <f aca="false">IF($O2027="","",IF($P2027&lt;=BankCostEnvelope*'5. Scenarios'!$D$7,1,0))</f>
        <v/>
      </c>
      <c r="R2027" s="57" t="str">
        <f aca="false">IF($N2027="","",INDEX(BookRate,2022)*(1+'5. Scenarios'!$D$10)*(INDEX(BookQ1,2022)*(5-MIN(4,1+'5. Scenarios'!$D$8))/4+INDEX(BookQ2,2022)*(5-MIN(4,2+'5. Scenarios'!$D$8))/4+INDEX(BookQ3,2022)*(5-MIN(4,3+'5. Scenarios'!$D$8))/4+INDEX(BookQ4,2022)*(5-MIN(4,4+'5. Scenarios'!$D$8))/4)*'5. Scenarios'!$D$6/(1+ProductivityDefault*('5. Scenarios'!$D$11-1))+INDEX(BookOneOff,2022)*$N2027)</f>
        <v/>
      </c>
      <c r="S2027" s="56" t="str">
        <f aca="false">IF(INDEX(BookTitle,2022)="","",INDEX(BookTotal,2022)*'5. Scenarios'!$E$6/(1+ProductivityDefault*('5. Scenarios'!$E$11-1)))</f>
        <v/>
      </c>
      <c r="T2027" s="57" t="str">
        <f aca="false">IF($S2027="","",INDEX(BookRate,2022)*(1+'5. Scenarios'!$E$10)*$S2027)</f>
        <v/>
      </c>
      <c r="U2027" s="57" t="str">
        <f aca="false">IF($T2027="","",SUMIFS($T$6:$T$2405,$A$6:$A$2405,"&lt;="&amp;$A2027))</f>
        <v/>
      </c>
      <c r="V2027" s="57" t="str">
        <f aca="false">IF($T2027="","",IF($U2027&lt;=BankCostEnvelope*'5. Scenarios'!$E$7,1,0))</f>
        <v/>
      </c>
      <c r="W2027" s="57" t="str">
        <f aca="false">IF($S2027="","",INDEX(BookRate,2022)*(1+'5. Scenarios'!$E$10)*(INDEX(BookQ1,2022)*(5-MIN(4,1+'5. Scenarios'!$E$8))/4+INDEX(BookQ2,2022)*(5-MIN(4,2+'5. Scenarios'!$E$8))/4+INDEX(BookQ3,2022)*(5-MIN(4,3+'5. Scenarios'!$E$8))/4+INDEX(BookQ4,2022)*(5-MIN(4,4+'5. Scenarios'!$E$8))/4)*'5. Scenarios'!$E$6/(1+ProductivityDefault*('5. Scenarios'!$E$11-1))+INDEX(BookOneOff,2022)*$S2027)</f>
        <v/>
      </c>
    </row>
    <row r="2028" customFormat="false" ht="15" hidden="false" customHeight="false" outlineLevel="0" collapsed="false">
      <c r="A2028" s="0" t="str">
        <f aca="false">IF(INDEX(BookTitle,2023)="","",INDEX(BookKey,2023))</f>
        <v/>
      </c>
      <c r="B2028" s="0" t="str">
        <f aca="false">IF(INDEX(BookTitle,2023)="","",INDEX(BookGroup,2023))</f>
        <v/>
      </c>
      <c r="C2028" s="0" t="str">
        <f aca="false">IF(INDEX(BookTitle,2023)="","",INDEX(BookCategory,2023))</f>
        <v/>
      </c>
      <c r="D2028" s="56" t="str">
        <f aca="false">IF(INDEX(BookTitle,2023)="","",INDEX(BookTotal,2023)*'5. Scenarios'!$B$6/(1+ProductivityDefault*('5. Scenarios'!$B$11-1)))</f>
        <v/>
      </c>
      <c r="E2028" s="57" t="str">
        <f aca="false">IF($D2028="","",INDEX(BookRate,2023)*(1+'5. Scenarios'!$B$10)*$D2028)</f>
        <v/>
      </c>
      <c r="F2028" s="57" t="str">
        <f aca="false">IF($E2028="","",SUMIFS($E$6:$E$2405,$A$6:$A$2405,"&lt;="&amp;$A2028))</f>
        <v/>
      </c>
      <c r="G2028" s="57" t="str">
        <f aca="false">IF($E2028="","",IF($F2028&lt;=BankCostEnvelope*'5. Scenarios'!$B$7,1,0))</f>
        <v/>
      </c>
      <c r="H2028" s="57" t="str">
        <f aca="false">IF($D2028="","",INDEX(BookRate,2023)*(1+'5. Scenarios'!$B$10)*(INDEX(BookQ1,2023)*(5-MIN(4,1+'5. Scenarios'!$B$8))/4+INDEX(BookQ2,2023)*(5-MIN(4,2+'5. Scenarios'!$B$8))/4+INDEX(BookQ3,2023)*(5-MIN(4,3+'5. Scenarios'!$B$8))/4+INDEX(BookQ4,2023)*(5-MIN(4,4+'5. Scenarios'!$B$8))/4)*'5. Scenarios'!$B$6/(1+ProductivityDefault*('5. Scenarios'!$B$11-1))+INDEX(BookOneOff,2023)*$D2028)</f>
        <v/>
      </c>
      <c r="I2028" s="56" t="str">
        <f aca="false">IF(INDEX(BookTitle,2023)="","",INDEX(BookTotal,2023)*'5. Scenarios'!$C$6/(1+ProductivityDefault*('5. Scenarios'!$C$11-1)))</f>
        <v/>
      </c>
      <c r="J2028" s="57" t="str">
        <f aca="false">IF($I2028="","",INDEX(BookRate,2023)*(1+'5. Scenarios'!$C$10)*$I2028)</f>
        <v/>
      </c>
      <c r="K2028" s="57" t="str">
        <f aca="false">IF($J2028="","",SUMIFS($J$6:$J$2405,$A$6:$A$2405,"&lt;="&amp;$A2028))</f>
        <v/>
      </c>
      <c r="L2028" s="57" t="str">
        <f aca="false">IF($J2028="","",IF($K2028&lt;=BankCostEnvelope*'5. Scenarios'!$C$7,1,0))</f>
        <v/>
      </c>
      <c r="M2028" s="57" t="str">
        <f aca="false">IF($I2028="","",INDEX(BookRate,2023)*(1+'5. Scenarios'!$C$10)*(INDEX(BookQ1,2023)*(5-MIN(4,1+'5. Scenarios'!$C$8))/4+INDEX(BookQ2,2023)*(5-MIN(4,2+'5. Scenarios'!$C$8))/4+INDEX(BookQ3,2023)*(5-MIN(4,3+'5. Scenarios'!$C$8))/4+INDEX(BookQ4,2023)*(5-MIN(4,4+'5. Scenarios'!$C$8))/4)*'5. Scenarios'!$C$6/(1+ProductivityDefault*('5. Scenarios'!$C$11-1))+INDEX(BookOneOff,2023)*$I2028)</f>
        <v/>
      </c>
      <c r="N2028" s="56" t="str">
        <f aca="false">IF(INDEX(BookTitle,2023)="","",INDEX(BookTotal,2023)*'5. Scenarios'!$D$6/(1+ProductivityDefault*('5. Scenarios'!$D$11-1)))</f>
        <v/>
      </c>
      <c r="O2028" s="57" t="str">
        <f aca="false">IF($N2028="","",INDEX(BookRate,2023)*(1+'5. Scenarios'!$D$10)*$N2028)</f>
        <v/>
      </c>
      <c r="P2028" s="57" t="str">
        <f aca="false">IF($O2028="","",SUMIFS($O$6:$O$2405,$A$6:$A$2405,"&lt;="&amp;$A2028))</f>
        <v/>
      </c>
      <c r="Q2028" s="57" t="str">
        <f aca="false">IF($O2028="","",IF($P2028&lt;=BankCostEnvelope*'5. Scenarios'!$D$7,1,0))</f>
        <v/>
      </c>
      <c r="R2028" s="57" t="str">
        <f aca="false">IF($N2028="","",INDEX(BookRate,2023)*(1+'5. Scenarios'!$D$10)*(INDEX(BookQ1,2023)*(5-MIN(4,1+'5. Scenarios'!$D$8))/4+INDEX(BookQ2,2023)*(5-MIN(4,2+'5. Scenarios'!$D$8))/4+INDEX(BookQ3,2023)*(5-MIN(4,3+'5. Scenarios'!$D$8))/4+INDEX(BookQ4,2023)*(5-MIN(4,4+'5. Scenarios'!$D$8))/4)*'5. Scenarios'!$D$6/(1+ProductivityDefault*('5. Scenarios'!$D$11-1))+INDEX(BookOneOff,2023)*$N2028)</f>
        <v/>
      </c>
      <c r="S2028" s="56" t="str">
        <f aca="false">IF(INDEX(BookTitle,2023)="","",INDEX(BookTotal,2023)*'5. Scenarios'!$E$6/(1+ProductivityDefault*('5. Scenarios'!$E$11-1)))</f>
        <v/>
      </c>
      <c r="T2028" s="57" t="str">
        <f aca="false">IF($S2028="","",INDEX(BookRate,2023)*(1+'5. Scenarios'!$E$10)*$S2028)</f>
        <v/>
      </c>
      <c r="U2028" s="57" t="str">
        <f aca="false">IF($T2028="","",SUMIFS($T$6:$T$2405,$A$6:$A$2405,"&lt;="&amp;$A2028))</f>
        <v/>
      </c>
      <c r="V2028" s="57" t="str">
        <f aca="false">IF($T2028="","",IF($U2028&lt;=BankCostEnvelope*'5. Scenarios'!$E$7,1,0))</f>
        <v/>
      </c>
      <c r="W2028" s="57" t="str">
        <f aca="false">IF($S2028="","",INDEX(BookRate,2023)*(1+'5. Scenarios'!$E$10)*(INDEX(BookQ1,2023)*(5-MIN(4,1+'5. Scenarios'!$E$8))/4+INDEX(BookQ2,2023)*(5-MIN(4,2+'5. Scenarios'!$E$8))/4+INDEX(BookQ3,2023)*(5-MIN(4,3+'5. Scenarios'!$E$8))/4+INDEX(BookQ4,2023)*(5-MIN(4,4+'5. Scenarios'!$E$8))/4)*'5. Scenarios'!$E$6/(1+ProductivityDefault*('5. Scenarios'!$E$11-1))+INDEX(BookOneOff,2023)*$S2028)</f>
        <v/>
      </c>
    </row>
    <row r="2029" customFormat="false" ht="15" hidden="false" customHeight="false" outlineLevel="0" collapsed="false">
      <c r="A2029" s="0" t="str">
        <f aca="false">IF(INDEX(BookTitle,2024)="","",INDEX(BookKey,2024))</f>
        <v/>
      </c>
      <c r="B2029" s="0" t="str">
        <f aca="false">IF(INDEX(BookTitle,2024)="","",INDEX(BookGroup,2024))</f>
        <v/>
      </c>
      <c r="C2029" s="0" t="str">
        <f aca="false">IF(INDEX(BookTitle,2024)="","",INDEX(BookCategory,2024))</f>
        <v/>
      </c>
      <c r="D2029" s="56" t="str">
        <f aca="false">IF(INDEX(BookTitle,2024)="","",INDEX(BookTotal,2024)*'5. Scenarios'!$B$6/(1+ProductivityDefault*('5. Scenarios'!$B$11-1)))</f>
        <v/>
      </c>
      <c r="E2029" s="57" t="str">
        <f aca="false">IF($D2029="","",INDEX(BookRate,2024)*(1+'5. Scenarios'!$B$10)*$D2029)</f>
        <v/>
      </c>
      <c r="F2029" s="57" t="str">
        <f aca="false">IF($E2029="","",SUMIFS($E$6:$E$2405,$A$6:$A$2405,"&lt;="&amp;$A2029))</f>
        <v/>
      </c>
      <c r="G2029" s="57" t="str">
        <f aca="false">IF($E2029="","",IF($F2029&lt;=BankCostEnvelope*'5. Scenarios'!$B$7,1,0))</f>
        <v/>
      </c>
      <c r="H2029" s="57" t="str">
        <f aca="false">IF($D2029="","",INDEX(BookRate,2024)*(1+'5. Scenarios'!$B$10)*(INDEX(BookQ1,2024)*(5-MIN(4,1+'5. Scenarios'!$B$8))/4+INDEX(BookQ2,2024)*(5-MIN(4,2+'5. Scenarios'!$B$8))/4+INDEX(BookQ3,2024)*(5-MIN(4,3+'5. Scenarios'!$B$8))/4+INDEX(BookQ4,2024)*(5-MIN(4,4+'5. Scenarios'!$B$8))/4)*'5. Scenarios'!$B$6/(1+ProductivityDefault*('5. Scenarios'!$B$11-1))+INDEX(BookOneOff,2024)*$D2029)</f>
        <v/>
      </c>
      <c r="I2029" s="56" t="str">
        <f aca="false">IF(INDEX(BookTitle,2024)="","",INDEX(BookTotal,2024)*'5. Scenarios'!$C$6/(1+ProductivityDefault*('5. Scenarios'!$C$11-1)))</f>
        <v/>
      </c>
      <c r="J2029" s="57" t="str">
        <f aca="false">IF($I2029="","",INDEX(BookRate,2024)*(1+'5. Scenarios'!$C$10)*$I2029)</f>
        <v/>
      </c>
      <c r="K2029" s="57" t="str">
        <f aca="false">IF($J2029="","",SUMIFS($J$6:$J$2405,$A$6:$A$2405,"&lt;="&amp;$A2029))</f>
        <v/>
      </c>
      <c r="L2029" s="57" t="str">
        <f aca="false">IF($J2029="","",IF($K2029&lt;=BankCostEnvelope*'5. Scenarios'!$C$7,1,0))</f>
        <v/>
      </c>
      <c r="M2029" s="57" t="str">
        <f aca="false">IF($I2029="","",INDEX(BookRate,2024)*(1+'5. Scenarios'!$C$10)*(INDEX(BookQ1,2024)*(5-MIN(4,1+'5. Scenarios'!$C$8))/4+INDEX(BookQ2,2024)*(5-MIN(4,2+'5. Scenarios'!$C$8))/4+INDEX(BookQ3,2024)*(5-MIN(4,3+'5. Scenarios'!$C$8))/4+INDEX(BookQ4,2024)*(5-MIN(4,4+'5. Scenarios'!$C$8))/4)*'5. Scenarios'!$C$6/(1+ProductivityDefault*('5. Scenarios'!$C$11-1))+INDEX(BookOneOff,2024)*$I2029)</f>
        <v/>
      </c>
      <c r="N2029" s="56" t="str">
        <f aca="false">IF(INDEX(BookTitle,2024)="","",INDEX(BookTotal,2024)*'5. Scenarios'!$D$6/(1+ProductivityDefault*('5. Scenarios'!$D$11-1)))</f>
        <v/>
      </c>
      <c r="O2029" s="57" t="str">
        <f aca="false">IF($N2029="","",INDEX(BookRate,2024)*(1+'5. Scenarios'!$D$10)*$N2029)</f>
        <v/>
      </c>
      <c r="P2029" s="57" t="str">
        <f aca="false">IF($O2029="","",SUMIFS($O$6:$O$2405,$A$6:$A$2405,"&lt;="&amp;$A2029))</f>
        <v/>
      </c>
      <c r="Q2029" s="57" t="str">
        <f aca="false">IF($O2029="","",IF($P2029&lt;=BankCostEnvelope*'5. Scenarios'!$D$7,1,0))</f>
        <v/>
      </c>
      <c r="R2029" s="57" t="str">
        <f aca="false">IF($N2029="","",INDEX(BookRate,2024)*(1+'5. Scenarios'!$D$10)*(INDEX(BookQ1,2024)*(5-MIN(4,1+'5. Scenarios'!$D$8))/4+INDEX(BookQ2,2024)*(5-MIN(4,2+'5. Scenarios'!$D$8))/4+INDEX(BookQ3,2024)*(5-MIN(4,3+'5. Scenarios'!$D$8))/4+INDEX(BookQ4,2024)*(5-MIN(4,4+'5. Scenarios'!$D$8))/4)*'5. Scenarios'!$D$6/(1+ProductivityDefault*('5. Scenarios'!$D$11-1))+INDEX(BookOneOff,2024)*$N2029)</f>
        <v/>
      </c>
      <c r="S2029" s="56" t="str">
        <f aca="false">IF(INDEX(BookTitle,2024)="","",INDEX(BookTotal,2024)*'5. Scenarios'!$E$6/(1+ProductivityDefault*('5. Scenarios'!$E$11-1)))</f>
        <v/>
      </c>
      <c r="T2029" s="57" t="str">
        <f aca="false">IF($S2029="","",INDEX(BookRate,2024)*(1+'5. Scenarios'!$E$10)*$S2029)</f>
        <v/>
      </c>
      <c r="U2029" s="57" t="str">
        <f aca="false">IF($T2029="","",SUMIFS($T$6:$T$2405,$A$6:$A$2405,"&lt;="&amp;$A2029))</f>
        <v/>
      </c>
      <c r="V2029" s="57" t="str">
        <f aca="false">IF($T2029="","",IF($U2029&lt;=BankCostEnvelope*'5. Scenarios'!$E$7,1,0))</f>
        <v/>
      </c>
      <c r="W2029" s="57" t="str">
        <f aca="false">IF($S2029="","",INDEX(BookRate,2024)*(1+'5. Scenarios'!$E$10)*(INDEX(BookQ1,2024)*(5-MIN(4,1+'5. Scenarios'!$E$8))/4+INDEX(BookQ2,2024)*(5-MIN(4,2+'5. Scenarios'!$E$8))/4+INDEX(BookQ3,2024)*(5-MIN(4,3+'5. Scenarios'!$E$8))/4+INDEX(BookQ4,2024)*(5-MIN(4,4+'5. Scenarios'!$E$8))/4)*'5. Scenarios'!$E$6/(1+ProductivityDefault*('5. Scenarios'!$E$11-1))+INDEX(BookOneOff,2024)*$S2029)</f>
        <v/>
      </c>
    </row>
    <row r="2030" customFormat="false" ht="15" hidden="false" customHeight="false" outlineLevel="0" collapsed="false">
      <c r="A2030" s="0" t="str">
        <f aca="false">IF(INDEX(BookTitle,2025)="","",INDEX(BookKey,2025))</f>
        <v/>
      </c>
      <c r="B2030" s="0" t="str">
        <f aca="false">IF(INDEX(BookTitle,2025)="","",INDEX(BookGroup,2025))</f>
        <v/>
      </c>
      <c r="C2030" s="0" t="str">
        <f aca="false">IF(INDEX(BookTitle,2025)="","",INDEX(BookCategory,2025))</f>
        <v/>
      </c>
      <c r="D2030" s="56" t="str">
        <f aca="false">IF(INDEX(BookTitle,2025)="","",INDEX(BookTotal,2025)*'5. Scenarios'!$B$6/(1+ProductivityDefault*('5. Scenarios'!$B$11-1)))</f>
        <v/>
      </c>
      <c r="E2030" s="57" t="str">
        <f aca="false">IF($D2030="","",INDEX(BookRate,2025)*(1+'5. Scenarios'!$B$10)*$D2030)</f>
        <v/>
      </c>
      <c r="F2030" s="57" t="str">
        <f aca="false">IF($E2030="","",SUMIFS($E$6:$E$2405,$A$6:$A$2405,"&lt;="&amp;$A2030))</f>
        <v/>
      </c>
      <c r="G2030" s="57" t="str">
        <f aca="false">IF($E2030="","",IF($F2030&lt;=BankCostEnvelope*'5. Scenarios'!$B$7,1,0))</f>
        <v/>
      </c>
      <c r="H2030" s="57" t="str">
        <f aca="false">IF($D2030="","",INDEX(BookRate,2025)*(1+'5. Scenarios'!$B$10)*(INDEX(BookQ1,2025)*(5-MIN(4,1+'5. Scenarios'!$B$8))/4+INDEX(BookQ2,2025)*(5-MIN(4,2+'5. Scenarios'!$B$8))/4+INDEX(BookQ3,2025)*(5-MIN(4,3+'5. Scenarios'!$B$8))/4+INDEX(BookQ4,2025)*(5-MIN(4,4+'5. Scenarios'!$B$8))/4)*'5. Scenarios'!$B$6/(1+ProductivityDefault*('5. Scenarios'!$B$11-1))+INDEX(BookOneOff,2025)*$D2030)</f>
        <v/>
      </c>
      <c r="I2030" s="56" t="str">
        <f aca="false">IF(INDEX(BookTitle,2025)="","",INDEX(BookTotal,2025)*'5. Scenarios'!$C$6/(1+ProductivityDefault*('5. Scenarios'!$C$11-1)))</f>
        <v/>
      </c>
      <c r="J2030" s="57" t="str">
        <f aca="false">IF($I2030="","",INDEX(BookRate,2025)*(1+'5. Scenarios'!$C$10)*$I2030)</f>
        <v/>
      </c>
      <c r="K2030" s="57" t="str">
        <f aca="false">IF($J2030="","",SUMIFS($J$6:$J$2405,$A$6:$A$2405,"&lt;="&amp;$A2030))</f>
        <v/>
      </c>
      <c r="L2030" s="57" t="str">
        <f aca="false">IF($J2030="","",IF($K2030&lt;=BankCostEnvelope*'5. Scenarios'!$C$7,1,0))</f>
        <v/>
      </c>
      <c r="M2030" s="57" t="str">
        <f aca="false">IF($I2030="","",INDEX(BookRate,2025)*(1+'5. Scenarios'!$C$10)*(INDEX(BookQ1,2025)*(5-MIN(4,1+'5. Scenarios'!$C$8))/4+INDEX(BookQ2,2025)*(5-MIN(4,2+'5. Scenarios'!$C$8))/4+INDEX(BookQ3,2025)*(5-MIN(4,3+'5. Scenarios'!$C$8))/4+INDEX(BookQ4,2025)*(5-MIN(4,4+'5. Scenarios'!$C$8))/4)*'5. Scenarios'!$C$6/(1+ProductivityDefault*('5. Scenarios'!$C$11-1))+INDEX(BookOneOff,2025)*$I2030)</f>
        <v/>
      </c>
      <c r="N2030" s="56" t="str">
        <f aca="false">IF(INDEX(BookTitle,2025)="","",INDEX(BookTotal,2025)*'5. Scenarios'!$D$6/(1+ProductivityDefault*('5. Scenarios'!$D$11-1)))</f>
        <v/>
      </c>
      <c r="O2030" s="57" t="str">
        <f aca="false">IF($N2030="","",INDEX(BookRate,2025)*(1+'5. Scenarios'!$D$10)*$N2030)</f>
        <v/>
      </c>
      <c r="P2030" s="57" t="str">
        <f aca="false">IF($O2030="","",SUMIFS($O$6:$O$2405,$A$6:$A$2405,"&lt;="&amp;$A2030))</f>
        <v/>
      </c>
      <c r="Q2030" s="57" t="str">
        <f aca="false">IF($O2030="","",IF($P2030&lt;=BankCostEnvelope*'5. Scenarios'!$D$7,1,0))</f>
        <v/>
      </c>
      <c r="R2030" s="57" t="str">
        <f aca="false">IF($N2030="","",INDEX(BookRate,2025)*(1+'5. Scenarios'!$D$10)*(INDEX(BookQ1,2025)*(5-MIN(4,1+'5. Scenarios'!$D$8))/4+INDEX(BookQ2,2025)*(5-MIN(4,2+'5. Scenarios'!$D$8))/4+INDEX(BookQ3,2025)*(5-MIN(4,3+'5. Scenarios'!$D$8))/4+INDEX(BookQ4,2025)*(5-MIN(4,4+'5. Scenarios'!$D$8))/4)*'5. Scenarios'!$D$6/(1+ProductivityDefault*('5. Scenarios'!$D$11-1))+INDEX(BookOneOff,2025)*$N2030)</f>
        <v/>
      </c>
      <c r="S2030" s="56" t="str">
        <f aca="false">IF(INDEX(BookTitle,2025)="","",INDEX(BookTotal,2025)*'5. Scenarios'!$E$6/(1+ProductivityDefault*('5. Scenarios'!$E$11-1)))</f>
        <v/>
      </c>
      <c r="T2030" s="57" t="str">
        <f aca="false">IF($S2030="","",INDEX(BookRate,2025)*(1+'5. Scenarios'!$E$10)*$S2030)</f>
        <v/>
      </c>
      <c r="U2030" s="57" t="str">
        <f aca="false">IF($T2030="","",SUMIFS($T$6:$T$2405,$A$6:$A$2405,"&lt;="&amp;$A2030))</f>
        <v/>
      </c>
      <c r="V2030" s="57" t="str">
        <f aca="false">IF($T2030="","",IF($U2030&lt;=BankCostEnvelope*'5. Scenarios'!$E$7,1,0))</f>
        <v/>
      </c>
      <c r="W2030" s="57" t="str">
        <f aca="false">IF($S2030="","",INDEX(BookRate,2025)*(1+'5. Scenarios'!$E$10)*(INDEX(BookQ1,2025)*(5-MIN(4,1+'5. Scenarios'!$E$8))/4+INDEX(BookQ2,2025)*(5-MIN(4,2+'5. Scenarios'!$E$8))/4+INDEX(BookQ3,2025)*(5-MIN(4,3+'5. Scenarios'!$E$8))/4+INDEX(BookQ4,2025)*(5-MIN(4,4+'5. Scenarios'!$E$8))/4)*'5. Scenarios'!$E$6/(1+ProductivityDefault*('5. Scenarios'!$E$11-1))+INDEX(BookOneOff,2025)*$S2030)</f>
        <v/>
      </c>
    </row>
    <row r="2031" customFormat="false" ht="15" hidden="false" customHeight="false" outlineLevel="0" collapsed="false">
      <c r="A2031" s="0" t="str">
        <f aca="false">IF(INDEX(BookTitle,2026)="","",INDEX(BookKey,2026))</f>
        <v/>
      </c>
      <c r="B2031" s="0" t="str">
        <f aca="false">IF(INDEX(BookTitle,2026)="","",INDEX(BookGroup,2026))</f>
        <v/>
      </c>
      <c r="C2031" s="0" t="str">
        <f aca="false">IF(INDEX(BookTitle,2026)="","",INDEX(BookCategory,2026))</f>
        <v/>
      </c>
      <c r="D2031" s="56" t="str">
        <f aca="false">IF(INDEX(BookTitle,2026)="","",INDEX(BookTotal,2026)*'5. Scenarios'!$B$6/(1+ProductivityDefault*('5. Scenarios'!$B$11-1)))</f>
        <v/>
      </c>
      <c r="E2031" s="57" t="str">
        <f aca="false">IF($D2031="","",INDEX(BookRate,2026)*(1+'5. Scenarios'!$B$10)*$D2031)</f>
        <v/>
      </c>
      <c r="F2031" s="57" t="str">
        <f aca="false">IF($E2031="","",SUMIFS($E$6:$E$2405,$A$6:$A$2405,"&lt;="&amp;$A2031))</f>
        <v/>
      </c>
      <c r="G2031" s="57" t="str">
        <f aca="false">IF($E2031="","",IF($F2031&lt;=BankCostEnvelope*'5. Scenarios'!$B$7,1,0))</f>
        <v/>
      </c>
      <c r="H2031" s="57" t="str">
        <f aca="false">IF($D2031="","",INDEX(BookRate,2026)*(1+'5. Scenarios'!$B$10)*(INDEX(BookQ1,2026)*(5-MIN(4,1+'5. Scenarios'!$B$8))/4+INDEX(BookQ2,2026)*(5-MIN(4,2+'5. Scenarios'!$B$8))/4+INDEX(BookQ3,2026)*(5-MIN(4,3+'5. Scenarios'!$B$8))/4+INDEX(BookQ4,2026)*(5-MIN(4,4+'5. Scenarios'!$B$8))/4)*'5. Scenarios'!$B$6/(1+ProductivityDefault*('5. Scenarios'!$B$11-1))+INDEX(BookOneOff,2026)*$D2031)</f>
        <v/>
      </c>
      <c r="I2031" s="56" t="str">
        <f aca="false">IF(INDEX(BookTitle,2026)="","",INDEX(BookTotal,2026)*'5. Scenarios'!$C$6/(1+ProductivityDefault*('5. Scenarios'!$C$11-1)))</f>
        <v/>
      </c>
      <c r="J2031" s="57" t="str">
        <f aca="false">IF($I2031="","",INDEX(BookRate,2026)*(1+'5. Scenarios'!$C$10)*$I2031)</f>
        <v/>
      </c>
      <c r="K2031" s="57" t="str">
        <f aca="false">IF($J2031="","",SUMIFS($J$6:$J$2405,$A$6:$A$2405,"&lt;="&amp;$A2031))</f>
        <v/>
      </c>
      <c r="L2031" s="57" t="str">
        <f aca="false">IF($J2031="","",IF($K2031&lt;=BankCostEnvelope*'5. Scenarios'!$C$7,1,0))</f>
        <v/>
      </c>
      <c r="M2031" s="57" t="str">
        <f aca="false">IF($I2031="","",INDEX(BookRate,2026)*(1+'5. Scenarios'!$C$10)*(INDEX(BookQ1,2026)*(5-MIN(4,1+'5. Scenarios'!$C$8))/4+INDEX(BookQ2,2026)*(5-MIN(4,2+'5. Scenarios'!$C$8))/4+INDEX(BookQ3,2026)*(5-MIN(4,3+'5. Scenarios'!$C$8))/4+INDEX(BookQ4,2026)*(5-MIN(4,4+'5. Scenarios'!$C$8))/4)*'5. Scenarios'!$C$6/(1+ProductivityDefault*('5. Scenarios'!$C$11-1))+INDEX(BookOneOff,2026)*$I2031)</f>
        <v/>
      </c>
      <c r="N2031" s="56" t="str">
        <f aca="false">IF(INDEX(BookTitle,2026)="","",INDEX(BookTotal,2026)*'5. Scenarios'!$D$6/(1+ProductivityDefault*('5. Scenarios'!$D$11-1)))</f>
        <v/>
      </c>
      <c r="O2031" s="57" t="str">
        <f aca="false">IF($N2031="","",INDEX(BookRate,2026)*(1+'5. Scenarios'!$D$10)*$N2031)</f>
        <v/>
      </c>
      <c r="P2031" s="57" t="str">
        <f aca="false">IF($O2031="","",SUMIFS($O$6:$O$2405,$A$6:$A$2405,"&lt;="&amp;$A2031))</f>
        <v/>
      </c>
      <c r="Q2031" s="57" t="str">
        <f aca="false">IF($O2031="","",IF($P2031&lt;=BankCostEnvelope*'5. Scenarios'!$D$7,1,0))</f>
        <v/>
      </c>
      <c r="R2031" s="57" t="str">
        <f aca="false">IF($N2031="","",INDEX(BookRate,2026)*(1+'5. Scenarios'!$D$10)*(INDEX(BookQ1,2026)*(5-MIN(4,1+'5. Scenarios'!$D$8))/4+INDEX(BookQ2,2026)*(5-MIN(4,2+'5. Scenarios'!$D$8))/4+INDEX(BookQ3,2026)*(5-MIN(4,3+'5. Scenarios'!$D$8))/4+INDEX(BookQ4,2026)*(5-MIN(4,4+'5. Scenarios'!$D$8))/4)*'5. Scenarios'!$D$6/(1+ProductivityDefault*('5. Scenarios'!$D$11-1))+INDEX(BookOneOff,2026)*$N2031)</f>
        <v/>
      </c>
      <c r="S2031" s="56" t="str">
        <f aca="false">IF(INDEX(BookTitle,2026)="","",INDEX(BookTotal,2026)*'5. Scenarios'!$E$6/(1+ProductivityDefault*('5. Scenarios'!$E$11-1)))</f>
        <v/>
      </c>
      <c r="T2031" s="57" t="str">
        <f aca="false">IF($S2031="","",INDEX(BookRate,2026)*(1+'5. Scenarios'!$E$10)*$S2031)</f>
        <v/>
      </c>
      <c r="U2031" s="57" t="str">
        <f aca="false">IF($T2031="","",SUMIFS($T$6:$T$2405,$A$6:$A$2405,"&lt;="&amp;$A2031))</f>
        <v/>
      </c>
      <c r="V2031" s="57" t="str">
        <f aca="false">IF($T2031="","",IF($U2031&lt;=BankCostEnvelope*'5. Scenarios'!$E$7,1,0))</f>
        <v/>
      </c>
      <c r="W2031" s="57" t="str">
        <f aca="false">IF($S2031="","",INDEX(BookRate,2026)*(1+'5. Scenarios'!$E$10)*(INDEX(BookQ1,2026)*(5-MIN(4,1+'5. Scenarios'!$E$8))/4+INDEX(BookQ2,2026)*(5-MIN(4,2+'5. Scenarios'!$E$8))/4+INDEX(BookQ3,2026)*(5-MIN(4,3+'5. Scenarios'!$E$8))/4+INDEX(BookQ4,2026)*(5-MIN(4,4+'5. Scenarios'!$E$8))/4)*'5. Scenarios'!$E$6/(1+ProductivityDefault*('5. Scenarios'!$E$11-1))+INDEX(BookOneOff,2026)*$S2031)</f>
        <v/>
      </c>
    </row>
    <row r="2032" customFormat="false" ht="15" hidden="false" customHeight="false" outlineLevel="0" collapsed="false">
      <c r="A2032" s="0" t="str">
        <f aca="false">IF(INDEX(BookTitle,2027)="","",INDEX(BookKey,2027))</f>
        <v/>
      </c>
      <c r="B2032" s="0" t="str">
        <f aca="false">IF(INDEX(BookTitle,2027)="","",INDEX(BookGroup,2027))</f>
        <v/>
      </c>
      <c r="C2032" s="0" t="str">
        <f aca="false">IF(INDEX(BookTitle,2027)="","",INDEX(BookCategory,2027))</f>
        <v/>
      </c>
      <c r="D2032" s="56" t="str">
        <f aca="false">IF(INDEX(BookTitle,2027)="","",INDEX(BookTotal,2027)*'5. Scenarios'!$B$6/(1+ProductivityDefault*('5. Scenarios'!$B$11-1)))</f>
        <v/>
      </c>
      <c r="E2032" s="57" t="str">
        <f aca="false">IF($D2032="","",INDEX(BookRate,2027)*(1+'5. Scenarios'!$B$10)*$D2032)</f>
        <v/>
      </c>
      <c r="F2032" s="57" t="str">
        <f aca="false">IF($E2032="","",SUMIFS($E$6:$E$2405,$A$6:$A$2405,"&lt;="&amp;$A2032))</f>
        <v/>
      </c>
      <c r="G2032" s="57" t="str">
        <f aca="false">IF($E2032="","",IF($F2032&lt;=BankCostEnvelope*'5. Scenarios'!$B$7,1,0))</f>
        <v/>
      </c>
      <c r="H2032" s="57" t="str">
        <f aca="false">IF($D2032="","",INDEX(BookRate,2027)*(1+'5. Scenarios'!$B$10)*(INDEX(BookQ1,2027)*(5-MIN(4,1+'5. Scenarios'!$B$8))/4+INDEX(BookQ2,2027)*(5-MIN(4,2+'5. Scenarios'!$B$8))/4+INDEX(BookQ3,2027)*(5-MIN(4,3+'5. Scenarios'!$B$8))/4+INDEX(BookQ4,2027)*(5-MIN(4,4+'5. Scenarios'!$B$8))/4)*'5. Scenarios'!$B$6/(1+ProductivityDefault*('5. Scenarios'!$B$11-1))+INDEX(BookOneOff,2027)*$D2032)</f>
        <v/>
      </c>
      <c r="I2032" s="56" t="str">
        <f aca="false">IF(INDEX(BookTitle,2027)="","",INDEX(BookTotal,2027)*'5. Scenarios'!$C$6/(1+ProductivityDefault*('5. Scenarios'!$C$11-1)))</f>
        <v/>
      </c>
      <c r="J2032" s="57" t="str">
        <f aca="false">IF($I2032="","",INDEX(BookRate,2027)*(1+'5. Scenarios'!$C$10)*$I2032)</f>
        <v/>
      </c>
      <c r="K2032" s="57" t="str">
        <f aca="false">IF($J2032="","",SUMIFS($J$6:$J$2405,$A$6:$A$2405,"&lt;="&amp;$A2032))</f>
        <v/>
      </c>
      <c r="L2032" s="57" t="str">
        <f aca="false">IF($J2032="","",IF($K2032&lt;=BankCostEnvelope*'5. Scenarios'!$C$7,1,0))</f>
        <v/>
      </c>
      <c r="M2032" s="57" t="str">
        <f aca="false">IF($I2032="","",INDEX(BookRate,2027)*(1+'5. Scenarios'!$C$10)*(INDEX(BookQ1,2027)*(5-MIN(4,1+'5. Scenarios'!$C$8))/4+INDEX(BookQ2,2027)*(5-MIN(4,2+'5. Scenarios'!$C$8))/4+INDEX(BookQ3,2027)*(5-MIN(4,3+'5. Scenarios'!$C$8))/4+INDEX(BookQ4,2027)*(5-MIN(4,4+'5. Scenarios'!$C$8))/4)*'5. Scenarios'!$C$6/(1+ProductivityDefault*('5. Scenarios'!$C$11-1))+INDEX(BookOneOff,2027)*$I2032)</f>
        <v/>
      </c>
      <c r="N2032" s="56" t="str">
        <f aca="false">IF(INDEX(BookTitle,2027)="","",INDEX(BookTotal,2027)*'5. Scenarios'!$D$6/(1+ProductivityDefault*('5. Scenarios'!$D$11-1)))</f>
        <v/>
      </c>
      <c r="O2032" s="57" t="str">
        <f aca="false">IF($N2032="","",INDEX(BookRate,2027)*(1+'5. Scenarios'!$D$10)*$N2032)</f>
        <v/>
      </c>
      <c r="P2032" s="57" t="str">
        <f aca="false">IF($O2032="","",SUMIFS($O$6:$O$2405,$A$6:$A$2405,"&lt;="&amp;$A2032))</f>
        <v/>
      </c>
      <c r="Q2032" s="57" t="str">
        <f aca="false">IF($O2032="","",IF($P2032&lt;=BankCostEnvelope*'5. Scenarios'!$D$7,1,0))</f>
        <v/>
      </c>
      <c r="R2032" s="57" t="str">
        <f aca="false">IF($N2032="","",INDEX(BookRate,2027)*(1+'5. Scenarios'!$D$10)*(INDEX(BookQ1,2027)*(5-MIN(4,1+'5. Scenarios'!$D$8))/4+INDEX(BookQ2,2027)*(5-MIN(4,2+'5. Scenarios'!$D$8))/4+INDEX(BookQ3,2027)*(5-MIN(4,3+'5. Scenarios'!$D$8))/4+INDEX(BookQ4,2027)*(5-MIN(4,4+'5. Scenarios'!$D$8))/4)*'5. Scenarios'!$D$6/(1+ProductivityDefault*('5. Scenarios'!$D$11-1))+INDEX(BookOneOff,2027)*$N2032)</f>
        <v/>
      </c>
      <c r="S2032" s="56" t="str">
        <f aca="false">IF(INDEX(BookTitle,2027)="","",INDEX(BookTotal,2027)*'5. Scenarios'!$E$6/(1+ProductivityDefault*('5. Scenarios'!$E$11-1)))</f>
        <v/>
      </c>
      <c r="T2032" s="57" t="str">
        <f aca="false">IF($S2032="","",INDEX(BookRate,2027)*(1+'5. Scenarios'!$E$10)*$S2032)</f>
        <v/>
      </c>
      <c r="U2032" s="57" t="str">
        <f aca="false">IF($T2032="","",SUMIFS($T$6:$T$2405,$A$6:$A$2405,"&lt;="&amp;$A2032))</f>
        <v/>
      </c>
      <c r="V2032" s="57" t="str">
        <f aca="false">IF($T2032="","",IF($U2032&lt;=BankCostEnvelope*'5. Scenarios'!$E$7,1,0))</f>
        <v/>
      </c>
      <c r="W2032" s="57" t="str">
        <f aca="false">IF($S2032="","",INDEX(BookRate,2027)*(1+'5. Scenarios'!$E$10)*(INDEX(BookQ1,2027)*(5-MIN(4,1+'5. Scenarios'!$E$8))/4+INDEX(BookQ2,2027)*(5-MIN(4,2+'5. Scenarios'!$E$8))/4+INDEX(BookQ3,2027)*(5-MIN(4,3+'5. Scenarios'!$E$8))/4+INDEX(BookQ4,2027)*(5-MIN(4,4+'5. Scenarios'!$E$8))/4)*'5. Scenarios'!$E$6/(1+ProductivityDefault*('5. Scenarios'!$E$11-1))+INDEX(BookOneOff,2027)*$S2032)</f>
        <v/>
      </c>
    </row>
    <row r="2033" customFormat="false" ht="15" hidden="false" customHeight="false" outlineLevel="0" collapsed="false">
      <c r="A2033" s="0" t="str">
        <f aca="false">IF(INDEX(BookTitle,2028)="","",INDEX(BookKey,2028))</f>
        <v/>
      </c>
      <c r="B2033" s="0" t="str">
        <f aca="false">IF(INDEX(BookTitle,2028)="","",INDEX(BookGroup,2028))</f>
        <v/>
      </c>
      <c r="C2033" s="0" t="str">
        <f aca="false">IF(INDEX(BookTitle,2028)="","",INDEX(BookCategory,2028))</f>
        <v/>
      </c>
      <c r="D2033" s="56" t="str">
        <f aca="false">IF(INDEX(BookTitle,2028)="","",INDEX(BookTotal,2028)*'5. Scenarios'!$B$6/(1+ProductivityDefault*('5. Scenarios'!$B$11-1)))</f>
        <v/>
      </c>
      <c r="E2033" s="57" t="str">
        <f aca="false">IF($D2033="","",INDEX(BookRate,2028)*(1+'5. Scenarios'!$B$10)*$D2033)</f>
        <v/>
      </c>
      <c r="F2033" s="57" t="str">
        <f aca="false">IF($E2033="","",SUMIFS($E$6:$E$2405,$A$6:$A$2405,"&lt;="&amp;$A2033))</f>
        <v/>
      </c>
      <c r="G2033" s="57" t="str">
        <f aca="false">IF($E2033="","",IF($F2033&lt;=BankCostEnvelope*'5. Scenarios'!$B$7,1,0))</f>
        <v/>
      </c>
      <c r="H2033" s="57" t="str">
        <f aca="false">IF($D2033="","",INDEX(BookRate,2028)*(1+'5. Scenarios'!$B$10)*(INDEX(BookQ1,2028)*(5-MIN(4,1+'5. Scenarios'!$B$8))/4+INDEX(BookQ2,2028)*(5-MIN(4,2+'5. Scenarios'!$B$8))/4+INDEX(BookQ3,2028)*(5-MIN(4,3+'5. Scenarios'!$B$8))/4+INDEX(BookQ4,2028)*(5-MIN(4,4+'5. Scenarios'!$B$8))/4)*'5. Scenarios'!$B$6/(1+ProductivityDefault*('5. Scenarios'!$B$11-1))+INDEX(BookOneOff,2028)*$D2033)</f>
        <v/>
      </c>
      <c r="I2033" s="56" t="str">
        <f aca="false">IF(INDEX(BookTitle,2028)="","",INDEX(BookTotal,2028)*'5. Scenarios'!$C$6/(1+ProductivityDefault*('5. Scenarios'!$C$11-1)))</f>
        <v/>
      </c>
      <c r="J2033" s="57" t="str">
        <f aca="false">IF($I2033="","",INDEX(BookRate,2028)*(1+'5. Scenarios'!$C$10)*$I2033)</f>
        <v/>
      </c>
      <c r="K2033" s="57" t="str">
        <f aca="false">IF($J2033="","",SUMIFS($J$6:$J$2405,$A$6:$A$2405,"&lt;="&amp;$A2033))</f>
        <v/>
      </c>
      <c r="L2033" s="57" t="str">
        <f aca="false">IF($J2033="","",IF($K2033&lt;=BankCostEnvelope*'5. Scenarios'!$C$7,1,0))</f>
        <v/>
      </c>
      <c r="M2033" s="57" t="str">
        <f aca="false">IF($I2033="","",INDEX(BookRate,2028)*(1+'5. Scenarios'!$C$10)*(INDEX(BookQ1,2028)*(5-MIN(4,1+'5. Scenarios'!$C$8))/4+INDEX(BookQ2,2028)*(5-MIN(4,2+'5. Scenarios'!$C$8))/4+INDEX(BookQ3,2028)*(5-MIN(4,3+'5. Scenarios'!$C$8))/4+INDEX(BookQ4,2028)*(5-MIN(4,4+'5. Scenarios'!$C$8))/4)*'5. Scenarios'!$C$6/(1+ProductivityDefault*('5. Scenarios'!$C$11-1))+INDEX(BookOneOff,2028)*$I2033)</f>
        <v/>
      </c>
      <c r="N2033" s="56" t="str">
        <f aca="false">IF(INDEX(BookTitle,2028)="","",INDEX(BookTotal,2028)*'5. Scenarios'!$D$6/(1+ProductivityDefault*('5. Scenarios'!$D$11-1)))</f>
        <v/>
      </c>
      <c r="O2033" s="57" t="str">
        <f aca="false">IF($N2033="","",INDEX(BookRate,2028)*(1+'5. Scenarios'!$D$10)*$N2033)</f>
        <v/>
      </c>
      <c r="P2033" s="57" t="str">
        <f aca="false">IF($O2033="","",SUMIFS($O$6:$O$2405,$A$6:$A$2405,"&lt;="&amp;$A2033))</f>
        <v/>
      </c>
      <c r="Q2033" s="57" t="str">
        <f aca="false">IF($O2033="","",IF($P2033&lt;=BankCostEnvelope*'5. Scenarios'!$D$7,1,0))</f>
        <v/>
      </c>
      <c r="R2033" s="57" t="str">
        <f aca="false">IF($N2033="","",INDEX(BookRate,2028)*(1+'5. Scenarios'!$D$10)*(INDEX(BookQ1,2028)*(5-MIN(4,1+'5. Scenarios'!$D$8))/4+INDEX(BookQ2,2028)*(5-MIN(4,2+'5. Scenarios'!$D$8))/4+INDEX(BookQ3,2028)*(5-MIN(4,3+'5. Scenarios'!$D$8))/4+INDEX(BookQ4,2028)*(5-MIN(4,4+'5. Scenarios'!$D$8))/4)*'5. Scenarios'!$D$6/(1+ProductivityDefault*('5. Scenarios'!$D$11-1))+INDEX(BookOneOff,2028)*$N2033)</f>
        <v/>
      </c>
      <c r="S2033" s="56" t="str">
        <f aca="false">IF(INDEX(BookTitle,2028)="","",INDEX(BookTotal,2028)*'5. Scenarios'!$E$6/(1+ProductivityDefault*('5. Scenarios'!$E$11-1)))</f>
        <v/>
      </c>
      <c r="T2033" s="57" t="str">
        <f aca="false">IF($S2033="","",INDEX(BookRate,2028)*(1+'5. Scenarios'!$E$10)*$S2033)</f>
        <v/>
      </c>
      <c r="U2033" s="57" t="str">
        <f aca="false">IF($T2033="","",SUMIFS($T$6:$T$2405,$A$6:$A$2405,"&lt;="&amp;$A2033))</f>
        <v/>
      </c>
      <c r="V2033" s="57" t="str">
        <f aca="false">IF($T2033="","",IF($U2033&lt;=BankCostEnvelope*'5. Scenarios'!$E$7,1,0))</f>
        <v/>
      </c>
      <c r="W2033" s="57" t="str">
        <f aca="false">IF($S2033="","",INDEX(BookRate,2028)*(1+'5. Scenarios'!$E$10)*(INDEX(BookQ1,2028)*(5-MIN(4,1+'5. Scenarios'!$E$8))/4+INDEX(BookQ2,2028)*(5-MIN(4,2+'5. Scenarios'!$E$8))/4+INDEX(BookQ3,2028)*(5-MIN(4,3+'5. Scenarios'!$E$8))/4+INDEX(BookQ4,2028)*(5-MIN(4,4+'5. Scenarios'!$E$8))/4)*'5. Scenarios'!$E$6/(1+ProductivityDefault*('5. Scenarios'!$E$11-1))+INDEX(BookOneOff,2028)*$S2033)</f>
        <v/>
      </c>
    </row>
    <row r="2034" customFormat="false" ht="15" hidden="false" customHeight="false" outlineLevel="0" collapsed="false">
      <c r="A2034" s="0" t="str">
        <f aca="false">IF(INDEX(BookTitle,2029)="","",INDEX(BookKey,2029))</f>
        <v/>
      </c>
      <c r="B2034" s="0" t="str">
        <f aca="false">IF(INDEX(BookTitle,2029)="","",INDEX(BookGroup,2029))</f>
        <v/>
      </c>
      <c r="C2034" s="0" t="str">
        <f aca="false">IF(INDEX(BookTitle,2029)="","",INDEX(BookCategory,2029))</f>
        <v/>
      </c>
      <c r="D2034" s="56" t="str">
        <f aca="false">IF(INDEX(BookTitle,2029)="","",INDEX(BookTotal,2029)*'5. Scenarios'!$B$6/(1+ProductivityDefault*('5. Scenarios'!$B$11-1)))</f>
        <v/>
      </c>
      <c r="E2034" s="57" t="str">
        <f aca="false">IF($D2034="","",INDEX(BookRate,2029)*(1+'5. Scenarios'!$B$10)*$D2034)</f>
        <v/>
      </c>
      <c r="F2034" s="57" t="str">
        <f aca="false">IF($E2034="","",SUMIFS($E$6:$E$2405,$A$6:$A$2405,"&lt;="&amp;$A2034))</f>
        <v/>
      </c>
      <c r="G2034" s="57" t="str">
        <f aca="false">IF($E2034="","",IF($F2034&lt;=BankCostEnvelope*'5. Scenarios'!$B$7,1,0))</f>
        <v/>
      </c>
      <c r="H2034" s="57" t="str">
        <f aca="false">IF($D2034="","",INDEX(BookRate,2029)*(1+'5. Scenarios'!$B$10)*(INDEX(BookQ1,2029)*(5-MIN(4,1+'5. Scenarios'!$B$8))/4+INDEX(BookQ2,2029)*(5-MIN(4,2+'5. Scenarios'!$B$8))/4+INDEX(BookQ3,2029)*(5-MIN(4,3+'5. Scenarios'!$B$8))/4+INDEX(BookQ4,2029)*(5-MIN(4,4+'5. Scenarios'!$B$8))/4)*'5. Scenarios'!$B$6/(1+ProductivityDefault*('5. Scenarios'!$B$11-1))+INDEX(BookOneOff,2029)*$D2034)</f>
        <v/>
      </c>
      <c r="I2034" s="56" t="str">
        <f aca="false">IF(INDEX(BookTitle,2029)="","",INDEX(BookTotal,2029)*'5. Scenarios'!$C$6/(1+ProductivityDefault*('5. Scenarios'!$C$11-1)))</f>
        <v/>
      </c>
      <c r="J2034" s="57" t="str">
        <f aca="false">IF($I2034="","",INDEX(BookRate,2029)*(1+'5. Scenarios'!$C$10)*$I2034)</f>
        <v/>
      </c>
      <c r="K2034" s="57" t="str">
        <f aca="false">IF($J2034="","",SUMIFS($J$6:$J$2405,$A$6:$A$2405,"&lt;="&amp;$A2034))</f>
        <v/>
      </c>
      <c r="L2034" s="57" t="str">
        <f aca="false">IF($J2034="","",IF($K2034&lt;=BankCostEnvelope*'5. Scenarios'!$C$7,1,0))</f>
        <v/>
      </c>
      <c r="M2034" s="57" t="str">
        <f aca="false">IF($I2034="","",INDEX(BookRate,2029)*(1+'5. Scenarios'!$C$10)*(INDEX(BookQ1,2029)*(5-MIN(4,1+'5. Scenarios'!$C$8))/4+INDEX(BookQ2,2029)*(5-MIN(4,2+'5. Scenarios'!$C$8))/4+INDEX(BookQ3,2029)*(5-MIN(4,3+'5. Scenarios'!$C$8))/4+INDEX(BookQ4,2029)*(5-MIN(4,4+'5. Scenarios'!$C$8))/4)*'5. Scenarios'!$C$6/(1+ProductivityDefault*('5. Scenarios'!$C$11-1))+INDEX(BookOneOff,2029)*$I2034)</f>
        <v/>
      </c>
      <c r="N2034" s="56" t="str">
        <f aca="false">IF(INDEX(BookTitle,2029)="","",INDEX(BookTotal,2029)*'5. Scenarios'!$D$6/(1+ProductivityDefault*('5. Scenarios'!$D$11-1)))</f>
        <v/>
      </c>
      <c r="O2034" s="57" t="str">
        <f aca="false">IF($N2034="","",INDEX(BookRate,2029)*(1+'5. Scenarios'!$D$10)*$N2034)</f>
        <v/>
      </c>
      <c r="P2034" s="57" t="str">
        <f aca="false">IF($O2034="","",SUMIFS($O$6:$O$2405,$A$6:$A$2405,"&lt;="&amp;$A2034))</f>
        <v/>
      </c>
      <c r="Q2034" s="57" t="str">
        <f aca="false">IF($O2034="","",IF($P2034&lt;=BankCostEnvelope*'5. Scenarios'!$D$7,1,0))</f>
        <v/>
      </c>
      <c r="R2034" s="57" t="str">
        <f aca="false">IF($N2034="","",INDEX(BookRate,2029)*(1+'5. Scenarios'!$D$10)*(INDEX(BookQ1,2029)*(5-MIN(4,1+'5. Scenarios'!$D$8))/4+INDEX(BookQ2,2029)*(5-MIN(4,2+'5. Scenarios'!$D$8))/4+INDEX(BookQ3,2029)*(5-MIN(4,3+'5. Scenarios'!$D$8))/4+INDEX(BookQ4,2029)*(5-MIN(4,4+'5. Scenarios'!$D$8))/4)*'5. Scenarios'!$D$6/(1+ProductivityDefault*('5. Scenarios'!$D$11-1))+INDEX(BookOneOff,2029)*$N2034)</f>
        <v/>
      </c>
      <c r="S2034" s="56" t="str">
        <f aca="false">IF(INDEX(BookTitle,2029)="","",INDEX(BookTotal,2029)*'5. Scenarios'!$E$6/(1+ProductivityDefault*('5. Scenarios'!$E$11-1)))</f>
        <v/>
      </c>
      <c r="T2034" s="57" t="str">
        <f aca="false">IF($S2034="","",INDEX(BookRate,2029)*(1+'5. Scenarios'!$E$10)*$S2034)</f>
        <v/>
      </c>
      <c r="U2034" s="57" t="str">
        <f aca="false">IF($T2034="","",SUMIFS($T$6:$T$2405,$A$6:$A$2405,"&lt;="&amp;$A2034))</f>
        <v/>
      </c>
      <c r="V2034" s="57" t="str">
        <f aca="false">IF($T2034="","",IF($U2034&lt;=BankCostEnvelope*'5. Scenarios'!$E$7,1,0))</f>
        <v/>
      </c>
      <c r="W2034" s="57" t="str">
        <f aca="false">IF($S2034="","",INDEX(BookRate,2029)*(1+'5. Scenarios'!$E$10)*(INDEX(BookQ1,2029)*(5-MIN(4,1+'5. Scenarios'!$E$8))/4+INDEX(BookQ2,2029)*(5-MIN(4,2+'5. Scenarios'!$E$8))/4+INDEX(BookQ3,2029)*(5-MIN(4,3+'5. Scenarios'!$E$8))/4+INDEX(BookQ4,2029)*(5-MIN(4,4+'5. Scenarios'!$E$8))/4)*'5. Scenarios'!$E$6/(1+ProductivityDefault*('5. Scenarios'!$E$11-1))+INDEX(BookOneOff,2029)*$S2034)</f>
        <v/>
      </c>
    </row>
    <row r="2035" customFormat="false" ht="15" hidden="false" customHeight="false" outlineLevel="0" collapsed="false">
      <c r="A2035" s="0" t="str">
        <f aca="false">IF(INDEX(BookTitle,2030)="","",INDEX(BookKey,2030))</f>
        <v/>
      </c>
      <c r="B2035" s="0" t="str">
        <f aca="false">IF(INDEX(BookTitle,2030)="","",INDEX(BookGroup,2030))</f>
        <v/>
      </c>
      <c r="C2035" s="0" t="str">
        <f aca="false">IF(INDEX(BookTitle,2030)="","",INDEX(BookCategory,2030))</f>
        <v/>
      </c>
      <c r="D2035" s="56" t="str">
        <f aca="false">IF(INDEX(BookTitle,2030)="","",INDEX(BookTotal,2030)*'5. Scenarios'!$B$6/(1+ProductivityDefault*('5. Scenarios'!$B$11-1)))</f>
        <v/>
      </c>
      <c r="E2035" s="57" t="str">
        <f aca="false">IF($D2035="","",INDEX(BookRate,2030)*(1+'5. Scenarios'!$B$10)*$D2035)</f>
        <v/>
      </c>
      <c r="F2035" s="57" t="str">
        <f aca="false">IF($E2035="","",SUMIFS($E$6:$E$2405,$A$6:$A$2405,"&lt;="&amp;$A2035))</f>
        <v/>
      </c>
      <c r="G2035" s="57" t="str">
        <f aca="false">IF($E2035="","",IF($F2035&lt;=BankCostEnvelope*'5. Scenarios'!$B$7,1,0))</f>
        <v/>
      </c>
      <c r="H2035" s="57" t="str">
        <f aca="false">IF($D2035="","",INDEX(BookRate,2030)*(1+'5. Scenarios'!$B$10)*(INDEX(BookQ1,2030)*(5-MIN(4,1+'5. Scenarios'!$B$8))/4+INDEX(BookQ2,2030)*(5-MIN(4,2+'5. Scenarios'!$B$8))/4+INDEX(BookQ3,2030)*(5-MIN(4,3+'5. Scenarios'!$B$8))/4+INDEX(BookQ4,2030)*(5-MIN(4,4+'5. Scenarios'!$B$8))/4)*'5. Scenarios'!$B$6/(1+ProductivityDefault*('5. Scenarios'!$B$11-1))+INDEX(BookOneOff,2030)*$D2035)</f>
        <v/>
      </c>
      <c r="I2035" s="56" t="str">
        <f aca="false">IF(INDEX(BookTitle,2030)="","",INDEX(BookTotal,2030)*'5. Scenarios'!$C$6/(1+ProductivityDefault*('5. Scenarios'!$C$11-1)))</f>
        <v/>
      </c>
      <c r="J2035" s="57" t="str">
        <f aca="false">IF($I2035="","",INDEX(BookRate,2030)*(1+'5. Scenarios'!$C$10)*$I2035)</f>
        <v/>
      </c>
      <c r="K2035" s="57" t="str">
        <f aca="false">IF($J2035="","",SUMIFS($J$6:$J$2405,$A$6:$A$2405,"&lt;="&amp;$A2035))</f>
        <v/>
      </c>
      <c r="L2035" s="57" t="str">
        <f aca="false">IF($J2035="","",IF($K2035&lt;=BankCostEnvelope*'5. Scenarios'!$C$7,1,0))</f>
        <v/>
      </c>
      <c r="M2035" s="57" t="str">
        <f aca="false">IF($I2035="","",INDEX(BookRate,2030)*(1+'5. Scenarios'!$C$10)*(INDEX(BookQ1,2030)*(5-MIN(4,1+'5. Scenarios'!$C$8))/4+INDEX(BookQ2,2030)*(5-MIN(4,2+'5. Scenarios'!$C$8))/4+INDEX(BookQ3,2030)*(5-MIN(4,3+'5. Scenarios'!$C$8))/4+INDEX(BookQ4,2030)*(5-MIN(4,4+'5. Scenarios'!$C$8))/4)*'5. Scenarios'!$C$6/(1+ProductivityDefault*('5. Scenarios'!$C$11-1))+INDEX(BookOneOff,2030)*$I2035)</f>
        <v/>
      </c>
      <c r="N2035" s="56" t="str">
        <f aca="false">IF(INDEX(BookTitle,2030)="","",INDEX(BookTotal,2030)*'5. Scenarios'!$D$6/(1+ProductivityDefault*('5. Scenarios'!$D$11-1)))</f>
        <v/>
      </c>
      <c r="O2035" s="57" t="str">
        <f aca="false">IF($N2035="","",INDEX(BookRate,2030)*(1+'5. Scenarios'!$D$10)*$N2035)</f>
        <v/>
      </c>
      <c r="P2035" s="57" t="str">
        <f aca="false">IF($O2035="","",SUMIFS($O$6:$O$2405,$A$6:$A$2405,"&lt;="&amp;$A2035))</f>
        <v/>
      </c>
      <c r="Q2035" s="57" t="str">
        <f aca="false">IF($O2035="","",IF($P2035&lt;=BankCostEnvelope*'5. Scenarios'!$D$7,1,0))</f>
        <v/>
      </c>
      <c r="R2035" s="57" t="str">
        <f aca="false">IF($N2035="","",INDEX(BookRate,2030)*(1+'5. Scenarios'!$D$10)*(INDEX(BookQ1,2030)*(5-MIN(4,1+'5. Scenarios'!$D$8))/4+INDEX(BookQ2,2030)*(5-MIN(4,2+'5. Scenarios'!$D$8))/4+INDEX(BookQ3,2030)*(5-MIN(4,3+'5. Scenarios'!$D$8))/4+INDEX(BookQ4,2030)*(5-MIN(4,4+'5. Scenarios'!$D$8))/4)*'5. Scenarios'!$D$6/(1+ProductivityDefault*('5. Scenarios'!$D$11-1))+INDEX(BookOneOff,2030)*$N2035)</f>
        <v/>
      </c>
      <c r="S2035" s="56" t="str">
        <f aca="false">IF(INDEX(BookTitle,2030)="","",INDEX(BookTotal,2030)*'5. Scenarios'!$E$6/(1+ProductivityDefault*('5. Scenarios'!$E$11-1)))</f>
        <v/>
      </c>
      <c r="T2035" s="57" t="str">
        <f aca="false">IF($S2035="","",INDEX(BookRate,2030)*(1+'5. Scenarios'!$E$10)*$S2035)</f>
        <v/>
      </c>
      <c r="U2035" s="57" t="str">
        <f aca="false">IF($T2035="","",SUMIFS($T$6:$T$2405,$A$6:$A$2405,"&lt;="&amp;$A2035))</f>
        <v/>
      </c>
      <c r="V2035" s="57" t="str">
        <f aca="false">IF($T2035="","",IF($U2035&lt;=BankCostEnvelope*'5. Scenarios'!$E$7,1,0))</f>
        <v/>
      </c>
      <c r="W2035" s="57" t="str">
        <f aca="false">IF($S2035="","",INDEX(BookRate,2030)*(1+'5. Scenarios'!$E$10)*(INDEX(BookQ1,2030)*(5-MIN(4,1+'5. Scenarios'!$E$8))/4+INDEX(BookQ2,2030)*(5-MIN(4,2+'5. Scenarios'!$E$8))/4+INDEX(BookQ3,2030)*(5-MIN(4,3+'5. Scenarios'!$E$8))/4+INDEX(BookQ4,2030)*(5-MIN(4,4+'5. Scenarios'!$E$8))/4)*'5. Scenarios'!$E$6/(1+ProductivityDefault*('5. Scenarios'!$E$11-1))+INDEX(BookOneOff,2030)*$S2035)</f>
        <v/>
      </c>
    </row>
    <row r="2036" customFormat="false" ht="15" hidden="false" customHeight="false" outlineLevel="0" collapsed="false">
      <c r="A2036" s="0" t="str">
        <f aca="false">IF(INDEX(BookTitle,2031)="","",INDEX(BookKey,2031))</f>
        <v/>
      </c>
      <c r="B2036" s="0" t="str">
        <f aca="false">IF(INDEX(BookTitle,2031)="","",INDEX(BookGroup,2031))</f>
        <v/>
      </c>
      <c r="C2036" s="0" t="str">
        <f aca="false">IF(INDEX(BookTitle,2031)="","",INDEX(BookCategory,2031))</f>
        <v/>
      </c>
      <c r="D2036" s="56" t="str">
        <f aca="false">IF(INDEX(BookTitle,2031)="","",INDEX(BookTotal,2031)*'5. Scenarios'!$B$6/(1+ProductivityDefault*('5. Scenarios'!$B$11-1)))</f>
        <v/>
      </c>
      <c r="E2036" s="57" t="str">
        <f aca="false">IF($D2036="","",INDEX(BookRate,2031)*(1+'5. Scenarios'!$B$10)*$D2036)</f>
        <v/>
      </c>
      <c r="F2036" s="57" t="str">
        <f aca="false">IF($E2036="","",SUMIFS($E$6:$E$2405,$A$6:$A$2405,"&lt;="&amp;$A2036))</f>
        <v/>
      </c>
      <c r="G2036" s="57" t="str">
        <f aca="false">IF($E2036="","",IF($F2036&lt;=BankCostEnvelope*'5. Scenarios'!$B$7,1,0))</f>
        <v/>
      </c>
      <c r="H2036" s="57" t="str">
        <f aca="false">IF($D2036="","",INDEX(BookRate,2031)*(1+'5. Scenarios'!$B$10)*(INDEX(BookQ1,2031)*(5-MIN(4,1+'5. Scenarios'!$B$8))/4+INDEX(BookQ2,2031)*(5-MIN(4,2+'5. Scenarios'!$B$8))/4+INDEX(BookQ3,2031)*(5-MIN(4,3+'5. Scenarios'!$B$8))/4+INDEX(BookQ4,2031)*(5-MIN(4,4+'5. Scenarios'!$B$8))/4)*'5. Scenarios'!$B$6/(1+ProductivityDefault*('5. Scenarios'!$B$11-1))+INDEX(BookOneOff,2031)*$D2036)</f>
        <v/>
      </c>
      <c r="I2036" s="56" t="str">
        <f aca="false">IF(INDEX(BookTitle,2031)="","",INDEX(BookTotal,2031)*'5. Scenarios'!$C$6/(1+ProductivityDefault*('5. Scenarios'!$C$11-1)))</f>
        <v/>
      </c>
      <c r="J2036" s="57" t="str">
        <f aca="false">IF($I2036="","",INDEX(BookRate,2031)*(1+'5. Scenarios'!$C$10)*$I2036)</f>
        <v/>
      </c>
      <c r="K2036" s="57" t="str">
        <f aca="false">IF($J2036="","",SUMIFS($J$6:$J$2405,$A$6:$A$2405,"&lt;="&amp;$A2036))</f>
        <v/>
      </c>
      <c r="L2036" s="57" t="str">
        <f aca="false">IF($J2036="","",IF($K2036&lt;=BankCostEnvelope*'5. Scenarios'!$C$7,1,0))</f>
        <v/>
      </c>
      <c r="M2036" s="57" t="str">
        <f aca="false">IF($I2036="","",INDEX(BookRate,2031)*(1+'5. Scenarios'!$C$10)*(INDEX(BookQ1,2031)*(5-MIN(4,1+'5. Scenarios'!$C$8))/4+INDEX(BookQ2,2031)*(5-MIN(4,2+'5. Scenarios'!$C$8))/4+INDEX(BookQ3,2031)*(5-MIN(4,3+'5. Scenarios'!$C$8))/4+INDEX(BookQ4,2031)*(5-MIN(4,4+'5. Scenarios'!$C$8))/4)*'5. Scenarios'!$C$6/(1+ProductivityDefault*('5. Scenarios'!$C$11-1))+INDEX(BookOneOff,2031)*$I2036)</f>
        <v/>
      </c>
      <c r="N2036" s="56" t="str">
        <f aca="false">IF(INDEX(BookTitle,2031)="","",INDEX(BookTotal,2031)*'5. Scenarios'!$D$6/(1+ProductivityDefault*('5. Scenarios'!$D$11-1)))</f>
        <v/>
      </c>
      <c r="O2036" s="57" t="str">
        <f aca="false">IF($N2036="","",INDEX(BookRate,2031)*(1+'5. Scenarios'!$D$10)*$N2036)</f>
        <v/>
      </c>
      <c r="P2036" s="57" t="str">
        <f aca="false">IF($O2036="","",SUMIFS($O$6:$O$2405,$A$6:$A$2405,"&lt;="&amp;$A2036))</f>
        <v/>
      </c>
      <c r="Q2036" s="57" t="str">
        <f aca="false">IF($O2036="","",IF($P2036&lt;=BankCostEnvelope*'5. Scenarios'!$D$7,1,0))</f>
        <v/>
      </c>
      <c r="R2036" s="57" t="str">
        <f aca="false">IF($N2036="","",INDEX(BookRate,2031)*(1+'5. Scenarios'!$D$10)*(INDEX(BookQ1,2031)*(5-MIN(4,1+'5. Scenarios'!$D$8))/4+INDEX(BookQ2,2031)*(5-MIN(4,2+'5. Scenarios'!$D$8))/4+INDEX(BookQ3,2031)*(5-MIN(4,3+'5. Scenarios'!$D$8))/4+INDEX(BookQ4,2031)*(5-MIN(4,4+'5. Scenarios'!$D$8))/4)*'5. Scenarios'!$D$6/(1+ProductivityDefault*('5. Scenarios'!$D$11-1))+INDEX(BookOneOff,2031)*$N2036)</f>
        <v/>
      </c>
      <c r="S2036" s="56" t="str">
        <f aca="false">IF(INDEX(BookTitle,2031)="","",INDEX(BookTotal,2031)*'5. Scenarios'!$E$6/(1+ProductivityDefault*('5. Scenarios'!$E$11-1)))</f>
        <v/>
      </c>
      <c r="T2036" s="57" t="str">
        <f aca="false">IF($S2036="","",INDEX(BookRate,2031)*(1+'5. Scenarios'!$E$10)*$S2036)</f>
        <v/>
      </c>
      <c r="U2036" s="57" t="str">
        <f aca="false">IF($T2036="","",SUMIFS($T$6:$T$2405,$A$6:$A$2405,"&lt;="&amp;$A2036))</f>
        <v/>
      </c>
      <c r="V2036" s="57" t="str">
        <f aca="false">IF($T2036="","",IF($U2036&lt;=BankCostEnvelope*'5. Scenarios'!$E$7,1,0))</f>
        <v/>
      </c>
      <c r="W2036" s="57" t="str">
        <f aca="false">IF($S2036="","",INDEX(BookRate,2031)*(1+'5. Scenarios'!$E$10)*(INDEX(BookQ1,2031)*(5-MIN(4,1+'5. Scenarios'!$E$8))/4+INDEX(BookQ2,2031)*(5-MIN(4,2+'5. Scenarios'!$E$8))/4+INDEX(BookQ3,2031)*(5-MIN(4,3+'5. Scenarios'!$E$8))/4+INDEX(BookQ4,2031)*(5-MIN(4,4+'5. Scenarios'!$E$8))/4)*'5. Scenarios'!$E$6/(1+ProductivityDefault*('5. Scenarios'!$E$11-1))+INDEX(BookOneOff,2031)*$S2036)</f>
        <v/>
      </c>
    </row>
    <row r="2037" customFormat="false" ht="15" hidden="false" customHeight="false" outlineLevel="0" collapsed="false">
      <c r="A2037" s="0" t="str">
        <f aca="false">IF(INDEX(BookTitle,2032)="","",INDEX(BookKey,2032))</f>
        <v/>
      </c>
      <c r="B2037" s="0" t="str">
        <f aca="false">IF(INDEX(BookTitle,2032)="","",INDEX(BookGroup,2032))</f>
        <v/>
      </c>
      <c r="C2037" s="0" t="str">
        <f aca="false">IF(INDEX(BookTitle,2032)="","",INDEX(BookCategory,2032))</f>
        <v/>
      </c>
      <c r="D2037" s="56" t="str">
        <f aca="false">IF(INDEX(BookTitle,2032)="","",INDEX(BookTotal,2032)*'5. Scenarios'!$B$6/(1+ProductivityDefault*('5. Scenarios'!$B$11-1)))</f>
        <v/>
      </c>
      <c r="E2037" s="57" t="str">
        <f aca="false">IF($D2037="","",INDEX(BookRate,2032)*(1+'5. Scenarios'!$B$10)*$D2037)</f>
        <v/>
      </c>
      <c r="F2037" s="57" t="str">
        <f aca="false">IF($E2037="","",SUMIFS($E$6:$E$2405,$A$6:$A$2405,"&lt;="&amp;$A2037))</f>
        <v/>
      </c>
      <c r="G2037" s="57" t="str">
        <f aca="false">IF($E2037="","",IF($F2037&lt;=BankCostEnvelope*'5. Scenarios'!$B$7,1,0))</f>
        <v/>
      </c>
      <c r="H2037" s="57" t="str">
        <f aca="false">IF($D2037="","",INDEX(BookRate,2032)*(1+'5. Scenarios'!$B$10)*(INDEX(BookQ1,2032)*(5-MIN(4,1+'5. Scenarios'!$B$8))/4+INDEX(BookQ2,2032)*(5-MIN(4,2+'5. Scenarios'!$B$8))/4+INDEX(BookQ3,2032)*(5-MIN(4,3+'5. Scenarios'!$B$8))/4+INDEX(BookQ4,2032)*(5-MIN(4,4+'5. Scenarios'!$B$8))/4)*'5. Scenarios'!$B$6/(1+ProductivityDefault*('5. Scenarios'!$B$11-1))+INDEX(BookOneOff,2032)*$D2037)</f>
        <v/>
      </c>
      <c r="I2037" s="56" t="str">
        <f aca="false">IF(INDEX(BookTitle,2032)="","",INDEX(BookTotal,2032)*'5. Scenarios'!$C$6/(1+ProductivityDefault*('5. Scenarios'!$C$11-1)))</f>
        <v/>
      </c>
      <c r="J2037" s="57" t="str">
        <f aca="false">IF($I2037="","",INDEX(BookRate,2032)*(1+'5. Scenarios'!$C$10)*$I2037)</f>
        <v/>
      </c>
      <c r="K2037" s="57" t="str">
        <f aca="false">IF($J2037="","",SUMIFS($J$6:$J$2405,$A$6:$A$2405,"&lt;="&amp;$A2037))</f>
        <v/>
      </c>
      <c r="L2037" s="57" t="str">
        <f aca="false">IF($J2037="","",IF($K2037&lt;=BankCostEnvelope*'5. Scenarios'!$C$7,1,0))</f>
        <v/>
      </c>
      <c r="M2037" s="57" t="str">
        <f aca="false">IF($I2037="","",INDEX(BookRate,2032)*(1+'5. Scenarios'!$C$10)*(INDEX(BookQ1,2032)*(5-MIN(4,1+'5. Scenarios'!$C$8))/4+INDEX(BookQ2,2032)*(5-MIN(4,2+'5. Scenarios'!$C$8))/4+INDEX(BookQ3,2032)*(5-MIN(4,3+'5. Scenarios'!$C$8))/4+INDEX(BookQ4,2032)*(5-MIN(4,4+'5. Scenarios'!$C$8))/4)*'5. Scenarios'!$C$6/(1+ProductivityDefault*('5. Scenarios'!$C$11-1))+INDEX(BookOneOff,2032)*$I2037)</f>
        <v/>
      </c>
      <c r="N2037" s="56" t="str">
        <f aca="false">IF(INDEX(BookTitle,2032)="","",INDEX(BookTotal,2032)*'5. Scenarios'!$D$6/(1+ProductivityDefault*('5. Scenarios'!$D$11-1)))</f>
        <v/>
      </c>
      <c r="O2037" s="57" t="str">
        <f aca="false">IF($N2037="","",INDEX(BookRate,2032)*(1+'5. Scenarios'!$D$10)*$N2037)</f>
        <v/>
      </c>
      <c r="P2037" s="57" t="str">
        <f aca="false">IF($O2037="","",SUMIFS($O$6:$O$2405,$A$6:$A$2405,"&lt;="&amp;$A2037))</f>
        <v/>
      </c>
      <c r="Q2037" s="57" t="str">
        <f aca="false">IF($O2037="","",IF($P2037&lt;=BankCostEnvelope*'5. Scenarios'!$D$7,1,0))</f>
        <v/>
      </c>
      <c r="R2037" s="57" t="str">
        <f aca="false">IF($N2037="","",INDEX(BookRate,2032)*(1+'5. Scenarios'!$D$10)*(INDEX(BookQ1,2032)*(5-MIN(4,1+'5. Scenarios'!$D$8))/4+INDEX(BookQ2,2032)*(5-MIN(4,2+'5. Scenarios'!$D$8))/4+INDEX(BookQ3,2032)*(5-MIN(4,3+'5. Scenarios'!$D$8))/4+INDEX(BookQ4,2032)*(5-MIN(4,4+'5. Scenarios'!$D$8))/4)*'5. Scenarios'!$D$6/(1+ProductivityDefault*('5. Scenarios'!$D$11-1))+INDEX(BookOneOff,2032)*$N2037)</f>
        <v/>
      </c>
      <c r="S2037" s="56" t="str">
        <f aca="false">IF(INDEX(BookTitle,2032)="","",INDEX(BookTotal,2032)*'5. Scenarios'!$E$6/(1+ProductivityDefault*('5. Scenarios'!$E$11-1)))</f>
        <v/>
      </c>
      <c r="T2037" s="57" t="str">
        <f aca="false">IF($S2037="","",INDEX(BookRate,2032)*(1+'5. Scenarios'!$E$10)*$S2037)</f>
        <v/>
      </c>
      <c r="U2037" s="57" t="str">
        <f aca="false">IF($T2037="","",SUMIFS($T$6:$T$2405,$A$6:$A$2405,"&lt;="&amp;$A2037))</f>
        <v/>
      </c>
      <c r="V2037" s="57" t="str">
        <f aca="false">IF($T2037="","",IF($U2037&lt;=BankCostEnvelope*'5. Scenarios'!$E$7,1,0))</f>
        <v/>
      </c>
      <c r="W2037" s="57" t="str">
        <f aca="false">IF($S2037="","",INDEX(BookRate,2032)*(1+'5. Scenarios'!$E$10)*(INDEX(BookQ1,2032)*(5-MIN(4,1+'5. Scenarios'!$E$8))/4+INDEX(BookQ2,2032)*(5-MIN(4,2+'5. Scenarios'!$E$8))/4+INDEX(BookQ3,2032)*(5-MIN(4,3+'5. Scenarios'!$E$8))/4+INDEX(BookQ4,2032)*(5-MIN(4,4+'5. Scenarios'!$E$8))/4)*'5. Scenarios'!$E$6/(1+ProductivityDefault*('5. Scenarios'!$E$11-1))+INDEX(BookOneOff,2032)*$S2037)</f>
        <v/>
      </c>
    </row>
    <row r="2038" customFormat="false" ht="15" hidden="false" customHeight="false" outlineLevel="0" collapsed="false">
      <c r="A2038" s="0" t="str">
        <f aca="false">IF(INDEX(BookTitle,2033)="","",INDEX(BookKey,2033))</f>
        <v/>
      </c>
      <c r="B2038" s="0" t="str">
        <f aca="false">IF(INDEX(BookTitle,2033)="","",INDEX(BookGroup,2033))</f>
        <v/>
      </c>
      <c r="C2038" s="0" t="str">
        <f aca="false">IF(INDEX(BookTitle,2033)="","",INDEX(BookCategory,2033))</f>
        <v/>
      </c>
      <c r="D2038" s="56" t="str">
        <f aca="false">IF(INDEX(BookTitle,2033)="","",INDEX(BookTotal,2033)*'5. Scenarios'!$B$6/(1+ProductivityDefault*('5. Scenarios'!$B$11-1)))</f>
        <v/>
      </c>
      <c r="E2038" s="57" t="str">
        <f aca="false">IF($D2038="","",INDEX(BookRate,2033)*(1+'5. Scenarios'!$B$10)*$D2038)</f>
        <v/>
      </c>
      <c r="F2038" s="57" t="str">
        <f aca="false">IF($E2038="","",SUMIFS($E$6:$E$2405,$A$6:$A$2405,"&lt;="&amp;$A2038))</f>
        <v/>
      </c>
      <c r="G2038" s="57" t="str">
        <f aca="false">IF($E2038="","",IF($F2038&lt;=BankCostEnvelope*'5. Scenarios'!$B$7,1,0))</f>
        <v/>
      </c>
      <c r="H2038" s="57" t="str">
        <f aca="false">IF($D2038="","",INDEX(BookRate,2033)*(1+'5. Scenarios'!$B$10)*(INDEX(BookQ1,2033)*(5-MIN(4,1+'5. Scenarios'!$B$8))/4+INDEX(BookQ2,2033)*(5-MIN(4,2+'5. Scenarios'!$B$8))/4+INDEX(BookQ3,2033)*(5-MIN(4,3+'5. Scenarios'!$B$8))/4+INDEX(BookQ4,2033)*(5-MIN(4,4+'5. Scenarios'!$B$8))/4)*'5. Scenarios'!$B$6/(1+ProductivityDefault*('5. Scenarios'!$B$11-1))+INDEX(BookOneOff,2033)*$D2038)</f>
        <v/>
      </c>
      <c r="I2038" s="56" t="str">
        <f aca="false">IF(INDEX(BookTitle,2033)="","",INDEX(BookTotal,2033)*'5. Scenarios'!$C$6/(1+ProductivityDefault*('5. Scenarios'!$C$11-1)))</f>
        <v/>
      </c>
      <c r="J2038" s="57" t="str">
        <f aca="false">IF($I2038="","",INDEX(BookRate,2033)*(1+'5. Scenarios'!$C$10)*$I2038)</f>
        <v/>
      </c>
      <c r="K2038" s="57" t="str">
        <f aca="false">IF($J2038="","",SUMIFS($J$6:$J$2405,$A$6:$A$2405,"&lt;="&amp;$A2038))</f>
        <v/>
      </c>
      <c r="L2038" s="57" t="str">
        <f aca="false">IF($J2038="","",IF($K2038&lt;=BankCostEnvelope*'5. Scenarios'!$C$7,1,0))</f>
        <v/>
      </c>
      <c r="M2038" s="57" t="str">
        <f aca="false">IF($I2038="","",INDEX(BookRate,2033)*(1+'5. Scenarios'!$C$10)*(INDEX(BookQ1,2033)*(5-MIN(4,1+'5. Scenarios'!$C$8))/4+INDEX(BookQ2,2033)*(5-MIN(4,2+'5. Scenarios'!$C$8))/4+INDEX(BookQ3,2033)*(5-MIN(4,3+'5. Scenarios'!$C$8))/4+INDEX(BookQ4,2033)*(5-MIN(4,4+'5. Scenarios'!$C$8))/4)*'5. Scenarios'!$C$6/(1+ProductivityDefault*('5. Scenarios'!$C$11-1))+INDEX(BookOneOff,2033)*$I2038)</f>
        <v/>
      </c>
      <c r="N2038" s="56" t="str">
        <f aca="false">IF(INDEX(BookTitle,2033)="","",INDEX(BookTotal,2033)*'5. Scenarios'!$D$6/(1+ProductivityDefault*('5. Scenarios'!$D$11-1)))</f>
        <v/>
      </c>
      <c r="O2038" s="57" t="str">
        <f aca="false">IF($N2038="","",INDEX(BookRate,2033)*(1+'5. Scenarios'!$D$10)*$N2038)</f>
        <v/>
      </c>
      <c r="P2038" s="57" t="str">
        <f aca="false">IF($O2038="","",SUMIFS($O$6:$O$2405,$A$6:$A$2405,"&lt;="&amp;$A2038))</f>
        <v/>
      </c>
      <c r="Q2038" s="57" t="str">
        <f aca="false">IF($O2038="","",IF($P2038&lt;=BankCostEnvelope*'5. Scenarios'!$D$7,1,0))</f>
        <v/>
      </c>
      <c r="R2038" s="57" t="str">
        <f aca="false">IF($N2038="","",INDEX(BookRate,2033)*(1+'5. Scenarios'!$D$10)*(INDEX(BookQ1,2033)*(5-MIN(4,1+'5. Scenarios'!$D$8))/4+INDEX(BookQ2,2033)*(5-MIN(4,2+'5. Scenarios'!$D$8))/4+INDEX(BookQ3,2033)*(5-MIN(4,3+'5. Scenarios'!$D$8))/4+INDEX(BookQ4,2033)*(5-MIN(4,4+'5. Scenarios'!$D$8))/4)*'5. Scenarios'!$D$6/(1+ProductivityDefault*('5. Scenarios'!$D$11-1))+INDEX(BookOneOff,2033)*$N2038)</f>
        <v/>
      </c>
      <c r="S2038" s="56" t="str">
        <f aca="false">IF(INDEX(BookTitle,2033)="","",INDEX(BookTotal,2033)*'5. Scenarios'!$E$6/(1+ProductivityDefault*('5. Scenarios'!$E$11-1)))</f>
        <v/>
      </c>
      <c r="T2038" s="57" t="str">
        <f aca="false">IF($S2038="","",INDEX(BookRate,2033)*(1+'5. Scenarios'!$E$10)*$S2038)</f>
        <v/>
      </c>
      <c r="U2038" s="57" t="str">
        <f aca="false">IF($T2038="","",SUMIFS($T$6:$T$2405,$A$6:$A$2405,"&lt;="&amp;$A2038))</f>
        <v/>
      </c>
      <c r="V2038" s="57" t="str">
        <f aca="false">IF($T2038="","",IF($U2038&lt;=BankCostEnvelope*'5. Scenarios'!$E$7,1,0))</f>
        <v/>
      </c>
      <c r="W2038" s="57" t="str">
        <f aca="false">IF($S2038="","",INDEX(BookRate,2033)*(1+'5. Scenarios'!$E$10)*(INDEX(BookQ1,2033)*(5-MIN(4,1+'5. Scenarios'!$E$8))/4+INDEX(BookQ2,2033)*(5-MIN(4,2+'5. Scenarios'!$E$8))/4+INDEX(BookQ3,2033)*(5-MIN(4,3+'5. Scenarios'!$E$8))/4+INDEX(BookQ4,2033)*(5-MIN(4,4+'5. Scenarios'!$E$8))/4)*'5. Scenarios'!$E$6/(1+ProductivityDefault*('5. Scenarios'!$E$11-1))+INDEX(BookOneOff,2033)*$S2038)</f>
        <v/>
      </c>
    </row>
    <row r="2039" customFormat="false" ht="15" hidden="false" customHeight="false" outlineLevel="0" collapsed="false">
      <c r="A2039" s="0" t="str">
        <f aca="false">IF(INDEX(BookTitle,2034)="","",INDEX(BookKey,2034))</f>
        <v/>
      </c>
      <c r="B2039" s="0" t="str">
        <f aca="false">IF(INDEX(BookTitle,2034)="","",INDEX(BookGroup,2034))</f>
        <v/>
      </c>
      <c r="C2039" s="0" t="str">
        <f aca="false">IF(INDEX(BookTitle,2034)="","",INDEX(BookCategory,2034))</f>
        <v/>
      </c>
      <c r="D2039" s="56" t="str">
        <f aca="false">IF(INDEX(BookTitle,2034)="","",INDEX(BookTotal,2034)*'5. Scenarios'!$B$6/(1+ProductivityDefault*('5. Scenarios'!$B$11-1)))</f>
        <v/>
      </c>
      <c r="E2039" s="57" t="str">
        <f aca="false">IF($D2039="","",INDEX(BookRate,2034)*(1+'5. Scenarios'!$B$10)*$D2039)</f>
        <v/>
      </c>
      <c r="F2039" s="57" t="str">
        <f aca="false">IF($E2039="","",SUMIFS($E$6:$E$2405,$A$6:$A$2405,"&lt;="&amp;$A2039))</f>
        <v/>
      </c>
      <c r="G2039" s="57" t="str">
        <f aca="false">IF($E2039="","",IF($F2039&lt;=BankCostEnvelope*'5. Scenarios'!$B$7,1,0))</f>
        <v/>
      </c>
      <c r="H2039" s="57" t="str">
        <f aca="false">IF($D2039="","",INDEX(BookRate,2034)*(1+'5. Scenarios'!$B$10)*(INDEX(BookQ1,2034)*(5-MIN(4,1+'5. Scenarios'!$B$8))/4+INDEX(BookQ2,2034)*(5-MIN(4,2+'5. Scenarios'!$B$8))/4+INDEX(BookQ3,2034)*(5-MIN(4,3+'5. Scenarios'!$B$8))/4+INDEX(BookQ4,2034)*(5-MIN(4,4+'5. Scenarios'!$B$8))/4)*'5. Scenarios'!$B$6/(1+ProductivityDefault*('5. Scenarios'!$B$11-1))+INDEX(BookOneOff,2034)*$D2039)</f>
        <v/>
      </c>
      <c r="I2039" s="56" t="str">
        <f aca="false">IF(INDEX(BookTitle,2034)="","",INDEX(BookTotal,2034)*'5. Scenarios'!$C$6/(1+ProductivityDefault*('5. Scenarios'!$C$11-1)))</f>
        <v/>
      </c>
      <c r="J2039" s="57" t="str">
        <f aca="false">IF($I2039="","",INDEX(BookRate,2034)*(1+'5. Scenarios'!$C$10)*$I2039)</f>
        <v/>
      </c>
      <c r="K2039" s="57" t="str">
        <f aca="false">IF($J2039="","",SUMIFS($J$6:$J$2405,$A$6:$A$2405,"&lt;="&amp;$A2039))</f>
        <v/>
      </c>
      <c r="L2039" s="57" t="str">
        <f aca="false">IF($J2039="","",IF($K2039&lt;=BankCostEnvelope*'5. Scenarios'!$C$7,1,0))</f>
        <v/>
      </c>
      <c r="M2039" s="57" t="str">
        <f aca="false">IF($I2039="","",INDEX(BookRate,2034)*(1+'5. Scenarios'!$C$10)*(INDEX(BookQ1,2034)*(5-MIN(4,1+'5. Scenarios'!$C$8))/4+INDEX(BookQ2,2034)*(5-MIN(4,2+'5. Scenarios'!$C$8))/4+INDEX(BookQ3,2034)*(5-MIN(4,3+'5. Scenarios'!$C$8))/4+INDEX(BookQ4,2034)*(5-MIN(4,4+'5. Scenarios'!$C$8))/4)*'5. Scenarios'!$C$6/(1+ProductivityDefault*('5. Scenarios'!$C$11-1))+INDEX(BookOneOff,2034)*$I2039)</f>
        <v/>
      </c>
      <c r="N2039" s="56" t="str">
        <f aca="false">IF(INDEX(BookTitle,2034)="","",INDEX(BookTotal,2034)*'5. Scenarios'!$D$6/(1+ProductivityDefault*('5. Scenarios'!$D$11-1)))</f>
        <v/>
      </c>
      <c r="O2039" s="57" t="str">
        <f aca="false">IF($N2039="","",INDEX(BookRate,2034)*(1+'5. Scenarios'!$D$10)*$N2039)</f>
        <v/>
      </c>
      <c r="P2039" s="57" t="str">
        <f aca="false">IF($O2039="","",SUMIFS($O$6:$O$2405,$A$6:$A$2405,"&lt;="&amp;$A2039))</f>
        <v/>
      </c>
      <c r="Q2039" s="57" t="str">
        <f aca="false">IF($O2039="","",IF($P2039&lt;=BankCostEnvelope*'5. Scenarios'!$D$7,1,0))</f>
        <v/>
      </c>
      <c r="R2039" s="57" t="str">
        <f aca="false">IF($N2039="","",INDEX(BookRate,2034)*(1+'5. Scenarios'!$D$10)*(INDEX(BookQ1,2034)*(5-MIN(4,1+'5. Scenarios'!$D$8))/4+INDEX(BookQ2,2034)*(5-MIN(4,2+'5. Scenarios'!$D$8))/4+INDEX(BookQ3,2034)*(5-MIN(4,3+'5. Scenarios'!$D$8))/4+INDEX(BookQ4,2034)*(5-MIN(4,4+'5. Scenarios'!$D$8))/4)*'5. Scenarios'!$D$6/(1+ProductivityDefault*('5. Scenarios'!$D$11-1))+INDEX(BookOneOff,2034)*$N2039)</f>
        <v/>
      </c>
      <c r="S2039" s="56" t="str">
        <f aca="false">IF(INDEX(BookTitle,2034)="","",INDEX(BookTotal,2034)*'5. Scenarios'!$E$6/(1+ProductivityDefault*('5. Scenarios'!$E$11-1)))</f>
        <v/>
      </c>
      <c r="T2039" s="57" t="str">
        <f aca="false">IF($S2039="","",INDEX(BookRate,2034)*(1+'5. Scenarios'!$E$10)*$S2039)</f>
        <v/>
      </c>
      <c r="U2039" s="57" t="str">
        <f aca="false">IF($T2039="","",SUMIFS($T$6:$T$2405,$A$6:$A$2405,"&lt;="&amp;$A2039))</f>
        <v/>
      </c>
      <c r="V2039" s="57" t="str">
        <f aca="false">IF($T2039="","",IF($U2039&lt;=BankCostEnvelope*'5. Scenarios'!$E$7,1,0))</f>
        <v/>
      </c>
      <c r="W2039" s="57" t="str">
        <f aca="false">IF($S2039="","",INDEX(BookRate,2034)*(1+'5. Scenarios'!$E$10)*(INDEX(BookQ1,2034)*(5-MIN(4,1+'5. Scenarios'!$E$8))/4+INDEX(BookQ2,2034)*(5-MIN(4,2+'5. Scenarios'!$E$8))/4+INDEX(BookQ3,2034)*(5-MIN(4,3+'5. Scenarios'!$E$8))/4+INDEX(BookQ4,2034)*(5-MIN(4,4+'5. Scenarios'!$E$8))/4)*'5. Scenarios'!$E$6/(1+ProductivityDefault*('5. Scenarios'!$E$11-1))+INDEX(BookOneOff,2034)*$S2039)</f>
        <v/>
      </c>
    </row>
    <row r="2040" customFormat="false" ht="15" hidden="false" customHeight="false" outlineLevel="0" collapsed="false">
      <c r="A2040" s="0" t="str">
        <f aca="false">IF(INDEX(BookTitle,2035)="","",INDEX(BookKey,2035))</f>
        <v/>
      </c>
      <c r="B2040" s="0" t="str">
        <f aca="false">IF(INDEX(BookTitle,2035)="","",INDEX(BookGroup,2035))</f>
        <v/>
      </c>
      <c r="C2040" s="0" t="str">
        <f aca="false">IF(INDEX(BookTitle,2035)="","",INDEX(BookCategory,2035))</f>
        <v/>
      </c>
      <c r="D2040" s="56" t="str">
        <f aca="false">IF(INDEX(BookTitle,2035)="","",INDEX(BookTotal,2035)*'5. Scenarios'!$B$6/(1+ProductivityDefault*('5. Scenarios'!$B$11-1)))</f>
        <v/>
      </c>
      <c r="E2040" s="57" t="str">
        <f aca="false">IF($D2040="","",INDEX(BookRate,2035)*(1+'5. Scenarios'!$B$10)*$D2040)</f>
        <v/>
      </c>
      <c r="F2040" s="57" t="str">
        <f aca="false">IF($E2040="","",SUMIFS($E$6:$E$2405,$A$6:$A$2405,"&lt;="&amp;$A2040))</f>
        <v/>
      </c>
      <c r="G2040" s="57" t="str">
        <f aca="false">IF($E2040="","",IF($F2040&lt;=BankCostEnvelope*'5. Scenarios'!$B$7,1,0))</f>
        <v/>
      </c>
      <c r="H2040" s="57" t="str">
        <f aca="false">IF($D2040="","",INDEX(BookRate,2035)*(1+'5. Scenarios'!$B$10)*(INDEX(BookQ1,2035)*(5-MIN(4,1+'5. Scenarios'!$B$8))/4+INDEX(BookQ2,2035)*(5-MIN(4,2+'5. Scenarios'!$B$8))/4+INDEX(BookQ3,2035)*(5-MIN(4,3+'5. Scenarios'!$B$8))/4+INDEX(BookQ4,2035)*(5-MIN(4,4+'5. Scenarios'!$B$8))/4)*'5. Scenarios'!$B$6/(1+ProductivityDefault*('5. Scenarios'!$B$11-1))+INDEX(BookOneOff,2035)*$D2040)</f>
        <v/>
      </c>
      <c r="I2040" s="56" t="str">
        <f aca="false">IF(INDEX(BookTitle,2035)="","",INDEX(BookTotal,2035)*'5. Scenarios'!$C$6/(1+ProductivityDefault*('5. Scenarios'!$C$11-1)))</f>
        <v/>
      </c>
      <c r="J2040" s="57" t="str">
        <f aca="false">IF($I2040="","",INDEX(BookRate,2035)*(1+'5. Scenarios'!$C$10)*$I2040)</f>
        <v/>
      </c>
      <c r="K2040" s="57" t="str">
        <f aca="false">IF($J2040="","",SUMIFS($J$6:$J$2405,$A$6:$A$2405,"&lt;="&amp;$A2040))</f>
        <v/>
      </c>
      <c r="L2040" s="57" t="str">
        <f aca="false">IF($J2040="","",IF($K2040&lt;=BankCostEnvelope*'5. Scenarios'!$C$7,1,0))</f>
        <v/>
      </c>
      <c r="M2040" s="57" t="str">
        <f aca="false">IF($I2040="","",INDEX(BookRate,2035)*(1+'5. Scenarios'!$C$10)*(INDEX(BookQ1,2035)*(5-MIN(4,1+'5. Scenarios'!$C$8))/4+INDEX(BookQ2,2035)*(5-MIN(4,2+'5. Scenarios'!$C$8))/4+INDEX(BookQ3,2035)*(5-MIN(4,3+'5. Scenarios'!$C$8))/4+INDEX(BookQ4,2035)*(5-MIN(4,4+'5. Scenarios'!$C$8))/4)*'5. Scenarios'!$C$6/(1+ProductivityDefault*('5. Scenarios'!$C$11-1))+INDEX(BookOneOff,2035)*$I2040)</f>
        <v/>
      </c>
      <c r="N2040" s="56" t="str">
        <f aca="false">IF(INDEX(BookTitle,2035)="","",INDEX(BookTotal,2035)*'5. Scenarios'!$D$6/(1+ProductivityDefault*('5. Scenarios'!$D$11-1)))</f>
        <v/>
      </c>
      <c r="O2040" s="57" t="str">
        <f aca="false">IF($N2040="","",INDEX(BookRate,2035)*(1+'5. Scenarios'!$D$10)*$N2040)</f>
        <v/>
      </c>
      <c r="P2040" s="57" t="str">
        <f aca="false">IF($O2040="","",SUMIFS($O$6:$O$2405,$A$6:$A$2405,"&lt;="&amp;$A2040))</f>
        <v/>
      </c>
      <c r="Q2040" s="57" t="str">
        <f aca="false">IF($O2040="","",IF($P2040&lt;=BankCostEnvelope*'5. Scenarios'!$D$7,1,0))</f>
        <v/>
      </c>
      <c r="R2040" s="57" t="str">
        <f aca="false">IF($N2040="","",INDEX(BookRate,2035)*(1+'5. Scenarios'!$D$10)*(INDEX(BookQ1,2035)*(5-MIN(4,1+'5. Scenarios'!$D$8))/4+INDEX(BookQ2,2035)*(5-MIN(4,2+'5. Scenarios'!$D$8))/4+INDEX(BookQ3,2035)*(5-MIN(4,3+'5. Scenarios'!$D$8))/4+INDEX(BookQ4,2035)*(5-MIN(4,4+'5. Scenarios'!$D$8))/4)*'5. Scenarios'!$D$6/(1+ProductivityDefault*('5. Scenarios'!$D$11-1))+INDEX(BookOneOff,2035)*$N2040)</f>
        <v/>
      </c>
      <c r="S2040" s="56" t="str">
        <f aca="false">IF(INDEX(BookTitle,2035)="","",INDEX(BookTotal,2035)*'5. Scenarios'!$E$6/(1+ProductivityDefault*('5. Scenarios'!$E$11-1)))</f>
        <v/>
      </c>
      <c r="T2040" s="57" t="str">
        <f aca="false">IF($S2040="","",INDEX(BookRate,2035)*(1+'5. Scenarios'!$E$10)*$S2040)</f>
        <v/>
      </c>
      <c r="U2040" s="57" t="str">
        <f aca="false">IF($T2040="","",SUMIFS($T$6:$T$2405,$A$6:$A$2405,"&lt;="&amp;$A2040))</f>
        <v/>
      </c>
      <c r="V2040" s="57" t="str">
        <f aca="false">IF($T2040="","",IF($U2040&lt;=BankCostEnvelope*'5. Scenarios'!$E$7,1,0))</f>
        <v/>
      </c>
      <c r="W2040" s="57" t="str">
        <f aca="false">IF($S2040="","",INDEX(BookRate,2035)*(1+'5. Scenarios'!$E$10)*(INDEX(BookQ1,2035)*(5-MIN(4,1+'5. Scenarios'!$E$8))/4+INDEX(BookQ2,2035)*(5-MIN(4,2+'5. Scenarios'!$E$8))/4+INDEX(BookQ3,2035)*(5-MIN(4,3+'5. Scenarios'!$E$8))/4+INDEX(BookQ4,2035)*(5-MIN(4,4+'5. Scenarios'!$E$8))/4)*'5. Scenarios'!$E$6/(1+ProductivityDefault*('5. Scenarios'!$E$11-1))+INDEX(BookOneOff,2035)*$S2040)</f>
        <v/>
      </c>
    </row>
    <row r="2041" customFormat="false" ht="15" hidden="false" customHeight="false" outlineLevel="0" collapsed="false">
      <c r="A2041" s="0" t="str">
        <f aca="false">IF(INDEX(BookTitle,2036)="","",INDEX(BookKey,2036))</f>
        <v/>
      </c>
      <c r="B2041" s="0" t="str">
        <f aca="false">IF(INDEX(BookTitle,2036)="","",INDEX(BookGroup,2036))</f>
        <v/>
      </c>
      <c r="C2041" s="0" t="str">
        <f aca="false">IF(INDEX(BookTitle,2036)="","",INDEX(BookCategory,2036))</f>
        <v/>
      </c>
      <c r="D2041" s="56" t="str">
        <f aca="false">IF(INDEX(BookTitle,2036)="","",INDEX(BookTotal,2036)*'5. Scenarios'!$B$6/(1+ProductivityDefault*('5. Scenarios'!$B$11-1)))</f>
        <v/>
      </c>
      <c r="E2041" s="57" t="str">
        <f aca="false">IF($D2041="","",INDEX(BookRate,2036)*(1+'5. Scenarios'!$B$10)*$D2041)</f>
        <v/>
      </c>
      <c r="F2041" s="57" t="str">
        <f aca="false">IF($E2041="","",SUMIFS($E$6:$E$2405,$A$6:$A$2405,"&lt;="&amp;$A2041))</f>
        <v/>
      </c>
      <c r="G2041" s="57" t="str">
        <f aca="false">IF($E2041="","",IF($F2041&lt;=BankCostEnvelope*'5. Scenarios'!$B$7,1,0))</f>
        <v/>
      </c>
      <c r="H2041" s="57" t="str">
        <f aca="false">IF($D2041="","",INDEX(BookRate,2036)*(1+'5. Scenarios'!$B$10)*(INDEX(BookQ1,2036)*(5-MIN(4,1+'5. Scenarios'!$B$8))/4+INDEX(BookQ2,2036)*(5-MIN(4,2+'5. Scenarios'!$B$8))/4+INDEX(BookQ3,2036)*(5-MIN(4,3+'5. Scenarios'!$B$8))/4+INDEX(BookQ4,2036)*(5-MIN(4,4+'5. Scenarios'!$B$8))/4)*'5. Scenarios'!$B$6/(1+ProductivityDefault*('5. Scenarios'!$B$11-1))+INDEX(BookOneOff,2036)*$D2041)</f>
        <v/>
      </c>
      <c r="I2041" s="56" t="str">
        <f aca="false">IF(INDEX(BookTitle,2036)="","",INDEX(BookTotal,2036)*'5. Scenarios'!$C$6/(1+ProductivityDefault*('5. Scenarios'!$C$11-1)))</f>
        <v/>
      </c>
      <c r="J2041" s="57" t="str">
        <f aca="false">IF($I2041="","",INDEX(BookRate,2036)*(1+'5. Scenarios'!$C$10)*$I2041)</f>
        <v/>
      </c>
      <c r="K2041" s="57" t="str">
        <f aca="false">IF($J2041="","",SUMIFS($J$6:$J$2405,$A$6:$A$2405,"&lt;="&amp;$A2041))</f>
        <v/>
      </c>
      <c r="L2041" s="57" t="str">
        <f aca="false">IF($J2041="","",IF($K2041&lt;=BankCostEnvelope*'5. Scenarios'!$C$7,1,0))</f>
        <v/>
      </c>
      <c r="M2041" s="57" t="str">
        <f aca="false">IF($I2041="","",INDEX(BookRate,2036)*(1+'5. Scenarios'!$C$10)*(INDEX(BookQ1,2036)*(5-MIN(4,1+'5. Scenarios'!$C$8))/4+INDEX(BookQ2,2036)*(5-MIN(4,2+'5. Scenarios'!$C$8))/4+INDEX(BookQ3,2036)*(5-MIN(4,3+'5. Scenarios'!$C$8))/4+INDEX(BookQ4,2036)*(5-MIN(4,4+'5. Scenarios'!$C$8))/4)*'5. Scenarios'!$C$6/(1+ProductivityDefault*('5. Scenarios'!$C$11-1))+INDEX(BookOneOff,2036)*$I2041)</f>
        <v/>
      </c>
      <c r="N2041" s="56" t="str">
        <f aca="false">IF(INDEX(BookTitle,2036)="","",INDEX(BookTotal,2036)*'5. Scenarios'!$D$6/(1+ProductivityDefault*('5. Scenarios'!$D$11-1)))</f>
        <v/>
      </c>
      <c r="O2041" s="57" t="str">
        <f aca="false">IF($N2041="","",INDEX(BookRate,2036)*(1+'5. Scenarios'!$D$10)*$N2041)</f>
        <v/>
      </c>
      <c r="P2041" s="57" t="str">
        <f aca="false">IF($O2041="","",SUMIFS($O$6:$O$2405,$A$6:$A$2405,"&lt;="&amp;$A2041))</f>
        <v/>
      </c>
      <c r="Q2041" s="57" t="str">
        <f aca="false">IF($O2041="","",IF($P2041&lt;=BankCostEnvelope*'5. Scenarios'!$D$7,1,0))</f>
        <v/>
      </c>
      <c r="R2041" s="57" t="str">
        <f aca="false">IF($N2041="","",INDEX(BookRate,2036)*(1+'5. Scenarios'!$D$10)*(INDEX(BookQ1,2036)*(5-MIN(4,1+'5. Scenarios'!$D$8))/4+INDEX(BookQ2,2036)*(5-MIN(4,2+'5. Scenarios'!$D$8))/4+INDEX(BookQ3,2036)*(5-MIN(4,3+'5. Scenarios'!$D$8))/4+INDEX(BookQ4,2036)*(5-MIN(4,4+'5. Scenarios'!$D$8))/4)*'5. Scenarios'!$D$6/(1+ProductivityDefault*('5. Scenarios'!$D$11-1))+INDEX(BookOneOff,2036)*$N2041)</f>
        <v/>
      </c>
      <c r="S2041" s="56" t="str">
        <f aca="false">IF(INDEX(BookTitle,2036)="","",INDEX(BookTotal,2036)*'5. Scenarios'!$E$6/(1+ProductivityDefault*('5. Scenarios'!$E$11-1)))</f>
        <v/>
      </c>
      <c r="T2041" s="57" t="str">
        <f aca="false">IF($S2041="","",INDEX(BookRate,2036)*(1+'5. Scenarios'!$E$10)*$S2041)</f>
        <v/>
      </c>
      <c r="U2041" s="57" t="str">
        <f aca="false">IF($T2041="","",SUMIFS($T$6:$T$2405,$A$6:$A$2405,"&lt;="&amp;$A2041))</f>
        <v/>
      </c>
      <c r="V2041" s="57" t="str">
        <f aca="false">IF($T2041="","",IF($U2041&lt;=BankCostEnvelope*'5. Scenarios'!$E$7,1,0))</f>
        <v/>
      </c>
      <c r="W2041" s="57" t="str">
        <f aca="false">IF($S2041="","",INDEX(BookRate,2036)*(1+'5. Scenarios'!$E$10)*(INDEX(BookQ1,2036)*(5-MIN(4,1+'5. Scenarios'!$E$8))/4+INDEX(BookQ2,2036)*(5-MIN(4,2+'5. Scenarios'!$E$8))/4+INDEX(BookQ3,2036)*(5-MIN(4,3+'5. Scenarios'!$E$8))/4+INDEX(BookQ4,2036)*(5-MIN(4,4+'5. Scenarios'!$E$8))/4)*'5. Scenarios'!$E$6/(1+ProductivityDefault*('5. Scenarios'!$E$11-1))+INDEX(BookOneOff,2036)*$S2041)</f>
        <v/>
      </c>
    </row>
    <row r="2042" customFormat="false" ht="15" hidden="false" customHeight="false" outlineLevel="0" collapsed="false">
      <c r="A2042" s="0" t="str">
        <f aca="false">IF(INDEX(BookTitle,2037)="","",INDEX(BookKey,2037))</f>
        <v/>
      </c>
      <c r="B2042" s="0" t="str">
        <f aca="false">IF(INDEX(BookTitle,2037)="","",INDEX(BookGroup,2037))</f>
        <v/>
      </c>
      <c r="C2042" s="0" t="str">
        <f aca="false">IF(INDEX(BookTitle,2037)="","",INDEX(BookCategory,2037))</f>
        <v/>
      </c>
      <c r="D2042" s="56" t="str">
        <f aca="false">IF(INDEX(BookTitle,2037)="","",INDEX(BookTotal,2037)*'5. Scenarios'!$B$6/(1+ProductivityDefault*('5. Scenarios'!$B$11-1)))</f>
        <v/>
      </c>
      <c r="E2042" s="57" t="str">
        <f aca="false">IF($D2042="","",INDEX(BookRate,2037)*(1+'5. Scenarios'!$B$10)*$D2042)</f>
        <v/>
      </c>
      <c r="F2042" s="57" t="str">
        <f aca="false">IF($E2042="","",SUMIFS($E$6:$E$2405,$A$6:$A$2405,"&lt;="&amp;$A2042))</f>
        <v/>
      </c>
      <c r="G2042" s="57" t="str">
        <f aca="false">IF($E2042="","",IF($F2042&lt;=BankCostEnvelope*'5. Scenarios'!$B$7,1,0))</f>
        <v/>
      </c>
      <c r="H2042" s="57" t="str">
        <f aca="false">IF($D2042="","",INDEX(BookRate,2037)*(1+'5. Scenarios'!$B$10)*(INDEX(BookQ1,2037)*(5-MIN(4,1+'5. Scenarios'!$B$8))/4+INDEX(BookQ2,2037)*(5-MIN(4,2+'5. Scenarios'!$B$8))/4+INDEX(BookQ3,2037)*(5-MIN(4,3+'5. Scenarios'!$B$8))/4+INDEX(BookQ4,2037)*(5-MIN(4,4+'5. Scenarios'!$B$8))/4)*'5. Scenarios'!$B$6/(1+ProductivityDefault*('5. Scenarios'!$B$11-1))+INDEX(BookOneOff,2037)*$D2042)</f>
        <v/>
      </c>
      <c r="I2042" s="56" t="str">
        <f aca="false">IF(INDEX(BookTitle,2037)="","",INDEX(BookTotal,2037)*'5. Scenarios'!$C$6/(1+ProductivityDefault*('5. Scenarios'!$C$11-1)))</f>
        <v/>
      </c>
      <c r="J2042" s="57" t="str">
        <f aca="false">IF($I2042="","",INDEX(BookRate,2037)*(1+'5. Scenarios'!$C$10)*$I2042)</f>
        <v/>
      </c>
      <c r="K2042" s="57" t="str">
        <f aca="false">IF($J2042="","",SUMIFS($J$6:$J$2405,$A$6:$A$2405,"&lt;="&amp;$A2042))</f>
        <v/>
      </c>
      <c r="L2042" s="57" t="str">
        <f aca="false">IF($J2042="","",IF($K2042&lt;=BankCostEnvelope*'5. Scenarios'!$C$7,1,0))</f>
        <v/>
      </c>
      <c r="M2042" s="57" t="str">
        <f aca="false">IF($I2042="","",INDEX(BookRate,2037)*(1+'5. Scenarios'!$C$10)*(INDEX(BookQ1,2037)*(5-MIN(4,1+'5. Scenarios'!$C$8))/4+INDEX(BookQ2,2037)*(5-MIN(4,2+'5. Scenarios'!$C$8))/4+INDEX(BookQ3,2037)*(5-MIN(4,3+'5. Scenarios'!$C$8))/4+INDEX(BookQ4,2037)*(5-MIN(4,4+'5. Scenarios'!$C$8))/4)*'5. Scenarios'!$C$6/(1+ProductivityDefault*('5. Scenarios'!$C$11-1))+INDEX(BookOneOff,2037)*$I2042)</f>
        <v/>
      </c>
      <c r="N2042" s="56" t="str">
        <f aca="false">IF(INDEX(BookTitle,2037)="","",INDEX(BookTotal,2037)*'5. Scenarios'!$D$6/(1+ProductivityDefault*('5. Scenarios'!$D$11-1)))</f>
        <v/>
      </c>
      <c r="O2042" s="57" t="str">
        <f aca="false">IF($N2042="","",INDEX(BookRate,2037)*(1+'5. Scenarios'!$D$10)*$N2042)</f>
        <v/>
      </c>
      <c r="P2042" s="57" t="str">
        <f aca="false">IF($O2042="","",SUMIFS($O$6:$O$2405,$A$6:$A$2405,"&lt;="&amp;$A2042))</f>
        <v/>
      </c>
      <c r="Q2042" s="57" t="str">
        <f aca="false">IF($O2042="","",IF($P2042&lt;=BankCostEnvelope*'5. Scenarios'!$D$7,1,0))</f>
        <v/>
      </c>
      <c r="R2042" s="57" t="str">
        <f aca="false">IF($N2042="","",INDEX(BookRate,2037)*(1+'5. Scenarios'!$D$10)*(INDEX(BookQ1,2037)*(5-MIN(4,1+'5. Scenarios'!$D$8))/4+INDEX(BookQ2,2037)*(5-MIN(4,2+'5. Scenarios'!$D$8))/4+INDEX(BookQ3,2037)*(5-MIN(4,3+'5. Scenarios'!$D$8))/4+INDEX(BookQ4,2037)*(5-MIN(4,4+'5. Scenarios'!$D$8))/4)*'5. Scenarios'!$D$6/(1+ProductivityDefault*('5. Scenarios'!$D$11-1))+INDEX(BookOneOff,2037)*$N2042)</f>
        <v/>
      </c>
      <c r="S2042" s="56" t="str">
        <f aca="false">IF(INDEX(BookTitle,2037)="","",INDEX(BookTotal,2037)*'5. Scenarios'!$E$6/(1+ProductivityDefault*('5. Scenarios'!$E$11-1)))</f>
        <v/>
      </c>
      <c r="T2042" s="57" t="str">
        <f aca="false">IF($S2042="","",INDEX(BookRate,2037)*(1+'5. Scenarios'!$E$10)*$S2042)</f>
        <v/>
      </c>
      <c r="U2042" s="57" t="str">
        <f aca="false">IF($T2042="","",SUMIFS($T$6:$T$2405,$A$6:$A$2405,"&lt;="&amp;$A2042))</f>
        <v/>
      </c>
      <c r="V2042" s="57" t="str">
        <f aca="false">IF($T2042="","",IF($U2042&lt;=BankCostEnvelope*'5. Scenarios'!$E$7,1,0))</f>
        <v/>
      </c>
      <c r="W2042" s="57" t="str">
        <f aca="false">IF($S2042="","",INDEX(BookRate,2037)*(1+'5. Scenarios'!$E$10)*(INDEX(BookQ1,2037)*(5-MIN(4,1+'5. Scenarios'!$E$8))/4+INDEX(BookQ2,2037)*(5-MIN(4,2+'5. Scenarios'!$E$8))/4+INDEX(BookQ3,2037)*(5-MIN(4,3+'5. Scenarios'!$E$8))/4+INDEX(BookQ4,2037)*(5-MIN(4,4+'5. Scenarios'!$E$8))/4)*'5. Scenarios'!$E$6/(1+ProductivityDefault*('5. Scenarios'!$E$11-1))+INDEX(BookOneOff,2037)*$S2042)</f>
        <v/>
      </c>
    </row>
    <row r="2043" customFormat="false" ht="15" hidden="false" customHeight="false" outlineLevel="0" collapsed="false">
      <c r="A2043" s="0" t="str">
        <f aca="false">IF(INDEX(BookTitle,2038)="","",INDEX(BookKey,2038))</f>
        <v/>
      </c>
      <c r="B2043" s="0" t="str">
        <f aca="false">IF(INDEX(BookTitle,2038)="","",INDEX(BookGroup,2038))</f>
        <v/>
      </c>
      <c r="C2043" s="0" t="str">
        <f aca="false">IF(INDEX(BookTitle,2038)="","",INDEX(BookCategory,2038))</f>
        <v/>
      </c>
      <c r="D2043" s="56" t="str">
        <f aca="false">IF(INDEX(BookTitle,2038)="","",INDEX(BookTotal,2038)*'5. Scenarios'!$B$6/(1+ProductivityDefault*('5. Scenarios'!$B$11-1)))</f>
        <v/>
      </c>
      <c r="E2043" s="57" t="str">
        <f aca="false">IF($D2043="","",INDEX(BookRate,2038)*(1+'5. Scenarios'!$B$10)*$D2043)</f>
        <v/>
      </c>
      <c r="F2043" s="57" t="str">
        <f aca="false">IF($E2043="","",SUMIFS($E$6:$E$2405,$A$6:$A$2405,"&lt;="&amp;$A2043))</f>
        <v/>
      </c>
      <c r="G2043" s="57" t="str">
        <f aca="false">IF($E2043="","",IF($F2043&lt;=BankCostEnvelope*'5. Scenarios'!$B$7,1,0))</f>
        <v/>
      </c>
      <c r="H2043" s="57" t="str">
        <f aca="false">IF($D2043="","",INDEX(BookRate,2038)*(1+'5. Scenarios'!$B$10)*(INDEX(BookQ1,2038)*(5-MIN(4,1+'5. Scenarios'!$B$8))/4+INDEX(BookQ2,2038)*(5-MIN(4,2+'5. Scenarios'!$B$8))/4+INDEX(BookQ3,2038)*(5-MIN(4,3+'5. Scenarios'!$B$8))/4+INDEX(BookQ4,2038)*(5-MIN(4,4+'5. Scenarios'!$B$8))/4)*'5. Scenarios'!$B$6/(1+ProductivityDefault*('5. Scenarios'!$B$11-1))+INDEX(BookOneOff,2038)*$D2043)</f>
        <v/>
      </c>
      <c r="I2043" s="56" t="str">
        <f aca="false">IF(INDEX(BookTitle,2038)="","",INDEX(BookTotal,2038)*'5. Scenarios'!$C$6/(1+ProductivityDefault*('5. Scenarios'!$C$11-1)))</f>
        <v/>
      </c>
      <c r="J2043" s="57" t="str">
        <f aca="false">IF($I2043="","",INDEX(BookRate,2038)*(1+'5. Scenarios'!$C$10)*$I2043)</f>
        <v/>
      </c>
      <c r="K2043" s="57" t="str">
        <f aca="false">IF($J2043="","",SUMIFS($J$6:$J$2405,$A$6:$A$2405,"&lt;="&amp;$A2043))</f>
        <v/>
      </c>
      <c r="L2043" s="57" t="str">
        <f aca="false">IF($J2043="","",IF($K2043&lt;=BankCostEnvelope*'5. Scenarios'!$C$7,1,0))</f>
        <v/>
      </c>
      <c r="M2043" s="57" t="str">
        <f aca="false">IF($I2043="","",INDEX(BookRate,2038)*(1+'5. Scenarios'!$C$10)*(INDEX(BookQ1,2038)*(5-MIN(4,1+'5. Scenarios'!$C$8))/4+INDEX(BookQ2,2038)*(5-MIN(4,2+'5. Scenarios'!$C$8))/4+INDEX(BookQ3,2038)*(5-MIN(4,3+'5. Scenarios'!$C$8))/4+INDEX(BookQ4,2038)*(5-MIN(4,4+'5. Scenarios'!$C$8))/4)*'5. Scenarios'!$C$6/(1+ProductivityDefault*('5. Scenarios'!$C$11-1))+INDEX(BookOneOff,2038)*$I2043)</f>
        <v/>
      </c>
      <c r="N2043" s="56" t="str">
        <f aca="false">IF(INDEX(BookTitle,2038)="","",INDEX(BookTotal,2038)*'5. Scenarios'!$D$6/(1+ProductivityDefault*('5. Scenarios'!$D$11-1)))</f>
        <v/>
      </c>
      <c r="O2043" s="57" t="str">
        <f aca="false">IF($N2043="","",INDEX(BookRate,2038)*(1+'5. Scenarios'!$D$10)*$N2043)</f>
        <v/>
      </c>
      <c r="P2043" s="57" t="str">
        <f aca="false">IF($O2043="","",SUMIFS($O$6:$O$2405,$A$6:$A$2405,"&lt;="&amp;$A2043))</f>
        <v/>
      </c>
      <c r="Q2043" s="57" t="str">
        <f aca="false">IF($O2043="","",IF($P2043&lt;=BankCostEnvelope*'5. Scenarios'!$D$7,1,0))</f>
        <v/>
      </c>
      <c r="R2043" s="57" t="str">
        <f aca="false">IF($N2043="","",INDEX(BookRate,2038)*(1+'5. Scenarios'!$D$10)*(INDEX(BookQ1,2038)*(5-MIN(4,1+'5. Scenarios'!$D$8))/4+INDEX(BookQ2,2038)*(5-MIN(4,2+'5. Scenarios'!$D$8))/4+INDEX(BookQ3,2038)*(5-MIN(4,3+'5. Scenarios'!$D$8))/4+INDEX(BookQ4,2038)*(5-MIN(4,4+'5. Scenarios'!$D$8))/4)*'5. Scenarios'!$D$6/(1+ProductivityDefault*('5. Scenarios'!$D$11-1))+INDEX(BookOneOff,2038)*$N2043)</f>
        <v/>
      </c>
      <c r="S2043" s="56" t="str">
        <f aca="false">IF(INDEX(BookTitle,2038)="","",INDEX(BookTotal,2038)*'5. Scenarios'!$E$6/(1+ProductivityDefault*('5. Scenarios'!$E$11-1)))</f>
        <v/>
      </c>
      <c r="T2043" s="57" t="str">
        <f aca="false">IF($S2043="","",INDEX(BookRate,2038)*(1+'5. Scenarios'!$E$10)*$S2043)</f>
        <v/>
      </c>
      <c r="U2043" s="57" t="str">
        <f aca="false">IF($T2043="","",SUMIFS($T$6:$T$2405,$A$6:$A$2405,"&lt;="&amp;$A2043))</f>
        <v/>
      </c>
      <c r="V2043" s="57" t="str">
        <f aca="false">IF($T2043="","",IF($U2043&lt;=BankCostEnvelope*'5. Scenarios'!$E$7,1,0))</f>
        <v/>
      </c>
      <c r="W2043" s="57" t="str">
        <f aca="false">IF($S2043="","",INDEX(BookRate,2038)*(1+'5. Scenarios'!$E$10)*(INDEX(BookQ1,2038)*(5-MIN(4,1+'5. Scenarios'!$E$8))/4+INDEX(BookQ2,2038)*(5-MIN(4,2+'5. Scenarios'!$E$8))/4+INDEX(BookQ3,2038)*(5-MIN(4,3+'5. Scenarios'!$E$8))/4+INDEX(BookQ4,2038)*(5-MIN(4,4+'5. Scenarios'!$E$8))/4)*'5. Scenarios'!$E$6/(1+ProductivityDefault*('5. Scenarios'!$E$11-1))+INDEX(BookOneOff,2038)*$S2043)</f>
        <v/>
      </c>
    </row>
    <row r="2044" customFormat="false" ht="15" hidden="false" customHeight="false" outlineLevel="0" collapsed="false">
      <c r="A2044" s="0" t="str">
        <f aca="false">IF(INDEX(BookTitle,2039)="","",INDEX(BookKey,2039))</f>
        <v/>
      </c>
      <c r="B2044" s="0" t="str">
        <f aca="false">IF(INDEX(BookTitle,2039)="","",INDEX(BookGroup,2039))</f>
        <v/>
      </c>
      <c r="C2044" s="0" t="str">
        <f aca="false">IF(INDEX(BookTitle,2039)="","",INDEX(BookCategory,2039))</f>
        <v/>
      </c>
      <c r="D2044" s="56" t="str">
        <f aca="false">IF(INDEX(BookTitle,2039)="","",INDEX(BookTotal,2039)*'5. Scenarios'!$B$6/(1+ProductivityDefault*('5. Scenarios'!$B$11-1)))</f>
        <v/>
      </c>
      <c r="E2044" s="57" t="str">
        <f aca="false">IF($D2044="","",INDEX(BookRate,2039)*(1+'5. Scenarios'!$B$10)*$D2044)</f>
        <v/>
      </c>
      <c r="F2044" s="57" t="str">
        <f aca="false">IF($E2044="","",SUMIFS($E$6:$E$2405,$A$6:$A$2405,"&lt;="&amp;$A2044))</f>
        <v/>
      </c>
      <c r="G2044" s="57" t="str">
        <f aca="false">IF($E2044="","",IF($F2044&lt;=BankCostEnvelope*'5. Scenarios'!$B$7,1,0))</f>
        <v/>
      </c>
      <c r="H2044" s="57" t="str">
        <f aca="false">IF($D2044="","",INDEX(BookRate,2039)*(1+'5. Scenarios'!$B$10)*(INDEX(BookQ1,2039)*(5-MIN(4,1+'5. Scenarios'!$B$8))/4+INDEX(BookQ2,2039)*(5-MIN(4,2+'5. Scenarios'!$B$8))/4+INDEX(BookQ3,2039)*(5-MIN(4,3+'5. Scenarios'!$B$8))/4+INDEX(BookQ4,2039)*(5-MIN(4,4+'5. Scenarios'!$B$8))/4)*'5. Scenarios'!$B$6/(1+ProductivityDefault*('5. Scenarios'!$B$11-1))+INDEX(BookOneOff,2039)*$D2044)</f>
        <v/>
      </c>
      <c r="I2044" s="56" t="str">
        <f aca="false">IF(INDEX(BookTitle,2039)="","",INDEX(BookTotal,2039)*'5. Scenarios'!$C$6/(1+ProductivityDefault*('5. Scenarios'!$C$11-1)))</f>
        <v/>
      </c>
      <c r="J2044" s="57" t="str">
        <f aca="false">IF($I2044="","",INDEX(BookRate,2039)*(1+'5. Scenarios'!$C$10)*$I2044)</f>
        <v/>
      </c>
      <c r="K2044" s="57" t="str">
        <f aca="false">IF($J2044="","",SUMIFS($J$6:$J$2405,$A$6:$A$2405,"&lt;="&amp;$A2044))</f>
        <v/>
      </c>
      <c r="L2044" s="57" t="str">
        <f aca="false">IF($J2044="","",IF($K2044&lt;=BankCostEnvelope*'5. Scenarios'!$C$7,1,0))</f>
        <v/>
      </c>
      <c r="M2044" s="57" t="str">
        <f aca="false">IF($I2044="","",INDEX(BookRate,2039)*(1+'5. Scenarios'!$C$10)*(INDEX(BookQ1,2039)*(5-MIN(4,1+'5. Scenarios'!$C$8))/4+INDEX(BookQ2,2039)*(5-MIN(4,2+'5. Scenarios'!$C$8))/4+INDEX(BookQ3,2039)*(5-MIN(4,3+'5. Scenarios'!$C$8))/4+INDEX(BookQ4,2039)*(5-MIN(4,4+'5. Scenarios'!$C$8))/4)*'5. Scenarios'!$C$6/(1+ProductivityDefault*('5. Scenarios'!$C$11-1))+INDEX(BookOneOff,2039)*$I2044)</f>
        <v/>
      </c>
      <c r="N2044" s="56" t="str">
        <f aca="false">IF(INDEX(BookTitle,2039)="","",INDEX(BookTotal,2039)*'5. Scenarios'!$D$6/(1+ProductivityDefault*('5. Scenarios'!$D$11-1)))</f>
        <v/>
      </c>
      <c r="O2044" s="57" t="str">
        <f aca="false">IF($N2044="","",INDEX(BookRate,2039)*(1+'5. Scenarios'!$D$10)*$N2044)</f>
        <v/>
      </c>
      <c r="P2044" s="57" t="str">
        <f aca="false">IF($O2044="","",SUMIFS($O$6:$O$2405,$A$6:$A$2405,"&lt;="&amp;$A2044))</f>
        <v/>
      </c>
      <c r="Q2044" s="57" t="str">
        <f aca="false">IF($O2044="","",IF($P2044&lt;=BankCostEnvelope*'5. Scenarios'!$D$7,1,0))</f>
        <v/>
      </c>
      <c r="R2044" s="57" t="str">
        <f aca="false">IF($N2044="","",INDEX(BookRate,2039)*(1+'5. Scenarios'!$D$10)*(INDEX(BookQ1,2039)*(5-MIN(4,1+'5. Scenarios'!$D$8))/4+INDEX(BookQ2,2039)*(5-MIN(4,2+'5. Scenarios'!$D$8))/4+INDEX(BookQ3,2039)*(5-MIN(4,3+'5. Scenarios'!$D$8))/4+INDEX(BookQ4,2039)*(5-MIN(4,4+'5. Scenarios'!$D$8))/4)*'5. Scenarios'!$D$6/(1+ProductivityDefault*('5. Scenarios'!$D$11-1))+INDEX(BookOneOff,2039)*$N2044)</f>
        <v/>
      </c>
      <c r="S2044" s="56" t="str">
        <f aca="false">IF(INDEX(BookTitle,2039)="","",INDEX(BookTotal,2039)*'5. Scenarios'!$E$6/(1+ProductivityDefault*('5. Scenarios'!$E$11-1)))</f>
        <v/>
      </c>
      <c r="T2044" s="57" t="str">
        <f aca="false">IF($S2044="","",INDEX(BookRate,2039)*(1+'5. Scenarios'!$E$10)*$S2044)</f>
        <v/>
      </c>
      <c r="U2044" s="57" t="str">
        <f aca="false">IF($T2044="","",SUMIFS($T$6:$T$2405,$A$6:$A$2405,"&lt;="&amp;$A2044))</f>
        <v/>
      </c>
      <c r="V2044" s="57" t="str">
        <f aca="false">IF($T2044="","",IF($U2044&lt;=BankCostEnvelope*'5. Scenarios'!$E$7,1,0))</f>
        <v/>
      </c>
      <c r="W2044" s="57" t="str">
        <f aca="false">IF($S2044="","",INDEX(BookRate,2039)*(1+'5. Scenarios'!$E$10)*(INDEX(BookQ1,2039)*(5-MIN(4,1+'5. Scenarios'!$E$8))/4+INDEX(BookQ2,2039)*(5-MIN(4,2+'5. Scenarios'!$E$8))/4+INDEX(BookQ3,2039)*(5-MIN(4,3+'5. Scenarios'!$E$8))/4+INDEX(BookQ4,2039)*(5-MIN(4,4+'5. Scenarios'!$E$8))/4)*'5. Scenarios'!$E$6/(1+ProductivityDefault*('5. Scenarios'!$E$11-1))+INDEX(BookOneOff,2039)*$S2044)</f>
        <v/>
      </c>
    </row>
    <row r="2045" customFormat="false" ht="15" hidden="false" customHeight="false" outlineLevel="0" collapsed="false">
      <c r="A2045" s="0" t="str">
        <f aca="false">IF(INDEX(BookTitle,2040)="","",INDEX(BookKey,2040))</f>
        <v/>
      </c>
      <c r="B2045" s="0" t="str">
        <f aca="false">IF(INDEX(BookTitle,2040)="","",INDEX(BookGroup,2040))</f>
        <v/>
      </c>
      <c r="C2045" s="0" t="str">
        <f aca="false">IF(INDEX(BookTitle,2040)="","",INDEX(BookCategory,2040))</f>
        <v/>
      </c>
      <c r="D2045" s="56" t="str">
        <f aca="false">IF(INDEX(BookTitle,2040)="","",INDEX(BookTotal,2040)*'5. Scenarios'!$B$6/(1+ProductivityDefault*('5. Scenarios'!$B$11-1)))</f>
        <v/>
      </c>
      <c r="E2045" s="57" t="str">
        <f aca="false">IF($D2045="","",INDEX(BookRate,2040)*(1+'5. Scenarios'!$B$10)*$D2045)</f>
        <v/>
      </c>
      <c r="F2045" s="57" t="str">
        <f aca="false">IF($E2045="","",SUMIFS($E$6:$E$2405,$A$6:$A$2405,"&lt;="&amp;$A2045))</f>
        <v/>
      </c>
      <c r="G2045" s="57" t="str">
        <f aca="false">IF($E2045="","",IF($F2045&lt;=BankCostEnvelope*'5. Scenarios'!$B$7,1,0))</f>
        <v/>
      </c>
      <c r="H2045" s="57" t="str">
        <f aca="false">IF($D2045="","",INDEX(BookRate,2040)*(1+'5. Scenarios'!$B$10)*(INDEX(BookQ1,2040)*(5-MIN(4,1+'5. Scenarios'!$B$8))/4+INDEX(BookQ2,2040)*(5-MIN(4,2+'5. Scenarios'!$B$8))/4+INDEX(BookQ3,2040)*(5-MIN(4,3+'5. Scenarios'!$B$8))/4+INDEX(BookQ4,2040)*(5-MIN(4,4+'5. Scenarios'!$B$8))/4)*'5. Scenarios'!$B$6/(1+ProductivityDefault*('5. Scenarios'!$B$11-1))+INDEX(BookOneOff,2040)*$D2045)</f>
        <v/>
      </c>
      <c r="I2045" s="56" t="str">
        <f aca="false">IF(INDEX(BookTitle,2040)="","",INDEX(BookTotal,2040)*'5. Scenarios'!$C$6/(1+ProductivityDefault*('5. Scenarios'!$C$11-1)))</f>
        <v/>
      </c>
      <c r="J2045" s="57" t="str">
        <f aca="false">IF($I2045="","",INDEX(BookRate,2040)*(1+'5. Scenarios'!$C$10)*$I2045)</f>
        <v/>
      </c>
      <c r="K2045" s="57" t="str">
        <f aca="false">IF($J2045="","",SUMIFS($J$6:$J$2405,$A$6:$A$2405,"&lt;="&amp;$A2045))</f>
        <v/>
      </c>
      <c r="L2045" s="57" t="str">
        <f aca="false">IF($J2045="","",IF($K2045&lt;=BankCostEnvelope*'5. Scenarios'!$C$7,1,0))</f>
        <v/>
      </c>
      <c r="M2045" s="57" t="str">
        <f aca="false">IF($I2045="","",INDEX(BookRate,2040)*(1+'5. Scenarios'!$C$10)*(INDEX(BookQ1,2040)*(5-MIN(4,1+'5. Scenarios'!$C$8))/4+INDEX(BookQ2,2040)*(5-MIN(4,2+'5. Scenarios'!$C$8))/4+INDEX(BookQ3,2040)*(5-MIN(4,3+'5. Scenarios'!$C$8))/4+INDEX(BookQ4,2040)*(5-MIN(4,4+'5. Scenarios'!$C$8))/4)*'5. Scenarios'!$C$6/(1+ProductivityDefault*('5. Scenarios'!$C$11-1))+INDEX(BookOneOff,2040)*$I2045)</f>
        <v/>
      </c>
      <c r="N2045" s="56" t="str">
        <f aca="false">IF(INDEX(BookTitle,2040)="","",INDEX(BookTotal,2040)*'5. Scenarios'!$D$6/(1+ProductivityDefault*('5. Scenarios'!$D$11-1)))</f>
        <v/>
      </c>
      <c r="O2045" s="57" t="str">
        <f aca="false">IF($N2045="","",INDEX(BookRate,2040)*(1+'5. Scenarios'!$D$10)*$N2045)</f>
        <v/>
      </c>
      <c r="P2045" s="57" t="str">
        <f aca="false">IF($O2045="","",SUMIFS($O$6:$O$2405,$A$6:$A$2405,"&lt;="&amp;$A2045))</f>
        <v/>
      </c>
      <c r="Q2045" s="57" t="str">
        <f aca="false">IF($O2045="","",IF($P2045&lt;=BankCostEnvelope*'5. Scenarios'!$D$7,1,0))</f>
        <v/>
      </c>
      <c r="R2045" s="57" t="str">
        <f aca="false">IF($N2045="","",INDEX(BookRate,2040)*(1+'5. Scenarios'!$D$10)*(INDEX(BookQ1,2040)*(5-MIN(4,1+'5. Scenarios'!$D$8))/4+INDEX(BookQ2,2040)*(5-MIN(4,2+'5. Scenarios'!$D$8))/4+INDEX(BookQ3,2040)*(5-MIN(4,3+'5. Scenarios'!$D$8))/4+INDEX(BookQ4,2040)*(5-MIN(4,4+'5. Scenarios'!$D$8))/4)*'5. Scenarios'!$D$6/(1+ProductivityDefault*('5. Scenarios'!$D$11-1))+INDEX(BookOneOff,2040)*$N2045)</f>
        <v/>
      </c>
      <c r="S2045" s="56" t="str">
        <f aca="false">IF(INDEX(BookTitle,2040)="","",INDEX(BookTotal,2040)*'5. Scenarios'!$E$6/(1+ProductivityDefault*('5. Scenarios'!$E$11-1)))</f>
        <v/>
      </c>
      <c r="T2045" s="57" t="str">
        <f aca="false">IF($S2045="","",INDEX(BookRate,2040)*(1+'5. Scenarios'!$E$10)*$S2045)</f>
        <v/>
      </c>
      <c r="U2045" s="57" t="str">
        <f aca="false">IF($T2045="","",SUMIFS($T$6:$T$2405,$A$6:$A$2405,"&lt;="&amp;$A2045))</f>
        <v/>
      </c>
      <c r="V2045" s="57" t="str">
        <f aca="false">IF($T2045="","",IF($U2045&lt;=BankCostEnvelope*'5. Scenarios'!$E$7,1,0))</f>
        <v/>
      </c>
      <c r="W2045" s="57" t="str">
        <f aca="false">IF($S2045="","",INDEX(BookRate,2040)*(1+'5. Scenarios'!$E$10)*(INDEX(BookQ1,2040)*(5-MIN(4,1+'5. Scenarios'!$E$8))/4+INDEX(BookQ2,2040)*(5-MIN(4,2+'5. Scenarios'!$E$8))/4+INDEX(BookQ3,2040)*(5-MIN(4,3+'5. Scenarios'!$E$8))/4+INDEX(BookQ4,2040)*(5-MIN(4,4+'5. Scenarios'!$E$8))/4)*'5. Scenarios'!$E$6/(1+ProductivityDefault*('5. Scenarios'!$E$11-1))+INDEX(BookOneOff,2040)*$S2045)</f>
        <v/>
      </c>
    </row>
    <row r="2046" customFormat="false" ht="15" hidden="false" customHeight="false" outlineLevel="0" collapsed="false">
      <c r="A2046" s="0" t="str">
        <f aca="false">IF(INDEX(BookTitle,2041)="","",INDEX(BookKey,2041))</f>
        <v/>
      </c>
      <c r="B2046" s="0" t="str">
        <f aca="false">IF(INDEX(BookTitle,2041)="","",INDEX(BookGroup,2041))</f>
        <v/>
      </c>
      <c r="C2046" s="0" t="str">
        <f aca="false">IF(INDEX(BookTitle,2041)="","",INDEX(BookCategory,2041))</f>
        <v/>
      </c>
      <c r="D2046" s="56" t="str">
        <f aca="false">IF(INDEX(BookTitle,2041)="","",INDEX(BookTotal,2041)*'5. Scenarios'!$B$6/(1+ProductivityDefault*('5. Scenarios'!$B$11-1)))</f>
        <v/>
      </c>
      <c r="E2046" s="57" t="str">
        <f aca="false">IF($D2046="","",INDEX(BookRate,2041)*(1+'5. Scenarios'!$B$10)*$D2046)</f>
        <v/>
      </c>
      <c r="F2046" s="57" t="str">
        <f aca="false">IF($E2046="","",SUMIFS($E$6:$E$2405,$A$6:$A$2405,"&lt;="&amp;$A2046))</f>
        <v/>
      </c>
      <c r="G2046" s="57" t="str">
        <f aca="false">IF($E2046="","",IF($F2046&lt;=BankCostEnvelope*'5. Scenarios'!$B$7,1,0))</f>
        <v/>
      </c>
      <c r="H2046" s="57" t="str">
        <f aca="false">IF($D2046="","",INDEX(BookRate,2041)*(1+'5. Scenarios'!$B$10)*(INDEX(BookQ1,2041)*(5-MIN(4,1+'5. Scenarios'!$B$8))/4+INDEX(BookQ2,2041)*(5-MIN(4,2+'5. Scenarios'!$B$8))/4+INDEX(BookQ3,2041)*(5-MIN(4,3+'5. Scenarios'!$B$8))/4+INDEX(BookQ4,2041)*(5-MIN(4,4+'5. Scenarios'!$B$8))/4)*'5. Scenarios'!$B$6/(1+ProductivityDefault*('5. Scenarios'!$B$11-1))+INDEX(BookOneOff,2041)*$D2046)</f>
        <v/>
      </c>
      <c r="I2046" s="56" t="str">
        <f aca="false">IF(INDEX(BookTitle,2041)="","",INDEX(BookTotal,2041)*'5. Scenarios'!$C$6/(1+ProductivityDefault*('5. Scenarios'!$C$11-1)))</f>
        <v/>
      </c>
      <c r="J2046" s="57" t="str">
        <f aca="false">IF($I2046="","",INDEX(BookRate,2041)*(1+'5. Scenarios'!$C$10)*$I2046)</f>
        <v/>
      </c>
      <c r="K2046" s="57" t="str">
        <f aca="false">IF($J2046="","",SUMIFS($J$6:$J$2405,$A$6:$A$2405,"&lt;="&amp;$A2046))</f>
        <v/>
      </c>
      <c r="L2046" s="57" t="str">
        <f aca="false">IF($J2046="","",IF($K2046&lt;=BankCostEnvelope*'5. Scenarios'!$C$7,1,0))</f>
        <v/>
      </c>
      <c r="M2046" s="57" t="str">
        <f aca="false">IF($I2046="","",INDEX(BookRate,2041)*(1+'5. Scenarios'!$C$10)*(INDEX(BookQ1,2041)*(5-MIN(4,1+'5. Scenarios'!$C$8))/4+INDEX(BookQ2,2041)*(5-MIN(4,2+'5. Scenarios'!$C$8))/4+INDEX(BookQ3,2041)*(5-MIN(4,3+'5. Scenarios'!$C$8))/4+INDEX(BookQ4,2041)*(5-MIN(4,4+'5. Scenarios'!$C$8))/4)*'5. Scenarios'!$C$6/(1+ProductivityDefault*('5. Scenarios'!$C$11-1))+INDEX(BookOneOff,2041)*$I2046)</f>
        <v/>
      </c>
      <c r="N2046" s="56" t="str">
        <f aca="false">IF(INDEX(BookTitle,2041)="","",INDEX(BookTotal,2041)*'5. Scenarios'!$D$6/(1+ProductivityDefault*('5. Scenarios'!$D$11-1)))</f>
        <v/>
      </c>
      <c r="O2046" s="57" t="str">
        <f aca="false">IF($N2046="","",INDEX(BookRate,2041)*(1+'5. Scenarios'!$D$10)*$N2046)</f>
        <v/>
      </c>
      <c r="P2046" s="57" t="str">
        <f aca="false">IF($O2046="","",SUMIFS($O$6:$O$2405,$A$6:$A$2405,"&lt;="&amp;$A2046))</f>
        <v/>
      </c>
      <c r="Q2046" s="57" t="str">
        <f aca="false">IF($O2046="","",IF($P2046&lt;=BankCostEnvelope*'5. Scenarios'!$D$7,1,0))</f>
        <v/>
      </c>
      <c r="R2046" s="57" t="str">
        <f aca="false">IF($N2046="","",INDEX(BookRate,2041)*(1+'5. Scenarios'!$D$10)*(INDEX(BookQ1,2041)*(5-MIN(4,1+'5. Scenarios'!$D$8))/4+INDEX(BookQ2,2041)*(5-MIN(4,2+'5. Scenarios'!$D$8))/4+INDEX(BookQ3,2041)*(5-MIN(4,3+'5. Scenarios'!$D$8))/4+INDEX(BookQ4,2041)*(5-MIN(4,4+'5. Scenarios'!$D$8))/4)*'5. Scenarios'!$D$6/(1+ProductivityDefault*('5. Scenarios'!$D$11-1))+INDEX(BookOneOff,2041)*$N2046)</f>
        <v/>
      </c>
      <c r="S2046" s="56" t="str">
        <f aca="false">IF(INDEX(BookTitle,2041)="","",INDEX(BookTotal,2041)*'5. Scenarios'!$E$6/(1+ProductivityDefault*('5. Scenarios'!$E$11-1)))</f>
        <v/>
      </c>
      <c r="T2046" s="57" t="str">
        <f aca="false">IF($S2046="","",INDEX(BookRate,2041)*(1+'5. Scenarios'!$E$10)*$S2046)</f>
        <v/>
      </c>
      <c r="U2046" s="57" t="str">
        <f aca="false">IF($T2046="","",SUMIFS($T$6:$T$2405,$A$6:$A$2405,"&lt;="&amp;$A2046))</f>
        <v/>
      </c>
      <c r="V2046" s="57" t="str">
        <f aca="false">IF($T2046="","",IF($U2046&lt;=BankCostEnvelope*'5. Scenarios'!$E$7,1,0))</f>
        <v/>
      </c>
      <c r="W2046" s="57" t="str">
        <f aca="false">IF($S2046="","",INDEX(BookRate,2041)*(1+'5. Scenarios'!$E$10)*(INDEX(BookQ1,2041)*(5-MIN(4,1+'5. Scenarios'!$E$8))/4+INDEX(BookQ2,2041)*(5-MIN(4,2+'5. Scenarios'!$E$8))/4+INDEX(BookQ3,2041)*(5-MIN(4,3+'5. Scenarios'!$E$8))/4+INDEX(BookQ4,2041)*(5-MIN(4,4+'5. Scenarios'!$E$8))/4)*'5. Scenarios'!$E$6/(1+ProductivityDefault*('5. Scenarios'!$E$11-1))+INDEX(BookOneOff,2041)*$S2046)</f>
        <v/>
      </c>
    </row>
    <row r="2047" customFormat="false" ht="15" hidden="false" customHeight="false" outlineLevel="0" collapsed="false">
      <c r="A2047" s="0" t="str">
        <f aca="false">IF(INDEX(BookTitle,2042)="","",INDEX(BookKey,2042))</f>
        <v/>
      </c>
      <c r="B2047" s="0" t="str">
        <f aca="false">IF(INDEX(BookTitle,2042)="","",INDEX(BookGroup,2042))</f>
        <v/>
      </c>
      <c r="C2047" s="0" t="str">
        <f aca="false">IF(INDEX(BookTitle,2042)="","",INDEX(BookCategory,2042))</f>
        <v/>
      </c>
      <c r="D2047" s="56" t="str">
        <f aca="false">IF(INDEX(BookTitle,2042)="","",INDEX(BookTotal,2042)*'5. Scenarios'!$B$6/(1+ProductivityDefault*('5. Scenarios'!$B$11-1)))</f>
        <v/>
      </c>
      <c r="E2047" s="57" t="str">
        <f aca="false">IF($D2047="","",INDEX(BookRate,2042)*(1+'5. Scenarios'!$B$10)*$D2047)</f>
        <v/>
      </c>
      <c r="F2047" s="57" t="str">
        <f aca="false">IF($E2047="","",SUMIFS($E$6:$E$2405,$A$6:$A$2405,"&lt;="&amp;$A2047))</f>
        <v/>
      </c>
      <c r="G2047" s="57" t="str">
        <f aca="false">IF($E2047="","",IF($F2047&lt;=BankCostEnvelope*'5. Scenarios'!$B$7,1,0))</f>
        <v/>
      </c>
      <c r="H2047" s="57" t="str">
        <f aca="false">IF($D2047="","",INDEX(BookRate,2042)*(1+'5. Scenarios'!$B$10)*(INDEX(BookQ1,2042)*(5-MIN(4,1+'5. Scenarios'!$B$8))/4+INDEX(BookQ2,2042)*(5-MIN(4,2+'5. Scenarios'!$B$8))/4+INDEX(BookQ3,2042)*(5-MIN(4,3+'5. Scenarios'!$B$8))/4+INDEX(BookQ4,2042)*(5-MIN(4,4+'5. Scenarios'!$B$8))/4)*'5. Scenarios'!$B$6/(1+ProductivityDefault*('5. Scenarios'!$B$11-1))+INDEX(BookOneOff,2042)*$D2047)</f>
        <v/>
      </c>
      <c r="I2047" s="56" t="str">
        <f aca="false">IF(INDEX(BookTitle,2042)="","",INDEX(BookTotal,2042)*'5. Scenarios'!$C$6/(1+ProductivityDefault*('5. Scenarios'!$C$11-1)))</f>
        <v/>
      </c>
      <c r="J2047" s="57" t="str">
        <f aca="false">IF($I2047="","",INDEX(BookRate,2042)*(1+'5. Scenarios'!$C$10)*$I2047)</f>
        <v/>
      </c>
      <c r="K2047" s="57" t="str">
        <f aca="false">IF($J2047="","",SUMIFS($J$6:$J$2405,$A$6:$A$2405,"&lt;="&amp;$A2047))</f>
        <v/>
      </c>
      <c r="L2047" s="57" t="str">
        <f aca="false">IF($J2047="","",IF($K2047&lt;=BankCostEnvelope*'5. Scenarios'!$C$7,1,0))</f>
        <v/>
      </c>
      <c r="M2047" s="57" t="str">
        <f aca="false">IF($I2047="","",INDEX(BookRate,2042)*(1+'5. Scenarios'!$C$10)*(INDEX(BookQ1,2042)*(5-MIN(4,1+'5. Scenarios'!$C$8))/4+INDEX(BookQ2,2042)*(5-MIN(4,2+'5. Scenarios'!$C$8))/4+INDEX(BookQ3,2042)*(5-MIN(4,3+'5. Scenarios'!$C$8))/4+INDEX(BookQ4,2042)*(5-MIN(4,4+'5. Scenarios'!$C$8))/4)*'5. Scenarios'!$C$6/(1+ProductivityDefault*('5. Scenarios'!$C$11-1))+INDEX(BookOneOff,2042)*$I2047)</f>
        <v/>
      </c>
      <c r="N2047" s="56" t="str">
        <f aca="false">IF(INDEX(BookTitle,2042)="","",INDEX(BookTotal,2042)*'5. Scenarios'!$D$6/(1+ProductivityDefault*('5. Scenarios'!$D$11-1)))</f>
        <v/>
      </c>
      <c r="O2047" s="57" t="str">
        <f aca="false">IF($N2047="","",INDEX(BookRate,2042)*(1+'5. Scenarios'!$D$10)*$N2047)</f>
        <v/>
      </c>
      <c r="P2047" s="57" t="str">
        <f aca="false">IF($O2047="","",SUMIFS($O$6:$O$2405,$A$6:$A$2405,"&lt;="&amp;$A2047))</f>
        <v/>
      </c>
      <c r="Q2047" s="57" t="str">
        <f aca="false">IF($O2047="","",IF($P2047&lt;=BankCostEnvelope*'5. Scenarios'!$D$7,1,0))</f>
        <v/>
      </c>
      <c r="R2047" s="57" t="str">
        <f aca="false">IF($N2047="","",INDEX(BookRate,2042)*(1+'5. Scenarios'!$D$10)*(INDEX(BookQ1,2042)*(5-MIN(4,1+'5. Scenarios'!$D$8))/4+INDEX(BookQ2,2042)*(5-MIN(4,2+'5. Scenarios'!$D$8))/4+INDEX(BookQ3,2042)*(5-MIN(4,3+'5. Scenarios'!$D$8))/4+INDEX(BookQ4,2042)*(5-MIN(4,4+'5. Scenarios'!$D$8))/4)*'5. Scenarios'!$D$6/(1+ProductivityDefault*('5. Scenarios'!$D$11-1))+INDEX(BookOneOff,2042)*$N2047)</f>
        <v/>
      </c>
      <c r="S2047" s="56" t="str">
        <f aca="false">IF(INDEX(BookTitle,2042)="","",INDEX(BookTotal,2042)*'5. Scenarios'!$E$6/(1+ProductivityDefault*('5. Scenarios'!$E$11-1)))</f>
        <v/>
      </c>
      <c r="T2047" s="57" t="str">
        <f aca="false">IF($S2047="","",INDEX(BookRate,2042)*(1+'5. Scenarios'!$E$10)*$S2047)</f>
        <v/>
      </c>
      <c r="U2047" s="57" t="str">
        <f aca="false">IF($T2047="","",SUMIFS($T$6:$T$2405,$A$6:$A$2405,"&lt;="&amp;$A2047))</f>
        <v/>
      </c>
      <c r="V2047" s="57" t="str">
        <f aca="false">IF($T2047="","",IF($U2047&lt;=BankCostEnvelope*'5. Scenarios'!$E$7,1,0))</f>
        <v/>
      </c>
      <c r="W2047" s="57" t="str">
        <f aca="false">IF($S2047="","",INDEX(BookRate,2042)*(1+'5. Scenarios'!$E$10)*(INDEX(BookQ1,2042)*(5-MIN(4,1+'5. Scenarios'!$E$8))/4+INDEX(BookQ2,2042)*(5-MIN(4,2+'5. Scenarios'!$E$8))/4+INDEX(BookQ3,2042)*(5-MIN(4,3+'5. Scenarios'!$E$8))/4+INDEX(BookQ4,2042)*(5-MIN(4,4+'5. Scenarios'!$E$8))/4)*'5. Scenarios'!$E$6/(1+ProductivityDefault*('5. Scenarios'!$E$11-1))+INDEX(BookOneOff,2042)*$S2047)</f>
        <v/>
      </c>
    </row>
    <row r="2048" customFormat="false" ht="15" hidden="false" customHeight="false" outlineLevel="0" collapsed="false">
      <c r="A2048" s="0" t="str">
        <f aca="false">IF(INDEX(BookTitle,2043)="","",INDEX(BookKey,2043))</f>
        <v/>
      </c>
      <c r="B2048" s="0" t="str">
        <f aca="false">IF(INDEX(BookTitle,2043)="","",INDEX(BookGroup,2043))</f>
        <v/>
      </c>
      <c r="C2048" s="0" t="str">
        <f aca="false">IF(INDEX(BookTitle,2043)="","",INDEX(BookCategory,2043))</f>
        <v/>
      </c>
      <c r="D2048" s="56" t="str">
        <f aca="false">IF(INDEX(BookTitle,2043)="","",INDEX(BookTotal,2043)*'5. Scenarios'!$B$6/(1+ProductivityDefault*('5. Scenarios'!$B$11-1)))</f>
        <v/>
      </c>
      <c r="E2048" s="57" t="str">
        <f aca="false">IF($D2048="","",INDEX(BookRate,2043)*(1+'5. Scenarios'!$B$10)*$D2048)</f>
        <v/>
      </c>
      <c r="F2048" s="57" t="str">
        <f aca="false">IF($E2048="","",SUMIFS($E$6:$E$2405,$A$6:$A$2405,"&lt;="&amp;$A2048))</f>
        <v/>
      </c>
      <c r="G2048" s="57" t="str">
        <f aca="false">IF($E2048="","",IF($F2048&lt;=BankCostEnvelope*'5. Scenarios'!$B$7,1,0))</f>
        <v/>
      </c>
      <c r="H2048" s="57" t="str">
        <f aca="false">IF($D2048="","",INDEX(BookRate,2043)*(1+'5. Scenarios'!$B$10)*(INDEX(BookQ1,2043)*(5-MIN(4,1+'5. Scenarios'!$B$8))/4+INDEX(BookQ2,2043)*(5-MIN(4,2+'5. Scenarios'!$B$8))/4+INDEX(BookQ3,2043)*(5-MIN(4,3+'5. Scenarios'!$B$8))/4+INDEX(BookQ4,2043)*(5-MIN(4,4+'5. Scenarios'!$B$8))/4)*'5. Scenarios'!$B$6/(1+ProductivityDefault*('5. Scenarios'!$B$11-1))+INDEX(BookOneOff,2043)*$D2048)</f>
        <v/>
      </c>
      <c r="I2048" s="56" t="str">
        <f aca="false">IF(INDEX(BookTitle,2043)="","",INDEX(BookTotal,2043)*'5. Scenarios'!$C$6/(1+ProductivityDefault*('5. Scenarios'!$C$11-1)))</f>
        <v/>
      </c>
      <c r="J2048" s="57" t="str">
        <f aca="false">IF($I2048="","",INDEX(BookRate,2043)*(1+'5. Scenarios'!$C$10)*$I2048)</f>
        <v/>
      </c>
      <c r="K2048" s="57" t="str">
        <f aca="false">IF($J2048="","",SUMIFS($J$6:$J$2405,$A$6:$A$2405,"&lt;="&amp;$A2048))</f>
        <v/>
      </c>
      <c r="L2048" s="57" t="str">
        <f aca="false">IF($J2048="","",IF($K2048&lt;=BankCostEnvelope*'5. Scenarios'!$C$7,1,0))</f>
        <v/>
      </c>
      <c r="M2048" s="57" t="str">
        <f aca="false">IF($I2048="","",INDEX(BookRate,2043)*(1+'5. Scenarios'!$C$10)*(INDEX(BookQ1,2043)*(5-MIN(4,1+'5. Scenarios'!$C$8))/4+INDEX(BookQ2,2043)*(5-MIN(4,2+'5. Scenarios'!$C$8))/4+INDEX(BookQ3,2043)*(5-MIN(4,3+'5. Scenarios'!$C$8))/4+INDEX(BookQ4,2043)*(5-MIN(4,4+'5. Scenarios'!$C$8))/4)*'5. Scenarios'!$C$6/(1+ProductivityDefault*('5. Scenarios'!$C$11-1))+INDEX(BookOneOff,2043)*$I2048)</f>
        <v/>
      </c>
      <c r="N2048" s="56" t="str">
        <f aca="false">IF(INDEX(BookTitle,2043)="","",INDEX(BookTotal,2043)*'5. Scenarios'!$D$6/(1+ProductivityDefault*('5. Scenarios'!$D$11-1)))</f>
        <v/>
      </c>
      <c r="O2048" s="57" t="str">
        <f aca="false">IF($N2048="","",INDEX(BookRate,2043)*(1+'5. Scenarios'!$D$10)*$N2048)</f>
        <v/>
      </c>
      <c r="P2048" s="57" t="str">
        <f aca="false">IF($O2048="","",SUMIFS($O$6:$O$2405,$A$6:$A$2405,"&lt;="&amp;$A2048))</f>
        <v/>
      </c>
      <c r="Q2048" s="57" t="str">
        <f aca="false">IF($O2048="","",IF($P2048&lt;=BankCostEnvelope*'5. Scenarios'!$D$7,1,0))</f>
        <v/>
      </c>
      <c r="R2048" s="57" t="str">
        <f aca="false">IF($N2048="","",INDEX(BookRate,2043)*(1+'5. Scenarios'!$D$10)*(INDEX(BookQ1,2043)*(5-MIN(4,1+'5. Scenarios'!$D$8))/4+INDEX(BookQ2,2043)*(5-MIN(4,2+'5. Scenarios'!$D$8))/4+INDEX(BookQ3,2043)*(5-MIN(4,3+'5. Scenarios'!$D$8))/4+INDEX(BookQ4,2043)*(5-MIN(4,4+'5. Scenarios'!$D$8))/4)*'5. Scenarios'!$D$6/(1+ProductivityDefault*('5. Scenarios'!$D$11-1))+INDEX(BookOneOff,2043)*$N2048)</f>
        <v/>
      </c>
      <c r="S2048" s="56" t="str">
        <f aca="false">IF(INDEX(BookTitle,2043)="","",INDEX(BookTotal,2043)*'5. Scenarios'!$E$6/(1+ProductivityDefault*('5. Scenarios'!$E$11-1)))</f>
        <v/>
      </c>
      <c r="T2048" s="57" t="str">
        <f aca="false">IF($S2048="","",INDEX(BookRate,2043)*(1+'5. Scenarios'!$E$10)*$S2048)</f>
        <v/>
      </c>
      <c r="U2048" s="57" t="str">
        <f aca="false">IF($T2048="","",SUMIFS($T$6:$T$2405,$A$6:$A$2405,"&lt;="&amp;$A2048))</f>
        <v/>
      </c>
      <c r="V2048" s="57" t="str">
        <f aca="false">IF($T2048="","",IF($U2048&lt;=BankCostEnvelope*'5. Scenarios'!$E$7,1,0))</f>
        <v/>
      </c>
      <c r="W2048" s="57" t="str">
        <f aca="false">IF($S2048="","",INDEX(BookRate,2043)*(1+'5. Scenarios'!$E$10)*(INDEX(BookQ1,2043)*(5-MIN(4,1+'5. Scenarios'!$E$8))/4+INDEX(BookQ2,2043)*(5-MIN(4,2+'5. Scenarios'!$E$8))/4+INDEX(BookQ3,2043)*(5-MIN(4,3+'5. Scenarios'!$E$8))/4+INDEX(BookQ4,2043)*(5-MIN(4,4+'5. Scenarios'!$E$8))/4)*'5. Scenarios'!$E$6/(1+ProductivityDefault*('5. Scenarios'!$E$11-1))+INDEX(BookOneOff,2043)*$S2048)</f>
        <v/>
      </c>
    </row>
    <row r="2049" customFormat="false" ht="15" hidden="false" customHeight="false" outlineLevel="0" collapsed="false">
      <c r="A2049" s="0" t="str">
        <f aca="false">IF(INDEX(BookTitle,2044)="","",INDEX(BookKey,2044))</f>
        <v/>
      </c>
      <c r="B2049" s="0" t="str">
        <f aca="false">IF(INDEX(BookTitle,2044)="","",INDEX(BookGroup,2044))</f>
        <v/>
      </c>
      <c r="C2049" s="0" t="str">
        <f aca="false">IF(INDEX(BookTitle,2044)="","",INDEX(BookCategory,2044))</f>
        <v/>
      </c>
      <c r="D2049" s="56" t="str">
        <f aca="false">IF(INDEX(BookTitle,2044)="","",INDEX(BookTotal,2044)*'5. Scenarios'!$B$6/(1+ProductivityDefault*('5. Scenarios'!$B$11-1)))</f>
        <v/>
      </c>
      <c r="E2049" s="57" t="str">
        <f aca="false">IF($D2049="","",INDEX(BookRate,2044)*(1+'5. Scenarios'!$B$10)*$D2049)</f>
        <v/>
      </c>
      <c r="F2049" s="57" t="str">
        <f aca="false">IF($E2049="","",SUMIFS($E$6:$E$2405,$A$6:$A$2405,"&lt;="&amp;$A2049))</f>
        <v/>
      </c>
      <c r="G2049" s="57" t="str">
        <f aca="false">IF($E2049="","",IF($F2049&lt;=BankCostEnvelope*'5. Scenarios'!$B$7,1,0))</f>
        <v/>
      </c>
      <c r="H2049" s="57" t="str">
        <f aca="false">IF($D2049="","",INDEX(BookRate,2044)*(1+'5. Scenarios'!$B$10)*(INDEX(BookQ1,2044)*(5-MIN(4,1+'5. Scenarios'!$B$8))/4+INDEX(BookQ2,2044)*(5-MIN(4,2+'5. Scenarios'!$B$8))/4+INDEX(BookQ3,2044)*(5-MIN(4,3+'5. Scenarios'!$B$8))/4+INDEX(BookQ4,2044)*(5-MIN(4,4+'5. Scenarios'!$B$8))/4)*'5. Scenarios'!$B$6/(1+ProductivityDefault*('5. Scenarios'!$B$11-1))+INDEX(BookOneOff,2044)*$D2049)</f>
        <v/>
      </c>
      <c r="I2049" s="56" t="str">
        <f aca="false">IF(INDEX(BookTitle,2044)="","",INDEX(BookTotal,2044)*'5. Scenarios'!$C$6/(1+ProductivityDefault*('5. Scenarios'!$C$11-1)))</f>
        <v/>
      </c>
      <c r="J2049" s="57" t="str">
        <f aca="false">IF($I2049="","",INDEX(BookRate,2044)*(1+'5. Scenarios'!$C$10)*$I2049)</f>
        <v/>
      </c>
      <c r="K2049" s="57" t="str">
        <f aca="false">IF($J2049="","",SUMIFS($J$6:$J$2405,$A$6:$A$2405,"&lt;="&amp;$A2049))</f>
        <v/>
      </c>
      <c r="L2049" s="57" t="str">
        <f aca="false">IF($J2049="","",IF($K2049&lt;=BankCostEnvelope*'5. Scenarios'!$C$7,1,0))</f>
        <v/>
      </c>
      <c r="M2049" s="57" t="str">
        <f aca="false">IF($I2049="","",INDEX(BookRate,2044)*(1+'5. Scenarios'!$C$10)*(INDEX(BookQ1,2044)*(5-MIN(4,1+'5. Scenarios'!$C$8))/4+INDEX(BookQ2,2044)*(5-MIN(4,2+'5. Scenarios'!$C$8))/4+INDEX(BookQ3,2044)*(5-MIN(4,3+'5. Scenarios'!$C$8))/4+INDEX(BookQ4,2044)*(5-MIN(4,4+'5. Scenarios'!$C$8))/4)*'5. Scenarios'!$C$6/(1+ProductivityDefault*('5. Scenarios'!$C$11-1))+INDEX(BookOneOff,2044)*$I2049)</f>
        <v/>
      </c>
      <c r="N2049" s="56" t="str">
        <f aca="false">IF(INDEX(BookTitle,2044)="","",INDEX(BookTotal,2044)*'5. Scenarios'!$D$6/(1+ProductivityDefault*('5. Scenarios'!$D$11-1)))</f>
        <v/>
      </c>
      <c r="O2049" s="57" t="str">
        <f aca="false">IF($N2049="","",INDEX(BookRate,2044)*(1+'5. Scenarios'!$D$10)*$N2049)</f>
        <v/>
      </c>
      <c r="P2049" s="57" t="str">
        <f aca="false">IF($O2049="","",SUMIFS($O$6:$O$2405,$A$6:$A$2405,"&lt;="&amp;$A2049))</f>
        <v/>
      </c>
      <c r="Q2049" s="57" t="str">
        <f aca="false">IF($O2049="","",IF($P2049&lt;=BankCostEnvelope*'5. Scenarios'!$D$7,1,0))</f>
        <v/>
      </c>
      <c r="R2049" s="57" t="str">
        <f aca="false">IF($N2049="","",INDEX(BookRate,2044)*(1+'5. Scenarios'!$D$10)*(INDEX(BookQ1,2044)*(5-MIN(4,1+'5. Scenarios'!$D$8))/4+INDEX(BookQ2,2044)*(5-MIN(4,2+'5. Scenarios'!$D$8))/4+INDEX(BookQ3,2044)*(5-MIN(4,3+'5. Scenarios'!$D$8))/4+INDEX(BookQ4,2044)*(5-MIN(4,4+'5. Scenarios'!$D$8))/4)*'5. Scenarios'!$D$6/(1+ProductivityDefault*('5. Scenarios'!$D$11-1))+INDEX(BookOneOff,2044)*$N2049)</f>
        <v/>
      </c>
      <c r="S2049" s="56" t="str">
        <f aca="false">IF(INDEX(BookTitle,2044)="","",INDEX(BookTotal,2044)*'5. Scenarios'!$E$6/(1+ProductivityDefault*('5. Scenarios'!$E$11-1)))</f>
        <v/>
      </c>
      <c r="T2049" s="57" t="str">
        <f aca="false">IF($S2049="","",INDEX(BookRate,2044)*(1+'5. Scenarios'!$E$10)*$S2049)</f>
        <v/>
      </c>
      <c r="U2049" s="57" t="str">
        <f aca="false">IF($T2049="","",SUMIFS($T$6:$T$2405,$A$6:$A$2405,"&lt;="&amp;$A2049))</f>
        <v/>
      </c>
      <c r="V2049" s="57" t="str">
        <f aca="false">IF($T2049="","",IF($U2049&lt;=BankCostEnvelope*'5. Scenarios'!$E$7,1,0))</f>
        <v/>
      </c>
      <c r="W2049" s="57" t="str">
        <f aca="false">IF($S2049="","",INDEX(BookRate,2044)*(1+'5. Scenarios'!$E$10)*(INDEX(BookQ1,2044)*(5-MIN(4,1+'5. Scenarios'!$E$8))/4+INDEX(BookQ2,2044)*(5-MIN(4,2+'5. Scenarios'!$E$8))/4+INDEX(BookQ3,2044)*(5-MIN(4,3+'5. Scenarios'!$E$8))/4+INDEX(BookQ4,2044)*(5-MIN(4,4+'5. Scenarios'!$E$8))/4)*'5. Scenarios'!$E$6/(1+ProductivityDefault*('5. Scenarios'!$E$11-1))+INDEX(BookOneOff,2044)*$S2049)</f>
        <v/>
      </c>
    </row>
    <row r="2050" customFormat="false" ht="15" hidden="false" customHeight="false" outlineLevel="0" collapsed="false">
      <c r="A2050" s="0" t="str">
        <f aca="false">IF(INDEX(BookTitle,2045)="","",INDEX(BookKey,2045))</f>
        <v/>
      </c>
      <c r="B2050" s="0" t="str">
        <f aca="false">IF(INDEX(BookTitle,2045)="","",INDEX(BookGroup,2045))</f>
        <v/>
      </c>
      <c r="C2050" s="0" t="str">
        <f aca="false">IF(INDEX(BookTitle,2045)="","",INDEX(BookCategory,2045))</f>
        <v/>
      </c>
      <c r="D2050" s="56" t="str">
        <f aca="false">IF(INDEX(BookTitle,2045)="","",INDEX(BookTotal,2045)*'5. Scenarios'!$B$6/(1+ProductivityDefault*('5. Scenarios'!$B$11-1)))</f>
        <v/>
      </c>
      <c r="E2050" s="57" t="str">
        <f aca="false">IF($D2050="","",INDEX(BookRate,2045)*(1+'5. Scenarios'!$B$10)*$D2050)</f>
        <v/>
      </c>
      <c r="F2050" s="57" t="str">
        <f aca="false">IF($E2050="","",SUMIFS($E$6:$E$2405,$A$6:$A$2405,"&lt;="&amp;$A2050))</f>
        <v/>
      </c>
      <c r="G2050" s="57" t="str">
        <f aca="false">IF($E2050="","",IF($F2050&lt;=BankCostEnvelope*'5. Scenarios'!$B$7,1,0))</f>
        <v/>
      </c>
      <c r="H2050" s="57" t="str">
        <f aca="false">IF($D2050="","",INDEX(BookRate,2045)*(1+'5. Scenarios'!$B$10)*(INDEX(BookQ1,2045)*(5-MIN(4,1+'5. Scenarios'!$B$8))/4+INDEX(BookQ2,2045)*(5-MIN(4,2+'5. Scenarios'!$B$8))/4+INDEX(BookQ3,2045)*(5-MIN(4,3+'5. Scenarios'!$B$8))/4+INDEX(BookQ4,2045)*(5-MIN(4,4+'5. Scenarios'!$B$8))/4)*'5. Scenarios'!$B$6/(1+ProductivityDefault*('5. Scenarios'!$B$11-1))+INDEX(BookOneOff,2045)*$D2050)</f>
        <v/>
      </c>
      <c r="I2050" s="56" t="str">
        <f aca="false">IF(INDEX(BookTitle,2045)="","",INDEX(BookTotal,2045)*'5. Scenarios'!$C$6/(1+ProductivityDefault*('5. Scenarios'!$C$11-1)))</f>
        <v/>
      </c>
      <c r="J2050" s="57" t="str">
        <f aca="false">IF($I2050="","",INDEX(BookRate,2045)*(1+'5. Scenarios'!$C$10)*$I2050)</f>
        <v/>
      </c>
      <c r="K2050" s="57" t="str">
        <f aca="false">IF($J2050="","",SUMIFS($J$6:$J$2405,$A$6:$A$2405,"&lt;="&amp;$A2050))</f>
        <v/>
      </c>
      <c r="L2050" s="57" t="str">
        <f aca="false">IF($J2050="","",IF($K2050&lt;=BankCostEnvelope*'5. Scenarios'!$C$7,1,0))</f>
        <v/>
      </c>
      <c r="M2050" s="57" t="str">
        <f aca="false">IF($I2050="","",INDEX(BookRate,2045)*(1+'5. Scenarios'!$C$10)*(INDEX(BookQ1,2045)*(5-MIN(4,1+'5. Scenarios'!$C$8))/4+INDEX(BookQ2,2045)*(5-MIN(4,2+'5. Scenarios'!$C$8))/4+INDEX(BookQ3,2045)*(5-MIN(4,3+'5. Scenarios'!$C$8))/4+INDEX(BookQ4,2045)*(5-MIN(4,4+'5. Scenarios'!$C$8))/4)*'5. Scenarios'!$C$6/(1+ProductivityDefault*('5. Scenarios'!$C$11-1))+INDEX(BookOneOff,2045)*$I2050)</f>
        <v/>
      </c>
      <c r="N2050" s="56" t="str">
        <f aca="false">IF(INDEX(BookTitle,2045)="","",INDEX(BookTotal,2045)*'5. Scenarios'!$D$6/(1+ProductivityDefault*('5. Scenarios'!$D$11-1)))</f>
        <v/>
      </c>
      <c r="O2050" s="57" t="str">
        <f aca="false">IF($N2050="","",INDEX(BookRate,2045)*(1+'5. Scenarios'!$D$10)*$N2050)</f>
        <v/>
      </c>
      <c r="P2050" s="57" t="str">
        <f aca="false">IF($O2050="","",SUMIFS($O$6:$O$2405,$A$6:$A$2405,"&lt;="&amp;$A2050))</f>
        <v/>
      </c>
      <c r="Q2050" s="57" t="str">
        <f aca="false">IF($O2050="","",IF($P2050&lt;=BankCostEnvelope*'5. Scenarios'!$D$7,1,0))</f>
        <v/>
      </c>
      <c r="R2050" s="57" t="str">
        <f aca="false">IF($N2050="","",INDEX(BookRate,2045)*(1+'5. Scenarios'!$D$10)*(INDEX(BookQ1,2045)*(5-MIN(4,1+'5. Scenarios'!$D$8))/4+INDEX(BookQ2,2045)*(5-MIN(4,2+'5. Scenarios'!$D$8))/4+INDEX(BookQ3,2045)*(5-MIN(4,3+'5. Scenarios'!$D$8))/4+INDEX(BookQ4,2045)*(5-MIN(4,4+'5. Scenarios'!$D$8))/4)*'5. Scenarios'!$D$6/(1+ProductivityDefault*('5. Scenarios'!$D$11-1))+INDEX(BookOneOff,2045)*$N2050)</f>
        <v/>
      </c>
      <c r="S2050" s="56" t="str">
        <f aca="false">IF(INDEX(BookTitle,2045)="","",INDEX(BookTotal,2045)*'5. Scenarios'!$E$6/(1+ProductivityDefault*('5. Scenarios'!$E$11-1)))</f>
        <v/>
      </c>
      <c r="T2050" s="57" t="str">
        <f aca="false">IF($S2050="","",INDEX(BookRate,2045)*(1+'5. Scenarios'!$E$10)*$S2050)</f>
        <v/>
      </c>
      <c r="U2050" s="57" t="str">
        <f aca="false">IF($T2050="","",SUMIFS($T$6:$T$2405,$A$6:$A$2405,"&lt;="&amp;$A2050))</f>
        <v/>
      </c>
      <c r="V2050" s="57" t="str">
        <f aca="false">IF($T2050="","",IF($U2050&lt;=BankCostEnvelope*'5. Scenarios'!$E$7,1,0))</f>
        <v/>
      </c>
      <c r="W2050" s="57" t="str">
        <f aca="false">IF($S2050="","",INDEX(BookRate,2045)*(1+'5. Scenarios'!$E$10)*(INDEX(BookQ1,2045)*(5-MIN(4,1+'5. Scenarios'!$E$8))/4+INDEX(BookQ2,2045)*(5-MIN(4,2+'5. Scenarios'!$E$8))/4+INDEX(BookQ3,2045)*(5-MIN(4,3+'5. Scenarios'!$E$8))/4+INDEX(BookQ4,2045)*(5-MIN(4,4+'5. Scenarios'!$E$8))/4)*'5. Scenarios'!$E$6/(1+ProductivityDefault*('5. Scenarios'!$E$11-1))+INDEX(BookOneOff,2045)*$S2050)</f>
        <v/>
      </c>
    </row>
    <row r="2051" customFormat="false" ht="15" hidden="false" customHeight="false" outlineLevel="0" collapsed="false">
      <c r="A2051" s="0" t="str">
        <f aca="false">IF(INDEX(BookTitle,2046)="","",INDEX(BookKey,2046))</f>
        <v/>
      </c>
      <c r="B2051" s="0" t="str">
        <f aca="false">IF(INDEX(BookTitle,2046)="","",INDEX(BookGroup,2046))</f>
        <v/>
      </c>
      <c r="C2051" s="0" t="str">
        <f aca="false">IF(INDEX(BookTitle,2046)="","",INDEX(BookCategory,2046))</f>
        <v/>
      </c>
      <c r="D2051" s="56" t="str">
        <f aca="false">IF(INDEX(BookTitle,2046)="","",INDEX(BookTotal,2046)*'5. Scenarios'!$B$6/(1+ProductivityDefault*('5. Scenarios'!$B$11-1)))</f>
        <v/>
      </c>
      <c r="E2051" s="57" t="str">
        <f aca="false">IF($D2051="","",INDEX(BookRate,2046)*(1+'5. Scenarios'!$B$10)*$D2051)</f>
        <v/>
      </c>
      <c r="F2051" s="57" t="str">
        <f aca="false">IF($E2051="","",SUMIFS($E$6:$E$2405,$A$6:$A$2405,"&lt;="&amp;$A2051))</f>
        <v/>
      </c>
      <c r="G2051" s="57" t="str">
        <f aca="false">IF($E2051="","",IF($F2051&lt;=BankCostEnvelope*'5. Scenarios'!$B$7,1,0))</f>
        <v/>
      </c>
      <c r="H2051" s="57" t="str">
        <f aca="false">IF($D2051="","",INDEX(BookRate,2046)*(1+'5. Scenarios'!$B$10)*(INDEX(BookQ1,2046)*(5-MIN(4,1+'5. Scenarios'!$B$8))/4+INDEX(BookQ2,2046)*(5-MIN(4,2+'5. Scenarios'!$B$8))/4+INDEX(BookQ3,2046)*(5-MIN(4,3+'5. Scenarios'!$B$8))/4+INDEX(BookQ4,2046)*(5-MIN(4,4+'5. Scenarios'!$B$8))/4)*'5. Scenarios'!$B$6/(1+ProductivityDefault*('5. Scenarios'!$B$11-1))+INDEX(BookOneOff,2046)*$D2051)</f>
        <v/>
      </c>
      <c r="I2051" s="56" t="str">
        <f aca="false">IF(INDEX(BookTitle,2046)="","",INDEX(BookTotal,2046)*'5. Scenarios'!$C$6/(1+ProductivityDefault*('5. Scenarios'!$C$11-1)))</f>
        <v/>
      </c>
      <c r="J2051" s="57" t="str">
        <f aca="false">IF($I2051="","",INDEX(BookRate,2046)*(1+'5. Scenarios'!$C$10)*$I2051)</f>
        <v/>
      </c>
      <c r="K2051" s="57" t="str">
        <f aca="false">IF($J2051="","",SUMIFS($J$6:$J$2405,$A$6:$A$2405,"&lt;="&amp;$A2051))</f>
        <v/>
      </c>
      <c r="L2051" s="57" t="str">
        <f aca="false">IF($J2051="","",IF($K2051&lt;=BankCostEnvelope*'5. Scenarios'!$C$7,1,0))</f>
        <v/>
      </c>
      <c r="M2051" s="57" t="str">
        <f aca="false">IF($I2051="","",INDEX(BookRate,2046)*(1+'5. Scenarios'!$C$10)*(INDEX(BookQ1,2046)*(5-MIN(4,1+'5. Scenarios'!$C$8))/4+INDEX(BookQ2,2046)*(5-MIN(4,2+'5. Scenarios'!$C$8))/4+INDEX(BookQ3,2046)*(5-MIN(4,3+'5. Scenarios'!$C$8))/4+INDEX(BookQ4,2046)*(5-MIN(4,4+'5. Scenarios'!$C$8))/4)*'5. Scenarios'!$C$6/(1+ProductivityDefault*('5. Scenarios'!$C$11-1))+INDEX(BookOneOff,2046)*$I2051)</f>
        <v/>
      </c>
      <c r="N2051" s="56" t="str">
        <f aca="false">IF(INDEX(BookTitle,2046)="","",INDEX(BookTotal,2046)*'5. Scenarios'!$D$6/(1+ProductivityDefault*('5. Scenarios'!$D$11-1)))</f>
        <v/>
      </c>
      <c r="O2051" s="57" t="str">
        <f aca="false">IF($N2051="","",INDEX(BookRate,2046)*(1+'5. Scenarios'!$D$10)*$N2051)</f>
        <v/>
      </c>
      <c r="P2051" s="57" t="str">
        <f aca="false">IF($O2051="","",SUMIFS($O$6:$O$2405,$A$6:$A$2405,"&lt;="&amp;$A2051))</f>
        <v/>
      </c>
      <c r="Q2051" s="57" t="str">
        <f aca="false">IF($O2051="","",IF($P2051&lt;=BankCostEnvelope*'5. Scenarios'!$D$7,1,0))</f>
        <v/>
      </c>
      <c r="R2051" s="57" t="str">
        <f aca="false">IF($N2051="","",INDEX(BookRate,2046)*(1+'5. Scenarios'!$D$10)*(INDEX(BookQ1,2046)*(5-MIN(4,1+'5. Scenarios'!$D$8))/4+INDEX(BookQ2,2046)*(5-MIN(4,2+'5. Scenarios'!$D$8))/4+INDEX(BookQ3,2046)*(5-MIN(4,3+'5. Scenarios'!$D$8))/4+INDEX(BookQ4,2046)*(5-MIN(4,4+'5. Scenarios'!$D$8))/4)*'5. Scenarios'!$D$6/(1+ProductivityDefault*('5. Scenarios'!$D$11-1))+INDEX(BookOneOff,2046)*$N2051)</f>
        <v/>
      </c>
      <c r="S2051" s="56" t="str">
        <f aca="false">IF(INDEX(BookTitle,2046)="","",INDEX(BookTotal,2046)*'5. Scenarios'!$E$6/(1+ProductivityDefault*('5. Scenarios'!$E$11-1)))</f>
        <v/>
      </c>
      <c r="T2051" s="57" t="str">
        <f aca="false">IF($S2051="","",INDEX(BookRate,2046)*(1+'5. Scenarios'!$E$10)*$S2051)</f>
        <v/>
      </c>
      <c r="U2051" s="57" t="str">
        <f aca="false">IF($T2051="","",SUMIFS($T$6:$T$2405,$A$6:$A$2405,"&lt;="&amp;$A2051))</f>
        <v/>
      </c>
      <c r="V2051" s="57" t="str">
        <f aca="false">IF($T2051="","",IF($U2051&lt;=BankCostEnvelope*'5. Scenarios'!$E$7,1,0))</f>
        <v/>
      </c>
      <c r="W2051" s="57" t="str">
        <f aca="false">IF($S2051="","",INDEX(BookRate,2046)*(1+'5. Scenarios'!$E$10)*(INDEX(BookQ1,2046)*(5-MIN(4,1+'5. Scenarios'!$E$8))/4+INDEX(BookQ2,2046)*(5-MIN(4,2+'5. Scenarios'!$E$8))/4+INDEX(BookQ3,2046)*(5-MIN(4,3+'5. Scenarios'!$E$8))/4+INDEX(BookQ4,2046)*(5-MIN(4,4+'5. Scenarios'!$E$8))/4)*'5. Scenarios'!$E$6/(1+ProductivityDefault*('5. Scenarios'!$E$11-1))+INDEX(BookOneOff,2046)*$S2051)</f>
        <v/>
      </c>
    </row>
    <row r="2052" customFormat="false" ht="15" hidden="false" customHeight="false" outlineLevel="0" collapsed="false">
      <c r="A2052" s="0" t="str">
        <f aca="false">IF(INDEX(BookTitle,2047)="","",INDEX(BookKey,2047))</f>
        <v/>
      </c>
      <c r="B2052" s="0" t="str">
        <f aca="false">IF(INDEX(BookTitle,2047)="","",INDEX(BookGroup,2047))</f>
        <v/>
      </c>
      <c r="C2052" s="0" t="str">
        <f aca="false">IF(INDEX(BookTitle,2047)="","",INDEX(BookCategory,2047))</f>
        <v/>
      </c>
      <c r="D2052" s="56" t="str">
        <f aca="false">IF(INDEX(BookTitle,2047)="","",INDEX(BookTotal,2047)*'5. Scenarios'!$B$6/(1+ProductivityDefault*('5. Scenarios'!$B$11-1)))</f>
        <v/>
      </c>
      <c r="E2052" s="57" t="str">
        <f aca="false">IF($D2052="","",INDEX(BookRate,2047)*(1+'5. Scenarios'!$B$10)*$D2052)</f>
        <v/>
      </c>
      <c r="F2052" s="57" t="str">
        <f aca="false">IF($E2052="","",SUMIFS($E$6:$E$2405,$A$6:$A$2405,"&lt;="&amp;$A2052))</f>
        <v/>
      </c>
      <c r="G2052" s="57" t="str">
        <f aca="false">IF($E2052="","",IF($F2052&lt;=BankCostEnvelope*'5. Scenarios'!$B$7,1,0))</f>
        <v/>
      </c>
      <c r="H2052" s="57" t="str">
        <f aca="false">IF($D2052="","",INDEX(BookRate,2047)*(1+'5. Scenarios'!$B$10)*(INDEX(BookQ1,2047)*(5-MIN(4,1+'5. Scenarios'!$B$8))/4+INDEX(BookQ2,2047)*(5-MIN(4,2+'5. Scenarios'!$B$8))/4+INDEX(BookQ3,2047)*(5-MIN(4,3+'5. Scenarios'!$B$8))/4+INDEX(BookQ4,2047)*(5-MIN(4,4+'5. Scenarios'!$B$8))/4)*'5. Scenarios'!$B$6/(1+ProductivityDefault*('5. Scenarios'!$B$11-1))+INDEX(BookOneOff,2047)*$D2052)</f>
        <v/>
      </c>
      <c r="I2052" s="56" t="str">
        <f aca="false">IF(INDEX(BookTitle,2047)="","",INDEX(BookTotal,2047)*'5. Scenarios'!$C$6/(1+ProductivityDefault*('5. Scenarios'!$C$11-1)))</f>
        <v/>
      </c>
      <c r="J2052" s="57" t="str">
        <f aca="false">IF($I2052="","",INDEX(BookRate,2047)*(1+'5. Scenarios'!$C$10)*$I2052)</f>
        <v/>
      </c>
      <c r="K2052" s="57" t="str">
        <f aca="false">IF($J2052="","",SUMIFS($J$6:$J$2405,$A$6:$A$2405,"&lt;="&amp;$A2052))</f>
        <v/>
      </c>
      <c r="L2052" s="57" t="str">
        <f aca="false">IF($J2052="","",IF($K2052&lt;=BankCostEnvelope*'5. Scenarios'!$C$7,1,0))</f>
        <v/>
      </c>
      <c r="M2052" s="57" t="str">
        <f aca="false">IF($I2052="","",INDEX(BookRate,2047)*(1+'5. Scenarios'!$C$10)*(INDEX(BookQ1,2047)*(5-MIN(4,1+'5. Scenarios'!$C$8))/4+INDEX(BookQ2,2047)*(5-MIN(4,2+'5. Scenarios'!$C$8))/4+INDEX(BookQ3,2047)*(5-MIN(4,3+'5. Scenarios'!$C$8))/4+INDEX(BookQ4,2047)*(5-MIN(4,4+'5. Scenarios'!$C$8))/4)*'5. Scenarios'!$C$6/(1+ProductivityDefault*('5. Scenarios'!$C$11-1))+INDEX(BookOneOff,2047)*$I2052)</f>
        <v/>
      </c>
      <c r="N2052" s="56" t="str">
        <f aca="false">IF(INDEX(BookTitle,2047)="","",INDEX(BookTotal,2047)*'5. Scenarios'!$D$6/(1+ProductivityDefault*('5. Scenarios'!$D$11-1)))</f>
        <v/>
      </c>
      <c r="O2052" s="57" t="str">
        <f aca="false">IF($N2052="","",INDEX(BookRate,2047)*(1+'5. Scenarios'!$D$10)*$N2052)</f>
        <v/>
      </c>
      <c r="P2052" s="57" t="str">
        <f aca="false">IF($O2052="","",SUMIFS($O$6:$O$2405,$A$6:$A$2405,"&lt;="&amp;$A2052))</f>
        <v/>
      </c>
      <c r="Q2052" s="57" t="str">
        <f aca="false">IF($O2052="","",IF($P2052&lt;=BankCostEnvelope*'5. Scenarios'!$D$7,1,0))</f>
        <v/>
      </c>
      <c r="R2052" s="57" t="str">
        <f aca="false">IF($N2052="","",INDEX(BookRate,2047)*(1+'5. Scenarios'!$D$10)*(INDEX(BookQ1,2047)*(5-MIN(4,1+'5. Scenarios'!$D$8))/4+INDEX(BookQ2,2047)*(5-MIN(4,2+'5. Scenarios'!$D$8))/4+INDEX(BookQ3,2047)*(5-MIN(4,3+'5. Scenarios'!$D$8))/4+INDEX(BookQ4,2047)*(5-MIN(4,4+'5. Scenarios'!$D$8))/4)*'5. Scenarios'!$D$6/(1+ProductivityDefault*('5. Scenarios'!$D$11-1))+INDEX(BookOneOff,2047)*$N2052)</f>
        <v/>
      </c>
      <c r="S2052" s="56" t="str">
        <f aca="false">IF(INDEX(BookTitle,2047)="","",INDEX(BookTotal,2047)*'5. Scenarios'!$E$6/(1+ProductivityDefault*('5. Scenarios'!$E$11-1)))</f>
        <v/>
      </c>
      <c r="T2052" s="57" t="str">
        <f aca="false">IF($S2052="","",INDEX(BookRate,2047)*(1+'5. Scenarios'!$E$10)*$S2052)</f>
        <v/>
      </c>
      <c r="U2052" s="57" t="str">
        <f aca="false">IF($T2052="","",SUMIFS($T$6:$T$2405,$A$6:$A$2405,"&lt;="&amp;$A2052))</f>
        <v/>
      </c>
      <c r="V2052" s="57" t="str">
        <f aca="false">IF($T2052="","",IF($U2052&lt;=BankCostEnvelope*'5. Scenarios'!$E$7,1,0))</f>
        <v/>
      </c>
      <c r="W2052" s="57" t="str">
        <f aca="false">IF($S2052="","",INDEX(BookRate,2047)*(1+'5. Scenarios'!$E$10)*(INDEX(BookQ1,2047)*(5-MIN(4,1+'5. Scenarios'!$E$8))/4+INDEX(BookQ2,2047)*(5-MIN(4,2+'5. Scenarios'!$E$8))/4+INDEX(BookQ3,2047)*(5-MIN(4,3+'5. Scenarios'!$E$8))/4+INDEX(BookQ4,2047)*(5-MIN(4,4+'5. Scenarios'!$E$8))/4)*'5. Scenarios'!$E$6/(1+ProductivityDefault*('5. Scenarios'!$E$11-1))+INDEX(BookOneOff,2047)*$S2052)</f>
        <v/>
      </c>
    </row>
    <row r="2053" customFormat="false" ht="15" hidden="false" customHeight="false" outlineLevel="0" collapsed="false">
      <c r="A2053" s="0" t="str">
        <f aca="false">IF(INDEX(BookTitle,2048)="","",INDEX(BookKey,2048))</f>
        <v/>
      </c>
      <c r="B2053" s="0" t="str">
        <f aca="false">IF(INDEX(BookTitle,2048)="","",INDEX(BookGroup,2048))</f>
        <v/>
      </c>
      <c r="C2053" s="0" t="str">
        <f aca="false">IF(INDEX(BookTitle,2048)="","",INDEX(BookCategory,2048))</f>
        <v/>
      </c>
      <c r="D2053" s="56" t="str">
        <f aca="false">IF(INDEX(BookTitle,2048)="","",INDEX(BookTotal,2048)*'5. Scenarios'!$B$6/(1+ProductivityDefault*('5. Scenarios'!$B$11-1)))</f>
        <v/>
      </c>
      <c r="E2053" s="57" t="str">
        <f aca="false">IF($D2053="","",INDEX(BookRate,2048)*(1+'5. Scenarios'!$B$10)*$D2053)</f>
        <v/>
      </c>
      <c r="F2053" s="57" t="str">
        <f aca="false">IF($E2053="","",SUMIFS($E$6:$E$2405,$A$6:$A$2405,"&lt;="&amp;$A2053))</f>
        <v/>
      </c>
      <c r="G2053" s="57" t="str">
        <f aca="false">IF($E2053="","",IF($F2053&lt;=BankCostEnvelope*'5. Scenarios'!$B$7,1,0))</f>
        <v/>
      </c>
      <c r="H2053" s="57" t="str">
        <f aca="false">IF($D2053="","",INDEX(BookRate,2048)*(1+'5. Scenarios'!$B$10)*(INDEX(BookQ1,2048)*(5-MIN(4,1+'5. Scenarios'!$B$8))/4+INDEX(BookQ2,2048)*(5-MIN(4,2+'5. Scenarios'!$B$8))/4+INDEX(BookQ3,2048)*(5-MIN(4,3+'5. Scenarios'!$B$8))/4+INDEX(BookQ4,2048)*(5-MIN(4,4+'5. Scenarios'!$B$8))/4)*'5. Scenarios'!$B$6/(1+ProductivityDefault*('5. Scenarios'!$B$11-1))+INDEX(BookOneOff,2048)*$D2053)</f>
        <v/>
      </c>
      <c r="I2053" s="56" t="str">
        <f aca="false">IF(INDEX(BookTitle,2048)="","",INDEX(BookTotal,2048)*'5. Scenarios'!$C$6/(1+ProductivityDefault*('5. Scenarios'!$C$11-1)))</f>
        <v/>
      </c>
      <c r="J2053" s="57" t="str">
        <f aca="false">IF($I2053="","",INDEX(BookRate,2048)*(1+'5. Scenarios'!$C$10)*$I2053)</f>
        <v/>
      </c>
      <c r="K2053" s="57" t="str">
        <f aca="false">IF($J2053="","",SUMIFS($J$6:$J$2405,$A$6:$A$2405,"&lt;="&amp;$A2053))</f>
        <v/>
      </c>
      <c r="L2053" s="57" t="str">
        <f aca="false">IF($J2053="","",IF($K2053&lt;=BankCostEnvelope*'5. Scenarios'!$C$7,1,0))</f>
        <v/>
      </c>
      <c r="M2053" s="57" t="str">
        <f aca="false">IF($I2053="","",INDEX(BookRate,2048)*(1+'5. Scenarios'!$C$10)*(INDEX(BookQ1,2048)*(5-MIN(4,1+'5. Scenarios'!$C$8))/4+INDEX(BookQ2,2048)*(5-MIN(4,2+'5. Scenarios'!$C$8))/4+INDEX(BookQ3,2048)*(5-MIN(4,3+'5. Scenarios'!$C$8))/4+INDEX(BookQ4,2048)*(5-MIN(4,4+'5. Scenarios'!$C$8))/4)*'5. Scenarios'!$C$6/(1+ProductivityDefault*('5. Scenarios'!$C$11-1))+INDEX(BookOneOff,2048)*$I2053)</f>
        <v/>
      </c>
      <c r="N2053" s="56" t="str">
        <f aca="false">IF(INDEX(BookTitle,2048)="","",INDEX(BookTotal,2048)*'5. Scenarios'!$D$6/(1+ProductivityDefault*('5. Scenarios'!$D$11-1)))</f>
        <v/>
      </c>
      <c r="O2053" s="57" t="str">
        <f aca="false">IF($N2053="","",INDEX(BookRate,2048)*(1+'5. Scenarios'!$D$10)*$N2053)</f>
        <v/>
      </c>
      <c r="P2053" s="57" t="str">
        <f aca="false">IF($O2053="","",SUMIFS($O$6:$O$2405,$A$6:$A$2405,"&lt;="&amp;$A2053))</f>
        <v/>
      </c>
      <c r="Q2053" s="57" t="str">
        <f aca="false">IF($O2053="","",IF($P2053&lt;=BankCostEnvelope*'5. Scenarios'!$D$7,1,0))</f>
        <v/>
      </c>
      <c r="R2053" s="57" t="str">
        <f aca="false">IF($N2053="","",INDEX(BookRate,2048)*(1+'5. Scenarios'!$D$10)*(INDEX(BookQ1,2048)*(5-MIN(4,1+'5. Scenarios'!$D$8))/4+INDEX(BookQ2,2048)*(5-MIN(4,2+'5. Scenarios'!$D$8))/4+INDEX(BookQ3,2048)*(5-MIN(4,3+'5. Scenarios'!$D$8))/4+INDEX(BookQ4,2048)*(5-MIN(4,4+'5. Scenarios'!$D$8))/4)*'5. Scenarios'!$D$6/(1+ProductivityDefault*('5. Scenarios'!$D$11-1))+INDEX(BookOneOff,2048)*$N2053)</f>
        <v/>
      </c>
      <c r="S2053" s="56" t="str">
        <f aca="false">IF(INDEX(BookTitle,2048)="","",INDEX(BookTotal,2048)*'5. Scenarios'!$E$6/(1+ProductivityDefault*('5. Scenarios'!$E$11-1)))</f>
        <v/>
      </c>
      <c r="T2053" s="57" t="str">
        <f aca="false">IF($S2053="","",INDEX(BookRate,2048)*(1+'5. Scenarios'!$E$10)*$S2053)</f>
        <v/>
      </c>
      <c r="U2053" s="57" t="str">
        <f aca="false">IF($T2053="","",SUMIFS($T$6:$T$2405,$A$6:$A$2405,"&lt;="&amp;$A2053))</f>
        <v/>
      </c>
      <c r="V2053" s="57" t="str">
        <f aca="false">IF($T2053="","",IF($U2053&lt;=BankCostEnvelope*'5. Scenarios'!$E$7,1,0))</f>
        <v/>
      </c>
      <c r="W2053" s="57" t="str">
        <f aca="false">IF($S2053="","",INDEX(BookRate,2048)*(1+'5. Scenarios'!$E$10)*(INDEX(BookQ1,2048)*(5-MIN(4,1+'5. Scenarios'!$E$8))/4+INDEX(BookQ2,2048)*(5-MIN(4,2+'5. Scenarios'!$E$8))/4+INDEX(BookQ3,2048)*(5-MIN(4,3+'5. Scenarios'!$E$8))/4+INDEX(BookQ4,2048)*(5-MIN(4,4+'5. Scenarios'!$E$8))/4)*'5. Scenarios'!$E$6/(1+ProductivityDefault*('5. Scenarios'!$E$11-1))+INDEX(BookOneOff,2048)*$S2053)</f>
        <v/>
      </c>
    </row>
    <row r="2054" customFormat="false" ht="15" hidden="false" customHeight="false" outlineLevel="0" collapsed="false">
      <c r="A2054" s="0" t="str">
        <f aca="false">IF(INDEX(BookTitle,2049)="","",INDEX(BookKey,2049))</f>
        <v/>
      </c>
      <c r="B2054" s="0" t="str">
        <f aca="false">IF(INDEX(BookTitle,2049)="","",INDEX(BookGroup,2049))</f>
        <v/>
      </c>
      <c r="C2054" s="0" t="str">
        <f aca="false">IF(INDEX(BookTitle,2049)="","",INDEX(BookCategory,2049))</f>
        <v/>
      </c>
      <c r="D2054" s="56" t="str">
        <f aca="false">IF(INDEX(BookTitle,2049)="","",INDEX(BookTotal,2049)*'5. Scenarios'!$B$6/(1+ProductivityDefault*('5. Scenarios'!$B$11-1)))</f>
        <v/>
      </c>
      <c r="E2054" s="57" t="str">
        <f aca="false">IF($D2054="","",INDEX(BookRate,2049)*(1+'5. Scenarios'!$B$10)*$D2054)</f>
        <v/>
      </c>
      <c r="F2054" s="57" t="str">
        <f aca="false">IF($E2054="","",SUMIFS($E$6:$E$2405,$A$6:$A$2405,"&lt;="&amp;$A2054))</f>
        <v/>
      </c>
      <c r="G2054" s="57" t="str">
        <f aca="false">IF($E2054="","",IF($F2054&lt;=BankCostEnvelope*'5. Scenarios'!$B$7,1,0))</f>
        <v/>
      </c>
      <c r="H2054" s="57" t="str">
        <f aca="false">IF($D2054="","",INDEX(BookRate,2049)*(1+'5. Scenarios'!$B$10)*(INDEX(BookQ1,2049)*(5-MIN(4,1+'5. Scenarios'!$B$8))/4+INDEX(BookQ2,2049)*(5-MIN(4,2+'5. Scenarios'!$B$8))/4+INDEX(BookQ3,2049)*(5-MIN(4,3+'5. Scenarios'!$B$8))/4+INDEX(BookQ4,2049)*(5-MIN(4,4+'5. Scenarios'!$B$8))/4)*'5. Scenarios'!$B$6/(1+ProductivityDefault*('5. Scenarios'!$B$11-1))+INDEX(BookOneOff,2049)*$D2054)</f>
        <v/>
      </c>
      <c r="I2054" s="56" t="str">
        <f aca="false">IF(INDEX(BookTitle,2049)="","",INDEX(BookTotal,2049)*'5. Scenarios'!$C$6/(1+ProductivityDefault*('5. Scenarios'!$C$11-1)))</f>
        <v/>
      </c>
      <c r="J2054" s="57" t="str">
        <f aca="false">IF($I2054="","",INDEX(BookRate,2049)*(1+'5. Scenarios'!$C$10)*$I2054)</f>
        <v/>
      </c>
      <c r="K2054" s="57" t="str">
        <f aca="false">IF($J2054="","",SUMIFS($J$6:$J$2405,$A$6:$A$2405,"&lt;="&amp;$A2054))</f>
        <v/>
      </c>
      <c r="L2054" s="57" t="str">
        <f aca="false">IF($J2054="","",IF($K2054&lt;=BankCostEnvelope*'5. Scenarios'!$C$7,1,0))</f>
        <v/>
      </c>
      <c r="M2054" s="57" t="str">
        <f aca="false">IF($I2054="","",INDEX(BookRate,2049)*(1+'5. Scenarios'!$C$10)*(INDEX(BookQ1,2049)*(5-MIN(4,1+'5. Scenarios'!$C$8))/4+INDEX(BookQ2,2049)*(5-MIN(4,2+'5. Scenarios'!$C$8))/4+INDEX(BookQ3,2049)*(5-MIN(4,3+'5. Scenarios'!$C$8))/4+INDEX(BookQ4,2049)*(5-MIN(4,4+'5. Scenarios'!$C$8))/4)*'5. Scenarios'!$C$6/(1+ProductivityDefault*('5. Scenarios'!$C$11-1))+INDEX(BookOneOff,2049)*$I2054)</f>
        <v/>
      </c>
      <c r="N2054" s="56" t="str">
        <f aca="false">IF(INDEX(BookTitle,2049)="","",INDEX(BookTotal,2049)*'5. Scenarios'!$D$6/(1+ProductivityDefault*('5. Scenarios'!$D$11-1)))</f>
        <v/>
      </c>
      <c r="O2054" s="57" t="str">
        <f aca="false">IF($N2054="","",INDEX(BookRate,2049)*(1+'5. Scenarios'!$D$10)*$N2054)</f>
        <v/>
      </c>
      <c r="P2054" s="57" t="str">
        <f aca="false">IF($O2054="","",SUMIFS($O$6:$O$2405,$A$6:$A$2405,"&lt;="&amp;$A2054))</f>
        <v/>
      </c>
      <c r="Q2054" s="57" t="str">
        <f aca="false">IF($O2054="","",IF($P2054&lt;=BankCostEnvelope*'5. Scenarios'!$D$7,1,0))</f>
        <v/>
      </c>
      <c r="R2054" s="57" t="str">
        <f aca="false">IF($N2054="","",INDEX(BookRate,2049)*(1+'5. Scenarios'!$D$10)*(INDEX(BookQ1,2049)*(5-MIN(4,1+'5. Scenarios'!$D$8))/4+INDEX(BookQ2,2049)*(5-MIN(4,2+'5. Scenarios'!$D$8))/4+INDEX(BookQ3,2049)*(5-MIN(4,3+'5. Scenarios'!$D$8))/4+INDEX(BookQ4,2049)*(5-MIN(4,4+'5. Scenarios'!$D$8))/4)*'5. Scenarios'!$D$6/(1+ProductivityDefault*('5. Scenarios'!$D$11-1))+INDEX(BookOneOff,2049)*$N2054)</f>
        <v/>
      </c>
      <c r="S2054" s="56" t="str">
        <f aca="false">IF(INDEX(BookTitle,2049)="","",INDEX(BookTotal,2049)*'5. Scenarios'!$E$6/(1+ProductivityDefault*('5. Scenarios'!$E$11-1)))</f>
        <v/>
      </c>
      <c r="T2054" s="57" t="str">
        <f aca="false">IF($S2054="","",INDEX(BookRate,2049)*(1+'5. Scenarios'!$E$10)*$S2054)</f>
        <v/>
      </c>
      <c r="U2054" s="57" t="str">
        <f aca="false">IF($T2054="","",SUMIFS($T$6:$T$2405,$A$6:$A$2405,"&lt;="&amp;$A2054))</f>
        <v/>
      </c>
      <c r="V2054" s="57" t="str">
        <f aca="false">IF($T2054="","",IF($U2054&lt;=BankCostEnvelope*'5. Scenarios'!$E$7,1,0))</f>
        <v/>
      </c>
      <c r="W2054" s="57" t="str">
        <f aca="false">IF($S2054="","",INDEX(BookRate,2049)*(1+'5. Scenarios'!$E$10)*(INDEX(BookQ1,2049)*(5-MIN(4,1+'5. Scenarios'!$E$8))/4+INDEX(BookQ2,2049)*(5-MIN(4,2+'5. Scenarios'!$E$8))/4+INDEX(BookQ3,2049)*(5-MIN(4,3+'5. Scenarios'!$E$8))/4+INDEX(BookQ4,2049)*(5-MIN(4,4+'5. Scenarios'!$E$8))/4)*'5. Scenarios'!$E$6/(1+ProductivityDefault*('5. Scenarios'!$E$11-1))+INDEX(BookOneOff,2049)*$S2054)</f>
        <v/>
      </c>
    </row>
    <row r="2055" customFormat="false" ht="15" hidden="false" customHeight="false" outlineLevel="0" collapsed="false">
      <c r="A2055" s="0" t="str">
        <f aca="false">IF(INDEX(BookTitle,2050)="","",INDEX(BookKey,2050))</f>
        <v/>
      </c>
      <c r="B2055" s="0" t="str">
        <f aca="false">IF(INDEX(BookTitle,2050)="","",INDEX(BookGroup,2050))</f>
        <v/>
      </c>
      <c r="C2055" s="0" t="str">
        <f aca="false">IF(INDEX(BookTitle,2050)="","",INDEX(BookCategory,2050))</f>
        <v/>
      </c>
      <c r="D2055" s="56" t="str">
        <f aca="false">IF(INDEX(BookTitle,2050)="","",INDEX(BookTotal,2050)*'5. Scenarios'!$B$6/(1+ProductivityDefault*('5. Scenarios'!$B$11-1)))</f>
        <v/>
      </c>
      <c r="E2055" s="57" t="str">
        <f aca="false">IF($D2055="","",INDEX(BookRate,2050)*(1+'5. Scenarios'!$B$10)*$D2055)</f>
        <v/>
      </c>
      <c r="F2055" s="57" t="str">
        <f aca="false">IF($E2055="","",SUMIFS($E$6:$E$2405,$A$6:$A$2405,"&lt;="&amp;$A2055))</f>
        <v/>
      </c>
      <c r="G2055" s="57" t="str">
        <f aca="false">IF($E2055="","",IF($F2055&lt;=BankCostEnvelope*'5. Scenarios'!$B$7,1,0))</f>
        <v/>
      </c>
      <c r="H2055" s="57" t="str">
        <f aca="false">IF($D2055="","",INDEX(BookRate,2050)*(1+'5. Scenarios'!$B$10)*(INDEX(BookQ1,2050)*(5-MIN(4,1+'5. Scenarios'!$B$8))/4+INDEX(BookQ2,2050)*(5-MIN(4,2+'5. Scenarios'!$B$8))/4+INDEX(BookQ3,2050)*(5-MIN(4,3+'5. Scenarios'!$B$8))/4+INDEX(BookQ4,2050)*(5-MIN(4,4+'5. Scenarios'!$B$8))/4)*'5. Scenarios'!$B$6/(1+ProductivityDefault*('5. Scenarios'!$B$11-1))+INDEX(BookOneOff,2050)*$D2055)</f>
        <v/>
      </c>
      <c r="I2055" s="56" t="str">
        <f aca="false">IF(INDEX(BookTitle,2050)="","",INDEX(BookTotal,2050)*'5. Scenarios'!$C$6/(1+ProductivityDefault*('5. Scenarios'!$C$11-1)))</f>
        <v/>
      </c>
      <c r="J2055" s="57" t="str">
        <f aca="false">IF($I2055="","",INDEX(BookRate,2050)*(1+'5. Scenarios'!$C$10)*$I2055)</f>
        <v/>
      </c>
      <c r="K2055" s="57" t="str">
        <f aca="false">IF($J2055="","",SUMIFS($J$6:$J$2405,$A$6:$A$2405,"&lt;="&amp;$A2055))</f>
        <v/>
      </c>
      <c r="L2055" s="57" t="str">
        <f aca="false">IF($J2055="","",IF($K2055&lt;=BankCostEnvelope*'5. Scenarios'!$C$7,1,0))</f>
        <v/>
      </c>
      <c r="M2055" s="57" t="str">
        <f aca="false">IF($I2055="","",INDEX(BookRate,2050)*(1+'5. Scenarios'!$C$10)*(INDEX(BookQ1,2050)*(5-MIN(4,1+'5. Scenarios'!$C$8))/4+INDEX(BookQ2,2050)*(5-MIN(4,2+'5. Scenarios'!$C$8))/4+INDEX(BookQ3,2050)*(5-MIN(4,3+'5. Scenarios'!$C$8))/4+INDEX(BookQ4,2050)*(5-MIN(4,4+'5. Scenarios'!$C$8))/4)*'5. Scenarios'!$C$6/(1+ProductivityDefault*('5. Scenarios'!$C$11-1))+INDEX(BookOneOff,2050)*$I2055)</f>
        <v/>
      </c>
      <c r="N2055" s="56" t="str">
        <f aca="false">IF(INDEX(BookTitle,2050)="","",INDEX(BookTotal,2050)*'5. Scenarios'!$D$6/(1+ProductivityDefault*('5. Scenarios'!$D$11-1)))</f>
        <v/>
      </c>
      <c r="O2055" s="57" t="str">
        <f aca="false">IF($N2055="","",INDEX(BookRate,2050)*(1+'5. Scenarios'!$D$10)*$N2055)</f>
        <v/>
      </c>
      <c r="P2055" s="57" t="str">
        <f aca="false">IF($O2055="","",SUMIFS($O$6:$O$2405,$A$6:$A$2405,"&lt;="&amp;$A2055))</f>
        <v/>
      </c>
      <c r="Q2055" s="57" t="str">
        <f aca="false">IF($O2055="","",IF($P2055&lt;=BankCostEnvelope*'5. Scenarios'!$D$7,1,0))</f>
        <v/>
      </c>
      <c r="R2055" s="57" t="str">
        <f aca="false">IF($N2055="","",INDEX(BookRate,2050)*(1+'5. Scenarios'!$D$10)*(INDEX(BookQ1,2050)*(5-MIN(4,1+'5. Scenarios'!$D$8))/4+INDEX(BookQ2,2050)*(5-MIN(4,2+'5. Scenarios'!$D$8))/4+INDEX(BookQ3,2050)*(5-MIN(4,3+'5. Scenarios'!$D$8))/4+INDEX(BookQ4,2050)*(5-MIN(4,4+'5. Scenarios'!$D$8))/4)*'5. Scenarios'!$D$6/(1+ProductivityDefault*('5. Scenarios'!$D$11-1))+INDEX(BookOneOff,2050)*$N2055)</f>
        <v/>
      </c>
      <c r="S2055" s="56" t="str">
        <f aca="false">IF(INDEX(BookTitle,2050)="","",INDEX(BookTotal,2050)*'5. Scenarios'!$E$6/(1+ProductivityDefault*('5. Scenarios'!$E$11-1)))</f>
        <v/>
      </c>
      <c r="T2055" s="57" t="str">
        <f aca="false">IF($S2055="","",INDEX(BookRate,2050)*(1+'5. Scenarios'!$E$10)*$S2055)</f>
        <v/>
      </c>
      <c r="U2055" s="57" t="str">
        <f aca="false">IF($T2055="","",SUMIFS($T$6:$T$2405,$A$6:$A$2405,"&lt;="&amp;$A2055))</f>
        <v/>
      </c>
      <c r="V2055" s="57" t="str">
        <f aca="false">IF($T2055="","",IF($U2055&lt;=BankCostEnvelope*'5. Scenarios'!$E$7,1,0))</f>
        <v/>
      </c>
      <c r="W2055" s="57" t="str">
        <f aca="false">IF($S2055="","",INDEX(BookRate,2050)*(1+'5. Scenarios'!$E$10)*(INDEX(BookQ1,2050)*(5-MIN(4,1+'5. Scenarios'!$E$8))/4+INDEX(BookQ2,2050)*(5-MIN(4,2+'5. Scenarios'!$E$8))/4+INDEX(BookQ3,2050)*(5-MIN(4,3+'5. Scenarios'!$E$8))/4+INDEX(BookQ4,2050)*(5-MIN(4,4+'5. Scenarios'!$E$8))/4)*'5. Scenarios'!$E$6/(1+ProductivityDefault*('5. Scenarios'!$E$11-1))+INDEX(BookOneOff,2050)*$S2055)</f>
        <v/>
      </c>
    </row>
    <row r="2056" customFormat="false" ht="15" hidden="false" customHeight="false" outlineLevel="0" collapsed="false">
      <c r="A2056" s="0" t="str">
        <f aca="false">IF(INDEX(BookTitle,2051)="","",INDEX(BookKey,2051))</f>
        <v/>
      </c>
      <c r="B2056" s="0" t="str">
        <f aca="false">IF(INDEX(BookTitle,2051)="","",INDEX(BookGroup,2051))</f>
        <v/>
      </c>
      <c r="C2056" s="0" t="str">
        <f aca="false">IF(INDEX(BookTitle,2051)="","",INDEX(BookCategory,2051))</f>
        <v/>
      </c>
      <c r="D2056" s="56" t="str">
        <f aca="false">IF(INDEX(BookTitle,2051)="","",INDEX(BookTotal,2051)*'5. Scenarios'!$B$6/(1+ProductivityDefault*('5. Scenarios'!$B$11-1)))</f>
        <v/>
      </c>
      <c r="E2056" s="57" t="str">
        <f aca="false">IF($D2056="","",INDEX(BookRate,2051)*(1+'5. Scenarios'!$B$10)*$D2056)</f>
        <v/>
      </c>
      <c r="F2056" s="57" t="str">
        <f aca="false">IF($E2056="","",SUMIFS($E$6:$E$2405,$A$6:$A$2405,"&lt;="&amp;$A2056))</f>
        <v/>
      </c>
      <c r="G2056" s="57" t="str">
        <f aca="false">IF($E2056="","",IF($F2056&lt;=BankCostEnvelope*'5. Scenarios'!$B$7,1,0))</f>
        <v/>
      </c>
      <c r="H2056" s="57" t="str">
        <f aca="false">IF($D2056="","",INDEX(BookRate,2051)*(1+'5. Scenarios'!$B$10)*(INDEX(BookQ1,2051)*(5-MIN(4,1+'5. Scenarios'!$B$8))/4+INDEX(BookQ2,2051)*(5-MIN(4,2+'5. Scenarios'!$B$8))/4+INDEX(BookQ3,2051)*(5-MIN(4,3+'5. Scenarios'!$B$8))/4+INDEX(BookQ4,2051)*(5-MIN(4,4+'5. Scenarios'!$B$8))/4)*'5. Scenarios'!$B$6/(1+ProductivityDefault*('5. Scenarios'!$B$11-1))+INDEX(BookOneOff,2051)*$D2056)</f>
        <v/>
      </c>
      <c r="I2056" s="56" t="str">
        <f aca="false">IF(INDEX(BookTitle,2051)="","",INDEX(BookTotal,2051)*'5. Scenarios'!$C$6/(1+ProductivityDefault*('5. Scenarios'!$C$11-1)))</f>
        <v/>
      </c>
      <c r="J2056" s="57" t="str">
        <f aca="false">IF($I2056="","",INDEX(BookRate,2051)*(1+'5. Scenarios'!$C$10)*$I2056)</f>
        <v/>
      </c>
      <c r="K2056" s="57" t="str">
        <f aca="false">IF($J2056="","",SUMIFS($J$6:$J$2405,$A$6:$A$2405,"&lt;="&amp;$A2056))</f>
        <v/>
      </c>
      <c r="L2056" s="57" t="str">
        <f aca="false">IF($J2056="","",IF($K2056&lt;=BankCostEnvelope*'5. Scenarios'!$C$7,1,0))</f>
        <v/>
      </c>
      <c r="M2056" s="57" t="str">
        <f aca="false">IF($I2056="","",INDEX(BookRate,2051)*(1+'5. Scenarios'!$C$10)*(INDEX(BookQ1,2051)*(5-MIN(4,1+'5. Scenarios'!$C$8))/4+INDEX(BookQ2,2051)*(5-MIN(4,2+'5. Scenarios'!$C$8))/4+INDEX(BookQ3,2051)*(5-MIN(4,3+'5. Scenarios'!$C$8))/4+INDEX(BookQ4,2051)*(5-MIN(4,4+'5. Scenarios'!$C$8))/4)*'5. Scenarios'!$C$6/(1+ProductivityDefault*('5. Scenarios'!$C$11-1))+INDEX(BookOneOff,2051)*$I2056)</f>
        <v/>
      </c>
      <c r="N2056" s="56" t="str">
        <f aca="false">IF(INDEX(BookTitle,2051)="","",INDEX(BookTotal,2051)*'5. Scenarios'!$D$6/(1+ProductivityDefault*('5. Scenarios'!$D$11-1)))</f>
        <v/>
      </c>
      <c r="O2056" s="57" t="str">
        <f aca="false">IF($N2056="","",INDEX(BookRate,2051)*(1+'5. Scenarios'!$D$10)*$N2056)</f>
        <v/>
      </c>
      <c r="P2056" s="57" t="str">
        <f aca="false">IF($O2056="","",SUMIFS($O$6:$O$2405,$A$6:$A$2405,"&lt;="&amp;$A2056))</f>
        <v/>
      </c>
      <c r="Q2056" s="57" t="str">
        <f aca="false">IF($O2056="","",IF($P2056&lt;=BankCostEnvelope*'5. Scenarios'!$D$7,1,0))</f>
        <v/>
      </c>
      <c r="R2056" s="57" t="str">
        <f aca="false">IF($N2056="","",INDEX(BookRate,2051)*(1+'5. Scenarios'!$D$10)*(INDEX(BookQ1,2051)*(5-MIN(4,1+'5. Scenarios'!$D$8))/4+INDEX(BookQ2,2051)*(5-MIN(4,2+'5. Scenarios'!$D$8))/4+INDEX(BookQ3,2051)*(5-MIN(4,3+'5. Scenarios'!$D$8))/4+INDEX(BookQ4,2051)*(5-MIN(4,4+'5. Scenarios'!$D$8))/4)*'5. Scenarios'!$D$6/(1+ProductivityDefault*('5. Scenarios'!$D$11-1))+INDEX(BookOneOff,2051)*$N2056)</f>
        <v/>
      </c>
      <c r="S2056" s="56" t="str">
        <f aca="false">IF(INDEX(BookTitle,2051)="","",INDEX(BookTotal,2051)*'5. Scenarios'!$E$6/(1+ProductivityDefault*('5. Scenarios'!$E$11-1)))</f>
        <v/>
      </c>
      <c r="T2056" s="57" t="str">
        <f aca="false">IF($S2056="","",INDEX(BookRate,2051)*(1+'5. Scenarios'!$E$10)*$S2056)</f>
        <v/>
      </c>
      <c r="U2056" s="57" t="str">
        <f aca="false">IF($T2056="","",SUMIFS($T$6:$T$2405,$A$6:$A$2405,"&lt;="&amp;$A2056))</f>
        <v/>
      </c>
      <c r="V2056" s="57" t="str">
        <f aca="false">IF($T2056="","",IF($U2056&lt;=BankCostEnvelope*'5. Scenarios'!$E$7,1,0))</f>
        <v/>
      </c>
      <c r="W2056" s="57" t="str">
        <f aca="false">IF($S2056="","",INDEX(BookRate,2051)*(1+'5. Scenarios'!$E$10)*(INDEX(BookQ1,2051)*(5-MIN(4,1+'5. Scenarios'!$E$8))/4+INDEX(BookQ2,2051)*(5-MIN(4,2+'5. Scenarios'!$E$8))/4+INDEX(BookQ3,2051)*(5-MIN(4,3+'5. Scenarios'!$E$8))/4+INDEX(BookQ4,2051)*(5-MIN(4,4+'5. Scenarios'!$E$8))/4)*'5. Scenarios'!$E$6/(1+ProductivityDefault*('5. Scenarios'!$E$11-1))+INDEX(BookOneOff,2051)*$S2056)</f>
        <v/>
      </c>
    </row>
    <row r="2057" customFormat="false" ht="15" hidden="false" customHeight="false" outlineLevel="0" collapsed="false">
      <c r="A2057" s="0" t="str">
        <f aca="false">IF(INDEX(BookTitle,2052)="","",INDEX(BookKey,2052))</f>
        <v/>
      </c>
      <c r="B2057" s="0" t="str">
        <f aca="false">IF(INDEX(BookTitle,2052)="","",INDEX(BookGroup,2052))</f>
        <v/>
      </c>
      <c r="C2057" s="0" t="str">
        <f aca="false">IF(INDEX(BookTitle,2052)="","",INDEX(BookCategory,2052))</f>
        <v/>
      </c>
      <c r="D2057" s="56" t="str">
        <f aca="false">IF(INDEX(BookTitle,2052)="","",INDEX(BookTotal,2052)*'5. Scenarios'!$B$6/(1+ProductivityDefault*('5. Scenarios'!$B$11-1)))</f>
        <v/>
      </c>
      <c r="E2057" s="57" t="str">
        <f aca="false">IF($D2057="","",INDEX(BookRate,2052)*(1+'5. Scenarios'!$B$10)*$D2057)</f>
        <v/>
      </c>
      <c r="F2057" s="57" t="str">
        <f aca="false">IF($E2057="","",SUMIFS($E$6:$E$2405,$A$6:$A$2405,"&lt;="&amp;$A2057))</f>
        <v/>
      </c>
      <c r="G2057" s="57" t="str">
        <f aca="false">IF($E2057="","",IF($F2057&lt;=BankCostEnvelope*'5. Scenarios'!$B$7,1,0))</f>
        <v/>
      </c>
      <c r="H2057" s="57" t="str">
        <f aca="false">IF($D2057="","",INDEX(BookRate,2052)*(1+'5. Scenarios'!$B$10)*(INDEX(BookQ1,2052)*(5-MIN(4,1+'5. Scenarios'!$B$8))/4+INDEX(BookQ2,2052)*(5-MIN(4,2+'5. Scenarios'!$B$8))/4+INDEX(BookQ3,2052)*(5-MIN(4,3+'5. Scenarios'!$B$8))/4+INDEX(BookQ4,2052)*(5-MIN(4,4+'5. Scenarios'!$B$8))/4)*'5. Scenarios'!$B$6/(1+ProductivityDefault*('5. Scenarios'!$B$11-1))+INDEX(BookOneOff,2052)*$D2057)</f>
        <v/>
      </c>
      <c r="I2057" s="56" t="str">
        <f aca="false">IF(INDEX(BookTitle,2052)="","",INDEX(BookTotal,2052)*'5. Scenarios'!$C$6/(1+ProductivityDefault*('5. Scenarios'!$C$11-1)))</f>
        <v/>
      </c>
      <c r="J2057" s="57" t="str">
        <f aca="false">IF($I2057="","",INDEX(BookRate,2052)*(1+'5. Scenarios'!$C$10)*$I2057)</f>
        <v/>
      </c>
      <c r="K2057" s="57" t="str">
        <f aca="false">IF($J2057="","",SUMIFS($J$6:$J$2405,$A$6:$A$2405,"&lt;="&amp;$A2057))</f>
        <v/>
      </c>
      <c r="L2057" s="57" t="str">
        <f aca="false">IF($J2057="","",IF($K2057&lt;=BankCostEnvelope*'5. Scenarios'!$C$7,1,0))</f>
        <v/>
      </c>
      <c r="M2057" s="57" t="str">
        <f aca="false">IF($I2057="","",INDEX(BookRate,2052)*(1+'5. Scenarios'!$C$10)*(INDEX(BookQ1,2052)*(5-MIN(4,1+'5. Scenarios'!$C$8))/4+INDEX(BookQ2,2052)*(5-MIN(4,2+'5. Scenarios'!$C$8))/4+INDEX(BookQ3,2052)*(5-MIN(4,3+'5. Scenarios'!$C$8))/4+INDEX(BookQ4,2052)*(5-MIN(4,4+'5. Scenarios'!$C$8))/4)*'5. Scenarios'!$C$6/(1+ProductivityDefault*('5. Scenarios'!$C$11-1))+INDEX(BookOneOff,2052)*$I2057)</f>
        <v/>
      </c>
      <c r="N2057" s="56" t="str">
        <f aca="false">IF(INDEX(BookTitle,2052)="","",INDEX(BookTotal,2052)*'5. Scenarios'!$D$6/(1+ProductivityDefault*('5. Scenarios'!$D$11-1)))</f>
        <v/>
      </c>
      <c r="O2057" s="57" t="str">
        <f aca="false">IF($N2057="","",INDEX(BookRate,2052)*(1+'5. Scenarios'!$D$10)*$N2057)</f>
        <v/>
      </c>
      <c r="P2057" s="57" t="str">
        <f aca="false">IF($O2057="","",SUMIFS($O$6:$O$2405,$A$6:$A$2405,"&lt;="&amp;$A2057))</f>
        <v/>
      </c>
      <c r="Q2057" s="57" t="str">
        <f aca="false">IF($O2057="","",IF($P2057&lt;=BankCostEnvelope*'5. Scenarios'!$D$7,1,0))</f>
        <v/>
      </c>
      <c r="R2057" s="57" t="str">
        <f aca="false">IF($N2057="","",INDEX(BookRate,2052)*(1+'5. Scenarios'!$D$10)*(INDEX(BookQ1,2052)*(5-MIN(4,1+'5. Scenarios'!$D$8))/4+INDEX(BookQ2,2052)*(5-MIN(4,2+'5. Scenarios'!$D$8))/4+INDEX(BookQ3,2052)*(5-MIN(4,3+'5. Scenarios'!$D$8))/4+INDEX(BookQ4,2052)*(5-MIN(4,4+'5. Scenarios'!$D$8))/4)*'5. Scenarios'!$D$6/(1+ProductivityDefault*('5. Scenarios'!$D$11-1))+INDEX(BookOneOff,2052)*$N2057)</f>
        <v/>
      </c>
      <c r="S2057" s="56" t="str">
        <f aca="false">IF(INDEX(BookTitle,2052)="","",INDEX(BookTotal,2052)*'5. Scenarios'!$E$6/(1+ProductivityDefault*('5. Scenarios'!$E$11-1)))</f>
        <v/>
      </c>
      <c r="T2057" s="57" t="str">
        <f aca="false">IF($S2057="","",INDEX(BookRate,2052)*(1+'5. Scenarios'!$E$10)*$S2057)</f>
        <v/>
      </c>
      <c r="U2057" s="57" t="str">
        <f aca="false">IF($T2057="","",SUMIFS($T$6:$T$2405,$A$6:$A$2405,"&lt;="&amp;$A2057))</f>
        <v/>
      </c>
      <c r="V2057" s="57" t="str">
        <f aca="false">IF($T2057="","",IF($U2057&lt;=BankCostEnvelope*'5. Scenarios'!$E$7,1,0))</f>
        <v/>
      </c>
      <c r="W2057" s="57" t="str">
        <f aca="false">IF($S2057="","",INDEX(BookRate,2052)*(1+'5. Scenarios'!$E$10)*(INDEX(BookQ1,2052)*(5-MIN(4,1+'5. Scenarios'!$E$8))/4+INDEX(BookQ2,2052)*(5-MIN(4,2+'5. Scenarios'!$E$8))/4+INDEX(BookQ3,2052)*(5-MIN(4,3+'5. Scenarios'!$E$8))/4+INDEX(BookQ4,2052)*(5-MIN(4,4+'5. Scenarios'!$E$8))/4)*'5. Scenarios'!$E$6/(1+ProductivityDefault*('5. Scenarios'!$E$11-1))+INDEX(BookOneOff,2052)*$S2057)</f>
        <v/>
      </c>
    </row>
    <row r="2058" customFormat="false" ht="15" hidden="false" customHeight="false" outlineLevel="0" collapsed="false">
      <c r="A2058" s="0" t="str">
        <f aca="false">IF(INDEX(BookTitle,2053)="","",INDEX(BookKey,2053))</f>
        <v/>
      </c>
      <c r="B2058" s="0" t="str">
        <f aca="false">IF(INDEX(BookTitle,2053)="","",INDEX(BookGroup,2053))</f>
        <v/>
      </c>
      <c r="C2058" s="0" t="str">
        <f aca="false">IF(INDEX(BookTitle,2053)="","",INDEX(BookCategory,2053))</f>
        <v/>
      </c>
      <c r="D2058" s="56" t="str">
        <f aca="false">IF(INDEX(BookTitle,2053)="","",INDEX(BookTotal,2053)*'5. Scenarios'!$B$6/(1+ProductivityDefault*('5. Scenarios'!$B$11-1)))</f>
        <v/>
      </c>
      <c r="E2058" s="57" t="str">
        <f aca="false">IF($D2058="","",INDEX(BookRate,2053)*(1+'5. Scenarios'!$B$10)*$D2058)</f>
        <v/>
      </c>
      <c r="F2058" s="57" t="str">
        <f aca="false">IF($E2058="","",SUMIFS($E$6:$E$2405,$A$6:$A$2405,"&lt;="&amp;$A2058))</f>
        <v/>
      </c>
      <c r="G2058" s="57" t="str">
        <f aca="false">IF($E2058="","",IF($F2058&lt;=BankCostEnvelope*'5. Scenarios'!$B$7,1,0))</f>
        <v/>
      </c>
      <c r="H2058" s="57" t="str">
        <f aca="false">IF($D2058="","",INDEX(BookRate,2053)*(1+'5. Scenarios'!$B$10)*(INDEX(BookQ1,2053)*(5-MIN(4,1+'5. Scenarios'!$B$8))/4+INDEX(BookQ2,2053)*(5-MIN(4,2+'5. Scenarios'!$B$8))/4+INDEX(BookQ3,2053)*(5-MIN(4,3+'5. Scenarios'!$B$8))/4+INDEX(BookQ4,2053)*(5-MIN(4,4+'5. Scenarios'!$B$8))/4)*'5. Scenarios'!$B$6/(1+ProductivityDefault*('5. Scenarios'!$B$11-1))+INDEX(BookOneOff,2053)*$D2058)</f>
        <v/>
      </c>
      <c r="I2058" s="56" t="str">
        <f aca="false">IF(INDEX(BookTitle,2053)="","",INDEX(BookTotal,2053)*'5. Scenarios'!$C$6/(1+ProductivityDefault*('5. Scenarios'!$C$11-1)))</f>
        <v/>
      </c>
      <c r="J2058" s="57" t="str">
        <f aca="false">IF($I2058="","",INDEX(BookRate,2053)*(1+'5. Scenarios'!$C$10)*$I2058)</f>
        <v/>
      </c>
      <c r="K2058" s="57" t="str">
        <f aca="false">IF($J2058="","",SUMIFS($J$6:$J$2405,$A$6:$A$2405,"&lt;="&amp;$A2058))</f>
        <v/>
      </c>
      <c r="L2058" s="57" t="str">
        <f aca="false">IF($J2058="","",IF($K2058&lt;=BankCostEnvelope*'5. Scenarios'!$C$7,1,0))</f>
        <v/>
      </c>
      <c r="M2058" s="57" t="str">
        <f aca="false">IF($I2058="","",INDEX(BookRate,2053)*(1+'5. Scenarios'!$C$10)*(INDEX(BookQ1,2053)*(5-MIN(4,1+'5. Scenarios'!$C$8))/4+INDEX(BookQ2,2053)*(5-MIN(4,2+'5. Scenarios'!$C$8))/4+INDEX(BookQ3,2053)*(5-MIN(4,3+'5. Scenarios'!$C$8))/4+INDEX(BookQ4,2053)*(5-MIN(4,4+'5. Scenarios'!$C$8))/4)*'5. Scenarios'!$C$6/(1+ProductivityDefault*('5. Scenarios'!$C$11-1))+INDEX(BookOneOff,2053)*$I2058)</f>
        <v/>
      </c>
      <c r="N2058" s="56" t="str">
        <f aca="false">IF(INDEX(BookTitle,2053)="","",INDEX(BookTotal,2053)*'5. Scenarios'!$D$6/(1+ProductivityDefault*('5. Scenarios'!$D$11-1)))</f>
        <v/>
      </c>
      <c r="O2058" s="57" t="str">
        <f aca="false">IF($N2058="","",INDEX(BookRate,2053)*(1+'5. Scenarios'!$D$10)*$N2058)</f>
        <v/>
      </c>
      <c r="P2058" s="57" t="str">
        <f aca="false">IF($O2058="","",SUMIFS($O$6:$O$2405,$A$6:$A$2405,"&lt;="&amp;$A2058))</f>
        <v/>
      </c>
      <c r="Q2058" s="57" t="str">
        <f aca="false">IF($O2058="","",IF($P2058&lt;=BankCostEnvelope*'5. Scenarios'!$D$7,1,0))</f>
        <v/>
      </c>
      <c r="R2058" s="57" t="str">
        <f aca="false">IF($N2058="","",INDEX(BookRate,2053)*(1+'5. Scenarios'!$D$10)*(INDEX(BookQ1,2053)*(5-MIN(4,1+'5. Scenarios'!$D$8))/4+INDEX(BookQ2,2053)*(5-MIN(4,2+'5. Scenarios'!$D$8))/4+INDEX(BookQ3,2053)*(5-MIN(4,3+'5. Scenarios'!$D$8))/4+INDEX(BookQ4,2053)*(5-MIN(4,4+'5. Scenarios'!$D$8))/4)*'5. Scenarios'!$D$6/(1+ProductivityDefault*('5. Scenarios'!$D$11-1))+INDEX(BookOneOff,2053)*$N2058)</f>
        <v/>
      </c>
      <c r="S2058" s="56" t="str">
        <f aca="false">IF(INDEX(BookTitle,2053)="","",INDEX(BookTotal,2053)*'5. Scenarios'!$E$6/(1+ProductivityDefault*('5. Scenarios'!$E$11-1)))</f>
        <v/>
      </c>
      <c r="T2058" s="57" t="str">
        <f aca="false">IF($S2058="","",INDEX(BookRate,2053)*(1+'5. Scenarios'!$E$10)*$S2058)</f>
        <v/>
      </c>
      <c r="U2058" s="57" t="str">
        <f aca="false">IF($T2058="","",SUMIFS($T$6:$T$2405,$A$6:$A$2405,"&lt;="&amp;$A2058))</f>
        <v/>
      </c>
      <c r="V2058" s="57" t="str">
        <f aca="false">IF($T2058="","",IF($U2058&lt;=BankCostEnvelope*'5. Scenarios'!$E$7,1,0))</f>
        <v/>
      </c>
      <c r="W2058" s="57" t="str">
        <f aca="false">IF($S2058="","",INDEX(BookRate,2053)*(1+'5. Scenarios'!$E$10)*(INDEX(BookQ1,2053)*(5-MIN(4,1+'5. Scenarios'!$E$8))/4+INDEX(BookQ2,2053)*(5-MIN(4,2+'5. Scenarios'!$E$8))/4+INDEX(BookQ3,2053)*(5-MIN(4,3+'5. Scenarios'!$E$8))/4+INDEX(BookQ4,2053)*(5-MIN(4,4+'5. Scenarios'!$E$8))/4)*'5. Scenarios'!$E$6/(1+ProductivityDefault*('5. Scenarios'!$E$11-1))+INDEX(BookOneOff,2053)*$S2058)</f>
        <v/>
      </c>
    </row>
    <row r="2059" customFormat="false" ht="15" hidden="false" customHeight="false" outlineLevel="0" collapsed="false">
      <c r="A2059" s="0" t="str">
        <f aca="false">IF(INDEX(BookTitle,2054)="","",INDEX(BookKey,2054))</f>
        <v/>
      </c>
      <c r="B2059" s="0" t="str">
        <f aca="false">IF(INDEX(BookTitle,2054)="","",INDEX(BookGroup,2054))</f>
        <v/>
      </c>
      <c r="C2059" s="0" t="str">
        <f aca="false">IF(INDEX(BookTitle,2054)="","",INDEX(BookCategory,2054))</f>
        <v/>
      </c>
      <c r="D2059" s="56" t="str">
        <f aca="false">IF(INDEX(BookTitle,2054)="","",INDEX(BookTotal,2054)*'5. Scenarios'!$B$6/(1+ProductivityDefault*('5. Scenarios'!$B$11-1)))</f>
        <v/>
      </c>
      <c r="E2059" s="57" t="str">
        <f aca="false">IF($D2059="","",INDEX(BookRate,2054)*(1+'5. Scenarios'!$B$10)*$D2059)</f>
        <v/>
      </c>
      <c r="F2059" s="57" t="str">
        <f aca="false">IF($E2059="","",SUMIFS($E$6:$E$2405,$A$6:$A$2405,"&lt;="&amp;$A2059))</f>
        <v/>
      </c>
      <c r="G2059" s="57" t="str">
        <f aca="false">IF($E2059="","",IF($F2059&lt;=BankCostEnvelope*'5. Scenarios'!$B$7,1,0))</f>
        <v/>
      </c>
      <c r="H2059" s="57" t="str">
        <f aca="false">IF($D2059="","",INDEX(BookRate,2054)*(1+'5. Scenarios'!$B$10)*(INDEX(BookQ1,2054)*(5-MIN(4,1+'5. Scenarios'!$B$8))/4+INDEX(BookQ2,2054)*(5-MIN(4,2+'5. Scenarios'!$B$8))/4+INDEX(BookQ3,2054)*(5-MIN(4,3+'5. Scenarios'!$B$8))/4+INDEX(BookQ4,2054)*(5-MIN(4,4+'5. Scenarios'!$B$8))/4)*'5. Scenarios'!$B$6/(1+ProductivityDefault*('5. Scenarios'!$B$11-1))+INDEX(BookOneOff,2054)*$D2059)</f>
        <v/>
      </c>
      <c r="I2059" s="56" t="str">
        <f aca="false">IF(INDEX(BookTitle,2054)="","",INDEX(BookTotal,2054)*'5. Scenarios'!$C$6/(1+ProductivityDefault*('5. Scenarios'!$C$11-1)))</f>
        <v/>
      </c>
      <c r="J2059" s="57" t="str">
        <f aca="false">IF($I2059="","",INDEX(BookRate,2054)*(1+'5. Scenarios'!$C$10)*$I2059)</f>
        <v/>
      </c>
      <c r="K2059" s="57" t="str">
        <f aca="false">IF($J2059="","",SUMIFS($J$6:$J$2405,$A$6:$A$2405,"&lt;="&amp;$A2059))</f>
        <v/>
      </c>
      <c r="L2059" s="57" t="str">
        <f aca="false">IF($J2059="","",IF($K2059&lt;=BankCostEnvelope*'5. Scenarios'!$C$7,1,0))</f>
        <v/>
      </c>
      <c r="M2059" s="57" t="str">
        <f aca="false">IF($I2059="","",INDEX(BookRate,2054)*(1+'5. Scenarios'!$C$10)*(INDEX(BookQ1,2054)*(5-MIN(4,1+'5. Scenarios'!$C$8))/4+INDEX(BookQ2,2054)*(5-MIN(4,2+'5. Scenarios'!$C$8))/4+INDEX(BookQ3,2054)*(5-MIN(4,3+'5. Scenarios'!$C$8))/4+INDEX(BookQ4,2054)*(5-MIN(4,4+'5. Scenarios'!$C$8))/4)*'5. Scenarios'!$C$6/(1+ProductivityDefault*('5. Scenarios'!$C$11-1))+INDEX(BookOneOff,2054)*$I2059)</f>
        <v/>
      </c>
      <c r="N2059" s="56" t="str">
        <f aca="false">IF(INDEX(BookTitle,2054)="","",INDEX(BookTotal,2054)*'5. Scenarios'!$D$6/(1+ProductivityDefault*('5. Scenarios'!$D$11-1)))</f>
        <v/>
      </c>
      <c r="O2059" s="57" t="str">
        <f aca="false">IF($N2059="","",INDEX(BookRate,2054)*(1+'5. Scenarios'!$D$10)*$N2059)</f>
        <v/>
      </c>
      <c r="P2059" s="57" t="str">
        <f aca="false">IF($O2059="","",SUMIFS($O$6:$O$2405,$A$6:$A$2405,"&lt;="&amp;$A2059))</f>
        <v/>
      </c>
      <c r="Q2059" s="57" t="str">
        <f aca="false">IF($O2059="","",IF($P2059&lt;=BankCostEnvelope*'5. Scenarios'!$D$7,1,0))</f>
        <v/>
      </c>
      <c r="R2059" s="57" t="str">
        <f aca="false">IF($N2059="","",INDEX(BookRate,2054)*(1+'5. Scenarios'!$D$10)*(INDEX(BookQ1,2054)*(5-MIN(4,1+'5. Scenarios'!$D$8))/4+INDEX(BookQ2,2054)*(5-MIN(4,2+'5. Scenarios'!$D$8))/4+INDEX(BookQ3,2054)*(5-MIN(4,3+'5. Scenarios'!$D$8))/4+INDEX(BookQ4,2054)*(5-MIN(4,4+'5. Scenarios'!$D$8))/4)*'5. Scenarios'!$D$6/(1+ProductivityDefault*('5. Scenarios'!$D$11-1))+INDEX(BookOneOff,2054)*$N2059)</f>
        <v/>
      </c>
      <c r="S2059" s="56" t="str">
        <f aca="false">IF(INDEX(BookTitle,2054)="","",INDEX(BookTotal,2054)*'5. Scenarios'!$E$6/(1+ProductivityDefault*('5. Scenarios'!$E$11-1)))</f>
        <v/>
      </c>
      <c r="T2059" s="57" t="str">
        <f aca="false">IF($S2059="","",INDEX(BookRate,2054)*(1+'5. Scenarios'!$E$10)*$S2059)</f>
        <v/>
      </c>
      <c r="U2059" s="57" t="str">
        <f aca="false">IF($T2059="","",SUMIFS($T$6:$T$2405,$A$6:$A$2405,"&lt;="&amp;$A2059))</f>
        <v/>
      </c>
      <c r="V2059" s="57" t="str">
        <f aca="false">IF($T2059="","",IF($U2059&lt;=BankCostEnvelope*'5. Scenarios'!$E$7,1,0))</f>
        <v/>
      </c>
      <c r="W2059" s="57" t="str">
        <f aca="false">IF($S2059="","",INDEX(BookRate,2054)*(1+'5. Scenarios'!$E$10)*(INDEX(BookQ1,2054)*(5-MIN(4,1+'5. Scenarios'!$E$8))/4+INDEX(BookQ2,2054)*(5-MIN(4,2+'5. Scenarios'!$E$8))/4+INDEX(BookQ3,2054)*(5-MIN(4,3+'5. Scenarios'!$E$8))/4+INDEX(BookQ4,2054)*(5-MIN(4,4+'5. Scenarios'!$E$8))/4)*'5. Scenarios'!$E$6/(1+ProductivityDefault*('5. Scenarios'!$E$11-1))+INDEX(BookOneOff,2054)*$S2059)</f>
        <v/>
      </c>
    </row>
    <row r="2060" customFormat="false" ht="15" hidden="false" customHeight="false" outlineLevel="0" collapsed="false">
      <c r="A2060" s="0" t="str">
        <f aca="false">IF(INDEX(BookTitle,2055)="","",INDEX(BookKey,2055))</f>
        <v/>
      </c>
      <c r="B2060" s="0" t="str">
        <f aca="false">IF(INDEX(BookTitle,2055)="","",INDEX(BookGroup,2055))</f>
        <v/>
      </c>
      <c r="C2060" s="0" t="str">
        <f aca="false">IF(INDEX(BookTitle,2055)="","",INDEX(BookCategory,2055))</f>
        <v/>
      </c>
      <c r="D2060" s="56" t="str">
        <f aca="false">IF(INDEX(BookTitle,2055)="","",INDEX(BookTotal,2055)*'5. Scenarios'!$B$6/(1+ProductivityDefault*('5. Scenarios'!$B$11-1)))</f>
        <v/>
      </c>
      <c r="E2060" s="57" t="str">
        <f aca="false">IF($D2060="","",INDEX(BookRate,2055)*(1+'5. Scenarios'!$B$10)*$D2060)</f>
        <v/>
      </c>
      <c r="F2060" s="57" t="str">
        <f aca="false">IF($E2060="","",SUMIFS($E$6:$E$2405,$A$6:$A$2405,"&lt;="&amp;$A2060))</f>
        <v/>
      </c>
      <c r="G2060" s="57" t="str">
        <f aca="false">IF($E2060="","",IF($F2060&lt;=BankCostEnvelope*'5. Scenarios'!$B$7,1,0))</f>
        <v/>
      </c>
      <c r="H2060" s="57" t="str">
        <f aca="false">IF($D2060="","",INDEX(BookRate,2055)*(1+'5. Scenarios'!$B$10)*(INDEX(BookQ1,2055)*(5-MIN(4,1+'5. Scenarios'!$B$8))/4+INDEX(BookQ2,2055)*(5-MIN(4,2+'5. Scenarios'!$B$8))/4+INDEX(BookQ3,2055)*(5-MIN(4,3+'5. Scenarios'!$B$8))/4+INDEX(BookQ4,2055)*(5-MIN(4,4+'5. Scenarios'!$B$8))/4)*'5. Scenarios'!$B$6/(1+ProductivityDefault*('5. Scenarios'!$B$11-1))+INDEX(BookOneOff,2055)*$D2060)</f>
        <v/>
      </c>
      <c r="I2060" s="56" t="str">
        <f aca="false">IF(INDEX(BookTitle,2055)="","",INDEX(BookTotal,2055)*'5. Scenarios'!$C$6/(1+ProductivityDefault*('5. Scenarios'!$C$11-1)))</f>
        <v/>
      </c>
      <c r="J2060" s="57" t="str">
        <f aca="false">IF($I2060="","",INDEX(BookRate,2055)*(1+'5. Scenarios'!$C$10)*$I2060)</f>
        <v/>
      </c>
      <c r="K2060" s="57" t="str">
        <f aca="false">IF($J2060="","",SUMIFS($J$6:$J$2405,$A$6:$A$2405,"&lt;="&amp;$A2060))</f>
        <v/>
      </c>
      <c r="L2060" s="57" t="str">
        <f aca="false">IF($J2060="","",IF($K2060&lt;=BankCostEnvelope*'5. Scenarios'!$C$7,1,0))</f>
        <v/>
      </c>
      <c r="M2060" s="57" t="str">
        <f aca="false">IF($I2060="","",INDEX(BookRate,2055)*(1+'5. Scenarios'!$C$10)*(INDEX(BookQ1,2055)*(5-MIN(4,1+'5. Scenarios'!$C$8))/4+INDEX(BookQ2,2055)*(5-MIN(4,2+'5. Scenarios'!$C$8))/4+INDEX(BookQ3,2055)*(5-MIN(4,3+'5. Scenarios'!$C$8))/4+INDEX(BookQ4,2055)*(5-MIN(4,4+'5. Scenarios'!$C$8))/4)*'5. Scenarios'!$C$6/(1+ProductivityDefault*('5. Scenarios'!$C$11-1))+INDEX(BookOneOff,2055)*$I2060)</f>
        <v/>
      </c>
      <c r="N2060" s="56" t="str">
        <f aca="false">IF(INDEX(BookTitle,2055)="","",INDEX(BookTotal,2055)*'5. Scenarios'!$D$6/(1+ProductivityDefault*('5. Scenarios'!$D$11-1)))</f>
        <v/>
      </c>
      <c r="O2060" s="57" t="str">
        <f aca="false">IF($N2060="","",INDEX(BookRate,2055)*(1+'5. Scenarios'!$D$10)*$N2060)</f>
        <v/>
      </c>
      <c r="P2060" s="57" t="str">
        <f aca="false">IF($O2060="","",SUMIFS($O$6:$O$2405,$A$6:$A$2405,"&lt;="&amp;$A2060))</f>
        <v/>
      </c>
      <c r="Q2060" s="57" t="str">
        <f aca="false">IF($O2060="","",IF($P2060&lt;=BankCostEnvelope*'5. Scenarios'!$D$7,1,0))</f>
        <v/>
      </c>
      <c r="R2060" s="57" t="str">
        <f aca="false">IF($N2060="","",INDEX(BookRate,2055)*(1+'5. Scenarios'!$D$10)*(INDEX(BookQ1,2055)*(5-MIN(4,1+'5. Scenarios'!$D$8))/4+INDEX(BookQ2,2055)*(5-MIN(4,2+'5. Scenarios'!$D$8))/4+INDEX(BookQ3,2055)*(5-MIN(4,3+'5. Scenarios'!$D$8))/4+INDEX(BookQ4,2055)*(5-MIN(4,4+'5. Scenarios'!$D$8))/4)*'5. Scenarios'!$D$6/(1+ProductivityDefault*('5. Scenarios'!$D$11-1))+INDEX(BookOneOff,2055)*$N2060)</f>
        <v/>
      </c>
      <c r="S2060" s="56" t="str">
        <f aca="false">IF(INDEX(BookTitle,2055)="","",INDEX(BookTotal,2055)*'5. Scenarios'!$E$6/(1+ProductivityDefault*('5. Scenarios'!$E$11-1)))</f>
        <v/>
      </c>
      <c r="T2060" s="57" t="str">
        <f aca="false">IF($S2060="","",INDEX(BookRate,2055)*(1+'5. Scenarios'!$E$10)*$S2060)</f>
        <v/>
      </c>
      <c r="U2060" s="57" t="str">
        <f aca="false">IF($T2060="","",SUMIFS($T$6:$T$2405,$A$6:$A$2405,"&lt;="&amp;$A2060))</f>
        <v/>
      </c>
      <c r="V2060" s="57" t="str">
        <f aca="false">IF($T2060="","",IF($U2060&lt;=BankCostEnvelope*'5. Scenarios'!$E$7,1,0))</f>
        <v/>
      </c>
      <c r="W2060" s="57" t="str">
        <f aca="false">IF($S2060="","",INDEX(BookRate,2055)*(1+'5. Scenarios'!$E$10)*(INDEX(BookQ1,2055)*(5-MIN(4,1+'5. Scenarios'!$E$8))/4+INDEX(BookQ2,2055)*(5-MIN(4,2+'5. Scenarios'!$E$8))/4+INDEX(BookQ3,2055)*(5-MIN(4,3+'5. Scenarios'!$E$8))/4+INDEX(BookQ4,2055)*(5-MIN(4,4+'5. Scenarios'!$E$8))/4)*'5. Scenarios'!$E$6/(1+ProductivityDefault*('5. Scenarios'!$E$11-1))+INDEX(BookOneOff,2055)*$S2060)</f>
        <v/>
      </c>
    </row>
    <row r="2061" customFormat="false" ht="15" hidden="false" customHeight="false" outlineLevel="0" collapsed="false">
      <c r="A2061" s="0" t="str">
        <f aca="false">IF(INDEX(BookTitle,2056)="","",INDEX(BookKey,2056))</f>
        <v/>
      </c>
      <c r="B2061" s="0" t="str">
        <f aca="false">IF(INDEX(BookTitle,2056)="","",INDEX(BookGroup,2056))</f>
        <v/>
      </c>
      <c r="C2061" s="0" t="str">
        <f aca="false">IF(INDEX(BookTitle,2056)="","",INDEX(BookCategory,2056))</f>
        <v/>
      </c>
      <c r="D2061" s="56" t="str">
        <f aca="false">IF(INDEX(BookTitle,2056)="","",INDEX(BookTotal,2056)*'5. Scenarios'!$B$6/(1+ProductivityDefault*('5. Scenarios'!$B$11-1)))</f>
        <v/>
      </c>
      <c r="E2061" s="57" t="str">
        <f aca="false">IF($D2061="","",INDEX(BookRate,2056)*(1+'5. Scenarios'!$B$10)*$D2061)</f>
        <v/>
      </c>
      <c r="F2061" s="57" t="str">
        <f aca="false">IF($E2061="","",SUMIFS($E$6:$E$2405,$A$6:$A$2405,"&lt;="&amp;$A2061))</f>
        <v/>
      </c>
      <c r="G2061" s="57" t="str">
        <f aca="false">IF($E2061="","",IF($F2061&lt;=BankCostEnvelope*'5. Scenarios'!$B$7,1,0))</f>
        <v/>
      </c>
      <c r="H2061" s="57" t="str">
        <f aca="false">IF($D2061="","",INDEX(BookRate,2056)*(1+'5. Scenarios'!$B$10)*(INDEX(BookQ1,2056)*(5-MIN(4,1+'5. Scenarios'!$B$8))/4+INDEX(BookQ2,2056)*(5-MIN(4,2+'5. Scenarios'!$B$8))/4+INDEX(BookQ3,2056)*(5-MIN(4,3+'5. Scenarios'!$B$8))/4+INDEX(BookQ4,2056)*(5-MIN(4,4+'5. Scenarios'!$B$8))/4)*'5. Scenarios'!$B$6/(1+ProductivityDefault*('5. Scenarios'!$B$11-1))+INDEX(BookOneOff,2056)*$D2061)</f>
        <v/>
      </c>
      <c r="I2061" s="56" t="str">
        <f aca="false">IF(INDEX(BookTitle,2056)="","",INDEX(BookTotal,2056)*'5. Scenarios'!$C$6/(1+ProductivityDefault*('5. Scenarios'!$C$11-1)))</f>
        <v/>
      </c>
      <c r="J2061" s="57" t="str">
        <f aca="false">IF($I2061="","",INDEX(BookRate,2056)*(1+'5. Scenarios'!$C$10)*$I2061)</f>
        <v/>
      </c>
      <c r="K2061" s="57" t="str">
        <f aca="false">IF($J2061="","",SUMIFS($J$6:$J$2405,$A$6:$A$2405,"&lt;="&amp;$A2061))</f>
        <v/>
      </c>
      <c r="L2061" s="57" t="str">
        <f aca="false">IF($J2061="","",IF($K2061&lt;=BankCostEnvelope*'5. Scenarios'!$C$7,1,0))</f>
        <v/>
      </c>
      <c r="M2061" s="57" t="str">
        <f aca="false">IF($I2061="","",INDEX(BookRate,2056)*(1+'5. Scenarios'!$C$10)*(INDEX(BookQ1,2056)*(5-MIN(4,1+'5. Scenarios'!$C$8))/4+INDEX(BookQ2,2056)*(5-MIN(4,2+'5. Scenarios'!$C$8))/4+INDEX(BookQ3,2056)*(5-MIN(4,3+'5. Scenarios'!$C$8))/4+INDEX(BookQ4,2056)*(5-MIN(4,4+'5. Scenarios'!$C$8))/4)*'5. Scenarios'!$C$6/(1+ProductivityDefault*('5. Scenarios'!$C$11-1))+INDEX(BookOneOff,2056)*$I2061)</f>
        <v/>
      </c>
      <c r="N2061" s="56" t="str">
        <f aca="false">IF(INDEX(BookTitle,2056)="","",INDEX(BookTotal,2056)*'5. Scenarios'!$D$6/(1+ProductivityDefault*('5. Scenarios'!$D$11-1)))</f>
        <v/>
      </c>
      <c r="O2061" s="57" t="str">
        <f aca="false">IF($N2061="","",INDEX(BookRate,2056)*(1+'5. Scenarios'!$D$10)*$N2061)</f>
        <v/>
      </c>
      <c r="P2061" s="57" t="str">
        <f aca="false">IF($O2061="","",SUMIFS($O$6:$O$2405,$A$6:$A$2405,"&lt;="&amp;$A2061))</f>
        <v/>
      </c>
      <c r="Q2061" s="57" t="str">
        <f aca="false">IF($O2061="","",IF($P2061&lt;=BankCostEnvelope*'5. Scenarios'!$D$7,1,0))</f>
        <v/>
      </c>
      <c r="R2061" s="57" t="str">
        <f aca="false">IF($N2061="","",INDEX(BookRate,2056)*(1+'5. Scenarios'!$D$10)*(INDEX(BookQ1,2056)*(5-MIN(4,1+'5. Scenarios'!$D$8))/4+INDEX(BookQ2,2056)*(5-MIN(4,2+'5. Scenarios'!$D$8))/4+INDEX(BookQ3,2056)*(5-MIN(4,3+'5. Scenarios'!$D$8))/4+INDEX(BookQ4,2056)*(5-MIN(4,4+'5. Scenarios'!$D$8))/4)*'5. Scenarios'!$D$6/(1+ProductivityDefault*('5. Scenarios'!$D$11-1))+INDEX(BookOneOff,2056)*$N2061)</f>
        <v/>
      </c>
      <c r="S2061" s="56" t="str">
        <f aca="false">IF(INDEX(BookTitle,2056)="","",INDEX(BookTotal,2056)*'5. Scenarios'!$E$6/(1+ProductivityDefault*('5. Scenarios'!$E$11-1)))</f>
        <v/>
      </c>
      <c r="T2061" s="57" t="str">
        <f aca="false">IF($S2061="","",INDEX(BookRate,2056)*(1+'5. Scenarios'!$E$10)*$S2061)</f>
        <v/>
      </c>
      <c r="U2061" s="57" t="str">
        <f aca="false">IF($T2061="","",SUMIFS($T$6:$T$2405,$A$6:$A$2405,"&lt;="&amp;$A2061))</f>
        <v/>
      </c>
      <c r="V2061" s="57" t="str">
        <f aca="false">IF($T2061="","",IF($U2061&lt;=BankCostEnvelope*'5. Scenarios'!$E$7,1,0))</f>
        <v/>
      </c>
      <c r="W2061" s="57" t="str">
        <f aca="false">IF($S2061="","",INDEX(BookRate,2056)*(1+'5. Scenarios'!$E$10)*(INDEX(BookQ1,2056)*(5-MIN(4,1+'5. Scenarios'!$E$8))/4+INDEX(BookQ2,2056)*(5-MIN(4,2+'5. Scenarios'!$E$8))/4+INDEX(BookQ3,2056)*(5-MIN(4,3+'5. Scenarios'!$E$8))/4+INDEX(BookQ4,2056)*(5-MIN(4,4+'5. Scenarios'!$E$8))/4)*'5. Scenarios'!$E$6/(1+ProductivityDefault*('5. Scenarios'!$E$11-1))+INDEX(BookOneOff,2056)*$S2061)</f>
        <v/>
      </c>
    </row>
    <row r="2062" customFormat="false" ht="15" hidden="false" customHeight="false" outlineLevel="0" collapsed="false">
      <c r="A2062" s="0" t="str">
        <f aca="false">IF(INDEX(BookTitle,2057)="","",INDEX(BookKey,2057))</f>
        <v/>
      </c>
      <c r="B2062" s="0" t="str">
        <f aca="false">IF(INDEX(BookTitle,2057)="","",INDEX(BookGroup,2057))</f>
        <v/>
      </c>
      <c r="C2062" s="0" t="str">
        <f aca="false">IF(INDEX(BookTitle,2057)="","",INDEX(BookCategory,2057))</f>
        <v/>
      </c>
      <c r="D2062" s="56" t="str">
        <f aca="false">IF(INDEX(BookTitle,2057)="","",INDEX(BookTotal,2057)*'5. Scenarios'!$B$6/(1+ProductivityDefault*('5. Scenarios'!$B$11-1)))</f>
        <v/>
      </c>
      <c r="E2062" s="57" t="str">
        <f aca="false">IF($D2062="","",INDEX(BookRate,2057)*(1+'5. Scenarios'!$B$10)*$D2062)</f>
        <v/>
      </c>
      <c r="F2062" s="57" t="str">
        <f aca="false">IF($E2062="","",SUMIFS($E$6:$E$2405,$A$6:$A$2405,"&lt;="&amp;$A2062))</f>
        <v/>
      </c>
      <c r="G2062" s="57" t="str">
        <f aca="false">IF($E2062="","",IF($F2062&lt;=BankCostEnvelope*'5. Scenarios'!$B$7,1,0))</f>
        <v/>
      </c>
      <c r="H2062" s="57" t="str">
        <f aca="false">IF($D2062="","",INDEX(BookRate,2057)*(1+'5. Scenarios'!$B$10)*(INDEX(BookQ1,2057)*(5-MIN(4,1+'5. Scenarios'!$B$8))/4+INDEX(BookQ2,2057)*(5-MIN(4,2+'5. Scenarios'!$B$8))/4+INDEX(BookQ3,2057)*(5-MIN(4,3+'5. Scenarios'!$B$8))/4+INDEX(BookQ4,2057)*(5-MIN(4,4+'5. Scenarios'!$B$8))/4)*'5. Scenarios'!$B$6/(1+ProductivityDefault*('5. Scenarios'!$B$11-1))+INDEX(BookOneOff,2057)*$D2062)</f>
        <v/>
      </c>
      <c r="I2062" s="56" t="str">
        <f aca="false">IF(INDEX(BookTitle,2057)="","",INDEX(BookTotal,2057)*'5. Scenarios'!$C$6/(1+ProductivityDefault*('5. Scenarios'!$C$11-1)))</f>
        <v/>
      </c>
      <c r="J2062" s="57" t="str">
        <f aca="false">IF($I2062="","",INDEX(BookRate,2057)*(1+'5. Scenarios'!$C$10)*$I2062)</f>
        <v/>
      </c>
      <c r="K2062" s="57" t="str">
        <f aca="false">IF($J2062="","",SUMIFS($J$6:$J$2405,$A$6:$A$2405,"&lt;="&amp;$A2062))</f>
        <v/>
      </c>
      <c r="L2062" s="57" t="str">
        <f aca="false">IF($J2062="","",IF($K2062&lt;=BankCostEnvelope*'5. Scenarios'!$C$7,1,0))</f>
        <v/>
      </c>
      <c r="M2062" s="57" t="str">
        <f aca="false">IF($I2062="","",INDEX(BookRate,2057)*(1+'5. Scenarios'!$C$10)*(INDEX(BookQ1,2057)*(5-MIN(4,1+'5. Scenarios'!$C$8))/4+INDEX(BookQ2,2057)*(5-MIN(4,2+'5. Scenarios'!$C$8))/4+INDEX(BookQ3,2057)*(5-MIN(4,3+'5. Scenarios'!$C$8))/4+INDEX(BookQ4,2057)*(5-MIN(4,4+'5. Scenarios'!$C$8))/4)*'5. Scenarios'!$C$6/(1+ProductivityDefault*('5. Scenarios'!$C$11-1))+INDEX(BookOneOff,2057)*$I2062)</f>
        <v/>
      </c>
      <c r="N2062" s="56" t="str">
        <f aca="false">IF(INDEX(BookTitle,2057)="","",INDEX(BookTotal,2057)*'5. Scenarios'!$D$6/(1+ProductivityDefault*('5. Scenarios'!$D$11-1)))</f>
        <v/>
      </c>
      <c r="O2062" s="57" t="str">
        <f aca="false">IF($N2062="","",INDEX(BookRate,2057)*(1+'5. Scenarios'!$D$10)*$N2062)</f>
        <v/>
      </c>
      <c r="P2062" s="57" t="str">
        <f aca="false">IF($O2062="","",SUMIFS($O$6:$O$2405,$A$6:$A$2405,"&lt;="&amp;$A2062))</f>
        <v/>
      </c>
      <c r="Q2062" s="57" t="str">
        <f aca="false">IF($O2062="","",IF($P2062&lt;=BankCostEnvelope*'5. Scenarios'!$D$7,1,0))</f>
        <v/>
      </c>
      <c r="R2062" s="57" t="str">
        <f aca="false">IF($N2062="","",INDEX(BookRate,2057)*(1+'5. Scenarios'!$D$10)*(INDEX(BookQ1,2057)*(5-MIN(4,1+'5. Scenarios'!$D$8))/4+INDEX(BookQ2,2057)*(5-MIN(4,2+'5. Scenarios'!$D$8))/4+INDEX(BookQ3,2057)*(5-MIN(4,3+'5. Scenarios'!$D$8))/4+INDEX(BookQ4,2057)*(5-MIN(4,4+'5. Scenarios'!$D$8))/4)*'5. Scenarios'!$D$6/(1+ProductivityDefault*('5. Scenarios'!$D$11-1))+INDEX(BookOneOff,2057)*$N2062)</f>
        <v/>
      </c>
      <c r="S2062" s="56" t="str">
        <f aca="false">IF(INDEX(BookTitle,2057)="","",INDEX(BookTotal,2057)*'5. Scenarios'!$E$6/(1+ProductivityDefault*('5. Scenarios'!$E$11-1)))</f>
        <v/>
      </c>
      <c r="T2062" s="57" t="str">
        <f aca="false">IF($S2062="","",INDEX(BookRate,2057)*(1+'5. Scenarios'!$E$10)*$S2062)</f>
        <v/>
      </c>
      <c r="U2062" s="57" t="str">
        <f aca="false">IF($T2062="","",SUMIFS($T$6:$T$2405,$A$6:$A$2405,"&lt;="&amp;$A2062))</f>
        <v/>
      </c>
      <c r="V2062" s="57" t="str">
        <f aca="false">IF($T2062="","",IF($U2062&lt;=BankCostEnvelope*'5. Scenarios'!$E$7,1,0))</f>
        <v/>
      </c>
      <c r="W2062" s="57" t="str">
        <f aca="false">IF($S2062="","",INDEX(BookRate,2057)*(1+'5. Scenarios'!$E$10)*(INDEX(BookQ1,2057)*(5-MIN(4,1+'5. Scenarios'!$E$8))/4+INDEX(BookQ2,2057)*(5-MIN(4,2+'5. Scenarios'!$E$8))/4+INDEX(BookQ3,2057)*(5-MIN(4,3+'5. Scenarios'!$E$8))/4+INDEX(BookQ4,2057)*(5-MIN(4,4+'5. Scenarios'!$E$8))/4)*'5. Scenarios'!$E$6/(1+ProductivityDefault*('5. Scenarios'!$E$11-1))+INDEX(BookOneOff,2057)*$S2062)</f>
        <v/>
      </c>
    </row>
    <row r="2063" customFormat="false" ht="15" hidden="false" customHeight="false" outlineLevel="0" collapsed="false">
      <c r="A2063" s="0" t="str">
        <f aca="false">IF(INDEX(BookTitle,2058)="","",INDEX(BookKey,2058))</f>
        <v/>
      </c>
      <c r="B2063" s="0" t="str">
        <f aca="false">IF(INDEX(BookTitle,2058)="","",INDEX(BookGroup,2058))</f>
        <v/>
      </c>
      <c r="C2063" s="0" t="str">
        <f aca="false">IF(INDEX(BookTitle,2058)="","",INDEX(BookCategory,2058))</f>
        <v/>
      </c>
      <c r="D2063" s="56" t="str">
        <f aca="false">IF(INDEX(BookTitle,2058)="","",INDEX(BookTotal,2058)*'5. Scenarios'!$B$6/(1+ProductivityDefault*('5. Scenarios'!$B$11-1)))</f>
        <v/>
      </c>
      <c r="E2063" s="57" t="str">
        <f aca="false">IF($D2063="","",INDEX(BookRate,2058)*(1+'5. Scenarios'!$B$10)*$D2063)</f>
        <v/>
      </c>
      <c r="F2063" s="57" t="str">
        <f aca="false">IF($E2063="","",SUMIFS($E$6:$E$2405,$A$6:$A$2405,"&lt;="&amp;$A2063))</f>
        <v/>
      </c>
      <c r="G2063" s="57" t="str">
        <f aca="false">IF($E2063="","",IF($F2063&lt;=BankCostEnvelope*'5. Scenarios'!$B$7,1,0))</f>
        <v/>
      </c>
      <c r="H2063" s="57" t="str">
        <f aca="false">IF($D2063="","",INDEX(BookRate,2058)*(1+'5. Scenarios'!$B$10)*(INDEX(BookQ1,2058)*(5-MIN(4,1+'5. Scenarios'!$B$8))/4+INDEX(BookQ2,2058)*(5-MIN(4,2+'5. Scenarios'!$B$8))/4+INDEX(BookQ3,2058)*(5-MIN(4,3+'5. Scenarios'!$B$8))/4+INDEX(BookQ4,2058)*(5-MIN(4,4+'5. Scenarios'!$B$8))/4)*'5. Scenarios'!$B$6/(1+ProductivityDefault*('5. Scenarios'!$B$11-1))+INDEX(BookOneOff,2058)*$D2063)</f>
        <v/>
      </c>
      <c r="I2063" s="56" t="str">
        <f aca="false">IF(INDEX(BookTitle,2058)="","",INDEX(BookTotal,2058)*'5. Scenarios'!$C$6/(1+ProductivityDefault*('5. Scenarios'!$C$11-1)))</f>
        <v/>
      </c>
      <c r="J2063" s="57" t="str">
        <f aca="false">IF($I2063="","",INDEX(BookRate,2058)*(1+'5. Scenarios'!$C$10)*$I2063)</f>
        <v/>
      </c>
      <c r="K2063" s="57" t="str">
        <f aca="false">IF($J2063="","",SUMIFS($J$6:$J$2405,$A$6:$A$2405,"&lt;="&amp;$A2063))</f>
        <v/>
      </c>
      <c r="L2063" s="57" t="str">
        <f aca="false">IF($J2063="","",IF($K2063&lt;=BankCostEnvelope*'5. Scenarios'!$C$7,1,0))</f>
        <v/>
      </c>
      <c r="M2063" s="57" t="str">
        <f aca="false">IF($I2063="","",INDEX(BookRate,2058)*(1+'5. Scenarios'!$C$10)*(INDEX(BookQ1,2058)*(5-MIN(4,1+'5. Scenarios'!$C$8))/4+INDEX(BookQ2,2058)*(5-MIN(4,2+'5. Scenarios'!$C$8))/4+INDEX(BookQ3,2058)*(5-MIN(4,3+'5. Scenarios'!$C$8))/4+INDEX(BookQ4,2058)*(5-MIN(4,4+'5. Scenarios'!$C$8))/4)*'5. Scenarios'!$C$6/(1+ProductivityDefault*('5. Scenarios'!$C$11-1))+INDEX(BookOneOff,2058)*$I2063)</f>
        <v/>
      </c>
      <c r="N2063" s="56" t="str">
        <f aca="false">IF(INDEX(BookTitle,2058)="","",INDEX(BookTotal,2058)*'5. Scenarios'!$D$6/(1+ProductivityDefault*('5. Scenarios'!$D$11-1)))</f>
        <v/>
      </c>
      <c r="O2063" s="57" t="str">
        <f aca="false">IF($N2063="","",INDEX(BookRate,2058)*(1+'5. Scenarios'!$D$10)*$N2063)</f>
        <v/>
      </c>
      <c r="P2063" s="57" t="str">
        <f aca="false">IF($O2063="","",SUMIFS($O$6:$O$2405,$A$6:$A$2405,"&lt;="&amp;$A2063))</f>
        <v/>
      </c>
      <c r="Q2063" s="57" t="str">
        <f aca="false">IF($O2063="","",IF($P2063&lt;=BankCostEnvelope*'5. Scenarios'!$D$7,1,0))</f>
        <v/>
      </c>
      <c r="R2063" s="57" t="str">
        <f aca="false">IF($N2063="","",INDEX(BookRate,2058)*(1+'5. Scenarios'!$D$10)*(INDEX(BookQ1,2058)*(5-MIN(4,1+'5. Scenarios'!$D$8))/4+INDEX(BookQ2,2058)*(5-MIN(4,2+'5. Scenarios'!$D$8))/4+INDEX(BookQ3,2058)*(5-MIN(4,3+'5. Scenarios'!$D$8))/4+INDEX(BookQ4,2058)*(5-MIN(4,4+'5. Scenarios'!$D$8))/4)*'5. Scenarios'!$D$6/(1+ProductivityDefault*('5. Scenarios'!$D$11-1))+INDEX(BookOneOff,2058)*$N2063)</f>
        <v/>
      </c>
      <c r="S2063" s="56" t="str">
        <f aca="false">IF(INDEX(BookTitle,2058)="","",INDEX(BookTotal,2058)*'5. Scenarios'!$E$6/(1+ProductivityDefault*('5. Scenarios'!$E$11-1)))</f>
        <v/>
      </c>
      <c r="T2063" s="57" t="str">
        <f aca="false">IF($S2063="","",INDEX(BookRate,2058)*(1+'5. Scenarios'!$E$10)*$S2063)</f>
        <v/>
      </c>
      <c r="U2063" s="57" t="str">
        <f aca="false">IF($T2063="","",SUMIFS($T$6:$T$2405,$A$6:$A$2405,"&lt;="&amp;$A2063))</f>
        <v/>
      </c>
      <c r="V2063" s="57" t="str">
        <f aca="false">IF($T2063="","",IF($U2063&lt;=BankCostEnvelope*'5. Scenarios'!$E$7,1,0))</f>
        <v/>
      </c>
      <c r="W2063" s="57" t="str">
        <f aca="false">IF($S2063="","",INDEX(BookRate,2058)*(1+'5. Scenarios'!$E$10)*(INDEX(BookQ1,2058)*(5-MIN(4,1+'5. Scenarios'!$E$8))/4+INDEX(BookQ2,2058)*(5-MIN(4,2+'5. Scenarios'!$E$8))/4+INDEX(BookQ3,2058)*(5-MIN(4,3+'5. Scenarios'!$E$8))/4+INDEX(BookQ4,2058)*(5-MIN(4,4+'5. Scenarios'!$E$8))/4)*'5. Scenarios'!$E$6/(1+ProductivityDefault*('5. Scenarios'!$E$11-1))+INDEX(BookOneOff,2058)*$S2063)</f>
        <v/>
      </c>
    </row>
    <row r="2064" customFormat="false" ht="15" hidden="false" customHeight="false" outlineLevel="0" collapsed="false">
      <c r="A2064" s="0" t="str">
        <f aca="false">IF(INDEX(BookTitle,2059)="","",INDEX(BookKey,2059))</f>
        <v/>
      </c>
      <c r="B2064" s="0" t="str">
        <f aca="false">IF(INDEX(BookTitle,2059)="","",INDEX(BookGroup,2059))</f>
        <v/>
      </c>
      <c r="C2064" s="0" t="str">
        <f aca="false">IF(INDEX(BookTitle,2059)="","",INDEX(BookCategory,2059))</f>
        <v/>
      </c>
      <c r="D2064" s="56" t="str">
        <f aca="false">IF(INDEX(BookTitle,2059)="","",INDEX(BookTotal,2059)*'5. Scenarios'!$B$6/(1+ProductivityDefault*('5. Scenarios'!$B$11-1)))</f>
        <v/>
      </c>
      <c r="E2064" s="57" t="str">
        <f aca="false">IF($D2064="","",INDEX(BookRate,2059)*(1+'5. Scenarios'!$B$10)*$D2064)</f>
        <v/>
      </c>
      <c r="F2064" s="57" t="str">
        <f aca="false">IF($E2064="","",SUMIFS($E$6:$E$2405,$A$6:$A$2405,"&lt;="&amp;$A2064))</f>
        <v/>
      </c>
      <c r="G2064" s="57" t="str">
        <f aca="false">IF($E2064="","",IF($F2064&lt;=BankCostEnvelope*'5. Scenarios'!$B$7,1,0))</f>
        <v/>
      </c>
      <c r="H2064" s="57" t="str">
        <f aca="false">IF($D2064="","",INDEX(BookRate,2059)*(1+'5. Scenarios'!$B$10)*(INDEX(BookQ1,2059)*(5-MIN(4,1+'5. Scenarios'!$B$8))/4+INDEX(BookQ2,2059)*(5-MIN(4,2+'5. Scenarios'!$B$8))/4+INDEX(BookQ3,2059)*(5-MIN(4,3+'5. Scenarios'!$B$8))/4+INDEX(BookQ4,2059)*(5-MIN(4,4+'5. Scenarios'!$B$8))/4)*'5. Scenarios'!$B$6/(1+ProductivityDefault*('5. Scenarios'!$B$11-1))+INDEX(BookOneOff,2059)*$D2064)</f>
        <v/>
      </c>
      <c r="I2064" s="56" t="str">
        <f aca="false">IF(INDEX(BookTitle,2059)="","",INDEX(BookTotal,2059)*'5. Scenarios'!$C$6/(1+ProductivityDefault*('5. Scenarios'!$C$11-1)))</f>
        <v/>
      </c>
      <c r="J2064" s="57" t="str">
        <f aca="false">IF($I2064="","",INDEX(BookRate,2059)*(1+'5. Scenarios'!$C$10)*$I2064)</f>
        <v/>
      </c>
      <c r="K2064" s="57" t="str">
        <f aca="false">IF($J2064="","",SUMIFS($J$6:$J$2405,$A$6:$A$2405,"&lt;="&amp;$A2064))</f>
        <v/>
      </c>
      <c r="L2064" s="57" t="str">
        <f aca="false">IF($J2064="","",IF($K2064&lt;=BankCostEnvelope*'5. Scenarios'!$C$7,1,0))</f>
        <v/>
      </c>
      <c r="M2064" s="57" t="str">
        <f aca="false">IF($I2064="","",INDEX(BookRate,2059)*(1+'5. Scenarios'!$C$10)*(INDEX(BookQ1,2059)*(5-MIN(4,1+'5. Scenarios'!$C$8))/4+INDEX(BookQ2,2059)*(5-MIN(4,2+'5. Scenarios'!$C$8))/4+INDEX(BookQ3,2059)*(5-MIN(4,3+'5. Scenarios'!$C$8))/4+INDEX(BookQ4,2059)*(5-MIN(4,4+'5. Scenarios'!$C$8))/4)*'5. Scenarios'!$C$6/(1+ProductivityDefault*('5. Scenarios'!$C$11-1))+INDEX(BookOneOff,2059)*$I2064)</f>
        <v/>
      </c>
      <c r="N2064" s="56" t="str">
        <f aca="false">IF(INDEX(BookTitle,2059)="","",INDEX(BookTotal,2059)*'5. Scenarios'!$D$6/(1+ProductivityDefault*('5. Scenarios'!$D$11-1)))</f>
        <v/>
      </c>
      <c r="O2064" s="57" t="str">
        <f aca="false">IF($N2064="","",INDEX(BookRate,2059)*(1+'5. Scenarios'!$D$10)*$N2064)</f>
        <v/>
      </c>
      <c r="P2064" s="57" t="str">
        <f aca="false">IF($O2064="","",SUMIFS($O$6:$O$2405,$A$6:$A$2405,"&lt;="&amp;$A2064))</f>
        <v/>
      </c>
      <c r="Q2064" s="57" t="str">
        <f aca="false">IF($O2064="","",IF($P2064&lt;=BankCostEnvelope*'5. Scenarios'!$D$7,1,0))</f>
        <v/>
      </c>
      <c r="R2064" s="57" t="str">
        <f aca="false">IF($N2064="","",INDEX(BookRate,2059)*(1+'5. Scenarios'!$D$10)*(INDEX(BookQ1,2059)*(5-MIN(4,1+'5. Scenarios'!$D$8))/4+INDEX(BookQ2,2059)*(5-MIN(4,2+'5. Scenarios'!$D$8))/4+INDEX(BookQ3,2059)*(5-MIN(4,3+'5. Scenarios'!$D$8))/4+INDEX(BookQ4,2059)*(5-MIN(4,4+'5. Scenarios'!$D$8))/4)*'5. Scenarios'!$D$6/(1+ProductivityDefault*('5. Scenarios'!$D$11-1))+INDEX(BookOneOff,2059)*$N2064)</f>
        <v/>
      </c>
      <c r="S2064" s="56" t="str">
        <f aca="false">IF(INDEX(BookTitle,2059)="","",INDEX(BookTotal,2059)*'5. Scenarios'!$E$6/(1+ProductivityDefault*('5. Scenarios'!$E$11-1)))</f>
        <v/>
      </c>
      <c r="T2064" s="57" t="str">
        <f aca="false">IF($S2064="","",INDEX(BookRate,2059)*(1+'5. Scenarios'!$E$10)*$S2064)</f>
        <v/>
      </c>
      <c r="U2064" s="57" t="str">
        <f aca="false">IF($T2064="","",SUMIFS($T$6:$T$2405,$A$6:$A$2405,"&lt;="&amp;$A2064))</f>
        <v/>
      </c>
      <c r="V2064" s="57" t="str">
        <f aca="false">IF($T2064="","",IF($U2064&lt;=BankCostEnvelope*'5. Scenarios'!$E$7,1,0))</f>
        <v/>
      </c>
      <c r="W2064" s="57" t="str">
        <f aca="false">IF($S2064="","",INDEX(BookRate,2059)*(1+'5. Scenarios'!$E$10)*(INDEX(BookQ1,2059)*(5-MIN(4,1+'5. Scenarios'!$E$8))/4+INDEX(BookQ2,2059)*(5-MIN(4,2+'5. Scenarios'!$E$8))/4+INDEX(BookQ3,2059)*(5-MIN(4,3+'5. Scenarios'!$E$8))/4+INDEX(BookQ4,2059)*(5-MIN(4,4+'5. Scenarios'!$E$8))/4)*'5. Scenarios'!$E$6/(1+ProductivityDefault*('5. Scenarios'!$E$11-1))+INDEX(BookOneOff,2059)*$S2064)</f>
        <v/>
      </c>
    </row>
    <row r="2065" customFormat="false" ht="15" hidden="false" customHeight="false" outlineLevel="0" collapsed="false">
      <c r="A2065" s="0" t="str">
        <f aca="false">IF(INDEX(BookTitle,2060)="","",INDEX(BookKey,2060))</f>
        <v/>
      </c>
      <c r="B2065" s="0" t="str">
        <f aca="false">IF(INDEX(BookTitle,2060)="","",INDEX(BookGroup,2060))</f>
        <v/>
      </c>
      <c r="C2065" s="0" t="str">
        <f aca="false">IF(INDEX(BookTitle,2060)="","",INDEX(BookCategory,2060))</f>
        <v/>
      </c>
      <c r="D2065" s="56" t="str">
        <f aca="false">IF(INDEX(BookTitle,2060)="","",INDEX(BookTotal,2060)*'5. Scenarios'!$B$6/(1+ProductivityDefault*('5. Scenarios'!$B$11-1)))</f>
        <v/>
      </c>
      <c r="E2065" s="57" t="str">
        <f aca="false">IF($D2065="","",INDEX(BookRate,2060)*(1+'5. Scenarios'!$B$10)*$D2065)</f>
        <v/>
      </c>
      <c r="F2065" s="57" t="str">
        <f aca="false">IF($E2065="","",SUMIFS($E$6:$E$2405,$A$6:$A$2405,"&lt;="&amp;$A2065))</f>
        <v/>
      </c>
      <c r="G2065" s="57" t="str">
        <f aca="false">IF($E2065="","",IF($F2065&lt;=BankCostEnvelope*'5. Scenarios'!$B$7,1,0))</f>
        <v/>
      </c>
      <c r="H2065" s="57" t="str">
        <f aca="false">IF($D2065="","",INDEX(BookRate,2060)*(1+'5. Scenarios'!$B$10)*(INDEX(BookQ1,2060)*(5-MIN(4,1+'5. Scenarios'!$B$8))/4+INDEX(BookQ2,2060)*(5-MIN(4,2+'5. Scenarios'!$B$8))/4+INDEX(BookQ3,2060)*(5-MIN(4,3+'5. Scenarios'!$B$8))/4+INDEX(BookQ4,2060)*(5-MIN(4,4+'5. Scenarios'!$B$8))/4)*'5. Scenarios'!$B$6/(1+ProductivityDefault*('5. Scenarios'!$B$11-1))+INDEX(BookOneOff,2060)*$D2065)</f>
        <v/>
      </c>
      <c r="I2065" s="56" t="str">
        <f aca="false">IF(INDEX(BookTitle,2060)="","",INDEX(BookTotal,2060)*'5. Scenarios'!$C$6/(1+ProductivityDefault*('5. Scenarios'!$C$11-1)))</f>
        <v/>
      </c>
      <c r="J2065" s="57" t="str">
        <f aca="false">IF($I2065="","",INDEX(BookRate,2060)*(1+'5. Scenarios'!$C$10)*$I2065)</f>
        <v/>
      </c>
      <c r="K2065" s="57" t="str">
        <f aca="false">IF($J2065="","",SUMIFS($J$6:$J$2405,$A$6:$A$2405,"&lt;="&amp;$A2065))</f>
        <v/>
      </c>
      <c r="L2065" s="57" t="str">
        <f aca="false">IF($J2065="","",IF($K2065&lt;=BankCostEnvelope*'5. Scenarios'!$C$7,1,0))</f>
        <v/>
      </c>
      <c r="M2065" s="57" t="str">
        <f aca="false">IF($I2065="","",INDEX(BookRate,2060)*(1+'5. Scenarios'!$C$10)*(INDEX(BookQ1,2060)*(5-MIN(4,1+'5. Scenarios'!$C$8))/4+INDEX(BookQ2,2060)*(5-MIN(4,2+'5. Scenarios'!$C$8))/4+INDEX(BookQ3,2060)*(5-MIN(4,3+'5. Scenarios'!$C$8))/4+INDEX(BookQ4,2060)*(5-MIN(4,4+'5. Scenarios'!$C$8))/4)*'5. Scenarios'!$C$6/(1+ProductivityDefault*('5. Scenarios'!$C$11-1))+INDEX(BookOneOff,2060)*$I2065)</f>
        <v/>
      </c>
      <c r="N2065" s="56" t="str">
        <f aca="false">IF(INDEX(BookTitle,2060)="","",INDEX(BookTotal,2060)*'5. Scenarios'!$D$6/(1+ProductivityDefault*('5. Scenarios'!$D$11-1)))</f>
        <v/>
      </c>
      <c r="O2065" s="57" t="str">
        <f aca="false">IF($N2065="","",INDEX(BookRate,2060)*(1+'5. Scenarios'!$D$10)*$N2065)</f>
        <v/>
      </c>
      <c r="P2065" s="57" t="str">
        <f aca="false">IF($O2065="","",SUMIFS($O$6:$O$2405,$A$6:$A$2405,"&lt;="&amp;$A2065))</f>
        <v/>
      </c>
      <c r="Q2065" s="57" t="str">
        <f aca="false">IF($O2065="","",IF($P2065&lt;=BankCostEnvelope*'5. Scenarios'!$D$7,1,0))</f>
        <v/>
      </c>
      <c r="R2065" s="57" t="str">
        <f aca="false">IF($N2065="","",INDEX(BookRate,2060)*(1+'5. Scenarios'!$D$10)*(INDEX(BookQ1,2060)*(5-MIN(4,1+'5. Scenarios'!$D$8))/4+INDEX(BookQ2,2060)*(5-MIN(4,2+'5. Scenarios'!$D$8))/4+INDEX(BookQ3,2060)*(5-MIN(4,3+'5. Scenarios'!$D$8))/4+INDEX(BookQ4,2060)*(5-MIN(4,4+'5. Scenarios'!$D$8))/4)*'5. Scenarios'!$D$6/(1+ProductivityDefault*('5. Scenarios'!$D$11-1))+INDEX(BookOneOff,2060)*$N2065)</f>
        <v/>
      </c>
      <c r="S2065" s="56" t="str">
        <f aca="false">IF(INDEX(BookTitle,2060)="","",INDEX(BookTotal,2060)*'5. Scenarios'!$E$6/(1+ProductivityDefault*('5. Scenarios'!$E$11-1)))</f>
        <v/>
      </c>
      <c r="T2065" s="57" t="str">
        <f aca="false">IF($S2065="","",INDEX(BookRate,2060)*(1+'5. Scenarios'!$E$10)*$S2065)</f>
        <v/>
      </c>
      <c r="U2065" s="57" t="str">
        <f aca="false">IF($T2065="","",SUMIFS($T$6:$T$2405,$A$6:$A$2405,"&lt;="&amp;$A2065))</f>
        <v/>
      </c>
      <c r="V2065" s="57" t="str">
        <f aca="false">IF($T2065="","",IF($U2065&lt;=BankCostEnvelope*'5. Scenarios'!$E$7,1,0))</f>
        <v/>
      </c>
      <c r="W2065" s="57" t="str">
        <f aca="false">IF($S2065="","",INDEX(BookRate,2060)*(1+'5. Scenarios'!$E$10)*(INDEX(BookQ1,2060)*(5-MIN(4,1+'5. Scenarios'!$E$8))/4+INDEX(BookQ2,2060)*(5-MIN(4,2+'5. Scenarios'!$E$8))/4+INDEX(BookQ3,2060)*(5-MIN(4,3+'5. Scenarios'!$E$8))/4+INDEX(BookQ4,2060)*(5-MIN(4,4+'5. Scenarios'!$E$8))/4)*'5. Scenarios'!$E$6/(1+ProductivityDefault*('5. Scenarios'!$E$11-1))+INDEX(BookOneOff,2060)*$S2065)</f>
        <v/>
      </c>
    </row>
    <row r="2066" customFormat="false" ht="15" hidden="false" customHeight="false" outlineLevel="0" collapsed="false">
      <c r="A2066" s="0" t="str">
        <f aca="false">IF(INDEX(BookTitle,2061)="","",INDEX(BookKey,2061))</f>
        <v/>
      </c>
      <c r="B2066" s="0" t="str">
        <f aca="false">IF(INDEX(BookTitle,2061)="","",INDEX(BookGroup,2061))</f>
        <v/>
      </c>
      <c r="C2066" s="0" t="str">
        <f aca="false">IF(INDEX(BookTitle,2061)="","",INDEX(BookCategory,2061))</f>
        <v/>
      </c>
      <c r="D2066" s="56" t="str">
        <f aca="false">IF(INDEX(BookTitle,2061)="","",INDEX(BookTotal,2061)*'5. Scenarios'!$B$6/(1+ProductivityDefault*('5. Scenarios'!$B$11-1)))</f>
        <v/>
      </c>
      <c r="E2066" s="57" t="str">
        <f aca="false">IF($D2066="","",INDEX(BookRate,2061)*(1+'5. Scenarios'!$B$10)*$D2066)</f>
        <v/>
      </c>
      <c r="F2066" s="57" t="str">
        <f aca="false">IF($E2066="","",SUMIFS($E$6:$E$2405,$A$6:$A$2405,"&lt;="&amp;$A2066))</f>
        <v/>
      </c>
      <c r="G2066" s="57" t="str">
        <f aca="false">IF($E2066="","",IF($F2066&lt;=BankCostEnvelope*'5. Scenarios'!$B$7,1,0))</f>
        <v/>
      </c>
      <c r="H2066" s="57" t="str">
        <f aca="false">IF($D2066="","",INDEX(BookRate,2061)*(1+'5. Scenarios'!$B$10)*(INDEX(BookQ1,2061)*(5-MIN(4,1+'5. Scenarios'!$B$8))/4+INDEX(BookQ2,2061)*(5-MIN(4,2+'5. Scenarios'!$B$8))/4+INDEX(BookQ3,2061)*(5-MIN(4,3+'5. Scenarios'!$B$8))/4+INDEX(BookQ4,2061)*(5-MIN(4,4+'5. Scenarios'!$B$8))/4)*'5. Scenarios'!$B$6/(1+ProductivityDefault*('5. Scenarios'!$B$11-1))+INDEX(BookOneOff,2061)*$D2066)</f>
        <v/>
      </c>
      <c r="I2066" s="56" t="str">
        <f aca="false">IF(INDEX(BookTitle,2061)="","",INDEX(BookTotal,2061)*'5. Scenarios'!$C$6/(1+ProductivityDefault*('5. Scenarios'!$C$11-1)))</f>
        <v/>
      </c>
      <c r="J2066" s="57" t="str">
        <f aca="false">IF($I2066="","",INDEX(BookRate,2061)*(1+'5. Scenarios'!$C$10)*$I2066)</f>
        <v/>
      </c>
      <c r="K2066" s="57" t="str">
        <f aca="false">IF($J2066="","",SUMIFS($J$6:$J$2405,$A$6:$A$2405,"&lt;="&amp;$A2066))</f>
        <v/>
      </c>
      <c r="L2066" s="57" t="str">
        <f aca="false">IF($J2066="","",IF($K2066&lt;=BankCostEnvelope*'5. Scenarios'!$C$7,1,0))</f>
        <v/>
      </c>
      <c r="M2066" s="57" t="str">
        <f aca="false">IF($I2066="","",INDEX(BookRate,2061)*(1+'5. Scenarios'!$C$10)*(INDEX(BookQ1,2061)*(5-MIN(4,1+'5. Scenarios'!$C$8))/4+INDEX(BookQ2,2061)*(5-MIN(4,2+'5. Scenarios'!$C$8))/4+INDEX(BookQ3,2061)*(5-MIN(4,3+'5. Scenarios'!$C$8))/4+INDEX(BookQ4,2061)*(5-MIN(4,4+'5. Scenarios'!$C$8))/4)*'5. Scenarios'!$C$6/(1+ProductivityDefault*('5. Scenarios'!$C$11-1))+INDEX(BookOneOff,2061)*$I2066)</f>
        <v/>
      </c>
      <c r="N2066" s="56" t="str">
        <f aca="false">IF(INDEX(BookTitle,2061)="","",INDEX(BookTotal,2061)*'5. Scenarios'!$D$6/(1+ProductivityDefault*('5. Scenarios'!$D$11-1)))</f>
        <v/>
      </c>
      <c r="O2066" s="57" t="str">
        <f aca="false">IF($N2066="","",INDEX(BookRate,2061)*(1+'5. Scenarios'!$D$10)*$N2066)</f>
        <v/>
      </c>
      <c r="P2066" s="57" t="str">
        <f aca="false">IF($O2066="","",SUMIFS($O$6:$O$2405,$A$6:$A$2405,"&lt;="&amp;$A2066))</f>
        <v/>
      </c>
      <c r="Q2066" s="57" t="str">
        <f aca="false">IF($O2066="","",IF($P2066&lt;=BankCostEnvelope*'5. Scenarios'!$D$7,1,0))</f>
        <v/>
      </c>
      <c r="R2066" s="57" t="str">
        <f aca="false">IF($N2066="","",INDEX(BookRate,2061)*(1+'5. Scenarios'!$D$10)*(INDEX(BookQ1,2061)*(5-MIN(4,1+'5. Scenarios'!$D$8))/4+INDEX(BookQ2,2061)*(5-MIN(4,2+'5. Scenarios'!$D$8))/4+INDEX(BookQ3,2061)*(5-MIN(4,3+'5. Scenarios'!$D$8))/4+INDEX(BookQ4,2061)*(5-MIN(4,4+'5. Scenarios'!$D$8))/4)*'5. Scenarios'!$D$6/(1+ProductivityDefault*('5. Scenarios'!$D$11-1))+INDEX(BookOneOff,2061)*$N2066)</f>
        <v/>
      </c>
      <c r="S2066" s="56" t="str">
        <f aca="false">IF(INDEX(BookTitle,2061)="","",INDEX(BookTotal,2061)*'5. Scenarios'!$E$6/(1+ProductivityDefault*('5. Scenarios'!$E$11-1)))</f>
        <v/>
      </c>
      <c r="T2066" s="57" t="str">
        <f aca="false">IF($S2066="","",INDEX(BookRate,2061)*(1+'5. Scenarios'!$E$10)*$S2066)</f>
        <v/>
      </c>
      <c r="U2066" s="57" t="str">
        <f aca="false">IF($T2066="","",SUMIFS($T$6:$T$2405,$A$6:$A$2405,"&lt;="&amp;$A2066))</f>
        <v/>
      </c>
      <c r="V2066" s="57" t="str">
        <f aca="false">IF($T2066="","",IF($U2066&lt;=BankCostEnvelope*'5. Scenarios'!$E$7,1,0))</f>
        <v/>
      </c>
      <c r="W2066" s="57" t="str">
        <f aca="false">IF($S2066="","",INDEX(BookRate,2061)*(1+'5. Scenarios'!$E$10)*(INDEX(BookQ1,2061)*(5-MIN(4,1+'5. Scenarios'!$E$8))/4+INDEX(BookQ2,2061)*(5-MIN(4,2+'5. Scenarios'!$E$8))/4+INDEX(BookQ3,2061)*(5-MIN(4,3+'5. Scenarios'!$E$8))/4+INDEX(BookQ4,2061)*(5-MIN(4,4+'5. Scenarios'!$E$8))/4)*'5. Scenarios'!$E$6/(1+ProductivityDefault*('5. Scenarios'!$E$11-1))+INDEX(BookOneOff,2061)*$S2066)</f>
        <v/>
      </c>
    </row>
    <row r="2067" customFormat="false" ht="15" hidden="false" customHeight="false" outlineLevel="0" collapsed="false">
      <c r="A2067" s="0" t="str">
        <f aca="false">IF(INDEX(BookTitle,2062)="","",INDEX(BookKey,2062))</f>
        <v/>
      </c>
      <c r="B2067" s="0" t="str">
        <f aca="false">IF(INDEX(BookTitle,2062)="","",INDEX(BookGroup,2062))</f>
        <v/>
      </c>
      <c r="C2067" s="0" t="str">
        <f aca="false">IF(INDEX(BookTitle,2062)="","",INDEX(BookCategory,2062))</f>
        <v/>
      </c>
      <c r="D2067" s="56" t="str">
        <f aca="false">IF(INDEX(BookTitle,2062)="","",INDEX(BookTotal,2062)*'5. Scenarios'!$B$6/(1+ProductivityDefault*('5. Scenarios'!$B$11-1)))</f>
        <v/>
      </c>
      <c r="E2067" s="57" t="str">
        <f aca="false">IF($D2067="","",INDEX(BookRate,2062)*(1+'5. Scenarios'!$B$10)*$D2067)</f>
        <v/>
      </c>
      <c r="F2067" s="57" t="str">
        <f aca="false">IF($E2067="","",SUMIFS($E$6:$E$2405,$A$6:$A$2405,"&lt;="&amp;$A2067))</f>
        <v/>
      </c>
      <c r="G2067" s="57" t="str">
        <f aca="false">IF($E2067="","",IF($F2067&lt;=BankCostEnvelope*'5. Scenarios'!$B$7,1,0))</f>
        <v/>
      </c>
      <c r="H2067" s="57" t="str">
        <f aca="false">IF($D2067="","",INDEX(BookRate,2062)*(1+'5. Scenarios'!$B$10)*(INDEX(BookQ1,2062)*(5-MIN(4,1+'5. Scenarios'!$B$8))/4+INDEX(BookQ2,2062)*(5-MIN(4,2+'5. Scenarios'!$B$8))/4+INDEX(BookQ3,2062)*(5-MIN(4,3+'5. Scenarios'!$B$8))/4+INDEX(BookQ4,2062)*(5-MIN(4,4+'5. Scenarios'!$B$8))/4)*'5. Scenarios'!$B$6/(1+ProductivityDefault*('5. Scenarios'!$B$11-1))+INDEX(BookOneOff,2062)*$D2067)</f>
        <v/>
      </c>
      <c r="I2067" s="56" t="str">
        <f aca="false">IF(INDEX(BookTitle,2062)="","",INDEX(BookTotal,2062)*'5. Scenarios'!$C$6/(1+ProductivityDefault*('5. Scenarios'!$C$11-1)))</f>
        <v/>
      </c>
      <c r="J2067" s="57" t="str">
        <f aca="false">IF($I2067="","",INDEX(BookRate,2062)*(1+'5. Scenarios'!$C$10)*$I2067)</f>
        <v/>
      </c>
      <c r="K2067" s="57" t="str">
        <f aca="false">IF($J2067="","",SUMIFS($J$6:$J$2405,$A$6:$A$2405,"&lt;="&amp;$A2067))</f>
        <v/>
      </c>
      <c r="L2067" s="57" t="str">
        <f aca="false">IF($J2067="","",IF($K2067&lt;=BankCostEnvelope*'5. Scenarios'!$C$7,1,0))</f>
        <v/>
      </c>
      <c r="M2067" s="57" t="str">
        <f aca="false">IF($I2067="","",INDEX(BookRate,2062)*(1+'5. Scenarios'!$C$10)*(INDEX(BookQ1,2062)*(5-MIN(4,1+'5. Scenarios'!$C$8))/4+INDEX(BookQ2,2062)*(5-MIN(4,2+'5. Scenarios'!$C$8))/4+INDEX(BookQ3,2062)*(5-MIN(4,3+'5. Scenarios'!$C$8))/4+INDEX(BookQ4,2062)*(5-MIN(4,4+'5. Scenarios'!$C$8))/4)*'5. Scenarios'!$C$6/(1+ProductivityDefault*('5. Scenarios'!$C$11-1))+INDEX(BookOneOff,2062)*$I2067)</f>
        <v/>
      </c>
      <c r="N2067" s="56" t="str">
        <f aca="false">IF(INDEX(BookTitle,2062)="","",INDEX(BookTotal,2062)*'5. Scenarios'!$D$6/(1+ProductivityDefault*('5. Scenarios'!$D$11-1)))</f>
        <v/>
      </c>
      <c r="O2067" s="57" t="str">
        <f aca="false">IF($N2067="","",INDEX(BookRate,2062)*(1+'5. Scenarios'!$D$10)*$N2067)</f>
        <v/>
      </c>
      <c r="P2067" s="57" t="str">
        <f aca="false">IF($O2067="","",SUMIFS($O$6:$O$2405,$A$6:$A$2405,"&lt;="&amp;$A2067))</f>
        <v/>
      </c>
      <c r="Q2067" s="57" t="str">
        <f aca="false">IF($O2067="","",IF($P2067&lt;=BankCostEnvelope*'5. Scenarios'!$D$7,1,0))</f>
        <v/>
      </c>
      <c r="R2067" s="57" t="str">
        <f aca="false">IF($N2067="","",INDEX(BookRate,2062)*(1+'5. Scenarios'!$D$10)*(INDEX(BookQ1,2062)*(5-MIN(4,1+'5. Scenarios'!$D$8))/4+INDEX(BookQ2,2062)*(5-MIN(4,2+'5. Scenarios'!$D$8))/4+INDEX(BookQ3,2062)*(5-MIN(4,3+'5. Scenarios'!$D$8))/4+INDEX(BookQ4,2062)*(5-MIN(4,4+'5. Scenarios'!$D$8))/4)*'5. Scenarios'!$D$6/(1+ProductivityDefault*('5. Scenarios'!$D$11-1))+INDEX(BookOneOff,2062)*$N2067)</f>
        <v/>
      </c>
      <c r="S2067" s="56" t="str">
        <f aca="false">IF(INDEX(BookTitle,2062)="","",INDEX(BookTotal,2062)*'5. Scenarios'!$E$6/(1+ProductivityDefault*('5. Scenarios'!$E$11-1)))</f>
        <v/>
      </c>
      <c r="T2067" s="57" t="str">
        <f aca="false">IF($S2067="","",INDEX(BookRate,2062)*(1+'5. Scenarios'!$E$10)*$S2067)</f>
        <v/>
      </c>
      <c r="U2067" s="57" t="str">
        <f aca="false">IF($T2067="","",SUMIFS($T$6:$T$2405,$A$6:$A$2405,"&lt;="&amp;$A2067))</f>
        <v/>
      </c>
      <c r="V2067" s="57" t="str">
        <f aca="false">IF($T2067="","",IF($U2067&lt;=BankCostEnvelope*'5. Scenarios'!$E$7,1,0))</f>
        <v/>
      </c>
      <c r="W2067" s="57" t="str">
        <f aca="false">IF($S2067="","",INDEX(BookRate,2062)*(1+'5. Scenarios'!$E$10)*(INDEX(BookQ1,2062)*(5-MIN(4,1+'5. Scenarios'!$E$8))/4+INDEX(BookQ2,2062)*(5-MIN(4,2+'5. Scenarios'!$E$8))/4+INDEX(BookQ3,2062)*(5-MIN(4,3+'5. Scenarios'!$E$8))/4+INDEX(BookQ4,2062)*(5-MIN(4,4+'5. Scenarios'!$E$8))/4)*'5. Scenarios'!$E$6/(1+ProductivityDefault*('5. Scenarios'!$E$11-1))+INDEX(BookOneOff,2062)*$S2067)</f>
        <v/>
      </c>
    </row>
    <row r="2068" customFormat="false" ht="15" hidden="false" customHeight="false" outlineLevel="0" collapsed="false">
      <c r="A2068" s="0" t="str">
        <f aca="false">IF(INDEX(BookTitle,2063)="","",INDEX(BookKey,2063))</f>
        <v/>
      </c>
      <c r="B2068" s="0" t="str">
        <f aca="false">IF(INDEX(BookTitle,2063)="","",INDEX(BookGroup,2063))</f>
        <v/>
      </c>
      <c r="C2068" s="0" t="str">
        <f aca="false">IF(INDEX(BookTitle,2063)="","",INDEX(BookCategory,2063))</f>
        <v/>
      </c>
      <c r="D2068" s="56" t="str">
        <f aca="false">IF(INDEX(BookTitle,2063)="","",INDEX(BookTotal,2063)*'5. Scenarios'!$B$6/(1+ProductivityDefault*('5. Scenarios'!$B$11-1)))</f>
        <v/>
      </c>
      <c r="E2068" s="57" t="str">
        <f aca="false">IF($D2068="","",INDEX(BookRate,2063)*(1+'5. Scenarios'!$B$10)*$D2068)</f>
        <v/>
      </c>
      <c r="F2068" s="57" t="str">
        <f aca="false">IF($E2068="","",SUMIFS($E$6:$E$2405,$A$6:$A$2405,"&lt;="&amp;$A2068))</f>
        <v/>
      </c>
      <c r="G2068" s="57" t="str">
        <f aca="false">IF($E2068="","",IF($F2068&lt;=BankCostEnvelope*'5. Scenarios'!$B$7,1,0))</f>
        <v/>
      </c>
      <c r="H2068" s="57" t="str">
        <f aca="false">IF($D2068="","",INDEX(BookRate,2063)*(1+'5. Scenarios'!$B$10)*(INDEX(BookQ1,2063)*(5-MIN(4,1+'5. Scenarios'!$B$8))/4+INDEX(BookQ2,2063)*(5-MIN(4,2+'5. Scenarios'!$B$8))/4+INDEX(BookQ3,2063)*(5-MIN(4,3+'5. Scenarios'!$B$8))/4+INDEX(BookQ4,2063)*(5-MIN(4,4+'5. Scenarios'!$B$8))/4)*'5. Scenarios'!$B$6/(1+ProductivityDefault*('5. Scenarios'!$B$11-1))+INDEX(BookOneOff,2063)*$D2068)</f>
        <v/>
      </c>
      <c r="I2068" s="56" t="str">
        <f aca="false">IF(INDEX(BookTitle,2063)="","",INDEX(BookTotal,2063)*'5. Scenarios'!$C$6/(1+ProductivityDefault*('5. Scenarios'!$C$11-1)))</f>
        <v/>
      </c>
      <c r="J2068" s="57" t="str">
        <f aca="false">IF($I2068="","",INDEX(BookRate,2063)*(1+'5. Scenarios'!$C$10)*$I2068)</f>
        <v/>
      </c>
      <c r="K2068" s="57" t="str">
        <f aca="false">IF($J2068="","",SUMIFS($J$6:$J$2405,$A$6:$A$2405,"&lt;="&amp;$A2068))</f>
        <v/>
      </c>
      <c r="L2068" s="57" t="str">
        <f aca="false">IF($J2068="","",IF($K2068&lt;=BankCostEnvelope*'5. Scenarios'!$C$7,1,0))</f>
        <v/>
      </c>
      <c r="M2068" s="57" t="str">
        <f aca="false">IF($I2068="","",INDEX(BookRate,2063)*(1+'5. Scenarios'!$C$10)*(INDEX(BookQ1,2063)*(5-MIN(4,1+'5. Scenarios'!$C$8))/4+INDEX(BookQ2,2063)*(5-MIN(4,2+'5. Scenarios'!$C$8))/4+INDEX(BookQ3,2063)*(5-MIN(4,3+'5. Scenarios'!$C$8))/4+INDEX(BookQ4,2063)*(5-MIN(4,4+'5. Scenarios'!$C$8))/4)*'5. Scenarios'!$C$6/(1+ProductivityDefault*('5. Scenarios'!$C$11-1))+INDEX(BookOneOff,2063)*$I2068)</f>
        <v/>
      </c>
      <c r="N2068" s="56" t="str">
        <f aca="false">IF(INDEX(BookTitle,2063)="","",INDEX(BookTotal,2063)*'5. Scenarios'!$D$6/(1+ProductivityDefault*('5. Scenarios'!$D$11-1)))</f>
        <v/>
      </c>
      <c r="O2068" s="57" t="str">
        <f aca="false">IF($N2068="","",INDEX(BookRate,2063)*(1+'5. Scenarios'!$D$10)*$N2068)</f>
        <v/>
      </c>
      <c r="P2068" s="57" t="str">
        <f aca="false">IF($O2068="","",SUMIFS($O$6:$O$2405,$A$6:$A$2405,"&lt;="&amp;$A2068))</f>
        <v/>
      </c>
      <c r="Q2068" s="57" t="str">
        <f aca="false">IF($O2068="","",IF($P2068&lt;=BankCostEnvelope*'5. Scenarios'!$D$7,1,0))</f>
        <v/>
      </c>
      <c r="R2068" s="57" t="str">
        <f aca="false">IF($N2068="","",INDEX(BookRate,2063)*(1+'5. Scenarios'!$D$10)*(INDEX(BookQ1,2063)*(5-MIN(4,1+'5. Scenarios'!$D$8))/4+INDEX(BookQ2,2063)*(5-MIN(4,2+'5. Scenarios'!$D$8))/4+INDEX(BookQ3,2063)*(5-MIN(4,3+'5. Scenarios'!$D$8))/4+INDEX(BookQ4,2063)*(5-MIN(4,4+'5. Scenarios'!$D$8))/4)*'5. Scenarios'!$D$6/(1+ProductivityDefault*('5. Scenarios'!$D$11-1))+INDEX(BookOneOff,2063)*$N2068)</f>
        <v/>
      </c>
      <c r="S2068" s="56" t="str">
        <f aca="false">IF(INDEX(BookTitle,2063)="","",INDEX(BookTotal,2063)*'5. Scenarios'!$E$6/(1+ProductivityDefault*('5. Scenarios'!$E$11-1)))</f>
        <v/>
      </c>
      <c r="T2068" s="57" t="str">
        <f aca="false">IF($S2068="","",INDEX(BookRate,2063)*(1+'5. Scenarios'!$E$10)*$S2068)</f>
        <v/>
      </c>
      <c r="U2068" s="57" t="str">
        <f aca="false">IF($T2068="","",SUMIFS($T$6:$T$2405,$A$6:$A$2405,"&lt;="&amp;$A2068))</f>
        <v/>
      </c>
      <c r="V2068" s="57" t="str">
        <f aca="false">IF($T2068="","",IF($U2068&lt;=BankCostEnvelope*'5. Scenarios'!$E$7,1,0))</f>
        <v/>
      </c>
      <c r="W2068" s="57" t="str">
        <f aca="false">IF($S2068="","",INDEX(BookRate,2063)*(1+'5. Scenarios'!$E$10)*(INDEX(BookQ1,2063)*(5-MIN(4,1+'5. Scenarios'!$E$8))/4+INDEX(BookQ2,2063)*(5-MIN(4,2+'5. Scenarios'!$E$8))/4+INDEX(BookQ3,2063)*(5-MIN(4,3+'5. Scenarios'!$E$8))/4+INDEX(BookQ4,2063)*(5-MIN(4,4+'5. Scenarios'!$E$8))/4)*'5. Scenarios'!$E$6/(1+ProductivityDefault*('5. Scenarios'!$E$11-1))+INDEX(BookOneOff,2063)*$S2068)</f>
        <v/>
      </c>
    </row>
    <row r="2069" customFormat="false" ht="15" hidden="false" customHeight="false" outlineLevel="0" collapsed="false">
      <c r="A2069" s="0" t="str">
        <f aca="false">IF(INDEX(BookTitle,2064)="","",INDEX(BookKey,2064))</f>
        <v/>
      </c>
      <c r="B2069" s="0" t="str">
        <f aca="false">IF(INDEX(BookTitle,2064)="","",INDEX(BookGroup,2064))</f>
        <v/>
      </c>
      <c r="C2069" s="0" t="str">
        <f aca="false">IF(INDEX(BookTitle,2064)="","",INDEX(BookCategory,2064))</f>
        <v/>
      </c>
      <c r="D2069" s="56" t="str">
        <f aca="false">IF(INDEX(BookTitle,2064)="","",INDEX(BookTotal,2064)*'5. Scenarios'!$B$6/(1+ProductivityDefault*('5. Scenarios'!$B$11-1)))</f>
        <v/>
      </c>
      <c r="E2069" s="57" t="str">
        <f aca="false">IF($D2069="","",INDEX(BookRate,2064)*(1+'5. Scenarios'!$B$10)*$D2069)</f>
        <v/>
      </c>
      <c r="F2069" s="57" t="str">
        <f aca="false">IF($E2069="","",SUMIFS($E$6:$E$2405,$A$6:$A$2405,"&lt;="&amp;$A2069))</f>
        <v/>
      </c>
      <c r="G2069" s="57" t="str">
        <f aca="false">IF($E2069="","",IF($F2069&lt;=BankCostEnvelope*'5. Scenarios'!$B$7,1,0))</f>
        <v/>
      </c>
      <c r="H2069" s="57" t="str">
        <f aca="false">IF($D2069="","",INDEX(BookRate,2064)*(1+'5. Scenarios'!$B$10)*(INDEX(BookQ1,2064)*(5-MIN(4,1+'5. Scenarios'!$B$8))/4+INDEX(BookQ2,2064)*(5-MIN(4,2+'5. Scenarios'!$B$8))/4+INDEX(BookQ3,2064)*(5-MIN(4,3+'5. Scenarios'!$B$8))/4+INDEX(BookQ4,2064)*(5-MIN(4,4+'5. Scenarios'!$B$8))/4)*'5. Scenarios'!$B$6/(1+ProductivityDefault*('5. Scenarios'!$B$11-1))+INDEX(BookOneOff,2064)*$D2069)</f>
        <v/>
      </c>
      <c r="I2069" s="56" t="str">
        <f aca="false">IF(INDEX(BookTitle,2064)="","",INDEX(BookTotal,2064)*'5. Scenarios'!$C$6/(1+ProductivityDefault*('5. Scenarios'!$C$11-1)))</f>
        <v/>
      </c>
      <c r="J2069" s="57" t="str">
        <f aca="false">IF($I2069="","",INDEX(BookRate,2064)*(1+'5. Scenarios'!$C$10)*$I2069)</f>
        <v/>
      </c>
      <c r="K2069" s="57" t="str">
        <f aca="false">IF($J2069="","",SUMIFS($J$6:$J$2405,$A$6:$A$2405,"&lt;="&amp;$A2069))</f>
        <v/>
      </c>
      <c r="L2069" s="57" t="str">
        <f aca="false">IF($J2069="","",IF($K2069&lt;=BankCostEnvelope*'5. Scenarios'!$C$7,1,0))</f>
        <v/>
      </c>
      <c r="M2069" s="57" t="str">
        <f aca="false">IF($I2069="","",INDEX(BookRate,2064)*(1+'5. Scenarios'!$C$10)*(INDEX(BookQ1,2064)*(5-MIN(4,1+'5. Scenarios'!$C$8))/4+INDEX(BookQ2,2064)*(5-MIN(4,2+'5. Scenarios'!$C$8))/4+INDEX(BookQ3,2064)*(5-MIN(4,3+'5. Scenarios'!$C$8))/4+INDEX(BookQ4,2064)*(5-MIN(4,4+'5. Scenarios'!$C$8))/4)*'5. Scenarios'!$C$6/(1+ProductivityDefault*('5. Scenarios'!$C$11-1))+INDEX(BookOneOff,2064)*$I2069)</f>
        <v/>
      </c>
      <c r="N2069" s="56" t="str">
        <f aca="false">IF(INDEX(BookTitle,2064)="","",INDEX(BookTotal,2064)*'5. Scenarios'!$D$6/(1+ProductivityDefault*('5. Scenarios'!$D$11-1)))</f>
        <v/>
      </c>
      <c r="O2069" s="57" t="str">
        <f aca="false">IF($N2069="","",INDEX(BookRate,2064)*(1+'5. Scenarios'!$D$10)*$N2069)</f>
        <v/>
      </c>
      <c r="P2069" s="57" t="str">
        <f aca="false">IF($O2069="","",SUMIFS($O$6:$O$2405,$A$6:$A$2405,"&lt;="&amp;$A2069))</f>
        <v/>
      </c>
      <c r="Q2069" s="57" t="str">
        <f aca="false">IF($O2069="","",IF($P2069&lt;=BankCostEnvelope*'5. Scenarios'!$D$7,1,0))</f>
        <v/>
      </c>
      <c r="R2069" s="57" t="str">
        <f aca="false">IF($N2069="","",INDEX(BookRate,2064)*(1+'5. Scenarios'!$D$10)*(INDEX(BookQ1,2064)*(5-MIN(4,1+'5. Scenarios'!$D$8))/4+INDEX(BookQ2,2064)*(5-MIN(4,2+'5. Scenarios'!$D$8))/4+INDEX(BookQ3,2064)*(5-MIN(4,3+'5. Scenarios'!$D$8))/4+INDEX(BookQ4,2064)*(5-MIN(4,4+'5. Scenarios'!$D$8))/4)*'5. Scenarios'!$D$6/(1+ProductivityDefault*('5. Scenarios'!$D$11-1))+INDEX(BookOneOff,2064)*$N2069)</f>
        <v/>
      </c>
      <c r="S2069" s="56" t="str">
        <f aca="false">IF(INDEX(BookTitle,2064)="","",INDEX(BookTotal,2064)*'5. Scenarios'!$E$6/(1+ProductivityDefault*('5. Scenarios'!$E$11-1)))</f>
        <v/>
      </c>
      <c r="T2069" s="57" t="str">
        <f aca="false">IF($S2069="","",INDEX(BookRate,2064)*(1+'5. Scenarios'!$E$10)*$S2069)</f>
        <v/>
      </c>
      <c r="U2069" s="57" t="str">
        <f aca="false">IF($T2069="","",SUMIFS($T$6:$T$2405,$A$6:$A$2405,"&lt;="&amp;$A2069))</f>
        <v/>
      </c>
      <c r="V2069" s="57" t="str">
        <f aca="false">IF($T2069="","",IF($U2069&lt;=BankCostEnvelope*'5. Scenarios'!$E$7,1,0))</f>
        <v/>
      </c>
      <c r="W2069" s="57" t="str">
        <f aca="false">IF($S2069="","",INDEX(BookRate,2064)*(1+'5. Scenarios'!$E$10)*(INDEX(BookQ1,2064)*(5-MIN(4,1+'5. Scenarios'!$E$8))/4+INDEX(BookQ2,2064)*(5-MIN(4,2+'5. Scenarios'!$E$8))/4+INDEX(BookQ3,2064)*(5-MIN(4,3+'5. Scenarios'!$E$8))/4+INDEX(BookQ4,2064)*(5-MIN(4,4+'5. Scenarios'!$E$8))/4)*'5. Scenarios'!$E$6/(1+ProductivityDefault*('5. Scenarios'!$E$11-1))+INDEX(BookOneOff,2064)*$S2069)</f>
        <v/>
      </c>
    </row>
    <row r="2070" customFormat="false" ht="15" hidden="false" customHeight="false" outlineLevel="0" collapsed="false">
      <c r="A2070" s="0" t="str">
        <f aca="false">IF(INDEX(BookTitle,2065)="","",INDEX(BookKey,2065))</f>
        <v/>
      </c>
      <c r="B2070" s="0" t="str">
        <f aca="false">IF(INDEX(BookTitle,2065)="","",INDEX(BookGroup,2065))</f>
        <v/>
      </c>
      <c r="C2070" s="0" t="str">
        <f aca="false">IF(INDEX(BookTitle,2065)="","",INDEX(BookCategory,2065))</f>
        <v/>
      </c>
      <c r="D2070" s="56" t="str">
        <f aca="false">IF(INDEX(BookTitle,2065)="","",INDEX(BookTotal,2065)*'5. Scenarios'!$B$6/(1+ProductivityDefault*('5. Scenarios'!$B$11-1)))</f>
        <v/>
      </c>
      <c r="E2070" s="57" t="str">
        <f aca="false">IF($D2070="","",INDEX(BookRate,2065)*(1+'5. Scenarios'!$B$10)*$D2070)</f>
        <v/>
      </c>
      <c r="F2070" s="57" t="str">
        <f aca="false">IF($E2070="","",SUMIFS($E$6:$E$2405,$A$6:$A$2405,"&lt;="&amp;$A2070))</f>
        <v/>
      </c>
      <c r="G2070" s="57" t="str">
        <f aca="false">IF($E2070="","",IF($F2070&lt;=BankCostEnvelope*'5. Scenarios'!$B$7,1,0))</f>
        <v/>
      </c>
      <c r="H2070" s="57" t="str">
        <f aca="false">IF($D2070="","",INDEX(BookRate,2065)*(1+'5. Scenarios'!$B$10)*(INDEX(BookQ1,2065)*(5-MIN(4,1+'5. Scenarios'!$B$8))/4+INDEX(BookQ2,2065)*(5-MIN(4,2+'5. Scenarios'!$B$8))/4+INDEX(BookQ3,2065)*(5-MIN(4,3+'5. Scenarios'!$B$8))/4+INDEX(BookQ4,2065)*(5-MIN(4,4+'5. Scenarios'!$B$8))/4)*'5. Scenarios'!$B$6/(1+ProductivityDefault*('5. Scenarios'!$B$11-1))+INDEX(BookOneOff,2065)*$D2070)</f>
        <v/>
      </c>
      <c r="I2070" s="56" t="str">
        <f aca="false">IF(INDEX(BookTitle,2065)="","",INDEX(BookTotal,2065)*'5. Scenarios'!$C$6/(1+ProductivityDefault*('5. Scenarios'!$C$11-1)))</f>
        <v/>
      </c>
      <c r="J2070" s="57" t="str">
        <f aca="false">IF($I2070="","",INDEX(BookRate,2065)*(1+'5. Scenarios'!$C$10)*$I2070)</f>
        <v/>
      </c>
      <c r="K2070" s="57" t="str">
        <f aca="false">IF($J2070="","",SUMIFS($J$6:$J$2405,$A$6:$A$2405,"&lt;="&amp;$A2070))</f>
        <v/>
      </c>
      <c r="L2070" s="57" t="str">
        <f aca="false">IF($J2070="","",IF($K2070&lt;=BankCostEnvelope*'5. Scenarios'!$C$7,1,0))</f>
        <v/>
      </c>
      <c r="M2070" s="57" t="str">
        <f aca="false">IF($I2070="","",INDEX(BookRate,2065)*(1+'5. Scenarios'!$C$10)*(INDEX(BookQ1,2065)*(5-MIN(4,1+'5. Scenarios'!$C$8))/4+INDEX(BookQ2,2065)*(5-MIN(4,2+'5. Scenarios'!$C$8))/4+INDEX(BookQ3,2065)*(5-MIN(4,3+'5. Scenarios'!$C$8))/4+INDEX(BookQ4,2065)*(5-MIN(4,4+'5. Scenarios'!$C$8))/4)*'5. Scenarios'!$C$6/(1+ProductivityDefault*('5. Scenarios'!$C$11-1))+INDEX(BookOneOff,2065)*$I2070)</f>
        <v/>
      </c>
      <c r="N2070" s="56" t="str">
        <f aca="false">IF(INDEX(BookTitle,2065)="","",INDEX(BookTotal,2065)*'5. Scenarios'!$D$6/(1+ProductivityDefault*('5. Scenarios'!$D$11-1)))</f>
        <v/>
      </c>
      <c r="O2070" s="57" t="str">
        <f aca="false">IF($N2070="","",INDEX(BookRate,2065)*(1+'5. Scenarios'!$D$10)*$N2070)</f>
        <v/>
      </c>
      <c r="P2070" s="57" t="str">
        <f aca="false">IF($O2070="","",SUMIFS($O$6:$O$2405,$A$6:$A$2405,"&lt;="&amp;$A2070))</f>
        <v/>
      </c>
      <c r="Q2070" s="57" t="str">
        <f aca="false">IF($O2070="","",IF($P2070&lt;=BankCostEnvelope*'5. Scenarios'!$D$7,1,0))</f>
        <v/>
      </c>
      <c r="R2070" s="57" t="str">
        <f aca="false">IF($N2070="","",INDEX(BookRate,2065)*(1+'5. Scenarios'!$D$10)*(INDEX(BookQ1,2065)*(5-MIN(4,1+'5. Scenarios'!$D$8))/4+INDEX(BookQ2,2065)*(5-MIN(4,2+'5. Scenarios'!$D$8))/4+INDEX(BookQ3,2065)*(5-MIN(4,3+'5. Scenarios'!$D$8))/4+INDEX(BookQ4,2065)*(5-MIN(4,4+'5. Scenarios'!$D$8))/4)*'5. Scenarios'!$D$6/(1+ProductivityDefault*('5. Scenarios'!$D$11-1))+INDEX(BookOneOff,2065)*$N2070)</f>
        <v/>
      </c>
      <c r="S2070" s="56" t="str">
        <f aca="false">IF(INDEX(BookTitle,2065)="","",INDEX(BookTotal,2065)*'5. Scenarios'!$E$6/(1+ProductivityDefault*('5. Scenarios'!$E$11-1)))</f>
        <v/>
      </c>
      <c r="T2070" s="57" t="str">
        <f aca="false">IF($S2070="","",INDEX(BookRate,2065)*(1+'5. Scenarios'!$E$10)*$S2070)</f>
        <v/>
      </c>
      <c r="U2070" s="57" t="str">
        <f aca="false">IF($T2070="","",SUMIFS($T$6:$T$2405,$A$6:$A$2405,"&lt;="&amp;$A2070))</f>
        <v/>
      </c>
      <c r="V2070" s="57" t="str">
        <f aca="false">IF($T2070="","",IF($U2070&lt;=BankCostEnvelope*'5. Scenarios'!$E$7,1,0))</f>
        <v/>
      </c>
      <c r="W2070" s="57" t="str">
        <f aca="false">IF($S2070="","",INDEX(BookRate,2065)*(1+'5. Scenarios'!$E$10)*(INDEX(BookQ1,2065)*(5-MIN(4,1+'5. Scenarios'!$E$8))/4+INDEX(BookQ2,2065)*(5-MIN(4,2+'5. Scenarios'!$E$8))/4+INDEX(BookQ3,2065)*(5-MIN(4,3+'5. Scenarios'!$E$8))/4+INDEX(BookQ4,2065)*(5-MIN(4,4+'5. Scenarios'!$E$8))/4)*'5. Scenarios'!$E$6/(1+ProductivityDefault*('5. Scenarios'!$E$11-1))+INDEX(BookOneOff,2065)*$S2070)</f>
        <v/>
      </c>
    </row>
    <row r="2071" customFormat="false" ht="15" hidden="false" customHeight="false" outlineLevel="0" collapsed="false">
      <c r="A2071" s="0" t="str">
        <f aca="false">IF(INDEX(BookTitle,2066)="","",INDEX(BookKey,2066))</f>
        <v/>
      </c>
      <c r="B2071" s="0" t="str">
        <f aca="false">IF(INDEX(BookTitle,2066)="","",INDEX(BookGroup,2066))</f>
        <v/>
      </c>
      <c r="C2071" s="0" t="str">
        <f aca="false">IF(INDEX(BookTitle,2066)="","",INDEX(BookCategory,2066))</f>
        <v/>
      </c>
      <c r="D2071" s="56" t="str">
        <f aca="false">IF(INDEX(BookTitle,2066)="","",INDEX(BookTotal,2066)*'5. Scenarios'!$B$6/(1+ProductivityDefault*('5. Scenarios'!$B$11-1)))</f>
        <v/>
      </c>
      <c r="E2071" s="57" t="str">
        <f aca="false">IF($D2071="","",INDEX(BookRate,2066)*(1+'5. Scenarios'!$B$10)*$D2071)</f>
        <v/>
      </c>
      <c r="F2071" s="57" t="str">
        <f aca="false">IF($E2071="","",SUMIFS($E$6:$E$2405,$A$6:$A$2405,"&lt;="&amp;$A2071))</f>
        <v/>
      </c>
      <c r="G2071" s="57" t="str">
        <f aca="false">IF($E2071="","",IF($F2071&lt;=BankCostEnvelope*'5. Scenarios'!$B$7,1,0))</f>
        <v/>
      </c>
      <c r="H2071" s="57" t="str">
        <f aca="false">IF($D2071="","",INDEX(BookRate,2066)*(1+'5. Scenarios'!$B$10)*(INDEX(BookQ1,2066)*(5-MIN(4,1+'5. Scenarios'!$B$8))/4+INDEX(BookQ2,2066)*(5-MIN(4,2+'5. Scenarios'!$B$8))/4+INDEX(BookQ3,2066)*(5-MIN(4,3+'5. Scenarios'!$B$8))/4+INDEX(BookQ4,2066)*(5-MIN(4,4+'5. Scenarios'!$B$8))/4)*'5. Scenarios'!$B$6/(1+ProductivityDefault*('5. Scenarios'!$B$11-1))+INDEX(BookOneOff,2066)*$D2071)</f>
        <v/>
      </c>
      <c r="I2071" s="56" t="str">
        <f aca="false">IF(INDEX(BookTitle,2066)="","",INDEX(BookTotal,2066)*'5. Scenarios'!$C$6/(1+ProductivityDefault*('5. Scenarios'!$C$11-1)))</f>
        <v/>
      </c>
      <c r="J2071" s="57" t="str">
        <f aca="false">IF($I2071="","",INDEX(BookRate,2066)*(1+'5. Scenarios'!$C$10)*$I2071)</f>
        <v/>
      </c>
      <c r="K2071" s="57" t="str">
        <f aca="false">IF($J2071="","",SUMIFS($J$6:$J$2405,$A$6:$A$2405,"&lt;="&amp;$A2071))</f>
        <v/>
      </c>
      <c r="L2071" s="57" t="str">
        <f aca="false">IF($J2071="","",IF($K2071&lt;=BankCostEnvelope*'5. Scenarios'!$C$7,1,0))</f>
        <v/>
      </c>
      <c r="M2071" s="57" t="str">
        <f aca="false">IF($I2071="","",INDEX(BookRate,2066)*(1+'5. Scenarios'!$C$10)*(INDEX(BookQ1,2066)*(5-MIN(4,1+'5. Scenarios'!$C$8))/4+INDEX(BookQ2,2066)*(5-MIN(4,2+'5. Scenarios'!$C$8))/4+INDEX(BookQ3,2066)*(5-MIN(4,3+'5. Scenarios'!$C$8))/4+INDEX(BookQ4,2066)*(5-MIN(4,4+'5. Scenarios'!$C$8))/4)*'5. Scenarios'!$C$6/(1+ProductivityDefault*('5. Scenarios'!$C$11-1))+INDEX(BookOneOff,2066)*$I2071)</f>
        <v/>
      </c>
      <c r="N2071" s="56" t="str">
        <f aca="false">IF(INDEX(BookTitle,2066)="","",INDEX(BookTotal,2066)*'5. Scenarios'!$D$6/(1+ProductivityDefault*('5. Scenarios'!$D$11-1)))</f>
        <v/>
      </c>
      <c r="O2071" s="57" t="str">
        <f aca="false">IF($N2071="","",INDEX(BookRate,2066)*(1+'5. Scenarios'!$D$10)*$N2071)</f>
        <v/>
      </c>
      <c r="P2071" s="57" t="str">
        <f aca="false">IF($O2071="","",SUMIFS($O$6:$O$2405,$A$6:$A$2405,"&lt;="&amp;$A2071))</f>
        <v/>
      </c>
      <c r="Q2071" s="57" t="str">
        <f aca="false">IF($O2071="","",IF($P2071&lt;=BankCostEnvelope*'5. Scenarios'!$D$7,1,0))</f>
        <v/>
      </c>
      <c r="R2071" s="57" t="str">
        <f aca="false">IF($N2071="","",INDEX(BookRate,2066)*(1+'5. Scenarios'!$D$10)*(INDEX(BookQ1,2066)*(5-MIN(4,1+'5. Scenarios'!$D$8))/4+INDEX(BookQ2,2066)*(5-MIN(4,2+'5. Scenarios'!$D$8))/4+INDEX(BookQ3,2066)*(5-MIN(4,3+'5. Scenarios'!$D$8))/4+INDEX(BookQ4,2066)*(5-MIN(4,4+'5. Scenarios'!$D$8))/4)*'5. Scenarios'!$D$6/(1+ProductivityDefault*('5. Scenarios'!$D$11-1))+INDEX(BookOneOff,2066)*$N2071)</f>
        <v/>
      </c>
      <c r="S2071" s="56" t="str">
        <f aca="false">IF(INDEX(BookTitle,2066)="","",INDEX(BookTotal,2066)*'5. Scenarios'!$E$6/(1+ProductivityDefault*('5. Scenarios'!$E$11-1)))</f>
        <v/>
      </c>
      <c r="T2071" s="57" t="str">
        <f aca="false">IF($S2071="","",INDEX(BookRate,2066)*(1+'5. Scenarios'!$E$10)*$S2071)</f>
        <v/>
      </c>
      <c r="U2071" s="57" t="str">
        <f aca="false">IF($T2071="","",SUMIFS($T$6:$T$2405,$A$6:$A$2405,"&lt;="&amp;$A2071))</f>
        <v/>
      </c>
      <c r="V2071" s="57" t="str">
        <f aca="false">IF($T2071="","",IF($U2071&lt;=BankCostEnvelope*'5. Scenarios'!$E$7,1,0))</f>
        <v/>
      </c>
      <c r="W2071" s="57" t="str">
        <f aca="false">IF($S2071="","",INDEX(BookRate,2066)*(1+'5. Scenarios'!$E$10)*(INDEX(BookQ1,2066)*(5-MIN(4,1+'5. Scenarios'!$E$8))/4+INDEX(BookQ2,2066)*(5-MIN(4,2+'5. Scenarios'!$E$8))/4+INDEX(BookQ3,2066)*(5-MIN(4,3+'5. Scenarios'!$E$8))/4+INDEX(BookQ4,2066)*(5-MIN(4,4+'5. Scenarios'!$E$8))/4)*'5. Scenarios'!$E$6/(1+ProductivityDefault*('5. Scenarios'!$E$11-1))+INDEX(BookOneOff,2066)*$S2071)</f>
        <v/>
      </c>
    </row>
    <row r="2072" customFormat="false" ht="15" hidden="false" customHeight="false" outlineLevel="0" collapsed="false">
      <c r="A2072" s="0" t="str">
        <f aca="false">IF(INDEX(BookTitle,2067)="","",INDEX(BookKey,2067))</f>
        <v/>
      </c>
      <c r="B2072" s="0" t="str">
        <f aca="false">IF(INDEX(BookTitle,2067)="","",INDEX(BookGroup,2067))</f>
        <v/>
      </c>
      <c r="C2072" s="0" t="str">
        <f aca="false">IF(INDEX(BookTitle,2067)="","",INDEX(BookCategory,2067))</f>
        <v/>
      </c>
      <c r="D2072" s="56" t="str">
        <f aca="false">IF(INDEX(BookTitle,2067)="","",INDEX(BookTotal,2067)*'5. Scenarios'!$B$6/(1+ProductivityDefault*('5. Scenarios'!$B$11-1)))</f>
        <v/>
      </c>
      <c r="E2072" s="57" t="str">
        <f aca="false">IF($D2072="","",INDEX(BookRate,2067)*(1+'5. Scenarios'!$B$10)*$D2072)</f>
        <v/>
      </c>
      <c r="F2072" s="57" t="str">
        <f aca="false">IF($E2072="","",SUMIFS($E$6:$E$2405,$A$6:$A$2405,"&lt;="&amp;$A2072))</f>
        <v/>
      </c>
      <c r="G2072" s="57" t="str">
        <f aca="false">IF($E2072="","",IF($F2072&lt;=BankCostEnvelope*'5. Scenarios'!$B$7,1,0))</f>
        <v/>
      </c>
      <c r="H2072" s="57" t="str">
        <f aca="false">IF($D2072="","",INDEX(BookRate,2067)*(1+'5. Scenarios'!$B$10)*(INDEX(BookQ1,2067)*(5-MIN(4,1+'5. Scenarios'!$B$8))/4+INDEX(BookQ2,2067)*(5-MIN(4,2+'5. Scenarios'!$B$8))/4+INDEX(BookQ3,2067)*(5-MIN(4,3+'5. Scenarios'!$B$8))/4+INDEX(BookQ4,2067)*(5-MIN(4,4+'5. Scenarios'!$B$8))/4)*'5. Scenarios'!$B$6/(1+ProductivityDefault*('5. Scenarios'!$B$11-1))+INDEX(BookOneOff,2067)*$D2072)</f>
        <v/>
      </c>
      <c r="I2072" s="56" t="str">
        <f aca="false">IF(INDEX(BookTitle,2067)="","",INDEX(BookTotal,2067)*'5. Scenarios'!$C$6/(1+ProductivityDefault*('5. Scenarios'!$C$11-1)))</f>
        <v/>
      </c>
      <c r="J2072" s="57" t="str">
        <f aca="false">IF($I2072="","",INDEX(BookRate,2067)*(1+'5. Scenarios'!$C$10)*$I2072)</f>
        <v/>
      </c>
      <c r="K2072" s="57" t="str">
        <f aca="false">IF($J2072="","",SUMIFS($J$6:$J$2405,$A$6:$A$2405,"&lt;="&amp;$A2072))</f>
        <v/>
      </c>
      <c r="L2072" s="57" t="str">
        <f aca="false">IF($J2072="","",IF($K2072&lt;=BankCostEnvelope*'5. Scenarios'!$C$7,1,0))</f>
        <v/>
      </c>
      <c r="M2072" s="57" t="str">
        <f aca="false">IF($I2072="","",INDEX(BookRate,2067)*(1+'5. Scenarios'!$C$10)*(INDEX(BookQ1,2067)*(5-MIN(4,1+'5. Scenarios'!$C$8))/4+INDEX(BookQ2,2067)*(5-MIN(4,2+'5. Scenarios'!$C$8))/4+INDEX(BookQ3,2067)*(5-MIN(4,3+'5. Scenarios'!$C$8))/4+INDEX(BookQ4,2067)*(5-MIN(4,4+'5. Scenarios'!$C$8))/4)*'5. Scenarios'!$C$6/(1+ProductivityDefault*('5. Scenarios'!$C$11-1))+INDEX(BookOneOff,2067)*$I2072)</f>
        <v/>
      </c>
      <c r="N2072" s="56" t="str">
        <f aca="false">IF(INDEX(BookTitle,2067)="","",INDEX(BookTotal,2067)*'5. Scenarios'!$D$6/(1+ProductivityDefault*('5. Scenarios'!$D$11-1)))</f>
        <v/>
      </c>
      <c r="O2072" s="57" t="str">
        <f aca="false">IF($N2072="","",INDEX(BookRate,2067)*(1+'5. Scenarios'!$D$10)*$N2072)</f>
        <v/>
      </c>
      <c r="P2072" s="57" t="str">
        <f aca="false">IF($O2072="","",SUMIFS($O$6:$O$2405,$A$6:$A$2405,"&lt;="&amp;$A2072))</f>
        <v/>
      </c>
      <c r="Q2072" s="57" t="str">
        <f aca="false">IF($O2072="","",IF($P2072&lt;=BankCostEnvelope*'5. Scenarios'!$D$7,1,0))</f>
        <v/>
      </c>
      <c r="R2072" s="57" t="str">
        <f aca="false">IF($N2072="","",INDEX(BookRate,2067)*(1+'5. Scenarios'!$D$10)*(INDEX(BookQ1,2067)*(5-MIN(4,1+'5. Scenarios'!$D$8))/4+INDEX(BookQ2,2067)*(5-MIN(4,2+'5. Scenarios'!$D$8))/4+INDEX(BookQ3,2067)*(5-MIN(4,3+'5. Scenarios'!$D$8))/4+INDEX(BookQ4,2067)*(5-MIN(4,4+'5. Scenarios'!$D$8))/4)*'5. Scenarios'!$D$6/(1+ProductivityDefault*('5. Scenarios'!$D$11-1))+INDEX(BookOneOff,2067)*$N2072)</f>
        <v/>
      </c>
      <c r="S2072" s="56" t="str">
        <f aca="false">IF(INDEX(BookTitle,2067)="","",INDEX(BookTotal,2067)*'5. Scenarios'!$E$6/(1+ProductivityDefault*('5. Scenarios'!$E$11-1)))</f>
        <v/>
      </c>
      <c r="T2072" s="57" t="str">
        <f aca="false">IF($S2072="","",INDEX(BookRate,2067)*(1+'5. Scenarios'!$E$10)*$S2072)</f>
        <v/>
      </c>
      <c r="U2072" s="57" t="str">
        <f aca="false">IF($T2072="","",SUMIFS($T$6:$T$2405,$A$6:$A$2405,"&lt;="&amp;$A2072))</f>
        <v/>
      </c>
      <c r="V2072" s="57" t="str">
        <f aca="false">IF($T2072="","",IF($U2072&lt;=BankCostEnvelope*'5. Scenarios'!$E$7,1,0))</f>
        <v/>
      </c>
      <c r="W2072" s="57" t="str">
        <f aca="false">IF($S2072="","",INDEX(BookRate,2067)*(1+'5. Scenarios'!$E$10)*(INDEX(BookQ1,2067)*(5-MIN(4,1+'5. Scenarios'!$E$8))/4+INDEX(BookQ2,2067)*(5-MIN(4,2+'5. Scenarios'!$E$8))/4+INDEX(BookQ3,2067)*(5-MIN(4,3+'5. Scenarios'!$E$8))/4+INDEX(BookQ4,2067)*(5-MIN(4,4+'5. Scenarios'!$E$8))/4)*'5. Scenarios'!$E$6/(1+ProductivityDefault*('5. Scenarios'!$E$11-1))+INDEX(BookOneOff,2067)*$S2072)</f>
        <v/>
      </c>
    </row>
    <row r="2073" customFormat="false" ht="15" hidden="false" customHeight="false" outlineLevel="0" collapsed="false">
      <c r="A2073" s="0" t="str">
        <f aca="false">IF(INDEX(BookTitle,2068)="","",INDEX(BookKey,2068))</f>
        <v/>
      </c>
      <c r="B2073" s="0" t="str">
        <f aca="false">IF(INDEX(BookTitle,2068)="","",INDEX(BookGroup,2068))</f>
        <v/>
      </c>
      <c r="C2073" s="0" t="str">
        <f aca="false">IF(INDEX(BookTitle,2068)="","",INDEX(BookCategory,2068))</f>
        <v/>
      </c>
      <c r="D2073" s="56" t="str">
        <f aca="false">IF(INDEX(BookTitle,2068)="","",INDEX(BookTotal,2068)*'5. Scenarios'!$B$6/(1+ProductivityDefault*('5. Scenarios'!$B$11-1)))</f>
        <v/>
      </c>
      <c r="E2073" s="57" t="str">
        <f aca="false">IF($D2073="","",INDEX(BookRate,2068)*(1+'5. Scenarios'!$B$10)*$D2073)</f>
        <v/>
      </c>
      <c r="F2073" s="57" t="str">
        <f aca="false">IF($E2073="","",SUMIFS($E$6:$E$2405,$A$6:$A$2405,"&lt;="&amp;$A2073))</f>
        <v/>
      </c>
      <c r="G2073" s="57" t="str">
        <f aca="false">IF($E2073="","",IF($F2073&lt;=BankCostEnvelope*'5. Scenarios'!$B$7,1,0))</f>
        <v/>
      </c>
      <c r="H2073" s="57" t="str">
        <f aca="false">IF($D2073="","",INDEX(BookRate,2068)*(1+'5. Scenarios'!$B$10)*(INDEX(BookQ1,2068)*(5-MIN(4,1+'5. Scenarios'!$B$8))/4+INDEX(BookQ2,2068)*(5-MIN(4,2+'5. Scenarios'!$B$8))/4+INDEX(BookQ3,2068)*(5-MIN(4,3+'5. Scenarios'!$B$8))/4+INDEX(BookQ4,2068)*(5-MIN(4,4+'5. Scenarios'!$B$8))/4)*'5. Scenarios'!$B$6/(1+ProductivityDefault*('5. Scenarios'!$B$11-1))+INDEX(BookOneOff,2068)*$D2073)</f>
        <v/>
      </c>
      <c r="I2073" s="56" t="str">
        <f aca="false">IF(INDEX(BookTitle,2068)="","",INDEX(BookTotal,2068)*'5. Scenarios'!$C$6/(1+ProductivityDefault*('5. Scenarios'!$C$11-1)))</f>
        <v/>
      </c>
      <c r="J2073" s="57" t="str">
        <f aca="false">IF($I2073="","",INDEX(BookRate,2068)*(1+'5. Scenarios'!$C$10)*$I2073)</f>
        <v/>
      </c>
      <c r="K2073" s="57" t="str">
        <f aca="false">IF($J2073="","",SUMIFS($J$6:$J$2405,$A$6:$A$2405,"&lt;="&amp;$A2073))</f>
        <v/>
      </c>
      <c r="L2073" s="57" t="str">
        <f aca="false">IF($J2073="","",IF($K2073&lt;=BankCostEnvelope*'5. Scenarios'!$C$7,1,0))</f>
        <v/>
      </c>
      <c r="M2073" s="57" t="str">
        <f aca="false">IF($I2073="","",INDEX(BookRate,2068)*(1+'5. Scenarios'!$C$10)*(INDEX(BookQ1,2068)*(5-MIN(4,1+'5. Scenarios'!$C$8))/4+INDEX(BookQ2,2068)*(5-MIN(4,2+'5. Scenarios'!$C$8))/4+INDEX(BookQ3,2068)*(5-MIN(4,3+'5. Scenarios'!$C$8))/4+INDEX(BookQ4,2068)*(5-MIN(4,4+'5. Scenarios'!$C$8))/4)*'5. Scenarios'!$C$6/(1+ProductivityDefault*('5. Scenarios'!$C$11-1))+INDEX(BookOneOff,2068)*$I2073)</f>
        <v/>
      </c>
      <c r="N2073" s="56" t="str">
        <f aca="false">IF(INDEX(BookTitle,2068)="","",INDEX(BookTotal,2068)*'5. Scenarios'!$D$6/(1+ProductivityDefault*('5. Scenarios'!$D$11-1)))</f>
        <v/>
      </c>
      <c r="O2073" s="57" t="str">
        <f aca="false">IF($N2073="","",INDEX(BookRate,2068)*(1+'5. Scenarios'!$D$10)*$N2073)</f>
        <v/>
      </c>
      <c r="P2073" s="57" t="str">
        <f aca="false">IF($O2073="","",SUMIFS($O$6:$O$2405,$A$6:$A$2405,"&lt;="&amp;$A2073))</f>
        <v/>
      </c>
      <c r="Q2073" s="57" t="str">
        <f aca="false">IF($O2073="","",IF($P2073&lt;=BankCostEnvelope*'5. Scenarios'!$D$7,1,0))</f>
        <v/>
      </c>
      <c r="R2073" s="57" t="str">
        <f aca="false">IF($N2073="","",INDEX(BookRate,2068)*(1+'5. Scenarios'!$D$10)*(INDEX(BookQ1,2068)*(5-MIN(4,1+'5. Scenarios'!$D$8))/4+INDEX(BookQ2,2068)*(5-MIN(4,2+'5. Scenarios'!$D$8))/4+INDEX(BookQ3,2068)*(5-MIN(4,3+'5. Scenarios'!$D$8))/4+INDEX(BookQ4,2068)*(5-MIN(4,4+'5. Scenarios'!$D$8))/4)*'5. Scenarios'!$D$6/(1+ProductivityDefault*('5. Scenarios'!$D$11-1))+INDEX(BookOneOff,2068)*$N2073)</f>
        <v/>
      </c>
      <c r="S2073" s="56" t="str">
        <f aca="false">IF(INDEX(BookTitle,2068)="","",INDEX(BookTotal,2068)*'5. Scenarios'!$E$6/(1+ProductivityDefault*('5. Scenarios'!$E$11-1)))</f>
        <v/>
      </c>
      <c r="T2073" s="57" t="str">
        <f aca="false">IF($S2073="","",INDEX(BookRate,2068)*(1+'5. Scenarios'!$E$10)*$S2073)</f>
        <v/>
      </c>
      <c r="U2073" s="57" t="str">
        <f aca="false">IF($T2073="","",SUMIFS($T$6:$T$2405,$A$6:$A$2405,"&lt;="&amp;$A2073))</f>
        <v/>
      </c>
      <c r="V2073" s="57" t="str">
        <f aca="false">IF($T2073="","",IF($U2073&lt;=BankCostEnvelope*'5. Scenarios'!$E$7,1,0))</f>
        <v/>
      </c>
      <c r="W2073" s="57" t="str">
        <f aca="false">IF($S2073="","",INDEX(BookRate,2068)*(1+'5. Scenarios'!$E$10)*(INDEX(BookQ1,2068)*(5-MIN(4,1+'5. Scenarios'!$E$8))/4+INDEX(BookQ2,2068)*(5-MIN(4,2+'5. Scenarios'!$E$8))/4+INDEX(BookQ3,2068)*(5-MIN(4,3+'5. Scenarios'!$E$8))/4+INDEX(BookQ4,2068)*(5-MIN(4,4+'5. Scenarios'!$E$8))/4)*'5. Scenarios'!$E$6/(1+ProductivityDefault*('5. Scenarios'!$E$11-1))+INDEX(BookOneOff,2068)*$S2073)</f>
        <v/>
      </c>
    </row>
    <row r="2074" customFormat="false" ht="15" hidden="false" customHeight="false" outlineLevel="0" collapsed="false">
      <c r="A2074" s="0" t="str">
        <f aca="false">IF(INDEX(BookTitle,2069)="","",INDEX(BookKey,2069))</f>
        <v/>
      </c>
      <c r="B2074" s="0" t="str">
        <f aca="false">IF(INDEX(BookTitle,2069)="","",INDEX(BookGroup,2069))</f>
        <v/>
      </c>
      <c r="C2074" s="0" t="str">
        <f aca="false">IF(INDEX(BookTitle,2069)="","",INDEX(BookCategory,2069))</f>
        <v/>
      </c>
      <c r="D2074" s="56" t="str">
        <f aca="false">IF(INDEX(BookTitle,2069)="","",INDEX(BookTotal,2069)*'5. Scenarios'!$B$6/(1+ProductivityDefault*('5. Scenarios'!$B$11-1)))</f>
        <v/>
      </c>
      <c r="E2074" s="57" t="str">
        <f aca="false">IF($D2074="","",INDEX(BookRate,2069)*(1+'5. Scenarios'!$B$10)*$D2074)</f>
        <v/>
      </c>
      <c r="F2074" s="57" t="str">
        <f aca="false">IF($E2074="","",SUMIFS($E$6:$E$2405,$A$6:$A$2405,"&lt;="&amp;$A2074))</f>
        <v/>
      </c>
      <c r="G2074" s="57" t="str">
        <f aca="false">IF($E2074="","",IF($F2074&lt;=BankCostEnvelope*'5. Scenarios'!$B$7,1,0))</f>
        <v/>
      </c>
      <c r="H2074" s="57" t="str">
        <f aca="false">IF($D2074="","",INDEX(BookRate,2069)*(1+'5. Scenarios'!$B$10)*(INDEX(BookQ1,2069)*(5-MIN(4,1+'5. Scenarios'!$B$8))/4+INDEX(BookQ2,2069)*(5-MIN(4,2+'5. Scenarios'!$B$8))/4+INDEX(BookQ3,2069)*(5-MIN(4,3+'5. Scenarios'!$B$8))/4+INDEX(BookQ4,2069)*(5-MIN(4,4+'5. Scenarios'!$B$8))/4)*'5. Scenarios'!$B$6/(1+ProductivityDefault*('5. Scenarios'!$B$11-1))+INDEX(BookOneOff,2069)*$D2074)</f>
        <v/>
      </c>
      <c r="I2074" s="56" t="str">
        <f aca="false">IF(INDEX(BookTitle,2069)="","",INDEX(BookTotal,2069)*'5. Scenarios'!$C$6/(1+ProductivityDefault*('5. Scenarios'!$C$11-1)))</f>
        <v/>
      </c>
      <c r="J2074" s="57" t="str">
        <f aca="false">IF($I2074="","",INDEX(BookRate,2069)*(1+'5. Scenarios'!$C$10)*$I2074)</f>
        <v/>
      </c>
      <c r="K2074" s="57" t="str">
        <f aca="false">IF($J2074="","",SUMIFS($J$6:$J$2405,$A$6:$A$2405,"&lt;="&amp;$A2074))</f>
        <v/>
      </c>
      <c r="L2074" s="57" t="str">
        <f aca="false">IF($J2074="","",IF($K2074&lt;=BankCostEnvelope*'5. Scenarios'!$C$7,1,0))</f>
        <v/>
      </c>
      <c r="M2074" s="57" t="str">
        <f aca="false">IF($I2074="","",INDEX(BookRate,2069)*(1+'5. Scenarios'!$C$10)*(INDEX(BookQ1,2069)*(5-MIN(4,1+'5. Scenarios'!$C$8))/4+INDEX(BookQ2,2069)*(5-MIN(4,2+'5. Scenarios'!$C$8))/4+INDEX(BookQ3,2069)*(5-MIN(4,3+'5. Scenarios'!$C$8))/4+INDEX(BookQ4,2069)*(5-MIN(4,4+'5. Scenarios'!$C$8))/4)*'5. Scenarios'!$C$6/(1+ProductivityDefault*('5. Scenarios'!$C$11-1))+INDEX(BookOneOff,2069)*$I2074)</f>
        <v/>
      </c>
      <c r="N2074" s="56" t="str">
        <f aca="false">IF(INDEX(BookTitle,2069)="","",INDEX(BookTotal,2069)*'5. Scenarios'!$D$6/(1+ProductivityDefault*('5. Scenarios'!$D$11-1)))</f>
        <v/>
      </c>
      <c r="O2074" s="57" t="str">
        <f aca="false">IF($N2074="","",INDEX(BookRate,2069)*(1+'5. Scenarios'!$D$10)*$N2074)</f>
        <v/>
      </c>
      <c r="P2074" s="57" t="str">
        <f aca="false">IF($O2074="","",SUMIFS($O$6:$O$2405,$A$6:$A$2405,"&lt;="&amp;$A2074))</f>
        <v/>
      </c>
      <c r="Q2074" s="57" t="str">
        <f aca="false">IF($O2074="","",IF($P2074&lt;=BankCostEnvelope*'5. Scenarios'!$D$7,1,0))</f>
        <v/>
      </c>
      <c r="R2074" s="57" t="str">
        <f aca="false">IF($N2074="","",INDEX(BookRate,2069)*(1+'5. Scenarios'!$D$10)*(INDEX(BookQ1,2069)*(5-MIN(4,1+'5. Scenarios'!$D$8))/4+INDEX(BookQ2,2069)*(5-MIN(4,2+'5. Scenarios'!$D$8))/4+INDEX(BookQ3,2069)*(5-MIN(4,3+'5. Scenarios'!$D$8))/4+INDEX(BookQ4,2069)*(5-MIN(4,4+'5. Scenarios'!$D$8))/4)*'5. Scenarios'!$D$6/(1+ProductivityDefault*('5. Scenarios'!$D$11-1))+INDEX(BookOneOff,2069)*$N2074)</f>
        <v/>
      </c>
      <c r="S2074" s="56" t="str">
        <f aca="false">IF(INDEX(BookTitle,2069)="","",INDEX(BookTotal,2069)*'5. Scenarios'!$E$6/(1+ProductivityDefault*('5. Scenarios'!$E$11-1)))</f>
        <v/>
      </c>
      <c r="T2074" s="57" t="str">
        <f aca="false">IF($S2074="","",INDEX(BookRate,2069)*(1+'5. Scenarios'!$E$10)*$S2074)</f>
        <v/>
      </c>
      <c r="U2074" s="57" t="str">
        <f aca="false">IF($T2074="","",SUMIFS($T$6:$T$2405,$A$6:$A$2405,"&lt;="&amp;$A2074))</f>
        <v/>
      </c>
      <c r="V2074" s="57" t="str">
        <f aca="false">IF($T2074="","",IF($U2074&lt;=BankCostEnvelope*'5. Scenarios'!$E$7,1,0))</f>
        <v/>
      </c>
      <c r="W2074" s="57" t="str">
        <f aca="false">IF($S2074="","",INDEX(BookRate,2069)*(1+'5. Scenarios'!$E$10)*(INDEX(BookQ1,2069)*(5-MIN(4,1+'5. Scenarios'!$E$8))/4+INDEX(BookQ2,2069)*(5-MIN(4,2+'5. Scenarios'!$E$8))/4+INDEX(BookQ3,2069)*(5-MIN(4,3+'5. Scenarios'!$E$8))/4+INDEX(BookQ4,2069)*(5-MIN(4,4+'5. Scenarios'!$E$8))/4)*'5. Scenarios'!$E$6/(1+ProductivityDefault*('5. Scenarios'!$E$11-1))+INDEX(BookOneOff,2069)*$S2074)</f>
        <v/>
      </c>
    </row>
    <row r="2075" customFormat="false" ht="15" hidden="false" customHeight="false" outlineLevel="0" collapsed="false">
      <c r="A2075" s="0" t="str">
        <f aca="false">IF(INDEX(BookTitle,2070)="","",INDEX(BookKey,2070))</f>
        <v/>
      </c>
      <c r="B2075" s="0" t="str">
        <f aca="false">IF(INDEX(BookTitle,2070)="","",INDEX(BookGroup,2070))</f>
        <v/>
      </c>
      <c r="C2075" s="0" t="str">
        <f aca="false">IF(INDEX(BookTitle,2070)="","",INDEX(BookCategory,2070))</f>
        <v/>
      </c>
      <c r="D2075" s="56" t="str">
        <f aca="false">IF(INDEX(BookTitle,2070)="","",INDEX(BookTotal,2070)*'5. Scenarios'!$B$6/(1+ProductivityDefault*('5. Scenarios'!$B$11-1)))</f>
        <v/>
      </c>
      <c r="E2075" s="57" t="str">
        <f aca="false">IF($D2075="","",INDEX(BookRate,2070)*(1+'5. Scenarios'!$B$10)*$D2075)</f>
        <v/>
      </c>
      <c r="F2075" s="57" t="str">
        <f aca="false">IF($E2075="","",SUMIFS($E$6:$E$2405,$A$6:$A$2405,"&lt;="&amp;$A2075))</f>
        <v/>
      </c>
      <c r="G2075" s="57" t="str">
        <f aca="false">IF($E2075="","",IF($F2075&lt;=BankCostEnvelope*'5. Scenarios'!$B$7,1,0))</f>
        <v/>
      </c>
      <c r="H2075" s="57" t="str">
        <f aca="false">IF($D2075="","",INDEX(BookRate,2070)*(1+'5. Scenarios'!$B$10)*(INDEX(BookQ1,2070)*(5-MIN(4,1+'5. Scenarios'!$B$8))/4+INDEX(BookQ2,2070)*(5-MIN(4,2+'5. Scenarios'!$B$8))/4+INDEX(BookQ3,2070)*(5-MIN(4,3+'5. Scenarios'!$B$8))/4+INDEX(BookQ4,2070)*(5-MIN(4,4+'5. Scenarios'!$B$8))/4)*'5. Scenarios'!$B$6/(1+ProductivityDefault*('5. Scenarios'!$B$11-1))+INDEX(BookOneOff,2070)*$D2075)</f>
        <v/>
      </c>
      <c r="I2075" s="56" t="str">
        <f aca="false">IF(INDEX(BookTitle,2070)="","",INDEX(BookTotal,2070)*'5. Scenarios'!$C$6/(1+ProductivityDefault*('5. Scenarios'!$C$11-1)))</f>
        <v/>
      </c>
      <c r="J2075" s="57" t="str">
        <f aca="false">IF($I2075="","",INDEX(BookRate,2070)*(1+'5. Scenarios'!$C$10)*$I2075)</f>
        <v/>
      </c>
      <c r="K2075" s="57" t="str">
        <f aca="false">IF($J2075="","",SUMIFS($J$6:$J$2405,$A$6:$A$2405,"&lt;="&amp;$A2075))</f>
        <v/>
      </c>
      <c r="L2075" s="57" t="str">
        <f aca="false">IF($J2075="","",IF($K2075&lt;=BankCostEnvelope*'5. Scenarios'!$C$7,1,0))</f>
        <v/>
      </c>
      <c r="M2075" s="57" t="str">
        <f aca="false">IF($I2075="","",INDEX(BookRate,2070)*(1+'5. Scenarios'!$C$10)*(INDEX(BookQ1,2070)*(5-MIN(4,1+'5. Scenarios'!$C$8))/4+INDEX(BookQ2,2070)*(5-MIN(4,2+'5. Scenarios'!$C$8))/4+INDEX(BookQ3,2070)*(5-MIN(4,3+'5. Scenarios'!$C$8))/4+INDEX(BookQ4,2070)*(5-MIN(4,4+'5. Scenarios'!$C$8))/4)*'5. Scenarios'!$C$6/(1+ProductivityDefault*('5. Scenarios'!$C$11-1))+INDEX(BookOneOff,2070)*$I2075)</f>
        <v/>
      </c>
      <c r="N2075" s="56" t="str">
        <f aca="false">IF(INDEX(BookTitle,2070)="","",INDEX(BookTotal,2070)*'5. Scenarios'!$D$6/(1+ProductivityDefault*('5. Scenarios'!$D$11-1)))</f>
        <v/>
      </c>
      <c r="O2075" s="57" t="str">
        <f aca="false">IF($N2075="","",INDEX(BookRate,2070)*(1+'5. Scenarios'!$D$10)*$N2075)</f>
        <v/>
      </c>
      <c r="P2075" s="57" t="str">
        <f aca="false">IF($O2075="","",SUMIFS($O$6:$O$2405,$A$6:$A$2405,"&lt;="&amp;$A2075))</f>
        <v/>
      </c>
      <c r="Q2075" s="57" t="str">
        <f aca="false">IF($O2075="","",IF($P2075&lt;=BankCostEnvelope*'5. Scenarios'!$D$7,1,0))</f>
        <v/>
      </c>
      <c r="R2075" s="57" t="str">
        <f aca="false">IF($N2075="","",INDEX(BookRate,2070)*(1+'5. Scenarios'!$D$10)*(INDEX(BookQ1,2070)*(5-MIN(4,1+'5. Scenarios'!$D$8))/4+INDEX(BookQ2,2070)*(5-MIN(4,2+'5. Scenarios'!$D$8))/4+INDEX(BookQ3,2070)*(5-MIN(4,3+'5. Scenarios'!$D$8))/4+INDEX(BookQ4,2070)*(5-MIN(4,4+'5. Scenarios'!$D$8))/4)*'5. Scenarios'!$D$6/(1+ProductivityDefault*('5. Scenarios'!$D$11-1))+INDEX(BookOneOff,2070)*$N2075)</f>
        <v/>
      </c>
      <c r="S2075" s="56" t="str">
        <f aca="false">IF(INDEX(BookTitle,2070)="","",INDEX(BookTotal,2070)*'5. Scenarios'!$E$6/(1+ProductivityDefault*('5. Scenarios'!$E$11-1)))</f>
        <v/>
      </c>
      <c r="T2075" s="57" t="str">
        <f aca="false">IF($S2075="","",INDEX(BookRate,2070)*(1+'5. Scenarios'!$E$10)*$S2075)</f>
        <v/>
      </c>
      <c r="U2075" s="57" t="str">
        <f aca="false">IF($T2075="","",SUMIFS($T$6:$T$2405,$A$6:$A$2405,"&lt;="&amp;$A2075))</f>
        <v/>
      </c>
      <c r="V2075" s="57" t="str">
        <f aca="false">IF($T2075="","",IF($U2075&lt;=BankCostEnvelope*'5. Scenarios'!$E$7,1,0))</f>
        <v/>
      </c>
      <c r="W2075" s="57" t="str">
        <f aca="false">IF($S2075="","",INDEX(BookRate,2070)*(1+'5. Scenarios'!$E$10)*(INDEX(BookQ1,2070)*(5-MIN(4,1+'5. Scenarios'!$E$8))/4+INDEX(BookQ2,2070)*(5-MIN(4,2+'5. Scenarios'!$E$8))/4+INDEX(BookQ3,2070)*(5-MIN(4,3+'5. Scenarios'!$E$8))/4+INDEX(BookQ4,2070)*(5-MIN(4,4+'5. Scenarios'!$E$8))/4)*'5. Scenarios'!$E$6/(1+ProductivityDefault*('5. Scenarios'!$E$11-1))+INDEX(BookOneOff,2070)*$S2075)</f>
        <v/>
      </c>
    </row>
    <row r="2076" customFormat="false" ht="15" hidden="false" customHeight="false" outlineLevel="0" collapsed="false">
      <c r="A2076" s="0" t="str">
        <f aca="false">IF(INDEX(BookTitle,2071)="","",INDEX(BookKey,2071))</f>
        <v/>
      </c>
      <c r="B2076" s="0" t="str">
        <f aca="false">IF(INDEX(BookTitle,2071)="","",INDEX(BookGroup,2071))</f>
        <v/>
      </c>
      <c r="C2076" s="0" t="str">
        <f aca="false">IF(INDEX(BookTitle,2071)="","",INDEX(BookCategory,2071))</f>
        <v/>
      </c>
      <c r="D2076" s="56" t="str">
        <f aca="false">IF(INDEX(BookTitle,2071)="","",INDEX(BookTotal,2071)*'5. Scenarios'!$B$6/(1+ProductivityDefault*('5. Scenarios'!$B$11-1)))</f>
        <v/>
      </c>
      <c r="E2076" s="57" t="str">
        <f aca="false">IF($D2076="","",INDEX(BookRate,2071)*(1+'5. Scenarios'!$B$10)*$D2076)</f>
        <v/>
      </c>
      <c r="F2076" s="57" t="str">
        <f aca="false">IF($E2076="","",SUMIFS($E$6:$E$2405,$A$6:$A$2405,"&lt;="&amp;$A2076))</f>
        <v/>
      </c>
      <c r="G2076" s="57" t="str">
        <f aca="false">IF($E2076="","",IF($F2076&lt;=BankCostEnvelope*'5. Scenarios'!$B$7,1,0))</f>
        <v/>
      </c>
      <c r="H2076" s="57" t="str">
        <f aca="false">IF($D2076="","",INDEX(BookRate,2071)*(1+'5. Scenarios'!$B$10)*(INDEX(BookQ1,2071)*(5-MIN(4,1+'5. Scenarios'!$B$8))/4+INDEX(BookQ2,2071)*(5-MIN(4,2+'5. Scenarios'!$B$8))/4+INDEX(BookQ3,2071)*(5-MIN(4,3+'5. Scenarios'!$B$8))/4+INDEX(BookQ4,2071)*(5-MIN(4,4+'5. Scenarios'!$B$8))/4)*'5. Scenarios'!$B$6/(1+ProductivityDefault*('5. Scenarios'!$B$11-1))+INDEX(BookOneOff,2071)*$D2076)</f>
        <v/>
      </c>
      <c r="I2076" s="56" t="str">
        <f aca="false">IF(INDEX(BookTitle,2071)="","",INDEX(BookTotal,2071)*'5. Scenarios'!$C$6/(1+ProductivityDefault*('5. Scenarios'!$C$11-1)))</f>
        <v/>
      </c>
      <c r="J2076" s="57" t="str">
        <f aca="false">IF($I2076="","",INDEX(BookRate,2071)*(1+'5. Scenarios'!$C$10)*$I2076)</f>
        <v/>
      </c>
      <c r="K2076" s="57" t="str">
        <f aca="false">IF($J2076="","",SUMIFS($J$6:$J$2405,$A$6:$A$2405,"&lt;="&amp;$A2076))</f>
        <v/>
      </c>
      <c r="L2076" s="57" t="str">
        <f aca="false">IF($J2076="","",IF($K2076&lt;=BankCostEnvelope*'5. Scenarios'!$C$7,1,0))</f>
        <v/>
      </c>
      <c r="M2076" s="57" t="str">
        <f aca="false">IF($I2076="","",INDEX(BookRate,2071)*(1+'5. Scenarios'!$C$10)*(INDEX(BookQ1,2071)*(5-MIN(4,1+'5. Scenarios'!$C$8))/4+INDEX(BookQ2,2071)*(5-MIN(4,2+'5. Scenarios'!$C$8))/4+INDEX(BookQ3,2071)*(5-MIN(4,3+'5. Scenarios'!$C$8))/4+INDEX(BookQ4,2071)*(5-MIN(4,4+'5. Scenarios'!$C$8))/4)*'5. Scenarios'!$C$6/(1+ProductivityDefault*('5. Scenarios'!$C$11-1))+INDEX(BookOneOff,2071)*$I2076)</f>
        <v/>
      </c>
      <c r="N2076" s="56" t="str">
        <f aca="false">IF(INDEX(BookTitle,2071)="","",INDEX(BookTotal,2071)*'5. Scenarios'!$D$6/(1+ProductivityDefault*('5. Scenarios'!$D$11-1)))</f>
        <v/>
      </c>
      <c r="O2076" s="57" t="str">
        <f aca="false">IF($N2076="","",INDEX(BookRate,2071)*(1+'5. Scenarios'!$D$10)*$N2076)</f>
        <v/>
      </c>
      <c r="P2076" s="57" t="str">
        <f aca="false">IF($O2076="","",SUMIFS($O$6:$O$2405,$A$6:$A$2405,"&lt;="&amp;$A2076))</f>
        <v/>
      </c>
      <c r="Q2076" s="57" t="str">
        <f aca="false">IF($O2076="","",IF($P2076&lt;=BankCostEnvelope*'5. Scenarios'!$D$7,1,0))</f>
        <v/>
      </c>
      <c r="R2076" s="57" t="str">
        <f aca="false">IF($N2076="","",INDEX(BookRate,2071)*(1+'5. Scenarios'!$D$10)*(INDEX(BookQ1,2071)*(5-MIN(4,1+'5. Scenarios'!$D$8))/4+INDEX(BookQ2,2071)*(5-MIN(4,2+'5. Scenarios'!$D$8))/4+INDEX(BookQ3,2071)*(5-MIN(4,3+'5. Scenarios'!$D$8))/4+INDEX(BookQ4,2071)*(5-MIN(4,4+'5. Scenarios'!$D$8))/4)*'5. Scenarios'!$D$6/(1+ProductivityDefault*('5. Scenarios'!$D$11-1))+INDEX(BookOneOff,2071)*$N2076)</f>
        <v/>
      </c>
      <c r="S2076" s="56" t="str">
        <f aca="false">IF(INDEX(BookTitle,2071)="","",INDEX(BookTotal,2071)*'5. Scenarios'!$E$6/(1+ProductivityDefault*('5. Scenarios'!$E$11-1)))</f>
        <v/>
      </c>
      <c r="T2076" s="57" t="str">
        <f aca="false">IF($S2076="","",INDEX(BookRate,2071)*(1+'5. Scenarios'!$E$10)*$S2076)</f>
        <v/>
      </c>
      <c r="U2076" s="57" t="str">
        <f aca="false">IF($T2076="","",SUMIFS($T$6:$T$2405,$A$6:$A$2405,"&lt;="&amp;$A2076))</f>
        <v/>
      </c>
      <c r="V2076" s="57" t="str">
        <f aca="false">IF($T2076="","",IF($U2076&lt;=BankCostEnvelope*'5. Scenarios'!$E$7,1,0))</f>
        <v/>
      </c>
      <c r="W2076" s="57" t="str">
        <f aca="false">IF($S2076="","",INDEX(BookRate,2071)*(1+'5. Scenarios'!$E$10)*(INDEX(BookQ1,2071)*(5-MIN(4,1+'5. Scenarios'!$E$8))/4+INDEX(BookQ2,2071)*(5-MIN(4,2+'5. Scenarios'!$E$8))/4+INDEX(BookQ3,2071)*(5-MIN(4,3+'5. Scenarios'!$E$8))/4+INDEX(BookQ4,2071)*(5-MIN(4,4+'5. Scenarios'!$E$8))/4)*'5. Scenarios'!$E$6/(1+ProductivityDefault*('5. Scenarios'!$E$11-1))+INDEX(BookOneOff,2071)*$S2076)</f>
        <v/>
      </c>
    </row>
    <row r="2077" customFormat="false" ht="15" hidden="false" customHeight="false" outlineLevel="0" collapsed="false">
      <c r="A2077" s="0" t="str">
        <f aca="false">IF(INDEX(BookTitle,2072)="","",INDEX(BookKey,2072))</f>
        <v/>
      </c>
      <c r="B2077" s="0" t="str">
        <f aca="false">IF(INDEX(BookTitle,2072)="","",INDEX(BookGroup,2072))</f>
        <v/>
      </c>
      <c r="C2077" s="0" t="str">
        <f aca="false">IF(INDEX(BookTitle,2072)="","",INDEX(BookCategory,2072))</f>
        <v/>
      </c>
      <c r="D2077" s="56" t="str">
        <f aca="false">IF(INDEX(BookTitle,2072)="","",INDEX(BookTotal,2072)*'5. Scenarios'!$B$6/(1+ProductivityDefault*('5. Scenarios'!$B$11-1)))</f>
        <v/>
      </c>
      <c r="E2077" s="57" t="str">
        <f aca="false">IF($D2077="","",INDEX(BookRate,2072)*(1+'5. Scenarios'!$B$10)*$D2077)</f>
        <v/>
      </c>
      <c r="F2077" s="57" t="str">
        <f aca="false">IF($E2077="","",SUMIFS($E$6:$E$2405,$A$6:$A$2405,"&lt;="&amp;$A2077))</f>
        <v/>
      </c>
      <c r="G2077" s="57" t="str">
        <f aca="false">IF($E2077="","",IF($F2077&lt;=BankCostEnvelope*'5. Scenarios'!$B$7,1,0))</f>
        <v/>
      </c>
      <c r="H2077" s="57" t="str">
        <f aca="false">IF($D2077="","",INDEX(BookRate,2072)*(1+'5. Scenarios'!$B$10)*(INDEX(BookQ1,2072)*(5-MIN(4,1+'5. Scenarios'!$B$8))/4+INDEX(BookQ2,2072)*(5-MIN(4,2+'5. Scenarios'!$B$8))/4+INDEX(BookQ3,2072)*(5-MIN(4,3+'5. Scenarios'!$B$8))/4+INDEX(BookQ4,2072)*(5-MIN(4,4+'5. Scenarios'!$B$8))/4)*'5. Scenarios'!$B$6/(1+ProductivityDefault*('5. Scenarios'!$B$11-1))+INDEX(BookOneOff,2072)*$D2077)</f>
        <v/>
      </c>
      <c r="I2077" s="56" t="str">
        <f aca="false">IF(INDEX(BookTitle,2072)="","",INDEX(BookTotal,2072)*'5. Scenarios'!$C$6/(1+ProductivityDefault*('5. Scenarios'!$C$11-1)))</f>
        <v/>
      </c>
      <c r="J2077" s="57" t="str">
        <f aca="false">IF($I2077="","",INDEX(BookRate,2072)*(1+'5. Scenarios'!$C$10)*$I2077)</f>
        <v/>
      </c>
      <c r="K2077" s="57" t="str">
        <f aca="false">IF($J2077="","",SUMIFS($J$6:$J$2405,$A$6:$A$2405,"&lt;="&amp;$A2077))</f>
        <v/>
      </c>
      <c r="L2077" s="57" t="str">
        <f aca="false">IF($J2077="","",IF($K2077&lt;=BankCostEnvelope*'5. Scenarios'!$C$7,1,0))</f>
        <v/>
      </c>
      <c r="M2077" s="57" t="str">
        <f aca="false">IF($I2077="","",INDEX(BookRate,2072)*(1+'5. Scenarios'!$C$10)*(INDEX(BookQ1,2072)*(5-MIN(4,1+'5. Scenarios'!$C$8))/4+INDEX(BookQ2,2072)*(5-MIN(4,2+'5. Scenarios'!$C$8))/4+INDEX(BookQ3,2072)*(5-MIN(4,3+'5. Scenarios'!$C$8))/4+INDEX(BookQ4,2072)*(5-MIN(4,4+'5. Scenarios'!$C$8))/4)*'5. Scenarios'!$C$6/(1+ProductivityDefault*('5. Scenarios'!$C$11-1))+INDEX(BookOneOff,2072)*$I2077)</f>
        <v/>
      </c>
      <c r="N2077" s="56" t="str">
        <f aca="false">IF(INDEX(BookTitle,2072)="","",INDEX(BookTotal,2072)*'5. Scenarios'!$D$6/(1+ProductivityDefault*('5. Scenarios'!$D$11-1)))</f>
        <v/>
      </c>
      <c r="O2077" s="57" t="str">
        <f aca="false">IF($N2077="","",INDEX(BookRate,2072)*(1+'5. Scenarios'!$D$10)*$N2077)</f>
        <v/>
      </c>
      <c r="P2077" s="57" t="str">
        <f aca="false">IF($O2077="","",SUMIFS($O$6:$O$2405,$A$6:$A$2405,"&lt;="&amp;$A2077))</f>
        <v/>
      </c>
      <c r="Q2077" s="57" t="str">
        <f aca="false">IF($O2077="","",IF($P2077&lt;=BankCostEnvelope*'5. Scenarios'!$D$7,1,0))</f>
        <v/>
      </c>
      <c r="R2077" s="57" t="str">
        <f aca="false">IF($N2077="","",INDEX(BookRate,2072)*(1+'5. Scenarios'!$D$10)*(INDEX(BookQ1,2072)*(5-MIN(4,1+'5. Scenarios'!$D$8))/4+INDEX(BookQ2,2072)*(5-MIN(4,2+'5. Scenarios'!$D$8))/4+INDEX(BookQ3,2072)*(5-MIN(4,3+'5. Scenarios'!$D$8))/4+INDEX(BookQ4,2072)*(5-MIN(4,4+'5. Scenarios'!$D$8))/4)*'5. Scenarios'!$D$6/(1+ProductivityDefault*('5. Scenarios'!$D$11-1))+INDEX(BookOneOff,2072)*$N2077)</f>
        <v/>
      </c>
      <c r="S2077" s="56" t="str">
        <f aca="false">IF(INDEX(BookTitle,2072)="","",INDEX(BookTotal,2072)*'5. Scenarios'!$E$6/(1+ProductivityDefault*('5. Scenarios'!$E$11-1)))</f>
        <v/>
      </c>
      <c r="T2077" s="57" t="str">
        <f aca="false">IF($S2077="","",INDEX(BookRate,2072)*(1+'5. Scenarios'!$E$10)*$S2077)</f>
        <v/>
      </c>
      <c r="U2077" s="57" t="str">
        <f aca="false">IF($T2077="","",SUMIFS($T$6:$T$2405,$A$6:$A$2405,"&lt;="&amp;$A2077))</f>
        <v/>
      </c>
      <c r="V2077" s="57" t="str">
        <f aca="false">IF($T2077="","",IF($U2077&lt;=BankCostEnvelope*'5. Scenarios'!$E$7,1,0))</f>
        <v/>
      </c>
      <c r="W2077" s="57" t="str">
        <f aca="false">IF($S2077="","",INDEX(BookRate,2072)*(1+'5. Scenarios'!$E$10)*(INDEX(BookQ1,2072)*(5-MIN(4,1+'5. Scenarios'!$E$8))/4+INDEX(BookQ2,2072)*(5-MIN(4,2+'5. Scenarios'!$E$8))/4+INDEX(BookQ3,2072)*(5-MIN(4,3+'5. Scenarios'!$E$8))/4+INDEX(BookQ4,2072)*(5-MIN(4,4+'5. Scenarios'!$E$8))/4)*'5. Scenarios'!$E$6/(1+ProductivityDefault*('5. Scenarios'!$E$11-1))+INDEX(BookOneOff,2072)*$S2077)</f>
        <v/>
      </c>
    </row>
    <row r="2078" customFormat="false" ht="15" hidden="false" customHeight="false" outlineLevel="0" collapsed="false">
      <c r="A2078" s="0" t="str">
        <f aca="false">IF(INDEX(BookTitle,2073)="","",INDEX(BookKey,2073))</f>
        <v/>
      </c>
      <c r="B2078" s="0" t="str">
        <f aca="false">IF(INDEX(BookTitle,2073)="","",INDEX(BookGroup,2073))</f>
        <v/>
      </c>
      <c r="C2078" s="0" t="str">
        <f aca="false">IF(INDEX(BookTitle,2073)="","",INDEX(BookCategory,2073))</f>
        <v/>
      </c>
      <c r="D2078" s="56" t="str">
        <f aca="false">IF(INDEX(BookTitle,2073)="","",INDEX(BookTotal,2073)*'5. Scenarios'!$B$6/(1+ProductivityDefault*('5. Scenarios'!$B$11-1)))</f>
        <v/>
      </c>
      <c r="E2078" s="57" t="str">
        <f aca="false">IF($D2078="","",INDEX(BookRate,2073)*(1+'5. Scenarios'!$B$10)*$D2078)</f>
        <v/>
      </c>
      <c r="F2078" s="57" t="str">
        <f aca="false">IF($E2078="","",SUMIFS($E$6:$E$2405,$A$6:$A$2405,"&lt;="&amp;$A2078))</f>
        <v/>
      </c>
      <c r="G2078" s="57" t="str">
        <f aca="false">IF($E2078="","",IF($F2078&lt;=BankCostEnvelope*'5. Scenarios'!$B$7,1,0))</f>
        <v/>
      </c>
      <c r="H2078" s="57" t="str">
        <f aca="false">IF($D2078="","",INDEX(BookRate,2073)*(1+'5. Scenarios'!$B$10)*(INDEX(BookQ1,2073)*(5-MIN(4,1+'5. Scenarios'!$B$8))/4+INDEX(BookQ2,2073)*(5-MIN(4,2+'5. Scenarios'!$B$8))/4+INDEX(BookQ3,2073)*(5-MIN(4,3+'5. Scenarios'!$B$8))/4+INDEX(BookQ4,2073)*(5-MIN(4,4+'5. Scenarios'!$B$8))/4)*'5. Scenarios'!$B$6/(1+ProductivityDefault*('5. Scenarios'!$B$11-1))+INDEX(BookOneOff,2073)*$D2078)</f>
        <v/>
      </c>
      <c r="I2078" s="56" t="str">
        <f aca="false">IF(INDEX(BookTitle,2073)="","",INDEX(BookTotal,2073)*'5. Scenarios'!$C$6/(1+ProductivityDefault*('5. Scenarios'!$C$11-1)))</f>
        <v/>
      </c>
      <c r="J2078" s="57" t="str">
        <f aca="false">IF($I2078="","",INDEX(BookRate,2073)*(1+'5. Scenarios'!$C$10)*$I2078)</f>
        <v/>
      </c>
      <c r="K2078" s="57" t="str">
        <f aca="false">IF($J2078="","",SUMIFS($J$6:$J$2405,$A$6:$A$2405,"&lt;="&amp;$A2078))</f>
        <v/>
      </c>
      <c r="L2078" s="57" t="str">
        <f aca="false">IF($J2078="","",IF($K2078&lt;=BankCostEnvelope*'5. Scenarios'!$C$7,1,0))</f>
        <v/>
      </c>
      <c r="M2078" s="57" t="str">
        <f aca="false">IF($I2078="","",INDEX(BookRate,2073)*(1+'5. Scenarios'!$C$10)*(INDEX(BookQ1,2073)*(5-MIN(4,1+'5. Scenarios'!$C$8))/4+INDEX(BookQ2,2073)*(5-MIN(4,2+'5. Scenarios'!$C$8))/4+INDEX(BookQ3,2073)*(5-MIN(4,3+'5. Scenarios'!$C$8))/4+INDEX(BookQ4,2073)*(5-MIN(4,4+'5. Scenarios'!$C$8))/4)*'5. Scenarios'!$C$6/(1+ProductivityDefault*('5. Scenarios'!$C$11-1))+INDEX(BookOneOff,2073)*$I2078)</f>
        <v/>
      </c>
      <c r="N2078" s="56" t="str">
        <f aca="false">IF(INDEX(BookTitle,2073)="","",INDEX(BookTotal,2073)*'5. Scenarios'!$D$6/(1+ProductivityDefault*('5. Scenarios'!$D$11-1)))</f>
        <v/>
      </c>
      <c r="O2078" s="57" t="str">
        <f aca="false">IF($N2078="","",INDEX(BookRate,2073)*(1+'5. Scenarios'!$D$10)*$N2078)</f>
        <v/>
      </c>
      <c r="P2078" s="57" t="str">
        <f aca="false">IF($O2078="","",SUMIFS($O$6:$O$2405,$A$6:$A$2405,"&lt;="&amp;$A2078))</f>
        <v/>
      </c>
      <c r="Q2078" s="57" t="str">
        <f aca="false">IF($O2078="","",IF($P2078&lt;=BankCostEnvelope*'5. Scenarios'!$D$7,1,0))</f>
        <v/>
      </c>
      <c r="R2078" s="57" t="str">
        <f aca="false">IF($N2078="","",INDEX(BookRate,2073)*(1+'5. Scenarios'!$D$10)*(INDEX(BookQ1,2073)*(5-MIN(4,1+'5. Scenarios'!$D$8))/4+INDEX(BookQ2,2073)*(5-MIN(4,2+'5. Scenarios'!$D$8))/4+INDEX(BookQ3,2073)*(5-MIN(4,3+'5. Scenarios'!$D$8))/4+INDEX(BookQ4,2073)*(5-MIN(4,4+'5. Scenarios'!$D$8))/4)*'5. Scenarios'!$D$6/(1+ProductivityDefault*('5. Scenarios'!$D$11-1))+INDEX(BookOneOff,2073)*$N2078)</f>
        <v/>
      </c>
      <c r="S2078" s="56" t="str">
        <f aca="false">IF(INDEX(BookTitle,2073)="","",INDEX(BookTotal,2073)*'5. Scenarios'!$E$6/(1+ProductivityDefault*('5. Scenarios'!$E$11-1)))</f>
        <v/>
      </c>
      <c r="T2078" s="57" t="str">
        <f aca="false">IF($S2078="","",INDEX(BookRate,2073)*(1+'5. Scenarios'!$E$10)*$S2078)</f>
        <v/>
      </c>
      <c r="U2078" s="57" t="str">
        <f aca="false">IF($T2078="","",SUMIFS($T$6:$T$2405,$A$6:$A$2405,"&lt;="&amp;$A2078))</f>
        <v/>
      </c>
      <c r="V2078" s="57" t="str">
        <f aca="false">IF($T2078="","",IF($U2078&lt;=BankCostEnvelope*'5. Scenarios'!$E$7,1,0))</f>
        <v/>
      </c>
      <c r="W2078" s="57" t="str">
        <f aca="false">IF($S2078="","",INDEX(BookRate,2073)*(1+'5. Scenarios'!$E$10)*(INDEX(BookQ1,2073)*(5-MIN(4,1+'5. Scenarios'!$E$8))/4+INDEX(BookQ2,2073)*(5-MIN(4,2+'5. Scenarios'!$E$8))/4+INDEX(BookQ3,2073)*(5-MIN(4,3+'5. Scenarios'!$E$8))/4+INDEX(BookQ4,2073)*(5-MIN(4,4+'5. Scenarios'!$E$8))/4)*'5. Scenarios'!$E$6/(1+ProductivityDefault*('5. Scenarios'!$E$11-1))+INDEX(BookOneOff,2073)*$S2078)</f>
        <v/>
      </c>
    </row>
    <row r="2079" customFormat="false" ht="15" hidden="false" customHeight="false" outlineLevel="0" collapsed="false">
      <c r="A2079" s="0" t="str">
        <f aca="false">IF(INDEX(BookTitle,2074)="","",INDEX(BookKey,2074))</f>
        <v/>
      </c>
      <c r="B2079" s="0" t="str">
        <f aca="false">IF(INDEX(BookTitle,2074)="","",INDEX(BookGroup,2074))</f>
        <v/>
      </c>
      <c r="C2079" s="0" t="str">
        <f aca="false">IF(INDEX(BookTitle,2074)="","",INDEX(BookCategory,2074))</f>
        <v/>
      </c>
      <c r="D2079" s="56" t="str">
        <f aca="false">IF(INDEX(BookTitle,2074)="","",INDEX(BookTotal,2074)*'5. Scenarios'!$B$6/(1+ProductivityDefault*('5. Scenarios'!$B$11-1)))</f>
        <v/>
      </c>
      <c r="E2079" s="57" t="str">
        <f aca="false">IF($D2079="","",INDEX(BookRate,2074)*(1+'5. Scenarios'!$B$10)*$D2079)</f>
        <v/>
      </c>
      <c r="F2079" s="57" t="str">
        <f aca="false">IF($E2079="","",SUMIFS($E$6:$E$2405,$A$6:$A$2405,"&lt;="&amp;$A2079))</f>
        <v/>
      </c>
      <c r="G2079" s="57" t="str">
        <f aca="false">IF($E2079="","",IF($F2079&lt;=BankCostEnvelope*'5. Scenarios'!$B$7,1,0))</f>
        <v/>
      </c>
      <c r="H2079" s="57" t="str">
        <f aca="false">IF($D2079="","",INDEX(BookRate,2074)*(1+'5. Scenarios'!$B$10)*(INDEX(BookQ1,2074)*(5-MIN(4,1+'5. Scenarios'!$B$8))/4+INDEX(BookQ2,2074)*(5-MIN(4,2+'5. Scenarios'!$B$8))/4+INDEX(BookQ3,2074)*(5-MIN(4,3+'5. Scenarios'!$B$8))/4+INDEX(BookQ4,2074)*(5-MIN(4,4+'5. Scenarios'!$B$8))/4)*'5. Scenarios'!$B$6/(1+ProductivityDefault*('5. Scenarios'!$B$11-1))+INDEX(BookOneOff,2074)*$D2079)</f>
        <v/>
      </c>
      <c r="I2079" s="56" t="str">
        <f aca="false">IF(INDEX(BookTitle,2074)="","",INDEX(BookTotal,2074)*'5. Scenarios'!$C$6/(1+ProductivityDefault*('5. Scenarios'!$C$11-1)))</f>
        <v/>
      </c>
      <c r="J2079" s="57" t="str">
        <f aca="false">IF($I2079="","",INDEX(BookRate,2074)*(1+'5. Scenarios'!$C$10)*$I2079)</f>
        <v/>
      </c>
      <c r="K2079" s="57" t="str">
        <f aca="false">IF($J2079="","",SUMIFS($J$6:$J$2405,$A$6:$A$2405,"&lt;="&amp;$A2079))</f>
        <v/>
      </c>
      <c r="L2079" s="57" t="str">
        <f aca="false">IF($J2079="","",IF($K2079&lt;=BankCostEnvelope*'5. Scenarios'!$C$7,1,0))</f>
        <v/>
      </c>
      <c r="M2079" s="57" t="str">
        <f aca="false">IF($I2079="","",INDEX(BookRate,2074)*(1+'5. Scenarios'!$C$10)*(INDEX(BookQ1,2074)*(5-MIN(4,1+'5. Scenarios'!$C$8))/4+INDEX(BookQ2,2074)*(5-MIN(4,2+'5. Scenarios'!$C$8))/4+INDEX(BookQ3,2074)*(5-MIN(4,3+'5. Scenarios'!$C$8))/4+INDEX(BookQ4,2074)*(5-MIN(4,4+'5. Scenarios'!$C$8))/4)*'5. Scenarios'!$C$6/(1+ProductivityDefault*('5. Scenarios'!$C$11-1))+INDEX(BookOneOff,2074)*$I2079)</f>
        <v/>
      </c>
      <c r="N2079" s="56" t="str">
        <f aca="false">IF(INDEX(BookTitle,2074)="","",INDEX(BookTotal,2074)*'5. Scenarios'!$D$6/(1+ProductivityDefault*('5. Scenarios'!$D$11-1)))</f>
        <v/>
      </c>
      <c r="O2079" s="57" t="str">
        <f aca="false">IF($N2079="","",INDEX(BookRate,2074)*(1+'5. Scenarios'!$D$10)*$N2079)</f>
        <v/>
      </c>
      <c r="P2079" s="57" t="str">
        <f aca="false">IF($O2079="","",SUMIFS($O$6:$O$2405,$A$6:$A$2405,"&lt;="&amp;$A2079))</f>
        <v/>
      </c>
      <c r="Q2079" s="57" t="str">
        <f aca="false">IF($O2079="","",IF($P2079&lt;=BankCostEnvelope*'5. Scenarios'!$D$7,1,0))</f>
        <v/>
      </c>
      <c r="R2079" s="57" t="str">
        <f aca="false">IF($N2079="","",INDEX(BookRate,2074)*(1+'5. Scenarios'!$D$10)*(INDEX(BookQ1,2074)*(5-MIN(4,1+'5. Scenarios'!$D$8))/4+INDEX(BookQ2,2074)*(5-MIN(4,2+'5. Scenarios'!$D$8))/4+INDEX(BookQ3,2074)*(5-MIN(4,3+'5. Scenarios'!$D$8))/4+INDEX(BookQ4,2074)*(5-MIN(4,4+'5. Scenarios'!$D$8))/4)*'5. Scenarios'!$D$6/(1+ProductivityDefault*('5. Scenarios'!$D$11-1))+INDEX(BookOneOff,2074)*$N2079)</f>
        <v/>
      </c>
      <c r="S2079" s="56" t="str">
        <f aca="false">IF(INDEX(BookTitle,2074)="","",INDEX(BookTotal,2074)*'5. Scenarios'!$E$6/(1+ProductivityDefault*('5. Scenarios'!$E$11-1)))</f>
        <v/>
      </c>
      <c r="T2079" s="57" t="str">
        <f aca="false">IF($S2079="","",INDEX(BookRate,2074)*(1+'5. Scenarios'!$E$10)*$S2079)</f>
        <v/>
      </c>
      <c r="U2079" s="57" t="str">
        <f aca="false">IF($T2079="","",SUMIFS($T$6:$T$2405,$A$6:$A$2405,"&lt;="&amp;$A2079))</f>
        <v/>
      </c>
      <c r="V2079" s="57" t="str">
        <f aca="false">IF($T2079="","",IF($U2079&lt;=BankCostEnvelope*'5. Scenarios'!$E$7,1,0))</f>
        <v/>
      </c>
      <c r="W2079" s="57" t="str">
        <f aca="false">IF($S2079="","",INDEX(BookRate,2074)*(1+'5. Scenarios'!$E$10)*(INDEX(BookQ1,2074)*(5-MIN(4,1+'5. Scenarios'!$E$8))/4+INDEX(BookQ2,2074)*(5-MIN(4,2+'5. Scenarios'!$E$8))/4+INDEX(BookQ3,2074)*(5-MIN(4,3+'5. Scenarios'!$E$8))/4+INDEX(BookQ4,2074)*(5-MIN(4,4+'5. Scenarios'!$E$8))/4)*'5. Scenarios'!$E$6/(1+ProductivityDefault*('5. Scenarios'!$E$11-1))+INDEX(BookOneOff,2074)*$S2079)</f>
        <v/>
      </c>
    </row>
    <row r="2080" customFormat="false" ht="15" hidden="false" customHeight="false" outlineLevel="0" collapsed="false">
      <c r="A2080" s="0" t="str">
        <f aca="false">IF(INDEX(BookTitle,2075)="","",INDEX(BookKey,2075))</f>
        <v/>
      </c>
      <c r="B2080" s="0" t="str">
        <f aca="false">IF(INDEX(BookTitle,2075)="","",INDEX(BookGroup,2075))</f>
        <v/>
      </c>
      <c r="C2080" s="0" t="str">
        <f aca="false">IF(INDEX(BookTitle,2075)="","",INDEX(BookCategory,2075))</f>
        <v/>
      </c>
      <c r="D2080" s="56" t="str">
        <f aca="false">IF(INDEX(BookTitle,2075)="","",INDEX(BookTotal,2075)*'5. Scenarios'!$B$6/(1+ProductivityDefault*('5. Scenarios'!$B$11-1)))</f>
        <v/>
      </c>
      <c r="E2080" s="57" t="str">
        <f aca="false">IF($D2080="","",INDEX(BookRate,2075)*(1+'5. Scenarios'!$B$10)*$D2080)</f>
        <v/>
      </c>
      <c r="F2080" s="57" t="str">
        <f aca="false">IF($E2080="","",SUMIFS($E$6:$E$2405,$A$6:$A$2405,"&lt;="&amp;$A2080))</f>
        <v/>
      </c>
      <c r="G2080" s="57" t="str">
        <f aca="false">IF($E2080="","",IF($F2080&lt;=BankCostEnvelope*'5. Scenarios'!$B$7,1,0))</f>
        <v/>
      </c>
      <c r="H2080" s="57" t="str">
        <f aca="false">IF($D2080="","",INDEX(BookRate,2075)*(1+'5. Scenarios'!$B$10)*(INDEX(BookQ1,2075)*(5-MIN(4,1+'5. Scenarios'!$B$8))/4+INDEX(BookQ2,2075)*(5-MIN(4,2+'5. Scenarios'!$B$8))/4+INDEX(BookQ3,2075)*(5-MIN(4,3+'5. Scenarios'!$B$8))/4+INDEX(BookQ4,2075)*(5-MIN(4,4+'5. Scenarios'!$B$8))/4)*'5. Scenarios'!$B$6/(1+ProductivityDefault*('5. Scenarios'!$B$11-1))+INDEX(BookOneOff,2075)*$D2080)</f>
        <v/>
      </c>
      <c r="I2080" s="56" t="str">
        <f aca="false">IF(INDEX(BookTitle,2075)="","",INDEX(BookTotal,2075)*'5. Scenarios'!$C$6/(1+ProductivityDefault*('5. Scenarios'!$C$11-1)))</f>
        <v/>
      </c>
      <c r="J2080" s="57" t="str">
        <f aca="false">IF($I2080="","",INDEX(BookRate,2075)*(1+'5. Scenarios'!$C$10)*$I2080)</f>
        <v/>
      </c>
      <c r="K2080" s="57" t="str">
        <f aca="false">IF($J2080="","",SUMIFS($J$6:$J$2405,$A$6:$A$2405,"&lt;="&amp;$A2080))</f>
        <v/>
      </c>
      <c r="L2080" s="57" t="str">
        <f aca="false">IF($J2080="","",IF($K2080&lt;=BankCostEnvelope*'5. Scenarios'!$C$7,1,0))</f>
        <v/>
      </c>
      <c r="M2080" s="57" t="str">
        <f aca="false">IF($I2080="","",INDEX(BookRate,2075)*(1+'5. Scenarios'!$C$10)*(INDEX(BookQ1,2075)*(5-MIN(4,1+'5. Scenarios'!$C$8))/4+INDEX(BookQ2,2075)*(5-MIN(4,2+'5. Scenarios'!$C$8))/4+INDEX(BookQ3,2075)*(5-MIN(4,3+'5. Scenarios'!$C$8))/4+INDEX(BookQ4,2075)*(5-MIN(4,4+'5. Scenarios'!$C$8))/4)*'5. Scenarios'!$C$6/(1+ProductivityDefault*('5. Scenarios'!$C$11-1))+INDEX(BookOneOff,2075)*$I2080)</f>
        <v/>
      </c>
      <c r="N2080" s="56" t="str">
        <f aca="false">IF(INDEX(BookTitle,2075)="","",INDEX(BookTotal,2075)*'5. Scenarios'!$D$6/(1+ProductivityDefault*('5. Scenarios'!$D$11-1)))</f>
        <v/>
      </c>
      <c r="O2080" s="57" t="str">
        <f aca="false">IF($N2080="","",INDEX(BookRate,2075)*(1+'5. Scenarios'!$D$10)*$N2080)</f>
        <v/>
      </c>
      <c r="P2080" s="57" t="str">
        <f aca="false">IF($O2080="","",SUMIFS($O$6:$O$2405,$A$6:$A$2405,"&lt;="&amp;$A2080))</f>
        <v/>
      </c>
      <c r="Q2080" s="57" t="str">
        <f aca="false">IF($O2080="","",IF($P2080&lt;=BankCostEnvelope*'5. Scenarios'!$D$7,1,0))</f>
        <v/>
      </c>
      <c r="R2080" s="57" t="str">
        <f aca="false">IF($N2080="","",INDEX(BookRate,2075)*(1+'5. Scenarios'!$D$10)*(INDEX(BookQ1,2075)*(5-MIN(4,1+'5. Scenarios'!$D$8))/4+INDEX(BookQ2,2075)*(5-MIN(4,2+'5. Scenarios'!$D$8))/4+INDEX(BookQ3,2075)*(5-MIN(4,3+'5. Scenarios'!$D$8))/4+INDEX(BookQ4,2075)*(5-MIN(4,4+'5. Scenarios'!$D$8))/4)*'5. Scenarios'!$D$6/(1+ProductivityDefault*('5. Scenarios'!$D$11-1))+INDEX(BookOneOff,2075)*$N2080)</f>
        <v/>
      </c>
      <c r="S2080" s="56" t="str">
        <f aca="false">IF(INDEX(BookTitle,2075)="","",INDEX(BookTotal,2075)*'5. Scenarios'!$E$6/(1+ProductivityDefault*('5. Scenarios'!$E$11-1)))</f>
        <v/>
      </c>
      <c r="T2080" s="57" t="str">
        <f aca="false">IF($S2080="","",INDEX(BookRate,2075)*(1+'5. Scenarios'!$E$10)*$S2080)</f>
        <v/>
      </c>
      <c r="U2080" s="57" t="str">
        <f aca="false">IF($T2080="","",SUMIFS($T$6:$T$2405,$A$6:$A$2405,"&lt;="&amp;$A2080))</f>
        <v/>
      </c>
      <c r="V2080" s="57" t="str">
        <f aca="false">IF($T2080="","",IF($U2080&lt;=BankCostEnvelope*'5. Scenarios'!$E$7,1,0))</f>
        <v/>
      </c>
      <c r="W2080" s="57" t="str">
        <f aca="false">IF($S2080="","",INDEX(BookRate,2075)*(1+'5. Scenarios'!$E$10)*(INDEX(BookQ1,2075)*(5-MIN(4,1+'5. Scenarios'!$E$8))/4+INDEX(BookQ2,2075)*(5-MIN(4,2+'5. Scenarios'!$E$8))/4+INDEX(BookQ3,2075)*(5-MIN(4,3+'5. Scenarios'!$E$8))/4+INDEX(BookQ4,2075)*(5-MIN(4,4+'5. Scenarios'!$E$8))/4)*'5. Scenarios'!$E$6/(1+ProductivityDefault*('5. Scenarios'!$E$11-1))+INDEX(BookOneOff,2075)*$S2080)</f>
        <v/>
      </c>
    </row>
    <row r="2081" customFormat="false" ht="15" hidden="false" customHeight="false" outlineLevel="0" collapsed="false">
      <c r="A2081" s="0" t="str">
        <f aca="false">IF(INDEX(BookTitle,2076)="","",INDEX(BookKey,2076))</f>
        <v/>
      </c>
      <c r="B2081" s="0" t="str">
        <f aca="false">IF(INDEX(BookTitle,2076)="","",INDEX(BookGroup,2076))</f>
        <v/>
      </c>
      <c r="C2081" s="0" t="str">
        <f aca="false">IF(INDEX(BookTitle,2076)="","",INDEX(BookCategory,2076))</f>
        <v/>
      </c>
      <c r="D2081" s="56" t="str">
        <f aca="false">IF(INDEX(BookTitle,2076)="","",INDEX(BookTotal,2076)*'5. Scenarios'!$B$6/(1+ProductivityDefault*('5. Scenarios'!$B$11-1)))</f>
        <v/>
      </c>
      <c r="E2081" s="57" t="str">
        <f aca="false">IF($D2081="","",INDEX(BookRate,2076)*(1+'5. Scenarios'!$B$10)*$D2081)</f>
        <v/>
      </c>
      <c r="F2081" s="57" t="str">
        <f aca="false">IF($E2081="","",SUMIFS($E$6:$E$2405,$A$6:$A$2405,"&lt;="&amp;$A2081))</f>
        <v/>
      </c>
      <c r="G2081" s="57" t="str">
        <f aca="false">IF($E2081="","",IF($F2081&lt;=BankCostEnvelope*'5. Scenarios'!$B$7,1,0))</f>
        <v/>
      </c>
      <c r="H2081" s="57" t="str">
        <f aca="false">IF($D2081="","",INDEX(BookRate,2076)*(1+'5. Scenarios'!$B$10)*(INDEX(BookQ1,2076)*(5-MIN(4,1+'5. Scenarios'!$B$8))/4+INDEX(BookQ2,2076)*(5-MIN(4,2+'5. Scenarios'!$B$8))/4+INDEX(BookQ3,2076)*(5-MIN(4,3+'5. Scenarios'!$B$8))/4+INDEX(BookQ4,2076)*(5-MIN(4,4+'5. Scenarios'!$B$8))/4)*'5. Scenarios'!$B$6/(1+ProductivityDefault*('5. Scenarios'!$B$11-1))+INDEX(BookOneOff,2076)*$D2081)</f>
        <v/>
      </c>
      <c r="I2081" s="56" t="str">
        <f aca="false">IF(INDEX(BookTitle,2076)="","",INDEX(BookTotal,2076)*'5. Scenarios'!$C$6/(1+ProductivityDefault*('5. Scenarios'!$C$11-1)))</f>
        <v/>
      </c>
      <c r="J2081" s="57" t="str">
        <f aca="false">IF($I2081="","",INDEX(BookRate,2076)*(1+'5. Scenarios'!$C$10)*$I2081)</f>
        <v/>
      </c>
      <c r="K2081" s="57" t="str">
        <f aca="false">IF($J2081="","",SUMIFS($J$6:$J$2405,$A$6:$A$2405,"&lt;="&amp;$A2081))</f>
        <v/>
      </c>
      <c r="L2081" s="57" t="str">
        <f aca="false">IF($J2081="","",IF($K2081&lt;=BankCostEnvelope*'5. Scenarios'!$C$7,1,0))</f>
        <v/>
      </c>
      <c r="M2081" s="57" t="str">
        <f aca="false">IF($I2081="","",INDEX(BookRate,2076)*(1+'5. Scenarios'!$C$10)*(INDEX(BookQ1,2076)*(5-MIN(4,1+'5. Scenarios'!$C$8))/4+INDEX(BookQ2,2076)*(5-MIN(4,2+'5. Scenarios'!$C$8))/4+INDEX(BookQ3,2076)*(5-MIN(4,3+'5. Scenarios'!$C$8))/4+INDEX(BookQ4,2076)*(5-MIN(4,4+'5. Scenarios'!$C$8))/4)*'5. Scenarios'!$C$6/(1+ProductivityDefault*('5. Scenarios'!$C$11-1))+INDEX(BookOneOff,2076)*$I2081)</f>
        <v/>
      </c>
      <c r="N2081" s="56" t="str">
        <f aca="false">IF(INDEX(BookTitle,2076)="","",INDEX(BookTotal,2076)*'5. Scenarios'!$D$6/(1+ProductivityDefault*('5. Scenarios'!$D$11-1)))</f>
        <v/>
      </c>
      <c r="O2081" s="57" t="str">
        <f aca="false">IF($N2081="","",INDEX(BookRate,2076)*(1+'5. Scenarios'!$D$10)*$N2081)</f>
        <v/>
      </c>
      <c r="P2081" s="57" t="str">
        <f aca="false">IF($O2081="","",SUMIFS($O$6:$O$2405,$A$6:$A$2405,"&lt;="&amp;$A2081))</f>
        <v/>
      </c>
      <c r="Q2081" s="57" t="str">
        <f aca="false">IF($O2081="","",IF($P2081&lt;=BankCostEnvelope*'5. Scenarios'!$D$7,1,0))</f>
        <v/>
      </c>
      <c r="R2081" s="57" t="str">
        <f aca="false">IF($N2081="","",INDEX(BookRate,2076)*(1+'5. Scenarios'!$D$10)*(INDEX(BookQ1,2076)*(5-MIN(4,1+'5. Scenarios'!$D$8))/4+INDEX(BookQ2,2076)*(5-MIN(4,2+'5. Scenarios'!$D$8))/4+INDEX(BookQ3,2076)*(5-MIN(4,3+'5. Scenarios'!$D$8))/4+INDEX(BookQ4,2076)*(5-MIN(4,4+'5. Scenarios'!$D$8))/4)*'5. Scenarios'!$D$6/(1+ProductivityDefault*('5. Scenarios'!$D$11-1))+INDEX(BookOneOff,2076)*$N2081)</f>
        <v/>
      </c>
      <c r="S2081" s="56" t="str">
        <f aca="false">IF(INDEX(BookTitle,2076)="","",INDEX(BookTotal,2076)*'5. Scenarios'!$E$6/(1+ProductivityDefault*('5. Scenarios'!$E$11-1)))</f>
        <v/>
      </c>
      <c r="T2081" s="57" t="str">
        <f aca="false">IF($S2081="","",INDEX(BookRate,2076)*(1+'5. Scenarios'!$E$10)*$S2081)</f>
        <v/>
      </c>
      <c r="U2081" s="57" t="str">
        <f aca="false">IF($T2081="","",SUMIFS($T$6:$T$2405,$A$6:$A$2405,"&lt;="&amp;$A2081))</f>
        <v/>
      </c>
      <c r="V2081" s="57" t="str">
        <f aca="false">IF($T2081="","",IF($U2081&lt;=BankCostEnvelope*'5. Scenarios'!$E$7,1,0))</f>
        <v/>
      </c>
      <c r="W2081" s="57" t="str">
        <f aca="false">IF($S2081="","",INDEX(BookRate,2076)*(1+'5. Scenarios'!$E$10)*(INDEX(BookQ1,2076)*(5-MIN(4,1+'5. Scenarios'!$E$8))/4+INDEX(BookQ2,2076)*(5-MIN(4,2+'5. Scenarios'!$E$8))/4+INDEX(BookQ3,2076)*(5-MIN(4,3+'5. Scenarios'!$E$8))/4+INDEX(BookQ4,2076)*(5-MIN(4,4+'5. Scenarios'!$E$8))/4)*'5. Scenarios'!$E$6/(1+ProductivityDefault*('5. Scenarios'!$E$11-1))+INDEX(BookOneOff,2076)*$S2081)</f>
        <v/>
      </c>
    </row>
    <row r="2082" customFormat="false" ht="15" hidden="false" customHeight="false" outlineLevel="0" collapsed="false">
      <c r="A2082" s="0" t="str">
        <f aca="false">IF(INDEX(BookTitle,2077)="","",INDEX(BookKey,2077))</f>
        <v/>
      </c>
      <c r="B2082" s="0" t="str">
        <f aca="false">IF(INDEX(BookTitle,2077)="","",INDEX(BookGroup,2077))</f>
        <v/>
      </c>
      <c r="C2082" s="0" t="str">
        <f aca="false">IF(INDEX(BookTitle,2077)="","",INDEX(BookCategory,2077))</f>
        <v/>
      </c>
      <c r="D2082" s="56" t="str">
        <f aca="false">IF(INDEX(BookTitle,2077)="","",INDEX(BookTotal,2077)*'5. Scenarios'!$B$6/(1+ProductivityDefault*('5. Scenarios'!$B$11-1)))</f>
        <v/>
      </c>
      <c r="E2082" s="57" t="str">
        <f aca="false">IF($D2082="","",INDEX(BookRate,2077)*(1+'5. Scenarios'!$B$10)*$D2082)</f>
        <v/>
      </c>
      <c r="F2082" s="57" t="str">
        <f aca="false">IF($E2082="","",SUMIFS($E$6:$E$2405,$A$6:$A$2405,"&lt;="&amp;$A2082))</f>
        <v/>
      </c>
      <c r="G2082" s="57" t="str">
        <f aca="false">IF($E2082="","",IF($F2082&lt;=BankCostEnvelope*'5. Scenarios'!$B$7,1,0))</f>
        <v/>
      </c>
      <c r="H2082" s="57" t="str">
        <f aca="false">IF($D2082="","",INDEX(BookRate,2077)*(1+'5. Scenarios'!$B$10)*(INDEX(BookQ1,2077)*(5-MIN(4,1+'5. Scenarios'!$B$8))/4+INDEX(BookQ2,2077)*(5-MIN(4,2+'5. Scenarios'!$B$8))/4+INDEX(BookQ3,2077)*(5-MIN(4,3+'5. Scenarios'!$B$8))/4+INDEX(BookQ4,2077)*(5-MIN(4,4+'5. Scenarios'!$B$8))/4)*'5. Scenarios'!$B$6/(1+ProductivityDefault*('5. Scenarios'!$B$11-1))+INDEX(BookOneOff,2077)*$D2082)</f>
        <v/>
      </c>
      <c r="I2082" s="56" t="str">
        <f aca="false">IF(INDEX(BookTitle,2077)="","",INDEX(BookTotal,2077)*'5. Scenarios'!$C$6/(1+ProductivityDefault*('5. Scenarios'!$C$11-1)))</f>
        <v/>
      </c>
      <c r="J2082" s="57" t="str">
        <f aca="false">IF($I2082="","",INDEX(BookRate,2077)*(1+'5. Scenarios'!$C$10)*$I2082)</f>
        <v/>
      </c>
      <c r="K2082" s="57" t="str">
        <f aca="false">IF($J2082="","",SUMIFS($J$6:$J$2405,$A$6:$A$2405,"&lt;="&amp;$A2082))</f>
        <v/>
      </c>
      <c r="L2082" s="57" t="str">
        <f aca="false">IF($J2082="","",IF($K2082&lt;=BankCostEnvelope*'5. Scenarios'!$C$7,1,0))</f>
        <v/>
      </c>
      <c r="M2082" s="57" t="str">
        <f aca="false">IF($I2082="","",INDEX(BookRate,2077)*(1+'5. Scenarios'!$C$10)*(INDEX(BookQ1,2077)*(5-MIN(4,1+'5. Scenarios'!$C$8))/4+INDEX(BookQ2,2077)*(5-MIN(4,2+'5. Scenarios'!$C$8))/4+INDEX(BookQ3,2077)*(5-MIN(4,3+'5. Scenarios'!$C$8))/4+INDEX(BookQ4,2077)*(5-MIN(4,4+'5. Scenarios'!$C$8))/4)*'5. Scenarios'!$C$6/(1+ProductivityDefault*('5. Scenarios'!$C$11-1))+INDEX(BookOneOff,2077)*$I2082)</f>
        <v/>
      </c>
      <c r="N2082" s="56" t="str">
        <f aca="false">IF(INDEX(BookTitle,2077)="","",INDEX(BookTotal,2077)*'5. Scenarios'!$D$6/(1+ProductivityDefault*('5. Scenarios'!$D$11-1)))</f>
        <v/>
      </c>
      <c r="O2082" s="57" t="str">
        <f aca="false">IF($N2082="","",INDEX(BookRate,2077)*(1+'5. Scenarios'!$D$10)*$N2082)</f>
        <v/>
      </c>
      <c r="P2082" s="57" t="str">
        <f aca="false">IF($O2082="","",SUMIFS($O$6:$O$2405,$A$6:$A$2405,"&lt;="&amp;$A2082))</f>
        <v/>
      </c>
      <c r="Q2082" s="57" t="str">
        <f aca="false">IF($O2082="","",IF($P2082&lt;=BankCostEnvelope*'5. Scenarios'!$D$7,1,0))</f>
        <v/>
      </c>
      <c r="R2082" s="57" t="str">
        <f aca="false">IF($N2082="","",INDEX(BookRate,2077)*(1+'5. Scenarios'!$D$10)*(INDEX(BookQ1,2077)*(5-MIN(4,1+'5. Scenarios'!$D$8))/4+INDEX(BookQ2,2077)*(5-MIN(4,2+'5. Scenarios'!$D$8))/4+INDEX(BookQ3,2077)*(5-MIN(4,3+'5. Scenarios'!$D$8))/4+INDEX(BookQ4,2077)*(5-MIN(4,4+'5. Scenarios'!$D$8))/4)*'5. Scenarios'!$D$6/(1+ProductivityDefault*('5. Scenarios'!$D$11-1))+INDEX(BookOneOff,2077)*$N2082)</f>
        <v/>
      </c>
      <c r="S2082" s="56" t="str">
        <f aca="false">IF(INDEX(BookTitle,2077)="","",INDEX(BookTotal,2077)*'5. Scenarios'!$E$6/(1+ProductivityDefault*('5. Scenarios'!$E$11-1)))</f>
        <v/>
      </c>
      <c r="T2082" s="57" t="str">
        <f aca="false">IF($S2082="","",INDEX(BookRate,2077)*(1+'5. Scenarios'!$E$10)*$S2082)</f>
        <v/>
      </c>
      <c r="U2082" s="57" t="str">
        <f aca="false">IF($T2082="","",SUMIFS($T$6:$T$2405,$A$6:$A$2405,"&lt;="&amp;$A2082))</f>
        <v/>
      </c>
      <c r="V2082" s="57" t="str">
        <f aca="false">IF($T2082="","",IF($U2082&lt;=BankCostEnvelope*'5. Scenarios'!$E$7,1,0))</f>
        <v/>
      </c>
      <c r="W2082" s="57" t="str">
        <f aca="false">IF($S2082="","",INDEX(BookRate,2077)*(1+'5. Scenarios'!$E$10)*(INDEX(BookQ1,2077)*(5-MIN(4,1+'5. Scenarios'!$E$8))/4+INDEX(BookQ2,2077)*(5-MIN(4,2+'5. Scenarios'!$E$8))/4+INDEX(BookQ3,2077)*(5-MIN(4,3+'5. Scenarios'!$E$8))/4+INDEX(BookQ4,2077)*(5-MIN(4,4+'5. Scenarios'!$E$8))/4)*'5. Scenarios'!$E$6/(1+ProductivityDefault*('5. Scenarios'!$E$11-1))+INDEX(BookOneOff,2077)*$S2082)</f>
        <v/>
      </c>
    </row>
    <row r="2083" customFormat="false" ht="15" hidden="false" customHeight="false" outlineLevel="0" collapsed="false">
      <c r="A2083" s="0" t="str">
        <f aca="false">IF(INDEX(BookTitle,2078)="","",INDEX(BookKey,2078))</f>
        <v/>
      </c>
      <c r="B2083" s="0" t="str">
        <f aca="false">IF(INDEX(BookTitle,2078)="","",INDEX(BookGroup,2078))</f>
        <v/>
      </c>
      <c r="C2083" s="0" t="str">
        <f aca="false">IF(INDEX(BookTitle,2078)="","",INDEX(BookCategory,2078))</f>
        <v/>
      </c>
      <c r="D2083" s="56" t="str">
        <f aca="false">IF(INDEX(BookTitle,2078)="","",INDEX(BookTotal,2078)*'5. Scenarios'!$B$6/(1+ProductivityDefault*('5. Scenarios'!$B$11-1)))</f>
        <v/>
      </c>
      <c r="E2083" s="57" t="str">
        <f aca="false">IF($D2083="","",INDEX(BookRate,2078)*(1+'5. Scenarios'!$B$10)*$D2083)</f>
        <v/>
      </c>
      <c r="F2083" s="57" t="str">
        <f aca="false">IF($E2083="","",SUMIFS($E$6:$E$2405,$A$6:$A$2405,"&lt;="&amp;$A2083))</f>
        <v/>
      </c>
      <c r="G2083" s="57" t="str">
        <f aca="false">IF($E2083="","",IF($F2083&lt;=BankCostEnvelope*'5. Scenarios'!$B$7,1,0))</f>
        <v/>
      </c>
      <c r="H2083" s="57" t="str">
        <f aca="false">IF($D2083="","",INDEX(BookRate,2078)*(1+'5. Scenarios'!$B$10)*(INDEX(BookQ1,2078)*(5-MIN(4,1+'5. Scenarios'!$B$8))/4+INDEX(BookQ2,2078)*(5-MIN(4,2+'5. Scenarios'!$B$8))/4+INDEX(BookQ3,2078)*(5-MIN(4,3+'5. Scenarios'!$B$8))/4+INDEX(BookQ4,2078)*(5-MIN(4,4+'5. Scenarios'!$B$8))/4)*'5. Scenarios'!$B$6/(1+ProductivityDefault*('5. Scenarios'!$B$11-1))+INDEX(BookOneOff,2078)*$D2083)</f>
        <v/>
      </c>
      <c r="I2083" s="56" t="str">
        <f aca="false">IF(INDEX(BookTitle,2078)="","",INDEX(BookTotal,2078)*'5. Scenarios'!$C$6/(1+ProductivityDefault*('5. Scenarios'!$C$11-1)))</f>
        <v/>
      </c>
      <c r="J2083" s="57" t="str">
        <f aca="false">IF($I2083="","",INDEX(BookRate,2078)*(1+'5. Scenarios'!$C$10)*$I2083)</f>
        <v/>
      </c>
      <c r="K2083" s="57" t="str">
        <f aca="false">IF($J2083="","",SUMIFS($J$6:$J$2405,$A$6:$A$2405,"&lt;="&amp;$A2083))</f>
        <v/>
      </c>
      <c r="L2083" s="57" t="str">
        <f aca="false">IF($J2083="","",IF($K2083&lt;=BankCostEnvelope*'5. Scenarios'!$C$7,1,0))</f>
        <v/>
      </c>
      <c r="M2083" s="57" t="str">
        <f aca="false">IF($I2083="","",INDEX(BookRate,2078)*(1+'5. Scenarios'!$C$10)*(INDEX(BookQ1,2078)*(5-MIN(4,1+'5. Scenarios'!$C$8))/4+INDEX(BookQ2,2078)*(5-MIN(4,2+'5. Scenarios'!$C$8))/4+INDEX(BookQ3,2078)*(5-MIN(4,3+'5. Scenarios'!$C$8))/4+INDEX(BookQ4,2078)*(5-MIN(4,4+'5. Scenarios'!$C$8))/4)*'5. Scenarios'!$C$6/(1+ProductivityDefault*('5. Scenarios'!$C$11-1))+INDEX(BookOneOff,2078)*$I2083)</f>
        <v/>
      </c>
      <c r="N2083" s="56" t="str">
        <f aca="false">IF(INDEX(BookTitle,2078)="","",INDEX(BookTotal,2078)*'5. Scenarios'!$D$6/(1+ProductivityDefault*('5. Scenarios'!$D$11-1)))</f>
        <v/>
      </c>
      <c r="O2083" s="57" t="str">
        <f aca="false">IF($N2083="","",INDEX(BookRate,2078)*(1+'5. Scenarios'!$D$10)*$N2083)</f>
        <v/>
      </c>
      <c r="P2083" s="57" t="str">
        <f aca="false">IF($O2083="","",SUMIFS($O$6:$O$2405,$A$6:$A$2405,"&lt;="&amp;$A2083))</f>
        <v/>
      </c>
      <c r="Q2083" s="57" t="str">
        <f aca="false">IF($O2083="","",IF($P2083&lt;=BankCostEnvelope*'5. Scenarios'!$D$7,1,0))</f>
        <v/>
      </c>
      <c r="R2083" s="57" t="str">
        <f aca="false">IF($N2083="","",INDEX(BookRate,2078)*(1+'5. Scenarios'!$D$10)*(INDEX(BookQ1,2078)*(5-MIN(4,1+'5. Scenarios'!$D$8))/4+INDEX(BookQ2,2078)*(5-MIN(4,2+'5. Scenarios'!$D$8))/4+INDEX(BookQ3,2078)*(5-MIN(4,3+'5. Scenarios'!$D$8))/4+INDEX(BookQ4,2078)*(5-MIN(4,4+'5. Scenarios'!$D$8))/4)*'5. Scenarios'!$D$6/(1+ProductivityDefault*('5. Scenarios'!$D$11-1))+INDEX(BookOneOff,2078)*$N2083)</f>
        <v/>
      </c>
      <c r="S2083" s="56" t="str">
        <f aca="false">IF(INDEX(BookTitle,2078)="","",INDEX(BookTotal,2078)*'5. Scenarios'!$E$6/(1+ProductivityDefault*('5. Scenarios'!$E$11-1)))</f>
        <v/>
      </c>
      <c r="T2083" s="57" t="str">
        <f aca="false">IF($S2083="","",INDEX(BookRate,2078)*(1+'5. Scenarios'!$E$10)*$S2083)</f>
        <v/>
      </c>
      <c r="U2083" s="57" t="str">
        <f aca="false">IF($T2083="","",SUMIFS($T$6:$T$2405,$A$6:$A$2405,"&lt;="&amp;$A2083))</f>
        <v/>
      </c>
      <c r="V2083" s="57" t="str">
        <f aca="false">IF($T2083="","",IF($U2083&lt;=BankCostEnvelope*'5. Scenarios'!$E$7,1,0))</f>
        <v/>
      </c>
      <c r="W2083" s="57" t="str">
        <f aca="false">IF($S2083="","",INDEX(BookRate,2078)*(1+'5. Scenarios'!$E$10)*(INDEX(BookQ1,2078)*(5-MIN(4,1+'5. Scenarios'!$E$8))/4+INDEX(BookQ2,2078)*(5-MIN(4,2+'5. Scenarios'!$E$8))/4+INDEX(BookQ3,2078)*(5-MIN(4,3+'5. Scenarios'!$E$8))/4+INDEX(BookQ4,2078)*(5-MIN(4,4+'5. Scenarios'!$E$8))/4)*'5. Scenarios'!$E$6/(1+ProductivityDefault*('5. Scenarios'!$E$11-1))+INDEX(BookOneOff,2078)*$S2083)</f>
        <v/>
      </c>
    </row>
    <row r="2084" customFormat="false" ht="15" hidden="false" customHeight="false" outlineLevel="0" collapsed="false">
      <c r="A2084" s="0" t="str">
        <f aca="false">IF(INDEX(BookTitle,2079)="","",INDEX(BookKey,2079))</f>
        <v/>
      </c>
      <c r="B2084" s="0" t="str">
        <f aca="false">IF(INDEX(BookTitle,2079)="","",INDEX(BookGroup,2079))</f>
        <v/>
      </c>
      <c r="C2084" s="0" t="str">
        <f aca="false">IF(INDEX(BookTitle,2079)="","",INDEX(BookCategory,2079))</f>
        <v/>
      </c>
      <c r="D2084" s="56" t="str">
        <f aca="false">IF(INDEX(BookTitle,2079)="","",INDEX(BookTotal,2079)*'5. Scenarios'!$B$6/(1+ProductivityDefault*('5. Scenarios'!$B$11-1)))</f>
        <v/>
      </c>
      <c r="E2084" s="57" t="str">
        <f aca="false">IF($D2084="","",INDEX(BookRate,2079)*(1+'5. Scenarios'!$B$10)*$D2084)</f>
        <v/>
      </c>
      <c r="F2084" s="57" t="str">
        <f aca="false">IF($E2084="","",SUMIFS($E$6:$E$2405,$A$6:$A$2405,"&lt;="&amp;$A2084))</f>
        <v/>
      </c>
      <c r="G2084" s="57" t="str">
        <f aca="false">IF($E2084="","",IF($F2084&lt;=BankCostEnvelope*'5. Scenarios'!$B$7,1,0))</f>
        <v/>
      </c>
      <c r="H2084" s="57" t="str">
        <f aca="false">IF($D2084="","",INDEX(BookRate,2079)*(1+'5. Scenarios'!$B$10)*(INDEX(BookQ1,2079)*(5-MIN(4,1+'5. Scenarios'!$B$8))/4+INDEX(BookQ2,2079)*(5-MIN(4,2+'5. Scenarios'!$B$8))/4+INDEX(BookQ3,2079)*(5-MIN(4,3+'5. Scenarios'!$B$8))/4+INDEX(BookQ4,2079)*(5-MIN(4,4+'5. Scenarios'!$B$8))/4)*'5. Scenarios'!$B$6/(1+ProductivityDefault*('5. Scenarios'!$B$11-1))+INDEX(BookOneOff,2079)*$D2084)</f>
        <v/>
      </c>
      <c r="I2084" s="56" t="str">
        <f aca="false">IF(INDEX(BookTitle,2079)="","",INDEX(BookTotal,2079)*'5. Scenarios'!$C$6/(1+ProductivityDefault*('5. Scenarios'!$C$11-1)))</f>
        <v/>
      </c>
      <c r="J2084" s="57" t="str">
        <f aca="false">IF($I2084="","",INDEX(BookRate,2079)*(1+'5. Scenarios'!$C$10)*$I2084)</f>
        <v/>
      </c>
      <c r="K2084" s="57" t="str">
        <f aca="false">IF($J2084="","",SUMIFS($J$6:$J$2405,$A$6:$A$2405,"&lt;="&amp;$A2084))</f>
        <v/>
      </c>
      <c r="L2084" s="57" t="str">
        <f aca="false">IF($J2084="","",IF($K2084&lt;=BankCostEnvelope*'5. Scenarios'!$C$7,1,0))</f>
        <v/>
      </c>
      <c r="M2084" s="57" t="str">
        <f aca="false">IF($I2084="","",INDEX(BookRate,2079)*(1+'5. Scenarios'!$C$10)*(INDEX(BookQ1,2079)*(5-MIN(4,1+'5. Scenarios'!$C$8))/4+INDEX(BookQ2,2079)*(5-MIN(4,2+'5. Scenarios'!$C$8))/4+INDEX(BookQ3,2079)*(5-MIN(4,3+'5. Scenarios'!$C$8))/4+INDEX(BookQ4,2079)*(5-MIN(4,4+'5. Scenarios'!$C$8))/4)*'5. Scenarios'!$C$6/(1+ProductivityDefault*('5. Scenarios'!$C$11-1))+INDEX(BookOneOff,2079)*$I2084)</f>
        <v/>
      </c>
      <c r="N2084" s="56" t="str">
        <f aca="false">IF(INDEX(BookTitle,2079)="","",INDEX(BookTotal,2079)*'5. Scenarios'!$D$6/(1+ProductivityDefault*('5. Scenarios'!$D$11-1)))</f>
        <v/>
      </c>
      <c r="O2084" s="57" t="str">
        <f aca="false">IF($N2084="","",INDEX(BookRate,2079)*(1+'5. Scenarios'!$D$10)*$N2084)</f>
        <v/>
      </c>
      <c r="P2084" s="57" t="str">
        <f aca="false">IF($O2084="","",SUMIFS($O$6:$O$2405,$A$6:$A$2405,"&lt;="&amp;$A2084))</f>
        <v/>
      </c>
      <c r="Q2084" s="57" t="str">
        <f aca="false">IF($O2084="","",IF($P2084&lt;=BankCostEnvelope*'5. Scenarios'!$D$7,1,0))</f>
        <v/>
      </c>
      <c r="R2084" s="57" t="str">
        <f aca="false">IF($N2084="","",INDEX(BookRate,2079)*(1+'5. Scenarios'!$D$10)*(INDEX(BookQ1,2079)*(5-MIN(4,1+'5. Scenarios'!$D$8))/4+INDEX(BookQ2,2079)*(5-MIN(4,2+'5. Scenarios'!$D$8))/4+INDEX(BookQ3,2079)*(5-MIN(4,3+'5. Scenarios'!$D$8))/4+INDEX(BookQ4,2079)*(5-MIN(4,4+'5. Scenarios'!$D$8))/4)*'5. Scenarios'!$D$6/(1+ProductivityDefault*('5. Scenarios'!$D$11-1))+INDEX(BookOneOff,2079)*$N2084)</f>
        <v/>
      </c>
      <c r="S2084" s="56" t="str">
        <f aca="false">IF(INDEX(BookTitle,2079)="","",INDEX(BookTotal,2079)*'5. Scenarios'!$E$6/(1+ProductivityDefault*('5. Scenarios'!$E$11-1)))</f>
        <v/>
      </c>
      <c r="T2084" s="57" t="str">
        <f aca="false">IF($S2084="","",INDEX(BookRate,2079)*(1+'5. Scenarios'!$E$10)*$S2084)</f>
        <v/>
      </c>
      <c r="U2084" s="57" t="str">
        <f aca="false">IF($T2084="","",SUMIFS($T$6:$T$2405,$A$6:$A$2405,"&lt;="&amp;$A2084))</f>
        <v/>
      </c>
      <c r="V2084" s="57" t="str">
        <f aca="false">IF($T2084="","",IF($U2084&lt;=BankCostEnvelope*'5. Scenarios'!$E$7,1,0))</f>
        <v/>
      </c>
      <c r="W2084" s="57" t="str">
        <f aca="false">IF($S2084="","",INDEX(BookRate,2079)*(1+'5. Scenarios'!$E$10)*(INDEX(BookQ1,2079)*(5-MIN(4,1+'5. Scenarios'!$E$8))/4+INDEX(BookQ2,2079)*(5-MIN(4,2+'5. Scenarios'!$E$8))/4+INDEX(BookQ3,2079)*(5-MIN(4,3+'5. Scenarios'!$E$8))/4+INDEX(BookQ4,2079)*(5-MIN(4,4+'5. Scenarios'!$E$8))/4)*'5. Scenarios'!$E$6/(1+ProductivityDefault*('5. Scenarios'!$E$11-1))+INDEX(BookOneOff,2079)*$S2084)</f>
        <v/>
      </c>
    </row>
    <row r="2085" customFormat="false" ht="15" hidden="false" customHeight="false" outlineLevel="0" collapsed="false">
      <c r="A2085" s="0" t="str">
        <f aca="false">IF(INDEX(BookTitle,2080)="","",INDEX(BookKey,2080))</f>
        <v/>
      </c>
      <c r="B2085" s="0" t="str">
        <f aca="false">IF(INDEX(BookTitle,2080)="","",INDEX(BookGroup,2080))</f>
        <v/>
      </c>
      <c r="C2085" s="0" t="str">
        <f aca="false">IF(INDEX(BookTitle,2080)="","",INDEX(BookCategory,2080))</f>
        <v/>
      </c>
      <c r="D2085" s="56" t="str">
        <f aca="false">IF(INDEX(BookTitle,2080)="","",INDEX(BookTotal,2080)*'5. Scenarios'!$B$6/(1+ProductivityDefault*('5. Scenarios'!$B$11-1)))</f>
        <v/>
      </c>
      <c r="E2085" s="57" t="str">
        <f aca="false">IF($D2085="","",INDEX(BookRate,2080)*(1+'5. Scenarios'!$B$10)*$D2085)</f>
        <v/>
      </c>
      <c r="F2085" s="57" t="str">
        <f aca="false">IF($E2085="","",SUMIFS($E$6:$E$2405,$A$6:$A$2405,"&lt;="&amp;$A2085))</f>
        <v/>
      </c>
      <c r="G2085" s="57" t="str">
        <f aca="false">IF($E2085="","",IF($F2085&lt;=BankCostEnvelope*'5. Scenarios'!$B$7,1,0))</f>
        <v/>
      </c>
      <c r="H2085" s="57" t="str">
        <f aca="false">IF($D2085="","",INDEX(BookRate,2080)*(1+'5. Scenarios'!$B$10)*(INDEX(BookQ1,2080)*(5-MIN(4,1+'5. Scenarios'!$B$8))/4+INDEX(BookQ2,2080)*(5-MIN(4,2+'5. Scenarios'!$B$8))/4+INDEX(BookQ3,2080)*(5-MIN(4,3+'5. Scenarios'!$B$8))/4+INDEX(BookQ4,2080)*(5-MIN(4,4+'5. Scenarios'!$B$8))/4)*'5. Scenarios'!$B$6/(1+ProductivityDefault*('5. Scenarios'!$B$11-1))+INDEX(BookOneOff,2080)*$D2085)</f>
        <v/>
      </c>
      <c r="I2085" s="56" t="str">
        <f aca="false">IF(INDEX(BookTitle,2080)="","",INDEX(BookTotal,2080)*'5. Scenarios'!$C$6/(1+ProductivityDefault*('5. Scenarios'!$C$11-1)))</f>
        <v/>
      </c>
      <c r="J2085" s="57" t="str">
        <f aca="false">IF($I2085="","",INDEX(BookRate,2080)*(1+'5. Scenarios'!$C$10)*$I2085)</f>
        <v/>
      </c>
      <c r="K2085" s="57" t="str">
        <f aca="false">IF($J2085="","",SUMIFS($J$6:$J$2405,$A$6:$A$2405,"&lt;="&amp;$A2085))</f>
        <v/>
      </c>
      <c r="L2085" s="57" t="str">
        <f aca="false">IF($J2085="","",IF($K2085&lt;=BankCostEnvelope*'5. Scenarios'!$C$7,1,0))</f>
        <v/>
      </c>
      <c r="M2085" s="57" t="str">
        <f aca="false">IF($I2085="","",INDEX(BookRate,2080)*(1+'5. Scenarios'!$C$10)*(INDEX(BookQ1,2080)*(5-MIN(4,1+'5. Scenarios'!$C$8))/4+INDEX(BookQ2,2080)*(5-MIN(4,2+'5. Scenarios'!$C$8))/4+INDEX(BookQ3,2080)*(5-MIN(4,3+'5. Scenarios'!$C$8))/4+INDEX(BookQ4,2080)*(5-MIN(4,4+'5. Scenarios'!$C$8))/4)*'5. Scenarios'!$C$6/(1+ProductivityDefault*('5. Scenarios'!$C$11-1))+INDEX(BookOneOff,2080)*$I2085)</f>
        <v/>
      </c>
      <c r="N2085" s="56" t="str">
        <f aca="false">IF(INDEX(BookTitle,2080)="","",INDEX(BookTotal,2080)*'5. Scenarios'!$D$6/(1+ProductivityDefault*('5. Scenarios'!$D$11-1)))</f>
        <v/>
      </c>
      <c r="O2085" s="57" t="str">
        <f aca="false">IF($N2085="","",INDEX(BookRate,2080)*(1+'5. Scenarios'!$D$10)*$N2085)</f>
        <v/>
      </c>
      <c r="P2085" s="57" t="str">
        <f aca="false">IF($O2085="","",SUMIFS($O$6:$O$2405,$A$6:$A$2405,"&lt;="&amp;$A2085))</f>
        <v/>
      </c>
      <c r="Q2085" s="57" t="str">
        <f aca="false">IF($O2085="","",IF($P2085&lt;=BankCostEnvelope*'5. Scenarios'!$D$7,1,0))</f>
        <v/>
      </c>
      <c r="R2085" s="57" t="str">
        <f aca="false">IF($N2085="","",INDEX(BookRate,2080)*(1+'5. Scenarios'!$D$10)*(INDEX(BookQ1,2080)*(5-MIN(4,1+'5. Scenarios'!$D$8))/4+INDEX(BookQ2,2080)*(5-MIN(4,2+'5. Scenarios'!$D$8))/4+INDEX(BookQ3,2080)*(5-MIN(4,3+'5. Scenarios'!$D$8))/4+INDEX(BookQ4,2080)*(5-MIN(4,4+'5. Scenarios'!$D$8))/4)*'5. Scenarios'!$D$6/(1+ProductivityDefault*('5. Scenarios'!$D$11-1))+INDEX(BookOneOff,2080)*$N2085)</f>
        <v/>
      </c>
      <c r="S2085" s="56" t="str">
        <f aca="false">IF(INDEX(BookTitle,2080)="","",INDEX(BookTotal,2080)*'5. Scenarios'!$E$6/(1+ProductivityDefault*('5. Scenarios'!$E$11-1)))</f>
        <v/>
      </c>
      <c r="T2085" s="57" t="str">
        <f aca="false">IF($S2085="","",INDEX(BookRate,2080)*(1+'5. Scenarios'!$E$10)*$S2085)</f>
        <v/>
      </c>
      <c r="U2085" s="57" t="str">
        <f aca="false">IF($T2085="","",SUMIFS($T$6:$T$2405,$A$6:$A$2405,"&lt;="&amp;$A2085))</f>
        <v/>
      </c>
      <c r="V2085" s="57" t="str">
        <f aca="false">IF($T2085="","",IF($U2085&lt;=BankCostEnvelope*'5. Scenarios'!$E$7,1,0))</f>
        <v/>
      </c>
      <c r="W2085" s="57" t="str">
        <f aca="false">IF($S2085="","",INDEX(BookRate,2080)*(1+'5. Scenarios'!$E$10)*(INDEX(BookQ1,2080)*(5-MIN(4,1+'5. Scenarios'!$E$8))/4+INDEX(BookQ2,2080)*(5-MIN(4,2+'5. Scenarios'!$E$8))/4+INDEX(BookQ3,2080)*(5-MIN(4,3+'5. Scenarios'!$E$8))/4+INDEX(BookQ4,2080)*(5-MIN(4,4+'5. Scenarios'!$E$8))/4)*'5. Scenarios'!$E$6/(1+ProductivityDefault*('5. Scenarios'!$E$11-1))+INDEX(BookOneOff,2080)*$S2085)</f>
        <v/>
      </c>
    </row>
    <row r="2086" customFormat="false" ht="15" hidden="false" customHeight="false" outlineLevel="0" collapsed="false">
      <c r="A2086" s="0" t="str">
        <f aca="false">IF(INDEX(BookTitle,2081)="","",INDEX(BookKey,2081))</f>
        <v/>
      </c>
      <c r="B2086" s="0" t="str">
        <f aca="false">IF(INDEX(BookTitle,2081)="","",INDEX(BookGroup,2081))</f>
        <v/>
      </c>
      <c r="C2086" s="0" t="str">
        <f aca="false">IF(INDEX(BookTitle,2081)="","",INDEX(BookCategory,2081))</f>
        <v/>
      </c>
      <c r="D2086" s="56" t="str">
        <f aca="false">IF(INDEX(BookTitle,2081)="","",INDEX(BookTotal,2081)*'5. Scenarios'!$B$6/(1+ProductivityDefault*('5. Scenarios'!$B$11-1)))</f>
        <v/>
      </c>
      <c r="E2086" s="57" t="str">
        <f aca="false">IF($D2086="","",INDEX(BookRate,2081)*(1+'5. Scenarios'!$B$10)*$D2086)</f>
        <v/>
      </c>
      <c r="F2086" s="57" t="str">
        <f aca="false">IF($E2086="","",SUMIFS($E$6:$E$2405,$A$6:$A$2405,"&lt;="&amp;$A2086))</f>
        <v/>
      </c>
      <c r="G2086" s="57" t="str">
        <f aca="false">IF($E2086="","",IF($F2086&lt;=BankCostEnvelope*'5. Scenarios'!$B$7,1,0))</f>
        <v/>
      </c>
      <c r="H2086" s="57" t="str">
        <f aca="false">IF($D2086="","",INDEX(BookRate,2081)*(1+'5. Scenarios'!$B$10)*(INDEX(BookQ1,2081)*(5-MIN(4,1+'5. Scenarios'!$B$8))/4+INDEX(BookQ2,2081)*(5-MIN(4,2+'5. Scenarios'!$B$8))/4+INDEX(BookQ3,2081)*(5-MIN(4,3+'5. Scenarios'!$B$8))/4+INDEX(BookQ4,2081)*(5-MIN(4,4+'5. Scenarios'!$B$8))/4)*'5. Scenarios'!$B$6/(1+ProductivityDefault*('5. Scenarios'!$B$11-1))+INDEX(BookOneOff,2081)*$D2086)</f>
        <v/>
      </c>
      <c r="I2086" s="56" t="str">
        <f aca="false">IF(INDEX(BookTitle,2081)="","",INDEX(BookTotal,2081)*'5. Scenarios'!$C$6/(1+ProductivityDefault*('5. Scenarios'!$C$11-1)))</f>
        <v/>
      </c>
      <c r="J2086" s="57" t="str">
        <f aca="false">IF($I2086="","",INDEX(BookRate,2081)*(1+'5. Scenarios'!$C$10)*$I2086)</f>
        <v/>
      </c>
      <c r="K2086" s="57" t="str">
        <f aca="false">IF($J2086="","",SUMIFS($J$6:$J$2405,$A$6:$A$2405,"&lt;="&amp;$A2086))</f>
        <v/>
      </c>
      <c r="L2086" s="57" t="str">
        <f aca="false">IF($J2086="","",IF($K2086&lt;=BankCostEnvelope*'5. Scenarios'!$C$7,1,0))</f>
        <v/>
      </c>
      <c r="M2086" s="57" t="str">
        <f aca="false">IF($I2086="","",INDEX(BookRate,2081)*(1+'5. Scenarios'!$C$10)*(INDEX(BookQ1,2081)*(5-MIN(4,1+'5. Scenarios'!$C$8))/4+INDEX(BookQ2,2081)*(5-MIN(4,2+'5. Scenarios'!$C$8))/4+INDEX(BookQ3,2081)*(5-MIN(4,3+'5. Scenarios'!$C$8))/4+INDEX(BookQ4,2081)*(5-MIN(4,4+'5. Scenarios'!$C$8))/4)*'5. Scenarios'!$C$6/(1+ProductivityDefault*('5. Scenarios'!$C$11-1))+INDEX(BookOneOff,2081)*$I2086)</f>
        <v/>
      </c>
      <c r="N2086" s="56" t="str">
        <f aca="false">IF(INDEX(BookTitle,2081)="","",INDEX(BookTotal,2081)*'5. Scenarios'!$D$6/(1+ProductivityDefault*('5. Scenarios'!$D$11-1)))</f>
        <v/>
      </c>
      <c r="O2086" s="57" t="str">
        <f aca="false">IF($N2086="","",INDEX(BookRate,2081)*(1+'5. Scenarios'!$D$10)*$N2086)</f>
        <v/>
      </c>
      <c r="P2086" s="57" t="str">
        <f aca="false">IF($O2086="","",SUMIFS($O$6:$O$2405,$A$6:$A$2405,"&lt;="&amp;$A2086))</f>
        <v/>
      </c>
      <c r="Q2086" s="57" t="str">
        <f aca="false">IF($O2086="","",IF($P2086&lt;=BankCostEnvelope*'5. Scenarios'!$D$7,1,0))</f>
        <v/>
      </c>
      <c r="R2086" s="57" t="str">
        <f aca="false">IF($N2086="","",INDEX(BookRate,2081)*(1+'5. Scenarios'!$D$10)*(INDEX(BookQ1,2081)*(5-MIN(4,1+'5. Scenarios'!$D$8))/4+INDEX(BookQ2,2081)*(5-MIN(4,2+'5. Scenarios'!$D$8))/4+INDEX(BookQ3,2081)*(5-MIN(4,3+'5. Scenarios'!$D$8))/4+INDEX(BookQ4,2081)*(5-MIN(4,4+'5. Scenarios'!$D$8))/4)*'5. Scenarios'!$D$6/(1+ProductivityDefault*('5. Scenarios'!$D$11-1))+INDEX(BookOneOff,2081)*$N2086)</f>
        <v/>
      </c>
      <c r="S2086" s="56" t="str">
        <f aca="false">IF(INDEX(BookTitle,2081)="","",INDEX(BookTotal,2081)*'5. Scenarios'!$E$6/(1+ProductivityDefault*('5. Scenarios'!$E$11-1)))</f>
        <v/>
      </c>
      <c r="T2086" s="57" t="str">
        <f aca="false">IF($S2086="","",INDEX(BookRate,2081)*(1+'5. Scenarios'!$E$10)*$S2086)</f>
        <v/>
      </c>
      <c r="U2086" s="57" t="str">
        <f aca="false">IF($T2086="","",SUMIFS($T$6:$T$2405,$A$6:$A$2405,"&lt;="&amp;$A2086))</f>
        <v/>
      </c>
      <c r="V2086" s="57" t="str">
        <f aca="false">IF($T2086="","",IF($U2086&lt;=BankCostEnvelope*'5. Scenarios'!$E$7,1,0))</f>
        <v/>
      </c>
      <c r="W2086" s="57" t="str">
        <f aca="false">IF($S2086="","",INDEX(BookRate,2081)*(1+'5. Scenarios'!$E$10)*(INDEX(BookQ1,2081)*(5-MIN(4,1+'5. Scenarios'!$E$8))/4+INDEX(BookQ2,2081)*(5-MIN(4,2+'5. Scenarios'!$E$8))/4+INDEX(BookQ3,2081)*(5-MIN(4,3+'5. Scenarios'!$E$8))/4+INDEX(BookQ4,2081)*(5-MIN(4,4+'5. Scenarios'!$E$8))/4)*'5. Scenarios'!$E$6/(1+ProductivityDefault*('5. Scenarios'!$E$11-1))+INDEX(BookOneOff,2081)*$S2086)</f>
        <v/>
      </c>
    </row>
    <row r="2087" customFormat="false" ht="15" hidden="false" customHeight="false" outlineLevel="0" collapsed="false">
      <c r="A2087" s="0" t="str">
        <f aca="false">IF(INDEX(BookTitle,2082)="","",INDEX(BookKey,2082))</f>
        <v/>
      </c>
      <c r="B2087" s="0" t="str">
        <f aca="false">IF(INDEX(BookTitle,2082)="","",INDEX(BookGroup,2082))</f>
        <v/>
      </c>
      <c r="C2087" s="0" t="str">
        <f aca="false">IF(INDEX(BookTitle,2082)="","",INDEX(BookCategory,2082))</f>
        <v/>
      </c>
      <c r="D2087" s="56" t="str">
        <f aca="false">IF(INDEX(BookTitle,2082)="","",INDEX(BookTotal,2082)*'5. Scenarios'!$B$6/(1+ProductivityDefault*('5. Scenarios'!$B$11-1)))</f>
        <v/>
      </c>
      <c r="E2087" s="57" t="str">
        <f aca="false">IF($D2087="","",INDEX(BookRate,2082)*(1+'5. Scenarios'!$B$10)*$D2087)</f>
        <v/>
      </c>
      <c r="F2087" s="57" t="str">
        <f aca="false">IF($E2087="","",SUMIFS($E$6:$E$2405,$A$6:$A$2405,"&lt;="&amp;$A2087))</f>
        <v/>
      </c>
      <c r="G2087" s="57" t="str">
        <f aca="false">IF($E2087="","",IF($F2087&lt;=BankCostEnvelope*'5. Scenarios'!$B$7,1,0))</f>
        <v/>
      </c>
      <c r="H2087" s="57" t="str">
        <f aca="false">IF($D2087="","",INDEX(BookRate,2082)*(1+'5. Scenarios'!$B$10)*(INDEX(BookQ1,2082)*(5-MIN(4,1+'5. Scenarios'!$B$8))/4+INDEX(BookQ2,2082)*(5-MIN(4,2+'5. Scenarios'!$B$8))/4+INDEX(BookQ3,2082)*(5-MIN(4,3+'5. Scenarios'!$B$8))/4+INDEX(BookQ4,2082)*(5-MIN(4,4+'5. Scenarios'!$B$8))/4)*'5. Scenarios'!$B$6/(1+ProductivityDefault*('5. Scenarios'!$B$11-1))+INDEX(BookOneOff,2082)*$D2087)</f>
        <v/>
      </c>
      <c r="I2087" s="56" t="str">
        <f aca="false">IF(INDEX(BookTitle,2082)="","",INDEX(BookTotal,2082)*'5. Scenarios'!$C$6/(1+ProductivityDefault*('5. Scenarios'!$C$11-1)))</f>
        <v/>
      </c>
      <c r="J2087" s="57" t="str">
        <f aca="false">IF($I2087="","",INDEX(BookRate,2082)*(1+'5. Scenarios'!$C$10)*$I2087)</f>
        <v/>
      </c>
      <c r="K2087" s="57" t="str">
        <f aca="false">IF($J2087="","",SUMIFS($J$6:$J$2405,$A$6:$A$2405,"&lt;="&amp;$A2087))</f>
        <v/>
      </c>
      <c r="L2087" s="57" t="str">
        <f aca="false">IF($J2087="","",IF($K2087&lt;=BankCostEnvelope*'5. Scenarios'!$C$7,1,0))</f>
        <v/>
      </c>
      <c r="M2087" s="57" t="str">
        <f aca="false">IF($I2087="","",INDEX(BookRate,2082)*(1+'5. Scenarios'!$C$10)*(INDEX(BookQ1,2082)*(5-MIN(4,1+'5. Scenarios'!$C$8))/4+INDEX(BookQ2,2082)*(5-MIN(4,2+'5. Scenarios'!$C$8))/4+INDEX(BookQ3,2082)*(5-MIN(4,3+'5. Scenarios'!$C$8))/4+INDEX(BookQ4,2082)*(5-MIN(4,4+'5. Scenarios'!$C$8))/4)*'5. Scenarios'!$C$6/(1+ProductivityDefault*('5. Scenarios'!$C$11-1))+INDEX(BookOneOff,2082)*$I2087)</f>
        <v/>
      </c>
      <c r="N2087" s="56" t="str">
        <f aca="false">IF(INDEX(BookTitle,2082)="","",INDEX(BookTotal,2082)*'5. Scenarios'!$D$6/(1+ProductivityDefault*('5. Scenarios'!$D$11-1)))</f>
        <v/>
      </c>
      <c r="O2087" s="57" t="str">
        <f aca="false">IF($N2087="","",INDEX(BookRate,2082)*(1+'5. Scenarios'!$D$10)*$N2087)</f>
        <v/>
      </c>
      <c r="P2087" s="57" t="str">
        <f aca="false">IF($O2087="","",SUMIFS($O$6:$O$2405,$A$6:$A$2405,"&lt;="&amp;$A2087))</f>
        <v/>
      </c>
      <c r="Q2087" s="57" t="str">
        <f aca="false">IF($O2087="","",IF($P2087&lt;=BankCostEnvelope*'5. Scenarios'!$D$7,1,0))</f>
        <v/>
      </c>
      <c r="R2087" s="57" t="str">
        <f aca="false">IF($N2087="","",INDEX(BookRate,2082)*(1+'5. Scenarios'!$D$10)*(INDEX(BookQ1,2082)*(5-MIN(4,1+'5. Scenarios'!$D$8))/4+INDEX(BookQ2,2082)*(5-MIN(4,2+'5. Scenarios'!$D$8))/4+INDEX(BookQ3,2082)*(5-MIN(4,3+'5. Scenarios'!$D$8))/4+INDEX(BookQ4,2082)*(5-MIN(4,4+'5. Scenarios'!$D$8))/4)*'5. Scenarios'!$D$6/(1+ProductivityDefault*('5. Scenarios'!$D$11-1))+INDEX(BookOneOff,2082)*$N2087)</f>
        <v/>
      </c>
      <c r="S2087" s="56" t="str">
        <f aca="false">IF(INDEX(BookTitle,2082)="","",INDEX(BookTotal,2082)*'5. Scenarios'!$E$6/(1+ProductivityDefault*('5. Scenarios'!$E$11-1)))</f>
        <v/>
      </c>
      <c r="T2087" s="57" t="str">
        <f aca="false">IF($S2087="","",INDEX(BookRate,2082)*(1+'5. Scenarios'!$E$10)*$S2087)</f>
        <v/>
      </c>
      <c r="U2087" s="57" t="str">
        <f aca="false">IF($T2087="","",SUMIFS($T$6:$T$2405,$A$6:$A$2405,"&lt;="&amp;$A2087))</f>
        <v/>
      </c>
      <c r="V2087" s="57" t="str">
        <f aca="false">IF($T2087="","",IF($U2087&lt;=BankCostEnvelope*'5. Scenarios'!$E$7,1,0))</f>
        <v/>
      </c>
      <c r="W2087" s="57" t="str">
        <f aca="false">IF($S2087="","",INDEX(BookRate,2082)*(1+'5. Scenarios'!$E$10)*(INDEX(BookQ1,2082)*(5-MIN(4,1+'5. Scenarios'!$E$8))/4+INDEX(BookQ2,2082)*(5-MIN(4,2+'5. Scenarios'!$E$8))/4+INDEX(BookQ3,2082)*(5-MIN(4,3+'5. Scenarios'!$E$8))/4+INDEX(BookQ4,2082)*(5-MIN(4,4+'5. Scenarios'!$E$8))/4)*'5. Scenarios'!$E$6/(1+ProductivityDefault*('5. Scenarios'!$E$11-1))+INDEX(BookOneOff,2082)*$S2087)</f>
        <v/>
      </c>
    </row>
    <row r="2088" customFormat="false" ht="15" hidden="false" customHeight="false" outlineLevel="0" collapsed="false">
      <c r="A2088" s="0" t="str">
        <f aca="false">IF(INDEX(BookTitle,2083)="","",INDEX(BookKey,2083))</f>
        <v/>
      </c>
      <c r="B2088" s="0" t="str">
        <f aca="false">IF(INDEX(BookTitle,2083)="","",INDEX(BookGroup,2083))</f>
        <v/>
      </c>
      <c r="C2088" s="0" t="str">
        <f aca="false">IF(INDEX(BookTitle,2083)="","",INDEX(BookCategory,2083))</f>
        <v/>
      </c>
      <c r="D2088" s="56" t="str">
        <f aca="false">IF(INDEX(BookTitle,2083)="","",INDEX(BookTotal,2083)*'5. Scenarios'!$B$6/(1+ProductivityDefault*('5. Scenarios'!$B$11-1)))</f>
        <v/>
      </c>
      <c r="E2088" s="57" t="str">
        <f aca="false">IF($D2088="","",INDEX(BookRate,2083)*(1+'5. Scenarios'!$B$10)*$D2088)</f>
        <v/>
      </c>
      <c r="F2088" s="57" t="str">
        <f aca="false">IF($E2088="","",SUMIFS($E$6:$E$2405,$A$6:$A$2405,"&lt;="&amp;$A2088))</f>
        <v/>
      </c>
      <c r="G2088" s="57" t="str">
        <f aca="false">IF($E2088="","",IF($F2088&lt;=BankCostEnvelope*'5. Scenarios'!$B$7,1,0))</f>
        <v/>
      </c>
      <c r="H2088" s="57" t="str">
        <f aca="false">IF($D2088="","",INDEX(BookRate,2083)*(1+'5. Scenarios'!$B$10)*(INDEX(BookQ1,2083)*(5-MIN(4,1+'5. Scenarios'!$B$8))/4+INDEX(BookQ2,2083)*(5-MIN(4,2+'5. Scenarios'!$B$8))/4+INDEX(BookQ3,2083)*(5-MIN(4,3+'5. Scenarios'!$B$8))/4+INDEX(BookQ4,2083)*(5-MIN(4,4+'5. Scenarios'!$B$8))/4)*'5. Scenarios'!$B$6/(1+ProductivityDefault*('5. Scenarios'!$B$11-1))+INDEX(BookOneOff,2083)*$D2088)</f>
        <v/>
      </c>
      <c r="I2088" s="56" t="str">
        <f aca="false">IF(INDEX(BookTitle,2083)="","",INDEX(BookTotal,2083)*'5. Scenarios'!$C$6/(1+ProductivityDefault*('5. Scenarios'!$C$11-1)))</f>
        <v/>
      </c>
      <c r="J2088" s="57" t="str">
        <f aca="false">IF($I2088="","",INDEX(BookRate,2083)*(1+'5. Scenarios'!$C$10)*$I2088)</f>
        <v/>
      </c>
      <c r="K2088" s="57" t="str">
        <f aca="false">IF($J2088="","",SUMIFS($J$6:$J$2405,$A$6:$A$2405,"&lt;="&amp;$A2088))</f>
        <v/>
      </c>
      <c r="L2088" s="57" t="str">
        <f aca="false">IF($J2088="","",IF($K2088&lt;=BankCostEnvelope*'5. Scenarios'!$C$7,1,0))</f>
        <v/>
      </c>
      <c r="M2088" s="57" t="str">
        <f aca="false">IF($I2088="","",INDEX(BookRate,2083)*(1+'5. Scenarios'!$C$10)*(INDEX(BookQ1,2083)*(5-MIN(4,1+'5. Scenarios'!$C$8))/4+INDEX(BookQ2,2083)*(5-MIN(4,2+'5. Scenarios'!$C$8))/4+INDEX(BookQ3,2083)*(5-MIN(4,3+'5. Scenarios'!$C$8))/4+INDEX(BookQ4,2083)*(5-MIN(4,4+'5. Scenarios'!$C$8))/4)*'5. Scenarios'!$C$6/(1+ProductivityDefault*('5. Scenarios'!$C$11-1))+INDEX(BookOneOff,2083)*$I2088)</f>
        <v/>
      </c>
      <c r="N2088" s="56" t="str">
        <f aca="false">IF(INDEX(BookTitle,2083)="","",INDEX(BookTotal,2083)*'5. Scenarios'!$D$6/(1+ProductivityDefault*('5. Scenarios'!$D$11-1)))</f>
        <v/>
      </c>
      <c r="O2088" s="57" t="str">
        <f aca="false">IF($N2088="","",INDEX(BookRate,2083)*(1+'5. Scenarios'!$D$10)*$N2088)</f>
        <v/>
      </c>
      <c r="P2088" s="57" t="str">
        <f aca="false">IF($O2088="","",SUMIFS($O$6:$O$2405,$A$6:$A$2405,"&lt;="&amp;$A2088))</f>
        <v/>
      </c>
      <c r="Q2088" s="57" t="str">
        <f aca="false">IF($O2088="","",IF($P2088&lt;=BankCostEnvelope*'5. Scenarios'!$D$7,1,0))</f>
        <v/>
      </c>
      <c r="R2088" s="57" t="str">
        <f aca="false">IF($N2088="","",INDEX(BookRate,2083)*(1+'5. Scenarios'!$D$10)*(INDEX(BookQ1,2083)*(5-MIN(4,1+'5. Scenarios'!$D$8))/4+INDEX(BookQ2,2083)*(5-MIN(4,2+'5. Scenarios'!$D$8))/4+INDEX(BookQ3,2083)*(5-MIN(4,3+'5. Scenarios'!$D$8))/4+INDEX(BookQ4,2083)*(5-MIN(4,4+'5. Scenarios'!$D$8))/4)*'5. Scenarios'!$D$6/(1+ProductivityDefault*('5. Scenarios'!$D$11-1))+INDEX(BookOneOff,2083)*$N2088)</f>
        <v/>
      </c>
      <c r="S2088" s="56" t="str">
        <f aca="false">IF(INDEX(BookTitle,2083)="","",INDEX(BookTotal,2083)*'5. Scenarios'!$E$6/(1+ProductivityDefault*('5. Scenarios'!$E$11-1)))</f>
        <v/>
      </c>
      <c r="T2088" s="57" t="str">
        <f aca="false">IF($S2088="","",INDEX(BookRate,2083)*(1+'5. Scenarios'!$E$10)*$S2088)</f>
        <v/>
      </c>
      <c r="U2088" s="57" t="str">
        <f aca="false">IF($T2088="","",SUMIFS($T$6:$T$2405,$A$6:$A$2405,"&lt;="&amp;$A2088))</f>
        <v/>
      </c>
      <c r="V2088" s="57" t="str">
        <f aca="false">IF($T2088="","",IF($U2088&lt;=BankCostEnvelope*'5. Scenarios'!$E$7,1,0))</f>
        <v/>
      </c>
      <c r="W2088" s="57" t="str">
        <f aca="false">IF($S2088="","",INDEX(BookRate,2083)*(1+'5. Scenarios'!$E$10)*(INDEX(BookQ1,2083)*(5-MIN(4,1+'5. Scenarios'!$E$8))/4+INDEX(BookQ2,2083)*(5-MIN(4,2+'5. Scenarios'!$E$8))/4+INDEX(BookQ3,2083)*(5-MIN(4,3+'5. Scenarios'!$E$8))/4+INDEX(BookQ4,2083)*(5-MIN(4,4+'5. Scenarios'!$E$8))/4)*'5. Scenarios'!$E$6/(1+ProductivityDefault*('5. Scenarios'!$E$11-1))+INDEX(BookOneOff,2083)*$S2088)</f>
        <v/>
      </c>
    </row>
    <row r="2089" customFormat="false" ht="15" hidden="false" customHeight="false" outlineLevel="0" collapsed="false">
      <c r="A2089" s="0" t="str">
        <f aca="false">IF(INDEX(BookTitle,2084)="","",INDEX(BookKey,2084))</f>
        <v/>
      </c>
      <c r="B2089" s="0" t="str">
        <f aca="false">IF(INDEX(BookTitle,2084)="","",INDEX(BookGroup,2084))</f>
        <v/>
      </c>
      <c r="C2089" s="0" t="str">
        <f aca="false">IF(INDEX(BookTitle,2084)="","",INDEX(BookCategory,2084))</f>
        <v/>
      </c>
      <c r="D2089" s="56" t="str">
        <f aca="false">IF(INDEX(BookTitle,2084)="","",INDEX(BookTotal,2084)*'5. Scenarios'!$B$6/(1+ProductivityDefault*('5. Scenarios'!$B$11-1)))</f>
        <v/>
      </c>
      <c r="E2089" s="57" t="str">
        <f aca="false">IF($D2089="","",INDEX(BookRate,2084)*(1+'5. Scenarios'!$B$10)*$D2089)</f>
        <v/>
      </c>
      <c r="F2089" s="57" t="str">
        <f aca="false">IF($E2089="","",SUMIFS($E$6:$E$2405,$A$6:$A$2405,"&lt;="&amp;$A2089))</f>
        <v/>
      </c>
      <c r="G2089" s="57" t="str">
        <f aca="false">IF($E2089="","",IF($F2089&lt;=BankCostEnvelope*'5. Scenarios'!$B$7,1,0))</f>
        <v/>
      </c>
      <c r="H2089" s="57" t="str">
        <f aca="false">IF($D2089="","",INDEX(BookRate,2084)*(1+'5. Scenarios'!$B$10)*(INDEX(BookQ1,2084)*(5-MIN(4,1+'5. Scenarios'!$B$8))/4+INDEX(BookQ2,2084)*(5-MIN(4,2+'5. Scenarios'!$B$8))/4+INDEX(BookQ3,2084)*(5-MIN(4,3+'5. Scenarios'!$B$8))/4+INDEX(BookQ4,2084)*(5-MIN(4,4+'5. Scenarios'!$B$8))/4)*'5. Scenarios'!$B$6/(1+ProductivityDefault*('5. Scenarios'!$B$11-1))+INDEX(BookOneOff,2084)*$D2089)</f>
        <v/>
      </c>
      <c r="I2089" s="56" t="str">
        <f aca="false">IF(INDEX(BookTitle,2084)="","",INDEX(BookTotal,2084)*'5. Scenarios'!$C$6/(1+ProductivityDefault*('5. Scenarios'!$C$11-1)))</f>
        <v/>
      </c>
      <c r="J2089" s="57" t="str">
        <f aca="false">IF($I2089="","",INDEX(BookRate,2084)*(1+'5. Scenarios'!$C$10)*$I2089)</f>
        <v/>
      </c>
      <c r="K2089" s="57" t="str">
        <f aca="false">IF($J2089="","",SUMIFS($J$6:$J$2405,$A$6:$A$2405,"&lt;="&amp;$A2089))</f>
        <v/>
      </c>
      <c r="L2089" s="57" t="str">
        <f aca="false">IF($J2089="","",IF($K2089&lt;=BankCostEnvelope*'5. Scenarios'!$C$7,1,0))</f>
        <v/>
      </c>
      <c r="M2089" s="57" t="str">
        <f aca="false">IF($I2089="","",INDEX(BookRate,2084)*(1+'5. Scenarios'!$C$10)*(INDEX(BookQ1,2084)*(5-MIN(4,1+'5. Scenarios'!$C$8))/4+INDEX(BookQ2,2084)*(5-MIN(4,2+'5. Scenarios'!$C$8))/4+INDEX(BookQ3,2084)*(5-MIN(4,3+'5. Scenarios'!$C$8))/4+INDEX(BookQ4,2084)*(5-MIN(4,4+'5. Scenarios'!$C$8))/4)*'5. Scenarios'!$C$6/(1+ProductivityDefault*('5. Scenarios'!$C$11-1))+INDEX(BookOneOff,2084)*$I2089)</f>
        <v/>
      </c>
      <c r="N2089" s="56" t="str">
        <f aca="false">IF(INDEX(BookTitle,2084)="","",INDEX(BookTotal,2084)*'5. Scenarios'!$D$6/(1+ProductivityDefault*('5. Scenarios'!$D$11-1)))</f>
        <v/>
      </c>
      <c r="O2089" s="57" t="str">
        <f aca="false">IF($N2089="","",INDEX(BookRate,2084)*(1+'5. Scenarios'!$D$10)*$N2089)</f>
        <v/>
      </c>
      <c r="P2089" s="57" t="str">
        <f aca="false">IF($O2089="","",SUMIFS($O$6:$O$2405,$A$6:$A$2405,"&lt;="&amp;$A2089))</f>
        <v/>
      </c>
      <c r="Q2089" s="57" t="str">
        <f aca="false">IF($O2089="","",IF($P2089&lt;=BankCostEnvelope*'5. Scenarios'!$D$7,1,0))</f>
        <v/>
      </c>
      <c r="R2089" s="57" t="str">
        <f aca="false">IF($N2089="","",INDEX(BookRate,2084)*(1+'5. Scenarios'!$D$10)*(INDEX(BookQ1,2084)*(5-MIN(4,1+'5. Scenarios'!$D$8))/4+INDEX(BookQ2,2084)*(5-MIN(4,2+'5. Scenarios'!$D$8))/4+INDEX(BookQ3,2084)*(5-MIN(4,3+'5. Scenarios'!$D$8))/4+INDEX(BookQ4,2084)*(5-MIN(4,4+'5. Scenarios'!$D$8))/4)*'5. Scenarios'!$D$6/(1+ProductivityDefault*('5. Scenarios'!$D$11-1))+INDEX(BookOneOff,2084)*$N2089)</f>
        <v/>
      </c>
      <c r="S2089" s="56" t="str">
        <f aca="false">IF(INDEX(BookTitle,2084)="","",INDEX(BookTotal,2084)*'5. Scenarios'!$E$6/(1+ProductivityDefault*('5. Scenarios'!$E$11-1)))</f>
        <v/>
      </c>
      <c r="T2089" s="57" t="str">
        <f aca="false">IF($S2089="","",INDEX(BookRate,2084)*(1+'5. Scenarios'!$E$10)*$S2089)</f>
        <v/>
      </c>
      <c r="U2089" s="57" t="str">
        <f aca="false">IF($T2089="","",SUMIFS($T$6:$T$2405,$A$6:$A$2405,"&lt;="&amp;$A2089))</f>
        <v/>
      </c>
      <c r="V2089" s="57" t="str">
        <f aca="false">IF($T2089="","",IF($U2089&lt;=BankCostEnvelope*'5. Scenarios'!$E$7,1,0))</f>
        <v/>
      </c>
      <c r="W2089" s="57" t="str">
        <f aca="false">IF($S2089="","",INDEX(BookRate,2084)*(1+'5. Scenarios'!$E$10)*(INDEX(BookQ1,2084)*(5-MIN(4,1+'5. Scenarios'!$E$8))/4+INDEX(BookQ2,2084)*(5-MIN(4,2+'5. Scenarios'!$E$8))/4+INDEX(BookQ3,2084)*(5-MIN(4,3+'5. Scenarios'!$E$8))/4+INDEX(BookQ4,2084)*(5-MIN(4,4+'5. Scenarios'!$E$8))/4)*'5. Scenarios'!$E$6/(1+ProductivityDefault*('5. Scenarios'!$E$11-1))+INDEX(BookOneOff,2084)*$S2089)</f>
        <v/>
      </c>
    </row>
    <row r="2090" customFormat="false" ht="15" hidden="false" customHeight="false" outlineLevel="0" collapsed="false">
      <c r="A2090" s="0" t="str">
        <f aca="false">IF(INDEX(BookTitle,2085)="","",INDEX(BookKey,2085))</f>
        <v/>
      </c>
      <c r="B2090" s="0" t="str">
        <f aca="false">IF(INDEX(BookTitle,2085)="","",INDEX(BookGroup,2085))</f>
        <v/>
      </c>
      <c r="C2090" s="0" t="str">
        <f aca="false">IF(INDEX(BookTitle,2085)="","",INDEX(BookCategory,2085))</f>
        <v/>
      </c>
      <c r="D2090" s="56" t="str">
        <f aca="false">IF(INDEX(BookTitle,2085)="","",INDEX(BookTotal,2085)*'5. Scenarios'!$B$6/(1+ProductivityDefault*('5. Scenarios'!$B$11-1)))</f>
        <v/>
      </c>
      <c r="E2090" s="57" t="str">
        <f aca="false">IF($D2090="","",INDEX(BookRate,2085)*(1+'5. Scenarios'!$B$10)*$D2090)</f>
        <v/>
      </c>
      <c r="F2090" s="57" t="str">
        <f aca="false">IF($E2090="","",SUMIFS($E$6:$E$2405,$A$6:$A$2405,"&lt;="&amp;$A2090))</f>
        <v/>
      </c>
      <c r="G2090" s="57" t="str">
        <f aca="false">IF($E2090="","",IF($F2090&lt;=BankCostEnvelope*'5. Scenarios'!$B$7,1,0))</f>
        <v/>
      </c>
      <c r="H2090" s="57" t="str">
        <f aca="false">IF($D2090="","",INDEX(BookRate,2085)*(1+'5. Scenarios'!$B$10)*(INDEX(BookQ1,2085)*(5-MIN(4,1+'5. Scenarios'!$B$8))/4+INDEX(BookQ2,2085)*(5-MIN(4,2+'5. Scenarios'!$B$8))/4+INDEX(BookQ3,2085)*(5-MIN(4,3+'5. Scenarios'!$B$8))/4+INDEX(BookQ4,2085)*(5-MIN(4,4+'5. Scenarios'!$B$8))/4)*'5. Scenarios'!$B$6/(1+ProductivityDefault*('5. Scenarios'!$B$11-1))+INDEX(BookOneOff,2085)*$D2090)</f>
        <v/>
      </c>
      <c r="I2090" s="56" t="str">
        <f aca="false">IF(INDEX(BookTitle,2085)="","",INDEX(BookTotal,2085)*'5. Scenarios'!$C$6/(1+ProductivityDefault*('5. Scenarios'!$C$11-1)))</f>
        <v/>
      </c>
      <c r="J2090" s="57" t="str">
        <f aca="false">IF($I2090="","",INDEX(BookRate,2085)*(1+'5. Scenarios'!$C$10)*$I2090)</f>
        <v/>
      </c>
      <c r="K2090" s="57" t="str">
        <f aca="false">IF($J2090="","",SUMIFS($J$6:$J$2405,$A$6:$A$2405,"&lt;="&amp;$A2090))</f>
        <v/>
      </c>
      <c r="L2090" s="57" t="str">
        <f aca="false">IF($J2090="","",IF($K2090&lt;=BankCostEnvelope*'5. Scenarios'!$C$7,1,0))</f>
        <v/>
      </c>
      <c r="M2090" s="57" t="str">
        <f aca="false">IF($I2090="","",INDEX(BookRate,2085)*(1+'5. Scenarios'!$C$10)*(INDEX(BookQ1,2085)*(5-MIN(4,1+'5. Scenarios'!$C$8))/4+INDEX(BookQ2,2085)*(5-MIN(4,2+'5. Scenarios'!$C$8))/4+INDEX(BookQ3,2085)*(5-MIN(4,3+'5. Scenarios'!$C$8))/4+INDEX(BookQ4,2085)*(5-MIN(4,4+'5. Scenarios'!$C$8))/4)*'5. Scenarios'!$C$6/(1+ProductivityDefault*('5. Scenarios'!$C$11-1))+INDEX(BookOneOff,2085)*$I2090)</f>
        <v/>
      </c>
      <c r="N2090" s="56" t="str">
        <f aca="false">IF(INDEX(BookTitle,2085)="","",INDEX(BookTotal,2085)*'5. Scenarios'!$D$6/(1+ProductivityDefault*('5. Scenarios'!$D$11-1)))</f>
        <v/>
      </c>
      <c r="O2090" s="57" t="str">
        <f aca="false">IF($N2090="","",INDEX(BookRate,2085)*(1+'5. Scenarios'!$D$10)*$N2090)</f>
        <v/>
      </c>
      <c r="P2090" s="57" t="str">
        <f aca="false">IF($O2090="","",SUMIFS($O$6:$O$2405,$A$6:$A$2405,"&lt;="&amp;$A2090))</f>
        <v/>
      </c>
      <c r="Q2090" s="57" t="str">
        <f aca="false">IF($O2090="","",IF($P2090&lt;=BankCostEnvelope*'5. Scenarios'!$D$7,1,0))</f>
        <v/>
      </c>
      <c r="R2090" s="57" t="str">
        <f aca="false">IF($N2090="","",INDEX(BookRate,2085)*(1+'5. Scenarios'!$D$10)*(INDEX(BookQ1,2085)*(5-MIN(4,1+'5. Scenarios'!$D$8))/4+INDEX(BookQ2,2085)*(5-MIN(4,2+'5. Scenarios'!$D$8))/4+INDEX(BookQ3,2085)*(5-MIN(4,3+'5. Scenarios'!$D$8))/4+INDEX(BookQ4,2085)*(5-MIN(4,4+'5. Scenarios'!$D$8))/4)*'5. Scenarios'!$D$6/(1+ProductivityDefault*('5. Scenarios'!$D$11-1))+INDEX(BookOneOff,2085)*$N2090)</f>
        <v/>
      </c>
      <c r="S2090" s="56" t="str">
        <f aca="false">IF(INDEX(BookTitle,2085)="","",INDEX(BookTotal,2085)*'5. Scenarios'!$E$6/(1+ProductivityDefault*('5. Scenarios'!$E$11-1)))</f>
        <v/>
      </c>
      <c r="T2090" s="57" t="str">
        <f aca="false">IF($S2090="","",INDEX(BookRate,2085)*(1+'5. Scenarios'!$E$10)*$S2090)</f>
        <v/>
      </c>
      <c r="U2090" s="57" t="str">
        <f aca="false">IF($T2090="","",SUMIFS($T$6:$T$2405,$A$6:$A$2405,"&lt;="&amp;$A2090))</f>
        <v/>
      </c>
      <c r="V2090" s="57" t="str">
        <f aca="false">IF($T2090="","",IF($U2090&lt;=BankCostEnvelope*'5. Scenarios'!$E$7,1,0))</f>
        <v/>
      </c>
      <c r="W2090" s="57" t="str">
        <f aca="false">IF($S2090="","",INDEX(BookRate,2085)*(1+'5. Scenarios'!$E$10)*(INDEX(BookQ1,2085)*(5-MIN(4,1+'5. Scenarios'!$E$8))/4+INDEX(BookQ2,2085)*(5-MIN(4,2+'5. Scenarios'!$E$8))/4+INDEX(BookQ3,2085)*(5-MIN(4,3+'5. Scenarios'!$E$8))/4+INDEX(BookQ4,2085)*(5-MIN(4,4+'5. Scenarios'!$E$8))/4)*'5. Scenarios'!$E$6/(1+ProductivityDefault*('5. Scenarios'!$E$11-1))+INDEX(BookOneOff,2085)*$S2090)</f>
        <v/>
      </c>
    </row>
    <row r="2091" customFormat="false" ht="15" hidden="false" customHeight="false" outlineLevel="0" collapsed="false">
      <c r="A2091" s="0" t="str">
        <f aca="false">IF(INDEX(BookTitle,2086)="","",INDEX(BookKey,2086))</f>
        <v/>
      </c>
      <c r="B2091" s="0" t="str">
        <f aca="false">IF(INDEX(BookTitle,2086)="","",INDEX(BookGroup,2086))</f>
        <v/>
      </c>
      <c r="C2091" s="0" t="str">
        <f aca="false">IF(INDEX(BookTitle,2086)="","",INDEX(BookCategory,2086))</f>
        <v/>
      </c>
      <c r="D2091" s="56" t="str">
        <f aca="false">IF(INDEX(BookTitle,2086)="","",INDEX(BookTotal,2086)*'5. Scenarios'!$B$6/(1+ProductivityDefault*('5. Scenarios'!$B$11-1)))</f>
        <v/>
      </c>
      <c r="E2091" s="57" t="str">
        <f aca="false">IF($D2091="","",INDEX(BookRate,2086)*(1+'5. Scenarios'!$B$10)*$D2091)</f>
        <v/>
      </c>
      <c r="F2091" s="57" t="str">
        <f aca="false">IF($E2091="","",SUMIFS($E$6:$E$2405,$A$6:$A$2405,"&lt;="&amp;$A2091))</f>
        <v/>
      </c>
      <c r="G2091" s="57" t="str">
        <f aca="false">IF($E2091="","",IF($F2091&lt;=BankCostEnvelope*'5. Scenarios'!$B$7,1,0))</f>
        <v/>
      </c>
      <c r="H2091" s="57" t="str">
        <f aca="false">IF($D2091="","",INDEX(BookRate,2086)*(1+'5. Scenarios'!$B$10)*(INDEX(BookQ1,2086)*(5-MIN(4,1+'5. Scenarios'!$B$8))/4+INDEX(BookQ2,2086)*(5-MIN(4,2+'5. Scenarios'!$B$8))/4+INDEX(BookQ3,2086)*(5-MIN(4,3+'5. Scenarios'!$B$8))/4+INDEX(BookQ4,2086)*(5-MIN(4,4+'5. Scenarios'!$B$8))/4)*'5. Scenarios'!$B$6/(1+ProductivityDefault*('5. Scenarios'!$B$11-1))+INDEX(BookOneOff,2086)*$D2091)</f>
        <v/>
      </c>
      <c r="I2091" s="56" t="str">
        <f aca="false">IF(INDEX(BookTitle,2086)="","",INDEX(BookTotal,2086)*'5. Scenarios'!$C$6/(1+ProductivityDefault*('5. Scenarios'!$C$11-1)))</f>
        <v/>
      </c>
      <c r="J2091" s="57" t="str">
        <f aca="false">IF($I2091="","",INDEX(BookRate,2086)*(1+'5. Scenarios'!$C$10)*$I2091)</f>
        <v/>
      </c>
      <c r="K2091" s="57" t="str">
        <f aca="false">IF($J2091="","",SUMIFS($J$6:$J$2405,$A$6:$A$2405,"&lt;="&amp;$A2091))</f>
        <v/>
      </c>
      <c r="L2091" s="57" t="str">
        <f aca="false">IF($J2091="","",IF($K2091&lt;=BankCostEnvelope*'5. Scenarios'!$C$7,1,0))</f>
        <v/>
      </c>
      <c r="M2091" s="57" t="str">
        <f aca="false">IF($I2091="","",INDEX(BookRate,2086)*(1+'5. Scenarios'!$C$10)*(INDEX(BookQ1,2086)*(5-MIN(4,1+'5. Scenarios'!$C$8))/4+INDEX(BookQ2,2086)*(5-MIN(4,2+'5. Scenarios'!$C$8))/4+INDEX(BookQ3,2086)*(5-MIN(4,3+'5. Scenarios'!$C$8))/4+INDEX(BookQ4,2086)*(5-MIN(4,4+'5. Scenarios'!$C$8))/4)*'5. Scenarios'!$C$6/(1+ProductivityDefault*('5. Scenarios'!$C$11-1))+INDEX(BookOneOff,2086)*$I2091)</f>
        <v/>
      </c>
      <c r="N2091" s="56" t="str">
        <f aca="false">IF(INDEX(BookTitle,2086)="","",INDEX(BookTotal,2086)*'5. Scenarios'!$D$6/(1+ProductivityDefault*('5. Scenarios'!$D$11-1)))</f>
        <v/>
      </c>
      <c r="O2091" s="57" t="str">
        <f aca="false">IF($N2091="","",INDEX(BookRate,2086)*(1+'5. Scenarios'!$D$10)*$N2091)</f>
        <v/>
      </c>
      <c r="P2091" s="57" t="str">
        <f aca="false">IF($O2091="","",SUMIFS($O$6:$O$2405,$A$6:$A$2405,"&lt;="&amp;$A2091))</f>
        <v/>
      </c>
      <c r="Q2091" s="57" t="str">
        <f aca="false">IF($O2091="","",IF($P2091&lt;=BankCostEnvelope*'5. Scenarios'!$D$7,1,0))</f>
        <v/>
      </c>
      <c r="R2091" s="57" t="str">
        <f aca="false">IF($N2091="","",INDEX(BookRate,2086)*(1+'5. Scenarios'!$D$10)*(INDEX(BookQ1,2086)*(5-MIN(4,1+'5. Scenarios'!$D$8))/4+INDEX(BookQ2,2086)*(5-MIN(4,2+'5. Scenarios'!$D$8))/4+INDEX(BookQ3,2086)*(5-MIN(4,3+'5. Scenarios'!$D$8))/4+INDEX(BookQ4,2086)*(5-MIN(4,4+'5. Scenarios'!$D$8))/4)*'5. Scenarios'!$D$6/(1+ProductivityDefault*('5. Scenarios'!$D$11-1))+INDEX(BookOneOff,2086)*$N2091)</f>
        <v/>
      </c>
      <c r="S2091" s="56" t="str">
        <f aca="false">IF(INDEX(BookTitle,2086)="","",INDEX(BookTotal,2086)*'5. Scenarios'!$E$6/(1+ProductivityDefault*('5. Scenarios'!$E$11-1)))</f>
        <v/>
      </c>
      <c r="T2091" s="57" t="str">
        <f aca="false">IF($S2091="","",INDEX(BookRate,2086)*(1+'5. Scenarios'!$E$10)*$S2091)</f>
        <v/>
      </c>
      <c r="U2091" s="57" t="str">
        <f aca="false">IF($T2091="","",SUMIFS($T$6:$T$2405,$A$6:$A$2405,"&lt;="&amp;$A2091))</f>
        <v/>
      </c>
      <c r="V2091" s="57" t="str">
        <f aca="false">IF($T2091="","",IF($U2091&lt;=BankCostEnvelope*'5. Scenarios'!$E$7,1,0))</f>
        <v/>
      </c>
      <c r="W2091" s="57" t="str">
        <f aca="false">IF($S2091="","",INDEX(BookRate,2086)*(1+'5. Scenarios'!$E$10)*(INDEX(BookQ1,2086)*(5-MIN(4,1+'5. Scenarios'!$E$8))/4+INDEX(BookQ2,2086)*(5-MIN(4,2+'5. Scenarios'!$E$8))/4+INDEX(BookQ3,2086)*(5-MIN(4,3+'5. Scenarios'!$E$8))/4+INDEX(BookQ4,2086)*(5-MIN(4,4+'5. Scenarios'!$E$8))/4)*'5. Scenarios'!$E$6/(1+ProductivityDefault*('5. Scenarios'!$E$11-1))+INDEX(BookOneOff,2086)*$S2091)</f>
        <v/>
      </c>
    </row>
    <row r="2092" customFormat="false" ht="15" hidden="false" customHeight="false" outlineLevel="0" collapsed="false">
      <c r="A2092" s="0" t="str">
        <f aca="false">IF(INDEX(BookTitle,2087)="","",INDEX(BookKey,2087))</f>
        <v/>
      </c>
      <c r="B2092" s="0" t="str">
        <f aca="false">IF(INDEX(BookTitle,2087)="","",INDEX(BookGroup,2087))</f>
        <v/>
      </c>
      <c r="C2092" s="0" t="str">
        <f aca="false">IF(INDEX(BookTitle,2087)="","",INDEX(BookCategory,2087))</f>
        <v/>
      </c>
      <c r="D2092" s="56" t="str">
        <f aca="false">IF(INDEX(BookTitle,2087)="","",INDEX(BookTotal,2087)*'5. Scenarios'!$B$6/(1+ProductivityDefault*('5. Scenarios'!$B$11-1)))</f>
        <v/>
      </c>
      <c r="E2092" s="57" t="str">
        <f aca="false">IF($D2092="","",INDEX(BookRate,2087)*(1+'5. Scenarios'!$B$10)*$D2092)</f>
        <v/>
      </c>
      <c r="F2092" s="57" t="str">
        <f aca="false">IF($E2092="","",SUMIFS($E$6:$E$2405,$A$6:$A$2405,"&lt;="&amp;$A2092))</f>
        <v/>
      </c>
      <c r="G2092" s="57" t="str">
        <f aca="false">IF($E2092="","",IF($F2092&lt;=BankCostEnvelope*'5. Scenarios'!$B$7,1,0))</f>
        <v/>
      </c>
      <c r="H2092" s="57" t="str">
        <f aca="false">IF($D2092="","",INDEX(BookRate,2087)*(1+'5. Scenarios'!$B$10)*(INDEX(BookQ1,2087)*(5-MIN(4,1+'5. Scenarios'!$B$8))/4+INDEX(BookQ2,2087)*(5-MIN(4,2+'5. Scenarios'!$B$8))/4+INDEX(BookQ3,2087)*(5-MIN(4,3+'5. Scenarios'!$B$8))/4+INDEX(BookQ4,2087)*(5-MIN(4,4+'5. Scenarios'!$B$8))/4)*'5. Scenarios'!$B$6/(1+ProductivityDefault*('5. Scenarios'!$B$11-1))+INDEX(BookOneOff,2087)*$D2092)</f>
        <v/>
      </c>
      <c r="I2092" s="56" t="str">
        <f aca="false">IF(INDEX(BookTitle,2087)="","",INDEX(BookTotal,2087)*'5. Scenarios'!$C$6/(1+ProductivityDefault*('5. Scenarios'!$C$11-1)))</f>
        <v/>
      </c>
      <c r="J2092" s="57" t="str">
        <f aca="false">IF($I2092="","",INDEX(BookRate,2087)*(1+'5. Scenarios'!$C$10)*$I2092)</f>
        <v/>
      </c>
      <c r="K2092" s="57" t="str">
        <f aca="false">IF($J2092="","",SUMIFS($J$6:$J$2405,$A$6:$A$2405,"&lt;="&amp;$A2092))</f>
        <v/>
      </c>
      <c r="L2092" s="57" t="str">
        <f aca="false">IF($J2092="","",IF($K2092&lt;=BankCostEnvelope*'5. Scenarios'!$C$7,1,0))</f>
        <v/>
      </c>
      <c r="M2092" s="57" t="str">
        <f aca="false">IF($I2092="","",INDEX(BookRate,2087)*(1+'5. Scenarios'!$C$10)*(INDEX(BookQ1,2087)*(5-MIN(4,1+'5. Scenarios'!$C$8))/4+INDEX(BookQ2,2087)*(5-MIN(4,2+'5. Scenarios'!$C$8))/4+INDEX(BookQ3,2087)*(5-MIN(4,3+'5. Scenarios'!$C$8))/4+INDEX(BookQ4,2087)*(5-MIN(4,4+'5. Scenarios'!$C$8))/4)*'5. Scenarios'!$C$6/(1+ProductivityDefault*('5. Scenarios'!$C$11-1))+INDEX(BookOneOff,2087)*$I2092)</f>
        <v/>
      </c>
      <c r="N2092" s="56" t="str">
        <f aca="false">IF(INDEX(BookTitle,2087)="","",INDEX(BookTotal,2087)*'5. Scenarios'!$D$6/(1+ProductivityDefault*('5. Scenarios'!$D$11-1)))</f>
        <v/>
      </c>
      <c r="O2092" s="57" t="str">
        <f aca="false">IF($N2092="","",INDEX(BookRate,2087)*(1+'5. Scenarios'!$D$10)*$N2092)</f>
        <v/>
      </c>
      <c r="P2092" s="57" t="str">
        <f aca="false">IF($O2092="","",SUMIFS($O$6:$O$2405,$A$6:$A$2405,"&lt;="&amp;$A2092))</f>
        <v/>
      </c>
      <c r="Q2092" s="57" t="str">
        <f aca="false">IF($O2092="","",IF($P2092&lt;=BankCostEnvelope*'5. Scenarios'!$D$7,1,0))</f>
        <v/>
      </c>
      <c r="R2092" s="57" t="str">
        <f aca="false">IF($N2092="","",INDEX(BookRate,2087)*(1+'5. Scenarios'!$D$10)*(INDEX(BookQ1,2087)*(5-MIN(4,1+'5. Scenarios'!$D$8))/4+INDEX(BookQ2,2087)*(5-MIN(4,2+'5. Scenarios'!$D$8))/4+INDEX(BookQ3,2087)*(5-MIN(4,3+'5. Scenarios'!$D$8))/4+INDEX(BookQ4,2087)*(5-MIN(4,4+'5. Scenarios'!$D$8))/4)*'5. Scenarios'!$D$6/(1+ProductivityDefault*('5. Scenarios'!$D$11-1))+INDEX(BookOneOff,2087)*$N2092)</f>
        <v/>
      </c>
      <c r="S2092" s="56" t="str">
        <f aca="false">IF(INDEX(BookTitle,2087)="","",INDEX(BookTotal,2087)*'5. Scenarios'!$E$6/(1+ProductivityDefault*('5. Scenarios'!$E$11-1)))</f>
        <v/>
      </c>
      <c r="T2092" s="57" t="str">
        <f aca="false">IF($S2092="","",INDEX(BookRate,2087)*(1+'5. Scenarios'!$E$10)*$S2092)</f>
        <v/>
      </c>
      <c r="U2092" s="57" t="str">
        <f aca="false">IF($T2092="","",SUMIFS($T$6:$T$2405,$A$6:$A$2405,"&lt;="&amp;$A2092))</f>
        <v/>
      </c>
      <c r="V2092" s="57" t="str">
        <f aca="false">IF($T2092="","",IF($U2092&lt;=BankCostEnvelope*'5. Scenarios'!$E$7,1,0))</f>
        <v/>
      </c>
      <c r="W2092" s="57" t="str">
        <f aca="false">IF($S2092="","",INDEX(BookRate,2087)*(1+'5. Scenarios'!$E$10)*(INDEX(BookQ1,2087)*(5-MIN(4,1+'5. Scenarios'!$E$8))/4+INDEX(BookQ2,2087)*(5-MIN(4,2+'5. Scenarios'!$E$8))/4+INDEX(BookQ3,2087)*(5-MIN(4,3+'5. Scenarios'!$E$8))/4+INDEX(BookQ4,2087)*(5-MIN(4,4+'5. Scenarios'!$E$8))/4)*'5. Scenarios'!$E$6/(1+ProductivityDefault*('5. Scenarios'!$E$11-1))+INDEX(BookOneOff,2087)*$S2092)</f>
        <v/>
      </c>
    </row>
    <row r="2093" customFormat="false" ht="15" hidden="false" customHeight="false" outlineLevel="0" collapsed="false">
      <c r="A2093" s="0" t="str">
        <f aca="false">IF(INDEX(BookTitle,2088)="","",INDEX(BookKey,2088))</f>
        <v/>
      </c>
      <c r="B2093" s="0" t="str">
        <f aca="false">IF(INDEX(BookTitle,2088)="","",INDEX(BookGroup,2088))</f>
        <v/>
      </c>
      <c r="C2093" s="0" t="str">
        <f aca="false">IF(INDEX(BookTitle,2088)="","",INDEX(BookCategory,2088))</f>
        <v/>
      </c>
      <c r="D2093" s="56" t="str">
        <f aca="false">IF(INDEX(BookTitle,2088)="","",INDEX(BookTotal,2088)*'5. Scenarios'!$B$6/(1+ProductivityDefault*('5. Scenarios'!$B$11-1)))</f>
        <v/>
      </c>
      <c r="E2093" s="57" t="str">
        <f aca="false">IF($D2093="","",INDEX(BookRate,2088)*(1+'5. Scenarios'!$B$10)*$D2093)</f>
        <v/>
      </c>
      <c r="F2093" s="57" t="str">
        <f aca="false">IF($E2093="","",SUMIFS($E$6:$E$2405,$A$6:$A$2405,"&lt;="&amp;$A2093))</f>
        <v/>
      </c>
      <c r="G2093" s="57" t="str">
        <f aca="false">IF($E2093="","",IF($F2093&lt;=BankCostEnvelope*'5. Scenarios'!$B$7,1,0))</f>
        <v/>
      </c>
      <c r="H2093" s="57" t="str">
        <f aca="false">IF($D2093="","",INDEX(BookRate,2088)*(1+'5. Scenarios'!$B$10)*(INDEX(BookQ1,2088)*(5-MIN(4,1+'5. Scenarios'!$B$8))/4+INDEX(BookQ2,2088)*(5-MIN(4,2+'5. Scenarios'!$B$8))/4+INDEX(BookQ3,2088)*(5-MIN(4,3+'5. Scenarios'!$B$8))/4+INDEX(BookQ4,2088)*(5-MIN(4,4+'5. Scenarios'!$B$8))/4)*'5. Scenarios'!$B$6/(1+ProductivityDefault*('5. Scenarios'!$B$11-1))+INDEX(BookOneOff,2088)*$D2093)</f>
        <v/>
      </c>
      <c r="I2093" s="56" t="str">
        <f aca="false">IF(INDEX(BookTitle,2088)="","",INDEX(BookTotal,2088)*'5. Scenarios'!$C$6/(1+ProductivityDefault*('5. Scenarios'!$C$11-1)))</f>
        <v/>
      </c>
      <c r="J2093" s="57" t="str">
        <f aca="false">IF($I2093="","",INDEX(BookRate,2088)*(1+'5. Scenarios'!$C$10)*$I2093)</f>
        <v/>
      </c>
      <c r="K2093" s="57" t="str">
        <f aca="false">IF($J2093="","",SUMIFS($J$6:$J$2405,$A$6:$A$2405,"&lt;="&amp;$A2093))</f>
        <v/>
      </c>
      <c r="L2093" s="57" t="str">
        <f aca="false">IF($J2093="","",IF($K2093&lt;=BankCostEnvelope*'5. Scenarios'!$C$7,1,0))</f>
        <v/>
      </c>
      <c r="M2093" s="57" t="str">
        <f aca="false">IF($I2093="","",INDEX(BookRate,2088)*(1+'5. Scenarios'!$C$10)*(INDEX(BookQ1,2088)*(5-MIN(4,1+'5. Scenarios'!$C$8))/4+INDEX(BookQ2,2088)*(5-MIN(4,2+'5. Scenarios'!$C$8))/4+INDEX(BookQ3,2088)*(5-MIN(4,3+'5. Scenarios'!$C$8))/4+INDEX(BookQ4,2088)*(5-MIN(4,4+'5. Scenarios'!$C$8))/4)*'5. Scenarios'!$C$6/(1+ProductivityDefault*('5. Scenarios'!$C$11-1))+INDEX(BookOneOff,2088)*$I2093)</f>
        <v/>
      </c>
      <c r="N2093" s="56" t="str">
        <f aca="false">IF(INDEX(BookTitle,2088)="","",INDEX(BookTotal,2088)*'5. Scenarios'!$D$6/(1+ProductivityDefault*('5. Scenarios'!$D$11-1)))</f>
        <v/>
      </c>
      <c r="O2093" s="57" t="str">
        <f aca="false">IF($N2093="","",INDEX(BookRate,2088)*(1+'5. Scenarios'!$D$10)*$N2093)</f>
        <v/>
      </c>
      <c r="P2093" s="57" t="str">
        <f aca="false">IF($O2093="","",SUMIFS($O$6:$O$2405,$A$6:$A$2405,"&lt;="&amp;$A2093))</f>
        <v/>
      </c>
      <c r="Q2093" s="57" t="str">
        <f aca="false">IF($O2093="","",IF($P2093&lt;=BankCostEnvelope*'5. Scenarios'!$D$7,1,0))</f>
        <v/>
      </c>
      <c r="R2093" s="57" t="str">
        <f aca="false">IF($N2093="","",INDEX(BookRate,2088)*(1+'5. Scenarios'!$D$10)*(INDEX(BookQ1,2088)*(5-MIN(4,1+'5. Scenarios'!$D$8))/4+INDEX(BookQ2,2088)*(5-MIN(4,2+'5. Scenarios'!$D$8))/4+INDEX(BookQ3,2088)*(5-MIN(4,3+'5. Scenarios'!$D$8))/4+INDEX(BookQ4,2088)*(5-MIN(4,4+'5. Scenarios'!$D$8))/4)*'5. Scenarios'!$D$6/(1+ProductivityDefault*('5. Scenarios'!$D$11-1))+INDEX(BookOneOff,2088)*$N2093)</f>
        <v/>
      </c>
      <c r="S2093" s="56" t="str">
        <f aca="false">IF(INDEX(BookTitle,2088)="","",INDEX(BookTotal,2088)*'5. Scenarios'!$E$6/(1+ProductivityDefault*('5. Scenarios'!$E$11-1)))</f>
        <v/>
      </c>
      <c r="T2093" s="57" t="str">
        <f aca="false">IF($S2093="","",INDEX(BookRate,2088)*(1+'5. Scenarios'!$E$10)*$S2093)</f>
        <v/>
      </c>
      <c r="U2093" s="57" t="str">
        <f aca="false">IF($T2093="","",SUMIFS($T$6:$T$2405,$A$6:$A$2405,"&lt;="&amp;$A2093))</f>
        <v/>
      </c>
      <c r="V2093" s="57" t="str">
        <f aca="false">IF($T2093="","",IF($U2093&lt;=BankCostEnvelope*'5. Scenarios'!$E$7,1,0))</f>
        <v/>
      </c>
      <c r="W2093" s="57" t="str">
        <f aca="false">IF($S2093="","",INDEX(BookRate,2088)*(1+'5. Scenarios'!$E$10)*(INDEX(BookQ1,2088)*(5-MIN(4,1+'5. Scenarios'!$E$8))/4+INDEX(BookQ2,2088)*(5-MIN(4,2+'5. Scenarios'!$E$8))/4+INDEX(BookQ3,2088)*(5-MIN(4,3+'5. Scenarios'!$E$8))/4+INDEX(BookQ4,2088)*(5-MIN(4,4+'5. Scenarios'!$E$8))/4)*'5. Scenarios'!$E$6/(1+ProductivityDefault*('5. Scenarios'!$E$11-1))+INDEX(BookOneOff,2088)*$S2093)</f>
        <v/>
      </c>
    </row>
    <row r="2094" customFormat="false" ht="15" hidden="false" customHeight="false" outlineLevel="0" collapsed="false">
      <c r="A2094" s="0" t="str">
        <f aca="false">IF(INDEX(BookTitle,2089)="","",INDEX(BookKey,2089))</f>
        <v/>
      </c>
      <c r="B2094" s="0" t="str">
        <f aca="false">IF(INDEX(BookTitle,2089)="","",INDEX(BookGroup,2089))</f>
        <v/>
      </c>
      <c r="C2094" s="0" t="str">
        <f aca="false">IF(INDEX(BookTitle,2089)="","",INDEX(BookCategory,2089))</f>
        <v/>
      </c>
      <c r="D2094" s="56" t="str">
        <f aca="false">IF(INDEX(BookTitle,2089)="","",INDEX(BookTotal,2089)*'5. Scenarios'!$B$6/(1+ProductivityDefault*('5. Scenarios'!$B$11-1)))</f>
        <v/>
      </c>
      <c r="E2094" s="57" t="str">
        <f aca="false">IF($D2094="","",INDEX(BookRate,2089)*(1+'5. Scenarios'!$B$10)*$D2094)</f>
        <v/>
      </c>
      <c r="F2094" s="57" t="str">
        <f aca="false">IF($E2094="","",SUMIFS($E$6:$E$2405,$A$6:$A$2405,"&lt;="&amp;$A2094))</f>
        <v/>
      </c>
      <c r="G2094" s="57" t="str">
        <f aca="false">IF($E2094="","",IF($F2094&lt;=BankCostEnvelope*'5. Scenarios'!$B$7,1,0))</f>
        <v/>
      </c>
      <c r="H2094" s="57" t="str">
        <f aca="false">IF($D2094="","",INDEX(BookRate,2089)*(1+'5. Scenarios'!$B$10)*(INDEX(BookQ1,2089)*(5-MIN(4,1+'5. Scenarios'!$B$8))/4+INDEX(BookQ2,2089)*(5-MIN(4,2+'5. Scenarios'!$B$8))/4+INDEX(BookQ3,2089)*(5-MIN(4,3+'5. Scenarios'!$B$8))/4+INDEX(BookQ4,2089)*(5-MIN(4,4+'5. Scenarios'!$B$8))/4)*'5. Scenarios'!$B$6/(1+ProductivityDefault*('5. Scenarios'!$B$11-1))+INDEX(BookOneOff,2089)*$D2094)</f>
        <v/>
      </c>
      <c r="I2094" s="56" t="str">
        <f aca="false">IF(INDEX(BookTitle,2089)="","",INDEX(BookTotal,2089)*'5. Scenarios'!$C$6/(1+ProductivityDefault*('5. Scenarios'!$C$11-1)))</f>
        <v/>
      </c>
      <c r="J2094" s="57" t="str">
        <f aca="false">IF($I2094="","",INDEX(BookRate,2089)*(1+'5. Scenarios'!$C$10)*$I2094)</f>
        <v/>
      </c>
      <c r="K2094" s="57" t="str">
        <f aca="false">IF($J2094="","",SUMIFS($J$6:$J$2405,$A$6:$A$2405,"&lt;="&amp;$A2094))</f>
        <v/>
      </c>
      <c r="L2094" s="57" t="str">
        <f aca="false">IF($J2094="","",IF($K2094&lt;=BankCostEnvelope*'5. Scenarios'!$C$7,1,0))</f>
        <v/>
      </c>
      <c r="M2094" s="57" t="str">
        <f aca="false">IF($I2094="","",INDEX(BookRate,2089)*(1+'5. Scenarios'!$C$10)*(INDEX(BookQ1,2089)*(5-MIN(4,1+'5. Scenarios'!$C$8))/4+INDEX(BookQ2,2089)*(5-MIN(4,2+'5. Scenarios'!$C$8))/4+INDEX(BookQ3,2089)*(5-MIN(4,3+'5. Scenarios'!$C$8))/4+INDEX(BookQ4,2089)*(5-MIN(4,4+'5. Scenarios'!$C$8))/4)*'5. Scenarios'!$C$6/(1+ProductivityDefault*('5. Scenarios'!$C$11-1))+INDEX(BookOneOff,2089)*$I2094)</f>
        <v/>
      </c>
      <c r="N2094" s="56" t="str">
        <f aca="false">IF(INDEX(BookTitle,2089)="","",INDEX(BookTotal,2089)*'5. Scenarios'!$D$6/(1+ProductivityDefault*('5. Scenarios'!$D$11-1)))</f>
        <v/>
      </c>
      <c r="O2094" s="57" t="str">
        <f aca="false">IF($N2094="","",INDEX(BookRate,2089)*(1+'5. Scenarios'!$D$10)*$N2094)</f>
        <v/>
      </c>
      <c r="P2094" s="57" t="str">
        <f aca="false">IF($O2094="","",SUMIFS($O$6:$O$2405,$A$6:$A$2405,"&lt;="&amp;$A2094))</f>
        <v/>
      </c>
      <c r="Q2094" s="57" t="str">
        <f aca="false">IF($O2094="","",IF($P2094&lt;=BankCostEnvelope*'5. Scenarios'!$D$7,1,0))</f>
        <v/>
      </c>
      <c r="R2094" s="57" t="str">
        <f aca="false">IF($N2094="","",INDEX(BookRate,2089)*(1+'5. Scenarios'!$D$10)*(INDEX(BookQ1,2089)*(5-MIN(4,1+'5. Scenarios'!$D$8))/4+INDEX(BookQ2,2089)*(5-MIN(4,2+'5. Scenarios'!$D$8))/4+INDEX(BookQ3,2089)*(5-MIN(4,3+'5. Scenarios'!$D$8))/4+INDEX(BookQ4,2089)*(5-MIN(4,4+'5. Scenarios'!$D$8))/4)*'5. Scenarios'!$D$6/(1+ProductivityDefault*('5. Scenarios'!$D$11-1))+INDEX(BookOneOff,2089)*$N2094)</f>
        <v/>
      </c>
      <c r="S2094" s="56" t="str">
        <f aca="false">IF(INDEX(BookTitle,2089)="","",INDEX(BookTotal,2089)*'5. Scenarios'!$E$6/(1+ProductivityDefault*('5. Scenarios'!$E$11-1)))</f>
        <v/>
      </c>
      <c r="T2094" s="57" t="str">
        <f aca="false">IF($S2094="","",INDEX(BookRate,2089)*(1+'5. Scenarios'!$E$10)*$S2094)</f>
        <v/>
      </c>
      <c r="U2094" s="57" t="str">
        <f aca="false">IF($T2094="","",SUMIFS($T$6:$T$2405,$A$6:$A$2405,"&lt;="&amp;$A2094))</f>
        <v/>
      </c>
      <c r="V2094" s="57" t="str">
        <f aca="false">IF($T2094="","",IF($U2094&lt;=BankCostEnvelope*'5. Scenarios'!$E$7,1,0))</f>
        <v/>
      </c>
      <c r="W2094" s="57" t="str">
        <f aca="false">IF($S2094="","",INDEX(BookRate,2089)*(1+'5. Scenarios'!$E$10)*(INDEX(BookQ1,2089)*(5-MIN(4,1+'5. Scenarios'!$E$8))/4+INDEX(BookQ2,2089)*(5-MIN(4,2+'5. Scenarios'!$E$8))/4+INDEX(BookQ3,2089)*(5-MIN(4,3+'5. Scenarios'!$E$8))/4+INDEX(BookQ4,2089)*(5-MIN(4,4+'5. Scenarios'!$E$8))/4)*'5. Scenarios'!$E$6/(1+ProductivityDefault*('5. Scenarios'!$E$11-1))+INDEX(BookOneOff,2089)*$S2094)</f>
        <v/>
      </c>
    </row>
    <row r="2095" customFormat="false" ht="15" hidden="false" customHeight="false" outlineLevel="0" collapsed="false">
      <c r="A2095" s="0" t="str">
        <f aca="false">IF(INDEX(BookTitle,2090)="","",INDEX(BookKey,2090))</f>
        <v/>
      </c>
      <c r="B2095" s="0" t="str">
        <f aca="false">IF(INDEX(BookTitle,2090)="","",INDEX(BookGroup,2090))</f>
        <v/>
      </c>
      <c r="C2095" s="0" t="str">
        <f aca="false">IF(INDEX(BookTitle,2090)="","",INDEX(BookCategory,2090))</f>
        <v/>
      </c>
      <c r="D2095" s="56" t="str">
        <f aca="false">IF(INDEX(BookTitle,2090)="","",INDEX(BookTotal,2090)*'5. Scenarios'!$B$6/(1+ProductivityDefault*('5. Scenarios'!$B$11-1)))</f>
        <v/>
      </c>
      <c r="E2095" s="57" t="str">
        <f aca="false">IF($D2095="","",INDEX(BookRate,2090)*(1+'5. Scenarios'!$B$10)*$D2095)</f>
        <v/>
      </c>
      <c r="F2095" s="57" t="str">
        <f aca="false">IF($E2095="","",SUMIFS($E$6:$E$2405,$A$6:$A$2405,"&lt;="&amp;$A2095))</f>
        <v/>
      </c>
      <c r="G2095" s="57" t="str">
        <f aca="false">IF($E2095="","",IF($F2095&lt;=BankCostEnvelope*'5. Scenarios'!$B$7,1,0))</f>
        <v/>
      </c>
      <c r="H2095" s="57" t="str">
        <f aca="false">IF($D2095="","",INDEX(BookRate,2090)*(1+'5. Scenarios'!$B$10)*(INDEX(BookQ1,2090)*(5-MIN(4,1+'5. Scenarios'!$B$8))/4+INDEX(BookQ2,2090)*(5-MIN(4,2+'5. Scenarios'!$B$8))/4+INDEX(BookQ3,2090)*(5-MIN(4,3+'5. Scenarios'!$B$8))/4+INDEX(BookQ4,2090)*(5-MIN(4,4+'5. Scenarios'!$B$8))/4)*'5. Scenarios'!$B$6/(1+ProductivityDefault*('5. Scenarios'!$B$11-1))+INDEX(BookOneOff,2090)*$D2095)</f>
        <v/>
      </c>
      <c r="I2095" s="56" t="str">
        <f aca="false">IF(INDEX(BookTitle,2090)="","",INDEX(BookTotal,2090)*'5. Scenarios'!$C$6/(1+ProductivityDefault*('5. Scenarios'!$C$11-1)))</f>
        <v/>
      </c>
      <c r="J2095" s="57" t="str">
        <f aca="false">IF($I2095="","",INDEX(BookRate,2090)*(1+'5. Scenarios'!$C$10)*$I2095)</f>
        <v/>
      </c>
      <c r="K2095" s="57" t="str">
        <f aca="false">IF($J2095="","",SUMIFS($J$6:$J$2405,$A$6:$A$2405,"&lt;="&amp;$A2095))</f>
        <v/>
      </c>
      <c r="L2095" s="57" t="str">
        <f aca="false">IF($J2095="","",IF($K2095&lt;=BankCostEnvelope*'5. Scenarios'!$C$7,1,0))</f>
        <v/>
      </c>
      <c r="M2095" s="57" t="str">
        <f aca="false">IF($I2095="","",INDEX(BookRate,2090)*(1+'5. Scenarios'!$C$10)*(INDEX(BookQ1,2090)*(5-MIN(4,1+'5. Scenarios'!$C$8))/4+INDEX(BookQ2,2090)*(5-MIN(4,2+'5. Scenarios'!$C$8))/4+INDEX(BookQ3,2090)*(5-MIN(4,3+'5. Scenarios'!$C$8))/4+INDEX(BookQ4,2090)*(5-MIN(4,4+'5. Scenarios'!$C$8))/4)*'5. Scenarios'!$C$6/(1+ProductivityDefault*('5. Scenarios'!$C$11-1))+INDEX(BookOneOff,2090)*$I2095)</f>
        <v/>
      </c>
      <c r="N2095" s="56" t="str">
        <f aca="false">IF(INDEX(BookTitle,2090)="","",INDEX(BookTotal,2090)*'5. Scenarios'!$D$6/(1+ProductivityDefault*('5. Scenarios'!$D$11-1)))</f>
        <v/>
      </c>
      <c r="O2095" s="57" t="str">
        <f aca="false">IF($N2095="","",INDEX(BookRate,2090)*(1+'5. Scenarios'!$D$10)*$N2095)</f>
        <v/>
      </c>
      <c r="P2095" s="57" t="str">
        <f aca="false">IF($O2095="","",SUMIFS($O$6:$O$2405,$A$6:$A$2405,"&lt;="&amp;$A2095))</f>
        <v/>
      </c>
      <c r="Q2095" s="57" t="str">
        <f aca="false">IF($O2095="","",IF($P2095&lt;=BankCostEnvelope*'5. Scenarios'!$D$7,1,0))</f>
        <v/>
      </c>
      <c r="R2095" s="57" t="str">
        <f aca="false">IF($N2095="","",INDEX(BookRate,2090)*(1+'5. Scenarios'!$D$10)*(INDEX(BookQ1,2090)*(5-MIN(4,1+'5. Scenarios'!$D$8))/4+INDEX(BookQ2,2090)*(5-MIN(4,2+'5. Scenarios'!$D$8))/4+INDEX(BookQ3,2090)*(5-MIN(4,3+'5. Scenarios'!$D$8))/4+INDEX(BookQ4,2090)*(5-MIN(4,4+'5. Scenarios'!$D$8))/4)*'5. Scenarios'!$D$6/(1+ProductivityDefault*('5. Scenarios'!$D$11-1))+INDEX(BookOneOff,2090)*$N2095)</f>
        <v/>
      </c>
      <c r="S2095" s="56" t="str">
        <f aca="false">IF(INDEX(BookTitle,2090)="","",INDEX(BookTotal,2090)*'5. Scenarios'!$E$6/(1+ProductivityDefault*('5. Scenarios'!$E$11-1)))</f>
        <v/>
      </c>
      <c r="T2095" s="57" t="str">
        <f aca="false">IF($S2095="","",INDEX(BookRate,2090)*(1+'5. Scenarios'!$E$10)*$S2095)</f>
        <v/>
      </c>
      <c r="U2095" s="57" t="str">
        <f aca="false">IF($T2095="","",SUMIFS($T$6:$T$2405,$A$6:$A$2405,"&lt;="&amp;$A2095))</f>
        <v/>
      </c>
      <c r="V2095" s="57" t="str">
        <f aca="false">IF($T2095="","",IF($U2095&lt;=BankCostEnvelope*'5. Scenarios'!$E$7,1,0))</f>
        <v/>
      </c>
      <c r="W2095" s="57" t="str">
        <f aca="false">IF($S2095="","",INDEX(BookRate,2090)*(1+'5. Scenarios'!$E$10)*(INDEX(BookQ1,2090)*(5-MIN(4,1+'5. Scenarios'!$E$8))/4+INDEX(BookQ2,2090)*(5-MIN(4,2+'5. Scenarios'!$E$8))/4+INDEX(BookQ3,2090)*(5-MIN(4,3+'5. Scenarios'!$E$8))/4+INDEX(BookQ4,2090)*(5-MIN(4,4+'5. Scenarios'!$E$8))/4)*'5. Scenarios'!$E$6/(1+ProductivityDefault*('5. Scenarios'!$E$11-1))+INDEX(BookOneOff,2090)*$S2095)</f>
        <v/>
      </c>
    </row>
    <row r="2096" customFormat="false" ht="15" hidden="false" customHeight="false" outlineLevel="0" collapsed="false">
      <c r="A2096" s="0" t="str">
        <f aca="false">IF(INDEX(BookTitle,2091)="","",INDEX(BookKey,2091))</f>
        <v/>
      </c>
      <c r="B2096" s="0" t="str">
        <f aca="false">IF(INDEX(BookTitle,2091)="","",INDEX(BookGroup,2091))</f>
        <v/>
      </c>
      <c r="C2096" s="0" t="str">
        <f aca="false">IF(INDEX(BookTitle,2091)="","",INDEX(BookCategory,2091))</f>
        <v/>
      </c>
      <c r="D2096" s="56" t="str">
        <f aca="false">IF(INDEX(BookTitle,2091)="","",INDEX(BookTotal,2091)*'5. Scenarios'!$B$6/(1+ProductivityDefault*('5. Scenarios'!$B$11-1)))</f>
        <v/>
      </c>
      <c r="E2096" s="57" t="str">
        <f aca="false">IF($D2096="","",INDEX(BookRate,2091)*(1+'5. Scenarios'!$B$10)*$D2096)</f>
        <v/>
      </c>
      <c r="F2096" s="57" t="str">
        <f aca="false">IF($E2096="","",SUMIFS($E$6:$E$2405,$A$6:$A$2405,"&lt;="&amp;$A2096))</f>
        <v/>
      </c>
      <c r="G2096" s="57" t="str">
        <f aca="false">IF($E2096="","",IF($F2096&lt;=BankCostEnvelope*'5. Scenarios'!$B$7,1,0))</f>
        <v/>
      </c>
      <c r="H2096" s="57" t="str">
        <f aca="false">IF($D2096="","",INDEX(BookRate,2091)*(1+'5. Scenarios'!$B$10)*(INDEX(BookQ1,2091)*(5-MIN(4,1+'5. Scenarios'!$B$8))/4+INDEX(BookQ2,2091)*(5-MIN(4,2+'5. Scenarios'!$B$8))/4+INDEX(BookQ3,2091)*(5-MIN(4,3+'5. Scenarios'!$B$8))/4+INDEX(BookQ4,2091)*(5-MIN(4,4+'5. Scenarios'!$B$8))/4)*'5. Scenarios'!$B$6/(1+ProductivityDefault*('5. Scenarios'!$B$11-1))+INDEX(BookOneOff,2091)*$D2096)</f>
        <v/>
      </c>
      <c r="I2096" s="56" t="str">
        <f aca="false">IF(INDEX(BookTitle,2091)="","",INDEX(BookTotal,2091)*'5. Scenarios'!$C$6/(1+ProductivityDefault*('5. Scenarios'!$C$11-1)))</f>
        <v/>
      </c>
      <c r="J2096" s="57" t="str">
        <f aca="false">IF($I2096="","",INDEX(BookRate,2091)*(1+'5. Scenarios'!$C$10)*$I2096)</f>
        <v/>
      </c>
      <c r="K2096" s="57" t="str">
        <f aca="false">IF($J2096="","",SUMIFS($J$6:$J$2405,$A$6:$A$2405,"&lt;="&amp;$A2096))</f>
        <v/>
      </c>
      <c r="L2096" s="57" t="str">
        <f aca="false">IF($J2096="","",IF($K2096&lt;=BankCostEnvelope*'5. Scenarios'!$C$7,1,0))</f>
        <v/>
      </c>
      <c r="M2096" s="57" t="str">
        <f aca="false">IF($I2096="","",INDEX(BookRate,2091)*(1+'5. Scenarios'!$C$10)*(INDEX(BookQ1,2091)*(5-MIN(4,1+'5. Scenarios'!$C$8))/4+INDEX(BookQ2,2091)*(5-MIN(4,2+'5. Scenarios'!$C$8))/4+INDEX(BookQ3,2091)*(5-MIN(4,3+'5. Scenarios'!$C$8))/4+INDEX(BookQ4,2091)*(5-MIN(4,4+'5. Scenarios'!$C$8))/4)*'5. Scenarios'!$C$6/(1+ProductivityDefault*('5. Scenarios'!$C$11-1))+INDEX(BookOneOff,2091)*$I2096)</f>
        <v/>
      </c>
      <c r="N2096" s="56" t="str">
        <f aca="false">IF(INDEX(BookTitle,2091)="","",INDEX(BookTotal,2091)*'5. Scenarios'!$D$6/(1+ProductivityDefault*('5. Scenarios'!$D$11-1)))</f>
        <v/>
      </c>
      <c r="O2096" s="57" t="str">
        <f aca="false">IF($N2096="","",INDEX(BookRate,2091)*(1+'5. Scenarios'!$D$10)*$N2096)</f>
        <v/>
      </c>
      <c r="P2096" s="57" t="str">
        <f aca="false">IF($O2096="","",SUMIFS($O$6:$O$2405,$A$6:$A$2405,"&lt;="&amp;$A2096))</f>
        <v/>
      </c>
      <c r="Q2096" s="57" t="str">
        <f aca="false">IF($O2096="","",IF($P2096&lt;=BankCostEnvelope*'5. Scenarios'!$D$7,1,0))</f>
        <v/>
      </c>
      <c r="R2096" s="57" t="str">
        <f aca="false">IF($N2096="","",INDEX(BookRate,2091)*(1+'5. Scenarios'!$D$10)*(INDEX(BookQ1,2091)*(5-MIN(4,1+'5. Scenarios'!$D$8))/4+INDEX(BookQ2,2091)*(5-MIN(4,2+'5. Scenarios'!$D$8))/4+INDEX(BookQ3,2091)*(5-MIN(4,3+'5. Scenarios'!$D$8))/4+INDEX(BookQ4,2091)*(5-MIN(4,4+'5. Scenarios'!$D$8))/4)*'5. Scenarios'!$D$6/(1+ProductivityDefault*('5. Scenarios'!$D$11-1))+INDEX(BookOneOff,2091)*$N2096)</f>
        <v/>
      </c>
      <c r="S2096" s="56" t="str">
        <f aca="false">IF(INDEX(BookTitle,2091)="","",INDEX(BookTotal,2091)*'5. Scenarios'!$E$6/(1+ProductivityDefault*('5. Scenarios'!$E$11-1)))</f>
        <v/>
      </c>
      <c r="T2096" s="57" t="str">
        <f aca="false">IF($S2096="","",INDEX(BookRate,2091)*(1+'5. Scenarios'!$E$10)*$S2096)</f>
        <v/>
      </c>
      <c r="U2096" s="57" t="str">
        <f aca="false">IF($T2096="","",SUMIFS($T$6:$T$2405,$A$6:$A$2405,"&lt;="&amp;$A2096))</f>
        <v/>
      </c>
      <c r="V2096" s="57" t="str">
        <f aca="false">IF($T2096="","",IF($U2096&lt;=BankCostEnvelope*'5. Scenarios'!$E$7,1,0))</f>
        <v/>
      </c>
      <c r="W2096" s="57" t="str">
        <f aca="false">IF($S2096="","",INDEX(BookRate,2091)*(1+'5. Scenarios'!$E$10)*(INDEX(BookQ1,2091)*(5-MIN(4,1+'5. Scenarios'!$E$8))/4+INDEX(BookQ2,2091)*(5-MIN(4,2+'5. Scenarios'!$E$8))/4+INDEX(BookQ3,2091)*(5-MIN(4,3+'5. Scenarios'!$E$8))/4+INDEX(BookQ4,2091)*(5-MIN(4,4+'5. Scenarios'!$E$8))/4)*'5. Scenarios'!$E$6/(1+ProductivityDefault*('5. Scenarios'!$E$11-1))+INDEX(BookOneOff,2091)*$S2096)</f>
        <v/>
      </c>
    </row>
    <row r="2097" customFormat="false" ht="15" hidden="false" customHeight="false" outlineLevel="0" collapsed="false">
      <c r="A2097" s="0" t="str">
        <f aca="false">IF(INDEX(BookTitle,2092)="","",INDEX(BookKey,2092))</f>
        <v/>
      </c>
      <c r="B2097" s="0" t="str">
        <f aca="false">IF(INDEX(BookTitle,2092)="","",INDEX(BookGroup,2092))</f>
        <v/>
      </c>
      <c r="C2097" s="0" t="str">
        <f aca="false">IF(INDEX(BookTitle,2092)="","",INDEX(BookCategory,2092))</f>
        <v/>
      </c>
      <c r="D2097" s="56" t="str">
        <f aca="false">IF(INDEX(BookTitle,2092)="","",INDEX(BookTotal,2092)*'5. Scenarios'!$B$6/(1+ProductivityDefault*('5. Scenarios'!$B$11-1)))</f>
        <v/>
      </c>
      <c r="E2097" s="57" t="str">
        <f aca="false">IF($D2097="","",INDEX(BookRate,2092)*(1+'5. Scenarios'!$B$10)*$D2097)</f>
        <v/>
      </c>
      <c r="F2097" s="57" t="str">
        <f aca="false">IF($E2097="","",SUMIFS($E$6:$E$2405,$A$6:$A$2405,"&lt;="&amp;$A2097))</f>
        <v/>
      </c>
      <c r="G2097" s="57" t="str">
        <f aca="false">IF($E2097="","",IF($F2097&lt;=BankCostEnvelope*'5. Scenarios'!$B$7,1,0))</f>
        <v/>
      </c>
      <c r="H2097" s="57" t="str">
        <f aca="false">IF($D2097="","",INDEX(BookRate,2092)*(1+'5. Scenarios'!$B$10)*(INDEX(BookQ1,2092)*(5-MIN(4,1+'5. Scenarios'!$B$8))/4+INDEX(BookQ2,2092)*(5-MIN(4,2+'5. Scenarios'!$B$8))/4+INDEX(BookQ3,2092)*(5-MIN(4,3+'5. Scenarios'!$B$8))/4+INDEX(BookQ4,2092)*(5-MIN(4,4+'5. Scenarios'!$B$8))/4)*'5. Scenarios'!$B$6/(1+ProductivityDefault*('5. Scenarios'!$B$11-1))+INDEX(BookOneOff,2092)*$D2097)</f>
        <v/>
      </c>
      <c r="I2097" s="56" t="str">
        <f aca="false">IF(INDEX(BookTitle,2092)="","",INDEX(BookTotal,2092)*'5. Scenarios'!$C$6/(1+ProductivityDefault*('5. Scenarios'!$C$11-1)))</f>
        <v/>
      </c>
      <c r="J2097" s="57" t="str">
        <f aca="false">IF($I2097="","",INDEX(BookRate,2092)*(1+'5. Scenarios'!$C$10)*$I2097)</f>
        <v/>
      </c>
      <c r="K2097" s="57" t="str">
        <f aca="false">IF($J2097="","",SUMIFS($J$6:$J$2405,$A$6:$A$2405,"&lt;="&amp;$A2097))</f>
        <v/>
      </c>
      <c r="L2097" s="57" t="str">
        <f aca="false">IF($J2097="","",IF($K2097&lt;=BankCostEnvelope*'5. Scenarios'!$C$7,1,0))</f>
        <v/>
      </c>
      <c r="M2097" s="57" t="str">
        <f aca="false">IF($I2097="","",INDEX(BookRate,2092)*(1+'5. Scenarios'!$C$10)*(INDEX(BookQ1,2092)*(5-MIN(4,1+'5. Scenarios'!$C$8))/4+INDEX(BookQ2,2092)*(5-MIN(4,2+'5. Scenarios'!$C$8))/4+INDEX(BookQ3,2092)*(5-MIN(4,3+'5. Scenarios'!$C$8))/4+INDEX(BookQ4,2092)*(5-MIN(4,4+'5. Scenarios'!$C$8))/4)*'5. Scenarios'!$C$6/(1+ProductivityDefault*('5. Scenarios'!$C$11-1))+INDEX(BookOneOff,2092)*$I2097)</f>
        <v/>
      </c>
      <c r="N2097" s="56" t="str">
        <f aca="false">IF(INDEX(BookTitle,2092)="","",INDEX(BookTotal,2092)*'5. Scenarios'!$D$6/(1+ProductivityDefault*('5. Scenarios'!$D$11-1)))</f>
        <v/>
      </c>
      <c r="O2097" s="57" t="str">
        <f aca="false">IF($N2097="","",INDEX(BookRate,2092)*(1+'5. Scenarios'!$D$10)*$N2097)</f>
        <v/>
      </c>
      <c r="P2097" s="57" t="str">
        <f aca="false">IF($O2097="","",SUMIFS($O$6:$O$2405,$A$6:$A$2405,"&lt;="&amp;$A2097))</f>
        <v/>
      </c>
      <c r="Q2097" s="57" t="str">
        <f aca="false">IF($O2097="","",IF($P2097&lt;=BankCostEnvelope*'5. Scenarios'!$D$7,1,0))</f>
        <v/>
      </c>
      <c r="R2097" s="57" t="str">
        <f aca="false">IF($N2097="","",INDEX(BookRate,2092)*(1+'5. Scenarios'!$D$10)*(INDEX(BookQ1,2092)*(5-MIN(4,1+'5. Scenarios'!$D$8))/4+INDEX(BookQ2,2092)*(5-MIN(4,2+'5. Scenarios'!$D$8))/4+INDEX(BookQ3,2092)*(5-MIN(4,3+'5. Scenarios'!$D$8))/4+INDEX(BookQ4,2092)*(5-MIN(4,4+'5. Scenarios'!$D$8))/4)*'5. Scenarios'!$D$6/(1+ProductivityDefault*('5. Scenarios'!$D$11-1))+INDEX(BookOneOff,2092)*$N2097)</f>
        <v/>
      </c>
      <c r="S2097" s="56" t="str">
        <f aca="false">IF(INDEX(BookTitle,2092)="","",INDEX(BookTotal,2092)*'5. Scenarios'!$E$6/(1+ProductivityDefault*('5. Scenarios'!$E$11-1)))</f>
        <v/>
      </c>
      <c r="T2097" s="57" t="str">
        <f aca="false">IF($S2097="","",INDEX(BookRate,2092)*(1+'5. Scenarios'!$E$10)*$S2097)</f>
        <v/>
      </c>
      <c r="U2097" s="57" t="str">
        <f aca="false">IF($T2097="","",SUMIFS($T$6:$T$2405,$A$6:$A$2405,"&lt;="&amp;$A2097))</f>
        <v/>
      </c>
      <c r="V2097" s="57" t="str">
        <f aca="false">IF($T2097="","",IF($U2097&lt;=BankCostEnvelope*'5. Scenarios'!$E$7,1,0))</f>
        <v/>
      </c>
      <c r="W2097" s="57" t="str">
        <f aca="false">IF($S2097="","",INDEX(BookRate,2092)*(1+'5. Scenarios'!$E$10)*(INDEX(BookQ1,2092)*(5-MIN(4,1+'5. Scenarios'!$E$8))/4+INDEX(BookQ2,2092)*(5-MIN(4,2+'5. Scenarios'!$E$8))/4+INDEX(BookQ3,2092)*(5-MIN(4,3+'5. Scenarios'!$E$8))/4+INDEX(BookQ4,2092)*(5-MIN(4,4+'5. Scenarios'!$E$8))/4)*'5. Scenarios'!$E$6/(1+ProductivityDefault*('5. Scenarios'!$E$11-1))+INDEX(BookOneOff,2092)*$S2097)</f>
        <v/>
      </c>
    </row>
    <row r="2098" customFormat="false" ht="15" hidden="false" customHeight="false" outlineLevel="0" collapsed="false">
      <c r="A2098" s="0" t="str">
        <f aca="false">IF(INDEX(BookTitle,2093)="","",INDEX(BookKey,2093))</f>
        <v/>
      </c>
      <c r="B2098" s="0" t="str">
        <f aca="false">IF(INDEX(BookTitle,2093)="","",INDEX(BookGroup,2093))</f>
        <v/>
      </c>
      <c r="C2098" s="0" t="str">
        <f aca="false">IF(INDEX(BookTitle,2093)="","",INDEX(BookCategory,2093))</f>
        <v/>
      </c>
      <c r="D2098" s="56" t="str">
        <f aca="false">IF(INDEX(BookTitle,2093)="","",INDEX(BookTotal,2093)*'5. Scenarios'!$B$6/(1+ProductivityDefault*('5. Scenarios'!$B$11-1)))</f>
        <v/>
      </c>
      <c r="E2098" s="57" t="str">
        <f aca="false">IF($D2098="","",INDEX(BookRate,2093)*(1+'5. Scenarios'!$B$10)*$D2098)</f>
        <v/>
      </c>
      <c r="F2098" s="57" t="str">
        <f aca="false">IF($E2098="","",SUMIFS($E$6:$E$2405,$A$6:$A$2405,"&lt;="&amp;$A2098))</f>
        <v/>
      </c>
      <c r="G2098" s="57" t="str">
        <f aca="false">IF($E2098="","",IF($F2098&lt;=BankCostEnvelope*'5. Scenarios'!$B$7,1,0))</f>
        <v/>
      </c>
      <c r="H2098" s="57" t="str">
        <f aca="false">IF($D2098="","",INDEX(BookRate,2093)*(1+'5. Scenarios'!$B$10)*(INDEX(BookQ1,2093)*(5-MIN(4,1+'5. Scenarios'!$B$8))/4+INDEX(BookQ2,2093)*(5-MIN(4,2+'5. Scenarios'!$B$8))/4+INDEX(BookQ3,2093)*(5-MIN(4,3+'5. Scenarios'!$B$8))/4+INDEX(BookQ4,2093)*(5-MIN(4,4+'5. Scenarios'!$B$8))/4)*'5. Scenarios'!$B$6/(1+ProductivityDefault*('5. Scenarios'!$B$11-1))+INDEX(BookOneOff,2093)*$D2098)</f>
        <v/>
      </c>
      <c r="I2098" s="56" t="str">
        <f aca="false">IF(INDEX(BookTitle,2093)="","",INDEX(BookTotal,2093)*'5. Scenarios'!$C$6/(1+ProductivityDefault*('5. Scenarios'!$C$11-1)))</f>
        <v/>
      </c>
      <c r="J2098" s="57" t="str">
        <f aca="false">IF($I2098="","",INDEX(BookRate,2093)*(1+'5. Scenarios'!$C$10)*$I2098)</f>
        <v/>
      </c>
      <c r="K2098" s="57" t="str">
        <f aca="false">IF($J2098="","",SUMIFS($J$6:$J$2405,$A$6:$A$2405,"&lt;="&amp;$A2098))</f>
        <v/>
      </c>
      <c r="L2098" s="57" t="str">
        <f aca="false">IF($J2098="","",IF($K2098&lt;=BankCostEnvelope*'5. Scenarios'!$C$7,1,0))</f>
        <v/>
      </c>
      <c r="M2098" s="57" t="str">
        <f aca="false">IF($I2098="","",INDEX(BookRate,2093)*(1+'5. Scenarios'!$C$10)*(INDEX(BookQ1,2093)*(5-MIN(4,1+'5. Scenarios'!$C$8))/4+INDEX(BookQ2,2093)*(5-MIN(4,2+'5. Scenarios'!$C$8))/4+INDEX(BookQ3,2093)*(5-MIN(4,3+'5. Scenarios'!$C$8))/4+INDEX(BookQ4,2093)*(5-MIN(4,4+'5. Scenarios'!$C$8))/4)*'5. Scenarios'!$C$6/(1+ProductivityDefault*('5. Scenarios'!$C$11-1))+INDEX(BookOneOff,2093)*$I2098)</f>
        <v/>
      </c>
      <c r="N2098" s="56" t="str">
        <f aca="false">IF(INDEX(BookTitle,2093)="","",INDEX(BookTotal,2093)*'5. Scenarios'!$D$6/(1+ProductivityDefault*('5. Scenarios'!$D$11-1)))</f>
        <v/>
      </c>
      <c r="O2098" s="57" t="str">
        <f aca="false">IF($N2098="","",INDEX(BookRate,2093)*(1+'5. Scenarios'!$D$10)*$N2098)</f>
        <v/>
      </c>
      <c r="P2098" s="57" t="str">
        <f aca="false">IF($O2098="","",SUMIFS($O$6:$O$2405,$A$6:$A$2405,"&lt;="&amp;$A2098))</f>
        <v/>
      </c>
      <c r="Q2098" s="57" t="str">
        <f aca="false">IF($O2098="","",IF($P2098&lt;=BankCostEnvelope*'5. Scenarios'!$D$7,1,0))</f>
        <v/>
      </c>
      <c r="R2098" s="57" t="str">
        <f aca="false">IF($N2098="","",INDEX(BookRate,2093)*(1+'5. Scenarios'!$D$10)*(INDEX(BookQ1,2093)*(5-MIN(4,1+'5. Scenarios'!$D$8))/4+INDEX(BookQ2,2093)*(5-MIN(4,2+'5. Scenarios'!$D$8))/4+INDEX(BookQ3,2093)*(5-MIN(4,3+'5. Scenarios'!$D$8))/4+INDEX(BookQ4,2093)*(5-MIN(4,4+'5. Scenarios'!$D$8))/4)*'5. Scenarios'!$D$6/(1+ProductivityDefault*('5. Scenarios'!$D$11-1))+INDEX(BookOneOff,2093)*$N2098)</f>
        <v/>
      </c>
      <c r="S2098" s="56" t="str">
        <f aca="false">IF(INDEX(BookTitle,2093)="","",INDEX(BookTotal,2093)*'5. Scenarios'!$E$6/(1+ProductivityDefault*('5. Scenarios'!$E$11-1)))</f>
        <v/>
      </c>
      <c r="T2098" s="57" t="str">
        <f aca="false">IF($S2098="","",INDEX(BookRate,2093)*(1+'5. Scenarios'!$E$10)*$S2098)</f>
        <v/>
      </c>
      <c r="U2098" s="57" t="str">
        <f aca="false">IF($T2098="","",SUMIFS($T$6:$T$2405,$A$6:$A$2405,"&lt;="&amp;$A2098))</f>
        <v/>
      </c>
      <c r="V2098" s="57" t="str">
        <f aca="false">IF($T2098="","",IF($U2098&lt;=BankCostEnvelope*'5. Scenarios'!$E$7,1,0))</f>
        <v/>
      </c>
      <c r="W2098" s="57" t="str">
        <f aca="false">IF($S2098="","",INDEX(BookRate,2093)*(1+'5. Scenarios'!$E$10)*(INDEX(BookQ1,2093)*(5-MIN(4,1+'5. Scenarios'!$E$8))/4+INDEX(BookQ2,2093)*(5-MIN(4,2+'5. Scenarios'!$E$8))/4+INDEX(BookQ3,2093)*(5-MIN(4,3+'5. Scenarios'!$E$8))/4+INDEX(BookQ4,2093)*(5-MIN(4,4+'5. Scenarios'!$E$8))/4)*'5. Scenarios'!$E$6/(1+ProductivityDefault*('5. Scenarios'!$E$11-1))+INDEX(BookOneOff,2093)*$S2098)</f>
        <v/>
      </c>
    </row>
    <row r="2099" customFormat="false" ht="15" hidden="false" customHeight="false" outlineLevel="0" collapsed="false">
      <c r="A2099" s="0" t="str">
        <f aca="false">IF(INDEX(BookTitle,2094)="","",INDEX(BookKey,2094))</f>
        <v/>
      </c>
      <c r="B2099" s="0" t="str">
        <f aca="false">IF(INDEX(BookTitle,2094)="","",INDEX(BookGroup,2094))</f>
        <v/>
      </c>
      <c r="C2099" s="0" t="str">
        <f aca="false">IF(INDEX(BookTitle,2094)="","",INDEX(BookCategory,2094))</f>
        <v/>
      </c>
      <c r="D2099" s="56" t="str">
        <f aca="false">IF(INDEX(BookTitle,2094)="","",INDEX(BookTotal,2094)*'5. Scenarios'!$B$6/(1+ProductivityDefault*('5. Scenarios'!$B$11-1)))</f>
        <v/>
      </c>
      <c r="E2099" s="57" t="str">
        <f aca="false">IF($D2099="","",INDEX(BookRate,2094)*(1+'5. Scenarios'!$B$10)*$D2099)</f>
        <v/>
      </c>
      <c r="F2099" s="57" t="str">
        <f aca="false">IF($E2099="","",SUMIFS($E$6:$E$2405,$A$6:$A$2405,"&lt;="&amp;$A2099))</f>
        <v/>
      </c>
      <c r="G2099" s="57" t="str">
        <f aca="false">IF($E2099="","",IF($F2099&lt;=BankCostEnvelope*'5. Scenarios'!$B$7,1,0))</f>
        <v/>
      </c>
      <c r="H2099" s="57" t="str">
        <f aca="false">IF($D2099="","",INDEX(BookRate,2094)*(1+'5. Scenarios'!$B$10)*(INDEX(BookQ1,2094)*(5-MIN(4,1+'5. Scenarios'!$B$8))/4+INDEX(BookQ2,2094)*(5-MIN(4,2+'5. Scenarios'!$B$8))/4+INDEX(BookQ3,2094)*(5-MIN(4,3+'5. Scenarios'!$B$8))/4+INDEX(BookQ4,2094)*(5-MIN(4,4+'5. Scenarios'!$B$8))/4)*'5. Scenarios'!$B$6/(1+ProductivityDefault*('5. Scenarios'!$B$11-1))+INDEX(BookOneOff,2094)*$D2099)</f>
        <v/>
      </c>
      <c r="I2099" s="56" t="str">
        <f aca="false">IF(INDEX(BookTitle,2094)="","",INDEX(BookTotal,2094)*'5. Scenarios'!$C$6/(1+ProductivityDefault*('5. Scenarios'!$C$11-1)))</f>
        <v/>
      </c>
      <c r="J2099" s="57" t="str">
        <f aca="false">IF($I2099="","",INDEX(BookRate,2094)*(1+'5. Scenarios'!$C$10)*$I2099)</f>
        <v/>
      </c>
      <c r="K2099" s="57" t="str">
        <f aca="false">IF($J2099="","",SUMIFS($J$6:$J$2405,$A$6:$A$2405,"&lt;="&amp;$A2099))</f>
        <v/>
      </c>
      <c r="L2099" s="57" t="str">
        <f aca="false">IF($J2099="","",IF($K2099&lt;=BankCostEnvelope*'5. Scenarios'!$C$7,1,0))</f>
        <v/>
      </c>
      <c r="M2099" s="57" t="str">
        <f aca="false">IF($I2099="","",INDEX(BookRate,2094)*(1+'5. Scenarios'!$C$10)*(INDEX(BookQ1,2094)*(5-MIN(4,1+'5. Scenarios'!$C$8))/4+INDEX(BookQ2,2094)*(5-MIN(4,2+'5. Scenarios'!$C$8))/4+INDEX(BookQ3,2094)*(5-MIN(4,3+'5. Scenarios'!$C$8))/4+INDEX(BookQ4,2094)*(5-MIN(4,4+'5. Scenarios'!$C$8))/4)*'5. Scenarios'!$C$6/(1+ProductivityDefault*('5. Scenarios'!$C$11-1))+INDEX(BookOneOff,2094)*$I2099)</f>
        <v/>
      </c>
      <c r="N2099" s="56" t="str">
        <f aca="false">IF(INDEX(BookTitle,2094)="","",INDEX(BookTotal,2094)*'5. Scenarios'!$D$6/(1+ProductivityDefault*('5. Scenarios'!$D$11-1)))</f>
        <v/>
      </c>
      <c r="O2099" s="57" t="str">
        <f aca="false">IF($N2099="","",INDEX(BookRate,2094)*(1+'5. Scenarios'!$D$10)*$N2099)</f>
        <v/>
      </c>
      <c r="P2099" s="57" t="str">
        <f aca="false">IF($O2099="","",SUMIFS($O$6:$O$2405,$A$6:$A$2405,"&lt;="&amp;$A2099))</f>
        <v/>
      </c>
      <c r="Q2099" s="57" t="str">
        <f aca="false">IF($O2099="","",IF($P2099&lt;=BankCostEnvelope*'5. Scenarios'!$D$7,1,0))</f>
        <v/>
      </c>
      <c r="R2099" s="57" t="str">
        <f aca="false">IF($N2099="","",INDEX(BookRate,2094)*(1+'5. Scenarios'!$D$10)*(INDEX(BookQ1,2094)*(5-MIN(4,1+'5. Scenarios'!$D$8))/4+INDEX(BookQ2,2094)*(5-MIN(4,2+'5. Scenarios'!$D$8))/4+INDEX(BookQ3,2094)*(5-MIN(4,3+'5. Scenarios'!$D$8))/4+INDEX(BookQ4,2094)*(5-MIN(4,4+'5. Scenarios'!$D$8))/4)*'5. Scenarios'!$D$6/(1+ProductivityDefault*('5. Scenarios'!$D$11-1))+INDEX(BookOneOff,2094)*$N2099)</f>
        <v/>
      </c>
      <c r="S2099" s="56" t="str">
        <f aca="false">IF(INDEX(BookTitle,2094)="","",INDEX(BookTotal,2094)*'5. Scenarios'!$E$6/(1+ProductivityDefault*('5. Scenarios'!$E$11-1)))</f>
        <v/>
      </c>
      <c r="T2099" s="57" t="str">
        <f aca="false">IF($S2099="","",INDEX(BookRate,2094)*(1+'5. Scenarios'!$E$10)*$S2099)</f>
        <v/>
      </c>
      <c r="U2099" s="57" t="str">
        <f aca="false">IF($T2099="","",SUMIFS($T$6:$T$2405,$A$6:$A$2405,"&lt;="&amp;$A2099))</f>
        <v/>
      </c>
      <c r="V2099" s="57" t="str">
        <f aca="false">IF($T2099="","",IF($U2099&lt;=BankCostEnvelope*'5. Scenarios'!$E$7,1,0))</f>
        <v/>
      </c>
      <c r="W2099" s="57" t="str">
        <f aca="false">IF($S2099="","",INDEX(BookRate,2094)*(1+'5. Scenarios'!$E$10)*(INDEX(BookQ1,2094)*(5-MIN(4,1+'5. Scenarios'!$E$8))/4+INDEX(BookQ2,2094)*(5-MIN(4,2+'5. Scenarios'!$E$8))/4+INDEX(BookQ3,2094)*(5-MIN(4,3+'5. Scenarios'!$E$8))/4+INDEX(BookQ4,2094)*(5-MIN(4,4+'5. Scenarios'!$E$8))/4)*'5. Scenarios'!$E$6/(1+ProductivityDefault*('5. Scenarios'!$E$11-1))+INDEX(BookOneOff,2094)*$S2099)</f>
        <v/>
      </c>
    </row>
    <row r="2100" customFormat="false" ht="15" hidden="false" customHeight="false" outlineLevel="0" collapsed="false">
      <c r="A2100" s="0" t="str">
        <f aca="false">IF(INDEX(BookTitle,2095)="","",INDEX(BookKey,2095))</f>
        <v/>
      </c>
      <c r="B2100" s="0" t="str">
        <f aca="false">IF(INDEX(BookTitle,2095)="","",INDEX(BookGroup,2095))</f>
        <v/>
      </c>
      <c r="C2100" s="0" t="str">
        <f aca="false">IF(INDEX(BookTitle,2095)="","",INDEX(BookCategory,2095))</f>
        <v/>
      </c>
      <c r="D2100" s="56" t="str">
        <f aca="false">IF(INDEX(BookTitle,2095)="","",INDEX(BookTotal,2095)*'5. Scenarios'!$B$6/(1+ProductivityDefault*('5. Scenarios'!$B$11-1)))</f>
        <v/>
      </c>
      <c r="E2100" s="57" t="str">
        <f aca="false">IF($D2100="","",INDEX(BookRate,2095)*(1+'5. Scenarios'!$B$10)*$D2100)</f>
        <v/>
      </c>
      <c r="F2100" s="57" t="str">
        <f aca="false">IF($E2100="","",SUMIFS($E$6:$E$2405,$A$6:$A$2405,"&lt;="&amp;$A2100))</f>
        <v/>
      </c>
      <c r="G2100" s="57" t="str">
        <f aca="false">IF($E2100="","",IF($F2100&lt;=BankCostEnvelope*'5. Scenarios'!$B$7,1,0))</f>
        <v/>
      </c>
      <c r="H2100" s="57" t="str">
        <f aca="false">IF($D2100="","",INDEX(BookRate,2095)*(1+'5. Scenarios'!$B$10)*(INDEX(BookQ1,2095)*(5-MIN(4,1+'5. Scenarios'!$B$8))/4+INDEX(BookQ2,2095)*(5-MIN(4,2+'5. Scenarios'!$B$8))/4+INDEX(BookQ3,2095)*(5-MIN(4,3+'5. Scenarios'!$B$8))/4+INDEX(BookQ4,2095)*(5-MIN(4,4+'5. Scenarios'!$B$8))/4)*'5. Scenarios'!$B$6/(1+ProductivityDefault*('5. Scenarios'!$B$11-1))+INDEX(BookOneOff,2095)*$D2100)</f>
        <v/>
      </c>
      <c r="I2100" s="56" t="str">
        <f aca="false">IF(INDEX(BookTitle,2095)="","",INDEX(BookTotal,2095)*'5. Scenarios'!$C$6/(1+ProductivityDefault*('5. Scenarios'!$C$11-1)))</f>
        <v/>
      </c>
      <c r="J2100" s="57" t="str">
        <f aca="false">IF($I2100="","",INDEX(BookRate,2095)*(1+'5. Scenarios'!$C$10)*$I2100)</f>
        <v/>
      </c>
      <c r="K2100" s="57" t="str">
        <f aca="false">IF($J2100="","",SUMIFS($J$6:$J$2405,$A$6:$A$2405,"&lt;="&amp;$A2100))</f>
        <v/>
      </c>
      <c r="L2100" s="57" t="str">
        <f aca="false">IF($J2100="","",IF($K2100&lt;=BankCostEnvelope*'5. Scenarios'!$C$7,1,0))</f>
        <v/>
      </c>
      <c r="M2100" s="57" t="str">
        <f aca="false">IF($I2100="","",INDEX(BookRate,2095)*(1+'5. Scenarios'!$C$10)*(INDEX(BookQ1,2095)*(5-MIN(4,1+'5. Scenarios'!$C$8))/4+INDEX(BookQ2,2095)*(5-MIN(4,2+'5. Scenarios'!$C$8))/4+INDEX(BookQ3,2095)*(5-MIN(4,3+'5. Scenarios'!$C$8))/4+INDEX(BookQ4,2095)*(5-MIN(4,4+'5. Scenarios'!$C$8))/4)*'5. Scenarios'!$C$6/(1+ProductivityDefault*('5. Scenarios'!$C$11-1))+INDEX(BookOneOff,2095)*$I2100)</f>
        <v/>
      </c>
      <c r="N2100" s="56" t="str">
        <f aca="false">IF(INDEX(BookTitle,2095)="","",INDEX(BookTotal,2095)*'5. Scenarios'!$D$6/(1+ProductivityDefault*('5. Scenarios'!$D$11-1)))</f>
        <v/>
      </c>
      <c r="O2100" s="57" t="str">
        <f aca="false">IF($N2100="","",INDEX(BookRate,2095)*(1+'5. Scenarios'!$D$10)*$N2100)</f>
        <v/>
      </c>
      <c r="P2100" s="57" t="str">
        <f aca="false">IF($O2100="","",SUMIFS($O$6:$O$2405,$A$6:$A$2405,"&lt;="&amp;$A2100))</f>
        <v/>
      </c>
      <c r="Q2100" s="57" t="str">
        <f aca="false">IF($O2100="","",IF($P2100&lt;=BankCostEnvelope*'5. Scenarios'!$D$7,1,0))</f>
        <v/>
      </c>
      <c r="R2100" s="57" t="str">
        <f aca="false">IF($N2100="","",INDEX(BookRate,2095)*(1+'5. Scenarios'!$D$10)*(INDEX(BookQ1,2095)*(5-MIN(4,1+'5. Scenarios'!$D$8))/4+INDEX(BookQ2,2095)*(5-MIN(4,2+'5. Scenarios'!$D$8))/4+INDEX(BookQ3,2095)*(5-MIN(4,3+'5. Scenarios'!$D$8))/4+INDEX(BookQ4,2095)*(5-MIN(4,4+'5. Scenarios'!$D$8))/4)*'5. Scenarios'!$D$6/(1+ProductivityDefault*('5. Scenarios'!$D$11-1))+INDEX(BookOneOff,2095)*$N2100)</f>
        <v/>
      </c>
      <c r="S2100" s="56" t="str">
        <f aca="false">IF(INDEX(BookTitle,2095)="","",INDEX(BookTotal,2095)*'5. Scenarios'!$E$6/(1+ProductivityDefault*('5. Scenarios'!$E$11-1)))</f>
        <v/>
      </c>
      <c r="T2100" s="57" t="str">
        <f aca="false">IF($S2100="","",INDEX(BookRate,2095)*(1+'5. Scenarios'!$E$10)*$S2100)</f>
        <v/>
      </c>
      <c r="U2100" s="57" t="str">
        <f aca="false">IF($T2100="","",SUMIFS($T$6:$T$2405,$A$6:$A$2405,"&lt;="&amp;$A2100))</f>
        <v/>
      </c>
      <c r="V2100" s="57" t="str">
        <f aca="false">IF($T2100="","",IF($U2100&lt;=BankCostEnvelope*'5. Scenarios'!$E$7,1,0))</f>
        <v/>
      </c>
      <c r="W2100" s="57" t="str">
        <f aca="false">IF($S2100="","",INDEX(BookRate,2095)*(1+'5. Scenarios'!$E$10)*(INDEX(BookQ1,2095)*(5-MIN(4,1+'5. Scenarios'!$E$8))/4+INDEX(BookQ2,2095)*(5-MIN(4,2+'5. Scenarios'!$E$8))/4+INDEX(BookQ3,2095)*(5-MIN(4,3+'5. Scenarios'!$E$8))/4+INDEX(BookQ4,2095)*(5-MIN(4,4+'5. Scenarios'!$E$8))/4)*'5. Scenarios'!$E$6/(1+ProductivityDefault*('5. Scenarios'!$E$11-1))+INDEX(BookOneOff,2095)*$S2100)</f>
        <v/>
      </c>
    </row>
    <row r="2101" customFormat="false" ht="15" hidden="false" customHeight="false" outlineLevel="0" collapsed="false">
      <c r="A2101" s="0" t="str">
        <f aca="false">IF(INDEX(BookTitle,2096)="","",INDEX(BookKey,2096))</f>
        <v/>
      </c>
      <c r="B2101" s="0" t="str">
        <f aca="false">IF(INDEX(BookTitle,2096)="","",INDEX(BookGroup,2096))</f>
        <v/>
      </c>
      <c r="C2101" s="0" t="str">
        <f aca="false">IF(INDEX(BookTitle,2096)="","",INDEX(BookCategory,2096))</f>
        <v/>
      </c>
      <c r="D2101" s="56" t="str">
        <f aca="false">IF(INDEX(BookTitle,2096)="","",INDEX(BookTotal,2096)*'5. Scenarios'!$B$6/(1+ProductivityDefault*('5. Scenarios'!$B$11-1)))</f>
        <v/>
      </c>
      <c r="E2101" s="57" t="str">
        <f aca="false">IF($D2101="","",INDEX(BookRate,2096)*(1+'5. Scenarios'!$B$10)*$D2101)</f>
        <v/>
      </c>
      <c r="F2101" s="57" t="str">
        <f aca="false">IF($E2101="","",SUMIFS($E$6:$E$2405,$A$6:$A$2405,"&lt;="&amp;$A2101))</f>
        <v/>
      </c>
      <c r="G2101" s="57" t="str">
        <f aca="false">IF($E2101="","",IF($F2101&lt;=BankCostEnvelope*'5. Scenarios'!$B$7,1,0))</f>
        <v/>
      </c>
      <c r="H2101" s="57" t="str">
        <f aca="false">IF($D2101="","",INDEX(BookRate,2096)*(1+'5. Scenarios'!$B$10)*(INDEX(BookQ1,2096)*(5-MIN(4,1+'5. Scenarios'!$B$8))/4+INDEX(BookQ2,2096)*(5-MIN(4,2+'5. Scenarios'!$B$8))/4+INDEX(BookQ3,2096)*(5-MIN(4,3+'5. Scenarios'!$B$8))/4+INDEX(BookQ4,2096)*(5-MIN(4,4+'5. Scenarios'!$B$8))/4)*'5. Scenarios'!$B$6/(1+ProductivityDefault*('5. Scenarios'!$B$11-1))+INDEX(BookOneOff,2096)*$D2101)</f>
        <v/>
      </c>
      <c r="I2101" s="56" t="str">
        <f aca="false">IF(INDEX(BookTitle,2096)="","",INDEX(BookTotal,2096)*'5. Scenarios'!$C$6/(1+ProductivityDefault*('5. Scenarios'!$C$11-1)))</f>
        <v/>
      </c>
      <c r="J2101" s="57" t="str">
        <f aca="false">IF($I2101="","",INDEX(BookRate,2096)*(1+'5. Scenarios'!$C$10)*$I2101)</f>
        <v/>
      </c>
      <c r="K2101" s="57" t="str">
        <f aca="false">IF($J2101="","",SUMIFS($J$6:$J$2405,$A$6:$A$2405,"&lt;="&amp;$A2101))</f>
        <v/>
      </c>
      <c r="L2101" s="57" t="str">
        <f aca="false">IF($J2101="","",IF($K2101&lt;=BankCostEnvelope*'5. Scenarios'!$C$7,1,0))</f>
        <v/>
      </c>
      <c r="M2101" s="57" t="str">
        <f aca="false">IF($I2101="","",INDEX(BookRate,2096)*(1+'5. Scenarios'!$C$10)*(INDEX(BookQ1,2096)*(5-MIN(4,1+'5. Scenarios'!$C$8))/4+INDEX(BookQ2,2096)*(5-MIN(4,2+'5. Scenarios'!$C$8))/4+INDEX(BookQ3,2096)*(5-MIN(4,3+'5. Scenarios'!$C$8))/4+INDEX(BookQ4,2096)*(5-MIN(4,4+'5. Scenarios'!$C$8))/4)*'5. Scenarios'!$C$6/(1+ProductivityDefault*('5. Scenarios'!$C$11-1))+INDEX(BookOneOff,2096)*$I2101)</f>
        <v/>
      </c>
      <c r="N2101" s="56" t="str">
        <f aca="false">IF(INDEX(BookTitle,2096)="","",INDEX(BookTotal,2096)*'5. Scenarios'!$D$6/(1+ProductivityDefault*('5. Scenarios'!$D$11-1)))</f>
        <v/>
      </c>
      <c r="O2101" s="57" t="str">
        <f aca="false">IF($N2101="","",INDEX(BookRate,2096)*(1+'5. Scenarios'!$D$10)*$N2101)</f>
        <v/>
      </c>
      <c r="P2101" s="57" t="str">
        <f aca="false">IF($O2101="","",SUMIFS($O$6:$O$2405,$A$6:$A$2405,"&lt;="&amp;$A2101))</f>
        <v/>
      </c>
      <c r="Q2101" s="57" t="str">
        <f aca="false">IF($O2101="","",IF($P2101&lt;=BankCostEnvelope*'5. Scenarios'!$D$7,1,0))</f>
        <v/>
      </c>
      <c r="R2101" s="57" t="str">
        <f aca="false">IF($N2101="","",INDEX(BookRate,2096)*(1+'5. Scenarios'!$D$10)*(INDEX(BookQ1,2096)*(5-MIN(4,1+'5. Scenarios'!$D$8))/4+INDEX(BookQ2,2096)*(5-MIN(4,2+'5. Scenarios'!$D$8))/4+INDEX(BookQ3,2096)*(5-MIN(4,3+'5. Scenarios'!$D$8))/4+INDEX(BookQ4,2096)*(5-MIN(4,4+'5. Scenarios'!$D$8))/4)*'5. Scenarios'!$D$6/(1+ProductivityDefault*('5. Scenarios'!$D$11-1))+INDEX(BookOneOff,2096)*$N2101)</f>
        <v/>
      </c>
      <c r="S2101" s="56" t="str">
        <f aca="false">IF(INDEX(BookTitle,2096)="","",INDEX(BookTotal,2096)*'5. Scenarios'!$E$6/(1+ProductivityDefault*('5. Scenarios'!$E$11-1)))</f>
        <v/>
      </c>
      <c r="T2101" s="57" t="str">
        <f aca="false">IF($S2101="","",INDEX(BookRate,2096)*(1+'5. Scenarios'!$E$10)*$S2101)</f>
        <v/>
      </c>
      <c r="U2101" s="57" t="str">
        <f aca="false">IF($T2101="","",SUMIFS($T$6:$T$2405,$A$6:$A$2405,"&lt;="&amp;$A2101))</f>
        <v/>
      </c>
      <c r="V2101" s="57" t="str">
        <f aca="false">IF($T2101="","",IF($U2101&lt;=BankCostEnvelope*'5. Scenarios'!$E$7,1,0))</f>
        <v/>
      </c>
      <c r="W2101" s="57" t="str">
        <f aca="false">IF($S2101="","",INDEX(BookRate,2096)*(1+'5. Scenarios'!$E$10)*(INDEX(BookQ1,2096)*(5-MIN(4,1+'5. Scenarios'!$E$8))/4+INDEX(BookQ2,2096)*(5-MIN(4,2+'5. Scenarios'!$E$8))/4+INDEX(BookQ3,2096)*(5-MIN(4,3+'5. Scenarios'!$E$8))/4+INDEX(BookQ4,2096)*(5-MIN(4,4+'5. Scenarios'!$E$8))/4)*'5. Scenarios'!$E$6/(1+ProductivityDefault*('5. Scenarios'!$E$11-1))+INDEX(BookOneOff,2096)*$S2101)</f>
        <v/>
      </c>
    </row>
    <row r="2102" customFormat="false" ht="15" hidden="false" customHeight="false" outlineLevel="0" collapsed="false">
      <c r="A2102" s="0" t="str">
        <f aca="false">IF(INDEX(BookTitle,2097)="","",INDEX(BookKey,2097))</f>
        <v/>
      </c>
      <c r="B2102" s="0" t="str">
        <f aca="false">IF(INDEX(BookTitle,2097)="","",INDEX(BookGroup,2097))</f>
        <v/>
      </c>
      <c r="C2102" s="0" t="str">
        <f aca="false">IF(INDEX(BookTitle,2097)="","",INDEX(BookCategory,2097))</f>
        <v/>
      </c>
      <c r="D2102" s="56" t="str">
        <f aca="false">IF(INDEX(BookTitle,2097)="","",INDEX(BookTotal,2097)*'5. Scenarios'!$B$6/(1+ProductivityDefault*('5. Scenarios'!$B$11-1)))</f>
        <v/>
      </c>
      <c r="E2102" s="57" t="str">
        <f aca="false">IF($D2102="","",INDEX(BookRate,2097)*(1+'5. Scenarios'!$B$10)*$D2102)</f>
        <v/>
      </c>
      <c r="F2102" s="57" t="str">
        <f aca="false">IF($E2102="","",SUMIFS($E$6:$E$2405,$A$6:$A$2405,"&lt;="&amp;$A2102))</f>
        <v/>
      </c>
      <c r="G2102" s="57" t="str">
        <f aca="false">IF($E2102="","",IF($F2102&lt;=BankCostEnvelope*'5. Scenarios'!$B$7,1,0))</f>
        <v/>
      </c>
      <c r="H2102" s="57" t="str">
        <f aca="false">IF($D2102="","",INDEX(BookRate,2097)*(1+'5. Scenarios'!$B$10)*(INDEX(BookQ1,2097)*(5-MIN(4,1+'5. Scenarios'!$B$8))/4+INDEX(BookQ2,2097)*(5-MIN(4,2+'5. Scenarios'!$B$8))/4+INDEX(BookQ3,2097)*(5-MIN(4,3+'5. Scenarios'!$B$8))/4+INDEX(BookQ4,2097)*(5-MIN(4,4+'5. Scenarios'!$B$8))/4)*'5. Scenarios'!$B$6/(1+ProductivityDefault*('5. Scenarios'!$B$11-1))+INDEX(BookOneOff,2097)*$D2102)</f>
        <v/>
      </c>
      <c r="I2102" s="56" t="str">
        <f aca="false">IF(INDEX(BookTitle,2097)="","",INDEX(BookTotal,2097)*'5. Scenarios'!$C$6/(1+ProductivityDefault*('5. Scenarios'!$C$11-1)))</f>
        <v/>
      </c>
      <c r="J2102" s="57" t="str">
        <f aca="false">IF($I2102="","",INDEX(BookRate,2097)*(1+'5. Scenarios'!$C$10)*$I2102)</f>
        <v/>
      </c>
      <c r="K2102" s="57" t="str">
        <f aca="false">IF($J2102="","",SUMIFS($J$6:$J$2405,$A$6:$A$2405,"&lt;="&amp;$A2102))</f>
        <v/>
      </c>
      <c r="L2102" s="57" t="str">
        <f aca="false">IF($J2102="","",IF($K2102&lt;=BankCostEnvelope*'5. Scenarios'!$C$7,1,0))</f>
        <v/>
      </c>
      <c r="M2102" s="57" t="str">
        <f aca="false">IF($I2102="","",INDEX(BookRate,2097)*(1+'5. Scenarios'!$C$10)*(INDEX(BookQ1,2097)*(5-MIN(4,1+'5. Scenarios'!$C$8))/4+INDEX(BookQ2,2097)*(5-MIN(4,2+'5. Scenarios'!$C$8))/4+INDEX(BookQ3,2097)*(5-MIN(4,3+'5. Scenarios'!$C$8))/4+INDEX(BookQ4,2097)*(5-MIN(4,4+'5. Scenarios'!$C$8))/4)*'5. Scenarios'!$C$6/(1+ProductivityDefault*('5. Scenarios'!$C$11-1))+INDEX(BookOneOff,2097)*$I2102)</f>
        <v/>
      </c>
      <c r="N2102" s="56" t="str">
        <f aca="false">IF(INDEX(BookTitle,2097)="","",INDEX(BookTotal,2097)*'5. Scenarios'!$D$6/(1+ProductivityDefault*('5. Scenarios'!$D$11-1)))</f>
        <v/>
      </c>
      <c r="O2102" s="57" t="str">
        <f aca="false">IF($N2102="","",INDEX(BookRate,2097)*(1+'5. Scenarios'!$D$10)*$N2102)</f>
        <v/>
      </c>
      <c r="P2102" s="57" t="str">
        <f aca="false">IF($O2102="","",SUMIFS($O$6:$O$2405,$A$6:$A$2405,"&lt;="&amp;$A2102))</f>
        <v/>
      </c>
      <c r="Q2102" s="57" t="str">
        <f aca="false">IF($O2102="","",IF($P2102&lt;=BankCostEnvelope*'5. Scenarios'!$D$7,1,0))</f>
        <v/>
      </c>
      <c r="R2102" s="57" t="str">
        <f aca="false">IF($N2102="","",INDEX(BookRate,2097)*(1+'5. Scenarios'!$D$10)*(INDEX(BookQ1,2097)*(5-MIN(4,1+'5. Scenarios'!$D$8))/4+INDEX(BookQ2,2097)*(5-MIN(4,2+'5. Scenarios'!$D$8))/4+INDEX(BookQ3,2097)*(5-MIN(4,3+'5. Scenarios'!$D$8))/4+INDEX(BookQ4,2097)*(5-MIN(4,4+'5. Scenarios'!$D$8))/4)*'5. Scenarios'!$D$6/(1+ProductivityDefault*('5. Scenarios'!$D$11-1))+INDEX(BookOneOff,2097)*$N2102)</f>
        <v/>
      </c>
      <c r="S2102" s="56" t="str">
        <f aca="false">IF(INDEX(BookTitle,2097)="","",INDEX(BookTotal,2097)*'5. Scenarios'!$E$6/(1+ProductivityDefault*('5. Scenarios'!$E$11-1)))</f>
        <v/>
      </c>
      <c r="T2102" s="57" t="str">
        <f aca="false">IF($S2102="","",INDEX(BookRate,2097)*(1+'5. Scenarios'!$E$10)*$S2102)</f>
        <v/>
      </c>
      <c r="U2102" s="57" t="str">
        <f aca="false">IF($T2102="","",SUMIFS($T$6:$T$2405,$A$6:$A$2405,"&lt;="&amp;$A2102))</f>
        <v/>
      </c>
      <c r="V2102" s="57" t="str">
        <f aca="false">IF($T2102="","",IF($U2102&lt;=BankCostEnvelope*'5. Scenarios'!$E$7,1,0))</f>
        <v/>
      </c>
      <c r="W2102" s="57" t="str">
        <f aca="false">IF($S2102="","",INDEX(BookRate,2097)*(1+'5. Scenarios'!$E$10)*(INDEX(BookQ1,2097)*(5-MIN(4,1+'5. Scenarios'!$E$8))/4+INDEX(BookQ2,2097)*(5-MIN(4,2+'5. Scenarios'!$E$8))/4+INDEX(BookQ3,2097)*(5-MIN(4,3+'5. Scenarios'!$E$8))/4+INDEX(BookQ4,2097)*(5-MIN(4,4+'5. Scenarios'!$E$8))/4)*'5. Scenarios'!$E$6/(1+ProductivityDefault*('5. Scenarios'!$E$11-1))+INDEX(BookOneOff,2097)*$S2102)</f>
        <v/>
      </c>
    </row>
    <row r="2103" customFormat="false" ht="15" hidden="false" customHeight="false" outlineLevel="0" collapsed="false">
      <c r="A2103" s="0" t="str">
        <f aca="false">IF(INDEX(BookTitle,2098)="","",INDEX(BookKey,2098))</f>
        <v/>
      </c>
      <c r="B2103" s="0" t="str">
        <f aca="false">IF(INDEX(BookTitle,2098)="","",INDEX(BookGroup,2098))</f>
        <v/>
      </c>
      <c r="C2103" s="0" t="str">
        <f aca="false">IF(INDEX(BookTitle,2098)="","",INDEX(BookCategory,2098))</f>
        <v/>
      </c>
      <c r="D2103" s="56" t="str">
        <f aca="false">IF(INDEX(BookTitle,2098)="","",INDEX(BookTotal,2098)*'5. Scenarios'!$B$6/(1+ProductivityDefault*('5. Scenarios'!$B$11-1)))</f>
        <v/>
      </c>
      <c r="E2103" s="57" t="str">
        <f aca="false">IF($D2103="","",INDEX(BookRate,2098)*(1+'5. Scenarios'!$B$10)*$D2103)</f>
        <v/>
      </c>
      <c r="F2103" s="57" t="str">
        <f aca="false">IF($E2103="","",SUMIFS($E$6:$E$2405,$A$6:$A$2405,"&lt;="&amp;$A2103))</f>
        <v/>
      </c>
      <c r="G2103" s="57" t="str">
        <f aca="false">IF($E2103="","",IF($F2103&lt;=BankCostEnvelope*'5. Scenarios'!$B$7,1,0))</f>
        <v/>
      </c>
      <c r="H2103" s="57" t="str">
        <f aca="false">IF($D2103="","",INDEX(BookRate,2098)*(1+'5. Scenarios'!$B$10)*(INDEX(BookQ1,2098)*(5-MIN(4,1+'5. Scenarios'!$B$8))/4+INDEX(BookQ2,2098)*(5-MIN(4,2+'5. Scenarios'!$B$8))/4+INDEX(BookQ3,2098)*(5-MIN(4,3+'5. Scenarios'!$B$8))/4+INDEX(BookQ4,2098)*(5-MIN(4,4+'5. Scenarios'!$B$8))/4)*'5. Scenarios'!$B$6/(1+ProductivityDefault*('5. Scenarios'!$B$11-1))+INDEX(BookOneOff,2098)*$D2103)</f>
        <v/>
      </c>
      <c r="I2103" s="56" t="str">
        <f aca="false">IF(INDEX(BookTitle,2098)="","",INDEX(BookTotal,2098)*'5. Scenarios'!$C$6/(1+ProductivityDefault*('5. Scenarios'!$C$11-1)))</f>
        <v/>
      </c>
      <c r="J2103" s="57" t="str">
        <f aca="false">IF($I2103="","",INDEX(BookRate,2098)*(1+'5. Scenarios'!$C$10)*$I2103)</f>
        <v/>
      </c>
      <c r="K2103" s="57" t="str">
        <f aca="false">IF($J2103="","",SUMIFS($J$6:$J$2405,$A$6:$A$2405,"&lt;="&amp;$A2103))</f>
        <v/>
      </c>
      <c r="L2103" s="57" t="str">
        <f aca="false">IF($J2103="","",IF($K2103&lt;=BankCostEnvelope*'5. Scenarios'!$C$7,1,0))</f>
        <v/>
      </c>
      <c r="M2103" s="57" t="str">
        <f aca="false">IF($I2103="","",INDEX(BookRate,2098)*(1+'5. Scenarios'!$C$10)*(INDEX(BookQ1,2098)*(5-MIN(4,1+'5. Scenarios'!$C$8))/4+INDEX(BookQ2,2098)*(5-MIN(4,2+'5. Scenarios'!$C$8))/4+INDEX(BookQ3,2098)*(5-MIN(4,3+'5. Scenarios'!$C$8))/4+INDEX(BookQ4,2098)*(5-MIN(4,4+'5. Scenarios'!$C$8))/4)*'5. Scenarios'!$C$6/(1+ProductivityDefault*('5. Scenarios'!$C$11-1))+INDEX(BookOneOff,2098)*$I2103)</f>
        <v/>
      </c>
      <c r="N2103" s="56" t="str">
        <f aca="false">IF(INDEX(BookTitle,2098)="","",INDEX(BookTotal,2098)*'5. Scenarios'!$D$6/(1+ProductivityDefault*('5. Scenarios'!$D$11-1)))</f>
        <v/>
      </c>
      <c r="O2103" s="57" t="str">
        <f aca="false">IF($N2103="","",INDEX(BookRate,2098)*(1+'5. Scenarios'!$D$10)*$N2103)</f>
        <v/>
      </c>
      <c r="P2103" s="57" t="str">
        <f aca="false">IF($O2103="","",SUMIFS($O$6:$O$2405,$A$6:$A$2405,"&lt;="&amp;$A2103))</f>
        <v/>
      </c>
      <c r="Q2103" s="57" t="str">
        <f aca="false">IF($O2103="","",IF($P2103&lt;=BankCostEnvelope*'5. Scenarios'!$D$7,1,0))</f>
        <v/>
      </c>
      <c r="R2103" s="57" t="str">
        <f aca="false">IF($N2103="","",INDEX(BookRate,2098)*(1+'5. Scenarios'!$D$10)*(INDEX(BookQ1,2098)*(5-MIN(4,1+'5. Scenarios'!$D$8))/4+INDEX(BookQ2,2098)*(5-MIN(4,2+'5. Scenarios'!$D$8))/4+INDEX(BookQ3,2098)*(5-MIN(4,3+'5. Scenarios'!$D$8))/4+INDEX(BookQ4,2098)*(5-MIN(4,4+'5. Scenarios'!$D$8))/4)*'5. Scenarios'!$D$6/(1+ProductivityDefault*('5. Scenarios'!$D$11-1))+INDEX(BookOneOff,2098)*$N2103)</f>
        <v/>
      </c>
      <c r="S2103" s="56" t="str">
        <f aca="false">IF(INDEX(BookTitle,2098)="","",INDEX(BookTotal,2098)*'5. Scenarios'!$E$6/(1+ProductivityDefault*('5. Scenarios'!$E$11-1)))</f>
        <v/>
      </c>
      <c r="T2103" s="57" t="str">
        <f aca="false">IF($S2103="","",INDEX(BookRate,2098)*(1+'5. Scenarios'!$E$10)*$S2103)</f>
        <v/>
      </c>
      <c r="U2103" s="57" t="str">
        <f aca="false">IF($T2103="","",SUMIFS($T$6:$T$2405,$A$6:$A$2405,"&lt;="&amp;$A2103))</f>
        <v/>
      </c>
      <c r="V2103" s="57" t="str">
        <f aca="false">IF($T2103="","",IF($U2103&lt;=BankCostEnvelope*'5. Scenarios'!$E$7,1,0))</f>
        <v/>
      </c>
      <c r="W2103" s="57" t="str">
        <f aca="false">IF($S2103="","",INDEX(BookRate,2098)*(1+'5. Scenarios'!$E$10)*(INDEX(BookQ1,2098)*(5-MIN(4,1+'5. Scenarios'!$E$8))/4+INDEX(BookQ2,2098)*(5-MIN(4,2+'5. Scenarios'!$E$8))/4+INDEX(BookQ3,2098)*(5-MIN(4,3+'5. Scenarios'!$E$8))/4+INDEX(BookQ4,2098)*(5-MIN(4,4+'5. Scenarios'!$E$8))/4)*'5. Scenarios'!$E$6/(1+ProductivityDefault*('5. Scenarios'!$E$11-1))+INDEX(BookOneOff,2098)*$S2103)</f>
        <v/>
      </c>
    </row>
    <row r="2104" customFormat="false" ht="15" hidden="false" customHeight="false" outlineLevel="0" collapsed="false">
      <c r="A2104" s="0" t="str">
        <f aca="false">IF(INDEX(BookTitle,2099)="","",INDEX(BookKey,2099))</f>
        <v/>
      </c>
      <c r="B2104" s="0" t="str">
        <f aca="false">IF(INDEX(BookTitle,2099)="","",INDEX(BookGroup,2099))</f>
        <v/>
      </c>
      <c r="C2104" s="0" t="str">
        <f aca="false">IF(INDEX(BookTitle,2099)="","",INDEX(BookCategory,2099))</f>
        <v/>
      </c>
      <c r="D2104" s="56" t="str">
        <f aca="false">IF(INDEX(BookTitle,2099)="","",INDEX(BookTotal,2099)*'5. Scenarios'!$B$6/(1+ProductivityDefault*('5. Scenarios'!$B$11-1)))</f>
        <v/>
      </c>
      <c r="E2104" s="57" t="str">
        <f aca="false">IF($D2104="","",INDEX(BookRate,2099)*(1+'5. Scenarios'!$B$10)*$D2104)</f>
        <v/>
      </c>
      <c r="F2104" s="57" t="str">
        <f aca="false">IF($E2104="","",SUMIFS($E$6:$E$2405,$A$6:$A$2405,"&lt;="&amp;$A2104))</f>
        <v/>
      </c>
      <c r="G2104" s="57" t="str">
        <f aca="false">IF($E2104="","",IF($F2104&lt;=BankCostEnvelope*'5. Scenarios'!$B$7,1,0))</f>
        <v/>
      </c>
      <c r="H2104" s="57" t="str">
        <f aca="false">IF($D2104="","",INDEX(BookRate,2099)*(1+'5. Scenarios'!$B$10)*(INDEX(BookQ1,2099)*(5-MIN(4,1+'5. Scenarios'!$B$8))/4+INDEX(BookQ2,2099)*(5-MIN(4,2+'5. Scenarios'!$B$8))/4+INDEX(BookQ3,2099)*(5-MIN(4,3+'5. Scenarios'!$B$8))/4+INDEX(BookQ4,2099)*(5-MIN(4,4+'5. Scenarios'!$B$8))/4)*'5. Scenarios'!$B$6/(1+ProductivityDefault*('5. Scenarios'!$B$11-1))+INDEX(BookOneOff,2099)*$D2104)</f>
        <v/>
      </c>
      <c r="I2104" s="56" t="str">
        <f aca="false">IF(INDEX(BookTitle,2099)="","",INDEX(BookTotal,2099)*'5. Scenarios'!$C$6/(1+ProductivityDefault*('5. Scenarios'!$C$11-1)))</f>
        <v/>
      </c>
      <c r="J2104" s="57" t="str">
        <f aca="false">IF($I2104="","",INDEX(BookRate,2099)*(1+'5. Scenarios'!$C$10)*$I2104)</f>
        <v/>
      </c>
      <c r="K2104" s="57" t="str">
        <f aca="false">IF($J2104="","",SUMIFS($J$6:$J$2405,$A$6:$A$2405,"&lt;="&amp;$A2104))</f>
        <v/>
      </c>
      <c r="L2104" s="57" t="str">
        <f aca="false">IF($J2104="","",IF($K2104&lt;=BankCostEnvelope*'5. Scenarios'!$C$7,1,0))</f>
        <v/>
      </c>
      <c r="M2104" s="57" t="str">
        <f aca="false">IF($I2104="","",INDEX(BookRate,2099)*(1+'5. Scenarios'!$C$10)*(INDEX(BookQ1,2099)*(5-MIN(4,1+'5. Scenarios'!$C$8))/4+INDEX(BookQ2,2099)*(5-MIN(4,2+'5. Scenarios'!$C$8))/4+INDEX(BookQ3,2099)*(5-MIN(4,3+'5. Scenarios'!$C$8))/4+INDEX(BookQ4,2099)*(5-MIN(4,4+'5. Scenarios'!$C$8))/4)*'5. Scenarios'!$C$6/(1+ProductivityDefault*('5. Scenarios'!$C$11-1))+INDEX(BookOneOff,2099)*$I2104)</f>
        <v/>
      </c>
      <c r="N2104" s="56" t="str">
        <f aca="false">IF(INDEX(BookTitle,2099)="","",INDEX(BookTotal,2099)*'5. Scenarios'!$D$6/(1+ProductivityDefault*('5. Scenarios'!$D$11-1)))</f>
        <v/>
      </c>
      <c r="O2104" s="57" t="str">
        <f aca="false">IF($N2104="","",INDEX(BookRate,2099)*(1+'5. Scenarios'!$D$10)*$N2104)</f>
        <v/>
      </c>
      <c r="P2104" s="57" t="str">
        <f aca="false">IF($O2104="","",SUMIFS($O$6:$O$2405,$A$6:$A$2405,"&lt;="&amp;$A2104))</f>
        <v/>
      </c>
      <c r="Q2104" s="57" t="str">
        <f aca="false">IF($O2104="","",IF($P2104&lt;=BankCostEnvelope*'5. Scenarios'!$D$7,1,0))</f>
        <v/>
      </c>
      <c r="R2104" s="57" t="str">
        <f aca="false">IF($N2104="","",INDEX(BookRate,2099)*(1+'5. Scenarios'!$D$10)*(INDEX(BookQ1,2099)*(5-MIN(4,1+'5. Scenarios'!$D$8))/4+INDEX(BookQ2,2099)*(5-MIN(4,2+'5. Scenarios'!$D$8))/4+INDEX(BookQ3,2099)*(5-MIN(4,3+'5. Scenarios'!$D$8))/4+INDEX(BookQ4,2099)*(5-MIN(4,4+'5. Scenarios'!$D$8))/4)*'5. Scenarios'!$D$6/(1+ProductivityDefault*('5. Scenarios'!$D$11-1))+INDEX(BookOneOff,2099)*$N2104)</f>
        <v/>
      </c>
      <c r="S2104" s="56" t="str">
        <f aca="false">IF(INDEX(BookTitle,2099)="","",INDEX(BookTotal,2099)*'5. Scenarios'!$E$6/(1+ProductivityDefault*('5. Scenarios'!$E$11-1)))</f>
        <v/>
      </c>
      <c r="T2104" s="57" t="str">
        <f aca="false">IF($S2104="","",INDEX(BookRate,2099)*(1+'5. Scenarios'!$E$10)*$S2104)</f>
        <v/>
      </c>
      <c r="U2104" s="57" t="str">
        <f aca="false">IF($T2104="","",SUMIFS($T$6:$T$2405,$A$6:$A$2405,"&lt;="&amp;$A2104))</f>
        <v/>
      </c>
      <c r="V2104" s="57" t="str">
        <f aca="false">IF($T2104="","",IF($U2104&lt;=BankCostEnvelope*'5. Scenarios'!$E$7,1,0))</f>
        <v/>
      </c>
      <c r="W2104" s="57" t="str">
        <f aca="false">IF($S2104="","",INDEX(BookRate,2099)*(1+'5. Scenarios'!$E$10)*(INDEX(BookQ1,2099)*(5-MIN(4,1+'5. Scenarios'!$E$8))/4+INDEX(BookQ2,2099)*(5-MIN(4,2+'5. Scenarios'!$E$8))/4+INDEX(BookQ3,2099)*(5-MIN(4,3+'5. Scenarios'!$E$8))/4+INDEX(BookQ4,2099)*(5-MIN(4,4+'5. Scenarios'!$E$8))/4)*'5. Scenarios'!$E$6/(1+ProductivityDefault*('5. Scenarios'!$E$11-1))+INDEX(BookOneOff,2099)*$S2104)</f>
        <v/>
      </c>
    </row>
    <row r="2105" customFormat="false" ht="15" hidden="false" customHeight="false" outlineLevel="0" collapsed="false">
      <c r="A2105" s="0" t="str">
        <f aca="false">IF(INDEX(BookTitle,2100)="","",INDEX(BookKey,2100))</f>
        <v/>
      </c>
      <c r="B2105" s="0" t="str">
        <f aca="false">IF(INDEX(BookTitle,2100)="","",INDEX(BookGroup,2100))</f>
        <v/>
      </c>
      <c r="C2105" s="0" t="str">
        <f aca="false">IF(INDEX(BookTitle,2100)="","",INDEX(BookCategory,2100))</f>
        <v/>
      </c>
      <c r="D2105" s="56" t="str">
        <f aca="false">IF(INDEX(BookTitle,2100)="","",INDEX(BookTotal,2100)*'5. Scenarios'!$B$6/(1+ProductivityDefault*('5. Scenarios'!$B$11-1)))</f>
        <v/>
      </c>
      <c r="E2105" s="57" t="str">
        <f aca="false">IF($D2105="","",INDEX(BookRate,2100)*(1+'5. Scenarios'!$B$10)*$D2105)</f>
        <v/>
      </c>
      <c r="F2105" s="57" t="str">
        <f aca="false">IF($E2105="","",SUMIFS($E$6:$E$2405,$A$6:$A$2405,"&lt;="&amp;$A2105))</f>
        <v/>
      </c>
      <c r="G2105" s="57" t="str">
        <f aca="false">IF($E2105="","",IF($F2105&lt;=BankCostEnvelope*'5. Scenarios'!$B$7,1,0))</f>
        <v/>
      </c>
      <c r="H2105" s="57" t="str">
        <f aca="false">IF($D2105="","",INDEX(BookRate,2100)*(1+'5. Scenarios'!$B$10)*(INDEX(BookQ1,2100)*(5-MIN(4,1+'5. Scenarios'!$B$8))/4+INDEX(BookQ2,2100)*(5-MIN(4,2+'5. Scenarios'!$B$8))/4+INDEX(BookQ3,2100)*(5-MIN(4,3+'5. Scenarios'!$B$8))/4+INDEX(BookQ4,2100)*(5-MIN(4,4+'5. Scenarios'!$B$8))/4)*'5. Scenarios'!$B$6/(1+ProductivityDefault*('5. Scenarios'!$B$11-1))+INDEX(BookOneOff,2100)*$D2105)</f>
        <v/>
      </c>
      <c r="I2105" s="56" t="str">
        <f aca="false">IF(INDEX(BookTitle,2100)="","",INDEX(BookTotal,2100)*'5. Scenarios'!$C$6/(1+ProductivityDefault*('5. Scenarios'!$C$11-1)))</f>
        <v/>
      </c>
      <c r="J2105" s="57" t="str">
        <f aca="false">IF($I2105="","",INDEX(BookRate,2100)*(1+'5. Scenarios'!$C$10)*$I2105)</f>
        <v/>
      </c>
      <c r="K2105" s="57" t="str">
        <f aca="false">IF($J2105="","",SUMIFS($J$6:$J$2405,$A$6:$A$2405,"&lt;="&amp;$A2105))</f>
        <v/>
      </c>
      <c r="L2105" s="57" t="str">
        <f aca="false">IF($J2105="","",IF($K2105&lt;=BankCostEnvelope*'5. Scenarios'!$C$7,1,0))</f>
        <v/>
      </c>
      <c r="M2105" s="57" t="str">
        <f aca="false">IF($I2105="","",INDEX(BookRate,2100)*(1+'5. Scenarios'!$C$10)*(INDEX(BookQ1,2100)*(5-MIN(4,1+'5. Scenarios'!$C$8))/4+INDEX(BookQ2,2100)*(5-MIN(4,2+'5. Scenarios'!$C$8))/4+INDEX(BookQ3,2100)*(5-MIN(4,3+'5. Scenarios'!$C$8))/4+INDEX(BookQ4,2100)*(5-MIN(4,4+'5. Scenarios'!$C$8))/4)*'5. Scenarios'!$C$6/(1+ProductivityDefault*('5. Scenarios'!$C$11-1))+INDEX(BookOneOff,2100)*$I2105)</f>
        <v/>
      </c>
      <c r="N2105" s="56" t="str">
        <f aca="false">IF(INDEX(BookTitle,2100)="","",INDEX(BookTotal,2100)*'5. Scenarios'!$D$6/(1+ProductivityDefault*('5. Scenarios'!$D$11-1)))</f>
        <v/>
      </c>
      <c r="O2105" s="57" t="str">
        <f aca="false">IF($N2105="","",INDEX(BookRate,2100)*(1+'5. Scenarios'!$D$10)*$N2105)</f>
        <v/>
      </c>
      <c r="P2105" s="57" t="str">
        <f aca="false">IF($O2105="","",SUMIFS($O$6:$O$2405,$A$6:$A$2405,"&lt;="&amp;$A2105))</f>
        <v/>
      </c>
      <c r="Q2105" s="57" t="str">
        <f aca="false">IF($O2105="","",IF($P2105&lt;=BankCostEnvelope*'5. Scenarios'!$D$7,1,0))</f>
        <v/>
      </c>
      <c r="R2105" s="57" t="str">
        <f aca="false">IF($N2105="","",INDEX(BookRate,2100)*(1+'5. Scenarios'!$D$10)*(INDEX(BookQ1,2100)*(5-MIN(4,1+'5. Scenarios'!$D$8))/4+INDEX(BookQ2,2100)*(5-MIN(4,2+'5. Scenarios'!$D$8))/4+INDEX(BookQ3,2100)*(5-MIN(4,3+'5. Scenarios'!$D$8))/4+INDEX(BookQ4,2100)*(5-MIN(4,4+'5. Scenarios'!$D$8))/4)*'5. Scenarios'!$D$6/(1+ProductivityDefault*('5. Scenarios'!$D$11-1))+INDEX(BookOneOff,2100)*$N2105)</f>
        <v/>
      </c>
      <c r="S2105" s="56" t="str">
        <f aca="false">IF(INDEX(BookTitle,2100)="","",INDEX(BookTotal,2100)*'5. Scenarios'!$E$6/(1+ProductivityDefault*('5. Scenarios'!$E$11-1)))</f>
        <v/>
      </c>
      <c r="T2105" s="57" t="str">
        <f aca="false">IF($S2105="","",INDEX(BookRate,2100)*(1+'5. Scenarios'!$E$10)*$S2105)</f>
        <v/>
      </c>
      <c r="U2105" s="57" t="str">
        <f aca="false">IF($T2105="","",SUMIFS($T$6:$T$2405,$A$6:$A$2405,"&lt;="&amp;$A2105))</f>
        <v/>
      </c>
      <c r="V2105" s="57" t="str">
        <f aca="false">IF($T2105="","",IF($U2105&lt;=BankCostEnvelope*'5. Scenarios'!$E$7,1,0))</f>
        <v/>
      </c>
      <c r="W2105" s="57" t="str">
        <f aca="false">IF($S2105="","",INDEX(BookRate,2100)*(1+'5. Scenarios'!$E$10)*(INDEX(BookQ1,2100)*(5-MIN(4,1+'5. Scenarios'!$E$8))/4+INDEX(BookQ2,2100)*(5-MIN(4,2+'5. Scenarios'!$E$8))/4+INDEX(BookQ3,2100)*(5-MIN(4,3+'5. Scenarios'!$E$8))/4+INDEX(BookQ4,2100)*(5-MIN(4,4+'5. Scenarios'!$E$8))/4)*'5. Scenarios'!$E$6/(1+ProductivityDefault*('5. Scenarios'!$E$11-1))+INDEX(BookOneOff,2100)*$S2105)</f>
        <v/>
      </c>
    </row>
    <row r="2106" customFormat="false" ht="15" hidden="false" customHeight="false" outlineLevel="0" collapsed="false">
      <c r="A2106" s="0" t="str">
        <f aca="false">IF(INDEX(BookTitle,2101)="","",INDEX(BookKey,2101))</f>
        <v/>
      </c>
      <c r="B2106" s="0" t="str">
        <f aca="false">IF(INDEX(BookTitle,2101)="","",INDEX(BookGroup,2101))</f>
        <v/>
      </c>
      <c r="C2106" s="0" t="str">
        <f aca="false">IF(INDEX(BookTitle,2101)="","",INDEX(BookCategory,2101))</f>
        <v/>
      </c>
      <c r="D2106" s="56" t="str">
        <f aca="false">IF(INDEX(BookTitle,2101)="","",INDEX(BookTotal,2101)*'5. Scenarios'!$B$6/(1+ProductivityDefault*('5. Scenarios'!$B$11-1)))</f>
        <v/>
      </c>
      <c r="E2106" s="57" t="str">
        <f aca="false">IF($D2106="","",INDEX(BookRate,2101)*(1+'5. Scenarios'!$B$10)*$D2106)</f>
        <v/>
      </c>
      <c r="F2106" s="57" t="str">
        <f aca="false">IF($E2106="","",SUMIFS($E$6:$E$2405,$A$6:$A$2405,"&lt;="&amp;$A2106))</f>
        <v/>
      </c>
      <c r="G2106" s="57" t="str">
        <f aca="false">IF($E2106="","",IF($F2106&lt;=BankCostEnvelope*'5. Scenarios'!$B$7,1,0))</f>
        <v/>
      </c>
      <c r="H2106" s="57" t="str">
        <f aca="false">IF($D2106="","",INDEX(BookRate,2101)*(1+'5. Scenarios'!$B$10)*(INDEX(BookQ1,2101)*(5-MIN(4,1+'5. Scenarios'!$B$8))/4+INDEX(BookQ2,2101)*(5-MIN(4,2+'5. Scenarios'!$B$8))/4+INDEX(BookQ3,2101)*(5-MIN(4,3+'5. Scenarios'!$B$8))/4+INDEX(BookQ4,2101)*(5-MIN(4,4+'5. Scenarios'!$B$8))/4)*'5. Scenarios'!$B$6/(1+ProductivityDefault*('5. Scenarios'!$B$11-1))+INDEX(BookOneOff,2101)*$D2106)</f>
        <v/>
      </c>
      <c r="I2106" s="56" t="str">
        <f aca="false">IF(INDEX(BookTitle,2101)="","",INDEX(BookTotal,2101)*'5. Scenarios'!$C$6/(1+ProductivityDefault*('5. Scenarios'!$C$11-1)))</f>
        <v/>
      </c>
      <c r="J2106" s="57" t="str">
        <f aca="false">IF($I2106="","",INDEX(BookRate,2101)*(1+'5. Scenarios'!$C$10)*$I2106)</f>
        <v/>
      </c>
      <c r="K2106" s="57" t="str">
        <f aca="false">IF($J2106="","",SUMIFS($J$6:$J$2405,$A$6:$A$2405,"&lt;="&amp;$A2106))</f>
        <v/>
      </c>
      <c r="L2106" s="57" t="str">
        <f aca="false">IF($J2106="","",IF($K2106&lt;=BankCostEnvelope*'5. Scenarios'!$C$7,1,0))</f>
        <v/>
      </c>
      <c r="M2106" s="57" t="str">
        <f aca="false">IF($I2106="","",INDEX(BookRate,2101)*(1+'5. Scenarios'!$C$10)*(INDEX(BookQ1,2101)*(5-MIN(4,1+'5. Scenarios'!$C$8))/4+INDEX(BookQ2,2101)*(5-MIN(4,2+'5. Scenarios'!$C$8))/4+INDEX(BookQ3,2101)*(5-MIN(4,3+'5. Scenarios'!$C$8))/4+INDEX(BookQ4,2101)*(5-MIN(4,4+'5. Scenarios'!$C$8))/4)*'5. Scenarios'!$C$6/(1+ProductivityDefault*('5. Scenarios'!$C$11-1))+INDEX(BookOneOff,2101)*$I2106)</f>
        <v/>
      </c>
      <c r="N2106" s="56" t="str">
        <f aca="false">IF(INDEX(BookTitle,2101)="","",INDEX(BookTotal,2101)*'5. Scenarios'!$D$6/(1+ProductivityDefault*('5. Scenarios'!$D$11-1)))</f>
        <v/>
      </c>
      <c r="O2106" s="57" t="str">
        <f aca="false">IF($N2106="","",INDEX(BookRate,2101)*(1+'5. Scenarios'!$D$10)*$N2106)</f>
        <v/>
      </c>
      <c r="P2106" s="57" t="str">
        <f aca="false">IF($O2106="","",SUMIFS($O$6:$O$2405,$A$6:$A$2405,"&lt;="&amp;$A2106))</f>
        <v/>
      </c>
      <c r="Q2106" s="57" t="str">
        <f aca="false">IF($O2106="","",IF($P2106&lt;=BankCostEnvelope*'5. Scenarios'!$D$7,1,0))</f>
        <v/>
      </c>
      <c r="R2106" s="57" t="str">
        <f aca="false">IF($N2106="","",INDEX(BookRate,2101)*(1+'5. Scenarios'!$D$10)*(INDEX(BookQ1,2101)*(5-MIN(4,1+'5. Scenarios'!$D$8))/4+INDEX(BookQ2,2101)*(5-MIN(4,2+'5. Scenarios'!$D$8))/4+INDEX(BookQ3,2101)*(5-MIN(4,3+'5. Scenarios'!$D$8))/4+INDEX(BookQ4,2101)*(5-MIN(4,4+'5. Scenarios'!$D$8))/4)*'5. Scenarios'!$D$6/(1+ProductivityDefault*('5. Scenarios'!$D$11-1))+INDEX(BookOneOff,2101)*$N2106)</f>
        <v/>
      </c>
      <c r="S2106" s="56" t="str">
        <f aca="false">IF(INDEX(BookTitle,2101)="","",INDEX(BookTotal,2101)*'5. Scenarios'!$E$6/(1+ProductivityDefault*('5. Scenarios'!$E$11-1)))</f>
        <v/>
      </c>
      <c r="T2106" s="57" t="str">
        <f aca="false">IF($S2106="","",INDEX(BookRate,2101)*(1+'5. Scenarios'!$E$10)*$S2106)</f>
        <v/>
      </c>
      <c r="U2106" s="57" t="str">
        <f aca="false">IF($T2106="","",SUMIFS($T$6:$T$2405,$A$6:$A$2405,"&lt;="&amp;$A2106))</f>
        <v/>
      </c>
      <c r="V2106" s="57" t="str">
        <f aca="false">IF($T2106="","",IF($U2106&lt;=BankCostEnvelope*'5. Scenarios'!$E$7,1,0))</f>
        <v/>
      </c>
      <c r="W2106" s="57" t="str">
        <f aca="false">IF($S2106="","",INDEX(BookRate,2101)*(1+'5. Scenarios'!$E$10)*(INDEX(BookQ1,2101)*(5-MIN(4,1+'5. Scenarios'!$E$8))/4+INDEX(BookQ2,2101)*(5-MIN(4,2+'5. Scenarios'!$E$8))/4+INDEX(BookQ3,2101)*(5-MIN(4,3+'5. Scenarios'!$E$8))/4+INDEX(BookQ4,2101)*(5-MIN(4,4+'5. Scenarios'!$E$8))/4)*'5. Scenarios'!$E$6/(1+ProductivityDefault*('5. Scenarios'!$E$11-1))+INDEX(BookOneOff,2101)*$S2106)</f>
        <v/>
      </c>
    </row>
    <row r="2107" customFormat="false" ht="15" hidden="false" customHeight="false" outlineLevel="0" collapsed="false">
      <c r="A2107" s="0" t="str">
        <f aca="false">IF(INDEX(BookTitle,2102)="","",INDEX(BookKey,2102))</f>
        <v/>
      </c>
      <c r="B2107" s="0" t="str">
        <f aca="false">IF(INDEX(BookTitle,2102)="","",INDEX(BookGroup,2102))</f>
        <v/>
      </c>
      <c r="C2107" s="0" t="str">
        <f aca="false">IF(INDEX(BookTitle,2102)="","",INDEX(BookCategory,2102))</f>
        <v/>
      </c>
      <c r="D2107" s="56" t="str">
        <f aca="false">IF(INDEX(BookTitle,2102)="","",INDEX(BookTotal,2102)*'5. Scenarios'!$B$6/(1+ProductivityDefault*('5. Scenarios'!$B$11-1)))</f>
        <v/>
      </c>
      <c r="E2107" s="57" t="str">
        <f aca="false">IF($D2107="","",INDEX(BookRate,2102)*(1+'5. Scenarios'!$B$10)*$D2107)</f>
        <v/>
      </c>
      <c r="F2107" s="57" t="str">
        <f aca="false">IF($E2107="","",SUMIFS($E$6:$E$2405,$A$6:$A$2405,"&lt;="&amp;$A2107))</f>
        <v/>
      </c>
      <c r="G2107" s="57" t="str">
        <f aca="false">IF($E2107="","",IF($F2107&lt;=BankCostEnvelope*'5. Scenarios'!$B$7,1,0))</f>
        <v/>
      </c>
      <c r="H2107" s="57" t="str">
        <f aca="false">IF($D2107="","",INDEX(BookRate,2102)*(1+'5. Scenarios'!$B$10)*(INDEX(BookQ1,2102)*(5-MIN(4,1+'5. Scenarios'!$B$8))/4+INDEX(BookQ2,2102)*(5-MIN(4,2+'5. Scenarios'!$B$8))/4+INDEX(BookQ3,2102)*(5-MIN(4,3+'5. Scenarios'!$B$8))/4+INDEX(BookQ4,2102)*(5-MIN(4,4+'5. Scenarios'!$B$8))/4)*'5. Scenarios'!$B$6/(1+ProductivityDefault*('5. Scenarios'!$B$11-1))+INDEX(BookOneOff,2102)*$D2107)</f>
        <v/>
      </c>
      <c r="I2107" s="56" t="str">
        <f aca="false">IF(INDEX(BookTitle,2102)="","",INDEX(BookTotal,2102)*'5. Scenarios'!$C$6/(1+ProductivityDefault*('5. Scenarios'!$C$11-1)))</f>
        <v/>
      </c>
      <c r="J2107" s="57" t="str">
        <f aca="false">IF($I2107="","",INDEX(BookRate,2102)*(1+'5. Scenarios'!$C$10)*$I2107)</f>
        <v/>
      </c>
      <c r="K2107" s="57" t="str">
        <f aca="false">IF($J2107="","",SUMIFS($J$6:$J$2405,$A$6:$A$2405,"&lt;="&amp;$A2107))</f>
        <v/>
      </c>
      <c r="L2107" s="57" t="str">
        <f aca="false">IF($J2107="","",IF($K2107&lt;=BankCostEnvelope*'5. Scenarios'!$C$7,1,0))</f>
        <v/>
      </c>
      <c r="M2107" s="57" t="str">
        <f aca="false">IF($I2107="","",INDEX(BookRate,2102)*(1+'5. Scenarios'!$C$10)*(INDEX(BookQ1,2102)*(5-MIN(4,1+'5. Scenarios'!$C$8))/4+INDEX(BookQ2,2102)*(5-MIN(4,2+'5. Scenarios'!$C$8))/4+INDEX(BookQ3,2102)*(5-MIN(4,3+'5. Scenarios'!$C$8))/4+INDEX(BookQ4,2102)*(5-MIN(4,4+'5. Scenarios'!$C$8))/4)*'5. Scenarios'!$C$6/(1+ProductivityDefault*('5. Scenarios'!$C$11-1))+INDEX(BookOneOff,2102)*$I2107)</f>
        <v/>
      </c>
      <c r="N2107" s="56" t="str">
        <f aca="false">IF(INDEX(BookTitle,2102)="","",INDEX(BookTotal,2102)*'5. Scenarios'!$D$6/(1+ProductivityDefault*('5. Scenarios'!$D$11-1)))</f>
        <v/>
      </c>
      <c r="O2107" s="57" t="str">
        <f aca="false">IF($N2107="","",INDEX(BookRate,2102)*(1+'5. Scenarios'!$D$10)*$N2107)</f>
        <v/>
      </c>
      <c r="P2107" s="57" t="str">
        <f aca="false">IF($O2107="","",SUMIFS($O$6:$O$2405,$A$6:$A$2405,"&lt;="&amp;$A2107))</f>
        <v/>
      </c>
      <c r="Q2107" s="57" t="str">
        <f aca="false">IF($O2107="","",IF($P2107&lt;=BankCostEnvelope*'5. Scenarios'!$D$7,1,0))</f>
        <v/>
      </c>
      <c r="R2107" s="57" t="str">
        <f aca="false">IF($N2107="","",INDEX(BookRate,2102)*(1+'5. Scenarios'!$D$10)*(INDEX(BookQ1,2102)*(5-MIN(4,1+'5. Scenarios'!$D$8))/4+INDEX(BookQ2,2102)*(5-MIN(4,2+'5. Scenarios'!$D$8))/4+INDEX(BookQ3,2102)*(5-MIN(4,3+'5. Scenarios'!$D$8))/4+INDEX(BookQ4,2102)*(5-MIN(4,4+'5. Scenarios'!$D$8))/4)*'5. Scenarios'!$D$6/(1+ProductivityDefault*('5. Scenarios'!$D$11-1))+INDEX(BookOneOff,2102)*$N2107)</f>
        <v/>
      </c>
      <c r="S2107" s="56" t="str">
        <f aca="false">IF(INDEX(BookTitle,2102)="","",INDEX(BookTotal,2102)*'5. Scenarios'!$E$6/(1+ProductivityDefault*('5. Scenarios'!$E$11-1)))</f>
        <v/>
      </c>
      <c r="T2107" s="57" t="str">
        <f aca="false">IF($S2107="","",INDEX(BookRate,2102)*(1+'5. Scenarios'!$E$10)*$S2107)</f>
        <v/>
      </c>
      <c r="U2107" s="57" t="str">
        <f aca="false">IF($T2107="","",SUMIFS($T$6:$T$2405,$A$6:$A$2405,"&lt;="&amp;$A2107))</f>
        <v/>
      </c>
      <c r="V2107" s="57" t="str">
        <f aca="false">IF($T2107="","",IF($U2107&lt;=BankCostEnvelope*'5. Scenarios'!$E$7,1,0))</f>
        <v/>
      </c>
      <c r="W2107" s="57" t="str">
        <f aca="false">IF($S2107="","",INDEX(BookRate,2102)*(1+'5. Scenarios'!$E$10)*(INDEX(BookQ1,2102)*(5-MIN(4,1+'5. Scenarios'!$E$8))/4+INDEX(BookQ2,2102)*(5-MIN(4,2+'5. Scenarios'!$E$8))/4+INDEX(BookQ3,2102)*(5-MIN(4,3+'5. Scenarios'!$E$8))/4+INDEX(BookQ4,2102)*(5-MIN(4,4+'5. Scenarios'!$E$8))/4)*'5. Scenarios'!$E$6/(1+ProductivityDefault*('5. Scenarios'!$E$11-1))+INDEX(BookOneOff,2102)*$S2107)</f>
        <v/>
      </c>
    </row>
    <row r="2108" customFormat="false" ht="15" hidden="false" customHeight="false" outlineLevel="0" collapsed="false">
      <c r="A2108" s="0" t="str">
        <f aca="false">IF(INDEX(BookTitle,2103)="","",INDEX(BookKey,2103))</f>
        <v/>
      </c>
      <c r="B2108" s="0" t="str">
        <f aca="false">IF(INDEX(BookTitle,2103)="","",INDEX(BookGroup,2103))</f>
        <v/>
      </c>
      <c r="C2108" s="0" t="str">
        <f aca="false">IF(INDEX(BookTitle,2103)="","",INDEX(BookCategory,2103))</f>
        <v/>
      </c>
      <c r="D2108" s="56" t="str">
        <f aca="false">IF(INDEX(BookTitle,2103)="","",INDEX(BookTotal,2103)*'5. Scenarios'!$B$6/(1+ProductivityDefault*('5. Scenarios'!$B$11-1)))</f>
        <v/>
      </c>
      <c r="E2108" s="57" t="str">
        <f aca="false">IF($D2108="","",INDEX(BookRate,2103)*(1+'5. Scenarios'!$B$10)*$D2108)</f>
        <v/>
      </c>
      <c r="F2108" s="57" t="str">
        <f aca="false">IF($E2108="","",SUMIFS($E$6:$E$2405,$A$6:$A$2405,"&lt;="&amp;$A2108))</f>
        <v/>
      </c>
      <c r="G2108" s="57" t="str">
        <f aca="false">IF($E2108="","",IF($F2108&lt;=BankCostEnvelope*'5. Scenarios'!$B$7,1,0))</f>
        <v/>
      </c>
      <c r="H2108" s="57" t="str">
        <f aca="false">IF($D2108="","",INDEX(BookRate,2103)*(1+'5. Scenarios'!$B$10)*(INDEX(BookQ1,2103)*(5-MIN(4,1+'5. Scenarios'!$B$8))/4+INDEX(BookQ2,2103)*(5-MIN(4,2+'5. Scenarios'!$B$8))/4+INDEX(BookQ3,2103)*(5-MIN(4,3+'5. Scenarios'!$B$8))/4+INDEX(BookQ4,2103)*(5-MIN(4,4+'5. Scenarios'!$B$8))/4)*'5. Scenarios'!$B$6/(1+ProductivityDefault*('5. Scenarios'!$B$11-1))+INDEX(BookOneOff,2103)*$D2108)</f>
        <v/>
      </c>
      <c r="I2108" s="56" t="str">
        <f aca="false">IF(INDEX(BookTitle,2103)="","",INDEX(BookTotal,2103)*'5. Scenarios'!$C$6/(1+ProductivityDefault*('5. Scenarios'!$C$11-1)))</f>
        <v/>
      </c>
      <c r="J2108" s="57" t="str">
        <f aca="false">IF($I2108="","",INDEX(BookRate,2103)*(1+'5. Scenarios'!$C$10)*$I2108)</f>
        <v/>
      </c>
      <c r="K2108" s="57" t="str">
        <f aca="false">IF($J2108="","",SUMIFS($J$6:$J$2405,$A$6:$A$2405,"&lt;="&amp;$A2108))</f>
        <v/>
      </c>
      <c r="L2108" s="57" t="str">
        <f aca="false">IF($J2108="","",IF($K2108&lt;=BankCostEnvelope*'5. Scenarios'!$C$7,1,0))</f>
        <v/>
      </c>
      <c r="M2108" s="57" t="str">
        <f aca="false">IF($I2108="","",INDEX(BookRate,2103)*(1+'5. Scenarios'!$C$10)*(INDEX(BookQ1,2103)*(5-MIN(4,1+'5. Scenarios'!$C$8))/4+INDEX(BookQ2,2103)*(5-MIN(4,2+'5. Scenarios'!$C$8))/4+INDEX(BookQ3,2103)*(5-MIN(4,3+'5. Scenarios'!$C$8))/4+INDEX(BookQ4,2103)*(5-MIN(4,4+'5. Scenarios'!$C$8))/4)*'5. Scenarios'!$C$6/(1+ProductivityDefault*('5. Scenarios'!$C$11-1))+INDEX(BookOneOff,2103)*$I2108)</f>
        <v/>
      </c>
      <c r="N2108" s="56" t="str">
        <f aca="false">IF(INDEX(BookTitle,2103)="","",INDEX(BookTotal,2103)*'5. Scenarios'!$D$6/(1+ProductivityDefault*('5. Scenarios'!$D$11-1)))</f>
        <v/>
      </c>
      <c r="O2108" s="57" t="str">
        <f aca="false">IF($N2108="","",INDEX(BookRate,2103)*(1+'5. Scenarios'!$D$10)*$N2108)</f>
        <v/>
      </c>
      <c r="P2108" s="57" t="str">
        <f aca="false">IF($O2108="","",SUMIFS($O$6:$O$2405,$A$6:$A$2405,"&lt;="&amp;$A2108))</f>
        <v/>
      </c>
      <c r="Q2108" s="57" t="str">
        <f aca="false">IF($O2108="","",IF($P2108&lt;=BankCostEnvelope*'5. Scenarios'!$D$7,1,0))</f>
        <v/>
      </c>
      <c r="R2108" s="57" t="str">
        <f aca="false">IF($N2108="","",INDEX(BookRate,2103)*(1+'5. Scenarios'!$D$10)*(INDEX(BookQ1,2103)*(5-MIN(4,1+'5. Scenarios'!$D$8))/4+INDEX(BookQ2,2103)*(5-MIN(4,2+'5. Scenarios'!$D$8))/4+INDEX(BookQ3,2103)*(5-MIN(4,3+'5. Scenarios'!$D$8))/4+INDEX(BookQ4,2103)*(5-MIN(4,4+'5. Scenarios'!$D$8))/4)*'5. Scenarios'!$D$6/(1+ProductivityDefault*('5. Scenarios'!$D$11-1))+INDEX(BookOneOff,2103)*$N2108)</f>
        <v/>
      </c>
      <c r="S2108" s="56" t="str">
        <f aca="false">IF(INDEX(BookTitle,2103)="","",INDEX(BookTotal,2103)*'5. Scenarios'!$E$6/(1+ProductivityDefault*('5. Scenarios'!$E$11-1)))</f>
        <v/>
      </c>
      <c r="T2108" s="57" t="str">
        <f aca="false">IF($S2108="","",INDEX(BookRate,2103)*(1+'5. Scenarios'!$E$10)*$S2108)</f>
        <v/>
      </c>
      <c r="U2108" s="57" t="str">
        <f aca="false">IF($T2108="","",SUMIFS($T$6:$T$2405,$A$6:$A$2405,"&lt;="&amp;$A2108))</f>
        <v/>
      </c>
      <c r="V2108" s="57" t="str">
        <f aca="false">IF($T2108="","",IF($U2108&lt;=BankCostEnvelope*'5. Scenarios'!$E$7,1,0))</f>
        <v/>
      </c>
      <c r="W2108" s="57" t="str">
        <f aca="false">IF($S2108="","",INDEX(BookRate,2103)*(1+'5. Scenarios'!$E$10)*(INDEX(BookQ1,2103)*(5-MIN(4,1+'5. Scenarios'!$E$8))/4+INDEX(BookQ2,2103)*(5-MIN(4,2+'5. Scenarios'!$E$8))/4+INDEX(BookQ3,2103)*(5-MIN(4,3+'5. Scenarios'!$E$8))/4+INDEX(BookQ4,2103)*(5-MIN(4,4+'5. Scenarios'!$E$8))/4)*'5. Scenarios'!$E$6/(1+ProductivityDefault*('5. Scenarios'!$E$11-1))+INDEX(BookOneOff,2103)*$S2108)</f>
        <v/>
      </c>
    </row>
    <row r="2109" customFormat="false" ht="15" hidden="false" customHeight="false" outlineLevel="0" collapsed="false">
      <c r="A2109" s="0" t="str">
        <f aca="false">IF(INDEX(BookTitle,2104)="","",INDEX(BookKey,2104))</f>
        <v/>
      </c>
      <c r="B2109" s="0" t="str">
        <f aca="false">IF(INDEX(BookTitle,2104)="","",INDEX(BookGroup,2104))</f>
        <v/>
      </c>
      <c r="C2109" s="0" t="str">
        <f aca="false">IF(INDEX(BookTitle,2104)="","",INDEX(BookCategory,2104))</f>
        <v/>
      </c>
      <c r="D2109" s="56" t="str">
        <f aca="false">IF(INDEX(BookTitle,2104)="","",INDEX(BookTotal,2104)*'5. Scenarios'!$B$6/(1+ProductivityDefault*('5. Scenarios'!$B$11-1)))</f>
        <v/>
      </c>
      <c r="E2109" s="57" t="str">
        <f aca="false">IF($D2109="","",INDEX(BookRate,2104)*(1+'5. Scenarios'!$B$10)*$D2109)</f>
        <v/>
      </c>
      <c r="F2109" s="57" t="str">
        <f aca="false">IF($E2109="","",SUMIFS($E$6:$E$2405,$A$6:$A$2405,"&lt;="&amp;$A2109))</f>
        <v/>
      </c>
      <c r="G2109" s="57" t="str">
        <f aca="false">IF($E2109="","",IF($F2109&lt;=BankCostEnvelope*'5. Scenarios'!$B$7,1,0))</f>
        <v/>
      </c>
      <c r="H2109" s="57" t="str">
        <f aca="false">IF($D2109="","",INDEX(BookRate,2104)*(1+'5. Scenarios'!$B$10)*(INDEX(BookQ1,2104)*(5-MIN(4,1+'5. Scenarios'!$B$8))/4+INDEX(BookQ2,2104)*(5-MIN(4,2+'5. Scenarios'!$B$8))/4+INDEX(BookQ3,2104)*(5-MIN(4,3+'5. Scenarios'!$B$8))/4+INDEX(BookQ4,2104)*(5-MIN(4,4+'5. Scenarios'!$B$8))/4)*'5. Scenarios'!$B$6/(1+ProductivityDefault*('5. Scenarios'!$B$11-1))+INDEX(BookOneOff,2104)*$D2109)</f>
        <v/>
      </c>
      <c r="I2109" s="56" t="str">
        <f aca="false">IF(INDEX(BookTitle,2104)="","",INDEX(BookTotal,2104)*'5. Scenarios'!$C$6/(1+ProductivityDefault*('5. Scenarios'!$C$11-1)))</f>
        <v/>
      </c>
      <c r="J2109" s="57" t="str">
        <f aca="false">IF($I2109="","",INDEX(BookRate,2104)*(1+'5. Scenarios'!$C$10)*$I2109)</f>
        <v/>
      </c>
      <c r="K2109" s="57" t="str">
        <f aca="false">IF($J2109="","",SUMIFS($J$6:$J$2405,$A$6:$A$2405,"&lt;="&amp;$A2109))</f>
        <v/>
      </c>
      <c r="L2109" s="57" t="str">
        <f aca="false">IF($J2109="","",IF($K2109&lt;=BankCostEnvelope*'5. Scenarios'!$C$7,1,0))</f>
        <v/>
      </c>
      <c r="M2109" s="57" t="str">
        <f aca="false">IF($I2109="","",INDEX(BookRate,2104)*(1+'5. Scenarios'!$C$10)*(INDEX(BookQ1,2104)*(5-MIN(4,1+'5. Scenarios'!$C$8))/4+INDEX(BookQ2,2104)*(5-MIN(4,2+'5. Scenarios'!$C$8))/4+INDEX(BookQ3,2104)*(5-MIN(4,3+'5. Scenarios'!$C$8))/4+INDEX(BookQ4,2104)*(5-MIN(4,4+'5. Scenarios'!$C$8))/4)*'5. Scenarios'!$C$6/(1+ProductivityDefault*('5. Scenarios'!$C$11-1))+INDEX(BookOneOff,2104)*$I2109)</f>
        <v/>
      </c>
      <c r="N2109" s="56" t="str">
        <f aca="false">IF(INDEX(BookTitle,2104)="","",INDEX(BookTotal,2104)*'5. Scenarios'!$D$6/(1+ProductivityDefault*('5. Scenarios'!$D$11-1)))</f>
        <v/>
      </c>
      <c r="O2109" s="57" t="str">
        <f aca="false">IF($N2109="","",INDEX(BookRate,2104)*(1+'5. Scenarios'!$D$10)*$N2109)</f>
        <v/>
      </c>
      <c r="P2109" s="57" t="str">
        <f aca="false">IF($O2109="","",SUMIFS($O$6:$O$2405,$A$6:$A$2405,"&lt;="&amp;$A2109))</f>
        <v/>
      </c>
      <c r="Q2109" s="57" t="str">
        <f aca="false">IF($O2109="","",IF($P2109&lt;=BankCostEnvelope*'5. Scenarios'!$D$7,1,0))</f>
        <v/>
      </c>
      <c r="R2109" s="57" t="str">
        <f aca="false">IF($N2109="","",INDEX(BookRate,2104)*(1+'5. Scenarios'!$D$10)*(INDEX(BookQ1,2104)*(5-MIN(4,1+'5. Scenarios'!$D$8))/4+INDEX(BookQ2,2104)*(5-MIN(4,2+'5. Scenarios'!$D$8))/4+INDEX(BookQ3,2104)*(5-MIN(4,3+'5. Scenarios'!$D$8))/4+INDEX(BookQ4,2104)*(5-MIN(4,4+'5. Scenarios'!$D$8))/4)*'5. Scenarios'!$D$6/(1+ProductivityDefault*('5. Scenarios'!$D$11-1))+INDEX(BookOneOff,2104)*$N2109)</f>
        <v/>
      </c>
      <c r="S2109" s="56" t="str">
        <f aca="false">IF(INDEX(BookTitle,2104)="","",INDEX(BookTotal,2104)*'5. Scenarios'!$E$6/(1+ProductivityDefault*('5. Scenarios'!$E$11-1)))</f>
        <v/>
      </c>
      <c r="T2109" s="57" t="str">
        <f aca="false">IF($S2109="","",INDEX(BookRate,2104)*(1+'5. Scenarios'!$E$10)*$S2109)</f>
        <v/>
      </c>
      <c r="U2109" s="57" t="str">
        <f aca="false">IF($T2109="","",SUMIFS($T$6:$T$2405,$A$6:$A$2405,"&lt;="&amp;$A2109))</f>
        <v/>
      </c>
      <c r="V2109" s="57" t="str">
        <f aca="false">IF($T2109="","",IF($U2109&lt;=BankCostEnvelope*'5. Scenarios'!$E$7,1,0))</f>
        <v/>
      </c>
      <c r="W2109" s="57" t="str">
        <f aca="false">IF($S2109="","",INDEX(BookRate,2104)*(1+'5. Scenarios'!$E$10)*(INDEX(BookQ1,2104)*(5-MIN(4,1+'5. Scenarios'!$E$8))/4+INDEX(BookQ2,2104)*(5-MIN(4,2+'5. Scenarios'!$E$8))/4+INDEX(BookQ3,2104)*(5-MIN(4,3+'5. Scenarios'!$E$8))/4+INDEX(BookQ4,2104)*(5-MIN(4,4+'5. Scenarios'!$E$8))/4)*'5. Scenarios'!$E$6/(1+ProductivityDefault*('5. Scenarios'!$E$11-1))+INDEX(BookOneOff,2104)*$S2109)</f>
        <v/>
      </c>
    </row>
    <row r="2110" customFormat="false" ht="15" hidden="false" customHeight="false" outlineLevel="0" collapsed="false">
      <c r="A2110" s="0" t="str">
        <f aca="false">IF(INDEX(BookTitle,2105)="","",INDEX(BookKey,2105))</f>
        <v/>
      </c>
      <c r="B2110" s="0" t="str">
        <f aca="false">IF(INDEX(BookTitle,2105)="","",INDEX(BookGroup,2105))</f>
        <v/>
      </c>
      <c r="C2110" s="0" t="str">
        <f aca="false">IF(INDEX(BookTitle,2105)="","",INDEX(BookCategory,2105))</f>
        <v/>
      </c>
      <c r="D2110" s="56" t="str">
        <f aca="false">IF(INDEX(BookTitle,2105)="","",INDEX(BookTotal,2105)*'5. Scenarios'!$B$6/(1+ProductivityDefault*('5. Scenarios'!$B$11-1)))</f>
        <v/>
      </c>
      <c r="E2110" s="57" t="str">
        <f aca="false">IF($D2110="","",INDEX(BookRate,2105)*(1+'5. Scenarios'!$B$10)*$D2110)</f>
        <v/>
      </c>
      <c r="F2110" s="57" t="str">
        <f aca="false">IF($E2110="","",SUMIFS($E$6:$E$2405,$A$6:$A$2405,"&lt;="&amp;$A2110))</f>
        <v/>
      </c>
      <c r="G2110" s="57" t="str">
        <f aca="false">IF($E2110="","",IF($F2110&lt;=BankCostEnvelope*'5. Scenarios'!$B$7,1,0))</f>
        <v/>
      </c>
      <c r="H2110" s="57" t="str">
        <f aca="false">IF($D2110="","",INDEX(BookRate,2105)*(1+'5. Scenarios'!$B$10)*(INDEX(BookQ1,2105)*(5-MIN(4,1+'5. Scenarios'!$B$8))/4+INDEX(BookQ2,2105)*(5-MIN(4,2+'5. Scenarios'!$B$8))/4+INDEX(BookQ3,2105)*(5-MIN(4,3+'5. Scenarios'!$B$8))/4+INDEX(BookQ4,2105)*(5-MIN(4,4+'5. Scenarios'!$B$8))/4)*'5. Scenarios'!$B$6/(1+ProductivityDefault*('5. Scenarios'!$B$11-1))+INDEX(BookOneOff,2105)*$D2110)</f>
        <v/>
      </c>
      <c r="I2110" s="56" t="str">
        <f aca="false">IF(INDEX(BookTitle,2105)="","",INDEX(BookTotal,2105)*'5. Scenarios'!$C$6/(1+ProductivityDefault*('5. Scenarios'!$C$11-1)))</f>
        <v/>
      </c>
      <c r="J2110" s="57" t="str">
        <f aca="false">IF($I2110="","",INDEX(BookRate,2105)*(1+'5. Scenarios'!$C$10)*$I2110)</f>
        <v/>
      </c>
      <c r="K2110" s="57" t="str">
        <f aca="false">IF($J2110="","",SUMIFS($J$6:$J$2405,$A$6:$A$2405,"&lt;="&amp;$A2110))</f>
        <v/>
      </c>
      <c r="L2110" s="57" t="str">
        <f aca="false">IF($J2110="","",IF($K2110&lt;=BankCostEnvelope*'5. Scenarios'!$C$7,1,0))</f>
        <v/>
      </c>
      <c r="M2110" s="57" t="str">
        <f aca="false">IF($I2110="","",INDEX(BookRate,2105)*(1+'5. Scenarios'!$C$10)*(INDEX(BookQ1,2105)*(5-MIN(4,1+'5. Scenarios'!$C$8))/4+INDEX(BookQ2,2105)*(5-MIN(4,2+'5. Scenarios'!$C$8))/4+INDEX(BookQ3,2105)*(5-MIN(4,3+'5. Scenarios'!$C$8))/4+INDEX(BookQ4,2105)*(5-MIN(4,4+'5. Scenarios'!$C$8))/4)*'5. Scenarios'!$C$6/(1+ProductivityDefault*('5. Scenarios'!$C$11-1))+INDEX(BookOneOff,2105)*$I2110)</f>
        <v/>
      </c>
      <c r="N2110" s="56" t="str">
        <f aca="false">IF(INDEX(BookTitle,2105)="","",INDEX(BookTotal,2105)*'5. Scenarios'!$D$6/(1+ProductivityDefault*('5. Scenarios'!$D$11-1)))</f>
        <v/>
      </c>
      <c r="O2110" s="57" t="str">
        <f aca="false">IF($N2110="","",INDEX(BookRate,2105)*(1+'5. Scenarios'!$D$10)*$N2110)</f>
        <v/>
      </c>
      <c r="P2110" s="57" t="str">
        <f aca="false">IF($O2110="","",SUMIFS($O$6:$O$2405,$A$6:$A$2405,"&lt;="&amp;$A2110))</f>
        <v/>
      </c>
      <c r="Q2110" s="57" t="str">
        <f aca="false">IF($O2110="","",IF($P2110&lt;=BankCostEnvelope*'5. Scenarios'!$D$7,1,0))</f>
        <v/>
      </c>
      <c r="R2110" s="57" t="str">
        <f aca="false">IF($N2110="","",INDEX(BookRate,2105)*(1+'5. Scenarios'!$D$10)*(INDEX(BookQ1,2105)*(5-MIN(4,1+'5. Scenarios'!$D$8))/4+INDEX(BookQ2,2105)*(5-MIN(4,2+'5. Scenarios'!$D$8))/4+INDEX(BookQ3,2105)*(5-MIN(4,3+'5. Scenarios'!$D$8))/4+INDEX(BookQ4,2105)*(5-MIN(4,4+'5. Scenarios'!$D$8))/4)*'5. Scenarios'!$D$6/(1+ProductivityDefault*('5. Scenarios'!$D$11-1))+INDEX(BookOneOff,2105)*$N2110)</f>
        <v/>
      </c>
      <c r="S2110" s="56" t="str">
        <f aca="false">IF(INDEX(BookTitle,2105)="","",INDEX(BookTotal,2105)*'5. Scenarios'!$E$6/(1+ProductivityDefault*('5. Scenarios'!$E$11-1)))</f>
        <v/>
      </c>
      <c r="T2110" s="57" t="str">
        <f aca="false">IF($S2110="","",INDEX(BookRate,2105)*(1+'5. Scenarios'!$E$10)*$S2110)</f>
        <v/>
      </c>
      <c r="U2110" s="57" t="str">
        <f aca="false">IF($T2110="","",SUMIFS($T$6:$T$2405,$A$6:$A$2405,"&lt;="&amp;$A2110))</f>
        <v/>
      </c>
      <c r="V2110" s="57" t="str">
        <f aca="false">IF($T2110="","",IF($U2110&lt;=BankCostEnvelope*'5. Scenarios'!$E$7,1,0))</f>
        <v/>
      </c>
      <c r="W2110" s="57" t="str">
        <f aca="false">IF($S2110="","",INDEX(BookRate,2105)*(1+'5. Scenarios'!$E$10)*(INDEX(BookQ1,2105)*(5-MIN(4,1+'5. Scenarios'!$E$8))/4+INDEX(BookQ2,2105)*(5-MIN(4,2+'5. Scenarios'!$E$8))/4+INDEX(BookQ3,2105)*(5-MIN(4,3+'5. Scenarios'!$E$8))/4+INDEX(BookQ4,2105)*(5-MIN(4,4+'5. Scenarios'!$E$8))/4)*'5. Scenarios'!$E$6/(1+ProductivityDefault*('5. Scenarios'!$E$11-1))+INDEX(BookOneOff,2105)*$S2110)</f>
        <v/>
      </c>
    </row>
    <row r="2111" customFormat="false" ht="15" hidden="false" customHeight="false" outlineLevel="0" collapsed="false">
      <c r="A2111" s="0" t="str">
        <f aca="false">IF(INDEX(BookTitle,2106)="","",INDEX(BookKey,2106))</f>
        <v/>
      </c>
      <c r="B2111" s="0" t="str">
        <f aca="false">IF(INDEX(BookTitle,2106)="","",INDEX(BookGroup,2106))</f>
        <v/>
      </c>
      <c r="C2111" s="0" t="str">
        <f aca="false">IF(INDEX(BookTitle,2106)="","",INDEX(BookCategory,2106))</f>
        <v/>
      </c>
      <c r="D2111" s="56" t="str">
        <f aca="false">IF(INDEX(BookTitle,2106)="","",INDEX(BookTotal,2106)*'5. Scenarios'!$B$6/(1+ProductivityDefault*('5. Scenarios'!$B$11-1)))</f>
        <v/>
      </c>
      <c r="E2111" s="57" t="str">
        <f aca="false">IF($D2111="","",INDEX(BookRate,2106)*(1+'5. Scenarios'!$B$10)*$D2111)</f>
        <v/>
      </c>
      <c r="F2111" s="57" t="str">
        <f aca="false">IF($E2111="","",SUMIFS($E$6:$E$2405,$A$6:$A$2405,"&lt;="&amp;$A2111))</f>
        <v/>
      </c>
      <c r="G2111" s="57" t="str">
        <f aca="false">IF($E2111="","",IF($F2111&lt;=BankCostEnvelope*'5. Scenarios'!$B$7,1,0))</f>
        <v/>
      </c>
      <c r="H2111" s="57" t="str">
        <f aca="false">IF($D2111="","",INDEX(BookRate,2106)*(1+'5. Scenarios'!$B$10)*(INDEX(BookQ1,2106)*(5-MIN(4,1+'5. Scenarios'!$B$8))/4+INDEX(BookQ2,2106)*(5-MIN(4,2+'5. Scenarios'!$B$8))/4+INDEX(BookQ3,2106)*(5-MIN(4,3+'5. Scenarios'!$B$8))/4+INDEX(BookQ4,2106)*(5-MIN(4,4+'5. Scenarios'!$B$8))/4)*'5. Scenarios'!$B$6/(1+ProductivityDefault*('5. Scenarios'!$B$11-1))+INDEX(BookOneOff,2106)*$D2111)</f>
        <v/>
      </c>
      <c r="I2111" s="56" t="str">
        <f aca="false">IF(INDEX(BookTitle,2106)="","",INDEX(BookTotal,2106)*'5. Scenarios'!$C$6/(1+ProductivityDefault*('5. Scenarios'!$C$11-1)))</f>
        <v/>
      </c>
      <c r="J2111" s="57" t="str">
        <f aca="false">IF($I2111="","",INDEX(BookRate,2106)*(1+'5. Scenarios'!$C$10)*$I2111)</f>
        <v/>
      </c>
      <c r="K2111" s="57" t="str">
        <f aca="false">IF($J2111="","",SUMIFS($J$6:$J$2405,$A$6:$A$2405,"&lt;="&amp;$A2111))</f>
        <v/>
      </c>
      <c r="L2111" s="57" t="str">
        <f aca="false">IF($J2111="","",IF($K2111&lt;=BankCostEnvelope*'5. Scenarios'!$C$7,1,0))</f>
        <v/>
      </c>
      <c r="M2111" s="57" t="str">
        <f aca="false">IF($I2111="","",INDEX(BookRate,2106)*(1+'5. Scenarios'!$C$10)*(INDEX(BookQ1,2106)*(5-MIN(4,1+'5. Scenarios'!$C$8))/4+INDEX(BookQ2,2106)*(5-MIN(4,2+'5. Scenarios'!$C$8))/4+INDEX(BookQ3,2106)*(5-MIN(4,3+'5. Scenarios'!$C$8))/4+INDEX(BookQ4,2106)*(5-MIN(4,4+'5. Scenarios'!$C$8))/4)*'5. Scenarios'!$C$6/(1+ProductivityDefault*('5. Scenarios'!$C$11-1))+INDEX(BookOneOff,2106)*$I2111)</f>
        <v/>
      </c>
      <c r="N2111" s="56" t="str">
        <f aca="false">IF(INDEX(BookTitle,2106)="","",INDEX(BookTotal,2106)*'5. Scenarios'!$D$6/(1+ProductivityDefault*('5. Scenarios'!$D$11-1)))</f>
        <v/>
      </c>
      <c r="O2111" s="57" t="str">
        <f aca="false">IF($N2111="","",INDEX(BookRate,2106)*(1+'5. Scenarios'!$D$10)*$N2111)</f>
        <v/>
      </c>
      <c r="P2111" s="57" t="str">
        <f aca="false">IF($O2111="","",SUMIFS($O$6:$O$2405,$A$6:$A$2405,"&lt;="&amp;$A2111))</f>
        <v/>
      </c>
      <c r="Q2111" s="57" t="str">
        <f aca="false">IF($O2111="","",IF($P2111&lt;=BankCostEnvelope*'5. Scenarios'!$D$7,1,0))</f>
        <v/>
      </c>
      <c r="R2111" s="57" t="str">
        <f aca="false">IF($N2111="","",INDEX(BookRate,2106)*(1+'5. Scenarios'!$D$10)*(INDEX(BookQ1,2106)*(5-MIN(4,1+'5. Scenarios'!$D$8))/4+INDEX(BookQ2,2106)*(5-MIN(4,2+'5. Scenarios'!$D$8))/4+INDEX(BookQ3,2106)*(5-MIN(4,3+'5. Scenarios'!$D$8))/4+INDEX(BookQ4,2106)*(5-MIN(4,4+'5. Scenarios'!$D$8))/4)*'5. Scenarios'!$D$6/(1+ProductivityDefault*('5. Scenarios'!$D$11-1))+INDEX(BookOneOff,2106)*$N2111)</f>
        <v/>
      </c>
      <c r="S2111" s="56" t="str">
        <f aca="false">IF(INDEX(BookTitle,2106)="","",INDEX(BookTotal,2106)*'5. Scenarios'!$E$6/(1+ProductivityDefault*('5. Scenarios'!$E$11-1)))</f>
        <v/>
      </c>
      <c r="T2111" s="57" t="str">
        <f aca="false">IF($S2111="","",INDEX(BookRate,2106)*(1+'5. Scenarios'!$E$10)*$S2111)</f>
        <v/>
      </c>
      <c r="U2111" s="57" t="str">
        <f aca="false">IF($T2111="","",SUMIFS($T$6:$T$2405,$A$6:$A$2405,"&lt;="&amp;$A2111))</f>
        <v/>
      </c>
      <c r="V2111" s="57" t="str">
        <f aca="false">IF($T2111="","",IF($U2111&lt;=BankCostEnvelope*'5. Scenarios'!$E$7,1,0))</f>
        <v/>
      </c>
      <c r="W2111" s="57" t="str">
        <f aca="false">IF($S2111="","",INDEX(BookRate,2106)*(1+'5. Scenarios'!$E$10)*(INDEX(BookQ1,2106)*(5-MIN(4,1+'5. Scenarios'!$E$8))/4+INDEX(BookQ2,2106)*(5-MIN(4,2+'5. Scenarios'!$E$8))/4+INDEX(BookQ3,2106)*(5-MIN(4,3+'5. Scenarios'!$E$8))/4+INDEX(BookQ4,2106)*(5-MIN(4,4+'5. Scenarios'!$E$8))/4)*'5. Scenarios'!$E$6/(1+ProductivityDefault*('5. Scenarios'!$E$11-1))+INDEX(BookOneOff,2106)*$S2111)</f>
        <v/>
      </c>
    </row>
    <row r="2112" customFormat="false" ht="15" hidden="false" customHeight="false" outlineLevel="0" collapsed="false">
      <c r="A2112" s="0" t="str">
        <f aca="false">IF(INDEX(BookTitle,2107)="","",INDEX(BookKey,2107))</f>
        <v/>
      </c>
      <c r="B2112" s="0" t="str">
        <f aca="false">IF(INDEX(BookTitle,2107)="","",INDEX(BookGroup,2107))</f>
        <v/>
      </c>
      <c r="C2112" s="0" t="str">
        <f aca="false">IF(INDEX(BookTitle,2107)="","",INDEX(BookCategory,2107))</f>
        <v/>
      </c>
      <c r="D2112" s="56" t="str">
        <f aca="false">IF(INDEX(BookTitle,2107)="","",INDEX(BookTotal,2107)*'5. Scenarios'!$B$6/(1+ProductivityDefault*('5. Scenarios'!$B$11-1)))</f>
        <v/>
      </c>
      <c r="E2112" s="57" t="str">
        <f aca="false">IF($D2112="","",INDEX(BookRate,2107)*(1+'5. Scenarios'!$B$10)*$D2112)</f>
        <v/>
      </c>
      <c r="F2112" s="57" t="str">
        <f aca="false">IF($E2112="","",SUMIFS($E$6:$E$2405,$A$6:$A$2405,"&lt;="&amp;$A2112))</f>
        <v/>
      </c>
      <c r="G2112" s="57" t="str">
        <f aca="false">IF($E2112="","",IF($F2112&lt;=BankCostEnvelope*'5. Scenarios'!$B$7,1,0))</f>
        <v/>
      </c>
      <c r="H2112" s="57" t="str">
        <f aca="false">IF($D2112="","",INDEX(BookRate,2107)*(1+'5. Scenarios'!$B$10)*(INDEX(BookQ1,2107)*(5-MIN(4,1+'5. Scenarios'!$B$8))/4+INDEX(BookQ2,2107)*(5-MIN(4,2+'5. Scenarios'!$B$8))/4+INDEX(BookQ3,2107)*(5-MIN(4,3+'5. Scenarios'!$B$8))/4+INDEX(BookQ4,2107)*(5-MIN(4,4+'5. Scenarios'!$B$8))/4)*'5. Scenarios'!$B$6/(1+ProductivityDefault*('5. Scenarios'!$B$11-1))+INDEX(BookOneOff,2107)*$D2112)</f>
        <v/>
      </c>
      <c r="I2112" s="56" t="str">
        <f aca="false">IF(INDEX(BookTitle,2107)="","",INDEX(BookTotal,2107)*'5. Scenarios'!$C$6/(1+ProductivityDefault*('5. Scenarios'!$C$11-1)))</f>
        <v/>
      </c>
      <c r="J2112" s="57" t="str">
        <f aca="false">IF($I2112="","",INDEX(BookRate,2107)*(1+'5. Scenarios'!$C$10)*$I2112)</f>
        <v/>
      </c>
      <c r="K2112" s="57" t="str">
        <f aca="false">IF($J2112="","",SUMIFS($J$6:$J$2405,$A$6:$A$2405,"&lt;="&amp;$A2112))</f>
        <v/>
      </c>
      <c r="L2112" s="57" t="str">
        <f aca="false">IF($J2112="","",IF($K2112&lt;=BankCostEnvelope*'5. Scenarios'!$C$7,1,0))</f>
        <v/>
      </c>
      <c r="M2112" s="57" t="str">
        <f aca="false">IF($I2112="","",INDEX(BookRate,2107)*(1+'5. Scenarios'!$C$10)*(INDEX(BookQ1,2107)*(5-MIN(4,1+'5. Scenarios'!$C$8))/4+INDEX(BookQ2,2107)*(5-MIN(4,2+'5. Scenarios'!$C$8))/4+INDEX(BookQ3,2107)*(5-MIN(4,3+'5. Scenarios'!$C$8))/4+INDEX(BookQ4,2107)*(5-MIN(4,4+'5. Scenarios'!$C$8))/4)*'5. Scenarios'!$C$6/(1+ProductivityDefault*('5. Scenarios'!$C$11-1))+INDEX(BookOneOff,2107)*$I2112)</f>
        <v/>
      </c>
      <c r="N2112" s="56" t="str">
        <f aca="false">IF(INDEX(BookTitle,2107)="","",INDEX(BookTotal,2107)*'5. Scenarios'!$D$6/(1+ProductivityDefault*('5. Scenarios'!$D$11-1)))</f>
        <v/>
      </c>
      <c r="O2112" s="57" t="str">
        <f aca="false">IF($N2112="","",INDEX(BookRate,2107)*(1+'5. Scenarios'!$D$10)*$N2112)</f>
        <v/>
      </c>
      <c r="P2112" s="57" t="str">
        <f aca="false">IF($O2112="","",SUMIFS($O$6:$O$2405,$A$6:$A$2405,"&lt;="&amp;$A2112))</f>
        <v/>
      </c>
      <c r="Q2112" s="57" t="str">
        <f aca="false">IF($O2112="","",IF($P2112&lt;=BankCostEnvelope*'5. Scenarios'!$D$7,1,0))</f>
        <v/>
      </c>
      <c r="R2112" s="57" t="str">
        <f aca="false">IF($N2112="","",INDEX(BookRate,2107)*(1+'5. Scenarios'!$D$10)*(INDEX(BookQ1,2107)*(5-MIN(4,1+'5. Scenarios'!$D$8))/4+INDEX(BookQ2,2107)*(5-MIN(4,2+'5. Scenarios'!$D$8))/4+INDEX(BookQ3,2107)*(5-MIN(4,3+'5. Scenarios'!$D$8))/4+INDEX(BookQ4,2107)*(5-MIN(4,4+'5. Scenarios'!$D$8))/4)*'5. Scenarios'!$D$6/(1+ProductivityDefault*('5. Scenarios'!$D$11-1))+INDEX(BookOneOff,2107)*$N2112)</f>
        <v/>
      </c>
      <c r="S2112" s="56" t="str">
        <f aca="false">IF(INDEX(BookTitle,2107)="","",INDEX(BookTotal,2107)*'5. Scenarios'!$E$6/(1+ProductivityDefault*('5. Scenarios'!$E$11-1)))</f>
        <v/>
      </c>
      <c r="T2112" s="57" t="str">
        <f aca="false">IF($S2112="","",INDEX(BookRate,2107)*(1+'5. Scenarios'!$E$10)*$S2112)</f>
        <v/>
      </c>
      <c r="U2112" s="57" t="str">
        <f aca="false">IF($T2112="","",SUMIFS($T$6:$T$2405,$A$6:$A$2405,"&lt;="&amp;$A2112))</f>
        <v/>
      </c>
      <c r="V2112" s="57" t="str">
        <f aca="false">IF($T2112="","",IF($U2112&lt;=BankCostEnvelope*'5. Scenarios'!$E$7,1,0))</f>
        <v/>
      </c>
      <c r="W2112" s="57" t="str">
        <f aca="false">IF($S2112="","",INDEX(BookRate,2107)*(1+'5. Scenarios'!$E$10)*(INDEX(BookQ1,2107)*(5-MIN(4,1+'5. Scenarios'!$E$8))/4+INDEX(BookQ2,2107)*(5-MIN(4,2+'5. Scenarios'!$E$8))/4+INDEX(BookQ3,2107)*(5-MIN(4,3+'5. Scenarios'!$E$8))/4+INDEX(BookQ4,2107)*(5-MIN(4,4+'5. Scenarios'!$E$8))/4)*'5. Scenarios'!$E$6/(1+ProductivityDefault*('5. Scenarios'!$E$11-1))+INDEX(BookOneOff,2107)*$S2112)</f>
        <v/>
      </c>
    </row>
    <row r="2113" customFormat="false" ht="15" hidden="false" customHeight="false" outlineLevel="0" collapsed="false">
      <c r="A2113" s="0" t="str">
        <f aca="false">IF(INDEX(BookTitle,2108)="","",INDEX(BookKey,2108))</f>
        <v/>
      </c>
      <c r="B2113" s="0" t="str">
        <f aca="false">IF(INDEX(BookTitle,2108)="","",INDEX(BookGroup,2108))</f>
        <v/>
      </c>
      <c r="C2113" s="0" t="str">
        <f aca="false">IF(INDEX(BookTitle,2108)="","",INDEX(BookCategory,2108))</f>
        <v/>
      </c>
      <c r="D2113" s="56" t="str">
        <f aca="false">IF(INDEX(BookTitle,2108)="","",INDEX(BookTotal,2108)*'5. Scenarios'!$B$6/(1+ProductivityDefault*('5. Scenarios'!$B$11-1)))</f>
        <v/>
      </c>
      <c r="E2113" s="57" t="str">
        <f aca="false">IF($D2113="","",INDEX(BookRate,2108)*(1+'5. Scenarios'!$B$10)*$D2113)</f>
        <v/>
      </c>
      <c r="F2113" s="57" t="str">
        <f aca="false">IF($E2113="","",SUMIFS($E$6:$E$2405,$A$6:$A$2405,"&lt;="&amp;$A2113))</f>
        <v/>
      </c>
      <c r="G2113" s="57" t="str">
        <f aca="false">IF($E2113="","",IF($F2113&lt;=BankCostEnvelope*'5. Scenarios'!$B$7,1,0))</f>
        <v/>
      </c>
      <c r="H2113" s="57" t="str">
        <f aca="false">IF($D2113="","",INDEX(BookRate,2108)*(1+'5. Scenarios'!$B$10)*(INDEX(BookQ1,2108)*(5-MIN(4,1+'5. Scenarios'!$B$8))/4+INDEX(BookQ2,2108)*(5-MIN(4,2+'5. Scenarios'!$B$8))/4+INDEX(BookQ3,2108)*(5-MIN(4,3+'5. Scenarios'!$B$8))/4+INDEX(BookQ4,2108)*(5-MIN(4,4+'5. Scenarios'!$B$8))/4)*'5. Scenarios'!$B$6/(1+ProductivityDefault*('5. Scenarios'!$B$11-1))+INDEX(BookOneOff,2108)*$D2113)</f>
        <v/>
      </c>
      <c r="I2113" s="56" t="str">
        <f aca="false">IF(INDEX(BookTitle,2108)="","",INDEX(BookTotal,2108)*'5. Scenarios'!$C$6/(1+ProductivityDefault*('5. Scenarios'!$C$11-1)))</f>
        <v/>
      </c>
      <c r="J2113" s="57" t="str">
        <f aca="false">IF($I2113="","",INDEX(BookRate,2108)*(1+'5. Scenarios'!$C$10)*$I2113)</f>
        <v/>
      </c>
      <c r="K2113" s="57" t="str">
        <f aca="false">IF($J2113="","",SUMIFS($J$6:$J$2405,$A$6:$A$2405,"&lt;="&amp;$A2113))</f>
        <v/>
      </c>
      <c r="L2113" s="57" t="str">
        <f aca="false">IF($J2113="","",IF($K2113&lt;=BankCostEnvelope*'5. Scenarios'!$C$7,1,0))</f>
        <v/>
      </c>
      <c r="M2113" s="57" t="str">
        <f aca="false">IF($I2113="","",INDEX(BookRate,2108)*(1+'5. Scenarios'!$C$10)*(INDEX(BookQ1,2108)*(5-MIN(4,1+'5. Scenarios'!$C$8))/4+INDEX(BookQ2,2108)*(5-MIN(4,2+'5. Scenarios'!$C$8))/4+INDEX(BookQ3,2108)*(5-MIN(4,3+'5. Scenarios'!$C$8))/4+INDEX(BookQ4,2108)*(5-MIN(4,4+'5. Scenarios'!$C$8))/4)*'5. Scenarios'!$C$6/(1+ProductivityDefault*('5. Scenarios'!$C$11-1))+INDEX(BookOneOff,2108)*$I2113)</f>
        <v/>
      </c>
      <c r="N2113" s="56" t="str">
        <f aca="false">IF(INDEX(BookTitle,2108)="","",INDEX(BookTotal,2108)*'5. Scenarios'!$D$6/(1+ProductivityDefault*('5. Scenarios'!$D$11-1)))</f>
        <v/>
      </c>
      <c r="O2113" s="57" t="str">
        <f aca="false">IF($N2113="","",INDEX(BookRate,2108)*(1+'5. Scenarios'!$D$10)*$N2113)</f>
        <v/>
      </c>
      <c r="P2113" s="57" t="str">
        <f aca="false">IF($O2113="","",SUMIFS($O$6:$O$2405,$A$6:$A$2405,"&lt;="&amp;$A2113))</f>
        <v/>
      </c>
      <c r="Q2113" s="57" t="str">
        <f aca="false">IF($O2113="","",IF($P2113&lt;=BankCostEnvelope*'5. Scenarios'!$D$7,1,0))</f>
        <v/>
      </c>
      <c r="R2113" s="57" t="str">
        <f aca="false">IF($N2113="","",INDEX(BookRate,2108)*(1+'5. Scenarios'!$D$10)*(INDEX(BookQ1,2108)*(5-MIN(4,1+'5. Scenarios'!$D$8))/4+INDEX(BookQ2,2108)*(5-MIN(4,2+'5. Scenarios'!$D$8))/4+INDEX(BookQ3,2108)*(5-MIN(4,3+'5. Scenarios'!$D$8))/4+INDEX(BookQ4,2108)*(5-MIN(4,4+'5. Scenarios'!$D$8))/4)*'5. Scenarios'!$D$6/(1+ProductivityDefault*('5. Scenarios'!$D$11-1))+INDEX(BookOneOff,2108)*$N2113)</f>
        <v/>
      </c>
      <c r="S2113" s="56" t="str">
        <f aca="false">IF(INDEX(BookTitle,2108)="","",INDEX(BookTotal,2108)*'5. Scenarios'!$E$6/(1+ProductivityDefault*('5. Scenarios'!$E$11-1)))</f>
        <v/>
      </c>
      <c r="T2113" s="57" t="str">
        <f aca="false">IF($S2113="","",INDEX(BookRate,2108)*(1+'5. Scenarios'!$E$10)*$S2113)</f>
        <v/>
      </c>
      <c r="U2113" s="57" t="str">
        <f aca="false">IF($T2113="","",SUMIFS($T$6:$T$2405,$A$6:$A$2405,"&lt;="&amp;$A2113))</f>
        <v/>
      </c>
      <c r="V2113" s="57" t="str">
        <f aca="false">IF($T2113="","",IF($U2113&lt;=BankCostEnvelope*'5. Scenarios'!$E$7,1,0))</f>
        <v/>
      </c>
      <c r="W2113" s="57" t="str">
        <f aca="false">IF($S2113="","",INDEX(BookRate,2108)*(1+'5. Scenarios'!$E$10)*(INDEX(BookQ1,2108)*(5-MIN(4,1+'5. Scenarios'!$E$8))/4+INDEX(BookQ2,2108)*(5-MIN(4,2+'5. Scenarios'!$E$8))/4+INDEX(BookQ3,2108)*(5-MIN(4,3+'5. Scenarios'!$E$8))/4+INDEX(BookQ4,2108)*(5-MIN(4,4+'5. Scenarios'!$E$8))/4)*'5. Scenarios'!$E$6/(1+ProductivityDefault*('5. Scenarios'!$E$11-1))+INDEX(BookOneOff,2108)*$S2113)</f>
        <v/>
      </c>
    </row>
    <row r="2114" customFormat="false" ht="15" hidden="false" customHeight="false" outlineLevel="0" collapsed="false">
      <c r="A2114" s="0" t="str">
        <f aca="false">IF(INDEX(BookTitle,2109)="","",INDEX(BookKey,2109))</f>
        <v/>
      </c>
      <c r="B2114" s="0" t="str">
        <f aca="false">IF(INDEX(BookTitle,2109)="","",INDEX(BookGroup,2109))</f>
        <v/>
      </c>
      <c r="C2114" s="0" t="str">
        <f aca="false">IF(INDEX(BookTitle,2109)="","",INDEX(BookCategory,2109))</f>
        <v/>
      </c>
      <c r="D2114" s="56" t="str">
        <f aca="false">IF(INDEX(BookTitle,2109)="","",INDEX(BookTotal,2109)*'5. Scenarios'!$B$6/(1+ProductivityDefault*('5. Scenarios'!$B$11-1)))</f>
        <v/>
      </c>
      <c r="E2114" s="57" t="str">
        <f aca="false">IF($D2114="","",INDEX(BookRate,2109)*(1+'5. Scenarios'!$B$10)*$D2114)</f>
        <v/>
      </c>
      <c r="F2114" s="57" t="str">
        <f aca="false">IF($E2114="","",SUMIFS($E$6:$E$2405,$A$6:$A$2405,"&lt;="&amp;$A2114))</f>
        <v/>
      </c>
      <c r="G2114" s="57" t="str">
        <f aca="false">IF($E2114="","",IF($F2114&lt;=BankCostEnvelope*'5. Scenarios'!$B$7,1,0))</f>
        <v/>
      </c>
      <c r="H2114" s="57" t="str">
        <f aca="false">IF($D2114="","",INDEX(BookRate,2109)*(1+'5. Scenarios'!$B$10)*(INDEX(BookQ1,2109)*(5-MIN(4,1+'5. Scenarios'!$B$8))/4+INDEX(BookQ2,2109)*(5-MIN(4,2+'5. Scenarios'!$B$8))/4+INDEX(BookQ3,2109)*(5-MIN(4,3+'5. Scenarios'!$B$8))/4+INDEX(BookQ4,2109)*(5-MIN(4,4+'5. Scenarios'!$B$8))/4)*'5. Scenarios'!$B$6/(1+ProductivityDefault*('5. Scenarios'!$B$11-1))+INDEX(BookOneOff,2109)*$D2114)</f>
        <v/>
      </c>
      <c r="I2114" s="56" t="str">
        <f aca="false">IF(INDEX(BookTitle,2109)="","",INDEX(BookTotal,2109)*'5. Scenarios'!$C$6/(1+ProductivityDefault*('5. Scenarios'!$C$11-1)))</f>
        <v/>
      </c>
      <c r="J2114" s="57" t="str">
        <f aca="false">IF($I2114="","",INDEX(BookRate,2109)*(1+'5. Scenarios'!$C$10)*$I2114)</f>
        <v/>
      </c>
      <c r="K2114" s="57" t="str">
        <f aca="false">IF($J2114="","",SUMIFS($J$6:$J$2405,$A$6:$A$2405,"&lt;="&amp;$A2114))</f>
        <v/>
      </c>
      <c r="L2114" s="57" t="str">
        <f aca="false">IF($J2114="","",IF($K2114&lt;=BankCostEnvelope*'5. Scenarios'!$C$7,1,0))</f>
        <v/>
      </c>
      <c r="M2114" s="57" t="str">
        <f aca="false">IF($I2114="","",INDEX(BookRate,2109)*(1+'5. Scenarios'!$C$10)*(INDEX(BookQ1,2109)*(5-MIN(4,1+'5. Scenarios'!$C$8))/4+INDEX(BookQ2,2109)*(5-MIN(4,2+'5. Scenarios'!$C$8))/4+INDEX(BookQ3,2109)*(5-MIN(4,3+'5. Scenarios'!$C$8))/4+INDEX(BookQ4,2109)*(5-MIN(4,4+'5. Scenarios'!$C$8))/4)*'5. Scenarios'!$C$6/(1+ProductivityDefault*('5. Scenarios'!$C$11-1))+INDEX(BookOneOff,2109)*$I2114)</f>
        <v/>
      </c>
      <c r="N2114" s="56" t="str">
        <f aca="false">IF(INDEX(BookTitle,2109)="","",INDEX(BookTotal,2109)*'5. Scenarios'!$D$6/(1+ProductivityDefault*('5. Scenarios'!$D$11-1)))</f>
        <v/>
      </c>
      <c r="O2114" s="57" t="str">
        <f aca="false">IF($N2114="","",INDEX(BookRate,2109)*(1+'5. Scenarios'!$D$10)*$N2114)</f>
        <v/>
      </c>
      <c r="P2114" s="57" t="str">
        <f aca="false">IF($O2114="","",SUMIFS($O$6:$O$2405,$A$6:$A$2405,"&lt;="&amp;$A2114))</f>
        <v/>
      </c>
      <c r="Q2114" s="57" t="str">
        <f aca="false">IF($O2114="","",IF($P2114&lt;=BankCostEnvelope*'5. Scenarios'!$D$7,1,0))</f>
        <v/>
      </c>
      <c r="R2114" s="57" t="str">
        <f aca="false">IF($N2114="","",INDEX(BookRate,2109)*(1+'5. Scenarios'!$D$10)*(INDEX(BookQ1,2109)*(5-MIN(4,1+'5. Scenarios'!$D$8))/4+INDEX(BookQ2,2109)*(5-MIN(4,2+'5. Scenarios'!$D$8))/4+INDEX(BookQ3,2109)*(5-MIN(4,3+'5. Scenarios'!$D$8))/4+INDEX(BookQ4,2109)*(5-MIN(4,4+'5. Scenarios'!$D$8))/4)*'5. Scenarios'!$D$6/(1+ProductivityDefault*('5. Scenarios'!$D$11-1))+INDEX(BookOneOff,2109)*$N2114)</f>
        <v/>
      </c>
      <c r="S2114" s="56" t="str">
        <f aca="false">IF(INDEX(BookTitle,2109)="","",INDEX(BookTotal,2109)*'5. Scenarios'!$E$6/(1+ProductivityDefault*('5. Scenarios'!$E$11-1)))</f>
        <v/>
      </c>
      <c r="T2114" s="57" t="str">
        <f aca="false">IF($S2114="","",INDEX(BookRate,2109)*(1+'5. Scenarios'!$E$10)*$S2114)</f>
        <v/>
      </c>
      <c r="U2114" s="57" t="str">
        <f aca="false">IF($T2114="","",SUMIFS($T$6:$T$2405,$A$6:$A$2405,"&lt;="&amp;$A2114))</f>
        <v/>
      </c>
      <c r="V2114" s="57" t="str">
        <f aca="false">IF($T2114="","",IF($U2114&lt;=BankCostEnvelope*'5. Scenarios'!$E$7,1,0))</f>
        <v/>
      </c>
      <c r="W2114" s="57" t="str">
        <f aca="false">IF($S2114="","",INDEX(BookRate,2109)*(1+'5. Scenarios'!$E$10)*(INDEX(BookQ1,2109)*(5-MIN(4,1+'5. Scenarios'!$E$8))/4+INDEX(BookQ2,2109)*(5-MIN(4,2+'5. Scenarios'!$E$8))/4+INDEX(BookQ3,2109)*(5-MIN(4,3+'5. Scenarios'!$E$8))/4+INDEX(BookQ4,2109)*(5-MIN(4,4+'5. Scenarios'!$E$8))/4)*'5. Scenarios'!$E$6/(1+ProductivityDefault*('5. Scenarios'!$E$11-1))+INDEX(BookOneOff,2109)*$S2114)</f>
        <v/>
      </c>
    </row>
    <row r="2115" customFormat="false" ht="15" hidden="false" customHeight="false" outlineLevel="0" collapsed="false">
      <c r="A2115" s="0" t="str">
        <f aca="false">IF(INDEX(BookTitle,2110)="","",INDEX(BookKey,2110))</f>
        <v/>
      </c>
      <c r="B2115" s="0" t="str">
        <f aca="false">IF(INDEX(BookTitle,2110)="","",INDEX(BookGroup,2110))</f>
        <v/>
      </c>
      <c r="C2115" s="0" t="str">
        <f aca="false">IF(INDEX(BookTitle,2110)="","",INDEX(BookCategory,2110))</f>
        <v/>
      </c>
      <c r="D2115" s="56" t="str">
        <f aca="false">IF(INDEX(BookTitle,2110)="","",INDEX(BookTotal,2110)*'5. Scenarios'!$B$6/(1+ProductivityDefault*('5. Scenarios'!$B$11-1)))</f>
        <v/>
      </c>
      <c r="E2115" s="57" t="str">
        <f aca="false">IF($D2115="","",INDEX(BookRate,2110)*(1+'5. Scenarios'!$B$10)*$D2115)</f>
        <v/>
      </c>
      <c r="F2115" s="57" t="str">
        <f aca="false">IF($E2115="","",SUMIFS($E$6:$E$2405,$A$6:$A$2405,"&lt;="&amp;$A2115))</f>
        <v/>
      </c>
      <c r="G2115" s="57" t="str">
        <f aca="false">IF($E2115="","",IF($F2115&lt;=BankCostEnvelope*'5. Scenarios'!$B$7,1,0))</f>
        <v/>
      </c>
      <c r="H2115" s="57" t="str">
        <f aca="false">IF($D2115="","",INDEX(BookRate,2110)*(1+'5. Scenarios'!$B$10)*(INDEX(BookQ1,2110)*(5-MIN(4,1+'5. Scenarios'!$B$8))/4+INDEX(BookQ2,2110)*(5-MIN(4,2+'5. Scenarios'!$B$8))/4+INDEX(BookQ3,2110)*(5-MIN(4,3+'5. Scenarios'!$B$8))/4+INDEX(BookQ4,2110)*(5-MIN(4,4+'5. Scenarios'!$B$8))/4)*'5. Scenarios'!$B$6/(1+ProductivityDefault*('5. Scenarios'!$B$11-1))+INDEX(BookOneOff,2110)*$D2115)</f>
        <v/>
      </c>
      <c r="I2115" s="56" t="str">
        <f aca="false">IF(INDEX(BookTitle,2110)="","",INDEX(BookTotal,2110)*'5. Scenarios'!$C$6/(1+ProductivityDefault*('5. Scenarios'!$C$11-1)))</f>
        <v/>
      </c>
      <c r="J2115" s="57" t="str">
        <f aca="false">IF($I2115="","",INDEX(BookRate,2110)*(1+'5. Scenarios'!$C$10)*$I2115)</f>
        <v/>
      </c>
      <c r="K2115" s="57" t="str">
        <f aca="false">IF($J2115="","",SUMIFS($J$6:$J$2405,$A$6:$A$2405,"&lt;="&amp;$A2115))</f>
        <v/>
      </c>
      <c r="L2115" s="57" t="str">
        <f aca="false">IF($J2115="","",IF($K2115&lt;=BankCostEnvelope*'5. Scenarios'!$C$7,1,0))</f>
        <v/>
      </c>
      <c r="M2115" s="57" t="str">
        <f aca="false">IF($I2115="","",INDEX(BookRate,2110)*(1+'5. Scenarios'!$C$10)*(INDEX(BookQ1,2110)*(5-MIN(4,1+'5. Scenarios'!$C$8))/4+INDEX(BookQ2,2110)*(5-MIN(4,2+'5. Scenarios'!$C$8))/4+INDEX(BookQ3,2110)*(5-MIN(4,3+'5. Scenarios'!$C$8))/4+INDEX(BookQ4,2110)*(5-MIN(4,4+'5. Scenarios'!$C$8))/4)*'5. Scenarios'!$C$6/(1+ProductivityDefault*('5. Scenarios'!$C$11-1))+INDEX(BookOneOff,2110)*$I2115)</f>
        <v/>
      </c>
      <c r="N2115" s="56" t="str">
        <f aca="false">IF(INDEX(BookTitle,2110)="","",INDEX(BookTotal,2110)*'5. Scenarios'!$D$6/(1+ProductivityDefault*('5. Scenarios'!$D$11-1)))</f>
        <v/>
      </c>
      <c r="O2115" s="57" t="str">
        <f aca="false">IF($N2115="","",INDEX(BookRate,2110)*(1+'5. Scenarios'!$D$10)*$N2115)</f>
        <v/>
      </c>
      <c r="P2115" s="57" t="str">
        <f aca="false">IF($O2115="","",SUMIFS($O$6:$O$2405,$A$6:$A$2405,"&lt;="&amp;$A2115))</f>
        <v/>
      </c>
      <c r="Q2115" s="57" t="str">
        <f aca="false">IF($O2115="","",IF($P2115&lt;=BankCostEnvelope*'5. Scenarios'!$D$7,1,0))</f>
        <v/>
      </c>
      <c r="R2115" s="57" t="str">
        <f aca="false">IF($N2115="","",INDEX(BookRate,2110)*(1+'5. Scenarios'!$D$10)*(INDEX(BookQ1,2110)*(5-MIN(4,1+'5. Scenarios'!$D$8))/4+INDEX(BookQ2,2110)*(5-MIN(4,2+'5. Scenarios'!$D$8))/4+INDEX(BookQ3,2110)*(5-MIN(4,3+'5. Scenarios'!$D$8))/4+INDEX(BookQ4,2110)*(5-MIN(4,4+'5. Scenarios'!$D$8))/4)*'5. Scenarios'!$D$6/(1+ProductivityDefault*('5. Scenarios'!$D$11-1))+INDEX(BookOneOff,2110)*$N2115)</f>
        <v/>
      </c>
      <c r="S2115" s="56" t="str">
        <f aca="false">IF(INDEX(BookTitle,2110)="","",INDEX(BookTotal,2110)*'5. Scenarios'!$E$6/(1+ProductivityDefault*('5. Scenarios'!$E$11-1)))</f>
        <v/>
      </c>
      <c r="T2115" s="57" t="str">
        <f aca="false">IF($S2115="","",INDEX(BookRate,2110)*(1+'5. Scenarios'!$E$10)*$S2115)</f>
        <v/>
      </c>
      <c r="U2115" s="57" t="str">
        <f aca="false">IF($T2115="","",SUMIFS($T$6:$T$2405,$A$6:$A$2405,"&lt;="&amp;$A2115))</f>
        <v/>
      </c>
      <c r="V2115" s="57" t="str">
        <f aca="false">IF($T2115="","",IF($U2115&lt;=BankCostEnvelope*'5. Scenarios'!$E$7,1,0))</f>
        <v/>
      </c>
      <c r="W2115" s="57" t="str">
        <f aca="false">IF($S2115="","",INDEX(BookRate,2110)*(1+'5. Scenarios'!$E$10)*(INDEX(BookQ1,2110)*(5-MIN(4,1+'5. Scenarios'!$E$8))/4+INDEX(BookQ2,2110)*(5-MIN(4,2+'5. Scenarios'!$E$8))/4+INDEX(BookQ3,2110)*(5-MIN(4,3+'5. Scenarios'!$E$8))/4+INDEX(BookQ4,2110)*(5-MIN(4,4+'5. Scenarios'!$E$8))/4)*'5. Scenarios'!$E$6/(1+ProductivityDefault*('5. Scenarios'!$E$11-1))+INDEX(BookOneOff,2110)*$S2115)</f>
        <v/>
      </c>
    </row>
    <row r="2116" customFormat="false" ht="15" hidden="false" customHeight="false" outlineLevel="0" collapsed="false">
      <c r="A2116" s="0" t="str">
        <f aca="false">IF(INDEX(BookTitle,2111)="","",INDEX(BookKey,2111))</f>
        <v/>
      </c>
      <c r="B2116" s="0" t="str">
        <f aca="false">IF(INDEX(BookTitle,2111)="","",INDEX(BookGroup,2111))</f>
        <v/>
      </c>
      <c r="C2116" s="0" t="str">
        <f aca="false">IF(INDEX(BookTitle,2111)="","",INDEX(BookCategory,2111))</f>
        <v/>
      </c>
      <c r="D2116" s="56" t="str">
        <f aca="false">IF(INDEX(BookTitle,2111)="","",INDEX(BookTotal,2111)*'5. Scenarios'!$B$6/(1+ProductivityDefault*('5. Scenarios'!$B$11-1)))</f>
        <v/>
      </c>
      <c r="E2116" s="57" t="str">
        <f aca="false">IF($D2116="","",INDEX(BookRate,2111)*(1+'5. Scenarios'!$B$10)*$D2116)</f>
        <v/>
      </c>
      <c r="F2116" s="57" t="str">
        <f aca="false">IF($E2116="","",SUMIFS($E$6:$E$2405,$A$6:$A$2405,"&lt;="&amp;$A2116))</f>
        <v/>
      </c>
      <c r="G2116" s="57" t="str">
        <f aca="false">IF($E2116="","",IF($F2116&lt;=BankCostEnvelope*'5. Scenarios'!$B$7,1,0))</f>
        <v/>
      </c>
      <c r="H2116" s="57" t="str">
        <f aca="false">IF($D2116="","",INDEX(BookRate,2111)*(1+'5. Scenarios'!$B$10)*(INDEX(BookQ1,2111)*(5-MIN(4,1+'5. Scenarios'!$B$8))/4+INDEX(BookQ2,2111)*(5-MIN(4,2+'5. Scenarios'!$B$8))/4+INDEX(BookQ3,2111)*(5-MIN(4,3+'5. Scenarios'!$B$8))/4+INDEX(BookQ4,2111)*(5-MIN(4,4+'5. Scenarios'!$B$8))/4)*'5. Scenarios'!$B$6/(1+ProductivityDefault*('5. Scenarios'!$B$11-1))+INDEX(BookOneOff,2111)*$D2116)</f>
        <v/>
      </c>
      <c r="I2116" s="56" t="str">
        <f aca="false">IF(INDEX(BookTitle,2111)="","",INDEX(BookTotal,2111)*'5. Scenarios'!$C$6/(1+ProductivityDefault*('5. Scenarios'!$C$11-1)))</f>
        <v/>
      </c>
      <c r="J2116" s="57" t="str">
        <f aca="false">IF($I2116="","",INDEX(BookRate,2111)*(1+'5. Scenarios'!$C$10)*$I2116)</f>
        <v/>
      </c>
      <c r="K2116" s="57" t="str">
        <f aca="false">IF($J2116="","",SUMIFS($J$6:$J$2405,$A$6:$A$2405,"&lt;="&amp;$A2116))</f>
        <v/>
      </c>
      <c r="L2116" s="57" t="str">
        <f aca="false">IF($J2116="","",IF($K2116&lt;=BankCostEnvelope*'5. Scenarios'!$C$7,1,0))</f>
        <v/>
      </c>
      <c r="M2116" s="57" t="str">
        <f aca="false">IF($I2116="","",INDEX(BookRate,2111)*(1+'5. Scenarios'!$C$10)*(INDEX(BookQ1,2111)*(5-MIN(4,1+'5. Scenarios'!$C$8))/4+INDEX(BookQ2,2111)*(5-MIN(4,2+'5. Scenarios'!$C$8))/4+INDEX(BookQ3,2111)*(5-MIN(4,3+'5. Scenarios'!$C$8))/4+INDEX(BookQ4,2111)*(5-MIN(4,4+'5. Scenarios'!$C$8))/4)*'5. Scenarios'!$C$6/(1+ProductivityDefault*('5. Scenarios'!$C$11-1))+INDEX(BookOneOff,2111)*$I2116)</f>
        <v/>
      </c>
      <c r="N2116" s="56" t="str">
        <f aca="false">IF(INDEX(BookTitle,2111)="","",INDEX(BookTotal,2111)*'5. Scenarios'!$D$6/(1+ProductivityDefault*('5. Scenarios'!$D$11-1)))</f>
        <v/>
      </c>
      <c r="O2116" s="57" t="str">
        <f aca="false">IF($N2116="","",INDEX(BookRate,2111)*(1+'5. Scenarios'!$D$10)*$N2116)</f>
        <v/>
      </c>
      <c r="P2116" s="57" t="str">
        <f aca="false">IF($O2116="","",SUMIFS($O$6:$O$2405,$A$6:$A$2405,"&lt;="&amp;$A2116))</f>
        <v/>
      </c>
      <c r="Q2116" s="57" t="str">
        <f aca="false">IF($O2116="","",IF($P2116&lt;=BankCostEnvelope*'5. Scenarios'!$D$7,1,0))</f>
        <v/>
      </c>
      <c r="R2116" s="57" t="str">
        <f aca="false">IF($N2116="","",INDEX(BookRate,2111)*(1+'5. Scenarios'!$D$10)*(INDEX(BookQ1,2111)*(5-MIN(4,1+'5. Scenarios'!$D$8))/4+INDEX(BookQ2,2111)*(5-MIN(4,2+'5. Scenarios'!$D$8))/4+INDEX(BookQ3,2111)*(5-MIN(4,3+'5. Scenarios'!$D$8))/4+INDEX(BookQ4,2111)*(5-MIN(4,4+'5. Scenarios'!$D$8))/4)*'5. Scenarios'!$D$6/(1+ProductivityDefault*('5. Scenarios'!$D$11-1))+INDEX(BookOneOff,2111)*$N2116)</f>
        <v/>
      </c>
      <c r="S2116" s="56" t="str">
        <f aca="false">IF(INDEX(BookTitle,2111)="","",INDEX(BookTotal,2111)*'5. Scenarios'!$E$6/(1+ProductivityDefault*('5. Scenarios'!$E$11-1)))</f>
        <v/>
      </c>
      <c r="T2116" s="57" t="str">
        <f aca="false">IF($S2116="","",INDEX(BookRate,2111)*(1+'5. Scenarios'!$E$10)*$S2116)</f>
        <v/>
      </c>
      <c r="U2116" s="57" t="str">
        <f aca="false">IF($T2116="","",SUMIFS($T$6:$T$2405,$A$6:$A$2405,"&lt;="&amp;$A2116))</f>
        <v/>
      </c>
      <c r="V2116" s="57" t="str">
        <f aca="false">IF($T2116="","",IF($U2116&lt;=BankCostEnvelope*'5. Scenarios'!$E$7,1,0))</f>
        <v/>
      </c>
      <c r="W2116" s="57" t="str">
        <f aca="false">IF($S2116="","",INDEX(BookRate,2111)*(1+'5. Scenarios'!$E$10)*(INDEX(BookQ1,2111)*(5-MIN(4,1+'5. Scenarios'!$E$8))/4+INDEX(BookQ2,2111)*(5-MIN(4,2+'5. Scenarios'!$E$8))/4+INDEX(BookQ3,2111)*(5-MIN(4,3+'5. Scenarios'!$E$8))/4+INDEX(BookQ4,2111)*(5-MIN(4,4+'5. Scenarios'!$E$8))/4)*'5. Scenarios'!$E$6/(1+ProductivityDefault*('5. Scenarios'!$E$11-1))+INDEX(BookOneOff,2111)*$S2116)</f>
        <v/>
      </c>
    </row>
    <row r="2117" customFormat="false" ht="15" hidden="false" customHeight="false" outlineLevel="0" collapsed="false">
      <c r="A2117" s="0" t="str">
        <f aca="false">IF(INDEX(BookTitle,2112)="","",INDEX(BookKey,2112))</f>
        <v/>
      </c>
      <c r="B2117" s="0" t="str">
        <f aca="false">IF(INDEX(BookTitle,2112)="","",INDEX(BookGroup,2112))</f>
        <v/>
      </c>
      <c r="C2117" s="0" t="str">
        <f aca="false">IF(INDEX(BookTitle,2112)="","",INDEX(BookCategory,2112))</f>
        <v/>
      </c>
      <c r="D2117" s="56" t="str">
        <f aca="false">IF(INDEX(BookTitle,2112)="","",INDEX(BookTotal,2112)*'5. Scenarios'!$B$6/(1+ProductivityDefault*('5. Scenarios'!$B$11-1)))</f>
        <v/>
      </c>
      <c r="E2117" s="57" t="str">
        <f aca="false">IF($D2117="","",INDEX(BookRate,2112)*(1+'5. Scenarios'!$B$10)*$D2117)</f>
        <v/>
      </c>
      <c r="F2117" s="57" t="str">
        <f aca="false">IF($E2117="","",SUMIFS($E$6:$E$2405,$A$6:$A$2405,"&lt;="&amp;$A2117))</f>
        <v/>
      </c>
      <c r="G2117" s="57" t="str">
        <f aca="false">IF($E2117="","",IF($F2117&lt;=BankCostEnvelope*'5. Scenarios'!$B$7,1,0))</f>
        <v/>
      </c>
      <c r="H2117" s="57" t="str">
        <f aca="false">IF($D2117="","",INDEX(BookRate,2112)*(1+'5. Scenarios'!$B$10)*(INDEX(BookQ1,2112)*(5-MIN(4,1+'5. Scenarios'!$B$8))/4+INDEX(BookQ2,2112)*(5-MIN(4,2+'5. Scenarios'!$B$8))/4+INDEX(BookQ3,2112)*(5-MIN(4,3+'5. Scenarios'!$B$8))/4+INDEX(BookQ4,2112)*(5-MIN(4,4+'5. Scenarios'!$B$8))/4)*'5. Scenarios'!$B$6/(1+ProductivityDefault*('5. Scenarios'!$B$11-1))+INDEX(BookOneOff,2112)*$D2117)</f>
        <v/>
      </c>
      <c r="I2117" s="56" t="str">
        <f aca="false">IF(INDEX(BookTitle,2112)="","",INDEX(BookTotal,2112)*'5. Scenarios'!$C$6/(1+ProductivityDefault*('5. Scenarios'!$C$11-1)))</f>
        <v/>
      </c>
      <c r="J2117" s="57" t="str">
        <f aca="false">IF($I2117="","",INDEX(BookRate,2112)*(1+'5. Scenarios'!$C$10)*$I2117)</f>
        <v/>
      </c>
      <c r="K2117" s="57" t="str">
        <f aca="false">IF($J2117="","",SUMIFS($J$6:$J$2405,$A$6:$A$2405,"&lt;="&amp;$A2117))</f>
        <v/>
      </c>
      <c r="L2117" s="57" t="str">
        <f aca="false">IF($J2117="","",IF($K2117&lt;=BankCostEnvelope*'5. Scenarios'!$C$7,1,0))</f>
        <v/>
      </c>
      <c r="M2117" s="57" t="str">
        <f aca="false">IF($I2117="","",INDEX(BookRate,2112)*(1+'5. Scenarios'!$C$10)*(INDEX(BookQ1,2112)*(5-MIN(4,1+'5. Scenarios'!$C$8))/4+INDEX(BookQ2,2112)*(5-MIN(4,2+'5. Scenarios'!$C$8))/4+INDEX(BookQ3,2112)*(5-MIN(4,3+'5. Scenarios'!$C$8))/4+INDEX(BookQ4,2112)*(5-MIN(4,4+'5. Scenarios'!$C$8))/4)*'5. Scenarios'!$C$6/(1+ProductivityDefault*('5. Scenarios'!$C$11-1))+INDEX(BookOneOff,2112)*$I2117)</f>
        <v/>
      </c>
      <c r="N2117" s="56" t="str">
        <f aca="false">IF(INDEX(BookTitle,2112)="","",INDEX(BookTotal,2112)*'5. Scenarios'!$D$6/(1+ProductivityDefault*('5. Scenarios'!$D$11-1)))</f>
        <v/>
      </c>
      <c r="O2117" s="57" t="str">
        <f aca="false">IF($N2117="","",INDEX(BookRate,2112)*(1+'5. Scenarios'!$D$10)*$N2117)</f>
        <v/>
      </c>
      <c r="P2117" s="57" t="str">
        <f aca="false">IF($O2117="","",SUMIFS($O$6:$O$2405,$A$6:$A$2405,"&lt;="&amp;$A2117))</f>
        <v/>
      </c>
      <c r="Q2117" s="57" t="str">
        <f aca="false">IF($O2117="","",IF($P2117&lt;=BankCostEnvelope*'5. Scenarios'!$D$7,1,0))</f>
        <v/>
      </c>
      <c r="R2117" s="57" t="str">
        <f aca="false">IF($N2117="","",INDEX(BookRate,2112)*(1+'5. Scenarios'!$D$10)*(INDEX(BookQ1,2112)*(5-MIN(4,1+'5. Scenarios'!$D$8))/4+INDEX(BookQ2,2112)*(5-MIN(4,2+'5. Scenarios'!$D$8))/4+INDEX(BookQ3,2112)*(5-MIN(4,3+'5. Scenarios'!$D$8))/4+INDEX(BookQ4,2112)*(5-MIN(4,4+'5. Scenarios'!$D$8))/4)*'5. Scenarios'!$D$6/(1+ProductivityDefault*('5. Scenarios'!$D$11-1))+INDEX(BookOneOff,2112)*$N2117)</f>
        <v/>
      </c>
      <c r="S2117" s="56" t="str">
        <f aca="false">IF(INDEX(BookTitle,2112)="","",INDEX(BookTotal,2112)*'5. Scenarios'!$E$6/(1+ProductivityDefault*('5. Scenarios'!$E$11-1)))</f>
        <v/>
      </c>
      <c r="T2117" s="57" t="str">
        <f aca="false">IF($S2117="","",INDEX(BookRate,2112)*(1+'5. Scenarios'!$E$10)*$S2117)</f>
        <v/>
      </c>
      <c r="U2117" s="57" t="str">
        <f aca="false">IF($T2117="","",SUMIFS($T$6:$T$2405,$A$6:$A$2405,"&lt;="&amp;$A2117))</f>
        <v/>
      </c>
      <c r="V2117" s="57" t="str">
        <f aca="false">IF($T2117="","",IF($U2117&lt;=BankCostEnvelope*'5. Scenarios'!$E$7,1,0))</f>
        <v/>
      </c>
      <c r="W2117" s="57" t="str">
        <f aca="false">IF($S2117="","",INDEX(BookRate,2112)*(1+'5. Scenarios'!$E$10)*(INDEX(BookQ1,2112)*(5-MIN(4,1+'5. Scenarios'!$E$8))/4+INDEX(BookQ2,2112)*(5-MIN(4,2+'5. Scenarios'!$E$8))/4+INDEX(BookQ3,2112)*(5-MIN(4,3+'5. Scenarios'!$E$8))/4+INDEX(BookQ4,2112)*(5-MIN(4,4+'5. Scenarios'!$E$8))/4)*'5. Scenarios'!$E$6/(1+ProductivityDefault*('5. Scenarios'!$E$11-1))+INDEX(BookOneOff,2112)*$S2117)</f>
        <v/>
      </c>
    </row>
    <row r="2118" customFormat="false" ht="15" hidden="false" customHeight="false" outlineLevel="0" collapsed="false">
      <c r="A2118" s="0" t="str">
        <f aca="false">IF(INDEX(BookTitle,2113)="","",INDEX(BookKey,2113))</f>
        <v/>
      </c>
      <c r="B2118" s="0" t="str">
        <f aca="false">IF(INDEX(BookTitle,2113)="","",INDEX(BookGroup,2113))</f>
        <v/>
      </c>
      <c r="C2118" s="0" t="str">
        <f aca="false">IF(INDEX(BookTitle,2113)="","",INDEX(BookCategory,2113))</f>
        <v/>
      </c>
      <c r="D2118" s="56" t="str">
        <f aca="false">IF(INDEX(BookTitle,2113)="","",INDEX(BookTotal,2113)*'5. Scenarios'!$B$6/(1+ProductivityDefault*('5. Scenarios'!$B$11-1)))</f>
        <v/>
      </c>
      <c r="E2118" s="57" t="str">
        <f aca="false">IF($D2118="","",INDEX(BookRate,2113)*(1+'5. Scenarios'!$B$10)*$D2118)</f>
        <v/>
      </c>
      <c r="F2118" s="57" t="str">
        <f aca="false">IF($E2118="","",SUMIFS($E$6:$E$2405,$A$6:$A$2405,"&lt;="&amp;$A2118))</f>
        <v/>
      </c>
      <c r="G2118" s="57" t="str">
        <f aca="false">IF($E2118="","",IF($F2118&lt;=BankCostEnvelope*'5. Scenarios'!$B$7,1,0))</f>
        <v/>
      </c>
      <c r="H2118" s="57" t="str">
        <f aca="false">IF($D2118="","",INDEX(BookRate,2113)*(1+'5. Scenarios'!$B$10)*(INDEX(BookQ1,2113)*(5-MIN(4,1+'5. Scenarios'!$B$8))/4+INDEX(BookQ2,2113)*(5-MIN(4,2+'5. Scenarios'!$B$8))/4+INDEX(BookQ3,2113)*(5-MIN(4,3+'5. Scenarios'!$B$8))/4+INDEX(BookQ4,2113)*(5-MIN(4,4+'5. Scenarios'!$B$8))/4)*'5. Scenarios'!$B$6/(1+ProductivityDefault*('5. Scenarios'!$B$11-1))+INDEX(BookOneOff,2113)*$D2118)</f>
        <v/>
      </c>
      <c r="I2118" s="56" t="str">
        <f aca="false">IF(INDEX(BookTitle,2113)="","",INDEX(BookTotal,2113)*'5. Scenarios'!$C$6/(1+ProductivityDefault*('5. Scenarios'!$C$11-1)))</f>
        <v/>
      </c>
      <c r="J2118" s="57" t="str">
        <f aca="false">IF($I2118="","",INDEX(BookRate,2113)*(1+'5. Scenarios'!$C$10)*$I2118)</f>
        <v/>
      </c>
      <c r="K2118" s="57" t="str">
        <f aca="false">IF($J2118="","",SUMIFS($J$6:$J$2405,$A$6:$A$2405,"&lt;="&amp;$A2118))</f>
        <v/>
      </c>
      <c r="L2118" s="57" t="str">
        <f aca="false">IF($J2118="","",IF($K2118&lt;=BankCostEnvelope*'5. Scenarios'!$C$7,1,0))</f>
        <v/>
      </c>
      <c r="M2118" s="57" t="str">
        <f aca="false">IF($I2118="","",INDEX(BookRate,2113)*(1+'5. Scenarios'!$C$10)*(INDEX(BookQ1,2113)*(5-MIN(4,1+'5. Scenarios'!$C$8))/4+INDEX(BookQ2,2113)*(5-MIN(4,2+'5. Scenarios'!$C$8))/4+INDEX(BookQ3,2113)*(5-MIN(4,3+'5. Scenarios'!$C$8))/4+INDEX(BookQ4,2113)*(5-MIN(4,4+'5. Scenarios'!$C$8))/4)*'5. Scenarios'!$C$6/(1+ProductivityDefault*('5. Scenarios'!$C$11-1))+INDEX(BookOneOff,2113)*$I2118)</f>
        <v/>
      </c>
      <c r="N2118" s="56" t="str">
        <f aca="false">IF(INDEX(BookTitle,2113)="","",INDEX(BookTotal,2113)*'5. Scenarios'!$D$6/(1+ProductivityDefault*('5. Scenarios'!$D$11-1)))</f>
        <v/>
      </c>
      <c r="O2118" s="57" t="str">
        <f aca="false">IF($N2118="","",INDEX(BookRate,2113)*(1+'5. Scenarios'!$D$10)*$N2118)</f>
        <v/>
      </c>
      <c r="P2118" s="57" t="str">
        <f aca="false">IF($O2118="","",SUMIFS($O$6:$O$2405,$A$6:$A$2405,"&lt;="&amp;$A2118))</f>
        <v/>
      </c>
      <c r="Q2118" s="57" t="str">
        <f aca="false">IF($O2118="","",IF($P2118&lt;=BankCostEnvelope*'5. Scenarios'!$D$7,1,0))</f>
        <v/>
      </c>
      <c r="R2118" s="57" t="str">
        <f aca="false">IF($N2118="","",INDEX(BookRate,2113)*(1+'5. Scenarios'!$D$10)*(INDEX(BookQ1,2113)*(5-MIN(4,1+'5. Scenarios'!$D$8))/4+INDEX(BookQ2,2113)*(5-MIN(4,2+'5. Scenarios'!$D$8))/4+INDEX(BookQ3,2113)*(5-MIN(4,3+'5. Scenarios'!$D$8))/4+INDEX(BookQ4,2113)*(5-MIN(4,4+'5. Scenarios'!$D$8))/4)*'5. Scenarios'!$D$6/(1+ProductivityDefault*('5. Scenarios'!$D$11-1))+INDEX(BookOneOff,2113)*$N2118)</f>
        <v/>
      </c>
      <c r="S2118" s="56" t="str">
        <f aca="false">IF(INDEX(BookTitle,2113)="","",INDEX(BookTotal,2113)*'5. Scenarios'!$E$6/(1+ProductivityDefault*('5. Scenarios'!$E$11-1)))</f>
        <v/>
      </c>
      <c r="T2118" s="57" t="str">
        <f aca="false">IF($S2118="","",INDEX(BookRate,2113)*(1+'5. Scenarios'!$E$10)*$S2118)</f>
        <v/>
      </c>
      <c r="U2118" s="57" t="str">
        <f aca="false">IF($T2118="","",SUMIFS($T$6:$T$2405,$A$6:$A$2405,"&lt;="&amp;$A2118))</f>
        <v/>
      </c>
      <c r="V2118" s="57" t="str">
        <f aca="false">IF($T2118="","",IF($U2118&lt;=BankCostEnvelope*'5. Scenarios'!$E$7,1,0))</f>
        <v/>
      </c>
      <c r="W2118" s="57" t="str">
        <f aca="false">IF($S2118="","",INDEX(BookRate,2113)*(1+'5. Scenarios'!$E$10)*(INDEX(BookQ1,2113)*(5-MIN(4,1+'5. Scenarios'!$E$8))/4+INDEX(BookQ2,2113)*(5-MIN(4,2+'5. Scenarios'!$E$8))/4+INDEX(BookQ3,2113)*(5-MIN(4,3+'5. Scenarios'!$E$8))/4+INDEX(BookQ4,2113)*(5-MIN(4,4+'5. Scenarios'!$E$8))/4)*'5. Scenarios'!$E$6/(1+ProductivityDefault*('5. Scenarios'!$E$11-1))+INDEX(BookOneOff,2113)*$S2118)</f>
        <v/>
      </c>
    </row>
    <row r="2119" customFormat="false" ht="15" hidden="false" customHeight="false" outlineLevel="0" collapsed="false">
      <c r="A2119" s="0" t="str">
        <f aca="false">IF(INDEX(BookTitle,2114)="","",INDEX(BookKey,2114))</f>
        <v/>
      </c>
      <c r="B2119" s="0" t="str">
        <f aca="false">IF(INDEX(BookTitle,2114)="","",INDEX(BookGroup,2114))</f>
        <v/>
      </c>
      <c r="C2119" s="0" t="str">
        <f aca="false">IF(INDEX(BookTitle,2114)="","",INDEX(BookCategory,2114))</f>
        <v/>
      </c>
      <c r="D2119" s="56" t="str">
        <f aca="false">IF(INDEX(BookTitle,2114)="","",INDEX(BookTotal,2114)*'5. Scenarios'!$B$6/(1+ProductivityDefault*('5. Scenarios'!$B$11-1)))</f>
        <v/>
      </c>
      <c r="E2119" s="57" t="str">
        <f aca="false">IF($D2119="","",INDEX(BookRate,2114)*(1+'5. Scenarios'!$B$10)*$D2119)</f>
        <v/>
      </c>
      <c r="F2119" s="57" t="str">
        <f aca="false">IF($E2119="","",SUMIFS($E$6:$E$2405,$A$6:$A$2405,"&lt;="&amp;$A2119))</f>
        <v/>
      </c>
      <c r="G2119" s="57" t="str">
        <f aca="false">IF($E2119="","",IF($F2119&lt;=BankCostEnvelope*'5. Scenarios'!$B$7,1,0))</f>
        <v/>
      </c>
      <c r="H2119" s="57" t="str">
        <f aca="false">IF($D2119="","",INDEX(BookRate,2114)*(1+'5. Scenarios'!$B$10)*(INDEX(BookQ1,2114)*(5-MIN(4,1+'5. Scenarios'!$B$8))/4+INDEX(BookQ2,2114)*(5-MIN(4,2+'5. Scenarios'!$B$8))/4+INDEX(BookQ3,2114)*(5-MIN(4,3+'5. Scenarios'!$B$8))/4+INDEX(BookQ4,2114)*(5-MIN(4,4+'5. Scenarios'!$B$8))/4)*'5. Scenarios'!$B$6/(1+ProductivityDefault*('5. Scenarios'!$B$11-1))+INDEX(BookOneOff,2114)*$D2119)</f>
        <v/>
      </c>
      <c r="I2119" s="56" t="str">
        <f aca="false">IF(INDEX(BookTitle,2114)="","",INDEX(BookTotal,2114)*'5. Scenarios'!$C$6/(1+ProductivityDefault*('5. Scenarios'!$C$11-1)))</f>
        <v/>
      </c>
      <c r="J2119" s="57" t="str">
        <f aca="false">IF($I2119="","",INDEX(BookRate,2114)*(1+'5. Scenarios'!$C$10)*$I2119)</f>
        <v/>
      </c>
      <c r="K2119" s="57" t="str">
        <f aca="false">IF($J2119="","",SUMIFS($J$6:$J$2405,$A$6:$A$2405,"&lt;="&amp;$A2119))</f>
        <v/>
      </c>
      <c r="L2119" s="57" t="str">
        <f aca="false">IF($J2119="","",IF($K2119&lt;=BankCostEnvelope*'5. Scenarios'!$C$7,1,0))</f>
        <v/>
      </c>
      <c r="M2119" s="57" t="str">
        <f aca="false">IF($I2119="","",INDEX(BookRate,2114)*(1+'5. Scenarios'!$C$10)*(INDEX(BookQ1,2114)*(5-MIN(4,1+'5. Scenarios'!$C$8))/4+INDEX(BookQ2,2114)*(5-MIN(4,2+'5. Scenarios'!$C$8))/4+INDEX(BookQ3,2114)*(5-MIN(4,3+'5. Scenarios'!$C$8))/4+INDEX(BookQ4,2114)*(5-MIN(4,4+'5. Scenarios'!$C$8))/4)*'5. Scenarios'!$C$6/(1+ProductivityDefault*('5. Scenarios'!$C$11-1))+INDEX(BookOneOff,2114)*$I2119)</f>
        <v/>
      </c>
      <c r="N2119" s="56" t="str">
        <f aca="false">IF(INDEX(BookTitle,2114)="","",INDEX(BookTotal,2114)*'5. Scenarios'!$D$6/(1+ProductivityDefault*('5. Scenarios'!$D$11-1)))</f>
        <v/>
      </c>
      <c r="O2119" s="57" t="str">
        <f aca="false">IF($N2119="","",INDEX(BookRate,2114)*(1+'5. Scenarios'!$D$10)*$N2119)</f>
        <v/>
      </c>
      <c r="P2119" s="57" t="str">
        <f aca="false">IF($O2119="","",SUMIFS($O$6:$O$2405,$A$6:$A$2405,"&lt;="&amp;$A2119))</f>
        <v/>
      </c>
      <c r="Q2119" s="57" t="str">
        <f aca="false">IF($O2119="","",IF($P2119&lt;=BankCostEnvelope*'5. Scenarios'!$D$7,1,0))</f>
        <v/>
      </c>
      <c r="R2119" s="57" t="str">
        <f aca="false">IF($N2119="","",INDEX(BookRate,2114)*(1+'5. Scenarios'!$D$10)*(INDEX(BookQ1,2114)*(5-MIN(4,1+'5. Scenarios'!$D$8))/4+INDEX(BookQ2,2114)*(5-MIN(4,2+'5. Scenarios'!$D$8))/4+INDEX(BookQ3,2114)*(5-MIN(4,3+'5. Scenarios'!$D$8))/4+INDEX(BookQ4,2114)*(5-MIN(4,4+'5. Scenarios'!$D$8))/4)*'5. Scenarios'!$D$6/(1+ProductivityDefault*('5. Scenarios'!$D$11-1))+INDEX(BookOneOff,2114)*$N2119)</f>
        <v/>
      </c>
      <c r="S2119" s="56" t="str">
        <f aca="false">IF(INDEX(BookTitle,2114)="","",INDEX(BookTotal,2114)*'5. Scenarios'!$E$6/(1+ProductivityDefault*('5. Scenarios'!$E$11-1)))</f>
        <v/>
      </c>
      <c r="T2119" s="57" t="str">
        <f aca="false">IF($S2119="","",INDEX(BookRate,2114)*(1+'5. Scenarios'!$E$10)*$S2119)</f>
        <v/>
      </c>
      <c r="U2119" s="57" t="str">
        <f aca="false">IF($T2119="","",SUMIFS($T$6:$T$2405,$A$6:$A$2405,"&lt;="&amp;$A2119))</f>
        <v/>
      </c>
      <c r="V2119" s="57" t="str">
        <f aca="false">IF($T2119="","",IF($U2119&lt;=BankCostEnvelope*'5. Scenarios'!$E$7,1,0))</f>
        <v/>
      </c>
      <c r="W2119" s="57" t="str">
        <f aca="false">IF($S2119="","",INDEX(BookRate,2114)*(1+'5. Scenarios'!$E$10)*(INDEX(BookQ1,2114)*(5-MIN(4,1+'5. Scenarios'!$E$8))/4+INDEX(BookQ2,2114)*(5-MIN(4,2+'5. Scenarios'!$E$8))/4+INDEX(BookQ3,2114)*(5-MIN(4,3+'5. Scenarios'!$E$8))/4+INDEX(BookQ4,2114)*(5-MIN(4,4+'5. Scenarios'!$E$8))/4)*'5. Scenarios'!$E$6/(1+ProductivityDefault*('5. Scenarios'!$E$11-1))+INDEX(BookOneOff,2114)*$S2119)</f>
        <v/>
      </c>
    </row>
    <row r="2120" customFormat="false" ht="15" hidden="false" customHeight="false" outlineLevel="0" collapsed="false">
      <c r="A2120" s="0" t="str">
        <f aca="false">IF(INDEX(BookTitle,2115)="","",INDEX(BookKey,2115))</f>
        <v/>
      </c>
      <c r="B2120" s="0" t="str">
        <f aca="false">IF(INDEX(BookTitle,2115)="","",INDEX(BookGroup,2115))</f>
        <v/>
      </c>
      <c r="C2120" s="0" t="str">
        <f aca="false">IF(INDEX(BookTitle,2115)="","",INDEX(BookCategory,2115))</f>
        <v/>
      </c>
      <c r="D2120" s="56" t="str">
        <f aca="false">IF(INDEX(BookTitle,2115)="","",INDEX(BookTotal,2115)*'5. Scenarios'!$B$6/(1+ProductivityDefault*('5. Scenarios'!$B$11-1)))</f>
        <v/>
      </c>
      <c r="E2120" s="57" t="str">
        <f aca="false">IF($D2120="","",INDEX(BookRate,2115)*(1+'5. Scenarios'!$B$10)*$D2120)</f>
        <v/>
      </c>
      <c r="F2120" s="57" t="str">
        <f aca="false">IF($E2120="","",SUMIFS($E$6:$E$2405,$A$6:$A$2405,"&lt;="&amp;$A2120))</f>
        <v/>
      </c>
      <c r="G2120" s="57" t="str">
        <f aca="false">IF($E2120="","",IF($F2120&lt;=BankCostEnvelope*'5. Scenarios'!$B$7,1,0))</f>
        <v/>
      </c>
      <c r="H2120" s="57" t="str">
        <f aca="false">IF($D2120="","",INDEX(BookRate,2115)*(1+'5. Scenarios'!$B$10)*(INDEX(BookQ1,2115)*(5-MIN(4,1+'5. Scenarios'!$B$8))/4+INDEX(BookQ2,2115)*(5-MIN(4,2+'5. Scenarios'!$B$8))/4+INDEX(BookQ3,2115)*(5-MIN(4,3+'5. Scenarios'!$B$8))/4+INDEX(BookQ4,2115)*(5-MIN(4,4+'5. Scenarios'!$B$8))/4)*'5. Scenarios'!$B$6/(1+ProductivityDefault*('5. Scenarios'!$B$11-1))+INDEX(BookOneOff,2115)*$D2120)</f>
        <v/>
      </c>
      <c r="I2120" s="56" t="str">
        <f aca="false">IF(INDEX(BookTitle,2115)="","",INDEX(BookTotal,2115)*'5. Scenarios'!$C$6/(1+ProductivityDefault*('5. Scenarios'!$C$11-1)))</f>
        <v/>
      </c>
      <c r="J2120" s="57" t="str">
        <f aca="false">IF($I2120="","",INDEX(BookRate,2115)*(1+'5. Scenarios'!$C$10)*$I2120)</f>
        <v/>
      </c>
      <c r="K2120" s="57" t="str">
        <f aca="false">IF($J2120="","",SUMIFS($J$6:$J$2405,$A$6:$A$2405,"&lt;="&amp;$A2120))</f>
        <v/>
      </c>
      <c r="L2120" s="57" t="str">
        <f aca="false">IF($J2120="","",IF($K2120&lt;=BankCostEnvelope*'5. Scenarios'!$C$7,1,0))</f>
        <v/>
      </c>
      <c r="M2120" s="57" t="str">
        <f aca="false">IF($I2120="","",INDEX(BookRate,2115)*(1+'5. Scenarios'!$C$10)*(INDEX(BookQ1,2115)*(5-MIN(4,1+'5. Scenarios'!$C$8))/4+INDEX(BookQ2,2115)*(5-MIN(4,2+'5. Scenarios'!$C$8))/4+INDEX(BookQ3,2115)*(5-MIN(4,3+'5. Scenarios'!$C$8))/4+INDEX(BookQ4,2115)*(5-MIN(4,4+'5. Scenarios'!$C$8))/4)*'5. Scenarios'!$C$6/(1+ProductivityDefault*('5. Scenarios'!$C$11-1))+INDEX(BookOneOff,2115)*$I2120)</f>
        <v/>
      </c>
      <c r="N2120" s="56" t="str">
        <f aca="false">IF(INDEX(BookTitle,2115)="","",INDEX(BookTotal,2115)*'5. Scenarios'!$D$6/(1+ProductivityDefault*('5. Scenarios'!$D$11-1)))</f>
        <v/>
      </c>
      <c r="O2120" s="57" t="str">
        <f aca="false">IF($N2120="","",INDEX(BookRate,2115)*(1+'5. Scenarios'!$D$10)*$N2120)</f>
        <v/>
      </c>
      <c r="P2120" s="57" t="str">
        <f aca="false">IF($O2120="","",SUMIFS($O$6:$O$2405,$A$6:$A$2405,"&lt;="&amp;$A2120))</f>
        <v/>
      </c>
      <c r="Q2120" s="57" t="str">
        <f aca="false">IF($O2120="","",IF($P2120&lt;=BankCostEnvelope*'5. Scenarios'!$D$7,1,0))</f>
        <v/>
      </c>
      <c r="R2120" s="57" t="str">
        <f aca="false">IF($N2120="","",INDEX(BookRate,2115)*(1+'5. Scenarios'!$D$10)*(INDEX(BookQ1,2115)*(5-MIN(4,1+'5. Scenarios'!$D$8))/4+INDEX(BookQ2,2115)*(5-MIN(4,2+'5. Scenarios'!$D$8))/4+INDEX(BookQ3,2115)*(5-MIN(4,3+'5. Scenarios'!$D$8))/4+INDEX(BookQ4,2115)*(5-MIN(4,4+'5. Scenarios'!$D$8))/4)*'5. Scenarios'!$D$6/(1+ProductivityDefault*('5. Scenarios'!$D$11-1))+INDEX(BookOneOff,2115)*$N2120)</f>
        <v/>
      </c>
      <c r="S2120" s="56" t="str">
        <f aca="false">IF(INDEX(BookTitle,2115)="","",INDEX(BookTotal,2115)*'5. Scenarios'!$E$6/(1+ProductivityDefault*('5. Scenarios'!$E$11-1)))</f>
        <v/>
      </c>
      <c r="T2120" s="57" t="str">
        <f aca="false">IF($S2120="","",INDEX(BookRate,2115)*(1+'5. Scenarios'!$E$10)*$S2120)</f>
        <v/>
      </c>
      <c r="U2120" s="57" t="str">
        <f aca="false">IF($T2120="","",SUMIFS($T$6:$T$2405,$A$6:$A$2405,"&lt;="&amp;$A2120))</f>
        <v/>
      </c>
      <c r="V2120" s="57" t="str">
        <f aca="false">IF($T2120="","",IF($U2120&lt;=BankCostEnvelope*'5. Scenarios'!$E$7,1,0))</f>
        <v/>
      </c>
      <c r="W2120" s="57" t="str">
        <f aca="false">IF($S2120="","",INDEX(BookRate,2115)*(1+'5. Scenarios'!$E$10)*(INDEX(BookQ1,2115)*(5-MIN(4,1+'5. Scenarios'!$E$8))/4+INDEX(BookQ2,2115)*(5-MIN(4,2+'5. Scenarios'!$E$8))/4+INDEX(BookQ3,2115)*(5-MIN(4,3+'5. Scenarios'!$E$8))/4+INDEX(BookQ4,2115)*(5-MIN(4,4+'5. Scenarios'!$E$8))/4)*'5. Scenarios'!$E$6/(1+ProductivityDefault*('5. Scenarios'!$E$11-1))+INDEX(BookOneOff,2115)*$S2120)</f>
        <v/>
      </c>
    </row>
    <row r="2121" customFormat="false" ht="15" hidden="false" customHeight="false" outlineLevel="0" collapsed="false">
      <c r="A2121" s="0" t="str">
        <f aca="false">IF(INDEX(BookTitle,2116)="","",INDEX(BookKey,2116))</f>
        <v/>
      </c>
      <c r="B2121" s="0" t="str">
        <f aca="false">IF(INDEX(BookTitle,2116)="","",INDEX(BookGroup,2116))</f>
        <v/>
      </c>
      <c r="C2121" s="0" t="str">
        <f aca="false">IF(INDEX(BookTitle,2116)="","",INDEX(BookCategory,2116))</f>
        <v/>
      </c>
      <c r="D2121" s="56" t="str">
        <f aca="false">IF(INDEX(BookTitle,2116)="","",INDEX(BookTotal,2116)*'5. Scenarios'!$B$6/(1+ProductivityDefault*('5. Scenarios'!$B$11-1)))</f>
        <v/>
      </c>
      <c r="E2121" s="57" t="str">
        <f aca="false">IF($D2121="","",INDEX(BookRate,2116)*(1+'5. Scenarios'!$B$10)*$D2121)</f>
        <v/>
      </c>
      <c r="F2121" s="57" t="str">
        <f aca="false">IF($E2121="","",SUMIFS($E$6:$E$2405,$A$6:$A$2405,"&lt;="&amp;$A2121))</f>
        <v/>
      </c>
      <c r="G2121" s="57" t="str">
        <f aca="false">IF($E2121="","",IF($F2121&lt;=BankCostEnvelope*'5. Scenarios'!$B$7,1,0))</f>
        <v/>
      </c>
      <c r="H2121" s="57" t="str">
        <f aca="false">IF($D2121="","",INDEX(BookRate,2116)*(1+'5. Scenarios'!$B$10)*(INDEX(BookQ1,2116)*(5-MIN(4,1+'5. Scenarios'!$B$8))/4+INDEX(BookQ2,2116)*(5-MIN(4,2+'5. Scenarios'!$B$8))/4+INDEX(BookQ3,2116)*(5-MIN(4,3+'5. Scenarios'!$B$8))/4+INDEX(BookQ4,2116)*(5-MIN(4,4+'5. Scenarios'!$B$8))/4)*'5. Scenarios'!$B$6/(1+ProductivityDefault*('5. Scenarios'!$B$11-1))+INDEX(BookOneOff,2116)*$D2121)</f>
        <v/>
      </c>
      <c r="I2121" s="56" t="str">
        <f aca="false">IF(INDEX(BookTitle,2116)="","",INDEX(BookTotal,2116)*'5. Scenarios'!$C$6/(1+ProductivityDefault*('5. Scenarios'!$C$11-1)))</f>
        <v/>
      </c>
      <c r="J2121" s="57" t="str">
        <f aca="false">IF($I2121="","",INDEX(BookRate,2116)*(1+'5. Scenarios'!$C$10)*$I2121)</f>
        <v/>
      </c>
      <c r="K2121" s="57" t="str">
        <f aca="false">IF($J2121="","",SUMIFS($J$6:$J$2405,$A$6:$A$2405,"&lt;="&amp;$A2121))</f>
        <v/>
      </c>
      <c r="L2121" s="57" t="str">
        <f aca="false">IF($J2121="","",IF($K2121&lt;=BankCostEnvelope*'5. Scenarios'!$C$7,1,0))</f>
        <v/>
      </c>
      <c r="M2121" s="57" t="str">
        <f aca="false">IF($I2121="","",INDEX(BookRate,2116)*(1+'5. Scenarios'!$C$10)*(INDEX(BookQ1,2116)*(5-MIN(4,1+'5. Scenarios'!$C$8))/4+INDEX(BookQ2,2116)*(5-MIN(4,2+'5. Scenarios'!$C$8))/4+INDEX(BookQ3,2116)*(5-MIN(4,3+'5. Scenarios'!$C$8))/4+INDEX(BookQ4,2116)*(5-MIN(4,4+'5. Scenarios'!$C$8))/4)*'5. Scenarios'!$C$6/(1+ProductivityDefault*('5. Scenarios'!$C$11-1))+INDEX(BookOneOff,2116)*$I2121)</f>
        <v/>
      </c>
      <c r="N2121" s="56" t="str">
        <f aca="false">IF(INDEX(BookTitle,2116)="","",INDEX(BookTotal,2116)*'5. Scenarios'!$D$6/(1+ProductivityDefault*('5. Scenarios'!$D$11-1)))</f>
        <v/>
      </c>
      <c r="O2121" s="57" t="str">
        <f aca="false">IF($N2121="","",INDEX(BookRate,2116)*(1+'5. Scenarios'!$D$10)*$N2121)</f>
        <v/>
      </c>
      <c r="P2121" s="57" t="str">
        <f aca="false">IF($O2121="","",SUMIFS($O$6:$O$2405,$A$6:$A$2405,"&lt;="&amp;$A2121))</f>
        <v/>
      </c>
      <c r="Q2121" s="57" t="str">
        <f aca="false">IF($O2121="","",IF($P2121&lt;=BankCostEnvelope*'5. Scenarios'!$D$7,1,0))</f>
        <v/>
      </c>
      <c r="R2121" s="57" t="str">
        <f aca="false">IF($N2121="","",INDEX(BookRate,2116)*(1+'5. Scenarios'!$D$10)*(INDEX(BookQ1,2116)*(5-MIN(4,1+'5. Scenarios'!$D$8))/4+INDEX(BookQ2,2116)*(5-MIN(4,2+'5. Scenarios'!$D$8))/4+INDEX(BookQ3,2116)*(5-MIN(4,3+'5. Scenarios'!$D$8))/4+INDEX(BookQ4,2116)*(5-MIN(4,4+'5. Scenarios'!$D$8))/4)*'5. Scenarios'!$D$6/(1+ProductivityDefault*('5. Scenarios'!$D$11-1))+INDEX(BookOneOff,2116)*$N2121)</f>
        <v/>
      </c>
      <c r="S2121" s="56" t="str">
        <f aca="false">IF(INDEX(BookTitle,2116)="","",INDEX(BookTotal,2116)*'5. Scenarios'!$E$6/(1+ProductivityDefault*('5. Scenarios'!$E$11-1)))</f>
        <v/>
      </c>
      <c r="T2121" s="57" t="str">
        <f aca="false">IF($S2121="","",INDEX(BookRate,2116)*(1+'5. Scenarios'!$E$10)*$S2121)</f>
        <v/>
      </c>
      <c r="U2121" s="57" t="str">
        <f aca="false">IF($T2121="","",SUMIFS($T$6:$T$2405,$A$6:$A$2405,"&lt;="&amp;$A2121))</f>
        <v/>
      </c>
      <c r="V2121" s="57" t="str">
        <f aca="false">IF($T2121="","",IF($U2121&lt;=BankCostEnvelope*'5. Scenarios'!$E$7,1,0))</f>
        <v/>
      </c>
      <c r="W2121" s="57" t="str">
        <f aca="false">IF($S2121="","",INDEX(BookRate,2116)*(1+'5. Scenarios'!$E$10)*(INDEX(BookQ1,2116)*(5-MIN(4,1+'5. Scenarios'!$E$8))/4+INDEX(BookQ2,2116)*(5-MIN(4,2+'5. Scenarios'!$E$8))/4+INDEX(BookQ3,2116)*(5-MIN(4,3+'5. Scenarios'!$E$8))/4+INDEX(BookQ4,2116)*(5-MIN(4,4+'5. Scenarios'!$E$8))/4)*'5. Scenarios'!$E$6/(1+ProductivityDefault*('5. Scenarios'!$E$11-1))+INDEX(BookOneOff,2116)*$S2121)</f>
        <v/>
      </c>
    </row>
    <row r="2122" customFormat="false" ht="15" hidden="false" customHeight="false" outlineLevel="0" collapsed="false">
      <c r="A2122" s="0" t="str">
        <f aca="false">IF(INDEX(BookTitle,2117)="","",INDEX(BookKey,2117))</f>
        <v/>
      </c>
      <c r="B2122" s="0" t="str">
        <f aca="false">IF(INDEX(BookTitle,2117)="","",INDEX(BookGroup,2117))</f>
        <v/>
      </c>
      <c r="C2122" s="0" t="str">
        <f aca="false">IF(INDEX(BookTitle,2117)="","",INDEX(BookCategory,2117))</f>
        <v/>
      </c>
      <c r="D2122" s="56" t="str">
        <f aca="false">IF(INDEX(BookTitle,2117)="","",INDEX(BookTotal,2117)*'5. Scenarios'!$B$6/(1+ProductivityDefault*('5. Scenarios'!$B$11-1)))</f>
        <v/>
      </c>
      <c r="E2122" s="57" t="str">
        <f aca="false">IF($D2122="","",INDEX(BookRate,2117)*(1+'5. Scenarios'!$B$10)*$D2122)</f>
        <v/>
      </c>
      <c r="F2122" s="57" t="str">
        <f aca="false">IF($E2122="","",SUMIFS($E$6:$E$2405,$A$6:$A$2405,"&lt;="&amp;$A2122))</f>
        <v/>
      </c>
      <c r="G2122" s="57" t="str">
        <f aca="false">IF($E2122="","",IF($F2122&lt;=BankCostEnvelope*'5. Scenarios'!$B$7,1,0))</f>
        <v/>
      </c>
      <c r="H2122" s="57" t="str">
        <f aca="false">IF($D2122="","",INDEX(BookRate,2117)*(1+'5. Scenarios'!$B$10)*(INDEX(BookQ1,2117)*(5-MIN(4,1+'5. Scenarios'!$B$8))/4+INDEX(BookQ2,2117)*(5-MIN(4,2+'5. Scenarios'!$B$8))/4+INDEX(BookQ3,2117)*(5-MIN(4,3+'5. Scenarios'!$B$8))/4+INDEX(BookQ4,2117)*(5-MIN(4,4+'5. Scenarios'!$B$8))/4)*'5. Scenarios'!$B$6/(1+ProductivityDefault*('5. Scenarios'!$B$11-1))+INDEX(BookOneOff,2117)*$D2122)</f>
        <v/>
      </c>
      <c r="I2122" s="56" t="str">
        <f aca="false">IF(INDEX(BookTitle,2117)="","",INDEX(BookTotal,2117)*'5. Scenarios'!$C$6/(1+ProductivityDefault*('5. Scenarios'!$C$11-1)))</f>
        <v/>
      </c>
      <c r="J2122" s="57" t="str">
        <f aca="false">IF($I2122="","",INDEX(BookRate,2117)*(1+'5. Scenarios'!$C$10)*$I2122)</f>
        <v/>
      </c>
      <c r="K2122" s="57" t="str">
        <f aca="false">IF($J2122="","",SUMIFS($J$6:$J$2405,$A$6:$A$2405,"&lt;="&amp;$A2122))</f>
        <v/>
      </c>
      <c r="L2122" s="57" t="str">
        <f aca="false">IF($J2122="","",IF($K2122&lt;=BankCostEnvelope*'5. Scenarios'!$C$7,1,0))</f>
        <v/>
      </c>
      <c r="M2122" s="57" t="str">
        <f aca="false">IF($I2122="","",INDEX(BookRate,2117)*(1+'5. Scenarios'!$C$10)*(INDEX(BookQ1,2117)*(5-MIN(4,1+'5. Scenarios'!$C$8))/4+INDEX(BookQ2,2117)*(5-MIN(4,2+'5. Scenarios'!$C$8))/4+INDEX(BookQ3,2117)*(5-MIN(4,3+'5. Scenarios'!$C$8))/4+INDEX(BookQ4,2117)*(5-MIN(4,4+'5. Scenarios'!$C$8))/4)*'5. Scenarios'!$C$6/(1+ProductivityDefault*('5. Scenarios'!$C$11-1))+INDEX(BookOneOff,2117)*$I2122)</f>
        <v/>
      </c>
      <c r="N2122" s="56" t="str">
        <f aca="false">IF(INDEX(BookTitle,2117)="","",INDEX(BookTotal,2117)*'5. Scenarios'!$D$6/(1+ProductivityDefault*('5. Scenarios'!$D$11-1)))</f>
        <v/>
      </c>
      <c r="O2122" s="57" t="str">
        <f aca="false">IF($N2122="","",INDEX(BookRate,2117)*(1+'5. Scenarios'!$D$10)*$N2122)</f>
        <v/>
      </c>
      <c r="P2122" s="57" t="str">
        <f aca="false">IF($O2122="","",SUMIFS($O$6:$O$2405,$A$6:$A$2405,"&lt;="&amp;$A2122))</f>
        <v/>
      </c>
      <c r="Q2122" s="57" t="str">
        <f aca="false">IF($O2122="","",IF($P2122&lt;=BankCostEnvelope*'5. Scenarios'!$D$7,1,0))</f>
        <v/>
      </c>
      <c r="R2122" s="57" t="str">
        <f aca="false">IF($N2122="","",INDEX(BookRate,2117)*(1+'5. Scenarios'!$D$10)*(INDEX(BookQ1,2117)*(5-MIN(4,1+'5. Scenarios'!$D$8))/4+INDEX(BookQ2,2117)*(5-MIN(4,2+'5. Scenarios'!$D$8))/4+INDEX(BookQ3,2117)*(5-MIN(4,3+'5. Scenarios'!$D$8))/4+INDEX(BookQ4,2117)*(5-MIN(4,4+'5. Scenarios'!$D$8))/4)*'5. Scenarios'!$D$6/(1+ProductivityDefault*('5. Scenarios'!$D$11-1))+INDEX(BookOneOff,2117)*$N2122)</f>
        <v/>
      </c>
      <c r="S2122" s="56" t="str">
        <f aca="false">IF(INDEX(BookTitle,2117)="","",INDEX(BookTotal,2117)*'5. Scenarios'!$E$6/(1+ProductivityDefault*('5. Scenarios'!$E$11-1)))</f>
        <v/>
      </c>
      <c r="T2122" s="57" t="str">
        <f aca="false">IF($S2122="","",INDEX(BookRate,2117)*(1+'5. Scenarios'!$E$10)*$S2122)</f>
        <v/>
      </c>
      <c r="U2122" s="57" t="str">
        <f aca="false">IF($T2122="","",SUMIFS($T$6:$T$2405,$A$6:$A$2405,"&lt;="&amp;$A2122))</f>
        <v/>
      </c>
      <c r="V2122" s="57" t="str">
        <f aca="false">IF($T2122="","",IF($U2122&lt;=BankCostEnvelope*'5. Scenarios'!$E$7,1,0))</f>
        <v/>
      </c>
      <c r="W2122" s="57" t="str">
        <f aca="false">IF($S2122="","",INDEX(BookRate,2117)*(1+'5. Scenarios'!$E$10)*(INDEX(BookQ1,2117)*(5-MIN(4,1+'5. Scenarios'!$E$8))/4+INDEX(BookQ2,2117)*(5-MIN(4,2+'5. Scenarios'!$E$8))/4+INDEX(BookQ3,2117)*(5-MIN(4,3+'5. Scenarios'!$E$8))/4+INDEX(BookQ4,2117)*(5-MIN(4,4+'5. Scenarios'!$E$8))/4)*'5. Scenarios'!$E$6/(1+ProductivityDefault*('5. Scenarios'!$E$11-1))+INDEX(BookOneOff,2117)*$S2122)</f>
        <v/>
      </c>
    </row>
    <row r="2123" customFormat="false" ht="15" hidden="false" customHeight="false" outlineLevel="0" collapsed="false">
      <c r="A2123" s="0" t="str">
        <f aca="false">IF(INDEX(BookTitle,2118)="","",INDEX(BookKey,2118))</f>
        <v/>
      </c>
      <c r="B2123" s="0" t="str">
        <f aca="false">IF(INDEX(BookTitle,2118)="","",INDEX(BookGroup,2118))</f>
        <v/>
      </c>
      <c r="C2123" s="0" t="str">
        <f aca="false">IF(INDEX(BookTitle,2118)="","",INDEX(BookCategory,2118))</f>
        <v/>
      </c>
      <c r="D2123" s="56" t="str">
        <f aca="false">IF(INDEX(BookTitle,2118)="","",INDEX(BookTotal,2118)*'5. Scenarios'!$B$6/(1+ProductivityDefault*('5. Scenarios'!$B$11-1)))</f>
        <v/>
      </c>
      <c r="E2123" s="57" t="str">
        <f aca="false">IF($D2123="","",INDEX(BookRate,2118)*(1+'5. Scenarios'!$B$10)*$D2123)</f>
        <v/>
      </c>
      <c r="F2123" s="57" t="str">
        <f aca="false">IF($E2123="","",SUMIFS($E$6:$E$2405,$A$6:$A$2405,"&lt;="&amp;$A2123))</f>
        <v/>
      </c>
      <c r="G2123" s="57" t="str">
        <f aca="false">IF($E2123="","",IF($F2123&lt;=BankCostEnvelope*'5. Scenarios'!$B$7,1,0))</f>
        <v/>
      </c>
      <c r="H2123" s="57" t="str">
        <f aca="false">IF($D2123="","",INDEX(BookRate,2118)*(1+'5. Scenarios'!$B$10)*(INDEX(BookQ1,2118)*(5-MIN(4,1+'5. Scenarios'!$B$8))/4+INDEX(BookQ2,2118)*(5-MIN(4,2+'5. Scenarios'!$B$8))/4+INDEX(BookQ3,2118)*(5-MIN(4,3+'5. Scenarios'!$B$8))/4+INDEX(BookQ4,2118)*(5-MIN(4,4+'5. Scenarios'!$B$8))/4)*'5. Scenarios'!$B$6/(1+ProductivityDefault*('5. Scenarios'!$B$11-1))+INDEX(BookOneOff,2118)*$D2123)</f>
        <v/>
      </c>
      <c r="I2123" s="56" t="str">
        <f aca="false">IF(INDEX(BookTitle,2118)="","",INDEX(BookTotal,2118)*'5. Scenarios'!$C$6/(1+ProductivityDefault*('5. Scenarios'!$C$11-1)))</f>
        <v/>
      </c>
      <c r="J2123" s="57" t="str">
        <f aca="false">IF($I2123="","",INDEX(BookRate,2118)*(1+'5. Scenarios'!$C$10)*$I2123)</f>
        <v/>
      </c>
      <c r="K2123" s="57" t="str">
        <f aca="false">IF($J2123="","",SUMIFS($J$6:$J$2405,$A$6:$A$2405,"&lt;="&amp;$A2123))</f>
        <v/>
      </c>
      <c r="L2123" s="57" t="str">
        <f aca="false">IF($J2123="","",IF($K2123&lt;=BankCostEnvelope*'5. Scenarios'!$C$7,1,0))</f>
        <v/>
      </c>
      <c r="M2123" s="57" t="str">
        <f aca="false">IF($I2123="","",INDEX(BookRate,2118)*(1+'5. Scenarios'!$C$10)*(INDEX(BookQ1,2118)*(5-MIN(4,1+'5. Scenarios'!$C$8))/4+INDEX(BookQ2,2118)*(5-MIN(4,2+'5. Scenarios'!$C$8))/4+INDEX(BookQ3,2118)*(5-MIN(4,3+'5. Scenarios'!$C$8))/4+INDEX(BookQ4,2118)*(5-MIN(4,4+'5. Scenarios'!$C$8))/4)*'5. Scenarios'!$C$6/(1+ProductivityDefault*('5. Scenarios'!$C$11-1))+INDEX(BookOneOff,2118)*$I2123)</f>
        <v/>
      </c>
      <c r="N2123" s="56" t="str">
        <f aca="false">IF(INDEX(BookTitle,2118)="","",INDEX(BookTotal,2118)*'5. Scenarios'!$D$6/(1+ProductivityDefault*('5. Scenarios'!$D$11-1)))</f>
        <v/>
      </c>
      <c r="O2123" s="57" t="str">
        <f aca="false">IF($N2123="","",INDEX(BookRate,2118)*(1+'5. Scenarios'!$D$10)*$N2123)</f>
        <v/>
      </c>
      <c r="P2123" s="57" t="str">
        <f aca="false">IF($O2123="","",SUMIFS($O$6:$O$2405,$A$6:$A$2405,"&lt;="&amp;$A2123))</f>
        <v/>
      </c>
      <c r="Q2123" s="57" t="str">
        <f aca="false">IF($O2123="","",IF($P2123&lt;=BankCostEnvelope*'5. Scenarios'!$D$7,1,0))</f>
        <v/>
      </c>
      <c r="R2123" s="57" t="str">
        <f aca="false">IF($N2123="","",INDEX(BookRate,2118)*(1+'5. Scenarios'!$D$10)*(INDEX(BookQ1,2118)*(5-MIN(4,1+'5. Scenarios'!$D$8))/4+INDEX(BookQ2,2118)*(5-MIN(4,2+'5. Scenarios'!$D$8))/4+INDEX(BookQ3,2118)*(5-MIN(4,3+'5. Scenarios'!$D$8))/4+INDEX(BookQ4,2118)*(5-MIN(4,4+'5. Scenarios'!$D$8))/4)*'5. Scenarios'!$D$6/(1+ProductivityDefault*('5. Scenarios'!$D$11-1))+INDEX(BookOneOff,2118)*$N2123)</f>
        <v/>
      </c>
      <c r="S2123" s="56" t="str">
        <f aca="false">IF(INDEX(BookTitle,2118)="","",INDEX(BookTotal,2118)*'5. Scenarios'!$E$6/(1+ProductivityDefault*('5. Scenarios'!$E$11-1)))</f>
        <v/>
      </c>
      <c r="T2123" s="57" t="str">
        <f aca="false">IF($S2123="","",INDEX(BookRate,2118)*(1+'5. Scenarios'!$E$10)*$S2123)</f>
        <v/>
      </c>
      <c r="U2123" s="57" t="str">
        <f aca="false">IF($T2123="","",SUMIFS($T$6:$T$2405,$A$6:$A$2405,"&lt;="&amp;$A2123))</f>
        <v/>
      </c>
      <c r="V2123" s="57" t="str">
        <f aca="false">IF($T2123="","",IF($U2123&lt;=BankCostEnvelope*'5. Scenarios'!$E$7,1,0))</f>
        <v/>
      </c>
      <c r="W2123" s="57" t="str">
        <f aca="false">IF($S2123="","",INDEX(BookRate,2118)*(1+'5. Scenarios'!$E$10)*(INDEX(BookQ1,2118)*(5-MIN(4,1+'5. Scenarios'!$E$8))/4+INDEX(BookQ2,2118)*(5-MIN(4,2+'5. Scenarios'!$E$8))/4+INDEX(BookQ3,2118)*(5-MIN(4,3+'5. Scenarios'!$E$8))/4+INDEX(BookQ4,2118)*(5-MIN(4,4+'5. Scenarios'!$E$8))/4)*'5. Scenarios'!$E$6/(1+ProductivityDefault*('5. Scenarios'!$E$11-1))+INDEX(BookOneOff,2118)*$S2123)</f>
        <v/>
      </c>
    </row>
    <row r="2124" customFormat="false" ht="15" hidden="false" customHeight="false" outlineLevel="0" collapsed="false">
      <c r="A2124" s="0" t="str">
        <f aca="false">IF(INDEX(BookTitle,2119)="","",INDEX(BookKey,2119))</f>
        <v/>
      </c>
      <c r="B2124" s="0" t="str">
        <f aca="false">IF(INDEX(BookTitle,2119)="","",INDEX(BookGroup,2119))</f>
        <v/>
      </c>
      <c r="C2124" s="0" t="str">
        <f aca="false">IF(INDEX(BookTitle,2119)="","",INDEX(BookCategory,2119))</f>
        <v/>
      </c>
      <c r="D2124" s="56" t="str">
        <f aca="false">IF(INDEX(BookTitle,2119)="","",INDEX(BookTotal,2119)*'5. Scenarios'!$B$6/(1+ProductivityDefault*('5. Scenarios'!$B$11-1)))</f>
        <v/>
      </c>
      <c r="E2124" s="57" t="str">
        <f aca="false">IF($D2124="","",INDEX(BookRate,2119)*(1+'5. Scenarios'!$B$10)*$D2124)</f>
        <v/>
      </c>
      <c r="F2124" s="57" t="str">
        <f aca="false">IF($E2124="","",SUMIFS($E$6:$E$2405,$A$6:$A$2405,"&lt;="&amp;$A2124))</f>
        <v/>
      </c>
      <c r="G2124" s="57" t="str">
        <f aca="false">IF($E2124="","",IF($F2124&lt;=BankCostEnvelope*'5. Scenarios'!$B$7,1,0))</f>
        <v/>
      </c>
      <c r="H2124" s="57" t="str">
        <f aca="false">IF($D2124="","",INDEX(BookRate,2119)*(1+'5. Scenarios'!$B$10)*(INDEX(BookQ1,2119)*(5-MIN(4,1+'5. Scenarios'!$B$8))/4+INDEX(BookQ2,2119)*(5-MIN(4,2+'5. Scenarios'!$B$8))/4+INDEX(BookQ3,2119)*(5-MIN(4,3+'5. Scenarios'!$B$8))/4+INDEX(BookQ4,2119)*(5-MIN(4,4+'5. Scenarios'!$B$8))/4)*'5. Scenarios'!$B$6/(1+ProductivityDefault*('5. Scenarios'!$B$11-1))+INDEX(BookOneOff,2119)*$D2124)</f>
        <v/>
      </c>
      <c r="I2124" s="56" t="str">
        <f aca="false">IF(INDEX(BookTitle,2119)="","",INDEX(BookTotal,2119)*'5. Scenarios'!$C$6/(1+ProductivityDefault*('5. Scenarios'!$C$11-1)))</f>
        <v/>
      </c>
      <c r="J2124" s="57" t="str">
        <f aca="false">IF($I2124="","",INDEX(BookRate,2119)*(1+'5. Scenarios'!$C$10)*$I2124)</f>
        <v/>
      </c>
      <c r="K2124" s="57" t="str">
        <f aca="false">IF($J2124="","",SUMIFS($J$6:$J$2405,$A$6:$A$2405,"&lt;="&amp;$A2124))</f>
        <v/>
      </c>
      <c r="L2124" s="57" t="str">
        <f aca="false">IF($J2124="","",IF($K2124&lt;=BankCostEnvelope*'5. Scenarios'!$C$7,1,0))</f>
        <v/>
      </c>
      <c r="M2124" s="57" t="str">
        <f aca="false">IF($I2124="","",INDEX(BookRate,2119)*(1+'5. Scenarios'!$C$10)*(INDEX(BookQ1,2119)*(5-MIN(4,1+'5. Scenarios'!$C$8))/4+INDEX(BookQ2,2119)*(5-MIN(4,2+'5. Scenarios'!$C$8))/4+INDEX(BookQ3,2119)*(5-MIN(4,3+'5. Scenarios'!$C$8))/4+INDEX(BookQ4,2119)*(5-MIN(4,4+'5. Scenarios'!$C$8))/4)*'5. Scenarios'!$C$6/(1+ProductivityDefault*('5. Scenarios'!$C$11-1))+INDEX(BookOneOff,2119)*$I2124)</f>
        <v/>
      </c>
      <c r="N2124" s="56" t="str">
        <f aca="false">IF(INDEX(BookTitle,2119)="","",INDEX(BookTotal,2119)*'5. Scenarios'!$D$6/(1+ProductivityDefault*('5. Scenarios'!$D$11-1)))</f>
        <v/>
      </c>
      <c r="O2124" s="57" t="str">
        <f aca="false">IF($N2124="","",INDEX(BookRate,2119)*(1+'5. Scenarios'!$D$10)*$N2124)</f>
        <v/>
      </c>
      <c r="P2124" s="57" t="str">
        <f aca="false">IF($O2124="","",SUMIFS($O$6:$O$2405,$A$6:$A$2405,"&lt;="&amp;$A2124))</f>
        <v/>
      </c>
      <c r="Q2124" s="57" t="str">
        <f aca="false">IF($O2124="","",IF($P2124&lt;=BankCostEnvelope*'5. Scenarios'!$D$7,1,0))</f>
        <v/>
      </c>
      <c r="R2124" s="57" t="str">
        <f aca="false">IF($N2124="","",INDEX(BookRate,2119)*(1+'5. Scenarios'!$D$10)*(INDEX(BookQ1,2119)*(5-MIN(4,1+'5. Scenarios'!$D$8))/4+INDEX(BookQ2,2119)*(5-MIN(4,2+'5. Scenarios'!$D$8))/4+INDEX(BookQ3,2119)*(5-MIN(4,3+'5. Scenarios'!$D$8))/4+INDEX(BookQ4,2119)*(5-MIN(4,4+'5. Scenarios'!$D$8))/4)*'5. Scenarios'!$D$6/(1+ProductivityDefault*('5. Scenarios'!$D$11-1))+INDEX(BookOneOff,2119)*$N2124)</f>
        <v/>
      </c>
      <c r="S2124" s="56" t="str">
        <f aca="false">IF(INDEX(BookTitle,2119)="","",INDEX(BookTotal,2119)*'5. Scenarios'!$E$6/(1+ProductivityDefault*('5. Scenarios'!$E$11-1)))</f>
        <v/>
      </c>
      <c r="T2124" s="57" t="str">
        <f aca="false">IF($S2124="","",INDEX(BookRate,2119)*(1+'5. Scenarios'!$E$10)*$S2124)</f>
        <v/>
      </c>
      <c r="U2124" s="57" t="str">
        <f aca="false">IF($T2124="","",SUMIFS($T$6:$T$2405,$A$6:$A$2405,"&lt;="&amp;$A2124))</f>
        <v/>
      </c>
      <c r="V2124" s="57" t="str">
        <f aca="false">IF($T2124="","",IF($U2124&lt;=BankCostEnvelope*'5. Scenarios'!$E$7,1,0))</f>
        <v/>
      </c>
      <c r="W2124" s="57" t="str">
        <f aca="false">IF($S2124="","",INDEX(BookRate,2119)*(1+'5. Scenarios'!$E$10)*(INDEX(BookQ1,2119)*(5-MIN(4,1+'5. Scenarios'!$E$8))/4+INDEX(BookQ2,2119)*(5-MIN(4,2+'5. Scenarios'!$E$8))/4+INDEX(BookQ3,2119)*(5-MIN(4,3+'5. Scenarios'!$E$8))/4+INDEX(BookQ4,2119)*(5-MIN(4,4+'5. Scenarios'!$E$8))/4)*'5. Scenarios'!$E$6/(1+ProductivityDefault*('5. Scenarios'!$E$11-1))+INDEX(BookOneOff,2119)*$S2124)</f>
        <v/>
      </c>
    </row>
    <row r="2125" customFormat="false" ht="15" hidden="false" customHeight="false" outlineLevel="0" collapsed="false">
      <c r="A2125" s="0" t="str">
        <f aca="false">IF(INDEX(BookTitle,2120)="","",INDEX(BookKey,2120))</f>
        <v/>
      </c>
      <c r="B2125" s="0" t="str">
        <f aca="false">IF(INDEX(BookTitle,2120)="","",INDEX(BookGroup,2120))</f>
        <v/>
      </c>
      <c r="C2125" s="0" t="str">
        <f aca="false">IF(INDEX(BookTitle,2120)="","",INDEX(BookCategory,2120))</f>
        <v/>
      </c>
      <c r="D2125" s="56" t="str">
        <f aca="false">IF(INDEX(BookTitle,2120)="","",INDEX(BookTotal,2120)*'5. Scenarios'!$B$6/(1+ProductivityDefault*('5. Scenarios'!$B$11-1)))</f>
        <v/>
      </c>
      <c r="E2125" s="57" t="str">
        <f aca="false">IF($D2125="","",INDEX(BookRate,2120)*(1+'5. Scenarios'!$B$10)*$D2125)</f>
        <v/>
      </c>
      <c r="F2125" s="57" t="str">
        <f aca="false">IF($E2125="","",SUMIFS($E$6:$E$2405,$A$6:$A$2405,"&lt;="&amp;$A2125))</f>
        <v/>
      </c>
      <c r="G2125" s="57" t="str">
        <f aca="false">IF($E2125="","",IF($F2125&lt;=BankCostEnvelope*'5. Scenarios'!$B$7,1,0))</f>
        <v/>
      </c>
      <c r="H2125" s="57" t="str">
        <f aca="false">IF($D2125="","",INDEX(BookRate,2120)*(1+'5. Scenarios'!$B$10)*(INDEX(BookQ1,2120)*(5-MIN(4,1+'5. Scenarios'!$B$8))/4+INDEX(BookQ2,2120)*(5-MIN(4,2+'5. Scenarios'!$B$8))/4+INDEX(BookQ3,2120)*(5-MIN(4,3+'5. Scenarios'!$B$8))/4+INDEX(BookQ4,2120)*(5-MIN(4,4+'5. Scenarios'!$B$8))/4)*'5. Scenarios'!$B$6/(1+ProductivityDefault*('5. Scenarios'!$B$11-1))+INDEX(BookOneOff,2120)*$D2125)</f>
        <v/>
      </c>
      <c r="I2125" s="56" t="str">
        <f aca="false">IF(INDEX(BookTitle,2120)="","",INDEX(BookTotal,2120)*'5. Scenarios'!$C$6/(1+ProductivityDefault*('5. Scenarios'!$C$11-1)))</f>
        <v/>
      </c>
      <c r="J2125" s="57" t="str">
        <f aca="false">IF($I2125="","",INDEX(BookRate,2120)*(1+'5. Scenarios'!$C$10)*$I2125)</f>
        <v/>
      </c>
      <c r="K2125" s="57" t="str">
        <f aca="false">IF($J2125="","",SUMIFS($J$6:$J$2405,$A$6:$A$2405,"&lt;="&amp;$A2125))</f>
        <v/>
      </c>
      <c r="L2125" s="57" t="str">
        <f aca="false">IF($J2125="","",IF($K2125&lt;=BankCostEnvelope*'5. Scenarios'!$C$7,1,0))</f>
        <v/>
      </c>
      <c r="M2125" s="57" t="str">
        <f aca="false">IF($I2125="","",INDEX(BookRate,2120)*(1+'5. Scenarios'!$C$10)*(INDEX(BookQ1,2120)*(5-MIN(4,1+'5. Scenarios'!$C$8))/4+INDEX(BookQ2,2120)*(5-MIN(4,2+'5. Scenarios'!$C$8))/4+INDEX(BookQ3,2120)*(5-MIN(4,3+'5. Scenarios'!$C$8))/4+INDEX(BookQ4,2120)*(5-MIN(4,4+'5. Scenarios'!$C$8))/4)*'5. Scenarios'!$C$6/(1+ProductivityDefault*('5. Scenarios'!$C$11-1))+INDEX(BookOneOff,2120)*$I2125)</f>
        <v/>
      </c>
      <c r="N2125" s="56" t="str">
        <f aca="false">IF(INDEX(BookTitle,2120)="","",INDEX(BookTotal,2120)*'5. Scenarios'!$D$6/(1+ProductivityDefault*('5. Scenarios'!$D$11-1)))</f>
        <v/>
      </c>
      <c r="O2125" s="57" t="str">
        <f aca="false">IF($N2125="","",INDEX(BookRate,2120)*(1+'5. Scenarios'!$D$10)*$N2125)</f>
        <v/>
      </c>
      <c r="P2125" s="57" t="str">
        <f aca="false">IF($O2125="","",SUMIFS($O$6:$O$2405,$A$6:$A$2405,"&lt;="&amp;$A2125))</f>
        <v/>
      </c>
      <c r="Q2125" s="57" t="str">
        <f aca="false">IF($O2125="","",IF($P2125&lt;=BankCostEnvelope*'5. Scenarios'!$D$7,1,0))</f>
        <v/>
      </c>
      <c r="R2125" s="57" t="str">
        <f aca="false">IF($N2125="","",INDEX(BookRate,2120)*(1+'5. Scenarios'!$D$10)*(INDEX(BookQ1,2120)*(5-MIN(4,1+'5. Scenarios'!$D$8))/4+INDEX(BookQ2,2120)*(5-MIN(4,2+'5. Scenarios'!$D$8))/4+INDEX(BookQ3,2120)*(5-MIN(4,3+'5. Scenarios'!$D$8))/4+INDEX(BookQ4,2120)*(5-MIN(4,4+'5. Scenarios'!$D$8))/4)*'5. Scenarios'!$D$6/(1+ProductivityDefault*('5. Scenarios'!$D$11-1))+INDEX(BookOneOff,2120)*$N2125)</f>
        <v/>
      </c>
      <c r="S2125" s="56" t="str">
        <f aca="false">IF(INDEX(BookTitle,2120)="","",INDEX(BookTotal,2120)*'5. Scenarios'!$E$6/(1+ProductivityDefault*('5. Scenarios'!$E$11-1)))</f>
        <v/>
      </c>
      <c r="T2125" s="57" t="str">
        <f aca="false">IF($S2125="","",INDEX(BookRate,2120)*(1+'5. Scenarios'!$E$10)*$S2125)</f>
        <v/>
      </c>
      <c r="U2125" s="57" t="str">
        <f aca="false">IF($T2125="","",SUMIFS($T$6:$T$2405,$A$6:$A$2405,"&lt;="&amp;$A2125))</f>
        <v/>
      </c>
      <c r="V2125" s="57" t="str">
        <f aca="false">IF($T2125="","",IF($U2125&lt;=BankCostEnvelope*'5. Scenarios'!$E$7,1,0))</f>
        <v/>
      </c>
      <c r="W2125" s="57" t="str">
        <f aca="false">IF($S2125="","",INDEX(BookRate,2120)*(1+'5. Scenarios'!$E$10)*(INDEX(BookQ1,2120)*(5-MIN(4,1+'5. Scenarios'!$E$8))/4+INDEX(BookQ2,2120)*(5-MIN(4,2+'5. Scenarios'!$E$8))/4+INDEX(BookQ3,2120)*(5-MIN(4,3+'5. Scenarios'!$E$8))/4+INDEX(BookQ4,2120)*(5-MIN(4,4+'5. Scenarios'!$E$8))/4)*'5. Scenarios'!$E$6/(1+ProductivityDefault*('5. Scenarios'!$E$11-1))+INDEX(BookOneOff,2120)*$S2125)</f>
        <v/>
      </c>
    </row>
    <row r="2126" customFormat="false" ht="15" hidden="false" customHeight="false" outlineLevel="0" collapsed="false">
      <c r="A2126" s="0" t="str">
        <f aca="false">IF(INDEX(BookTitle,2121)="","",INDEX(BookKey,2121))</f>
        <v/>
      </c>
      <c r="B2126" s="0" t="str">
        <f aca="false">IF(INDEX(BookTitle,2121)="","",INDEX(BookGroup,2121))</f>
        <v/>
      </c>
      <c r="C2126" s="0" t="str">
        <f aca="false">IF(INDEX(BookTitle,2121)="","",INDEX(BookCategory,2121))</f>
        <v/>
      </c>
      <c r="D2126" s="56" t="str">
        <f aca="false">IF(INDEX(BookTitle,2121)="","",INDEX(BookTotal,2121)*'5. Scenarios'!$B$6/(1+ProductivityDefault*('5. Scenarios'!$B$11-1)))</f>
        <v/>
      </c>
      <c r="E2126" s="57" t="str">
        <f aca="false">IF($D2126="","",INDEX(BookRate,2121)*(1+'5. Scenarios'!$B$10)*$D2126)</f>
        <v/>
      </c>
      <c r="F2126" s="57" t="str">
        <f aca="false">IF($E2126="","",SUMIFS($E$6:$E$2405,$A$6:$A$2405,"&lt;="&amp;$A2126))</f>
        <v/>
      </c>
      <c r="G2126" s="57" t="str">
        <f aca="false">IF($E2126="","",IF($F2126&lt;=BankCostEnvelope*'5. Scenarios'!$B$7,1,0))</f>
        <v/>
      </c>
      <c r="H2126" s="57" t="str">
        <f aca="false">IF($D2126="","",INDEX(BookRate,2121)*(1+'5. Scenarios'!$B$10)*(INDEX(BookQ1,2121)*(5-MIN(4,1+'5. Scenarios'!$B$8))/4+INDEX(BookQ2,2121)*(5-MIN(4,2+'5. Scenarios'!$B$8))/4+INDEX(BookQ3,2121)*(5-MIN(4,3+'5. Scenarios'!$B$8))/4+INDEX(BookQ4,2121)*(5-MIN(4,4+'5. Scenarios'!$B$8))/4)*'5. Scenarios'!$B$6/(1+ProductivityDefault*('5. Scenarios'!$B$11-1))+INDEX(BookOneOff,2121)*$D2126)</f>
        <v/>
      </c>
      <c r="I2126" s="56" t="str">
        <f aca="false">IF(INDEX(BookTitle,2121)="","",INDEX(BookTotal,2121)*'5. Scenarios'!$C$6/(1+ProductivityDefault*('5. Scenarios'!$C$11-1)))</f>
        <v/>
      </c>
      <c r="J2126" s="57" t="str">
        <f aca="false">IF($I2126="","",INDEX(BookRate,2121)*(1+'5. Scenarios'!$C$10)*$I2126)</f>
        <v/>
      </c>
      <c r="K2126" s="57" t="str">
        <f aca="false">IF($J2126="","",SUMIFS($J$6:$J$2405,$A$6:$A$2405,"&lt;="&amp;$A2126))</f>
        <v/>
      </c>
      <c r="L2126" s="57" t="str">
        <f aca="false">IF($J2126="","",IF($K2126&lt;=BankCostEnvelope*'5. Scenarios'!$C$7,1,0))</f>
        <v/>
      </c>
      <c r="M2126" s="57" t="str">
        <f aca="false">IF($I2126="","",INDEX(BookRate,2121)*(1+'5. Scenarios'!$C$10)*(INDEX(BookQ1,2121)*(5-MIN(4,1+'5. Scenarios'!$C$8))/4+INDEX(BookQ2,2121)*(5-MIN(4,2+'5. Scenarios'!$C$8))/4+INDEX(BookQ3,2121)*(5-MIN(4,3+'5. Scenarios'!$C$8))/4+INDEX(BookQ4,2121)*(5-MIN(4,4+'5. Scenarios'!$C$8))/4)*'5. Scenarios'!$C$6/(1+ProductivityDefault*('5. Scenarios'!$C$11-1))+INDEX(BookOneOff,2121)*$I2126)</f>
        <v/>
      </c>
      <c r="N2126" s="56" t="str">
        <f aca="false">IF(INDEX(BookTitle,2121)="","",INDEX(BookTotal,2121)*'5. Scenarios'!$D$6/(1+ProductivityDefault*('5. Scenarios'!$D$11-1)))</f>
        <v/>
      </c>
      <c r="O2126" s="57" t="str">
        <f aca="false">IF($N2126="","",INDEX(BookRate,2121)*(1+'5. Scenarios'!$D$10)*$N2126)</f>
        <v/>
      </c>
      <c r="P2126" s="57" t="str">
        <f aca="false">IF($O2126="","",SUMIFS($O$6:$O$2405,$A$6:$A$2405,"&lt;="&amp;$A2126))</f>
        <v/>
      </c>
      <c r="Q2126" s="57" t="str">
        <f aca="false">IF($O2126="","",IF($P2126&lt;=BankCostEnvelope*'5. Scenarios'!$D$7,1,0))</f>
        <v/>
      </c>
      <c r="R2126" s="57" t="str">
        <f aca="false">IF($N2126="","",INDEX(BookRate,2121)*(1+'5. Scenarios'!$D$10)*(INDEX(BookQ1,2121)*(5-MIN(4,1+'5. Scenarios'!$D$8))/4+INDEX(BookQ2,2121)*(5-MIN(4,2+'5. Scenarios'!$D$8))/4+INDEX(BookQ3,2121)*(5-MIN(4,3+'5. Scenarios'!$D$8))/4+INDEX(BookQ4,2121)*(5-MIN(4,4+'5. Scenarios'!$D$8))/4)*'5. Scenarios'!$D$6/(1+ProductivityDefault*('5. Scenarios'!$D$11-1))+INDEX(BookOneOff,2121)*$N2126)</f>
        <v/>
      </c>
      <c r="S2126" s="56" t="str">
        <f aca="false">IF(INDEX(BookTitle,2121)="","",INDEX(BookTotal,2121)*'5. Scenarios'!$E$6/(1+ProductivityDefault*('5. Scenarios'!$E$11-1)))</f>
        <v/>
      </c>
      <c r="T2126" s="57" t="str">
        <f aca="false">IF($S2126="","",INDEX(BookRate,2121)*(1+'5. Scenarios'!$E$10)*$S2126)</f>
        <v/>
      </c>
      <c r="U2126" s="57" t="str">
        <f aca="false">IF($T2126="","",SUMIFS($T$6:$T$2405,$A$6:$A$2405,"&lt;="&amp;$A2126))</f>
        <v/>
      </c>
      <c r="V2126" s="57" t="str">
        <f aca="false">IF($T2126="","",IF($U2126&lt;=BankCostEnvelope*'5. Scenarios'!$E$7,1,0))</f>
        <v/>
      </c>
      <c r="W2126" s="57" t="str">
        <f aca="false">IF($S2126="","",INDEX(BookRate,2121)*(1+'5. Scenarios'!$E$10)*(INDEX(BookQ1,2121)*(5-MIN(4,1+'5. Scenarios'!$E$8))/4+INDEX(BookQ2,2121)*(5-MIN(4,2+'5. Scenarios'!$E$8))/4+INDEX(BookQ3,2121)*(5-MIN(4,3+'5. Scenarios'!$E$8))/4+INDEX(BookQ4,2121)*(5-MIN(4,4+'5. Scenarios'!$E$8))/4)*'5. Scenarios'!$E$6/(1+ProductivityDefault*('5. Scenarios'!$E$11-1))+INDEX(BookOneOff,2121)*$S2126)</f>
        <v/>
      </c>
    </row>
    <row r="2127" customFormat="false" ht="15" hidden="false" customHeight="false" outlineLevel="0" collapsed="false">
      <c r="A2127" s="0" t="str">
        <f aca="false">IF(INDEX(BookTitle,2122)="","",INDEX(BookKey,2122))</f>
        <v/>
      </c>
      <c r="B2127" s="0" t="str">
        <f aca="false">IF(INDEX(BookTitle,2122)="","",INDEX(BookGroup,2122))</f>
        <v/>
      </c>
      <c r="C2127" s="0" t="str">
        <f aca="false">IF(INDEX(BookTitle,2122)="","",INDEX(BookCategory,2122))</f>
        <v/>
      </c>
      <c r="D2127" s="56" t="str">
        <f aca="false">IF(INDEX(BookTitle,2122)="","",INDEX(BookTotal,2122)*'5. Scenarios'!$B$6/(1+ProductivityDefault*('5. Scenarios'!$B$11-1)))</f>
        <v/>
      </c>
      <c r="E2127" s="57" t="str">
        <f aca="false">IF($D2127="","",INDEX(BookRate,2122)*(1+'5. Scenarios'!$B$10)*$D2127)</f>
        <v/>
      </c>
      <c r="F2127" s="57" t="str">
        <f aca="false">IF($E2127="","",SUMIFS($E$6:$E$2405,$A$6:$A$2405,"&lt;="&amp;$A2127))</f>
        <v/>
      </c>
      <c r="G2127" s="57" t="str">
        <f aca="false">IF($E2127="","",IF($F2127&lt;=BankCostEnvelope*'5. Scenarios'!$B$7,1,0))</f>
        <v/>
      </c>
      <c r="H2127" s="57" t="str">
        <f aca="false">IF($D2127="","",INDEX(BookRate,2122)*(1+'5. Scenarios'!$B$10)*(INDEX(BookQ1,2122)*(5-MIN(4,1+'5. Scenarios'!$B$8))/4+INDEX(BookQ2,2122)*(5-MIN(4,2+'5. Scenarios'!$B$8))/4+INDEX(BookQ3,2122)*(5-MIN(4,3+'5. Scenarios'!$B$8))/4+INDEX(BookQ4,2122)*(5-MIN(4,4+'5. Scenarios'!$B$8))/4)*'5. Scenarios'!$B$6/(1+ProductivityDefault*('5. Scenarios'!$B$11-1))+INDEX(BookOneOff,2122)*$D2127)</f>
        <v/>
      </c>
      <c r="I2127" s="56" t="str">
        <f aca="false">IF(INDEX(BookTitle,2122)="","",INDEX(BookTotal,2122)*'5. Scenarios'!$C$6/(1+ProductivityDefault*('5. Scenarios'!$C$11-1)))</f>
        <v/>
      </c>
      <c r="J2127" s="57" t="str">
        <f aca="false">IF($I2127="","",INDEX(BookRate,2122)*(1+'5. Scenarios'!$C$10)*$I2127)</f>
        <v/>
      </c>
      <c r="K2127" s="57" t="str">
        <f aca="false">IF($J2127="","",SUMIFS($J$6:$J$2405,$A$6:$A$2405,"&lt;="&amp;$A2127))</f>
        <v/>
      </c>
      <c r="L2127" s="57" t="str">
        <f aca="false">IF($J2127="","",IF($K2127&lt;=BankCostEnvelope*'5. Scenarios'!$C$7,1,0))</f>
        <v/>
      </c>
      <c r="M2127" s="57" t="str">
        <f aca="false">IF($I2127="","",INDEX(BookRate,2122)*(1+'5. Scenarios'!$C$10)*(INDEX(BookQ1,2122)*(5-MIN(4,1+'5. Scenarios'!$C$8))/4+INDEX(BookQ2,2122)*(5-MIN(4,2+'5. Scenarios'!$C$8))/4+INDEX(BookQ3,2122)*(5-MIN(4,3+'5. Scenarios'!$C$8))/4+INDEX(BookQ4,2122)*(5-MIN(4,4+'5. Scenarios'!$C$8))/4)*'5. Scenarios'!$C$6/(1+ProductivityDefault*('5. Scenarios'!$C$11-1))+INDEX(BookOneOff,2122)*$I2127)</f>
        <v/>
      </c>
      <c r="N2127" s="56" t="str">
        <f aca="false">IF(INDEX(BookTitle,2122)="","",INDEX(BookTotal,2122)*'5. Scenarios'!$D$6/(1+ProductivityDefault*('5. Scenarios'!$D$11-1)))</f>
        <v/>
      </c>
      <c r="O2127" s="57" t="str">
        <f aca="false">IF($N2127="","",INDEX(BookRate,2122)*(1+'5. Scenarios'!$D$10)*$N2127)</f>
        <v/>
      </c>
      <c r="P2127" s="57" t="str">
        <f aca="false">IF($O2127="","",SUMIFS($O$6:$O$2405,$A$6:$A$2405,"&lt;="&amp;$A2127))</f>
        <v/>
      </c>
      <c r="Q2127" s="57" t="str">
        <f aca="false">IF($O2127="","",IF($P2127&lt;=BankCostEnvelope*'5. Scenarios'!$D$7,1,0))</f>
        <v/>
      </c>
      <c r="R2127" s="57" t="str">
        <f aca="false">IF($N2127="","",INDEX(BookRate,2122)*(1+'5. Scenarios'!$D$10)*(INDEX(BookQ1,2122)*(5-MIN(4,1+'5. Scenarios'!$D$8))/4+INDEX(BookQ2,2122)*(5-MIN(4,2+'5. Scenarios'!$D$8))/4+INDEX(BookQ3,2122)*(5-MIN(4,3+'5. Scenarios'!$D$8))/4+INDEX(BookQ4,2122)*(5-MIN(4,4+'5. Scenarios'!$D$8))/4)*'5. Scenarios'!$D$6/(1+ProductivityDefault*('5. Scenarios'!$D$11-1))+INDEX(BookOneOff,2122)*$N2127)</f>
        <v/>
      </c>
      <c r="S2127" s="56" t="str">
        <f aca="false">IF(INDEX(BookTitle,2122)="","",INDEX(BookTotal,2122)*'5. Scenarios'!$E$6/(1+ProductivityDefault*('5. Scenarios'!$E$11-1)))</f>
        <v/>
      </c>
      <c r="T2127" s="57" t="str">
        <f aca="false">IF($S2127="","",INDEX(BookRate,2122)*(1+'5. Scenarios'!$E$10)*$S2127)</f>
        <v/>
      </c>
      <c r="U2127" s="57" t="str">
        <f aca="false">IF($T2127="","",SUMIFS($T$6:$T$2405,$A$6:$A$2405,"&lt;="&amp;$A2127))</f>
        <v/>
      </c>
      <c r="V2127" s="57" t="str">
        <f aca="false">IF($T2127="","",IF($U2127&lt;=BankCostEnvelope*'5. Scenarios'!$E$7,1,0))</f>
        <v/>
      </c>
      <c r="W2127" s="57" t="str">
        <f aca="false">IF($S2127="","",INDEX(BookRate,2122)*(1+'5. Scenarios'!$E$10)*(INDEX(BookQ1,2122)*(5-MIN(4,1+'5. Scenarios'!$E$8))/4+INDEX(BookQ2,2122)*(5-MIN(4,2+'5. Scenarios'!$E$8))/4+INDEX(BookQ3,2122)*(5-MIN(4,3+'5. Scenarios'!$E$8))/4+INDEX(BookQ4,2122)*(5-MIN(4,4+'5. Scenarios'!$E$8))/4)*'5. Scenarios'!$E$6/(1+ProductivityDefault*('5. Scenarios'!$E$11-1))+INDEX(BookOneOff,2122)*$S2127)</f>
        <v/>
      </c>
    </row>
    <row r="2128" customFormat="false" ht="15" hidden="false" customHeight="false" outlineLevel="0" collapsed="false">
      <c r="A2128" s="0" t="str">
        <f aca="false">IF(INDEX(BookTitle,2123)="","",INDEX(BookKey,2123))</f>
        <v/>
      </c>
      <c r="B2128" s="0" t="str">
        <f aca="false">IF(INDEX(BookTitle,2123)="","",INDEX(BookGroup,2123))</f>
        <v/>
      </c>
      <c r="C2128" s="0" t="str">
        <f aca="false">IF(INDEX(BookTitle,2123)="","",INDEX(BookCategory,2123))</f>
        <v/>
      </c>
      <c r="D2128" s="56" t="str">
        <f aca="false">IF(INDEX(BookTitle,2123)="","",INDEX(BookTotal,2123)*'5. Scenarios'!$B$6/(1+ProductivityDefault*('5. Scenarios'!$B$11-1)))</f>
        <v/>
      </c>
      <c r="E2128" s="57" t="str">
        <f aca="false">IF($D2128="","",INDEX(BookRate,2123)*(1+'5. Scenarios'!$B$10)*$D2128)</f>
        <v/>
      </c>
      <c r="F2128" s="57" t="str">
        <f aca="false">IF($E2128="","",SUMIFS($E$6:$E$2405,$A$6:$A$2405,"&lt;="&amp;$A2128))</f>
        <v/>
      </c>
      <c r="G2128" s="57" t="str">
        <f aca="false">IF($E2128="","",IF($F2128&lt;=BankCostEnvelope*'5. Scenarios'!$B$7,1,0))</f>
        <v/>
      </c>
      <c r="H2128" s="57" t="str">
        <f aca="false">IF($D2128="","",INDEX(BookRate,2123)*(1+'5. Scenarios'!$B$10)*(INDEX(BookQ1,2123)*(5-MIN(4,1+'5. Scenarios'!$B$8))/4+INDEX(BookQ2,2123)*(5-MIN(4,2+'5. Scenarios'!$B$8))/4+INDEX(BookQ3,2123)*(5-MIN(4,3+'5. Scenarios'!$B$8))/4+INDEX(BookQ4,2123)*(5-MIN(4,4+'5. Scenarios'!$B$8))/4)*'5. Scenarios'!$B$6/(1+ProductivityDefault*('5. Scenarios'!$B$11-1))+INDEX(BookOneOff,2123)*$D2128)</f>
        <v/>
      </c>
      <c r="I2128" s="56" t="str">
        <f aca="false">IF(INDEX(BookTitle,2123)="","",INDEX(BookTotal,2123)*'5. Scenarios'!$C$6/(1+ProductivityDefault*('5. Scenarios'!$C$11-1)))</f>
        <v/>
      </c>
      <c r="J2128" s="57" t="str">
        <f aca="false">IF($I2128="","",INDEX(BookRate,2123)*(1+'5. Scenarios'!$C$10)*$I2128)</f>
        <v/>
      </c>
      <c r="K2128" s="57" t="str">
        <f aca="false">IF($J2128="","",SUMIFS($J$6:$J$2405,$A$6:$A$2405,"&lt;="&amp;$A2128))</f>
        <v/>
      </c>
      <c r="L2128" s="57" t="str">
        <f aca="false">IF($J2128="","",IF($K2128&lt;=BankCostEnvelope*'5. Scenarios'!$C$7,1,0))</f>
        <v/>
      </c>
      <c r="M2128" s="57" t="str">
        <f aca="false">IF($I2128="","",INDEX(BookRate,2123)*(1+'5. Scenarios'!$C$10)*(INDEX(BookQ1,2123)*(5-MIN(4,1+'5. Scenarios'!$C$8))/4+INDEX(BookQ2,2123)*(5-MIN(4,2+'5. Scenarios'!$C$8))/4+INDEX(BookQ3,2123)*(5-MIN(4,3+'5. Scenarios'!$C$8))/4+INDEX(BookQ4,2123)*(5-MIN(4,4+'5. Scenarios'!$C$8))/4)*'5. Scenarios'!$C$6/(1+ProductivityDefault*('5. Scenarios'!$C$11-1))+INDEX(BookOneOff,2123)*$I2128)</f>
        <v/>
      </c>
      <c r="N2128" s="56" t="str">
        <f aca="false">IF(INDEX(BookTitle,2123)="","",INDEX(BookTotal,2123)*'5. Scenarios'!$D$6/(1+ProductivityDefault*('5. Scenarios'!$D$11-1)))</f>
        <v/>
      </c>
      <c r="O2128" s="57" t="str">
        <f aca="false">IF($N2128="","",INDEX(BookRate,2123)*(1+'5. Scenarios'!$D$10)*$N2128)</f>
        <v/>
      </c>
      <c r="P2128" s="57" t="str">
        <f aca="false">IF($O2128="","",SUMIFS($O$6:$O$2405,$A$6:$A$2405,"&lt;="&amp;$A2128))</f>
        <v/>
      </c>
      <c r="Q2128" s="57" t="str">
        <f aca="false">IF($O2128="","",IF($P2128&lt;=BankCostEnvelope*'5. Scenarios'!$D$7,1,0))</f>
        <v/>
      </c>
      <c r="R2128" s="57" t="str">
        <f aca="false">IF($N2128="","",INDEX(BookRate,2123)*(1+'5. Scenarios'!$D$10)*(INDEX(BookQ1,2123)*(5-MIN(4,1+'5. Scenarios'!$D$8))/4+INDEX(BookQ2,2123)*(5-MIN(4,2+'5. Scenarios'!$D$8))/4+INDEX(BookQ3,2123)*(5-MIN(4,3+'5. Scenarios'!$D$8))/4+INDEX(BookQ4,2123)*(5-MIN(4,4+'5. Scenarios'!$D$8))/4)*'5. Scenarios'!$D$6/(1+ProductivityDefault*('5. Scenarios'!$D$11-1))+INDEX(BookOneOff,2123)*$N2128)</f>
        <v/>
      </c>
      <c r="S2128" s="56" t="str">
        <f aca="false">IF(INDEX(BookTitle,2123)="","",INDEX(BookTotal,2123)*'5. Scenarios'!$E$6/(1+ProductivityDefault*('5. Scenarios'!$E$11-1)))</f>
        <v/>
      </c>
      <c r="T2128" s="57" t="str">
        <f aca="false">IF($S2128="","",INDEX(BookRate,2123)*(1+'5. Scenarios'!$E$10)*$S2128)</f>
        <v/>
      </c>
      <c r="U2128" s="57" t="str">
        <f aca="false">IF($T2128="","",SUMIFS($T$6:$T$2405,$A$6:$A$2405,"&lt;="&amp;$A2128))</f>
        <v/>
      </c>
      <c r="V2128" s="57" t="str">
        <f aca="false">IF($T2128="","",IF($U2128&lt;=BankCostEnvelope*'5. Scenarios'!$E$7,1,0))</f>
        <v/>
      </c>
      <c r="W2128" s="57" t="str">
        <f aca="false">IF($S2128="","",INDEX(BookRate,2123)*(1+'5. Scenarios'!$E$10)*(INDEX(BookQ1,2123)*(5-MIN(4,1+'5. Scenarios'!$E$8))/4+INDEX(BookQ2,2123)*(5-MIN(4,2+'5. Scenarios'!$E$8))/4+INDEX(BookQ3,2123)*(5-MIN(4,3+'5. Scenarios'!$E$8))/4+INDEX(BookQ4,2123)*(5-MIN(4,4+'5. Scenarios'!$E$8))/4)*'5. Scenarios'!$E$6/(1+ProductivityDefault*('5. Scenarios'!$E$11-1))+INDEX(BookOneOff,2123)*$S2128)</f>
        <v/>
      </c>
    </row>
    <row r="2129" customFormat="false" ht="15" hidden="false" customHeight="false" outlineLevel="0" collapsed="false">
      <c r="A2129" s="0" t="str">
        <f aca="false">IF(INDEX(BookTitle,2124)="","",INDEX(BookKey,2124))</f>
        <v/>
      </c>
      <c r="B2129" s="0" t="str">
        <f aca="false">IF(INDEX(BookTitle,2124)="","",INDEX(BookGroup,2124))</f>
        <v/>
      </c>
      <c r="C2129" s="0" t="str">
        <f aca="false">IF(INDEX(BookTitle,2124)="","",INDEX(BookCategory,2124))</f>
        <v/>
      </c>
      <c r="D2129" s="56" t="str">
        <f aca="false">IF(INDEX(BookTitle,2124)="","",INDEX(BookTotal,2124)*'5. Scenarios'!$B$6/(1+ProductivityDefault*('5. Scenarios'!$B$11-1)))</f>
        <v/>
      </c>
      <c r="E2129" s="57" t="str">
        <f aca="false">IF($D2129="","",INDEX(BookRate,2124)*(1+'5. Scenarios'!$B$10)*$D2129)</f>
        <v/>
      </c>
      <c r="F2129" s="57" t="str">
        <f aca="false">IF($E2129="","",SUMIFS($E$6:$E$2405,$A$6:$A$2405,"&lt;="&amp;$A2129))</f>
        <v/>
      </c>
      <c r="G2129" s="57" t="str">
        <f aca="false">IF($E2129="","",IF($F2129&lt;=BankCostEnvelope*'5. Scenarios'!$B$7,1,0))</f>
        <v/>
      </c>
      <c r="H2129" s="57" t="str">
        <f aca="false">IF($D2129="","",INDEX(BookRate,2124)*(1+'5. Scenarios'!$B$10)*(INDEX(BookQ1,2124)*(5-MIN(4,1+'5. Scenarios'!$B$8))/4+INDEX(BookQ2,2124)*(5-MIN(4,2+'5. Scenarios'!$B$8))/4+INDEX(BookQ3,2124)*(5-MIN(4,3+'5. Scenarios'!$B$8))/4+INDEX(BookQ4,2124)*(5-MIN(4,4+'5. Scenarios'!$B$8))/4)*'5. Scenarios'!$B$6/(1+ProductivityDefault*('5. Scenarios'!$B$11-1))+INDEX(BookOneOff,2124)*$D2129)</f>
        <v/>
      </c>
      <c r="I2129" s="56" t="str">
        <f aca="false">IF(INDEX(BookTitle,2124)="","",INDEX(BookTotal,2124)*'5. Scenarios'!$C$6/(1+ProductivityDefault*('5. Scenarios'!$C$11-1)))</f>
        <v/>
      </c>
      <c r="J2129" s="57" t="str">
        <f aca="false">IF($I2129="","",INDEX(BookRate,2124)*(1+'5. Scenarios'!$C$10)*$I2129)</f>
        <v/>
      </c>
      <c r="K2129" s="57" t="str">
        <f aca="false">IF($J2129="","",SUMIFS($J$6:$J$2405,$A$6:$A$2405,"&lt;="&amp;$A2129))</f>
        <v/>
      </c>
      <c r="L2129" s="57" t="str">
        <f aca="false">IF($J2129="","",IF($K2129&lt;=BankCostEnvelope*'5. Scenarios'!$C$7,1,0))</f>
        <v/>
      </c>
      <c r="M2129" s="57" t="str">
        <f aca="false">IF($I2129="","",INDEX(BookRate,2124)*(1+'5. Scenarios'!$C$10)*(INDEX(BookQ1,2124)*(5-MIN(4,1+'5. Scenarios'!$C$8))/4+INDEX(BookQ2,2124)*(5-MIN(4,2+'5. Scenarios'!$C$8))/4+INDEX(BookQ3,2124)*(5-MIN(4,3+'5. Scenarios'!$C$8))/4+INDEX(BookQ4,2124)*(5-MIN(4,4+'5. Scenarios'!$C$8))/4)*'5. Scenarios'!$C$6/(1+ProductivityDefault*('5. Scenarios'!$C$11-1))+INDEX(BookOneOff,2124)*$I2129)</f>
        <v/>
      </c>
      <c r="N2129" s="56" t="str">
        <f aca="false">IF(INDEX(BookTitle,2124)="","",INDEX(BookTotal,2124)*'5. Scenarios'!$D$6/(1+ProductivityDefault*('5. Scenarios'!$D$11-1)))</f>
        <v/>
      </c>
      <c r="O2129" s="57" t="str">
        <f aca="false">IF($N2129="","",INDEX(BookRate,2124)*(1+'5. Scenarios'!$D$10)*$N2129)</f>
        <v/>
      </c>
      <c r="P2129" s="57" t="str">
        <f aca="false">IF($O2129="","",SUMIFS($O$6:$O$2405,$A$6:$A$2405,"&lt;="&amp;$A2129))</f>
        <v/>
      </c>
      <c r="Q2129" s="57" t="str">
        <f aca="false">IF($O2129="","",IF($P2129&lt;=BankCostEnvelope*'5. Scenarios'!$D$7,1,0))</f>
        <v/>
      </c>
      <c r="R2129" s="57" t="str">
        <f aca="false">IF($N2129="","",INDEX(BookRate,2124)*(1+'5. Scenarios'!$D$10)*(INDEX(BookQ1,2124)*(5-MIN(4,1+'5. Scenarios'!$D$8))/4+INDEX(BookQ2,2124)*(5-MIN(4,2+'5. Scenarios'!$D$8))/4+INDEX(BookQ3,2124)*(5-MIN(4,3+'5. Scenarios'!$D$8))/4+INDEX(BookQ4,2124)*(5-MIN(4,4+'5. Scenarios'!$D$8))/4)*'5. Scenarios'!$D$6/(1+ProductivityDefault*('5. Scenarios'!$D$11-1))+INDEX(BookOneOff,2124)*$N2129)</f>
        <v/>
      </c>
      <c r="S2129" s="56" t="str">
        <f aca="false">IF(INDEX(BookTitle,2124)="","",INDEX(BookTotal,2124)*'5. Scenarios'!$E$6/(1+ProductivityDefault*('5. Scenarios'!$E$11-1)))</f>
        <v/>
      </c>
      <c r="T2129" s="57" t="str">
        <f aca="false">IF($S2129="","",INDEX(BookRate,2124)*(1+'5. Scenarios'!$E$10)*$S2129)</f>
        <v/>
      </c>
      <c r="U2129" s="57" t="str">
        <f aca="false">IF($T2129="","",SUMIFS($T$6:$T$2405,$A$6:$A$2405,"&lt;="&amp;$A2129))</f>
        <v/>
      </c>
      <c r="V2129" s="57" t="str">
        <f aca="false">IF($T2129="","",IF($U2129&lt;=BankCostEnvelope*'5. Scenarios'!$E$7,1,0))</f>
        <v/>
      </c>
      <c r="W2129" s="57" t="str">
        <f aca="false">IF($S2129="","",INDEX(BookRate,2124)*(1+'5. Scenarios'!$E$10)*(INDEX(BookQ1,2124)*(5-MIN(4,1+'5. Scenarios'!$E$8))/4+INDEX(BookQ2,2124)*(5-MIN(4,2+'5. Scenarios'!$E$8))/4+INDEX(BookQ3,2124)*(5-MIN(4,3+'5. Scenarios'!$E$8))/4+INDEX(BookQ4,2124)*(5-MIN(4,4+'5. Scenarios'!$E$8))/4)*'5. Scenarios'!$E$6/(1+ProductivityDefault*('5. Scenarios'!$E$11-1))+INDEX(BookOneOff,2124)*$S2129)</f>
        <v/>
      </c>
    </row>
    <row r="2130" customFormat="false" ht="15" hidden="false" customHeight="false" outlineLevel="0" collapsed="false">
      <c r="A2130" s="0" t="str">
        <f aca="false">IF(INDEX(BookTitle,2125)="","",INDEX(BookKey,2125))</f>
        <v/>
      </c>
      <c r="B2130" s="0" t="str">
        <f aca="false">IF(INDEX(BookTitle,2125)="","",INDEX(BookGroup,2125))</f>
        <v/>
      </c>
      <c r="C2130" s="0" t="str">
        <f aca="false">IF(INDEX(BookTitle,2125)="","",INDEX(BookCategory,2125))</f>
        <v/>
      </c>
      <c r="D2130" s="56" t="str">
        <f aca="false">IF(INDEX(BookTitle,2125)="","",INDEX(BookTotal,2125)*'5. Scenarios'!$B$6/(1+ProductivityDefault*('5. Scenarios'!$B$11-1)))</f>
        <v/>
      </c>
      <c r="E2130" s="57" t="str">
        <f aca="false">IF($D2130="","",INDEX(BookRate,2125)*(1+'5. Scenarios'!$B$10)*$D2130)</f>
        <v/>
      </c>
      <c r="F2130" s="57" t="str">
        <f aca="false">IF($E2130="","",SUMIFS($E$6:$E$2405,$A$6:$A$2405,"&lt;="&amp;$A2130))</f>
        <v/>
      </c>
      <c r="G2130" s="57" t="str">
        <f aca="false">IF($E2130="","",IF($F2130&lt;=BankCostEnvelope*'5. Scenarios'!$B$7,1,0))</f>
        <v/>
      </c>
      <c r="H2130" s="57" t="str">
        <f aca="false">IF($D2130="","",INDEX(BookRate,2125)*(1+'5. Scenarios'!$B$10)*(INDEX(BookQ1,2125)*(5-MIN(4,1+'5. Scenarios'!$B$8))/4+INDEX(BookQ2,2125)*(5-MIN(4,2+'5. Scenarios'!$B$8))/4+INDEX(BookQ3,2125)*(5-MIN(4,3+'5. Scenarios'!$B$8))/4+INDEX(BookQ4,2125)*(5-MIN(4,4+'5. Scenarios'!$B$8))/4)*'5. Scenarios'!$B$6/(1+ProductivityDefault*('5. Scenarios'!$B$11-1))+INDEX(BookOneOff,2125)*$D2130)</f>
        <v/>
      </c>
      <c r="I2130" s="56" t="str">
        <f aca="false">IF(INDEX(BookTitle,2125)="","",INDEX(BookTotal,2125)*'5. Scenarios'!$C$6/(1+ProductivityDefault*('5. Scenarios'!$C$11-1)))</f>
        <v/>
      </c>
      <c r="J2130" s="57" t="str">
        <f aca="false">IF($I2130="","",INDEX(BookRate,2125)*(1+'5. Scenarios'!$C$10)*$I2130)</f>
        <v/>
      </c>
      <c r="K2130" s="57" t="str">
        <f aca="false">IF($J2130="","",SUMIFS($J$6:$J$2405,$A$6:$A$2405,"&lt;="&amp;$A2130))</f>
        <v/>
      </c>
      <c r="L2130" s="57" t="str">
        <f aca="false">IF($J2130="","",IF($K2130&lt;=BankCostEnvelope*'5. Scenarios'!$C$7,1,0))</f>
        <v/>
      </c>
      <c r="M2130" s="57" t="str">
        <f aca="false">IF($I2130="","",INDEX(BookRate,2125)*(1+'5. Scenarios'!$C$10)*(INDEX(BookQ1,2125)*(5-MIN(4,1+'5. Scenarios'!$C$8))/4+INDEX(BookQ2,2125)*(5-MIN(4,2+'5. Scenarios'!$C$8))/4+INDEX(BookQ3,2125)*(5-MIN(4,3+'5. Scenarios'!$C$8))/4+INDEX(BookQ4,2125)*(5-MIN(4,4+'5. Scenarios'!$C$8))/4)*'5. Scenarios'!$C$6/(1+ProductivityDefault*('5. Scenarios'!$C$11-1))+INDEX(BookOneOff,2125)*$I2130)</f>
        <v/>
      </c>
      <c r="N2130" s="56" t="str">
        <f aca="false">IF(INDEX(BookTitle,2125)="","",INDEX(BookTotal,2125)*'5. Scenarios'!$D$6/(1+ProductivityDefault*('5. Scenarios'!$D$11-1)))</f>
        <v/>
      </c>
      <c r="O2130" s="57" t="str">
        <f aca="false">IF($N2130="","",INDEX(BookRate,2125)*(1+'5. Scenarios'!$D$10)*$N2130)</f>
        <v/>
      </c>
      <c r="P2130" s="57" t="str">
        <f aca="false">IF($O2130="","",SUMIFS($O$6:$O$2405,$A$6:$A$2405,"&lt;="&amp;$A2130))</f>
        <v/>
      </c>
      <c r="Q2130" s="57" t="str">
        <f aca="false">IF($O2130="","",IF($P2130&lt;=BankCostEnvelope*'5. Scenarios'!$D$7,1,0))</f>
        <v/>
      </c>
      <c r="R2130" s="57" t="str">
        <f aca="false">IF($N2130="","",INDEX(BookRate,2125)*(1+'5. Scenarios'!$D$10)*(INDEX(BookQ1,2125)*(5-MIN(4,1+'5. Scenarios'!$D$8))/4+INDEX(BookQ2,2125)*(5-MIN(4,2+'5. Scenarios'!$D$8))/4+INDEX(BookQ3,2125)*(5-MIN(4,3+'5. Scenarios'!$D$8))/4+INDEX(BookQ4,2125)*(5-MIN(4,4+'5. Scenarios'!$D$8))/4)*'5. Scenarios'!$D$6/(1+ProductivityDefault*('5. Scenarios'!$D$11-1))+INDEX(BookOneOff,2125)*$N2130)</f>
        <v/>
      </c>
      <c r="S2130" s="56" t="str">
        <f aca="false">IF(INDEX(BookTitle,2125)="","",INDEX(BookTotal,2125)*'5. Scenarios'!$E$6/(1+ProductivityDefault*('5. Scenarios'!$E$11-1)))</f>
        <v/>
      </c>
      <c r="T2130" s="57" t="str">
        <f aca="false">IF($S2130="","",INDEX(BookRate,2125)*(1+'5. Scenarios'!$E$10)*$S2130)</f>
        <v/>
      </c>
      <c r="U2130" s="57" t="str">
        <f aca="false">IF($T2130="","",SUMIFS($T$6:$T$2405,$A$6:$A$2405,"&lt;="&amp;$A2130))</f>
        <v/>
      </c>
      <c r="V2130" s="57" t="str">
        <f aca="false">IF($T2130="","",IF($U2130&lt;=BankCostEnvelope*'5. Scenarios'!$E$7,1,0))</f>
        <v/>
      </c>
      <c r="W2130" s="57" t="str">
        <f aca="false">IF($S2130="","",INDEX(BookRate,2125)*(1+'5. Scenarios'!$E$10)*(INDEX(BookQ1,2125)*(5-MIN(4,1+'5. Scenarios'!$E$8))/4+INDEX(BookQ2,2125)*(5-MIN(4,2+'5. Scenarios'!$E$8))/4+INDEX(BookQ3,2125)*(5-MIN(4,3+'5. Scenarios'!$E$8))/4+INDEX(BookQ4,2125)*(5-MIN(4,4+'5. Scenarios'!$E$8))/4)*'5. Scenarios'!$E$6/(1+ProductivityDefault*('5. Scenarios'!$E$11-1))+INDEX(BookOneOff,2125)*$S2130)</f>
        <v/>
      </c>
    </row>
    <row r="2131" customFormat="false" ht="15" hidden="false" customHeight="false" outlineLevel="0" collapsed="false">
      <c r="A2131" s="0" t="str">
        <f aca="false">IF(INDEX(BookTitle,2126)="","",INDEX(BookKey,2126))</f>
        <v/>
      </c>
      <c r="B2131" s="0" t="str">
        <f aca="false">IF(INDEX(BookTitle,2126)="","",INDEX(BookGroup,2126))</f>
        <v/>
      </c>
      <c r="C2131" s="0" t="str">
        <f aca="false">IF(INDEX(BookTitle,2126)="","",INDEX(BookCategory,2126))</f>
        <v/>
      </c>
      <c r="D2131" s="56" t="str">
        <f aca="false">IF(INDEX(BookTitle,2126)="","",INDEX(BookTotal,2126)*'5. Scenarios'!$B$6/(1+ProductivityDefault*('5. Scenarios'!$B$11-1)))</f>
        <v/>
      </c>
      <c r="E2131" s="57" t="str">
        <f aca="false">IF($D2131="","",INDEX(BookRate,2126)*(1+'5. Scenarios'!$B$10)*$D2131)</f>
        <v/>
      </c>
      <c r="F2131" s="57" t="str">
        <f aca="false">IF($E2131="","",SUMIFS($E$6:$E$2405,$A$6:$A$2405,"&lt;="&amp;$A2131))</f>
        <v/>
      </c>
      <c r="G2131" s="57" t="str">
        <f aca="false">IF($E2131="","",IF($F2131&lt;=BankCostEnvelope*'5. Scenarios'!$B$7,1,0))</f>
        <v/>
      </c>
      <c r="H2131" s="57" t="str">
        <f aca="false">IF($D2131="","",INDEX(BookRate,2126)*(1+'5. Scenarios'!$B$10)*(INDEX(BookQ1,2126)*(5-MIN(4,1+'5. Scenarios'!$B$8))/4+INDEX(BookQ2,2126)*(5-MIN(4,2+'5. Scenarios'!$B$8))/4+INDEX(BookQ3,2126)*(5-MIN(4,3+'5. Scenarios'!$B$8))/4+INDEX(BookQ4,2126)*(5-MIN(4,4+'5. Scenarios'!$B$8))/4)*'5. Scenarios'!$B$6/(1+ProductivityDefault*('5. Scenarios'!$B$11-1))+INDEX(BookOneOff,2126)*$D2131)</f>
        <v/>
      </c>
      <c r="I2131" s="56" t="str">
        <f aca="false">IF(INDEX(BookTitle,2126)="","",INDEX(BookTotal,2126)*'5. Scenarios'!$C$6/(1+ProductivityDefault*('5. Scenarios'!$C$11-1)))</f>
        <v/>
      </c>
      <c r="J2131" s="57" t="str">
        <f aca="false">IF($I2131="","",INDEX(BookRate,2126)*(1+'5. Scenarios'!$C$10)*$I2131)</f>
        <v/>
      </c>
      <c r="K2131" s="57" t="str">
        <f aca="false">IF($J2131="","",SUMIFS($J$6:$J$2405,$A$6:$A$2405,"&lt;="&amp;$A2131))</f>
        <v/>
      </c>
      <c r="L2131" s="57" t="str">
        <f aca="false">IF($J2131="","",IF($K2131&lt;=BankCostEnvelope*'5. Scenarios'!$C$7,1,0))</f>
        <v/>
      </c>
      <c r="M2131" s="57" t="str">
        <f aca="false">IF($I2131="","",INDEX(BookRate,2126)*(1+'5. Scenarios'!$C$10)*(INDEX(BookQ1,2126)*(5-MIN(4,1+'5. Scenarios'!$C$8))/4+INDEX(BookQ2,2126)*(5-MIN(4,2+'5. Scenarios'!$C$8))/4+INDEX(BookQ3,2126)*(5-MIN(4,3+'5. Scenarios'!$C$8))/4+INDEX(BookQ4,2126)*(5-MIN(4,4+'5. Scenarios'!$C$8))/4)*'5. Scenarios'!$C$6/(1+ProductivityDefault*('5. Scenarios'!$C$11-1))+INDEX(BookOneOff,2126)*$I2131)</f>
        <v/>
      </c>
      <c r="N2131" s="56" t="str">
        <f aca="false">IF(INDEX(BookTitle,2126)="","",INDEX(BookTotal,2126)*'5. Scenarios'!$D$6/(1+ProductivityDefault*('5. Scenarios'!$D$11-1)))</f>
        <v/>
      </c>
      <c r="O2131" s="57" t="str">
        <f aca="false">IF($N2131="","",INDEX(BookRate,2126)*(1+'5. Scenarios'!$D$10)*$N2131)</f>
        <v/>
      </c>
      <c r="P2131" s="57" t="str">
        <f aca="false">IF($O2131="","",SUMIFS($O$6:$O$2405,$A$6:$A$2405,"&lt;="&amp;$A2131))</f>
        <v/>
      </c>
      <c r="Q2131" s="57" t="str">
        <f aca="false">IF($O2131="","",IF($P2131&lt;=BankCostEnvelope*'5. Scenarios'!$D$7,1,0))</f>
        <v/>
      </c>
      <c r="R2131" s="57" t="str">
        <f aca="false">IF($N2131="","",INDEX(BookRate,2126)*(1+'5. Scenarios'!$D$10)*(INDEX(BookQ1,2126)*(5-MIN(4,1+'5. Scenarios'!$D$8))/4+INDEX(BookQ2,2126)*(5-MIN(4,2+'5. Scenarios'!$D$8))/4+INDEX(BookQ3,2126)*(5-MIN(4,3+'5. Scenarios'!$D$8))/4+INDEX(BookQ4,2126)*(5-MIN(4,4+'5. Scenarios'!$D$8))/4)*'5. Scenarios'!$D$6/(1+ProductivityDefault*('5. Scenarios'!$D$11-1))+INDEX(BookOneOff,2126)*$N2131)</f>
        <v/>
      </c>
      <c r="S2131" s="56" t="str">
        <f aca="false">IF(INDEX(BookTitle,2126)="","",INDEX(BookTotal,2126)*'5. Scenarios'!$E$6/(1+ProductivityDefault*('5. Scenarios'!$E$11-1)))</f>
        <v/>
      </c>
      <c r="T2131" s="57" t="str">
        <f aca="false">IF($S2131="","",INDEX(BookRate,2126)*(1+'5. Scenarios'!$E$10)*$S2131)</f>
        <v/>
      </c>
      <c r="U2131" s="57" t="str">
        <f aca="false">IF($T2131="","",SUMIFS($T$6:$T$2405,$A$6:$A$2405,"&lt;="&amp;$A2131))</f>
        <v/>
      </c>
      <c r="V2131" s="57" t="str">
        <f aca="false">IF($T2131="","",IF($U2131&lt;=BankCostEnvelope*'5. Scenarios'!$E$7,1,0))</f>
        <v/>
      </c>
      <c r="W2131" s="57" t="str">
        <f aca="false">IF($S2131="","",INDEX(BookRate,2126)*(1+'5. Scenarios'!$E$10)*(INDEX(BookQ1,2126)*(5-MIN(4,1+'5. Scenarios'!$E$8))/4+INDEX(BookQ2,2126)*(5-MIN(4,2+'5. Scenarios'!$E$8))/4+INDEX(BookQ3,2126)*(5-MIN(4,3+'5. Scenarios'!$E$8))/4+INDEX(BookQ4,2126)*(5-MIN(4,4+'5. Scenarios'!$E$8))/4)*'5. Scenarios'!$E$6/(1+ProductivityDefault*('5. Scenarios'!$E$11-1))+INDEX(BookOneOff,2126)*$S2131)</f>
        <v/>
      </c>
    </row>
    <row r="2132" customFormat="false" ht="15" hidden="false" customHeight="false" outlineLevel="0" collapsed="false">
      <c r="A2132" s="0" t="str">
        <f aca="false">IF(INDEX(BookTitle,2127)="","",INDEX(BookKey,2127))</f>
        <v/>
      </c>
      <c r="B2132" s="0" t="str">
        <f aca="false">IF(INDEX(BookTitle,2127)="","",INDEX(BookGroup,2127))</f>
        <v/>
      </c>
      <c r="C2132" s="0" t="str">
        <f aca="false">IF(INDEX(BookTitle,2127)="","",INDEX(BookCategory,2127))</f>
        <v/>
      </c>
      <c r="D2132" s="56" t="str">
        <f aca="false">IF(INDEX(BookTitle,2127)="","",INDEX(BookTotal,2127)*'5. Scenarios'!$B$6/(1+ProductivityDefault*('5. Scenarios'!$B$11-1)))</f>
        <v/>
      </c>
      <c r="E2132" s="57" t="str">
        <f aca="false">IF($D2132="","",INDEX(BookRate,2127)*(1+'5. Scenarios'!$B$10)*$D2132)</f>
        <v/>
      </c>
      <c r="F2132" s="57" t="str">
        <f aca="false">IF($E2132="","",SUMIFS($E$6:$E$2405,$A$6:$A$2405,"&lt;="&amp;$A2132))</f>
        <v/>
      </c>
      <c r="G2132" s="57" t="str">
        <f aca="false">IF($E2132="","",IF($F2132&lt;=BankCostEnvelope*'5. Scenarios'!$B$7,1,0))</f>
        <v/>
      </c>
      <c r="H2132" s="57" t="str">
        <f aca="false">IF($D2132="","",INDEX(BookRate,2127)*(1+'5. Scenarios'!$B$10)*(INDEX(BookQ1,2127)*(5-MIN(4,1+'5. Scenarios'!$B$8))/4+INDEX(BookQ2,2127)*(5-MIN(4,2+'5. Scenarios'!$B$8))/4+INDEX(BookQ3,2127)*(5-MIN(4,3+'5. Scenarios'!$B$8))/4+INDEX(BookQ4,2127)*(5-MIN(4,4+'5. Scenarios'!$B$8))/4)*'5. Scenarios'!$B$6/(1+ProductivityDefault*('5. Scenarios'!$B$11-1))+INDEX(BookOneOff,2127)*$D2132)</f>
        <v/>
      </c>
      <c r="I2132" s="56" t="str">
        <f aca="false">IF(INDEX(BookTitle,2127)="","",INDEX(BookTotal,2127)*'5. Scenarios'!$C$6/(1+ProductivityDefault*('5. Scenarios'!$C$11-1)))</f>
        <v/>
      </c>
      <c r="J2132" s="57" t="str">
        <f aca="false">IF($I2132="","",INDEX(BookRate,2127)*(1+'5. Scenarios'!$C$10)*$I2132)</f>
        <v/>
      </c>
      <c r="K2132" s="57" t="str">
        <f aca="false">IF($J2132="","",SUMIFS($J$6:$J$2405,$A$6:$A$2405,"&lt;="&amp;$A2132))</f>
        <v/>
      </c>
      <c r="L2132" s="57" t="str">
        <f aca="false">IF($J2132="","",IF($K2132&lt;=BankCostEnvelope*'5. Scenarios'!$C$7,1,0))</f>
        <v/>
      </c>
      <c r="M2132" s="57" t="str">
        <f aca="false">IF($I2132="","",INDEX(BookRate,2127)*(1+'5. Scenarios'!$C$10)*(INDEX(BookQ1,2127)*(5-MIN(4,1+'5. Scenarios'!$C$8))/4+INDEX(BookQ2,2127)*(5-MIN(4,2+'5. Scenarios'!$C$8))/4+INDEX(BookQ3,2127)*(5-MIN(4,3+'5. Scenarios'!$C$8))/4+INDEX(BookQ4,2127)*(5-MIN(4,4+'5. Scenarios'!$C$8))/4)*'5. Scenarios'!$C$6/(1+ProductivityDefault*('5. Scenarios'!$C$11-1))+INDEX(BookOneOff,2127)*$I2132)</f>
        <v/>
      </c>
      <c r="N2132" s="56" t="str">
        <f aca="false">IF(INDEX(BookTitle,2127)="","",INDEX(BookTotal,2127)*'5. Scenarios'!$D$6/(1+ProductivityDefault*('5. Scenarios'!$D$11-1)))</f>
        <v/>
      </c>
      <c r="O2132" s="57" t="str">
        <f aca="false">IF($N2132="","",INDEX(BookRate,2127)*(1+'5. Scenarios'!$D$10)*$N2132)</f>
        <v/>
      </c>
      <c r="P2132" s="57" t="str">
        <f aca="false">IF($O2132="","",SUMIFS($O$6:$O$2405,$A$6:$A$2405,"&lt;="&amp;$A2132))</f>
        <v/>
      </c>
      <c r="Q2132" s="57" t="str">
        <f aca="false">IF($O2132="","",IF($P2132&lt;=BankCostEnvelope*'5. Scenarios'!$D$7,1,0))</f>
        <v/>
      </c>
      <c r="R2132" s="57" t="str">
        <f aca="false">IF($N2132="","",INDEX(BookRate,2127)*(1+'5. Scenarios'!$D$10)*(INDEX(BookQ1,2127)*(5-MIN(4,1+'5. Scenarios'!$D$8))/4+INDEX(BookQ2,2127)*(5-MIN(4,2+'5. Scenarios'!$D$8))/4+INDEX(BookQ3,2127)*(5-MIN(4,3+'5. Scenarios'!$D$8))/4+INDEX(BookQ4,2127)*(5-MIN(4,4+'5. Scenarios'!$D$8))/4)*'5. Scenarios'!$D$6/(1+ProductivityDefault*('5. Scenarios'!$D$11-1))+INDEX(BookOneOff,2127)*$N2132)</f>
        <v/>
      </c>
      <c r="S2132" s="56" t="str">
        <f aca="false">IF(INDEX(BookTitle,2127)="","",INDEX(BookTotal,2127)*'5. Scenarios'!$E$6/(1+ProductivityDefault*('5. Scenarios'!$E$11-1)))</f>
        <v/>
      </c>
      <c r="T2132" s="57" t="str">
        <f aca="false">IF($S2132="","",INDEX(BookRate,2127)*(1+'5. Scenarios'!$E$10)*$S2132)</f>
        <v/>
      </c>
      <c r="U2132" s="57" t="str">
        <f aca="false">IF($T2132="","",SUMIFS($T$6:$T$2405,$A$6:$A$2405,"&lt;="&amp;$A2132))</f>
        <v/>
      </c>
      <c r="V2132" s="57" t="str">
        <f aca="false">IF($T2132="","",IF($U2132&lt;=BankCostEnvelope*'5. Scenarios'!$E$7,1,0))</f>
        <v/>
      </c>
      <c r="W2132" s="57" t="str">
        <f aca="false">IF($S2132="","",INDEX(BookRate,2127)*(1+'5. Scenarios'!$E$10)*(INDEX(BookQ1,2127)*(5-MIN(4,1+'5. Scenarios'!$E$8))/4+INDEX(BookQ2,2127)*(5-MIN(4,2+'5. Scenarios'!$E$8))/4+INDEX(BookQ3,2127)*(5-MIN(4,3+'5. Scenarios'!$E$8))/4+INDEX(BookQ4,2127)*(5-MIN(4,4+'5. Scenarios'!$E$8))/4)*'5. Scenarios'!$E$6/(1+ProductivityDefault*('5. Scenarios'!$E$11-1))+INDEX(BookOneOff,2127)*$S2132)</f>
        <v/>
      </c>
    </row>
    <row r="2133" customFormat="false" ht="15" hidden="false" customHeight="false" outlineLevel="0" collapsed="false">
      <c r="A2133" s="0" t="str">
        <f aca="false">IF(INDEX(BookTitle,2128)="","",INDEX(BookKey,2128))</f>
        <v/>
      </c>
      <c r="B2133" s="0" t="str">
        <f aca="false">IF(INDEX(BookTitle,2128)="","",INDEX(BookGroup,2128))</f>
        <v/>
      </c>
      <c r="C2133" s="0" t="str">
        <f aca="false">IF(INDEX(BookTitle,2128)="","",INDEX(BookCategory,2128))</f>
        <v/>
      </c>
      <c r="D2133" s="56" t="str">
        <f aca="false">IF(INDEX(BookTitle,2128)="","",INDEX(BookTotal,2128)*'5. Scenarios'!$B$6/(1+ProductivityDefault*('5. Scenarios'!$B$11-1)))</f>
        <v/>
      </c>
      <c r="E2133" s="57" t="str">
        <f aca="false">IF($D2133="","",INDEX(BookRate,2128)*(1+'5. Scenarios'!$B$10)*$D2133)</f>
        <v/>
      </c>
      <c r="F2133" s="57" t="str">
        <f aca="false">IF($E2133="","",SUMIFS($E$6:$E$2405,$A$6:$A$2405,"&lt;="&amp;$A2133))</f>
        <v/>
      </c>
      <c r="G2133" s="57" t="str">
        <f aca="false">IF($E2133="","",IF($F2133&lt;=BankCostEnvelope*'5. Scenarios'!$B$7,1,0))</f>
        <v/>
      </c>
      <c r="H2133" s="57" t="str">
        <f aca="false">IF($D2133="","",INDEX(BookRate,2128)*(1+'5. Scenarios'!$B$10)*(INDEX(BookQ1,2128)*(5-MIN(4,1+'5. Scenarios'!$B$8))/4+INDEX(BookQ2,2128)*(5-MIN(4,2+'5. Scenarios'!$B$8))/4+INDEX(BookQ3,2128)*(5-MIN(4,3+'5. Scenarios'!$B$8))/4+INDEX(BookQ4,2128)*(5-MIN(4,4+'5. Scenarios'!$B$8))/4)*'5. Scenarios'!$B$6/(1+ProductivityDefault*('5. Scenarios'!$B$11-1))+INDEX(BookOneOff,2128)*$D2133)</f>
        <v/>
      </c>
      <c r="I2133" s="56" t="str">
        <f aca="false">IF(INDEX(BookTitle,2128)="","",INDEX(BookTotal,2128)*'5. Scenarios'!$C$6/(1+ProductivityDefault*('5. Scenarios'!$C$11-1)))</f>
        <v/>
      </c>
      <c r="J2133" s="57" t="str">
        <f aca="false">IF($I2133="","",INDEX(BookRate,2128)*(1+'5. Scenarios'!$C$10)*$I2133)</f>
        <v/>
      </c>
      <c r="K2133" s="57" t="str">
        <f aca="false">IF($J2133="","",SUMIFS($J$6:$J$2405,$A$6:$A$2405,"&lt;="&amp;$A2133))</f>
        <v/>
      </c>
      <c r="L2133" s="57" t="str">
        <f aca="false">IF($J2133="","",IF($K2133&lt;=BankCostEnvelope*'5. Scenarios'!$C$7,1,0))</f>
        <v/>
      </c>
      <c r="M2133" s="57" t="str">
        <f aca="false">IF($I2133="","",INDEX(BookRate,2128)*(1+'5. Scenarios'!$C$10)*(INDEX(BookQ1,2128)*(5-MIN(4,1+'5. Scenarios'!$C$8))/4+INDEX(BookQ2,2128)*(5-MIN(4,2+'5. Scenarios'!$C$8))/4+INDEX(BookQ3,2128)*(5-MIN(4,3+'5. Scenarios'!$C$8))/4+INDEX(BookQ4,2128)*(5-MIN(4,4+'5. Scenarios'!$C$8))/4)*'5. Scenarios'!$C$6/(1+ProductivityDefault*('5. Scenarios'!$C$11-1))+INDEX(BookOneOff,2128)*$I2133)</f>
        <v/>
      </c>
      <c r="N2133" s="56" t="str">
        <f aca="false">IF(INDEX(BookTitle,2128)="","",INDEX(BookTotal,2128)*'5. Scenarios'!$D$6/(1+ProductivityDefault*('5. Scenarios'!$D$11-1)))</f>
        <v/>
      </c>
      <c r="O2133" s="57" t="str">
        <f aca="false">IF($N2133="","",INDEX(BookRate,2128)*(1+'5. Scenarios'!$D$10)*$N2133)</f>
        <v/>
      </c>
      <c r="P2133" s="57" t="str">
        <f aca="false">IF($O2133="","",SUMIFS($O$6:$O$2405,$A$6:$A$2405,"&lt;="&amp;$A2133))</f>
        <v/>
      </c>
      <c r="Q2133" s="57" t="str">
        <f aca="false">IF($O2133="","",IF($P2133&lt;=BankCostEnvelope*'5. Scenarios'!$D$7,1,0))</f>
        <v/>
      </c>
      <c r="R2133" s="57" t="str">
        <f aca="false">IF($N2133="","",INDEX(BookRate,2128)*(1+'5. Scenarios'!$D$10)*(INDEX(BookQ1,2128)*(5-MIN(4,1+'5. Scenarios'!$D$8))/4+INDEX(BookQ2,2128)*(5-MIN(4,2+'5. Scenarios'!$D$8))/4+INDEX(BookQ3,2128)*(5-MIN(4,3+'5. Scenarios'!$D$8))/4+INDEX(BookQ4,2128)*(5-MIN(4,4+'5. Scenarios'!$D$8))/4)*'5. Scenarios'!$D$6/(1+ProductivityDefault*('5. Scenarios'!$D$11-1))+INDEX(BookOneOff,2128)*$N2133)</f>
        <v/>
      </c>
      <c r="S2133" s="56" t="str">
        <f aca="false">IF(INDEX(BookTitle,2128)="","",INDEX(BookTotal,2128)*'5. Scenarios'!$E$6/(1+ProductivityDefault*('5. Scenarios'!$E$11-1)))</f>
        <v/>
      </c>
      <c r="T2133" s="57" t="str">
        <f aca="false">IF($S2133="","",INDEX(BookRate,2128)*(1+'5. Scenarios'!$E$10)*$S2133)</f>
        <v/>
      </c>
      <c r="U2133" s="57" t="str">
        <f aca="false">IF($T2133="","",SUMIFS($T$6:$T$2405,$A$6:$A$2405,"&lt;="&amp;$A2133))</f>
        <v/>
      </c>
      <c r="V2133" s="57" t="str">
        <f aca="false">IF($T2133="","",IF($U2133&lt;=BankCostEnvelope*'5. Scenarios'!$E$7,1,0))</f>
        <v/>
      </c>
      <c r="W2133" s="57" t="str">
        <f aca="false">IF($S2133="","",INDEX(BookRate,2128)*(1+'5. Scenarios'!$E$10)*(INDEX(BookQ1,2128)*(5-MIN(4,1+'5. Scenarios'!$E$8))/4+INDEX(BookQ2,2128)*(5-MIN(4,2+'5. Scenarios'!$E$8))/4+INDEX(BookQ3,2128)*(5-MIN(4,3+'5. Scenarios'!$E$8))/4+INDEX(BookQ4,2128)*(5-MIN(4,4+'5. Scenarios'!$E$8))/4)*'5. Scenarios'!$E$6/(1+ProductivityDefault*('5. Scenarios'!$E$11-1))+INDEX(BookOneOff,2128)*$S2133)</f>
        <v/>
      </c>
    </row>
    <row r="2134" customFormat="false" ht="15" hidden="false" customHeight="false" outlineLevel="0" collapsed="false">
      <c r="A2134" s="0" t="str">
        <f aca="false">IF(INDEX(BookTitle,2129)="","",INDEX(BookKey,2129))</f>
        <v/>
      </c>
      <c r="B2134" s="0" t="str">
        <f aca="false">IF(INDEX(BookTitle,2129)="","",INDEX(BookGroup,2129))</f>
        <v/>
      </c>
      <c r="C2134" s="0" t="str">
        <f aca="false">IF(INDEX(BookTitle,2129)="","",INDEX(BookCategory,2129))</f>
        <v/>
      </c>
      <c r="D2134" s="56" t="str">
        <f aca="false">IF(INDEX(BookTitle,2129)="","",INDEX(BookTotal,2129)*'5. Scenarios'!$B$6/(1+ProductivityDefault*('5. Scenarios'!$B$11-1)))</f>
        <v/>
      </c>
      <c r="E2134" s="57" t="str">
        <f aca="false">IF($D2134="","",INDEX(BookRate,2129)*(1+'5. Scenarios'!$B$10)*$D2134)</f>
        <v/>
      </c>
      <c r="F2134" s="57" t="str">
        <f aca="false">IF($E2134="","",SUMIFS($E$6:$E$2405,$A$6:$A$2405,"&lt;="&amp;$A2134))</f>
        <v/>
      </c>
      <c r="G2134" s="57" t="str">
        <f aca="false">IF($E2134="","",IF($F2134&lt;=BankCostEnvelope*'5. Scenarios'!$B$7,1,0))</f>
        <v/>
      </c>
      <c r="H2134" s="57" t="str">
        <f aca="false">IF($D2134="","",INDEX(BookRate,2129)*(1+'5. Scenarios'!$B$10)*(INDEX(BookQ1,2129)*(5-MIN(4,1+'5. Scenarios'!$B$8))/4+INDEX(BookQ2,2129)*(5-MIN(4,2+'5. Scenarios'!$B$8))/4+INDEX(BookQ3,2129)*(5-MIN(4,3+'5. Scenarios'!$B$8))/4+INDEX(BookQ4,2129)*(5-MIN(4,4+'5. Scenarios'!$B$8))/4)*'5. Scenarios'!$B$6/(1+ProductivityDefault*('5. Scenarios'!$B$11-1))+INDEX(BookOneOff,2129)*$D2134)</f>
        <v/>
      </c>
      <c r="I2134" s="56" t="str">
        <f aca="false">IF(INDEX(BookTitle,2129)="","",INDEX(BookTotal,2129)*'5. Scenarios'!$C$6/(1+ProductivityDefault*('5. Scenarios'!$C$11-1)))</f>
        <v/>
      </c>
      <c r="J2134" s="57" t="str">
        <f aca="false">IF($I2134="","",INDEX(BookRate,2129)*(1+'5. Scenarios'!$C$10)*$I2134)</f>
        <v/>
      </c>
      <c r="K2134" s="57" t="str">
        <f aca="false">IF($J2134="","",SUMIFS($J$6:$J$2405,$A$6:$A$2405,"&lt;="&amp;$A2134))</f>
        <v/>
      </c>
      <c r="L2134" s="57" t="str">
        <f aca="false">IF($J2134="","",IF($K2134&lt;=BankCostEnvelope*'5. Scenarios'!$C$7,1,0))</f>
        <v/>
      </c>
      <c r="M2134" s="57" t="str">
        <f aca="false">IF($I2134="","",INDEX(BookRate,2129)*(1+'5. Scenarios'!$C$10)*(INDEX(BookQ1,2129)*(5-MIN(4,1+'5. Scenarios'!$C$8))/4+INDEX(BookQ2,2129)*(5-MIN(4,2+'5. Scenarios'!$C$8))/4+INDEX(BookQ3,2129)*(5-MIN(4,3+'5. Scenarios'!$C$8))/4+INDEX(BookQ4,2129)*(5-MIN(4,4+'5. Scenarios'!$C$8))/4)*'5. Scenarios'!$C$6/(1+ProductivityDefault*('5. Scenarios'!$C$11-1))+INDEX(BookOneOff,2129)*$I2134)</f>
        <v/>
      </c>
      <c r="N2134" s="56" t="str">
        <f aca="false">IF(INDEX(BookTitle,2129)="","",INDEX(BookTotal,2129)*'5. Scenarios'!$D$6/(1+ProductivityDefault*('5. Scenarios'!$D$11-1)))</f>
        <v/>
      </c>
      <c r="O2134" s="57" t="str">
        <f aca="false">IF($N2134="","",INDEX(BookRate,2129)*(1+'5. Scenarios'!$D$10)*$N2134)</f>
        <v/>
      </c>
      <c r="P2134" s="57" t="str">
        <f aca="false">IF($O2134="","",SUMIFS($O$6:$O$2405,$A$6:$A$2405,"&lt;="&amp;$A2134))</f>
        <v/>
      </c>
      <c r="Q2134" s="57" t="str">
        <f aca="false">IF($O2134="","",IF($P2134&lt;=BankCostEnvelope*'5. Scenarios'!$D$7,1,0))</f>
        <v/>
      </c>
      <c r="R2134" s="57" t="str">
        <f aca="false">IF($N2134="","",INDEX(BookRate,2129)*(1+'5. Scenarios'!$D$10)*(INDEX(BookQ1,2129)*(5-MIN(4,1+'5. Scenarios'!$D$8))/4+INDEX(BookQ2,2129)*(5-MIN(4,2+'5. Scenarios'!$D$8))/4+INDEX(BookQ3,2129)*(5-MIN(4,3+'5. Scenarios'!$D$8))/4+INDEX(BookQ4,2129)*(5-MIN(4,4+'5. Scenarios'!$D$8))/4)*'5. Scenarios'!$D$6/(1+ProductivityDefault*('5. Scenarios'!$D$11-1))+INDEX(BookOneOff,2129)*$N2134)</f>
        <v/>
      </c>
      <c r="S2134" s="56" t="str">
        <f aca="false">IF(INDEX(BookTitle,2129)="","",INDEX(BookTotal,2129)*'5. Scenarios'!$E$6/(1+ProductivityDefault*('5. Scenarios'!$E$11-1)))</f>
        <v/>
      </c>
      <c r="T2134" s="57" t="str">
        <f aca="false">IF($S2134="","",INDEX(BookRate,2129)*(1+'5. Scenarios'!$E$10)*$S2134)</f>
        <v/>
      </c>
      <c r="U2134" s="57" t="str">
        <f aca="false">IF($T2134="","",SUMIFS($T$6:$T$2405,$A$6:$A$2405,"&lt;="&amp;$A2134))</f>
        <v/>
      </c>
      <c r="V2134" s="57" t="str">
        <f aca="false">IF($T2134="","",IF($U2134&lt;=BankCostEnvelope*'5. Scenarios'!$E$7,1,0))</f>
        <v/>
      </c>
      <c r="W2134" s="57" t="str">
        <f aca="false">IF($S2134="","",INDEX(BookRate,2129)*(1+'5. Scenarios'!$E$10)*(INDEX(BookQ1,2129)*(5-MIN(4,1+'5. Scenarios'!$E$8))/4+INDEX(BookQ2,2129)*(5-MIN(4,2+'5. Scenarios'!$E$8))/4+INDEX(BookQ3,2129)*(5-MIN(4,3+'5. Scenarios'!$E$8))/4+INDEX(BookQ4,2129)*(5-MIN(4,4+'5. Scenarios'!$E$8))/4)*'5. Scenarios'!$E$6/(1+ProductivityDefault*('5. Scenarios'!$E$11-1))+INDEX(BookOneOff,2129)*$S2134)</f>
        <v/>
      </c>
    </row>
    <row r="2135" customFormat="false" ht="15" hidden="false" customHeight="false" outlineLevel="0" collapsed="false">
      <c r="A2135" s="0" t="str">
        <f aca="false">IF(INDEX(BookTitle,2130)="","",INDEX(BookKey,2130))</f>
        <v/>
      </c>
      <c r="B2135" s="0" t="str">
        <f aca="false">IF(INDEX(BookTitle,2130)="","",INDEX(BookGroup,2130))</f>
        <v/>
      </c>
      <c r="C2135" s="0" t="str">
        <f aca="false">IF(INDEX(BookTitle,2130)="","",INDEX(BookCategory,2130))</f>
        <v/>
      </c>
      <c r="D2135" s="56" t="str">
        <f aca="false">IF(INDEX(BookTitle,2130)="","",INDEX(BookTotal,2130)*'5. Scenarios'!$B$6/(1+ProductivityDefault*('5. Scenarios'!$B$11-1)))</f>
        <v/>
      </c>
      <c r="E2135" s="57" t="str">
        <f aca="false">IF($D2135="","",INDEX(BookRate,2130)*(1+'5. Scenarios'!$B$10)*$D2135)</f>
        <v/>
      </c>
      <c r="F2135" s="57" t="str">
        <f aca="false">IF($E2135="","",SUMIFS($E$6:$E$2405,$A$6:$A$2405,"&lt;="&amp;$A2135))</f>
        <v/>
      </c>
      <c r="G2135" s="57" t="str">
        <f aca="false">IF($E2135="","",IF($F2135&lt;=BankCostEnvelope*'5. Scenarios'!$B$7,1,0))</f>
        <v/>
      </c>
      <c r="H2135" s="57" t="str">
        <f aca="false">IF($D2135="","",INDEX(BookRate,2130)*(1+'5. Scenarios'!$B$10)*(INDEX(BookQ1,2130)*(5-MIN(4,1+'5. Scenarios'!$B$8))/4+INDEX(BookQ2,2130)*(5-MIN(4,2+'5. Scenarios'!$B$8))/4+INDEX(BookQ3,2130)*(5-MIN(4,3+'5. Scenarios'!$B$8))/4+INDEX(BookQ4,2130)*(5-MIN(4,4+'5. Scenarios'!$B$8))/4)*'5. Scenarios'!$B$6/(1+ProductivityDefault*('5. Scenarios'!$B$11-1))+INDEX(BookOneOff,2130)*$D2135)</f>
        <v/>
      </c>
      <c r="I2135" s="56" t="str">
        <f aca="false">IF(INDEX(BookTitle,2130)="","",INDEX(BookTotal,2130)*'5. Scenarios'!$C$6/(1+ProductivityDefault*('5. Scenarios'!$C$11-1)))</f>
        <v/>
      </c>
      <c r="J2135" s="57" t="str">
        <f aca="false">IF($I2135="","",INDEX(BookRate,2130)*(1+'5. Scenarios'!$C$10)*$I2135)</f>
        <v/>
      </c>
      <c r="K2135" s="57" t="str">
        <f aca="false">IF($J2135="","",SUMIFS($J$6:$J$2405,$A$6:$A$2405,"&lt;="&amp;$A2135))</f>
        <v/>
      </c>
      <c r="L2135" s="57" t="str">
        <f aca="false">IF($J2135="","",IF($K2135&lt;=BankCostEnvelope*'5. Scenarios'!$C$7,1,0))</f>
        <v/>
      </c>
      <c r="M2135" s="57" t="str">
        <f aca="false">IF($I2135="","",INDEX(BookRate,2130)*(1+'5. Scenarios'!$C$10)*(INDEX(BookQ1,2130)*(5-MIN(4,1+'5. Scenarios'!$C$8))/4+INDEX(BookQ2,2130)*(5-MIN(4,2+'5. Scenarios'!$C$8))/4+INDEX(BookQ3,2130)*(5-MIN(4,3+'5. Scenarios'!$C$8))/4+INDEX(BookQ4,2130)*(5-MIN(4,4+'5. Scenarios'!$C$8))/4)*'5. Scenarios'!$C$6/(1+ProductivityDefault*('5. Scenarios'!$C$11-1))+INDEX(BookOneOff,2130)*$I2135)</f>
        <v/>
      </c>
      <c r="N2135" s="56" t="str">
        <f aca="false">IF(INDEX(BookTitle,2130)="","",INDEX(BookTotal,2130)*'5. Scenarios'!$D$6/(1+ProductivityDefault*('5. Scenarios'!$D$11-1)))</f>
        <v/>
      </c>
      <c r="O2135" s="57" t="str">
        <f aca="false">IF($N2135="","",INDEX(BookRate,2130)*(1+'5. Scenarios'!$D$10)*$N2135)</f>
        <v/>
      </c>
      <c r="P2135" s="57" t="str">
        <f aca="false">IF($O2135="","",SUMIFS($O$6:$O$2405,$A$6:$A$2405,"&lt;="&amp;$A2135))</f>
        <v/>
      </c>
      <c r="Q2135" s="57" t="str">
        <f aca="false">IF($O2135="","",IF($P2135&lt;=BankCostEnvelope*'5. Scenarios'!$D$7,1,0))</f>
        <v/>
      </c>
      <c r="R2135" s="57" t="str">
        <f aca="false">IF($N2135="","",INDEX(BookRate,2130)*(1+'5. Scenarios'!$D$10)*(INDEX(BookQ1,2130)*(5-MIN(4,1+'5. Scenarios'!$D$8))/4+INDEX(BookQ2,2130)*(5-MIN(4,2+'5. Scenarios'!$D$8))/4+INDEX(BookQ3,2130)*(5-MIN(4,3+'5. Scenarios'!$D$8))/4+INDEX(BookQ4,2130)*(5-MIN(4,4+'5. Scenarios'!$D$8))/4)*'5. Scenarios'!$D$6/(1+ProductivityDefault*('5. Scenarios'!$D$11-1))+INDEX(BookOneOff,2130)*$N2135)</f>
        <v/>
      </c>
      <c r="S2135" s="56" t="str">
        <f aca="false">IF(INDEX(BookTitle,2130)="","",INDEX(BookTotal,2130)*'5. Scenarios'!$E$6/(1+ProductivityDefault*('5. Scenarios'!$E$11-1)))</f>
        <v/>
      </c>
      <c r="T2135" s="57" t="str">
        <f aca="false">IF($S2135="","",INDEX(BookRate,2130)*(1+'5. Scenarios'!$E$10)*$S2135)</f>
        <v/>
      </c>
      <c r="U2135" s="57" t="str">
        <f aca="false">IF($T2135="","",SUMIFS($T$6:$T$2405,$A$6:$A$2405,"&lt;="&amp;$A2135))</f>
        <v/>
      </c>
      <c r="V2135" s="57" t="str">
        <f aca="false">IF($T2135="","",IF($U2135&lt;=BankCostEnvelope*'5. Scenarios'!$E$7,1,0))</f>
        <v/>
      </c>
      <c r="W2135" s="57" t="str">
        <f aca="false">IF($S2135="","",INDEX(BookRate,2130)*(1+'5. Scenarios'!$E$10)*(INDEX(BookQ1,2130)*(5-MIN(4,1+'5. Scenarios'!$E$8))/4+INDEX(BookQ2,2130)*(5-MIN(4,2+'5. Scenarios'!$E$8))/4+INDEX(BookQ3,2130)*(5-MIN(4,3+'5. Scenarios'!$E$8))/4+INDEX(BookQ4,2130)*(5-MIN(4,4+'5. Scenarios'!$E$8))/4)*'5. Scenarios'!$E$6/(1+ProductivityDefault*('5. Scenarios'!$E$11-1))+INDEX(BookOneOff,2130)*$S2135)</f>
        <v/>
      </c>
    </row>
    <row r="2136" customFormat="false" ht="15" hidden="false" customHeight="false" outlineLevel="0" collapsed="false">
      <c r="A2136" s="0" t="str">
        <f aca="false">IF(INDEX(BookTitle,2131)="","",INDEX(BookKey,2131))</f>
        <v/>
      </c>
      <c r="B2136" s="0" t="str">
        <f aca="false">IF(INDEX(BookTitle,2131)="","",INDEX(BookGroup,2131))</f>
        <v/>
      </c>
      <c r="C2136" s="0" t="str">
        <f aca="false">IF(INDEX(BookTitle,2131)="","",INDEX(BookCategory,2131))</f>
        <v/>
      </c>
      <c r="D2136" s="56" t="str">
        <f aca="false">IF(INDEX(BookTitle,2131)="","",INDEX(BookTotal,2131)*'5. Scenarios'!$B$6/(1+ProductivityDefault*('5. Scenarios'!$B$11-1)))</f>
        <v/>
      </c>
      <c r="E2136" s="57" t="str">
        <f aca="false">IF($D2136="","",INDEX(BookRate,2131)*(1+'5. Scenarios'!$B$10)*$D2136)</f>
        <v/>
      </c>
      <c r="F2136" s="57" t="str">
        <f aca="false">IF($E2136="","",SUMIFS($E$6:$E$2405,$A$6:$A$2405,"&lt;="&amp;$A2136))</f>
        <v/>
      </c>
      <c r="G2136" s="57" t="str">
        <f aca="false">IF($E2136="","",IF($F2136&lt;=BankCostEnvelope*'5. Scenarios'!$B$7,1,0))</f>
        <v/>
      </c>
      <c r="H2136" s="57" t="str">
        <f aca="false">IF($D2136="","",INDEX(BookRate,2131)*(1+'5. Scenarios'!$B$10)*(INDEX(BookQ1,2131)*(5-MIN(4,1+'5. Scenarios'!$B$8))/4+INDEX(BookQ2,2131)*(5-MIN(4,2+'5. Scenarios'!$B$8))/4+INDEX(BookQ3,2131)*(5-MIN(4,3+'5. Scenarios'!$B$8))/4+INDEX(BookQ4,2131)*(5-MIN(4,4+'5. Scenarios'!$B$8))/4)*'5. Scenarios'!$B$6/(1+ProductivityDefault*('5. Scenarios'!$B$11-1))+INDEX(BookOneOff,2131)*$D2136)</f>
        <v/>
      </c>
      <c r="I2136" s="56" t="str">
        <f aca="false">IF(INDEX(BookTitle,2131)="","",INDEX(BookTotal,2131)*'5. Scenarios'!$C$6/(1+ProductivityDefault*('5. Scenarios'!$C$11-1)))</f>
        <v/>
      </c>
      <c r="J2136" s="57" t="str">
        <f aca="false">IF($I2136="","",INDEX(BookRate,2131)*(1+'5. Scenarios'!$C$10)*$I2136)</f>
        <v/>
      </c>
      <c r="K2136" s="57" t="str">
        <f aca="false">IF($J2136="","",SUMIFS($J$6:$J$2405,$A$6:$A$2405,"&lt;="&amp;$A2136))</f>
        <v/>
      </c>
      <c r="L2136" s="57" t="str">
        <f aca="false">IF($J2136="","",IF($K2136&lt;=BankCostEnvelope*'5. Scenarios'!$C$7,1,0))</f>
        <v/>
      </c>
      <c r="M2136" s="57" t="str">
        <f aca="false">IF($I2136="","",INDEX(BookRate,2131)*(1+'5. Scenarios'!$C$10)*(INDEX(BookQ1,2131)*(5-MIN(4,1+'5. Scenarios'!$C$8))/4+INDEX(BookQ2,2131)*(5-MIN(4,2+'5. Scenarios'!$C$8))/4+INDEX(BookQ3,2131)*(5-MIN(4,3+'5. Scenarios'!$C$8))/4+INDEX(BookQ4,2131)*(5-MIN(4,4+'5. Scenarios'!$C$8))/4)*'5. Scenarios'!$C$6/(1+ProductivityDefault*('5. Scenarios'!$C$11-1))+INDEX(BookOneOff,2131)*$I2136)</f>
        <v/>
      </c>
      <c r="N2136" s="56" t="str">
        <f aca="false">IF(INDEX(BookTitle,2131)="","",INDEX(BookTotal,2131)*'5. Scenarios'!$D$6/(1+ProductivityDefault*('5. Scenarios'!$D$11-1)))</f>
        <v/>
      </c>
      <c r="O2136" s="57" t="str">
        <f aca="false">IF($N2136="","",INDEX(BookRate,2131)*(1+'5. Scenarios'!$D$10)*$N2136)</f>
        <v/>
      </c>
      <c r="P2136" s="57" t="str">
        <f aca="false">IF($O2136="","",SUMIFS($O$6:$O$2405,$A$6:$A$2405,"&lt;="&amp;$A2136))</f>
        <v/>
      </c>
      <c r="Q2136" s="57" t="str">
        <f aca="false">IF($O2136="","",IF($P2136&lt;=BankCostEnvelope*'5. Scenarios'!$D$7,1,0))</f>
        <v/>
      </c>
      <c r="R2136" s="57" t="str">
        <f aca="false">IF($N2136="","",INDEX(BookRate,2131)*(1+'5. Scenarios'!$D$10)*(INDEX(BookQ1,2131)*(5-MIN(4,1+'5. Scenarios'!$D$8))/4+INDEX(BookQ2,2131)*(5-MIN(4,2+'5. Scenarios'!$D$8))/4+INDEX(BookQ3,2131)*(5-MIN(4,3+'5. Scenarios'!$D$8))/4+INDEX(BookQ4,2131)*(5-MIN(4,4+'5. Scenarios'!$D$8))/4)*'5. Scenarios'!$D$6/(1+ProductivityDefault*('5. Scenarios'!$D$11-1))+INDEX(BookOneOff,2131)*$N2136)</f>
        <v/>
      </c>
      <c r="S2136" s="56" t="str">
        <f aca="false">IF(INDEX(BookTitle,2131)="","",INDEX(BookTotal,2131)*'5. Scenarios'!$E$6/(1+ProductivityDefault*('5. Scenarios'!$E$11-1)))</f>
        <v/>
      </c>
      <c r="T2136" s="57" t="str">
        <f aca="false">IF($S2136="","",INDEX(BookRate,2131)*(1+'5. Scenarios'!$E$10)*$S2136)</f>
        <v/>
      </c>
      <c r="U2136" s="57" t="str">
        <f aca="false">IF($T2136="","",SUMIFS($T$6:$T$2405,$A$6:$A$2405,"&lt;="&amp;$A2136))</f>
        <v/>
      </c>
      <c r="V2136" s="57" t="str">
        <f aca="false">IF($T2136="","",IF($U2136&lt;=BankCostEnvelope*'5. Scenarios'!$E$7,1,0))</f>
        <v/>
      </c>
      <c r="W2136" s="57" t="str">
        <f aca="false">IF($S2136="","",INDEX(BookRate,2131)*(1+'5. Scenarios'!$E$10)*(INDEX(BookQ1,2131)*(5-MIN(4,1+'5. Scenarios'!$E$8))/4+INDEX(BookQ2,2131)*(5-MIN(4,2+'5. Scenarios'!$E$8))/4+INDEX(BookQ3,2131)*(5-MIN(4,3+'5. Scenarios'!$E$8))/4+INDEX(BookQ4,2131)*(5-MIN(4,4+'5. Scenarios'!$E$8))/4)*'5. Scenarios'!$E$6/(1+ProductivityDefault*('5. Scenarios'!$E$11-1))+INDEX(BookOneOff,2131)*$S2136)</f>
        <v/>
      </c>
    </row>
    <row r="2137" customFormat="false" ht="15" hidden="false" customHeight="false" outlineLevel="0" collapsed="false">
      <c r="A2137" s="0" t="str">
        <f aca="false">IF(INDEX(BookTitle,2132)="","",INDEX(BookKey,2132))</f>
        <v/>
      </c>
      <c r="B2137" s="0" t="str">
        <f aca="false">IF(INDEX(BookTitle,2132)="","",INDEX(BookGroup,2132))</f>
        <v/>
      </c>
      <c r="C2137" s="0" t="str">
        <f aca="false">IF(INDEX(BookTitle,2132)="","",INDEX(BookCategory,2132))</f>
        <v/>
      </c>
      <c r="D2137" s="56" t="str">
        <f aca="false">IF(INDEX(BookTitle,2132)="","",INDEX(BookTotal,2132)*'5. Scenarios'!$B$6/(1+ProductivityDefault*('5. Scenarios'!$B$11-1)))</f>
        <v/>
      </c>
      <c r="E2137" s="57" t="str">
        <f aca="false">IF($D2137="","",INDEX(BookRate,2132)*(1+'5. Scenarios'!$B$10)*$D2137)</f>
        <v/>
      </c>
      <c r="F2137" s="57" t="str">
        <f aca="false">IF($E2137="","",SUMIFS($E$6:$E$2405,$A$6:$A$2405,"&lt;="&amp;$A2137))</f>
        <v/>
      </c>
      <c r="G2137" s="57" t="str">
        <f aca="false">IF($E2137="","",IF($F2137&lt;=BankCostEnvelope*'5. Scenarios'!$B$7,1,0))</f>
        <v/>
      </c>
      <c r="H2137" s="57" t="str">
        <f aca="false">IF($D2137="","",INDEX(BookRate,2132)*(1+'5. Scenarios'!$B$10)*(INDEX(BookQ1,2132)*(5-MIN(4,1+'5. Scenarios'!$B$8))/4+INDEX(BookQ2,2132)*(5-MIN(4,2+'5. Scenarios'!$B$8))/4+INDEX(BookQ3,2132)*(5-MIN(4,3+'5. Scenarios'!$B$8))/4+INDEX(BookQ4,2132)*(5-MIN(4,4+'5. Scenarios'!$B$8))/4)*'5. Scenarios'!$B$6/(1+ProductivityDefault*('5. Scenarios'!$B$11-1))+INDEX(BookOneOff,2132)*$D2137)</f>
        <v/>
      </c>
      <c r="I2137" s="56" t="str">
        <f aca="false">IF(INDEX(BookTitle,2132)="","",INDEX(BookTotal,2132)*'5. Scenarios'!$C$6/(1+ProductivityDefault*('5. Scenarios'!$C$11-1)))</f>
        <v/>
      </c>
      <c r="J2137" s="57" t="str">
        <f aca="false">IF($I2137="","",INDEX(BookRate,2132)*(1+'5. Scenarios'!$C$10)*$I2137)</f>
        <v/>
      </c>
      <c r="K2137" s="57" t="str">
        <f aca="false">IF($J2137="","",SUMIFS($J$6:$J$2405,$A$6:$A$2405,"&lt;="&amp;$A2137))</f>
        <v/>
      </c>
      <c r="L2137" s="57" t="str">
        <f aca="false">IF($J2137="","",IF($K2137&lt;=BankCostEnvelope*'5. Scenarios'!$C$7,1,0))</f>
        <v/>
      </c>
      <c r="M2137" s="57" t="str">
        <f aca="false">IF($I2137="","",INDEX(BookRate,2132)*(1+'5. Scenarios'!$C$10)*(INDEX(BookQ1,2132)*(5-MIN(4,1+'5. Scenarios'!$C$8))/4+INDEX(BookQ2,2132)*(5-MIN(4,2+'5. Scenarios'!$C$8))/4+INDEX(BookQ3,2132)*(5-MIN(4,3+'5. Scenarios'!$C$8))/4+INDEX(BookQ4,2132)*(5-MIN(4,4+'5. Scenarios'!$C$8))/4)*'5. Scenarios'!$C$6/(1+ProductivityDefault*('5. Scenarios'!$C$11-1))+INDEX(BookOneOff,2132)*$I2137)</f>
        <v/>
      </c>
      <c r="N2137" s="56" t="str">
        <f aca="false">IF(INDEX(BookTitle,2132)="","",INDEX(BookTotal,2132)*'5. Scenarios'!$D$6/(1+ProductivityDefault*('5. Scenarios'!$D$11-1)))</f>
        <v/>
      </c>
      <c r="O2137" s="57" t="str">
        <f aca="false">IF($N2137="","",INDEX(BookRate,2132)*(1+'5. Scenarios'!$D$10)*$N2137)</f>
        <v/>
      </c>
      <c r="P2137" s="57" t="str">
        <f aca="false">IF($O2137="","",SUMIFS($O$6:$O$2405,$A$6:$A$2405,"&lt;="&amp;$A2137))</f>
        <v/>
      </c>
      <c r="Q2137" s="57" t="str">
        <f aca="false">IF($O2137="","",IF($P2137&lt;=BankCostEnvelope*'5. Scenarios'!$D$7,1,0))</f>
        <v/>
      </c>
      <c r="R2137" s="57" t="str">
        <f aca="false">IF($N2137="","",INDEX(BookRate,2132)*(1+'5. Scenarios'!$D$10)*(INDEX(BookQ1,2132)*(5-MIN(4,1+'5. Scenarios'!$D$8))/4+INDEX(BookQ2,2132)*(5-MIN(4,2+'5. Scenarios'!$D$8))/4+INDEX(BookQ3,2132)*(5-MIN(4,3+'5. Scenarios'!$D$8))/4+INDEX(BookQ4,2132)*(5-MIN(4,4+'5. Scenarios'!$D$8))/4)*'5. Scenarios'!$D$6/(1+ProductivityDefault*('5. Scenarios'!$D$11-1))+INDEX(BookOneOff,2132)*$N2137)</f>
        <v/>
      </c>
      <c r="S2137" s="56" t="str">
        <f aca="false">IF(INDEX(BookTitle,2132)="","",INDEX(BookTotal,2132)*'5. Scenarios'!$E$6/(1+ProductivityDefault*('5. Scenarios'!$E$11-1)))</f>
        <v/>
      </c>
      <c r="T2137" s="57" t="str">
        <f aca="false">IF($S2137="","",INDEX(BookRate,2132)*(1+'5. Scenarios'!$E$10)*$S2137)</f>
        <v/>
      </c>
      <c r="U2137" s="57" t="str">
        <f aca="false">IF($T2137="","",SUMIFS($T$6:$T$2405,$A$6:$A$2405,"&lt;="&amp;$A2137))</f>
        <v/>
      </c>
      <c r="V2137" s="57" t="str">
        <f aca="false">IF($T2137="","",IF($U2137&lt;=BankCostEnvelope*'5. Scenarios'!$E$7,1,0))</f>
        <v/>
      </c>
      <c r="W2137" s="57" t="str">
        <f aca="false">IF($S2137="","",INDEX(BookRate,2132)*(1+'5. Scenarios'!$E$10)*(INDEX(BookQ1,2132)*(5-MIN(4,1+'5. Scenarios'!$E$8))/4+INDEX(BookQ2,2132)*(5-MIN(4,2+'5. Scenarios'!$E$8))/4+INDEX(BookQ3,2132)*(5-MIN(4,3+'5. Scenarios'!$E$8))/4+INDEX(BookQ4,2132)*(5-MIN(4,4+'5. Scenarios'!$E$8))/4)*'5. Scenarios'!$E$6/(1+ProductivityDefault*('5. Scenarios'!$E$11-1))+INDEX(BookOneOff,2132)*$S2137)</f>
        <v/>
      </c>
    </row>
    <row r="2138" customFormat="false" ht="15" hidden="false" customHeight="false" outlineLevel="0" collapsed="false">
      <c r="A2138" s="0" t="str">
        <f aca="false">IF(INDEX(BookTitle,2133)="","",INDEX(BookKey,2133))</f>
        <v/>
      </c>
      <c r="B2138" s="0" t="str">
        <f aca="false">IF(INDEX(BookTitle,2133)="","",INDEX(BookGroup,2133))</f>
        <v/>
      </c>
      <c r="C2138" s="0" t="str">
        <f aca="false">IF(INDEX(BookTitle,2133)="","",INDEX(BookCategory,2133))</f>
        <v/>
      </c>
      <c r="D2138" s="56" t="str">
        <f aca="false">IF(INDEX(BookTitle,2133)="","",INDEX(BookTotal,2133)*'5. Scenarios'!$B$6/(1+ProductivityDefault*('5. Scenarios'!$B$11-1)))</f>
        <v/>
      </c>
      <c r="E2138" s="57" t="str">
        <f aca="false">IF($D2138="","",INDEX(BookRate,2133)*(1+'5. Scenarios'!$B$10)*$D2138)</f>
        <v/>
      </c>
      <c r="F2138" s="57" t="str">
        <f aca="false">IF($E2138="","",SUMIFS($E$6:$E$2405,$A$6:$A$2405,"&lt;="&amp;$A2138))</f>
        <v/>
      </c>
      <c r="G2138" s="57" t="str">
        <f aca="false">IF($E2138="","",IF($F2138&lt;=BankCostEnvelope*'5. Scenarios'!$B$7,1,0))</f>
        <v/>
      </c>
      <c r="H2138" s="57" t="str">
        <f aca="false">IF($D2138="","",INDEX(BookRate,2133)*(1+'5. Scenarios'!$B$10)*(INDEX(BookQ1,2133)*(5-MIN(4,1+'5. Scenarios'!$B$8))/4+INDEX(BookQ2,2133)*(5-MIN(4,2+'5. Scenarios'!$B$8))/4+INDEX(BookQ3,2133)*(5-MIN(4,3+'5. Scenarios'!$B$8))/4+INDEX(BookQ4,2133)*(5-MIN(4,4+'5. Scenarios'!$B$8))/4)*'5. Scenarios'!$B$6/(1+ProductivityDefault*('5. Scenarios'!$B$11-1))+INDEX(BookOneOff,2133)*$D2138)</f>
        <v/>
      </c>
      <c r="I2138" s="56" t="str">
        <f aca="false">IF(INDEX(BookTitle,2133)="","",INDEX(BookTotal,2133)*'5. Scenarios'!$C$6/(1+ProductivityDefault*('5. Scenarios'!$C$11-1)))</f>
        <v/>
      </c>
      <c r="J2138" s="57" t="str">
        <f aca="false">IF($I2138="","",INDEX(BookRate,2133)*(1+'5. Scenarios'!$C$10)*$I2138)</f>
        <v/>
      </c>
      <c r="K2138" s="57" t="str">
        <f aca="false">IF($J2138="","",SUMIFS($J$6:$J$2405,$A$6:$A$2405,"&lt;="&amp;$A2138))</f>
        <v/>
      </c>
      <c r="L2138" s="57" t="str">
        <f aca="false">IF($J2138="","",IF($K2138&lt;=BankCostEnvelope*'5. Scenarios'!$C$7,1,0))</f>
        <v/>
      </c>
      <c r="M2138" s="57" t="str">
        <f aca="false">IF($I2138="","",INDEX(BookRate,2133)*(1+'5. Scenarios'!$C$10)*(INDEX(BookQ1,2133)*(5-MIN(4,1+'5. Scenarios'!$C$8))/4+INDEX(BookQ2,2133)*(5-MIN(4,2+'5. Scenarios'!$C$8))/4+INDEX(BookQ3,2133)*(5-MIN(4,3+'5. Scenarios'!$C$8))/4+INDEX(BookQ4,2133)*(5-MIN(4,4+'5. Scenarios'!$C$8))/4)*'5. Scenarios'!$C$6/(1+ProductivityDefault*('5. Scenarios'!$C$11-1))+INDEX(BookOneOff,2133)*$I2138)</f>
        <v/>
      </c>
      <c r="N2138" s="56" t="str">
        <f aca="false">IF(INDEX(BookTitle,2133)="","",INDEX(BookTotal,2133)*'5. Scenarios'!$D$6/(1+ProductivityDefault*('5. Scenarios'!$D$11-1)))</f>
        <v/>
      </c>
      <c r="O2138" s="57" t="str">
        <f aca="false">IF($N2138="","",INDEX(BookRate,2133)*(1+'5. Scenarios'!$D$10)*$N2138)</f>
        <v/>
      </c>
      <c r="P2138" s="57" t="str">
        <f aca="false">IF($O2138="","",SUMIFS($O$6:$O$2405,$A$6:$A$2405,"&lt;="&amp;$A2138))</f>
        <v/>
      </c>
      <c r="Q2138" s="57" t="str">
        <f aca="false">IF($O2138="","",IF($P2138&lt;=BankCostEnvelope*'5. Scenarios'!$D$7,1,0))</f>
        <v/>
      </c>
      <c r="R2138" s="57" t="str">
        <f aca="false">IF($N2138="","",INDEX(BookRate,2133)*(1+'5. Scenarios'!$D$10)*(INDEX(BookQ1,2133)*(5-MIN(4,1+'5. Scenarios'!$D$8))/4+INDEX(BookQ2,2133)*(5-MIN(4,2+'5. Scenarios'!$D$8))/4+INDEX(BookQ3,2133)*(5-MIN(4,3+'5. Scenarios'!$D$8))/4+INDEX(BookQ4,2133)*(5-MIN(4,4+'5. Scenarios'!$D$8))/4)*'5. Scenarios'!$D$6/(1+ProductivityDefault*('5. Scenarios'!$D$11-1))+INDEX(BookOneOff,2133)*$N2138)</f>
        <v/>
      </c>
      <c r="S2138" s="56" t="str">
        <f aca="false">IF(INDEX(BookTitle,2133)="","",INDEX(BookTotal,2133)*'5. Scenarios'!$E$6/(1+ProductivityDefault*('5. Scenarios'!$E$11-1)))</f>
        <v/>
      </c>
      <c r="T2138" s="57" t="str">
        <f aca="false">IF($S2138="","",INDEX(BookRate,2133)*(1+'5. Scenarios'!$E$10)*$S2138)</f>
        <v/>
      </c>
      <c r="U2138" s="57" t="str">
        <f aca="false">IF($T2138="","",SUMIFS($T$6:$T$2405,$A$6:$A$2405,"&lt;="&amp;$A2138))</f>
        <v/>
      </c>
      <c r="V2138" s="57" t="str">
        <f aca="false">IF($T2138="","",IF($U2138&lt;=BankCostEnvelope*'5. Scenarios'!$E$7,1,0))</f>
        <v/>
      </c>
      <c r="W2138" s="57" t="str">
        <f aca="false">IF($S2138="","",INDEX(BookRate,2133)*(1+'5. Scenarios'!$E$10)*(INDEX(BookQ1,2133)*(5-MIN(4,1+'5. Scenarios'!$E$8))/4+INDEX(BookQ2,2133)*(5-MIN(4,2+'5. Scenarios'!$E$8))/4+INDEX(BookQ3,2133)*(5-MIN(4,3+'5. Scenarios'!$E$8))/4+INDEX(BookQ4,2133)*(5-MIN(4,4+'5. Scenarios'!$E$8))/4)*'5. Scenarios'!$E$6/(1+ProductivityDefault*('5. Scenarios'!$E$11-1))+INDEX(BookOneOff,2133)*$S2138)</f>
        <v/>
      </c>
    </row>
    <row r="2139" customFormat="false" ht="15" hidden="false" customHeight="false" outlineLevel="0" collapsed="false">
      <c r="A2139" s="0" t="str">
        <f aca="false">IF(INDEX(BookTitle,2134)="","",INDEX(BookKey,2134))</f>
        <v/>
      </c>
      <c r="B2139" s="0" t="str">
        <f aca="false">IF(INDEX(BookTitle,2134)="","",INDEX(BookGroup,2134))</f>
        <v/>
      </c>
      <c r="C2139" s="0" t="str">
        <f aca="false">IF(INDEX(BookTitle,2134)="","",INDEX(BookCategory,2134))</f>
        <v/>
      </c>
      <c r="D2139" s="56" t="str">
        <f aca="false">IF(INDEX(BookTitle,2134)="","",INDEX(BookTotal,2134)*'5. Scenarios'!$B$6/(1+ProductivityDefault*('5. Scenarios'!$B$11-1)))</f>
        <v/>
      </c>
      <c r="E2139" s="57" t="str">
        <f aca="false">IF($D2139="","",INDEX(BookRate,2134)*(1+'5. Scenarios'!$B$10)*$D2139)</f>
        <v/>
      </c>
      <c r="F2139" s="57" t="str">
        <f aca="false">IF($E2139="","",SUMIFS($E$6:$E$2405,$A$6:$A$2405,"&lt;="&amp;$A2139))</f>
        <v/>
      </c>
      <c r="G2139" s="57" t="str">
        <f aca="false">IF($E2139="","",IF($F2139&lt;=BankCostEnvelope*'5. Scenarios'!$B$7,1,0))</f>
        <v/>
      </c>
      <c r="H2139" s="57" t="str">
        <f aca="false">IF($D2139="","",INDEX(BookRate,2134)*(1+'5. Scenarios'!$B$10)*(INDEX(BookQ1,2134)*(5-MIN(4,1+'5. Scenarios'!$B$8))/4+INDEX(BookQ2,2134)*(5-MIN(4,2+'5. Scenarios'!$B$8))/4+INDEX(BookQ3,2134)*(5-MIN(4,3+'5. Scenarios'!$B$8))/4+INDEX(BookQ4,2134)*(5-MIN(4,4+'5. Scenarios'!$B$8))/4)*'5. Scenarios'!$B$6/(1+ProductivityDefault*('5. Scenarios'!$B$11-1))+INDEX(BookOneOff,2134)*$D2139)</f>
        <v/>
      </c>
      <c r="I2139" s="56" t="str">
        <f aca="false">IF(INDEX(BookTitle,2134)="","",INDEX(BookTotal,2134)*'5. Scenarios'!$C$6/(1+ProductivityDefault*('5. Scenarios'!$C$11-1)))</f>
        <v/>
      </c>
      <c r="J2139" s="57" t="str">
        <f aca="false">IF($I2139="","",INDEX(BookRate,2134)*(1+'5. Scenarios'!$C$10)*$I2139)</f>
        <v/>
      </c>
      <c r="K2139" s="57" t="str">
        <f aca="false">IF($J2139="","",SUMIFS($J$6:$J$2405,$A$6:$A$2405,"&lt;="&amp;$A2139))</f>
        <v/>
      </c>
      <c r="L2139" s="57" t="str">
        <f aca="false">IF($J2139="","",IF($K2139&lt;=BankCostEnvelope*'5. Scenarios'!$C$7,1,0))</f>
        <v/>
      </c>
      <c r="M2139" s="57" t="str">
        <f aca="false">IF($I2139="","",INDEX(BookRate,2134)*(1+'5. Scenarios'!$C$10)*(INDEX(BookQ1,2134)*(5-MIN(4,1+'5. Scenarios'!$C$8))/4+INDEX(BookQ2,2134)*(5-MIN(4,2+'5. Scenarios'!$C$8))/4+INDEX(BookQ3,2134)*(5-MIN(4,3+'5. Scenarios'!$C$8))/4+INDEX(BookQ4,2134)*(5-MIN(4,4+'5. Scenarios'!$C$8))/4)*'5. Scenarios'!$C$6/(1+ProductivityDefault*('5. Scenarios'!$C$11-1))+INDEX(BookOneOff,2134)*$I2139)</f>
        <v/>
      </c>
      <c r="N2139" s="56" t="str">
        <f aca="false">IF(INDEX(BookTitle,2134)="","",INDEX(BookTotal,2134)*'5. Scenarios'!$D$6/(1+ProductivityDefault*('5. Scenarios'!$D$11-1)))</f>
        <v/>
      </c>
      <c r="O2139" s="57" t="str">
        <f aca="false">IF($N2139="","",INDEX(BookRate,2134)*(1+'5. Scenarios'!$D$10)*$N2139)</f>
        <v/>
      </c>
      <c r="P2139" s="57" t="str">
        <f aca="false">IF($O2139="","",SUMIFS($O$6:$O$2405,$A$6:$A$2405,"&lt;="&amp;$A2139))</f>
        <v/>
      </c>
      <c r="Q2139" s="57" t="str">
        <f aca="false">IF($O2139="","",IF($P2139&lt;=BankCostEnvelope*'5. Scenarios'!$D$7,1,0))</f>
        <v/>
      </c>
      <c r="R2139" s="57" t="str">
        <f aca="false">IF($N2139="","",INDEX(BookRate,2134)*(1+'5. Scenarios'!$D$10)*(INDEX(BookQ1,2134)*(5-MIN(4,1+'5. Scenarios'!$D$8))/4+INDEX(BookQ2,2134)*(5-MIN(4,2+'5. Scenarios'!$D$8))/4+INDEX(BookQ3,2134)*(5-MIN(4,3+'5. Scenarios'!$D$8))/4+INDEX(BookQ4,2134)*(5-MIN(4,4+'5. Scenarios'!$D$8))/4)*'5. Scenarios'!$D$6/(1+ProductivityDefault*('5. Scenarios'!$D$11-1))+INDEX(BookOneOff,2134)*$N2139)</f>
        <v/>
      </c>
      <c r="S2139" s="56" t="str">
        <f aca="false">IF(INDEX(BookTitle,2134)="","",INDEX(BookTotal,2134)*'5. Scenarios'!$E$6/(1+ProductivityDefault*('5. Scenarios'!$E$11-1)))</f>
        <v/>
      </c>
      <c r="T2139" s="57" t="str">
        <f aca="false">IF($S2139="","",INDEX(BookRate,2134)*(1+'5. Scenarios'!$E$10)*$S2139)</f>
        <v/>
      </c>
      <c r="U2139" s="57" t="str">
        <f aca="false">IF($T2139="","",SUMIFS($T$6:$T$2405,$A$6:$A$2405,"&lt;="&amp;$A2139))</f>
        <v/>
      </c>
      <c r="V2139" s="57" t="str">
        <f aca="false">IF($T2139="","",IF($U2139&lt;=BankCostEnvelope*'5. Scenarios'!$E$7,1,0))</f>
        <v/>
      </c>
      <c r="W2139" s="57" t="str">
        <f aca="false">IF($S2139="","",INDEX(BookRate,2134)*(1+'5. Scenarios'!$E$10)*(INDEX(BookQ1,2134)*(5-MIN(4,1+'5. Scenarios'!$E$8))/4+INDEX(BookQ2,2134)*(5-MIN(4,2+'5. Scenarios'!$E$8))/4+INDEX(BookQ3,2134)*(5-MIN(4,3+'5. Scenarios'!$E$8))/4+INDEX(BookQ4,2134)*(5-MIN(4,4+'5. Scenarios'!$E$8))/4)*'5. Scenarios'!$E$6/(1+ProductivityDefault*('5. Scenarios'!$E$11-1))+INDEX(BookOneOff,2134)*$S2139)</f>
        <v/>
      </c>
    </row>
    <row r="2140" customFormat="false" ht="15" hidden="false" customHeight="false" outlineLevel="0" collapsed="false">
      <c r="A2140" s="0" t="str">
        <f aca="false">IF(INDEX(BookTitle,2135)="","",INDEX(BookKey,2135))</f>
        <v/>
      </c>
      <c r="B2140" s="0" t="str">
        <f aca="false">IF(INDEX(BookTitle,2135)="","",INDEX(BookGroup,2135))</f>
        <v/>
      </c>
      <c r="C2140" s="0" t="str">
        <f aca="false">IF(INDEX(BookTitle,2135)="","",INDEX(BookCategory,2135))</f>
        <v/>
      </c>
      <c r="D2140" s="56" t="str">
        <f aca="false">IF(INDEX(BookTitle,2135)="","",INDEX(BookTotal,2135)*'5. Scenarios'!$B$6/(1+ProductivityDefault*('5. Scenarios'!$B$11-1)))</f>
        <v/>
      </c>
      <c r="E2140" s="57" t="str">
        <f aca="false">IF($D2140="","",INDEX(BookRate,2135)*(1+'5. Scenarios'!$B$10)*$D2140)</f>
        <v/>
      </c>
      <c r="F2140" s="57" t="str">
        <f aca="false">IF($E2140="","",SUMIFS($E$6:$E$2405,$A$6:$A$2405,"&lt;="&amp;$A2140))</f>
        <v/>
      </c>
      <c r="G2140" s="57" t="str">
        <f aca="false">IF($E2140="","",IF($F2140&lt;=BankCostEnvelope*'5. Scenarios'!$B$7,1,0))</f>
        <v/>
      </c>
      <c r="H2140" s="57" t="str">
        <f aca="false">IF($D2140="","",INDEX(BookRate,2135)*(1+'5. Scenarios'!$B$10)*(INDEX(BookQ1,2135)*(5-MIN(4,1+'5. Scenarios'!$B$8))/4+INDEX(BookQ2,2135)*(5-MIN(4,2+'5. Scenarios'!$B$8))/4+INDEX(BookQ3,2135)*(5-MIN(4,3+'5. Scenarios'!$B$8))/4+INDEX(BookQ4,2135)*(5-MIN(4,4+'5. Scenarios'!$B$8))/4)*'5. Scenarios'!$B$6/(1+ProductivityDefault*('5. Scenarios'!$B$11-1))+INDEX(BookOneOff,2135)*$D2140)</f>
        <v/>
      </c>
      <c r="I2140" s="56" t="str">
        <f aca="false">IF(INDEX(BookTitle,2135)="","",INDEX(BookTotal,2135)*'5. Scenarios'!$C$6/(1+ProductivityDefault*('5. Scenarios'!$C$11-1)))</f>
        <v/>
      </c>
      <c r="J2140" s="57" t="str">
        <f aca="false">IF($I2140="","",INDEX(BookRate,2135)*(1+'5. Scenarios'!$C$10)*$I2140)</f>
        <v/>
      </c>
      <c r="K2140" s="57" t="str">
        <f aca="false">IF($J2140="","",SUMIFS($J$6:$J$2405,$A$6:$A$2405,"&lt;="&amp;$A2140))</f>
        <v/>
      </c>
      <c r="L2140" s="57" t="str">
        <f aca="false">IF($J2140="","",IF($K2140&lt;=BankCostEnvelope*'5. Scenarios'!$C$7,1,0))</f>
        <v/>
      </c>
      <c r="M2140" s="57" t="str">
        <f aca="false">IF($I2140="","",INDEX(BookRate,2135)*(1+'5. Scenarios'!$C$10)*(INDEX(BookQ1,2135)*(5-MIN(4,1+'5. Scenarios'!$C$8))/4+INDEX(BookQ2,2135)*(5-MIN(4,2+'5. Scenarios'!$C$8))/4+INDEX(BookQ3,2135)*(5-MIN(4,3+'5. Scenarios'!$C$8))/4+INDEX(BookQ4,2135)*(5-MIN(4,4+'5. Scenarios'!$C$8))/4)*'5. Scenarios'!$C$6/(1+ProductivityDefault*('5. Scenarios'!$C$11-1))+INDEX(BookOneOff,2135)*$I2140)</f>
        <v/>
      </c>
      <c r="N2140" s="56" t="str">
        <f aca="false">IF(INDEX(BookTitle,2135)="","",INDEX(BookTotal,2135)*'5. Scenarios'!$D$6/(1+ProductivityDefault*('5. Scenarios'!$D$11-1)))</f>
        <v/>
      </c>
      <c r="O2140" s="57" t="str">
        <f aca="false">IF($N2140="","",INDEX(BookRate,2135)*(1+'5. Scenarios'!$D$10)*$N2140)</f>
        <v/>
      </c>
      <c r="P2140" s="57" t="str">
        <f aca="false">IF($O2140="","",SUMIFS($O$6:$O$2405,$A$6:$A$2405,"&lt;="&amp;$A2140))</f>
        <v/>
      </c>
      <c r="Q2140" s="57" t="str">
        <f aca="false">IF($O2140="","",IF($P2140&lt;=BankCostEnvelope*'5. Scenarios'!$D$7,1,0))</f>
        <v/>
      </c>
      <c r="R2140" s="57" t="str">
        <f aca="false">IF($N2140="","",INDEX(BookRate,2135)*(1+'5. Scenarios'!$D$10)*(INDEX(BookQ1,2135)*(5-MIN(4,1+'5. Scenarios'!$D$8))/4+INDEX(BookQ2,2135)*(5-MIN(4,2+'5. Scenarios'!$D$8))/4+INDEX(BookQ3,2135)*(5-MIN(4,3+'5. Scenarios'!$D$8))/4+INDEX(BookQ4,2135)*(5-MIN(4,4+'5. Scenarios'!$D$8))/4)*'5. Scenarios'!$D$6/(1+ProductivityDefault*('5. Scenarios'!$D$11-1))+INDEX(BookOneOff,2135)*$N2140)</f>
        <v/>
      </c>
      <c r="S2140" s="56" t="str">
        <f aca="false">IF(INDEX(BookTitle,2135)="","",INDEX(BookTotal,2135)*'5. Scenarios'!$E$6/(1+ProductivityDefault*('5. Scenarios'!$E$11-1)))</f>
        <v/>
      </c>
      <c r="T2140" s="57" t="str">
        <f aca="false">IF($S2140="","",INDEX(BookRate,2135)*(1+'5. Scenarios'!$E$10)*$S2140)</f>
        <v/>
      </c>
      <c r="U2140" s="57" t="str">
        <f aca="false">IF($T2140="","",SUMIFS($T$6:$T$2405,$A$6:$A$2405,"&lt;="&amp;$A2140))</f>
        <v/>
      </c>
      <c r="V2140" s="57" t="str">
        <f aca="false">IF($T2140="","",IF($U2140&lt;=BankCostEnvelope*'5. Scenarios'!$E$7,1,0))</f>
        <v/>
      </c>
      <c r="W2140" s="57" t="str">
        <f aca="false">IF($S2140="","",INDEX(BookRate,2135)*(1+'5. Scenarios'!$E$10)*(INDEX(BookQ1,2135)*(5-MIN(4,1+'5. Scenarios'!$E$8))/4+INDEX(BookQ2,2135)*(5-MIN(4,2+'5. Scenarios'!$E$8))/4+INDEX(BookQ3,2135)*(5-MIN(4,3+'5. Scenarios'!$E$8))/4+INDEX(BookQ4,2135)*(5-MIN(4,4+'5. Scenarios'!$E$8))/4)*'5. Scenarios'!$E$6/(1+ProductivityDefault*('5. Scenarios'!$E$11-1))+INDEX(BookOneOff,2135)*$S2140)</f>
        <v/>
      </c>
    </row>
    <row r="2141" customFormat="false" ht="15" hidden="false" customHeight="false" outlineLevel="0" collapsed="false">
      <c r="A2141" s="0" t="str">
        <f aca="false">IF(INDEX(BookTitle,2136)="","",INDEX(BookKey,2136))</f>
        <v/>
      </c>
      <c r="B2141" s="0" t="str">
        <f aca="false">IF(INDEX(BookTitle,2136)="","",INDEX(BookGroup,2136))</f>
        <v/>
      </c>
      <c r="C2141" s="0" t="str">
        <f aca="false">IF(INDEX(BookTitle,2136)="","",INDEX(BookCategory,2136))</f>
        <v/>
      </c>
      <c r="D2141" s="56" t="str">
        <f aca="false">IF(INDEX(BookTitle,2136)="","",INDEX(BookTotal,2136)*'5. Scenarios'!$B$6/(1+ProductivityDefault*('5. Scenarios'!$B$11-1)))</f>
        <v/>
      </c>
      <c r="E2141" s="57" t="str">
        <f aca="false">IF($D2141="","",INDEX(BookRate,2136)*(1+'5. Scenarios'!$B$10)*$D2141)</f>
        <v/>
      </c>
      <c r="F2141" s="57" t="str">
        <f aca="false">IF($E2141="","",SUMIFS($E$6:$E$2405,$A$6:$A$2405,"&lt;="&amp;$A2141))</f>
        <v/>
      </c>
      <c r="G2141" s="57" t="str">
        <f aca="false">IF($E2141="","",IF($F2141&lt;=BankCostEnvelope*'5. Scenarios'!$B$7,1,0))</f>
        <v/>
      </c>
      <c r="H2141" s="57" t="str">
        <f aca="false">IF($D2141="","",INDEX(BookRate,2136)*(1+'5. Scenarios'!$B$10)*(INDEX(BookQ1,2136)*(5-MIN(4,1+'5. Scenarios'!$B$8))/4+INDEX(BookQ2,2136)*(5-MIN(4,2+'5. Scenarios'!$B$8))/4+INDEX(BookQ3,2136)*(5-MIN(4,3+'5. Scenarios'!$B$8))/4+INDEX(BookQ4,2136)*(5-MIN(4,4+'5. Scenarios'!$B$8))/4)*'5. Scenarios'!$B$6/(1+ProductivityDefault*('5. Scenarios'!$B$11-1))+INDEX(BookOneOff,2136)*$D2141)</f>
        <v/>
      </c>
      <c r="I2141" s="56" t="str">
        <f aca="false">IF(INDEX(BookTitle,2136)="","",INDEX(BookTotal,2136)*'5. Scenarios'!$C$6/(1+ProductivityDefault*('5. Scenarios'!$C$11-1)))</f>
        <v/>
      </c>
      <c r="J2141" s="57" t="str">
        <f aca="false">IF($I2141="","",INDEX(BookRate,2136)*(1+'5. Scenarios'!$C$10)*$I2141)</f>
        <v/>
      </c>
      <c r="K2141" s="57" t="str">
        <f aca="false">IF($J2141="","",SUMIFS($J$6:$J$2405,$A$6:$A$2405,"&lt;="&amp;$A2141))</f>
        <v/>
      </c>
      <c r="L2141" s="57" t="str">
        <f aca="false">IF($J2141="","",IF($K2141&lt;=BankCostEnvelope*'5. Scenarios'!$C$7,1,0))</f>
        <v/>
      </c>
      <c r="M2141" s="57" t="str">
        <f aca="false">IF($I2141="","",INDEX(BookRate,2136)*(1+'5. Scenarios'!$C$10)*(INDEX(BookQ1,2136)*(5-MIN(4,1+'5. Scenarios'!$C$8))/4+INDEX(BookQ2,2136)*(5-MIN(4,2+'5. Scenarios'!$C$8))/4+INDEX(BookQ3,2136)*(5-MIN(4,3+'5. Scenarios'!$C$8))/4+INDEX(BookQ4,2136)*(5-MIN(4,4+'5. Scenarios'!$C$8))/4)*'5. Scenarios'!$C$6/(1+ProductivityDefault*('5. Scenarios'!$C$11-1))+INDEX(BookOneOff,2136)*$I2141)</f>
        <v/>
      </c>
      <c r="N2141" s="56" t="str">
        <f aca="false">IF(INDEX(BookTitle,2136)="","",INDEX(BookTotal,2136)*'5. Scenarios'!$D$6/(1+ProductivityDefault*('5. Scenarios'!$D$11-1)))</f>
        <v/>
      </c>
      <c r="O2141" s="57" t="str">
        <f aca="false">IF($N2141="","",INDEX(BookRate,2136)*(1+'5. Scenarios'!$D$10)*$N2141)</f>
        <v/>
      </c>
      <c r="P2141" s="57" t="str">
        <f aca="false">IF($O2141="","",SUMIFS($O$6:$O$2405,$A$6:$A$2405,"&lt;="&amp;$A2141))</f>
        <v/>
      </c>
      <c r="Q2141" s="57" t="str">
        <f aca="false">IF($O2141="","",IF($P2141&lt;=BankCostEnvelope*'5. Scenarios'!$D$7,1,0))</f>
        <v/>
      </c>
      <c r="R2141" s="57" t="str">
        <f aca="false">IF($N2141="","",INDEX(BookRate,2136)*(1+'5. Scenarios'!$D$10)*(INDEX(BookQ1,2136)*(5-MIN(4,1+'5. Scenarios'!$D$8))/4+INDEX(BookQ2,2136)*(5-MIN(4,2+'5. Scenarios'!$D$8))/4+INDEX(BookQ3,2136)*(5-MIN(4,3+'5. Scenarios'!$D$8))/4+INDEX(BookQ4,2136)*(5-MIN(4,4+'5. Scenarios'!$D$8))/4)*'5. Scenarios'!$D$6/(1+ProductivityDefault*('5. Scenarios'!$D$11-1))+INDEX(BookOneOff,2136)*$N2141)</f>
        <v/>
      </c>
      <c r="S2141" s="56" t="str">
        <f aca="false">IF(INDEX(BookTitle,2136)="","",INDEX(BookTotal,2136)*'5. Scenarios'!$E$6/(1+ProductivityDefault*('5. Scenarios'!$E$11-1)))</f>
        <v/>
      </c>
      <c r="T2141" s="57" t="str">
        <f aca="false">IF($S2141="","",INDEX(BookRate,2136)*(1+'5. Scenarios'!$E$10)*$S2141)</f>
        <v/>
      </c>
      <c r="U2141" s="57" t="str">
        <f aca="false">IF($T2141="","",SUMIFS($T$6:$T$2405,$A$6:$A$2405,"&lt;="&amp;$A2141))</f>
        <v/>
      </c>
      <c r="V2141" s="57" t="str">
        <f aca="false">IF($T2141="","",IF($U2141&lt;=BankCostEnvelope*'5. Scenarios'!$E$7,1,0))</f>
        <v/>
      </c>
      <c r="W2141" s="57" t="str">
        <f aca="false">IF($S2141="","",INDEX(BookRate,2136)*(1+'5. Scenarios'!$E$10)*(INDEX(BookQ1,2136)*(5-MIN(4,1+'5. Scenarios'!$E$8))/4+INDEX(BookQ2,2136)*(5-MIN(4,2+'5. Scenarios'!$E$8))/4+INDEX(BookQ3,2136)*(5-MIN(4,3+'5. Scenarios'!$E$8))/4+INDEX(BookQ4,2136)*(5-MIN(4,4+'5. Scenarios'!$E$8))/4)*'5. Scenarios'!$E$6/(1+ProductivityDefault*('5. Scenarios'!$E$11-1))+INDEX(BookOneOff,2136)*$S2141)</f>
        <v/>
      </c>
    </row>
    <row r="2142" customFormat="false" ht="15" hidden="false" customHeight="false" outlineLevel="0" collapsed="false">
      <c r="A2142" s="0" t="str">
        <f aca="false">IF(INDEX(BookTitle,2137)="","",INDEX(BookKey,2137))</f>
        <v/>
      </c>
      <c r="B2142" s="0" t="str">
        <f aca="false">IF(INDEX(BookTitle,2137)="","",INDEX(BookGroup,2137))</f>
        <v/>
      </c>
      <c r="C2142" s="0" t="str">
        <f aca="false">IF(INDEX(BookTitle,2137)="","",INDEX(BookCategory,2137))</f>
        <v/>
      </c>
      <c r="D2142" s="56" t="str">
        <f aca="false">IF(INDEX(BookTitle,2137)="","",INDEX(BookTotal,2137)*'5. Scenarios'!$B$6/(1+ProductivityDefault*('5. Scenarios'!$B$11-1)))</f>
        <v/>
      </c>
      <c r="E2142" s="57" t="str">
        <f aca="false">IF($D2142="","",INDEX(BookRate,2137)*(1+'5. Scenarios'!$B$10)*$D2142)</f>
        <v/>
      </c>
      <c r="F2142" s="57" t="str">
        <f aca="false">IF($E2142="","",SUMIFS($E$6:$E$2405,$A$6:$A$2405,"&lt;="&amp;$A2142))</f>
        <v/>
      </c>
      <c r="G2142" s="57" t="str">
        <f aca="false">IF($E2142="","",IF($F2142&lt;=BankCostEnvelope*'5. Scenarios'!$B$7,1,0))</f>
        <v/>
      </c>
      <c r="H2142" s="57" t="str">
        <f aca="false">IF($D2142="","",INDEX(BookRate,2137)*(1+'5. Scenarios'!$B$10)*(INDEX(BookQ1,2137)*(5-MIN(4,1+'5. Scenarios'!$B$8))/4+INDEX(BookQ2,2137)*(5-MIN(4,2+'5. Scenarios'!$B$8))/4+INDEX(BookQ3,2137)*(5-MIN(4,3+'5. Scenarios'!$B$8))/4+INDEX(BookQ4,2137)*(5-MIN(4,4+'5. Scenarios'!$B$8))/4)*'5. Scenarios'!$B$6/(1+ProductivityDefault*('5. Scenarios'!$B$11-1))+INDEX(BookOneOff,2137)*$D2142)</f>
        <v/>
      </c>
      <c r="I2142" s="56" t="str">
        <f aca="false">IF(INDEX(BookTitle,2137)="","",INDEX(BookTotal,2137)*'5. Scenarios'!$C$6/(1+ProductivityDefault*('5. Scenarios'!$C$11-1)))</f>
        <v/>
      </c>
      <c r="J2142" s="57" t="str">
        <f aca="false">IF($I2142="","",INDEX(BookRate,2137)*(1+'5. Scenarios'!$C$10)*$I2142)</f>
        <v/>
      </c>
      <c r="K2142" s="57" t="str">
        <f aca="false">IF($J2142="","",SUMIFS($J$6:$J$2405,$A$6:$A$2405,"&lt;="&amp;$A2142))</f>
        <v/>
      </c>
      <c r="L2142" s="57" t="str">
        <f aca="false">IF($J2142="","",IF($K2142&lt;=BankCostEnvelope*'5. Scenarios'!$C$7,1,0))</f>
        <v/>
      </c>
      <c r="M2142" s="57" t="str">
        <f aca="false">IF($I2142="","",INDEX(BookRate,2137)*(1+'5. Scenarios'!$C$10)*(INDEX(BookQ1,2137)*(5-MIN(4,1+'5. Scenarios'!$C$8))/4+INDEX(BookQ2,2137)*(5-MIN(4,2+'5. Scenarios'!$C$8))/4+INDEX(BookQ3,2137)*(5-MIN(4,3+'5. Scenarios'!$C$8))/4+INDEX(BookQ4,2137)*(5-MIN(4,4+'5. Scenarios'!$C$8))/4)*'5. Scenarios'!$C$6/(1+ProductivityDefault*('5. Scenarios'!$C$11-1))+INDEX(BookOneOff,2137)*$I2142)</f>
        <v/>
      </c>
      <c r="N2142" s="56" t="str">
        <f aca="false">IF(INDEX(BookTitle,2137)="","",INDEX(BookTotal,2137)*'5. Scenarios'!$D$6/(1+ProductivityDefault*('5. Scenarios'!$D$11-1)))</f>
        <v/>
      </c>
      <c r="O2142" s="57" t="str">
        <f aca="false">IF($N2142="","",INDEX(BookRate,2137)*(1+'5. Scenarios'!$D$10)*$N2142)</f>
        <v/>
      </c>
      <c r="P2142" s="57" t="str">
        <f aca="false">IF($O2142="","",SUMIFS($O$6:$O$2405,$A$6:$A$2405,"&lt;="&amp;$A2142))</f>
        <v/>
      </c>
      <c r="Q2142" s="57" t="str">
        <f aca="false">IF($O2142="","",IF($P2142&lt;=BankCostEnvelope*'5. Scenarios'!$D$7,1,0))</f>
        <v/>
      </c>
      <c r="R2142" s="57" t="str">
        <f aca="false">IF($N2142="","",INDEX(BookRate,2137)*(1+'5. Scenarios'!$D$10)*(INDEX(BookQ1,2137)*(5-MIN(4,1+'5. Scenarios'!$D$8))/4+INDEX(BookQ2,2137)*(5-MIN(4,2+'5. Scenarios'!$D$8))/4+INDEX(BookQ3,2137)*(5-MIN(4,3+'5. Scenarios'!$D$8))/4+INDEX(BookQ4,2137)*(5-MIN(4,4+'5. Scenarios'!$D$8))/4)*'5. Scenarios'!$D$6/(1+ProductivityDefault*('5. Scenarios'!$D$11-1))+INDEX(BookOneOff,2137)*$N2142)</f>
        <v/>
      </c>
      <c r="S2142" s="56" t="str">
        <f aca="false">IF(INDEX(BookTitle,2137)="","",INDEX(BookTotal,2137)*'5. Scenarios'!$E$6/(1+ProductivityDefault*('5. Scenarios'!$E$11-1)))</f>
        <v/>
      </c>
      <c r="T2142" s="57" t="str">
        <f aca="false">IF($S2142="","",INDEX(BookRate,2137)*(1+'5. Scenarios'!$E$10)*$S2142)</f>
        <v/>
      </c>
      <c r="U2142" s="57" t="str">
        <f aca="false">IF($T2142="","",SUMIFS($T$6:$T$2405,$A$6:$A$2405,"&lt;="&amp;$A2142))</f>
        <v/>
      </c>
      <c r="V2142" s="57" t="str">
        <f aca="false">IF($T2142="","",IF($U2142&lt;=BankCostEnvelope*'5. Scenarios'!$E$7,1,0))</f>
        <v/>
      </c>
      <c r="W2142" s="57" t="str">
        <f aca="false">IF($S2142="","",INDEX(BookRate,2137)*(1+'5. Scenarios'!$E$10)*(INDEX(BookQ1,2137)*(5-MIN(4,1+'5. Scenarios'!$E$8))/4+INDEX(BookQ2,2137)*(5-MIN(4,2+'5. Scenarios'!$E$8))/4+INDEX(BookQ3,2137)*(5-MIN(4,3+'5. Scenarios'!$E$8))/4+INDEX(BookQ4,2137)*(5-MIN(4,4+'5. Scenarios'!$E$8))/4)*'5. Scenarios'!$E$6/(1+ProductivityDefault*('5. Scenarios'!$E$11-1))+INDEX(BookOneOff,2137)*$S2142)</f>
        <v/>
      </c>
    </row>
    <row r="2143" customFormat="false" ht="15" hidden="false" customHeight="false" outlineLevel="0" collapsed="false">
      <c r="A2143" s="0" t="str">
        <f aca="false">IF(INDEX(BookTitle,2138)="","",INDEX(BookKey,2138))</f>
        <v/>
      </c>
      <c r="B2143" s="0" t="str">
        <f aca="false">IF(INDEX(BookTitle,2138)="","",INDEX(BookGroup,2138))</f>
        <v/>
      </c>
      <c r="C2143" s="0" t="str">
        <f aca="false">IF(INDEX(BookTitle,2138)="","",INDEX(BookCategory,2138))</f>
        <v/>
      </c>
      <c r="D2143" s="56" t="str">
        <f aca="false">IF(INDEX(BookTitle,2138)="","",INDEX(BookTotal,2138)*'5. Scenarios'!$B$6/(1+ProductivityDefault*('5. Scenarios'!$B$11-1)))</f>
        <v/>
      </c>
      <c r="E2143" s="57" t="str">
        <f aca="false">IF($D2143="","",INDEX(BookRate,2138)*(1+'5. Scenarios'!$B$10)*$D2143)</f>
        <v/>
      </c>
      <c r="F2143" s="57" t="str">
        <f aca="false">IF($E2143="","",SUMIFS($E$6:$E$2405,$A$6:$A$2405,"&lt;="&amp;$A2143))</f>
        <v/>
      </c>
      <c r="G2143" s="57" t="str">
        <f aca="false">IF($E2143="","",IF($F2143&lt;=BankCostEnvelope*'5. Scenarios'!$B$7,1,0))</f>
        <v/>
      </c>
      <c r="H2143" s="57" t="str">
        <f aca="false">IF($D2143="","",INDEX(BookRate,2138)*(1+'5. Scenarios'!$B$10)*(INDEX(BookQ1,2138)*(5-MIN(4,1+'5. Scenarios'!$B$8))/4+INDEX(BookQ2,2138)*(5-MIN(4,2+'5. Scenarios'!$B$8))/4+INDEX(BookQ3,2138)*(5-MIN(4,3+'5. Scenarios'!$B$8))/4+INDEX(BookQ4,2138)*(5-MIN(4,4+'5. Scenarios'!$B$8))/4)*'5. Scenarios'!$B$6/(1+ProductivityDefault*('5. Scenarios'!$B$11-1))+INDEX(BookOneOff,2138)*$D2143)</f>
        <v/>
      </c>
      <c r="I2143" s="56" t="str">
        <f aca="false">IF(INDEX(BookTitle,2138)="","",INDEX(BookTotal,2138)*'5. Scenarios'!$C$6/(1+ProductivityDefault*('5. Scenarios'!$C$11-1)))</f>
        <v/>
      </c>
      <c r="J2143" s="57" t="str">
        <f aca="false">IF($I2143="","",INDEX(BookRate,2138)*(1+'5. Scenarios'!$C$10)*$I2143)</f>
        <v/>
      </c>
      <c r="K2143" s="57" t="str">
        <f aca="false">IF($J2143="","",SUMIFS($J$6:$J$2405,$A$6:$A$2405,"&lt;="&amp;$A2143))</f>
        <v/>
      </c>
      <c r="L2143" s="57" t="str">
        <f aca="false">IF($J2143="","",IF($K2143&lt;=BankCostEnvelope*'5. Scenarios'!$C$7,1,0))</f>
        <v/>
      </c>
      <c r="M2143" s="57" t="str">
        <f aca="false">IF($I2143="","",INDEX(BookRate,2138)*(1+'5. Scenarios'!$C$10)*(INDEX(BookQ1,2138)*(5-MIN(4,1+'5. Scenarios'!$C$8))/4+INDEX(BookQ2,2138)*(5-MIN(4,2+'5. Scenarios'!$C$8))/4+INDEX(BookQ3,2138)*(5-MIN(4,3+'5. Scenarios'!$C$8))/4+INDEX(BookQ4,2138)*(5-MIN(4,4+'5. Scenarios'!$C$8))/4)*'5. Scenarios'!$C$6/(1+ProductivityDefault*('5. Scenarios'!$C$11-1))+INDEX(BookOneOff,2138)*$I2143)</f>
        <v/>
      </c>
      <c r="N2143" s="56" t="str">
        <f aca="false">IF(INDEX(BookTitle,2138)="","",INDEX(BookTotal,2138)*'5. Scenarios'!$D$6/(1+ProductivityDefault*('5. Scenarios'!$D$11-1)))</f>
        <v/>
      </c>
      <c r="O2143" s="57" t="str">
        <f aca="false">IF($N2143="","",INDEX(BookRate,2138)*(1+'5. Scenarios'!$D$10)*$N2143)</f>
        <v/>
      </c>
      <c r="P2143" s="57" t="str">
        <f aca="false">IF($O2143="","",SUMIFS($O$6:$O$2405,$A$6:$A$2405,"&lt;="&amp;$A2143))</f>
        <v/>
      </c>
      <c r="Q2143" s="57" t="str">
        <f aca="false">IF($O2143="","",IF($P2143&lt;=BankCostEnvelope*'5. Scenarios'!$D$7,1,0))</f>
        <v/>
      </c>
      <c r="R2143" s="57" t="str">
        <f aca="false">IF($N2143="","",INDEX(BookRate,2138)*(1+'5. Scenarios'!$D$10)*(INDEX(BookQ1,2138)*(5-MIN(4,1+'5. Scenarios'!$D$8))/4+INDEX(BookQ2,2138)*(5-MIN(4,2+'5. Scenarios'!$D$8))/4+INDEX(BookQ3,2138)*(5-MIN(4,3+'5. Scenarios'!$D$8))/4+INDEX(BookQ4,2138)*(5-MIN(4,4+'5. Scenarios'!$D$8))/4)*'5. Scenarios'!$D$6/(1+ProductivityDefault*('5. Scenarios'!$D$11-1))+INDEX(BookOneOff,2138)*$N2143)</f>
        <v/>
      </c>
      <c r="S2143" s="56" t="str">
        <f aca="false">IF(INDEX(BookTitle,2138)="","",INDEX(BookTotal,2138)*'5. Scenarios'!$E$6/(1+ProductivityDefault*('5. Scenarios'!$E$11-1)))</f>
        <v/>
      </c>
      <c r="T2143" s="57" t="str">
        <f aca="false">IF($S2143="","",INDEX(BookRate,2138)*(1+'5. Scenarios'!$E$10)*$S2143)</f>
        <v/>
      </c>
      <c r="U2143" s="57" t="str">
        <f aca="false">IF($T2143="","",SUMIFS($T$6:$T$2405,$A$6:$A$2405,"&lt;="&amp;$A2143))</f>
        <v/>
      </c>
      <c r="V2143" s="57" t="str">
        <f aca="false">IF($T2143="","",IF($U2143&lt;=BankCostEnvelope*'5. Scenarios'!$E$7,1,0))</f>
        <v/>
      </c>
      <c r="W2143" s="57" t="str">
        <f aca="false">IF($S2143="","",INDEX(BookRate,2138)*(1+'5. Scenarios'!$E$10)*(INDEX(BookQ1,2138)*(5-MIN(4,1+'5. Scenarios'!$E$8))/4+INDEX(BookQ2,2138)*(5-MIN(4,2+'5. Scenarios'!$E$8))/4+INDEX(BookQ3,2138)*(5-MIN(4,3+'5. Scenarios'!$E$8))/4+INDEX(BookQ4,2138)*(5-MIN(4,4+'5. Scenarios'!$E$8))/4)*'5. Scenarios'!$E$6/(1+ProductivityDefault*('5. Scenarios'!$E$11-1))+INDEX(BookOneOff,2138)*$S2143)</f>
        <v/>
      </c>
    </row>
    <row r="2144" customFormat="false" ht="15" hidden="false" customHeight="false" outlineLevel="0" collapsed="false">
      <c r="A2144" s="0" t="str">
        <f aca="false">IF(INDEX(BookTitle,2139)="","",INDEX(BookKey,2139))</f>
        <v/>
      </c>
      <c r="B2144" s="0" t="str">
        <f aca="false">IF(INDEX(BookTitle,2139)="","",INDEX(BookGroup,2139))</f>
        <v/>
      </c>
      <c r="C2144" s="0" t="str">
        <f aca="false">IF(INDEX(BookTitle,2139)="","",INDEX(BookCategory,2139))</f>
        <v/>
      </c>
      <c r="D2144" s="56" t="str">
        <f aca="false">IF(INDEX(BookTitle,2139)="","",INDEX(BookTotal,2139)*'5. Scenarios'!$B$6/(1+ProductivityDefault*('5. Scenarios'!$B$11-1)))</f>
        <v/>
      </c>
      <c r="E2144" s="57" t="str">
        <f aca="false">IF($D2144="","",INDEX(BookRate,2139)*(1+'5. Scenarios'!$B$10)*$D2144)</f>
        <v/>
      </c>
      <c r="F2144" s="57" t="str">
        <f aca="false">IF($E2144="","",SUMIFS($E$6:$E$2405,$A$6:$A$2405,"&lt;="&amp;$A2144))</f>
        <v/>
      </c>
      <c r="G2144" s="57" t="str">
        <f aca="false">IF($E2144="","",IF($F2144&lt;=BankCostEnvelope*'5. Scenarios'!$B$7,1,0))</f>
        <v/>
      </c>
      <c r="H2144" s="57" t="str">
        <f aca="false">IF($D2144="","",INDEX(BookRate,2139)*(1+'5. Scenarios'!$B$10)*(INDEX(BookQ1,2139)*(5-MIN(4,1+'5. Scenarios'!$B$8))/4+INDEX(BookQ2,2139)*(5-MIN(4,2+'5. Scenarios'!$B$8))/4+INDEX(BookQ3,2139)*(5-MIN(4,3+'5. Scenarios'!$B$8))/4+INDEX(BookQ4,2139)*(5-MIN(4,4+'5. Scenarios'!$B$8))/4)*'5. Scenarios'!$B$6/(1+ProductivityDefault*('5. Scenarios'!$B$11-1))+INDEX(BookOneOff,2139)*$D2144)</f>
        <v/>
      </c>
      <c r="I2144" s="56" t="str">
        <f aca="false">IF(INDEX(BookTitle,2139)="","",INDEX(BookTotal,2139)*'5. Scenarios'!$C$6/(1+ProductivityDefault*('5. Scenarios'!$C$11-1)))</f>
        <v/>
      </c>
      <c r="J2144" s="57" t="str">
        <f aca="false">IF($I2144="","",INDEX(BookRate,2139)*(1+'5. Scenarios'!$C$10)*$I2144)</f>
        <v/>
      </c>
      <c r="K2144" s="57" t="str">
        <f aca="false">IF($J2144="","",SUMIFS($J$6:$J$2405,$A$6:$A$2405,"&lt;="&amp;$A2144))</f>
        <v/>
      </c>
      <c r="L2144" s="57" t="str">
        <f aca="false">IF($J2144="","",IF($K2144&lt;=BankCostEnvelope*'5. Scenarios'!$C$7,1,0))</f>
        <v/>
      </c>
      <c r="M2144" s="57" t="str">
        <f aca="false">IF($I2144="","",INDEX(BookRate,2139)*(1+'5. Scenarios'!$C$10)*(INDEX(BookQ1,2139)*(5-MIN(4,1+'5. Scenarios'!$C$8))/4+INDEX(BookQ2,2139)*(5-MIN(4,2+'5. Scenarios'!$C$8))/4+INDEX(BookQ3,2139)*(5-MIN(4,3+'5. Scenarios'!$C$8))/4+INDEX(BookQ4,2139)*(5-MIN(4,4+'5. Scenarios'!$C$8))/4)*'5. Scenarios'!$C$6/(1+ProductivityDefault*('5. Scenarios'!$C$11-1))+INDEX(BookOneOff,2139)*$I2144)</f>
        <v/>
      </c>
      <c r="N2144" s="56" t="str">
        <f aca="false">IF(INDEX(BookTitle,2139)="","",INDEX(BookTotal,2139)*'5. Scenarios'!$D$6/(1+ProductivityDefault*('5. Scenarios'!$D$11-1)))</f>
        <v/>
      </c>
      <c r="O2144" s="57" t="str">
        <f aca="false">IF($N2144="","",INDEX(BookRate,2139)*(1+'5. Scenarios'!$D$10)*$N2144)</f>
        <v/>
      </c>
      <c r="P2144" s="57" t="str">
        <f aca="false">IF($O2144="","",SUMIFS($O$6:$O$2405,$A$6:$A$2405,"&lt;="&amp;$A2144))</f>
        <v/>
      </c>
      <c r="Q2144" s="57" t="str">
        <f aca="false">IF($O2144="","",IF($P2144&lt;=BankCostEnvelope*'5. Scenarios'!$D$7,1,0))</f>
        <v/>
      </c>
      <c r="R2144" s="57" t="str">
        <f aca="false">IF($N2144="","",INDEX(BookRate,2139)*(1+'5. Scenarios'!$D$10)*(INDEX(BookQ1,2139)*(5-MIN(4,1+'5. Scenarios'!$D$8))/4+INDEX(BookQ2,2139)*(5-MIN(4,2+'5. Scenarios'!$D$8))/4+INDEX(BookQ3,2139)*(5-MIN(4,3+'5. Scenarios'!$D$8))/4+INDEX(BookQ4,2139)*(5-MIN(4,4+'5. Scenarios'!$D$8))/4)*'5. Scenarios'!$D$6/(1+ProductivityDefault*('5. Scenarios'!$D$11-1))+INDEX(BookOneOff,2139)*$N2144)</f>
        <v/>
      </c>
      <c r="S2144" s="56" t="str">
        <f aca="false">IF(INDEX(BookTitle,2139)="","",INDEX(BookTotal,2139)*'5. Scenarios'!$E$6/(1+ProductivityDefault*('5. Scenarios'!$E$11-1)))</f>
        <v/>
      </c>
      <c r="T2144" s="57" t="str">
        <f aca="false">IF($S2144="","",INDEX(BookRate,2139)*(1+'5. Scenarios'!$E$10)*$S2144)</f>
        <v/>
      </c>
      <c r="U2144" s="57" t="str">
        <f aca="false">IF($T2144="","",SUMIFS($T$6:$T$2405,$A$6:$A$2405,"&lt;="&amp;$A2144))</f>
        <v/>
      </c>
      <c r="V2144" s="57" t="str">
        <f aca="false">IF($T2144="","",IF($U2144&lt;=BankCostEnvelope*'5. Scenarios'!$E$7,1,0))</f>
        <v/>
      </c>
      <c r="W2144" s="57" t="str">
        <f aca="false">IF($S2144="","",INDEX(BookRate,2139)*(1+'5. Scenarios'!$E$10)*(INDEX(BookQ1,2139)*(5-MIN(4,1+'5. Scenarios'!$E$8))/4+INDEX(BookQ2,2139)*(5-MIN(4,2+'5. Scenarios'!$E$8))/4+INDEX(BookQ3,2139)*(5-MIN(4,3+'5. Scenarios'!$E$8))/4+INDEX(BookQ4,2139)*(5-MIN(4,4+'5. Scenarios'!$E$8))/4)*'5. Scenarios'!$E$6/(1+ProductivityDefault*('5. Scenarios'!$E$11-1))+INDEX(BookOneOff,2139)*$S2144)</f>
        <v/>
      </c>
    </row>
    <row r="2145" customFormat="false" ht="15" hidden="false" customHeight="false" outlineLevel="0" collapsed="false">
      <c r="A2145" s="0" t="str">
        <f aca="false">IF(INDEX(BookTitle,2140)="","",INDEX(BookKey,2140))</f>
        <v/>
      </c>
      <c r="B2145" s="0" t="str">
        <f aca="false">IF(INDEX(BookTitle,2140)="","",INDEX(BookGroup,2140))</f>
        <v/>
      </c>
      <c r="C2145" s="0" t="str">
        <f aca="false">IF(INDEX(BookTitle,2140)="","",INDEX(BookCategory,2140))</f>
        <v/>
      </c>
      <c r="D2145" s="56" t="str">
        <f aca="false">IF(INDEX(BookTitle,2140)="","",INDEX(BookTotal,2140)*'5. Scenarios'!$B$6/(1+ProductivityDefault*('5. Scenarios'!$B$11-1)))</f>
        <v/>
      </c>
      <c r="E2145" s="57" t="str">
        <f aca="false">IF($D2145="","",INDEX(BookRate,2140)*(1+'5. Scenarios'!$B$10)*$D2145)</f>
        <v/>
      </c>
      <c r="F2145" s="57" t="str">
        <f aca="false">IF($E2145="","",SUMIFS($E$6:$E$2405,$A$6:$A$2405,"&lt;="&amp;$A2145))</f>
        <v/>
      </c>
      <c r="G2145" s="57" t="str">
        <f aca="false">IF($E2145="","",IF($F2145&lt;=BankCostEnvelope*'5. Scenarios'!$B$7,1,0))</f>
        <v/>
      </c>
      <c r="H2145" s="57" t="str">
        <f aca="false">IF($D2145="","",INDEX(BookRate,2140)*(1+'5. Scenarios'!$B$10)*(INDEX(BookQ1,2140)*(5-MIN(4,1+'5. Scenarios'!$B$8))/4+INDEX(BookQ2,2140)*(5-MIN(4,2+'5. Scenarios'!$B$8))/4+INDEX(BookQ3,2140)*(5-MIN(4,3+'5. Scenarios'!$B$8))/4+INDEX(BookQ4,2140)*(5-MIN(4,4+'5. Scenarios'!$B$8))/4)*'5. Scenarios'!$B$6/(1+ProductivityDefault*('5. Scenarios'!$B$11-1))+INDEX(BookOneOff,2140)*$D2145)</f>
        <v/>
      </c>
      <c r="I2145" s="56" t="str">
        <f aca="false">IF(INDEX(BookTitle,2140)="","",INDEX(BookTotal,2140)*'5. Scenarios'!$C$6/(1+ProductivityDefault*('5. Scenarios'!$C$11-1)))</f>
        <v/>
      </c>
      <c r="J2145" s="57" t="str">
        <f aca="false">IF($I2145="","",INDEX(BookRate,2140)*(1+'5. Scenarios'!$C$10)*$I2145)</f>
        <v/>
      </c>
      <c r="K2145" s="57" t="str">
        <f aca="false">IF($J2145="","",SUMIFS($J$6:$J$2405,$A$6:$A$2405,"&lt;="&amp;$A2145))</f>
        <v/>
      </c>
      <c r="L2145" s="57" t="str">
        <f aca="false">IF($J2145="","",IF($K2145&lt;=BankCostEnvelope*'5. Scenarios'!$C$7,1,0))</f>
        <v/>
      </c>
      <c r="M2145" s="57" t="str">
        <f aca="false">IF($I2145="","",INDEX(BookRate,2140)*(1+'5. Scenarios'!$C$10)*(INDEX(BookQ1,2140)*(5-MIN(4,1+'5. Scenarios'!$C$8))/4+INDEX(BookQ2,2140)*(5-MIN(4,2+'5. Scenarios'!$C$8))/4+INDEX(BookQ3,2140)*(5-MIN(4,3+'5. Scenarios'!$C$8))/4+INDEX(BookQ4,2140)*(5-MIN(4,4+'5. Scenarios'!$C$8))/4)*'5. Scenarios'!$C$6/(1+ProductivityDefault*('5. Scenarios'!$C$11-1))+INDEX(BookOneOff,2140)*$I2145)</f>
        <v/>
      </c>
      <c r="N2145" s="56" t="str">
        <f aca="false">IF(INDEX(BookTitle,2140)="","",INDEX(BookTotal,2140)*'5. Scenarios'!$D$6/(1+ProductivityDefault*('5. Scenarios'!$D$11-1)))</f>
        <v/>
      </c>
      <c r="O2145" s="57" t="str">
        <f aca="false">IF($N2145="","",INDEX(BookRate,2140)*(1+'5. Scenarios'!$D$10)*$N2145)</f>
        <v/>
      </c>
      <c r="P2145" s="57" t="str">
        <f aca="false">IF($O2145="","",SUMIFS($O$6:$O$2405,$A$6:$A$2405,"&lt;="&amp;$A2145))</f>
        <v/>
      </c>
      <c r="Q2145" s="57" t="str">
        <f aca="false">IF($O2145="","",IF($P2145&lt;=BankCostEnvelope*'5. Scenarios'!$D$7,1,0))</f>
        <v/>
      </c>
      <c r="R2145" s="57" t="str">
        <f aca="false">IF($N2145="","",INDEX(BookRate,2140)*(1+'5. Scenarios'!$D$10)*(INDEX(BookQ1,2140)*(5-MIN(4,1+'5. Scenarios'!$D$8))/4+INDEX(BookQ2,2140)*(5-MIN(4,2+'5. Scenarios'!$D$8))/4+INDEX(BookQ3,2140)*(5-MIN(4,3+'5. Scenarios'!$D$8))/4+INDEX(BookQ4,2140)*(5-MIN(4,4+'5. Scenarios'!$D$8))/4)*'5. Scenarios'!$D$6/(1+ProductivityDefault*('5. Scenarios'!$D$11-1))+INDEX(BookOneOff,2140)*$N2145)</f>
        <v/>
      </c>
      <c r="S2145" s="56" t="str">
        <f aca="false">IF(INDEX(BookTitle,2140)="","",INDEX(BookTotal,2140)*'5. Scenarios'!$E$6/(1+ProductivityDefault*('5. Scenarios'!$E$11-1)))</f>
        <v/>
      </c>
      <c r="T2145" s="57" t="str">
        <f aca="false">IF($S2145="","",INDEX(BookRate,2140)*(1+'5. Scenarios'!$E$10)*$S2145)</f>
        <v/>
      </c>
      <c r="U2145" s="57" t="str">
        <f aca="false">IF($T2145="","",SUMIFS($T$6:$T$2405,$A$6:$A$2405,"&lt;="&amp;$A2145))</f>
        <v/>
      </c>
      <c r="V2145" s="57" t="str">
        <f aca="false">IF($T2145="","",IF($U2145&lt;=BankCostEnvelope*'5. Scenarios'!$E$7,1,0))</f>
        <v/>
      </c>
      <c r="W2145" s="57" t="str">
        <f aca="false">IF($S2145="","",INDEX(BookRate,2140)*(1+'5. Scenarios'!$E$10)*(INDEX(BookQ1,2140)*(5-MIN(4,1+'5. Scenarios'!$E$8))/4+INDEX(BookQ2,2140)*(5-MIN(4,2+'5. Scenarios'!$E$8))/4+INDEX(BookQ3,2140)*(5-MIN(4,3+'5. Scenarios'!$E$8))/4+INDEX(BookQ4,2140)*(5-MIN(4,4+'5. Scenarios'!$E$8))/4)*'5. Scenarios'!$E$6/(1+ProductivityDefault*('5. Scenarios'!$E$11-1))+INDEX(BookOneOff,2140)*$S2145)</f>
        <v/>
      </c>
    </row>
    <row r="2146" customFormat="false" ht="15" hidden="false" customHeight="false" outlineLevel="0" collapsed="false">
      <c r="A2146" s="0" t="str">
        <f aca="false">IF(INDEX(BookTitle,2141)="","",INDEX(BookKey,2141))</f>
        <v/>
      </c>
      <c r="B2146" s="0" t="str">
        <f aca="false">IF(INDEX(BookTitle,2141)="","",INDEX(BookGroup,2141))</f>
        <v/>
      </c>
      <c r="C2146" s="0" t="str">
        <f aca="false">IF(INDEX(BookTitle,2141)="","",INDEX(BookCategory,2141))</f>
        <v/>
      </c>
      <c r="D2146" s="56" t="str">
        <f aca="false">IF(INDEX(BookTitle,2141)="","",INDEX(BookTotal,2141)*'5. Scenarios'!$B$6/(1+ProductivityDefault*('5. Scenarios'!$B$11-1)))</f>
        <v/>
      </c>
      <c r="E2146" s="57" t="str">
        <f aca="false">IF($D2146="","",INDEX(BookRate,2141)*(1+'5. Scenarios'!$B$10)*$D2146)</f>
        <v/>
      </c>
      <c r="F2146" s="57" t="str">
        <f aca="false">IF($E2146="","",SUMIFS($E$6:$E$2405,$A$6:$A$2405,"&lt;="&amp;$A2146))</f>
        <v/>
      </c>
      <c r="G2146" s="57" t="str">
        <f aca="false">IF($E2146="","",IF($F2146&lt;=BankCostEnvelope*'5. Scenarios'!$B$7,1,0))</f>
        <v/>
      </c>
      <c r="H2146" s="57" t="str">
        <f aca="false">IF($D2146="","",INDEX(BookRate,2141)*(1+'5. Scenarios'!$B$10)*(INDEX(BookQ1,2141)*(5-MIN(4,1+'5. Scenarios'!$B$8))/4+INDEX(BookQ2,2141)*(5-MIN(4,2+'5. Scenarios'!$B$8))/4+INDEX(BookQ3,2141)*(5-MIN(4,3+'5. Scenarios'!$B$8))/4+INDEX(BookQ4,2141)*(5-MIN(4,4+'5. Scenarios'!$B$8))/4)*'5. Scenarios'!$B$6/(1+ProductivityDefault*('5. Scenarios'!$B$11-1))+INDEX(BookOneOff,2141)*$D2146)</f>
        <v/>
      </c>
      <c r="I2146" s="56" t="str">
        <f aca="false">IF(INDEX(BookTitle,2141)="","",INDEX(BookTotal,2141)*'5. Scenarios'!$C$6/(1+ProductivityDefault*('5. Scenarios'!$C$11-1)))</f>
        <v/>
      </c>
      <c r="J2146" s="57" t="str">
        <f aca="false">IF($I2146="","",INDEX(BookRate,2141)*(1+'5. Scenarios'!$C$10)*$I2146)</f>
        <v/>
      </c>
      <c r="K2146" s="57" t="str">
        <f aca="false">IF($J2146="","",SUMIFS($J$6:$J$2405,$A$6:$A$2405,"&lt;="&amp;$A2146))</f>
        <v/>
      </c>
      <c r="L2146" s="57" t="str">
        <f aca="false">IF($J2146="","",IF($K2146&lt;=BankCostEnvelope*'5. Scenarios'!$C$7,1,0))</f>
        <v/>
      </c>
      <c r="M2146" s="57" t="str">
        <f aca="false">IF($I2146="","",INDEX(BookRate,2141)*(1+'5. Scenarios'!$C$10)*(INDEX(BookQ1,2141)*(5-MIN(4,1+'5. Scenarios'!$C$8))/4+INDEX(BookQ2,2141)*(5-MIN(4,2+'5. Scenarios'!$C$8))/4+INDEX(BookQ3,2141)*(5-MIN(4,3+'5. Scenarios'!$C$8))/4+INDEX(BookQ4,2141)*(5-MIN(4,4+'5. Scenarios'!$C$8))/4)*'5. Scenarios'!$C$6/(1+ProductivityDefault*('5. Scenarios'!$C$11-1))+INDEX(BookOneOff,2141)*$I2146)</f>
        <v/>
      </c>
      <c r="N2146" s="56" t="str">
        <f aca="false">IF(INDEX(BookTitle,2141)="","",INDEX(BookTotal,2141)*'5. Scenarios'!$D$6/(1+ProductivityDefault*('5. Scenarios'!$D$11-1)))</f>
        <v/>
      </c>
      <c r="O2146" s="57" t="str">
        <f aca="false">IF($N2146="","",INDEX(BookRate,2141)*(1+'5. Scenarios'!$D$10)*$N2146)</f>
        <v/>
      </c>
      <c r="P2146" s="57" t="str">
        <f aca="false">IF($O2146="","",SUMIFS($O$6:$O$2405,$A$6:$A$2405,"&lt;="&amp;$A2146))</f>
        <v/>
      </c>
      <c r="Q2146" s="57" t="str">
        <f aca="false">IF($O2146="","",IF($P2146&lt;=BankCostEnvelope*'5. Scenarios'!$D$7,1,0))</f>
        <v/>
      </c>
      <c r="R2146" s="57" t="str">
        <f aca="false">IF($N2146="","",INDEX(BookRate,2141)*(1+'5. Scenarios'!$D$10)*(INDEX(BookQ1,2141)*(5-MIN(4,1+'5. Scenarios'!$D$8))/4+INDEX(BookQ2,2141)*(5-MIN(4,2+'5. Scenarios'!$D$8))/4+INDEX(BookQ3,2141)*(5-MIN(4,3+'5. Scenarios'!$D$8))/4+INDEX(BookQ4,2141)*(5-MIN(4,4+'5. Scenarios'!$D$8))/4)*'5. Scenarios'!$D$6/(1+ProductivityDefault*('5. Scenarios'!$D$11-1))+INDEX(BookOneOff,2141)*$N2146)</f>
        <v/>
      </c>
      <c r="S2146" s="56" t="str">
        <f aca="false">IF(INDEX(BookTitle,2141)="","",INDEX(BookTotal,2141)*'5. Scenarios'!$E$6/(1+ProductivityDefault*('5. Scenarios'!$E$11-1)))</f>
        <v/>
      </c>
      <c r="T2146" s="57" t="str">
        <f aca="false">IF($S2146="","",INDEX(BookRate,2141)*(1+'5. Scenarios'!$E$10)*$S2146)</f>
        <v/>
      </c>
      <c r="U2146" s="57" t="str">
        <f aca="false">IF($T2146="","",SUMIFS($T$6:$T$2405,$A$6:$A$2405,"&lt;="&amp;$A2146))</f>
        <v/>
      </c>
      <c r="V2146" s="57" t="str">
        <f aca="false">IF($T2146="","",IF($U2146&lt;=BankCostEnvelope*'5. Scenarios'!$E$7,1,0))</f>
        <v/>
      </c>
      <c r="W2146" s="57" t="str">
        <f aca="false">IF($S2146="","",INDEX(BookRate,2141)*(1+'5. Scenarios'!$E$10)*(INDEX(BookQ1,2141)*(5-MIN(4,1+'5. Scenarios'!$E$8))/4+INDEX(BookQ2,2141)*(5-MIN(4,2+'5. Scenarios'!$E$8))/4+INDEX(BookQ3,2141)*(5-MIN(4,3+'5. Scenarios'!$E$8))/4+INDEX(BookQ4,2141)*(5-MIN(4,4+'5. Scenarios'!$E$8))/4)*'5. Scenarios'!$E$6/(1+ProductivityDefault*('5. Scenarios'!$E$11-1))+INDEX(BookOneOff,2141)*$S2146)</f>
        <v/>
      </c>
    </row>
    <row r="2147" customFormat="false" ht="15" hidden="false" customHeight="false" outlineLevel="0" collapsed="false">
      <c r="A2147" s="0" t="str">
        <f aca="false">IF(INDEX(BookTitle,2142)="","",INDEX(BookKey,2142))</f>
        <v/>
      </c>
      <c r="B2147" s="0" t="str">
        <f aca="false">IF(INDEX(BookTitle,2142)="","",INDEX(BookGroup,2142))</f>
        <v/>
      </c>
      <c r="C2147" s="0" t="str">
        <f aca="false">IF(INDEX(BookTitle,2142)="","",INDEX(BookCategory,2142))</f>
        <v/>
      </c>
      <c r="D2147" s="56" t="str">
        <f aca="false">IF(INDEX(BookTitle,2142)="","",INDEX(BookTotal,2142)*'5. Scenarios'!$B$6/(1+ProductivityDefault*('5. Scenarios'!$B$11-1)))</f>
        <v/>
      </c>
      <c r="E2147" s="57" t="str">
        <f aca="false">IF($D2147="","",INDEX(BookRate,2142)*(1+'5. Scenarios'!$B$10)*$D2147)</f>
        <v/>
      </c>
      <c r="F2147" s="57" t="str">
        <f aca="false">IF($E2147="","",SUMIFS($E$6:$E$2405,$A$6:$A$2405,"&lt;="&amp;$A2147))</f>
        <v/>
      </c>
      <c r="G2147" s="57" t="str">
        <f aca="false">IF($E2147="","",IF($F2147&lt;=BankCostEnvelope*'5. Scenarios'!$B$7,1,0))</f>
        <v/>
      </c>
      <c r="H2147" s="57" t="str">
        <f aca="false">IF($D2147="","",INDEX(BookRate,2142)*(1+'5. Scenarios'!$B$10)*(INDEX(BookQ1,2142)*(5-MIN(4,1+'5. Scenarios'!$B$8))/4+INDEX(BookQ2,2142)*(5-MIN(4,2+'5. Scenarios'!$B$8))/4+INDEX(BookQ3,2142)*(5-MIN(4,3+'5. Scenarios'!$B$8))/4+INDEX(BookQ4,2142)*(5-MIN(4,4+'5. Scenarios'!$B$8))/4)*'5. Scenarios'!$B$6/(1+ProductivityDefault*('5. Scenarios'!$B$11-1))+INDEX(BookOneOff,2142)*$D2147)</f>
        <v/>
      </c>
      <c r="I2147" s="56" t="str">
        <f aca="false">IF(INDEX(BookTitle,2142)="","",INDEX(BookTotal,2142)*'5. Scenarios'!$C$6/(1+ProductivityDefault*('5. Scenarios'!$C$11-1)))</f>
        <v/>
      </c>
      <c r="J2147" s="57" t="str">
        <f aca="false">IF($I2147="","",INDEX(BookRate,2142)*(1+'5. Scenarios'!$C$10)*$I2147)</f>
        <v/>
      </c>
      <c r="K2147" s="57" t="str">
        <f aca="false">IF($J2147="","",SUMIFS($J$6:$J$2405,$A$6:$A$2405,"&lt;="&amp;$A2147))</f>
        <v/>
      </c>
      <c r="L2147" s="57" t="str">
        <f aca="false">IF($J2147="","",IF($K2147&lt;=BankCostEnvelope*'5. Scenarios'!$C$7,1,0))</f>
        <v/>
      </c>
      <c r="M2147" s="57" t="str">
        <f aca="false">IF($I2147="","",INDEX(BookRate,2142)*(1+'5. Scenarios'!$C$10)*(INDEX(BookQ1,2142)*(5-MIN(4,1+'5. Scenarios'!$C$8))/4+INDEX(BookQ2,2142)*(5-MIN(4,2+'5. Scenarios'!$C$8))/4+INDEX(BookQ3,2142)*(5-MIN(4,3+'5. Scenarios'!$C$8))/4+INDEX(BookQ4,2142)*(5-MIN(4,4+'5. Scenarios'!$C$8))/4)*'5. Scenarios'!$C$6/(1+ProductivityDefault*('5. Scenarios'!$C$11-1))+INDEX(BookOneOff,2142)*$I2147)</f>
        <v/>
      </c>
      <c r="N2147" s="56" t="str">
        <f aca="false">IF(INDEX(BookTitle,2142)="","",INDEX(BookTotal,2142)*'5. Scenarios'!$D$6/(1+ProductivityDefault*('5. Scenarios'!$D$11-1)))</f>
        <v/>
      </c>
      <c r="O2147" s="57" t="str">
        <f aca="false">IF($N2147="","",INDEX(BookRate,2142)*(1+'5. Scenarios'!$D$10)*$N2147)</f>
        <v/>
      </c>
      <c r="P2147" s="57" t="str">
        <f aca="false">IF($O2147="","",SUMIFS($O$6:$O$2405,$A$6:$A$2405,"&lt;="&amp;$A2147))</f>
        <v/>
      </c>
      <c r="Q2147" s="57" t="str">
        <f aca="false">IF($O2147="","",IF($P2147&lt;=BankCostEnvelope*'5. Scenarios'!$D$7,1,0))</f>
        <v/>
      </c>
      <c r="R2147" s="57" t="str">
        <f aca="false">IF($N2147="","",INDEX(BookRate,2142)*(1+'5. Scenarios'!$D$10)*(INDEX(BookQ1,2142)*(5-MIN(4,1+'5. Scenarios'!$D$8))/4+INDEX(BookQ2,2142)*(5-MIN(4,2+'5. Scenarios'!$D$8))/4+INDEX(BookQ3,2142)*(5-MIN(4,3+'5. Scenarios'!$D$8))/4+INDEX(BookQ4,2142)*(5-MIN(4,4+'5. Scenarios'!$D$8))/4)*'5. Scenarios'!$D$6/(1+ProductivityDefault*('5. Scenarios'!$D$11-1))+INDEX(BookOneOff,2142)*$N2147)</f>
        <v/>
      </c>
      <c r="S2147" s="56" t="str">
        <f aca="false">IF(INDEX(BookTitle,2142)="","",INDEX(BookTotal,2142)*'5. Scenarios'!$E$6/(1+ProductivityDefault*('5. Scenarios'!$E$11-1)))</f>
        <v/>
      </c>
      <c r="T2147" s="57" t="str">
        <f aca="false">IF($S2147="","",INDEX(BookRate,2142)*(1+'5. Scenarios'!$E$10)*$S2147)</f>
        <v/>
      </c>
      <c r="U2147" s="57" t="str">
        <f aca="false">IF($T2147="","",SUMIFS($T$6:$T$2405,$A$6:$A$2405,"&lt;="&amp;$A2147))</f>
        <v/>
      </c>
      <c r="V2147" s="57" t="str">
        <f aca="false">IF($T2147="","",IF($U2147&lt;=BankCostEnvelope*'5. Scenarios'!$E$7,1,0))</f>
        <v/>
      </c>
      <c r="W2147" s="57" t="str">
        <f aca="false">IF($S2147="","",INDEX(BookRate,2142)*(1+'5. Scenarios'!$E$10)*(INDEX(BookQ1,2142)*(5-MIN(4,1+'5. Scenarios'!$E$8))/4+INDEX(BookQ2,2142)*(5-MIN(4,2+'5. Scenarios'!$E$8))/4+INDEX(BookQ3,2142)*(5-MIN(4,3+'5. Scenarios'!$E$8))/4+INDEX(BookQ4,2142)*(5-MIN(4,4+'5. Scenarios'!$E$8))/4)*'5. Scenarios'!$E$6/(1+ProductivityDefault*('5. Scenarios'!$E$11-1))+INDEX(BookOneOff,2142)*$S2147)</f>
        <v/>
      </c>
    </row>
    <row r="2148" customFormat="false" ht="15" hidden="false" customHeight="false" outlineLevel="0" collapsed="false">
      <c r="A2148" s="0" t="str">
        <f aca="false">IF(INDEX(BookTitle,2143)="","",INDEX(BookKey,2143))</f>
        <v/>
      </c>
      <c r="B2148" s="0" t="str">
        <f aca="false">IF(INDEX(BookTitle,2143)="","",INDEX(BookGroup,2143))</f>
        <v/>
      </c>
      <c r="C2148" s="0" t="str">
        <f aca="false">IF(INDEX(BookTitle,2143)="","",INDEX(BookCategory,2143))</f>
        <v/>
      </c>
      <c r="D2148" s="56" t="str">
        <f aca="false">IF(INDEX(BookTitle,2143)="","",INDEX(BookTotal,2143)*'5. Scenarios'!$B$6/(1+ProductivityDefault*('5. Scenarios'!$B$11-1)))</f>
        <v/>
      </c>
      <c r="E2148" s="57" t="str">
        <f aca="false">IF($D2148="","",INDEX(BookRate,2143)*(1+'5. Scenarios'!$B$10)*$D2148)</f>
        <v/>
      </c>
      <c r="F2148" s="57" t="str">
        <f aca="false">IF($E2148="","",SUMIFS($E$6:$E$2405,$A$6:$A$2405,"&lt;="&amp;$A2148))</f>
        <v/>
      </c>
      <c r="G2148" s="57" t="str">
        <f aca="false">IF($E2148="","",IF($F2148&lt;=BankCostEnvelope*'5. Scenarios'!$B$7,1,0))</f>
        <v/>
      </c>
      <c r="H2148" s="57" t="str">
        <f aca="false">IF($D2148="","",INDEX(BookRate,2143)*(1+'5. Scenarios'!$B$10)*(INDEX(BookQ1,2143)*(5-MIN(4,1+'5. Scenarios'!$B$8))/4+INDEX(BookQ2,2143)*(5-MIN(4,2+'5. Scenarios'!$B$8))/4+INDEX(BookQ3,2143)*(5-MIN(4,3+'5. Scenarios'!$B$8))/4+INDEX(BookQ4,2143)*(5-MIN(4,4+'5. Scenarios'!$B$8))/4)*'5. Scenarios'!$B$6/(1+ProductivityDefault*('5. Scenarios'!$B$11-1))+INDEX(BookOneOff,2143)*$D2148)</f>
        <v/>
      </c>
      <c r="I2148" s="56" t="str">
        <f aca="false">IF(INDEX(BookTitle,2143)="","",INDEX(BookTotal,2143)*'5. Scenarios'!$C$6/(1+ProductivityDefault*('5. Scenarios'!$C$11-1)))</f>
        <v/>
      </c>
      <c r="J2148" s="57" t="str">
        <f aca="false">IF($I2148="","",INDEX(BookRate,2143)*(1+'5. Scenarios'!$C$10)*$I2148)</f>
        <v/>
      </c>
      <c r="K2148" s="57" t="str">
        <f aca="false">IF($J2148="","",SUMIFS($J$6:$J$2405,$A$6:$A$2405,"&lt;="&amp;$A2148))</f>
        <v/>
      </c>
      <c r="L2148" s="57" t="str">
        <f aca="false">IF($J2148="","",IF($K2148&lt;=BankCostEnvelope*'5. Scenarios'!$C$7,1,0))</f>
        <v/>
      </c>
      <c r="M2148" s="57" t="str">
        <f aca="false">IF($I2148="","",INDEX(BookRate,2143)*(1+'5. Scenarios'!$C$10)*(INDEX(BookQ1,2143)*(5-MIN(4,1+'5. Scenarios'!$C$8))/4+INDEX(BookQ2,2143)*(5-MIN(4,2+'5. Scenarios'!$C$8))/4+INDEX(BookQ3,2143)*(5-MIN(4,3+'5. Scenarios'!$C$8))/4+INDEX(BookQ4,2143)*(5-MIN(4,4+'5. Scenarios'!$C$8))/4)*'5. Scenarios'!$C$6/(1+ProductivityDefault*('5. Scenarios'!$C$11-1))+INDEX(BookOneOff,2143)*$I2148)</f>
        <v/>
      </c>
      <c r="N2148" s="56" t="str">
        <f aca="false">IF(INDEX(BookTitle,2143)="","",INDEX(BookTotal,2143)*'5. Scenarios'!$D$6/(1+ProductivityDefault*('5. Scenarios'!$D$11-1)))</f>
        <v/>
      </c>
      <c r="O2148" s="57" t="str">
        <f aca="false">IF($N2148="","",INDEX(BookRate,2143)*(1+'5. Scenarios'!$D$10)*$N2148)</f>
        <v/>
      </c>
      <c r="P2148" s="57" t="str">
        <f aca="false">IF($O2148="","",SUMIFS($O$6:$O$2405,$A$6:$A$2405,"&lt;="&amp;$A2148))</f>
        <v/>
      </c>
      <c r="Q2148" s="57" t="str">
        <f aca="false">IF($O2148="","",IF($P2148&lt;=BankCostEnvelope*'5. Scenarios'!$D$7,1,0))</f>
        <v/>
      </c>
      <c r="R2148" s="57" t="str">
        <f aca="false">IF($N2148="","",INDEX(BookRate,2143)*(1+'5. Scenarios'!$D$10)*(INDEX(BookQ1,2143)*(5-MIN(4,1+'5. Scenarios'!$D$8))/4+INDEX(BookQ2,2143)*(5-MIN(4,2+'5. Scenarios'!$D$8))/4+INDEX(BookQ3,2143)*(5-MIN(4,3+'5. Scenarios'!$D$8))/4+INDEX(BookQ4,2143)*(5-MIN(4,4+'5. Scenarios'!$D$8))/4)*'5. Scenarios'!$D$6/(1+ProductivityDefault*('5. Scenarios'!$D$11-1))+INDEX(BookOneOff,2143)*$N2148)</f>
        <v/>
      </c>
      <c r="S2148" s="56" t="str">
        <f aca="false">IF(INDEX(BookTitle,2143)="","",INDEX(BookTotal,2143)*'5. Scenarios'!$E$6/(1+ProductivityDefault*('5. Scenarios'!$E$11-1)))</f>
        <v/>
      </c>
      <c r="T2148" s="57" t="str">
        <f aca="false">IF($S2148="","",INDEX(BookRate,2143)*(1+'5. Scenarios'!$E$10)*$S2148)</f>
        <v/>
      </c>
      <c r="U2148" s="57" t="str">
        <f aca="false">IF($T2148="","",SUMIFS($T$6:$T$2405,$A$6:$A$2405,"&lt;="&amp;$A2148))</f>
        <v/>
      </c>
      <c r="V2148" s="57" t="str">
        <f aca="false">IF($T2148="","",IF($U2148&lt;=BankCostEnvelope*'5. Scenarios'!$E$7,1,0))</f>
        <v/>
      </c>
      <c r="W2148" s="57" t="str">
        <f aca="false">IF($S2148="","",INDEX(BookRate,2143)*(1+'5. Scenarios'!$E$10)*(INDEX(BookQ1,2143)*(5-MIN(4,1+'5. Scenarios'!$E$8))/4+INDEX(BookQ2,2143)*(5-MIN(4,2+'5. Scenarios'!$E$8))/4+INDEX(BookQ3,2143)*(5-MIN(4,3+'5. Scenarios'!$E$8))/4+INDEX(BookQ4,2143)*(5-MIN(4,4+'5. Scenarios'!$E$8))/4)*'5. Scenarios'!$E$6/(1+ProductivityDefault*('5. Scenarios'!$E$11-1))+INDEX(BookOneOff,2143)*$S2148)</f>
        <v/>
      </c>
    </row>
    <row r="2149" customFormat="false" ht="15" hidden="false" customHeight="false" outlineLevel="0" collapsed="false">
      <c r="A2149" s="0" t="str">
        <f aca="false">IF(INDEX(BookTitle,2144)="","",INDEX(BookKey,2144))</f>
        <v/>
      </c>
      <c r="B2149" s="0" t="str">
        <f aca="false">IF(INDEX(BookTitle,2144)="","",INDEX(BookGroup,2144))</f>
        <v/>
      </c>
      <c r="C2149" s="0" t="str">
        <f aca="false">IF(INDEX(BookTitle,2144)="","",INDEX(BookCategory,2144))</f>
        <v/>
      </c>
      <c r="D2149" s="56" t="str">
        <f aca="false">IF(INDEX(BookTitle,2144)="","",INDEX(BookTotal,2144)*'5. Scenarios'!$B$6/(1+ProductivityDefault*('5. Scenarios'!$B$11-1)))</f>
        <v/>
      </c>
      <c r="E2149" s="57" t="str">
        <f aca="false">IF($D2149="","",INDEX(BookRate,2144)*(1+'5. Scenarios'!$B$10)*$D2149)</f>
        <v/>
      </c>
      <c r="F2149" s="57" t="str">
        <f aca="false">IF($E2149="","",SUMIFS($E$6:$E$2405,$A$6:$A$2405,"&lt;="&amp;$A2149))</f>
        <v/>
      </c>
      <c r="G2149" s="57" t="str">
        <f aca="false">IF($E2149="","",IF($F2149&lt;=BankCostEnvelope*'5. Scenarios'!$B$7,1,0))</f>
        <v/>
      </c>
      <c r="H2149" s="57" t="str">
        <f aca="false">IF($D2149="","",INDEX(BookRate,2144)*(1+'5. Scenarios'!$B$10)*(INDEX(BookQ1,2144)*(5-MIN(4,1+'5. Scenarios'!$B$8))/4+INDEX(BookQ2,2144)*(5-MIN(4,2+'5. Scenarios'!$B$8))/4+INDEX(BookQ3,2144)*(5-MIN(4,3+'5. Scenarios'!$B$8))/4+INDEX(BookQ4,2144)*(5-MIN(4,4+'5. Scenarios'!$B$8))/4)*'5. Scenarios'!$B$6/(1+ProductivityDefault*('5. Scenarios'!$B$11-1))+INDEX(BookOneOff,2144)*$D2149)</f>
        <v/>
      </c>
      <c r="I2149" s="56" t="str">
        <f aca="false">IF(INDEX(BookTitle,2144)="","",INDEX(BookTotal,2144)*'5. Scenarios'!$C$6/(1+ProductivityDefault*('5. Scenarios'!$C$11-1)))</f>
        <v/>
      </c>
      <c r="J2149" s="57" t="str">
        <f aca="false">IF($I2149="","",INDEX(BookRate,2144)*(1+'5. Scenarios'!$C$10)*$I2149)</f>
        <v/>
      </c>
      <c r="K2149" s="57" t="str">
        <f aca="false">IF($J2149="","",SUMIFS($J$6:$J$2405,$A$6:$A$2405,"&lt;="&amp;$A2149))</f>
        <v/>
      </c>
      <c r="L2149" s="57" t="str">
        <f aca="false">IF($J2149="","",IF($K2149&lt;=BankCostEnvelope*'5. Scenarios'!$C$7,1,0))</f>
        <v/>
      </c>
      <c r="M2149" s="57" t="str">
        <f aca="false">IF($I2149="","",INDEX(BookRate,2144)*(1+'5. Scenarios'!$C$10)*(INDEX(BookQ1,2144)*(5-MIN(4,1+'5. Scenarios'!$C$8))/4+INDEX(BookQ2,2144)*(5-MIN(4,2+'5. Scenarios'!$C$8))/4+INDEX(BookQ3,2144)*(5-MIN(4,3+'5. Scenarios'!$C$8))/4+INDEX(BookQ4,2144)*(5-MIN(4,4+'5. Scenarios'!$C$8))/4)*'5. Scenarios'!$C$6/(1+ProductivityDefault*('5. Scenarios'!$C$11-1))+INDEX(BookOneOff,2144)*$I2149)</f>
        <v/>
      </c>
      <c r="N2149" s="56" t="str">
        <f aca="false">IF(INDEX(BookTitle,2144)="","",INDEX(BookTotal,2144)*'5. Scenarios'!$D$6/(1+ProductivityDefault*('5. Scenarios'!$D$11-1)))</f>
        <v/>
      </c>
      <c r="O2149" s="57" t="str">
        <f aca="false">IF($N2149="","",INDEX(BookRate,2144)*(1+'5. Scenarios'!$D$10)*$N2149)</f>
        <v/>
      </c>
      <c r="P2149" s="57" t="str">
        <f aca="false">IF($O2149="","",SUMIFS($O$6:$O$2405,$A$6:$A$2405,"&lt;="&amp;$A2149))</f>
        <v/>
      </c>
      <c r="Q2149" s="57" t="str">
        <f aca="false">IF($O2149="","",IF($P2149&lt;=BankCostEnvelope*'5. Scenarios'!$D$7,1,0))</f>
        <v/>
      </c>
      <c r="R2149" s="57" t="str">
        <f aca="false">IF($N2149="","",INDEX(BookRate,2144)*(1+'5. Scenarios'!$D$10)*(INDEX(BookQ1,2144)*(5-MIN(4,1+'5. Scenarios'!$D$8))/4+INDEX(BookQ2,2144)*(5-MIN(4,2+'5. Scenarios'!$D$8))/4+INDEX(BookQ3,2144)*(5-MIN(4,3+'5. Scenarios'!$D$8))/4+INDEX(BookQ4,2144)*(5-MIN(4,4+'5. Scenarios'!$D$8))/4)*'5. Scenarios'!$D$6/(1+ProductivityDefault*('5. Scenarios'!$D$11-1))+INDEX(BookOneOff,2144)*$N2149)</f>
        <v/>
      </c>
      <c r="S2149" s="56" t="str">
        <f aca="false">IF(INDEX(BookTitle,2144)="","",INDEX(BookTotal,2144)*'5. Scenarios'!$E$6/(1+ProductivityDefault*('5. Scenarios'!$E$11-1)))</f>
        <v/>
      </c>
      <c r="T2149" s="57" t="str">
        <f aca="false">IF($S2149="","",INDEX(BookRate,2144)*(1+'5. Scenarios'!$E$10)*$S2149)</f>
        <v/>
      </c>
      <c r="U2149" s="57" t="str">
        <f aca="false">IF($T2149="","",SUMIFS($T$6:$T$2405,$A$6:$A$2405,"&lt;="&amp;$A2149))</f>
        <v/>
      </c>
      <c r="V2149" s="57" t="str">
        <f aca="false">IF($T2149="","",IF($U2149&lt;=BankCostEnvelope*'5. Scenarios'!$E$7,1,0))</f>
        <v/>
      </c>
      <c r="W2149" s="57" t="str">
        <f aca="false">IF($S2149="","",INDEX(BookRate,2144)*(1+'5. Scenarios'!$E$10)*(INDEX(BookQ1,2144)*(5-MIN(4,1+'5. Scenarios'!$E$8))/4+INDEX(BookQ2,2144)*(5-MIN(4,2+'5. Scenarios'!$E$8))/4+INDEX(BookQ3,2144)*(5-MIN(4,3+'5. Scenarios'!$E$8))/4+INDEX(BookQ4,2144)*(5-MIN(4,4+'5. Scenarios'!$E$8))/4)*'5. Scenarios'!$E$6/(1+ProductivityDefault*('5. Scenarios'!$E$11-1))+INDEX(BookOneOff,2144)*$S2149)</f>
        <v/>
      </c>
    </row>
    <row r="2150" customFormat="false" ht="15" hidden="false" customHeight="false" outlineLevel="0" collapsed="false">
      <c r="A2150" s="0" t="str">
        <f aca="false">IF(INDEX(BookTitle,2145)="","",INDEX(BookKey,2145))</f>
        <v/>
      </c>
      <c r="B2150" s="0" t="str">
        <f aca="false">IF(INDEX(BookTitle,2145)="","",INDEX(BookGroup,2145))</f>
        <v/>
      </c>
      <c r="C2150" s="0" t="str">
        <f aca="false">IF(INDEX(BookTitle,2145)="","",INDEX(BookCategory,2145))</f>
        <v/>
      </c>
      <c r="D2150" s="56" t="str">
        <f aca="false">IF(INDEX(BookTitle,2145)="","",INDEX(BookTotal,2145)*'5. Scenarios'!$B$6/(1+ProductivityDefault*('5. Scenarios'!$B$11-1)))</f>
        <v/>
      </c>
      <c r="E2150" s="57" t="str">
        <f aca="false">IF($D2150="","",INDEX(BookRate,2145)*(1+'5. Scenarios'!$B$10)*$D2150)</f>
        <v/>
      </c>
      <c r="F2150" s="57" t="str">
        <f aca="false">IF($E2150="","",SUMIFS($E$6:$E$2405,$A$6:$A$2405,"&lt;="&amp;$A2150))</f>
        <v/>
      </c>
      <c r="G2150" s="57" t="str">
        <f aca="false">IF($E2150="","",IF($F2150&lt;=BankCostEnvelope*'5. Scenarios'!$B$7,1,0))</f>
        <v/>
      </c>
      <c r="H2150" s="57" t="str">
        <f aca="false">IF($D2150="","",INDEX(BookRate,2145)*(1+'5. Scenarios'!$B$10)*(INDEX(BookQ1,2145)*(5-MIN(4,1+'5. Scenarios'!$B$8))/4+INDEX(BookQ2,2145)*(5-MIN(4,2+'5. Scenarios'!$B$8))/4+INDEX(BookQ3,2145)*(5-MIN(4,3+'5. Scenarios'!$B$8))/4+INDEX(BookQ4,2145)*(5-MIN(4,4+'5. Scenarios'!$B$8))/4)*'5. Scenarios'!$B$6/(1+ProductivityDefault*('5. Scenarios'!$B$11-1))+INDEX(BookOneOff,2145)*$D2150)</f>
        <v/>
      </c>
      <c r="I2150" s="56" t="str">
        <f aca="false">IF(INDEX(BookTitle,2145)="","",INDEX(BookTotal,2145)*'5. Scenarios'!$C$6/(1+ProductivityDefault*('5. Scenarios'!$C$11-1)))</f>
        <v/>
      </c>
      <c r="J2150" s="57" t="str">
        <f aca="false">IF($I2150="","",INDEX(BookRate,2145)*(1+'5. Scenarios'!$C$10)*$I2150)</f>
        <v/>
      </c>
      <c r="K2150" s="57" t="str">
        <f aca="false">IF($J2150="","",SUMIFS($J$6:$J$2405,$A$6:$A$2405,"&lt;="&amp;$A2150))</f>
        <v/>
      </c>
      <c r="L2150" s="57" t="str">
        <f aca="false">IF($J2150="","",IF($K2150&lt;=BankCostEnvelope*'5. Scenarios'!$C$7,1,0))</f>
        <v/>
      </c>
      <c r="M2150" s="57" t="str">
        <f aca="false">IF($I2150="","",INDEX(BookRate,2145)*(1+'5. Scenarios'!$C$10)*(INDEX(BookQ1,2145)*(5-MIN(4,1+'5. Scenarios'!$C$8))/4+INDEX(BookQ2,2145)*(5-MIN(4,2+'5. Scenarios'!$C$8))/4+INDEX(BookQ3,2145)*(5-MIN(4,3+'5. Scenarios'!$C$8))/4+INDEX(BookQ4,2145)*(5-MIN(4,4+'5. Scenarios'!$C$8))/4)*'5. Scenarios'!$C$6/(1+ProductivityDefault*('5. Scenarios'!$C$11-1))+INDEX(BookOneOff,2145)*$I2150)</f>
        <v/>
      </c>
      <c r="N2150" s="56" t="str">
        <f aca="false">IF(INDEX(BookTitle,2145)="","",INDEX(BookTotal,2145)*'5. Scenarios'!$D$6/(1+ProductivityDefault*('5. Scenarios'!$D$11-1)))</f>
        <v/>
      </c>
      <c r="O2150" s="57" t="str">
        <f aca="false">IF($N2150="","",INDEX(BookRate,2145)*(1+'5. Scenarios'!$D$10)*$N2150)</f>
        <v/>
      </c>
      <c r="P2150" s="57" t="str">
        <f aca="false">IF($O2150="","",SUMIFS($O$6:$O$2405,$A$6:$A$2405,"&lt;="&amp;$A2150))</f>
        <v/>
      </c>
      <c r="Q2150" s="57" t="str">
        <f aca="false">IF($O2150="","",IF($P2150&lt;=BankCostEnvelope*'5. Scenarios'!$D$7,1,0))</f>
        <v/>
      </c>
      <c r="R2150" s="57" t="str">
        <f aca="false">IF($N2150="","",INDEX(BookRate,2145)*(1+'5. Scenarios'!$D$10)*(INDEX(BookQ1,2145)*(5-MIN(4,1+'5. Scenarios'!$D$8))/4+INDEX(BookQ2,2145)*(5-MIN(4,2+'5. Scenarios'!$D$8))/4+INDEX(BookQ3,2145)*(5-MIN(4,3+'5. Scenarios'!$D$8))/4+INDEX(BookQ4,2145)*(5-MIN(4,4+'5. Scenarios'!$D$8))/4)*'5. Scenarios'!$D$6/(1+ProductivityDefault*('5. Scenarios'!$D$11-1))+INDEX(BookOneOff,2145)*$N2150)</f>
        <v/>
      </c>
      <c r="S2150" s="56" t="str">
        <f aca="false">IF(INDEX(BookTitle,2145)="","",INDEX(BookTotal,2145)*'5. Scenarios'!$E$6/(1+ProductivityDefault*('5. Scenarios'!$E$11-1)))</f>
        <v/>
      </c>
      <c r="T2150" s="57" t="str">
        <f aca="false">IF($S2150="","",INDEX(BookRate,2145)*(1+'5. Scenarios'!$E$10)*$S2150)</f>
        <v/>
      </c>
      <c r="U2150" s="57" t="str">
        <f aca="false">IF($T2150="","",SUMIFS($T$6:$T$2405,$A$6:$A$2405,"&lt;="&amp;$A2150))</f>
        <v/>
      </c>
      <c r="V2150" s="57" t="str">
        <f aca="false">IF($T2150="","",IF($U2150&lt;=BankCostEnvelope*'5. Scenarios'!$E$7,1,0))</f>
        <v/>
      </c>
      <c r="W2150" s="57" t="str">
        <f aca="false">IF($S2150="","",INDEX(BookRate,2145)*(1+'5. Scenarios'!$E$10)*(INDEX(BookQ1,2145)*(5-MIN(4,1+'5. Scenarios'!$E$8))/4+INDEX(BookQ2,2145)*(5-MIN(4,2+'5. Scenarios'!$E$8))/4+INDEX(BookQ3,2145)*(5-MIN(4,3+'5. Scenarios'!$E$8))/4+INDEX(BookQ4,2145)*(5-MIN(4,4+'5. Scenarios'!$E$8))/4)*'5. Scenarios'!$E$6/(1+ProductivityDefault*('5. Scenarios'!$E$11-1))+INDEX(BookOneOff,2145)*$S2150)</f>
        <v/>
      </c>
    </row>
    <row r="2151" customFormat="false" ht="15" hidden="false" customHeight="false" outlineLevel="0" collapsed="false">
      <c r="A2151" s="0" t="str">
        <f aca="false">IF(INDEX(BookTitle,2146)="","",INDEX(BookKey,2146))</f>
        <v/>
      </c>
      <c r="B2151" s="0" t="str">
        <f aca="false">IF(INDEX(BookTitle,2146)="","",INDEX(BookGroup,2146))</f>
        <v/>
      </c>
      <c r="C2151" s="0" t="str">
        <f aca="false">IF(INDEX(BookTitle,2146)="","",INDEX(BookCategory,2146))</f>
        <v/>
      </c>
      <c r="D2151" s="56" t="str">
        <f aca="false">IF(INDEX(BookTitle,2146)="","",INDEX(BookTotal,2146)*'5. Scenarios'!$B$6/(1+ProductivityDefault*('5. Scenarios'!$B$11-1)))</f>
        <v/>
      </c>
      <c r="E2151" s="57" t="str">
        <f aca="false">IF($D2151="","",INDEX(BookRate,2146)*(1+'5. Scenarios'!$B$10)*$D2151)</f>
        <v/>
      </c>
      <c r="F2151" s="57" t="str">
        <f aca="false">IF($E2151="","",SUMIFS($E$6:$E$2405,$A$6:$A$2405,"&lt;="&amp;$A2151))</f>
        <v/>
      </c>
      <c r="G2151" s="57" t="str">
        <f aca="false">IF($E2151="","",IF($F2151&lt;=BankCostEnvelope*'5. Scenarios'!$B$7,1,0))</f>
        <v/>
      </c>
      <c r="H2151" s="57" t="str">
        <f aca="false">IF($D2151="","",INDEX(BookRate,2146)*(1+'5. Scenarios'!$B$10)*(INDEX(BookQ1,2146)*(5-MIN(4,1+'5. Scenarios'!$B$8))/4+INDEX(BookQ2,2146)*(5-MIN(4,2+'5. Scenarios'!$B$8))/4+INDEX(BookQ3,2146)*(5-MIN(4,3+'5. Scenarios'!$B$8))/4+INDEX(BookQ4,2146)*(5-MIN(4,4+'5. Scenarios'!$B$8))/4)*'5. Scenarios'!$B$6/(1+ProductivityDefault*('5. Scenarios'!$B$11-1))+INDEX(BookOneOff,2146)*$D2151)</f>
        <v/>
      </c>
      <c r="I2151" s="56" t="str">
        <f aca="false">IF(INDEX(BookTitle,2146)="","",INDEX(BookTotal,2146)*'5. Scenarios'!$C$6/(1+ProductivityDefault*('5. Scenarios'!$C$11-1)))</f>
        <v/>
      </c>
      <c r="J2151" s="57" t="str">
        <f aca="false">IF($I2151="","",INDEX(BookRate,2146)*(1+'5. Scenarios'!$C$10)*$I2151)</f>
        <v/>
      </c>
      <c r="K2151" s="57" t="str">
        <f aca="false">IF($J2151="","",SUMIFS($J$6:$J$2405,$A$6:$A$2405,"&lt;="&amp;$A2151))</f>
        <v/>
      </c>
      <c r="L2151" s="57" t="str">
        <f aca="false">IF($J2151="","",IF($K2151&lt;=BankCostEnvelope*'5. Scenarios'!$C$7,1,0))</f>
        <v/>
      </c>
      <c r="M2151" s="57" t="str">
        <f aca="false">IF($I2151="","",INDEX(BookRate,2146)*(1+'5. Scenarios'!$C$10)*(INDEX(BookQ1,2146)*(5-MIN(4,1+'5. Scenarios'!$C$8))/4+INDEX(BookQ2,2146)*(5-MIN(4,2+'5. Scenarios'!$C$8))/4+INDEX(BookQ3,2146)*(5-MIN(4,3+'5. Scenarios'!$C$8))/4+INDEX(BookQ4,2146)*(5-MIN(4,4+'5. Scenarios'!$C$8))/4)*'5. Scenarios'!$C$6/(1+ProductivityDefault*('5. Scenarios'!$C$11-1))+INDEX(BookOneOff,2146)*$I2151)</f>
        <v/>
      </c>
      <c r="N2151" s="56" t="str">
        <f aca="false">IF(INDEX(BookTitle,2146)="","",INDEX(BookTotal,2146)*'5. Scenarios'!$D$6/(1+ProductivityDefault*('5. Scenarios'!$D$11-1)))</f>
        <v/>
      </c>
      <c r="O2151" s="57" t="str">
        <f aca="false">IF($N2151="","",INDEX(BookRate,2146)*(1+'5. Scenarios'!$D$10)*$N2151)</f>
        <v/>
      </c>
      <c r="P2151" s="57" t="str">
        <f aca="false">IF($O2151="","",SUMIFS($O$6:$O$2405,$A$6:$A$2405,"&lt;="&amp;$A2151))</f>
        <v/>
      </c>
      <c r="Q2151" s="57" t="str">
        <f aca="false">IF($O2151="","",IF($P2151&lt;=BankCostEnvelope*'5. Scenarios'!$D$7,1,0))</f>
        <v/>
      </c>
      <c r="R2151" s="57" t="str">
        <f aca="false">IF($N2151="","",INDEX(BookRate,2146)*(1+'5. Scenarios'!$D$10)*(INDEX(BookQ1,2146)*(5-MIN(4,1+'5. Scenarios'!$D$8))/4+INDEX(BookQ2,2146)*(5-MIN(4,2+'5. Scenarios'!$D$8))/4+INDEX(BookQ3,2146)*(5-MIN(4,3+'5. Scenarios'!$D$8))/4+INDEX(BookQ4,2146)*(5-MIN(4,4+'5. Scenarios'!$D$8))/4)*'5. Scenarios'!$D$6/(1+ProductivityDefault*('5. Scenarios'!$D$11-1))+INDEX(BookOneOff,2146)*$N2151)</f>
        <v/>
      </c>
      <c r="S2151" s="56" t="str">
        <f aca="false">IF(INDEX(BookTitle,2146)="","",INDEX(BookTotal,2146)*'5. Scenarios'!$E$6/(1+ProductivityDefault*('5. Scenarios'!$E$11-1)))</f>
        <v/>
      </c>
      <c r="T2151" s="57" t="str">
        <f aca="false">IF($S2151="","",INDEX(BookRate,2146)*(1+'5. Scenarios'!$E$10)*$S2151)</f>
        <v/>
      </c>
      <c r="U2151" s="57" t="str">
        <f aca="false">IF($T2151="","",SUMIFS($T$6:$T$2405,$A$6:$A$2405,"&lt;="&amp;$A2151))</f>
        <v/>
      </c>
      <c r="V2151" s="57" t="str">
        <f aca="false">IF($T2151="","",IF($U2151&lt;=BankCostEnvelope*'5. Scenarios'!$E$7,1,0))</f>
        <v/>
      </c>
      <c r="W2151" s="57" t="str">
        <f aca="false">IF($S2151="","",INDEX(BookRate,2146)*(1+'5. Scenarios'!$E$10)*(INDEX(BookQ1,2146)*(5-MIN(4,1+'5. Scenarios'!$E$8))/4+INDEX(BookQ2,2146)*(5-MIN(4,2+'5. Scenarios'!$E$8))/4+INDEX(BookQ3,2146)*(5-MIN(4,3+'5. Scenarios'!$E$8))/4+INDEX(BookQ4,2146)*(5-MIN(4,4+'5. Scenarios'!$E$8))/4)*'5. Scenarios'!$E$6/(1+ProductivityDefault*('5. Scenarios'!$E$11-1))+INDEX(BookOneOff,2146)*$S2151)</f>
        <v/>
      </c>
    </row>
    <row r="2152" customFormat="false" ht="15" hidden="false" customHeight="false" outlineLevel="0" collapsed="false">
      <c r="A2152" s="0" t="str">
        <f aca="false">IF(INDEX(BookTitle,2147)="","",INDEX(BookKey,2147))</f>
        <v/>
      </c>
      <c r="B2152" s="0" t="str">
        <f aca="false">IF(INDEX(BookTitle,2147)="","",INDEX(BookGroup,2147))</f>
        <v/>
      </c>
      <c r="C2152" s="0" t="str">
        <f aca="false">IF(INDEX(BookTitle,2147)="","",INDEX(BookCategory,2147))</f>
        <v/>
      </c>
      <c r="D2152" s="56" t="str">
        <f aca="false">IF(INDEX(BookTitle,2147)="","",INDEX(BookTotal,2147)*'5. Scenarios'!$B$6/(1+ProductivityDefault*('5. Scenarios'!$B$11-1)))</f>
        <v/>
      </c>
      <c r="E2152" s="57" t="str">
        <f aca="false">IF($D2152="","",INDEX(BookRate,2147)*(1+'5. Scenarios'!$B$10)*$D2152)</f>
        <v/>
      </c>
      <c r="F2152" s="57" t="str">
        <f aca="false">IF($E2152="","",SUMIFS($E$6:$E$2405,$A$6:$A$2405,"&lt;="&amp;$A2152))</f>
        <v/>
      </c>
      <c r="G2152" s="57" t="str">
        <f aca="false">IF($E2152="","",IF($F2152&lt;=BankCostEnvelope*'5. Scenarios'!$B$7,1,0))</f>
        <v/>
      </c>
      <c r="H2152" s="57" t="str">
        <f aca="false">IF($D2152="","",INDEX(BookRate,2147)*(1+'5. Scenarios'!$B$10)*(INDEX(BookQ1,2147)*(5-MIN(4,1+'5. Scenarios'!$B$8))/4+INDEX(BookQ2,2147)*(5-MIN(4,2+'5. Scenarios'!$B$8))/4+INDEX(BookQ3,2147)*(5-MIN(4,3+'5. Scenarios'!$B$8))/4+INDEX(BookQ4,2147)*(5-MIN(4,4+'5. Scenarios'!$B$8))/4)*'5. Scenarios'!$B$6/(1+ProductivityDefault*('5. Scenarios'!$B$11-1))+INDEX(BookOneOff,2147)*$D2152)</f>
        <v/>
      </c>
      <c r="I2152" s="56" t="str">
        <f aca="false">IF(INDEX(BookTitle,2147)="","",INDEX(BookTotal,2147)*'5. Scenarios'!$C$6/(1+ProductivityDefault*('5. Scenarios'!$C$11-1)))</f>
        <v/>
      </c>
      <c r="J2152" s="57" t="str">
        <f aca="false">IF($I2152="","",INDEX(BookRate,2147)*(1+'5. Scenarios'!$C$10)*$I2152)</f>
        <v/>
      </c>
      <c r="K2152" s="57" t="str">
        <f aca="false">IF($J2152="","",SUMIFS($J$6:$J$2405,$A$6:$A$2405,"&lt;="&amp;$A2152))</f>
        <v/>
      </c>
      <c r="L2152" s="57" t="str">
        <f aca="false">IF($J2152="","",IF($K2152&lt;=BankCostEnvelope*'5. Scenarios'!$C$7,1,0))</f>
        <v/>
      </c>
      <c r="M2152" s="57" t="str">
        <f aca="false">IF($I2152="","",INDEX(BookRate,2147)*(1+'5. Scenarios'!$C$10)*(INDEX(BookQ1,2147)*(5-MIN(4,1+'5. Scenarios'!$C$8))/4+INDEX(BookQ2,2147)*(5-MIN(4,2+'5. Scenarios'!$C$8))/4+INDEX(BookQ3,2147)*(5-MIN(4,3+'5. Scenarios'!$C$8))/4+INDEX(BookQ4,2147)*(5-MIN(4,4+'5. Scenarios'!$C$8))/4)*'5. Scenarios'!$C$6/(1+ProductivityDefault*('5. Scenarios'!$C$11-1))+INDEX(BookOneOff,2147)*$I2152)</f>
        <v/>
      </c>
      <c r="N2152" s="56" t="str">
        <f aca="false">IF(INDEX(BookTitle,2147)="","",INDEX(BookTotal,2147)*'5. Scenarios'!$D$6/(1+ProductivityDefault*('5. Scenarios'!$D$11-1)))</f>
        <v/>
      </c>
      <c r="O2152" s="57" t="str">
        <f aca="false">IF($N2152="","",INDEX(BookRate,2147)*(1+'5. Scenarios'!$D$10)*$N2152)</f>
        <v/>
      </c>
      <c r="P2152" s="57" t="str">
        <f aca="false">IF($O2152="","",SUMIFS($O$6:$O$2405,$A$6:$A$2405,"&lt;="&amp;$A2152))</f>
        <v/>
      </c>
      <c r="Q2152" s="57" t="str">
        <f aca="false">IF($O2152="","",IF($P2152&lt;=BankCostEnvelope*'5. Scenarios'!$D$7,1,0))</f>
        <v/>
      </c>
      <c r="R2152" s="57" t="str">
        <f aca="false">IF($N2152="","",INDEX(BookRate,2147)*(1+'5. Scenarios'!$D$10)*(INDEX(BookQ1,2147)*(5-MIN(4,1+'5. Scenarios'!$D$8))/4+INDEX(BookQ2,2147)*(5-MIN(4,2+'5. Scenarios'!$D$8))/4+INDEX(BookQ3,2147)*(5-MIN(4,3+'5. Scenarios'!$D$8))/4+INDEX(BookQ4,2147)*(5-MIN(4,4+'5. Scenarios'!$D$8))/4)*'5. Scenarios'!$D$6/(1+ProductivityDefault*('5. Scenarios'!$D$11-1))+INDEX(BookOneOff,2147)*$N2152)</f>
        <v/>
      </c>
      <c r="S2152" s="56" t="str">
        <f aca="false">IF(INDEX(BookTitle,2147)="","",INDEX(BookTotal,2147)*'5. Scenarios'!$E$6/(1+ProductivityDefault*('5. Scenarios'!$E$11-1)))</f>
        <v/>
      </c>
      <c r="T2152" s="57" t="str">
        <f aca="false">IF($S2152="","",INDEX(BookRate,2147)*(1+'5. Scenarios'!$E$10)*$S2152)</f>
        <v/>
      </c>
      <c r="U2152" s="57" t="str">
        <f aca="false">IF($T2152="","",SUMIFS($T$6:$T$2405,$A$6:$A$2405,"&lt;="&amp;$A2152))</f>
        <v/>
      </c>
      <c r="V2152" s="57" t="str">
        <f aca="false">IF($T2152="","",IF($U2152&lt;=BankCostEnvelope*'5. Scenarios'!$E$7,1,0))</f>
        <v/>
      </c>
      <c r="W2152" s="57" t="str">
        <f aca="false">IF($S2152="","",INDEX(BookRate,2147)*(1+'5. Scenarios'!$E$10)*(INDEX(BookQ1,2147)*(5-MIN(4,1+'5. Scenarios'!$E$8))/4+INDEX(BookQ2,2147)*(5-MIN(4,2+'5. Scenarios'!$E$8))/4+INDEX(BookQ3,2147)*(5-MIN(4,3+'5. Scenarios'!$E$8))/4+INDEX(BookQ4,2147)*(5-MIN(4,4+'5. Scenarios'!$E$8))/4)*'5. Scenarios'!$E$6/(1+ProductivityDefault*('5. Scenarios'!$E$11-1))+INDEX(BookOneOff,2147)*$S2152)</f>
        <v/>
      </c>
    </row>
    <row r="2153" customFormat="false" ht="15" hidden="false" customHeight="false" outlineLevel="0" collapsed="false">
      <c r="A2153" s="0" t="str">
        <f aca="false">IF(INDEX(BookTitle,2148)="","",INDEX(BookKey,2148))</f>
        <v/>
      </c>
      <c r="B2153" s="0" t="str">
        <f aca="false">IF(INDEX(BookTitle,2148)="","",INDEX(BookGroup,2148))</f>
        <v/>
      </c>
      <c r="C2153" s="0" t="str">
        <f aca="false">IF(INDEX(BookTitle,2148)="","",INDEX(BookCategory,2148))</f>
        <v/>
      </c>
      <c r="D2153" s="56" t="str">
        <f aca="false">IF(INDEX(BookTitle,2148)="","",INDEX(BookTotal,2148)*'5. Scenarios'!$B$6/(1+ProductivityDefault*('5. Scenarios'!$B$11-1)))</f>
        <v/>
      </c>
      <c r="E2153" s="57" t="str">
        <f aca="false">IF($D2153="","",INDEX(BookRate,2148)*(1+'5. Scenarios'!$B$10)*$D2153)</f>
        <v/>
      </c>
      <c r="F2153" s="57" t="str">
        <f aca="false">IF($E2153="","",SUMIFS($E$6:$E$2405,$A$6:$A$2405,"&lt;="&amp;$A2153))</f>
        <v/>
      </c>
      <c r="G2153" s="57" t="str">
        <f aca="false">IF($E2153="","",IF($F2153&lt;=BankCostEnvelope*'5. Scenarios'!$B$7,1,0))</f>
        <v/>
      </c>
      <c r="H2153" s="57" t="str">
        <f aca="false">IF($D2153="","",INDEX(BookRate,2148)*(1+'5. Scenarios'!$B$10)*(INDEX(BookQ1,2148)*(5-MIN(4,1+'5. Scenarios'!$B$8))/4+INDEX(BookQ2,2148)*(5-MIN(4,2+'5. Scenarios'!$B$8))/4+INDEX(BookQ3,2148)*(5-MIN(4,3+'5. Scenarios'!$B$8))/4+INDEX(BookQ4,2148)*(5-MIN(4,4+'5. Scenarios'!$B$8))/4)*'5. Scenarios'!$B$6/(1+ProductivityDefault*('5. Scenarios'!$B$11-1))+INDEX(BookOneOff,2148)*$D2153)</f>
        <v/>
      </c>
      <c r="I2153" s="56" t="str">
        <f aca="false">IF(INDEX(BookTitle,2148)="","",INDEX(BookTotal,2148)*'5. Scenarios'!$C$6/(1+ProductivityDefault*('5. Scenarios'!$C$11-1)))</f>
        <v/>
      </c>
      <c r="J2153" s="57" t="str">
        <f aca="false">IF($I2153="","",INDEX(BookRate,2148)*(1+'5. Scenarios'!$C$10)*$I2153)</f>
        <v/>
      </c>
      <c r="K2153" s="57" t="str">
        <f aca="false">IF($J2153="","",SUMIFS($J$6:$J$2405,$A$6:$A$2405,"&lt;="&amp;$A2153))</f>
        <v/>
      </c>
      <c r="L2153" s="57" t="str">
        <f aca="false">IF($J2153="","",IF($K2153&lt;=BankCostEnvelope*'5. Scenarios'!$C$7,1,0))</f>
        <v/>
      </c>
      <c r="M2153" s="57" t="str">
        <f aca="false">IF($I2153="","",INDEX(BookRate,2148)*(1+'5. Scenarios'!$C$10)*(INDEX(BookQ1,2148)*(5-MIN(4,1+'5. Scenarios'!$C$8))/4+INDEX(BookQ2,2148)*(5-MIN(4,2+'5. Scenarios'!$C$8))/4+INDEX(BookQ3,2148)*(5-MIN(4,3+'5. Scenarios'!$C$8))/4+INDEX(BookQ4,2148)*(5-MIN(4,4+'5. Scenarios'!$C$8))/4)*'5. Scenarios'!$C$6/(1+ProductivityDefault*('5. Scenarios'!$C$11-1))+INDEX(BookOneOff,2148)*$I2153)</f>
        <v/>
      </c>
      <c r="N2153" s="56" t="str">
        <f aca="false">IF(INDEX(BookTitle,2148)="","",INDEX(BookTotal,2148)*'5. Scenarios'!$D$6/(1+ProductivityDefault*('5. Scenarios'!$D$11-1)))</f>
        <v/>
      </c>
      <c r="O2153" s="57" t="str">
        <f aca="false">IF($N2153="","",INDEX(BookRate,2148)*(1+'5. Scenarios'!$D$10)*$N2153)</f>
        <v/>
      </c>
      <c r="P2153" s="57" t="str">
        <f aca="false">IF($O2153="","",SUMIFS($O$6:$O$2405,$A$6:$A$2405,"&lt;="&amp;$A2153))</f>
        <v/>
      </c>
      <c r="Q2153" s="57" t="str">
        <f aca="false">IF($O2153="","",IF($P2153&lt;=BankCostEnvelope*'5. Scenarios'!$D$7,1,0))</f>
        <v/>
      </c>
      <c r="R2153" s="57" t="str">
        <f aca="false">IF($N2153="","",INDEX(BookRate,2148)*(1+'5. Scenarios'!$D$10)*(INDEX(BookQ1,2148)*(5-MIN(4,1+'5. Scenarios'!$D$8))/4+INDEX(BookQ2,2148)*(5-MIN(4,2+'5. Scenarios'!$D$8))/4+INDEX(BookQ3,2148)*(5-MIN(4,3+'5. Scenarios'!$D$8))/4+INDEX(BookQ4,2148)*(5-MIN(4,4+'5. Scenarios'!$D$8))/4)*'5. Scenarios'!$D$6/(1+ProductivityDefault*('5. Scenarios'!$D$11-1))+INDEX(BookOneOff,2148)*$N2153)</f>
        <v/>
      </c>
      <c r="S2153" s="56" t="str">
        <f aca="false">IF(INDEX(BookTitle,2148)="","",INDEX(BookTotal,2148)*'5. Scenarios'!$E$6/(1+ProductivityDefault*('5. Scenarios'!$E$11-1)))</f>
        <v/>
      </c>
      <c r="T2153" s="57" t="str">
        <f aca="false">IF($S2153="","",INDEX(BookRate,2148)*(1+'5. Scenarios'!$E$10)*$S2153)</f>
        <v/>
      </c>
      <c r="U2153" s="57" t="str">
        <f aca="false">IF($T2153="","",SUMIFS($T$6:$T$2405,$A$6:$A$2405,"&lt;="&amp;$A2153))</f>
        <v/>
      </c>
      <c r="V2153" s="57" t="str">
        <f aca="false">IF($T2153="","",IF($U2153&lt;=BankCostEnvelope*'5. Scenarios'!$E$7,1,0))</f>
        <v/>
      </c>
      <c r="W2153" s="57" t="str">
        <f aca="false">IF($S2153="","",INDEX(BookRate,2148)*(1+'5. Scenarios'!$E$10)*(INDEX(BookQ1,2148)*(5-MIN(4,1+'5. Scenarios'!$E$8))/4+INDEX(BookQ2,2148)*(5-MIN(4,2+'5. Scenarios'!$E$8))/4+INDEX(BookQ3,2148)*(5-MIN(4,3+'5. Scenarios'!$E$8))/4+INDEX(BookQ4,2148)*(5-MIN(4,4+'5. Scenarios'!$E$8))/4)*'5. Scenarios'!$E$6/(1+ProductivityDefault*('5. Scenarios'!$E$11-1))+INDEX(BookOneOff,2148)*$S2153)</f>
        <v/>
      </c>
    </row>
    <row r="2154" customFormat="false" ht="15" hidden="false" customHeight="false" outlineLevel="0" collapsed="false">
      <c r="A2154" s="0" t="str">
        <f aca="false">IF(INDEX(BookTitle,2149)="","",INDEX(BookKey,2149))</f>
        <v/>
      </c>
      <c r="B2154" s="0" t="str">
        <f aca="false">IF(INDEX(BookTitle,2149)="","",INDEX(BookGroup,2149))</f>
        <v/>
      </c>
      <c r="C2154" s="0" t="str">
        <f aca="false">IF(INDEX(BookTitle,2149)="","",INDEX(BookCategory,2149))</f>
        <v/>
      </c>
      <c r="D2154" s="56" t="str">
        <f aca="false">IF(INDEX(BookTitle,2149)="","",INDEX(BookTotal,2149)*'5. Scenarios'!$B$6/(1+ProductivityDefault*('5. Scenarios'!$B$11-1)))</f>
        <v/>
      </c>
      <c r="E2154" s="57" t="str">
        <f aca="false">IF($D2154="","",INDEX(BookRate,2149)*(1+'5. Scenarios'!$B$10)*$D2154)</f>
        <v/>
      </c>
      <c r="F2154" s="57" t="str">
        <f aca="false">IF($E2154="","",SUMIFS($E$6:$E$2405,$A$6:$A$2405,"&lt;="&amp;$A2154))</f>
        <v/>
      </c>
      <c r="G2154" s="57" t="str">
        <f aca="false">IF($E2154="","",IF($F2154&lt;=BankCostEnvelope*'5. Scenarios'!$B$7,1,0))</f>
        <v/>
      </c>
      <c r="H2154" s="57" t="str">
        <f aca="false">IF($D2154="","",INDEX(BookRate,2149)*(1+'5. Scenarios'!$B$10)*(INDEX(BookQ1,2149)*(5-MIN(4,1+'5. Scenarios'!$B$8))/4+INDEX(BookQ2,2149)*(5-MIN(4,2+'5. Scenarios'!$B$8))/4+INDEX(BookQ3,2149)*(5-MIN(4,3+'5. Scenarios'!$B$8))/4+INDEX(BookQ4,2149)*(5-MIN(4,4+'5. Scenarios'!$B$8))/4)*'5. Scenarios'!$B$6/(1+ProductivityDefault*('5. Scenarios'!$B$11-1))+INDEX(BookOneOff,2149)*$D2154)</f>
        <v/>
      </c>
      <c r="I2154" s="56" t="str">
        <f aca="false">IF(INDEX(BookTitle,2149)="","",INDEX(BookTotal,2149)*'5. Scenarios'!$C$6/(1+ProductivityDefault*('5. Scenarios'!$C$11-1)))</f>
        <v/>
      </c>
      <c r="J2154" s="57" t="str">
        <f aca="false">IF($I2154="","",INDEX(BookRate,2149)*(1+'5. Scenarios'!$C$10)*$I2154)</f>
        <v/>
      </c>
      <c r="K2154" s="57" t="str">
        <f aca="false">IF($J2154="","",SUMIFS($J$6:$J$2405,$A$6:$A$2405,"&lt;="&amp;$A2154))</f>
        <v/>
      </c>
      <c r="L2154" s="57" t="str">
        <f aca="false">IF($J2154="","",IF($K2154&lt;=BankCostEnvelope*'5. Scenarios'!$C$7,1,0))</f>
        <v/>
      </c>
      <c r="M2154" s="57" t="str">
        <f aca="false">IF($I2154="","",INDEX(BookRate,2149)*(1+'5. Scenarios'!$C$10)*(INDEX(BookQ1,2149)*(5-MIN(4,1+'5. Scenarios'!$C$8))/4+INDEX(BookQ2,2149)*(5-MIN(4,2+'5. Scenarios'!$C$8))/4+INDEX(BookQ3,2149)*(5-MIN(4,3+'5. Scenarios'!$C$8))/4+INDEX(BookQ4,2149)*(5-MIN(4,4+'5. Scenarios'!$C$8))/4)*'5. Scenarios'!$C$6/(1+ProductivityDefault*('5. Scenarios'!$C$11-1))+INDEX(BookOneOff,2149)*$I2154)</f>
        <v/>
      </c>
      <c r="N2154" s="56" t="str">
        <f aca="false">IF(INDEX(BookTitle,2149)="","",INDEX(BookTotal,2149)*'5. Scenarios'!$D$6/(1+ProductivityDefault*('5. Scenarios'!$D$11-1)))</f>
        <v/>
      </c>
      <c r="O2154" s="57" t="str">
        <f aca="false">IF($N2154="","",INDEX(BookRate,2149)*(1+'5. Scenarios'!$D$10)*$N2154)</f>
        <v/>
      </c>
      <c r="P2154" s="57" t="str">
        <f aca="false">IF($O2154="","",SUMIFS($O$6:$O$2405,$A$6:$A$2405,"&lt;="&amp;$A2154))</f>
        <v/>
      </c>
      <c r="Q2154" s="57" t="str">
        <f aca="false">IF($O2154="","",IF($P2154&lt;=BankCostEnvelope*'5. Scenarios'!$D$7,1,0))</f>
        <v/>
      </c>
      <c r="R2154" s="57" t="str">
        <f aca="false">IF($N2154="","",INDEX(BookRate,2149)*(1+'5. Scenarios'!$D$10)*(INDEX(BookQ1,2149)*(5-MIN(4,1+'5. Scenarios'!$D$8))/4+INDEX(BookQ2,2149)*(5-MIN(4,2+'5. Scenarios'!$D$8))/4+INDEX(BookQ3,2149)*(5-MIN(4,3+'5. Scenarios'!$D$8))/4+INDEX(BookQ4,2149)*(5-MIN(4,4+'5. Scenarios'!$D$8))/4)*'5. Scenarios'!$D$6/(1+ProductivityDefault*('5. Scenarios'!$D$11-1))+INDEX(BookOneOff,2149)*$N2154)</f>
        <v/>
      </c>
      <c r="S2154" s="56" t="str">
        <f aca="false">IF(INDEX(BookTitle,2149)="","",INDEX(BookTotal,2149)*'5. Scenarios'!$E$6/(1+ProductivityDefault*('5. Scenarios'!$E$11-1)))</f>
        <v/>
      </c>
      <c r="T2154" s="57" t="str">
        <f aca="false">IF($S2154="","",INDEX(BookRate,2149)*(1+'5. Scenarios'!$E$10)*$S2154)</f>
        <v/>
      </c>
      <c r="U2154" s="57" t="str">
        <f aca="false">IF($T2154="","",SUMIFS($T$6:$T$2405,$A$6:$A$2405,"&lt;="&amp;$A2154))</f>
        <v/>
      </c>
      <c r="V2154" s="57" t="str">
        <f aca="false">IF($T2154="","",IF($U2154&lt;=BankCostEnvelope*'5. Scenarios'!$E$7,1,0))</f>
        <v/>
      </c>
      <c r="W2154" s="57" t="str">
        <f aca="false">IF($S2154="","",INDEX(BookRate,2149)*(1+'5. Scenarios'!$E$10)*(INDEX(BookQ1,2149)*(5-MIN(4,1+'5. Scenarios'!$E$8))/4+INDEX(BookQ2,2149)*(5-MIN(4,2+'5. Scenarios'!$E$8))/4+INDEX(BookQ3,2149)*(5-MIN(4,3+'5. Scenarios'!$E$8))/4+INDEX(BookQ4,2149)*(5-MIN(4,4+'5. Scenarios'!$E$8))/4)*'5. Scenarios'!$E$6/(1+ProductivityDefault*('5. Scenarios'!$E$11-1))+INDEX(BookOneOff,2149)*$S2154)</f>
        <v/>
      </c>
    </row>
    <row r="2155" customFormat="false" ht="15" hidden="false" customHeight="false" outlineLevel="0" collapsed="false">
      <c r="A2155" s="0" t="str">
        <f aca="false">IF(INDEX(BookTitle,2150)="","",INDEX(BookKey,2150))</f>
        <v/>
      </c>
      <c r="B2155" s="0" t="str">
        <f aca="false">IF(INDEX(BookTitle,2150)="","",INDEX(BookGroup,2150))</f>
        <v/>
      </c>
      <c r="C2155" s="0" t="str">
        <f aca="false">IF(INDEX(BookTitle,2150)="","",INDEX(BookCategory,2150))</f>
        <v/>
      </c>
      <c r="D2155" s="56" t="str">
        <f aca="false">IF(INDEX(BookTitle,2150)="","",INDEX(BookTotal,2150)*'5. Scenarios'!$B$6/(1+ProductivityDefault*('5. Scenarios'!$B$11-1)))</f>
        <v/>
      </c>
      <c r="E2155" s="57" t="str">
        <f aca="false">IF($D2155="","",INDEX(BookRate,2150)*(1+'5. Scenarios'!$B$10)*$D2155)</f>
        <v/>
      </c>
      <c r="F2155" s="57" t="str">
        <f aca="false">IF($E2155="","",SUMIFS($E$6:$E$2405,$A$6:$A$2405,"&lt;="&amp;$A2155))</f>
        <v/>
      </c>
      <c r="G2155" s="57" t="str">
        <f aca="false">IF($E2155="","",IF($F2155&lt;=BankCostEnvelope*'5. Scenarios'!$B$7,1,0))</f>
        <v/>
      </c>
      <c r="H2155" s="57" t="str">
        <f aca="false">IF($D2155="","",INDEX(BookRate,2150)*(1+'5. Scenarios'!$B$10)*(INDEX(BookQ1,2150)*(5-MIN(4,1+'5. Scenarios'!$B$8))/4+INDEX(BookQ2,2150)*(5-MIN(4,2+'5. Scenarios'!$B$8))/4+INDEX(BookQ3,2150)*(5-MIN(4,3+'5. Scenarios'!$B$8))/4+INDEX(BookQ4,2150)*(5-MIN(4,4+'5. Scenarios'!$B$8))/4)*'5. Scenarios'!$B$6/(1+ProductivityDefault*('5. Scenarios'!$B$11-1))+INDEX(BookOneOff,2150)*$D2155)</f>
        <v/>
      </c>
      <c r="I2155" s="56" t="str">
        <f aca="false">IF(INDEX(BookTitle,2150)="","",INDEX(BookTotal,2150)*'5. Scenarios'!$C$6/(1+ProductivityDefault*('5. Scenarios'!$C$11-1)))</f>
        <v/>
      </c>
      <c r="J2155" s="57" t="str">
        <f aca="false">IF($I2155="","",INDEX(BookRate,2150)*(1+'5. Scenarios'!$C$10)*$I2155)</f>
        <v/>
      </c>
      <c r="K2155" s="57" t="str">
        <f aca="false">IF($J2155="","",SUMIFS($J$6:$J$2405,$A$6:$A$2405,"&lt;="&amp;$A2155))</f>
        <v/>
      </c>
      <c r="L2155" s="57" t="str">
        <f aca="false">IF($J2155="","",IF($K2155&lt;=BankCostEnvelope*'5. Scenarios'!$C$7,1,0))</f>
        <v/>
      </c>
      <c r="M2155" s="57" t="str">
        <f aca="false">IF($I2155="","",INDEX(BookRate,2150)*(1+'5. Scenarios'!$C$10)*(INDEX(BookQ1,2150)*(5-MIN(4,1+'5. Scenarios'!$C$8))/4+INDEX(BookQ2,2150)*(5-MIN(4,2+'5. Scenarios'!$C$8))/4+INDEX(BookQ3,2150)*(5-MIN(4,3+'5. Scenarios'!$C$8))/4+INDEX(BookQ4,2150)*(5-MIN(4,4+'5. Scenarios'!$C$8))/4)*'5. Scenarios'!$C$6/(1+ProductivityDefault*('5. Scenarios'!$C$11-1))+INDEX(BookOneOff,2150)*$I2155)</f>
        <v/>
      </c>
      <c r="N2155" s="56" t="str">
        <f aca="false">IF(INDEX(BookTitle,2150)="","",INDEX(BookTotal,2150)*'5. Scenarios'!$D$6/(1+ProductivityDefault*('5. Scenarios'!$D$11-1)))</f>
        <v/>
      </c>
      <c r="O2155" s="57" t="str">
        <f aca="false">IF($N2155="","",INDEX(BookRate,2150)*(1+'5. Scenarios'!$D$10)*$N2155)</f>
        <v/>
      </c>
      <c r="P2155" s="57" t="str">
        <f aca="false">IF($O2155="","",SUMIFS($O$6:$O$2405,$A$6:$A$2405,"&lt;="&amp;$A2155))</f>
        <v/>
      </c>
      <c r="Q2155" s="57" t="str">
        <f aca="false">IF($O2155="","",IF($P2155&lt;=BankCostEnvelope*'5. Scenarios'!$D$7,1,0))</f>
        <v/>
      </c>
      <c r="R2155" s="57" t="str">
        <f aca="false">IF($N2155="","",INDEX(BookRate,2150)*(1+'5. Scenarios'!$D$10)*(INDEX(BookQ1,2150)*(5-MIN(4,1+'5. Scenarios'!$D$8))/4+INDEX(BookQ2,2150)*(5-MIN(4,2+'5. Scenarios'!$D$8))/4+INDEX(BookQ3,2150)*(5-MIN(4,3+'5. Scenarios'!$D$8))/4+INDEX(BookQ4,2150)*(5-MIN(4,4+'5. Scenarios'!$D$8))/4)*'5. Scenarios'!$D$6/(1+ProductivityDefault*('5. Scenarios'!$D$11-1))+INDEX(BookOneOff,2150)*$N2155)</f>
        <v/>
      </c>
      <c r="S2155" s="56" t="str">
        <f aca="false">IF(INDEX(BookTitle,2150)="","",INDEX(BookTotal,2150)*'5. Scenarios'!$E$6/(1+ProductivityDefault*('5. Scenarios'!$E$11-1)))</f>
        <v/>
      </c>
      <c r="T2155" s="57" t="str">
        <f aca="false">IF($S2155="","",INDEX(BookRate,2150)*(1+'5. Scenarios'!$E$10)*$S2155)</f>
        <v/>
      </c>
      <c r="U2155" s="57" t="str">
        <f aca="false">IF($T2155="","",SUMIFS($T$6:$T$2405,$A$6:$A$2405,"&lt;="&amp;$A2155))</f>
        <v/>
      </c>
      <c r="V2155" s="57" t="str">
        <f aca="false">IF($T2155="","",IF($U2155&lt;=BankCostEnvelope*'5. Scenarios'!$E$7,1,0))</f>
        <v/>
      </c>
      <c r="W2155" s="57" t="str">
        <f aca="false">IF($S2155="","",INDEX(BookRate,2150)*(1+'5. Scenarios'!$E$10)*(INDEX(BookQ1,2150)*(5-MIN(4,1+'5. Scenarios'!$E$8))/4+INDEX(BookQ2,2150)*(5-MIN(4,2+'5. Scenarios'!$E$8))/4+INDEX(BookQ3,2150)*(5-MIN(4,3+'5. Scenarios'!$E$8))/4+INDEX(BookQ4,2150)*(5-MIN(4,4+'5. Scenarios'!$E$8))/4)*'5. Scenarios'!$E$6/(1+ProductivityDefault*('5. Scenarios'!$E$11-1))+INDEX(BookOneOff,2150)*$S2155)</f>
        <v/>
      </c>
    </row>
    <row r="2156" customFormat="false" ht="15" hidden="false" customHeight="false" outlineLevel="0" collapsed="false">
      <c r="A2156" s="0" t="str">
        <f aca="false">IF(INDEX(BookTitle,2151)="","",INDEX(BookKey,2151))</f>
        <v/>
      </c>
      <c r="B2156" s="0" t="str">
        <f aca="false">IF(INDEX(BookTitle,2151)="","",INDEX(BookGroup,2151))</f>
        <v/>
      </c>
      <c r="C2156" s="0" t="str">
        <f aca="false">IF(INDEX(BookTitle,2151)="","",INDEX(BookCategory,2151))</f>
        <v/>
      </c>
      <c r="D2156" s="56" t="str">
        <f aca="false">IF(INDEX(BookTitle,2151)="","",INDEX(BookTotal,2151)*'5. Scenarios'!$B$6/(1+ProductivityDefault*('5. Scenarios'!$B$11-1)))</f>
        <v/>
      </c>
      <c r="E2156" s="57" t="str">
        <f aca="false">IF($D2156="","",INDEX(BookRate,2151)*(1+'5. Scenarios'!$B$10)*$D2156)</f>
        <v/>
      </c>
      <c r="F2156" s="57" t="str">
        <f aca="false">IF($E2156="","",SUMIFS($E$6:$E$2405,$A$6:$A$2405,"&lt;="&amp;$A2156))</f>
        <v/>
      </c>
      <c r="G2156" s="57" t="str">
        <f aca="false">IF($E2156="","",IF($F2156&lt;=BankCostEnvelope*'5. Scenarios'!$B$7,1,0))</f>
        <v/>
      </c>
      <c r="H2156" s="57" t="str">
        <f aca="false">IF($D2156="","",INDEX(BookRate,2151)*(1+'5. Scenarios'!$B$10)*(INDEX(BookQ1,2151)*(5-MIN(4,1+'5. Scenarios'!$B$8))/4+INDEX(BookQ2,2151)*(5-MIN(4,2+'5. Scenarios'!$B$8))/4+INDEX(BookQ3,2151)*(5-MIN(4,3+'5. Scenarios'!$B$8))/4+INDEX(BookQ4,2151)*(5-MIN(4,4+'5. Scenarios'!$B$8))/4)*'5. Scenarios'!$B$6/(1+ProductivityDefault*('5. Scenarios'!$B$11-1))+INDEX(BookOneOff,2151)*$D2156)</f>
        <v/>
      </c>
      <c r="I2156" s="56" t="str">
        <f aca="false">IF(INDEX(BookTitle,2151)="","",INDEX(BookTotal,2151)*'5. Scenarios'!$C$6/(1+ProductivityDefault*('5. Scenarios'!$C$11-1)))</f>
        <v/>
      </c>
      <c r="J2156" s="57" t="str">
        <f aca="false">IF($I2156="","",INDEX(BookRate,2151)*(1+'5. Scenarios'!$C$10)*$I2156)</f>
        <v/>
      </c>
      <c r="K2156" s="57" t="str">
        <f aca="false">IF($J2156="","",SUMIFS($J$6:$J$2405,$A$6:$A$2405,"&lt;="&amp;$A2156))</f>
        <v/>
      </c>
      <c r="L2156" s="57" t="str">
        <f aca="false">IF($J2156="","",IF($K2156&lt;=BankCostEnvelope*'5. Scenarios'!$C$7,1,0))</f>
        <v/>
      </c>
      <c r="M2156" s="57" t="str">
        <f aca="false">IF($I2156="","",INDEX(BookRate,2151)*(1+'5. Scenarios'!$C$10)*(INDEX(BookQ1,2151)*(5-MIN(4,1+'5. Scenarios'!$C$8))/4+INDEX(BookQ2,2151)*(5-MIN(4,2+'5. Scenarios'!$C$8))/4+INDEX(BookQ3,2151)*(5-MIN(4,3+'5. Scenarios'!$C$8))/4+INDEX(BookQ4,2151)*(5-MIN(4,4+'5. Scenarios'!$C$8))/4)*'5. Scenarios'!$C$6/(1+ProductivityDefault*('5. Scenarios'!$C$11-1))+INDEX(BookOneOff,2151)*$I2156)</f>
        <v/>
      </c>
      <c r="N2156" s="56" t="str">
        <f aca="false">IF(INDEX(BookTitle,2151)="","",INDEX(BookTotal,2151)*'5. Scenarios'!$D$6/(1+ProductivityDefault*('5. Scenarios'!$D$11-1)))</f>
        <v/>
      </c>
      <c r="O2156" s="57" t="str">
        <f aca="false">IF($N2156="","",INDEX(BookRate,2151)*(1+'5. Scenarios'!$D$10)*$N2156)</f>
        <v/>
      </c>
      <c r="P2156" s="57" t="str">
        <f aca="false">IF($O2156="","",SUMIFS($O$6:$O$2405,$A$6:$A$2405,"&lt;="&amp;$A2156))</f>
        <v/>
      </c>
      <c r="Q2156" s="57" t="str">
        <f aca="false">IF($O2156="","",IF($P2156&lt;=BankCostEnvelope*'5. Scenarios'!$D$7,1,0))</f>
        <v/>
      </c>
      <c r="R2156" s="57" t="str">
        <f aca="false">IF($N2156="","",INDEX(BookRate,2151)*(1+'5. Scenarios'!$D$10)*(INDEX(BookQ1,2151)*(5-MIN(4,1+'5. Scenarios'!$D$8))/4+INDEX(BookQ2,2151)*(5-MIN(4,2+'5. Scenarios'!$D$8))/4+INDEX(BookQ3,2151)*(5-MIN(4,3+'5. Scenarios'!$D$8))/4+INDEX(BookQ4,2151)*(5-MIN(4,4+'5. Scenarios'!$D$8))/4)*'5. Scenarios'!$D$6/(1+ProductivityDefault*('5. Scenarios'!$D$11-1))+INDEX(BookOneOff,2151)*$N2156)</f>
        <v/>
      </c>
      <c r="S2156" s="56" t="str">
        <f aca="false">IF(INDEX(BookTitle,2151)="","",INDEX(BookTotal,2151)*'5. Scenarios'!$E$6/(1+ProductivityDefault*('5. Scenarios'!$E$11-1)))</f>
        <v/>
      </c>
      <c r="T2156" s="57" t="str">
        <f aca="false">IF($S2156="","",INDEX(BookRate,2151)*(1+'5. Scenarios'!$E$10)*$S2156)</f>
        <v/>
      </c>
      <c r="U2156" s="57" t="str">
        <f aca="false">IF($T2156="","",SUMIFS($T$6:$T$2405,$A$6:$A$2405,"&lt;="&amp;$A2156))</f>
        <v/>
      </c>
      <c r="V2156" s="57" t="str">
        <f aca="false">IF($T2156="","",IF($U2156&lt;=BankCostEnvelope*'5. Scenarios'!$E$7,1,0))</f>
        <v/>
      </c>
      <c r="W2156" s="57" t="str">
        <f aca="false">IF($S2156="","",INDEX(BookRate,2151)*(1+'5. Scenarios'!$E$10)*(INDEX(BookQ1,2151)*(5-MIN(4,1+'5. Scenarios'!$E$8))/4+INDEX(BookQ2,2151)*(5-MIN(4,2+'5. Scenarios'!$E$8))/4+INDEX(BookQ3,2151)*(5-MIN(4,3+'5. Scenarios'!$E$8))/4+INDEX(BookQ4,2151)*(5-MIN(4,4+'5. Scenarios'!$E$8))/4)*'5. Scenarios'!$E$6/(1+ProductivityDefault*('5. Scenarios'!$E$11-1))+INDEX(BookOneOff,2151)*$S2156)</f>
        <v/>
      </c>
    </row>
    <row r="2157" customFormat="false" ht="15" hidden="false" customHeight="false" outlineLevel="0" collapsed="false">
      <c r="A2157" s="0" t="str">
        <f aca="false">IF(INDEX(BookTitle,2152)="","",INDEX(BookKey,2152))</f>
        <v/>
      </c>
      <c r="B2157" s="0" t="str">
        <f aca="false">IF(INDEX(BookTitle,2152)="","",INDEX(BookGroup,2152))</f>
        <v/>
      </c>
      <c r="C2157" s="0" t="str">
        <f aca="false">IF(INDEX(BookTitle,2152)="","",INDEX(BookCategory,2152))</f>
        <v/>
      </c>
      <c r="D2157" s="56" t="str">
        <f aca="false">IF(INDEX(BookTitle,2152)="","",INDEX(BookTotal,2152)*'5. Scenarios'!$B$6/(1+ProductivityDefault*('5. Scenarios'!$B$11-1)))</f>
        <v/>
      </c>
      <c r="E2157" s="57" t="str">
        <f aca="false">IF($D2157="","",INDEX(BookRate,2152)*(1+'5. Scenarios'!$B$10)*$D2157)</f>
        <v/>
      </c>
      <c r="F2157" s="57" t="str">
        <f aca="false">IF($E2157="","",SUMIFS($E$6:$E$2405,$A$6:$A$2405,"&lt;="&amp;$A2157))</f>
        <v/>
      </c>
      <c r="G2157" s="57" t="str">
        <f aca="false">IF($E2157="","",IF($F2157&lt;=BankCostEnvelope*'5. Scenarios'!$B$7,1,0))</f>
        <v/>
      </c>
      <c r="H2157" s="57" t="str">
        <f aca="false">IF($D2157="","",INDEX(BookRate,2152)*(1+'5. Scenarios'!$B$10)*(INDEX(BookQ1,2152)*(5-MIN(4,1+'5. Scenarios'!$B$8))/4+INDEX(BookQ2,2152)*(5-MIN(4,2+'5. Scenarios'!$B$8))/4+INDEX(BookQ3,2152)*(5-MIN(4,3+'5. Scenarios'!$B$8))/4+INDEX(BookQ4,2152)*(5-MIN(4,4+'5. Scenarios'!$B$8))/4)*'5. Scenarios'!$B$6/(1+ProductivityDefault*('5. Scenarios'!$B$11-1))+INDEX(BookOneOff,2152)*$D2157)</f>
        <v/>
      </c>
      <c r="I2157" s="56" t="str">
        <f aca="false">IF(INDEX(BookTitle,2152)="","",INDEX(BookTotal,2152)*'5. Scenarios'!$C$6/(1+ProductivityDefault*('5. Scenarios'!$C$11-1)))</f>
        <v/>
      </c>
      <c r="J2157" s="57" t="str">
        <f aca="false">IF($I2157="","",INDEX(BookRate,2152)*(1+'5. Scenarios'!$C$10)*$I2157)</f>
        <v/>
      </c>
      <c r="K2157" s="57" t="str">
        <f aca="false">IF($J2157="","",SUMIFS($J$6:$J$2405,$A$6:$A$2405,"&lt;="&amp;$A2157))</f>
        <v/>
      </c>
      <c r="L2157" s="57" t="str">
        <f aca="false">IF($J2157="","",IF($K2157&lt;=BankCostEnvelope*'5. Scenarios'!$C$7,1,0))</f>
        <v/>
      </c>
      <c r="M2157" s="57" t="str">
        <f aca="false">IF($I2157="","",INDEX(BookRate,2152)*(1+'5. Scenarios'!$C$10)*(INDEX(BookQ1,2152)*(5-MIN(4,1+'5. Scenarios'!$C$8))/4+INDEX(BookQ2,2152)*(5-MIN(4,2+'5. Scenarios'!$C$8))/4+INDEX(BookQ3,2152)*(5-MIN(4,3+'5. Scenarios'!$C$8))/4+INDEX(BookQ4,2152)*(5-MIN(4,4+'5. Scenarios'!$C$8))/4)*'5. Scenarios'!$C$6/(1+ProductivityDefault*('5. Scenarios'!$C$11-1))+INDEX(BookOneOff,2152)*$I2157)</f>
        <v/>
      </c>
      <c r="N2157" s="56" t="str">
        <f aca="false">IF(INDEX(BookTitle,2152)="","",INDEX(BookTotal,2152)*'5. Scenarios'!$D$6/(1+ProductivityDefault*('5. Scenarios'!$D$11-1)))</f>
        <v/>
      </c>
      <c r="O2157" s="57" t="str">
        <f aca="false">IF($N2157="","",INDEX(BookRate,2152)*(1+'5. Scenarios'!$D$10)*$N2157)</f>
        <v/>
      </c>
      <c r="P2157" s="57" t="str">
        <f aca="false">IF($O2157="","",SUMIFS($O$6:$O$2405,$A$6:$A$2405,"&lt;="&amp;$A2157))</f>
        <v/>
      </c>
      <c r="Q2157" s="57" t="str">
        <f aca="false">IF($O2157="","",IF($P2157&lt;=BankCostEnvelope*'5. Scenarios'!$D$7,1,0))</f>
        <v/>
      </c>
      <c r="R2157" s="57" t="str">
        <f aca="false">IF($N2157="","",INDEX(BookRate,2152)*(1+'5. Scenarios'!$D$10)*(INDEX(BookQ1,2152)*(5-MIN(4,1+'5. Scenarios'!$D$8))/4+INDEX(BookQ2,2152)*(5-MIN(4,2+'5. Scenarios'!$D$8))/4+INDEX(BookQ3,2152)*(5-MIN(4,3+'5. Scenarios'!$D$8))/4+INDEX(BookQ4,2152)*(5-MIN(4,4+'5. Scenarios'!$D$8))/4)*'5. Scenarios'!$D$6/(1+ProductivityDefault*('5. Scenarios'!$D$11-1))+INDEX(BookOneOff,2152)*$N2157)</f>
        <v/>
      </c>
      <c r="S2157" s="56" t="str">
        <f aca="false">IF(INDEX(BookTitle,2152)="","",INDEX(BookTotal,2152)*'5. Scenarios'!$E$6/(1+ProductivityDefault*('5. Scenarios'!$E$11-1)))</f>
        <v/>
      </c>
      <c r="T2157" s="57" t="str">
        <f aca="false">IF($S2157="","",INDEX(BookRate,2152)*(1+'5. Scenarios'!$E$10)*$S2157)</f>
        <v/>
      </c>
      <c r="U2157" s="57" t="str">
        <f aca="false">IF($T2157="","",SUMIFS($T$6:$T$2405,$A$6:$A$2405,"&lt;="&amp;$A2157))</f>
        <v/>
      </c>
      <c r="V2157" s="57" t="str">
        <f aca="false">IF($T2157="","",IF($U2157&lt;=BankCostEnvelope*'5. Scenarios'!$E$7,1,0))</f>
        <v/>
      </c>
      <c r="W2157" s="57" t="str">
        <f aca="false">IF($S2157="","",INDEX(BookRate,2152)*(1+'5. Scenarios'!$E$10)*(INDEX(BookQ1,2152)*(5-MIN(4,1+'5. Scenarios'!$E$8))/4+INDEX(BookQ2,2152)*(5-MIN(4,2+'5. Scenarios'!$E$8))/4+INDEX(BookQ3,2152)*(5-MIN(4,3+'5. Scenarios'!$E$8))/4+INDEX(BookQ4,2152)*(5-MIN(4,4+'5. Scenarios'!$E$8))/4)*'5. Scenarios'!$E$6/(1+ProductivityDefault*('5. Scenarios'!$E$11-1))+INDEX(BookOneOff,2152)*$S2157)</f>
        <v/>
      </c>
    </row>
    <row r="2158" customFormat="false" ht="15" hidden="false" customHeight="false" outlineLevel="0" collapsed="false">
      <c r="A2158" s="0" t="str">
        <f aca="false">IF(INDEX(BookTitle,2153)="","",INDEX(BookKey,2153))</f>
        <v/>
      </c>
      <c r="B2158" s="0" t="str">
        <f aca="false">IF(INDEX(BookTitle,2153)="","",INDEX(BookGroup,2153))</f>
        <v/>
      </c>
      <c r="C2158" s="0" t="str">
        <f aca="false">IF(INDEX(BookTitle,2153)="","",INDEX(BookCategory,2153))</f>
        <v/>
      </c>
      <c r="D2158" s="56" t="str">
        <f aca="false">IF(INDEX(BookTitle,2153)="","",INDEX(BookTotal,2153)*'5. Scenarios'!$B$6/(1+ProductivityDefault*('5. Scenarios'!$B$11-1)))</f>
        <v/>
      </c>
      <c r="E2158" s="57" t="str">
        <f aca="false">IF($D2158="","",INDEX(BookRate,2153)*(1+'5. Scenarios'!$B$10)*$D2158)</f>
        <v/>
      </c>
      <c r="F2158" s="57" t="str">
        <f aca="false">IF($E2158="","",SUMIFS($E$6:$E$2405,$A$6:$A$2405,"&lt;="&amp;$A2158))</f>
        <v/>
      </c>
      <c r="G2158" s="57" t="str">
        <f aca="false">IF($E2158="","",IF($F2158&lt;=BankCostEnvelope*'5. Scenarios'!$B$7,1,0))</f>
        <v/>
      </c>
      <c r="H2158" s="57" t="str">
        <f aca="false">IF($D2158="","",INDEX(BookRate,2153)*(1+'5. Scenarios'!$B$10)*(INDEX(BookQ1,2153)*(5-MIN(4,1+'5. Scenarios'!$B$8))/4+INDEX(BookQ2,2153)*(5-MIN(4,2+'5. Scenarios'!$B$8))/4+INDEX(BookQ3,2153)*(5-MIN(4,3+'5. Scenarios'!$B$8))/4+INDEX(BookQ4,2153)*(5-MIN(4,4+'5. Scenarios'!$B$8))/4)*'5. Scenarios'!$B$6/(1+ProductivityDefault*('5. Scenarios'!$B$11-1))+INDEX(BookOneOff,2153)*$D2158)</f>
        <v/>
      </c>
      <c r="I2158" s="56" t="str">
        <f aca="false">IF(INDEX(BookTitle,2153)="","",INDEX(BookTotal,2153)*'5. Scenarios'!$C$6/(1+ProductivityDefault*('5. Scenarios'!$C$11-1)))</f>
        <v/>
      </c>
      <c r="J2158" s="57" t="str">
        <f aca="false">IF($I2158="","",INDEX(BookRate,2153)*(1+'5. Scenarios'!$C$10)*$I2158)</f>
        <v/>
      </c>
      <c r="K2158" s="57" t="str">
        <f aca="false">IF($J2158="","",SUMIFS($J$6:$J$2405,$A$6:$A$2405,"&lt;="&amp;$A2158))</f>
        <v/>
      </c>
      <c r="L2158" s="57" t="str">
        <f aca="false">IF($J2158="","",IF($K2158&lt;=BankCostEnvelope*'5. Scenarios'!$C$7,1,0))</f>
        <v/>
      </c>
      <c r="M2158" s="57" t="str">
        <f aca="false">IF($I2158="","",INDEX(BookRate,2153)*(1+'5. Scenarios'!$C$10)*(INDEX(BookQ1,2153)*(5-MIN(4,1+'5. Scenarios'!$C$8))/4+INDEX(BookQ2,2153)*(5-MIN(4,2+'5. Scenarios'!$C$8))/4+INDEX(BookQ3,2153)*(5-MIN(4,3+'5. Scenarios'!$C$8))/4+INDEX(BookQ4,2153)*(5-MIN(4,4+'5. Scenarios'!$C$8))/4)*'5. Scenarios'!$C$6/(1+ProductivityDefault*('5. Scenarios'!$C$11-1))+INDEX(BookOneOff,2153)*$I2158)</f>
        <v/>
      </c>
      <c r="N2158" s="56" t="str">
        <f aca="false">IF(INDEX(BookTitle,2153)="","",INDEX(BookTotal,2153)*'5. Scenarios'!$D$6/(1+ProductivityDefault*('5. Scenarios'!$D$11-1)))</f>
        <v/>
      </c>
      <c r="O2158" s="57" t="str">
        <f aca="false">IF($N2158="","",INDEX(BookRate,2153)*(1+'5. Scenarios'!$D$10)*$N2158)</f>
        <v/>
      </c>
      <c r="P2158" s="57" t="str">
        <f aca="false">IF($O2158="","",SUMIFS($O$6:$O$2405,$A$6:$A$2405,"&lt;="&amp;$A2158))</f>
        <v/>
      </c>
      <c r="Q2158" s="57" t="str">
        <f aca="false">IF($O2158="","",IF($P2158&lt;=BankCostEnvelope*'5. Scenarios'!$D$7,1,0))</f>
        <v/>
      </c>
      <c r="R2158" s="57" t="str">
        <f aca="false">IF($N2158="","",INDEX(BookRate,2153)*(1+'5. Scenarios'!$D$10)*(INDEX(BookQ1,2153)*(5-MIN(4,1+'5. Scenarios'!$D$8))/4+INDEX(BookQ2,2153)*(5-MIN(4,2+'5. Scenarios'!$D$8))/4+INDEX(BookQ3,2153)*(5-MIN(4,3+'5. Scenarios'!$D$8))/4+INDEX(BookQ4,2153)*(5-MIN(4,4+'5. Scenarios'!$D$8))/4)*'5. Scenarios'!$D$6/(1+ProductivityDefault*('5. Scenarios'!$D$11-1))+INDEX(BookOneOff,2153)*$N2158)</f>
        <v/>
      </c>
      <c r="S2158" s="56" t="str">
        <f aca="false">IF(INDEX(BookTitle,2153)="","",INDEX(BookTotal,2153)*'5. Scenarios'!$E$6/(1+ProductivityDefault*('5. Scenarios'!$E$11-1)))</f>
        <v/>
      </c>
      <c r="T2158" s="57" t="str">
        <f aca="false">IF($S2158="","",INDEX(BookRate,2153)*(1+'5. Scenarios'!$E$10)*$S2158)</f>
        <v/>
      </c>
      <c r="U2158" s="57" t="str">
        <f aca="false">IF($T2158="","",SUMIFS($T$6:$T$2405,$A$6:$A$2405,"&lt;="&amp;$A2158))</f>
        <v/>
      </c>
      <c r="V2158" s="57" t="str">
        <f aca="false">IF($T2158="","",IF($U2158&lt;=BankCostEnvelope*'5. Scenarios'!$E$7,1,0))</f>
        <v/>
      </c>
      <c r="W2158" s="57" t="str">
        <f aca="false">IF($S2158="","",INDEX(BookRate,2153)*(1+'5. Scenarios'!$E$10)*(INDEX(BookQ1,2153)*(5-MIN(4,1+'5. Scenarios'!$E$8))/4+INDEX(BookQ2,2153)*(5-MIN(4,2+'5. Scenarios'!$E$8))/4+INDEX(BookQ3,2153)*(5-MIN(4,3+'5. Scenarios'!$E$8))/4+INDEX(BookQ4,2153)*(5-MIN(4,4+'5. Scenarios'!$E$8))/4)*'5. Scenarios'!$E$6/(1+ProductivityDefault*('5. Scenarios'!$E$11-1))+INDEX(BookOneOff,2153)*$S2158)</f>
        <v/>
      </c>
    </row>
    <row r="2159" customFormat="false" ht="15" hidden="false" customHeight="false" outlineLevel="0" collapsed="false">
      <c r="A2159" s="0" t="str">
        <f aca="false">IF(INDEX(BookTitle,2154)="","",INDEX(BookKey,2154))</f>
        <v/>
      </c>
      <c r="B2159" s="0" t="str">
        <f aca="false">IF(INDEX(BookTitle,2154)="","",INDEX(BookGroup,2154))</f>
        <v/>
      </c>
      <c r="C2159" s="0" t="str">
        <f aca="false">IF(INDEX(BookTitle,2154)="","",INDEX(BookCategory,2154))</f>
        <v/>
      </c>
      <c r="D2159" s="56" t="str">
        <f aca="false">IF(INDEX(BookTitle,2154)="","",INDEX(BookTotal,2154)*'5. Scenarios'!$B$6/(1+ProductivityDefault*('5. Scenarios'!$B$11-1)))</f>
        <v/>
      </c>
      <c r="E2159" s="57" t="str">
        <f aca="false">IF($D2159="","",INDEX(BookRate,2154)*(1+'5. Scenarios'!$B$10)*$D2159)</f>
        <v/>
      </c>
      <c r="F2159" s="57" t="str">
        <f aca="false">IF($E2159="","",SUMIFS($E$6:$E$2405,$A$6:$A$2405,"&lt;="&amp;$A2159))</f>
        <v/>
      </c>
      <c r="G2159" s="57" t="str">
        <f aca="false">IF($E2159="","",IF($F2159&lt;=BankCostEnvelope*'5. Scenarios'!$B$7,1,0))</f>
        <v/>
      </c>
      <c r="H2159" s="57" t="str">
        <f aca="false">IF($D2159="","",INDEX(BookRate,2154)*(1+'5. Scenarios'!$B$10)*(INDEX(BookQ1,2154)*(5-MIN(4,1+'5. Scenarios'!$B$8))/4+INDEX(BookQ2,2154)*(5-MIN(4,2+'5. Scenarios'!$B$8))/4+INDEX(BookQ3,2154)*(5-MIN(4,3+'5. Scenarios'!$B$8))/4+INDEX(BookQ4,2154)*(5-MIN(4,4+'5. Scenarios'!$B$8))/4)*'5. Scenarios'!$B$6/(1+ProductivityDefault*('5. Scenarios'!$B$11-1))+INDEX(BookOneOff,2154)*$D2159)</f>
        <v/>
      </c>
      <c r="I2159" s="56" t="str">
        <f aca="false">IF(INDEX(BookTitle,2154)="","",INDEX(BookTotal,2154)*'5. Scenarios'!$C$6/(1+ProductivityDefault*('5. Scenarios'!$C$11-1)))</f>
        <v/>
      </c>
      <c r="J2159" s="57" t="str">
        <f aca="false">IF($I2159="","",INDEX(BookRate,2154)*(1+'5. Scenarios'!$C$10)*$I2159)</f>
        <v/>
      </c>
      <c r="K2159" s="57" t="str">
        <f aca="false">IF($J2159="","",SUMIFS($J$6:$J$2405,$A$6:$A$2405,"&lt;="&amp;$A2159))</f>
        <v/>
      </c>
      <c r="L2159" s="57" t="str">
        <f aca="false">IF($J2159="","",IF($K2159&lt;=BankCostEnvelope*'5. Scenarios'!$C$7,1,0))</f>
        <v/>
      </c>
      <c r="M2159" s="57" t="str">
        <f aca="false">IF($I2159="","",INDEX(BookRate,2154)*(1+'5. Scenarios'!$C$10)*(INDEX(BookQ1,2154)*(5-MIN(4,1+'5. Scenarios'!$C$8))/4+INDEX(BookQ2,2154)*(5-MIN(4,2+'5. Scenarios'!$C$8))/4+INDEX(BookQ3,2154)*(5-MIN(4,3+'5. Scenarios'!$C$8))/4+INDEX(BookQ4,2154)*(5-MIN(4,4+'5. Scenarios'!$C$8))/4)*'5. Scenarios'!$C$6/(1+ProductivityDefault*('5. Scenarios'!$C$11-1))+INDEX(BookOneOff,2154)*$I2159)</f>
        <v/>
      </c>
      <c r="N2159" s="56" t="str">
        <f aca="false">IF(INDEX(BookTitle,2154)="","",INDEX(BookTotal,2154)*'5. Scenarios'!$D$6/(1+ProductivityDefault*('5. Scenarios'!$D$11-1)))</f>
        <v/>
      </c>
      <c r="O2159" s="57" t="str">
        <f aca="false">IF($N2159="","",INDEX(BookRate,2154)*(1+'5. Scenarios'!$D$10)*$N2159)</f>
        <v/>
      </c>
      <c r="P2159" s="57" t="str">
        <f aca="false">IF($O2159="","",SUMIFS($O$6:$O$2405,$A$6:$A$2405,"&lt;="&amp;$A2159))</f>
        <v/>
      </c>
      <c r="Q2159" s="57" t="str">
        <f aca="false">IF($O2159="","",IF($P2159&lt;=BankCostEnvelope*'5. Scenarios'!$D$7,1,0))</f>
        <v/>
      </c>
      <c r="R2159" s="57" t="str">
        <f aca="false">IF($N2159="","",INDEX(BookRate,2154)*(1+'5. Scenarios'!$D$10)*(INDEX(BookQ1,2154)*(5-MIN(4,1+'5. Scenarios'!$D$8))/4+INDEX(BookQ2,2154)*(5-MIN(4,2+'5. Scenarios'!$D$8))/4+INDEX(BookQ3,2154)*(5-MIN(4,3+'5. Scenarios'!$D$8))/4+INDEX(BookQ4,2154)*(5-MIN(4,4+'5. Scenarios'!$D$8))/4)*'5. Scenarios'!$D$6/(1+ProductivityDefault*('5. Scenarios'!$D$11-1))+INDEX(BookOneOff,2154)*$N2159)</f>
        <v/>
      </c>
      <c r="S2159" s="56" t="str">
        <f aca="false">IF(INDEX(BookTitle,2154)="","",INDEX(BookTotal,2154)*'5. Scenarios'!$E$6/(1+ProductivityDefault*('5. Scenarios'!$E$11-1)))</f>
        <v/>
      </c>
      <c r="T2159" s="57" t="str">
        <f aca="false">IF($S2159="","",INDEX(BookRate,2154)*(1+'5. Scenarios'!$E$10)*$S2159)</f>
        <v/>
      </c>
      <c r="U2159" s="57" t="str">
        <f aca="false">IF($T2159="","",SUMIFS($T$6:$T$2405,$A$6:$A$2405,"&lt;="&amp;$A2159))</f>
        <v/>
      </c>
      <c r="V2159" s="57" t="str">
        <f aca="false">IF($T2159="","",IF($U2159&lt;=BankCostEnvelope*'5. Scenarios'!$E$7,1,0))</f>
        <v/>
      </c>
      <c r="W2159" s="57" t="str">
        <f aca="false">IF($S2159="","",INDEX(BookRate,2154)*(1+'5. Scenarios'!$E$10)*(INDEX(BookQ1,2154)*(5-MIN(4,1+'5. Scenarios'!$E$8))/4+INDEX(BookQ2,2154)*(5-MIN(4,2+'5. Scenarios'!$E$8))/4+INDEX(BookQ3,2154)*(5-MIN(4,3+'5. Scenarios'!$E$8))/4+INDEX(BookQ4,2154)*(5-MIN(4,4+'5. Scenarios'!$E$8))/4)*'5. Scenarios'!$E$6/(1+ProductivityDefault*('5. Scenarios'!$E$11-1))+INDEX(BookOneOff,2154)*$S2159)</f>
        <v/>
      </c>
    </row>
    <row r="2160" customFormat="false" ht="15" hidden="false" customHeight="false" outlineLevel="0" collapsed="false">
      <c r="A2160" s="0" t="str">
        <f aca="false">IF(INDEX(BookTitle,2155)="","",INDEX(BookKey,2155))</f>
        <v/>
      </c>
      <c r="B2160" s="0" t="str">
        <f aca="false">IF(INDEX(BookTitle,2155)="","",INDEX(BookGroup,2155))</f>
        <v/>
      </c>
      <c r="C2160" s="0" t="str">
        <f aca="false">IF(INDEX(BookTitle,2155)="","",INDEX(BookCategory,2155))</f>
        <v/>
      </c>
      <c r="D2160" s="56" t="str">
        <f aca="false">IF(INDEX(BookTitle,2155)="","",INDEX(BookTotal,2155)*'5. Scenarios'!$B$6/(1+ProductivityDefault*('5. Scenarios'!$B$11-1)))</f>
        <v/>
      </c>
      <c r="E2160" s="57" t="str">
        <f aca="false">IF($D2160="","",INDEX(BookRate,2155)*(1+'5. Scenarios'!$B$10)*$D2160)</f>
        <v/>
      </c>
      <c r="F2160" s="57" t="str">
        <f aca="false">IF($E2160="","",SUMIFS($E$6:$E$2405,$A$6:$A$2405,"&lt;="&amp;$A2160))</f>
        <v/>
      </c>
      <c r="G2160" s="57" t="str">
        <f aca="false">IF($E2160="","",IF($F2160&lt;=BankCostEnvelope*'5. Scenarios'!$B$7,1,0))</f>
        <v/>
      </c>
      <c r="H2160" s="57" t="str">
        <f aca="false">IF($D2160="","",INDEX(BookRate,2155)*(1+'5. Scenarios'!$B$10)*(INDEX(BookQ1,2155)*(5-MIN(4,1+'5. Scenarios'!$B$8))/4+INDEX(BookQ2,2155)*(5-MIN(4,2+'5. Scenarios'!$B$8))/4+INDEX(BookQ3,2155)*(5-MIN(4,3+'5. Scenarios'!$B$8))/4+INDEX(BookQ4,2155)*(5-MIN(4,4+'5. Scenarios'!$B$8))/4)*'5. Scenarios'!$B$6/(1+ProductivityDefault*('5. Scenarios'!$B$11-1))+INDEX(BookOneOff,2155)*$D2160)</f>
        <v/>
      </c>
      <c r="I2160" s="56" t="str">
        <f aca="false">IF(INDEX(BookTitle,2155)="","",INDEX(BookTotal,2155)*'5. Scenarios'!$C$6/(1+ProductivityDefault*('5. Scenarios'!$C$11-1)))</f>
        <v/>
      </c>
      <c r="J2160" s="57" t="str">
        <f aca="false">IF($I2160="","",INDEX(BookRate,2155)*(1+'5. Scenarios'!$C$10)*$I2160)</f>
        <v/>
      </c>
      <c r="K2160" s="57" t="str">
        <f aca="false">IF($J2160="","",SUMIFS($J$6:$J$2405,$A$6:$A$2405,"&lt;="&amp;$A2160))</f>
        <v/>
      </c>
      <c r="L2160" s="57" t="str">
        <f aca="false">IF($J2160="","",IF($K2160&lt;=BankCostEnvelope*'5. Scenarios'!$C$7,1,0))</f>
        <v/>
      </c>
      <c r="M2160" s="57" t="str">
        <f aca="false">IF($I2160="","",INDEX(BookRate,2155)*(1+'5. Scenarios'!$C$10)*(INDEX(BookQ1,2155)*(5-MIN(4,1+'5. Scenarios'!$C$8))/4+INDEX(BookQ2,2155)*(5-MIN(4,2+'5. Scenarios'!$C$8))/4+INDEX(BookQ3,2155)*(5-MIN(4,3+'5. Scenarios'!$C$8))/4+INDEX(BookQ4,2155)*(5-MIN(4,4+'5. Scenarios'!$C$8))/4)*'5. Scenarios'!$C$6/(1+ProductivityDefault*('5. Scenarios'!$C$11-1))+INDEX(BookOneOff,2155)*$I2160)</f>
        <v/>
      </c>
      <c r="N2160" s="56" t="str">
        <f aca="false">IF(INDEX(BookTitle,2155)="","",INDEX(BookTotal,2155)*'5. Scenarios'!$D$6/(1+ProductivityDefault*('5. Scenarios'!$D$11-1)))</f>
        <v/>
      </c>
      <c r="O2160" s="57" t="str">
        <f aca="false">IF($N2160="","",INDEX(BookRate,2155)*(1+'5. Scenarios'!$D$10)*$N2160)</f>
        <v/>
      </c>
      <c r="P2160" s="57" t="str">
        <f aca="false">IF($O2160="","",SUMIFS($O$6:$O$2405,$A$6:$A$2405,"&lt;="&amp;$A2160))</f>
        <v/>
      </c>
      <c r="Q2160" s="57" t="str">
        <f aca="false">IF($O2160="","",IF($P2160&lt;=BankCostEnvelope*'5. Scenarios'!$D$7,1,0))</f>
        <v/>
      </c>
      <c r="R2160" s="57" t="str">
        <f aca="false">IF($N2160="","",INDEX(BookRate,2155)*(1+'5. Scenarios'!$D$10)*(INDEX(BookQ1,2155)*(5-MIN(4,1+'5. Scenarios'!$D$8))/4+INDEX(BookQ2,2155)*(5-MIN(4,2+'5. Scenarios'!$D$8))/4+INDEX(BookQ3,2155)*(5-MIN(4,3+'5. Scenarios'!$D$8))/4+INDEX(BookQ4,2155)*(5-MIN(4,4+'5. Scenarios'!$D$8))/4)*'5. Scenarios'!$D$6/(1+ProductivityDefault*('5. Scenarios'!$D$11-1))+INDEX(BookOneOff,2155)*$N2160)</f>
        <v/>
      </c>
      <c r="S2160" s="56" t="str">
        <f aca="false">IF(INDEX(BookTitle,2155)="","",INDEX(BookTotal,2155)*'5. Scenarios'!$E$6/(1+ProductivityDefault*('5. Scenarios'!$E$11-1)))</f>
        <v/>
      </c>
      <c r="T2160" s="57" t="str">
        <f aca="false">IF($S2160="","",INDEX(BookRate,2155)*(1+'5. Scenarios'!$E$10)*$S2160)</f>
        <v/>
      </c>
      <c r="U2160" s="57" t="str">
        <f aca="false">IF($T2160="","",SUMIFS($T$6:$T$2405,$A$6:$A$2405,"&lt;="&amp;$A2160))</f>
        <v/>
      </c>
      <c r="V2160" s="57" t="str">
        <f aca="false">IF($T2160="","",IF($U2160&lt;=BankCostEnvelope*'5. Scenarios'!$E$7,1,0))</f>
        <v/>
      </c>
      <c r="W2160" s="57" t="str">
        <f aca="false">IF($S2160="","",INDEX(BookRate,2155)*(1+'5. Scenarios'!$E$10)*(INDEX(BookQ1,2155)*(5-MIN(4,1+'5. Scenarios'!$E$8))/4+INDEX(BookQ2,2155)*(5-MIN(4,2+'5. Scenarios'!$E$8))/4+INDEX(BookQ3,2155)*(5-MIN(4,3+'5. Scenarios'!$E$8))/4+INDEX(BookQ4,2155)*(5-MIN(4,4+'5. Scenarios'!$E$8))/4)*'5. Scenarios'!$E$6/(1+ProductivityDefault*('5. Scenarios'!$E$11-1))+INDEX(BookOneOff,2155)*$S2160)</f>
        <v/>
      </c>
    </row>
    <row r="2161" customFormat="false" ht="15" hidden="false" customHeight="false" outlineLevel="0" collapsed="false">
      <c r="A2161" s="0" t="str">
        <f aca="false">IF(INDEX(BookTitle,2156)="","",INDEX(BookKey,2156))</f>
        <v/>
      </c>
      <c r="B2161" s="0" t="str">
        <f aca="false">IF(INDEX(BookTitle,2156)="","",INDEX(BookGroup,2156))</f>
        <v/>
      </c>
      <c r="C2161" s="0" t="str">
        <f aca="false">IF(INDEX(BookTitle,2156)="","",INDEX(BookCategory,2156))</f>
        <v/>
      </c>
      <c r="D2161" s="56" t="str">
        <f aca="false">IF(INDEX(BookTitle,2156)="","",INDEX(BookTotal,2156)*'5. Scenarios'!$B$6/(1+ProductivityDefault*('5. Scenarios'!$B$11-1)))</f>
        <v/>
      </c>
      <c r="E2161" s="57" t="str">
        <f aca="false">IF($D2161="","",INDEX(BookRate,2156)*(1+'5. Scenarios'!$B$10)*$D2161)</f>
        <v/>
      </c>
      <c r="F2161" s="57" t="str">
        <f aca="false">IF($E2161="","",SUMIFS($E$6:$E$2405,$A$6:$A$2405,"&lt;="&amp;$A2161))</f>
        <v/>
      </c>
      <c r="G2161" s="57" t="str">
        <f aca="false">IF($E2161="","",IF($F2161&lt;=BankCostEnvelope*'5. Scenarios'!$B$7,1,0))</f>
        <v/>
      </c>
      <c r="H2161" s="57" t="str">
        <f aca="false">IF($D2161="","",INDEX(BookRate,2156)*(1+'5. Scenarios'!$B$10)*(INDEX(BookQ1,2156)*(5-MIN(4,1+'5. Scenarios'!$B$8))/4+INDEX(BookQ2,2156)*(5-MIN(4,2+'5. Scenarios'!$B$8))/4+INDEX(BookQ3,2156)*(5-MIN(4,3+'5. Scenarios'!$B$8))/4+INDEX(BookQ4,2156)*(5-MIN(4,4+'5. Scenarios'!$B$8))/4)*'5. Scenarios'!$B$6/(1+ProductivityDefault*('5. Scenarios'!$B$11-1))+INDEX(BookOneOff,2156)*$D2161)</f>
        <v/>
      </c>
      <c r="I2161" s="56" t="str">
        <f aca="false">IF(INDEX(BookTitle,2156)="","",INDEX(BookTotal,2156)*'5. Scenarios'!$C$6/(1+ProductivityDefault*('5. Scenarios'!$C$11-1)))</f>
        <v/>
      </c>
      <c r="J2161" s="57" t="str">
        <f aca="false">IF($I2161="","",INDEX(BookRate,2156)*(1+'5. Scenarios'!$C$10)*$I2161)</f>
        <v/>
      </c>
      <c r="K2161" s="57" t="str">
        <f aca="false">IF($J2161="","",SUMIFS($J$6:$J$2405,$A$6:$A$2405,"&lt;="&amp;$A2161))</f>
        <v/>
      </c>
      <c r="L2161" s="57" t="str">
        <f aca="false">IF($J2161="","",IF($K2161&lt;=BankCostEnvelope*'5. Scenarios'!$C$7,1,0))</f>
        <v/>
      </c>
      <c r="M2161" s="57" t="str">
        <f aca="false">IF($I2161="","",INDEX(BookRate,2156)*(1+'5. Scenarios'!$C$10)*(INDEX(BookQ1,2156)*(5-MIN(4,1+'5. Scenarios'!$C$8))/4+INDEX(BookQ2,2156)*(5-MIN(4,2+'5. Scenarios'!$C$8))/4+INDEX(BookQ3,2156)*(5-MIN(4,3+'5. Scenarios'!$C$8))/4+INDEX(BookQ4,2156)*(5-MIN(4,4+'5. Scenarios'!$C$8))/4)*'5. Scenarios'!$C$6/(1+ProductivityDefault*('5. Scenarios'!$C$11-1))+INDEX(BookOneOff,2156)*$I2161)</f>
        <v/>
      </c>
      <c r="N2161" s="56" t="str">
        <f aca="false">IF(INDEX(BookTitle,2156)="","",INDEX(BookTotal,2156)*'5. Scenarios'!$D$6/(1+ProductivityDefault*('5. Scenarios'!$D$11-1)))</f>
        <v/>
      </c>
      <c r="O2161" s="57" t="str">
        <f aca="false">IF($N2161="","",INDEX(BookRate,2156)*(1+'5. Scenarios'!$D$10)*$N2161)</f>
        <v/>
      </c>
      <c r="P2161" s="57" t="str">
        <f aca="false">IF($O2161="","",SUMIFS($O$6:$O$2405,$A$6:$A$2405,"&lt;="&amp;$A2161))</f>
        <v/>
      </c>
      <c r="Q2161" s="57" t="str">
        <f aca="false">IF($O2161="","",IF($P2161&lt;=BankCostEnvelope*'5. Scenarios'!$D$7,1,0))</f>
        <v/>
      </c>
      <c r="R2161" s="57" t="str">
        <f aca="false">IF($N2161="","",INDEX(BookRate,2156)*(1+'5. Scenarios'!$D$10)*(INDEX(BookQ1,2156)*(5-MIN(4,1+'5. Scenarios'!$D$8))/4+INDEX(BookQ2,2156)*(5-MIN(4,2+'5. Scenarios'!$D$8))/4+INDEX(BookQ3,2156)*(5-MIN(4,3+'5. Scenarios'!$D$8))/4+INDEX(BookQ4,2156)*(5-MIN(4,4+'5. Scenarios'!$D$8))/4)*'5. Scenarios'!$D$6/(1+ProductivityDefault*('5. Scenarios'!$D$11-1))+INDEX(BookOneOff,2156)*$N2161)</f>
        <v/>
      </c>
      <c r="S2161" s="56" t="str">
        <f aca="false">IF(INDEX(BookTitle,2156)="","",INDEX(BookTotal,2156)*'5. Scenarios'!$E$6/(1+ProductivityDefault*('5. Scenarios'!$E$11-1)))</f>
        <v/>
      </c>
      <c r="T2161" s="57" t="str">
        <f aca="false">IF($S2161="","",INDEX(BookRate,2156)*(1+'5. Scenarios'!$E$10)*$S2161)</f>
        <v/>
      </c>
      <c r="U2161" s="57" t="str">
        <f aca="false">IF($T2161="","",SUMIFS($T$6:$T$2405,$A$6:$A$2405,"&lt;="&amp;$A2161))</f>
        <v/>
      </c>
      <c r="V2161" s="57" t="str">
        <f aca="false">IF($T2161="","",IF($U2161&lt;=BankCostEnvelope*'5. Scenarios'!$E$7,1,0))</f>
        <v/>
      </c>
      <c r="W2161" s="57" t="str">
        <f aca="false">IF($S2161="","",INDEX(BookRate,2156)*(1+'5. Scenarios'!$E$10)*(INDEX(BookQ1,2156)*(5-MIN(4,1+'5. Scenarios'!$E$8))/4+INDEX(BookQ2,2156)*(5-MIN(4,2+'5. Scenarios'!$E$8))/4+INDEX(BookQ3,2156)*(5-MIN(4,3+'5. Scenarios'!$E$8))/4+INDEX(BookQ4,2156)*(5-MIN(4,4+'5. Scenarios'!$E$8))/4)*'5. Scenarios'!$E$6/(1+ProductivityDefault*('5. Scenarios'!$E$11-1))+INDEX(BookOneOff,2156)*$S2161)</f>
        <v/>
      </c>
    </row>
    <row r="2162" customFormat="false" ht="15" hidden="false" customHeight="false" outlineLevel="0" collapsed="false">
      <c r="A2162" s="0" t="str">
        <f aca="false">IF(INDEX(BookTitle,2157)="","",INDEX(BookKey,2157))</f>
        <v/>
      </c>
      <c r="B2162" s="0" t="str">
        <f aca="false">IF(INDEX(BookTitle,2157)="","",INDEX(BookGroup,2157))</f>
        <v/>
      </c>
      <c r="C2162" s="0" t="str">
        <f aca="false">IF(INDEX(BookTitle,2157)="","",INDEX(BookCategory,2157))</f>
        <v/>
      </c>
      <c r="D2162" s="56" t="str">
        <f aca="false">IF(INDEX(BookTitle,2157)="","",INDEX(BookTotal,2157)*'5. Scenarios'!$B$6/(1+ProductivityDefault*('5. Scenarios'!$B$11-1)))</f>
        <v/>
      </c>
      <c r="E2162" s="57" t="str">
        <f aca="false">IF($D2162="","",INDEX(BookRate,2157)*(1+'5. Scenarios'!$B$10)*$D2162)</f>
        <v/>
      </c>
      <c r="F2162" s="57" t="str">
        <f aca="false">IF($E2162="","",SUMIFS($E$6:$E$2405,$A$6:$A$2405,"&lt;="&amp;$A2162))</f>
        <v/>
      </c>
      <c r="G2162" s="57" t="str">
        <f aca="false">IF($E2162="","",IF($F2162&lt;=BankCostEnvelope*'5. Scenarios'!$B$7,1,0))</f>
        <v/>
      </c>
      <c r="H2162" s="57" t="str">
        <f aca="false">IF($D2162="","",INDEX(BookRate,2157)*(1+'5. Scenarios'!$B$10)*(INDEX(BookQ1,2157)*(5-MIN(4,1+'5. Scenarios'!$B$8))/4+INDEX(BookQ2,2157)*(5-MIN(4,2+'5. Scenarios'!$B$8))/4+INDEX(BookQ3,2157)*(5-MIN(4,3+'5. Scenarios'!$B$8))/4+INDEX(BookQ4,2157)*(5-MIN(4,4+'5. Scenarios'!$B$8))/4)*'5. Scenarios'!$B$6/(1+ProductivityDefault*('5. Scenarios'!$B$11-1))+INDEX(BookOneOff,2157)*$D2162)</f>
        <v/>
      </c>
      <c r="I2162" s="56" t="str">
        <f aca="false">IF(INDEX(BookTitle,2157)="","",INDEX(BookTotal,2157)*'5. Scenarios'!$C$6/(1+ProductivityDefault*('5. Scenarios'!$C$11-1)))</f>
        <v/>
      </c>
      <c r="J2162" s="57" t="str">
        <f aca="false">IF($I2162="","",INDEX(BookRate,2157)*(1+'5. Scenarios'!$C$10)*$I2162)</f>
        <v/>
      </c>
      <c r="K2162" s="57" t="str">
        <f aca="false">IF($J2162="","",SUMIFS($J$6:$J$2405,$A$6:$A$2405,"&lt;="&amp;$A2162))</f>
        <v/>
      </c>
      <c r="L2162" s="57" t="str">
        <f aca="false">IF($J2162="","",IF($K2162&lt;=BankCostEnvelope*'5. Scenarios'!$C$7,1,0))</f>
        <v/>
      </c>
      <c r="M2162" s="57" t="str">
        <f aca="false">IF($I2162="","",INDEX(BookRate,2157)*(1+'5. Scenarios'!$C$10)*(INDEX(BookQ1,2157)*(5-MIN(4,1+'5. Scenarios'!$C$8))/4+INDEX(BookQ2,2157)*(5-MIN(4,2+'5. Scenarios'!$C$8))/4+INDEX(BookQ3,2157)*(5-MIN(4,3+'5. Scenarios'!$C$8))/4+INDEX(BookQ4,2157)*(5-MIN(4,4+'5. Scenarios'!$C$8))/4)*'5. Scenarios'!$C$6/(1+ProductivityDefault*('5. Scenarios'!$C$11-1))+INDEX(BookOneOff,2157)*$I2162)</f>
        <v/>
      </c>
      <c r="N2162" s="56" t="str">
        <f aca="false">IF(INDEX(BookTitle,2157)="","",INDEX(BookTotal,2157)*'5. Scenarios'!$D$6/(1+ProductivityDefault*('5. Scenarios'!$D$11-1)))</f>
        <v/>
      </c>
      <c r="O2162" s="57" t="str">
        <f aca="false">IF($N2162="","",INDEX(BookRate,2157)*(1+'5. Scenarios'!$D$10)*$N2162)</f>
        <v/>
      </c>
      <c r="P2162" s="57" t="str">
        <f aca="false">IF($O2162="","",SUMIFS($O$6:$O$2405,$A$6:$A$2405,"&lt;="&amp;$A2162))</f>
        <v/>
      </c>
      <c r="Q2162" s="57" t="str">
        <f aca="false">IF($O2162="","",IF($P2162&lt;=BankCostEnvelope*'5. Scenarios'!$D$7,1,0))</f>
        <v/>
      </c>
      <c r="R2162" s="57" t="str">
        <f aca="false">IF($N2162="","",INDEX(BookRate,2157)*(1+'5. Scenarios'!$D$10)*(INDEX(BookQ1,2157)*(5-MIN(4,1+'5. Scenarios'!$D$8))/4+INDEX(BookQ2,2157)*(5-MIN(4,2+'5. Scenarios'!$D$8))/4+INDEX(BookQ3,2157)*(5-MIN(4,3+'5. Scenarios'!$D$8))/4+INDEX(BookQ4,2157)*(5-MIN(4,4+'5. Scenarios'!$D$8))/4)*'5. Scenarios'!$D$6/(1+ProductivityDefault*('5. Scenarios'!$D$11-1))+INDEX(BookOneOff,2157)*$N2162)</f>
        <v/>
      </c>
      <c r="S2162" s="56" t="str">
        <f aca="false">IF(INDEX(BookTitle,2157)="","",INDEX(BookTotal,2157)*'5. Scenarios'!$E$6/(1+ProductivityDefault*('5. Scenarios'!$E$11-1)))</f>
        <v/>
      </c>
      <c r="T2162" s="57" t="str">
        <f aca="false">IF($S2162="","",INDEX(BookRate,2157)*(1+'5. Scenarios'!$E$10)*$S2162)</f>
        <v/>
      </c>
      <c r="U2162" s="57" t="str">
        <f aca="false">IF($T2162="","",SUMIFS($T$6:$T$2405,$A$6:$A$2405,"&lt;="&amp;$A2162))</f>
        <v/>
      </c>
      <c r="V2162" s="57" t="str">
        <f aca="false">IF($T2162="","",IF($U2162&lt;=BankCostEnvelope*'5. Scenarios'!$E$7,1,0))</f>
        <v/>
      </c>
      <c r="W2162" s="57" t="str">
        <f aca="false">IF($S2162="","",INDEX(BookRate,2157)*(1+'5. Scenarios'!$E$10)*(INDEX(BookQ1,2157)*(5-MIN(4,1+'5. Scenarios'!$E$8))/4+INDEX(BookQ2,2157)*(5-MIN(4,2+'5. Scenarios'!$E$8))/4+INDEX(BookQ3,2157)*(5-MIN(4,3+'5. Scenarios'!$E$8))/4+INDEX(BookQ4,2157)*(5-MIN(4,4+'5. Scenarios'!$E$8))/4)*'5. Scenarios'!$E$6/(1+ProductivityDefault*('5. Scenarios'!$E$11-1))+INDEX(BookOneOff,2157)*$S2162)</f>
        <v/>
      </c>
    </row>
    <row r="2163" customFormat="false" ht="15" hidden="false" customHeight="false" outlineLevel="0" collapsed="false">
      <c r="A2163" s="0" t="str">
        <f aca="false">IF(INDEX(BookTitle,2158)="","",INDEX(BookKey,2158))</f>
        <v/>
      </c>
      <c r="B2163" s="0" t="str">
        <f aca="false">IF(INDEX(BookTitle,2158)="","",INDEX(BookGroup,2158))</f>
        <v/>
      </c>
      <c r="C2163" s="0" t="str">
        <f aca="false">IF(INDEX(BookTitle,2158)="","",INDEX(BookCategory,2158))</f>
        <v/>
      </c>
      <c r="D2163" s="56" t="str">
        <f aca="false">IF(INDEX(BookTitle,2158)="","",INDEX(BookTotal,2158)*'5. Scenarios'!$B$6/(1+ProductivityDefault*('5. Scenarios'!$B$11-1)))</f>
        <v/>
      </c>
      <c r="E2163" s="57" t="str">
        <f aca="false">IF($D2163="","",INDEX(BookRate,2158)*(1+'5. Scenarios'!$B$10)*$D2163)</f>
        <v/>
      </c>
      <c r="F2163" s="57" t="str">
        <f aca="false">IF($E2163="","",SUMIFS($E$6:$E$2405,$A$6:$A$2405,"&lt;="&amp;$A2163))</f>
        <v/>
      </c>
      <c r="G2163" s="57" t="str">
        <f aca="false">IF($E2163="","",IF($F2163&lt;=BankCostEnvelope*'5. Scenarios'!$B$7,1,0))</f>
        <v/>
      </c>
      <c r="H2163" s="57" t="str">
        <f aca="false">IF($D2163="","",INDEX(BookRate,2158)*(1+'5. Scenarios'!$B$10)*(INDEX(BookQ1,2158)*(5-MIN(4,1+'5. Scenarios'!$B$8))/4+INDEX(BookQ2,2158)*(5-MIN(4,2+'5. Scenarios'!$B$8))/4+INDEX(BookQ3,2158)*(5-MIN(4,3+'5. Scenarios'!$B$8))/4+INDEX(BookQ4,2158)*(5-MIN(4,4+'5. Scenarios'!$B$8))/4)*'5. Scenarios'!$B$6/(1+ProductivityDefault*('5. Scenarios'!$B$11-1))+INDEX(BookOneOff,2158)*$D2163)</f>
        <v/>
      </c>
      <c r="I2163" s="56" t="str">
        <f aca="false">IF(INDEX(BookTitle,2158)="","",INDEX(BookTotal,2158)*'5. Scenarios'!$C$6/(1+ProductivityDefault*('5. Scenarios'!$C$11-1)))</f>
        <v/>
      </c>
      <c r="J2163" s="57" t="str">
        <f aca="false">IF($I2163="","",INDEX(BookRate,2158)*(1+'5. Scenarios'!$C$10)*$I2163)</f>
        <v/>
      </c>
      <c r="K2163" s="57" t="str">
        <f aca="false">IF($J2163="","",SUMIFS($J$6:$J$2405,$A$6:$A$2405,"&lt;="&amp;$A2163))</f>
        <v/>
      </c>
      <c r="L2163" s="57" t="str">
        <f aca="false">IF($J2163="","",IF($K2163&lt;=BankCostEnvelope*'5. Scenarios'!$C$7,1,0))</f>
        <v/>
      </c>
      <c r="M2163" s="57" t="str">
        <f aca="false">IF($I2163="","",INDEX(BookRate,2158)*(1+'5. Scenarios'!$C$10)*(INDEX(BookQ1,2158)*(5-MIN(4,1+'5. Scenarios'!$C$8))/4+INDEX(BookQ2,2158)*(5-MIN(4,2+'5. Scenarios'!$C$8))/4+INDEX(BookQ3,2158)*(5-MIN(4,3+'5. Scenarios'!$C$8))/4+INDEX(BookQ4,2158)*(5-MIN(4,4+'5. Scenarios'!$C$8))/4)*'5. Scenarios'!$C$6/(1+ProductivityDefault*('5. Scenarios'!$C$11-1))+INDEX(BookOneOff,2158)*$I2163)</f>
        <v/>
      </c>
      <c r="N2163" s="56" t="str">
        <f aca="false">IF(INDEX(BookTitle,2158)="","",INDEX(BookTotal,2158)*'5. Scenarios'!$D$6/(1+ProductivityDefault*('5. Scenarios'!$D$11-1)))</f>
        <v/>
      </c>
      <c r="O2163" s="57" t="str">
        <f aca="false">IF($N2163="","",INDEX(BookRate,2158)*(1+'5. Scenarios'!$D$10)*$N2163)</f>
        <v/>
      </c>
      <c r="P2163" s="57" t="str">
        <f aca="false">IF($O2163="","",SUMIFS($O$6:$O$2405,$A$6:$A$2405,"&lt;="&amp;$A2163))</f>
        <v/>
      </c>
      <c r="Q2163" s="57" t="str">
        <f aca="false">IF($O2163="","",IF($P2163&lt;=BankCostEnvelope*'5. Scenarios'!$D$7,1,0))</f>
        <v/>
      </c>
      <c r="R2163" s="57" t="str">
        <f aca="false">IF($N2163="","",INDEX(BookRate,2158)*(1+'5. Scenarios'!$D$10)*(INDEX(BookQ1,2158)*(5-MIN(4,1+'5. Scenarios'!$D$8))/4+INDEX(BookQ2,2158)*(5-MIN(4,2+'5. Scenarios'!$D$8))/4+INDEX(BookQ3,2158)*(5-MIN(4,3+'5. Scenarios'!$D$8))/4+INDEX(BookQ4,2158)*(5-MIN(4,4+'5. Scenarios'!$D$8))/4)*'5. Scenarios'!$D$6/(1+ProductivityDefault*('5. Scenarios'!$D$11-1))+INDEX(BookOneOff,2158)*$N2163)</f>
        <v/>
      </c>
      <c r="S2163" s="56" t="str">
        <f aca="false">IF(INDEX(BookTitle,2158)="","",INDEX(BookTotal,2158)*'5. Scenarios'!$E$6/(1+ProductivityDefault*('5. Scenarios'!$E$11-1)))</f>
        <v/>
      </c>
      <c r="T2163" s="57" t="str">
        <f aca="false">IF($S2163="","",INDEX(BookRate,2158)*(1+'5. Scenarios'!$E$10)*$S2163)</f>
        <v/>
      </c>
      <c r="U2163" s="57" t="str">
        <f aca="false">IF($T2163="","",SUMIFS($T$6:$T$2405,$A$6:$A$2405,"&lt;="&amp;$A2163))</f>
        <v/>
      </c>
      <c r="V2163" s="57" t="str">
        <f aca="false">IF($T2163="","",IF($U2163&lt;=BankCostEnvelope*'5. Scenarios'!$E$7,1,0))</f>
        <v/>
      </c>
      <c r="W2163" s="57" t="str">
        <f aca="false">IF($S2163="","",INDEX(BookRate,2158)*(1+'5. Scenarios'!$E$10)*(INDEX(BookQ1,2158)*(5-MIN(4,1+'5. Scenarios'!$E$8))/4+INDEX(BookQ2,2158)*(5-MIN(4,2+'5. Scenarios'!$E$8))/4+INDEX(BookQ3,2158)*(5-MIN(4,3+'5. Scenarios'!$E$8))/4+INDEX(BookQ4,2158)*(5-MIN(4,4+'5. Scenarios'!$E$8))/4)*'5. Scenarios'!$E$6/(1+ProductivityDefault*('5. Scenarios'!$E$11-1))+INDEX(BookOneOff,2158)*$S2163)</f>
        <v/>
      </c>
    </row>
    <row r="2164" customFormat="false" ht="15" hidden="false" customHeight="false" outlineLevel="0" collapsed="false">
      <c r="A2164" s="0" t="str">
        <f aca="false">IF(INDEX(BookTitle,2159)="","",INDEX(BookKey,2159))</f>
        <v/>
      </c>
      <c r="B2164" s="0" t="str">
        <f aca="false">IF(INDEX(BookTitle,2159)="","",INDEX(BookGroup,2159))</f>
        <v/>
      </c>
      <c r="C2164" s="0" t="str">
        <f aca="false">IF(INDEX(BookTitle,2159)="","",INDEX(BookCategory,2159))</f>
        <v/>
      </c>
      <c r="D2164" s="56" t="str">
        <f aca="false">IF(INDEX(BookTitle,2159)="","",INDEX(BookTotal,2159)*'5. Scenarios'!$B$6/(1+ProductivityDefault*('5. Scenarios'!$B$11-1)))</f>
        <v/>
      </c>
      <c r="E2164" s="57" t="str">
        <f aca="false">IF($D2164="","",INDEX(BookRate,2159)*(1+'5. Scenarios'!$B$10)*$D2164)</f>
        <v/>
      </c>
      <c r="F2164" s="57" t="str">
        <f aca="false">IF($E2164="","",SUMIFS($E$6:$E$2405,$A$6:$A$2405,"&lt;="&amp;$A2164))</f>
        <v/>
      </c>
      <c r="G2164" s="57" t="str">
        <f aca="false">IF($E2164="","",IF($F2164&lt;=BankCostEnvelope*'5. Scenarios'!$B$7,1,0))</f>
        <v/>
      </c>
      <c r="H2164" s="57" t="str">
        <f aca="false">IF($D2164="","",INDEX(BookRate,2159)*(1+'5. Scenarios'!$B$10)*(INDEX(BookQ1,2159)*(5-MIN(4,1+'5. Scenarios'!$B$8))/4+INDEX(BookQ2,2159)*(5-MIN(4,2+'5. Scenarios'!$B$8))/4+INDEX(BookQ3,2159)*(5-MIN(4,3+'5. Scenarios'!$B$8))/4+INDEX(BookQ4,2159)*(5-MIN(4,4+'5. Scenarios'!$B$8))/4)*'5. Scenarios'!$B$6/(1+ProductivityDefault*('5. Scenarios'!$B$11-1))+INDEX(BookOneOff,2159)*$D2164)</f>
        <v/>
      </c>
      <c r="I2164" s="56" t="str">
        <f aca="false">IF(INDEX(BookTitle,2159)="","",INDEX(BookTotal,2159)*'5. Scenarios'!$C$6/(1+ProductivityDefault*('5. Scenarios'!$C$11-1)))</f>
        <v/>
      </c>
      <c r="J2164" s="57" t="str">
        <f aca="false">IF($I2164="","",INDEX(BookRate,2159)*(1+'5. Scenarios'!$C$10)*$I2164)</f>
        <v/>
      </c>
      <c r="K2164" s="57" t="str">
        <f aca="false">IF($J2164="","",SUMIFS($J$6:$J$2405,$A$6:$A$2405,"&lt;="&amp;$A2164))</f>
        <v/>
      </c>
      <c r="L2164" s="57" t="str">
        <f aca="false">IF($J2164="","",IF($K2164&lt;=BankCostEnvelope*'5. Scenarios'!$C$7,1,0))</f>
        <v/>
      </c>
      <c r="M2164" s="57" t="str">
        <f aca="false">IF($I2164="","",INDEX(BookRate,2159)*(1+'5. Scenarios'!$C$10)*(INDEX(BookQ1,2159)*(5-MIN(4,1+'5. Scenarios'!$C$8))/4+INDEX(BookQ2,2159)*(5-MIN(4,2+'5. Scenarios'!$C$8))/4+INDEX(BookQ3,2159)*(5-MIN(4,3+'5. Scenarios'!$C$8))/4+INDEX(BookQ4,2159)*(5-MIN(4,4+'5. Scenarios'!$C$8))/4)*'5. Scenarios'!$C$6/(1+ProductivityDefault*('5. Scenarios'!$C$11-1))+INDEX(BookOneOff,2159)*$I2164)</f>
        <v/>
      </c>
      <c r="N2164" s="56" t="str">
        <f aca="false">IF(INDEX(BookTitle,2159)="","",INDEX(BookTotal,2159)*'5. Scenarios'!$D$6/(1+ProductivityDefault*('5. Scenarios'!$D$11-1)))</f>
        <v/>
      </c>
      <c r="O2164" s="57" t="str">
        <f aca="false">IF($N2164="","",INDEX(BookRate,2159)*(1+'5. Scenarios'!$D$10)*$N2164)</f>
        <v/>
      </c>
      <c r="P2164" s="57" t="str">
        <f aca="false">IF($O2164="","",SUMIFS($O$6:$O$2405,$A$6:$A$2405,"&lt;="&amp;$A2164))</f>
        <v/>
      </c>
      <c r="Q2164" s="57" t="str">
        <f aca="false">IF($O2164="","",IF($P2164&lt;=BankCostEnvelope*'5. Scenarios'!$D$7,1,0))</f>
        <v/>
      </c>
      <c r="R2164" s="57" t="str">
        <f aca="false">IF($N2164="","",INDEX(BookRate,2159)*(1+'5. Scenarios'!$D$10)*(INDEX(BookQ1,2159)*(5-MIN(4,1+'5. Scenarios'!$D$8))/4+INDEX(BookQ2,2159)*(5-MIN(4,2+'5. Scenarios'!$D$8))/4+INDEX(BookQ3,2159)*(5-MIN(4,3+'5. Scenarios'!$D$8))/4+INDEX(BookQ4,2159)*(5-MIN(4,4+'5. Scenarios'!$D$8))/4)*'5. Scenarios'!$D$6/(1+ProductivityDefault*('5. Scenarios'!$D$11-1))+INDEX(BookOneOff,2159)*$N2164)</f>
        <v/>
      </c>
      <c r="S2164" s="56" t="str">
        <f aca="false">IF(INDEX(BookTitle,2159)="","",INDEX(BookTotal,2159)*'5. Scenarios'!$E$6/(1+ProductivityDefault*('5. Scenarios'!$E$11-1)))</f>
        <v/>
      </c>
      <c r="T2164" s="57" t="str">
        <f aca="false">IF($S2164="","",INDEX(BookRate,2159)*(1+'5. Scenarios'!$E$10)*$S2164)</f>
        <v/>
      </c>
      <c r="U2164" s="57" t="str">
        <f aca="false">IF($T2164="","",SUMIFS($T$6:$T$2405,$A$6:$A$2405,"&lt;="&amp;$A2164))</f>
        <v/>
      </c>
      <c r="V2164" s="57" t="str">
        <f aca="false">IF($T2164="","",IF($U2164&lt;=BankCostEnvelope*'5. Scenarios'!$E$7,1,0))</f>
        <v/>
      </c>
      <c r="W2164" s="57" t="str">
        <f aca="false">IF($S2164="","",INDEX(BookRate,2159)*(1+'5. Scenarios'!$E$10)*(INDEX(BookQ1,2159)*(5-MIN(4,1+'5. Scenarios'!$E$8))/4+INDEX(BookQ2,2159)*(5-MIN(4,2+'5. Scenarios'!$E$8))/4+INDEX(BookQ3,2159)*(5-MIN(4,3+'5. Scenarios'!$E$8))/4+INDEX(BookQ4,2159)*(5-MIN(4,4+'5. Scenarios'!$E$8))/4)*'5. Scenarios'!$E$6/(1+ProductivityDefault*('5. Scenarios'!$E$11-1))+INDEX(BookOneOff,2159)*$S2164)</f>
        <v/>
      </c>
    </row>
    <row r="2165" customFormat="false" ht="15" hidden="false" customHeight="false" outlineLevel="0" collapsed="false">
      <c r="A2165" s="0" t="str">
        <f aca="false">IF(INDEX(BookTitle,2160)="","",INDEX(BookKey,2160))</f>
        <v/>
      </c>
      <c r="B2165" s="0" t="str">
        <f aca="false">IF(INDEX(BookTitle,2160)="","",INDEX(BookGroup,2160))</f>
        <v/>
      </c>
      <c r="C2165" s="0" t="str">
        <f aca="false">IF(INDEX(BookTitle,2160)="","",INDEX(BookCategory,2160))</f>
        <v/>
      </c>
      <c r="D2165" s="56" t="str">
        <f aca="false">IF(INDEX(BookTitle,2160)="","",INDEX(BookTotal,2160)*'5. Scenarios'!$B$6/(1+ProductivityDefault*('5. Scenarios'!$B$11-1)))</f>
        <v/>
      </c>
      <c r="E2165" s="57" t="str">
        <f aca="false">IF($D2165="","",INDEX(BookRate,2160)*(1+'5. Scenarios'!$B$10)*$D2165)</f>
        <v/>
      </c>
      <c r="F2165" s="57" t="str">
        <f aca="false">IF($E2165="","",SUMIFS($E$6:$E$2405,$A$6:$A$2405,"&lt;="&amp;$A2165))</f>
        <v/>
      </c>
      <c r="G2165" s="57" t="str">
        <f aca="false">IF($E2165="","",IF($F2165&lt;=BankCostEnvelope*'5. Scenarios'!$B$7,1,0))</f>
        <v/>
      </c>
      <c r="H2165" s="57" t="str">
        <f aca="false">IF($D2165="","",INDEX(BookRate,2160)*(1+'5. Scenarios'!$B$10)*(INDEX(BookQ1,2160)*(5-MIN(4,1+'5. Scenarios'!$B$8))/4+INDEX(BookQ2,2160)*(5-MIN(4,2+'5. Scenarios'!$B$8))/4+INDEX(BookQ3,2160)*(5-MIN(4,3+'5. Scenarios'!$B$8))/4+INDEX(BookQ4,2160)*(5-MIN(4,4+'5. Scenarios'!$B$8))/4)*'5. Scenarios'!$B$6/(1+ProductivityDefault*('5. Scenarios'!$B$11-1))+INDEX(BookOneOff,2160)*$D2165)</f>
        <v/>
      </c>
      <c r="I2165" s="56" t="str">
        <f aca="false">IF(INDEX(BookTitle,2160)="","",INDEX(BookTotal,2160)*'5. Scenarios'!$C$6/(1+ProductivityDefault*('5. Scenarios'!$C$11-1)))</f>
        <v/>
      </c>
      <c r="J2165" s="57" t="str">
        <f aca="false">IF($I2165="","",INDEX(BookRate,2160)*(1+'5. Scenarios'!$C$10)*$I2165)</f>
        <v/>
      </c>
      <c r="K2165" s="57" t="str">
        <f aca="false">IF($J2165="","",SUMIFS($J$6:$J$2405,$A$6:$A$2405,"&lt;="&amp;$A2165))</f>
        <v/>
      </c>
      <c r="L2165" s="57" t="str">
        <f aca="false">IF($J2165="","",IF($K2165&lt;=BankCostEnvelope*'5. Scenarios'!$C$7,1,0))</f>
        <v/>
      </c>
      <c r="M2165" s="57" t="str">
        <f aca="false">IF($I2165="","",INDEX(BookRate,2160)*(1+'5. Scenarios'!$C$10)*(INDEX(BookQ1,2160)*(5-MIN(4,1+'5. Scenarios'!$C$8))/4+INDEX(BookQ2,2160)*(5-MIN(4,2+'5. Scenarios'!$C$8))/4+INDEX(BookQ3,2160)*(5-MIN(4,3+'5. Scenarios'!$C$8))/4+INDEX(BookQ4,2160)*(5-MIN(4,4+'5. Scenarios'!$C$8))/4)*'5. Scenarios'!$C$6/(1+ProductivityDefault*('5. Scenarios'!$C$11-1))+INDEX(BookOneOff,2160)*$I2165)</f>
        <v/>
      </c>
      <c r="N2165" s="56" t="str">
        <f aca="false">IF(INDEX(BookTitle,2160)="","",INDEX(BookTotal,2160)*'5. Scenarios'!$D$6/(1+ProductivityDefault*('5. Scenarios'!$D$11-1)))</f>
        <v/>
      </c>
      <c r="O2165" s="57" t="str">
        <f aca="false">IF($N2165="","",INDEX(BookRate,2160)*(1+'5. Scenarios'!$D$10)*$N2165)</f>
        <v/>
      </c>
      <c r="P2165" s="57" t="str">
        <f aca="false">IF($O2165="","",SUMIFS($O$6:$O$2405,$A$6:$A$2405,"&lt;="&amp;$A2165))</f>
        <v/>
      </c>
      <c r="Q2165" s="57" t="str">
        <f aca="false">IF($O2165="","",IF($P2165&lt;=BankCostEnvelope*'5. Scenarios'!$D$7,1,0))</f>
        <v/>
      </c>
      <c r="R2165" s="57" t="str">
        <f aca="false">IF($N2165="","",INDEX(BookRate,2160)*(1+'5. Scenarios'!$D$10)*(INDEX(BookQ1,2160)*(5-MIN(4,1+'5. Scenarios'!$D$8))/4+INDEX(BookQ2,2160)*(5-MIN(4,2+'5. Scenarios'!$D$8))/4+INDEX(BookQ3,2160)*(5-MIN(4,3+'5. Scenarios'!$D$8))/4+INDEX(BookQ4,2160)*(5-MIN(4,4+'5. Scenarios'!$D$8))/4)*'5. Scenarios'!$D$6/(1+ProductivityDefault*('5. Scenarios'!$D$11-1))+INDEX(BookOneOff,2160)*$N2165)</f>
        <v/>
      </c>
      <c r="S2165" s="56" t="str">
        <f aca="false">IF(INDEX(BookTitle,2160)="","",INDEX(BookTotal,2160)*'5. Scenarios'!$E$6/(1+ProductivityDefault*('5. Scenarios'!$E$11-1)))</f>
        <v/>
      </c>
      <c r="T2165" s="57" t="str">
        <f aca="false">IF($S2165="","",INDEX(BookRate,2160)*(1+'5. Scenarios'!$E$10)*$S2165)</f>
        <v/>
      </c>
      <c r="U2165" s="57" t="str">
        <f aca="false">IF($T2165="","",SUMIFS($T$6:$T$2405,$A$6:$A$2405,"&lt;="&amp;$A2165))</f>
        <v/>
      </c>
      <c r="V2165" s="57" t="str">
        <f aca="false">IF($T2165="","",IF($U2165&lt;=BankCostEnvelope*'5. Scenarios'!$E$7,1,0))</f>
        <v/>
      </c>
      <c r="W2165" s="57" t="str">
        <f aca="false">IF($S2165="","",INDEX(BookRate,2160)*(1+'5. Scenarios'!$E$10)*(INDEX(BookQ1,2160)*(5-MIN(4,1+'5. Scenarios'!$E$8))/4+INDEX(BookQ2,2160)*(5-MIN(4,2+'5. Scenarios'!$E$8))/4+INDEX(BookQ3,2160)*(5-MIN(4,3+'5. Scenarios'!$E$8))/4+INDEX(BookQ4,2160)*(5-MIN(4,4+'5. Scenarios'!$E$8))/4)*'5. Scenarios'!$E$6/(1+ProductivityDefault*('5. Scenarios'!$E$11-1))+INDEX(BookOneOff,2160)*$S2165)</f>
        <v/>
      </c>
    </row>
    <row r="2166" customFormat="false" ht="15" hidden="false" customHeight="false" outlineLevel="0" collapsed="false">
      <c r="A2166" s="0" t="str">
        <f aca="false">IF(INDEX(BookTitle,2161)="","",INDEX(BookKey,2161))</f>
        <v/>
      </c>
      <c r="B2166" s="0" t="str">
        <f aca="false">IF(INDEX(BookTitle,2161)="","",INDEX(BookGroup,2161))</f>
        <v/>
      </c>
      <c r="C2166" s="0" t="str">
        <f aca="false">IF(INDEX(BookTitle,2161)="","",INDEX(BookCategory,2161))</f>
        <v/>
      </c>
      <c r="D2166" s="56" t="str">
        <f aca="false">IF(INDEX(BookTitle,2161)="","",INDEX(BookTotal,2161)*'5. Scenarios'!$B$6/(1+ProductivityDefault*('5. Scenarios'!$B$11-1)))</f>
        <v/>
      </c>
      <c r="E2166" s="57" t="str">
        <f aca="false">IF($D2166="","",INDEX(BookRate,2161)*(1+'5. Scenarios'!$B$10)*$D2166)</f>
        <v/>
      </c>
      <c r="F2166" s="57" t="str">
        <f aca="false">IF($E2166="","",SUMIFS($E$6:$E$2405,$A$6:$A$2405,"&lt;="&amp;$A2166))</f>
        <v/>
      </c>
      <c r="G2166" s="57" t="str">
        <f aca="false">IF($E2166="","",IF($F2166&lt;=BankCostEnvelope*'5. Scenarios'!$B$7,1,0))</f>
        <v/>
      </c>
      <c r="H2166" s="57" t="str">
        <f aca="false">IF($D2166="","",INDEX(BookRate,2161)*(1+'5. Scenarios'!$B$10)*(INDEX(BookQ1,2161)*(5-MIN(4,1+'5. Scenarios'!$B$8))/4+INDEX(BookQ2,2161)*(5-MIN(4,2+'5. Scenarios'!$B$8))/4+INDEX(BookQ3,2161)*(5-MIN(4,3+'5. Scenarios'!$B$8))/4+INDEX(BookQ4,2161)*(5-MIN(4,4+'5. Scenarios'!$B$8))/4)*'5. Scenarios'!$B$6/(1+ProductivityDefault*('5. Scenarios'!$B$11-1))+INDEX(BookOneOff,2161)*$D2166)</f>
        <v/>
      </c>
      <c r="I2166" s="56" t="str">
        <f aca="false">IF(INDEX(BookTitle,2161)="","",INDEX(BookTotal,2161)*'5. Scenarios'!$C$6/(1+ProductivityDefault*('5. Scenarios'!$C$11-1)))</f>
        <v/>
      </c>
      <c r="J2166" s="57" t="str">
        <f aca="false">IF($I2166="","",INDEX(BookRate,2161)*(1+'5. Scenarios'!$C$10)*$I2166)</f>
        <v/>
      </c>
      <c r="K2166" s="57" t="str">
        <f aca="false">IF($J2166="","",SUMIFS($J$6:$J$2405,$A$6:$A$2405,"&lt;="&amp;$A2166))</f>
        <v/>
      </c>
      <c r="L2166" s="57" t="str">
        <f aca="false">IF($J2166="","",IF($K2166&lt;=BankCostEnvelope*'5. Scenarios'!$C$7,1,0))</f>
        <v/>
      </c>
      <c r="M2166" s="57" t="str">
        <f aca="false">IF($I2166="","",INDEX(BookRate,2161)*(1+'5. Scenarios'!$C$10)*(INDEX(BookQ1,2161)*(5-MIN(4,1+'5. Scenarios'!$C$8))/4+INDEX(BookQ2,2161)*(5-MIN(4,2+'5. Scenarios'!$C$8))/4+INDEX(BookQ3,2161)*(5-MIN(4,3+'5. Scenarios'!$C$8))/4+INDEX(BookQ4,2161)*(5-MIN(4,4+'5. Scenarios'!$C$8))/4)*'5. Scenarios'!$C$6/(1+ProductivityDefault*('5. Scenarios'!$C$11-1))+INDEX(BookOneOff,2161)*$I2166)</f>
        <v/>
      </c>
      <c r="N2166" s="56" t="str">
        <f aca="false">IF(INDEX(BookTitle,2161)="","",INDEX(BookTotal,2161)*'5. Scenarios'!$D$6/(1+ProductivityDefault*('5. Scenarios'!$D$11-1)))</f>
        <v/>
      </c>
      <c r="O2166" s="57" t="str">
        <f aca="false">IF($N2166="","",INDEX(BookRate,2161)*(1+'5. Scenarios'!$D$10)*$N2166)</f>
        <v/>
      </c>
      <c r="P2166" s="57" t="str">
        <f aca="false">IF($O2166="","",SUMIFS($O$6:$O$2405,$A$6:$A$2405,"&lt;="&amp;$A2166))</f>
        <v/>
      </c>
      <c r="Q2166" s="57" t="str">
        <f aca="false">IF($O2166="","",IF($P2166&lt;=BankCostEnvelope*'5. Scenarios'!$D$7,1,0))</f>
        <v/>
      </c>
      <c r="R2166" s="57" t="str">
        <f aca="false">IF($N2166="","",INDEX(BookRate,2161)*(1+'5. Scenarios'!$D$10)*(INDEX(BookQ1,2161)*(5-MIN(4,1+'5. Scenarios'!$D$8))/4+INDEX(BookQ2,2161)*(5-MIN(4,2+'5. Scenarios'!$D$8))/4+INDEX(BookQ3,2161)*(5-MIN(4,3+'5. Scenarios'!$D$8))/4+INDEX(BookQ4,2161)*(5-MIN(4,4+'5. Scenarios'!$D$8))/4)*'5. Scenarios'!$D$6/(1+ProductivityDefault*('5. Scenarios'!$D$11-1))+INDEX(BookOneOff,2161)*$N2166)</f>
        <v/>
      </c>
      <c r="S2166" s="56" t="str">
        <f aca="false">IF(INDEX(BookTitle,2161)="","",INDEX(BookTotal,2161)*'5. Scenarios'!$E$6/(1+ProductivityDefault*('5. Scenarios'!$E$11-1)))</f>
        <v/>
      </c>
      <c r="T2166" s="57" t="str">
        <f aca="false">IF($S2166="","",INDEX(BookRate,2161)*(1+'5. Scenarios'!$E$10)*$S2166)</f>
        <v/>
      </c>
      <c r="U2166" s="57" t="str">
        <f aca="false">IF($T2166="","",SUMIFS($T$6:$T$2405,$A$6:$A$2405,"&lt;="&amp;$A2166))</f>
        <v/>
      </c>
      <c r="V2166" s="57" t="str">
        <f aca="false">IF($T2166="","",IF($U2166&lt;=BankCostEnvelope*'5. Scenarios'!$E$7,1,0))</f>
        <v/>
      </c>
      <c r="W2166" s="57" t="str">
        <f aca="false">IF($S2166="","",INDEX(BookRate,2161)*(1+'5. Scenarios'!$E$10)*(INDEX(BookQ1,2161)*(5-MIN(4,1+'5. Scenarios'!$E$8))/4+INDEX(BookQ2,2161)*(5-MIN(4,2+'5. Scenarios'!$E$8))/4+INDEX(BookQ3,2161)*(5-MIN(4,3+'5. Scenarios'!$E$8))/4+INDEX(BookQ4,2161)*(5-MIN(4,4+'5. Scenarios'!$E$8))/4)*'5. Scenarios'!$E$6/(1+ProductivityDefault*('5. Scenarios'!$E$11-1))+INDEX(BookOneOff,2161)*$S2166)</f>
        <v/>
      </c>
    </row>
    <row r="2167" customFormat="false" ht="15" hidden="false" customHeight="false" outlineLevel="0" collapsed="false">
      <c r="A2167" s="0" t="str">
        <f aca="false">IF(INDEX(BookTitle,2162)="","",INDEX(BookKey,2162))</f>
        <v/>
      </c>
      <c r="B2167" s="0" t="str">
        <f aca="false">IF(INDEX(BookTitle,2162)="","",INDEX(BookGroup,2162))</f>
        <v/>
      </c>
      <c r="C2167" s="0" t="str">
        <f aca="false">IF(INDEX(BookTitle,2162)="","",INDEX(BookCategory,2162))</f>
        <v/>
      </c>
      <c r="D2167" s="56" t="str">
        <f aca="false">IF(INDEX(BookTitle,2162)="","",INDEX(BookTotal,2162)*'5. Scenarios'!$B$6/(1+ProductivityDefault*('5. Scenarios'!$B$11-1)))</f>
        <v/>
      </c>
      <c r="E2167" s="57" t="str">
        <f aca="false">IF($D2167="","",INDEX(BookRate,2162)*(1+'5. Scenarios'!$B$10)*$D2167)</f>
        <v/>
      </c>
      <c r="F2167" s="57" t="str">
        <f aca="false">IF($E2167="","",SUMIFS($E$6:$E$2405,$A$6:$A$2405,"&lt;="&amp;$A2167))</f>
        <v/>
      </c>
      <c r="G2167" s="57" t="str">
        <f aca="false">IF($E2167="","",IF($F2167&lt;=BankCostEnvelope*'5. Scenarios'!$B$7,1,0))</f>
        <v/>
      </c>
      <c r="H2167" s="57" t="str">
        <f aca="false">IF($D2167="","",INDEX(BookRate,2162)*(1+'5. Scenarios'!$B$10)*(INDEX(BookQ1,2162)*(5-MIN(4,1+'5. Scenarios'!$B$8))/4+INDEX(BookQ2,2162)*(5-MIN(4,2+'5. Scenarios'!$B$8))/4+INDEX(BookQ3,2162)*(5-MIN(4,3+'5. Scenarios'!$B$8))/4+INDEX(BookQ4,2162)*(5-MIN(4,4+'5. Scenarios'!$B$8))/4)*'5. Scenarios'!$B$6/(1+ProductivityDefault*('5. Scenarios'!$B$11-1))+INDEX(BookOneOff,2162)*$D2167)</f>
        <v/>
      </c>
      <c r="I2167" s="56" t="str">
        <f aca="false">IF(INDEX(BookTitle,2162)="","",INDEX(BookTotal,2162)*'5. Scenarios'!$C$6/(1+ProductivityDefault*('5. Scenarios'!$C$11-1)))</f>
        <v/>
      </c>
      <c r="J2167" s="57" t="str">
        <f aca="false">IF($I2167="","",INDEX(BookRate,2162)*(1+'5. Scenarios'!$C$10)*$I2167)</f>
        <v/>
      </c>
      <c r="K2167" s="57" t="str">
        <f aca="false">IF($J2167="","",SUMIFS($J$6:$J$2405,$A$6:$A$2405,"&lt;="&amp;$A2167))</f>
        <v/>
      </c>
      <c r="L2167" s="57" t="str">
        <f aca="false">IF($J2167="","",IF($K2167&lt;=BankCostEnvelope*'5. Scenarios'!$C$7,1,0))</f>
        <v/>
      </c>
      <c r="M2167" s="57" t="str">
        <f aca="false">IF($I2167="","",INDEX(BookRate,2162)*(1+'5. Scenarios'!$C$10)*(INDEX(BookQ1,2162)*(5-MIN(4,1+'5. Scenarios'!$C$8))/4+INDEX(BookQ2,2162)*(5-MIN(4,2+'5. Scenarios'!$C$8))/4+INDEX(BookQ3,2162)*(5-MIN(4,3+'5. Scenarios'!$C$8))/4+INDEX(BookQ4,2162)*(5-MIN(4,4+'5. Scenarios'!$C$8))/4)*'5. Scenarios'!$C$6/(1+ProductivityDefault*('5. Scenarios'!$C$11-1))+INDEX(BookOneOff,2162)*$I2167)</f>
        <v/>
      </c>
      <c r="N2167" s="56" t="str">
        <f aca="false">IF(INDEX(BookTitle,2162)="","",INDEX(BookTotal,2162)*'5. Scenarios'!$D$6/(1+ProductivityDefault*('5. Scenarios'!$D$11-1)))</f>
        <v/>
      </c>
      <c r="O2167" s="57" t="str">
        <f aca="false">IF($N2167="","",INDEX(BookRate,2162)*(1+'5. Scenarios'!$D$10)*$N2167)</f>
        <v/>
      </c>
      <c r="P2167" s="57" t="str">
        <f aca="false">IF($O2167="","",SUMIFS($O$6:$O$2405,$A$6:$A$2405,"&lt;="&amp;$A2167))</f>
        <v/>
      </c>
      <c r="Q2167" s="57" t="str">
        <f aca="false">IF($O2167="","",IF($P2167&lt;=BankCostEnvelope*'5. Scenarios'!$D$7,1,0))</f>
        <v/>
      </c>
      <c r="R2167" s="57" t="str">
        <f aca="false">IF($N2167="","",INDEX(BookRate,2162)*(1+'5. Scenarios'!$D$10)*(INDEX(BookQ1,2162)*(5-MIN(4,1+'5. Scenarios'!$D$8))/4+INDEX(BookQ2,2162)*(5-MIN(4,2+'5. Scenarios'!$D$8))/4+INDEX(BookQ3,2162)*(5-MIN(4,3+'5. Scenarios'!$D$8))/4+INDEX(BookQ4,2162)*(5-MIN(4,4+'5. Scenarios'!$D$8))/4)*'5. Scenarios'!$D$6/(1+ProductivityDefault*('5. Scenarios'!$D$11-1))+INDEX(BookOneOff,2162)*$N2167)</f>
        <v/>
      </c>
      <c r="S2167" s="56" t="str">
        <f aca="false">IF(INDEX(BookTitle,2162)="","",INDEX(BookTotal,2162)*'5. Scenarios'!$E$6/(1+ProductivityDefault*('5. Scenarios'!$E$11-1)))</f>
        <v/>
      </c>
      <c r="T2167" s="57" t="str">
        <f aca="false">IF($S2167="","",INDEX(BookRate,2162)*(1+'5. Scenarios'!$E$10)*$S2167)</f>
        <v/>
      </c>
      <c r="U2167" s="57" t="str">
        <f aca="false">IF($T2167="","",SUMIFS($T$6:$T$2405,$A$6:$A$2405,"&lt;="&amp;$A2167))</f>
        <v/>
      </c>
      <c r="V2167" s="57" t="str">
        <f aca="false">IF($T2167="","",IF($U2167&lt;=BankCostEnvelope*'5. Scenarios'!$E$7,1,0))</f>
        <v/>
      </c>
      <c r="W2167" s="57" t="str">
        <f aca="false">IF($S2167="","",INDEX(BookRate,2162)*(1+'5. Scenarios'!$E$10)*(INDEX(BookQ1,2162)*(5-MIN(4,1+'5. Scenarios'!$E$8))/4+INDEX(BookQ2,2162)*(5-MIN(4,2+'5. Scenarios'!$E$8))/4+INDEX(BookQ3,2162)*(5-MIN(4,3+'5. Scenarios'!$E$8))/4+INDEX(BookQ4,2162)*(5-MIN(4,4+'5. Scenarios'!$E$8))/4)*'5. Scenarios'!$E$6/(1+ProductivityDefault*('5. Scenarios'!$E$11-1))+INDEX(BookOneOff,2162)*$S2167)</f>
        <v/>
      </c>
    </row>
    <row r="2168" customFormat="false" ht="15" hidden="false" customHeight="false" outlineLevel="0" collapsed="false">
      <c r="A2168" s="0" t="str">
        <f aca="false">IF(INDEX(BookTitle,2163)="","",INDEX(BookKey,2163))</f>
        <v/>
      </c>
      <c r="B2168" s="0" t="str">
        <f aca="false">IF(INDEX(BookTitle,2163)="","",INDEX(BookGroup,2163))</f>
        <v/>
      </c>
      <c r="C2168" s="0" t="str">
        <f aca="false">IF(INDEX(BookTitle,2163)="","",INDEX(BookCategory,2163))</f>
        <v/>
      </c>
      <c r="D2168" s="56" t="str">
        <f aca="false">IF(INDEX(BookTitle,2163)="","",INDEX(BookTotal,2163)*'5. Scenarios'!$B$6/(1+ProductivityDefault*('5. Scenarios'!$B$11-1)))</f>
        <v/>
      </c>
      <c r="E2168" s="57" t="str">
        <f aca="false">IF($D2168="","",INDEX(BookRate,2163)*(1+'5. Scenarios'!$B$10)*$D2168)</f>
        <v/>
      </c>
      <c r="F2168" s="57" t="str">
        <f aca="false">IF($E2168="","",SUMIFS($E$6:$E$2405,$A$6:$A$2405,"&lt;="&amp;$A2168))</f>
        <v/>
      </c>
      <c r="G2168" s="57" t="str">
        <f aca="false">IF($E2168="","",IF($F2168&lt;=BankCostEnvelope*'5. Scenarios'!$B$7,1,0))</f>
        <v/>
      </c>
      <c r="H2168" s="57" t="str">
        <f aca="false">IF($D2168="","",INDEX(BookRate,2163)*(1+'5. Scenarios'!$B$10)*(INDEX(BookQ1,2163)*(5-MIN(4,1+'5. Scenarios'!$B$8))/4+INDEX(BookQ2,2163)*(5-MIN(4,2+'5. Scenarios'!$B$8))/4+INDEX(BookQ3,2163)*(5-MIN(4,3+'5. Scenarios'!$B$8))/4+INDEX(BookQ4,2163)*(5-MIN(4,4+'5. Scenarios'!$B$8))/4)*'5. Scenarios'!$B$6/(1+ProductivityDefault*('5. Scenarios'!$B$11-1))+INDEX(BookOneOff,2163)*$D2168)</f>
        <v/>
      </c>
      <c r="I2168" s="56" t="str">
        <f aca="false">IF(INDEX(BookTitle,2163)="","",INDEX(BookTotal,2163)*'5. Scenarios'!$C$6/(1+ProductivityDefault*('5. Scenarios'!$C$11-1)))</f>
        <v/>
      </c>
      <c r="J2168" s="57" t="str">
        <f aca="false">IF($I2168="","",INDEX(BookRate,2163)*(1+'5. Scenarios'!$C$10)*$I2168)</f>
        <v/>
      </c>
      <c r="K2168" s="57" t="str">
        <f aca="false">IF($J2168="","",SUMIFS($J$6:$J$2405,$A$6:$A$2405,"&lt;="&amp;$A2168))</f>
        <v/>
      </c>
      <c r="L2168" s="57" t="str">
        <f aca="false">IF($J2168="","",IF($K2168&lt;=BankCostEnvelope*'5. Scenarios'!$C$7,1,0))</f>
        <v/>
      </c>
      <c r="M2168" s="57" t="str">
        <f aca="false">IF($I2168="","",INDEX(BookRate,2163)*(1+'5. Scenarios'!$C$10)*(INDEX(BookQ1,2163)*(5-MIN(4,1+'5. Scenarios'!$C$8))/4+INDEX(BookQ2,2163)*(5-MIN(4,2+'5. Scenarios'!$C$8))/4+INDEX(BookQ3,2163)*(5-MIN(4,3+'5. Scenarios'!$C$8))/4+INDEX(BookQ4,2163)*(5-MIN(4,4+'5. Scenarios'!$C$8))/4)*'5. Scenarios'!$C$6/(1+ProductivityDefault*('5. Scenarios'!$C$11-1))+INDEX(BookOneOff,2163)*$I2168)</f>
        <v/>
      </c>
      <c r="N2168" s="56" t="str">
        <f aca="false">IF(INDEX(BookTitle,2163)="","",INDEX(BookTotal,2163)*'5. Scenarios'!$D$6/(1+ProductivityDefault*('5. Scenarios'!$D$11-1)))</f>
        <v/>
      </c>
      <c r="O2168" s="57" t="str">
        <f aca="false">IF($N2168="","",INDEX(BookRate,2163)*(1+'5. Scenarios'!$D$10)*$N2168)</f>
        <v/>
      </c>
      <c r="P2168" s="57" t="str">
        <f aca="false">IF($O2168="","",SUMIFS($O$6:$O$2405,$A$6:$A$2405,"&lt;="&amp;$A2168))</f>
        <v/>
      </c>
      <c r="Q2168" s="57" t="str">
        <f aca="false">IF($O2168="","",IF($P2168&lt;=BankCostEnvelope*'5. Scenarios'!$D$7,1,0))</f>
        <v/>
      </c>
      <c r="R2168" s="57" t="str">
        <f aca="false">IF($N2168="","",INDEX(BookRate,2163)*(1+'5. Scenarios'!$D$10)*(INDEX(BookQ1,2163)*(5-MIN(4,1+'5. Scenarios'!$D$8))/4+INDEX(BookQ2,2163)*(5-MIN(4,2+'5. Scenarios'!$D$8))/4+INDEX(BookQ3,2163)*(5-MIN(4,3+'5. Scenarios'!$D$8))/4+INDEX(BookQ4,2163)*(5-MIN(4,4+'5. Scenarios'!$D$8))/4)*'5. Scenarios'!$D$6/(1+ProductivityDefault*('5. Scenarios'!$D$11-1))+INDEX(BookOneOff,2163)*$N2168)</f>
        <v/>
      </c>
      <c r="S2168" s="56" t="str">
        <f aca="false">IF(INDEX(BookTitle,2163)="","",INDEX(BookTotal,2163)*'5. Scenarios'!$E$6/(1+ProductivityDefault*('5. Scenarios'!$E$11-1)))</f>
        <v/>
      </c>
      <c r="T2168" s="57" t="str">
        <f aca="false">IF($S2168="","",INDEX(BookRate,2163)*(1+'5. Scenarios'!$E$10)*$S2168)</f>
        <v/>
      </c>
      <c r="U2168" s="57" t="str">
        <f aca="false">IF($T2168="","",SUMIFS($T$6:$T$2405,$A$6:$A$2405,"&lt;="&amp;$A2168))</f>
        <v/>
      </c>
      <c r="V2168" s="57" t="str">
        <f aca="false">IF($T2168="","",IF($U2168&lt;=BankCostEnvelope*'5. Scenarios'!$E$7,1,0))</f>
        <v/>
      </c>
      <c r="W2168" s="57" t="str">
        <f aca="false">IF($S2168="","",INDEX(BookRate,2163)*(1+'5. Scenarios'!$E$10)*(INDEX(BookQ1,2163)*(5-MIN(4,1+'5. Scenarios'!$E$8))/4+INDEX(BookQ2,2163)*(5-MIN(4,2+'5. Scenarios'!$E$8))/4+INDEX(BookQ3,2163)*(5-MIN(4,3+'5. Scenarios'!$E$8))/4+INDEX(BookQ4,2163)*(5-MIN(4,4+'5. Scenarios'!$E$8))/4)*'5. Scenarios'!$E$6/(1+ProductivityDefault*('5. Scenarios'!$E$11-1))+INDEX(BookOneOff,2163)*$S2168)</f>
        <v/>
      </c>
    </row>
    <row r="2169" customFormat="false" ht="15" hidden="false" customHeight="false" outlineLevel="0" collapsed="false">
      <c r="A2169" s="0" t="str">
        <f aca="false">IF(INDEX(BookTitle,2164)="","",INDEX(BookKey,2164))</f>
        <v/>
      </c>
      <c r="B2169" s="0" t="str">
        <f aca="false">IF(INDEX(BookTitle,2164)="","",INDEX(BookGroup,2164))</f>
        <v/>
      </c>
      <c r="C2169" s="0" t="str">
        <f aca="false">IF(INDEX(BookTitle,2164)="","",INDEX(BookCategory,2164))</f>
        <v/>
      </c>
      <c r="D2169" s="56" t="str">
        <f aca="false">IF(INDEX(BookTitle,2164)="","",INDEX(BookTotal,2164)*'5. Scenarios'!$B$6/(1+ProductivityDefault*('5. Scenarios'!$B$11-1)))</f>
        <v/>
      </c>
      <c r="E2169" s="57" t="str">
        <f aca="false">IF($D2169="","",INDEX(BookRate,2164)*(1+'5. Scenarios'!$B$10)*$D2169)</f>
        <v/>
      </c>
      <c r="F2169" s="57" t="str">
        <f aca="false">IF($E2169="","",SUMIFS($E$6:$E$2405,$A$6:$A$2405,"&lt;="&amp;$A2169))</f>
        <v/>
      </c>
      <c r="G2169" s="57" t="str">
        <f aca="false">IF($E2169="","",IF($F2169&lt;=BankCostEnvelope*'5. Scenarios'!$B$7,1,0))</f>
        <v/>
      </c>
      <c r="H2169" s="57" t="str">
        <f aca="false">IF($D2169="","",INDEX(BookRate,2164)*(1+'5. Scenarios'!$B$10)*(INDEX(BookQ1,2164)*(5-MIN(4,1+'5. Scenarios'!$B$8))/4+INDEX(BookQ2,2164)*(5-MIN(4,2+'5. Scenarios'!$B$8))/4+INDEX(BookQ3,2164)*(5-MIN(4,3+'5. Scenarios'!$B$8))/4+INDEX(BookQ4,2164)*(5-MIN(4,4+'5. Scenarios'!$B$8))/4)*'5. Scenarios'!$B$6/(1+ProductivityDefault*('5. Scenarios'!$B$11-1))+INDEX(BookOneOff,2164)*$D2169)</f>
        <v/>
      </c>
      <c r="I2169" s="56" t="str">
        <f aca="false">IF(INDEX(BookTitle,2164)="","",INDEX(BookTotal,2164)*'5. Scenarios'!$C$6/(1+ProductivityDefault*('5. Scenarios'!$C$11-1)))</f>
        <v/>
      </c>
      <c r="J2169" s="57" t="str">
        <f aca="false">IF($I2169="","",INDEX(BookRate,2164)*(1+'5. Scenarios'!$C$10)*$I2169)</f>
        <v/>
      </c>
      <c r="K2169" s="57" t="str">
        <f aca="false">IF($J2169="","",SUMIFS($J$6:$J$2405,$A$6:$A$2405,"&lt;="&amp;$A2169))</f>
        <v/>
      </c>
      <c r="L2169" s="57" t="str">
        <f aca="false">IF($J2169="","",IF($K2169&lt;=BankCostEnvelope*'5. Scenarios'!$C$7,1,0))</f>
        <v/>
      </c>
      <c r="M2169" s="57" t="str">
        <f aca="false">IF($I2169="","",INDEX(BookRate,2164)*(1+'5. Scenarios'!$C$10)*(INDEX(BookQ1,2164)*(5-MIN(4,1+'5. Scenarios'!$C$8))/4+INDEX(BookQ2,2164)*(5-MIN(4,2+'5. Scenarios'!$C$8))/4+INDEX(BookQ3,2164)*(5-MIN(4,3+'5. Scenarios'!$C$8))/4+INDEX(BookQ4,2164)*(5-MIN(4,4+'5. Scenarios'!$C$8))/4)*'5. Scenarios'!$C$6/(1+ProductivityDefault*('5. Scenarios'!$C$11-1))+INDEX(BookOneOff,2164)*$I2169)</f>
        <v/>
      </c>
      <c r="N2169" s="56" t="str">
        <f aca="false">IF(INDEX(BookTitle,2164)="","",INDEX(BookTotal,2164)*'5. Scenarios'!$D$6/(1+ProductivityDefault*('5. Scenarios'!$D$11-1)))</f>
        <v/>
      </c>
      <c r="O2169" s="57" t="str">
        <f aca="false">IF($N2169="","",INDEX(BookRate,2164)*(1+'5. Scenarios'!$D$10)*$N2169)</f>
        <v/>
      </c>
      <c r="P2169" s="57" t="str">
        <f aca="false">IF($O2169="","",SUMIFS($O$6:$O$2405,$A$6:$A$2405,"&lt;="&amp;$A2169))</f>
        <v/>
      </c>
      <c r="Q2169" s="57" t="str">
        <f aca="false">IF($O2169="","",IF($P2169&lt;=BankCostEnvelope*'5. Scenarios'!$D$7,1,0))</f>
        <v/>
      </c>
      <c r="R2169" s="57" t="str">
        <f aca="false">IF($N2169="","",INDEX(BookRate,2164)*(1+'5. Scenarios'!$D$10)*(INDEX(BookQ1,2164)*(5-MIN(4,1+'5. Scenarios'!$D$8))/4+INDEX(BookQ2,2164)*(5-MIN(4,2+'5. Scenarios'!$D$8))/4+INDEX(BookQ3,2164)*(5-MIN(4,3+'5. Scenarios'!$D$8))/4+INDEX(BookQ4,2164)*(5-MIN(4,4+'5. Scenarios'!$D$8))/4)*'5. Scenarios'!$D$6/(1+ProductivityDefault*('5. Scenarios'!$D$11-1))+INDEX(BookOneOff,2164)*$N2169)</f>
        <v/>
      </c>
      <c r="S2169" s="56" t="str">
        <f aca="false">IF(INDEX(BookTitle,2164)="","",INDEX(BookTotal,2164)*'5. Scenarios'!$E$6/(1+ProductivityDefault*('5. Scenarios'!$E$11-1)))</f>
        <v/>
      </c>
      <c r="T2169" s="57" t="str">
        <f aca="false">IF($S2169="","",INDEX(BookRate,2164)*(1+'5. Scenarios'!$E$10)*$S2169)</f>
        <v/>
      </c>
      <c r="U2169" s="57" t="str">
        <f aca="false">IF($T2169="","",SUMIFS($T$6:$T$2405,$A$6:$A$2405,"&lt;="&amp;$A2169))</f>
        <v/>
      </c>
      <c r="V2169" s="57" t="str">
        <f aca="false">IF($T2169="","",IF($U2169&lt;=BankCostEnvelope*'5. Scenarios'!$E$7,1,0))</f>
        <v/>
      </c>
      <c r="W2169" s="57" t="str">
        <f aca="false">IF($S2169="","",INDEX(BookRate,2164)*(1+'5. Scenarios'!$E$10)*(INDEX(BookQ1,2164)*(5-MIN(4,1+'5. Scenarios'!$E$8))/4+INDEX(BookQ2,2164)*(5-MIN(4,2+'5. Scenarios'!$E$8))/4+INDEX(BookQ3,2164)*(5-MIN(4,3+'5. Scenarios'!$E$8))/4+INDEX(BookQ4,2164)*(5-MIN(4,4+'5. Scenarios'!$E$8))/4)*'5. Scenarios'!$E$6/(1+ProductivityDefault*('5. Scenarios'!$E$11-1))+INDEX(BookOneOff,2164)*$S2169)</f>
        <v/>
      </c>
    </row>
    <row r="2170" customFormat="false" ht="15" hidden="false" customHeight="false" outlineLevel="0" collapsed="false">
      <c r="A2170" s="0" t="str">
        <f aca="false">IF(INDEX(BookTitle,2165)="","",INDEX(BookKey,2165))</f>
        <v/>
      </c>
      <c r="B2170" s="0" t="str">
        <f aca="false">IF(INDEX(BookTitle,2165)="","",INDEX(BookGroup,2165))</f>
        <v/>
      </c>
      <c r="C2170" s="0" t="str">
        <f aca="false">IF(INDEX(BookTitle,2165)="","",INDEX(BookCategory,2165))</f>
        <v/>
      </c>
      <c r="D2170" s="56" t="str">
        <f aca="false">IF(INDEX(BookTitle,2165)="","",INDEX(BookTotal,2165)*'5. Scenarios'!$B$6/(1+ProductivityDefault*('5. Scenarios'!$B$11-1)))</f>
        <v/>
      </c>
      <c r="E2170" s="57" t="str">
        <f aca="false">IF($D2170="","",INDEX(BookRate,2165)*(1+'5. Scenarios'!$B$10)*$D2170)</f>
        <v/>
      </c>
      <c r="F2170" s="57" t="str">
        <f aca="false">IF($E2170="","",SUMIFS($E$6:$E$2405,$A$6:$A$2405,"&lt;="&amp;$A2170))</f>
        <v/>
      </c>
      <c r="G2170" s="57" t="str">
        <f aca="false">IF($E2170="","",IF($F2170&lt;=BankCostEnvelope*'5. Scenarios'!$B$7,1,0))</f>
        <v/>
      </c>
      <c r="H2170" s="57" t="str">
        <f aca="false">IF($D2170="","",INDEX(BookRate,2165)*(1+'5. Scenarios'!$B$10)*(INDEX(BookQ1,2165)*(5-MIN(4,1+'5. Scenarios'!$B$8))/4+INDEX(BookQ2,2165)*(5-MIN(4,2+'5. Scenarios'!$B$8))/4+INDEX(BookQ3,2165)*(5-MIN(4,3+'5. Scenarios'!$B$8))/4+INDEX(BookQ4,2165)*(5-MIN(4,4+'5. Scenarios'!$B$8))/4)*'5. Scenarios'!$B$6/(1+ProductivityDefault*('5. Scenarios'!$B$11-1))+INDEX(BookOneOff,2165)*$D2170)</f>
        <v/>
      </c>
      <c r="I2170" s="56" t="str">
        <f aca="false">IF(INDEX(BookTitle,2165)="","",INDEX(BookTotal,2165)*'5. Scenarios'!$C$6/(1+ProductivityDefault*('5. Scenarios'!$C$11-1)))</f>
        <v/>
      </c>
      <c r="J2170" s="57" t="str">
        <f aca="false">IF($I2170="","",INDEX(BookRate,2165)*(1+'5. Scenarios'!$C$10)*$I2170)</f>
        <v/>
      </c>
      <c r="K2170" s="57" t="str">
        <f aca="false">IF($J2170="","",SUMIFS($J$6:$J$2405,$A$6:$A$2405,"&lt;="&amp;$A2170))</f>
        <v/>
      </c>
      <c r="L2170" s="57" t="str">
        <f aca="false">IF($J2170="","",IF($K2170&lt;=BankCostEnvelope*'5. Scenarios'!$C$7,1,0))</f>
        <v/>
      </c>
      <c r="M2170" s="57" t="str">
        <f aca="false">IF($I2170="","",INDEX(BookRate,2165)*(1+'5. Scenarios'!$C$10)*(INDEX(BookQ1,2165)*(5-MIN(4,1+'5. Scenarios'!$C$8))/4+INDEX(BookQ2,2165)*(5-MIN(4,2+'5. Scenarios'!$C$8))/4+INDEX(BookQ3,2165)*(5-MIN(4,3+'5. Scenarios'!$C$8))/4+INDEX(BookQ4,2165)*(5-MIN(4,4+'5. Scenarios'!$C$8))/4)*'5. Scenarios'!$C$6/(1+ProductivityDefault*('5. Scenarios'!$C$11-1))+INDEX(BookOneOff,2165)*$I2170)</f>
        <v/>
      </c>
      <c r="N2170" s="56" t="str">
        <f aca="false">IF(INDEX(BookTitle,2165)="","",INDEX(BookTotal,2165)*'5. Scenarios'!$D$6/(1+ProductivityDefault*('5. Scenarios'!$D$11-1)))</f>
        <v/>
      </c>
      <c r="O2170" s="57" t="str">
        <f aca="false">IF($N2170="","",INDEX(BookRate,2165)*(1+'5. Scenarios'!$D$10)*$N2170)</f>
        <v/>
      </c>
      <c r="P2170" s="57" t="str">
        <f aca="false">IF($O2170="","",SUMIFS($O$6:$O$2405,$A$6:$A$2405,"&lt;="&amp;$A2170))</f>
        <v/>
      </c>
      <c r="Q2170" s="57" t="str">
        <f aca="false">IF($O2170="","",IF($P2170&lt;=BankCostEnvelope*'5. Scenarios'!$D$7,1,0))</f>
        <v/>
      </c>
      <c r="R2170" s="57" t="str">
        <f aca="false">IF($N2170="","",INDEX(BookRate,2165)*(1+'5. Scenarios'!$D$10)*(INDEX(BookQ1,2165)*(5-MIN(4,1+'5. Scenarios'!$D$8))/4+INDEX(BookQ2,2165)*(5-MIN(4,2+'5. Scenarios'!$D$8))/4+INDEX(BookQ3,2165)*(5-MIN(4,3+'5. Scenarios'!$D$8))/4+INDEX(BookQ4,2165)*(5-MIN(4,4+'5. Scenarios'!$D$8))/4)*'5. Scenarios'!$D$6/(1+ProductivityDefault*('5. Scenarios'!$D$11-1))+INDEX(BookOneOff,2165)*$N2170)</f>
        <v/>
      </c>
      <c r="S2170" s="56" t="str">
        <f aca="false">IF(INDEX(BookTitle,2165)="","",INDEX(BookTotal,2165)*'5. Scenarios'!$E$6/(1+ProductivityDefault*('5. Scenarios'!$E$11-1)))</f>
        <v/>
      </c>
      <c r="T2170" s="57" t="str">
        <f aca="false">IF($S2170="","",INDEX(BookRate,2165)*(1+'5. Scenarios'!$E$10)*$S2170)</f>
        <v/>
      </c>
      <c r="U2170" s="57" t="str">
        <f aca="false">IF($T2170="","",SUMIFS($T$6:$T$2405,$A$6:$A$2405,"&lt;="&amp;$A2170))</f>
        <v/>
      </c>
      <c r="V2170" s="57" t="str">
        <f aca="false">IF($T2170="","",IF($U2170&lt;=BankCostEnvelope*'5. Scenarios'!$E$7,1,0))</f>
        <v/>
      </c>
      <c r="W2170" s="57" t="str">
        <f aca="false">IF($S2170="","",INDEX(BookRate,2165)*(1+'5. Scenarios'!$E$10)*(INDEX(BookQ1,2165)*(5-MIN(4,1+'5. Scenarios'!$E$8))/4+INDEX(BookQ2,2165)*(5-MIN(4,2+'5. Scenarios'!$E$8))/4+INDEX(BookQ3,2165)*(5-MIN(4,3+'5. Scenarios'!$E$8))/4+INDEX(BookQ4,2165)*(5-MIN(4,4+'5. Scenarios'!$E$8))/4)*'5. Scenarios'!$E$6/(1+ProductivityDefault*('5. Scenarios'!$E$11-1))+INDEX(BookOneOff,2165)*$S2170)</f>
        <v/>
      </c>
    </row>
    <row r="2171" customFormat="false" ht="15" hidden="false" customHeight="false" outlineLevel="0" collapsed="false">
      <c r="A2171" s="0" t="str">
        <f aca="false">IF(INDEX(BookTitle,2166)="","",INDEX(BookKey,2166))</f>
        <v/>
      </c>
      <c r="B2171" s="0" t="str">
        <f aca="false">IF(INDEX(BookTitle,2166)="","",INDEX(BookGroup,2166))</f>
        <v/>
      </c>
      <c r="C2171" s="0" t="str">
        <f aca="false">IF(INDEX(BookTitle,2166)="","",INDEX(BookCategory,2166))</f>
        <v/>
      </c>
      <c r="D2171" s="56" t="str">
        <f aca="false">IF(INDEX(BookTitle,2166)="","",INDEX(BookTotal,2166)*'5. Scenarios'!$B$6/(1+ProductivityDefault*('5. Scenarios'!$B$11-1)))</f>
        <v/>
      </c>
      <c r="E2171" s="57" t="str">
        <f aca="false">IF($D2171="","",INDEX(BookRate,2166)*(1+'5. Scenarios'!$B$10)*$D2171)</f>
        <v/>
      </c>
      <c r="F2171" s="57" t="str">
        <f aca="false">IF($E2171="","",SUMIFS($E$6:$E$2405,$A$6:$A$2405,"&lt;="&amp;$A2171))</f>
        <v/>
      </c>
      <c r="G2171" s="57" t="str">
        <f aca="false">IF($E2171="","",IF($F2171&lt;=BankCostEnvelope*'5. Scenarios'!$B$7,1,0))</f>
        <v/>
      </c>
      <c r="H2171" s="57" t="str">
        <f aca="false">IF($D2171="","",INDEX(BookRate,2166)*(1+'5. Scenarios'!$B$10)*(INDEX(BookQ1,2166)*(5-MIN(4,1+'5. Scenarios'!$B$8))/4+INDEX(BookQ2,2166)*(5-MIN(4,2+'5. Scenarios'!$B$8))/4+INDEX(BookQ3,2166)*(5-MIN(4,3+'5. Scenarios'!$B$8))/4+INDEX(BookQ4,2166)*(5-MIN(4,4+'5. Scenarios'!$B$8))/4)*'5. Scenarios'!$B$6/(1+ProductivityDefault*('5. Scenarios'!$B$11-1))+INDEX(BookOneOff,2166)*$D2171)</f>
        <v/>
      </c>
      <c r="I2171" s="56" t="str">
        <f aca="false">IF(INDEX(BookTitle,2166)="","",INDEX(BookTotal,2166)*'5. Scenarios'!$C$6/(1+ProductivityDefault*('5. Scenarios'!$C$11-1)))</f>
        <v/>
      </c>
      <c r="J2171" s="57" t="str">
        <f aca="false">IF($I2171="","",INDEX(BookRate,2166)*(1+'5. Scenarios'!$C$10)*$I2171)</f>
        <v/>
      </c>
      <c r="K2171" s="57" t="str">
        <f aca="false">IF($J2171="","",SUMIFS($J$6:$J$2405,$A$6:$A$2405,"&lt;="&amp;$A2171))</f>
        <v/>
      </c>
      <c r="L2171" s="57" t="str">
        <f aca="false">IF($J2171="","",IF($K2171&lt;=BankCostEnvelope*'5. Scenarios'!$C$7,1,0))</f>
        <v/>
      </c>
      <c r="M2171" s="57" t="str">
        <f aca="false">IF($I2171="","",INDEX(BookRate,2166)*(1+'5. Scenarios'!$C$10)*(INDEX(BookQ1,2166)*(5-MIN(4,1+'5. Scenarios'!$C$8))/4+INDEX(BookQ2,2166)*(5-MIN(4,2+'5. Scenarios'!$C$8))/4+INDEX(BookQ3,2166)*(5-MIN(4,3+'5. Scenarios'!$C$8))/4+INDEX(BookQ4,2166)*(5-MIN(4,4+'5. Scenarios'!$C$8))/4)*'5. Scenarios'!$C$6/(1+ProductivityDefault*('5. Scenarios'!$C$11-1))+INDEX(BookOneOff,2166)*$I2171)</f>
        <v/>
      </c>
      <c r="N2171" s="56" t="str">
        <f aca="false">IF(INDEX(BookTitle,2166)="","",INDEX(BookTotal,2166)*'5. Scenarios'!$D$6/(1+ProductivityDefault*('5. Scenarios'!$D$11-1)))</f>
        <v/>
      </c>
      <c r="O2171" s="57" t="str">
        <f aca="false">IF($N2171="","",INDEX(BookRate,2166)*(1+'5. Scenarios'!$D$10)*$N2171)</f>
        <v/>
      </c>
      <c r="P2171" s="57" t="str">
        <f aca="false">IF($O2171="","",SUMIFS($O$6:$O$2405,$A$6:$A$2405,"&lt;="&amp;$A2171))</f>
        <v/>
      </c>
      <c r="Q2171" s="57" t="str">
        <f aca="false">IF($O2171="","",IF($P2171&lt;=BankCostEnvelope*'5. Scenarios'!$D$7,1,0))</f>
        <v/>
      </c>
      <c r="R2171" s="57" t="str">
        <f aca="false">IF($N2171="","",INDEX(BookRate,2166)*(1+'5. Scenarios'!$D$10)*(INDEX(BookQ1,2166)*(5-MIN(4,1+'5. Scenarios'!$D$8))/4+INDEX(BookQ2,2166)*(5-MIN(4,2+'5. Scenarios'!$D$8))/4+INDEX(BookQ3,2166)*(5-MIN(4,3+'5. Scenarios'!$D$8))/4+INDEX(BookQ4,2166)*(5-MIN(4,4+'5. Scenarios'!$D$8))/4)*'5. Scenarios'!$D$6/(1+ProductivityDefault*('5. Scenarios'!$D$11-1))+INDEX(BookOneOff,2166)*$N2171)</f>
        <v/>
      </c>
      <c r="S2171" s="56" t="str">
        <f aca="false">IF(INDEX(BookTitle,2166)="","",INDEX(BookTotal,2166)*'5. Scenarios'!$E$6/(1+ProductivityDefault*('5. Scenarios'!$E$11-1)))</f>
        <v/>
      </c>
      <c r="T2171" s="57" t="str">
        <f aca="false">IF($S2171="","",INDEX(BookRate,2166)*(1+'5. Scenarios'!$E$10)*$S2171)</f>
        <v/>
      </c>
      <c r="U2171" s="57" t="str">
        <f aca="false">IF($T2171="","",SUMIFS($T$6:$T$2405,$A$6:$A$2405,"&lt;="&amp;$A2171))</f>
        <v/>
      </c>
      <c r="V2171" s="57" t="str">
        <f aca="false">IF($T2171="","",IF($U2171&lt;=BankCostEnvelope*'5. Scenarios'!$E$7,1,0))</f>
        <v/>
      </c>
      <c r="W2171" s="57" t="str">
        <f aca="false">IF($S2171="","",INDEX(BookRate,2166)*(1+'5. Scenarios'!$E$10)*(INDEX(BookQ1,2166)*(5-MIN(4,1+'5. Scenarios'!$E$8))/4+INDEX(BookQ2,2166)*(5-MIN(4,2+'5. Scenarios'!$E$8))/4+INDEX(BookQ3,2166)*(5-MIN(4,3+'5. Scenarios'!$E$8))/4+INDEX(BookQ4,2166)*(5-MIN(4,4+'5. Scenarios'!$E$8))/4)*'5. Scenarios'!$E$6/(1+ProductivityDefault*('5. Scenarios'!$E$11-1))+INDEX(BookOneOff,2166)*$S2171)</f>
        <v/>
      </c>
    </row>
    <row r="2172" customFormat="false" ht="15" hidden="false" customHeight="false" outlineLevel="0" collapsed="false">
      <c r="A2172" s="0" t="str">
        <f aca="false">IF(INDEX(BookTitle,2167)="","",INDEX(BookKey,2167))</f>
        <v/>
      </c>
      <c r="B2172" s="0" t="str">
        <f aca="false">IF(INDEX(BookTitle,2167)="","",INDEX(BookGroup,2167))</f>
        <v/>
      </c>
      <c r="C2172" s="0" t="str">
        <f aca="false">IF(INDEX(BookTitle,2167)="","",INDEX(BookCategory,2167))</f>
        <v/>
      </c>
      <c r="D2172" s="56" t="str">
        <f aca="false">IF(INDEX(BookTitle,2167)="","",INDEX(BookTotal,2167)*'5. Scenarios'!$B$6/(1+ProductivityDefault*('5. Scenarios'!$B$11-1)))</f>
        <v/>
      </c>
      <c r="E2172" s="57" t="str">
        <f aca="false">IF($D2172="","",INDEX(BookRate,2167)*(1+'5. Scenarios'!$B$10)*$D2172)</f>
        <v/>
      </c>
      <c r="F2172" s="57" t="str">
        <f aca="false">IF($E2172="","",SUMIFS($E$6:$E$2405,$A$6:$A$2405,"&lt;="&amp;$A2172))</f>
        <v/>
      </c>
      <c r="G2172" s="57" t="str">
        <f aca="false">IF($E2172="","",IF($F2172&lt;=BankCostEnvelope*'5. Scenarios'!$B$7,1,0))</f>
        <v/>
      </c>
      <c r="H2172" s="57" t="str">
        <f aca="false">IF($D2172="","",INDEX(BookRate,2167)*(1+'5. Scenarios'!$B$10)*(INDEX(BookQ1,2167)*(5-MIN(4,1+'5. Scenarios'!$B$8))/4+INDEX(BookQ2,2167)*(5-MIN(4,2+'5. Scenarios'!$B$8))/4+INDEX(BookQ3,2167)*(5-MIN(4,3+'5. Scenarios'!$B$8))/4+INDEX(BookQ4,2167)*(5-MIN(4,4+'5. Scenarios'!$B$8))/4)*'5. Scenarios'!$B$6/(1+ProductivityDefault*('5. Scenarios'!$B$11-1))+INDEX(BookOneOff,2167)*$D2172)</f>
        <v/>
      </c>
      <c r="I2172" s="56" t="str">
        <f aca="false">IF(INDEX(BookTitle,2167)="","",INDEX(BookTotal,2167)*'5. Scenarios'!$C$6/(1+ProductivityDefault*('5. Scenarios'!$C$11-1)))</f>
        <v/>
      </c>
      <c r="J2172" s="57" t="str">
        <f aca="false">IF($I2172="","",INDEX(BookRate,2167)*(1+'5. Scenarios'!$C$10)*$I2172)</f>
        <v/>
      </c>
      <c r="K2172" s="57" t="str">
        <f aca="false">IF($J2172="","",SUMIFS($J$6:$J$2405,$A$6:$A$2405,"&lt;="&amp;$A2172))</f>
        <v/>
      </c>
      <c r="L2172" s="57" t="str">
        <f aca="false">IF($J2172="","",IF($K2172&lt;=BankCostEnvelope*'5. Scenarios'!$C$7,1,0))</f>
        <v/>
      </c>
      <c r="M2172" s="57" t="str">
        <f aca="false">IF($I2172="","",INDEX(BookRate,2167)*(1+'5. Scenarios'!$C$10)*(INDEX(BookQ1,2167)*(5-MIN(4,1+'5. Scenarios'!$C$8))/4+INDEX(BookQ2,2167)*(5-MIN(4,2+'5. Scenarios'!$C$8))/4+INDEX(BookQ3,2167)*(5-MIN(4,3+'5. Scenarios'!$C$8))/4+INDEX(BookQ4,2167)*(5-MIN(4,4+'5. Scenarios'!$C$8))/4)*'5. Scenarios'!$C$6/(1+ProductivityDefault*('5. Scenarios'!$C$11-1))+INDEX(BookOneOff,2167)*$I2172)</f>
        <v/>
      </c>
      <c r="N2172" s="56" t="str">
        <f aca="false">IF(INDEX(BookTitle,2167)="","",INDEX(BookTotal,2167)*'5. Scenarios'!$D$6/(1+ProductivityDefault*('5. Scenarios'!$D$11-1)))</f>
        <v/>
      </c>
      <c r="O2172" s="57" t="str">
        <f aca="false">IF($N2172="","",INDEX(BookRate,2167)*(1+'5. Scenarios'!$D$10)*$N2172)</f>
        <v/>
      </c>
      <c r="P2172" s="57" t="str">
        <f aca="false">IF($O2172="","",SUMIFS($O$6:$O$2405,$A$6:$A$2405,"&lt;="&amp;$A2172))</f>
        <v/>
      </c>
      <c r="Q2172" s="57" t="str">
        <f aca="false">IF($O2172="","",IF($P2172&lt;=BankCostEnvelope*'5. Scenarios'!$D$7,1,0))</f>
        <v/>
      </c>
      <c r="R2172" s="57" t="str">
        <f aca="false">IF($N2172="","",INDEX(BookRate,2167)*(1+'5. Scenarios'!$D$10)*(INDEX(BookQ1,2167)*(5-MIN(4,1+'5. Scenarios'!$D$8))/4+INDEX(BookQ2,2167)*(5-MIN(4,2+'5. Scenarios'!$D$8))/4+INDEX(BookQ3,2167)*(5-MIN(4,3+'5. Scenarios'!$D$8))/4+INDEX(BookQ4,2167)*(5-MIN(4,4+'5. Scenarios'!$D$8))/4)*'5. Scenarios'!$D$6/(1+ProductivityDefault*('5. Scenarios'!$D$11-1))+INDEX(BookOneOff,2167)*$N2172)</f>
        <v/>
      </c>
      <c r="S2172" s="56" t="str">
        <f aca="false">IF(INDEX(BookTitle,2167)="","",INDEX(BookTotal,2167)*'5. Scenarios'!$E$6/(1+ProductivityDefault*('5. Scenarios'!$E$11-1)))</f>
        <v/>
      </c>
      <c r="T2172" s="57" t="str">
        <f aca="false">IF($S2172="","",INDEX(BookRate,2167)*(1+'5. Scenarios'!$E$10)*$S2172)</f>
        <v/>
      </c>
      <c r="U2172" s="57" t="str">
        <f aca="false">IF($T2172="","",SUMIFS($T$6:$T$2405,$A$6:$A$2405,"&lt;="&amp;$A2172))</f>
        <v/>
      </c>
      <c r="V2172" s="57" t="str">
        <f aca="false">IF($T2172="","",IF($U2172&lt;=BankCostEnvelope*'5. Scenarios'!$E$7,1,0))</f>
        <v/>
      </c>
      <c r="W2172" s="57" t="str">
        <f aca="false">IF($S2172="","",INDEX(BookRate,2167)*(1+'5. Scenarios'!$E$10)*(INDEX(BookQ1,2167)*(5-MIN(4,1+'5. Scenarios'!$E$8))/4+INDEX(BookQ2,2167)*(5-MIN(4,2+'5. Scenarios'!$E$8))/4+INDEX(BookQ3,2167)*(5-MIN(4,3+'5. Scenarios'!$E$8))/4+INDEX(BookQ4,2167)*(5-MIN(4,4+'5. Scenarios'!$E$8))/4)*'5. Scenarios'!$E$6/(1+ProductivityDefault*('5. Scenarios'!$E$11-1))+INDEX(BookOneOff,2167)*$S2172)</f>
        <v/>
      </c>
    </row>
    <row r="2173" customFormat="false" ht="15" hidden="false" customHeight="false" outlineLevel="0" collapsed="false">
      <c r="A2173" s="0" t="str">
        <f aca="false">IF(INDEX(BookTitle,2168)="","",INDEX(BookKey,2168))</f>
        <v/>
      </c>
      <c r="B2173" s="0" t="str">
        <f aca="false">IF(INDEX(BookTitle,2168)="","",INDEX(BookGroup,2168))</f>
        <v/>
      </c>
      <c r="C2173" s="0" t="str">
        <f aca="false">IF(INDEX(BookTitle,2168)="","",INDEX(BookCategory,2168))</f>
        <v/>
      </c>
      <c r="D2173" s="56" t="str">
        <f aca="false">IF(INDEX(BookTitle,2168)="","",INDEX(BookTotal,2168)*'5. Scenarios'!$B$6/(1+ProductivityDefault*('5. Scenarios'!$B$11-1)))</f>
        <v/>
      </c>
      <c r="E2173" s="57" t="str">
        <f aca="false">IF($D2173="","",INDEX(BookRate,2168)*(1+'5. Scenarios'!$B$10)*$D2173)</f>
        <v/>
      </c>
      <c r="F2173" s="57" t="str">
        <f aca="false">IF($E2173="","",SUMIFS($E$6:$E$2405,$A$6:$A$2405,"&lt;="&amp;$A2173))</f>
        <v/>
      </c>
      <c r="G2173" s="57" t="str">
        <f aca="false">IF($E2173="","",IF($F2173&lt;=BankCostEnvelope*'5. Scenarios'!$B$7,1,0))</f>
        <v/>
      </c>
      <c r="H2173" s="57" t="str">
        <f aca="false">IF($D2173="","",INDEX(BookRate,2168)*(1+'5. Scenarios'!$B$10)*(INDEX(BookQ1,2168)*(5-MIN(4,1+'5. Scenarios'!$B$8))/4+INDEX(BookQ2,2168)*(5-MIN(4,2+'5. Scenarios'!$B$8))/4+INDEX(BookQ3,2168)*(5-MIN(4,3+'5. Scenarios'!$B$8))/4+INDEX(BookQ4,2168)*(5-MIN(4,4+'5. Scenarios'!$B$8))/4)*'5. Scenarios'!$B$6/(1+ProductivityDefault*('5. Scenarios'!$B$11-1))+INDEX(BookOneOff,2168)*$D2173)</f>
        <v/>
      </c>
      <c r="I2173" s="56" t="str">
        <f aca="false">IF(INDEX(BookTitle,2168)="","",INDEX(BookTotal,2168)*'5. Scenarios'!$C$6/(1+ProductivityDefault*('5. Scenarios'!$C$11-1)))</f>
        <v/>
      </c>
      <c r="J2173" s="57" t="str">
        <f aca="false">IF($I2173="","",INDEX(BookRate,2168)*(1+'5. Scenarios'!$C$10)*$I2173)</f>
        <v/>
      </c>
      <c r="K2173" s="57" t="str">
        <f aca="false">IF($J2173="","",SUMIFS($J$6:$J$2405,$A$6:$A$2405,"&lt;="&amp;$A2173))</f>
        <v/>
      </c>
      <c r="L2173" s="57" t="str">
        <f aca="false">IF($J2173="","",IF($K2173&lt;=BankCostEnvelope*'5. Scenarios'!$C$7,1,0))</f>
        <v/>
      </c>
      <c r="M2173" s="57" t="str">
        <f aca="false">IF($I2173="","",INDEX(BookRate,2168)*(1+'5. Scenarios'!$C$10)*(INDEX(BookQ1,2168)*(5-MIN(4,1+'5. Scenarios'!$C$8))/4+INDEX(BookQ2,2168)*(5-MIN(4,2+'5. Scenarios'!$C$8))/4+INDEX(BookQ3,2168)*(5-MIN(4,3+'5. Scenarios'!$C$8))/4+INDEX(BookQ4,2168)*(5-MIN(4,4+'5. Scenarios'!$C$8))/4)*'5. Scenarios'!$C$6/(1+ProductivityDefault*('5. Scenarios'!$C$11-1))+INDEX(BookOneOff,2168)*$I2173)</f>
        <v/>
      </c>
      <c r="N2173" s="56" t="str">
        <f aca="false">IF(INDEX(BookTitle,2168)="","",INDEX(BookTotal,2168)*'5. Scenarios'!$D$6/(1+ProductivityDefault*('5. Scenarios'!$D$11-1)))</f>
        <v/>
      </c>
      <c r="O2173" s="57" t="str">
        <f aca="false">IF($N2173="","",INDEX(BookRate,2168)*(1+'5. Scenarios'!$D$10)*$N2173)</f>
        <v/>
      </c>
      <c r="P2173" s="57" t="str">
        <f aca="false">IF($O2173="","",SUMIFS($O$6:$O$2405,$A$6:$A$2405,"&lt;="&amp;$A2173))</f>
        <v/>
      </c>
      <c r="Q2173" s="57" t="str">
        <f aca="false">IF($O2173="","",IF($P2173&lt;=BankCostEnvelope*'5. Scenarios'!$D$7,1,0))</f>
        <v/>
      </c>
      <c r="R2173" s="57" t="str">
        <f aca="false">IF($N2173="","",INDEX(BookRate,2168)*(1+'5. Scenarios'!$D$10)*(INDEX(BookQ1,2168)*(5-MIN(4,1+'5. Scenarios'!$D$8))/4+INDEX(BookQ2,2168)*(5-MIN(4,2+'5. Scenarios'!$D$8))/4+INDEX(BookQ3,2168)*(5-MIN(4,3+'5. Scenarios'!$D$8))/4+INDEX(BookQ4,2168)*(5-MIN(4,4+'5. Scenarios'!$D$8))/4)*'5. Scenarios'!$D$6/(1+ProductivityDefault*('5. Scenarios'!$D$11-1))+INDEX(BookOneOff,2168)*$N2173)</f>
        <v/>
      </c>
      <c r="S2173" s="56" t="str">
        <f aca="false">IF(INDEX(BookTitle,2168)="","",INDEX(BookTotal,2168)*'5. Scenarios'!$E$6/(1+ProductivityDefault*('5. Scenarios'!$E$11-1)))</f>
        <v/>
      </c>
      <c r="T2173" s="57" t="str">
        <f aca="false">IF($S2173="","",INDEX(BookRate,2168)*(1+'5. Scenarios'!$E$10)*$S2173)</f>
        <v/>
      </c>
      <c r="U2173" s="57" t="str">
        <f aca="false">IF($T2173="","",SUMIFS($T$6:$T$2405,$A$6:$A$2405,"&lt;="&amp;$A2173))</f>
        <v/>
      </c>
      <c r="V2173" s="57" t="str">
        <f aca="false">IF($T2173="","",IF($U2173&lt;=BankCostEnvelope*'5. Scenarios'!$E$7,1,0))</f>
        <v/>
      </c>
      <c r="W2173" s="57" t="str">
        <f aca="false">IF($S2173="","",INDEX(BookRate,2168)*(1+'5. Scenarios'!$E$10)*(INDEX(BookQ1,2168)*(5-MIN(4,1+'5. Scenarios'!$E$8))/4+INDEX(BookQ2,2168)*(5-MIN(4,2+'5. Scenarios'!$E$8))/4+INDEX(BookQ3,2168)*(5-MIN(4,3+'5. Scenarios'!$E$8))/4+INDEX(BookQ4,2168)*(5-MIN(4,4+'5. Scenarios'!$E$8))/4)*'5. Scenarios'!$E$6/(1+ProductivityDefault*('5. Scenarios'!$E$11-1))+INDEX(BookOneOff,2168)*$S2173)</f>
        <v/>
      </c>
    </row>
    <row r="2174" customFormat="false" ht="15" hidden="false" customHeight="false" outlineLevel="0" collapsed="false">
      <c r="A2174" s="0" t="str">
        <f aca="false">IF(INDEX(BookTitle,2169)="","",INDEX(BookKey,2169))</f>
        <v/>
      </c>
      <c r="B2174" s="0" t="str">
        <f aca="false">IF(INDEX(BookTitle,2169)="","",INDEX(BookGroup,2169))</f>
        <v/>
      </c>
      <c r="C2174" s="0" t="str">
        <f aca="false">IF(INDEX(BookTitle,2169)="","",INDEX(BookCategory,2169))</f>
        <v/>
      </c>
      <c r="D2174" s="56" t="str">
        <f aca="false">IF(INDEX(BookTitle,2169)="","",INDEX(BookTotal,2169)*'5. Scenarios'!$B$6/(1+ProductivityDefault*('5. Scenarios'!$B$11-1)))</f>
        <v/>
      </c>
      <c r="E2174" s="57" t="str">
        <f aca="false">IF($D2174="","",INDEX(BookRate,2169)*(1+'5. Scenarios'!$B$10)*$D2174)</f>
        <v/>
      </c>
      <c r="F2174" s="57" t="str">
        <f aca="false">IF($E2174="","",SUMIFS($E$6:$E$2405,$A$6:$A$2405,"&lt;="&amp;$A2174))</f>
        <v/>
      </c>
      <c r="G2174" s="57" t="str">
        <f aca="false">IF($E2174="","",IF($F2174&lt;=BankCostEnvelope*'5. Scenarios'!$B$7,1,0))</f>
        <v/>
      </c>
      <c r="H2174" s="57" t="str">
        <f aca="false">IF($D2174="","",INDEX(BookRate,2169)*(1+'5. Scenarios'!$B$10)*(INDEX(BookQ1,2169)*(5-MIN(4,1+'5. Scenarios'!$B$8))/4+INDEX(BookQ2,2169)*(5-MIN(4,2+'5. Scenarios'!$B$8))/4+INDEX(BookQ3,2169)*(5-MIN(4,3+'5. Scenarios'!$B$8))/4+INDEX(BookQ4,2169)*(5-MIN(4,4+'5. Scenarios'!$B$8))/4)*'5. Scenarios'!$B$6/(1+ProductivityDefault*('5. Scenarios'!$B$11-1))+INDEX(BookOneOff,2169)*$D2174)</f>
        <v/>
      </c>
      <c r="I2174" s="56" t="str">
        <f aca="false">IF(INDEX(BookTitle,2169)="","",INDEX(BookTotal,2169)*'5. Scenarios'!$C$6/(1+ProductivityDefault*('5. Scenarios'!$C$11-1)))</f>
        <v/>
      </c>
      <c r="J2174" s="57" t="str">
        <f aca="false">IF($I2174="","",INDEX(BookRate,2169)*(1+'5. Scenarios'!$C$10)*$I2174)</f>
        <v/>
      </c>
      <c r="K2174" s="57" t="str">
        <f aca="false">IF($J2174="","",SUMIFS($J$6:$J$2405,$A$6:$A$2405,"&lt;="&amp;$A2174))</f>
        <v/>
      </c>
      <c r="L2174" s="57" t="str">
        <f aca="false">IF($J2174="","",IF($K2174&lt;=BankCostEnvelope*'5. Scenarios'!$C$7,1,0))</f>
        <v/>
      </c>
      <c r="M2174" s="57" t="str">
        <f aca="false">IF($I2174="","",INDEX(BookRate,2169)*(1+'5. Scenarios'!$C$10)*(INDEX(BookQ1,2169)*(5-MIN(4,1+'5. Scenarios'!$C$8))/4+INDEX(BookQ2,2169)*(5-MIN(4,2+'5. Scenarios'!$C$8))/4+INDEX(BookQ3,2169)*(5-MIN(4,3+'5. Scenarios'!$C$8))/4+INDEX(BookQ4,2169)*(5-MIN(4,4+'5. Scenarios'!$C$8))/4)*'5. Scenarios'!$C$6/(1+ProductivityDefault*('5. Scenarios'!$C$11-1))+INDEX(BookOneOff,2169)*$I2174)</f>
        <v/>
      </c>
      <c r="N2174" s="56" t="str">
        <f aca="false">IF(INDEX(BookTitle,2169)="","",INDEX(BookTotal,2169)*'5. Scenarios'!$D$6/(1+ProductivityDefault*('5. Scenarios'!$D$11-1)))</f>
        <v/>
      </c>
      <c r="O2174" s="57" t="str">
        <f aca="false">IF($N2174="","",INDEX(BookRate,2169)*(1+'5. Scenarios'!$D$10)*$N2174)</f>
        <v/>
      </c>
      <c r="P2174" s="57" t="str">
        <f aca="false">IF($O2174="","",SUMIFS($O$6:$O$2405,$A$6:$A$2405,"&lt;="&amp;$A2174))</f>
        <v/>
      </c>
      <c r="Q2174" s="57" t="str">
        <f aca="false">IF($O2174="","",IF($P2174&lt;=BankCostEnvelope*'5. Scenarios'!$D$7,1,0))</f>
        <v/>
      </c>
      <c r="R2174" s="57" t="str">
        <f aca="false">IF($N2174="","",INDEX(BookRate,2169)*(1+'5. Scenarios'!$D$10)*(INDEX(BookQ1,2169)*(5-MIN(4,1+'5. Scenarios'!$D$8))/4+INDEX(BookQ2,2169)*(5-MIN(4,2+'5. Scenarios'!$D$8))/4+INDEX(BookQ3,2169)*(5-MIN(4,3+'5. Scenarios'!$D$8))/4+INDEX(BookQ4,2169)*(5-MIN(4,4+'5. Scenarios'!$D$8))/4)*'5. Scenarios'!$D$6/(1+ProductivityDefault*('5. Scenarios'!$D$11-1))+INDEX(BookOneOff,2169)*$N2174)</f>
        <v/>
      </c>
      <c r="S2174" s="56" t="str">
        <f aca="false">IF(INDEX(BookTitle,2169)="","",INDEX(BookTotal,2169)*'5. Scenarios'!$E$6/(1+ProductivityDefault*('5. Scenarios'!$E$11-1)))</f>
        <v/>
      </c>
      <c r="T2174" s="57" t="str">
        <f aca="false">IF($S2174="","",INDEX(BookRate,2169)*(1+'5. Scenarios'!$E$10)*$S2174)</f>
        <v/>
      </c>
      <c r="U2174" s="57" t="str">
        <f aca="false">IF($T2174="","",SUMIFS($T$6:$T$2405,$A$6:$A$2405,"&lt;="&amp;$A2174))</f>
        <v/>
      </c>
      <c r="V2174" s="57" t="str">
        <f aca="false">IF($T2174="","",IF($U2174&lt;=BankCostEnvelope*'5. Scenarios'!$E$7,1,0))</f>
        <v/>
      </c>
      <c r="W2174" s="57" t="str">
        <f aca="false">IF($S2174="","",INDEX(BookRate,2169)*(1+'5. Scenarios'!$E$10)*(INDEX(BookQ1,2169)*(5-MIN(4,1+'5. Scenarios'!$E$8))/4+INDEX(BookQ2,2169)*(5-MIN(4,2+'5. Scenarios'!$E$8))/4+INDEX(BookQ3,2169)*(5-MIN(4,3+'5. Scenarios'!$E$8))/4+INDEX(BookQ4,2169)*(5-MIN(4,4+'5. Scenarios'!$E$8))/4)*'5. Scenarios'!$E$6/(1+ProductivityDefault*('5. Scenarios'!$E$11-1))+INDEX(BookOneOff,2169)*$S2174)</f>
        <v/>
      </c>
    </row>
    <row r="2175" customFormat="false" ht="15" hidden="false" customHeight="false" outlineLevel="0" collapsed="false">
      <c r="A2175" s="0" t="str">
        <f aca="false">IF(INDEX(BookTitle,2170)="","",INDEX(BookKey,2170))</f>
        <v/>
      </c>
      <c r="B2175" s="0" t="str">
        <f aca="false">IF(INDEX(BookTitle,2170)="","",INDEX(BookGroup,2170))</f>
        <v/>
      </c>
      <c r="C2175" s="0" t="str">
        <f aca="false">IF(INDEX(BookTitle,2170)="","",INDEX(BookCategory,2170))</f>
        <v/>
      </c>
      <c r="D2175" s="56" t="str">
        <f aca="false">IF(INDEX(BookTitle,2170)="","",INDEX(BookTotal,2170)*'5. Scenarios'!$B$6/(1+ProductivityDefault*('5. Scenarios'!$B$11-1)))</f>
        <v/>
      </c>
      <c r="E2175" s="57" t="str">
        <f aca="false">IF($D2175="","",INDEX(BookRate,2170)*(1+'5. Scenarios'!$B$10)*$D2175)</f>
        <v/>
      </c>
      <c r="F2175" s="57" t="str">
        <f aca="false">IF($E2175="","",SUMIFS($E$6:$E$2405,$A$6:$A$2405,"&lt;="&amp;$A2175))</f>
        <v/>
      </c>
      <c r="G2175" s="57" t="str">
        <f aca="false">IF($E2175="","",IF($F2175&lt;=BankCostEnvelope*'5. Scenarios'!$B$7,1,0))</f>
        <v/>
      </c>
      <c r="H2175" s="57" t="str">
        <f aca="false">IF($D2175="","",INDEX(BookRate,2170)*(1+'5. Scenarios'!$B$10)*(INDEX(BookQ1,2170)*(5-MIN(4,1+'5. Scenarios'!$B$8))/4+INDEX(BookQ2,2170)*(5-MIN(4,2+'5. Scenarios'!$B$8))/4+INDEX(BookQ3,2170)*(5-MIN(4,3+'5. Scenarios'!$B$8))/4+INDEX(BookQ4,2170)*(5-MIN(4,4+'5. Scenarios'!$B$8))/4)*'5. Scenarios'!$B$6/(1+ProductivityDefault*('5. Scenarios'!$B$11-1))+INDEX(BookOneOff,2170)*$D2175)</f>
        <v/>
      </c>
      <c r="I2175" s="56" t="str">
        <f aca="false">IF(INDEX(BookTitle,2170)="","",INDEX(BookTotal,2170)*'5. Scenarios'!$C$6/(1+ProductivityDefault*('5. Scenarios'!$C$11-1)))</f>
        <v/>
      </c>
      <c r="J2175" s="57" t="str">
        <f aca="false">IF($I2175="","",INDEX(BookRate,2170)*(1+'5. Scenarios'!$C$10)*$I2175)</f>
        <v/>
      </c>
      <c r="K2175" s="57" t="str">
        <f aca="false">IF($J2175="","",SUMIFS($J$6:$J$2405,$A$6:$A$2405,"&lt;="&amp;$A2175))</f>
        <v/>
      </c>
      <c r="L2175" s="57" t="str">
        <f aca="false">IF($J2175="","",IF($K2175&lt;=BankCostEnvelope*'5. Scenarios'!$C$7,1,0))</f>
        <v/>
      </c>
      <c r="M2175" s="57" t="str">
        <f aca="false">IF($I2175="","",INDEX(BookRate,2170)*(1+'5. Scenarios'!$C$10)*(INDEX(BookQ1,2170)*(5-MIN(4,1+'5. Scenarios'!$C$8))/4+INDEX(BookQ2,2170)*(5-MIN(4,2+'5. Scenarios'!$C$8))/4+INDEX(BookQ3,2170)*(5-MIN(4,3+'5. Scenarios'!$C$8))/4+INDEX(BookQ4,2170)*(5-MIN(4,4+'5. Scenarios'!$C$8))/4)*'5. Scenarios'!$C$6/(1+ProductivityDefault*('5. Scenarios'!$C$11-1))+INDEX(BookOneOff,2170)*$I2175)</f>
        <v/>
      </c>
      <c r="N2175" s="56" t="str">
        <f aca="false">IF(INDEX(BookTitle,2170)="","",INDEX(BookTotal,2170)*'5. Scenarios'!$D$6/(1+ProductivityDefault*('5. Scenarios'!$D$11-1)))</f>
        <v/>
      </c>
      <c r="O2175" s="57" t="str">
        <f aca="false">IF($N2175="","",INDEX(BookRate,2170)*(1+'5. Scenarios'!$D$10)*$N2175)</f>
        <v/>
      </c>
      <c r="P2175" s="57" t="str">
        <f aca="false">IF($O2175="","",SUMIFS($O$6:$O$2405,$A$6:$A$2405,"&lt;="&amp;$A2175))</f>
        <v/>
      </c>
      <c r="Q2175" s="57" t="str">
        <f aca="false">IF($O2175="","",IF($P2175&lt;=BankCostEnvelope*'5. Scenarios'!$D$7,1,0))</f>
        <v/>
      </c>
      <c r="R2175" s="57" t="str">
        <f aca="false">IF($N2175="","",INDEX(BookRate,2170)*(1+'5. Scenarios'!$D$10)*(INDEX(BookQ1,2170)*(5-MIN(4,1+'5. Scenarios'!$D$8))/4+INDEX(BookQ2,2170)*(5-MIN(4,2+'5. Scenarios'!$D$8))/4+INDEX(BookQ3,2170)*(5-MIN(4,3+'5. Scenarios'!$D$8))/4+INDEX(BookQ4,2170)*(5-MIN(4,4+'5. Scenarios'!$D$8))/4)*'5. Scenarios'!$D$6/(1+ProductivityDefault*('5. Scenarios'!$D$11-1))+INDEX(BookOneOff,2170)*$N2175)</f>
        <v/>
      </c>
      <c r="S2175" s="56" t="str">
        <f aca="false">IF(INDEX(BookTitle,2170)="","",INDEX(BookTotal,2170)*'5. Scenarios'!$E$6/(1+ProductivityDefault*('5. Scenarios'!$E$11-1)))</f>
        <v/>
      </c>
      <c r="T2175" s="57" t="str">
        <f aca="false">IF($S2175="","",INDEX(BookRate,2170)*(1+'5. Scenarios'!$E$10)*$S2175)</f>
        <v/>
      </c>
      <c r="U2175" s="57" t="str">
        <f aca="false">IF($T2175="","",SUMIFS($T$6:$T$2405,$A$6:$A$2405,"&lt;="&amp;$A2175))</f>
        <v/>
      </c>
      <c r="V2175" s="57" t="str">
        <f aca="false">IF($T2175="","",IF($U2175&lt;=BankCostEnvelope*'5. Scenarios'!$E$7,1,0))</f>
        <v/>
      </c>
      <c r="W2175" s="57" t="str">
        <f aca="false">IF($S2175="","",INDEX(BookRate,2170)*(1+'5. Scenarios'!$E$10)*(INDEX(BookQ1,2170)*(5-MIN(4,1+'5. Scenarios'!$E$8))/4+INDEX(BookQ2,2170)*(5-MIN(4,2+'5. Scenarios'!$E$8))/4+INDEX(BookQ3,2170)*(5-MIN(4,3+'5. Scenarios'!$E$8))/4+INDEX(BookQ4,2170)*(5-MIN(4,4+'5. Scenarios'!$E$8))/4)*'5. Scenarios'!$E$6/(1+ProductivityDefault*('5. Scenarios'!$E$11-1))+INDEX(BookOneOff,2170)*$S2175)</f>
        <v/>
      </c>
    </row>
    <row r="2176" customFormat="false" ht="15" hidden="false" customHeight="false" outlineLevel="0" collapsed="false">
      <c r="A2176" s="0" t="str">
        <f aca="false">IF(INDEX(BookTitle,2171)="","",INDEX(BookKey,2171))</f>
        <v/>
      </c>
      <c r="B2176" s="0" t="str">
        <f aca="false">IF(INDEX(BookTitle,2171)="","",INDEX(BookGroup,2171))</f>
        <v/>
      </c>
      <c r="C2176" s="0" t="str">
        <f aca="false">IF(INDEX(BookTitle,2171)="","",INDEX(BookCategory,2171))</f>
        <v/>
      </c>
      <c r="D2176" s="56" t="str">
        <f aca="false">IF(INDEX(BookTitle,2171)="","",INDEX(BookTotal,2171)*'5. Scenarios'!$B$6/(1+ProductivityDefault*('5. Scenarios'!$B$11-1)))</f>
        <v/>
      </c>
      <c r="E2176" s="57" t="str">
        <f aca="false">IF($D2176="","",INDEX(BookRate,2171)*(1+'5. Scenarios'!$B$10)*$D2176)</f>
        <v/>
      </c>
      <c r="F2176" s="57" t="str">
        <f aca="false">IF($E2176="","",SUMIFS($E$6:$E$2405,$A$6:$A$2405,"&lt;="&amp;$A2176))</f>
        <v/>
      </c>
      <c r="G2176" s="57" t="str">
        <f aca="false">IF($E2176="","",IF($F2176&lt;=BankCostEnvelope*'5. Scenarios'!$B$7,1,0))</f>
        <v/>
      </c>
      <c r="H2176" s="57" t="str">
        <f aca="false">IF($D2176="","",INDEX(BookRate,2171)*(1+'5. Scenarios'!$B$10)*(INDEX(BookQ1,2171)*(5-MIN(4,1+'5. Scenarios'!$B$8))/4+INDEX(BookQ2,2171)*(5-MIN(4,2+'5. Scenarios'!$B$8))/4+INDEX(BookQ3,2171)*(5-MIN(4,3+'5. Scenarios'!$B$8))/4+INDEX(BookQ4,2171)*(5-MIN(4,4+'5. Scenarios'!$B$8))/4)*'5. Scenarios'!$B$6/(1+ProductivityDefault*('5. Scenarios'!$B$11-1))+INDEX(BookOneOff,2171)*$D2176)</f>
        <v/>
      </c>
      <c r="I2176" s="56" t="str">
        <f aca="false">IF(INDEX(BookTitle,2171)="","",INDEX(BookTotal,2171)*'5. Scenarios'!$C$6/(1+ProductivityDefault*('5. Scenarios'!$C$11-1)))</f>
        <v/>
      </c>
      <c r="J2176" s="57" t="str">
        <f aca="false">IF($I2176="","",INDEX(BookRate,2171)*(1+'5. Scenarios'!$C$10)*$I2176)</f>
        <v/>
      </c>
      <c r="K2176" s="57" t="str">
        <f aca="false">IF($J2176="","",SUMIFS($J$6:$J$2405,$A$6:$A$2405,"&lt;="&amp;$A2176))</f>
        <v/>
      </c>
      <c r="L2176" s="57" t="str">
        <f aca="false">IF($J2176="","",IF($K2176&lt;=BankCostEnvelope*'5. Scenarios'!$C$7,1,0))</f>
        <v/>
      </c>
      <c r="M2176" s="57" t="str">
        <f aca="false">IF($I2176="","",INDEX(BookRate,2171)*(1+'5. Scenarios'!$C$10)*(INDEX(BookQ1,2171)*(5-MIN(4,1+'5. Scenarios'!$C$8))/4+INDEX(BookQ2,2171)*(5-MIN(4,2+'5. Scenarios'!$C$8))/4+INDEX(BookQ3,2171)*(5-MIN(4,3+'5. Scenarios'!$C$8))/4+INDEX(BookQ4,2171)*(5-MIN(4,4+'5. Scenarios'!$C$8))/4)*'5. Scenarios'!$C$6/(1+ProductivityDefault*('5. Scenarios'!$C$11-1))+INDEX(BookOneOff,2171)*$I2176)</f>
        <v/>
      </c>
      <c r="N2176" s="56" t="str">
        <f aca="false">IF(INDEX(BookTitle,2171)="","",INDEX(BookTotal,2171)*'5. Scenarios'!$D$6/(1+ProductivityDefault*('5. Scenarios'!$D$11-1)))</f>
        <v/>
      </c>
      <c r="O2176" s="57" t="str">
        <f aca="false">IF($N2176="","",INDEX(BookRate,2171)*(1+'5. Scenarios'!$D$10)*$N2176)</f>
        <v/>
      </c>
      <c r="P2176" s="57" t="str">
        <f aca="false">IF($O2176="","",SUMIFS($O$6:$O$2405,$A$6:$A$2405,"&lt;="&amp;$A2176))</f>
        <v/>
      </c>
      <c r="Q2176" s="57" t="str">
        <f aca="false">IF($O2176="","",IF($P2176&lt;=BankCostEnvelope*'5. Scenarios'!$D$7,1,0))</f>
        <v/>
      </c>
      <c r="R2176" s="57" t="str">
        <f aca="false">IF($N2176="","",INDEX(BookRate,2171)*(1+'5. Scenarios'!$D$10)*(INDEX(BookQ1,2171)*(5-MIN(4,1+'5. Scenarios'!$D$8))/4+INDEX(BookQ2,2171)*(5-MIN(4,2+'5. Scenarios'!$D$8))/4+INDEX(BookQ3,2171)*(5-MIN(4,3+'5. Scenarios'!$D$8))/4+INDEX(BookQ4,2171)*(5-MIN(4,4+'5. Scenarios'!$D$8))/4)*'5. Scenarios'!$D$6/(1+ProductivityDefault*('5. Scenarios'!$D$11-1))+INDEX(BookOneOff,2171)*$N2176)</f>
        <v/>
      </c>
      <c r="S2176" s="56" t="str">
        <f aca="false">IF(INDEX(BookTitle,2171)="","",INDEX(BookTotal,2171)*'5. Scenarios'!$E$6/(1+ProductivityDefault*('5. Scenarios'!$E$11-1)))</f>
        <v/>
      </c>
      <c r="T2176" s="57" t="str">
        <f aca="false">IF($S2176="","",INDEX(BookRate,2171)*(1+'5. Scenarios'!$E$10)*$S2176)</f>
        <v/>
      </c>
      <c r="U2176" s="57" t="str">
        <f aca="false">IF($T2176="","",SUMIFS($T$6:$T$2405,$A$6:$A$2405,"&lt;="&amp;$A2176))</f>
        <v/>
      </c>
      <c r="V2176" s="57" t="str">
        <f aca="false">IF($T2176="","",IF($U2176&lt;=BankCostEnvelope*'5. Scenarios'!$E$7,1,0))</f>
        <v/>
      </c>
      <c r="W2176" s="57" t="str">
        <f aca="false">IF($S2176="","",INDEX(BookRate,2171)*(1+'5. Scenarios'!$E$10)*(INDEX(BookQ1,2171)*(5-MIN(4,1+'5. Scenarios'!$E$8))/4+INDEX(BookQ2,2171)*(5-MIN(4,2+'5. Scenarios'!$E$8))/4+INDEX(BookQ3,2171)*(5-MIN(4,3+'5. Scenarios'!$E$8))/4+INDEX(BookQ4,2171)*(5-MIN(4,4+'5. Scenarios'!$E$8))/4)*'5. Scenarios'!$E$6/(1+ProductivityDefault*('5. Scenarios'!$E$11-1))+INDEX(BookOneOff,2171)*$S2176)</f>
        <v/>
      </c>
    </row>
    <row r="2177" customFormat="false" ht="15" hidden="false" customHeight="false" outlineLevel="0" collapsed="false">
      <c r="A2177" s="0" t="str">
        <f aca="false">IF(INDEX(BookTitle,2172)="","",INDEX(BookKey,2172))</f>
        <v/>
      </c>
      <c r="B2177" s="0" t="str">
        <f aca="false">IF(INDEX(BookTitle,2172)="","",INDEX(BookGroup,2172))</f>
        <v/>
      </c>
      <c r="C2177" s="0" t="str">
        <f aca="false">IF(INDEX(BookTitle,2172)="","",INDEX(BookCategory,2172))</f>
        <v/>
      </c>
      <c r="D2177" s="56" t="str">
        <f aca="false">IF(INDEX(BookTitle,2172)="","",INDEX(BookTotal,2172)*'5. Scenarios'!$B$6/(1+ProductivityDefault*('5. Scenarios'!$B$11-1)))</f>
        <v/>
      </c>
      <c r="E2177" s="57" t="str">
        <f aca="false">IF($D2177="","",INDEX(BookRate,2172)*(1+'5. Scenarios'!$B$10)*$D2177)</f>
        <v/>
      </c>
      <c r="F2177" s="57" t="str">
        <f aca="false">IF($E2177="","",SUMIFS($E$6:$E$2405,$A$6:$A$2405,"&lt;="&amp;$A2177))</f>
        <v/>
      </c>
      <c r="G2177" s="57" t="str">
        <f aca="false">IF($E2177="","",IF($F2177&lt;=BankCostEnvelope*'5. Scenarios'!$B$7,1,0))</f>
        <v/>
      </c>
      <c r="H2177" s="57" t="str">
        <f aca="false">IF($D2177="","",INDEX(BookRate,2172)*(1+'5. Scenarios'!$B$10)*(INDEX(BookQ1,2172)*(5-MIN(4,1+'5. Scenarios'!$B$8))/4+INDEX(BookQ2,2172)*(5-MIN(4,2+'5. Scenarios'!$B$8))/4+INDEX(BookQ3,2172)*(5-MIN(4,3+'5. Scenarios'!$B$8))/4+INDEX(BookQ4,2172)*(5-MIN(4,4+'5. Scenarios'!$B$8))/4)*'5. Scenarios'!$B$6/(1+ProductivityDefault*('5. Scenarios'!$B$11-1))+INDEX(BookOneOff,2172)*$D2177)</f>
        <v/>
      </c>
      <c r="I2177" s="56" t="str">
        <f aca="false">IF(INDEX(BookTitle,2172)="","",INDEX(BookTotal,2172)*'5. Scenarios'!$C$6/(1+ProductivityDefault*('5. Scenarios'!$C$11-1)))</f>
        <v/>
      </c>
      <c r="J2177" s="57" t="str">
        <f aca="false">IF($I2177="","",INDEX(BookRate,2172)*(1+'5. Scenarios'!$C$10)*$I2177)</f>
        <v/>
      </c>
      <c r="K2177" s="57" t="str">
        <f aca="false">IF($J2177="","",SUMIFS($J$6:$J$2405,$A$6:$A$2405,"&lt;="&amp;$A2177))</f>
        <v/>
      </c>
      <c r="L2177" s="57" t="str">
        <f aca="false">IF($J2177="","",IF($K2177&lt;=BankCostEnvelope*'5. Scenarios'!$C$7,1,0))</f>
        <v/>
      </c>
      <c r="M2177" s="57" t="str">
        <f aca="false">IF($I2177="","",INDEX(BookRate,2172)*(1+'5. Scenarios'!$C$10)*(INDEX(BookQ1,2172)*(5-MIN(4,1+'5. Scenarios'!$C$8))/4+INDEX(BookQ2,2172)*(5-MIN(4,2+'5. Scenarios'!$C$8))/4+INDEX(BookQ3,2172)*(5-MIN(4,3+'5. Scenarios'!$C$8))/4+INDEX(BookQ4,2172)*(5-MIN(4,4+'5. Scenarios'!$C$8))/4)*'5. Scenarios'!$C$6/(1+ProductivityDefault*('5. Scenarios'!$C$11-1))+INDEX(BookOneOff,2172)*$I2177)</f>
        <v/>
      </c>
      <c r="N2177" s="56" t="str">
        <f aca="false">IF(INDEX(BookTitle,2172)="","",INDEX(BookTotal,2172)*'5. Scenarios'!$D$6/(1+ProductivityDefault*('5. Scenarios'!$D$11-1)))</f>
        <v/>
      </c>
      <c r="O2177" s="57" t="str">
        <f aca="false">IF($N2177="","",INDEX(BookRate,2172)*(1+'5. Scenarios'!$D$10)*$N2177)</f>
        <v/>
      </c>
      <c r="P2177" s="57" t="str">
        <f aca="false">IF($O2177="","",SUMIFS($O$6:$O$2405,$A$6:$A$2405,"&lt;="&amp;$A2177))</f>
        <v/>
      </c>
      <c r="Q2177" s="57" t="str">
        <f aca="false">IF($O2177="","",IF($P2177&lt;=BankCostEnvelope*'5. Scenarios'!$D$7,1,0))</f>
        <v/>
      </c>
      <c r="R2177" s="57" t="str">
        <f aca="false">IF($N2177="","",INDEX(BookRate,2172)*(1+'5. Scenarios'!$D$10)*(INDEX(BookQ1,2172)*(5-MIN(4,1+'5. Scenarios'!$D$8))/4+INDEX(BookQ2,2172)*(5-MIN(4,2+'5. Scenarios'!$D$8))/4+INDEX(BookQ3,2172)*(5-MIN(4,3+'5. Scenarios'!$D$8))/4+INDEX(BookQ4,2172)*(5-MIN(4,4+'5. Scenarios'!$D$8))/4)*'5. Scenarios'!$D$6/(1+ProductivityDefault*('5. Scenarios'!$D$11-1))+INDEX(BookOneOff,2172)*$N2177)</f>
        <v/>
      </c>
      <c r="S2177" s="56" t="str">
        <f aca="false">IF(INDEX(BookTitle,2172)="","",INDEX(BookTotal,2172)*'5. Scenarios'!$E$6/(1+ProductivityDefault*('5. Scenarios'!$E$11-1)))</f>
        <v/>
      </c>
      <c r="T2177" s="57" t="str">
        <f aca="false">IF($S2177="","",INDEX(BookRate,2172)*(1+'5. Scenarios'!$E$10)*$S2177)</f>
        <v/>
      </c>
      <c r="U2177" s="57" t="str">
        <f aca="false">IF($T2177="","",SUMIFS($T$6:$T$2405,$A$6:$A$2405,"&lt;="&amp;$A2177))</f>
        <v/>
      </c>
      <c r="V2177" s="57" t="str">
        <f aca="false">IF($T2177="","",IF($U2177&lt;=BankCostEnvelope*'5. Scenarios'!$E$7,1,0))</f>
        <v/>
      </c>
      <c r="W2177" s="57" t="str">
        <f aca="false">IF($S2177="","",INDEX(BookRate,2172)*(1+'5. Scenarios'!$E$10)*(INDEX(BookQ1,2172)*(5-MIN(4,1+'5. Scenarios'!$E$8))/4+INDEX(BookQ2,2172)*(5-MIN(4,2+'5. Scenarios'!$E$8))/4+INDEX(BookQ3,2172)*(5-MIN(4,3+'5. Scenarios'!$E$8))/4+INDEX(BookQ4,2172)*(5-MIN(4,4+'5. Scenarios'!$E$8))/4)*'5. Scenarios'!$E$6/(1+ProductivityDefault*('5. Scenarios'!$E$11-1))+INDEX(BookOneOff,2172)*$S2177)</f>
        <v/>
      </c>
    </row>
    <row r="2178" customFormat="false" ht="15" hidden="false" customHeight="false" outlineLevel="0" collapsed="false">
      <c r="A2178" s="0" t="str">
        <f aca="false">IF(INDEX(BookTitle,2173)="","",INDEX(BookKey,2173))</f>
        <v/>
      </c>
      <c r="B2178" s="0" t="str">
        <f aca="false">IF(INDEX(BookTitle,2173)="","",INDEX(BookGroup,2173))</f>
        <v/>
      </c>
      <c r="C2178" s="0" t="str">
        <f aca="false">IF(INDEX(BookTitle,2173)="","",INDEX(BookCategory,2173))</f>
        <v/>
      </c>
      <c r="D2178" s="56" t="str">
        <f aca="false">IF(INDEX(BookTitle,2173)="","",INDEX(BookTotal,2173)*'5. Scenarios'!$B$6/(1+ProductivityDefault*('5. Scenarios'!$B$11-1)))</f>
        <v/>
      </c>
      <c r="E2178" s="57" t="str">
        <f aca="false">IF($D2178="","",INDEX(BookRate,2173)*(1+'5. Scenarios'!$B$10)*$D2178)</f>
        <v/>
      </c>
      <c r="F2178" s="57" t="str">
        <f aca="false">IF($E2178="","",SUMIFS($E$6:$E$2405,$A$6:$A$2405,"&lt;="&amp;$A2178))</f>
        <v/>
      </c>
      <c r="G2178" s="57" t="str">
        <f aca="false">IF($E2178="","",IF($F2178&lt;=BankCostEnvelope*'5. Scenarios'!$B$7,1,0))</f>
        <v/>
      </c>
      <c r="H2178" s="57" t="str">
        <f aca="false">IF($D2178="","",INDEX(BookRate,2173)*(1+'5. Scenarios'!$B$10)*(INDEX(BookQ1,2173)*(5-MIN(4,1+'5. Scenarios'!$B$8))/4+INDEX(BookQ2,2173)*(5-MIN(4,2+'5. Scenarios'!$B$8))/4+INDEX(BookQ3,2173)*(5-MIN(4,3+'5. Scenarios'!$B$8))/4+INDEX(BookQ4,2173)*(5-MIN(4,4+'5. Scenarios'!$B$8))/4)*'5. Scenarios'!$B$6/(1+ProductivityDefault*('5. Scenarios'!$B$11-1))+INDEX(BookOneOff,2173)*$D2178)</f>
        <v/>
      </c>
      <c r="I2178" s="56" t="str">
        <f aca="false">IF(INDEX(BookTitle,2173)="","",INDEX(BookTotal,2173)*'5. Scenarios'!$C$6/(1+ProductivityDefault*('5. Scenarios'!$C$11-1)))</f>
        <v/>
      </c>
      <c r="J2178" s="57" t="str">
        <f aca="false">IF($I2178="","",INDEX(BookRate,2173)*(1+'5. Scenarios'!$C$10)*$I2178)</f>
        <v/>
      </c>
      <c r="K2178" s="57" t="str">
        <f aca="false">IF($J2178="","",SUMIFS($J$6:$J$2405,$A$6:$A$2405,"&lt;="&amp;$A2178))</f>
        <v/>
      </c>
      <c r="L2178" s="57" t="str">
        <f aca="false">IF($J2178="","",IF($K2178&lt;=BankCostEnvelope*'5. Scenarios'!$C$7,1,0))</f>
        <v/>
      </c>
      <c r="M2178" s="57" t="str">
        <f aca="false">IF($I2178="","",INDEX(BookRate,2173)*(1+'5. Scenarios'!$C$10)*(INDEX(BookQ1,2173)*(5-MIN(4,1+'5. Scenarios'!$C$8))/4+INDEX(BookQ2,2173)*(5-MIN(4,2+'5. Scenarios'!$C$8))/4+INDEX(BookQ3,2173)*(5-MIN(4,3+'5. Scenarios'!$C$8))/4+INDEX(BookQ4,2173)*(5-MIN(4,4+'5. Scenarios'!$C$8))/4)*'5. Scenarios'!$C$6/(1+ProductivityDefault*('5. Scenarios'!$C$11-1))+INDEX(BookOneOff,2173)*$I2178)</f>
        <v/>
      </c>
      <c r="N2178" s="56" t="str">
        <f aca="false">IF(INDEX(BookTitle,2173)="","",INDEX(BookTotal,2173)*'5. Scenarios'!$D$6/(1+ProductivityDefault*('5. Scenarios'!$D$11-1)))</f>
        <v/>
      </c>
      <c r="O2178" s="57" t="str">
        <f aca="false">IF($N2178="","",INDEX(BookRate,2173)*(1+'5. Scenarios'!$D$10)*$N2178)</f>
        <v/>
      </c>
      <c r="P2178" s="57" t="str">
        <f aca="false">IF($O2178="","",SUMIFS($O$6:$O$2405,$A$6:$A$2405,"&lt;="&amp;$A2178))</f>
        <v/>
      </c>
      <c r="Q2178" s="57" t="str">
        <f aca="false">IF($O2178="","",IF($P2178&lt;=BankCostEnvelope*'5. Scenarios'!$D$7,1,0))</f>
        <v/>
      </c>
      <c r="R2178" s="57" t="str">
        <f aca="false">IF($N2178="","",INDEX(BookRate,2173)*(1+'5. Scenarios'!$D$10)*(INDEX(BookQ1,2173)*(5-MIN(4,1+'5. Scenarios'!$D$8))/4+INDEX(BookQ2,2173)*(5-MIN(4,2+'5. Scenarios'!$D$8))/4+INDEX(BookQ3,2173)*(5-MIN(4,3+'5. Scenarios'!$D$8))/4+INDEX(BookQ4,2173)*(5-MIN(4,4+'5. Scenarios'!$D$8))/4)*'5. Scenarios'!$D$6/(1+ProductivityDefault*('5. Scenarios'!$D$11-1))+INDEX(BookOneOff,2173)*$N2178)</f>
        <v/>
      </c>
      <c r="S2178" s="56" t="str">
        <f aca="false">IF(INDEX(BookTitle,2173)="","",INDEX(BookTotal,2173)*'5. Scenarios'!$E$6/(1+ProductivityDefault*('5. Scenarios'!$E$11-1)))</f>
        <v/>
      </c>
      <c r="T2178" s="57" t="str">
        <f aca="false">IF($S2178="","",INDEX(BookRate,2173)*(1+'5. Scenarios'!$E$10)*$S2178)</f>
        <v/>
      </c>
      <c r="U2178" s="57" t="str">
        <f aca="false">IF($T2178="","",SUMIFS($T$6:$T$2405,$A$6:$A$2405,"&lt;="&amp;$A2178))</f>
        <v/>
      </c>
      <c r="V2178" s="57" t="str">
        <f aca="false">IF($T2178="","",IF($U2178&lt;=BankCostEnvelope*'5. Scenarios'!$E$7,1,0))</f>
        <v/>
      </c>
      <c r="W2178" s="57" t="str">
        <f aca="false">IF($S2178="","",INDEX(BookRate,2173)*(1+'5. Scenarios'!$E$10)*(INDEX(BookQ1,2173)*(5-MIN(4,1+'5. Scenarios'!$E$8))/4+INDEX(BookQ2,2173)*(5-MIN(4,2+'5. Scenarios'!$E$8))/4+INDEX(BookQ3,2173)*(5-MIN(4,3+'5. Scenarios'!$E$8))/4+INDEX(BookQ4,2173)*(5-MIN(4,4+'5. Scenarios'!$E$8))/4)*'5. Scenarios'!$E$6/(1+ProductivityDefault*('5. Scenarios'!$E$11-1))+INDEX(BookOneOff,2173)*$S2178)</f>
        <v/>
      </c>
    </row>
    <row r="2179" customFormat="false" ht="15" hidden="false" customHeight="false" outlineLevel="0" collapsed="false">
      <c r="A2179" s="0" t="str">
        <f aca="false">IF(INDEX(BookTitle,2174)="","",INDEX(BookKey,2174))</f>
        <v/>
      </c>
      <c r="B2179" s="0" t="str">
        <f aca="false">IF(INDEX(BookTitle,2174)="","",INDEX(BookGroup,2174))</f>
        <v/>
      </c>
      <c r="C2179" s="0" t="str">
        <f aca="false">IF(INDEX(BookTitle,2174)="","",INDEX(BookCategory,2174))</f>
        <v/>
      </c>
      <c r="D2179" s="56" t="str">
        <f aca="false">IF(INDEX(BookTitle,2174)="","",INDEX(BookTotal,2174)*'5. Scenarios'!$B$6/(1+ProductivityDefault*('5. Scenarios'!$B$11-1)))</f>
        <v/>
      </c>
      <c r="E2179" s="57" t="str">
        <f aca="false">IF($D2179="","",INDEX(BookRate,2174)*(1+'5. Scenarios'!$B$10)*$D2179)</f>
        <v/>
      </c>
      <c r="F2179" s="57" t="str">
        <f aca="false">IF($E2179="","",SUMIFS($E$6:$E$2405,$A$6:$A$2405,"&lt;="&amp;$A2179))</f>
        <v/>
      </c>
      <c r="G2179" s="57" t="str">
        <f aca="false">IF($E2179="","",IF($F2179&lt;=BankCostEnvelope*'5. Scenarios'!$B$7,1,0))</f>
        <v/>
      </c>
      <c r="H2179" s="57" t="str">
        <f aca="false">IF($D2179="","",INDEX(BookRate,2174)*(1+'5. Scenarios'!$B$10)*(INDEX(BookQ1,2174)*(5-MIN(4,1+'5. Scenarios'!$B$8))/4+INDEX(BookQ2,2174)*(5-MIN(4,2+'5. Scenarios'!$B$8))/4+INDEX(BookQ3,2174)*(5-MIN(4,3+'5. Scenarios'!$B$8))/4+INDEX(BookQ4,2174)*(5-MIN(4,4+'5. Scenarios'!$B$8))/4)*'5. Scenarios'!$B$6/(1+ProductivityDefault*('5. Scenarios'!$B$11-1))+INDEX(BookOneOff,2174)*$D2179)</f>
        <v/>
      </c>
      <c r="I2179" s="56" t="str">
        <f aca="false">IF(INDEX(BookTitle,2174)="","",INDEX(BookTotal,2174)*'5. Scenarios'!$C$6/(1+ProductivityDefault*('5. Scenarios'!$C$11-1)))</f>
        <v/>
      </c>
      <c r="J2179" s="57" t="str">
        <f aca="false">IF($I2179="","",INDEX(BookRate,2174)*(1+'5. Scenarios'!$C$10)*$I2179)</f>
        <v/>
      </c>
      <c r="K2179" s="57" t="str">
        <f aca="false">IF($J2179="","",SUMIFS($J$6:$J$2405,$A$6:$A$2405,"&lt;="&amp;$A2179))</f>
        <v/>
      </c>
      <c r="L2179" s="57" t="str">
        <f aca="false">IF($J2179="","",IF($K2179&lt;=BankCostEnvelope*'5. Scenarios'!$C$7,1,0))</f>
        <v/>
      </c>
      <c r="M2179" s="57" t="str">
        <f aca="false">IF($I2179="","",INDEX(BookRate,2174)*(1+'5. Scenarios'!$C$10)*(INDEX(BookQ1,2174)*(5-MIN(4,1+'5. Scenarios'!$C$8))/4+INDEX(BookQ2,2174)*(5-MIN(4,2+'5. Scenarios'!$C$8))/4+INDEX(BookQ3,2174)*(5-MIN(4,3+'5. Scenarios'!$C$8))/4+INDEX(BookQ4,2174)*(5-MIN(4,4+'5. Scenarios'!$C$8))/4)*'5. Scenarios'!$C$6/(1+ProductivityDefault*('5. Scenarios'!$C$11-1))+INDEX(BookOneOff,2174)*$I2179)</f>
        <v/>
      </c>
      <c r="N2179" s="56" t="str">
        <f aca="false">IF(INDEX(BookTitle,2174)="","",INDEX(BookTotal,2174)*'5. Scenarios'!$D$6/(1+ProductivityDefault*('5. Scenarios'!$D$11-1)))</f>
        <v/>
      </c>
      <c r="O2179" s="57" t="str">
        <f aca="false">IF($N2179="","",INDEX(BookRate,2174)*(1+'5. Scenarios'!$D$10)*$N2179)</f>
        <v/>
      </c>
      <c r="P2179" s="57" t="str">
        <f aca="false">IF($O2179="","",SUMIFS($O$6:$O$2405,$A$6:$A$2405,"&lt;="&amp;$A2179))</f>
        <v/>
      </c>
      <c r="Q2179" s="57" t="str">
        <f aca="false">IF($O2179="","",IF($P2179&lt;=BankCostEnvelope*'5. Scenarios'!$D$7,1,0))</f>
        <v/>
      </c>
      <c r="R2179" s="57" t="str">
        <f aca="false">IF($N2179="","",INDEX(BookRate,2174)*(1+'5. Scenarios'!$D$10)*(INDEX(BookQ1,2174)*(5-MIN(4,1+'5. Scenarios'!$D$8))/4+INDEX(BookQ2,2174)*(5-MIN(4,2+'5. Scenarios'!$D$8))/4+INDEX(BookQ3,2174)*(5-MIN(4,3+'5. Scenarios'!$D$8))/4+INDEX(BookQ4,2174)*(5-MIN(4,4+'5. Scenarios'!$D$8))/4)*'5. Scenarios'!$D$6/(1+ProductivityDefault*('5. Scenarios'!$D$11-1))+INDEX(BookOneOff,2174)*$N2179)</f>
        <v/>
      </c>
      <c r="S2179" s="56" t="str">
        <f aca="false">IF(INDEX(BookTitle,2174)="","",INDEX(BookTotal,2174)*'5. Scenarios'!$E$6/(1+ProductivityDefault*('5. Scenarios'!$E$11-1)))</f>
        <v/>
      </c>
      <c r="T2179" s="57" t="str">
        <f aca="false">IF($S2179="","",INDEX(BookRate,2174)*(1+'5. Scenarios'!$E$10)*$S2179)</f>
        <v/>
      </c>
      <c r="U2179" s="57" t="str">
        <f aca="false">IF($T2179="","",SUMIFS($T$6:$T$2405,$A$6:$A$2405,"&lt;="&amp;$A2179))</f>
        <v/>
      </c>
      <c r="V2179" s="57" t="str">
        <f aca="false">IF($T2179="","",IF($U2179&lt;=BankCostEnvelope*'5. Scenarios'!$E$7,1,0))</f>
        <v/>
      </c>
      <c r="W2179" s="57" t="str">
        <f aca="false">IF($S2179="","",INDEX(BookRate,2174)*(1+'5. Scenarios'!$E$10)*(INDEX(BookQ1,2174)*(5-MIN(4,1+'5. Scenarios'!$E$8))/4+INDEX(BookQ2,2174)*(5-MIN(4,2+'5. Scenarios'!$E$8))/4+INDEX(BookQ3,2174)*(5-MIN(4,3+'5. Scenarios'!$E$8))/4+INDEX(BookQ4,2174)*(5-MIN(4,4+'5. Scenarios'!$E$8))/4)*'5. Scenarios'!$E$6/(1+ProductivityDefault*('5. Scenarios'!$E$11-1))+INDEX(BookOneOff,2174)*$S2179)</f>
        <v/>
      </c>
    </row>
    <row r="2180" customFormat="false" ht="15" hidden="false" customHeight="false" outlineLevel="0" collapsed="false">
      <c r="A2180" s="0" t="str">
        <f aca="false">IF(INDEX(BookTitle,2175)="","",INDEX(BookKey,2175))</f>
        <v/>
      </c>
      <c r="B2180" s="0" t="str">
        <f aca="false">IF(INDEX(BookTitle,2175)="","",INDEX(BookGroup,2175))</f>
        <v/>
      </c>
      <c r="C2180" s="0" t="str">
        <f aca="false">IF(INDEX(BookTitle,2175)="","",INDEX(BookCategory,2175))</f>
        <v/>
      </c>
      <c r="D2180" s="56" t="str">
        <f aca="false">IF(INDEX(BookTitle,2175)="","",INDEX(BookTotal,2175)*'5. Scenarios'!$B$6/(1+ProductivityDefault*('5. Scenarios'!$B$11-1)))</f>
        <v/>
      </c>
      <c r="E2180" s="57" t="str">
        <f aca="false">IF($D2180="","",INDEX(BookRate,2175)*(1+'5. Scenarios'!$B$10)*$D2180)</f>
        <v/>
      </c>
      <c r="F2180" s="57" t="str">
        <f aca="false">IF($E2180="","",SUMIFS($E$6:$E$2405,$A$6:$A$2405,"&lt;="&amp;$A2180))</f>
        <v/>
      </c>
      <c r="G2180" s="57" t="str">
        <f aca="false">IF($E2180="","",IF($F2180&lt;=BankCostEnvelope*'5. Scenarios'!$B$7,1,0))</f>
        <v/>
      </c>
      <c r="H2180" s="57" t="str">
        <f aca="false">IF($D2180="","",INDEX(BookRate,2175)*(1+'5. Scenarios'!$B$10)*(INDEX(BookQ1,2175)*(5-MIN(4,1+'5. Scenarios'!$B$8))/4+INDEX(BookQ2,2175)*(5-MIN(4,2+'5. Scenarios'!$B$8))/4+INDEX(BookQ3,2175)*(5-MIN(4,3+'5. Scenarios'!$B$8))/4+INDEX(BookQ4,2175)*(5-MIN(4,4+'5. Scenarios'!$B$8))/4)*'5. Scenarios'!$B$6/(1+ProductivityDefault*('5. Scenarios'!$B$11-1))+INDEX(BookOneOff,2175)*$D2180)</f>
        <v/>
      </c>
      <c r="I2180" s="56" t="str">
        <f aca="false">IF(INDEX(BookTitle,2175)="","",INDEX(BookTotal,2175)*'5. Scenarios'!$C$6/(1+ProductivityDefault*('5. Scenarios'!$C$11-1)))</f>
        <v/>
      </c>
      <c r="J2180" s="57" t="str">
        <f aca="false">IF($I2180="","",INDEX(BookRate,2175)*(1+'5. Scenarios'!$C$10)*$I2180)</f>
        <v/>
      </c>
      <c r="K2180" s="57" t="str">
        <f aca="false">IF($J2180="","",SUMIFS($J$6:$J$2405,$A$6:$A$2405,"&lt;="&amp;$A2180))</f>
        <v/>
      </c>
      <c r="L2180" s="57" t="str">
        <f aca="false">IF($J2180="","",IF($K2180&lt;=BankCostEnvelope*'5. Scenarios'!$C$7,1,0))</f>
        <v/>
      </c>
      <c r="M2180" s="57" t="str">
        <f aca="false">IF($I2180="","",INDEX(BookRate,2175)*(1+'5. Scenarios'!$C$10)*(INDEX(BookQ1,2175)*(5-MIN(4,1+'5. Scenarios'!$C$8))/4+INDEX(BookQ2,2175)*(5-MIN(4,2+'5. Scenarios'!$C$8))/4+INDEX(BookQ3,2175)*(5-MIN(4,3+'5. Scenarios'!$C$8))/4+INDEX(BookQ4,2175)*(5-MIN(4,4+'5. Scenarios'!$C$8))/4)*'5. Scenarios'!$C$6/(1+ProductivityDefault*('5. Scenarios'!$C$11-1))+INDEX(BookOneOff,2175)*$I2180)</f>
        <v/>
      </c>
      <c r="N2180" s="56" t="str">
        <f aca="false">IF(INDEX(BookTitle,2175)="","",INDEX(BookTotal,2175)*'5. Scenarios'!$D$6/(1+ProductivityDefault*('5. Scenarios'!$D$11-1)))</f>
        <v/>
      </c>
      <c r="O2180" s="57" t="str">
        <f aca="false">IF($N2180="","",INDEX(BookRate,2175)*(1+'5. Scenarios'!$D$10)*$N2180)</f>
        <v/>
      </c>
      <c r="P2180" s="57" t="str">
        <f aca="false">IF($O2180="","",SUMIFS($O$6:$O$2405,$A$6:$A$2405,"&lt;="&amp;$A2180))</f>
        <v/>
      </c>
      <c r="Q2180" s="57" t="str">
        <f aca="false">IF($O2180="","",IF($P2180&lt;=BankCostEnvelope*'5. Scenarios'!$D$7,1,0))</f>
        <v/>
      </c>
      <c r="R2180" s="57" t="str">
        <f aca="false">IF($N2180="","",INDEX(BookRate,2175)*(1+'5. Scenarios'!$D$10)*(INDEX(BookQ1,2175)*(5-MIN(4,1+'5. Scenarios'!$D$8))/4+INDEX(BookQ2,2175)*(5-MIN(4,2+'5. Scenarios'!$D$8))/4+INDEX(BookQ3,2175)*(5-MIN(4,3+'5. Scenarios'!$D$8))/4+INDEX(BookQ4,2175)*(5-MIN(4,4+'5. Scenarios'!$D$8))/4)*'5. Scenarios'!$D$6/(1+ProductivityDefault*('5. Scenarios'!$D$11-1))+INDEX(BookOneOff,2175)*$N2180)</f>
        <v/>
      </c>
      <c r="S2180" s="56" t="str">
        <f aca="false">IF(INDEX(BookTitle,2175)="","",INDEX(BookTotal,2175)*'5. Scenarios'!$E$6/(1+ProductivityDefault*('5. Scenarios'!$E$11-1)))</f>
        <v/>
      </c>
      <c r="T2180" s="57" t="str">
        <f aca="false">IF($S2180="","",INDEX(BookRate,2175)*(1+'5. Scenarios'!$E$10)*$S2180)</f>
        <v/>
      </c>
      <c r="U2180" s="57" t="str">
        <f aca="false">IF($T2180="","",SUMIFS($T$6:$T$2405,$A$6:$A$2405,"&lt;="&amp;$A2180))</f>
        <v/>
      </c>
      <c r="V2180" s="57" t="str">
        <f aca="false">IF($T2180="","",IF($U2180&lt;=BankCostEnvelope*'5. Scenarios'!$E$7,1,0))</f>
        <v/>
      </c>
      <c r="W2180" s="57" t="str">
        <f aca="false">IF($S2180="","",INDEX(BookRate,2175)*(1+'5. Scenarios'!$E$10)*(INDEX(BookQ1,2175)*(5-MIN(4,1+'5. Scenarios'!$E$8))/4+INDEX(BookQ2,2175)*(5-MIN(4,2+'5. Scenarios'!$E$8))/4+INDEX(BookQ3,2175)*(5-MIN(4,3+'5. Scenarios'!$E$8))/4+INDEX(BookQ4,2175)*(5-MIN(4,4+'5. Scenarios'!$E$8))/4)*'5. Scenarios'!$E$6/(1+ProductivityDefault*('5. Scenarios'!$E$11-1))+INDEX(BookOneOff,2175)*$S2180)</f>
        <v/>
      </c>
    </row>
    <row r="2181" customFormat="false" ht="15" hidden="false" customHeight="false" outlineLevel="0" collapsed="false">
      <c r="A2181" s="0" t="str">
        <f aca="false">IF(INDEX(BookTitle,2176)="","",INDEX(BookKey,2176))</f>
        <v/>
      </c>
      <c r="B2181" s="0" t="str">
        <f aca="false">IF(INDEX(BookTitle,2176)="","",INDEX(BookGroup,2176))</f>
        <v/>
      </c>
      <c r="C2181" s="0" t="str">
        <f aca="false">IF(INDEX(BookTitle,2176)="","",INDEX(BookCategory,2176))</f>
        <v/>
      </c>
      <c r="D2181" s="56" t="str">
        <f aca="false">IF(INDEX(BookTitle,2176)="","",INDEX(BookTotal,2176)*'5. Scenarios'!$B$6/(1+ProductivityDefault*('5. Scenarios'!$B$11-1)))</f>
        <v/>
      </c>
      <c r="E2181" s="57" t="str">
        <f aca="false">IF($D2181="","",INDEX(BookRate,2176)*(1+'5. Scenarios'!$B$10)*$D2181)</f>
        <v/>
      </c>
      <c r="F2181" s="57" t="str">
        <f aca="false">IF($E2181="","",SUMIFS($E$6:$E$2405,$A$6:$A$2405,"&lt;="&amp;$A2181))</f>
        <v/>
      </c>
      <c r="G2181" s="57" t="str">
        <f aca="false">IF($E2181="","",IF($F2181&lt;=BankCostEnvelope*'5. Scenarios'!$B$7,1,0))</f>
        <v/>
      </c>
      <c r="H2181" s="57" t="str">
        <f aca="false">IF($D2181="","",INDEX(BookRate,2176)*(1+'5. Scenarios'!$B$10)*(INDEX(BookQ1,2176)*(5-MIN(4,1+'5. Scenarios'!$B$8))/4+INDEX(BookQ2,2176)*(5-MIN(4,2+'5. Scenarios'!$B$8))/4+INDEX(BookQ3,2176)*(5-MIN(4,3+'5. Scenarios'!$B$8))/4+INDEX(BookQ4,2176)*(5-MIN(4,4+'5. Scenarios'!$B$8))/4)*'5. Scenarios'!$B$6/(1+ProductivityDefault*('5. Scenarios'!$B$11-1))+INDEX(BookOneOff,2176)*$D2181)</f>
        <v/>
      </c>
      <c r="I2181" s="56" t="str">
        <f aca="false">IF(INDEX(BookTitle,2176)="","",INDEX(BookTotal,2176)*'5. Scenarios'!$C$6/(1+ProductivityDefault*('5. Scenarios'!$C$11-1)))</f>
        <v/>
      </c>
      <c r="J2181" s="57" t="str">
        <f aca="false">IF($I2181="","",INDEX(BookRate,2176)*(1+'5. Scenarios'!$C$10)*$I2181)</f>
        <v/>
      </c>
      <c r="K2181" s="57" t="str">
        <f aca="false">IF($J2181="","",SUMIFS($J$6:$J$2405,$A$6:$A$2405,"&lt;="&amp;$A2181))</f>
        <v/>
      </c>
      <c r="L2181" s="57" t="str">
        <f aca="false">IF($J2181="","",IF($K2181&lt;=BankCostEnvelope*'5. Scenarios'!$C$7,1,0))</f>
        <v/>
      </c>
      <c r="M2181" s="57" t="str">
        <f aca="false">IF($I2181="","",INDEX(BookRate,2176)*(1+'5. Scenarios'!$C$10)*(INDEX(BookQ1,2176)*(5-MIN(4,1+'5. Scenarios'!$C$8))/4+INDEX(BookQ2,2176)*(5-MIN(4,2+'5. Scenarios'!$C$8))/4+INDEX(BookQ3,2176)*(5-MIN(4,3+'5. Scenarios'!$C$8))/4+INDEX(BookQ4,2176)*(5-MIN(4,4+'5. Scenarios'!$C$8))/4)*'5. Scenarios'!$C$6/(1+ProductivityDefault*('5. Scenarios'!$C$11-1))+INDEX(BookOneOff,2176)*$I2181)</f>
        <v/>
      </c>
      <c r="N2181" s="56" t="str">
        <f aca="false">IF(INDEX(BookTitle,2176)="","",INDEX(BookTotal,2176)*'5. Scenarios'!$D$6/(1+ProductivityDefault*('5. Scenarios'!$D$11-1)))</f>
        <v/>
      </c>
      <c r="O2181" s="57" t="str">
        <f aca="false">IF($N2181="","",INDEX(BookRate,2176)*(1+'5. Scenarios'!$D$10)*$N2181)</f>
        <v/>
      </c>
      <c r="P2181" s="57" t="str">
        <f aca="false">IF($O2181="","",SUMIFS($O$6:$O$2405,$A$6:$A$2405,"&lt;="&amp;$A2181))</f>
        <v/>
      </c>
      <c r="Q2181" s="57" t="str">
        <f aca="false">IF($O2181="","",IF($P2181&lt;=BankCostEnvelope*'5. Scenarios'!$D$7,1,0))</f>
        <v/>
      </c>
      <c r="R2181" s="57" t="str">
        <f aca="false">IF($N2181="","",INDEX(BookRate,2176)*(1+'5. Scenarios'!$D$10)*(INDEX(BookQ1,2176)*(5-MIN(4,1+'5. Scenarios'!$D$8))/4+INDEX(BookQ2,2176)*(5-MIN(4,2+'5. Scenarios'!$D$8))/4+INDEX(BookQ3,2176)*(5-MIN(4,3+'5. Scenarios'!$D$8))/4+INDEX(BookQ4,2176)*(5-MIN(4,4+'5. Scenarios'!$D$8))/4)*'5. Scenarios'!$D$6/(1+ProductivityDefault*('5. Scenarios'!$D$11-1))+INDEX(BookOneOff,2176)*$N2181)</f>
        <v/>
      </c>
      <c r="S2181" s="56" t="str">
        <f aca="false">IF(INDEX(BookTitle,2176)="","",INDEX(BookTotal,2176)*'5. Scenarios'!$E$6/(1+ProductivityDefault*('5. Scenarios'!$E$11-1)))</f>
        <v/>
      </c>
      <c r="T2181" s="57" t="str">
        <f aca="false">IF($S2181="","",INDEX(BookRate,2176)*(1+'5. Scenarios'!$E$10)*$S2181)</f>
        <v/>
      </c>
      <c r="U2181" s="57" t="str">
        <f aca="false">IF($T2181="","",SUMIFS($T$6:$T$2405,$A$6:$A$2405,"&lt;="&amp;$A2181))</f>
        <v/>
      </c>
      <c r="V2181" s="57" t="str">
        <f aca="false">IF($T2181="","",IF($U2181&lt;=BankCostEnvelope*'5. Scenarios'!$E$7,1,0))</f>
        <v/>
      </c>
      <c r="W2181" s="57" t="str">
        <f aca="false">IF($S2181="","",INDEX(BookRate,2176)*(1+'5. Scenarios'!$E$10)*(INDEX(BookQ1,2176)*(5-MIN(4,1+'5. Scenarios'!$E$8))/4+INDEX(BookQ2,2176)*(5-MIN(4,2+'5. Scenarios'!$E$8))/4+INDEX(BookQ3,2176)*(5-MIN(4,3+'5. Scenarios'!$E$8))/4+INDEX(BookQ4,2176)*(5-MIN(4,4+'5. Scenarios'!$E$8))/4)*'5. Scenarios'!$E$6/(1+ProductivityDefault*('5. Scenarios'!$E$11-1))+INDEX(BookOneOff,2176)*$S2181)</f>
        <v/>
      </c>
    </row>
    <row r="2182" customFormat="false" ht="15" hidden="false" customHeight="false" outlineLevel="0" collapsed="false">
      <c r="A2182" s="0" t="str">
        <f aca="false">IF(INDEX(BookTitle,2177)="","",INDEX(BookKey,2177))</f>
        <v/>
      </c>
      <c r="B2182" s="0" t="str">
        <f aca="false">IF(INDEX(BookTitle,2177)="","",INDEX(BookGroup,2177))</f>
        <v/>
      </c>
      <c r="C2182" s="0" t="str">
        <f aca="false">IF(INDEX(BookTitle,2177)="","",INDEX(BookCategory,2177))</f>
        <v/>
      </c>
      <c r="D2182" s="56" t="str">
        <f aca="false">IF(INDEX(BookTitle,2177)="","",INDEX(BookTotal,2177)*'5. Scenarios'!$B$6/(1+ProductivityDefault*('5. Scenarios'!$B$11-1)))</f>
        <v/>
      </c>
      <c r="E2182" s="57" t="str">
        <f aca="false">IF($D2182="","",INDEX(BookRate,2177)*(1+'5. Scenarios'!$B$10)*$D2182)</f>
        <v/>
      </c>
      <c r="F2182" s="57" t="str">
        <f aca="false">IF($E2182="","",SUMIFS($E$6:$E$2405,$A$6:$A$2405,"&lt;="&amp;$A2182))</f>
        <v/>
      </c>
      <c r="G2182" s="57" t="str">
        <f aca="false">IF($E2182="","",IF($F2182&lt;=BankCostEnvelope*'5. Scenarios'!$B$7,1,0))</f>
        <v/>
      </c>
      <c r="H2182" s="57" t="str">
        <f aca="false">IF($D2182="","",INDEX(BookRate,2177)*(1+'5. Scenarios'!$B$10)*(INDEX(BookQ1,2177)*(5-MIN(4,1+'5. Scenarios'!$B$8))/4+INDEX(BookQ2,2177)*(5-MIN(4,2+'5. Scenarios'!$B$8))/4+INDEX(BookQ3,2177)*(5-MIN(4,3+'5. Scenarios'!$B$8))/4+INDEX(BookQ4,2177)*(5-MIN(4,4+'5. Scenarios'!$B$8))/4)*'5. Scenarios'!$B$6/(1+ProductivityDefault*('5. Scenarios'!$B$11-1))+INDEX(BookOneOff,2177)*$D2182)</f>
        <v/>
      </c>
      <c r="I2182" s="56" t="str">
        <f aca="false">IF(INDEX(BookTitle,2177)="","",INDEX(BookTotal,2177)*'5. Scenarios'!$C$6/(1+ProductivityDefault*('5. Scenarios'!$C$11-1)))</f>
        <v/>
      </c>
      <c r="J2182" s="57" t="str">
        <f aca="false">IF($I2182="","",INDEX(BookRate,2177)*(1+'5. Scenarios'!$C$10)*$I2182)</f>
        <v/>
      </c>
      <c r="K2182" s="57" t="str">
        <f aca="false">IF($J2182="","",SUMIFS($J$6:$J$2405,$A$6:$A$2405,"&lt;="&amp;$A2182))</f>
        <v/>
      </c>
      <c r="L2182" s="57" t="str">
        <f aca="false">IF($J2182="","",IF($K2182&lt;=BankCostEnvelope*'5. Scenarios'!$C$7,1,0))</f>
        <v/>
      </c>
      <c r="M2182" s="57" t="str">
        <f aca="false">IF($I2182="","",INDEX(BookRate,2177)*(1+'5. Scenarios'!$C$10)*(INDEX(BookQ1,2177)*(5-MIN(4,1+'5. Scenarios'!$C$8))/4+INDEX(BookQ2,2177)*(5-MIN(4,2+'5. Scenarios'!$C$8))/4+INDEX(BookQ3,2177)*(5-MIN(4,3+'5. Scenarios'!$C$8))/4+INDEX(BookQ4,2177)*(5-MIN(4,4+'5. Scenarios'!$C$8))/4)*'5. Scenarios'!$C$6/(1+ProductivityDefault*('5. Scenarios'!$C$11-1))+INDEX(BookOneOff,2177)*$I2182)</f>
        <v/>
      </c>
      <c r="N2182" s="56" t="str">
        <f aca="false">IF(INDEX(BookTitle,2177)="","",INDEX(BookTotal,2177)*'5. Scenarios'!$D$6/(1+ProductivityDefault*('5. Scenarios'!$D$11-1)))</f>
        <v/>
      </c>
      <c r="O2182" s="57" t="str">
        <f aca="false">IF($N2182="","",INDEX(BookRate,2177)*(1+'5. Scenarios'!$D$10)*$N2182)</f>
        <v/>
      </c>
      <c r="P2182" s="57" t="str">
        <f aca="false">IF($O2182="","",SUMIFS($O$6:$O$2405,$A$6:$A$2405,"&lt;="&amp;$A2182))</f>
        <v/>
      </c>
      <c r="Q2182" s="57" t="str">
        <f aca="false">IF($O2182="","",IF($P2182&lt;=BankCostEnvelope*'5. Scenarios'!$D$7,1,0))</f>
        <v/>
      </c>
      <c r="R2182" s="57" t="str">
        <f aca="false">IF($N2182="","",INDEX(BookRate,2177)*(1+'5. Scenarios'!$D$10)*(INDEX(BookQ1,2177)*(5-MIN(4,1+'5. Scenarios'!$D$8))/4+INDEX(BookQ2,2177)*(5-MIN(4,2+'5. Scenarios'!$D$8))/4+INDEX(BookQ3,2177)*(5-MIN(4,3+'5. Scenarios'!$D$8))/4+INDEX(BookQ4,2177)*(5-MIN(4,4+'5. Scenarios'!$D$8))/4)*'5. Scenarios'!$D$6/(1+ProductivityDefault*('5. Scenarios'!$D$11-1))+INDEX(BookOneOff,2177)*$N2182)</f>
        <v/>
      </c>
      <c r="S2182" s="56" t="str">
        <f aca="false">IF(INDEX(BookTitle,2177)="","",INDEX(BookTotal,2177)*'5. Scenarios'!$E$6/(1+ProductivityDefault*('5. Scenarios'!$E$11-1)))</f>
        <v/>
      </c>
      <c r="T2182" s="57" t="str">
        <f aca="false">IF($S2182="","",INDEX(BookRate,2177)*(1+'5. Scenarios'!$E$10)*$S2182)</f>
        <v/>
      </c>
      <c r="U2182" s="57" t="str">
        <f aca="false">IF($T2182="","",SUMIFS($T$6:$T$2405,$A$6:$A$2405,"&lt;="&amp;$A2182))</f>
        <v/>
      </c>
      <c r="V2182" s="57" t="str">
        <f aca="false">IF($T2182="","",IF($U2182&lt;=BankCostEnvelope*'5. Scenarios'!$E$7,1,0))</f>
        <v/>
      </c>
      <c r="W2182" s="57" t="str">
        <f aca="false">IF($S2182="","",INDEX(BookRate,2177)*(1+'5. Scenarios'!$E$10)*(INDEX(BookQ1,2177)*(5-MIN(4,1+'5. Scenarios'!$E$8))/4+INDEX(BookQ2,2177)*(5-MIN(4,2+'5. Scenarios'!$E$8))/4+INDEX(BookQ3,2177)*(5-MIN(4,3+'5. Scenarios'!$E$8))/4+INDEX(BookQ4,2177)*(5-MIN(4,4+'5. Scenarios'!$E$8))/4)*'5. Scenarios'!$E$6/(1+ProductivityDefault*('5. Scenarios'!$E$11-1))+INDEX(BookOneOff,2177)*$S2182)</f>
        <v/>
      </c>
    </row>
    <row r="2183" customFormat="false" ht="15" hidden="false" customHeight="false" outlineLevel="0" collapsed="false">
      <c r="A2183" s="0" t="str">
        <f aca="false">IF(INDEX(BookTitle,2178)="","",INDEX(BookKey,2178))</f>
        <v/>
      </c>
      <c r="B2183" s="0" t="str">
        <f aca="false">IF(INDEX(BookTitle,2178)="","",INDEX(BookGroup,2178))</f>
        <v/>
      </c>
      <c r="C2183" s="0" t="str">
        <f aca="false">IF(INDEX(BookTitle,2178)="","",INDEX(BookCategory,2178))</f>
        <v/>
      </c>
      <c r="D2183" s="56" t="str">
        <f aca="false">IF(INDEX(BookTitle,2178)="","",INDEX(BookTotal,2178)*'5. Scenarios'!$B$6/(1+ProductivityDefault*('5. Scenarios'!$B$11-1)))</f>
        <v/>
      </c>
      <c r="E2183" s="57" t="str">
        <f aca="false">IF($D2183="","",INDEX(BookRate,2178)*(1+'5. Scenarios'!$B$10)*$D2183)</f>
        <v/>
      </c>
      <c r="F2183" s="57" t="str">
        <f aca="false">IF($E2183="","",SUMIFS($E$6:$E$2405,$A$6:$A$2405,"&lt;="&amp;$A2183))</f>
        <v/>
      </c>
      <c r="G2183" s="57" t="str">
        <f aca="false">IF($E2183="","",IF($F2183&lt;=BankCostEnvelope*'5. Scenarios'!$B$7,1,0))</f>
        <v/>
      </c>
      <c r="H2183" s="57" t="str">
        <f aca="false">IF($D2183="","",INDEX(BookRate,2178)*(1+'5. Scenarios'!$B$10)*(INDEX(BookQ1,2178)*(5-MIN(4,1+'5. Scenarios'!$B$8))/4+INDEX(BookQ2,2178)*(5-MIN(4,2+'5. Scenarios'!$B$8))/4+INDEX(BookQ3,2178)*(5-MIN(4,3+'5. Scenarios'!$B$8))/4+INDEX(BookQ4,2178)*(5-MIN(4,4+'5. Scenarios'!$B$8))/4)*'5. Scenarios'!$B$6/(1+ProductivityDefault*('5. Scenarios'!$B$11-1))+INDEX(BookOneOff,2178)*$D2183)</f>
        <v/>
      </c>
      <c r="I2183" s="56" t="str">
        <f aca="false">IF(INDEX(BookTitle,2178)="","",INDEX(BookTotal,2178)*'5. Scenarios'!$C$6/(1+ProductivityDefault*('5. Scenarios'!$C$11-1)))</f>
        <v/>
      </c>
      <c r="J2183" s="57" t="str">
        <f aca="false">IF($I2183="","",INDEX(BookRate,2178)*(1+'5. Scenarios'!$C$10)*$I2183)</f>
        <v/>
      </c>
      <c r="K2183" s="57" t="str">
        <f aca="false">IF($J2183="","",SUMIFS($J$6:$J$2405,$A$6:$A$2405,"&lt;="&amp;$A2183))</f>
        <v/>
      </c>
      <c r="L2183" s="57" t="str">
        <f aca="false">IF($J2183="","",IF($K2183&lt;=BankCostEnvelope*'5. Scenarios'!$C$7,1,0))</f>
        <v/>
      </c>
      <c r="M2183" s="57" t="str">
        <f aca="false">IF($I2183="","",INDEX(BookRate,2178)*(1+'5. Scenarios'!$C$10)*(INDEX(BookQ1,2178)*(5-MIN(4,1+'5. Scenarios'!$C$8))/4+INDEX(BookQ2,2178)*(5-MIN(4,2+'5. Scenarios'!$C$8))/4+INDEX(BookQ3,2178)*(5-MIN(4,3+'5. Scenarios'!$C$8))/4+INDEX(BookQ4,2178)*(5-MIN(4,4+'5. Scenarios'!$C$8))/4)*'5. Scenarios'!$C$6/(1+ProductivityDefault*('5. Scenarios'!$C$11-1))+INDEX(BookOneOff,2178)*$I2183)</f>
        <v/>
      </c>
      <c r="N2183" s="56" t="str">
        <f aca="false">IF(INDEX(BookTitle,2178)="","",INDEX(BookTotal,2178)*'5. Scenarios'!$D$6/(1+ProductivityDefault*('5. Scenarios'!$D$11-1)))</f>
        <v/>
      </c>
      <c r="O2183" s="57" t="str">
        <f aca="false">IF($N2183="","",INDEX(BookRate,2178)*(1+'5. Scenarios'!$D$10)*$N2183)</f>
        <v/>
      </c>
      <c r="P2183" s="57" t="str">
        <f aca="false">IF($O2183="","",SUMIFS($O$6:$O$2405,$A$6:$A$2405,"&lt;="&amp;$A2183))</f>
        <v/>
      </c>
      <c r="Q2183" s="57" t="str">
        <f aca="false">IF($O2183="","",IF($P2183&lt;=BankCostEnvelope*'5. Scenarios'!$D$7,1,0))</f>
        <v/>
      </c>
      <c r="R2183" s="57" t="str">
        <f aca="false">IF($N2183="","",INDEX(BookRate,2178)*(1+'5. Scenarios'!$D$10)*(INDEX(BookQ1,2178)*(5-MIN(4,1+'5. Scenarios'!$D$8))/4+INDEX(BookQ2,2178)*(5-MIN(4,2+'5. Scenarios'!$D$8))/4+INDEX(BookQ3,2178)*(5-MIN(4,3+'5. Scenarios'!$D$8))/4+INDEX(BookQ4,2178)*(5-MIN(4,4+'5. Scenarios'!$D$8))/4)*'5. Scenarios'!$D$6/(1+ProductivityDefault*('5. Scenarios'!$D$11-1))+INDEX(BookOneOff,2178)*$N2183)</f>
        <v/>
      </c>
      <c r="S2183" s="56" t="str">
        <f aca="false">IF(INDEX(BookTitle,2178)="","",INDEX(BookTotal,2178)*'5. Scenarios'!$E$6/(1+ProductivityDefault*('5. Scenarios'!$E$11-1)))</f>
        <v/>
      </c>
      <c r="T2183" s="57" t="str">
        <f aca="false">IF($S2183="","",INDEX(BookRate,2178)*(1+'5. Scenarios'!$E$10)*$S2183)</f>
        <v/>
      </c>
      <c r="U2183" s="57" t="str">
        <f aca="false">IF($T2183="","",SUMIFS($T$6:$T$2405,$A$6:$A$2405,"&lt;="&amp;$A2183))</f>
        <v/>
      </c>
      <c r="V2183" s="57" t="str">
        <f aca="false">IF($T2183="","",IF($U2183&lt;=BankCostEnvelope*'5. Scenarios'!$E$7,1,0))</f>
        <v/>
      </c>
      <c r="W2183" s="57" t="str">
        <f aca="false">IF($S2183="","",INDEX(BookRate,2178)*(1+'5. Scenarios'!$E$10)*(INDEX(BookQ1,2178)*(5-MIN(4,1+'5. Scenarios'!$E$8))/4+INDEX(BookQ2,2178)*(5-MIN(4,2+'5. Scenarios'!$E$8))/4+INDEX(BookQ3,2178)*(5-MIN(4,3+'5. Scenarios'!$E$8))/4+INDEX(BookQ4,2178)*(5-MIN(4,4+'5. Scenarios'!$E$8))/4)*'5. Scenarios'!$E$6/(1+ProductivityDefault*('5. Scenarios'!$E$11-1))+INDEX(BookOneOff,2178)*$S2183)</f>
        <v/>
      </c>
    </row>
    <row r="2184" customFormat="false" ht="15" hidden="false" customHeight="false" outlineLevel="0" collapsed="false">
      <c r="A2184" s="0" t="str">
        <f aca="false">IF(INDEX(BookTitle,2179)="","",INDEX(BookKey,2179))</f>
        <v/>
      </c>
      <c r="B2184" s="0" t="str">
        <f aca="false">IF(INDEX(BookTitle,2179)="","",INDEX(BookGroup,2179))</f>
        <v/>
      </c>
      <c r="C2184" s="0" t="str">
        <f aca="false">IF(INDEX(BookTitle,2179)="","",INDEX(BookCategory,2179))</f>
        <v/>
      </c>
      <c r="D2184" s="56" t="str">
        <f aca="false">IF(INDEX(BookTitle,2179)="","",INDEX(BookTotal,2179)*'5. Scenarios'!$B$6/(1+ProductivityDefault*('5. Scenarios'!$B$11-1)))</f>
        <v/>
      </c>
      <c r="E2184" s="57" t="str">
        <f aca="false">IF($D2184="","",INDEX(BookRate,2179)*(1+'5. Scenarios'!$B$10)*$D2184)</f>
        <v/>
      </c>
      <c r="F2184" s="57" t="str">
        <f aca="false">IF($E2184="","",SUMIFS($E$6:$E$2405,$A$6:$A$2405,"&lt;="&amp;$A2184))</f>
        <v/>
      </c>
      <c r="G2184" s="57" t="str">
        <f aca="false">IF($E2184="","",IF($F2184&lt;=BankCostEnvelope*'5. Scenarios'!$B$7,1,0))</f>
        <v/>
      </c>
      <c r="H2184" s="57" t="str">
        <f aca="false">IF($D2184="","",INDEX(BookRate,2179)*(1+'5. Scenarios'!$B$10)*(INDEX(BookQ1,2179)*(5-MIN(4,1+'5. Scenarios'!$B$8))/4+INDEX(BookQ2,2179)*(5-MIN(4,2+'5. Scenarios'!$B$8))/4+INDEX(BookQ3,2179)*(5-MIN(4,3+'5. Scenarios'!$B$8))/4+INDEX(BookQ4,2179)*(5-MIN(4,4+'5. Scenarios'!$B$8))/4)*'5. Scenarios'!$B$6/(1+ProductivityDefault*('5. Scenarios'!$B$11-1))+INDEX(BookOneOff,2179)*$D2184)</f>
        <v/>
      </c>
      <c r="I2184" s="56" t="str">
        <f aca="false">IF(INDEX(BookTitle,2179)="","",INDEX(BookTotal,2179)*'5. Scenarios'!$C$6/(1+ProductivityDefault*('5. Scenarios'!$C$11-1)))</f>
        <v/>
      </c>
      <c r="J2184" s="57" t="str">
        <f aca="false">IF($I2184="","",INDEX(BookRate,2179)*(1+'5. Scenarios'!$C$10)*$I2184)</f>
        <v/>
      </c>
      <c r="K2184" s="57" t="str">
        <f aca="false">IF($J2184="","",SUMIFS($J$6:$J$2405,$A$6:$A$2405,"&lt;="&amp;$A2184))</f>
        <v/>
      </c>
      <c r="L2184" s="57" t="str">
        <f aca="false">IF($J2184="","",IF($K2184&lt;=BankCostEnvelope*'5. Scenarios'!$C$7,1,0))</f>
        <v/>
      </c>
      <c r="M2184" s="57" t="str">
        <f aca="false">IF($I2184="","",INDEX(BookRate,2179)*(1+'5. Scenarios'!$C$10)*(INDEX(BookQ1,2179)*(5-MIN(4,1+'5. Scenarios'!$C$8))/4+INDEX(BookQ2,2179)*(5-MIN(4,2+'5. Scenarios'!$C$8))/4+INDEX(BookQ3,2179)*(5-MIN(4,3+'5. Scenarios'!$C$8))/4+INDEX(BookQ4,2179)*(5-MIN(4,4+'5. Scenarios'!$C$8))/4)*'5. Scenarios'!$C$6/(1+ProductivityDefault*('5. Scenarios'!$C$11-1))+INDEX(BookOneOff,2179)*$I2184)</f>
        <v/>
      </c>
      <c r="N2184" s="56" t="str">
        <f aca="false">IF(INDEX(BookTitle,2179)="","",INDEX(BookTotal,2179)*'5. Scenarios'!$D$6/(1+ProductivityDefault*('5. Scenarios'!$D$11-1)))</f>
        <v/>
      </c>
      <c r="O2184" s="57" t="str">
        <f aca="false">IF($N2184="","",INDEX(BookRate,2179)*(1+'5. Scenarios'!$D$10)*$N2184)</f>
        <v/>
      </c>
      <c r="P2184" s="57" t="str">
        <f aca="false">IF($O2184="","",SUMIFS($O$6:$O$2405,$A$6:$A$2405,"&lt;="&amp;$A2184))</f>
        <v/>
      </c>
      <c r="Q2184" s="57" t="str">
        <f aca="false">IF($O2184="","",IF($P2184&lt;=BankCostEnvelope*'5. Scenarios'!$D$7,1,0))</f>
        <v/>
      </c>
      <c r="R2184" s="57" t="str">
        <f aca="false">IF($N2184="","",INDEX(BookRate,2179)*(1+'5. Scenarios'!$D$10)*(INDEX(BookQ1,2179)*(5-MIN(4,1+'5. Scenarios'!$D$8))/4+INDEX(BookQ2,2179)*(5-MIN(4,2+'5. Scenarios'!$D$8))/4+INDEX(BookQ3,2179)*(5-MIN(4,3+'5. Scenarios'!$D$8))/4+INDEX(BookQ4,2179)*(5-MIN(4,4+'5. Scenarios'!$D$8))/4)*'5. Scenarios'!$D$6/(1+ProductivityDefault*('5. Scenarios'!$D$11-1))+INDEX(BookOneOff,2179)*$N2184)</f>
        <v/>
      </c>
      <c r="S2184" s="56" t="str">
        <f aca="false">IF(INDEX(BookTitle,2179)="","",INDEX(BookTotal,2179)*'5. Scenarios'!$E$6/(1+ProductivityDefault*('5. Scenarios'!$E$11-1)))</f>
        <v/>
      </c>
      <c r="T2184" s="57" t="str">
        <f aca="false">IF($S2184="","",INDEX(BookRate,2179)*(1+'5. Scenarios'!$E$10)*$S2184)</f>
        <v/>
      </c>
      <c r="U2184" s="57" t="str">
        <f aca="false">IF($T2184="","",SUMIFS($T$6:$T$2405,$A$6:$A$2405,"&lt;="&amp;$A2184))</f>
        <v/>
      </c>
      <c r="V2184" s="57" t="str">
        <f aca="false">IF($T2184="","",IF($U2184&lt;=BankCostEnvelope*'5. Scenarios'!$E$7,1,0))</f>
        <v/>
      </c>
      <c r="W2184" s="57" t="str">
        <f aca="false">IF($S2184="","",INDEX(BookRate,2179)*(1+'5. Scenarios'!$E$10)*(INDEX(BookQ1,2179)*(5-MIN(4,1+'5. Scenarios'!$E$8))/4+INDEX(BookQ2,2179)*(5-MIN(4,2+'5. Scenarios'!$E$8))/4+INDEX(BookQ3,2179)*(5-MIN(4,3+'5. Scenarios'!$E$8))/4+INDEX(BookQ4,2179)*(5-MIN(4,4+'5. Scenarios'!$E$8))/4)*'5. Scenarios'!$E$6/(1+ProductivityDefault*('5. Scenarios'!$E$11-1))+INDEX(BookOneOff,2179)*$S2184)</f>
        <v/>
      </c>
    </row>
    <row r="2185" customFormat="false" ht="15" hidden="false" customHeight="false" outlineLevel="0" collapsed="false">
      <c r="A2185" s="0" t="str">
        <f aca="false">IF(INDEX(BookTitle,2180)="","",INDEX(BookKey,2180))</f>
        <v/>
      </c>
      <c r="B2185" s="0" t="str">
        <f aca="false">IF(INDEX(BookTitle,2180)="","",INDEX(BookGroup,2180))</f>
        <v/>
      </c>
      <c r="C2185" s="0" t="str">
        <f aca="false">IF(INDEX(BookTitle,2180)="","",INDEX(BookCategory,2180))</f>
        <v/>
      </c>
      <c r="D2185" s="56" t="str">
        <f aca="false">IF(INDEX(BookTitle,2180)="","",INDEX(BookTotal,2180)*'5. Scenarios'!$B$6/(1+ProductivityDefault*('5. Scenarios'!$B$11-1)))</f>
        <v/>
      </c>
      <c r="E2185" s="57" t="str">
        <f aca="false">IF($D2185="","",INDEX(BookRate,2180)*(1+'5. Scenarios'!$B$10)*$D2185)</f>
        <v/>
      </c>
      <c r="F2185" s="57" t="str">
        <f aca="false">IF($E2185="","",SUMIFS($E$6:$E$2405,$A$6:$A$2405,"&lt;="&amp;$A2185))</f>
        <v/>
      </c>
      <c r="G2185" s="57" t="str">
        <f aca="false">IF($E2185="","",IF($F2185&lt;=BankCostEnvelope*'5. Scenarios'!$B$7,1,0))</f>
        <v/>
      </c>
      <c r="H2185" s="57" t="str">
        <f aca="false">IF($D2185="","",INDEX(BookRate,2180)*(1+'5. Scenarios'!$B$10)*(INDEX(BookQ1,2180)*(5-MIN(4,1+'5. Scenarios'!$B$8))/4+INDEX(BookQ2,2180)*(5-MIN(4,2+'5. Scenarios'!$B$8))/4+INDEX(BookQ3,2180)*(5-MIN(4,3+'5. Scenarios'!$B$8))/4+INDEX(BookQ4,2180)*(5-MIN(4,4+'5. Scenarios'!$B$8))/4)*'5. Scenarios'!$B$6/(1+ProductivityDefault*('5. Scenarios'!$B$11-1))+INDEX(BookOneOff,2180)*$D2185)</f>
        <v/>
      </c>
      <c r="I2185" s="56" t="str">
        <f aca="false">IF(INDEX(BookTitle,2180)="","",INDEX(BookTotal,2180)*'5. Scenarios'!$C$6/(1+ProductivityDefault*('5. Scenarios'!$C$11-1)))</f>
        <v/>
      </c>
      <c r="J2185" s="57" t="str">
        <f aca="false">IF($I2185="","",INDEX(BookRate,2180)*(1+'5. Scenarios'!$C$10)*$I2185)</f>
        <v/>
      </c>
      <c r="K2185" s="57" t="str">
        <f aca="false">IF($J2185="","",SUMIFS($J$6:$J$2405,$A$6:$A$2405,"&lt;="&amp;$A2185))</f>
        <v/>
      </c>
      <c r="L2185" s="57" t="str">
        <f aca="false">IF($J2185="","",IF($K2185&lt;=BankCostEnvelope*'5. Scenarios'!$C$7,1,0))</f>
        <v/>
      </c>
      <c r="M2185" s="57" t="str">
        <f aca="false">IF($I2185="","",INDEX(BookRate,2180)*(1+'5. Scenarios'!$C$10)*(INDEX(BookQ1,2180)*(5-MIN(4,1+'5. Scenarios'!$C$8))/4+INDEX(BookQ2,2180)*(5-MIN(4,2+'5. Scenarios'!$C$8))/4+INDEX(BookQ3,2180)*(5-MIN(4,3+'5. Scenarios'!$C$8))/4+INDEX(BookQ4,2180)*(5-MIN(4,4+'5. Scenarios'!$C$8))/4)*'5. Scenarios'!$C$6/(1+ProductivityDefault*('5. Scenarios'!$C$11-1))+INDEX(BookOneOff,2180)*$I2185)</f>
        <v/>
      </c>
      <c r="N2185" s="56" t="str">
        <f aca="false">IF(INDEX(BookTitle,2180)="","",INDEX(BookTotal,2180)*'5. Scenarios'!$D$6/(1+ProductivityDefault*('5. Scenarios'!$D$11-1)))</f>
        <v/>
      </c>
      <c r="O2185" s="57" t="str">
        <f aca="false">IF($N2185="","",INDEX(BookRate,2180)*(1+'5. Scenarios'!$D$10)*$N2185)</f>
        <v/>
      </c>
      <c r="P2185" s="57" t="str">
        <f aca="false">IF($O2185="","",SUMIFS($O$6:$O$2405,$A$6:$A$2405,"&lt;="&amp;$A2185))</f>
        <v/>
      </c>
      <c r="Q2185" s="57" t="str">
        <f aca="false">IF($O2185="","",IF($P2185&lt;=BankCostEnvelope*'5. Scenarios'!$D$7,1,0))</f>
        <v/>
      </c>
      <c r="R2185" s="57" t="str">
        <f aca="false">IF($N2185="","",INDEX(BookRate,2180)*(1+'5. Scenarios'!$D$10)*(INDEX(BookQ1,2180)*(5-MIN(4,1+'5. Scenarios'!$D$8))/4+INDEX(BookQ2,2180)*(5-MIN(4,2+'5. Scenarios'!$D$8))/4+INDEX(BookQ3,2180)*(5-MIN(4,3+'5. Scenarios'!$D$8))/4+INDEX(BookQ4,2180)*(5-MIN(4,4+'5. Scenarios'!$D$8))/4)*'5. Scenarios'!$D$6/(1+ProductivityDefault*('5. Scenarios'!$D$11-1))+INDEX(BookOneOff,2180)*$N2185)</f>
        <v/>
      </c>
      <c r="S2185" s="56" t="str">
        <f aca="false">IF(INDEX(BookTitle,2180)="","",INDEX(BookTotal,2180)*'5. Scenarios'!$E$6/(1+ProductivityDefault*('5. Scenarios'!$E$11-1)))</f>
        <v/>
      </c>
      <c r="T2185" s="57" t="str">
        <f aca="false">IF($S2185="","",INDEX(BookRate,2180)*(1+'5. Scenarios'!$E$10)*$S2185)</f>
        <v/>
      </c>
      <c r="U2185" s="57" t="str">
        <f aca="false">IF($T2185="","",SUMIFS($T$6:$T$2405,$A$6:$A$2405,"&lt;="&amp;$A2185))</f>
        <v/>
      </c>
      <c r="V2185" s="57" t="str">
        <f aca="false">IF($T2185="","",IF($U2185&lt;=BankCostEnvelope*'5. Scenarios'!$E$7,1,0))</f>
        <v/>
      </c>
      <c r="W2185" s="57" t="str">
        <f aca="false">IF($S2185="","",INDEX(BookRate,2180)*(1+'5. Scenarios'!$E$10)*(INDEX(BookQ1,2180)*(5-MIN(4,1+'5. Scenarios'!$E$8))/4+INDEX(BookQ2,2180)*(5-MIN(4,2+'5. Scenarios'!$E$8))/4+INDEX(BookQ3,2180)*(5-MIN(4,3+'5. Scenarios'!$E$8))/4+INDEX(BookQ4,2180)*(5-MIN(4,4+'5. Scenarios'!$E$8))/4)*'5. Scenarios'!$E$6/(1+ProductivityDefault*('5. Scenarios'!$E$11-1))+INDEX(BookOneOff,2180)*$S2185)</f>
        <v/>
      </c>
    </row>
    <row r="2186" customFormat="false" ht="15" hidden="false" customHeight="false" outlineLevel="0" collapsed="false">
      <c r="A2186" s="0" t="str">
        <f aca="false">IF(INDEX(BookTitle,2181)="","",INDEX(BookKey,2181))</f>
        <v/>
      </c>
      <c r="B2186" s="0" t="str">
        <f aca="false">IF(INDEX(BookTitle,2181)="","",INDEX(BookGroup,2181))</f>
        <v/>
      </c>
      <c r="C2186" s="0" t="str">
        <f aca="false">IF(INDEX(BookTitle,2181)="","",INDEX(BookCategory,2181))</f>
        <v/>
      </c>
      <c r="D2186" s="56" t="str">
        <f aca="false">IF(INDEX(BookTitle,2181)="","",INDEX(BookTotal,2181)*'5. Scenarios'!$B$6/(1+ProductivityDefault*('5. Scenarios'!$B$11-1)))</f>
        <v/>
      </c>
      <c r="E2186" s="57" t="str">
        <f aca="false">IF($D2186="","",INDEX(BookRate,2181)*(1+'5. Scenarios'!$B$10)*$D2186)</f>
        <v/>
      </c>
      <c r="F2186" s="57" t="str">
        <f aca="false">IF($E2186="","",SUMIFS($E$6:$E$2405,$A$6:$A$2405,"&lt;="&amp;$A2186))</f>
        <v/>
      </c>
      <c r="G2186" s="57" t="str">
        <f aca="false">IF($E2186="","",IF($F2186&lt;=BankCostEnvelope*'5. Scenarios'!$B$7,1,0))</f>
        <v/>
      </c>
      <c r="H2186" s="57" t="str">
        <f aca="false">IF($D2186="","",INDEX(BookRate,2181)*(1+'5. Scenarios'!$B$10)*(INDEX(BookQ1,2181)*(5-MIN(4,1+'5. Scenarios'!$B$8))/4+INDEX(BookQ2,2181)*(5-MIN(4,2+'5. Scenarios'!$B$8))/4+INDEX(BookQ3,2181)*(5-MIN(4,3+'5. Scenarios'!$B$8))/4+INDEX(BookQ4,2181)*(5-MIN(4,4+'5. Scenarios'!$B$8))/4)*'5. Scenarios'!$B$6/(1+ProductivityDefault*('5. Scenarios'!$B$11-1))+INDEX(BookOneOff,2181)*$D2186)</f>
        <v/>
      </c>
      <c r="I2186" s="56" t="str">
        <f aca="false">IF(INDEX(BookTitle,2181)="","",INDEX(BookTotal,2181)*'5. Scenarios'!$C$6/(1+ProductivityDefault*('5. Scenarios'!$C$11-1)))</f>
        <v/>
      </c>
      <c r="J2186" s="57" t="str">
        <f aca="false">IF($I2186="","",INDEX(BookRate,2181)*(1+'5. Scenarios'!$C$10)*$I2186)</f>
        <v/>
      </c>
      <c r="K2186" s="57" t="str">
        <f aca="false">IF($J2186="","",SUMIFS($J$6:$J$2405,$A$6:$A$2405,"&lt;="&amp;$A2186))</f>
        <v/>
      </c>
      <c r="L2186" s="57" t="str">
        <f aca="false">IF($J2186="","",IF($K2186&lt;=BankCostEnvelope*'5. Scenarios'!$C$7,1,0))</f>
        <v/>
      </c>
      <c r="M2186" s="57" t="str">
        <f aca="false">IF($I2186="","",INDEX(BookRate,2181)*(1+'5. Scenarios'!$C$10)*(INDEX(BookQ1,2181)*(5-MIN(4,1+'5. Scenarios'!$C$8))/4+INDEX(BookQ2,2181)*(5-MIN(4,2+'5. Scenarios'!$C$8))/4+INDEX(BookQ3,2181)*(5-MIN(4,3+'5. Scenarios'!$C$8))/4+INDEX(BookQ4,2181)*(5-MIN(4,4+'5. Scenarios'!$C$8))/4)*'5. Scenarios'!$C$6/(1+ProductivityDefault*('5. Scenarios'!$C$11-1))+INDEX(BookOneOff,2181)*$I2186)</f>
        <v/>
      </c>
      <c r="N2186" s="56" t="str">
        <f aca="false">IF(INDEX(BookTitle,2181)="","",INDEX(BookTotal,2181)*'5. Scenarios'!$D$6/(1+ProductivityDefault*('5. Scenarios'!$D$11-1)))</f>
        <v/>
      </c>
      <c r="O2186" s="57" t="str">
        <f aca="false">IF($N2186="","",INDEX(BookRate,2181)*(1+'5. Scenarios'!$D$10)*$N2186)</f>
        <v/>
      </c>
      <c r="P2186" s="57" t="str">
        <f aca="false">IF($O2186="","",SUMIFS($O$6:$O$2405,$A$6:$A$2405,"&lt;="&amp;$A2186))</f>
        <v/>
      </c>
      <c r="Q2186" s="57" t="str">
        <f aca="false">IF($O2186="","",IF($P2186&lt;=BankCostEnvelope*'5. Scenarios'!$D$7,1,0))</f>
        <v/>
      </c>
      <c r="R2186" s="57" t="str">
        <f aca="false">IF($N2186="","",INDEX(BookRate,2181)*(1+'5. Scenarios'!$D$10)*(INDEX(BookQ1,2181)*(5-MIN(4,1+'5. Scenarios'!$D$8))/4+INDEX(BookQ2,2181)*(5-MIN(4,2+'5. Scenarios'!$D$8))/4+INDEX(BookQ3,2181)*(5-MIN(4,3+'5. Scenarios'!$D$8))/4+INDEX(BookQ4,2181)*(5-MIN(4,4+'5. Scenarios'!$D$8))/4)*'5. Scenarios'!$D$6/(1+ProductivityDefault*('5. Scenarios'!$D$11-1))+INDEX(BookOneOff,2181)*$N2186)</f>
        <v/>
      </c>
      <c r="S2186" s="56" t="str">
        <f aca="false">IF(INDEX(BookTitle,2181)="","",INDEX(BookTotal,2181)*'5. Scenarios'!$E$6/(1+ProductivityDefault*('5. Scenarios'!$E$11-1)))</f>
        <v/>
      </c>
      <c r="T2186" s="57" t="str">
        <f aca="false">IF($S2186="","",INDEX(BookRate,2181)*(1+'5. Scenarios'!$E$10)*$S2186)</f>
        <v/>
      </c>
      <c r="U2186" s="57" t="str">
        <f aca="false">IF($T2186="","",SUMIFS($T$6:$T$2405,$A$6:$A$2405,"&lt;="&amp;$A2186))</f>
        <v/>
      </c>
      <c r="V2186" s="57" t="str">
        <f aca="false">IF($T2186="","",IF($U2186&lt;=BankCostEnvelope*'5. Scenarios'!$E$7,1,0))</f>
        <v/>
      </c>
      <c r="W2186" s="57" t="str">
        <f aca="false">IF($S2186="","",INDEX(BookRate,2181)*(1+'5. Scenarios'!$E$10)*(INDEX(BookQ1,2181)*(5-MIN(4,1+'5. Scenarios'!$E$8))/4+INDEX(BookQ2,2181)*(5-MIN(4,2+'5. Scenarios'!$E$8))/4+INDEX(BookQ3,2181)*(5-MIN(4,3+'5. Scenarios'!$E$8))/4+INDEX(BookQ4,2181)*(5-MIN(4,4+'5. Scenarios'!$E$8))/4)*'5. Scenarios'!$E$6/(1+ProductivityDefault*('5. Scenarios'!$E$11-1))+INDEX(BookOneOff,2181)*$S2186)</f>
        <v/>
      </c>
    </row>
    <row r="2187" customFormat="false" ht="15" hidden="false" customHeight="false" outlineLevel="0" collapsed="false">
      <c r="A2187" s="0" t="str">
        <f aca="false">IF(INDEX(BookTitle,2182)="","",INDEX(BookKey,2182))</f>
        <v/>
      </c>
      <c r="B2187" s="0" t="str">
        <f aca="false">IF(INDEX(BookTitle,2182)="","",INDEX(BookGroup,2182))</f>
        <v/>
      </c>
      <c r="C2187" s="0" t="str">
        <f aca="false">IF(INDEX(BookTitle,2182)="","",INDEX(BookCategory,2182))</f>
        <v/>
      </c>
      <c r="D2187" s="56" t="str">
        <f aca="false">IF(INDEX(BookTitle,2182)="","",INDEX(BookTotal,2182)*'5. Scenarios'!$B$6/(1+ProductivityDefault*('5. Scenarios'!$B$11-1)))</f>
        <v/>
      </c>
      <c r="E2187" s="57" t="str">
        <f aca="false">IF($D2187="","",INDEX(BookRate,2182)*(1+'5. Scenarios'!$B$10)*$D2187)</f>
        <v/>
      </c>
      <c r="F2187" s="57" t="str">
        <f aca="false">IF($E2187="","",SUMIFS($E$6:$E$2405,$A$6:$A$2405,"&lt;="&amp;$A2187))</f>
        <v/>
      </c>
      <c r="G2187" s="57" t="str">
        <f aca="false">IF($E2187="","",IF($F2187&lt;=BankCostEnvelope*'5. Scenarios'!$B$7,1,0))</f>
        <v/>
      </c>
      <c r="H2187" s="57" t="str">
        <f aca="false">IF($D2187="","",INDEX(BookRate,2182)*(1+'5. Scenarios'!$B$10)*(INDEX(BookQ1,2182)*(5-MIN(4,1+'5. Scenarios'!$B$8))/4+INDEX(BookQ2,2182)*(5-MIN(4,2+'5. Scenarios'!$B$8))/4+INDEX(BookQ3,2182)*(5-MIN(4,3+'5. Scenarios'!$B$8))/4+INDEX(BookQ4,2182)*(5-MIN(4,4+'5. Scenarios'!$B$8))/4)*'5. Scenarios'!$B$6/(1+ProductivityDefault*('5. Scenarios'!$B$11-1))+INDEX(BookOneOff,2182)*$D2187)</f>
        <v/>
      </c>
      <c r="I2187" s="56" t="str">
        <f aca="false">IF(INDEX(BookTitle,2182)="","",INDEX(BookTotal,2182)*'5. Scenarios'!$C$6/(1+ProductivityDefault*('5. Scenarios'!$C$11-1)))</f>
        <v/>
      </c>
      <c r="J2187" s="57" t="str">
        <f aca="false">IF($I2187="","",INDEX(BookRate,2182)*(1+'5. Scenarios'!$C$10)*$I2187)</f>
        <v/>
      </c>
      <c r="K2187" s="57" t="str">
        <f aca="false">IF($J2187="","",SUMIFS($J$6:$J$2405,$A$6:$A$2405,"&lt;="&amp;$A2187))</f>
        <v/>
      </c>
      <c r="L2187" s="57" t="str">
        <f aca="false">IF($J2187="","",IF($K2187&lt;=BankCostEnvelope*'5. Scenarios'!$C$7,1,0))</f>
        <v/>
      </c>
      <c r="M2187" s="57" t="str">
        <f aca="false">IF($I2187="","",INDEX(BookRate,2182)*(1+'5. Scenarios'!$C$10)*(INDEX(BookQ1,2182)*(5-MIN(4,1+'5. Scenarios'!$C$8))/4+INDEX(BookQ2,2182)*(5-MIN(4,2+'5. Scenarios'!$C$8))/4+INDEX(BookQ3,2182)*(5-MIN(4,3+'5. Scenarios'!$C$8))/4+INDEX(BookQ4,2182)*(5-MIN(4,4+'5. Scenarios'!$C$8))/4)*'5. Scenarios'!$C$6/(1+ProductivityDefault*('5. Scenarios'!$C$11-1))+INDEX(BookOneOff,2182)*$I2187)</f>
        <v/>
      </c>
      <c r="N2187" s="56" t="str">
        <f aca="false">IF(INDEX(BookTitle,2182)="","",INDEX(BookTotal,2182)*'5. Scenarios'!$D$6/(1+ProductivityDefault*('5. Scenarios'!$D$11-1)))</f>
        <v/>
      </c>
      <c r="O2187" s="57" t="str">
        <f aca="false">IF($N2187="","",INDEX(BookRate,2182)*(1+'5. Scenarios'!$D$10)*$N2187)</f>
        <v/>
      </c>
      <c r="P2187" s="57" t="str">
        <f aca="false">IF($O2187="","",SUMIFS($O$6:$O$2405,$A$6:$A$2405,"&lt;="&amp;$A2187))</f>
        <v/>
      </c>
      <c r="Q2187" s="57" t="str">
        <f aca="false">IF($O2187="","",IF($P2187&lt;=BankCostEnvelope*'5. Scenarios'!$D$7,1,0))</f>
        <v/>
      </c>
      <c r="R2187" s="57" t="str">
        <f aca="false">IF($N2187="","",INDEX(BookRate,2182)*(1+'5. Scenarios'!$D$10)*(INDEX(BookQ1,2182)*(5-MIN(4,1+'5. Scenarios'!$D$8))/4+INDEX(BookQ2,2182)*(5-MIN(4,2+'5. Scenarios'!$D$8))/4+INDEX(BookQ3,2182)*(5-MIN(4,3+'5. Scenarios'!$D$8))/4+INDEX(BookQ4,2182)*(5-MIN(4,4+'5. Scenarios'!$D$8))/4)*'5. Scenarios'!$D$6/(1+ProductivityDefault*('5. Scenarios'!$D$11-1))+INDEX(BookOneOff,2182)*$N2187)</f>
        <v/>
      </c>
      <c r="S2187" s="56" t="str">
        <f aca="false">IF(INDEX(BookTitle,2182)="","",INDEX(BookTotal,2182)*'5. Scenarios'!$E$6/(1+ProductivityDefault*('5. Scenarios'!$E$11-1)))</f>
        <v/>
      </c>
      <c r="T2187" s="57" t="str">
        <f aca="false">IF($S2187="","",INDEX(BookRate,2182)*(1+'5. Scenarios'!$E$10)*$S2187)</f>
        <v/>
      </c>
      <c r="U2187" s="57" t="str">
        <f aca="false">IF($T2187="","",SUMIFS($T$6:$T$2405,$A$6:$A$2405,"&lt;="&amp;$A2187))</f>
        <v/>
      </c>
      <c r="V2187" s="57" t="str">
        <f aca="false">IF($T2187="","",IF($U2187&lt;=BankCostEnvelope*'5. Scenarios'!$E$7,1,0))</f>
        <v/>
      </c>
      <c r="W2187" s="57" t="str">
        <f aca="false">IF($S2187="","",INDEX(BookRate,2182)*(1+'5. Scenarios'!$E$10)*(INDEX(BookQ1,2182)*(5-MIN(4,1+'5. Scenarios'!$E$8))/4+INDEX(BookQ2,2182)*(5-MIN(4,2+'5. Scenarios'!$E$8))/4+INDEX(BookQ3,2182)*(5-MIN(4,3+'5. Scenarios'!$E$8))/4+INDEX(BookQ4,2182)*(5-MIN(4,4+'5. Scenarios'!$E$8))/4)*'5. Scenarios'!$E$6/(1+ProductivityDefault*('5. Scenarios'!$E$11-1))+INDEX(BookOneOff,2182)*$S2187)</f>
        <v/>
      </c>
    </row>
    <row r="2188" customFormat="false" ht="15" hidden="false" customHeight="false" outlineLevel="0" collapsed="false">
      <c r="A2188" s="0" t="str">
        <f aca="false">IF(INDEX(BookTitle,2183)="","",INDEX(BookKey,2183))</f>
        <v/>
      </c>
      <c r="B2188" s="0" t="str">
        <f aca="false">IF(INDEX(BookTitle,2183)="","",INDEX(BookGroup,2183))</f>
        <v/>
      </c>
      <c r="C2188" s="0" t="str">
        <f aca="false">IF(INDEX(BookTitle,2183)="","",INDEX(BookCategory,2183))</f>
        <v/>
      </c>
      <c r="D2188" s="56" t="str">
        <f aca="false">IF(INDEX(BookTitle,2183)="","",INDEX(BookTotal,2183)*'5. Scenarios'!$B$6/(1+ProductivityDefault*('5. Scenarios'!$B$11-1)))</f>
        <v/>
      </c>
      <c r="E2188" s="57" t="str">
        <f aca="false">IF($D2188="","",INDEX(BookRate,2183)*(1+'5. Scenarios'!$B$10)*$D2188)</f>
        <v/>
      </c>
      <c r="F2188" s="57" t="str">
        <f aca="false">IF($E2188="","",SUMIFS($E$6:$E$2405,$A$6:$A$2405,"&lt;="&amp;$A2188))</f>
        <v/>
      </c>
      <c r="G2188" s="57" t="str">
        <f aca="false">IF($E2188="","",IF($F2188&lt;=BankCostEnvelope*'5. Scenarios'!$B$7,1,0))</f>
        <v/>
      </c>
      <c r="H2188" s="57" t="str">
        <f aca="false">IF($D2188="","",INDEX(BookRate,2183)*(1+'5. Scenarios'!$B$10)*(INDEX(BookQ1,2183)*(5-MIN(4,1+'5. Scenarios'!$B$8))/4+INDEX(BookQ2,2183)*(5-MIN(4,2+'5. Scenarios'!$B$8))/4+INDEX(BookQ3,2183)*(5-MIN(4,3+'5. Scenarios'!$B$8))/4+INDEX(BookQ4,2183)*(5-MIN(4,4+'5. Scenarios'!$B$8))/4)*'5. Scenarios'!$B$6/(1+ProductivityDefault*('5. Scenarios'!$B$11-1))+INDEX(BookOneOff,2183)*$D2188)</f>
        <v/>
      </c>
      <c r="I2188" s="56" t="str">
        <f aca="false">IF(INDEX(BookTitle,2183)="","",INDEX(BookTotal,2183)*'5. Scenarios'!$C$6/(1+ProductivityDefault*('5. Scenarios'!$C$11-1)))</f>
        <v/>
      </c>
      <c r="J2188" s="57" t="str">
        <f aca="false">IF($I2188="","",INDEX(BookRate,2183)*(1+'5. Scenarios'!$C$10)*$I2188)</f>
        <v/>
      </c>
      <c r="K2188" s="57" t="str">
        <f aca="false">IF($J2188="","",SUMIFS($J$6:$J$2405,$A$6:$A$2405,"&lt;="&amp;$A2188))</f>
        <v/>
      </c>
      <c r="L2188" s="57" t="str">
        <f aca="false">IF($J2188="","",IF($K2188&lt;=BankCostEnvelope*'5. Scenarios'!$C$7,1,0))</f>
        <v/>
      </c>
      <c r="M2188" s="57" t="str">
        <f aca="false">IF($I2188="","",INDEX(BookRate,2183)*(1+'5. Scenarios'!$C$10)*(INDEX(BookQ1,2183)*(5-MIN(4,1+'5. Scenarios'!$C$8))/4+INDEX(BookQ2,2183)*(5-MIN(4,2+'5. Scenarios'!$C$8))/4+INDEX(BookQ3,2183)*(5-MIN(4,3+'5. Scenarios'!$C$8))/4+INDEX(BookQ4,2183)*(5-MIN(4,4+'5. Scenarios'!$C$8))/4)*'5. Scenarios'!$C$6/(1+ProductivityDefault*('5. Scenarios'!$C$11-1))+INDEX(BookOneOff,2183)*$I2188)</f>
        <v/>
      </c>
      <c r="N2188" s="56" t="str">
        <f aca="false">IF(INDEX(BookTitle,2183)="","",INDEX(BookTotal,2183)*'5. Scenarios'!$D$6/(1+ProductivityDefault*('5. Scenarios'!$D$11-1)))</f>
        <v/>
      </c>
      <c r="O2188" s="57" t="str">
        <f aca="false">IF($N2188="","",INDEX(BookRate,2183)*(1+'5. Scenarios'!$D$10)*$N2188)</f>
        <v/>
      </c>
      <c r="P2188" s="57" t="str">
        <f aca="false">IF($O2188="","",SUMIFS($O$6:$O$2405,$A$6:$A$2405,"&lt;="&amp;$A2188))</f>
        <v/>
      </c>
      <c r="Q2188" s="57" t="str">
        <f aca="false">IF($O2188="","",IF($P2188&lt;=BankCostEnvelope*'5. Scenarios'!$D$7,1,0))</f>
        <v/>
      </c>
      <c r="R2188" s="57" t="str">
        <f aca="false">IF($N2188="","",INDEX(BookRate,2183)*(1+'5. Scenarios'!$D$10)*(INDEX(BookQ1,2183)*(5-MIN(4,1+'5. Scenarios'!$D$8))/4+INDEX(BookQ2,2183)*(5-MIN(4,2+'5. Scenarios'!$D$8))/4+INDEX(BookQ3,2183)*(5-MIN(4,3+'5. Scenarios'!$D$8))/4+INDEX(BookQ4,2183)*(5-MIN(4,4+'5. Scenarios'!$D$8))/4)*'5. Scenarios'!$D$6/(1+ProductivityDefault*('5. Scenarios'!$D$11-1))+INDEX(BookOneOff,2183)*$N2188)</f>
        <v/>
      </c>
      <c r="S2188" s="56" t="str">
        <f aca="false">IF(INDEX(BookTitle,2183)="","",INDEX(BookTotal,2183)*'5. Scenarios'!$E$6/(1+ProductivityDefault*('5. Scenarios'!$E$11-1)))</f>
        <v/>
      </c>
      <c r="T2188" s="57" t="str">
        <f aca="false">IF($S2188="","",INDEX(BookRate,2183)*(1+'5. Scenarios'!$E$10)*$S2188)</f>
        <v/>
      </c>
      <c r="U2188" s="57" t="str">
        <f aca="false">IF($T2188="","",SUMIFS($T$6:$T$2405,$A$6:$A$2405,"&lt;="&amp;$A2188))</f>
        <v/>
      </c>
      <c r="V2188" s="57" t="str">
        <f aca="false">IF($T2188="","",IF($U2188&lt;=BankCostEnvelope*'5. Scenarios'!$E$7,1,0))</f>
        <v/>
      </c>
      <c r="W2188" s="57" t="str">
        <f aca="false">IF($S2188="","",INDEX(BookRate,2183)*(1+'5. Scenarios'!$E$10)*(INDEX(BookQ1,2183)*(5-MIN(4,1+'5. Scenarios'!$E$8))/4+INDEX(BookQ2,2183)*(5-MIN(4,2+'5. Scenarios'!$E$8))/4+INDEX(BookQ3,2183)*(5-MIN(4,3+'5. Scenarios'!$E$8))/4+INDEX(BookQ4,2183)*(5-MIN(4,4+'5. Scenarios'!$E$8))/4)*'5. Scenarios'!$E$6/(1+ProductivityDefault*('5. Scenarios'!$E$11-1))+INDEX(BookOneOff,2183)*$S2188)</f>
        <v/>
      </c>
    </row>
    <row r="2189" customFormat="false" ht="15" hidden="false" customHeight="false" outlineLevel="0" collapsed="false">
      <c r="A2189" s="0" t="str">
        <f aca="false">IF(INDEX(BookTitle,2184)="","",INDEX(BookKey,2184))</f>
        <v/>
      </c>
      <c r="B2189" s="0" t="str">
        <f aca="false">IF(INDEX(BookTitle,2184)="","",INDEX(BookGroup,2184))</f>
        <v/>
      </c>
      <c r="C2189" s="0" t="str">
        <f aca="false">IF(INDEX(BookTitle,2184)="","",INDEX(BookCategory,2184))</f>
        <v/>
      </c>
      <c r="D2189" s="56" t="str">
        <f aca="false">IF(INDEX(BookTitle,2184)="","",INDEX(BookTotal,2184)*'5. Scenarios'!$B$6/(1+ProductivityDefault*('5. Scenarios'!$B$11-1)))</f>
        <v/>
      </c>
      <c r="E2189" s="57" t="str">
        <f aca="false">IF($D2189="","",INDEX(BookRate,2184)*(1+'5. Scenarios'!$B$10)*$D2189)</f>
        <v/>
      </c>
      <c r="F2189" s="57" t="str">
        <f aca="false">IF($E2189="","",SUMIFS($E$6:$E$2405,$A$6:$A$2405,"&lt;="&amp;$A2189))</f>
        <v/>
      </c>
      <c r="G2189" s="57" t="str">
        <f aca="false">IF($E2189="","",IF($F2189&lt;=BankCostEnvelope*'5. Scenarios'!$B$7,1,0))</f>
        <v/>
      </c>
      <c r="H2189" s="57" t="str">
        <f aca="false">IF($D2189="","",INDEX(BookRate,2184)*(1+'5. Scenarios'!$B$10)*(INDEX(BookQ1,2184)*(5-MIN(4,1+'5. Scenarios'!$B$8))/4+INDEX(BookQ2,2184)*(5-MIN(4,2+'5. Scenarios'!$B$8))/4+INDEX(BookQ3,2184)*(5-MIN(4,3+'5. Scenarios'!$B$8))/4+INDEX(BookQ4,2184)*(5-MIN(4,4+'5. Scenarios'!$B$8))/4)*'5. Scenarios'!$B$6/(1+ProductivityDefault*('5. Scenarios'!$B$11-1))+INDEX(BookOneOff,2184)*$D2189)</f>
        <v/>
      </c>
      <c r="I2189" s="56" t="str">
        <f aca="false">IF(INDEX(BookTitle,2184)="","",INDEX(BookTotal,2184)*'5. Scenarios'!$C$6/(1+ProductivityDefault*('5. Scenarios'!$C$11-1)))</f>
        <v/>
      </c>
      <c r="J2189" s="57" t="str">
        <f aca="false">IF($I2189="","",INDEX(BookRate,2184)*(1+'5. Scenarios'!$C$10)*$I2189)</f>
        <v/>
      </c>
      <c r="K2189" s="57" t="str">
        <f aca="false">IF($J2189="","",SUMIFS($J$6:$J$2405,$A$6:$A$2405,"&lt;="&amp;$A2189))</f>
        <v/>
      </c>
      <c r="L2189" s="57" t="str">
        <f aca="false">IF($J2189="","",IF($K2189&lt;=BankCostEnvelope*'5. Scenarios'!$C$7,1,0))</f>
        <v/>
      </c>
      <c r="M2189" s="57" t="str">
        <f aca="false">IF($I2189="","",INDEX(BookRate,2184)*(1+'5. Scenarios'!$C$10)*(INDEX(BookQ1,2184)*(5-MIN(4,1+'5. Scenarios'!$C$8))/4+INDEX(BookQ2,2184)*(5-MIN(4,2+'5. Scenarios'!$C$8))/4+INDEX(BookQ3,2184)*(5-MIN(4,3+'5. Scenarios'!$C$8))/4+INDEX(BookQ4,2184)*(5-MIN(4,4+'5. Scenarios'!$C$8))/4)*'5. Scenarios'!$C$6/(1+ProductivityDefault*('5. Scenarios'!$C$11-1))+INDEX(BookOneOff,2184)*$I2189)</f>
        <v/>
      </c>
      <c r="N2189" s="56" t="str">
        <f aca="false">IF(INDEX(BookTitle,2184)="","",INDEX(BookTotal,2184)*'5. Scenarios'!$D$6/(1+ProductivityDefault*('5. Scenarios'!$D$11-1)))</f>
        <v/>
      </c>
      <c r="O2189" s="57" t="str">
        <f aca="false">IF($N2189="","",INDEX(BookRate,2184)*(1+'5. Scenarios'!$D$10)*$N2189)</f>
        <v/>
      </c>
      <c r="P2189" s="57" t="str">
        <f aca="false">IF($O2189="","",SUMIFS($O$6:$O$2405,$A$6:$A$2405,"&lt;="&amp;$A2189))</f>
        <v/>
      </c>
      <c r="Q2189" s="57" t="str">
        <f aca="false">IF($O2189="","",IF($P2189&lt;=BankCostEnvelope*'5. Scenarios'!$D$7,1,0))</f>
        <v/>
      </c>
      <c r="R2189" s="57" t="str">
        <f aca="false">IF($N2189="","",INDEX(BookRate,2184)*(1+'5. Scenarios'!$D$10)*(INDEX(BookQ1,2184)*(5-MIN(4,1+'5. Scenarios'!$D$8))/4+INDEX(BookQ2,2184)*(5-MIN(4,2+'5. Scenarios'!$D$8))/4+INDEX(BookQ3,2184)*(5-MIN(4,3+'5. Scenarios'!$D$8))/4+INDEX(BookQ4,2184)*(5-MIN(4,4+'5. Scenarios'!$D$8))/4)*'5. Scenarios'!$D$6/(1+ProductivityDefault*('5. Scenarios'!$D$11-1))+INDEX(BookOneOff,2184)*$N2189)</f>
        <v/>
      </c>
      <c r="S2189" s="56" t="str">
        <f aca="false">IF(INDEX(BookTitle,2184)="","",INDEX(BookTotal,2184)*'5. Scenarios'!$E$6/(1+ProductivityDefault*('5. Scenarios'!$E$11-1)))</f>
        <v/>
      </c>
      <c r="T2189" s="57" t="str">
        <f aca="false">IF($S2189="","",INDEX(BookRate,2184)*(1+'5. Scenarios'!$E$10)*$S2189)</f>
        <v/>
      </c>
      <c r="U2189" s="57" t="str">
        <f aca="false">IF($T2189="","",SUMIFS($T$6:$T$2405,$A$6:$A$2405,"&lt;="&amp;$A2189))</f>
        <v/>
      </c>
      <c r="V2189" s="57" t="str">
        <f aca="false">IF($T2189="","",IF($U2189&lt;=BankCostEnvelope*'5. Scenarios'!$E$7,1,0))</f>
        <v/>
      </c>
      <c r="W2189" s="57" t="str">
        <f aca="false">IF($S2189="","",INDEX(BookRate,2184)*(1+'5. Scenarios'!$E$10)*(INDEX(BookQ1,2184)*(5-MIN(4,1+'5. Scenarios'!$E$8))/4+INDEX(BookQ2,2184)*(5-MIN(4,2+'5. Scenarios'!$E$8))/4+INDEX(BookQ3,2184)*(5-MIN(4,3+'5. Scenarios'!$E$8))/4+INDEX(BookQ4,2184)*(5-MIN(4,4+'5. Scenarios'!$E$8))/4)*'5. Scenarios'!$E$6/(1+ProductivityDefault*('5. Scenarios'!$E$11-1))+INDEX(BookOneOff,2184)*$S2189)</f>
        <v/>
      </c>
    </row>
    <row r="2190" customFormat="false" ht="15" hidden="false" customHeight="false" outlineLevel="0" collapsed="false">
      <c r="A2190" s="0" t="str">
        <f aca="false">IF(INDEX(BookTitle,2185)="","",INDEX(BookKey,2185))</f>
        <v/>
      </c>
      <c r="B2190" s="0" t="str">
        <f aca="false">IF(INDEX(BookTitle,2185)="","",INDEX(BookGroup,2185))</f>
        <v/>
      </c>
      <c r="C2190" s="0" t="str">
        <f aca="false">IF(INDEX(BookTitle,2185)="","",INDEX(BookCategory,2185))</f>
        <v/>
      </c>
      <c r="D2190" s="56" t="str">
        <f aca="false">IF(INDEX(BookTitle,2185)="","",INDEX(BookTotal,2185)*'5. Scenarios'!$B$6/(1+ProductivityDefault*('5. Scenarios'!$B$11-1)))</f>
        <v/>
      </c>
      <c r="E2190" s="57" t="str">
        <f aca="false">IF($D2190="","",INDEX(BookRate,2185)*(1+'5. Scenarios'!$B$10)*$D2190)</f>
        <v/>
      </c>
      <c r="F2190" s="57" t="str">
        <f aca="false">IF($E2190="","",SUMIFS($E$6:$E$2405,$A$6:$A$2405,"&lt;="&amp;$A2190))</f>
        <v/>
      </c>
      <c r="G2190" s="57" t="str">
        <f aca="false">IF($E2190="","",IF($F2190&lt;=BankCostEnvelope*'5. Scenarios'!$B$7,1,0))</f>
        <v/>
      </c>
      <c r="H2190" s="57" t="str">
        <f aca="false">IF($D2190="","",INDEX(BookRate,2185)*(1+'5. Scenarios'!$B$10)*(INDEX(BookQ1,2185)*(5-MIN(4,1+'5. Scenarios'!$B$8))/4+INDEX(BookQ2,2185)*(5-MIN(4,2+'5. Scenarios'!$B$8))/4+INDEX(BookQ3,2185)*(5-MIN(4,3+'5. Scenarios'!$B$8))/4+INDEX(BookQ4,2185)*(5-MIN(4,4+'5. Scenarios'!$B$8))/4)*'5. Scenarios'!$B$6/(1+ProductivityDefault*('5. Scenarios'!$B$11-1))+INDEX(BookOneOff,2185)*$D2190)</f>
        <v/>
      </c>
      <c r="I2190" s="56" t="str">
        <f aca="false">IF(INDEX(BookTitle,2185)="","",INDEX(BookTotal,2185)*'5. Scenarios'!$C$6/(1+ProductivityDefault*('5. Scenarios'!$C$11-1)))</f>
        <v/>
      </c>
      <c r="J2190" s="57" t="str">
        <f aca="false">IF($I2190="","",INDEX(BookRate,2185)*(1+'5. Scenarios'!$C$10)*$I2190)</f>
        <v/>
      </c>
      <c r="K2190" s="57" t="str">
        <f aca="false">IF($J2190="","",SUMIFS($J$6:$J$2405,$A$6:$A$2405,"&lt;="&amp;$A2190))</f>
        <v/>
      </c>
      <c r="L2190" s="57" t="str">
        <f aca="false">IF($J2190="","",IF($K2190&lt;=BankCostEnvelope*'5. Scenarios'!$C$7,1,0))</f>
        <v/>
      </c>
      <c r="M2190" s="57" t="str">
        <f aca="false">IF($I2190="","",INDEX(BookRate,2185)*(1+'5. Scenarios'!$C$10)*(INDEX(BookQ1,2185)*(5-MIN(4,1+'5. Scenarios'!$C$8))/4+INDEX(BookQ2,2185)*(5-MIN(4,2+'5. Scenarios'!$C$8))/4+INDEX(BookQ3,2185)*(5-MIN(4,3+'5. Scenarios'!$C$8))/4+INDEX(BookQ4,2185)*(5-MIN(4,4+'5. Scenarios'!$C$8))/4)*'5. Scenarios'!$C$6/(1+ProductivityDefault*('5. Scenarios'!$C$11-1))+INDEX(BookOneOff,2185)*$I2190)</f>
        <v/>
      </c>
      <c r="N2190" s="56" t="str">
        <f aca="false">IF(INDEX(BookTitle,2185)="","",INDEX(BookTotal,2185)*'5. Scenarios'!$D$6/(1+ProductivityDefault*('5. Scenarios'!$D$11-1)))</f>
        <v/>
      </c>
      <c r="O2190" s="57" t="str">
        <f aca="false">IF($N2190="","",INDEX(BookRate,2185)*(1+'5. Scenarios'!$D$10)*$N2190)</f>
        <v/>
      </c>
      <c r="P2190" s="57" t="str">
        <f aca="false">IF($O2190="","",SUMIFS($O$6:$O$2405,$A$6:$A$2405,"&lt;="&amp;$A2190))</f>
        <v/>
      </c>
      <c r="Q2190" s="57" t="str">
        <f aca="false">IF($O2190="","",IF($P2190&lt;=BankCostEnvelope*'5. Scenarios'!$D$7,1,0))</f>
        <v/>
      </c>
      <c r="R2190" s="57" t="str">
        <f aca="false">IF($N2190="","",INDEX(BookRate,2185)*(1+'5. Scenarios'!$D$10)*(INDEX(BookQ1,2185)*(5-MIN(4,1+'5. Scenarios'!$D$8))/4+INDEX(BookQ2,2185)*(5-MIN(4,2+'5. Scenarios'!$D$8))/4+INDEX(BookQ3,2185)*(5-MIN(4,3+'5. Scenarios'!$D$8))/4+INDEX(BookQ4,2185)*(5-MIN(4,4+'5. Scenarios'!$D$8))/4)*'5. Scenarios'!$D$6/(1+ProductivityDefault*('5. Scenarios'!$D$11-1))+INDEX(BookOneOff,2185)*$N2190)</f>
        <v/>
      </c>
      <c r="S2190" s="56" t="str">
        <f aca="false">IF(INDEX(BookTitle,2185)="","",INDEX(BookTotal,2185)*'5. Scenarios'!$E$6/(1+ProductivityDefault*('5. Scenarios'!$E$11-1)))</f>
        <v/>
      </c>
      <c r="T2190" s="57" t="str">
        <f aca="false">IF($S2190="","",INDEX(BookRate,2185)*(1+'5. Scenarios'!$E$10)*$S2190)</f>
        <v/>
      </c>
      <c r="U2190" s="57" t="str">
        <f aca="false">IF($T2190="","",SUMIFS($T$6:$T$2405,$A$6:$A$2405,"&lt;="&amp;$A2190))</f>
        <v/>
      </c>
      <c r="V2190" s="57" t="str">
        <f aca="false">IF($T2190="","",IF($U2190&lt;=BankCostEnvelope*'5. Scenarios'!$E$7,1,0))</f>
        <v/>
      </c>
      <c r="W2190" s="57" t="str">
        <f aca="false">IF($S2190="","",INDEX(BookRate,2185)*(1+'5. Scenarios'!$E$10)*(INDEX(BookQ1,2185)*(5-MIN(4,1+'5. Scenarios'!$E$8))/4+INDEX(BookQ2,2185)*(5-MIN(4,2+'5. Scenarios'!$E$8))/4+INDEX(BookQ3,2185)*(5-MIN(4,3+'5. Scenarios'!$E$8))/4+INDEX(BookQ4,2185)*(5-MIN(4,4+'5. Scenarios'!$E$8))/4)*'5. Scenarios'!$E$6/(1+ProductivityDefault*('5. Scenarios'!$E$11-1))+INDEX(BookOneOff,2185)*$S2190)</f>
        <v/>
      </c>
    </row>
    <row r="2191" customFormat="false" ht="15" hidden="false" customHeight="false" outlineLevel="0" collapsed="false">
      <c r="A2191" s="0" t="str">
        <f aca="false">IF(INDEX(BookTitle,2186)="","",INDEX(BookKey,2186))</f>
        <v/>
      </c>
      <c r="B2191" s="0" t="str">
        <f aca="false">IF(INDEX(BookTitle,2186)="","",INDEX(BookGroup,2186))</f>
        <v/>
      </c>
      <c r="C2191" s="0" t="str">
        <f aca="false">IF(INDEX(BookTitle,2186)="","",INDEX(BookCategory,2186))</f>
        <v/>
      </c>
      <c r="D2191" s="56" t="str">
        <f aca="false">IF(INDEX(BookTitle,2186)="","",INDEX(BookTotal,2186)*'5. Scenarios'!$B$6/(1+ProductivityDefault*('5. Scenarios'!$B$11-1)))</f>
        <v/>
      </c>
      <c r="E2191" s="57" t="str">
        <f aca="false">IF($D2191="","",INDEX(BookRate,2186)*(1+'5. Scenarios'!$B$10)*$D2191)</f>
        <v/>
      </c>
      <c r="F2191" s="57" t="str">
        <f aca="false">IF($E2191="","",SUMIFS($E$6:$E$2405,$A$6:$A$2405,"&lt;="&amp;$A2191))</f>
        <v/>
      </c>
      <c r="G2191" s="57" t="str">
        <f aca="false">IF($E2191="","",IF($F2191&lt;=BankCostEnvelope*'5. Scenarios'!$B$7,1,0))</f>
        <v/>
      </c>
      <c r="H2191" s="57" t="str">
        <f aca="false">IF($D2191="","",INDEX(BookRate,2186)*(1+'5. Scenarios'!$B$10)*(INDEX(BookQ1,2186)*(5-MIN(4,1+'5. Scenarios'!$B$8))/4+INDEX(BookQ2,2186)*(5-MIN(4,2+'5. Scenarios'!$B$8))/4+INDEX(BookQ3,2186)*(5-MIN(4,3+'5. Scenarios'!$B$8))/4+INDEX(BookQ4,2186)*(5-MIN(4,4+'5. Scenarios'!$B$8))/4)*'5. Scenarios'!$B$6/(1+ProductivityDefault*('5. Scenarios'!$B$11-1))+INDEX(BookOneOff,2186)*$D2191)</f>
        <v/>
      </c>
      <c r="I2191" s="56" t="str">
        <f aca="false">IF(INDEX(BookTitle,2186)="","",INDEX(BookTotal,2186)*'5. Scenarios'!$C$6/(1+ProductivityDefault*('5. Scenarios'!$C$11-1)))</f>
        <v/>
      </c>
      <c r="J2191" s="57" t="str">
        <f aca="false">IF($I2191="","",INDEX(BookRate,2186)*(1+'5. Scenarios'!$C$10)*$I2191)</f>
        <v/>
      </c>
      <c r="K2191" s="57" t="str">
        <f aca="false">IF($J2191="","",SUMIFS($J$6:$J$2405,$A$6:$A$2405,"&lt;="&amp;$A2191))</f>
        <v/>
      </c>
      <c r="L2191" s="57" t="str">
        <f aca="false">IF($J2191="","",IF($K2191&lt;=BankCostEnvelope*'5. Scenarios'!$C$7,1,0))</f>
        <v/>
      </c>
      <c r="M2191" s="57" t="str">
        <f aca="false">IF($I2191="","",INDEX(BookRate,2186)*(1+'5. Scenarios'!$C$10)*(INDEX(BookQ1,2186)*(5-MIN(4,1+'5. Scenarios'!$C$8))/4+INDEX(BookQ2,2186)*(5-MIN(4,2+'5. Scenarios'!$C$8))/4+INDEX(BookQ3,2186)*(5-MIN(4,3+'5. Scenarios'!$C$8))/4+INDEX(BookQ4,2186)*(5-MIN(4,4+'5. Scenarios'!$C$8))/4)*'5. Scenarios'!$C$6/(1+ProductivityDefault*('5. Scenarios'!$C$11-1))+INDEX(BookOneOff,2186)*$I2191)</f>
        <v/>
      </c>
      <c r="N2191" s="56" t="str">
        <f aca="false">IF(INDEX(BookTitle,2186)="","",INDEX(BookTotal,2186)*'5. Scenarios'!$D$6/(1+ProductivityDefault*('5. Scenarios'!$D$11-1)))</f>
        <v/>
      </c>
      <c r="O2191" s="57" t="str">
        <f aca="false">IF($N2191="","",INDEX(BookRate,2186)*(1+'5. Scenarios'!$D$10)*$N2191)</f>
        <v/>
      </c>
      <c r="P2191" s="57" t="str">
        <f aca="false">IF($O2191="","",SUMIFS($O$6:$O$2405,$A$6:$A$2405,"&lt;="&amp;$A2191))</f>
        <v/>
      </c>
      <c r="Q2191" s="57" t="str">
        <f aca="false">IF($O2191="","",IF($P2191&lt;=BankCostEnvelope*'5. Scenarios'!$D$7,1,0))</f>
        <v/>
      </c>
      <c r="R2191" s="57" t="str">
        <f aca="false">IF($N2191="","",INDEX(BookRate,2186)*(1+'5. Scenarios'!$D$10)*(INDEX(BookQ1,2186)*(5-MIN(4,1+'5. Scenarios'!$D$8))/4+INDEX(BookQ2,2186)*(5-MIN(4,2+'5. Scenarios'!$D$8))/4+INDEX(BookQ3,2186)*(5-MIN(4,3+'5. Scenarios'!$D$8))/4+INDEX(BookQ4,2186)*(5-MIN(4,4+'5. Scenarios'!$D$8))/4)*'5. Scenarios'!$D$6/(1+ProductivityDefault*('5. Scenarios'!$D$11-1))+INDEX(BookOneOff,2186)*$N2191)</f>
        <v/>
      </c>
      <c r="S2191" s="56" t="str">
        <f aca="false">IF(INDEX(BookTitle,2186)="","",INDEX(BookTotal,2186)*'5. Scenarios'!$E$6/(1+ProductivityDefault*('5. Scenarios'!$E$11-1)))</f>
        <v/>
      </c>
      <c r="T2191" s="57" t="str">
        <f aca="false">IF($S2191="","",INDEX(BookRate,2186)*(1+'5. Scenarios'!$E$10)*$S2191)</f>
        <v/>
      </c>
      <c r="U2191" s="57" t="str">
        <f aca="false">IF($T2191="","",SUMIFS($T$6:$T$2405,$A$6:$A$2405,"&lt;="&amp;$A2191))</f>
        <v/>
      </c>
      <c r="V2191" s="57" t="str">
        <f aca="false">IF($T2191="","",IF($U2191&lt;=BankCostEnvelope*'5. Scenarios'!$E$7,1,0))</f>
        <v/>
      </c>
      <c r="W2191" s="57" t="str">
        <f aca="false">IF($S2191="","",INDEX(BookRate,2186)*(1+'5. Scenarios'!$E$10)*(INDEX(BookQ1,2186)*(5-MIN(4,1+'5. Scenarios'!$E$8))/4+INDEX(BookQ2,2186)*(5-MIN(4,2+'5. Scenarios'!$E$8))/4+INDEX(BookQ3,2186)*(5-MIN(4,3+'5. Scenarios'!$E$8))/4+INDEX(BookQ4,2186)*(5-MIN(4,4+'5. Scenarios'!$E$8))/4)*'5. Scenarios'!$E$6/(1+ProductivityDefault*('5. Scenarios'!$E$11-1))+INDEX(BookOneOff,2186)*$S2191)</f>
        <v/>
      </c>
    </row>
    <row r="2192" customFormat="false" ht="15" hidden="false" customHeight="false" outlineLevel="0" collapsed="false">
      <c r="A2192" s="0" t="str">
        <f aca="false">IF(INDEX(BookTitle,2187)="","",INDEX(BookKey,2187))</f>
        <v/>
      </c>
      <c r="B2192" s="0" t="str">
        <f aca="false">IF(INDEX(BookTitle,2187)="","",INDEX(BookGroup,2187))</f>
        <v/>
      </c>
      <c r="C2192" s="0" t="str">
        <f aca="false">IF(INDEX(BookTitle,2187)="","",INDEX(BookCategory,2187))</f>
        <v/>
      </c>
      <c r="D2192" s="56" t="str">
        <f aca="false">IF(INDEX(BookTitle,2187)="","",INDEX(BookTotal,2187)*'5. Scenarios'!$B$6/(1+ProductivityDefault*('5. Scenarios'!$B$11-1)))</f>
        <v/>
      </c>
      <c r="E2192" s="57" t="str">
        <f aca="false">IF($D2192="","",INDEX(BookRate,2187)*(1+'5. Scenarios'!$B$10)*$D2192)</f>
        <v/>
      </c>
      <c r="F2192" s="57" t="str">
        <f aca="false">IF($E2192="","",SUMIFS($E$6:$E$2405,$A$6:$A$2405,"&lt;="&amp;$A2192))</f>
        <v/>
      </c>
      <c r="G2192" s="57" t="str">
        <f aca="false">IF($E2192="","",IF($F2192&lt;=BankCostEnvelope*'5. Scenarios'!$B$7,1,0))</f>
        <v/>
      </c>
      <c r="H2192" s="57" t="str">
        <f aca="false">IF($D2192="","",INDEX(BookRate,2187)*(1+'5. Scenarios'!$B$10)*(INDEX(BookQ1,2187)*(5-MIN(4,1+'5. Scenarios'!$B$8))/4+INDEX(BookQ2,2187)*(5-MIN(4,2+'5. Scenarios'!$B$8))/4+INDEX(BookQ3,2187)*(5-MIN(4,3+'5. Scenarios'!$B$8))/4+INDEX(BookQ4,2187)*(5-MIN(4,4+'5. Scenarios'!$B$8))/4)*'5. Scenarios'!$B$6/(1+ProductivityDefault*('5. Scenarios'!$B$11-1))+INDEX(BookOneOff,2187)*$D2192)</f>
        <v/>
      </c>
      <c r="I2192" s="56" t="str">
        <f aca="false">IF(INDEX(BookTitle,2187)="","",INDEX(BookTotal,2187)*'5. Scenarios'!$C$6/(1+ProductivityDefault*('5. Scenarios'!$C$11-1)))</f>
        <v/>
      </c>
      <c r="J2192" s="57" t="str">
        <f aca="false">IF($I2192="","",INDEX(BookRate,2187)*(1+'5. Scenarios'!$C$10)*$I2192)</f>
        <v/>
      </c>
      <c r="K2192" s="57" t="str">
        <f aca="false">IF($J2192="","",SUMIFS($J$6:$J$2405,$A$6:$A$2405,"&lt;="&amp;$A2192))</f>
        <v/>
      </c>
      <c r="L2192" s="57" t="str">
        <f aca="false">IF($J2192="","",IF($K2192&lt;=BankCostEnvelope*'5. Scenarios'!$C$7,1,0))</f>
        <v/>
      </c>
      <c r="M2192" s="57" t="str">
        <f aca="false">IF($I2192="","",INDEX(BookRate,2187)*(1+'5. Scenarios'!$C$10)*(INDEX(BookQ1,2187)*(5-MIN(4,1+'5. Scenarios'!$C$8))/4+INDEX(BookQ2,2187)*(5-MIN(4,2+'5. Scenarios'!$C$8))/4+INDEX(BookQ3,2187)*(5-MIN(4,3+'5. Scenarios'!$C$8))/4+INDEX(BookQ4,2187)*(5-MIN(4,4+'5. Scenarios'!$C$8))/4)*'5. Scenarios'!$C$6/(1+ProductivityDefault*('5. Scenarios'!$C$11-1))+INDEX(BookOneOff,2187)*$I2192)</f>
        <v/>
      </c>
      <c r="N2192" s="56" t="str">
        <f aca="false">IF(INDEX(BookTitle,2187)="","",INDEX(BookTotal,2187)*'5. Scenarios'!$D$6/(1+ProductivityDefault*('5. Scenarios'!$D$11-1)))</f>
        <v/>
      </c>
      <c r="O2192" s="57" t="str">
        <f aca="false">IF($N2192="","",INDEX(BookRate,2187)*(1+'5. Scenarios'!$D$10)*$N2192)</f>
        <v/>
      </c>
      <c r="P2192" s="57" t="str">
        <f aca="false">IF($O2192="","",SUMIFS($O$6:$O$2405,$A$6:$A$2405,"&lt;="&amp;$A2192))</f>
        <v/>
      </c>
      <c r="Q2192" s="57" t="str">
        <f aca="false">IF($O2192="","",IF($P2192&lt;=BankCostEnvelope*'5. Scenarios'!$D$7,1,0))</f>
        <v/>
      </c>
      <c r="R2192" s="57" t="str">
        <f aca="false">IF($N2192="","",INDEX(BookRate,2187)*(1+'5. Scenarios'!$D$10)*(INDEX(BookQ1,2187)*(5-MIN(4,1+'5. Scenarios'!$D$8))/4+INDEX(BookQ2,2187)*(5-MIN(4,2+'5. Scenarios'!$D$8))/4+INDEX(BookQ3,2187)*(5-MIN(4,3+'5. Scenarios'!$D$8))/4+INDEX(BookQ4,2187)*(5-MIN(4,4+'5. Scenarios'!$D$8))/4)*'5. Scenarios'!$D$6/(1+ProductivityDefault*('5. Scenarios'!$D$11-1))+INDEX(BookOneOff,2187)*$N2192)</f>
        <v/>
      </c>
      <c r="S2192" s="56" t="str">
        <f aca="false">IF(INDEX(BookTitle,2187)="","",INDEX(BookTotal,2187)*'5. Scenarios'!$E$6/(1+ProductivityDefault*('5. Scenarios'!$E$11-1)))</f>
        <v/>
      </c>
      <c r="T2192" s="57" t="str">
        <f aca="false">IF($S2192="","",INDEX(BookRate,2187)*(1+'5. Scenarios'!$E$10)*$S2192)</f>
        <v/>
      </c>
      <c r="U2192" s="57" t="str">
        <f aca="false">IF($T2192="","",SUMIFS($T$6:$T$2405,$A$6:$A$2405,"&lt;="&amp;$A2192))</f>
        <v/>
      </c>
      <c r="V2192" s="57" t="str">
        <f aca="false">IF($T2192="","",IF($U2192&lt;=BankCostEnvelope*'5. Scenarios'!$E$7,1,0))</f>
        <v/>
      </c>
      <c r="W2192" s="57" t="str">
        <f aca="false">IF($S2192="","",INDEX(BookRate,2187)*(1+'5. Scenarios'!$E$10)*(INDEX(BookQ1,2187)*(5-MIN(4,1+'5. Scenarios'!$E$8))/4+INDEX(BookQ2,2187)*(5-MIN(4,2+'5. Scenarios'!$E$8))/4+INDEX(BookQ3,2187)*(5-MIN(4,3+'5. Scenarios'!$E$8))/4+INDEX(BookQ4,2187)*(5-MIN(4,4+'5. Scenarios'!$E$8))/4)*'5. Scenarios'!$E$6/(1+ProductivityDefault*('5. Scenarios'!$E$11-1))+INDEX(BookOneOff,2187)*$S2192)</f>
        <v/>
      </c>
    </row>
    <row r="2193" customFormat="false" ht="15" hidden="false" customHeight="false" outlineLevel="0" collapsed="false">
      <c r="A2193" s="0" t="str">
        <f aca="false">IF(INDEX(BookTitle,2188)="","",INDEX(BookKey,2188))</f>
        <v/>
      </c>
      <c r="B2193" s="0" t="str">
        <f aca="false">IF(INDEX(BookTitle,2188)="","",INDEX(BookGroup,2188))</f>
        <v/>
      </c>
      <c r="C2193" s="0" t="str">
        <f aca="false">IF(INDEX(BookTitle,2188)="","",INDEX(BookCategory,2188))</f>
        <v/>
      </c>
      <c r="D2193" s="56" t="str">
        <f aca="false">IF(INDEX(BookTitle,2188)="","",INDEX(BookTotal,2188)*'5. Scenarios'!$B$6/(1+ProductivityDefault*('5. Scenarios'!$B$11-1)))</f>
        <v/>
      </c>
      <c r="E2193" s="57" t="str">
        <f aca="false">IF($D2193="","",INDEX(BookRate,2188)*(1+'5. Scenarios'!$B$10)*$D2193)</f>
        <v/>
      </c>
      <c r="F2193" s="57" t="str">
        <f aca="false">IF($E2193="","",SUMIFS($E$6:$E$2405,$A$6:$A$2405,"&lt;="&amp;$A2193))</f>
        <v/>
      </c>
      <c r="G2193" s="57" t="str">
        <f aca="false">IF($E2193="","",IF($F2193&lt;=BankCostEnvelope*'5. Scenarios'!$B$7,1,0))</f>
        <v/>
      </c>
      <c r="H2193" s="57" t="str">
        <f aca="false">IF($D2193="","",INDEX(BookRate,2188)*(1+'5. Scenarios'!$B$10)*(INDEX(BookQ1,2188)*(5-MIN(4,1+'5. Scenarios'!$B$8))/4+INDEX(BookQ2,2188)*(5-MIN(4,2+'5. Scenarios'!$B$8))/4+INDEX(BookQ3,2188)*(5-MIN(4,3+'5. Scenarios'!$B$8))/4+INDEX(BookQ4,2188)*(5-MIN(4,4+'5. Scenarios'!$B$8))/4)*'5. Scenarios'!$B$6/(1+ProductivityDefault*('5. Scenarios'!$B$11-1))+INDEX(BookOneOff,2188)*$D2193)</f>
        <v/>
      </c>
      <c r="I2193" s="56" t="str">
        <f aca="false">IF(INDEX(BookTitle,2188)="","",INDEX(BookTotal,2188)*'5. Scenarios'!$C$6/(1+ProductivityDefault*('5. Scenarios'!$C$11-1)))</f>
        <v/>
      </c>
      <c r="J2193" s="57" t="str">
        <f aca="false">IF($I2193="","",INDEX(BookRate,2188)*(1+'5. Scenarios'!$C$10)*$I2193)</f>
        <v/>
      </c>
      <c r="K2193" s="57" t="str">
        <f aca="false">IF($J2193="","",SUMIFS($J$6:$J$2405,$A$6:$A$2405,"&lt;="&amp;$A2193))</f>
        <v/>
      </c>
      <c r="L2193" s="57" t="str">
        <f aca="false">IF($J2193="","",IF($K2193&lt;=BankCostEnvelope*'5. Scenarios'!$C$7,1,0))</f>
        <v/>
      </c>
      <c r="M2193" s="57" t="str">
        <f aca="false">IF($I2193="","",INDEX(BookRate,2188)*(1+'5. Scenarios'!$C$10)*(INDEX(BookQ1,2188)*(5-MIN(4,1+'5. Scenarios'!$C$8))/4+INDEX(BookQ2,2188)*(5-MIN(4,2+'5. Scenarios'!$C$8))/4+INDEX(BookQ3,2188)*(5-MIN(4,3+'5. Scenarios'!$C$8))/4+INDEX(BookQ4,2188)*(5-MIN(4,4+'5. Scenarios'!$C$8))/4)*'5. Scenarios'!$C$6/(1+ProductivityDefault*('5. Scenarios'!$C$11-1))+INDEX(BookOneOff,2188)*$I2193)</f>
        <v/>
      </c>
      <c r="N2193" s="56" t="str">
        <f aca="false">IF(INDEX(BookTitle,2188)="","",INDEX(BookTotal,2188)*'5. Scenarios'!$D$6/(1+ProductivityDefault*('5. Scenarios'!$D$11-1)))</f>
        <v/>
      </c>
      <c r="O2193" s="57" t="str">
        <f aca="false">IF($N2193="","",INDEX(BookRate,2188)*(1+'5. Scenarios'!$D$10)*$N2193)</f>
        <v/>
      </c>
      <c r="P2193" s="57" t="str">
        <f aca="false">IF($O2193="","",SUMIFS($O$6:$O$2405,$A$6:$A$2405,"&lt;="&amp;$A2193))</f>
        <v/>
      </c>
      <c r="Q2193" s="57" t="str">
        <f aca="false">IF($O2193="","",IF($P2193&lt;=BankCostEnvelope*'5. Scenarios'!$D$7,1,0))</f>
        <v/>
      </c>
      <c r="R2193" s="57" t="str">
        <f aca="false">IF($N2193="","",INDEX(BookRate,2188)*(1+'5. Scenarios'!$D$10)*(INDEX(BookQ1,2188)*(5-MIN(4,1+'5. Scenarios'!$D$8))/4+INDEX(BookQ2,2188)*(5-MIN(4,2+'5. Scenarios'!$D$8))/4+INDEX(BookQ3,2188)*(5-MIN(4,3+'5. Scenarios'!$D$8))/4+INDEX(BookQ4,2188)*(5-MIN(4,4+'5. Scenarios'!$D$8))/4)*'5. Scenarios'!$D$6/(1+ProductivityDefault*('5. Scenarios'!$D$11-1))+INDEX(BookOneOff,2188)*$N2193)</f>
        <v/>
      </c>
      <c r="S2193" s="56" t="str">
        <f aca="false">IF(INDEX(BookTitle,2188)="","",INDEX(BookTotal,2188)*'5. Scenarios'!$E$6/(1+ProductivityDefault*('5. Scenarios'!$E$11-1)))</f>
        <v/>
      </c>
      <c r="T2193" s="57" t="str">
        <f aca="false">IF($S2193="","",INDEX(BookRate,2188)*(1+'5. Scenarios'!$E$10)*$S2193)</f>
        <v/>
      </c>
      <c r="U2193" s="57" t="str">
        <f aca="false">IF($T2193="","",SUMIFS($T$6:$T$2405,$A$6:$A$2405,"&lt;="&amp;$A2193))</f>
        <v/>
      </c>
      <c r="V2193" s="57" t="str">
        <f aca="false">IF($T2193="","",IF($U2193&lt;=BankCostEnvelope*'5. Scenarios'!$E$7,1,0))</f>
        <v/>
      </c>
      <c r="W2193" s="57" t="str">
        <f aca="false">IF($S2193="","",INDEX(BookRate,2188)*(1+'5. Scenarios'!$E$10)*(INDEX(BookQ1,2188)*(5-MIN(4,1+'5. Scenarios'!$E$8))/4+INDEX(BookQ2,2188)*(5-MIN(4,2+'5. Scenarios'!$E$8))/4+INDEX(BookQ3,2188)*(5-MIN(4,3+'5. Scenarios'!$E$8))/4+INDEX(BookQ4,2188)*(5-MIN(4,4+'5. Scenarios'!$E$8))/4)*'5. Scenarios'!$E$6/(1+ProductivityDefault*('5. Scenarios'!$E$11-1))+INDEX(BookOneOff,2188)*$S2193)</f>
        <v/>
      </c>
    </row>
    <row r="2194" customFormat="false" ht="15" hidden="false" customHeight="false" outlineLevel="0" collapsed="false">
      <c r="A2194" s="0" t="str">
        <f aca="false">IF(INDEX(BookTitle,2189)="","",INDEX(BookKey,2189))</f>
        <v/>
      </c>
      <c r="B2194" s="0" t="str">
        <f aca="false">IF(INDEX(BookTitle,2189)="","",INDEX(BookGroup,2189))</f>
        <v/>
      </c>
      <c r="C2194" s="0" t="str">
        <f aca="false">IF(INDEX(BookTitle,2189)="","",INDEX(BookCategory,2189))</f>
        <v/>
      </c>
      <c r="D2194" s="56" t="str">
        <f aca="false">IF(INDEX(BookTitle,2189)="","",INDEX(BookTotal,2189)*'5. Scenarios'!$B$6/(1+ProductivityDefault*('5. Scenarios'!$B$11-1)))</f>
        <v/>
      </c>
      <c r="E2194" s="57" t="str">
        <f aca="false">IF($D2194="","",INDEX(BookRate,2189)*(1+'5. Scenarios'!$B$10)*$D2194)</f>
        <v/>
      </c>
      <c r="F2194" s="57" t="str">
        <f aca="false">IF($E2194="","",SUMIFS($E$6:$E$2405,$A$6:$A$2405,"&lt;="&amp;$A2194))</f>
        <v/>
      </c>
      <c r="G2194" s="57" t="str">
        <f aca="false">IF($E2194="","",IF($F2194&lt;=BankCostEnvelope*'5. Scenarios'!$B$7,1,0))</f>
        <v/>
      </c>
      <c r="H2194" s="57" t="str">
        <f aca="false">IF($D2194="","",INDEX(BookRate,2189)*(1+'5. Scenarios'!$B$10)*(INDEX(BookQ1,2189)*(5-MIN(4,1+'5. Scenarios'!$B$8))/4+INDEX(BookQ2,2189)*(5-MIN(4,2+'5. Scenarios'!$B$8))/4+INDEX(BookQ3,2189)*(5-MIN(4,3+'5. Scenarios'!$B$8))/4+INDEX(BookQ4,2189)*(5-MIN(4,4+'5. Scenarios'!$B$8))/4)*'5. Scenarios'!$B$6/(1+ProductivityDefault*('5. Scenarios'!$B$11-1))+INDEX(BookOneOff,2189)*$D2194)</f>
        <v/>
      </c>
      <c r="I2194" s="56" t="str">
        <f aca="false">IF(INDEX(BookTitle,2189)="","",INDEX(BookTotal,2189)*'5. Scenarios'!$C$6/(1+ProductivityDefault*('5. Scenarios'!$C$11-1)))</f>
        <v/>
      </c>
      <c r="J2194" s="57" t="str">
        <f aca="false">IF($I2194="","",INDEX(BookRate,2189)*(1+'5. Scenarios'!$C$10)*$I2194)</f>
        <v/>
      </c>
      <c r="K2194" s="57" t="str">
        <f aca="false">IF($J2194="","",SUMIFS($J$6:$J$2405,$A$6:$A$2405,"&lt;="&amp;$A2194))</f>
        <v/>
      </c>
      <c r="L2194" s="57" t="str">
        <f aca="false">IF($J2194="","",IF($K2194&lt;=BankCostEnvelope*'5. Scenarios'!$C$7,1,0))</f>
        <v/>
      </c>
      <c r="M2194" s="57" t="str">
        <f aca="false">IF($I2194="","",INDEX(BookRate,2189)*(1+'5. Scenarios'!$C$10)*(INDEX(BookQ1,2189)*(5-MIN(4,1+'5. Scenarios'!$C$8))/4+INDEX(BookQ2,2189)*(5-MIN(4,2+'5. Scenarios'!$C$8))/4+INDEX(BookQ3,2189)*(5-MIN(4,3+'5. Scenarios'!$C$8))/4+INDEX(BookQ4,2189)*(5-MIN(4,4+'5. Scenarios'!$C$8))/4)*'5. Scenarios'!$C$6/(1+ProductivityDefault*('5. Scenarios'!$C$11-1))+INDEX(BookOneOff,2189)*$I2194)</f>
        <v/>
      </c>
      <c r="N2194" s="56" t="str">
        <f aca="false">IF(INDEX(BookTitle,2189)="","",INDEX(BookTotal,2189)*'5. Scenarios'!$D$6/(1+ProductivityDefault*('5. Scenarios'!$D$11-1)))</f>
        <v/>
      </c>
      <c r="O2194" s="57" t="str">
        <f aca="false">IF($N2194="","",INDEX(BookRate,2189)*(1+'5. Scenarios'!$D$10)*$N2194)</f>
        <v/>
      </c>
      <c r="P2194" s="57" t="str">
        <f aca="false">IF($O2194="","",SUMIFS($O$6:$O$2405,$A$6:$A$2405,"&lt;="&amp;$A2194))</f>
        <v/>
      </c>
      <c r="Q2194" s="57" t="str">
        <f aca="false">IF($O2194="","",IF($P2194&lt;=BankCostEnvelope*'5. Scenarios'!$D$7,1,0))</f>
        <v/>
      </c>
      <c r="R2194" s="57" t="str">
        <f aca="false">IF($N2194="","",INDEX(BookRate,2189)*(1+'5. Scenarios'!$D$10)*(INDEX(BookQ1,2189)*(5-MIN(4,1+'5. Scenarios'!$D$8))/4+INDEX(BookQ2,2189)*(5-MIN(4,2+'5. Scenarios'!$D$8))/4+INDEX(BookQ3,2189)*(5-MIN(4,3+'5. Scenarios'!$D$8))/4+INDEX(BookQ4,2189)*(5-MIN(4,4+'5. Scenarios'!$D$8))/4)*'5. Scenarios'!$D$6/(1+ProductivityDefault*('5. Scenarios'!$D$11-1))+INDEX(BookOneOff,2189)*$N2194)</f>
        <v/>
      </c>
      <c r="S2194" s="56" t="str">
        <f aca="false">IF(INDEX(BookTitle,2189)="","",INDEX(BookTotal,2189)*'5. Scenarios'!$E$6/(1+ProductivityDefault*('5. Scenarios'!$E$11-1)))</f>
        <v/>
      </c>
      <c r="T2194" s="57" t="str">
        <f aca="false">IF($S2194="","",INDEX(BookRate,2189)*(1+'5. Scenarios'!$E$10)*$S2194)</f>
        <v/>
      </c>
      <c r="U2194" s="57" t="str">
        <f aca="false">IF($T2194="","",SUMIFS($T$6:$T$2405,$A$6:$A$2405,"&lt;="&amp;$A2194))</f>
        <v/>
      </c>
      <c r="V2194" s="57" t="str">
        <f aca="false">IF($T2194="","",IF($U2194&lt;=BankCostEnvelope*'5. Scenarios'!$E$7,1,0))</f>
        <v/>
      </c>
      <c r="W2194" s="57" t="str">
        <f aca="false">IF($S2194="","",INDEX(BookRate,2189)*(1+'5. Scenarios'!$E$10)*(INDEX(BookQ1,2189)*(5-MIN(4,1+'5. Scenarios'!$E$8))/4+INDEX(BookQ2,2189)*(5-MIN(4,2+'5. Scenarios'!$E$8))/4+INDEX(BookQ3,2189)*(5-MIN(4,3+'5. Scenarios'!$E$8))/4+INDEX(BookQ4,2189)*(5-MIN(4,4+'5. Scenarios'!$E$8))/4)*'5. Scenarios'!$E$6/(1+ProductivityDefault*('5. Scenarios'!$E$11-1))+INDEX(BookOneOff,2189)*$S2194)</f>
        <v/>
      </c>
    </row>
    <row r="2195" customFormat="false" ht="15" hidden="false" customHeight="false" outlineLevel="0" collapsed="false">
      <c r="A2195" s="0" t="str">
        <f aca="false">IF(INDEX(BookTitle,2190)="","",INDEX(BookKey,2190))</f>
        <v/>
      </c>
      <c r="B2195" s="0" t="str">
        <f aca="false">IF(INDEX(BookTitle,2190)="","",INDEX(BookGroup,2190))</f>
        <v/>
      </c>
      <c r="C2195" s="0" t="str">
        <f aca="false">IF(INDEX(BookTitle,2190)="","",INDEX(BookCategory,2190))</f>
        <v/>
      </c>
      <c r="D2195" s="56" t="str">
        <f aca="false">IF(INDEX(BookTitle,2190)="","",INDEX(BookTotal,2190)*'5. Scenarios'!$B$6/(1+ProductivityDefault*('5. Scenarios'!$B$11-1)))</f>
        <v/>
      </c>
      <c r="E2195" s="57" t="str">
        <f aca="false">IF($D2195="","",INDEX(BookRate,2190)*(1+'5. Scenarios'!$B$10)*$D2195)</f>
        <v/>
      </c>
      <c r="F2195" s="57" t="str">
        <f aca="false">IF($E2195="","",SUMIFS($E$6:$E$2405,$A$6:$A$2405,"&lt;="&amp;$A2195))</f>
        <v/>
      </c>
      <c r="G2195" s="57" t="str">
        <f aca="false">IF($E2195="","",IF($F2195&lt;=BankCostEnvelope*'5. Scenarios'!$B$7,1,0))</f>
        <v/>
      </c>
      <c r="H2195" s="57" t="str">
        <f aca="false">IF($D2195="","",INDEX(BookRate,2190)*(1+'5. Scenarios'!$B$10)*(INDEX(BookQ1,2190)*(5-MIN(4,1+'5. Scenarios'!$B$8))/4+INDEX(BookQ2,2190)*(5-MIN(4,2+'5. Scenarios'!$B$8))/4+INDEX(BookQ3,2190)*(5-MIN(4,3+'5. Scenarios'!$B$8))/4+INDEX(BookQ4,2190)*(5-MIN(4,4+'5. Scenarios'!$B$8))/4)*'5. Scenarios'!$B$6/(1+ProductivityDefault*('5. Scenarios'!$B$11-1))+INDEX(BookOneOff,2190)*$D2195)</f>
        <v/>
      </c>
      <c r="I2195" s="56" t="str">
        <f aca="false">IF(INDEX(BookTitle,2190)="","",INDEX(BookTotal,2190)*'5. Scenarios'!$C$6/(1+ProductivityDefault*('5. Scenarios'!$C$11-1)))</f>
        <v/>
      </c>
      <c r="J2195" s="57" t="str">
        <f aca="false">IF($I2195="","",INDEX(BookRate,2190)*(1+'5. Scenarios'!$C$10)*$I2195)</f>
        <v/>
      </c>
      <c r="K2195" s="57" t="str">
        <f aca="false">IF($J2195="","",SUMIFS($J$6:$J$2405,$A$6:$A$2405,"&lt;="&amp;$A2195))</f>
        <v/>
      </c>
      <c r="L2195" s="57" t="str">
        <f aca="false">IF($J2195="","",IF($K2195&lt;=BankCostEnvelope*'5. Scenarios'!$C$7,1,0))</f>
        <v/>
      </c>
      <c r="M2195" s="57" t="str">
        <f aca="false">IF($I2195="","",INDEX(BookRate,2190)*(1+'5. Scenarios'!$C$10)*(INDEX(BookQ1,2190)*(5-MIN(4,1+'5. Scenarios'!$C$8))/4+INDEX(BookQ2,2190)*(5-MIN(4,2+'5. Scenarios'!$C$8))/4+INDEX(BookQ3,2190)*(5-MIN(4,3+'5. Scenarios'!$C$8))/4+INDEX(BookQ4,2190)*(5-MIN(4,4+'5. Scenarios'!$C$8))/4)*'5. Scenarios'!$C$6/(1+ProductivityDefault*('5. Scenarios'!$C$11-1))+INDEX(BookOneOff,2190)*$I2195)</f>
        <v/>
      </c>
      <c r="N2195" s="56" t="str">
        <f aca="false">IF(INDEX(BookTitle,2190)="","",INDEX(BookTotal,2190)*'5. Scenarios'!$D$6/(1+ProductivityDefault*('5. Scenarios'!$D$11-1)))</f>
        <v/>
      </c>
      <c r="O2195" s="57" t="str">
        <f aca="false">IF($N2195="","",INDEX(BookRate,2190)*(1+'5. Scenarios'!$D$10)*$N2195)</f>
        <v/>
      </c>
      <c r="P2195" s="57" t="str">
        <f aca="false">IF($O2195="","",SUMIFS($O$6:$O$2405,$A$6:$A$2405,"&lt;="&amp;$A2195))</f>
        <v/>
      </c>
      <c r="Q2195" s="57" t="str">
        <f aca="false">IF($O2195="","",IF($P2195&lt;=BankCostEnvelope*'5. Scenarios'!$D$7,1,0))</f>
        <v/>
      </c>
      <c r="R2195" s="57" t="str">
        <f aca="false">IF($N2195="","",INDEX(BookRate,2190)*(1+'5. Scenarios'!$D$10)*(INDEX(BookQ1,2190)*(5-MIN(4,1+'5. Scenarios'!$D$8))/4+INDEX(BookQ2,2190)*(5-MIN(4,2+'5. Scenarios'!$D$8))/4+INDEX(BookQ3,2190)*(5-MIN(4,3+'5. Scenarios'!$D$8))/4+INDEX(BookQ4,2190)*(5-MIN(4,4+'5. Scenarios'!$D$8))/4)*'5. Scenarios'!$D$6/(1+ProductivityDefault*('5. Scenarios'!$D$11-1))+INDEX(BookOneOff,2190)*$N2195)</f>
        <v/>
      </c>
      <c r="S2195" s="56" t="str">
        <f aca="false">IF(INDEX(BookTitle,2190)="","",INDEX(BookTotal,2190)*'5. Scenarios'!$E$6/(1+ProductivityDefault*('5. Scenarios'!$E$11-1)))</f>
        <v/>
      </c>
      <c r="T2195" s="57" t="str">
        <f aca="false">IF($S2195="","",INDEX(BookRate,2190)*(1+'5. Scenarios'!$E$10)*$S2195)</f>
        <v/>
      </c>
      <c r="U2195" s="57" t="str">
        <f aca="false">IF($T2195="","",SUMIFS($T$6:$T$2405,$A$6:$A$2405,"&lt;="&amp;$A2195))</f>
        <v/>
      </c>
      <c r="V2195" s="57" t="str">
        <f aca="false">IF($T2195="","",IF($U2195&lt;=BankCostEnvelope*'5. Scenarios'!$E$7,1,0))</f>
        <v/>
      </c>
      <c r="W2195" s="57" t="str">
        <f aca="false">IF($S2195="","",INDEX(BookRate,2190)*(1+'5. Scenarios'!$E$10)*(INDEX(BookQ1,2190)*(5-MIN(4,1+'5. Scenarios'!$E$8))/4+INDEX(BookQ2,2190)*(5-MIN(4,2+'5. Scenarios'!$E$8))/4+INDEX(BookQ3,2190)*(5-MIN(4,3+'5. Scenarios'!$E$8))/4+INDEX(BookQ4,2190)*(5-MIN(4,4+'5. Scenarios'!$E$8))/4)*'5. Scenarios'!$E$6/(1+ProductivityDefault*('5. Scenarios'!$E$11-1))+INDEX(BookOneOff,2190)*$S2195)</f>
        <v/>
      </c>
    </row>
    <row r="2196" customFormat="false" ht="15" hidden="false" customHeight="false" outlineLevel="0" collapsed="false">
      <c r="A2196" s="0" t="str">
        <f aca="false">IF(INDEX(BookTitle,2191)="","",INDEX(BookKey,2191))</f>
        <v/>
      </c>
      <c r="B2196" s="0" t="str">
        <f aca="false">IF(INDEX(BookTitle,2191)="","",INDEX(BookGroup,2191))</f>
        <v/>
      </c>
      <c r="C2196" s="0" t="str">
        <f aca="false">IF(INDEX(BookTitle,2191)="","",INDEX(BookCategory,2191))</f>
        <v/>
      </c>
      <c r="D2196" s="56" t="str">
        <f aca="false">IF(INDEX(BookTitle,2191)="","",INDEX(BookTotal,2191)*'5. Scenarios'!$B$6/(1+ProductivityDefault*('5. Scenarios'!$B$11-1)))</f>
        <v/>
      </c>
      <c r="E2196" s="57" t="str">
        <f aca="false">IF($D2196="","",INDEX(BookRate,2191)*(1+'5. Scenarios'!$B$10)*$D2196)</f>
        <v/>
      </c>
      <c r="F2196" s="57" t="str">
        <f aca="false">IF($E2196="","",SUMIFS($E$6:$E$2405,$A$6:$A$2405,"&lt;="&amp;$A2196))</f>
        <v/>
      </c>
      <c r="G2196" s="57" t="str">
        <f aca="false">IF($E2196="","",IF($F2196&lt;=BankCostEnvelope*'5. Scenarios'!$B$7,1,0))</f>
        <v/>
      </c>
      <c r="H2196" s="57" t="str">
        <f aca="false">IF($D2196="","",INDEX(BookRate,2191)*(1+'5. Scenarios'!$B$10)*(INDEX(BookQ1,2191)*(5-MIN(4,1+'5. Scenarios'!$B$8))/4+INDEX(BookQ2,2191)*(5-MIN(4,2+'5. Scenarios'!$B$8))/4+INDEX(BookQ3,2191)*(5-MIN(4,3+'5. Scenarios'!$B$8))/4+INDEX(BookQ4,2191)*(5-MIN(4,4+'5. Scenarios'!$B$8))/4)*'5. Scenarios'!$B$6/(1+ProductivityDefault*('5. Scenarios'!$B$11-1))+INDEX(BookOneOff,2191)*$D2196)</f>
        <v/>
      </c>
      <c r="I2196" s="56" t="str">
        <f aca="false">IF(INDEX(BookTitle,2191)="","",INDEX(BookTotal,2191)*'5. Scenarios'!$C$6/(1+ProductivityDefault*('5. Scenarios'!$C$11-1)))</f>
        <v/>
      </c>
      <c r="J2196" s="57" t="str">
        <f aca="false">IF($I2196="","",INDEX(BookRate,2191)*(1+'5. Scenarios'!$C$10)*$I2196)</f>
        <v/>
      </c>
      <c r="K2196" s="57" t="str">
        <f aca="false">IF($J2196="","",SUMIFS($J$6:$J$2405,$A$6:$A$2405,"&lt;="&amp;$A2196))</f>
        <v/>
      </c>
      <c r="L2196" s="57" t="str">
        <f aca="false">IF($J2196="","",IF($K2196&lt;=BankCostEnvelope*'5. Scenarios'!$C$7,1,0))</f>
        <v/>
      </c>
      <c r="M2196" s="57" t="str">
        <f aca="false">IF($I2196="","",INDEX(BookRate,2191)*(1+'5. Scenarios'!$C$10)*(INDEX(BookQ1,2191)*(5-MIN(4,1+'5. Scenarios'!$C$8))/4+INDEX(BookQ2,2191)*(5-MIN(4,2+'5. Scenarios'!$C$8))/4+INDEX(BookQ3,2191)*(5-MIN(4,3+'5. Scenarios'!$C$8))/4+INDEX(BookQ4,2191)*(5-MIN(4,4+'5. Scenarios'!$C$8))/4)*'5. Scenarios'!$C$6/(1+ProductivityDefault*('5. Scenarios'!$C$11-1))+INDEX(BookOneOff,2191)*$I2196)</f>
        <v/>
      </c>
      <c r="N2196" s="56" t="str">
        <f aca="false">IF(INDEX(BookTitle,2191)="","",INDEX(BookTotal,2191)*'5. Scenarios'!$D$6/(1+ProductivityDefault*('5. Scenarios'!$D$11-1)))</f>
        <v/>
      </c>
      <c r="O2196" s="57" t="str">
        <f aca="false">IF($N2196="","",INDEX(BookRate,2191)*(1+'5. Scenarios'!$D$10)*$N2196)</f>
        <v/>
      </c>
      <c r="P2196" s="57" t="str">
        <f aca="false">IF($O2196="","",SUMIFS($O$6:$O$2405,$A$6:$A$2405,"&lt;="&amp;$A2196))</f>
        <v/>
      </c>
      <c r="Q2196" s="57" t="str">
        <f aca="false">IF($O2196="","",IF($P2196&lt;=BankCostEnvelope*'5. Scenarios'!$D$7,1,0))</f>
        <v/>
      </c>
      <c r="R2196" s="57" t="str">
        <f aca="false">IF($N2196="","",INDEX(BookRate,2191)*(1+'5. Scenarios'!$D$10)*(INDEX(BookQ1,2191)*(5-MIN(4,1+'5. Scenarios'!$D$8))/4+INDEX(BookQ2,2191)*(5-MIN(4,2+'5. Scenarios'!$D$8))/4+INDEX(BookQ3,2191)*(5-MIN(4,3+'5. Scenarios'!$D$8))/4+INDEX(BookQ4,2191)*(5-MIN(4,4+'5. Scenarios'!$D$8))/4)*'5. Scenarios'!$D$6/(1+ProductivityDefault*('5. Scenarios'!$D$11-1))+INDEX(BookOneOff,2191)*$N2196)</f>
        <v/>
      </c>
      <c r="S2196" s="56" t="str">
        <f aca="false">IF(INDEX(BookTitle,2191)="","",INDEX(BookTotal,2191)*'5. Scenarios'!$E$6/(1+ProductivityDefault*('5. Scenarios'!$E$11-1)))</f>
        <v/>
      </c>
      <c r="T2196" s="57" t="str">
        <f aca="false">IF($S2196="","",INDEX(BookRate,2191)*(1+'5. Scenarios'!$E$10)*$S2196)</f>
        <v/>
      </c>
      <c r="U2196" s="57" t="str">
        <f aca="false">IF($T2196="","",SUMIFS($T$6:$T$2405,$A$6:$A$2405,"&lt;="&amp;$A2196))</f>
        <v/>
      </c>
      <c r="V2196" s="57" t="str">
        <f aca="false">IF($T2196="","",IF($U2196&lt;=BankCostEnvelope*'5. Scenarios'!$E$7,1,0))</f>
        <v/>
      </c>
      <c r="W2196" s="57" t="str">
        <f aca="false">IF($S2196="","",INDEX(BookRate,2191)*(1+'5. Scenarios'!$E$10)*(INDEX(BookQ1,2191)*(5-MIN(4,1+'5. Scenarios'!$E$8))/4+INDEX(BookQ2,2191)*(5-MIN(4,2+'5. Scenarios'!$E$8))/4+INDEX(BookQ3,2191)*(5-MIN(4,3+'5. Scenarios'!$E$8))/4+INDEX(BookQ4,2191)*(5-MIN(4,4+'5. Scenarios'!$E$8))/4)*'5. Scenarios'!$E$6/(1+ProductivityDefault*('5. Scenarios'!$E$11-1))+INDEX(BookOneOff,2191)*$S2196)</f>
        <v/>
      </c>
    </row>
    <row r="2197" customFormat="false" ht="15" hidden="false" customHeight="false" outlineLevel="0" collapsed="false">
      <c r="A2197" s="0" t="str">
        <f aca="false">IF(INDEX(BookTitle,2192)="","",INDEX(BookKey,2192))</f>
        <v/>
      </c>
      <c r="B2197" s="0" t="str">
        <f aca="false">IF(INDEX(BookTitle,2192)="","",INDEX(BookGroup,2192))</f>
        <v/>
      </c>
      <c r="C2197" s="0" t="str">
        <f aca="false">IF(INDEX(BookTitle,2192)="","",INDEX(BookCategory,2192))</f>
        <v/>
      </c>
      <c r="D2197" s="56" t="str">
        <f aca="false">IF(INDEX(BookTitle,2192)="","",INDEX(BookTotal,2192)*'5. Scenarios'!$B$6/(1+ProductivityDefault*('5. Scenarios'!$B$11-1)))</f>
        <v/>
      </c>
      <c r="E2197" s="57" t="str">
        <f aca="false">IF($D2197="","",INDEX(BookRate,2192)*(1+'5. Scenarios'!$B$10)*$D2197)</f>
        <v/>
      </c>
      <c r="F2197" s="57" t="str">
        <f aca="false">IF($E2197="","",SUMIFS($E$6:$E$2405,$A$6:$A$2405,"&lt;="&amp;$A2197))</f>
        <v/>
      </c>
      <c r="G2197" s="57" t="str">
        <f aca="false">IF($E2197="","",IF($F2197&lt;=BankCostEnvelope*'5. Scenarios'!$B$7,1,0))</f>
        <v/>
      </c>
      <c r="H2197" s="57" t="str">
        <f aca="false">IF($D2197="","",INDEX(BookRate,2192)*(1+'5. Scenarios'!$B$10)*(INDEX(BookQ1,2192)*(5-MIN(4,1+'5. Scenarios'!$B$8))/4+INDEX(BookQ2,2192)*(5-MIN(4,2+'5. Scenarios'!$B$8))/4+INDEX(BookQ3,2192)*(5-MIN(4,3+'5. Scenarios'!$B$8))/4+INDEX(BookQ4,2192)*(5-MIN(4,4+'5. Scenarios'!$B$8))/4)*'5. Scenarios'!$B$6/(1+ProductivityDefault*('5. Scenarios'!$B$11-1))+INDEX(BookOneOff,2192)*$D2197)</f>
        <v/>
      </c>
      <c r="I2197" s="56" t="str">
        <f aca="false">IF(INDEX(BookTitle,2192)="","",INDEX(BookTotal,2192)*'5. Scenarios'!$C$6/(1+ProductivityDefault*('5. Scenarios'!$C$11-1)))</f>
        <v/>
      </c>
      <c r="J2197" s="57" t="str">
        <f aca="false">IF($I2197="","",INDEX(BookRate,2192)*(1+'5. Scenarios'!$C$10)*$I2197)</f>
        <v/>
      </c>
      <c r="K2197" s="57" t="str">
        <f aca="false">IF($J2197="","",SUMIFS($J$6:$J$2405,$A$6:$A$2405,"&lt;="&amp;$A2197))</f>
        <v/>
      </c>
      <c r="L2197" s="57" t="str">
        <f aca="false">IF($J2197="","",IF($K2197&lt;=BankCostEnvelope*'5. Scenarios'!$C$7,1,0))</f>
        <v/>
      </c>
      <c r="M2197" s="57" t="str">
        <f aca="false">IF($I2197="","",INDEX(BookRate,2192)*(1+'5. Scenarios'!$C$10)*(INDEX(BookQ1,2192)*(5-MIN(4,1+'5. Scenarios'!$C$8))/4+INDEX(BookQ2,2192)*(5-MIN(4,2+'5. Scenarios'!$C$8))/4+INDEX(BookQ3,2192)*(5-MIN(4,3+'5. Scenarios'!$C$8))/4+INDEX(BookQ4,2192)*(5-MIN(4,4+'5. Scenarios'!$C$8))/4)*'5. Scenarios'!$C$6/(1+ProductivityDefault*('5. Scenarios'!$C$11-1))+INDEX(BookOneOff,2192)*$I2197)</f>
        <v/>
      </c>
      <c r="N2197" s="56" t="str">
        <f aca="false">IF(INDEX(BookTitle,2192)="","",INDEX(BookTotal,2192)*'5. Scenarios'!$D$6/(1+ProductivityDefault*('5. Scenarios'!$D$11-1)))</f>
        <v/>
      </c>
      <c r="O2197" s="57" t="str">
        <f aca="false">IF($N2197="","",INDEX(BookRate,2192)*(1+'5. Scenarios'!$D$10)*$N2197)</f>
        <v/>
      </c>
      <c r="P2197" s="57" t="str">
        <f aca="false">IF($O2197="","",SUMIFS($O$6:$O$2405,$A$6:$A$2405,"&lt;="&amp;$A2197))</f>
        <v/>
      </c>
      <c r="Q2197" s="57" t="str">
        <f aca="false">IF($O2197="","",IF($P2197&lt;=BankCostEnvelope*'5. Scenarios'!$D$7,1,0))</f>
        <v/>
      </c>
      <c r="R2197" s="57" t="str">
        <f aca="false">IF($N2197="","",INDEX(BookRate,2192)*(1+'5. Scenarios'!$D$10)*(INDEX(BookQ1,2192)*(5-MIN(4,1+'5. Scenarios'!$D$8))/4+INDEX(BookQ2,2192)*(5-MIN(4,2+'5. Scenarios'!$D$8))/4+INDEX(BookQ3,2192)*(5-MIN(4,3+'5. Scenarios'!$D$8))/4+INDEX(BookQ4,2192)*(5-MIN(4,4+'5. Scenarios'!$D$8))/4)*'5. Scenarios'!$D$6/(1+ProductivityDefault*('5. Scenarios'!$D$11-1))+INDEX(BookOneOff,2192)*$N2197)</f>
        <v/>
      </c>
      <c r="S2197" s="56" t="str">
        <f aca="false">IF(INDEX(BookTitle,2192)="","",INDEX(BookTotal,2192)*'5. Scenarios'!$E$6/(1+ProductivityDefault*('5. Scenarios'!$E$11-1)))</f>
        <v/>
      </c>
      <c r="T2197" s="57" t="str">
        <f aca="false">IF($S2197="","",INDEX(BookRate,2192)*(1+'5. Scenarios'!$E$10)*$S2197)</f>
        <v/>
      </c>
      <c r="U2197" s="57" t="str">
        <f aca="false">IF($T2197="","",SUMIFS($T$6:$T$2405,$A$6:$A$2405,"&lt;="&amp;$A2197))</f>
        <v/>
      </c>
      <c r="V2197" s="57" t="str">
        <f aca="false">IF($T2197="","",IF($U2197&lt;=BankCostEnvelope*'5. Scenarios'!$E$7,1,0))</f>
        <v/>
      </c>
      <c r="W2197" s="57" t="str">
        <f aca="false">IF($S2197="","",INDEX(BookRate,2192)*(1+'5. Scenarios'!$E$10)*(INDEX(BookQ1,2192)*(5-MIN(4,1+'5. Scenarios'!$E$8))/4+INDEX(BookQ2,2192)*(5-MIN(4,2+'5. Scenarios'!$E$8))/4+INDEX(BookQ3,2192)*(5-MIN(4,3+'5. Scenarios'!$E$8))/4+INDEX(BookQ4,2192)*(5-MIN(4,4+'5. Scenarios'!$E$8))/4)*'5. Scenarios'!$E$6/(1+ProductivityDefault*('5. Scenarios'!$E$11-1))+INDEX(BookOneOff,2192)*$S2197)</f>
        <v/>
      </c>
    </row>
    <row r="2198" customFormat="false" ht="15" hidden="false" customHeight="false" outlineLevel="0" collapsed="false">
      <c r="A2198" s="0" t="str">
        <f aca="false">IF(INDEX(BookTitle,2193)="","",INDEX(BookKey,2193))</f>
        <v/>
      </c>
      <c r="B2198" s="0" t="str">
        <f aca="false">IF(INDEX(BookTitle,2193)="","",INDEX(BookGroup,2193))</f>
        <v/>
      </c>
      <c r="C2198" s="0" t="str">
        <f aca="false">IF(INDEX(BookTitle,2193)="","",INDEX(BookCategory,2193))</f>
        <v/>
      </c>
      <c r="D2198" s="56" t="str">
        <f aca="false">IF(INDEX(BookTitle,2193)="","",INDEX(BookTotal,2193)*'5. Scenarios'!$B$6/(1+ProductivityDefault*('5. Scenarios'!$B$11-1)))</f>
        <v/>
      </c>
      <c r="E2198" s="57" t="str">
        <f aca="false">IF($D2198="","",INDEX(BookRate,2193)*(1+'5. Scenarios'!$B$10)*$D2198)</f>
        <v/>
      </c>
      <c r="F2198" s="57" t="str">
        <f aca="false">IF($E2198="","",SUMIFS($E$6:$E$2405,$A$6:$A$2405,"&lt;="&amp;$A2198))</f>
        <v/>
      </c>
      <c r="G2198" s="57" t="str">
        <f aca="false">IF($E2198="","",IF($F2198&lt;=BankCostEnvelope*'5. Scenarios'!$B$7,1,0))</f>
        <v/>
      </c>
      <c r="H2198" s="57" t="str">
        <f aca="false">IF($D2198="","",INDEX(BookRate,2193)*(1+'5. Scenarios'!$B$10)*(INDEX(BookQ1,2193)*(5-MIN(4,1+'5. Scenarios'!$B$8))/4+INDEX(BookQ2,2193)*(5-MIN(4,2+'5. Scenarios'!$B$8))/4+INDEX(BookQ3,2193)*(5-MIN(4,3+'5. Scenarios'!$B$8))/4+INDEX(BookQ4,2193)*(5-MIN(4,4+'5. Scenarios'!$B$8))/4)*'5. Scenarios'!$B$6/(1+ProductivityDefault*('5. Scenarios'!$B$11-1))+INDEX(BookOneOff,2193)*$D2198)</f>
        <v/>
      </c>
      <c r="I2198" s="56" t="str">
        <f aca="false">IF(INDEX(BookTitle,2193)="","",INDEX(BookTotal,2193)*'5. Scenarios'!$C$6/(1+ProductivityDefault*('5. Scenarios'!$C$11-1)))</f>
        <v/>
      </c>
      <c r="J2198" s="57" t="str">
        <f aca="false">IF($I2198="","",INDEX(BookRate,2193)*(1+'5. Scenarios'!$C$10)*$I2198)</f>
        <v/>
      </c>
      <c r="K2198" s="57" t="str">
        <f aca="false">IF($J2198="","",SUMIFS($J$6:$J$2405,$A$6:$A$2405,"&lt;="&amp;$A2198))</f>
        <v/>
      </c>
      <c r="L2198" s="57" t="str">
        <f aca="false">IF($J2198="","",IF($K2198&lt;=BankCostEnvelope*'5. Scenarios'!$C$7,1,0))</f>
        <v/>
      </c>
      <c r="M2198" s="57" t="str">
        <f aca="false">IF($I2198="","",INDEX(BookRate,2193)*(1+'5. Scenarios'!$C$10)*(INDEX(BookQ1,2193)*(5-MIN(4,1+'5. Scenarios'!$C$8))/4+INDEX(BookQ2,2193)*(5-MIN(4,2+'5. Scenarios'!$C$8))/4+INDEX(BookQ3,2193)*(5-MIN(4,3+'5. Scenarios'!$C$8))/4+INDEX(BookQ4,2193)*(5-MIN(4,4+'5. Scenarios'!$C$8))/4)*'5. Scenarios'!$C$6/(1+ProductivityDefault*('5. Scenarios'!$C$11-1))+INDEX(BookOneOff,2193)*$I2198)</f>
        <v/>
      </c>
      <c r="N2198" s="56" t="str">
        <f aca="false">IF(INDEX(BookTitle,2193)="","",INDEX(BookTotal,2193)*'5. Scenarios'!$D$6/(1+ProductivityDefault*('5. Scenarios'!$D$11-1)))</f>
        <v/>
      </c>
      <c r="O2198" s="57" t="str">
        <f aca="false">IF($N2198="","",INDEX(BookRate,2193)*(1+'5. Scenarios'!$D$10)*$N2198)</f>
        <v/>
      </c>
      <c r="P2198" s="57" t="str">
        <f aca="false">IF($O2198="","",SUMIFS($O$6:$O$2405,$A$6:$A$2405,"&lt;="&amp;$A2198))</f>
        <v/>
      </c>
      <c r="Q2198" s="57" t="str">
        <f aca="false">IF($O2198="","",IF($P2198&lt;=BankCostEnvelope*'5. Scenarios'!$D$7,1,0))</f>
        <v/>
      </c>
      <c r="R2198" s="57" t="str">
        <f aca="false">IF($N2198="","",INDEX(BookRate,2193)*(1+'5. Scenarios'!$D$10)*(INDEX(BookQ1,2193)*(5-MIN(4,1+'5. Scenarios'!$D$8))/4+INDEX(BookQ2,2193)*(5-MIN(4,2+'5. Scenarios'!$D$8))/4+INDEX(BookQ3,2193)*(5-MIN(4,3+'5. Scenarios'!$D$8))/4+INDEX(BookQ4,2193)*(5-MIN(4,4+'5. Scenarios'!$D$8))/4)*'5. Scenarios'!$D$6/(1+ProductivityDefault*('5. Scenarios'!$D$11-1))+INDEX(BookOneOff,2193)*$N2198)</f>
        <v/>
      </c>
      <c r="S2198" s="56" t="str">
        <f aca="false">IF(INDEX(BookTitle,2193)="","",INDEX(BookTotal,2193)*'5. Scenarios'!$E$6/(1+ProductivityDefault*('5. Scenarios'!$E$11-1)))</f>
        <v/>
      </c>
      <c r="T2198" s="57" t="str">
        <f aca="false">IF($S2198="","",INDEX(BookRate,2193)*(1+'5. Scenarios'!$E$10)*$S2198)</f>
        <v/>
      </c>
      <c r="U2198" s="57" t="str">
        <f aca="false">IF($T2198="","",SUMIFS($T$6:$T$2405,$A$6:$A$2405,"&lt;="&amp;$A2198))</f>
        <v/>
      </c>
      <c r="V2198" s="57" t="str">
        <f aca="false">IF($T2198="","",IF($U2198&lt;=BankCostEnvelope*'5. Scenarios'!$E$7,1,0))</f>
        <v/>
      </c>
      <c r="W2198" s="57" t="str">
        <f aca="false">IF($S2198="","",INDEX(BookRate,2193)*(1+'5. Scenarios'!$E$10)*(INDEX(BookQ1,2193)*(5-MIN(4,1+'5. Scenarios'!$E$8))/4+INDEX(BookQ2,2193)*(5-MIN(4,2+'5. Scenarios'!$E$8))/4+INDEX(BookQ3,2193)*(5-MIN(4,3+'5. Scenarios'!$E$8))/4+INDEX(BookQ4,2193)*(5-MIN(4,4+'5. Scenarios'!$E$8))/4)*'5. Scenarios'!$E$6/(1+ProductivityDefault*('5. Scenarios'!$E$11-1))+INDEX(BookOneOff,2193)*$S2198)</f>
        <v/>
      </c>
    </row>
    <row r="2199" customFormat="false" ht="15" hidden="false" customHeight="false" outlineLevel="0" collapsed="false">
      <c r="A2199" s="0" t="str">
        <f aca="false">IF(INDEX(BookTitle,2194)="","",INDEX(BookKey,2194))</f>
        <v/>
      </c>
      <c r="B2199" s="0" t="str">
        <f aca="false">IF(INDEX(BookTitle,2194)="","",INDEX(BookGroup,2194))</f>
        <v/>
      </c>
      <c r="C2199" s="0" t="str">
        <f aca="false">IF(INDEX(BookTitle,2194)="","",INDEX(BookCategory,2194))</f>
        <v/>
      </c>
      <c r="D2199" s="56" t="str">
        <f aca="false">IF(INDEX(BookTitle,2194)="","",INDEX(BookTotal,2194)*'5. Scenarios'!$B$6/(1+ProductivityDefault*('5. Scenarios'!$B$11-1)))</f>
        <v/>
      </c>
      <c r="E2199" s="57" t="str">
        <f aca="false">IF($D2199="","",INDEX(BookRate,2194)*(1+'5. Scenarios'!$B$10)*$D2199)</f>
        <v/>
      </c>
      <c r="F2199" s="57" t="str">
        <f aca="false">IF($E2199="","",SUMIFS($E$6:$E$2405,$A$6:$A$2405,"&lt;="&amp;$A2199))</f>
        <v/>
      </c>
      <c r="G2199" s="57" t="str">
        <f aca="false">IF($E2199="","",IF($F2199&lt;=BankCostEnvelope*'5. Scenarios'!$B$7,1,0))</f>
        <v/>
      </c>
      <c r="H2199" s="57" t="str">
        <f aca="false">IF($D2199="","",INDEX(BookRate,2194)*(1+'5. Scenarios'!$B$10)*(INDEX(BookQ1,2194)*(5-MIN(4,1+'5. Scenarios'!$B$8))/4+INDEX(BookQ2,2194)*(5-MIN(4,2+'5. Scenarios'!$B$8))/4+INDEX(BookQ3,2194)*(5-MIN(4,3+'5. Scenarios'!$B$8))/4+INDEX(BookQ4,2194)*(5-MIN(4,4+'5. Scenarios'!$B$8))/4)*'5. Scenarios'!$B$6/(1+ProductivityDefault*('5. Scenarios'!$B$11-1))+INDEX(BookOneOff,2194)*$D2199)</f>
        <v/>
      </c>
      <c r="I2199" s="56" t="str">
        <f aca="false">IF(INDEX(BookTitle,2194)="","",INDEX(BookTotal,2194)*'5. Scenarios'!$C$6/(1+ProductivityDefault*('5. Scenarios'!$C$11-1)))</f>
        <v/>
      </c>
      <c r="J2199" s="57" t="str">
        <f aca="false">IF($I2199="","",INDEX(BookRate,2194)*(1+'5. Scenarios'!$C$10)*$I2199)</f>
        <v/>
      </c>
      <c r="K2199" s="57" t="str">
        <f aca="false">IF($J2199="","",SUMIFS($J$6:$J$2405,$A$6:$A$2405,"&lt;="&amp;$A2199))</f>
        <v/>
      </c>
      <c r="L2199" s="57" t="str">
        <f aca="false">IF($J2199="","",IF($K2199&lt;=BankCostEnvelope*'5. Scenarios'!$C$7,1,0))</f>
        <v/>
      </c>
      <c r="M2199" s="57" t="str">
        <f aca="false">IF($I2199="","",INDEX(BookRate,2194)*(1+'5. Scenarios'!$C$10)*(INDEX(BookQ1,2194)*(5-MIN(4,1+'5. Scenarios'!$C$8))/4+INDEX(BookQ2,2194)*(5-MIN(4,2+'5. Scenarios'!$C$8))/4+INDEX(BookQ3,2194)*(5-MIN(4,3+'5. Scenarios'!$C$8))/4+INDEX(BookQ4,2194)*(5-MIN(4,4+'5. Scenarios'!$C$8))/4)*'5. Scenarios'!$C$6/(1+ProductivityDefault*('5. Scenarios'!$C$11-1))+INDEX(BookOneOff,2194)*$I2199)</f>
        <v/>
      </c>
      <c r="N2199" s="56" t="str">
        <f aca="false">IF(INDEX(BookTitle,2194)="","",INDEX(BookTotal,2194)*'5. Scenarios'!$D$6/(1+ProductivityDefault*('5. Scenarios'!$D$11-1)))</f>
        <v/>
      </c>
      <c r="O2199" s="57" t="str">
        <f aca="false">IF($N2199="","",INDEX(BookRate,2194)*(1+'5. Scenarios'!$D$10)*$N2199)</f>
        <v/>
      </c>
      <c r="P2199" s="57" t="str">
        <f aca="false">IF($O2199="","",SUMIFS($O$6:$O$2405,$A$6:$A$2405,"&lt;="&amp;$A2199))</f>
        <v/>
      </c>
      <c r="Q2199" s="57" t="str">
        <f aca="false">IF($O2199="","",IF($P2199&lt;=BankCostEnvelope*'5. Scenarios'!$D$7,1,0))</f>
        <v/>
      </c>
      <c r="R2199" s="57" t="str">
        <f aca="false">IF($N2199="","",INDEX(BookRate,2194)*(1+'5. Scenarios'!$D$10)*(INDEX(BookQ1,2194)*(5-MIN(4,1+'5. Scenarios'!$D$8))/4+INDEX(BookQ2,2194)*(5-MIN(4,2+'5. Scenarios'!$D$8))/4+INDEX(BookQ3,2194)*(5-MIN(4,3+'5. Scenarios'!$D$8))/4+INDEX(BookQ4,2194)*(5-MIN(4,4+'5. Scenarios'!$D$8))/4)*'5. Scenarios'!$D$6/(1+ProductivityDefault*('5. Scenarios'!$D$11-1))+INDEX(BookOneOff,2194)*$N2199)</f>
        <v/>
      </c>
      <c r="S2199" s="56" t="str">
        <f aca="false">IF(INDEX(BookTitle,2194)="","",INDEX(BookTotal,2194)*'5. Scenarios'!$E$6/(1+ProductivityDefault*('5. Scenarios'!$E$11-1)))</f>
        <v/>
      </c>
      <c r="T2199" s="57" t="str">
        <f aca="false">IF($S2199="","",INDEX(BookRate,2194)*(1+'5. Scenarios'!$E$10)*$S2199)</f>
        <v/>
      </c>
      <c r="U2199" s="57" t="str">
        <f aca="false">IF($T2199="","",SUMIFS($T$6:$T$2405,$A$6:$A$2405,"&lt;="&amp;$A2199))</f>
        <v/>
      </c>
      <c r="V2199" s="57" t="str">
        <f aca="false">IF($T2199="","",IF($U2199&lt;=BankCostEnvelope*'5. Scenarios'!$E$7,1,0))</f>
        <v/>
      </c>
      <c r="W2199" s="57" t="str">
        <f aca="false">IF($S2199="","",INDEX(BookRate,2194)*(1+'5. Scenarios'!$E$10)*(INDEX(BookQ1,2194)*(5-MIN(4,1+'5. Scenarios'!$E$8))/4+INDEX(BookQ2,2194)*(5-MIN(4,2+'5. Scenarios'!$E$8))/4+INDEX(BookQ3,2194)*(5-MIN(4,3+'5. Scenarios'!$E$8))/4+INDEX(BookQ4,2194)*(5-MIN(4,4+'5. Scenarios'!$E$8))/4)*'5. Scenarios'!$E$6/(1+ProductivityDefault*('5. Scenarios'!$E$11-1))+INDEX(BookOneOff,2194)*$S2199)</f>
        <v/>
      </c>
    </row>
    <row r="2200" customFormat="false" ht="15" hidden="false" customHeight="false" outlineLevel="0" collapsed="false">
      <c r="A2200" s="0" t="str">
        <f aca="false">IF(INDEX(BookTitle,2195)="","",INDEX(BookKey,2195))</f>
        <v/>
      </c>
      <c r="B2200" s="0" t="str">
        <f aca="false">IF(INDEX(BookTitle,2195)="","",INDEX(BookGroup,2195))</f>
        <v/>
      </c>
      <c r="C2200" s="0" t="str">
        <f aca="false">IF(INDEX(BookTitle,2195)="","",INDEX(BookCategory,2195))</f>
        <v/>
      </c>
      <c r="D2200" s="56" t="str">
        <f aca="false">IF(INDEX(BookTitle,2195)="","",INDEX(BookTotal,2195)*'5. Scenarios'!$B$6/(1+ProductivityDefault*('5. Scenarios'!$B$11-1)))</f>
        <v/>
      </c>
      <c r="E2200" s="57" t="str">
        <f aca="false">IF($D2200="","",INDEX(BookRate,2195)*(1+'5. Scenarios'!$B$10)*$D2200)</f>
        <v/>
      </c>
      <c r="F2200" s="57" t="str">
        <f aca="false">IF($E2200="","",SUMIFS($E$6:$E$2405,$A$6:$A$2405,"&lt;="&amp;$A2200))</f>
        <v/>
      </c>
      <c r="G2200" s="57" t="str">
        <f aca="false">IF($E2200="","",IF($F2200&lt;=BankCostEnvelope*'5. Scenarios'!$B$7,1,0))</f>
        <v/>
      </c>
      <c r="H2200" s="57" t="str">
        <f aca="false">IF($D2200="","",INDEX(BookRate,2195)*(1+'5. Scenarios'!$B$10)*(INDEX(BookQ1,2195)*(5-MIN(4,1+'5. Scenarios'!$B$8))/4+INDEX(BookQ2,2195)*(5-MIN(4,2+'5. Scenarios'!$B$8))/4+INDEX(BookQ3,2195)*(5-MIN(4,3+'5. Scenarios'!$B$8))/4+INDEX(BookQ4,2195)*(5-MIN(4,4+'5. Scenarios'!$B$8))/4)*'5. Scenarios'!$B$6/(1+ProductivityDefault*('5. Scenarios'!$B$11-1))+INDEX(BookOneOff,2195)*$D2200)</f>
        <v/>
      </c>
      <c r="I2200" s="56" t="str">
        <f aca="false">IF(INDEX(BookTitle,2195)="","",INDEX(BookTotal,2195)*'5. Scenarios'!$C$6/(1+ProductivityDefault*('5. Scenarios'!$C$11-1)))</f>
        <v/>
      </c>
      <c r="J2200" s="57" t="str">
        <f aca="false">IF($I2200="","",INDEX(BookRate,2195)*(1+'5. Scenarios'!$C$10)*$I2200)</f>
        <v/>
      </c>
      <c r="K2200" s="57" t="str">
        <f aca="false">IF($J2200="","",SUMIFS($J$6:$J$2405,$A$6:$A$2405,"&lt;="&amp;$A2200))</f>
        <v/>
      </c>
      <c r="L2200" s="57" t="str">
        <f aca="false">IF($J2200="","",IF($K2200&lt;=BankCostEnvelope*'5. Scenarios'!$C$7,1,0))</f>
        <v/>
      </c>
      <c r="M2200" s="57" t="str">
        <f aca="false">IF($I2200="","",INDEX(BookRate,2195)*(1+'5. Scenarios'!$C$10)*(INDEX(BookQ1,2195)*(5-MIN(4,1+'5. Scenarios'!$C$8))/4+INDEX(BookQ2,2195)*(5-MIN(4,2+'5. Scenarios'!$C$8))/4+INDEX(BookQ3,2195)*(5-MIN(4,3+'5. Scenarios'!$C$8))/4+INDEX(BookQ4,2195)*(5-MIN(4,4+'5. Scenarios'!$C$8))/4)*'5. Scenarios'!$C$6/(1+ProductivityDefault*('5. Scenarios'!$C$11-1))+INDEX(BookOneOff,2195)*$I2200)</f>
        <v/>
      </c>
      <c r="N2200" s="56" t="str">
        <f aca="false">IF(INDEX(BookTitle,2195)="","",INDEX(BookTotal,2195)*'5. Scenarios'!$D$6/(1+ProductivityDefault*('5. Scenarios'!$D$11-1)))</f>
        <v/>
      </c>
      <c r="O2200" s="57" t="str">
        <f aca="false">IF($N2200="","",INDEX(BookRate,2195)*(1+'5. Scenarios'!$D$10)*$N2200)</f>
        <v/>
      </c>
      <c r="P2200" s="57" t="str">
        <f aca="false">IF($O2200="","",SUMIFS($O$6:$O$2405,$A$6:$A$2405,"&lt;="&amp;$A2200))</f>
        <v/>
      </c>
      <c r="Q2200" s="57" t="str">
        <f aca="false">IF($O2200="","",IF($P2200&lt;=BankCostEnvelope*'5. Scenarios'!$D$7,1,0))</f>
        <v/>
      </c>
      <c r="R2200" s="57" t="str">
        <f aca="false">IF($N2200="","",INDEX(BookRate,2195)*(1+'5. Scenarios'!$D$10)*(INDEX(BookQ1,2195)*(5-MIN(4,1+'5. Scenarios'!$D$8))/4+INDEX(BookQ2,2195)*(5-MIN(4,2+'5. Scenarios'!$D$8))/4+INDEX(BookQ3,2195)*(5-MIN(4,3+'5. Scenarios'!$D$8))/4+INDEX(BookQ4,2195)*(5-MIN(4,4+'5. Scenarios'!$D$8))/4)*'5. Scenarios'!$D$6/(1+ProductivityDefault*('5. Scenarios'!$D$11-1))+INDEX(BookOneOff,2195)*$N2200)</f>
        <v/>
      </c>
      <c r="S2200" s="56" t="str">
        <f aca="false">IF(INDEX(BookTitle,2195)="","",INDEX(BookTotal,2195)*'5. Scenarios'!$E$6/(1+ProductivityDefault*('5. Scenarios'!$E$11-1)))</f>
        <v/>
      </c>
      <c r="T2200" s="57" t="str">
        <f aca="false">IF($S2200="","",INDEX(BookRate,2195)*(1+'5. Scenarios'!$E$10)*$S2200)</f>
        <v/>
      </c>
      <c r="U2200" s="57" t="str">
        <f aca="false">IF($T2200="","",SUMIFS($T$6:$T$2405,$A$6:$A$2405,"&lt;="&amp;$A2200))</f>
        <v/>
      </c>
      <c r="V2200" s="57" t="str">
        <f aca="false">IF($T2200="","",IF($U2200&lt;=BankCostEnvelope*'5. Scenarios'!$E$7,1,0))</f>
        <v/>
      </c>
      <c r="W2200" s="57" t="str">
        <f aca="false">IF($S2200="","",INDEX(BookRate,2195)*(1+'5. Scenarios'!$E$10)*(INDEX(BookQ1,2195)*(5-MIN(4,1+'5. Scenarios'!$E$8))/4+INDEX(BookQ2,2195)*(5-MIN(4,2+'5. Scenarios'!$E$8))/4+INDEX(BookQ3,2195)*(5-MIN(4,3+'5. Scenarios'!$E$8))/4+INDEX(BookQ4,2195)*(5-MIN(4,4+'5. Scenarios'!$E$8))/4)*'5. Scenarios'!$E$6/(1+ProductivityDefault*('5. Scenarios'!$E$11-1))+INDEX(BookOneOff,2195)*$S2200)</f>
        <v/>
      </c>
    </row>
    <row r="2201" customFormat="false" ht="15" hidden="false" customHeight="false" outlineLevel="0" collapsed="false">
      <c r="A2201" s="0" t="str">
        <f aca="false">IF(INDEX(BookTitle,2196)="","",INDEX(BookKey,2196))</f>
        <v/>
      </c>
      <c r="B2201" s="0" t="str">
        <f aca="false">IF(INDEX(BookTitle,2196)="","",INDEX(BookGroup,2196))</f>
        <v/>
      </c>
      <c r="C2201" s="0" t="str">
        <f aca="false">IF(INDEX(BookTitle,2196)="","",INDEX(BookCategory,2196))</f>
        <v/>
      </c>
      <c r="D2201" s="56" t="str">
        <f aca="false">IF(INDEX(BookTitle,2196)="","",INDEX(BookTotal,2196)*'5. Scenarios'!$B$6/(1+ProductivityDefault*('5. Scenarios'!$B$11-1)))</f>
        <v/>
      </c>
      <c r="E2201" s="57" t="str">
        <f aca="false">IF($D2201="","",INDEX(BookRate,2196)*(1+'5. Scenarios'!$B$10)*$D2201)</f>
        <v/>
      </c>
      <c r="F2201" s="57" t="str">
        <f aca="false">IF($E2201="","",SUMIFS($E$6:$E$2405,$A$6:$A$2405,"&lt;="&amp;$A2201))</f>
        <v/>
      </c>
      <c r="G2201" s="57" t="str">
        <f aca="false">IF($E2201="","",IF($F2201&lt;=BankCostEnvelope*'5. Scenarios'!$B$7,1,0))</f>
        <v/>
      </c>
      <c r="H2201" s="57" t="str">
        <f aca="false">IF($D2201="","",INDEX(BookRate,2196)*(1+'5. Scenarios'!$B$10)*(INDEX(BookQ1,2196)*(5-MIN(4,1+'5. Scenarios'!$B$8))/4+INDEX(BookQ2,2196)*(5-MIN(4,2+'5. Scenarios'!$B$8))/4+INDEX(BookQ3,2196)*(5-MIN(4,3+'5. Scenarios'!$B$8))/4+INDEX(BookQ4,2196)*(5-MIN(4,4+'5. Scenarios'!$B$8))/4)*'5. Scenarios'!$B$6/(1+ProductivityDefault*('5. Scenarios'!$B$11-1))+INDEX(BookOneOff,2196)*$D2201)</f>
        <v/>
      </c>
      <c r="I2201" s="56" t="str">
        <f aca="false">IF(INDEX(BookTitle,2196)="","",INDEX(BookTotal,2196)*'5. Scenarios'!$C$6/(1+ProductivityDefault*('5. Scenarios'!$C$11-1)))</f>
        <v/>
      </c>
      <c r="J2201" s="57" t="str">
        <f aca="false">IF($I2201="","",INDEX(BookRate,2196)*(1+'5. Scenarios'!$C$10)*$I2201)</f>
        <v/>
      </c>
      <c r="K2201" s="57" t="str">
        <f aca="false">IF($J2201="","",SUMIFS($J$6:$J$2405,$A$6:$A$2405,"&lt;="&amp;$A2201))</f>
        <v/>
      </c>
      <c r="L2201" s="57" t="str">
        <f aca="false">IF($J2201="","",IF($K2201&lt;=BankCostEnvelope*'5. Scenarios'!$C$7,1,0))</f>
        <v/>
      </c>
      <c r="M2201" s="57" t="str">
        <f aca="false">IF($I2201="","",INDEX(BookRate,2196)*(1+'5. Scenarios'!$C$10)*(INDEX(BookQ1,2196)*(5-MIN(4,1+'5. Scenarios'!$C$8))/4+INDEX(BookQ2,2196)*(5-MIN(4,2+'5. Scenarios'!$C$8))/4+INDEX(BookQ3,2196)*(5-MIN(4,3+'5. Scenarios'!$C$8))/4+INDEX(BookQ4,2196)*(5-MIN(4,4+'5. Scenarios'!$C$8))/4)*'5. Scenarios'!$C$6/(1+ProductivityDefault*('5. Scenarios'!$C$11-1))+INDEX(BookOneOff,2196)*$I2201)</f>
        <v/>
      </c>
      <c r="N2201" s="56" t="str">
        <f aca="false">IF(INDEX(BookTitle,2196)="","",INDEX(BookTotal,2196)*'5. Scenarios'!$D$6/(1+ProductivityDefault*('5. Scenarios'!$D$11-1)))</f>
        <v/>
      </c>
      <c r="O2201" s="57" t="str">
        <f aca="false">IF($N2201="","",INDEX(BookRate,2196)*(1+'5. Scenarios'!$D$10)*$N2201)</f>
        <v/>
      </c>
      <c r="P2201" s="57" t="str">
        <f aca="false">IF($O2201="","",SUMIFS($O$6:$O$2405,$A$6:$A$2405,"&lt;="&amp;$A2201))</f>
        <v/>
      </c>
      <c r="Q2201" s="57" t="str">
        <f aca="false">IF($O2201="","",IF($P2201&lt;=BankCostEnvelope*'5. Scenarios'!$D$7,1,0))</f>
        <v/>
      </c>
      <c r="R2201" s="57" t="str">
        <f aca="false">IF($N2201="","",INDEX(BookRate,2196)*(1+'5. Scenarios'!$D$10)*(INDEX(BookQ1,2196)*(5-MIN(4,1+'5. Scenarios'!$D$8))/4+INDEX(BookQ2,2196)*(5-MIN(4,2+'5. Scenarios'!$D$8))/4+INDEX(BookQ3,2196)*(5-MIN(4,3+'5. Scenarios'!$D$8))/4+INDEX(BookQ4,2196)*(5-MIN(4,4+'5. Scenarios'!$D$8))/4)*'5. Scenarios'!$D$6/(1+ProductivityDefault*('5. Scenarios'!$D$11-1))+INDEX(BookOneOff,2196)*$N2201)</f>
        <v/>
      </c>
      <c r="S2201" s="56" t="str">
        <f aca="false">IF(INDEX(BookTitle,2196)="","",INDEX(BookTotal,2196)*'5. Scenarios'!$E$6/(1+ProductivityDefault*('5. Scenarios'!$E$11-1)))</f>
        <v/>
      </c>
      <c r="T2201" s="57" t="str">
        <f aca="false">IF($S2201="","",INDEX(BookRate,2196)*(1+'5. Scenarios'!$E$10)*$S2201)</f>
        <v/>
      </c>
      <c r="U2201" s="57" t="str">
        <f aca="false">IF($T2201="","",SUMIFS($T$6:$T$2405,$A$6:$A$2405,"&lt;="&amp;$A2201))</f>
        <v/>
      </c>
      <c r="V2201" s="57" t="str">
        <f aca="false">IF($T2201="","",IF($U2201&lt;=BankCostEnvelope*'5. Scenarios'!$E$7,1,0))</f>
        <v/>
      </c>
      <c r="W2201" s="57" t="str">
        <f aca="false">IF($S2201="","",INDEX(BookRate,2196)*(1+'5. Scenarios'!$E$10)*(INDEX(BookQ1,2196)*(5-MIN(4,1+'5. Scenarios'!$E$8))/4+INDEX(BookQ2,2196)*(5-MIN(4,2+'5. Scenarios'!$E$8))/4+INDEX(BookQ3,2196)*(5-MIN(4,3+'5. Scenarios'!$E$8))/4+INDEX(BookQ4,2196)*(5-MIN(4,4+'5. Scenarios'!$E$8))/4)*'5. Scenarios'!$E$6/(1+ProductivityDefault*('5. Scenarios'!$E$11-1))+INDEX(BookOneOff,2196)*$S2201)</f>
        <v/>
      </c>
    </row>
    <row r="2202" customFormat="false" ht="15" hidden="false" customHeight="false" outlineLevel="0" collapsed="false">
      <c r="A2202" s="0" t="str">
        <f aca="false">IF(INDEX(BookTitle,2197)="","",INDEX(BookKey,2197))</f>
        <v/>
      </c>
      <c r="B2202" s="0" t="str">
        <f aca="false">IF(INDEX(BookTitle,2197)="","",INDEX(BookGroup,2197))</f>
        <v/>
      </c>
      <c r="C2202" s="0" t="str">
        <f aca="false">IF(INDEX(BookTitle,2197)="","",INDEX(BookCategory,2197))</f>
        <v/>
      </c>
      <c r="D2202" s="56" t="str">
        <f aca="false">IF(INDEX(BookTitle,2197)="","",INDEX(BookTotal,2197)*'5. Scenarios'!$B$6/(1+ProductivityDefault*('5. Scenarios'!$B$11-1)))</f>
        <v/>
      </c>
      <c r="E2202" s="57" t="str">
        <f aca="false">IF($D2202="","",INDEX(BookRate,2197)*(1+'5. Scenarios'!$B$10)*$D2202)</f>
        <v/>
      </c>
      <c r="F2202" s="57" t="str">
        <f aca="false">IF($E2202="","",SUMIFS($E$6:$E$2405,$A$6:$A$2405,"&lt;="&amp;$A2202))</f>
        <v/>
      </c>
      <c r="G2202" s="57" t="str">
        <f aca="false">IF($E2202="","",IF($F2202&lt;=BankCostEnvelope*'5. Scenarios'!$B$7,1,0))</f>
        <v/>
      </c>
      <c r="H2202" s="57" t="str">
        <f aca="false">IF($D2202="","",INDEX(BookRate,2197)*(1+'5. Scenarios'!$B$10)*(INDEX(BookQ1,2197)*(5-MIN(4,1+'5. Scenarios'!$B$8))/4+INDEX(BookQ2,2197)*(5-MIN(4,2+'5. Scenarios'!$B$8))/4+INDEX(BookQ3,2197)*(5-MIN(4,3+'5. Scenarios'!$B$8))/4+INDEX(BookQ4,2197)*(5-MIN(4,4+'5. Scenarios'!$B$8))/4)*'5. Scenarios'!$B$6/(1+ProductivityDefault*('5. Scenarios'!$B$11-1))+INDEX(BookOneOff,2197)*$D2202)</f>
        <v/>
      </c>
      <c r="I2202" s="56" t="str">
        <f aca="false">IF(INDEX(BookTitle,2197)="","",INDEX(BookTotal,2197)*'5. Scenarios'!$C$6/(1+ProductivityDefault*('5. Scenarios'!$C$11-1)))</f>
        <v/>
      </c>
      <c r="J2202" s="57" t="str">
        <f aca="false">IF($I2202="","",INDEX(BookRate,2197)*(1+'5. Scenarios'!$C$10)*$I2202)</f>
        <v/>
      </c>
      <c r="K2202" s="57" t="str">
        <f aca="false">IF($J2202="","",SUMIFS($J$6:$J$2405,$A$6:$A$2405,"&lt;="&amp;$A2202))</f>
        <v/>
      </c>
      <c r="L2202" s="57" t="str">
        <f aca="false">IF($J2202="","",IF($K2202&lt;=BankCostEnvelope*'5. Scenarios'!$C$7,1,0))</f>
        <v/>
      </c>
      <c r="M2202" s="57" t="str">
        <f aca="false">IF($I2202="","",INDEX(BookRate,2197)*(1+'5. Scenarios'!$C$10)*(INDEX(BookQ1,2197)*(5-MIN(4,1+'5. Scenarios'!$C$8))/4+INDEX(BookQ2,2197)*(5-MIN(4,2+'5. Scenarios'!$C$8))/4+INDEX(BookQ3,2197)*(5-MIN(4,3+'5. Scenarios'!$C$8))/4+INDEX(BookQ4,2197)*(5-MIN(4,4+'5. Scenarios'!$C$8))/4)*'5. Scenarios'!$C$6/(1+ProductivityDefault*('5. Scenarios'!$C$11-1))+INDEX(BookOneOff,2197)*$I2202)</f>
        <v/>
      </c>
      <c r="N2202" s="56" t="str">
        <f aca="false">IF(INDEX(BookTitle,2197)="","",INDEX(BookTotal,2197)*'5. Scenarios'!$D$6/(1+ProductivityDefault*('5. Scenarios'!$D$11-1)))</f>
        <v/>
      </c>
      <c r="O2202" s="57" t="str">
        <f aca="false">IF($N2202="","",INDEX(BookRate,2197)*(1+'5. Scenarios'!$D$10)*$N2202)</f>
        <v/>
      </c>
      <c r="P2202" s="57" t="str">
        <f aca="false">IF($O2202="","",SUMIFS($O$6:$O$2405,$A$6:$A$2405,"&lt;="&amp;$A2202))</f>
        <v/>
      </c>
      <c r="Q2202" s="57" t="str">
        <f aca="false">IF($O2202="","",IF($P2202&lt;=BankCostEnvelope*'5. Scenarios'!$D$7,1,0))</f>
        <v/>
      </c>
      <c r="R2202" s="57" t="str">
        <f aca="false">IF($N2202="","",INDEX(BookRate,2197)*(1+'5. Scenarios'!$D$10)*(INDEX(BookQ1,2197)*(5-MIN(4,1+'5. Scenarios'!$D$8))/4+INDEX(BookQ2,2197)*(5-MIN(4,2+'5. Scenarios'!$D$8))/4+INDEX(BookQ3,2197)*(5-MIN(4,3+'5. Scenarios'!$D$8))/4+INDEX(BookQ4,2197)*(5-MIN(4,4+'5. Scenarios'!$D$8))/4)*'5. Scenarios'!$D$6/(1+ProductivityDefault*('5. Scenarios'!$D$11-1))+INDEX(BookOneOff,2197)*$N2202)</f>
        <v/>
      </c>
      <c r="S2202" s="56" t="str">
        <f aca="false">IF(INDEX(BookTitle,2197)="","",INDEX(BookTotal,2197)*'5. Scenarios'!$E$6/(1+ProductivityDefault*('5. Scenarios'!$E$11-1)))</f>
        <v/>
      </c>
      <c r="T2202" s="57" t="str">
        <f aca="false">IF($S2202="","",INDEX(BookRate,2197)*(1+'5. Scenarios'!$E$10)*$S2202)</f>
        <v/>
      </c>
      <c r="U2202" s="57" t="str">
        <f aca="false">IF($T2202="","",SUMIFS($T$6:$T$2405,$A$6:$A$2405,"&lt;="&amp;$A2202))</f>
        <v/>
      </c>
      <c r="V2202" s="57" t="str">
        <f aca="false">IF($T2202="","",IF($U2202&lt;=BankCostEnvelope*'5. Scenarios'!$E$7,1,0))</f>
        <v/>
      </c>
      <c r="W2202" s="57" t="str">
        <f aca="false">IF($S2202="","",INDEX(BookRate,2197)*(1+'5. Scenarios'!$E$10)*(INDEX(BookQ1,2197)*(5-MIN(4,1+'5. Scenarios'!$E$8))/4+INDEX(BookQ2,2197)*(5-MIN(4,2+'5. Scenarios'!$E$8))/4+INDEX(BookQ3,2197)*(5-MIN(4,3+'5. Scenarios'!$E$8))/4+INDEX(BookQ4,2197)*(5-MIN(4,4+'5. Scenarios'!$E$8))/4)*'5. Scenarios'!$E$6/(1+ProductivityDefault*('5. Scenarios'!$E$11-1))+INDEX(BookOneOff,2197)*$S2202)</f>
        <v/>
      </c>
    </row>
    <row r="2203" customFormat="false" ht="15" hidden="false" customHeight="false" outlineLevel="0" collapsed="false">
      <c r="A2203" s="0" t="str">
        <f aca="false">IF(INDEX(BookTitle,2198)="","",INDEX(BookKey,2198))</f>
        <v/>
      </c>
      <c r="B2203" s="0" t="str">
        <f aca="false">IF(INDEX(BookTitle,2198)="","",INDEX(BookGroup,2198))</f>
        <v/>
      </c>
      <c r="C2203" s="0" t="str">
        <f aca="false">IF(INDEX(BookTitle,2198)="","",INDEX(BookCategory,2198))</f>
        <v/>
      </c>
      <c r="D2203" s="56" t="str">
        <f aca="false">IF(INDEX(BookTitle,2198)="","",INDEX(BookTotal,2198)*'5. Scenarios'!$B$6/(1+ProductivityDefault*('5. Scenarios'!$B$11-1)))</f>
        <v/>
      </c>
      <c r="E2203" s="57" t="str">
        <f aca="false">IF($D2203="","",INDEX(BookRate,2198)*(1+'5. Scenarios'!$B$10)*$D2203)</f>
        <v/>
      </c>
      <c r="F2203" s="57" t="str">
        <f aca="false">IF($E2203="","",SUMIFS($E$6:$E$2405,$A$6:$A$2405,"&lt;="&amp;$A2203))</f>
        <v/>
      </c>
      <c r="G2203" s="57" t="str">
        <f aca="false">IF($E2203="","",IF($F2203&lt;=BankCostEnvelope*'5. Scenarios'!$B$7,1,0))</f>
        <v/>
      </c>
      <c r="H2203" s="57" t="str">
        <f aca="false">IF($D2203="","",INDEX(BookRate,2198)*(1+'5. Scenarios'!$B$10)*(INDEX(BookQ1,2198)*(5-MIN(4,1+'5. Scenarios'!$B$8))/4+INDEX(BookQ2,2198)*(5-MIN(4,2+'5. Scenarios'!$B$8))/4+INDEX(BookQ3,2198)*(5-MIN(4,3+'5. Scenarios'!$B$8))/4+INDEX(BookQ4,2198)*(5-MIN(4,4+'5. Scenarios'!$B$8))/4)*'5. Scenarios'!$B$6/(1+ProductivityDefault*('5. Scenarios'!$B$11-1))+INDEX(BookOneOff,2198)*$D2203)</f>
        <v/>
      </c>
      <c r="I2203" s="56" t="str">
        <f aca="false">IF(INDEX(BookTitle,2198)="","",INDEX(BookTotal,2198)*'5. Scenarios'!$C$6/(1+ProductivityDefault*('5. Scenarios'!$C$11-1)))</f>
        <v/>
      </c>
      <c r="J2203" s="57" t="str">
        <f aca="false">IF($I2203="","",INDEX(BookRate,2198)*(1+'5. Scenarios'!$C$10)*$I2203)</f>
        <v/>
      </c>
      <c r="K2203" s="57" t="str">
        <f aca="false">IF($J2203="","",SUMIFS($J$6:$J$2405,$A$6:$A$2405,"&lt;="&amp;$A2203))</f>
        <v/>
      </c>
      <c r="L2203" s="57" t="str">
        <f aca="false">IF($J2203="","",IF($K2203&lt;=BankCostEnvelope*'5. Scenarios'!$C$7,1,0))</f>
        <v/>
      </c>
      <c r="M2203" s="57" t="str">
        <f aca="false">IF($I2203="","",INDEX(BookRate,2198)*(1+'5. Scenarios'!$C$10)*(INDEX(BookQ1,2198)*(5-MIN(4,1+'5. Scenarios'!$C$8))/4+INDEX(BookQ2,2198)*(5-MIN(4,2+'5. Scenarios'!$C$8))/4+INDEX(BookQ3,2198)*(5-MIN(4,3+'5. Scenarios'!$C$8))/4+INDEX(BookQ4,2198)*(5-MIN(4,4+'5. Scenarios'!$C$8))/4)*'5. Scenarios'!$C$6/(1+ProductivityDefault*('5. Scenarios'!$C$11-1))+INDEX(BookOneOff,2198)*$I2203)</f>
        <v/>
      </c>
      <c r="N2203" s="56" t="str">
        <f aca="false">IF(INDEX(BookTitle,2198)="","",INDEX(BookTotal,2198)*'5. Scenarios'!$D$6/(1+ProductivityDefault*('5. Scenarios'!$D$11-1)))</f>
        <v/>
      </c>
      <c r="O2203" s="57" t="str">
        <f aca="false">IF($N2203="","",INDEX(BookRate,2198)*(1+'5. Scenarios'!$D$10)*$N2203)</f>
        <v/>
      </c>
      <c r="P2203" s="57" t="str">
        <f aca="false">IF($O2203="","",SUMIFS($O$6:$O$2405,$A$6:$A$2405,"&lt;="&amp;$A2203))</f>
        <v/>
      </c>
      <c r="Q2203" s="57" t="str">
        <f aca="false">IF($O2203="","",IF($P2203&lt;=BankCostEnvelope*'5. Scenarios'!$D$7,1,0))</f>
        <v/>
      </c>
      <c r="R2203" s="57" t="str">
        <f aca="false">IF($N2203="","",INDEX(BookRate,2198)*(1+'5. Scenarios'!$D$10)*(INDEX(BookQ1,2198)*(5-MIN(4,1+'5. Scenarios'!$D$8))/4+INDEX(BookQ2,2198)*(5-MIN(4,2+'5. Scenarios'!$D$8))/4+INDEX(BookQ3,2198)*(5-MIN(4,3+'5. Scenarios'!$D$8))/4+INDEX(BookQ4,2198)*(5-MIN(4,4+'5. Scenarios'!$D$8))/4)*'5. Scenarios'!$D$6/(1+ProductivityDefault*('5. Scenarios'!$D$11-1))+INDEX(BookOneOff,2198)*$N2203)</f>
        <v/>
      </c>
      <c r="S2203" s="56" t="str">
        <f aca="false">IF(INDEX(BookTitle,2198)="","",INDEX(BookTotal,2198)*'5. Scenarios'!$E$6/(1+ProductivityDefault*('5. Scenarios'!$E$11-1)))</f>
        <v/>
      </c>
      <c r="T2203" s="57" t="str">
        <f aca="false">IF($S2203="","",INDEX(BookRate,2198)*(1+'5. Scenarios'!$E$10)*$S2203)</f>
        <v/>
      </c>
      <c r="U2203" s="57" t="str">
        <f aca="false">IF($T2203="","",SUMIFS($T$6:$T$2405,$A$6:$A$2405,"&lt;="&amp;$A2203))</f>
        <v/>
      </c>
      <c r="V2203" s="57" t="str">
        <f aca="false">IF($T2203="","",IF($U2203&lt;=BankCostEnvelope*'5. Scenarios'!$E$7,1,0))</f>
        <v/>
      </c>
      <c r="W2203" s="57" t="str">
        <f aca="false">IF($S2203="","",INDEX(BookRate,2198)*(1+'5. Scenarios'!$E$10)*(INDEX(BookQ1,2198)*(5-MIN(4,1+'5. Scenarios'!$E$8))/4+INDEX(BookQ2,2198)*(5-MIN(4,2+'5. Scenarios'!$E$8))/4+INDEX(BookQ3,2198)*(5-MIN(4,3+'5. Scenarios'!$E$8))/4+INDEX(BookQ4,2198)*(5-MIN(4,4+'5. Scenarios'!$E$8))/4)*'5. Scenarios'!$E$6/(1+ProductivityDefault*('5. Scenarios'!$E$11-1))+INDEX(BookOneOff,2198)*$S2203)</f>
        <v/>
      </c>
    </row>
    <row r="2204" customFormat="false" ht="15" hidden="false" customHeight="false" outlineLevel="0" collapsed="false">
      <c r="A2204" s="0" t="str">
        <f aca="false">IF(INDEX(BookTitle,2199)="","",INDEX(BookKey,2199))</f>
        <v/>
      </c>
      <c r="B2204" s="0" t="str">
        <f aca="false">IF(INDEX(BookTitle,2199)="","",INDEX(BookGroup,2199))</f>
        <v/>
      </c>
      <c r="C2204" s="0" t="str">
        <f aca="false">IF(INDEX(BookTitle,2199)="","",INDEX(BookCategory,2199))</f>
        <v/>
      </c>
      <c r="D2204" s="56" t="str">
        <f aca="false">IF(INDEX(BookTitle,2199)="","",INDEX(BookTotal,2199)*'5. Scenarios'!$B$6/(1+ProductivityDefault*('5. Scenarios'!$B$11-1)))</f>
        <v/>
      </c>
      <c r="E2204" s="57" t="str">
        <f aca="false">IF($D2204="","",INDEX(BookRate,2199)*(1+'5. Scenarios'!$B$10)*$D2204)</f>
        <v/>
      </c>
      <c r="F2204" s="57" t="str">
        <f aca="false">IF($E2204="","",SUMIFS($E$6:$E$2405,$A$6:$A$2405,"&lt;="&amp;$A2204))</f>
        <v/>
      </c>
      <c r="G2204" s="57" t="str">
        <f aca="false">IF($E2204="","",IF($F2204&lt;=BankCostEnvelope*'5. Scenarios'!$B$7,1,0))</f>
        <v/>
      </c>
      <c r="H2204" s="57" t="str">
        <f aca="false">IF($D2204="","",INDEX(BookRate,2199)*(1+'5. Scenarios'!$B$10)*(INDEX(BookQ1,2199)*(5-MIN(4,1+'5. Scenarios'!$B$8))/4+INDEX(BookQ2,2199)*(5-MIN(4,2+'5. Scenarios'!$B$8))/4+INDEX(BookQ3,2199)*(5-MIN(4,3+'5. Scenarios'!$B$8))/4+INDEX(BookQ4,2199)*(5-MIN(4,4+'5. Scenarios'!$B$8))/4)*'5. Scenarios'!$B$6/(1+ProductivityDefault*('5. Scenarios'!$B$11-1))+INDEX(BookOneOff,2199)*$D2204)</f>
        <v/>
      </c>
      <c r="I2204" s="56" t="str">
        <f aca="false">IF(INDEX(BookTitle,2199)="","",INDEX(BookTotal,2199)*'5. Scenarios'!$C$6/(1+ProductivityDefault*('5. Scenarios'!$C$11-1)))</f>
        <v/>
      </c>
      <c r="J2204" s="57" t="str">
        <f aca="false">IF($I2204="","",INDEX(BookRate,2199)*(1+'5. Scenarios'!$C$10)*$I2204)</f>
        <v/>
      </c>
      <c r="K2204" s="57" t="str">
        <f aca="false">IF($J2204="","",SUMIFS($J$6:$J$2405,$A$6:$A$2405,"&lt;="&amp;$A2204))</f>
        <v/>
      </c>
      <c r="L2204" s="57" t="str">
        <f aca="false">IF($J2204="","",IF($K2204&lt;=BankCostEnvelope*'5. Scenarios'!$C$7,1,0))</f>
        <v/>
      </c>
      <c r="M2204" s="57" t="str">
        <f aca="false">IF($I2204="","",INDEX(BookRate,2199)*(1+'5. Scenarios'!$C$10)*(INDEX(BookQ1,2199)*(5-MIN(4,1+'5. Scenarios'!$C$8))/4+INDEX(BookQ2,2199)*(5-MIN(4,2+'5. Scenarios'!$C$8))/4+INDEX(BookQ3,2199)*(5-MIN(4,3+'5. Scenarios'!$C$8))/4+INDEX(BookQ4,2199)*(5-MIN(4,4+'5. Scenarios'!$C$8))/4)*'5. Scenarios'!$C$6/(1+ProductivityDefault*('5. Scenarios'!$C$11-1))+INDEX(BookOneOff,2199)*$I2204)</f>
        <v/>
      </c>
      <c r="N2204" s="56" t="str">
        <f aca="false">IF(INDEX(BookTitle,2199)="","",INDEX(BookTotal,2199)*'5. Scenarios'!$D$6/(1+ProductivityDefault*('5. Scenarios'!$D$11-1)))</f>
        <v/>
      </c>
      <c r="O2204" s="57" t="str">
        <f aca="false">IF($N2204="","",INDEX(BookRate,2199)*(1+'5. Scenarios'!$D$10)*$N2204)</f>
        <v/>
      </c>
      <c r="P2204" s="57" t="str">
        <f aca="false">IF($O2204="","",SUMIFS($O$6:$O$2405,$A$6:$A$2405,"&lt;="&amp;$A2204))</f>
        <v/>
      </c>
      <c r="Q2204" s="57" t="str">
        <f aca="false">IF($O2204="","",IF($P2204&lt;=BankCostEnvelope*'5. Scenarios'!$D$7,1,0))</f>
        <v/>
      </c>
      <c r="R2204" s="57" t="str">
        <f aca="false">IF($N2204="","",INDEX(BookRate,2199)*(1+'5. Scenarios'!$D$10)*(INDEX(BookQ1,2199)*(5-MIN(4,1+'5. Scenarios'!$D$8))/4+INDEX(BookQ2,2199)*(5-MIN(4,2+'5. Scenarios'!$D$8))/4+INDEX(BookQ3,2199)*(5-MIN(4,3+'5. Scenarios'!$D$8))/4+INDEX(BookQ4,2199)*(5-MIN(4,4+'5. Scenarios'!$D$8))/4)*'5. Scenarios'!$D$6/(1+ProductivityDefault*('5. Scenarios'!$D$11-1))+INDEX(BookOneOff,2199)*$N2204)</f>
        <v/>
      </c>
      <c r="S2204" s="56" t="str">
        <f aca="false">IF(INDEX(BookTitle,2199)="","",INDEX(BookTotal,2199)*'5. Scenarios'!$E$6/(1+ProductivityDefault*('5. Scenarios'!$E$11-1)))</f>
        <v/>
      </c>
      <c r="T2204" s="57" t="str">
        <f aca="false">IF($S2204="","",INDEX(BookRate,2199)*(1+'5. Scenarios'!$E$10)*$S2204)</f>
        <v/>
      </c>
      <c r="U2204" s="57" t="str">
        <f aca="false">IF($T2204="","",SUMIFS($T$6:$T$2405,$A$6:$A$2405,"&lt;="&amp;$A2204))</f>
        <v/>
      </c>
      <c r="V2204" s="57" t="str">
        <f aca="false">IF($T2204="","",IF($U2204&lt;=BankCostEnvelope*'5. Scenarios'!$E$7,1,0))</f>
        <v/>
      </c>
      <c r="W2204" s="57" t="str">
        <f aca="false">IF($S2204="","",INDEX(BookRate,2199)*(1+'5. Scenarios'!$E$10)*(INDEX(BookQ1,2199)*(5-MIN(4,1+'5. Scenarios'!$E$8))/4+INDEX(BookQ2,2199)*(5-MIN(4,2+'5. Scenarios'!$E$8))/4+INDEX(BookQ3,2199)*(5-MIN(4,3+'5. Scenarios'!$E$8))/4+INDEX(BookQ4,2199)*(5-MIN(4,4+'5. Scenarios'!$E$8))/4)*'5. Scenarios'!$E$6/(1+ProductivityDefault*('5. Scenarios'!$E$11-1))+INDEX(BookOneOff,2199)*$S2204)</f>
        <v/>
      </c>
    </row>
    <row r="2205" customFormat="false" ht="15" hidden="false" customHeight="false" outlineLevel="0" collapsed="false">
      <c r="A2205" s="0" t="str">
        <f aca="false">IF(INDEX(BookTitle,2200)="","",INDEX(BookKey,2200))</f>
        <v/>
      </c>
      <c r="B2205" s="0" t="str">
        <f aca="false">IF(INDEX(BookTitle,2200)="","",INDEX(BookGroup,2200))</f>
        <v/>
      </c>
      <c r="C2205" s="0" t="str">
        <f aca="false">IF(INDEX(BookTitle,2200)="","",INDEX(BookCategory,2200))</f>
        <v/>
      </c>
      <c r="D2205" s="56" t="str">
        <f aca="false">IF(INDEX(BookTitle,2200)="","",INDEX(BookTotal,2200)*'5. Scenarios'!$B$6/(1+ProductivityDefault*('5. Scenarios'!$B$11-1)))</f>
        <v/>
      </c>
      <c r="E2205" s="57" t="str">
        <f aca="false">IF($D2205="","",INDEX(BookRate,2200)*(1+'5. Scenarios'!$B$10)*$D2205)</f>
        <v/>
      </c>
      <c r="F2205" s="57" t="str">
        <f aca="false">IF($E2205="","",SUMIFS($E$6:$E$2405,$A$6:$A$2405,"&lt;="&amp;$A2205))</f>
        <v/>
      </c>
      <c r="G2205" s="57" t="str">
        <f aca="false">IF($E2205="","",IF($F2205&lt;=BankCostEnvelope*'5. Scenarios'!$B$7,1,0))</f>
        <v/>
      </c>
      <c r="H2205" s="57" t="str">
        <f aca="false">IF($D2205="","",INDEX(BookRate,2200)*(1+'5. Scenarios'!$B$10)*(INDEX(BookQ1,2200)*(5-MIN(4,1+'5. Scenarios'!$B$8))/4+INDEX(BookQ2,2200)*(5-MIN(4,2+'5. Scenarios'!$B$8))/4+INDEX(BookQ3,2200)*(5-MIN(4,3+'5. Scenarios'!$B$8))/4+INDEX(BookQ4,2200)*(5-MIN(4,4+'5. Scenarios'!$B$8))/4)*'5. Scenarios'!$B$6/(1+ProductivityDefault*('5. Scenarios'!$B$11-1))+INDEX(BookOneOff,2200)*$D2205)</f>
        <v/>
      </c>
      <c r="I2205" s="56" t="str">
        <f aca="false">IF(INDEX(BookTitle,2200)="","",INDEX(BookTotal,2200)*'5. Scenarios'!$C$6/(1+ProductivityDefault*('5. Scenarios'!$C$11-1)))</f>
        <v/>
      </c>
      <c r="J2205" s="57" t="str">
        <f aca="false">IF($I2205="","",INDEX(BookRate,2200)*(1+'5. Scenarios'!$C$10)*$I2205)</f>
        <v/>
      </c>
      <c r="K2205" s="57" t="str">
        <f aca="false">IF($J2205="","",SUMIFS($J$6:$J$2405,$A$6:$A$2405,"&lt;="&amp;$A2205))</f>
        <v/>
      </c>
      <c r="L2205" s="57" t="str">
        <f aca="false">IF($J2205="","",IF($K2205&lt;=BankCostEnvelope*'5. Scenarios'!$C$7,1,0))</f>
        <v/>
      </c>
      <c r="M2205" s="57" t="str">
        <f aca="false">IF($I2205="","",INDEX(BookRate,2200)*(1+'5. Scenarios'!$C$10)*(INDEX(BookQ1,2200)*(5-MIN(4,1+'5. Scenarios'!$C$8))/4+INDEX(BookQ2,2200)*(5-MIN(4,2+'5. Scenarios'!$C$8))/4+INDEX(BookQ3,2200)*(5-MIN(4,3+'5. Scenarios'!$C$8))/4+INDEX(BookQ4,2200)*(5-MIN(4,4+'5. Scenarios'!$C$8))/4)*'5. Scenarios'!$C$6/(1+ProductivityDefault*('5. Scenarios'!$C$11-1))+INDEX(BookOneOff,2200)*$I2205)</f>
        <v/>
      </c>
      <c r="N2205" s="56" t="str">
        <f aca="false">IF(INDEX(BookTitle,2200)="","",INDEX(BookTotal,2200)*'5. Scenarios'!$D$6/(1+ProductivityDefault*('5. Scenarios'!$D$11-1)))</f>
        <v/>
      </c>
      <c r="O2205" s="57" t="str">
        <f aca="false">IF($N2205="","",INDEX(BookRate,2200)*(1+'5. Scenarios'!$D$10)*$N2205)</f>
        <v/>
      </c>
      <c r="P2205" s="57" t="str">
        <f aca="false">IF($O2205="","",SUMIFS($O$6:$O$2405,$A$6:$A$2405,"&lt;="&amp;$A2205))</f>
        <v/>
      </c>
      <c r="Q2205" s="57" t="str">
        <f aca="false">IF($O2205="","",IF($P2205&lt;=BankCostEnvelope*'5. Scenarios'!$D$7,1,0))</f>
        <v/>
      </c>
      <c r="R2205" s="57" t="str">
        <f aca="false">IF($N2205="","",INDEX(BookRate,2200)*(1+'5. Scenarios'!$D$10)*(INDEX(BookQ1,2200)*(5-MIN(4,1+'5. Scenarios'!$D$8))/4+INDEX(BookQ2,2200)*(5-MIN(4,2+'5. Scenarios'!$D$8))/4+INDEX(BookQ3,2200)*(5-MIN(4,3+'5. Scenarios'!$D$8))/4+INDEX(BookQ4,2200)*(5-MIN(4,4+'5. Scenarios'!$D$8))/4)*'5. Scenarios'!$D$6/(1+ProductivityDefault*('5. Scenarios'!$D$11-1))+INDEX(BookOneOff,2200)*$N2205)</f>
        <v/>
      </c>
      <c r="S2205" s="56" t="str">
        <f aca="false">IF(INDEX(BookTitle,2200)="","",INDEX(BookTotal,2200)*'5. Scenarios'!$E$6/(1+ProductivityDefault*('5. Scenarios'!$E$11-1)))</f>
        <v/>
      </c>
      <c r="T2205" s="57" t="str">
        <f aca="false">IF($S2205="","",INDEX(BookRate,2200)*(1+'5. Scenarios'!$E$10)*$S2205)</f>
        <v/>
      </c>
      <c r="U2205" s="57" t="str">
        <f aca="false">IF($T2205="","",SUMIFS($T$6:$T$2405,$A$6:$A$2405,"&lt;="&amp;$A2205))</f>
        <v/>
      </c>
      <c r="V2205" s="57" t="str">
        <f aca="false">IF($T2205="","",IF($U2205&lt;=BankCostEnvelope*'5. Scenarios'!$E$7,1,0))</f>
        <v/>
      </c>
      <c r="W2205" s="57" t="str">
        <f aca="false">IF($S2205="","",INDEX(BookRate,2200)*(1+'5. Scenarios'!$E$10)*(INDEX(BookQ1,2200)*(5-MIN(4,1+'5. Scenarios'!$E$8))/4+INDEX(BookQ2,2200)*(5-MIN(4,2+'5. Scenarios'!$E$8))/4+INDEX(BookQ3,2200)*(5-MIN(4,3+'5. Scenarios'!$E$8))/4+INDEX(BookQ4,2200)*(5-MIN(4,4+'5. Scenarios'!$E$8))/4)*'5. Scenarios'!$E$6/(1+ProductivityDefault*('5. Scenarios'!$E$11-1))+INDEX(BookOneOff,2200)*$S2205)</f>
        <v/>
      </c>
    </row>
    <row r="2206" customFormat="false" ht="15" hidden="false" customHeight="false" outlineLevel="0" collapsed="false">
      <c r="A2206" s="0" t="str">
        <f aca="false">IF(INDEX(BookTitle,2201)="","",INDEX(BookKey,2201))</f>
        <v/>
      </c>
      <c r="B2206" s="0" t="str">
        <f aca="false">IF(INDEX(BookTitle,2201)="","",INDEX(BookGroup,2201))</f>
        <v/>
      </c>
      <c r="C2206" s="0" t="str">
        <f aca="false">IF(INDEX(BookTitle,2201)="","",INDEX(BookCategory,2201))</f>
        <v/>
      </c>
      <c r="D2206" s="56" t="str">
        <f aca="false">IF(INDEX(BookTitle,2201)="","",INDEX(BookTotal,2201)*'5. Scenarios'!$B$6/(1+ProductivityDefault*('5. Scenarios'!$B$11-1)))</f>
        <v/>
      </c>
      <c r="E2206" s="57" t="str">
        <f aca="false">IF($D2206="","",INDEX(BookRate,2201)*(1+'5. Scenarios'!$B$10)*$D2206)</f>
        <v/>
      </c>
      <c r="F2206" s="57" t="str">
        <f aca="false">IF($E2206="","",SUMIFS($E$6:$E$2405,$A$6:$A$2405,"&lt;="&amp;$A2206))</f>
        <v/>
      </c>
      <c r="G2206" s="57" t="str">
        <f aca="false">IF($E2206="","",IF($F2206&lt;=BankCostEnvelope*'5. Scenarios'!$B$7,1,0))</f>
        <v/>
      </c>
      <c r="H2206" s="57" t="str">
        <f aca="false">IF($D2206="","",INDEX(BookRate,2201)*(1+'5. Scenarios'!$B$10)*(INDEX(BookQ1,2201)*(5-MIN(4,1+'5. Scenarios'!$B$8))/4+INDEX(BookQ2,2201)*(5-MIN(4,2+'5. Scenarios'!$B$8))/4+INDEX(BookQ3,2201)*(5-MIN(4,3+'5. Scenarios'!$B$8))/4+INDEX(BookQ4,2201)*(5-MIN(4,4+'5. Scenarios'!$B$8))/4)*'5. Scenarios'!$B$6/(1+ProductivityDefault*('5. Scenarios'!$B$11-1))+INDEX(BookOneOff,2201)*$D2206)</f>
        <v/>
      </c>
      <c r="I2206" s="56" t="str">
        <f aca="false">IF(INDEX(BookTitle,2201)="","",INDEX(BookTotal,2201)*'5. Scenarios'!$C$6/(1+ProductivityDefault*('5. Scenarios'!$C$11-1)))</f>
        <v/>
      </c>
      <c r="J2206" s="57" t="str">
        <f aca="false">IF($I2206="","",INDEX(BookRate,2201)*(1+'5. Scenarios'!$C$10)*$I2206)</f>
        <v/>
      </c>
      <c r="K2206" s="57" t="str">
        <f aca="false">IF($J2206="","",SUMIFS($J$6:$J$2405,$A$6:$A$2405,"&lt;="&amp;$A2206))</f>
        <v/>
      </c>
      <c r="L2206" s="57" t="str">
        <f aca="false">IF($J2206="","",IF($K2206&lt;=BankCostEnvelope*'5. Scenarios'!$C$7,1,0))</f>
        <v/>
      </c>
      <c r="M2206" s="57" t="str">
        <f aca="false">IF($I2206="","",INDEX(BookRate,2201)*(1+'5. Scenarios'!$C$10)*(INDEX(BookQ1,2201)*(5-MIN(4,1+'5. Scenarios'!$C$8))/4+INDEX(BookQ2,2201)*(5-MIN(4,2+'5. Scenarios'!$C$8))/4+INDEX(BookQ3,2201)*(5-MIN(4,3+'5. Scenarios'!$C$8))/4+INDEX(BookQ4,2201)*(5-MIN(4,4+'5. Scenarios'!$C$8))/4)*'5. Scenarios'!$C$6/(1+ProductivityDefault*('5. Scenarios'!$C$11-1))+INDEX(BookOneOff,2201)*$I2206)</f>
        <v/>
      </c>
      <c r="N2206" s="56" t="str">
        <f aca="false">IF(INDEX(BookTitle,2201)="","",INDEX(BookTotal,2201)*'5. Scenarios'!$D$6/(1+ProductivityDefault*('5. Scenarios'!$D$11-1)))</f>
        <v/>
      </c>
      <c r="O2206" s="57" t="str">
        <f aca="false">IF($N2206="","",INDEX(BookRate,2201)*(1+'5. Scenarios'!$D$10)*$N2206)</f>
        <v/>
      </c>
      <c r="P2206" s="57" t="str">
        <f aca="false">IF($O2206="","",SUMIFS($O$6:$O$2405,$A$6:$A$2405,"&lt;="&amp;$A2206))</f>
        <v/>
      </c>
      <c r="Q2206" s="57" t="str">
        <f aca="false">IF($O2206="","",IF($P2206&lt;=BankCostEnvelope*'5. Scenarios'!$D$7,1,0))</f>
        <v/>
      </c>
      <c r="R2206" s="57" t="str">
        <f aca="false">IF($N2206="","",INDEX(BookRate,2201)*(1+'5. Scenarios'!$D$10)*(INDEX(BookQ1,2201)*(5-MIN(4,1+'5. Scenarios'!$D$8))/4+INDEX(BookQ2,2201)*(5-MIN(4,2+'5. Scenarios'!$D$8))/4+INDEX(BookQ3,2201)*(5-MIN(4,3+'5. Scenarios'!$D$8))/4+INDEX(BookQ4,2201)*(5-MIN(4,4+'5. Scenarios'!$D$8))/4)*'5. Scenarios'!$D$6/(1+ProductivityDefault*('5. Scenarios'!$D$11-1))+INDEX(BookOneOff,2201)*$N2206)</f>
        <v/>
      </c>
      <c r="S2206" s="56" t="str">
        <f aca="false">IF(INDEX(BookTitle,2201)="","",INDEX(BookTotal,2201)*'5. Scenarios'!$E$6/(1+ProductivityDefault*('5. Scenarios'!$E$11-1)))</f>
        <v/>
      </c>
      <c r="T2206" s="57" t="str">
        <f aca="false">IF($S2206="","",INDEX(BookRate,2201)*(1+'5. Scenarios'!$E$10)*$S2206)</f>
        <v/>
      </c>
      <c r="U2206" s="57" t="str">
        <f aca="false">IF($T2206="","",SUMIFS($T$6:$T$2405,$A$6:$A$2405,"&lt;="&amp;$A2206))</f>
        <v/>
      </c>
      <c r="V2206" s="57" t="str">
        <f aca="false">IF($T2206="","",IF($U2206&lt;=BankCostEnvelope*'5. Scenarios'!$E$7,1,0))</f>
        <v/>
      </c>
      <c r="W2206" s="57" t="str">
        <f aca="false">IF($S2206="","",INDEX(BookRate,2201)*(1+'5. Scenarios'!$E$10)*(INDEX(BookQ1,2201)*(5-MIN(4,1+'5. Scenarios'!$E$8))/4+INDEX(BookQ2,2201)*(5-MIN(4,2+'5. Scenarios'!$E$8))/4+INDEX(BookQ3,2201)*(5-MIN(4,3+'5. Scenarios'!$E$8))/4+INDEX(BookQ4,2201)*(5-MIN(4,4+'5. Scenarios'!$E$8))/4)*'5. Scenarios'!$E$6/(1+ProductivityDefault*('5. Scenarios'!$E$11-1))+INDEX(BookOneOff,2201)*$S2206)</f>
        <v/>
      </c>
    </row>
    <row r="2207" customFormat="false" ht="15" hidden="false" customHeight="false" outlineLevel="0" collapsed="false">
      <c r="A2207" s="0" t="str">
        <f aca="false">IF(INDEX(BookTitle,2202)="","",INDEX(BookKey,2202))</f>
        <v/>
      </c>
      <c r="B2207" s="0" t="str">
        <f aca="false">IF(INDEX(BookTitle,2202)="","",INDEX(BookGroup,2202))</f>
        <v/>
      </c>
      <c r="C2207" s="0" t="str">
        <f aca="false">IF(INDEX(BookTitle,2202)="","",INDEX(BookCategory,2202))</f>
        <v/>
      </c>
      <c r="D2207" s="56" t="str">
        <f aca="false">IF(INDEX(BookTitle,2202)="","",INDEX(BookTotal,2202)*'5. Scenarios'!$B$6/(1+ProductivityDefault*('5. Scenarios'!$B$11-1)))</f>
        <v/>
      </c>
      <c r="E2207" s="57" t="str">
        <f aca="false">IF($D2207="","",INDEX(BookRate,2202)*(1+'5. Scenarios'!$B$10)*$D2207)</f>
        <v/>
      </c>
      <c r="F2207" s="57" t="str">
        <f aca="false">IF($E2207="","",SUMIFS($E$6:$E$2405,$A$6:$A$2405,"&lt;="&amp;$A2207))</f>
        <v/>
      </c>
      <c r="G2207" s="57" t="str">
        <f aca="false">IF($E2207="","",IF($F2207&lt;=BankCostEnvelope*'5. Scenarios'!$B$7,1,0))</f>
        <v/>
      </c>
      <c r="H2207" s="57" t="str">
        <f aca="false">IF($D2207="","",INDEX(BookRate,2202)*(1+'5. Scenarios'!$B$10)*(INDEX(BookQ1,2202)*(5-MIN(4,1+'5. Scenarios'!$B$8))/4+INDEX(BookQ2,2202)*(5-MIN(4,2+'5. Scenarios'!$B$8))/4+INDEX(BookQ3,2202)*(5-MIN(4,3+'5. Scenarios'!$B$8))/4+INDEX(BookQ4,2202)*(5-MIN(4,4+'5. Scenarios'!$B$8))/4)*'5. Scenarios'!$B$6/(1+ProductivityDefault*('5. Scenarios'!$B$11-1))+INDEX(BookOneOff,2202)*$D2207)</f>
        <v/>
      </c>
      <c r="I2207" s="56" t="str">
        <f aca="false">IF(INDEX(BookTitle,2202)="","",INDEX(BookTotal,2202)*'5. Scenarios'!$C$6/(1+ProductivityDefault*('5. Scenarios'!$C$11-1)))</f>
        <v/>
      </c>
      <c r="J2207" s="57" t="str">
        <f aca="false">IF($I2207="","",INDEX(BookRate,2202)*(1+'5. Scenarios'!$C$10)*$I2207)</f>
        <v/>
      </c>
      <c r="K2207" s="57" t="str">
        <f aca="false">IF($J2207="","",SUMIFS($J$6:$J$2405,$A$6:$A$2405,"&lt;="&amp;$A2207))</f>
        <v/>
      </c>
      <c r="L2207" s="57" t="str">
        <f aca="false">IF($J2207="","",IF($K2207&lt;=BankCostEnvelope*'5. Scenarios'!$C$7,1,0))</f>
        <v/>
      </c>
      <c r="M2207" s="57" t="str">
        <f aca="false">IF($I2207="","",INDEX(BookRate,2202)*(1+'5. Scenarios'!$C$10)*(INDEX(BookQ1,2202)*(5-MIN(4,1+'5. Scenarios'!$C$8))/4+INDEX(BookQ2,2202)*(5-MIN(4,2+'5. Scenarios'!$C$8))/4+INDEX(BookQ3,2202)*(5-MIN(4,3+'5. Scenarios'!$C$8))/4+INDEX(BookQ4,2202)*(5-MIN(4,4+'5. Scenarios'!$C$8))/4)*'5. Scenarios'!$C$6/(1+ProductivityDefault*('5. Scenarios'!$C$11-1))+INDEX(BookOneOff,2202)*$I2207)</f>
        <v/>
      </c>
      <c r="N2207" s="56" t="str">
        <f aca="false">IF(INDEX(BookTitle,2202)="","",INDEX(BookTotal,2202)*'5. Scenarios'!$D$6/(1+ProductivityDefault*('5. Scenarios'!$D$11-1)))</f>
        <v/>
      </c>
      <c r="O2207" s="57" t="str">
        <f aca="false">IF($N2207="","",INDEX(BookRate,2202)*(1+'5. Scenarios'!$D$10)*$N2207)</f>
        <v/>
      </c>
      <c r="P2207" s="57" t="str">
        <f aca="false">IF($O2207="","",SUMIFS($O$6:$O$2405,$A$6:$A$2405,"&lt;="&amp;$A2207))</f>
        <v/>
      </c>
      <c r="Q2207" s="57" t="str">
        <f aca="false">IF($O2207="","",IF($P2207&lt;=BankCostEnvelope*'5. Scenarios'!$D$7,1,0))</f>
        <v/>
      </c>
      <c r="R2207" s="57" t="str">
        <f aca="false">IF($N2207="","",INDEX(BookRate,2202)*(1+'5. Scenarios'!$D$10)*(INDEX(BookQ1,2202)*(5-MIN(4,1+'5. Scenarios'!$D$8))/4+INDEX(BookQ2,2202)*(5-MIN(4,2+'5. Scenarios'!$D$8))/4+INDEX(BookQ3,2202)*(5-MIN(4,3+'5. Scenarios'!$D$8))/4+INDEX(BookQ4,2202)*(5-MIN(4,4+'5. Scenarios'!$D$8))/4)*'5. Scenarios'!$D$6/(1+ProductivityDefault*('5. Scenarios'!$D$11-1))+INDEX(BookOneOff,2202)*$N2207)</f>
        <v/>
      </c>
      <c r="S2207" s="56" t="str">
        <f aca="false">IF(INDEX(BookTitle,2202)="","",INDEX(BookTotal,2202)*'5. Scenarios'!$E$6/(1+ProductivityDefault*('5. Scenarios'!$E$11-1)))</f>
        <v/>
      </c>
      <c r="T2207" s="57" t="str">
        <f aca="false">IF($S2207="","",INDEX(BookRate,2202)*(1+'5. Scenarios'!$E$10)*$S2207)</f>
        <v/>
      </c>
      <c r="U2207" s="57" t="str">
        <f aca="false">IF($T2207="","",SUMIFS($T$6:$T$2405,$A$6:$A$2405,"&lt;="&amp;$A2207))</f>
        <v/>
      </c>
      <c r="V2207" s="57" t="str">
        <f aca="false">IF($T2207="","",IF($U2207&lt;=BankCostEnvelope*'5. Scenarios'!$E$7,1,0))</f>
        <v/>
      </c>
      <c r="W2207" s="57" t="str">
        <f aca="false">IF($S2207="","",INDEX(BookRate,2202)*(1+'5. Scenarios'!$E$10)*(INDEX(BookQ1,2202)*(5-MIN(4,1+'5. Scenarios'!$E$8))/4+INDEX(BookQ2,2202)*(5-MIN(4,2+'5. Scenarios'!$E$8))/4+INDEX(BookQ3,2202)*(5-MIN(4,3+'5. Scenarios'!$E$8))/4+INDEX(BookQ4,2202)*(5-MIN(4,4+'5. Scenarios'!$E$8))/4)*'5. Scenarios'!$E$6/(1+ProductivityDefault*('5. Scenarios'!$E$11-1))+INDEX(BookOneOff,2202)*$S2207)</f>
        <v/>
      </c>
    </row>
    <row r="2208" customFormat="false" ht="15" hidden="false" customHeight="false" outlineLevel="0" collapsed="false">
      <c r="A2208" s="0" t="str">
        <f aca="false">IF(INDEX(BookTitle,2203)="","",INDEX(BookKey,2203))</f>
        <v/>
      </c>
      <c r="B2208" s="0" t="str">
        <f aca="false">IF(INDEX(BookTitle,2203)="","",INDEX(BookGroup,2203))</f>
        <v/>
      </c>
      <c r="C2208" s="0" t="str">
        <f aca="false">IF(INDEX(BookTitle,2203)="","",INDEX(BookCategory,2203))</f>
        <v/>
      </c>
      <c r="D2208" s="56" t="str">
        <f aca="false">IF(INDEX(BookTitle,2203)="","",INDEX(BookTotal,2203)*'5. Scenarios'!$B$6/(1+ProductivityDefault*('5. Scenarios'!$B$11-1)))</f>
        <v/>
      </c>
      <c r="E2208" s="57" t="str">
        <f aca="false">IF($D2208="","",INDEX(BookRate,2203)*(1+'5. Scenarios'!$B$10)*$D2208)</f>
        <v/>
      </c>
      <c r="F2208" s="57" t="str">
        <f aca="false">IF($E2208="","",SUMIFS($E$6:$E$2405,$A$6:$A$2405,"&lt;="&amp;$A2208))</f>
        <v/>
      </c>
      <c r="G2208" s="57" t="str">
        <f aca="false">IF($E2208="","",IF($F2208&lt;=BankCostEnvelope*'5. Scenarios'!$B$7,1,0))</f>
        <v/>
      </c>
      <c r="H2208" s="57" t="str">
        <f aca="false">IF($D2208="","",INDEX(BookRate,2203)*(1+'5. Scenarios'!$B$10)*(INDEX(BookQ1,2203)*(5-MIN(4,1+'5. Scenarios'!$B$8))/4+INDEX(BookQ2,2203)*(5-MIN(4,2+'5. Scenarios'!$B$8))/4+INDEX(BookQ3,2203)*(5-MIN(4,3+'5. Scenarios'!$B$8))/4+INDEX(BookQ4,2203)*(5-MIN(4,4+'5. Scenarios'!$B$8))/4)*'5. Scenarios'!$B$6/(1+ProductivityDefault*('5. Scenarios'!$B$11-1))+INDEX(BookOneOff,2203)*$D2208)</f>
        <v/>
      </c>
      <c r="I2208" s="56" t="str">
        <f aca="false">IF(INDEX(BookTitle,2203)="","",INDEX(BookTotal,2203)*'5. Scenarios'!$C$6/(1+ProductivityDefault*('5. Scenarios'!$C$11-1)))</f>
        <v/>
      </c>
      <c r="J2208" s="57" t="str">
        <f aca="false">IF($I2208="","",INDEX(BookRate,2203)*(1+'5. Scenarios'!$C$10)*$I2208)</f>
        <v/>
      </c>
      <c r="K2208" s="57" t="str">
        <f aca="false">IF($J2208="","",SUMIFS($J$6:$J$2405,$A$6:$A$2405,"&lt;="&amp;$A2208))</f>
        <v/>
      </c>
      <c r="L2208" s="57" t="str">
        <f aca="false">IF($J2208="","",IF($K2208&lt;=BankCostEnvelope*'5. Scenarios'!$C$7,1,0))</f>
        <v/>
      </c>
      <c r="M2208" s="57" t="str">
        <f aca="false">IF($I2208="","",INDEX(BookRate,2203)*(1+'5. Scenarios'!$C$10)*(INDEX(BookQ1,2203)*(5-MIN(4,1+'5. Scenarios'!$C$8))/4+INDEX(BookQ2,2203)*(5-MIN(4,2+'5. Scenarios'!$C$8))/4+INDEX(BookQ3,2203)*(5-MIN(4,3+'5. Scenarios'!$C$8))/4+INDEX(BookQ4,2203)*(5-MIN(4,4+'5. Scenarios'!$C$8))/4)*'5. Scenarios'!$C$6/(1+ProductivityDefault*('5. Scenarios'!$C$11-1))+INDEX(BookOneOff,2203)*$I2208)</f>
        <v/>
      </c>
      <c r="N2208" s="56" t="str">
        <f aca="false">IF(INDEX(BookTitle,2203)="","",INDEX(BookTotal,2203)*'5. Scenarios'!$D$6/(1+ProductivityDefault*('5. Scenarios'!$D$11-1)))</f>
        <v/>
      </c>
      <c r="O2208" s="57" t="str">
        <f aca="false">IF($N2208="","",INDEX(BookRate,2203)*(1+'5. Scenarios'!$D$10)*$N2208)</f>
        <v/>
      </c>
      <c r="P2208" s="57" t="str">
        <f aca="false">IF($O2208="","",SUMIFS($O$6:$O$2405,$A$6:$A$2405,"&lt;="&amp;$A2208))</f>
        <v/>
      </c>
      <c r="Q2208" s="57" t="str">
        <f aca="false">IF($O2208="","",IF($P2208&lt;=BankCostEnvelope*'5. Scenarios'!$D$7,1,0))</f>
        <v/>
      </c>
      <c r="R2208" s="57" t="str">
        <f aca="false">IF($N2208="","",INDEX(BookRate,2203)*(1+'5. Scenarios'!$D$10)*(INDEX(BookQ1,2203)*(5-MIN(4,1+'5. Scenarios'!$D$8))/4+INDEX(BookQ2,2203)*(5-MIN(4,2+'5. Scenarios'!$D$8))/4+INDEX(BookQ3,2203)*(5-MIN(4,3+'5. Scenarios'!$D$8))/4+INDEX(BookQ4,2203)*(5-MIN(4,4+'5. Scenarios'!$D$8))/4)*'5. Scenarios'!$D$6/(1+ProductivityDefault*('5. Scenarios'!$D$11-1))+INDEX(BookOneOff,2203)*$N2208)</f>
        <v/>
      </c>
      <c r="S2208" s="56" t="str">
        <f aca="false">IF(INDEX(BookTitle,2203)="","",INDEX(BookTotal,2203)*'5. Scenarios'!$E$6/(1+ProductivityDefault*('5. Scenarios'!$E$11-1)))</f>
        <v/>
      </c>
      <c r="T2208" s="57" t="str">
        <f aca="false">IF($S2208="","",INDEX(BookRate,2203)*(1+'5. Scenarios'!$E$10)*$S2208)</f>
        <v/>
      </c>
      <c r="U2208" s="57" t="str">
        <f aca="false">IF($T2208="","",SUMIFS($T$6:$T$2405,$A$6:$A$2405,"&lt;="&amp;$A2208))</f>
        <v/>
      </c>
      <c r="V2208" s="57" t="str">
        <f aca="false">IF($T2208="","",IF($U2208&lt;=BankCostEnvelope*'5. Scenarios'!$E$7,1,0))</f>
        <v/>
      </c>
      <c r="W2208" s="57" t="str">
        <f aca="false">IF($S2208="","",INDEX(BookRate,2203)*(1+'5. Scenarios'!$E$10)*(INDEX(BookQ1,2203)*(5-MIN(4,1+'5. Scenarios'!$E$8))/4+INDEX(BookQ2,2203)*(5-MIN(4,2+'5. Scenarios'!$E$8))/4+INDEX(BookQ3,2203)*(5-MIN(4,3+'5. Scenarios'!$E$8))/4+INDEX(BookQ4,2203)*(5-MIN(4,4+'5. Scenarios'!$E$8))/4)*'5. Scenarios'!$E$6/(1+ProductivityDefault*('5. Scenarios'!$E$11-1))+INDEX(BookOneOff,2203)*$S2208)</f>
        <v/>
      </c>
    </row>
    <row r="2209" customFormat="false" ht="15" hidden="false" customHeight="false" outlineLevel="0" collapsed="false">
      <c r="A2209" s="0" t="str">
        <f aca="false">IF(INDEX(BookTitle,2204)="","",INDEX(BookKey,2204))</f>
        <v/>
      </c>
      <c r="B2209" s="0" t="str">
        <f aca="false">IF(INDEX(BookTitle,2204)="","",INDEX(BookGroup,2204))</f>
        <v/>
      </c>
      <c r="C2209" s="0" t="str">
        <f aca="false">IF(INDEX(BookTitle,2204)="","",INDEX(BookCategory,2204))</f>
        <v/>
      </c>
      <c r="D2209" s="56" t="str">
        <f aca="false">IF(INDEX(BookTitle,2204)="","",INDEX(BookTotal,2204)*'5. Scenarios'!$B$6/(1+ProductivityDefault*('5. Scenarios'!$B$11-1)))</f>
        <v/>
      </c>
      <c r="E2209" s="57" t="str">
        <f aca="false">IF($D2209="","",INDEX(BookRate,2204)*(1+'5. Scenarios'!$B$10)*$D2209)</f>
        <v/>
      </c>
      <c r="F2209" s="57" t="str">
        <f aca="false">IF($E2209="","",SUMIFS($E$6:$E$2405,$A$6:$A$2405,"&lt;="&amp;$A2209))</f>
        <v/>
      </c>
      <c r="G2209" s="57" t="str">
        <f aca="false">IF($E2209="","",IF($F2209&lt;=BankCostEnvelope*'5. Scenarios'!$B$7,1,0))</f>
        <v/>
      </c>
      <c r="H2209" s="57" t="str">
        <f aca="false">IF($D2209="","",INDEX(BookRate,2204)*(1+'5. Scenarios'!$B$10)*(INDEX(BookQ1,2204)*(5-MIN(4,1+'5. Scenarios'!$B$8))/4+INDEX(BookQ2,2204)*(5-MIN(4,2+'5. Scenarios'!$B$8))/4+INDEX(BookQ3,2204)*(5-MIN(4,3+'5. Scenarios'!$B$8))/4+INDEX(BookQ4,2204)*(5-MIN(4,4+'5. Scenarios'!$B$8))/4)*'5. Scenarios'!$B$6/(1+ProductivityDefault*('5. Scenarios'!$B$11-1))+INDEX(BookOneOff,2204)*$D2209)</f>
        <v/>
      </c>
      <c r="I2209" s="56" t="str">
        <f aca="false">IF(INDEX(BookTitle,2204)="","",INDEX(BookTotal,2204)*'5. Scenarios'!$C$6/(1+ProductivityDefault*('5. Scenarios'!$C$11-1)))</f>
        <v/>
      </c>
      <c r="J2209" s="57" t="str">
        <f aca="false">IF($I2209="","",INDEX(BookRate,2204)*(1+'5. Scenarios'!$C$10)*$I2209)</f>
        <v/>
      </c>
      <c r="K2209" s="57" t="str">
        <f aca="false">IF($J2209="","",SUMIFS($J$6:$J$2405,$A$6:$A$2405,"&lt;="&amp;$A2209))</f>
        <v/>
      </c>
      <c r="L2209" s="57" t="str">
        <f aca="false">IF($J2209="","",IF($K2209&lt;=BankCostEnvelope*'5. Scenarios'!$C$7,1,0))</f>
        <v/>
      </c>
      <c r="M2209" s="57" t="str">
        <f aca="false">IF($I2209="","",INDEX(BookRate,2204)*(1+'5. Scenarios'!$C$10)*(INDEX(BookQ1,2204)*(5-MIN(4,1+'5. Scenarios'!$C$8))/4+INDEX(BookQ2,2204)*(5-MIN(4,2+'5. Scenarios'!$C$8))/4+INDEX(BookQ3,2204)*(5-MIN(4,3+'5. Scenarios'!$C$8))/4+INDEX(BookQ4,2204)*(5-MIN(4,4+'5. Scenarios'!$C$8))/4)*'5. Scenarios'!$C$6/(1+ProductivityDefault*('5. Scenarios'!$C$11-1))+INDEX(BookOneOff,2204)*$I2209)</f>
        <v/>
      </c>
      <c r="N2209" s="56" t="str">
        <f aca="false">IF(INDEX(BookTitle,2204)="","",INDEX(BookTotal,2204)*'5. Scenarios'!$D$6/(1+ProductivityDefault*('5. Scenarios'!$D$11-1)))</f>
        <v/>
      </c>
      <c r="O2209" s="57" t="str">
        <f aca="false">IF($N2209="","",INDEX(BookRate,2204)*(1+'5. Scenarios'!$D$10)*$N2209)</f>
        <v/>
      </c>
      <c r="P2209" s="57" t="str">
        <f aca="false">IF($O2209="","",SUMIFS($O$6:$O$2405,$A$6:$A$2405,"&lt;="&amp;$A2209))</f>
        <v/>
      </c>
      <c r="Q2209" s="57" t="str">
        <f aca="false">IF($O2209="","",IF($P2209&lt;=BankCostEnvelope*'5. Scenarios'!$D$7,1,0))</f>
        <v/>
      </c>
      <c r="R2209" s="57" t="str">
        <f aca="false">IF($N2209="","",INDEX(BookRate,2204)*(1+'5. Scenarios'!$D$10)*(INDEX(BookQ1,2204)*(5-MIN(4,1+'5. Scenarios'!$D$8))/4+INDEX(BookQ2,2204)*(5-MIN(4,2+'5. Scenarios'!$D$8))/4+INDEX(BookQ3,2204)*(5-MIN(4,3+'5. Scenarios'!$D$8))/4+INDEX(BookQ4,2204)*(5-MIN(4,4+'5. Scenarios'!$D$8))/4)*'5. Scenarios'!$D$6/(1+ProductivityDefault*('5. Scenarios'!$D$11-1))+INDEX(BookOneOff,2204)*$N2209)</f>
        <v/>
      </c>
      <c r="S2209" s="56" t="str">
        <f aca="false">IF(INDEX(BookTitle,2204)="","",INDEX(BookTotal,2204)*'5. Scenarios'!$E$6/(1+ProductivityDefault*('5. Scenarios'!$E$11-1)))</f>
        <v/>
      </c>
      <c r="T2209" s="57" t="str">
        <f aca="false">IF($S2209="","",INDEX(BookRate,2204)*(1+'5. Scenarios'!$E$10)*$S2209)</f>
        <v/>
      </c>
      <c r="U2209" s="57" t="str">
        <f aca="false">IF($T2209="","",SUMIFS($T$6:$T$2405,$A$6:$A$2405,"&lt;="&amp;$A2209))</f>
        <v/>
      </c>
      <c r="V2209" s="57" t="str">
        <f aca="false">IF($T2209="","",IF($U2209&lt;=BankCostEnvelope*'5. Scenarios'!$E$7,1,0))</f>
        <v/>
      </c>
      <c r="W2209" s="57" t="str">
        <f aca="false">IF($S2209="","",INDEX(BookRate,2204)*(1+'5. Scenarios'!$E$10)*(INDEX(BookQ1,2204)*(5-MIN(4,1+'5. Scenarios'!$E$8))/4+INDEX(BookQ2,2204)*(5-MIN(4,2+'5. Scenarios'!$E$8))/4+INDEX(BookQ3,2204)*(5-MIN(4,3+'5. Scenarios'!$E$8))/4+INDEX(BookQ4,2204)*(5-MIN(4,4+'5. Scenarios'!$E$8))/4)*'5. Scenarios'!$E$6/(1+ProductivityDefault*('5. Scenarios'!$E$11-1))+INDEX(BookOneOff,2204)*$S2209)</f>
        <v/>
      </c>
    </row>
    <row r="2210" customFormat="false" ht="15" hidden="false" customHeight="false" outlineLevel="0" collapsed="false">
      <c r="A2210" s="0" t="str">
        <f aca="false">IF(INDEX(BookTitle,2205)="","",INDEX(BookKey,2205))</f>
        <v/>
      </c>
      <c r="B2210" s="0" t="str">
        <f aca="false">IF(INDEX(BookTitle,2205)="","",INDEX(BookGroup,2205))</f>
        <v/>
      </c>
      <c r="C2210" s="0" t="str">
        <f aca="false">IF(INDEX(BookTitle,2205)="","",INDEX(BookCategory,2205))</f>
        <v/>
      </c>
      <c r="D2210" s="56" t="str">
        <f aca="false">IF(INDEX(BookTitle,2205)="","",INDEX(BookTotal,2205)*'5. Scenarios'!$B$6/(1+ProductivityDefault*('5. Scenarios'!$B$11-1)))</f>
        <v/>
      </c>
      <c r="E2210" s="57" t="str">
        <f aca="false">IF($D2210="","",INDEX(BookRate,2205)*(1+'5. Scenarios'!$B$10)*$D2210)</f>
        <v/>
      </c>
      <c r="F2210" s="57" t="str">
        <f aca="false">IF($E2210="","",SUMIFS($E$6:$E$2405,$A$6:$A$2405,"&lt;="&amp;$A2210))</f>
        <v/>
      </c>
      <c r="G2210" s="57" t="str">
        <f aca="false">IF($E2210="","",IF($F2210&lt;=BankCostEnvelope*'5. Scenarios'!$B$7,1,0))</f>
        <v/>
      </c>
      <c r="H2210" s="57" t="str">
        <f aca="false">IF($D2210="","",INDEX(BookRate,2205)*(1+'5. Scenarios'!$B$10)*(INDEX(BookQ1,2205)*(5-MIN(4,1+'5. Scenarios'!$B$8))/4+INDEX(BookQ2,2205)*(5-MIN(4,2+'5. Scenarios'!$B$8))/4+INDEX(BookQ3,2205)*(5-MIN(4,3+'5. Scenarios'!$B$8))/4+INDEX(BookQ4,2205)*(5-MIN(4,4+'5. Scenarios'!$B$8))/4)*'5. Scenarios'!$B$6/(1+ProductivityDefault*('5. Scenarios'!$B$11-1))+INDEX(BookOneOff,2205)*$D2210)</f>
        <v/>
      </c>
      <c r="I2210" s="56" t="str">
        <f aca="false">IF(INDEX(BookTitle,2205)="","",INDEX(BookTotal,2205)*'5. Scenarios'!$C$6/(1+ProductivityDefault*('5. Scenarios'!$C$11-1)))</f>
        <v/>
      </c>
      <c r="J2210" s="57" t="str">
        <f aca="false">IF($I2210="","",INDEX(BookRate,2205)*(1+'5. Scenarios'!$C$10)*$I2210)</f>
        <v/>
      </c>
      <c r="K2210" s="57" t="str">
        <f aca="false">IF($J2210="","",SUMIFS($J$6:$J$2405,$A$6:$A$2405,"&lt;="&amp;$A2210))</f>
        <v/>
      </c>
      <c r="L2210" s="57" t="str">
        <f aca="false">IF($J2210="","",IF($K2210&lt;=BankCostEnvelope*'5. Scenarios'!$C$7,1,0))</f>
        <v/>
      </c>
      <c r="M2210" s="57" t="str">
        <f aca="false">IF($I2210="","",INDEX(BookRate,2205)*(1+'5. Scenarios'!$C$10)*(INDEX(BookQ1,2205)*(5-MIN(4,1+'5. Scenarios'!$C$8))/4+INDEX(BookQ2,2205)*(5-MIN(4,2+'5. Scenarios'!$C$8))/4+INDEX(BookQ3,2205)*(5-MIN(4,3+'5. Scenarios'!$C$8))/4+INDEX(BookQ4,2205)*(5-MIN(4,4+'5. Scenarios'!$C$8))/4)*'5. Scenarios'!$C$6/(1+ProductivityDefault*('5. Scenarios'!$C$11-1))+INDEX(BookOneOff,2205)*$I2210)</f>
        <v/>
      </c>
      <c r="N2210" s="56" t="str">
        <f aca="false">IF(INDEX(BookTitle,2205)="","",INDEX(BookTotal,2205)*'5. Scenarios'!$D$6/(1+ProductivityDefault*('5. Scenarios'!$D$11-1)))</f>
        <v/>
      </c>
      <c r="O2210" s="57" t="str">
        <f aca="false">IF($N2210="","",INDEX(BookRate,2205)*(1+'5. Scenarios'!$D$10)*$N2210)</f>
        <v/>
      </c>
      <c r="P2210" s="57" t="str">
        <f aca="false">IF($O2210="","",SUMIFS($O$6:$O$2405,$A$6:$A$2405,"&lt;="&amp;$A2210))</f>
        <v/>
      </c>
      <c r="Q2210" s="57" t="str">
        <f aca="false">IF($O2210="","",IF($P2210&lt;=BankCostEnvelope*'5. Scenarios'!$D$7,1,0))</f>
        <v/>
      </c>
      <c r="R2210" s="57" t="str">
        <f aca="false">IF($N2210="","",INDEX(BookRate,2205)*(1+'5. Scenarios'!$D$10)*(INDEX(BookQ1,2205)*(5-MIN(4,1+'5. Scenarios'!$D$8))/4+INDEX(BookQ2,2205)*(5-MIN(4,2+'5. Scenarios'!$D$8))/4+INDEX(BookQ3,2205)*(5-MIN(4,3+'5. Scenarios'!$D$8))/4+INDEX(BookQ4,2205)*(5-MIN(4,4+'5. Scenarios'!$D$8))/4)*'5. Scenarios'!$D$6/(1+ProductivityDefault*('5. Scenarios'!$D$11-1))+INDEX(BookOneOff,2205)*$N2210)</f>
        <v/>
      </c>
      <c r="S2210" s="56" t="str">
        <f aca="false">IF(INDEX(BookTitle,2205)="","",INDEX(BookTotal,2205)*'5. Scenarios'!$E$6/(1+ProductivityDefault*('5. Scenarios'!$E$11-1)))</f>
        <v/>
      </c>
      <c r="T2210" s="57" t="str">
        <f aca="false">IF($S2210="","",INDEX(BookRate,2205)*(1+'5. Scenarios'!$E$10)*$S2210)</f>
        <v/>
      </c>
      <c r="U2210" s="57" t="str">
        <f aca="false">IF($T2210="","",SUMIFS($T$6:$T$2405,$A$6:$A$2405,"&lt;="&amp;$A2210))</f>
        <v/>
      </c>
      <c r="V2210" s="57" t="str">
        <f aca="false">IF($T2210="","",IF($U2210&lt;=BankCostEnvelope*'5. Scenarios'!$E$7,1,0))</f>
        <v/>
      </c>
      <c r="W2210" s="57" t="str">
        <f aca="false">IF($S2210="","",INDEX(BookRate,2205)*(1+'5. Scenarios'!$E$10)*(INDEX(BookQ1,2205)*(5-MIN(4,1+'5. Scenarios'!$E$8))/4+INDEX(BookQ2,2205)*(5-MIN(4,2+'5. Scenarios'!$E$8))/4+INDEX(BookQ3,2205)*(5-MIN(4,3+'5. Scenarios'!$E$8))/4+INDEX(BookQ4,2205)*(5-MIN(4,4+'5. Scenarios'!$E$8))/4)*'5. Scenarios'!$E$6/(1+ProductivityDefault*('5. Scenarios'!$E$11-1))+INDEX(BookOneOff,2205)*$S2210)</f>
        <v/>
      </c>
    </row>
    <row r="2211" customFormat="false" ht="15" hidden="false" customHeight="false" outlineLevel="0" collapsed="false">
      <c r="A2211" s="0" t="str">
        <f aca="false">IF(INDEX(BookTitle,2206)="","",INDEX(BookKey,2206))</f>
        <v/>
      </c>
      <c r="B2211" s="0" t="str">
        <f aca="false">IF(INDEX(BookTitle,2206)="","",INDEX(BookGroup,2206))</f>
        <v/>
      </c>
      <c r="C2211" s="0" t="str">
        <f aca="false">IF(INDEX(BookTitle,2206)="","",INDEX(BookCategory,2206))</f>
        <v/>
      </c>
      <c r="D2211" s="56" t="str">
        <f aca="false">IF(INDEX(BookTitle,2206)="","",INDEX(BookTotal,2206)*'5. Scenarios'!$B$6/(1+ProductivityDefault*('5. Scenarios'!$B$11-1)))</f>
        <v/>
      </c>
      <c r="E2211" s="57" t="str">
        <f aca="false">IF($D2211="","",INDEX(BookRate,2206)*(1+'5. Scenarios'!$B$10)*$D2211)</f>
        <v/>
      </c>
      <c r="F2211" s="57" t="str">
        <f aca="false">IF($E2211="","",SUMIFS($E$6:$E$2405,$A$6:$A$2405,"&lt;="&amp;$A2211))</f>
        <v/>
      </c>
      <c r="G2211" s="57" t="str">
        <f aca="false">IF($E2211="","",IF($F2211&lt;=BankCostEnvelope*'5. Scenarios'!$B$7,1,0))</f>
        <v/>
      </c>
      <c r="H2211" s="57" t="str">
        <f aca="false">IF($D2211="","",INDEX(BookRate,2206)*(1+'5. Scenarios'!$B$10)*(INDEX(BookQ1,2206)*(5-MIN(4,1+'5. Scenarios'!$B$8))/4+INDEX(BookQ2,2206)*(5-MIN(4,2+'5. Scenarios'!$B$8))/4+INDEX(BookQ3,2206)*(5-MIN(4,3+'5. Scenarios'!$B$8))/4+INDEX(BookQ4,2206)*(5-MIN(4,4+'5. Scenarios'!$B$8))/4)*'5. Scenarios'!$B$6/(1+ProductivityDefault*('5. Scenarios'!$B$11-1))+INDEX(BookOneOff,2206)*$D2211)</f>
        <v/>
      </c>
      <c r="I2211" s="56" t="str">
        <f aca="false">IF(INDEX(BookTitle,2206)="","",INDEX(BookTotal,2206)*'5. Scenarios'!$C$6/(1+ProductivityDefault*('5. Scenarios'!$C$11-1)))</f>
        <v/>
      </c>
      <c r="J2211" s="57" t="str">
        <f aca="false">IF($I2211="","",INDEX(BookRate,2206)*(1+'5. Scenarios'!$C$10)*$I2211)</f>
        <v/>
      </c>
      <c r="K2211" s="57" t="str">
        <f aca="false">IF($J2211="","",SUMIFS($J$6:$J$2405,$A$6:$A$2405,"&lt;="&amp;$A2211))</f>
        <v/>
      </c>
      <c r="L2211" s="57" t="str">
        <f aca="false">IF($J2211="","",IF($K2211&lt;=BankCostEnvelope*'5. Scenarios'!$C$7,1,0))</f>
        <v/>
      </c>
      <c r="M2211" s="57" t="str">
        <f aca="false">IF($I2211="","",INDEX(BookRate,2206)*(1+'5. Scenarios'!$C$10)*(INDEX(BookQ1,2206)*(5-MIN(4,1+'5. Scenarios'!$C$8))/4+INDEX(BookQ2,2206)*(5-MIN(4,2+'5. Scenarios'!$C$8))/4+INDEX(BookQ3,2206)*(5-MIN(4,3+'5. Scenarios'!$C$8))/4+INDEX(BookQ4,2206)*(5-MIN(4,4+'5. Scenarios'!$C$8))/4)*'5. Scenarios'!$C$6/(1+ProductivityDefault*('5. Scenarios'!$C$11-1))+INDEX(BookOneOff,2206)*$I2211)</f>
        <v/>
      </c>
      <c r="N2211" s="56" t="str">
        <f aca="false">IF(INDEX(BookTitle,2206)="","",INDEX(BookTotal,2206)*'5. Scenarios'!$D$6/(1+ProductivityDefault*('5. Scenarios'!$D$11-1)))</f>
        <v/>
      </c>
      <c r="O2211" s="57" t="str">
        <f aca="false">IF($N2211="","",INDEX(BookRate,2206)*(1+'5. Scenarios'!$D$10)*$N2211)</f>
        <v/>
      </c>
      <c r="P2211" s="57" t="str">
        <f aca="false">IF($O2211="","",SUMIFS($O$6:$O$2405,$A$6:$A$2405,"&lt;="&amp;$A2211))</f>
        <v/>
      </c>
      <c r="Q2211" s="57" t="str">
        <f aca="false">IF($O2211="","",IF($P2211&lt;=BankCostEnvelope*'5. Scenarios'!$D$7,1,0))</f>
        <v/>
      </c>
      <c r="R2211" s="57" t="str">
        <f aca="false">IF($N2211="","",INDEX(BookRate,2206)*(1+'5. Scenarios'!$D$10)*(INDEX(BookQ1,2206)*(5-MIN(4,1+'5. Scenarios'!$D$8))/4+INDEX(BookQ2,2206)*(5-MIN(4,2+'5. Scenarios'!$D$8))/4+INDEX(BookQ3,2206)*(5-MIN(4,3+'5. Scenarios'!$D$8))/4+INDEX(BookQ4,2206)*(5-MIN(4,4+'5. Scenarios'!$D$8))/4)*'5. Scenarios'!$D$6/(1+ProductivityDefault*('5. Scenarios'!$D$11-1))+INDEX(BookOneOff,2206)*$N2211)</f>
        <v/>
      </c>
      <c r="S2211" s="56" t="str">
        <f aca="false">IF(INDEX(BookTitle,2206)="","",INDEX(BookTotal,2206)*'5. Scenarios'!$E$6/(1+ProductivityDefault*('5. Scenarios'!$E$11-1)))</f>
        <v/>
      </c>
      <c r="T2211" s="57" t="str">
        <f aca="false">IF($S2211="","",INDEX(BookRate,2206)*(1+'5. Scenarios'!$E$10)*$S2211)</f>
        <v/>
      </c>
      <c r="U2211" s="57" t="str">
        <f aca="false">IF($T2211="","",SUMIFS($T$6:$T$2405,$A$6:$A$2405,"&lt;="&amp;$A2211))</f>
        <v/>
      </c>
      <c r="V2211" s="57" t="str">
        <f aca="false">IF($T2211="","",IF($U2211&lt;=BankCostEnvelope*'5. Scenarios'!$E$7,1,0))</f>
        <v/>
      </c>
      <c r="W2211" s="57" t="str">
        <f aca="false">IF($S2211="","",INDEX(BookRate,2206)*(1+'5. Scenarios'!$E$10)*(INDEX(BookQ1,2206)*(5-MIN(4,1+'5. Scenarios'!$E$8))/4+INDEX(BookQ2,2206)*(5-MIN(4,2+'5. Scenarios'!$E$8))/4+INDEX(BookQ3,2206)*(5-MIN(4,3+'5. Scenarios'!$E$8))/4+INDEX(BookQ4,2206)*(5-MIN(4,4+'5. Scenarios'!$E$8))/4)*'5. Scenarios'!$E$6/(1+ProductivityDefault*('5. Scenarios'!$E$11-1))+INDEX(BookOneOff,2206)*$S2211)</f>
        <v/>
      </c>
    </row>
    <row r="2212" customFormat="false" ht="15" hidden="false" customHeight="false" outlineLevel="0" collapsed="false">
      <c r="A2212" s="0" t="str">
        <f aca="false">IF(INDEX(BookTitle,2207)="","",INDEX(BookKey,2207))</f>
        <v/>
      </c>
      <c r="B2212" s="0" t="str">
        <f aca="false">IF(INDEX(BookTitle,2207)="","",INDEX(BookGroup,2207))</f>
        <v/>
      </c>
      <c r="C2212" s="0" t="str">
        <f aca="false">IF(INDEX(BookTitle,2207)="","",INDEX(BookCategory,2207))</f>
        <v/>
      </c>
      <c r="D2212" s="56" t="str">
        <f aca="false">IF(INDEX(BookTitle,2207)="","",INDEX(BookTotal,2207)*'5. Scenarios'!$B$6/(1+ProductivityDefault*('5. Scenarios'!$B$11-1)))</f>
        <v/>
      </c>
      <c r="E2212" s="57" t="str">
        <f aca="false">IF($D2212="","",INDEX(BookRate,2207)*(1+'5. Scenarios'!$B$10)*$D2212)</f>
        <v/>
      </c>
      <c r="F2212" s="57" t="str">
        <f aca="false">IF($E2212="","",SUMIFS($E$6:$E$2405,$A$6:$A$2405,"&lt;="&amp;$A2212))</f>
        <v/>
      </c>
      <c r="G2212" s="57" t="str">
        <f aca="false">IF($E2212="","",IF($F2212&lt;=BankCostEnvelope*'5. Scenarios'!$B$7,1,0))</f>
        <v/>
      </c>
      <c r="H2212" s="57" t="str">
        <f aca="false">IF($D2212="","",INDEX(BookRate,2207)*(1+'5. Scenarios'!$B$10)*(INDEX(BookQ1,2207)*(5-MIN(4,1+'5. Scenarios'!$B$8))/4+INDEX(BookQ2,2207)*(5-MIN(4,2+'5. Scenarios'!$B$8))/4+INDEX(BookQ3,2207)*(5-MIN(4,3+'5. Scenarios'!$B$8))/4+INDEX(BookQ4,2207)*(5-MIN(4,4+'5. Scenarios'!$B$8))/4)*'5. Scenarios'!$B$6/(1+ProductivityDefault*('5. Scenarios'!$B$11-1))+INDEX(BookOneOff,2207)*$D2212)</f>
        <v/>
      </c>
      <c r="I2212" s="56" t="str">
        <f aca="false">IF(INDEX(BookTitle,2207)="","",INDEX(BookTotal,2207)*'5. Scenarios'!$C$6/(1+ProductivityDefault*('5. Scenarios'!$C$11-1)))</f>
        <v/>
      </c>
      <c r="J2212" s="57" t="str">
        <f aca="false">IF($I2212="","",INDEX(BookRate,2207)*(1+'5. Scenarios'!$C$10)*$I2212)</f>
        <v/>
      </c>
      <c r="K2212" s="57" t="str">
        <f aca="false">IF($J2212="","",SUMIFS($J$6:$J$2405,$A$6:$A$2405,"&lt;="&amp;$A2212))</f>
        <v/>
      </c>
      <c r="L2212" s="57" t="str">
        <f aca="false">IF($J2212="","",IF($K2212&lt;=BankCostEnvelope*'5. Scenarios'!$C$7,1,0))</f>
        <v/>
      </c>
      <c r="M2212" s="57" t="str">
        <f aca="false">IF($I2212="","",INDEX(BookRate,2207)*(1+'5. Scenarios'!$C$10)*(INDEX(BookQ1,2207)*(5-MIN(4,1+'5. Scenarios'!$C$8))/4+INDEX(BookQ2,2207)*(5-MIN(4,2+'5. Scenarios'!$C$8))/4+INDEX(BookQ3,2207)*(5-MIN(4,3+'5. Scenarios'!$C$8))/4+INDEX(BookQ4,2207)*(5-MIN(4,4+'5. Scenarios'!$C$8))/4)*'5. Scenarios'!$C$6/(1+ProductivityDefault*('5. Scenarios'!$C$11-1))+INDEX(BookOneOff,2207)*$I2212)</f>
        <v/>
      </c>
      <c r="N2212" s="56" t="str">
        <f aca="false">IF(INDEX(BookTitle,2207)="","",INDEX(BookTotal,2207)*'5. Scenarios'!$D$6/(1+ProductivityDefault*('5. Scenarios'!$D$11-1)))</f>
        <v/>
      </c>
      <c r="O2212" s="57" t="str">
        <f aca="false">IF($N2212="","",INDEX(BookRate,2207)*(1+'5. Scenarios'!$D$10)*$N2212)</f>
        <v/>
      </c>
      <c r="P2212" s="57" t="str">
        <f aca="false">IF($O2212="","",SUMIFS($O$6:$O$2405,$A$6:$A$2405,"&lt;="&amp;$A2212))</f>
        <v/>
      </c>
      <c r="Q2212" s="57" t="str">
        <f aca="false">IF($O2212="","",IF($P2212&lt;=BankCostEnvelope*'5. Scenarios'!$D$7,1,0))</f>
        <v/>
      </c>
      <c r="R2212" s="57" t="str">
        <f aca="false">IF($N2212="","",INDEX(BookRate,2207)*(1+'5. Scenarios'!$D$10)*(INDEX(BookQ1,2207)*(5-MIN(4,1+'5. Scenarios'!$D$8))/4+INDEX(BookQ2,2207)*(5-MIN(4,2+'5. Scenarios'!$D$8))/4+INDEX(BookQ3,2207)*(5-MIN(4,3+'5. Scenarios'!$D$8))/4+INDEX(BookQ4,2207)*(5-MIN(4,4+'5. Scenarios'!$D$8))/4)*'5. Scenarios'!$D$6/(1+ProductivityDefault*('5. Scenarios'!$D$11-1))+INDEX(BookOneOff,2207)*$N2212)</f>
        <v/>
      </c>
      <c r="S2212" s="56" t="str">
        <f aca="false">IF(INDEX(BookTitle,2207)="","",INDEX(BookTotal,2207)*'5. Scenarios'!$E$6/(1+ProductivityDefault*('5. Scenarios'!$E$11-1)))</f>
        <v/>
      </c>
      <c r="T2212" s="57" t="str">
        <f aca="false">IF($S2212="","",INDEX(BookRate,2207)*(1+'5. Scenarios'!$E$10)*$S2212)</f>
        <v/>
      </c>
      <c r="U2212" s="57" t="str">
        <f aca="false">IF($T2212="","",SUMIFS($T$6:$T$2405,$A$6:$A$2405,"&lt;="&amp;$A2212))</f>
        <v/>
      </c>
      <c r="V2212" s="57" t="str">
        <f aca="false">IF($T2212="","",IF($U2212&lt;=BankCostEnvelope*'5. Scenarios'!$E$7,1,0))</f>
        <v/>
      </c>
      <c r="W2212" s="57" t="str">
        <f aca="false">IF($S2212="","",INDEX(BookRate,2207)*(1+'5. Scenarios'!$E$10)*(INDEX(BookQ1,2207)*(5-MIN(4,1+'5. Scenarios'!$E$8))/4+INDEX(BookQ2,2207)*(5-MIN(4,2+'5. Scenarios'!$E$8))/4+INDEX(BookQ3,2207)*(5-MIN(4,3+'5. Scenarios'!$E$8))/4+INDEX(BookQ4,2207)*(5-MIN(4,4+'5. Scenarios'!$E$8))/4)*'5. Scenarios'!$E$6/(1+ProductivityDefault*('5. Scenarios'!$E$11-1))+INDEX(BookOneOff,2207)*$S2212)</f>
        <v/>
      </c>
    </row>
    <row r="2213" customFormat="false" ht="15" hidden="false" customHeight="false" outlineLevel="0" collapsed="false">
      <c r="A2213" s="0" t="str">
        <f aca="false">IF(INDEX(BookTitle,2208)="","",INDEX(BookKey,2208))</f>
        <v/>
      </c>
      <c r="B2213" s="0" t="str">
        <f aca="false">IF(INDEX(BookTitle,2208)="","",INDEX(BookGroup,2208))</f>
        <v/>
      </c>
      <c r="C2213" s="0" t="str">
        <f aca="false">IF(INDEX(BookTitle,2208)="","",INDEX(BookCategory,2208))</f>
        <v/>
      </c>
      <c r="D2213" s="56" t="str">
        <f aca="false">IF(INDEX(BookTitle,2208)="","",INDEX(BookTotal,2208)*'5. Scenarios'!$B$6/(1+ProductivityDefault*('5. Scenarios'!$B$11-1)))</f>
        <v/>
      </c>
      <c r="E2213" s="57" t="str">
        <f aca="false">IF($D2213="","",INDEX(BookRate,2208)*(1+'5. Scenarios'!$B$10)*$D2213)</f>
        <v/>
      </c>
      <c r="F2213" s="57" t="str">
        <f aca="false">IF($E2213="","",SUMIFS($E$6:$E$2405,$A$6:$A$2405,"&lt;="&amp;$A2213))</f>
        <v/>
      </c>
      <c r="G2213" s="57" t="str">
        <f aca="false">IF($E2213="","",IF($F2213&lt;=BankCostEnvelope*'5. Scenarios'!$B$7,1,0))</f>
        <v/>
      </c>
      <c r="H2213" s="57" t="str">
        <f aca="false">IF($D2213="","",INDEX(BookRate,2208)*(1+'5. Scenarios'!$B$10)*(INDEX(BookQ1,2208)*(5-MIN(4,1+'5. Scenarios'!$B$8))/4+INDEX(BookQ2,2208)*(5-MIN(4,2+'5. Scenarios'!$B$8))/4+INDEX(BookQ3,2208)*(5-MIN(4,3+'5. Scenarios'!$B$8))/4+INDEX(BookQ4,2208)*(5-MIN(4,4+'5. Scenarios'!$B$8))/4)*'5. Scenarios'!$B$6/(1+ProductivityDefault*('5. Scenarios'!$B$11-1))+INDEX(BookOneOff,2208)*$D2213)</f>
        <v/>
      </c>
      <c r="I2213" s="56" t="str">
        <f aca="false">IF(INDEX(BookTitle,2208)="","",INDEX(BookTotal,2208)*'5. Scenarios'!$C$6/(1+ProductivityDefault*('5. Scenarios'!$C$11-1)))</f>
        <v/>
      </c>
      <c r="J2213" s="57" t="str">
        <f aca="false">IF($I2213="","",INDEX(BookRate,2208)*(1+'5. Scenarios'!$C$10)*$I2213)</f>
        <v/>
      </c>
      <c r="K2213" s="57" t="str">
        <f aca="false">IF($J2213="","",SUMIFS($J$6:$J$2405,$A$6:$A$2405,"&lt;="&amp;$A2213))</f>
        <v/>
      </c>
      <c r="L2213" s="57" t="str">
        <f aca="false">IF($J2213="","",IF($K2213&lt;=BankCostEnvelope*'5. Scenarios'!$C$7,1,0))</f>
        <v/>
      </c>
      <c r="M2213" s="57" t="str">
        <f aca="false">IF($I2213="","",INDEX(BookRate,2208)*(1+'5. Scenarios'!$C$10)*(INDEX(BookQ1,2208)*(5-MIN(4,1+'5. Scenarios'!$C$8))/4+INDEX(BookQ2,2208)*(5-MIN(4,2+'5. Scenarios'!$C$8))/4+INDEX(BookQ3,2208)*(5-MIN(4,3+'5. Scenarios'!$C$8))/4+INDEX(BookQ4,2208)*(5-MIN(4,4+'5. Scenarios'!$C$8))/4)*'5. Scenarios'!$C$6/(1+ProductivityDefault*('5. Scenarios'!$C$11-1))+INDEX(BookOneOff,2208)*$I2213)</f>
        <v/>
      </c>
      <c r="N2213" s="56" t="str">
        <f aca="false">IF(INDEX(BookTitle,2208)="","",INDEX(BookTotal,2208)*'5. Scenarios'!$D$6/(1+ProductivityDefault*('5. Scenarios'!$D$11-1)))</f>
        <v/>
      </c>
      <c r="O2213" s="57" t="str">
        <f aca="false">IF($N2213="","",INDEX(BookRate,2208)*(1+'5. Scenarios'!$D$10)*$N2213)</f>
        <v/>
      </c>
      <c r="P2213" s="57" t="str">
        <f aca="false">IF($O2213="","",SUMIFS($O$6:$O$2405,$A$6:$A$2405,"&lt;="&amp;$A2213))</f>
        <v/>
      </c>
      <c r="Q2213" s="57" t="str">
        <f aca="false">IF($O2213="","",IF($P2213&lt;=BankCostEnvelope*'5. Scenarios'!$D$7,1,0))</f>
        <v/>
      </c>
      <c r="R2213" s="57" t="str">
        <f aca="false">IF($N2213="","",INDEX(BookRate,2208)*(1+'5. Scenarios'!$D$10)*(INDEX(BookQ1,2208)*(5-MIN(4,1+'5. Scenarios'!$D$8))/4+INDEX(BookQ2,2208)*(5-MIN(4,2+'5. Scenarios'!$D$8))/4+INDEX(BookQ3,2208)*(5-MIN(4,3+'5. Scenarios'!$D$8))/4+INDEX(BookQ4,2208)*(5-MIN(4,4+'5. Scenarios'!$D$8))/4)*'5. Scenarios'!$D$6/(1+ProductivityDefault*('5. Scenarios'!$D$11-1))+INDEX(BookOneOff,2208)*$N2213)</f>
        <v/>
      </c>
      <c r="S2213" s="56" t="str">
        <f aca="false">IF(INDEX(BookTitle,2208)="","",INDEX(BookTotal,2208)*'5. Scenarios'!$E$6/(1+ProductivityDefault*('5. Scenarios'!$E$11-1)))</f>
        <v/>
      </c>
      <c r="T2213" s="57" t="str">
        <f aca="false">IF($S2213="","",INDEX(BookRate,2208)*(1+'5. Scenarios'!$E$10)*$S2213)</f>
        <v/>
      </c>
      <c r="U2213" s="57" t="str">
        <f aca="false">IF($T2213="","",SUMIFS($T$6:$T$2405,$A$6:$A$2405,"&lt;="&amp;$A2213))</f>
        <v/>
      </c>
      <c r="V2213" s="57" t="str">
        <f aca="false">IF($T2213="","",IF($U2213&lt;=BankCostEnvelope*'5. Scenarios'!$E$7,1,0))</f>
        <v/>
      </c>
      <c r="W2213" s="57" t="str">
        <f aca="false">IF($S2213="","",INDEX(BookRate,2208)*(1+'5. Scenarios'!$E$10)*(INDEX(BookQ1,2208)*(5-MIN(4,1+'5. Scenarios'!$E$8))/4+INDEX(BookQ2,2208)*(5-MIN(4,2+'5. Scenarios'!$E$8))/4+INDEX(BookQ3,2208)*(5-MIN(4,3+'5. Scenarios'!$E$8))/4+INDEX(BookQ4,2208)*(5-MIN(4,4+'5. Scenarios'!$E$8))/4)*'5. Scenarios'!$E$6/(1+ProductivityDefault*('5. Scenarios'!$E$11-1))+INDEX(BookOneOff,2208)*$S2213)</f>
        <v/>
      </c>
    </row>
    <row r="2214" customFormat="false" ht="15" hidden="false" customHeight="false" outlineLevel="0" collapsed="false">
      <c r="A2214" s="0" t="str">
        <f aca="false">IF(INDEX(BookTitle,2209)="","",INDEX(BookKey,2209))</f>
        <v/>
      </c>
      <c r="B2214" s="0" t="str">
        <f aca="false">IF(INDEX(BookTitle,2209)="","",INDEX(BookGroup,2209))</f>
        <v/>
      </c>
      <c r="C2214" s="0" t="str">
        <f aca="false">IF(INDEX(BookTitle,2209)="","",INDEX(BookCategory,2209))</f>
        <v/>
      </c>
      <c r="D2214" s="56" t="str">
        <f aca="false">IF(INDEX(BookTitle,2209)="","",INDEX(BookTotal,2209)*'5. Scenarios'!$B$6/(1+ProductivityDefault*('5. Scenarios'!$B$11-1)))</f>
        <v/>
      </c>
      <c r="E2214" s="57" t="str">
        <f aca="false">IF($D2214="","",INDEX(BookRate,2209)*(1+'5. Scenarios'!$B$10)*$D2214)</f>
        <v/>
      </c>
      <c r="F2214" s="57" t="str">
        <f aca="false">IF($E2214="","",SUMIFS($E$6:$E$2405,$A$6:$A$2405,"&lt;="&amp;$A2214))</f>
        <v/>
      </c>
      <c r="G2214" s="57" t="str">
        <f aca="false">IF($E2214="","",IF($F2214&lt;=BankCostEnvelope*'5. Scenarios'!$B$7,1,0))</f>
        <v/>
      </c>
      <c r="H2214" s="57" t="str">
        <f aca="false">IF($D2214="","",INDEX(BookRate,2209)*(1+'5. Scenarios'!$B$10)*(INDEX(BookQ1,2209)*(5-MIN(4,1+'5. Scenarios'!$B$8))/4+INDEX(BookQ2,2209)*(5-MIN(4,2+'5. Scenarios'!$B$8))/4+INDEX(BookQ3,2209)*(5-MIN(4,3+'5. Scenarios'!$B$8))/4+INDEX(BookQ4,2209)*(5-MIN(4,4+'5. Scenarios'!$B$8))/4)*'5. Scenarios'!$B$6/(1+ProductivityDefault*('5. Scenarios'!$B$11-1))+INDEX(BookOneOff,2209)*$D2214)</f>
        <v/>
      </c>
      <c r="I2214" s="56" t="str">
        <f aca="false">IF(INDEX(BookTitle,2209)="","",INDEX(BookTotal,2209)*'5. Scenarios'!$C$6/(1+ProductivityDefault*('5. Scenarios'!$C$11-1)))</f>
        <v/>
      </c>
      <c r="J2214" s="57" t="str">
        <f aca="false">IF($I2214="","",INDEX(BookRate,2209)*(1+'5. Scenarios'!$C$10)*$I2214)</f>
        <v/>
      </c>
      <c r="K2214" s="57" t="str">
        <f aca="false">IF($J2214="","",SUMIFS($J$6:$J$2405,$A$6:$A$2405,"&lt;="&amp;$A2214))</f>
        <v/>
      </c>
      <c r="L2214" s="57" t="str">
        <f aca="false">IF($J2214="","",IF($K2214&lt;=BankCostEnvelope*'5. Scenarios'!$C$7,1,0))</f>
        <v/>
      </c>
      <c r="M2214" s="57" t="str">
        <f aca="false">IF($I2214="","",INDEX(BookRate,2209)*(1+'5. Scenarios'!$C$10)*(INDEX(BookQ1,2209)*(5-MIN(4,1+'5. Scenarios'!$C$8))/4+INDEX(BookQ2,2209)*(5-MIN(4,2+'5. Scenarios'!$C$8))/4+INDEX(BookQ3,2209)*(5-MIN(4,3+'5. Scenarios'!$C$8))/4+INDEX(BookQ4,2209)*(5-MIN(4,4+'5. Scenarios'!$C$8))/4)*'5. Scenarios'!$C$6/(1+ProductivityDefault*('5. Scenarios'!$C$11-1))+INDEX(BookOneOff,2209)*$I2214)</f>
        <v/>
      </c>
      <c r="N2214" s="56" t="str">
        <f aca="false">IF(INDEX(BookTitle,2209)="","",INDEX(BookTotal,2209)*'5. Scenarios'!$D$6/(1+ProductivityDefault*('5. Scenarios'!$D$11-1)))</f>
        <v/>
      </c>
      <c r="O2214" s="57" t="str">
        <f aca="false">IF($N2214="","",INDEX(BookRate,2209)*(1+'5. Scenarios'!$D$10)*$N2214)</f>
        <v/>
      </c>
      <c r="P2214" s="57" t="str">
        <f aca="false">IF($O2214="","",SUMIFS($O$6:$O$2405,$A$6:$A$2405,"&lt;="&amp;$A2214))</f>
        <v/>
      </c>
      <c r="Q2214" s="57" t="str">
        <f aca="false">IF($O2214="","",IF($P2214&lt;=BankCostEnvelope*'5. Scenarios'!$D$7,1,0))</f>
        <v/>
      </c>
      <c r="R2214" s="57" t="str">
        <f aca="false">IF($N2214="","",INDEX(BookRate,2209)*(1+'5. Scenarios'!$D$10)*(INDEX(BookQ1,2209)*(5-MIN(4,1+'5. Scenarios'!$D$8))/4+INDEX(BookQ2,2209)*(5-MIN(4,2+'5. Scenarios'!$D$8))/4+INDEX(BookQ3,2209)*(5-MIN(4,3+'5. Scenarios'!$D$8))/4+INDEX(BookQ4,2209)*(5-MIN(4,4+'5. Scenarios'!$D$8))/4)*'5. Scenarios'!$D$6/(1+ProductivityDefault*('5. Scenarios'!$D$11-1))+INDEX(BookOneOff,2209)*$N2214)</f>
        <v/>
      </c>
      <c r="S2214" s="56" t="str">
        <f aca="false">IF(INDEX(BookTitle,2209)="","",INDEX(BookTotal,2209)*'5. Scenarios'!$E$6/(1+ProductivityDefault*('5. Scenarios'!$E$11-1)))</f>
        <v/>
      </c>
      <c r="T2214" s="57" t="str">
        <f aca="false">IF($S2214="","",INDEX(BookRate,2209)*(1+'5. Scenarios'!$E$10)*$S2214)</f>
        <v/>
      </c>
      <c r="U2214" s="57" t="str">
        <f aca="false">IF($T2214="","",SUMIFS($T$6:$T$2405,$A$6:$A$2405,"&lt;="&amp;$A2214))</f>
        <v/>
      </c>
      <c r="V2214" s="57" t="str">
        <f aca="false">IF($T2214="","",IF($U2214&lt;=BankCostEnvelope*'5. Scenarios'!$E$7,1,0))</f>
        <v/>
      </c>
      <c r="W2214" s="57" t="str">
        <f aca="false">IF($S2214="","",INDEX(BookRate,2209)*(1+'5. Scenarios'!$E$10)*(INDEX(BookQ1,2209)*(5-MIN(4,1+'5. Scenarios'!$E$8))/4+INDEX(BookQ2,2209)*(5-MIN(4,2+'5. Scenarios'!$E$8))/4+INDEX(BookQ3,2209)*(5-MIN(4,3+'5. Scenarios'!$E$8))/4+INDEX(BookQ4,2209)*(5-MIN(4,4+'5. Scenarios'!$E$8))/4)*'5. Scenarios'!$E$6/(1+ProductivityDefault*('5. Scenarios'!$E$11-1))+INDEX(BookOneOff,2209)*$S2214)</f>
        <v/>
      </c>
    </row>
    <row r="2215" customFormat="false" ht="15" hidden="false" customHeight="false" outlineLevel="0" collapsed="false">
      <c r="A2215" s="0" t="str">
        <f aca="false">IF(INDEX(BookTitle,2210)="","",INDEX(BookKey,2210))</f>
        <v/>
      </c>
      <c r="B2215" s="0" t="str">
        <f aca="false">IF(INDEX(BookTitle,2210)="","",INDEX(BookGroup,2210))</f>
        <v/>
      </c>
      <c r="C2215" s="0" t="str">
        <f aca="false">IF(INDEX(BookTitle,2210)="","",INDEX(BookCategory,2210))</f>
        <v/>
      </c>
      <c r="D2215" s="56" t="str">
        <f aca="false">IF(INDEX(BookTitle,2210)="","",INDEX(BookTotal,2210)*'5. Scenarios'!$B$6/(1+ProductivityDefault*('5. Scenarios'!$B$11-1)))</f>
        <v/>
      </c>
      <c r="E2215" s="57" t="str">
        <f aca="false">IF($D2215="","",INDEX(BookRate,2210)*(1+'5. Scenarios'!$B$10)*$D2215)</f>
        <v/>
      </c>
      <c r="F2215" s="57" t="str">
        <f aca="false">IF($E2215="","",SUMIFS($E$6:$E$2405,$A$6:$A$2405,"&lt;="&amp;$A2215))</f>
        <v/>
      </c>
      <c r="G2215" s="57" t="str">
        <f aca="false">IF($E2215="","",IF($F2215&lt;=BankCostEnvelope*'5. Scenarios'!$B$7,1,0))</f>
        <v/>
      </c>
      <c r="H2215" s="57" t="str">
        <f aca="false">IF($D2215="","",INDEX(BookRate,2210)*(1+'5. Scenarios'!$B$10)*(INDEX(BookQ1,2210)*(5-MIN(4,1+'5. Scenarios'!$B$8))/4+INDEX(BookQ2,2210)*(5-MIN(4,2+'5. Scenarios'!$B$8))/4+INDEX(BookQ3,2210)*(5-MIN(4,3+'5. Scenarios'!$B$8))/4+INDEX(BookQ4,2210)*(5-MIN(4,4+'5. Scenarios'!$B$8))/4)*'5. Scenarios'!$B$6/(1+ProductivityDefault*('5. Scenarios'!$B$11-1))+INDEX(BookOneOff,2210)*$D2215)</f>
        <v/>
      </c>
      <c r="I2215" s="56" t="str">
        <f aca="false">IF(INDEX(BookTitle,2210)="","",INDEX(BookTotal,2210)*'5. Scenarios'!$C$6/(1+ProductivityDefault*('5. Scenarios'!$C$11-1)))</f>
        <v/>
      </c>
      <c r="J2215" s="57" t="str">
        <f aca="false">IF($I2215="","",INDEX(BookRate,2210)*(1+'5. Scenarios'!$C$10)*$I2215)</f>
        <v/>
      </c>
      <c r="K2215" s="57" t="str">
        <f aca="false">IF($J2215="","",SUMIFS($J$6:$J$2405,$A$6:$A$2405,"&lt;="&amp;$A2215))</f>
        <v/>
      </c>
      <c r="L2215" s="57" t="str">
        <f aca="false">IF($J2215="","",IF($K2215&lt;=BankCostEnvelope*'5. Scenarios'!$C$7,1,0))</f>
        <v/>
      </c>
      <c r="M2215" s="57" t="str">
        <f aca="false">IF($I2215="","",INDEX(BookRate,2210)*(1+'5. Scenarios'!$C$10)*(INDEX(BookQ1,2210)*(5-MIN(4,1+'5. Scenarios'!$C$8))/4+INDEX(BookQ2,2210)*(5-MIN(4,2+'5. Scenarios'!$C$8))/4+INDEX(BookQ3,2210)*(5-MIN(4,3+'5. Scenarios'!$C$8))/4+INDEX(BookQ4,2210)*(5-MIN(4,4+'5. Scenarios'!$C$8))/4)*'5. Scenarios'!$C$6/(1+ProductivityDefault*('5. Scenarios'!$C$11-1))+INDEX(BookOneOff,2210)*$I2215)</f>
        <v/>
      </c>
      <c r="N2215" s="56" t="str">
        <f aca="false">IF(INDEX(BookTitle,2210)="","",INDEX(BookTotal,2210)*'5. Scenarios'!$D$6/(1+ProductivityDefault*('5. Scenarios'!$D$11-1)))</f>
        <v/>
      </c>
      <c r="O2215" s="57" t="str">
        <f aca="false">IF($N2215="","",INDEX(BookRate,2210)*(1+'5. Scenarios'!$D$10)*$N2215)</f>
        <v/>
      </c>
      <c r="P2215" s="57" t="str">
        <f aca="false">IF($O2215="","",SUMIFS($O$6:$O$2405,$A$6:$A$2405,"&lt;="&amp;$A2215))</f>
        <v/>
      </c>
      <c r="Q2215" s="57" t="str">
        <f aca="false">IF($O2215="","",IF($P2215&lt;=BankCostEnvelope*'5. Scenarios'!$D$7,1,0))</f>
        <v/>
      </c>
      <c r="R2215" s="57" t="str">
        <f aca="false">IF($N2215="","",INDEX(BookRate,2210)*(1+'5. Scenarios'!$D$10)*(INDEX(BookQ1,2210)*(5-MIN(4,1+'5. Scenarios'!$D$8))/4+INDEX(BookQ2,2210)*(5-MIN(4,2+'5. Scenarios'!$D$8))/4+INDEX(BookQ3,2210)*(5-MIN(4,3+'5. Scenarios'!$D$8))/4+INDEX(BookQ4,2210)*(5-MIN(4,4+'5. Scenarios'!$D$8))/4)*'5. Scenarios'!$D$6/(1+ProductivityDefault*('5. Scenarios'!$D$11-1))+INDEX(BookOneOff,2210)*$N2215)</f>
        <v/>
      </c>
      <c r="S2215" s="56" t="str">
        <f aca="false">IF(INDEX(BookTitle,2210)="","",INDEX(BookTotal,2210)*'5. Scenarios'!$E$6/(1+ProductivityDefault*('5. Scenarios'!$E$11-1)))</f>
        <v/>
      </c>
      <c r="T2215" s="57" t="str">
        <f aca="false">IF($S2215="","",INDEX(BookRate,2210)*(1+'5. Scenarios'!$E$10)*$S2215)</f>
        <v/>
      </c>
      <c r="U2215" s="57" t="str">
        <f aca="false">IF($T2215="","",SUMIFS($T$6:$T$2405,$A$6:$A$2405,"&lt;="&amp;$A2215))</f>
        <v/>
      </c>
      <c r="V2215" s="57" t="str">
        <f aca="false">IF($T2215="","",IF($U2215&lt;=BankCostEnvelope*'5. Scenarios'!$E$7,1,0))</f>
        <v/>
      </c>
      <c r="W2215" s="57" t="str">
        <f aca="false">IF($S2215="","",INDEX(BookRate,2210)*(1+'5. Scenarios'!$E$10)*(INDEX(BookQ1,2210)*(5-MIN(4,1+'5. Scenarios'!$E$8))/4+INDEX(BookQ2,2210)*(5-MIN(4,2+'5. Scenarios'!$E$8))/4+INDEX(BookQ3,2210)*(5-MIN(4,3+'5. Scenarios'!$E$8))/4+INDEX(BookQ4,2210)*(5-MIN(4,4+'5. Scenarios'!$E$8))/4)*'5. Scenarios'!$E$6/(1+ProductivityDefault*('5. Scenarios'!$E$11-1))+INDEX(BookOneOff,2210)*$S2215)</f>
        <v/>
      </c>
    </row>
    <row r="2216" customFormat="false" ht="15" hidden="false" customHeight="false" outlineLevel="0" collapsed="false">
      <c r="A2216" s="0" t="str">
        <f aca="false">IF(INDEX(BookTitle,2211)="","",INDEX(BookKey,2211))</f>
        <v/>
      </c>
      <c r="B2216" s="0" t="str">
        <f aca="false">IF(INDEX(BookTitle,2211)="","",INDEX(BookGroup,2211))</f>
        <v/>
      </c>
      <c r="C2216" s="0" t="str">
        <f aca="false">IF(INDEX(BookTitle,2211)="","",INDEX(BookCategory,2211))</f>
        <v/>
      </c>
      <c r="D2216" s="56" t="str">
        <f aca="false">IF(INDEX(BookTitle,2211)="","",INDEX(BookTotal,2211)*'5. Scenarios'!$B$6/(1+ProductivityDefault*('5. Scenarios'!$B$11-1)))</f>
        <v/>
      </c>
      <c r="E2216" s="57" t="str">
        <f aca="false">IF($D2216="","",INDEX(BookRate,2211)*(1+'5. Scenarios'!$B$10)*$D2216)</f>
        <v/>
      </c>
      <c r="F2216" s="57" t="str">
        <f aca="false">IF($E2216="","",SUMIFS($E$6:$E$2405,$A$6:$A$2405,"&lt;="&amp;$A2216))</f>
        <v/>
      </c>
      <c r="G2216" s="57" t="str">
        <f aca="false">IF($E2216="","",IF($F2216&lt;=BankCostEnvelope*'5. Scenarios'!$B$7,1,0))</f>
        <v/>
      </c>
      <c r="H2216" s="57" t="str">
        <f aca="false">IF($D2216="","",INDEX(BookRate,2211)*(1+'5. Scenarios'!$B$10)*(INDEX(BookQ1,2211)*(5-MIN(4,1+'5. Scenarios'!$B$8))/4+INDEX(BookQ2,2211)*(5-MIN(4,2+'5. Scenarios'!$B$8))/4+INDEX(BookQ3,2211)*(5-MIN(4,3+'5. Scenarios'!$B$8))/4+INDEX(BookQ4,2211)*(5-MIN(4,4+'5. Scenarios'!$B$8))/4)*'5. Scenarios'!$B$6/(1+ProductivityDefault*('5. Scenarios'!$B$11-1))+INDEX(BookOneOff,2211)*$D2216)</f>
        <v/>
      </c>
      <c r="I2216" s="56" t="str">
        <f aca="false">IF(INDEX(BookTitle,2211)="","",INDEX(BookTotal,2211)*'5. Scenarios'!$C$6/(1+ProductivityDefault*('5. Scenarios'!$C$11-1)))</f>
        <v/>
      </c>
      <c r="J2216" s="57" t="str">
        <f aca="false">IF($I2216="","",INDEX(BookRate,2211)*(1+'5. Scenarios'!$C$10)*$I2216)</f>
        <v/>
      </c>
      <c r="K2216" s="57" t="str">
        <f aca="false">IF($J2216="","",SUMIFS($J$6:$J$2405,$A$6:$A$2405,"&lt;="&amp;$A2216))</f>
        <v/>
      </c>
      <c r="L2216" s="57" t="str">
        <f aca="false">IF($J2216="","",IF($K2216&lt;=BankCostEnvelope*'5. Scenarios'!$C$7,1,0))</f>
        <v/>
      </c>
      <c r="M2216" s="57" t="str">
        <f aca="false">IF($I2216="","",INDEX(BookRate,2211)*(1+'5. Scenarios'!$C$10)*(INDEX(BookQ1,2211)*(5-MIN(4,1+'5. Scenarios'!$C$8))/4+INDEX(BookQ2,2211)*(5-MIN(4,2+'5. Scenarios'!$C$8))/4+INDEX(BookQ3,2211)*(5-MIN(4,3+'5. Scenarios'!$C$8))/4+INDEX(BookQ4,2211)*(5-MIN(4,4+'5. Scenarios'!$C$8))/4)*'5. Scenarios'!$C$6/(1+ProductivityDefault*('5. Scenarios'!$C$11-1))+INDEX(BookOneOff,2211)*$I2216)</f>
        <v/>
      </c>
      <c r="N2216" s="56" t="str">
        <f aca="false">IF(INDEX(BookTitle,2211)="","",INDEX(BookTotal,2211)*'5. Scenarios'!$D$6/(1+ProductivityDefault*('5. Scenarios'!$D$11-1)))</f>
        <v/>
      </c>
      <c r="O2216" s="57" t="str">
        <f aca="false">IF($N2216="","",INDEX(BookRate,2211)*(1+'5. Scenarios'!$D$10)*$N2216)</f>
        <v/>
      </c>
      <c r="P2216" s="57" t="str">
        <f aca="false">IF($O2216="","",SUMIFS($O$6:$O$2405,$A$6:$A$2405,"&lt;="&amp;$A2216))</f>
        <v/>
      </c>
      <c r="Q2216" s="57" t="str">
        <f aca="false">IF($O2216="","",IF($P2216&lt;=BankCostEnvelope*'5. Scenarios'!$D$7,1,0))</f>
        <v/>
      </c>
      <c r="R2216" s="57" t="str">
        <f aca="false">IF($N2216="","",INDEX(BookRate,2211)*(1+'5. Scenarios'!$D$10)*(INDEX(BookQ1,2211)*(5-MIN(4,1+'5. Scenarios'!$D$8))/4+INDEX(BookQ2,2211)*(5-MIN(4,2+'5. Scenarios'!$D$8))/4+INDEX(BookQ3,2211)*(5-MIN(4,3+'5. Scenarios'!$D$8))/4+INDEX(BookQ4,2211)*(5-MIN(4,4+'5. Scenarios'!$D$8))/4)*'5. Scenarios'!$D$6/(1+ProductivityDefault*('5. Scenarios'!$D$11-1))+INDEX(BookOneOff,2211)*$N2216)</f>
        <v/>
      </c>
      <c r="S2216" s="56" t="str">
        <f aca="false">IF(INDEX(BookTitle,2211)="","",INDEX(BookTotal,2211)*'5. Scenarios'!$E$6/(1+ProductivityDefault*('5. Scenarios'!$E$11-1)))</f>
        <v/>
      </c>
      <c r="T2216" s="57" t="str">
        <f aca="false">IF($S2216="","",INDEX(BookRate,2211)*(1+'5. Scenarios'!$E$10)*$S2216)</f>
        <v/>
      </c>
      <c r="U2216" s="57" t="str">
        <f aca="false">IF($T2216="","",SUMIFS($T$6:$T$2405,$A$6:$A$2405,"&lt;="&amp;$A2216))</f>
        <v/>
      </c>
      <c r="V2216" s="57" t="str">
        <f aca="false">IF($T2216="","",IF($U2216&lt;=BankCostEnvelope*'5. Scenarios'!$E$7,1,0))</f>
        <v/>
      </c>
      <c r="W2216" s="57" t="str">
        <f aca="false">IF($S2216="","",INDEX(BookRate,2211)*(1+'5. Scenarios'!$E$10)*(INDEX(BookQ1,2211)*(5-MIN(4,1+'5. Scenarios'!$E$8))/4+INDEX(BookQ2,2211)*(5-MIN(4,2+'5. Scenarios'!$E$8))/4+INDEX(BookQ3,2211)*(5-MIN(4,3+'5. Scenarios'!$E$8))/4+INDEX(BookQ4,2211)*(5-MIN(4,4+'5. Scenarios'!$E$8))/4)*'5. Scenarios'!$E$6/(1+ProductivityDefault*('5. Scenarios'!$E$11-1))+INDEX(BookOneOff,2211)*$S2216)</f>
        <v/>
      </c>
    </row>
    <row r="2217" customFormat="false" ht="15" hidden="false" customHeight="false" outlineLevel="0" collapsed="false">
      <c r="A2217" s="0" t="str">
        <f aca="false">IF(INDEX(BookTitle,2212)="","",INDEX(BookKey,2212))</f>
        <v/>
      </c>
      <c r="B2217" s="0" t="str">
        <f aca="false">IF(INDEX(BookTitle,2212)="","",INDEX(BookGroup,2212))</f>
        <v/>
      </c>
      <c r="C2217" s="0" t="str">
        <f aca="false">IF(INDEX(BookTitle,2212)="","",INDEX(BookCategory,2212))</f>
        <v/>
      </c>
      <c r="D2217" s="56" t="str">
        <f aca="false">IF(INDEX(BookTitle,2212)="","",INDEX(BookTotal,2212)*'5. Scenarios'!$B$6/(1+ProductivityDefault*('5. Scenarios'!$B$11-1)))</f>
        <v/>
      </c>
      <c r="E2217" s="57" t="str">
        <f aca="false">IF($D2217="","",INDEX(BookRate,2212)*(1+'5. Scenarios'!$B$10)*$D2217)</f>
        <v/>
      </c>
      <c r="F2217" s="57" t="str">
        <f aca="false">IF($E2217="","",SUMIFS($E$6:$E$2405,$A$6:$A$2405,"&lt;="&amp;$A2217))</f>
        <v/>
      </c>
      <c r="G2217" s="57" t="str">
        <f aca="false">IF($E2217="","",IF($F2217&lt;=BankCostEnvelope*'5. Scenarios'!$B$7,1,0))</f>
        <v/>
      </c>
      <c r="H2217" s="57" t="str">
        <f aca="false">IF($D2217="","",INDEX(BookRate,2212)*(1+'5. Scenarios'!$B$10)*(INDEX(BookQ1,2212)*(5-MIN(4,1+'5. Scenarios'!$B$8))/4+INDEX(BookQ2,2212)*(5-MIN(4,2+'5. Scenarios'!$B$8))/4+INDEX(BookQ3,2212)*(5-MIN(4,3+'5. Scenarios'!$B$8))/4+INDEX(BookQ4,2212)*(5-MIN(4,4+'5. Scenarios'!$B$8))/4)*'5. Scenarios'!$B$6/(1+ProductivityDefault*('5. Scenarios'!$B$11-1))+INDEX(BookOneOff,2212)*$D2217)</f>
        <v/>
      </c>
      <c r="I2217" s="56" t="str">
        <f aca="false">IF(INDEX(BookTitle,2212)="","",INDEX(BookTotal,2212)*'5. Scenarios'!$C$6/(1+ProductivityDefault*('5. Scenarios'!$C$11-1)))</f>
        <v/>
      </c>
      <c r="J2217" s="57" t="str">
        <f aca="false">IF($I2217="","",INDEX(BookRate,2212)*(1+'5. Scenarios'!$C$10)*$I2217)</f>
        <v/>
      </c>
      <c r="K2217" s="57" t="str">
        <f aca="false">IF($J2217="","",SUMIFS($J$6:$J$2405,$A$6:$A$2405,"&lt;="&amp;$A2217))</f>
        <v/>
      </c>
      <c r="L2217" s="57" t="str">
        <f aca="false">IF($J2217="","",IF($K2217&lt;=BankCostEnvelope*'5. Scenarios'!$C$7,1,0))</f>
        <v/>
      </c>
      <c r="M2217" s="57" t="str">
        <f aca="false">IF($I2217="","",INDEX(BookRate,2212)*(1+'5. Scenarios'!$C$10)*(INDEX(BookQ1,2212)*(5-MIN(4,1+'5. Scenarios'!$C$8))/4+INDEX(BookQ2,2212)*(5-MIN(4,2+'5. Scenarios'!$C$8))/4+INDEX(BookQ3,2212)*(5-MIN(4,3+'5. Scenarios'!$C$8))/4+INDEX(BookQ4,2212)*(5-MIN(4,4+'5. Scenarios'!$C$8))/4)*'5. Scenarios'!$C$6/(1+ProductivityDefault*('5. Scenarios'!$C$11-1))+INDEX(BookOneOff,2212)*$I2217)</f>
        <v/>
      </c>
      <c r="N2217" s="56" t="str">
        <f aca="false">IF(INDEX(BookTitle,2212)="","",INDEX(BookTotal,2212)*'5. Scenarios'!$D$6/(1+ProductivityDefault*('5. Scenarios'!$D$11-1)))</f>
        <v/>
      </c>
      <c r="O2217" s="57" t="str">
        <f aca="false">IF($N2217="","",INDEX(BookRate,2212)*(1+'5. Scenarios'!$D$10)*$N2217)</f>
        <v/>
      </c>
      <c r="P2217" s="57" t="str">
        <f aca="false">IF($O2217="","",SUMIFS($O$6:$O$2405,$A$6:$A$2405,"&lt;="&amp;$A2217))</f>
        <v/>
      </c>
      <c r="Q2217" s="57" t="str">
        <f aca="false">IF($O2217="","",IF($P2217&lt;=BankCostEnvelope*'5. Scenarios'!$D$7,1,0))</f>
        <v/>
      </c>
      <c r="R2217" s="57" t="str">
        <f aca="false">IF($N2217="","",INDEX(BookRate,2212)*(1+'5. Scenarios'!$D$10)*(INDEX(BookQ1,2212)*(5-MIN(4,1+'5. Scenarios'!$D$8))/4+INDEX(BookQ2,2212)*(5-MIN(4,2+'5. Scenarios'!$D$8))/4+INDEX(BookQ3,2212)*(5-MIN(4,3+'5. Scenarios'!$D$8))/4+INDEX(BookQ4,2212)*(5-MIN(4,4+'5. Scenarios'!$D$8))/4)*'5. Scenarios'!$D$6/(1+ProductivityDefault*('5. Scenarios'!$D$11-1))+INDEX(BookOneOff,2212)*$N2217)</f>
        <v/>
      </c>
      <c r="S2217" s="56" t="str">
        <f aca="false">IF(INDEX(BookTitle,2212)="","",INDEX(BookTotal,2212)*'5. Scenarios'!$E$6/(1+ProductivityDefault*('5. Scenarios'!$E$11-1)))</f>
        <v/>
      </c>
      <c r="T2217" s="57" t="str">
        <f aca="false">IF($S2217="","",INDEX(BookRate,2212)*(1+'5. Scenarios'!$E$10)*$S2217)</f>
        <v/>
      </c>
      <c r="U2217" s="57" t="str">
        <f aca="false">IF($T2217="","",SUMIFS($T$6:$T$2405,$A$6:$A$2405,"&lt;="&amp;$A2217))</f>
        <v/>
      </c>
      <c r="V2217" s="57" t="str">
        <f aca="false">IF($T2217="","",IF($U2217&lt;=BankCostEnvelope*'5. Scenarios'!$E$7,1,0))</f>
        <v/>
      </c>
      <c r="W2217" s="57" t="str">
        <f aca="false">IF($S2217="","",INDEX(BookRate,2212)*(1+'5. Scenarios'!$E$10)*(INDEX(BookQ1,2212)*(5-MIN(4,1+'5. Scenarios'!$E$8))/4+INDEX(BookQ2,2212)*(5-MIN(4,2+'5. Scenarios'!$E$8))/4+INDEX(BookQ3,2212)*(5-MIN(4,3+'5. Scenarios'!$E$8))/4+INDEX(BookQ4,2212)*(5-MIN(4,4+'5. Scenarios'!$E$8))/4)*'5. Scenarios'!$E$6/(1+ProductivityDefault*('5. Scenarios'!$E$11-1))+INDEX(BookOneOff,2212)*$S2217)</f>
        <v/>
      </c>
    </row>
    <row r="2218" customFormat="false" ht="15" hidden="false" customHeight="false" outlineLevel="0" collapsed="false">
      <c r="A2218" s="0" t="str">
        <f aca="false">IF(INDEX(BookTitle,2213)="","",INDEX(BookKey,2213))</f>
        <v/>
      </c>
      <c r="B2218" s="0" t="str">
        <f aca="false">IF(INDEX(BookTitle,2213)="","",INDEX(BookGroup,2213))</f>
        <v/>
      </c>
      <c r="C2218" s="0" t="str">
        <f aca="false">IF(INDEX(BookTitle,2213)="","",INDEX(BookCategory,2213))</f>
        <v/>
      </c>
      <c r="D2218" s="56" t="str">
        <f aca="false">IF(INDEX(BookTitle,2213)="","",INDEX(BookTotal,2213)*'5. Scenarios'!$B$6/(1+ProductivityDefault*('5. Scenarios'!$B$11-1)))</f>
        <v/>
      </c>
      <c r="E2218" s="57" t="str">
        <f aca="false">IF($D2218="","",INDEX(BookRate,2213)*(1+'5. Scenarios'!$B$10)*$D2218)</f>
        <v/>
      </c>
      <c r="F2218" s="57" t="str">
        <f aca="false">IF($E2218="","",SUMIFS($E$6:$E$2405,$A$6:$A$2405,"&lt;="&amp;$A2218))</f>
        <v/>
      </c>
      <c r="G2218" s="57" t="str">
        <f aca="false">IF($E2218="","",IF($F2218&lt;=BankCostEnvelope*'5. Scenarios'!$B$7,1,0))</f>
        <v/>
      </c>
      <c r="H2218" s="57" t="str">
        <f aca="false">IF($D2218="","",INDEX(BookRate,2213)*(1+'5. Scenarios'!$B$10)*(INDEX(BookQ1,2213)*(5-MIN(4,1+'5. Scenarios'!$B$8))/4+INDEX(BookQ2,2213)*(5-MIN(4,2+'5. Scenarios'!$B$8))/4+INDEX(BookQ3,2213)*(5-MIN(4,3+'5. Scenarios'!$B$8))/4+INDEX(BookQ4,2213)*(5-MIN(4,4+'5. Scenarios'!$B$8))/4)*'5. Scenarios'!$B$6/(1+ProductivityDefault*('5. Scenarios'!$B$11-1))+INDEX(BookOneOff,2213)*$D2218)</f>
        <v/>
      </c>
      <c r="I2218" s="56" t="str">
        <f aca="false">IF(INDEX(BookTitle,2213)="","",INDEX(BookTotal,2213)*'5. Scenarios'!$C$6/(1+ProductivityDefault*('5. Scenarios'!$C$11-1)))</f>
        <v/>
      </c>
      <c r="J2218" s="57" t="str">
        <f aca="false">IF($I2218="","",INDEX(BookRate,2213)*(1+'5. Scenarios'!$C$10)*$I2218)</f>
        <v/>
      </c>
      <c r="K2218" s="57" t="str">
        <f aca="false">IF($J2218="","",SUMIFS($J$6:$J$2405,$A$6:$A$2405,"&lt;="&amp;$A2218))</f>
        <v/>
      </c>
      <c r="L2218" s="57" t="str">
        <f aca="false">IF($J2218="","",IF($K2218&lt;=BankCostEnvelope*'5. Scenarios'!$C$7,1,0))</f>
        <v/>
      </c>
      <c r="M2218" s="57" t="str">
        <f aca="false">IF($I2218="","",INDEX(BookRate,2213)*(1+'5. Scenarios'!$C$10)*(INDEX(BookQ1,2213)*(5-MIN(4,1+'5. Scenarios'!$C$8))/4+INDEX(BookQ2,2213)*(5-MIN(4,2+'5. Scenarios'!$C$8))/4+INDEX(BookQ3,2213)*(5-MIN(4,3+'5. Scenarios'!$C$8))/4+INDEX(BookQ4,2213)*(5-MIN(4,4+'5. Scenarios'!$C$8))/4)*'5. Scenarios'!$C$6/(1+ProductivityDefault*('5. Scenarios'!$C$11-1))+INDEX(BookOneOff,2213)*$I2218)</f>
        <v/>
      </c>
      <c r="N2218" s="56" t="str">
        <f aca="false">IF(INDEX(BookTitle,2213)="","",INDEX(BookTotal,2213)*'5. Scenarios'!$D$6/(1+ProductivityDefault*('5. Scenarios'!$D$11-1)))</f>
        <v/>
      </c>
      <c r="O2218" s="57" t="str">
        <f aca="false">IF($N2218="","",INDEX(BookRate,2213)*(1+'5. Scenarios'!$D$10)*$N2218)</f>
        <v/>
      </c>
      <c r="P2218" s="57" t="str">
        <f aca="false">IF($O2218="","",SUMIFS($O$6:$O$2405,$A$6:$A$2405,"&lt;="&amp;$A2218))</f>
        <v/>
      </c>
      <c r="Q2218" s="57" t="str">
        <f aca="false">IF($O2218="","",IF($P2218&lt;=BankCostEnvelope*'5. Scenarios'!$D$7,1,0))</f>
        <v/>
      </c>
      <c r="R2218" s="57" t="str">
        <f aca="false">IF($N2218="","",INDEX(BookRate,2213)*(1+'5. Scenarios'!$D$10)*(INDEX(BookQ1,2213)*(5-MIN(4,1+'5. Scenarios'!$D$8))/4+INDEX(BookQ2,2213)*(5-MIN(4,2+'5. Scenarios'!$D$8))/4+INDEX(BookQ3,2213)*(5-MIN(4,3+'5. Scenarios'!$D$8))/4+INDEX(BookQ4,2213)*(5-MIN(4,4+'5. Scenarios'!$D$8))/4)*'5. Scenarios'!$D$6/(1+ProductivityDefault*('5. Scenarios'!$D$11-1))+INDEX(BookOneOff,2213)*$N2218)</f>
        <v/>
      </c>
      <c r="S2218" s="56" t="str">
        <f aca="false">IF(INDEX(BookTitle,2213)="","",INDEX(BookTotal,2213)*'5. Scenarios'!$E$6/(1+ProductivityDefault*('5. Scenarios'!$E$11-1)))</f>
        <v/>
      </c>
      <c r="T2218" s="57" t="str">
        <f aca="false">IF($S2218="","",INDEX(BookRate,2213)*(1+'5. Scenarios'!$E$10)*$S2218)</f>
        <v/>
      </c>
      <c r="U2218" s="57" t="str">
        <f aca="false">IF($T2218="","",SUMIFS($T$6:$T$2405,$A$6:$A$2405,"&lt;="&amp;$A2218))</f>
        <v/>
      </c>
      <c r="V2218" s="57" t="str">
        <f aca="false">IF($T2218="","",IF($U2218&lt;=BankCostEnvelope*'5. Scenarios'!$E$7,1,0))</f>
        <v/>
      </c>
      <c r="W2218" s="57" t="str">
        <f aca="false">IF($S2218="","",INDEX(BookRate,2213)*(1+'5. Scenarios'!$E$10)*(INDEX(BookQ1,2213)*(5-MIN(4,1+'5. Scenarios'!$E$8))/4+INDEX(BookQ2,2213)*(5-MIN(4,2+'5. Scenarios'!$E$8))/4+INDEX(BookQ3,2213)*(5-MIN(4,3+'5. Scenarios'!$E$8))/4+INDEX(BookQ4,2213)*(5-MIN(4,4+'5. Scenarios'!$E$8))/4)*'5. Scenarios'!$E$6/(1+ProductivityDefault*('5. Scenarios'!$E$11-1))+INDEX(BookOneOff,2213)*$S2218)</f>
        <v/>
      </c>
    </row>
    <row r="2219" customFormat="false" ht="15" hidden="false" customHeight="false" outlineLevel="0" collapsed="false">
      <c r="A2219" s="0" t="str">
        <f aca="false">IF(INDEX(BookTitle,2214)="","",INDEX(BookKey,2214))</f>
        <v/>
      </c>
      <c r="B2219" s="0" t="str">
        <f aca="false">IF(INDEX(BookTitle,2214)="","",INDEX(BookGroup,2214))</f>
        <v/>
      </c>
      <c r="C2219" s="0" t="str">
        <f aca="false">IF(INDEX(BookTitle,2214)="","",INDEX(BookCategory,2214))</f>
        <v/>
      </c>
      <c r="D2219" s="56" t="str">
        <f aca="false">IF(INDEX(BookTitle,2214)="","",INDEX(BookTotal,2214)*'5. Scenarios'!$B$6/(1+ProductivityDefault*('5. Scenarios'!$B$11-1)))</f>
        <v/>
      </c>
      <c r="E2219" s="57" t="str">
        <f aca="false">IF($D2219="","",INDEX(BookRate,2214)*(1+'5. Scenarios'!$B$10)*$D2219)</f>
        <v/>
      </c>
      <c r="F2219" s="57" t="str">
        <f aca="false">IF($E2219="","",SUMIFS($E$6:$E$2405,$A$6:$A$2405,"&lt;="&amp;$A2219))</f>
        <v/>
      </c>
      <c r="G2219" s="57" t="str">
        <f aca="false">IF($E2219="","",IF($F2219&lt;=BankCostEnvelope*'5. Scenarios'!$B$7,1,0))</f>
        <v/>
      </c>
      <c r="H2219" s="57" t="str">
        <f aca="false">IF($D2219="","",INDEX(BookRate,2214)*(1+'5. Scenarios'!$B$10)*(INDEX(BookQ1,2214)*(5-MIN(4,1+'5. Scenarios'!$B$8))/4+INDEX(BookQ2,2214)*(5-MIN(4,2+'5. Scenarios'!$B$8))/4+INDEX(BookQ3,2214)*(5-MIN(4,3+'5. Scenarios'!$B$8))/4+INDEX(BookQ4,2214)*(5-MIN(4,4+'5. Scenarios'!$B$8))/4)*'5. Scenarios'!$B$6/(1+ProductivityDefault*('5. Scenarios'!$B$11-1))+INDEX(BookOneOff,2214)*$D2219)</f>
        <v/>
      </c>
      <c r="I2219" s="56" t="str">
        <f aca="false">IF(INDEX(BookTitle,2214)="","",INDEX(BookTotal,2214)*'5. Scenarios'!$C$6/(1+ProductivityDefault*('5. Scenarios'!$C$11-1)))</f>
        <v/>
      </c>
      <c r="J2219" s="57" t="str">
        <f aca="false">IF($I2219="","",INDEX(BookRate,2214)*(1+'5. Scenarios'!$C$10)*$I2219)</f>
        <v/>
      </c>
      <c r="K2219" s="57" t="str">
        <f aca="false">IF($J2219="","",SUMIFS($J$6:$J$2405,$A$6:$A$2405,"&lt;="&amp;$A2219))</f>
        <v/>
      </c>
      <c r="L2219" s="57" t="str">
        <f aca="false">IF($J2219="","",IF($K2219&lt;=BankCostEnvelope*'5. Scenarios'!$C$7,1,0))</f>
        <v/>
      </c>
      <c r="M2219" s="57" t="str">
        <f aca="false">IF($I2219="","",INDEX(BookRate,2214)*(1+'5. Scenarios'!$C$10)*(INDEX(BookQ1,2214)*(5-MIN(4,1+'5. Scenarios'!$C$8))/4+INDEX(BookQ2,2214)*(5-MIN(4,2+'5. Scenarios'!$C$8))/4+INDEX(BookQ3,2214)*(5-MIN(4,3+'5. Scenarios'!$C$8))/4+INDEX(BookQ4,2214)*(5-MIN(4,4+'5. Scenarios'!$C$8))/4)*'5. Scenarios'!$C$6/(1+ProductivityDefault*('5. Scenarios'!$C$11-1))+INDEX(BookOneOff,2214)*$I2219)</f>
        <v/>
      </c>
      <c r="N2219" s="56" t="str">
        <f aca="false">IF(INDEX(BookTitle,2214)="","",INDEX(BookTotal,2214)*'5. Scenarios'!$D$6/(1+ProductivityDefault*('5. Scenarios'!$D$11-1)))</f>
        <v/>
      </c>
      <c r="O2219" s="57" t="str">
        <f aca="false">IF($N2219="","",INDEX(BookRate,2214)*(1+'5. Scenarios'!$D$10)*$N2219)</f>
        <v/>
      </c>
      <c r="P2219" s="57" t="str">
        <f aca="false">IF($O2219="","",SUMIFS($O$6:$O$2405,$A$6:$A$2405,"&lt;="&amp;$A2219))</f>
        <v/>
      </c>
      <c r="Q2219" s="57" t="str">
        <f aca="false">IF($O2219="","",IF($P2219&lt;=BankCostEnvelope*'5. Scenarios'!$D$7,1,0))</f>
        <v/>
      </c>
      <c r="R2219" s="57" t="str">
        <f aca="false">IF($N2219="","",INDEX(BookRate,2214)*(1+'5. Scenarios'!$D$10)*(INDEX(BookQ1,2214)*(5-MIN(4,1+'5. Scenarios'!$D$8))/4+INDEX(BookQ2,2214)*(5-MIN(4,2+'5. Scenarios'!$D$8))/4+INDEX(BookQ3,2214)*(5-MIN(4,3+'5. Scenarios'!$D$8))/4+INDEX(BookQ4,2214)*(5-MIN(4,4+'5. Scenarios'!$D$8))/4)*'5. Scenarios'!$D$6/(1+ProductivityDefault*('5. Scenarios'!$D$11-1))+INDEX(BookOneOff,2214)*$N2219)</f>
        <v/>
      </c>
      <c r="S2219" s="56" t="str">
        <f aca="false">IF(INDEX(BookTitle,2214)="","",INDEX(BookTotal,2214)*'5. Scenarios'!$E$6/(1+ProductivityDefault*('5. Scenarios'!$E$11-1)))</f>
        <v/>
      </c>
      <c r="T2219" s="57" t="str">
        <f aca="false">IF($S2219="","",INDEX(BookRate,2214)*(1+'5. Scenarios'!$E$10)*$S2219)</f>
        <v/>
      </c>
      <c r="U2219" s="57" t="str">
        <f aca="false">IF($T2219="","",SUMIFS($T$6:$T$2405,$A$6:$A$2405,"&lt;="&amp;$A2219))</f>
        <v/>
      </c>
      <c r="V2219" s="57" t="str">
        <f aca="false">IF($T2219="","",IF($U2219&lt;=BankCostEnvelope*'5. Scenarios'!$E$7,1,0))</f>
        <v/>
      </c>
      <c r="W2219" s="57" t="str">
        <f aca="false">IF($S2219="","",INDEX(BookRate,2214)*(1+'5. Scenarios'!$E$10)*(INDEX(BookQ1,2214)*(5-MIN(4,1+'5. Scenarios'!$E$8))/4+INDEX(BookQ2,2214)*(5-MIN(4,2+'5. Scenarios'!$E$8))/4+INDEX(BookQ3,2214)*(5-MIN(4,3+'5. Scenarios'!$E$8))/4+INDEX(BookQ4,2214)*(5-MIN(4,4+'5. Scenarios'!$E$8))/4)*'5. Scenarios'!$E$6/(1+ProductivityDefault*('5. Scenarios'!$E$11-1))+INDEX(BookOneOff,2214)*$S2219)</f>
        <v/>
      </c>
    </row>
    <row r="2220" customFormat="false" ht="15" hidden="false" customHeight="false" outlineLevel="0" collapsed="false">
      <c r="A2220" s="0" t="str">
        <f aca="false">IF(INDEX(BookTitle,2215)="","",INDEX(BookKey,2215))</f>
        <v/>
      </c>
      <c r="B2220" s="0" t="str">
        <f aca="false">IF(INDEX(BookTitle,2215)="","",INDEX(BookGroup,2215))</f>
        <v/>
      </c>
      <c r="C2220" s="0" t="str">
        <f aca="false">IF(INDEX(BookTitle,2215)="","",INDEX(BookCategory,2215))</f>
        <v/>
      </c>
      <c r="D2220" s="56" t="str">
        <f aca="false">IF(INDEX(BookTitle,2215)="","",INDEX(BookTotal,2215)*'5. Scenarios'!$B$6/(1+ProductivityDefault*('5. Scenarios'!$B$11-1)))</f>
        <v/>
      </c>
      <c r="E2220" s="57" t="str">
        <f aca="false">IF($D2220="","",INDEX(BookRate,2215)*(1+'5. Scenarios'!$B$10)*$D2220)</f>
        <v/>
      </c>
      <c r="F2220" s="57" t="str">
        <f aca="false">IF($E2220="","",SUMIFS($E$6:$E$2405,$A$6:$A$2405,"&lt;="&amp;$A2220))</f>
        <v/>
      </c>
      <c r="G2220" s="57" t="str">
        <f aca="false">IF($E2220="","",IF($F2220&lt;=BankCostEnvelope*'5. Scenarios'!$B$7,1,0))</f>
        <v/>
      </c>
      <c r="H2220" s="57" t="str">
        <f aca="false">IF($D2220="","",INDEX(BookRate,2215)*(1+'5. Scenarios'!$B$10)*(INDEX(BookQ1,2215)*(5-MIN(4,1+'5. Scenarios'!$B$8))/4+INDEX(BookQ2,2215)*(5-MIN(4,2+'5. Scenarios'!$B$8))/4+INDEX(BookQ3,2215)*(5-MIN(4,3+'5. Scenarios'!$B$8))/4+INDEX(BookQ4,2215)*(5-MIN(4,4+'5. Scenarios'!$B$8))/4)*'5. Scenarios'!$B$6/(1+ProductivityDefault*('5. Scenarios'!$B$11-1))+INDEX(BookOneOff,2215)*$D2220)</f>
        <v/>
      </c>
      <c r="I2220" s="56" t="str">
        <f aca="false">IF(INDEX(BookTitle,2215)="","",INDEX(BookTotal,2215)*'5. Scenarios'!$C$6/(1+ProductivityDefault*('5. Scenarios'!$C$11-1)))</f>
        <v/>
      </c>
      <c r="J2220" s="57" t="str">
        <f aca="false">IF($I2220="","",INDEX(BookRate,2215)*(1+'5. Scenarios'!$C$10)*$I2220)</f>
        <v/>
      </c>
      <c r="K2220" s="57" t="str">
        <f aca="false">IF($J2220="","",SUMIFS($J$6:$J$2405,$A$6:$A$2405,"&lt;="&amp;$A2220))</f>
        <v/>
      </c>
      <c r="L2220" s="57" t="str">
        <f aca="false">IF($J2220="","",IF($K2220&lt;=BankCostEnvelope*'5. Scenarios'!$C$7,1,0))</f>
        <v/>
      </c>
      <c r="M2220" s="57" t="str">
        <f aca="false">IF($I2220="","",INDEX(BookRate,2215)*(1+'5. Scenarios'!$C$10)*(INDEX(BookQ1,2215)*(5-MIN(4,1+'5. Scenarios'!$C$8))/4+INDEX(BookQ2,2215)*(5-MIN(4,2+'5. Scenarios'!$C$8))/4+INDEX(BookQ3,2215)*(5-MIN(4,3+'5. Scenarios'!$C$8))/4+INDEX(BookQ4,2215)*(5-MIN(4,4+'5. Scenarios'!$C$8))/4)*'5. Scenarios'!$C$6/(1+ProductivityDefault*('5. Scenarios'!$C$11-1))+INDEX(BookOneOff,2215)*$I2220)</f>
        <v/>
      </c>
      <c r="N2220" s="56" t="str">
        <f aca="false">IF(INDEX(BookTitle,2215)="","",INDEX(BookTotal,2215)*'5. Scenarios'!$D$6/(1+ProductivityDefault*('5. Scenarios'!$D$11-1)))</f>
        <v/>
      </c>
      <c r="O2220" s="57" t="str">
        <f aca="false">IF($N2220="","",INDEX(BookRate,2215)*(1+'5. Scenarios'!$D$10)*$N2220)</f>
        <v/>
      </c>
      <c r="P2220" s="57" t="str">
        <f aca="false">IF($O2220="","",SUMIFS($O$6:$O$2405,$A$6:$A$2405,"&lt;="&amp;$A2220))</f>
        <v/>
      </c>
      <c r="Q2220" s="57" t="str">
        <f aca="false">IF($O2220="","",IF($P2220&lt;=BankCostEnvelope*'5. Scenarios'!$D$7,1,0))</f>
        <v/>
      </c>
      <c r="R2220" s="57" t="str">
        <f aca="false">IF($N2220="","",INDEX(BookRate,2215)*(1+'5. Scenarios'!$D$10)*(INDEX(BookQ1,2215)*(5-MIN(4,1+'5. Scenarios'!$D$8))/4+INDEX(BookQ2,2215)*(5-MIN(4,2+'5. Scenarios'!$D$8))/4+INDEX(BookQ3,2215)*(5-MIN(4,3+'5. Scenarios'!$D$8))/4+INDEX(BookQ4,2215)*(5-MIN(4,4+'5. Scenarios'!$D$8))/4)*'5. Scenarios'!$D$6/(1+ProductivityDefault*('5. Scenarios'!$D$11-1))+INDEX(BookOneOff,2215)*$N2220)</f>
        <v/>
      </c>
      <c r="S2220" s="56" t="str">
        <f aca="false">IF(INDEX(BookTitle,2215)="","",INDEX(BookTotal,2215)*'5. Scenarios'!$E$6/(1+ProductivityDefault*('5. Scenarios'!$E$11-1)))</f>
        <v/>
      </c>
      <c r="T2220" s="57" t="str">
        <f aca="false">IF($S2220="","",INDEX(BookRate,2215)*(1+'5. Scenarios'!$E$10)*$S2220)</f>
        <v/>
      </c>
      <c r="U2220" s="57" t="str">
        <f aca="false">IF($T2220="","",SUMIFS($T$6:$T$2405,$A$6:$A$2405,"&lt;="&amp;$A2220))</f>
        <v/>
      </c>
      <c r="V2220" s="57" t="str">
        <f aca="false">IF($T2220="","",IF($U2220&lt;=BankCostEnvelope*'5. Scenarios'!$E$7,1,0))</f>
        <v/>
      </c>
      <c r="W2220" s="57" t="str">
        <f aca="false">IF($S2220="","",INDEX(BookRate,2215)*(1+'5. Scenarios'!$E$10)*(INDEX(BookQ1,2215)*(5-MIN(4,1+'5. Scenarios'!$E$8))/4+INDEX(BookQ2,2215)*(5-MIN(4,2+'5. Scenarios'!$E$8))/4+INDEX(BookQ3,2215)*(5-MIN(4,3+'5. Scenarios'!$E$8))/4+INDEX(BookQ4,2215)*(5-MIN(4,4+'5. Scenarios'!$E$8))/4)*'5. Scenarios'!$E$6/(1+ProductivityDefault*('5. Scenarios'!$E$11-1))+INDEX(BookOneOff,2215)*$S2220)</f>
        <v/>
      </c>
    </row>
    <row r="2221" customFormat="false" ht="15" hidden="false" customHeight="false" outlineLevel="0" collapsed="false">
      <c r="A2221" s="0" t="str">
        <f aca="false">IF(INDEX(BookTitle,2216)="","",INDEX(BookKey,2216))</f>
        <v/>
      </c>
      <c r="B2221" s="0" t="str">
        <f aca="false">IF(INDEX(BookTitle,2216)="","",INDEX(BookGroup,2216))</f>
        <v/>
      </c>
      <c r="C2221" s="0" t="str">
        <f aca="false">IF(INDEX(BookTitle,2216)="","",INDEX(BookCategory,2216))</f>
        <v/>
      </c>
      <c r="D2221" s="56" t="str">
        <f aca="false">IF(INDEX(BookTitle,2216)="","",INDEX(BookTotal,2216)*'5. Scenarios'!$B$6/(1+ProductivityDefault*('5. Scenarios'!$B$11-1)))</f>
        <v/>
      </c>
      <c r="E2221" s="57" t="str">
        <f aca="false">IF($D2221="","",INDEX(BookRate,2216)*(1+'5. Scenarios'!$B$10)*$D2221)</f>
        <v/>
      </c>
      <c r="F2221" s="57" t="str">
        <f aca="false">IF($E2221="","",SUMIFS($E$6:$E$2405,$A$6:$A$2405,"&lt;="&amp;$A2221))</f>
        <v/>
      </c>
      <c r="G2221" s="57" t="str">
        <f aca="false">IF($E2221="","",IF($F2221&lt;=BankCostEnvelope*'5. Scenarios'!$B$7,1,0))</f>
        <v/>
      </c>
      <c r="H2221" s="57" t="str">
        <f aca="false">IF($D2221="","",INDEX(BookRate,2216)*(1+'5. Scenarios'!$B$10)*(INDEX(BookQ1,2216)*(5-MIN(4,1+'5. Scenarios'!$B$8))/4+INDEX(BookQ2,2216)*(5-MIN(4,2+'5. Scenarios'!$B$8))/4+INDEX(BookQ3,2216)*(5-MIN(4,3+'5. Scenarios'!$B$8))/4+INDEX(BookQ4,2216)*(5-MIN(4,4+'5. Scenarios'!$B$8))/4)*'5. Scenarios'!$B$6/(1+ProductivityDefault*('5. Scenarios'!$B$11-1))+INDEX(BookOneOff,2216)*$D2221)</f>
        <v/>
      </c>
      <c r="I2221" s="56" t="str">
        <f aca="false">IF(INDEX(BookTitle,2216)="","",INDEX(BookTotal,2216)*'5. Scenarios'!$C$6/(1+ProductivityDefault*('5. Scenarios'!$C$11-1)))</f>
        <v/>
      </c>
      <c r="J2221" s="57" t="str">
        <f aca="false">IF($I2221="","",INDEX(BookRate,2216)*(1+'5. Scenarios'!$C$10)*$I2221)</f>
        <v/>
      </c>
      <c r="K2221" s="57" t="str">
        <f aca="false">IF($J2221="","",SUMIFS($J$6:$J$2405,$A$6:$A$2405,"&lt;="&amp;$A2221))</f>
        <v/>
      </c>
      <c r="L2221" s="57" t="str">
        <f aca="false">IF($J2221="","",IF($K2221&lt;=BankCostEnvelope*'5. Scenarios'!$C$7,1,0))</f>
        <v/>
      </c>
      <c r="M2221" s="57" t="str">
        <f aca="false">IF($I2221="","",INDEX(BookRate,2216)*(1+'5. Scenarios'!$C$10)*(INDEX(BookQ1,2216)*(5-MIN(4,1+'5. Scenarios'!$C$8))/4+INDEX(BookQ2,2216)*(5-MIN(4,2+'5. Scenarios'!$C$8))/4+INDEX(BookQ3,2216)*(5-MIN(4,3+'5. Scenarios'!$C$8))/4+INDEX(BookQ4,2216)*(5-MIN(4,4+'5. Scenarios'!$C$8))/4)*'5. Scenarios'!$C$6/(1+ProductivityDefault*('5. Scenarios'!$C$11-1))+INDEX(BookOneOff,2216)*$I2221)</f>
        <v/>
      </c>
      <c r="N2221" s="56" t="str">
        <f aca="false">IF(INDEX(BookTitle,2216)="","",INDEX(BookTotal,2216)*'5. Scenarios'!$D$6/(1+ProductivityDefault*('5. Scenarios'!$D$11-1)))</f>
        <v/>
      </c>
      <c r="O2221" s="57" t="str">
        <f aca="false">IF($N2221="","",INDEX(BookRate,2216)*(1+'5. Scenarios'!$D$10)*$N2221)</f>
        <v/>
      </c>
      <c r="P2221" s="57" t="str">
        <f aca="false">IF($O2221="","",SUMIFS($O$6:$O$2405,$A$6:$A$2405,"&lt;="&amp;$A2221))</f>
        <v/>
      </c>
      <c r="Q2221" s="57" t="str">
        <f aca="false">IF($O2221="","",IF($P2221&lt;=BankCostEnvelope*'5. Scenarios'!$D$7,1,0))</f>
        <v/>
      </c>
      <c r="R2221" s="57" t="str">
        <f aca="false">IF($N2221="","",INDEX(BookRate,2216)*(1+'5. Scenarios'!$D$10)*(INDEX(BookQ1,2216)*(5-MIN(4,1+'5. Scenarios'!$D$8))/4+INDEX(BookQ2,2216)*(5-MIN(4,2+'5. Scenarios'!$D$8))/4+INDEX(BookQ3,2216)*(5-MIN(4,3+'5. Scenarios'!$D$8))/4+INDEX(BookQ4,2216)*(5-MIN(4,4+'5. Scenarios'!$D$8))/4)*'5. Scenarios'!$D$6/(1+ProductivityDefault*('5. Scenarios'!$D$11-1))+INDEX(BookOneOff,2216)*$N2221)</f>
        <v/>
      </c>
      <c r="S2221" s="56" t="str">
        <f aca="false">IF(INDEX(BookTitle,2216)="","",INDEX(BookTotal,2216)*'5. Scenarios'!$E$6/(1+ProductivityDefault*('5. Scenarios'!$E$11-1)))</f>
        <v/>
      </c>
      <c r="T2221" s="57" t="str">
        <f aca="false">IF($S2221="","",INDEX(BookRate,2216)*(1+'5. Scenarios'!$E$10)*$S2221)</f>
        <v/>
      </c>
      <c r="U2221" s="57" t="str">
        <f aca="false">IF($T2221="","",SUMIFS($T$6:$T$2405,$A$6:$A$2405,"&lt;="&amp;$A2221))</f>
        <v/>
      </c>
      <c r="V2221" s="57" t="str">
        <f aca="false">IF($T2221="","",IF($U2221&lt;=BankCostEnvelope*'5. Scenarios'!$E$7,1,0))</f>
        <v/>
      </c>
      <c r="W2221" s="57" t="str">
        <f aca="false">IF($S2221="","",INDEX(BookRate,2216)*(1+'5. Scenarios'!$E$10)*(INDEX(BookQ1,2216)*(5-MIN(4,1+'5. Scenarios'!$E$8))/4+INDEX(BookQ2,2216)*(5-MIN(4,2+'5. Scenarios'!$E$8))/4+INDEX(BookQ3,2216)*(5-MIN(4,3+'5. Scenarios'!$E$8))/4+INDEX(BookQ4,2216)*(5-MIN(4,4+'5. Scenarios'!$E$8))/4)*'5. Scenarios'!$E$6/(1+ProductivityDefault*('5. Scenarios'!$E$11-1))+INDEX(BookOneOff,2216)*$S2221)</f>
        <v/>
      </c>
    </row>
    <row r="2222" customFormat="false" ht="15" hidden="false" customHeight="false" outlineLevel="0" collapsed="false">
      <c r="A2222" s="0" t="str">
        <f aca="false">IF(INDEX(BookTitle,2217)="","",INDEX(BookKey,2217))</f>
        <v/>
      </c>
      <c r="B2222" s="0" t="str">
        <f aca="false">IF(INDEX(BookTitle,2217)="","",INDEX(BookGroup,2217))</f>
        <v/>
      </c>
      <c r="C2222" s="0" t="str">
        <f aca="false">IF(INDEX(BookTitle,2217)="","",INDEX(BookCategory,2217))</f>
        <v/>
      </c>
      <c r="D2222" s="56" t="str">
        <f aca="false">IF(INDEX(BookTitle,2217)="","",INDEX(BookTotal,2217)*'5. Scenarios'!$B$6/(1+ProductivityDefault*('5. Scenarios'!$B$11-1)))</f>
        <v/>
      </c>
      <c r="E2222" s="57" t="str">
        <f aca="false">IF($D2222="","",INDEX(BookRate,2217)*(1+'5. Scenarios'!$B$10)*$D2222)</f>
        <v/>
      </c>
      <c r="F2222" s="57" t="str">
        <f aca="false">IF($E2222="","",SUMIFS($E$6:$E$2405,$A$6:$A$2405,"&lt;="&amp;$A2222))</f>
        <v/>
      </c>
      <c r="G2222" s="57" t="str">
        <f aca="false">IF($E2222="","",IF($F2222&lt;=BankCostEnvelope*'5. Scenarios'!$B$7,1,0))</f>
        <v/>
      </c>
      <c r="H2222" s="57" t="str">
        <f aca="false">IF($D2222="","",INDEX(BookRate,2217)*(1+'5. Scenarios'!$B$10)*(INDEX(BookQ1,2217)*(5-MIN(4,1+'5. Scenarios'!$B$8))/4+INDEX(BookQ2,2217)*(5-MIN(4,2+'5. Scenarios'!$B$8))/4+INDEX(BookQ3,2217)*(5-MIN(4,3+'5. Scenarios'!$B$8))/4+INDEX(BookQ4,2217)*(5-MIN(4,4+'5. Scenarios'!$B$8))/4)*'5. Scenarios'!$B$6/(1+ProductivityDefault*('5. Scenarios'!$B$11-1))+INDEX(BookOneOff,2217)*$D2222)</f>
        <v/>
      </c>
      <c r="I2222" s="56" t="str">
        <f aca="false">IF(INDEX(BookTitle,2217)="","",INDEX(BookTotal,2217)*'5. Scenarios'!$C$6/(1+ProductivityDefault*('5. Scenarios'!$C$11-1)))</f>
        <v/>
      </c>
      <c r="J2222" s="57" t="str">
        <f aca="false">IF($I2222="","",INDEX(BookRate,2217)*(1+'5. Scenarios'!$C$10)*$I2222)</f>
        <v/>
      </c>
      <c r="K2222" s="57" t="str">
        <f aca="false">IF($J2222="","",SUMIFS($J$6:$J$2405,$A$6:$A$2405,"&lt;="&amp;$A2222))</f>
        <v/>
      </c>
      <c r="L2222" s="57" t="str">
        <f aca="false">IF($J2222="","",IF($K2222&lt;=BankCostEnvelope*'5. Scenarios'!$C$7,1,0))</f>
        <v/>
      </c>
      <c r="M2222" s="57" t="str">
        <f aca="false">IF($I2222="","",INDEX(BookRate,2217)*(1+'5. Scenarios'!$C$10)*(INDEX(BookQ1,2217)*(5-MIN(4,1+'5. Scenarios'!$C$8))/4+INDEX(BookQ2,2217)*(5-MIN(4,2+'5. Scenarios'!$C$8))/4+INDEX(BookQ3,2217)*(5-MIN(4,3+'5. Scenarios'!$C$8))/4+INDEX(BookQ4,2217)*(5-MIN(4,4+'5. Scenarios'!$C$8))/4)*'5. Scenarios'!$C$6/(1+ProductivityDefault*('5. Scenarios'!$C$11-1))+INDEX(BookOneOff,2217)*$I2222)</f>
        <v/>
      </c>
      <c r="N2222" s="56" t="str">
        <f aca="false">IF(INDEX(BookTitle,2217)="","",INDEX(BookTotal,2217)*'5. Scenarios'!$D$6/(1+ProductivityDefault*('5. Scenarios'!$D$11-1)))</f>
        <v/>
      </c>
      <c r="O2222" s="57" t="str">
        <f aca="false">IF($N2222="","",INDEX(BookRate,2217)*(1+'5. Scenarios'!$D$10)*$N2222)</f>
        <v/>
      </c>
      <c r="P2222" s="57" t="str">
        <f aca="false">IF($O2222="","",SUMIFS($O$6:$O$2405,$A$6:$A$2405,"&lt;="&amp;$A2222))</f>
        <v/>
      </c>
      <c r="Q2222" s="57" t="str">
        <f aca="false">IF($O2222="","",IF($P2222&lt;=BankCostEnvelope*'5. Scenarios'!$D$7,1,0))</f>
        <v/>
      </c>
      <c r="R2222" s="57" t="str">
        <f aca="false">IF($N2222="","",INDEX(BookRate,2217)*(1+'5. Scenarios'!$D$10)*(INDEX(BookQ1,2217)*(5-MIN(4,1+'5. Scenarios'!$D$8))/4+INDEX(BookQ2,2217)*(5-MIN(4,2+'5. Scenarios'!$D$8))/4+INDEX(BookQ3,2217)*(5-MIN(4,3+'5. Scenarios'!$D$8))/4+INDEX(BookQ4,2217)*(5-MIN(4,4+'5. Scenarios'!$D$8))/4)*'5. Scenarios'!$D$6/(1+ProductivityDefault*('5. Scenarios'!$D$11-1))+INDEX(BookOneOff,2217)*$N2222)</f>
        <v/>
      </c>
      <c r="S2222" s="56" t="str">
        <f aca="false">IF(INDEX(BookTitle,2217)="","",INDEX(BookTotal,2217)*'5. Scenarios'!$E$6/(1+ProductivityDefault*('5. Scenarios'!$E$11-1)))</f>
        <v/>
      </c>
      <c r="T2222" s="57" t="str">
        <f aca="false">IF($S2222="","",INDEX(BookRate,2217)*(1+'5. Scenarios'!$E$10)*$S2222)</f>
        <v/>
      </c>
      <c r="U2222" s="57" t="str">
        <f aca="false">IF($T2222="","",SUMIFS($T$6:$T$2405,$A$6:$A$2405,"&lt;="&amp;$A2222))</f>
        <v/>
      </c>
      <c r="V2222" s="57" t="str">
        <f aca="false">IF($T2222="","",IF($U2222&lt;=BankCostEnvelope*'5. Scenarios'!$E$7,1,0))</f>
        <v/>
      </c>
      <c r="W2222" s="57" t="str">
        <f aca="false">IF($S2222="","",INDEX(BookRate,2217)*(1+'5. Scenarios'!$E$10)*(INDEX(BookQ1,2217)*(5-MIN(4,1+'5. Scenarios'!$E$8))/4+INDEX(BookQ2,2217)*(5-MIN(4,2+'5. Scenarios'!$E$8))/4+INDEX(BookQ3,2217)*(5-MIN(4,3+'5. Scenarios'!$E$8))/4+INDEX(BookQ4,2217)*(5-MIN(4,4+'5. Scenarios'!$E$8))/4)*'5. Scenarios'!$E$6/(1+ProductivityDefault*('5. Scenarios'!$E$11-1))+INDEX(BookOneOff,2217)*$S2222)</f>
        <v/>
      </c>
    </row>
    <row r="2223" customFormat="false" ht="15" hidden="false" customHeight="false" outlineLevel="0" collapsed="false">
      <c r="A2223" s="0" t="str">
        <f aca="false">IF(INDEX(BookTitle,2218)="","",INDEX(BookKey,2218))</f>
        <v/>
      </c>
      <c r="B2223" s="0" t="str">
        <f aca="false">IF(INDEX(BookTitle,2218)="","",INDEX(BookGroup,2218))</f>
        <v/>
      </c>
      <c r="C2223" s="0" t="str">
        <f aca="false">IF(INDEX(BookTitle,2218)="","",INDEX(BookCategory,2218))</f>
        <v/>
      </c>
      <c r="D2223" s="56" t="str">
        <f aca="false">IF(INDEX(BookTitle,2218)="","",INDEX(BookTotal,2218)*'5. Scenarios'!$B$6/(1+ProductivityDefault*('5. Scenarios'!$B$11-1)))</f>
        <v/>
      </c>
      <c r="E2223" s="57" t="str">
        <f aca="false">IF($D2223="","",INDEX(BookRate,2218)*(1+'5. Scenarios'!$B$10)*$D2223)</f>
        <v/>
      </c>
      <c r="F2223" s="57" t="str">
        <f aca="false">IF($E2223="","",SUMIFS($E$6:$E$2405,$A$6:$A$2405,"&lt;="&amp;$A2223))</f>
        <v/>
      </c>
      <c r="G2223" s="57" t="str">
        <f aca="false">IF($E2223="","",IF($F2223&lt;=BankCostEnvelope*'5. Scenarios'!$B$7,1,0))</f>
        <v/>
      </c>
      <c r="H2223" s="57" t="str">
        <f aca="false">IF($D2223="","",INDEX(BookRate,2218)*(1+'5. Scenarios'!$B$10)*(INDEX(BookQ1,2218)*(5-MIN(4,1+'5. Scenarios'!$B$8))/4+INDEX(BookQ2,2218)*(5-MIN(4,2+'5. Scenarios'!$B$8))/4+INDEX(BookQ3,2218)*(5-MIN(4,3+'5. Scenarios'!$B$8))/4+INDEX(BookQ4,2218)*(5-MIN(4,4+'5. Scenarios'!$B$8))/4)*'5. Scenarios'!$B$6/(1+ProductivityDefault*('5. Scenarios'!$B$11-1))+INDEX(BookOneOff,2218)*$D2223)</f>
        <v/>
      </c>
      <c r="I2223" s="56" t="str">
        <f aca="false">IF(INDEX(BookTitle,2218)="","",INDEX(BookTotal,2218)*'5. Scenarios'!$C$6/(1+ProductivityDefault*('5. Scenarios'!$C$11-1)))</f>
        <v/>
      </c>
      <c r="J2223" s="57" t="str">
        <f aca="false">IF($I2223="","",INDEX(BookRate,2218)*(1+'5. Scenarios'!$C$10)*$I2223)</f>
        <v/>
      </c>
      <c r="K2223" s="57" t="str">
        <f aca="false">IF($J2223="","",SUMIFS($J$6:$J$2405,$A$6:$A$2405,"&lt;="&amp;$A2223))</f>
        <v/>
      </c>
      <c r="L2223" s="57" t="str">
        <f aca="false">IF($J2223="","",IF($K2223&lt;=BankCostEnvelope*'5. Scenarios'!$C$7,1,0))</f>
        <v/>
      </c>
      <c r="M2223" s="57" t="str">
        <f aca="false">IF($I2223="","",INDEX(BookRate,2218)*(1+'5. Scenarios'!$C$10)*(INDEX(BookQ1,2218)*(5-MIN(4,1+'5. Scenarios'!$C$8))/4+INDEX(BookQ2,2218)*(5-MIN(4,2+'5. Scenarios'!$C$8))/4+INDEX(BookQ3,2218)*(5-MIN(4,3+'5. Scenarios'!$C$8))/4+INDEX(BookQ4,2218)*(5-MIN(4,4+'5. Scenarios'!$C$8))/4)*'5. Scenarios'!$C$6/(1+ProductivityDefault*('5. Scenarios'!$C$11-1))+INDEX(BookOneOff,2218)*$I2223)</f>
        <v/>
      </c>
      <c r="N2223" s="56" t="str">
        <f aca="false">IF(INDEX(BookTitle,2218)="","",INDEX(BookTotal,2218)*'5. Scenarios'!$D$6/(1+ProductivityDefault*('5. Scenarios'!$D$11-1)))</f>
        <v/>
      </c>
      <c r="O2223" s="57" t="str">
        <f aca="false">IF($N2223="","",INDEX(BookRate,2218)*(1+'5. Scenarios'!$D$10)*$N2223)</f>
        <v/>
      </c>
      <c r="P2223" s="57" t="str">
        <f aca="false">IF($O2223="","",SUMIFS($O$6:$O$2405,$A$6:$A$2405,"&lt;="&amp;$A2223))</f>
        <v/>
      </c>
      <c r="Q2223" s="57" t="str">
        <f aca="false">IF($O2223="","",IF($P2223&lt;=BankCostEnvelope*'5. Scenarios'!$D$7,1,0))</f>
        <v/>
      </c>
      <c r="R2223" s="57" t="str">
        <f aca="false">IF($N2223="","",INDEX(BookRate,2218)*(1+'5. Scenarios'!$D$10)*(INDEX(BookQ1,2218)*(5-MIN(4,1+'5. Scenarios'!$D$8))/4+INDEX(BookQ2,2218)*(5-MIN(4,2+'5. Scenarios'!$D$8))/4+INDEX(BookQ3,2218)*(5-MIN(4,3+'5. Scenarios'!$D$8))/4+INDEX(BookQ4,2218)*(5-MIN(4,4+'5. Scenarios'!$D$8))/4)*'5. Scenarios'!$D$6/(1+ProductivityDefault*('5. Scenarios'!$D$11-1))+INDEX(BookOneOff,2218)*$N2223)</f>
        <v/>
      </c>
      <c r="S2223" s="56" t="str">
        <f aca="false">IF(INDEX(BookTitle,2218)="","",INDEX(BookTotal,2218)*'5. Scenarios'!$E$6/(1+ProductivityDefault*('5. Scenarios'!$E$11-1)))</f>
        <v/>
      </c>
      <c r="T2223" s="57" t="str">
        <f aca="false">IF($S2223="","",INDEX(BookRate,2218)*(1+'5. Scenarios'!$E$10)*$S2223)</f>
        <v/>
      </c>
      <c r="U2223" s="57" t="str">
        <f aca="false">IF($T2223="","",SUMIFS($T$6:$T$2405,$A$6:$A$2405,"&lt;="&amp;$A2223))</f>
        <v/>
      </c>
      <c r="V2223" s="57" t="str">
        <f aca="false">IF($T2223="","",IF($U2223&lt;=BankCostEnvelope*'5. Scenarios'!$E$7,1,0))</f>
        <v/>
      </c>
      <c r="W2223" s="57" t="str">
        <f aca="false">IF($S2223="","",INDEX(BookRate,2218)*(1+'5. Scenarios'!$E$10)*(INDEX(BookQ1,2218)*(5-MIN(4,1+'5. Scenarios'!$E$8))/4+INDEX(BookQ2,2218)*(5-MIN(4,2+'5. Scenarios'!$E$8))/4+INDEX(BookQ3,2218)*(5-MIN(4,3+'5. Scenarios'!$E$8))/4+INDEX(BookQ4,2218)*(5-MIN(4,4+'5. Scenarios'!$E$8))/4)*'5. Scenarios'!$E$6/(1+ProductivityDefault*('5. Scenarios'!$E$11-1))+INDEX(BookOneOff,2218)*$S2223)</f>
        <v/>
      </c>
    </row>
    <row r="2224" customFormat="false" ht="15" hidden="false" customHeight="false" outlineLevel="0" collapsed="false">
      <c r="A2224" s="0" t="str">
        <f aca="false">IF(INDEX(BookTitle,2219)="","",INDEX(BookKey,2219))</f>
        <v/>
      </c>
      <c r="B2224" s="0" t="str">
        <f aca="false">IF(INDEX(BookTitle,2219)="","",INDEX(BookGroup,2219))</f>
        <v/>
      </c>
      <c r="C2224" s="0" t="str">
        <f aca="false">IF(INDEX(BookTitle,2219)="","",INDEX(BookCategory,2219))</f>
        <v/>
      </c>
      <c r="D2224" s="56" t="str">
        <f aca="false">IF(INDEX(BookTitle,2219)="","",INDEX(BookTotal,2219)*'5. Scenarios'!$B$6/(1+ProductivityDefault*('5. Scenarios'!$B$11-1)))</f>
        <v/>
      </c>
      <c r="E2224" s="57" t="str">
        <f aca="false">IF($D2224="","",INDEX(BookRate,2219)*(1+'5. Scenarios'!$B$10)*$D2224)</f>
        <v/>
      </c>
      <c r="F2224" s="57" t="str">
        <f aca="false">IF($E2224="","",SUMIFS($E$6:$E$2405,$A$6:$A$2405,"&lt;="&amp;$A2224))</f>
        <v/>
      </c>
      <c r="G2224" s="57" t="str">
        <f aca="false">IF($E2224="","",IF($F2224&lt;=BankCostEnvelope*'5. Scenarios'!$B$7,1,0))</f>
        <v/>
      </c>
      <c r="H2224" s="57" t="str">
        <f aca="false">IF($D2224="","",INDEX(BookRate,2219)*(1+'5. Scenarios'!$B$10)*(INDEX(BookQ1,2219)*(5-MIN(4,1+'5. Scenarios'!$B$8))/4+INDEX(BookQ2,2219)*(5-MIN(4,2+'5. Scenarios'!$B$8))/4+INDEX(BookQ3,2219)*(5-MIN(4,3+'5. Scenarios'!$B$8))/4+INDEX(BookQ4,2219)*(5-MIN(4,4+'5. Scenarios'!$B$8))/4)*'5. Scenarios'!$B$6/(1+ProductivityDefault*('5. Scenarios'!$B$11-1))+INDEX(BookOneOff,2219)*$D2224)</f>
        <v/>
      </c>
      <c r="I2224" s="56" t="str">
        <f aca="false">IF(INDEX(BookTitle,2219)="","",INDEX(BookTotal,2219)*'5. Scenarios'!$C$6/(1+ProductivityDefault*('5. Scenarios'!$C$11-1)))</f>
        <v/>
      </c>
      <c r="J2224" s="57" t="str">
        <f aca="false">IF($I2224="","",INDEX(BookRate,2219)*(1+'5. Scenarios'!$C$10)*$I2224)</f>
        <v/>
      </c>
      <c r="K2224" s="57" t="str">
        <f aca="false">IF($J2224="","",SUMIFS($J$6:$J$2405,$A$6:$A$2405,"&lt;="&amp;$A2224))</f>
        <v/>
      </c>
      <c r="L2224" s="57" t="str">
        <f aca="false">IF($J2224="","",IF($K2224&lt;=BankCostEnvelope*'5. Scenarios'!$C$7,1,0))</f>
        <v/>
      </c>
      <c r="M2224" s="57" t="str">
        <f aca="false">IF($I2224="","",INDEX(BookRate,2219)*(1+'5. Scenarios'!$C$10)*(INDEX(BookQ1,2219)*(5-MIN(4,1+'5. Scenarios'!$C$8))/4+INDEX(BookQ2,2219)*(5-MIN(4,2+'5. Scenarios'!$C$8))/4+INDEX(BookQ3,2219)*(5-MIN(4,3+'5. Scenarios'!$C$8))/4+INDEX(BookQ4,2219)*(5-MIN(4,4+'5. Scenarios'!$C$8))/4)*'5. Scenarios'!$C$6/(1+ProductivityDefault*('5. Scenarios'!$C$11-1))+INDEX(BookOneOff,2219)*$I2224)</f>
        <v/>
      </c>
      <c r="N2224" s="56" t="str">
        <f aca="false">IF(INDEX(BookTitle,2219)="","",INDEX(BookTotal,2219)*'5. Scenarios'!$D$6/(1+ProductivityDefault*('5. Scenarios'!$D$11-1)))</f>
        <v/>
      </c>
      <c r="O2224" s="57" t="str">
        <f aca="false">IF($N2224="","",INDEX(BookRate,2219)*(1+'5. Scenarios'!$D$10)*$N2224)</f>
        <v/>
      </c>
      <c r="P2224" s="57" t="str">
        <f aca="false">IF($O2224="","",SUMIFS($O$6:$O$2405,$A$6:$A$2405,"&lt;="&amp;$A2224))</f>
        <v/>
      </c>
      <c r="Q2224" s="57" t="str">
        <f aca="false">IF($O2224="","",IF($P2224&lt;=BankCostEnvelope*'5. Scenarios'!$D$7,1,0))</f>
        <v/>
      </c>
      <c r="R2224" s="57" t="str">
        <f aca="false">IF($N2224="","",INDEX(BookRate,2219)*(1+'5. Scenarios'!$D$10)*(INDEX(BookQ1,2219)*(5-MIN(4,1+'5. Scenarios'!$D$8))/4+INDEX(BookQ2,2219)*(5-MIN(4,2+'5. Scenarios'!$D$8))/4+INDEX(BookQ3,2219)*(5-MIN(4,3+'5. Scenarios'!$D$8))/4+INDEX(BookQ4,2219)*(5-MIN(4,4+'5. Scenarios'!$D$8))/4)*'5. Scenarios'!$D$6/(1+ProductivityDefault*('5. Scenarios'!$D$11-1))+INDEX(BookOneOff,2219)*$N2224)</f>
        <v/>
      </c>
      <c r="S2224" s="56" t="str">
        <f aca="false">IF(INDEX(BookTitle,2219)="","",INDEX(BookTotal,2219)*'5. Scenarios'!$E$6/(1+ProductivityDefault*('5. Scenarios'!$E$11-1)))</f>
        <v/>
      </c>
      <c r="T2224" s="57" t="str">
        <f aca="false">IF($S2224="","",INDEX(BookRate,2219)*(1+'5. Scenarios'!$E$10)*$S2224)</f>
        <v/>
      </c>
      <c r="U2224" s="57" t="str">
        <f aca="false">IF($T2224="","",SUMIFS($T$6:$T$2405,$A$6:$A$2405,"&lt;="&amp;$A2224))</f>
        <v/>
      </c>
      <c r="V2224" s="57" t="str">
        <f aca="false">IF($T2224="","",IF($U2224&lt;=BankCostEnvelope*'5. Scenarios'!$E$7,1,0))</f>
        <v/>
      </c>
      <c r="W2224" s="57" t="str">
        <f aca="false">IF($S2224="","",INDEX(BookRate,2219)*(1+'5. Scenarios'!$E$10)*(INDEX(BookQ1,2219)*(5-MIN(4,1+'5. Scenarios'!$E$8))/4+INDEX(BookQ2,2219)*(5-MIN(4,2+'5. Scenarios'!$E$8))/4+INDEX(BookQ3,2219)*(5-MIN(4,3+'5. Scenarios'!$E$8))/4+INDEX(BookQ4,2219)*(5-MIN(4,4+'5. Scenarios'!$E$8))/4)*'5. Scenarios'!$E$6/(1+ProductivityDefault*('5. Scenarios'!$E$11-1))+INDEX(BookOneOff,2219)*$S2224)</f>
        <v/>
      </c>
    </row>
    <row r="2225" customFormat="false" ht="15" hidden="false" customHeight="false" outlineLevel="0" collapsed="false">
      <c r="A2225" s="0" t="str">
        <f aca="false">IF(INDEX(BookTitle,2220)="","",INDEX(BookKey,2220))</f>
        <v/>
      </c>
      <c r="B2225" s="0" t="str">
        <f aca="false">IF(INDEX(BookTitle,2220)="","",INDEX(BookGroup,2220))</f>
        <v/>
      </c>
      <c r="C2225" s="0" t="str">
        <f aca="false">IF(INDEX(BookTitle,2220)="","",INDEX(BookCategory,2220))</f>
        <v/>
      </c>
      <c r="D2225" s="56" t="str">
        <f aca="false">IF(INDEX(BookTitle,2220)="","",INDEX(BookTotal,2220)*'5. Scenarios'!$B$6/(1+ProductivityDefault*('5. Scenarios'!$B$11-1)))</f>
        <v/>
      </c>
      <c r="E2225" s="57" t="str">
        <f aca="false">IF($D2225="","",INDEX(BookRate,2220)*(1+'5. Scenarios'!$B$10)*$D2225)</f>
        <v/>
      </c>
      <c r="F2225" s="57" t="str">
        <f aca="false">IF($E2225="","",SUMIFS($E$6:$E$2405,$A$6:$A$2405,"&lt;="&amp;$A2225))</f>
        <v/>
      </c>
      <c r="G2225" s="57" t="str">
        <f aca="false">IF($E2225="","",IF($F2225&lt;=BankCostEnvelope*'5. Scenarios'!$B$7,1,0))</f>
        <v/>
      </c>
      <c r="H2225" s="57" t="str">
        <f aca="false">IF($D2225="","",INDEX(BookRate,2220)*(1+'5. Scenarios'!$B$10)*(INDEX(BookQ1,2220)*(5-MIN(4,1+'5. Scenarios'!$B$8))/4+INDEX(BookQ2,2220)*(5-MIN(4,2+'5. Scenarios'!$B$8))/4+INDEX(BookQ3,2220)*(5-MIN(4,3+'5. Scenarios'!$B$8))/4+INDEX(BookQ4,2220)*(5-MIN(4,4+'5. Scenarios'!$B$8))/4)*'5. Scenarios'!$B$6/(1+ProductivityDefault*('5. Scenarios'!$B$11-1))+INDEX(BookOneOff,2220)*$D2225)</f>
        <v/>
      </c>
      <c r="I2225" s="56" t="str">
        <f aca="false">IF(INDEX(BookTitle,2220)="","",INDEX(BookTotal,2220)*'5. Scenarios'!$C$6/(1+ProductivityDefault*('5. Scenarios'!$C$11-1)))</f>
        <v/>
      </c>
      <c r="J2225" s="57" t="str">
        <f aca="false">IF($I2225="","",INDEX(BookRate,2220)*(1+'5. Scenarios'!$C$10)*$I2225)</f>
        <v/>
      </c>
      <c r="K2225" s="57" t="str">
        <f aca="false">IF($J2225="","",SUMIFS($J$6:$J$2405,$A$6:$A$2405,"&lt;="&amp;$A2225))</f>
        <v/>
      </c>
      <c r="L2225" s="57" t="str">
        <f aca="false">IF($J2225="","",IF($K2225&lt;=BankCostEnvelope*'5. Scenarios'!$C$7,1,0))</f>
        <v/>
      </c>
      <c r="M2225" s="57" t="str">
        <f aca="false">IF($I2225="","",INDEX(BookRate,2220)*(1+'5. Scenarios'!$C$10)*(INDEX(BookQ1,2220)*(5-MIN(4,1+'5. Scenarios'!$C$8))/4+INDEX(BookQ2,2220)*(5-MIN(4,2+'5. Scenarios'!$C$8))/4+INDEX(BookQ3,2220)*(5-MIN(4,3+'5. Scenarios'!$C$8))/4+INDEX(BookQ4,2220)*(5-MIN(4,4+'5. Scenarios'!$C$8))/4)*'5. Scenarios'!$C$6/(1+ProductivityDefault*('5. Scenarios'!$C$11-1))+INDEX(BookOneOff,2220)*$I2225)</f>
        <v/>
      </c>
      <c r="N2225" s="56" t="str">
        <f aca="false">IF(INDEX(BookTitle,2220)="","",INDEX(BookTotal,2220)*'5. Scenarios'!$D$6/(1+ProductivityDefault*('5. Scenarios'!$D$11-1)))</f>
        <v/>
      </c>
      <c r="O2225" s="57" t="str">
        <f aca="false">IF($N2225="","",INDEX(BookRate,2220)*(1+'5. Scenarios'!$D$10)*$N2225)</f>
        <v/>
      </c>
      <c r="P2225" s="57" t="str">
        <f aca="false">IF($O2225="","",SUMIFS($O$6:$O$2405,$A$6:$A$2405,"&lt;="&amp;$A2225))</f>
        <v/>
      </c>
      <c r="Q2225" s="57" t="str">
        <f aca="false">IF($O2225="","",IF($P2225&lt;=BankCostEnvelope*'5. Scenarios'!$D$7,1,0))</f>
        <v/>
      </c>
      <c r="R2225" s="57" t="str">
        <f aca="false">IF($N2225="","",INDEX(BookRate,2220)*(1+'5. Scenarios'!$D$10)*(INDEX(BookQ1,2220)*(5-MIN(4,1+'5. Scenarios'!$D$8))/4+INDEX(BookQ2,2220)*(5-MIN(4,2+'5. Scenarios'!$D$8))/4+INDEX(BookQ3,2220)*(5-MIN(4,3+'5. Scenarios'!$D$8))/4+INDEX(BookQ4,2220)*(5-MIN(4,4+'5. Scenarios'!$D$8))/4)*'5. Scenarios'!$D$6/(1+ProductivityDefault*('5. Scenarios'!$D$11-1))+INDEX(BookOneOff,2220)*$N2225)</f>
        <v/>
      </c>
      <c r="S2225" s="56" t="str">
        <f aca="false">IF(INDEX(BookTitle,2220)="","",INDEX(BookTotal,2220)*'5. Scenarios'!$E$6/(1+ProductivityDefault*('5. Scenarios'!$E$11-1)))</f>
        <v/>
      </c>
      <c r="T2225" s="57" t="str">
        <f aca="false">IF($S2225="","",INDEX(BookRate,2220)*(1+'5. Scenarios'!$E$10)*$S2225)</f>
        <v/>
      </c>
      <c r="U2225" s="57" t="str">
        <f aca="false">IF($T2225="","",SUMIFS($T$6:$T$2405,$A$6:$A$2405,"&lt;="&amp;$A2225))</f>
        <v/>
      </c>
      <c r="V2225" s="57" t="str">
        <f aca="false">IF($T2225="","",IF($U2225&lt;=BankCostEnvelope*'5. Scenarios'!$E$7,1,0))</f>
        <v/>
      </c>
      <c r="W2225" s="57" t="str">
        <f aca="false">IF($S2225="","",INDEX(BookRate,2220)*(1+'5. Scenarios'!$E$10)*(INDEX(BookQ1,2220)*(5-MIN(4,1+'5. Scenarios'!$E$8))/4+INDEX(BookQ2,2220)*(5-MIN(4,2+'5. Scenarios'!$E$8))/4+INDEX(BookQ3,2220)*(5-MIN(4,3+'5. Scenarios'!$E$8))/4+INDEX(BookQ4,2220)*(5-MIN(4,4+'5. Scenarios'!$E$8))/4)*'5. Scenarios'!$E$6/(1+ProductivityDefault*('5. Scenarios'!$E$11-1))+INDEX(BookOneOff,2220)*$S2225)</f>
        <v/>
      </c>
    </row>
    <row r="2226" customFormat="false" ht="15" hidden="false" customHeight="false" outlineLevel="0" collapsed="false">
      <c r="A2226" s="0" t="str">
        <f aca="false">IF(INDEX(BookTitle,2221)="","",INDEX(BookKey,2221))</f>
        <v/>
      </c>
      <c r="B2226" s="0" t="str">
        <f aca="false">IF(INDEX(BookTitle,2221)="","",INDEX(BookGroup,2221))</f>
        <v/>
      </c>
      <c r="C2226" s="0" t="str">
        <f aca="false">IF(INDEX(BookTitle,2221)="","",INDEX(BookCategory,2221))</f>
        <v/>
      </c>
      <c r="D2226" s="56" t="str">
        <f aca="false">IF(INDEX(BookTitle,2221)="","",INDEX(BookTotal,2221)*'5. Scenarios'!$B$6/(1+ProductivityDefault*('5. Scenarios'!$B$11-1)))</f>
        <v/>
      </c>
      <c r="E2226" s="57" t="str">
        <f aca="false">IF($D2226="","",INDEX(BookRate,2221)*(1+'5. Scenarios'!$B$10)*$D2226)</f>
        <v/>
      </c>
      <c r="F2226" s="57" t="str">
        <f aca="false">IF($E2226="","",SUMIFS($E$6:$E$2405,$A$6:$A$2405,"&lt;="&amp;$A2226))</f>
        <v/>
      </c>
      <c r="G2226" s="57" t="str">
        <f aca="false">IF($E2226="","",IF($F2226&lt;=BankCostEnvelope*'5. Scenarios'!$B$7,1,0))</f>
        <v/>
      </c>
      <c r="H2226" s="57" t="str">
        <f aca="false">IF($D2226="","",INDEX(BookRate,2221)*(1+'5. Scenarios'!$B$10)*(INDEX(BookQ1,2221)*(5-MIN(4,1+'5. Scenarios'!$B$8))/4+INDEX(BookQ2,2221)*(5-MIN(4,2+'5. Scenarios'!$B$8))/4+INDEX(BookQ3,2221)*(5-MIN(4,3+'5. Scenarios'!$B$8))/4+INDEX(BookQ4,2221)*(5-MIN(4,4+'5. Scenarios'!$B$8))/4)*'5. Scenarios'!$B$6/(1+ProductivityDefault*('5. Scenarios'!$B$11-1))+INDEX(BookOneOff,2221)*$D2226)</f>
        <v/>
      </c>
      <c r="I2226" s="56" t="str">
        <f aca="false">IF(INDEX(BookTitle,2221)="","",INDEX(BookTotal,2221)*'5. Scenarios'!$C$6/(1+ProductivityDefault*('5. Scenarios'!$C$11-1)))</f>
        <v/>
      </c>
      <c r="J2226" s="57" t="str">
        <f aca="false">IF($I2226="","",INDEX(BookRate,2221)*(1+'5. Scenarios'!$C$10)*$I2226)</f>
        <v/>
      </c>
      <c r="K2226" s="57" t="str">
        <f aca="false">IF($J2226="","",SUMIFS($J$6:$J$2405,$A$6:$A$2405,"&lt;="&amp;$A2226))</f>
        <v/>
      </c>
      <c r="L2226" s="57" t="str">
        <f aca="false">IF($J2226="","",IF($K2226&lt;=BankCostEnvelope*'5. Scenarios'!$C$7,1,0))</f>
        <v/>
      </c>
      <c r="M2226" s="57" t="str">
        <f aca="false">IF($I2226="","",INDEX(BookRate,2221)*(1+'5. Scenarios'!$C$10)*(INDEX(BookQ1,2221)*(5-MIN(4,1+'5. Scenarios'!$C$8))/4+INDEX(BookQ2,2221)*(5-MIN(4,2+'5. Scenarios'!$C$8))/4+INDEX(BookQ3,2221)*(5-MIN(4,3+'5. Scenarios'!$C$8))/4+INDEX(BookQ4,2221)*(5-MIN(4,4+'5. Scenarios'!$C$8))/4)*'5. Scenarios'!$C$6/(1+ProductivityDefault*('5. Scenarios'!$C$11-1))+INDEX(BookOneOff,2221)*$I2226)</f>
        <v/>
      </c>
      <c r="N2226" s="56" t="str">
        <f aca="false">IF(INDEX(BookTitle,2221)="","",INDEX(BookTotal,2221)*'5. Scenarios'!$D$6/(1+ProductivityDefault*('5. Scenarios'!$D$11-1)))</f>
        <v/>
      </c>
      <c r="O2226" s="57" t="str">
        <f aca="false">IF($N2226="","",INDEX(BookRate,2221)*(1+'5. Scenarios'!$D$10)*$N2226)</f>
        <v/>
      </c>
      <c r="P2226" s="57" t="str">
        <f aca="false">IF($O2226="","",SUMIFS($O$6:$O$2405,$A$6:$A$2405,"&lt;="&amp;$A2226))</f>
        <v/>
      </c>
      <c r="Q2226" s="57" t="str">
        <f aca="false">IF($O2226="","",IF($P2226&lt;=BankCostEnvelope*'5. Scenarios'!$D$7,1,0))</f>
        <v/>
      </c>
      <c r="R2226" s="57" t="str">
        <f aca="false">IF($N2226="","",INDEX(BookRate,2221)*(1+'5. Scenarios'!$D$10)*(INDEX(BookQ1,2221)*(5-MIN(4,1+'5. Scenarios'!$D$8))/4+INDEX(BookQ2,2221)*(5-MIN(4,2+'5. Scenarios'!$D$8))/4+INDEX(BookQ3,2221)*(5-MIN(4,3+'5. Scenarios'!$D$8))/4+INDEX(BookQ4,2221)*(5-MIN(4,4+'5. Scenarios'!$D$8))/4)*'5. Scenarios'!$D$6/(1+ProductivityDefault*('5. Scenarios'!$D$11-1))+INDEX(BookOneOff,2221)*$N2226)</f>
        <v/>
      </c>
      <c r="S2226" s="56" t="str">
        <f aca="false">IF(INDEX(BookTitle,2221)="","",INDEX(BookTotal,2221)*'5. Scenarios'!$E$6/(1+ProductivityDefault*('5. Scenarios'!$E$11-1)))</f>
        <v/>
      </c>
      <c r="T2226" s="57" t="str">
        <f aca="false">IF($S2226="","",INDEX(BookRate,2221)*(1+'5. Scenarios'!$E$10)*$S2226)</f>
        <v/>
      </c>
      <c r="U2226" s="57" t="str">
        <f aca="false">IF($T2226="","",SUMIFS($T$6:$T$2405,$A$6:$A$2405,"&lt;="&amp;$A2226))</f>
        <v/>
      </c>
      <c r="V2226" s="57" t="str">
        <f aca="false">IF($T2226="","",IF($U2226&lt;=BankCostEnvelope*'5. Scenarios'!$E$7,1,0))</f>
        <v/>
      </c>
      <c r="W2226" s="57" t="str">
        <f aca="false">IF($S2226="","",INDEX(BookRate,2221)*(1+'5. Scenarios'!$E$10)*(INDEX(BookQ1,2221)*(5-MIN(4,1+'5. Scenarios'!$E$8))/4+INDEX(BookQ2,2221)*(5-MIN(4,2+'5. Scenarios'!$E$8))/4+INDEX(BookQ3,2221)*(5-MIN(4,3+'5. Scenarios'!$E$8))/4+INDEX(BookQ4,2221)*(5-MIN(4,4+'5. Scenarios'!$E$8))/4)*'5. Scenarios'!$E$6/(1+ProductivityDefault*('5. Scenarios'!$E$11-1))+INDEX(BookOneOff,2221)*$S2226)</f>
        <v/>
      </c>
    </row>
    <row r="2227" customFormat="false" ht="15" hidden="false" customHeight="false" outlineLevel="0" collapsed="false">
      <c r="A2227" s="0" t="str">
        <f aca="false">IF(INDEX(BookTitle,2222)="","",INDEX(BookKey,2222))</f>
        <v/>
      </c>
      <c r="B2227" s="0" t="str">
        <f aca="false">IF(INDEX(BookTitle,2222)="","",INDEX(BookGroup,2222))</f>
        <v/>
      </c>
      <c r="C2227" s="0" t="str">
        <f aca="false">IF(INDEX(BookTitle,2222)="","",INDEX(BookCategory,2222))</f>
        <v/>
      </c>
      <c r="D2227" s="56" t="str">
        <f aca="false">IF(INDEX(BookTitle,2222)="","",INDEX(BookTotal,2222)*'5. Scenarios'!$B$6/(1+ProductivityDefault*('5. Scenarios'!$B$11-1)))</f>
        <v/>
      </c>
      <c r="E2227" s="57" t="str">
        <f aca="false">IF($D2227="","",INDEX(BookRate,2222)*(1+'5. Scenarios'!$B$10)*$D2227)</f>
        <v/>
      </c>
      <c r="F2227" s="57" t="str">
        <f aca="false">IF($E2227="","",SUMIFS($E$6:$E$2405,$A$6:$A$2405,"&lt;="&amp;$A2227))</f>
        <v/>
      </c>
      <c r="G2227" s="57" t="str">
        <f aca="false">IF($E2227="","",IF($F2227&lt;=BankCostEnvelope*'5. Scenarios'!$B$7,1,0))</f>
        <v/>
      </c>
      <c r="H2227" s="57" t="str">
        <f aca="false">IF($D2227="","",INDEX(BookRate,2222)*(1+'5. Scenarios'!$B$10)*(INDEX(BookQ1,2222)*(5-MIN(4,1+'5. Scenarios'!$B$8))/4+INDEX(BookQ2,2222)*(5-MIN(4,2+'5. Scenarios'!$B$8))/4+INDEX(BookQ3,2222)*(5-MIN(4,3+'5. Scenarios'!$B$8))/4+INDEX(BookQ4,2222)*(5-MIN(4,4+'5. Scenarios'!$B$8))/4)*'5. Scenarios'!$B$6/(1+ProductivityDefault*('5. Scenarios'!$B$11-1))+INDEX(BookOneOff,2222)*$D2227)</f>
        <v/>
      </c>
      <c r="I2227" s="56" t="str">
        <f aca="false">IF(INDEX(BookTitle,2222)="","",INDEX(BookTotal,2222)*'5. Scenarios'!$C$6/(1+ProductivityDefault*('5. Scenarios'!$C$11-1)))</f>
        <v/>
      </c>
      <c r="J2227" s="57" t="str">
        <f aca="false">IF($I2227="","",INDEX(BookRate,2222)*(1+'5. Scenarios'!$C$10)*$I2227)</f>
        <v/>
      </c>
      <c r="K2227" s="57" t="str">
        <f aca="false">IF($J2227="","",SUMIFS($J$6:$J$2405,$A$6:$A$2405,"&lt;="&amp;$A2227))</f>
        <v/>
      </c>
      <c r="L2227" s="57" t="str">
        <f aca="false">IF($J2227="","",IF($K2227&lt;=BankCostEnvelope*'5. Scenarios'!$C$7,1,0))</f>
        <v/>
      </c>
      <c r="M2227" s="57" t="str">
        <f aca="false">IF($I2227="","",INDEX(BookRate,2222)*(1+'5. Scenarios'!$C$10)*(INDEX(BookQ1,2222)*(5-MIN(4,1+'5. Scenarios'!$C$8))/4+INDEX(BookQ2,2222)*(5-MIN(4,2+'5. Scenarios'!$C$8))/4+INDEX(BookQ3,2222)*(5-MIN(4,3+'5. Scenarios'!$C$8))/4+INDEX(BookQ4,2222)*(5-MIN(4,4+'5. Scenarios'!$C$8))/4)*'5. Scenarios'!$C$6/(1+ProductivityDefault*('5. Scenarios'!$C$11-1))+INDEX(BookOneOff,2222)*$I2227)</f>
        <v/>
      </c>
      <c r="N2227" s="56" t="str">
        <f aca="false">IF(INDEX(BookTitle,2222)="","",INDEX(BookTotal,2222)*'5. Scenarios'!$D$6/(1+ProductivityDefault*('5. Scenarios'!$D$11-1)))</f>
        <v/>
      </c>
      <c r="O2227" s="57" t="str">
        <f aca="false">IF($N2227="","",INDEX(BookRate,2222)*(1+'5. Scenarios'!$D$10)*$N2227)</f>
        <v/>
      </c>
      <c r="P2227" s="57" t="str">
        <f aca="false">IF($O2227="","",SUMIFS($O$6:$O$2405,$A$6:$A$2405,"&lt;="&amp;$A2227))</f>
        <v/>
      </c>
      <c r="Q2227" s="57" t="str">
        <f aca="false">IF($O2227="","",IF($P2227&lt;=BankCostEnvelope*'5. Scenarios'!$D$7,1,0))</f>
        <v/>
      </c>
      <c r="R2227" s="57" t="str">
        <f aca="false">IF($N2227="","",INDEX(BookRate,2222)*(1+'5. Scenarios'!$D$10)*(INDEX(BookQ1,2222)*(5-MIN(4,1+'5. Scenarios'!$D$8))/4+INDEX(BookQ2,2222)*(5-MIN(4,2+'5. Scenarios'!$D$8))/4+INDEX(BookQ3,2222)*(5-MIN(4,3+'5. Scenarios'!$D$8))/4+INDEX(BookQ4,2222)*(5-MIN(4,4+'5. Scenarios'!$D$8))/4)*'5. Scenarios'!$D$6/(1+ProductivityDefault*('5. Scenarios'!$D$11-1))+INDEX(BookOneOff,2222)*$N2227)</f>
        <v/>
      </c>
      <c r="S2227" s="56" t="str">
        <f aca="false">IF(INDEX(BookTitle,2222)="","",INDEX(BookTotal,2222)*'5. Scenarios'!$E$6/(1+ProductivityDefault*('5. Scenarios'!$E$11-1)))</f>
        <v/>
      </c>
      <c r="T2227" s="57" t="str">
        <f aca="false">IF($S2227="","",INDEX(BookRate,2222)*(1+'5. Scenarios'!$E$10)*$S2227)</f>
        <v/>
      </c>
      <c r="U2227" s="57" t="str">
        <f aca="false">IF($T2227="","",SUMIFS($T$6:$T$2405,$A$6:$A$2405,"&lt;="&amp;$A2227))</f>
        <v/>
      </c>
      <c r="V2227" s="57" t="str">
        <f aca="false">IF($T2227="","",IF($U2227&lt;=BankCostEnvelope*'5. Scenarios'!$E$7,1,0))</f>
        <v/>
      </c>
      <c r="W2227" s="57" t="str">
        <f aca="false">IF($S2227="","",INDEX(BookRate,2222)*(1+'5. Scenarios'!$E$10)*(INDEX(BookQ1,2222)*(5-MIN(4,1+'5. Scenarios'!$E$8))/4+INDEX(BookQ2,2222)*(5-MIN(4,2+'5. Scenarios'!$E$8))/4+INDEX(BookQ3,2222)*(5-MIN(4,3+'5. Scenarios'!$E$8))/4+INDEX(BookQ4,2222)*(5-MIN(4,4+'5. Scenarios'!$E$8))/4)*'5. Scenarios'!$E$6/(1+ProductivityDefault*('5. Scenarios'!$E$11-1))+INDEX(BookOneOff,2222)*$S2227)</f>
        <v/>
      </c>
    </row>
    <row r="2228" customFormat="false" ht="15" hidden="false" customHeight="false" outlineLevel="0" collapsed="false">
      <c r="A2228" s="0" t="str">
        <f aca="false">IF(INDEX(BookTitle,2223)="","",INDEX(BookKey,2223))</f>
        <v/>
      </c>
      <c r="B2228" s="0" t="str">
        <f aca="false">IF(INDEX(BookTitle,2223)="","",INDEX(BookGroup,2223))</f>
        <v/>
      </c>
      <c r="C2228" s="0" t="str">
        <f aca="false">IF(INDEX(BookTitle,2223)="","",INDEX(BookCategory,2223))</f>
        <v/>
      </c>
      <c r="D2228" s="56" t="str">
        <f aca="false">IF(INDEX(BookTitle,2223)="","",INDEX(BookTotal,2223)*'5. Scenarios'!$B$6/(1+ProductivityDefault*('5. Scenarios'!$B$11-1)))</f>
        <v/>
      </c>
      <c r="E2228" s="57" t="str">
        <f aca="false">IF($D2228="","",INDEX(BookRate,2223)*(1+'5. Scenarios'!$B$10)*$D2228)</f>
        <v/>
      </c>
      <c r="F2228" s="57" t="str">
        <f aca="false">IF($E2228="","",SUMIFS($E$6:$E$2405,$A$6:$A$2405,"&lt;="&amp;$A2228))</f>
        <v/>
      </c>
      <c r="G2228" s="57" t="str">
        <f aca="false">IF($E2228="","",IF($F2228&lt;=BankCostEnvelope*'5. Scenarios'!$B$7,1,0))</f>
        <v/>
      </c>
      <c r="H2228" s="57" t="str">
        <f aca="false">IF($D2228="","",INDEX(BookRate,2223)*(1+'5. Scenarios'!$B$10)*(INDEX(BookQ1,2223)*(5-MIN(4,1+'5. Scenarios'!$B$8))/4+INDEX(BookQ2,2223)*(5-MIN(4,2+'5. Scenarios'!$B$8))/4+INDEX(BookQ3,2223)*(5-MIN(4,3+'5. Scenarios'!$B$8))/4+INDEX(BookQ4,2223)*(5-MIN(4,4+'5. Scenarios'!$B$8))/4)*'5. Scenarios'!$B$6/(1+ProductivityDefault*('5. Scenarios'!$B$11-1))+INDEX(BookOneOff,2223)*$D2228)</f>
        <v/>
      </c>
      <c r="I2228" s="56" t="str">
        <f aca="false">IF(INDEX(BookTitle,2223)="","",INDEX(BookTotal,2223)*'5. Scenarios'!$C$6/(1+ProductivityDefault*('5. Scenarios'!$C$11-1)))</f>
        <v/>
      </c>
      <c r="J2228" s="57" t="str">
        <f aca="false">IF($I2228="","",INDEX(BookRate,2223)*(1+'5. Scenarios'!$C$10)*$I2228)</f>
        <v/>
      </c>
      <c r="K2228" s="57" t="str">
        <f aca="false">IF($J2228="","",SUMIFS($J$6:$J$2405,$A$6:$A$2405,"&lt;="&amp;$A2228))</f>
        <v/>
      </c>
      <c r="L2228" s="57" t="str">
        <f aca="false">IF($J2228="","",IF($K2228&lt;=BankCostEnvelope*'5. Scenarios'!$C$7,1,0))</f>
        <v/>
      </c>
      <c r="M2228" s="57" t="str">
        <f aca="false">IF($I2228="","",INDEX(BookRate,2223)*(1+'5. Scenarios'!$C$10)*(INDEX(BookQ1,2223)*(5-MIN(4,1+'5. Scenarios'!$C$8))/4+INDEX(BookQ2,2223)*(5-MIN(4,2+'5. Scenarios'!$C$8))/4+INDEX(BookQ3,2223)*(5-MIN(4,3+'5. Scenarios'!$C$8))/4+INDEX(BookQ4,2223)*(5-MIN(4,4+'5. Scenarios'!$C$8))/4)*'5. Scenarios'!$C$6/(1+ProductivityDefault*('5. Scenarios'!$C$11-1))+INDEX(BookOneOff,2223)*$I2228)</f>
        <v/>
      </c>
      <c r="N2228" s="56" t="str">
        <f aca="false">IF(INDEX(BookTitle,2223)="","",INDEX(BookTotal,2223)*'5. Scenarios'!$D$6/(1+ProductivityDefault*('5. Scenarios'!$D$11-1)))</f>
        <v/>
      </c>
      <c r="O2228" s="57" t="str">
        <f aca="false">IF($N2228="","",INDEX(BookRate,2223)*(1+'5. Scenarios'!$D$10)*$N2228)</f>
        <v/>
      </c>
      <c r="P2228" s="57" t="str">
        <f aca="false">IF($O2228="","",SUMIFS($O$6:$O$2405,$A$6:$A$2405,"&lt;="&amp;$A2228))</f>
        <v/>
      </c>
      <c r="Q2228" s="57" t="str">
        <f aca="false">IF($O2228="","",IF($P2228&lt;=BankCostEnvelope*'5. Scenarios'!$D$7,1,0))</f>
        <v/>
      </c>
      <c r="R2228" s="57" t="str">
        <f aca="false">IF($N2228="","",INDEX(BookRate,2223)*(1+'5. Scenarios'!$D$10)*(INDEX(BookQ1,2223)*(5-MIN(4,1+'5. Scenarios'!$D$8))/4+INDEX(BookQ2,2223)*(5-MIN(4,2+'5. Scenarios'!$D$8))/4+INDEX(BookQ3,2223)*(5-MIN(4,3+'5. Scenarios'!$D$8))/4+INDEX(BookQ4,2223)*(5-MIN(4,4+'5. Scenarios'!$D$8))/4)*'5. Scenarios'!$D$6/(1+ProductivityDefault*('5. Scenarios'!$D$11-1))+INDEX(BookOneOff,2223)*$N2228)</f>
        <v/>
      </c>
      <c r="S2228" s="56" t="str">
        <f aca="false">IF(INDEX(BookTitle,2223)="","",INDEX(BookTotal,2223)*'5. Scenarios'!$E$6/(1+ProductivityDefault*('5. Scenarios'!$E$11-1)))</f>
        <v/>
      </c>
      <c r="T2228" s="57" t="str">
        <f aca="false">IF($S2228="","",INDEX(BookRate,2223)*(1+'5. Scenarios'!$E$10)*$S2228)</f>
        <v/>
      </c>
      <c r="U2228" s="57" t="str">
        <f aca="false">IF($T2228="","",SUMIFS($T$6:$T$2405,$A$6:$A$2405,"&lt;="&amp;$A2228))</f>
        <v/>
      </c>
      <c r="V2228" s="57" t="str">
        <f aca="false">IF($T2228="","",IF($U2228&lt;=BankCostEnvelope*'5. Scenarios'!$E$7,1,0))</f>
        <v/>
      </c>
      <c r="W2228" s="57" t="str">
        <f aca="false">IF($S2228="","",INDEX(BookRate,2223)*(1+'5. Scenarios'!$E$10)*(INDEX(BookQ1,2223)*(5-MIN(4,1+'5. Scenarios'!$E$8))/4+INDEX(BookQ2,2223)*(5-MIN(4,2+'5. Scenarios'!$E$8))/4+INDEX(BookQ3,2223)*(5-MIN(4,3+'5. Scenarios'!$E$8))/4+INDEX(BookQ4,2223)*(5-MIN(4,4+'5. Scenarios'!$E$8))/4)*'5. Scenarios'!$E$6/(1+ProductivityDefault*('5. Scenarios'!$E$11-1))+INDEX(BookOneOff,2223)*$S2228)</f>
        <v/>
      </c>
    </row>
    <row r="2229" customFormat="false" ht="15" hidden="false" customHeight="false" outlineLevel="0" collapsed="false">
      <c r="A2229" s="0" t="str">
        <f aca="false">IF(INDEX(BookTitle,2224)="","",INDEX(BookKey,2224))</f>
        <v/>
      </c>
      <c r="B2229" s="0" t="str">
        <f aca="false">IF(INDEX(BookTitle,2224)="","",INDEX(BookGroup,2224))</f>
        <v/>
      </c>
      <c r="C2229" s="0" t="str">
        <f aca="false">IF(INDEX(BookTitle,2224)="","",INDEX(BookCategory,2224))</f>
        <v/>
      </c>
      <c r="D2229" s="56" t="str">
        <f aca="false">IF(INDEX(BookTitle,2224)="","",INDEX(BookTotal,2224)*'5. Scenarios'!$B$6/(1+ProductivityDefault*('5. Scenarios'!$B$11-1)))</f>
        <v/>
      </c>
      <c r="E2229" s="57" t="str">
        <f aca="false">IF($D2229="","",INDEX(BookRate,2224)*(1+'5. Scenarios'!$B$10)*$D2229)</f>
        <v/>
      </c>
      <c r="F2229" s="57" t="str">
        <f aca="false">IF($E2229="","",SUMIFS($E$6:$E$2405,$A$6:$A$2405,"&lt;="&amp;$A2229))</f>
        <v/>
      </c>
      <c r="G2229" s="57" t="str">
        <f aca="false">IF($E2229="","",IF($F2229&lt;=BankCostEnvelope*'5. Scenarios'!$B$7,1,0))</f>
        <v/>
      </c>
      <c r="H2229" s="57" t="str">
        <f aca="false">IF($D2229="","",INDEX(BookRate,2224)*(1+'5. Scenarios'!$B$10)*(INDEX(BookQ1,2224)*(5-MIN(4,1+'5. Scenarios'!$B$8))/4+INDEX(BookQ2,2224)*(5-MIN(4,2+'5. Scenarios'!$B$8))/4+INDEX(BookQ3,2224)*(5-MIN(4,3+'5. Scenarios'!$B$8))/4+INDEX(BookQ4,2224)*(5-MIN(4,4+'5. Scenarios'!$B$8))/4)*'5. Scenarios'!$B$6/(1+ProductivityDefault*('5. Scenarios'!$B$11-1))+INDEX(BookOneOff,2224)*$D2229)</f>
        <v/>
      </c>
      <c r="I2229" s="56" t="str">
        <f aca="false">IF(INDEX(BookTitle,2224)="","",INDEX(BookTotal,2224)*'5. Scenarios'!$C$6/(1+ProductivityDefault*('5. Scenarios'!$C$11-1)))</f>
        <v/>
      </c>
      <c r="J2229" s="57" t="str">
        <f aca="false">IF($I2229="","",INDEX(BookRate,2224)*(1+'5. Scenarios'!$C$10)*$I2229)</f>
        <v/>
      </c>
      <c r="K2229" s="57" t="str">
        <f aca="false">IF($J2229="","",SUMIFS($J$6:$J$2405,$A$6:$A$2405,"&lt;="&amp;$A2229))</f>
        <v/>
      </c>
      <c r="L2229" s="57" t="str">
        <f aca="false">IF($J2229="","",IF($K2229&lt;=BankCostEnvelope*'5. Scenarios'!$C$7,1,0))</f>
        <v/>
      </c>
      <c r="M2229" s="57" t="str">
        <f aca="false">IF($I2229="","",INDEX(BookRate,2224)*(1+'5. Scenarios'!$C$10)*(INDEX(BookQ1,2224)*(5-MIN(4,1+'5. Scenarios'!$C$8))/4+INDEX(BookQ2,2224)*(5-MIN(4,2+'5. Scenarios'!$C$8))/4+INDEX(BookQ3,2224)*(5-MIN(4,3+'5. Scenarios'!$C$8))/4+INDEX(BookQ4,2224)*(5-MIN(4,4+'5. Scenarios'!$C$8))/4)*'5. Scenarios'!$C$6/(1+ProductivityDefault*('5. Scenarios'!$C$11-1))+INDEX(BookOneOff,2224)*$I2229)</f>
        <v/>
      </c>
      <c r="N2229" s="56" t="str">
        <f aca="false">IF(INDEX(BookTitle,2224)="","",INDEX(BookTotal,2224)*'5. Scenarios'!$D$6/(1+ProductivityDefault*('5. Scenarios'!$D$11-1)))</f>
        <v/>
      </c>
      <c r="O2229" s="57" t="str">
        <f aca="false">IF($N2229="","",INDEX(BookRate,2224)*(1+'5. Scenarios'!$D$10)*$N2229)</f>
        <v/>
      </c>
      <c r="P2229" s="57" t="str">
        <f aca="false">IF($O2229="","",SUMIFS($O$6:$O$2405,$A$6:$A$2405,"&lt;="&amp;$A2229))</f>
        <v/>
      </c>
      <c r="Q2229" s="57" t="str">
        <f aca="false">IF($O2229="","",IF($P2229&lt;=BankCostEnvelope*'5. Scenarios'!$D$7,1,0))</f>
        <v/>
      </c>
      <c r="R2229" s="57" t="str">
        <f aca="false">IF($N2229="","",INDEX(BookRate,2224)*(1+'5. Scenarios'!$D$10)*(INDEX(BookQ1,2224)*(5-MIN(4,1+'5. Scenarios'!$D$8))/4+INDEX(BookQ2,2224)*(5-MIN(4,2+'5. Scenarios'!$D$8))/4+INDEX(BookQ3,2224)*(5-MIN(4,3+'5. Scenarios'!$D$8))/4+INDEX(BookQ4,2224)*(5-MIN(4,4+'5. Scenarios'!$D$8))/4)*'5. Scenarios'!$D$6/(1+ProductivityDefault*('5. Scenarios'!$D$11-1))+INDEX(BookOneOff,2224)*$N2229)</f>
        <v/>
      </c>
      <c r="S2229" s="56" t="str">
        <f aca="false">IF(INDEX(BookTitle,2224)="","",INDEX(BookTotal,2224)*'5. Scenarios'!$E$6/(1+ProductivityDefault*('5. Scenarios'!$E$11-1)))</f>
        <v/>
      </c>
      <c r="T2229" s="57" t="str">
        <f aca="false">IF($S2229="","",INDEX(BookRate,2224)*(1+'5. Scenarios'!$E$10)*$S2229)</f>
        <v/>
      </c>
      <c r="U2229" s="57" t="str">
        <f aca="false">IF($T2229="","",SUMIFS($T$6:$T$2405,$A$6:$A$2405,"&lt;="&amp;$A2229))</f>
        <v/>
      </c>
      <c r="V2229" s="57" t="str">
        <f aca="false">IF($T2229="","",IF($U2229&lt;=BankCostEnvelope*'5. Scenarios'!$E$7,1,0))</f>
        <v/>
      </c>
      <c r="W2229" s="57" t="str">
        <f aca="false">IF($S2229="","",INDEX(BookRate,2224)*(1+'5. Scenarios'!$E$10)*(INDEX(BookQ1,2224)*(5-MIN(4,1+'5. Scenarios'!$E$8))/4+INDEX(BookQ2,2224)*(5-MIN(4,2+'5. Scenarios'!$E$8))/4+INDEX(BookQ3,2224)*(5-MIN(4,3+'5. Scenarios'!$E$8))/4+INDEX(BookQ4,2224)*(5-MIN(4,4+'5. Scenarios'!$E$8))/4)*'5. Scenarios'!$E$6/(1+ProductivityDefault*('5. Scenarios'!$E$11-1))+INDEX(BookOneOff,2224)*$S2229)</f>
        <v/>
      </c>
    </row>
    <row r="2230" customFormat="false" ht="15" hidden="false" customHeight="false" outlineLevel="0" collapsed="false">
      <c r="A2230" s="0" t="str">
        <f aca="false">IF(INDEX(BookTitle,2225)="","",INDEX(BookKey,2225))</f>
        <v/>
      </c>
      <c r="B2230" s="0" t="str">
        <f aca="false">IF(INDEX(BookTitle,2225)="","",INDEX(BookGroup,2225))</f>
        <v/>
      </c>
      <c r="C2230" s="0" t="str">
        <f aca="false">IF(INDEX(BookTitle,2225)="","",INDEX(BookCategory,2225))</f>
        <v/>
      </c>
      <c r="D2230" s="56" t="str">
        <f aca="false">IF(INDEX(BookTitle,2225)="","",INDEX(BookTotal,2225)*'5. Scenarios'!$B$6/(1+ProductivityDefault*('5. Scenarios'!$B$11-1)))</f>
        <v/>
      </c>
      <c r="E2230" s="57" t="str">
        <f aca="false">IF($D2230="","",INDEX(BookRate,2225)*(1+'5. Scenarios'!$B$10)*$D2230)</f>
        <v/>
      </c>
      <c r="F2230" s="57" t="str">
        <f aca="false">IF($E2230="","",SUMIFS($E$6:$E$2405,$A$6:$A$2405,"&lt;="&amp;$A2230))</f>
        <v/>
      </c>
      <c r="G2230" s="57" t="str">
        <f aca="false">IF($E2230="","",IF($F2230&lt;=BankCostEnvelope*'5. Scenarios'!$B$7,1,0))</f>
        <v/>
      </c>
      <c r="H2230" s="57" t="str">
        <f aca="false">IF($D2230="","",INDEX(BookRate,2225)*(1+'5. Scenarios'!$B$10)*(INDEX(BookQ1,2225)*(5-MIN(4,1+'5. Scenarios'!$B$8))/4+INDEX(BookQ2,2225)*(5-MIN(4,2+'5. Scenarios'!$B$8))/4+INDEX(BookQ3,2225)*(5-MIN(4,3+'5. Scenarios'!$B$8))/4+INDEX(BookQ4,2225)*(5-MIN(4,4+'5. Scenarios'!$B$8))/4)*'5. Scenarios'!$B$6/(1+ProductivityDefault*('5. Scenarios'!$B$11-1))+INDEX(BookOneOff,2225)*$D2230)</f>
        <v/>
      </c>
      <c r="I2230" s="56" t="str">
        <f aca="false">IF(INDEX(BookTitle,2225)="","",INDEX(BookTotal,2225)*'5. Scenarios'!$C$6/(1+ProductivityDefault*('5. Scenarios'!$C$11-1)))</f>
        <v/>
      </c>
      <c r="J2230" s="57" t="str">
        <f aca="false">IF($I2230="","",INDEX(BookRate,2225)*(1+'5. Scenarios'!$C$10)*$I2230)</f>
        <v/>
      </c>
      <c r="K2230" s="57" t="str">
        <f aca="false">IF($J2230="","",SUMIFS($J$6:$J$2405,$A$6:$A$2405,"&lt;="&amp;$A2230))</f>
        <v/>
      </c>
      <c r="L2230" s="57" t="str">
        <f aca="false">IF($J2230="","",IF($K2230&lt;=BankCostEnvelope*'5. Scenarios'!$C$7,1,0))</f>
        <v/>
      </c>
      <c r="M2230" s="57" t="str">
        <f aca="false">IF($I2230="","",INDEX(BookRate,2225)*(1+'5. Scenarios'!$C$10)*(INDEX(BookQ1,2225)*(5-MIN(4,1+'5. Scenarios'!$C$8))/4+INDEX(BookQ2,2225)*(5-MIN(4,2+'5. Scenarios'!$C$8))/4+INDEX(BookQ3,2225)*(5-MIN(4,3+'5. Scenarios'!$C$8))/4+INDEX(BookQ4,2225)*(5-MIN(4,4+'5. Scenarios'!$C$8))/4)*'5. Scenarios'!$C$6/(1+ProductivityDefault*('5. Scenarios'!$C$11-1))+INDEX(BookOneOff,2225)*$I2230)</f>
        <v/>
      </c>
      <c r="N2230" s="56" t="str">
        <f aca="false">IF(INDEX(BookTitle,2225)="","",INDEX(BookTotal,2225)*'5. Scenarios'!$D$6/(1+ProductivityDefault*('5. Scenarios'!$D$11-1)))</f>
        <v/>
      </c>
      <c r="O2230" s="57" t="str">
        <f aca="false">IF($N2230="","",INDEX(BookRate,2225)*(1+'5. Scenarios'!$D$10)*$N2230)</f>
        <v/>
      </c>
      <c r="P2230" s="57" t="str">
        <f aca="false">IF($O2230="","",SUMIFS($O$6:$O$2405,$A$6:$A$2405,"&lt;="&amp;$A2230))</f>
        <v/>
      </c>
      <c r="Q2230" s="57" t="str">
        <f aca="false">IF($O2230="","",IF($P2230&lt;=BankCostEnvelope*'5. Scenarios'!$D$7,1,0))</f>
        <v/>
      </c>
      <c r="R2230" s="57" t="str">
        <f aca="false">IF($N2230="","",INDEX(BookRate,2225)*(1+'5. Scenarios'!$D$10)*(INDEX(BookQ1,2225)*(5-MIN(4,1+'5. Scenarios'!$D$8))/4+INDEX(BookQ2,2225)*(5-MIN(4,2+'5. Scenarios'!$D$8))/4+INDEX(BookQ3,2225)*(5-MIN(4,3+'5. Scenarios'!$D$8))/4+INDEX(BookQ4,2225)*(5-MIN(4,4+'5. Scenarios'!$D$8))/4)*'5. Scenarios'!$D$6/(1+ProductivityDefault*('5. Scenarios'!$D$11-1))+INDEX(BookOneOff,2225)*$N2230)</f>
        <v/>
      </c>
      <c r="S2230" s="56" t="str">
        <f aca="false">IF(INDEX(BookTitle,2225)="","",INDEX(BookTotal,2225)*'5. Scenarios'!$E$6/(1+ProductivityDefault*('5. Scenarios'!$E$11-1)))</f>
        <v/>
      </c>
      <c r="T2230" s="57" t="str">
        <f aca="false">IF($S2230="","",INDEX(BookRate,2225)*(1+'5. Scenarios'!$E$10)*$S2230)</f>
        <v/>
      </c>
      <c r="U2230" s="57" t="str">
        <f aca="false">IF($T2230="","",SUMIFS($T$6:$T$2405,$A$6:$A$2405,"&lt;="&amp;$A2230))</f>
        <v/>
      </c>
      <c r="V2230" s="57" t="str">
        <f aca="false">IF($T2230="","",IF($U2230&lt;=BankCostEnvelope*'5. Scenarios'!$E$7,1,0))</f>
        <v/>
      </c>
      <c r="W2230" s="57" t="str">
        <f aca="false">IF($S2230="","",INDEX(BookRate,2225)*(1+'5. Scenarios'!$E$10)*(INDEX(BookQ1,2225)*(5-MIN(4,1+'5. Scenarios'!$E$8))/4+INDEX(BookQ2,2225)*(5-MIN(4,2+'5. Scenarios'!$E$8))/4+INDEX(BookQ3,2225)*(5-MIN(4,3+'5. Scenarios'!$E$8))/4+INDEX(BookQ4,2225)*(5-MIN(4,4+'5. Scenarios'!$E$8))/4)*'5. Scenarios'!$E$6/(1+ProductivityDefault*('5. Scenarios'!$E$11-1))+INDEX(BookOneOff,2225)*$S2230)</f>
        <v/>
      </c>
    </row>
    <row r="2231" customFormat="false" ht="15" hidden="false" customHeight="false" outlineLevel="0" collapsed="false">
      <c r="A2231" s="0" t="str">
        <f aca="false">IF(INDEX(BookTitle,2226)="","",INDEX(BookKey,2226))</f>
        <v/>
      </c>
      <c r="B2231" s="0" t="str">
        <f aca="false">IF(INDEX(BookTitle,2226)="","",INDEX(BookGroup,2226))</f>
        <v/>
      </c>
      <c r="C2231" s="0" t="str">
        <f aca="false">IF(INDEX(BookTitle,2226)="","",INDEX(BookCategory,2226))</f>
        <v/>
      </c>
      <c r="D2231" s="56" t="str">
        <f aca="false">IF(INDEX(BookTitle,2226)="","",INDEX(BookTotal,2226)*'5. Scenarios'!$B$6/(1+ProductivityDefault*('5. Scenarios'!$B$11-1)))</f>
        <v/>
      </c>
      <c r="E2231" s="57" t="str">
        <f aca="false">IF($D2231="","",INDEX(BookRate,2226)*(1+'5. Scenarios'!$B$10)*$D2231)</f>
        <v/>
      </c>
      <c r="F2231" s="57" t="str">
        <f aca="false">IF($E2231="","",SUMIFS($E$6:$E$2405,$A$6:$A$2405,"&lt;="&amp;$A2231))</f>
        <v/>
      </c>
      <c r="G2231" s="57" t="str">
        <f aca="false">IF($E2231="","",IF($F2231&lt;=BankCostEnvelope*'5. Scenarios'!$B$7,1,0))</f>
        <v/>
      </c>
      <c r="H2231" s="57" t="str">
        <f aca="false">IF($D2231="","",INDEX(BookRate,2226)*(1+'5. Scenarios'!$B$10)*(INDEX(BookQ1,2226)*(5-MIN(4,1+'5. Scenarios'!$B$8))/4+INDEX(BookQ2,2226)*(5-MIN(4,2+'5. Scenarios'!$B$8))/4+INDEX(BookQ3,2226)*(5-MIN(4,3+'5. Scenarios'!$B$8))/4+INDEX(BookQ4,2226)*(5-MIN(4,4+'5. Scenarios'!$B$8))/4)*'5. Scenarios'!$B$6/(1+ProductivityDefault*('5. Scenarios'!$B$11-1))+INDEX(BookOneOff,2226)*$D2231)</f>
        <v/>
      </c>
      <c r="I2231" s="56" t="str">
        <f aca="false">IF(INDEX(BookTitle,2226)="","",INDEX(BookTotal,2226)*'5. Scenarios'!$C$6/(1+ProductivityDefault*('5. Scenarios'!$C$11-1)))</f>
        <v/>
      </c>
      <c r="J2231" s="57" t="str">
        <f aca="false">IF($I2231="","",INDEX(BookRate,2226)*(1+'5. Scenarios'!$C$10)*$I2231)</f>
        <v/>
      </c>
      <c r="K2231" s="57" t="str">
        <f aca="false">IF($J2231="","",SUMIFS($J$6:$J$2405,$A$6:$A$2405,"&lt;="&amp;$A2231))</f>
        <v/>
      </c>
      <c r="L2231" s="57" t="str">
        <f aca="false">IF($J2231="","",IF($K2231&lt;=BankCostEnvelope*'5. Scenarios'!$C$7,1,0))</f>
        <v/>
      </c>
      <c r="M2231" s="57" t="str">
        <f aca="false">IF($I2231="","",INDEX(BookRate,2226)*(1+'5. Scenarios'!$C$10)*(INDEX(BookQ1,2226)*(5-MIN(4,1+'5. Scenarios'!$C$8))/4+INDEX(BookQ2,2226)*(5-MIN(4,2+'5. Scenarios'!$C$8))/4+INDEX(BookQ3,2226)*(5-MIN(4,3+'5. Scenarios'!$C$8))/4+INDEX(BookQ4,2226)*(5-MIN(4,4+'5. Scenarios'!$C$8))/4)*'5. Scenarios'!$C$6/(1+ProductivityDefault*('5. Scenarios'!$C$11-1))+INDEX(BookOneOff,2226)*$I2231)</f>
        <v/>
      </c>
      <c r="N2231" s="56" t="str">
        <f aca="false">IF(INDEX(BookTitle,2226)="","",INDEX(BookTotal,2226)*'5. Scenarios'!$D$6/(1+ProductivityDefault*('5. Scenarios'!$D$11-1)))</f>
        <v/>
      </c>
      <c r="O2231" s="57" t="str">
        <f aca="false">IF($N2231="","",INDEX(BookRate,2226)*(1+'5. Scenarios'!$D$10)*$N2231)</f>
        <v/>
      </c>
      <c r="P2231" s="57" t="str">
        <f aca="false">IF($O2231="","",SUMIFS($O$6:$O$2405,$A$6:$A$2405,"&lt;="&amp;$A2231))</f>
        <v/>
      </c>
      <c r="Q2231" s="57" t="str">
        <f aca="false">IF($O2231="","",IF($P2231&lt;=BankCostEnvelope*'5. Scenarios'!$D$7,1,0))</f>
        <v/>
      </c>
      <c r="R2231" s="57" t="str">
        <f aca="false">IF($N2231="","",INDEX(BookRate,2226)*(1+'5. Scenarios'!$D$10)*(INDEX(BookQ1,2226)*(5-MIN(4,1+'5. Scenarios'!$D$8))/4+INDEX(BookQ2,2226)*(5-MIN(4,2+'5. Scenarios'!$D$8))/4+INDEX(BookQ3,2226)*(5-MIN(4,3+'5. Scenarios'!$D$8))/4+INDEX(BookQ4,2226)*(5-MIN(4,4+'5. Scenarios'!$D$8))/4)*'5. Scenarios'!$D$6/(1+ProductivityDefault*('5. Scenarios'!$D$11-1))+INDEX(BookOneOff,2226)*$N2231)</f>
        <v/>
      </c>
      <c r="S2231" s="56" t="str">
        <f aca="false">IF(INDEX(BookTitle,2226)="","",INDEX(BookTotal,2226)*'5. Scenarios'!$E$6/(1+ProductivityDefault*('5. Scenarios'!$E$11-1)))</f>
        <v/>
      </c>
      <c r="T2231" s="57" t="str">
        <f aca="false">IF($S2231="","",INDEX(BookRate,2226)*(1+'5. Scenarios'!$E$10)*$S2231)</f>
        <v/>
      </c>
      <c r="U2231" s="57" t="str">
        <f aca="false">IF($T2231="","",SUMIFS($T$6:$T$2405,$A$6:$A$2405,"&lt;="&amp;$A2231))</f>
        <v/>
      </c>
      <c r="V2231" s="57" t="str">
        <f aca="false">IF($T2231="","",IF($U2231&lt;=BankCostEnvelope*'5. Scenarios'!$E$7,1,0))</f>
        <v/>
      </c>
      <c r="W2231" s="57" t="str">
        <f aca="false">IF($S2231="","",INDEX(BookRate,2226)*(1+'5. Scenarios'!$E$10)*(INDEX(BookQ1,2226)*(5-MIN(4,1+'5. Scenarios'!$E$8))/4+INDEX(BookQ2,2226)*(5-MIN(4,2+'5. Scenarios'!$E$8))/4+INDEX(BookQ3,2226)*(5-MIN(4,3+'5. Scenarios'!$E$8))/4+INDEX(BookQ4,2226)*(5-MIN(4,4+'5. Scenarios'!$E$8))/4)*'5. Scenarios'!$E$6/(1+ProductivityDefault*('5. Scenarios'!$E$11-1))+INDEX(BookOneOff,2226)*$S2231)</f>
        <v/>
      </c>
    </row>
    <row r="2232" customFormat="false" ht="15" hidden="false" customHeight="false" outlineLevel="0" collapsed="false">
      <c r="A2232" s="0" t="str">
        <f aca="false">IF(INDEX(BookTitle,2227)="","",INDEX(BookKey,2227))</f>
        <v/>
      </c>
      <c r="B2232" s="0" t="str">
        <f aca="false">IF(INDEX(BookTitle,2227)="","",INDEX(BookGroup,2227))</f>
        <v/>
      </c>
      <c r="C2232" s="0" t="str">
        <f aca="false">IF(INDEX(BookTitle,2227)="","",INDEX(BookCategory,2227))</f>
        <v/>
      </c>
      <c r="D2232" s="56" t="str">
        <f aca="false">IF(INDEX(BookTitle,2227)="","",INDEX(BookTotal,2227)*'5. Scenarios'!$B$6/(1+ProductivityDefault*('5. Scenarios'!$B$11-1)))</f>
        <v/>
      </c>
      <c r="E2232" s="57" t="str">
        <f aca="false">IF($D2232="","",INDEX(BookRate,2227)*(1+'5. Scenarios'!$B$10)*$D2232)</f>
        <v/>
      </c>
      <c r="F2232" s="57" t="str">
        <f aca="false">IF($E2232="","",SUMIFS($E$6:$E$2405,$A$6:$A$2405,"&lt;="&amp;$A2232))</f>
        <v/>
      </c>
      <c r="G2232" s="57" t="str">
        <f aca="false">IF($E2232="","",IF($F2232&lt;=BankCostEnvelope*'5. Scenarios'!$B$7,1,0))</f>
        <v/>
      </c>
      <c r="H2232" s="57" t="str">
        <f aca="false">IF($D2232="","",INDEX(BookRate,2227)*(1+'5. Scenarios'!$B$10)*(INDEX(BookQ1,2227)*(5-MIN(4,1+'5. Scenarios'!$B$8))/4+INDEX(BookQ2,2227)*(5-MIN(4,2+'5. Scenarios'!$B$8))/4+INDEX(BookQ3,2227)*(5-MIN(4,3+'5. Scenarios'!$B$8))/4+INDEX(BookQ4,2227)*(5-MIN(4,4+'5. Scenarios'!$B$8))/4)*'5. Scenarios'!$B$6/(1+ProductivityDefault*('5. Scenarios'!$B$11-1))+INDEX(BookOneOff,2227)*$D2232)</f>
        <v/>
      </c>
      <c r="I2232" s="56" t="str">
        <f aca="false">IF(INDEX(BookTitle,2227)="","",INDEX(BookTotal,2227)*'5. Scenarios'!$C$6/(1+ProductivityDefault*('5. Scenarios'!$C$11-1)))</f>
        <v/>
      </c>
      <c r="J2232" s="57" t="str">
        <f aca="false">IF($I2232="","",INDEX(BookRate,2227)*(1+'5. Scenarios'!$C$10)*$I2232)</f>
        <v/>
      </c>
      <c r="K2232" s="57" t="str">
        <f aca="false">IF($J2232="","",SUMIFS($J$6:$J$2405,$A$6:$A$2405,"&lt;="&amp;$A2232))</f>
        <v/>
      </c>
      <c r="L2232" s="57" t="str">
        <f aca="false">IF($J2232="","",IF($K2232&lt;=BankCostEnvelope*'5. Scenarios'!$C$7,1,0))</f>
        <v/>
      </c>
      <c r="M2232" s="57" t="str">
        <f aca="false">IF($I2232="","",INDEX(BookRate,2227)*(1+'5. Scenarios'!$C$10)*(INDEX(BookQ1,2227)*(5-MIN(4,1+'5. Scenarios'!$C$8))/4+INDEX(BookQ2,2227)*(5-MIN(4,2+'5. Scenarios'!$C$8))/4+INDEX(BookQ3,2227)*(5-MIN(4,3+'5. Scenarios'!$C$8))/4+INDEX(BookQ4,2227)*(5-MIN(4,4+'5. Scenarios'!$C$8))/4)*'5. Scenarios'!$C$6/(1+ProductivityDefault*('5. Scenarios'!$C$11-1))+INDEX(BookOneOff,2227)*$I2232)</f>
        <v/>
      </c>
      <c r="N2232" s="56" t="str">
        <f aca="false">IF(INDEX(BookTitle,2227)="","",INDEX(BookTotal,2227)*'5. Scenarios'!$D$6/(1+ProductivityDefault*('5. Scenarios'!$D$11-1)))</f>
        <v/>
      </c>
      <c r="O2232" s="57" t="str">
        <f aca="false">IF($N2232="","",INDEX(BookRate,2227)*(1+'5. Scenarios'!$D$10)*$N2232)</f>
        <v/>
      </c>
      <c r="P2232" s="57" t="str">
        <f aca="false">IF($O2232="","",SUMIFS($O$6:$O$2405,$A$6:$A$2405,"&lt;="&amp;$A2232))</f>
        <v/>
      </c>
      <c r="Q2232" s="57" t="str">
        <f aca="false">IF($O2232="","",IF($P2232&lt;=BankCostEnvelope*'5. Scenarios'!$D$7,1,0))</f>
        <v/>
      </c>
      <c r="R2232" s="57" t="str">
        <f aca="false">IF($N2232="","",INDEX(BookRate,2227)*(1+'5. Scenarios'!$D$10)*(INDEX(BookQ1,2227)*(5-MIN(4,1+'5. Scenarios'!$D$8))/4+INDEX(BookQ2,2227)*(5-MIN(4,2+'5. Scenarios'!$D$8))/4+INDEX(BookQ3,2227)*(5-MIN(4,3+'5. Scenarios'!$D$8))/4+INDEX(BookQ4,2227)*(5-MIN(4,4+'5. Scenarios'!$D$8))/4)*'5. Scenarios'!$D$6/(1+ProductivityDefault*('5. Scenarios'!$D$11-1))+INDEX(BookOneOff,2227)*$N2232)</f>
        <v/>
      </c>
      <c r="S2232" s="56" t="str">
        <f aca="false">IF(INDEX(BookTitle,2227)="","",INDEX(BookTotal,2227)*'5. Scenarios'!$E$6/(1+ProductivityDefault*('5. Scenarios'!$E$11-1)))</f>
        <v/>
      </c>
      <c r="T2232" s="57" t="str">
        <f aca="false">IF($S2232="","",INDEX(BookRate,2227)*(1+'5. Scenarios'!$E$10)*$S2232)</f>
        <v/>
      </c>
      <c r="U2232" s="57" t="str">
        <f aca="false">IF($T2232="","",SUMIFS($T$6:$T$2405,$A$6:$A$2405,"&lt;="&amp;$A2232))</f>
        <v/>
      </c>
      <c r="V2232" s="57" t="str">
        <f aca="false">IF($T2232="","",IF($U2232&lt;=BankCostEnvelope*'5. Scenarios'!$E$7,1,0))</f>
        <v/>
      </c>
      <c r="W2232" s="57" t="str">
        <f aca="false">IF($S2232="","",INDEX(BookRate,2227)*(1+'5. Scenarios'!$E$10)*(INDEX(BookQ1,2227)*(5-MIN(4,1+'5. Scenarios'!$E$8))/4+INDEX(BookQ2,2227)*(5-MIN(4,2+'5. Scenarios'!$E$8))/4+INDEX(BookQ3,2227)*(5-MIN(4,3+'5. Scenarios'!$E$8))/4+INDEX(BookQ4,2227)*(5-MIN(4,4+'5. Scenarios'!$E$8))/4)*'5. Scenarios'!$E$6/(1+ProductivityDefault*('5. Scenarios'!$E$11-1))+INDEX(BookOneOff,2227)*$S2232)</f>
        <v/>
      </c>
    </row>
    <row r="2233" customFormat="false" ht="15" hidden="false" customHeight="false" outlineLevel="0" collapsed="false">
      <c r="A2233" s="0" t="str">
        <f aca="false">IF(INDEX(BookTitle,2228)="","",INDEX(BookKey,2228))</f>
        <v/>
      </c>
      <c r="B2233" s="0" t="str">
        <f aca="false">IF(INDEX(BookTitle,2228)="","",INDEX(BookGroup,2228))</f>
        <v/>
      </c>
      <c r="C2233" s="0" t="str">
        <f aca="false">IF(INDEX(BookTitle,2228)="","",INDEX(BookCategory,2228))</f>
        <v/>
      </c>
      <c r="D2233" s="56" t="str">
        <f aca="false">IF(INDEX(BookTitle,2228)="","",INDEX(BookTotal,2228)*'5. Scenarios'!$B$6/(1+ProductivityDefault*('5. Scenarios'!$B$11-1)))</f>
        <v/>
      </c>
      <c r="E2233" s="57" t="str">
        <f aca="false">IF($D2233="","",INDEX(BookRate,2228)*(1+'5. Scenarios'!$B$10)*$D2233)</f>
        <v/>
      </c>
      <c r="F2233" s="57" t="str">
        <f aca="false">IF($E2233="","",SUMIFS($E$6:$E$2405,$A$6:$A$2405,"&lt;="&amp;$A2233))</f>
        <v/>
      </c>
      <c r="G2233" s="57" t="str">
        <f aca="false">IF($E2233="","",IF($F2233&lt;=BankCostEnvelope*'5. Scenarios'!$B$7,1,0))</f>
        <v/>
      </c>
      <c r="H2233" s="57" t="str">
        <f aca="false">IF($D2233="","",INDEX(BookRate,2228)*(1+'5. Scenarios'!$B$10)*(INDEX(BookQ1,2228)*(5-MIN(4,1+'5. Scenarios'!$B$8))/4+INDEX(BookQ2,2228)*(5-MIN(4,2+'5. Scenarios'!$B$8))/4+INDEX(BookQ3,2228)*(5-MIN(4,3+'5. Scenarios'!$B$8))/4+INDEX(BookQ4,2228)*(5-MIN(4,4+'5. Scenarios'!$B$8))/4)*'5. Scenarios'!$B$6/(1+ProductivityDefault*('5. Scenarios'!$B$11-1))+INDEX(BookOneOff,2228)*$D2233)</f>
        <v/>
      </c>
      <c r="I2233" s="56" t="str">
        <f aca="false">IF(INDEX(BookTitle,2228)="","",INDEX(BookTotal,2228)*'5. Scenarios'!$C$6/(1+ProductivityDefault*('5. Scenarios'!$C$11-1)))</f>
        <v/>
      </c>
      <c r="J2233" s="57" t="str">
        <f aca="false">IF($I2233="","",INDEX(BookRate,2228)*(1+'5. Scenarios'!$C$10)*$I2233)</f>
        <v/>
      </c>
      <c r="K2233" s="57" t="str">
        <f aca="false">IF($J2233="","",SUMIFS($J$6:$J$2405,$A$6:$A$2405,"&lt;="&amp;$A2233))</f>
        <v/>
      </c>
      <c r="L2233" s="57" t="str">
        <f aca="false">IF($J2233="","",IF($K2233&lt;=BankCostEnvelope*'5. Scenarios'!$C$7,1,0))</f>
        <v/>
      </c>
      <c r="M2233" s="57" t="str">
        <f aca="false">IF($I2233="","",INDEX(BookRate,2228)*(1+'5. Scenarios'!$C$10)*(INDEX(BookQ1,2228)*(5-MIN(4,1+'5. Scenarios'!$C$8))/4+INDEX(BookQ2,2228)*(5-MIN(4,2+'5. Scenarios'!$C$8))/4+INDEX(BookQ3,2228)*(5-MIN(4,3+'5. Scenarios'!$C$8))/4+INDEX(BookQ4,2228)*(5-MIN(4,4+'5. Scenarios'!$C$8))/4)*'5. Scenarios'!$C$6/(1+ProductivityDefault*('5. Scenarios'!$C$11-1))+INDEX(BookOneOff,2228)*$I2233)</f>
        <v/>
      </c>
      <c r="N2233" s="56" t="str">
        <f aca="false">IF(INDEX(BookTitle,2228)="","",INDEX(BookTotal,2228)*'5. Scenarios'!$D$6/(1+ProductivityDefault*('5. Scenarios'!$D$11-1)))</f>
        <v/>
      </c>
      <c r="O2233" s="57" t="str">
        <f aca="false">IF($N2233="","",INDEX(BookRate,2228)*(1+'5. Scenarios'!$D$10)*$N2233)</f>
        <v/>
      </c>
      <c r="P2233" s="57" t="str">
        <f aca="false">IF($O2233="","",SUMIFS($O$6:$O$2405,$A$6:$A$2405,"&lt;="&amp;$A2233))</f>
        <v/>
      </c>
      <c r="Q2233" s="57" t="str">
        <f aca="false">IF($O2233="","",IF($P2233&lt;=BankCostEnvelope*'5. Scenarios'!$D$7,1,0))</f>
        <v/>
      </c>
      <c r="R2233" s="57" t="str">
        <f aca="false">IF($N2233="","",INDEX(BookRate,2228)*(1+'5. Scenarios'!$D$10)*(INDEX(BookQ1,2228)*(5-MIN(4,1+'5. Scenarios'!$D$8))/4+INDEX(BookQ2,2228)*(5-MIN(4,2+'5. Scenarios'!$D$8))/4+INDEX(BookQ3,2228)*(5-MIN(4,3+'5. Scenarios'!$D$8))/4+INDEX(BookQ4,2228)*(5-MIN(4,4+'5. Scenarios'!$D$8))/4)*'5. Scenarios'!$D$6/(1+ProductivityDefault*('5. Scenarios'!$D$11-1))+INDEX(BookOneOff,2228)*$N2233)</f>
        <v/>
      </c>
      <c r="S2233" s="56" t="str">
        <f aca="false">IF(INDEX(BookTitle,2228)="","",INDEX(BookTotal,2228)*'5. Scenarios'!$E$6/(1+ProductivityDefault*('5. Scenarios'!$E$11-1)))</f>
        <v/>
      </c>
      <c r="T2233" s="57" t="str">
        <f aca="false">IF($S2233="","",INDEX(BookRate,2228)*(1+'5. Scenarios'!$E$10)*$S2233)</f>
        <v/>
      </c>
      <c r="U2233" s="57" t="str">
        <f aca="false">IF($T2233="","",SUMIFS($T$6:$T$2405,$A$6:$A$2405,"&lt;="&amp;$A2233))</f>
        <v/>
      </c>
      <c r="V2233" s="57" t="str">
        <f aca="false">IF($T2233="","",IF($U2233&lt;=BankCostEnvelope*'5. Scenarios'!$E$7,1,0))</f>
        <v/>
      </c>
      <c r="W2233" s="57" t="str">
        <f aca="false">IF($S2233="","",INDEX(BookRate,2228)*(1+'5. Scenarios'!$E$10)*(INDEX(BookQ1,2228)*(5-MIN(4,1+'5. Scenarios'!$E$8))/4+INDEX(BookQ2,2228)*(5-MIN(4,2+'5. Scenarios'!$E$8))/4+INDEX(BookQ3,2228)*(5-MIN(4,3+'5. Scenarios'!$E$8))/4+INDEX(BookQ4,2228)*(5-MIN(4,4+'5. Scenarios'!$E$8))/4)*'5. Scenarios'!$E$6/(1+ProductivityDefault*('5. Scenarios'!$E$11-1))+INDEX(BookOneOff,2228)*$S2233)</f>
        <v/>
      </c>
    </row>
    <row r="2234" customFormat="false" ht="15" hidden="false" customHeight="false" outlineLevel="0" collapsed="false">
      <c r="A2234" s="0" t="str">
        <f aca="false">IF(INDEX(BookTitle,2229)="","",INDEX(BookKey,2229))</f>
        <v/>
      </c>
      <c r="B2234" s="0" t="str">
        <f aca="false">IF(INDEX(BookTitle,2229)="","",INDEX(BookGroup,2229))</f>
        <v/>
      </c>
      <c r="C2234" s="0" t="str">
        <f aca="false">IF(INDEX(BookTitle,2229)="","",INDEX(BookCategory,2229))</f>
        <v/>
      </c>
      <c r="D2234" s="56" t="str">
        <f aca="false">IF(INDEX(BookTitle,2229)="","",INDEX(BookTotal,2229)*'5. Scenarios'!$B$6/(1+ProductivityDefault*('5. Scenarios'!$B$11-1)))</f>
        <v/>
      </c>
      <c r="E2234" s="57" t="str">
        <f aca="false">IF($D2234="","",INDEX(BookRate,2229)*(1+'5. Scenarios'!$B$10)*$D2234)</f>
        <v/>
      </c>
      <c r="F2234" s="57" t="str">
        <f aca="false">IF($E2234="","",SUMIFS($E$6:$E$2405,$A$6:$A$2405,"&lt;="&amp;$A2234))</f>
        <v/>
      </c>
      <c r="G2234" s="57" t="str">
        <f aca="false">IF($E2234="","",IF($F2234&lt;=BankCostEnvelope*'5. Scenarios'!$B$7,1,0))</f>
        <v/>
      </c>
      <c r="H2234" s="57" t="str">
        <f aca="false">IF($D2234="","",INDEX(BookRate,2229)*(1+'5. Scenarios'!$B$10)*(INDEX(BookQ1,2229)*(5-MIN(4,1+'5. Scenarios'!$B$8))/4+INDEX(BookQ2,2229)*(5-MIN(4,2+'5. Scenarios'!$B$8))/4+INDEX(BookQ3,2229)*(5-MIN(4,3+'5. Scenarios'!$B$8))/4+INDEX(BookQ4,2229)*(5-MIN(4,4+'5. Scenarios'!$B$8))/4)*'5. Scenarios'!$B$6/(1+ProductivityDefault*('5. Scenarios'!$B$11-1))+INDEX(BookOneOff,2229)*$D2234)</f>
        <v/>
      </c>
      <c r="I2234" s="56" t="str">
        <f aca="false">IF(INDEX(BookTitle,2229)="","",INDEX(BookTotal,2229)*'5. Scenarios'!$C$6/(1+ProductivityDefault*('5. Scenarios'!$C$11-1)))</f>
        <v/>
      </c>
      <c r="J2234" s="57" t="str">
        <f aca="false">IF($I2234="","",INDEX(BookRate,2229)*(1+'5. Scenarios'!$C$10)*$I2234)</f>
        <v/>
      </c>
      <c r="K2234" s="57" t="str">
        <f aca="false">IF($J2234="","",SUMIFS($J$6:$J$2405,$A$6:$A$2405,"&lt;="&amp;$A2234))</f>
        <v/>
      </c>
      <c r="L2234" s="57" t="str">
        <f aca="false">IF($J2234="","",IF($K2234&lt;=BankCostEnvelope*'5. Scenarios'!$C$7,1,0))</f>
        <v/>
      </c>
      <c r="M2234" s="57" t="str">
        <f aca="false">IF($I2234="","",INDEX(BookRate,2229)*(1+'5. Scenarios'!$C$10)*(INDEX(BookQ1,2229)*(5-MIN(4,1+'5. Scenarios'!$C$8))/4+INDEX(BookQ2,2229)*(5-MIN(4,2+'5. Scenarios'!$C$8))/4+INDEX(BookQ3,2229)*(5-MIN(4,3+'5. Scenarios'!$C$8))/4+INDEX(BookQ4,2229)*(5-MIN(4,4+'5. Scenarios'!$C$8))/4)*'5. Scenarios'!$C$6/(1+ProductivityDefault*('5. Scenarios'!$C$11-1))+INDEX(BookOneOff,2229)*$I2234)</f>
        <v/>
      </c>
      <c r="N2234" s="56" t="str">
        <f aca="false">IF(INDEX(BookTitle,2229)="","",INDEX(BookTotal,2229)*'5. Scenarios'!$D$6/(1+ProductivityDefault*('5. Scenarios'!$D$11-1)))</f>
        <v/>
      </c>
      <c r="O2234" s="57" t="str">
        <f aca="false">IF($N2234="","",INDEX(BookRate,2229)*(1+'5. Scenarios'!$D$10)*$N2234)</f>
        <v/>
      </c>
      <c r="P2234" s="57" t="str">
        <f aca="false">IF($O2234="","",SUMIFS($O$6:$O$2405,$A$6:$A$2405,"&lt;="&amp;$A2234))</f>
        <v/>
      </c>
      <c r="Q2234" s="57" t="str">
        <f aca="false">IF($O2234="","",IF($P2234&lt;=BankCostEnvelope*'5. Scenarios'!$D$7,1,0))</f>
        <v/>
      </c>
      <c r="R2234" s="57" t="str">
        <f aca="false">IF($N2234="","",INDEX(BookRate,2229)*(1+'5. Scenarios'!$D$10)*(INDEX(BookQ1,2229)*(5-MIN(4,1+'5. Scenarios'!$D$8))/4+INDEX(BookQ2,2229)*(5-MIN(4,2+'5. Scenarios'!$D$8))/4+INDEX(BookQ3,2229)*(5-MIN(4,3+'5. Scenarios'!$D$8))/4+INDEX(BookQ4,2229)*(5-MIN(4,4+'5. Scenarios'!$D$8))/4)*'5. Scenarios'!$D$6/(1+ProductivityDefault*('5. Scenarios'!$D$11-1))+INDEX(BookOneOff,2229)*$N2234)</f>
        <v/>
      </c>
      <c r="S2234" s="56" t="str">
        <f aca="false">IF(INDEX(BookTitle,2229)="","",INDEX(BookTotal,2229)*'5. Scenarios'!$E$6/(1+ProductivityDefault*('5. Scenarios'!$E$11-1)))</f>
        <v/>
      </c>
      <c r="T2234" s="57" t="str">
        <f aca="false">IF($S2234="","",INDEX(BookRate,2229)*(1+'5. Scenarios'!$E$10)*$S2234)</f>
        <v/>
      </c>
      <c r="U2234" s="57" t="str">
        <f aca="false">IF($T2234="","",SUMIFS($T$6:$T$2405,$A$6:$A$2405,"&lt;="&amp;$A2234))</f>
        <v/>
      </c>
      <c r="V2234" s="57" t="str">
        <f aca="false">IF($T2234="","",IF($U2234&lt;=BankCostEnvelope*'5. Scenarios'!$E$7,1,0))</f>
        <v/>
      </c>
      <c r="W2234" s="57" t="str">
        <f aca="false">IF($S2234="","",INDEX(BookRate,2229)*(1+'5. Scenarios'!$E$10)*(INDEX(BookQ1,2229)*(5-MIN(4,1+'5. Scenarios'!$E$8))/4+INDEX(BookQ2,2229)*(5-MIN(4,2+'5. Scenarios'!$E$8))/4+INDEX(BookQ3,2229)*(5-MIN(4,3+'5. Scenarios'!$E$8))/4+INDEX(BookQ4,2229)*(5-MIN(4,4+'5. Scenarios'!$E$8))/4)*'5. Scenarios'!$E$6/(1+ProductivityDefault*('5. Scenarios'!$E$11-1))+INDEX(BookOneOff,2229)*$S2234)</f>
        <v/>
      </c>
    </row>
    <row r="2235" customFormat="false" ht="15" hidden="false" customHeight="false" outlineLevel="0" collapsed="false">
      <c r="A2235" s="0" t="str">
        <f aca="false">IF(INDEX(BookTitle,2230)="","",INDEX(BookKey,2230))</f>
        <v/>
      </c>
      <c r="B2235" s="0" t="str">
        <f aca="false">IF(INDEX(BookTitle,2230)="","",INDEX(BookGroup,2230))</f>
        <v/>
      </c>
      <c r="C2235" s="0" t="str">
        <f aca="false">IF(INDEX(BookTitle,2230)="","",INDEX(BookCategory,2230))</f>
        <v/>
      </c>
      <c r="D2235" s="56" t="str">
        <f aca="false">IF(INDEX(BookTitle,2230)="","",INDEX(BookTotal,2230)*'5. Scenarios'!$B$6/(1+ProductivityDefault*('5. Scenarios'!$B$11-1)))</f>
        <v/>
      </c>
      <c r="E2235" s="57" t="str">
        <f aca="false">IF($D2235="","",INDEX(BookRate,2230)*(1+'5. Scenarios'!$B$10)*$D2235)</f>
        <v/>
      </c>
      <c r="F2235" s="57" t="str">
        <f aca="false">IF($E2235="","",SUMIFS($E$6:$E$2405,$A$6:$A$2405,"&lt;="&amp;$A2235))</f>
        <v/>
      </c>
      <c r="G2235" s="57" t="str">
        <f aca="false">IF($E2235="","",IF($F2235&lt;=BankCostEnvelope*'5. Scenarios'!$B$7,1,0))</f>
        <v/>
      </c>
      <c r="H2235" s="57" t="str">
        <f aca="false">IF($D2235="","",INDEX(BookRate,2230)*(1+'5. Scenarios'!$B$10)*(INDEX(BookQ1,2230)*(5-MIN(4,1+'5. Scenarios'!$B$8))/4+INDEX(BookQ2,2230)*(5-MIN(4,2+'5. Scenarios'!$B$8))/4+INDEX(BookQ3,2230)*(5-MIN(4,3+'5. Scenarios'!$B$8))/4+INDEX(BookQ4,2230)*(5-MIN(4,4+'5. Scenarios'!$B$8))/4)*'5. Scenarios'!$B$6/(1+ProductivityDefault*('5. Scenarios'!$B$11-1))+INDEX(BookOneOff,2230)*$D2235)</f>
        <v/>
      </c>
      <c r="I2235" s="56" t="str">
        <f aca="false">IF(INDEX(BookTitle,2230)="","",INDEX(BookTotal,2230)*'5. Scenarios'!$C$6/(1+ProductivityDefault*('5. Scenarios'!$C$11-1)))</f>
        <v/>
      </c>
      <c r="J2235" s="57" t="str">
        <f aca="false">IF($I2235="","",INDEX(BookRate,2230)*(1+'5. Scenarios'!$C$10)*$I2235)</f>
        <v/>
      </c>
      <c r="K2235" s="57" t="str">
        <f aca="false">IF($J2235="","",SUMIFS($J$6:$J$2405,$A$6:$A$2405,"&lt;="&amp;$A2235))</f>
        <v/>
      </c>
      <c r="L2235" s="57" t="str">
        <f aca="false">IF($J2235="","",IF($K2235&lt;=BankCostEnvelope*'5. Scenarios'!$C$7,1,0))</f>
        <v/>
      </c>
      <c r="M2235" s="57" t="str">
        <f aca="false">IF($I2235="","",INDEX(BookRate,2230)*(1+'5. Scenarios'!$C$10)*(INDEX(BookQ1,2230)*(5-MIN(4,1+'5. Scenarios'!$C$8))/4+INDEX(BookQ2,2230)*(5-MIN(4,2+'5. Scenarios'!$C$8))/4+INDEX(BookQ3,2230)*(5-MIN(4,3+'5. Scenarios'!$C$8))/4+INDEX(BookQ4,2230)*(5-MIN(4,4+'5. Scenarios'!$C$8))/4)*'5. Scenarios'!$C$6/(1+ProductivityDefault*('5. Scenarios'!$C$11-1))+INDEX(BookOneOff,2230)*$I2235)</f>
        <v/>
      </c>
      <c r="N2235" s="56" t="str">
        <f aca="false">IF(INDEX(BookTitle,2230)="","",INDEX(BookTotal,2230)*'5. Scenarios'!$D$6/(1+ProductivityDefault*('5. Scenarios'!$D$11-1)))</f>
        <v/>
      </c>
      <c r="O2235" s="57" t="str">
        <f aca="false">IF($N2235="","",INDEX(BookRate,2230)*(1+'5. Scenarios'!$D$10)*$N2235)</f>
        <v/>
      </c>
      <c r="P2235" s="57" t="str">
        <f aca="false">IF($O2235="","",SUMIFS($O$6:$O$2405,$A$6:$A$2405,"&lt;="&amp;$A2235))</f>
        <v/>
      </c>
      <c r="Q2235" s="57" t="str">
        <f aca="false">IF($O2235="","",IF($P2235&lt;=BankCostEnvelope*'5. Scenarios'!$D$7,1,0))</f>
        <v/>
      </c>
      <c r="R2235" s="57" t="str">
        <f aca="false">IF($N2235="","",INDEX(BookRate,2230)*(1+'5. Scenarios'!$D$10)*(INDEX(BookQ1,2230)*(5-MIN(4,1+'5. Scenarios'!$D$8))/4+INDEX(BookQ2,2230)*(5-MIN(4,2+'5. Scenarios'!$D$8))/4+INDEX(BookQ3,2230)*(5-MIN(4,3+'5. Scenarios'!$D$8))/4+INDEX(BookQ4,2230)*(5-MIN(4,4+'5. Scenarios'!$D$8))/4)*'5. Scenarios'!$D$6/(1+ProductivityDefault*('5. Scenarios'!$D$11-1))+INDEX(BookOneOff,2230)*$N2235)</f>
        <v/>
      </c>
      <c r="S2235" s="56" t="str">
        <f aca="false">IF(INDEX(BookTitle,2230)="","",INDEX(BookTotal,2230)*'5. Scenarios'!$E$6/(1+ProductivityDefault*('5. Scenarios'!$E$11-1)))</f>
        <v/>
      </c>
      <c r="T2235" s="57" t="str">
        <f aca="false">IF($S2235="","",INDEX(BookRate,2230)*(1+'5. Scenarios'!$E$10)*$S2235)</f>
        <v/>
      </c>
      <c r="U2235" s="57" t="str">
        <f aca="false">IF($T2235="","",SUMIFS($T$6:$T$2405,$A$6:$A$2405,"&lt;="&amp;$A2235))</f>
        <v/>
      </c>
      <c r="V2235" s="57" t="str">
        <f aca="false">IF($T2235="","",IF($U2235&lt;=BankCostEnvelope*'5. Scenarios'!$E$7,1,0))</f>
        <v/>
      </c>
      <c r="W2235" s="57" t="str">
        <f aca="false">IF($S2235="","",INDEX(BookRate,2230)*(1+'5. Scenarios'!$E$10)*(INDEX(BookQ1,2230)*(5-MIN(4,1+'5. Scenarios'!$E$8))/4+INDEX(BookQ2,2230)*(5-MIN(4,2+'5. Scenarios'!$E$8))/4+INDEX(BookQ3,2230)*(5-MIN(4,3+'5. Scenarios'!$E$8))/4+INDEX(BookQ4,2230)*(5-MIN(4,4+'5. Scenarios'!$E$8))/4)*'5. Scenarios'!$E$6/(1+ProductivityDefault*('5. Scenarios'!$E$11-1))+INDEX(BookOneOff,2230)*$S2235)</f>
        <v/>
      </c>
    </row>
    <row r="2236" customFormat="false" ht="15" hidden="false" customHeight="false" outlineLevel="0" collapsed="false">
      <c r="A2236" s="0" t="str">
        <f aca="false">IF(INDEX(BookTitle,2231)="","",INDEX(BookKey,2231))</f>
        <v/>
      </c>
      <c r="B2236" s="0" t="str">
        <f aca="false">IF(INDEX(BookTitle,2231)="","",INDEX(BookGroup,2231))</f>
        <v/>
      </c>
      <c r="C2236" s="0" t="str">
        <f aca="false">IF(INDEX(BookTitle,2231)="","",INDEX(BookCategory,2231))</f>
        <v/>
      </c>
      <c r="D2236" s="56" t="str">
        <f aca="false">IF(INDEX(BookTitle,2231)="","",INDEX(BookTotal,2231)*'5. Scenarios'!$B$6/(1+ProductivityDefault*('5. Scenarios'!$B$11-1)))</f>
        <v/>
      </c>
      <c r="E2236" s="57" t="str">
        <f aca="false">IF($D2236="","",INDEX(BookRate,2231)*(1+'5. Scenarios'!$B$10)*$D2236)</f>
        <v/>
      </c>
      <c r="F2236" s="57" t="str">
        <f aca="false">IF($E2236="","",SUMIFS($E$6:$E$2405,$A$6:$A$2405,"&lt;="&amp;$A2236))</f>
        <v/>
      </c>
      <c r="G2236" s="57" t="str">
        <f aca="false">IF($E2236="","",IF($F2236&lt;=BankCostEnvelope*'5. Scenarios'!$B$7,1,0))</f>
        <v/>
      </c>
      <c r="H2236" s="57" t="str">
        <f aca="false">IF($D2236="","",INDEX(BookRate,2231)*(1+'5. Scenarios'!$B$10)*(INDEX(BookQ1,2231)*(5-MIN(4,1+'5. Scenarios'!$B$8))/4+INDEX(BookQ2,2231)*(5-MIN(4,2+'5. Scenarios'!$B$8))/4+INDEX(BookQ3,2231)*(5-MIN(4,3+'5. Scenarios'!$B$8))/4+INDEX(BookQ4,2231)*(5-MIN(4,4+'5. Scenarios'!$B$8))/4)*'5. Scenarios'!$B$6/(1+ProductivityDefault*('5. Scenarios'!$B$11-1))+INDEX(BookOneOff,2231)*$D2236)</f>
        <v/>
      </c>
      <c r="I2236" s="56" t="str">
        <f aca="false">IF(INDEX(BookTitle,2231)="","",INDEX(BookTotal,2231)*'5. Scenarios'!$C$6/(1+ProductivityDefault*('5. Scenarios'!$C$11-1)))</f>
        <v/>
      </c>
      <c r="J2236" s="57" t="str">
        <f aca="false">IF($I2236="","",INDEX(BookRate,2231)*(1+'5. Scenarios'!$C$10)*$I2236)</f>
        <v/>
      </c>
      <c r="K2236" s="57" t="str">
        <f aca="false">IF($J2236="","",SUMIFS($J$6:$J$2405,$A$6:$A$2405,"&lt;="&amp;$A2236))</f>
        <v/>
      </c>
      <c r="L2236" s="57" t="str">
        <f aca="false">IF($J2236="","",IF($K2236&lt;=BankCostEnvelope*'5. Scenarios'!$C$7,1,0))</f>
        <v/>
      </c>
      <c r="M2236" s="57" t="str">
        <f aca="false">IF($I2236="","",INDEX(BookRate,2231)*(1+'5. Scenarios'!$C$10)*(INDEX(BookQ1,2231)*(5-MIN(4,1+'5. Scenarios'!$C$8))/4+INDEX(BookQ2,2231)*(5-MIN(4,2+'5. Scenarios'!$C$8))/4+INDEX(BookQ3,2231)*(5-MIN(4,3+'5. Scenarios'!$C$8))/4+INDEX(BookQ4,2231)*(5-MIN(4,4+'5. Scenarios'!$C$8))/4)*'5. Scenarios'!$C$6/(1+ProductivityDefault*('5. Scenarios'!$C$11-1))+INDEX(BookOneOff,2231)*$I2236)</f>
        <v/>
      </c>
      <c r="N2236" s="56" t="str">
        <f aca="false">IF(INDEX(BookTitle,2231)="","",INDEX(BookTotal,2231)*'5. Scenarios'!$D$6/(1+ProductivityDefault*('5. Scenarios'!$D$11-1)))</f>
        <v/>
      </c>
      <c r="O2236" s="57" t="str">
        <f aca="false">IF($N2236="","",INDEX(BookRate,2231)*(1+'5. Scenarios'!$D$10)*$N2236)</f>
        <v/>
      </c>
      <c r="P2236" s="57" t="str">
        <f aca="false">IF($O2236="","",SUMIFS($O$6:$O$2405,$A$6:$A$2405,"&lt;="&amp;$A2236))</f>
        <v/>
      </c>
      <c r="Q2236" s="57" t="str">
        <f aca="false">IF($O2236="","",IF($P2236&lt;=BankCostEnvelope*'5. Scenarios'!$D$7,1,0))</f>
        <v/>
      </c>
      <c r="R2236" s="57" t="str">
        <f aca="false">IF($N2236="","",INDEX(BookRate,2231)*(1+'5. Scenarios'!$D$10)*(INDEX(BookQ1,2231)*(5-MIN(4,1+'5. Scenarios'!$D$8))/4+INDEX(BookQ2,2231)*(5-MIN(4,2+'5. Scenarios'!$D$8))/4+INDEX(BookQ3,2231)*(5-MIN(4,3+'5. Scenarios'!$D$8))/4+INDEX(BookQ4,2231)*(5-MIN(4,4+'5. Scenarios'!$D$8))/4)*'5. Scenarios'!$D$6/(1+ProductivityDefault*('5. Scenarios'!$D$11-1))+INDEX(BookOneOff,2231)*$N2236)</f>
        <v/>
      </c>
      <c r="S2236" s="56" t="str">
        <f aca="false">IF(INDEX(BookTitle,2231)="","",INDEX(BookTotal,2231)*'5. Scenarios'!$E$6/(1+ProductivityDefault*('5. Scenarios'!$E$11-1)))</f>
        <v/>
      </c>
      <c r="T2236" s="57" t="str">
        <f aca="false">IF($S2236="","",INDEX(BookRate,2231)*(1+'5. Scenarios'!$E$10)*$S2236)</f>
        <v/>
      </c>
      <c r="U2236" s="57" t="str">
        <f aca="false">IF($T2236="","",SUMIFS($T$6:$T$2405,$A$6:$A$2405,"&lt;="&amp;$A2236))</f>
        <v/>
      </c>
      <c r="V2236" s="57" t="str">
        <f aca="false">IF($T2236="","",IF($U2236&lt;=BankCostEnvelope*'5. Scenarios'!$E$7,1,0))</f>
        <v/>
      </c>
      <c r="W2236" s="57" t="str">
        <f aca="false">IF($S2236="","",INDEX(BookRate,2231)*(1+'5. Scenarios'!$E$10)*(INDEX(BookQ1,2231)*(5-MIN(4,1+'5. Scenarios'!$E$8))/4+INDEX(BookQ2,2231)*(5-MIN(4,2+'5. Scenarios'!$E$8))/4+INDEX(BookQ3,2231)*(5-MIN(4,3+'5. Scenarios'!$E$8))/4+INDEX(BookQ4,2231)*(5-MIN(4,4+'5. Scenarios'!$E$8))/4)*'5. Scenarios'!$E$6/(1+ProductivityDefault*('5. Scenarios'!$E$11-1))+INDEX(BookOneOff,2231)*$S2236)</f>
        <v/>
      </c>
    </row>
    <row r="2237" customFormat="false" ht="15" hidden="false" customHeight="false" outlineLevel="0" collapsed="false">
      <c r="A2237" s="0" t="str">
        <f aca="false">IF(INDEX(BookTitle,2232)="","",INDEX(BookKey,2232))</f>
        <v/>
      </c>
      <c r="B2237" s="0" t="str">
        <f aca="false">IF(INDEX(BookTitle,2232)="","",INDEX(BookGroup,2232))</f>
        <v/>
      </c>
      <c r="C2237" s="0" t="str">
        <f aca="false">IF(INDEX(BookTitle,2232)="","",INDEX(BookCategory,2232))</f>
        <v/>
      </c>
      <c r="D2237" s="56" t="str">
        <f aca="false">IF(INDEX(BookTitle,2232)="","",INDEX(BookTotal,2232)*'5. Scenarios'!$B$6/(1+ProductivityDefault*('5. Scenarios'!$B$11-1)))</f>
        <v/>
      </c>
      <c r="E2237" s="57" t="str">
        <f aca="false">IF($D2237="","",INDEX(BookRate,2232)*(1+'5. Scenarios'!$B$10)*$D2237)</f>
        <v/>
      </c>
      <c r="F2237" s="57" t="str">
        <f aca="false">IF($E2237="","",SUMIFS($E$6:$E$2405,$A$6:$A$2405,"&lt;="&amp;$A2237))</f>
        <v/>
      </c>
      <c r="G2237" s="57" t="str">
        <f aca="false">IF($E2237="","",IF($F2237&lt;=BankCostEnvelope*'5. Scenarios'!$B$7,1,0))</f>
        <v/>
      </c>
      <c r="H2237" s="57" t="str">
        <f aca="false">IF($D2237="","",INDEX(BookRate,2232)*(1+'5. Scenarios'!$B$10)*(INDEX(BookQ1,2232)*(5-MIN(4,1+'5. Scenarios'!$B$8))/4+INDEX(BookQ2,2232)*(5-MIN(4,2+'5. Scenarios'!$B$8))/4+INDEX(BookQ3,2232)*(5-MIN(4,3+'5. Scenarios'!$B$8))/4+INDEX(BookQ4,2232)*(5-MIN(4,4+'5. Scenarios'!$B$8))/4)*'5. Scenarios'!$B$6/(1+ProductivityDefault*('5. Scenarios'!$B$11-1))+INDEX(BookOneOff,2232)*$D2237)</f>
        <v/>
      </c>
      <c r="I2237" s="56" t="str">
        <f aca="false">IF(INDEX(BookTitle,2232)="","",INDEX(BookTotal,2232)*'5. Scenarios'!$C$6/(1+ProductivityDefault*('5. Scenarios'!$C$11-1)))</f>
        <v/>
      </c>
      <c r="J2237" s="57" t="str">
        <f aca="false">IF($I2237="","",INDEX(BookRate,2232)*(1+'5. Scenarios'!$C$10)*$I2237)</f>
        <v/>
      </c>
      <c r="K2237" s="57" t="str">
        <f aca="false">IF($J2237="","",SUMIFS($J$6:$J$2405,$A$6:$A$2405,"&lt;="&amp;$A2237))</f>
        <v/>
      </c>
      <c r="L2237" s="57" t="str">
        <f aca="false">IF($J2237="","",IF($K2237&lt;=BankCostEnvelope*'5. Scenarios'!$C$7,1,0))</f>
        <v/>
      </c>
      <c r="M2237" s="57" t="str">
        <f aca="false">IF($I2237="","",INDEX(BookRate,2232)*(1+'5. Scenarios'!$C$10)*(INDEX(BookQ1,2232)*(5-MIN(4,1+'5. Scenarios'!$C$8))/4+INDEX(BookQ2,2232)*(5-MIN(4,2+'5. Scenarios'!$C$8))/4+INDEX(BookQ3,2232)*(5-MIN(4,3+'5. Scenarios'!$C$8))/4+INDEX(BookQ4,2232)*(5-MIN(4,4+'5. Scenarios'!$C$8))/4)*'5. Scenarios'!$C$6/(1+ProductivityDefault*('5. Scenarios'!$C$11-1))+INDEX(BookOneOff,2232)*$I2237)</f>
        <v/>
      </c>
      <c r="N2237" s="56" t="str">
        <f aca="false">IF(INDEX(BookTitle,2232)="","",INDEX(BookTotal,2232)*'5. Scenarios'!$D$6/(1+ProductivityDefault*('5. Scenarios'!$D$11-1)))</f>
        <v/>
      </c>
      <c r="O2237" s="57" t="str">
        <f aca="false">IF($N2237="","",INDEX(BookRate,2232)*(1+'5. Scenarios'!$D$10)*$N2237)</f>
        <v/>
      </c>
      <c r="P2237" s="57" t="str">
        <f aca="false">IF($O2237="","",SUMIFS($O$6:$O$2405,$A$6:$A$2405,"&lt;="&amp;$A2237))</f>
        <v/>
      </c>
      <c r="Q2237" s="57" t="str">
        <f aca="false">IF($O2237="","",IF($P2237&lt;=BankCostEnvelope*'5. Scenarios'!$D$7,1,0))</f>
        <v/>
      </c>
      <c r="R2237" s="57" t="str">
        <f aca="false">IF($N2237="","",INDEX(BookRate,2232)*(1+'5. Scenarios'!$D$10)*(INDEX(BookQ1,2232)*(5-MIN(4,1+'5. Scenarios'!$D$8))/4+INDEX(BookQ2,2232)*(5-MIN(4,2+'5. Scenarios'!$D$8))/4+INDEX(BookQ3,2232)*(5-MIN(4,3+'5. Scenarios'!$D$8))/4+INDEX(BookQ4,2232)*(5-MIN(4,4+'5. Scenarios'!$D$8))/4)*'5. Scenarios'!$D$6/(1+ProductivityDefault*('5. Scenarios'!$D$11-1))+INDEX(BookOneOff,2232)*$N2237)</f>
        <v/>
      </c>
      <c r="S2237" s="56" t="str">
        <f aca="false">IF(INDEX(BookTitle,2232)="","",INDEX(BookTotal,2232)*'5. Scenarios'!$E$6/(1+ProductivityDefault*('5. Scenarios'!$E$11-1)))</f>
        <v/>
      </c>
      <c r="T2237" s="57" t="str">
        <f aca="false">IF($S2237="","",INDEX(BookRate,2232)*(1+'5. Scenarios'!$E$10)*$S2237)</f>
        <v/>
      </c>
      <c r="U2237" s="57" t="str">
        <f aca="false">IF($T2237="","",SUMIFS($T$6:$T$2405,$A$6:$A$2405,"&lt;="&amp;$A2237))</f>
        <v/>
      </c>
      <c r="V2237" s="57" t="str">
        <f aca="false">IF($T2237="","",IF($U2237&lt;=BankCostEnvelope*'5. Scenarios'!$E$7,1,0))</f>
        <v/>
      </c>
      <c r="W2237" s="57" t="str">
        <f aca="false">IF($S2237="","",INDEX(BookRate,2232)*(1+'5. Scenarios'!$E$10)*(INDEX(BookQ1,2232)*(5-MIN(4,1+'5. Scenarios'!$E$8))/4+INDEX(BookQ2,2232)*(5-MIN(4,2+'5. Scenarios'!$E$8))/4+INDEX(BookQ3,2232)*(5-MIN(4,3+'5. Scenarios'!$E$8))/4+INDEX(BookQ4,2232)*(5-MIN(4,4+'5. Scenarios'!$E$8))/4)*'5. Scenarios'!$E$6/(1+ProductivityDefault*('5. Scenarios'!$E$11-1))+INDEX(BookOneOff,2232)*$S2237)</f>
        <v/>
      </c>
    </row>
    <row r="2238" customFormat="false" ht="15" hidden="false" customHeight="false" outlineLevel="0" collapsed="false">
      <c r="A2238" s="0" t="str">
        <f aca="false">IF(INDEX(BookTitle,2233)="","",INDEX(BookKey,2233))</f>
        <v/>
      </c>
      <c r="B2238" s="0" t="str">
        <f aca="false">IF(INDEX(BookTitle,2233)="","",INDEX(BookGroup,2233))</f>
        <v/>
      </c>
      <c r="C2238" s="0" t="str">
        <f aca="false">IF(INDEX(BookTitle,2233)="","",INDEX(BookCategory,2233))</f>
        <v/>
      </c>
      <c r="D2238" s="56" t="str">
        <f aca="false">IF(INDEX(BookTitle,2233)="","",INDEX(BookTotal,2233)*'5. Scenarios'!$B$6/(1+ProductivityDefault*('5. Scenarios'!$B$11-1)))</f>
        <v/>
      </c>
      <c r="E2238" s="57" t="str">
        <f aca="false">IF($D2238="","",INDEX(BookRate,2233)*(1+'5. Scenarios'!$B$10)*$D2238)</f>
        <v/>
      </c>
      <c r="F2238" s="57" t="str">
        <f aca="false">IF($E2238="","",SUMIFS($E$6:$E$2405,$A$6:$A$2405,"&lt;="&amp;$A2238))</f>
        <v/>
      </c>
      <c r="G2238" s="57" t="str">
        <f aca="false">IF($E2238="","",IF($F2238&lt;=BankCostEnvelope*'5. Scenarios'!$B$7,1,0))</f>
        <v/>
      </c>
      <c r="H2238" s="57" t="str">
        <f aca="false">IF($D2238="","",INDEX(BookRate,2233)*(1+'5. Scenarios'!$B$10)*(INDEX(BookQ1,2233)*(5-MIN(4,1+'5. Scenarios'!$B$8))/4+INDEX(BookQ2,2233)*(5-MIN(4,2+'5. Scenarios'!$B$8))/4+INDEX(BookQ3,2233)*(5-MIN(4,3+'5. Scenarios'!$B$8))/4+INDEX(BookQ4,2233)*(5-MIN(4,4+'5. Scenarios'!$B$8))/4)*'5. Scenarios'!$B$6/(1+ProductivityDefault*('5. Scenarios'!$B$11-1))+INDEX(BookOneOff,2233)*$D2238)</f>
        <v/>
      </c>
      <c r="I2238" s="56" t="str">
        <f aca="false">IF(INDEX(BookTitle,2233)="","",INDEX(BookTotal,2233)*'5. Scenarios'!$C$6/(1+ProductivityDefault*('5. Scenarios'!$C$11-1)))</f>
        <v/>
      </c>
      <c r="J2238" s="57" t="str">
        <f aca="false">IF($I2238="","",INDEX(BookRate,2233)*(1+'5. Scenarios'!$C$10)*$I2238)</f>
        <v/>
      </c>
      <c r="K2238" s="57" t="str">
        <f aca="false">IF($J2238="","",SUMIFS($J$6:$J$2405,$A$6:$A$2405,"&lt;="&amp;$A2238))</f>
        <v/>
      </c>
      <c r="L2238" s="57" t="str">
        <f aca="false">IF($J2238="","",IF($K2238&lt;=BankCostEnvelope*'5. Scenarios'!$C$7,1,0))</f>
        <v/>
      </c>
      <c r="M2238" s="57" t="str">
        <f aca="false">IF($I2238="","",INDEX(BookRate,2233)*(1+'5. Scenarios'!$C$10)*(INDEX(BookQ1,2233)*(5-MIN(4,1+'5. Scenarios'!$C$8))/4+INDEX(BookQ2,2233)*(5-MIN(4,2+'5. Scenarios'!$C$8))/4+INDEX(BookQ3,2233)*(5-MIN(4,3+'5. Scenarios'!$C$8))/4+INDEX(BookQ4,2233)*(5-MIN(4,4+'5. Scenarios'!$C$8))/4)*'5. Scenarios'!$C$6/(1+ProductivityDefault*('5. Scenarios'!$C$11-1))+INDEX(BookOneOff,2233)*$I2238)</f>
        <v/>
      </c>
      <c r="N2238" s="56" t="str">
        <f aca="false">IF(INDEX(BookTitle,2233)="","",INDEX(BookTotal,2233)*'5. Scenarios'!$D$6/(1+ProductivityDefault*('5. Scenarios'!$D$11-1)))</f>
        <v/>
      </c>
      <c r="O2238" s="57" t="str">
        <f aca="false">IF($N2238="","",INDEX(BookRate,2233)*(1+'5. Scenarios'!$D$10)*$N2238)</f>
        <v/>
      </c>
      <c r="P2238" s="57" t="str">
        <f aca="false">IF($O2238="","",SUMIFS($O$6:$O$2405,$A$6:$A$2405,"&lt;="&amp;$A2238))</f>
        <v/>
      </c>
      <c r="Q2238" s="57" t="str">
        <f aca="false">IF($O2238="","",IF($P2238&lt;=BankCostEnvelope*'5. Scenarios'!$D$7,1,0))</f>
        <v/>
      </c>
      <c r="R2238" s="57" t="str">
        <f aca="false">IF($N2238="","",INDEX(BookRate,2233)*(1+'5. Scenarios'!$D$10)*(INDEX(BookQ1,2233)*(5-MIN(4,1+'5. Scenarios'!$D$8))/4+INDEX(BookQ2,2233)*(5-MIN(4,2+'5. Scenarios'!$D$8))/4+INDEX(BookQ3,2233)*(5-MIN(4,3+'5. Scenarios'!$D$8))/4+INDEX(BookQ4,2233)*(5-MIN(4,4+'5. Scenarios'!$D$8))/4)*'5. Scenarios'!$D$6/(1+ProductivityDefault*('5. Scenarios'!$D$11-1))+INDEX(BookOneOff,2233)*$N2238)</f>
        <v/>
      </c>
      <c r="S2238" s="56" t="str">
        <f aca="false">IF(INDEX(BookTitle,2233)="","",INDEX(BookTotal,2233)*'5. Scenarios'!$E$6/(1+ProductivityDefault*('5. Scenarios'!$E$11-1)))</f>
        <v/>
      </c>
      <c r="T2238" s="57" t="str">
        <f aca="false">IF($S2238="","",INDEX(BookRate,2233)*(1+'5. Scenarios'!$E$10)*$S2238)</f>
        <v/>
      </c>
      <c r="U2238" s="57" t="str">
        <f aca="false">IF($T2238="","",SUMIFS($T$6:$T$2405,$A$6:$A$2405,"&lt;="&amp;$A2238))</f>
        <v/>
      </c>
      <c r="V2238" s="57" t="str">
        <f aca="false">IF($T2238="","",IF($U2238&lt;=BankCostEnvelope*'5. Scenarios'!$E$7,1,0))</f>
        <v/>
      </c>
      <c r="W2238" s="57" t="str">
        <f aca="false">IF($S2238="","",INDEX(BookRate,2233)*(1+'5. Scenarios'!$E$10)*(INDEX(BookQ1,2233)*(5-MIN(4,1+'5. Scenarios'!$E$8))/4+INDEX(BookQ2,2233)*(5-MIN(4,2+'5. Scenarios'!$E$8))/4+INDEX(BookQ3,2233)*(5-MIN(4,3+'5. Scenarios'!$E$8))/4+INDEX(BookQ4,2233)*(5-MIN(4,4+'5. Scenarios'!$E$8))/4)*'5. Scenarios'!$E$6/(1+ProductivityDefault*('5. Scenarios'!$E$11-1))+INDEX(BookOneOff,2233)*$S2238)</f>
        <v/>
      </c>
    </row>
    <row r="2239" customFormat="false" ht="15" hidden="false" customHeight="false" outlineLevel="0" collapsed="false">
      <c r="A2239" s="0" t="str">
        <f aca="false">IF(INDEX(BookTitle,2234)="","",INDEX(BookKey,2234))</f>
        <v/>
      </c>
      <c r="B2239" s="0" t="str">
        <f aca="false">IF(INDEX(BookTitle,2234)="","",INDEX(BookGroup,2234))</f>
        <v/>
      </c>
      <c r="C2239" s="0" t="str">
        <f aca="false">IF(INDEX(BookTitle,2234)="","",INDEX(BookCategory,2234))</f>
        <v/>
      </c>
      <c r="D2239" s="56" t="str">
        <f aca="false">IF(INDEX(BookTitle,2234)="","",INDEX(BookTotal,2234)*'5. Scenarios'!$B$6/(1+ProductivityDefault*('5. Scenarios'!$B$11-1)))</f>
        <v/>
      </c>
      <c r="E2239" s="57" t="str">
        <f aca="false">IF($D2239="","",INDEX(BookRate,2234)*(1+'5. Scenarios'!$B$10)*$D2239)</f>
        <v/>
      </c>
      <c r="F2239" s="57" t="str">
        <f aca="false">IF($E2239="","",SUMIFS($E$6:$E$2405,$A$6:$A$2405,"&lt;="&amp;$A2239))</f>
        <v/>
      </c>
      <c r="G2239" s="57" t="str">
        <f aca="false">IF($E2239="","",IF($F2239&lt;=BankCostEnvelope*'5. Scenarios'!$B$7,1,0))</f>
        <v/>
      </c>
      <c r="H2239" s="57" t="str">
        <f aca="false">IF($D2239="","",INDEX(BookRate,2234)*(1+'5. Scenarios'!$B$10)*(INDEX(BookQ1,2234)*(5-MIN(4,1+'5. Scenarios'!$B$8))/4+INDEX(BookQ2,2234)*(5-MIN(4,2+'5. Scenarios'!$B$8))/4+INDEX(BookQ3,2234)*(5-MIN(4,3+'5. Scenarios'!$B$8))/4+INDEX(BookQ4,2234)*(5-MIN(4,4+'5. Scenarios'!$B$8))/4)*'5. Scenarios'!$B$6/(1+ProductivityDefault*('5. Scenarios'!$B$11-1))+INDEX(BookOneOff,2234)*$D2239)</f>
        <v/>
      </c>
      <c r="I2239" s="56" t="str">
        <f aca="false">IF(INDEX(BookTitle,2234)="","",INDEX(BookTotal,2234)*'5. Scenarios'!$C$6/(1+ProductivityDefault*('5. Scenarios'!$C$11-1)))</f>
        <v/>
      </c>
      <c r="J2239" s="57" t="str">
        <f aca="false">IF($I2239="","",INDEX(BookRate,2234)*(1+'5. Scenarios'!$C$10)*$I2239)</f>
        <v/>
      </c>
      <c r="K2239" s="57" t="str">
        <f aca="false">IF($J2239="","",SUMIFS($J$6:$J$2405,$A$6:$A$2405,"&lt;="&amp;$A2239))</f>
        <v/>
      </c>
      <c r="L2239" s="57" t="str">
        <f aca="false">IF($J2239="","",IF($K2239&lt;=BankCostEnvelope*'5. Scenarios'!$C$7,1,0))</f>
        <v/>
      </c>
      <c r="M2239" s="57" t="str">
        <f aca="false">IF($I2239="","",INDEX(BookRate,2234)*(1+'5. Scenarios'!$C$10)*(INDEX(BookQ1,2234)*(5-MIN(4,1+'5. Scenarios'!$C$8))/4+INDEX(BookQ2,2234)*(5-MIN(4,2+'5. Scenarios'!$C$8))/4+INDEX(BookQ3,2234)*(5-MIN(4,3+'5. Scenarios'!$C$8))/4+INDEX(BookQ4,2234)*(5-MIN(4,4+'5. Scenarios'!$C$8))/4)*'5. Scenarios'!$C$6/(1+ProductivityDefault*('5. Scenarios'!$C$11-1))+INDEX(BookOneOff,2234)*$I2239)</f>
        <v/>
      </c>
      <c r="N2239" s="56" t="str">
        <f aca="false">IF(INDEX(BookTitle,2234)="","",INDEX(BookTotal,2234)*'5. Scenarios'!$D$6/(1+ProductivityDefault*('5. Scenarios'!$D$11-1)))</f>
        <v/>
      </c>
      <c r="O2239" s="57" t="str">
        <f aca="false">IF($N2239="","",INDEX(BookRate,2234)*(1+'5. Scenarios'!$D$10)*$N2239)</f>
        <v/>
      </c>
      <c r="P2239" s="57" t="str">
        <f aca="false">IF($O2239="","",SUMIFS($O$6:$O$2405,$A$6:$A$2405,"&lt;="&amp;$A2239))</f>
        <v/>
      </c>
      <c r="Q2239" s="57" t="str">
        <f aca="false">IF($O2239="","",IF($P2239&lt;=BankCostEnvelope*'5. Scenarios'!$D$7,1,0))</f>
        <v/>
      </c>
      <c r="R2239" s="57" t="str">
        <f aca="false">IF($N2239="","",INDEX(BookRate,2234)*(1+'5. Scenarios'!$D$10)*(INDEX(BookQ1,2234)*(5-MIN(4,1+'5. Scenarios'!$D$8))/4+INDEX(BookQ2,2234)*(5-MIN(4,2+'5. Scenarios'!$D$8))/4+INDEX(BookQ3,2234)*(5-MIN(4,3+'5. Scenarios'!$D$8))/4+INDEX(BookQ4,2234)*(5-MIN(4,4+'5. Scenarios'!$D$8))/4)*'5. Scenarios'!$D$6/(1+ProductivityDefault*('5. Scenarios'!$D$11-1))+INDEX(BookOneOff,2234)*$N2239)</f>
        <v/>
      </c>
      <c r="S2239" s="56" t="str">
        <f aca="false">IF(INDEX(BookTitle,2234)="","",INDEX(BookTotal,2234)*'5. Scenarios'!$E$6/(1+ProductivityDefault*('5. Scenarios'!$E$11-1)))</f>
        <v/>
      </c>
      <c r="T2239" s="57" t="str">
        <f aca="false">IF($S2239="","",INDEX(BookRate,2234)*(1+'5. Scenarios'!$E$10)*$S2239)</f>
        <v/>
      </c>
      <c r="U2239" s="57" t="str">
        <f aca="false">IF($T2239="","",SUMIFS($T$6:$T$2405,$A$6:$A$2405,"&lt;="&amp;$A2239))</f>
        <v/>
      </c>
      <c r="V2239" s="57" t="str">
        <f aca="false">IF($T2239="","",IF($U2239&lt;=BankCostEnvelope*'5. Scenarios'!$E$7,1,0))</f>
        <v/>
      </c>
      <c r="W2239" s="57" t="str">
        <f aca="false">IF($S2239="","",INDEX(BookRate,2234)*(1+'5. Scenarios'!$E$10)*(INDEX(BookQ1,2234)*(5-MIN(4,1+'5. Scenarios'!$E$8))/4+INDEX(BookQ2,2234)*(5-MIN(4,2+'5. Scenarios'!$E$8))/4+INDEX(BookQ3,2234)*(5-MIN(4,3+'5. Scenarios'!$E$8))/4+INDEX(BookQ4,2234)*(5-MIN(4,4+'5. Scenarios'!$E$8))/4)*'5. Scenarios'!$E$6/(1+ProductivityDefault*('5. Scenarios'!$E$11-1))+INDEX(BookOneOff,2234)*$S2239)</f>
        <v/>
      </c>
    </row>
    <row r="2240" customFormat="false" ht="15" hidden="false" customHeight="false" outlineLevel="0" collapsed="false">
      <c r="A2240" s="0" t="str">
        <f aca="false">IF(INDEX(BookTitle,2235)="","",INDEX(BookKey,2235))</f>
        <v/>
      </c>
      <c r="B2240" s="0" t="str">
        <f aca="false">IF(INDEX(BookTitle,2235)="","",INDEX(BookGroup,2235))</f>
        <v/>
      </c>
      <c r="C2240" s="0" t="str">
        <f aca="false">IF(INDEX(BookTitle,2235)="","",INDEX(BookCategory,2235))</f>
        <v/>
      </c>
      <c r="D2240" s="56" t="str">
        <f aca="false">IF(INDEX(BookTitle,2235)="","",INDEX(BookTotal,2235)*'5. Scenarios'!$B$6/(1+ProductivityDefault*('5. Scenarios'!$B$11-1)))</f>
        <v/>
      </c>
      <c r="E2240" s="57" t="str">
        <f aca="false">IF($D2240="","",INDEX(BookRate,2235)*(1+'5. Scenarios'!$B$10)*$D2240)</f>
        <v/>
      </c>
      <c r="F2240" s="57" t="str">
        <f aca="false">IF($E2240="","",SUMIFS($E$6:$E$2405,$A$6:$A$2405,"&lt;="&amp;$A2240))</f>
        <v/>
      </c>
      <c r="G2240" s="57" t="str">
        <f aca="false">IF($E2240="","",IF($F2240&lt;=BankCostEnvelope*'5. Scenarios'!$B$7,1,0))</f>
        <v/>
      </c>
      <c r="H2240" s="57" t="str">
        <f aca="false">IF($D2240="","",INDEX(BookRate,2235)*(1+'5. Scenarios'!$B$10)*(INDEX(BookQ1,2235)*(5-MIN(4,1+'5. Scenarios'!$B$8))/4+INDEX(BookQ2,2235)*(5-MIN(4,2+'5. Scenarios'!$B$8))/4+INDEX(BookQ3,2235)*(5-MIN(4,3+'5. Scenarios'!$B$8))/4+INDEX(BookQ4,2235)*(5-MIN(4,4+'5. Scenarios'!$B$8))/4)*'5. Scenarios'!$B$6/(1+ProductivityDefault*('5. Scenarios'!$B$11-1))+INDEX(BookOneOff,2235)*$D2240)</f>
        <v/>
      </c>
      <c r="I2240" s="56" t="str">
        <f aca="false">IF(INDEX(BookTitle,2235)="","",INDEX(BookTotal,2235)*'5. Scenarios'!$C$6/(1+ProductivityDefault*('5. Scenarios'!$C$11-1)))</f>
        <v/>
      </c>
      <c r="J2240" s="57" t="str">
        <f aca="false">IF($I2240="","",INDEX(BookRate,2235)*(1+'5. Scenarios'!$C$10)*$I2240)</f>
        <v/>
      </c>
      <c r="K2240" s="57" t="str">
        <f aca="false">IF($J2240="","",SUMIFS($J$6:$J$2405,$A$6:$A$2405,"&lt;="&amp;$A2240))</f>
        <v/>
      </c>
      <c r="L2240" s="57" t="str">
        <f aca="false">IF($J2240="","",IF($K2240&lt;=BankCostEnvelope*'5. Scenarios'!$C$7,1,0))</f>
        <v/>
      </c>
      <c r="M2240" s="57" t="str">
        <f aca="false">IF($I2240="","",INDEX(BookRate,2235)*(1+'5. Scenarios'!$C$10)*(INDEX(BookQ1,2235)*(5-MIN(4,1+'5. Scenarios'!$C$8))/4+INDEX(BookQ2,2235)*(5-MIN(4,2+'5. Scenarios'!$C$8))/4+INDEX(BookQ3,2235)*(5-MIN(4,3+'5. Scenarios'!$C$8))/4+INDEX(BookQ4,2235)*(5-MIN(4,4+'5. Scenarios'!$C$8))/4)*'5. Scenarios'!$C$6/(1+ProductivityDefault*('5. Scenarios'!$C$11-1))+INDEX(BookOneOff,2235)*$I2240)</f>
        <v/>
      </c>
      <c r="N2240" s="56" t="str">
        <f aca="false">IF(INDEX(BookTitle,2235)="","",INDEX(BookTotal,2235)*'5. Scenarios'!$D$6/(1+ProductivityDefault*('5. Scenarios'!$D$11-1)))</f>
        <v/>
      </c>
      <c r="O2240" s="57" t="str">
        <f aca="false">IF($N2240="","",INDEX(BookRate,2235)*(1+'5. Scenarios'!$D$10)*$N2240)</f>
        <v/>
      </c>
      <c r="P2240" s="57" t="str">
        <f aca="false">IF($O2240="","",SUMIFS($O$6:$O$2405,$A$6:$A$2405,"&lt;="&amp;$A2240))</f>
        <v/>
      </c>
      <c r="Q2240" s="57" t="str">
        <f aca="false">IF($O2240="","",IF($P2240&lt;=BankCostEnvelope*'5. Scenarios'!$D$7,1,0))</f>
        <v/>
      </c>
      <c r="R2240" s="57" t="str">
        <f aca="false">IF($N2240="","",INDEX(BookRate,2235)*(1+'5. Scenarios'!$D$10)*(INDEX(BookQ1,2235)*(5-MIN(4,1+'5. Scenarios'!$D$8))/4+INDEX(BookQ2,2235)*(5-MIN(4,2+'5. Scenarios'!$D$8))/4+INDEX(BookQ3,2235)*(5-MIN(4,3+'5. Scenarios'!$D$8))/4+INDEX(BookQ4,2235)*(5-MIN(4,4+'5. Scenarios'!$D$8))/4)*'5. Scenarios'!$D$6/(1+ProductivityDefault*('5. Scenarios'!$D$11-1))+INDEX(BookOneOff,2235)*$N2240)</f>
        <v/>
      </c>
      <c r="S2240" s="56" t="str">
        <f aca="false">IF(INDEX(BookTitle,2235)="","",INDEX(BookTotal,2235)*'5. Scenarios'!$E$6/(1+ProductivityDefault*('5. Scenarios'!$E$11-1)))</f>
        <v/>
      </c>
      <c r="T2240" s="57" t="str">
        <f aca="false">IF($S2240="","",INDEX(BookRate,2235)*(1+'5. Scenarios'!$E$10)*$S2240)</f>
        <v/>
      </c>
      <c r="U2240" s="57" t="str">
        <f aca="false">IF($T2240="","",SUMIFS($T$6:$T$2405,$A$6:$A$2405,"&lt;="&amp;$A2240))</f>
        <v/>
      </c>
      <c r="V2240" s="57" t="str">
        <f aca="false">IF($T2240="","",IF($U2240&lt;=BankCostEnvelope*'5. Scenarios'!$E$7,1,0))</f>
        <v/>
      </c>
      <c r="W2240" s="57" t="str">
        <f aca="false">IF($S2240="","",INDEX(BookRate,2235)*(1+'5. Scenarios'!$E$10)*(INDEX(BookQ1,2235)*(5-MIN(4,1+'5. Scenarios'!$E$8))/4+INDEX(BookQ2,2235)*(5-MIN(4,2+'5. Scenarios'!$E$8))/4+INDEX(BookQ3,2235)*(5-MIN(4,3+'5. Scenarios'!$E$8))/4+INDEX(BookQ4,2235)*(5-MIN(4,4+'5. Scenarios'!$E$8))/4)*'5. Scenarios'!$E$6/(1+ProductivityDefault*('5. Scenarios'!$E$11-1))+INDEX(BookOneOff,2235)*$S2240)</f>
        <v/>
      </c>
    </row>
    <row r="2241" customFormat="false" ht="15" hidden="false" customHeight="false" outlineLevel="0" collapsed="false">
      <c r="A2241" s="0" t="str">
        <f aca="false">IF(INDEX(BookTitle,2236)="","",INDEX(BookKey,2236))</f>
        <v/>
      </c>
      <c r="B2241" s="0" t="str">
        <f aca="false">IF(INDEX(BookTitle,2236)="","",INDEX(BookGroup,2236))</f>
        <v/>
      </c>
      <c r="C2241" s="0" t="str">
        <f aca="false">IF(INDEX(BookTitle,2236)="","",INDEX(BookCategory,2236))</f>
        <v/>
      </c>
      <c r="D2241" s="56" t="str">
        <f aca="false">IF(INDEX(BookTitle,2236)="","",INDEX(BookTotal,2236)*'5. Scenarios'!$B$6/(1+ProductivityDefault*('5. Scenarios'!$B$11-1)))</f>
        <v/>
      </c>
      <c r="E2241" s="57" t="str">
        <f aca="false">IF($D2241="","",INDEX(BookRate,2236)*(1+'5. Scenarios'!$B$10)*$D2241)</f>
        <v/>
      </c>
      <c r="F2241" s="57" t="str">
        <f aca="false">IF($E2241="","",SUMIFS($E$6:$E$2405,$A$6:$A$2405,"&lt;="&amp;$A2241))</f>
        <v/>
      </c>
      <c r="G2241" s="57" t="str">
        <f aca="false">IF($E2241="","",IF($F2241&lt;=BankCostEnvelope*'5. Scenarios'!$B$7,1,0))</f>
        <v/>
      </c>
      <c r="H2241" s="57" t="str">
        <f aca="false">IF($D2241="","",INDEX(BookRate,2236)*(1+'5. Scenarios'!$B$10)*(INDEX(BookQ1,2236)*(5-MIN(4,1+'5. Scenarios'!$B$8))/4+INDEX(BookQ2,2236)*(5-MIN(4,2+'5. Scenarios'!$B$8))/4+INDEX(BookQ3,2236)*(5-MIN(4,3+'5. Scenarios'!$B$8))/4+INDEX(BookQ4,2236)*(5-MIN(4,4+'5. Scenarios'!$B$8))/4)*'5. Scenarios'!$B$6/(1+ProductivityDefault*('5. Scenarios'!$B$11-1))+INDEX(BookOneOff,2236)*$D2241)</f>
        <v/>
      </c>
      <c r="I2241" s="56" t="str">
        <f aca="false">IF(INDEX(BookTitle,2236)="","",INDEX(BookTotal,2236)*'5. Scenarios'!$C$6/(1+ProductivityDefault*('5. Scenarios'!$C$11-1)))</f>
        <v/>
      </c>
      <c r="J2241" s="57" t="str">
        <f aca="false">IF($I2241="","",INDEX(BookRate,2236)*(1+'5. Scenarios'!$C$10)*$I2241)</f>
        <v/>
      </c>
      <c r="K2241" s="57" t="str">
        <f aca="false">IF($J2241="","",SUMIFS($J$6:$J$2405,$A$6:$A$2405,"&lt;="&amp;$A2241))</f>
        <v/>
      </c>
      <c r="L2241" s="57" t="str">
        <f aca="false">IF($J2241="","",IF($K2241&lt;=BankCostEnvelope*'5. Scenarios'!$C$7,1,0))</f>
        <v/>
      </c>
      <c r="M2241" s="57" t="str">
        <f aca="false">IF($I2241="","",INDEX(BookRate,2236)*(1+'5. Scenarios'!$C$10)*(INDEX(BookQ1,2236)*(5-MIN(4,1+'5. Scenarios'!$C$8))/4+INDEX(BookQ2,2236)*(5-MIN(4,2+'5. Scenarios'!$C$8))/4+INDEX(BookQ3,2236)*(5-MIN(4,3+'5. Scenarios'!$C$8))/4+INDEX(BookQ4,2236)*(5-MIN(4,4+'5. Scenarios'!$C$8))/4)*'5. Scenarios'!$C$6/(1+ProductivityDefault*('5. Scenarios'!$C$11-1))+INDEX(BookOneOff,2236)*$I2241)</f>
        <v/>
      </c>
      <c r="N2241" s="56" t="str">
        <f aca="false">IF(INDEX(BookTitle,2236)="","",INDEX(BookTotal,2236)*'5. Scenarios'!$D$6/(1+ProductivityDefault*('5. Scenarios'!$D$11-1)))</f>
        <v/>
      </c>
      <c r="O2241" s="57" t="str">
        <f aca="false">IF($N2241="","",INDEX(BookRate,2236)*(1+'5. Scenarios'!$D$10)*$N2241)</f>
        <v/>
      </c>
      <c r="P2241" s="57" t="str">
        <f aca="false">IF($O2241="","",SUMIFS($O$6:$O$2405,$A$6:$A$2405,"&lt;="&amp;$A2241))</f>
        <v/>
      </c>
      <c r="Q2241" s="57" t="str">
        <f aca="false">IF($O2241="","",IF($P2241&lt;=BankCostEnvelope*'5. Scenarios'!$D$7,1,0))</f>
        <v/>
      </c>
      <c r="R2241" s="57" t="str">
        <f aca="false">IF($N2241="","",INDEX(BookRate,2236)*(1+'5. Scenarios'!$D$10)*(INDEX(BookQ1,2236)*(5-MIN(4,1+'5. Scenarios'!$D$8))/4+INDEX(BookQ2,2236)*(5-MIN(4,2+'5. Scenarios'!$D$8))/4+INDEX(BookQ3,2236)*(5-MIN(4,3+'5. Scenarios'!$D$8))/4+INDEX(BookQ4,2236)*(5-MIN(4,4+'5. Scenarios'!$D$8))/4)*'5. Scenarios'!$D$6/(1+ProductivityDefault*('5. Scenarios'!$D$11-1))+INDEX(BookOneOff,2236)*$N2241)</f>
        <v/>
      </c>
      <c r="S2241" s="56" t="str">
        <f aca="false">IF(INDEX(BookTitle,2236)="","",INDEX(BookTotal,2236)*'5. Scenarios'!$E$6/(1+ProductivityDefault*('5. Scenarios'!$E$11-1)))</f>
        <v/>
      </c>
      <c r="T2241" s="57" t="str">
        <f aca="false">IF($S2241="","",INDEX(BookRate,2236)*(1+'5. Scenarios'!$E$10)*$S2241)</f>
        <v/>
      </c>
      <c r="U2241" s="57" t="str">
        <f aca="false">IF($T2241="","",SUMIFS($T$6:$T$2405,$A$6:$A$2405,"&lt;="&amp;$A2241))</f>
        <v/>
      </c>
      <c r="V2241" s="57" t="str">
        <f aca="false">IF($T2241="","",IF($U2241&lt;=BankCostEnvelope*'5. Scenarios'!$E$7,1,0))</f>
        <v/>
      </c>
      <c r="W2241" s="57" t="str">
        <f aca="false">IF($S2241="","",INDEX(BookRate,2236)*(1+'5. Scenarios'!$E$10)*(INDEX(BookQ1,2236)*(5-MIN(4,1+'5. Scenarios'!$E$8))/4+INDEX(BookQ2,2236)*(5-MIN(4,2+'5. Scenarios'!$E$8))/4+INDEX(BookQ3,2236)*(5-MIN(4,3+'5. Scenarios'!$E$8))/4+INDEX(BookQ4,2236)*(5-MIN(4,4+'5. Scenarios'!$E$8))/4)*'5. Scenarios'!$E$6/(1+ProductivityDefault*('5. Scenarios'!$E$11-1))+INDEX(BookOneOff,2236)*$S2241)</f>
        <v/>
      </c>
    </row>
    <row r="2242" customFormat="false" ht="15" hidden="false" customHeight="false" outlineLevel="0" collapsed="false">
      <c r="A2242" s="0" t="str">
        <f aca="false">IF(INDEX(BookTitle,2237)="","",INDEX(BookKey,2237))</f>
        <v/>
      </c>
      <c r="B2242" s="0" t="str">
        <f aca="false">IF(INDEX(BookTitle,2237)="","",INDEX(BookGroup,2237))</f>
        <v/>
      </c>
      <c r="C2242" s="0" t="str">
        <f aca="false">IF(INDEX(BookTitle,2237)="","",INDEX(BookCategory,2237))</f>
        <v/>
      </c>
      <c r="D2242" s="56" t="str">
        <f aca="false">IF(INDEX(BookTitle,2237)="","",INDEX(BookTotal,2237)*'5. Scenarios'!$B$6/(1+ProductivityDefault*('5. Scenarios'!$B$11-1)))</f>
        <v/>
      </c>
      <c r="E2242" s="57" t="str">
        <f aca="false">IF($D2242="","",INDEX(BookRate,2237)*(1+'5. Scenarios'!$B$10)*$D2242)</f>
        <v/>
      </c>
      <c r="F2242" s="57" t="str">
        <f aca="false">IF($E2242="","",SUMIFS($E$6:$E$2405,$A$6:$A$2405,"&lt;="&amp;$A2242))</f>
        <v/>
      </c>
      <c r="G2242" s="57" t="str">
        <f aca="false">IF($E2242="","",IF($F2242&lt;=BankCostEnvelope*'5. Scenarios'!$B$7,1,0))</f>
        <v/>
      </c>
      <c r="H2242" s="57" t="str">
        <f aca="false">IF($D2242="","",INDEX(BookRate,2237)*(1+'5. Scenarios'!$B$10)*(INDEX(BookQ1,2237)*(5-MIN(4,1+'5. Scenarios'!$B$8))/4+INDEX(BookQ2,2237)*(5-MIN(4,2+'5. Scenarios'!$B$8))/4+INDEX(BookQ3,2237)*(5-MIN(4,3+'5. Scenarios'!$B$8))/4+INDEX(BookQ4,2237)*(5-MIN(4,4+'5. Scenarios'!$B$8))/4)*'5. Scenarios'!$B$6/(1+ProductivityDefault*('5. Scenarios'!$B$11-1))+INDEX(BookOneOff,2237)*$D2242)</f>
        <v/>
      </c>
      <c r="I2242" s="56" t="str">
        <f aca="false">IF(INDEX(BookTitle,2237)="","",INDEX(BookTotal,2237)*'5. Scenarios'!$C$6/(1+ProductivityDefault*('5. Scenarios'!$C$11-1)))</f>
        <v/>
      </c>
      <c r="J2242" s="57" t="str">
        <f aca="false">IF($I2242="","",INDEX(BookRate,2237)*(1+'5. Scenarios'!$C$10)*$I2242)</f>
        <v/>
      </c>
      <c r="K2242" s="57" t="str">
        <f aca="false">IF($J2242="","",SUMIFS($J$6:$J$2405,$A$6:$A$2405,"&lt;="&amp;$A2242))</f>
        <v/>
      </c>
      <c r="L2242" s="57" t="str">
        <f aca="false">IF($J2242="","",IF($K2242&lt;=BankCostEnvelope*'5. Scenarios'!$C$7,1,0))</f>
        <v/>
      </c>
      <c r="M2242" s="57" t="str">
        <f aca="false">IF($I2242="","",INDEX(BookRate,2237)*(1+'5. Scenarios'!$C$10)*(INDEX(BookQ1,2237)*(5-MIN(4,1+'5. Scenarios'!$C$8))/4+INDEX(BookQ2,2237)*(5-MIN(4,2+'5. Scenarios'!$C$8))/4+INDEX(BookQ3,2237)*(5-MIN(4,3+'5. Scenarios'!$C$8))/4+INDEX(BookQ4,2237)*(5-MIN(4,4+'5. Scenarios'!$C$8))/4)*'5. Scenarios'!$C$6/(1+ProductivityDefault*('5. Scenarios'!$C$11-1))+INDEX(BookOneOff,2237)*$I2242)</f>
        <v/>
      </c>
      <c r="N2242" s="56" t="str">
        <f aca="false">IF(INDEX(BookTitle,2237)="","",INDEX(BookTotal,2237)*'5. Scenarios'!$D$6/(1+ProductivityDefault*('5. Scenarios'!$D$11-1)))</f>
        <v/>
      </c>
      <c r="O2242" s="57" t="str">
        <f aca="false">IF($N2242="","",INDEX(BookRate,2237)*(1+'5. Scenarios'!$D$10)*$N2242)</f>
        <v/>
      </c>
      <c r="P2242" s="57" t="str">
        <f aca="false">IF($O2242="","",SUMIFS($O$6:$O$2405,$A$6:$A$2405,"&lt;="&amp;$A2242))</f>
        <v/>
      </c>
      <c r="Q2242" s="57" t="str">
        <f aca="false">IF($O2242="","",IF($P2242&lt;=BankCostEnvelope*'5. Scenarios'!$D$7,1,0))</f>
        <v/>
      </c>
      <c r="R2242" s="57" t="str">
        <f aca="false">IF($N2242="","",INDEX(BookRate,2237)*(1+'5. Scenarios'!$D$10)*(INDEX(BookQ1,2237)*(5-MIN(4,1+'5. Scenarios'!$D$8))/4+INDEX(BookQ2,2237)*(5-MIN(4,2+'5. Scenarios'!$D$8))/4+INDEX(BookQ3,2237)*(5-MIN(4,3+'5. Scenarios'!$D$8))/4+INDEX(BookQ4,2237)*(5-MIN(4,4+'5. Scenarios'!$D$8))/4)*'5. Scenarios'!$D$6/(1+ProductivityDefault*('5. Scenarios'!$D$11-1))+INDEX(BookOneOff,2237)*$N2242)</f>
        <v/>
      </c>
      <c r="S2242" s="56" t="str">
        <f aca="false">IF(INDEX(BookTitle,2237)="","",INDEX(BookTotal,2237)*'5. Scenarios'!$E$6/(1+ProductivityDefault*('5. Scenarios'!$E$11-1)))</f>
        <v/>
      </c>
      <c r="T2242" s="57" t="str">
        <f aca="false">IF($S2242="","",INDEX(BookRate,2237)*(1+'5. Scenarios'!$E$10)*$S2242)</f>
        <v/>
      </c>
      <c r="U2242" s="57" t="str">
        <f aca="false">IF($T2242="","",SUMIFS($T$6:$T$2405,$A$6:$A$2405,"&lt;="&amp;$A2242))</f>
        <v/>
      </c>
      <c r="V2242" s="57" t="str">
        <f aca="false">IF($T2242="","",IF($U2242&lt;=BankCostEnvelope*'5. Scenarios'!$E$7,1,0))</f>
        <v/>
      </c>
      <c r="W2242" s="57" t="str">
        <f aca="false">IF($S2242="","",INDEX(BookRate,2237)*(1+'5. Scenarios'!$E$10)*(INDEX(BookQ1,2237)*(5-MIN(4,1+'5. Scenarios'!$E$8))/4+INDEX(BookQ2,2237)*(5-MIN(4,2+'5. Scenarios'!$E$8))/4+INDEX(BookQ3,2237)*(5-MIN(4,3+'5. Scenarios'!$E$8))/4+INDEX(BookQ4,2237)*(5-MIN(4,4+'5. Scenarios'!$E$8))/4)*'5. Scenarios'!$E$6/(1+ProductivityDefault*('5. Scenarios'!$E$11-1))+INDEX(BookOneOff,2237)*$S2242)</f>
        <v/>
      </c>
    </row>
    <row r="2243" customFormat="false" ht="15" hidden="false" customHeight="false" outlineLevel="0" collapsed="false">
      <c r="A2243" s="0" t="str">
        <f aca="false">IF(INDEX(BookTitle,2238)="","",INDEX(BookKey,2238))</f>
        <v/>
      </c>
      <c r="B2243" s="0" t="str">
        <f aca="false">IF(INDEX(BookTitle,2238)="","",INDEX(BookGroup,2238))</f>
        <v/>
      </c>
      <c r="C2243" s="0" t="str">
        <f aca="false">IF(INDEX(BookTitle,2238)="","",INDEX(BookCategory,2238))</f>
        <v/>
      </c>
      <c r="D2243" s="56" t="str">
        <f aca="false">IF(INDEX(BookTitle,2238)="","",INDEX(BookTotal,2238)*'5. Scenarios'!$B$6/(1+ProductivityDefault*('5. Scenarios'!$B$11-1)))</f>
        <v/>
      </c>
      <c r="E2243" s="57" t="str">
        <f aca="false">IF($D2243="","",INDEX(BookRate,2238)*(1+'5. Scenarios'!$B$10)*$D2243)</f>
        <v/>
      </c>
      <c r="F2243" s="57" t="str">
        <f aca="false">IF($E2243="","",SUMIFS($E$6:$E$2405,$A$6:$A$2405,"&lt;="&amp;$A2243))</f>
        <v/>
      </c>
      <c r="G2243" s="57" t="str">
        <f aca="false">IF($E2243="","",IF($F2243&lt;=BankCostEnvelope*'5. Scenarios'!$B$7,1,0))</f>
        <v/>
      </c>
      <c r="H2243" s="57" t="str">
        <f aca="false">IF($D2243="","",INDEX(BookRate,2238)*(1+'5. Scenarios'!$B$10)*(INDEX(BookQ1,2238)*(5-MIN(4,1+'5. Scenarios'!$B$8))/4+INDEX(BookQ2,2238)*(5-MIN(4,2+'5. Scenarios'!$B$8))/4+INDEX(BookQ3,2238)*(5-MIN(4,3+'5. Scenarios'!$B$8))/4+INDEX(BookQ4,2238)*(5-MIN(4,4+'5. Scenarios'!$B$8))/4)*'5. Scenarios'!$B$6/(1+ProductivityDefault*('5. Scenarios'!$B$11-1))+INDEX(BookOneOff,2238)*$D2243)</f>
        <v/>
      </c>
      <c r="I2243" s="56" t="str">
        <f aca="false">IF(INDEX(BookTitle,2238)="","",INDEX(BookTotal,2238)*'5. Scenarios'!$C$6/(1+ProductivityDefault*('5. Scenarios'!$C$11-1)))</f>
        <v/>
      </c>
      <c r="J2243" s="57" t="str">
        <f aca="false">IF($I2243="","",INDEX(BookRate,2238)*(1+'5. Scenarios'!$C$10)*$I2243)</f>
        <v/>
      </c>
      <c r="K2243" s="57" t="str">
        <f aca="false">IF($J2243="","",SUMIFS($J$6:$J$2405,$A$6:$A$2405,"&lt;="&amp;$A2243))</f>
        <v/>
      </c>
      <c r="L2243" s="57" t="str">
        <f aca="false">IF($J2243="","",IF($K2243&lt;=BankCostEnvelope*'5. Scenarios'!$C$7,1,0))</f>
        <v/>
      </c>
      <c r="M2243" s="57" t="str">
        <f aca="false">IF($I2243="","",INDEX(BookRate,2238)*(1+'5. Scenarios'!$C$10)*(INDEX(BookQ1,2238)*(5-MIN(4,1+'5. Scenarios'!$C$8))/4+INDEX(BookQ2,2238)*(5-MIN(4,2+'5. Scenarios'!$C$8))/4+INDEX(BookQ3,2238)*(5-MIN(4,3+'5. Scenarios'!$C$8))/4+INDEX(BookQ4,2238)*(5-MIN(4,4+'5. Scenarios'!$C$8))/4)*'5. Scenarios'!$C$6/(1+ProductivityDefault*('5. Scenarios'!$C$11-1))+INDEX(BookOneOff,2238)*$I2243)</f>
        <v/>
      </c>
      <c r="N2243" s="56" t="str">
        <f aca="false">IF(INDEX(BookTitle,2238)="","",INDEX(BookTotal,2238)*'5. Scenarios'!$D$6/(1+ProductivityDefault*('5. Scenarios'!$D$11-1)))</f>
        <v/>
      </c>
      <c r="O2243" s="57" t="str">
        <f aca="false">IF($N2243="","",INDEX(BookRate,2238)*(1+'5. Scenarios'!$D$10)*$N2243)</f>
        <v/>
      </c>
      <c r="P2243" s="57" t="str">
        <f aca="false">IF($O2243="","",SUMIFS($O$6:$O$2405,$A$6:$A$2405,"&lt;="&amp;$A2243))</f>
        <v/>
      </c>
      <c r="Q2243" s="57" t="str">
        <f aca="false">IF($O2243="","",IF($P2243&lt;=BankCostEnvelope*'5. Scenarios'!$D$7,1,0))</f>
        <v/>
      </c>
      <c r="R2243" s="57" t="str">
        <f aca="false">IF($N2243="","",INDEX(BookRate,2238)*(1+'5. Scenarios'!$D$10)*(INDEX(BookQ1,2238)*(5-MIN(4,1+'5. Scenarios'!$D$8))/4+INDEX(BookQ2,2238)*(5-MIN(4,2+'5. Scenarios'!$D$8))/4+INDEX(BookQ3,2238)*(5-MIN(4,3+'5. Scenarios'!$D$8))/4+INDEX(BookQ4,2238)*(5-MIN(4,4+'5. Scenarios'!$D$8))/4)*'5. Scenarios'!$D$6/(1+ProductivityDefault*('5. Scenarios'!$D$11-1))+INDEX(BookOneOff,2238)*$N2243)</f>
        <v/>
      </c>
      <c r="S2243" s="56" t="str">
        <f aca="false">IF(INDEX(BookTitle,2238)="","",INDEX(BookTotal,2238)*'5. Scenarios'!$E$6/(1+ProductivityDefault*('5. Scenarios'!$E$11-1)))</f>
        <v/>
      </c>
      <c r="T2243" s="57" t="str">
        <f aca="false">IF($S2243="","",INDEX(BookRate,2238)*(1+'5. Scenarios'!$E$10)*$S2243)</f>
        <v/>
      </c>
      <c r="U2243" s="57" t="str">
        <f aca="false">IF($T2243="","",SUMIFS($T$6:$T$2405,$A$6:$A$2405,"&lt;="&amp;$A2243))</f>
        <v/>
      </c>
      <c r="V2243" s="57" t="str">
        <f aca="false">IF($T2243="","",IF($U2243&lt;=BankCostEnvelope*'5. Scenarios'!$E$7,1,0))</f>
        <v/>
      </c>
      <c r="W2243" s="57" t="str">
        <f aca="false">IF($S2243="","",INDEX(BookRate,2238)*(1+'5. Scenarios'!$E$10)*(INDEX(BookQ1,2238)*(5-MIN(4,1+'5. Scenarios'!$E$8))/4+INDEX(BookQ2,2238)*(5-MIN(4,2+'5. Scenarios'!$E$8))/4+INDEX(BookQ3,2238)*(5-MIN(4,3+'5. Scenarios'!$E$8))/4+INDEX(BookQ4,2238)*(5-MIN(4,4+'5. Scenarios'!$E$8))/4)*'5. Scenarios'!$E$6/(1+ProductivityDefault*('5. Scenarios'!$E$11-1))+INDEX(BookOneOff,2238)*$S2243)</f>
        <v/>
      </c>
    </row>
    <row r="2244" customFormat="false" ht="15" hidden="false" customHeight="false" outlineLevel="0" collapsed="false">
      <c r="A2244" s="0" t="str">
        <f aca="false">IF(INDEX(BookTitle,2239)="","",INDEX(BookKey,2239))</f>
        <v/>
      </c>
      <c r="B2244" s="0" t="str">
        <f aca="false">IF(INDEX(BookTitle,2239)="","",INDEX(BookGroup,2239))</f>
        <v/>
      </c>
      <c r="C2244" s="0" t="str">
        <f aca="false">IF(INDEX(BookTitle,2239)="","",INDEX(BookCategory,2239))</f>
        <v/>
      </c>
      <c r="D2244" s="56" t="str">
        <f aca="false">IF(INDEX(BookTitle,2239)="","",INDEX(BookTotal,2239)*'5. Scenarios'!$B$6/(1+ProductivityDefault*('5. Scenarios'!$B$11-1)))</f>
        <v/>
      </c>
      <c r="E2244" s="57" t="str">
        <f aca="false">IF($D2244="","",INDEX(BookRate,2239)*(1+'5. Scenarios'!$B$10)*$D2244)</f>
        <v/>
      </c>
      <c r="F2244" s="57" t="str">
        <f aca="false">IF($E2244="","",SUMIFS($E$6:$E$2405,$A$6:$A$2405,"&lt;="&amp;$A2244))</f>
        <v/>
      </c>
      <c r="G2244" s="57" t="str">
        <f aca="false">IF($E2244="","",IF($F2244&lt;=BankCostEnvelope*'5. Scenarios'!$B$7,1,0))</f>
        <v/>
      </c>
      <c r="H2244" s="57" t="str">
        <f aca="false">IF($D2244="","",INDEX(BookRate,2239)*(1+'5. Scenarios'!$B$10)*(INDEX(BookQ1,2239)*(5-MIN(4,1+'5. Scenarios'!$B$8))/4+INDEX(BookQ2,2239)*(5-MIN(4,2+'5. Scenarios'!$B$8))/4+INDEX(BookQ3,2239)*(5-MIN(4,3+'5. Scenarios'!$B$8))/4+INDEX(BookQ4,2239)*(5-MIN(4,4+'5. Scenarios'!$B$8))/4)*'5. Scenarios'!$B$6/(1+ProductivityDefault*('5. Scenarios'!$B$11-1))+INDEX(BookOneOff,2239)*$D2244)</f>
        <v/>
      </c>
      <c r="I2244" s="56" t="str">
        <f aca="false">IF(INDEX(BookTitle,2239)="","",INDEX(BookTotal,2239)*'5. Scenarios'!$C$6/(1+ProductivityDefault*('5. Scenarios'!$C$11-1)))</f>
        <v/>
      </c>
      <c r="J2244" s="57" t="str">
        <f aca="false">IF($I2244="","",INDEX(BookRate,2239)*(1+'5. Scenarios'!$C$10)*$I2244)</f>
        <v/>
      </c>
      <c r="K2244" s="57" t="str">
        <f aca="false">IF($J2244="","",SUMIFS($J$6:$J$2405,$A$6:$A$2405,"&lt;="&amp;$A2244))</f>
        <v/>
      </c>
      <c r="L2244" s="57" t="str">
        <f aca="false">IF($J2244="","",IF($K2244&lt;=BankCostEnvelope*'5. Scenarios'!$C$7,1,0))</f>
        <v/>
      </c>
      <c r="M2244" s="57" t="str">
        <f aca="false">IF($I2244="","",INDEX(BookRate,2239)*(1+'5. Scenarios'!$C$10)*(INDEX(BookQ1,2239)*(5-MIN(4,1+'5. Scenarios'!$C$8))/4+INDEX(BookQ2,2239)*(5-MIN(4,2+'5. Scenarios'!$C$8))/4+INDEX(BookQ3,2239)*(5-MIN(4,3+'5. Scenarios'!$C$8))/4+INDEX(BookQ4,2239)*(5-MIN(4,4+'5. Scenarios'!$C$8))/4)*'5. Scenarios'!$C$6/(1+ProductivityDefault*('5. Scenarios'!$C$11-1))+INDEX(BookOneOff,2239)*$I2244)</f>
        <v/>
      </c>
      <c r="N2244" s="56" t="str">
        <f aca="false">IF(INDEX(BookTitle,2239)="","",INDEX(BookTotal,2239)*'5. Scenarios'!$D$6/(1+ProductivityDefault*('5. Scenarios'!$D$11-1)))</f>
        <v/>
      </c>
      <c r="O2244" s="57" t="str">
        <f aca="false">IF($N2244="","",INDEX(BookRate,2239)*(1+'5. Scenarios'!$D$10)*$N2244)</f>
        <v/>
      </c>
      <c r="P2244" s="57" t="str">
        <f aca="false">IF($O2244="","",SUMIFS($O$6:$O$2405,$A$6:$A$2405,"&lt;="&amp;$A2244))</f>
        <v/>
      </c>
      <c r="Q2244" s="57" t="str">
        <f aca="false">IF($O2244="","",IF($P2244&lt;=BankCostEnvelope*'5. Scenarios'!$D$7,1,0))</f>
        <v/>
      </c>
      <c r="R2244" s="57" t="str">
        <f aca="false">IF($N2244="","",INDEX(BookRate,2239)*(1+'5. Scenarios'!$D$10)*(INDEX(BookQ1,2239)*(5-MIN(4,1+'5. Scenarios'!$D$8))/4+INDEX(BookQ2,2239)*(5-MIN(4,2+'5. Scenarios'!$D$8))/4+INDEX(BookQ3,2239)*(5-MIN(4,3+'5. Scenarios'!$D$8))/4+INDEX(BookQ4,2239)*(5-MIN(4,4+'5. Scenarios'!$D$8))/4)*'5. Scenarios'!$D$6/(1+ProductivityDefault*('5. Scenarios'!$D$11-1))+INDEX(BookOneOff,2239)*$N2244)</f>
        <v/>
      </c>
      <c r="S2244" s="56" t="str">
        <f aca="false">IF(INDEX(BookTitle,2239)="","",INDEX(BookTotal,2239)*'5. Scenarios'!$E$6/(1+ProductivityDefault*('5. Scenarios'!$E$11-1)))</f>
        <v/>
      </c>
      <c r="T2244" s="57" t="str">
        <f aca="false">IF($S2244="","",INDEX(BookRate,2239)*(1+'5. Scenarios'!$E$10)*$S2244)</f>
        <v/>
      </c>
      <c r="U2244" s="57" t="str">
        <f aca="false">IF($T2244="","",SUMIFS($T$6:$T$2405,$A$6:$A$2405,"&lt;="&amp;$A2244))</f>
        <v/>
      </c>
      <c r="V2244" s="57" t="str">
        <f aca="false">IF($T2244="","",IF($U2244&lt;=BankCostEnvelope*'5. Scenarios'!$E$7,1,0))</f>
        <v/>
      </c>
      <c r="W2244" s="57" t="str">
        <f aca="false">IF($S2244="","",INDEX(BookRate,2239)*(1+'5. Scenarios'!$E$10)*(INDEX(BookQ1,2239)*(5-MIN(4,1+'5. Scenarios'!$E$8))/4+INDEX(BookQ2,2239)*(5-MIN(4,2+'5. Scenarios'!$E$8))/4+INDEX(BookQ3,2239)*(5-MIN(4,3+'5. Scenarios'!$E$8))/4+INDEX(BookQ4,2239)*(5-MIN(4,4+'5. Scenarios'!$E$8))/4)*'5. Scenarios'!$E$6/(1+ProductivityDefault*('5. Scenarios'!$E$11-1))+INDEX(BookOneOff,2239)*$S2244)</f>
        <v/>
      </c>
    </row>
    <row r="2245" customFormat="false" ht="15" hidden="false" customHeight="false" outlineLevel="0" collapsed="false">
      <c r="A2245" s="0" t="str">
        <f aca="false">IF(INDEX(BookTitle,2240)="","",INDEX(BookKey,2240))</f>
        <v/>
      </c>
      <c r="B2245" s="0" t="str">
        <f aca="false">IF(INDEX(BookTitle,2240)="","",INDEX(BookGroup,2240))</f>
        <v/>
      </c>
      <c r="C2245" s="0" t="str">
        <f aca="false">IF(INDEX(BookTitle,2240)="","",INDEX(BookCategory,2240))</f>
        <v/>
      </c>
      <c r="D2245" s="56" t="str">
        <f aca="false">IF(INDEX(BookTitle,2240)="","",INDEX(BookTotal,2240)*'5. Scenarios'!$B$6/(1+ProductivityDefault*('5. Scenarios'!$B$11-1)))</f>
        <v/>
      </c>
      <c r="E2245" s="57" t="str">
        <f aca="false">IF($D2245="","",INDEX(BookRate,2240)*(1+'5. Scenarios'!$B$10)*$D2245)</f>
        <v/>
      </c>
      <c r="F2245" s="57" t="str">
        <f aca="false">IF($E2245="","",SUMIFS($E$6:$E$2405,$A$6:$A$2405,"&lt;="&amp;$A2245))</f>
        <v/>
      </c>
      <c r="G2245" s="57" t="str">
        <f aca="false">IF($E2245="","",IF($F2245&lt;=BankCostEnvelope*'5. Scenarios'!$B$7,1,0))</f>
        <v/>
      </c>
      <c r="H2245" s="57" t="str">
        <f aca="false">IF($D2245="","",INDEX(BookRate,2240)*(1+'5. Scenarios'!$B$10)*(INDEX(BookQ1,2240)*(5-MIN(4,1+'5. Scenarios'!$B$8))/4+INDEX(BookQ2,2240)*(5-MIN(4,2+'5. Scenarios'!$B$8))/4+INDEX(BookQ3,2240)*(5-MIN(4,3+'5. Scenarios'!$B$8))/4+INDEX(BookQ4,2240)*(5-MIN(4,4+'5. Scenarios'!$B$8))/4)*'5. Scenarios'!$B$6/(1+ProductivityDefault*('5. Scenarios'!$B$11-1))+INDEX(BookOneOff,2240)*$D2245)</f>
        <v/>
      </c>
      <c r="I2245" s="56" t="str">
        <f aca="false">IF(INDEX(BookTitle,2240)="","",INDEX(BookTotal,2240)*'5. Scenarios'!$C$6/(1+ProductivityDefault*('5. Scenarios'!$C$11-1)))</f>
        <v/>
      </c>
      <c r="J2245" s="57" t="str">
        <f aca="false">IF($I2245="","",INDEX(BookRate,2240)*(1+'5. Scenarios'!$C$10)*$I2245)</f>
        <v/>
      </c>
      <c r="K2245" s="57" t="str">
        <f aca="false">IF($J2245="","",SUMIFS($J$6:$J$2405,$A$6:$A$2405,"&lt;="&amp;$A2245))</f>
        <v/>
      </c>
      <c r="L2245" s="57" t="str">
        <f aca="false">IF($J2245="","",IF($K2245&lt;=BankCostEnvelope*'5. Scenarios'!$C$7,1,0))</f>
        <v/>
      </c>
      <c r="M2245" s="57" t="str">
        <f aca="false">IF($I2245="","",INDEX(BookRate,2240)*(1+'5. Scenarios'!$C$10)*(INDEX(BookQ1,2240)*(5-MIN(4,1+'5. Scenarios'!$C$8))/4+INDEX(BookQ2,2240)*(5-MIN(4,2+'5. Scenarios'!$C$8))/4+INDEX(BookQ3,2240)*(5-MIN(4,3+'5. Scenarios'!$C$8))/4+INDEX(BookQ4,2240)*(5-MIN(4,4+'5. Scenarios'!$C$8))/4)*'5. Scenarios'!$C$6/(1+ProductivityDefault*('5. Scenarios'!$C$11-1))+INDEX(BookOneOff,2240)*$I2245)</f>
        <v/>
      </c>
      <c r="N2245" s="56" t="str">
        <f aca="false">IF(INDEX(BookTitle,2240)="","",INDEX(BookTotal,2240)*'5. Scenarios'!$D$6/(1+ProductivityDefault*('5. Scenarios'!$D$11-1)))</f>
        <v/>
      </c>
      <c r="O2245" s="57" t="str">
        <f aca="false">IF($N2245="","",INDEX(BookRate,2240)*(1+'5. Scenarios'!$D$10)*$N2245)</f>
        <v/>
      </c>
      <c r="P2245" s="57" t="str">
        <f aca="false">IF($O2245="","",SUMIFS($O$6:$O$2405,$A$6:$A$2405,"&lt;="&amp;$A2245))</f>
        <v/>
      </c>
      <c r="Q2245" s="57" t="str">
        <f aca="false">IF($O2245="","",IF($P2245&lt;=BankCostEnvelope*'5. Scenarios'!$D$7,1,0))</f>
        <v/>
      </c>
      <c r="R2245" s="57" t="str">
        <f aca="false">IF($N2245="","",INDEX(BookRate,2240)*(1+'5. Scenarios'!$D$10)*(INDEX(BookQ1,2240)*(5-MIN(4,1+'5. Scenarios'!$D$8))/4+INDEX(BookQ2,2240)*(5-MIN(4,2+'5. Scenarios'!$D$8))/4+INDEX(BookQ3,2240)*(5-MIN(4,3+'5. Scenarios'!$D$8))/4+INDEX(BookQ4,2240)*(5-MIN(4,4+'5. Scenarios'!$D$8))/4)*'5. Scenarios'!$D$6/(1+ProductivityDefault*('5. Scenarios'!$D$11-1))+INDEX(BookOneOff,2240)*$N2245)</f>
        <v/>
      </c>
      <c r="S2245" s="56" t="str">
        <f aca="false">IF(INDEX(BookTitle,2240)="","",INDEX(BookTotal,2240)*'5. Scenarios'!$E$6/(1+ProductivityDefault*('5. Scenarios'!$E$11-1)))</f>
        <v/>
      </c>
      <c r="T2245" s="57" t="str">
        <f aca="false">IF($S2245="","",INDEX(BookRate,2240)*(1+'5. Scenarios'!$E$10)*$S2245)</f>
        <v/>
      </c>
      <c r="U2245" s="57" t="str">
        <f aca="false">IF($T2245="","",SUMIFS($T$6:$T$2405,$A$6:$A$2405,"&lt;="&amp;$A2245))</f>
        <v/>
      </c>
      <c r="V2245" s="57" t="str">
        <f aca="false">IF($T2245="","",IF($U2245&lt;=BankCostEnvelope*'5. Scenarios'!$E$7,1,0))</f>
        <v/>
      </c>
      <c r="W2245" s="57" t="str">
        <f aca="false">IF($S2245="","",INDEX(BookRate,2240)*(1+'5. Scenarios'!$E$10)*(INDEX(BookQ1,2240)*(5-MIN(4,1+'5. Scenarios'!$E$8))/4+INDEX(BookQ2,2240)*(5-MIN(4,2+'5. Scenarios'!$E$8))/4+INDEX(BookQ3,2240)*(5-MIN(4,3+'5. Scenarios'!$E$8))/4+INDEX(BookQ4,2240)*(5-MIN(4,4+'5. Scenarios'!$E$8))/4)*'5. Scenarios'!$E$6/(1+ProductivityDefault*('5. Scenarios'!$E$11-1))+INDEX(BookOneOff,2240)*$S2245)</f>
        <v/>
      </c>
    </row>
    <row r="2246" customFormat="false" ht="15" hidden="false" customHeight="false" outlineLevel="0" collapsed="false">
      <c r="A2246" s="0" t="str">
        <f aca="false">IF(INDEX(BookTitle,2241)="","",INDEX(BookKey,2241))</f>
        <v/>
      </c>
      <c r="B2246" s="0" t="str">
        <f aca="false">IF(INDEX(BookTitle,2241)="","",INDEX(BookGroup,2241))</f>
        <v/>
      </c>
      <c r="C2246" s="0" t="str">
        <f aca="false">IF(INDEX(BookTitle,2241)="","",INDEX(BookCategory,2241))</f>
        <v/>
      </c>
      <c r="D2246" s="56" t="str">
        <f aca="false">IF(INDEX(BookTitle,2241)="","",INDEX(BookTotal,2241)*'5. Scenarios'!$B$6/(1+ProductivityDefault*('5. Scenarios'!$B$11-1)))</f>
        <v/>
      </c>
      <c r="E2246" s="57" t="str">
        <f aca="false">IF($D2246="","",INDEX(BookRate,2241)*(1+'5. Scenarios'!$B$10)*$D2246)</f>
        <v/>
      </c>
      <c r="F2246" s="57" t="str">
        <f aca="false">IF($E2246="","",SUMIFS($E$6:$E$2405,$A$6:$A$2405,"&lt;="&amp;$A2246))</f>
        <v/>
      </c>
      <c r="G2246" s="57" t="str">
        <f aca="false">IF($E2246="","",IF($F2246&lt;=BankCostEnvelope*'5. Scenarios'!$B$7,1,0))</f>
        <v/>
      </c>
      <c r="H2246" s="57" t="str">
        <f aca="false">IF($D2246="","",INDEX(BookRate,2241)*(1+'5. Scenarios'!$B$10)*(INDEX(BookQ1,2241)*(5-MIN(4,1+'5. Scenarios'!$B$8))/4+INDEX(BookQ2,2241)*(5-MIN(4,2+'5. Scenarios'!$B$8))/4+INDEX(BookQ3,2241)*(5-MIN(4,3+'5. Scenarios'!$B$8))/4+INDEX(BookQ4,2241)*(5-MIN(4,4+'5. Scenarios'!$B$8))/4)*'5. Scenarios'!$B$6/(1+ProductivityDefault*('5. Scenarios'!$B$11-1))+INDEX(BookOneOff,2241)*$D2246)</f>
        <v/>
      </c>
      <c r="I2246" s="56" t="str">
        <f aca="false">IF(INDEX(BookTitle,2241)="","",INDEX(BookTotal,2241)*'5. Scenarios'!$C$6/(1+ProductivityDefault*('5. Scenarios'!$C$11-1)))</f>
        <v/>
      </c>
      <c r="J2246" s="57" t="str">
        <f aca="false">IF($I2246="","",INDEX(BookRate,2241)*(1+'5. Scenarios'!$C$10)*$I2246)</f>
        <v/>
      </c>
      <c r="K2246" s="57" t="str">
        <f aca="false">IF($J2246="","",SUMIFS($J$6:$J$2405,$A$6:$A$2405,"&lt;="&amp;$A2246))</f>
        <v/>
      </c>
      <c r="L2246" s="57" t="str">
        <f aca="false">IF($J2246="","",IF($K2246&lt;=BankCostEnvelope*'5. Scenarios'!$C$7,1,0))</f>
        <v/>
      </c>
      <c r="M2246" s="57" t="str">
        <f aca="false">IF($I2246="","",INDEX(BookRate,2241)*(1+'5. Scenarios'!$C$10)*(INDEX(BookQ1,2241)*(5-MIN(4,1+'5. Scenarios'!$C$8))/4+INDEX(BookQ2,2241)*(5-MIN(4,2+'5. Scenarios'!$C$8))/4+INDEX(BookQ3,2241)*(5-MIN(4,3+'5. Scenarios'!$C$8))/4+INDEX(BookQ4,2241)*(5-MIN(4,4+'5. Scenarios'!$C$8))/4)*'5. Scenarios'!$C$6/(1+ProductivityDefault*('5. Scenarios'!$C$11-1))+INDEX(BookOneOff,2241)*$I2246)</f>
        <v/>
      </c>
      <c r="N2246" s="56" t="str">
        <f aca="false">IF(INDEX(BookTitle,2241)="","",INDEX(BookTotal,2241)*'5. Scenarios'!$D$6/(1+ProductivityDefault*('5. Scenarios'!$D$11-1)))</f>
        <v/>
      </c>
      <c r="O2246" s="57" t="str">
        <f aca="false">IF($N2246="","",INDEX(BookRate,2241)*(1+'5. Scenarios'!$D$10)*$N2246)</f>
        <v/>
      </c>
      <c r="P2246" s="57" t="str">
        <f aca="false">IF($O2246="","",SUMIFS($O$6:$O$2405,$A$6:$A$2405,"&lt;="&amp;$A2246))</f>
        <v/>
      </c>
      <c r="Q2246" s="57" t="str">
        <f aca="false">IF($O2246="","",IF($P2246&lt;=BankCostEnvelope*'5. Scenarios'!$D$7,1,0))</f>
        <v/>
      </c>
      <c r="R2246" s="57" t="str">
        <f aca="false">IF($N2246="","",INDEX(BookRate,2241)*(1+'5. Scenarios'!$D$10)*(INDEX(BookQ1,2241)*(5-MIN(4,1+'5. Scenarios'!$D$8))/4+INDEX(BookQ2,2241)*(5-MIN(4,2+'5. Scenarios'!$D$8))/4+INDEX(BookQ3,2241)*(5-MIN(4,3+'5. Scenarios'!$D$8))/4+INDEX(BookQ4,2241)*(5-MIN(4,4+'5. Scenarios'!$D$8))/4)*'5. Scenarios'!$D$6/(1+ProductivityDefault*('5. Scenarios'!$D$11-1))+INDEX(BookOneOff,2241)*$N2246)</f>
        <v/>
      </c>
      <c r="S2246" s="56" t="str">
        <f aca="false">IF(INDEX(BookTitle,2241)="","",INDEX(BookTotal,2241)*'5. Scenarios'!$E$6/(1+ProductivityDefault*('5. Scenarios'!$E$11-1)))</f>
        <v/>
      </c>
      <c r="T2246" s="57" t="str">
        <f aca="false">IF($S2246="","",INDEX(BookRate,2241)*(1+'5. Scenarios'!$E$10)*$S2246)</f>
        <v/>
      </c>
      <c r="U2246" s="57" t="str">
        <f aca="false">IF($T2246="","",SUMIFS($T$6:$T$2405,$A$6:$A$2405,"&lt;="&amp;$A2246))</f>
        <v/>
      </c>
      <c r="V2246" s="57" t="str">
        <f aca="false">IF($T2246="","",IF($U2246&lt;=BankCostEnvelope*'5. Scenarios'!$E$7,1,0))</f>
        <v/>
      </c>
      <c r="W2246" s="57" t="str">
        <f aca="false">IF($S2246="","",INDEX(BookRate,2241)*(1+'5. Scenarios'!$E$10)*(INDEX(BookQ1,2241)*(5-MIN(4,1+'5. Scenarios'!$E$8))/4+INDEX(BookQ2,2241)*(5-MIN(4,2+'5. Scenarios'!$E$8))/4+INDEX(BookQ3,2241)*(5-MIN(4,3+'5. Scenarios'!$E$8))/4+INDEX(BookQ4,2241)*(5-MIN(4,4+'5. Scenarios'!$E$8))/4)*'5. Scenarios'!$E$6/(1+ProductivityDefault*('5. Scenarios'!$E$11-1))+INDEX(BookOneOff,2241)*$S2246)</f>
        <v/>
      </c>
    </row>
    <row r="2247" customFormat="false" ht="15" hidden="false" customHeight="false" outlineLevel="0" collapsed="false">
      <c r="A2247" s="0" t="str">
        <f aca="false">IF(INDEX(BookTitle,2242)="","",INDEX(BookKey,2242))</f>
        <v/>
      </c>
      <c r="B2247" s="0" t="str">
        <f aca="false">IF(INDEX(BookTitle,2242)="","",INDEX(BookGroup,2242))</f>
        <v/>
      </c>
      <c r="C2247" s="0" t="str">
        <f aca="false">IF(INDEX(BookTitle,2242)="","",INDEX(BookCategory,2242))</f>
        <v/>
      </c>
      <c r="D2247" s="56" t="str">
        <f aca="false">IF(INDEX(BookTitle,2242)="","",INDEX(BookTotal,2242)*'5. Scenarios'!$B$6/(1+ProductivityDefault*('5. Scenarios'!$B$11-1)))</f>
        <v/>
      </c>
      <c r="E2247" s="57" t="str">
        <f aca="false">IF($D2247="","",INDEX(BookRate,2242)*(1+'5. Scenarios'!$B$10)*$D2247)</f>
        <v/>
      </c>
      <c r="F2247" s="57" t="str">
        <f aca="false">IF($E2247="","",SUMIFS($E$6:$E$2405,$A$6:$A$2405,"&lt;="&amp;$A2247))</f>
        <v/>
      </c>
      <c r="G2247" s="57" t="str">
        <f aca="false">IF($E2247="","",IF($F2247&lt;=BankCostEnvelope*'5. Scenarios'!$B$7,1,0))</f>
        <v/>
      </c>
      <c r="H2247" s="57" t="str">
        <f aca="false">IF($D2247="","",INDEX(BookRate,2242)*(1+'5. Scenarios'!$B$10)*(INDEX(BookQ1,2242)*(5-MIN(4,1+'5. Scenarios'!$B$8))/4+INDEX(BookQ2,2242)*(5-MIN(4,2+'5. Scenarios'!$B$8))/4+INDEX(BookQ3,2242)*(5-MIN(4,3+'5. Scenarios'!$B$8))/4+INDEX(BookQ4,2242)*(5-MIN(4,4+'5. Scenarios'!$B$8))/4)*'5. Scenarios'!$B$6/(1+ProductivityDefault*('5. Scenarios'!$B$11-1))+INDEX(BookOneOff,2242)*$D2247)</f>
        <v/>
      </c>
      <c r="I2247" s="56" t="str">
        <f aca="false">IF(INDEX(BookTitle,2242)="","",INDEX(BookTotal,2242)*'5. Scenarios'!$C$6/(1+ProductivityDefault*('5. Scenarios'!$C$11-1)))</f>
        <v/>
      </c>
      <c r="J2247" s="57" t="str">
        <f aca="false">IF($I2247="","",INDEX(BookRate,2242)*(1+'5. Scenarios'!$C$10)*$I2247)</f>
        <v/>
      </c>
      <c r="K2247" s="57" t="str">
        <f aca="false">IF($J2247="","",SUMIFS($J$6:$J$2405,$A$6:$A$2405,"&lt;="&amp;$A2247))</f>
        <v/>
      </c>
      <c r="L2247" s="57" t="str">
        <f aca="false">IF($J2247="","",IF($K2247&lt;=BankCostEnvelope*'5. Scenarios'!$C$7,1,0))</f>
        <v/>
      </c>
      <c r="M2247" s="57" t="str">
        <f aca="false">IF($I2247="","",INDEX(BookRate,2242)*(1+'5. Scenarios'!$C$10)*(INDEX(BookQ1,2242)*(5-MIN(4,1+'5. Scenarios'!$C$8))/4+INDEX(BookQ2,2242)*(5-MIN(4,2+'5. Scenarios'!$C$8))/4+INDEX(BookQ3,2242)*(5-MIN(4,3+'5. Scenarios'!$C$8))/4+INDEX(BookQ4,2242)*(5-MIN(4,4+'5. Scenarios'!$C$8))/4)*'5. Scenarios'!$C$6/(1+ProductivityDefault*('5. Scenarios'!$C$11-1))+INDEX(BookOneOff,2242)*$I2247)</f>
        <v/>
      </c>
      <c r="N2247" s="56" t="str">
        <f aca="false">IF(INDEX(BookTitle,2242)="","",INDEX(BookTotal,2242)*'5. Scenarios'!$D$6/(1+ProductivityDefault*('5. Scenarios'!$D$11-1)))</f>
        <v/>
      </c>
      <c r="O2247" s="57" t="str">
        <f aca="false">IF($N2247="","",INDEX(BookRate,2242)*(1+'5. Scenarios'!$D$10)*$N2247)</f>
        <v/>
      </c>
      <c r="P2247" s="57" t="str">
        <f aca="false">IF($O2247="","",SUMIFS($O$6:$O$2405,$A$6:$A$2405,"&lt;="&amp;$A2247))</f>
        <v/>
      </c>
      <c r="Q2247" s="57" t="str">
        <f aca="false">IF($O2247="","",IF($P2247&lt;=BankCostEnvelope*'5. Scenarios'!$D$7,1,0))</f>
        <v/>
      </c>
      <c r="R2247" s="57" t="str">
        <f aca="false">IF($N2247="","",INDEX(BookRate,2242)*(1+'5. Scenarios'!$D$10)*(INDEX(BookQ1,2242)*(5-MIN(4,1+'5. Scenarios'!$D$8))/4+INDEX(BookQ2,2242)*(5-MIN(4,2+'5. Scenarios'!$D$8))/4+INDEX(BookQ3,2242)*(5-MIN(4,3+'5. Scenarios'!$D$8))/4+INDEX(BookQ4,2242)*(5-MIN(4,4+'5. Scenarios'!$D$8))/4)*'5. Scenarios'!$D$6/(1+ProductivityDefault*('5. Scenarios'!$D$11-1))+INDEX(BookOneOff,2242)*$N2247)</f>
        <v/>
      </c>
      <c r="S2247" s="56" t="str">
        <f aca="false">IF(INDEX(BookTitle,2242)="","",INDEX(BookTotal,2242)*'5. Scenarios'!$E$6/(1+ProductivityDefault*('5. Scenarios'!$E$11-1)))</f>
        <v/>
      </c>
      <c r="T2247" s="57" t="str">
        <f aca="false">IF($S2247="","",INDEX(BookRate,2242)*(1+'5. Scenarios'!$E$10)*$S2247)</f>
        <v/>
      </c>
      <c r="U2247" s="57" t="str">
        <f aca="false">IF($T2247="","",SUMIFS($T$6:$T$2405,$A$6:$A$2405,"&lt;="&amp;$A2247))</f>
        <v/>
      </c>
      <c r="V2247" s="57" t="str">
        <f aca="false">IF($T2247="","",IF($U2247&lt;=BankCostEnvelope*'5. Scenarios'!$E$7,1,0))</f>
        <v/>
      </c>
      <c r="W2247" s="57" t="str">
        <f aca="false">IF($S2247="","",INDEX(BookRate,2242)*(1+'5. Scenarios'!$E$10)*(INDEX(BookQ1,2242)*(5-MIN(4,1+'5. Scenarios'!$E$8))/4+INDEX(BookQ2,2242)*(5-MIN(4,2+'5. Scenarios'!$E$8))/4+INDEX(BookQ3,2242)*(5-MIN(4,3+'5. Scenarios'!$E$8))/4+INDEX(BookQ4,2242)*(5-MIN(4,4+'5. Scenarios'!$E$8))/4)*'5. Scenarios'!$E$6/(1+ProductivityDefault*('5. Scenarios'!$E$11-1))+INDEX(BookOneOff,2242)*$S2247)</f>
        <v/>
      </c>
    </row>
    <row r="2248" customFormat="false" ht="15" hidden="false" customHeight="false" outlineLevel="0" collapsed="false">
      <c r="A2248" s="0" t="str">
        <f aca="false">IF(INDEX(BookTitle,2243)="","",INDEX(BookKey,2243))</f>
        <v/>
      </c>
      <c r="B2248" s="0" t="str">
        <f aca="false">IF(INDEX(BookTitle,2243)="","",INDEX(BookGroup,2243))</f>
        <v/>
      </c>
      <c r="C2248" s="0" t="str">
        <f aca="false">IF(INDEX(BookTitle,2243)="","",INDEX(BookCategory,2243))</f>
        <v/>
      </c>
      <c r="D2248" s="56" t="str">
        <f aca="false">IF(INDEX(BookTitle,2243)="","",INDEX(BookTotal,2243)*'5. Scenarios'!$B$6/(1+ProductivityDefault*('5. Scenarios'!$B$11-1)))</f>
        <v/>
      </c>
      <c r="E2248" s="57" t="str">
        <f aca="false">IF($D2248="","",INDEX(BookRate,2243)*(1+'5. Scenarios'!$B$10)*$D2248)</f>
        <v/>
      </c>
      <c r="F2248" s="57" t="str">
        <f aca="false">IF($E2248="","",SUMIFS($E$6:$E$2405,$A$6:$A$2405,"&lt;="&amp;$A2248))</f>
        <v/>
      </c>
      <c r="G2248" s="57" t="str">
        <f aca="false">IF($E2248="","",IF($F2248&lt;=BankCostEnvelope*'5. Scenarios'!$B$7,1,0))</f>
        <v/>
      </c>
      <c r="H2248" s="57" t="str">
        <f aca="false">IF($D2248="","",INDEX(BookRate,2243)*(1+'5. Scenarios'!$B$10)*(INDEX(BookQ1,2243)*(5-MIN(4,1+'5. Scenarios'!$B$8))/4+INDEX(BookQ2,2243)*(5-MIN(4,2+'5. Scenarios'!$B$8))/4+INDEX(BookQ3,2243)*(5-MIN(4,3+'5. Scenarios'!$B$8))/4+INDEX(BookQ4,2243)*(5-MIN(4,4+'5. Scenarios'!$B$8))/4)*'5. Scenarios'!$B$6/(1+ProductivityDefault*('5. Scenarios'!$B$11-1))+INDEX(BookOneOff,2243)*$D2248)</f>
        <v/>
      </c>
      <c r="I2248" s="56" t="str">
        <f aca="false">IF(INDEX(BookTitle,2243)="","",INDEX(BookTotal,2243)*'5. Scenarios'!$C$6/(1+ProductivityDefault*('5. Scenarios'!$C$11-1)))</f>
        <v/>
      </c>
      <c r="J2248" s="57" t="str">
        <f aca="false">IF($I2248="","",INDEX(BookRate,2243)*(1+'5. Scenarios'!$C$10)*$I2248)</f>
        <v/>
      </c>
      <c r="K2248" s="57" t="str">
        <f aca="false">IF($J2248="","",SUMIFS($J$6:$J$2405,$A$6:$A$2405,"&lt;="&amp;$A2248))</f>
        <v/>
      </c>
      <c r="L2248" s="57" t="str">
        <f aca="false">IF($J2248="","",IF($K2248&lt;=BankCostEnvelope*'5. Scenarios'!$C$7,1,0))</f>
        <v/>
      </c>
      <c r="M2248" s="57" t="str">
        <f aca="false">IF($I2248="","",INDEX(BookRate,2243)*(1+'5. Scenarios'!$C$10)*(INDEX(BookQ1,2243)*(5-MIN(4,1+'5. Scenarios'!$C$8))/4+INDEX(BookQ2,2243)*(5-MIN(4,2+'5. Scenarios'!$C$8))/4+INDEX(BookQ3,2243)*(5-MIN(4,3+'5. Scenarios'!$C$8))/4+INDEX(BookQ4,2243)*(5-MIN(4,4+'5. Scenarios'!$C$8))/4)*'5. Scenarios'!$C$6/(1+ProductivityDefault*('5. Scenarios'!$C$11-1))+INDEX(BookOneOff,2243)*$I2248)</f>
        <v/>
      </c>
      <c r="N2248" s="56" t="str">
        <f aca="false">IF(INDEX(BookTitle,2243)="","",INDEX(BookTotal,2243)*'5. Scenarios'!$D$6/(1+ProductivityDefault*('5. Scenarios'!$D$11-1)))</f>
        <v/>
      </c>
      <c r="O2248" s="57" t="str">
        <f aca="false">IF($N2248="","",INDEX(BookRate,2243)*(1+'5. Scenarios'!$D$10)*$N2248)</f>
        <v/>
      </c>
      <c r="P2248" s="57" t="str">
        <f aca="false">IF($O2248="","",SUMIFS($O$6:$O$2405,$A$6:$A$2405,"&lt;="&amp;$A2248))</f>
        <v/>
      </c>
      <c r="Q2248" s="57" t="str">
        <f aca="false">IF($O2248="","",IF($P2248&lt;=BankCostEnvelope*'5. Scenarios'!$D$7,1,0))</f>
        <v/>
      </c>
      <c r="R2248" s="57" t="str">
        <f aca="false">IF($N2248="","",INDEX(BookRate,2243)*(1+'5. Scenarios'!$D$10)*(INDEX(BookQ1,2243)*(5-MIN(4,1+'5. Scenarios'!$D$8))/4+INDEX(BookQ2,2243)*(5-MIN(4,2+'5. Scenarios'!$D$8))/4+INDEX(BookQ3,2243)*(5-MIN(4,3+'5. Scenarios'!$D$8))/4+INDEX(BookQ4,2243)*(5-MIN(4,4+'5. Scenarios'!$D$8))/4)*'5. Scenarios'!$D$6/(1+ProductivityDefault*('5. Scenarios'!$D$11-1))+INDEX(BookOneOff,2243)*$N2248)</f>
        <v/>
      </c>
      <c r="S2248" s="56" t="str">
        <f aca="false">IF(INDEX(BookTitle,2243)="","",INDEX(BookTotal,2243)*'5. Scenarios'!$E$6/(1+ProductivityDefault*('5. Scenarios'!$E$11-1)))</f>
        <v/>
      </c>
      <c r="T2248" s="57" t="str">
        <f aca="false">IF($S2248="","",INDEX(BookRate,2243)*(1+'5. Scenarios'!$E$10)*$S2248)</f>
        <v/>
      </c>
      <c r="U2248" s="57" t="str">
        <f aca="false">IF($T2248="","",SUMIFS($T$6:$T$2405,$A$6:$A$2405,"&lt;="&amp;$A2248))</f>
        <v/>
      </c>
      <c r="V2248" s="57" t="str">
        <f aca="false">IF($T2248="","",IF($U2248&lt;=BankCostEnvelope*'5. Scenarios'!$E$7,1,0))</f>
        <v/>
      </c>
      <c r="W2248" s="57" t="str">
        <f aca="false">IF($S2248="","",INDEX(BookRate,2243)*(1+'5. Scenarios'!$E$10)*(INDEX(BookQ1,2243)*(5-MIN(4,1+'5. Scenarios'!$E$8))/4+INDEX(BookQ2,2243)*(5-MIN(4,2+'5. Scenarios'!$E$8))/4+INDEX(BookQ3,2243)*(5-MIN(4,3+'5. Scenarios'!$E$8))/4+INDEX(BookQ4,2243)*(5-MIN(4,4+'5. Scenarios'!$E$8))/4)*'5. Scenarios'!$E$6/(1+ProductivityDefault*('5. Scenarios'!$E$11-1))+INDEX(BookOneOff,2243)*$S2248)</f>
        <v/>
      </c>
    </row>
    <row r="2249" customFormat="false" ht="15" hidden="false" customHeight="false" outlineLevel="0" collapsed="false">
      <c r="A2249" s="0" t="str">
        <f aca="false">IF(INDEX(BookTitle,2244)="","",INDEX(BookKey,2244))</f>
        <v/>
      </c>
      <c r="B2249" s="0" t="str">
        <f aca="false">IF(INDEX(BookTitle,2244)="","",INDEX(BookGroup,2244))</f>
        <v/>
      </c>
      <c r="C2249" s="0" t="str">
        <f aca="false">IF(INDEX(BookTitle,2244)="","",INDEX(BookCategory,2244))</f>
        <v/>
      </c>
      <c r="D2249" s="56" t="str">
        <f aca="false">IF(INDEX(BookTitle,2244)="","",INDEX(BookTotal,2244)*'5. Scenarios'!$B$6/(1+ProductivityDefault*('5. Scenarios'!$B$11-1)))</f>
        <v/>
      </c>
      <c r="E2249" s="57" t="str">
        <f aca="false">IF($D2249="","",INDEX(BookRate,2244)*(1+'5. Scenarios'!$B$10)*$D2249)</f>
        <v/>
      </c>
      <c r="F2249" s="57" t="str">
        <f aca="false">IF($E2249="","",SUMIFS($E$6:$E$2405,$A$6:$A$2405,"&lt;="&amp;$A2249))</f>
        <v/>
      </c>
      <c r="G2249" s="57" t="str">
        <f aca="false">IF($E2249="","",IF($F2249&lt;=BankCostEnvelope*'5. Scenarios'!$B$7,1,0))</f>
        <v/>
      </c>
      <c r="H2249" s="57" t="str">
        <f aca="false">IF($D2249="","",INDEX(BookRate,2244)*(1+'5. Scenarios'!$B$10)*(INDEX(BookQ1,2244)*(5-MIN(4,1+'5. Scenarios'!$B$8))/4+INDEX(BookQ2,2244)*(5-MIN(4,2+'5. Scenarios'!$B$8))/4+INDEX(BookQ3,2244)*(5-MIN(4,3+'5. Scenarios'!$B$8))/4+INDEX(BookQ4,2244)*(5-MIN(4,4+'5. Scenarios'!$B$8))/4)*'5. Scenarios'!$B$6/(1+ProductivityDefault*('5. Scenarios'!$B$11-1))+INDEX(BookOneOff,2244)*$D2249)</f>
        <v/>
      </c>
      <c r="I2249" s="56" t="str">
        <f aca="false">IF(INDEX(BookTitle,2244)="","",INDEX(BookTotal,2244)*'5. Scenarios'!$C$6/(1+ProductivityDefault*('5. Scenarios'!$C$11-1)))</f>
        <v/>
      </c>
      <c r="J2249" s="57" t="str">
        <f aca="false">IF($I2249="","",INDEX(BookRate,2244)*(1+'5. Scenarios'!$C$10)*$I2249)</f>
        <v/>
      </c>
      <c r="K2249" s="57" t="str">
        <f aca="false">IF($J2249="","",SUMIFS($J$6:$J$2405,$A$6:$A$2405,"&lt;="&amp;$A2249))</f>
        <v/>
      </c>
      <c r="L2249" s="57" t="str">
        <f aca="false">IF($J2249="","",IF($K2249&lt;=BankCostEnvelope*'5. Scenarios'!$C$7,1,0))</f>
        <v/>
      </c>
      <c r="M2249" s="57" t="str">
        <f aca="false">IF($I2249="","",INDEX(BookRate,2244)*(1+'5. Scenarios'!$C$10)*(INDEX(BookQ1,2244)*(5-MIN(4,1+'5. Scenarios'!$C$8))/4+INDEX(BookQ2,2244)*(5-MIN(4,2+'5. Scenarios'!$C$8))/4+INDEX(BookQ3,2244)*(5-MIN(4,3+'5. Scenarios'!$C$8))/4+INDEX(BookQ4,2244)*(5-MIN(4,4+'5. Scenarios'!$C$8))/4)*'5. Scenarios'!$C$6/(1+ProductivityDefault*('5. Scenarios'!$C$11-1))+INDEX(BookOneOff,2244)*$I2249)</f>
        <v/>
      </c>
      <c r="N2249" s="56" t="str">
        <f aca="false">IF(INDEX(BookTitle,2244)="","",INDEX(BookTotal,2244)*'5. Scenarios'!$D$6/(1+ProductivityDefault*('5. Scenarios'!$D$11-1)))</f>
        <v/>
      </c>
      <c r="O2249" s="57" t="str">
        <f aca="false">IF($N2249="","",INDEX(BookRate,2244)*(1+'5. Scenarios'!$D$10)*$N2249)</f>
        <v/>
      </c>
      <c r="P2249" s="57" t="str">
        <f aca="false">IF($O2249="","",SUMIFS($O$6:$O$2405,$A$6:$A$2405,"&lt;="&amp;$A2249))</f>
        <v/>
      </c>
      <c r="Q2249" s="57" t="str">
        <f aca="false">IF($O2249="","",IF($P2249&lt;=BankCostEnvelope*'5. Scenarios'!$D$7,1,0))</f>
        <v/>
      </c>
      <c r="R2249" s="57" t="str">
        <f aca="false">IF($N2249="","",INDEX(BookRate,2244)*(1+'5. Scenarios'!$D$10)*(INDEX(BookQ1,2244)*(5-MIN(4,1+'5. Scenarios'!$D$8))/4+INDEX(BookQ2,2244)*(5-MIN(4,2+'5. Scenarios'!$D$8))/4+INDEX(BookQ3,2244)*(5-MIN(4,3+'5. Scenarios'!$D$8))/4+INDEX(BookQ4,2244)*(5-MIN(4,4+'5. Scenarios'!$D$8))/4)*'5. Scenarios'!$D$6/(1+ProductivityDefault*('5. Scenarios'!$D$11-1))+INDEX(BookOneOff,2244)*$N2249)</f>
        <v/>
      </c>
      <c r="S2249" s="56" t="str">
        <f aca="false">IF(INDEX(BookTitle,2244)="","",INDEX(BookTotal,2244)*'5. Scenarios'!$E$6/(1+ProductivityDefault*('5. Scenarios'!$E$11-1)))</f>
        <v/>
      </c>
      <c r="T2249" s="57" t="str">
        <f aca="false">IF($S2249="","",INDEX(BookRate,2244)*(1+'5. Scenarios'!$E$10)*$S2249)</f>
        <v/>
      </c>
      <c r="U2249" s="57" t="str">
        <f aca="false">IF($T2249="","",SUMIFS($T$6:$T$2405,$A$6:$A$2405,"&lt;="&amp;$A2249))</f>
        <v/>
      </c>
      <c r="V2249" s="57" t="str">
        <f aca="false">IF($T2249="","",IF($U2249&lt;=BankCostEnvelope*'5. Scenarios'!$E$7,1,0))</f>
        <v/>
      </c>
      <c r="W2249" s="57" t="str">
        <f aca="false">IF($S2249="","",INDEX(BookRate,2244)*(1+'5. Scenarios'!$E$10)*(INDEX(BookQ1,2244)*(5-MIN(4,1+'5. Scenarios'!$E$8))/4+INDEX(BookQ2,2244)*(5-MIN(4,2+'5. Scenarios'!$E$8))/4+INDEX(BookQ3,2244)*(5-MIN(4,3+'5. Scenarios'!$E$8))/4+INDEX(BookQ4,2244)*(5-MIN(4,4+'5. Scenarios'!$E$8))/4)*'5. Scenarios'!$E$6/(1+ProductivityDefault*('5. Scenarios'!$E$11-1))+INDEX(BookOneOff,2244)*$S2249)</f>
        <v/>
      </c>
    </row>
    <row r="2250" customFormat="false" ht="15" hidden="false" customHeight="false" outlineLevel="0" collapsed="false">
      <c r="A2250" s="0" t="str">
        <f aca="false">IF(INDEX(BookTitle,2245)="","",INDEX(BookKey,2245))</f>
        <v/>
      </c>
      <c r="B2250" s="0" t="str">
        <f aca="false">IF(INDEX(BookTitle,2245)="","",INDEX(BookGroup,2245))</f>
        <v/>
      </c>
      <c r="C2250" s="0" t="str">
        <f aca="false">IF(INDEX(BookTitle,2245)="","",INDEX(BookCategory,2245))</f>
        <v/>
      </c>
      <c r="D2250" s="56" t="str">
        <f aca="false">IF(INDEX(BookTitle,2245)="","",INDEX(BookTotal,2245)*'5. Scenarios'!$B$6/(1+ProductivityDefault*('5. Scenarios'!$B$11-1)))</f>
        <v/>
      </c>
      <c r="E2250" s="57" t="str">
        <f aca="false">IF($D2250="","",INDEX(BookRate,2245)*(1+'5. Scenarios'!$B$10)*$D2250)</f>
        <v/>
      </c>
      <c r="F2250" s="57" t="str">
        <f aca="false">IF($E2250="","",SUMIFS($E$6:$E$2405,$A$6:$A$2405,"&lt;="&amp;$A2250))</f>
        <v/>
      </c>
      <c r="G2250" s="57" t="str">
        <f aca="false">IF($E2250="","",IF($F2250&lt;=BankCostEnvelope*'5. Scenarios'!$B$7,1,0))</f>
        <v/>
      </c>
      <c r="H2250" s="57" t="str">
        <f aca="false">IF($D2250="","",INDEX(BookRate,2245)*(1+'5. Scenarios'!$B$10)*(INDEX(BookQ1,2245)*(5-MIN(4,1+'5. Scenarios'!$B$8))/4+INDEX(BookQ2,2245)*(5-MIN(4,2+'5. Scenarios'!$B$8))/4+INDEX(BookQ3,2245)*(5-MIN(4,3+'5. Scenarios'!$B$8))/4+INDEX(BookQ4,2245)*(5-MIN(4,4+'5. Scenarios'!$B$8))/4)*'5. Scenarios'!$B$6/(1+ProductivityDefault*('5. Scenarios'!$B$11-1))+INDEX(BookOneOff,2245)*$D2250)</f>
        <v/>
      </c>
      <c r="I2250" s="56" t="str">
        <f aca="false">IF(INDEX(BookTitle,2245)="","",INDEX(BookTotal,2245)*'5. Scenarios'!$C$6/(1+ProductivityDefault*('5. Scenarios'!$C$11-1)))</f>
        <v/>
      </c>
      <c r="J2250" s="57" t="str">
        <f aca="false">IF($I2250="","",INDEX(BookRate,2245)*(1+'5. Scenarios'!$C$10)*$I2250)</f>
        <v/>
      </c>
      <c r="K2250" s="57" t="str">
        <f aca="false">IF($J2250="","",SUMIFS($J$6:$J$2405,$A$6:$A$2405,"&lt;="&amp;$A2250))</f>
        <v/>
      </c>
      <c r="L2250" s="57" t="str">
        <f aca="false">IF($J2250="","",IF($K2250&lt;=BankCostEnvelope*'5. Scenarios'!$C$7,1,0))</f>
        <v/>
      </c>
      <c r="M2250" s="57" t="str">
        <f aca="false">IF($I2250="","",INDEX(BookRate,2245)*(1+'5. Scenarios'!$C$10)*(INDEX(BookQ1,2245)*(5-MIN(4,1+'5. Scenarios'!$C$8))/4+INDEX(BookQ2,2245)*(5-MIN(4,2+'5. Scenarios'!$C$8))/4+INDEX(BookQ3,2245)*(5-MIN(4,3+'5. Scenarios'!$C$8))/4+INDEX(BookQ4,2245)*(5-MIN(4,4+'5. Scenarios'!$C$8))/4)*'5. Scenarios'!$C$6/(1+ProductivityDefault*('5. Scenarios'!$C$11-1))+INDEX(BookOneOff,2245)*$I2250)</f>
        <v/>
      </c>
      <c r="N2250" s="56" t="str">
        <f aca="false">IF(INDEX(BookTitle,2245)="","",INDEX(BookTotal,2245)*'5. Scenarios'!$D$6/(1+ProductivityDefault*('5. Scenarios'!$D$11-1)))</f>
        <v/>
      </c>
      <c r="O2250" s="57" t="str">
        <f aca="false">IF($N2250="","",INDEX(BookRate,2245)*(1+'5. Scenarios'!$D$10)*$N2250)</f>
        <v/>
      </c>
      <c r="P2250" s="57" t="str">
        <f aca="false">IF($O2250="","",SUMIFS($O$6:$O$2405,$A$6:$A$2405,"&lt;="&amp;$A2250))</f>
        <v/>
      </c>
      <c r="Q2250" s="57" t="str">
        <f aca="false">IF($O2250="","",IF($P2250&lt;=BankCostEnvelope*'5. Scenarios'!$D$7,1,0))</f>
        <v/>
      </c>
      <c r="R2250" s="57" t="str">
        <f aca="false">IF($N2250="","",INDEX(BookRate,2245)*(1+'5. Scenarios'!$D$10)*(INDEX(BookQ1,2245)*(5-MIN(4,1+'5. Scenarios'!$D$8))/4+INDEX(BookQ2,2245)*(5-MIN(4,2+'5. Scenarios'!$D$8))/4+INDEX(BookQ3,2245)*(5-MIN(4,3+'5. Scenarios'!$D$8))/4+INDEX(BookQ4,2245)*(5-MIN(4,4+'5. Scenarios'!$D$8))/4)*'5. Scenarios'!$D$6/(1+ProductivityDefault*('5. Scenarios'!$D$11-1))+INDEX(BookOneOff,2245)*$N2250)</f>
        <v/>
      </c>
      <c r="S2250" s="56" t="str">
        <f aca="false">IF(INDEX(BookTitle,2245)="","",INDEX(BookTotal,2245)*'5. Scenarios'!$E$6/(1+ProductivityDefault*('5. Scenarios'!$E$11-1)))</f>
        <v/>
      </c>
      <c r="T2250" s="57" t="str">
        <f aca="false">IF($S2250="","",INDEX(BookRate,2245)*(1+'5. Scenarios'!$E$10)*$S2250)</f>
        <v/>
      </c>
      <c r="U2250" s="57" t="str">
        <f aca="false">IF($T2250="","",SUMIFS($T$6:$T$2405,$A$6:$A$2405,"&lt;="&amp;$A2250))</f>
        <v/>
      </c>
      <c r="V2250" s="57" t="str">
        <f aca="false">IF($T2250="","",IF($U2250&lt;=BankCostEnvelope*'5. Scenarios'!$E$7,1,0))</f>
        <v/>
      </c>
      <c r="W2250" s="57" t="str">
        <f aca="false">IF($S2250="","",INDEX(BookRate,2245)*(1+'5. Scenarios'!$E$10)*(INDEX(BookQ1,2245)*(5-MIN(4,1+'5. Scenarios'!$E$8))/4+INDEX(BookQ2,2245)*(5-MIN(4,2+'5. Scenarios'!$E$8))/4+INDEX(BookQ3,2245)*(5-MIN(4,3+'5. Scenarios'!$E$8))/4+INDEX(BookQ4,2245)*(5-MIN(4,4+'5. Scenarios'!$E$8))/4)*'5. Scenarios'!$E$6/(1+ProductivityDefault*('5. Scenarios'!$E$11-1))+INDEX(BookOneOff,2245)*$S2250)</f>
        <v/>
      </c>
    </row>
    <row r="2251" customFormat="false" ht="15" hidden="false" customHeight="false" outlineLevel="0" collapsed="false">
      <c r="A2251" s="0" t="str">
        <f aca="false">IF(INDEX(BookTitle,2246)="","",INDEX(BookKey,2246))</f>
        <v/>
      </c>
      <c r="B2251" s="0" t="str">
        <f aca="false">IF(INDEX(BookTitle,2246)="","",INDEX(BookGroup,2246))</f>
        <v/>
      </c>
      <c r="C2251" s="0" t="str">
        <f aca="false">IF(INDEX(BookTitle,2246)="","",INDEX(BookCategory,2246))</f>
        <v/>
      </c>
      <c r="D2251" s="56" t="str">
        <f aca="false">IF(INDEX(BookTitle,2246)="","",INDEX(BookTotal,2246)*'5. Scenarios'!$B$6/(1+ProductivityDefault*('5. Scenarios'!$B$11-1)))</f>
        <v/>
      </c>
      <c r="E2251" s="57" t="str">
        <f aca="false">IF($D2251="","",INDEX(BookRate,2246)*(1+'5. Scenarios'!$B$10)*$D2251)</f>
        <v/>
      </c>
      <c r="F2251" s="57" t="str">
        <f aca="false">IF($E2251="","",SUMIFS($E$6:$E$2405,$A$6:$A$2405,"&lt;="&amp;$A2251))</f>
        <v/>
      </c>
      <c r="G2251" s="57" t="str">
        <f aca="false">IF($E2251="","",IF($F2251&lt;=BankCostEnvelope*'5. Scenarios'!$B$7,1,0))</f>
        <v/>
      </c>
      <c r="H2251" s="57" t="str">
        <f aca="false">IF($D2251="","",INDEX(BookRate,2246)*(1+'5. Scenarios'!$B$10)*(INDEX(BookQ1,2246)*(5-MIN(4,1+'5. Scenarios'!$B$8))/4+INDEX(BookQ2,2246)*(5-MIN(4,2+'5. Scenarios'!$B$8))/4+INDEX(BookQ3,2246)*(5-MIN(4,3+'5. Scenarios'!$B$8))/4+INDEX(BookQ4,2246)*(5-MIN(4,4+'5. Scenarios'!$B$8))/4)*'5. Scenarios'!$B$6/(1+ProductivityDefault*('5. Scenarios'!$B$11-1))+INDEX(BookOneOff,2246)*$D2251)</f>
        <v/>
      </c>
      <c r="I2251" s="56" t="str">
        <f aca="false">IF(INDEX(BookTitle,2246)="","",INDEX(BookTotal,2246)*'5. Scenarios'!$C$6/(1+ProductivityDefault*('5. Scenarios'!$C$11-1)))</f>
        <v/>
      </c>
      <c r="J2251" s="57" t="str">
        <f aca="false">IF($I2251="","",INDEX(BookRate,2246)*(1+'5. Scenarios'!$C$10)*$I2251)</f>
        <v/>
      </c>
      <c r="K2251" s="57" t="str">
        <f aca="false">IF($J2251="","",SUMIFS($J$6:$J$2405,$A$6:$A$2405,"&lt;="&amp;$A2251))</f>
        <v/>
      </c>
      <c r="L2251" s="57" t="str">
        <f aca="false">IF($J2251="","",IF($K2251&lt;=BankCostEnvelope*'5. Scenarios'!$C$7,1,0))</f>
        <v/>
      </c>
      <c r="M2251" s="57" t="str">
        <f aca="false">IF($I2251="","",INDEX(BookRate,2246)*(1+'5. Scenarios'!$C$10)*(INDEX(BookQ1,2246)*(5-MIN(4,1+'5. Scenarios'!$C$8))/4+INDEX(BookQ2,2246)*(5-MIN(4,2+'5. Scenarios'!$C$8))/4+INDEX(BookQ3,2246)*(5-MIN(4,3+'5. Scenarios'!$C$8))/4+INDEX(BookQ4,2246)*(5-MIN(4,4+'5. Scenarios'!$C$8))/4)*'5. Scenarios'!$C$6/(1+ProductivityDefault*('5. Scenarios'!$C$11-1))+INDEX(BookOneOff,2246)*$I2251)</f>
        <v/>
      </c>
      <c r="N2251" s="56" t="str">
        <f aca="false">IF(INDEX(BookTitle,2246)="","",INDEX(BookTotal,2246)*'5. Scenarios'!$D$6/(1+ProductivityDefault*('5. Scenarios'!$D$11-1)))</f>
        <v/>
      </c>
      <c r="O2251" s="57" t="str">
        <f aca="false">IF($N2251="","",INDEX(BookRate,2246)*(1+'5. Scenarios'!$D$10)*$N2251)</f>
        <v/>
      </c>
      <c r="P2251" s="57" t="str">
        <f aca="false">IF($O2251="","",SUMIFS($O$6:$O$2405,$A$6:$A$2405,"&lt;="&amp;$A2251))</f>
        <v/>
      </c>
      <c r="Q2251" s="57" t="str">
        <f aca="false">IF($O2251="","",IF($P2251&lt;=BankCostEnvelope*'5. Scenarios'!$D$7,1,0))</f>
        <v/>
      </c>
      <c r="R2251" s="57" t="str">
        <f aca="false">IF($N2251="","",INDEX(BookRate,2246)*(1+'5. Scenarios'!$D$10)*(INDEX(BookQ1,2246)*(5-MIN(4,1+'5. Scenarios'!$D$8))/4+INDEX(BookQ2,2246)*(5-MIN(4,2+'5. Scenarios'!$D$8))/4+INDEX(BookQ3,2246)*(5-MIN(4,3+'5. Scenarios'!$D$8))/4+INDEX(BookQ4,2246)*(5-MIN(4,4+'5. Scenarios'!$D$8))/4)*'5. Scenarios'!$D$6/(1+ProductivityDefault*('5. Scenarios'!$D$11-1))+INDEX(BookOneOff,2246)*$N2251)</f>
        <v/>
      </c>
      <c r="S2251" s="56" t="str">
        <f aca="false">IF(INDEX(BookTitle,2246)="","",INDEX(BookTotal,2246)*'5. Scenarios'!$E$6/(1+ProductivityDefault*('5. Scenarios'!$E$11-1)))</f>
        <v/>
      </c>
      <c r="T2251" s="57" t="str">
        <f aca="false">IF($S2251="","",INDEX(BookRate,2246)*(1+'5. Scenarios'!$E$10)*$S2251)</f>
        <v/>
      </c>
      <c r="U2251" s="57" t="str">
        <f aca="false">IF($T2251="","",SUMIFS($T$6:$T$2405,$A$6:$A$2405,"&lt;="&amp;$A2251))</f>
        <v/>
      </c>
      <c r="V2251" s="57" t="str">
        <f aca="false">IF($T2251="","",IF($U2251&lt;=BankCostEnvelope*'5. Scenarios'!$E$7,1,0))</f>
        <v/>
      </c>
      <c r="W2251" s="57" t="str">
        <f aca="false">IF($S2251="","",INDEX(BookRate,2246)*(1+'5. Scenarios'!$E$10)*(INDEX(BookQ1,2246)*(5-MIN(4,1+'5. Scenarios'!$E$8))/4+INDEX(BookQ2,2246)*(5-MIN(4,2+'5. Scenarios'!$E$8))/4+INDEX(BookQ3,2246)*(5-MIN(4,3+'5. Scenarios'!$E$8))/4+INDEX(BookQ4,2246)*(5-MIN(4,4+'5. Scenarios'!$E$8))/4)*'5. Scenarios'!$E$6/(1+ProductivityDefault*('5. Scenarios'!$E$11-1))+INDEX(BookOneOff,2246)*$S2251)</f>
        <v/>
      </c>
    </row>
    <row r="2252" customFormat="false" ht="15" hidden="false" customHeight="false" outlineLevel="0" collapsed="false">
      <c r="A2252" s="0" t="str">
        <f aca="false">IF(INDEX(BookTitle,2247)="","",INDEX(BookKey,2247))</f>
        <v/>
      </c>
      <c r="B2252" s="0" t="str">
        <f aca="false">IF(INDEX(BookTitle,2247)="","",INDEX(BookGroup,2247))</f>
        <v/>
      </c>
      <c r="C2252" s="0" t="str">
        <f aca="false">IF(INDEX(BookTitle,2247)="","",INDEX(BookCategory,2247))</f>
        <v/>
      </c>
      <c r="D2252" s="56" t="str">
        <f aca="false">IF(INDEX(BookTitle,2247)="","",INDEX(BookTotal,2247)*'5. Scenarios'!$B$6/(1+ProductivityDefault*('5. Scenarios'!$B$11-1)))</f>
        <v/>
      </c>
      <c r="E2252" s="57" t="str">
        <f aca="false">IF($D2252="","",INDEX(BookRate,2247)*(1+'5. Scenarios'!$B$10)*$D2252)</f>
        <v/>
      </c>
      <c r="F2252" s="57" t="str">
        <f aca="false">IF($E2252="","",SUMIFS($E$6:$E$2405,$A$6:$A$2405,"&lt;="&amp;$A2252))</f>
        <v/>
      </c>
      <c r="G2252" s="57" t="str">
        <f aca="false">IF($E2252="","",IF($F2252&lt;=BankCostEnvelope*'5. Scenarios'!$B$7,1,0))</f>
        <v/>
      </c>
      <c r="H2252" s="57" t="str">
        <f aca="false">IF($D2252="","",INDEX(BookRate,2247)*(1+'5. Scenarios'!$B$10)*(INDEX(BookQ1,2247)*(5-MIN(4,1+'5. Scenarios'!$B$8))/4+INDEX(BookQ2,2247)*(5-MIN(4,2+'5. Scenarios'!$B$8))/4+INDEX(BookQ3,2247)*(5-MIN(4,3+'5. Scenarios'!$B$8))/4+INDEX(BookQ4,2247)*(5-MIN(4,4+'5. Scenarios'!$B$8))/4)*'5. Scenarios'!$B$6/(1+ProductivityDefault*('5. Scenarios'!$B$11-1))+INDEX(BookOneOff,2247)*$D2252)</f>
        <v/>
      </c>
      <c r="I2252" s="56" t="str">
        <f aca="false">IF(INDEX(BookTitle,2247)="","",INDEX(BookTotal,2247)*'5. Scenarios'!$C$6/(1+ProductivityDefault*('5. Scenarios'!$C$11-1)))</f>
        <v/>
      </c>
      <c r="J2252" s="57" t="str">
        <f aca="false">IF($I2252="","",INDEX(BookRate,2247)*(1+'5. Scenarios'!$C$10)*$I2252)</f>
        <v/>
      </c>
      <c r="K2252" s="57" t="str">
        <f aca="false">IF($J2252="","",SUMIFS($J$6:$J$2405,$A$6:$A$2405,"&lt;="&amp;$A2252))</f>
        <v/>
      </c>
      <c r="L2252" s="57" t="str">
        <f aca="false">IF($J2252="","",IF($K2252&lt;=BankCostEnvelope*'5. Scenarios'!$C$7,1,0))</f>
        <v/>
      </c>
      <c r="M2252" s="57" t="str">
        <f aca="false">IF($I2252="","",INDEX(BookRate,2247)*(1+'5. Scenarios'!$C$10)*(INDEX(BookQ1,2247)*(5-MIN(4,1+'5. Scenarios'!$C$8))/4+INDEX(BookQ2,2247)*(5-MIN(4,2+'5. Scenarios'!$C$8))/4+INDEX(BookQ3,2247)*(5-MIN(4,3+'5. Scenarios'!$C$8))/4+INDEX(BookQ4,2247)*(5-MIN(4,4+'5. Scenarios'!$C$8))/4)*'5. Scenarios'!$C$6/(1+ProductivityDefault*('5. Scenarios'!$C$11-1))+INDEX(BookOneOff,2247)*$I2252)</f>
        <v/>
      </c>
      <c r="N2252" s="56" t="str">
        <f aca="false">IF(INDEX(BookTitle,2247)="","",INDEX(BookTotal,2247)*'5. Scenarios'!$D$6/(1+ProductivityDefault*('5. Scenarios'!$D$11-1)))</f>
        <v/>
      </c>
      <c r="O2252" s="57" t="str">
        <f aca="false">IF($N2252="","",INDEX(BookRate,2247)*(1+'5. Scenarios'!$D$10)*$N2252)</f>
        <v/>
      </c>
      <c r="P2252" s="57" t="str">
        <f aca="false">IF($O2252="","",SUMIFS($O$6:$O$2405,$A$6:$A$2405,"&lt;="&amp;$A2252))</f>
        <v/>
      </c>
      <c r="Q2252" s="57" t="str">
        <f aca="false">IF($O2252="","",IF($P2252&lt;=BankCostEnvelope*'5. Scenarios'!$D$7,1,0))</f>
        <v/>
      </c>
      <c r="R2252" s="57" t="str">
        <f aca="false">IF($N2252="","",INDEX(BookRate,2247)*(1+'5. Scenarios'!$D$10)*(INDEX(BookQ1,2247)*(5-MIN(4,1+'5. Scenarios'!$D$8))/4+INDEX(BookQ2,2247)*(5-MIN(4,2+'5. Scenarios'!$D$8))/4+INDEX(BookQ3,2247)*(5-MIN(4,3+'5. Scenarios'!$D$8))/4+INDEX(BookQ4,2247)*(5-MIN(4,4+'5. Scenarios'!$D$8))/4)*'5. Scenarios'!$D$6/(1+ProductivityDefault*('5. Scenarios'!$D$11-1))+INDEX(BookOneOff,2247)*$N2252)</f>
        <v/>
      </c>
      <c r="S2252" s="56" t="str">
        <f aca="false">IF(INDEX(BookTitle,2247)="","",INDEX(BookTotal,2247)*'5. Scenarios'!$E$6/(1+ProductivityDefault*('5. Scenarios'!$E$11-1)))</f>
        <v/>
      </c>
      <c r="T2252" s="57" t="str">
        <f aca="false">IF($S2252="","",INDEX(BookRate,2247)*(1+'5. Scenarios'!$E$10)*$S2252)</f>
        <v/>
      </c>
      <c r="U2252" s="57" t="str">
        <f aca="false">IF($T2252="","",SUMIFS($T$6:$T$2405,$A$6:$A$2405,"&lt;="&amp;$A2252))</f>
        <v/>
      </c>
      <c r="V2252" s="57" t="str">
        <f aca="false">IF($T2252="","",IF($U2252&lt;=BankCostEnvelope*'5. Scenarios'!$E$7,1,0))</f>
        <v/>
      </c>
      <c r="W2252" s="57" t="str">
        <f aca="false">IF($S2252="","",INDEX(BookRate,2247)*(1+'5. Scenarios'!$E$10)*(INDEX(BookQ1,2247)*(5-MIN(4,1+'5. Scenarios'!$E$8))/4+INDEX(BookQ2,2247)*(5-MIN(4,2+'5. Scenarios'!$E$8))/4+INDEX(BookQ3,2247)*(5-MIN(4,3+'5. Scenarios'!$E$8))/4+INDEX(BookQ4,2247)*(5-MIN(4,4+'5. Scenarios'!$E$8))/4)*'5. Scenarios'!$E$6/(1+ProductivityDefault*('5. Scenarios'!$E$11-1))+INDEX(BookOneOff,2247)*$S2252)</f>
        <v/>
      </c>
    </row>
    <row r="2253" customFormat="false" ht="15" hidden="false" customHeight="false" outlineLevel="0" collapsed="false">
      <c r="A2253" s="0" t="str">
        <f aca="false">IF(INDEX(BookTitle,2248)="","",INDEX(BookKey,2248))</f>
        <v/>
      </c>
      <c r="B2253" s="0" t="str">
        <f aca="false">IF(INDEX(BookTitle,2248)="","",INDEX(BookGroup,2248))</f>
        <v/>
      </c>
      <c r="C2253" s="0" t="str">
        <f aca="false">IF(INDEX(BookTitle,2248)="","",INDEX(BookCategory,2248))</f>
        <v/>
      </c>
      <c r="D2253" s="56" t="str">
        <f aca="false">IF(INDEX(BookTitle,2248)="","",INDEX(BookTotal,2248)*'5. Scenarios'!$B$6/(1+ProductivityDefault*('5. Scenarios'!$B$11-1)))</f>
        <v/>
      </c>
      <c r="E2253" s="57" t="str">
        <f aca="false">IF($D2253="","",INDEX(BookRate,2248)*(1+'5. Scenarios'!$B$10)*$D2253)</f>
        <v/>
      </c>
      <c r="F2253" s="57" t="str">
        <f aca="false">IF($E2253="","",SUMIFS($E$6:$E$2405,$A$6:$A$2405,"&lt;="&amp;$A2253))</f>
        <v/>
      </c>
      <c r="G2253" s="57" t="str">
        <f aca="false">IF($E2253="","",IF($F2253&lt;=BankCostEnvelope*'5. Scenarios'!$B$7,1,0))</f>
        <v/>
      </c>
      <c r="H2253" s="57" t="str">
        <f aca="false">IF($D2253="","",INDEX(BookRate,2248)*(1+'5. Scenarios'!$B$10)*(INDEX(BookQ1,2248)*(5-MIN(4,1+'5. Scenarios'!$B$8))/4+INDEX(BookQ2,2248)*(5-MIN(4,2+'5. Scenarios'!$B$8))/4+INDEX(BookQ3,2248)*(5-MIN(4,3+'5. Scenarios'!$B$8))/4+INDEX(BookQ4,2248)*(5-MIN(4,4+'5. Scenarios'!$B$8))/4)*'5. Scenarios'!$B$6/(1+ProductivityDefault*('5. Scenarios'!$B$11-1))+INDEX(BookOneOff,2248)*$D2253)</f>
        <v/>
      </c>
      <c r="I2253" s="56" t="str">
        <f aca="false">IF(INDEX(BookTitle,2248)="","",INDEX(BookTotal,2248)*'5. Scenarios'!$C$6/(1+ProductivityDefault*('5. Scenarios'!$C$11-1)))</f>
        <v/>
      </c>
      <c r="J2253" s="57" t="str">
        <f aca="false">IF($I2253="","",INDEX(BookRate,2248)*(1+'5. Scenarios'!$C$10)*$I2253)</f>
        <v/>
      </c>
      <c r="K2253" s="57" t="str">
        <f aca="false">IF($J2253="","",SUMIFS($J$6:$J$2405,$A$6:$A$2405,"&lt;="&amp;$A2253))</f>
        <v/>
      </c>
      <c r="L2253" s="57" t="str">
        <f aca="false">IF($J2253="","",IF($K2253&lt;=BankCostEnvelope*'5. Scenarios'!$C$7,1,0))</f>
        <v/>
      </c>
      <c r="M2253" s="57" t="str">
        <f aca="false">IF($I2253="","",INDEX(BookRate,2248)*(1+'5. Scenarios'!$C$10)*(INDEX(BookQ1,2248)*(5-MIN(4,1+'5. Scenarios'!$C$8))/4+INDEX(BookQ2,2248)*(5-MIN(4,2+'5. Scenarios'!$C$8))/4+INDEX(BookQ3,2248)*(5-MIN(4,3+'5. Scenarios'!$C$8))/4+INDEX(BookQ4,2248)*(5-MIN(4,4+'5. Scenarios'!$C$8))/4)*'5. Scenarios'!$C$6/(1+ProductivityDefault*('5. Scenarios'!$C$11-1))+INDEX(BookOneOff,2248)*$I2253)</f>
        <v/>
      </c>
      <c r="N2253" s="56" t="str">
        <f aca="false">IF(INDEX(BookTitle,2248)="","",INDEX(BookTotal,2248)*'5. Scenarios'!$D$6/(1+ProductivityDefault*('5. Scenarios'!$D$11-1)))</f>
        <v/>
      </c>
      <c r="O2253" s="57" t="str">
        <f aca="false">IF($N2253="","",INDEX(BookRate,2248)*(1+'5. Scenarios'!$D$10)*$N2253)</f>
        <v/>
      </c>
      <c r="P2253" s="57" t="str">
        <f aca="false">IF($O2253="","",SUMIFS($O$6:$O$2405,$A$6:$A$2405,"&lt;="&amp;$A2253))</f>
        <v/>
      </c>
      <c r="Q2253" s="57" t="str">
        <f aca="false">IF($O2253="","",IF($P2253&lt;=BankCostEnvelope*'5. Scenarios'!$D$7,1,0))</f>
        <v/>
      </c>
      <c r="R2253" s="57" t="str">
        <f aca="false">IF($N2253="","",INDEX(BookRate,2248)*(1+'5. Scenarios'!$D$10)*(INDEX(BookQ1,2248)*(5-MIN(4,1+'5. Scenarios'!$D$8))/4+INDEX(BookQ2,2248)*(5-MIN(4,2+'5. Scenarios'!$D$8))/4+INDEX(BookQ3,2248)*(5-MIN(4,3+'5. Scenarios'!$D$8))/4+INDEX(BookQ4,2248)*(5-MIN(4,4+'5. Scenarios'!$D$8))/4)*'5. Scenarios'!$D$6/(1+ProductivityDefault*('5. Scenarios'!$D$11-1))+INDEX(BookOneOff,2248)*$N2253)</f>
        <v/>
      </c>
      <c r="S2253" s="56" t="str">
        <f aca="false">IF(INDEX(BookTitle,2248)="","",INDEX(BookTotal,2248)*'5. Scenarios'!$E$6/(1+ProductivityDefault*('5. Scenarios'!$E$11-1)))</f>
        <v/>
      </c>
      <c r="T2253" s="57" t="str">
        <f aca="false">IF($S2253="","",INDEX(BookRate,2248)*(1+'5. Scenarios'!$E$10)*$S2253)</f>
        <v/>
      </c>
      <c r="U2253" s="57" t="str">
        <f aca="false">IF($T2253="","",SUMIFS($T$6:$T$2405,$A$6:$A$2405,"&lt;="&amp;$A2253))</f>
        <v/>
      </c>
      <c r="V2253" s="57" t="str">
        <f aca="false">IF($T2253="","",IF($U2253&lt;=BankCostEnvelope*'5. Scenarios'!$E$7,1,0))</f>
        <v/>
      </c>
      <c r="W2253" s="57" t="str">
        <f aca="false">IF($S2253="","",INDEX(BookRate,2248)*(1+'5. Scenarios'!$E$10)*(INDEX(BookQ1,2248)*(5-MIN(4,1+'5. Scenarios'!$E$8))/4+INDEX(BookQ2,2248)*(5-MIN(4,2+'5. Scenarios'!$E$8))/4+INDEX(BookQ3,2248)*(5-MIN(4,3+'5. Scenarios'!$E$8))/4+INDEX(BookQ4,2248)*(5-MIN(4,4+'5. Scenarios'!$E$8))/4)*'5. Scenarios'!$E$6/(1+ProductivityDefault*('5. Scenarios'!$E$11-1))+INDEX(BookOneOff,2248)*$S2253)</f>
        <v/>
      </c>
    </row>
    <row r="2254" customFormat="false" ht="15" hidden="false" customHeight="false" outlineLevel="0" collapsed="false">
      <c r="A2254" s="0" t="str">
        <f aca="false">IF(INDEX(BookTitle,2249)="","",INDEX(BookKey,2249))</f>
        <v/>
      </c>
      <c r="B2254" s="0" t="str">
        <f aca="false">IF(INDEX(BookTitle,2249)="","",INDEX(BookGroup,2249))</f>
        <v/>
      </c>
      <c r="C2254" s="0" t="str">
        <f aca="false">IF(INDEX(BookTitle,2249)="","",INDEX(BookCategory,2249))</f>
        <v/>
      </c>
      <c r="D2254" s="56" t="str">
        <f aca="false">IF(INDEX(BookTitle,2249)="","",INDEX(BookTotal,2249)*'5. Scenarios'!$B$6/(1+ProductivityDefault*('5. Scenarios'!$B$11-1)))</f>
        <v/>
      </c>
      <c r="E2254" s="57" t="str">
        <f aca="false">IF($D2254="","",INDEX(BookRate,2249)*(1+'5. Scenarios'!$B$10)*$D2254)</f>
        <v/>
      </c>
      <c r="F2254" s="57" t="str">
        <f aca="false">IF($E2254="","",SUMIFS($E$6:$E$2405,$A$6:$A$2405,"&lt;="&amp;$A2254))</f>
        <v/>
      </c>
      <c r="G2254" s="57" t="str">
        <f aca="false">IF($E2254="","",IF($F2254&lt;=BankCostEnvelope*'5. Scenarios'!$B$7,1,0))</f>
        <v/>
      </c>
      <c r="H2254" s="57" t="str">
        <f aca="false">IF($D2254="","",INDEX(BookRate,2249)*(1+'5. Scenarios'!$B$10)*(INDEX(BookQ1,2249)*(5-MIN(4,1+'5. Scenarios'!$B$8))/4+INDEX(BookQ2,2249)*(5-MIN(4,2+'5. Scenarios'!$B$8))/4+INDEX(BookQ3,2249)*(5-MIN(4,3+'5. Scenarios'!$B$8))/4+INDEX(BookQ4,2249)*(5-MIN(4,4+'5. Scenarios'!$B$8))/4)*'5. Scenarios'!$B$6/(1+ProductivityDefault*('5. Scenarios'!$B$11-1))+INDEX(BookOneOff,2249)*$D2254)</f>
        <v/>
      </c>
      <c r="I2254" s="56" t="str">
        <f aca="false">IF(INDEX(BookTitle,2249)="","",INDEX(BookTotal,2249)*'5. Scenarios'!$C$6/(1+ProductivityDefault*('5. Scenarios'!$C$11-1)))</f>
        <v/>
      </c>
      <c r="J2254" s="57" t="str">
        <f aca="false">IF($I2254="","",INDEX(BookRate,2249)*(1+'5. Scenarios'!$C$10)*$I2254)</f>
        <v/>
      </c>
      <c r="K2254" s="57" t="str">
        <f aca="false">IF($J2254="","",SUMIFS($J$6:$J$2405,$A$6:$A$2405,"&lt;="&amp;$A2254))</f>
        <v/>
      </c>
      <c r="L2254" s="57" t="str">
        <f aca="false">IF($J2254="","",IF($K2254&lt;=BankCostEnvelope*'5. Scenarios'!$C$7,1,0))</f>
        <v/>
      </c>
      <c r="M2254" s="57" t="str">
        <f aca="false">IF($I2254="","",INDEX(BookRate,2249)*(1+'5. Scenarios'!$C$10)*(INDEX(BookQ1,2249)*(5-MIN(4,1+'5. Scenarios'!$C$8))/4+INDEX(BookQ2,2249)*(5-MIN(4,2+'5. Scenarios'!$C$8))/4+INDEX(BookQ3,2249)*(5-MIN(4,3+'5. Scenarios'!$C$8))/4+INDEX(BookQ4,2249)*(5-MIN(4,4+'5. Scenarios'!$C$8))/4)*'5. Scenarios'!$C$6/(1+ProductivityDefault*('5. Scenarios'!$C$11-1))+INDEX(BookOneOff,2249)*$I2254)</f>
        <v/>
      </c>
      <c r="N2254" s="56" t="str">
        <f aca="false">IF(INDEX(BookTitle,2249)="","",INDEX(BookTotal,2249)*'5. Scenarios'!$D$6/(1+ProductivityDefault*('5. Scenarios'!$D$11-1)))</f>
        <v/>
      </c>
      <c r="O2254" s="57" t="str">
        <f aca="false">IF($N2254="","",INDEX(BookRate,2249)*(1+'5. Scenarios'!$D$10)*$N2254)</f>
        <v/>
      </c>
      <c r="P2254" s="57" t="str">
        <f aca="false">IF($O2254="","",SUMIFS($O$6:$O$2405,$A$6:$A$2405,"&lt;="&amp;$A2254))</f>
        <v/>
      </c>
      <c r="Q2254" s="57" t="str">
        <f aca="false">IF($O2254="","",IF($P2254&lt;=BankCostEnvelope*'5. Scenarios'!$D$7,1,0))</f>
        <v/>
      </c>
      <c r="R2254" s="57" t="str">
        <f aca="false">IF($N2254="","",INDEX(BookRate,2249)*(1+'5. Scenarios'!$D$10)*(INDEX(BookQ1,2249)*(5-MIN(4,1+'5. Scenarios'!$D$8))/4+INDEX(BookQ2,2249)*(5-MIN(4,2+'5. Scenarios'!$D$8))/4+INDEX(BookQ3,2249)*(5-MIN(4,3+'5. Scenarios'!$D$8))/4+INDEX(BookQ4,2249)*(5-MIN(4,4+'5. Scenarios'!$D$8))/4)*'5. Scenarios'!$D$6/(1+ProductivityDefault*('5. Scenarios'!$D$11-1))+INDEX(BookOneOff,2249)*$N2254)</f>
        <v/>
      </c>
      <c r="S2254" s="56" t="str">
        <f aca="false">IF(INDEX(BookTitle,2249)="","",INDEX(BookTotal,2249)*'5. Scenarios'!$E$6/(1+ProductivityDefault*('5. Scenarios'!$E$11-1)))</f>
        <v/>
      </c>
      <c r="T2254" s="57" t="str">
        <f aca="false">IF($S2254="","",INDEX(BookRate,2249)*(1+'5. Scenarios'!$E$10)*$S2254)</f>
        <v/>
      </c>
      <c r="U2254" s="57" t="str">
        <f aca="false">IF($T2254="","",SUMIFS($T$6:$T$2405,$A$6:$A$2405,"&lt;="&amp;$A2254))</f>
        <v/>
      </c>
      <c r="V2254" s="57" t="str">
        <f aca="false">IF($T2254="","",IF($U2254&lt;=BankCostEnvelope*'5. Scenarios'!$E$7,1,0))</f>
        <v/>
      </c>
      <c r="W2254" s="57" t="str">
        <f aca="false">IF($S2254="","",INDEX(BookRate,2249)*(1+'5. Scenarios'!$E$10)*(INDEX(BookQ1,2249)*(5-MIN(4,1+'5. Scenarios'!$E$8))/4+INDEX(BookQ2,2249)*(5-MIN(4,2+'5. Scenarios'!$E$8))/4+INDEX(BookQ3,2249)*(5-MIN(4,3+'5. Scenarios'!$E$8))/4+INDEX(BookQ4,2249)*(5-MIN(4,4+'5. Scenarios'!$E$8))/4)*'5. Scenarios'!$E$6/(1+ProductivityDefault*('5. Scenarios'!$E$11-1))+INDEX(BookOneOff,2249)*$S2254)</f>
        <v/>
      </c>
    </row>
    <row r="2255" customFormat="false" ht="15" hidden="false" customHeight="false" outlineLevel="0" collapsed="false">
      <c r="A2255" s="0" t="str">
        <f aca="false">IF(INDEX(BookTitle,2250)="","",INDEX(BookKey,2250))</f>
        <v/>
      </c>
      <c r="B2255" s="0" t="str">
        <f aca="false">IF(INDEX(BookTitle,2250)="","",INDEX(BookGroup,2250))</f>
        <v/>
      </c>
      <c r="C2255" s="0" t="str">
        <f aca="false">IF(INDEX(BookTitle,2250)="","",INDEX(BookCategory,2250))</f>
        <v/>
      </c>
      <c r="D2255" s="56" t="str">
        <f aca="false">IF(INDEX(BookTitle,2250)="","",INDEX(BookTotal,2250)*'5. Scenarios'!$B$6/(1+ProductivityDefault*('5. Scenarios'!$B$11-1)))</f>
        <v/>
      </c>
      <c r="E2255" s="57" t="str">
        <f aca="false">IF($D2255="","",INDEX(BookRate,2250)*(1+'5. Scenarios'!$B$10)*$D2255)</f>
        <v/>
      </c>
      <c r="F2255" s="57" t="str">
        <f aca="false">IF($E2255="","",SUMIFS($E$6:$E$2405,$A$6:$A$2405,"&lt;="&amp;$A2255))</f>
        <v/>
      </c>
      <c r="G2255" s="57" t="str">
        <f aca="false">IF($E2255="","",IF($F2255&lt;=BankCostEnvelope*'5. Scenarios'!$B$7,1,0))</f>
        <v/>
      </c>
      <c r="H2255" s="57" t="str">
        <f aca="false">IF($D2255="","",INDEX(BookRate,2250)*(1+'5. Scenarios'!$B$10)*(INDEX(BookQ1,2250)*(5-MIN(4,1+'5. Scenarios'!$B$8))/4+INDEX(BookQ2,2250)*(5-MIN(4,2+'5. Scenarios'!$B$8))/4+INDEX(BookQ3,2250)*(5-MIN(4,3+'5. Scenarios'!$B$8))/4+INDEX(BookQ4,2250)*(5-MIN(4,4+'5. Scenarios'!$B$8))/4)*'5. Scenarios'!$B$6/(1+ProductivityDefault*('5. Scenarios'!$B$11-1))+INDEX(BookOneOff,2250)*$D2255)</f>
        <v/>
      </c>
      <c r="I2255" s="56" t="str">
        <f aca="false">IF(INDEX(BookTitle,2250)="","",INDEX(BookTotal,2250)*'5. Scenarios'!$C$6/(1+ProductivityDefault*('5. Scenarios'!$C$11-1)))</f>
        <v/>
      </c>
      <c r="J2255" s="57" t="str">
        <f aca="false">IF($I2255="","",INDEX(BookRate,2250)*(1+'5. Scenarios'!$C$10)*$I2255)</f>
        <v/>
      </c>
      <c r="K2255" s="57" t="str">
        <f aca="false">IF($J2255="","",SUMIFS($J$6:$J$2405,$A$6:$A$2405,"&lt;="&amp;$A2255))</f>
        <v/>
      </c>
      <c r="L2255" s="57" t="str">
        <f aca="false">IF($J2255="","",IF($K2255&lt;=BankCostEnvelope*'5. Scenarios'!$C$7,1,0))</f>
        <v/>
      </c>
      <c r="M2255" s="57" t="str">
        <f aca="false">IF($I2255="","",INDEX(BookRate,2250)*(1+'5. Scenarios'!$C$10)*(INDEX(BookQ1,2250)*(5-MIN(4,1+'5. Scenarios'!$C$8))/4+INDEX(BookQ2,2250)*(5-MIN(4,2+'5. Scenarios'!$C$8))/4+INDEX(BookQ3,2250)*(5-MIN(4,3+'5. Scenarios'!$C$8))/4+INDEX(BookQ4,2250)*(5-MIN(4,4+'5. Scenarios'!$C$8))/4)*'5. Scenarios'!$C$6/(1+ProductivityDefault*('5. Scenarios'!$C$11-1))+INDEX(BookOneOff,2250)*$I2255)</f>
        <v/>
      </c>
      <c r="N2255" s="56" t="str">
        <f aca="false">IF(INDEX(BookTitle,2250)="","",INDEX(BookTotal,2250)*'5. Scenarios'!$D$6/(1+ProductivityDefault*('5. Scenarios'!$D$11-1)))</f>
        <v/>
      </c>
      <c r="O2255" s="57" t="str">
        <f aca="false">IF($N2255="","",INDEX(BookRate,2250)*(1+'5. Scenarios'!$D$10)*$N2255)</f>
        <v/>
      </c>
      <c r="P2255" s="57" t="str">
        <f aca="false">IF($O2255="","",SUMIFS($O$6:$O$2405,$A$6:$A$2405,"&lt;="&amp;$A2255))</f>
        <v/>
      </c>
      <c r="Q2255" s="57" t="str">
        <f aca="false">IF($O2255="","",IF($P2255&lt;=BankCostEnvelope*'5. Scenarios'!$D$7,1,0))</f>
        <v/>
      </c>
      <c r="R2255" s="57" t="str">
        <f aca="false">IF($N2255="","",INDEX(BookRate,2250)*(1+'5. Scenarios'!$D$10)*(INDEX(BookQ1,2250)*(5-MIN(4,1+'5. Scenarios'!$D$8))/4+INDEX(BookQ2,2250)*(5-MIN(4,2+'5. Scenarios'!$D$8))/4+INDEX(BookQ3,2250)*(5-MIN(4,3+'5. Scenarios'!$D$8))/4+INDEX(BookQ4,2250)*(5-MIN(4,4+'5. Scenarios'!$D$8))/4)*'5. Scenarios'!$D$6/(1+ProductivityDefault*('5. Scenarios'!$D$11-1))+INDEX(BookOneOff,2250)*$N2255)</f>
        <v/>
      </c>
      <c r="S2255" s="56" t="str">
        <f aca="false">IF(INDEX(BookTitle,2250)="","",INDEX(BookTotal,2250)*'5. Scenarios'!$E$6/(1+ProductivityDefault*('5. Scenarios'!$E$11-1)))</f>
        <v/>
      </c>
      <c r="T2255" s="57" t="str">
        <f aca="false">IF($S2255="","",INDEX(BookRate,2250)*(1+'5. Scenarios'!$E$10)*$S2255)</f>
        <v/>
      </c>
      <c r="U2255" s="57" t="str">
        <f aca="false">IF($T2255="","",SUMIFS($T$6:$T$2405,$A$6:$A$2405,"&lt;="&amp;$A2255))</f>
        <v/>
      </c>
      <c r="V2255" s="57" t="str">
        <f aca="false">IF($T2255="","",IF($U2255&lt;=BankCostEnvelope*'5. Scenarios'!$E$7,1,0))</f>
        <v/>
      </c>
      <c r="W2255" s="57" t="str">
        <f aca="false">IF($S2255="","",INDEX(BookRate,2250)*(1+'5. Scenarios'!$E$10)*(INDEX(BookQ1,2250)*(5-MIN(4,1+'5. Scenarios'!$E$8))/4+INDEX(BookQ2,2250)*(5-MIN(4,2+'5. Scenarios'!$E$8))/4+INDEX(BookQ3,2250)*(5-MIN(4,3+'5. Scenarios'!$E$8))/4+INDEX(BookQ4,2250)*(5-MIN(4,4+'5. Scenarios'!$E$8))/4)*'5. Scenarios'!$E$6/(1+ProductivityDefault*('5. Scenarios'!$E$11-1))+INDEX(BookOneOff,2250)*$S2255)</f>
        <v/>
      </c>
    </row>
    <row r="2256" customFormat="false" ht="15" hidden="false" customHeight="false" outlineLevel="0" collapsed="false">
      <c r="A2256" s="0" t="str">
        <f aca="false">IF(INDEX(BookTitle,2251)="","",INDEX(BookKey,2251))</f>
        <v/>
      </c>
      <c r="B2256" s="0" t="str">
        <f aca="false">IF(INDEX(BookTitle,2251)="","",INDEX(BookGroup,2251))</f>
        <v/>
      </c>
      <c r="C2256" s="0" t="str">
        <f aca="false">IF(INDEX(BookTitle,2251)="","",INDEX(BookCategory,2251))</f>
        <v/>
      </c>
      <c r="D2256" s="56" t="str">
        <f aca="false">IF(INDEX(BookTitle,2251)="","",INDEX(BookTotal,2251)*'5. Scenarios'!$B$6/(1+ProductivityDefault*('5. Scenarios'!$B$11-1)))</f>
        <v/>
      </c>
      <c r="E2256" s="57" t="str">
        <f aca="false">IF($D2256="","",INDEX(BookRate,2251)*(1+'5. Scenarios'!$B$10)*$D2256)</f>
        <v/>
      </c>
      <c r="F2256" s="57" t="str">
        <f aca="false">IF($E2256="","",SUMIFS($E$6:$E$2405,$A$6:$A$2405,"&lt;="&amp;$A2256))</f>
        <v/>
      </c>
      <c r="G2256" s="57" t="str">
        <f aca="false">IF($E2256="","",IF($F2256&lt;=BankCostEnvelope*'5. Scenarios'!$B$7,1,0))</f>
        <v/>
      </c>
      <c r="H2256" s="57" t="str">
        <f aca="false">IF($D2256="","",INDEX(BookRate,2251)*(1+'5. Scenarios'!$B$10)*(INDEX(BookQ1,2251)*(5-MIN(4,1+'5. Scenarios'!$B$8))/4+INDEX(BookQ2,2251)*(5-MIN(4,2+'5. Scenarios'!$B$8))/4+INDEX(BookQ3,2251)*(5-MIN(4,3+'5. Scenarios'!$B$8))/4+INDEX(BookQ4,2251)*(5-MIN(4,4+'5. Scenarios'!$B$8))/4)*'5. Scenarios'!$B$6/(1+ProductivityDefault*('5. Scenarios'!$B$11-1))+INDEX(BookOneOff,2251)*$D2256)</f>
        <v/>
      </c>
      <c r="I2256" s="56" t="str">
        <f aca="false">IF(INDEX(BookTitle,2251)="","",INDEX(BookTotal,2251)*'5. Scenarios'!$C$6/(1+ProductivityDefault*('5. Scenarios'!$C$11-1)))</f>
        <v/>
      </c>
      <c r="J2256" s="57" t="str">
        <f aca="false">IF($I2256="","",INDEX(BookRate,2251)*(1+'5. Scenarios'!$C$10)*$I2256)</f>
        <v/>
      </c>
      <c r="K2256" s="57" t="str">
        <f aca="false">IF($J2256="","",SUMIFS($J$6:$J$2405,$A$6:$A$2405,"&lt;="&amp;$A2256))</f>
        <v/>
      </c>
      <c r="L2256" s="57" t="str">
        <f aca="false">IF($J2256="","",IF($K2256&lt;=BankCostEnvelope*'5. Scenarios'!$C$7,1,0))</f>
        <v/>
      </c>
      <c r="M2256" s="57" t="str">
        <f aca="false">IF($I2256="","",INDEX(BookRate,2251)*(1+'5. Scenarios'!$C$10)*(INDEX(BookQ1,2251)*(5-MIN(4,1+'5. Scenarios'!$C$8))/4+INDEX(BookQ2,2251)*(5-MIN(4,2+'5. Scenarios'!$C$8))/4+INDEX(BookQ3,2251)*(5-MIN(4,3+'5. Scenarios'!$C$8))/4+INDEX(BookQ4,2251)*(5-MIN(4,4+'5. Scenarios'!$C$8))/4)*'5. Scenarios'!$C$6/(1+ProductivityDefault*('5. Scenarios'!$C$11-1))+INDEX(BookOneOff,2251)*$I2256)</f>
        <v/>
      </c>
      <c r="N2256" s="56" t="str">
        <f aca="false">IF(INDEX(BookTitle,2251)="","",INDEX(BookTotal,2251)*'5. Scenarios'!$D$6/(1+ProductivityDefault*('5. Scenarios'!$D$11-1)))</f>
        <v/>
      </c>
      <c r="O2256" s="57" t="str">
        <f aca="false">IF($N2256="","",INDEX(BookRate,2251)*(1+'5. Scenarios'!$D$10)*$N2256)</f>
        <v/>
      </c>
      <c r="P2256" s="57" t="str">
        <f aca="false">IF($O2256="","",SUMIFS($O$6:$O$2405,$A$6:$A$2405,"&lt;="&amp;$A2256))</f>
        <v/>
      </c>
      <c r="Q2256" s="57" t="str">
        <f aca="false">IF($O2256="","",IF($P2256&lt;=BankCostEnvelope*'5. Scenarios'!$D$7,1,0))</f>
        <v/>
      </c>
      <c r="R2256" s="57" t="str">
        <f aca="false">IF($N2256="","",INDEX(BookRate,2251)*(1+'5. Scenarios'!$D$10)*(INDEX(BookQ1,2251)*(5-MIN(4,1+'5. Scenarios'!$D$8))/4+INDEX(BookQ2,2251)*(5-MIN(4,2+'5. Scenarios'!$D$8))/4+INDEX(BookQ3,2251)*(5-MIN(4,3+'5. Scenarios'!$D$8))/4+INDEX(BookQ4,2251)*(5-MIN(4,4+'5. Scenarios'!$D$8))/4)*'5. Scenarios'!$D$6/(1+ProductivityDefault*('5. Scenarios'!$D$11-1))+INDEX(BookOneOff,2251)*$N2256)</f>
        <v/>
      </c>
      <c r="S2256" s="56" t="str">
        <f aca="false">IF(INDEX(BookTitle,2251)="","",INDEX(BookTotal,2251)*'5. Scenarios'!$E$6/(1+ProductivityDefault*('5. Scenarios'!$E$11-1)))</f>
        <v/>
      </c>
      <c r="T2256" s="57" t="str">
        <f aca="false">IF($S2256="","",INDEX(BookRate,2251)*(1+'5. Scenarios'!$E$10)*$S2256)</f>
        <v/>
      </c>
      <c r="U2256" s="57" t="str">
        <f aca="false">IF($T2256="","",SUMIFS($T$6:$T$2405,$A$6:$A$2405,"&lt;="&amp;$A2256))</f>
        <v/>
      </c>
      <c r="V2256" s="57" t="str">
        <f aca="false">IF($T2256="","",IF($U2256&lt;=BankCostEnvelope*'5. Scenarios'!$E$7,1,0))</f>
        <v/>
      </c>
      <c r="W2256" s="57" t="str">
        <f aca="false">IF($S2256="","",INDEX(BookRate,2251)*(1+'5. Scenarios'!$E$10)*(INDEX(BookQ1,2251)*(5-MIN(4,1+'5. Scenarios'!$E$8))/4+INDEX(BookQ2,2251)*(5-MIN(4,2+'5. Scenarios'!$E$8))/4+INDEX(BookQ3,2251)*(5-MIN(4,3+'5. Scenarios'!$E$8))/4+INDEX(BookQ4,2251)*(5-MIN(4,4+'5. Scenarios'!$E$8))/4)*'5. Scenarios'!$E$6/(1+ProductivityDefault*('5. Scenarios'!$E$11-1))+INDEX(BookOneOff,2251)*$S2256)</f>
        <v/>
      </c>
    </row>
    <row r="2257" customFormat="false" ht="15" hidden="false" customHeight="false" outlineLevel="0" collapsed="false">
      <c r="A2257" s="0" t="str">
        <f aca="false">IF(INDEX(BookTitle,2252)="","",INDEX(BookKey,2252))</f>
        <v/>
      </c>
      <c r="B2257" s="0" t="str">
        <f aca="false">IF(INDEX(BookTitle,2252)="","",INDEX(BookGroup,2252))</f>
        <v/>
      </c>
      <c r="C2257" s="0" t="str">
        <f aca="false">IF(INDEX(BookTitle,2252)="","",INDEX(BookCategory,2252))</f>
        <v/>
      </c>
      <c r="D2257" s="56" t="str">
        <f aca="false">IF(INDEX(BookTitle,2252)="","",INDEX(BookTotal,2252)*'5. Scenarios'!$B$6/(1+ProductivityDefault*('5. Scenarios'!$B$11-1)))</f>
        <v/>
      </c>
      <c r="E2257" s="57" t="str">
        <f aca="false">IF($D2257="","",INDEX(BookRate,2252)*(1+'5. Scenarios'!$B$10)*$D2257)</f>
        <v/>
      </c>
      <c r="F2257" s="57" t="str">
        <f aca="false">IF($E2257="","",SUMIFS($E$6:$E$2405,$A$6:$A$2405,"&lt;="&amp;$A2257))</f>
        <v/>
      </c>
      <c r="G2257" s="57" t="str">
        <f aca="false">IF($E2257="","",IF($F2257&lt;=BankCostEnvelope*'5. Scenarios'!$B$7,1,0))</f>
        <v/>
      </c>
      <c r="H2257" s="57" t="str">
        <f aca="false">IF($D2257="","",INDEX(BookRate,2252)*(1+'5. Scenarios'!$B$10)*(INDEX(BookQ1,2252)*(5-MIN(4,1+'5. Scenarios'!$B$8))/4+INDEX(BookQ2,2252)*(5-MIN(4,2+'5. Scenarios'!$B$8))/4+INDEX(BookQ3,2252)*(5-MIN(4,3+'5. Scenarios'!$B$8))/4+INDEX(BookQ4,2252)*(5-MIN(4,4+'5. Scenarios'!$B$8))/4)*'5. Scenarios'!$B$6/(1+ProductivityDefault*('5. Scenarios'!$B$11-1))+INDEX(BookOneOff,2252)*$D2257)</f>
        <v/>
      </c>
      <c r="I2257" s="56" t="str">
        <f aca="false">IF(INDEX(BookTitle,2252)="","",INDEX(BookTotal,2252)*'5. Scenarios'!$C$6/(1+ProductivityDefault*('5. Scenarios'!$C$11-1)))</f>
        <v/>
      </c>
      <c r="J2257" s="57" t="str">
        <f aca="false">IF($I2257="","",INDEX(BookRate,2252)*(1+'5. Scenarios'!$C$10)*$I2257)</f>
        <v/>
      </c>
      <c r="K2257" s="57" t="str">
        <f aca="false">IF($J2257="","",SUMIFS($J$6:$J$2405,$A$6:$A$2405,"&lt;="&amp;$A2257))</f>
        <v/>
      </c>
      <c r="L2257" s="57" t="str">
        <f aca="false">IF($J2257="","",IF($K2257&lt;=BankCostEnvelope*'5. Scenarios'!$C$7,1,0))</f>
        <v/>
      </c>
      <c r="M2257" s="57" t="str">
        <f aca="false">IF($I2257="","",INDEX(BookRate,2252)*(1+'5. Scenarios'!$C$10)*(INDEX(BookQ1,2252)*(5-MIN(4,1+'5. Scenarios'!$C$8))/4+INDEX(BookQ2,2252)*(5-MIN(4,2+'5. Scenarios'!$C$8))/4+INDEX(BookQ3,2252)*(5-MIN(4,3+'5. Scenarios'!$C$8))/4+INDEX(BookQ4,2252)*(5-MIN(4,4+'5. Scenarios'!$C$8))/4)*'5. Scenarios'!$C$6/(1+ProductivityDefault*('5. Scenarios'!$C$11-1))+INDEX(BookOneOff,2252)*$I2257)</f>
        <v/>
      </c>
      <c r="N2257" s="56" t="str">
        <f aca="false">IF(INDEX(BookTitle,2252)="","",INDEX(BookTotal,2252)*'5. Scenarios'!$D$6/(1+ProductivityDefault*('5. Scenarios'!$D$11-1)))</f>
        <v/>
      </c>
      <c r="O2257" s="57" t="str">
        <f aca="false">IF($N2257="","",INDEX(BookRate,2252)*(1+'5. Scenarios'!$D$10)*$N2257)</f>
        <v/>
      </c>
      <c r="P2257" s="57" t="str">
        <f aca="false">IF($O2257="","",SUMIFS($O$6:$O$2405,$A$6:$A$2405,"&lt;="&amp;$A2257))</f>
        <v/>
      </c>
      <c r="Q2257" s="57" t="str">
        <f aca="false">IF($O2257="","",IF($P2257&lt;=BankCostEnvelope*'5. Scenarios'!$D$7,1,0))</f>
        <v/>
      </c>
      <c r="R2257" s="57" t="str">
        <f aca="false">IF($N2257="","",INDEX(BookRate,2252)*(1+'5. Scenarios'!$D$10)*(INDEX(BookQ1,2252)*(5-MIN(4,1+'5. Scenarios'!$D$8))/4+INDEX(BookQ2,2252)*(5-MIN(4,2+'5. Scenarios'!$D$8))/4+INDEX(BookQ3,2252)*(5-MIN(4,3+'5. Scenarios'!$D$8))/4+INDEX(BookQ4,2252)*(5-MIN(4,4+'5. Scenarios'!$D$8))/4)*'5. Scenarios'!$D$6/(1+ProductivityDefault*('5. Scenarios'!$D$11-1))+INDEX(BookOneOff,2252)*$N2257)</f>
        <v/>
      </c>
      <c r="S2257" s="56" t="str">
        <f aca="false">IF(INDEX(BookTitle,2252)="","",INDEX(BookTotal,2252)*'5. Scenarios'!$E$6/(1+ProductivityDefault*('5. Scenarios'!$E$11-1)))</f>
        <v/>
      </c>
      <c r="T2257" s="57" t="str">
        <f aca="false">IF($S2257="","",INDEX(BookRate,2252)*(1+'5. Scenarios'!$E$10)*$S2257)</f>
        <v/>
      </c>
      <c r="U2257" s="57" t="str">
        <f aca="false">IF($T2257="","",SUMIFS($T$6:$T$2405,$A$6:$A$2405,"&lt;="&amp;$A2257))</f>
        <v/>
      </c>
      <c r="V2257" s="57" t="str">
        <f aca="false">IF($T2257="","",IF($U2257&lt;=BankCostEnvelope*'5. Scenarios'!$E$7,1,0))</f>
        <v/>
      </c>
      <c r="W2257" s="57" t="str">
        <f aca="false">IF($S2257="","",INDEX(BookRate,2252)*(1+'5. Scenarios'!$E$10)*(INDEX(BookQ1,2252)*(5-MIN(4,1+'5. Scenarios'!$E$8))/4+INDEX(BookQ2,2252)*(5-MIN(4,2+'5. Scenarios'!$E$8))/4+INDEX(BookQ3,2252)*(5-MIN(4,3+'5. Scenarios'!$E$8))/4+INDEX(BookQ4,2252)*(5-MIN(4,4+'5. Scenarios'!$E$8))/4)*'5. Scenarios'!$E$6/(1+ProductivityDefault*('5. Scenarios'!$E$11-1))+INDEX(BookOneOff,2252)*$S2257)</f>
        <v/>
      </c>
    </row>
    <row r="2258" customFormat="false" ht="15" hidden="false" customHeight="false" outlineLevel="0" collapsed="false">
      <c r="A2258" s="0" t="str">
        <f aca="false">IF(INDEX(BookTitle,2253)="","",INDEX(BookKey,2253))</f>
        <v/>
      </c>
      <c r="B2258" s="0" t="str">
        <f aca="false">IF(INDEX(BookTitle,2253)="","",INDEX(BookGroup,2253))</f>
        <v/>
      </c>
      <c r="C2258" s="0" t="str">
        <f aca="false">IF(INDEX(BookTitle,2253)="","",INDEX(BookCategory,2253))</f>
        <v/>
      </c>
      <c r="D2258" s="56" t="str">
        <f aca="false">IF(INDEX(BookTitle,2253)="","",INDEX(BookTotal,2253)*'5. Scenarios'!$B$6/(1+ProductivityDefault*('5. Scenarios'!$B$11-1)))</f>
        <v/>
      </c>
      <c r="E2258" s="57" t="str">
        <f aca="false">IF($D2258="","",INDEX(BookRate,2253)*(1+'5. Scenarios'!$B$10)*$D2258)</f>
        <v/>
      </c>
      <c r="F2258" s="57" t="str">
        <f aca="false">IF($E2258="","",SUMIFS($E$6:$E$2405,$A$6:$A$2405,"&lt;="&amp;$A2258))</f>
        <v/>
      </c>
      <c r="G2258" s="57" t="str">
        <f aca="false">IF($E2258="","",IF($F2258&lt;=BankCostEnvelope*'5. Scenarios'!$B$7,1,0))</f>
        <v/>
      </c>
      <c r="H2258" s="57" t="str">
        <f aca="false">IF($D2258="","",INDEX(BookRate,2253)*(1+'5. Scenarios'!$B$10)*(INDEX(BookQ1,2253)*(5-MIN(4,1+'5. Scenarios'!$B$8))/4+INDEX(BookQ2,2253)*(5-MIN(4,2+'5. Scenarios'!$B$8))/4+INDEX(BookQ3,2253)*(5-MIN(4,3+'5. Scenarios'!$B$8))/4+INDEX(BookQ4,2253)*(5-MIN(4,4+'5. Scenarios'!$B$8))/4)*'5. Scenarios'!$B$6/(1+ProductivityDefault*('5. Scenarios'!$B$11-1))+INDEX(BookOneOff,2253)*$D2258)</f>
        <v/>
      </c>
      <c r="I2258" s="56" t="str">
        <f aca="false">IF(INDEX(BookTitle,2253)="","",INDEX(BookTotal,2253)*'5. Scenarios'!$C$6/(1+ProductivityDefault*('5. Scenarios'!$C$11-1)))</f>
        <v/>
      </c>
      <c r="J2258" s="57" t="str">
        <f aca="false">IF($I2258="","",INDEX(BookRate,2253)*(1+'5. Scenarios'!$C$10)*$I2258)</f>
        <v/>
      </c>
      <c r="K2258" s="57" t="str">
        <f aca="false">IF($J2258="","",SUMIFS($J$6:$J$2405,$A$6:$A$2405,"&lt;="&amp;$A2258))</f>
        <v/>
      </c>
      <c r="L2258" s="57" t="str">
        <f aca="false">IF($J2258="","",IF($K2258&lt;=BankCostEnvelope*'5. Scenarios'!$C$7,1,0))</f>
        <v/>
      </c>
      <c r="M2258" s="57" t="str">
        <f aca="false">IF($I2258="","",INDEX(BookRate,2253)*(1+'5. Scenarios'!$C$10)*(INDEX(BookQ1,2253)*(5-MIN(4,1+'5. Scenarios'!$C$8))/4+INDEX(BookQ2,2253)*(5-MIN(4,2+'5. Scenarios'!$C$8))/4+INDEX(BookQ3,2253)*(5-MIN(4,3+'5. Scenarios'!$C$8))/4+INDEX(BookQ4,2253)*(5-MIN(4,4+'5. Scenarios'!$C$8))/4)*'5. Scenarios'!$C$6/(1+ProductivityDefault*('5. Scenarios'!$C$11-1))+INDEX(BookOneOff,2253)*$I2258)</f>
        <v/>
      </c>
      <c r="N2258" s="56" t="str">
        <f aca="false">IF(INDEX(BookTitle,2253)="","",INDEX(BookTotal,2253)*'5. Scenarios'!$D$6/(1+ProductivityDefault*('5. Scenarios'!$D$11-1)))</f>
        <v/>
      </c>
      <c r="O2258" s="57" t="str">
        <f aca="false">IF($N2258="","",INDEX(BookRate,2253)*(1+'5. Scenarios'!$D$10)*$N2258)</f>
        <v/>
      </c>
      <c r="P2258" s="57" t="str">
        <f aca="false">IF($O2258="","",SUMIFS($O$6:$O$2405,$A$6:$A$2405,"&lt;="&amp;$A2258))</f>
        <v/>
      </c>
      <c r="Q2258" s="57" t="str">
        <f aca="false">IF($O2258="","",IF($P2258&lt;=BankCostEnvelope*'5. Scenarios'!$D$7,1,0))</f>
        <v/>
      </c>
      <c r="R2258" s="57" t="str">
        <f aca="false">IF($N2258="","",INDEX(BookRate,2253)*(1+'5. Scenarios'!$D$10)*(INDEX(BookQ1,2253)*(5-MIN(4,1+'5. Scenarios'!$D$8))/4+INDEX(BookQ2,2253)*(5-MIN(4,2+'5. Scenarios'!$D$8))/4+INDEX(BookQ3,2253)*(5-MIN(4,3+'5. Scenarios'!$D$8))/4+INDEX(BookQ4,2253)*(5-MIN(4,4+'5. Scenarios'!$D$8))/4)*'5. Scenarios'!$D$6/(1+ProductivityDefault*('5. Scenarios'!$D$11-1))+INDEX(BookOneOff,2253)*$N2258)</f>
        <v/>
      </c>
      <c r="S2258" s="56" t="str">
        <f aca="false">IF(INDEX(BookTitle,2253)="","",INDEX(BookTotal,2253)*'5. Scenarios'!$E$6/(1+ProductivityDefault*('5. Scenarios'!$E$11-1)))</f>
        <v/>
      </c>
      <c r="T2258" s="57" t="str">
        <f aca="false">IF($S2258="","",INDEX(BookRate,2253)*(1+'5. Scenarios'!$E$10)*$S2258)</f>
        <v/>
      </c>
      <c r="U2258" s="57" t="str">
        <f aca="false">IF($T2258="","",SUMIFS($T$6:$T$2405,$A$6:$A$2405,"&lt;="&amp;$A2258))</f>
        <v/>
      </c>
      <c r="V2258" s="57" t="str">
        <f aca="false">IF($T2258="","",IF($U2258&lt;=BankCostEnvelope*'5. Scenarios'!$E$7,1,0))</f>
        <v/>
      </c>
      <c r="W2258" s="57" t="str">
        <f aca="false">IF($S2258="","",INDEX(BookRate,2253)*(1+'5. Scenarios'!$E$10)*(INDEX(BookQ1,2253)*(5-MIN(4,1+'5. Scenarios'!$E$8))/4+INDEX(BookQ2,2253)*(5-MIN(4,2+'5. Scenarios'!$E$8))/4+INDEX(BookQ3,2253)*(5-MIN(4,3+'5. Scenarios'!$E$8))/4+INDEX(BookQ4,2253)*(5-MIN(4,4+'5. Scenarios'!$E$8))/4)*'5. Scenarios'!$E$6/(1+ProductivityDefault*('5. Scenarios'!$E$11-1))+INDEX(BookOneOff,2253)*$S2258)</f>
        <v/>
      </c>
    </row>
    <row r="2259" customFormat="false" ht="15" hidden="false" customHeight="false" outlineLevel="0" collapsed="false">
      <c r="A2259" s="0" t="str">
        <f aca="false">IF(INDEX(BookTitle,2254)="","",INDEX(BookKey,2254))</f>
        <v/>
      </c>
      <c r="B2259" s="0" t="str">
        <f aca="false">IF(INDEX(BookTitle,2254)="","",INDEX(BookGroup,2254))</f>
        <v/>
      </c>
      <c r="C2259" s="0" t="str">
        <f aca="false">IF(INDEX(BookTitle,2254)="","",INDEX(BookCategory,2254))</f>
        <v/>
      </c>
      <c r="D2259" s="56" t="str">
        <f aca="false">IF(INDEX(BookTitle,2254)="","",INDEX(BookTotal,2254)*'5. Scenarios'!$B$6/(1+ProductivityDefault*('5. Scenarios'!$B$11-1)))</f>
        <v/>
      </c>
      <c r="E2259" s="57" t="str">
        <f aca="false">IF($D2259="","",INDEX(BookRate,2254)*(1+'5. Scenarios'!$B$10)*$D2259)</f>
        <v/>
      </c>
      <c r="F2259" s="57" t="str">
        <f aca="false">IF($E2259="","",SUMIFS($E$6:$E$2405,$A$6:$A$2405,"&lt;="&amp;$A2259))</f>
        <v/>
      </c>
      <c r="G2259" s="57" t="str">
        <f aca="false">IF($E2259="","",IF($F2259&lt;=BankCostEnvelope*'5. Scenarios'!$B$7,1,0))</f>
        <v/>
      </c>
      <c r="H2259" s="57" t="str">
        <f aca="false">IF($D2259="","",INDEX(BookRate,2254)*(1+'5. Scenarios'!$B$10)*(INDEX(BookQ1,2254)*(5-MIN(4,1+'5. Scenarios'!$B$8))/4+INDEX(BookQ2,2254)*(5-MIN(4,2+'5. Scenarios'!$B$8))/4+INDEX(BookQ3,2254)*(5-MIN(4,3+'5. Scenarios'!$B$8))/4+INDEX(BookQ4,2254)*(5-MIN(4,4+'5. Scenarios'!$B$8))/4)*'5. Scenarios'!$B$6/(1+ProductivityDefault*('5. Scenarios'!$B$11-1))+INDEX(BookOneOff,2254)*$D2259)</f>
        <v/>
      </c>
      <c r="I2259" s="56" t="str">
        <f aca="false">IF(INDEX(BookTitle,2254)="","",INDEX(BookTotal,2254)*'5. Scenarios'!$C$6/(1+ProductivityDefault*('5. Scenarios'!$C$11-1)))</f>
        <v/>
      </c>
      <c r="J2259" s="57" t="str">
        <f aca="false">IF($I2259="","",INDEX(BookRate,2254)*(1+'5. Scenarios'!$C$10)*$I2259)</f>
        <v/>
      </c>
      <c r="K2259" s="57" t="str">
        <f aca="false">IF($J2259="","",SUMIFS($J$6:$J$2405,$A$6:$A$2405,"&lt;="&amp;$A2259))</f>
        <v/>
      </c>
      <c r="L2259" s="57" t="str">
        <f aca="false">IF($J2259="","",IF($K2259&lt;=BankCostEnvelope*'5. Scenarios'!$C$7,1,0))</f>
        <v/>
      </c>
      <c r="M2259" s="57" t="str">
        <f aca="false">IF($I2259="","",INDEX(BookRate,2254)*(1+'5. Scenarios'!$C$10)*(INDEX(BookQ1,2254)*(5-MIN(4,1+'5. Scenarios'!$C$8))/4+INDEX(BookQ2,2254)*(5-MIN(4,2+'5. Scenarios'!$C$8))/4+INDEX(BookQ3,2254)*(5-MIN(4,3+'5. Scenarios'!$C$8))/4+INDEX(BookQ4,2254)*(5-MIN(4,4+'5. Scenarios'!$C$8))/4)*'5. Scenarios'!$C$6/(1+ProductivityDefault*('5. Scenarios'!$C$11-1))+INDEX(BookOneOff,2254)*$I2259)</f>
        <v/>
      </c>
      <c r="N2259" s="56" t="str">
        <f aca="false">IF(INDEX(BookTitle,2254)="","",INDEX(BookTotal,2254)*'5. Scenarios'!$D$6/(1+ProductivityDefault*('5. Scenarios'!$D$11-1)))</f>
        <v/>
      </c>
      <c r="O2259" s="57" t="str">
        <f aca="false">IF($N2259="","",INDEX(BookRate,2254)*(1+'5. Scenarios'!$D$10)*$N2259)</f>
        <v/>
      </c>
      <c r="P2259" s="57" t="str">
        <f aca="false">IF($O2259="","",SUMIFS($O$6:$O$2405,$A$6:$A$2405,"&lt;="&amp;$A2259))</f>
        <v/>
      </c>
      <c r="Q2259" s="57" t="str">
        <f aca="false">IF($O2259="","",IF($P2259&lt;=BankCostEnvelope*'5. Scenarios'!$D$7,1,0))</f>
        <v/>
      </c>
      <c r="R2259" s="57" t="str">
        <f aca="false">IF($N2259="","",INDEX(BookRate,2254)*(1+'5. Scenarios'!$D$10)*(INDEX(BookQ1,2254)*(5-MIN(4,1+'5. Scenarios'!$D$8))/4+INDEX(BookQ2,2254)*(5-MIN(4,2+'5. Scenarios'!$D$8))/4+INDEX(BookQ3,2254)*(5-MIN(4,3+'5. Scenarios'!$D$8))/4+INDEX(BookQ4,2254)*(5-MIN(4,4+'5. Scenarios'!$D$8))/4)*'5. Scenarios'!$D$6/(1+ProductivityDefault*('5. Scenarios'!$D$11-1))+INDEX(BookOneOff,2254)*$N2259)</f>
        <v/>
      </c>
      <c r="S2259" s="56" t="str">
        <f aca="false">IF(INDEX(BookTitle,2254)="","",INDEX(BookTotal,2254)*'5. Scenarios'!$E$6/(1+ProductivityDefault*('5. Scenarios'!$E$11-1)))</f>
        <v/>
      </c>
      <c r="T2259" s="57" t="str">
        <f aca="false">IF($S2259="","",INDEX(BookRate,2254)*(1+'5. Scenarios'!$E$10)*$S2259)</f>
        <v/>
      </c>
      <c r="U2259" s="57" t="str">
        <f aca="false">IF($T2259="","",SUMIFS($T$6:$T$2405,$A$6:$A$2405,"&lt;="&amp;$A2259))</f>
        <v/>
      </c>
      <c r="V2259" s="57" t="str">
        <f aca="false">IF($T2259="","",IF($U2259&lt;=BankCostEnvelope*'5. Scenarios'!$E$7,1,0))</f>
        <v/>
      </c>
      <c r="W2259" s="57" t="str">
        <f aca="false">IF($S2259="","",INDEX(BookRate,2254)*(1+'5. Scenarios'!$E$10)*(INDEX(BookQ1,2254)*(5-MIN(4,1+'5. Scenarios'!$E$8))/4+INDEX(BookQ2,2254)*(5-MIN(4,2+'5. Scenarios'!$E$8))/4+INDEX(BookQ3,2254)*(5-MIN(4,3+'5. Scenarios'!$E$8))/4+INDEX(BookQ4,2254)*(5-MIN(4,4+'5. Scenarios'!$E$8))/4)*'5. Scenarios'!$E$6/(1+ProductivityDefault*('5. Scenarios'!$E$11-1))+INDEX(BookOneOff,2254)*$S2259)</f>
        <v/>
      </c>
    </row>
    <row r="2260" customFormat="false" ht="15" hidden="false" customHeight="false" outlineLevel="0" collapsed="false">
      <c r="A2260" s="0" t="str">
        <f aca="false">IF(INDEX(BookTitle,2255)="","",INDEX(BookKey,2255))</f>
        <v/>
      </c>
      <c r="B2260" s="0" t="str">
        <f aca="false">IF(INDEX(BookTitle,2255)="","",INDEX(BookGroup,2255))</f>
        <v/>
      </c>
      <c r="C2260" s="0" t="str">
        <f aca="false">IF(INDEX(BookTitle,2255)="","",INDEX(BookCategory,2255))</f>
        <v/>
      </c>
      <c r="D2260" s="56" t="str">
        <f aca="false">IF(INDEX(BookTitle,2255)="","",INDEX(BookTotal,2255)*'5. Scenarios'!$B$6/(1+ProductivityDefault*('5. Scenarios'!$B$11-1)))</f>
        <v/>
      </c>
      <c r="E2260" s="57" t="str">
        <f aca="false">IF($D2260="","",INDEX(BookRate,2255)*(1+'5. Scenarios'!$B$10)*$D2260)</f>
        <v/>
      </c>
      <c r="F2260" s="57" t="str">
        <f aca="false">IF($E2260="","",SUMIFS($E$6:$E$2405,$A$6:$A$2405,"&lt;="&amp;$A2260))</f>
        <v/>
      </c>
      <c r="G2260" s="57" t="str">
        <f aca="false">IF($E2260="","",IF($F2260&lt;=BankCostEnvelope*'5. Scenarios'!$B$7,1,0))</f>
        <v/>
      </c>
      <c r="H2260" s="57" t="str">
        <f aca="false">IF($D2260="","",INDEX(BookRate,2255)*(1+'5. Scenarios'!$B$10)*(INDEX(BookQ1,2255)*(5-MIN(4,1+'5. Scenarios'!$B$8))/4+INDEX(BookQ2,2255)*(5-MIN(4,2+'5. Scenarios'!$B$8))/4+INDEX(BookQ3,2255)*(5-MIN(4,3+'5. Scenarios'!$B$8))/4+INDEX(BookQ4,2255)*(5-MIN(4,4+'5. Scenarios'!$B$8))/4)*'5. Scenarios'!$B$6/(1+ProductivityDefault*('5. Scenarios'!$B$11-1))+INDEX(BookOneOff,2255)*$D2260)</f>
        <v/>
      </c>
      <c r="I2260" s="56" t="str">
        <f aca="false">IF(INDEX(BookTitle,2255)="","",INDEX(BookTotal,2255)*'5. Scenarios'!$C$6/(1+ProductivityDefault*('5. Scenarios'!$C$11-1)))</f>
        <v/>
      </c>
      <c r="J2260" s="57" t="str">
        <f aca="false">IF($I2260="","",INDEX(BookRate,2255)*(1+'5. Scenarios'!$C$10)*$I2260)</f>
        <v/>
      </c>
      <c r="K2260" s="57" t="str">
        <f aca="false">IF($J2260="","",SUMIFS($J$6:$J$2405,$A$6:$A$2405,"&lt;="&amp;$A2260))</f>
        <v/>
      </c>
      <c r="L2260" s="57" t="str">
        <f aca="false">IF($J2260="","",IF($K2260&lt;=BankCostEnvelope*'5. Scenarios'!$C$7,1,0))</f>
        <v/>
      </c>
      <c r="M2260" s="57" t="str">
        <f aca="false">IF($I2260="","",INDEX(BookRate,2255)*(1+'5. Scenarios'!$C$10)*(INDEX(BookQ1,2255)*(5-MIN(4,1+'5. Scenarios'!$C$8))/4+INDEX(BookQ2,2255)*(5-MIN(4,2+'5. Scenarios'!$C$8))/4+INDEX(BookQ3,2255)*(5-MIN(4,3+'5. Scenarios'!$C$8))/4+INDEX(BookQ4,2255)*(5-MIN(4,4+'5. Scenarios'!$C$8))/4)*'5. Scenarios'!$C$6/(1+ProductivityDefault*('5. Scenarios'!$C$11-1))+INDEX(BookOneOff,2255)*$I2260)</f>
        <v/>
      </c>
      <c r="N2260" s="56" t="str">
        <f aca="false">IF(INDEX(BookTitle,2255)="","",INDEX(BookTotal,2255)*'5. Scenarios'!$D$6/(1+ProductivityDefault*('5. Scenarios'!$D$11-1)))</f>
        <v/>
      </c>
      <c r="O2260" s="57" t="str">
        <f aca="false">IF($N2260="","",INDEX(BookRate,2255)*(1+'5. Scenarios'!$D$10)*$N2260)</f>
        <v/>
      </c>
      <c r="P2260" s="57" t="str">
        <f aca="false">IF($O2260="","",SUMIFS($O$6:$O$2405,$A$6:$A$2405,"&lt;="&amp;$A2260))</f>
        <v/>
      </c>
      <c r="Q2260" s="57" t="str">
        <f aca="false">IF($O2260="","",IF($P2260&lt;=BankCostEnvelope*'5. Scenarios'!$D$7,1,0))</f>
        <v/>
      </c>
      <c r="R2260" s="57" t="str">
        <f aca="false">IF($N2260="","",INDEX(BookRate,2255)*(1+'5. Scenarios'!$D$10)*(INDEX(BookQ1,2255)*(5-MIN(4,1+'5. Scenarios'!$D$8))/4+INDEX(BookQ2,2255)*(5-MIN(4,2+'5. Scenarios'!$D$8))/4+INDEX(BookQ3,2255)*(5-MIN(4,3+'5. Scenarios'!$D$8))/4+INDEX(BookQ4,2255)*(5-MIN(4,4+'5. Scenarios'!$D$8))/4)*'5. Scenarios'!$D$6/(1+ProductivityDefault*('5. Scenarios'!$D$11-1))+INDEX(BookOneOff,2255)*$N2260)</f>
        <v/>
      </c>
      <c r="S2260" s="56" t="str">
        <f aca="false">IF(INDEX(BookTitle,2255)="","",INDEX(BookTotal,2255)*'5. Scenarios'!$E$6/(1+ProductivityDefault*('5. Scenarios'!$E$11-1)))</f>
        <v/>
      </c>
      <c r="T2260" s="57" t="str">
        <f aca="false">IF($S2260="","",INDEX(BookRate,2255)*(1+'5. Scenarios'!$E$10)*$S2260)</f>
        <v/>
      </c>
      <c r="U2260" s="57" t="str">
        <f aca="false">IF($T2260="","",SUMIFS($T$6:$T$2405,$A$6:$A$2405,"&lt;="&amp;$A2260))</f>
        <v/>
      </c>
      <c r="V2260" s="57" t="str">
        <f aca="false">IF($T2260="","",IF($U2260&lt;=BankCostEnvelope*'5. Scenarios'!$E$7,1,0))</f>
        <v/>
      </c>
      <c r="W2260" s="57" t="str">
        <f aca="false">IF($S2260="","",INDEX(BookRate,2255)*(1+'5. Scenarios'!$E$10)*(INDEX(BookQ1,2255)*(5-MIN(4,1+'5. Scenarios'!$E$8))/4+INDEX(BookQ2,2255)*(5-MIN(4,2+'5. Scenarios'!$E$8))/4+INDEX(BookQ3,2255)*(5-MIN(4,3+'5. Scenarios'!$E$8))/4+INDEX(BookQ4,2255)*(5-MIN(4,4+'5. Scenarios'!$E$8))/4)*'5. Scenarios'!$E$6/(1+ProductivityDefault*('5. Scenarios'!$E$11-1))+INDEX(BookOneOff,2255)*$S2260)</f>
        <v/>
      </c>
    </row>
    <row r="2261" customFormat="false" ht="15" hidden="false" customHeight="false" outlineLevel="0" collapsed="false">
      <c r="A2261" s="0" t="str">
        <f aca="false">IF(INDEX(BookTitle,2256)="","",INDEX(BookKey,2256))</f>
        <v/>
      </c>
      <c r="B2261" s="0" t="str">
        <f aca="false">IF(INDEX(BookTitle,2256)="","",INDEX(BookGroup,2256))</f>
        <v/>
      </c>
      <c r="C2261" s="0" t="str">
        <f aca="false">IF(INDEX(BookTitle,2256)="","",INDEX(BookCategory,2256))</f>
        <v/>
      </c>
      <c r="D2261" s="56" t="str">
        <f aca="false">IF(INDEX(BookTitle,2256)="","",INDEX(BookTotal,2256)*'5. Scenarios'!$B$6/(1+ProductivityDefault*('5. Scenarios'!$B$11-1)))</f>
        <v/>
      </c>
      <c r="E2261" s="57" t="str">
        <f aca="false">IF($D2261="","",INDEX(BookRate,2256)*(1+'5. Scenarios'!$B$10)*$D2261)</f>
        <v/>
      </c>
      <c r="F2261" s="57" t="str">
        <f aca="false">IF($E2261="","",SUMIFS($E$6:$E$2405,$A$6:$A$2405,"&lt;="&amp;$A2261))</f>
        <v/>
      </c>
      <c r="G2261" s="57" t="str">
        <f aca="false">IF($E2261="","",IF($F2261&lt;=BankCostEnvelope*'5. Scenarios'!$B$7,1,0))</f>
        <v/>
      </c>
      <c r="H2261" s="57" t="str">
        <f aca="false">IF($D2261="","",INDEX(BookRate,2256)*(1+'5. Scenarios'!$B$10)*(INDEX(BookQ1,2256)*(5-MIN(4,1+'5. Scenarios'!$B$8))/4+INDEX(BookQ2,2256)*(5-MIN(4,2+'5. Scenarios'!$B$8))/4+INDEX(BookQ3,2256)*(5-MIN(4,3+'5. Scenarios'!$B$8))/4+INDEX(BookQ4,2256)*(5-MIN(4,4+'5. Scenarios'!$B$8))/4)*'5. Scenarios'!$B$6/(1+ProductivityDefault*('5. Scenarios'!$B$11-1))+INDEX(BookOneOff,2256)*$D2261)</f>
        <v/>
      </c>
      <c r="I2261" s="56" t="str">
        <f aca="false">IF(INDEX(BookTitle,2256)="","",INDEX(BookTotal,2256)*'5. Scenarios'!$C$6/(1+ProductivityDefault*('5. Scenarios'!$C$11-1)))</f>
        <v/>
      </c>
      <c r="J2261" s="57" t="str">
        <f aca="false">IF($I2261="","",INDEX(BookRate,2256)*(1+'5. Scenarios'!$C$10)*$I2261)</f>
        <v/>
      </c>
      <c r="K2261" s="57" t="str">
        <f aca="false">IF($J2261="","",SUMIFS($J$6:$J$2405,$A$6:$A$2405,"&lt;="&amp;$A2261))</f>
        <v/>
      </c>
      <c r="L2261" s="57" t="str">
        <f aca="false">IF($J2261="","",IF($K2261&lt;=BankCostEnvelope*'5. Scenarios'!$C$7,1,0))</f>
        <v/>
      </c>
      <c r="M2261" s="57" t="str">
        <f aca="false">IF($I2261="","",INDEX(BookRate,2256)*(1+'5. Scenarios'!$C$10)*(INDEX(BookQ1,2256)*(5-MIN(4,1+'5. Scenarios'!$C$8))/4+INDEX(BookQ2,2256)*(5-MIN(4,2+'5. Scenarios'!$C$8))/4+INDEX(BookQ3,2256)*(5-MIN(4,3+'5. Scenarios'!$C$8))/4+INDEX(BookQ4,2256)*(5-MIN(4,4+'5. Scenarios'!$C$8))/4)*'5. Scenarios'!$C$6/(1+ProductivityDefault*('5. Scenarios'!$C$11-1))+INDEX(BookOneOff,2256)*$I2261)</f>
        <v/>
      </c>
      <c r="N2261" s="56" t="str">
        <f aca="false">IF(INDEX(BookTitle,2256)="","",INDEX(BookTotal,2256)*'5. Scenarios'!$D$6/(1+ProductivityDefault*('5. Scenarios'!$D$11-1)))</f>
        <v/>
      </c>
      <c r="O2261" s="57" t="str">
        <f aca="false">IF($N2261="","",INDEX(BookRate,2256)*(1+'5. Scenarios'!$D$10)*$N2261)</f>
        <v/>
      </c>
      <c r="P2261" s="57" t="str">
        <f aca="false">IF($O2261="","",SUMIFS($O$6:$O$2405,$A$6:$A$2405,"&lt;="&amp;$A2261))</f>
        <v/>
      </c>
      <c r="Q2261" s="57" t="str">
        <f aca="false">IF($O2261="","",IF($P2261&lt;=BankCostEnvelope*'5. Scenarios'!$D$7,1,0))</f>
        <v/>
      </c>
      <c r="R2261" s="57" t="str">
        <f aca="false">IF($N2261="","",INDEX(BookRate,2256)*(1+'5. Scenarios'!$D$10)*(INDEX(BookQ1,2256)*(5-MIN(4,1+'5. Scenarios'!$D$8))/4+INDEX(BookQ2,2256)*(5-MIN(4,2+'5. Scenarios'!$D$8))/4+INDEX(BookQ3,2256)*(5-MIN(4,3+'5. Scenarios'!$D$8))/4+INDEX(BookQ4,2256)*(5-MIN(4,4+'5. Scenarios'!$D$8))/4)*'5. Scenarios'!$D$6/(1+ProductivityDefault*('5. Scenarios'!$D$11-1))+INDEX(BookOneOff,2256)*$N2261)</f>
        <v/>
      </c>
      <c r="S2261" s="56" t="str">
        <f aca="false">IF(INDEX(BookTitle,2256)="","",INDEX(BookTotal,2256)*'5. Scenarios'!$E$6/(1+ProductivityDefault*('5. Scenarios'!$E$11-1)))</f>
        <v/>
      </c>
      <c r="T2261" s="57" t="str">
        <f aca="false">IF($S2261="","",INDEX(BookRate,2256)*(1+'5. Scenarios'!$E$10)*$S2261)</f>
        <v/>
      </c>
      <c r="U2261" s="57" t="str">
        <f aca="false">IF($T2261="","",SUMIFS($T$6:$T$2405,$A$6:$A$2405,"&lt;="&amp;$A2261))</f>
        <v/>
      </c>
      <c r="V2261" s="57" t="str">
        <f aca="false">IF($T2261="","",IF($U2261&lt;=BankCostEnvelope*'5. Scenarios'!$E$7,1,0))</f>
        <v/>
      </c>
      <c r="W2261" s="57" t="str">
        <f aca="false">IF($S2261="","",INDEX(BookRate,2256)*(1+'5. Scenarios'!$E$10)*(INDEX(BookQ1,2256)*(5-MIN(4,1+'5. Scenarios'!$E$8))/4+INDEX(BookQ2,2256)*(5-MIN(4,2+'5. Scenarios'!$E$8))/4+INDEX(BookQ3,2256)*(5-MIN(4,3+'5. Scenarios'!$E$8))/4+INDEX(BookQ4,2256)*(5-MIN(4,4+'5. Scenarios'!$E$8))/4)*'5. Scenarios'!$E$6/(1+ProductivityDefault*('5. Scenarios'!$E$11-1))+INDEX(BookOneOff,2256)*$S2261)</f>
        <v/>
      </c>
    </row>
    <row r="2262" customFormat="false" ht="15" hidden="false" customHeight="false" outlineLevel="0" collapsed="false">
      <c r="A2262" s="0" t="str">
        <f aca="false">IF(INDEX(BookTitle,2257)="","",INDEX(BookKey,2257))</f>
        <v/>
      </c>
      <c r="B2262" s="0" t="str">
        <f aca="false">IF(INDEX(BookTitle,2257)="","",INDEX(BookGroup,2257))</f>
        <v/>
      </c>
      <c r="C2262" s="0" t="str">
        <f aca="false">IF(INDEX(BookTitle,2257)="","",INDEX(BookCategory,2257))</f>
        <v/>
      </c>
      <c r="D2262" s="56" t="str">
        <f aca="false">IF(INDEX(BookTitle,2257)="","",INDEX(BookTotal,2257)*'5. Scenarios'!$B$6/(1+ProductivityDefault*('5. Scenarios'!$B$11-1)))</f>
        <v/>
      </c>
      <c r="E2262" s="57" t="str">
        <f aca="false">IF($D2262="","",INDEX(BookRate,2257)*(1+'5. Scenarios'!$B$10)*$D2262)</f>
        <v/>
      </c>
      <c r="F2262" s="57" t="str">
        <f aca="false">IF($E2262="","",SUMIFS($E$6:$E$2405,$A$6:$A$2405,"&lt;="&amp;$A2262))</f>
        <v/>
      </c>
      <c r="G2262" s="57" t="str">
        <f aca="false">IF($E2262="","",IF($F2262&lt;=BankCostEnvelope*'5. Scenarios'!$B$7,1,0))</f>
        <v/>
      </c>
      <c r="H2262" s="57" t="str">
        <f aca="false">IF($D2262="","",INDEX(BookRate,2257)*(1+'5. Scenarios'!$B$10)*(INDEX(BookQ1,2257)*(5-MIN(4,1+'5. Scenarios'!$B$8))/4+INDEX(BookQ2,2257)*(5-MIN(4,2+'5. Scenarios'!$B$8))/4+INDEX(BookQ3,2257)*(5-MIN(4,3+'5. Scenarios'!$B$8))/4+INDEX(BookQ4,2257)*(5-MIN(4,4+'5. Scenarios'!$B$8))/4)*'5. Scenarios'!$B$6/(1+ProductivityDefault*('5. Scenarios'!$B$11-1))+INDEX(BookOneOff,2257)*$D2262)</f>
        <v/>
      </c>
      <c r="I2262" s="56" t="str">
        <f aca="false">IF(INDEX(BookTitle,2257)="","",INDEX(BookTotal,2257)*'5. Scenarios'!$C$6/(1+ProductivityDefault*('5. Scenarios'!$C$11-1)))</f>
        <v/>
      </c>
      <c r="J2262" s="57" t="str">
        <f aca="false">IF($I2262="","",INDEX(BookRate,2257)*(1+'5. Scenarios'!$C$10)*$I2262)</f>
        <v/>
      </c>
      <c r="K2262" s="57" t="str">
        <f aca="false">IF($J2262="","",SUMIFS($J$6:$J$2405,$A$6:$A$2405,"&lt;="&amp;$A2262))</f>
        <v/>
      </c>
      <c r="L2262" s="57" t="str">
        <f aca="false">IF($J2262="","",IF($K2262&lt;=BankCostEnvelope*'5. Scenarios'!$C$7,1,0))</f>
        <v/>
      </c>
      <c r="M2262" s="57" t="str">
        <f aca="false">IF($I2262="","",INDEX(BookRate,2257)*(1+'5. Scenarios'!$C$10)*(INDEX(BookQ1,2257)*(5-MIN(4,1+'5. Scenarios'!$C$8))/4+INDEX(BookQ2,2257)*(5-MIN(4,2+'5. Scenarios'!$C$8))/4+INDEX(BookQ3,2257)*(5-MIN(4,3+'5. Scenarios'!$C$8))/4+INDEX(BookQ4,2257)*(5-MIN(4,4+'5. Scenarios'!$C$8))/4)*'5. Scenarios'!$C$6/(1+ProductivityDefault*('5. Scenarios'!$C$11-1))+INDEX(BookOneOff,2257)*$I2262)</f>
        <v/>
      </c>
      <c r="N2262" s="56" t="str">
        <f aca="false">IF(INDEX(BookTitle,2257)="","",INDEX(BookTotal,2257)*'5. Scenarios'!$D$6/(1+ProductivityDefault*('5. Scenarios'!$D$11-1)))</f>
        <v/>
      </c>
      <c r="O2262" s="57" t="str">
        <f aca="false">IF($N2262="","",INDEX(BookRate,2257)*(1+'5. Scenarios'!$D$10)*$N2262)</f>
        <v/>
      </c>
      <c r="P2262" s="57" t="str">
        <f aca="false">IF($O2262="","",SUMIFS($O$6:$O$2405,$A$6:$A$2405,"&lt;="&amp;$A2262))</f>
        <v/>
      </c>
      <c r="Q2262" s="57" t="str">
        <f aca="false">IF($O2262="","",IF($P2262&lt;=BankCostEnvelope*'5. Scenarios'!$D$7,1,0))</f>
        <v/>
      </c>
      <c r="R2262" s="57" t="str">
        <f aca="false">IF($N2262="","",INDEX(BookRate,2257)*(1+'5. Scenarios'!$D$10)*(INDEX(BookQ1,2257)*(5-MIN(4,1+'5. Scenarios'!$D$8))/4+INDEX(BookQ2,2257)*(5-MIN(4,2+'5. Scenarios'!$D$8))/4+INDEX(BookQ3,2257)*(5-MIN(4,3+'5. Scenarios'!$D$8))/4+INDEX(BookQ4,2257)*(5-MIN(4,4+'5. Scenarios'!$D$8))/4)*'5. Scenarios'!$D$6/(1+ProductivityDefault*('5. Scenarios'!$D$11-1))+INDEX(BookOneOff,2257)*$N2262)</f>
        <v/>
      </c>
      <c r="S2262" s="56" t="str">
        <f aca="false">IF(INDEX(BookTitle,2257)="","",INDEX(BookTotal,2257)*'5. Scenarios'!$E$6/(1+ProductivityDefault*('5. Scenarios'!$E$11-1)))</f>
        <v/>
      </c>
      <c r="T2262" s="57" t="str">
        <f aca="false">IF($S2262="","",INDEX(BookRate,2257)*(1+'5. Scenarios'!$E$10)*$S2262)</f>
        <v/>
      </c>
      <c r="U2262" s="57" t="str">
        <f aca="false">IF($T2262="","",SUMIFS($T$6:$T$2405,$A$6:$A$2405,"&lt;="&amp;$A2262))</f>
        <v/>
      </c>
      <c r="V2262" s="57" t="str">
        <f aca="false">IF($T2262="","",IF($U2262&lt;=BankCostEnvelope*'5. Scenarios'!$E$7,1,0))</f>
        <v/>
      </c>
      <c r="W2262" s="57" t="str">
        <f aca="false">IF($S2262="","",INDEX(BookRate,2257)*(1+'5. Scenarios'!$E$10)*(INDEX(BookQ1,2257)*(5-MIN(4,1+'5. Scenarios'!$E$8))/4+INDEX(BookQ2,2257)*(5-MIN(4,2+'5. Scenarios'!$E$8))/4+INDEX(BookQ3,2257)*(5-MIN(4,3+'5. Scenarios'!$E$8))/4+INDEX(BookQ4,2257)*(5-MIN(4,4+'5. Scenarios'!$E$8))/4)*'5. Scenarios'!$E$6/(1+ProductivityDefault*('5. Scenarios'!$E$11-1))+INDEX(BookOneOff,2257)*$S2262)</f>
        <v/>
      </c>
    </row>
    <row r="2263" customFormat="false" ht="15" hidden="false" customHeight="false" outlineLevel="0" collapsed="false">
      <c r="A2263" s="0" t="str">
        <f aca="false">IF(INDEX(BookTitle,2258)="","",INDEX(BookKey,2258))</f>
        <v/>
      </c>
      <c r="B2263" s="0" t="str">
        <f aca="false">IF(INDEX(BookTitle,2258)="","",INDEX(BookGroup,2258))</f>
        <v/>
      </c>
      <c r="C2263" s="0" t="str">
        <f aca="false">IF(INDEX(BookTitle,2258)="","",INDEX(BookCategory,2258))</f>
        <v/>
      </c>
      <c r="D2263" s="56" t="str">
        <f aca="false">IF(INDEX(BookTitle,2258)="","",INDEX(BookTotal,2258)*'5. Scenarios'!$B$6/(1+ProductivityDefault*('5. Scenarios'!$B$11-1)))</f>
        <v/>
      </c>
      <c r="E2263" s="57" t="str">
        <f aca="false">IF($D2263="","",INDEX(BookRate,2258)*(1+'5. Scenarios'!$B$10)*$D2263)</f>
        <v/>
      </c>
      <c r="F2263" s="57" t="str">
        <f aca="false">IF($E2263="","",SUMIFS($E$6:$E$2405,$A$6:$A$2405,"&lt;="&amp;$A2263))</f>
        <v/>
      </c>
      <c r="G2263" s="57" t="str">
        <f aca="false">IF($E2263="","",IF($F2263&lt;=BankCostEnvelope*'5. Scenarios'!$B$7,1,0))</f>
        <v/>
      </c>
      <c r="H2263" s="57" t="str">
        <f aca="false">IF($D2263="","",INDEX(BookRate,2258)*(1+'5. Scenarios'!$B$10)*(INDEX(BookQ1,2258)*(5-MIN(4,1+'5. Scenarios'!$B$8))/4+INDEX(BookQ2,2258)*(5-MIN(4,2+'5. Scenarios'!$B$8))/4+INDEX(BookQ3,2258)*(5-MIN(4,3+'5. Scenarios'!$B$8))/4+INDEX(BookQ4,2258)*(5-MIN(4,4+'5. Scenarios'!$B$8))/4)*'5. Scenarios'!$B$6/(1+ProductivityDefault*('5. Scenarios'!$B$11-1))+INDEX(BookOneOff,2258)*$D2263)</f>
        <v/>
      </c>
      <c r="I2263" s="56" t="str">
        <f aca="false">IF(INDEX(BookTitle,2258)="","",INDEX(BookTotal,2258)*'5. Scenarios'!$C$6/(1+ProductivityDefault*('5. Scenarios'!$C$11-1)))</f>
        <v/>
      </c>
      <c r="J2263" s="57" t="str">
        <f aca="false">IF($I2263="","",INDEX(BookRate,2258)*(1+'5. Scenarios'!$C$10)*$I2263)</f>
        <v/>
      </c>
      <c r="K2263" s="57" t="str">
        <f aca="false">IF($J2263="","",SUMIFS($J$6:$J$2405,$A$6:$A$2405,"&lt;="&amp;$A2263))</f>
        <v/>
      </c>
      <c r="L2263" s="57" t="str">
        <f aca="false">IF($J2263="","",IF($K2263&lt;=BankCostEnvelope*'5. Scenarios'!$C$7,1,0))</f>
        <v/>
      </c>
      <c r="M2263" s="57" t="str">
        <f aca="false">IF($I2263="","",INDEX(BookRate,2258)*(1+'5. Scenarios'!$C$10)*(INDEX(BookQ1,2258)*(5-MIN(4,1+'5. Scenarios'!$C$8))/4+INDEX(BookQ2,2258)*(5-MIN(4,2+'5. Scenarios'!$C$8))/4+INDEX(BookQ3,2258)*(5-MIN(4,3+'5. Scenarios'!$C$8))/4+INDEX(BookQ4,2258)*(5-MIN(4,4+'5. Scenarios'!$C$8))/4)*'5. Scenarios'!$C$6/(1+ProductivityDefault*('5. Scenarios'!$C$11-1))+INDEX(BookOneOff,2258)*$I2263)</f>
        <v/>
      </c>
      <c r="N2263" s="56" t="str">
        <f aca="false">IF(INDEX(BookTitle,2258)="","",INDEX(BookTotal,2258)*'5. Scenarios'!$D$6/(1+ProductivityDefault*('5. Scenarios'!$D$11-1)))</f>
        <v/>
      </c>
      <c r="O2263" s="57" t="str">
        <f aca="false">IF($N2263="","",INDEX(BookRate,2258)*(1+'5. Scenarios'!$D$10)*$N2263)</f>
        <v/>
      </c>
      <c r="P2263" s="57" t="str">
        <f aca="false">IF($O2263="","",SUMIFS($O$6:$O$2405,$A$6:$A$2405,"&lt;="&amp;$A2263))</f>
        <v/>
      </c>
      <c r="Q2263" s="57" t="str">
        <f aca="false">IF($O2263="","",IF($P2263&lt;=BankCostEnvelope*'5. Scenarios'!$D$7,1,0))</f>
        <v/>
      </c>
      <c r="R2263" s="57" t="str">
        <f aca="false">IF($N2263="","",INDEX(BookRate,2258)*(1+'5. Scenarios'!$D$10)*(INDEX(BookQ1,2258)*(5-MIN(4,1+'5. Scenarios'!$D$8))/4+INDEX(BookQ2,2258)*(5-MIN(4,2+'5. Scenarios'!$D$8))/4+INDEX(BookQ3,2258)*(5-MIN(4,3+'5. Scenarios'!$D$8))/4+INDEX(BookQ4,2258)*(5-MIN(4,4+'5. Scenarios'!$D$8))/4)*'5. Scenarios'!$D$6/(1+ProductivityDefault*('5. Scenarios'!$D$11-1))+INDEX(BookOneOff,2258)*$N2263)</f>
        <v/>
      </c>
      <c r="S2263" s="56" t="str">
        <f aca="false">IF(INDEX(BookTitle,2258)="","",INDEX(BookTotal,2258)*'5. Scenarios'!$E$6/(1+ProductivityDefault*('5. Scenarios'!$E$11-1)))</f>
        <v/>
      </c>
      <c r="T2263" s="57" t="str">
        <f aca="false">IF($S2263="","",INDEX(BookRate,2258)*(1+'5. Scenarios'!$E$10)*$S2263)</f>
        <v/>
      </c>
      <c r="U2263" s="57" t="str">
        <f aca="false">IF($T2263="","",SUMIFS($T$6:$T$2405,$A$6:$A$2405,"&lt;="&amp;$A2263))</f>
        <v/>
      </c>
      <c r="V2263" s="57" t="str">
        <f aca="false">IF($T2263="","",IF($U2263&lt;=BankCostEnvelope*'5. Scenarios'!$E$7,1,0))</f>
        <v/>
      </c>
      <c r="W2263" s="57" t="str">
        <f aca="false">IF($S2263="","",INDEX(BookRate,2258)*(1+'5. Scenarios'!$E$10)*(INDEX(BookQ1,2258)*(5-MIN(4,1+'5. Scenarios'!$E$8))/4+INDEX(BookQ2,2258)*(5-MIN(4,2+'5. Scenarios'!$E$8))/4+INDEX(BookQ3,2258)*(5-MIN(4,3+'5. Scenarios'!$E$8))/4+INDEX(BookQ4,2258)*(5-MIN(4,4+'5. Scenarios'!$E$8))/4)*'5. Scenarios'!$E$6/(1+ProductivityDefault*('5. Scenarios'!$E$11-1))+INDEX(BookOneOff,2258)*$S2263)</f>
        <v/>
      </c>
    </row>
    <row r="2264" customFormat="false" ht="15" hidden="false" customHeight="false" outlineLevel="0" collapsed="false">
      <c r="A2264" s="0" t="str">
        <f aca="false">IF(INDEX(BookTitle,2259)="","",INDEX(BookKey,2259))</f>
        <v/>
      </c>
      <c r="B2264" s="0" t="str">
        <f aca="false">IF(INDEX(BookTitle,2259)="","",INDEX(BookGroup,2259))</f>
        <v/>
      </c>
      <c r="C2264" s="0" t="str">
        <f aca="false">IF(INDEX(BookTitle,2259)="","",INDEX(BookCategory,2259))</f>
        <v/>
      </c>
      <c r="D2264" s="56" t="str">
        <f aca="false">IF(INDEX(BookTitle,2259)="","",INDEX(BookTotal,2259)*'5. Scenarios'!$B$6/(1+ProductivityDefault*('5. Scenarios'!$B$11-1)))</f>
        <v/>
      </c>
      <c r="E2264" s="57" t="str">
        <f aca="false">IF($D2264="","",INDEX(BookRate,2259)*(1+'5. Scenarios'!$B$10)*$D2264)</f>
        <v/>
      </c>
      <c r="F2264" s="57" t="str">
        <f aca="false">IF($E2264="","",SUMIFS($E$6:$E$2405,$A$6:$A$2405,"&lt;="&amp;$A2264))</f>
        <v/>
      </c>
      <c r="G2264" s="57" t="str">
        <f aca="false">IF($E2264="","",IF($F2264&lt;=BankCostEnvelope*'5. Scenarios'!$B$7,1,0))</f>
        <v/>
      </c>
      <c r="H2264" s="57" t="str">
        <f aca="false">IF($D2264="","",INDEX(BookRate,2259)*(1+'5. Scenarios'!$B$10)*(INDEX(BookQ1,2259)*(5-MIN(4,1+'5. Scenarios'!$B$8))/4+INDEX(BookQ2,2259)*(5-MIN(4,2+'5. Scenarios'!$B$8))/4+INDEX(BookQ3,2259)*(5-MIN(4,3+'5. Scenarios'!$B$8))/4+INDEX(BookQ4,2259)*(5-MIN(4,4+'5. Scenarios'!$B$8))/4)*'5. Scenarios'!$B$6/(1+ProductivityDefault*('5. Scenarios'!$B$11-1))+INDEX(BookOneOff,2259)*$D2264)</f>
        <v/>
      </c>
      <c r="I2264" s="56" t="str">
        <f aca="false">IF(INDEX(BookTitle,2259)="","",INDEX(BookTotal,2259)*'5. Scenarios'!$C$6/(1+ProductivityDefault*('5. Scenarios'!$C$11-1)))</f>
        <v/>
      </c>
      <c r="J2264" s="57" t="str">
        <f aca="false">IF($I2264="","",INDEX(BookRate,2259)*(1+'5. Scenarios'!$C$10)*$I2264)</f>
        <v/>
      </c>
      <c r="K2264" s="57" t="str">
        <f aca="false">IF($J2264="","",SUMIFS($J$6:$J$2405,$A$6:$A$2405,"&lt;="&amp;$A2264))</f>
        <v/>
      </c>
      <c r="L2264" s="57" t="str">
        <f aca="false">IF($J2264="","",IF($K2264&lt;=BankCostEnvelope*'5. Scenarios'!$C$7,1,0))</f>
        <v/>
      </c>
      <c r="M2264" s="57" t="str">
        <f aca="false">IF($I2264="","",INDEX(BookRate,2259)*(1+'5. Scenarios'!$C$10)*(INDEX(BookQ1,2259)*(5-MIN(4,1+'5. Scenarios'!$C$8))/4+INDEX(BookQ2,2259)*(5-MIN(4,2+'5. Scenarios'!$C$8))/4+INDEX(BookQ3,2259)*(5-MIN(4,3+'5. Scenarios'!$C$8))/4+INDEX(BookQ4,2259)*(5-MIN(4,4+'5. Scenarios'!$C$8))/4)*'5. Scenarios'!$C$6/(1+ProductivityDefault*('5. Scenarios'!$C$11-1))+INDEX(BookOneOff,2259)*$I2264)</f>
        <v/>
      </c>
      <c r="N2264" s="56" t="str">
        <f aca="false">IF(INDEX(BookTitle,2259)="","",INDEX(BookTotal,2259)*'5. Scenarios'!$D$6/(1+ProductivityDefault*('5. Scenarios'!$D$11-1)))</f>
        <v/>
      </c>
      <c r="O2264" s="57" t="str">
        <f aca="false">IF($N2264="","",INDEX(BookRate,2259)*(1+'5. Scenarios'!$D$10)*$N2264)</f>
        <v/>
      </c>
      <c r="P2264" s="57" t="str">
        <f aca="false">IF($O2264="","",SUMIFS($O$6:$O$2405,$A$6:$A$2405,"&lt;="&amp;$A2264))</f>
        <v/>
      </c>
      <c r="Q2264" s="57" t="str">
        <f aca="false">IF($O2264="","",IF($P2264&lt;=BankCostEnvelope*'5. Scenarios'!$D$7,1,0))</f>
        <v/>
      </c>
      <c r="R2264" s="57" t="str">
        <f aca="false">IF($N2264="","",INDEX(BookRate,2259)*(1+'5. Scenarios'!$D$10)*(INDEX(BookQ1,2259)*(5-MIN(4,1+'5. Scenarios'!$D$8))/4+INDEX(BookQ2,2259)*(5-MIN(4,2+'5. Scenarios'!$D$8))/4+INDEX(BookQ3,2259)*(5-MIN(4,3+'5. Scenarios'!$D$8))/4+INDEX(BookQ4,2259)*(5-MIN(4,4+'5. Scenarios'!$D$8))/4)*'5. Scenarios'!$D$6/(1+ProductivityDefault*('5. Scenarios'!$D$11-1))+INDEX(BookOneOff,2259)*$N2264)</f>
        <v/>
      </c>
      <c r="S2264" s="56" t="str">
        <f aca="false">IF(INDEX(BookTitle,2259)="","",INDEX(BookTotal,2259)*'5. Scenarios'!$E$6/(1+ProductivityDefault*('5. Scenarios'!$E$11-1)))</f>
        <v/>
      </c>
      <c r="T2264" s="57" t="str">
        <f aca="false">IF($S2264="","",INDEX(BookRate,2259)*(1+'5. Scenarios'!$E$10)*$S2264)</f>
        <v/>
      </c>
      <c r="U2264" s="57" t="str">
        <f aca="false">IF($T2264="","",SUMIFS($T$6:$T$2405,$A$6:$A$2405,"&lt;="&amp;$A2264))</f>
        <v/>
      </c>
      <c r="V2264" s="57" t="str">
        <f aca="false">IF($T2264="","",IF($U2264&lt;=BankCostEnvelope*'5. Scenarios'!$E$7,1,0))</f>
        <v/>
      </c>
      <c r="W2264" s="57" t="str">
        <f aca="false">IF($S2264="","",INDEX(BookRate,2259)*(1+'5. Scenarios'!$E$10)*(INDEX(BookQ1,2259)*(5-MIN(4,1+'5. Scenarios'!$E$8))/4+INDEX(BookQ2,2259)*(5-MIN(4,2+'5. Scenarios'!$E$8))/4+INDEX(BookQ3,2259)*(5-MIN(4,3+'5. Scenarios'!$E$8))/4+INDEX(BookQ4,2259)*(5-MIN(4,4+'5. Scenarios'!$E$8))/4)*'5. Scenarios'!$E$6/(1+ProductivityDefault*('5. Scenarios'!$E$11-1))+INDEX(BookOneOff,2259)*$S2264)</f>
        <v/>
      </c>
    </row>
    <row r="2265" customFormat="false" ht="15" hidden="false" customHeight="false" outlineLevel="0" collapsed="false">
      <c r="A2265" s="0" t="str">
        <f aca="false">IF(INDEX(BookTitle,2260)="","",INDEX(BookKey,2260))</f>
        <v/>
      </c>
      <c r="B2265" s="0" t="str">
        <f aca="false">IF(INDEX(BookTitle,2260)="","",INDEX(BookGroup,2260))</f>
        <v/>
      </c>
      <c r="C2265" s="0" t="str">
        <f aca="false">IF(INDEX(BookTitle,2260)="","",INDEX(BookCategory,2260))</f>
        <v/>
      </c>
      <c r="D2265" s="56" t="str">
        <f aca="false">IF(INDEX(BookTitle,2260)="","",INDEX(BookTotal,2260)*'5. Scenarios'!$B$6/(1+ProductivityDefault*('5. Scenarios'!$B$11-1)))</f>
        <v/>
      </c>
      <c r="E2265" s="57" t="str">
        <f aca="false">IF($D2265="","",INDEX(BookRate,2260)*(1+'5. Scenarios'!$B$10)*$D2265)</f>
        <v/>
      </c>
      <c r="F2265" s="57" t="str">
        <f aca="false">IF($E2265="","",SUMIFS($E$6:$E$2405,$A$6:$A$2405,"&lt;="&amp;$A2265))</f>
        <v/>
      </c>
      <c r="G2265" s="57" t="str">
        <f aca="false">IF($E2265="","",IF($F2265&lt;=BankCostEnvelope*'5. Scenarios'!$B$7,1,0))</f>
        <v/>
      </c>
      <c r="H2265" s="57" t="str">
        <f aca="false">IF($D2265="","",INDEX(BookRate,2260)*(1+'5. Scenarios'!$B$10)*(INDEX(BookQ1,2260)*(5-MIN(4,1+'5. Scenarios'!$B$8))/4+INDEX(BookQ2,2260)*(5-MIN(4,2+'5. Scenarios'!$B$8))/4+INDEX(BookQ3,2260)*(5-MIN(4,3+'5. Scenarios'!$B$8))/4+INDEX(BookQ4,2260)*(5-MIN(4,4+'5. Scenarios'!$B$8))/4)*'5. Scenarios'!$B$6/(1+ProductivityDefault*('5. Scenarios'!$B$11-1))+INDEX(BookOneOff,2260)*$D2265)</f>
        <v/>
      </c>
      <c r="I2265" s="56" t="str">
        <f aca="false">IF(INDEX(BookTitle,2260)="","",INDEX(BookTotal,2260)*'5. Scenarios'!$C$6/(1+ProductivityDefault*('5. Scenarios'!$C$11-1)))</f>
        <v/>
      </c>
      <c r="J2265" s="57" t="str">
        <f aca="false">IF($I2265="","",INDEX(BookRate,2260)*(1+'5. Scenarios'!$C$10)*$I2265)</f>
        <v/>
      </c>
      <c r="K2265" s="57" t="str">
        <f aca="false">IF($J2265="","",SUMIFS($J$6:$J$2405,$A$6:$A$2405,"&lt;="&amp;$A2265))</f>
        <v/>
      </c>
      <c r="L2265" s="57" t="str">
        <f aca="false">IF($J2265="","",IF($K2265&lt;=BankCostEnvelope*'5. Scenarios'!$C$7,1,0))</f>
        <v/>
      </c>
      <c r="M2265" s="57" t="str">
        <f aca="false">IF($I2265="","",INDEX(BookRate,2260)*(1+'5. Scenarios'!$C$10)*(INDEX(BookQ1,2260)*(5-MIN(4,1+'5. Scenarios'!$C$8))/4+INDEX(BookQ2,2260)*(5-MIN(4,2+'5. Scenarios'!$C$8))/4+INDEX(BookQ3,2260)*(5-MIN(4,3+'5. Scenarios'!$C$8))/4+INDEX(BookQ4,2260)*(5-MIN(4,4+'5. Scenarios'!$C$8))/4)*'5. Scenarios'!$C$6/(1+ProductivityDefault*('5. Scenarios'!$C$11-1))+INDEX(BookOneOff,2260)*$I2265)</f>
        <v/>
      </c>
      <c r="N2265" s="56" t="str">
        <f aca="false">IF(INDEX(BookTitle,2260)="","",INDEX(BookTotal,2260)*'5. Scenarios'!$D$6/(1+ProductivityDefault*('5. Scenarios'!$D$11-1)))</f>
        <v/>
      </c>
      <c r="O2265" s="57" t="str">
        <f aca="false">IF($N2265="","",INDEX(BookRate,2260)*(1+'5. Scenarios'!$D$10)*$N2265)</f>
        <v/>
      </c>
      <c r="P2265" s="57" t="str">
        <f aca="false">IF($O2265="","",SUMIFS($O$6:$O$2405,$A$6:$A$2405,"&lt;="&amp;$A2265))</f>
        <v/>
      </c>
      <c r="Q2265" s="57" t="str">
        <f aca="false">IF($O2265="","",IF($P2265&lt;=BankCostEnvelope*'5. Scenarios'!$D$7,1,0))</f>
        <v/>
      </c>
      <c r="R2265" s="57" t="str">
        <f aca="false">IF($N2265="","",INDEX(BookRate,2260)*(1+'5. Scenarios'!$D$10)*(INDEX(BookQ1,2260)*(5-MIN(4,1+'5. Scenarios'!$D$8))/4+INDEX(BookQ2,2260)*(5-MIN(4,2+'5. Scenarios'!$D$8))/4+INDEX(BookQ3,2260)*(5-MIN(4,3+'5. Scenarios'!$D$8))/4+INDEX(BookQ4,2260)*(5-MIN(4,4+'5. Scenarios'!$D$8))/4)*'5. Scenarios'!$D$6/(1+ProductivityDefault*('5. Scenarios'!$D$11-1))+INDEX(BookOneOff,2260)*$N2265)</f>
        <v/>
      </c>
      <c r="S2265" s="56" t="str">
        <f aca="false">IF(INDEX(BookTitle,2260)="","",INDEX(BookTotal,2260)*'5. Scenarios'!$E$6/(1+ProductivityDefault*('5. Scenarios'!$E$11-1)))</f>
        <v/>
      </c>
      <c r="T2265" s="57" t="str">
        <f aca="false">IF($S2265="","",INDEX(BookRate,2260)*(1+'5. Scenarios'!$E$10)*$S2265)</f>
        <v/>
      </c>
      <c r="U2265" s="57" t="str">
        <f aca="false">IF($T2265="","",SUMIFS($T$6:$T$2405,$A$6:$A$2405,"&lt;="&amp;$A2265))</f>
        <v/>
      </c>
      <c r="V2265" s="57" t="str">
        <f aca="false">IF($T2265="","",IF($U2265&lt;=BankCostEnvelope*'5. Scenarios'!$E$7,1,0))</f>
        <v/>
      </c>
      <c r="W2265" s="57" t="str">
        <f aca="false">IF($S2265="","",INDEX(BookRate,2260)*(1+'5. Scenarios'!$E$10)*(INDEX(BookQ1,2260)*(5-MIN(4,1+'5. Scenarios'!$E$8))/4+INDEX(BookQ2,2260)*(5-MIN(4,2+'5. Scenarios'!$E$8))/4+INDEX(BookQ3,2260)*(5-MIN(4,3+'5. Scenarios'!$E$8))/4+INDEX(BookQ4,2260)*(5-MIN(4,4+'5. Scenarios'!$E$8))/4)*'5. Scenarios'!$E$6/(1+ProductivityDefault*('5. Scenarios'!$E$11-1))+INDEX(BookOneOff,2260)*$S2265)</f>
        <v/>
      </c>
    </row>
    <row r="2266" customFormat="false" ht="15" hidden="false" customHeight="false" outlineLevel="0" collapsed="false">
      <c r="A2266" s="0" t="str">
        <f aca="false">IF(INDEX(BookTitle,2261)="","",INDEX(BookKey,2261))</f>
        <v/>
      </c>
      <c r="B2266" s="0" t="str">
        <f aca="false">IF(INDEX(BookTitle,2261)="","",INDEX(BookGroup,2261))</f>
        <v/>
      </c>
      <c r="C2266" s="0" t="str">
        <f aca="false">IF(INDEX(BookTitle,2261)="","",INDEX(BookCategory,2261))</f>
        <v/>
      </c>
      <c r="D2266" s="56" t="str">
        <f aca="false">IF(INDEX(BookTitle,2261)="","",INDEX(BookTotal,2261)*'5. Scenarios'!$B$6/(1+ProductivityDefault*('5. Scenarios'!$B$11-1)))</f>
        <v/>
      </c>
      <c r="E2266" s="57" t="str">
        <f aca="false">IF($D2266="","",INDEX(BookRate,2261)*(1+'5. Scenarios'!$B$10)*$D2266)</f>
        <v/>
      </c>
      <c r="F2266" s="57" t="str">
        <f aca="false">IF($E2266="","",SUMIFS($E$6:$E$2405,$A$6:$A$2405,"&lt;="&amp;$A2266))</f>
        <v/>
      </c>
      <c r="G2266" s="57" t="str">
        <f aca="false">IF($E2266="","",IF($F2266&lt;=BankCostEnvelope*'5. Scenarios'!$B$7,1,0))</f>
        <v/>
      </c>
      <c r="H2266" s="57" t="str">
        <f aca="false">IF($D2266="","",INDEX(BookRate,2261)*(1+'5. Scenarios'!$B$10)*(INDEX(BookQ1,2261)*(5-MIN(4,1+'5. Scenarios'!$B$8))/4+INDEX(BookQ2,2261)*(5-MIN(4,2+'5. Scenarios'!$B$8))/4+INDEX(BookQ3,2261)*(5-MIN(4,3+'5. Scenarios'!$B$8))/4+INDEX(BookQ4,2261)*(5-MIN(4,4+'5. Scenarios'!$B$8))/4)*'5. Scenarios'!$B$6/(1+ProductivityDefault*('5. Scenarios'!$B$11-1))+INDEX(BookOneOff,2261)*$D2266)</f>
        <v/>
      </c>
      <c r="I2266" s="56" t="str">
        <f aca="false">IF(INDEX(BookTitle,2261)="","",INDEX(BookTotal,2261)*'5. Scenarios'!$C$6/(1+ProductivityDefault*('5. Scenarios'!$C$11-1)))</f>
        <v/>
      </c>
      <c r="J2266" s="57" t="str">
        <f aca="false">IF($I2266="","",INDEX(BookRate,2261)*(1+'5. Scenarios'!$C$10)*$I2266)</f>
        <v/>
      </c>
      <c r="K2266" s="57" t="str">
        <f aca="false">IF($J2266="","",SUMIFS($J$6:$J$2405,$A$6:$A$2405,"&lt;="&amp;$A2266))</f>
        <v/>
      </c>
      <c r="L2266" s="57" t="str">
        <f aca="false">IF($J2266="","",IF($K2266&lt;=BankCostEnvelope*'5. Scenarios'!$C$7,1,0))</f>
        <v/>
      </c>
      <c r="M2266" s="57" t="str">
        <f aca="false">IF($I2266="","",INDEX(BookRate,2261)*(1+'5. Scenarios'!$C$10)*(INDEX(BookQ1,2261)*(5-MIN(4,1+'5. Scenarios'!$C$8))/4+INDEX(BookQ2,2261)*(5-MIN(4,2+'5. Scenarios'!$C$8))/4+INDEX(BookQ3,2261)*(5-MIN(4,3+'5. Scenarios'!$C$8))/4+INDEX(BookQ4,2261)*(5-MIN(4,4+'5. Scenarios'!$C$8))/4)*'5. Scenarios'!$C$6/(1+ProductivityDefault*('5. Scenarios'!$C$11-1))+INDEX(BookOneOff,2261)*$I2266)</f>
        <v/>
      </c>
      <c r="N2266" s="56" t="str">
        <f aca="false">IF(INDEX(BookTitle,2261)="","",INDEX(BookTotal,2261)*'5. Scenarios'!$D$6/(1+ProductivityDefault*('5. Scenarios'!$D$11-1)))</f>
        <v/>
      </c>
      <c r="O2266" s="57" t="str">
        <f aca="false">IF($N2266="","",INDEX(BookRate,2261)*(1+'5. Scenarios'!$D$10)*$N2266)</f>
        <v/>
      </c>
      <c r="P2266" s="57" t="str">
        <f aca="false">IF($O2266="","",SUMIFS($O$6:$O$2405,$A$6:$A$2405,"&lt;="&amp;$A2266))</f>
        <v/>
      </c>
      <c r="Q2266" s="57" t="str">
        <f aca="false">IF($O2266="","",IF($P2266&lt;=BankCostEnvelope*'5. Scenarios'!$D$7,1,0))</f>
        <v/>
      </c>
      <c r="R2266" s="57" t="str">
        <f aca="false">IF($N2266="","",INDEX(BookRate,2261)*(1+'5. Scenarios'!$D$10)*(INDEX(BookQ1,2261)*(5-MIN(4,1+'5. Scenarios'!$D$8))/4+INDEX(BookQ2,2261)*(5-MIN(4,2+'5. Scenarios'!$D$8))/4+INDEX(BookQ3,2261)*(5-MIN(4,3+'5. Scenarios'!$D$8))/4+INDEX(BookQ4,2261)*(5-MIN(4,4+'5. Scenarios'!$D$8))/4)*'5. Scenarios'!$D$6/(1+ProductivityDefault*('5. Scenarios'!$D$11-1))+INDEX(BookOneOff,2261)*$N2266)</f>
        <v/>
      </c>
      <c r="S2266" s="56" t="str">
        <f aca="false">IF(INDEX(BookTitle,2261)="","",INDEX(BookTotal,2261)*'5. Scenarios'!$E$6/(1+ProductivityDefault*('5. Scenarios'!$E$11-1)))</f>
        <v/>
      </c>
      <c r="T2266" s="57" t="str">
        <f aca="false">IF($S2266="","",INDEX(BookRate,2261)*(1+'5. Scenarios'!$E$10)*$S2266)</f>
        <v/>
      </c>
      <c r="U2266" s="57" t="str">
        <f aca="false">IF($T2266="","",SUMIFS($T$6:$T$2405,$A$6:$A$2405,"&lt;="&amp;$A2266))</f>
        <v/>
      </c>
      <c r="V2266" s="57" t="str">
        <f aca="false">IF($T2266="","",IF($U2266&lt;=BankCostEnvelope*'5. Scenarios'!$E$7,1,0))</f>
        <v/>
      </c>
      <c r="W2266" s="57" t="str">
        <f aca="false">IF($S2266="","",INDEX(BookRate,2261)*(1+'5. Scenarios'!$E$10)*(INDEX(BookQ1,2261)*(5-MIN(4,1+'5. Scenarios'!$E$8))/4+INDEX(BookQ2,2261)*(5-MIN(4,2+'5. Scenarios'!$E$8))/4+INDEX(BookQ3,2261)*(5-MIN(4,3+'5. Scenarios'!$E$8))/4+INDEX(BookQ4,2261)*(5-MIN(4,4+'5. Scenarios'!$E$8))/4)*'5. Scenarios'!$E$6/(1+ProductivityDefault*('5. Scenarios'!$E$11-1))+INDEX(BookOneOff,2261)*$S2266)</f>
        <v/>
      </c>
    </row>
    <row r="2267" customFormat="false" ht="15" hidden="false" customHeight="false" outlineLevel="0" collapsed="false">
      <c r="A2267" s="0" t="str">
        <f aca="false">IF(INDEX(BookTitle,2262)="","",INDEX(BookKey,2262))</f>
        <v/>
      </c>
      <c r="B2267" s="0" t="str">
        <f aca="false">IF(INDEX(BookTitle,2262)="","",INDEX(BookGroup,2262))</f>
        <v/>
      </c>
      <c r="C2267" s="0" t="str">
        <f aca="false">IF(INDEX(BookTitle,2262)="","",INDEX(BookCategory,2262))</f>
        <v/>
      </c>
      <c r="D2267" s="56" t="str">
        <f aca="false">IF(INDEX(BookTitle,2262)="","",INDEX(BookTotal,2262)*'5. Scenarios'!$B$6/(1+ProductivityDefault*('5. Scenarios'!$B$11-1)))</f>
        <v/>
      </c>
      <c r="E2267" s="57" t="str">
        <f aca="false">IF($D2267="","",INDEX(BookRate,2262)*(1+'5. Scenarios'!$B$10)*$D2267)</f>
        <v/>
      </c>
      <c r="F2267" s="57" t="str">
        <f aca="false">IF($E2267="","",SUMIFS($E$6:$E$2405,$A$6:$A$2405,"&lt;="&amp;$A2267))</f>
        <v/>
      </c>
      <c r="G2267" s="57" t="str">
        <f aca="false">IF($E2267="","",IF($F2267&lt;=BankCostEnvelope*'5. Scenarios'!$B$7,1,0))</f>
        <v/>
      </c>
      <c r="H2267" s="57" t="str">
        <f aca="false">IF($D2267="","",INDEX(BookRate,2262)*(1+'5. Scenarios'!$B$10)*(INDEX(BookQ1,2262)*(5-MIN(4,1+'5. Scenarios'!$B$8))/4+INDEX(BookQ2,2262)*(5-MIN(4,2+'5. Scenarios'!$B$8))/4+INDEX(BookQ3,2262)*(5-MIN(4,3+'5. Scenarios'!$B$8))/4+INDEX(BookQ4,2262)*(5-MIN(4,4+'5. Scenarios'!$B$8))/4)*'5. Scenarios'!$B$6/(1+ProductivityDefault*('5. Scenarios'!$B$11-1))+INDEX(BookOneOff,2262)*$D2267)</f>
        <v/>
      </c>
      <c r="I2267" s="56" t="str">
        <f aca="false">IF(INDEX(BookTitle,2262)="","",INDEX(BookTotal,2262)*'5. Scenarios'!$C$6/(1+ProductivityDefault*('5. Scenarios'!$C$11-1)))</f>
        <v/>
      </c>
      <c r="J2267" s="57" t="str">
        <f aca="false">IF($I2267="","",INDEX(BookRate,2262)*(1+'5. Scenarios'!$C$10)*$I2267)</f>
        <v/>
      </c>
      <c r="K2267" s="57" t="str">
        <f aca="false">IF($J2267="","",SUMIFS($J$6:$J$2405,$A$6:$A$2405,"&lt;="&amp;$A2267))</f>
        <v/>
      </c>
      <c r="L2267" s="57" t="str">
        <f aca="false">IF($J2267="","",IF($K2267&lt;=BankCostEnvelope*'5. Scenarios'!$C$7,1,0))</f>
        <v/>
      </c>
      <c r="M2267" s="57" t="str">
        <f aca="false">IF($I2267="","",INDEX(BookRate,2262)*(1+'5. Scenarios'!$C$10)*(INDEX(BookQ1,2262)*(5-MIN(4,1+'5. Scenarios'!$C$8))/4+INDEX(BookQ2,2262)*(5-MIN(4,2+'5. Scenarios'!$C$8))/4+INDEX(BookQ3,2262)*(5-MIN(4,3+'5. Scenarios'!$C$8))/4+INDEX(BookQ4,2262)*(5-MIN(4,4+'5. Scenarios'!$C$8))/4)*'5. Scenarios'!$C$6/(1+ProductivityDefault*('5. Scenarios'!$C$11-1))+INDEX(BookOneOff,2262)*$I2267)</f>
        <v/>
      </c>
      <c r="N2267" s="56" t="str">
        <f aca="false">IF(INDEX(BookTitle,2262)="","",INDEX(BookTotal,2262)*'5. Scenarios'!$D$6/(1+ProductivityDefault*('5. Scenarios'!$D$11-1)))</f>
        <v/>
      </c>
      <c r="O2267" s="57" t="str">
        <f aca="false">IF($N2267="","",INDEX(BookRate,2262)*(1+'5. Scenarios'!$D$10)*$N2267)</f>
        <v/>
      </c>
      <c r="P2267" s="57" t="str">
        <f aca="false">IF($O2267="","",SUMIFS($O$6:$O$2405,$A$6:$A$2405,"&lt;="&amp;$A2267))</f>
        <v/>
      </c>
      <c r="Q2267" s="57" t="str">
        <f aca="false">IF($O2267="","",IF($P2267&lt;=BankCostEnvelope*'5. Scenarios'!$D$7,1,0))</f>
        <v/>
      </c>
      <c r="R2267" s="57" t="str">
        <f aca="false">IF($N2267="","",INDEX(BookRate,2262)*(1+'5. Scenarios'!$D$10)*(INDEX(BookQ1,2262)*(5-MIN(4,1+'5. Scenarios'!$D$8))/4+INDEX(BookQ2,2262)*(5-MIN(4,2+'5. Scenarios'!$D$8))/4+INDEX(BookQ3,2262)*(5-MIN(4,3+'5. Scenarios'!$D$8))/4+INDEX(BookQ4,2262)*(5-MIN(4,4+'5. Scenarios'!$D$8))/4)*'5. Scenarios'!$D$6/(1+ProductivityDefault*('5. Scenarios'!$D$11-1))+INDEX(BookOneOff,2262)*$N2267)</f>
        <v/>
      </c>
      <c r="S2267" s="56" t="str">
        <f aca="false">IF(INDEX(BookTitle,2262)="","",INDEX(BookTotal,2262)*'5. Scenarios'!$E$6/(1+ProductivityDefault*('5. Scenarios'!$E$11-1)))</f>
        <v/>
      </c>
      <c r="T2267" s="57" t="str">
        <f aca="false">IF($S2267="","",INDEX(BookRate,2262)*(1+'5. Scenarios'!$E$10)*$S2267)</f>
        <v/>
      </c>
      <c r="U2267" s="57" t="str">
        <f aca="false">IF($T2267="","",SUMIFS($T$6:$T$2405,$A$6:$A$2405,"&lt;="&amp;$A2267))</f>
        <v/>
      </c>
      <c r="V2267" s="57" t="str">
        <f aca="false">IF($T2267="","",IF($U2267&lt;=BankCostEnvelope*'5. Scenarios'!$E$7,1,0))</f>
        <v/>
      </c>
      <c r="W2267" s="57" t="str">
        <f aca="false">IF($S2267="","",INDEX(BookRate,2262)*(1+'5. Scenarios'!$E$10)*(INDEX(BookQ1,2262)*(5-MIN(4,1+'5. Scenarios'!$E$8))/4+INDEX(BookQ2,2262)*(5-MIN(4,2+'5. Scenarios'!$E$8))/4+INDEX(BookQ3,2262)*(5-MIN(4,3+'5. Scenarios'!$E$8))/4+INDEX(BookQ4,2262)*(5-MIN(4,4+'5. Scenarios'!$E$8))/4)*'5. Scenarios'!$E$6/(1+ProductivityDefault*('5. Scenarios'!$E$11-1))+INDEX(BookOneOff,2262)*$S2267)</f>
        <v/>
      </c>
    </row>
    <row r="2268" customFormat="false" ht="15" hidden="false" customHeight="false" outlineLevel="0" collapsed="false">
      <c r="A2268" s="0" t="str">
        <f aca="false">IF(INDEX(BookTitle,2263)="","",INDEX(BookKey,2263))</f>
        <v/>
      </c>
      <c r="B2268" s="0" t="str">
        <f aca="false">IF(INDEX(BookTitle,2263)="","",INDEX(BookGroup,2263))</f>
        <v/>
      </c>
      <c r="C2268" s="0" t="str">
        <f aca="false">IF(INDEX(BookTitle,2263)="","",INDEX(BookCategory,2263))</f>
        <v/>
      </c>
      <c r="D2268" s="56" t="str">
        <f aca="false">IF(INDEX(BookTitle,2263)="","",INDEX(BookTotal,2263)*'5. Scenarios'!$B$6/(1+ProductivityDefault*('5. Scenarios'!$B$11-1)))</f>
        <v/>
      </c>
      <c r="E2268" s="57" t="str">
        <f aca="false">IF($D2268="","",INDEX(BookRate,2263)*(1+'5. Scenarios'!$B$10)*$D2268)</f>
        <v/>
      </c>
      <c r="F2268" s="57" t="str">
        <f aca="false">IF($E2268="","",SUMIFS($E$6:$E$2405,$A$6:$A$2405,"&lt;="&amp;$A2268))</f>
        <v/>
      </c>
      <c r="G2268" s="57" t="str">
        <f aca="false">IF($E2268="","",IF($F2268&lt;=BankCostEnvelope*'5. Scenarios'!$B$7,1,0))</f>
        <v/>
      </c>
      <c r="H2268" s="57" t="str">
        <f aca="false">IF($D2268="","",INDEX(BookRate,2263)*(1+'5. Scenarios'!$B$10)*(INDEX(BookQ1,2263)*(5-MIN(4,1+'5. Scenarios'!$B$8))/4+INDEX(BookQ2,2263)*(5-MIN(4,2+'5. Scenarios'!$B$8))/4+INDEX(BookQ3,2263)*(5-MIN(4,3+'5. Scenarios'!$B$8))/4+INDEX(BookQ4,2263)*(5-MIN(4,4+'5. Scenarios'!$B$8))/4)*'5. Scenarios'!$B$6/(1+ProductivityDefault*('5. Scenarios'!$B$11-1))+INDEX(BookOneOff,2263)*$D2268)</f>
        <v/>
      </c>
      <c r="I2268" s="56" t="str">
        <f aca="false">IF(INDEX(BookTitle,2263)="","",INDEX(BookTotal,2263)*'5. Scenarios'!$C$6/(1+ProductivityDefault*('5. Scenarios'!$C$11-1)))</f>
        <v/>
      </c>
      <c r="J2268" s="57" t="str">
        <f aca="false">IF($I2268="","",INDEX(BookRate,2263)*(1+'5. Scenarios'!$C$10)*$I2268)</f>
        <v/>
      </c>
      <c r="K2268" s="57" t="str">
        <f aca="false">IF($J2268="","",SUMIFS($J$6:$J$2405,$A$6:$A$2405,"&lt;="&amp;$A2268))</f>
        <v/>
      </c>
      <c r="L2268" s="57" t="str">
        <f aca="false">IF($J2268="","",IF($K2268&lt;=BankCostEnvelope*'5. Scenarios'!$C$7,1,0))</f>
        <v/>
      </c>
      <c r="M2268" s="57" t="str">
        <f aca="false">IF($I2268="","",INDEX(BookRate,2263)*(1+'5. Scenarios'!$C$10)*(INDEX(BookQ1,2263)*(5-MIN(4,1+'5. Scenarios'!$C$8))/4+INDEX(BookQ2,2263)*(5-MIN(4,2+'5. Scenarios'!$C$8))/4+INDEX(BookQ3,2263)*(5-MIN(4,3+'5. Scenarios'!$C$8))/4+INDEX(BookQ4,2263)*(5-MIN(4,4+'5. Scenarios'!$C$8))/4)*'5. Scenarios'!$C$6/(1+ProductivityDefault*('5. Scenarios'!$C$11-1))+INDEX(BookOneOff,2263)*$I2268)</f>
        <v/>
      </c>
      <c r="N2268" s="56" t="str">
        <f aca="false">IF(INDEX(BookTitle,2263)="","",INDEX(BookTotal,2263)*'5. Scenarios'!$D$6/(1+ProductivityDefault*('5. Scenarios'!$D$11-1)))</f>
        <v/>
      </c>
      <c r="O2268" s="57" t="str">
        <f aca="false">IF($N2268="","",INDEX(BookRate,2263)*(1+'5. Scenarios'!$D$10)*$N2268)</f>
        <v/>
      </c>
      <c r="P2268" s="57" t="str">
        <f aca="false">IF($O2268="","",SUMIFS($O$6:$O$2405,$A$6:$A$2405,"&lt;="&amp;$A2268))</f>
        <v/>
      </c>
      <c r="Q2268" s="57" t="str">
        <f aca="false">IF($O2268="","",IF($P2268&lt;=BankCostEnvelope*'5. Scenarios'!$D$7,1,0))</f>
        <v/>
      </c>
      <c r="R2268" s="57" t="str">
        <f aca="false">IF($N2268="","",INDEX(BookRate,2263)*(1+'5. Scenarios'!$D$10)*(INDEX(BookQ1,2263)*(5-MIN(4,1+'5. Scenarios'!$D$8))/4+INDEX(BookQ2,2263)*(5-MIN(4,2+'5. Scenarios'!$D$8))/4+INDEX(BookQ3,2263)*(5-MIN(4,3+'5. Scenarios'!$D$8))/4+INDEX(BookQ4,2263)*(5-MIN(4,4+'5. Scenarios'!$D$8))/4)*'5. Scenarios'!$D$6/(1+ProductivityDefault*('5. Scenarios'!$D$11-1))+INDEX(BookOneOff,2263)*$N2268)</f>
        <v/>
      </c>
      <c r="S2268" s="56" t="str">
        <f aca="false">IF(INDEX(BookTitle,2263)="","",INDEX(BookTotal,2263)*'5. Scenarios'!$E$6/(1+ProductivityDefault*('5. Scenarios'!$E$11-1)))</f>
        <v/>
      </c>
      <c r="T2268" s="57" t="str">
        <f aca="false">IF($S2268="","",INDEX(BookRate,2263)*(1+'5. Scenarios'!$E$10)*$S2268)</f>
        <v/>
      </c>
      <c r="U2268" s="57" t="str">
        <f aca="false">IF($T2268="","",SUMIFS($T$6:$T$2405,$A$6:$A$2405,"&lt;="&amp;$A2268))</f>
        <v/>
      </c>
      <c r="V2268" s="57" t="str">
        <f aca="false">IF($T2268="","",IF($U2268&lt;=BankCostEnvelope*'5. Scenarios'!$E$7,1,0))</f>
        <v/>
      </c>
      <c r="W2268" s="57" t="str">
        <f aca="false">IF($S2268="","",INDEX(BookRate,2263)*(1+'5. Scenarios'!$E$10)*(INDEX(BookQ1,2263)*(5-MIN(4,1+'5. Scenarios'!$E$8))/4+INDEX(BookQ2,2263)*(5-MIN(4,2+'5. Scenarios'!$E$8))/4+INDEX(BookQ3,2263)*(5-MIN(4,3+'5. Scenarios'!$E$8))/4+INDEX(BookQ4,2263)*(5-MIN(4,4+'5. Scenarios'!$E$8))/4)*'5. Scenarios'!$E$6/(1+ProductivityDefault*('5. Scenarios'!$E$11-1))+INDEX(BookOneOff,2263)*$S2268)</f>
        <v/>
      </c>
    </row>
    <row r="2269" customFormat="false" ht="15" hidden="false" customHeight="false" outlineLevel="0" collapsed="false">
      <c r="A2269" s="0" t="str">
        <f aca="false">IF(INDEX(BookTitle,2264)="","",INDEX(BookKey,2264))</f>
        <v/>
      </c>
      <c r="B2269" s="0" t="str">
        <f aca="false">IF(INDEX(BookTitle,2264)="","",INDEX(BookGroup,2264))</f>
        <v/>
      </c>
      <c r="C2269" s="0" t="str">
        <f aca="false">IF(INDEX(BookTitle,2264)="","",INDEX(BookCategory,2264))</f>
        <v/>
      </c>
      <c r="D2269" s="56" t="str">
        <f aca="false">IF(INDEX(BookTitle,2264)="","",INDEX(BookTotal,2264)*'5. Scenarios'!$B$6/(1+ProductivityDefault*('5. Scenarios'!$B$11-1)))</f>
        <v/>
      </c>
      <c r="E2269" s="57" t="str">
        <f aca="false">IF($D2269="","",INDEX(BookRate,2264)*(1+'5. Scenarios'!$B$10)*$D2269)</f>
        <v/>
      </c>
      <c r="F2269" s="57" t="str">
        <f aca="false">IF($E2269="","",SUMIFS($E$6:$E$2405,$A$6:$A$2405,"&lt;="&amp;$A2269))</f>
        <v/>
      </c>
      <c r="G2269" s="57" t="str">
        <f aca="false">IF($E2269="","",IF($F2269&lt;=BankCostEnvelope*'5. Scenarios'!$B$7,1,0))</f>
        <v/>
      </c>
      <c r="H2269" s="57" t="str">
        <f aca="false">IF($D2269="","",INDEX(BookRate,2264)*(1+'5. Scenarios'!$B$10)*(INDEX(BookQ1,2264)*(5-MIN(4,1+'5. Scenarios'!$B$8))/4+INDEX(BookQ2,2264)*(5-MIN(4,2+'5. Scenarios'!$B$8))/4+INDEX(BookQ3,2264)*(5-MIN(4,3+'5. Scenarios'!$B$8))/4+INDEX(BookQ4,2264)*(5-MIN(4,4+'5. Scenarios'!$B$8))/4)*'5. Scenarios'!$B$6/(1+ProductivityDefault*('5. Scenarios'!$B$11-1))+INDEX(BookOneOff,2264)*$D2269)</f>
        <v/>
      </c>
      <c r="I2269" s="56" t="str">
        <f aca="false">IF(INDEX(BookTitle,2264)="","",INDEX(BookTotal,2264)*'5. Scenarios'!$C$6/(1+ProductivityDefault*('5. Scenarios'!$C$11-1)))</f>
        <v/>
      </c>
      <c r="J2269" s="57" t="str">
        <f aca="false">IF($I2269="","",INDEX(BookRate,2264)*(1+'5. Scenarios'!$C$10)*$I2269)</f>
        <v/>
      </c>
      <c r="K2269" s="57" t="str">
        <f aca="false">IF($J2269="","",SUMIFS($J$6:$J$2405,$A$6:$A$2405,"&lt;="&amp;$A2269))</f>
        <v/>
      </c>
      <c r="L2269" s="57" t="str">
        <f aca="false">IF($J2269="","",IF($K2269&lt;=BankCostEnvelope*'5. Scenarios'!$C$7,1,0))</f>
        <v/>
      </c>
      <c r="M2269" s="57" t="str">
        <f aca="false">IF($I2269="","",INDEX(BookRate,2264)*(1+'5. Scenarios'!$C$10)*(INDEX(BookQ1,2264)*(5-MIN(4,1+'5. Scenarios'!$C$8))/4+INDEX(BookQ2,2264)*(5-MIN(4,2+'5. Scenarios'!$C$8))/4+INDEX(BookQ3,2264)*(5-MIN(4,3+'5. Scenarios'!$C$8))/4+INDEX(BookQ4,2264)*(5-MIN(4,4+'5. Scenarios'!$C$8))/4)*'5. Scenarios'!$C$6/(1+ProductivityDefault*('5. Scenarios'!$C$11-1))+INDEX(BookOneOff,2264)*$I2269)</f>
        <v/>
      </c>
      <c r="N2269" s="56" t="str">
        <f aca="false">IF(INDEX(BookTitle,2264)="","",INDEX(BookTotal,2264)*'5. Scenarios'!$D$6/(1+ProductivityDefault*('5. Scenarios'!$D$11-1)))</f>
        <v/>
      </c>
      <c r="O2269" s="57" t="str">
        <f aca="false">IF($N2269="","",INDEX(BookRate,2264)*(1+'5. Scenarios'!$D$10)*$N2269)</f>
        <v/>
      </c>
      <c r="P2269" s="57" t="str">
        <f aca="false">IF($O2269="","",SUMIFS($O$6:$O$2405,$A$6:$A$2405,"&lt;="&amp;$A2269))</f>
        <v/>
      </c>
      <c r="Q2269" s="57" t="str">
        <f aca="false">IF($O2269="","",IF($P2269&lt;=BankCostEnvelope*'5. Scenarios'!$D$7,1,0))</f>
        <v/>
      </c>
      <c r="R2269" s="57" t="str">
        <f aca="false">IF($N2269="","",INDEX(BookRate,2264)*(1+'5. Scenarios'!$D$10)*(INDEX(BookQ1,2264)*(5-MIN(4,1+'5. Scenarios'!$D$8))/4+INDEX(BookQ2,2264)*(5-MIN(4,2+'5. Scenarios'!$D$8))/4+INDEX(BookQ3,2264)*(5-MIN(4,3+'5. Scenarios'!$D$8))/4+INDEX(BookQ4,2264)*(5-MIN(4,4+'5. Scenarios'!$D$8))/4)*'5. Scenarios'!$D$6/(1+ProductivityDefault*('5. Scenarios'!$D$11-1))+INDEX(BookOneOff,2264)*$N2269)</f>
        <v/>
      </c>
      <c r="S2269" s="56" t="str">
        <f aca="false">IF(INDEX(BookTitle,2264)="","",INDEX(BookTotal,2264)*'5. Scenarios'!$E$6/(1+ProductivityDefault*('5. Scenarios'!$E$11-1)))</f>
        <v/>
      </c>
      <c r="T2269" s="57" t="str">
        <f aca="false">IF($S2269="","",INDEX(BookRate,2264)*(1+'5. Scenarios'!$E$10)*$S2269)</f>
        <v/>
      </c>
      <c r="U2269" s="57" t="str">
        <f aca="false">IF($T2269="","",SUMIFS($T$6:$T$2405,$A$6:$A$2405,"&lt;="&amp;$A2269))</f>
        <v/>
      </c>
      <c r="V2269" s="57" t="str">
        <f aca="false">IF($T2269="","",IF($U2269&lt;=BankCostEnvelope*'5. Scenarios'!$E$7,1,0))</f>
        <v/>
      </c>
      <c r="W2269" s="57" t="str">
        <f aca="false">IF($S2269="","",INDEX(BookRate,2264)*(1+'5. Scenarios'!$E$10)*(INDEX(BookQ1,2264)*(5-MIN(4,1+'5. Scenarios'!$E$8))/4+INDEX(BookQ2,2264)*(5-MIN(4,2+'5. Scenarios'!$E$8))/4+INDEX(BookQ3,2264)*(5-MIN(4,3+'5. Scenarios'!$E$8))/4+INDEX(BookQ4,2264)*(5-MIN(4,4+'5. Scenarios'!$E$8))/4)*'5. Scenarios'!$E$6/(1+ProductivityDefault*('5. Scenarios'!$E$11-1))+INDEX(BookOneOff,2264)*$S2269)</f>
        <v/>
      </c>
    </row>
    <row r="2270" customFormat="false" ht="15" hidden="false" customHeight="false" outlineLevel="0" collapsed="false">
      <c r="A2270" s="0" t="str">
        <f aca="false">IF(INDEX(BookTitle,2265)="","",INDEX(BookKey,2265))</f>
        <v/>
      </c>
      <c r="B2270" s="0" t="str">
        <f aca="false">IF(INDEX(BookTitle,2265)="","",INDEX(BookGroup,2265))</f>
        <v/>
      </c>
      <c r="C2270" s="0" t="str">
        <f aca="false">IF(INDEX(BookTitle,2265)="","",INDEX(BookCategory,2265))</f>
        <v/>
      </c>
      <c r="D2270" s="56" t="str">
        <f aca="false">IF(INDEX(BookTitle,2265)="","",INDEX(BookTotal,2265)*'5. Scenarios'!$B$6/(1+ProductivityDefault*('5. Scenarios'!$B$11-1)))</f>
        <v/>
      </c>
      <c r="E2270" s="57" t="str">
        <f aca="false">IF($D2270="","",INDEX(BookRate,2265)*(1+'5. Scenarios'!$B$10)*$D2270)</f>
        <v/>
      </c>
      <c r="F2270" s="57" t="str">
        <f aca="false">IF($E2270="","",SUMIFS($E$6:$E$2405,$A$6:$A$2405,"&lt;="&amp;$A2270))</f>
        <v/>
      </c>
      <c r="G2270" s="57" t="str">
        <f aca="false">IF($E2270="","",IF($F2270&lt;=BankCostEnvelope*'5. Scenarios'!$B$7,1,0))</f>
        <v/>
      </c>
      <c r="H2270" s="57" t="str">
        <f aca="false">IF($D2270="","",INDEX(BookRate,2265)*(1+'5. Scenarios'!$B$10)*(INDEX(BookQ1,2265)*(5-MIN(4,1+'5. Scenarios'!$B$8))/4+INDEX(BookQ2,2265)*(5-MIN(4,2+'5. Scenarios'!$B$8))/4+INDEX(BookQ3,2265)*(5-MIN(4,3+'5. Scenarios'!$B$8))/4+INDEX(BookQ4,2265)*(5-MIN(4,4+'5. Scenarios'!$B$8))/4)*'5. Scenarios'!$B$6/(1+ProductivityDefault*('5. Scenarios'!$B$11-1))+INDEX(BookOneOff,2265)*$D2270)</f>
        <v/>
      </c>
      <c r="I2270" s="56" t="str">
        <f aca="false">IF(INDEX(BookTitle,2265)="","",INDEX(BookTotal,2265)*'5. Scenarios'!$C$6/(1+ProductivityDefault*('5. Scenarios'!$C$11-1)))</f>
        <v/>
      </c>
      <c r="J2270" s="57" t="str">
        <f aca="false">IF($I2270="","",INDEX(BookRate,2265)*(1+'5. Scenarios'!$C$10)*$I2270)</f>
        <v/>
      </c>
      <c r="K2270" s="57" t="str">
        <f aca="false">IF($J2270="","",SUMIFS($J$6:$J$2405,$A$6:$A$2405,"&lt;="&amp;$A2270))</f>
        <v/>
      </c>
      <c r="L2270" s="57" t="str">
        <f aca="false">IF($J2270="","",IF($K2270&lt;=BankCostEnvelope*'5. Scenarios'!$C$7,1,0))</f>
        <v/>
      </c>
      <c r="M2270" s="57" t="str">
        <f aca="false">IF($I2270="","",INDEX(BookRate,2265)*(1+'5. Scenarios'!$C$10)*(INDEX(BookQ1,2265)*(5-MIN(4,1+'5. Scenarios'!$C$8))/4+INDEX(BookQ2,2265)*(5-MIN(4,2+'5. Scenarios'!$C$8))/4+INDEX(BookQ3,2265)*(5-MIN(4,3+'5. Scenarios'!$C$8))/4+INDEX(BookQ4,2265)*(5-MIN(4,4+'5. Scenarios'!$C$8))/4)*'5. Scenarios'!$C$6/(1+ProductivityDefault*('5. Scenarios'!$C$11-1))+INDEX(BookOneOff,2265)*$I2270)</f>
        <v/>
      </c>
      <c r="N2270" s="56" t="str">
        <f aca="false">IF(INDEX(BookTitle,2265)="","",INDEX(BookTotal,2265)*'5. Scenarios'!$D$6/(1+ProductivityDefault*('5. Scenarios'!$D$11-1)))</f>
        <v/>
      </c>
      <c r="O2270" s="57" t="str">
        <f aca="false">IF($N2270="","",INDEX(BookRate,2265)*(1+'5. Scenarios'!$D$10)*$N2270)</f>
        <v/>
      </c>
      <c r="P2270" s="57" t="str">
        <f aca="false">IF($O2270="","",SUMIFS($O$6:$O$2405,$A$6:$A$2405,"&lt;="&amp;$A2270))</f>
        <v/>
      </c>
      <c r="Q2270" s="57" t="str">
        <f aca="false">IF($O2270="","",IF($P2270&lt;=BankCostEnvelope*'5. Scenarios'!$D$7,1,0))</f>
        <v/>
      </c>
      <c r="R2270" s="57" t="str">
        <f aca="false">IF($N2270="","",INDEX(BookRate,2265)*(1+'5. Scenarios'!$D$10)*(INDEX(BookQ1,2265)*(5-MIN(4,1+'5. Scenarios'!$D$8))/4+INDEX(BookQ2,2265)*(5-MIN(4,2+'5. Scenarios'!$D$8))/4+INDEX(BookQ3,2265)*(5-MIN(4,3+'5. Scenarios'!$D$8))/4+INDEX(BookQ4,2265)*(5-MIN(4,4+'5. Scenarios'!$D$8))/4)*'5. Scenarios'!$D$6/(1+ProductivityDefault*('5. Scenarios'!$D$11-1))+INDEX(BookOneOff,2265)*$N2270)</f>
        <v/>
      </c>
      <c r="S2270" s="56" t="str">
        <f aca="false">IF(INDEX(BookTitle,2265)="","",INDEX(BookTotal,2265)*'5. Scenarios'!$E$6/(1+ProductivityDefault*('5. Scenarios'!$E$11-1)))</f>
        <v/>
      </c>
      <c r="T2270" s="57" t="str">
        <f aca="false">IF($S2270="","",INDEX(BookRate,2265)*(1+'5. Scenarios'!$E$10)*$S2270)</f>
        <v/>
      </c>
      <c r="U2270" s="57" t="str">
        <f aca="false">IF($T2270="","",SUMIFS($T$6:$T$2405,$A$6:$A$2405,"&lt;="&amp;$A2270))</f>
        <v/>
      </c>
      <c r="V2270" s="57" t="str">
        <f aca="false">IF($T2270="","",IF($U2270&lt;=BankCostEnvelope*'5. Scenarios'!$E$7,1,0))</f>
        <v/>
      </c>
      <c r="W2270" s="57" t="str">
        <f aca="false">IF($S2270="","",INDEX(BookRate,2265)*(1+'5. Scenarios'!$E$10)*(INDEX(BookQ1,2265)*(5-MIN(4,1+'5. Scenarios'!$E$8))/4+INDEX(BookQ2,2265)*(5-MIN(4,2+'5. Scenarios'!$E$8))/4+INDEX(BookQ3,2265)*(5-MIN(4,3+'5. Scenarios'!$E$8))/4+INDEX(BookQ4,2265)*(5-MIN(4,4+'5. Scenarios'!$E$8))/4)*'5. Scenarios'!$E$6/(1+ProductivityDefault*('5. Scenarios'!$E$11-1))+INDEX(BookOneOff,2265)*$S2270)</f>
        <v/>
      </c>
    </row>
    <row r="2271" customFormat="false" ht="15" hidden="false" customHeight="false" outlineLevel="0" collapsed="false">
      <c r="A2271" s="0" t="str">
        <f aca="false">IF(INDEX(BookTitle,2266)="","",INDEX(BookKey,2266))</f>
        <v/>
      </c>
      <c r="B2271" s="0" t="str">
        <f aca="false">IF(INDEX(BookTitle,2266)="","",INDEX(BookGroup,2266))</f>
        <v/>
      </c>
      <c r="C2271" s="0" t="str">
        <f aca="false">IF(INDEX(BookTitle,2266)="","",INDEX(BookCategory,2266))</f>
        <v/>
      </c>
      <c r="D2271" s="56" t="str">
        <f aca="false">IF(INDEX(BookTitle,2266)="","",INDEX(BookTotal,2266)*'5. Scenarios'!$B$6/(1+ProductivityDefault*('5. Scenarios'!$B$11-1)))</f>
        <v/>
      </c>
      <c r="E2271" s="57" t="str">
        <f aca="false">IF($D2271="","",INDEX(BookRate,2266)*(1+'5. Scenarios'!$B$10)*$D2271)</f>
        <v/>
      </c>
      <c r="F2271" s="57" t="str">
        <f aca="false">IF($E2271="","",SUMIFS($E$6:$E$2405,$A$6:$A$2405,"&lt;="&amp;$A2271))</f>
        <v/>
      </c>
      <c r="G2271" s="57" t="str">
        <f aca="false">IF($E2271="","",IF($F2271&lt;=BankCostEnvelope*'5. Scenarios'!$B$7,1,0))</f>
        <v/>
      </c>
      <c r="H2271" s="57" t="str">
        <f aca="false">IF($D2271="","",INDEX(BookRate,2266)*(1+'5. Scenarios'!$B$10)*(INDEX(BookQ1,2266)*(5-MIN(4,1+'5. Scenarios'!$B$8))/4+INDEX(BookQ2,2266)*(5-MIN(4,2+'5. Scenarios'!$B$8))/4+INDEX(BookQ3,2266)*(5-MIN(4,3+'5. Scenarios'!$B$8))/4+INDEX(BookQ4,2266)*(5-MIN(4,4+'5. Scenarios'!$B$8))/4)*'5. Scenarios'!$B$6/(1+ProductivityDefault*('5. Scenarios'!$B$11-1))+INDEX(BookOneOff,2266)*$D2271)</f>
        <v/>
      </c>
      <c r="I2271" s="56" t="str">
        <f aca="false">IF(INDEX(BookTitle,2266)="","",INDEX(BookTotal,2266)*'5. Scenarios'!$C$6/(1+ProductivityDefault*('5. Scenarios'!$C$11-1)))</f>
        <v/>
      </c>
      <c r="J2271" s="57" t="str">
        <f aca="false">IF($I2271="","",INDEX(BookRate,2266)*(1+'5. Scenarios'!$C$10)*$I2271)</f>
        <v/>
      </c>
      <c r="K2271" s="57" t="str">
        <f aca="false">IF($J2271="","",SUMIFS($J$6:$J$2405,$A$6:$A$2405,"&lt;="&amp;$A2271))</f>
        <v/>
      </c>
      <c r="L2271" s="57" t="str">
        <f aca="false">IF($J2271="","",IF($K2271&lt;=BankCostEnvelope*'5. Scenarios'!$C$7,1,0))</f>
        <v/>
      </c>
      <c r="M2271" s="57" t="str">
        <f aca="false">IF($I2271="","",INDEX(BookRate,2266)*(1+'5. Scenarios'!$C$10)*(INDEX(BookQ1,2266)*(5-MIN(4,1+'5. Scenarios'!$C$8))/4+INDEX(BookQ2,2266)*(5-MIN(4,2+'5. Scenarios'!$C$8))/4+INDEX(BookQ3,2266)*(5-MIN(4,3+'5. Scenarios'!$C$8))/4+INDEX(BookQ4,2266)*(5-MIN(4,4+'5. Scenarios'!$C$8))/4)*'5. Scenarios'!$C$6/(1+ProductivityDefault*('5. Scenarios'!$C$11-1))+INDEX(BookOneOff,2266)*$I2271)</f>
        <v/>
      </c>
      <c r="N2271" s="56" t="str">
        <f aca="false">IF(INDEX(BookTitle,2266)="","",INDEX(BookTotal,2266)*'5. Scenarios'!$D$6/(1+ProductivityDefault*('5. Scenarios'!$D$11-1)))</f>
        <v/>
      </c>
      <c r="O2271" s="57" t="str">
        <f aca="false">IF($N2271="","",INDEX(BookRate,2266)*(1+'5. Scenarios'!$D$10)*$N2271)</f>
        <v/>
      </c>
      <c r="P2271" s="57" t="str">
        <f aca="false">IF($O2271="","",SUMIFS($O$6:$O$2405,$A$6:$A$2405,"&lt;="&amp;$A2271))</f>
        <v/>
      </c>
      <c r="Q2271" s="57" t="str">
        <f aca="false">IF($O2271="","",IF($P2271&lt;=BankCostEnvelope*'5. Scenarios'!$D$7,1,0))</f>
        <v/>
      </c>
      <c r="R2271" s="57" t="str">
        <f aca="false">IF($N2271="","",INDEX(BookRate,2266)*(1+'5. Scenarios'!$D$10)*(INDEX(BookQ1,2266)*(5-MIN(4,1+'5. Scenarios'!$D$8))/4+INDEX(BookQ2,2266)*(5-MIN(4,2+'5. Scenarios'!$D$8))/4+INDEX(BookQ3,2266)*(5-MIN(4,3+'5. Scenarios'!$D$8))/4+INDEX(BookQ4,2266)*(5-MIN(4,4+'5. Scenarios'!$D$8))/4)*'5. Scenarios'!$D$6/(1+ProductivityDefault*('5. Scenarios'!$D$11-1))+INDEX(BookOneOff,2266)*$N2271)</f>
        <v/>
      </c>
      <c r="S2271" s="56" t="str">
        <f aca="false">IF(INDEX(BookTitle,2266)="","",INDEX(BookTotal,2266)*'5. Scenarios'!$E$6/(1+ProductivityDefault*('5. Scenarios'!$E$11-1)))</f>
        <v/>
      </c>
      <c r="T2271" s="57" t="str">
        <f aca="false">IF($S2271="","",INDEX(BookRate,2266)*(1+'5. Scenarios'!$E$10)*$S2271)</f>
        <v/>
      </c>
      <c r="U2271" s="57" t="str">
        <f aca="false">IF($T2271="","",SUMIFS($T$6:$T$2405,$A$6:$A$2405,"&lt;="&amp;$A2271))</f>
        <v/>
      </c>
      <c r="V2271" s="57" t="str">
        <f aca="false">IF($T2271="","",IF($U2271&lt;=BankCostEnvelope*'5. Scenarios'!$E$7,1,0))</f>
        <v/>
      </c>
      <c r="W2271" s="57" t="str">
        <f aca="false">IF($S2271="","",INDEX(BookRate,2266)*(1+'5. Scenarios'!$E$10)*(INDEX(BookQ1,2266)*(5-MIN(4,1+'5. Scenarios'!$E$8))/4+INDEX(BookQ2,2266)*(5-MIN(4,2+'5. Scenarios'!$E$8))/4+INDEX(BookQ3,2266)*(5-MIN(4,3+'5. Scenarios'!$E$8))/4+INDEX(BookQ4,2266)*(5-MIN(4,4+'5. Scenarios'!$E$8))/4)*'5. Scenarios'!$E$6/(1+ProductivityDefault*('5. Scenarios'!$E$11-1))+INDEX(BookOneOff,2266)*$S2271)</f>
        <v/>
      </c>
    </row>
    <row r="2272" customFormat="false" ht="15" hidden="false" customHeight="false" outlineLevel="0" collapsed="false">
      <c r="A2272" s="0" t="str">
        <f aca="false">IF(INDEX(BookTitle,2267)="","",INDEX(BookKey,2267))</f>
        <v/>
      </c>
      <c r="B2272" s="0" t="str">
        <f aca="false">IF(INDEX(BookTitle,2267)="","",INDEX(BookGroup,2267))</f>
        <v/>
      </c>
      <c r="C2272" s="0" t="str">
        <f aca="false">IF(INDEX(BookTitle,2267)="","",INDEX(BookCategory,2267))</f>
        <v/>
      </c>
      <c r="D2272" s="56" t="str">
        <f aca="false">IF(INDEX(BookTitle,2267)="","",INDEX(BookTotal,2267)*'5. Scenarios'!$B$6/(1+ProductivityDefault*('5. Scenarios'!$B$11-1)))</f>
        <v/>
      </c>
      <c r="E2272" s="57" t="str">
        <f aca="false">IF($D2272="","",INDEX(BookRate,2267)*(1+'5. Scenarios'!$B$10)*$D2272)</f>
        <v/>
      </c>
      <c r="F2272" s="57" t="str">
        <f aca="false">IF($E2272="","",SUMIFS($E$6:$E$2405,$A$6:$A$2405,"&lt;="&amp;$A2272))</f>
        <v/>
      </c>
      <c r="G2272" s="57" t="str">
        <f aca="false">IF($E2272="","",IF($F2272&lt;=BankCostEnvelope*'5. Scenarios'!$B$7,1,0))</f>
        <v/>
      </c>
      <c r="H2272" s="57" t="str">
        <f aca="false">IF($D2272="","",INDEX(BookRate,2267)*(1+'5. Scenarios'!$B$10)*(INDEX(BookQ1,2267)*(5-MIN(4,1+'5. Scenarios'!$B$8))/4+INDEX(BookQ2,2267)*(5-MIN(4,2+'5. Scenarios'!$B$8))/4+INDEX(BookQ3,2267)*(5-MIN(4,3+'5. Scenarios'!$B$8))/4+INDEX(BookQ4,2267)*(5-MIN(4,4+'5. Scenarios'!$B$8))/4)*'5. Scenarios'!$B$6/(1+ProductivityDefault*('5. Scenarios'!$B$11-1))+INDEX(BookOneOff,2267)*$D2272)</f>
        <v/>
      </c>
      <c r="I2272" s="56" t="str">
        <f aca="false">IF(INDEX(BookTitle,2267)="","",INDEX(BookTotal,2267)*'5. Scenarios'!$C$6/(1+ProductivityDefault*('5. Scenarios'!$C$11-1)))</f>
        <v/>
      </c>
      <c r="J2272" s="57" t="str">
        <f aca="false">IF($I2272="","",INDEX(BookRate,2267)*(1+'5. Scenarios'!$C$10)*$I2272)</f>
        <v/>
      </c>
      <c r="K2272" s="57" t="str">
        <f aca="false">IF($J2272="","",SUMIFS($J$6:$J$2405,$A$6:$A$2405,"&lt;="&amp;$A2272))</f>
        <v/>
      </c>
      <c r="L2272" s="57" t="str">
        <f aca="false">IF($J2272="","",IF($K2272&lt;=BankCostEnvelope*'5. Scenarios'!$C$7,1,0))</f>
        <v/>
      </c>
      <c r="M2272" s="57" t="str">
        <f aca="false">IF($I2272="","",INDEX(BookRate,2267)*(1+'5. Scenarios'!$C$10)*(INDEX(BookQ1,2267)*(5-MIN(4,1+'5. Scenarios'!$C$8))/4+INDEX(BookQ2,2267)*(5-MIN(4,2+'5. Scenarios'!$C$8))/4+INDEX(BookQ3,2267)*(5-MIN(4,3+'5. Scenarios'!$C$8))/4+INDEX(BookQ4,2267)*(5-MIN(4,4+'5. Scenarios'!$C$8))/4)*'5. Scenarios'!$C$6/(1+ProductivityDefault*('5. Scenarios'!$C$11-1))+INDEX(BookOneOff,2267)*$I2272)</f>
        <v/>
      </c>
      <c r="N2272" s="56" t="str">
        <f aca="false">IF(INDEX(BookTitle,2267)="","",INDEX(BookTotal,2267)*'5. Scenarios'!$D$6/(1+ProductivityDefault*('5. Scenarios'!$D$11-1)))</f>
        <v/>
      </c>
      <c r="O2272" s="57" t="str">
        <f aca="false">IF($N2272="","",INDEX(BookRate,2267)*(1+'5. Scenarios'!$D$10)*$N2272)</f>
        <v/>
      </c>
      <c r="P2272" s="57" t="str">
        <f aca="false">IF($O2272="","",SUMIFS($O$6:$O$2405,$A$6:$A$2405,"&lt;="&amp;$A2272))</f>
        <v/>
      </c>
      <c r="Q2272" s="57" t="str">
        <f aca="false">IF($O2272="","",IF($P2272&lt;=BankCostEnvelope*'5. Scenarios'!$D$7,1,0))</f>
        <v/>
      </c>
      <c r="R2272" s="57" t="str">
        <f aca="false">IF($N2272="","",INDEX(BookRate,2267)*(1+'5. Scenarios'!$D$10)*(INDEX(BookQ1,2267)*(5-MIN(4,1+'5. Scenarios'!$D$8))/4+INDEX(BookQ2,2267)*(5-MIN(4,2+'5. Scenarios'!$D$8))/4+INDEX(BookQ3,2267)*(5-MIN(4,3+'5. Scenarios'!$D$8))/4+INDEX(BookQ4,2267)*(5-MIN(4,4+'5. Scenarios'!$D$8))/4)*'5. Scenarios'!$D$6/(1+ProductivityDefault*('5. Scenarios'!$D$11-1))+INDEX(BookOneOff,2267)*$N2272)</f>
        <v/>
      </c>
      <c r="S2272" s="56" t="str">
        <f aca="false">IF(INDEX(BookTitle,2267)="","",INDEX(BookTotal,2267)*'5. Scenarios'!$E$6/(1+ProductivityDefault*('5. Scenarios'!$E$11-1)))</f>
        <v/>
      </c>
      <c r="T2272" s="57" t="str">
        <f aca="false">IF($S2272="","",INDEX(BookRate,2267)*(1+'5. Scenarios'!$E$10)*$S2272)</f>
        <v/>
      </c>
      <c r="U2272" s="57" t="str">
        <f aca="false">IF($T2272="","",SUMIFS($T$6:$T$2405,$A$6:$A$2405,"&lt;="&amp;$A2272))</f>
        <v/>
      </c>
      <c r="V2272" s="57" t="str">
        <f aca="false">IF($T2272="","",IF($U2272&lt;=BankCostEnvelope*'5. Scenarios'!$E$7,1,0))</f>
        <v/>
      </c>
      <c r="W2272" s="57" t="str">
        <f aca="false">IF($S2272="","",INDEX(BookRate,2267)*(1+'5. Scenarios'!$E$10)*(INDEX(BookQ1,2267)*(5-MIN(4,1+'5. Scenarios'!$E$8))/4+INDEX(BookQ2,2267)*(5-MIN(4,2+'5. Scenarios'!$E$8))/4+INDEX(BookQ3,2267)*(5-MIN(4,3+'5. Scenarios'!$E$8))/4+INDEX(BookQ4,2267)*(5-MIN(4,4+'5. Scenarios'!$E$8))/4)*'5. Scenarios'!$E$6/(1+ProductivityDefault*('5. Scenarios'!$E$11-1))+INDEX(BookOneOff,2267)*$S2272)</f>
        <v/>
      </c>
    </row>
    <row r="2273" customFormat="false" ht="15" hidden="false" customHeight="false" outlineLevel="0" collapsed="false">
      <c r="A2273" s="0" t="str">
        <f aca="false">IF(INDEX(BookTitle,2268)="","",INDEX(BookKey,2268))</f>
        <v/>
      </c>
      <c r="B2273" s="0" t="str">
        <f aca="false">IF(INDEX(BookTitle,2268)="","",INDEX(BookGroup,2268))</f>
        <v/>
      </c>
      <c r="C2273" s="0" t="str">
        <f aca="false">IF(INDEX(BookTitle,2268)="","",INDEX(BookCategory,2268))</f>
        <v/>
      </c>
      <c r="D2273" s="56" t="str">
        <f aca="false">IF(INDEX(BookTitle,2268)="","",INDEX(BookTotal,2268)*'5. Scenarios'!$B$6/(1+ProductivityDefault*('5. Scenarios'!$B$11-1)))</f>
        <v/>
      </c>
      <c r="E2273" s="57" t="str">
        <f aca="false">IF($D2273="","",INDEX(BookRate,2268)*(1+'5. Scenarios'!$B$10)*$D2273)</f>
        <v/>
      </c>
      <c r="F2273" s="57" t="str">
        <f aca="false">IF($E2273="","",SUMIFS($E$6:$E$2405,$A$6:$A$2405,"&lt;="&amp;$A2273))</f>
        <v/>
      </c>
      <c r="G2273" s="57" t="str">
        <f aca="false">IF($E2273="","",IF($F2273&lt;=BankCostEnvelope*'5. Scenarios'!$B$7,1,0))</f>
        <v/>
      </c>
      <c r="H2273" s="57" t="str">
        <f aca="false">IF($D2273="","",INDEX(BookRate,2268)*(1+'5. Scenarios'!$B$10)*(INDEX(BookQ1,2268)*(5-MIN(4,1+'5. Scenarios'!$B$8))/4+INDEX(BookQ2,2268)*(5-MIN(4,2+'5. Scenarios'!$B$8))/4+INDEX(BookQ3,2268)*(5-MIN(4,3+'5. Scenarios'!$B$8))/4+INDEX(BookQ4,2268)*(5-MIN(4,4+'5. Scenarios'!$B$8))/4)*'5. Scenarios'!$B$6/(1+ProductivityDefault*('5. Scenarios'!$B$11-1))+INDEX(BookOneOff,2268)*$D2273)</f>
        <v/>
      </c>
      <c r="I2273" s="56" t="str">
        <f aca="false">IF(INDEX(BookTitle,2268)="","",INDEX(BookTotal,2268)*'5. Scenarios'!$C$6/(1+ProductivityDefault*('5. Scenarios'!$C$11-1)))</f>
        <v/>
      </c>
      <c r="J2273" s="57" t="str">
        <f aca="false">IF($I2273="","",INDEX(BookRate,2268)*(1+'5. Scenarios'!$C$10)*$I2273)</f>
        <v/>
      </c>
      <c r="K2273" s="57" t="str">
        <f aca="false">IF($J2273="","",SUMIFS($J$6:$J$2405,$A$6:$A$2405,"&lt;="&amp;$A2273))</f>
        <v/>
      </c>
      <c r="L2273" s="57" t="str">
        <f aca="false">IF($J2273="","",IF($K2273&lt;=BankCostEnvelope*'5. Scenarios'!$C$7,1,0))</f>
        <v/>
      </c>
      <c r="M2273" s="57" t="str">
        <f aca="false">IF($I2273="","",INDEX(BookRate,2268)*(1+'5. Scenarios'!$C$10)*(INDEX(BookQ1,2268)*(5-MIN(4,1+'5. Scenarios'!$C$8))/4+INDEX(BookQ2,2268)*(5-MIN(4,2+'5. Scenarios'!$C$8))/4+INDEX(BookQ3,2268)*(5-MIN(4,3+'5. Scenarios'!$C$8))/4+INDEX(BookQ4,2268)*(5-MIN(4,4+'5. Scenarios'!$C$8))/4)*'5. Scenarios'!$C$6/(1+ProductivityDefault*('5. Scenarios'!$C$11-1))+INDEX(BookOneOff,2268)*$I2273)</f>
        <v/>
      </c>
      <c r="N2273" s="56" t="str">
        <f aca="false">IF(INDEX(BookTitle,2268)="","",INDEX(BookTotal,2268)*'5. Scenarios'!$D$6/(1+ProductivityDefault*('5. Scenarios'!$D$11-1)))</f>
        <v/>
      </c>
      <c r="O2273" s="57" t="str">
        <f aca="false">IF($N2273="","",INDEX(BookRate,2268)*(1+'5. Scenarios'!$D$10)*$N2273)</f>
        <v/>
      </c>
      <c r="P2273" s="57" t="str">
        <f aca="false">IF($O2273="","",SUMIFS($O$6:$O$2405,$A$6:$A$2405,"&lt;="&amp;$A2273))</f>
        <v/>
      </c>
      <c r="Q2273" s="57" t="str">
        <f aca="false">IF($O2273="","",IF($P2273&lt;=BankCostEnvelope*'5. Scenarios'!$D$7,1,0))</f>
        <v/>
      </c>
      <c r="R2273" s="57" t="str">
        <f aca="false">IF($N2273="","",INDEX(BookRate,2268)*(1+'5. Scenarios'!$D$10)*(INDEX(BookQ1,2268)*(5-MIN(4,1+'5. Scenarios'!$D$8))/4+INDEX(BookQ2,2268)*(5-MIN(4,2+'5. Scenarios'!$D$8))/4+INDEX(BookQ3,2268)*(5-MIN(4,3+'5. Scenarios'!$D$8))/4+INDEX(BookQ4,2268)*(5-MIN(4,4+'5. Scenarios'!$D$8))/4)*'5. Scenarios'!$D$6/(1+ProductivityDefault*('5. Scenarios'!$D$11-1))+INDEX(BookOneOff,2268)*$N2273)</f>
        <v/>
      </c>
      <c r="S2273" s="56" t="str">
        <f aca="false">IF(INDEX(BookTitle,2268)="","",INDEX(BookTotal,2268)*'5. Scenarios'!$E$6/(1+ProductivityDefault*('5. Scenarios'!$E$11-1)))</f>
        <v/>
      </c>
      <c r="T2273" s="57" t="str">
        <f aca="false">IF($S2273="","",INDEX(BookRate,2268)*(1+'5. Scenarios'!$E$10)*$S2273)</f>
        <v/>
      </c>
      <c r="U2273" s="57" t="str">
        <f aca="false">IF($T2273="","",SUMIFS($T$6:$T$2405,$A$6:$A$2405,"&lt;="&amp;$A2273))</f>
        <v/>
      </c>
      <c r="V2273" s="57" t="str">
        <f aca="false">IF($T2273="","",IF($U2273&lt;=BankCostEnvelope*'5. Scenarios'!$E$7,1,0))</f>
        <v/>
      </c>
      <c r="W2273" s="57" t="str">
        <f aca="false">IF($S2273="","",INDEX(BookRate,2268)*(1+'5. Scenarios'!$E$10)*(INDEX(BookQ1,2268)*(5-MIN(4,1+'5. Scenarios'!$E$8))/4+INDEX(BookQ2,2268)*(5-MIN(4,2+'5. Scenarios'!$E$8))/4+INDEX(BookQ3,2268)*(5-MIN(4,3+'5. Scenarios'!$E$8))/4+INDEX(BookQ4,2268)*(5-MIN(4,4+'5. Scenarios'!$E$8))/4)*'5. Scenarios'!$E$6/(1+ProductivityDefault*('5. Scenarios'!$E$11-1))+INDEX(BookOneOff,2268)*$S2273)</f>
        <v/>
      </c>
    </row>
    <row r="2274" customFormat="false" ht="15" hidden="false" customHeight="false" outlineLevel="0" collapsed="false">
      <c r="A2274" s="0" t="str">
        <f aca="false">IF(INDEX(BookTitle,2269)="","",INDEX(BookKey,2269))</f>
        <v/>
      </c>
      <c r="B2274" s="0" t="str">
        <f aca="false">IF(INDEX(BookTitle,2269)="","",INDEX(BookGroup,2269))</f>
        <v/>
      </c>
      <c r="C2274" s="0" t="str">
        <f aca="false">IF(INDEX(BookTitle,2269)="","",INDEX(BookCategory,2269))</f>
        <v/>
      </c>
      <c r="D2274" s="56" t="str">
        <f aca="false">IF(INDEX(BookTitle,2269)="","",INDEX(BookTotal,2269)*'5. Scenarios'!$B$6/(1+ProductivityDefault*('5. Scenarios'!$B$11-1)))</f>
        <v/>
      </c>
      <c r="E2274" s="57" t="str">
        <f aca="false">IF($D2274="","",INDEX(BookRate,2269)*(1+'5. Scenarios'!$B$10)*$D2274)</f>
        <v/>
      </c>
      <c r="F2274" s="57" t="str">
        <f aca="false">IF($E2274="","",SUMIFS($E$6:$E$2405,$A$6:$A$2405,"&lt;="&amp;$A2274))</f>
        <v/>
      </c>
      <c r="G2274" s="57" t="str">
        <f aca="false">IF($E2274="","",IF($F2274&lt;=BankCostEnvelope*'5. Scenarios'!$B$7,1,0))</f>
        <v/>
      </c>
      <c r="H2274" s="57" t="str">
        <f aca="false">IF($D2274="","",INDEX(BookRate,2269)*(1+'5. Scenarios'!$B$10)*(INDEX(BookQ1,2269)*(5-MIN(4,1+'5. Scenarios'!$B$8))/4+INDEX(BookQ2,2269)*(5-MIN(4,2+'5. Scenarios'!$B$8))/4+INDEX(BookQ3,2269)*(5-MIN(4,3+'5. Scenarios'!$B$8))/4+INDEX(BookQ4,2269)*(5-MIN(4,4+'5. Scenarios'!$B$8))/4)*'5. Scenarios'!$B$6/(1+ProductivityDefault*('5. Scenarios'!$B$11-1))+INDEX(BookOneOff,2269)*$D2274)</f>
        <v/>
      </c>
      <c r="I2274" s="56" t="str">
        <f aca="false">IF(INDEX(BookTitle,2269)="","",INDEX(BookTotal,2269)*'5. Scenarios'!$C$6/(1+ProductivityDefault*('5. Scenarios'!$C$11-1)))</f>
        <v/>
      </c>
      <c r="J2274" s="57" t="str">
        <f aca="false">IF($I2274="","",INDEX(BookRate,2269)*(1+'5. Scenarios'!$C$10)*$I2274)</f>
        <v/>
      </c>
      <c r="K2274" s="57" t="str">
        <f aca="false">IF($J2274="","",SUMIFS($J$6:$J$2405,$A$6:$A$2405,"&lt;="&amp;$A2274))</f>
        <v/>
      </c>
      <c r="L2274" s="57" t="str">
        <f aca="false">IF($J2274="","",IF($K2274&lt;=BankCostEnvelope*'5. Scenarios'!$C$7,1,0))</f>
        <v/>
      </c>
      <c r="M2274" s="57" t="str">
        <f aca="false">IF($I2274="","",INDEX(BookRate,2269)*(1+'5. Scenarios'!$C$10)*(INDEX(BookQ1,2269)*(5-MIN(4,1+'5. Scenarios'!$C$8))/4+INDEX(BookQ2,2269)*(5-MIN(4,2+'5. Scenarios'!$C$8))/4+INDEX(BookQ3,2269)*(5-MIN(4,3+'5. Scenarios'!$C$8))/4+INDEX(BookQ4,2269)*(5-MIN(4,4+'5. Scenarios'!$C$8))/4)*'5. Scenarios'!$C$6/(1+ProductivityDefault*('5. Scenarios'!$C$11-1))+INDEX(BookOneOff,2269)*$I2274)</f>
        <v/>
      </c>
      <c r="N2274" s="56" t="str">
        <f aca="false">IF(INDEX(BookTitle,2269)="","",INDEX(BookTotal,2269)*'5. Scenarios'!$D$6/(1+ProductivityDefault*('5. Scenarios'!$D$11-1)))</f>
        <v/>
      </c>
      <c r="O2274" s="57" t="str">
        <f aca="false">IF($N2274="","",INDEX(BookRate,2269)*(1+'5. Scenarios'!$D$10)*$N2274)</f>
        <v/>
      </c>
      <c r="P2274" s="57" t="str">
        <f aca="false">IF($O2274="","",SUMIFS($O$6:$O$2405,$A$6:$A$2405,"&lt;="&amp;$A2274))</f>
        <v/>
      </c>
      <c r="Q2274" s="57" t="str">
        <f aca="false">IF($O2274="","",IF($P2274&lt;=BankCostEnvelope*'5. Scenarios'!$D$7,1,0))</f>
        <v/>
      </c>
      <c r="R2274" s="57" t="str">
        <f aca="false">IF($N2274="","",INDEX(BookRate,2269)*(1+'5. Scenarios'!$D$10)*(INDEX(BookQ1,2269)*(5-MIN(4,1+'5. Scenarios'!$D$8))/4+INDEX(BookQ2,2269)*(5-MIN(4,2+'5. Scenarios'!$D$8))/4+INDEX(BookQ3,2269)*(5-MIN(4,3+'5. Scenarios'!$D$8))/4+INDEX(BookQ4,2269)*(5-MIN(4,4+'5. Scenarios'!$D$8))/4)*'5. Scenarios'!$D$6/(1+ProductivityDefault*('5. Scenarios'!$D$11-1))+INDEX(BookOneOff,2269)*$N2274)</f>
        <v/>
      </c>
      <c r="S2274" s="56" t="str">
        <f aca="false">IF(INDEX(BookTitle,2269)="","",INDEX(BookTotal,2269)*'5. Scenarios'!$E$6/(1+ProductivityDefault*('5. Scenarios'!$E$11-1)))</f>
        <v/>
      </c>
      <c r="T2274" s="57" t="str">
        <f aca="false">IF($S2274="","",INDEX(BookRate,2269)*(1+'5. Scenarios'!$E$10)*$S2274)</f>
        <v/>
      </c>
      <c r="U2274" s="57" t="str">
        <f aca="false">IF($T2274="","",SUMIFS($T$6:$T$2405,$A$6:$A$2405,"&lt;="&amp;$A2274))</f>
        <v/>
      </c>
      <c r="V2274" s="57" t="str">
        <f aca="false">IF($T2274="","",IF($U2274&lt;=BankCostEnvelope*'5. Scenarios'!$E$7,1,0))</f>
        <v/>
      </c>
      <c r="W2274" s="57" t="str">
        <f aca="false">IF($S2274="","",INDEX(BookRate,2269)*(1+'5. Scenarios'!$E$10)*(INDEX(BookQ1,2269)*(5-MIN(4,1+'5. Scenarios'!$E$8))/4+INDEX(BookQ2,2269)*(5-MIN(4,2+'5. Scenarios'!$E$8))/4+INDEX(BookQ3,2269)*(5-MIN(4,3+'5. Scenarios'!$E$8))/4+INDEX(BookQ4,2269)*(5-MIN(4,4+'5. Scenarios'!$E$8))/4)*'5. Scenarios'!$E$6/(1+ProductivityDefault*('5. Scenarios'!$E$11-1))+INDEX(BookOneOff,2269)*$S2274)</f>
        <v/>
      </c>
    </row>
    <row r="2275" customFormat="false" ht="15" hidden="false" customHeight="false" outlineLevel="0" collapsed="false">
      <c r="A2275" s="0" t="str">
        <f aca="false">IF(INDEX(BookTitle,2270)="","",INDEX(BookKey,2270))</f>
        <v/>
      </c>
      <c r="B2275" s="0" t="str">
        <f aca="false">IF(INDEX(BookTitle,2270)="","",INDEX(BookGroup,2270))</f>
        <v/>
      </c>
      <c r="C2275" s="0" t="str">
        <f aca="false">IF(INDEX(BookTitle,2270)="","",INDEX(BookCategory,2270))</f>
        <v/>
      </c>
      <c r="D2275" s="56" t="str">
        <f aca="false">IF(INDEX(BookTitle,2270)="","",INDEX(BookTotal,2270)*'5. Scenarios'!$B$6/(1+ProductivityDefault*('5. Scenarios'!$B$11-1)))</f>
        <v/>
      </c>
      <c r="E2275" s="57" t="str">
        <f aca="false">IF($D2275="","",INDEX(BookRate,2270)*(1+'5. Scenarios'!$B$10)*$D2275)</f>
        <v/>
      </c>
      <c r="F2275" s="57" t="str">
        <f aca="false">IF($E2275="","",SUMIFS($E$6:$E$2405,$A$6:$A$2405,"&lt;="&amp;$A2275))</f>
        <v/>
      </c>
      <c r="G2275" s="57" t="str">
        <f aca="false">IF($E2275="","",IF($F2275&lt;=BankCostEnvelope*'5. Scenarios'!$B$7,1,0))</f>
        <v/>
      </c>
      <c r="H2275" s="57" t="str">
        <f aca="false">IF($D2275="","",INDEX(BookRate,2270)*(1+'5. Scenarios'!$B$10)*(INDEX(BookQ1,2270)*(5-MIN(4,1+'5. Scenarios'!$B$8))/4+INDEX(BookQ2,2270)*(5-MIN(4,2+'5. Scenarios'!$B$8))/4+INDEX(BookQ3,2270)*(5-MIN(4,3+'5. Scenarios'!$B$8))/4+INDEX(BookQ4,2270)*(5-MIN(4,4+'5. Scenarios'!$B$8))/4)*'5. Scenarios'!$B$6/(1+ProductivityDefault*('5. Scenarios'!$B$11-1))+INDEX(BookOneOff,2270)*$D2275)</f>
        <v/>
      </c>
      <c r="I2275" s="56" t="str">
        <f aca="false">IF(INDEX(BookTitle,2270)="","",INDEX(BookTotal,2270)*'5. Scenarios'!$C$6/(1+ProductivityDefault*('5. Scenarios'!$C$11-1)))</f>
        <v/>
      </c>
      <c r="J2275" s="57" t="str">
        <f aca="false">IF($I2275="","",INDEX(BookRate,2270)*(1+'5. Scenarios'!$C$10)*$I2275)</f>
        <v/>
      </c>
      <c r="K2275" s="57" t="str">
        <f aca="false">IF($J2275="","",SUMIFS($J$6:$J$2405,$A$6:$A$2405,"&lt;="&amp;$A2275))</f>
        <v/>
      </c>
      <c r="L2275" s="57" t="str">
        <f aca="false">IF($J2275="","",IF($K2275&lt;=BankCostEnvelope*'5. Scenarios'!$C$7,1,0))</f>
        <v/>
      </c>
      <c r="M2275" s="57" t="str">
        <f aca="false">IF($I2275="","",INDEX(BookRate,2270)*(1+'5. Scenarios'!$C$10)*(INDEX(BookQ1,2270)*(5-MIN(4,1+'5. Scenarios'!$C$8))/4+INDEX(BookQ2,2270)*(5-MIN(4,2+'5. Scenarios'!$C$8))/4+INDEX(BookQ3,2270)*(5-MIN(4,3+'5. Scenarios'!$C$8))/4+INDEX(BookQ4,2270)*(5-MIN(4,4+'5. Scenarios'!$C$8))/4)*'5. Scenarios'!$C$6/(1+ProductivityDefault*('5. Scenarios'!$C$11-1))+INDEX(BookOneOff,2270)*$I2275)</f>
        <v/>
      </c>
      <c r="N2275" s="56" t="str">
        <f aca="false">IF(INDEX(BookTitle,2270)="","",INDEX(BookTotal,2270)*'5. Scenarios'!$D$6/(1+ProductivityDefault*('5. Scenarios'!$D$11-1)))</f>
        <v/>
      </c>
      <c r="O2275" s="57" t="str">
        <f aca="false">IF($N2275="","",INDEX(BookRate,2270)*(1+'5. Scenarios'!$D$10)*$N2275)</f>
        <v/>
      </c>
      <c r="P2275" s="57" t="str">
        <f aca="false">IF($O2275="","",SUMIFS($O$6:$O$2405,$A$6:$A$2405,"&lt;="&amp;$A2275))</f>
        <v/>
      </c>
      <c r="Q2275" s="57" t="str">
        <f aca="false">IF($O2275="","",IF($P2275&lt;=BankCostEnvelope*'5. Scenarios'!$D$7,1,0))</f>
        <v/>
      </c>
      <c r="R2275" s="57" t="str">
        <f aca="false">IF($N2275="","",INDEX(BookRate,2270)*(1+'5. Scenarios'!$D$10)*(INDEX(BookQ1,2270)*(5-MIN(4,1+'5. Scenarios'!$D$8))/4+INDEX(BookQ2,2270)*(5-MIN(4,2+'5. Scenarios'!$D$8))/4+INDEX(BookQ3,2270)*(5-MIN(4,3+'5. Scenarios'!$D$8))/4+INDEX(BookQ4,2270)*(5-MIN(4,4+'5. Scenarios'!$D$8))/4)*'5. Scenarios'!$D$6/(1+ProductivityDefault*('5. Scenarios'!$D$11-1))+INDEX(BookOneOff,2270)*$N2275)</f>
        <v/>
      </c>
      <c r="S2275" s="56" t="str">
        <f aca="false">IF(INDEX(BookTitle,2270)="","",INDEX(BookTotal,2270)*'5. Scenarios'!$E$6/(1+ProductivityDefault*('5. Scenarios'!$E$11-1)))</f>
        <v/>
      </c>
      <c r="T2275" s="57" t="str">
        <f aca="false">IF($S2275="","",INDEX(BookRate,2270)*(1+'5. Scenarios'!$E$10)*$S2275)</f>
        <v/>
      </c>
      <c r="U2275" s="57" t="str">
        <f aca="false">IF($T2275="","",SUMIFS($T$6:$T$2405,$A$6:$A$2405,"&lt;="&amp;$A2275))</f>
        <v/>
      </c>
      <c r="V2275" s="57" t="str">
        <f aca="false">IF($T2275="","",IF($U2275&lt;=BankCostEnvelope*'5. Scenarios'!$E$7,1,0))</f>
        <v/>
      </c>
      <c r="W2275" s="57" t="str">
        <f aca="false">IF($S2275="","",INDEX(BookRate,2270)*(1+'5. Scenarios'!$E$10)*(INDEX(BookQ1,2270)*(5-MIN(4,1+'5. Scenarios'!$E$8))/4+INDEX(BookQ2,2270)*(5-MIN(4,2+'5. Scenarios'!$E$8))/4+INDEX(BookQ3,2270)*(5-MIN(4,3+'5. Scenarios'!$E$8))/4+INDEX(BookQ4,2270)*(5-MIN(4,4+'5. Scenarios'!$E$8))/4)*'5. Scenarios'!$E$6/(1+ProductivityDefault*('5. Scenarios'!$E$11-1))+INDEX(BookOneOff,2270)*$S2275)</f>
        <v/>
      </c>
    </row>
    <row r="2276" customFormat="false" ht="15" hidden="false" customHeight="false" outlineLevel="0" collapsed="false">
      <c r="A2276" s="0" t="str">
        <f aca="false">IF(INDEX(BookTitle,2271)="","",INDEX(BookKey,2271))</f>
        <v/>
      </c>
      <c r="B2276" s="0" t="str">
        <f aca="false">IF(INDEX(BookTitle,2271)="","",INDEX(BookGroup,2271))</f>
        <v/>
      </c>
      <c r="C2276" s="0" t="str">
        <f aca="false">IF(INDEX(BookTitle,2271)="","",INDEX(BookCategory,2271))</f>
        <v/>
      </c>
      <c r="D2276" s="56" t="str">
        <f aca="false">IF(INDEX(BookTitle,2271)="","",INDEX(BookTotal,2271)*'5. Scenarios'!$B$6/(1+ProductivityDefault*('5. Scenarios'!$B$11-1)))</f>
        <v/>
      </c>
      <c r="E2276" s="57" t="str">
        <f aca="false">IF($D2276="","",INDEX(BookRate,2271)*(1+'5. Scenarios'!$B$10)*$D2276)</f>
        <v/>
      </c>
      <c r="F2276" s="57" t="str">
        <f aca="false">IF($E2276="","",SUMIFS($E$6:$E$2405,$A$6:$A$2405,"&lt;="&amp;$A2276))</f>
        <v/>
      </c>
      <c r="G2276" s="57" t="str">
        <f aca="false">IF($E2276="","",IF($F2276&lt;=BankCostEnvelope*'5. Scenarios'!$B$7,1,0))</f>
        <v/>
      </c>
      <c r="H2276" s="57" t="str">
        <f aca="false">IF($D2276="","",INDEX(BookRate,2271)*(1+'5. Scenarios'!$B$10)*(INDEX(BookQ1,2271)*(5-MIN(4,1+'5. Scenarios'!$B$8))/4+INDEX(BookQ2,2271)*(5-MIN(4,2+'5. Scenarios'!$B$8))/4+INDEX(BookQ3,2271)*(5-MIN(4,3+'5. Scenarios'!$B$8))/4+INDEX(BookQ4,2271)*(5-MIN(4,4+'5. Scenarios'!$B$8))/4)*'5. Scenarios'!$B$6/(1+ProductivityDefault*('5. Scenarios'!$B$11-1))+INDEX(BookOneOff,2271)*$D2276)</f>
        <v/>
      </c>
      <c r="I2276" s="56" t="str">
        <f aca="false">IF(INDEX(BookTitle,2271)="","",INDEX(BookTotal,2271)*'5. Scenarios'!$C$6/(1+ProductivityDefault*('5. Scenarios'!$C$11-1)))</f>
        <v/>
      </c>
      <c r="J2276" s="57" t="str">
        <f aca="false">IF($I2276="","",INDEX(BookRate,2271)*(1+'5. Scenarios'!$C$10)*$I2276)</f>
        <v/>
      </c>
      <c r="K2276" s="57" t="str">
        <f aca="false">IF($J2276="","",SUMIFS($J$6:$J$2405,$A$6:$A$2405,"&lt;="&amp;$A2276))</f>
        <v/>
      </c>
      <c r="L2276" s="57" t="str">
        <f aca="false">IF($J2276="","",IF($K2276&lt;=BankCostEnvelope*'5. Scenarios'!$C$7,1,0))</f>
        <v/>
      </c>
      <c r="M2276" s="57" t="str">
        <f aca="false">IF($I2276="","",INDEX(BookRate,2271)*(1+'5. Scenarios'!$C$10)*(INDEX(BookQ1,2271)*(5-MIN(4,1+'5. Scenarios'!$C$8))/4+INDEX(BookQ2,2271)*(5-MIN(4,2+'5. Scenarios'!$C$8))/4+INDEX(BookQ3,2271)*(5-MIN(4,3+'5. Scenarios'!$C$8))/4+INDEX(BookQ4,2271)*(5-MIN(4,4+'5. Scenarios'!$C$8))/4)*'5. Scenarios'!$C$6/(1+ProductivityDefault*('5. Scenarios'!$C$11-1))+INDEX(BookOneOff,2271)*$I2276)</f>
        <v/>
      </c>
      <c r="N2276" s="56" t="str">
        <f aca="false">IF(INDEX(BookTitle,2271)="","",INDEX(BookTotal,2271)*'5. Scenarios'!$D$6/(1+ProductivityDefault*('5. Scenarios'!$D$11-1)))</f>
        <v/>
      </c>
      <c r="O2276" s="57" t="str">
        <f aca="false">IF($N2276="","",INDEX(BookRate,2271)*(1+'5. Scenarios'!$D$10)*$N2276)</f>
        <v/>
      </c>
      <c r="P2276" s="57" t="str">
        <f aca="false">IF($O2276="","",SUMIFS($O$6:$O$2405,$A$6:$A$2405,"&lt;="&amp;$A2276))</f>
        <v/>
      </c>
      <c r="Q2276" s="57" t="str">
        <f aca="false">IF($O2276="","",IF($P2276&lt;=BankCostEnvelope*'5. Scenarios'!$D$7,1,0))</f>
        <v/>
      </c>
      <c r="R2276" s="57" t="str">
        <f aca="false">IF($N2276="","",INDEX(BookRate,2271)*(1+'5. Scenarios'!$D$10)*(INDEX(BookQ1,2271)*(5-MIN(4,1+'5. Scenarios'!$D$8))/4+INDEX(BookQ2,2271)*(5-MIN(4,2+'5. Scenarios'!$D$8))/4+INDEX(BookQ3,2271)*(5-MIN(4,3+'5. Scenarios'!$D$8))/4+INDEX(BookQ4,2271)*(5-MIN(4,4+'5. Scenarios'!$D$8))/4)*'5. Scenarios'!$D$6/(1+ProductivityDefault*('5. Scenarios'!$D$11-1))+INDEX(BookOneOff,2271)*$N2276)</f>
        <v/>
      </c>
      <c r="S2276" s="56" t="str">
        <f aca="false">IF(INDEX(BookTitle,2271)="","",INDEX(BookTotal,2271)*'5. Scenarios'!$E$6/(1+ProductivityDefault*('5. Scenarios'!$E$11-1)))</f>
        <v/>
      </c>
      <c r="T2276" s="57" t="str">
        <f aca="false">IF($S2276="","",INDEX(BookRate,2271)*(1+'5. Scenarios'!$E$10)*$S2276)</f>
        <v/>
      </c>
      <c r="U2276" s="57" t="str">
        <f aca="false">IF($T2276="","",SUMIFS($T$6:$T$2405,$A$6:$A$2405,"&lt;="&amp;$A2276))</f>
        <v/>
      </c>
      <c r="V2276" s="57" t="str">
        <f aca="false">IF($T2276="","",IF($U2276&lt;=BankCostEnvelope*'5. Scenarios'!$E$7,1,0))</f>
        <v/>
      </c>
      <c r="W2276" s="57" t="str">
        <f aca="false">IF($S2276="","",INDEX(BookRate,2271)*(1+'5. Scenarios'!$E$10)*(INDEX(BookQ1,2271)*(5-MIN(4,1+'5. Scenarios'!$E$8))/4+INDEX(BookQ2,2271)*(5-MIN(4,2+'5. Scenarios'!$E$8))/4+INDEX(BookQ3,2271)*(5-MIN(4,3+'5. Scenarios'!$E$8))/4+INDEX(BookQ4,2271)*(5-MIN(4,4+'5. Scenarios'!$E$8))/4)*'5. Scenarios'!$E$6/(1+ProductivityDefault*('5. Scenarios'!$E$11-1))+INDEX(BookOneOff,2271)*$S2276)</f>
        <v/>
      </c>
    </row>
    <row r="2277" customFormat="false" ht="15" hidden="false" customHeight="false" outlineLevel="0" collapsed="false">
      <c r="A2277" s="0" t="str">
        <f aca="false">IF(INDEX(BookTitle,2272)="","",INDEX(BookKey,2272))</f>
        <v/>
      </c>
      <c r="B2277" s="0" t="str">
        <f aca="false">IF(INDEX(BookTitle,2272)="","",INDEX(BookGroup,2272))</f>
        <v/>
      </c>
      <c r="C2277" s="0" t="str">
        <f aca="false">IF(INDEX(BookTitle,2272)="","",INDEX(BookCategory,2272))</f>
        <v/>
      </c>
      <c r="D2277" s="56" t="str">
        <f aca="false">IF(INDEX(BookTitle,2272)="","",INDEX(BookTotal,2272)*'5. Scenarios'!$B$6/(1+ProductivityDefault*('5. Scenarios'!$B$11-1)))</f>
        <v/>
      </c>
      <c r="E2277" s="57" t="str">
        <f aca="false">IF($D2277="","",INDEX(BookRate,2272)*(1+'5. Scenarios'!$B$10)*$D2277)</f>
        <v/>
      </c>
      <c r="F2277" s="57" t="str">
        <f aca="false">IF($E2277="","",SUMIFS($E$6:$E$2405,$A$6:$A$2405,"&lt;="&amp;$A2277))</f>
        <v/>
      </c>
      <c r="G2277" s="57" t="str">
        <f aca="false">IF($E2277="","",IF($F2277&lt;=BankCostEnvelope*'5. Scenarios'!$B$7,1,0))</f>
        <v/>
      </c>
      <c r="H2277" s="57" t="str">
        <f aca="false">IF($D2277="","",INDEX(BookRate,2272)*(1+'5. Scenarios'!$B$10)*(INDEX(BookQ1,2272)*(5-MIN(4,1+'5. Scenarios'!$B$8))/4+INDEX(BookQ2,2272)*(5-MIN(4,2+'5. Scenarios'!$B$8))/4+INDEX(BookQ3,2272)*(5-MIN(4,3+'5. Scenarios'!$B$8))/4+INDEX(BookQ4,2272)*(5-MIN(4,4+'5. Scenarios'!$B$8))/4)*'5. Scenarios'!$B$6/(1+ProductivityDefault*('5. Scenarios'!$B$11-1))+INDEX(BookOneOff,2272)*$D2277)</f>
        <v/>
      </c>
      <c r="I2277" s="56" t="str">
        <f aca="false">IF(INDEX(BookTitle,2272)="","",INDEX(BookTotal,2272)*'5. Scenarios'!$C$6/(1+ProductivityDefault*('5. Scenarios'!$C$11-1)))</f>
        <v/>
      </c>
      <c r="J2277" s="57" t="str">
        <f aca="false">IF($I2277="","",INDEX(BookRate,2272)*(1+'5. Scenarios'!$C$10)*$I2277)</f>
        <v/>
      </c>
      <c r="K2277" s="57" t="str">
        <f aca="false">IF($J2277="","",SUMIFS($J$6:$J$2405,$A$6:$A$2405,"&lt;="&amp;$A2277))</f>
        <v/>
      </c>
      <c r="L2277" s="57" t="str">
        <f aca="false">IF($J2277="","",IF($K2277&lt;=BankCostEnvelope*'5. Scenarios'!$C$7,1,0))</f>
        <v/>
      </c>
      <c r="M2277" s="57" t="str">
        <f aca="false">IF($I2277="","",INDEX(BookRate,2272)*(1+'5. Scenarios'!$C$10)*(INDEX(BookQ1,2272)*(5-MIN(4,1+'5. Scenarios'!$C$8))/4+INDEX(BookQ2,2272)*(5-MIN(4,2+'5. Scenarios'!$C$8))/4+INDEX(BookQ3,2272)*(5-MIN(4,3+'5. Scenarios'!$C$8))/4+INDEX(BookQ4,2272)*(5-MIN(4,4+'5. Scenarios'!$C$8))/4)*'5. Scenarios'!$C$6/(1+ProductivityDefault*('5. Scenarios'!$C$11-1))+INDEX(BookOneOff,2272)*$I2277)</f>
        <v/>
      </c>
      <c r="N2277" s="56" t="str">
        <f aca="false">IF(INDEX(BookTitle,2272)="","",INDEX(BookTotal,2272)*'5. Scenarios'!$D$6/(1+ProductivityDefault*('5. Scenarios'!$D$11-1)))</f>
        <v/>
      </c>
      <c r="O2277" s="57" t="str">
        <f aca="false">IF($N2277="","",INDEX(BookRate,2272)*(1+'5. Scenarios'!$D$10)*$N2277)</f>
        <v/>
      </c>
      <c r="P2277" s="57" t="str">
        <f aca="false">IF($O2277="","",SUMIFS($O$6:$O$2405,$A$6:$A$2405,"&lt;="&amp;$A2277))</f>
        <v/>
      </c>
      <c r="Q2277" s="57" t="str">
        <f aca="false">IF($O2277="","",IF($P2277&lt;=BankCostEnvelope*'5. Scenarios'!$D$7,1,0))</f>
        <v/>
      </c>
      <c r="R2277" s="57" t="str">
        <f aca="false">IF($N2277="","",INDEX(BookRate,2272)*(1+'5. Scenarios'!$D$10)*(INDEX(BookQ1,2272)*(5-MIN(4,1+'5. Scenarios'!$D$8))/4+INDEX(BookQ2,2272)*(5-MIN(4,2+'5. Scenarios'!$D$8))/4+INDEX(BookQ3,2272)*(5-MIN(4,3+'5. Scenarios'!$D$8))/4+INDEX(BookQ4,2272)*(5-MIN(4,4+'5. Scenarios'!$D$8))/4)*'5. Scenarios'!$D$6/(1+ProductivityDefault*('5. Scenarios'!$D$11-1))+INDEX(BookOneOff,2272)*$N2277)</f>
        <v/>
      </c>
      <c r="S2277" s="56" t="str">
        <f aca="false">IF(INDEX(BookTitle,2272)="","",INDEX(BookTotal,2272)*'5. Scenarios'!$E$6/(1+ProductivityDefault*('5. Scenarios'!$E$11-1)))</f>
        <v/>
      </c>
      <c r="T2277" s="57" t="str">
        <f aca="false">IF($S2277="","",INDEX(BookRate,2272)*(1+'5. Scenarios'!$E$10)*$S2277)</f>
        <v/>
      </c>
      <c r="U2277" s="57" t="str">
        <f aca="false">IF($T2277="","",SUMIFS($T$6:$T$2405,$A$6:$A$2405,"&lt;="&amp;$A2277))</f>
        <v/>
      </c>
      <c r="V2277" s="57" t="str">
        <f aca="false">IF($T2277="","",IF($U2277&lt;=BankCostEnvelope*'5. Scenarios'!$E$7,1,0))</f>
        <v/>
      </c>
      <c r="W2277" s="57" t="str">
        <f aca="false">IF($S2277="","",INDEX(BookRate,2272)*(1+'5. Scenarios'!$E$10)*(INDEX(BookQ1,2272)*(5-MIN(4,1+'5. Scenarios'!$E$8))/4+INDEX(BookQ2,2272)*(5-MIN(4,2+'5. Scenarios'!$E$8))/4+INDEX(BookQ3,2272)*(5-MIN(4,3+'5. Scenarios'!$E$8))/4+INDEX(BookQ4,2272)*(5-MIN(4,4+'5. Scenarios'!$E$8))/4)*'5. Scenarios'!$E$6/(1+ProductivityDefault*('5. Scenarios'!$E$11-1))+INDEX(BookOneOff,2272)*$S2277)</f>
        <v/>
      </c>
    </row>
    <row r="2278" customFormat="false" ht="15" hidden="false" customHeight="false" outlineLevel="0" collapsed="false">
      <c r="A2278" s="0" t="str">
        <f aca="false">IF(INDEX(BookTitle,2273)="","",INDEX(BookKey,2273))</f>
        <v/>
      </c>
      <c r="B2278" s="0" t="str">
        <f aca="false">IF(INDEX(BookTitle,2273)="","",INDEX(BookGroup,2273))</f>
        <v/>
      </c>
      <c r="C2278" s="0" t="str">
        <f aca="false">IF(INDEX(BookTitle,2273)="","",INDEX(BookCategory,2273))</f>
        <v/>
      </c>
      <c r="D2278" s="56" t="str">
        <f aca="false">IF(INDEX(BookTitle,2273)="","",INDEX(BookTotal,2273)*'5. Scenarios'!$B$6/(1+ProductivityDefault*('5. Scenarios'!$B$11-1)))</f>
        <v/>
      </c>
      <c r="E2278" s="57" t="str">
        <f aca="false">IF($D2278="","",INDEX(BookRate,2273)*(1+'5. Scenarios'!$B$10)*$D2278)</f>
        <v/>
      </c>
      <c r="F2278" s="57" t="str">
        <f aca="false">IF($E2278="","",SUMIFS($E$6:$E$2405,$A$6:$A$2405,"&lt;="&amp;$A2278))</f>
        <v/>
      </c>
      <c r="G2278" s="57" t="str">
        <f aca="false">IF($E2278="","",IF($F2278&lt;=BankCostEnvelope*'5. Scenarios'!$B$7,1,0))</f>
        <v/>
      </c>
      <c r="H2278" s="57" t="str">
        <f aca="false">IF($D2278="","",INDEX(BookRate,2273)*(1+'5. Scenarios'!$B$10)*(INDEX(BookQ1,2273)*(5-MIN(4,1+'5. Scenarios'!$B$8))/4+INDEX(BookQ2,2273)*(5-MIN(4,2+'5. Scenarios'!$B$8))/4+INDEX(BookQ3,2273)*(5-MIN(4,3+'5. Scenarios'!$B$8))/4+INDEX(BookQ4,2273)*(5-MIN(4,4+'5. Scenarios'!$B$8))/4)*'5. Scenarios'!$B$6/(1+ProductivityDefault*('5. Scenarios'!$B$11-1))+INDEX(BookOneOff,2273)*$D2278)</f>
        <v/>
      </c>
      <c r="I2278" s="56" t="str">
        <f aca="false">IF(INDEX(BookTitle,2273)="","",INDEX(BookTotal,2273)*'5. Scenarios'!$C$6/(1+ProductivityDefault*('5. Scenarios'!$C$11-1)))</f>
        <v/>
      </c>
      <c r="J2278" s="57" t="str">
        <f aca="false">IF($I2278="","",INDEX(BookRate,2273)*(1+'5. Scenarios'!$C$10)*$I2278)</f>
        <v/>
      </c>
      <c r="K2278" s="57" t="str">
        <f aca="false">IF($J2278="","",SUMIFS($J$6:$J$2405,$A$6:$A$2405,"&lt;="&amp;$A2278))</f>
        <v/>
      </c>
      <c r="L2278" s="57" t="str">
        <f aca="false">IF($J2278="","",IF($K2278&lt;=BankCostEnvelope*'5. Scenarios'!$C$7,1,0))</f>
        <v/>
      </c>
      <c r="M2278" s="57" t="str">
        <f aca="false">IF($I2278="","",INDEX(BookRate,2273)*(1+'5. Scenarios'!$C$10)*(INDEX(BookQ1,2273)*(5-MIN(4,1+'5. Scenarios'!$C$8))/4+INDEX(BookQ2,2273)*(5-MIN(4,2+'5. Scenarios'!$C$8))/4+INDEX(BookQ3,2273)*(5-MIN(4,3+'5. Scenarios'!$C$8))/4+INDEX(BookQ4,2273)*(5-MIN(4,4+'5. Scenarios'!$C$8))/4)*'5. Scenarios'!$C$6/(1+ProductivityDefault*('5. Scenarios'!$C$11-1))+INDEX(BookOneOff,2273)*$I2278)</f>
        <v/>
      </c>
      <c r="N2278" s="56" t="str">
        <f aca="false">IF(INDEX(BookTitle,2273)="","",INDEX(BookTotal,2273)*'5. Scenarios'!$D$6/(1+ProductivityDefault*('5. Scenarios'!$D$11-1)))</f>
        <v/>
      </c>
      <c r="O2278" s="57" t="str">
        <f aca="false">IF($N2278="","",INDEX(BookRate,2273)*(1+'5. Scenarios'!$D$10)*$N2278)</f>
        <v/>
      </c>
      <c r="P2278" s="57" t="str">
        <f aca="false">IF($O2278="","",SUMIFS($O$6:$O$2405,$A$6:$A$2405,"&lt;="&amp;$A2278))</f>
        <v/>
      </c>
      <c r="Q2278" s="57" t="str">
        <f aca="false">IF($O2278="","",IF($P2278&lt;=BankCostEnvelope*'5. Scenarios'!$D$7,1,0))</f>
        <v/>
      </c>
      <c r="R2278" s="57" t="str">
        <f aca="false">IF($N2278="","",INDEX(BookRate,2273)*(1+'5. Scenarios'!$D$10)*(INDEX(BookQ1,2273)*(5-MIN(4,1+'5. Scenarios'!$D$8))/4+INDEX(BookQ2,2273)*(5-MIN(4,2+'5. Scenarios'!$D$8))/4+INDEX(BookQ3,2273)*(5-MIN(4,3+'5. Scenarios'!$D$8))/4+INDEX(BookQ4,2273)*(5-MIN(4,4+'5. Scenarios'!$D$8))/4)*'5. Scenarios'!$D$6/(1+ProductivityDefault*('5. Scenarios'!$D$11-1))+INDEX(BookOneOff,2273)*$N2278)</f>
        <v/>
      </c>
      <c r="S2278" s="56" t="str">
        <f aca="false">IF(INDEX(BookTitle,2273)="","",INDEX(BookTotal,2273)*'5. Scenarios'!$E$6/(1+ProductivityDefault*('5. Scenarios'!$E$11-1)))</f>
        <v/>
      </c>
      <c r="T2278" s="57" t="str">
        <f aca="false">IF($S2278="","",INDEX(BookRate,2273)*(1+'5. Scenarios'!$E$10)*$S2278)</f>
        <v/>
      </c>
      <c r="U2278" s="57" t="str">
        <f aca="false">IF($T2278="","",SUMIFS($T$6:$T$2405,$A$6:$A$2405,"&lt;="&amp;$A2278))</f>
        <v/>
      </c>
      <c r="V2278" s="57" t="str">
        <f aca="false">IF($T2278="","",IF($U2278&lt;=BankCostEnvelope*'5. Scenarios'!$E$7,1,0))</f>
        <v/>
      </c>
      <c r="W2278" s="57" t="str">
        <f aca="false">IF($S2278="","",INDEX(BookRate,2273)*(1+'5. Scenarios'!$E$10)*(INDEX(BookQ1,2273)*(5-MIN(4,1+'5. Scenarios'!$E$8))/4+INDEX(BookQ2,2273)*(5-MIN(4,2+'5. Scenarios'!$E$8))/4+INDEX(BookQ3,2273)*(5-MIN(4,3+'5. Scenarios'!$E$8))/4+INDEX(BookQ4,2273)*(5-MIN(4,4+'5. Scenarios'!$E$8))/4)*'5. Scenarios'!$E$6/(1+ProductivityDefault*('5. Scenarios'!$E$11-1))+INDEX(BookOneOff,2273)*$S2278)</f>
        <v/>
      </c>
    </row>
    <row r="2279" customFormat="false" ht="15" hidden="false" customHeight="false" outlineLevel="0" collapsed="false">
      <c r="A2279" s="0" t="str">
        <f aca="false">IF(INDEX(BookTitle,2274)="","",INDEX(BookKey,2274))</f>
        <v/>
      </c>
      <c r="B2279" s="0" t="str">
        <f aca="false">IF(INDEX(BookTitle,2274)="","",INDEX(BookGroup,2274))</f>
        <v/>
      </c>
      <c r="C2279" s="0" t="str">
        <f aca="false">IF(INDEX(BookTitle,2274)="","",INDEX(BookCategory,2274))</f>
        <v/>
      </c>
      <c r="D2279" s="56" t="str">
        <f aca="false">IF(INDEX(BookTitle,2274)="","",INDEX(BookTotal,2274)*'5. Scenarios'!$B$6/(1+ProductivityDefault*('5. Scenarios'!$B$11-1)))</f>
        <v/>
      </c>
      <c r="E2279" s="57" t="str">
        <f aca="false">IF($D2279="","",INDEX(BookRate,2274)*(1+'5. Scenarios'!$B$10)*$D2279)</f>
        <v/>
      </c>
      <c r="F2279" s="57" t="str">
        <f aca="false">IF($E2279="","",SUMIFS($E$6:$E$2405,$A$6:$A$2405,"&lt;="&amp;$A2279))</f>
        <v/>
      </c>
      <c r="G2279" s="57" t="str">
        <f aca="false">IF($E2279="","",IF($F2279&lt;=BankCostEnvelope*'5. Scenarios'!$B$7,1,0))</f>
        <v/>
      </c>
      <c r="H2279" s="57" t="str">
        <f aca="false">IF($D2279="","",INDEX(BookRate,2274)*(1+'5. Scenarios'!$B$10)*(INDEX(BookQ1,2274)*(5-MIN(4,1+'5. Scenarios'!$B$8))/4+INDEX(BookQ2,2274)*(5-MIN(4,2+'5. Scenarios'!$B$8))/4+INDEX(BookQ3,2274)*(5-MIN(4,3+'5. Scenarios'!$B$8))/4+INDEX(BookQ4,2274)*(5-MIN(4,4+'5. Scenarios'!$B$8))/4)*'5. Scenarios'!$B$6/(1+ProductivityDefault*('5. Scenarios'!$B$11-1))+INDEX(BookOneOff,2274)*$D2279)</f>
        <v/>
      </c>
      <c r="I2279" s="56" t="str">
        <f aca="false">IF(INDEX(BookTitle,2274)="","",INDEX(BookTotal,2274)*'5. Scenarios'!$C$6/(1+ProductivityDefault*('5. Scenarios'!$C$11-1)))</f>
        <v/>
      </c>
      <c r="J2279" s="57" t="str">
        <f aca="false">IF($I2279="","",INDEX(BookRate,2274)*(1+'5. Scenarios'!$C$10)*$I2279)</f>
        <v/>
      </c>
      <c r="K2279" s="57" t="str">
        <f aca="false">IF($J2279="","",SUMIFS($J$6:$J$2405,$A$6:$A$2405,"&lt;="&amp;$A2279))</f>
        <v/>
      </c>
      <c r="L2279" s="57" t="str">
        <f aca="false">IF($J2279="","",IF($K2279&lt;=BankCostEnvelope*'5. Scenarios'!$C$7,1,0))</f>
        <v/>
      </c>
      <c r="M2279" s="57" t="str">
        <f aca="false">IF($I2279="","",INDEX(BookRate,2274)*(1+'5. Scenarios'!$C$10)*(INDEX(BookQ1,2274)*(5-MIN(4,1+'5. Scenarios'!$C$8))/4+INDEX(BookQ2,2274)*(5-MIN(4,2+'5. Scenarios'!$C$8))/4+INDEX(BookQ3,2274)*(5-MIN(4,3+'5. Scenarios'!$C$8))/4+INDEX(BookQ4,2274)*(5-MIN(4,4+'5. Scenarios'!$C$8))/4)*'5. Scenarios'!$C$6/(1+ProductivityDefault*('5. Scenarios'!$C$11-1))+INDEX(BookOneOff,2274)*$I2279)</f>
        <v/>
      </c>
      <c r="N2279" s="56" t="str">
        <f aca="false">IF(INDEX(BookTitle,2274)="","",INDEX(BookTotal,2274)*'5. Scenarios'!$D$6/(1+ProductivityDefault*('5. Scenarios'!$D$11-1)))</f>
        <v/>
      </c>
      <c r="O2279" s="57" t="str">
        <f aca="false">IF($N2279="","",INDEX(BookRate,2274)*(1+'5. Scenarios'!$D$10)*$N2279)</f>
        <v/>
      </c>
      <c r="P2279" s="57" t="str">
        <f aca="false">IF($O2279="","",SUMIFS($O$6:$O$2405,$A$6:$A$2405,"&lt;="&amp;$A2279))</f>
        <v/>
      </c>
      <c r="Q2279" s="57" t="str">
        <f aca="false">IF($O2279="","",IF($P2279&lt;=BankCostEnvelope*'5. Scenarios'!$D$7,1,0))</f>
        <v/>
      </c>
      <c r="R2279" s="57" t="str">
        <f aca="false">IF($N2279="","",INDEX(BookRate,2274)*(1+'5. Scenarios'!$D$10)*(INDEX(BookQ1,2274)*(5-MIN(4,1+'5. Scenarios'!$D$8))/4+INDEX(BookQ2,2274)*(5-MIN(4,2+'5. Scenarios'!$D$8))/4+INDEX(BookQ3,2274)*(5-MIN(4,3+'5. Scenarios'!$D$8))/4+INDEX(BookQ4,2274)*(5-MIN(4,4+'5. Scenarios'!$D$8))/4)*'5. Scenarios'!$D$6/(1+ProductivityDefault*('5. Scenarios'!$D$11-1))+INDEX(BookOneOff,2274)*$N2279)</f>
        <v/>
      </c>
      <c r="S2279" s="56" t="str">
        <f aca="false">IF(INDEX(BookTitle,2274)="","",INDEX(BookTotal,2274)*'5. Scenarios'!$E$6/(1+ProductivityDefault*('5. Scenarios'!$E$11-1)))</f>
        <v/>
      </c>
      <c r="T2279" s="57" t="str">
        <f aca="false">IF($S2279="","",INDEX(BookRate,2274)*(1+'5. Scenarios'!$E$10)*$S2279)</f>
        <v/>
      </c>
      <c r="U2279" s="57" t="str">
        <f aca="false">IF($T2279="","",SUMIFS($T$6:$T$2405,$A$6:$A$2405,"&lt;="&amp;$A2279))</f>
        <v/>
      </c>
      <c r="V2279" s="57" t="str">
        <f aca="false">IF($T2279="","",IF($U2279&lt;=BankCostEnvelope*'5. Scenarios'!$E$7,1,0))</f>
        <v/>
      </c>
      <c r="W2279" s="57" t="str">
        <f aca="false">IF($S2279="","",INDEX(BookRate,2274)*(1+'5. Scenarios'!$E$10)*(INDEX(BookQ1,2274)*(5-MIN(4,1+'5. Scenarios'!$E$8))/4+INDEX(BookQ2,2274)*(5-MIN(4,2+'5. Scenarios'!$E$8))/4+INDEX(BookQ3,2274)*(5-MIN(4,3+'5. Scenarios'!$E$8))/4+INDEX(BookQ4,2274)*(5-MIN(4,4+'5. Scenarios'!$E$8))/4)*'5. Scenarios'!$E$6/(1+ProductivityDefault*('5. Scenarios'!$E$11-1))+INDEX(BookOneOff,2274)*$S2279)</f>
        <v/>
      </c>
    </row>
    <row r="2280" customFormat="false" ht="15" hidden="false" customHeight="false" outlineLevel="0" collapsed="false">
      <c r="A2280" s="0" t="str">
        <f aca="false">IF(INDEX(BookTitle,2275)="","",INDEX(BookKey,2275))</f>
        <v/>
      </c>
      <c r="B2280" s="0" t="str">
        <f aca="false">IF(INDEX(BookTitle,2275)="","",INDEX(BookGroup,2275))</f>
        <v/>
      </c>
      <c r="C2280" s="0" t="str">
        <f aca="false">IF(INDEX(BookTitle,2275)="","",INDEX(BookCategory,2275))</f>
        <v/>
      </c>
      <c r="D2280" s="56" t="str">
        <f aca="false">IF(INDEX(BookTitle,2275)="","",INDEX(BookTotal,2275)*'5. Scenarios'!$B$6/(1+ProductivityDefault*('5. Scenarios'!$B$11-1)))</f>
        <v/>
      </c>
      <c r="E2280" s="57" t="str">
        <f aca="false">IF($D2280="","",INDEX(BookRate,2275)*(1+'5. Scenarios'!$B$10)*$D2280)</f>
        <v/>
      </c>
      <c r="F2280" s="57" t="str">
        <f aca="false">IF($E2280="","",SUMIFS($E$6:$E$2405,$A$6:$A$2405,"&lt;="&amp;$A2280))</f>
        <v/>
      </c>
      <c r="G2280" s="57" t="str">
        <f aca="false">IF($E2280="","",IF($F2280&lt;=BankCostEnvelope*'5. Scenarios'!$B$7,1,0))</f>
        <v/>
      </c>
      <c r="H2280" s="57" t="str">
        <f aca="false">IF($D2280="","",INDEX(BookRate,2275)*(1+'5. Scenarios'!$B$10)*(INDEX(BookQ1,2275)*(5-MIN(4,1+'5. Scenarios'!$B$8))/4+INDEX(BookQ2,2275)*(5-MIN(4,2+'5. Scenarios'!$B$8))/4+INDEX(BookQ3,2275)*(5-MIN(4,3+'5. Scenarios'!$B$8))/4+INDEX(BookQ4,2275)*(5-MIN(4,4+'5. Scenarios'!$B$8))/4)*'5. Scenarios'!$B$6/(1+ProductivityDefault*('5. Scenarios'!$B$11-1))+INDEX(BookOneOff,2275)*$D2280)</f>
        <v/>
      </c>
      <c r="I2280" s="56" t="str">
        <f aca="false">IF(INDEX(BookTitle,2275)="","",INDEX(BookTotal,2275)*'5. Scenarios'!$C$6/(1+ProductivityDefault*('5. Scenarios'!$C$11-1)))</f>
        <v/>
      </c>
      <c r="J2280" s="57" t="str">
        <f aca="false">IF($I2280="","",INDEX(BookRate,2275)*(1+'5. Scenarios'!$C$10)*$I2280)</f>
        <v/>
      </c>
      <c r="K2280" s="57" t="str">
        <f aca="false">IF($J2280="","",SUMIFS($J$6:$J$2405,$A$6:$A$2405,"&lt;="&amp;$A2280))</f>
        <v/>
      </c>
      <c r="L2280" s="57" t="str">
        <f aca="false">IF($J2280="","",IF($K2280&lt;=BankCostEnvelope*'5. Scenarios'!$C$7,1,0))</f>
        <v/>
      </c>
      <c r="M2280" s="57" t="str">
        <f aca="false">IF($I2280="","",INDEX(BookRate,2275)*(1+'5. Scenarios'!$C$10)*(INDEX(BookQ1,2275)*(5-MIN(4,1+'5. Scenarios'!$C$8))/4+INDEX(BookQ2,2275)*(5-MIN(4,2+'5. Scenarios'!$C$8))/4+INDEX(BookQ3,2275)*(5-MIN(4,3+'5. Scenarios'!$C$8))/4+INDEX(BookQ4,2275)*(5-MIN(4,4+'5. Scenarios'!$C$8))/4)*'5. Scenarios'!$C$6/(1+ProductivityDefault*('5. Scenarios'!$C$11-1))+INDEX(BookOneOff,2275)*$I2280)</f>
        <v/>
      </c>
      <c r="N2280" s="56" t="str">
        <f aca="false">IF(INDEX(BookTitle,2275)="","",INDEX(BookTotal,2275)*'5. Scenarios'!$D$6/(1+ProductivityDefault*('5. Scenarios'!$D$11-1)))</f>
        <v/>
      </c>
      <c r="O2280" s="57" t="str">
        <f aca="false">IF($N2280="","",INDEX(BookRate,2275)*(1+'5. Scenarios'!$D$10)*$N2280)</f>
        <v/>
      </c>
      <c r="P2280" s="57" t="str">
        <f aca="false">IF($O2280="","",SUMIFS($O$6:$O$2405,$A$6:$A$2405,"&lt;="&amp;$A2280))</f>
        <v/>
      </c>
      <c r="Q2280" s="57" t="str">
        <f aca="false">IF($O2280="","",IF($P2280&lt;=BankCostEnvelope*'5. Scenarios'!$D$7,1,0))</f>
        <v/>
      </c>
      <c r="R2280" s="57" t="str">
        <f aca="false">IF($N2280="","",INDEX(BookRate,2275)*(1+'5. Scenarios'!$D$10)*(INDEX(BookQ1,2275)*(5-MIN(4,1+'5. Scenarios'!$D$8))/4+INDEX(BookQ2,2275)*(5-MIN(4,2+'5. Scenarios'!$D$8))/4+INDEX(BookQ3,2275)*(5-MIN(4,3+'5. Scenarios'!$D$8))/4+INDEX(BookQ4,2275)*(5-MIN(4,4+'5. Scenarios'!$D$8))/4)*'5. Scenarios'!$D$6/(1+ProductivityDefault*('5. Scenarios'!$D$11-1))+INDEX(BookOneOff,2275)*$N2280)</f>
        <v/>
      </c>
      <c r="S2280" s="56" t="str">
        <f aca="false">IF(INDEX(BookTitle,2275)="","",INDEX(BookTotal,2275)*'5. Scenarios'!$E$6/(1+ProductivityDefault*('5. Scenarios'!$E$11-1)))</f>
        <v/>
      </c>
      <c r="T2280" s="57" t="str">
        <f aca="false">IF($S2280="","",INDEX(BookRate,2275)*(1+'5. Scenarios'!$E$10)*$S2280)</f>
        <v/>
      </c>
      <c r="U2280" s="57" t="str">
        <f aca="false">IF($T2280="","",SUMIFS($T$6:$T$2405,$A$6:$A$2405,"&lt;="&amp;$A2280))</f>
        <v/>
      </c>
      <c r="V2280" s="57" t="str">
        <f aca="false">IF($T2280="","",IF($U2280&lt;=BankCostEnvelope*'5. Scenarios'!$E$7,1,0))</f>
        <v/>
      </c>
      <c r="W2280" s="57" t="str">
        <f aca="false">IF($S2280="","",INDEX(BookRate,2275)*(1+'5. Scenarios'!$E$10)*(INDEX(BookQ1,2275)*(5-MIN(4,1+'5. Scenarios'!$E$8))/4+INDEX(BookQ2,2275)*(5-MIN(4,2+'5. Scenarios'!$E$8))/4+INDEX(BookQ3,2275)*(5-MIN(4,3+'5. Scenarios'!$E$8))/4+INDEX(BookQ4,2275)*(5-MIN(4,4+'5. Scenarios'!$E$8))/4)*'5. Scenarios'!$E$6/(1+ProductivityDefault*('5. Scenarios'!$E$11-1))+INDEX(BookOneOff,2275)*$S2280)</f>
        <v/>
      </c>
    </row>
    <row r="2281" customFormat="false" ht="15" hidden="false" customHeight="false" outlineLevel="0" collapsed="false">
      <c r="A2281" s="0" t="str">
        <f aca="false">IF(INDEX(BookTitle,2276)="","",INDEX(BookKey,2276))</f>
        <v/>
      </c>
      <c r="B2281" s="0" t="str">
        <f aca="false">IF(INDEX(BookTitle,2276)="","",INDEX(BookGroup,2276))</f>
        <v/>
      </c>
      <c r="C2281" s="0" t="str">
        <f aca="false">IF(INDEX(BookTitle,2276)="","",INDEX(BookCategory,2276))</f>
        <v/>
      </c>
      <c r="D2281" s="56" t="str">
        <f aca="false">IF(INDEX(BookTitle,2276)="","",INDEX(BookTotal,2276)*'5. Scenarios'!$B$6/(1+ProductivityDefault*('5. Scenarios'!$B$11-1)))</f>
        <v/>
      </c>
      <c r="E2281" s="57" t="str">
        <f aca="false">IF($D2281="","",INDEX(BookRate,2276)*(1+'5. Scenarios'!$B$10)*$D2281)</f>
        <v/>
      </c>
      <c r="F2281" s="57" t="str">
        <f aca="false">IF($E2281="","",SUMIFS($E$6:$E$2405,$A$6:$A$2405,"&lt;="&amp;$A2281))</f>
        <v/>
      </c>
      <c r="G2281" s="57" t="str">
        <f aca="false">IF($E2281="","",IF($F2281&lt;=BankCostEnvelope*'5. Scenarios'!$B$7,1,0))</f>
        <v/>
      </c>
      <c r="H2281" s="57" t="str">
        <f aca="false">IF($D2281="","",INDEX(BookRate,2276)*(1+'5. Scenarios'!$B$10)*(INDEX(BookQ1,2276)*(5-MIN(4,1+'5. Scenarios'!$B$8))/4+INDEX(BookQ2,2276)*(5-MIN(4,2+'5. Scenarios'!$B$8))/4+INDEX(BookQ3,2276)*(5-MIN(4,3+'5. Scenarios'!$B$8))/4+INDEX(BookQ4,2276)*(5-MIN(4,4+'5. Scenarios'!$B$8))/4)*'5. Scenarios'!$B$6/(1+ProductivityDefault*('5. Scenarios'!$B$11-1))+INDEX(BookOneOff,2276)*$D2281)</f>
        <v/>
      </c>
      <c r="I2281" s="56" t="str">
        <f aca="false">IF(INDEX(BookTitle,2276)="","",INDEX(BookTotal,2276)*'5. Scenarios'!$C$6/(1+ProductivityDefault*('5. Scenarios'!$C$11-1)))</f>
        <v/>
      </c>
      <c r="J2281" s="57" t="str">
        <f aca="false">IF($I2281="","",INDEX(BookRate,2276)*(1+'5. Scenarios'!$C$10)*$I2281)</f>
        <v/>
      </c>
      <c r="K2281" s="57" t="str">
        <f aca="false">IF($J2281="","",SUMIFS($J$6:$J$2405,$A$6:$A$2405,"&lt;="&amp;$A2281))</f>
        <v/>
      </c>
      <c r="L2281" s="57" t="str">
        <f aca="false">IF($J2281="","",IF($K2281&lt;=BankCostEnvelope*'5. Scenarios'!$C$7,1,0))</f>
        <v/>
      </c>
      <c r="M2281" s="57" t="str">
        <f aca="false">IF($I2281="","",INDEX(BookRate,2276)*(1+'5. Scenarios'!$C$10)*(INDEX(BookQ1,2276)*(5-MIN(4,1+'5. Scenarios'!$C$8))/4+INDEX(BookQ2,2276)*(5-MIN(4,2+'5. Scenarios'!$C$8))/4+INDEX(BookQ3,2276)*(5-MIN(4,3+'5. Scenarios'!$C$8))/4+INDEX(BookQ4,2276)*(5-MIN(4,4+'5. Scenarios'!$C$8))/4)*'5. Scenarios'!$C$6/(1+ProductivityDefault*('5. Scenarios'!$C$11-1))+INDEX(BookOneOff,2276)*$I2281)</f>
        <v/>
      </c>
      <c r="N2281" s="56" t="str">
        <f aca="false">IF(INDEX(BookTitle,2276)="","",INDEX(BookTotal,2276)*'5. Scenarios'!$D$6/(1+ProductivityDefault*('5. Scenarios'!$D$11-1)))</f>
        <v/>
      </c>
      <c r="O2281" s="57" t="str">
        <f aca="false">IF($N2281="","",INDEX(BookRate,2276)*(1+'5. Scenarios'!$D$10)*$N2281)</f>
        <v/>
      </c>
      <c r="P2281" s="57" t="str">
        <f aca="false">IF($O2281="","",SUMIFS($O$6:$O$2405,$A$6:$A$2405,"&lt;="&amp;$A2281))</f>
        <v/>
      </c>
      <c r="Q2281" s="57" t="str">
        <f aca="false">IF($O2281="","",IF($P2281&lt;=BankCostEnvelope*'5. Scenarios'!$D$7,1,0))</f>
        <v/>
      </c>
      <c r="R2281" s="57" t="str">
        <f aca="false">IF($N2281="","",INDEX(BookRate,2276)*(1+'5. Scenarios'!$D$10)*(INDEX(BookQ1,2276)*(5-MIN(4,1+'5. Scenarios'!$D$8))/4+INDEX(BookQ2,2276)*(5-MIN(4,2+'5. Scenarios'!$D$8))/4+INDEX(BookQ3,2276)*(5-MIN(4,3+'5. Scenarios'!$D$8))/4+INDEX(BookQ4,2276)*(5-MIN(4,4+'5. Scenarios'!$D$8))/4)*'5. Scenarios'!$D$6/(1+ProductivityDefault*('5. Scenarios'!$D$11-1))+INDEX(BookOneOff,2276)*$N2281)</f>
        <v/>
      </c>
      <c r="S2281" s="56" t="str">
        <f aca="false">IF(INDEX(BookTitle,2276)="","",INDEX(BookTotal,2276)*'5. Scenarios'!$E$6/(1+ProductivityDefault*('5. Scenarios'!$E$11-1)))</f>
        <v/>
      </c>
      <c r="T2281" s="57" t="str">
        <f aca="false">IF($S2281="","",INDEX(BookRate,2276)*(1+'5. Scenarios'!$E$10)*$S2281)</f>
        <v/>
      </c>
      <c r="U2281" s="57" t="str">
        <f aca="false">IF($T2281="","",SUMIFS($T$6:$T$2405,$A$6:$A$2405,"&lt;="&amp;$A2281))</f>
        <v/>
      </c>
      <c r="V2281" s="57" t="str">
        <f aca="false">IF($T2281="","",IF($U2281&lt;=BankCostEnvelope*'5. Scenarios'!$E$7,1,0))</f>
        <v/>
      </c>
      <c r="W2281" s="57" t="str">
        <f aca="false">IF($S2281="","",INDEX(BookRate,2276)*(1+'5. Scenarios'!$E$10)*(INDEX(BookQ1,2276)*(5-MIN(4,1+'5. Scenarios'!$E$8))/4+INDEX(BookQ2,2276)*(5-MIN(4,2+'5. Scenarios'!$E$8))/4+INDEX(BookQ3,2276)*(5-MIN(4,3+'5. Scenarios'!$E$8))/4+INDEX(BookQ4,2276)*(5-MIN(4,4+'5. Scenarios'!$E$8))/4)*'5. Scenarios'!$E$6/(1+ProductivityDefault*('5. Scenarios'!$E$11-1))+INDEX(BookOneOff,2276)*$S2281)</f>
        <v/>
      </c>
    </row>
    <row r="2282" customFormat="false" ht="15" hidden="false" customHeight="false" outlineLevel="0" collapsed="false">
      <c r="A2282" s="0" t="str">
        <f aca="false">IF(INDEX(BookTitle,2277)="","",INDEX(BookKey,2277))</f>
        <v/>
      </c>
      <c r="B2282" s="0" t="str">
        <f aca="false">IF(INDEX(BookTitle,2277)="","",INDEX(BookGroup,2277))</f>
        <v/>
      </c>
      <c r="C2282" s="0" t="str">
        <f aca="false">IF(INDEX(BookTitle,2277)="","",INDEX(BookCategory,2277))</f>
        <v/>
      </c>
      <c r="D2282" s="56" t="str">
        <f aca="false">IF(INDEX(BookTitle,2277)="","",INDEX(BookTotal,2277)*'5. Scenarios'!$B$6/(1+ProductivityDefault*('5. Scenarios'!$B$11-1)))</f>
        <v/>
      </c>
      <c r="E2282" s="57" t="str">
        <f aca="false">IF($D2282="","",INDEX(BookRate,2277)*(1+'5. Scenarios'!$B$10)*$D2282)</f>
        <v/>
      </c>
      <c r="F2282" s="57" t="str">
        <f aca="false">IF($E2282="","",SUMIFS($E$6:$E$2405,$A$6:$A$2405,"&lt;="&amp;$A2282))</f>
        <v/>
      </c>
      <c r="G2282" s="57" t="str">
        <f aca="false">IF($E2282="","",IF($F2282&lt;=BankCostEnvelope*'5. Scenarios'!$B$7,1,0))</f>
        <v/>
      </c>
      <c r="H2282" s="57" t="str">
        <f aca="false">IF($D2282="","",INDEX(BookRate,2277)*(1+'5. Scenarios'!$B$10)*(INDEX(BookQ1,2277)*(5-MIN(4,1+'5. Scenarios'!$B$8))/4+INDEX(BookQ2,2277)*(5-MIN(4,2+'5. Scenarios'!$B$8))/4+INDEX(BookQ3,2277)*(5-MIN(4,3+'5. Scenarios'!$B$8))/4+INDEX(BookQ4,2277)*(5-MIN(4,4+'5. Scenarios'!$B$8))/4)*'5. Scenarios'!$B$6/(1+ProductivityDefault*('5. Scenarios'!$B$11-1))+INDEX(BookOneOff,2277)*$D2282)</f>
        <v/>
      </c>
      <c r="I2282" s="56" t="str">
        <f aca="false">IF(INDEX(BookTitle,2277)="","",INDEX(BookTotal,2277)*'5. Scenarios'!$C$6/(1+ProductivityDefault*('5. Scenarios'!$C$11-1)))</f>
        <v/>
      </c>
      <c r="J2282" s="57" t="str">
        <f aca="false">IF($I2282="","",INDEX(BookRate,2277)*(1+'5. Scenarios'!$C$10)*$I2282)</f>
        <v/>
      </c>
      <c r="K2282" s="57" t="str">
        <f aca="false">IF($J2282="","",SUMIFS($J$6:$J$2405,$A$6:$A$2405,"&lt;="&amp;$A2282))</f>
        <v/>
      </c>
      <c r="L2282" s="57" t="str">
        <f aca="false">IF($J2282="","",IF($K2282&lt;=BankCostEnvelope*'5. Scenarios'!$C$7,1,0))</f>
        <v/>
      </c>
      <c r="M2282" s="57" t="str">
        <f aca="false">IF($I2282="","",INDEX(BookRate,2277)*(1+'5. Scenarios'!$C$10)*(INDEX(BookQ1,2277)*(5-MIN(4,1+'5. Scenarios'!$C$8))/4+INDEX(BookQ2,2277)*(5-MIN(4,2+'5. Scenarios'!$C$8))/4+INDEX(BookQ3,2277)*(5-MIN(4,3+'5. Scenarios'!$C$8))/4+INDEX(BookQ4,2277)*(5-MIN(4,4+'5. Scenarios'!$C$8))/4)*'5. Scenarios'!$C$6/(1+ProductivityDefault*('5. Scenarios'!$C$11-1))+INDEX(BookOneOff,2277)*$I2282)</f>
        <v/>
      </c>
      <c r="N2282" s="56" t="str">
        <f aca="false">IF(INDEX(BookTitle,2277)="","",INDEX(BookTotal,2277)*'5. Scenarios'!$D$6/(1+ProductivityDefault*('5. Scenarios'!$D$11-1)))</f>
        <v/>
      </c>
      <c r="O2282" s="57" t="str">
        <f aca="false">IF($N2282="","",INDEX(BookRate,2277)*(1+'5. Scenarios'!$D$10)*$N2282)</f>
        <v/>
      </c>
      <c r="P2282" s="57" t="str">
        <f aca="false">IF($O2282="","",SUMIFS($O$6:$O$2405,$A$6:$A$2405,"&lt;="&amp;$A2282))</f>
        <v/>
      </c>
      <c r="Q2282" s="57" t="str">
        <f aca="false">IF($O2282="","",IF($P2282&lt;=BankCostEnvelope*'5. Scenarios'!$D$7,1,0))</f>
        <v/>
      </c>
      <c r="R2282" s="57" t="str">
        <f aca="false">IF($N2282="","",INDEX(BookRate,2277)*(1+'5. Scenarios'!$D$10)*(INDEX(BookQ1,2277)*(5-MIN(4,1+'5. Scenarios'!$D$8))/4+INDEX(BookQ2,2277)*(5-MIN(4,2+'5. Scenarios'!$D$8))/4+INDEX(BookQ3,2277)*(5-MIN(4,3+'5. Scenarios'!$D$8))/4+INDEX(BookQ4,2277)*(5-MIN(4,4+'5. Scenarios'!$D$8))/4)*'5. Scenarios'!$D$6/(1+ProductivityDefault*('5. Scenarios'!$D$11-1))+INDEX(BookOneOff,2277)*$N2282)</f>
        <v/>
      </c>
      <c r="S2282" s="56" t="str">
        <f aca="false">IF(INDEX(BookTitle,2277)="","",INDEX(BookTotal,2277)*'5. Scenarios'!$E$6/(1+ProductivityDefault*('5. Scenarios'!$E$11-1)))</f>
        <v/>
      </c>
      <c r="T2282" s="57" t="str">
        <f aca="false">IF($S2282="","",INDEX(BookRate,2277)*(1+'5. Scenarios'!$E$10)*$S2282)</f>
        <v/>
      </c>
      <c r="U2282" s="57" t="str">
        <f aca="false">IF($T2282="","",SUMIFS($T$6:$T$2405,$A$6:$A$2405,"&lt;="&amp;$A2282))</f>
        <v/>
      </c>
      <c r="V2282" s="57" t="str">
        <f aca="false">IF($T2282="","",IF($U2282&lt;=BankCostEnvelope*'5. Scenarios'!$E$7,1,0))</f>
        <v/>
      </c>
      <c r="W2282" s="57" t="str">
        <f aca="false">IF($S2282="","",INDEX(BookRate,2277)*(1+'5. Scenarios'!$E$10)*(INDEX(BookQ1,2277)*(5-MIN(4,1+'5. Scenarios'!$E$8))/4+INDEX(BookQ2,2277)*(5-MIN(4,2+'5. Scenarios'!$E$8))/4+INDEX(BookQ3,2277)*(5-MIN(4,3+'5. Scenarios'!$E$8))/4+INDEX(BookQ4,2277)*(5-MIN(4,4+'5. Scenarios'!$E$8))/4)*'5. Scenarios'!$E$6/(1+ProductivityDefault*('5. Scenarios'!$E$11-1))+INDEX(BookOneOff,2277)*$S2282)</f>
        <v/>
      </c>
    </row>
    <row r="2283" customFormat="false" ht="15" hidden="false" customHeight="false" outlineLevel="0" collapsed="false">
      <c r="A2283" s="0" t="str">
        <f aca="false">IF(INDEX(BookTitle,2278)="","",INDEX(BookKey,2278))</f>
        <v/>
      </c>
      <c r="B2283" s="0" t="str">
        <f aca="false">IF(INDEX(BookTitle,2278)="","",INDEX(BookGroup,2278))</f>
        <v/>
      </c>
      <c r="C2283" s="0" t="str">
        <f aca="false">IF(INDEX(BookTitle,2278)="","",INDEX(BookCategory,2278))</f>
        <v/>
      </c>
      <c r="D2283" s="56" t="str">
        <f aca="false">IF(INDEX(BookTitle,2278)="","",INDEX(BookTotal,2278)*'5. Scenarios'!$B$6/(1+ProductivityDefault*('5. Scenarios'!$B$11-1)))</f>
        <v/>
      </c>
      <c r="E2283" s="57" t="str">
        <f aca="false">IF($D2283="","",INDEX(BookRate,2278)*(1+'5. Scenarios'!$B$10)*$D2283)</f>
        <v/>
      </c>
      <c r="F2283" s="57" t="str">
        <f aca="false">IF($E2283="","",SUMIFS($E$6:$E$2405,$A$6:$A$2405,"&lt;="&amp;$A2283))</f>
        <v/>
      </c>
      <c r="G2283" s="57" t="str">
        <f aca="false">IF($E2283="","",IF($F2283&lt;=BankCostEnvelope*'5. Scenarios'!$B$7,1,0))</f>
        <v/>
      </c>
      <c r="H2283" s="57" t="str">
        <f aca="false">IF($D2283="","",INDEX(BookRate,2278)*(1+'5. Scenarios'!$B$10)*(INDEX(BookQ1,2278)*(5-MIN(4,1+'5. Scenarios'!$B$8))/4+INDEX(BookQ2,2278)*(5-MIN(4,2+'5. Scenarios'!$B$8))/4+INDEX(BookQ3,2278)*(5-MIN(4,3+'5. Scenarios'!$B$8))/4+INDEX(BookQ4,2278)*(5-MIN(4,4+'5. Scenarios'!$B$8))/4)*'5. Scenarios'!$B$6/(1+ProductivityDefault*('5. Scenarios'!$B$11-1))+INDEX(BookOneOff,2278)*$D2283)</f>
        <v/>
      </c>
      <c r="I2283" s="56" t="str">
        <f aca="false">IF(INDEX(BookTitle,2278)="","",INDEX(BookTotal,2278)*'5. Scenarios'!$C$6/(1+ProductivityDefault*('5. Scenarios'!$C$11-1)))</f>
        <v/>
      </c>
      <c r="J2283" s="57" t="str">
        <f aca="false">IF($I2283="","",INDEX(BookRate,2278)*(1+'5. Scenarios'!$C$10)*$I2283)</f>
        <v/>
      </c>
      <c r="K2283" s="57" t="str">
        <f aca="false">IF($J2283="","",SUMIFS($J$6:$J$2405,$A$6:$A$2405,"&lt;="&amp;$A2283))</f>
        <v/>
      </c>
      <c r="L2283" s="57" t="str">
        <f aca="false">IF($J2283="","",IF($K2283&lt;=BankCostEnvelope*'5. Scenarios'!$C$7,1,0))</f>
        <v/>
      </c>
      <c r="M2283" s="57" t="str">
        <f aca="false">IF($I2283="","",INDEX(BookRate,2278)*(1+'5. Scenarios'!$C$10)*(INDEX(BookQ1,2278)*(5-MIN(4,1+'5. Scenarios'!$C$8))/4+INDEX(BookQ2,2278)*(5-MIN(4,2+'5. Scenarios'!$C$8))/4+INDEX(BookQ3,2278)*(5-MIN(4,3+'5. Scenarios'!$C$8))/4+INDEX(BookQ4,2278)*(5-MIN(4,4+'5. Scenarios'!$C$8))/4)*'5. Scenarios'!$C$6/(1+ProductivityDefault*('5. Scenarios'!$C$11-1))+INDEX(BookOneOff,2278)*$I2283)</f>
        <v/>
      </c>
      <c r="N2283" s="56" t="str">
        <f aca="false">IF(INDEX(BookTitle,2278)="","",INDEX(BookTotal,2278)*'5. Scenarios'!$D$6/(1+ProductivityDefault*('5. Scenarios'!$D$11-1)))</f>
        <v/>
      </c>
      <c r="O2283" s="57" t="str">
        <f aca="false">IF($N2283="","",INDEX(BookRate,2278)*(1+'5. Scenarios'!$D$10)*$N2283)</f>
        <v/>
      </c>
      <c r="P2283" s="57" t="str">
        <f aca="false">IF($O2283="","",SUMIFS($O$6:$O$2405,$A$6:$A$2405,"&lt;="&amp;$A2283))</f>
        <v/>
      </c>
      <c r="Q2283" s="57" t="str">
        <f aca="false">IF($O2283="","",IF($P2283&lt;=BankCostEnvelope*'5. Scenarios'!$D$7,1,0))</f>
        <v/>
      </c>
      <c r="R2283" s="57" t="str">
        <f aca="false">IF($N2283="","",INDEX(BookRate,2278)*(1+'5. Scenarios'!$D$10)*(INDEX(BookQ1,2278)*(5-MIN(4,1+'5. Scenarios'!$D$8))/4+INDEX(BookQ2,2278)*(5-MIN(4,2+'5. Scenarios'!$D$8))/4+INDEX(BookQ3,2278)*(5-MIN(4,3+'5. Scenarios'!$D$8))/4+INDEX(BookQ4,2278)*(5-MIN(4,4+'5. Scenarios'!$D$8))/4)*'5. Scenarios'!$D$6/(1+ProductivityDefault*('5. Scenarios'!$D$11-1))+INDEX(BookOneOff,2278)*$N2283)</f>
        <v/>
      </c>
      <c r="S2283" s="56" t="str">
        <f aca="false">IF(INDEX(BookTitle,2278)="","",INDEX(BookTotal,2278)*'5. Scenarios'!$E$6/(1+ProductivityDefault*('5. Scenarios'!$E$11-1)))</f>
        <v/>
      </c>
      <c r="T2283" s="57" t="str">
        <f aca="false">IF($S2283="","",INDEX(BookRate,2278)*(1+'5. Scenarios'!$E$10)*$S2283)</f>
        <v/>
      </c>
      <c r="U2283" s="57" t="str">
        <f aca="false">IF($T2283="","",SUMIFS($T$6:$T$2405,$A$6:$A$2405,"&lt;="&amp;$A2283))</f>
        <v/>
      </c>
      <c r="V2283" s="57" t="str">
        <f aca="false">IF($T2283="","",IF($U2283&lt;=BankCostEnvelope*'5. Scenarios'!$E$7,1,0))</f>
        <v/>
      </c>
      <c r="W2283" s="57" t="str">
        <f aca="false">IF($S2283="","",INDEX(BookRate,2278)*(1+'5. Scenarios'!$E$10)*(INDEX(BookQ1,2278)*(5-MIN(4,1+'5. Scenarios'!$E$8))/4+INDEX(BookQ2,2278)*(5-MIN(4,2+'5. Scenarios'!$E$8))/4+INDEX(BookQ3,2278)*(5-MIN(4,3+'5. Scenarios'!$E$8))/4+INDEX(BookQ4,2278)*(5-MIN(4,4+'5. Scenarios'!$E$8))/4)*'5. Scenarios'!$E$6/(1+ProductivityDefault*('5. Scenarios'!$E$11-1))+INDEX(BookOneOff,2278)*$S2283)</f>
        <v/>
      </c>
    </row>
    <row r="2284" customFormat="false" ht="15" hidden="false" customHeight="false" outlineLevel="0" collapsed="false">
      <c r="A2284" s="0" t="str">
        <f aca="false">IF(INDEX(BookTitle,2279)="","",INDEX(BookKey,2279))</f>
        <v/>
      </c>
      <c r="B2284" s="0" t="str">
        <f aca="false">IF(INDEX(BookTitle,2279)="","",INDEX(BookGroup,2279))</f>
        <v/>
      </c>
      <c r="C2284" s="0" t="str">
        <f aca="false">IF(INDEX(BookTitle,2279)="","",INDEX(BookCategory,2279))</f>
        <v/>
      </c>
      <c r="D2284" s="56" t="str">
        <f aca="false">IF(INDEX(BookTitle,2279)="","",INDEX(BookTotal,2279)*'5. Scenarios'!$B$6/(1+ProductivityDefault*('5. Scenarios'!$B$11-1)))</f>
        <v/>
      </c>
      <c r="E2284" s="57" t="str">
        <f aca="false">IF($D2284="","",INDEX(BookRate,2279)*(1+'5. Scenarios'!$B$10)*$D2284)</f>
        <v/>
      </c>
      <c r="F2284" s="57" t="str">
        <f aca="false">IF($E2284="","",SUMIFS($E$6:$E$2405,$A$6:$A$2405,"&lt;="&amp;$A2284))</f>
        <v/>
      </c>
      <c r="G2284" s="57" t="str">
        <f aca="false">IF($E2284="","",IF($F2284&lt;=BankCostEnvelope*'5. Scenarios'!$B$7,1,0))</f>
        <v/>
      </c>
      <c r="H2284" s="57" t="str">
        <f aca="false">IF($D2284="","",INDEX(BookRate,2279)*(1+'5. Scenarios'!$B$10)*(INDEX(BookQ1,2279)*(5-MIN(4,1+'5. Scenarios'!$B$8))/4+INDEX(BookQ2,2279)*(5-MIN(4,2+'5. Scenarios'!$B$8))/4+INDEX(BookQ3,2279)*(5-MIN(4,3+'5. Scenarios'!$B$8))/4+INDEX(BookQ4,2279)*(5-MIN(4,4+'5. Scenarios'!$B$8))/4)*'5. Scenarios'!$B$6/(1+ProductivityDefault*('5. Scenarios'!$B$11-1))+INDEX(BookOneOff,2279)*$D2284)</f>
        <v/>
      </c>
      <c r="I2284" s="56" t="str">
        <f aca="false">IF(INDEX(BookTitle,2279)="","",INDEX(BookTotal,2279)*'5. Scenarios'!$C$6/(1+ProductivityDefault*('5. Scenarios'!$C$11-1)))</f>
        <v/>
      </c>
      <c r="J2284" s="57" t="str">
        <f aca="false">IF($I2284="","",INDEX(BookRate,2279)*(1+'5. Scenarios'!$C$10)*$I2284)</f>
        <v/>
      </c>
      <c r="K2284" s="57" t="str">
        <f aca="false">IF($J2284="","",SUMIFS($J$6:$J$2405,$A$6:$A$2405,"&lt;="&amp;$A2284))</f>
        <v/>
      </c>
      <c r="L2284" s="57" t="str">
        <f aca="false">IF($J2284="","",IF($K2284&lt;=BankCostEnvelope*'5. Scenarios'!$C$7,1,0))</f>
        <v/>
      </c>
      <c r="M2284" s="57" t="str">
        <f aca="false">IF($I2284="","",INDEX(BookRate,2279)*(1+'5. Scenarios'!$C$10)*(INDEX(BookQ1,2279)*(5-MIN(4,1+'5. Scenarios'!$C$8))/4+INDEX(BookQ2,2279)*(5-MIN(4,2+'5. Scenarios'!$C$8))/4+INDEX(BookQ3,2279)*(5-MIN(4,3+'5. Scenarios'!$C$8))/4+INDEX(BookQ4,2279)*(5-MIN(4,4+'5. Scenarios'!$C$8))/4)*'5. Scenarios'!$C$6/(1+ProductivityDefault*('5. Scenarios'!$C$11-1))+INDEX(BookOneOff,2279)*$I2284)</f>
        <v/>
      </c>
      <c r="N2284" s="56" t="str">
        <f aca="false">IF(INDEX(BookTitle,2279)="","",INDEX(BookTotal,2279)*'5. Scenarios'!$D$6/(1+ProductivityDefault*('5. Scenarios'!$D$11-1)))</f>
        <v/>
      </c>
      <c r="O2284" s="57" t="str">
        <f aca="false">IF($N2284="","",INDEX(BookRate,2279)*(1+'5. Scenarios'!$D$10)*$N2284)</f>
        <v/>
      </c>
      <c r="P2284" s="57" t="str">
        <f aca="false">IF($O2284="","",SUMIFS($O$6:$O$2405,$A$6:$A$2405,"&lt;="&amp;$A2284))</f>
        <v/>
      </c>
      <c r="Q2284" s="57" t="str">
        <f aca="false">IF($O2284="","",IF($P2284&lt;=BankCostEnvelope*'5. Scenarios'!$D$7,1,0))</f>
        <v/>
      </c>
      <c r="R2284" s="57" t="str">
        <f aca="false">IF($N2284="","",INDEX(BookRate,2279)*(1+'5. Scenarios'!$D$10)*(INDEX(BookQ1,2279)*(5-MIN(4,1+'5. Scenarios'!$D$8))/4+INDEX(BookQ2,2279)*(5-MIN(4,2+'5. Scenarios'!$D$8))/4+INDEX(BookQ3,2279)*(5-MIN(4,3+'5. Scenarios'!$D$8))/4+INDEX(BookQ4,2279)*(5-MIN(4,4+'5. Scenarios'!$D$8))/4)*'5. Scenarios'!$D$6/(1+ProductivityDefault*('5. Scenarios'!$D$11-1))+INDEX(BookOneOff,2279)*$N2284)</f>
        <v/>
      </c>
      <c r="S2284" s="56" t="str">
        <f aca="false">IF(INDEX(BookTitle,2279)="","",INDEX(BookTotal,2279)*'5. Scenarios'!$E$6/(1+ProductivityDefault*('5. Scenarios'!$E$11-1)))</f>
        <v/>
      </c>
      <c r="T2284" s="57" t="str">
        <f aca="false">IF($S2284="","",INDEX(BookRate,2279)*(1+'5. Scenarios'!$E$10)*$S2284)</f>
        <v/>
      </c>
      <c r="U2284" s="57" t="str">
        <f aca="false">IF($T2284="","",SUMIFS($T$6:$T$2405,$A$6:$A$2405,"&lt;="&amp;$A2284))</f>
        <v/>
      </c>
      <c r="V2284" s="57" t="str">
        <f aca="false">IF($T2284="","",IF($U2284&lt;=BankCostEnvelope*'5. Scenarios'!$E$7,1,0))</f>
        <v/>
      </c>
      <c r="W2284" s="57" t="str">
        <f aca="false">IF($S2284="","",INDEX(BookRate,2279)*(1+'5. Scenarios'!$E$10)*(INDEX(BookQ1,2279)*(5-MIN(4,1+'5. Scenarios'!$E$8))/4+INDEX(BookQ2,2279)*(5-MIN(4,2+'5. Scenarios'!$E$8))/4+INDEX(BookQ3,2279)*(5-MIN(4,3+'5. Scenarios'!$E$8))/4+INDEX(BookQ4,2279)*(5-MIN(4,4+'5. Scenarios'!$E$8))/4)*'5. Scenarios'!$E$6/(1+ProductivityDefault*('5. Scenarios'!$E$11-1))+INDEX(BookOneOff,2279)*$S2284)</f>
        <v/>
      </c>
    </row>
    <row r="2285" customFormat="false" ht="15" hidden="false" customHeight="false" outlineLevel="0" collapsed="false">
      <c r="A2285" s="0" t="str">
        <f aca="false">IF(INDEX(BookTitle,2280)="","",INDEX(BookKey,2280))</f>
        <v/>
      </c>
      <c r="B2285" s="0" t="str">
        <f aca="false">IF(INDEX(BookTitle,2280)="","",INDEX(BookGroup,2280))</f>
        <v/>
      </c>
      <c r="C2285" s="0" t="str">
        <f aca="false">IF(INDEX(BookTitle,2280)="","",INDEX(BookCategory,2280))</f>
        <v/>
      </c>
      <c r="D2285" s="56" t="str">
        <f aca="false">IF(INDEX(BookTitle,2280)="","",INDEX(BookTotal,2280)*'5. Scenarios'!$B$6/(1+ProductivityDefault*('5. Scenarios'!$B$11-1)))</f>
        <v/>
      </c>
      <c r="E2285" s="57" t="str">
        <f aca="false">IF($D2285="","",INDEX(BookRate,2280)*(1+'5. Scenarios'!$B$10)*$D2285)</f>
        <v/>
      </c>
      <c r="F2285" s="57" t="str">
        <f aca="false">IF($E2285="","",SUMIFS($E$6:$E$2405,$A$6:$A$2405,"&lt;="&amp;$A2285))</f>
        <v/>
      </c>
      <c r="G2285" s="57" t="str">
        <f aca="false">IF($E2285="","",IF($F2285&lt;=BankCostEnvelope*'5. Scenarios'!$B$7,1,0))</f>
        <v/>
      </c>
      <c r="H2285" s="57" t="str">
        <f aca="false">IF($D2285="","",INDEX(BookRate,2280)*(1+'5. Scenarios'!$B$10)*(INDEX(BookQ1,2280)*(5-MIN(4,1+'5. Scenarios'!$B$8))/4+INDEX(BookQ2,2280)*(5-MIN(4,2+'5. Scenarios'!$B$8))/4+INDEX(BookQ3,2280)*(5-MIN(4,3+'5. Scenarios'!$B$8))/4+INDEX(BookQ4,2280)*(5-MIN(4,4+'5. Scenarios'!$B$8))/4)*'5. Scenarios'!$B$6/(1+ProductivityDefault*('5. Scenarios'!$B$11-1))+INDEX(BookOneOff,2280)*$D2285)</f>
        <v/>
      </c>
      <c r="I2285" s="56" t="str">
        <f aca="false">IF(INDEX(BookTitle,2280)="","",INDEX(BookTotal,2280)*'5. Scenarios'!$C$6/(1+ProductivityDefault*('5. Scenarios'!$C$11-1)))</f>
        <v/>
      </c>
      <c r="J2285" s="57" t="str">
        <f aca="false">IF($I2285="","",INDEX(BookRate,2280)*(1+'5. Scenarios'!$C$10)*$I2285)</f>
        <v/>
      </c>
      <c r="K2285" s="57" t="str">
        <f aca="false">IF($J2285="","",SUMIFS($J$6:$J$2405,$A$6:$A$2405,"&lt;="&amp;$A2285))</f>
        <v/>
      </c>
      <c r="L2285" s="57" t="str">
        <f aca="false">IF($J2285="","",IF($K2285&lt;=BankCostEnvelope*'5. Scenarios'!$C$7,1,0))</f>
        <v/>
      </c>
      <c r="M2285" s="57" t="str">
        <f aca="false">IF($I2285="","",INDEX(BookRate,2280)*(1+'5. Scenarios'!$C$10)*(INDEX(BookQ1,2280)*(5-MIN(4,1+'5. Scenarios'!$C$8))/4+INDEX(BookQ2,2280)*(5-MIN(4,2+'5. Scenarios'!$C$8))/4+INDEX(BookQ3,2280)*(5-MIN(4,3+'5. Scenarios'!$C$8))/4+INDEX(BookQ4,2280)*(5-MIN(4,4+'5. Scenarios'!$C$8))/4)*'5. Scenarios'!$C$6/(1+ProductivityDefault*('5. Scenarios'!$C$11-1))+INDEX(BookOneOff,2280)*$I2285)</f>
        <v/>
      </c>
      <c r="N2285" s="56" t="str">
        <f aca="false">IF(INDEX(BookTitle,2280)="","",INDEX(BookTotal,2280)*'5. Scenarios'!$D$6/(1+ProductivityDefault*('5. Scenarios'!$D$11-1)))</f>
        <v/>
      </c>
      <c r="O2285" s="57" t="str">
        <f aca="false">IF($N2285="","",INDEX(BookRate,2280)*(1+'5. Scenarios'!$D$10)*$N2285)</f>
        <v/>
      </c>
      <c r="P2285" s="57" t="str">
        <f aca="false">IF($O2285="","",SUMIFS($O$6:$O$2405,$A$6:$A$2405,"&lt;="&amp;$A2285))</f>
        <v/>
      </c>
      <c r="Q2285" s="57" t="str">
        <f aca="false">IF($O2285="","",IF($P2285&lt;=BankCostEnvelope*'5. Scenarios'!$D$7,1,0))</f>
        <v/>
      </c>
      <c r="R2285" s="57" t="str">
        <f aca="false">IF($N2285="","",INDEX(BookRate,2280)*(1+'5. Scenarios'!$D$10)*(INDEX(BookQ1,2280)*(5-MIN(4,1+'5. Scenarios'!$D$8))/4+INDEX(BookQ2,2280)*(5-MIN(4,2+'5. Scenarios'!$D$8))/4+INDEX(BookQ3,2280)*(5-MIN(4,3+'5. Scenarios'!$D$8))/4+INDEX(BookQ4,2280)*(5-MIN(4,4+'5. Scenarios'!$D$8))/4)*'5. Scenarios'!$D$6/(1+ProductivityDefault*('5. Scenarios'!$D$11-1))+INDEX(BookOneOff,2280)*$N2285)</f>
        <v/>
      </c>
      <c r="S2285" s="56" t="str">
        <f aca="false">IF(INDEX(BookTitle,2280)="","",INDEX(BookTotal,2280)*'5. Scenarios'!$E$6/(1+ProductivityDefault*('5. Scenarios'!$E$11-1)))</f>
        <v/>
      </c>
      <c r="T2285" s="57" t="str">
        <f aca="false">IF($S2285="","",INDEX(BookRate,2280)*(1+'5. Scenarios'!$E$10)*$S2285)</f>
        <v/>
      </c>
      <c r="U2285" s="57" t="str">
        <f aca="false">IF($T2285="","",SUMIFS($T$6:$T$2405,$A$6:$A$2405,"&lt;="&amp;$A2285))</f>
        <v/>
      </c>
      <c r="V2285" s="57" t="str">
        <f aca="false">IF($T2285="","",IF($U2285&lt;=BankCostEnvelope*'5. Scenarios'!$E$7,1,0))</f>
        <v/>
      </c>
      <c r="W2285" s="57" t="str">
        <f aca="false">IF($S2285="","",INDEX(BookRate,2280)*(1+'5. Scenarios'!$E$10)*(INDEX(BookQ1,2280)*(5-MIN(4,1+'5. Scenarios'!$E$8))/4+INDEX(BookQ2,2280)*(5-MIN(4,2+'5. Scenarios'!$E$8))/4+INDEX(BookQ3,2280)*(5-MIN(4,3+'5. Scenarios'!$E$8))/4+INDEX(BookQ4,2280)*(5-MIN(4,4+'5. Scenarios'!$E$8))/4)*'5. Scenarios'!$E$6/(1+ProductivityDefault*('5. Scenarios'!$E$11-1))+INDEX(BookOneOff,2280)*$S2285)</f>
        <v/>
      </c>
    </row>
    <row r="2286" customFormat="false" ht="15" hidden="false" customHeight="false" outlineLevel="0" collapsed="false">
      <c r="A2286" s="0" t="str">
        <f aca="false">IF(INDEX(BookTitle,2281)="","",INDEX(BookKey,2281))</f>
        <v/>
      </c>
      <c r="B2286" s="0" t="str">
        <f aca="false">IF(INDEX(BookTitle,2281)="","",INDEX(BookGroup,2281))</f>
        <v/>
      </c>
      <c r="C2286" s="0" t="str">
        <f aca="false">IF(INDEX(BookTitle,2281)="","",INDEX(BookCategory,2281))</f>
        <v/>
      </c>
      <c r="D2286" s="56" t="str">
        <f aca="false">IF(INDEX(BookTitle,2281)="","",INDEX(BookTotal,2281)*'5. Scenarios'!$B$6/(1+ProductivityDefault*('5. Scenarios'!$B$11-1)))</f>
        <v/>
      </c>
      <c r="E2286" s="57" t="str">
        <f aca="false">IF($D2286="","",INDEX(BookRate,2281)*(1+'5. Scenarios'!$B$10)*$D2286)</f>
        <v/>
      </c>
      <c r="F2286" s="57" t="str">
        <f aca="false">IF($E2286="","",SUMIFS($E$6:$E$2405,$A$6:$A$2405,"&lt;="&amp;$A2286))</f>
        <v/>
      </c>
      <c r="G2286" s="57" t="str">
        <f aca="false">IF($E2286="","",IF($F2286&lt;=BankCostEnvelope*'5. Scenarios'!$B$7,1,0))</f>
        <v/>
      </c>
      <c r="H2286" s="57" t="str">
        <f aca="false">IF($D2286="","",INDEX(BookRate,2281)*(1+'5. Scenarios'!$B$10)*(INDEX(BookQ1,2281)*(5-MIN(4,1+'5. Scenarios'!$B$8))/4+INDEX(BookQ2,2281)*(5-MIN(4,2+'5. Scenarios'!$B$8))/4+INDEX(BookQ3,2281)*(5-MIN(4,3+'5. Scenarios'!$B$8))/4+INDEX(BookQ4,2281)*(5-MIN(4,4+'5. Scenarios'!$B$8))/4)*'5. Scenarios'!$B$6/(1+ProductivityDefault*('5. Scenarios'!$B$11-1))+INDEX(BookOneOff,2281)*$D2286)</f>
        <v/>
      </c>
      <c r="I2286" s="56" t="str">
        <f aca="false">IF(INDEX(BookTitle,2281)="","",INDEX(BookTotal,2281)*'5. Scenarios'!$C$6/(1+ProductivityDefault*('5. Scenarios'!$C$11-1)))</f>
        <v/>
      </c>
      <c r="J2286" s="57" t="str">
        <f aca="false">IF($I2286="","",INDEX(BookRate,2281)*(1+'5. Scenarios'!$C$10)*$I2286)</f>
        <v/>
      </c>
      <c r="K2286" s="57" t="str">
        <f aca="false">IF($J2286="","",SUMIFS($J$6:$J$2405,$A$6:$A$2405,"&lt;="&amp;$A2286))</f>
        <v/>
      </c>
      <c r="L2286" s="57" t="str">
        <f aca="false">IF($J2286="","",IF($K2286&lt;=BankCostEnvelope*'5. Scenarios'!$C$7,1,0))</f>
        <v/>
      </c>
      <c r="M2286" s="57" t="str">
        <f aca="false">IF($I2286="","",INDEX(BookRate,2281)*(1+'5. Scenarios'!$C$10)*(INDEX(BookQ1,2281)*(5-MIN(4,1+'5. Scenarios'!$C$8))/4+INDEX(BookQ2,2281)*(5-MIN(4,2+'5. Scenarios'!$C$8))/4+INDEX(BookQ3,2281)*(5-MIN(4,3+'5. Scenarios'!$C$8))/4+INDEX(BookQ4,2281)*(5-MIN(4,4+'5. Scenarios'!$C$8))/4)*'5. Scenarios'!$C$6/(1+ProductivityDefault*('5. Scenarios'!$C$11-1))+INDEX(BookOneOff,2281)*$I2286)</f>
        <v/>
      </c>
      <c r="N2286" s="56" t="str">
        <f aca="false">IF(INDEX(BookTitle,2281)="","",INDEX(BookTotal,2281)*'5. Scenarios'!$D$6/(1+ProductivityDefault*('5. Scenarios'!$D$11-1)))</f>
        <v/>
      </c>
      <c r="O2286" s="57" t="str">
        <f aca="false">IF($N2286="","",INDEX(BookRate,2281)*(1+'5. Scenarios'!$D$10)*$N2286)</f>
        <v/>
      </c>
      <c r="P2286" s="57" t="str">
        <f aca="false">IF($O2286="","",SUMIFS($O$6:$O$2405,$A$6:$A$2405,"&lt;="&amp;$A2286))</f>
        <v/>
      </c>
      <c r="Q2286" s="57" t="str">
        <f aca="false">IF($O2286="","",IF($P2286&lt;=BankCostEnvelope*'5. Scenarios'!$D$7,1,0))</f>
        <v/>
      </c>
      <c r="R2286" s="57" t="str">
        <f aca="false">IF($N2286="","",INDEX(BookRate,2281)*(1+'5. Scenarios'!$D$10)*(INDEX(BookQ1,2281)*(5-MIN(4,1+'5. Scenarios'!$D$8))/4+INDEX(BookQ2,2281)*(5-MIN(4,2+'5. Scenarios'!$D$8))/4+INDEX(BookQ3,2281)*(5-MIN(4,3+'5. Scenarios'!$D$8))/4+INDEX(BookQ4,2281)*(5-MIN(4,4+'5. Scenarios'!$D$8))/4)*'5. Scenarios'!$D$6/(1+ProductivityDefault*('5. Scenarios'!$D$11-1))+INDEX(BookOneOff,2281)*$N2286)</f>
        <v/>
      </c>
      <c r="S2286" s="56" t="str">
        <f aca="false">IF(INDEX(BookTitle,2281)="","",INDEX(BookTotal,2281)*'5. Scenarios'!$E$6/(1+ProductivityDefault*('5. Scenarios'!$E$11-1)))</f>
        <v/>
      </c>
      <c r="T2286" s="57" t="str">
        <f aca="false">IF($S2286="","",INDEX(BookRate,2281)*(1+'5. Scenarios'!$E$10)*$S2286)</f>
        <v/>
      </c>
      <c r="U2286" s="57" t="str">
        <f aca="false">IF($T2286="","",SUMIFS($T$6:$T$2405,$A$6:$A$2405,"&lt;="&amp;$A2286))</f>
        <v/>
      </c>
      <c r="V2286" s="57" t="str">
        <f aca="false">IF($T2286="","",IF($U2286&lt;=BankCostEnvelope*'5. Scenarios'!$E$7,1,0))</f>
        <v/>
      </c>
      <c r="W2286" s="57" t="str">
        <f aca="false">IF($S2286="","",INDEX(BookRate,2281)*(1+'5. Scenarios'!$E$10)*(INDEX(BookQ1,2281)*(5-MIN(4,1+'5. Scenarios'!$E$8))/4+INDEX(BookQ2,2281)*(5-MIN(4,2+'5. Scenarios'!$E$8))/4+INDEX(BookQ3,2281)*(5-MIN(4,3+'5. Scenarios'!$E$8))/4+INDEX(BookQ4,2281)*(5-MIN(4,4+'5. Scenarios'!$E$8))/4)*'5. Scenarios'!$E$6/(1+ProductivityDefault*('5. Scenarios'!$E$11-1))+INDEX(BookOneOff,2281)*$S2286)</f>
        <v/>
      </c>
    </row>
    <row r="2287" customFormat="false" ht="15" hidden="false" customHeight="false" outlineLevel="0" collapsed="false">
      <c r="A2287" s="0" t="str">
        <f aca="false">IF(INDEX(BookTitle,2282)="","",INDEX(BookKey,2282))</f>
        <v/>
      </c>
      <c r="B2287" s="0" t="str">
        <f aca="false">IF(INDEX(BookTitle,2282)="","",INDEX(BookGroup,2282))</f>
        <v/>
      </c>
      <c r="C2287" s="0" t="str">
        <f aca="false">IF(INDEX(BookTitle,2282)="","",INDEX(BookCategory,2282))</f>
        <v/>
      </c>
      <c r="D2287" s="56" t="str">
        <f aca="false">IF(INDEX(BookTitle,2282)="","",INDEX(BookTotal,2282)*'5. Scenarios'!$B$6/(1+ProductivityDefault*('5. Scenarios'!$B$11-1)))</f>
        <v/>
      </c>
      <c r="E2287" s="57" t="str">
        <f aca="false">IF($D2287="","",INDEX(BookRate,2282)*(1+'5. Scenarios'!$B$10)*$D2287)</f>
        <v/>
      </c>
      <c r="F2287" s="57" t="str">
        <f aca="false">IF($E2287="","",SUMIFS($E$6:$E$2405,$A$6:$A$2405,"&lt;="&amp;$A2287))</f>
        <v/>
      </c>
      <c r="G2287" s="57" t="str">
        <f aca="false">IF($E2287="","",IF($F2287&lt;=BankCostEnvelope*'5. Scenarios'!$B$7,1,0))</f>
        <v/>
      </c>
      <c r="H2287" s="57" t="str">
        <f aca="false">IF($D2287="","",INDEX(BookRate,2282)*(1+'5. Scenarios'!$B$10)*(INDEX(BookQ1,2282)*(5-MIN(4,1+'5. Scenarios'!$B$8))/4+INDEX(BookQ2,2282)*(5-MIN(4,2+'5. Scenarios'!$B$8))/4+INDEX(BookQ3,2282)*(5-MIN(4,3+'5. Scenarios'!$B$8))/4+INDEX(BookQ4,2282)*(5-MIN(4,4+'5. Scenarios'!$B$8))/4)*'5. Scenarios'!$B$6/(1+ProductivityDefault*('5. Scenarios'!$B$11-1))+INDEX(BookOneOff,2282)*$D2287)</f>
        <v/>
      </c>
      <c r="I2287" s="56" t="str">
        <f aca="false">IF(INDEX(BookTitle,2282)="","",INDEX(BookTotal,2282)*'5. Scenarios'!$C$6/(1+ProductivityDefault*('5. Scenarios'!$C$11-1)))</f>
        <v/>
      </c>
      <c r="J2287" s="57" t="str">
        <f aca="false">IF($I2287="","",INDEX(BookRate,2282)*(1+'5. Scenarios'!$C$10)*$I2287)</f>
        <v/>
      </c>
      <c r="K2287" s="57" t="str">
        <f aca="false">IF($J2287="","",SUMIFS($J$6:$J$2405,$A$6:$A$2405,"&lt;="&amp;$A2287))</f>
        <v/>
      </c>
      <c r="L2287" s="57" t="str">
        <f aca="false">IF($J2287="","",IF($K2287&lt;=BankCostEnvelope*'5. Scenarios'!$C$7,1,0))</f>
        <v/>
      </c>
      <c r="M2287" s="57" t="str">
        <f aca="false">IF($I2287="","",INDEX(BookRate,2282)*(1+'5. Scenarios'!$C$10)*(INDEX(BookQ1,2282)*(5-MIN(4,1+'5. Scenarios'!$C$8))/4+INDEX(BookQ2,2282)*(5-MIN(4,2+'5. Scenarios'!$C$8))/4+INDEX(BookQ3,2282)*(5-MIN(4,3+'5. Scenarios'!$C$8))/4+INDEX(BookQ4,2282)*(5-MIN(4,4+'5. Scenarios'!$C$8))/4)*'5. Scenarios'!$C$6/(1+ProductivityDefault*('5. Scenarios'!$C$11-1))+INDEX(BookOneOff,2282)*$I2287)</f>
        <v/>
      </c>
      <c r="N2287" s="56" t="str">
        <f aca="false">IF(INDEX(BookTitle,2282)="","",INDEX(BookTotal,2282)*'5. Scenarios'!$D$6/(1+ProductivityDefault*('5. Scenarios'!$D$11-1)))</f>
        <v/>
      </c>
      <c r="O2287" s="57" t="str">
        <f aca="false">IF($N2287="","",INDEX(BookRate,2282)*(1+'5. Scenarios'!$D$10)*$N2287)</f>
        <v/>
      </c>
      <c r="P2287" s="57" t="str">
        <f aca="false">IF($O2287="","",SUMIFS($O$6:$O$2405,$A$6:$A$2405,"&lt;="&amp;$A2287))</f>
        <v/>
      </c>
      <c r="Q2287" s="57" t="str">
        <f aca="false">IF($O2287="","",IF($P2287&lt;=BankCostEnvelope*'5. Scenarios'!$D$7,1,0))</f>
        <v/>
      </c>
      <c r="R2287" s="57" t="str">
        <f aca="false">IF($N2287="","",INDEX(BookRate,2282)*(1+'5. Scenarios'!$D$10)*(INDEX(BookQ1,2282)*(5-MIN(4,1+'5. Scenarios'!$D$8))/4+INDEX(BookQ2,2282)*(5-MIN(4,2+'5. Scenarios'!$D$8))/4+INDEX(BookQ3,2282)*(5-MIN(4,3+'5. Scenarios'!$D$8))/4+INDEX(BookQ4,2282)*(5-MIN(4,4+'5. Scenarios'!$D$8))/4)*'5. Scenarios'!$D$6/(1+ProductivityDefault*('5. Scenarios'!$D$11-1))+INDEX(BookOneOff,2282)*$N2287)</f>
        <v/>
      </c>
      <c r="S2287" s="56" t="str">
        <f aca="false">IF(INDEX(BookTitle,2282)="","",INDEX(BookTotal,2282)*'5. Scenarios'!$E$6/(1+ProductivityDefault*('5. Scenarios'!$E$11-1)))</f>
        <v/>
      </c>
      <c r="T2287" s="57" t="str">
        <f aca="false">IF($S2287="","",INDEX(BookRate,2282)*(1+'5. Scenarios'!$E$10)*$S2287)</f>
        <v/>
      </c>
      <c r="U2287" s="57" t="str">
        <f aca="false">IF($T2287="","",SUMIFS($T$6:$T$2405,$A$6:$A$2405,"&lt;="&amp;$A2287))</f>
        <v/>
      </c>
      <c r="V2287" s="57" t="str">
        <f aca="false">IF($T2287="","",IF($U2287&lt;=BankCostEnvelope*'5. Scenarios'!$E$7,1,0))</f>
        <v/>
      </c>
      <c r="W2287" s="57" t="str">
        <f aca="false">IF($S2287="","",INDEX(BookRate,2282)*(1+'5. Scenarios'!$E$10)*(INDEX(BookQ1,2282)*(5-MIN(4,1+'5. Scenarios'!$E$8))/4+INDEX(BookQ2,2282)*(5-MIN(4,2+'5. Scenarios'!$E$8))/4+INDEX(BookQ3,2282)*(5-MIN(4,3+'5. Scenarios'!$E$8))/4+INDEX(BookQ4,2282)*(5-MIN(4,4+'5. Scenarios'!$E$8))/4)*'5. Scenarios'!$E$6/(1+ProductivityDefault*('5. Scenarios'!$E$11-1))+INDEX(BookOneOff,2282)*$S2287)</f>
        <v/>
      </c>
    </row>
    <row r="2288" customFormat="false" ht="15" hidden="false" customHeight="false" outlineLevel="0" collapsed="false">
      <c r="A2288" s="0" t="str">
        <f aca="false">IF(INDEX(BookTitle,2283)="","",INDEX(BookKey,2283))</f>
        <v/>
      </c>
      <c r="B2288" s="0" t="str">
        <f aca="false">IF(INDEX(BookTitle,2283)="","",INDEX(BookGroup,2283))</f>
        <v/>
      </c>
      <c r="C2288" s="0" t="str">
        <f aca="false">IF(INDEX(BookTitle,2283)="","",INDEX(BookCategory,2283))</f>
        <v/>
      </c>
      <c r="D2288" s="56" t="str">
        <f aca="false">IF(INDEX(BookTitle,2283)="","",INDEX(BookTotal,2283)*'5. Scenarios'!$B$6/(1+ProductivityDefault*('5. Scenarios'!$B$11-1)))</f>
        <v/>
      </c>
      <c r="E2288" s="57" t="str">
        <f aca="false">IF($D2288="","",INDEX(BookRate,2283)*(1+'5. Scenarios'!$B$10)*$D2288)</f>
        <v/>
      </c>
      <c r="F2288" s="57" t="str">
        <f aca="false">IF($E2288="","",SUMIFS($E$6:$E$2405,$A$6:$A$2405,"&lt;="&amp;$A2288))</f>
        <v/>
      </c>
      <c r="G2288" s="57" t="str">
        <f aca="false">IF($E2288="","",IF($F2288&lt;=BankCostEnvelope*'5. Scenarios'!$B$7,1,0))</f>
        <v/>
      </c>
      <c r="H2288" s="57" t="str">
        <f aca="false">IF($D2288="","",INDEX(BookRate,2283)*(1+'5. Scenarios'!$B$10)*(INDEX(BookQ1,2283)*(5-MIN(4,1+'5. Scenarios'!$B$8))/4+INDEX(BookQ2,2283)*(5-MIN(4,2+'5. Scenarios'!$B$8))/4+INDEX(BookQ3,2283)*(5-MIN(4,3+'5. Scenarios'!$B$8))/4+INDEX(BookQ4,2283)*(5-MIN(4,4+'5. Scenarios'!$B$8))/4)*'5. Scenarios'!$B$6/(1+ProductivityDefault*('5. Scenarios'!$B$11-1))+INDEX(BookOneOff,2283)*$D2288)</f>
        <v/>
      </c>
      <c r="I2288" s="56" t="str">
        <f aca="false">IF(INDEX(BookTitle,2283)="","",INDEX(BookTotal,2283)*'5. Scenarios'!$C$6/(1+ProductivityDefault*('5. Scenarios'!$C$11-1)))</f>
        <v/>
      </c>
      <c r="J2288" s="57" t="str">
        <f aca="false">IF($I2288="","",INDEX(BookRate,2283)*(1+'5. Scenarios'!$C$10)*$I2288)</f>
        <v/>
      </c>
      <c r="K2288" s="57" t="str">
        <f aca="false">IF($J2288="","",SUMIFS($J$6:$J$2405,$A$6:$A$2405,"&lt;="&amp;$A2288))</f>
        <v/>
      </c>
      <c r="L2288" s="57" t="str">
        <f aca="false">IF($J2288="","",IF($K2288&lt;=BankCostEnvelope*'5. Scenarios'!$C$7,1,0))</f>
        <v/>
      </c>
      <c r="M2288" s="57" t="str">
        <f aca="false">IF($I2288="","",INDEX(BookRate,2283)*(1+'5. Scenarios'!$C$10)*(INDEX(BookQ1,2283)*(5-MIN(4,1+'5. Scenarios'!$C$8))/4+INDEX(BookQ2,2283)*(5-MIN(4,2+'5. Scenarios'!$C$8))/4+INDEX(BookQ3,2283)*(5-MIN(4,3+'5. Scenarios'!$C$8))/4+INDEX(BookQ4,2283)*(5-MIN(4,4+'5. Scenarios'!$C$8))/4)*'5. Scenarios'!$C$6/(1+ProductivityDefault*('5. Scenarios'!$C$11-1))+INDEX(BookOneOff,2283)*$I2288)</f>
        <v/>
      </c>
      <c r="N2288" s="56" t="str">
        <f aca="false">IF(INDEX(BookTitle,2283)="","",INDEX(BookTotal,2283)*'5. Scenarios'!$D$6/(1+ProductivityDefault*('5. Scenarios'!$D$11-1)))</f>
        <v/>
      </c>
      <c r="O2288" s="57" t="str">
        <f aca="false">IF($N2288="","",INDEX(BookRate,2283)*(1+'5. Scenarios'!$D$10)*$N2288)</f>
        <v/>
      </c>
      <c r="P2288" s="57" t="str">
        <f aca="false">IF($O2288="","",SUMIFS($O$6:$O$2405,$A$6:$A$2405,"&lt;="&amp;$A2288))</f>
        <v/>
      </c>
      <c r="Q2288" s="57" t="str">
        <f aca="false">IF($O2288="","",IF($P2288&lt;=BankCostEnvelope*'5. Scenarios'!$D$7,1,0))</f>
        <v/>
      </c>
      <c r="R2288" s="57" t="str">
        <f aca="false">IF($N2288="","",INDEX(BookRate,2283)*(1+'5. Scenarios'!$D$10)*(INDEX(BookQ1,2283)*(5-MIN(4,1+'5. Scenarios'!$D$8))/4+INDEX(BookQ2,2283)*(5-MIN(4,2+'5. Scenarios'!$D$8))/4+INDEX(BookQ3,2283)*(5-MIN(4,3+'5. Scenarios'!$D$8))/4+INDEX(BookQ4,2283)*(5-MIN(4,4+'5. Scenarios'!$D$8))/4)*'5. Scenarios'!$D$6/(1+ProductivityDefault*('5. Scenarios'!$D$11-1))+INDEX(BookOneOff,2283)*$N2288)</f>
        <v/>
      </c>
      <c r="S2288" s="56" t="str">
        <f aca="false">IF(INDEX(BookTitle,2283)="","",INDEX(BookTotal,2283)*'5. Scenarios'!$E$6/(1+ProductivityDefault*('5. Scenarios'!$E$11-1)))</f>
        <v/>
      </c>
      <c r="T2288" s="57" t="str">
        <f aca="false">IF($S2288="","",INDEX(BookRate,2283)*(1+'5. Scenarios'!$E$10)*$S2288)</f>
        <v/>
      </c>
      <c r="U2288" s="57" t="str">
        <f aca="false">IF($T2288="","",SUMIFS($T$6:$T$2405,$A$6:$A$2405,"&lt;="&amp;$A2288))</f>
        <v/>
      </c>
      <c r="V2288" s="57" t="str">
        <f aca="false">IF($T2288="","",IF($U2288&lt;=BankCostEnvelope*'5. Scenarios'!$E$7,1,0))</f>
        <v/>
      </c>
      <c r="W2288" s="57" t="str">
        <f aca="false">IF($S2288="","",INDEX(BookRate,2283)*(1+'5. Scenarios'!$E$10)*(INDEX(BookQ1,2283)*(5-MIN(4,1+'5. Scenarios'!$E$8))/4+INDEX(BookQ2,2283)*(5-MIN(4,2+'5. Scenarios'!$E$8))/4+INDEX(BookQ3,2283)*(5-MIN(4,3+'5. Scenarios'!$E$8))/4+INDEX(BookQ4,2283)*(5-MIN(4,4+'5. Scenarios'!$E$8))/4)*'5. Scenarios'!$E$6/(1+ProductivityDefault*('5. Scenarios'!$E$11-1))+INDEX(BookOneOff,2283)*$S2288)</f>
        <v/>
      </c>
    </row>
    <row r="2289" customFormat="false" ht="15" hidden="false" customHeight="false" outlineLevel="0" collapsed="false">
      <c r="A2289" s="0" t="str">
        <f aca="false">IF(INDEX(BookTitle,2284)="","",INDEX(BookKey,2284))</f>
        <v/>
      </c>
      <c r="B2289" s="0" t="str">
        <f aca="false">IF(INDEX(BookTitle,2284)="","",INDEX(BookGroup,2284))</f>
        <v/>
      </c>
      <c r="C2289" s="0" t="str">
        <f aca="false">IF(INDEX(BookTitle,2284)="","",INDEX(BookCategory,2284))</f>
        <v/>
      </c>
      <c r="D2289" s="56" t="str">
        <f aca="false">IF(INDEX(BookTitle,2284)="","",INDEX(BookTotal,2284)*'5. Scenarios'!$B$6/(1+ProductivityDefault*('5. Scenarios'!$B$11-1)))</f>
        <v/>
      </c>
      <c r="E2289" s="57" t="str">
        <f aca="false">IF($D2289="","",INDEX(BookRate,2284)*(1+'5. Scenarios'!$B$10)*$D2289)</f>
        <v/>
      </c>
      <c r="F2289" s="57" t="str">
        <f aca="false">IF($E2289="","",SUMIFS($E$6:$E$2405,$A$6:$A$2405,"&lt;="&amp;$A2289))</f>
        <v/>
      </c>
      <c r="G2289" s="57" t="str">
        <f aca="false">IF($E2289="","",IF($F2289&lt;=BankCostEnvelope*'5. Scenarios'!$B$7,1,0))</f>
        <v/>
      </c>
      <c r="H2289" s="57" t="str">
        <f aca="false">IF($D2289="","",INDEX(BookRate,2284)*(1+'5. Scenarios'!$B$10)*(INDEX(BookQ1,2284)*(5-MIN(4,1+'5. Scenarios'!$B$8))/4+INDEX(BookQ2,2284)*(5-MIN(4,2+'5. Scenarios'!$B$8))/4+INDEX(BookQ3,2284)*(5-MIN(4,3+'5. Scenarios'!$B$8))/4+INDEX(BookQ4,2284)*(5-MIN(4,4+'5. Scenarios'!$B$8))/4)*'5. Scenarios'!$B$6/(1+ProductivityDefault*('5. Scenarios'!$B$11-1))+INDEX(BookOneOff,2284)*$D2289)</f>
        <v/>
      </c>
      <c r="I2289" s="56" t="str">
        <f aca="false">IF(INDEX(BookTitle,2284)="","",INDEX(BookTotal,2284)*'5. Scenarios'!$C$6/(1+ProductivityDefault*('5. Scenarios'!$C$11-1)))</f>
        <v/>
      </c>
      <c r="J2289" s="57" t="str">
        <f aca="false">IF($I2289="","",INDEX(BookRate,2284)*(1+'5. Scenarios'!$C$10)*$I2289)</f>
        <v/>
      </c>
      <c r="K2289" s="57" t="str">
        <f aca="false">IF($J2289="","",SUMIFS($J$6:$J$2405,$A$6:$A$2405,"&lt;="&amp;$A2289))</f>
        <v/>
      </c>
      <c r="L2289" s="57" t="str">
        <f aca="false">IF($J2289="","",IF($K2289&lt;=BankCostEnvelope*'5. Scenarios'!$C$7,1,0))</f>
        <v/>
      </c>
      <c r="M2289" s="57" t="str">
        <f aca="false">IF($I2289="","",INDEX(BookRate,2284)*(1+'5. Scenarios'!$C$10)*(INDEX(BookQ1,2284)*(5-MIN(4,1+'5. Scenarios'!$C$8))/4+INDEX(BookQ2,2284)*(5-MIN(4,2+'5. Scenarios'!$C$8))/4+INDEX(BookQ3,2284)*(5-MIN(4,3+'5. Scenarios'!$C$8))/4+INDEX(BookQ4,2284)*(5-MIN(4,4+'5. Scenarios'!$C$8))/4)*'5. Scenarios'!$C$6/(1+ProductivityDefault*('5. Scenarios'!$C$11-1))+INDEX(BookOneOff,2284)*$I2289)</f>
        <v/>
      </c>
      <c r="N2289" s="56" t="str">
        <f aca="false">IF(INDEX(BookTitle,2284)="","",INDEX(BookTotal,2284)*'5. Scenarios'!$D$6/(1+ProductivityDefault*('5. Scenarios'!$D$11-1)))</f>
        <v/>
      </c>
      <c r="O2289" s="57" t="str">
        <f aca="false">IF($N2289="","",INDEX(BookRate,2284)*(1+'5. Scenarios'!$D$10)*$N2289)</f>
        <v/>
      </c>
      <c r="P2289" s="57" t="str">
        <f aca="false">IF($O2289="","",SUMIFS($O$6:$O$2405,$A$6:$A$2405,"&lt;="&amp;$A2289))</f>
        <v/>
      </c>
      <c r="Q2289" s="57" t="str">
        <f aca="false">IF($O2289="","",IF($P2289&lt;=BankCostEnvelope*'5. Scenarios'!$D$7,1,0))</f>
        <v/>
      </c>
      <c r="R2289" s="57" t="str">
        <f aca="false">IF($N2289="","",INDEX(BookRate,2284)*(1+'5. Scenarios'!$D$10)*(INDEX(BookQ1,2284)*(5-MIN(4,1+'5. Scenarios'!$D$8))/4+INDEX(BookQ2,2284)*(5-MIN(4,2+'5. Scenarios'!$D$8))/4+INDEX(BookQ3,2284)*(5-MIN(4,3+'5. Scenarios'!$D$8))/4+INDEX(BookQ4,2284)*(5-MIN(4,4+'5. Scenarios'!$D$8))/4)*'5. Scenarios'!$D$6/(1+ProductivityDefault*('5. Scenarios'!$D$11-1))+INDEX(BookOneOff,2284)*$N2289)</f>
        <v/>
      </c>
      <c r="S2289" s="56" t="str">
        <f aca="false">IF(INDEX(BookTitle,2284)="","",INDEX(BookTotal,2284)*'5. Scenarios'!$E$6/(1+ProductivityDefault*('5. Scenarios'!$E$11-1)))</f>
        <v/>
      </c>
      <c r="T2289" s="57" t="str">
        <f aca="false">IF($S2289="","",INDEX(BookRate,2284)*(1+'5. Scenarios'!$E$10)*$S2289)</f>
        <v/>
      </c>
      <c r="U2289" s="57" t="str">
        <f aca="false">IF($T2289="","",SUMIFS($T$6:$T$2405,$A$6:$A$2405,"&lt;="&amp;$A2289))</f>
        <v/>
      </c>
      <c r="V2289" s="57" t="str">
        <f aca="false">IF($T2289="","",IF($U2289&lt;=BankCostEnvelope*'5. Scenarios'!$E$7,1,0))</f>
        <v/>
      </c>
      <c r="W2289" s="57" t="str">
        <f aca="false">IF($S2289="","",INDEX(BookRate,2284)*(1+'5. Scenarios'!$E$10)*(INDEX(BookQ1,2284)*(5-MIN(4,1+'5. Scenarios'!$E$8))/4+INDEX(BookQ2,2284)*(5-MIN(4,2+'5. Scenarios'!$E$8))/4+INDEX(BookQ3,2284)*(5-MIN(4,3+'5. Scenarios'!$E$8))/4+INDEX(BookQ4,2284)*(5-MIN(4,4+'5. Scenarios'!$E$8))/4)*'5. Scenarios'!$E$6/(1+ProductivityDefault*('5. Scenarios'!$E$11-1))+INDEX(BookOneOff,2284)*$S2289)</f>
        <v/>
      </c>
    </row>
    <row r="2290" customFormat="false" ht="15" hidden="false" customHeight="false" outlineLevel="0" collapsed="false">
      <c r="A2290" s="0" t="str">
        <f aca="false">IF(INDEX(BookTitle,2285)="","",INDEX(BookKey,2285))</f>
        <v/>
      </c>
      <c r="B2290" s="0" t="str">
        <f aca="false">IF(INDEX(BookTitle,2285)="","",INDEX(BookGroup,2285))</f>
        <v/>
      </c>
      <c r="C2290" s="0" t="str">
        <f aca="false">IF(INDEX(BookTitle,2285)="","",INDEX(BookCategory,2285))</f>
        <v/>
      </c>
      <c r="D2290" s="56" t="str">
        <f aca="false">IF(INDEX(BookTitle,2285)="","",INDEX(BookTotal,2285)*'5. Scenarios'!$B$6/(1+ProductivityDefault*('5. Scenarios'!$B$11-1)))</f>
        <v/>
      </c>
      <c r="E2290" s="57" t="str">
        <f aca="false">IF($D2290="","",INDEX(BookRate,2285)*(1+'5. Scenarios'!$B$10)*$D2290)</f>
        <v/>
      </c>
      <c r="F2290" s="57" t="str">
        <f aca="false">IF($E2290="","",SUMIFS($E$6:$E$2405,$A$6:$A$2405,"&lt;="&amp;$A2290))</f>
        <v/>
      </c>
      <c r="G2290" s="57" t="str">
        <f aca="false">IF($E2290="","",IF($F2290&lt;=BankCostEnvelope*'5. Scenarios'!$B$7,1,0))</f>
        <v/>
      </c>
      <c r="H2290" s="57" t="str">
        <f aca="false">IF($D2290="","",INDEX(BookRate,2285)*(1+'5. Scenarios'!$B$10)*(INDEX(BookQ1,2285)*(5-MIN(4,1+'5. Scenarios'!$B$8))/4+INDEX(BookQ2,2285)*(5-MIN(4,2+'5. Scenarios'!$B$8))/4+INDEX(BookQ3,2285)*(5-MIN(4,3+'5. Scenarios'!$B$8))/4+INDEX(BookQ4,2285)*(5-MIN(4,4+'5. Scenarios'!$B$8))/4)*'5. Scenarios'!$B$6/(1+ProductivityDefault*('5. Scenarios'!$B$11-1))+INDEX(BookOneOff,2285)*$D2290)</f>
        <v/>
      </c>
      <c r="I2290" s="56" t="str">
        <f aca="false">IF(INDEX(BookTitle,2285)="","",INDEX(BookTotal,2285)*'5. Scenarios'!$C$6/(1+ProductivityDefault*('5. Scenarios'!$C$11-1)))</f>
        <v/>
      </c>
      <c r="J2290" s="57" t="str">
        <f aca="false">IF($I2290="","",INDEX(BookRate,2285)*(1+'5. Scenarios'!$C$10)*$I2290)</f>
        <v/>
      </c>
      <c r="K2290" s="57" t="str">
        <f aca="false">IF($J2290="","",SUMIFS($J$6:$J$2405,$A$6:$A$2405,"&lt;="&amp;$A2290))</f>
        <v/>
      </c>
      <c r="L2290" s="57" t="str">
        <f aca="false">IF($J2290="","",IF($K2290&lt;=BankCostEnvelope*'5. Scenarios'!$C$7,1,0))</f>
        <v/>
      </c>
      <c r="M2290" s="57" t="str">
        <f aca="false">IF($I2290="","",INDEX(BookRate,2285)*(1+'5. Scenarios'!$C$10)*(INDEX(BookQ1,2285)*(5-MIN(4,1+'5. Scenarios'!$C$8))/4+INDEX(BookQ2,2285)*(5-MIN(4,2+'5. Scenarios'!$C$8))/4+INDEX(BookQ3,2285)*(5-MIN(4,3+'5. Scenarios'!$C$8))/4+INDEX(BookQ4,2285)*(5-MIN(4,4+'5. Scenarios'!$C$8))/4)*'5. Scenarios'!$C$6/(1+ProductivityDefault*('5. Scenarios'!$C$11-1))+INDEX(BookOneOff,2285)*$I2290)</f>
        <v/>
      </c>
      <c r="N2290" s="56" t="str">
        <f aca="false">IF(INDEX(BookTitle,2285)="","",INDEX(BookTotal,2285)*'5. Scenarios'!$D$6/(1+ProductivityDefault*('5. Scenarios'!$D$11-1)))</f>
        <v/>
      </c>
      <c r="O2290" s="57" t="str">
        <f aca="false">IF($N2290="","",INDEX(BookRate,2285)*(1+'5. Scenarios'!$D$10)*$N2290)</f>
        <v/>
      </c>
      <c r="P2290" s="57" t="str">
        <f aca="false">IF($O2290="","",SUMIFS($O$6:$O$2405,$A$6:$A$2405,"&lt;="&amp;$A2290))</f>
        <v/>
      </c>
      <c r="Q2290" s="57" t="str">
        <f aca="false">IF($O2290="","",IF($P2290&lt;=BankCostEnvelope*'5. Scenarios'!$D$7,1,0))</f>
        <v/>
      </c>
      <c r="R2290" s="57" t="str">
        <f aca="false">IF($N2290="","",INDEX(BookRate,2285)*(1+'5. Scenarios'!$D$10)*(INDEX(BookQ1,2285)*(5-MIN(4,1+'5. Scenarios'!$D$8))/4+INDEX(BookQ2,2285)*(5-MIN(4,2+'5. Scenarios'!$D$8))/4+INDEX(BookQ3,2285)*(5-MIN(4,3+'5. Scenarios'!$D$8))/4+INDEX(BookQ4,2285)*(5-MIN(4,4+'5. Scenarios'!$D$8))/4)*'5. Scenarios'!$D$6/(1+ProductivityDefault*('5. Scenarios'!$D$11-1))+INDEX(BookOneOff,2285)*$N2290)</f>
        <v/>
      </c>
      <c r="S2290" s="56" t="str">
        <f aca="false">IF(INDEX(BookTitle,2285)="","",INDEX(BookTotal,2285)*'5. Scenarios'!$E$6/(1+ProductivityDefault*('5. Scenarios'!$E$11-1)))</f>
        <v/>
      </c>
      <c r="T2290" s="57" t="str">
        <f aca="false">IF($S2290="","",INDEX(BookRate,2285)*(1+'5. Scenarios'!$E$10)*$S2290)</f>
        <v/>
      </c>
      <c r="U2290" s="57" t="str">
        <f aca="false">IF($T2290="","",SUMIFS($T$6:$T$2405,$A$6:$A$2405,"&lt;="&amp;$A2290))</f>
        <v/>
      </c>
      <c r="V2290" s="57" t="str">
        <f aca="false">IF($T2290="","",IF($U2290&lt;=BankCostEnvelope*'5. Scenarios'!$E$7,1,0))</f>
        <v/>
      </c>
      <c r="W2290" s="57" t="str">
        <f aca="false">IF($S2290="","",INDEX(BookRate,2285)*(1+'5. Scenarios'!$E$10)*(INDEX(BookQ1,2285)*(5-MIN(4,1+'5. Scenarios'!$E$8))/4+INDEX(BookQ2,2285)*(5-MIN(4,2+'5. Scenarios'!$E$8))/4+INDEX(BookQ3,2285)*(5-MIN(4,3+'5. Scenarios'!$E$8))/4+INDEX(BookQ4,2285)*(5-MIN(4,4+'5. Scenarios'!$E$8))/4)*'5. Scenarios'!$E$6/(1+ProductivityDefault*('5. Scenarios'!$E$11-1))+INDEX(BookOneOff,2285)*$S2290)</f>
        <v/>
      </c>
    </row>
    <row r="2291" customFormat="false" ht="15" hidden="false" customHeight="false" outlineLevel="0" collapsed="false">
      <c r="A2291" s="0" t="str">
        <f aca="false">IF(INDEX(BookTitle,2286)="","",INDEX(BookKey,2286))</f>
        <v/>
      </c>
      <c r="B2291" s="0" t="str">
        <f aca="false">IF(INDEX(BookTitle,2286)="","",INDEX(BookGroup,2286))</f>
        <v/>
      </c>
      <c r="C2291" s="0" t="str">
        <f aca="false">IF(INDEX(BookTitle,2286)="","",INDEX(BookCategory,2286))</f>
        <v/>
      </c>
      <c r="D2291" s="56" t="str">
        <f aca="false">IF(INDEX(BookTitle,2286)="","",INDEX(BookTotal,2286)*'5. Scenarios'!$B$6/(1+ProductivityDefault*('5. Scenarios'!$B$11-1)))</f>
        <v/>
      </c>
      <c r="E2291" s="57" t="str">
        <f aca="false">IF($D2291="","",INDEX(BookRate,2286)*(1+'5. Scenarios'!$B$10)*$D2291)</f>
        <v/>
      </c>
      <c r="F2291" s="57" t="str">
        <f aca="false">IF($E2291="","",SUMIFS($E$6:$E$2405,$A$6:$A$2405,"&lt;="&amp;$A2291))</f>
        <v/>
      </c>
      <c r="G2291" s="57" t="str">
        <f aca="false">IF($E2291="","",IF($F2291&lt;=BankCostEnvelope*'5. Scenarios'!$B$7,1,0))</f>
        <v/>
      </c>
      <c r="H2291" s="57" t="str">
        <f aca="false">IF($D2291="","",INDEX(BookRate,2286)*(1+'5. Scenarios'!$B$10)*(INDEX(BookQ1,2286)*(5-MIN(4,1+'5. Scenarios'!$B$8))/4+INDEX(BookQ2,2286)*(5-MIN(4,2+'5. Scenarios'!$B$8))/4+INDEX(BookQ3,2286)*(5-MIN(4,3+'5. Scenarios'!$B$8))/4+INDEX(BookQ4,2286)*(5-MIN(4,4+'5. Scenarios'!$B$8))/4)*'5. Scenarios'!$B$6/(1+ProductivityDefault*('5. Scenarios'!$B$11-1))+INDEX(BookOneOff,2286)*$D2291)</f>
        <v/>
      </c>
      <c r="I2291" s="56" t="str">
        <f aca="false">IF(INDEX(BookTitle,2286)="","",INDEX(BookTotal,2286)*'5. Scenarios'!$C$6/(1+ProductivityDefault*('5. Scenarios'!$C$11-1)))</f>
        <v/>
      </c>
      <c r="J2291" s="57" t="str">
        <f aca="false">IF($I2291="","",INDEX(BookRate,2286)*(1+'5. Scenarios'!$C$10)*$I2291)</f>
        <v/>
      </c>
      <c r="K2291" s="57" t="str">
        <f aca="false">IF($J2291="","",SUMIFS($J$6:$J$2405,$A$6:$A$2405,"&lt;="&amp;$A2291))</f>
        <v/>
      </c>
      <c r="L2291" s="57" t="str">
        <f aca="false">IF($J2291="","",IF($K2291&lt;=BankCostEnvelope*'5. Scenarios'!$C$7,1,0))</f>
        <v/>
      </c>
      <c r="M2291" s="57" t="str">
        <f aca="false">IF($I2291="","",INDEX(BookRate,2286)*(1+'5. Scenarios'!$C$10)*(INDEX(BookQ1,2286)*(5-MIN(4,1+'5. Scenarios'!$C$8))/4+INDEX(BookQ2,2286)*(5-MIN(4,2+'5. Scenarios'!$C$8))/4+INDEX(BookQ3,2286)*(5-MIN(4,3+'5. Scenarios'!$C$8))/4+INDEX(BookQ4,2286)*(5-MIN(4,4+'5. Scenarios'!$C$8))/4)*'5. Scenarios'!$C$6/(1+ProductivityDefault*('5. Scenarios'!$C$11-1))+INDEX(BookOneOff,2286)*$I2291)</f>
        <v/>
      </c>
      <c r="N2291" s="56" t="str">
        <f aca="false">IF(INDEX(BookTitle,2286)="","",INDEX(BookTotal,2286)*'5. Scenarios'!$D$6/(1+ProductivityDefault*('5. Scenarios'!$D$11-1)))</f>
        <v/>
      </c>
      <c r="O2291" s="57" t="str">
        <f aca="false">IF($N2291="","",INDEX(BookRate,2286)*(1+'5. Scenarios'!$D$10)*$N2291)</f>
        <v/>
      </c>
      <c r="P2291" s="57" t="str">
        <f aca="false">IF($O2291="","",SUMIFS($O$6:$O$2405,$A$6:$A$2405,"&lt;="&amp;$A2291))</f>
        <v/>
      </c>
      <c r="Q2291" s="57" t="str">
        <f aca="false">IF($O2291="","",IF($P2291&lt;=BankCostEnvelope*'5. Scenarios'!$D$7,1,0))</f>
        <v/>
      </c>
      <c r="R2291" s="57" t="str">
        <f aca="false">IF($N2291="","",INDEX(BookRate,2286)*(1+'5. Scenarios'!$D$10)*(INDEX(BookQ1,2286)*(5-MIN(4,1+'5. Scenarios'!$D$8))/4+INDEX(BookQ2,2286)*(5-MIN(4,2+'5. Scenarios'!$D$8))/4+INDEX(BookQ3,2286)*(5-MIN(4,3+'5. Scenarios'!$D$8))/4+INDEX(BookQ4,2286)*(5-MIN(4,4+'5. Scenarios'!$D$8))/4)*'5. Scenarios'!$D$6/(1+ProductivityDefault*('5. Scenarios'!$D$11-1))+INDEX(BookOneOff,2286)*$N2291)</f>
        <v/>
      </c>
      <c r="S2291" s="56" t="str">
        <f aca="false">IF(INDEX(BookTitle,2286)="","",INDEX(BookTotal,2286)*'5. Scenarios'!$E$6/(1+ProductivityDefault*('5. Scenarios'!$E$11-1)))</f>
        <v/>
      </c>
      <c r="T2291" s="57" t="str">
        <f aca="false">IF($S2291="","",INDEX(BookRate,2286)*(1+'5. Scenarios'!$E$10)*$S2291)</f>
        <v/>
      </c>
      <c r="U2291" s="57" t="str">
        <f aca="false">IF($T2291="","",SUMIFS($T$6:$T$2405,$A$6:$A$2405,"&lt;="&amp;$A2291))</f>
        <v/>
      </c>
      <c r="V2291" s="57" t="str">
        <f aca="false">IF($T2291="","",IF($U2291&lt;=BankCostEnvelope*'5. Scenarios'!$E$7,1,0))</f>
        <v/>
      </c>
      <c r="W2291" s="57" t="str">
        <f aca="false">IF($S2291="","",INDEX(BookRate,2286)*(1+'5. Scenarios'!$E$10)*(INDEX(BookQ1,2286)*(5-MIN(4,1+'5. Scenarios'!$E$8))/4+INDEX(BookQ2,2286)*(5-MIN(4,2+'5. Scenarios'!$E$8))/4+INDEX(BookQ3,2286)*(5-MIN(4,3+'5. Scenarios'!$E$8))/4+INDEX(BookQ4,2286)*(5-MIN(4,4+'5. Scenarios'!$E$8))/4)*'5. Scenarios'!$E$6/(1+ProductivityDefault*('5. Scenarios'!$E$11-1))+INDEX(BookOneOff,2286)*$S2291)</f>
        <v/>
      </c>
    </row>
    <row r="2292" customFormat="false" ht="15" hidden="false" customHeight="false" outlineLevel="0" collapsed="false">
      <c r="A2292" s="0" t="str">
        <f aca="false">IF(INDEX(BookTitle,2287)="","",INDEX(BookKey,2287))</f>
        <v/>
      </c>
      <c r="B2292" s="0" t="str">
        <f aca="false">IF(INDEX(BookTitle,2287)="","",INDEX(BookGroup,2287))</f>
        <v/>
      </c>
      <c r="C2292" s="0" t="str">
        <f aca="false">IF(INDEX(BookTitle,2287)="","",INDEX(BookCategory,2287))</f>
        <v/>
      </c>
      <c r="D2292" s="56" t="str">
        <f aca="false">IF(INDEX(BookTitle,2287)="","",INDEX(BookTotal,2287)*'5. Scenarios'!$B$6/(1+ProductivityDefault*('5. Scenarios'!$B$11-1)))</f>
        <v/>
      </c>
      <c r="E2292" s="57" t="str">
        <f aca="false">IF($D2292="","",INDEX(BookRate,2287)*(1+'5. Scenarios'!$B$10)*$D2292)</f>
        <v/>
      </c>
      <c r="F2292" s="57" t="str">
        <f aca="false">IF($E2292="","",SUMIFS($E$6:$E$2405,$A$6:$A$2405,"&lt;="&amp;$A2292))</f>
        <v/>
      </c>
      <c r="G2292" s="57" t="str">
        <f aca="false">IF($E2292="","",IF($F2292&lt;=BankCostEnvelope*'5. Scenarios'!$B$7,1,0))</f>
        <v/>
      </c>
      <c r="H2292" s="57" t="str">
        <f aca="false">IF($D2292="","",INDEX(BookRate,2287)*(1+'5. Scenarios'!$B$10)*(INDEX(BookQ1,2287)*(5-MIN(4,1+'5. Scenarios'!$B$8))/4+INDEX(BookQ2,2287)*(5-MIN(4,2+'5. Scenarios'!$B$8))/4+INDEX(BookQ3,2287)*(5-MIN(4,3+'5. Scenarios'!$B$8))/4+INDEX(BookQ4,2287)*(5-MIN(4,4+'5. Scenarios'!$B$8))/4)*'5. Scenarios'!$B$6/(1+ProductivityDefault*('5. Scenarios'!$B$11-1))+INDEX(BookOneOff,2287)*$D2292)</f>
        <v/>
      </c>
      <c r="I2292" s="56" t="str">
        <f aca="false">IF(INDEX(BookTitle,2287)="","",INDEX(BookTotal,2287)*'5. Scenarios'!$C$6/(1+ProductivityDefault*('5. Scenarios'!$C$11-1)))</f>
        <v/>
      </c>
      <c r="J2292" s="57" t="str">
        <f aca="false">IF($I2292="","",INDEX(BookRate,2287)*(1+'5. Scenarios'!$C$10)*$I2292)</f>
        <v/>
      </c>
      <c r="K2292" s="57" t="str">
        <f aca="false">IF($J2292="","",SUMIFS($J$6:$J$2405,$A$6:$A$2405,"&lt;="&amp;$A2292))</f>
        <v/>
      </c>
      <c r="L2292" s="57" t="str">
        <f aca="false">IF($J2292="","",IF($K2292&lt;=BankCostEnvelope*'5. Scenarios'!$C$7,1,0))</f>
        <v/>
      </c>
      <c r="M2292" s="57" t="str">
        <f aca="false">IF($I2292="","",INDEX(BookRate,2287)*(1+'5. Scenarios'!$C$10)*(INDEX(BookQ1,2287)*(5-MIN(4,1+'5. Scenarios'!$C$8))/4+INDEX(BookQ2,2287)*(5-MIN(4,2+'5. Scenarios'!$C$8))/4+INDEX(BookQ3,2287)*(5-MIN(4,3+'5. Scenarios'!$C$8))/4+INDEX(BookQ4,2287)*(5-MIN(4,4+'5. Scenarios'!$C$8))/4)*'5. Scenarios'!$C$6/(1+ProductivityDefault*('5. Scenarios'!$C$11-1))+INDEX(BookOneOff,2287)*$I2292)</f>
        <v/>
      </c>
      <c r="N2292" s="56" t="str">
        <f aca="false">IF(INDEX(BookTitle,2287)="","",INDEX(BookTotal,2287)*'5. Scenarios'!$D$6/(1+ProductivityDefault*('5. Scenarios'!$D$11-1)))</f>
        <v/>
      </c>
      <c r="O2292" s="57" t="str">
        <f aca="false">IF($N2292="","",INDEX(BookRate,2287)*(1+'5. Scenarios'!$D$10)*$N2292)</f>
        <v/>
      </c>
      <c r="P2292" s="57" t="str">
        <f aca="false">IF($O2292="","",SUMIFS($O$6:$O$2405,$A$6:$A$2405,"&lt;="&amp;$A2292))</f>
        <v/>
      </c>
      <c r="Q2292" s="57" t="str">
        <f aca="false">IF($O2292="","",IF($P2292&lt;=BankCostEnvelope*'5. Scenarios'!$D$7,1,0))</f>
        <v/>
      </c>
      <c r="R2292" s="57" t="str">
        <f aca="false">IF($N2292="","",INDEX(BookRate,2287)*(1+'5. Scenarios'!$D$10)*(INDEX(BookQ1,2287)*(5-MIN(4,1+'5. Scenarios'!$D$8))/4+INDEX(BookQ2,2287)*(5-MIN(4,2+'5. Scenarios'!$D$8))/4+INDEX(BookQ3,2287)*(5-MIN(4,3+'5. Scenarios'!$D$8))/4+INDEX(BookQ4,2287)*(5-MIN(4,4+'5. Scenarios'!$D$8))/4)*'5. Scenarios'!$D$6/(1+ProductivityDefault*('5. Scenarios'!$D$11-1))+INDEX(BookOneOff,2287)*$N2292)</f>
        <v/>
      </c>
      <c r="S2292" s="56" t="str">
        <f aca="false">IF(INDEX(BookTitle,2287)="","",INDEX(BookTotal,2287)*'5. Scenarios'!$E$6/(1+ProductivityDefault*('5. Scenarios'!$E$11-1)))</f>
        <v/>
      </c>
      <c r="T2292" s="57" t="str">
        <f aca="false">IF($S2292="","",INDEX(BookRate,2287)*(1+'5. Scenarios'!$E$10)*$S2292)</f>
        <v/>
      </c>
      <c r="U2292" s="57" t="str">
        <f aca="false">IF($T2292="","",SUMIFS($T$6:$T$2405,$A$6:$A$2405,"&lt;="&amp;$A2292))</f>
        <v/>
      </c>
      <c r="V2292" s="57" t="str">
        <f aca="false">IF($T2292="","",IF($U2292&lt;=BankCostEnvelope*'5. Scenarios'!$E$7,1,0))</f>
        <v/>
      </c>
      <c r="W2292" s="57" t="str">
        <f aca="false">IF($S2292="","",INDEX(BookRate,2287)*(1+'5. Scenarios'!$E$10)*(INDEX(BookQ1,2287)*(5-MIN(4,1+'5. Scenarios'!$E$8))/4+INDEX(BookQ2,2287)*(5-MIN(4,2+'5. Scenarios'!$E$8))/4+INDEX(BookQ3,2287)*(5-MIN(4,3+'5. Scenarios'!$E$8))/4+INDEX(BookQ4,2287)*(5-MIN(4,4+'5. Scenarios'!$E$8))/4)*'5. Scenarios'!$E$6/(1+ProductivityDefault*('5. Scenarios'!$E$11-1))+INDEX(BookOneOff,2287)*$S2292)</f>
        <v/>
      </c>
    </row>
    <row r="2293" customFormat="false" ht="15" hidden="false" customHeight="false" outlineLevel="0" collapsed="false">
      <c r="A2293" s="0" t="str">
        <f aca="false">IF(INDEX(BookTitle,2288)="","",INDEX(BookKey,2288))</f>
        <v/>
      </c>
      <c r="B2293" s="0" t="str">
        <f aca="false">IF(INDEX(BookTitle,2288)="","",INDEX(BookGroup,2288))</f>
        <v/>
      </c>
      <c r="C2293" s="0" t="str">
        <f aca="false">IF(INDEX(BookTitle,2288)="","",INDEX(BookCategory,2288))</f>
        <v/>
      </c>
      <c r="D2293" s="56" t="str">
        <f aca="false">IF(INDEX(BookTitle,2288)="","",INDEX(BookTotal,2288)*'5. Scenarios'!$B$6/(1+ProductivityDefault*('5. Scenarios'!$B$11-1)))</f>
        <v/>
      </c>
      <c r="E2293" s="57" t="str">
        <f aca="false">IF($D2293="","",INDEX(BookRate,2288)*(1+'5. Scenarios'!$B$10)*$D2293)</f>
        <v/>
      </c>
      <c r="F2293" s="57" t="str">
        <f aca="false">IF($E2293="","",SUMIFS($E$6:$E$2405,$A$6:$A$2405,"&lt;="&amp;$A2293))</f>
        <v/>
      </c>
      <c r="G2293" s="57" t="str">
        <f aca="false">IF($E2293="","",IF($F2293&lt;=BankCostEnvelope*'5. Scenarios'!$B$7,1,0))</f>
        <v/>
      </c>
      <c r="H2293" s="57" t="str">
        <f aca="false">IF($D2293="","",INDEX(BookRate,2288)*(1+'5. Scenarios'!$B$10)*(INDEX(BookQ1,2288)*(5-MIN(4,1+'5. Scenarios'!$B$8))/4+INDEX(BookQ2,2288)*(5-MIN(4,2+'5. Scenarios'!$B$8))/4+INDEX(BookQ3,2288)*(5-MIN(4,3+'5. Scenarios'!$B$8))/4+INDEX(BookQ4,2288)*(5-MIN(4,4+'5. Scenarios'!$B$8))/4)*'5. Scenarios'!$B$6/(1+ProductivityDefault*('5. Scenarios'!$B$11-1))+INDEX(BookOneOff,2288)*$D2293)</f>
        <v/>
      </c>
      <c r="I2293" s="56" t="str">
        <f aca="false">IF(INDEX(BookTitle,2288)="","",INDEX(BookTotal,2288)*'5. Scenarios'!$C$6/(1+ProductivityDefault*('5. Scenarios'!$C$11-1)))</f>
        <v/>
      </c>
      <c r="J2293" s="57" t="str">
        <f aca="false">IF($I2293="","",INDEX(BookRate,2288)*(1+'5. Scenarios'!$C$10)*$I2293)</f>
        <v/>
      </c>
      <c r="K2293" s="57" t="str">
        <f aca="false">IF($J2293="","",SUMIFS($J$6:$J$2405,$A$6:$A$2405,"&lt;="&amp;$A2293))</f>
        <v/>
      </c>
      <c r="L2293" s="57" t="str">
        <f aca="false">IF($J2293="","",IF($K2293&lt;=BankCostEnvelope*'5. Scenarios'!$C$7,1,0))</f>
        <v/>
      </c>
      <c r="M2293" s="57" t="str">
        <f aca="false">IF($I2293="","",INDEX(BookRate,2288)*(1+'5. Scenarios'!$C$10)*(INDEX(BookQ1,2288)*(5-MIN(4,1+'5. Scenarios'!$C$8))/4+INDEX(BookQ2,2288)*(5-MIN(4,2+'5. Scenarios'!$C$8))/4+INDEX(BookQ3,2288)*(5-MIN(4,3+'5. Scenarios'!$C$8))/4+INDEX(BookQ4,2288)*(5-MIN(4,4+'5. Scenarios'!$C$8))/4)*'5. Scenarios'!$C$6/(1+ProductivityDefault*('5. Scenarios'!$C$11-1))+INDEX(BookOneOff,2288)*$I2293)</f>
        <v/>
      </c>
      <c r="N2293" s="56" t="str">
        <f aca="false">IF(INDEX(BookTitle,2288)="","",INDEX(BookTotal,2288)*'5. Scenarios'!$D$6/(1+ProductivityDefault*('5. Scenarios'!$D$11-1)))</f>
        <v/>
      </c>
      <c r="O2293" s="57" t="str">
        <f aca="false">IF($N2293="","",INDEX(BookRate,2288)*(1+'5. Scenarios'!$D$10)*$N2293)</f>
        <v/>
      </c>
      <c r="P2293" s="57" t="str">
        <f aca="false">IF($O2293="","",SUMIFS($O$6:$O$2405,$A$6:$A$2405,"&lt;="&amp;$A2293))</f>
        <v/>
      </c>
      <c r="Q2293" s="57" t="str">
        <f aca="false">IF($O2293="","",IF($P2293&lt;=BankCostEnvelope*'5. Scenarios'!$D$7,1,0))</f>
        <v/>
      </c>
      <c r="R2293" s="57" t="str">
        <f aca="false">IF($N2293="","",INDEX(BookRate,2288)*(1+'5. Scenarios'!$D$10)*(INDEX(BookQ1,2288)*(5-MIN(4,1+'5. Scenarios'!$D$8))/4+INDEX(BookQ2,2288)*(5-MIN(4,2+'5. Scenarios'!$D$8))/4+INDEX(BookQ3,2288)*(5-MIN(4,3+'5. Scenarios'!$D$8))/4+INDEX(BookQ4,2288)*(5-MIN(4,4+'5. Scenarios'!$D$8))/4)*'5. Scenarios'!$D$6/(1+ProductivityDefault*('5. Scenarios'!$D$11-1))+INDEX(BookOneOff,2288)*$N2293)</f>
        <v/>
      </c>
      <c r="S2293" s="56" t="str">
        <f aca="false">IF(INDEX(BookTitle,2288)="","",INDEX(BookTotal,2288)*'5. Scenarios'!$E$6/(1+ProductivityDefault*('5. Scenarios'!$E$11-1)))</f>
        <v/>
      </c>
      <c r="T2293" s="57" t="str">
        <f aca="false">IF($S2293="","",INDEX(BookRate,2288)*(1+'5. Scenarios'!$E$10)*$S2293)</f>
        <v/>
      </c>
      <c r="U2293" s="57" t="str">
        <f aca="false">IF($T2293="","",SUMIFS($T$6:$T$2405,$A$6:$A$2405,"&lt;="&amp;$A2293))</f>
        <v/>
      </c>
      <c r="V2293" s="57" t="str">
        <f aca="false">IF($T2293="","",IF($U2293&lt;=BankCostEnvelope*'5. Scenarios'!$E$7,1,0))</f>
        <v/>
      </c>
      <c r="W2293" s="57" t="str">
        <f aca="false">IF($S2293="","",INDEX(BookRate,2288)*(1+'5. Scenarios'!$E$10)*(INDEX(BookQ1,2288)*(5-MIN(4,1+'5. Scenarios'!$E$8))/4+INDEX(BookQ2,2288)*(5-MIN(4,2+'5. Scenarios'!$E$8))/4+INDEX(BookQ3,2288)*(5-MIN(4,3+'5. Scenarios'!$E$8))/4+INDEX(BookQ4,2288)*(5-MIN(4,4+'5. Scenarios'!$E$8))/4)*'5. Scenarios'!$E$6/(1+ProductivityDefault*('5. Scenarios'!$E$11-1))+INDEX(BookOneOff,2288)*$S2293)</f>
        <v/>
      </c>
    </row>
    <row r="2294" customFormat="false" ht="15" hidden="false" customHeight="false" outlineLevel="0" collapsed="false">
      <c r="A2294" s="0" t="str">
        <f aca="false">IF(INDEX(BookTitle,2289)="","",INDEX(BookKey,2289))</f>
        <v/>
      </c>
      <c r="B2294" s="0" t="str">
        <f aca="false">IF(INDEX(BookTitle,2289)="","",INDEX(BookGroup,2289))</f>
        <v/>
      </c>
      <c r="C2294" s="0" t="str">
        <f aca="false">IF(INDEX(BookTitle,2289)="","",INDEX(BookCategory,2289))</f>
        <v/>
      </c>
      <c r="D2294" s="56" t="str">
        <f aca="false">IF(INDEX(BookTitle,2289)="","",INDEX(BookTotal,2289)*'5. Scenarios'!$B$6/(1+ProductivityDefault*('5. Scenarios'!$B$11-1)))</f>
        <v/>
      </c>
      <c r="E2294" s="57" t="str">
        <f aca="false">IF($D2294="","",INDEX(BookRate,2289)*(1+'5. Scenarios'!$B$10)*$D2294)</f>
        <v/>
      </c>
      <c r="F2294" s="57" t="str">
        <f aca="false">IF($E2294="","",SUMIFS($E$6:$E$2405,$A$6:$A$2405,"&lt;="&amp;$A2294))</f>
        <v/>
      </c>
      <c r="G2294" s="57" t="str">
        <f aca="false">IF($E2294="","",IF($F2294&lt;=BankCostEnvelope*'5. Scenarios'!$B$7,1,0))</f>
        <v/>
      </c>
      <c r="H2294" s="57" t="str">
        <f aca="false">IF($D2294="","",INDEX(BookRate,2289)*(1+'5. Scenarios'!$B$10)*(INDEX(BookQ1,2289)*(5-MIN(4,1+'5. Scenarios'!$B$8))/4+INDEX(BookQ2,2289)*(5-MIN(4,2+'5. Scenarios'!$B$8))/4+INDEX(BookQ3,2289)*(5-MIN(4,3+'5. Scenarios'!$B$8))/4+INDEX(BookQ4,2289)*(5-MIN(4,4+'5. Scenarios'!$B$8))/4)*'5. Scenarios'!$B$6/(1+ProductivityDefault*('5. Scenarios'!$B$11-1))+INDEX(BookOneOff,2289)*$D2294)</f>
        <v/>
      </c>
      <c r="I2294" s="56" t="str">
        <f aca="false">IF(INDEX(BookTitle,2289)="","",INDEX(BookTotal,2289)*'5. Scenarios'!$C$6/(1+ProductivityDefault*('5. Scenarios'!$C$11-1)))</f>
        <v/>
      </c>
      <c r="J2294" s="57" t="str">
        <f aca="false">IF($I2294="","",INDEX(BookRate,2289)*(1+'5. Scenarios'!$C$10)*$I2294)</f>
        <v/>
      </c>
      <c r="K2294" s="57" t="str">
        <f aca="false">IF($J2294="","",SUMIFS($J$6:$J$2405,$A$6:$A$2405,"&lt;="&amp;$A2294))</f>
        <v/>
      </c>
      <c r="L2294" s="57" t="str">
        <f aca="false">IF($J2294="","",IF($K2294&lt;=BankCostEnvelope*'5. Scenarios'!$C$7,1,0))</f>
        <v/>
      </c>
      <c r="M2294" s="57" t="str">
        <f aca="false">IF($I2294="","",INDEX(BookRate,2289)*(1+'5. Scenarios'!$C$10)*(INDEX(BookQ1,2289)*(5-MIN(4,1+'5. Scenarios'!$C$8))/4+INDEX(BookQ2,2289)*(5-MIN(4,2+'5. Scenarios'!$C$8))/4+INDEX(BookQ3,2289)*(5-MIN(4,3+'5. Scenarios'!$C$8))/4+INDEX(BookQ4,2289)*(5-MIN(4,4+'5. Scenarios'!$C$8))/4)*'5. Scenarios'!$C$6/(1+ProductivityDefault*('5. Scenarios'!$C$11-1))+INDEX(BookOneOff,2289)*$I2294)</f>
        <v/>
      </c>
      <c r="N2294" s="56" t="str">
        <f aca="false">IF(INDEX(BookTitle,2289)="","",INDEX(BookTotal,2289)*'5. Scenarios'!$D$6/(1+ProductivityDefault*('5. Scenarios'!$D$11-1)))</f>
        <v/>
      </c>
      <c r="O2294" s="57" t="str">
        <f aca="false">IF($N2294="","",INDEX(BookRate,2289)*(1+'5. Scenarios'!$D$10)*$N2294)</f>
        <v/>
      </c>
      <c r="P2294" s="57" t="str">
        <f aca="false">IF($O2294="","",SUMIFS($O$6:$O$2405,$A$6:$A$2405,"&lt;="&amp;$A2294))</f>
        <v/>
      </c>
      <c r="Q2294" s="57" t="str">
        <f aca="false">IF($O2294="","",IF($P2294&lt;=BankCostEnvelope*'5. Scenarios'!$D$7,1,0))</f>
        <v/>
      </c>
      <c r="R2294" s="57" t="str">
        <f aca="false">IF($N2294="","",INDEX(BookRate,2289)*(1+'5. Scenarios'!$D$10)*(INDEX(BookQ1,2289)*(5-MIN(4,1+'5. Scenarios'!$D$8))/4+INDEX(BookQ2,2289)*(5-MIN(4,2+'5. Scenarios'!$D$8))/4+INDEX(BookQ3,2289)*(5-MIN(4,3+'5. Scenarios'!$D$8))/4+INDEX(BookQ4,2289)*(5-MIN(4,4+'5. Scenarios'!$D$8))/4)*'5. Scenarios'!$D$6/(1+ProductivityDefault*('5. Scenarios'!$D$11-1))+INDEX(BookOneOff,2289)*$N2294)</f>
        <v/>
      </c>
      <c r="S2294" s="56" t="str">
        <f aca="false">IF(INDEX(BookTitle,2289)="","",INDEX(BookTotal,2289)*'5. Scenarios'!$E$6/(1+ProductivityDefault*('5. Scenarios'!$E$11-1)))</f>
        <v/>
      </c>
      <c r="T2294" s="57" t="str">
        <f aca="false">IF($S2294="","",INDEX(BookRate,2289)*(1+'5. Scenarios'!$E$10)*$S2294)</f>
        <v/>
      </c>
      <c r="U2294" s="57" t="str">
        <f aca="false">IF($T2294="","",SUMIFS($T$6:$T$2405,$A$6:$A$2405,"&lt;="&amp;$A2294))</f>
        <v/>
      </c>
      <c r="V2294" s="57" t="str">
        <f aca="false">IF($T2294="","",IF($U2294&lt;=BankCostEnvelope*'5. Scenarios'!$E$7,1,0))</f>
        <v/>
      </c>
      <c r="W2294" s="57" t="str">
        <f aca="false">IF($S2294="","",INDEX(BookRate,2289)*(1+'5. Scenarios'!$E$10)*(INDEX(BookQ1,2289)*(5-MIN(4,1+'5. Scenarios'!$E$8))/4+INDEX(BookQ2,2289)*(5-MIN(4,2+'5. Scenarios'!$E$8))/4+INDEX(BookQ3,2289)*(5-MIN(4,3+'5. Scenarios'!$E$8))/4+INDEX(BookQ4,2289)*(5-MIN(4,4+'5. Scenarios'!$E$8))/4)*'5. Scenarios'!$E$6/(1+ProductivityDefault*('5. Scenarios'!$E$11-1))+INDEX(BookOneOff,2289)*$S2294)</f>
        <v/>
      </c>
    </row>
    <row r="2295" customFormat="false" ht="15" hidden="false" customHeight="false" outlineLevel="0" collapsed="false">
      <c r="A2295" s="0" t="str">
        <f aca="false">IF(INDEX(BookTitle,2290)="","",INDEX(BookKey,2290))</f>
        <v/>
      </c>
      <c r="B2295" s="0" t="str">
        <f aca="false">IF(INDEX(BookTitle,2290)="","",INDEX(BookGroup,2290))</f>
        <v/>
      </c>
      <c r="C2295" s="0" t="str">
        <f aca="false">IF(INDEX(BookTitle,2290)="","",INDEX(BookCategory,2290))</f>
        <v/>
      </c>
      <c r="D2295" s="56" t="str">
        <f aca="false">IF(INDEX(BookTitle,2290)="","",INDEX(BookTotal,2290)*'5. Scenarios'!$B$6/(1+ProductivityDefault*('5. Scenarios'!$B$11-1)))</f>
        <v/>
      </c>
      <c r="E2295" s="57" t="str">
        <f aca="false">IF($D2295="","",INDEX(BookRate,2290)*(1+'5. Scenarios'!$B$10)*$D2295)</f>
        <v/>
      </c>
      <c r="F2295" s="57" t="str">
        <f aca="false">IF($E2295="","",SUMIFS($E$6:$E$2405,$A$6:$A$2405,"&lt;="&amp;$A2295))</f>
        <v/>
      </c>
      <c r="G2295" s="57" t="str">
        <f aca="false">IF($E2295="","",IF($F2295&lt;=BankCostEnvelope*'5. Scenarios'!$B$7,1,0))</f>
        <v/>
      </c>
      <c r="H2295" s="57" t="str">
        <f aca="false">IF($D2295="","",INDEX(BookRate,2290)*(1+'5. Scenarios'!$B$10)*(INDEX(BookQ1,2290)*(5-MIN(4,1+'5. Scenarios'!$B$8))/4+INDEX(BookQ2,2290)*(5-MIN(4,2+'5. Scenarios'!$B$8))/4+INDEX(BookQ3,2290)*(5-MIN(4,3+'5. Scenarios'!$B$8))/4+INDEX(BookQ4,2290)*(5-MIN(4,4+'5. Scenarios'!$B$8))/4)*'5. Scenarios'!$B$6/(1+ProductivityDefault*('5. Scenarios'!$B$11-1))+INDEX(BookOneOff,2290)*$D2295)</f>
        <v/>
      </c>
      <c r="I2295" s="56" t="str">
        <f aca="false">IF(INDEX(BookTitle,2290)="","",INDEX(BookTotal,2290)*'5. Scenarios'!$C$6/(1+ProductivityDefault*('5. Scenarios'!$C$11-1)))</f>
        <v/>
      </c>
      <c r="J2295" s="57" t="str">
        <f aca="false">IF($I2295="","",INDEX(BookRate,2290)*(1+'5. Scenarios'!$C$10)*$I2295)</f>
        <v/>
      </c>
      <c r="K2295" s="57" t="str">
        <f aca="false">IF($J2295="","",SUMIFS($J$6:$J$2405,$A$6:$A$2405,"&lt;="&amp;$A2295))</f>
        <v/>
      </c>
      <c r="L2295" s="57" t="str">
        <f aca="false">IF($J2295="","",IF($K2295&lt;=BankCostEnvelope*'5. Scenarios'!$C$7,1,0))</f>
        <v/>
      </c>
      <c r="M2295" s="57" t="str">
        <f aca="false">IF($I2295="","",INDEX(BookRate,2290)*(1+'5. Scenarios'!$C$10)*(INDEX(BookQ1,2290)*(5-MIN(4,1+'5. Scenarios'!$C$8))/4+INDEX(BookQ2,2290)*(5-MIN(4,2+'5. Scenarios'!$C$8))/4+INDEX(BookQ3,2290)*(5-MIN(4,3+'5. Scenarios'!$C$8))/4+INDEX(BookQ4,2290)*(5-MIN(4,4+'5. Scenarios'!$C$8))/4)*'5. Scenarios'!$C$6/(1+ProductivityDefault*('5. Scenarios'!$C$11-1))+INDEX(BookOneOff,2290)*$I2295)</f>
        <v/>
      </c>
      <c r="N2295" s="56" t="str">
        <f aca="false">IF(INDEX(BookTitle,2290)="","",INDEX(BookTotal,2290)*'5. Scenarios'!$D$6/(1+ProductivityDefault*('5. Scenarios'!$D$11-1)))</f>
        <v/>
      </c>
      <c r="O2295" s="57" t="str">
        <f aca="false">IF($N2295="","",INDEX(BookRate,2290)*(1+'5. Scenarios'!$D$10)*$N2295)</f>
        <v/>
      </c>
      <c r="P2295" s="57" t="str">
        <f aca="false">IF($O2295="","",SUMIFS($O$6:$O$2405,$A$6:$A$2405,"&lt;="&amp;$A2295))</f>
        <v/>
      </c>
      <c r="Q2295" s="57" t="str">
        <f aca="false">IF($O2295="","",IF($P2295&lt;=BankCostEnvelope*'5. Scenarios'!$D$7,1,0))</f>
        <v/>
      </c>
      <c r="R2295" s="57" t="str">
        <f aca="false">IF($N2295="","",INDEX(BookRate,2290)*(1+'5. Scenarios'!$D$10)*(INDEX(BookQ1,2290)*(5-MIN(4,1+'5. Scenarios'!$D$8))/4+INDEX(BookQ2,2290)*(5-MIN(4,2+'5. Scenarios'!$D$8))/4+INDEX(BookQ3,2290)*(5-MIN(4,3+'5. Scenarios'!$D$8))/4+INDEX(BookQ4,2290)*(5-MIN(4,4+'5. Scenarios'!$D$8))/4)*'5. Scenarios'!$D$6/(1+ProductivityDefault*('5. Scenarios'!$D$11-1))+INDEX(BookOneOff,2290)*$N2295)</f>
        <v/>
      </c>
      <c r="S2295" s="56" t="str">
        <f aca="false">IF(INDEX(BookTitle,2290)="","",INDEX(BookTotal,2290)*'5. Scenarios'!$E$6/(1+ProductivityDefault*('5. Scenarios'!$E$11-1)))</f>
        <v/>
      </c>
      <c r="T2295" s="57" t="str">
        <f aca="false">IF($S2295="","",INDEX(BookRate,2290)*(1+'5. Scenarios'!$E$10)*$S2295)</f>
        <v/>
      </c>
      <c r="U2295" s="57" t="str">
        <f aca="false">IF($T2295="","",SUMIFS($T$6:$T$2405,$A$6:$A$2405,"&lt;="&amp;$A2295))</f>
        <v/>
      </c>
      <c r="V2295" s="57" t="str">
        <f aca="false">IF($T2295="","",IF($U2295&lt;=BankCostEnvelope*'5. Scenarios'!$E$7,1,0))</f>
        <v/>
      </c>
      <c r="W2295" s="57" t="str">
        <f aca="false">IF($S2295="","",INDEX(BookRate,2290)*(1+'5. Scenarios'!$E$10)*(INDEX(BookQ1,2290)*(5-MIN(4,1+'5. Scenarios'!$E$8))/4+INDEX(BookQ2,2290)*(5-MIN(4,2+'5. Scenarios'!$E$8))/4+INDEX(BookQ3,2290)*(5-MIN(4,3+'5. Scenarios'!$E$8))/4+INDEX(BookQ4,2290)*(5-MIN(4,4+'5. Scenarios'!$E$8))/4)*'5. Scenarios'!$E$6/(1+ProductivityDefault*('5. Scenarios'!$E$11-1))+INDEX(BookOneOff,2290)*$S2295)</f>
        <v/>
      </c>
    </row>
    <row r="2296" customFormat="false" ht="15" hidden="false" customHeight="false" outlineLevel="0" collapsed="false">
      <c r="A2296" s="0" t="str">
        <f aca="false">IF(INDEX(BookTitle,2291)="","",INDEX(BookKey,2291))</f>
        <v/>
      </c>
      <c r="B2296" s="0" t="str">
        <f aca="false">IF(INDEX(BookTitle,2291)="","",INDEX(BookGroup,2291))</f>
        <v/>
      </c>
      <c r="C2296" s="0" t="str">
        <f aca="false">IF(INDEX(BookTitle,2291)="","",INDEX(BookCategory,2291))</f>
        <v/>
      </c>
      <c r="D2296" s="56" t="str">
        <f aca="false">IF(INDEX(BookTitle,2291)="","",INDEX(BookTotal,2291)*'5. Scenarios'!$B$6/(1+ProductivityDefault*('5. Scenarios'!$B$11-1)))</f>
        <v/>
      </c>
      <c r="E2296" s="57" t="str">
        <f aca="false">IF($D2296="","",INDEX(BookRate,2291)*(1+'5. Scenarios'!$B$10)*$D2296)</f>
        <v/>
      </c>
      <c r="F2296" s="57" t="str">
        <f aca="false">IF($E2296="","",SUMIFS($E$6:$E$2405,$A$6:$A$2405,"&lt;="&amp;$A2296))</f>
        <v/>
      </c>
      <c r="G2296" s="57" t="str">
        <f aca="false">IF($E2296="","",IF($F2296&lt;=BankCostEnvelope*'5. Scenarios'!$B$7,1,0))</f>
        <v/>
      </c>
      <c r="H2296" s="57" t="str">
        <f aca="false">IF($D2296="","",INDEX(BookRate,2291)*(1+'5. Scenarios'!$B$10)*(INDEX(BookQ1,2291)*(5-MIN(4,1+'5. Scenarios'!$B$8))/4+INDEX(BookQ2,2291)*(5-MIN(4,2+'5. Scenarios'!$B$8))/4+INDEX(BookQ3,2291)*(5-MIN(4,3+'5. Scenarios'!$B$8))/4+INDEX(BookQ4,2291)*(5-MIN(4,4+'5. Scenarios'!$B$8))/4)*'5. Scenarios'!$B$6/(1+ProductivityDefault*('5. Scenarios'!$B$11-1))+INDEX(BookOneOff,2291)*$D2296)</f>
        <v/>
      </c>
      <c r="I2296" s="56" t="str">
        <f aca="false">IF(INDEX(BookTitle,2291)="","",INDEX(BookTotal,2291)*'5. Scenarios'!$C$6/(1+ProductivityDefault*('5. Scenarios'!$C$11-1)))</f>
        <v/>
      </c>
      <c r="J2296" s="57" t="str">
        <f aca="false">IF($I2296="","",INDEX(BookRate,2291)*(1+'5. Scenarios'!$C$10)*$I2296)</f>
        <v/>
      </c>
      <c r="K2296" s="57" t="str">
        <f aca="false">IF($J2296="","",SUMIFS($J$6:$J$2405,$A$6:$A$2405,"&lt;="&amp;$A2296))</f>
        <v/>
      </c>
      <c r="L2296" s="57" t="str">
        <f aca="false">IF($J2296="","",IF($K2296&lt;=BankCostEnvelope*'5. Scenarios'!$C$7,1,0))</f>
        <v/>
      </c>
      <c r="M2296" s="57" t="str">
        <f aca="false">IF($I2296="","",INDEX(BookRate,2291)*(1+'5. Scenarios'!$C$10)*(INDEX(BookQ1,2291)*(5-MIN(4,1+'5. Scenarios'!$C$8))/4+INDEX(BookQ2,2291)*(5-MIN(4,2+'5. Scenarios'!$C$8))/4+INDEX(BookQ3,2291)*(5-MIN(4,3+'5. Scenarios'!$C$8))/4+INDEX(BookQ4,2291)*(5-MIN(4,4+'5. Scenarios'!$C$8))/4)*'5. Scenarios'!$C$6/(1+ProductivityDefault*('5. Scenarios'!$C$11-1))+INDEX(BookOneOff,2291)*$I2296)</f>
        <v/>
      </c>
      <c r="N2296" s="56" t="str">
        <f aca="false">IF(INDEX(BookTitle,2291)="","",INDEX(BookTotal,2291)*'5. Scenarios'!$D$6/(1+ProductivityDefault*('5. Scenarios'!$D$11-1)))</f>
        <v/>
      </c>
      <c r="O2296" s="57" t="str">
        <f aca="false">IF($N2296="","",INDEX(BookRate,2291)*(1+'5. Scenarios'!$D$10)*$N2296)</f>
        <v/>
      </c>
      <c r="P2296" s="57" t="str">
        <f aca="false">IF($O2296="","",SUMIFS($O$6:$O$2405,$A$6:$A$2405,"&lt;="&amp;$A2296))</f>
        <v/>
      </c>
      <c r="Q2296" s="57" t="str">
        <f aca="false">IF($O2296="","",IF($P2296&lt;=BankCostEnvelope*'5. Scenarios'!$D$7,1,0))</f>
        <v/>
      </c>
      <c r="R2296" s="57" t="str">
        <f aca="false">IF($N2296="","",INDEX(BookRate,2291)*(1+'5. Scenarios'!$D$10)*(INDEX(BookQ1,2291)*(5-MIN(4,1+'5. Scenarios'!$D$8))/4+INDEX(BookQ2,2291)*(5-MIN(4,2+'5. Scenarios'!$D$8))/4+INDEX(BookQ3,2291)*(5-MIN(4,3+'5. Scenarios'!$D$8))/4+INDEX(BookQ4,2291)*(5-MIN(4,4+'5. Scenarios'!$D$8))/4)*'5. Scenarios'!$D$6/(1+ProductivityDefault*('5. Scenarios'!$D$11-1))+INDEX(BookOneOff,2291)*$N2296)</f>
        <v/>
      </c>
      <c r="S2296" s="56" t="str">
        <f aca="false">IF(INDEX(BookTitle,2291)="","",INDEX(BookTotal,2291)*'5. Scenarios'!$E$6/(1+ProductivityDefault*('5. Scenarios'!$E$11-1)))</f>
        <v/>
      </c>
      <c r="T2296" s="57" t="str">
        <f aca="false">IF($S2296="","",INDEX(BookRate,2291)*(1+'5. Scenarios'!$E$10)*$S2296)</f>
        <v/>
      </c>
      <c r="U2296" s="57" t="str">
        <f aca="false">IF($T2296="","",SUMIFS($T$6:$T$2405,$A$6:$A$2405,"&lt;="&amp;$A2296))</f>
        <v/>
      </c>
      <c r="V2296" s="57" t="str">
        <f aca="false">IF($T2296="","",IF($U2296&lt;=BankCostEnvelope*'5. Scenarios'!$E$7,1,0))</f>
        <v/>
      </c>
      <c r="W2296" s="57" t="str">
        <f aca="false">IF($S2296="","",INDEX(BookRate,2291)*(1+'5. Scenarios'!$E$10)*(INDEX(BookQ1,2291)*(5-MIN(4,1+'5. Scenarios'!$E$8))/4+INDEX(BookQ2,2291)*(5-MIN(4,2+'5. Scenarios'!$E$8))/4+INDEX(BookQ3,2291)*(5-MIN(4,3+'5. Scenarios'!$E$8))/4+INDEX(BookQ4,2291)*(5-MIN(4,4+'5. Scenarios'!$E$8))/4)*'5. Scenarios'!$E$6/(1+ProductivityDefault*('5. Scenarios'!$E$11-1))+INDEX(BookOneOff,2291)*$S2296)</f>
        <v/>
      </c>
    </row>
    <row r="2297" customFormat="false" ht="15" hidden="false" customHeight="false" outlineLevel="0" collapsed="false">
      <c r="A2297" s="0" t="str">
        <f aca="false">IF(INDEX(BookTitle,2292)="","",INDEX(BookKey,2292))</f>
        <v/>
      </c>
      <c r="B2297" s="0" t="str">
        <f aca="false">IF(INDEX(BookTitle,2292)="","",INDEX(BookGroup,2292))</f>
        <v/>
      </c>
      <c r="C2297" s="0" t="str">
        <f aca="false">IF(INDEX(BookTitle,2292)="","",INDEX(BookCategory,2292))</f>
        <v/>
      </c>
      <c r="D2297" s="56" t="str">
        <f aca="false">IF(INDEX(BookTitle,2292)="","",INDEX(BookTotal,2292)*'5. Scenarios'!$B$6/(1+ProductivityDefault*('5. Scenarios'!$B$11-1)))</f>
        <v/>
      </c>
      <c r="E2297" s="57" t="str">
        <f aca="false">IF($D2297="","",INDEX(BookRate,2292)*(1+'5. Scenarios'!$B$10)*$D2297)</f>
        <v/>
      </c>
      <c r="F2297" s="57" t="str">
        <f aca="false">IF($E2297="","",SUMIFS($E$6:$E$2405,$A$6:$A$2405,"&lt;="&amp;$A2297))</f>
        <v/>
      </c>
      <c r="G2297" s="57" t="str">
        <f aca="false">IF($E2297="","",IF($F2297&lt;=BankCostEnvelope*'5. Scenarios'!$B$7,1,0))</f>
        <v/>
      </c>
      <c r="H2297" s="57" t="str">
        <f aca="false">IF($D2297="","",INDEX(BookRate,2292)*(1+'5. Scenarios'!$B$10)*(INDEX(BookQ1,2292)*(5-MIN(4,1+'5. Scenarios'!$B$8))/4+INDEX(BookQ2,2292)*(5-MIN(4,2+'5. Scenarios'!$B$8))/4+INDEX(BookQ3,2292)*(5-MIN(4,3+'5. Scenarios'!$B$8))/4+INDEX(BookQ4,2292)*(5-MIN(4,4+'5. Scenarios'!$B$8))/4)*'5. Scenarios'!$B$6/(1+ProductivityDefault*('5. Scenarios'!$B$11-1))+INDEX(BookOneOff,2292)*$D2297)</f>
        <v/>
      </c>
      <c r="I2297" s="56" t="str">
        <f aca="false">IF(INDEX(BookTitle,2292)="","",INDEX(BookTotal,2292)*'5. Scenarios'!$C$6/(1+ProductivityDefault*('5. Scenarios'!$C$11-1)))</f>
        <v/>
      </c>
      <c r="J2297" s="57" t="str">
        <f aca="false">IF($I2297="","",INDEX(BookRate,2292)*(1+'5. Scenarios'!$C$10)*$I2297)</f>
        <v/>
      </c>
      <c r="K2297" s="57" t="str">
        <f aca="false">IF($J2297="","",SUMIFS($J$6:$J$2405,$A$6:$A$2405,"&lt;="&amp;$A2297))</f>
        <v/>
      </c>
      <c r="L2297" s="57" t="str">
        <f aca="false">IF($J2297="","",IF($K2297&lt;=BankCostEnvelope*'5. Scenarios'!$C$7,1,0))</f>
        <v/>
      </c>
      <c r="M2297" s="57" t="str">
        <f aca="false">IF($I2297="","",INDEX(BookRate,2292)*(1+'5. Scenarios'!$C$10)*(INDEX(BookQ1,2292)*(5-MIN(4,1+'5. Scenarios'!$C$8))/4+INDEX(BookQ2,2292)*(5-MIN(4,2+'5. Scenarios'!$C$8))/4+INDEX(BookQ3,2292)*(5-MIN(4,3+'5. Scenarios'!$C$8))/4+INDEX(BookQ4,2292)*(5-MIN(4,4+'5. Scenarios'!$C$8))/4)*'5. Scenarios'!$C$6/(1+ProductivityDefault*('5. Scenarios'!$C$11-1))+INDEX(BookOneOff,2292)*$I2297)</f>
        <v/>
      </c>
      <c r="N2297" s="56" t="str">
        <f aca="false">IF(INDEX(BookTitle,2292)="","",INDEX(BookTotal,2292)*'5. Scenarios'!$D$6/(1+ProductivityDefault*('5. Scenarios'!$D$11-1)))</f>
        <v/>
      </c>
      <c r="O2297" s="57" t="str">
        <f aca="false">IF($N2297="","",INDEX(BookRate,2292)*(1+'5. Scenarios'!$D$10)*$N2297)</f>
        <v/>
      </c>
      <c r="P2297" s="57" t="str">
        <f aca="false">IF($O2297="","",SUMIFS($O$6:$O$2405,$A$6:$A$2405,"&lt;="&amp;$A2297))</f>
        <v/>
      </c>
      <c r="Q2297" s="57" t="str">
        <f aca="false">IF($O2297="","",IF($P2297&lt;=BankCostEnvelope*'5. Scenarios'!$D$7,1,0))</f>
        <v/>
      </c>
      <c r="R2297" s="57" t="str">
        <f aca="false">IF($N2297="","",INDEX(BookRate,2292)*(1+'5. Scenarios'!$D$10)*(INDEX(BookQ1,2292)*(5-MIN(4,1+'5. Scenarios'!$D$8))/4+INDEX(BookQ2,2292)*(5-MIN(4,2+'5. Scenarios'!$D$8))/4+INDEX(BookQ3,2292)*(5-MIN(4,3+'5. Scenarios'!$D$8))/4+INDEX(BookQ4,2292)*(5-MIN(4,4+'5. Scenarios'!$D$8))/4)*'5. Scenarios'!$D$6/(1+ProductivityDefault*('5. Scenarios'!$D$11-1))+INDEX(BookOneOff,2292)*$N2297)</f>
        <v/>
      </c>
      <c r="S2297" s="56" t="str">
        <f aca="false">IF(INDEX(BookTitle,2292)="","",INDEX(BookTotal,2292)*'5. Scenarios'!$E$6/(1+ProductivityDefault*('5. Scenarios'!$E$11-1)))</f>
        <v/>
      </c>
      <c r="T2297" s="57" t="str">
        <f aca="false">IF($S2297="","",INDEX(BookRate,2292)*(1+'5. Scenarios'!$E$10)*$S2297)</f>
        <v/>
      </c>
      <c r="U2297" s="57" t="str">
        <f aca="false">IF($T2297="","",SUMIFS($T$6:$T$2405,$A$6:$A$2405,"&lt;="&amp;$A2297))</f>
        <v/>
      </c>
      <c r="V2297" s="57" t="str">
        <f aca="false">IF($T2297="","",IF($U2297&lt;=BankCostEnvelope*'5. Scenarios'!$E$7,1,0))</f>
        <v/>
      </c>
      <c r="W2297" s="57" t="str">
        <f aca="false">IF($S2297="","",INDEX(BookRate,2292)*(1+'5. Scenarios'!$E$10)*(INDEX(BookQ1,2292)*(5-MIN(4,1+'5. Scenarios'!$E$8))/4+INDEX(BookQ2,2292)*(5-MIN(4,2+'5. Scenarios'!$E$8))/4+INDEX(BookQ3,2292)*(5-MIN(4,3+'5. Scenarios'!$E$8))/4+INDEX(BookQ4,2292)*(5-MIN(4,4+'5. Scenarios'!$E$8))/4)*'5. Scenarios'!$E$6/(1+ProductivityDefault*('5. Scenarios'!$E$11-1))+INDEX(BookOneOff,2292)*$S2297)</f>
        <v/>
      </c>
    </row>
    <row r="2298" customFormat="false" ht="15" hidden="false" customHeight="false" outlineLevel="0" collapsed="false">
      <c r="A2298" s="0" t="str">
        <f aca="false">IF(INDEX(BookTitle,2293)="","",INDEX(BookKey,2293))</f>
        <v/>
      </c>
      <c r="B2298" s="0" t="str">
        <f aca="false">IF(INDEX(BookTitle,2293)="","",INDEX(BookGroup,2293))</f>
        <v/>
      </c>
      <c r="C2298" s="0" t="str">
        <f aca="false">IF(INDEX(BookTitle,2293)="","",INDEX(BookCategory,2293))</f>
        <v/>
      </c>
      <c r="D2298" s="56" t="str">
        <f aca="false">IF(INDEX(BookTitle,2293)="","",INDEX(BookTotal,2293)*'5. Scenarios'!$B$6/(1+ProductivityDefault*('5. Scenarios'!$B$11-1)))</f>
        <v/>
      </c>
      <c r="E2298" s="57" t="str">
        <f aca="false">IF($D2298="","",INDEX(BookRate,2293)*(1+'5. Scenarios'!$B$10)*$D2298)</f>
        <v/>
      </c>
      <c r="F2298" s="57" t="str">
        <f aca="false">IF($E2298="","",SUMIFS($E$6:$E$2405,$A$6:$A$2405,"&lt;="&amp;$A2298))</f>
        <v/>
      </c>
      <c r="G2298" s="57" t="str">
        <f aca="false">IF($E2298="","",IF($F2298&lt;=BankCostEnvelope*'5. Scenarios'!$B$7,1,0))</f>
        <v/>
      </c>
      <c r="H2298" s="57" t="str">
        <f aca="false">IF($D2298="","",INDEX(BookRate,2293)*(1+'5. Scenarios'!$B$10)*(INDEX(BookQ1,2293)*(5-MIN(4,1+'5. Scenarios'!$B$8))/4+INDEX(BookQ2,2293)*(5-MIN(4,2+'5. Scenarios'!$B$8))/4+INDEX(BookQ3,2293)*(5-MIN(4,3+'5. Scenarios'!$B$8))/4+INDEX(BookQ4,2293)*(5-MIN(4,4+'5. Scenarios'!$B$8))/4)*'5. Scenarios'!$B$6/(1+ProductivityDefault*('5. Scenarios'!$B$11-1))+INDEX(BookOneOff,2293)*$D2298)</f>
        <v/>
      </c>
      <c r="I2298" s="56" t="str">
        <f aca="false">IF(INDEX(BookTitle,2293)="","",INDEX(BookTotal,2293)*'5. Scenarios'!$C$6/(1+ProductivityDefault*('5. Scenarios'!$C$11-1)))</f>
        <v/>
      </c>
      <c r="J2298" s="57" t="str">
        <f aca="false">IF($I2298="","",INDEX(BookRate,2293)*(1+'5. Scenarios'!$C$10)*$I2298)</f>
        <v/>
      </c>
      <c r="K2298" s="57" t="str">
        <f aca="false">IF($J2298="","",SUMIFS($J$6:$J$2405,$A$6:$A$2405,"&lt;="&amp;$A2298))</f>
        <v/>
      </c>
      <c r="L2298" s="57" t="str">
        <f aca="false">IF($J2298="","",IF($K2298&lt;=BankCostEnvelope*'5. Scenarios'!$C$7,1,0))</f>
        <v/>
      </c>
      <c r="M2298" s="57" t="str">
        <f aca="false">IF($I2298="","",INDEX(BookRate,2293)*(1+'5. Scenarios'!$C$10)*(INDEX(BookQ1,2293)*(5-MIN(4,1+'5. Scenarios'!$C$8))/4+INDEX(BookQ2,2293)*(5-MIN(4,2+'5. Scenarios'!$C$8))/4+INDEX(BookQ3,2293)*(5-MIN(4,3+'5. Scenarios'!$C$8))/4+INDEX(BookQ4,2293)*(5-MIN(4,4+'5. Scenarios'!$C$8))/4)*'5. Scenarios'!$C$6/(1+ProductivityDefault*('5. Scenarios'!$C$11-1))+INDEX(BookOneOff,2293)*$I2298)</f>
        <v/>
      </c>
      <c r="N2298" s="56" t="str">
        <f aca="false">IF(INDEX(BookTitle,2293)="","",INDEX(BookTotal,2293)*'5. Scenarios'!$D$6/(1+ProductivityDefault*('5. Scenarios'!$D$11-1)))</f>
        <v/>
      </c>
      <c r="O2298" s="57" t="str">
        <f aca="false">IF($N2298="","",INDEX(BookRate,2293)*(1+'5. Scenarios'!$D$10)*$N2298)</f>
        <v/>
      </c>
      <c r="P2298" s="57" t="str">
        <f aca="false">IF($O2298="","",SUMIFS($O$6:$O$2405,$A$6:$A$2405,"&lt;="&amp;$A2298))</f>
        <v/>
      </c>
      <c r="Q2298" s="57" t="str">
        <f aca="false">IF($O2298="","",IF($P2298&lt;=BankCostEnvelope*'5. Scenarios'!$D$7,1,0))</f>
        <v/>
      </c>
      <c r="R2298" s="57" t="str">
        <f aca="false">IF($N2298="","",INDEX(BookRate,2293)*(1+'5. Scenarios'!$D$10)*(INDEX(BookQ1,2293)*(5-MIN(4,1+'5. Scenarios'!$D$8))/4+INDEX(BookQ2,2293)*(5-MIN(4,2+'5. Scenarios'!$D$8))/4+INDEX(BookQ3,2293)*(5-MIN(4,3+'5. Scenarios'!$D$8))/4+INDEX(BookQ4,2293)*(5-MIN(4,4+'5. Scenarios'!$D$8))/4)*'5. Scenarios'!$D$6/(1+ProductivityDefault*('5. Scenarios'!$D$11-1))+INDEX(BookOneOff,2293)*$N2298)</f>
        <v/>
      </c>
      <c r="S2298" s="56" t="str">
        <f aca="false">IF(INDEX(BookTitle,2293)="","",INDEX(BookTotal,2293)*'5. Scenarios'!$E$6/(1+ProductivityDefault*('5. Scenarios'!$E$11-1)))</f>
        <v/>
      </c>
      <c r="T2298" s="57" t="str">
        <f aca="false">IF($S2298="","",INDEX(BookRate,2293)*(1+'5. Scenarios'!$E$10)*$S2298)</f>
        <v/>
      </c>
      <c r="U2298" s="57" t="str">
        <f aca="false">IF($T2298="","",SUMIFS($T$6:$T$2405,$A$6:$A$2405,"&lt;="&amp;$A2298))</f>
        <v/>
      </c>
      <c r="V2298" s="57" t="str">
        <f aca="false">IF($T2298="","",IF($U2298&lt;=BankCostEnvelope*'5. Scenarios'!$E$7,1,0))</f>
        <v/>
      </c>
      <c r="W2298" s="57" t="str">
        <f aca="false">IF($S2298="","",INDEX(BookRate,2293)*(1+'5. Scenarios'!$E$10)*(INDEX(BookQ1,2293)*(5-MIN(4,1+'5. Scenarios'!$E$8))/4+INDEX(BookQ2,2293)*(5-MIN(4,2+'5. Scenarios'!$E$8))/4+INDEX(BookQ3,2293)*(5-MIN(4,3+'5. Scenarios'!$E$8))/4+INDEX(BookQ4,2293)*(5-MIN(4,4+'5. Scenarios'!$E$8))/4)*'5. Scenarios'!$E$6/(1+ProductivityDefault*('5. Scenarios'!$E$11-1))+INDEX(BookOneOff,2293)*$S2298)</f>
        <v/>
      </c>
    </row>
    <row r="2299" customFormat="false" ht="15" hidden="false" customHeight="false" outlineLevel="0" collapsed="false">
      <c r="A2299" s="0" t="str">
        <f aca="false">IF(INDEX(BookTitle,2294)="","",INDEX(BookKey,2294))</f>
        <v/>
      </c>
      <c r="B2299" s="0" t="str">
        <f aca="false">IF(INDEX(BookTitle,2294)="","",INDEX(BookGroup,2294))</f>
        <v/>
      </c>
      <c r="C2299" s="0" t="str">
        <f aca="false">IF(INDEX(BookTitle,2294)="","",INDEX(BookCategory,2294))</f>
        <v/>
      </c>
      <c r="D2299" s="56" t="str">
        <f aca="false">IF(INDEX(BookTitle,2294)="","",INDEX(BookTotal,2294)*'5. Scenarios'!$B$6/(1+ProductivityDefault*('5. Scenarios'!$B$11-1)))</f>
        <v/>
      </c>
      <c r="E2299" s="57" t="str">
        <f aca="false">IF($D2299="","",INDEX(BookRate,2294)*(1+'5. Scenarios'!$B$10)*$D2299)</f>
        <v/>
      </c>
      <c r="F2299" s="57" t="str">
        <f aca="false">IF($E2299="","",SUMIFS($E$6:$E$2405,$A$6:$A$2405,"&lt;="&amp;$A2299))</f>
        <v/>
      </c>
      <c r="G2299" s="57" t="str">
        <f aca="false">IF($E2299="","",IF($F2299&lt;=BankCostEnvelope*'5. Scenarios'!$B$7,1,0))</f>
        <v/>
      </c>
      <c r="H2299" s="57" t="str">
        <f aca="false">IF($D2299="","",INDEX(BookRate,2294)*(1+'5. Scenarios'!$B$10)*(INDEX(BookQ1,2294)*(5-MIN(4,1+'5. Scenarios'!$B$8))/4+INDEX(BookQ2,2294)*(5-MIN(4,2+'5. Scenarios'!$B$8))/4+INDEX(BookQ3,2294)*(5-MIN(4,3+'5. Scenarios'!$B$8))/4+INDEX(BookQ4,2294)*(5-MIN(4,4+'5. Scenarios'!$B$8))/4)*'5. Scenarios'!$B$6/(1+ProductivityDefault*('5. Scenarios'!$B$11-1))+INDEX(BookOneOff,2294)*$D2299)</f>
        <v/>
      </c>
      <c r="I2299" s="56" t="str">
        <f aca="false">IF(INDEX(BookTitle,2294)="","",INDEX(BookTotal,2294)*'5. Scenarios'!$C$6/(1+ProductivityDefault*('5. Scenarios'!$C$11-1)))</f>
        <v/>
      </c>
      <c r="J2299" s="57" t="str">
        <f aca="false">IF($I2299="","",INDEX(BookRate,2294)*(1+'5. Scenarios'!$C$10)*$I2299)</f>
        <v/>
      </c>
      <c r="K2299" s="57" t="str">
        <f aca="false">IF($J2299="","",SUMIFS($J$6:$J$2405,$A$6:$A$2405,"&lt;="&amp;$A2299))</f>
        <v/>
      </c>
      <c r="L2299" s="57" t="str">
        <f aca="false">IF($J2299="","",IF($K2299&lt;=BankCostEnvelope*'5. Scenarios'!$C$7,1,0))</f>
        <v/>
      </c>
      <c r="M2299" s="57" t="str">
        <f aca="false">IF($I2299="","",INDEX(BookRate,2294)*(1+'5. Scenarios'!$C$10)*(INDEX(BookQ1,2294)*(5-MIN(4,1+'5. Scenarios'!$C$8))/4+INDEX(BookQ2,2294)*(5-MIN(4,2+'5. Scenarios'!$C$8))/4+INDEX(BookQ3,2294)*(5-MIN(4,3+'5. Scenarios'!$C$8))/4+INDEX(BookQ4,2294)*(5-MIN(4,4+'5. Scenarios'!$C$8))/4)*'5. Scenarios'!$C$6/(1+ProductivityDefault*('5. Scenarios'!$C$11-1))+INDEX(BookOneOff,2294)*$I2299)</f>
        <v/>
      </c>
      <c r="N2299" s="56" t="str">
        <f aca="false">IF(INDEX(BookTitle,2294)="","",INDEX(BookTotal,2294)*'5. Scenarios'!$D$6/(1+ProductivityDefault*('5. Scenarios'!$D$11-1)))</f>
        <v/>
      </c>
      <c r="O2299" s="57" t="str">
        <f aca="false">IF($N2299="","",INDEX(BookRate,2294)*(1+'5. Scenarios'!$D$10)*$N2299)</f>
        <v/>
      </c>
      <c r="P2299" s="57" t="str">
        <f aca="false">IF($O2299="","",SUMIFS($O$6:$O$2405,$A$6:$A$2405,"&lt;="&amp;$A2299))</f>
        <v/>
      </c>
      <c r="Q2299" s="57" t="str">
        <f aca="false">IF($O2299="","",IF($P2299&lt;=BankCostEnvelope*'5. Scenarios'!$D$7,1,0))</f>
        <v/>
      </c>
      <c r="R2299" s="57" t="str">
        <f aca="false">IF($N2299="","",INDEX(BookRate,2294)*(1+'5. Scenarios'!$D$10)*(INDEX(BookQ1,2294)*(5-MIN(4,1+'5. Scenarios'!$D$8))/4+INDEX(BookQ2,2294)*(5-MIN(4,2+'5. Scenarios'!$D$8))/4+INDEX(BookQ3,2294)*(5-MIN(4,3+'5. Scenarios'!$D$8))/4+INDEX(BookQ4,2294)*(5-MIN(4,4+'5. Scenarios'!$D$8))/4)*'5. Scenarios'!$D$6/(1+ProductivityDefault*('5. Scenarios'!$D$11-1))+INDEX(BookOneOff,2294)*$N2299)</f>
        <v/>
      </c>
      <c r="S2299" s="56" t="str">
        <f aca="false">IF(INDEX(BookTitle,2294)="","",INDEX(BookTotal,2294)*'5. Scenarios'!$E$6/(1+ProductivityDefault*('5. Scenarios'!$E$11-1)))</f>
        <v/>
      </c>
      <c r="T2299" s="57" t="str">
        <f aca="false">IF($S2299="","",INDEX(BookRate,2294)*(1+'5. Scenarios'!$E$10)*$S2299)</f>
        <v/>
      </c>
      <c r="U2299" s="57" t="str">
        <f aca="false">IF($T2299="","",SUMIFS($T$6:$T$2405,$A$6:$A$2405,"&lt;="&amp;$A2299))</f>
        <v/>
      </c>
      <c r="V2299" s="57" t="str">
        <f aca="false">IF($T2299="","",IF($U2299&lt;=BankCostEnvelope*'5. Scenarios'!$E$7,1,0))</f>
        <v/>
      </c>
      <c r="W2299" s="57" t="str">
        <f aca="false">IF($S2299="","",INDEX(BookRate,2294)*(1+'5. Scenarios'!$E$10)*(INDEX(BookQ1,2294)*(5-MIN(4,1+'5. Scenarios'!$E$8))/4+INDEX(BookQ2,2294)*(5-MIN(4,2+'5. Scenarios'!$E$8))/4+INDEX(BookQ3,2294)*(5-MIN(4,3+'5. Scenarios'!$E$8))/4+INDEX(BookQ4,2294)*(5-MIN(4,4+'5. Scenarios'!$E$8))/4)*'5. Scenarios'!$E$6/(1+ProductivityDefault*('5. Scenarios'!$E$11-1))+INDEX(BookOneOff,2294)*$S2299)</f>
        <v/>
      </c>
    </row>
    <row r="2300" customFormat="false" ht="15" hidden="false" customHeight="false" outlineLevel="0" collapsed="false">
      <c r="A2300" s="0" t="str">
        <f aca="false">IF(INDEX(BookTitle,2295)="","",INDEX(BookKey,2295))</f>
        <v/>
      </c>
      <c r="B2300" s="0" t="str">
        <f aca="false">IF(INDEX(BookTitle,2295)="","",INDEX(BookGroup,2295))</f>
        <v/>
      </c>
      <c r="C2300" s="0" t="str">
        <f aca="false">IF(INDEX(BookTitle,2295)="","",INDEX(BookCategory,2295))</f>
        <v/>
      </c>
      <c r="D2300" s="56" t="str">
        <f aca="false">IF(INDEX(BookTitle,2295)="","",INDEX(BookTotal,2295)*'5. Scenarios'!$B$6/(1+ProductivityDefault*('5. Scenarios'!$B$11-1)))</f>
        <v/>
      </c>
      <c r="E2300" s="57" t="str">
        <f aca="false">IF($D2300="","",INDEX(BookRate,2295)*(1+'5. Scenarios'!$B$10)*$D2300)</f>
        <v/>
      </c>
      <c r="F2300" s="57" t="str">
        <f aca="false">IF($E2300="","",SUMIFS($E$6:$E$2405,$A$6:$A$2405,"&lt;="&amp;$A2300))</f>
        <v/>
      </c>
      <c r="G2300" s="57" t="str">
        <f aca="false">IF($E2300="","",IF($F2300&lt;=BankCostEnvelope*'5. Scenarios'!$B$7,1,0))</f>
        <v/>
      </c>
      <c r="H2300" s="57" t="str">
        <f aca="false">IF($D2300="","",INDEX(BookRate,2295)*(1+'5. Scenarios'!$B$10)*(INDEX(BookQ1,2295)*(5-MIN(4,1+'5. Scenarios'!$B$8))/4+INDEX(BookQ2,2295)*(5-MIN(4,2+'5. Scenarios'!$B$8))/4+INDEX(BookQ3,2295)*(5-MIN(4,3+'5. Scenarios'!$B$8))/4+INDEX(BookQ4,2295)*(5-MIN(4,4+'5. Scenarios'!$B$8))/4)*'5. Scenarios'!$B$6/(1+ProductivityDefault*('5. Scenarios'!$B$11-1))+INDEX(BookOneOff,2295)*$D2300)</f>
        <v/>
      </c>
      <c r="I2300" s="56" t="str">
        <f aca="false">IF(INDEX(BookTitle,2295)="","",INDEX(BookTotal,2295)*'5. Scenarios'!$C$6/(1+ProductivityDefault*('5. Scenarios'!$C$11-1)))</f>
        <v/>
      </c>
      <c r="J2300" s="57" t="str">
        <f aca="false">IF($I2300="","",INDEX(BookRate,2295)*(1+'5. Scenarios'!$C$10)*$I2300)</f>
        <v/>
      </c>
      <c r="K2300" s="57" t="str">
        <f aca="false">IF($J2300="","",SUMIFS($J$6:$J$2405,$A$6:$A$2405,"&lt;="&amp;$A2300))</f>
        <v/>
      </c>
      <c r="L2300" s="57" t="str">
        <f aca="false">IF($J2300="","",IF($K2300&lt;=BankCostEnvelope*'5. Scenarios'!$C$7,1,0))</f>
        <v/>
      </c>
      <c r="M2300" s="57" t="str">
        <f aca="false">IF($I2300="","",INDEX(BookRate,2295)*(1+'5. Scenarios'!$C$10)*(INDEX(BookQ1,2295)*(5-MIN(4,1+'5. Scenarios'!$C$8))/4+INDEX(BookQ2,2295)*(5-MIN(4,2+'5. Scenarios'!$C$8))/4+INDEX(BookQ3,2295)*(5-MIN(4,3+'5. Scenarios'!$C$8))/4+INDEX(BookQ4,2295)*(5-MIN(4,4+'5. Scenarios'!$C$8))/4)*'5. Scenarios'!$C$6/(1+ProductivityDefault*('5. Scenarios'!$C$11-1))+INDEX(BookOneOff,2295)*$I2300)</f>
        <v/>
      </c>
      <c r="N2300" s="56" t="str">
        <f aca="false">IF(INDEX(BookTitle,2295)="","",INDEX(BookTotal,2295)*'5. Scenarios'!$D$6/(1+ProductivityDefault*('5. Scenarios'!$D$11-1)))</f>
        <v/>
      </c>
      <c r="O2300" s="57" t="str">
        <f aca="false">IF($N2300="","",INDEX(BookRate,2295)*(1+'5. Scenarios'!$D$10)*$N2300)</f>
        <v/>
      </c>
      <c r="P2300" s="57" t="str">
        <f aca="false">IF($O2300="","",SUMIFS($O$6:$O$2405,$A$6:$A$2405,"&lt;="&amp;$A2300))</f>
        <v/>
      </c>
      <c r="Q2300" s="57" t="str">
        <f aca="false">IF($O2300="","",IF($P2300&lt;=BankCostEnvelope*'5. Scenarios'!$D$7,1,0))</f>
        <v/>
      </c>
      <c r="R2300" s="57" t="str">
        <f aca="false">IF($N2300="","",INDEX(BookRate,2295)*(1+'5. Scenarios'!$D$10)*(INDEX(BookQ1,2295)*(5-MIN(4,1+'5. Scenarios'!$D$8))/4+INDEX(BookQ2,2295)*(5-MIN(4,2+'5. Scenarios'!$D$8))/4+INDEX(BookQ3,2295)*(5-MIN(4,3+'5. Scenarios'!$D$8))/4+INDEX(BookQ4,2295)*(5-MIN(4,4+'5. Scenarios'!$D$8))/4)*'5. Scenarios'!$D$6/(1+ProductivityDefault*('5. Scenarios'!$D$11-1))+INDEX(BookOneOff,2295)*$N2300)</f>
        <v/>
      </c>
      <c r="S2300" s="56" t="str">
        <f aca="false">IF(INDEX(BookTitle,2295)="","",INDEX(BookTotal,2295)*'5. Scenarios'!$E$6/(1+ProductivityDefault*('5. Scenarios'!$E$11-1)))</f>
        <v/>
      </c>
      <c r="T2300" s="57" t="str">
        <f aca="false">IF($S2300="","",INDEX(BookRate,2295)*(1+'5. Scenarios'!$E$10)*$S2300)</f>
        <v/>
      </c>
      <c r="U2300" s="57" t="str">
        <f aca="false">IF($T2300="","",SUMIFS($T$6:$T$2405,$A$6:$A$2405,"&lt;="&amp;$A2300))</f>
        <v/>
      </c>
      <c r="V2300" s="57" t="str">
        <f aca="false">IF($T2300="","",IF($U2300&lt;=BankCostEnvelope*'5. Scenarios'!$E$7,1,0))</f>
        <v/>
      </c>
      <c r="W2300" s="57" t="str">
        <f aca="false">IF($S2300="","",INDEX(BookRate,2295)*(1+'5. Scenarios'!$E$10)*(INDEX(BookQ1,2295)*(5-MIN(4,1+'5. Scenarios'!$E$8))/4+INDEX(BookQ2,2295)*(5-MIN(4,2+'5. Scenarios'!$E$8))/4+INDEX(BookQ3,2295)*(5-MIN(4,3+'5. Scenarios'!$E$8))/4+INDEX(BookQ4,2295)*(5-MIN(4,4+'5. Scenarios'!$E$8))/4)*'5. Scenarios'!$E$6/(1+ProductivityDefault*('5. Scenarios'!$E$11-1))+INDEX(BookOneOff,2295)*$S2300)</f>
        <v/>
      </c>
    </row>
    <row r="2301" customFormat="false" ht="15" hidden="false" customHeight="false" outlineLevel="0" collapsed="false">
      <c r="A2301" s="0" t="str">
        <f aca="false">IF(INDEX(BookTitle,2296)="","",INDEX(BookKey,2296))</f>
        <v/>
      </c>
      <c r="B2301" s="0" t="str">
        <f aca="false">IF(INDEX(BookTitle,2296)="","",INDEX(BookGroup,2296))</f>
        <v/>
      </c>
      <c r="C2301" s="0" t="str">
        <f aca="false">IF(INDEX(BookTitle,2296)="","",INDEX(BookCategory,2296))</f>
        <v/>
      </c>
      <c r="D2301" s="56" t="str">
        <f aca="false">IF(INDEX(BookTitle,2296)="","",INDEX(BookTotal,2296)*'5. Scenarios'!$B$6/(1+ProductivityDefault*('5. Scenarios'!$B$11-1)))</f>
        <v/>
      </c>
      <c r="E2301" s="57" t="str">
        <f aca="false">IF($D2301="","",INDEX(BookRate,2296)*(1+'5. Scenarios'!$B$10)*$D2301)</f>
        <v/>
      </c>
      <c r="F2301" s="57" t="str">
        <f aca="false">IF($E2301="","",SUMIFS($E$6:$E$2405,$A$6:$A$2405,"&lt;="&amp;$A2301))</f>
        <v/>
      </c>
      <c r="G2301" s="57" t="str">
        <f aca="false">IF($E2301="","",IF($F2301&lt;=BankCostEnvelope*'5. Scenarios'!$B$7,1,0))</f>
        <v/>
      </c>
      <c r="H2301" s="57" t="str">
        <f aca="false">IF($D2301="","",INDEX(BookRate,2296)*(1+'5. Scenarios'!$B$10)*(INDEX(BookQ1,2296)*(5-MIN(4,1+'5. Scenarios'!$B$8))/4+INDEX(BookQ2,2296)*(5-MIN(4,2+'5. Scenarios'!$B$8))/4+INDEX(BookQ3,2296)*(5-MIN(4,3+'5. Scenarios'!$B$8))/4+INDEX(BookQ4,2296)*(5-MIN(4,4+'5. Scenarios'!$B$8))/4)*'5. Scenarios'!$B$6/(1+ProductivityDefault*('5. Scenarios'!$B$11-1))+INDEX(BookOneOff,2296)*$D2301)</f>
        <v/>
      </c>
      <c r="I2301" s="56" t="str">
        <f aca="false">IF(INDEX(BookTitle,2296)="","",INDEX(BookTotal,2296)*'5. Scenarios'!$C$6/(1+ProductivityDefault*('5. Scenarios'!$C$11-1)))</f>
        <v/>
      </c>
      <c r="J2301" s="57" t="str">
        <f aca="false">IF($I2301="","",INDEX(BookRate,2296)*(1+'5. Scenarios'!$C$10)*$I2301)</f>
        <v/>
      </c>
      <c r="K2301" s="57" t="str">
        <f aca="false">IF($J2301="","",SUMIFS($J$6:$J$2405,$A$6:$A$2405,"&lt;="&amp;$A2301))</f>
        <v/>
      </c>
      <c r="L2301" s="57" t="str">
        <f aca="false">IF($J2301="","",IF($K2301&lt;=BankCostEnvelope*'5. Scenarios'!$C$7,1,0))</f>
        <v/>
      </c>
      <c r="M2301" s="57" t="str">
        <f aca="false">IF($I2301="","",INDEX(BookRate,2296)*(1+'5. Scenarios'!$C$10)*(INDEX(BookQ1,2296)*(5-MIN(4,1+'5. Scenarios'!$C$8))/4+INDEX(BookQ2,2296)*(5-MIN(4,2+'5. Scenarios'!$C$8))/4+INDEX(BookQ3,2296)*(5-MIN(4,3+'5. Scenarios'!$C$8))/4+INDEX(BookQ4,2296)*(5-MIN(4,4+'5. Scenarios'!$C$8))/4)*'5. Scenarios'!$C$6/(1+ProductivityDefault*('5. Scenarios'!$C$11-1))+INDEX(BookOneOff,2296)*$I2301)</f>
        <v/>
      </c>
      <c r="N2301" s="56" t="str">
        <f aca="false">IF(INDEX(BookTitle,2296)="","",INDEX(BookTotal,2296)*'5. Scenarios'!$D$6/(1+ProductivityDefault*('5. Scenarios'!$D$11-1)))</f>
        <v/>
      </c>
      <c r="O2301" s="57" t="str">
        <f aca="false">IF($N2301="","",INDEX(BookRate,2296)*(1+'5. Scenarios'!$D$10)*$N2301)</f>
        <v/>
      </c>
      <c r="P2301" s="57" t="str">
        <f aca="false">IF($O2301="","",SUMIFS($O$6:$O$2405,$A$6:$A$2405,"&lt;="&amp;$A2301))</f>
        <v/>
      </c>
      <c r="Q2301" s="57" t="str">
        <f aca="false">IF($O2301="","",IF($P2301&lt;=BankCostEnvelope*'5. Scenarios'!$D$7,1,0))</f>
        <v/>
      </c>
      <c r="R2301" s="57" t="str">
        <f aca="false">IF($N2301="","",INDEX(BookRate,2296)*(1+'5. Scenarios'!$D$10)*(INDEX(BookQ1,2296)*(5-MIN(4,1+'5. Scenarios'!$D$8))/4+INDEX(BookQ2,2296)*(5-MIN(4,2+'5. Scenarios'!$D$8))/4+INDEX(BookQ3,2296)*(5-MIN(4,3+'5. Scenarios'!$D$8))/4+INDEX(BookQ4,2296)*(5-MIN(4,4+'5. Scenarios'!$D$8))/4)*'5. Scenarios'!$D$6/(1+ProductivityDefault*('5. Scenarios'!$D$11-1))+INDEX(BookOneOff,2296)*$N2301)</f>
        <v/>
      </c>
      <c r="S2301" s="56" t="str">
        <f aca="false">IF(INDEX(BookTitle,2296)="","",INDEX(BookTotal,2296)*'5. Scenarios'!$E$6/(1+ProductivityDefault*('5. Scenarios'!$E$11-1)))</f>
        <v/>
      </c>
      <c r="T2301" s="57" t="str">
        <f aca="false">IF($S2301="","",INDEX(BookRate,2296)*(1+'5. Scenarios'!$E$10)*$S2301)</f>
        <v/>
      </c>
      <c r="U2301" s="57" t="str">
        <f aca="false">IF($T2301="","",SUMIFS($T$6:$T$2405,$A$6:$A$2405,"&lt;="&amp;$A2301))</f>
        <v/>
      </c>
      <c r="V2301" s="57" t="str">
        <f aca="false">IF($T2301="","",IF($U2301&lt;=BankCostEnvelope*'5. Scenarios'!$E$7,1,0))</f>
        <v/>
      </c>
      <c r="W2301" s="57" t="str">
        <f aca="false">IF($S2301="","",INDEX(BookRate,2296)*(1+'5. Scenarios'!$E$10)*(INDEX(BookQ1,2296)*(5-MIN(4,1+'5. Scenarios'!$E$8))/4+INDEX(BookQ2,2296)*(5-MIN(4,2+'5. Scenarios'!$E$8))/4+INDEX(BookQ3,2296)*(5-MIN(4,3+'5. Scenarios'!$E$8))/4+INDEX(BookQ4,2296)*(5-MIN(4,4+'5. Scenarios'!$E$8))/4)*'5. Scenarios'!$E$6/(1+ProductivityDefault*('5. Scenarios'!$E$11-1))+INDEX(BookOneOff,2296)*$S2301)</f>
        <v/>
      </c>
    </row>
    <row r="2302" customFormat="false" ht="15" hidden="false" customHeight="false" outlineLevel="0" collapsed="false">
      <c r="A2302" s="0" t="str">
        <f aca="false">IF(INDEX(BookTitle,2297)="","",INDEX(BookKey,2297))</f>
        <v/>
      </c>
      <c r="B2302" s="0" t="str">
        <f aca="false">IF(INDEX(BookTitle,2297)="","",INDEX(BookGroup,2297))</f>
        <v/>
      </c>
      <c r="C2302" s="0" t="str">
        <f aca="false">IF(INDEX(BookTitle,2297)="","",INDEX(BookCategory,2297))</f>
        <v/>
      </c>
      <c r="D2302" s="56" t="str">
        <f aca="false">IF(INDEX(BookTitle,2297)="","",INDEX(BookTotal,2297)*'5. Scenarios'!$B$6/(1+ProductivityDefault*('5. Scenarios'!$B$11-1)))</f>
        <v/>
      </c>
      <c r="E2302" s="57" t="str">
        <f aca="false">IF($D2302="","",INDEX(BookRate,2297)*(1+'5. Scenarios'!$B$10)*$D2302)</f>
        <v/>
      </c>
      <c r="F2302" s="57" t="str">
        <f aca="false">IF($E2302="","",SUMIFS($E$6:$E$2405,$A$6:$A$2405,"&lt;="&amp;$A2302))</f>
        <v/>
      </c>
      <c r="G2302" s="57" t="str">
        <f aca="false">IF($E2302="","",IF($F2302&lt;=BankCostEnvelope*'5. Scenarios'!$B$7,1,0))</f>
        <v/>
      </c>
      <c r="H2302" s="57" t="str">
        <f aca="false">IF($D2302="","",INDEX(BookRate,2297)*(1+'5. Scenarios'!$B$10)*(INDEX(BookQ1,2297)*(5-MIN(4,1+'5. Scenarios'!$B$8))/4+INDEX(BookQ2,2297)*(5-MIN(4,2+'5. Scenarios'!$B$8))/4+INDEX(BookQ3,2297)*(5-MIN(4,3+'5. Scenarios'!$B$8))/4+INDEX(BookQ4,2297)*(5-MIN(4,4+'5. Scenarios'!$B$8))/4)*'5. Scenarios'!$B$6/(1+ProductivityDefault*('5. Scenarios'!$B$11-1))+INDEX(BookOneOff,2297)*$D2302)</f>
        <v/>
      </c>
      <c r="I2302" s="56" t="str">
        <f aca="false">IF(INDEX(BookTitle,2297)="","",INDEX(BookTotal,2297)*'5. Scenarios'!$C$6/(1+ProductivityDefault*('5. Scenarios'!$C$11-1)))</f>
        <v/>
      </c>
      <c r="J2302" s="57" t="str">
        <f aca="false">IF($I2302="","",INDEX(BookRate,2297)*(1+'5. Scenarios'!$C$10)*$I2302)</f>
        <v/>
      </c>
      <c r="K2302" s="57" t="str">
        <f aca="false">IF($J2302="","",SUMIFS($J$6:$J$2405,$A$6:$A$2405,"&lt;="&amp;$A2302))</f>
        <v/>
      </c>
      <c r="L2302" s="57" t="str">
        <f aca="false">IF($J2302="","",IF($K2302&lt;=BankCostEnvelope*'5. Scenarios'!$C$7,1,0))</f>
        <v/>
      </c>
      <c r="M2302" s="57" t="str">
        <f aca="false">IF($I2302="","",INDEX(BookRate,2297)*(1+'5. Scenarios'!$C$10)*(INDEX(BookQ1,2297)*(5-MIN(4,1+'5. Scenarios'!$C$8))/4+INDEX(BookQ2,2297)*(5-MIN(4,2+'5. Scenarios'!$C$8))/4+INDEX(BookQ3,2297)*(5-MIN(4,3+'5. Scenarios'!$C$8))/4+INDEX(BookQ4,2297)*(5-MIN(4,4+'5. Scenarios'!$C$8))/4)*'5. Scenarios'!$C$6/(1+ProductivityDefault*('5. Scenarios'!$C$11-1))+INDEX(BookOneOff,2297)*$I2302)</f>
        <v/>
      </c>
      <c r="N2302" s="56" t="str">
        <f aca="false">IF(INDEX(BookTitle,2297)="","",INDEX(BookTotal,2297)*'5. Scenarios'!$D$6/(1+ProductivityDefault*('5. Scenarios'!$D$11-1)))</f>
        <v/>
      </c>
      <c r="O2302" s="57" t="str">
        <f aca="false">IF($N2302="","",INDEX(BookRate,2297)*(1+'5. Scenarios'!$D$10)*$N2302)</f>
        <v/>
      </c>
      <c r="P2302" s="57" t="str">
        <f aca="false">IF($O2302="","",SUMIFS($O$6:$O$2405,$A$6:$A$2405,"&lt;="&amp;$A2302))</f>
        <v/>
      </c>
      <c r="Q2302" s="57" t="str">
        <f aca="false">IF($O2302="","",IF($P2302&lt;=BankCostEnvelope*'5. Scenarios'!$D$7,1,0))</f>
        <v/>
      </c>
      <c r="R2302" s="57" t="str">
        <f aca="false">IF($N2302="","",INDEX(BookRate,2297)*(1+'5. Scenarios'!$D$10)*(INDEX(BookQ1,2297)*(5-MIN(4,1+'5. Scenarios'!$D$8))/4+INDEX(BookQ2,2297)*(5-MIN(4,2+'5. Scenarios'!$D$8))/4+INDEX(BookQ3,2297)*(5-MIN(4,3+'5. Scenarios'!$D$8))/4+INDEX(BookQ4,2297)*(5-MIN(4,4+'5. Scenarios'!$D$8))/4)*'5. Scenarios'!$D$6/(1+ProductivityDefault*('5. Scenarios'!$D$11-1))+INDEX(BookOneOff,2297)*$N2302)</f>
        <v/>
      </c>
      <c r="S2302" s="56" t="str">
        <f aca="false">IF(INDEX(BookTitle,2297)="","",INDEX(BookTotal,2297)*'5. Scenarios'!$E$6/(1+ProductivityDefault*('5. Scenarios'!$E$11-1)))</f>
        <v/>
      </c>
      <c r="T2302" s="57" t="str">
        <f aca="false">IF($S2302="","",INDEX(BookRate,2297)*(1+'5. Scenarios'!$E$10)*$S2302)</f>
        <v/>
      </c>
      <c r="U2302" s="57" t="str">
        <f aca="false">IF($T2302="","",SUMIFS($T$6:$T$2405,$A$6:$A$2405,"&lt;="&amp;$A2302))</f>
        <v/>
      </c>
      <c r="V2302" s="57" t="str">
        <f aca="false">IF($T2302="","",IF($U2302&lt;=BankCostEnvelope*'5. Scenarios'!$E$7,1,0))</f>
        <v/>
      </c>
      <c r="W2302" s="57" t="str">
        <f aca="false">IF($S2302="","",INDEX(BookRate,2297)*(1+'5. Scenarios'!$E$10)*(INDEX(BookQ1,2297)*(5-MIN(4,1+'5. Scenarios'!$E$8))/4+INDEX(BookQ2,2297)*(5-MIN(4,2+'5. Scenarios'!$E$8))/4+INDEX(BookQ3,2297)*(5-MIN(4,3+'5. Scenarios'!$E$8))/4+INDEX(BookQ4,2297)*(5-MIN(4,4+'5. Scenarios'!$E$8))/4)*'5. Scenarios'!$E$6/(1+ProductivityDefault*('5. Scenarios'!$E$11-1))+INDEX(BookOneOff,2297)*$S2302)</f>
        <v/>
      </c>
    </row>
    <row r="2303" customFormat="false" ht="15" hidden="false" customHeight="false" outlineLevel="0" collapsed="false">
      <c r="A2303" s="0" t="str">
        <f aca="false">IF(INDEX(BookTitle,2298)="","",INDEX(BookKey,2298))</f>
        <v/>
      </c>
      <c r="B2303" s="0" t="str">
        <f aca="false">IF(INDEX(BookTitle,2298)="","",INDEX(BookGroup,2298))</f>
        <v/>
      </c>
      <c r="C2303" s="0" t="str">
        <f aca="false">IF(INDEX(BookTitle,2298)="","",INDEX(BookCategory,2298))</f>
        <v/>
      </c>
      <c r="D2303" s="56" t="str">
        <f aca="false">IF(INDEX(BookTitle,2298)="","",INDEX(BookTotal,2298)*'5. Scenarios'!$B$6/(1+ProductivityDefault*('5. Scenarios'!$B$11-1)))</f>
        <v/>
      </c>
      <c r="E2303" s="57" t="str">
        <f aca="false">IF($D2303="","",INDEX(BookRate,2298)*(1+'5. Scenarios'!$B$10)*$D2303)</f>
        <v/>
      </c>
      <c r="F2303" s="57" t="str">
        <f aca="false">IF($E2303="","",SUMIFS($E$6:$E$2405,$A$6:$A$2405,"&lt;="&amp;$A2303))</f>
        <v/>
      </c>
      <c r="G2303" s="57" t="str">
        <f aca="false">IF($E2303="","",IF($F2303&lt;=BankCostEnvelope*'5. Scenarios'!$B$7,1,0))</f>
        <v/>
      </c>
      <c r="H2303" s="57" t="str">
        <f aca="false">IF($D2303="","",INDEX(BookRate,2298)*(1+'5. Scenarios'!$B$10)*(INDEX(BookQ1,2298)*(5-MIN(4,1+'5. Scenarios'!$B$8))/4+INDEX(BookQ2,2298)*(5-MIN(4,2+'5. Scenarios'!$B$8))/4+INDEX(BookQ3,2298)*(5-MIN(4,3+'5. Scenarios'!$B$8))/4+INDEX(BookQ4,2298)*(5-MIN(4,4+'5. Scenarios'!$B$8))/4)*'5. Scenarios'!$B$6/(1+ProductivityDefault*('5. Scenarios'!$B$11-1))+INDEX(BookOneOff,2298)*$D2303)</f>
        <v/>
      </c>
      <c r="I2303" s="56" t="str">
        <f aca="false">IF(INDEX(BookTitle,2298)="","",INDEX(BookTotal,2298)*'5. Scenarios'!$C$6/(1+ProductivityDefault*('5. Scenarios'!$C$11-1)))</f>
        <v/>
      </c>
      <c r="J2303" s="57" t="str">
        <f aca="false">IF($I2303="","",INDEX(BookRate,2298)*(1+'5. Scenarios'!$C$10)*$I2303)</f>
        <v/>
      </c>
      <c r="K2303" s="57" t="str">
        <f aca="false">IF($J2303="","",SUMIFS($J$6:$J$2405,$A$6:$A$2405,"&lt;="&amp;$A2303))</f>
        <v/>
      </c>
      <c r="L2303" s="57" t="str">
        <f aca="false">IF($J2303="","",IF($K2303&lt;=BankCostEnvelope*'5. Scenarios'!$C$7,1,0))</f>
        <v/>
      </c>
      <c r="M2303" s="57" t="str">
        <f aca="false">IF($I2303="","",INDEX(BookRate,2298)*(1+'5. Scenarios'!$C$10)*(INDEX(BookQ1,2298)*(5-MIN(4,1+'5. Scenarios'!$C$8))/4+INDEX(BookQ2,2298)*(5-MIN(4,2+'5. Scenarios'!$C$8))/4+INDEX(BookQ3,2298)*(5-MIN(4,3+'5. Scenarios'!$C$8))/4+INDEX(BookQ4,2298)*(5-MIN(4,4+'5. Scenarios'!$C$8))/4)*'5. Scenarios'!$C$6/(1+ProductivityDefault*('5. Scenarios'!$C$11-1))+INDEX(BookOneOff,2298)*$I2303)</f>
        <v/>
      </c>
      <c r="N2303" s="56" t="str">
        <f aca="false">IF(INDEX(BookTitle,2298)="","",INDEX(BookTotal,2298)*'5. Scenarios'!$D$6/(1+ProductivityDefault*('5. Scenarios'!$D$11-1)))</f>
        <v/>
      </c>
      <c r="O2303" s="57" t="str">
        <f aca="false">IF($N2303="","",INDEX(BookRate,2298)*(1+'5. Scenarios'!$D$10)*$N2303)</f>
        <v/>
      </c>
      <c r="P2303" s="57" t="str">
        <f aca="false">IF($O2303="","",SUMIFS($O$6:$O$2405,$A$6:$A$2405,"&lt;="&amp;$A2303))</f>
        <v/>
      </c>
      <c r="Q2303" s="57" t="str">
        <f aca="false">IF($O2303="","",IF($P2303&lt;=BankCostEnvelope*'5. Scenarios'!$D$7,1,0))</f>
        <v/>
      </c>
      <c r="R2303" s="57" t="str">
        <f aca="false">IF($N2303="","",INDEX(BookRate,2298)*(1+'5. Scenarios'!$D$10)*(INDEX(BookQ1,2298)*(5-MIN(4,1+'5. Scenarios'!$D$8))/4+INDEX(BookQ2,2298)*(5-MIN(4,2+'5. Scenarios'!$D$8))/4+INDEX(BookQ3,2298)*(5-MIN(4,3+'5. Scenarios'!$D$8))/4+INDEX(BookQ4,2298)*(5-MIN(4,4+'5. Scenarios'!$D$8))/4)*'5. Scenarios'!$D$6/(1+ProductivityDefault*('5. Scenarios'!$D$11-1))+INDEX(BookOneOff,2298)*$N2303)</f>
        <v/>
      </c>
      <c r="S2303" s="56" t="str">
        <f aca="false">IF(INDEX(BookTitle,2298)="","",INDEX(BookTotal,2298)*'5. Scenarios'!$E$6/(1+ProductivityDefault*('5. Scenarios'!$E$11-1)))</f>
        <v/>
      </c>
      <c r="T2303" s="57" t="str">
        <f aca="false">IF($S2303="","",INDEX(BookRate,2298)*(1+'5. Scenarios'!$E$10)*$S2303)</f>
        <v/>
      </c>
      <c r="U2303" s="57" t="str">
        <f aca="false">IF($T2303="","",SUMIFS($T$6:$T$2405,$A$6:$A$2405,"&lt;="&amp;$A2303))</f>
        <v/>
      </c>
      <c r="V2303" s="57" t="str">
        <f aca="false">IF($T2303="","",IF($U2303&lt;=BankCostEnvelope*'5. Scenarios'!$E$7,1,0))</f>
        <v/>
      </c>
      <c r="W2303" s="57" t="str">
        <f aca="false">IF($S2303="","",INDEX(BookRate,2298)*(1+'5. Scenarios'!$E$10)*(INDEX(BookQ1,2298)*(5-MIN(4,1+'5. Scenarios'!$E$8))/4+INDEX(BookQ2,2298)*(5-MIN(4,2+'5. Scenarios'!$E$8))/4+INDEX(BookQ3,2298)*(5-MIN(4,3+'5. Scenarios'!$E$8))/4+INDEX(BookQ4,2298)*(5-MIN(4,4+'5. Scenarios'!$E$8))/4)*'5. Scenarios'!$E$6/(1+ProductivityDefault*('5. Scenarios'!$E$11-1))+INDEX(BookOneOff,2298)*$S2303)</f>
        <v/>
      </c>
    </row>
    <row r="2304" customFormat="false" ht="15" hidden="false" customHeight="false" outlineLevel="0" collapsed="false">
      <c r="A2304" s="0" t="str">
        <f aca="false">IF(INDEX(BookTitle,2299)="","",INDEX(BookKey,2299))</f>
        <v/>
      </c>
      <c r="B2304" s="0" t="str">
        <f aca="false">IF(INDEX(BookTitle,2299)="","",INDEX(BookGroup,2299))</f>
        <v/>
      </c>
      <c r="C2304" s="0" t="str">
        <f aca="false">IF(INDEX(BookTitle,2299)="","",INDEX(BookCategory,2299))</f>
        <v/>
      </c>
      <c r="D2304" s="56" t="str">
        <f aca="false">IF(INDEX(BookTitle,2299)="","",INDEX(BookTotal,2299)*'5. Scenarios'!$B$6/(1+ProductivityDefault*('5. Scenarios'!$B$11-1)))</f>
        <v/>
      </c>
      <c r="E2304" s="57" t="str">
        <f aca="false">IF($D2304="","",INDEX(BookRate,2299)*(1+'5. Scenarios'!$B$10)*$D2304)</f>
        <v/>
      </c>
      <c r="F2304" s="57" t="str">
        <f aca="false">IF($E2304="","",SUMIFS($E$6:$E$2405,$A$6:$A$2405,"&lt;="&amp;$A2304))</f>
        <v/>
      </c>
      <c r="G2304" s="57" t="str">
        <f aca="false">IF($E2304="","",IF($F2304&lt;=BankCostEnvelope*'5. Scenarios'!$B$7,1,0))</f>
        <v/>
      </c>
      <c r="H2304" s="57" t="str">
        <f aca="false">IF($D2304="","",INDEX(BookRate,2299)*(1+'5. Scenarios'!$B$10)*(INDEX(BookQ1,2299)*(5-MIN(4,1+'5. Scenarios'!$B$8))/4+INDEX(BookQ2,2299)*(5-MIN(4,2+'5. Scenarios'!$B$8))/4+INDEX(BookQ3,2299)*(5-MIN(4,3+'5. Scenarios'!$B$8))/4+INDEX(BookQ4,2299)*(5-MIN(4,4+'5. Scenarios'!$B$8))/4)*'5. Scenarios'!$B$6/(1+ProductivityDefault*('5. Scenarios'!$B$11-1))+INDEX(BookOneOff,2299)*$D2304)</f>
        <v/>
      </c>
      <c r="I2304" s="56" t="str">
        <f aca="false">IF(INDEX(BookTitle,2299)="","",INDEX(BookTotal,2299)*'5. Scenarios'!$C$6/(1+ProductivityDefault*('5. Scenarios'!$C$11-1)))</f>
        <v/>
      </c>
      <c r="J2304" s="57" t="str">
        <f aca="false">IF($I2304="","",INDEX(BookRate,2299)*(1+'5. Scenarios'!$C$10)*$I2304)</f>
        <v/>
      </c>
      <c r="K2304" s="57" t="str">
        <f aca="false">IF($J2304="","",SUMIFS($J$6:$J$2405,$A$6:$A$2405,"&lt;="&amp;$A2304))</f>
        <v/>
      </c>
      <c r="L2304" s="57" t="str">
        <f aca="false">IF($J2304="","",IF($K2304&lt;=BankCostEnvelope*'5. Scenarios'!$C$7,1,0))</f>
        <v/>
      </c>
      <c r="M2304" s="57" t="str">
        <f aca="false">IF($I2304="","",INDEX(BookRate,2299)*(1+'5. Scenarios'!$C$10)*(INDEX(BookQ1,2299)*(5-MIN(4,1+'5. Scenarios'!$C$8))/4+INDEX(BookQ2,2299)*(5-MIN(4,2+'5. Scenarios'!$C$8))/4+INDEX(BookQ3,2299)*(5-MIN(4,3+'5. Scenarios'!$C$8))/4+INDEX(BookQ4,2299)*(5-MIN(4,4+'5. Scenarios'!$C$8))/4)*'5. Scenarios'!$C$6/(1+ProductivityDefault*('5. Scenarios'!$C$11-1))+INDEX(BookOneOff,2299)*$I2304)</f>
        <v/>
      </c>
      <c r="N2304" s="56" t="str">
        <f aca="false">IF(INDEX(BookTitle,2299)="","",INDEX(BookTotal,2299)*'5. Scenarios'!$D$6/(1+ProductivityDefault*('5. Scenarios'!$D$11-1)))</f>
        <v/>
      </c>
      <c r="O2304" s="57" t="str">
        <f aca="false">IF($N2304="","",INDEX(BookRate,2299)*(1+'5. Scenarios'!$D$10)*$N2304)</f>
        <v/>
      </c>
      <c r="P2304" s="57" t="str">
        <f aca="false">IF($O2304="","",SUMIFS($O$6:$O$2405,$A$6:$A$2405,"&lt;="&amp;$A2304))</f>
        <v/>
      </c>
      <c r="Q2304" s="57" t="str">
        <f aca="false">IF($O2304="","",IF($P2304&lt;=BankCostEnvelope*'5. Scenarios'!$D$7,1,0))</f>
        <v/>
      </c>
      <c r="R2304" s="57" t="str">
        <f aca="false">IF($N2304="","",INDEX(BookRate,2299)*(1+'5. Scenarios'!$D$10)*(INDEX(BookQ1,2299)*(5-MIN(4,1+'5. Scenarios'!$D$8))/4+INDEX(BookQ2,2299)*(5-MIN(4,2+'5. Scenarios'!$D$8))/4+INDEX(BookQ3,2299)*(5-MIN(4,3+'5. Scenarios'!$D$8))/4+INDEX(BookQ4,2299)*(5-MIN(4,4+'5. Scenarios'!$D$8))/4)*'5. Scenarios'!$D$6/(1+ProductivityDefault*('5. Scenarios'!$D$11-1))+INDEX(BookOneOff,2299)*$N2304)</f>
        <v/>
      </c>
      <c r="S2304" s="56" t="str">
        <f aca="false">IF(INDEX(BookTitle,2299)="","",INDEX(BookTotal,2299)*'5. Scenarios'!$E$6/(1+ProductivityDefault*('5. Scenarios'!$E$11-1)))</f>
        <v/>
      </c>
      <c r="T2304" s="57" t="str">
        <f aca="false">IF($S2304="","",INDEX(BookRate,2299)*(1+'5. Scenarios'!$E$10)*$S2304)</f>
        <v/>
      </c>
      <c r="U2304" s="57" t="str">
        <f aca="false">IF($T2304="","",SUMIFS($T$6:$T$2405,$A$6:$A$2405,"&lt;="&amp;$A2304))</f>
        <v/>
      </c>
      <c r="V2304" s="57" t="str">
        <f aca="false">IF($T2304="","",IF($U2304&lt;=BankCostEnvelope*'5. Scenarios'!$E$7,1,0))</f>
        <v/>
      </c>
      <c r="W2304" s="57" t="str">
        <f aca="false">IF($S2304="","",INDEX(BookRate,2299)*(1+'5. Scenarios'!$E$10)*(INDEX(BookQ1,2299)*(5-MIN(4,1+'5. Scenarios'!$E$8))/4+INDEX(BookQ2,2299)*(5-MIN(4,2+'5. Scenarios'!$E$8))/4+INDEX(BookQ3,2299)*(5-MIN(4,3+'5. Scenarios'!$E$8))/4+INDEX(BookQ4,2299)*(5-MIN(4,4+'5. Scenarios'!$E$8))/4)*'5. Scenarios'!$E$6/(1+ProductivityDefault*('5. Scenarios'!$E$11-1))+INDEX(BookOneOff,2299)*$S2304)</f>
        <v/>
      </c>
    </row>
    <row r="2305" customFormat="false" ht="15" hidden="false" customHeight="false" outlineLevel="0" collapsed="false">
      <c r="A2305" s="0" t="str">
        <f aca="false">IF(INDEX(BookTitle,2300)="","",INDEX(BookKey,2300))</f>
        <v/>
      </c>
      <c r="B2305" s="0" t="str">
        <f aca="false">IF(INDEX(BookTitle,2300)="","",INDEX(BookGroup,2300))</f>
        <v/>
      </c>
      <c r="C2305" s="0" t="str">
        <f aca="false">IF(INDEX(BookTitle,2300)="","",INDEX(BookCategory,2300))</f>
        <v/>
      </c>
      <c r="D2305" s="56" t="str">
        <f aca="false">IF(INDEX(BookTitle,2300)="","",INDEX(BookTotal,2300)*'5. Scenarios'!$B$6/(1+ProductivityDefault*('5. Scenarios'!$B$11-1)))</f>
        <v/>
      </c>
      <c r="E2305" s="57" t="str">
        <f aca="false">IF($D2305="","",INDEX(BookRate,2300)*(1+'5. Scenarios'!$B$10)*$D2305)</f>
        <v/>
      </c>
      <c r="F2305" s="57" t="str">
        <f aca="false">IF($E2305="","",SUMIFS($E$6:$E$2405,$A$6:$A$2405,"&lt;="&amp;$A2305))</f>
        <v/>
      </c>
      <c r="G2305" s="57" t="str">
        <f aca="false">IF($E2305="","",IF($F2305&lt;=BankCostEnvelope*'5. Scenarios'!$B$7,1,0))</f>
        <v/>
      </c>
      <c r="H2305" s="57" t="str">
        <f aca="false">IF($D2305="","",INDEX(BookRate,2300)*(1+'5. Scenarios'!$B$10)*(INDEX(BookQ1,2300)*(5-MIN(4,1+'5. Scenarios'!$B$8))/4+INDEX(BookQ2,2300)*(5-MIN(4,2+'5. Scenarios'!$B$8))/4+INDEX(BookQ3,2300)*(5-MIN(4,3+'5. Scenarios'!$B$8))/4+INDEX(BookQ4,2300)*(5-MIN(4,4+'5. Scenarios'!$B$8))/4)*'5. Scenarios'!$B$6/(1+ProductivityDefault*('5. Scenarios'!$B$11-1))+INDEX(BookOneOff,2300)*$D2305)</f>
        <v/>
      </c>
      <c r="I2305" s="56" t="str">
        <f aca="false">IF(INDEX(BookTitle,2300)="","",INDEX(BookTotal,2300)*'5. Scenarios'!$C$6/(1+ProductivityDefault*('5. Scenarios'!$C$11-1)))</f>
        <v/>
      </c>
      <c r="J2305" s="57" t="str">
        <f aca="false">IF($I2305="","",INDEX(BookRate,2300)*(1+'5. Scenarios'!$C$10)*$I2305)</f>
        <v/>
      </c>
      <c r="K2305" s="57" t="str">
        <f aca="false">IF($J2305="","",SUMIFS($J$6:$J$2405,$A$6:$A$2405,"&lt;="&amp;$A2305))</f>
        <v/>
      </c>
      <c r="L2305" s="57" t="str">
        <f aca="false">IF($J2305="","",IF($K2305&lt;=BankCostEnvelope*'5. Scenarios'!$C$7,1,0))</f>
        <v/>
      </c>
      <c r="M2305" s="57" t="str">
        <f aca="false">IF($I2305="","",INDEX(BookRate,2300)*(1+'5. Scenarios'!$C$10)*(INDEX(BookQ1,2300)*(5-MIN(4,1+'5. Scenarios'!$C$8))/4+INDEX(BookQ2,2300)*(5-MIN(4,2+'5. Scenarios'!$C$8))/4+INDEX(BookQ3,2300)*(5-MIN(4,3+'5. Scenarios'!$C$8))/4+INDEX(BookQ4,2300)*(5-MIN(4,4+'5. Scenarios'!$C$8))/4)*'5. Scenarios'!$C$6/(1+ProductivityDefault*('5. Scenarios'!$C$11-1))+INDEX(BookOneOff,2300)*$I2305)</f>
        <v/>
      </c>
      <c r="N2305" s="56" t="str">
        <f aca="false">IF(INDEX(BookTitle,2300)="","",INDEX(BookTotal,2300)*'5. Scenarios'!$D$6/(1+ProductivityDefault*('5. Scenarios'!$D$11-1)))</f>
        <v/>
      </c>
      <c r="O2305" s="57" t="str">
        <f aca="false">IF($N2305="","",INDEX(BookRate,2300)*(1+'5. Scenarios'!$D$10)*$N2305)</f>
        <v/>
      </c>
      <c r="P2305" s="57" t="str">
        <f aca="false">IF($O2305="","",SUMIFS($O$6:$O$2405,$A$6:$A$2405,"&lt;="&amp;$A2305))</f>
        <v/>
      </c>
      <c r="Q2305" s="57" t="str">
        <f aca="false">IF($O2305="","",IF($P2305&lt;=BankCostEnvelope*'5. Scenarios'!$D$7,1,0))</f>
        <v/>
      </c>
      <c r="R2305" s="57" t="str">
        <f aca="false">IF($N2305="","",INDEX(BookRate,2300)*(1+'5. Scenarios'!$D$10)*(INDEX(BookQ1,2300)*(5-MIN(4,1+'5. Scenarios'!$D$8))/4+INDEX(BookQ2,2300)*(5-MIN(4,2+'5. Scenarios'!$D$8))/4+INDEX(BookQ3,2300)*(5-MIN(4,3+'5. Scenarios'!$D$8))/4+INDEX(BookQ4,2300)*(5-MIN(4,4+'5. Scenarios'!$D$8))/4)*'5. Scenarios'!$D$6/(1+ProductivityDefault*('5. Scenarios'!$D$11-1))+INDEX(BookOneOff,2300)*$N2305)</f>
        <v/>
      </c>
      <c r="S2305" s="56" t="str">
        <f aca="false">IF(INDEX(BookTitle,2300)="","",INDEX(BookTotal,2300)*'5. Scenarios'!$E$6/(1+ProductivityDefault*('5. Scenarios'!$E$11-1)))</f>
        <v/>
      </c>
      <c r="T2305" s="57" t="str">
        <f aca="false">IF($S2305="","",INDEX(BookRate,2300)*(1+'5. Scenarios'!$E$10)*$S2305)</f>
        <v/>
      </c>
      <c r="U2305" s="57" t="str">
        <f aca="false">IF($T2305="","",SUMIFS($T$6:$T$2405,$A$6:$A$2405,"&lt;="&amp;$A2305))</f>
        <v/>
      </c>
      <c r="V2305" s="57" t="str">
        <f aca="false">IF($T2305="","",IF($U2305&lt;=BankCostEnvelope*'5. Scenarios'!$E$7,1,0))</f>
        <v/>
      </c>
      <c r="W2305" s="57" t="str">
        <f aca="false">IF($S2305="","",INDEX(BookRate,2300)*(1+'5. Scenarios'!$E$10)*(INDEX(BookQ1,2300)*(5-MIN(4,1+'5. Scenarios'!$E$8))/4+INDEX(BookQ2,2300)*(5-MIN(4,2+'5. Scenarios'!$E$8))/4+INDEX(BookQ3,2300)*(5-MIN(4,3+'5. Scenarios'!$E$8))/4+INDEX(BookQ4,2300)*(5-MIN(4,4+'5. Scenarios'!$E$8))/4)*'5. Scenarios'!$E$6/(1+ProductivityDefault*('5. Scenarios'!$E$11-1))+INDEX(BookOneOff,2300)*$S2305)</f>
        <v/>
      </c>
    </row>
    <row r="2306" customFormat="false" ht="15" hidden="false" customHeight="false" outlineLevel="0" collapsed="false">
      <c r="A2306" s="0" t="str">
        <f aca="false">IF(INDEX(BookTitle,2301)="","",INDEX(BookKey,2301))</f>
        <v/>
      </c>
      <c r="B2306" s="0" t="str">
        <f aca="false">IF(INDEX(BookTitle,2301)="","",INDEX(BookGroup,2301))</f>
        <v/>
      </c>
      <c r="C2306" s="0" t="str">
        <f aca="false">IF(INDEX(BookTitle,2301)="","",INDEX(BookCategory,2301))</f>
        <v/>
      </c>
      <c r="D2306" s="56" t="str">
        <f aca="false">IF(INDEX(BookTitle,2301)="","",INDEX(BookTotal,2301)*'5. Scenarios'!$B$6/(1+ProductivityDefault*('5. Scenarios'!$B$11-1)))</f>
        <v/>
      </c>
      <c r="E2306" s="57" t="str">
        <f aca="false">IF($D2306="","",INDEX(BookRate,2301)*(1+'5. Scenarios'!$B$10)*$D2306)</f>
        <v/>
      </c>
      <c r="F2306" s="57" t="str">
        <f aca="false">IF($E2306="","",SUMIFS($E$6:$E$2405,$A$6:$A$2405,"&lt;="&amp;$A2306))</f>
        <v/>
      </c>
      <c r="G2306" s="57" t="str">
        <f aca="false">IF($E2306="","",IF($F2306&lt;=BankCostEnvelope*'5. Scenarios'!$B$7,1,0))</f>
        <v/>
      </c>
      <c r="H2306" s="57" t="str">
        <f aca="false">IF($D2306="","",INDEX(BookRate,2301)*(1+'5. Scenarios'!$B$10)*(INDEX(BookQ1,2301)*(5-MIN(4,1+'5. Scenarios'!$B$8))/4+INDEX(BookQ2,2301)*(5-MIN(4,2+'5. Scenarios'!$B$8))/4+INDEX(BookQ3,2301)*(5-MIN(4,3+'5. Scenarios'!$B$8))/4+INDEX(BookQ4,2301)*(5-MIN(4,4+'5. Scenarios'!$B$8))/4)*'5. Scenarios'!$B$6/(1+ProductivityDefault*('5. Scenarios'!$B$11-1))+INDEX(BookOneOff,2301)*$D2306)</f>
        <v/>
      </c>
      <c r="I2306" s="56" t="str">
        <f aca="false">IF(INDEX(BookTitle,2301)="","",INDEX(BookTotal,2301)*'5. Scenarios'!$C$6/(1+ProductivityDefault*('5. Scenarios'!$C$11-1)))</f>
        <v/>
      </c>
      <c r="J2306" s="57" t="str">
        <f aca="false">IF($I2306="","",INDEX(BookRate,2301)*(1+'5. Scenarios'!$C$10)*$I2306)</f>
        <v/>
      </c>
      <c r="K2306" s="57" t="str">
        <f aca="false">IF($J2306="","",SUMIFS($J$6:$J$2405,$A$6:$A$2405,"&lt;="&amp;$A2306))</f>
        <v/>
      </c>
      <c r="L2306" s="57" t="str">
        <f aca="false">IF($J2306="","",IF($K2306&lt;=BankCostEnvelope*'5. Scenarios'!$C$7,1,0))</f>
        <v/>
      </c>
      <c r="M2306" s="57" t="str">
        <f aca="false">IF($I2306="","",INDEX(BookRate,2301)*(1+'5. Scenarios'!$C$10)*(INDEX(BookQ1,2301)*(5-MIN(4,1+'5. Scenarios'!$C$8))/4+INDEX(BookQ2,2301)*(5-MIN(4,2+'5. Scenarios'!$C$8))/4+INDEX(BookQ3,2301)*(5-MIN(4,3+'5. Scenarios'!$C$8))/4+INDEX(BookQ4,2301)*(5-MIN(4,4+'5. Scenarios'!$C$8))/4)*'5. Scenarios'!$C$6/(1+ProductivityDefault*('5. Scenarios'!$C$11-1))+INDEX(BookOneOff,2301)*$I2306)</f>
        <v/>
      </c>
      <c r="N2306" s="56" t="str">
        <f aca="false">IF(INDEX(BookTitle,2301)="","",INDEX(BookTotal,2301)*'5. Scenarios'!$D$6/(1+ProductivityDefault*('5. Scenarios'!$D$11-1)))</f>
        <v/>
      </c>
      <c r="O2306" s="57" t="str">
        <f aca="false">IF($N2306="","",INDEX(BookRate,2301)*(1+'5. Scenarios'!$D$10)*$N2306)</f>
        <v/>
      </c>
      <c r="P2306" s="57" t="str">
        <f aca="false">IF($O2306="","",SUMIFS($O$6:$O$2405,$A$6:$A$2405,"&lt;="&amp;$A2306))</f>
        <v/>
      </c>
      <c r="Q2306" s="57" t="str">
        <f aca="false">IF($O2306="","",IF($P2306&lt;=BankCostEnvelope*'5. Scenarios'!$D$7,1,0))</f>
        <v/>
      </c>
      <c r="R2306" s="57" t="str">
        <f aca="false">IF($N2306="","",INDEX(BookRate,2301)*(1+'5. Scenarios'!$D$10)*(INDEX(BookQ1,2301)*(5-MIN(4,1+'5. Scenarios'!$D$8))/4+INDEX(BookQ2,2301)*(5-MIN(4,2+'5. Scenarios'!$D$8))/4+INDEX(BookQ3,2301)*(5-MIN(4,3+'5. Scenarios'!$D$8))/4+INDEX(BookQ4,2301)*(5-MIN(4,4+'5. Scenarios'!$D$8))/4)*'5. Scenarios'!$D$6/(1+ProductivityDefault*('5. Scenarios'!$D$11-1))+INDEX(BookOneOff,2301)*$N2306)</f>
        <v/>
      </c>
      <c r="S2306" s="56" t="str">
        <f aca="false">IF(INDEX(BookTitle,2301)="","",INDEX(BookTotal,2301)*'5. Scenarios'!$E$6/(1+ProductivityDefault*('5. Scenarios'!$E$11-1)))</f>
        <v/>
      </c>
      <c r="T2306" s="57" t="str">
        <f aca="false">IF($S2306="","",INDEX(BookRate,2301)*(1+'5. Scenarios'!$E$10)*$S2306)</f>
        <v/>
      </c>
      <c r="U2306" s="57" t="str">
        <f aca="false">IF($T2306="","",SUMIFS($T$6:$T$2405,$A$6:$A$2405,"&lt;="&amp;$A2306))</f>
        <v/>
      </c>
      <c r="V2306" s="57" t="str">
        <f aca="false">IF($T2306="","",IF($U2306&lt;=BankCostEnvelope*'5. Scenarios'!$E$7,1,0))</f>
        <v/>
      </c>
      <c r="W2306" s="57" t="str">
        <f aca="false">IF($S2306="","",INDEX(BookRate,2301)*(1+'5. Scenarios'!$E$10)*(INDEX(BookQ1,2301)*(5-MIN(4,1+'5. Scenarios'!$E$8))/4+INDEX(BookQ2,2301)*(5-MIN(4,2+'5. Scenarios'!$E$8))/4+INDEX(BookQ3,2301)*(5-MIN(4,3+'5. Scenarios'!$E$8))/4+INDEX(BookQ4,2301)*(5-MIN(4,4+'5. Scenarios'!$E$8))/4)*'5. Scenarios'!$E$6/(1+ProductivityDefault*('5. Scenarios'!$E$11-1))+INDEX(BookOneOff,2301)*$S2306)</f>
        <v/>
      </c>
    </row>
    <row r="2307" customFormat="false" ht="15" hidden="false" customHeight="false" outlineLevel="0" collapsed="false">
      <c r="A2307" s="0" t="str">
        <f aca="false">IF(INDEX(BookTitle,2302)="","",INDEX(BookKey,2302))</f>
        <v/>
      </c>
      <c r="B2307" s="0" t="str">
        <f aca="false">IF(INDEX(BookTitle,2302)="","",INDEX(BookGroup,2302))</f>
        <v/>
      </c>
      <c r="C2307" s="0" t="str">
        <f aca="false">IF(INDEX(BookTitle,2302)="","",INDEX(BookCategory,2302))</f>
        <v/>
      </c>
      <c r="D2307" s="56" t="str">
        <f aca="false">IF(INDEX(BookTitle,2302)="","",INDEX(BookTotal,2302)*'5. Scenarios'!$B$6/(1+ProductivityDefault*('5. Scenarios'!$B$11-1)))</f>
        <v/>
      </c>
      <c r="E2307" s="57" t="str">
        <f aca="false">IF($D2307="","",INDEX(BookRate,2302)*(1+'5. Scenarios'!$B$10)*$D2307)</f>
        <v/>
      </c>
      <c r="F2307" s="57" t="str">
        <f aca="false">IF($E2307="","",SUMIFS($E$6:$E$2405,$A$6:$A$2405,"&lt;="&amp;$A2307))</f>
        <v/>
      </c>
      <c r="G2307" s="57" t="str">
        <f aca="false">IF($E2307="","",IF($F2307&lt;=BankCostEnvelope*'5. Scenarios'!$B$7,1,0))</f>
        <v/>
      </c>
      <c r="H2307" s="57" t="str">
        <f aca="false">IF($D2307="","",INDEX(BookRate,2302)*(1+'5. Scenarios'!$B$10)*(INDEX(BookQ1,2302)*(5-MIN(4,1+'5. Scenarios'!$B$8))/4+INDEX(BookQ2,2302)*(5-MIN(4,2+'5. Scenarios'!$B$8))/4+INDEX(BookQ3,2302)*(5-MIN(4,3+'5. Scenarios'!$B$8))/4+INDEX(BookQ4,2302)*(5-MIN(4,4+'5. Scenarios'!$B$8))/4)*'5. Scenarios'!$B$6/(1+ProductivityDefault*('5. Scenarios'!$B$11-1))+INDEX(BookOneOff,2302)*$D2307)</f>
        <v/>
      </c>
      <c r="I2307" s="56" t="str">
        <f aca="false">IF(INDEX(BookTitle,2302)="","",INDEX(BookTotal,2302)*'5. Scenarios'!$C$6/(1+ProductivityDefault*('5. Scenarios'!$C$11-1)))</f>
        <v/>
      </c>
      <c r="J2307" s="57" t="str">
        <f aca="false">IF($I2307="","",INDEX(BookRate,2302)*(1+'5. Scenarios'!$C$10)*$I2307)</f>
        <v/>
      </c>
      <c r="K2307" s="57" t="str">
        <f aca="false">IF($J2307="","",SUMIFS($J$6:$J$2405,$A$6:$A$2405,"&lt;="&amp;$A2307))</f>
        <v/>
      </c>
      <c r="L2307" s="57" t="str">
        <f aca="false">IF($J2307="","",IF($K2307&lt;=BankCostEnvelope*'5. Scenarios'!$C$7,1,0))</f>
        <v/>
      </c>
      <c r="M2307" s="57" t="str">
        <f aca="false">IF($I2307="","",INDEX(BookRate,2302)*(1+'5. Scenarios'!$C$10)*(INDEX(BookQ1,2302)*(5-MIN(4,1+'5. Scenarios'!$C$8))/4+INDEX(BookQ2,2302)*(5-MIN(4,2+'5. Scenarios'!$C$8))/4+INDEX(BookQ3,2302)*(5-MIN(4,3+'5. Scenarios'!$C$8))/4+INDEX(BookQ4,2302)*(5-MIN(4,4+'5. Scenarios'!$C$8))/4)*'5. Scenarios'!$C$6/(1+ProductivityDefault*('5. Scenarios'!$C$11-1))+INDEX(BookOneOff,2302)*$I2307)</f>
        <v/>
      </c>
      <c r="N2307" s="56" t="str">
        <f aca="false">IF(INDEX(BookTitle,2302)="","",INDEX(BookTotal,2302)*'5. Scenarios'!$D$6/(1+ProductivityDefault*('5. Scenarios'!$D$11-1)))</f>
        <v/>
      </c>
      <c r="O2307" s="57" t="str">
        <f aca="false">IF($N2307="","",INDEX(BookRate,2302)*(1+'5. Scenarios'!$D$10)*$N2307)</f>
        <v/>
      </c>
      <c r="P2307" s="57" t="str">
        <f aca="false">IF($O2307="","",SUMIFS($O$6:$O$2405,$A$6:$A$2405,"&lt;="&amp;$A2307))</f>
        <v/>
      </c>
      <c r="Q2307" s="57" t="str">
        <f aca="false">IF($O2307="","",IF($P2307&lt;=BankCostEnvelope*'5. Scenarios'!$D$7,1,0))</f>
        <v/>
      </c>
      <c r="R2307" s="57" t="str">
        <f aca="false">IF($N2307="","",INDEX(BookRate,2302)*(1+'5. Scenarios'!$D$10)*(INDEX(BookQ1,2302)*(5-MIN(4,1+'5. Scenarios'!$D$8))/4+INDEX(BookQ2,2302)*(5-MIN(4,2+'5. Scenarios'!$D$8))/4+INDEX(BookQ3,2302)*(5-MIN(4,3+'5. Scenarios'!$D$8))/4+INDEX(BookQ4,2302)*(5-MIN(4,4+'5. Scenarios'!$D$8))/4)*'5. Scenarios'!$D$6/(1+ProductivityDefault*('5. Scenarios'!$D$11-1))+INDEX(BookOneOff,2302)*$N2307)</f>
        <v/>
      </c>
      <c r="S2307" s="56" t="str">
        <f aca="false">IF(INDEX(BookTitle,2302)="","",INDEX(BookTotal,2302)*'5. Scenarios'!$E$6/(1+ProductivityDefault*('5. Scenarios'!$E$11-1)))</f>
        <v/>
      </c>
      <c r="T2307" s="57" t="str">
        <f aca="false">IF($S2307="","",INDEX(BookRate,2302)*(1+'5. Scenarios'!$E$10)*$S2307)</f>
        <v/>
      </c>
      <c r="U2307" s="57" t="str">
        <f aca="false">IF($T2307="","",SUMIFS($T$6:$T$2405,$A$6:$A$2405,"&lt;="&amp;$A2307))</f>
        <v/>
      </c>
      <c r="V2307" s="57" t="str">
        <f aca="false">IF($T2307="","",IF($U2307&lt;=BankCostEnvelope*'5. Scenarios'!$E$7,1,0))</f>
        <v/>
      </c>
      <c r="W2307" s="57" t="str">
        <f aca="false">IF($S2307="","",INDEX(BookRate,2302)*(1+'5. Scenarios'!$E$10)*(INDEX(BookQ1,2302)*(5-MIN(4,1+'5. Scenarios'!$E$8))/4+INDEX(BookQ2,2302)*(5-MIN(4,2+'5. Scenarios'!$E$8))/4+INDEX(BookQ3,2302)*(5-MIN(4,3+'5. Scenarios'!$E$8))/4+INDEX(BookQ4,2302)*(5-MIN(4,4+'5. Scenarios'!$E$8))/4)*'5. Scenarios'!$E$6/(1+ProductivityDefault*('5. Scenarios'!$E$11-1))+INDEX(BookOneOff,2302)*$S2307)</f>
        <v/>
      </c>
    </row>
    <row r="2308" customFormat="false" ht="15" hidden="false" customHeight="false" outlineLevel="0" collapsed="false">
      <c r="A2308" s="0" t="str">
        <f aca="false">IF(INDEX(BookTitle,2303)="","",INDEX(BookKey,2303))</f>
        <v/>
      </c>
      <c r="B2308" s="0" t="str">
        <f aca="false">IF(INDEX(BookTitle,2303)="","",INDEX(BookGroup,2303))</f>
        <v/>
      </c>
      <c r="C2308" s="0" t="str">
        <f aca="false">IF(INDEX(BookTitle,2303)="","",INDEX(BookCategory,2303))</f>
        <v/>
      </c>
      <c r="D2308" s="56" t="str">
        <f aca="false">IF(INDEX(BookTitle,2303)="","",INDEX(BookTotal,2303)*'5. Scenarios'!$B$6/(1+ProductivityDefault*('5. Scenarios'!$B$11-1)))</f>
        <v/>
      </c>
      <c r="E2308" s="57" t="str">
        <f aca="false">IF($D2308="","",INDEX(BookRate,2303)*(1+'5. Scenarios'!$B$10)*$D2308)</f>
        <v/>
      </c>
      <c r="F2308" s="57" t="str">
        <f aca="false">IF($E2308="","",SUMIFS($E$6:$E$2405,$A$6:$A$2405,"&lt;="&amp;$A2308))</f>
        <v/>
      </c>
      <c r="G2308" s="57" t="str">
        <f aca="false">IF($E2308="","",IF($F2308&lt;=BankCostEnvelope*'5. Scenarios'!$B$7,1,0))</f>
        <v/>
      </c>
      <c r="H2308" s="57" t="str">
        <f aca="false">IF($D2308="","",INDEX(BookRate,2303)*(1+'5. Scenarios'!$B$10)*(INDEX(BookQ1,2303)*(5-MIN(4,1+'5. Scenarios'!$B$8))/4+INDEX(BookQ2,2303)*(5-MIN(4,2+'5. Scenarios'!$B$8))/4+INDEX(BookQ3,2303)*(5-MIN(4,3+'5. Scenarios'!$B$8))/4+INDEX(BookQ4,2303)*(5-MIN(4,4+'5. Scenarios'!$B$8))/4)*'5. Scenarios'!$B$6/(1+ProductivityDefault*('5. Scenarios'!$B$11-1))+INDEX(BookOneOff,2303)*$D2308)</f>
        <v/>
      </c>
      <c r="I2308" s="56" t="str">
        <f aca="false">IF(INDEX(BookTitle,2303)="","",INDEX(BookTotal,2303)*'5. Scenarios'!$C$6/(1+ProductivityDefault*('5. Scenarios'!$C$11-1)))</f>
        <v/>
      </c>
      <c r="J2308" s="57" t="str">
        <f aca="false">IF($I2308="","",INDEX(BookRate,2303)*(1+'5. Scenarios'!$C$10)*$I2308)</f>
        <v/>
      </c>
      <c r="K2308" s="57" t="str">
        <f aca="false">IF($J2308="","",SUMIFS($J$6:$J$2405,$A$6:$A$2405,"&lt;="&amp;$A2308))</f>
        <v/>
      </c>
      <c r="L2308" s="57" t="str">
        <f aca="false">IF($J2308="","",IF($K2308&lt;=BankCostEnvelope*'5. Scenarios'!$C$7,1,0))</f>
        <v/>
      </c>
      <c r="M2308" s="57" t="str">
        <f aca="false">IF($I2308="","",INDEX(BookRate,2303)*(1+'5. Scenarios'!$C$10)*(INDEX(BookQ1,2303)*(5-MIN(4,1+'5. Scenarios'!$C$8))/4+INDEX(BookQ2,2303)*(5-MIN(4,2+'5. Scenarios'!$C$8))/4+INDEX(BookQ3,2303)*(5-MIN(4,3+'5. Scenarios'!$C$8))/4+INDEX(BookQ4,2303)*(5-MIN(4,4+'5. Scenarios'!$C$8))/4)*'5. Scenarios'!$C$6/(1+ProductivityDefault*('5. Scenarios'!$C$11-1))+INDEX(BookOneOff,2303)*$I2308)</f>
        <v/>
      </c>
      <c r="N2308" s="56" t="str">
        <f aca="false">IF(INDEX(BookTitle,2303)="","",INDEX(BookTotal,2303)*'5. Scenarios'!$D$6/(1+ProductivityDefault*('5. Scenarios'!$D$11-1)))</f>
        <v/>
      </c>
      <c r="O2308" s="57" t="str">
        <f aca="false">IF($N2308="","",INDEX(BookRate,2303)*(1+'5. Scenarios'!$D$10)*$N2308)</f>
        <v/>
      </c>
      <c r="P2308" s="57" t="str">
        <f aca="false">IF($O2308="","",SUMIFS($O$6:$O$2405,$A$6:$A$2405,"&lt;="&amp;$A2308))</f>
        <v/>
      </c>
      <c r="Q2308" s="57" t="str">
        <f aca="false">IF($O2308="","",IF($P2308&lt;=BankCostEnvelope*'5. Scenarios'!$D$7,1,0))</f>
        <v/>
      </c>
      <c r="R2308" s="57" t="str">
        <f aca="false">IF($N2308="","",INDEX(BookRate,2303)*(1+'5. Scenarios'!$D$10)*(INDEX(BookQ1,2303)*(5-MIN(4,1+'5. Scenarios'!$D$8))/4+INDEX(BookQ2,2303)*(5-MIN(4,2+'5. Scenarios'!$D$8))/4+INDEX(BookQ3,2303)*(5-MIN(4,3+'5. Scenarios'!$D$8))/4+INDEX(BookQ4,2303)*(5-MIN(4,4+'5. Scenarios'!$D$8))/4)*'5. Scenarios'!$D$6/(1+ProductivityDefault*('5. Scenarios'!$D$11-1))+INDEX(BookOneOff,2303)*$N2308)</f>
        <v/>
      </c>
      <c r="S2308" s="56" t="str">
        <f aca="false">IF(INDEX(BookTitle,2303)="","",INDEX(BookTotal,2303)*'5. Scenarios'!$E$6/(1+ProductivityDefault*('5. Scenarios'!$E$11-1)))</f>
        <v/>
      </c>
      <c r="T2308" s="57" t="str">
        <f aca="false">IF($S2308="","",INDEX(BookRate,2303)*(1+'5. Scenarios'!$E$10)*$S2308)</f>
        <v/>
      </c>
      <c r="U2308" s="57" t="str">
        <f aca="false">IF($T2308="","",SUMIFS($T$6:$T$2405,$A$6:$A$2405,"&lt;="&amp;$A2308))</f>
        <v/>
      </c>
      <c r="V2308" s="57" t="str">
        <f aca="false">IF($T2308="","",IF($U2308&lt;=BankCostEnvelope*'5. Scenarios'!$E$7,1,0))</f>
        <v/>
      </c>
      <c r="W2308" s="57" t="str">
        <f aca="false">IF($S2308="","",INDEX(BookRate,2303)*(1+'5. Scenarios'!$E$10)*(INDEX(BookQ1,2303)*(5-MIN(4,1+'5. Scenarios'!$E$8))/4+INDEX(BookQ2,2303)*(5-MIN(4,2+'5. Scenarios'!$E$8))/4+INDEX(BookQ3,2303)*(5-MIN(4,3+'5. Scenarios'!$E$8))/4+INDEX(BookQ4,2303)*(5-MIN(4,4+'5. Scenarios'!$E$8))/4)*'5. Scenarios'!$E$6/(1+ProductivityDefault*('5. Scenarios'!$E$11-1))+INDEX(BookOneOff,2303)*$S2308)</f>
        <v/>
      </c>
    </row>
    <row r="2309" customFormat="false" ht="15" hidden="false" customHeight="false" outlineLevel="0" collapsed="false">
      <c r="A2309" s="0" t="str">
        <f aca="false">IF(INDEX(BookTitle,2304)="","",INDEX(BookKey,2304))</f>
        <v/>
      </c>
      <c r="B2309" s="0" t="str">
        <f aca="false">IF(INDEX(BookTitle,2304)="","",INDEX(BookGroup,2304))</f>
        <v/>
      </c>
      <c r="C2309" s="0" t="str">
        <f aca="false">IF(INDEX(BookTitle,2304)="","",INDEX(BookCategory,2304))</f>
        <v/>
      </c>
      <c r="D2309" s="56" t="str">
        <f aca="false">IF(INDEX(BookTitle,2304)="","",INDEX(BookTotal,2304)*'5. Scenarios'!$B$6/(1+ProductivityDefault*('5. Scenarios'!$B$11-1)))</f>
        <v/>
      </c>
      <c r="E2309" s="57" t="str">
        <f aca="false">IF($D2309="","",INDEX(BookRate,2304)*(1+'5. Scenarios'!$B$10)*$D2309)</f>
        <v/>
      </c>
      <c r="F2309" s="57" t="str">
        <f aca="false">IF($E2309="","",SUMIFS($E$6:$E$2405,$A$6:$A$2405,"&lt;="&amp;$A2309))</f>
        <v/>
      </c>
      <c r="G2309" s="57" t="str">
        <f aca="false">IF($E2309="","",IF($F2309&lt;=BankCostEnvelope*'5. Scenarios'!$B$7,1,0))</f>
        <v/>
      </c>
      <c r="H2309" s="57" t="str">
        <f aca="false">IF($D2309="","",INDEX(BookRate,2304)*(1+'5. Scenarios'!$B$10)*(INDEX(BookQ1,2304)*(5-MIN(4,1+'5. Scenarios'!$B$8))/4+INDEX(BookQ2,2304)*(5-MIN(4,2+'5. Scenarios'!$B$8))/4+INDEX(BookQ3,2304)*(5-MIN(4,3+'5. Scenarios'!$B$8))/4+INDEX(BookQ4,2304)*(5-MIN(4,4+'5. Scenarios'!$B$8))/4)*'5. Scenarios'!$B$6/(1+ProductivityDefault*('5. Scenarios'!$B$11-1))+INDEX(BookOneOff,2304)*$D2309)</f>
        <v/>
      </c>
      <c r="I2309" s="56" t="str">
        <f aca="false">IF(INDEX(BookTitle,2304)="","",INDEX(BookTotal,2304)*'5. Scenarios'!$C$6/(1+ProductivityDefault*('5. Scenarios'!$C$11-1)))</f>
        <v/>
      </c>
      <c r="J2309" s="57" t="str">
        <f aca="false">IF($I2309="","",INDEX(BookRate,2304)*(1+'5. Scenarios'!$C$10)*$I2309)</f>
        <v/>
      </c>
      <c r="K2309" s="57" t="str">
        <f aca="false">IF($J2309="","",SUMIFS($J$6:$J$2405,$A$6:$A$2405,"&lt;="&amp;$A2309))</f>
        <v/>
      </c>
      <c r="L2309" s="57" t="str">
        <f aca="false">IF($J2309="","",IF($K2309&lt;=BankCostEnvelope*'5. Scenarios'!$C$7,1,0))</f>
        <v/>
      </c>
      <c r="M2309" s="57" t="str">
        <f aca="false">IF($I2309="","",INDEX(BookRate,2304)*(1+'5. Scenarios'!$C$10)*(INDEX(BookQ1,2304)*(5-MIN(4,1+'5. Scenarios'!$C$8))/4+INDEX(BookQ2,2304)*(5-MIN(4,2+'5. Scenarios'!$C$8))/4+INDEX(BookQ3,2304)*(5-MIN(4,3+'5. Scenarios'!$C$8))/4+INDEX(BookQ4,2304)*(5-MIN(4,4+'5. Scenarios'!$C$8))/4)*'5. Scenarios'!$C$6/(1+ProductivityDefault*('5. Scenarios'!$C$11-1))+INDEX(BookOneOff,2304)*$I2309)</f>
        <v/>
      </c>
      <c r="N2309" s="56" t="str">
        <f aca="false">IF(INDEX(BookTitle,2304)="","",INDEX(BookTotal,2304)*'5. Scenarios'!$D$6/(1+ProductivityDefault*('5. Scenarios'!$D$11-1)))</f>
        <v/>
      </c>
      <c r="O2309" s="57" t="str">
        <f aca="false">IF($N2309="","",INDEX(BookRate,2304)*(1+'5. Scenarios'!$D$10)*$N2309)</f>
        <v/>
      </c>
      <c r="P2309" s="57" t="str">
        <f aca="false">IF($O2309="","",SUMIFS($O$6:$O$2405,$A$6:$A$2405,"&lt;="&amp;$A2309))</f>
        <v/>
      </c>
      <c r="Q2309" s="57" t="str">
        <f aca="false">IF($O2309="","",IF($P2309&lt;=BankCostEnvelope*'5. Scenarios'!$D$7,1,0))</f>
        <v/>
      </c>
      <c r="R2309" s="57" t="str">
        <f aca="false">IF($N2309="","",INDEX(BookRate,2304)*(1+'5. Scenarios'!$D$10)*(INDEX(BookQ1,2304)*(5-MIN(4,1+'5. Scenarios'!$D$8))/4+INDEX(BookQ2,2304)*(5-MIN(4,2+'5. Scenarios'!$D$8))/4+INDEX(BookQ3,2304)*(5-MIN(4,3+'5. Scenarios'!$D$8))/4+INDEX(BookQ4,2304)*(5-MIN(4,4+'5. Scenarios'!$D$8))/4)*'5. Scenarios'!$D$6/(1+ProductivityDefault*('5. Scenarios'!$D$11-1))+INDEX(BookOneOff,2304)*$N2309)</f>
        <v/>
      </c>
      <c r="S2309" s="56" t="str">
        <f aca="false">IF(INDEX(BookTitle,2304)="","",INDEX(BookTotal,2304)*'5. Scenarios'!$E$6/(1+ProductivityDefault*('5. Scenarios'!$E$11-1)))</f>
        <v/>
      </c>
      <c r="T2309" s="57" t="str">
        <f aca="false">IF($S2309="","",INDEX(BookRate,2304)*(1+'5. Scenarios'!$E$10)*$S2309)</f>
        <v/>
      </c>
      <c r="U2309" s="57" t="str">
        <f aca="false">IF($T2309="","",SUMIFS($T$6:$T$2405,$A$6:$A$2405,"&lt;="&amp;$A2309))</f>
        <v/>
      </c>
      <c r="V2309" s="57" t="str">
        <f aca="false">IF($T2309="","",IF($U2309&lt;=BankCostEnvelope*'5. Scenarios'!$E$7,1,0))</f>
        <v/>
      </c>
      <c r="W2309" s="57" t="str">
        <f aca="false">IF($S2309="","",INDEX(BookRate,2304)*(1+'5. Scenarios'!$E$10)*(INDEX(BookQ1,2304)*(5-MIN(4,1+'5. Scenarios'!$E$8))/4+INDEX(BookQ2,2304)*(5-MIN(4,2+'5. Scenarios'!$E$8))/4+INDEX(BookQ3,2304)*(5-MIN(4,3+'5. Scenarios'!$E$8))/4+INDEX(BookQ4,2304)*(5-MIN(4,4+'5. Scenarios'!$E$8))/4)*'5. Scenarios'!$E$6/(1+ProductivityDefault*('5. Scenarios'!$E$11-1))+INDEX(BookOneOff,2304)*$S2309)</f>
        <v/>
      </c>
    </row>
    <row r="2310" customFormat="false" ht="15" hidden="false" customHeight="false" outlineLevel="0" collapsed="false">
      <c r="A2310" s="0" t="str">
        <f aca="false">IF(INDEX(BookTitle,2305)="","",INDEX(BookKey,2305))</f>
        <v/>
      </c>
      <c r="B2310" s="0" t="str">
        <f aca="false">IF(INDEX(BookTitle,2305)="","",INDEX(BookGroup,2305))</f>
        <v/>
      </c>
      <c r="C2310" s="0" t="str">
        <f aca="false">IF(INDEX(BookTitle,2305)="","",INDEX(BookCategory,2305))</f>
        <v/>
      </c>
      <c r="D2310" s="56" t="str">
        <f aca="false">IF(INDEX(BookTitle,2305)="","",INDEX(BookTotal,2305)*'5. Scenarios'!$B$6/(1+ProductivityDefault*('5. Scenarios'!$B$11-1)))</f>
        <v/>
      </c>
      <c r="E2310" s="57" t="str">
        <f aca="false">IF($D2310="","",INDEX(BookRate,2305)*(1+'5. Scenarios'!$B$10)*$D2310)</f>
        <v/>
      </c>
      <c r="F2310" s="57" t="str">
        <f aca="false">IF($E2310="","",SUMIFS($E$6:$E$2405,$A$6:$A$2405,"&lt;="&amp;$A2310))</f>
        <v/>
      </c>
      <c r="G2310" s="57" t="str">
        <f aca="false">IF($E2310="","",IF($F2310&lt;=BankCostEnvelope*'5. Scenarios'!$B$7,1,0))</f>
        <v/>
      </c>
      <c r="H2310" s="57" t="str">
        <f aca="false">IF($D2310="","",INDEX(BookRate,2305)*(1+'5. Scenarios'!$B$10)*(INDEX(BookQ1,2305)*(5-MIN(4,1+'5. Scenarios'!$B$8))/4+INDEX(BookQ2,2305)*(5-MIN(4,2+'5. Scenarios'!$B$8))/4+INDEX(BookQ3,2305)*(5-MIN(4,3+'5. Scenarios'!$B$8))/4+INDEX(BookQ4,2305)*(5-MIN(4,4+'5. Scenarios'!$B$8))/4)*'5. Scenarios'!$B$6/(1+ProductivityDefault*('5. Scenarios'!$B$11-1))+INDEX(BookOneOff,2305)*$D2310)</f>
        <v/>
      </c>
      <c r="I2310" s="56" t="str">
        <f aca="false">IF(INDEX(BookTitle,2305)="","",INDEX(BookTotal,2305)*'5. Scenarios'!$C$6/(1+ProductivityDefault*('5. Scenarios'!$C$11-1)))</f>
        <v/>
      </c>
      <c r="J2310" s="57" t="str">
        <f aca="false">IF($I2310="","",INDEX(BookRate,2305)*(1+'5. Scenarios'!$C$10)*$I2310)</f>
        <v/>
      </c>
      <c r="K2310" s="57" t="str">
        <f aca="false">IF($J2310="","",SUMIFS($J$6:$J$2405,$A$6:$A$2405,"&lt;="&amp;$A2310))</f>
        <v/>
      </c>
      <c r="L2310" s="57" t="str">
        <f aca="false">IF($J2310="","",IF($K2310&lt;=BankCostEnvelope*'5. Scenarios'!$C$7,1,0))</f>
        <v/>
      </c>
      <c r="M2310" s="57" t="str">
        <f aca="false">IF($I2310="","",INDEX(BookRate,2305)*(1+'5. Scenarios'!$C$10)*(INDEX(BookQ1,2305)*(5-MIN(4,1+'5. Scenarios'!$C$8))/4+INDEX(BookQ2,2305)*(5-MIN(4,2+'5. Scenarios'!$C$8))/4+INDEX(BookQ3,2305)*(5-MIN(4,3+'5. Scenarios'!$C$8))/4+INDEX(BookQ4,2305)*(5-MIN(4,4+'5. Scenarios'!$C$8))/4)*'5. Scenarios'!$C$6/(1+ProductivityDefault*('5. Scenarios'!$C$11-1))+INDEX(BookOneOff,2305)*$I2310)</f>
        <v/>
      </c>
      <c r="N2310" s="56" t="str">
        <f aca="false">IF(INDEX(BookTitle,2305)="","",INDEX(BookTotal,2305)*'5. Scenarios'!$D$6/(1+ProductivityDefault*('5. Scenarios'!$D$11-1)))</f>
        <v/>
      </c>
      <c r="O2310" s="57" t="str">
        <f aca="false">IF($N2310="","",INDEX(BookRate,2305)*(1+'5. Scenarios'!$D$10)*$N2310)</f>
        <v/>
      </c>
      <c r="P2310" s="57" t="str">
        <f aca="false">IF($O2310="","",SUMIFS($O$6:$O$2405,$A$6:$A$2405,"&lt;="&amp;$A2310))</f>
        <v/>
      </c>
      <c r="Q2310" s="57" t="str">
        <f aca="false">IF($O2310="","",IF($P2310&lt;=BankCostEnvelope*'5. Scenarios'!$D$7,1,0))</f>
        <v/>
      </c>
      <c r="R2310" s="57" t="str">
        <f aca="false">IF($N2310="","",INDEX(BookRate,2305)*(1+'5. Scenarios'!$D$10)*(INDEX(BookQ1,2305)*(5-MIN(4,1+'5. Scenarios'!$D$8))/4+INDEX(BookQ2,2305)*(5-MIN(4,2+'5. Scenarios'!$D$8))/4+INDEX(BookQ3,2305)*(5-MIN(4,3+'5. Scenarios'!$D$8))/4+INDEX(BookQ4,2305)*(5-MIN(4,4+'5. Scenarios'!$D$8))/4)*'5. Scenarios'!$D$6/(1+ProductivityDefault*('5. Scenarios'!$D$11-1))+INDEX(BookOneOff,2305)*$N2310)</f>
        <v/>
      </c>
      <c r="S2310" s="56" t="str">
        <f aca="false">IF(INDEX(BookTitle,2305)="","",INDEX(BookTotal,2305)*'5. Scenarios'!$E$6/(1+ProductivityDefault*('5. Scenarios'!$E$11-1)))</f>
        <v/>
      </c>
      <c r="T2310" s="57" t="str">
        <f aca="false">IF($S2310="","",INDEX(BookRate,2305)*(1+'5. Scenarios'!$E$10)*$S2310)</f>
        <v/>
      </c>
      <c r="U2310" s="57" t="str">
        <f aca="false">IF($T2310="","",SUMIFS($T$6:$T$2405,$A$6:$A$2405,"&lt;="&amp;$A2310))</f>
        <v/>
      </c>
      <c r="V2310" s="57" t="str">
        <f aca="false">IF($T2310="","",IF($U2310&lt;=BankCostEnvelope*'5. Scenarios'!$E$7,1,0))</f>
        <v/>
      </c>
      <c r="W2310" s="57" t="str">
        <f aca="false">IF($S2310="","",INDEX(BookRate,2305)*(1+'5. Scenarios'!$E$10)*(INDEX(BookQ1,2305)*(5-MIN(4,1+'5. Scenarios'!$E$8))/4+INDEX(BookQ2,2305)*(5-MIN(4,2+'5. Scenarios'!$E$8))/4+INDEX(BookQ3,2305)*(5-MIN(4,3+'5. Scenarios'!$E$8))/4+INDEX(BookQ4,2305)*(5-MIN(4,4+'5. Scenarios'!$E$8))/4)*'5. Scenarios'!$E$6/(1+ProductivityDefault*('5. Scenarios'!$E$11-1))+INDEX(BookOneOff,2305)*$S2310)</f>
        <v/>
      </c>
    </row>
    <row r="2311" customFormat="false" ht="15" hidden="false" customHeight="false" outlineLevel="0" collapsed="false">
      <c r="A2311" s="0" t="str">
        <f aca="false">IF(INDEX(BookTitle,2306)="","",INDEX(BookKey,2306))</f>
        <v/>
      </c>
      <c r="B2311" s="0" t="str">
        <f aca="false">IF(INDEX(BookTitle,2306)="","",INDEX(BookGroup,2306))</f>
        <v/>
      </c>
      <c r="C2311" s="0" t="str">
        <f aca="false">IF(INDEX(BookTitle,2306)="","",INDEX(BookCategory,2306))</f>
        <v/>
      </c>
      <c r="D2311" s="56" t="str">
        <f aca="false">IF(INDEX(BookTitle,2306)="","",INDEX(BookTotal,2306)*'5. Scenarios'!$B$6/(1+ProductivityDefault*('5. Scenarios'!$B$11-1)))</f>
        <v/>
      </c>
      <c r="E2311" s="57" t="str">
        <f aca="false">IF($D2311="","",INDEX(BookRate,2306)*(1+'5. Scenarios'!$B$10)*$D2311)</f>
        <v/>
      </c>
      <c r="F2311" s="57" t="str">
        <f aca="false">IF($E2311="","",SUMIFS($E$6:$E$2405,$A$6:$A$2405,"&lt;="&amp;$A2311))</f>
        <v/>
      </c>
      <c r="G2311" s="57" t="str">
        <f aca="false">IF($E2311="","",IF($F2311&lt;=BankCostEnvelope*'5. Scenarios'!$B$7,1,0))</f>
        <v/>
      </c>
      <c r="H2311" s="57" t="str">
        <f aca="false">IF($D2311="","",INDEX(BookRate,2306)*(1+'5. Scenarios'!$B$10)*(INDEX(BookQ1,2306)*(5-MIN(4,1+'5. Scenarios'!$B$8))/4+INDEX(BookQ2,2306)*(5-MIN(4,2+'5. Scenarios'!$B$8))/4+INDEX(BookQ3,2306)*(5-MIN(4,3+'5. Scenarios'!$B$8))/4+INDEX(BookQ4,2306)*(5-MIN(4,4+'5. Scenarios'!$B$8))/4)*'5. Scenarios'!$B$6/(1+ProductivityDefault*('5. Scenarios'!$B$11-1))+INDEX(BookOneOff,2306)*$D2311)</f>
        <v/>
      </c>
      <c r="I2311" s="56" t="str">
        <f aca="false">IF(INDEX(BookTitle,2306)="","",INDEX(BookTotal,2306)*'5. Scenarios'!$C$6/(1+ProductivityDefault*('5. Scenarios'!$C$11-1)))</f>
        <v/>
      </c>
      <c r="J2311" s="57" t="str">
        <f aca="false">IF($I2311="","",INDEX(BookRate,2306)*(1+'5. Scenarios'!$C$10)*$I2311)</f>
        <v/>
      </c>
      <c r="K2311" s="57" t="str">
        <f aca="false">IF($J2311="","",SUMIFS($J$6:$J$2405,$A$6:$A$2405,"&lt;="&amp;$A2311))</f>
        <v/>
      </c>
      <c r="L2311" s="57" t="str">
        <f aca="false">IF($J2311="","",IF($K2311&lt;=BankCostEnvelope*'5. Scenarios'!$C$7,1,0))</f>
        <v/>
      </c>
      <c r="M2311" s="57" t="str">
        <f aca="false">IF($I2311="","",INDEX(BookRate,2306)*(1+'5. Scenarios'!$C$10)*(INDEX(BookQ1,2306)*(5-MIN(4,1+'5. Scenarios'!$C$8))/4+INDEX(BookQ2,2306)*(5-MIN(4,2+'5. Scenarios'!$C$8))/4+INDEX(BookQ3,2306)*(5-MIN(4,3+'5. Scenarios'!$C$8))/4+INDEX(BookQ4,2306)*(5-MIN(4,4+'5. Scenarios'!$C$8))/4)*'5. Scenarios'!$C$6/(1+ProductivityDefault*('5. Scenarios'!$C$11-1))+INDEX(BookOneOff,2306)*$I2311)</f>
        <v/>
      </c>
      <c r="N2311" s="56" t="str">
        <f aca="false">IF(INDEX(BookTitle,2306)="","",INDEX(BookTotal,2306)*'5. Scenarios'!$D$6/(1+ProductivityDefault*('5. Scenarios'!$D$11-1)))</f>
        <v/>
      </c>
      <c r="O2311" s="57" t="str">
        <f aca="false">IF($N2311="","",INDEX(BookRate,2306)*(1+'5. Scenarios'!$D$10)*$N2311)</f>
        <v/>
      </c>
      <c r="P2311" s="57" t="str">
        <f aca="false">IF($O2311="","",SUMIFS($O$6:$O$2405,$A$6:$A$2405,"&lt;="&amp;$A2311))</f>
        <v/>
      </c>
      <c r="Q2311" s="57" t="str">
        <f aca="false">IF($O2311="","",IF($P2311&lt;=BankCostEnvelope*'5. Scenarios'!$D$7,1,0))</f>
        <v/>
      </c>
      <c r="R2311" s="57" t="str">
        <f aca="false">IF($N2311="","",INDEX(BookRate,2306)*(1+'5. Scenarios'!$D$10)*(INDEX(BookQ1,2306)*(5-MIN(4,1+'5. Scenarios'!$D$8))/4+INDEX(BookQ2,2306)*(5-MIN(4,2+'5. Scenarios'!$D$8))/4+INDEX(BookQ3,2306)*(5-MIN(4,3+'5. Scenarios'!$D$8))/4+INDEX(BookQ4,2306)*(5-MIN(4,4+'5. Scenarios'!$D$8))/4)*'5. Scenarios'!$D$6/(1+ProductivityDefault*('5. Scenarios'!$D$11-1))+INDEX(BookOneOff,2306)*$N2311)</f>
        <v/>
      </c>
      <c r="S2311" s="56" t="str">
        <f aca="false">IF(INDEX(BookTitle,2306)="","",INDEX(BookTotal,2306)*'5. Scenarios'!$E$6/(1+ProductivityDefault*('5. Scenarios'!$E$11-1)))</f>
        <v/>
      </c>
      <c r="T2311" s="57" t="str">
        <f aca="false">IF($S2311="","",INDEX(BookRate,2306)*(1+'5. Scenarios'!$E$10)*$S2311)</f>
        <v/>
      </c>
      <c r="U2311" s="57" t="str">
        <f aca="false">IF($T2311="","",SUMIFS($T$6:$T$2405,$A$6:$A$2405,"&lt;="&amp;$A2311))</f>
        <v/>
      </c>
      <c r="V2311" s="57" t="str">
        <f aca="false">IF($T2311="","",IF($U2311&lt;=BankCostEnvelope*'5. Scenarios'!$E$7,1,0))</f>
        <v/>
      </c>
      <c r="W2311" s="57" t="str">
        <f aca="false">IF($S2311="","",INDEX(BookRate,2306)*(1+'5. Scenarios'!$E$10)*(INDEX(BookQ1,2306)*(5-MIN(4,1+'5. Scenarios'!$E$8))/4+INDEX(BookQ2,2306)*(5-MIN(4,2+'5. Scenarios'!$E$8))/4+INDEX(BookQ3,2306)*(5-MIN(4,3+'5. Scenarios'!$E$8))/4+INDEX(BookQ4,2306)*(5-MIN(4,4+'5. Scenarios'!$E$8))/4)*'5. Scenarios'!$E$6/(1+ProductivityDefault*('5. Scenarios'!$E$11-1))+INDEX(BookOneOff,2306)*$S2311)</f>
        <v/>
      </c>
    </row>
    <row r="2312" customFormat="false" ht="15" hidden="false" customHeight="false" outlineLevel="0" collapsed="false">
      <c r="A2312" s="0" t="str">
        <f aca="false">IF(INDEX(BookTitle,2307)="","",INDEX(BookKey,2307))</f>
        <v/>
      </c>
      <c r="B2312" s="0" t="str">
        <f aca="false">IF(INDEX(BookTitle,2307)="","",INDEX(BookGroup,2307))</f>
        <v/>
      </c>
      <c r="C2312" s="0" t="str">
        <f aca="false">IF(INDEX(BookTitle,2307)="","",INDEX(BookCategory,2307))</f>
        <v/>
      </c>
      <c r="D2312" s="56" t="str">
        <f aca="false">IF(INDEX(BookTitle,2307)="","",INDEX(BookTotal,2307)*'5. Scenarios'!$B$6/(1+ProductivityDefault*('5. Scenarios'!$B$11-1)))</f>
        <v/>
      </c>
      <c r="E2312" s="57" t="str">
        <f aca="false">IF($D2312="","",INDEX(BookRate,2307)*(1+'5. Scenarios'!$B$10)*$D2312)</f>
        <v/>
      </c>
      <c r="F2312" s="57" t="str">
        <f aca="false">IF($E2312="","",SUMIFS($E$6:$E$2405,$A$6:$A$2405,"&lt;="&amp;$A2312))</f>
        <v/>
      </c>
      <c r="G2312" s="57" t="str">
        <f aca="false">IF($E2312="","",IF($F2312&lt;=BankCostEnvelope*'5. Scenarios'!$B$7,1,0))</f>
        <v/>
      </c>
      <c r="H2312" s="57" t="str">
        <f aca="false">IF($D2312="","",INDEX(BookRate,2307)*(1+'5. Scenarios'!$B$10)*(INDEX(BookQ1,2307)*(5-MIN(4,1+'5. Scenarios'!$B$8))/4+INDEX(BookQ2,2307)*(5-MIN(4,2+'5. Scenarios'!$B$8))/4+INDEX(BookQ3,2307)*(5-MIN(4,3+'5. Scenarios'!$B$8))/4+INDEX(BookQ4,2307)*(5-MIN(4,4+'5. Scenarios'!$B$8))/4)*'5. Scenarios'!$B$6/(1+ProductivityDefault*('5. Scenarios'!$B$11-1))+INDEX(BookOneOff,2307)*$D2312)</f>
        <v/>
      </c>
      <c r="I2312" s="56" t="str">
        <f aca="false">IF(INDEX(BookTitle,2307)="","",INDEX(BookTotal,2307)*'5. Scenarios'!$C$6/(1+ProductivityDefault*('5. Scenarios'!$C$11-1)))</f>
        <v/>
      </c>
      <c r="J2312" s="57" t="str">
        <f aca="false">IF($I2312="","",INDEX(BookRate,2307)*(1+'5. Scenarios'!$C$10)*$I2312)</f>
        <v/>
      </c>
      <c r="K2312" s="57" t="str">
        <f aca="false">IF($J2312="","",SUMIFS($J$6:$J$2405,$A$6:$A$2405,"&lt;="&amp;$A2312))</f>
        <v/>
      </c>
      <c r="L2312" s="57" t="str">
        <f aca="false">IF($J2312="","",IF($K2312&lt;=BankCostEnvelope*'5. Scenarios'!$C$7,1,0))</f>
        <v/>
      </c>
      <c r="M2312" s="57" t="str">
        <f aca="false">IF($I2312="","",INDEX(BookRate,2307)*(1+'5. Scenarios'!$C$10)*(INDEX(BookQ1,2307)*(5-MIN(4,1+'5. Scenarios'!$C$8))/4+INDEX(BookQ2,2307)*(5-MIN(4,2+'5. Scenarios'!$C$8))/4+INDEX(BookQ3,2307)*(5-MIN(4,3+'5. Scenarios'!$C$8))/4+INDEX(BookQ4,2307)*(5-MIN(4,4+'5. Scenarios'!$C$8))/4)*'5. Scenarios'!$C$6/(1+ProductivityDefault*('5. Scenarios'!$C$11-1))+INDEX(BookOneOff,2307)*$I2312)</f>
        <v/>
      </c>
      <c r="N2312" s="56" t="str">
        <f aca="false">IF(INDEX(BookTitle,2307)="","",INDEX(BookTotal,2307)*'5. Scenarios'!$D$6/(1+ProductivityDefault*('5. Scenarios'!$D$11-1)))</f>
        <v/>
      </c>
      <c r="O2312" s="57" t="str">
        <f aca="false">IF($N2312="","",INDEX(BookRate,2307)*(1+'5. Scenarios'!$D$10)*$N2312)</f>
        <v/>
      </c>
      <c r="P2312" s="57" t="str">
        <f aca="false">IF($O2312="","",SUMIFS($O$6:$O$2405,$A$6:$A$2405,"&lt;="&amp;$A2312))</f>
        <v/>
      </c>
      <c r="Q2312" s="57" t="str">
        <f aca="false">IF($O2312="","",IF($P2312&lt;=BankCostEnvelope*'5. Scenarios'!$D$7,1,0))</f>
        <v/>
      </c>
      <c r="R2312" s="57" t="str">
        <f aca="false">IF($N2312="","",INDEX(BookRate,2307)*(1+'5. Scenarios'!$D$10)*(INDEX(BookQ1,2307)*(5-MIN(4,1+'5. Scenarios'!$D$8))/4+INDEX(BookQ2,2307)*(5-MIN(4,2+'5. Scenarios'!$D$8))/4+INDEX(BookQ3,2307)*(5-MIN(4,3+'5. Scenarios'!$D$8))/4+INDEX(BookQ4,2307)*(5-MIN(4,4+'5. Scenarios'!$D$8))/4)*'5. Scenarios'!$D$6/(1+ProductivityDefault*('5. Scenarios'!$D$11-1))+INDEX(BookOneOff,2307)*$N2312)</f>
        <v/>
      </c>
      <c r="S2312" s="56" t="str">
        <f aca="false">IF(INDEX(BookTitle,2307)="","",INDEX(BookTotal,2307)*'5. Scenarios'!$E$6/(1+ProductivityDefault*('5. Scenarios'!$E$11-1)))</f>
        <v/>
      </c>
      <c r="T2312" s="57" t="str">
        <f aca="false">IF($S2312="","",INDEX(BookRate,2307)*(1+'5. Scenarios'!$E$10)*$S2312)</f>
        <v/>
      </c>
      <c r="U2312" s="57" t="str">
        <f aca="false">IF($T2312="","",SUMIFS($T$6:$T$2405,$A$6:$A$2405,"&lt;="&amp;$A2312))</f>
        <v/>
      </c>
      <c r="V2312" s="57" t="str">
        <f aca="false">IF($T2312="","",IF($U2312&lt;=BankCostEnvelope*'5. Scenarios'!$E$7,1,0))</f>
        <v/>
      </c>
      <c r="W2312" s="57" t="str">
        <f aca="false">IF($S2312="","",INDEX(BookRate,2307)*(1+'5. Scenarios'!$E$10)*(INDEX(BookQ1,2307)*(5-MIN(4,1+'5. Scenarios'!$E$8))/4+INDEX(BookQ2,2307)*(5-MIN(4,2+'5. Scenarios'!$E$8))/4+INDEX(BookQ3,2307)*(5-MIN(4,3+'5. Scenarios'!$E$8))/4+INDEX(BookQ4,2307)*(5-MIN(4,4+'5. Scenarios'!$E$8))/4)*'5. Scenarios'!$E$6/(1+ProductivityDefault*('5. Scenarios'!$E$11-1))+INDEX(BookOneOff,2307)*$S2312)</f>
        <v/>
      </c>
    </row>
    <row r="2313" customFormat="false" ht="15" hidden="false" customHeight="false" outlineLevel="0" collapsed="false">
      <c r="A2313" s="0" t="str">
        <f aca="false">IF(INDEX(BookTitle,2308)="","",INDEX(BookKey,2308))</f>
        <v/>
      </c>
      <c r="B2313" s="0" t="str">
        <f aca="false">IF(INDEX(BookTitle,2308)="","",INDEX(BookGroup,2308))</f>
        <v/>
      </c>
      <c r="C2313" s="0" t="str">
        <f aca="false">IF(INDEX(BookTitle,2308)="","",INDEX(BookCategory,2308))</f>
        <v/>
      </c>
      <c r="D2313" s="56" t="str">
        <f aca="false">IF(INDEX(BookTitle,2308)="","",INDEX(BookTotal,2308)*'5. Scenarios'!$B$6/(1+ProductivityDefault*('5. Scenarios'!$B$11-1)))</f>
        <v/>
      </c>
      <c r="E2313" s="57" t="str">
        <f aca="false">IF($D2313="","",INDEX(BookRate,2308)*(1+'5. Scenarios'!$B$10)*$D2313)</f>
        <v/>
      </c>
      <c r="F2313" s="57" t="str">
        <f aca="false">IF($E2313="","",SUMIFS($E$6:$E$2405,$A$6:$A$2405,"&lt;="&amp;$A2313))</f>
        <v/>
      </c>
      <c r="G2313" s="57" t="str">
        <f aca="false">IF($E2313="","",IF($F2313&lt;=BankCostEnvelope*'5. Scenarios'!$B$7,1,0))</f>
        <v/>
      </c>
      <c r="H2313" s="57" t="str">
        <f aca="false">IF($D2313="","",INDEX(BookRate,2308)*(1+'5. Scenarios'!$B$10)*(INDEX(BookQ1,2308)*(5-MIN(4,1+'5. Scenarios'!$B$8))/4+INDEX(BookQ2,2308)*(5-MIN(4,2+'5. Scenarios'!$B$8))/4+INDEX(BookQ3,2308)*(5-MIN(4,3+'5. Scenarios'!$B$8))/4+INDEX(BookQ4,2308)*(5-MIN(4,4+'5. Scenarios'!$B$8))/4)*'5. Scenarios'!$B$6/(1+ProductivityDefault*('5. Scenarios'!$B$11-1))+INDEX(BookOneOff,2308)*$D2313)</f>
        <v/>
      </c>
      <c r="I2313" s="56" t="str">
        <f aca="false">IF(INDEX(BookTitle,2308)="","",INDEX(BookTotal,2308)*'5. Scenarios'!$C$6/(1+ProductivityDefault*('5. Scenarios'!$C$11-1)))</f>
        <v/>
      </c>
      <c r="J2313" s="57" t="str">
        <f aca="false">IF($I2313="","",INDEX(BookRate,2308)*(1+'5. Scenarios'!$C$10)*$I2313)</f>
        <v/>
      </c>
      <c r="K2313" s="57" t="str">
        <f aca="false">IF($J2313="","",SUMIFS($J$6:$J$2405,$A$6:$A$2405,"&lt;="&amp;$A2313))</f>
        <v/>
      </c>
      <c r="L2313" s="57" t="str">
        <f aca="false">IF($J2313="","",IF($K2313&lt;=BankCostEnvelope*'5. Scenarios'!$C$7,1,0))</f>
        <v/>
      </c>
      <c r="M2313" s="57" t="str">
        <f aca="false">IF($I2313="","",INDEX(BookRate,2308)*(1+'5. Scenarios'!$C$10)*(INDEX(BookQ1,2308)*(5-MIN(4,1+'5. Scenarios'!$C$8))/4+INDEX(BookQ2,2308)*(5-MIN(4,2+'5. Scenarios'!$C$8))/4+INDEX(BookQ3,2308)*(5-MIN(4,3+'5. Scenarios'!$C$8))/4+INDEX(BookQ4,2308)*(5-MIN(4,4+'5. Scenarios'!$C$8))/4)*'5. Scenarios'!$C$6/(1+ProductivityDefault*('5. Scenarios'!$C$11-1))+INDEX(BookOneOff,2308)*$I2313)</f>
        <v/>
      </c>
      <c r="N2313" s="56" t="str">
        <f aca="false">IF(INDEX(BookTitle,2308)="","",INDEX(BookTotal,2308)*'5. Scenarios'!$D$6/(1+ProductivityDefault*('5. Scenarios'!$D$11-1)))</f>
        <v/>
      </c>
      <c r="O2313" s="57" t="str">
        <f aca="false">IF($N2313="","",INDEX(BookRate,2308)*(1+'5. Scenarios'!$D$10)*$N2313)</f>
        <v/>
      </c>
      <c r="P2313" s="57" t="str">
        <f aca="false">IF($O2313="","",SUMIFS($O$6:$O$2405,$A$6:$A$2405,"&lt;="&amp;$A2313))</f>
        <v/>
      </c>
      <c r="Q2313" s="57" t="str">
        <f aca="false">IF($O2313="","",IF($P2313&lt;=BankCostEnvelope*'5. Scenarios'!$D$7,1,0))</f>
        <v/>
      </c>
      <c r="R2313" s="57" t="str">
        <f aca="false">IF($N2313="","",INDEX(BookRate,2308)*(1+'5. Scenarios'!$D$10)*(INDEX(BookQ1,2308)*(5-MIN(4,1+'5. Scenarios'!$D$8))/4+INDEX(BookQ2,2308)*(5-MIN(4,2+'5. Scenarios'!$D$8))/4+INDEX(BookQ3,2308)*(5-MIN(4,3+'5. Scenarios'!$D$8))/4+INDEX(BookQ4,2308)*(5-MIN(4,4+'5. Scenarios'!$D$8))/4)*'5. Scenarios'!$D$6/(1+ProductivityDefault*('5. Scenarios'!$D$11-1))+INDEX(BookOneOff,2308)*$N2313)</f>
        <v/>
      </c>
      <c r="S2313" s="56" t="str">
        <f aca="false">IF(INDEX(BookTitle,2308)="","",INDEX(BookTotal,2308)*'5. Scenarios'!$E$6/(1+ProductivityDefault*('5. Scenarios'!$E$11-1)))</f>
        <v/>
      </c>
      <c r="T2313" s="57" t="str">
        <f aca="false">IF($S2313="","",INDEX(BookRate,2308)*(1+'5. Scenarios'!$E$10)*$S2313)</f>
        <v/>
      </c>
      <c r="U2313" s="57" t="str">
        <f aca="false">IF($T2313="","",SUMIFS($T$6:$T$2405,$A$6:$A$2405,"&lt;="&amp;$A2313))</f>
        <v/>
      </c>
      <c r="V2313" s="57" t="str">
        <f aca="false">IF($T2313="","",IF($U2313&lt;=BankCostEnvelope*'5. Scenarios'!$E$7,1,0))</f>
        <v/>
      </c>
      <c r="W2313" s="57" t="str">
        <f aca="false">IF($S2313="","",INDEX(BookRate,2308)*(1+'5. Scenarios'!$E$10)*(INDEX(BookQ1,2308)*(5-MIN(4,1+'5. Scenarios'!$E$8))/4+INDEX(BookQ2,2308)*(5-MIN(4,2+'5. Scenarios'!$E$8))/4+INDEX(BookQ3,2308)*(5-MIN(4,3+'5. Scenarios'!$E$8))/4+INDEX(BookQ4,2308)*(5-MIN(4,4+'5. Scenarios'!$E$8))/4)*'5. Scenarios'!$E$6/(1+ProductivityDefault*('5. Scenarios'!$E$11-1))+INDEX(BookOneOff,2308)*$S2313)</f>
        <v/>
      </c>
    </row>
    <row r="2314" customFormat="false" ht="15" hidden="false" customHeight="false" outlineLevel="0" collapsed="false">
      <c r="A2314" s="0" t="str">
        <f aca="false">IF(INDEX(BookTitle,2309)="","",INDEX(BookKey,2309))</f>
        <v/>
      </c>
      <c r="B2314" s="0" t="str">
        <f aca="false">IF(INDEX(BookTitle,2309)="","",INDEX(BookGroup,2309))</f>
        <v/>
      </c>
      <c r="C2314" s="0" t="str">
        <f aca="false">IF(INDEX(BookTitle,2309)="","",INDEX(BookCategory,2309))</f>
        <v/>
      </c>
      <c r="D2314" s="56" t="str">
        <f aca="false">IF(INDEX(BookTitle,2309)="","",INDEX(BookTotal,2309)*'5. Scenarios'!$B$6/(1+ProductivityDefault*('5. Scenarios'!$B$11-1)))</f>
        <v/>
      </c>
      <c r="E2314" s="57" t="str">
        <f aca="false">IF($D2314="","",INDEX(BookRate,2309)*(1+'5. Scenarios'!$B$10)*$D2314)</f>
        <v/>
      </c>
      <c r="F2314" s="57" t="str">
        <f aca="false">IF($E2314="","",SUMIFS($E$6:$E$2405,$A$6:$A$2405,"&lt;="&amp;$A2314))</f>
        <v/>
      </c>
      <c r="G2314" s="57" t="str">
        <f aca="false">IF($E2314="","",IF($F2314&lt;=BankCostEnvelope*'5. Scenarios'!$B$7,1,0))</f>
        <v/>
      </c>
      <c r="H2314" s="57" t="str">
        <f aca="false">IF($D2314="","",INDEX(BookRate,2309)*(1+'5. Scenarios'!$B$10)*(INDEX(BookQ1,2309)*(5-MIN(4,1+'5. Scenarios'!$B$8))/4+INDEX(BookQ2,2309)*(5-MIN(4,2+'5. Scenarios'!$B$8))/4+INDEX(BookQ3,2309)*(5-MIN(4,3+'5. Scenarios'!$B$8))/4+INDEX(BookQ4,2309)*(5-MIN(4,4+'5. Scenarios'!$B$8))/4)*'5. Scenarios'!$B$6/(1+ProductivityDefault*('5. Scenarios'!$B$11-1))+INDEX(BookOneOff,2309)*$D2314)</f>
        <v/>
      </c>
      <c r="I2314" s="56" t="str">
        <f aca="false">IF(INDEX(BookTitle,2309)="","",INDEX(BookTotal,2309)*'5. Scenarios'!$C$6/(1+ProductivityDefault*('5. Scenarios'!$C$11-1)))</f>
        <v/>
      </c>
      <c r="J2314" s="57" t="str">
        <f aca="false">IF($I2314="","",INDEX(BookRate,2309)*(1+'5. Scenarios'!$C$10)*$I2314)</f>
        <v/>
      </c>
      <c r="K2314" s="57" t="str">
        <f aca="false">IF($J2314="","",SUMIFS($J$6:$J$2405,$A$6:$A$2405,"&lt;="&amp;$A2314))</f>
        <v/>
      </c>
      <c r="L2314" s="57" t="str">
        <f aca="false">IF($J2314="","",IF($K2314&lt;=BankCostEnvelope*'5. Scenarios'!$C$7,1,0))</f>
        <v/>
      </c>
      <c r="M2314" s="57" t="str">
        <f aca="false">IF($I2314="","",INDEX(BookRate,2309)*(1+'5. Scenarios'!$C$10)*(INDEX(BookQ1,2309)*(5-MIN(4,1+'5. Scenarios'!$C$8))/4+INDEX(BookQ2,2309)*(5-MIN(4,2+'5. Scenarios'!$C$8))/4+INDEX(BookQ3,2309)*(5-MIN(4,3+'5. Scenarios'!$C$8))/4+INDEX(BookQ4,2309)*(5-MIN(4,4+'5. Scenarios'!$C$8))/4)*'5. Scenarios'!$C$6/(1+ProductivityDefault*('5. Scenarios'!$C$11-1))+INDEX(BookOneOff,2309)*$I2314)</f>
        <v/>
      </c>
      <c r="N2314" s="56" t="str">
        <f aca="false">IF(INDEX(BookTitle,2309)="","",INDEX(BookTotal,2309)*'5. Scenarios'!$D$6/(1+ProductivityDefault*('5. Scenarios'!$D$11-1)))</f>
        <v/>
      </c>
      <c r="O2314" s="57" t="str">
        <f aca="false">IF($N2314="","",INDEX(BookRate,2309)*(1+'5. Scenarios'!$D$10)*$N2314)</f>
        <v/>
      </c>
      <c r="P2314" s="57" t="str">
        <f aca="false">IF($O2314="","",SUMIFS($O$6:$O$2405,$A$6:$A$2405,"&lt;="&amp;$A2314))</f>
        <v/>
      </c>
      <c r="Q2314" s="57" t="str">
        <f aca="false">IF($O2314="","",IF($P2314&lt;=BankCostEnvelope*'5. Scenarios'!$D$7,1,0))</f>
        <v/>
      </c>
      <c r="R2314" s="57" t="str">
        <f aca="false">IF($N2314="","",INDEX(BookRate,2309)*(1+'5. Scenarios'!$D$10)*(INDEX(BookQ1,2309)*(5-MIN(4,1+'5. Scenarios'!$D$8))/4+INDEX(BookQ2,2309)*(5-MIN(4,2+'5. Scenarios'!$D$8))/4+INDEX(BookQ3,2309)*(5-MIN(4,3+'5. Scenarios'!$D$8))/4+INDEX(BookQ4,2309)*(5-MIN(4,4+'5. Scenarios'!$D$8))/4)*'5. Scenarios'!$D$6/(1+ProductivityDefault*('5. Scenarios'!$D$11-1))+INDEX(BookOneOff,2309)*$N2314)</f>
        <v/>
      </c>
      <c r="S2314" s="56" t="str">
        <f aca="false">IF(INDEX(BookTitle,2309)="","",INDEX(BookTotal,2309)*'5. Scenarios'!$E$6/(1+ProductivityDefault*('5. Scenarios'!$E$11-1)))</f>
        <v/>
      </c>
      <c r="T2314" s="57" t="str">
        <f aca="false">IF($S2314="","",INDEX(BookRate,2309)*(1+'5. Scenarios'!$E$10)*$S2314)</f>
        <v/>
      </c>
      <c r="U2314" s="57" t="str">
        <f aca="false">IF($T2314="","",SUMIFS($T$6:$T$2405,$A$6:$A$2405,"&lt;="&amp;$A2314))</f>
        <v/>
      </c>
      <c r="V2314" s="57" t="str">
        <f aca="false">IF($T2314="","",IF($U2314&lt;=BankCostEnvelope*'5. Scenarios'!$E$7,1,0))</f>
        <v/>
      </c>
      <c r="W2314" s="57" t="str">
        <f aca="false">IF($S2314="","",INDEX(BookRate,2309)*(1+'5. Scenarios'!$E$10)*(INDEX(BookQ1,2309)*(5-MIN(4,1+'5. Scenarios'!$E$8))/4+INDEX(BookQ2,2309)*(5-MIN(4,2+'5. Scenarios'!$E$8))/4+INDEX(BookQ3,2309)*(5-MIN(4,3+'5. Scenarios'!$E$8))/4+INDEX(BookQ4,2309)*(5-MIN(4,4+'5. Scenarios'!$E$8))/4)*'5. Scenarios'!$E$6/(1+ProductivityDefault*('5. Scenarios'!$E$11-1))+INDEX(BookOneOff,2309)*$S2314)</f>
        <v/>
      </c>
    </row>
    <row r="2315" customFormat="false" ht="15" hidden="false" customHeight="false" outlineLevel="0" collapsed="false">
      <c r="A2315" s="0" t="str">
        <f aca="false">IF(INDEX(BookTitle,2310)="","",INDEX(BookKey,2310))</f>
        <v/>
      </c>
      <c r="B2315" s="0" t="str">
        <f aca="false">IF(INDEX(BookTitle,2310)="","",INDEX(BookGroup,2310))</f>
        <v/>
      </c>
      <c r="C2315" s="0" t="str">
        <f aca="false">IF(INDEX(BookTitle,2310)="","",INDEX(BookCategory,2310))</f>
        <v/>
      </c>
      <c r="D2315" s="56" t="str">
        <f aca="false">IF(INDEX(BookTitle,2310)="","",INDEX(BookTotal,2310)*'5. Scenarios'!$B$6/(1+ProductivityDefault*('5. Scenarios'!$B$11-1)))</f>
        <v/>
      </c>
      <c r="E2315" s="57" t="str">
        <f aca="false">IF($D2315="","",INDEX(BookRate,2310)*(1+'5. Scenarios'!$B$10)*$D2315)</f>
        <v/>
      </c>
      <c r="F2315" s="57" t="str">
        <f aca="false">IF($E2315="","",SUMIFS($E$6:$E$2405,$A$6:$A$2405,"&lt;="&amp;$A2315))</f>
        <v/>
      </c>
      <c r="G2315" s="57" t="str">
        <f aca="false">IF($E2315="","",IF($F2315&lt;=BankCostEnvelope*'5. Scenarios'!$B$7,1,0))</f>
        <v/>
      </c>
      <c r="H2315" s="57" t="str">
        <f aca="false">IF($D2315="","",INDEX(BookRate,2310)*(1+'5. Scenarios'!$B$10)*(INDEX(BookQ1,2310)*(5-MIN(4,1+'5. Scenarios'!$B$8))/4+INDEX(BookQ2,2310)*(5-MIN(4,2+'5. Scenarios'!$B$8))/4+INDEX(BookQ3,2310)*(5-MIN(4,3+'5. Scenarios'!$B$8))/4+INDEX(BookQ4,2310)*(5-MIN(4,4+'5. Scenarios'!$B$8))/4)*'5. Scenarios'!$B$6/(1+ProductivityDefault*('5. Scenarios'!$B$11-1))+INDEX(BookOneOff,2310)*$D2315)</f>
        <v/>
      </c>
      <c r="I2315" s="56" t="str">
        <f aca="false">IF(INDEX(BookTitle,2310)="","",INDEX(BookTotal,2310)*'5. Scenarios'!$C$6/(1+ProductivityDefault*('5. Scenarios'!$C$11-1)))</f>
        <v/>
      </c>
      <c r="J2315" s="57" t="str">
        <f aca="false">IF($I2315="","",INDEX(BookRate,2310)*(1+'5. Scenarios'!$C$10)*$I2315)</f>
        <v/>
      </c>
      <c r="K2315" s="57" t="str">
        <f aca="false">IF($J2315="","",SUMIFS($J$6:$J$2405,$A$6:$A$2405,"&lt;="&amp;$A2315))</f>
        <v/>
      </c>
      <c r="L2315" s="57" t="str">
        <f aca="false">IF($J2315="","",IF($K2315&lt;=BankCostEnvelope*'5. Scenarios'!$C$7,1,0))</f>
        <v/>
      </c>
      <c r="M2315" s="57" t="str">
        <f aca="false">IF($I2315="","",INDEX(BookRate,2310)*(1+'5. Scenarios'!$C$10)*(INDEX(BookQ1,2310)*(5-MIN(4,1+'5. Scenarios'!$C$8))/4+INDEX(BookQ2,2310)*(5-MIN(4,2+'5. Scenarios'!$C$8))/4+INDEX(BookQ3,2310)*(5-MIN(4,3+'5. Scenarios'!$C$8))/4+INDEX(BookQ4,2310)*(5-MIN(4,4+'5. Scenarios'!$C$8))/4)*'5. Scenarios'!$C$6/(1+ProductivityDefault*('5. Scenarios'!$C$11-1))+INDEX(BookOneOff,2310)*$I2315)</f>
        <v/>
      </c>
      <c r="N2315" s="56" t="str">
        <f aca="false">IF(INDEX(BookTitle,2310)="","",INDEX(BookTotal,2310)*'5. Scenarios'!$D$6/(1+ProductivityDefault*('5. Scenarios'!$D$11-1)))</f>
        <v/>
      </c>
      <c r="O2315" s="57" t="str">
        <f aca="false">IF($N2315="","",INDEX(BookRate,2310)*(1+'5. Scenarios'!$D$10)*$N2315)</f>
        <v/>
      </c>
      <c r="P2315" s="57" t="str">
        <f aca="false">IF($O2315="","",SUMIFS($O$6:$O$2405,$A$6:$A$2405,"&lt;="&amp;$A2315))</f>
        <v/>
      </c>
      <c r="Q2315" s="57" t="str">
        <f aca="false">IF($O2315="","",IF($P2315&lt;=BankCostEnvelope*'5. Scenarios'!$D$7,1,0))</f>
        <v/>
      </c>
      <c r="R2315" s="57" t="str">
        <f aca="false">IF($N2315="","",INDEX(BookRate,2310)*(1+'5. Scenarios'!$D$10)*(INDEX(BookQ1,2310)*(5-MIN(4,1+'5. Scenarios'!$D$8))/4+INDEX(BookQ2,2310)*(5-MIN(4,2+'5. Scenarios'!$D$8))/4+INDEX(BookQ3,2310)*(5-MIN(4,3+'5. Scenarios'!$D$8))/4+INDEX(BookQ4,2310)*(5-MIN(4,4+'5. Scenarios'!$D$8))/4)*'5. Scenarios'!$D$6/(1+ProductivityDefault*('5. Scenarios'!$D$11-1))+INDEX(BookOneOff,2310)*$N2315)</f>
        <v/>
      </c>
      <c r="S2315" s="56" t="str">
        <f aca="false">IF(INDEX(BookTitle,2310)="","",INDEX(BookTotal,2310)*'5. Scenarios'!$E$6/(1+ProductivityDefault*('5. Scenarios'!$E$11-1)))</f>
        <v/>
      </c>
      <c r="T2315" s="57" t="str">
        <f aca="false">IF($S2315="","",INDEX(BookRate,2310)*(1+'5. Scenarios'!$E$10)*$S2315)</f>
        <v/>
      </c>
      <c r="U2315" s="57" t="str">
        <f aca="false">IF($T2315="","",SUMIFS($T$6:$T$2405,$A$6:$A$2405,"&lt;="&amp;$A2315))</f>
        <v/>
      </c>
      <c r="V2315" s="57" t="str">
        <f aca="false">IF($T2315="","",IF($U2315&lt;=BankCostEnvelope*'5. Scenarios'!$E$7,1,0))</f>
        <v/>
      </c>
      <c r="W2315" s="57" t="str">
        <f aca="false">IF($S2315="","",INDEX(BookRate,2310)*(1+'5. Scenarios'!$E$10)*(INDEX(BookQ1,2310)*(5-MIN(4,1+'5. Scenarios'!$E$8))/4+INDEX(BookQ2,2310)*(5-MIN(4,2+'5. Scenarios'!$E$8))/4+INDEX(BookQ3,2310)*(5-MIN(4,3+'5. Scenarios'!$E$8))/4+INDEX(BookQ4,2310)*(5-MIN(4,4+'5. Scenarios'!$E$8))/4)*'5. Scenarios'!$E$6/(1+ProductivityDefault*('5. Scenarios'!$E$11-1))+INDEX(BookOneOff,2310)*$S2315)</f>
        <v/>
      </c>
    </row>
    <row r="2316" customFormat="false" ht="15" hidden="false" customHeight="false" outlineLevel="0" collapsed="false">
      <c r="A2316" s="0" t="str">
        <f aca="false">IF(INDEX(BookTitle,2311)="","",INDEX(BookKey,2311))</f>
        <v/>
      </c>
      <c r="B2316" s="0" t="str">
        <f aca="false">IF(INDEX(BookTitle,2311)="","",INDEX(BookGroup,2311))</f>
        <v/>
      </c>
      <c r="C2316" s="0" t="str">
        <f aca="false">IF(INDEX(BookTitle,2311)="","",INDEX(BookCategory,2311))</f>
        <v/>
      </c>
      <c r="D2316" s="56" t="str">
        <f aca="false">IF(INDEX(BookTitle,2311)="","",INDEX(BookTotal,2311)*'5. Scenarios'!$B$6/(1+ProductivityDefault*('5. Scenarios'!$B$11-1)))</f>
        <v/>
      </c>
      <c r="E2316" s="57" t="str">
        <f aca="false">IF($D2316="","",INDEX(BookRate,2311)*(1+'5. Scenarios'!$B$10)*$D2316)</f>
        <v/>
      </c>
      <c r="F2316" s="57" t="str">
        <f aca="false">IF($E2316="","",SUMIFS($E$6:$E$2405,$A$6:$A$2405,"&lt;="&amp;$A2316))</f>
        <v/>
      </c>
      <c r="G2316" s="57" t="str">
        <f aca="false">IF($E2316="","",IF($F2316&lt;=BankCostEnvelope*'5. Scenarios'!$B$7,1,0))</f>
        <v/>
      </c>
      <c r="H2316" s="57" t="str">
        <f aca="false">IF($D2316="","",INDEX(BookRate,2311)*(1+'5. Scenarios'!$B$10)*(INDEX(BookQ1,2311)*(5-MIN(4,1+'5. Scenarios'!$B$8))/4+INDEX(BookQ2,2311)*(5-MIN(4,2+'5. Scenarios'!$B$8))/4+INDEX(BookQ3,2311)*(5-MIN(4,3+'5. Scenarios'!$B$8))/4+INDEX(BookQ4,2311)*(5-MIN(4,4+'5. Scenarios'!$B$8))/4)*'5. Scenarios'!$B$6/(1+ProductivityDefault*('5. Scenarios'!$B$11-1))+INDEX(BookOneOff,2311)*$D2316)</f>
        <v/>
      </c>
      <c r="I2316" s="56" t="str">
        <f aca="false">IF(INDEX(BookTitle,2311)="","",INDEX(BookTotal,2311)*'5. Scenarios'!$C$6/(1+ProductivityDefault*('5. Scenarios'!$C$11-1)))</f>
        <v/>
      </c>
      <c r="J2316" s="57" t="str">
        <f aca="false">IF($I2316="","",INDEX(BookRate,2311)*(1+'5. Scenarios'!$C$10)*$I2316)</f>
        <v/>
      </c>
      <c r="K2316" s="57" t="str">
        <f aca="false">IF($J2316="","",SUMIFS($J$6:$J$2405,$A$6:$A$2405,"&lt;="&amp;$A2316))</f>
        <v/>
      </c>
      <c r="L2316" s="57" t="str">
        <f aca="false">IF($J2316="","",IF($K2316&lt;=BankCostEnvelope*'5. Scenarios'!$C$7,1,0))</f>
        <v/>
      </c>
      <c r="M2316" s="57" t="str">
        <f aca="false">IF($I2316="","",INDEX(BookRate,2311)*(1+'5. Scenarios'!$C$10)*(INDEX(BookQ1,2311)*(5-MIN(4,1+'5. Scenarios'!$C$8))/4+INDEX(BookQ2,2311)*(5-MIN(4,2+'5. Scenarios'!$C$8))/4+INDEX(BookQ3,2311)*(5-MIN(4,3+'5. Scenarios'!$C$8))/4+INDEX(BookQ4,2311)*(5-MIN(4,4+'5. Scenarios'!$C$8))/4)*'5. Scenarios'!$C$6/(1+ProductivityDefault*('5. Scenarios'!$C$11-1))+INDEX(BookOneOff,2311)*$I2316)</f>
        <v/>
      </c>
      <c r="N2316" s="56" t="str">
        <f aca="false">IF(INDEX(BookTitle,2311)="","",INDEX(BookTotal,2311)*'5. Scenarios'!$D$6/(1+ProductivityDefault*('5. Scenarios'!$D$11-1)))</f>
        <v/>
      </c>
      <c r="O2316" s="57" t="str">
        <f aca="false">IF($N2316="","",INDEX(BookRate,2311)*(1+'5. Scenarios'!$D$10)*$N2316)</f>
        <v/>
      </c>
      <c r="P2316" s="57" t="str">
        <f aca="false">IF($O2316="","",SUMIFS($O$6:$O$2405,$A$6:$A$2405,"&lt;="&amp;$A2316))</f>
        <v/>
      </c>
      <c r="Q2316" s="57" t="str">
        <f aca="false">IF($O2316="","",IF($P2316&lt;=BankCostEnvelope*'5. Scenarios'!$D$7,1,0))</f>
        <v/>
      </c>
      <c r="R2316" s="57" t="str">
        <f aca="false">IF($N2316="","",INDEX(BookRate,2311)*(1+'5. Scenarios'!$D$10)*(INDEX(BookQ1,2311)*(5-MIN(4,1+'5. Scenarios'!$D$8))/4+INDEX(BookQ2,2311)*(5-MIN(4,2+'5. Scenarios'!$D$8))/4+INDEX(BookQ3,2311)*(5-MIN(4,3+'5. Scenarios'!$D$8))/4+INDEX(BookQ4,2311)*(5-MIN(4,4+'5. Scenarios'!$D$8))/4)*'5. Scenarios'!$D$6/(1+ProductivityDefault*('5. Scenarios'!$D$11-1))+INDEX(BookOneOff,2311)*$N2316)</f>
        <v/>
      </c>
      <c r="S2316" s="56" t="str">
        <f aca="false">IF(INDEX(BookTitle,2311)="","",INDEX(BookTotal,2311)*'5. Scenarios'!$E$6/(1+ProductivityDefault*('5. Scenarios'!$E$11-1)))</f>
        <v/>
      </c>
      <c r="T2316" s="57" t="str">
        <f aca="false">IF($S2316="","",INDEX(BookRate,2311)*(1+'5. Scenarios'!$E$10)*$S2316)</f>
        <v/>
      </c>
      <c r="U2316" s="57" t="str">
        <f aca="false">IF($T2316="","",SUMIFS($T$6:$T$2405,$A$6:$A$2405,"&lt;="&amp;$A2316))</f>
        <v/>
      </c>
      <c r="V2316" s="57" t="str">
        <f aca="false">IF($T2316="","",IF($U2316&lt;=BankCostEnvelope*'5. Scenarios'!$E$7,1,0))</f>
        <v/>
      </c>
      <c r="W2316" s="57" t="str">
        <f aca="false">IF($S2316="","",INDEX(BookRate,2311)*(1+'5. Scenarios'!$E$10)*(INDEX(BookQ1,2311)*(5-MIN(4,1+'5. Scenarios'!$E$8))/4+INDEX(BookQ2,2311)*(5-MIN(4,2+'5. Scenarios'!$E$8))/4+INDEX(BookQ3,2311)*(5-MIN(4,3+'5. Scenarios'!$E$8))/4+INDEX(BookQ4,2311)*(5-MIN(4,4+'5. Scenarios'!$E$8))/4)*'5. Scenarios'!$E$6/(1+ProductivityDefault*('5. Scenarios'!$E$11-1))+INDEX(BookOneOff,2311)*$S2316)</f>
        <v/>
      </c>
    </row>
    <row r="2317" customFormat="false" ht="15" hidden="false" customHeight="false" outlineLevel="0" collapsed="false">
      <c r="A2317" s="0" t="str">
        <f aca="false">IF(INDEX(BookTitle,2312)="","",INDEX(BookKey,2312))</f>
        <v/>
      </c>
      <c r="B2317" s="0" t="str">
        <f aca="false">IF(INDEX(BookTitle,2312)="","",INDEX(BookGroup,2312))</f>
        <v/>
      </c>
      <c r="C2317" s="0" t="str">
        <f aca="false">IF(INDEX(BookTitle,2312)="","",INDEX(BookCategory,2312))</f>
        <v/>
      </c>
      <c r="D2317" s="56" t="str">
        <f aca="false">IF(INDEX(BookTitle,2312)="","",INDEX(BookTotal,2312)*'5. Scenarios'!$B$6/(1+ProductivityDefault*('5. Scenarios'!$B$11-1)))</f>
        <v/>
      </c>
      <c r="E2317" s="57" t="str">
        <f aca="false">IF($D2317="","",INDEX(BookRate,2312)*(1+'5. Scenarios'!$B$10)*$D2317)</f>
        <v/>
      </c>
      <c r="F2317" s="57" t="str">
        <f aca="false">IF($E2317="","",SUMIFS($E$6:$E$2405,$A$6:$A$2405,"&lt;="&amp;$A2317))</f>
        <v/>
      </c>
      <c r="G2317" s="57" t="str">
        <f aca="false">IF($E2317="","",IF($F2317&lt;=BankCostEnvelope*'5. Scenarios'!$B$7,1,0))</f>
        <v/>
      </c>
      <c r="H2317" s="57" t="str">
        <f aca="false">IF($D2317="","",INDEX(BookRate,2312)*(1+'5. Scenarios'!$B$10)*(INDEX(BookQ1,2312)*(5-MIN(4,1+'5. Scenarios'!$B$8))/4+INDEX(BookQ2,2312)*(5-MIN(4,2+'5. Scenarios'!$B$8))/4+INDEX(BookQ3,2312)*(5-MIN(4,3+'5. Scenarios'!$B$8))/4+INDEX(BookQ4,2312)*(5-MIN(4,4+'5. Scenarios'!$B$8))/4)*'5. Scenarios'!$B$6/(1+ProductivityDefault*('5. Scenarios'!$B$11-1))+INDEX(BookOneOff,2312)*$D2317)</f>
        <v/>
      </c>
      <c r="I2317" s="56" t="str">
        <f aca="false">IF(INDEX(BookTitle,2312)="","",INDEX(BookTotal,2312)*'5. Scenarios'!$C$6/(1+ProductivityDefault*('5. Scenarios'!$C$11-1)))</f>
        <v/>
      </c>
      <c r="J2317" s="57" t="str">
        <f aca="false">IF($I2317="","",INDEX(BookRate,2312)*(1+'5. Scenarios'!$C$10)*$I2317)</f>
        <v/>
      </c>
      <c r="K2317" s="57" t="str">
        <f aca="false">IF($J2317="","",SUMIFS($J$6:$J$2405,$A$6:$A$2405,"&lt;="&amp;$A2317))</f>
        <v/>
      </c>
      <c r="L2317" s="57" t="str">
        <f aca="false">IF($J2317="","",IF($K2317&lt;=BankCostEnvelope*'5. Scenarios'!$C$7,1,0))</f>
        <v/>
      </c>
      <c r="M2317" s="57" t="str">
        <f aca="false">IF($I2317="","",INDEX(BookRate,2312)*(1+'5. Scenarios'!$C$10)*(INDEX(BookQ1,2312)*(5-MIN(4,1+'5. Scenarios'!$C$8))/4+INDEX(BookQ2,2312)*(5-MIN(4,2+'5. Scenarios'!$C$8))/4+INDEX(BookQ3,2312)*(5-MIN(4,3+'5. Scenarios'!$C$8))/4+INDEX(BookQ4,2312)*(5-MIN(4,4+'5. Scenarios'!$C$8))/4)*'5. Scenarios'!$C$6/(1+ProductivityDefault*('5. Scenarios'!$C$11-1))+INDEX(BookOneOff,2312)*$I2317)</f>
        <v/>
      </c>
      <c r="N2317" s="56" t="str">
        <f aca="false">IF(INDEX(BookTitle,2312)="","",INDEX(BookTotal,2312)*'5. Scenarios'!$D$6/(1+ProductivityDefault*('5. Scenarios'!$D$11-1)))</f>
        <v/>
      </c>
      <c r="O2317" s="57" t="str">
        <f aca="false">IF($N2317="","",INDEX(BookRate,2312)*(1+'5. Scenarios'!$D$10)*$N2317)</f>
        <v/>
      </c>
      <c r="P2317" s="57" t="str">
        <f aca="false">IF($O2317="","",SUMIFS($O$6:$O$2405,$A$6:$A$2405,"&lt;="&amp;$A2317))</f>
        <v/>
      </c>
      <c r="Q2317" s="57" t="str">
        <f aca="false">IF($O2317="","",IF($P2317&lt;=BankCostEnvelope*'5. Scenarios'!$D$7,1,0))</f>
        <v/>
      </c>
      <c r="R2317" s="57" t="str">
        <f aca="false">IF($N2317="","",INDEX(BookRate,2312)*(1+'5. Scenarios'!$D$10)*(INDEX(BookQ1,2312)*(5-MIN(4,1+'5. Scenarios'!$D$8))/4+INDEX(BookQ2,2312)*(5-MIN(4,2+'5. Scenarios'!$D$8))/4+INDEX(BookQ3,2312)*(5-MIN(4,3+'5. Scenarios'!$D$8))/4+INDEX(BookQ4,2312)*(5-MIN(4,4+'5. Scenarios'!$D$8))/4)*'5. Scenarios'!$D$6/(1+ProductivityDefault*('5. Scenarios'!$D$11-1))+INDEX(BookOneOff,2312)*$N2317)</f>
        <v/>
      </c>
      <c r="S2317" s="56" t="str">
        <f aca="false">IF(INDEX(BookTitle,2312)="","",INDEX(BookTotal,2312)*'5. Scenarios'!$E$6/(1+ProductivityDefault*('5. Scenarios'!$E$11-1)))</f>
        <v/>
      </c>
      <c r="T2317" s="57" t="str">
        <f aca="false">IF($S2317="","",INDEX(BookRate,2312)*(1+'5. Scenarios'!$E$10)*$S2317)</f>
        <v/>
      </c>
      <c r="U2317" s="57" t="str">
        <f aca="false">IF($T2317="","",SUMIFS($T$6:$T$2405,$A$6:$A$2405,"&lt;="&amp;$A2317))</f>
        <v/>
      </c>
      <c r="V2317" s="57" t="str">
        <f aca="false">IF($T2317="","",IF($U2317&lt;=BankCostEnvelope*'5. Scenarios'!$E$7,1,0))</f>
        <v/>
      </c>
      <c r="W2317" s="57" t="str">
        <f aca="false">IF($S2317="","",INDEX(BookRate,2312)*(1+'5. Scenarios'!$E$10)*(INDEX(BookQ1,2312)*(5-MIN(4,1+'5. Scenarios'!$E$8))/4+INDEX(BookQ2,2312)*(5-MIN(4,2+'5. Scenarios'!$E$8))/4+INDEX(BookQ3,2312)*(5-MIN(4,3+'5. Scenarios'!$E$8))/4+INDEX(BookQ4,2312)*(5-MIN(4,4+'5. Scenarios'!$E$8))/4)*'5. Scenarios'!$E$6/(1+ProductivityDefault*('5. Scenarios'!$E$11-1))+INDEX(BookOneOff,2312)*$S2317)</f>
        <v/>
      </c>
    </row>
    <row r="2318" customFormat="false" ht="15" hidden="false" customHeight="false" outlineLevel="0" collapsed="false">
      <c r="A2318" s="0" t="str">
        <f aca="false">IF(INDEX(BookTitle,2313)="","",INDEX(BookKey,2313))</f>
        <v/>
      </c>
      <c r="B2318" s="0" t="str">
        <f aca="false">IF(INDEX(BookTitle,2313)="","",INDEX(BookGroup,2313))</f>
        <v/>
      </c>
      <c r="C2318" s="0" t="str">
        <f aca="false">IF(INDEX(BookTitle,2313)="","",INDEX(BookCategory,2313))</f>
        <v/>
      </c>
      <c r="D2318" s="56" t="str">
        <f aca="false">IF(INDEX(BookTitle,2313)="","",INDEX(BookTotal,2313)*'5. Scenarios'!$B$6/(1+ProductivityDefault*('5. Scenarios'!$B$11-1)))</f>
        <v/>
      </c>
      <c r="E2318" s="57" t="str">
        <f aca="false">IF($D2318="","",INDEX(BookRate,2313)*(1+'5. Scenarios'!$B$10)*$D2318)</f>
        <v/>
      </c>
      <c r="F2318" s="57" t="str">
        <f aca="false">IF($E2318="","",SUMIFS($E$6:$E$2405,$A$6:$A$2405,"&lt;="&amp;$A2318))</f>
        <v/>
      </c>
      <c r="G2318" s="57" t="str">
        <f aca="false">IF($E2318="","",IF($F2318&lt;=BankCostEnvelope*'5. Scenarios'!$B$7,1,0))</f>
        <v/>
      </c>
      <c r="H2318" s="57" t="str">
        <f aca="false">IF($D2318="","",INDEX(BookRate,2313)*(1+'5. Scenarios'!$B$10)*(INDEX(BookQ1,2313)*(5-MIN(4,1+'5. Scenarios'!$B$8))/4+INDEX(BookQ2,2313)*(5-MIN(4,2+'5. Scenarios'!$B$8))/4+INDEX(BookQ3,2313)*(5-MIN(4,3+'5. Scenarios'!$B$8))/4+INDEX(BookQ4,2313)*(5-MIN(4,4+'5. Scenarios'!$B$8))/4)*'5. Scenarios'!$B$6/(1+ProductivityDefault*('5. Scenarios'!$B$11-1))+INDEX(BookOneOff,2313)*$D2318)</f>
        <v/>
      </c>
      <c r="I2318" s="56" t="str">
        <f aca="false">IF(INDEX(BookTitle,2313)="","",INDEX(BookTotal,2313)*'5. Scenarios'!$C$6/(1+ProductivityDefault*('5. Scenarios'!$C$11-1)))</f>
        <v/>
      </c>
      <c r="J2318" s="57" t="str">
        <f aca="false">IF($I2318="","",INDEX(BookRate,2313)*(1+'5. Scenarios'!$C$10)*$I2318)</f>
        <v/>
      </c>
      <c r="K2318" s="57" t="str">
        <f aca="false">IF($J2318="","",SUMIFS($J$6:$J$2405,$A$6:$A$2405,"&lt;="&amp;$A2318))</f>
        <v/>
      </c>
      <c r="L2318" s="57" t="str">
        <f aca="false">IF($J2318="","",IF($K2318&lt;=BankCostEnvelope*'5. Scenarios'!$C$7,1,0))</f>
        <v/>
      </c>
      <c r="M2318" s="57" t="str">
        <f aca="false">IF($I2318="","",INDEX(BookRate,2313)*(1+'5. Scenarios'!$C$10)*(INDEX(BookQ1,2313)*(5-MIN(4,1+'5. Scenarios'!$C$8))/4+INDEX(BookQ2,2313)*(5-MIN(4,2+'5. Scenarios'!$C$8))/4+INDEX(BookQ3,2313)*(5-MIN(4,3+'5. Scenarios'!$C$8))/4+INDEX(BookQ4,2313)*(5-MIN(4,4+'5. Scenarios'!$C$8))/4)*'5. Scenarios'!$C$6/(1+ProductivityDefault*('5. Scenarios'!$C$11-1))+INDEX(BookOneOff,2313)*$I2318)</f>
        <v/>
      </c>
      <c r="N2318" s="56" t="str">
        <f aca="false">IF(INDEX(BookTitle,2313)="","",INDEX(BookTotal,2313)*'5. Scenarios'!$D$6/(1+ProductivityDefault*('5. Scenarios'!$D$11-1)))</f>
        <v/>
      </c>
      <c r="O2318" s="57" t="str">
        <f aca="false">IF($N2318="","",INDEX(BookRate,2313)*(1+'5. Scenarios'!$D$10)*$N2318)</f>
        <v/>
      </c>
      <c r="P2318" s="57" t="str">
        <f aca="false">IF($O2318="","",SUMIFS($O$6:$O$2405,$A$6:$A$2405,"&lt;="&amp;$A2318))</f>
        <v/>
      </c>
      <c r="Q2318" s="57" t="str">
        <f aca="false">IF($O2318="","",IF($P2318&lt;=BankCostEnvelope*'5. Scenarios'!$D$7,1,0))</f>
        <v/>
      </c>
      <c r="R2318" s="57" t="str">
        <f aca="false">IF($N2318="","",INDEX(BookRate,2313)*(1+'5. Scenarios'!$D$10)*(INDEX(BookQ1,2313)*(5-MIN(4,1+'5. Scenarios'!$D$8))/4+INDEX(BookQ2,2313)*(5-MIN(4,2+'5. Scenarios'!$D$8))/4+INDEX(BookQ3,2313)*(5-MIN(4,3+'5. Scenarios'!$D$8))/4+INDEX(BookQ4,2313)*(5-MIN(4,4+'5. Scenarios'!$D$8))/4)*'5. Scenarios'!$D$6/(1+ProductivityDefault*('5. Scenarios'!$D$11-1))+INDEX(BookOneOff,2313)*$N2318)</f>
        <v/>
      </c>
      <c r="S2318" s="56" t="str">
        <f aca="false">IF(INDEX(BookTitle,2313)="","",INDEX(BookTotal,2313)*'5. Scenarios'!$E$6/(1+ProductivityDefault*('5. Scenarios'!$E$11-1)))</f>
        <v/>
      </c>
      <c r="T2318" s="57" t="str">
        <f aca="false">IF($S2318="","",INDEX(BookRate,2313)*(1+'5. Scenarios'!$E$10)*$S2318)</f>
        <v/>
      </c>
      <c r="U2318" s="57" t="str">
        <f aca="false">IF($T2318="","",SUMIFS($T$6:$T$2405,$A$6:$A$2405,"&lt;="&amp;$A2318))</f>
        <v/>
      </c>
      <c r="V2318" s="57" t="str">
        <f aca="false">IF($T2318="","",IF($U2318&lt;=BankCostEnvelope*'5. Scenarios'!$E$7,1,0))</f>
        <v/>
      </c>
      <c r="W2318" s="57" t="str">
        <f aca="false">IF($S2318="","",INDEX(BookRate,2313)*(1+'5. Scenarios'!$E$10)*(INDEX(BookQ1,2313)*(5-MIN(4,1+'5. Scenarios'!$E$8))/4+INDEX(BookQ2,2313)*(5-MIN(4,2+'5. Scenarios'!$E$8))/4+INDEX(BookQ3,2313)*(5-MIN(4,3+'5. Scenarios'!$E$8))/4+INDEX(BookQ4,2313)*(5-MIN(4,4+'5. Scenarios'!$E$8))/4)*'5. Scenarios'!$E$6/(1+ProductivityDefault*('5. Scenarios'!$E$11-1))+INDEX(BookOneOff,2313)*$S2318)</f>
        <v/>
      </c>
    </row>
    <row r="2319" customFormat="false" ht="15" hidden="false" customHeight="false" outlineLevel="0" collapsed="false">
      <c r="A2319" s="0" t="str">
        <f aca="false">IF(INDEX(BookTitle,2314)="","",INDEX(BookKey,2314))</f>
        <v/>
      </c>
      <c r="B2319" s="0" t="str">
        <f aca="false">IF(INDEX(BookTitle,2314)="","",INDEX(BookGroup,2314))</f>
        <v/>
      </c>
      <c r="C2319" s="0" t="str">
        <f aca="false">IF(INDEX(BookTitle,2314)="","",INDEX(BookCategory,2314))</f>
        <v/>
      </c>
      <c r="D2319" s="56" t="str">
        <f aca="false">IF(INDEX(BookTitle,2314)="","",INDEX(BookTotal,2314)*'5. Scenarios'!$B$6/(1+ProductivityDefault*('5. Scenarios'!$B$11-1)))</f>
        <v/>
      </c>
      <c r="E2319" s="57" t="str">
        <f aca="false">IF($D2319="","",INDEX(BookRate,2314)*(1+'5. Scenarios'!$B$10)*$D2319)</f>
        <v/>
      </c>
      <c r="F2319" s="57" t="str">
        <f aca="false">IF($E2319="","",SUMIFS($E$6:$E$2405,$A$6:$A$2405,"&lt;="&amp;$A2319))</f>
        <v/>
      </c>
      <c r="G2319" s="57" t="str">
        <f aca="false">IF($E2319="","",IF($F2319&lt;=BankCostEnvelope*'5. Scenarios'!$B$7,1,0))</f>
        <v/>
      </c>
      <c r="H2319" s="57" t="str">
        <f aca="false">IF($D2319="","",INDEX(BookRate,2314)*(1+'5. Scenarios'!$B$10)*(INDEX(BookQ1,2314)*(5-MIN(4,1+'5. Scenarios'!$B$8))/4+INDEX(BookQ2,2314)*(5-MIN(4,2+'5. Scenarios'!$B$8))/4+INDEX(BookQ3,2314)*(5-MIN(4,3+'5. Scenarios'!$B$8))/4+INDEX(BookQ4,2314)*(5-MIN(4,4+'5. Scenarios'!$B$8))/4)*'5. Scenarios'!$B$6/(1+ProductivityDefault*('5. Scenarios'!$B$11-1))+INDEX(BookOneOff,2314)*$D2319)</f>
        <v/>
      </c>
      <c r="I2319" s="56" t="str">
        <f aca="false">IF(INDEX(BookTitle,2314)="","",INDEX(BookTotal,2314)*'5. Scenarios'!$C$6/(1+ProductivityDefault*('5. Scenarios'!$C$11-1)))</f>
        <v/>
      </c>
      <c r="J2319" s="57" t="str">
        <f aca="false">IF($I2319="","",INDEX(BookRate,2314)*(1+'5. Scenarios'!$C$10)*$I2319)</f>
        <v/>
      </c>
      <c r="K2319" s="57" t="str">
        <f aca="false">IF($J2319="","",SUMIFS($J$6:$J$2405,$A$6:$A$2405,"&lt;="&amp;$A2319))</f>
        <v/>
      </c>
      <c r="L2319" s="57" t="str">
        <f aca="false">IF($J2319="","",IF($K2319&lt;=BankCostEnvelope*'5. Scenarios'!$C$7,1,0))</f>
        <v/>
      </c>
      <c r="M2319" s="57" t="str">
        <f aca="false">IF($I2319="","",INDEX(BookRate,2314)*(1+'5. Scenarios'!$C$10)*(INDEX(BookQ1,2314)*(5-MIN(4,1+'5. Scenarios'!$C$8))/4+INDEX(BookQ2,2314)*(5-MIN(4,2+'5. Scenarios'!$C$8))/4+INDEX(BookQ3,2314)*(5-MIN(4,3+'5. Scenarios'!$C$8))/4+INDEX(BookQ4,2314)*(5-MIN(4,4+'5. Scenarios'!$C$8))/4)*'5. Scenarios'!$C$6/(1+ProductivityDefault*('5. Scenarios'!$C$11-1))+INDEX(BookOneOff,2314)*$I2319)</f>
        <v/>
      </c>
      <c r="N2319" s="56" t="str">
        <f aca="false">IF(INDEX(BookTitle,2314)="","",INDEX(BookTotal,2314)*'5. Scenarios'!$D$6/(1+ProductivityDefault*('5. Scenarios'!$D$11-1)))</f>
        <v/>
      </c>
      <c r="O2319" s="57" t="str">
        <f aca="false">IF($N2319="","",INDEX(BookRate,2314)*(1+'5. Scenarios'!$D$10)*$N2319)</f>
        <v/>
      </c>
      <c r="P2319" s="57" t="str">
        <f aca="false">IF($O2319="","",SUMIFS($O$6:$O$2405,$A$6:$A$2405,"&lt;="&amp;$A2319))</f>
        <v/>
      </c>
      <c r="Q2319" s="57" t="str">
        <f aca="false">IF($O2319="","",IF($P2319&lt;=BankCostEnvelope*'5. Scenarios'!$D$7,1,0))</f>
        <v/>
      </c>
      <c r="R2319" s="57" t="str">
        <f aca="false">IF($N2319="","",INDEX(BookRate,2314)*(1+'5. Scenarios'!$D$10)*(INDEX(BookQ1,2314)*(5-MIN(4,1+'5. Scenarios'!$D$8))/4+INDEX(BookQ2,2314)*(5-MIN(4,2+'5. Scenarios'!$D$8))/4+INDEX(BookQ3,2314)*(5-MIN(4,3+'5. Scenarios'!$D$8))/4+INDEX(BookQ4,2314)*(5-MIN(4,4+'5. Scenarios'!$D$8))/4)*'5. Scenarios'!$D$6/(1+ProductivityDefault*('5. Scenarios'!$D$11-1))+INDEX(BookOneOff,2314)*$N2319)</f>
        <v/>
      </c>
      <c r="S2319" s="56" t="str">
        <f aca="false">IF(INDEX(BookTitle,2314)="","",INDEX(BookTotal,2314)*'5. Scenarios'!$E$6/(1+ProductivityDefault*('5. Scenarios'!$E$11-1)))</f>
        <v/>
      </c>
      <c r="T2319" s="57" t="str">
        <f aca="false">IF($S2319="","",INDEX(BookRate,2314)*(1+'5. Scenarios'!$E$10)*$S2319)</f>
        <v/>
      </c>
      <c r="U2319" s="57" t="str">
        <f aca="false">IF($T2319="","",SUMIFS($T$6:$T$2405,$A$6:$A$2405,"&lt;="&amp;$A2319))</f>
        <v/>
      </c>
      <c r="V2319" s="57" t="str">
        <f aca="false">IF($T2319="","",IF($U2319&lt;=BankCostEnvelope*'5. Scenarios'!$E$7,1,0))</f>
        <v/>
      </c>
      <c r="W2319" s="57" t="str">
        <f aca="false">IF($S2319="","",INDEX(BookRate,2314)*(1+'5. Scenarios'!$E$10)*(INDEX(BookQ1,2314)*(5-MIN(4,1+'5. Scenarios'!$E$8))/4+INDEX(BookQ2,2314)*(5-MIN(4,2+'5. Scenarios'!$E$8))/4+INDEX(BookQ3,2314)*(5-MIN(4,3+'5. Scenarios'!$E$8))/4+INDEX(BookQ4,2314)*(5-MIN(4,4+'5. Scenarios'!$E$8))/4)*'5. Scenarios'!$E$6/(1+ProductivityDefault*('5. Scenarios'!$E$11-1))+INDEX(BookOneOff,2314)*$S2319)</f>
        <v/>
      </c>
    </row>
    <row r="2320" customFormat="false" ht="15" hidden="false" customHeight="false" outlineLevel="0" collapsed="false">
      <c r="A2320" s="0" t="str">
        <f aca="false">IF(INDEX(BookTitle,2315)="","",INDEX(BookKey,2315))</f>
        <v/>
      </c>
      <c r="B2320" s="0" t="str">
        <f aca="false">IF(INDEX(BookTitle,2315)="","",INDEX(BookGroup,2315))</f>
        <v/>
      </c>
      <c r="C2320" s="0" t="str">
        <f aca="false">IF(INDEX(BookTitle,2315)="","",INDEX(BookCategory,2315))</f>
        <v/>
      </c>
      <c r="D2320" s="56" t="str">
        <f aca="false">IF(INDEX(BookTitle,2315)="","",INDEX(BookTotal,2315)*'5. Scenarios'!$B$6/(1+ProductivityDefault*('5. Scenarios'!$B$11-1)))</f>
        <v/>
      </c>
      <c r="E2320" s="57" t="str">
        <f aca="false">IF($D2320="","",INDEX(BookRate,2315)*(1+'5. Scenarios'!$B$10)*$D2320)</f>
        <v/>
      </c>
      <c r="F2320" s="57" t="str">
        <f aca="false">IF($E2320="","",SUMIFS($E$6:$E$2405,$A$6:$A$2405,"&lt;="&amp;$A2320))</f>
        <v/>
      </c>
      <c r="G2320" s="57" t="str">
        <f aca="false">IF($E2320="","",IF($F2320&lt;=BankCostEnvelope*'5. Scenarios'!$B$7,1,0))</f>
        <v/>
      </c>
      <c r="H2320" s="57" t="str">
        <f aca="false">IF($D2320="","",INDEX(BookRate,2315)*(1+'5. Scenarios'!$B$10)*(INDEX(BookQ1,2315)*(5-MIN(4,1+'5. Scenarios'!$B$8))/4+INDEX(BookQ2,2315)*(5-MIN(4,2+'5. Scenarios'!$B$8))/4+INDEX(BookQ3,2315)*(5-MIN(4,3+'5. Scenarios'!$B$8))/4+INDEX(BookQ4,2315)*(5-MIN(4,4+'5. Scenarios'!$B$8))/4)*'5. Scenarios'!$B$6/(1+ProductivityDefault*('5. Scenarios'!$B$11-1))+INDEX(BookOneOff,2315)*$D2320)</f>
        <v/>
      </c>
      <c r="I2320" s="56" t="str">
        <f aca="false">IF(INDEX(BookTitle,2315)="","",INDEX(BookTotal,2315)*'5. Scenarios'!$C$6/(1+ProductivityDefault*('5. Scenarios'!$C$11-1)))</f>
        <v/>
      </c>
      <c r="J2320" s="57" t="str">
        <f aca="false">IF($I2320="","",INDEX(BookRate,2315)*(1+'5. Scenarios'!$C$10)*$I2320)</f>
        <v/>
      </c>
      <c r="K2320" s="57" t="str">
        <f aca="false">IF($J2320="","",SUMIFS($J$6:$J$2405,$A$6:$A$2405,"&lt;="&amp;$A2320))</f>
        <v/>
      </c>
      <c r="L2320" s="57" t="str">
        <f aca="false">IF($J2320="","",IF($K2320&lt;=BankCostEnvelope*'5. Scenarios'!$C$7,1,0))</f>
        <v/>
      </c>
      <c r="M2320" s="57" t="str">
        <f aca="false">IF($I2320="","",INDEX(BookRate,2315)*(1+'5. Scenarios'!$C$10)*(INDEX(BookQ1,2315)*(5-MIN(4,1+'5. Scenarios'!$C$8))/4+INDEX(BookQ2,2315)*(5-MIN(4,2+'5. Scenarios'!$C$8))/4+INDEX(BookQ3,2315)*(5-MIN(4,3+'5. Scenarios'!$C$8))/4+INDEX(BookQ4,2315)*(5-MIN(4,4+'5. Scenarios'!$C$8))/4)*'5. Scenarios'!$C$6/(1+ProductivityDefault*('5. Scenarios'!$C$11-1))+INDEX(BookOneOff,2315)*$I2320)</f>
        <v/>
      </c>
      <c r="N2320" s="56" t="str">
        <f aca="false">IF(INDEX(BookTitle,2315)="","",INDEX(BookTotal,2315)*'5. Scenarios'!$D$6/(1+ProductivityDefault*('5. Scenarios'!$D$11-1)))</f>
        <v/>
      </c>
      <c r="O2320" s="57" t="str">
        <f aca="false">IF($N2320="","",INDEX(BookRate,2315)*(1+'5. Scenarios'!$D$10)*$N2320)</f>
        <v/>
      </c>
      <c r="P2320" s="57" t="str">
        <f aca="false">IF($O2320="","",SUMIFS($O$6:$O$2405,$A$6:$A$2405,"&lt;="&amp;$A2320))</f>
        <v/>
      </c>
      <c r="Q2320" s="57" t="str">
        <f aca="false">IF($O2320="","",IF($P2320&lt;=BankCostEnvelope*'5. Scenarios'!$D$7,1,0))</f>
        <v/>
      </c>
      <c r="R2320" s="57" t="str">
        <f aca="false">IF($N2320="","",INDEX(BookRate,2315)*(1+'5. Scenarios'!$D$10)*(INDEX(BookQ1,2315)*(5-MIN(4,1+'5. Scenarios'!$D$8))/4+INDEX(BookQ2,2315)*(5-MIN(4,2+'5. Scenarios'!$D$8))/4+INDEX(BookQ3,2315)*(5-MIN(4,3+'5. Scenarios'!$D$8))/4+INDEX(BookQ4,2315)*(5-MIN(4,4+'5. Scenarios'!$D$8))/4)*'5. Scenarios'!$D$6/(1+ProductivityDefault*('5. Scenarios'!$D$11-1))+INDEX(BookOneOff,2315)*$N2320)</f>
        <v/>
      </c>
      <c r="S2320" s="56" t="str">
        <f aca="false">IF(INDEX(BookTitle,2315)="","",INDEX(BookTotal,2315)*'5. Scenarios'!$E$6/(1+ProductivityDefault*('5. Scenarios'!$E$11-1)))</f>
        <v/>
      </c>
      <c r="T2320" s="57" t="str">
        <f aca="false">IF($S2320="","",INDEX(BookRate,2315)*(1+'5. Scenarios'!$E$10)*$S2320)</f>
        <v/>
      </c>
      <c r="U2320" s="57" t="str">
        <f aca="false">IF($T2320="","",SUMIFS($T$6:$T$2405,$A$6:$A$2405,"&lt;="&amp;$A2320))</f>
        <v/>
      </c>
      <c r="V2320" s="57" t="str">
        <f aca="false">IF($T2320="","",IF($U2320&lt;=BankCostEnvelope*'5. Scenarios'!$E$7,1,0))</f>
        <v/>
      </c>
      <c r="W2320" s="57" t="str">
        <f aca="false">IF($S2320="","",INDEX(BookRate,2315)*(1+'5. Scenarios'!$E$10)*(INDEX(BookQ1,2315)*(5-MIN(4,1+'5. Scenarios'!$E$8))/4+INDEX(BookQ2,2315)*(5-MIN(4,2+'5. Scenarios'!$E$8))/4+INDEX(BookQ3,2315)*(5-MIN(4,3+'5. Scenarios'!$E$8))/4+INDEX(BookQ4,2315)*(5-MIN(4,4+'5. Scenarios'!$E$8))/4)*'5. Scenarios'!$E$6/(1+ProductivityDefault*('5. Scenarios'!$E$11-1))+INDEX(BookOneOff,2315)*$S2320)</f>
        <v/>
      </c>
    </row>
    <row r="2321" customFormat="false" ht="15" hidden="false" customHeight="false" outlineLevel="0" collapsed="false">
      <c r="A2321" s="0" t="str">
        <f aca="false">IF(INDEX(BookTitle,2316)="","",INDEX(BookKey,2316))</f>
        <v/>
      </c>
      <c r="B2321" s="0" t="str">
        <f aca="false">IF(INDEX(BookTitle,2316)="","",INDEX(BookGroup,2316))</f>
        <v/>
      </c>
      <c r="C2321" s="0" t="str">
        <f aca="false">IF(INDEX(BookTitle,2316)="","",INDEX(BookCategory,2316))</f>
        <v/>
      </c>
      <c r="D2321" s="56" t="str">
        <f aca="false">IF(INDEX(BookTitle,2316)="","",INDEX(BookTotal,2316)*'5. Scenarios'!$B$6/(1+ProductivityDefault*('5. Scenarios'!$B$11-1)))</f>
        <v/>
      </c>
      <c r="E2321" s="57" t="str">
        <f aca="false">IF($D2321="","",INDEX(BookRate,2316)*(1+'5. Scenarios'!$B$10)*$D2321)</f>
        <v/>
      </c>
      <c r="F2321" s="57" t="str">
        <f aca="false">IF($E2321="","",SUMIFS($E$6:$E$2405,$A$6:$A$2405,"&lt;="&amp;$A2321))</f>
        <v/>
      </c>
      <c r="G2321" s="57" t="str">
        <f aca="false">IF($E2321="","",IF($F2321&lt;=BankCostEnvelope*'5. Scenarios'!$B$7,1,0))</f>
        <v/>
      </c>
      <c r="H2321" s="57" t="str">
        <f aca="false">IF($D2321="","",INDEX(BookRate,2316)*(1+'5. Scenarios'!$B$10)*(INDEX(BookQ1,2316)*(5-MIN(4,1+'5. Scenarios'!$B$8))/4+INDEX(BookQ2,2316)*(5-MIN(4,2+'5. Scenarios'!$B$8))/4+INDEX(BookQ3,2316)*(5-MIN(4,3+'5. Scenarios'!$B$8))/4+INDEX(BookQ4,2316)*(5-MIN(4,4+'5. Scenarios'!$B$8))/4)*'5. Scenarios'!$B$6/(1+ProductivityDefault*('5. Scenarios'!$B$11-1))+INDEX(BookOneOff,2316)*$D2321)</f>
        <v/>
      </c>
      <c r="I2321" s="56" t="str">
        <f aca="false">IF(INDEX(BookTitle,2316)="","",INDEX(BookTotal,2316)*'5. Scenarios'!$C$6/(1+ProductivityDefault*('5. Scenarios'!$C$11-1)))</f>
        <v/>
      </c>
      <c r="J2321" s="57" t="str">
        <f aca="false">IF($I2321="","",INDEX(BookRate,2316)*(1+'5. Scenarios'!$C$10)*$I2321)</f>
        <v/>
      </c>
      <c r="K2321" s="57" t="str">
        <f aca="false">IF($J2321="","",SUMIFS($J$6:$J$2405,$A$6:$A$2405,"&lt;="&amp;$A2321))</f>
        <v/>
      </c>
      <c r="L2321" s="57" t="str">
        <f aca="false">IF($J2321="","",IF($K2321&lt;=BankCostEnvelope*'5. Scenarios'!$C$7,1,0))</f>
        <v/>
      </c>
      <c r="M2321" s="57" t="str">
        <f aca="false">IF($I2321="","",INDEX(BookRate,2316)*(1+'5. Scenarios'!$C$10)*(INDEX(BookQ1,2316)*(5-MIN(4,1+'5. Scenarios'!$C$8))/4+INDEX(BookQ2,2316)*(5-MIN(4,2+'5. Scenarios'!$C$8))/4+INDEX(BookQ3,2316)*(5-MIN(4,3+'5. Scenarios'!$C$8))/4+INDEX(BookQ4,2316)*(5-MIN(4,4+'5. Scenarios'!$C$8))/4)*'5. Scenarios'!$C$6/(1+ProductivityDefault*('5. Scenarios'!$C$11-1))+INDEX(BookOneOff,2316)*$I2321)</f>
        <v/>
      </c>
      <c r="N2321" s="56" t="str">
        <f aca="false">IF(INDEX(BookTitle,2316)="","",INDEX(BookTotal,2316)*'5. Scenarios'!$D$6/(1+ProductivityDefault*('5. Scenarios'!$D$11-1)))</f>
        <v/>
      </c>
      <c r="O2321" s="57" t="str">
        <f aca="false">IF($N2321="","",INDEX(BookRate,2316)*(1+'5. Scenarios'!$D$10)*$N2321)</f>
        <v/>
      </c>
      <c r="P2321" s="57" t="str">
        <f aca="false">IF($O2321="","",SUMIFS($O$6:$O$2405,$A$6:$A$2405,"&lt;="&amp;$A2321))</f>
        <v/>
      </c>
      <c r="Q2321" s="57" t="str">
        <f aca="false">IF($O2321="","",IF($P2321&lt;=BankCostEnvelope*'5. Scenarios'!$D$7,1,0))</f>
        <v/>
      </c>
      <c r="R2321" s="57" t="str">
        <f aca="false">IF($N2321="","",INDEX(BookRate,2316)*(1+'5. Scenarios'!$D$10)*(INDEX(BookQ1,2316)*(5-MIN(4,1+'5. Scenarios'!$D$8))/4+INDEX(BookQ2,2316)*(5-MIN(4,2+'5. Scenarios'!$D$8))/4+INDEX(BookQ3,2316)*(5-MIN(4,3+'5. Scenarios'!$D$8))/4+INDEX(BookQ4,2316)*(5-MIN(4,4+'5. Scenarios'!$D$8))/4)*'5. Scenarios'!$D$6/(1+ProductivityDefault*('5. Scenarios'!$D$11-1))+INDEX(BookOneOff,2316)*$N2321)</f>
        <v/>
      </c>
      <c r="S2321" s="56" t="str">
        <f aca="false">IF(INDEX(BookTitle,2316)="","",INDEX(BookTotal,2316)*'5. Scenarios'!$E$6/(1+ProductivityDefault*('5. Scenarios'!$E$11-1)))</f>
        <v/>
      </c>
      <c r="T2321" s="57" t="str">
        <f aca="false">IF($S2321="","",INDEX(BookRate,2316)*(1+'5. Scenarios'!$E$10)*$S2321)</f>
        <v/>
      </c>
      <c r="U2321" s="57" t="str">
        <f aca="false">IF($T2321="","",SUMIFS($T$6:$T$2405,$A$6:$A$2405,"&lt;="&amp;$A2321))</f>
        <v/>
      </c>
      <c r="V2321" s="57" t="str">
        <f aca="false">IF($T2321="","",IF($U2321&lt;=BankCostEnvelope*'5. Scenarios'!$E$7,1,0))</f>
        <v/>
      </c>
      <c r="W2321" s="57" t="str">
        <f aca="false">IF($S2321="","",INDEX(BookRate,2316)*(1+'5. Scenarios'!$E$10)*(INDEX(BookQ1,2316)*(5-MIN(4,1+'5. Scenarios'!$E$8))/4+INDEX(BookQ2,2316)*(5-MIN(4,2+'5. Scenarios'!$E$8))/4+INDEX(BookQ3,2316)*(5-MIN(4,3+'5. Scenarios'!$E$8))/4+INDEX(BookQ4,2316)*(5-MIN(4,4+'5. Scenarios'!$E$8))/4)*'5. Scenarios'!$E$6/(1+ProductivityDefault*('5. Scenarios'!$E$11-1))+INDEX(BookOneOff,2316)*$S2321)</f>
        <v/>
      </c>
    </row>
    <row r="2322" customFormat="false" ht="15" hidden="false" customHeight="false" outlineLevel="0" collapsed="false">
      <c r="A2322" s="0" t="str">
        <f aca="false">IF(INDEX(BookTitle,2317)="","",INDEX(BookKey,2317))</f>
        <v/>
      </c>
      <c r="B2322" s="0" t="str">
        <f aca="false">IF(INDEX(BookTitle,2317)="","",INDEX(BookGroup,2317))</f>
        <v/>
      </c>
      <c r="C2322" s="0" t="str">
        <f aca="false">IF(INDEX(BookTitle,2317)="","",INDEX(BookCategory,2317))</f>
        <v/>
      </c>
      <c r="D2322" s="56" t="str">
        <f aca="false">IF(INDEX(BookTitle,2317)="","",INDEX(BookTotal,2317)*'5. Scenarios'!$B$6/(1+ProductivityDefault*('5. Scenarios'!$B$11-1)))</f>
        <v/>
      </c>
      <c r="E2322" s="57" t="str">
        <f aca="false">IF($D2322="","",INDEX(BookRate,2317)*(1+'5. Scenarios'!$B$10)*$D2322)</f>
        <v/>
      </c>
      <c r="F2322" s="57" t="str">
        <f aca="false">IF($E2322="","",SUMIFS($E$6:$E$2405,$A$6:$A$2405,"&lt;="&amp;$A2322))</f>
        <v/>
      </c>
      <c r="G2322" s="57" t="str">
        <f aca="false">IF($E2322="","",IF($F2322&lt;=BankCostEnvelope*'5. Scenarios'!$B$7,1,0))</f>
        <v/>
      </c>
      <c r="H2322" s="57" t="str">
        <f aca="false">IF($D2322="","",INDEX(BookRate,2317)*(1+'5. Scenarios'!$B$10)*(INDEX(BookQ1,2317)*(5-MIN(4,1+'5. Scenarios'!$B$8))/4+INDEX(BookQ2,2317)*(5-MIN(4,2+'5. Scenarios'!$B$8))/4+INDEX(BookQ3,2317)*(5-MIN(4,3+'5. Scenarios'!$B$8))/4+INDEX(BookQ4,2317)*(5-MIN(4,4+'5. Scenarios'!$B$8))/4)*'5. Scenarios'!$B$6/(1+ProductivityDefault*('5. Scenarios'!$B$11-1))+INDEX(BookOneOff,2317)*$D2322)</f>
        <v/>
      </c>
      <c r="I2322" s="56" t="str">
        <f aca="false">IF(INDEX(BookTitle,2317)="","",INDEX(BookTotal,2317)*'5. Scenarios'!$C$6/(1+ProductivityDefault*('5. Scenarios'!$C$11-1)))</f>
        <v/>
      </c>
      <c r="J2322" s="57" t="str">
        <f aca="false">IF($I2322="","",INDEX(BookRate,2317)*(1+'5. Scenarios'!$C$10)*$I2322)</f>
        <v/>
      </c>
      <c r="K2322" s="57" t="str">
        <f aca="false">IF($J2322="","",SUMIFS($J$6:$J$2405,$A$6:$A$2405,"&lt;="&amp;$A2322))</f>
        <v/>
      </c>
      <c r="L2322" s="57" t="str">
        <f aca="false">IF($J2322="","",IF($K2322&lt;=BankCostEnvelope*'5. Scenarios'!$C$7,1,0))</f>
        <v/>
      </c>
      <c r="M2322" s="57" t="str">
        <f aca="false">IF($I2322="","",INDEX(BookRate,2317)*(1+'5. Scenarios'!$C$10)*(INDEX(BookQ1,2317)*(5-MIN(4,1+'5. Scenarios'!$C$8))/4+INDEX(BookQ2,2317)*(5-MIN(4,2+'5. Scenarios'!$C$8))/4+INDEX(BookQ3,2317)*(5-MIN(4,3+'5. Scenarios'!$C$8))/4+INDEX(BookQ4,2317)*(5-MIN(4,4+'5. Scenarios'!$C$8))/4)*'5. Scenarios'!$C$6/(1+ProductivityDefault*('5. Scenarios'!$C$11-1))+INDEX(BookOneOff,2317)*$I2322)</f>
        <v/>
      </c>
      <c r="N2322" s="56" t="str">
        <f aca="false">IF(INDEX(BookTitle,2317)="","",INDEX(BookTotal,2317)*'5. Scenarios'!$D$6/(1+ProductivityDefault*('5. Scenarios'!$D$11-1)))</f>
        <v/>
      </c>
      <c r="O2322" s="57" t="str">
        <f aca="false">IF($N2322="","",INDEX(BookRate,2317)*(1+'5. Scenarios'!$D$10)*$N2322)</f>
        <v/>
      </c>
      <c r="P2322" s="57" t="str">
        <f aca="false">IF($O2322="","",SUMIFS($O$6:$O$2405,$A$6:$A$2405,"&lt;="&amp;$A2322))</f>
        <v/>
      </c>
      <c r="Q2322" s="57" t="str">
        <f aca="false">IF($O2322="","",IF($P2322&lt;=BankCostEnvelope*'5. Scenarios'!$D$7,1,0))</f>
        <v/>
      </c>
      <c r="R2322" s="57" t="str">
        <f aca="false">IF($N2322="","",INDEX(BookRate,2317)*(1+'5. Scenarios'!$D$10)*(INDEX(BookQ1,2317)*(5-MIN(4,1+'5. Scenarios'!$D$8))/4+INDEX(BookQ2,2317)*(5-MIN(4,2+'5. Scenarios'!$D$8))/4+INDEX(BookQ3,2317)*(5-MIN(4,3+'5. Scenarios'!$D$8))/4+INDEX(BookQ4,2317)*(5-MIN(4,4+'5. Scenarios'!$D$8))/4)*'5. Scenarios'!$D$6/(1+ProductivityDefault*('5. Scenarios'!$D$11-1))+INDEX(BookOneOff,2317)*$N2322)</f>
        <v/>
      </c>
      <c r="S2322" s="56" t="str">
        <f aca="false">IF(INDEX(BookTitle,2317)="","",INDEX(BookTotal,2317)*'5. Scenarios'!$E$6/(1+ProductivityDefault*('5. Scenarios'!$E$11-1)))</f>
        <v/>
      </c>
      <c r="T2322" s="57" t="str">
        <f aca="false">IF($S2322="","",INDEX(BookRate,2317)*(1+'5. Scenarios'!$E$10)*$S2322)</f>
        <v/>
      </c>
      <c r="U2322" s="57" t="str">
        <f aca="false">IF($T2322="","",SUMIFS($T$6:$T$2405,$A$6:$A$2405,"&lt;="&amp;$A2322))</f>
        <v/>
      </c>
      <c r="V2322" s="57" t="str">
        <f aca="false">IF($T2322="","",IF($U2322&lt;=BankCostEnvelope*'5. Scenarios'!$E$7,1,0))</f>
        <v/>
      </c>
      <c r="W2322" s="57" t="str">
        <f aca="false">IF($S2322="","",INDEX(BookRate,2317)*(1+'5. Scenarios'!$E$10)*(INDEX(BookQ1,2317)*(5-MIN(4,1+'5. Scenarios'!$E$8))/4+INDEX(BookQ2,2317)*(5-MIN(4,2+'5. Scenarios'!$E$8))/4+INDEX(BookQ3,2317)*(5-MIN(4,3+'5. Scenarios'!$E$8))/4+INDEX(BookQ4,2317)*(5-MIN(4,4+'5. Scenarios'!$E$8))/4)*'5. Scenarios'!$E$6/(1+ProductivityDefault*('5. Scenarios'!$E$11-1))+INDEX(BookOneOff,2317)*$S2322)</f>
        <v/>
      </c>
    </row>
    <row r="2323" customFormat="false" ht="15" hidden="false" customHeight="false" outlineLevel="0" collapsed="false">
      <c r="A2323" s="0" t="str">
        <f aca="false">IF(INDEX(BookTitle,2318)="","",INDEX(BookKey,2318))</f>
        <v/>
      </c>
      <c r="B2323" s="0" t="str">
        <f aca="false">IF(INDEX(BookTitle,2318)="","",INDEX(BookGroup,2318))</f>
        <v/>
      </c>
      <c r="C2323" s="0" t="str">
        <f aca="false">IF(INDEX(BookTitle,2318)="","",INDEX(BookCategory,2318))</f>
        <v/>
      </c>
      <c r="D2323" s="56" t="str">
        <f aca="false">IF(INDEX(BookTitle,2318)="","",INDEX(BookTotal,2318)*'5. Scenarios'!$B$6/(1+ProductivityDefault*('5. Scenarios'!$B$11-1)))</f>
        <v/>
      </c>
      <c r="E2323" s="57" t="str">
        <f aca="false">IF($D2323="","",INDEX(BookRate,2318)*(1+'5. Scenarios'!$B$10)*$D2323)</f>
        <v/>
      </c>
      <c r="F2323" s="57" t="str">
        <f aca="false">IF($E2323="","",SUMIFS($E$6:$E$2405,$A$6:$A$2405,"&lt;="&amp;$A2323))</f>
        <v/>
      </c>
      <c r="G2323" s="57" t="str">
        <f aca="false">IF($E2323="","",IF($F2323&lt;=BankCostEnvelope*'5. Scenarios'!$B$7,1,0))</f>
        <v/>
      </c>
      <c r="H2323" s="57" t="str">
        <f aca="false">IF($D2323="","",INDEX(BookRate,2318)*(1+'5. Scenarios'!$B$10)*(INDEX(BookQ1,2318)*(5-MIN(4,1+'5. Scenarios'!$B$8))/4+INDEX(BookQ2,2318)*(5-MIN(4,2+'5. Scenarios'!$B$8))/4+INDEX(BookQ3,2318)*(5-MIN(4,3+'5. Scenarios'!$B$8))/4+INDEX(BookQ4,2318)*(5-MIN(4,4+'5. Scenarios'!$B$8))/4)*'5. Scenarios'!$B$6/(1+ProductivityDefault*('5. Scenarios'!$B$11-1))+INDEX(BookOneOff,2318)*$D2323)</f>
        <v/>
      </c>
      <c r="I2323" s="56" t="str">
        <f aca="false">IF(INDEX(BookTitle,2318)="","",INDEX(BookTotal,2318)*'5. Scenarios'!$C$6/(1+ProductivityDefault*('5. Scenarios'!$C$11-1)))</f>
        <v/>
      </c>
      <c r="J2323" s="57" t="str">
        <f aca="false">IF($I2323="","",INDEX(BookRate,2318)*(1+'5. Scenarios'!$C$10)*$I2323)</f>
        <v/>
      </c>
      <c r="K2323" s="57" t="str">
        <f aca="false">IF($J2323="","",SUMIFS($J$6:$J$2405,$A$6:$A$2405,"&lt;="&amp;$A2323))</f>
        <v/>
      </c>
      <c r="L2323" s="57" t="str">
        <f aca="false">IF($J2323="","",IF($K2323&lt;=BankCostEnvelope*'5. Scenarios'!$C$7,1,0))</f>
        <v/>
      </c>
      <c r="M2323" s="57" t="str">
        <f aca="false">IF($I2323="","",INDEX(BookRate,2318)*(1+'5. Scenarios'!$C$10)*(INDEX(BookQ1,2318)*(5-MIN(4,1+'5. Scenarios'!$C$8))/4+INDEX(BookQ2,2318)*(5-MIN(4,2+'5. Scenarios'!$C$8))/4+INDEX(BookQ3,2318)*(5-MIN(4,3+'5. Scenarios'!$C$8))/4+INDEX(BookQ4,2318)*(5-MIN(4,4+'5. Scenarios'!$C$8))/4)*'5. Scenarios'!$C$6/(1+ProductivityDefault*('5. Scenarios'!$C$11-1))+INDEX(BookOneOff,2318)*$I2323)</f>
        <v/>
      </c>
      <c r="N2323" s="56" t="str">
        <f aca="false">IF(INDEX(BookTitle,2318)="","",INDEX(BookTotal,2318)*'5. Scenarios'!$D$6/(1+ProductivityDefault*('5. Scenarios'!$D$11-1)))</f>
        <v/>
      </c>
      <c r="O2323" s="57" t="str">
        <f aca="false">IF($N2323="","",INDEX(BookRate,2318)*(1+'5. Scenarios'!$D$10)*$N2323)</f>
        <v/>
      </c>
      <c r="P2323" s="57" t="str">
        <f aca="false">IF($O2323="","",SUMIFS($O$6:$O$2405,$A$6:$A$2405,"&lt;="&amp;$A2323))</f>
        <v/>
      </c>
      <c r="Q2323" s="57" t="str">
        <f aca="false">IF($O2323="","",IF($P2323&lt;=BankCostEnvelope*'5. Scenarios'!$D$7,1,0))</f>
        <v/>
      </c>
      <c r="R2323" s="57" t="str">
        <f aca="false">IF($N2323="","",INDEX(BookRate,2318)*(1+'5. Scenarios'!$D$10)*(INDEX(BookQ1,2318)*(5-MIN(4,1+'5. Scenarios'!$D$8))/4+INDEX(BookQ2,2318)*(5-MIN(4,2+'5. Scenarios'!$D$8))/4+INDEX(BookQ3,2318)*(5-MIN(4,3+'5. Scenarios'!$D$8))/4+INDEX(BookQ4,2318)*(5-MIN(4,4+'5. Scenarios'!$D$8))/4)*'5. Scenarios'!$D$6/(1+ProductivityDefault*('5. Scenarios'!$D$11-1))+INDEX(BookOneOff,2318)*$N2323)</f>
        <v/>
      </c>
      <c r="S2323" s="56" t="str">
        <f aca="false">IF(INDEX(BookTitle,2318)="","",INDEX(BookTotal,2318)*'5. Scenarios'!$E$6/(1+ProductivityDefault*('5. Scenarios'!$E$11-1)))</f>
        <v/>
      </c>
      <c r="T2323" s="57" t="str">
        <f aca="false">IF($S2323="","",INDEX(BookRate,2318)*(1+'5. Scenarios'!$E$10)*$S2323)</f>
        <v/>
      </c>
      <c r="U2323" s="57" t="str">
        <f aca="false">IF($T2323="","",SUMIFS($T$6:$T$2405,$A$6:$A$2405,"&lt;="&amp;$A2323))</f>
        <v/>
      </c>
      <c r="V2323" s="57" t="str">
        <f aca="false">IF($T2323="","",IF($U2323&lt;=BankCostEnvelope*'5. Scenarios'!$E$7,1,0))</f>
        <v/>
      </c>
      <c r="W2323" s="57" t="str">
        <f aca="false">IF($S2323="","",INDEX(BookRate,2318)*(1+'5. Scenarios'!$E$10)*(INDEX(BookQ1,2318)*(5-MIN(4,1+'5. Scenarios'!$E$8))/4+INDEX(BookQ2,2318)*(5-MIN(4,2+'5. Scenarios'!$E$8))/4+INDEX(BookQ3,2318)*(5-MIN(4,3+'5. Scenarios'!$E$8))/4+INDEX(BookQ4,2318)*(5-MIN(4,4+'5. Scenarios'!$E$8))/4)*'5. Scenarios'!$E$6/(1+ProductivityDefault*('5. Scenarios'!$E$11-1))+INDEX(BookOneOff,2318)*$S2323)</f>
        <v/>
      </c>
    </row>
    <row r="2324" customFormat="false" ht="15" hidden="false" customHeight="false" outlineLevel="0" collapsed="false">
      <c r="A2324" s="0" t="str">
        <f aca="false">IF(INDEX(BookTitle,2319)="","",INDEX(BookKey,2319))</f>
        <v/>
      </c>
      <c r="B2324" s="0" t="str">
        <f aca="false">IF(INDEX(BookTitle,2319)="","",INDEX(BookGroup,2319))</f>
        <v/>
      </c>
      <c r="C2324" s="0" t="str">
        <f aca="false">IF(INDEX(BookTitle,2319)="","",INDEX(BookCategory,2319))</f>
        <v/>
      </c>
      <c r="D2324" s="56" t="str">
        <f aca="false">IF(INDEX(BookTitle,2319)="","",INDEX(BookTotal,2319)*'5. Scenarios'!$B$6/(1+ProductivityDefault*('5. Scenarios'!$B$11-1)))</f>
        <v/>
      </c>
      <c r="E2324" s="57" t="str">
        <f aca="false">IF($D2324="","",INDEX(BookRate,2319)*(1+'5. Scenarios'!$B$10)*$D2324)</f>
        <v/>
      </c>
      <c r="F2324" s="57" t="str">
        <f aca="false">IF($E2324="","",SUMIFS($E$6:$E$2405,$A$6:$A$2405,"&lt;="&amp;$A2324))</f>
        <v/>
      </c>
      <c r="G2324" s="57" t="str">
        <f aca="false">IF($E2324="","",IF($F2324&lt;=BankCostEnvelope*'5. Scenarios'!$B$7,1,0))</f>
        <v/>
      </c>
      <c r="H2324" s="57" t="str">
        <f aca="false">IF($D2324="","",INDEX(BookRate,2319)*(1+'5. Scenarios'!$B$10)*(INDEX(BookQ1,2319)*(5-MIN(4,1+'5. Scenarios'!$B$8))/4+INDEX(BookQ2,2319)*(5-MIN(4,2+'5. Scenarios'!$B$8))/4+INDEX(BookQ3,2319)*(5-MIN(4,3+'5. Scenarios'!$B$8))/4+INDEX(BookQ4,2319)*(5-MIN(4,4+'5. Scenarios'!$B$8))/4)*'5. Scenarios'!$B$6/(1+ProductivityDefault*('5. Scenarios'!$B$11-1))+INDEX(BookOneOff,2319)*$D2324)</f>
        <v/>
      </c>
      <c r="I2324" s="56" t="str">
        <f aca="false">IF(INDEX(BookTitle,2319)="","",INDEX(BookTotal,2319)*'5. Scenarios'!$C$6/(1+ProductivityDefault*('5. Scenarios'!$C$11-1)))</f>
        <v/>
      </c>
      <c r="J2324" s="57" t="str">
        <f aca="false">IF($I2324="","",INDEX(BookRate,2319)*(1+'5. Scenarios'!$C$10)*$I2324)</f>
        <v/>
      </c>
      <c r="K2324" s="57" t="str">
        <f aca="false">IF($J2324="","",SUMIFS($J$6:$J$2405,$A$6:$A$2405,"&lt;="&amp;$A2324))</f>
        <v/>
      </c>
      <c r="L2324" s="57" t="str">
        <f aca="false">IF($J2324="","",IF($K2324&lt;=BankCostEnvelope*'5. Scenarios'!$C$7,1,0))</f>
        <v/>
      </c>
      <c r="M2324" s="57" t="str">
        <f aca="false">IF($I2324="","",INDEX(BookRate,2319)*(1+'5. Scenarios'!$C$10)*(INDEX(BookQ1,2319)*(5-MIN(4,1+'5. Scenarios'!$C$8))/4+INDEX(BookQ2,2319)*(5-MIN(4,2+'5. Scenarios'!$C$8))/4+INDEX(BookQ3,2319)*(5-MIN(4,3+'5. Scenarios'!$C$8))/4+INDEX(BookQ4,2319)*(5-MIN(4,4+'5. Scenarios'!$C$8))/4)*'5. Scenarios'!$C$6/(1+ProductivityDefault*('5. Scenarios'!$C$11-1))+INDEX(BookOneOff,2319)*$I2324)</f>
        <v/>
      </c>
      <c r="N2324" s="56" t="str">
        <f aca="false">IF(INDEX(BookTitle,2319)="","",INDEX(BookTotal,2319)*'5. Scenarios'!$D$6/(1+ProductivityDefault*('5. Scenarios'!$D$11-1)))</f>
        <v/>
      </c>
      <c r="O2324" s="57" t="str">
        <f aca="false">IF($N2324="","",INDEX(BookRate,2319)*(1+'5. Scenarios'!$D$10)*$N2324)</f>
        <v/>
      </c>
      <c r="P2324" s="57" t="str">
        <f aca="false">IF($O2324="","",SUMIFS($O$6:$O$2405,$A$6:$A$2405,"&lt;="&amp;$A2324))</f>
        <v/>
      </c>
      <c r="Q2324" s="57" t="str">
        <f aca="false">IF($O2324="","",IF($P2324&lt;=BankCostEnvelope*'5. Scenarios'!$D$7,1,0))</f>
        <v/>
      </c>
      <c r="R2324" s="57" t="str">
        <f aca="false">IF($N2324="","",INDEX(BookRate,2319)*(1+'5. Scenarios'!$D$10)*(INDEX(BookQ1,2319)*(5-MIN(4,1+'5. Scenarios'!$D$8))/4+INDEX(BookQ2,2319)*(5-MIN(4,2+'5. Scenarios'!$D$8))/4+INDEX(BookQ3,2319)*(5-MIN(4,3+'5. Scenarios'!$D$8))/4+INDEX(BookQ4,2319)*(5-MIN(4,4+'5. Scenarios'!$D$8))/4)*'5. Scenarios'!$D$6/(1+ProductivityDefault*('5. Scenarios'!$D$11-1))+INDEX(BookOneOff,2319)*$N2324)</f>
        <v/>
      </c>
      <c r="S2324" s="56" t="str">
        <f aca="false">IF(INDEX(BookTitle,2319)="","",INDEX(BookTotal,2319)*'5. Scenarios'!$E$6/(1+ProductivityDefault*('5. Scenarios'!$E$11-1)))</f>
        <v/>
      </c>
      <c r="T2324" s="57" t="str">
        <f aca="false">IF($S2324="","",INDEX(BookRate,2319)*(1+'5. Scenarios'!$E$10)*$S2324)</f>
        <v/>
      </c>
      <c r="U2324" s="57" t="str">
        <f aca="false">IF($T2324="","",SUMIFS($T$6:$T$2405,$A$6:$A$2405,"&lt;="&amp;$A2324))</f>
        <v/>
      </c>
      <c r="V2324" s="57" t="str">
        <f aca="false">IF($T2324="","",IF($U2324&lt;=BankCostEnvelope*'5. Scenarios'!$E$7,1,0))</f>
        <v/>
      </c>
      <c r="W2324" s="57" t="str">
        <f aca="false">IF($S2324="","",INDEX(BookRate,2319)*(1+'5. Scenarios'!$E$10)*(INDEX(BookQ1,2319)*(5-MIN(4,1+'5. Scenarios'!$E$8))/4+INDEX(BookQ2,2319)*(5-MIN(4,2+'5. Scenarios'!$E$8))/4+INDEX(BookQ3,2319)*(5-MIN(4,3+'5. Scenarios'!$E$8))/4+INDEX(BookQ4,2319)*(5-MIN(4,4+'5. Scenarios'!$E$8))/4)*'5. Scenarios'!$E$6/(1+ProductivityDefault*('5. Scenarios'!$E$11-1))+INDEX(BookOneOff,2319)*$S2324)</f>
        <v/>
      </c>
    </row>
    <row r="2325" customFormat="false" ht="15" hidden="false" customHeight="false" outlineLevel="0" collapsed="false">
      <c r="A2325" s="0" t="str">
        <f aca="false">IF(INDEX(BookTitle,2320)="","",INDEX(BookKey,2320))</f>
        <v/>
      </c>
      <c r="B2325" s="0" t="str">
        <f aca="false">IF(INDEX(BookTitle,2320)="","",INDEX(BookGroup,2320))</f>
        <v/>
      </c>
      <c r="C2325" s="0" t="str">
        <f aca="false">IF(INDEX(BookTitle,2320)="","",INDEX(BookCategory,2320))</f>
        <v/>
      </c>
      <c r="D2325" s="56" t="str">
        <f aca="false">IF(INDEX(BookTitle,2320)="","",INDEX(BookTotal,2320)*'5. Scenarios'!$B$6/(1+ProductivityDefault*('5. Scenarios'!$B$11-1)))</f>
        <v/>
      </c>
      <c r="E2325" s="57" t="str">
        <f aca="false">IF($D2325="","",INDEX(BookRate,2320)*(1+'5. Scenarios'!$B$10)*$D2325)</f>
        <v/>
      </c>
      <c r="F2325" s="57" t="str">
        <f aca="false">IF($E2325="","",SUMIFS($E$6:$E$2405,$A$6:$A$2405,"&lt;="&amp;$A2325))</f>
        <v/>
      </c>
      <c r="G2325" s="57" t="str">
        <f aca="false">IF($E2325="","",IF($F2325&lt;=BankCostEnvelope*'5. Scenarios'!$B$7,1,0))</f>
        <v/>
      </c>
      <c r="H2325" s="57" t="str">
        <f aca="false">IF($D2325="","",INDEX(BookRate,2320)*(1+'5. Scenarios'!$B$10)*(INDEX(BookQ1,2320)*(5-MIN(4,1+'5. Scenarios'!$B$8))/4+INDEX(BookQ2,2320)*(5-MIN(4,2+'5. Scenarios'!$B$8))/4+INDEX(BookQ3,2320)*(5-MIN(4,3+'5. Scenarios'!$B$8))/4+INDEX(BookQ4,2320)*(5-MIN(4,4+'5. Scenarios'!$B$8))/4)*'5. Scenarios'!$B$6/(1+ProductivityDefault*('5. Scenarios'!$B$11-1))+INDEX(BookOneOff,2320)*$D2325)</f>
        <v/>
      </c>
      <c r="I2325" s="56" t="str">
        <f aca="false">IF(INDEX(BookTitle,2320)="","",INDEX(BookTotal,2320)*'5. Scenarios'!$C$6/(1+ProductivityDefault*('5. Scenarios'!$C$11-1)))</f>
        <v/>
      </c>
      <c r="J2325" s="57" t="str">
        <f aca="false">IF($I2325="","",INDEX(BookRate,2320)*(1+'5. Scenarios'!$C$10)*$I2325)</f>
        <v/>
      </c>
      <c r="K2325" s="57" t="str">
        <f aca="false">IF($J2325="","",SUMIFS($J$6:$J$2405,$A$6:$A$2405,"&lt;="&amp;$A2325))</f>
        <v/>
      </c>
      <c r="L2325" s="57" t="str">
        <f aca="false">IF($J2325="","",IF($K2325&lt;=BankCostEnvelope*'5. Scenarios'!$C$7,1,0))</f>
        <v/>
      </c>
      <c r="M2325" s="57" t="str">
        <f aca="false">IF($I2325="","",INDEX(BookRate,2320)*(1+'5. Scenarios'!$C$10)*(INDEX(BookQ1,2320)*(5-MIN(4,1+'5. Scenarios'!$C$8))/4+INDEX(BookQ2,2320)*(5-MIN(4,2+'5. Scenarios'!$C$8))/4+INDEX(BookQ3,2320)*(5-MIN(4,3+'5. Scenarios'!$C$8))/4+INDEX(BookQ4,2320)*(5-MIN(4,4+'5. Scenarios'!$C$8))/4)*'5. Scenarios'!$C$6/(1+ProductivityDefault*('5. Scenarios'!$C$11-1))+INDEX(BookOneOff,2320)*$I2325)</f>
        <v/>
      </c>
      <c r="N2325" s="56" t="str">
        <f aca="false">IF(INDEX(BookTitle,2320)="","",INDEX(BookTotal,2320)*'5. Scenarios'!$D$6/(1+ProductivityDefault*('5. Scenarios'!$D$11-1)))</f>
        <v/>
      </c>
      <c r="O2325" s="57" t="str">
        <f aca="false">IF($N2325="","",INDEX(BookRate,2320)*(1+'5. Scenarios'!$D$10)*$N2325)</f>
        <v/>
      </c>
      <c r="P2325" s="57" t="str">
        <f aca="false">IF($O2325="","",SUMIFS($O$6:$O$2405,$A$6:$A$2405,"&lt;="&amp;$A2325))</f>
        <v/>
      </c>
      <c r="Q2325" s="57" t="str">
        <f aca="false">IF($O2325="","",IF($P2325&lt;=BankCostEnvelope*'5. Scenarios'!$D$7,1,0))</f>
        <v/>
      </c>
      <c r="R2325" s="57" t="str">
        <f aca="false">IF($N2325="","",INDEX(BookRate,2320)*(1+'5. Scenarios'!$D$10)*(INDEX(BookQ1,2320)*(5-MIN(4,1+'5. Scenarios'!$D$8))/4+INDEX(BookQ2,2320)*(5-MIN(4,2+'5. Scenarios'!$D$8))/4+INDEX(BookQ3,2320)*(5-MIN(4,3+'5. Scenarios'!$D$8))/4+INDEX(BookQ4,2320)*(5-MIN(4,4+'5. Scenarios'!$D$8))/4)*'5. Scenarios'!$D$6/(1+ProductivityDefault*('5. Scenarios'!$D$11-1))+INDEX(BookOneOff,2320)*$N2325)</f>
        <v/>
      </c>
      <c r="S2325" s="56" t="str">
        <f aca="false">IF(INDEX(BookTitle,2320)="","",INDEX(BookTotal,2320)*'5. Scenarios'!$E$6/(1+ProductivityDefault*('5. Scenarios'!$E$11-1)))</f>
        <v/>
      </c>
      <c r="T2325" s="57" t="str">
        <f aca="false">IF($S2325="","",INDEX(BookRate,2320)*(1+'5. Scenarios'!$E$10)*$S2325)</f>
        <v/>
      </c>
      <c r="U2325" s="57" t="str">
        <f aca="false">IF($T2325="","",SUMIFS($T$6:$T$2405,$A$6:$A$2405,"&lt;="&amp;$A2325))</f>
        <v/>
      </c>
      <c r="V2325" s="57" t="str">
        <f aca="false">IF($T2325="","",IF($U2325&lt;=BankCostEnvelope*'5. Scenarios'!$E$7,1,0))</f>
        <v/>
      </c>
      <c r="W2325" s="57" t="str">
        <f aca="false">IF($S2325="","",INDEX(BookRate,2320)*(1+'5. Scenarios'!$E$10)*(INDEX(BookQ1,2320)*(5-MIN(4,1+'5. Scenarios'!$E$8))/4+INDEX(BookQ2,2320)*(5-MIN(4,2+'5. Scenarios'!$E$8))/4+INDEX(BookQ3,2320)*(5-MIN(4,3+'5. Scenarios'!$E$8))/4+INDEX(BookQ4,2320)*(5-MIN(4,4+'5. Scenarios'!$E$8))/4)*'5. Scenarios'!$E$6/(1+ProductivityDefault*('5. Scenarios'!$E$11-1))+INDEX(BookOneOff,2320)*$S2325)</f>
        <v/>
      </c>
    </row>
    <row r="2326" customFormat="false" ht="15" hidden="false" customHeight="false" outlineLevel="0" collapsed="false">
      <c r="A2326" s="0" t="str">
        <f aca="false">IF(INDEX(BookTitle,2321)="","",INDEX(BookKey,2321))</f>
        <v/>
      </c>
      <c r="B2326" s="0" t="str">
        <f aca="false">IF(INDEX(BookTitle,2321)="","",INDEX(BookGroup,2321))</f>
        <v/>
      </c>
      <c r="C2326" s="0" t="str">
        <f aca="false">IF(INDEX(BookTitle,2321)="","",INDEX(BookCategory,2321))</f>
        <v/>
      </c>
      <c r="D2326" s="56" t="str">
        <f aca="false">IF(INDEX(BookTitle,2321)="","",INDEX(BookTotal,2321)*'5. Scenarios'!$B$6/(1+ProductivityDefault*('5. Scenarios'!$B$11-1)))</f>
        <v/>
      </c>
      <c r="E2326" s="57" t="str">
        <f aca="false">IF($D2326="","",INDEX(BookRate,2321)*(1+'5. Scenarios'!$B$10)*$D2326)</f>
        <v/>
      </c>
      <c r="F2326" s="57" t="str">
        <f aca="false">IF($E2326="","",SUMIFS($E$6:$E$2405,$A$6:$A$2405,"&lt;="&amp;$A2326))</f>
        <v/>
      </c>
      <c r="G2326" s="57" t="str">
        <f aca="false">IF($E2326="","",IF($F2326&lt;=BankCostEnvelope*'5. Scenarios'!$B$7,1,0))</f>
        <v/>
      </c>
      <c r="H2326" s="57" t="str">
        <f aca="false">IF($D2326="","",INDEX(BookRate,2321)*(1+'5. Scenarios'!$B$10)*(INDEX(BookQ1,2321)*(5-MIN(4,1+'5. Scenarios'!$B$8))/4+INDEX(BookQ2,2321)*(5-MIN(4,2+'5. Scenarios'!$B$8))/4+INDEX(BookQ3,2321)*(5-MIN(4,3+'5. Scenarios'!$B$8))/4+INDEX(BookQ4,2321)*(5-MIN(4,4+'5. Scenarios'!$B$8))/4)*'5. Scenarios'!$B$6/(1+ProductivityDefault*('5. Scenarios'!$B$11-1))+INDEX(BookOneOff,2321)*$D2326)</f>
        <v/>
      </c>
      <c r="I2326" s="56" t="str">
        <f aca="false">IF(INDEX(BookTitle,2321)="","",INDEX(BookTotal,2321)*'5. Scenarios'!$C$6/(1+ProductivityDefault*('5. Scenarios'!$C$11-1)))</f>
        <v/>
      </c>
      <c r="J2326" s="57" t="str">
        <f aca="false">IF($I2326="","",INDEX(BookRate,2321)*(1+'5. Scenarios'!$C$10)*$I2326)</f>
        <v/>
      </c>
      <c r="K2326" s="57" t="str">
        <f aca="false">IF($J2326="","",SUMIFS($J$6:$J$2405,$A$6:$A$2405,"&lt;="&amp;$A2326))</f>
        <v/>
      </c>
      <c r="L2326" s="57" t="str">
        <f aca="false">IF($J2326="","",IF($K2326&lt;=BankCostEnvelope*'5. Scenarios'!$C$7,1,0))</f>
        <v/>
      </c>
      <c r="M2326" s="57" t="str">
        <f aca="false">IF($I2326="","",INDEX(BookRate,2321)*(1+'5. Scenarios'!$C$10)*(INDEX(BookQ1,2321)*(5-MIN(4,1+'5. Scenarios'!$C$8))/4+INDEX(BookQ2,2321)*(5-MIN(4,2+'5. Scenarios'!$C$8))/4+INDEX(BookQ3,2321)*(5-MIN(4,3+'5. Scenarios'!$C$8))/4+INDEX(BookQ4,2321)*(5-MIN(4,4+'5. Scenarios'!$C$8))/4)*'5. Scenarios'!$C$6/(1+ProductivityDefault*('5. Scenarios'!$C$11-1))+INDEX(BookOneOff,2321)*$I2326)</f>
        <v/>
      </c>
      <c r="N2326" s="56" t="str">
        <f aca="false">IF(INDEX(BookTitle,2321)="","",INDEX(BookTotal,2321)*'5. Scenarios'!$D$6/(1+ProductivityDefault*('5. Scenarios'!$D$11-1)))</f>
        <v/>
      </c>
      <c r="O2326" s="57" t="str">
        <f aca="false">IF($N2326="","",INDEX(BookRate,2321)*(1+'5. Scenarios'!$D$10)*$N2326)</f>
        <v/>
      </c>
      <c r="P2326" s="57" t="str">
        <f aca="false">IF($O2326="","",SUMIFS($O$6:$O$2405,$A$6:$A$2405,"&lt;="&amp;$A2326))</f>
        <v/>
      </c>
      <c r="Q2326" s="57" t="str">
        <f aca="false">IF($O2326="","",IF($P2326&lt;=BankCostEnvelope*'5. Scenarios'!$D$7,1,0))</f>
        <v/>
      </c>
      <c r="R2326" s="57" t="str">
        <f aca="false">IF($N2326="","",INDEX(BookRate,2321)*(1+'5. Scenarios'!$D$10)*(INDEX(BookQ1,2321)*(5-MIN(4,1+'5. Scenarios'!$D$8))/4+INDEX(BookQ2,2321)*(5-MIN(4,2+'5. Scenarios'!$D$8))/4+INDEX(BookQ3,2321)*(5-MIN(4,3+'5. Scenarios'!$D$8))/4+INDEX(BookQ4,2321)*(5-MIN(4,4+'5. Scenarios'!$D$8))/4)*'5. Scenarios'!$D$6/(1+ProductivityDefault*('5. Scenarios'!$D$11-1))+INDEX(BookOneOff,2321)*$N2326)</f>
        <v/>
      </c>
      <c r="S2326" s="56" t="str">
        <f aca="false">IF(INDEX(BookTitle,2321)="","",INDEX(BookTotal,2321)*'5. Scenarios'!$E$6/(1+ProductivityDefault*('5. Scenarios'!$E$11-1)))</f>
        <v/>
      </c>
      <c r="T2326" s="57" t="str">
        <f aca="false">IF($S2326="","",INDEX(BookRate,2321)*(1+'5. Scenarios'!$E$10)*$S2326)</f>
        <v/>
      </c>
      <c r="U2326" s="57" t="str">
        <f aca="false">IF($T2326="","",SUMIFS($T$6:$T$2405,$A$6:$A$2405,"&lt;="&amp;$A2326))</f>
        <v/>
      </c>
      <c r="V2326" s="57" t="str">
        <f aca="false">IF($T2326="","",IF($U2326&lt;=BankCostEnvelope*'5. Scenarios'!$E$7,1,0))</f>
        <v/>
      </c>
      <c r="W2326" s="57" t="str">
        <f aca="false">IF($S2326="","",INDEX(BookRate,2321)*(1+'5. Scenarios'!$E$10)*(INDEX(BookQ1,2321)*(5-MIN(4,1+'5. Scenarios'!$E$8))/4+INDEX(BookQ2,2321)*(5-MIN(4,2+'5. Scenarios'!$E$8))/4+INDEX(BookQ3,2321)*(5-MIN(4,3+'5. Scenarios'!$E$8))/4+INDEX(BookQ4,2321)*(5-MIN(4,4+'5. Scenarios'!$E$8))/4)*'5. Scenarios'!$E$6/(1+ProductivityDefault*('5. Scenarios'!$E$11-1))+INDEX(BookOneOff,2321)*$S2326)</f>
        <v/>
      </c>
    </row>
    <row r="2327" customFormat="false" ht="15" hidden="false" customHeight="false" outlineLevel="0" collapsed="false">
      <c r="A2327" s="0" t="str">
        <f aca="false">IF(INDEX(BookTitle,2322)="","",INDEX(BookKey,2322))</f>
        <v/>
      </c>
      <c r="B2327" s="0" t="str">
        <f aca="false">IF(INDEX(BookTitle,2322)="","",INDEX(BookGroup,2322))</f>
        <v/>
      </c>
      <c r="C2327" s="0" t="str">
        <f aca="false">IF(INDEX(BookTitle,2322)="","",INDEX(BookCategory,2322))</f>
        <v/>
      </c>
      <c r="D2327" s="56" t="str">
        <f aca="false">IF(INDEX(BookTitle,2322)="","",INDEX(BookTotal,2322)*'5. Scenarios'!$B$6/(1+ProductivityDefault*('5. Scenarios'!$B$11-1)))</f>
        <v/>
      </c>
      <c r="E2327" s="57" t="str">
        <f aca="false">IF($D2327="","",INDEX(BookRate,2322)*(1+'5. Scenarios'!$B$10)*$D2327)</f>
        <v/>
      </c>
      <c r="F2327" s="57" t="str">
        <f aca="false">IF($E2327="","",SUMIFS($E$6:$E$2405,$A$6:$A$2405,"&lt;="&amp;$A2327))</f>
        <v/>
      </c>
      <c r="G2327" s="57" t="str">
        <f aca="false">IF($E2327="","",IF($F2327&lt;=BankCostEnvelope*'5. Scenarios'!$B$7,1,0))</f>
        <v/>
      </c>
      <c r="H2327" s="57" t="str">
        <f aca="false">IF($D2327="","",INDEX(BookRate,2322)*(1+'5. Scenarios'!$B$10)*(INDEX(BookQ1,2322)*(5-MIN(4,1+'5. Scenarios'!$B$8))/4+INDEX(BookQ2,2322)*(5-MIN(4,2+'5. Scenarios'!$B$8))/4+INDEX(BookQ3,2322)*(5-MIN(4,3+'5. Scenarios'!$B$8))/4+INDEX(BookQ4,2322)*(5-MIN(4,4+'5. Scenarios'!$B$8))/4)*'5. Scenarios'!$B$6/(1+ProductivityDefault*('5. Scenarios'!$B$11-1))+INDEX(BookOneOff,2322)*$D2327)</f>
        <v/>
      </c>
      <c r="I2327" s="56" t="str">
        <f aca="false">IF(INDEX(BookTitle,2322)="","",INDEX(BookTotal,2322)*'5. Scenarios'!$C$6/(1+ProductivityDefault*('5. Scenarios'!$C$11-1)))</f>
        <v/>
      </c>
      <c r="J2327" s="57" t="str">
        <f aca="false">IF($I2327="","",INDEX(BookRate,2322)*(1+'5. Scenarios'!$C$10)*$I2327)</f>
        <v/>
      </c>
      <c r="K2327" s="57" t="str">
        <f aca="false">IF($J2327="","",SUMIFS($J$6:$J$2405,$A$6:$A$2405,"&lt;="&amp;$A2327))</f>
        <v/>
      </c>
      <c r="L2327" s="57" t="str">
        <f aca="false">IF($J2327="","",IF($K2327&lt;=BankCostEnvelope*'5. Scenarios'!$C$7,1,0))</f>
        <v/>
      </c>
      <c r="M2327" s="57" t="str">
        <f aca="false">IF($I2327="","",INDEX(BookRate,2322)*(1+'5. Scenarios'!$C$10)*(INDEX(BookQ1,2322)*(5-MIN(4,1+'5. Scenarios'!$C$8))/4+INDEX(BookQ2,2322)*(5-MIN(4,2+'5. Scenarios'!$C$8))/4+INDEX(BookQ3,2322)*(5-MIN(4,3+'5. Scenarios'!$C$8))/4+INDEX(BookQ4,2322)*(5-MIN(4,4+'5. Scenarios'!$C$8))/4)*'5. Scenarios'!$C$6/(1+ProductivityDefault*('5. Scenarios'!$C$11-1))+INDEX(BookOneOff,2322)*$I2327)</f>
        <v/>
      </c>
      <c r="N2327" s="56" t="str">
        <f aca="false">IF(INDEX(BookTitle,2322)="","",INDEX(BookTotal,2322)*'5. Scenarios'!$D$6/(1+ProductivityDefault*('5. Scenarios'!$D$11-1)))</f>
        <v/>
      </c>
      <c r="O2327" s="57" t="str">
        <f aca="false">IF($N2327="","",INDEX(BookRate,2322)*(1+'5. Scenarios'!$D$10)*$N2327)</f>
        <v/>
      </c>
      <c r="P2327" s="57" t="str">
        <f aca="false">IF($O2327="","",SUMIFS($O$6:$O$2405,$A$6:$A$2405,"&lt;="&amp;$A2327))</f>
        <v/>
      </c>
      <c r="Q2327" s="57" t="str">
        <f aca="false">IF($O2327="","",IF($P2327&lt;=BankCostEnvelope*'5. Scenarios'!$D$7,1,0))</f>
        <v/>
      </c>
      <c r="R2327" s="57" t="str">
        <f aca="false">IF($N2327="","",INDEX(BookRate,2322)*(1+'5. Scenarios'!$D$10)*(INDEX(BookQ1,2322)*(5-MIN(4,1+'5. Scenarios'!$D$8))/4+INDEX(BookQ2,2322)*(5-MIN(4,2+'5. Scenarios'!$D$8))/4+INDEX(BookQ3,2322)*(5-MIN(4,3+'5. Scenarios'!$D$8))/4+INDEX(BookQ4,2322)*(5-MIN(4,4+'5. Scenarios'!$D$8))/4)*'5. Scenarios'!$D$6/(1+ProductivityDefault*('5. Scenarios'!$D$11-1))+INDEX(BookOneOff,2322)*$N2327)</f>
        <v/>
      </c>
      <c r="S2327" s="56" t="str">
        <f aca="false">IF(INDEX(BookTitle,2322)="","",INDEX(BookTotal,2322)*'5. Scenarios'!$E$6/(1+ProductivityDefault*('5. Scenarios'!$E$11-1)))</f>
        <v/>
      </c>
      <c r="T2327" s="57" t="str">
        <f aca="false">IF($S2327="","",INDEX(BookRate,2322)*(1+'5. Scenarios'!$E$10)*$S2327)</f>
        <v/>
      </c>
      <c r="U2327" s="57" t="str">
        <f aca="false">IF($T2327="","",SUMIFS($T$6:$T$2405,$A$6:$A$2405,"&lt;="&amp;$A2327))</f>
        <v/>
      </c>
      <c r="V2327" s="57" t="str">
        <f aca="false">IF($T2327="","",IF($U2327&lt;=BankCostEnvelope*'5. Scenarios'!$E$7,1,0))</f>
        <v/>
      </c>
      <c r="W2327" s="57" t="str">
        <f aca="false">IF($S2327="","",INDEX(BookRate,2322)*(1+'5. Scenarios'!$E$10)*(INDEX(BookQ1,2322)*(5-MIN(4,1+'5. Scenarios'!$E$8))/4+INDEX(BookQ2,2322)*(5-MIN(4,2+'5. Scenarios'!$E$8))/4+INDEX(BookQ3,2322)*(5-MIN(4,3+'5. Scenarios'!$E$8))/4+INDEX(BookQ4,2322)*(5-MIN(4,4+'5. Scenarios'!$E$8))/4)*'5. Scenarios'!$E$6/(1+ProductivityDefault*('5. Scenarios'!$E$11-1))+INDEX(BookOneOff,2322)*$S2327)</f>
        <v/>
      </c>
    </row>
    <row r="2328" customFormat="false" ht="15" hidden="false" customHeight="false" outlineLevel="0" collapsed="false">
      <c r="A2328" s="0" t="str">
        <f aca="false">IF(INDEX(BookTitle,2323)="","",INDEX(BookKey,2323))</f>
        <v/>
      </c>
      <c r="B2328" s="0" t="str">
        <f aca="false">IF(INDEX(BookTitle,2323)="","",INDEX(BookGroup,2323))</f>
        <v/>
      </c>
      <c r="C2328" s="0" t="str">
        <f aca="false">IF(INDEX(BookTitle,2323)="","",INDEX(BookCategory,2323))</f>
        <v/>
      </c>
      <c r="D2328" s="56" t="str">
        <f aca="false">IF(INDEX(BookTitle,2323)="","",INDEX(BookTotal,2323)*'5. Scenarios'!$B$6/(1+ProductivityDefault*('5. Scenarios'!$B$11-1)))</f>
        <v/>
      </c>
      <c r="E2328" s="57" t="str">
        <f aca="false">IF($D2328="","",INDEX(BookRate,2323)*(1+'5. Scenarios'!$B$10)*$D2328)</f>
        <v/>
      </c>
      <c r="F2328" s="57" t="str">
        <f aca="false">IF($E2328="","",SUMIFS($E$6:$E$2405,$A$6:$A$2405,"&lt;="&amp;$A2328))</f>
        <v/>
      </c>
      <c r="G2328" s="57" t="str">
        <f aca="false">IF($E2328="","",IF($F2328&lt;=BankCostEnvelope*'5. Scenarios'!$B$7,1,0))</f>
        <v/>
      </c>
      <c r="H2328" s="57" t="str">
        <f aca="false">IF($D2328="","",INDEX(BookRate,2323)*(1+'5. Scenarios'!$B$10)*(INDEX(BookQ1,2323)*(5-MIN(4,1+'5. Scenarios'!$B$8))/4+INDEX(BookQ2,2323)*(5-MIN(4,2+'5. Scenarios'!$B$8))/4+INDEX(BookQ3,2323)*(5-MIN(4,3+'5. Scenarios'!$B$8))/4+INDEX(BookQ4,2323)*(5-MIN(4,4+'5. Scenarios'!$B$8))/4)*'5. Scenarios'!$B$6/(1+ProductivityDefault*('5. Scenarios'!$B$11-1))+INDEX(BookOneOff,2323)*$D2328)</f>
        <v/>
      </c>
      <c r="I2328" s="56" t="str">
        <f aca="false">IF(INDEX(BookTitle,2323)="","",INDEX(BookTotal,2323)*'5. Scenarios'!$C$6/(1+ProductivityDefault*('5. Scenarios'!$C$11-1)))</f>
        <v/>
      </c>
      <c r="J2328" s="57" t="str">
        <f aca="false">IF($I2328="","",INDEX(BookRate,2323)*(1+'5. Scenarios'!$C$10)*$I2328)</f>
        <v/>
      </c>
      <c r="K2328" s="57" t="str">
        <f aca="false">IF($J2328="","",SUMIFS($J$6:$J$2405,$A$6:$A$2405,"&lt;="&amp;$A2328))</f>
        <v/>
      </c>
      <c r="L2328" s="57" t="str">
        <f aca="false">IF($J2328="","",IF($K2328&lt;=BankCostEnvelope*'5. Scenarios'!$C$7,1,0))</f>
        <v/>
      </c>
      <c r="M2328" s="57" t="str">
        <f aca="false">IF($I2328="","",INDEX(BookRate,2323)*(1+'5. Scenarios'!$C$10)*(INDEX(BookQ1,2323)*(5-MIN(4,1+'5. Scenarios'!$C$8))/4+INDEX(BookQ2,2323)*(5-MIN(4,2+'5. Scenarios'!$C$8))/4+INDEX(BookQ3,2323)*(5-MIN(4,3+'5. Scenarios'!$C$8))/4+INDEX(BookQ4,2323)*(5-MIN(4,4+'5. Scenarios'!$C$8))/4)*'5. Scenarios'!$C$6/(1+ProductivityDefault*('5. Scenarios'!$C$11-1))+INDEX(BookOneOff,2323)*$I2328)</f>
        <v/>
      </c>
      <c r="N2328" s="56" t="str">
        <f aca="false">IF(INDEX(BookTitle,2323)="","",INDEX(BookTotal,2323)*'5. Scenarios'!$D$6/(1+ProductivityDefault*('5. Scenarios'!$D$11-1)))</f>
        <v/>
      </c>
      <c r="O2328" s="57" t="str">
        <f aca="false">IF($N2328="","",INDEX(BookRate,2323)*(1+'5. Scenarios'!$D$10)*$N2328)</f>
        <v/>
      </c>
      <c r="P2328" s="57" t="str">
        <f aca="false">IF($O2328="","",SUMIFS($O$6:$O$2405,$A$6:$A$2405,"&lt;="&amp;$A2328))</f>
        <v/>
      </c>
      <c r="Q2328" s="57" t="str">
        <f aca="false">IF($O2328="","",IF($P2328&lt;=BankCostEnvelope*'5. Scenarios'!$D$7,1,0))</f>
        <v/>
      </c>
      <c r="R2328" s="57" t="str">
        <f aca="false">IF($N2328="","",INDEX(BookRate,2323)*(1+'5. Scenarios'!$D$10)*(INDEX(BookQ1,2323)*(5-MIN(4,1+'5. Scenarios'!$D$8))/4+INDEX(BookQ2,2323)*(5-MIN(4,2+'5. Scenarios'!$D$8))/4+INDEX(BookQ3,2323)*(5-MIN(4,3+'5. Scenarios'!$D$8))/4+INDEX(BookQ4,2323)*(5-MIN(4,4+'5. Scenarios'!$D$8))/4)*'5. Scenarios'!$D$6/(1+ProductivityDefault*('5. Scenarios'!$D$11-1))+INDEX(BookOneOff,2323)*$N2328)</f>
        <v/>
      </c>
      <c r="S2328" s="56" t="str">
        <f aca="false">IF(INDEX(BookTitle,2323)="","",INDEX(BookTotal,2323)*'5. Scenarios'!$E$6/(1+ProductivityDefault*('5. Scenarios'!$E$11-1)))</f>
        <v/>
      </c>
      <c r="T2328" s="57" t="str">
        <f aca="false">IF($S2328="","",INDEX(BookRate,2323)*(1+'5. Scenarios'!$E$10)*$S2328)</f>
        <v/>
      </c>
      <c r="U2328" s="57" t="str">
        <f aca="false">IF($T2328="","",SUMIFS($T$6:$T$2405,$A$6:$A$2405,"&lt;="&amp;$A2328))</f>
        <v/>
      </c>
      <c r="V2328" s="57" t="str">
        <f aca="false">IF($T2328="","",IF($U2328&lt;=BankCostEnvelope*'5. Scenarios'!$E$7,1,0))</f>
        <v/>
      </c>
      <c r="W2328" s="57" t="str">
        <f aca="false">IF($S2328="","",INDEX(BookRate,2323)*(1+'5. Scenarios'!$E$10)*(INDEX(BookQ1,2323)*(5-MIN(4,1+'5. Scenarios'!$E$8))/4+INDEX(BookQ2,2323)*(5-MIN(4,2+'5. Scenarios'!$E$8))/4+INDEX(BookQ3,2323)*(5-MIN(4,3+'5. Scenarios'!$E$8))/4+INDEX(BookQ4,2323)*(5-MIN(4,4+'5. Scenarios'!$E$8))/4)*'5. Scenarios'!$E$6/(1+ProductivityDefault*('5. Scenarios'!$E$11-1))+INDEX(BookOneOff,2323)*$S2328)</f>
        <v/>
      </c>
    </row>
    <row r="2329" customFormat="false" ht="15" hidden="false" customHeight="false" outlineLevel="0" collapsed="false">
      <c r="A2329" s="0" t="str">
        <f aca="false">IF(INDEX(BookTitle,2324)="","",INDEX(BookKey,2324))</f>
        <v/>
      </c>
      <c r="B2329" s="0" t="str">
        <f aca="false">IF(INDEX(BookTitle,2324)="","",INDEX(BookGroup,2324))</f>
        <v/>
      </c>
      <c r="C2329" s="0" t="str">
        <f aca="false">IF(INDEX(BookTitle,2324)="","",INDEX(BookCategory,2324))</f>
        <v/>
      </c>
      <c r="D2329" s="56" t="str">
        <f aca="false">IF(INDEX(BookTitle,2324)="","",INDEX(BookTotal,2324)*'5. Scenarios'!$B$6/(1+ProductivityDefault*('5. Scenarios'!$B$11-1)))</f>
        <v/>
      </c>
      <c r="E2329" s="57" t="str">
        <f aca="false">IF($D2329="","",INDEX(BookRate,2324)*(1+'5. Scenarios'!$B$10)*$D2329)</f>
        <v/>
      </c>
      <c r="F2329" s="57" t="str">
        <f aca="false">IF($E2329="","",SUMIFS($E$6:$E$2405,$A$6:$A$2405,"&lt;="&amp;$A2329))</f>
        <v/>
      </c>
      <c r="G2329" s="57" t="str">
        <f aca="false">IF($E2329="","",IF($F2329&lt;=BankCostEnvelope*'5. Scenarios'!$B$7,1,0))</f>
        <v/>
      </c>
      <c r="H2329" s="57" t="str">
        <f aca="false">IF($D2329="","",INDEX(BookRate,2324)*(1+'5. Scenarios'!$B$10)*(INDEX(BookQ1,2324)*(5-MIN(4,1+'5. Scenarios'!$B$8))/4+INDEX(BookQ2,2324)*(5-MIN(4,2+'5. Scenarios'!$B$8))/4+INDEX(BookQ3,2324)*(5-MIN(4,3+'5. Scenarios'!$B$8))/4+INDEX(BookQ4,2324)*(5-MIN(4,4+'5. Scenarios'!$B$8))/4)*'5. Scenarios'!$B$6/(1+ProductivityDefault*('5. Scenarios'!$B$11-1))+INDEX(BookOneOff,2324)*$D2329)</f>
        <v/>
      </c>
      <c r="I2329" s="56" t="str">
        <f aca="false">IF(INDEX(BookTitle,2324)="","",INDEX(BookTotal,2324)*'5. Scenarios'!$C$6/(1+ProductivityDefault*('5. Scenarios'!$C$11-1)))</f>
        <v/>
      </c>
      <c r="J2329" s="57" t="str">
        <f aca="false">IF($I2329="","",INDEX(BookRate,2324)*(1+'5. Scenarios'!$C$10)*$I2329)</f>
        <v/>
      </c>
      <c r="K2329" s="57" t="str">
        <f aca="false">IF($J2329="","",SUMIFS($J$6:$J$2405,$A$6:$A$2405,"&lt;="&amp;$A2329))</f>
        <v/>
      </c>
      <c r="L2329" s="57" t="str">
        <f aca="false">IF($J2329="","",IF($K2329&lt;=BankCostEnvelope*'5. Scenarios'!$C$7,1,0))</f>
        <v/>
      </c>
      <c r="M2329" s="57" t="str">
        <f aca="false">IF($I2329="","",INDEX(BookRate,2324)*(1+'5. Scenarios'!$C$10)*(INDEX(BookQ1,2324)*(5-MIN(4,1+'5. Scenarios'!$C$8))/4+INDEX(BookQ2,2324)*(5-MIN(4,2+'5. Scenarios'!$C$8))/4+INDEX(BookQ3,2324)*(5-MIN(4,3+'5. Scenarios'!$C$8))/4+INDEX(BookQ4,2324)*(5-MIN(4,4+'5. Scenarios'!$C$8))/4)*'5. Scenarios'!$C$6/(1+ProductivityDefault*('5. Scenarios'!$C$11-1))+INDEX(BookOneOff,2324)*$I2329)</f>
        <v/>
      </c>
      <c r="N2329" s="56" t="str">
        <f aca="false">IF(INDEX(BookTitle,2324)="","",INDEX(BookTotal,2324)*'5. Scenarios'!$D$6/(1+ProductivityDefault*('5. Scenarios'!$D$11-1)))</f>
        <v/>
      </c>
      <c r="O2329" s="57" t="str">
        <f aca="false">IF($N2329="","",INDEX(BookRate,2324)*(1+'5. Scenarios'!$D$10)*$N2329)</f>
        <v/>
      </c>
      <c r="P2329" s="57" t="str">
        <f aca="false">IF($O2329="","",SUMIFS($O$6:$O$2405,$A$6:$A$2405,"&lt;="&amp;$A2329))</f>
        <v/>
      </c>
      <c r="Q2329" s="57" t="str">
        <f aca="false">IF($O2329="","",IF($P2329&lt;=BankCostEnvelope*'5. Scenarios'!$D$7,1,0))</f>
        <v/>
      </c>
      <c r="R2329" s="57" t="str">
        <f aca="false">IF($N2329="","",INDEX(BookRate,2324)*(1+'5. Scenarios'!$D$10)*(INDEX(BookQ1,2324)*(5-MIN(4,1+'5. Scenarios'!$D$8))/4+INDEX(BookQ2,2324)*(5-MIN(4,2+'5. Scenarios'!$D$8))/4+INDEX(BookQ3,2324)*(5-MIN(4,3+'5. Scenarios'!$D$8))/4+INDEX(BookQ4,2324)*(5-MIN(4,4+'5. Scenarios'!$D$8))/4)*'5. Scenarios'!$D$6/(1+ProductivityDefault*('5. Scenarios'!$D$11-1))+INDEX(BookOneOff,2324)*$N2329)</f>
        <v/>
      </c>
      <c r="S2329" s="56" t="str">
        <f aca="false">IF(INDEX(BookTitle,2324)="","",INDEX(BookTotal,2324)*'5. Scenarios'!$E$6/(1+ProductivityDefault*('5. Scenarios'!$E$11-1)))</f>
        <v/>
      </c>
      <c r="T2329" s="57" t="str">
        <f aca="false">IF($S2329="","",INDEX(BookRate,2324)*(1+'5. Scenarios'!$E$10)*$S2329)</f>
        <v/>
      </c>
      <c r="U2329" s="57" t="str">
        <f aca="false">IF($T2329="","",SUMIFS($T$6:$T$2405,$A$6:$A$2405,"&lt;="&amp;$A2329))</f>
        <v/>
      </c>
      <c r="V2329" s="57" t="str">
        <f aca="false">IF($T2329="","",IF($U2329&lt;=BankCostEnvelope*'5. Scenarios'!$E$7,1,0))</f>
        <v/>
      </c>
      <c r="W2329" s="57" t="str">
        <f aca="false">IF($S2329="","",INDEX(BookRate,2324)*(1+'5. Scenarios'!$E$10)*(INDEX(BookQ1,2324)*(5-MIN(4,1+'5. Scenarios'!$E$8))/4+INDEX(BookQ2,2324)*(5-MIN(4,2+'5. Scenarios'!$E$8))/4+INDEX(BookQ3,2324)*(5-MIN(4,3+'5. Scenarios'!$E$8))/4+INDEX(BookQ4,2324)*(5-MIN(4,4+'5. Scenarios'!$E$8))/4)*'5. Scenarios'!$E$6/(1+ProductivityDefault*('5. Scenarios'!$E$11-1))+INDEX(BookOneOff,2324)*$S2329)</f>
        <v/>
      </c>
    </row>
    <row r="2330" customFormat="false" ht="15" hidden="false" customHeight="false" outlineLevel="0" collapsed="false">
      <c r="A2330" s="0" t="str">
        <f aca="false">IF(INDEX(BookTitle,2325)="","",INDEX(BookKey,2325))</f>
        <v/>
      </c>
      <c r="B2330" s="0" t="str">
        <f aca="false">IF(INDEX(BookTitle,2325)="","",INDEX(BookGroup,2325))</f>
        <v/>
      </c>
      <c r="C2330" s="0" t="str">
        <f aca="false">IF(INDEX(BookTitle,2325)="","",INDEX(BookCategory,2325))</f>
        <v/>
      </c>
      <c r="D2330" s="56" t="str">
        <f aca="false">IF(INDEX(BookTitle,2325)="","",INDEX(BookTotal,2325)*'5. Scenarios'!$B$6/(1+ProductivityDefault*('5. Scenarios'!$B$11-1)))</f>
        <v/>
      </c>
      <c r="E2330" s="57" t="str">
        <f aca="false">IF($D2330="","",INDEX(BookRate,2325)*(1+'5. Scenarios'!$B$10)*$D2330)</f>
        <v/>
      </c>
      <c r="F2330" s="57" t="str">
        <f aca="false">IF($E2330="","",SUMIFS($E$6:$E$2405,$A$6:$A$2405,"&lt;="&amp;$A2330))</f>
        <v/>
      </c>
      <c r="G2330" s="57" t="str">
        <f aca="false">IF($E2330="","",IF($F2330&lt;=BankCostEnvelope*'5. Scenarios'!$B$7,1,0))</f>
        <v/>
      </c>
      <c r="H2330" s="57" t="str">
        <f aca="false">IF($D2330="","",INDEX(BookRate,2325)*(1+'5. Scenarios'!$B$10)*(INDEX(BookQ1,2325)*(5-MIN(4,1+'5. Scenarios'!$B$8))/4+INDEX(BookQ2,2325)*(5-MIN(4,2+'5. Scenarios'!$B$8))/4+INDEX(BookQ3,2325)*(5-MIN(4,3+'5. Scenarios'!$B$8))/4+INDEX(BookQ4,2325)*(5-MIN(4,4+'5. Scenarios'!$B$8))/4)*'5. Scenarios'!$B$6/(1+ProductivityDefault*('5. Scenarios'!$B$11-1))+INDEX(BookOneOff,2325)*$D2330)</f>
        <v/>
      </c>
      <c r="I2330" s="56" t="str">
        <f aca="false">IF(INDEX(BookTitle,2325)="","",INDEX(BookTotal,2325)*'5. Scenarios'!$C$6/(1+ProductivityDefault*('5. Scenarios'!$C$11-1)))</f>
        <v/>
      </c>
      <c r="J2330" s="57" t="str">
        <f aca="false">IF($I2330="","",INDEX(BookRate,2325)*(1+'5. Scenarios'!$C$10)*$I2330)</f>
        <v/>
      </c>
      <c r="K2330" s="57" t="str">
        <f aca="false">IF($J2330="","",SUMIFS($J$6:$J$2405,$A$6:$A$2405,"&lt;="&amp;$A2330))</f>
        <v/>
      </c>
      <c r="L2330" s="57" t="str">
        <f aca="false">IF($J2330="","",IF($K2330&lt;=BankCostEnvelope*'5. Scenarios'!$C$7,1,0))</f>
        <v/>
      </c>
      <c r="M2330" s="57" t="str">
        <f aca="false">IF($I2330="","",INDEX(BookRate,2325)*(1+'5. Scenarios'!$C$10)*(INDEX(BookQ1,2325)*(5-MIN(4,1+'5. Scenarios'!$C$8))/4+INDEX(BookQ2,2325)*(5-MIN(4,2+'5. Scenarios'!$C$8))/4+INDEX(BookQ3,2325)*(5-MIN(4,3+'5. Scenarios'!$C$8))/4+INDEX(BookQ4,2325)*(5-MIN(4,4+'5. Scenarios'!$C$8))/4)*'5. Scenarios'!$C$6/(1+ProductivityDefault*('5. Scenarios'!$C$11-1))+INDEX(BookOneOff,2325)*$I2330)</f>
        <v/>
      </c>
      <c r="N2330" s="56" t="str">
        <f aca="false">IF(INDEX(BookTitle,2325)="","",INDEX(BookTotal,2325)*'5. Scenarios'!$D$6/(1+ProductivityDefault*('5. Scenarios'!$D$11-1)))</f>
        <v/>
      </c>
      <c r="O2330" s="57" t="str">
        <f aca="false">IF($N2330="","",INDEX(BookRate,2325)*(1+'5. Scenarios'!$D$10)*$N2330)</f>
        <v/>
      </c>
      <c r="P2330" s="57" t="str">
        <f aca="false">IF($O2330="","",SUMIFS($O$6:$O$2405,$A$6:$A$2405,"&lt;="&amp;$A2330))</f>
        <v/>
      </c>
      <c r="Q2330" s="57" t="str">
        <f aca="false">IF($O2330="","",IF($P2330&lt;=BankCostEnvelope*'5. Scenarios'!$D$7,1,0))</f>
        <v/>
      </c>
      <c r="R2330" s="57" t="str">
        <f aca="false">IF($N2330="","",INDEX(BookRate,2325)*(1+'5. Scenarios'!$D$10)*(INDEX(BookQ1,2325)*(5-MIN(4,1+'5. Scenarios'!$D$8))/4+INDEX(BookQ2,2325)*(5-MIN(4,2+'5. Scenarios'!$D$8))/4+INDEX(BookQ3,2325)*(5-MIN(4,3+'5. Scenarios'!$D$8))/4+INDEX(BookQ4,2325)*(5-MIN(4,4+'5. Scenarios'!$D$8))/4)*'5. Scenarios'!$D$6/(1+ProductivityDefault*('5. Scenarios'!$D$11-1))+INDEX(BookOneOff,2325)*$N2330)</f>
        <v/>
      </c>
      <c r="S2330" s="56" t="str">
        <f aca="false">IF(INDEX(BookTitle,2325)="","",INDEX(BookTotal,2325)*'5. Scenarios'!$E$6/(1+ProductivityDefault*('5. Scenarios'!$E$11-1)))</f>
        <v/>
      </c>
      <c r="T2330" s="57" t="str">
        <f aca="false">IF($S2330="","",INDEX(BookRate,2325)*(1+'5. Scenarios'!$E$10)*$S2330)</f>
        <v/>
      </c>
      <c r="U2330" s="57" t="str">
        <f aca="false">IF($T2330="","",SUMIFS($T$6:$T$2405,$A$6:$A$2405,"&lt;="&amp;$A2330))</f>
        <v/>
      </c>
      <c r="V2330" s="57" t="str">
        <f aca="false">IF($T2330="","",IF($U2330&lt;=BankCostEnvelope*'5. Scenarios'!$E$7,1,0))</f>
        <v/>
      </c>
      <c r="W2330" s="57" t="str">
        <f aca="false">IF($S2330="","",INDEX(BookRate,2325)*(1+'5. Scenarios'!$E$10)*(INDEX(BookQ1,2325)*(5-MIN(4,1+'5. Scenarios'!$E$8))/4+INDEX(BookQ2,2325)*(5-MIN(4,2+'5. Scenarios'!$E$8))/4+INDEX(BookQ3,2325)*(5-MIN(4,3+'5. Scenarios'!$E$8))/4+INDEX(BookQ4,2325)*(5-MIN(4,4+'5. Scenarios'!$E$8))/4)*'5. Scenarios'!$E$6/(1+ProductivityDefault*('5. Scenarios'!$E$11-1))+INDEX(BookOneOff,2325)*$S2330)</f>
        <v/>
      </c>
    </row>
    <row r="2331" customFormat="false" ht="15" hidden="false" customHeight="false" outlineLevel="0" collapsed="false">
      <c r="A2331" s="0" t="str">
        <f aca="false">IF(INDEX(BookTitle,2326)="","",INDEX(BookKey,2326))</f>
        <v/>
      </c>
      <c r="B2331" s="0" t="str">
        <f aca="false">IF(INDEX(BookTitle,2326)="","",INDEX(BookGroup,2326))</f>
        <v/>
      </c>
      <c r="C2331" s="0" t="str">
        <f aca="false">IF(INDEX(BookTitle,2326)="","",INDEX(BookCategory,2326))</f>
        <v/>
      </c>
      <c r="D2331" s="56" t="str">
        <f aca="false">IF(INDEX(BookTitle,2326)="","",INDEX(BookTotal,2326)*'5. Scenarios'!$B$6/(1+ProductivityDefault*('5. Scenarios'!$B$11-1)))</f>
        <v/>
      </c>
      <c r="E2331" s="57" t="str">
        <f aca="false">IF($D2331="","",INDEX(BookRate,2326)*(1+'5. Scenarios'!$B$10)*$D2331)</f>
        <v/>
      </c>
      <c r="F2331" s="57" t="str">
        <f aca="false">IF($E2331="","",SUMIFS($E$6:$E$2405,$A$6:$A$2405,"&lt;="&amp;$A2331))</f>
        <v/>
      </c>
      <c r="G2331" s="57" t="str">
        <f aca="false">IF($E2331="","",IF($F2331&lt;=BankCostEnvelope*'5. Scenarios'!$B$7,1,0))</f>
        <v/>
      </c>
      <c r="H2331" s="57" t="str">
        <f aca="false">IF($D2331="","",INDEX(BookRate,2326)*(1+'5. Scenarios'!$B$10)*(INDEX(BookQ1,2326)*(5-MIN(4,1+'5. Scenarios'!$B$8))/4+INDEX(BookQ2,2326)*(5-MIN(4,2+'5. Scenarios'!$B$8))/4+INDEX(BookQ3,2326)*(5-MIN(4,3+'5. Scenarios'!$B$8))/4+INDEX(BookQ4,2326)*(5-MIN(4,4+'5. Scenarios'!$B$8))/4)*'5. Scenarios'!$B$6/(1+ProductivityDefault*('5. Scenarios'!$B$11-1))+INDEX(BookOneOff,2326)*$D2331)</f>
        <v/>
      </c>
      <c r="I2331" s="56" t="str">
        <f aca="false">IF(INDEX(BookTitle,2326)="","",INDEX(BookTotal,2326)*'5. Scenarios'!$C$6/(1+ProductivityDefault*('5. Scenarios'!$C$11-1)))</f>
        <v/>
      </c>
      <c r="J2331" s="57" t="str">
        <f aca="false">IF($I2331="","",INDEX(BookRate,2326)*(1+'5. Scenarios'!$C$10)*$I2331)</f>
        <v/>
      </c>
      <c r="K2331" s="57" t="str">
        <f aca="false">IF($J2331="","",SUMIFS($J$6:$J$2405,$A$6:$A$2405,"&lt;="&amp;$A2331))</f>
        <v/>
      </c>
      <c r="L2331" s="57" t="str">
        <f aca="false">IF($J2331="","",IF($K2331&lt;=BankCostEnvelope*'5. Scenarios'!$C$7,1,0))</f>
        <v/>
      </c>
      <c r="M2331" s="57" t="str">
        <f aca="false">IF($I2331="","",INDEX(BookRate,2326)*(1+'5. Scenarios'!$C$10)*(INDEX(BookQ1,2326)*(5-MIN(4,1+'5. Scenarios'!$C$8))/4+INDEX(BookQ2,2326)*(5-MIN(4,2+'5. Scenarios'!$C$8))/4+INDEX(BookQ3,2326)*(5-MIN(4,3+'5. Scenarios'!$C$8))/4+INDEX(BookQ4,2326)*(5-MIN(4,4+'5. Scenarios'!$C$8))/4)*'5. Scenarios'!$C$6/(1+ProductivityDefault*('5. Scenarios'!$C$11-1))+INDEX(BookOneOff,2326)*$I2331)</f>
        <v/>
      </c>
      <c r="N2331" s="56" t="str">
        <f aca="false">IF(INDEX(BookTitle,2326)="","",INDEX(BookTotal,2326)*'5. Scenarios'!$D$6/(1+ProductivityDefault*('5. Scenarios'!$D$11-1)))</f>
        <v/>
      </c>
      <c r="O2331" s="57" t="str">
        <f aca="false">IF($N2331="","",INDEX(BookRate,2326)*(1+'5. Scenarios'!$D$10)*$N2331)</f>
        <v/>
      </c>
      <c r="P2331" s="57" t="str">
        <f aca="false">IF($O2331="","",SUMIFS($O$6:$O$2405,$A$6:$A$2405,"&lt;="&amp;$A2331))</f>
        <v/>
      </c>
      <c r="Q2331" s="57" t="str">
        <f aca="false">IF($O2331="","",IF($P2331&lt;=BankCostEnvelope*'5. Scenarios'!$D$7,1,0))</f>
        <v/>
      </c>
      <c r="R2331" s="57" t="str">
        <f aca="false">IF($N2331="","",INDEX(BookRate,2326)*(1+'5. Scenarios'!$D$10)*(INDEX(BookQ1,2326)*(5-MIN(4,1+'5. Scenarios'!$D$8))/4+INDEX(BookQ2,2326)*(5-MIN(4,2+'5. Scenarios'!$D$8))/4+INDEX(BookQ3,2326)*(5-MIN(4,3+'5. Scenarios'!$D$8))/4+INDEX(BookQ4,2326)*(5-MIN(4,4+'5. Scenarios'!$D$8))/4)*'5. Scenarios'!$D$6/(1+ProductivityDefault*('5. Scenarios'!$D$11-1))+INDEX(BookOneOff,2326)*$N2331)</f>
        <v/>
      </c>
      <c r="S2331" s="56" t="str">
        <f aca="false">IF(INDEX(BookTitle,2326)="","",INDEX(BookTotal,2326)*'5. Scenarios'!$E$6/(1+ProductivityDefault*('5. Scenarios'!$E$11-1)))</f>
        <v/>
      </c>
      <c r="T2331" s="57" t="str">
        <f aca="false">IF($S2331="","",INDEX(BookRate,2326)*(1+'5. Scenarios'!$E$10)*$S2331)</f>
        <v/>
      </c>
      <c r="U2331" s="57" t="str">
        <f aca="false">IF($T2331="","",SUMIFS($T$6:$T$2405,$A$6:$A$2405,"&lt;="&amp;$A2331))</f>
        <v/>
      </c>
      <c r="V2331" s="57" t="str">
        <f aca="false">IF($T2331="","",IF($U2331&lt;=BankCostEnvelope*'5. Scenarios'!$E$7,1,0))</f>
        <v/>
      </c>
      <c r="W2331" s="57" t="str">
        <f aca="false">IF($S2331="","",INDEX(BookRate,2326)*(1+'5. Scenarios'!$E$10)*(INDEX(BookQ1,2326)*(5-MIN(4,1+'5. Scenarios'!$E$8))/4+INDEX(BookQ2,2326)*(5-MIN(4,2+'5. Scenarios'!$E$8))/4+INDEX(BookQ3,2326)*(5-MIN(4,3+'5. Scenarios'!$E$8))/4+INDEX(BookQ4,2326)*(5-MIN(4,4+'5. Scenarios'!$E$8))/4)*'5. Scenarios'!$E$6/(1+ProductivityDefault*('5. Scenarios'!$E$11-1))+INDEX(BookOneOff,2326)*$S2331)</f>
        <v/>
      </c>
    </row>
    <row r="2332" customFormat="false" ht="15" hidden="false" customHeight="false" outlineLevel="0" collapsed="false">
      <c r="A2332" s="0" t="str">
        <f aca="false">IF(INDEX(BookTitle,2327)="","",INDEX(BookKey,2327))</f>
        <v/>
      </c>
      <c r="B2332" s="0" t="str">
        <f aca="false">IF(INDEX(BookTitle,2327)="","",INDEX(BookGroup,2327))</f>
        <v/>
      </c>
      <c r="C2332" s="0" t="str">
        <f aca="false">IF(INDEX(BookTitle,2327)="","",INDEX(BookCategory,2327))</f>
        <v/>
      </c>
      <c r="D2332" s="56" t="str">
        <f aca="false">IF(INDEX(BookTitle,2327)="","",INDEX(BookTotal,2327)*'5. Scenarios'!$B$6/(1+ProductivityDefault*('5. Scenarios'!$B$11-1)))</f>
        <v/>
      </c>
      <c r="E2332" s="57" t="str">
        <f aca="false">IF($D2332="","",INDEX(BookRate,2327)*(1+'5. Scenarios'!$B$10)*$D2332)</f>
        <v/>
      </c>
      <c r="F2332" s="57" t="str">
        <f aca="false">IF($E2332="","",SUMIFS($E$6:$E$2405,$A$6:$A$2405,"&lt;="&amp;$A2332))</f>
        <v/>
      </c>
      <c r="G2332" s="57" t="str">
        <f aca="false">IF($E2332="","",IF($F2332&lt;=BankCostEnvelope*'5. Scenarios'!$B$7,1,0))</f>
        <v/>
      </c>
      <c r="H2332" s="57" t="str">
        <f aca="false">IF($D2332="","",INDEX(BookRate,2327)*(1+'5. Scenarios'!$B$10)*(INDEX(BookQ1,2327)*(5-MIN(4,1+'5. Scenarios'!$B$8))/4+INDEX(BookQ2,2327)*(5-MIN(4,2+'5. Scenarios'!$B$8))/4+INDEX(BookQ3,2327)*(5-MIN(4,3+'5. Scenarios'!$B$8))/4+INDEX(BookQ4,2327)*(5-MIN(4,4+'5. Scenarios'!$B$8))/4)*'5. Scenarios'!$B$6/(1+ProductivityDefault*('5. Scenarios'!$B$11-1))+INDEX(BookOneOff,2327)*$D2332)</f>
        <v/>
      </c>
      <c r="I2332" s="56" t="str">
        <f aca="false">IF(INDEX(BookTitle,2327)="","",INDEX(BookTotal,2327)*'5. Scenarios'!$C$6/(1+ProductivityDefault*('5. Scenarios'!$C$11-1)))</f>
        <v/>
      </c>
      <c r="J2332" s="57" t="str">
        <f aca="false">IF($I2332="","",INDEX(BookRate,2327)*(1+'5. Scenarios'!$C$10)*$I2332)</f>
        <v/>
      </c>
      <c r="K2332" s="57" t="str">
        <f aca="false">IF($J2332="","",SUMIFS($J$6:$J$2405,$A$6:$A$2405,"&lt;="&amp;$A2332))</f>
        <v/>
      </c>
      <c r="L2332" s="57" t="str">
        <f aca="false">IF($J2332="","",IF($K2332&lt;=BankCostEnvelope*'5. Scenarios'!$C$7,1,0))</f>
        <v/>
      </c>
      <c r="M2332" s="57" t="str">
        <f aca="false">IF($I2332="","",INDEX(BookRate,2327)*(1+'5. Scenarios'!$C$10)*(INDEX(BookQ1,2327)*(5-MIN(4,1+'5. Scenarios'!$C$8))/4+INDEX(BookQ2,2327)*(5-MIN(4,2+'5. Scenarios'!$C$8))/4+INDEX(BookQ3,2327)*(5-MIN(4,3+'5. Scenarios'!$C$8))/4+INDEX(BookQ4,2327)*(5-MIN(4,4+'5. Scenarios'!$C$8))/4)*'5. Scenarios'!$C$6/(1+ProductivityDefault*('5. Scenarios'!$C$11-1))+INDEX(BookOneOff,2327)*$I2332)</f>
        <v/>
      </c>
      <c r="N2332" s="56" t="str">
        <f aca="false">IF(INDEX(BookTitle,2327)="","",INDEX(BookTotal,2327)*'5. Scenarios'!$D$6/(1+ProductivityDefault*('5. Scenarios'!$D$11-1)))</f>
        <v/>
      </c>
      <c r="O2332" s="57" t="str">
        <f aca="false">IF($N2332="","",INDEX(BookRate,2327)*(1+'5. Scenarios'!$D$10)*$N2332)</f>
        <v/>
      </c>
      <c r="P2332" s="57" t="str">
        <f aca="false">IF($O2332="","",SUMIFS($O$6:$O$2405,$A$6:$A$2405,"&lt;="&amp;$A2332))</f>
        <v/>
      </c>
      <c r="Q2332" s="57" t="str">
        <f aca="false">IF($O2332="","",IF($P2332&lt;=BankCostEnvelope*'5. Scenarios'!$D$7,1,0))</f>
        <v/>
      </c>
      <c r="R2332" s="57" t="str">
        <f aca="false">IF($N2332="","",INDEX(BookRate,2327)*(1+'5. Scenarios'!$D$10)*(INDEX(BookQ1,2327)*(5-MIN(4,1+'5. Scenarios'!$D$8))/4+INDEX(BookQ2,2327)*(5-MIN(4,2+'5. Scenarios'!$D$8))/4+INDEX(BookQ3,2327)*(5-MIN(4,3+'5. Scenarios'!$D$8))/4+INDEX(BookQ4,2327)*(5-MIN(4,4+'5. Scenarios'!$D$8))/4)*'5. Scenarios'!$D$6/(1+ProductivityDefault*('5. Scenarios'!$D$11-1))+INDEX(BookOneOff,2327)*$N2332)</f>
        <v/>
      </c>
      <c r="S2332" s="56" t="str">
        <f aca="false">IF(INDEX(BookTitle,2327)="","",INDEX(BookTotal,2327)*'5. Scenarios'!$E$6/(1+ProductivityDefault*('5. Scenarios'!$E$11-1)))</f>
        <v/>
      </c>
      <c r="T2332" s="57" t="str">
        <f aca="false">IF($S2332="","",INDEX(BookRate,2327)*(1+'5. Scenarios'!$E$10)*$S2332)</f>
        <v/>
      </c>
      <c r="U2332" s="57" t="str">
        <f aca="false">IF($T2332="","",SUMIFS($T$6:$T$2405,$A$6:$A$2405,"&lt;="&amp;$A2332))</f>
        <v/>
      </c>
      <c r="V2332" s="57" t="str">
        <f aca="false">IF($T2332="","",IF($U2332&lt;=BankCostEnvelope*'5. Scenarios'!$E$7,1,0))</f>
        <v/>
      </c>
      <c r="W2332" s="57" t="str">
        <f aca="false">IF($S2332="","",INDEX(BookRate,2327)*(1+'5. Scenarios'!$E$10)*(INDEX(BookQ1,2327)*(5-MIN(4,1+'5. Scenarios'!$E$8))/4+INDEX(BookQ2,2327)*(5-MIN(4,2+'5. Scenarios'!$E$8))/4+INDEX(BookQ3,2327)*(5-MIN(4,3+'5. Scenarios'!$E$8))/4+INDEX(BookQ4,2327)*(5-MIN(4,4+'5. Scenarios'!$E$8))/4)*'5. Scenarios'!$E$6/(1+ProductivityDefault*('5. Scenarios'!$E$11-1))+INDEX(BookOneOff,2327)*$S2332)</f>
        <v/>
      </c>
    </row>
    <row r="2333" customFormat="false" ht="15" hidden="false" customHeight="false" outlineLevel="0" collapsed="false">
      <c r="A2333" s="0" t="str">
        <f aca="false">IF(INDEX(BookTitle,2328)="","",INDEX(BookKey,2328))</f>
        <v/>
      </c>
      <c r="B2333" s="0" t="str">
        <f aca="false">IF(INDEX(BookTitle,2328)="","",INDEX(BookGroup,2328))</f>
        <v/>
      </c>
      <c r="C2333" s="0" t="str">
        <f aca="false">IF(INDEX(BookTitle,2328)="","",INDEX(BookCategory,2328))</f>
        <v/>
      </c>
      <c r="D2333" s="56" t="str">
        <f aca="false">IF(INDEX(BookTitle,2328)="","",INDEX(BookTotal,2328)*'5. Scenarios'!$B$6/(1+ProductivityDefault*('5. Scenarios'!$B$11-1)))</f>
        <v/>
      </c>
      <c r="E2333" s="57" t="str">
        <f aca="false">IF($D2333="","",INDEX(BookRate,2328)*(1+'5. Scenarios'!$B$10)*$D2333)</f>
        <v/>
      </c>
      <c r="F2333" s="57" t="str">
        <f aca="false">IF($E2333="","",SUMIFS($E$6:$E$2405,$A$6:$A$2405,"&lt;="&amp;$A2333))</f>
        <v/>
      </c>
      <c r="G2333" s="57" t="str">
        <f aca="false">IF($E2333="","",IF($F2333&lt;=BankCostEnvelope*'5. Scenarios'!$B$7,1,0))</f>
        <v/>
      </c>
      <c r="H2333" s="57" t="str">
        <f aca="false">IF($D2333="","",INDEX(BookRate,2328)*(1+'5. Scenarios'!$B$10)*(INDEX(BookQ1,2328)*(5-MIN(4,1+'5. Scenarios'!$B$8))/4+INDEX(BookQ2,2328)*(5-MIN(4,2+'5. Scenarios'!$B$8))/4+INDEX(BookQ3,2328)*(5-MIN(4,3+'5. Scenarios'!$B$8))/4+INDEX(BookQ4,2328)*(5-MIN(4,4+'5. Scenarios'!$B$8))/4)*'5. Scenarios'!$B$6/(1+ProductivityDefault*('5. Scenarios'!$B$11-1))+INDEX(BookOneOff,2328)*$D2333)</f>
        <v/>
      </c>
      <c r="I2333" s="56" t="str">
        <f aca="false">IF(INDEX(BookTitle,2328)="","",INDEX(BookTotal,2328)*'5. Scenarios'!$C$6/(1+ProductivityDefault*('5. Scenarios'!$C$11-1)))</f>
        <v/>
      </c>
      <c r="J2333" s="57" t="str">
        <f aca="false">IF($I2333="","",INDEX(BookRate,2328)*(1+'5. Scenarios'!$C$10)*$I2333)</f>
        <v/>
      </c>
      <c r="K2333" s="57" t="str">
        <f aca="false">IF($J2333="","",SUMIFS($J$6:$J$2405,$A$6:$A$2405,"&lt;="&amp;$A2333))</f>
        <v/>
      </c>
      <c r="L2333" s="57" t="str">
        <f aca="false">IF($J2333="","",IF($K2333&lt;=BankCostEnvelope*'5. Scenarios'!$C$7,1,0))</f>
        <v/>
      </c>
      <c r="M2333" s="57" t="str">
        <f aca="false">IF($I2333="","",INDEX(BookRate,2328)*(1+'5. Scenarios'!$C$10)*(INDEX(BookQ1,2328)*(5-MIN(4,1+'5. Scenarios'!$C$8))/4+INDEX(BookQ2,2328)*(5-MIN(4,2+'5. Scenarios'!$C$8))/4+INDEX(BookQ3,2328)*(5-MIN(4,3+'5. Scenarios'!$C$8))/4+INDEX(BookQ4,2328)*(5-MIN(4,4+'5. Scenarios'!$C$8))/4)*'5. Scenarios'!$C$6/(1+ProductivityDefault*('5. Scenarios'!$C$11-1))+INDEX(BookOneOff,2328)*$I2333)</f>
        <v/>
      </c>
      <c r="N2333" s="56" t="str">
        <f aca="false">IF(INDEX(BookTitle,2328)="","",INDEX(BookTotal,2328)*'5. Scenarios'!$D$6/(1+ProductivityDefault*('5. Scenarios'!$D$11-1)))</f>
        <v/>
      </c>
      <c r="O2333" s="57" t="str">
        <f aca="false">IF($N2333="","",INDEX(BookRate,2328)*(1+'5. Scenarios'!$D$10)*$N2333)</f>
        <v/>
      </c>
      <c r="P2333" s="57" t="str">
        <f aca="false">IF($O2333="","",SUMIFS($O$6:$O$2405,$A$6:$A$2405,"&lt;="&amp;$A2333))</f>
        <v/>
      </c>
      <c r="Q2333" s="57" t="str">
        <f aca="false">IF($O2333="","",IF($P2333&lt;=BankCostEnvelope*'5. Scenarios'!$D$7,1,0))</f>
        <v/>
      </c>
      <c r="R2333" s="57" t="str">
        <f aca="false">IF($N2333="","",INDEX(BookRate,2328)*(1+'5. Scenarios'!$D$10)*(INDEX(BookQ1,2328)*(5-MIN(4,1+'5. Scenarios'!$D$8))/4+INDEX(BookQ2,2328)*(5-MIN(4,2+'5. Scenarios'!$D$8))/4+INDEX(BookQ3,2328)*(5-MIN(4,3+'5. Scenarios'!$D$8))/4+INDEX(BookQ4,2328)*(5-MIN(4,4+'5. Scenarios'!$D$8))/4)*'5. Scenarios'!$D$6/(1+ProductivityDefault*('5. Scenarios'!$D$11-1))+INDEX(BookOneOff,2328)*$N2333)</f>
        <v/>
      </c>
      <c r="S2333" s="56" t="str">
        <f aca="false">IF(INDEX(BookTitle,2328)="","",INDEX(BookTotal,2328)*'5. Scenarios'!$E$6/(1+ProductivityDefault*('5. Scenarios'!$E$11-1)))</f>
        <v/>
      </c>
      <c r="T2333" s="57" t="str">
        <f aca="false">IF($S2333="","",INDEX(BookRate,2328)*(1+'5. Scenarios'!$E$10)*$S2333)</f>
        <v/>
      </c>
      <c r="U2333" s="57" t="str">
        <f aca="false">IF($T2333="","",SUMIFS($T$6:$T$2405,$A$6:$A$2405,"&lt;="&amp;$A2333))</f>
        <v/>
      </c>
      <c r="V2333" s="57" t="str">
        <f aca="false">IF($T2333="","",IF($U2333&lt;=BankCostEnvelope*'5. Scenarios'!$E$7,1,0))</f>
        <v/>
      </c>
      <c r="W2333" s="57" t="str">
        <f aca="false">IF($S2333="","",INDEX(BookRate,2328)*(1+'5. Scenarios'!$E$10)*(INDEX(BookQ1,2328)*(5-MIN(4,1+'5. Scenarios'!$E$8))/4+INDEX(BookQ2,2328)*(5-MIN(4,2+'5. Scenarios'!$E$8))/4+INDEX(BookQ3,2328)*(5-MIN(4,3+'5. Scenarios'!$E$8))/4+INDEX(BookQ4,2328)*(5-MIN(4,4+'5. Scenarios'!$E$8))/4)*'5. Scenarios'!$E$6/(1+ProductivityDefault*('5. Scenarios'!$E$11-1))+INDEX(BookOneOff,2328)*$S2333)</f>
        <v/>
      </c>
    </row>
    <row r="2334" customFormat="false" ht="15" hidden="false" customHeight="false" outlineLevel="0" collapsed="false">
      <c r="A2334" s="0" t="str">
        <f aca="false">IF(INDEX(BookTitle,2329)="","",INDEX(BookKey,2329))</f>
        <v/>
      </c>
      <c r="B2334" s="0" t="str">
        <f aca="false">IF(INDEX(BookTitle,2329)="","",INDEX(BookGroup,2329))</f>
        <v/>
      </c>
      <c r="C2334" s="0" t="str">
        <f aca="false">IF(INDEX(BookTitle,2329)="","",INDEX(BookCategory,2329))</f>
        <v/>
      </c>
      <c r="D2334" s="56" t="str">
        <f aca="false">IF(INDEX(BookTitle,2329)="","",INDEX(BookTotal,2329)*'5. Scenarios'!$B$6/(1+ProductivityDefault*('5. Scenarios'!$B$11-1)))</f>
        <v/>
      </c>
      <c r="E2334" s="57" t="str">
        <f aca="false">IF($D2334="","",INDEX(BookRate,2329)*(1+'5. Scenarios'!$B$10)*$D2334)</f>
        <v/>
      </c>
      <c r="F2334" s="57" t="str">
        <f aca="false">IF($E2334="","",SUMIFS($E$6:$E$2405,$A$6:$A$2405,"&lt;="&amp;$A2334))</f>
        <v/>
      </c>
      <c r="G2334" s="57" t="str">
        <f aca="false">IF($E2334="","",IF($F2334&lt;=BankCostEnvelope*'5. Scenarios'!$B$7,1,0))</f>
        <v/>
      </c>
      <c r="H2334" s="57" t="str">
        <f aca="false">IF($D2334="","",INDEX(BookRate,2329)*(1+'5. Scenarios'!$B$10)*(INDEX(BookQ1,2329)*(5-MIN(4,1+'5. Scenarios'!$B$8))/4+INDEX(BookQ2,2329)*(5-MIN(4,2+'5. Scenarios'!$B$8))/4+INDEX(BookQ3,2329)*(5-MIN(4,3+'5. Scenarios'!$B$8))/4+INDEX(BookQ4,2329)*(5-MIN(4,4+'5. Scenarios'!$B$8))/4)*'5. Scenarios'!$B$6/(1+ProductivityDefault*('5. Scenarios'!$B$11-1))+INDEX(BookOneOff,2329)*$D2334)</f>
        <v/>
      </c>
      <c r="I2334" s="56" t="str">
        <f aca="false">IF(INDEX(BookTitle,2329)="","",INDEX(BookTotal,2329)*'5. Scenarios'!$C$6/(1+ProductivityDefault*('5. Scenarios'!$C$11-1)))</f>
        <v/>
      </c>
      <c r="J2334" s="57" t="str">
        <f aca="false">IF($I2334="","",INDEX(BookRate,2329)*(1+'5. Scenarios'!$C$10)*$I2334)</f>
        <v/>
      </c>
      <c r="K2334" s="57" t="str">
        <f aca="false">IF($J2334="","",SUMIFS($J$6:$J$2405,$A$6:$A$2405,"&lt;="&amp;$A2334))</f>
        <v/>
      </c>
      <c r="L2334" s="57" t="str">
        <f aca="false">IF($J2334="","",IF($K2334&lt;=BankCostEnvelope*'5. Scenarios'!$C$7,1,0))</f>
        <v/>
      </c>
      <c r="M2334" s="57" t="str">
        <f aca="false">IF($I2334="","",INDEX(BookRate,2329)*(1+'5. Scenarios'!$C$10)*(INDEX(BookQ1,2329)*(5-MIN(4,1+'5. Scenarios'!$C$8))/4+INDEX(BookQ2,2329)*(5-MIN(4,2+'5. Scenarios'!$C$8))/4+INDEX(BookQ3,2329)*(5-MIN(4,3+'5. Scenarios'!$C$8))/4+INDEX(BookQ4,2329)*(5-MIN(4,4+'5. Scenarios'!$C$8))/4)*'5. Scenarios'!$C$6/(1+ProductivityDefault*('5. Scenarios'!$C$11-1))+INDEX(BookOneOff,2329)*$I2334)</f>
        <v/>
      </c>
      <c r="N2334" s="56" t="str">
        <f aca="false">IF(INDEX(BookTitle,2329)="","",INDEX(BookTotal,2329)*'5. Scenarios'!$D$6/(1+ProductivityDefault*('5. Scenarios'!$D$11-1)))</f>
        <v/>
      </c>
      <c r="O2334" s="57" t="str">
        <f aca="false">IF($N2334="","",INDEX(BookRate,2329)*(1+'5. Scenarios'!$D$10)*$N2334)</f>
        <v/>
      </c>
      <c r="P2334" s="57" t="str">
        <f aca="false">IF($O2334="","",SUMIFS($O$6:$O$2405,$A$6:$A$2405,"&lt;="&amp;$A2334))</f>
        <v/>
      </c>
      <c r="Q2334" s="57" t="str">
        <f aca="false">IF($O2334="","",IF($P2334&lt;=BankCostEnvelope*'5. Scenarios'!$D$7,1,0))</f>
        <v/>
      </c>
      <c r="R2334" s="57" t="str">
        <f aca="false">IF($N2334="","",INDEX(BookRate,2329)*(1+'5. Scenarios'!$D$10)*(INDEX(BookQ1,2329)*(5-MIN(4,1+'5. Scenarios'!$D$8))/4+INDEX(BookQ2,2329)*(5-MIN(4,2+'5. Scenarios'!$D$8))/4+INDEX(BookQ3,2329)*(5-MIN(4,3+'5. Scenarios'!$D$8))/4+INDEX(BookQ4,2329)*(5-MIN(4,4+'5. Scenarios'!$D$8))/4)*'5. Scenarios'!$D$6/(1+ProductivityDefault*('5. Scenarios'!$D$11-1))+INDEX(BookOneOff,2329)*$N2334)</f>
        <v/>
      </c>
      <c r="S2334" s="56" t="str">
        <f aca="false">IF(INDEX(BookTitle,2329)="","",INDEX(BookTotal,2329)*'5. Scenarios'!$E$6/(1+ProductivityDefault*('5. Scenarios'!$E$11-1)))</f>
        <v/>
      </c>
      <c r="T2334" s="57" t="str">
        <f aca="false">IF($S2334="","",INDEX(BookRate,2329)*(1+'5. Scenarios'!$E$10)*$S2334)</f>
        <v/>
      </c>
      <c r="U2334" s="57" t="str">
        <f aca="false">IF($T2334="","",SUMIFS($T$6:$T$2405,$A$6:$A$2405,"&lt;="&amp;$A2334))</f>
        <v/>
      </c>
      <c r="V2334" s="57" t="str">
        <f aca="false">IF($T2334="","",IF($U2334&lt;=BankCostEnvelope*'5. Scenarios'!$E$7,1,0))</f>
        <v/>
      </c>
      <c r="W2334" s="57" t="str">
        <f aca="false">IF($S2334="","",INDEX(BookRate,2329)*(1+'5. Scenarios'!$E$10)*(INDEX(BookQ1,2329)*(5-MIN(4,1+'5. Scenarios'!$E$8))/4+INDEX(BookQ2,2329)*(5-MIN(4,2+'5. Scenarios'!$E$8))/4+INDEX(BookQ3,2329)*(5-MIN(4,3+'5. Scenarios'!$E$8))/4+INDEX(BookQ4,2329)*(5-MIN(4,4+'5. Scenarios'!$E$8))/4)*'5. Scenarios'!$E$6/(1+ProductivityDefault*('5. Scenarios'!$E$11-1))+INDEX(BookOneOff,2329)*$S2334)</f>
        <v/>
      </c>
    </row>
    <row r="2335" customFormat="false" ht="15" hidden="false" customHeight="false" outlineLevel="0" collapsed="false">
      <c r="A2335" s="0" t="str">
        <f aca="false">IF(INDEX(BookTitle,2330)="","",INDEX(BookKey,2330))</f>
        <v/>
      </c>
      <c r="B2335" s="0" t="str">
        <f aca="false">IF(INDEX(BookTitle,2330)="","",INDEX(BookGroup,2330))</f>
        <v/>
      </c>
      <c r="C2335" s="0" t="str">
        <f aca="false">IF(INDEX(BookTitle,2330)="","",INDEX(BookCategory,2330))</f>
        <v/>
      </c>
      <c r="D2335" s="56" t="str">
        <f aca="false">IF(INDEX(BookTitle,2330)="","",INDEX(BookTotal,2330)*'5. Scenarios'!$B$6/(1+ProductivityDefault*('5. Scenarios'!$B$11-1)))</f>
        <v/>
      </c>
      <c r="E2335" s="57" t="str">
        <f aca="false">IF($D2335="","",INDEX(BookRate,2330)*(1+'5. Scenarios'!$B$10)*$D2335)</f>
        <v/>
      </c>
      <c r="F2335" s="57" t="str">
        <f aca="false">IF($E2335="","",SUMIFS($E$6:$E$2405,$A$6:$A$2405,"&lt;="&amp;$A2335))</f>
        <v/>
      </c>
      <c r="G2335" s="57" t="str">
        <f aca="false">IF($E2335="","",IF($F2335&lt;=BankCostEnvelope*'5. Scenarios'!$B$7,1,0))</f>
        <v/>
      </c>
      <c r="H2335" s="57" t="str">
        <f aca="false">IF($D2335="","",INDEX(BookRate,2330)*(1+'5. Scenarios'!$B$10)*(INDEX(BookQ1,2330)*(5-MIN(4,1+'5. Scenarios'!$B$8))/4+INDEX(BookQ2,2330)*(5-MIN(4,2+'5. Scenarios'!$B$8))/4+INDEX(BookQ3,2330)*(5-MIN(4,3+'5. Scenarios'!$B$8))/4+INDEX(BookQ4,2330)*(5-MIN(4,4+'5. Scenarios'!$B$8))/4)*'5. Scenarios'!$B$6/(1+ProductivityDefault*('5. Scenarios'!$B$11-1))+INDEX(BookOneOff,2330)*$D2335)</f>
        <v/>
      </c>
      <c r="I2335" s="56" t="str">
        <f aca="false">IF(INDEX(BookTitle,2330)="","",INDEX(BookTotal,2330)*'5. Scenarios'!$C$6/(1+ProductivityDefault*('5. Scenarios'!$C$11-1)))</f>
        <v/>
      </c>
      <c r="J2335" s="57" t="str">
        <f aca="false">IF($I2335="","",INDEX(BookRate,2330)*(1+'5. Scenarios'!$C$10)*$I2335)</f>
        <v/>
      </c>
      <c r="K2335" s="57" t="str">
        <f aca="false">IF($J2335="","",SUMIFS($J$6:$J$2405,$A$6:$A$2405,"&lt;="&amp;$A2335))</f>
        <v/>
      </c>
      <c r="L2335" s="57" t="str">
        <f aca="false">IF($J2335="","",IF($K2335&lt;=BankCostEnvelope*'5. Scenarios'!$C$7,1,0))</f>
        <v/>
      </c>
      <c r="M2335" s="57" t="str">
        <f aca="false">IF($I2335="","",INDEX(BookRate,2330)*(1+'5. Scenarios'!$C$10)*(INDEX(BookQ1,2330)*(5-MIN(4,1+'5. Scenarios'!$C$8))/4+INDEX(BookQ2,2330)*(5-MIN(4,2+'5. Scenarios'!$C$8))/4+INDEX(BookQ3,2330)*(5-MIN(4,3+'5. Scenarios'!$C$8))/4+INDEX(BookQ4,2330)*(5-MIN(4,4+'5. Scenarios'!$C$8))/4)*'5. Scenarios'!$C$6/(1+ProductivityDefault*('5. Scenarios'!$C$11-1))+INDEX(BookOneOff,2330)*$I2335)</f>
        <v/>
      </c>
      <c r="N2335" s="56" t="str">
        <f aca="false">IF(INDEX(BookTitle,2330)="","",INDEX(BookTotal,2330)*'5. Scenarios'!$D$6/(1+ProductivityDefault*('5. Scenarios'!$D$11-1)))</f>
        <v/>
      </c>
      <c r="O2335" s="57" t="str">
        <f aca="false">IF($N2335="","",INDEX(BookRate,2330)*(1+'5. Scenarios'!$D$10)*$N2335)</f>
        <v/>
      </c>
      <c r="P2335" s="57" t="str">
        <f aca="false">IF($O2335="","",SUMIFS($O$6:$O$2405,$A$6:$A$2405,"&lt;="&amp;$A2335))</f>
        <v/>
      </c>
      <c r="Q2335" s="57" t="str">
        <f aca="false">IF($O2335="","",IF($P2335&lt;=BankCostEnvelope*'5. Scenarios'!$D$7,1,0))</f>
        <v/>
      </c>
      <c r="R2335" s="57" t="str">
        <f aca="false">IF($N2335="","",INDEX(BookRate,2330)*(1+'5. Scenarios'!$D$10)*(INDEX(BookQ1,2330)*(5-MIN(4,1+'5. Scenarios'!$D$8))/4+INDEX(BookQ2,2330)*(5-MIN(4,2+'5. Scenarios'!$D$8))/4+INDEX(BookQ3,2330)*(5-MIN(4,3+'5. Scenarios'!$D$8))/4+INDEX(BookQ4,2330)*(5-MIN(4,4+'5. Scenarios'!$D$8))/4)*'5. Scenarios'!$D$6/(1+ProductivityDefault*('5. Scenarios'!$D$11-1))+INDEX(BookOneOff,2330)*$N2335)</f>
        <v/>
      </c>
      <c r="S2335" s="56" t="str">
        <f aca="false">IF(INDEX(BookTitle,2330)="","",INDEX(BookTotal,2330)*'5. Scenarios'!$E$6/(1+ProductivityDefault*('5. Scenarios'!$E$11-1)))</f>
        <v/>
      </c>
      <c r="T2335" s="57" t="str">
        <f aca="false">IF($S2335="","",INDEX(BookRate,2330)*(1+'5. Scenarios'!$E$10)*$S2335)</f>
        <v/>
      </c>
      <c r="U2335" s="57" t="str">
        <f aca="false">IF($T2335="","",SUMIFS($T$6:$T$2405,$A$6:$A$2405,"&lt;="&amp;$A2335))</f>
        <v/>
      </c>
      <c r="V2335" s="57" t="str">
        <f aca="false">IF($T2335="","",IF($U2335&lt;=BankCostEnvelope*'5. Scenarios'!$E$7,1,0))</f>
        <v/>
      </c>
      <c r="W2335" s="57" t="str">
        <f aca="false">IF($S2335="","",INDEX(BookRate,2330)*(1+'5. Scenarios'!$E$10)*(INDEX(BookQ1,2330)*(5-MIN(4,1+'5. Scenarios'!$E$8))/4+INDEX(BookQ2,2330)*(5-MIN(4,2+'5. Scenarios'!$E$8))/4+INDEX(BookQ3,2330)*(5-MIN(4,3+'5. Scenarios'!$E$8))/4+INDEX(BookQ4,2330)*(5-MIN(4,4+'5. Scenarios'!$E$8))/4)*'5. Scenarios'!$E$6/(1+ProductivityDefault*('5. Scenarios'!$E$11-1))+INDEX(BookOneOff,2330)*$S2335)</f>
        <v/>
      </c>
    </row>
    <row r="2336" customFormat="false" ht="15" hidden="false" customHeight="false" outlineLevel="0" collapsed="false">
      <c r="A2336" s="0" t="str">
        <f aca="false">IF(INDEX(BookTitle,2331)="","",INDEX(BookKey,2331))</f>
        <v/>
      </c>
      <c r="B2336" s="0" t="str">
        <f aca="false">IF(INDEX(BookTitle,2331)="","",INDEX(BookGroup,2331))</f>
        <v/>
      </c>
      <c r="C2336" s="0" t="str">
        <f aca="false">IF(INDEX(BookTitle,2331)="","",INDEX(BookCategory,2331))</f>
        <v/>
      </c>
      <c r="D2336" s="56" t="str">
        <f aca="false">IF(INDEX(BookTitle,2331)="","",INDEX(BookTotal,2331)*'5. Scenarios'!$B$6/(1+ProductivityDefault*('5. Scenarios'!$B$11-1)))</f>
        <v/>
      </c>
      <c r="E2336" s="57" t="str">
        <f aca="false">IF($D2336="","",INDEX(BookRate,2331)*(1+'5. Scenarios'!$B$10)*$D2336)</f>
        <v/>
      </c>
      <c r="F2336" s="57" t="str">
        <f aca="false">IF($E2336="","",SUMIFS($E$6:$E$2405,$A$6:$A$2405,"&lt;="&amp;$A2336))</f>
        <v/>
      </c>
      <c r="G2336" s="57" t="str">
        <f aca="false">IF($E2336="","",IF($F2336&lt;=BankCostEnvelope*'5. Scenarios'!$B$7,1,0))</f>
        <v/>
      </c>
      <c r="H2336" s="57" t="str">
        <f aca="false">IF($D2336="","",INDEX(BookRate,2331)*(1+'5. Scenarios'!$B$10)*(INDEX(BookQ1,2331)*(5-MIN(4,1+'5. Scenarios'!$B$8))/4+INDEX(BookQ2,2331)*(5-MIN(4,2+'5. Scenarios'!$B$8))/4+INDEX(BookQ3,2331)*(5-MIN(4,3+'5. Scenarios'!$B$8))/4+INDEX(BookQ4,2331)*(5-MIN(4,4+'5. Scenarios'!$B$8))/4)*'5. Scenarios'!$B$6/(1+ProductivityDefault*('5. Scenarios'!$B$11-1))+INDEX(BookOneOff,2331)*$D2336)</f>
        <v/>
      </c>
      <c r="I2336" s="56" t="str">
        <f aca="false">IF(INDEX(BookTitle,2331)="","",INDEX(BookTotal,2331)*'5. Scenarios'!$C$6/(1+ProductivityDefault*('5. Scenarios'!$C$11-1)))</f>
        <v/>
      </c>
      <c r="J2336" s="57" t="str">
        <f aca="false">IF($I2336="","",INDEX(BookRate,2331)*(1+'5. Scenarios'!$C$10)*$I2336)</f>
        <v/>
      </c>
      <c r="K2336" s="57" t="str">
        <f aca="false">IF($J2336="","",SUMIFS($J$6:$J$2405,$A$6:$A$2405,"&lt;="&amp;$A2336))</f>
        <v/>
      </c>
      <c r="L2336" s="57" t="str">
        <f aca="false">IF($J2336="","",IF($K2336&lt;=BankCostEnvelope*'5. Scenarios'!$C$7,1,0))</f>
        <v/>
      </c>
      <c r="M2336" s="57" t="str">
        <f aca="false">IF($I2336="","",INDEX(BookRate,2331)*(1+'5. Scenarios'!$C$10)*(INDEX(BookQ1,2331)*(5-MIN(4,1+'5. Scenarios'!$C$8))/4+INDEX(BookQ2,2331)*(5-MIN(4,2+'5. Scenarios'!$C$8))/4+INDEX(BookQ3,2331)*(5-MIN(4,3+'5. Scenarios'!$C$8))/4+INDEX(BookQ4,2331)*(5-MIN(4,4+'5. Scenarios'!$C$8))/4)*'5. Scenarios'!$C$6/(1+ProductivityDefault*('5. Scenarios'!$C$11-1))+INDEX(BookOneOff,2331)*$I2336)</f>
        <v/>
      </c>
      <c r="N2336" s="56" t="str">
        <f aca="false">IF(INDEX(BookTitle,2331)="","",INDEX(BookTotal,2331)*'5. Scenarios'!$D$6/(1+ProductivityDefault*('5. Scenarios'!$D$11-1)))</f>
        <v/>
      </c>
      <c r="O2336" s="57" t="str">
        <f aca="false">IF($N2336="","",INDEX(BookRate,2331)*(1+'5. Scenarios'!$D$10)*$N2336)</f>
        <v/>
      </c>
      <c r="P2336" s="57" t="str">
        <f aca="false">IF($O2336="","",SUMIFS($O$6:$O$2405,$A$6:$A$2405,"&lt;="&amp;$A2336))</f>
        <v/>
      </c>
      <c r="Q2336" s="57" t="str">
        <f aca="false">IF($O2336="","",IF($P2336&lt;=BankCostEnvelope*'5. Scenarios'!$D$7,1,0))</f>
        <v/>
      </c>
      <c r="R2336" s="57" t="str">
        <f aca="false">IF($N2336="","",INDEX(BookRate,2331)*(1+'5. Scenarios'!$D$10)*(INDEX(BookQ1,2331)*(5-MIN(4,1+'5. Scenarios'!$D$8))/4+INDEX(BookQ2,2331)*(5-MIN(4,2+'5. Scenarios'!$D$8))/4+INDEX(BookQ3,2331)*(5-MIN(4,3+'5. Scenarios'!$D$8))/4+INDEX(BookQ4,2331)*(5-MIN(4,4+'5. Scenarios'!$D$8))/4)*'5. Scenarios'!$D$6/(1+ProductivityDefault*('5. Scenarios'!$D$11-1))+INDEX(BookOneOff,2331)*$N2336)</f>
        <v/>
      </c>
      <c r="S2336" s="56" t="str">
        <f aca="false">IF(INDEX(BookTitle,2331)="","",INDEX(BookTotal,2331)*'5. Scenarios'!$E$6/(1+ProductivityDefault*('5. Scenarios'!$E$11-1)))</f>
        <v/>
      </c>
      <c r="T2336" s="57" t="str">
        <f aca="false">IF($S2336="","",INDEX(BookRate,2331)*(1+'5. Scenarios'!$E$10)*$S2336)</f>
        <v/>
      </c>
      <c r="U2336" s="57" t="str">
        <f aca="false">IF($T2336="","",SUMIFS($T$6:$T$2405,$A$6:$A$2405,"&lt;="&amp;$A2336))</f>
        <v/>
      </c>
      <c r="V2336" s="57" t="str">
        <f aca="false">IF($T2336="","",IF($U2336&lt;=BankCostEnvelope*'5. Scenarios'!$E$7,1,0))</f>
        <v/>
      </c>
      <c r="W2336" s="57" t="str">
        <f aca="false">IF($S2336="","",INDEX(BookRate,2331)*(1+'5. Scenarios'!$E$10)*(INDEX(BookQ1,2331)*(5-MIN(4,1+'5. Scenarios'!$E$8))/4+INDEX(BookQ2,2331)*(5-MIN(4,2+'5. Scenarios'!$E$8))/4+INDEX(BookQ3,2331)*(5-MIN(4,3+'5. Scenarios'!$E$8))/4+INDEX(BookQ4,2331)*(5-MIN(4,4+'5. Scenarios'!$E$8))/4)*'5. Scenarios'!$E$6/(1+ProductivityDefault*('5. Scenarios'!$E$11-1))+INDEX(BookOneOff,2331)*$S2336)</f>
        <v/>
      </c>
    </row>
    <row r="2337" customFormat="false" ht="15" hidden="false" customHeight="false" outlineLevel="0" collapsed="false">
      <c r="A2337" s="0" t="str">
        <f aca="false">IF(INDEX(BookTitle,2332)="","",INDEX(BookKey,2332))</f>
        <v/>
      </c>
      <c r="B2337" s="0" t="str">
        <f aca="false">IF(INDEX(BookTitle,2332)="","",INDEX(BookGroup,2332))</f>
        <v/>
      </c>
      <c r="C2337" s="0" t="str">
        <f aca="false">IF(INDEX(BookTitle,2332)="","",INDEX(BookCategory,2332))</f>
        <v/>
      </c>
      <c r="D2337" s="56" t="str">
        <f aca="false">IF(INDEX(BookTitle,2332)="","",INDEX(BookTotal,2332)*'5. Scenarios'!$B$6/(1+ProductivityDefault*('5. Scenarios'!$B$11-1)))</f>
        <v/>
      </c>
      <c r="E2337" s="57" t="str">
        <f aca="false">IF($D2337="","",INDEX(BookRate,2332)*(1+'5. Scenarios'!$B$10)*$D2337)</f>
        <v/>
      </c>
      <c r="F2337" s="57" t="str">
        <f aca="false">IF($E2337="","",SUMIFS($E$6:$E$2405,$A$6:$A$2405,"&lt;="&amp;$A2337))</f>
        <v/>
      </c>
      <c r="G2337" s="57" t="str">
        <f aca="false">IF($E2337="","",IF($F2337&lt;=BankCostEnvelope*'5. Scenarios'!$B$7,1,0))</f>
        <v/>
      </c>
      <c r="H2337" s="57" t="str">
        <f aca="false">IF($D2337="","",INDEX(BookRate,2332)*(1+'5. Scenarios'!$B$10)*(INDEX(BookQ1,2332)*(5-MIN(4,1+'5. Scenarios'!$B$8))/4+INDEX(BookQ2,2332)*(5-MIN(4,2+'5. Scenarios'!$B$8))/4+INDEX(BookQ3,2332)*(5-MIN(4,3+'5. Scenarios'!$B$8))/4+INDEX(BookQ4,2332)*(5-MIN(4,4+'5. Scenarios'!$B$8))/4)*'5. Scenarios'!$B$6/(1+ProductivityDefault*('5. Scenarios'!$B$11-1))+INDEX(BookOneOff,2332)*$D2337)</f>
        <v/>
      </c>
      <c r="I2337" s="56" t="str">
        <f aca="false">IF(INDEX(BookTitle,2332)="","",INDEX(BookTotal,2332)*'5. Scenarios'!$C$6/(1+ProductivityDefault*('5. Scenarios'!$C$11-1)))</f>
        <v/>
      </c>
      <c r="J2337" s="57" t="str">
        <f aca="false">IF($I2337="","",INDEX(BookRate,2332)*(1+'5. Scenarios'!$C$10)*$I2337)</f>
        <v/>
      </c>
      <c r="K2337" s="57" t="str">
        <f aca="false">IF($J2337="","",SUMIFS($J$6:$J$2405,$A$6:$A$2405,"&lt;="&amp;$A2337))</f>
        <v/>
      </c>
      <c r="L2337" s="57" t="str">
        <f aca="false">IF($J2337="","",IF($K2337&lt;=BankCostEnvelope*'5. Scenarios'!$C$7,1,0))</f>
        <v/>
      </c>
      <c r="M2337" s="57" t="str">
        <f aca="false">IF($I2337="","",INDEX(BookRate,2332)*(1+'5. Scenarios'!$C$10)*(INDEX(BookQ1,2332)*(5-MIN(4,1+'5. Scenarios'!$C$8))/4+INDEX(BookQ2,2332)*(5-MIN(4,2+'5. Scenarios'!$C$8))/4+INDEX(BookQ3,2332)*(5-MIN(4,3+'5. Scenarios'!$C$8))/4+INDEX(BookQ4,2332)*(5-MIN(4,4+'5. Scenarios'!$C$8))/4)*'5. Scenarios'!$C$6/(1+ProductivityDefault*('5. Scenarios'!$C$11-1))+INDEX(BookOneOff,2332)*$I2337)</f>
        <v/>
      </c>
      <c r="N2337" s="56" t="str">
        <f aca="false">IF(INDEX(BookTitle,2332)="","",INDEX(BookTotal,2332)*'5. Scenarios'!$D$6/(1+ProductivityDefault*('5. Scenarios'!$D$11-1)))</f>
        <v/>
      </c>
      <c r="O2337" s="57" t="str">
        <f aca="false">IF($N2337="","",INDEX(BookRate,2332)*(1+'5. Scenarios'!$D$10)*$N2337)</f>
        <v/>
      </c>
      <c r="P2337" s="57" t="str">
        <f aca="false">IF($O2337="","",SUMIFS($O$6:$O$2405,$A$6:$A$2405,"&lt;="&amp;$A2337))</f>
        <v/>
      </c>
      <c r="Q2337" s="57" t="str">
        <f aca="false">IF($O2337="","",IF($P2337&lt;=BankCostEnvelope*'5. Scenarios'!$D$7,1,0))</f>
        <v/>
      </c>
      <c r="R2337" s="57" t="str">
        <f aca="false">IF($N2337="","",INDEX(BookRate,2332)*(1+'5. Scenarios'!$D$10)*(INDEX(BookQ1,2332)*(5-MIN(4,1+'5. Scenarios'!$D$8))/4+INDEX(BookQ2,2332)*(5-MIN(4,2+'5. Scenarios'!$D$8))/4+INDEX(BookQ3,2332)*(5-MIN(4,3+'5. Scenarios'!$D$8))/4+INDEX(BookQ4,2332)*(5-MIN(4,4+'5. Scenarios'!$D$8))/4)*'5. Scenarios'!$D$6/(1+ProductivityDefault*('5. Scenarios'!$D$11-1))+INDEX(BookOneOff,2332)*$N2337)</f>
        <v/>
      </c>
      <c r="S2337" s="56" t="str">
        <f aca="false">IF(INDEX(BookTitle,2332)="","",INDEX(BookTotal,2332)*'5. Scenarios'!$E$6/(1+ProductivityDefault*('5. Scenarios'!$E$11-1)))</f>
        <v/>
      </c>
      <c r="T2337" s="57" t="str">
        <f aca="false">IF($S2337="","",INDEX(BookRate,2332)*(1+'5. Scenarios'!$E$10)*$S2337)</f>
        <v/>
      </c>
      <c r="U2337" s="57" t="str">
        <f aca="false">IF($T2337="","",SUMIFS($T$6:$T$2405,$A$6:$A$2405,"&lt;="&amp;$A2337))</f>
        <v/>
      </c>
      <c r="V2337" s="57" t="str">
        <f aca="false">IF($T2337="","",IF($U2337&lt;=BankCostEnvelope*'5. Scenarios'!$E$7,1,0))</f>
        <v/>
      </c>
      <c r="W2337" s="57" t="str">
        <f aca="false">IF($S2337="","",INDEX(BookRate,2332)*(1+'5. Scenarios'!$E$10)*(INDEX(BookQ1,2332)*(5-MIN(4,1+'5. Scenarios'!$E$8))/4+INDEX(BookQ2,2332)*(5-MIN(4,2+'5. Scenarios'!$E$8))/4+INDEX(BookQ3,2332)*(5-MIN(4,3+'5. Scenarios'!$E$8))/4+INDEX(BookQ4,2332)*(5-MIN(4,4+'5. Scenarios'!$E$8))/4)*'5. Scenarios'!$E$6/(1+ProductivityDefault*('5. Scenarios'!$E$11-1))+INDEX(BookOneOff,2332)*$S2337)</f>
        <v/>
      </c>
    </row>
    <row r="2338" customFormat="false" ht="15" hidden="false" customHeight="false" outlineLevel="0" collapsed="false">
      <c r="A2338" s="0" t="str">
        <f aca="false">IF(INDEX(BookTitle,2333)="","",INDEX(BookKey,2333))</f>
        <v/>
      </c>
      <c r="B2338" s="0" t="str">
        <f aca="false">IF(INDEX(BookTitle,2333)="","",INDEX(BookGroup,2333))</f>
        <v/>
      </c>
      <c r="C2338" s="0" t="str">
        <f aca="false">IF(INDEX(BookTitle,2333)="","",INDEX(BookCategory,2333))</f>
        <v/>
      </c>
      <c r="D2338" s="56" t="str">
        <f aca="false">IF(INDEX(BookTitle,2333)="","",INDEX(BookTotal,2333)*'5. Scenarios'!$B$6/(1+ProductivityDefault*('5. Scenarios'!$B$11-1)))</f>
        <v/>
      </c>
      <c r="E2338" s="57" t="str">
        <f aca="false">IF($D2338="","",INDEX(BookRate,2333)*(1+'5. Scenarios'!$B$10)*$D2338)</f>
        <v/>
      </c>
      <c r="F2338" s="57" t="str">
        <f aca="false">IF($E2338="","",SUMIFS($E$6:$E$2405,$A$6:$A$2405,"&lt;="&amp;$A2338))</f>
        <v/>
      </c>
      <c r="G2338" s="57" t="str">
        <f aca="false">IF($E2338="","",IF($F2338&lt;=BankCostEnvelope*'5. Scenarios'!$B$7,1,0))</f>
        <v/>
      </c>
      <c r="H2338" s="57" t="str">
        <f aca="false">IF($D2338="","",INDEX(BookRate,2333)*(1+'5. Scenarios'!$B$10)*(INDEX(BookQ1,2333)*(5-MIN(4,1+'5. Scenarios'!$B$8))/4+INDEX(BookQ2,2333)*(5-MIN(4,2+'5. Scenarios'!$B$8))/4+INDEX(BookQ3,2333)*(5-MIN(4,3+'5. Scenarios'!$B$8))/4+INDEX(BookQ4,2333)*(5-MIN(4,4+'5. Scenarios'!$B$8))/4)*'5. Scenarios'!$B$6/(1+ProductivityDefault*('5. Scenarios'!$B$11-1))+INDEX(BookOneOff,2333)*$D2338)</f>
        <v/>
      </c>
      <c r="I2338" s="56" t="str">
        <f aca="false">IF(INDEX(BookTitle,2333)="","",INDEX(BookTotal,2333)*'5. Scenarios'!$C$6/(1+ProductivityDefault*('5. Scenarios'!$C$11-1)))</f>
        <v/>
      </c>
      <c r="J2338" s="57" t="str">
        <f aca="false">IF($I2338="","",INDEX(BookRate,2333)*(1+'5. Scenarios'!$C$10)*$I2338)</f>
        <v/>
      </c>
      <c r="K2338" s="57" t="str">
        <f aca="false">IF($J2338="","",SUMIFS($J$6:$J$2405,$A$6:$A$2405,"&lt;="&amp;$A2338))</f>
        <v/>
      </c>
      <c r="L2338" s="57" t="str">
        <f aca="false">IF($J2338="","",IF($K2338&lt;=BankCostEnvelope*'5. Scenarios'!$C$7,1,0))</f>
        <v/>
      </c>
      <c r="M2338" s="57" t="str">
        <f aca="false">IF($I2338="","",INDEX(BookRate,2333)*(1+'5. Scenarios'!$C$10)*(INDEX(BookQ1,2333)*(5-MIN(4,1+'5. Scenarios'!$C$8))/4+INDEX(BookQ2,2333)*(5-MIN(4,2+'5. Scenarios'!$C$8))/4+INDEX(BookQ3,2333)*(5-MIN(4,3+'5. Scenarios'!$C$8))/4+INDEX(BookQ4,2333)*(5-MIN(4,4+'5. Scenarios'!$C$8))/4)*'5. Scenarios'!$C$6/(1+ProductivityDefault*('5. Scenarios'!$C$11-1))+INDEX(BookOneOff,2333)*$I2338)</f>
        <v/>
      </c>
      <c r="N2338" s="56" t="str">
        <f aca="false">IF(INDEX(BookTitle,2333)="","",INDEX(BookTotal,2333)*'5. Scenarios'!$D$6/(1+ProductivityDefault*('5. Scenarios'!$D$11-1)))</f>
        <v/>
      </c>
      <c r="O2338" s="57" t="str">
        <f aca="false">IF($N2338="","",INDEX(BookRate,2333)*(1+'5. Scenarios'!$D$10)*$N2338)</f>
        <v/>
      </c>
      <c r="P2338" s="57" t="str">
        <f aca="false">IF($O2338="","",SUMIFS($O$6:$O$2405,$A$6:$A$2405,"&lt;="&amp;$A2338))</f>
        <v/>
      </c>
      <c r="Q2338" s="57" t="str">
        <f aca="false">IF($O2338="","",IF($P2338&lt;=BankCostEnvelope*'5. Scenarios'!$D$7,1,0))</f>
        <v/>
      </c>
      <c r="R2338" s="57" t="str">
        <f aca="false">IF($N2338="","",INDEX(BookRate,2333)*(1+'5. Scenarios'!$D$10)*(INDEX(BookQ1,2333)*(5-MIN(4,1+'5. Scenarios'!$D$8))/4+INDEX(BookQ2,2333)*(5-MIN(4,2+'5. Scenarios'!$D$8))/4+INDEX(BookQ3,2333)*(5-MIN(4,3+'5. Scenarios'!$D$8))/4+INDEX(BookQ4,2333)*(5-MIN(4,4+'5. Scenarios'!$D$8))/4)*'5. Scenarios'!$D$6/(1+ProductivityDefault*('5. Scenarios'!$D$11-1))+INDEX(BookOneOff,2333)*$N2338)</f>
        <v/>
      </c>
      <c r="S2338" s="56" t="str">
        <f aca="false">IF(INDEX(BookTitle,2333)="","",INDEX(BookTotal,2333)*'5. Scenarios'!$E$6/(1+ProductivityDefault*('5. Scenarios'!$E$11-1)))</f>
        <v/>
      </c>
      <c r="T2338" s="57" t="str">
        <f aca="false">IF($S2338="","",INDEX(BookRate,2333)*(1+'5. Scenarios'!$E$10)*$S2338)</f>
        <v/>
      </c>
      <c r="U2338" s="57" t="str">
        <f aca="false">IF($T2338="","",SUMIFS($T$6:$T$2405,$A$6:$A$2405,"&lt;="&amp;$A2338))</f>
        <v/>
      </c>
      <c r="V2338" s="57" t="str">
        <f aca="false">IF($T2338="","",IF($U2338&lt;=BankCostEnvelope*'5. Scenarios'!$E$7,1,0))</f>
        <v/>
      </c>
      <c r="W2338" s="57" t="str">
        <f aca="false">IF($S2338="","",INDEX(BookRate,2333)*(1+'5. Scenarios'!$E$10)*(INDEX(BookQ1,2333)*(5-MIN(4,1+'5. Scenarios'!$E$8))/4+INDEX(BookQ2,2333)*(5-MIN(4,2+'5. Scenarios'!$E$8))/4+INDEX(BookQ3,2333)*(5-MIN(4,3+'5. Scenarios'!$E$8))/4+INDEX(BookQ4,2333)*(5-MIN(4,4+'5. Scenarios'!$E$8))/4)*'5. Scenarios'!$E$6/(1+ProductivityDefault*('5. Scenarios'!$E$11-1))+INDEX(BookOneOff,2333)*$S2338)</f>
        <v/>
      </c>
    </row>
    <row r="2339" customFormat="false" ht="15" hidden="false" customHeight="false" outlineLevel="0" collapsed="false">
      <c r="A2339" s="0" t="str">
        <f aca="false">IF(INDEX(BookTitle,2334)="","",INDEX(BookKey,2334))</f>
        <v/>
      </c>
      <c r="B2339" s="0" t="str">
        <f aca="false">IF(INDEX(BookTitle,2334)="","",INDEX(BookGroup,2334))</f>
        <v/>
      </c>
      <c r="C2339" s="0" t="str">
        <f aca="false">IF(INDEX(BookTitle,2334)="","",INDEX(BookCategory,2334))</f>
        <v/>
      </c>
      <c r="D2339" s="56" t="str">
        <f aca="false">IF(INDEX(BookTitle,2334)="","",INDEX(BookTotal,2334)*'5. Scenarios'!$B$6/(1+ProductivityDefault*('5. Scenarios'!$B$11-1)))</f>
        <v/>
      </c>
      <c r="E2339" s="57" t="str">
        <f aca="false">IF($D2339="","",INDEX(BookRate,2334)*(1+'5. Scenarios'!$B$10)*$D2339)</f>
        <v/>
      </c>
      <c r="F2339" s="57" t="str">
        <f aca="false">IF($E2339="","",SUMIFS($E$6:$E$2405,$A$6:$A$2405,"&lt;="&amp;$A2339))</f>
        <v/>
      </c>
      <c r="G2339" s="57" t="str">
        <f aca="false">IF($E2339="","",IF($F2339&lt;=BankCostEnvelope*'5. Scenarios'!$B$7,1,0))</f>
        <v/>
      </c>
      <c r="H2339" s="57" t="str">
        <f aca="false">IF($D2339="","",INDEX(BookRate,2334)*(1+'5. Scenarios'!$B$10)*(INDEX(BookQ1,2334)*(5-MIN(4,1+'5. Scenarios'!$B$8))/4+INDEX(BookQ2,2334)*(5-MIN(4,2+'5. Scenarios'!$B$8))/4+INDEX(BookQ3,2334)*(5-MIN(4,3+'5. Scenarios'!$B$8))/4+INDEX(BookQ4,2334)*(5-MIN(4,4+'5. Scenarios'!$B$8))/4)*'5. Scenarios'!$B$6/(1+ProductivityDefault*('5. Scenarios'!$B$11-1))+INDEX(BookOneOff,2334)*$D2339)</f>
        <v/>
      </c>
      <c r="I2339" s="56" t="str">
        <f aca="false">IF(INDEX(BookTitle,2334)="","",INDEX(BookTotal,2334)*'5. Scenarios'!$C$6/(1+ProductivityDefault*('5. Scenarios'!$C$11-1)))</f>
        <v/>
      </c>
      <c r="J2339" s="57" t="str">
        <f aca="false">IF($I2339="","",INDEX(BookRate,2334)*(1+'5. Scenarios'!$C$10)*$I2339)</f>
        <v/>
      </c>
      <c r="K2339" s="57" t="str">
        <f aca="false">IF($J2339="","",SUMIFS($J$6:$J$2405,$A$6:$A$2405,"&lt;="&amp;$A2339))</f>
        <v/>
      </c>
      <c r="L2339" s="57" t="str">
        <f aca="false">IF($J2339="","",IF($K2339&lt;=BankCostEnvelope*'5. Scenarios'!$C$7,1,0))</f>
        <v/>
      </c>
      <c r="M2339" s="57" t="str">
        <f aca="false">IF($I2339="","",INDEX(BookRate,2334)*(1+'5. Scenarios'!$C$10)*(INDEX(BookQ1,2334)*(5-MIN(4,1+'5. Scenarios'!$C$8))/4+INDEX(BookQ2,2334)*(5-MIN(4,2+'5. Scenarios'!$C$8))/4+INDEX(BookQ3,2334)*(5-MIN(4,3+'5. Scenarios'!$C$8))/4+INDEX(BookQ4,2334)*(5-MIN(4,4+'5. Scenarios'!$C$8))/4)*'5. Scenarios'!$C$6/(1+ProductivityDefault*('5. Scenarios'!$C$11-1))+INDEX(BookOneOff,2334)*$I2339)</f>
        <v/>
      </c>
      <c r="N2339" s="56" t="str">
        <f aca="false">IF(INDEX(BookTitle,2334)="","",INDEX(BookTotal,2334)*'5. Scenarios'!$D$6/(1+ProductivityDefault*('5. Scenarios'!$D$11-1)))</f>
        <v/>
      </c>
      <c r="O2339" s="57" t="str">
        <f aca="false">IF($N2339="","",INDEX(BookRate,2334)*(1+'5. Scenarios'!$D$10)*$N2339)</f>
        <v/>
      </c>
      <c r="P2339" s="57" t="str">
        <f aca="false">IF($O2339="","",SUMIFS($O$6:$O$2405,$A$6:$A$2405,"&lt;="&amp;$A2339))</f>
        <v/>
      </c>
      <c r="Q2339" s="57" t="str">
        <f aca="false">IF($O2339="","",IF($P2339&lt;=BankCostEnvelope*'5. Scenarios'!$D$7,1,0))</f>
        <v/>
      </c>
      <c r="R2339" s="57" t="str">
        <f aca="false">IF($N2339="","",INDEX(BookRate,2334)*(1+'5. Scenarios'!$D$10)*(INDEX(BookQ1,2334)*(5-MIN(4,1+'5. Scenarios'!$D$8))/4+INDEX(BookQ2,2334)*(5-MIN(4,2+'5. Scenarios'!$D$8))/4+INDEX(BookQ3,2334)*(5-MIN(4,3+'5. Scenarios'!$D$8))/4+INDEX(BookQ4,2334)*(5-MIN(4,4+'5. Scenarios'!$D$8))/4)*'5. Scenarios'!$D$6/(1+ProductivityDefault*('5. Scenarios'!$D$11-1))+INDEX(BookOneOff,2334)*$N2339)</f>
        <v/>
      </c>
      <c r="S2339" s="56" t="str">
        <f aca="false">IF(INDEX(BookTitle,2334)="","",INDEX(BookTotal,2334)*'5. Scenarios'!$E$6/(1+ProductivityDefault*('5. Scenarios'!$E$11-1)))</f>
        <v/>
      </c>
      <c r="T2339" s="57" t="str">
        <f aca="false">IF($S2339="","",INDEX(BookRate,2334)*(1+'5. Scenarios'!$E$10)*$S2339)</f>
        <v/>
      </c>
      <c r="U2339" s="57" t="str">
        <f aca="false">IF($T2339="","",SUMIFS($T$6:$T$2405,$A$6:$A$2405,"&lt;="&amp;$A2339))</f>
        <v/>
      </c>
      <c r="V2339" s="57" t="str">
        <f aca="false">IF($T2339="","",IF($U2339&lt;=BankCostEnvelope*'5. Scenarios'!$E$7,1,0))</f>
        <v/>
      </c>
      <c r="W2339" s="57" t="str">
        <f aca="false">IF($S2339="","",INDEX(BookRate,2334)*(1+'5. Scenarios'!$E$10)*(INDEX(BookQ1,2334)*(5-MIN(4,1+'5. Scenarios'!$E$8))/4+INDEX(BookQ2,2334)*(5-MIN(4,2+'5. Scenarios'!$E$8))/4+INDEX(BookQ3,2334)*(5-MIN(4,3+'5. Scenarios'!$E$8))/4+INDEX(BookQ4,2334)*(5-MIN(4,4+'5. Scenarios'!$E$8))/4)*'5. Scenarios'!$E$6/(1+ProductivityDefault*('5. Scenarios'!$E$11-1))+INDEX(BookOneOff,2334)*$S2339)</f>
        <v/>
      </c>
    </row>
    <row r="2340" customFormat="false" ht="15" hidden="false" customHeight="false" outlineLevel="0" collapsed="false">
      <c r="A2340" s="0" t="str">
        <f aca="false">IF(INDEX(BookTitle,2335)="","",INDEX(BookKey,2335))</f>
        <v/>
      </c>
      <c r="B2340" s="0" t="str">
        <f aca="false">IF(INDEX(BookTitle,2335)="","",INDEX(BookGroup,2335))</f>
        <v/>
      </c>
      <c r="C2340" s="0" t="str">
        <f aca="false">IF(INDEX(BookTitle,2335)="","",INDEX(BookCategory,2335))</f>
        <v/>
      </c>
      <c r="D2340" s="56" t="str">
        <f aca="false">IF(INDEX(BookTitle,2335)="","",INDEX(BookTotal,2335)*'5. Scenarios'!$B$6/(1+ProductivityDefault*('5. Scenarios'!$B$11-1)))</f>
        <v/>
      </c>
      <c r="E2340" s="57" t="str">
        <f aca="false">IF($D2340="","",INDEX(BookRate,2335)*(1+'5. Scenarios'!$B$10)*$D2340)</f>
        <v/>
      </c>
      <c r="F2340" s="57" t="str">
        <f aca="false">IF($E2340="","",SUMIFS($E$6:$E$2405,$A$6:$A$2405,"&lt;="&amp;$A2340))</f>
        <v/>
      </c>
      <c r="G2340" s="57" t="str">
        <f aca="false">IF($E2340="","",IF($F2340&lt;=BankCostEnvelope*'5. Scenarios'!$B$7,1,0))</f>
        <v/>
      </c>
      <c r="H2340" s="57" t="str">
        <f aca="false">IF($D2340="","",INDEX(BookRate,2335)*(1+'5. Scenarios'!$B$10)*(INDEX(BookQ1,2335)*(5-MIN(4,1+'5. Scenarios'!$B$8))/4+INDEX(BookQ2,2335)*(5-MIN(4,2+'5. Scenarios'!$B$8))/4+INDEX(BookQ3,2335)*(5-MIN(4,3+'5. Scenarios'!$B$8))/4+INDEX(BookQ4,2335)*(5-MIN(4,4+'5. Scenarios'!$B$8))/4)*'5. Scenarios'!$B$6/(1+ProductivityDefault*('5. Scenarios'!$B$11-1))+INDEX(BookOneOff,2335)*$D2340)</f>
        <v/>
      </c>
      <c r="I2340" s="56" t="str">
        <f aca="false">IF(INDEX(BookTitle,2335)="","",INDEX(BookTotal,2335)*'5. Scenarios'!$C$6/(1+ProductivityDefault*('5. Scenarios'!$C$11-1)))</f>
        <v/>
      </c>
      <c r="J2340" s="57" t="str">
        <f aca="false">IF($I2340="","",INDEX(BookRate,2335)*(1+'5. Scenarios'!$C$10)*$I2340)</f>
        <v/>
      </c>
      <c r="K2340" s="57" t="str">
        <f aca="false">IF($J2340="","",SUMIFS($J$6:$J$2405,$A$6:$A$2405,"&lt;="&amp;$A2340))</f>
        <v/>
      </c>
      <c r="L2340" s="57" t="str">
        <f aca="false">IF($J2340="","",IF($K2340&lt;=BankCostEnvelope*'5. Scenarios'!$C$7,1,0))</f>
        <v/>
      </c>
      <c r="M2340" s="57" t="str">
        <f aca="false">IF($I2340="","",INDEX(BookRate,2335)*(1+'5. Scenarios'!$C$10)*(INDEX(BookQ1,2335)*(5-MIN(4,1+'5. Scenarios'!$C$8))/4+INDEX(BookQ2,2335)*(5-MIN(4,2+'5. Scenarios'!$C$8))/4+INDEX(BookQ3,2335)*(5-MIN(4,3+'5. Scenarios'!$C$8))/4+INDEX(BookQ4,2335)*(5-MIN(4,4+'5. Scenarios'!$C$8))/4)*'5. Scenarios'!$C$6/(1+ProductivityDefault*('5. Scenarios'!$C$11-1))+INDEX(BookOneOff,2335)*$I2340)</f>
        <v/>
      </c>
      <c r="N2340" s="56" t="str">
        <f aca="false">IF(INDEX(BookTitle,2335)="","",INDEX(BookTotal,2335)*'5. Scenarios'!$D$6/(1+ProductivityDefault*('5. Scenarios'!$D$11-1)))</f>
        <v/>
      </c>
      <c r="O2340" s="57" t="str">
        <f aca="false">IF($N2340="","",INDEX(BookRate,2335)*(1+'5. Scenarios'!$D$10)*$N2340)</f>
        <v/>
      </c>
      <c r="P2340" s="57" t="str">
        <f aca="false">IF($O2340="","",SUMIFS($O$6:$O$2405,$A$6:$A$2405,"&lt;="&amp;$A2340))</f>
        <v/>
      </c>
      <c r="Q2340" s="57" t="str">
        <f aca="false">IF($O2340="","",IF($P2340&lt;=BankCostEnvelope*'5. Scenarios'!$D$7,1,0))</f>
        <v/>
      </c>
      <c r="R2340" s="57" t="str">
        <f aca="false">IF($N2340="","",INDEX(BookRate,2335)*(1+'5. Scenarios'!$D$10)*(INDEX(BookQ1,2335)*(5-MIN(4,1+'5. Scenarios'!$D$8))/4+INDEX(BookQ2,2335)*(5-MIN(4,2+'5. Scenarios'!$D$8))/4+INDEX(BookQ3,2335)*(5-MIN(4,3+'5. Scenarios'!$D$8))/4+INDEX(BookQ4,2335)*(5-MIN(4,4+'5. Scenarios'!$D$8))/4)*'5. Scenarios'!$D$6/(1+ProductivityDefault*('5. Scenarios'!$D$11-1))+INDEX(BookOneOff,2335)*$N2340)</f>
        <v/>
      </c>
      <c r="S2340" s="56" t="str">
        <f aca="false">IF(INDEX(BookTitle,2335)="","",INDEX(BookTotal,2335)*'5. Scenarios'!$E$6/(1+ProductivityDefault*('5. Scenarios'!$E$11-1)))</f>
        <v/>
      </c>
      <c r="T2340" s="57" t="str">
        <f aca="false">IF($S2340="","",INDEX(BookRate,2335)*(1+'5. Scenarios'!$E$10)*$S2340)</f>
        <v/>
      </c>
      <c r="U2340" s="57" t="str">
        <f aca="false">IF($T2340="","",SUMIFS($T$6:$T$2405,$A$6:$A$2405,"&lt;="&amp;$A2340))</f>
        <v/>
      </c>
      <c r="V2340" s="57" t="str">
        <f aca="false">IF($T2340="","",IF($U2340&lt;=BankCostEnvelope*'5. Scenarios'!$E$7,1,0))</f>
        <v/>
      </c>
      <c r="W2340" s="57" t="str">
        <f aca="false">IF($S2340="","",INDEX(BookRate,2335)*(1+'5. Scenarios'!$E$10)*(INDEX(BookQ1,2335)*(5-MIN(4,1+'5. Scenarios'!$E$8))/4+INDEX(BookQ2,2335)*(5-MIN(4,2+'5. Scenarios'!$E$8))/4+INDEX(BookQ3,2335)*(5-MIN(4,3+'5. Scenarios'!$E$8))/4+INDEX(BookQ4,2335)*(5-MIN(4,4+'5. Scenarios'!$E$8))/4)*'5. Scenarios'!$E$6/(1+ProductivityDefault*('5. Scenarios'!$E$11-1))+INDEX(BookOneOff,2335)*$S2340)</f>
        <v/>
      </c>
    </row>
    <row r="2341" customFormat="false" ht="15" hidden="false" customHeight="false" outlineLevel="0" collapsed="false">
      <c r="A2341" s="0" t="str">
        <f aca="false">IF(INDEX(BookTitle,2336)="","",INDEX(BookKey,2336))</f>
        <v/>
      </c>
      <c r="B2341" s="0" t="str">
        <f aca="false">IF(INDEX(BookTitle,2336)="","",INDEX(BookGroup,2336))</f>
        <v/>
      </c>
      <c r="C2341" s="0" t="str">
        <f aca="false">IF(INDEX(BookTitle,2336)="","",INDEX(BookCategory,2336))</f>
        <v/>
      </c>
      <c r="D2341" s="56" t="str">
        <f aca="false">IF(INDEX(BookTitle,2336)="","",INDEX(BookTotal,2336)*'5. Scenarios'!$B$6/(1+ProductivityDefault*('5. Scenarios'!$B$11-1)))</f>
        <v/>
      </c>
      <c r="E2341" s="57" t="str">
        <f aca="false">IF($D2341="","",INDEX(BookRate,2336)*(1+'5. Scenarios'!$B$10)*$D2341)</f>
        <v/>
      </c>
      <c r="F2341" s="57" t="str">
        <f aca="false">IF($E2341="","",SUMIFS($E$6:$E$2405,$A$6:$A$2405,"&lt;="&amp;$A2341))</f>
        <v/>
      </c>
      <c r="G2341" s="57" t="str">
        <f aca="false">IF($E2341="","",IF($F2341&lt;=BankCostEnvelope*'5. Scenarios'!$B$7,1,0))</f>
        <v/>
      </c>
      <c r="H2341" s="57" t="str">
        <f aca="false">IF($D2341="","",INDEX(BookRate,2336)*(1+'5. Scenarios'!$B$10)*(INDEX(BookQ1,2336)*(5-MIN(4,1+'5. Scenarios'!$B$8))/4+INDEX(BookQ2,2336)*(5-MIN(4,2+'5. Scenarios'!$B$8))/4+INDEX(BookQ3,2336)*(5-MIN(4,3+'5. Scenarios'!$B$8))/4+INDEX(BookQ4,2336)*(5-MIN(4,4+'5. Scenarios'!$B$8))/4)*'5. Scenarios'!$B$6/(1+ProductivityDefault*('5. Scenarios'!$B$11-1))+INDEX(BookOneOff,2336)*$D2341)</f>
        <v/>
      </c>
      <c r="I2341" s="56" t="str">
        <f aca="false">IF(INDEX(BookTitle,2336)="","",INDEX(BookTotal,2336)*'5. Scenarios'!$C$6/(1+ProductivityDefault*('5. Scenarios'!$C$11-1)))</f>
        <v/>
      </c>
      <c r="J2341" s="57" t="str">
        <f aca="false">IF($I2341="","",INDEX(BookRate,2336)*(1+'5. Scenarios'!$C$10)*$I2341)</f>
        <v/>
      </c>
      <c r="K2341" s="57" t="str">
        <f aca="false">IF($J2341="","",SUMIFS($J$6:$J$2405,$A$6:$A$2405,"&lt;="&amp;$A2341))</f>
        <v/>
      </c>
      <c r="L2341" s="57" t="str">
        <f aca="false">IF($J2341="","",IF($K2341&lt;=BankCostEnvelope*'5. Scenarios'!$C$7,1,0))</f>
        <v/>
      </c>
      <c r="M2341" s="57" t="str">
        <f aca="false">IF($I2341="","",INDEX(BookRate,2336)*(1+'5. Scenarios'!$C$10)*(INDEX(BookQ1,2336)*(5-MIN(4,1+'5. Scenarios'!$C$8))/4+INDEX(BookQ2,2336)*(5-MIN(4,2+'5. Scenarios'!$C$8))/4+INDEX(BookQ3,2336)*(5-MIN(4,3+'5. Scenarios'!$C$8))/4+INDEX(BookQ4,2336)*(5-MIN(4,4+'5. Scenarios'!$C$8))/4)*'5. Scenarios'!$C$6/(1+ProductivityDefault*('5. Scenarios'!$C$11-1))+INDEX(BookOneOff,2336)*$I2341)</f>
        <v/>
      </c>
      <c r="N2341" s="56" t="str">
        <f aca="false">IF(INDEX(BookTitle,2336)="","",INDEX(BookTotal,2336)*'5. Scenarios'!$D$6/(1+ProductivityDefault*('5. Scenarios'!$D$11-1)))</f>
        <v/>
      </c>
      <c r="O2341" s="57" t="str">
        <f aca="false">IF($N2341="","",INDEX(BookRate,2336)*(1+'5. Scenarios'!$D$10)*$N2341)</f>
        <v/>
      </c>
      <c r="P2341" s="57" t="str">
        <f aca="false">IF($O2341="","",SUMIFS($O$6:$O$2405,$A$6:$A$2405,"&lt;="&amp;$A2341))</f>
        <v/>
      </c>
      <c r="Q2341" s="57" t="str">
        <f aca="false">IF($O2341="","",IF($P2341&lt;=BankCostEnvelope*'5. Scenarios'!$D$7,1,0))</f>
        <v/>
      </c>
      <c r="R2341" s="57" t="str">
        <f aca="false">IF($N2341="","",INDEX(BookRate,2336)*(1+'5. Scenarios'!$D$10)*(INDEX(BookQ1,2336)*(5-MIN(4,1+'5. Scenarios'!$D$8))/4+INDEX(BookQ2,2336)*(5-MIN(4,2+'5. Scenarios'!$D$8))/4+INDEX(BookQ3,2336)*(5-MIN(4,3+'5. Scenarios'!$D$8))/4+INDEX(BookQ4,2336)*(5-MIN(4,4+'5. Scenarios'!$D$8))/4)*'5. Scenarios'!$D$6/(1+ProductivityDefault*('5. Scenarios'!$D$11-1))+INDEX(BookOneOff,2336)*$N2341)</f>
        <v/>
      </c>
      <c r="S2341" s="56" t="str">
        <f aca="false">IF(INDEX(BookTitle,2336)="","",INDEX(BookTotal,2336)*'5. Scenarios'!$E$6/(1+ProductivityDefault*('5. Scenarios'!$E$11-1)))</f>
        <v/>
      </c>
      <c r="T2341" s="57" t="str">
        <f aca="false">IF($S2341="","",INDEX(BookRate,2336)*(1+'5. Scenarios'!$E$10)*$S2341)</f>
        <v/>
      </c>
      <c r="U2341" s="57" t="str">
        <f aca="false">IF($T2341="","",SUMIFS($T$6:$T$2405,$A$6:$A$2405,"&lt;="&amp;$A2341))</f>
        <v/>
      </c>
      <c r="V2341" s="57" t="str">
        <f aca="false">IF($T2341="","",IF($U2341&lt;=BankCostEnvelope*'5. Scenarios'!$E$7,1,0))</f>
        <v/>
      </c>
      <c r="W2341" s="57" t="str">
        <f aca="false">IF($S2341="","",INDEX(BookRate,2336)*(1+'5. Scenarios'!$E$10)*(INDEX(BookQ1,2336)*(5-MIN(4,1+'5. Scenarios'!$E$8))/4+INDEX(BookQ2,2336)*(5-MIN(4,2+'5. Scenarios'!$E$8))/4+INDEX(BookQ3,2336)*(5-MIN(4,3+'5. Scenarios'!$E$8))/4+INDEX(BookQ4,2336)*(5-MIN(4,4+'5. Scenarios'!$E$8))/4)*'5. Scenarios'!$E$6/(1+ProductivityDefault*('5. Scenarios'!$E$11-1))+INDEX(BookOneOff,2336)*$S2341)</f>
        <v/>
      </c>
    </row>
    <row r="2342" customFormat="false" ht="15" hidden="false" customHeight="false" outlineLevel="0" collapsed="false">
      <c r="A2342" s="0" t="str">
        <f aca="false">IF(INDEX(BookTitle,2337)="","",INDEX(BookKey,2337))</f>
        <v/>
      </c>
      <c r="B2342" s="0" t="str">
        <f aca="false">IF(INDEX(BookTitle,2337)="","",INDEX(BookGroup,2337))</f>
        <v/>
      </c>
      <c r="C2342" s="0" t="str">
        <f aca="false">IF(INDEX(BookTitle,2337)="","",INDEX(BookCategory,2337))</f>
        <v/>
      </c>
      <c r="D2342" s="56" t="str">
        <f aca="false">IF(INDEX(BookTitle,2337)="","",INDEX(BookTotal,2337)*'5. Scenarios'!$B$6/(1+ProductivityDefault*('5. Scenarios'!$B$11-1)))</f>
        <v/>
      </c>
      <c r="E2342" s="57" t="str">
        <f aca="false">IF($D2342="","",INDEX(BookRate,2337)*(1+'5. Scenarios'!$B$10)*$D2342)</f>
        <v/>
      </c>
      <c r="F2342" s="57" t="str">
        <f aca="false">IF($E2342="","",SUMIFS($E$6:$E$2405,$A$6:$A$2405,"&lt;="&amp;$A2342))</f>
        <v/>
      </c>
      <c r="G2342" s="57" t="str">
        <f aca="false">IF($E2342="","",IF($F2342&lt;=BankCostEnvelope*'5. Scenarios'!$B$7,1,0))</f>
        <v/>
      </c>
      <c r="H2342" s="57" t="str">
        <f aca="false">IF($D2342="","",INDEX(BookRate,2337)*(1+'5. Scenarios'!$B$10)*(INDEX(BookQ1,2337)*(5-MIN(4,1+'5. Scenarios'!$B$8))/4+INDEX(BookQ2,2337)*(5-MIN(4,2+'5. Scenarios'!$B$8))/4+INDEX(BookQ3,2337)*(5-MIN(4,3+'5. Scenarios'!$B$8))/4+INDEX(BookQ4,2337)*(5-MIN(4,4+'5. Scenarios'!$B$8))/4)*'5. Scenarios'!$B$6/(1+ProductivityDefault*('5. Scenarios'!$B$11-1))+INDEX(BookOneOff,2337)*$D2342)</f>
        <v/>
      </c>
      <c r="I2342" s="56" t="str">
        <f aca="false">IF(INDEX(BookTitle,2337)="","",INDEX(BookTotal,2337)*'5. Scenarios'!$C$6/(1+ProductivityDefault*('5. Scenarios'!$C$11-1)))</f>
        <v/>
      </c>
      <c r="J2342" s="57" t="str">
        <f aca="false">IF($I2342="","",INDEX(BookRate,2337)*(1+'5. Scenarios'!$C$10)*$I2342)</f>
        <v/>
      </c>
      <c r="K2342" s="57" t="str">
        <f aca="false">IF($J2342="","",SUMIFS($J$6:$J$2405,$A$6:$A$2405,"&lt;="&amp;$A2342))</f>
        <v/>
      </c>
      <c r="L2342" s="57" t="str">
        <f aca="false">IF($J2342="","",IF($K2342&lt;=BankCostEnvelope*'5. Scenarios'!$C$7,1,0))</f>
        <v/>
      </c>
      <c r="M2342" s="57" t="str">
        <f aca="false">IF($I2342="","",INDEX(BookRate,2337)*(1+'5. Scenarios'!$C$10)*(INDEX(BookQ1,2337)*(5-MIN(4,1+'5. Scenarios'!$C$8))/4+INDEX(BookQ2,2337)*(5-MIN(4,2+'5. Scenarios'!$C$8))/4+INDEX(BookQ3,2337)*(5-MIN(4,3+'5. Scenarios'!$C$8))/4+INDEX(BookQ4,2337)*(5-MIN(4,4+'5. Scenarios'!$C$8))/4)*'5. Scenarios'!$C$6/(1+ProductivityDefault*('5. Scenarios'!$C$11-1))+INDEX(BookOneOff,2337)*$I2342)</f>
        <v/>
      </c>
      <c r="N2342" s="56" t="str">
        <f aca="false">IF(INDEX(BookTitle,2337)="","",INDEX(BookTotal,2337)*'5. Scenarios'!$D$6/(1+ProductivityDefault*('5. Scenarios'!$D$11-1)))</f>
        <v/>
      </c>
      <c r="O2342" s="57" t="str">
        <f aca="false">IF($N2342="","",INDEX(BookRate,2337)*(1+'5. Scenarios'!$D$10)*$N2342)</f>
        <v/>
      </c>
      <c r="P2342" s="57" t="str">
        <f aca="false">IF($O2342="","",SUMIFS($O$6:$O$2405,$A$6:$A$2405,"&lt;="&amp;$A2342))</f>
        <v/>
      </c>
      <c r="Q2342" s="57" t="str">
        <f aca="false">IF($O2342="","",IF($P2342&lt;=BankCostEnvelope*'5. Scenarios'!$D$7,1,0))</f>
        <v/>
      </c>
      <c r="R2342" s="57" t="str">
        <f aca="false">IF($N2342="","",INDEX(BookRate,2337)*(1+'5. Scenarios'!$D$10)*(INDEX(BookQ1,2337)*(5-MIN(4,1+'5. Scenarios'!$D$8))/4+INDEX(BookQ2,2337)*(5-MIN(4,2+'5. Scenarios'!$D$8))/4+INDEX(BookQ3,2337)*(5-MIN(4,3+'5. Scenarios'!$D$8))/4+INDEX(BookQ4,2337)*(5-MIN(4,4+'5. Scenarios'!$D$8))/4)*'5. Scenarios'!$D$6/(1+ProductivityDefault*('5. Scenarios'!$D$11-1))+INDEX(BookOneOff,2337)*$N2342)</f>
        <v/>
      </c>
      <c r="S2342" s="56" t="str">
        <f aca="false">IF(INDEX(BookTitle,2337)="","",INDEX(BookTotal,2337)*'5. Scenarios'!$E$6/(1+ProductivityDefault*('5. Scenarios'!$E$11-1)))</f>
        <v/>
      </c>
      <c r="T2342" s="57" t="str">
        <f aca="false">IF($S2342="","",INDEX(BookRate,2337)*(1+'5. Scenarios'!$E$10)*$S2342)</f>
        <v/>
      </c>
      <c r="U2342" s="57" t="str">
        <f aca="false">IF($T2342="","",SUMIFS($T$6:$T$2405,$A$6:$A$2405,"&lt;="&amp;$A2342))</f>
        <v/>
      </c>
      <c r="V2342" s="57" t="str">
        <f aca="false">IF($T2342="","",IF($U2342&lt;=BankCostEnvelope*'5. Scenarios'!$E$7,1,0))</f>
        <v/>
      </c>
      <c r="W2342" s="57" t="str">
        <f aca="false">IF($S2342="","",INDEX(BookRate,2337)*(1+'5. Scenarios'!$E$10)*(INDEX(BookQ1,2337)*(5-MIN(4,1+'5. Scenarios'!$E$8))/4+INDEX(BookQ2,2337)*(5-MIN(4,2+'5. Scenarios'!$E$8))/4+INDEX(BookQ3,2337)*(5-MIN(4,3+'5. Scenarios'!$E$8))/4+INDEX(BookQ4,2337)*(5-MIN(4,4+'5. Scenarios'!$E$8))/4)*'5. Scenarios'!$E$6/(1+ProductivityDefault*('5. Scenarios'!$E$11-1))+INDEX(BookOneOff,2337)*$S2342)</f>
        <v/>
      </c>
    </row>
    <row r="2343" customFormat="false" ht="15" hidden="false" customHeight="false" outlineLevel="0" collapsed="false">
      <c r="A2343" s="0" t="str">
        <f aca="false">IF(INDEX(BookTitle,2338)="","",INDEX(BookKey,2338))</f>
        <v/>
      </c>
      <c r="B2343" s="0" t="str">
        <f aca="false">IF(INDEX(BookTitle,2338)="","",INDEX(BookGroup,2338))</f>
        <v/>
      </c>
      <c r="C2343" s="0" t="str">
        <f aca="false">IF(INDEX(BookTitle,2338)="","",INDEX(BookCategory,2338))</f>
        <v/>
      </c>
      <c r="D2343" s="56" t="str">
        <f aca="false">IF(INDEX(BookTitle,2338)="","",INDEX(BookTotal,2338)*'5. Scenarios'!$B$6/(1+ProductivityDefault*('5. Scenarios'!$B$11-1)))</f>
        <v/>
      </c>
      <c r="E2343" s="57" t="str">
        <f aca="false">IF($D2343="","",INDEX(BookRate,2338)*(1+'5. Scenarios'!$B$10)*$D2343)</f>
        <v/>
      </c>
      <c r="F2343" s="57" t="str">
        <f aca="false">IF($E2343="","",SUMIFS($E$6:$E$2405,$A$6:$A$2405,"&lt;="&amp;$A2343))</f>
        <v/>
      </c>
      <c r="G2343" s="57" t="str">
        <f aca="false">IF($E2343="","",IF($F2343&lt;=BankCostEnvelope*'5. Scenarios'!$B$7,1,0))</f>
        <v/>
      </c>
      <c r="H2343" s="57" t="str">
        <f aca="false">IF($D2343="","",INDEX(BookRate,2338)*(1+'5. Scenarios'!$B$10)*(INDEX(BookQ1,2338)*(5-MIN(4,1+'5. Scenarios'!$B$8))/4+INDEX(BookQ2,2338)*(5-MIN(4,2+'5. Scenarios'!$B$8))/4+INDEX(BookQ3,2338)*(5-MIN(4,3+'5. Scenarios'!$B$8))/4+INDEX(BookQ4,2338)*(5-MIN(4,4+'5. Scenarios'!$B$8))/4)*'5. Scenarios'!$B$6/(1+ProductivityDefault*('5. Scenarios'!$B$11-1))+INDEX(BookOneOff,2338)*$D2343)</f>
        <v/>
      </c>
      <c r="I2343" s="56" t="str">
        <f aca="false">IF(INDEX(BookTitle,2338)="","",INDEX(BookTotal,2338)*'5. Scenarios'!$C$6/(1+ProductivityDefault*('5. Scenarios'!$C$11-1)))</f>
        <v/>
      </c>
      <c r="J2343" s="57" t="str">
        <f aca="false">IF($I2343="","",INDEX(BookRate,2338)*(1+'5. Scenarios'!$C$10)*$I2343)</f>
        <v/>
      </c>
      <c r="K2343" s="57" t="str">
        <f aca="false">IF($J2343="","",SUMIFS($J$6:$J$2405,$A$6:$A$2405,"&lt;="&amp;$A2343))</f>
        <v/>
      </c>
      <c r="L2343" s="57" t="str">
        <f aca="false">IF($J2343="","",IF($K2343&lt;=BankCostEnvelope*'5. Scenarios'!$C$7,1,0))</f>
        <v/>
      </c>
      <c r="M2343" s="57" t="str">
        <f aca="false">IF($I2343="","",INDEX(BookRate,2338)*(1+'5. Scenarios'!$C$10)*(INDEX(BookQ1,2338)*(5-MIN(4,1+'5. Scenarios'!$C$8))/4+INDEX(BookQ2,2338)*(5-MIN(4,2+'5. Scenarios'!$C$8))/4+INDEX(BookQ3,2338)*(5-MIN(4,3+'5. Scenarios'!$C$8))/4+INDEX(BookQ4,2338)*(5-MIN(4,4+'5. Scenarios'!$C$8))/4)*'5. Scenarios'!$C$6/(1+ProductivityDefault*('5. Scenarios'!$C$11-1))+INDEX(BookOneOff,2338)*$I2343)</f>
        <v/>
      </c>
      <c r="N2343" s="56" t="str">
        <f aca="false">IF(INDEX(BookTitle,2338)="","",INDEX(BookTotal,2338)*'5. Scenarios'!$D$6/(1+ProductivityDefault*('5. Scenarios'!$D$11-1)))</f>
        <v/>
      </c>
      <c r="O2343" s="57" t="str">
        <f aca="false">IF($N2343="","",INDEX(BookRate,2338)*(1+'5. Scenarios'!$D$10)*$N2343)</f>
        <v/>
      </c>
      <c r="P2343" s="57" t="str">
        <f aca="false">IF($O2343="","",SUMIFS($O$6:$O$2405,$A$6:$A$2405,"&lt;="&amp;$A2343))</f>
        <v/>
      </c>
      <c r="Q2343" s="57" t="str">
        <f aca="false">IF($O2343="","",IF($P2343&lt;=BankCostEnvelope*'5. Scenarios'!$D$7,1,0))</f>
        <v/>
      </c>
      <c r="R2343" s="57" t="str">
        <f aca="false">IF($N2343="","",INDEX(BookRate,2338)*(1+'5. Scenarios'!$D$10)*(INDEX(BookQ1,2338)*(5-MIN(4,1+'5. Scenarios'!$D$8))/4+INDEX(BookQ2,2338)*(5-MIN(4,2+'5. Scenarios'!$D$8))/4+INDEX(BookQ3,2338)*(5-MIN(4,3+'5. Scenarios'!$D$8))/4+INDEX(BookQ4,2338)*(5-MIN(4,4+'5. Scenarios'!$D$8))/4)*'5. Scenarios'!$D$6/(1+ProductivityDefault*('5. Scenarios'!$D$11-1))+INDEX(BookOneOff,2338)*$N2343)</f>
        <v/>
      </c>
      <c r="S2343" s="56" t="str">
        <f aca="false">IF(INDEX(BookTitle,2338)="","",INDEX(BookTotal,2338)*'5. Scenarios'!$E$6/(1+ProductivityDefault*('5. Scenarios'!$E$11-1)))</f>
        <v/>
      </c>
      <c r="T2343" s="57" t="str">
        <f aca="false">IF($S2343="","",INDEX(BookRate,2338)*(1+'5. Scenarios'!$E$10)*$S2343)</f>
        <v/>
      </c>
      <c r="U2343" s="57" t="str">
        <f aca="false">IF($T2343="","",SUMIFS($T$6:$T$2405,$A$6:$A$2405,"&lt;="&amp;$A2343))</f>
        <v/>
      </c>
      <c r="V2343" s="57" t="str">
        <f aca="false">IF($T2343="","",IF($U2343&lt;=BankCostEnvelope*'5. Scenarios'!$E$7,1,0))</f>
        <v/>
      </c>
      <c r="W2343" s="57" t="str">
        <f aca="false">IF($S2343="","",INDEX(BookRate,2338)*(1+'5. Scenarios'!$E$10)*(INDEX(BookQ1,2338)*(5-MIN(4,1+'5. Scenarios'!$E$8))/4+INDEX(BookQ2,2338)*(5-MIN(4,2+'5. Scenarios'!$E$8))/4+INDEX(BookQ3,2338)*(5-MIN(4,3+'5. Scenarios'!$E$8))/4+INDEX(BookQ4,2338)*(5-MIN(4,4+'5. Scenarios'!$E$8))/4)*'5. Scenarios'!$E$6/(1+ProductivityDefault*('5. Scenarios'!$E$11-1))+INDEX(BookOneOff,2338)*$S2343)</f>
        <v/>
      </c>
    </row>
    <row r="2344" customFormat="false" ht="15" hidden="false" customHeight="false" outlineLevel="0" collapsed="false">
      <c r="A2344" s="0" t="str">
        <f aca="false">IF(INDEX(BookTitle,2339)="","",INDEX(BookKey,2339))</f>
        <v/>
      </c>
      <c r="B2344" s="0" t="str">
        <f aca="false">IF(INDEX(BookTitle,2339)="","",INDEX(BookGroup,2339))</f>
        <v/>
      </c>
      <c r="C2344" s="0" t="str">
        <f aca="false">IF(INDEX(BookTitle,2339)="","",INDEX(BookCategory,2339))</f>
        <v/>
      </c>
      <c r="D2344" s="56" t="str">
        <f aca="false">IF(INDEX(BookTitle,2339)="","",INDEX(BookTotal,2339)*'5. Scenarios'!$B$6/(1+ProductivityDefault*('5. Scenarios'!$B$11-1)))</f>
        <v/>
      </c>
      <c r="E2344" s="57" t="str">
        <f aca="false">IF($D2344="","",INDEX(BookRate,2339)*(1+'5. Scenarios'!$B$10)*$D2344)</f>
        <v/>
      </c>
      <c r="F2344" s="57" t="str">
        <f aca="false">IF($E2344="","",SUMIFS($E$6:$E$2405,$A$6:$A$2405,"&lt;="&amp;$A2344))</f>
        <v/>
      </c>
      <c r="G2344" s="57" t="str">
        <f aca="false">IF($E2344="","",IF($F2344&lt;=BankCostEnvelope*'5. Scenarios'!$B$7,1,0))</f>
        <v/>
      </c>
      <c r="H2344" s="57" t="str">
        <f aca="false">IF($D2344="","",INDEX(BookRate,2339)*(1+'5. Scenarios'!$B$10)*(INDEX(BookQ1,2339)*(5-MIN(4,1+'5. Scenarios'!$B$8))/4+INDEX(BookQ2,2339)*(5-MIN(4,2+'5. Scenarios'!$B$8))/4+INDEX(BookQ3,2339)*(5-MIN(4,3+'5. Scenarios'!$B$8))/4+INDEX(BookQ4,2339)*(5-MIN(4,4+'5. Scenarios'!$B$8))/4)*'5. Scenarios'!$B$6/(1+ProductivityDefault*('5. Scenarios'!$B$11-1))+INDEX(BookOneOff,2339)*$D2344)</f>
        <v/>
      </c>
      <c r="I2344" s="56" t="str">
        <f aca="false">IF(INDEX(BookTitle,2339)="","",INDEX(BookTotal,2339)*'5. Scenarios'!$C$6/(1+ProductivityDefault*('5. Scenarios'!$C$11-1)))</f>
        <v/>
      </c>
      <c r="J2344" s="57" t="str">
        <f aca="false">IF($I2344="","",INDEX(BookRate,2339)*(1+'5. Scenarios'!$C$10)*$I2344)</f>
        <v/>
      </c>
      <c r="K2344" s="57" t="str">
        <f aca="false">IF($J2344="","",SUMIFS($J$6:$J$2405,$A$6:$A$2405,"&lt;="&amp;$A2344))</f>
        <v/>
      </c>
      <c r="L2344" s="57" t="str">
        <f aca="false">IF($J2344="","",IF($K2344&lt;=BankCostEnvelope*'5. Scenarios'!$C$7,1,0))</f>
        <v/>
      </c>
      <c r="M2344" s="57" t="str">
        <f aca="false">IF($I2344="","",INDEX(BookRate,2339)*(1+'5. Scenarios'!$C$10)*(INDEX(BookQ1,2339)*(5-MIN(4,1+'5. Scenarios'!$C$8))/4+INDEX(BookQ2,2339)*(5-MIN(4,2+'5. Scenarios'!$C$8))/4+INDEX(BookQ3,2339)*(5-MIN(4,3+'5. Scenarios'!$C$8))/4+INDEX(BookQ4,2339)*(5-MIN(4,4+'5. Scenarios'!$C$8))/4)*'5. Scenarios'!$C$6/(1+ProductivityDefault*('5. Scenarios'!$C$11-1))+INDEX(BookOneOff,2339)*$I2344)</f>
        <v/>
      </c>
      <c r="N2344" s="56" t="str">
        <f aca="false">IF(INDEX(BookTitle,2339)="","",INDEX(BookTotal,2339)*'5. Scenarios'!$D$6/(1+ProductivityDefault*('5. Scenarios'!$D$11-1)))</f>
        <v/>
      </c>
      <c r="O2344" s="57" t="str">
        <f aca="false">IF($N2344="","",INDEX(BookRate,2339)*(1+'5. Scenarios'!$D$10)*$N2344)</f>
        <v/>
      </c>
      <c r="P2344" s="57" t="str">
        <f aca="false">IF($O2344="","",SUMIFS($O$6:$O$2405,$A$6:$A$2405,"&lt;="&amp;$A2344))</f>
        <v/>
      </c>
      <c r="Q2344" s="57" t="str">
        <f aca="false">IF($O2344="","",IF($P2344&lt;=BankCostEnvelope*'5. Scenarios'!$D$7,1,0))</f>
        <v/>
      </c>
      <c r="R2344" s="57" t="str">
        <f aca="false">IF($N2344="","",INDEX(BookRate,2339)*(1+'5. Scenarios'!$D$10)*(INDEX(BookQ1,2339)*(5-MIN(4,1+'5. Scenarios'!$D$8))/4+INDEX(BookQ2,2339)*(5-MIN(4,2+'5. Scenarios'!$D$8))/4+INDEX(BookQ3,2339)*(5-MIN(4,3+'5. Scenarios'!$D$8))/4+INDEX(BookQ4,2339)*(5-MIN(4,4+'5. Scenarios'!$D$8))/4)*'5. Scenarios'!$D$6/(1+ProductivityDefault*('5. Scenarios'!$D$11-1))+INDEX(BookOneOff,2339)*$N2344)</f>
        <v/>
      </c>
      <c r="S2344" s="56" t="str">
        <f aca="false">IF(INDEX(BookTitle,2339)="","",INDEX(BookTotal,2339)*'5. Scenarios'!$E$6/(1+ProductivityDefault*('5. Scenarios'!$E$11-1)))</f>
        <v/>
      </c>
      <c r="T2344" s="57" t="str">
        <f aca="false">IF($S2344="","",INDEX(BookRate,2339)*(1+'5. Scenarios'!$E$10)*$S2344)</f>
        <v/>
      </c>
      <c r="U2344" s="57" t="str">
        <f aca="false">IF($T2344="","",SUMIFS($T$6:$T$2405,$A$6:$A$2405,"&lt;="&amp;$A2344))</f>
        <v/>
      </c>
      <c r="V2344" s="57" t="str">
        <f aca="false">IF($T2344="","",IF($U2344&lt;=BankCostEnvelope*'5. Scenarios'!$E$7,1,0))</f>
        <v/>
      </c>
      <c r="W2344" s="57" t="str">
        <f aca="false">IF($S2344="","",INDEX(BookRate,2339)*(1+'5. Scenarios'!$E$10)*(INDEX(BookQ1,2339)*(5-MIN(4,1+'5. Scenarios'!$E$8))/4+INDEX(BookQ2,2339)*(5-MIN(4,2+'5. Scenarios'!$E$8))/4+INDEX(BookQ3,2339)*(5-MIN(4,3+'5. Scenarios'!$E$8))/4+INDEX(BookQ4,2339)*(5-MIN(4,4+'5. Scenarios'!$E$8))/4)*'5. Scenarios'!$E$6/(1+ProductivityDefault*('5. Scenarios'!$E$11-1))+INDEX(BookOneOff,2339)*$S2344)</f>
        <v/>
      </c>
    </row>
    <row r="2345" customFormat="false" ht="15" hidden="false" customHeight="false" outlineLevel="0" collapsed="false">
      <c r="A2345" s="0" t="str">
        <f aca="false">IF(INDEX(BookTitle,2340)="","",INDEX(BookKey,2340))</f>
        <v/>
      </c>
      <c r="B2345" s="0" t="str">
        <f aca="false">IF(INDEX(BookTitle,2340)="","",INDEX(BookGroup,2340))</f>
        <v/>
      </c>
      <c r="C2345" s="0" t="str">
        <f aca="false">IF(INDEX(BookTitle,2340)="","",INDEX(BookCategory,2340))</f>
        <v/>
      </c>
      <c r="D2345" s="56" t="str">
        <f aca="false">IF(INDEX(BookTitle,2340)="","",INDEX(BookTotal,2340)*'5. Scenarios'!$B$6/(1+ProductivityDefault*('5. Scenarios'!$B$11-1)))</f>
        <v/>
      </c>
      <c r="E2345" s="57" t="str">
        <f aca="false">IF($D2345="","",INDEX(BookRate,2340)*(1+'5. Scenarios'!$B$10)*$D2345)</f>
        <v/>
      </c>
      <c r="F2345" s="57" t="str">
        <f aca="false">IF($E2345="","",SUMIFS($E$6:$E$2405,$A$6:$A$2405,"&lt;="&amp;$A2345))</f>
        <v/>
      </c>
      <c r="G2345" s="57" t="str">
        <f aca="false">IF($E2345="","",IF($F2345&lt;=BankCostEnvelope*'5. Scenarios'!$B$7,1,0))</f>
        <v/>
      </c>
      <c r="H2345" s="57" t="str">
        <f aca="false">IF($D2345="","",INDEX(BookRate,2340)*(1+'5. Scenarios'!$B$10)*(INDEX(BookQ1,2340)*(5-MIN(4,1+'5. Scenarios'!$B$8))/4+INDEX(BookQ2,2340)*(5-MIN(4,2+'5. Scenarios'!$B$8))/4+INDEX(BookQ3,2340)*(5-MIN(4,3+'5. Scenarios'!$B$8))/4+INDEX(BookQ4,2340)*(5-MIN(4,4+'5. Scenarios'!$B$8))/4)*'5. Scenarios'!$B$6/(1+ProductivityDefault*('5. Scenarios'!$B$11-1))+INDEX(BookOneOff,2340)*$D2345)</f>
        <v/>
      </c>
      <c r="I2345" s="56" t="str">
        <f aca="false">IF(INDEX(BookTitle,2340)="","",INDEX(BookTotal,2340)*'5. Scenarios'!$C$6/(1+ProductivityDefault*('5. Scenarios'!$C$11-1)))</f>
        <v/>
      </c>
      <c r="J2345" s="57" t="str">
        <f aca="false">IF($I2345="","",INDEX(BookRate,2340)*(1+'5. Scenarios'!$C$10)*$I2345)</f>
        <v/>
      </c>
      <c r="K2345" s="57" t="str">
        <f aca="false">IF($J2345="","",SUMIFS($J$6:$J$2405,$A$6:$A$2405,"&lt;="&amp;$A2345))</f>
        <v/>
      </c>
      <c r="L2345" s="57" t="str">
        <f aca="false">IF($J2345="","",IF($K2345&lt;=BankCostEnvelope*'5. Scenarios'!$C$7,1,0))</f>
        <v/>
      </c>
      <c r="M2345" s="57" t="str">
        <f aca="false">IF($I2345="","",INDEX(BookRate,2340)*(1+'5. Scenarios'!$C$10)*(INDEX(BookQ1,2340)*(5-MIN(4,1+'5. Scenarios'!$C$8))/4+INDEX(BookQ2,2340)*(5-MIN(4,2+'5. Scenarios'!$C$8))/4+INDEX(BookQ3,2340)*(5-MIN(4,3+'5. Scenarios'!$C$8))/4+INDEX(BookQ4,2340)*(5-MIN(4,4+'5. Scenarios'!$C$8))/4)*'5. Scenarios'!$C$6/(1+ProductivityDefault*('5. Scenarios'!$C$11-1))+INDEX(BookOneOff,2340)*$I2345)</f>
        <v/>
      </c>
      <c r="N2345" s="56" t="str">
        <f aca="false">IF(INDEX(BookTitle,2340)="","",INDEX(BookTotal,2340)*'5. Scenarios'!$D$6/(1+ProductivityDefault*('5. Scenarios'!$D$11-1)))</f>
        <v/>
      </c>
      <c r="O2345" s="57" t="str">
        <f aca="false">IF($N2345="","",INDEX(BookRate,2340)*(1+'5. Scenarios'!$D$10)*$N2345)</f>
        <v/>
      </c>
      <c r="P2345" s="57" t="str">
        <f aca="false">IF($O2345="","",SUMIFS($O$6:$O$2405,$A$6:$A$2405,"&lt;="&amp;$A2345))</f>
        <v/>
      </c>
      <c r="Q2345" s="57" t="str">
        <f aca="false">IF($O2345="","",IF($P2345&lt;=BankCostEnvelope*'5. Scenarios'!$D$7,1,0))</f>
        <v/>
      </c>
      <c r="R2345" s="57" t="str">
        <f aca="false">IF($N2345="","",INDEX(BookRate,2340)*(1+'5. Scenarios'!$D$10)*(INDEX(BookQ1,2340)*(5-MIN(4,1+'5. Scenarios'!$D$8))/4+INDEX(BookQ2,2340)*(5-MIN(4,2+'5. Scenarios'!$D$8))/4+INDEX(BookQ3,2340)*(5-MIN(4,3+'5. Scenarios'!$D$8))/4+INDEX(BookQ4,2340)*(5-MIN(4,4+'5. Scenarios'!$D$8))/4)*'5. Scenarios'!$D$6/(1+ProductivityDefault*('5. Scenarios'!$D$11-1))+INDEX(BookOneOff,2340)*$N2345)</f>
        <v/>
      </c>
      <c r="S2345" s="56" t="str">
        <f aca="false">IF(INDEX(BookTitle,2340)="","",INDEX(BookTotal,2340)*'5. Scenarios'!$E$6/(1+ProductivityDefault*('5. Scenarios'!$E$11-1)))</f>
        <v/>
      </c>
      <c r="T2345" s="57" t="str">
        <f aca="false">IF($S2345="","",INDEX(BookRate,2340)*(1+'5. Scenarios'!$E$10)*$S2345)</f>
        <v/>
      </c>
      <c r="U2345" s="57" t="str">
        <f aca="false">IF($T2345="","",SUMIFS($T$6:$T$2405,$A$6:$A$2405,"&lt;="&amp;$A2345))</f>
        <v/>
      </c>
      <c r="V2345" s="57" t="str">
        <f aca="false">IF($T2345="","",IF($U2345&lt;=BankCostEnvelope*'5. Scenarios'!$E$7,1,0))</f>
        <v/>
      </c>
      <c r="W2345" s="57" t="str">
        <f aca="false">IF($S2345="","",INDEX(BookRate,2340)*(1+'5. Scenarios'!$E$10)*(INDEX(BookQ1,2340)*(5-MIN(4,1+'5. Scenarios'!$E$8))/4+INDEX(BookQ2,2340)*(5-MIN(4,2+'5. Scenarios'!$E$8))/4+INDEX(BookQ3,2340)*(5-MIN(4,3+'5. Scenarios'!$E$8))/4+INDEX(BookQ4,2340)*(5-MIN(4,4+'5. Scenarios'!$E$8))/4)*'5. Scenarios'!$E$6/(1+ProductivityDefault*('5. Scenarios'!$E$11-1))+INDEX(BookOneOff,2340)*$S2345)</f>
        <v/>
      </c>
    </row>
    <row r="2346" customFormat="false" ht="15" hidden="false" customHeight="false" outlineLevel="0" collapsed="false">
      <c r="A2346" s="0" t="str">
        <f aca="false">IF(INDEX(BookTitle,2341)="","",INDEX(BookKey,2341))</f>
        <v/>
      </c>
      <c r="B2346" s="0" t="str">
        <f aca="false">IF(INDEX(BookTitle,2341)="","",INDEX(BookGroup,2341))</f>
        <v/>
      </c>
      <c r="C2346" s="0" t="str">
        <f aca="false">IF(INDEX(BookTitle,2341)="","",INDEX(BookCategory,2341))</f>
        <v/>
      </c>
      <c r="D2346" s="56" t="str">
        <f aca="false">IF(INDEX(BookTitle,2341)="","",INDEX(BookTotal,2341)*'5. Scenarios'!$B$6/(1+ProductivityDefault*('5. Scenarios'!$B$11-1)))</f>
        <v/>
      </c>
      <c r="E2346" s="57" t="str">
        <f aca="false">IF($D2346="","",INDEX(BookRate,2341)*(1+'5. Scenarios'!$B$10)*$D2346)</f>
        <v/>
      </c>
      <c r="F2346" s="57" t="str">
        <f aca="false">IF($E2346="","",SUMIFS($E$6:$E$2405,$A$6:$A$2405,"&lt;="&amp;$A2346))</f>
        <v/>
      </c>
      <c r="G2346" s="57" t="str">
        <f aca="false">IF($E2346="","",IF($F2346&lt;=BankCostEnvelope*'5. Scenarios'!$B$7,1,0))</f>
        <v/>
      </c>
      <c r="H2346" s="57" t="str">
        <f aca="false">IF($D2346="","",INDEX(BookRate,2341)*(1+'5. Scenarios'!$B$10)*(INDEX(BookQ1,2341)*(5-MIN(4,1+'5. Scenarios'!$B$8))/4+INDEX(BookQ2,2341)*(5-MIN(4,2+'5. Scenarios'!$B$8))/4+INDEX(BookQ3,2341)*(5-MIN(4,3+'5. Scenarios'!$B$8))/4+INDEX(BookQ4,2341)*(5-MIN(4,4+'5. Scenarios'!$B$8))/4)*'5. Scenarios'!$B$6/(1+ProductivityDefault*('5. Scenarios'!$B$11-1))+INDEX(BookOneOff,2341)*$D2346)</f>
        <v/>
      </c>
      <c r="I2346" s="56" t="str">
        <f aca="false">IF(INDEX(BookTitle,2341)="","",INDEX(BookTotal,2341)*'5. Scenarios'!$C$6/(1+ProductivityDefault*('5. Scenarios'!$C$11-1)))</f>
        <v/>
      </c>
      <c r="J2346" s="57" t="str">
        <f aca="false">IF($I2346="","",INDEX(BookRate,2341)*(1+'5. Scenarios'!$C$10)*$I2346)</f>
        <v/>
      </c>
      <c r="K2346" s="57" t="str">
        <f aca="false">IF($J2346="","",SUMIFS($J$6:$J$2405,$A$6:$A$2405,"&lt;="&amp;$A2346))</f>
        <v/>
      </c>
      <c r="L2346" s="57" t="str">
        <f aca="false">IF($J2346="","",IF($K2346&lt;=BankCostEnvelope*'5. Scenarios'!$C$7,1,0))</f>
        <v/>
      </c>
      <c r="M2346" s="57" t="str">
        <f aca="false">IF($I2346="","",INDEX(BookRate,2341)*(1+'5. Scenarios'!$C$10)*(INDEX(BookQ1,2341)*(5-MIN(4,1+'5. Scenarios'!$C$8))/4+INDEX(BookQ2,2341)*(5-MIN(4,2+'5. Scenarios'!$C$8))/4+INDEX(BookQ3,2341)*(5-MIN(4,3+'5. Scenarios'!$C$8))/4+INDEX(BookQ4,2341)*(5-MIN(4,4+'5. Scenarios'!$C$8))/4)*'5. Scenarios'!$C$6/(1+ProductivityDefault*('5. Scenarios'!$C$11-1))+INDEX(BookOneOff,2341)*$I2346)</f>
        <v/>
      </c>
      <c r="N2346" s="56" t="str">
        <f aca="false">IF(INDEX(BookTitle,2341)="","",INDEX(BookTotal,2341)*'5. Scenarios'!$D$6/(1+ProductivityDefault*('5. Scenarios'!$D$11-1)))</f>
        <v/>
      </c>
      <c r="O2346" s="57" t="str">
        <f aca="false">IF($N2346="","",INDEX(BookRate,2341)*(1+'5. Scenarios'!$D$10)*$N2346)</f>
        <v/>
      </c>
      <c r="P2346" s="57" t="str">
        <f aca="false">IF($O2346="","",SUMIFS($O$6:$O$2405,$A$6:$A$2405,"&lt;="&amp;$A2346))</f>
        <v/>
      </c>
      <c r="Q2346" s="57" t="str">
        <f aca="false">IF($O2346="","",IF($P2346&lt;=BankCostEnvelope*'5. Scenarios'!$D$7,1,0))</f>
        <v/>
      </c>
      <c r="R2346" s="57" t="str">
        <f aca="false">IF($N2346="","",INDEX(BookRate,2341)*(1+'5. Scenarios'!$D$10)*(INDEX(BookQ1,2341)*(5-MIN(4,1+'5. Scenarios'!$D$8))/4+INDEX(BookQ2,2341)*(5-MIN(4,2+'5. Scenarios'!$D$8))/4+INDEX(BookQ3,2341)*(5-MIN(4,3+'5. Scenarios'!$D$8))/4+INDEX(BookQ4,2341)*(5-MIN(4,4+'5. Scenarios'!$D$8))/4)*'5. Scenarios'!$D$6/(1+ProductivityDefault*('5. Scenarios'!$D$11-1))+INDEX(BookOneOff,2341)*$N2346)</f>
        <v/>
      </c>
      <c r="S2346" s="56" t="str">
        <f aca="false">IF(INDEX(BookTitle,2341)="","",INDEX(BookTotal,2341)*'5. Scenarios'!$E$6/(1+ProductivityDefault*('5. Scenarios'!$E$11-1)))</f>
        <v/>
      </c>
      <c r="T2346" s="57" t="str">
        <f aca="false">IF($S2346="","",INDEX(BookRate,2341)*(1+'5. Scenarios'!$E$10)*$S2346)</f>
        <v/>
      </c>
      <c r="U2346" s="57" t="str">
        <f aca="false">IF($T2346="","",SUMIFS($T$6:$T$2405,$A$6:$A$2405,"&lt;="&amp;$A2346))</f>
        <v/>
      </c>
      <c r="V2346" s="57" t="str">
        <f aca="false">IF($T2346="","",IF($U2346&lt;=BankCostEnvelope*'5. Scenarios'!$E$7,1,0))</f>
        <v/>
      </c>
      <c r="W2346" s="57" t="str">
        <f aca="false">IF($S2346="","",INDEX(BookRate,2341)*(1+'5. Scenarios'!$E$10)*(INDEX(BookQ1,2341)*(5-MIN(4,1+'5. Scenarios'!$E$8))/4+INDEX(BookQ2,2341)*(5-MIN(4,2+'5. Scenarios'!$E$8))/4+INDEX(BookQ3,2341)*(5-MIN(4,3+'5. Scenarios'!$E$8))/4+INDEX(BookQ4,2341)*(5-MIN(4,4+'5. Scenarios'!$E$8))/4)*'5. Scenarios'!$E$6/(1+ProductivityDefault*('5. Scenarios'!$E$11-1))+INDEX(BookOneOff,2341)*$S2346)</f>
        <v/>
      </c>
    </row>
    <row r="2347" customFormat="false" ht="15" hidden="false" customHeight="false" outlineLevel="0" collapsed="false">
      <c r="A2347" s="0" t="str">
        <f aca="false">IF(INDEX(BookTitle,2342)="","",INDEX(BookKey,2342))</f>
        <v/>
      </c>
      <c r="B2347" s="0" t="str">
        <f aca="false">IF(INDEX(BookTitle,2342)="","",INDEX(BookGroup,2342))</f>
        <v/>
      </c>
      <c r="C2347" s="0" t="str">
        <f aca="false">IF(INDEX(BookTitle,2342)="","",INDEX(BookCategory,2342))</f>
        <v/>
      </c>
      <c r="D2347" s="56" t="str">
        <f aca="false">IF(INDEX(BookTitle,2342)="","",INDEX(BookTotal,2342)*'5. Scenarios'!$B$6/(1+ProductivityDefault*('5. Scenarios'!$B$11-1)))</f>
        <v/>
      </c>
      <c r="E2347" s="57" t="str">
        <f aca="false">IF($D2347="","",INDEX(BookRate,2342)*(1+'5. Scenarios'!$B$10)*$D2347)</f>
        <v/>
      </c>
      <c r="F2347" s="57" t="str">
        <f aca="false">IF($E2347="","",SUMIFS($E$6:$E$2405,$A$6:$A$2405,"&lt;="&amp;$A2347))</f>
        <v/>
      </c>
      <c r="G2347" s="57" t="str">
        <f aca="false">IF($E2347="","",IF($F2347&lt;=BankCostEnvelope*'5. Scenarios'!$B$7,1,0))</f>
        <v/>
      </c>
      <c r="H2347" s="57" t="str">
        <f aca="false">IF($D2347="","",INDEX(BookRate,2342)*(1+'5. Scenarios'!$B$10)*(INDEX(BookQ1,2342)*(5-MIN(4,1+'5. Scenarios'!$B$8))/4+INDEX(BookQ2,2342)*(5-MIN(4,2+'5. Scenarios'!$B$8))/4+INDEX(BookQ3,2342)*(5-MIN(4,3+'5. Scenarios'!$B$8))/4+INDEX(BookQ4,2342)*(5-MIN(4,4+'5. Scenarios'!$B$8))/4)*'5. Scenarios'!$B$6/(1+ProductivityDefault*('5. Scenarios'!$B$11-1))+INDEX(BookOneOff,2342)*$D2347)</f>
        <v/>
      </c>
      <c r="I2347" s="56" t="str">
        <f aca="false">IF(INDEX(BookTitle,2342)="","",INDEX(BookTotal,2342)*'5. Scenarios'!$C$6/(1+ProductivityDefault*('5. Scenarios'!$C$11-1)))</f>
        <v/>
      </c>
      <c r="J2347" s="57" t="str">
        <f aca="false">IF($I2347="","",INDEX(BookRate,2342)*(1+'5. Scenarios'!$C$10)*$I2347)</f>
        <v/>
      </c>
      <c r="K2347" s="57" t="str">
        <f aca="false">IF($J2347="","",SUMIFS($J$6:$J$2405,$A$6:$A$2405,"&lt;="&amp;$A2347))</f>
        <v/>
      </c>
      <c r="L2347" s="57" t="str">
        <f aca="false">IF($J2347="","",IF($K2347&lt;=BankCostEnvelope*'5. Scenarios'!$C$7,1,0))</f>
        <v/>
      </c>
      <c r="M2347" s="57" t="str">
        <f aca="false">IF($I2347="","",INDEX(BookRate,2342)*(1+'5. Scenarios'!$C$10)*(INDEX(BookQ1,2342)*(5-MIN(4,1+'5. Scenarios'!$C$8))/4+INDEX(BookQ2,2342)*(5-MIN(4,2+'5. Scenarios'!$C$8))/4+INDEX(BookQ3,2342)*(5-MIN(4,3+'5. Scenarios'!$C$8))/4+INDEX(BookQ4,2342)*(5-MIN(4,4+'5. Scenarios'!$C$8))/4)*'5. Scenarios'!$C$6/(1+ProductivityDefault*('5. Scenarios'!$C$11-1))+INDEX(BookOneOff,2342)*$I2347)</f>
        <v/>
      </c>
      <c r="N2347" s="56" t="str">
        <f aca="false">IF(INDEX(BookTitle,2342)="","",INDEX(BookTotal,2342)*'5. Scenarios'!$D$6/(1+ProductivityDefault*('5. Scenarios'!$D$11-1)))</f>
        <v/>
      </c>
      <c r="O2347" s="57" t="str">
        <f aca="false">IF($N2347="","",INDEX(BookRate,2342)*(1+'5. Scenarios'!$D$10)*$N2347)</f>
        <v/>
      </c>
      <c r="P2347" s="57" t="str">
        <f aca="false">IF($O2347="","",SUMIFS($O$6:$O$2405,$A$6:$A$2405,"&lt;="&amp;$A2347))</f>
        <v/>
      </c>
      <c r="Q2347" s="57" t="str">
        <f aca="false">IF($O2347="","",IF($P2347&lt;=BankCostEnvelope*'5. Scenarios'!$D$7,1,0))</f>
        <v/>
      </c>
      <c r="R2347" s="57" t="str">
        <f aca="false">IF($N2347="","",INDEX(BookRate,2342)*(1+'5. Scenarios'!$D$10)*(INDEX(BookQ1,2342)*(5-MIN(4,1+'5. Scenarios'!$D$8))/4+INDEX(BookQ2,2342)*(5-MIN(4,2+'5. Scenarios'!$D$8))/4+INDEX(BookQ3,2342)*(5-MIN(4,3+'5. Scenarios'!$D$8))/4+INDEX(BookQ4,2342)*(5-MIN(4,4+'5. Scenarios'!$D$8))/4)*'5. Scenarios'!$D$6/(1+ProductivityDefault*('5. Scenarios'!$D$11-1))+INDEX(BookOneOff,2342)*$N2347)</f>
        <v/>
      </c>
      <c r="S2347" s="56" t="str">
        <f aca="false">IF(INDEX(BookTitle,2342)="","",INDEX(BookTotal,2342)*'5. Scenarios'!$E$6/(1+ProductivityDefault*('5. Scenarios'!$E$11-1)))</f>
        <v/>
      </c>
      <c r="T2347" s="57" t="str">
        <f aca="false">IF($S2347="","",INDEX(BookRate,2342)*(1+'5. Scenarios'!$E$10)*$S2347)</f>
        <v/>
      </c>
      <c r="U2347" s="57" t="str">
        <f aca="false">IF($T2347="","",SUMIFS($T$6:$T$2405,$A$6:$A$2405,"&lt;="&amp;$A2347))</f>
        <v/>
      </c>
      <c r="V2347" s="57" t="str">
        <f aca="false">IF($T2347="","",IF($U2347&lt;=BankCostEnvelope*'5. Scenarios'!$E$7,1,0))</f>
        <v/>
      </c>
      <c r="W2347" s="57" t="str">
        <f aca="false">IF($S2347="","",INDEX(BookRate,2342)*(1+'5. Scenarios'!$E$10)*(INDEX(BookQ1,2342)*(5-MIN(4,1+'5. Scenarios'!$E$8))/4+INDEX(BookQ2,2342)*(5-MIN(4,2+'5. Scenarios'!$E$8))/4+INDEX(BookQ3,2342)*(5-MIN(4,3+'5. Scenarios'!$E$8))/4+INDEX(BookQ4,2342)*(5-MIN(4,4+'5. Scenarios'!$E$8))/4)*'5. Scenarios'!$E$6/(1+ProductivityDefault*('5. Scenarios'!$E$11-1))+INDEX(BookOneOff,2342)*$S2347)</f>
        <v/>
      </c>
    </row>
    <row r="2348" customFormat="false" ht="15" hidden="false" customHeight="false" outlineLevel="0" collapsed="false">
      <c r="A2348" s="0" t="str">
        <f aca="false">IF(INDEX(BookTitle,2343)="","",INDEX(BookKey,2343))</f>
        <v/>
      </c>
      <c r="B2348" s="0" t="str">
        <f aca="false">IF(INDEX(BookTitle,2343)="","",INDEX(BookGroup,2343))</f>
        <v/>
      </c>
      <c r="C2348" s="0" t="str">
        <f aca="false">IF(INDEX(BookTitle,2343)="","",INDEX(BookCategory,2343))</f>
        <v/>
      </c>
      <c r="D2348" s="56" t="str">
        <f aca="false">IF(INDEX(BookTitle,2343)="","",INDEX(BookTotal,2343)*'5. Scenarios'!$B$6/(1+ProductivityDefault*('5. Scenarios'!$B$11-1)))</f>
        <v/>
      </c>
      <c r="E2348" s="57" t="str">
        <f aca="false">IF($D2348="","",INDEX(BookRate,2343)*(1+'5. Scenarios'!$B$10)*$D2348)</f>
        <v/>
      </c>
      <c r="F2348" s="57" t="str">
        <f aca="false">IF($E2348="","",SUMIFS($E$6:$E$2405,$A$6:$A$2405,"&lt;="&amp;$A2348))</f>
        <v/>
      </c>
      <c r="G2348" s="57" t="str">
        <f aca="false">IF($E2348="","",IF($F2348&lt;=BankCostEnvelope*'5. Scenarios'!$B$7,1,0))</f>
        <v/>
      </c>
      <c r="H2348" s="57" t="str">
        <f aca="false">IF($D2348="","",INDEX(BookRate,2343)*(1+'5. Scenarios'!$B$10)*(INDEX(BookQ1,2343)*(5-MIN(4,1+'5. Scenarios'!$B$8))/4+INDEX(BookQ2,2343)*(5-MIN(4,2+'5. Scenarios'!$B$8))/4+INDEX(BookQ3,2343)*(5-MIN(4,3+'5. Scenarios'!$B$8))/4+INDEX(BookQ4,2343)*(5-MIN(4,4+'5. Scenarios'!$B$8))/4)*'5. Scenarios'!$B$6/(1+ProductivityDefault*('5. Scenarios'!$B$11-1))+INDEX(BookOneOff,2343)*$D2348)</f>
        <v/>
      </c>
      <c r="I2348" s="56" t="str">
        <f aca="false">IF(INDEX(BookTitle,2343)="","",INDEX(BookTotal,2343)*'5. Scenarios'!$C$6/(1+ProductivityDefault*('5. Scenarios'!$C$11-1)))</f>
        <v/>
      </c>
      <c r="J2348" s="57" t="str">
        <f aca="false">IF($I2348="","",INDEX(BookRate,2343)*(1+'5. Scenarios'!$C$10)*$I2348)</f>
        <v/>
      </c>
      <c r="K2348" s="57" t="str">
        <f aca="false">IF($J2348="","",SUMIFS($J$6:$J$2405,$A$6:$A$2405,"&lt;="&amp;$A2348))</f>
        <v/>
      </c>
      <c r="L2348" s="57" t="str">
        <f aca="false">IF($J2348="","",IF($K2348&lt;=BankCostEnvelope*'5. Scenarios'!$C$7,1,0))</f>
        <v/>
      </c>
      <c r="M2348" s="57" t="str">
        <f aca="false">IF($I2348="","",INDEX(BookRate,2343)*(1+'5. Scenarios'!$C$10)*(INDEX(BookQ1,2343)*(5-MIN(4,1+'5. Scenarios'!$C$8))/4+INDEX(BookQ2,2343)*(5-MIN(4,2+'5. Scenarios'!$C$8))/4+INDEX(BookQ3,2343)*(5-MIN(4,3+'5. Scenarios'!$C$8))/4+INDEX(BookQ4,2343)*(5-MIN(4,4+'5. Scenarios'!$C$8))/4)*'5. Scenarios'!$C$6/(1+ProductivityDefault*('5. Scenarios'!$C$11-1))+INDEX(BookOneOff,2343)*$I2348)</f>
        <v/>
      </c>
      <c r="N2348" s="56" t="str">
        <f aca="false">IF(INDEX(BookTitle,2343)="","",INDEX(BookTotal,2343)*'5. Scenarios'!$D$6/(1+ProductivityDefault*('5. Scenarios'!$D$11-1)))</f>
        <v/>
      </c>
      <c r="O2348" s="57" t="str">
        <f aca="false">IF($N2348="","",INDEX(BookRate,2343)*(1+'5. Scenarios'!$D$10)*$N2348)</f>
        <v/>
      </c>
      <c r="P2348" s="57" t="str">
        <f aca="false">IF($O2348="","",SUMIFS($O$6:$O$2405,$A$6:$A$2405,"&lt;="&amp;$A2348))</f>
        <v/>
      </c>
      <c r="Q2348" s="57" t="str">
        <f aca="false">IF($O2348="","",IF($P2348&lt;=BankCostEnvelope*'5. Scenarios'!$D$7,1,0))</f>
        <v/>
      </c>
      <c r="R2348" s="57" t="str">
        <f aca="false">IF($N2348="","",INDEX(BookRate,2343)*(1+'5. Scenarios'!$D$10)*(INDEX(BookQ1,2343)*(5-MIN(4,1+'5. Scenarios'!$D$8))/4+INDEX(BookQ2,2343)*(5-MIN(4,2+'5. Scenarios'!$D$8))/4+INDEX(BookQ3,2343)*(5-MIN(4,3+'5. Scenarios'!$D$8))/4+INDEX(BookQ4,2343)*(5-MIN(4,4+'5. Scenarios'!$D$8))/4)*'5. Scenarios'!$D$6/(1+ProductivityDefault*('5. Scenarios'!$D$11-1))+INDEX(BookOneOff,2343)*$N2348)</f>
        <v/>
      </c>
      <c r="S2348" s="56" t="str">
        <f aca="false">IF(INDEX(BookTitle,2343)="","",INDEX(BookTotal,2343)*'5. Scenarios'!$E$6/(1+ProductivityDefault*('5. Scenarios'!$E$11-1)))</f>
        <v/>
      </c>
      <c r="T2348" s="57" t="str">
        <f aca="false">IF($S2348="","",INDEX(BookRate,2343)*(1+'5. Scenarios'!$E$10)*$S2348)</f>
        <v/>
      </c>
      <c r="U2348" s="57" t="str">
        <f aca="false">IF($T2348="","",SUMIFS($T$6:$T$2405,$A$6:$A$2405,"&lt;="&amp;$A2348))</f>
        <v/>
      </c>
      <c r="V2348" s="57" t="str">
        <f aca="false">IF($T2348="","",IF($U2348&lt;=BankCostEnvelope*'5. Scenarios'!$E$7,1,0))</f>
        <v/>
      </c>
      <c r="W2348" s="57" t="str">
        <f aca="false">IF($S2348="","",INDEX(BookRate,2343)*(1+'5. Scenarios'!$E$10)*(INDEX(BookQ1,2343)*(5-MIN(4,1+'5. Scenarios'!$E$8))/4+INDEX(BookQ2,2343)*(5-MIN(4,2+'5. Scenarios'!$E$8))/4+INDEX(BookQ3,2343)*(5-MIN(4,3+'5. Scenarios'!$E$8))/4+INDEX(BookQ4,2343)*(5-MIN(4,4+'5. Scenarios'!$E$8))/4)*'5. Scenarios'!$E$6/(1+ProductivityDefault*('5. Scenarios'!$E$11-1))+INDEX(BookOneOff,2343)*$S2348)</f>
        <v/>
      </c>
    </row>
    <row r="2349" customFormat="false" ht="15" hidden="false" customHeight="false" outlineLevel="0" collapsed="false">
      <c r="A2349" s="0" t="str">
        <f aca="false">IF(INDEX(BookTitle,2344)="","",INDEX(BookKey,2344))</f>
        <v/>
      </c>
      <c r="B2349" s="0" t="str">
        <f aca="false">IF(INDEX(BookTitle,2344)="","",INDEX(BookGroup,2344))</f>
        <v/>
      </c>
      <c r="C2349" s="0" t="str">
        <f aca="false">IF(INDEX(BookTitle,2344)="","",INDEX(BookCategory,2344))</f>
        <v/>
      </c>
      <c r="D2349" s="56" t="str">
        <f aca="false">IF(INDEX(BookTitle,2344)="","",INDEX(BookTotal,2344)*'5. Scenarios'!$B$6/(1+ProductivityDefault*('5. Scenarios'!$B$11-1)))</f>
        <v/>
      </c>
      <c r="E2349" s="57" t="str">
        <f aca="false">IF($D2349="","",INDEX(BookRate,2344)*(1+'5. Scenarios'!$B$10)*$D2349)</f>
        <v/>
      </c>
      <c r="F2349" s="57" t="str">
        <f aca="false">IF($E2349="","",SUMIFS($E$6:$E$2405,$A$6:$A$2405,"&lt;="&amp;$A2349))</f>
        <v/>
      </c>
      <c r="G2349" s="57" t="str">
        <f aca="false">IF($E2349="","",IF($F2349&lt;=BankCostEnvelope*'5. Scenarios'!$B$7,1,0))</f>
        <v/>
      </c>
      <c r="H2349" s="57" t="str">
        <f aca="false">IF($D2349="","",INDEX(BookRate,2344)*(1+'5. Scenarios'!$B$10)*(INDEX(BookQ1,2344)*(5-MIN(4,1+'5. Scenarios'!$B$8))/4+INDEX(BookQ2,2344)*(5-MIN(4,2+'5. Scenarios'!$B$8))/4+INDEX(BookQ3,2344)*(5-MIN(4,3+'5. Scenarios'!$B$8))/4+INDEX(BookQ4,2344)*(5-MIN(4,4+'5. Scenarios'!$B$8))/4)*'5. Scenarios'!$B$6/(1+ProductivityDefault*('5. Scenarios'!$B$11-1))+INDEX(BookOneOff,2344)*$D2349)</f>
        <v/>
      </c>
      <c r="I2349" s="56" t="str">
        <f aca="false">IF(INDEX(BookTitle,2344)="","",INDEX(BookTotal,2344)*'5. Scenarios'!$C$6/(1+ProductivityDefault*('5. Scenarios'!$C$11-1)))</f>
        <v/>
      </c>
      <c r="J2349" s="57" t="str">
        <f aca="false">IF($I2349="","",INDEX(BookRate,2344)*(1+'5. Scenarios'!$C$10)*$I2349)</f>
        <v/>
      </c>
      <c r="K2349" s="57" t="str">
        <f aca="false">IF($J2349="","",SUMIFS($J$6:$J$2405,$A$6:$A$2405,"&lt;="&amp;$A2349))</f>
        <v/>
      </c>
      <c r="L2349" s="57" t="str">
        <f aca="false">IF($J2349="","",IF($K2349&lt;=BankCostEnvelope*'5. Scenarios'!$C$7,1,0))</f>
        <v/>
      </c>
      <c r="M2349" s="57" t="str">
        <f aca="false">IF($I2349="","",INDEX(BookRate,2344)*(1+'5. Scenarios'!$C$10)*(INDEX(BookQ1,2344)*(5-MIN(4,1+'5. Scenarios'!$C$8))/4+INDEX(BookQ2,2344)*(5-MIN(4,2+'5. Scenarios'!$C$8))/4+INDEX(BookQ3,2344)*(5-MIN(4,3+'5. Scenarios'!$C$8))/4+INDEX(BookQ4,2344)*(5-MIN(4,4+'5. Scenarios'!$C$8))/4)*'5. Scenarios'!$C$6/(1+ProductivityDefault*('5. Scenarios'!$C$11-1))+INDEX(BookOneOff,2344)*$I2349)</f>
        <v/>
      </c>
      <c r="N2349" s="56" t="str">
        <f aca="false">IF(INDEX(BookTitle,2344)="","",INDEX(BookTotal,2344)*'5. Scenarios'!$D$6/(1+ProductivityDefault*('5. Scenarios'!$D$11-1)))</f>
        <v/>
      </c>
      <c r="O2349" s="57" t="str">
        <f aca="false">IF($N2349="","",INDEX(BookRate,2344)*(1+'5. Scenarios'!$D$10)*$N2349)</f>
        <v/>
      </c>
      <c r="P2349" s="57" t="str">
        <f aca="false">IF($O2349="","",SUMIFS($O$6:$O$2405,$A$6:$A$2405,"&lt;="&amp;$A2349))</f>
        <v/>
      </c>
      <c r="Q2349" s="57" t="str">
        <f aca="false">IF($O2349="","",IF($P2349&lt;=BankCostEnvelope*'5. Scenarios'!$D$7,1,0))</f>
        <v/>
      </c>
      <c r="R2349" s="57" t="str">
        <f aca="false">IF($N2349="","",INDEX(BookRate,2344)*(1+'5. Scenarios'!$D$10)*(INDEX(BookQ1,2344)*(5-MIN(4,1+'5. Scenarios'!$D$8))/4+INDEX(BookQ2,2344)*(5-MIN(4,2+'5. Scenarios'!$D$8))/4+INDEX(BookQ3,2344)*(5-MIN(4,3+'5. Scenarios'!$D$8))/4+INDEX(BookQ4,2344)*(5-MIN(4,4+'5. Scenarios'!$D$8))/4)*'5. Scenarios'!$D$6/(1+ProductivityDefault*('5. Scenarios'!$D$11-1))+INDEX(BookOneOff,2344)*$N2349)</f>
        <v/>
      </c>
      <c r="S2349" s="56" t="str">
        <f aca="false">IF(INDEX(BookTitle,2344)="","",INDEX(BookTotal,2344)*'5. Scenarios'!$E$6/(1+ProductivityDefault*('5. Scenarios'!$E$11-1)))</f>
        <v/>
      </c>
      <c r="T2349" s="57" t="str">
        <f aca="false">IF($S2349="","",INDEX(BookRate,2344)*(1+'5. Scenarios'!$E$10)*$S2349)</f>
        <v/>
      </c>
      <c r="U2349" s="57" t="str">
        <f aca="false">IF($T2349="","",SUMIFS($T$6:$T$2405,$A$6:$A$2405,"&lt;="&amp;$A2349))</f>
        <v/>
      </c>
      <c r="V2349" s="57" t="str">
        <f aca="false">IF($T2349="","",IF($U2349&lt;=BankCostEnvelope*'5. Scenarios'!$E$7,1,0))</f>
        <v/>
      </c>
      <c r="W2349" s="57" t="str">
        <f aca="false">IF($S2349="","",INDEX(BookRate,2344)*(1+'5. Scenarios'!$E$10)*(INDEX(BookQ1,2344)*(5-MIN(4,1+'5. Scenarios'!$E$8))/4+INDEX(BookQ2,2344)*(5-MIN(4,2+'5. Scenarios'!$E$8))/4+INDEX(BookQ3,2344)*(5-MIN(4,3+'5. Scenarios'!$E$8))/4+INDEX(BookQ4,2344)*(5-MIN(4,4+'5. Scenarios'!$E$8))/4)*'5. Scenarios'!$E$6/(1+ProductivityDefault*('5. Scenarios'!$E$11-1))+INDEX(BookOneOff,2344)*$S2349)</f>
        <v/>
      </c>
    </row>
    <row r="2350" customFormat="false" ht="15" hidden="false" customHeight="false" outlineLevel="0" collapsed="false">
      <c r="A2350" s="0" t="str">
        <f aca="false">IF(INDEX(BookTitle,2345)="","",INDEX(BookKey,2345))</f>
        <v/>
      </c>
      <c r="B2350" s="0" t="str">
        <f aca="false">IF(INDEX(BookTitle,2345)="","",INDEX(BookGroup,2345))</f>
        <v/>
      </c>
      <c r="C2350" s="0" t="str">
        <f aca="false">IF(INDEX(BookTitle,2345)="","",INDEX(BookCategory,2345))</f>
        <v/>
      </c>
      <c r="D2350" s="56" t="str">
        <f aca="false">IF(INDEX(BookTitle,2345)="","",INDEX(BookTotal,2345)*'5. Scenarios'!$B$6/(1+ProductivityDefault*('5. Scenarios'!$B$11-1)))</f>
        <v/>
      </c>
      <c r="E2350" s="57" t="str">
        <f aca="false">IF($D2350="","",INDEX(BookRate,2345)*(1+'5. Scenarios'!$B$10)*$D2350)</f>
        <v/>
      </c>
      <c r="F2350" s="57" t="str">
        <f aca="false">IF($E2350="","",SUMIFS($E$6:$E$2405,$A$6:$A$2405,"&lt;="&amp;$A2350))</f>
        <v/>
      </c>
      <c r="G2350" s="57" t="str">
        <f aca="false">IF($E2350="","",IF($F2350&lt;=BankCostEnvelope*'5. Scenarios'!$B$7,1,0))</f>
        <v/>
      </c>
      <c r="H2350" s="57" t="str">
        <f aca="false">IF($D2350="","",INDEX(BookRate,2345)*(1+'5. Scenarios'!$B$10)*(INDEX(BookQ1,2345)*(5-MIN(4,1+'5. Scenarios'!$B$8))/4+INDEX(BookQ2,2345)*(5-MIN(4,2+'5. Scenarios'!$B$8))/4+INDEX(BookQ3,2345)*(5-MIN(4,3+'5. Scenarios'!$B$8))/4+INDEX(BookQ4,2345)*(5-MIN(4,4+'5. Scenarios'!$B$8))/4)*'5. Scenarios'!$B$6/(1+ProductivityDefault*('5. Scenarios'!$B$11-1))+INDEX(BookOneOff,2345)*$D2350)</f>
        <v/>
      </c>
      <c r="I2350" s="56" t="str">
        <f aca="false">IF(INDEX(BookTitle,2345)="","",INDEX(BookTotal,2345)*'5. Scenarios'!$C$6/(1+ProductivityDefault*('5. Scenarios'!$C$11-1)))</f>
        <v/>
      </c>
      <c r="J2350" s="57" t="str">
        <f aca="false">IF($I2350="","",INDEX(BookRate,2345)*(1+'5. Scenarios'!$C$10)*$I2350)</f>
        <v/>
      </c>
      <c r="K2350" s="57" t="str">
        <f aca="false">IF($J2350="","",SUMIFS($J$6:$J$2405,$A$6:$A$2405,"&lt;="&amp;$A2350))</f>
        <v/>
      </c>
      <c r="L2350" s="57" t="str">
        <f aca="false">IF($J2350="","",IF($K2350&lt;=BankCostEnvelope*'5. Scenarios'!$C$7,1,0))</f>
        <v/>
      </c>
      <c r="M2350" s="57" t="str">
        <f aca="false">IF($I2350="","",INDEX(BookRate,2345)*(1+'5. Scenarios'!$C$10)*(INDEX(BookQ1,2345)*(5-MIN(4,1+'5. Scenarios'!$C$8))/4+INDEX(BookQ2,2345)*(5-MIN(4,2+'5. Scenarios'!$C$8))/4+INDEX(BookQ3,2345)*(5-MIN(4,3+'5. Scenarios'!$C$8))/4+INDEX(BookQ4,2345)*(5-MIN(4,4+'5. Scenarios'!$C$8))/4)*'5. Scenarios'!$C$6/(1+ProductivityDefault*('5. Scenarios'!$C$11-1))+INDEX(BookOneOff,2345)*$I2350)</f>
        <v/>
      </c>
      <c r="N2350" s="56" t="str">
        <f aca="false">IF(INDEX(BookTitle,2345)="","",INDEX(BookTotal,2345)*'5. Scenarios'!$D$6/(1+ProductivityDefault*('5. Scenarios'!$D$11-1)))</f>
        <v/>
      </c>
      <c r="O2350" s="57" t="str">
        <f aca="false">IF($N2350="","",INDEX(BookRate,2345)*(1+'5. Scenarios'!$D$10)*$N2350)</f>
        <v/>
      </c>
      <c r="P2350" s="57" t="str">
        <f aca="false">IF($O2350="","",SUMIFS($O$6:$O$2405,$A$6:$A$2405,"&lt;="&amp;$A2350))</f>
        <v/>
      </c>
      <c r="Q2350" s="57" t="str">
        <f aca="false">IF($O2350="","",IF($P2350&lt;=BankCostEnvelope*'5. Scenarios'!$D$7,1,0))</f>
        <v/>
      </c>
      <c r="R2350" s="57" t="str">
        <f aca="false">IF($N2350="","",INDEX(BookRate,2345)*(1+'5. Scenarios'!$D$10)*(INDEX(BookQ1,2345)*(5-MIN(4,1+'5. Scenarios'!$D$8))/4+INDEX(BookQ2,2345)*(5-MIN(4,2+'5. Scenarios'!$D$8))/4+INDEX(BookQ3,2345)*(5-MIN(4,3+'5. Scenarios'!$D$8))/4+INDEX(BookQ4,2345)*(5-MIN(4,4+'5. Scenarios'!$D$8))/4)*'5. Scenarios'!$D$6/(1+ProductivityDefault*('5. Scenarios'!$D$11-1))+INDEX(BookOneOff,2345)*$N2350)</f>
        <v/>
      </c>
      <c r="S2350" s="56" t="str">
        <f aca="false">IF(INDEX(BookTitle,2345)="","",INDEX(BookTotal,2345)*'5. Scenarios'!$E$6/(1+ProductivityDefault*('5. Scenarios'!$E$11-1)))</f>
        <v/>
      </c>
      <c r="T2350" s="57" t="str">
        <f aca="false">IF($S2350="","",INDEX(BookRate,2345)*(1+'5. Scenarios'!$E$10)*$S2350)</f>
        <v/>
      </c>
      <c r="U2350" s="57" t="str">
        <f aca="false">IF($T2350="","",SUMIFS($T$6:$T$2405,$A$6:$A$2405,"&lt;="&amp;$A2350))</f>
        <v/>
      </c>
      <c r="V2350" s="57" t="str">
        <f aca="false">IF($T2350="","",IF($U2350&lt;=BankCostEnvelope*'5. Scenarios'!$E$7,1,0))</f>
        <v/>
      </c>
      <c r="W2350" s="57" t="str">
        <f aca="false">IF($S2350="","",INDEX(BookRate,2345)*(1+'5. Scenarios'!$E$10)*(INDEX(BookQ1,2345)*(5-MIN(4,1+'5. Scenarios'!$E$8))/4+INDEX(BookQ2,2345)*(5-MIN(4,2+'5. Scenarios'!$E$8))/4+INDEX(BookQ3,2345)*(5-MIN(4,3+'5. Scenarios'!$E$8))/4+INDEX(BookQ4,2345)*(5-MIN(4,4+'5. Scenarios'!$E$8))/4)*'5. Scenarios'!$E$6/(1+ProductivityDefault*('5. Scenarios'!$E$11-1))+INDEX(BookOneOff,2345)*$S2350)</f>
        <v/>
      </c>
    </row>
    <row r="2351" customFormat="false" ht="15" hidden="false" customHeight="false" outlineLevel="0" collapsed="false">
      <c r="A2351" s="0" t="str">
        <f aca="false">IF(INDEX(BookTitle,2346)="","",INDEX(BookKey,2346))</f>
        <v/>
      </c>
      <c r="B2351" s="0" t="str">
        <f aca="false">IF(INDEX(BookTitle,2346)="","",INDEX(BookGroup,2346))</f>
        <v/>
      </c>
      <c r="C2351" s="0" t="str">
        <f aca="false">IF(INDEX(BookTitle,2346)="","",INDEX(BookCategory,2346))</f>
        <v/>
      </c>
      <c r="D2351" s="56" t="str">
        <f aca="false">IF(INDEX(BookTitle,2346)="","",INDEX(BookTotal,2346)*'5. Scenarios'!$B$6/(1+ProductivityDefault*('5. Scenarios'!$B$11-1)))</f>
        <v/>
      </c>
      <c r="E2351" s="57" t="str">
        <f aca="false">IF($D2351="","",INDEX(BookRate,2346)*(1+'5. Scenarios'!$B$10)*$D2351)</f>
        <v/>
      </c>
      <c r="F2351" s="57" t="str">
        <f aca="false">IF($E2351="","",SUMIFS($E$6:$E$2405,$A$6:$A$2405,"&lt;="&amp;$A2351))</f>
        <v/>
      </c>
      <c r="G2351" s="57" t="str">
        <f aca="false">IF($E2351="","",IF($F2351&lt;=BankCostEnvelope*'5. Scenarios'!$B$7,1,0))</f>
        <v/>
      </c>
      <c r="H2351" s="57" t="str">
        <f aca="false">IF($D2351="","",INDEX(BookRate,2346)*(1+'5. Scenarios'!$B$10)*(INDEX(BookQ1,2346)*(5-MIN(4,1+'5. Scenarios'!$B$8))/4+INDEX(BookQ2,2346)*(5-MIN(4,2+'5. Scenarios'!$B$8))/4+INDEX(BookQ3,2346)*(5-MIN(4,3+'5. Scenarios'!$B$8))/4+INDEX(BookQ4,2346)*(5-MIN(4,4+'5. Scenarios'!$B$8))/4)*'5. Scenarios'!$B$6/(1+ProductivityDefault*('5. Scenarios'!$B$11-1))+INDEX(BookOneOff,2346)*$D2351)</f>
        <v/>
      </c>
      <c r="I2351" s="56" t="str">
        <f aca="false">IF(INDEX(BookTitle,2346)="","",INDEX(BookTotal,2346)*'5. Scenarios'!$C$6/(1+ProductivityDefault*('5. Scenarios'!$C$11-1)))</f>
        <v/>
      </c>
      <c r="J2351" s="57" t="str">
        <f aca="false">IF($I2351="","",INDEX(BookRate,2346)*(1+'5. Scenarios'!$C$10)*$I2351)</f>
        <v/>
      </c>
      <c r="K2351" s="57" t="str">
        <f aca="false">IF($J2351="","",SUMIFS($J$6:$J$2405,$A$6:$A$2405,"&lt;="&amp;$A2351))</f>
        <v/>
      </c>
      <c r="L2351" s="57" t="str">
        <f aca="false">IF($J2351="","",IF($K2351&lt;=BankCostEnvelope*'5. Scenarios'!$C$7,1,0))</f>
        <v/>
      </c>
      <c r="M2351" s="57" t="str">
        <f aca="false">IF($I2351="","",INDEX(BookRate,2346)*(1+'5. Scenarios'!$C$10)*(INDEX(BookQ1,2346)*(5-MIN(4,1+'5. Scenarios'!$C$8))/4+INDEX(BookQ2,2346)*(5-MIN(4,2+'5. Scenarios'!$C$8))/4+INDEX(BookQ3,2346)*(5-MIN(4,3+'5. Scenarios'!$C$8))/4+INDEX(BookQ4,2346)*(5-MIN(4,4+'5. Scenarios'!$C$8))/4)*'5. Scenarios'!$C$6/(1+ProductivityDefault*('5. Scenarios'!$C$11-1))+INDEX(BookOneOff,2346)*$I2351)</f>
        <v/>
      </c>
      <c r="N2351" s="56" t="str">
        <f aca="false">IF(INDEX(BookTitle,2346)="","",INDEX(BookTotal,2346)*'5. Scenarios'!$D$6/(1+ProductivityDefault*('5. Scenarios'!$D$11-1)))</f>
        <v/>
      </c>
      <c r="O2351" s="57" t="str">
        <f aca="false">IF($N2351="","",INDEX(BookRate,2346)*(1+'5. Scenarios'!$D$10)*$N2351)</f>
        <v/>
      </c>
      <c r="P2351" s="57" t="str">
        <f aca="false">IF($O2351="","",SUMIFS($O$6:$O$2405,$A$6:$A$2405,"&lt;="&amp;$A2351))</f>
        <v/>
      </c>
      <c r="Q2351" s="57" t="str">
        <f aca="false">IF($O2351="","",IF($P2351&lt;=BankCostEnvelope*'5. Scenarios'!$D$7,1,0))</f>
        <v/>
      </c>
      <c r="R2351" s="57" t="str">
        <f aca="false">IF($N2351="","",INDEX(BookRate,2346)*(1+'5. Scenarios'!$D$10)*(INDEX(BookQ1,2346)*(5-MIN(4,1+'5. Scenarios'!$D$8))/4+INDEX(BookQ2,2346)*(5-MIN(4,2+'5. Scenarios'!$D$8))/4+INDEX(BookQ3,2346)*(5-MIN(4,3+'5. Scenarios'!$D$8))/4+INDEX(BookQ4,2346)*(5-MIN(4,4+'5. Scenarios'!$D$8))/4)*'5. Scenarios'!$D$6/(1+ProductivityDefault*('5. Scenarios'!$D$11-1))+INDEX(BookOneOff,2346)*$N2351)</f>
        <v/>
      </c>
      <c r="S2351" s="56" t="str">
        <f aca="false">IF(INDEX(BookTitle,2346)="","",INDEX(BookTotal,2346)*'5. Scenarios'!$E$6/(1+ProductivityDefault*('5. Scenarios'!$E$11-1)))</f>
        <v/>
      </c>
      <c r="T2351" s="57" t="str">
        <f aca="false">IF($S2351="","",INDEX(BookRate,2346)*(1+'5. Scenarios'!$E$10)*$S2351)</f>
        <v/>
      </c>
      <c r="U2351" s="57" t="str">
        <f aca="false">IF($T2351="","",SUMIFS($T$6:$T$2405,$A$6:$A$2405,"&lt;="&amp;$A2351))</f>
        <v/>
      </c>
      <c r="V2351" s="57" t="str">
        <f aca="false">IF($T2351="","",IF($U2351&lt;=BankCostEnvelope*'5. Scenarios'!$E$7,1,0))</f>
        <v/>
      </c>
      <c r="W2351" s="57" t="str">
        <f aca="false">IF($S2351="","",INDEX(BookRate,2346)*(1+'5. Scenarios'!$E$10)*(INDEX(BookQ1,2346)*(5-MIN(4,1+'5. Scenarios'!$E$8))/4+INDEX(BookQ2,2346)*(5-MIN(4,2+'5. Scenarios'!$E$8))/4+INDEX(BookQ3,2346)*(5-MIN(4,3+'5. Scenarios'!$E$8))/4+INDEX(BookQ4,2346)*(5-MIN(4,4+'5. Scenarios'!$E$8))/4)*'5. Scenarios'!$E$6/(1+ProductivityDefault*('5. Scenarios'!$E$11-1))+INDEX(BookOneOff,2346)*$S2351)</f>
        <v/>
      </c>
    </row>
    <row r="2352" customFormat="false" ht="15" hidden="false" customHeight="false" outlineLevel="0" collapsed="false">
      <c r="A2352" s="0" t="str">
        <f aca="false">IF(INDEX(BookTitle,2347)="","",INDEX(BookKey,2347))</f>
        <v/>
      </c>
      <c r="B2352" s="0" t="str">
        <f aca="false">IF(INDEX(BookTitle,2347)="","",INDEX(BookGroup,2347))</f>
        <v/>
      </c>
      <c r="C2352" s="0" t="str">
        <f aca="false">IF(INDEX(BookTitle,2347)="","",INDEX(BookCategory,2347))</f>
        <v/>
      </c>
      <c r="D2352" s="56" t="str">
        <f aca="false">IF(INDEX(BookTitle,2347)="","",INDEX(BookTotal,2347)*'5. Scenarios'!$B$6/(1+ProductivityDefault*('5. Scenarios'!$B$11-1)))</f>
        <v/>
      </c>
      <c r="E2352" s="57" t="str">
        <f aca="false">IF($D2352="","",INDEX(BookRate,2347)*(1+'5. Scenarios'!$B$10)*$D2352)</f>
        <v/>
      </c>
      <c r="F2352" s="57" t="str">
        <f aca="false">IF($E2352="","",SUMIFS($E$6:$E$2405,$A$6:$A$2405,"&lt;="&amp;$A2352))</f>
        <v/>
      </c>
      <c r="G2352" s="57" t="str">
        <f aca="false">IF($E2352="","",IF($F2352&lt;=BankCostEnvelope*'5. Scenarios'!$B$7,1,0))</f>
        <v/>
      </c>
      <c r="H2352" s="57" t="str">
        <f aca="false">IF($D2352="","",INDEX(BookRate,2347)*(1+'5. Scenarios'!$B$10)*(INDEX(BookQ1,2347)*(5-MIN(4,1+'5. Scenarios'!$B$8))/4+INDEX(BookQ2,2347)*(5-MIN(4,2+'5. Scenarios'!$B$8))/4+INDEX(BookQ3,2347)*(5-MIN(4,3+'5. Scenarios'!$B$8))/4+INDEX(BookQ4,2347)*(5-MIN(4,4+'5. Scenarios'!$B$8))/4)*'5. Scenarios'!$B$6/(1+ProductivityDefault*('5. Scenarios'!$B$11-1))+INDEX(BookOneOff,2347)*$D2352)</f>
        <v/>
      </c>
      <c r="I2352" s="56" t="str">
        <f aca="false">IF(INDEX(BookTitle,2347)="","",INDEX(BookTotal,2347)*'5. Scenarios'!$C$6/(1+ProductivityDefault*('5. Scenarios'!$C$11-1)))</f>
        <v/>
      </c>
      <c r="J2352" s="57" t="str">
        <f aca="false">IF($I2352="","",INDEX(BookRate,2347)*(1+'5. Scenarios'!$C$10)*$I2352)</f>
        <v/>
      </c>
      <c r="K2352" s="57" t="str">
        <f aca="false">IF($J2352="","",SUMIFS($J$6:$J$2405,$A$6:$A$2405,"&lt;="&amp;$A2352))</f>
        <v/>
      </c>
      <c r="L2352" s="57" t="str">
        <f aca="false">IF($J2352="","",IF($K2352&lt;=BankCostEnvelope*'5. Scenarios'!$C$7,1,0))</f>
        <v/>
      </c>
      <c r="M2352" s="57" t="str">
        <f aca="false">IF($I2352="","",INDEX(BookRate,2347)*(1+'5. Scenarios'!$C$10)*(INDEX(BookQ1,2347)*(5-MIN(4,1+'5. Scenarios'!$C$8))/4+INDEX(BookQ2,2347)*(5-MIN(4,2+'5. Scenarios'!$C$8))/4+INDEX(BookQ3,2347)*(5-MIN(4,3+'5. Scenarios'!$C$8))/4+INDEX(BookQ4,2347)*(5-MIN(4,4+'5. Scenarios'!$C$8))/4)*'5. Scenarios'!$C$6/(1+ProductivityDefault*('5. Scenarios'!$C$11-1))+INDEX(BookOneOff,2347)*$I2352)</f>
        <v/>
      </c>
      <c r="N2352" s="56" t="str">
        <f aca="false">IF(INDEX(BookTitle,2347)="","",INDEX(BookTotal,2347)*'5. Scenarios'!$D$6/(1+ProductivityDefault*('5. Scenarios'!$D$11-1)))</f>
        <v/>
      </c>
      <c r="O2352" s="57" t="str">
        <f aca="false">IF($N2352="","",INDEX(BookRate,2347)*(1+'5. Scenarios'!$D$10)*$N2352)</f>
        <v/>
      </c>
      <c r="P2352" s="57" t="str">
        <f aca="false">IF($O2352="","",SUMIFS($O$6:$O$2405,$A$6:$A$2405,"&lt;="&amp;$A2352))</f>
        <v/>
      </c>
      <c r="Q2352" s="57" t="str">
        <f aca="false">IF($O2352="","",IF($P2352&lt;=BankCostEnvelope*'5. Scenarios'!$D$7,1,0))</f>
        <v/>
      </c>
      <c r="R2352" s="57" t="str">
        <f aca="false">IF($N2352="","",INDEX(BookRate,2347)*(1+'5. Scenarios'!$D$10)*(INDEX(BookQ1,2347)*(5-MIN(4,1+'5. Scenarios'!$D$8))/4+INDEX(BookQ2,2347)*(5-MIN(4,2+'5. Scenarios'!$D$8))/4+INDEX(BookQ3,2347)*(5-MIN(4,3+'5. Scenarios'!$D$8))/4+INDEX(BookQ4,2347)*(5-MIN(4,4+'5. Scenarios'!$D$8))/4)*'5. Scenarios'!$D$6/(1+ProductivityDefault*('5. Scenarios'!$D$11-1))+INDEX(BookOneOff,2347)*$N2352)</f>
        <v/>
      </c>
      <c r="S2352" s="56" t="str">
        <f aca="false">IF(INDEX(BookTitle,2347)="","",INDEX(BookTotal,2347)*'5. Scenarios'!$E$6/(1+ProductivityDefault*('5. Scenarios'!$E$11-1)))</f>
        <v/>
      </c>
      <c r="T2352" s="57" t="str">
        <f aca="false">IF($S2352="","",INDEX(BookRate,2347)*(1+'5. Scenarios'!$E$10)*$S2352)</f>
        <v/>
      </c>
      <c r="U2352" s="57" t="str">
        <f aca="false">IF($T2352="","",SUMIFS($T$6:$T$2405,$A$6:$A$2405,"&lt;="&amp;$A2352))</f>
        <v/>
      </c>
      <c r="V2352" s="57" t="str">
        <f aca="false">IF($T2352="","",IF($U2352&lt;=BankCostEnvelope*'5. Scenarios'!$E$7,1,0))</f>
        <v/>
      </c>
      <c r="W2352" s="57" t="str">
        <f aca="false">IF($S2352="","",INDEX(BookRate,2347)*(1+'5. Scenarios'!$E$10)*(INDEX(BookQ1,2347)*(5-MIN(4,1+'5. Scenarios'!$E$8))/4+INDEX(BookQ2,2347)*(5-MIN(4,2+'5. Scenarios'!$E$8))/4+INDEX(BookQ3,2347)*(5-MIN(4,3+'5. Scenarios'!$E$8))/4+INDEX(BookQ4,2347)*(5-MIN(4,4+'5. Scenarios'!$E$8))/4)*'5. Scenarios'!$E$6/(1+ProductivityDefault*('5. Scenarios'!$E$11-1))+INDEX(BookOneOff,2347)*$S2352)</f>
        <v/>
      </c>
    </row>
    <row r="2353" customFormat="false" ht="15" hidden="false" customHeight="false" outlineLevel="0" collapsed="false">
      <c r="A2353" s="0" t="str">
        <f aca="false">IF(INDEX(BookTitle,2348)="","",INDEX(BookKey,2348))</f>
        <v/>
      </c>
      <c r="B2353" s="0" t="str">
        <f aca="false">IF(INDEX(BookTitle,2348)="","",INDEX(BookGroup,2348))</f>
        <v/>
      </c>
      <c r="C2353" s="0" t="str">
        <f aca="false">IF(INDEX(BookTitle,2348)="","",INDEX(BookCategory,2348))</f>
        <v/>
      </c>
      <c r="D2353" s="56" t="str">
        <f aca="false">IF(INDEX(BookTitle,2348)="","",INDEX(BookTotal,2348)*'5. Scenarios'!$B$6/(1+ProductivityDefault*('5. Scenarios'!$B$11-1)))</f>
        <v/>
      </c>
      <c r="E2353" s="57" t="str">
        <f aca="false">IF($D2353="","",INDEX(BookRate,2348)*(1+'5. Scenarios'!$B$10)*$D2353)</f>
        <v/>
      </c>
      <c r="F2353" s="57" t="str">
        <f aca="false">IF($E2353="","",SUMIFS($E$6:$E$2405,$A$6:$A$2405,"&lt;="&amp;$A2353))</f>
        <v/>
      </c>
      <c r="G2353" s="57" t="str">
        <f aca="false">IF($E2353="","",IF($F2353&lt;=BankCostEnvelope*'5. Scenarios'!$B$7,1,0))</f>
        <v/>
      </c>
      <c r="H2353" s="57" t="str">
        <f aca="false">IF($D2353="","",INDEX(BookRate,2348)*(1+'5. Scenarios'!$B$10)*(INDEX(BookQ1,2348)*(5-MIN(4,1+'5. Scenarios'!$B$8))/4+INDEX(BookQ2,2348)*(5-MIN(4,2+'5. Scenarios'!$B$8))/4+INDEX(BookQ3,2348)*(5-MIN(4,3+'5. Scenarios'!$B$8))/4+INDEX(BookQ4,2348)*(5-MIN(4,4+'5. Scenarios'!$B$8))/4)*'5. Scenarios'!$B$6/(1+ProductivityDefault*('5. Scenarios'!$B$11-1))+INDEX(BookOneOff,2348)*$D2353)</f>
        <v/>
      </c>
      <c r="I2353" s="56" t="str">
        <f aca="false">IF(INDEX(BookTitle,2348)="","",INDEX(BookTotal,2348)*'5. Scenarios'!$C$6/(1+ProductivityDefault*('5. Scenarios'!$C$11-1)))</f>
        <v/>
      </c>
      <c r="J2353" s="57" t="str">
        <f aca="false">IF($I2353="","",INDEX(BookRate,2348)*(1+'5. Scenarios'!$C$10)*$I2353)</f>
        <v/>
      </c>
      <c r="K2353" s="57" t="str">
        <f aca="false">IF($J2353="","",SUMIFS($J$6:$J$2405,$A$6:$A$2405,"&lt;="&amp;$A2353))</f>
        <v/>
      </c>
      <c r="L2353" s="57" t="str">
        <f aca="false">IF($J2353="","",IF($K2353&lt;=BankCostEnvelope*'5. Scenarios'!$C$7,1,0))</f>
        <v/>
      </c>
      <c r="M2353" s="57" t="str">
        <f aca="false">IF($I2353="","",INDEX(BookRate,2348)*(1+'5. Scenarios'!$C$10)*(INDEX(BookQ1,2348)*(5-MIN(4,1+'5. Scenarios'!$C$8))/4+INDEX(BookQ2,2348)*(5-MIN(4,2+'5. Scenarios'!$C$8))/4+INDEX(BookQ3,2348)*(5-MIN(4,3+'5. Scenarios'!$C$8))/4+INDEX(BookQ4,2348)*(5-MIN(4,4+'5. Scenarios'!$C$8))/4)*'5. Scenarios'!$C$6/(1+ProductivityDefault*('5. Scenarios'!$C$11-1))+INDEX(BookOneOff,2348)*$I2353)</f>
        <v/>
      </c>
      <c r="N2353" s="56" t="str">
        <f aca="false">IF(INDEX(BookTitle,2348)="","",INDEX(BookTotal,2348)*'5. Scenarios'!$D$6/(1+ProductivityDefault*('5. Scenarios'!$D$11-1)))</f>
        <v/>
      </c>
      <c r="O2353" s="57" t="str">
        <f aca="false">IF($N2353="","",INDEX(BookRate,2348)*(1+'5. Scenarios'!$D$10)*$N2353)</f>
        <v/>
      </c>
      <c r="P2353" s="57" t="str">
        <f aca="false">IF($O2353="","",SUMIFS($O$6:$O$2405,$A$6:$A$2405,"&lt;="&amp;$A2353))</f>
        <v/>
      </c>
      <c r="Q2353" s="57" t="str">
        <f aca="false">IF($O2353="","",IF($P2353&lt;=BankCostEnvelope*'5. Scenarios'!$D$7,1,0))</f>
        <v/>
      </c>
      <c r="R2353" s="57" t="str">
        <f aca="false">IF($N2353="","",INDEX(BookRate,2348)*(1+'5. Scenarios'!$D$10)*(INDEX(BookQ1,2348)*(5-MIN(4,1+'5. Scenarios'!$D$8))/4+INDEX(BookQ2,2348)*(5-MIN(4,2+'5. Scenarios'!$D$8))/4+INDEX(BookQ3,2348)*(5-MIN(4,3+'5. Scenarios'!$D$8))/4+INDEX(BookQ4,2348)*(5-MIN(4,4+'5. Scenarios'!$D$8))/4)*'5. Scenarios'!$D$6/(1+ProductivityDefault*('5. Scenarios'!$D$11-1))+INDEX(BookOneOff,2348)*$N2353)</f>
        <v/>
      </c>
      <c r="S2353" s="56" t="str">
        <f aca="false">IF(INDEX(BookTitle,2348)="","",INDEX(BookTotal,2348)*'5. Scenarios'!$E$6/(1+ProductivityDefault*('5. Scenarios'!$E$11-1)))</f>
        <v/>
      </c>
      <c r="T2353" s="57" t="str">
        <f aca="false">IF($S2353="","",INDEX(BookRate,2348)*(1+'5. Scenarios'!$E$10)*$S2353)</f>
        <v/>
      </c>
      <c r="U2353" s="57" t="str">
        <f aca="false">IF($T2353="","",SUMIFS($T$6:$T$2405,$A$6:$A$2405,"&lt;="&amp;$A2353))</f>
        <v/>
      </c>
      <c r="V2353" s="57" t="str">
        <f aca="false">IF($T2353="","",IF($U2353&lt;=BankCostEnvelope*'5. Scenarios'!$E$7,1,0))</f>
        <v/>
      </c>
      <c r="W2353" s="57" t="str">
        <f aca="false">IF($S2353="","",INDEX(BookRate,2348)*(1+'5. Scenarios'!$E$10)*(INDEX(BookQ1,2348)*(5-MIN(4,1+'5. Scenarios'!$E$8))/4+INDEX(BookQ2,2348)*(5-MIN(4,2+'5. Scenarios'!$E$8))/4+INDEX(BookQ3,2348)*(5-MIN(4,3+'5. Scenarios'!$E$8))/4+INDEX(BookQ4,2348)*(5-MIN(4,4+'5. Scenarios'!$E$8))/4)*'5. Scenarios'!$E$6/(1+ProductivityDefault*('5. Scenarios'!$E$11-1))+INDEX(BookOneOff,2348)*$S2353)</f>
        <v/>
      </c>
    </row>
    <row r="2354" customFormat="false" ht="15" hidden="false" customHeight="false" outlineLevel="0" collapsed="false">
      <c r="A2354" s="0" t="str">
        <f aca="false">IF(INDEX(BookTitle,2349)="","",INDEX(BookKey,2349))</f>
        <v/>
      </c>
      <c r="B2354" s="0" t="str">
        <f aca="false">IF(INDEX(BookTitle,2349)="","",INDEX(BookGroup,2349))</f>
        <v/>
      </c>
      <c r="C2354" s="0" t="str">
        <f aca="false">IF(INDEX(BookTitle,2349)="","",INDEX(BookCategory,2349))</f>
        <v/>
      </c>
      <c r="D2354" s="56" t="str">
        <f aca="false">IF(INDEX(BookTitle,2349)="","",INDEX(BookTotal,2349)*'5. Scenarios'!$B$6/(1+ProductivityDefault*('5. Scenarios'!$B$11-1)))</f>
        <v/>
      </c>
      <c r="E2354" s="57" t="str">
        <f aca="false">IF($D2354="","",INDEX(BookRate,2349)*(1+'5. Scenarios'!$B$10)*$D2354)</f>
        <v/>
      </c>
      <c r="F2354" s="57" t="str">
        <f aca="false">IF($E2354="","",SUMIFS($E$6:$E$2405,$A$6:$A$2405,"&lt;="&amp;$A2354))</f>
        <v/>
      </c>
      <c r="G2354" s="57" t="str">
        <f aca="false">IF($E2354="","",IF($F2354&lt;=BankCostEnvelope*'5. Scenarios'!$B$7,1,0))</f>
        <v/>
      </c>
      <c r="H2354" s="57" t="str">
        <f aca="false">IF($D2354="","",INDEX(BookRate,2349)*(1+'5. Scenarios'!$B$10)*(INDEX(BookQ1,2349)*(5-MIN(4,1+'5. Scenarios'!$B$8))/4+INDEX(BookQ2,2349)*(5-MIN(4,2+'5. Scenarios'!$B$8))/4+INDEX(BookQ3,2349)*(5-MIN(4,3+'5. Scenarios'!$B$8))/4+INDEX(BookQ4,2349)*(5-MIN(4,4+'5. Scenarios'!$B$8))/4)*'5. Scenarios'!$B$6/(1+ProductivityDefault*('5. Scenarios'!$B$11-1))+INDEX(BookOneOff,2349)*$D2354)</f>
        <v/>
      </c>
      <c r="I2354" s="56" t="str">
        <f aca="false">IF(INDEX(BookTitle,2349)="","",INDEX(BookTotal,2349)*'5. Scenarios'!$C$6/(1+ProductivityDefault*('5. Scenarios'!$C$11-1)))</f>
        <v/>
      </c>
      <c r="J2354" s="57" t="str">
        <f aca="false">IF($I2354="","",INDEX(BookRate,2349)*(1+'5. Scenarios'!$C$10)*$I2354)</f>
        <v/>
      </c>
      <c r="K2354" s="57" t="str">
        <f aca="false">IF($J2354="","",SUMIFS($J$6:$J$2405,$A$6:$A$2405,"&lt;="&amp;$A2354))</f>
        <v/>
      </c>
      <c r="L2354" s="57" t="str">
        <f aca="false">IF($J2354="","",IF($K2354&lt;=BankCostEnvelope*'5. Scenarios'!$C$7,1,0))</f>
        <v/>
      </c>
      <c r="M2354" s="57" t="str">
        <f aca="false">IF($I2354="","",INDEX(BookRate,2349)*(1+'5. Scenarios'!$C$10)*(INDEX(BookQ1,2349)*(5-MIN(4,1+'5. Scenarios'!$C$8))/4+INDEX(BookQ2,2349)*(5-MIN(4,2+'5. Scenarios'!$C$8))/4+INDEX(BookQ3,2349)*(5-MIN(4,3+'5. Scenarios'!$C$8))/4+INDEX(BookQ4,2349)*(5-MIN(4,4+'5. Scenarios'!$C$8))/4)*'5. Scenarios'!$C$6/(1+ProductivityDefault*('5. Scenarios'!$C$11-1))+INDEX(BookOneOff,2349)*$I2354)</f>
        <v/>
      </c>
      <c r="N2354" s="56" t="str">
        <f aca="false">IF(INDEX(BookTitle,2349)="","",INDEX(BookTotal,2349)*'5. Scenarios'!$D$6/(1+ProductivityDefault*('5. Scenarios'!$D$11-1)))</f>
        <v/>
      </c>
      <c r="O2354" s="57" t="str">
        <f aca="false">IF($N2354="","",INDEX(BookRate,2349)*(1+'5. Scenarios'!$D$10)*$N2354)</f>
        <v/>
      </c>
      <c r="P2354" s="57" t="str">
        <f aca="false">IF($O2354="","",SUMIFS($O$6:$O$2405,$A$6:$A$2405,"&lt;="&amp;$A2354))</f>
        <v/>
      </c>
      <c r="Q2354" s="57" t="str">
        <f aca="false">IF($O2354="","",IF($P2354&lt;=BankCostEnvelope*'5. Scenarios'!$D$7,1,0))</f>
        <v/>
      </c>
      <c r="R2354" s="57" t="str">
        <f aca="false">IF($N2354="","",INDEX(BookRate,2349)*(1+'5. Scenarios'!$D$10)*(INDEX(BookQ1,2349)*(5-MIN(4,1+'5. Scenarios'!$D$8))/4+INDEX(BookQ2,2349)*(5-MIN(4,2+'5. Scenarios'!$D$8))/4+INDEX(BookQ3,2349)*(5-MIN(4,3+'5. Scenarios'!$D$8))/4+INDEX(BookQ4,2349)*(5-MIN(4,4+'5. Scenarios'!$D$8))/4)*'5. Scenarios'!$D$6/(1+ProductivityDefault*('5. Scenarios'!$D$11-1))+INDEX(BookOneOff,2349)*$N2354)</f>
        <v/>
      </c>
      <c r="S2354" s="56" t="str">
        <f aca="false">IF(INDEX(BookTitle,2349)="","",INDEX(BookTotal,2349)*'5. Scenarios'!$E$6/(1+ProductivityDefault*('5. Scenarios'!$E$11-1)))</f>
        <v/>
      </c>
      <c r="T2354" s="57" t="str">
        <f aca="false">IF($S2354="","",INDEX(BookRate,2349)*(1+'5. Scenarios'!$E$10)*$S2354)</f>
        <v/>
      </c>
      <c r="U2354" s="57" t="str">
        <f aca="false">IF($T2354="","",SUMIFS($T$6:$T$2405,$A$6:$A$2405,"&lt;="&amp;$A2354))</f>
        <v/>
      </c>
      <c r="V2354" s="57" t="str">
        <f aca="false">IF($T2354="","",IF($U2354&lt;=BankCostEnvelope*'5. Scenarios'!$E$7,1,0))</f>
        <v/>
      </c>
      <c r="W2354" s="57" t="str">
        <f aca="false">IF($S2354="","",INDEX(BookRate,2349)*(1+'5. Scenarios'!$E$10)*(INDEX(BookQ1,2349)*(5-MIN(4,1+'5. Scenarios'!$E$8))/4+INDEX(BookQ2,2349)*(5-MIN(4,2+'5. Scenarios'!$E$8))/4+INDEX(BookQ3,2349)*(5-MIN(4,3+'5. Scenarios'!$E$8))/4+INDEX(BookQ4,2349)*(5-MIN(4,4+'5. Scenarios'!$E$8))/4)*'5. Scenarios'!$E$6/(1+ProductivityDefault*('5. Scenarios'!$E$11-1))+INDEX(BookOneOff,2349)*$S2354)</f>
        <v/>
      </c>
    </row>
    <row r="2355" customFormat="false" ht="15" hidden="false" customHeight="false" outlineLevel="0" collapsed="false">
      <c r="A2355" s="0" t="str">
        <f aca="false">IF(INDEX(BookTitle,2350)="","",INDEX(BookKey,2350))</f>
        <v/>
      </c>
      <c r="B2355" s="0" t="str">
        <f aca="false">IF(INDEX(BookTitle,2350)="","",INDEX(BookGroup,2350))</f>
        <v/>
      </c>
      <c r="C2355" s="0" t="str">
        <f aca="false">IF(INDEX(BookTitle,2350)="","",INDEX(BookCategory,2350))</f>
        <v/>
      </c>
      <c r="D2355" s="56" t="str">
        <f aca="false">IF(INDEX(BookTitle,2350)="","",INDEX(BookTotal,2350)*'5. Scenarios'!$B$6/(1+ProductivityDefault*('5. Scenarios'!$B$11-1)))</f>
        <v/>
      </c>
      <c r="E2355" s="57" t="str">
        <f aca="false">IF($D2355="","",INDEX(BookRate,2350)*(1+'5. Scenarios'!$B$10)*$D2355)</f>
        <v/>
      </c>
      <c r="F2355" s="57" t="str">
        <f aca="false">IF($E2355="","",SUMIFS($E$6:$E$2405,$A$6:$A$2405,"&lt;="&amp;$A2355))</f>
        <v/>
      </c>
      <c r="G2355" s="57" t="str">
        <f aca="false">IF($E2355="","",IF($F2355&lt;=BankCostEnvelope*'5. Scenarios'!$B$7,1,0))</f>
        <v/>
      </c>
      <c r="H2355" s="57" t="str">
        <f aca="false">IF($D2355="","",INDEX(BookRate,2350)*(1+'5. Scenarios'!$B$10)*(INDEX(BookQ1,2350)*(5-MIN(4,1+'5. Scenarios'!$B$8))/4+INDEX(BookQ2,2350)*(5-MIN(4,2+'5. Scenarios'!$B$8))/4+INDEX(BookQ3,2350)*(5-MIN(4,3+'5. Scenarios'!$B$8))/4+INDEX(BookQ4,2350)*(5-MIN(4,4+'5. Scenarios'!$B$8))/4)*'5. Scenarios'!$B$6/(1+ProductivityDefault*('5. Scenarios'!$B$11-1))+INDEX(BookOneOff,2350)*$D2355)</f>
        <v/>
      </c>
      <c r="I2355" s="56" t="str">
        <f aca="false">IF(INDEX(BookTitle,2350)="","",INDEX(BookTotal,2350)*'5. Scenarios'!$C$6/(1+ProductivityDefault*('5. Scenarios'!$C$11-1)))</f>
        <v/>
      </c>
      <c r="J2355" s="57" t="str">
        <f aca="false">IF($I2355="","",INDEX(BookRate,2350)*(1+'5. Scenarios'!$C$10)*$I2355)</f>
        <v/>
      </c>
      <c r="K2355" s="57" t="str">
        <f aca="false">IF($J2355="","",SUMIFS($J$6:$J$2405,$A$6:$A$2405,"&lt;="&amp;$A2355))</f>
        <v/>
      </c>
      <c r="L2355" s="57" t="str">
        <f aca="false">IF($J2355="","",IF($K2355&lt;=BankCostEnvelope*'5. Scenarios'!$C$7,1,0))</f>
        <v/>
      </c>
      <c r="M2355" s="57" t="str">
        <f aca="false">IF($I2355="","",INDEX(BookRate,2350)*(1+'5. Scenarios'!$C$10)*(INDEX(BookQ1,2350)*(5-MIN(4,1+'5. Scenarios'!$C$8))/4+INDEX(BookQ2,2350)*(5-MIN(4,2+'5. Scenarios'!$C$8))/4+INDEX(BookQ3,2350)*(5-MIN(4,3+'5. Scenarios'!$C$8))/4+INDEX(BookQ4,2350)*(5-MIN(4,4+'5. Scenarios'!$C$8))/4)*'5. Scenarios'!$C$6/(1+ProductivityDefault*('5. Scenarios'!$C$11-1))+INDEX(BookOneOff,2350)*$I2355)</f>
        <v/>
      </c>
      <c r="N2355" s="56" t="str">
        <f aca="false">IF(INDEX(BookTitle,2350)="","",INDEX(BookTotal,2350)*'5. Scenarios'!$D$6/(1+ProductivityDefault*('5. Scenarios'!$D$11-1)))</f>
        <v/>
      </c>
      <c r="O2355" s="57" t="str">
        <f aca="false">IF($N2355="","",INDEX(BookRate,2350)*(1+'5. Scenarios'!$D$10)*$N2355)</f>
        <v/>
      </c>
      <c r="P2355" s="57" t="str">
        <f aca="false">IF($O2355="","",SUMIFS($O$6:$O$2405,$A$6:$A$2405,"&lt;="&amp;$A2355))</f>
        <v/>
      </c>
      <c r="Q2355" s="57" t="str">
        <f aca="false">IF($O2355="","",IF($P2355&lt;=BankCostEnvelope*'5. Scenarios'!$D$7,1,0))</f>
        <v/>
      </c>
      <c r="R2355" s="57" t="str">
        <f aca="false">IF($N2355="","",INDEX(BookRate,2350)*(1+'5. Scenarios'!$D$10)*(INDEX(BookQ1,2350)*(5-MIN(4,1+'5. Scenarios'!$D$8))/4+INDEX(BookQ2,2350)*(5-MIN(4,2+'5. Scenarios'!$D$8))/4+INDEX(BookQ3,2350)*(5-MIN(4,3+'5. Scenarios'!$D$8))/4+INDEX(BookQ4,2350)*(5-MIN(4,4+'5. Scenarios'!$D$8))/4)*'5. Scenarios'!$D$6/(1+ProductivityDefault*('5. Scenarios'!$D$11-1))+INDEX(BookOneOff,2350)*$N2355)</f>
        <v/>
      </c>
      <c r="S2355" s="56" t="str">
        <f aca="false">IF(INDEX(BookTitle,2350)="","",INDEX(BookTotal,2350)*'5. Scenarios'!$E$6/(1+ProductivityDefault*('5. Scenarios'!$E$11-1)))</f>
        <v/>
      </c>
      <c r="T2355" s="57" t="str">
        <f aca="false">IF($S2355="","",INDEX(BookRate,2350)*(1+'5. Scenarios'!$E$10)*$S2355)</f>
        <v/>
      </c>
      <c r="U2355" s="57" t="str">
        <f aca="false">IF($T2355="","",SUMIFS($T$6:$T$2405,$A$6:$A$2405,"&lt;="&amp;$A2355))</f>
        <v/>
      </c>
      <c r="V2355" s="57" t="str">
        <f aca="false">IF($T2355="","",IF($U2355&lt;=BankCostEnvelope*'5. Scenarios'!$E$7,1,0))</f>
        <v/>
      </c>
      <c r="W2355" s="57" t="str">
        <f aca="false">IF($S2355="","",INDEX(BookRate,2350)*(1+'5. Scenarios'!$E$10)*(INDEX(BookQ1,2350)*(5-MIN(4,1+'5. Scenarios'!$E$8))/4+INDEX(BookQ2,2350)*(5-MIN(4,2+'5. Scenarios'!$E$8))/4+INDEX(BookQ3,2350)*(5-MIN(4,3+'5. Scenarios'!$E$8))/4+INDEX(BookQ4,2350)*(5-MIN(4,4+'5. Scenarios'!$E$8))/4)*'5. Scenarios'!$E$6/(1+ProductivityDefault*('5. Scenarios'!$E$11-1))+INDEX(BookOneOff,2350)*$S2355)</f>
        <v/>
      </c>
    </row>
    <row r="2356" customFormat="false" ht="15" hidden="false" customHeight="false" outlineLevel="0" collapsed="false">
      <c r="A2356" s="0" t="str">
        <f aca="false">IF(INDEX(BookTitle,2351)="","",INDEX(BookKey,2351))</f>
        <v/>
      </c>
      <c r="B2356" s="0" t="str">
        <f aca="false">IF(INDEX(BookTitle,2351)="","",INDEX(BookGroup,2351))</f>
        <v/>
      </c>
      <c r="C2356" s="0" t="str">
        <f aca="false">IF(INDEX(BookTitle,2351)="","",INDEX(BookCategory,2351))</f>
        <v/>
      </c>
      <c r="D2356" s="56" t="str">
        <f aca="false">IF(INDEX(BookTitle,2351)="","",INDEX(BookTotal,2351)*'5. Scenarios'!$B$6/(1+ProductivityDefault*('5. Scenarios'!$B$11-1)))</f>
        <v/>
      </c>
      <c r="E2356" s="57" t="str">
        <f aca="false">IF($D2356="","",INDEX(BookRate,2351)*(1+'5. Scenarios'!$B$10)*$D2356)</f>
        <v/>
      </c>
      <c r="F2356" s="57" t="str">
        <f aca="false">IF($E2356="","",SUMIFS($E$6:$E$2405,$A$6:$A$2405,"&lt;="&amp;$A2356))</f>
        <v/>
      </c>
      <c r="G2356" s="57" t="str">
        <f aca="false">IF($E2356="","",IF($F2356&lt;=BankCostEnvelope*'5. Scenarios'!$B$7,1,0))</f>
        <v/>
      </c>
      <c r="H2356" s="57" t="str">
        <f aca="false">IF($D2356="","",INDEX(BookRate,2351)*(1+'5. Scenarios'!$B$10)*(INDEX(BookQ1,2351)*(5-MIN(4,1+'5. Scenarios'!$B$8))/4+INDEX(BookQ2,2351)*(5-MIN(4,2+'5. Scenarios'!$B$8))/4+INDEX(BookQ3,2351)*(5-MIN(4,3+'5. Scenarios'!$B$8))/4+INDEX(BookQ4,2351)*(5-MIN(4,4+'5. Scenarios'!$B$8))/4)*'5. Scenarios'!$B$6/(1+ProductivityDefault*('5. Scenarios'!$B$11-1))+INDEX(BookOneOff,2351)*$D2356)</f>
        <v/>
      </c>
      <c r="I2356" s="56" t="str">
        <f aca="false">IF(INDEX(BookTitle,2351)="","",INDEX(BookTotal,2351)*'5. Scenarios'!$C$6/(1+ProductivityDefault*('5. Scenarios'!$C$11-1)))</f>
        <v/>
      </c>
      <c r="J2356" s="57" t="str">
        <f aca="false">IF($I2356="","",INDEX(BookRate,2351)*(1+'5. Scenarios'!$C$10)*$I2356)</f>
        <v/>
      </c>
      <c r="K2356" s="57" t="str">
        <f aca="false">IF($J2356="","",SUMIFS($J$6:$J$2405,$A$6:$A$2405,"&lt;="&amp;$A2356))</f>
        <v/>
      </c>
      <c r="L2356" s="57" t="str">
        <f aca="false">IF($J2356="","",IF($K2356&lt;=BankCostEnvelope*'5. Scenarios'!$C$7,1,0))</f>
        <v/>
      </c>
      <c r="M2356" s="57" t="str">
        <f aca="false">IF($I2356="","",INDEX(BookRate,2351)*(1+'5. Scenarios'!$C$10)*(INDEX(BookQ1,2351)*(5-MIN(4,1+'5. Scenarios'!$C$8))/4+INDEX(BookQ2,2351)*(5-MIN(4,2+'5. Scenarios'!$C$8))/4+INDEX(BookQ3,2351)*(5-MIN(4,3+'5. Scenarios'!$C$8))/4+INDEX(BookQ4,2351)*(5-MIN(4,4+'5. Scenarios'!$C$8))/4)*'5. Scenarios'!$C$6/(1+ProductivityDefault*('5. Scenarios'!$C$11-1))+INDEX(BookOneOff,2351)*$I2356)</f>
        <v/>
      </c>
      <c r="N2356" s="56" t="str">
        <f aca="false">IF(INDEX(BookTitle,2351)="","",INDEX(BookTotal,2351)*'5. Scenarios'!$D$6/(1+ProductivityDefault*('5. Scenarios'!$D$11-1)))</f>
        <v/>
      </c>
      <c r="O2356" s="57" t="str">
        <f aca="false">IF($N2356="","",INDEX(BookRate,2351)*(1+'5. Scenarios'!$D$10)*$N2356)</f>
        <v/>
      </c>
      <c r="P2356" s="57" t="str">
        <f aca="false">IF($O2356="","",SUMIFS($O$6:$O$2405,$A$6:$A$2405,"&lt;="&amp;$A2356))</f>
        <v/>
      </c>
      <c r="Q2356" s="57" t="str">
        <f aca="false">IF($O2356="","",IF($P2356&lt;=BankCostEnvelope*'5. Scenarios'!$D$7,1,0))</f>
        <v/>
      </c>
      <c r="R2356" s="57" t="str">
        <f aca="false">IF($N2356="","",INDEX(BookRate,2351)*(1+'5. Scenarios'!$D$10)*(INDEX(BookQ1,2351)*(5-MIN(4,1+'5. Scenarios'!$D$8))/4+INDEX(BookQ2,2351)*(5-MIN(4,2+'5. Scenarios'!$D$8))/4+INDEX(BookQ3,2351)*(5-MIN(4,3+'5. Scenarios'!$D$8))/4+INDEX(BookQ4,2351)*(5-MIN(4,4+'5. Scenarios'!$D$8))/4)*'5. Scenarios'!$D$6/(1+ProductivityDefault*('5. Scenarios'!$D$11-1))+INDEX(BookOneOff,2351)*$N2356)</f>
        <v/>
      </c>
      <c r="S2356" s="56" t="str">
        <f aca="false">IF(INDEX(BookTitle,2351)="","",INDEX(BookTotal,2351)*'5. Scenarios'!$E$6/(1+ProductivityDefault*('5. Scenarios'!$E$11-1)))</f>
        <v/>
      </c>
      <c r="T2356" s="57" t="str">
        <f aca="false">IF($S2356="","",INDEX(BookRate,2351)*(1+'5. Scenarios'!$E$10)*$S2356)</f>
        <v/>
      </c>
      <c r="U2356" s="57" t="str">
        <f aca="false">IF($T2356="","",SUMIFS($T$6:$T$2405,$A$6:$A$2405,"&lt;="&amp;$A2356))</f>
        <v/>
      </c>
      <c r="V2356" s="57" t="str">
        <f aca="false">IF($T2356="","",IF($U2356&lt;=BankCostEnvelope*'5. Scenarios'!$E$7,1,0))</f>
        <v/>
      </c>
      <c r="W2356" s="57" t="str">
        <f aca="false">IF($S2356="","",INDEX(BookRate,2351)*(1+'5. Scenarios'!$E$10)*(INDEX(BookQ1,2351)*(5-MIN(4,1+'5. Scenarios'!$E$8))/4+INDEX(BookQ2,2351)*(5-MIN(4,2+'5. Scenarios'!$E$8))/4+INDEX(BookQ3,2351)*(5-MIN(4,3+'5. Scenarios'!$E$8))/4+INDEX(BookQ4,2351)*(5-MIN(4,4+'5. Scenarios'!$E$8))/4)*'5. Scenarios'!$E$6/(1+ProductivityDefault*('5. Scenarios'!$E$11-1))+INDEX(BookOneOff,2351)*$S2356)</f>
        <v/>
      </c>
    </row>
    <row r="2357" customFormat="false" ht="15" hidden="false" customHeight="false" outlineLevel="0" collapsed="false">
      <c r="A2357" s="0" t="str">
        <f aca="false">IF(INDEX(BookTitle,2352)="","",INDEX(BookKey,2352))</f>
        <v/>
      </c>
      <c r="B2357" s="0" t="str">
        <f aca="false">IF(INDEX(BookTitle,2352)="","",INDEX(BookGroup,2352))</f>
        <v/>
      </c>
      <c r="C2357" s="0" t="str">
        <f aca="false">IF(INDEX(BookTitle,2352)="","",INDEX(BookCategory,2352))</f>
        <v/>
      </c>
      <c r="D2357" s="56" t="str">
        <f aca="false">IF(INDEX(BookTitle,2352)="","",INDEX(BookTotal,2352)*'5. Scenarios'!$B$6/(1+ProductivityDefault*('5. Scenarios'!$B$11-1)))</f>
        <v/>
      </c>
      <c r="E2357" s="57" t="str">
        <f aca="false">IF($D2357="","",INDEX(BookRate,2352)*(1+'5. Scenarios'!$B$10)*$D2357)</f>
        <v/>
      </c>
      <c r="F2357" s="57" t="str">
        <f aca="false">IF($E2357="","",SUMIFS($E$6:$E$2405,$A$6:$A$2405,"&lt;="&amp;$A2357))</f>
        <v/>
      </c>
      <c r="G2357" s="57" t="str">
        <f aca="false">IF($E2357="","",IF($F2357&lt;=BankCostEnvelope*'5. Scenarios'!$B$7,1,0))</f>
        <v/>
      </c>
      <c r="H2357" s="57" t="str">
        <f aca="false">IF($D2357="","",INDEX(BookRate,2352)*(1+'5. Scenarios'!$B$10)*(INDEX(BookQ1,2352)*(5-MIN(4,1+'5. Scenarios'!$B$8))/4+INDEX(BookQ2,2352)*(5-MIN(4,2+'5. Scenarios'!$B$8))/4+INDEX(BookQ3,2352)*(5-MIN(4,3+'5. Scenarios'!$B$8))/4+INDEX(BookQ4,2352)*(5-MIN(4,4+'5. Scenarios'!$B$8))/4)*'5. Scenarios'!$B$6/(1+ProductivityDefault*('5. Scenarios'!$B$11-1))+INDEX(BookOneOff,2352)*$D2357)</f>
        <v/>
      </c>
      <c r="I2357" s="56" t="str">
        <f aca="false">IF(INDEX(BookTitle,2352)="","",INDEX(BookTotal,2352)*'5. Scenarios'!$C$6/(1+ProductivityDefault*('5. Scenarios'!$C$11-1)))</f>
        <v/>
      </c>
      <c r="J2357" s="57" t="str">
        <f aca="false">IF($I2357="","",INDEX(BookRate,2352)*(1+'5. Scenarios'!$C$10)*$I2357)</f>
        <v/>
      </c>
      <c r="K2357" s="57" t="str">
        <f aca="false">IF($J2357="","",SUMIFS($J$6:$J$2405,$A$6:$A$2405,"&lt;="&amp;$A2357))</f>
        <v/>
      </c>
      <c r="L2357" s="57" t="str">
        <f aca="false">IF($J2357="","",IF($K2357&lt;=BankCostEnvelope*'5. Scenarios'!$C$7,1,0))</f>
        <v/>
      </c>
      <c r="M2357" s="57" t="str">
        <f aca="false">IF($I2357="","",INDEX(BookRate,2352)*(1+'5. Scenarios'!$C$10)*(INDEX(BookQ1,2352)*(5-MIN(4,1+'5. Scenarios'!$C$8))/4+INDEX(BookQ2,2352)*(5-MIN(4,2+'5. Scenarios'!$C$8))/4+INDEX(BookQ3,2352)*(5-MIN(4,3+'5. Scenarios'!$C$8))/4+INDEX(BookQ4,2352)*(5-MIN(4,4+'5. Scenarios'!$C$8))/4)*'5. Scenarios'!$C$6/(1+ProductivityDefault*('5. Scenarios'!$C$11-1))+INDEX(BookOneOff,2352)*$I2357)</f>
        <v/>
      </c>
      <c r="N2357" s="56" t="str">
        <f aca="false">IF(INDEX(BookTitle,2352)="","",INDEX(BookTotal,2352)*'5. Scenarios'!$D$6/(1+ProductivityDefault*('5. Scenarios'!$D$11-1)))</f>
        <v/>
      </c>
      <c r="O2357" s="57" t="str">
        <f aca="false">IF($N2357="","",INDEX(BookRate,2352)*(1+'5. Scenarios'!$D$10)*$N2357)</f>
        <v/>
      </c>
      <c r="P2357" s="57" t="str">
        <f aca="false">IF($O2357="","",SUMIFS($O$6:$O$2405,$A$6:$A$2405,"&lt;="&amp;$A2357))</f>
        <v/>
      </c>
      <c r="Q2357" s="57" t="str">
        <f aca="false">IF($O2357="","",IF($P2357&lt;=BankCostEnvelope*'5. Scenarios'!$D$7,1,0))</f>
        <v/>
      </c>
      <c r="R2357" s="57" t="str">
        <f aca="false">IF($N2357="","",INDEX(BookRate,2352)*(1+'5. Scenarios'!$D$10)*(INDEX(BookQ1,2352)*(5-MIN(4,1+'5. Scenarios'!$D$8))/4+INDEX(BookQ2,2352)*(5-MIN(4,2+'5. Scenarios'!$D$8))/4+INDEX(BookQ3,2352)*(5-MIN(4,3+'5. Scenarios'!$D$8))/4+INDEX(BookQ4,2352)*(5-MIN(4,4+'5. Scenarios'!$D$8))/4)*'5. Scenarios'!$D$6/(1+ProductivityDefault*('5. Scenarios'!$D$11-1))+INDEX(BookOneOff,2352)*$N2357)</f>
        <v/>
      </c>
      <c r="S2357" s="56" t="str">
        <f aca="false">IF(INDEX(BookTitle,2352)="","",INDEX(BookTotal,2352)*'5. Scenarios'!$E$6/(1+ProductivityDefault*('5. Scenarios'!$E$11-1)))</f>
        <v/>
      </c>
      <c r="T2357" s="57" t="str">
        <f aca="false">IF($S2357="","",INDEX(BookRate,2352)*(1+'5. Scenarios'!$E$10)*$S2357)</f>
        <v/>
      </c>
      <c r="U2357" s="57" t="str">
        <f aca="false">IF($T2357="","",SUMIFS($T$6:$T$2405,$A$6:$A$2405,"&lt;="&amp;$A2357))</f>
        <v/>
      </c>
      <c r="V2357" s="57" t="str">
        <f aca="false">IF($T2357="","",IF($U2357&lt;=BankCostEnvelope*'5. Scenarios'!$E$7,1,0))</f>
        <v/>
      </c>
      <c r="W2357" s="57" t="str">
        <f aca="false">IF($S2357="","",INDEX(BookRate,2352)*(1+'5. Scenarios'!$E$10)*(INDEX(BookQ1,2352)*(5-MIN(4,1+'5. Scenarios'!$E$8))/4+INDEX(BookQ2,2352)*(5-MIN(4,2+'5. Scenarios'!$E$8))/4+INDEX(BookQ3,2352)*(5-MIN(4,3+'5. Scenarios'!$E$8))/4+INDEX(BookQ4,2352)*(5-MIN(4,4+'5. Scenarios'!$E$8))/4)*'5. Scenarios'!$E$6/(1+ProductivityDefault*('5. Scenarios'!$E$11-1))+INDEX(BookOneOff,2352)*$S2357)</f>
        <v/>
      </c>
    </row>
    <row r="2358" customFormat="false" ht="15" hidden="false" customHeight="false" outlineLevel="0" collapsed="false">
      <c r="A2358" s="0" t="str">
        <f aca="false">IF(INDEX(BookTitle,2353)="","",INDEX(BookKey,2353))</f>
        <v/>
      </c>
      <c r="B2358" s="0" t="str">
        <f aca="false">IF(INDEX(BookTitle,2353)="","",INDEX(BookGroup,2353))</f>
        <v/>
      </c>
      <c r="C2358" s="0" t="str">
        <f aca="false">IF(INDEX(BookTitle,2353)="","",INDEX(BookCategory,2353))</f>
        <v/>
      </c>
      <c r="D2358" s="56" t="str">
        <f aca="false">IF(INDEX(BookTitle,2353)="","",INDEX(BookTotal,2353)*'5. Scenarios'!$B$6/(1+ProductivityDefault*('5. Scenarios'!$B$11-1)))</f>
        <v/>
      </c>
      <c r="E2358" s="57" t="str">
        <f aca="false">IF($D2358="","",INDEX(BookRate,2353)*(1+'5. Scenarios'!$B$10)*$D2358)</f>
        <v/>
      </c>
      <c r="F2358" s="57" t="str">
        <f aca="false">IF($E2358="","",SUMIFS($E$6:$E$2405,$A$6:$A$2405,"&lt;="&amp;$A2358))</f>
        <v/>
      </c>
      <c r="G2358" s="57" t="str">
        <f aca="false">IF($E2358="","",IF($F2358&lt;=BankCostEnvelope*'5. Scenarios'!$B$7,1,0))</f>
        <v/>
      </c>
      <c r="H2358" s="57" t="str">
        <f aca="false">IF($D2358="","",INDEX(BookRate,2353)*(1+'5. Scenarios'!$B$10)*(INDEX(BookQ1,2353)*(5-MIN(4,1+'5. Scenarios'!$B$8))/4+INDEX(BookQ2,2353)*(5-MIN(4,2+'5. Scenarios'!$B$8))/4+INDEX(BookQ3,2353)*(5-MIN(4,3+'5. Scenarios'!$B$8))/4+INDEX(BookQ4,2353)*(5-MIN(4,4+'5. Scenarios'!$B$8))/4)*'5. Scenarios'!$B$6/(1+ProductivityDefault*('5. Scenarios'!$B$11-1))+INDEX(BookOneOff,2353)*$D2358)</f>
        <v/>
      </c>
      <c r="I2358" s="56" t="str">
        <f aca="false">IF(INDEX(BookTitle,2353)="","",INDEX(BookTotal,2353)*'5. Scenarios'!$C$6/(1+ProductivityDefault*('5. Scenarios'!$C$11-1)))</f>
        <v/>
      </c>
      <c r="J2358" s="57" t="str">
        <f aca="false">IF($I2358="","",INDEX(BookRate,2353)*(1+'5. Scenarios'!$C$10)*$I2358)</f>
        <v/>
      </c>
      <c r="K2358" s="57" t="str">
        <f aca="false">IF($J2358="","",SUMIFS($J$6:$J$2405,$A$6:$A$2405,"&lt;="&amp;$A2358))</f>
        <v/>
      </c>
      <c r="L2358" s="57" t="str">
        <f aca="false">IF($J2358="","",IF($K2358&lt;=BankCostEnvelope*'5. Scenarios'!$C$7,1,0))</f>
        <v/>
      </c>
      <c r="M2358" s="57" t="str">
        <f aca="false">IF($I2358="","",INDEX(BookRate,2353)*(1+'5. Scenarios'!$C$10)*(INDEX(BookQ1,2353)*(5-MIN(4,1+'5. Scenarios'!$C$8))/4+INDEX(BookQ2,2353)*(5-MIN(4,2+'5. Scenarios'!$C$8))/4+INDEX(BookQ3,2353)*(5-MIN(4,3+'5. Scenarios'!$C$8))/4+INDEX(BookQ4,2353)*(5-MIN(4,4+'5. Scenarios'!$C$8))/4)*'5. Scenarios'!$C$6/(1+ProductivityDefault*('5. Scenarios'!$C$11-1))+INDEX(BookOneOff,2353)*$I2358)</f>
        <v/>
      </c>
      <c r="N2358" s="56" t="str">
        <f aca="false">IF(INDEX(BookTitle,2353)="","",INDEX(BookTotal,2353)*'5. Scenarios'!$D$6/(1+ProductivityDefault*('5. Scenarios'!$D$11-1)))</f>
        <v/>
      </c>
      <c r="O2358" s="57" t="str">
        <f aca="false">IF($N2358="","",INDEX(BookRate,2353)*(1+'5. Scenarios'!$D$10)*$N2358)</f>
        <v/>
      </c>
      <c r="P2358" s="57" t="str">
        <f aca="false">IF($O2358="","",SUMIFS($O$6:$O$2405,$A$6:$A$2405,"&lt;="&amp;$A2358))</f>
        <v/>
      </c>
      <c r="Q2358" s="57" t="str">
        <f aca="false">IF($O2358="","",IF($P2358&lt;=BankCostEnvelope*'5. Scenarios'!$D$7,1,0))</f>
        <v/>
      </c>
      <c r="R2358" s="57" t="str">
        <f aca="false">IF($N2358="","",INDEX(BookRate,2353)*(1+'5. Scenarios'!$D$10)*(INDEX(BookQ1,2353)*(5-MIN(4,1+'5. Scenarios'!$D$8))/4+INDEX(BookQ2,2353)*(5-MIN(4,2+'5. Scenarios'!$D$8))/4+INDEX(BookQ3,2353)*(5-MIN(4,3+'5. Scenarios'!$D$8))/4+INDEX(BookQ4,2353)*(5-MIN(4,4+'5. Scenarios'!$D$8))/4)*'5. Scenarios'!$D$6/(1+ProductivityDefault*('5. Scenarios'!$D$11-1))+INDEX(BookOneOff,2353)*$N2358)</f>
        <v/>
      </c>
      <c r="S2358" s="56" t="str">
        <f aca="false">IF(INDEX(BookTitle,2353)="","",INDEX(BookTotal,2353)*'5. Scenarios'!$E$6/(1+ProductivityDefault*('5. Scenarios'!$E$11-1)))</f>
        <v/>
      </c>
      <c r="T2358" s="57" t="str">
        <f aca="false">IF($S2358="","",INDEX(BookRate,2353)*(1+'5. Scenarios'!$E$10)*$S2358)</f>
        <v/>
      </c>
      <c r="U2358" s="57" t="str">
        <f aca="false">IF($T2358="","",SUMIFS($T$6:$T$2405,$A$6:$A$2405,"&lt;="&amp;$A2358))</f>
        <v/>
      </c>
      <c r="V2358" s="57" t="str">
        <f aca="false">IF($T2358="","",IF($U2358&lt;=BankCostEnvelope*'5. Scenarios'!$E$7,1,0))</f>
        <v/>
      </c>
      <c r="W2358" s="57" t="str">
        <f aca="false">IF($S2358="","",INDEX(BookRate,2353)*(1+'5. Scenarios'!$E$10)*(INDEX(BookQ1,2353)*(5-MIN(4,1+'5. Scenarios'!$E$8))/4+INDEX(BookQ2,2353)*(5-MIN(4,2+'5. Scenarios'!$E$8))/4+INDEX(BookQ3,2353)*(5-MIN(4,3+'5. Scenarios'!$E$8))/4+INDEX(BookQ4,2353)*(5-MIN(4,4+'5. Scenarios'!$E$8))/4)*'5. Scenarios'!$E$6/(1+ProductivityDefault*('5. Scenarios'!$E$11-1))+INDEX(BookOneOff,2353)*$S2358)</f>
        <v/>
      </c>
    </row>
    <row r="2359" customFormat="false" ht="15" hidden="false" customHeight="false" outlineLevel="0" collapsed="false">
      <c r="A2359" s="0" t="str">
        <f aca="false">IF(INDEX(BookTitle,2354)="","",INDEX(BookKey,2354))</f>
        <v/>
      </c>
      <c r="B2359" s="0" t="str">
        <f aca="false">IF(INDEX(BookTitle,2354)="","",INDEX(BookGroup,2354))</f>
        <v/>
      </c>
      <c r="C2359" s="0" t="str">
        <f aca="false">IF(INDEX(BookTitle,2354)="","",INDEX(BookCategory,2354))</f>
        <v/>
      </c>
      <c r="D2359" s="56" t="str">
        <f aca="false">IF(INDEX(BookTitle,2354)="","",INDEX(BookTotal,2354)*'5. Scenarios'!$B$6/(1+ProductivityDefault*('5. Scenarios'!$B$11-1)))</f>
        <v/>
      </c>
      <c r="E2359" s="57" t="str">
        <f aca="false">IF($D2359="","",INDEX(BookRate,2354)*(1+'5. Scenarios'!$B$10)*$D2359)</f>
        <v/>
      </c>
      <c r="F2359" s="57" t="str">
        <f aca="false">IF($E2359="","",SUMIFS($E$6:$E$2405,$A$6:$A$2405,"&lt;="&amp;$A2359))</f>
        <v/>
      </c>
      <c r="G2359" s="57" t="str">
        <f aca="false">IF($E2359="","",IF($F2359&lt;=BankCostEnvelope*'5. Scenarios'!$B$7,1,0))</f>
        <v/>
      </c>
      <c r="H2359" s="57" t="str">
        <f aca="false">IF($D2359="","",INDEX(BookRate,2354)*(1+'5. Scenarios'!$B$10)*(INDEX(BookQ1,2354)*(5-MIN(4,1+'5. Scenarios'!$B$8))/4+INDEX(BookQ2,2354)*(5-MIN(4,2+'5. Scenarios'!$B$8))/4+INDEX(BookQ3,2354)*(5-MIN(4,3+'5. Scenarios'!$B$8))/4+INDEX(BookQ4,2354)*(5-MIN(4,4+'5. Scenarios'!$B$8))/4)*'5. Scenarios'!$B$6/(1+ProductivityDefault*('5. Scenarios'!$B$11-1))+INDEX(BookOneOff,2354)*$D2359)</f>
        <v/>
      </c>
      <c r="I2359" s="56" t="str">
        <f aca="false">IF(INDEX(BookTitle,2354)="","",INDEX(BookTotal,2354)*'5. Scenarios'!$C$6/(1+ProductivityDefault*('5. Scenarios'!$C$11-1)))</f>
        <v/>
      </c>
      <c r="J2359" s="57" t="str">
        <f aca="false">IF($I2359="","",INDEX(BookRate,2354)*(1+'5. Scenarios'!$C$10)*$I2359)</f>
        <v/>
      </c>
      <c r="K2359" s="57" t="str">
        <f aca="false">IF($J2359="","",SUMIFS($J$6:$J$2405,$A$6:$A$2405,"&lt;="&amp;$A2359))</f>
        <v/>
      </c>
      <c r="L2359" s="57" t="str">
        <f aca="false">IF($J2359="","",IF($K2359&lt;=BankCostEnvelope*'5. Scenarios'!$C$7,1,0))</f>
        <v/>
      </c>
      <c r="M2359" s="57" t="str">
        <f aca="false">IF($I2359="","",INDEX(BookRate,2354)*(1+'5. Scenarios'!$C$10)*(INDEX(BookQ1,2354)*(5-MIN(4,1+'5. Scenarios'!$C$8))/4+INDEX(BookQ2,2354)*(5-MIN(4,2+'5. Scenarios'!$C$8))/4+INDEX(BookQ3,2354)*(5-MIN(4,3+'5. Scenarios'!$C$8))/4+INDEX(BookQ4,2354)*(5-MIN(4,4+'5. Scenarios'!$C$8))/4)*'5. Scenarios'!$C$6/(1+ProductivityDefault*('5. Scenarios'!$C$11-1))+INDEX(BookOneOff,2354)*$I2359)</f>
        <v/>
      </c>
      <c r="N2359" s="56" t="str">
        <f aca="false">IF(INDEX(BookTitle,2354)="","",INDEX(BookTotal,2354)*'5. Scenarios'!$D$6/(1+ProductivityDefault*('5. Scenarios'!$D$11-1)))</f>
        <v/>
      </c>
      <c r="O2359" s="57" t="str">
        <f aca="false">IF($N2359="","",INDEX(BookRate,2354)*(1+'5. Scenarios'!$D$10)*$N2359)</f>
        <v/>
      </c>
      <c r="P2359" s="57" t="str">
        <f aca="false">IF($O2359="","",SUMIFS($O$6:$O$2405,$A$6:$A$2405,"&lt;="&amp;$A2359))</f>
        <v/>
      </c>
      <c r="Q2359" s="57" t="str">
        <f aca="false">IF($O2359="","",IF($P2359&lt;=BankCostEnvelope*'5. Scenarios'!$D$7,1,0))</f>
        <v/>
      </c>
      <c r="R2359" s="57" t="str">
        <f aca="false">IF($N2359="","",INDEX(BookRate,2354)*(1+'5. Scenarios'!$D$10)*(INDEX(BookQ1,2354)*(5-MIN(4,1+'5. Scenarios'!$D$8))/4+INDEX(BookQ2,2354)*(5-MIN(4,2+'5. Scenarios'!$D$8))/4+INDEX(BookQ3,2354)*(5-MIN(4,3+'5. Scenarios'!$D$8))/4+INDEX(BookQ4,2354)*(5-MIN(4,4+'5. Scenarios'!$D$8))/4)*'5. Scenarios'!$D$6/(1+ProductivityDefault*('5. Scenarios'!$D$11-1))+INDEX(BookOneOff,2354)*$N2359)</f>
        <v/>
      </c>
      <c r="S2359" s="56" t="str">
        <f aca="false">IF(INDEX(BookTitle,2354)="","",INDEX(BookTotal,2354)*'5. Scenarios'!$E$6/(1+ProductivityDefault*('5. Scenarios'!$E$11-1)))</f>
        <v/>
      </c>
      <c r="T2359" s="57" t="str">
        <f aca="false">IF($S2359="","",INDEX(BookRate,2354)*(1+'5. Scenarios'!$E$10)*$S2359)</f>
        <v/>
      </c>
      <c r="U2359" s="57" t="str">
        <f aca="false">IF($T2359="","",SUMIFS($T$6:$T$2405,$A$6:$A$2405,"&lt;="&amp;$A2359))</f>
        <v/>
      </c>
      <c r="V2359" s="57" t="str">
        <f aca="false">IF($T2359="","",IF($U2359&lt;=BankCostEnvelope*'5. Scenarios'!$E$7,1,0))</f>
        <v/>
      </c>
      <c r="W2359" s="57" t="str">
        <f aca="false">IF($S2359="","",INDEX(BookRate,2354)*(1+'5. Scenarios'!$E$10)*(INDEX(BookQ1,2354)*(5-MIN(4,1+'5. Scenarios'!$E$8))/4+INDEX(BookQ2,2354)*(5-MIN(4,2+'5. Scenarios'!$E$8))/4+INDEX(BookQ3,2354)*(5-MIN(4,3+'5. Scenarios'!$E$8))/4+INDEX(BookQ4,2354)*(5-MIN(4,4+'5. Scenarios'!$E$8))/4)*'5. Scenarios'!$E$6/(1+ProductivityDefault*('5. Scenarios'!$E$11-1))+INDEX(BookOneOff,2354)*$S2359)</f>
        <v/>
      </c>
    </row>
    <row r="2360" customFormat="false" ht="15" hidden="false" customHeight="false" outlineLevel="0" collapsed="false">
      <c r="A2360" s="0" t="str">
        <f aca="false">IF(INDEX(BookTitle,2355)="","",INDEX(BookKey,2355))</f>
        <v/>
      </c>
      <c r="B2360" s="0" t="str">
        <f aca="false">IF(INDEX(BookTitle,2355)="","",INDEX(BookGroup,2355))</f>
        <v/>
      </c>
      <c r="C2360" s="0" t="str">
        <f aca="false">IF(INDEX(BookTitle,2355)="","",INDEX(BookCategory,2355))</f>
        <v/>
      </c>
      <c r="D2360" s="56" t="str">
        <f aca="false">IF(INDEX(BookTitle,2355)="","",INDEX(BookTotal,2355)*'5. Scenarios'!$B$6/(1+ProductivityDefault*('5. Scenarios'!$B$11-1)))</f>
        <v/>
      </c>
      <c r="E2360" s="57" t="str">
        <f aca="false">IF($D2360="","",INDEX(BookRate,2355)*(1+'5. Scenarios'!$B$10)*$D2360)</f>
        <v/>
      </c>
      <c r="F2360" s="57" t="str">
        <f aca="false">IF($E2360="","",SUMIFS($E$6:$E$2405,$A$6:$A$2405,"&lt;="&amp;$A2360))</f>
        <v/>
      </c>
      <c r="G2360" s="57" t="str">
        <f aca="false">IF($E2360="","",IF($F2360&lt;=BankCostEnvelope*'5. Scenarios'!$B$7,1,0))</f>
        <v/>
      </c>
      <c r="H2360" s="57" t="str">
        <f aca="false">IF($D2360="","",INDEX(BookRate,2355)*(1+'5. Scenarios'!$B$10)*(INDEX(BookQ1,2355)*(5-MIN(4,1+'5. Scenarios'!$B$8))/4+INDEX(BookQ2,2355)*(5-MIN(4,2+'5. Scenarios'!$B$8))/4+INDEX(BookQ3,2355)*(5-MIN(4,3+'5. Scenarios'!$B$8))/4+INDEX(BookQ4,2355)*(5-MIN(4,4+'5. Scenarios'!$B$8))/4)*'5. Scenarios'!$B$6/(1+ProductivityDefault*('5. Scenarios'!$B$11-1))+INDEX(BookOneOff,2355)*$D2360)</f>
        <v/>
      </c>
      <c r="I2360" s="56" t="str">
        <f aca="false">IF(INDEX(BookTitle,2355)="","",INDEX(BookTotal,2355)*'5. Scenarios'!$C$6/(1+ProductivityDefault*('5. Scenarios'!$C$11-1)))</f>
        <v/>
      </c>
      <c r="J2360" s="57" t="str">
        <f aca="false">IF($I2360="","",INDEX(BookRate,2355)*(1+'5. Scenarios'!$C$10)*$I2360)</f>
        <v/>
      </c>
      <c r="K2360" s="57" t="str">
        <f aca="false">IF($J2360="","",SUMIFS($J$6:$J$2405,$A$6:$A$2405,"&lt;="&amp;$A2360))</f>
        <v/>
      </c>
      <c r="L2360" s="57" t="str">
        <f aca="false">IF($J2360="","",IF($K2360&lt;=BankCostEnvelope*'5. Scenarios'!$C$7,1,0))</f>
        <v/>
      </c>
      <c r="M2360" s="57" t="str">
        <f aca="false">IF($I2360="","",INDEX(BookRate,2355)*(1+'5. Scenarios'!$C$10)*(INDEX(BookQ1,2355)*(5-MIN(4,1+'5. Scenarios'!$C$8))/4+INDEX(BookQ2,2355)*(5-MIN(4,2+'5. Scenarios'!$C$8))/4+INDEX(BookQ3,2355)*(5-MIN(4,3+'5. Scenarios'!$C$8))/4+INDEX(BookQ4,2355)*(5-MIN(4,4+'5. Scenarios'!$C$8))/4)*'5. Scenarios'!$C$6/(1+ProductivityDefault*('5. Scenarios'!$C$11-1))+INDEX(BookOneOff,2355)*$I2360)</f>
        <v/>
      </c>
      <c r="N2360" s="56" t="str">
        <f aca="false">IF(INDEX(BookTitle,2355)="","",INDEX(BookTotal,2355)*'5. Scenarios'!$D$6/(1+ProductivityDefault*('5. Scenarios'!$D$11-1)))</f>
        <v/>
      </c>
      <c r="O2360" s="57" t="str">
        <f aca="false">IF($N2360="","",INDEX(BookRate,2355)*(1+'5. Scenarios'!$D$10)*$N2360)</f>
        <v/>
      </c>
      <c r="P2360" s="57" t="str">
        <f aca="false">IF($O2360="","",SUMIFS($O$6:$O$2405,$A$6:$A$2405,"&lt;="&amp;$A2360))</f>
        <v/>
      </c>
      <c r="Q2360" s="57" t="str">
        <f aca="false">IF($O2360="","",IF($P2360&lt;=BankCostEnvelope*'5. Scenarios'!$D$7,1,0))</f>
        <v/>
      </c>
      <c r="R2360" s="57" t="str">
        <f aca="false">IF($N2360="","",INDEX(BookRate,2355)*(1+'5. Scenarios'!$D$10)*(INDEX(BookQ1,2355)*(5-MIN(4,1+'5. Scenarios'!$D$8))/4+INDEX(BookQ2,2355)*(5-MIN(4,2+'5. Scenarios'!$D$8))/4+INDEX(BookQ3,2355)*(5-MIN(4,3+'5. Scenarios'!$D$8))/4+INDEX(BookQ4,2355)*(5-MIN(4,4+'5. Scenarios'!$D$8))/4)*'5. Scenarios'!$D$6/(1+ProductivityDefault*('5. Scenarios'!$D$11-1))+INDEX(BookOneOff,2355)*$N2360)</f>
        <v/>
      </c>
      <c r="S2360" s="56" t="str">
        <f aca="false">IF(INDEX(BookTitle,2355)="","",INDEX(BookTotal,2355)*'5. Scenarios'!$E$6/(1+ProductivityDefault*('5. Scenarios'!$E$11-1)))</f>
        <v/>
      </c>
      <c r="T2360" s="57" t="str">
        <f aca="false">IF($S2360="","",INDEX(BookRate,2355)*(1+'5. Scenarios'!$E$10)*$S2360)</f>
        <v/>
      </c>
      <c r="U2360" s="57" t="str">
        <f aca="false">IF($T2360="","",SUMIFS($T$6:$T$2405,$A$6:$A$2405,"&lt;="&amp;$A2360))</f>
        <v/>
      </c>
      <c r="V2360" s="57" t="str">
        <f aca="false">IF($T2360="","",IF($U2360&lt;=BankCostEnvelope*'5. Scenarios'!$E$7,1,0))</f>
        <v/>
      </c>
      <c r="W2360" s="57" t="str">
        <f aca="false">IF($S2360="","",INDEX(BookRate,2355)*(1+'5. Scenarios'!$E$10)*(INDEX(BookQ1,2355)*(5-MIN(4,1+'5. Scenarios'!$E$8))/4+INDEX(BookQ2,2355)*(5-MIN(4,2+'5. Scenarios'!$E$8))/4+INDEX(BookQ3,2355)*(5-MIN(4,3+'5. Scenarios'!$E$8))/4+INDEX(BookQ4,2355)*(5-MIN(4,4+'5. Scenarios'!$E$8))/4)*'5. Scenarios'!$E$6/(1+ProductivityDefault*('5. Scenarios'!$E$11-1))+INDEX(BookOneOff,2355)*$S2360)</f>
        <v/>
      </c>
    </row>
    <row r="2361" customFormat="false" ht="15" hidden="false" customHeight="false" outlineLevel="0" collapsed="false">
      <c r="A2361" s="0" t="str">
        <f aca="false">IF(INDEX(BookTitle,2356)="","",INDEX(BookKey,2356))</f>
        <v/>
      </c>
      <c r="B2361" s="0" t="str">
        <f aca="false">IF(INDEX(BookTitle,2356)="","",INDEX(BookGroup,2356))</f>
        <v/>
      </c>
      <c r="C2361" s="0" t="str">
        <f aca="false">IF(INDEX(BookTitle,2356)="","",INDEX(BookCategory,2356))</f>
        <v/>
      </c>
      <c r="D2361" s="56" t="str">
        <f aca="false">IF(INDEX(BookTitle,2356)="","",INDEX(BookTotal,2356)*'5. Scenarios'!$B$6/(1+ProductivityDefault*('5. Scenarios'!$B$11-1)))</f>
        <v/>
      </c>
      <c r="E2361" s="57" t="str">
        <f aca="false">IF($D2361="","",INDEX(BookRate,2356)*(1+'5. Scenarios'!$B$10)*$D2361)</f>
        <v/>
      </c>
      <c r="F2361" s="57" t="str">
        <f aca="false">IF($E2361="","",SUMIFS($E$6:$E$2405,$A$6:$A$2405,"&lt;="&amp;$A2361))</f>
        <v/>
      </c>
      <c r="G2361" s="57" t="str">
        <f aca="false">IF($E2361="","",IF($F2361&lt;=BankCostEnvelope*'5. Scenarios'!$B$7,1,0))</f>
        <v/>
      </c>
      <c r="H2361" s="57" t="str">
        <f aca="false">IF($D2361="","",INDEX(BookRate,2356)*(1+'5. Scenarios'!$B$10)*(INDEX(BookQ1,2356)*(5-MIN(4,1+'5. Scenarios'!$B$8))/4+INDEX(BookQ2,2356)*(5-MIN(4,2+'5. Scenarios'!$B$8))/4+INDEX(BookQ3,2356)*(5-MIN(4,3+'5. Scenarios'!$B$8))/4+INDEX(BookQ4,2356)*(5-MIN(4,4+'5. Scenarios'!$B$8))/4)*'5. Scenarios'!$B$6/(1+ProductivityDefault*('5. Scenarios'!$B$11-1))+INDEX(BookOneOff,2356)*$D2361)</f>
        <v/>
      </c>
      <c r="I2361" s="56" t="str">
        <f aca="false">IF(INDEX(BookTitle,2356)="","",INDEX(BookTotal,2356)*'5. Scenarios'!$C$6/(1+ProductivityDefault*('5. Scenarios'!$C$11-1)))</f>
        <v/>
      </c>
      <c r="J2361" s="57" t="str">
        <f aca="false">IF($I2361="","",INDEX(BookRate,2356)*(1+'5. Scenarios'!$C$10)*$I2361)</f>
        <v/>
      </c>
      <c r="K2361" s="57" t="str">
        <f aca="false">IF($J2361="","",SUMIFS($J$6:$J$2405,$A$6:$A$2405,"&lt;="&amp;$A2361))</f>
        <v/>
      </c>
      <c r="L2361" s="57" t="str">
        <f aca="false">IF($J2361="","",IF($K2361&lt;=BankCostEnvelope*'5. Scenarios'!$C$7,1,0))</f>
        <v/>
      </c>
      <c r="M2361" s="57" t="str">
        <f aca="false">IF($I2361="","",INDEX(BookRate,2356)*(1+'5. Scenarios'!$C$10)*(INDEX(BookQ1,2356)*(5-MIN(4,1+'5. Scenarios'!$C$8))/4+INDEX(BookQ2,2356)*(5-MIN(4,2+'5. Scenarios'!$C$8))/4+INDEX(BookQ3,2356)*(5-MIN(4,3+'5. Scenarios'!$C$8))/4+INDEX(BookQ4,2356)*(5-MIN(4,4+'5. Scenarios'!$C$8))/4)*'5. Scenarios'!$C$6/(1+ProductivityDefault*('5. Scenarios'!$C$11-1))+INDEX(BookOneOff,2356)*$I2361)</f>
        <v/>
      </c>
      <c r="N2361" s="56" t="str">
        <f aca="false">IF(INDEX(BookTitle,2356)="","",INDEX(BookTotal,2356)*'5. Scenarios'!$D$6/(1+ProductivityDefault*('5. Scenarios'!$D$11-1)))</f>
        <v/>
      </c>
      <c r="O2361" s="57" t="str">
        <f aca="false">IF($N2361="","",INDEX(BookRate,2356)*(1+'5. Scenarios'!$D$10)*$N2361)</f>
        <v/>
      </c>
      <c r="P2361" s="57" t="str">
        <f aca="false">IF($O2361="","",SUMIFS($O$6:$O$2405,$A$6:$A$2405,"&lt;="&amp;$A2361))</f>
        <v/>
      </c>
      <c r="Q2361" s="57" t="str">
        <f aca="false">IF($O2361="","",IF($P2361&lt;=BankCostEnvelope*'5. Scenarios'!$D$7,1,0))</f>
        <v/>
      </c>
      <c r="R2361" s="57" t="str">
        <f aca="false">IF($N2361="","",INDEX(BookRate,2356)*(1+'5. Scenarios'!$D$10)*(INDEX(BookQ1,2356)*(5-MIN(4,1+'5. Scenarios'!$D$8))/4+INDEX(BookQ2,2356)*(5-MIN(4,2+'5. Scenarios'!$D$8))/4+INDEX(BookQ3,2356)*(5-MIN(4,3+'5. Scenarios'!$D$8))/4+INDEX(BookQ4,2356)*(5-MIN(4,4+'5. Scenarios'!$D$8))/4)*'5. Scenarios'!$D$6/(1+ProductivityDefault*('5. Scenarios'!$D$11-1))+INDEX(BookOneOff,2356)*$N2361)</f>
        <v/>
      </c>
      <c r="S2361" s="56" t="str">
        <f aca="false">IF(INDEX(BookTitle,2356)="","",INDEX(BookTotal,2356)*'5. Scenarios'!$E$6/(1+ProductivityDefault*('5. Scenarios'!$E$11-1)))</f>
        <v/>
      </c>
      <c r="T2361" s="57" t="str">
        <f aca="false">IF($S2361="","",INDEX(BookRate,2356)*(1+'5. Scenarios'!$E$10)*$S2361)</f>
        <v/>
      </c>
      <c r="U2361" s="57" t="str">
        <f aca="false">IF($T2361="","",SUMIFS($T$6:$T$2405,$A$6:$A$2405,"&lt;="&amp;$A2361))</f>
        <v/>
      </c>
      <c r="V2361" s="57" t="str">
        <f aca="false">IF($T2361="","",IF($U2361&lt;=BankCostEnvelope*'5. Scenarios'!$E$7,1,0))</f>
        <v/>
      </c>
      <c r="W2361" s="57" t="str">
        <f aca="false">IF($S2361="","",INDEX(BookRate,2356)*(1+'5. Scenarios'!$E$10)*(INDEX(BookQ1,2356)*(5-MIN(4,1+'5. Scenarios'!$E$8))/4+INDEX(BookQ2,2356)*(5-MIN(4,2+'5. Scenarios'!$E$8))/4+INDEX(BookQ3,2356)*(5-MIN(4,3+'5. Scenarios'!$E$8))/4+INDEX(BookQ4,2356)*(5-MIN(4,4+'5. Scenarios'!$E$8))/4)*'5. Scenarios'!$E$6/(1+ProductivityDefault*('5. Scenarios'!$E$11-1))+INDEX(BookOneOff,2356)*$S2361)</f>
        <v/>
      </c>
    </row>
    <row r="2362" customFormat="false" ht="15" hidden="false" customHeight="false" outlineLevel="0" collapsed="false">
      <c r="A2362" s="0" t="str">
        <f aca="false">IF(INDEX(BookTitle,2357)="","",INDEX(BookKey,2357))</f>
        <v/>
      </c>
      <c r="B2362" s="0" t="str">
        <f aca="false">IF(INDEX(BookTitle,2357)="","",INDEX(BookGroup,2357))</f>
        <v/>
      </c>
      <c r="C2362" s="0" t="str">
        <f aca="false">IF(INDEX(BookTitle,2357)="","",INDEX(BookCategory,2357))</f>
        <v/>
      </c>
      <c r="D2362" s="56" t="str">
        <f aca="false">IF(INDEX(BookTitle,2357)="","",INDEX(BookTotal,2357)*'5. Scenarios'!$B$6/(1+ProductivityDefault*('5. Scenarios'!$B$11-1)))</f>
        <v/>
      </c>
      <c r="E2362" s="57" t="str">
        <f aca="false">IF($D2362="","",INDEX(BookRate,2357)*(1+'5. Scenarios'!$B$10)*$D2362)</f>
        <v/>
      </c>
      <c r="F2362" s="57" t="str">
        <f aca="false">IF($E2362="","",SUMIFS($E$6:$E$2405,$A$6:$A$2405,"&lt;="&amp;$A2362))</f>
        <v/>
      </c>
      <c r="G2362" s="57" t="str">
        <f aca="false">IF($E2362="","",IF($F2362&lt;=BankCostEnvelope*'5. Scenarios'!$B$7,1,0))</f>
        <v/>
      </c>
      <c r="H2362" s="57" t="str">
        <f aca="false">IF($D2362="","",INDEX(BookRate,2357)*(1+'5. Scenarios'!$B$10)*(INDEX(BookQ1,2357)*(5-MIN(4,1+'5. Scenarios'!$B$8))/4+INDEX(BookQ2,2357)*(5-MIN(4,2+'5. Scenarios'!$B$8))/4+INDEX(BookQ3,2357)*(5-MIN(4,3+'5. Scenarios'!$B$8))/4+INDEX(BookQ4,2357)*(5-MIN(4,4+'5. Scenarios'!$B$8))/4)*'5. Scenarios'!$B$6/(1+ProductivityDefault*('5. Scenarios'!$B$11-1))+INDEX(BookOneOff,2357)*$D2362)</f>
        <v/>
      </c>
      <c r="I2362" s="56" t="str">
        <f aca="false">IF(INDEX(BookTitle,2357)="","",INDEX(BookTotal,2357)*'5. Scenarios'!$C$6/(1+ProductivityDefault*('5. Scenarios'!$C$11-1)))</f>
        <v/>
      </c>
      <c r="J2362" s="57" t="str">
        <f aca="false">IF($I2362="","",INDEX(BookRate,2357)*(1+'5. Scenarios'!$C$10)*$I2362)</f>
        <v/>
      </c>
      <c r="K2362" s="57" t="str">
        <f aca="false">IF($J2362="","",SUMIFS($J$6:$J$2405,$A$6:$A$2405,"&lt;="&amp;$A2362))</f>
        <v/>
      </c>
      <c r="L2362" s="57" t="str">
        <f aca="false">IF($J2362="","",IF($K2362&lt;=BankCostEnvelope*'5. Scenarios'!$C$7,1,0))</f>
        <v/>
      </c>
      <c r="M2362" s="57" t="str">
        <f aca="false">IF($I2362="","",INDEX(BookRate,2357)*(1+'5. Scenarios'!$C$10)*(INDEX(BookQ1,2357)*(5-MIN(4,1+'5. Scenarios'!$C$8))/4+INDEX(BookQ2,2357)*(5-MIN(4,2+'5. Scenarios'!$C$8))/4+INDEX(BookQ3,2357)*(5-MIN(4,3+'5. Scenarios'!$C$8))/4+INDEX(BookQ4,2357)*(5-MIN(4,4+'5. Scenarios'!$C$8))/4)*'5. Scenarios'!$C$6/(1+ProductivityDefault*('5. Scenarios'!$C$11-1))+INDEX(BookOneOff,2357)*$I2362)</f>
        <v/>
      </c>
      <c r="N2362" s="56" t="str">
        <f aca="false">IF(INDEX(BookTitle,2357)="","",INDEX(BookTotal,2357)*'5. Scenarios'!$D$6/(1+ProductivityDefault*('5. Scenarios'!$D$11-1)))</f>
        <v/>
      </c>
      <c r="O2362" s="57" t="str">
        <f aca="false">IF($N2362="","",INDEX(BookRate,2357)*(1+'5. Scenarios'!$D$10)*$N2362)</f>
        <v/>
      </c>
      <c r="P2362" s="57" t="str">
        <f aca="false">IF($O2362="","",SUMIFS($O$6:$O$2405,$A$6:$A$2405,"&lt;="&amp;$A2362))</f>
        <v/>
      </c>
      <c r="Q2362" s="57" t="str">
        <f aca="false">IF($O2362="","",IF($P2362&lt;=BankCostEnvelope*'5. Scenarios'!$D$7,1,0))</f>
        <v/>
      </c>
      <c r="R2362" s="57" t="str">
        <f aca="false">IF($N2362="","",INDEX(BookRate,2357)*(1+'5. Scenarios'!$D$10)*(INDEX(BookQ1,2357)*(5-MIN(4,1+'5. Scenarios'!$D$8))/4+INDEX(BookQ2,2357)*(5-MIN(4,2+'5. Scenarios'!$D$8))/4+INDEX(BookQ3,2357)*(5-MIN(4,3+'5. Scenarios'!$D$8))/4+INDEX(BookQ4,2357)*(5-MIN(4,4+'5. Scenarios'!$D$8))/4)*'5. Scenarios'!$D$6/(1+ProductivityDefault*('5. Scenarios'!$D$11-1))+INDEX(BookOneOff,2357)*$N2362)</f>
        <v/>
      </c>
      <c r="S2362" s="56" t="str">
        <f aca="false">IF(INDEX(BookTitle,2357)="","",INDEX(BookTotal,2357)*'5. Scenarios'!$E$6/(1+ProductivityDefault*('5. Scenarios'!$E$11-1)))</f>
        <v/>
      </c>
      <c r="T2362" s="57" t="str">
        <f aca="false">IF($S2362="","",INDEX(BookRate,2357)*(1+'5. Scenarios'!$E$10)*$S2362)</f>
        <v/>
      </c>
      <c r="U2362" s="57" t="str">
        <f aca="false">IF($T2362="","",SUMIFS($T$6:$T$2405,$A$6:$A$2405,"&lt;="&amp;$A2362))</f>
        <v/>
      </c>
      <c r="V2362" s="57" t="str">
        <f aca="false">IF($T2362="","",IF($U2362&lt;=BankCostEnvelope*'5. Scenarios'!$E$7,1,0))</f>
        <v/>
      </c>
      <c r="W2362" s="57" t="str">
        <f aca="false">IF($S2362="","",INDEX(BookRate,2357)*(1+'5. Scenarios'!$E$10)*(INDEX(BookQ1,2357)*(5-MIN(4,1+'5. Scenarios'!$E$8))/4+INDEX(BookQ2,2357)*(5-MIN(4,2+'5. Scenarios'!$E$8))/4+INDEX(BookQ3,2357)*(5-MIN(4,3+'5. Scenarios'!$E$8))/4+INDEX(BookQ4,2357)*(5-MIN(4,4+'5. Scenarios'!$E$8))/4)*'5. Scenarios'!$E$6/(1+ProductivityDefault*('5. Scenarios'!$E$11-1))+INDEX(BookOneOff,2357)*$S2362)</f>
        <v/>
      </c>
    </row>
    <row r="2363" customFormat="false" ht="15" hidden="false" customHeight="false" outlineLevel="0" collapsed="false">
      <c r="A2363" s="0" t="str">
        <f aca="false">IF(INDEX(BookTitle,2358)="","",INDEX(BookKey,2358))</f>
        <v/>
      </c>
      <c r="B2363" s="0" t="str">
        <f aca="false">IF(INDEX(BookTitle,2358)="","",INDEX(BookGroup,2358))</f>
        <v/>
      </c>
      <c r="C2363" s="0" t="str">
        <f aca="false">IF(INDEX(BookTitle,2358)="","",INDEX(BookCategory,2358))</f>
        <v/>
      </c>
      <c r="D2363" s="56" t="str">
        <f aca="false">IF(INDEX(BookTitle,2358)="","",INDEX(BookTotal,2358)*'5. Scenarios'!$B$6/(1+ProductivityDefault*('5. Scenarios'!$B$11-1)))</f>
        <v/>
      </c>
      <c r="E2363" s="57" t="str">
        <f aca="false">IF($D2363="","",INDEX(BookRate,2358)*(1+'5. Scenarios'!$B$10)*$D2363)</f>
        <v/>
      </c>
      <c r="F2363" s="57" t="str">
        <f aca="false">IF($E2363="","",SUMIFS($E$6:$E$2405,$A$6:$A$2405,"&lt;="&amp;$A2363))</f>
        <v/>
      </c>
      <c r="G2363" s="57" t="str">
        <f aca="false">IF($E2363="","",IF($F2363&lt;=BankCostEnvelope*'5. Scenarios'!$B$7,1,0))</f>
        <v/>
      </c>
      <c r="H2363" s="57" t="str">
        <f aca="false">IF($D2363="","",INDEX(BookRate,2358)*(1+'5. Scenarios'!$B$10)*(INDEX(BookQ1,2358)*(5-MIN(4,1+'5. Scenarios'!$B$8))/4+INDEX(BookQ2,2358)*(5-MIN(4,2+'5. Scenarios'!$B$8))/4+INDEX(BookQ3,2358)*(5-MIN(4,3+'5. Scenarios'!$B$8))/4+INDEX(BookQ4,2358)*(5-MIN(4,4+'5. Scenarios'!$B$8))/4)*'5. Scenarios'!$B$6/(1+ProductivityDefault*('5. Scenarios'!$B$11-1))+INDEX(BookOneOff,2358)*$D2363)</f>
        <v/>
      </c>
      <c r="I2363" s="56" t="str">
        <f aca="false">IF(INDEX(BookTitle,2358)="","",INDEX(BookTotal,2358)*'5. Scenarios'!$C$6/(1+ProductivityDefault*('5. Scenarios'!$C$11-1)))</f>
        <v/>
      </c>
      <c r="J2363" s="57" t="str">
        <f aca="false">IF($I2363="","",INDEX(BookRate,2358)*(1+'5. Scenarios'!$C$10)*$I2363)</f>
        <v/>
      </c>
      <c r="K2363" s="57" t="str">
        <f aca="false">IF($J2363="","",SUMIFS($J$6:$J$2405,$A$6:$A$2405,"&lt;="&amp;$A2363))</f>
        <v/>
      </c>
      <c r="L2363" s="57" t="str">
        <f aca="false">IF($J2363="","",IF($K2363&lt;=BankCostEnvelope*'5. Scenarios'!$C$7,1,0))</f>
        <v/>
      </c>
      <c r="M2363" s="57" t="str">
        <f aca="false">IF($I2363="","",INDEX(BookRate,2358)*(1+'5. Scenarios'!$C$10)*(INDEX(BookQ1,2358)*(5-MIN(4,1+'5. Scenarios'!$C$8))/4+INDEX(BookQ2,2358)*(5-MIN(4,2+'5. Scenarios'!$C$8))/4+INDEX(BookQ3,2358)*(5-MIN(4,3+'5. Scenarios'!$C$8))/4+INDEX(BookQ4,2358)*(5-MIN(4,4+'5. Scenarios'!$C$8))/4)*'5. Scenarios'!$C$6/(1+ProductivityDefault*('5. Scenarios'!$C$11-1))+INDEX(BookOneOff,2358)*$I2363)</f>
        <v/>
      </c>
      <c r="N2363" s="56" t="str">
        <f aca="false">IF(INDEX(BookTitle,2358)="","",INDEX(BookTotal,2358)*'5. Scenarios'!$D$6/(1+ProductivityDefault*('5. Scenarios'!$D$11-1)))</f>
        <v/>
      </c>
      <c r="O2363" s="57" t="str">
        <f aca="false">IF($N2363="","",INDEX(BookRate,2358)*(1+'5. Scenarios'!$D$10)*$N2363)</f>
        <v/>
      </c>
      <c r="P2363" s="57" t="str">
        <f aca="false">IF($O2363="","",SUMIFS($O$6:$O$2405,$A$6:$A$2405,"&lt;="&amp;$A2363))</f>
        <v/>
      </c>
      <c r="Q2363" s="57" t="str">
        <f aca="false">IF($O2363="","",IF($P2363&lt;=BankCostEnvelope*'5. Scenarios'!$D$7,1,0))</f>
        <v/>
      </c>
      <c r="R2363" s="57" t="str">
        <f aca="false">IF($N2363="","",INDEX(BookRate,2358)*(1+'5. Scenarios'!$D$10)*(INDEX(BookQ1,2358)*(5-MIN(4,1+'5. Scenarios'!$D$8))/4+INDEX(BookQ2,2358)*(5-MIN(4,2+'5. Scenarios'!$D$8))/4+INDEX(BookQ3,2358)*(5-MIN(4,3+'5. Scenarios'!$D$8))/4+INDEX(BookQ4,2358)*(5-MIN(4,4+'5. Scenarios'!$D$8))/4)*'5. Scenarios'!$D$6/(1+ProductivityDefault*('5. Scenarios'!$D$11-1))+INDEX(BookOneOff,2358)*$N2363)</f>
        <v/>
      </c>
      <c r="S2363" s="56" t="str">
        <f aca="false">IF(INDEX(BookTitle,2358)="","",INDEX(BookTotal,2358)*'5. Scenarios'!$E$6/(1+ProductivityDefault*('5. Scenarios'!$E$11-1)))</f>
        <v/>
      </c>
      <c r="T2363" s="57" t="str">
        <f aca="false">IF($S2363="","",INDEX(BookRate,2358)*(1+'5. Scenarios'!$E$10)*$S2363)</f>
        <v/>
      </c>
      <c r="U2363" s="57" t="str">
        <f aca="false">IF($T2363="","",SUMIFS($T$6:$T$2405,$A$6:$A$2405,"&lt;="&amp;$A2363))</f>
        <v/>
      </c>
      <c r="V2363" s="57" t="str">
        <f aca="false">IF($T2363="","",IF($U2363&lt;=BankCostEnvelope*'5. Scenarios'!$E$7,1,0))</f>
        <v/>
      </c>
      <c r="W2363" s="57" t="str">
        <f aca="false">IF($S2363="","",INDEX(BookRate,2358)*(1+'5. Scenarios'!$E$10)*(INDEX(BookQ1,2358)*(5-MIN(4,1+'5. Scenarios'!$E$8))/4+INDEX(BookQ2,2358)*(5-MIN(4,2+'5. Scenarios'!$E$8))/4+INDEX(BookQ3,2358)*(5-MIN(4,3+'5. Scenarios'!$E$8))/4+INDEX(BookQ4,2358)*(5-MIN(4,4+'5. Scenarios'!$E$8))/4)*'5. Scenarios'!$E$6/(1+ProductivityDefault*('5. Scenarios'!$E$11-1))+INDEX(BookOneOff,2358)*$S2363)</f>
        <v/>
      </c>
    </row>
    <row r="2364" customFormat="false" ht="15" hidden="false" customHeight="false" outlineLevel="0" collapsed="false">
      <c r="A2364" s="0" t="str">
        <f aca="false">IF(INDEX(BookTitle,2359)="","",INDEX(BookKey,2359))</f>
        <v/>
      </c>
      <c r="B2364" s="0" t="str">
        <f aca="false">IF(INDEX(BookTitle,2359)="","",INDEX(BookGroup,2359))</f>
        <v/>
      </c>
      <c r="C2364" s="0" t="str">
        <f aca="false">IF(INDEX(BookTitle,2359)="","",INDEX(BookCategory,2359))</f>
        <v/>
      </c>
      <c r="D2364" s="56" t="str">
        <f aca="false">IF(INDEX(BookTitle,2359)="","",INDEX(BookTotal,2359)*'5. Scenarios'!$B$6/(1+ProductivityDefault*('5. Scenarios'!$B$11-1)))</f>
        <v/>
      </c>
      <c r="E2364" s="57" t="str">
        <f aca="false">IF($D2364="","",INDEX(BookRate,2359)*(1+'5. Scenarios'!$B$10)*$D2364)</f>
        <v/>
      </c>
      <c r="F2364" s="57" t="str">
        <f aca="false">IF($E2364="","",SUMIFS($E$6:$E$2405,$A$6:$A$2405,"&lt;="&amp;$A2364))</f>
        <v/>
      </c>
      <c r="G2364" s="57" t="str">
        <f aca="false">IF($E2364="","",IF($F2364&lt;=BankCostEnvelope*'5. Scenarios'!$B$7,1,0))</f>
        <v/>
      </c>
      <c r="H2364" s="57" t="str">
        <f aca="false">IF($D2364="","",INDEX(BookRate,2359)*(1+'5. Scenarios'!$B$10)*(INDEX(BookQ1,2359)*(5-MIN(4,1+'5. Scenarios'!$B$8))/4+INDEX(BookQ2,2359)*(5-MIN(4,2+'5. Scenarios'!$B$8))/4+INDEX(BookQ3,2359)*(5-MIN(4,3+'5. Scenarios'!$B$8))/4+INDEX(BookQ4,2359)*(5-MIN(4,4+'5. Scenarios'!$B$8))/4)*'5. Scenarios'!$B$6/(1+ProductivityDefault*('5. Scenarios'!$B$11-1))+INDEX(BookOneOff,2359)*$D2364)</f>
        <v/>
      </c>
      <c r="I2364" s="56" t="str">
        <f aca="false">IF(INDEX(BookTitle,2359)="","",INDEX(BookTotal,2359)*'5. Scenarios'!$C$6/(1+ProductivityDefault*('5. Scenarios'!$C$11-1)))</f>
        <v/>
      </c>
      <c r="J2364" s="57" t="str">
        <f aca="false">IF($I2364="","",INDEX(BookRate,2359)*(1+'5. Scenarios'!$C$10)*$I2364)</f>
        <v/>
      </c>
      <c r="K2364" s="57" t="str">
        <f aca="false">IF($J2364="","",SUMIFS($J$6:$J$2405,$A$6:$A$2405,"&lt;="&amp;$A2364))</f>
        <v/>
      </c>
      <c r="L2364" s="57" t="str">
        <f aca="false">IF($J2364="","",IF($K2364&lt;=BankCostEnvelope*'5. Scenarios'!$C$7,1,0))</f>
        <v/>
      </c>
      <c r="M2364" s="57" t="str">
        <f aca="false">IF($I2364="","",INDEX(BookRate,2359)*(1+'5. Scenarios'!$C$10)*(INDEX(BookQ1,2359)*(5-MIN(4,1+'5. Scenarios'!$C$8))/4+INDEX(BookQ2,2359)*(5-MIN(4,2+'5. Scenarios'!$C$8))/4+INDEX(BookQ3,2359)*(5-MIN(4,3+'5. Scenarios'!$C$8))/4+INDEX(BookQ4,2359)*(5-MIN(4,4+'5. Scenarios'!$C$8))/4)*'5. Scenarios'!$C$6/(1+ProductivityDefault*('5. Scenarios'!$C$11-1))+INDEX(BookOneOff,2359)*$I2364)</f>
        <v/>
      </c>
      <c r="N2364" s="56" t="str">
        <f aca="false">IF(INDEX(BookTitle,2359)="","",INDEX(BookTotal,2359)*'5. Scenarios'!$D$6/(1+ProductivityDefault*('5. Scenarios'!$D$11-1)))</f>
        <v/>
      </c>
      <c r="O2364" s="57" t="str">
        <f aca="false">IF($N2364="","",INDEX(BookRate,2359)*(1+'5. Scenarios'!$D$10)*$N2364)</f>
        <v/>
      </c>
      <c r="P2364" s="57" t="str">
        <f aca="false">IF($O2364="","",SUMIFS($O$6:$O$2405,$A$6:$A$2405,"&lt;="&amp;$A2364))</f>
        <v/>
      </c>
      <c r="Q2364" s="57" t="str">
        <f aca="false">IF($O2364="","",IF($P2364&lt;=BankCostEnvelope*'5. Scenarios'!$D$7,1,0))</f>
        <v/>
      </c>
      <c r="R2364" s="57" t="str">
        <f aca="false">IF($N2364="","",INDEX(BookRate,2359)*(1+'5. Scenarios'!$D$10)*(INDEX(BookQ1,2359)*(5-MIN(4,1+'5. Scenarios'!$D$8))/4+INDEX(BookQ2,2359)*(5-MIN(4,2+'5. Scenarios'!$D$8))/4+INDEX(BookQ3,2359)*(5-MIN(4,3+'5. Scenarios'!$D$8))/4+INDEX(BookQ4,2359)*(5-MIN(4,4+'5. Scenarios'!$D$8))/4)*'5. Scenarios'!$D$6/(1+ProductivityDefault*('5. Scenarios'!$D$11-1))+INDEX(BookOneOff,2359)*$N2364)</f>
        <v/>
      </c>
      <c r="S2364" s="56" t="str">
        <f aca="false">IF(INDEX(BookTitle,2359)="","",INDEX(BookTotal,2359)*'5. Scenarios'!$E$6/(1+ProductivityDefault*('5. Scenarios'!$E$11-1)))</f>
        <v/>
      </c>
      <c r="T2364" s="57" t="str">
        <f aca="false">IF($S2364="","",INDEX(BookRate,2359)*(1+'5. Scenarios'!$E$10)*$S2364)</f>
        <v/>
      </c>
      <c r="U2364" s="57" t="str">
        <f aca="false">IF($T2364="","",SUMIFS($T$6:$T$2405,$A$6:$A$2405,"&lt;="&amp;$A2364))</f>
        <v/>
      </c>
      <c r="V2364" s="57" t="str">
        <f aca="false">IF($T2364="","",IF($U2364&lt;=BankCostEnvelope*'5. Scenarios'!$E$7,1,0))</f>
        <v/>
      </c>
      <c r="W2364" s="57" t="str">
        <f aca="false">IF($S2364="","",INDEX(BookRate,2359)*(1+'5. Scenarios'!$E$10)*(INDEX(BookQ1,2359)*(5-MIN(4,1+'5. Scenarios'!$E$8))/4+INDEX(BookQ2,2359)*(5-MIN(4,2+'5. Scenarios'!$E$8))/4+INDEX(BookQ3,2359)*(5-MIN(4,3+'5. Scenarios'!$E$8))/4+INDEX(BookQ4,2359)*(5-MIN(4,4+'5. Scenarios'!$E$8))/4)*'5. Scenarios'!$E$6/(1+ProductivityDefault*('5. Scenarios'!$E$11-1))+INDEX(BookOneOff,2359)*$S2364)</f>
        <v/>
      </c>
    </row>
    <row r="2365" customFormat="false" ht="15" hidden="false" customHeight="false" outlineLevel="0" collapsed="false">
      <c r="A2365" s="0" t="str">
        <f aca="false">IF(INDEX(BookTitle,2360)="","",INDEX(BookKey,2360))</f>
        <v/>
      </c>
      <c r="B2365" s="0" t="str">
        <f aca="false">IF(INDEX(BookTitle,2360)="","",INDEX(BookGroup,2360))</f>
        <v/>
      </c>
      <c r="C2365" s="0" t="str">
        <f aca="false">IF(INDEX(BookTitle,2360)="","",INDEX(BookCategory,2360))</f>
        <v/>
      </c>
      <c r="D2365" s="56" t="str">
        <f aca="false">IF(INDEX(BookTitle,2360)="","",INDEX(BookTotal,2360)*'5. Scenarios'!$B$6/(1+ProductivityDefault*('5. Scenarios'!$B$11-1)))</f>
        <v/>
      </c>
      <c r="E2365" s="57" t="str">
        <f aca="false">IF($D2365="","",INDEX(BookRate,2360)*(1+'5. Scenarios'!$B$10)*$D2365)</f>
        <v/>
      </c>
      <c r="F2365" s="57" t="str">
        <f aca="false">IF($E2365="","",SUMIFS($E$6:$E$2405,$A$6:$A$2405,"&lt;="&amp;$A2365))</f>
        <v/>
      </c>
      <c r="G2365" s="57" t="str">
        <f aca="false">IF($E2365="","",IF($F2365&lt;=BankCostEnvelope*'5. Scenarios'!$B$7,1,0))</f>
        <v/>
      </c>
      <c r="H2365" s="57" t="str">
        <f aca="false">IF($D2365="","",INDEX(BookRate,2360)*(1+'5. Scenarios'!$B$10)*(INDEX(BookQ1,2360)*(5-MIN(4,1+'5. Scenarios'!$B$8))/4+INDEX(BookQ2,2360)*(5-MIN(4,2+'5. Scenarios'!$B$8))/4+INDEX(BookQ3,2360)*(5-MIN(4,3+'5. Scenarios'!$B$8))/4+INDEX(BookQ4,2360)*(5-MIN(4,4+'5. Scenarios'!$B$8))/4)*'5. Scenarios'!$B$6/(1+ProductivityDefault*('5. Scenarios'!$B$11-1))+INDEX(BookOneOff,2360)*$D2365)</f>
        <v/>
      </c>
      <c r="I2365" s="56" t="str">
        <f aca="false">IF(INDEX(BookTitle,2360)="","",INDEX(BookTotal,2360)*'5. Scenarios'!$C$6/(1+ProductivityDefault*('5. Scenarios'!$C$11-1)))</f>
        <v/>
      </c>
      <c r="J2365" s="57" t="str">
        <f aca="false">IF($I2365="","",INDEX(BookRate,2360)*(1+'5. Scenarios'!$C$10)*$I2365)</f>
        <v/>
      </c>
      <c r="K2365" s="57" t="str">
        <f aca="false">IF($J2365="","",SUMIFS($J$6:$J$2405,$A$6:$A$2405,"&lt;="&amp;$A2365))</f>
        <v/>
      </c>
      <c r="L2365" s="57" t="str">
        <f aca="false">IF($J2365="","",IF($K2365&lt;=BankCostEnvelope*'5. Scenarios'!$C$7,1,0))</f>
        <v/>
      </c>
      <c r="M2365" s="57" t="str">
        <f aca="false">IF($I2365="","",INDEX(BookRate,2360)*(1+'5. Scenarios'!$C$10)*(INDEX(BookQ1,2360)*(5-MIN(4,1+'5. Scenarios'!$C$8))/4+INDEX(BookQ2,2360)*(5-MIN(4,2+'5. Scenarios'!$C$8))/4+INDEX(BookQ3,2360)*(5-MIN(4,3+'5. Scenarios'!$C$8))/4+INDEX(BookQ4,2360)*(5-MIN(4,4+'5. Scenarios'!$C$8))/4)*'5. Scenarios'!$C$6/(1+ProductivityDefault*('5. Scenarios'!$C$11-1))+INDEX(BookOneOff,2360)*$I2365)</f>
        <v/>
      </c>
      <c r="N2365" s="56" t="str">
        <f aca="false">IF(INDEX(BookTitle,2360)="","",INDEX(BookTotal,2360)*'5. Scenarios'!$D$6/(1+ProductivityDefault*('5. Scenarios'!$D$11-1)))</f>
        <v/>
      </c>
      <c r="O2365" s="57" t="str">
        <f aca="false">IF($N2365="","",INDEX(BookRate,2360)*(1+'5. Scenarios'!$D$10)*$N2365)</f>
        <v/>
      </c>
      <c r="P2365" s="57" t="str">
        <f aca="false">IF($O2365="","",SUMIFS($O$6:$O$2405,$A$6:$A$2405,"&lt;="&amp;$A2365))</f>
        <v/>
      </c>
      <c r="Q2365" s="57" t="str">
        <f aca="false">IF($O2365="","",IF($P2365&lt;=BankCostEnvelope*'5. Scenarios'!$D$7,1,0))</f>
        <v/>
      </c>
      <c r="R2365" s="57" t="str">
        <f aca="false">IF($N2365="","",INDEX(BookRate,2360)*(1+'5. Scenarios'!$D$10)*(INDEX(BookQ1,2360)*(5-MIN(4,1+'5. Scenarios'!$D$8))/4+INDEX(BookQ2,2360)*(5-MIN(4,2+'5. Scenarios'!$D$8))/4+INDEX(BookQ3,2360)*(5-MIN(4,3+'5. Scenarios'!$D$8))/4+INDEX(BookQ4,2360)*(5-MIN(4,4+'5. Scenarios'!$D$8))/4)*'5. Scenarios'!$D$6/(1+ProductivityDefault*('5. Scenarios'!$D$11-1))+INDEX(BookOneOff,2360)*$N2365)</f>
        <v/>
      </c>
      <c r="S2365" s="56" t="str">
        <f aca="false">IF(INDEX(BookTitle,2360)="","",INDEX(BookTotal,2360)*'5. Scenarios'!$E$6/(1+ProductivityDefault*('5. Scenarios'!$E$11-1)))</f>
        <v/>
      </c>
      <c r="T2365" s="57" t="str">
        <f aca="false">IF($S2365="","",INDEX(BookRate,2360)*(1+'5. Scenarios'!$E$10)*$S2365)</f>
        <v/>
      </c>
      <c r="U2365" s="57" t="str">
        <f aca="false">IF($T2365="","",SUMIFS($T$6:$T$2405,$A$6:$A$2405,"&lt;="&amp;$A2365))</f>
        <v/>
      </c>
      <c r="V2365" s="57" t="str">
        <f aca="false">IF($T2365="","",IF($U2365&lt;=BankCostEnvelope*'5. Scenarios'!$E$7,1,0))</f>
        <v/>
      </c>
      <c r="W2365" s="57" t="str">
        <f aca="false">IF($S2365="","",INDEX(BookRate,2360)*(1+'5. Scenarios'!$E$10)*(INDEX(BookQ1,2360)*(5-MIN(4,1+'5. Scenarios'!$E$8))/4+INDEX(BookQ2,2360)*(5-MIN(4,2+'5. Scenarios'!$E$8))/4+INDEX(BookQ3,2360)*(5-MIN(4,3+'5. Scenarios'!$E$8))/4+INDEX(BookQ4,2360)*(5-MIN(4,4+'5. Scenarios'!$E$8))/4)*'5. Scenarios'!$E$6/(1+ProductivityDefault*('5. Scenarios'!$E$11-1))+INDEX(BookOneOff,2360)*$S2365)</f>
        <v/>
      </c>
    </row>
    <row r="2366" customFormat="false" ht="15" hidden="false" customHeight="false" outlineLevel="0" collapsed="false">
      <c r="A2366" s="0" t="str">
        <f aca="false">IF(INDEX(BookTitle,2361)="","",INDEX(BookKey,2361))</f>
        <v/>
      </c>
      <c r="B2366" s="0" t="str">
        <f aca="false">IF(INDEX(BookTitle,2361)="","",INDEX(BookGroup,2361))</f>
        <v/>
      </c>
      <c r="C2366" s="0" t="str">
        <f aca="false">IF(INDEX(BookTitle,2361)="","",INDEX(BookCategory,2361))</f>
        <v/>
      </c>
      <c r="D2366" s="56" t="str">
        <f aca="false">IF(INDEX(BookTitle,2361)="","",INDEX(BookTotal,2361)*'5. Scenarios'!$B$6/(1+ProductivityDefault*('5. Scenarios'!$B$11-1)))</f>
        <v/>
      </c>
      <c r="E2366" s="57" t="str">
        <f aca="false">IF($D2366="","",INDEX(BookRate,2361)*(1+'5. Scenarios'!$B$10)*$D2366)</f>
        <v/>
      </c>
      <c r="F2366" s="57" t="str">
        <f aca="false">IF($E2366="","",SUMIFS($E$6:$E$2405,$A$6:$A$2405,"&lt;="&amp;$A2366))</f>
        <v/>
      </c>
      <c r="G2366" s="57" t="str">
        <f aca="false">IF($E2366="","",IF($F2366&lt;=BankCostEnvelope*'5. Scenarios'!$B$7,1,0))</f>
        <v/>
      </c>
      <c r="H2366" s="57" t="str">
        <f aca="false">IF($D2366="","",INDEX(BookRate,2361)*(1+'5. Scenarios'!$B$10)*(INDEX(BookQ1,2361)*(5-MIN(4,1+'5. Scenarios'!$B$8))/4+INDEX(BookQ2,2361)*(5-MIN(4,2+'5. Scenarios'!$B$8))/4+INDEX(BookQ3,2361)*(5-MIN(4,3+'5. Scenarios'!$B$8))/4+INDEX(BookQ4,2361)*(5-MIN(4,4+'5. Scenarios'!$B$8))/4)*'5. Scenarios'!$B$6/(1+ProductivityDefault*('5. Scenarios'!$B$11-1))+INDEX(BookOneOff,2361)*$D2366)</f>
        <v/>
      </c>
      <c r="I2366" s="56" t="str">
        <f aca="false">IF(INDEX(BookTitle,2361)="","",INDEX(BookTotal,2361)*'5. Scenarios'!$C$6/(1+ProductivityDefault*('5. Scenarios'!$C$11-1)))</f>
        <v/>
      </c>
      <c r="J2366" s="57" t="str">
        <f aca="false">IF($I2366="","",INDEX(BookRate,2361)*(1+'5. Scenarios'!$C$10)*$I2366)</f>
        <v/>
      </c>
      <c r="K2366" s="57" t="str">
        <f aca="false">IF($J2366="","",SUMIFS($J$6:$J$2405,$A$6:$A$2405,"&lt;="&amp;$A2366))</f>
        <v/>
      </c>
      <c r="L2366" s="57" t="str">
        <f aca="false">IF($J2366="","",IF($K2366&lt;=BankCostEnvelope*'5. Scenarios'!$C$7,1,0))</f>
        <v/>
      </c>
      <c r="M2366" s="57" t="str">
        <f aca="false">IF($I2366="","",INDEX(BookRate,2361)*(1+'5. Scenarios'!$C$10)*(INDEX(BookQ1,2361)*(5-MIN(4,1+'5. Scenarios'!$C$8))/4+INDEX(BookQ2,2361)*(5-MIN(4,2+'5. Scenarios'!$C$8))/4+INDEX(BookQ3,2361)*(5-MIN(4,3+'5. Scenarios'!$C$8))/4+INDEX(BookQ4,2361)*(5-MIN(4,4+'5. Scenarios'!$C$8))/4)*'5. Scenarios'!$C$6/(1+ProductivityDefault*('5. Scenarios'!$C$11-1))+INDEX(BookOneOff,2361)*$I2366)</f>
        <v/>
      </c>
      <c r="N2366" s="56" t="str">
        <f aca="false">IF(INDEX(BookTitle,2361)="","",INDEX(BookTotal,2361)*'5. Scenarios'!$D$6/(1+ProductivityDefault*('5. Scenarios'!$D$11-1)))</f>
        <v/>
      </c>
      <c r="O2366" s="57" t="str">
        <f aca="false">IF($N2366="","",INDEX(BookRate,2361)*(1+'5. Scenarios'!$D$10)*$N2366)</f>
        <v/>
      </c>
      <c r="P2366" s="57" t="str">
        <f aca="false">IF($O2366="","",SUMIFS($O$6:$O$2405,$A$6:$A$2405,"&lt;="&amp;$A2366))</f>
        <v/>
      </c>
      <c r="Q2366" s="57" t="str">
        <f aca="false">IF($O2366="","",IF($P2366&lt;=BankCostEnvelope*'5. Scenarios'!$D$7,1,0))</f>
        <v/>
      </c>
      <c r="R2366" s="57" t="str">
        <f aca="false">IF($N2366="","",INDEX(BookRate,2361)*(1+'5. Scenarios'!$D$10)*(INDEX(BookQ1,2361)*(5-MIN(4,1+'5. Scenarios'!$D$8))/4+INDEX(BookQ2,2361)*(5-MIN(4,2+'5. Scenarios'!$D$8))/4+INDEX(BookQ3,2361)*(5-MIN(4,3+'5. Scenarios'!$D$8))/4+INDEX(BookQ4,2361)*(5-MIN(4,4+'5. Scenarios'!$D$8))/4)*'5. Scenarios'!$D$6/(1+ProductivityDefault*('5. Scenarios'!$D$11-1))+INDEX(BookOneOff,2361)*$N2366)</f>
        <v/>
      </c>
      <c r="S2366" s="56" t="str">
        <f aca="false">IF(INDEX(BookTitle,2361)="","",INDEX(BookTotal,2361)*'5. Scenarios'!$E$6/(1+ProductivityDefault*('5. Scenarios'!$E$11-1)))</f>
        <v/>
      </c>
      <c r="T2366" s="57" t="str">
        <f aca="false">IF($S2366="","",INDEX(BookRate,2361)*(1+'5. Scenarios'!$E$10)*$S2366)</f>
        <v/>
      </c>
      <c r="U2366" s="57" t="str">
        <f aca="false">IF($T2366="","",SUMIFS($T$6:$T$2405,$A$6:$A$2405,"&lt;="&amp;$A2366))</f>
        <v/>
      </c>
      <c r="V2366" s="57" t="str">
        <f aca="false">IF($T2366="","",IF($U2366&lt;=BankCostEnvelope*'5. Scenarios'!$E$7,1,0))</f>
        <v/>
      </c>
      <c r="W2366" s="57" t="str">
        <f aca="false">IF($S2366="","",INDEX(BookRate,2361)*(1+'5. Scenarios'!$E$10)*(INDEX(BookQ1,2361)*(5-MIN(4,1+'5. Scenarios'!$E$8))/4+INDEX(BookQ2,2361)*(5-MIN(4,2+'5. Scenarios'!$E$8))/4+INDEX(BookQ3,2361)*(5-MIN(4,3+'5. Scenarios'!$E$8))/4+INDEX(BookQ4,2361)*(5-MIN(4,4+'5. Scenarios'!$E$8))/4)*'5. Scenarios'!$E$6/(1+ProductivityDefault*('5. Scenarios'!$E$11-1))+INDEX(BookOneOff,2361)*$S2366)</f>
        <v/>
      </c>
    </row>
    <row r="2367" customFormat="false" ht="15" hidden="false" customHeight="false" outlineLevel="0" collapsed="false">
      <c r="A2367" s="0" t="str">
        <f aca="false">IF(INDEX(BookTitle,2362)="","",INDEX(BookKey,2362))</f>
        <v/>
      </c>
      <c r="B2367" s="0" t="str">
        <f aca="false">IF(INDEX(BookTitle,2362)="","",INDEX(BookGroup,2362))</f>
        <v/>
      </c>
      <c r="C2367" s="0" t="str">
        <f aca="false">IF(INDEX(BookTitle,2362)="","",INDEX(BookCategory,2362))</f>
        <v/>
      </c>
      <c r="D2367" s="56" t="str">
        <f aca="false">IF(INDEX(BookTitle,2362)="","",INDEX(BookTotal,2362)*'5. Scenarios'!$B$6/(1+ProductivityDefault*('5. Scenarios'!$B$11-1)))</f>
        <v/>
      </c>
      <c r="E2367" s="57" t="str">
        <f aca="false">IF($D2367="","",INDEX(BookRate,2362)*(1+'5. Scenarios'!$B$10)*$D2367)</f>
        <v/>
      </c>
      <c r="F2367" s="57" t="str">
        <f aca="false">IF($E2367="","",SUMIFS($E$6:$E$2405,$A$6:$A$2405,"&lt;="&amp;$A2367))</f>
        <v/>
      </c>
      <c r="G2367" s="57" t="str">
        <f aca="false">IF($E2367="","",IF($F2367&lt;=BankCostEnvelope*'5. Scenarios'!$B$7,1,0))</f>
        <v/>
      </c>
      <c r="H2367" s="57" t="str">
        <f aca="false">IF($D2367="","",INDEX(BookRate,2362)*(1+'5. Scenarios'!$B$10)*(INDEX(BookQ1,2362)*(5-MIN(4,1+'5. Scenarios'!$B$8))/4+INDEX(BookQ2,2362)*(5-MIN(4,2+'5. Scenarios'!$B$8))/4+INDEX(BookQ3,2362)*(5-MIN(4,3+'5. Scenarios'!$B$8))/4+INDEX(BookQ4,2362)*(5-MIN(4,4+'5. Scenarios'!$B$8))/4)*'5. Scenarios'!$B$6/(1+ProductivityDefault*('5. Scenarios'!$B$11-1))+INDEX(BookOneOff,2362)*$D2367)</f>
        <v/>
      </c>
      <c r="I2367" s="56" t="str">
        <f aca="false">IF(INDEX(BookTitle,2362)="","",INDEX(BookTotal,2362)*'5. Scenarios'!$C$6/(1+ProductivityDefault*('5. Scenarios'!$C$11-1)))</f>
        <v/>
      </c>
      <c r="J2367" s="57" t="str">
        <f aca="false">IF($I2367="","",INDEX(BookRate,2362)*(1+'5. Scenarios'!$C$10)*$I2367)</f>
        <v/>
      </c>
      <c r="K2367" s="57" t="str">
        <f aca="false">IF($J2367="","",SUMIFS($J$6:$J$2405,$A$6:$A$2405,"&lt;="&amp;$A2367))</f>
        <v/>
      </c>
      <c r="L2367" s="57" t="str">
        <f aca="false">IF($J2367="","",IF($K2367&lt;=BankCostEnvelope*'5. Scenarios'!$C$7,1,0))</f>
        <v/>
      </c>
      <c r="M2367" s="57" t="str">
        <f aca="false">IF($I2367="","",INDEX(BookRate,2362)*(1+'5. Scenarios'!$C$10)*(INDEX(BookQ1,2362)*(5-MIN(4,1+'5. Scenarios'!$C$8))/4+INDEX(BookQ2,2362)*(5-MIN(4,2+'5. Scenarios'!$C$8))/4+INDEX(BookQ3,2362)*(5-MIN(4,3+'5. Scenarios'!$C$8))/4+INDEX(BookQ4,2362)*(5-MIN(4,4+'5. Scenarios'!$C$8))/4)*'5. Scenarios'!$C$6/(1+ProductivityDefault*('5. Scenarios'!$C$11-1))+INDEX(BookOneOff,2362)*$I2367)</f>
        <v/>
      </c>
      <c r="N2367" s="56" t="str">
        <f aca="false">IF(INDEX(BookTitle,2362)="","",INDEX(BookTotal,2362)*'5. Scenarios'!$D$6/(1+ProductivityDefault*('5. Scenarios'!$D$11-1)))</f>
        <v/>
      </c>
      <c r="O2367" s="57" t="str">
        <f aca="false">IF($N2367="","",INDEX(BookRate,2362)*(1+'5. Scenarios'!$D$10)*$N2367)</f>
        <v/>
      </c>
      <c r="P2367" s="57" t="str">
        <f aca="false">IF($O2367="","",SUMIFS($O$6:$O$2405,$A$6:$A$2405,"&lt;="&amp;$A2367))</f>
        <v/>
      </c>
      <c r="Q2367" s="57" t="str">
        <f aca="false">IF($O2367="","",IF($P2367&lt;=BankCostEnvelope*'5. Scenarios'!$D$7,1,0))</f>
        <v/>
      </c>
      <c r="R2367" s="57" t="str">
        <f aca="false">IF($N2367="","",INDEX(BookRate,2362)*(1+'5. Scenarios'!$D$10)*(INDEX(BookQ1,2362)*(5-MIN(4,1+'5. Scenarios'!$D$8))/4+INDEX(BookQ2,2362)*(5-MIN(4,2+'5. Scenarios'!$D$8))/4+INDEX(BookQ3,2362)*(5-MIN(4,3+'5. Scenarios'!$D$8))/4+INDEX(BookQ4,2362)*(5-MIN(4,4+'5. Scenarios'!$D$8))/4)*'5. Scenarios'!$D$6/(1+ProductivityDefault*('5. Scenarios'!$D$11-1))+INDEX(BookOneOff,2362)*$N2367)</f>
        <v/>
      </c>
      <c r="S2367" s="56" t="str">
        <f aca="false">IF(INDEX(BookTitle,2362)="","",INDEX(BookTotal,2362)*'5. Scenarios'!$E$6/(1+ProductivityDefault*('5. Scenarios'!$E$11-1)))</f>
        <v/>
      </c>
      <c r="T2367" s="57" t="str">
        <f aca="false">IF($S2367="","",INDEX(BookRate,2362)*(1+'5. Scenarios'!$E$10)*$S2367)</f>
        <v/>
      </c>
      <c r="U2367" s="57" t="str">
        <f aca="false">IF($T2367="","",SUMIFS($T$6:$T$2405,$A$6:$A$2405,"&lt;="&amp;$A2367))</f>
        <v/>
      </c>
      <c r="V2367" s="57" t="str">
        <f aca="false">IF($T2367="","",IF($U2367&lt;=BankCostEnvelope*'5. Scenarios'!$E$7,1,0))</f>
        <v/>
      </c>
      <c r="W2367" s="57" t="str">
        <f aca="false">IF($S2367="","",INDEX(BookRate,2362)*(1+'5. Scenarios'!$E$10)*(INDEX(BookQ1,2362)*(5-MIN(4,1+'5. Scenarios'!$E$8))/4+INDEX(BookQ2,2362)*(5-MIN(4,2+'5. Scenarios'!$E$8))/4+INDEX(BookQ3,2362)*(5-MIN(4,3+'5. Scenarios'!$E$8))/4+INDEX(BookQ4,2362)*(5-MIN(4,4+'5. Scenarios'!$E$8))/4)*'5. Scenarios'!$E$6/(1+ProductivityDefault*('5. Scenarios'!$E$11-1))+INDEX(BookOneOff,2362)*$S2367)</f>
        <v/>
      </c>
    </row>
    <row r="2368" customFormat="false" ht="15" hidden="false" customHeight="false" outlineLevel="0" collapsed="false">
      <c r="A2368" s="0" t="str">
        <f aca="false">IF(INDEX(BookTitle,2363)="","",INDEX(BookKey,2363))</f>
        <v/>
      </c>
      <c r="B2368" s="0" t="str">
        <f aca="false">IF(INDEX(BookTitle,2363)="","",INDEX(BookGroup,2363))</f>
        <v/>
      </c>
      <c r="C2368" s="0" t="str">
        <f aca="false">IF(INDEX(BookTitle,2363)="","",INDEX(BookCategory,2363))</f>
        <v/>
      </c>
      <c r="D2368" s="56" t="str">
        <f aca="false">IF(INDEX(BookTitle,2363)="","",INDEX(BookTotal,2363)*'5. Scenarios'!$B$6/(1+ProductivityDefault*('5. Scenarios'!$B$11-1)))</f>
        <v/>
      </c>
      <c r="E2368" s="57" t="str">
        <f aca="false">IF($D2368="","",INDEX(BookRate,2363)*(1+'5. Scenarios'!$B$10)*$D2368)</f>
        <v/>
      </c>
      <c r="F2368" s="57" t="str">
        <f aca="false">IF($E2368="","",SUMIFS($E$6:$E$2405,$A$6:$A$2405,"&lt;="&amp;$A2368))</f>
        <v/>
      </c>
      <c r="G2368" s="57" t="str">
        <f aca="false">IF($E2368="","",IF($F2368&lt;=BankCostEnvelope*'5. Scenarios'!$B$7,1,0))</f>
        <v/>
      </c>
      <c r="H2368" s="57" t="str">
        <f aca="false">IF($D2368="","",INDEX(BookRate,2363)*(1+'5. Scenarios'!$B$10)*(INDEX(BookQ1,2363)*(5-MIN(4,1+'5. Scenarios'!$B$8))/4+INDEX(BookQ2,2363)*(5-MIN(4,2+'5. Scenarios'!$B$8))/4+INDEX(BookQ3,2363)*(5-MIN(4,3+'5. Scenarios'!$B$8))/4+INDEX(BookQ4,2363)*(5-MIN(4,4+'5. Scenarios'!$B$8))/4)*'5. Scenarios'!$B$6/(1+ProductivityDefault*('5. Scenarios'!$B$11-1))+INDEX(BookOneOff,2363)*$D2368)</f>
        <v/>
      </c>
      <c r="I2368" s="56" t="str">
        <f aca="false">IF(INDEX(BookTitle,2363)="","",INDEX(BookTotal,2363)*'5. Scenarios'!$C$6/(1+ProductivityDefault*('5. Scenarios'!$C$11-1)))</f>
        <v/>
      </c>
      <c r="J2368" s="57" t="str">
        <f aca="false">IF($I2368="","",INDEX(BookRate,2363)*(1+'5. Scenarios'!$C$10)*$I2368)</f>
        <v/>
      </c>
      <c r="K2368" s="57" t="str">
        <f aca="false">IF($J2368="","",SUMIFS($J$6:$J$2405,$A$6:$A$2405,"&lt;="&amp;$A2368))</f>
        <v/>
      </c>
      <c r="L2368" s="57" t="str">
        <f aca="false">IF($J2368="","",IF($K2368&lt;=BankCostEnvelope*'5. Scenarios'!$C$7,1,0))</f>
        <v/>
      </c>
      <c r="M2368" s="57" t="str">
        <f aca="false">IF($I2368="","",INDEX(BookRate,2363)*(1+'5. Scenarios'!$C$10)*(INDEX(BookQ1,2363)*(5-MIN(4,1+'5. Scenarios'!$C$8))/4+INDEX(BookQ2,2363)*(5-MIN(4,2+'5. Scenarios'!$C$8))/4+INDEX(BookQ3,2363)*(5-MIN(4,3+'5. Scenarios'!$C$8))/4+INDEX(BookQ4,2363)*(5-MIN(4,4+'5. Scenarios'!$C$8))/4)*'5. Scenarios'!$C$6/(1+ProductivityDefault*('5. Scenarios'!$C$11-1))+INDEX(BookOneOff,2363)*$I2368)</f>
        <v/>
      </c>
      <c r="N2368" s="56" t="str">
        <f aca="false">IF(INDEX(BookTitle,2363)="","",INDEX(BookTotal,2363)*'5. Scenarios'!$D$6/(1+ProductivityDefault*('5. Scenarios'!$D$11-1)))</f>
        <v/>
      </c>
      <c r="O2368" s="57" t="str">
        <f aca="false">IF($N2368="","",INDEX(BookRate,2363)*(1+'5. Scenarios'!$D$10)*$N2368)</f>
        <v/>
      </c>
      <c r="P2368" s="57" t="str">
        <f aca="false">IF($O2368="","",SUMIFS($O$6:$O$2405,$A$6:$A$2405,"&lt;="&amp;$A2368))</f>
        <v/>
      </c>
      <c r="Q2368" s="57" t="str">
        <f aca="false">IF($O2368="","",IF($P2368&lt;=BankCostEnvelope*'5. Scenarios'!$D$7,1,0))</f>
        <v/>
      </c>
      <c r="R2368" s="57" t="str">
        <f aca="false">IF($N2368="","",INDEX(BookRate,2363)*(1+'5. Scenarios'!$D$10)*(INDEX(BookQ1,2363)*(5-MIN(4,1+'5. Scenarios'!$D$8))/4+INDEX(BookQ2,2363)*(5-MIN(4,2+'5. Scenarios'!$D$8))/4+INDEX(BookQ3,2363)*(5-MIN(4,3+'5. Scenarios'!$D$8))/4+INDEX(BookQ4,2363)*(5-MIN(4,4+'5. Scenarios'!$D$8))/4)*'5. Scenarios'!$D$6/(1+ProductivityDefault*('5. Scenarios'!$D$11-1))+INDEX(BookOneOff,2363)*$N2368)</f>
        <v/>
      </c>
      <c r="S2368" s="56" t="str">
        <f aca="false">IF(INDEX(BookTitle,2363)="","",INDEX(BookTotal,2363)*'5. Scenarios'!$E$6/(1+ProductivityDefault*('5. Scenarios'!$E$11-1)))</f>
        <v/>
      </c>
      <c r="T2368" s="57" t="str">
        <f aca="false">IF($S2368="","",INDEX(BookRate,2363)*(1+'5. Scenarios'!$E$10)*$S2368)</f>
        <v/>
      </c>
      <c r="U2368" s="57" t="str">
        <f aca="false">IF($T2368="","",SUMIFS($T$6:$T$2405,$A$6:$A$2405,"&lt;="&amp;$A2368))</f>
        <v/>
      </c>
      <c r="V2368" s="57" t="str">
        <f aca="false">IF($T2368="","",IF($U2368&lt;=BankCostEnvelope*'5. Scenarios'!$E$7,1,0))</f>
        <v/>
      </c>
      <c r="W2368" s="57" t="str">
        <f aca="false">IF($S2368="","",INDEX(BookRate,2363)*(1+'5. Scenarios'!$E$10)*(INDEX(BookQ1,2363)*(5-MIN(4,1+'5. Scenarios'!$E$8))/4+INDEX(BookQ2,2363)*(5-MIN(4,2+'5. Scenarios'!$E$8))/4+INDEX(BookQ3,2363)*(5-MIN(4,3+'5. Scenarios'!$E$8))/4+INDEX(BookQ4,2363)*(5-MIN(4,4+'5. Scenarios'!$E$8))/4)*'5. Scenarios'!$E$6/(1+ProductivityDefault*('5. Scenarios'!$E$11-1))+INDEX(BookOneOff,2363)*$S2368)</f>
        <v/>
      </c>
    </row>
    <row r="2369" customFormat="false" ht="15" hidden="false" customHeight="false" outlineLevel="0" collapsed="false">
      <c r="A2369" s="0" t="str">
        <f aca="false">IF(INDEX(BookTitle,2364)="","",INDEX(BookKey,2364))</f>
        <v/>
      </c>
      <c r="B2369" s="0" t="str">
        <f aca="false">IF(INDEX(BookTitle,2364)="","",INDEX(BookGroup,2364))</f>
        <v/>
      </c>
      <c r="C2369" s="0" t="str">
        <f aca="false">IF(INDEX(BookTitle,2364)="","",INDEX(BookCategory,2364))</f>
        <v/>
      </c>
      <c r="D2369" s="56" t="str">
        <f aca="false">IF(INDEX(BookTitle,2364)="","",INDEX(BookTotal,2364)*'5. Scenarios'!$B$6/(1+ProductivityDefault*('5. Scenarios'!$B$11-1)))</f>
        <v/>
      </c>
      <c r="E2369" s="57" t="str">
        <f aca="false">IF($D2369="","",INDEX(BookRate,2364)*(1+'5. Scenarios'!$B$10)*$D2369)</f>
        <v/>
      </c>
      <c r="F2369" s="57" t="str">
        <f aca="false">IF($E2369="","",SUMIFS($E$6:$E$2405,$A$6:$A$2405,"&lt;="&amp;$A2369))</f>
        <v/>
      </c>
      <c r="G2369" s="57" t="str">
        <f aca="false">IF($E2369="","",IF($F2369&lt;=BankCostEnvelope*'5. Scenarios'!$B$7,1,0))</f>
        <v/>
      </c>
      <c r="H2369" s="57" t="str">
        <f aca="false">IF($D2369="","",INDEX(BookRate,2364)*(1+'5. Scenarios'!$B$10)*(INDEX(BookQ1,2364)*(5-MIN(4,1+'5. Scenarios'!$B$8))/4+INDEX(BookQ2,2364)*(5-MIN(4,2+'5. Scenarios'!$B$8))/4+INDEX(BookQ3,2364)*(5-MIN(4,3+'5. Scenarios'!$B$8))/4+INDEX(BookQ4,2364)*(5-MIN(4,4+'5. Scenarios'!$B$8))/4)*'5. Scenarios'!$B$6/(1+ProductivityDefault*('5. Scenarios'!$B$11-1))+INDEX(BookOneOff,2364)*$D2369)</f>
        <v/>
      </c>
      <c r="I2369" s="56" t="str">
        <f aca="false">IF(INDEX(BookTitle,2364)="","",INDEX(BookTotal,2364)*'5. Scenarios'!$C$6/(1+ProductivityDefault*('5. Scenarios'!$C$11-1)))</f>
        <v/>
      </c>
      <c r="J2369" s="57" t="str">
        <f aca="false">IF($I2369="","",INDEX(BookRate,2364)*(1+'5. Scenarios'!$C$10)*$I2369)</f>
        <v/>
      </c>
      <c r="K2369" s="57" t="str">
        <f aca="false">IF($J2369="","",SUMIFS($J$6:$J$2405,$A$6:$A$2405,"&lt;="&amp;$A2369))</f>
        <v/>
      </c>
      <c r="L2369" s="57" t="str">
        <f aca="false">IF($J2369="","",IF($K2369&lt;=BankCostEnvelope*'5. Scenarios'!$C$7,1,0))</f>
        <v/>
      </c>
      <c r="M2369" s="57" t="str">
        <f aca="false">IF($I2369="","",INDEX(BookRate,2364)*(1+'5. Scenarios'!$C$10)*(INDEX(BookQ1,2364)*(5-MIN(4,1+'5. Scenarios'!$C$8))/4+INDEX(BookQ2,2364)*(5-MIN(4,2+'5. Scenarios'!$C$8))/4+INDEX(BookQ3,2364)*(5-MIN(4,3+'5. Scenarios'!$C$8))/4+INDEX(BookQ4,2364)*(5-MIN(4,4+'5. Scenarios'!$C$8))/4)*'5. Scenarios'!$C$6/(1+ProductivityDefault*('5. Scenarios'!$C$11-1))+INDEX(BookOneOff,2364)*$I2369)</f>
        <v/>
      </c>
      <c r="N2369" s="56" t="str">
        <f aca="false">IF(INDEX(BookTitle,2364)="","",INDEX(BookTotal,2364)*'5. Scenarios'!$D$6/(1+ProductivityDefault*('5. Scenarios'!$D$11-1)))</f>
        <v/>
      </c>
      <c r="O2369" s="57" t="str">
        <f aca="false">IF($N2369="","",INDEX(BookRate,2364)*(1+'5. Scenarios'!$D$10)*$N2369)</f>
        <v/>
      </c>
      <c r="P2369" s="57" t="str">
        <f aca="false">IF($O2369="","",SUMIFS($O$6:$O$2405,$A$6:$A$2405,"&lt;="&amp;$A2369))</f>
        <v/>
      </c>
      <c r="Q2369" s="57" t="str">
        <f aca="false">IF($O2369="","",IF($P2369&lt;=BankCostEnvelope*'5. Scenarios'!$D$7,1,0))</f>
        <v/>
      </c>
      <c r="R2369" s="57" t="str">
        <f aca="false">IF($N2369="","",INDEX(BookRate,2364)*(1+'5. Scenarios'!$D$10)*(INDEX(BookQ1,2364)*(5-MIN(4,1+'5. Scenarios'!$D$8))/4+INDEX(BookQ2,2364)*(5-MIN(4,2+'5. Scenarios'!$D$8))/4+INDEX(BookQ3,2364)*(5-MIN(4,3+'5. Scenarios'!$D$8))/4+INDEX(BookQ4,2364)*(5-MIN(4,4+'5. Scenarios'!$D$8))/4)*'5. Scenarios'!$D$6/(1+ProductivityDefault*('5. Scenarios'!$D$11-1))+INDEX(BookOneOff,2364)*$N2369)</f>
        <v/>
      </c>
      <c r="S2369" s="56" t="str">
        <f aca="false">IF(INDEX(BookTitle,2364)="","",INDEX(BookTotal,2364)*'5. Scenarios'!$E$6/(1+ProductivityDefault*('5. Scenarios'!$E$11-1)))</f>
        <v/>
      </c>
      <c r="T2369" s="57" t="str">
        <f aca="false">IF($S2369="","",INDEX(BookRate,2364)*(1+'5. Scenarios'!$E$10)*$S2369)</f>
        <v/>
      </c>
      <c r="U2369" s="57" t="str">
        <f aca="false">IF($T2369="","",SUMIFS($T$6:$T$2405,$A$6:$A$2405,"&lt;="&amp;$A2369))</f>
        <v/>
      </c>
      <c r="V2369" s="57" t="str">
        <f aca="false">IF($T2369="","",IF($U2369&lt;=BankCostEnvelope*'5. Scenarios'!$E$7,1,0))</f>
        <v/>
      </c>
      <c r="W2369" s="57" t="str">
        <f aca="false">IF($S2369="","",INDEX(BookRate,2364)*(1+'5. Scenarios'!$E$10)*(INDEX(BookQ1,2364)*(5-MIN(4,1+'5. Scenarios'!$E$8))/4+INDEX(BookQ2,2364)*(5-MIN(4,2+'5. Scenarios'!$E$8))/4+INDEX(BookQ3,2364)*(5-MIN(4,3+'5. Scenarios'!$E$8))/4+INDEX(BookQ4,2364)*(5-MIN(4,4+'5. Scenarios'!$E$8))/4)*'5. Scenarios'!$E$6/(1+ProductivityDefault*('5. Scenarios'!$E$11-1))+INDEX(BookOneOff,2364)*$S2369)</f>
        <v/>
      </c>
    </row>
    <row r="2370" customFormat="false" ht="15" hidden="false" customHeight="false" outlineLevel="0" collapsed="false">
      <c r="A2370" s="0" t="str">
        <f aca="false">IF(INDEX(BookTitle,2365)="","",INDEX(BookKey,2365))</f>
        <v/>
      </c>
      <c r="B2370" s="0" t="str">
        <f aca="false">IF(INDEX(BookTitle,2365)="","",INDEX(BookGroup,2365))</f>
        <v/>
      </c>
      <c r="C2370" s="0" t="str">
        <f aca="false">IF(INDEX(BookTitle,2365)="","",INDEX(BookCategory,2365))</f>
        <v/>
      </c>
      <c r="D2370" s="56" t="str">
        <f aca="false">IF(INDEX(BookTitle,2365)="","",INDEX(BookTotal,2365)*'5. Scenarios'!$B$6/(1+ProductivityDefault*('5. Scenarios'!$B$11-1)))</f>
        <v/>
      </c>
      <c r="E2370" s="57" t="str">
        <f aca="false">IF($D2370="","",INDEX(BookRate,2365)*(1+'5. Scenarios'!$B$10)*$D2370)</f>
        <v/>
      </c>
      <c r="F2370" s="57" t="str">
        <f aca="false">IF($E2370="","",SUMIFS($E$6:$E$2405,$A$6:$A$2405,"&lt;="&amp;$A2370))</f>
        <v/>
      </c>
      <c r="G2370" s="57" t="str">
        <f aca="false">IF($E2370="","",IF($F2370&lt;=BankCostEnvelope*'5. Scenarios'!$B$7,1,0))</f>
        <v/>
      </c>
      <c r="H2370" s="57" t="str">
        <f aca="false">IF($D2370="","",INDEX(BookRate,2365)*(1+'5. Scenarios'!$B$10)*(INDEX(BookQ1,2365)*(5-MIN(4,1+'5. Scenarios'!$B$8))/4+INDEX(BookQ2,2365)*(5-MIN(4,2+'5. Scenarios'!$B$8))/4+INDEX(BookQ3,2365)*(5-MIN(4,3+'5. Scenarios'!$B$8))/4+INDEX(BookQ4,2365)*(5-MIN(4,4+'5. Scenarios'!$B$8))/4)*'5. Scenarios'!$B$6/(1+ProductivityDefault*('5. Scenarios'!$B$11-1))+INDEX(BookOneOff,2365)*$D2370)</f>
        <v/>
      </c>
      <c r="I2370" s="56" t="str">
        <f aca="false">IF(INDEX(BookTitle,2365)="","",INDEX(BookTotal,2365)*'5. Scenarios'!$C$6/(1+ProductivityDefault*('5. Scenarios'!$C$11-1)))</f>
        <v/>
      </c>
      <c r="J2370" s="57" t="str">
        <f aca="false">IF($I2370="","",INDEX(BookRate,2365)*(1+'5. Scenarios'!$C$10)*$I2370)</f>
        <v/>
      </c>
      <c r="K2370" s="57" t="str">
        <f aca="false">IF($J2370="","",SUMIFS($J$6:$J$2405,$A$6:$A$2405,"&lt;="&amp;$A2370))</f>
        <v/>
      </c>
      <c r="L2370" s="57" t="str">
        <f aca="false">IF($J2370="","",IF($K2370&lt;=BankCostEnvelope*'5. Scenarios'!$C$7,1,0))</f>
        <v/>
      </c>
      <c r="M2370" s="57" t="str">
        <f aca="false">IF($I2370="","",INDEX(BookRate,2365)*(1+'5. Scenarios'!$C$10)*(INDEX(BookQ1,2365)*(5-MIN(4,1+'5. Scenarios'!$C$8))/4+INDEX(BookQ2,2365)*(5-MIN(4,2+'5. Scenarios'!$C$8))/4+INDEX(BookQ3,2365)*(5-MIN(4,3+'5. Scenarios'!$C$8))/4+INDEX(BookQ4,2365)*(5-MIN(4,4+'5. Scenarios'!$C$8))/4)*'5. Scenarios'!$C$6/(1+ProductivityDefault*('5. Scenarios'!$C$11-1))+INDEX(BookOneOff,2365)*$I2370)</f>
        <v/>
      </c>
      <c r="N2370" s="56" t="str">
        <f aca="false">IF(INDEX(BookTitle,2365)="","",INDEX(BookTotal,2365)*'5. Scenarios'!$D$6/(1+ProductivityDefault*('5. Scenarios'!$D$11-1)))</f>
        <v/>
      </c>
      <c r="O2370" s="57" t="str">
        <f aca="false">IF($N2370="","",INDEX(BookRate,2365)*(1+'5. Scenarios'!$D$10)*$N2370)</f>
        <v/>
      </c>
      <c r="P2370" s="57" t="str">
        <f aca="false">IF($O2370="","",SUMIFS($O$6:$O$2405,$A$6:$A$2405,"&lt;="&amp;$A2370))</f>
        <v/>
      </c>
      <c r="Q2370" s="57" t="str">
        <f aca="false">IF($O2370="","",IF($P2370&lt;=BankCostEnvelope*'5. Scenarios'!$D$7,1,0))</f>
        <v/>
      </c>
      <c r="R2370" s="57" t="str">
        <f aca="false">IF($N2370="","",INDEX(BookRate,2365)*(1+'5. Scenarios'!$D$10)*(INDEX(BookQ1,2365)*(5-MIN(4,1+'5. Scenarios'!$D$8))/4+INDEX(BookQ2,2365)*(5-MIN(4,2+'5. Scenarios'!$D$8))/4+INDEX(BookQ3,2365)*(5-MIN(4,3+'5. Scenarios'!$D$8))/4+INDEX(BookQ4,2365)*(5-MIN(4,4+'5. Scenarios'!$D$8))/4)*'5. Scenarios'!$D$6/(1+ProductivityDefault*('5. Scenarios'!$D$11-1))+INDEX(BookOneOff,2365)*$N2370)</f>
        <v/>
      </c>
      <c r="S2370" s="56" t="str">
        <f aca="false">IF(INDEX(BookTitle,2365)="","",INDEX(BookTotal,2365)*'5. Scenarios'!$E$6/(1+ProductivityDefault*('5. Scenarios'!$E$11-1)))</f>
        <v/>
      </c>
      <c r="T2370" s="57" t="str">
        <f aca="false">IF($S2370="","",INDEX(BookRate,2365)*(1+'5. Scenarios'!$E$10)*$S2370)</f>
        <v/>
      </c>
      <c r="U2370" s="57" t="str">
        <f aca="false">IF($T2370="","",SUMIFS($T$6:$T$2405,$A$6:$A$2405,"&lt;="&amp;$A2370))</f>
        <v/>
      </c>
      <c r="V2370" s="57" t="str">
        <f aca="false">IF($T2370="","",IF($U2370&lt;=BankCostEnvelope*'5. Scenarios'!$E$7,1,0))</f>
        <v/>
      </c>
      <c r="W2370" s="57" t="str">
        <f aca="false">IF($S2370="","",INDEX(BookRate,2365)*(1+'5. Scenarios'!$E$10)*(INDEX(BookQ1,2365)*(5-MIN(4,1+'5. Scenarios'!$E$8))/4+INDEX(BookQ2,2365)*(5-MIN(4,2+'5. Scenarios'!$E$8))/4+INDEX(BookQ3,2365)*(5-MIN(4,3+'5. Scenarios'!$E$8))/4+INDEX(BookQ4,2365)*(5-MIN(4,4+'5. Scenarios'!$E$8))/4)*'5. Scenarios'!$E$6/(1+ProductivityDefault*('5. Scenarios'!$E$11-1))+INDEX(BookOneOff,2365)*$S2370)</f>
        <v/>
      </c>
    </row>
    <row r="2371" customFormat="false" ht="15" hidden="false" customHeight="false" outlineLevel="0" collapsed="false">
      <c r="A2371" s="0" t="str">
        <f aca="false">IF(INDEX(BookTitle,2366)="","",INDEX(BookKey,2366))</f>
        <v/>
      </c>
      <c r="B2371" s="0" t="str">
        <f aca="false">IF(INDEX(BookTitle,2366)="","",INDEX(BookGroup,2366))</f>
        <v/>
      </c>
      <c r="C2371" s="0" t="str">
        <f aca="false">IF(INDEX(BookTitle,2366)="","",INDEX(BookCategory,2366))</f>
        <v/>
      </c>
      <c r="D2371" s="56" t="str">
        <f aca="false">IF(INDEX(BookTitle,2366)="","",INDEX(BookTotal,2366)*'5. Scenarios'!$B$6/(1+ProductivityDefault*('5. Scenarios'!$B$11-1)))</f>
        <v/>
      </c>
      <c r="E2371" s="57" t="str">
        <f aca="false">IF($D2371="","",INDEX(BookRate,2366)*(1+'5. Scenarios'!$B$10)*$D2371)</f>
        <v/>
      </c>
      <c r="F2371" s="57" t="str">
        <f aca="false">IF($E2371="","",SUMIFS($E$6:$E$2405,$A$6:$A$2405,"&lt;="&amp;$A2371))</f>
        <v/>
      </c>
      <c r="G2371" s="57" t="str">
        <f aca="false">IF($E2371="","",IF($F2371&lt;=BankCostEnvelope*'5. Scenarios'!$B$7,1,0))</f>
        <v/>
      </c>
      <c r="H2371" s="57" t="str">
        <f aca="false">IF($D2371="","",INDEX(BookRate,2366)*(1+'5. Scenarios'!$B$10)*(INDEX(BookQ1,2366)*(5-MIN(4,1+'5. Scenarios'!$B$8))/4+INDEX(BookQ2,2366)*(5-MIN(4,2+'5. Scenarios'!$B$8))/4+INDEX(BookQ3,2366)*(5-MIN(4,3+'5. Scenarios'!$B$8))/4+INDEX(BookQ4,2366)*(5-MIN(4,4+'5. Scenarios'!$B$8))/4)*'5. Scenarios'!$B$6/(1+ProductivityDefault*('5. Scenarios'!$B$11-1))+INDEX(BookOneOff,2366)*$D2371)</f>
        <v/>
      </c>
      <c r="I2371" s="56" t="str">
        <f aca="false">IF(INDEX(BookTitle,2366)="","",INDEX(BookTotal,2366)*'5. Scenarios'!$C$6/(1+ProductivityDefault*('5. Scenarios'!$C$11-1)))</f>
        <v/>
      </c>
      <c r="J2371" s="57" t="str">
        <f aca="false">IF($I2371="","",INDEX(BookRate,2366)*(1+'5. Scenarios'!$C$10)*$I2371)</f>
        <v/>
      </c>
      <c r="K2371" s="57" t="str">
        <f aca="false">IF($J2371="","",SUMIFS($J$6:$J$2405,$A$6:$A$2405,"&lt;="&amp;$A2371))</f>
        <v/>
      </c>
      <c r="L2371" s="57" t="str">
        <f aca="false">IF($J2371="","",IF($K2371&lt;=BankCostEnvelope*'5. Scenarios'!$C$7,1,0))</f>
        <v/>
      </c>
      <c r="M2371" s="57" t="str">
        <f aca="false">IF($I2371="","",INDEX(BookRate,2366)*(1+'5. Scenarios'!$C$10)*(INDEX(BookQ1,2366)*(5-MIN(4,1+'5. Scenarios'!$C$8))/4+INDEX(BookQ2,2366)*(5-MIN(4,2+'5. Scenarios'!$C$8))/4+INDEX(BookQ3,2366)*(5-MIN(4,3+'5. Scenarios'!$C$8))/4+INDEX(BookQ4,2366)*(5-MIN(4,4+'5. Scenarios'!$C$8))/4)*'5. Scenarios'!$C$6/(1+ProductivityDefault*('5. Scenarios'!$C$11-1))+INDEX(BookOneOff,2366)*$I2371)</f>
        <v/>
      </c>
      <c r="N2371" s="56" t="str">
        <f aca="false">IF(INDEX(BookTitle,2366)="","",INDEX(BookTotal,2366)*'5. Scenarios'!$D$6/(1+ProductivityDefault*('5. Scenarios'!$D$11-1)))</f>
        <v/>
      </c>
      <c r="O2371" s="57" t="str">
        <f aca="false">IF($N2371="","",INDEX(BookRate,2366)*(1+'5. Scenarios'!$D$10)*$N2371)</f>
        <v/>
      </c>
      <c r="P2371" s="57" t="str">
        <f aca="false">IF($O2371="","",SUMIFS($O$6:$O$2405,$A$6:$A$2405,"&lt;="&amp;$A2371))</f>
        <v/>
      </c>
      <c r="Q2371" s="57" t="str">
        <f aca="false">IF($O2371="","",IF($P2371&lt;=BankCostEnvelope*'5. Scenarios'!$D$7,1,0))</f>
        <v/>
      </c>
      <c r="R2371" s="57" t="str">
        <f aca="false">IF($N2371="","",INDEX(BookRate,2366)*(1+'5. Scenarios'!$D$10)*(INDEX(BookQ1,2366)*(5-MIN(4,1+'5. Scenarios'!$D$8))/4+INDEX(BookQ2,2366)*(5-MIN(4,2+'5. Scenarios'!$D$8))/4+INDEX(BookQ3,2366)*(5-MIN(4,3+'5. Scenarios'!$D$8))/4+INDEX(BookQ4,2366)*(5-MIN(4,4+'5. Scenarios'!$D$8))/4)*'5. Scenarios'!$D$6/(1+ProductivityDefault*('5. Scenarios'!$D$11-1))+INDEX(BookOneOff,2366)*$N2371)</f>
        <v/>
      </c>
      <c r="S2371" s="56" t="str">
        <f aca="false">IF(INDEX(BookTitle,2366)="","",INDEX(BookTotal,2366)*'5. Scenarios'!$E$6/(1+ProductivityDefault*('5. Scenarios'!$E$11-1)))</f>
        <v/>
      </c>
      <c r="T2371" s="57" t="str">
        <f aca="false">IF($S2371="","",INDEX(BookRate,2366)*(1+'5. Scenarios'!$E$10)*$S2371)</f>
        <v/>
      </c>
      <c r="U2371" s="57" t="str">
        <f aca="false">IF($T2371="","",SUMIFS($T$6:$T$2405,$A$6:$A$2405,"&lt;="&amp;$A2371))</f>
        <v/>
      </c>
      <c r="V2371" s="57" t="str">
        <f aca="false">IF($T2371="","",IF($U2371&lt;=BankCostEnvelope*'5. Scenarios'!$E$7,1,0))</f>
        <v/>
      </c>
      <c r="W2371" s="57" t="str">
        <f aca="false">IF($S2371="","",INDEX(BookRate,2366)*(1+'5. Scenarios'!$E$10)*(INDEX(BookQ1,2366)*(5-MIN(4,1+'5. Scenarios'!$E$8))/4+INDEX(BookQ2,2366)*(5-MIN(4,2+'5. Scenarios'!$E$8))/4+INDEX(BookQ3,2366)*(5-MIN(4,3+'5. Scenarios'!$E$8))/4+INDEX(BookQ4,2366)*(5-MIN(4,4+'5. Scenarios'!$E$8))/4)*'5. Scenarios'!$E$6/(1+ProductivityDefault*('5. Scenarios'!$E$11-1))+INDEX(BookOneOff,2366)*$S2371)</f>
        <v/>
      </c>
    </row>
    <row r="2372" customFormat="false" ht="15" hidden="false" customHeight="false" outlineLevel="0" collapsed="false">
      <c r="A2372" s="0" t="str">
        <f aca="false">IF(INDEX(BookTitle,2367)="","",INDEX(BookKey,2367))</f>
        <v/>
      </c>
      <c r="B2372" s="0" t="str">
        <f aca="false">IF(INDEX(BookTitle,2367)="","",INDEX(BookGroup,2367))</f>
        <v/>
      </c>
      <c r="C2372" s="0" t="str">
        <f aca="false">IF(INDEX(BookTitle,2367)="","",INDEX(BookCategory,2367))</f>
        <v/>
      </c>
      <c r="D2372" s="56" t="str">
        <f aca="false">IF(INDEX(BookTitle,2367)="","",INDEX(BookTotal,2367)*'5. Scenarios'!$B$6/(1+ProductivityDefault*('5. Scenarios'!$B$11-1)))</f>
        <v/>
      </c>
      <c r="E2372" s="57" t="str">
        <f aca="false">IF($D2372="","",INDEX(BookRate,2367)*(1+'5. Scenarios'!$B$10)*$D2372)</f>
        <v/>
      </c>
      <c r="F2372" s="57" t="str">
        <f aca="false">IF($E2372="","",SUMIFS($E$6:$E$2405,$A$6:$A$2405,"&lt;="&amp;$A2372))</f>
        <v/>
      </c>
      <c r="G2372" s="57" t="str">
        <f aca="false">IF($E2372="","",IF($F2372&lt;=BankCostEnvelope*'5. Scenarios'!$B$7,1,0))</f>
        <v/>
      </c>
      <c r="H2372" s="57" t="str">
        <f aca="false">IF($D2372="","",INDEX(BookRate,2367)*(1+'5. Scenarios'!$B$10)*(INDEX(BookQ1,2367)*(5-MIN(4,1+'5. Scenarios'!$B$8))/4+INDEX(BookQ2,2367)*(5-MIN(4,2+'5. Scenarios'!$B$8))/4+INDEX(BookQ3,2367)*(5-MIN(4,3+'5. Scenarios'!$B$8))/4+INDEX(BookQ4,2367)*(5-MIN(4,4+'5. Scenarios'!$B$8))/4)*'5. Scenarios'!$B$6/(1+ProductivityDefault*('5. Scenarios'!$B$11-1))+INDEX(BookOneOff,2367)*$D2372)</f>
        <v/>
      </c>
      <c r="I2372" s="56" t="str">
        <f aca="false">IF(INDEX(BookTitle,2367)="","",INDEX(BookTotal,2367)*'5. Scenarios'!$C$6/(1+ProductivityDefault*('5. Scenarios'!$C$11-1)))</f>
        <v/>
      </c>
      <c r="J2372" s="57" t="str">
        <f aca="false">IF($I2372="","",INDEX(BookRate,2367)*(1+'5. Scenarios'!$C$10)*$I2372)</f>
        <v/>
      </c>
      <c r="K2372" s="57" t="str">
        <f aca="false">IF($J2372="","",SUMIFS($J$6:$J$2405,$A$6:$A$2405,"&lt;="&amp;$A2372))</f>
        <v/>
      </c>
      <c r="L2372" s="57" t="str">
        <f aca="false">IF($J2372="","",IF($K2372&lt;=BankCostEnvelope*'5. Scenarios'!$C$7,1,0))</f>
        <v/>
      </c>
      <c r="M2372" s="57" t="str">
        <f aca="false">IF($I2372="","",INDEX(BookRate,2367)*(1+'5. Scenarios'!$C$10)*(INDEX(BookQ1,2367)*(5-MIN(4,1+'5. Scenarios'!$C$8))/4+INDEX(BookQ2,2367)*(5-MIN(4,2+'5. Scenarios'!$C$8))/4+INDEX(BookQ3,2367)*(5-MIN(4,3+'5. Scenarios'!$C$8))/4+INDEX(BookQ4,2367)*(5-MIN(4,4+'5. Scenarios'!$C$8))/4)*'5. Scenarios'!$C$6/(1+ProductivityDefault*('5. Scenarios'!$C$11-1))+INDEX(BookOneOff,2367)*$I2372)</f>
        <v/>
      </c>
      <c r="N2372" s="56" t="str">
        <f aca="false">IF(INDEX(BookTitle,2367)="","",INDEX(BookTotal,2367)*'5. Scenarios'!$D$6/(1+ProductivityDefault*('5. Scenarios'!$D$11-1)))</f>
        <v/>
      </c>
      <c r="O2372" s="57" t="str">
        <f aca="false">IF($N2372="","",INDEX(BookRate,2367)*(1+'5. Scenarios'!$D$10)*$N2372)</f>
        <v/>
      </c>
      <c r="P2372" s="57" t="str">
        <f aca="false">IF($O2372="","",SUMIFS($O$6:$O$2405,$A$6:$A$2405,"&lt;="&amp;$A2372))</f>
        <v/>
      </c>
      <c r="Q2372" s="57" t="str">
        <f aca="false">IF($O2372="","",IF($P2372&lt;=BankCostEnvelope*'5. Scenarios'!$D$7,1,0))</f>
        <v/>
      </c>
      <c r="R2372" s="57" t="str">
        <f aca="false">IF($N2372="","",INDEX(BookRate,2367)*(1+'5. Scenarios'!$D$10)*(INDEX(BookQ1,2367)*(5-MIN(4,1+'5. Scenarios'!$D$8))/4+INDEX(BookQ2,2367)*(5-MIN(4,2+'5. Scenarios'!$D$8))/4+INDEX(BookQ3,2367)*(5-MIN(4,3+'5. Scenarios'!$D$8))/4+INDEX(BookQ4,2367)*(5-MIN(4,4+'5. Scenarios'!$D$8))/4)*'5. Scenarios'!$D$6/(1+ProductivityDefault*('5. Scenarios'!$D$11-1))+INDEX(BookOneOff,2367)*$N2372)</f>
        <v/>
      </c>
      <c r="S2372" s="56" t="str">
        <f aca="false">IF(INDEX(BookTitle,2367)="","",INDEX(BookTotal,2367)*'5. Scenarios'!$E$6/(1+ProductivityDefault*('5. Scenarios'!$E$11-1)))</f>
        <v/>
      </c>
      <c r="T2372" s="57" t="str">
        <f aca="false">IF($S2372="","",INDEX(BookRate,2367)*(1+'5. Scenarios'!$E$10)*$S2372)</f>
        <v/>
      </c>
      <c r="U2372" s="57" t="str">
        <f aca="false">IF($T2372="","",SUMIFS($T$6:$T$2405,$A$6:$A$2405,"&lt;="&amp;$A2372))</f>
        <v/>
      </c>
      <c r="V2372" s="57" t="str">
        <f aca="false">IF($T2372="","",IF($U2372&lt;=BankCostEnvelope*'5. Scenarios'!$E$7,1,0))</f>
        <v/>
      </c>
      <c r="W2372" s="57" t="str">
        <f aca="false">IF($S2372="","",INDEX(BookRate,2367)*(1+'5. Scenarios'!$E$10)*(INDEX(BookQ1,2367)*(5-MIN(4,1+'5. Scenarios'!$E$8))/4+INDEX(BookQ2,2367)*(5-MIN(4,2+'5. Scenarios'!$E$8))/4+INDEX(BookQ3,2367)*(5-MIN(4,3+'5. Scenarios'!$E$8))/4+INDEX(BookQ4,2367)*(5-MIN(4,4+'5. Scenarios'!$E$8))/4)*'5. Scenarios'!$E$6/(1+ProductivityDefault*('5. Scenarios'!$E$11-1))+INDEX(BookOneOff,2367)*$S2372)</f>
        <v/>
      </c>
    </row>
    <row r="2373" customFormat="false" ht="15" hidden="false" customHeight="false" outlineLevel="0" collapsed="false">
      <c r="A2373" s="0" t="str">
        <f aca="false">IF(INDEX(BookTitle,2368)="","",INDEX(BookKey,2368))</f>
        <v/>
      </c>
      <c r="B2373" s="0" t="str">
        <f aca="false">IF(INDEX(BookTitle,2368)="","",INDEX(BookGroup,2368))</f>
        <v/>
      </c>
      <c r="C2373" s="0" t="str">
        <f aca="false">IF(INDEX(BookTitle,2368)="","",INDEX(BookCategory,2368))</f>
        <v/>
      </c>
      <c r="D2373" s="56" t="str">
        <f aca="false">IF(INDEX(BookTitle,2368)="","",INDEX(BookTotal,2368)*'5. Scenarios'!$B$6/(1+ProductivityDefault*('5. Scenarios'!$B$11-1)))</f>
        <v/>
      </c>
      <c r="E2373" s="57" t="str">
        <f aca="false">IF($D2373="","",INDEX(BookRate,2368)*(1+'5. Scenarios'!$B$10)*$D2373)</f>
        <v/>
      </c>
      <c r="F2373" s="57" t="str">
        <f aca="false">IF($E2373="","",SUMIFS($E$6:$E$2405,$A$6:$A$2405,"&lt;="&amp;$A2373))</f>
        <v/>
      </c>
      <c r="G2373" s="57" t="str">
        <f aca="false">IF($E2373="","",IF($F2373&lt;=BankCostEnvelope*'5. Scenarios'!$B$7,1,0))</f>
        <v/>
      </c>
      <c r="H2373" s="57" t="str">
        <f aca="false">IF($D2373="","",INDEX(BookRate,2368)*(1+'5. Scenarios'!$B$10)*(INDEX(BookQ1,2368)*(5-MIN(4,1+'5. Scenarios'!$B$8))/4+INDEX(BookQ2,2368)*(5-MIN(4,2+'5. Scenarios'!$B$8))/4+INDEX(BookQ3,2368)*(5-MIN(4,3+'5. Scenarios'!$B$8))/4+INDEX(BookQ4,2368)*(5-MIN(4,4+'5. Scenarios'!$B$8))/4)*'5. Scenarios'!$B$6/(1+ProductivityDefault*('5. Scenarios'!$B$11-1))+INDEX(BookOneOff,2368)*$D2373)</f>
        <v/>
      </c>
      <c r="I2373" s="56" t="str">
        <f aca="false">IF(INDEX(BookTitle,2368)="","",INDEX(BookTotal,2368)*'5. Scenarios'!$C$6/(1+ProductivityDefault*('5. Scenarios'!$C$11-1)))</f>
        <v/>
      </c>
      <c r="J2373" s="57" t="str">
        <f aca="false">IF($I2373="","",INDEX(BookRate,2368)*(1+'5. Scenarios'!$C$10)*$I2373)</f>
        <v/>
      </c>
      <c r="K2373" s="57" t="str">
        <f aca="false">IF($J2373="","",SUMIFS($J$6:$J$2405,$A$6:$A$2405,"&lt;="&amp;$A2373))</f>
        <v/>
      </c>
      <c r="L2373" s="57" t="str">
        <f aca="false">IF($J2373="","",IF($K2373&lt;=BankCostEnvelope*'5. Scenarios'!$C$7,1,0))</f>
        <v/>
      </c>
      <c r="M2373" s="57" t="str">
        <f aca="false">IF($I2373="","",INDEX(BookRate,2368)*(1+'5. Scenarios'!$C$10)*(INDEX(BookQ1,2368)*(5-MIN(4,1+'5. Scenarios'!$C$8))/4+INDEX(BookQ2,2368)*(5-MIN(4,2+'5. Scenarios'!$C$8))/4+INDEX(BookQ3,2368)*(5-MIN(4,3+'5. Scenarios'!$C$8))/4+INDEX(BookQ4,2368)*(5-MIN(4,4+'5. Scenarios'!$C$8))/4)*'5. Scenarios'!$C$6/(1+ProductivityDefault*('5. Scenarios'!$C$11-1))+INDEX(BookOneOff,2368)*$I2373)</f>
        <v/>
      </c>
      <c r="N2373" s="56" t="str">
        <f aca="false">IF(INDEX(BookTitle,2368)="","",INDEX(BookTotal,2368)*'5. Scenarios'!$D$6/(1+ProductivityDefault*('5. Scenarios'!$D$11-1)))</f>
        <v/>
      </c>
      <c r="O2373" s="57" t="str">
        <f aca="false">IF($N2373="","",INDEX(BookRate,2368)*(1+'5. Scenarios'!$D$10)*$N2373)</f>
        <v/>
      </c>
      <c r="P2373" s="57" t="str">
        <f aca="false">IF($O2373="","",SUMIFS($O$6:$O$2405,$A$6:$A$2405,"&lt;="&amp;$A2373))</f>
        <v/>
      </c>
      <c r="Q2373" s="57" t="str">
        <f aca="false">IF($O2373="","",IF($P2373&lt;=BankCostEnvelope*'5. Scenarios'!$D$7,1,0))</f>
        <v/>
      </c>
      <c r="R2373" s="57" t="str">
        <f aca="false">IF($N2373="","",INDEX(BookRate,2368)*(1+'5. Scenarios'!$D$10)*(INDEX(BookQ1,2368)*(5-MIN(4,1+'5. Scenarios'!$D$8))/4+INDEX(BookQ2,2368)*(5-MIN(4,2+'5. Scenarios'!$D$8))/4+INDEX(BookQ3,2368)*(5-MIN(4,3+'5. Scenarios'!$D$8))/4+INDEX(BookQ4,2368)*(5-MIN(4,4+'5. Scenarios'!$D$8))/4)*'5. Scenarios'!$D$6/(1+ProductivityDefault*('5. Scenarios'!$D$11-1))+INDEX(BookOneOff,2368)*$N2373)</f>
        <v/>
      </c>
      <c r="S2373" s="56" t="str">
        <f aca="false">IF(INDEX(BookTitle,2368)="","",INDEX(BookTotal,2368)*'5. Scenarios'!$E$6/(1+ProductivityDefault*('5. Scenarios'!$E$11-1)))</f>
        <v/>
      </c>
      <c r="T2373" s="57" t="str">
        <f aca="false">IF($S2373="","",INDEX(BookRate,2368)*(1+'5. Scenarios'!$E$10)*$S2373)</f>
        <v/>
      </c>
      <c r="U2373" s="57" t="str">
        <f aca="false">IF($T2373="","",SUMIFS($T$6:$T$2405,$A$6:$A$2405,"&lt;="&amp;$A2373))</f>
        <v/>
      </c>
      <c r="V2373" s="57" t="str">
        <f aca="false">IF($T2373="","",IF($U2373&lt;=BankCostEnvelope*'5. Scenarios'!$E$7,1,0))</f>
        <v/>
      </c>
      <c r="W2373" s="57" t="str">
        <f aca="false">IF($S2373="","",INDEX(BookRate,2368)*(1+'5. Scenarios'!$E$10)*(INDEX(BookQ1,2368)*(5-MIN(4,1+'5. Scenarios'!$E$8))/4+INDEX(BookQ2,2368)*(5-MIN(4,2+'5. Scenarios'!$E$8))/4+INDEX(BookQ3,2368)*(5-MIN(4,3+'5. Scenarios'!$E$8))/4+INDEX(BookQ4,2368)*(5-MIN(4,4+'5. Scenarios'!$E$8))/4)*'5. Scenarios'!$E$6/(1+ProductivityDefault*('5. Scenarios'!$E$11-1))+INDEX(BookOneOff,2368)*$S2373)</f>
        <v/>
      </c>
    </row>
    <row r="2374" customFormat="false" ht="15" hidden="false" customHeight="false" outlineLevel="0" collapsed="false">
      <c r="A2374" s="0" t="str">
        <f aca="false">IF(INDEX(BookTitle,2369)="","",INDEX(BookKey,2369))</f>
        <v/>
      </c>
      <c r="B2374" s="0" t="str">
        <f aca="false">IF(INDEX(BookTitle,2369)="","",INDEX(BookGroup,2369))</f>
        <v/>
      </c>
      <c r="C2374" s="0" t="str">
        <f aca="false">IF(INDEX(BookTitle,2369)="","",INDEX(BookCategory,2369))</f>
        <v/>
      </c>
      <c r="D2374" s="56" t="str">
        <f aca="false">IF(INDEX(BookTitle,2369)="","",INDEX(BookTotal,2369)*'5. Scenarios'!$B$6/(1+ProductivityDefault*('5. Scenarios'!$B$11-1)))</f>
        <v/>
      </c>
      <c r="E2374" s="57" t="str">
        <f aca="false">IF($D2374="","",INDEX(BookRate,2369)*(1+'5. Scenarios'!$B$10)*$D2374)</f>
        <v/>
      </c>
      <c r="F2374" s="57" t="str">
        <f aca="false">IF($E2374="","",SUMIFS($E$6:$E$2405,$A$6:$A$2405,"&lt;="&amp;$A2374))</f>
        <v/>
      </c>
      <c r="G2374" s="57" t="str">
        <f aca="false">IF($E2374="","",IF($F2374&lt;=BankCostEnvelope*'5. Scenarios'!$B$7,1,0))</f>
        <v/>
      </c>
      <c r="H2374" s="57" t="str">
        <f aca="false">IF($D2374="","",INDEX(BookRate,2369)*(1+'5. Scenarios'!$B$10)*(INDEX(BookQ1,2369)*(5-MIN(4,1+'5. Scenarios'!$B$8))/4+INDEX(BookQ2,2369)*(5-MIN(4,2+'5. Scenarios'!$B$8))/4+INDEX(BookQ3,2369)*(5-MIN(4,3+'5. Scenarios'!$B$8))/4+INDEX(BookQ4,2369)*(5-MIN(4,4+'5. Scenarios'!$B$8))/4)*'5. Scenarios'!$B$6/(1+ProductivityDefault*('5. Scenarios'!$B$11-1))+INDEX(BookOneOff,2369)*$D2374)</f>
        <v/>
      </c>
      <c r="I2374" s="56" t="str">
        <f aca="false">IF(INDEX(BookTitle,2369)="","",INDEX(BookTotal,2369)*'5. Scenarios'!$C$6/(1+ProductivityDefault*('5. Scenarios'!$C$11-1)))</f>
        <v/>
      </c>
      <c r="J2374" s="57" t="str">
        <f aca="false">IF($I2374="","",INDEX(BookRate,2369)*(1+'5. Scenarios'!$C$10)*$I2374)</f>
        <v/>
      </c>
      <c r="K2374" s="57" t="str">
        <f aca="false">IF($J2374="","",SUMIFS($J$6:$J$2405,$A$6:$A$2405,"&lt;="&amp;$A2374))</f>
        <v/>
      </c>
      <c r="L2374" s="57" t="str">
        <f aca="false">IF($J2374="","",IF($K2374&lt;=BankCostEnvelope*'5. Scenarios'!$C$7,1,0))</f>
        <v/>
      </c>
      <c r="M2374" s="57" t="str">
        <f aca="false">IF($I2374="","",INDEX(BookRate,2369)*(1+'5. Scenarios'!$C$10)*(INDEX(BookQ1,2369)*(5-MIN(4,1+'5. Scenarios'!$C$8))/4+INDEX(BookQ2,2369)*(5-MIN(4,2+'5. Scenarios'!$C$8))/4+INDEX(BookQ3,2369)*(5-MIN(4,3+'5. Scenarios'!$C$8))/4+INDEX(BookQ4,2369)*(5-MIN(4,4+'5. Scenarios'!$C$8))/4)*'5. Scenarios'!$C$6/(1+ProductivityDefault*('5. Scenarios'!$C$11-1))+INDEX(BookOneOff,2369)*$I2374)</f>
        <v/>
      </c>
      <c r="N2374" s="56" t="str">
        <f aca="false">IF(INDEX(BookTitle,2369)="","",INDEX(BookTotal,2369)*'5. Scenarios'!$D$6/(1+ProductivityDefault*('5. Scenarios'!$D$11-1)))</f>
        <v/>
      </c>
      <c r="O2374" s="57" t="str">
        <f aca="false">IF($N2374="","",INDEX(BookRate,2369)*(1+'5. Scenarios'!$D$10)*$N2374)</f>
        <v/>
      </c>
      <c r="P2374" s="57" t="str">
        <f aca="false">IF($O2374="","",SUMIFS($O$6:$O$2405,$A$6:$A$2405,"&lt;="&amp;$A2374))</f>
        <v/>
      </c>
      <c r="Q2374" s="57" t="str">
        <f aca="false">IF($O2374="","",IF($P2374&lt;=BankCostEnvelope*'5. Scenarios'!$D$7,1,0))</f>
        <v/>
      </c>
      <c r="R2374" s="57" t="str">
        <f aca="false">IF($N2374="","",INDEX(BookRate,2369)*(1+'5. Scenarios'!$D$10)*(INDEX(BookQ1,2369)*(5-MIN(4,1+'5. Scenarios'!$D$8))/4+INDEX(BookQ2,2369)*(5-MIN(4,2+'5. Scenarios'!$D$8))/4+INDEX(BookQ3,2369)*(5-MIN(4,3+'5. Scenarios'!$D$8))/4+INDEX(BookQ4,2369)*(5-MIN(4,4+'5. Scenarios'!$D$8))/4)*'5. Scenarios'!$D$6/(1+ProductivityDefault*('5. Scenarios'!$D$11-1))+INDEX(BookOneOff,2369)*$N2374)</f>
        <v/>
      </c>
      <c r="S2374" s="56" t="str">
        <f aca="false">IF(INDEX(BookTitle,2369)="","",INDEX(BookTotal,2369)*'5. Scenarios'!$E$6/(1+ProductivityDefault*('5. Scenarios'!$E$11-1)))</f>
        <v/>
      </c>
      <c r="T2374" s="57" t="str">
        <f aca="false">IF($S2374="","",INDEX(BookRate,2369)*(1+'5. Scenarios'!$E$10)*$S2374)</f>
        <v/>
      </c>
      <c r="U2374" s="57" t="str">
        <f aca="false">IF($T2374="","",SUMIFS($T$6:$T$2405,$A$6:$A$2405,"&lt;="&amp;$A2374))</f>
        <v/>
      </c>
      <c r="V2374" s="57" t="str">
        <f aca="false">IF($T2374="","",IF($U2374&lt;=BankCostEnvelope*'5. Scenarios'!$E$7,1,0))</f>
        <v/>
      </c>
      <c r="W2374" s="57" t="str">
        <f aca="false">IF($S2374="","",INDEX(BookRate,2369)*(1+'5. Scenarios'!$E$10)*(INDEX(BookQ1,2369)*(5-MIN(4,1+'5. Scenarios'!$E$8))/4+INDEX(BookQ2,2369)*(5-MIN(4,2+'5. Scenarios'!$E$8))/4+INDEX(BookQ3,2369)*(5-MIN(4,3+'5. Scenarios'!$E$8))/4+INDEX(BookQ4,2369)*(5-MIN(4,4+'5. Scenarios'!$E$8))/4)*'5. Scenarios'!$E$6/(1+ProductivityDefault*('5. Scenarios'!$E$11-1))+INDEX(BookOneOff,2369)*$S2374)</f>
        <v/>
      </c>
    </row>
    <row r="2375" customFormat="false" ht="15" hidden="false" customHeight="false" outlineLevel="0" collapsed="false">
      <c r="A2375" s="0" t="str">
        <f aca="false">IF(INDEX(BookTitle,2370)="","",INDEX(BookKey,2370))</f>
        <v/>
      </c>
      <c r="B2375" s="0" t="str">
        <f aca="false">IF(INDEX(BookTitle,2370)="","",INDEX(BookGroup,2370))</f>
        <v/>
      </c>
      <c r="C2375" s="0" t="str">
        <f aca="false">IF(INDEX(BookTitle,2370)="","",INDEX(BookCategory,2370))</f>
        <v/>
      </c>
      <c r="D2375" s="56" t="str">
        <f aca="false">IF(INDEX(BookTitle,2370)="","",INDEX(BookTotal,2370)*'5. Scenarios'!$B$6/(1+ProductivityDefault*('5. Scenarios'!$B$11-1)))</f>
        <v/>
      </c>
      <c r="E2375" s="57" t="str">
        <f aca="false">IF($D2375="","",INDEX(BookRate,2370)*(1+'5. Scenarios'!$B$10)*$D2375)</f>
        <v/>
      </c>
      <c r="F2375" s="57" t="str">
        <f aca="false">IF($E2375="","",SUMIFS($E$6:$E$2405,$A$6:$A$2405,"&lt;="&amp;$A2375))</f>
        <v/>
      </c>
      <c r="G2375" s="57" t="str">
        <f aca="false">IF($E2375="","",IF($F2375&lt;=BankCostEnvelope*'5. Scenarios'!$B$7,1,0))</f>
        <v/>
      </c>
      <c r="H2375" s="57" t="str">
        <f aca="false">IF($D2375="","",INDEX(BookRate,2370)*(1+'5. Scenarios'!$B$10)*(INDEX(BookQ1,2370)*(5-MIN(4,1+'5. Scenarios'!$B$8))/4+INDEX(BookQ2,2370)*(5-MIN(4,2+'5. Scenarios'!$B$8))/4+INDEX(BookQ3,2370)*(5-MIN(4,3+'5. Scenarios'!$B$8))/4+INDEX(BookQ4,2370)*(5-MIN(4,4+'5. Scenarios'!$B$8))/4)*'5. Scenarios'!$B$6/(1+ProductivityDefault*('5. Scenarios'!$B$11-1))+INDEX(BookOneOff,2370)*$D2375)</f>
        <v/>
      </c>
      <c r="I2375" s="56" t="str">
        <f aca="false">IF(INDEX(BookTitle,2370)="","",INDEX(BookTotal,2370)*'5. Scenarios'!$C$6/(1+ProductivityDefault*('5. Scenarios'!$C$11-1)))</f>
        <v/>
      </c>
      <c r="J2375" s="57" t="str">
        <f aca="false">IF($I2375="","",INDEX(BookRate,2370)*(1+'5. Scenarios'!$C$10)*$I2375)</f>
        <v/>
      </c>
      <c r="K2375" s="57" t="str">
        <f aca="false">IF($J2375="","",SUMIFS($J$6:$J$2405,$A$6:$A$2405,"&lt;="&amp;$A2375))</f>
        <v/>
      </c>
      <c r="L2375" s="57" t="str">
        <f aca="false">IF($J2375="","",IF($K2375&lt;=BankCostEnvelope*'5. Scenarios'!$C$7,1,0))</f>
        <v/>
      </c>
      <c r="M2375" s="57" t="str">
        <f aca="false">IF($I2375="","",INDEX(BookRate,2370)*(1+'5. Scenarios'!$C$10)*(INDEX(BookQ1,2370)*(5-MIN(4,1+'5. Scenarios'!$C$8))/4+INDEX(BookQ2,2370)*(5-MIN(4,2+'5. Scenarios'!$C$8))/4+INDEX(BookQ3,2370)*(5-MIN(4,3+'5. Scenarios'!$C$8))/4+INDEX(BookQ4,2370)*(5-MIN(4,4+'5. Scenarios'!$C$8))/4)*'5. Scenarios'!$C$6/(1+ProductivityDefault*('5. Scenarios'!$C$11-1))+INDEX(BookOneOff,2370)*$I2375)</f>
        <v/>
      </c>
      <c r="N2375" s="56" t="str">
        <f aca="false">IF(INDEX(BookTitle,2370)="","",INDEX(BookTotal,2370)*'5. Scenarios'!$D$6/(1+ProductivityDefault*('5. Scenarios'!$D$11-1)))</f>
        <v/>
      </c>
      <c r="O2375" s="57" t="str">
        <f aca="false">IF($N2375="","",INDEX(BookRate,2370)*(1+'5. Scenarios'!$D$10)*$N2375)</f>
        <v/>
      </c>
      <c r="P2375" s="57" t="str">
        <f aca="false">IF($O2375="","",SUMIFS($O$6:$O$2405,$A$6:$A$2405,"&lt;="&amp;$A2375))</f>
        <v/>
      </c>
      <c r="Q2375" s="57" t="str">
        <f aca="false">IF($O2375="","",IF($P2375&lt;=BankCostEnvelope*'5. Scenarios'!$D$7,1,0))</f>
        <v/>
      </c>
      <c r="R2375" s="57" t="str">
        <f aca="false">IF($N2375="","",INDEX(BookRate,2370)*(1+'5. Scenarios'!$D$10)*(INDEX(BookQ1,2370)*(5-MIN(4,1+'5. Scenarios'!$D$8))/4+INDEX(BookQ2,2370)*(5-MIN(4,2+'5. Scenarios'!$D$8))/4+INDEX(BookQ3,2370)*(5-MIN(4,3+'5. Scenarios'!$D$8))/4+INDEX(BookQ4,2370)*(5-MIN(4,4+'5. Scenarios'!$D$8))/4)*'5. Scenarios'!$D$6/(1+ProductivityDefault*('5. Scenarios'!$D$11-1))+INDEX(BookOneOff,2370)*$N2375)</f>
        <v/>
      </c>
      <c r="S2375" s="56" t="str">
        <f aca="false">IF(INDEX(BookTitle,2370)="","",INDEX(BookTotal,2370)*'5. Scenarios'!$E$6/(1+ProductivityDefault*('5. Scenarios'!$E$11-1)))</f>
        <v/>
      </c>
      <c r="T2375" s="57" t="str">
        <f aca="false">IF($S2375="","",INDEX(BookRate,2370)*(1+'5. Scenarios'!$E$10)*$S2375)</f>
        <v/>
      </c>
      <c r="U2375" s="57" t="str">
        <f aca="false">IF($T2375="","",SUMIFS($T$6:$T$2405,$A$6:$A$2405,"&lt;="&amp;$A2375))</f>
        <v/>
      </c>
      <c r="V2375" s="57" t="str">
        <f aca="false">IF($T2375="","",IF($U2375&lt;=BankCostEnvelope*'5. Scenarios'!$E$7,1,0))</f>
        <v/>
      </c>
      <c r="W2375" s="57" t="str">
        <f aca="false">IF($S2375="","",INDEX(BookRate,2370)*(1+'5. Scenarios'!$E$10)*(INDEX(BookQ1,2370)*(5-MIN(4,1+'5. Scenarios'!$E$8))/4+INDEX(BookQ2,2370)*(5-MIN(4,2+'5. Scenarios'!$E$8))/4+INDEX(BookQ3,2370)*(5-MIN(4,3+'5. Scenarios'!$E$8))/4+INDEX(BookQ4,2370)*(5-MIN(4,4+'5. Scenarios'!$E$8))/4)*'5. Scenarios'!$E$6/(1+ProductivityDefault*('5. Scenarios'!$E$11-1))+INDEX(BookOneOff,2370)*$S2375)</f>
        <v/>
      </c>
    </row>
    <row r="2376" customFormat="false" ht="15" hidden="false" customHeight="false" outlineLevel="0" collapsed="false">
      <c r="A2376" s="0" t="str">
        <f aca="false">IF(INDEX(BookTitle,2371)="","",INDEX(BookKey,2371))</f>
        <v/>
      </c>
      <c r="B2376" s="0" t="str">
        <f aca="false">IF(INDEX(BookTitle,2371)="","",INDEX(BookGroup,2371))</f>
        <v/>
      </c>
      <c r="C2376" s="0" t="str">
        <f aca="false">IF(INDEX(BookTitle,2371)="","",INDEX(BookCategory,2371))</f>
        <v/>
      </c>
      <c r="D2376" s="56" t="str">
        <f aca="false">IF(INDEX(BookTitle,2371)="","",INDEX(BookTotal,2371)*'5. Scenarios'!$B$6/(1+ProductivityDefault*('5. Scenarios'!$B$11-1)))</f>
        <v/>
      </c>
      <c r="E2376" s="57" t="str">
        <f aca="false">IF($D2376="","",INDEX(BookRate,2371)*(1+'5. Scenarios'!$B$10)*$D2376)</f>
        <v/>
      </c>
      <c r="F2376" s="57" t="str">
        <f aca="false">IF($E2376="","",SUMIFS($E$6:$E$2405,$A$6:$A$2405,"&lt;="&amp;$A2376))</f>
        <v/>
      </c>
      <c r="G2376" s="57" t="str">
        <f aca="false">IF($E2376="","",IF($F2376&lt;=BankCostEnvelope*'5. Scenarios'!$B$7,1,0))</f>
        <v/>
      </c>
      <c r="H2376" s="57" t="str">
        <f aca="false">IF($D2376="","",INDEX(BookRate,2371)*(1+'5. Scenarios'!$B$10)*(INDEX(BookQ1,2371)*(5-MIN(4,1+'5. Scenarios'!$B$8))/4+INDEX(BookQ2,2371)*(5-MIN(4,2+'5. Scenarios'!$B$8))/4+INDEX(BookQ3,2371)*(5-MIN(4,3+'5. Scenarios'!$B$8))/4+INDEX(BookQ4,2371)*(5-MIN(4,4+'5. Scenarios'!$B$8))/4)*'5. Scenarios'!$B$6/(1+ProductivityDefault*('5. Scenarios'!$B$11-1))+INDEX(BookOneOff,2371)*$D2376)</f>
        <v/>
      </c>
      <c r="I2376" s="56" t="str">
        <f aca="false">IF(INDEX(BookTitle,2371)="","",INDEX(BookTotal,2371)*'5. Scenarios'!$C$6/(1+ProductivityDefault*('5. Scenarios'!$C$11-1)))</f>
        <v/>
      </c>
      <c r="J2376" s="57" t="str">
        <f aca="false">IF($I2376="","",INDEX(BookRate,2371)*(1+'5. Scenarios'!$C$10)*$I2376)</f>
        <v/>
      </c>
      <c r="K2376" s="57" t="str">
        <f aca="false">IF($J2376="","",SUMIFS($J$6:$J$2405,$A$6:$A$2405,"&lt;="&amp;$A2376))</f>
        <v/>
      </c>
      <c r="L2376" s="57" t="str">
        <f aca="false">IF($J2376="","",IF($K2376&lt;=BankCostEnvelope*'5. Scenarios'!$C$7,1,0))</f>
        <v/>
      </c>
      <c r="M2376" s="57" t="str">
        <f aca="false">IF($I2376="","",INDEX(BookRate,2371)*(1+'5. Scenarios'!$C$10)*(INDEX(BookQ1,2371)*(5-MIN(4,1+'5. Scenarios'!$C$8))/4+INDEX(BookQ2,2371)*(5-MIN(4,2+'5. Scenarios'!$C$8))/4+INDEX(BookQ3,2371)*(5-MIN(4,3+'5. Scenarios'!$C$8))/4+INDEX(BookQ4,2371)*(5-MIN(4,4+'5. Scenarios'!$C$8))/4)*'5. Scenarios'!$C$6/(1+ProductivityDefault*('5. Scenarios'!$C$11-1))+INDEX(BookOneOff,2371)*$I2376)</f>
        <v/>
      </c>
      <c r="N2376" s="56" t="str">
        <f aca="false">IF(INDEX(BookTitle,2371)="","",INDEX(BookTotal,2371)*'5. Scenarios'!$D$6/(1+ProductivityDefault*('5. Scenarios'!$D$11-1)))</f>
        <v/>
      </c>
      <c r="O2376" s="57" t="str">
        <f aca="false">IF($N2376="","",INDEX(BookRate,2371)*(1+'5. Scenarios'!$D$10)*$N2376)</f>
        <v/>
      </c>
      <c r="P2376" s="57" t="str">
        <f aca="false">IF($O2376="","",SUMIFS($O$6:$O$2405,$A$6:$A$2405,"&lt;="&amp;$A2376))</f>
        <v/>
      </c>
      <c r="Q2376" s="57" t="str">
        <f aca="false">IF($O2376="","",IF($P2376&lt;=BankCostEnvelope*'5. Scenarios'!$D$7,1,0))</f>
        <v/>
      </c>
      <c r="R2376" s="57" t="str">
        <f aca="false">IF($N2376="","",INDEX(BookRate,2371)*(1+'5. Scenarios'!$D$10)*(INDEX(BookQ1,2371)*(5-MIN(4,1+'5. Scenarios'!$D$8))/4+INDEX(BookQ2,2371)*(5-MIN(4,2+'5. Scenarios'!$D$8))/4+INDEX(BookQ3,2371)*(5-MIN(4,3+'5. Scenarios'!$D$8))/4+INDEX(BookQ4,2371)*(5-MIN(4,4+'5. Scenarios'!$D$8))/4)*'5. Scenarios'!$D$6/(1+ProductivityDefault*('5. Scenarios'!$D$11-1))+INDEX(BookOneOff,2371)*$N2376)</f>
        <v/>
      </c>
      <c r="S2376" s="56" t="str">
        <f aca="false">IF(INDEX(BookTitle,2371)="","",INDEX(BookTotal,2371)*'5. Scenarios'!$E$6/(1+ProductivityDefault*('5. Scenarios'!$E$11-1)))</f>
        <v/>
      </c>
      <c r="T2376" s="57" t="str">
        <f aca="false">IF($S2376="","",INDEX(BookRate,2371)*(1+'5. Scenarios'!$E$10)*$S2376)</f>
        <v/>
      </c>
      <c r="U2376" s="57" t="str">
        <f aca="false">IF($T2376="","",SUMIFS($T$6:$T$2405,$A$6:$A$2405,"&lt;="&amp;$A2376))</f>
        <v/>
      </c>
      <c r="V2376" s="57" t="str">
        <f aca="false">IF($T2376="","",IF($U2376&lt;=BankCostEnvelope*'5. Scenarios'!$E$7,1,0))</f>
        <v/>
      </c>
      <c r="W2376" s="57" t="str">
        <f aca="false">IF($S2376="","",INDEX(BookRate,2371)*(1+'5. Scenarios'!$E$10)*(INDEX(BookQ1,2371)*(5-MIN(4,1+'5. Scenarios'!$E$8))/4+INDEX(BookQ2,2371)*(5-MIN(4,2+'5. Scenarios'!$E$8))/4+INDEX(BookQ3,2371)*(5-MIN(4,3+'5. Scenarios'!$E$8))/4+INDEX(BookQ4,2371)*(5-MIN(4,4+'5. Scenarios'!$E$8))/4)*'5. Scenarios'!$E$6/(1+ProductivityDefault*('5. Scenarios'!$E$11-1))+INDEX(BookOneOff,2371)*$S2376)</f>
        <v/>
      </c>
    </row>
    <row r="2377" customFormat="false" ht="15" hidden="false" customHeight="false" outlineLevel="0" collapsed="false">
      <c r="A2377" s="0" t="str">
        <f aca="false">IF(INDEX(BookTitle,2372)="","",INDEX(BookKey,2372))</f>
        <v/>
      </c>
      <c r="B2377" s="0" t="str">
        <f aca="false">IF(INDEX(BookTitle,2372)="","",INDEX(BookGroup,2372))</f>
        <v/>
      </c>
      <c r="C2377" s="0" t="str">
        <f aca="false">IF(INDEX(BookTitle,2372)="","",INDEX(BookCategory,2372))</f>
        <v/>
      </c>
      <c r="D2377" s="56" t="str">
        <f aca="false">IF(INDEX(BookTitle,2372)="","",INDEX(BookTotal,2372)*'5. Scenarios'!$B$6/(1+ProductivityDefault*('5. Scenarios'!$B$11-1)))</f>
        <v/>
      </c>
      <c r="E2377" s="57" t="str">
        <f aca="false">IF($D2377="","",INDEX(BookRate,2372)*(1+'5. Scenarios'!$B$10)*$D2377)</f>
        <v/>
      </c>
      <c r="F2377" s="57" t="str">
        <f aca="false">IF($E2377="","",SUMIFS($E$6:$E$2405,$A$6:$A$2405,"&lt;="&amp;$A2377))</f>
        <v/>
      </c>
      <c r="G2377" s="57" t="str">
        <f aca="false">IF($E2377="","",IF($F2377&lt;=BankCostEnvelope*'5. Scenarios'!$B$7,1,0))</f>
        <v/>
      </c>
      <c r="H2377" s="57" t="str">
        <f aca="false">IF($D2377="","",INDEX(BookRate,2372)*(1+'5. Scenarios'!$B$10)*(INDEX(BookQ1,2372)*(5-MIN(4,1+'5. Scenarios'!$B$8))/4+INDEX(BookQ2,2372)*(5-MIN(4,2+'5. Scenarios'!$B$8))/4+INDEX(BookQ3,2372)*(5-MIN(4,3+'5. Scenarios'!$B$8))/4+INDEX(BookQ4,2372)*(5-MIN(4,4+'5. Scenarios'!$B$8))/4)*'5. Scenarios'!$B$6/(1+ProductivityDefault*('5. Scenarios'!$B$11-1))+INDEX(BookOneOff,2372)*$D2377)</f>
        <v/>
      </c>
      <c r="I2377" s="56" t="str">
        <f aca="false">IF(INDEX(BookTitle,2372)="","",INDEX(BookTotal,2372)*'5. Scenarios'!$C$6/(1+ProductivityDefault*('5. Scenarios'!$C$11-1)))</f>
        <v/>
      </c>
      <c r="J2377" s="57" t="str">
        <f aca="false">IF($I2377="","",INDEX(BookRate,2372)*(1+'5. Scenarios'!$C$10)*$I2377)</f>
        <v/>
      </c>
      <c r="K2377" s="57" t="str">
        <f aca="false">IF($J2377="","",SUMIFS($J$6:$J$2405,$A$6:$A$2405,"&lt;="&amp;$A2377))</f>
        <v/>
      </c>
      <c r="L2377" s="57" t="str">
        <f aca="false">IF($J2377="","",IF($K2377&lt;=BankCostEnvelope*'5. Scenarios'!$C$7,1,0))</f>
        <v/>
      </c>
      <c r="M2377" s="57" t="str">
        <f aca="false">IF($I2377="","",INDEX(BookRate,2372)*(1+'5. Scenarios'!$C$10)*(INDEX(BookQ1,2372)*(5-MIN(4,1+'5. Scenarios'!$C$8))/4+INDEX(BookQ2,2372)*(5-MIN(4,2+'5. Scenarios'!$C$8))/4+INDEX(BookQ3,2372)*(5-MIN(4,3+'5. Scenarios'!$C$8))/4+INDEX(BookQ4,2372)*(5-MIN(4,4+'5. Scenarios'!$C$8))/4)*'5. Scenarios'!$C$6/(1+ProductivityDefault*('5. Scenarios'!$C$11-1))+INDEX(BookOneOff,2372)*$I2377)</f>
        <v/>
      </c>
      <c r="N2377" s="56" t="str">
        <f aca="false">IF(INDEX(BookTitle,2372)="","",INDEX(BookTotal,2372)*'5. Scenarios'!$D$6/(1+ProductivityDefault*('5. Scenarios'!$D$11-1)))</f>
        <v/>
      </c>
      <c r="O2377" s="57" t="str">
        <f aca="false">IF($N2377="","",INDEX(BookRate,2372)*(1+'5. Scenarios'!$D$10)*$N2377)</f>
        <v/>
      </c>
      <c r="P2377" s="57" t="str">
        <f aca="false">IF($O2377="","",SUMIFS($O$6:$O$2405,$A$6:$A$2405,"&lt;="&amp;$A2377))</f>
        <v/>
      </c>
      <c r="Q2377" s="57" t="str">
        <f aca="false">IF($O2377="","",IF($P2377&lt;=BankCostEnvelope*'5. Scenarios'!$D$7,1,0))</f>
        <v/>
      </c>
      <c r="R2377" s="57" t="str">
        <f aca="false">IF($N2377="","",INDEX(BookRate,2372)*(1+'5. Scenarios'!$D$10)*(INDEX(BookQ1,2372)*(5-MIN(4,1+'5. Scenarios'!$D$8))/4+INDEX(BookQ2,2372)*(5-MIN(4,2+'5. Scenarios'!$D$8))/4+INDEX(BookQ3,2372)*(5-MIN(4,3+'5. Scenarios'!$D$8))/4+INDEX(BookQ4,2372)*(5-MIN(4,4+'5. Scenarios'!$D$8))/4)*'5. Scenarios'!$D$6/(1+ProductivityDefault*('5. Scenarios'!$D$11-1))+INDEX(BookOneOff,2372)*$N2377)</f>
        <v/>
      </c>
      <c r="S2377" s="56" t="str">
        <f aca="false">IF(INDEX(BookTitle,2372)="","",INDEX(BookTotal,2372)*'5. Scenarios'!$E$6/(1+ProductivityDefault*('5. Scenarios'!$E$11-1)))</f>
        <v/>
      </c>
      <c r="T2377" s="57" t="str">
        <f aca="false">IF($S2377="","",INDEX(BookRate,2372)*(1+'5. Scenarios'!$E$10)*$S2377)</f>
        <v/>
      </c>
      <c r="U2377" s="57" t="str">
        <f aca="false">IF($T2377="","",SUMIFS($T$6:$T$2405,$A$6:$A$2405,"&lt;="&amp;$A2377))</f>
        <v/>
      </c>
      <c r="V2377" s="57" t="str">
        <f aca="false">IF($T2377="","",IF($U2377&lt;=BankCostEnvelope*'5. Scenarios'!$E$7,1,0))</f>
        <v/>
      </c>
      <c r="W2377" s="57" t="str">
        <f aca="false">IF($S2377="","",INDEX(BookRate,2372)*(1+'5. Scenarios'!$E$10)*(INDEX(BookQ1,2372)*(5-MIN(4,1+'5. Scenarios'!$E$8))/4+INDEX(BookQ2,2372)*(5-MIN(4,2+'5. Scenarios'!$E$8))/4+INDEX(BookQ3,2372)*(5-MIN(4,3+'5. Scenarios'!$E$8))/4+INDEX(BookQ4,2372)*(5-MIN(4,4+'5. Scenarios'!$E$8))/4)*'5. Scenarios'!$E$6/(1+ProductivityDefault*('5. Scenarios'!$E$11-1))+INDEX(BookOneOff,2372)*$S2377)</f>
        <v/>
      </c>
    </row>
    <row r="2378" customFormat="false" ht="15" hidden="false" customHeight="false" outlineLevel="0" collapsed="false">
      <c r="A2378" s="0" t="str">
        <f aca="false">IF(INDEX(BookTitle,2373)="","",INDEX(BookKey,2373))</f>
        <v/>
      </c>
      <c r="B2378" s="0" t="str">
        <f aca="false">IF(INDEX(BookTitle,2373)="","",INDEX(BookGroup,2373))</f>
        <v/>
      </c>
      <c r="C2378" s="0" t="str">
        <f aca="false">IF(INDEX(BookTitle,2373)="","",INDEX(BookCategory,2373))</f>
        <v/>
      </c>
      <c r="D2378" s="56" t="str">
        <f aca="false">IF(INDEX(BookTitle,2373)="","",INDEX(BookTotal,2373)*'5. Scenarios'!$B$6/(1+ProductivityDefault*('5. Scenarios'!$B$11-1)))</f>
        <v/>
      </c>
      <c r="E2378" s="57" t="str">
        <f aca="false">IF($D2378="","",INDEX(BookRate,2373)*(1+'5. Scenarios'!$B$10)*$D2378)</f>
        <v/>
      </c>
      <c r="F2378" s="57" t="str">
        <f aca="false">IF($E2378="","",SUMIFS($E$6:$E$2405,$A$6:$A$2405,"&lt;="&amp;$A2378))</f>
        <v/>
      </c>
      <c r="G2378" s="57" t="str">
        <f aca="false">IF($E2378="","",IF($F2378&lt;=BankCostEnvelope*'5. Scenarios'!$B$7,1,0))</f>
        <v/>
      </c>
      <c r="H2378" s="57" t="str">
        <f aca="false">IF($D2378="","",INDEX(BookRate,2373)*(1+'5. Scenarios'!$B$10)*(INDEX(BookQ1,2373)*(5-MIN(4,1+'5. Scenarios'!$B$8))/4+INDEX(BookQ2,2373)*(5-MIN(4,2+'5. Scenarios'!$B$8))/4+INDEX(BookQ3,2373)*(5-MIN(4,3+'5. Scenarios'!$B$8))/4+INDEX(BookQ4,2373)*(5-MIN(4,4+'5. Scenarios'!$B$8))/4)*'5. Scenarios'!$B$6/(1+ProductivityDefault*('5. Scenarios'!$B$11-1))+INDEX(BookOneOff,2373)*$D2378)</f>
        <v/>
      </c>
      <c r="I2378" s="56" t="str">
        <f aca="false">IF(INDEX(BookTitle,2373)="","",INDEX(BookTotal,2373)*'5. Scenarios'!$C$6/(1+ProductivityDefault*('5. Scenarios'!$C$11-1)))</f>
        <v/>
      </c>
      <c r="J2378" s="57" t="str">
        <f aca="false">IF($I2378="","",INDEX(BookRate,2373)*(1+'5. Scenarios'!$C$10)*$I2378)</f>
        <v/>
      </c>
      <c r="K2378" s="57" t="str">
        <f aca="false">IF($J2378="","",SUMIFS($J$6:$J$2405,$A$6:$A$2405,"&lt;="&amp;$A2378))</f>
        <v/>
      </c>
      <c r="L2378" s="57" t="str">
        <f aca="false">IF($J2378="","",IF($K2378&lt;=BankCostEnvelope*'5. Scenarios'!$C$7,1,0))</f>
        <v/>
      </c>
      <c r="M2378" s="57" t="str">
        <f aca="false">IF($I2378="","",INDEX(BookRate,2373)*(1+'5. Scenarios'!$C$10)*(INDEX(BookQ1,2373)*(5-MIN(4,1+'5. Scenarios'!$C$8))/4+INDEX(BookQ2,2373)*(5-MIN(4,2+'5. Scenarios'!$C$8))/4+INDEX(BookQ3,2373)*(5-MIN(4,3+'5. Scenarios'!$C$8))/4+INDEX(BookQ4,2373)*(5-MIN(4,4+'5. Scenarios'!$C$8))/4)*'5. Scenarios'!$C$6/(1+ProductivityDefault*('5. Scenarios'!$C$11-1))+INDEX(BookOneOff,2373)*$I2378)</f>
        <v/>
      </c>
      <c r="N2378" s="56" t="str">
        <f aca="false">IF(INDEX(BookTitle,2373)="","",INDEX(BookTotal,2373)*'5. Scenarios'!$D$6/(1+ProductivityDefault*('5. Scenarios'!$D$11-1)))</f>
        <v/>
      </c>
      <c r="O2378" s="57" t="str">
        <f aca="false">IF($N2378="","",INDEX(BookRate,2373)*(1+'5. Scenarios'!$D$10)*$N2378)</f>
        <v/>
      </c>
      <c r="P2378" s="57" t="str">
        <f aca="false">IF($O2378="","",SUMIFS($O$6:$O$2405,$A$6:$A$2405,"&lt;="&amp;$A2378))</f>
        <v/>
      </c>
      <c r="Q2378" s="57" t="str">
        <f aca="false">IF($O2378="","",IF($P2378&lt;=BankCostEnvelope*'5. Scenarios'!$D$7,1,0))</f>
        <v/>
      </c>
      <c r="R2378" s="57" t="str">
        <f aca="false">IF($N2378="","",INDEX(BookRate,2373)*(1+'5. Scenarios'!$D$10)*(INDEX(BookQ1,2373)*(5-MIN(4,1+'5. Scenarios'!$D$8))/4+INDEX(BookQ2,2373)*(5-MIN(4,2+'5. Scenarios'!$D$8))/4+INDEX(BookQ3,2373)*(5-MIN(4,3+'5. Scenarios'!$D$8))/4+INDEX(BookQ4,2373)*(5-MIN(4,4+'5. Scenarios'!$D$8))/4)*'5. Scenarios'!$D$6/(1+ProductivityDefault*('5. Scenarios'!$D$11-1))+INDEX(BookOneOff,2373)*$N2378)</f>
        <v/>
      </c>
      <c r="S2378" s="56" t="str">
        <f aca="false">IF(INDEX(BookTitle,2373)="","",INDEX(BookTotal,2373)*'5. Scenarios'!$E$6/(1+ProductivityDefault*('5. Scenarios'!$E$11-1)))</f>
        <v/>
      </c>
      <c r="T2378" s="57" t="str">
        <f aca="false">IF($S2378="","",INDEX(BookRate,2373)*(1+'5. Scenarios'!$E$10)*$S2378)</f>
        <v/>
      </c>
      <c r="U2378" s="57" t="str">
        <f aca="false">IF($T2378="","",SUMIFS($T$6:$T$2405,$A$6:$A$2405,"&lt;="&amp;$A2378))</f>
        <v/>
      </c>
      <c r="V2378" s="57" t="str">
        <f aca="false">IF($T2378="","",IF($U2378&lt;=BankCostEnvelope*'5. Scenarios'!$E$7,1,0))</f>
        <v/>
      </c>
      <c r="W2378" s="57" t="str">
        <f aca="false">IF($S2378="","",INDEX(BookRate,2373)*(1+'5. Scenarios'!$E$10)*(INDEX(BookQ1,2373)*(5-MIN(4,1+'5. Scenarios'!$E$8))/4+INDEX(BookQ2,2373)*(5-MIN(4,2+'5. Scenarios'!$E$8))/4+INDEX(BookQ3,2373)*(5-MIN(4,3+'5. Scenarios'!$E$8))/4+INDEX(BookQ4,2373)*(5-MIN(4,4+'5. Scenarios'!$E$8))/4)*'5. Scenarios'!$E$6/(1+ProductivityDefault*('5. Scenarios'!$E$11-1))+INDEX(BookOneOff,2373)*$S2378)</f>
        <v/>
      </c>
    </row>
    <row r="2379" customFormat="false" ht="15" hidden="false" customHeight="false" outlineLevel="0" collapsed="false">
      <c r="A2379" s="0" t="str">
        <f aca="false">IF(INDEX(BookTitle,2374)="","",INDEX(BookKey,2374))</f>
        <v/>
      </c>
      <c r="B2379" s="0" t="str">
        <f aca="false">IF(INDEX(BookTitle,2374)="","",INDEX(BookGroup,2374))</f>
        <v/>
      </c>
      <c r="C2379" s="0" t="str">
        <f aca="false">IF(INDEX(BookTitle,2374)="","",INDEX(BookCategory,2374))</f>
        <v/>
      </c>
      <c r="D2379" s="56" t="str">
        <f aca="false">IF(INDEX(BookTitle,2374)="","",INDEX(BookTotal,2374)*'5. Scenarios'!$B$6/(1+ProductivityDefault*('5. Scenarios'!$B$11-1)))</f>
        <v/>
      </c>
      <c r="E2379" s="57" t="str">
        <f aca="false">IF($D2379="","",INDEX(BookRate,2374)*(1+'5. Scenarios'!$B$10)*$D2379)</f>
        <v/>
      </c>
      <c r="F2379" s="57" t="str">
        <f aca="false">IF($E2379="","",SUMIFS($E$6:$E$2405,$A$6:$A$2405,"&lt;="&amp;$A2379))</f>
        <v/>
      </c>
      <c r="G2379" s="57" t="str">
        <f aca="false">IF($E2379="","",IF($F2379&lt;=BankCostEnvelope*'5. Scenarios'!$B$7,1,0))</f>
        <v/>
      </c>
      <c r="H2379" s="57" t="str">
        <f aca="false">IF($D2379="","",INDEX(BookRate,2374)*(1+'5. Scenarios'!$B$10)*(INDEX(BookQ1,2374)*(5-MIN(4,1+'5. Scenarios'!$B$8))/4+INDEX(BookQ2,2374)*(5-MIN(4,2+'5. Scenarios'!$B$8))/4+INDEX(BookQ3,2374)*(5-MIN(4,3+'5. Scenarios'!$B$8))/4+INDEX(BookQ4,2374)*(5-MIN(4,4+'5. Scenarios'!$B$8))/4)*'5. Scenarios'!$B$6/(1+ProductivityDefault*('5. Scenarios'!$B$11-1))+INDEX(BookOneOff,2374)*$D2379)</f>
        <v/>
      </c>
      <c r="I2379" s="56" t="str">
        <f aca="false">IF(INDEX(BookTitle,2374)="","",INDEX(BookTotal,2374)*'5. Scenarios'!$C$6/(1+ProductivityDefault*('5. Scenarios'!$C$11-1)))</f>
        <v/>
      </c>
      <c r="J2379" s="57" t="str">
        <f aca="false">IF($I2379="","",INDEX(BookRate,2374)*(1+'5. Scenarios'!$C$10)*$I2379)</f>
        <v/>
      </c>
      <c r="K2379" s="57" t="str">
        <f aca="false">IF($J2379="","",SUMIFS($J$6:$J$2405,$A$6:$A$2405,"&lt;="&amp;$A2379))</f>
        <v/>
      </c>
      <c r="L2379" s="57" t="str">
        <f aca="false">IF($J2379="","",IF($K2379&lt;=BankCostEnvelope*'5. Scenarios'!$C$7,1,0))</f>
        <v/>
      </c>
      <c r="M2379" s="57" t="str">
        <f aca="false">IF($I2379="","",INDEX(BookRate,2374)*(1+'5. Scenarios'!$C$10)*(INDEX(BookQ1,2374)*(5-MIN(4,1+'5. Scenarios'!$C$8))/4+INDEX(BookQ2,2374)*(5-MIN(4,2+'5. Scenarios'!$C$8))/4+INDEX(BookQ3,2374)*(5-MIN(4,3+'5. Scenarios'!$C$8))/4+INDEX(BookQ4,2374)*(5-MIN(4,4+'5. Scenarios'!$C$8))/4)*'5. Scenarios'!$C$6/(1+ProductivityDefault*('5. Scenarios'!$C$11-1))+INDEX(BookOneOff,2374)*$I2379)</f>
        <v/>
      </c>
      <c r="N2379" s="56" t="str">
        <f aca="false">IF(INDEX(BookTitle,2374)="","",INDEX(BookTotal,2374)*'5. Scenarios'!$D$6/(1+ProductivityDefault*('5. Scenarios'!$D$11-1)))</f>
        <v/>
      </c>
      <c r="O2379" s="57" t="str">
        <f aca="false">IF($N2379="","",INDEX(BookRate,2374)*(1+'5. Scenarios'!$D$10)*$N2379)</f>
        <v/>
      </c>
      <c r="P2379" s="57" t="str">
        <f aca="false">IF($O2379="","",SUMIFS($O$6:$O$2405,$A$6:$A$2405,"&lt;="&amp;$A2379))</f>
        <v/>
      </c>
      <c r="Q2379" s="57" t="str">
        <f aca="false">IF($O2379="","",IF($P2379&lt;=BankCostEnvelope*'5. Scenarios'!$D$7,1,0))</f>
        <v/>
      </c>
      <c r="R2379" s="57" t="str">
        <f aca="false">IF($N2379="","",INDEX(BookRate,2374)*(1+'5. Scenarios'!$D$10)*(INDEX(BookQ1,2374)*(5-MIN(4,1+'5. Scenarios'!$D$8))/4+INDEX(BookQ2,2374)*(5-MIN(4,2+'5. Scenarios'!$D$8))/4+INDEX(BookQ3,2374)*(5-MIN(4,3+'5. Scenarios'!$D$8))/4+INDEX(BookQ4,2374)*(5-MIN(4,4+'5. Scenarios'!$D$8))/4)*'5. Scenarios'!$D$6/(1+ProductivityDefault*('5. Scenarios'!$D$11-1))+INDEX(BookOneOff,2374)*$N2379)</f>
        <v/>
      </c>
      <c r="S2379" s="56" t="str">
        <f aca="false">IF(INDEX(BookTitle,2374)="","",INDEX(BookTotal,2374)*'5. Scenarios'!$E$6/(1+ProductivityDefault*('5. Scenarios'!$E$11-1)))</f>
        <v/>
      </c>
      <c r="T2379" s="57" t="str">
        <f aca="false">IF($S2379="","",INDEX(BookRate,2374)*(1+'5. Scenarios'!$E$10)*$S2379)</f>
        <v/>
      </c>
      <c r="U2379" s="57" t="str">
        <f aca="false">IF($T2379="","",SUMIFS($T$6:$T$2405,$A$6:$A$2405,"&lt;="&amp;$A2379))</f>
        <v/>
      </c>
      <c r="V2379" s="57" t="str">
        <f aca="false">IF($T2379="","",IF($U2379&lt;=BankCostEnvelope*'5. Scenarios'!$E$7,1,0))</f>
        <v/>
      </c>
      <c r="W2379" s="57" t="str">
        <f aca="false">IF($S2379="","",INDEX(BookRate,2374)*(1+'5. Scenarios'!$E$10)*(INDEX(BookQ1,2374)*(5-MIN(4,1+'5. Scenarios'!$E$8))/4+INDEX(BookQ2,2374)*(5-MIN(4,2+'5. Scenarios'!$E$8))/4+INDEX(BookQ3,2374)*(5-MIN(4,3+'5. Scenarios'!$E$8))/4+INDEX(BookQ4,2374)*(5-MIN(4,4+'5. Scenarios'!$E$8))/4)*'5. Scenarios'!$E$6/(1+ProductivityDefault*('5. Scenarios'!$E$11-1))+INDEX(BookOneOff,2374)*$S2379)</f>
        <v/>
      </c>
    </row>
    <row r="2380" customFormat="false" ht="15" hidden="false" customHeight="false" outlineLevel="0" collapsed="false">
      <c r="A2380" s="0" t="str">
        <f aca="false">IF(INDEX(BookTitle,2375)="","",INDEX(BookKey,2375))</f>
        <v/>
      </c>
      <c r="B2380" s="0" t="str">
        <f aca="false">IF(INDEX(BookTitle,2375)="","",INDEX(BookGroup,2375))</f>
        <v/>
      </c>
      <c r="C2380" s="0" t="str">
        <f aca="false">IF(INDEX(BookTitle,2375)="","",INDEX(BookCategory,2375))</f>
        <v/>
      </c>
      <c r="D2380" s="56" t="str">
        <f aca="false">IF(INDEX(BookTitle,2375)="","",INDEX(BookTotal,2375)*'5. Scenarios'!$B$6/(1+ProductivityDefault*('5. Scenarios'!$B$11-1)))</f>
        <v/>
      </c>
      <c r="E2380" s="57" t="str">
        <f aca="false">IF($D2380="","",INDEX(BookRate,2375)*(1+'5. Scenarios'!$B$10)*$D2380)</f>
        <v/>
      </c>
      <c r="F2380" s="57" t="str">
        <f aca="false">IF($E2380="","",SUMIFS($E$6:$E$2405,$A$6:$A$2405,"&lt;="&amp;$A2380))</f>
        <v/>
      </c>
      <c r="G2380" s="57" t="str">
        <f aca="false">IF($E2380="","",IF($F2380&lt;=BankCostEnvelope*'5. Scenarios'!$B$7,1,0))</f>
        <v/>
      </c>
      <c r="H2380" s="57" t="str">
        <f aca="false">IF($D2380="","",INDEX(BookRate,2375)*(1+'5. Scenarios'!$B$10)*(INDEX(BookQ1,2375)*(5-MIN(4,1+'5. Scenarios'!$B$8))/4+INDEX(BookQ2,2375)*(5-MIN(4,2+'5. Scenarios'!$B$8))/4+INDEX(BookQ3,2375)*(5-MIN(4,3+'5. Scenarios'!$B$8))/4+INDEX(BookQ4,2375)*(5-MIN(4,4+'5. Scenarios'!$B$8))/4)*'5. Scenarios'!$B$6/(1+ProductivityDefault*('5. Scenarios'!$B$11-1))+INDEX(BookOneOff,2375)*$D2380)</f>
        <v/>
      </c>
      <c r="I2380" s="56" t="str">
        <f aca="false">IF(INDEX(BookTitle,2375)="","",INDEX(BookTotal,2375)*'5. Scenarios'!$C$6/(1+ProductivityDefault*('5. Scenarios'!$C$11-1)))</f>
        <v/>
      </c>
      <c r="J2380" s="57" t="str">
        <f aca="false">IF($I2380="","",INDEX(BookRate,2375)*(1+'5. Scenarios'!$C$10)*$I2380)</f>
        <v/>
      </c>
      <c r="K2380" s="57" t="str">
        <f aca="false">IF($J2380="","",SUMIFS($J$6:$J$2405,$A$6:$A$2405,"&lt;="&amp;$A2380))</f>
        <v/>
      </c>
      <c r="L2380" s="57" t="str">
        <f aca="false">IF($J2380="","",IF($K2380&lt;=BankCostEnvelope*'5. Scenarios'!$C$7,1,0))</f>
        <v/>
      </c>
      <c r="M2380" s="57" t="str">
        <f aca="false">IF($I2380="","",INDEX(BookRate,2375)*(1+'5. Scenarios'!$C$10)*(INDEX(BookQ1,2375)*(5-MIN(4,1+'5. Scenarios'!$C$8))/4+INDEX(BookQ2,2375)*(5-MIN(4,2+'5. Scenarios'!$C$8))/4+INDEX(BookQ3,2375)*(5-MIN(4,3+'5. Scenarios'!$C$8))/4+INDEX(BookQ4,2375)*(5-MIN(4,4+'5. Scenarios'!$C$8))/4)*'5. Scenarios'!$C$6/(1+ProductivityDefault*('5. Scenarios'!$C$11-1))+INDEX(BookOneOff,2375)*$I2380)</f>
        <v/>
      </c>
      <c r="N2380" s="56" t="str">
        <f aca="false">IF(INDEX(BookTitle,2375)="","",INDEX(BookTotal,2375)*'5. Scenarios'!$D$6/(1+ProductivityDefault*('5. Scenarios'!$D$11-1)))</f>
        <v/>
      </c>
      <c r="O2380" s="57" t="str">
        <f aca="false">IF($N2380="","",INDEX(BookRate,2375)*(1+'5. Scenarios'!$D$10)*$N2380)</f>
        <v/>
      </c>
      <c r="P2380" s="57" t="str">
        <f aca="false">IF($O2380="","",SUMIFS($O$6:$O$2405,$A$6:$A$2405,"&lt;="&amp;$A2380))</f>
        <v/>
      </c>
      <c r="Q2380" s="57" t="str">
        <f aca="false">IF($O2380="","",IF($P2380&lt;=BankCostEnvelope*'5. Scenarios'!$D$7,1,0))</f>
        <v/>
      </c>
      <c r="R2380" s="57" t="str">
        <f aca="false">IF($N2380="","",INDEX(BookRate,2375)*(1+'5. Scenarios'!$D$10)*(INDEX(BookQ1,2375)*(5-MIN(4,1+'5. Scenarios'!$D$8))/4+INDEX(BookQ2,2375)*(5-MIN(4,2+'5. Scenarios'!$D$8))/4+INDEX(BookQ3,2375)*(5-MIN(4,3+'5. Scenarios'!$D$8))/4+INDEX(BookQ4,2375)*(5-MIN(4,4+'5. Scenarios'!$D$8))/4)*'5. Scenarios'!$D$6/(1+ProductivityDefault*('5. Scenarios'!$D$11-1))+INDEX(BookOneOff,2375)*$N2380)</f>
        <v/>
      </c>
      <c r="S2380" s="56" t="str">
        <f aca="false">IF(INDEX(BookTitle,2375)="","",INDEX(BookTotal,2375)*'5. Scenarios'!$E$6/(1+ProductivityDefault*('5. Scenarios'!$E$11-1)))</f>
        <v/>
      </c>
      <c r="T2380" s="57" t="str">
        <f aca="false">IF($S2380="","",INDEX(BookRate,2375)*(1+'5. Scenarios'!$E$10)*$S2380)</f>
        <v/>
      </c>
      <c r="U2380" s="57" t="str">
        <f aca="false">IF($T2380="","",SUMIFS($T$6:$T$2405,$A$6:$A$2405,"&lt;="&amp;$A2380))</f>
        <v/>
      </c>
      <c r="V2380" s="57" t="str">
        <f aca="false">IF($T2380="","",IF($U2380&lt;=BankCostEnvelope*'5. Scenarios'!$E$7,1,0))</f>
        <v/>
      </c>
      <c r="W2380" s="57" t="str">
        <f aca="false">IF($S2380="","",INDEX(BookRate,2375)*(1+'5. Scenarios'!$E$10)*(INDEX(BookQ1,2375)*(5-MIN(4,1+'5. Scenarios'!$E$8))/4+INDEX(BookQ2,2375)*(5-MIN(4,2+'5. Scenarios'!$E$8))/4+INDEX(BookQ3,2375)*(5-MIN(4,3+'5. Scenarios'!$E$8))/4+INDEX(BookQ4,2375)*(5-MIN(4,4+'5. Scenarios'!$E$8))/4)*'5. Scenarios'!$E$6/(1+ProductivityDefault*('5. Scenarios'!$E$11-1))+INDEX(BookOneOff,2375)*$S2380)</f>
        <v/>
      </c>
    </row>
    <row r="2381" customFormat="false" ht="15" hidden="false" customHeight="false" outlineLevel="0" collapsed="false">
      <c r="A2381" s="0" t="str">
        <f aca="false">IF(INDEX(BookTitle,2376)="","",INDEX(BookKey,2376))</f>
        <v/>
      </c>
      <c r="B2381" s="0" t="str">
        <f aca="false">IF(INDEX(BookTitle,2376)="","",INDEX(BookGroup,2376))</f>
        <v/>
      </c>
      <c r="C2381" s="0" t="str">
        <f aca="false">IF(INDEX(BookTitle,2376)="","",INDEX(BookCategory,2376))</f>
        <v/>
      </c>
      <c r="D2381" s="56" t="str">
        <f aca="false">IF(INDEX(BookTitle,2376)="","",INDEX(BookTotal,2376)*'5. Scenarios'!$B$6/(1+ProductivityDefault*('5. Scenarios'!$B$11-1)))</f>
        <v/>
      </c>
      <c r="E2381" s="57" t="str">
        <f aca="false">IF($D2381="","",INDEX(BookRate,2376)*(1+'5. Scenarios'!$B$10)*$D2381)</f>
        <v/>
      </c>
      <c r="F2381" s="57" t="str">
        <f aca="false">IF($E2381="","",SUMIFS($E$6:$E$2405,$A$6:$A$2405,"&lt;="&amp;$A2381))</f>
        <v/>
      </c>
      <c r="G2381" s="57" t="str">
        <f aca="false">IF($E2381="","",IF($F2381&lt;=BankCostEnvelope*'5. Scenarios'!$B$7,1,0))</f>
        <v/>
      </c>
      <c r="H2381" s="57" t="str">
        <f aca="false">IF($D2381="","",INDEX(BookRate,2376)*(1+'5. Scenarios'!$B$10)*(INDEX(BookQ1,2376)*(5-MIN(4,1+'5. Scenarios'!$B$8))/4+INDEX(BookQ2,2376)*(5-MIN(4,2+'5. Scenarios'!$B$8))/4+INDEX(BookQ3,2376)*(5-MIN(4,3+'5. Scenarios'!$B$8))/4+INDEX(BookQ4,2376)*(5-MIN(4,4+'5. Scenarios'!$B$8))/4)*'5. Scenarios'!$B$6/(1+ProductivityDefault*('5. Scenarios'!$B$11-1))+INDEX(BookOneOff,2376)*$D2381)</f>
        <v/>
      </c>
      <c r="I2381" s="56" t="str">
        <f aca="false">IF(INDEX(BookTitle,2376)="","",INDEX(BookTotal,2376)*'5. Scenarios'!$C$6/(1+ProductivityDefault*('5. Scenarios'!$C$11-1)))</f>
        <v/>
      </c>
      <c r="J2381" s="57" t="str">
        <f aca="false">IF($I2381="","",INDEX(BookRate,2376)*(1+'5. Scenarios'!$C$10)*$I2381)</f>
        <v/>
      </c>
      <c r="K2381" s="57" t="str">
        <f aca="false">IF($J2381="","",SUMIFS($J$6:$J$2405,$A$6:$A$2405,"&lt;="&amp;$A2381))</f>
        <v/>
      </c>
      <c r="L2381" s="57" t="str">
        <f aca="false">IF($J2381="","",IF($K2381&lt;=BankCostEnvelope*'5. Scenarios'!$C$7,1,0))</f>
        <v/>
      </c>
      <c r="M2381" s="57" t="str">
        <f aca="false">IF($I2381="","",INDEX(BookRate,2376)*(1+'5. Scenarios'!$C$10)*(INDEX(BookQ1,2376)*(5-MIN(4,1+'5. Scenarios'!$C$8))/4+INDEX(BookQ2,2376)*(5-MIN(4,2+'5. Scenarios'!$C$8))/4+INDEX(BookQ3,2376)*(5-MIN(4,3+'5. Scenarios'!$C$8))/4+INDEX(BookQ4,2376)*(5-MIN(4,4+'5. Scenarios'!$C$8))/4)*'5. Scenarios'!$C$6/(1+ProductivityDefault*('5. Scenarios'!$C$11-1))+INDEX(BookOneOff,2376)*$I2381)</f>
        <v/>
      </c>
      <c r="N2381" s="56" t="str">
        <f aca="false">IF(INDEX(BookTitle,2376)="","",INDEX(BookTotal,2376)*'5. Scenarios'!$D$6/(1+ProductivityDefault*('5. Scenarios'!$D$11-1)))</f>
        <v/>
      </c>
      <c r="O2381" s="57" t="str">
        <f aca="false">IF($N2381="","",INDEX(BookRate,2376)*(1+'5. Scenarios'!$D$10)*$N2381)</f>
        <v/>
      </c>
      <c r="P2381" s="57" t="str">
        <f aca="false">IF($O2381="","",SUMIFS($O$6:$O$2405,$A$6:$A$2405,"&lt;="&amp;$A2381))</f>
        <v/>
      </c>
      <c r="Q2381" s="57" t="str">
        <f aca="false">IF($O2381="","",IF($P2381&lt;=BankCostEnvelope*'5. Scenarios'!$D$7,1,0))</f>
        <v/>
      </c>
      <c r="R2381" s="57" t="str">
        <f aca="false">IF($N2381="","",INDEX(BookRate,2376)*(1+'5. Scenarios'!$D$10)*(INDEX(BookQ1,2376)*(5-MIN(4,1+'5. Scenarios'!$D$8))/4+INDEX(BookQ2,2376)*(5-MIN(4,2+'5. Scenarios'!$D$8))/4+INDEX(BookQ3,2376)*(5-MIN(4,3+'5. Scenarios'!$D$8))/4+INDEX(BookQ4,2376)*(5-MIN(4,4+'5. Scenarios'!$D$8))/4)*'5. Scenarios'!$D$6/(1+ProductivityDefault*('5. Scenarios'!$D$11-1))+INDEX(BookOneOff,2376)*$N2381)</f>
        <v/>
      </c>
      <c r="S2381" s="56" t="str">
        <f aca="false">IF(INDEX(BookTitle,2376)="","",INDEX(BookTotal,2376)*'5. Scenarios'!$E$6/(1+ProductivityDefault*('5. Scenarios'!$E$11-1)))</f>
        <v/>
      </c>
      <c r="T2381" s="57" t="str">
        <f aca="false">IF($S2381="","",INDEX(BookRate,2376)*(1+'5. Scenarios'!$E$10)*$S2381)</f>
        <v/>
      </c>
      <c r="U2381" s="57" t="str">
        <f aca="false">IF($T2381="","",SUMIFS($T$6:$T$2405,$A$6:$A$2405,"&lt;="&amp;$A2381))</f>
        <v/>
      </c>
      <c r="V2381" s="57" t="str">
        <f aca="false">IF($T2381="","",IF($U2381&lt;=BankCostEnvelope*'5. Scenarios'!$E$7,1,0))</f>
        <v/>
      </c>
      <c r="W2381" s="57" t="str">
        <f aca="false">IF($S2381="","",INDEX(BookRate,2376)*(1+'5. Scenarios'!$E$10)*(INDEX(BookQ1,2376)*(5-MIN(4,1+'5. Scenarios'!$E$8))/4+INDEX(BookQ2,2376)*(5-MIN(4,2+'5. Scenarios'!$E$8))/4+INDEX(BookQ3,2376)*(5-MIN(4,3+'5. Scenarios'!$E$8))/4+INDEX(BookQ4,2376)*(5-MIN(4,4+'5. Scenarios'!$E$8))/4)*'5. Scenarios'!$E$6/(1+ProductivityDefault*('5. Scenarios'!$E$11-1))+INDEX(BookOneOff,2376)*$S2381)</f>
        <v/>
      </c>
    </row>
    <row r="2382" customFormat="false" ht="15" hidden="false" customHeight="false" outlineLevel="0" collapsed="false">
      <c r="A2382" s="0" t="str">
        <f aca="false">IF(INDEX(BookTitle,2377)="","",INDEX(BookKey,2377))</f>
        <v/>
      </c>
      <c r="B2382" s="0" t="str">
        <f aca="false">IF(INDEX(BookTitle,2377)="","",INDEX(BookGroup,2377))</f>
        <v/>
      </c>
      <c r="C2382" s="0" t="str">
        <f aca="false">IF(INDEX(BookTitle,2377)="","",INDEX(BookCategory,2377))</f>
        <v/>
      </c>
      <c r="D2382" s="56" t="str">
        <f aca="false">IF(INDEX(BookTitle,2377)="","",INDEX(BookTotal,2377)*'5. Scenarios'!$B$6/(1+ProductivityDefault*('5. Scenarios'!$B$11-1)))</f>
        <v/>
      </c>
      <c r="E2382" s="57" t="str">
        <f aca="false">IF($D2382="","",INDEX(BookRate,2377)*(1+'5. Scenarios'!$B$10)*$D2382)</f>
        <v/>
      </c>
      <c r="F2382" s="57" t="str">
        <f aca="false">IF($E2382="","",SUMIFS($E$6:$E$2405,$A$6:$A$2405,"&lt;="&amp;$A2382))</f>
        <v/>
      </c>
      <c r="G2382" s="57" t="str">
        <f aca="false">IF($E2382="","",IF($F2382&lt;=BankCostEnvelope*'5. Scenarios'!$B$7,1,0))</f>
        <v/>
      </c>
      <c r="H2382" s="57" t="str">
        <f aca="false">IF($D2382="","",INDEX(BookRate,2377)*(1+'5. Scenarios'!$B$10)*(INDEX(BookQ1,2377)*(5-MIN(4,1+'5. Scenarios'!$B$8))/4+INDEX(BookQ2,2377)*(5-MIN(4,2+'5. Scenarios'!$B$8))/4+INDEX(BookQ3,2377)*(5-MIN(4,3+'5. Scenarios'!$B$8))/4+INDEX(BookQ4,2377)*(5-MIN(4,4+'5. Scenarios'!$B$8))/4)*'5. Scenarios'!$B$6/(1+ProductivityDefault*('5. Scenarios'!$B$11-1))+INDEX(BookOneOff,2377)*$D2382)</f>
        <v/>
      </c>
      <c r="I2382" s="56" t="str">
        <f aca="false">IF(INDEX(BookTitle,2377)="","",INDEX(BookTotal,2377)*'5. Scenarios'!$C$6/(1+ProductivityDefault*('5. Scenarios'!$C$11-1)))</f>
        <v/>
      </c>
      <c r="J2382" s="57" t="str">
        <f aca="false">IF($I2382="","",INDEX(BookRate,2377)*(1+'5. Scenarios'!$C$10)*$I2382)</f>
        <v/>
      </c>
      <c r="K2382" s="57" t="str">
        <f aca="false">IF($J2382="","",SUMIFS($J$6:$J$2405,$A$6:$A$2405,"&lt;="&amp;$A2382))</f>
        <v/>
      </c>
      <c r="L2382" s="57" t="str">
        <f aca="false">IF($J2382="","",IF($K2382&lt;=BankCostEnvelope*'5. Scenarios'!$C$7,1,0))</f>
        <v/>
      </c>
      <c r="M2382" s="57" t="str">
        <f aca="false">IF($I2382="","",INDEX(BookRate,2377)*(1+'5. Scenarios'!$C$10)*(INDEX(BookQ1,2377)*(5-MIN(4,1+'5. Scenarios'!$C$8))/4+INDEX(BookQ2,2377)*(5-MIN(4,2+'5. Scenarios'!$C$8))/4+INDEX(BookQ3,2377)*(5-MIN(4,3+'5. Scenarios'!$C$8))/4+INDEX(BookQ4,2377)*(5-MIN(4,4+'5. Scenarios'!$C$8))/4)*'5. Scenarios'!$C$6/(1+ProductivityDefault*('5. Scenarios'!$C$11-1))+INDEX(BookOneOff,2377)*$I2382)</f>
        <v/>
      </c>
      <c r="N2382" s="56" t="str">
        <f aca="false">IF(INDEX(BookTitle,2377)="","",INDEX(BookTotal,2377)*'5. Scenarios'!$D$6/(1+ProductivityDefault*('5. Scenarios'!$D$11-1)))</f>
        <v/>
      </c>
      <c r="O2382" s="57" t="str">
        <f aca="false">IF($N2382="","",INDEX(BookRate,2377)*(1+'5. Scenarios'!$D$10)*$N2382)</f>
        <v/>
      </c>
      <c r="P2382" s="57" t="str">
        <f aca="false">IF($O2382="","",SUMIFS($O$6:$O$2405,$A$6:$A$2405,"&lt;="&amp;$A2382))</f>
        <v/>
      </c>
      <c r="Q2382" s="57" t="str">
        <f aca="false">IF($O2382="","",IF($P2382&lt;=BankCostEnvelope*'5. Scenarios'!$D$7,1,0))</f>
        <v/>
      </c>
      <c r="R2382" s="57" t="str">
        <f aca="false">IF($N2382="","",INDEX(BookRate,2377)*(1+'5. Scenarios'!$D$10)*(INDEX(BookQ1,2377)*(5-MIN(4,1+'5. Scenarios'!$D$8))/4+INDEX(BookQ2,2377)*(5-MIN(4,2+'5. Scenarios'!$D$8))/4+INDEX(BookQ3,2377)*(5-MIN(4,3+'5. Scenarios'!$D$8))/4+INDEX(BookQ4,2377)*(5-MIN(4,4+'5. Scenarios'!$D$8))/4)*'5. Scenarios'!$D$6/(1+ProductivityDefault*('5. Scenarios'!$D$11-1))+INDEX(BookOneOff,2377)*$N2382)</f>
        <v/>
      </c>
      <c r="S2382" s="56" t="str">
        <f aca="false">IF(INDEX(BookTitle,2377)="","",INDEX(BookTotal,2377)*'5. Scenarios'!$E$6/(1+ProductivityDefault*('5. Scenarios'!$E$11-1)))</f>
        <v/>
      </c>
      <c r="T2382" s="57" t="str">
        <f aca="false">IF($S2382="","",INDEX(BookRate,2377)*(1+'5. Scenarios'!$E$10)*$S2382)</f>
        <v/>
      </c>
      <c r="U2382" s="57" t="str">
        <f aca="false">IF($T2382="","",SUMIFS($T$6:$T$2405,$A$6:$A$2405,"&lt;="&amp;$A2382))</f>
        <v/>
      </c>
      <c r="V2382" s="57" t="str">
        <f aca="false">IF($T2382="","",IF($U2382&lt;=BankCostEnvelope*'5. Scenarios'!$E$7,1,0))</f>
        <v/>
      </c>
      <c r="W2382" s="57" t="str">
        <f aca="false">IF($S2382="","",INDEX(BookRate,2377)*(1+'5. Scenarios'!$E$10)*(INDEX(BookQ1,2377)*(5-MIN(4,1+'5. Scenarios'!$E$8))/4+INDEX(BookQ2,2377)*(5-MIN(4,2+'5. Scenarios'!$E$8))/4+INDEX(BookQ3,2377)*(5-MIN(4,3+'5. Scenarios'!$E$8))/4+INDEX(BookQ4,2377)*(5-MIN(4,4+'5. Scenarios'!$E$8))/4)*'5. Scenarios'!$E$6/(1+ProductivityDefault*('5. Scenarios'!$E$11-1))+INDEX(BookOneOff,2377)*$S2382)</f>
        <v/>
      </c>
    </row>
    <row r="2383" customFormat="false" ht="15" hidden="false" customHeight="false" outlineLevel="0" collapsed="false">
      <c r="A2383" s="0" t="str">
        <f aca="false">IF(INDEX(BookTitle,2378)="","",INDEX(BookKey,2378))</f>
        <v/>
      </c>
      <c r="B2383" s="0" t="str">
        <f aca="false">IF(INDEX(BookTitle,2378)="","",INDEX(BookGroup,2378))</f>
        <v/>
      </c>
      <c r="C2383" s="0" t="str">
        <f aca="false">IF(INDEX(BookTitle,2378)="","",INDEX(BookCategory,2378))</f>
        <v/>
      </c>
      <c r="D2383" s="56" t="str">
        <f aca="false">IF(INDEX(BookTitle,2378)="","",INDEX(BookTotal,2378)*'5. Scenarios'!$B$6/(1+ProductivityDefault*('5. Scenarios'!$B$11-1)))</f>
        <v/>
      </c>
      <c r="E2383" s="57" t="str">
        <f aca="false">IF($D2383="","",INDEX(BookRate,2378)*(1+'5. Scenarios'!$B$10)*$D2383)</f>
        <v/>
      </c>
      <c r="F2383" s="57" t="str">
        <f aca="false">IF($E2383="","",SUMIFS($E$6:$E$2405,$A$6:$A$2405,"&lt;="&amp;$A2383))</f>
        <v/>
      </c>
      <c r="G2383" s="57" t="str">
        <f aca="false">IF($E2383="","",IF($F2383&lt;=BankCostEnvelope*'5. Scenarios'!$B$7,1,0))</f>
        <v/>
      </c>
      <c r="H2383" s="57" t="str">
        <f aca="false">IF($D2383="","",INDEX(BookRate,2378)*(1+'5. Scenarios'!$B$10)*(INDEX(BookQ1,2378)*(5-MIN(4,1+'5. Scenarios'!$B$8))/4+INDEX(BookQ2,2378)*(5-MIN(4,2+'5. Scenarios'!$B$8))/4+INDEX(BookQ3,2378)*(5-MIN(4,3+'5. Scenarios'!$B$8))/4+INDEX(BookQ4,2378)*(5-MIN(4,4+'5. Scenarios'!$B$8))/4)*'5. Scenarios'!$B$6/(1+ProductivityDefault*('5. Scenarios'!$B$11-1))+INDEX(BookOneOff,2378)*$D2383)</f>
        <v/>
      </c>
      <c r="I2383" s="56" t="str">
        <f aca="false">IF(INDEX(BookTitle,2378)="","",INDEX(BookTotal,2378)*'5. Scenarios'!$C$6/(1+ProductivityDefault*('5. Scenarios'!$C$11-1)))</f>
        <v/>
      </c>
      <c r="J2383" s="57" t="str">
        <f aca="false">IF($I2383="","",INDEX(BookRate,2378)*(1+'5. Scenarios'!$C$10)*$I2383)</f>
        <v/>
      </c>
      <c r="K2383" s="57" t="str">
        <f aca="false">IF($J2383="","",SUMIFS($J$6:$J$2405,$A$6:$A$2405,"&lt;="&amp;$A2383))</f>
        <v/>
      </c>
      <c r="L2383" s="57" t="str">
        <f aca="false">IF($J2383="","",IF($K2383&lt;=BankCostEnvelope*'5. Scenarios'!$C$7,1,0))</f>
        <v/>
      </c>
      <c r="M2383" s="57" t="str">
        <f aca="false">IF($I2383="","",INDEX(BookRate,2378)*(1+'5. Scenarios'!$C$10)*(INDEX(BookQ1,2378)*(5-MIN(4,1+'5. Scenarios'!$C$8))/4+INDEX(BookQ2,2378)*(5-MIN(4,2+'5. Scenarios'!$C$8))/4+INDEX(BookQ3,2378)*(5-MIN(4,3+'5. Scenarios'!$C$8))/4+INDEX(BookQ4,2378)*(5-MIN(4,4+'5. Scenarios'!$C$8))/4)*'5. Scenarios'!$C$6/(1+ProductivityDefault*('5. Scenarios'!$C$11-1))+INDEX(BookOneOff,2378)*$I2383)</f>
        <v/>
      </c>
      <c r="N2383" s="56" t="str">
        <f aca="false">IF(INDEX(BookTitle,2378)="","",INDEX(BookTotal,2378)*'5. Scenarios'!$D$6/(1+ProductivityDefault*('5. Scenarios'!$D$11-1)))</f>
        <v/>
      </c>
      <c r="O2383" s="57" t="str">
        <f aca="false">IF($N2383="","",INDEX(BookRate,2378)*(1+'5. Scenarios'!$D$10)*$N2383)</f>
        <v/>
      </c>
      <c r="P2383" s="57" t="str">
        <f aca="false">IF($O2383="","",SUMIFS($O$6:$O$2405,$A$6:$A$2405,"&lt;="&amp;$A2383))</f>
        <v/>
      </c>
      <c r="Q2383" s="57" t="str">
        <f aca="false">IF($O2383="","",IF($P2383&lt;=BankCostEnvelope*'5. Scenarios'!$D$7,1,0))</f>
        <v/>
      </c>
      <c r="R2383" s="57" t="str">
        <f aca="false">IF($N2383="","",INDEX(BookRate,2378)*(1+'5. Scenarios'!$D$10)*(INDEX(BookQ1,2378)*(5-MIN(4,1+'5. Scenarios'!$D$8))/4+INDEX(BookQ2,2378)*(5-MIN(4,2+'5. Scenarios'!$D$8))/4+INDEX(BookQ3,2378)*(5-MIN(4,3+'5. Scenarios'!$D$8))/4+INDEX(BookQ4,2378)*(5-MIN(4,4+'5. Scenarios'!$D$8))/4)*'5. Scenarios'!$D$6/(1+ProductivityDefault*('5. Scenarios'!$D$11-1))+INDEX(BookOneOff,2378)*$N2383)</f>
        <v/>
      </c>
      <c r="S2383" s="56" t="str">
        <f aca="false">IF(INDEX(BookTitle,2378)="","",INDEX(BookTotal,2378)*'5. Scenarios'!$E$6/(1+ProductivityDefault*('5. Scenarios'!$E$11-1)))</f>
        <v/>
      </c>
      <c r="T2383" s="57" t="str">
        <f aca="false">IF($S2383="","",INDEX(BookRate,2378)*(1+'5. Scenarios'!$E$10)*$S2383)</f>
        <v/>
      </c>
      <c r="U2383" s="57" t="str">
        <f aca="false">IF($T2383="","",SUMIFS($T$6:$T$2405,$A$6:$A$2405,"&lt;="&amp;$A2383))</f>
        <v/>
      </c>
      <c r="V2383" s="57" t="str">
        <f aca="false">IF($T2383="","",IF($U2383&lt;=BankCostEnvelope*'5. Scenarios'!$E$7,1,0))</f>
        <v/>
      </c>
      <c r="W2383" s="57" t="str">
        <f aca="false">IF($S2383="","",INDEX(BookRate,2378)*(1+'5. Scenarios'!$E$10)*(INDEX(BookQ1,2378)*(5-MIN(4,1+'5. Scenarios'!$E$8))/4+INDEX(BookQ2,2378)*(5-MIN(4,2+'5. Scenarios'!$E$8))/4+INDEX(BookQ3,2378)*(5-MIN(4,3+'5. Scenarios'!$E$8))/4+INDEX(BookQ4,2378)*(5-MIN(4,4+'5. Scenarios'!$E$8))/4)*'5. Scenarios'!$E$6/(1+ProductivityDefault*('5. Scenarios'!$E$11-1))+INDEX(BookOneOff,2378)*$S2383)</f>
        <v/>
      </c>
    </row>
    <row r="2384" customFormat="false" ht="15" hidden="false" customHeight="false" outlineLevel="0" collapsed="false">
      <c r="A2384" s="0" t="str">
        <f aca="false">IF(INDEX(BookTitle,2379)="","",INDEX(BookKey,2379))</f>
        <v/>
      </c>
      <c r="B2384" s="0" t="str">
        <f aca="false">IF(INDEX(BookTitle,2379)="","",INDEX(BookGroup,2379))</f>
        <v/>
      </c>
      <c r="C2384" s="0" t="str">
        <f aca="false">IF(INDEX(BookTitle,2379)="","",INDEX(BookCategory,2379))</f>
        <v/>
      </c>
      <c r="D2384" s="56" t="str">
        <f aca="false">IF(INDEX(BookTitle,2379)="","",INDEX(BookTotal,2379)*'5. Scenarios'!$B$6/(1+ProductivityDefault*('5. Scenarios'!$B$11-1)))</f>
        <v/>
      </c>
      <c r="E2384" s="57" t="str">
        <f aca="false">IF($D2384="","",INDEX(BookRate,2379)*(1+'5. Scenarios'!$B$10)*$D2384)</f>
        <v/>
      </c>
      <c r="F2384" s="57" t="str">
        <f aca="false">IF($E2384="","",SUMIFS($E$6:$E$2405,$A$6:$A$2405,"&lt;="&amp;$A2384))</f>
        <v/>
      </c>
      <c r="G2384" s="57" t="str">
        <f aca="false">IF($E2384="","",IF($F2384&lt;=BankCostEnvelope*'5. Scenarios'!$B$7,1,0))</f>
        <v/>
      </c>
      <c r="H2384" s="57" t="str">
        <f aca="false">IF($D2384="","",INDEX(BookRate,2379)*(1+'5. Scenarios'!$B$10)*(INDEX(BookQ1,2379)*(5-MIN(4,1+'5. Scenarios'!$B$8))/4+INDEX(BookQ2,2379)*(5-MIN(4,2+'5. Scenarios'!$B$8))/4+INDEX(BookQ3,2379)*(5-MIN(4,3+'5. Scenarios'!$B$8))/4+INDEX(BookQ4,2379)*(5-MIN(4,4+'5. Scenarios'!$B$8))/4)*'5. Scenarios'!$B$6/(1+ProductivityDefault*('5. Scenarios'!$B$11-1))+INDEX(BookOneOff,2379)*$D2384)</f>
        <v/>
      </c>
      <c r="I2384" s="56" t="str">
        <f aca="false">IF(INDEX(BookTitle,2379)="","",INDEX(BookTotal,2379)*'5. Scenarios'!$C$6/(1+ProductivityDefault*('5. Scenarios'!$C$11-1)))</f>
        <v/>
      </c>
      <c r="J2384" s="57" t="str">
        <f aca="false">IF($I2384="","",INDEX(BookRate,2379)*(1+'5. Scenarios'!$C$10)*$I2384)</f>
        <v/>
      </c>
      <c r="K2384" s="57" t="str">
        <f aca="false">IF($J2384="","",SUMIFS($J$6:$J$2405,$A$6:$A$2405,"&lt;="&amp;$A2384))</f>
        <v/>
      </c>
      <c r="L2384" s="57" t="str">
        <f aca="false">IF($J2384="","",IF($K2384&lt;=BankCostEnvelope*'5. Scenarios'!$C$7,1,0))</f>
        <v/>
      </c>
      <c r="M2384" s="57" t="str">
        <f aca="false">IF($I2384="","",INDEX(BookRate,2379)*(1+'5. Scenarios'!$C$10)*(INDEX(BookQ1,2379)*(5-MIN(4,1+'5. Scenarios'!$C$8))/4+INDEX(BookQ2,2379)*(5-MIN(4,2+'5. Scenarios'!$C$8))/4+INDEX(BookQ3,2379)*(5-MIN(4,3+'5. Scenarios'!$C$8))/4+INDEX(BookQ4,2379)*(5-MIN(4,4+'5. Scenarios'!$C$8))/4)*'5. Scenarios'!$C$6/(1+ProductivityDefault*('5. Scenarios'!$C$11-1))+INDEX(BookOneOff,2379)*$I2384)</f>
        <v/>
      </c>
      <c r="N2384" s="56" t="str">
        <f aca="false">IF(INDEX(BookTitle,2379)="","",INDEX(BookTotal,2379)*'5. Scenarios'!$D$6/(1+ProductivityDefault*('5. Scenarios'!$D$11-1)))</f>
        <v/>
      </c>
      <c r="O2384" s="57" t="str">
        <f aca="false">IF($N2384="","",INDEX(BookRate,2379)*(1+'5. Scenarios'!$D$10)*$N2384)</f>
        <v/>
      </c>
      <c r="P2384" s="57" t="str">
        <f aca="false">IF($O2384="","",SUMIFS($O$6:$O$2405,$A$6:$A$2405,"&lt;="&amp;$A2384))</f>
        <v/>
      </c>
      <c r="Q2384" s="57" t="str">
        <f aca="false">IF($O2384="","",IF($P2384&lt;=BankCostEnvelope*'5. Scenarios'!$D$7,1,0))</f>
        <v/>
      </c>
      <c r="R2384" s="57" t="str">
        <f aca="false">IF($N2384="","",INDEX(BookRate,2379)*(1+'5. Scenarios'!$D$10)*(INDEX(BookQ1,2379)*(5-MIN(4,1+'5. Scenarios'!$D$8))/4+INDEX(BookQ2,2379)*(5-MIN(4,2+'5. Scenarios'!$D$8))/4+INDEX(BookQ3,2379)*(5-MIN(4,3+'5. Scenarios'!$D$8))/4+INDEX(BookQ4,2379)*(5-MIN(4,4+'5. Scenarios'!$D$8))/4)*'5. Scenarios'!$D$6/(1+ProductivityDefault*('5. Scenarios'!$D$11-1))+INDEX(BookOneOff,2379)*$N2384)</f>
        <v/>
      </c>
      <c r="S2384" s="56" t="str">
        <f aca="false">IF(INDEX(BookTitle,2379)="","",INDEX(BookTotal,2379)*'5. Scenarios'!$E$6/(1+ProductivityDefault*('5. Scenarios'!$E$11-1)))</f>
        <v/>
      </c>
      <c r="T2384" s="57" t="str">
        <f aca="false">IF($S2384="","",INDEX(BookRate,2379)*(1+'5. Scenarios'!$E$10)*$S2384)</f>
        <v/>
      </c>
      <c r="U2384" s="57" t="str">
        <f aca="false">IF($T2384="","",SUMIFS($T$6:$T$2405,$A$6:$A$2405,"&lt;="&amp;$A2384))</f>
        <v/>
      </c>
      <c r="V2384" s="57" t="str">
        <f aca="false">IF($T2384="","",IF($U2384&lt;=BankCostEnvelope*'5. Scenarios'!$E$7,1,0))</f>
        <v/>
      </c>
      <c r="W2384" s="57" t="str">
        <f aca="false">IF($S2384="","",INDEX(BookRate,2379)*(1+'5. Scenarios'!$E$10)*(INDEX(BookQ1,2379)*(5-MIN(4,1+'5. Scenarios'!$E$8))/4+INDEX(BookQ2,2379)*(5-MIN(4,2+'5. Scenarios'!$E$8))/4+INDEX(BookQ3,2379)*(5-MIN(4,3+'5. Scenarios'!$E$8))/4+INDEX(BookQ4,2379)*(5-MIN(4,4+'5. Scenarios'!$E$8))/4)*'5. Scenarios'!$E$6/(1+ProductivityDefault*('5. Scenarios'!$E$11-1))+INDEX(BookOneOff,2379)*$S2384)</f>
        <v/>
      </c>
    </row>
    <row r="2385" customFormat="false" ht="15" hidden="false" customHeight="false" outlineLevel="0" collapsed="false">
      <c r="A2385" s="0" t="str">
        <f aca="false">IF(INDEX(BookTitle,2380)="","",INDEX(BookKey,2380))</f>
        <v/>
      </c>
      <c r="B2385" s="0" t="str">
        <f aca="false">IF(INDEX(BookTitle,2380)="","",INDEX(BookGroup,2380))</f>
        <v/>
      </c>
      <c r="C2385" s="0" t="str">
        <f aca="false">IF(INDEX(BookTitle,2380)="","",INDEX(BookCategory,2380))</f>
        <v/>
      </c>
      <c r="D2385" s="56" t="str">
        <f aca="false">IF(INDEX(BookTitle,2380)="","",INDEX(BookTotal,2380)*'5. Scenarios'!$B$6/(1+ProductivityDefault*('5. Scenarios'!$B$11-1)))</f>
        <v/>
      </c>
      <c r="E2385" s="57" t="str">
        <f aca="false">IF($D2385="","",INDEX(BookRate,2380)*(1+'5. Scenarios'!$B$10)*$D2385)</f>
        <v/>
      </c>
      <c r="F2385" s="57" t="str">
        <f aca="false">IF($E2385="","",SUMIFS($E$6:$E$2405,$A$6:$A$2405,"&lt;="&amp;$A2385))</f>
        <v/>
      </c>
      <c r="G2385" s="57" t="str">
        <f aca="false">IF($E2385="","",IF($F2385&lt;=BankCostEnvelope*'5. Scenarios'!$B$7,1,0))</f>
        <v/>
      </c>
      <c r="H2385" s="57" t="str">
        <f aca="false">IF($D2385="","",INDEX(BookRate,2380)*(1+'5. Scenarios'!$B$10)*(INDEX(BookQ1,2380)*(5-MIN(4,1+'5. Scenarios'!$B$8))/4+INDEX(BookQ2,2380)*(5-MIN(4,2+'5. Scenarios'!$B$8))/4+INDEX(BookQ3,2380)*(5-MIN(4,3+'5. Scenarios'!$B$8))/4+INDEX(BookQ4,2380)*(5-MIN(4,4+'5. Scenarios'!$B$8))/4)*'5. Scenarios'!$B$6/(1+ProductivityDefault*('5. Scenarios'!$B$11-1))+INDEX(BookOneOff,2380)*$D2385)</f>
        <v/>
      </c>
      <c r="I2385" s="56" t="str">
        <f aca="false">IF(INDEX(BookTitle,2380)="","",INDEX(BookTotal,2380)*'5. Scenarios'!$C$6/(1+ProductivityDefault*('5. Scenarios'!$C$11-1)))</f>
        <v/>
      </c>
      <c r="J2385" s="57" t="str">
        <f aca="false">IF($I2385="","",INDEX(BookRate,2380)*(1+'5. Scenarios'!$C$10)*$I2385)</f>
        <v/>
      </c>
      <c r="K2385" s="57" t="str">
        <f aca="false">IF($J2385="","",SUMIFS($J$6:$J$2405,$A$6:$A$2405,"&lt;="&amp;$A2385))</f>
        <v/>
      </c>
      <c r="L2385" s="57" t="str">
        <f aca="false">IF($J2385="","",IF($K2385&lt;=BankCostEnvelope*'5. Scenarios'!$C$7,1,0))</f>
        <v/>
      </c>
      <c r="M2385" s="57" t="str">
        <f aca="false">IF($I2385="","",INDEX(BookRate,2380)*(1+'5. Scenarios'!$C$10)*(INDEX(BookQ1,2380)*(5-MIN(4,1+'5. Scenarios'!$C$8))/4+INDEX(BookQ2,2380)*(5-MIN(4,2+'5. Scenarios'!$C$8))/4+INDEX(BookQ3,2380)*(5-MIN(4,3+'5. Scenarios'!$C$8))/4+INDEX(BookQ4,2380)*(5-MIN(4,4+'5. Scenarios'!$C$8))/4)*'5. Scenarios'!$C$6/(1+ProductivityDefault*('5. Scenarios'!$C$11-1))+INDEX(BookOneOff,2380)*$I2385)</f>
        <v/>
      </c>
      <c r="N2385" s="56" t="str">
        <f aca="false">IF(INDEX(BookTitle,2380)="","",INDEX(BookTotal,2380)*'5. Scenarios'!$D$6/(1+ProductivityDefault*('5. Scenarios'!$D$11-1)))</f>
        <v/>
      </c>
      <c r="O2385" s="57" t="str">
        <f aca="false">IF($N2385="","",INDEX(BookRate,2380)*(1+'5. Scenarios'!$D$10)*$N2385)</f>
        <v/>
      </c>
      <c r="P2385" s="57" t="str">
        <f aca="false">IF($O2385="","",SUMIFS($O$6:$O$2405,$A$6:$A$2405,"&lt;="&amp;$A2385))</f>
        <v/>
      </c>
      <c r="Q2385" s="57" t="str">
        <f aca="false">IF($O2385="","",IF($P2385&lt;=BankCostEnvelope*'5. Scenarios'!$D$7,1,0))</f>
        <v/>
      </c>
      <c r="R2385" s="57" t="str">
        <f aca="false">IF($N2385="","",INDEX(BookRate,2380)*(1+'5. Scenarios'!$D$10)*(INDEX(BookQ1,2380)*(5-MIN(4,1+'5. Scenarios'!$D$8))/4+INDEX(BookQ2,2380)*(5-MIN(4,2+'5. Scenarios'!$D$8))/4+INDEX(BookQ3,2380)*(5-MIN(4,3+'5. Scenarios'!$D$8))/4+INDEX(BookQ4,2380)*(5-MIN(4,4+'5. Scenarios'!$D$8))/4)*'5. Scenarios'!$D$6/(1+ProductivityDefault*('5. Scenarios'!$D$11-1))+INDEX(BookOneOff,2380)*$N2385)</f>
        <v/>
      </c>
      <c r="S2385" s="56" t="str">
        <f aca="false">IF(INDEX(BookTitle,2380)="","",INDEX(BookTotal,2380)*'5. Scenarios'!$E$6/(1+ProductivityDefault*('5. Scenarios'!$E$11-1)))</f>
        <v/>
      </c>
      <c r="T2385" s="57" t="str">
        <f aca="false">IF($S2385="","",INDEX(BookRate,2380)*(1+'5. Scenarios'!$E$10)*$S2385)</f>
        <v/>
      </c>
      <c r="U2385" s="57" t="str">
        <f aca="false">IF($T2385="","",SUMIFS($T$6:$T$2405,$A$6:$A$2405,"&lt;="&amp;$A2385))</f>
        <v/>
      </c>
      <c r="V2385" s="57" t="str">
        <f aca="false">IF($T2385="","",IF($U2385&lt;=BankCostEnvelope*'5. Scenarios'!$E$7,1,0))</f>
        <v/>
      </c>
      <c r="W2385" s="57" t="str">
        <f aca="false">IF($S2385="","",INDEX(BookRate,2380)*(1+'5. Scenarios'!$E$10)*(INDEX(BookQ1,2380)*(5-MIN(4,1+'5. Scenarios'!$E$8))/4+INDEX(BookQ2,2380)*(5-MIN(4,2+'5. Scenarios'!$E$8))/4+INDEX(BookQ3,2380)*(5-MIN(4,3+'5. Scenarios'!$E$8))/4+INDEX(BookQ4,2380)*(5-MIN(4,4+'5. Scenarios'!$E$8))/4)*'5. Scenarios'!$E$6/(1+ProductivityDefault*('5. Scenarios'!$E$11-1))+INDEX(BookOneOff,2380)*$S2385)</f>
        <v/>
      </c>
    </row>
    <row r="2386" customFormat="false" ht="15" hidden="false" customHeight="false" outlineLevel="0" collapsed="false">
      <c r="A2386" s="0" t="str">
        <f aca="false">IF(INDEX(BookTitle,2381)="","",INDEX(BookKey,2381))</f>
        <v/>
      </c>
      <c r="B2386" s="0" t="str">
        <f aca="false">IF(INDEX(BookTitle,2381)="","",INDEX(BookGroup,2381))</f>
        <v/>
      </c>
      <c r="C2386" s="0" t="str">
        <f aca="false">IF(INDEX(BookTitle,2381)="","",INDEX(BookCategory,2381))</f>
        <v/>
      </c>
      <c r="D2386" s="56" t="str">
        <f aca="false">IF(INDEX(BookTitle,2381)="","",INDEX(BookTotal,2381)*'5. Scenarios'!$B$6/(1+ProductivityDefault*('5. Scenarios'!$B$11-1)))</f>
        <v/>
      </c>
      <c r="E2386" s="57" t="str">
        <f aca="false">IF($D2386="","",INDEX(BookRate,2381)*(1+'5. Scenarios'!$B$10)*$D2386)</f>
        <v/>
      </c>
      <c r="F2386" s="57" t="str">
        <f aca="false">IF($E2386="","",SUMIFS($E$6:$E$2405,$A$6:$A$2405,"&lt;="&amp;$A2386))</f>
        <v/>
      </c>
      <c r="G2386" s="57" t="str">
        <f aca="false">IF($E2386="","",IF($F2386&lt;=BankCostEnvelope*'5. Scenarios'!$B$7,1,0))</f>
        <v/>
      </c>
      <c r="H2386" s="57" t="str">
        <f aca="false">IF($D2386="","",INDEX(BookRate,2381)*(1+'5. Scenarios'!$B$10)*(INDEX(BookQ1,2381)*(5-MIN(4,1+'5. Scenarios'!$B$8))/4+INDEX(BookQ2,2381)*(5-MIN(4,2+'5. Scenarios'!$B$8))/4+INDEX(BookQ3,2381)*(5-MIN(4,3+'5. Scenarios'!$B$8))/4+INDEX(BookQ4,2381)*(5-MIN(4,4+'5. Scenarios'!$B$8))/4)*'5. Scenarios'!$B$6/(1+ProductivityDefault*('5. Scenarios'!$B$11-1))+INDEX(BookOneOff,2381)*$D2386)</f>
        <v/>
      </c>
      <c r="I2386" s="56" t="str">
        <f aca="false">IF(INDEX(BookTitle,2381)="","",INDEX(BookTotal,2381)*'5. Scenarios'!$C$6/(1+ProductivityDefault*('5. Scenarios'!$C$11-1)))</f>
        <v/>
      </c>
      <c r="J2386" s="57" t="str">
        <f aca="false">IF($I2386="","",INDEX(BookRate,2381)*(1+'5. Scenarios'!$C$10)*$I2386)</f>
        <v/>
      </c>
      <c r="K2386" s="57" t="str">
        <f aca="false">IF($J2386="","",SUMIFS($J$6:$J$2405,$A$6:$A$2405,"&lt;="&amp;$A2386))</f>
        <v/>
      </c>
      <c r="L2386" s="57" t="str">
        <f aca="false">IF($J2386="","",IF($K2386&lt;=BankCostEnvelope*'5. Scenarios'!$C$7,1,0))</f>
        <v/>
      </c>
      <c r="M2386" s="57" t="str">
        <f aca="false">IF($I2386="","",INDEX(BookRate,2381)*(1+'5. Scenarios'!$C$10)*(INDEX(BookQ1,2381)*(5-MIN(4,1+'5. Scenarios'!$C$8))/4+INDEX(BookQ2,2381)*(5-MIN(4,2+'5. Scenarios'!$C$8))/4+INDEX(BookQ3,2381)*(5-MIN(4,3+'5. Scenarios'!$C$8))/4+INDEX(BookQ4,2381)*(5-MIN(4,4+'5. Scenarios'!$C$8))/4)*'5. Scenarios'!$C$6/(1+ProductivityDefault*('5. Scenarios'!$C$11-1))+INDEX(BookOneOff,2381)*$I2386)</f>
        <v/>
      </c>
      <c r="N2386" s="56" t="str">
        <f aca="false">IF(INDEX(BookTitle,2381)="","",INDEX(BookTotal,2381)*'5. Scenarios'!$D$6/(1+ProductivityDefault*('5. Scenarios'!$D$11-1)))</f>
        <v/>
      </c>
      <c r="O2386" s="57" t="str">
        <f aca="false">IF($N2386="","",INDEX(BookRate,2381)*(1+'5. Scenarios'!$D$10)*$N2386)</f>
        <v/>
      </c>
      <c r="P2386" s="57" t="str">
        <f aca="false">IF($O2386="","",SUMIFS($O$6:$O$2405,$A$6:$A$2405,"&lt;="&amp;$A2386))</f>
        <v/>
      </c>
      <c r="Q2386" s="57" t="str">
        <f aca="false">IF($O2386="","",IF($P2386&lt;=BankCostEnvelope*'5. Scenarios'!$D$7,1,0))</f>
        <v/>
      </c>
      <c r="R2386" s="57" t="str">
        <f aca="false">IF($N2386="","",INDEX(BookRate,2381)*(1+'5. Scenarios'!$D$10)*(INDEX(BookQ1,2381)*(5-MIN(4,1+'5. Scenarios'!$D$8))/4+INDEX(BookQ2,2381)*(5-MIN(4,2+'5. Scenarios'!$D$8))/4+INDEX(BookQ3,2381)*(5-MIN(4,3+'5. Scenarios'!$D$8))/4+INDEX(BookQ4,2381)*(5-MIN(4,4+'5. Scenarios'!$D$8))/4)*'5. Scenarios'!$D$6/(1+ProductivityDefault*('5. Scenarios'!$D$11-1))+INDEX(BookOneOff,2381)*$N2386)</f>
        <v/>
      </c>
      <c r="S2386" s="56" t="str">
        <f aca="false">IF(INDEX(BookTitle,2381)="","",INDEX(BookTotal,2381)*'5. Scenarios'!$E$6/(1+ProductivityDefault*('5. Scenarios'!$E$11-1)))</f>
        <v/>
      </c>
      <c r="T2386" s="57" t="str">
        <f aca="false">IF($S2386="","",INDEX(BookRate,2381)*(1+'5. Scenarios'!$E$10)*$S2386)</f>
        <v/>
      </c>
      <c r="U2386" s="57" t="str">
        <f aca="false">IF($T2386="","",SUMIFS($T$6:$T$2405,$A$6:$A$2405,"&lt;="&amp;$A2386))</f>
        <v/>
      </c>
      <c r="V2386" s="57" t="str">
        <f aca="false">IF($T2386="","",IF($U2386&lt;=BankCostEnvelope*'5. Scenarios'!$E$7,1,0))</f>
        <v/>
      </c>
      <c r="W2386" s="57" t="str">
        <f aca="false">IF($S2386="","",INDEX(BookRate,2381)*(1+'5. Scenarios'!$E$10)*(INDEX(BookQ1,2381)*(5-MIN(4,1+'5. Scenarios'!$E$8))/4+INDEX(BookQ2,2381)*(5-MIN(4,2+'5. Scenarios'!$E$8))/4+INDEX(BookQ3,2381)*(5-MIN(4,3+'5. Scenarios'!$E$8))/4+INDEX(BookQ4,2381)*(5-MIN(4,4+'5. Scenarios'!$E$8))/4)*'5. Scenarios'!$E$6/(1+ProductivityDefault*('5. Scenarios'!$E$11-1))+INDEX(BookOneOff,2381)*$S2386)</f>
        <v/>
      </c>
    </row>
    <row r="2387" customFormat="false" ht="15" hidden="false" customHeight="false" outlineLevel="0" collapsed="false">
      <c r="A2387" s="0" t="str">
        <f aca="false">IF(INDEX(BookTitle,2382)="","",INDEX(BookKey,2382))</f>
        <v/>
      </c>
      <c r="B2387" s="0" t="str">
        <f aca="false">IF(INDEX(BookTitle,2382)="","",INDEX(BookGroup,2382))</f>
        <v/>
      </c>
      <c r="C2387" s="0" t="str">
        <f aca="false">IF(INDEX(BookTitle,2382)="","",INDEX(BookCategory,2382))</f>
        <v/>
      </c>
      <c r="D2387" s="56" t="str">
        <f aca="false">IF(INDEX(BookTitle,2382)="","",INDEX(BookTotal,2382)*'5. Scenarios'!$B$6/(1+ProductivityDefault*('5. Scenarios'!$B$11-1)))</f>
        <v/>
      </c>
      <c r="E2387" s="57" t="str">
        <f aca="false">IF($D2387="","",INDEX(BookRate,2382)*(1+'5. Scenarios'!$B$10)*$D2387)</f>
        <v/>
      </c>
      <c r="F2387" s="57" t="str">
        <f aca="false">IF($E2387="","",SUMIFS($E$6:$E$2405,$A$6:$A$2405,"&lt;="&amp;$A2387))</f>
        <v/>
      </c>
      <c r="G2387" s="57" t="str">
        <f aca="false">IF($E2387="","",IF($F2387&lt;=BankCostEnvelope*'5. Scenarios'!$B$7,1,0))</f>
        <v/>
      </c>
      <c r="H2387" s="57" t="str">
        <f aca="false">IF($D2387="","",INDEX(BookRate,2382)*(1+'5. Scenarios'!$B$10)*(INDEX(BookQ1,2382)*(5-MIN(4,1+'5. Scenarios'!$B$8))/4+INDEX(BookQ2,2382)*(5-MIN(4,2+'5. Scenarios'!$B$8))/4+INDEX(BookQ3,2382)*(5-MIN(4,3+'5. Scenarios'!$B$8))/4+INDEX(BookQ4,2382)*(5-MIN(4,4+'5. Scenarios'!$B$8))/4)*'5. Scenarios'!$B$6/(1+ProductivityDefault*('5. Scenarios'!$B$11-1))+INDEX(BookOneOff,2382)*$D2387)</f>
        <v/>
      </c>
      <c r="I2387" s="56" t="str">
        <f aca="false">IF(INDEX(BookTitle,2382)="","",INDEX(BookTotal,2382)*'5. Scenarios'!$C$6/(1+ProductivityDefault*('5. Scenarios'!$C$11-1)))</f>
        <v/>
      </c>
      <c r="J2387" s="57" t="str">
        <f aca="false">IF($I2387="","",INDEX(BookRate,2382)*(1+'5. Scenarios'!$C$10)*$I2387)</f>
        <v/>
      </c>
      <c r="K2387" s="57" t="str">
        <f aca="false">IF($J2387="","",SUMIFS($J$6:$J$2405,$A$6:$A$2405,"&lt;="&amp;$A2387))</f>
        <v/>
      </c>
      <c r="L2387" s="57" t="str">
        <f aca="false">IF($J2387="","",IF($K2387&lt;=BankCostEnvelope*'5. Scenarios'!$C$7,1,0))</f>
        <v/>
      </c>
      <c r="M2387" s="57" t="str">
        <f aca="false">IF($I2387="","",INDEX(BookRate,2382)*(1+'5. Scenarios'!$C$10)*(INDEX(BookQ1,2382)*(5-MIN(4,1+'5. Scenarios'!$C$8))/4+INDEX(BookQ2,2382)*(5-MIN(4,2+'5. Scenarios'!$C$8))/4+INDEX(BookQ3,2382)*(5-MIN(4,3+'5. Scenarios'!$C$8))/4+INDEX(BookQ4,2382)*(5-MIN(4,4+'5. Scenarios'!$C$8))/4)*'5. Scenarios'!$C$6/(1+ProductivityDefault*('5. Scenarios'!$C$11-1))+INDEX(BookOneOff,2382)*$I2387)</f>
        <v/>
      </c>
      <c r="N2387" s="56" t="str">
        <f aca="false">IF(INDEX(BookTitle,2382)="","",INDEX(BookTotal,2382)*'5. Scenarios'!$D$6/(1+ProductivityDefault*('5. Scenarios'!$D$11-1)))</f>
        <v/>
      </c>
      <c r="O2387" s="57" t="str">
        <f aca="false">IF($N2387="","",INDEX(BookRate,2382)*(1+'5. Scenarios'!$D$10)*$N2387)</f>
        <v/>
      </c>
      <c r="P2387" s="57" t="str">
        <f aca="false">IF($O2387="","",SUMIFS($O$6:$O$2405,$A$6:$A$2405,"&lt;="&amp;$A2387))</f>
        <v/>
      </c>
      <c r="Q2387" s="57" t="str">
        <f aca="false">IF($O2387="","",IF($P2387&lt;=BankCostEnvelope*'5. Scenarios'!$D$7,1,0))</f>
        <v/>
      </c>
      <c r="R2387" s="57" t="str">
        <f aca="false">IF($N2387="","",INDEX(BookRate,2382)*(1+'5. Scenarios'!$D$10)*(INDEX(BookQ1,2382)*(5-MIN(4,1+'5. Scenarios'!$D$8))/4+INDEX(BookQ2,2382)*(5-MIN(4,2+'5. Scenarios'!$D$8))/4+INDEX(BookQ3,2382)*(5-MIN(4,3+'5. Scenarios'!$D$8))/4+INDEX(BookQ4,2382)*(5-MIN(4,4+'5. Scenarios'!$D$8))/4)*'5. Scenarios'!$D$6/(1+ProductivityDefault*('5. Scenarios'!$D$11-1))+INDEX(BookOneOff,2382)*$N2387)</f>
        <v/>
      </c>
      <c r="S2387" s="56" t="str">
        <f aca="false">IF(INDEX(BookTitle,2382)="","",INDEX(BookTotal,2382)*'5. Scenarios'!$E$6/(1+ProductivityDefault*('5. Scenarios'!$E$11-1)))</f>
        <v/>
      </c>
      <c r="T2387" s="57" t="str">
        <f aca="false">IF($S2387="","",INDEX(BookRate,2382)*(1+'5. Scenarios'!$E$10)*$S2387)</f>
        <v/>
      </c>
      <c r="U2387" s="57" t="str">
        <f aca="false">IF($T2387="","",SUMIFS($T$6:$T$2405,$A$6:$A$2405,"&lt;="&amp;$A2387))</f>
        <v/>
      </c>
      <c r="V2387" s="57" t="str">
        <f aca="false">IF($T2387="","",IF($U2387&lt;=BankCostEnvelope*'5. Scenarios'!$E$7,1,0))</f>
        <v/>
      </c>
      <c r="W2387" s="57" t="str">
        <f aca="false">IF($S2387="","",INDEX(BookRate,2382)*(1+'5. Scenarios'!$E$10)*(INDEX(BookQ1,2382)*(5-MIN(4,1+'5. Scenarios'!$E$8))/4+INDEX(BookQ2,2382)*(5-MIN(4,2+'5. Scenarios'!$E$8))/4+INDEX(BookQ3,2382)*(5-MIN(4,3+'5. Scenarios'!$E$8))/4+INDEX(BookQ4,2382)*(5-MIN(4,4+'5. Scenarios'!$E$8))/4)*'5. Scenarios'!$E$6/(1+ProductivityDefault*('5. Scenarios'!$E$11-1))+INDEX(BookOneOff,2382)*$S2387)</f>
        <v/>
      </c>
    </row>
    <row r="2388" customFormat="false" ht="15" hidden="false" customHeight="false" outlineLevel="0" collapsed="false">
      <c r="A2388" s="0" t="str">
        <f aca="false">IF(INDEX(BookTitle,2383)="","",INDEX(BookKey,2383))</f>
        <v/>
      </c>
      <c r="B2388" s="0" t="str">
        <f aca="false">IF(INDEX(BookTitle,2383)="","",INDEX(BookGroup,2383))</f>
        <v/>
      </c>
      <c r="C2388" s="0" t="str">
        <f aca="false">IF(INDEX(BookTitle,2383)="","",INDEX(BookCategory,2383))</f>
        <v/>
      </c>
      <c r="D2388" s="56" t="str">
        <f aca="false">IF(INDEX(BookTitle,2383)="","",INDEX(BookTotal,2383)*'5. Scenarios'!$B$6/(1+ProductivityDefault*('5. Scenarios'!$B$11-1)))</f>
        <v/>
      </c>
      <c r="E2388" s="57" t="str">
        <f aca="false">IF($D2388="","",INDEX(BookRate,2383)*(1+'5. Scenarios'!$B$10)*$D2388)</f>
        <v/>
      </c>
      <c r="F2388" s="57" t="str">
        <f aca="false">IF($E2388="","",SUMIFS($E$6:$E$2405,$A$6:$A$2405,"&lt;="&amp;$A2388))</f>
        <v/>
      </c>
      <c r="G2388" s="57" t="str">
        <f aca="false">IF($E2388="","",IF($F2388&lt;=BankCostEnvelope*'5. Scenarios'!$B$7,1,0))</f>
        <v/>
      </c>
      <c r="H2388" s="57" t="str">
        <f aca="false">IF($D2388="","",INDEX(BookRate,2383)*(1+'5. Scenarios'!$B$10)*(INDEX(BookQ1,2383)*(5-MIN(4,1+'5. Scenarios'!$B$8))/4+INDEX(BookQ2,2383)*(5-MIN(4,2+'5. Scenarios'!$B$8))/4+INDEX(BookQ3,2383)*(5-MIN(4,3+'5. Scenarios'!$B$8))/4+INDEX(BookQ4,2383)*(5-MIN(4,4+'5. Scenarios'!$B$8))/4)*'5. Scenarios'!$B$6/(1+ProductivityDefault*('5. Scenarios'!$B$11-1))+INDEX(BookOneOff,2383)*$D2388)</f>
        <v/>
      </c>
      <c r="I2388" s="56" t="str">
        <f aca="false">IF(INDEX(BookTitle,2383)="","",INDEX(BookTotal,2383)*'5. Scenarios'!$C$6/(1+ProductivityDefault*('5. Scenarios'!$C$11-1)))</f>
        <v/>
      </c>
      <c r="J2388" s="57" t="str">
        <f aca="false">IF($I2388="","",INDEX(BookRate,2383)*(1+'5. Scenarios'!$C$10)*$I2388)</f>
        <v/>
      </c>
      <c r="K2388" s="57" t="str">
        <f aca="false">IF($J2388="","",SUMIFS($J$6:$J$2405,$A$6:$A$2405,"&lt;="&amp;$A2388))</f>
        <v/>
      </c>
      <c r="L2388" s="57" t="str">
        <f aca="false">IF($J2388="","",IF($K2388&lt;=BankCostEnvelope*'5. Scenarios'!$C$7,1,0))</f>
        <v/>
      </c>
      <c r="M2388" s="57" t="str">
        <f aca="false">IF($I2388="","",INDEX(BookRate,2383)*(1+'5. Scenarios'!$C$10)*(INDEX(BookQ1,2383)*(5-MIN(4,1+'5. Scenarios'!$C$8))/4+INDEX(BookQ2,2383)*(5-MIN(4,2+'5. Scenarios'!$C$8))/4+INDEX(BookQ3,2383)*(5-MIN(4,3+'5. Scenarios'!$C$8))/4+INDEX(BookQ4,2383)*(5-MIN(4,4+'5. Scenarios'!$C$8))/4)*'5. Scenarios'!$C$6/(1+ProductivityDefault*('5. Scenarios'!$C$11-1))+INDEX(BookOneOff,2383)*$I2388)</f>
        <v/>
      </c>
      <c r="N2388" s="56" t="str">
        <f aca="false">IF(INDEX(BookTitle,2383)="","",INDEX(BookTotal,2383)*'5. Scenarios'!$D$6/(1+ProductivityDefault*('5. Scenarios'!$D$11-1)))</f>
        <v/>
      </c>
      <c r="O2388" s="57" t="str">
        <f aca="false">IF($N2388="","",INDEX(BookRate,2383)*(1+'5. Scenarios'!$D$10)*$N2388)</f>
        <v/>
      </c>
      <c r="P2388" s="57" t="str">
        <f aca="false">IF($O2388="","",SUMIFS($O$6:$O$2405,$A$6:$A$2405,"&lt;="&amp;$A2388))</f>
        <v/>
      </c>
      <c r="Q2388" s="57" t="str">
        <f aca="false">IF($O2388="","",IF($P2388&lt;=BankCostEnvelope*'5. Scenarios'!$D$7,1,0))</f>
        <v/>
      </c>
      <c r="R2388" s="57" t="str">
        <f aca="false">IF($N2388="","",INDEX(BookRate,2383)*(1+'5. Scenarios'!$D$10)*(INDEX(BookQ1,2383)*(5-MIN(4,1+'5. Scenarios'!$D$8))/4+INDEX(BookQ2,2383)*(5-MIN(4,2+'5. Scenarios'!$D$8))/4+INDEX(BookQ3,2383)*(5-MIN(4,3+'5. Scenarios'!$D$8))/4+INDEX(BookQ4,2383)*(5-MIN(4,4+'5. Scenarios'!$D$8))/4)*'5. Scenarios'!$D$6/(1+ProductivityDefault*('5. Scenarios'!$D$11-1))+INDEX(BookOneOff,2383)*$N2388)</f>
        <v/>
      </c>
      <c r="S2388" s="56" t="str">
        <f aca="false">IF(INDEX(BookTitle,2383)="","",INDEX(BookTotal,2383)*'5. Scenarios'!$E$6/(1+ProductivityDefault*('5. Scenarios'!$E$11-1)))</f>
        <v/>
      </c>
      <c r="T2388" s="57" t="str">
        <f aca="false">IF($S2388="","",INDEX(BookRate,2383)*(1+'5. Scenarios'!$E$10)*$S2388)</f>
        <v/>
      </c>
      <c r="U2388" s="57" t="str">
        <f aca="false">IF($T2388="","",SUMIFS($T$6:$T$2405,$A$6:$A$2405,"&lt;="&amp;$A2388))</f>
        <v/>
      </c>
      <c r="V2388" s="57" t="str">
        <f aca="false">IF($T2388="","",IF($U2388&lt;=BankCostEnvelope*'5. Scenarios'!$E$7,1,0))</f>
        <v/>
      </c>
      <c r="W2388" s="57" t="str">
        <f aca="false">IF($S2388="","",INDEX(BookRate,2383)*(1+'5. Scenarios'!$E$10)*(INDEX(BookQ1,2383)*(5-MIN(4,1+'5. Scenarios'!$E$8))/4+INDEX(BookQ2,2383)*(5-MIN(4,2+'5. Scenarios'!$E$8))/4+INDEX(BookQ3,2383)*(5-MIN(4,3+'5. Scenarios'!$E$8))/4+INDEX(BookQ4,2383)*(5-MIN(4,4+'5. Scenarios'!$E$8))/4)*'5. Scenarios'!$E$6/(1+ProductivityDefault*('5. Scenarios'!$E$11-1))+INDEX(BookOneOff,2383)*$S2388)</f>
        <v/>
      </c>
    </row>
    <row r="2389" customFormat="false" ht="15" hidden="false" customHeight="false" outlineLevel="0" collapsed="false">
      <c r="A2389" s="0" t="str">
        <f aca="false">IF(INDEX(BookTitle,2384)="","",INDEX(BookKey,2384))</f>
        <v/>
      </c>
      <c r="B2389" s="0" t="str">
        <f aca="false">IF(INDEX(BookTitle,2384)="","",INDEX(BookGroup,2384))</f>
        <v/>
      </c>
      <c r="C2389" s="0" t="str">
        <f aca="false">IF(INDEX(BookTitle,2384)="","",INDEX(BookCategory,2384))</f>
        <v/>
      </c>
      <c r="D2389" s="56" t="str">
        <f aca="false">IF(INDEX(BookTitle,2384)="","",INDEX(BookTotal,2384)*'5. Scenarios'!$B$6/(1+ProductivityDefault*('5. Scenarios'!$B$11-1)))</f>
        <v/>
      </c>
      <c r="E2389" s="57" t="str">
        <f aca="false">IF($D2389="","",INDEX(BookRate,2384)*(1+'5. Scenarios'!$B$10)*$D2389)</f>
        <v/>
      </c>
      <c r="F2389" s="57" t="str">
        <f aca="false">IF($E2389="","",SUMIFS($E$6:$E$2405,$A$6:$A$2405,"&lt;="&amp;$A2389))</f>
        <v/>
      </c>
      <c r="G2389" s="57" t="str">
        <f aca="false">IF($E2389="","",IF($F2389&lt;=BankCostEnvelope*'5. Scenarios'!$B$7,1,0))</f>
        <v/>
      </c>
      <c r="H2389" s="57" t="str">
        <f aca="false">IF($D2389="","",INDEX(BookRate,2384)*(1+'5. Scenarios'!$B$10)*(INDEX(BookQ1,2384)*(5-MIN(4,1+'5. Scenarios'!$B$8))/4+INDEX(BookQ2,2384)*(5-MIN(4,2+'5. Scenarios'!$B$8))/4+INDEX(BookQ3,2384)*(5-MIN(4,3+'5. Scenarios'!$B$8))/4+INDEX(BookQ4,2384)*(5-MIN(4,4+'5. Scenarios'!$B$8))/4)*'5. Scenarios'!$B$6/(1+ProductivityDefault*('5. Scenarios'!$B$11-1))+INDEX(BookOneOff,2384)*$D2389)</f>
        <v/>
      </c>
      <c r="I2389" s="56" t="str">
        <f aca="false">IF(INDEX(BookTitle,2384)="","",INDEX(BookTotal,2384)*'5. Scenarios'!$C$6/(1+ProductivityDefault*('5. Scenarios'!$C$11-1)))</f>
        <v/>
      </c>
      <c r="J2389" s="57" t="str">
        <f aca="false">IF($I2389="","",INDEX(BookRate,2384)*(1+'5. Scenarios'!$C$10)*$I2389)</f>
        <v/>
      </c>
      <c r="K2389" s="57" t="str">
        <f aca="false">IF($J2389="","",SUMIFS($J$6:$J$2405,$A$6:$A$2405,"&lt;="&amp;$A2389))</f>
        <v/>
      </c>
      <c r="L2389" s="57" t="str">
        <f aca="false">IF($J2389="","",IF($K2389&lt;=BankCostEnvelope*'5. Scenarios'!$C$7,1,0))</f>
        <v/>
      </c>
      <c r="M2389" s="57" t="str">
        <f aca="false">IF($I2389="","",INDEX(BookRate,2384)*(1+'5. Scenarios'!$C$10)*(INDEX(BookQ1,2384)*(5-MIN(4,1+'5. Scenarios'!$C$8))/4+INDEX(BookQ2,2384)*(5-MIN(4,2+'5. Scenarios'!$C$8))/4+INDEX(BookQ3,2384)*(5-MIN(4,3+'5. Scenarios'!$C$8))/4+INDEX(BookQ4,2384)*(5-MIN(4,4+'5. Scenarios'!$C$8))/4)*'5. Scenarios'!$C$6/(1+ProductivityDefault*('5. Scenarios'!$C$11-1))+INDEX(BookOneOff,2384)*$I2389)</f>
        <v/>
      </c>
      <c r="N2389" s="56" t="str">
        <f aca="false">IF(INDEX(BookTitle,2384)="","",INDEX(BookTotal,2384)*'5. Scenarios'!$D$6/(1+ProductivityDefault*('5. Scenarios'!$D$11-1)))</f>
        <v/>
      </c>
      <c r="O2389" s="57" t="str">
        <f aca="false">IF($N2389="","",INDEX(BookRate,2384)*(1+'5. Scenarios'!$D$10)*$N2389)</f>
        <v/>
      </c>
      <c r="P2389" s="57" t="str">
        <f aca="false">IF($O2389="","",SUMIFS($O$6:$O$2405,$A$6:$A$2405,"&lt;="&amp;$A2389))</f>
        <v/>
      </c>
      <c r="Q2389" s="57" t="str">
        <f aca="false">IF($O2389="","",IF($P2389&lt;=BankCostEnvelope*'5. Scenarios'!$D$7,1,0))</f>
        <v/>
      </c>
      <c r="R2389" s="57" t="str">
        <f aca="false">IF($N2389="","",INDEX(BookRate,2384)*(1+'5. Scenarios'!$D$10)*(INDEX(BookQ1,2384)*(5-MIN(4,1+'5. Scenarios'!$D$8))/4+INDEX(BookQ2,2384)*(5-MIN(4,2+'5. Scenarios'!$D$8))/4+INDEX(BookQ3,2384)*(5-MIN(4,3+'5. Scenarios'!$D$8))/4+INDEX(BookQ4,2384)*(5-MIN(4,4+'5. Scenarios'!$D$8))/4)*'5. Scenarios'!$D$6/(1+ProductivityDefault*('5. Scenarios'!$D$11-1))+INDEX(BookOneOff,2384)*$N2389)</f>
        <v/>
      </c>
      <c r="S2389" s="56" t="str">
        <f aca="false">IF(INDEX(BookTitle,2384)="","",INDEX(BookTotal,2384)*'5. Scenarios'!$E$6/(1+ProductivityDefault*('5. Scenarios'!$E$11-1)))</f>
        <v/>
      </c>
      <c r="T2389" s="57" t="str">
        <f aca="false">IF($S2389="","",INDEX(BookRate,2384)*(1+'5. Scenarios'!$E$10)*$S2389)</f>
        <v/>
      </c>
      <c r="U2389" s="57" t="str">
        <f aca="false">IF($T2389="","",SUMIFS($T$6:$T$2405,$A$6:$A$2405,"&lt;="&amp;$A2389))</f>
        <v/>
      </c>
      <c r="V2389" s="57" t="str">
        <f aca="false">IF($T2389="","",IF($U2389&lt;=BankCostEnvelope*'5. Scenarios'!$E$7,1,0))</f>
        <v/>
      </c>
      <c r="W2389" s="57" t="str">
        <f aca="false">IF($S2389="","",INDEX(BookRate,2384)*(1+'5. Scenarios'!$E$10)*(INDEX(BookQ1,2384)*(5-MIN(4,1+'5. Scenarios'!$E$8))/4+INDEX(BookQ2,2384)*(5-MIN(4,2+'5. Scenarios'!$E$8))/4+INDEX(BookQ3,2384)*(5-MIN(4,3+'5. Scenarios'!$E$8))/4+INDEX(BookQ4,2384)*(5-MIN(4,4+'5. Scenarios'!$E$8))/4)*'5. Scenarios'!$E$6/(1+ProductivityDefault*('5. Scenarios'!$E$11-1))+INDEX(BookOneOff,2384)*$S2389)</f>
        <v/>
      </c>
    </row>
    <row r="2390" customFormat="false" ht="15" hidden="false" customHeight="false" outlineLevel="0" collapsed="false">
      <c r="A2390" s="0" t="str">
        <f aca="false">IF(INDEX(BookTitle,2385)="","",INDEX(BookKey,2385))</f>
        <v/>
      </c>
      <c r="B2390" s="0" t="str">
        <f aca="false">IF(INDEX(BookTitle,2385)="","",INDEX(BookGroup,2385))</f>
        <v/>
      </c>
      <c r="C2390" s="0" t="str">
        <f aca="false">IF(INDEX(BookTitle,2385)="","",INDEX(BookCategory,2385))</f>
        <v/>
      </c>
      <c r="D2390" s="56" t="str">
        <f aca="false">IF(INDEX(BookTitle,2385)="","",INDEX(BookTotal,2385)*'5. Scenarios'!$B$6/(1+ProductivityDefault*('5. Scenarios'!$B$11-1)))</f>
        <v/>
      </c>
      <c r="E2390" s="57" t="str">
        <f aca="false">IF($D2390="","",INDEX(BookRate,2385)*(1+'5. Scenarios'!$B$10)*$D2390)</f>
        <v/>
      </c>
      <c r="F2390" s="57" t="str">
        <f aca="false">IF($E2390="","",SUMIFS($E$6:$E$2405,$A$6:$A$2405,"&lt;="&amp;$A2390))</f>
        <v/>
      </c>
      <c r="G2390" s="57" t="str">
        <f aca="false">IF($E2390="","",IF($F2390&lt;=BankCostEnvelope*'5. Scenarios'!$B$7,1,0))</f>
        <v/>
      </c>
      <c r="H2390" s="57" t="str">
        <f aca="false">IF($D2390="","",INDEX(BookRate,2385)*(1+'5. Scenarios'!$B$10)*(INDEX(BookQ1,2385)*(5-MIN(4,1+'5. Scenarios'!$B$8))/4+INDEX(BookQ2,2385)*(5-MIN(4,2+'5. Scenarios'!$B$8))/4+INDEX(BookQ3,2385)*(5-MIN(4,3+'5. Scenarios'!$B$8))/4+INDEX(BookQ4,2385)*(5-MIN(4,4+'5. Scenarios'!$B$8))/4)*'5. Scenarios'!$B$6/(1+ProductivityDefault*('5. Scenarios'!$B$11-1))+INDEX(BookOneOff,2385)*$D2390)</f>
        <v/>
      </c>
      <c r="I2390" s="56" t="str">
        <f aca="false">IF(INDEX(BookTitle,2385)="","",INDEX(BookTotal,2385)*'5. Scenarios'!$C$6/(1+ProductivityDefault*('5. Scenarios'!$C$11-1)))</f>
        <v/>
      </c>
      <c r="J2390" s="57" t="str">
        <f aca="false">IF($I2390="","",INDEX(BookRate,2385)*(1+'5. Scenarios'!$C$10)*$I2390)</f>
        <v/>
      </c>
      <c r="K2390" s="57" t="str">
        <f aca="false">IF($J2390="","",SUMIFS($J$6:$J$2405,$A$6:$A$2405,"&lt;="&amp;$A2390))</f>
        <v/>
      </c>
      <c r="L2390" s="57" t="str">
        <f aca="false">IF($J2390="","",IF($K2390&lt;=BankCostEnvelope*'5. Scenarios'!$C$7,1,0))</f>
        <v/>
      </c>
      <c r="M2390" s="57" t="str">
        <f aca="false">IF($I2390="","",INDEX(BookRate,2385)*(1+'5. Scenarios'!$C$10)*(INDEX(BookQ1,2385)*(5-MIN(4,1+'5. Scenarios'!$C$8))/4+INDEX(BookQ2,2385)*(5-MIN(4,2+'5. Scenarios'!$C$8))/4+INDEX(BookQ3,2385)*(5-MIN(4,3+'5. Scenarios'!$C$8))/4+INDEX(BookQ4,2385)*(5-MIN(4,4+'5. Scenarios'!$C$8))/4)*'5. Scenarios'!$C$6/(1+ProductivityDefault*('5. Scenarios'!$C$11-1))+INDEX(BookOneOff,2385)*$I2390)</f>
        <v/>
      </c>
      <c r="N2390" s="56" t="str">
        <f aca="false">IF(INDEX(BookTitle,2385)="","",INDEX(BookTotal,2385)*'5. Scenarios'!$D$6/(1+ProductivityDefault*('5. Scenarios'!$D$11-1)))</f>
        <v/>
      </c>
      <c r="O2390" s="57" t="str">
        <f aca="false">IF($N2390="","",INDEX(BookRate,2385)*(1+'5. Scenarios'!$D$10)*$N2390)</f>
        <v/>
      </c>
      <c r="P2390" s="57" t="str">
        <f aca="false">IF($O2390="","",SUMIFS($O$6:$O$2405,$A$6:$A$2405,"&lt;="&amp;$A2390))</f>
        <v/>
      </c>
      <c r="Q2390" s="57" t="str">
        <f aca="false">IF($O2390="","",IF($P2390&lt;=BankCostEnvelope*'5. Scenarios'!$D$7,1,0))</f>
        <v/>
      </c>
      <c r="R2390" s="57" t="str">
        <f aca="false">IF($N2390="","",INDEX(BookRate,2385)*(1+'5. Scenarios'!$D$10)*(INDEX(BookQ1,2385)*(5-MIN(4,1+'5. Scenarios'!$D$8))/4+INDEX(BookQ2,2385)*(5-MIN(4,2+'5. Scenarios'!$D$8))/4+INDEX(BookQ3,2385)*(5-MIN(4,3+'5. Scenarios'!$D$8))/4+INDEX(BookQ4,2385)*(5-MIN(4,4+'5. Scenarios'!$D$8))/4)*'5. Scenarios'!$D$6/(1+ProductivityDefault*('5. Scenarios'!$D$11-1))+INDEX(BookOneOff,2385)*$N2390)</f>
        <v/>
      </c>
      <c r="S2390" s="56" t="str">
        <f aca="false">IF(INDEX(BookTitle,2385)="","",INDEX(BookTotal,2385)*'5. Scenarios'!$E$6/(1+ProductivityDefault*('5. Scenarios'!$E$11-1)))</f>
        <v/>
      </c>
      <c r="T2390" s="57" t="str">
        <f aca="false">IF($S2390="","",INDEX(BookRate,2385)*(1+'5. Scenarios'!$E$10)*$S2390)</f>
        <v/>
      </c>
      <c r="U2390" s="57" t="str">
        <f aca="false">IF($T2390="","",SUMIFS($T$6:$T$2405,$A$6:$A$2405,"&lt;="&amp;$A2390))</f>
        <v/>
      </c>
      <c r="V2390" s="57" t="str">
        <f aca="false">IF($T2390="","",IF($U2390&lt;=BankCostEnvelope*'5. Scenarios'!$E$7,1,0))</f>
        <v/>
      </c>
      <c r="W2390" s="57" t="str">
        <f aca="false">IF($S2390="","",INDEX(BookRate,2385)*(1+'5. Scenarios'!$E$10)*(INDEX(BookQ1,2385)*(5-MIN(4,1+'5. Scenarios'!$E$8))/4+INDEX(BookQ2,2385)*(5-MIN(4,2+'5. Scenarios'!$E$8))/4+INDEX(BookQ3,2385)*(5-MIN(4,3+'5. Scenarios'!$E$8))/4+INDEX(BookQ4,2385)*(5-MIN(4,4+'5. Scenarios'!$E$8))/4)*'5. Scenarios'!$E$6/(1+ProductivityDefault*('5. Scenarios'!$E$11-1))+INDEX(BookOneOff,2385)*$S2390)</f>
        <v/>
      </c>
    </row>
    <row r="2391" customFormat="false" ht="15" hidden="false" customHeight="false" outlineLevel="0" collapsed="false">
      <c r="A2391" s="0" t="str">
        <f aca="false">IF(INDEX(BookTitle,2386)="","",INDEX(BookKey,2386))</f>
        <v/>
      </c>
      <c r="B2391" s="0" t="str">
        <f aca="false">IF(INDEX(BookTitle,2386)="","",INDEX(BookGroup,2386))</f>
        <v/>
      </c>
      <c r="C2391" s="0" t="str">
        <f aca="false">IF(INDEX(BookTitle,2386)="","",INDEX(BookCategory,2386))</f>
        <v/>
      </c>
      <c r="D2391" s="56" t="str">
        <f aca="false">IF(INDEX(BookTitle,2386)="","",INDEX(BookTotal,2386)*'5. Scenarios'!$B$6/(1+ProductivityDefault*('5. Scenarios'!$B$11-1)))</f>
        <v/>
      </c>
      <c r="E2391" s="57" t="str">
        <f aca="false">IF($D2391="","",INDEX(BookRate,2386)*(1+'5. Scenarios'!$B$10)*$D2391)</f>
        <v/>
      </c>
      <c r="F2391" s="57" t="str">
        <f aca="false">IF($E2391="","",SUMIFS($E$6:$E$2405,$A$6:$A$2405,"&lt;="&amp;$A2391))</f>
        <v/>
      </c>
      <c r="G2391" s="57" t="str">
        <f aca="false">IF($E2391="","",IF($F2391&lt;=BankCostEnvelope*'5. Scenarios'!$B$7,1,0))</f>
        <v/>
      </c>
      <c r="H2391" s="57" t="str">
        <f aca="false">IF($D2391="","",INDEX(BookRate,2386)*(1+'5. Scenarios'!$B$10)*(INDEX(BookQ1,2386)*(5-MIN(4,1+'5. Scenarios'!$B$8))/4+INDEX(BookQ2,2386)*(5-MIN(4,2+'5. Scenarios'!$B$8))/4+INDEX(BookQ3,2386)*(5-MIN(4,3+'5. Scenarios'!$B$8))/4+INDEX(BookQ4,2386)*(5-MIN(4,4+'5. Scenarios'!$B$8))/4)*'5. Scenarios'!$B$6/(1+ProductivityDefault*('5. Scenarios'!$B$11-1))+INDEX(BookOneOff,2386)*$D2391)</f>
        <v/>
      </c>
      <c r="I2391" s="56" t="str">
        <f aca="false">IF(INDEX(BookTitle,2386)="","",INDEX(BookTotal,2386)*'5. Scenarios'!$C$6/(1+ProductivityDefault*('5. Scenarios'!$C$11-1)))</f>
        <v/>
      </c>
      <c r="J2391" s="57" t="str">
        <f aca="false">IF($I2391="","",INDEX(BookRate,2386)*(1+'5. Scenarios'!$C$10)*$I2391)</f>
        <v/>
      </c>
      <c r="K2391" s="57" t="str">
        <f aca="false">IF($J2391="","",SUMIFS($J$6:$J$2405,$A$6:$A$2405,"&lt;="&amp;$A2391))</f>
        <v/>
      </c>
      <c r="L2391" s="57" t="str">
        <f aca="false">IF($J2391="","",IF($K2391&lt;=BankCostEnvelope*'5. Scenarios'!$C$7,1,0))</f>
        <v/>
      </c>
      <c r="M2391" s="57" t="str">
        <f aca="false">IF($I2391="","",INDEX(BookRate,2386)*(1+'5. Scenarios'!$C$10)*(INDEX(BookQ1,2386)*(5-MIN(4,1+'5. Scenarios'!$C$8))/4+INDEX(BookQ2,2386)*(5-MIN(4,2+'5. Scenarios'!$C$8))/4+INDEX(BookQ3,2386)*(5-MIN(4,3+'5. Scenarios'!$C$8))/4+INDEX(BookQ4,2386)*(5-MIN(4,4+'5. Scenarios'!$C$8))/4)*'5. Scenarios'!$C$6/(1+ProductivityDefault*('5. Scenarios'!$C$11-1))+INDEX(BookOneOff,2386)*$I2391)</f>
        <v/>
      </c>
      <c r="N2391" s="56" t="str">
        <f aca="false">IF(INDEX(BookTitle,2386)="","",INDEX(BookTotal,2386)*'5. Scenarios'!$D$6/(1+ProductivityDefault*('5. Scenarios'!$D$11-1)))</f>
        <v/>
      </c>
      <c r="O2391" s="57" t="str">
        <f aca="false">IF($N2391="","",INDEX(BookRate,2386)*(1+'5. Scenarios'!$D$10)*$N2391)</f>
        <v/>
      </c>
      <c r="P2391" s="57" t="str">
        <f aca="false">IF($O2391="","",SUMIFS($O$6:$O$2405,$A$6:$A$2405,"&lt;="&amp;$A2391))</f>
        <v/>
      </c>
      <c r="Q2391" s="57" t="str">
        <f aca="false">IF($O2391="","",IF($P2391&lt;=BankCostEnvelope*'5. Scenarios'!$D$7,1,0))</f>
        <v/>
      </c>
      <c r="R2391" s="57" t="str">
        <f aca="false">IF($N2391="","",INDEX(BookRate,2386)*(1+'5. Scenarios'!$D$10)*(INDEX(BookQ1,2386)*(5-MIN(4,1+'5. Scenarios'!$D$8))/4+INDEX(BookQ2,2386)*(5-MIN(4,2+'5. Scenarios'!$D$8))/4+INDEX(BookQ3,2386)*(5-MIN(4,3+'5. Scenarios'!$D$8))/4+INDEX(BookQ4,2386)*(5-MIN(4,4+'5. Scenarios'!$D$8))/4)*'5. Scenarios'!$D$6/(1+ProductivityDefault*('5. Scenarios'!$D$11-1))+INDEX(BookOneOff,2386)*$N2391)</f>
        <v/>
      </c>
      <c r="S2391" s="56" t="str">
        <f aca="false">IF(INDEX(BookTitle,2386)="","",INDEX(BookTotal,2386)*'5. Scenarios'!$E$6/(1+ProductivityDefault*('5. Scenarios'!$E$11-1)))</f>
        <v/>
      </c>
      <c r="T2391" s="57" t="str">
        <f aca="false">IF($S2391="","",INDEX(BookRate,2386)*(1+'5. Scenarios'!$E$10)*$S2391)</f>
        <v/>
      </c>
      <c r="U2391" s="57" t="str">
        <f aca="false">IF($T2391="","",SUMIFS($T$6:$T$2405,$A$6:$A$2405,"&lt;="&amp;$A2391))</f>
        <v/>
      </c>
      <c r="V2391" s="57" t="str">
        <f aca="false">IF($T2391="","",IF($U2391&lt;=BankCostEnvelope*'5. Scenarios'!$E$7,1,0))</f>
        <v/>
      </c>
      <c r="W2391" s="57" t="str">
        <f aca="false">IF($S2391="","",INDEX(BookRate,2386)*(1+'5. Scenarios'!$E$10)*(INDEX(BookQ1,2386)*(5-MIN(4,1+'5. Scenarios'!$E$8))/4+INDEX(BookQ2,2386)*(5-MIN(4,2+'5. Scenarios'!$E$8))/4+INDEX(BookQ3,2386)*(5-MIN(4,3+'5. Scenarios'!$E$8))/4+INDEX(BookQ4,2386)*(5-MIN(4,4+'5. Scenarios'!$E$8))/4)*'5. Scenarios'!$E$6/(1+ProductivityDefault*('5. Scenarios'!$E$11-1))+INDEX(BookOneOff,2386)*$S2391)</f>
        <v/>
      </c>
    </row>
    <row r="2392" customFormat="false" ht="15" hidden="false" customHeight="false" outlineLevel="0" collapsed="false">
      <c r="A2392" s="0" t="str">
        <f aca="false">IF(INDEX(BookTitle,2387)="","",INDEX(BookKey,2387))</f>
        <v/>
      </c>
      <c r="B2392" s="0" t="str">
        <f aca="false">IF(INDEX(BookTitle,2387)="","",INDEX(BookGroup,2387))</f>
        <v/>
      </c>
      <c r="C2392" s="0" t="str">
        <f aca="false">IF(INDEX(BookTitle,2387)="","",INDEX(BookCategory,2387))</f>
        <v/>
      </c>
      <c r="D2392" s="56" t="str">
        <f aca="false">IF(INDEX(BookTitle,2387)="","",INDEX(BookTotal,2387)*'5. Scenarios'!$B$6/(1+ProductivityDefault*('5. Scenarios'!$B$11-1)))</f>
        <v/>
      </c>
      <c r="E2392" s="57" t="str">
        <f aca="false">IF($D2392="","",INDEX(BookRate,2387)*(1+'5. Scenarios'!$B$10)*$D2392)</f>
        <v/>
      </c>
      <c r="F2392" s="57" t="str">
        <f aca="false">IF($E2392="","",SUMIFS($E$6:$E$2405,$A$6:$A$2405,"&lt;="&amp;$A2392))</f>
        <v/>
      </c>
      <c r="G2392" s="57" t="str">
        <f aca="false">IF($E2392="","",IF($F2392&lt;=BankCostEnvelope*'5. Scenarios'!$B$7,1,0))</f>
        <v/>
      </c>
      <c r="H2392" s="57" t="str">
        <f aca="false">IF($D2392="","",INDEX(BookRate,2387)*(1+'5. Scenarios'!$B$10)*(INDEX(BookQ1,2387)*(5-MIN(4,1+'5. Scenarios'!$B$8))/4+INDEX(BookQ2,2387)*(5-MIN(4,2+'5. Scenarios'!$B$8))/4+INDEX(BookQ3,2387)*(5-MIN(4,3+'5. Scenarios'!$B$8))/4+INDEX(BookQ4,2387)*(5-MIN(4,4+'5. Scenarios'!$B$8))/4)*'5. Scenarios'!$B$6/(1+ProductivityDefault*('5. Scenarios'!$B$11-1))+INDEX(BookOneOff,2387)*$D2392)</f>
        <v/>
      </c>
      <c r="I2392" s="56" t="str">
        <f aca="false">IF(INDEX(BookTitle,2387)="","",INDEX(BookTotal,2387)*'5. Scenarios'!$C$6/(1+ProductivityDefault*('5. Scenarios'!$C$11-1)))</f>
        <v/>
      </c>
      <c r="J2392" s="57" t="str">
        <f aca="false">IF($I2392="","",INDEX(BookRate,2387)*(1+'5. Scenarios'!$C$10)*$I2392)</f>
        <v/>
      </c>
      <c r="K2392" s="57" t="str">
        <f aca="false">IF($J2392="","",SUMIFS($J$6:$J$2405,$A$6:$A$2405,"&lt;="&amp;$A2392))</f>
        <v/>
      </c>
      <c r="L2392" s="57" t="str">
        <f aca="false">IF($J2392="","",IF($K2392&lt;=BankCostEnvelope*'5. Scenarios'!$C$7,1,0))</f>
        <v/>
      </c>
      <c r="M2392" s="57" t="str">
        <f aca="false">IF($I2392="","",INDEX(BookRate,2387)*(1+'5. Scenarios'!$C$10)*(INDEX(BookQ1,2387)*(5-MIN(4,1+'5. Scenarios'!$C$8))/4+INDEX(BookQ2,2387)*(5-MIN(4,2+'5. Scenarios'!$C$8))/4+INDEX(BookQ3,2387)*(5-MIN(4,3+'5. Scenarios'!$C$8))/4+INDEX(BookQ4,2387)*(5-MIN(4,4+'5. Scenarios'!$C$8))/4)*'5. Scenarios'!$C$6/(1+ProductivityDefault*('5. Scenarios'!$C$11-1))+INDEX(BookOneOff,2387)*$I2392)</f>
        <v/>
      </c>
      <c r="N2392" s="56" t="str">
        <f aca="false">IF(INDEX(BookTitle,2387)="","",INDEX(BookTotal,2387)*'5. Scenarios'!$D$6/(1+ProductivityDefault*('5. Scenarios'!$D$11-1)))</f>
        <v/>
      </c>
      <c r="O2392" s="57" t="str">
        <f aca="false">IF($N2392="","",INDEX(BookRate,2387)*(1+'5. Scenarios'!$D$10)*$N2392)</f>
        <v/>
      </c>
      <c r="P2392" s="57" t="str">
        <f aca="false">IF($O2392="","",SUMIFS($O$6:$O$2405,$A$6:$A$2405,"&lt;="&amp;$A2392))</f>
        <v/>
      </c>
      <c r="Q2392" s="57" t="str">
        <f aca="false">IF($O2392="","",IF($P2392&lt;=BankCostEnvelope*'5. Scenarios'!$D$7,1,0))</f>
        <v/>
      </c>
      <c r="R2392" s="57" t="str">
        <f aca="false">IF($N2392="","",INDEX(BookRate,2387)*(1+'5. Scenarios'!$D$10)*(INDEX(BookQ1,2387)*(5-MIN(4,1+'5. Scenarios'!$D$8))/4+INDEX(BookQ2,2387)*(5-MIN(4,2+'5. Scenarios'!$D$8))/4+INDEX(BookQ3,2387)*(5-MIN(4,3+'5. Scenarios'!$D$8))/4+INDEX(BookQ4,2387)*(5-MIN(4,4+'5. Scenarios'!$D$8))/4)*'5. Scenarios'!$D$6/(1+ProductivityDefault*('5. Scenarios'!$D$11-1))+INDEX(BookOneOff,2387)*$N2392)</f>
        <v/>
      </c>
      <c r="S2392" s="56" t="str">
        <f aca="false">IF(INDEX(BookTitle,2387)="","",INDEX(BookTotal,2387)*'5. Scenarios'!$E$6/(1+ProductivityDefault*('5. Scenarios'!$E$11-1)))</f>
        <v/>
      </c>
      <c r="T2392" s="57" t="str">
        <f aca="false">IF($S2392="","",INDEX(BookRate,2387)*(1+'5. Scenarios'!$E$10)*$S2392)</f>
        <v/>
      </c>
      <c r="U2392" s="57" t="str">
        <f aca="false">IF($T2392="","",SUMIFS($T$6:$T$2405,$A$6:$A$2405,"&lt;="&amp;$A2392))</f>
        <v/>
      </c>
      <c r="V2392" s="57" t="str">
        <f aca="false">IF($T2392="","",IF($U2392&lt;=BankCostEnvelope*'5. Scenarios'!$E$7,1,0))</f>
        <v/>
      </c>
      <c r="W2392" s="57" t="str">
        <f aca="false">IF($S2392="","",INDEX(BookRate,2387)*(1+'5. Scenarios'!$E$10)*(INDEX(BookQ1,2387)*(5-MIN(4,1+'5. Scenarios'!$E$8))/4+INDEX(BookQ2,2387)*(5-MIN(4,2+'5. Scenarios'!$E$8))/4+INDEX(BookQ3,2387)*(5-MIN(4,3+'5. Scenarios'!$E$8))/4+INDEX(BookQ4,2387)*(5-MIN(4,4+'5. Scenarios'!$E$8))/4)*'5. Scenarios'!$E$6/(1+ProductivityDefault*('5. Scenarios'!$E$11-1))+INDEX(BookOneOff,2387)*$S2392)</f>
        <v/>
      </c>
    </row>
    <row r="2393" customFormat="false" ht="15" hidden="false" customHeight="false" outlineLevel="0" collapsed="false">
      <c r="A2393" s="0" t="str">
        <f aca="false">IF(INDEX(BookTitle,2388)="","",INDEX(BookKey,2388))</f>
        <v/>
      </c>
      <c r="B2393" s="0" t="str">
        <f aca="false">IF(INDEX(BookTitle,2388)="","",INDEX(BookGroup,2388))</f>
        <v/>
      </c>
      <c r="C2393" s="0" t="str">
        <f aca="false">IF(INDEX(BookTitle,2388)="","",INDEX(BookCategory,2388))</f>
        <v/>
      </c>
      <c r="D2393" s="56" t="str">
        <f aca="false">IF(INDEX(BookTitle,2388)="","",INDEX(BookTotal,2388)*'5. Scenarios'!$B$6/(1+ProductivityDefault*('5. Scenarios'!$B$11-1)))</f>
        <v/>
      </c>
      <c r="E2393" s="57" t="str">
        <f aca="false">IF($D2393="","",INDEX(BookRate,2388)*(1+'5. Scenarios'!$B$10)*$D2393)</f>
        <v/>
      </c>
      <c r="F2393" s="57" t="str">
        <f aca="false">IF($E2393="","",SUMIFS($E$6:$E$2405,$A$6:$A$2405,"&lt;="&amp;$A2393))</f>
        <v/>
      </c>
      <c r="G2393" s="57" t="str">
        <f aca="false">IF($E2393="","",IF($F2393&lt;=BankCostEnvelope*'5. Scenarios'!$B$7,1,0))</f>
        <v/>
      </c>
      <c r="H2393" s="57" t="str">
        <f aca="false">IF($D2393="","",INDEX(BookRate,2388)*(1+'5. Scenarios'!$B$10)*(INDEX(BookQ1,2388)*(5-MIN(4,1+'5. Scenarios'!$B$8))/4+INDEX(BookQ2,2388)*(5-MIN(4,2+'5. Scenarios'!$B$8))/4+INDEX(BookQ3,2388)*(5-MIN(4,3+'5. Scenarios'!$B$8))/4+INDEX(BookQ4,2388)*(5-MIN(4,4+'5. Scenarios'!$B$8))/4)*'5. Scenarios'!$B$6/(1+ProductivityDefault*('5. Scenarios'!$B$11-1))+INDEX(BookOneOff,2388)*$D2393)</f>
        <v/>
      </c>
      <c r="I2393" s="56" t="str">
        <f aca="false">IF(INDEX(BookTitle,2388)="","",INDEX(BookTotal,2388)*'5. Scenarios'!$C$6/(1+ProductivityDefault*('5. Scenarios'!$C$11-1)))</f>
        <v/>
      </c>
      <c r="J2393" s="57" t="str">
        <f aca="false">IF($I2393="","",INDEX(BookRate,2388)*(1+'5. Scenarios'!$C$10)*$I2393)</f>
        <v/>
      </c>
      <c r="K2393" s="57" t="str">
        <f aca="false">IF($J2393="","",SUMIFS($J$6:$J$2405,$A$6:$A$2405,"&lt;="&amp;$A2393))</f>
        <v/>
      </c>
      <c r="L2393" s="57" t="str">
        <f aca="false">IF($J2393="","",IF($K2393&lt;=BankCostEnvelope*'5. Scenarios'!$C$7,1,0))</f>
        <v/>
      </c>
      <c r="M2393" s="57" t="str">
        <f aca="false">IF($I2393="","",INDEX(BookRate,2388)*(1+'5. Scenarios'!$C$10)*(INDEX(BookQ1,2388)*(5-MIN(4,1+'5. Scenarios'!$C$8))/4+INDEX(BookQ2,2388)*(5-MIN(4,2+'5. Scenarios'!$C$8))/4+INDEX(BookQ3,2388)*(5-MIN(4,3+'5. Scenarios'!$C$8))/4+INDEX(BookQ4,2388)*(5-MIN(4,4+'5. Scenarios'!$C$8))/4)*'5. Scenarios'!$C$6/(1+ProductivityDefault*('5. Scenarios'!$C$11-1))+INDEX(BookOneOff,2388)*$I2393)</f>
        <v/>
      </c>
      <c r="N2393" s="56" t="str">
        <f aca="false">IF(INDEX(BookTitle,2388)="","",INDEX(BookTotal,2388)*'5. Scenarios'!$D$6/(1+ProductivityDefault*('5. Scenarios'!$D$11-1)))</f>
        <v/>
      </c>
      <c r="O2393" s="57" t="str">
        <f aca="false">IF($N2393="","",INDEX(BookRate,2388)*(1+'5. Scenarios'!$D$10)*$N2393)</f>
        <v/>
      </c>
      <c r="P2393" s="57" t="str">
        <f aca="false">IF($O2393="","",SUMIFS($O$6:$O$2405,$A$6:$A$2405,"&lt;="&amp;$A2393))</f>
        <v/>
      </c>
      <c r="Q2393" s="57" t="str">
        <f aca="false">IF($O2393="","",IF($P2393&lt;=BankCostEnvelope*'5. Scenarios'!$D$7,1,0))</f>
        <v/>
      </c>
      <c r="R2393" s="57" t="str">
        <f aca="false">IF($N2393="","",INDEX(BookRate,2388)*(1+'5. Scenarios'!$D$10)*(INDEX(BookQ1,2388)*(5-MIN(4,1+'5. Scenarios'!$D$8))/4+INDEX(BookQ2,2388)*(5-MIN(4,2+'5. Scenarios'!$D$8))/4+INDEX(BookQ3,2388)*(5-MIN(4,3+'5. Scenarios'!$D$8))/4+INDEX(BookQ4,2388)*(5-MIN(4,4+'5. Scenarios'!$D$8))/4)*'5. Scenarios'!$D$6/(1+ProductivityDefault*('5. Scenarios'!$D$11-1))+INDEX(BookOneOff,2388)*$N2393)</f>
        <v/>
      </c>
      <c r="S2393" s="56" t="str">
        <f aca="false">IF(INDEX(BookTitle,2388)="","",INDEX(BookTotal,2388)*'5. Scenarios'!$E$6/(1+ProductivityDefault*('5. Scenarios'!$E$11-1)))</f>
        <v/>
      </c>
      <c r="T2393" s="57" t="str">
        <f aca="false">IF($S2393="","",INDEX(BookRate,2388)*(1+'5. Scenarios'!$E$10)*$S2393)</f>
        <v/>
      </c>
      <c r="U2393" s="57" t="str">
        <f aca="false">IF($T2393="","",SUMIFS($T$6:$T$2405,$A$6:$A$2405,"&lt;="&amp;$A2393))</f>
        <v/>
      </c>
      <c r="V2393" s="57" t="str">
        <f aca="false">IF($T2393="","",IF($U2393&lt;=BankCostEnvelope*'5. Scenarios'!$E$7,1,0))</f>
        <v/>
      </c>
      <c r="W2393" s="57" t="str">
        <f aca="false">IF($S2393="","",INDEX(BookRate,2388)*(1+'5. Scenarios'!$E$10)*(INDEX(BookQ1,2388)*(5-MIN(4,1+'5. Scenarios'!$E$8))/4+INDEX(BookQ2,2388)*(5-MIN(4,2+'5. Scenarios'!$E$8))/4+INDEX(BookQ3,2388)*(5-MIN(4,3+'5. Scenarios'!$E$8))/4+INDEX(BookQ4,2388)*(5-MIN(4,4+'5. Scenarios'!$E$8))/4)*'5. Scenarios'!$E$6/(1+ProductivityDefault*('5. Scenarios'!$E$11-1))+INDEX(BookOneOff,2388)*$S2393)</f>
        <v/>
      </c>
    </row>
    <row r="2394" customFormat="false" ht="15" hidden="false" customHeight="false" outlineLevel="0" collapsed="false">
      <c r="A2394" s="0" t="str">
        <f aca="false">IF(INDEX(BookTitle,2389)="","",INDEX(BookKey,2389))</f>
        <v/>
      </c>
      <c r="B2394" s="0" t="str">
        <f aca="false">IF(INDEX(BookTitle,2389)="","",INDEX(BookGroup,2389))</f>
        <v/>
      </c>
      <c r="C2394" s="0" t="str">
        <f aca="false">IF(INDEX(BookTitle,2389)="","",INDEX(BookCategory,2389))</f>
        <v/>
      </c>
      <c r="D2394" s="56" t="str">
        <f aca="false">IF(INDEX(BookTitle,2389)="","",INDEX(BookTotal,2389)*'5. Scenarios'!$B$6/(1+ProductivityDefault*('5. Scenarios'!$B$11-1)))</f>
        <v/>
      </c>
      <c r="E2394" s="57" t="str">
        <f aca="false">IF($D2394="","",INDEX(BookRate,2389)*(1+'5. Scenarios'!$B$10)*$D2394)</f>
        <v/>
      </c>
      <c r="F2394" s="57" t="str">
        <f aca="false">IF($E2394="","",SUMIFS($E$6:$E$2405,$A$6:$A$2405,"&lt;="&amp;$A2394))</f>
        <v/>
      </c>
      <c r="G2394" s="57" t="str">
        <f aca="false">IF($E2394="","",IF($F2394&lt;=BankCostEnvelope*'5. Scenarios'!$B$7,1,0))</f>
        <v/>
      </c>
      <c r="H2394" s="57" t="str">
        <f aca="false">IF($D2394="","",INDEX(BookRate,2389)*(1+'5. Scenarios'!$B$10)*(INDEX(BookQ1,2389)*(5-MIN(4,1+'5. Scenarios'!$B$8))/4+INDEX(BookQ2,2389)*(5-MIN(4,2+'5. Scenarios'!$B$8))/4+INDEX(BookQ3,2389)*(5-MIN(4,3+'5. Scenarios'!$B$8))/4+INDEX(BookQ4,2389)*(5-MIN(4,4+'5. Scenarios'!$B$8))/4)*'5. Scenarios'!$B$6/(1+ProductivityDefault*('5. Scenarios'!$B$11-1))+INDEX(BookOneOff,2389)*$D2394)</f>
        <v/>
      </c>
      <c r="I2394" s="56" t="str">
        <f aca="false">IF(INDEX(BookTitle,2389)="","",INDEX(BookTotal,2389)*'5. Scenarios'!$C$6/(1+ProductivityDefault*('5. Scenarios'!$C$11-1)))</f>
        <v/>
      </c>
      <c r="J2394" s="57" t="str">
        <f aca="false">IF($I2394="","",INDEX(BookRate,2389)*(1+'5. Scenarios'!$C$10)*$I2394)</f>
        <v/>
      </c>
      <c r="K2394" s="57" t="str">
        <f aca="false">IF($J2394="","",SUMIFS($J$6:$J$2405,$A$6:$A$2405,"&lt;="&amp;$A2394))</f>
        <v/>
      </c>
      <c r="L2394" s="57" t="str">
        <f aca="false">IF($J2394="","",IF($K2394&lt;=BankCostEnvelope*'5. Scenarios'!$C$7,1,0))</f>
        <v/>
      </c>
      <c r="M2394" s="57" t="str">
        <f aca="false">IF($I2394="","",INDEX(BookRate,2389)*(1+'5. Scenarios'!$C$10)*(INDEX(BookQ1,2389)*(5-MIN(4,1+'5. Scenarios'!$C$8))/4+INDEX(BookQ2,2389)*(5-MIN(4,2+'5. Scenarios'!$C$8))/4+INDEX(BookQ3,2389)*(5-MIN(4,3+'5. Scenarios'!$C$8))/4+INDEX(BookQ4,2389)*(5-MIN(4,4+'5. Scenarios'!$C$8))/4)*'5. Scenarios'!$C$6/(1+ProductivityDefault*('5. Scenarios'!$C$11-1))+INDEX(BookOneOff,2389)*$I2394)</f>
        <v/>
      </c>
      <c r="N2394" s="56" t="str">
        <f aca="false">IF(INDEX(BookTitle,2389)="","",INDEX(BookTotal,2389)*'5. Scenarios'!$D$6/(1+ProductivityDefault*('5. Scenarios'!$D$11-1)))</f>
        <v/>
      </c>
      <c r="O2394" s="57" t="str">
        <f aca="false">IF($N2394="","",INDEX(BookRate,2389)*(1+'5. Scenarios'!$D$10)*$N2394)</f>
        <v/>
      </c>
      <c r="P2394" s="57" t="str">
        <f aca="false">IF($O2394="","",SUMIFS($O$6:$O$2405,$A$6:$A$2405,"&lt;="&amp;$A2394))</f>
        <v/>
      </c>
      <c r="Q2394" s="57" t="str">
        <f aca="false">IF($O2394="","",IF($P2394&lt;=BankCostEnvelope*'5. Scenarios'!$D$7,1,0))</f>
        <v/>
      </c>
      <c r="R2394" s="57" t="str">
        <f aca="false">IF($N2394="","",INDEX(BookRate,2389)*(1+'5. Scenarios'!$D$10)*(INDEX(BookQ1,2389)*(5-MIN(4,1+'5. Scenarios'!$D$8))/4+INDEX(BookQ2,2389)*(5-MIN(4,2+'5. Scenarios'!$D$8))/4+INDEX(BookQ3,2389)*(5-MIN(4,3+'5. Scenarios'!$D$8))/4+INDEX(BookQ4,2389)*(5-MIN(4,4+'5. Scenarios'!$D$8))/4)*'5. Scenarios'!$D$6/(1+ProductivityDefault*('5. Scenarios'!$D$11-1))+INDEX(BookOneOff,2389)*$N2394)</f>
        <v/>
      </c>
      <c r="S2394" s="56" t="str">
        <f aca="false">IF(INDEX(BookTitle,2389)="","",INDEX(BookTotal,2389)*'5. Scenarios'!$E$6/(1+ProductivityDefault*('5. Scenarios'!$E$11-1)))</f>
        <v/>
      </c>
      <c r="T2394" s="57" t="str">
        <f aca="false">IF($S2394="","",INDEX(BookRate,2389)*(1+'5. Scenarios'!$E$10)*$S2394)</f>
        <v/>
      </c>
      <c r="U2394" s="57" t="str">
        <f aca="false">IF($T2394="","",SUMIFS($T$6:$T$2405,$A$6:$A$2405,"&lt;="&amp;$A2394))</f>
        <v/>
      </c>
      <c r="V2394" s="57" t="str">
        <f aca="false">IF($T2394="","",IF($U2394&lt;=BankCostEnvelope*'5. Scenarios'!$E$7,1,0))</f>
        <v/>
      </c>
      <c r="W2394" s="57" t="str">
        <f aca="false">IF($S2394="","",INDEX(BookRate,2389)*(1+'5. Scenarios'!$E$10)*(INDEX(BookQ1,2389)*(5-MIN(4,1+'5. Scenarios'!$E$8))/4+INDEX(BookQ2,2389)*(5-MIN(4,2+'5. Scenarios'!$E$8))/4+INDEX(BookQ3,2389)*(5-MIN(4,3+'5. Scenarios'!$E$8))/4+INDEX(BookQ4,2389)*(5-MIN(4,4+'5. Scenarios'!$E$8))/4)*'5. Scenarios'!$E$6/(1+ProductivityDefault*('5. Scenarios'!$E$11-1))+INDEX(BookOneOff,2389)*$S2394)</f>
        <v/>
      </c>
    </row>
    <row r="2395" customFormat="false" ht="15" hidden="false" customHeight="false" outlineLevel="0" collapsed="false">
      <c r="A2395" s="0" t="str">
        <f aca="false">IF(INDEX(BookTitle,2390)="","",INDEX(BookKey,2390))</f>
        <v/>
      </c>
      <c r="B2395" s="0" t="str">
        <f aca="false">IF(INDEX(BookTitle,2390)="","",INDEX(BookGroup,2390))</f>
        <v/>
      </c>
      <c r="C2395" s="0" t="str">
        <f aca="false">IF(INDEX(BookTitle,2390)="","",INDEX(BookCategory,2390))</f>
        <v/>
      </c>
      <c r="D2395" s="56" t="str">
        <f aca="false">IF(INDEX(BookTitle,2390)="","",INDEX(BookTotal,2390)*'5. Scenarios'!$B$6/(1+ProductivityDefault*('5. Scenarios'!$B$11-1)))</f>
        <v/>
      </c>
      <c r="E2395" s="57" t="str">
        <f aca="false">IF($D2395="","",INDEX(BookRate,2390)*(1+'5. Scenarios'!$B$10)*$D2395)</f>
        <v/>
      </c>
      <c r="F2395" s="57" t="str">
        <f aca="false">IF($E2395="","",SUMIFS($E$6:$E$2405,$A$6:$A$2405,"&lt;="&amp;$A2395))</f>
        <v/>
      </c>
      <c r="G2395" s="57" t="str">
        <f aca="false">IF($E2395="","",IF($F2395&lt;=BankCostEnvelope*'5. Scenarios'!$B$7,1,0))</f>
        <v/>
      </c>
      <c r="H2395" s="57" t="str">
        <f aca="false">IF($D2395="","",INDEX(BookRate,2390)*(1+'5. Scenarios'!$B$10)*(INDEX(BookQ1,2390)*(5-MIN(4,1+'5. Scenarios'!$B$8))/4+INDEX(BookQ2,2390)*(5-MIN(4,2+'5. Scenarios'!$B$8))/4+INDEX(BookQ3,2390)*(5-MIN(4,3+'5. Scenarios'!$B$8))/4+INDEX(BookQ4,2390)*(5-MIN(4,4+'5. Scenarios'!$B$8))/4)*'5. Scenarios'!$B$6/(1+ProductivityDefault*('5. Scenarios'!$B$11-1))+INDEX(BookOneOff,2390)*$D2395)</f>
        <v/>
      </c>
      <c r="I2395" s="56" t="str">
        <f aca="false">IF(INDEX(BookTitle,2390)="","",INDEX(BookTotal,2390)*'5. Scenarios'!$C$6/(1+ProductivityDefault*('5. Scenarios'!$C$11-1)))</f>
        <v/>
      </c>
      <c r="J2395" s="57" t="str">
        <f aca="false">IF($I2395="","",INDEX(BookRate,2390)*(1+'5. Scenarios'!$C$10)*$I2395)</f>
        <v/>
      </c>
      <c r="K2395" s="57" t="str">
        <f aca="false">IF($J2395="","",SUMIFS($J$6:$J$2405,$A$6:$A$2405,"&lt;="&amp;$A2395))</f>
        <v/>
      </c>
      <c r="L2395" s="57" t="str">
        <f aca="false">IF($J2395="","",IF($K2395&lt;=BankCostEnvelope*'5. Scenarios'!$C$7,1,0))</f>
        <v/>
      </c>
      <c r="M2395" s="57" t="str">
        <f aca="false">IF($I2395="","",INDEX(BookRate,2390)*(1+'5. Scenarios'!$C$10)*(INDEX(BookQ1,2390)*(5-MIN(4,1+'5. Scenarios'!$C$8))/4+INDEX(BookQ2,2390)*(5-MIN(4,2+'5. Scenarios'!$C$8))/4+INDEX(BookQ3,2390)*(5-MIN(4,3+'5. Scenarios'!$C$8))/4+INDEX(BookQ4,2390)*(5-MIN(4,4+'5. Scenarios'!$C$8))/4)*'5. Scenarios'!$C$6/(1+ProductivityDefault*('5. Scenarios'!$C$11-1))+INDEX(BookOneOff,2390)*$I2395)</f>
        <v/>
      </c>
      <c r="N2395" s="56" t="str">
        <f aca="false">IF(INDEX(BookTitle,2390)="","",INDEX(BookTotal,2390)*'5. Scenarios'!$D$6/(1+ProductivityDefault*('5. Scenarios'!$D$11-1)))</f>
        <v/>
      </c>
      <c r="O2395" s="57" t="str">
        <f aca="false">IF($N2395="","",INDEX(BookRate,2390)*(1+'5. Scenarios'!$D$10)*$N2395)</f>
        <v/>
      </c>
      <c r="P2395" s="57" t="str">
        <f aca="false">IF($O2395="","",SUMIFS($O$6:$O$2405,$A$6:$A$2405,"&lt;="&amp;$A2395))</f>
        <v/>
      </c>
      <c r="Q2395" s="57" t="str">
        <f aca="false">IF($O2395="","",IF($P2395&lt;=BankCostEnvelope*'5. Scenarios'!$D$7,1,0))</f>
        <v/>
      </c>
      <c r="R2395" s="57" t="str">
        <f aca="false">IF($N2395="","",INDEX(BookRate,2390)*(1+'5. Scenarios'!$D$10)*(INDEX(BookQ1,2390)*(5-MIN(4,1+'5. Scenarios'!$D$8))/4+INDEX(BookQ2,2390)*(5-MIN(4,2+'5. Scenarios'!$D$8))/4+INDEX(BookQ3,2390)*(5-MIN(4,3+'5. Scenarios'!$D$8))/4+INDEX(BookQ4,2390)*(5-MIN(4,4+'5. Scenarios'!$D$8))/4)*'5. Scenarios'!$D$6/(1+ProductivityDefault*('5. Scenarios'!$D$11-1))+INDEX(BookOneOff,2390)*$N2395)</f>
        <v/>
      </c>
      <c r="S2395" s="56" t="str">
        <f aca="false">IF(INDEX(BookTitle,2390)="","",INDEX(BookTotal,2390)*'5. Scenarios'!$E$6/(1+ProductivityDefault*('5. Scenarios'!$E$11-1)))</f>
        <v/>
      </c>
      <c r="T2395" s="57" t="str">
        <f aca="false">IF($S2395="","",INDEX(BookRate,2390)*(1+'5. Scenarios'!$E$10)*$S2395)</f>
        <v/>
      </c>
      <c r="U2395" s="57" t="str">
        <f aca="false">IF($T2395="","",SUMIFS($T$6:$T$2405,$A$6:$A$2405,"&lt;="&amp;$A2395))</f>
        <v/>
      </c>
      <c r="V2395" s="57" t="str">
        <f aca="false">IF($T2395="","",IF($U2395&lt;=BankCostEnvelope*'5. Scenarios'!$E$7,1,0))</f>
        <v/>
      </c>
      <c r="W2395" s="57" t="str">
        <f aca="false">IF($S2395="","",INDEX(BookRate,2390)*(1+'5. Scenarios'!$E$10)*(INDEX(BookQ1,2390)*(5-MIN(4,1+'5. Scenarios'!$E$8))/4+INDEX(BookQ2,2390)*(5-MIN(4,2+'5. Scenarios'!$E$8))/4+INDEX(BookQ3,2390)*(5-MIN(4,3+'5. Scenarios'!$E$8))/4+INDEX(BookQ4,2390)*(5-MIN(4,4+'5. Scenarios'!$E$8))/4)*'5. Scenarios'!$E$6/(1+ProductivityDefault*('5. Scenarios'!$E$11-1))+INDEX(BookOneOff,2390)*$S2395)</f>
        <v/>
      </c>
    </row>
    <row r="2396" customFormat="false" ht="15" hidden="false" customHeight="false" outlineLevel="0" collapsed="false">
      <c r="A2396" s="0" t="str">
        <f aca="false">IF(INDEX(BookTitle,2391)="","",INDEX(BookKey,2391))</f>
        <v/>
      </c>
      <c r="B2396" s="0" t="str">
        <f aca="false">IF(INDEX(BookTitle,2391)="","",INDEX(BookGroup,2391))</f>
        <v/>
      </c>
      <c r="C2396" s="0" t="str">
        <f aca="false">IF(INDEX(BookTitle,2391)="","",INDEX(BookCategory,2391))</f>
        <v/>
      </c>
      <c r="D2396" s="56" t="str">
        <f aca="false">IF(INDEX(BookTitle,2391)="","",INDEX(BookTotal,2391)*'5. Scenarios'!$B$6/(1+ProductivityDefault*('5. Scenarios'!$B$11-1)))</f>
        <v/>
      </c>
      <c r="E2396" s="57" t="str">
        <f aca="false">IF($D2396="","",INDEX(BookRate,2391)*(1+'5. Scenarios'!$B$10)*$D2396)</f>
        <v/>
      </c>
      <c r="F2396" s="57" t="str">
        <f aca="false">IF($E2396="","",SUMIFS($E$6:$E$2405,$A$6:$A$2405,"&lt;="&amp;$A2396))</f>
        <v/>
      </c>
      <c r="G2396" s="57" t="str">
        <f aca="false">IF($E2396="","",IF($F2396&lt;=BankCostEnvelope*'5. Scenarios'!$B$7,1,0))</f>
        <v/>
      </c>
      <c r="H2396" s="57" t="str">
        <f aca="false">IF($D2396="","",INDEX(BookRate,2391)*(1+'5. Scenarios'!$B$10)*(INDEX(BookQ1,2391)*(5-MIN(4,1+'5. Scenarios'!$B$8))/4+INDEX(BookQ2,2391)*(5-MIN(4,2+'5. Scenarios'!$B$8))/4+INDEX(BookQ3,2391)*(5-MIN(4,3+'5. Scenarios'!$B$8))/4+INDEX(BookQ4,2391)*(5-MIN(4,4+'5. Scenarios'!$B$8))/4)*'5. Scenarios'!$B$6/(1+ProductivityDefault*('5. Scenarios'!$B$11-1))+INDEX(BookOneOff,2391)*$D2396)</f>
        <v/>
      </c>
      <c r="I2396" s="56" t="str">
        <f aca="false">IF(INDEX(BookTitle,2391)="","",INDEX(BookTotal,2391)*'5. Scenarios'!$C$6/(1+ProductivityDefault*('5. Scenarios'!$C$11-1)))</f>
        <v/>
      </c>
      <c r="J2396" s="57" t="str">
        <f aca="false">IF($I2396="","",INDEX(BookRate,2391)*(1+'5. Scenarios'!$C$10)*$I2396)</f>
        <v/>
      </c>
      <c r="K2396" s="57" t="str">
        <f aca="false">IF($J2396="","",SUMIFS($J$6:$J$2405,$A$6:$A$2405,"&lt;="&amp;$A2396))</f>
        <v/>
      </c>
      <c r="L2396" s="57" t="str">
        <f aca="false">IF($J2396="","",IF($K2396&lt;=BankCostEnvelope*'5. Scenarios'!$C$7,1,0))</f>
        <v/>
      </c>
      <c r="M2396" s="57" t="str">
        <f aca="false">IF($I2396="","",INDEX(BookRate,2391)*(1+'5. Scenarios'!$C$10)*(INDEX(BookQ1,2391)*(5-MIN(4,1+'5. Scenarios'!$C$8))/4+INDEX(BookQ2,2391)*(5-MIN(4,2+'5. Scenarios'!$C$8))/4+INDEX(BookQ3,2391)*(5-MIN(4,3+'5. Scenarios'!$C$8))/4+INDEX(BookQ4,2391)*(5-MIN(4,4+'5. Scenarios'!$C$8))/4)*'5. Scenarios'!$C$6/(1+ProductivityDefault*('5. Scenarios'!$C$11-1))+INDEX(BookOneOff,2391)*$I2396)</f>
        <v/>
      </c>
      <c r="N2396" s="56" t="str">
        <f aca="false">IF(INDEX(BookTitle,2391)="","",INDEX(BookTotal,2391)*'5. Scenarios'!$D$6/(1+ProductivityDefault*('5. Scenarios'!$D$11-1)))</f>
        <v/>
      </c>
      <c r="O2396" s="57" t="str">
        <f aca="false">IF($N2396="","",INDEX(BookRate,2391)*(1+'5. Scenarios'!$D$10)*$N2396)</f>
        <v/>
      </c>
      <c r="P2396" s="57" t="str">
        <f aca="false">IF($O2396="","",SUMIFS($O$6:$O$2405,$A$6:$A$2405,"&lt;="&amp;$A2396))</f>
        <v/>
      </c>
      <c r="Q2396" s="57" t="str">
        <f aca="false">IF($O2396="","",IF($P2396&lt;=BankCostEnvelope*'5. Scenarios'!$D$7,1,0))</f>
        <v/>
      </c>
      <c r="R2396" s="57" t="str">
        <f aca="false">IF($N2396="","",INDEX(BookRate,2391)*(1+'5. Scenarios'!$D$10)*(INDEX(BookQ1,2391)*(5-MIN(4,1+'5. Scenarios'!$D$8))/4+INDEX(BookQ2,2391)*(5-MIN(4,2+'5. Scenarios'!$D$8))/4+INDEX(BookQ3,2391)*(5-MIN(4,3+'5. Scenarios'!$D$8))/4+INDEX(BookQ4,2391)*(5-MIN(4,4+'5. Scenarios'!$D$8))/4)*'5. Scenarios'!$D$6/(1+ProductivityDefault*('5. Scenarios'!$D$11-1))+INDEX(BookOneOff,2391)*$N2396)</f>
        <v/>
      </c>
      <c r="S2396" s="56" t="str">
        <f aca="false">IF(INDEX(BookTitle,2391)="","",INDEX(BookTotal,2391)*'5. Scenarios'!$E$6/(1+ProductivityDefault*('5. Scenarios'!$E$11-1)))</f>
        <v/>
      </c>
      <c r="T2396" s="57" t="str">
        <f aca="false">IF($S2396="","",INDEX(BookRate,2391)*(1+'5. Scenarios'!$E$10)*$S2396)</f>
        <v/>
      </c>
      <c r="U2396" s="57" t="str">
        <f aca="false">IF($T2396="","",SUMIFS($T$6:$T$2405,$A$6:$A$2405,"&lt;="&amp;$A2396))</f>
        <v/>
      </c>
      <c r="V2396" s="57" t="str">
        <f aca="false">IF($T2396="","",IF($U2396&lt;=BankCostEnvelope*'5. Scenarios'!$E$7,1,0))</f>
        <v/>
      </c>
      <c r="W2396" s="57" t="str">
        <f aca="false">IF($S2396="","",INDEX(BookRate,2391)*(1+'5. Scenarios'!$E$10)*(INDEX(BookQ1,2391)*(5-MIN(4,1+'5. Scenarios'!$E$8))/4+INDEX(BookQ2,2391)*(5-MIN(4,2+'5. Scenarios'!$E$8))/4+INDEX(BookQ3,2391)*(5-MIN(4,3+'5. Scenarios'!$E$8))/4+INDEX(BookQ4,2391)*(5-MIN(4,4+'5. Scenarios'!$E$8))/4)*'5. Scenarios'!$E$6/(1+ProductivityDefault*('5. Scenarios'!$E$11-1))+INDEX(BookOneOff,2391)*$S2396)</f>
        <v/>
      </c>
    </row>
    <row r="2397" customFormat="false" ht="15" hidden="false" customHeight="false" outlineLevel="0" collapsed="false">
      <c r="A2397" s="0" t="str">
        <f aca="false">IF(INDEX(BookTitle,2392)="","",INDEX(BookKey,2392))</f>
        <v/>
      </c>
      <c r="B2397" s="0" t="str">
        <f aca="false">IF(INDEX(BookTitle,2392)="","",INDEX(BookGroup,2392))</f>
        <v/>
      </c>
      <c r="C2397" s="0" t="str">
        <f aca="false">IF(INDEX(BookTitle,2392)="","",INDEX(BookCategory,2392))</f>
        <v/>
      </c>
      <c r="D2397" s="56" t="str">
        <f aca="false">IF(INDEX(BookTitle,2392)="","",INDEX(BookTotal,2392)*'5. Scenarios'!$B$6/(1+ProductivityDefault*('5. Scenarios'!$B$11-1)))</f>
        <v/>
      </c>
      <c r="E2397" s="57" t="str">
        <f aca="false">IF($D2397="","",INDEX(BookRate,2392)*(1+'5. Scenarios'!$B$10)*$D2397)</f>
        <v/>
      </c>
      <c r="F2397" s="57" t="str">
        <f aca="false">IF($E2397="","",SUMIFS($E$6:$E$2405,$A$6:$A$2405,"&lt;="&amp;$A2397))</f>
        <v/>
      </c>
      <c r="G2397" s="57" t="str">
        <f aca="false">IF($E2397="","",IF($F2397&lt;=BankCostEnvelope*'5. Scenarios'!$B$7,1,0))</f>
        <v/>
      </c>
      <c r="H2397" s="57" t="str">
        <f aca="false">IF($D2397="","",INDEX(BookRate,2392)*(1+'5. Scenarios'!$B$10)*(INDEX(BookQ1,2392)*(5-MIN(4,1+'5. Scenarios'!$B$8))/4+INDEX(BookQ2,2392)*(5-MIN(4,2+'5. Scenarios'!$B$8))/4+INDEX(BookQ3,2392)*(5-MIN(4,3+'5. Scenarios'!$B$8))/4+INDEX(BookQ4,2392)*(5-MIN(4,4+'5. Scenarios'!$B$8))/4)*'5. Scenarios'!$B$6/(1+ProductivityDefault*('5. Scenarios'!$B$11-1))+INDEX(BookOneOff,2392)*$D2397)</f>
        <v/>
      </c>
      <c r="I2397" s="56" t="str">
        <f aca="false">IF(INDEX(BookTitle,2392)="","",INDEX(BookTotal,2392)*'5. Scenarios'!$C$6/(1+ProductivityDefault*('5. Scenarios'!$C$11-1)))</f>
        <v/>
      </c>
      <c r="J2397" s="57" t="str">
        <f aca="false">IF($I2397="","",INDEX(BookRate,2392)*(1+'5. Scenarios'!$C$10)*$I2397)</f>
        <v/>
      </c>
      <c r="K2397" s="57" t="str">
        <f aca="false">IF($J2397="","",SUMIFS($J$6:$J$2405,$A$6:$A$2405,"&lt;="&amp;$A2397))</f>
        <v/>
      </c>
      <c r="L2397" s="57" t="str">
        <f aca="false">IF($J2397="","",IF($K2397&lt;=BankCostEnvelope*'5. Scenarios'!$C$7,1,0))</f>
        <v/>
      </c>
      <c r="M2397" s="57" t="str">
        <f aca="false">IF($I2397="","",INDEX(BookRate,2392)*(1+'5. Scenarios'!$C$10)*(INDEX(BookQ1,2392)*(5-MIN(4,1+'5. Scenarios'!$C$8))/4+INDEX(BookQ2,2392)*(5-MIN(4,2+'5. Scenarios'!$C$8))/4+INDEX(BookQ3,2392)*(5-MIN(4,3+'5. Scenarios'!$C$8))/4+INDEX(BookQ4,2392)*(5-MIN(4,4+'5. Scenarios'!$C$8))/4)*'5. Scenarios'!$C$6/(1+ProductivityDefault*('5. Scenarios'!$C$11-1))+INDEX(BookOneOff,2392)*$I2397)</f>
        <v/>
      </c>
      <c r="N2397" s="56" t="str">
        <f aca="false">IF(INDEX(BookTitle,2392)="","",INDEX(BookTotal,2392)*'5. Scenarios'!$D$6/(1+ProductivityDefault*('5. Scenarios'!$D$11-1)))</f>
        <v/>
      </c>
      <c r="O2397" s="57" t="str">
        <f aca="false">IF($N2397="","",INDEX(BookRate,2392)*(1+'5. Scenarios'!$D$10)*$N2397)</f>
        <v/>
      </c>
      <c r="P2397" s="57" t="str">
        <f aca="false">IF($O2397="","",SUMIFS($O$6:$O$2405,$A$6:$A$2405,"&lt;="&amp;$A2397))</f>
        <v/>
      </c>
      <c r="Q2397" s="57" t="str">
        <f aca="false">IF($O2397="","",IF($P2397&lt;=BankCostEnvelope*'5. Scenarios'!$D$7,1,0))</f>
        <v/>
      </c>
      <c r="R2397" s="57" t="str">
        <f aca="false">IF($N2397="","",INDEX(BookRate,2392)*(1+'5. Scenarios'!$D$10)*(INDEX(BookQ1,2392)*(5-MIN(4,1+'5. Scenarios'!$D$8))/4+INDEX(BookQ2,2392)*(5-MIN(4,2+'5. Scenarios'!$D$8))/4+INDEX(BookQ3,2392)*(5-MIN(4,3+'5. Scenarios'!$D$8))/4+INDEX(BookQ4,2392)*(5-MIN(4,4+'5. Scenarios'!$D$8))/4)*'5. Scenarios'!$D$6/(1+ProductivityDefault*('5. Scenarios'!$D$11-1))+INDEX(BookOneOff,2392)*$N2397)</f>
        <v/>
      </c>
      <c r="S2397" s="56" t="str">
        <f aca="false">IF(INDEX(BookTitle,2392)="","",INDEX(BookTotal,2392)*'5. Scenarios'!$E$6/(1+ProductivityDefault*('5. Scenarios'!$E$11-1)))</f>
        <v/>
      </c>
      <c r="T2397" s="57" t="str">
        <f aca="false">IF($S2397="","",INDEX(BookRate,2392)*(1+'5. Scenarios'!$E$10)*$S2397)</f>
        <v/>
      </c>
      <c r="U2397" s="57" t="str">
        <f aca="false">IF($T2397="","",SUMIFS($T$6:$T$2405,$A$6:$A$2405,"&lt;="&amp;$A2397))</f>
        <v/>
      </c>
      <c r="V2397" s="57" t="str">
        <f aca="false">IF($T2397="","",IF($U2397&lt;=BankCostEnvelope*'5. Scenarios'!$E$7,1,0))</f>
        <v/>
      </c>
      <c r="W2397" s="57" t="str">
        <f aca="false">IF($S2397="","",INDEX(BookRate,2392)*(1+'5. Scenarios'!$E$10)*(INDEX(BookQ1,2392)*(5-MIN(4,1+'5. Scenarios'!$E$8))/4+INDEX(BookQ2,2392)*(5-MIN(4,2+'5. Scenarios'!$E$8))/4+INDEX(BookQ3,2392)*(5-MIN(4,3+'5. Scenarios'!$E$8))/4+INDEX(BookQ4,2392)*(5-MIN(4,4+'5. Scenarios'!$E$8))/4)*'5. Scenarios'!$E$6/(1+ProductivityDefault*('5. Scenarios'!$E$11-1))+INDEX(BookOneOff,2392)*$S2397)</f>
        <v/>
      </c>
    </row>
    <row r="2398" customFormat="false" ht="15" hidden="false" customHeight="false" outlineLevel="0" collapsed="false">
      <c r="A2398" s="0" t="str">
        <f aca="false">IF(INDEX(BookTitle,2393)="","",INDEX(BookKey,2393))</f>
        <v/>
      </c>
      <c r="B2398" s="0" t="str">
        <f aca="false">IF(INDEX(BookTitle,2393)="","",INDEX(BookGroup,2393))</f>
        <v/>
      </c>
      <c r="C2398" s="0" t="str">
        <f aca="false">IF(INDEX(BookTitle,2393)="","",INDEX(BookCategory,2393))</f>
        <v/>
      </c>
      <c r="D2398" s="56" t="str">
        <f aca="false">IF(INDEX(BookTitle,2393)="","",INDEX(BookTotal,2393)*'5. Scenarios'!$B$6/(1+ProductivityDefault*('5. Scenarios'!$B$11-1)))</f>
        <v/>
      </c>
      <c r="E2398" s="57" t="str">
        <f aca="false">IF($D2398="","",INDEX(BookRate,2393)*(1+'5. Scenarios'!$B$10)*$D2398)</f>
        <v/>
      </c>
      <c r="F2398" s="57" t="str">
        <f aca="false">IF($E2398="","",SUMIFS($E$6:$E$2405,$A$6:$A$2405,"&lt;="&amp;$A2398))</f>
        <v/>
      </c>
      <c r="G2398" s="57" t="str">
        <f aca="false">IF($E2398="","",IF($F2398&lt;=BankCostEnvelope*'5. Scenarios'!$B$7,1,0))</f>
        <v/>
      </c>
      <c r="H2398" s="57" t="str">
        <f aca="false">IF($D2398="","",INDEX(BookRate,2393)*(1+'5. Scenarios'!$B$10)*(INDEX(BookQ1,2393)*(5-MIN(4,1+'5. Scenarios'!$B$8))/4+INDEX(BookQ2,2393)*(5-MIN(4,2+'5. Scenarios'!$B$8))/4+INDEX(BookQ3,2393)*(5-MIN(4,3+'5. Scenarios'!$B$8))/4+INDEX(BookQ4,2393)*(5-MIN(4,4+'5. Scenarios'!$B$8))/4)*'5. Scenarios'!$B$6/(1+ProductivityDefault*('5. Scenarios'!$B$11-1))+INDEX(BookOneOff,2393)*$D2398)</f>
        <v/>
      </c>
      <c r="I2398" s="56" t="str">
        <f aca="false">IF(INDEX(BookTitle,2393)="","",INDEX(BookTotal,2393)*'5. Scenarios'!$C$6/(1+ProductivityDefault*('5. Scenarios'!$C$11-1)))</f>
        <v/>
      </c>
      <c r="J2398" s="57" t="str">
        <f aca="false">IF($I2398="","",INDEX(BookRate,2393)*(1+'5. Scenarios'!$C$10)*$I2398)</f>
        <v/>
      </c>
      <c r="K2398" s="57" t="str">
        <f aca="false">IF($J2398="","",SUMIFS($J$6:$J$2405,$A$6:$A$2405,"&lt;="&amp;$A2398))</f>
        <v/>
      </c>
      <c r="L2398" s="57" t="str">
        <f aca="false">IF($J2398="","",IF($K2398&lt;=BankCostEnvelope*'5. Scenarios'!$C$7,1,0))</f>
        <v/>
      </c>
      <c r="M2398" s="57" t="str">
        <f aca="false">IF($I2398="","",INDEX(BookRate,2393)*(1+'5. Scenarios'!$C$10)*(INDEX(BookQ1,2393)*(5-MIN(4,1+'5. Scenarios'!$C$8))/4+INDEX(BookQ2,2393)*(5-MIN(4,2+'5. Scenarios'!$C$8))/4+INDEX(BookQ3,2393)*(5-MIN(4,3+'5. Scenarios'!$C$8))/4+INDEX(BookQ4,2393)*(5-MIN(4,4+'5. Scenarios'!$C$8))/4)*'5. Scenarios'!$C$6/(1+ProductivityDefault*('5. Scenarios'!$C$11-1))+INDEX(BookOneOff,2393)*$I2398)</f>
        <v/>
      </c>
      <c r="N2398" s="56" t="str">
        <f aca="false">IF(INDEX(BookTitle,2393)="","",INDEX(BookTotal,2393)*'5. Scenarios'!$D$6/(1+ProductivityDefault*('5. Scenarios'!$D$11-1)))</f>
        <v/>
      </c>
      <c r="O2398" s="57" t="str">
        <f aca="false">IF($N2398="","",INDEX(BookRate,2393)*(1+'5. Scenarios'!$D$10)*$N2398)</f>
        <v/>
      </c>
      <c r="P2398" s="57" t="str">
        <f aca="false">IF($O2398="","",SUMIFS($O$6:$O$2405,$A$6:$A$2405,"&lt;="&amp;$A2398))</f>
        <v/>
      </c>
      <c r="Q2398" s="57" t="str">
        <f aca="false">IF($O2398="","",IF($P2398&lt;=BankCostEnvelope*'5. Scenarios'!$D$7,1,0))</f>
        <v/>
      </c>
      <c r="R2398" s="57" t="str">
        <f aca="false">IF($N2398="","",INDEX(BookRate,2393)*(1+'5. Scenarios'!$D$10)*(INDEX(BookQ1,2393)*(5-MIN(4,1+'5. Scenarios'!$D$8))/4+INDEX(BookQ2,2393)*(5-MIN(4,2+'5. Scenarios'!$D$8))/4+INDEX(BookQ3,2393)*(5-MIN(4,3+'5. Scenarios'!$D$8))/4+INDEX(BookQ4,2393)*(5-MIN(4,4+'5. Scenarios'!$D$8))/4)*'5. Scenarios'!$D$6/(1+ProductivityDefault*('5. Scenarios'!$D$11-1))+INDEX(BookOneOff,2393)*$N2398)</f>
        <v/>
      </c>
      <c r="S2398" s="56" t="str">
        <f aca="false">IF(INDEX(BookTitle,2393)="","",INDEX(BookTotal,2393)*'5. Scenarios'!$E$6/(1+ProductivityDefault*('5. Scenarios'!$E$11-1)))</f>
        <v/>
      </c>
      <c r="T2398" s="57" t="str">
        <f aca="false">IF($S2398="","",INDEX(BookRate,2393)*(1+'5. Scenarios'!$E$10)*$S2398)</f>
        <v/>
      </c>
      <c r="U2398" s="57" t="str">
        <f aca="false">IF($T2398="","",SUMIFS($T$6:$T$2405,$A$6:$A$2405,"&lt;="&amp;$A2398))</f>
        <v/>
      </c>
      <c r="V2398" s="57" t="str">
        <f aca="false">IF($T2398="","",IF($U2398&lt;=BankCostEnvelope*'5. Scenarios'!$E$7,1,0))</f>
        <v/>
      </c>
      <c r="W2398" s="57" t="str">
        <f aca="false">IF($S2398="","",INDEX(BookRate,2393)*(1+'5. Scenarios'!$E$10)*(INDEX(BookQ1,2393)*(5-MIN(4,1+'5. Scenarios'!$E$8))/4+INDEX(BookQ2,2393)*(5-MIN(4,2+'5. Scenarios'!$E$8))/4+INDEX(BookQ3,2393)*(5-MIN(4,3+'5. Scenarios'!$E$8))/4+INDEX(BookQ4,2393)*(5-MIN(4,4+'5. Scenarios'!$E$8))/4)*'5. Scenarios'!$E$6/(1+ProductivityDefault*('5. Scenarios'!$E$11-1))+INDEX(BookOneOff,2393)*$S2398)</f>
        <v/>
      </c>
    </row>
    <row r="2399" customFormat="false" ht="15" hidden="false" customHeight="false" outlineLevel="0" collapsed="false">
      <c r="A2399" s="0" t="str">
        <f aca="false">IF(INDEX(BookTitle,2394)="","",INDEX(BookKey,2394))</f>
        <v/>
      </c>
      <c r="B2399" s="0" t="str">
        <f aca="false">IF(INDEX(BookTitle,2394)="","",INDEX(BookGroup,2394))</f>
        <v/>
      </c>
      <c r="C2399" s="0" t="str">
        <f aca="false">IF(INDEX(BookTitle,2394)="","",INDEX(BookCategory,2394))</f>
        <v/>
      </c>
      <c r="D2399" s="56" t="str">
        <f aca="false">IF(INDEX(BookTitle,2394)="","",INDEX(BookTotal,2394)*'5. Scenarios'!$B$6/(1+ProductivityDefault*('5. Scenarios'!$B$11-1)))</f>
        <v/>
      </c>
      <c r="E2399" s="57" t="str">
        <f aca="false">IF($D2399="","",INDEX(BookRate,2394)*(1+'5. Scenarios'!$B$10)*$D2399)</f>
        <v/>
      </c>
      <c r="F2399" s="57" t="str">
        <f aca="false">IF($E2399="","",SUMIFS($E$6:$E$2405,$A$6:$A$2405,"&lt;="&amp;$A2399))</f>
        <v/>
      </c>
      <c r="G2399" s="57" t="str">
        <f aca="false">IF($E2399="","",IF($F2399&lt;=BankCostEnvelope*'5. Scenarios'!$B$7,1,0))</f>
        <v/>
      </c>
      <c r="H2399" s="57" t="str">
        <f aca="false">IF($D2399="","",INDEX(BookRate,2394)*(1+'5. Scenarios'!$B$10)*(INDEX(BookQ1,2394)*(5-MIN(4,1+'5. Scenarios'!$B$8))/4+INDEX(BookQ2,2394)*(5-MIN(4,2+'5. Scenarios'!$B$8))/4+INDEX(BookQ3,2394)*(5-MIN(4,3+'5. Scenarios'!$B$8))/4+INDEX(BookQ4,2394)*(5-MIN(4,4+'5. Scenarios'!$B$8))/4)*'5. Scenarios'!$B$6/(1+ProductivityDefault*('5. Scenarios'!$B$11-1))+INDEX(BookOneOff,2394)*$D2399)</f>
        <v/>
      </c>
      <c r="I2399" s="56" t="str">
        <f aca="false">IF(INDEX(BookTitle,2394)="","",INDEX(BookTotal,2394)*'5. Scenarios'!$C$6/(1+ProductivityDefault*('5. Scenarios'!$C$11-1)))</f>
        <v/>
      </c>
      <c r="J2399" s="57" t="str">
        <f aca="false">IF($I2399="","",INDEX(BookRate,2394)*(1+'5. Scenarios'!$C$10)*$I2399)</f>
        <v/>
      </c>
      <c r="K2399" s="57" t="str">
        <f aca="false">IF($J2399="","",SUMIFS($J$6:$J$2405,$A$6:$A$2405,"&lt;="&amp;$A2399))</f>
        <v/>
      </c>
      <c r="L2399" s="57" t="str">
        <f aca="false">IF($J2399="","",IF($K2399&lt;=BankCostEnvelope*'5. Scenarios'!$C$7,1,0))</f>
        <v/>
      </c>
      <c r="M2399" s="57" t="str">
        <f aca="false">IF($I2399="","",INDEX(BookRate,2394)*(1+'5. Scenarios'!$C$10)*(INDEX(BookQ1,2394)*(5-MIN(4,1+'5. Scenarios'!$C$8))/4+INDEX(BookQ2,2394)*(5-MIN(4,2+'5. Scenarios'!$C$8))/4+INDEX(BookQ3,2394)*(5-MIN(4,3+'5. Scenarios'!$C$8))/4+INDEX(BookQ4,2394)*(5-MIN(4,4+'5. Scenarios'!$C$8))/4)*'5. Scenarios'!$C$6/(1+ProductivityDefault*('5. Scenarios'!$C$11-1))+INDEX(BookOneOff,2394)*$I2399)</f>
        <v/>
      </c>
      <c r="N2399" s="56" t="str">
        <f aca="false">IF(INDEX(BookTitle,2394)="","",INDEX(BookTotal,2394)*'5. Scenarios'!$D$6/(1+ProductivityDefault*('5. Scenarios'!$D$11-1)))</f>
        <v/>
      </c>
      <c r="O2399" s="57" t="str">
        <f aca="false">IF($N2399="","",INDEX(BookRate,2394)*(1+'5. Scenarios'!$D$10)*$N2399)</f>
        <v/>
      </c>
      <c r="P2399" s="57" t="str">
        <f aca="false">IF($O2399="","",SUMIFS($O$6:$O$2405,$A$6:$A$2405,"&lt;="&amp;$A2399))</f>
        <v/>
      </c>
      <c r="Q2399" s="57" t="str">
        <f aca="false">IF($O2399="","",IF($P2399&lt;=BankCostEnvelope*'5. Scenarios'!$D$7,1,0))</f>
        <v/>
      </c>
      <c r="R2399" s="57" t="str">
        <f aca="false">IF($N2399="","",INDEX(BookRate,2394)*(1+'5. Scenarios'!$D$10)*(INDEX(BookQ1,2394)*(5-MIN(4,1+'5. Scenarios'!$D$8))/4+INDEX(BookQ2,2394)*(5-MIN(4,2+'5. Scenarios'!$D$8))/4+INDEX(BookQ3,2394)*(5-MIN(4,3+'5. Scenarios'!$D$8))/4+INDEX(BookQ4,2394)*(5-MIN(4,4+'5. Scenarios'!$D$8))/4)*'5. Scenarios'!$D$6/(1+ProductivityDefault*('5. Scenarios'!$D$11-1))+INDEX(BookOneOff,2394)*$N2399)</f>
        <v/>
      </c>
      <c r="S2399" s="56" t="str">
        <f aca="false">IF(INDEX(BookTitle,2394)="","",INDEX(BookTotal,2394)*'5. Scenarios'!$E$6/(1+ProductivityDefault*('5. Scenarios'!$E$11-1)))</f>
        <v/>
      </c>
      <c r="T2399" s="57" t="str">
        <f aca="false">IF($S2399="","",INDEX(BookRate,2394)*(1+'5. Scenarios'!$E$10)*$S2399)</f>
        <v/>
      </c>
      <c r="U2399" s="57" t="str">
        <f aca="false">IF($T2399="","",SUMIFS($T$6:$T$2405,$A$6:$A$2405,"&lt;="&amp;$A2399))</f>
        <v/>
      </c>
      <c r="V2399" s="57" t="str">
        <f aca="false">IF($T2399="","",IF($U2399&lt;=BankCostEnvelope*'5. Scenarios'!$E$7,1,0))</f>
        <v/>
      </c>
      <c r="W2399" s="57" t="str">
        <f aca="false">IF($S2399="","",INDEX(BookRate,2394)*(1+'5. Scenarios'!$E$10)*(INDEX(BookQ1,2394)*(5-MIN(4,1+'5. Scenarios'!$E$8))/4+INDEX(BookQ2,2394)*(5-MIN(4,2+'5. Scenarios'!$E$8))/4+INDEX(BookQ3,2394)*(5-MIN(4,3+'5. Scenarios'!$E$8))/4+INDEX(BookQ4,2394)*(5-MIN(4,4+'5. Scenarios'!$E$8))/4)*'5. Scenarios'!$E$6/(1+ProductivityDefault*('5. Scenarios'!$E$11-1))+INDEX(BookOneOff,2394)*$S2399)</f>
        <v/>
      </c>
    </row>
    <row r="2400" customFormat="false" ht="15" hidden="false" customHeight="false" outlineLevel="0" collapsed="false">
      <c r="A2400" s="0" t="str">
        <f aca="false">IF(INDEX(BookTitle,2395)="","",INDEX(BookKey,2395))</f>
        <v/>
      </c>
      <c r="B2400" s="0" t="str">
        <f aca="false">IF(INDEX(BookTitle,2395)="","",INDEX(BookGroup,2395))</f>
        <v/>
      </c>
      <c r="C2400" s="0" t="str">
        <f aca="false">IF(INDEX(BookTitle,2395)="","",INDEX(BookCategory,2395))</f>
        <v/>
      </c>
      <c r="D2400" s="56" t="str">
        <f aca="false">IF(INDEX(BookTitle,2395)="","",INDEX(BookTotal,2395)*'5. Scenarios'!$B$6/(1+ProductivityDefault*('5. Scenarios'!$B$11-1)))</f>
        <v/>
      </c>
      <c r="E2400" s="57" t="str">
        <f aca="false">IF($D2400="","",INDEX(BookRate,2395)*(1+'5. Scenarios'!$B$10)*$D2400)</f>
        <v/>
      </c>
      <c r="F2400" s="57" t="str">
        <f aca="false">IF($E2400="","",SUMIFS($E$6:$E$2405,$A$6:$A$2405,"&lt;="&amp;$A2400))</f>
        <v/>
      </c>
      <c r="G2400" s="57" t="str">
        <f aca="false">IF($E2400="","",IF($F2400&lt;=BankCostEnvelope*'5. Scenarios'!$B$7,1,0))</f>
        <v/>
      </c>
      <c r="H2400" s="57" t="str">
        <f aca="false">IF($D2400="","",INDEX(BookRate,2395)*(1+'5. Scenarios'!$B$10)*(INDEX(BookQ1,2395)*(5-MIN(4,1+'5. Scenarios'!$B$8))/4+INDEX(BookQ2,2395)*(5-MIN(4,2+'5. Scenarios'!$B$8))/4+INDEX(BookQ3,2395)*(5-MIN(4,3+'5. Scenarios'!$B$8))/4+INDEX(BookQ4,2395)*(5-MIN(4,4+'5. Scenarios'!$B$8))/4)*'5. Scenarios'!$B$6/(1+ProductivityDefault*('5. Scenarios'!$B$11-1))+INDEX(BookOneOff,2395)*$D2400)</f>
        <v/>
      </c>
      <c r="I2400" s="56" t="str">
        <f aca="false">IF(INDEX(BookTitle,2395)="","",INDEX(BookTotal,2395)*'5. Scenarios'!$C$6/(1+ProductivityDefault*('5. Scenarios'!$C$11-1)))</f>
        <v/>
      </c>
      <c r="J2400" s="57" t="str">
        <f aca="false">IF($I2400="","",INDEX(BookRate,2395)*(1+'5. Scenarios'!$C$10)*$I2400)</f>
        <v/>
      </c>
      <c r="K2400" s="57" t="str">
        <f aca="false">IF($J2400="","",SUMIFS($J$6:$J$2405,$A$6:$A$2405,"&lt;="&amp;$A2400))</f>
        <v/>
      </c>
      <c r="L2400" s="57" t="str">
        <f aca="false">IF($J2400="","",IF($K2400&lt;=BankCostEnvelope*'5. Scenarios'!$C$7,1,0))</f>
        <v/>
      </c>
      <c r="M2400" s="57" t="str">
        <f aca="false">IF($I2400="","",INDEX(BookRate,2395)*(1+'5. Scenarios'!$C$10)*(INDEX(BookQ1,2395)*(5-MIN(4,1+'5. Scenarios'!$C$8))/4+INDEX(BookQ2,2395)*(5-MIN(4,2+'5. Scenarios'!$C$8))/4+INDEX(BookQ3,2395)*(5-MIN(4,3+'5. Scenarios'!$C$8))/4+INDEX(BookQ4,2395)*(5-MIN(4,4+'5. Scenarios'!$C$8))/4)*'5. Scenarios'!$C$6/(1+ProductivityDefault*('5. Scenarios'!$C$11-1))+INDEX(BookOneOff,2395)*$I2400)</f>
        <v/>
      </c>
      <c r="N2400" s="56" t="str">
        <f aca="false">IF(INDEX(BookTitle,2395)="","",INDEX(BookTotal,2395)*'5. Scenarios'!$D$6/(1+ProductivityDefault*('5. Scenarios'!$D$11-1)))</f>
        <v/>
      </c>
      <c r="O2400" s="57" t="str">
        <f aca="false">IF($N2400="","",INDEX(BookRate,2395)*(1+'5. Scenarios'!$D$10)*$N2400)</f>
        <v/>
      </c>
      <c r="P2400" s="57" t="str">
        <f aca="false">IF($O2400="","",SUMIFS($O$6:$O$2405,$A$6:$A$2405,"&lt;="&amp;$A2400))</f>
        <v/>
      </c>
      <c r="Q2400" s="57" t="str">
        <f aca="false">IF($O2400="","",IF($P2400&lt;=BankCostEnvelope*'5. Scenarios'!$D$7,1,0))</f>
        <v/>
      </c>
      <c r="R2400" s="57" t="str">
        <f aca="false">IF($N2400="","",INDEX(BookRate,2395)*(1+'5. Scenarios'!$D$10)*(INDEX(BookQ1,2395)*(5-MIN(4,1+'5. Scenarios'!$D$8))/4+INDEX(BookQ2,2395)*(5-MIN(4,2+'5. Scenarios'!$D$8))/4+INDEX(BookQ3,2395)*(5-MIN(4,3+'5. Scenarios'!$D$8))/4+INDEX(BookQ4,2395)*(5-MIN(4,4+'5. Scenarios'!$D$8))/4)*'5. Scenarios'!$D$6/(1+ProductivityDefault*('5. Scenarios'!$D$11-1))+INDEX(BookOneOff,2395)*$N2400)</f>
        <v/>
      </c>
      <c r="S2400" s="56" t="str">
        <f aca="false">IF(INDEX(BookTitle,2395)="","",INDEX(BookTotal,2395)*'5. Scenarios'!$E$6/(1+ProductivityDefault*('5. Scenarios'!$E$11-1)))</f>
        <v/>
      </c>
      <c r="T2400" s="57" t="str">
        <f aca="false">IF($S2400="","",INDEX(BookRate,2395)*(1+'5. Scenarios'!$E$10)*$S2400)</f>
        <v/>
      </c>
      <c r="U2400" s="57" t="str">
        <f aca="false">IF($T2400="","",SUMIFS($T$6:$T$2405,$A$6:$A$2405,"&lt;="&amp;$A2400))</f>
        <v/>
      </c>
      <c r="V2400" s="57" t="str">
        <f aca="false">IF($T2400="","",IF($U2400&lt;=BankCostEnvelope*'5. Scenarios'!$E$7,1,0))</f>
        <v/>
      </c>
      <c r="W2400" s="57" t="str">
        <f aca="false">IF($S2400="","",INDEX(BookRate,2395)*(1+'5. Scenarios'!$E$10)*(INDEX(BookQ1,2395)*(5-MIN(4,1+'5. Scenarios'!$E$8))/4+INDEX(BookQ2,2395)*(5-MIN(4,2+'5. Scenarios'!$E$8))/4+INDEX(BookQ3,2395)*(5-MIN(4,3+'5. Scenarios'!$E$8))/4+INDEX(BookQ4,2395)*(5-MIN(4,4+'5. Scenarios'!$E$8))/4)*'5. Scenarios'!$E$6/(1+ProductivityDefault*('5. Scenarios'!$E$11-1))+INDEX(BookOneOff,2395)*$S2400)</f>
        <v/>
      </c>
    </row>
    <row r="2401" customFormat="false" ht="15" hidden="false" customHeight="false" outlineLevel="0" collapsed="false">
      <c r="A2401" s="0" t="str">
        <f aca="false">IF(INDEX(BookTitle,2396)="","",INDEX(BookKey,2396))</f>
        <v/>
      </c>
      <c r="B2401" s="0" t="str">
        <f aca="false">IF(INDEX(BookTitle,2396)="","",INDEX(BookGroup,2396))</f>
        <v/>
      </c>
      <c r="C2401" s="0" t="str">
        <f aca="false">IF(INDEX(BookTitle,2396)="","",INDEX(BookCategory,2396))</f>
        <v/>
      </c>
      <c r="D2401" s="56" t="str">
        <f aca="false">IF(INDEX(BookTitle,2396)="","",INDEX(BookTotal,2396)*'5. Scenarios'!$B$6/(1+ProductivityDefault*('5. Scenarios'!$B$11-1)))</f>
        <v/>
      </c>
      <c r="E2401" s="57" t="str">
        <f aca="false">IF($D2401="","",INDEX(BookRate,2396)*(1+'5. Scenarios'!$B$10)*$D2401)</f>
        <v/>
      </c>
      <c r="F2401" s="57" t="str">
        <f aca="false">IF($E2401="","",SUMIFS($E$6:$E$2405,$A$6:$A$2405,"&lt;="&amp;$A2401))</f>
        <v/>
      </c>
      <c r="G2401" s="57" t="str">
        <f aca="false">IF($E2401="","",IF($F2401&lt;=BankCostEnvelope*'5. Scenarios'!$B$7,1,0))</f>
        <v/>
      </c>
      <c r="H2401" s="57" t="str">
        <f aca="false">IF($D2401="","",INDEX(BookRate,2396)*(1+'5. Scenarios'!$B$10)*(INDEX(BookQ1,2396)*(5-MIN(4,1+'5. Scenarios'!$B$8))/4+INDEX(BookQ2,2396)*(5-MIN(4,2+'5. Scenarios'!$B$8))/4+INDEX(BookQ3,2396)*(5-MIN(4,3+'5. Scenarios'!$B$8))/4+INDEX(BookQ4,2396)*(5-MIN(4,4+'5. Scenarios'!$B$8))/4)*'5. Scenarios'!$B$6/(1+ProductivityDefault*('5. Scenarios'!$B$11-1))+INDEX(BookOneOff,2396)*$D2401)</f>
        <v/>
      </c>
      <c r="I2401" s="56" t="str">
        <f aca="false">IF(INDEX(BookTitle,2396)="","",INDEX(BookTotal,2396)*'5. Scenarios'!$C$6/(1+ProductivityDefault*('5. Scenarios'!$C$11-1)))</f>
        <v/>
      </c>
      <c r="J2401" s="57" t="str">
        <f aca="false">IF($I2401="","",INDEX(BookRate,2396)*(1+'5. Scenarios'!$C$10)*$I2401)</f>
        <v/>
      </c>
      <c r="K2401" s="57" t="str">
        <f aca="false">IF($J2401="","",SUMIFS($J$6:$J$2405,$A$6:$A$2405,"&lt;="&amp;$A2401))</f>
        <v/>
      </c>
      <c r="L2401" s="57" t="str">
        <f aca="false">IF($J2401="","",IF($K2401&lt;=BankCostEnvelope*'5. Scenarios'!$C$7,1,0))</f>
        <v/>
      </c>
      <c r="M2401" s="57" t="str">
        <f aca="false">IF($I2401="","",INDEX(BookRate,2396)*(1+'5. Scenarios'!$C$10)*(INDEX(BookQ1,2396)*(5-MIN(4,1+'5. Scenarios'!$C$8))/4+INDEX(BookQ2,2396)*(5-MIN(4,2+'5. Scenarios'!$C$8))/4+INDEX(BookQ3,2396)*(5-MIN(4,3+'5. Scenarios'!$C$8))/4+INDEX(BookQ4,2396)*(5-MIN(4,4+'5. Scenarios'!$C$8))/4)*'5. Scenarios'!$C$6/(1+ProductivityDefault*('5. Scenarios'!$C$11-1))+INDEX(BookOneOff,2396)*$I2401)</f>
        <v/>
      </c>
      <c r="N2401" s="56" t="str">
        <f aca="false">IF(INDEX(BookTitle,2396)="","",INDEX(BookTotal,2396)*'5. Scenarios'!$D$6/(1+ProductivityDefault*('5. Scenarios'!$D$11-1)))</f>
        <v/>
      </c>
      <c r="O2401" s="57" t="str">
        <f aca="false">IF($N2401="","",INDEX(BookRate,2396)*(1+'5. Scenarios'!$D$10)*$N2401)</f>
        <v/>
      </c>
      <c r="P2401" s="57" t="str">
        <f aca="false">IF($O2401="","",SUMIFS($O$6:$O$2405,$A$6:$A$2405,"&lt;="&amp;$A2401))</f>
        <v/>
      </c>
      <c r="Q2401" s="57" t="str">
        <f aca="false">IF($O2401="","",IF($P2401&lt;=BankCostEnvelope*'5. Scenarios'!$D$7,1,0))</f>
        <v/>
      </c>
      <c r="R2401" s="57" t="str">
        <f aca="false">IF($N2401="","",INDEX(BookRate,2396)*(1+'5. Scenarios'!$D$10)*(INDEX(BookQ1,2396)*(5-MIN(4,1+'5. Scenarios'!$D$8))/4+INDEX(BookQ2,2396)*(5-MIN(4,2+'5. Scenarios'!$D$8))/4+INDEX(BookQ3,2396)*(5-MIN(4,3+'5. Scenarios'!$D$8))/4+INDEX(BookQ4,2396)*(5-MIN(4,4+'5. Scenarios'!$D$8))/4)*'5. Scenarios'!$D$6/(1+ProductivityDefault*('5. Scenarios'!$D$11-1))+INDEX(BookOneOff,2396)*$N2401)</f>
        <v/>
      </c>
      <c r="S2401" s="56" t="str">
        <f aca="false">IF(INDEX(BookTitle,2396)="","",INDEX(BookTotal,2396)*'5. Scenarios'!$E$6/(1+ProductivityDefault*('5. Scenarios'!$E$11-1)))</f>
        <v/>
      </c>
      <c r="T2401" s="57" t="str">
        <f aca="false">IF($S2401="","",INDEX(BookRate,2396)*(1+'5. Scenarios'!$E$10)*$S2401)</f>
        <v/>
      </c>
      <c r="U2401" s="57" t="str">
        <f aca="false">IF($T2401="","",SUMIFS($T$6:$T$2405,$A$6:$A$2405,"&lt;="&amp;$A2401))</f>
        <v/>
      </c>
      <c r="V2401" s="57" t="str">
        <f aca="false">IF($T2401="","",IF($U2401&lt;=BankCostEnvelope*'5. Scenarios'!$E$7,1,0))</f>
        <v/>
      </c>
      <c r="W2401" s="57" t="str">
        <f aca="false">IF($S2401="","",INDEX(BookRate,2396)*(1+'5. Scenarios'!$E$10)*(INDEX(BookQ1,2396)*(5-MIN(4,1+'5. Scenarios'!$E$8))/4+INDEX(BookQ2,2396)*(5-MIN(4,2+'5. Scenarios'!$E$8))/4+INDEX(BookQ3,2396)*(5-MIN(4,3+'5. Scenarios'!$E$8))/4+INDEX(BookQ4,2396)*(5-MIN(4,4+'5. Scenarios'!$E$8))/4)*'5. Scenarios'!$E$6/(1+ProductivityDefault*('5. Scenarios'!$E$11-1))+INDEX(BookOneOff,2396)*$S2401)</f>
        <v/>
      </c>
    </row>
    <row r="2402" customFormat="false" ht="15" hidden="false" customHeight="false" outlineLevel="0" collapsed="false">
      <c r="A2402" s="0" t="str">
        <f aca="false">IF(INDEX(BookTitle,2397)="","",INDEX(BookKey,2397))</f>
        <v/>
      </c>
      <c r="B2402" s="0" t="str">
        <f aca="false">IF(INDEX(BookTitle,2397)="","",INDEX(BookGroup,2397))</f>
        <v/>
      </c>
      <c r="C2402" s="0" t="str">
        <f aca="false">IF(INDEX(BookTitle,2397)="","",INDEX(BookCategory,2397))</f>
        <v/>
      </c>
      <c r="D2402" s="56" t="str">
        <f aca="false">IF(INDEX(BookTitle,2397)="","",INDEX(BookTotal,2397)*'5. Scenarios'!$B$6/(1+ProductivityDefault*('5. Scenarios'!$B$11-1)))</f>
        <v/>
      </c>
      <c r="E2402" s="57" t="str">
        <f aca="false">IF($D2402="","",INDEX(BookRate,2397)*(1+'5. Scenarios'!$B$10)*$D2402)</f>
        <v/>
      </c>
      <c r="F2402" s="57" t="str">
        <f aca="false">IF($E2402="","",SUMIFS($E$6:$E$2405,$A$6:$A$2405,"&lt;="&amp;$A2402))</f>
        <v/>
      </c>
      <c r="G2402" s="57" t="str">
        <f aca="false">IF($E2402="","",IF($F2402&lt;=BankCostEnvelope*'5. Scenarios'!$B$7,1,0))</f>
        <v/>
      </c>
      <c r="H2402" s="57" t="str">
        <f aca="false">IF($D2402="","",INDEX(BookRate,2397)*(1+'5. Scenarios'!$B$10)*(INDEX(BookQ1,2397)*(5-MIN(4,1+'5. Scenarios'!$B$8))/4+INDEX(BookQ2,2397)*(5-MIN(4,2+'5. Scenarios'!$B$8))/4+INDEX(BookQ3,2397)*(5-MIN(4,3+'5. Scenarios'!$B$8))/4+INDEX(BookQ4,2397)*(5-MIN(4,4+'5. Scenarios'!$B$8))/4)*'5. Scenarios'!$B$6/(1+ProductivityDefault*('5. Scenarios'!$B$11-1))+INDEX(BookOneOff,2397)*$D2402)</f>
        <v/>
      </c>
      <c r="I2402" s="56" t="str">
        <f aca="false">IF(INDEX(BookTitle,2397)="","",INDEX(BookTotal,2397)*'5. Scenarios'!$C$6/(1+ProductivityDefault*('5. Scenarios'!$C$11-1)))</f>
        <v/>
      </c>
      <c r="J2402" s="57" t="str">
        <f aca="false">IF($I2402="","",INDEX(BookRate,2397)*(1+'5. Scenarios'!$C$10)*$I2402)</f>
        <v/>
      </c>
      <c r="K2402" s="57" t="str">
        <f aca="false">IF($J2402="","",SUMIFS($J$6:$J$2405,$A$6:$A$2405,"&lt;="&amp;$A2402))</f>
        <v/>
      </c>
      <c r="L2402" s="57" t="str">
        <f aca="false">IF($J2402="","",IF($K2402&lt;=BankCostEnvelope*'5. Scenarios'!$C$7,1,0))</f>
        <v/>
      </c>
      <c r="M2402" s="57" t="str">
        <f aca="false">IF($I2402="","",INDEX(BookRate,2397)*(1+'5. Scenarios'!$C$10)*(INDEX(BookQ1,2397)*(5-MIN(4,1+'5. Scenarios'!$C$8))/4+INDEX(BookQ2,2397)*(5-MIN(4,2+'5. Scenarios'!$C$8))/4+INDEX(BookQ3,2397)*(5-MIN(4,3+'5. Scenarios'!$C$8))/4+INDEX(BookQ4,2397)*(5-MIN(4,4+'5. Scenarios'!$C$8))/4)*'5. Scenarios'!$C$6/(1+ProductivityDefault*('5. Scenarios'!$C$11-1))+INDEX(BookOneOff,2397)*$I2402)</f>
        <v/>
      </c>
      <c r="N2402" s="56" t="str">
        <f aca="false">IF(INDEX(BookTitle,2397)="","",INDEX(BookTotal,2397)*'5. Scenarios'!$D$6/(1+ProductivityDefault*('5. Scenarios'!$D$11-1)))</f>
        <v/>
      </c>
      <c r="O2402" s="57" t="str">
        <f aca="false">IF($N2402="","",INDEX(BookRate,2397)*(1+'5. Scenarios'!$D$10)*$N2402)</f>
        <v/>
      </c>
      <c r="P2402" s="57" t="str">
        <f aca="false">IF($O2402="","",SUMIFS($O$6:$O$2405,$A$6:$A$2405,"&lt;="&amp;$A2402))</f>
        <v/>
      </c>
      <c r="Q2402" s="57" t="str">
        <f aca="false">IF($O2402="","",IF($P2402&lt;=BankCostEnvelope*'5. Scenarios'!$D$7,1,0))</f>
        <v/>
      </c>
      <c r="R2402" s="57" t="str">
        <f aca="false">IF($N2402="","",INDEX(BookRate,2397)*(1+'5. Scenarios'!$D$10)*(INDEX(BookQ1,2397)*(5-MIN(4,1+'5. Scenarios'!$D$8))/4+INDEX(BookQ2,2397)*(5-MIN(4,2+'5. Scenarios'!$D$8))/4+INDEX(BookQ3,2397)*(5-MIN(4,3+'5. Scenarios'!$D$8))/4+INDEX(BookQ4,2397)*(5-MIN(4,4+'5. Scenarios'!$D$8))/4)*'5. Scenarios'!$D$6/(1+ProductivityDefault*('5. Scenarios'!$D$11-1))+INDEX(BookOneOff,2397)*$N2402)</f>
        <v/>
      </c>
      <c r="S2402" s="56" t="str">
        <f aca="false">IF(INDEX(BookTitle,2397)="","",INDEX(BookTotal,2397)*'5. Scenarios'!$E$6/(1+ProductivityDefault*('5. Scenarios'!$E$11-1)))</f>
        <v/>
      </c>
      <c r="T2402" s="57" t="str">
        <f aca="false">IF($S2402="","",INDEX(BookRate,2397)*(1+'5. Scenarios'!$E$10)*$S2402)</f>
        <v/>
      </c>
      <c r="U2402" s="57" t="str">
        <f aca="false">IF($T2402="","",SUMIFS($T$6:$T$2405,$A$6:$A$2405,"&lt;="&amp;$A2402))</f>
        <v/>
      </c>
      <c r="V2402" s="57" t="str">
        <f aca="false">IF($T2402="","",IF($U2402&lt;=BankCostEnvelope*'5. Scenarios'!$E$7,1,0))</f>
        <v/>
      </c>
      <c r="W2402" s="57" t="str">
        <f aca="false">IF($S2402="","",INDEX(BookRate,2397)*(1+'5. Scenarios'!$E$10)*(INDEX(BookQ1,2397)*(5-MIN(4,1+'5. Scenarios'!$E$8))/4+INDEX(BookQ2,2397)*(5-MIN(4,2+'5. Scenarios'!$E$8))/4+INDEX(BookQ3,2397)*(5-MIN(4,3+'5. Scenarios'!$E$8))/4+INDEX(BookQ4,2397)*(5-MIN(4,4+'5. Scenarios'!$E$8))/4)*'5. Scenarios'!$E$6/(1+ProductivityDefault*('5. Scenarios'!$E$11-1))+INDEX(BookOneOff,2397)*$S2402)</f>
        <v/>
      </c>
    </row>
    <row r="2403" customFormat="false" ht="15" hidden="false" customHeight="false" outlineLevel="0" collapsed="false">
      <c r="A2403" s="0" t="str">
        <f aca="false">IF(INDEX(BookTitle,2398)="","",INDEX(BookKey,2398))</f>
        <v/>
      </c>
      <c r="B2403" s="0" t="str">
        <f aca="false">IF(INDEX(BookTitle,2398)="","",INDEX(BookGroup,2398))</f>
        <v/>
      </c>
      <c r="C2403" s="0" t="str">
        <f aca="false">IF(INDEX(BookTitle,2398)="","",INDEX(BookCategory,2398))</f>
        <v/>
      </c>
      <c r="D2403" s="56" t="str">
        <f aca="false">IF(INDEX(BookTitle,2398)="","",INDEX(BookTotal,2398)*'5. Scenarios'!$B$6/(1+ProductivityDefault*('5. Scenarios'!$B$11-1)))</f>
        <v/>
      </c>
      <c r="E2403" s="57" t="str">
        <f aca="false">IF($D2403="","",INDEX(BookRate,2398)*(1+'5. Scenarios'!$B$10)*$D2403)</f>
        <v/>
      </c>
      <c r="F2403" s="57" t="str">
        <f aca="false">IF($E2403="","",SUMIFS($E$6:$E$2405,$A$6:$A$2405,"&lt;="&amp;$A2403))</f>
        <v/>
      </c>
      <c r="G2403" s="57" t="str">
        <f aca="false">IF($E2403="","",IF($F2403&lt;=BankCostEnvelope*'5. Scenarios'!$B$7,1,0))</f>
        <v/>
      </c>
      <c r="H2403" s="57" t="str">
        <f aca="false">IF($D2403="","",INDEX(BookRate,2398)*(1+'5. Scenarios'!$B$10)*(INDEX(BookQ1,2398)*(5-MIN(4,1+'5. Scenarios'!$B$8))/4+INDEX(BookQ2,2398)*(5-MIN(4,2+'5. Scenarios'!$B$8))/4+INDEX(BookQ3,2398)*(5-MIN(4,3+'5. Scenarios'!$B$8))/4+INDEX(BookQ4,2398)*(5-MIN(4,4+'5. Scenarios'!$B$8))/4)*'5. Scenarios'!$B$6/(1+ProductivityDefault*('5. Scenarios'!$B$11-1))+INDEX(BookOneOff,2398)*$D2403)</f>
        <v/>
      </c>
      <c r="I2403" s="56" t="str">
        <f aca="false">IF(INDEX(BookTitle,2398)="","",INDEX(BookTotal,2398)*'5. Scenarios'!$C$6/(1+ProductivityDefault*('5. Scenarios'!$C$11-1)))</f>
        <v/>
      </c>
      <c r="J2403" s="57" t="str">
        <f aca="false">IF($I2403="","",INDEX(BookRate,2398)*(1+'5. Scenarios'!$C$10)*$I2403)</f>
        <v/>
      </c>
      <c r="K2403" s="57" t="str">
        <f aca="false">IF($J2403="","",SUMIFS($J$6:$J$2405,$A$6:$A$2405,"&lt;="&amp;$A2403))</f>
        <v/>
      </c>
      <c r="L2403" s="57" t="str">
        <f aca="false">IF($J2403="","",IF($K2403&lt;=BankCostEnvelope*'5. Scenarios'!$C$7,1,0))</f>
        <v/>
      </c>
      <c r="M2403" s="57" t="str">
        <f aca="false">IF($I2403="","",INDEX(BookRate,2398)*(1+'5. Scenarios'!$C$10)*(INDEX(BookQ1,2398)*(5-MIN(4,1+'5. Scenarios'!$C$8))/4+INDEX(BookQ2,2398)*(5-MIN(4,2+'5. Scenarios'!$C$8))/4+INDEX(BookQ3,2398)*(5-MIN(4,3+'5. Scenarios'!$C$8))/4+INDEX(BookQ4,2398)*(5-MIN(4,4+'5. Scenarios'!$C$8))/4)*'5. Scenarios'!$C$6/(1+ProductivityDefault*('5. Scenarios'!$C$11-1))+INDEX(BookOneOff,2398)*$I2403)</f>
        <v/>
      </c>
      <c r="N2403" s="56" t="str">
        <f aca="false">IF(INDEX(BookTitle,2398)="","",INDEX(BookTotal,2398)*'5. Scenarios'!$D$6/(1+ProductivityDefault*('5. Scenarios'!$D$11-1)))</f>
        <v/>
      </c>
      <c r="O2403" s="57" t="str">
        <f aca="false">IF($N2403="","",INDEX(BookRate,2398)*(1+'5. Scenarios'!$D$10)*$N2403)</f>
        <v/>
      </c>
      <c r="P2403" s="57" t="str">
        <f aca="false">IF($O2403="","",SUMIFS($O$6:$O$2405,$A$6:$A$2405,"&lt;="&amp;$A2403))</f>
        <v/>
      </c>
      <c r="Q2403" s="57" t="str">
        <f aca="false">IF($O2403="","",IF($P2403&lt;=BankCostEnvelope*'5. Scenarios'!$D$7,1,0))</f>
        <v/>
      </c>
      <c r="R2403" s="57" t="str">
        <f aca="false">IF($N2403="","",INDEX(BookRate,2398)*(1+'5. Scenarios'!$D$10)*(INDEX(BookQ1,2398)*(5-MIN(4,1+'5. Scenarios'!$D$8))/4+INDEX(BookQ2,2398)*(5-MIN(4,2+'5. Scenarios'!$D$8))/4+INDEX(BookQ3,2398)*(5-MIN(4,3+'5. Scenarios'!$D$8))/4+INDEX(BookQ4,2398)*(5-MIN(4,4+'5. Scenarios'!$D$8))/4)*'5. Scenarios'!$D$6/(1+ProductivityDefault*('5. Scenarios'!$D$11-1))+INDEX(BookOneOff,2398)*$N2403)</f>
        <v/>
      </c>
      <c r="S2403" s="56" t="str">
        <f aca="false">IF(INDEX(BookTitle,2398)="","",INDEX(BookTotal,2398)*'5. Scenarios'!$E$6/(1+ProductivityDefault*('5. Scenarios'!$E$11-1)))</f>
        <v/>
      </c>
      <c r="T2403" s="57" t="str">
        <f aca="false">IF($S2403="","",INDEX(BookRate,2398)*(1+'5. Scenarios'!$E$10)*$S2403)</f>
        <v/>
      </c>
      <c r="U2403" s="57" t="str">
        <f aca="false">IF($T2403="","",SUMIFS($T$6:$T$2405,$A$6:$A$2405,"&lt;="&amp;$A2403))</f>
        <v/>
      </c>
      <c r="V2403" s="57" t="str">
        <f aca="false">IF($T2403="","",IF($U2403&lt;=BankCostEnvelope*'5. Scenarios'!$E$7,1,0))</f>
        <v/>
      </c>
      <c r="W2403" s="57" t="str">
        <f aca="false">IF($S2403="","",INDEX(BookRate,2398)*(1+'5. Scenarios'!$E$10)*(INDEX(BookQ1,2398)*(5-MIN(4,1+'5. Scenarios'!$E$8))/4+INDEX(BookQ2,2398)*(5-MIN(4,2+'5. Scenarios'!$E$8))/4+INDEX(BookQ3,2398)*(5-MIN(4,3+'5. Scenarios'!$E$8))/4+INDEX(BookQ4,2398)*(5-MIN(4,4+'5. Scenarios'!$E$8))/4)*'5. Scenarios'!$E$6/(1+ProductivityDefault*('5. Scenarios'!$E$11-1))+INDEX(BookOneOff,2398)*$S2403)</f>
        <v/>
      </c>
    </row>
    <row r="2404" customFormat="false" ht="15" hidden="false" customHeight="false" outlineLevel="0" collapsed="false">
      <c r="A2404" s="0" t="str">
        <f aca="false">IF(INDEX(BookTitle,2399)="","",INDEX(BookKey,2399))</f>
        <v/>
      </c>
      <c r="B2404" s="0" t="str">
        <f aca="false">IF(INDEX(BookTitle,2399)="","",INDEX(BookGroup,2399))</f>
        <v/>
      </c>
      <c r="C2404" s="0" t="str">
        <f aca="false">IF(INDEX(BookTitle,2399)="","",INDEX(BookCategory,2399))</f>
        <v/>
      </c>
      <c r="D2404" s="56" t="str">
        <f aca="false">IF(INDEX(BookTitle,2399)="","",INDEX(BookTotal,2399)*'5. Scenarios'!$B$6/(1+ProductivityDefault*('5. Scenarios'!$B$11-1)))</f>
        <v/>
      </c>
      <c r="E2404" s="57" t="str">
        <f aca="false">IF($D2404="","",INDEX(BookRate,2399)*(1+'5. Scenarios'!$B$10)*$D2404)</f>
        <v/>
      </c>
      <c r="F2404" s="57" t="str">
        <f aca="false">IF($E2404="","",SUMIFS($E$6:$E$2405,$A$6:$A$2405,"&lt;="&amp;$A2404))</f>
        <v/>
      </c>
      <c r="G2404" s="57" t="str">
        <f aca="false">IF($E2404="","",IF($F2404&lt;=BankCostEnvelope*'5. Scenarios'!$B$7,1,0))</f>
        <v/>
      </c>
      <c r="H2404" s="57" t="str">
        <f aca="false">IF($D2404="","",INDEX(BookRate,2399)*(1+'5. Scenarios'!$B$10)*(INDEX(BookQ1,2399)*(5-MIN(4,1+'5. Scenarios'!$B$8))/4+INDEX(BookQ2,2399)*(5-MIN(4,2+'5. Scenarios'!$B$8))/4+INDEX(BookQ3,2399)*(5-MIN(4,3+'5. Scenarios'!$B$8))/4+INDEX(BookQ4,2399)*(5-MIN(4,4+'5. Scenarios'!$B$8))/4)*'5. Scenarios'!$B$6/(1+ProductivityDefault*('5. Scenarios'!$B$11-1))+INDEX(BookOneOff,2399)*$D2404)</f>
        <v/>
      </c>
      <c r="I2404" s="56" t="str">
        <f aca="false">IF(INDEX(BookTitle,2399)="","",INDEX(BookTotal,2399)*'5. Scenarios'!$C$6/(1+ProductivityDefault*('5. Scenarios'!$C$11-1)))</f>
        <v/>
      </c>
      <c r="J2404" s="57" t="str">
        <f aca="false">IF($I2404="","",INDEX(BookRate,2399)*(1+'5. Scenarios'!$C$10)*$I2404)</f>
        <v/>
      </c>
      <c r="K2404" s="57" t="str">
        <f aca="false">IF($J2404="","",SUMIFS($J$6:$J$2405,$A$6:$A$2405,"&lt;="&amp;$A2404))</f>
        <v/>
      </c>
      <c r="L2404" s="57" t="str">
        <f aca="false">IF($J2404="","",IF($K2404&lt;=BankCostEnvelope*'5. Scenarios'!$C$7,1,0))</f>
        <v/>
      </c>
      <c r="M2404" s="57" t="str">
        <f aca="false">IF($I2404="","",INDEX(BookRate,2399)*(1+'5. Scenarios'!$C$10)*(INDEX(BookQ1,2399)*(5-MIN(4,1+'5. Scenarios'!$C$8))/4+INDEX(BookQ2,2399)*(5-MIN(4,2+'5. Scenarios'!$C$8))/4+INDEX(BookQ3,2399)*(5-MIN(4,3+'5. Scenarios'!$C$8))/4+INDEX(BookQ4,2399)*(5-MIN(4,4+'5. Scenarios'!$C$8))/4)*'5. Scenarios'!$C$6/(1+ProductivityDefault*('5. Scenarios'!$C$11-1))+INDEX(BookOneOff,2399)*$I2404)</f>
        <v/>
      </c>
      <c r="N2404" s="56" t="str">
        <f aca="false">IF(INDEX(BookTitle,2399)="","",INDEX(BookTotal,2399)*'5. Scenarios'!$D$6/(1+ProductivityDefault*('5. Scenarios'!$D$11-1)))</f>
        <v/>
      </c>
      <c r="O2404" s="57" t="str">
        <f aca="false">IF($N2404="","",INDEX(BookRate,2399)*(1+'5. Scenarios'!$D$10)*$N2404)</f>
        <v/>
      </c>
      <c r="P2404" s="57" t="str">
        <f aca="false">IF($O2404="","",SUMIFS($O$6:$O$2405,$A$6:$A$2405,"&lt;="&amp;$A2404))</f>
        <v/>
      </c>
      <c r="Q2404" s="57" t="str">
        <f aca="false">IF($O2404="","",IF($P2404&lt;=BankCostEnvelope*'5. Scenarios'!$D$7,1,0))</f>
        <v/>
      </c>
      <c r="R2404" s="57" t="str">
        <f aca="false">IF($N2404="","",INDEX(BookRate,2399)*(1+'5. Scenarios'!$D$10)*(INDEX(BookQ1,2399)*(5-MIN(4,1+'5. Scenarios'!$D$8))/4+INDEX(BookQ2,2399)*(5-MIN(4,2+'5. Scenarios'!$D$8))/4+INDEX(BookQ3,2399)*(5-MIN(4,3+'5. Scenarios'!$D$8))/4+INDEX(BookQ4,2399)*(5-MIN(4,4+'5. Scenarios'!$D$8))/4)*'5. Scenarios'!$D$6/(1+ProductivityDefault*('5. Scenarios'!$D$11-1))+INDEX(BookOneOff,2399)*$N2404)</f>
        <v/>
      </c>
      <c r="S2404" s="56" t="str">
        <f aca="false">IF(INDEX(BookTitle,2399)="","",INDEX(BookTotal,2399)*'5. Scenarios'!$E$6/(1+ProductivityDefault*('5. Scenarios'!$E$11-1)))</f>
        <v/>
      </c>
      <c r="T2404" s="57" t="str">
        <f aca="false">IF($S2404="","",INDEX(BookRate,2399)*(1+'5. Scenarios'!$E$10)*$S2404)</f>
        <v/>
      </c>
      <c r="U2404" s="57" t="str">
        <f aca="false">IF($T2404="","",SUMIFS($T$6:$T$2405,$A$6:$A$2405,"&lt;="&amp;$A2404))</f>
        <v/>
      </c>
      <c r="V2404" s="57" t="str">
        <f aca="false">IF($T2404="","",IF($U2404&lt;=BankCostEnvelope*'5. Scenarios'!$E$7,1,0))</f>
        <v/>
      </c>
      <c r="W2404" s="57" t="str">
        <f aca="false">IF($S2404="","",INDEX(BookRate,2399)*(1+'5. Scenarios'!$E$10)*(INDEX(BookQ1,2399)*(5-MIN(4,1+'5. Scenarios'!$E$8))/4+INDEX(BookQ2,2399)*(5-MIN(4,2+'5. Scenarios'!$E$8))/4+INDEX(BookQ3,2399)*(5-MIN(4,3+'5. Scenarios'!$E$8))/4+INDEX(BookQ4,2399)*(5-MIN(4,4+'5. Scenarios'!$E$8))/4)*'5. Scenarios'!$E$6/(1+ProductivityDefault*('5. Scenarios'!$E$11-1))+INDEX(BookOneOff,2399)*$S2404)</f>
        <v/>
      </c>
    </row>
    <row r="2405" customFormat="false" ht="15" hidden="false" customHeight="false" outlineLevel="0" collapsed="false">
      <c r="A2405" s="0" t="str">
        <f aca="false">IF(INDEX(BookTitle,2400)="","",INDEX(BookKey,2400))</f>
        <v/>
      </c>
      <c r="B2405" s="0" t="str">
        <f aca="false">IF(INDEX(BookTitle,2400)="","",INDEX(BookGroup,2400))</f>
        <v/>
      </c>
      <c r="C2405" s="0" t="str">
        <f aca="false">IF(INDEX(BookTitle,2400)="","",INDEX(BookCategory,2400))</f>
        <v/>
      </c>
      <c r="D2405" s="56" t="str">
        <f aca="false">IF(INDEX(BookTitle,2400)="","",INDEX(BookTotal,2400)*'5. Scenarios'!$B$6/(1+ProductivityDefault*('5. Scenarios'!$B$11-1)))</f>
        <v/>
      </c>
      <c r="E2405" s="57" t="str">
        <f aca="false">IF($D2405="","",INDEX(BookRate,2400)*(1+'5. Scenarios'!$B$10)*$D2405)</f>
        <v/>
      </c>
      <c r="F2405" s="57" t="str">
        <f aca="false">IF($E2405="","",SUMIFS($E$6:$E$2405,$A$6:$A$2405,"&lt;="&amp;$A2405))</f>
        <v/>
      </c>
      <c r="G2405" s="57" t="str">
        <f aca="false">IF($E2405="","",IF($F2405&lt;=BankCostEnvelope*'5. Scenarios'!$B$7,1,0))</f>
        <v/>
      </c>
      <c r="H2405" s="57" t="str">
        <f aca="false">IF($D2405="","",INDEX(BookRate,2400)*(1+'5. Scenarios'!$B$10)*(INDEX(BookQ1,2400)*(5-MIN(4,1+'5. Scenarios'!$B$8))/4+INDEX(BookQ2,2400)*(5-MIN(4,2+'5. Scenarios'!$B$8))/4+INDEX(BookQ3,2400)*(5-MIN(4,3+'5. Scenarios'!$B$8))/4+INDEX(BookQ4,2400)*(5-MIN(4,4+'5. Scenarios'!$B$8))/4)*'5. Scenarios'!$B$6/(1+ProductivityDefault*('5. Scenarios'!$B$11-1))+INDEX(BookOneOff,2400)*$D2405)</f>
        <v/>
      </c>
      <c r="I2405" s="56" t="str">
        <f aca="false">IF(INDEX(BookTitle,2400)="","",INDEX(BookTotal,2400)*'5. Scenarios'!$C$6/(1+ProductivityDefault*('5. Scenarios'!$C$11-1)))</f>
        <v/>
      </c>
      <c r="J2405" s="57" t="str">
        <f aca="false">IF($I2405="","",INDEX(BookRate,2400)*(1+'5. Scenarios'!$C$10)*$I2405)</f>
        <v/>
      </c>
      <c r="K2405" s="57" t="str">
        <f aca="false">IF($J2405="","",SUMIFS($J$6:$J$2405,$A$6:$A$2405,"&lt;="&amp;$A2405))</f>
        <v/>
      </c>
      <c r="L2405" s="57" t="str">
        <f aca="false">IF($J2405="","",IF($K2405&lt;=BankCostEnvelope*'5. Scenarios'!$C$7,1,0))</f>
        <v/>
      </c>
      <c r="M2405" s="57" t="str">
        <f aca="false">IF($I2405="","",INDEX(BookRate,2400)*(1+'5. Scenarios'!$C$10)*(INDEX(BookQ1,2400)*(5-MIN(4,1+'5. Scenarios'!$C$8))/4+INDEX(BookQ2,2400)*(5-MIN(4,2+'5. Scenarios'!$C$8))/4+INDEX(BookQ3,2400)*(5-MIN(4,3+'5. Scenarios'!$C$8))/4+INDEX(BookQ4,2400)*(5-MIN(4,4+'5. Scenarios'!$C$8))/4)*'5. Scenarios'!$C$6/(1+ProductivityDefault*('5. Scenarios'!$C$11-1))+INDEX(BookOneOff,2400)*$I2405)</f>
        <v/>
      </c>
      <c r="N2405" s="56" t="str">
        <f aca="false">IF(INDEX(BookTitle,2400)="","",INDEX(BookTotal,2400)*'5. Scenarios'!$D$6/(1+ProductivityDefault*('5. Scenarios'!$D$11-1)))</f>
        <v/>
      </c>
      <c r="O2405" s="57" t="str">
        <f aca="false">IF($N2405="","",INDEX(BookRate,2400)*(1+'5. Scenarios'!$D$10)*$N2405)</f>
        <v/>
      </c>
      <c r="P2405" s="57" t="str">
        <f aca="false">IF($O2405="","",SUMIFS($O$6:$O$2405,$A$6:$A$2405,"&lt;="&amp;$A2405))</f>
        <v/>
      </c>
      <c r="Q2405" s="57" t="str">
        <f aca="false">IF($O2405="","",IF($P2405&lt;=BankCostEnvelope*'5. Scenarios'!$D$7,1,0))</f>
        <v/>
      </c>
      <c r="R2405" s="57" t="str">
        <f aca="false">IF($N2405="","",INDEX(BookRate,2400)*(1+'5. Scenarios'!$D$10)*(INDEX(BookQ1,2400)*(5-MIN(4,1+'5. Scenarios'!$D$8))/4+INDEX(BookQ2,2400)*(5-MIN(4,2+'5. Scenarios'!$D$8))/4+INDEX(BookQ3,2400)*(5-MIN(4,3+'5. Scenarios'!$D$8))/4+INDEX(BookQ4,2400)*(5-MIN(4,4+'5. Scenarios'!$D$8))/4)*'5. Scenarios'!$D$6/(1+ProductivityDefault*('5. Scenarios'!$D$11-1))+INDEX(BookOneOff,2400)*$N2405)</f>
        <v/>
      </c>
      <c r="S2405" s="56" t="str">
        <f aca="false">IF(INDEX(BookTitle,2400)="","",INDEX(BookTotal,2400)*'5. Scenarios'!$E$6/(1+ProductivityDefault*('5. Scenarios'!$E$11-1)))</f>
        <v/>
      </c>
      <c r="T2405" s="57" t="str">
        <f aca="false">IF($S2405="","",INDEX(BookRate,2400)*(1+'5. Scenarios'!$E$10)*$S2405)</f>
        <v/>
      </c>
      <c r="U2405" s="57" t="str">
        <f aca="false">IF($T2405="","",SUMIFS($T$6:$T$2405,$A$6:$A$2405,"&lt;="&amp;$A2405))</f>
        <v/>
      </c>
      <c r="V2405" s="57" t="str">
        <f aca="false">IF($T2405="","",IF($U2405&lt;=BankCostEnvelope*'5. Scenarios'!$E$7,1,0))</f>
        <v/>
      </c>
      <c r="W2405" s="57" t="str">
        <f aca="false">IF($S2405="","",INDEX(BookRate,2400)*(1+'5. Scenarios'!$E$10)*(INDEX(BookQ1,2400)*(5-MIN(4,1+'5. Scenarios'!$E$8))/4+INDEX(BookQ2,2400)*(5-MIN(4,2+'5. Scenarios'!$E$8))/4+INDEX(BookQ3,2400)*(5-MIN(4,3+'5. Scenarios'!$E$8))/4+INDEX(BookQ4,2400)*(5-MIN(4,4+'5. Scenarios'!$E$8))/4)*'5. Scenarios'!$E$6/(1+ProductivityDefault*('5. Scenarios'!$E$11-1))+INDEX(BookOneOff,2400)*$S2405)</f>
        <v/>
      </c>
    </row>
  </sheetData>
  <sheetProtection sheet="true" sort="false" autoFilter="false"/>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328</v>
      </c>
    </row>
    <row r="2" customFormat="false" ht="15" hidden="false" customHeight="false" outlineLevel="0" collapsed="false">
      <c r="A2" s="2" t="s">
        <v>329</v>
      </c>
      <c r="B2" s="2"/>
      <c r="C2" s="2"/>
      <c r="D2" s="2"/>
      <c r="E2" s="2"/>
      <c r="F2" s="2"/>
      <c r="G2" s="2"/>
      <c r="H2" s="2"/>
      <c r="I2" s="2"/>
      <c r="J2" s="2"/>
    </row>
    <row r="4" customFormat="false" ht="15" hidden="false" customHeight="false" outlineLevel="0" collapsed="false">
      <c r="A4" s="3" t="s">
        <v>330</v>
      </c>
    </row>
    <row r="5" customFormat="false" ht="15" hidden="false" customHeight="false" outlineLevel="0" collapsed="false">
      <c r="A5" s="6" t="s">
        <v>331</v>
      </c>
      <c r="B5" s="63" t="n">
        <v>2027</v>
      </c>
    </row>
    <row r="6" customFormat="false" ht="15" hidden="false" customHeight="false" outlineLevel="0" collapsed="false">
      <c r="A6" s="6" t="s">
        <v>332</v>
      </c>
      <c r="B6" s="63" t="n">
        <v>2026</v>
      </c>
    </row>
    <row r="7" customFormat="false" ht="15" hidden="false" customHeight="false" outlineLevel="0" collapsed="false">
      <c r="A7" s="6" t="s">
        <v>333</v>
      </c>
      <c r="B7" s="64" t="n">
        <v>0.09</v>
      </c>
    </row>
    <row r="8" customFormat="false" ht="15" hidden="false" customHeight="false" outlineLevel="0" collapsed="false">
      <c r="A8" s="6" t="s">
        <v>334</v>
      </c>
      <c r="B8" s="64" t="n">
        <v>0.03</v>
      </c>
    </row>
    <row r="9" customFormat="false" ht="15" hidden="false" customHeight="false" outlineLevel="0" collapsed="false">
      <c r="A9" s="6" t="s">
        <v>165</v>
      </c>
      <c r="B9" s="64" t="n">
        <v>0.04</v>
      </c>
    </row>
    <row r="10" customFormat="false" ht="15" hidden="false" customHeight="false" outlineLevel="0" collapsed="false">
      <c r="A10" s="6" t="s">
        <v>335</v>
      </c>
      <c r="B10" s="64" t="n">
        <v>0.1175</v>
      </c>
    </row>
    <row r="11" customFormat="false" ht="15" hidden="false" customHeight="false" outlineLevel="0" collapsed="false">
      <c r="A11" s="6" t="s">
        <v>336</v>
      </c>
      <c r="B11" s="64" t="n">
        <v>0.02</v>
      </c>
    </row>
    <row r="13" customFormat="false" ht="15" hidden="false" customHeight="false" outlineLevel="0" collapsed="false">
      <c r="A13" s="3" t="s">
        <v>337</v>
      </c>
      <c r="G13" s="15" t="s">
        <v>338</v>
      </c>
    </row>
    <row r="14" customFormat="false" ht="30" hidden="false" customHeight="true" outlineLevel="0" collapsed="false">
      <c r="A14" s="16" t="s">
        <v>339</v>
      </c>
      <c r="B14" s="16" t="s">
        <v>340</v>
      </c>
      <c r="C14" s="16" t="s">
        <v>341</v>
      </c>
      <c r="D14" s="16" t="s">
        <v>342</v>
      </c>
      <c r="E14" s="16" t="s">
        <v>343</v>
      </c>
      <c r="F14" s="16" t="s">
        <v>344</v>
      </c>
      <c r="G14" s="16" t="s">
        <v>345</v>
      </c>
    </row>
    <row r="15" customFormat="false" ht="15" hidden="false" customHeight="false" outlineLevel="0" collapsed="false">
      <c r="A15" s="0" t="s">
        <v>346</v>
      </c>
      <c r="B15" s="57" t="n">
        <v>900</v>
      </c>
      <c r="C15" s="57" t="n">
        <v>225</v>
      </c>
      <c r="D15" s="57" t="n">
        <v>36</v>
      </c>
      <c r="E15" s="65" t="n">
        <v>0.3</v>
      </c>
      <c r="F15" s="57" t="n">
        <v>45</v>
      </c>
      <c r="G15" s="57" t="n">
        <f aca="false">$B15+$C15+$D15+$B15*$E15+($B15+$C15)*GosiSaudi</f>
        <v>1563.1875</v>
      </c>
    </row>
    <row r="16" customFormat="false" ht="15" hidden="false" customHeight="false" outlineLevel="0" collapsed="false">
      <c r="A16" s="0" t="s">
        <v>347</v>
      </c>
      <c r="B16" s="57" t="n">
        <v>540</v>
      </c>
      <c r="C16" s="57" t="n">
        <v>135</v>
      </c>
      <c r="D16" s="57" t="n">
        <v>30</v>
      </c>
      <c r="E16" s="65" t="n">
        <v>0.22</v>
      </c>
      <c r="F16" s="57" t="n">
        <v>45</v>
      </c>
      <c r="G16" s="57" t="n">
        <f aca="false">$B16+$C16+$D16+$B16*$E16+($B16+$C16)*GosiSaudi</f>
        <v>903.1125</v>
      </c>
    </row>
    <row r="17" customFormat="false" ht="15" hidden="false" customHeight="false" outlineLevel="0" collapsed="false">
      <c r="A17" s="0" t="s">
        <v>348</v>
      </c>
      <c r="B17" s="57" t="n">
        <v>336</v>
      </c>
      <c r="C17" s="57" t="n">
        <v>84</v>
      </c>
      <c r="D17" s="57" t="n">
        <v>18</v>
      </c>
      <c r="E17" s="65" t="n">
        <v>0.15</v>
      </c>
      <c r="F17" s="57" t="n">
        <v>30</v>
      </c>
      <c r="G17" s="57" t="n">
        <f aca="false">$B17+$C17+$D17+$B17*$E17+($B17+$C17)*GosiSaudi</f>
        <v>537.75</v>
      </c>
    </row>
    <row r="18" customFormat="false" ht="15" hidden="false" customHeight="false" outlineLevel="0" collapsed="false">
      <c r="A18" s="0" t="s">
        <v>349</v>
      </c>
      <c r="B18" s="57" t="n">
        <v>216</v>
      </c>
      <c r="C18" s="57" t="n">
        <v>54</v>
      </c>
      <c r="D18" s="57" t="n">
        <v>14</v>
      </c>
      <c r="E18" s="65" t="n">
        <v>0.1</v>
      </c>
      <c r="F18" s="57" t="n">
        <v>18</v>
      </c>
      <c r="G18" s="57" t="n">
        <f aca="false">$B18+$C18+$D18+$B18*$E18+($B18+$C18)*GosiSaudi</f>
        <v>337.325</v>
      </c>
    </row>
    <row r="19" customFormat="false" ht="15" hidden="false" customHeight="false" outlineLevel="0" collapsed="false">
      <c r="A19" s="0" t="s">
        <v>350</v>
      </c>
      <c r="B19" s="57" t="n">
        <v>138</v>
      </c>
      <c r="C19" s="57" t="n">
        <v>35</v>
      </c>
      <c r="D19" s="57" t="n">
        <v>12</v>
      </c>
      <c r="E19" s="65" t="n">
        <v>0.07</v>
      </c>
      <c r="F19" s="57" t="n">
        <v>12</v>
      </c>
      <c r="G19" s="57" t="n">
        <f aca="false">$B19+$C19+$D19+$B19*$E19+($B19+$C19)*GosiSaudi</f>
        <v>214.9875</v>
      </c>
    </row>
    <row r="20" customFormat="false" ht="15" hidden="false" customHeight="false" outlineLevel="0" collapsed="false">
      <c r="A20" s="0" t="s">
        <v>351</v>
      </c>
      <c r="B20" s="57" t="n">
        <v>96</v>
      </c>
      <c r="C20" s="57" t="n">
        <v>24</v>
      </c>
      <c r="D20" s="57" t="n">
        <v>12</v>
      </c>
      <c r="E20" s="65" t="n">
        <v>0.05</v>
      </c>
      <c r="F20" s="57" t="n">
        <v>12</v>
      </c>
      <c r="G20" s="57" t="n">
        <f aca="false">$B20+$C20+$D20+$B20*$E20+($B20+$C20)*GosiSaudi</f>
        <v>150.9</v>
      </c>
    </row>
    <row r="22" customFormat="false" ht="15" hidden="false" customHeight="false" outlineLevel="0" collapsed="false">
      <c r="A22" s="3" t="s">
        <v>352</v>
      </c>
    </row>
    <row r="23" customFormat="false" ht="30" hidden="false" customHeight="true" outlineLevel="0" collapsed="false">
      <c r="A23" s="16" t="s">
        <v>120</v>
      </c>
      <c r="B23" s="16" t="s">
        <v>122</v>
      </c>
      <c r="C23" s="16" t="s">
        <v>123</v>
      </c>
    </row>
    <row r="24" customFormat="false" ht="15" hidden="false" customHeight="false" outlineLevel="0" collapsed="false">
      <c r="A24" s="0" t="s">
        <v>227</v>
      </c>
      <c r="B24" s="0" t="s">
        <v>228</v>
      </c>
      <c r="C24" s="0" t="n">
        <v>1</v>
      </c>
    </row>
    <row r="25" customFormat="false" ht="15" hidden="false" customHeight="false" outlineLevel="0" collapsed="false">
      <c r="A25" s="0" t="s">
        <v>229</v>
      </c>
      <c r="B25" s="0" t="s">
        <v>228</v>
      </c>
      <c r="C25" s="0" t="n">
        <v>1</v>
      </c>
    </row>
    <row r="26" customFormat="false" ht="15" hidden="false" customHeight="false" outlineLevel="0" collapsed="false">
      <c r="A26" s="0" t="s">
        <v>230</v>
      </c>
      <c r="B26" s="0" t="s">
        <v>228</v>
      </c>
      <c r="C26" s="0" t="n">
        <v>1</v>
      </c>
    </row>
    <row r="27" customFormat="false" ht="15" hidden="false" customHeight="false" outlineLevel="0" collapsed="false">
      <c r="A27" s="0" t="s">
        <v>231</v>
      </c>
      <c r="B27" s="0" t="s">
        <v>228</v>
      </c>
      <c r="C27" s="0" t="n">
        <v>1</v>
      </c>
    </row>
    <row r="28" customFormat="false" ht="15" hidden="false" customHeight="false" outlineLevel="0" collapsed="false">
      <c r="A28" s="0" t="s">
        <v>232</v>
      </c>
      <c r="B28" s="0" t="s">
        <v>233</v>
      </c>
      <c r="C28" s="0" t="n">
        <v>2</v>
      </c>
    </row>
    <row r="29" customFormat="false" ht="15" hidden="false" customHeight="false" outlineLevel="0" collapsed="false">
      <c r="A29" s="0" t="s">
        <v>234</v>
      </c>
      <c r="B29" s="0" t="s">
        <v>233</v>
      </c>
      <c r="C29" s="0" t="n">
        <v>2</v>
      </c>
    </row>
    <row r="30" customFormat="false" ht="15" hidden="false" customHeight="false" outlineLevel="0" collapsed="false">
      <c r="A30" s="0" t="s">
        <v>235</v>
      </c>
      <c r="B30" s="0" t="s">
        <v>233</v>
      </c>
      <c r="C30" s="0" t="n">
        <v>2</v>
      </c>
    </row>
    <row r="31" customFormat="false" ht="15" hidden="false" customHeight="false" outlineLevel="0" collapsed="false">
      <c r="A31" s="0" t="s">
        <v>236</v>
      </c>
      <c r="B31" s="0" t="s">
        <v>233</v>
      </c>
      <c r="C31" s="0" t="n">
        <v>2</v>
      </c>
    </row>
    <row r="32" customFormat="false" ht="15" hidden="false" customHeight="false" outlineLevel="0" collapsed="false">
      <c r="A32" s="0" t="s">
        <v>237</v>
      </c>
      <c r="B32" s="0" t="s">
        <v>233</v>
      </c>
      <c r="C32" s="0" t="n">
        <v>2</v>
      </c>
    </row>
    <row r="33" customFormat="false" ht="15" hidden="false" customHeight="false" outlineLevel="0" collapsed="false">
      <c r="A33" s="0" t="s">
        <v>238</v>
      </c>
      <c r="B33" s="0" t="s">
        <v>239</v>
      </c>
      <c r="C33" s="0" t="n">
        <v>3</v>
      </c>
    </row>
    <row r="34" customFormat="false" ht="15" hidden="false" customHeight="false" outlineLevel="0" collapsed="false">
      <c r="A34" s="0" t="s">
        <v>240</v>
      </c>
      <c r="B34" s="0" t="s">
        <v>239</v>
      </c>
      <c r="C34" s="0" t="n">
        <v>3</v>
      </c>
    </row>
    <row r="35" customFormat="false" ht="15" hidden="false" customHeight="false" outlineLevel="0" collapsed="false">
      <c r="A35" s="0" t="s">
        <v>241</v>
      </c>
      <c r="B35" s="0" t="s">
        <v>239</v>
      </c>
      <c r="C35" s="0" t="n">
        <v>3</v>
      </c>
    </row>
    <row r="36" customFormat="false" ht="15" hidden="false" customHeight="false" outlineLevel="0" collapsed="false">
      <c r="A36" s="0" t="s">
        <v>242</v>
      </c>
      <c r="B36" s="0" t="s">
        <v>243</v>
      </c>
      <c r="C36" s="0" t="n">
        <v>4</v>
      </c>
    </row>
    <row r="37" customFormat="false" ht="15" hidden="false" customHeight="false" outlineLevel="0" collapsed="false">
      <c r="A37" s="0" t="s">
        <v>244</v>
      </c>
      <c r="B37" s="0" t="s">
        <v>243</v>
      </c>
      <c r="C37" s="0" t="n">
        <v>4</v>
      </c>
    </row>
    <row r="38" customFormat="false" ht="15" hidden="false" customHeight="false" outlineLevel="0" collapsed="false">
      <c r="A38" s="0" t="s">
        <v>245</v>
      </c>
      <c r="B38" s="0" t="s">
        <v>243</v>
      </c>
      <c r="C38" s="0" t="n">
        <v>4</v>
      </c>
    </row>
    <row r="39" customFormat="false" ht="15" hidden="false" customHeight="false" outlineLevel="0" collapsed="false">
      <c r="A39" s="0" t="s">
        <v>246</v>
      </c>
      <c r="B39" s="0" t="s">
        <v>243</v>
      </c>
      <c r="C39" s="0" t="n">
        <v>4</v>
      </c>
    </row>
    <row r="40" customFormat="false" ht="15" hidden="false" customHeight="false" outlineLevel="0" collapsed="false">
      <c r="A40" s="0" t="s">
        <v>247</v>
      </c>
      <c r="B40" s="0" t="s">
        <v>243</v>
      </c>
      <c r="C40" s="0" t="n">
        <v>4</v>
      </c>
    </row>
    <row r="41" customFormat="false" ht="15" hidden="false" customHeight="false" outlineLevel="0" collapsed="false">
      <c r="A41" s="0" t="s">
        <v>248</v>
      </c>
      <c r="B41" s="0" t="s">
        <v>243</v>
      </c>
      <c r="C41" s="0" t="n">
        <v>4</v>
      </c>
    </row>
    <row r="42" customFormat="false" ht="15" hidden="false" customHeight="false" outlineLevel="0" collapsed="false">
      <c r="A42" s="0" t="s">
        <v>249</v>
      </c>
      <c r="B42" s="0" t="s">
        <v>243</v>
      </c>
      <c r="C42" s="0" t="n">
        <v>4</v>
      </c>
    </row>
    <row r="44" customFormat="false" ht="15" hidden="false" customHeight="false" outlineLevel="0" collapsed="false">
      <c r="A44" s="6" t="s">
        <v>292</v>
      </c>
      <c r="C44" s="6" t="s">
        <v>353</v>
      </c>
      <c r="E44" s="6" t="s">
        <v>354</v>
      </c>
      <c r="G44" s="6" t="s">
        <v>355</v>
      </c>
      <c r="I44" s="6" t="s">
        <v>356</v>
      </c>
      <c r="K44" s="6" t="s">
        <v>357</v>
      </c>
      <c r="M44" s="6" t="s">
        <v>122</v>
      </c>
      <c r="O44" s="6" t="s">
        <v>358</v>
      </c>
      <c r="Q44" s="6" t="s">
        <v>359</v>
      </c>
      <c r="S44" s="6" t="s">
        <v>360</v>
      </c>
      <c r="U44" s="6" t="s">
        <v>140</v>
      </c>
      <c r="W44" s="6" t="s">
        <v>43</v>
      </c>
    </row>
    <row r="45" customFormat="false" ht="15" hidden="false" customHeight="false" outlineLevel="0" collapsed="false">
      <c r="A45" s="0" t="s">
        <v>115</v>
      </c>
      <c r="C45" s="0" t="s">
        <v>361</v>
      </c>
      <c r="E45" s="0" t="s">
        <v>362</v>
      </c>
      <c r="G45" s="0" t="s">
        <v>363</v>
      </c>
      <c r="I45" s="0" t="s">
        <v>364</v>
      </c>
      <c r="K45" s="0" t="s">
        <v>43</v>
      </c>
      <c r="M45" s="0" t="s">
        <v>228</v>
      </c>
      <c r="O45" s="0" t="s">
        <v>365</v>
      </c>
      <c r="Q45" s="0" t="s">
        <v>346</v>
      </c>
      <c r="S45" s="0" t="s">
        <v>346</v>
      </c>
      <c r="U45" s="0" t="s">
        <v>366</v>
      </c>
      <c r="W45" s="0" t="s">
        <v>63</v>
      </c>
    </row>
    <row r="46" customFormat="false" ht="15" hidden="false" customHeight="false" outlineLevel="0" collapsed="false">
      <c r="A46" s="0" t="s">
        <v>116</v>
      </c>
      <c r="C46" s="0" t="s">
        <v>367</v>
      </c>
      <c r="E46" s="0" t="s">
        <v>368</v>
      </c>
      <c r="G46" s="0" t="s">
        <v>369</v>
      </c>
      <c r="I46" s="0" t="s">
        <v>370</v>
      </c>
      <c r="K46" s="0" t="s">
        <v>105</v>
      </c>
      <c r="M46" s="0" t="s">
        <v>233</v>
      </c>
      <c r="O46" s="0" t="s">
        <v>371</v>
      </c>
      <c r="Q46" s="0" t="s">
        <v>347</v>
      </c>
      <c r="S46" s="0" t="s">
        <v>372</v>
      </c>
      <c r="U46" s="0" t="s">
        <v>373</v>
      </c>
      <c r="W46" s="0" t="s">
        <v>67</v>
      </c>
    </row>
    <row r="47" customFormat="false" ht="15" hidden="false" customHeight="false" outlineLevel="0" collapsed="false">
      <c r="A47" s="0" t="s">
        <v>117</v>
      </c>
      <c r="C47" s="0" t="s">
        <v>374</v>
      </c>
      <c r="E47" s="0" t="s">
        <v>375</v>
      </c>
      <c r="G47" s="0" t="s">
        <v>376</v>
      </c>
      <c r="I47" s="0" t="s">
        <v>377</v>
      </c>
      <c r="K47" s="0" t="s">
        <v>106</v>
      </c>
      <c r="M47" s="0" t="s">
        <v>239</v>
      </c>
      <c r="Q47" s="0" t="s">
        <v>348</v>
      </c>
      <c r="S47" s="0" t="s">
        <v>348</v>
      </c>
      <c r="U47" s="0" t="s">
        <v>378</v>
      </c>
      <c r="W47" s="0" t="s">
        <v>70</v>
      </c>
    </row>
    <row r="48" customFormat="false" ht="15" hidden="false" customHeight="false" outlineLevel="0" collapsed="false">
      <c r="A48" s="0" t="s">
        <v>118</v>
      </c>
      <c r="G48" s="0" t="s">
        <v>379</v>
      </c>
      <c r="K48" s="0" t="s">
        <v>107</v>
      </c>
      <c r="M48" s="0" t="s">
        <v>243</v>
      </c>
      <c r="Q48" s="0" t="s">
        <v>349</v>
      </c>
      <c r="S48" s="0" t="s">
        <v>349</v>
      </c>
      <c r="U48" s="0" t="s">
        <v>380</v>
      </c>
      <c r="W48" s="0" t="s">
        <v>73</v>
      </c>
    </row>
    <row r="49" customFormat="false" ht="15" hidden="false" customHeight="false" outlineLevel="0" collapsed="false">
      <c r="G49" s="0" t="s">
        <v>249</v>
      </c>
      <c r="K49" s="0" t="s">
        <v>381</v>
      </c>
      <c r="Q49" s="0" t="s">
        <v>350</v>
      </c>
      <c r="W49" s="0" t="s">
        <v>76</v>
      </c>
    </row>
    <row r="50" customFormat="false" ht="15" hidden="false" customHeight="false" outlineLevel="0" collapsed="false">
      <c r="K50" s="0" t="s">
        <v>382</v>
      </c>
      <c r="Q50" s="0" t="s">
        <v>351</v>
      </c>
      <c r="W50" s="0" t="s">
        <v>79</v>
      </c>
    </row>
    <row r="51" customFormat="false" ht="15" hidden="false" customHeight="false" outlineLevel="0" collapsed="false">
      <c r="W51" s="0" t="s">
        <v>82</v>
      </c>
    </row>
    <row r="52" customFormat="false" ht="15" hidden="false" customHeight="false" outlineLevel="0" collapsed="false">
      <c r="W52" s="0" t="s">
        <v>85</v>
      </c>
    </row>
    <row r="53" customFormat="false" ht="15" hidden="false" customHeight="false" outlineLevel="0" collapsed="false">
      <c r="W53" s="0" t="s">
        <v>88</v>
      </c>
    </row>
    <row r="54" customFormat="false" ht="15" hidden="false" customHeight="false" outlineLevel="0" collapsed="false">
      <c r="W54" s="0" t="s">
        <v>91</v>
      </c>
    </row>
    <row r="55" customFormat="false" ht="15" hidden="false" customHeight="false" outlineLevel="0" collapsed="false">
      <c r="W55" s="0" t="s">
        <v>94</v>
      </c>
    </row>
    <row r="56" customFormat="false" ht="15" hidden="false" customHeight="false" outlineLevel="0" collapsed="false">
      <c r="W56" s="0" t="s">
        <v>97</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2026-09-07T13:45:51Z</dcterms:created>
  <dc:creator>Capacity exercise toolkit</dc:creator>
  <dc:description/>
  <dc:language>en-US</dc:language>
  <cp:lastModifiedBy/>
  <dcterms:modified xsi:type="dcterms:W3CDTF">2026-09-07T13:46:30Z</dcterms:modified>
  <cp:revision>1</cp:revision>
  <dc:subject/>
  <dc:title>2027 Capacity Exercise - consolidator</dc:title>
</cp:coreProperties>
</file>

<file path=docProps/custom.xml><?xml version="1.0" encoding="utf-8"?>
<Properties xmlns="http://schemas.openxmlformats.org/officeDocument/2006/custom-properties" xmlns:vt="http://schemas.openxmlformats.org/officeDocument/2006/docPropsVTypes"/>
</file>